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workbookProtection lockStructure="1"/>
  <bookViews>
    <workbookView xWindow="-15" yWindow="-15" windowWidth="11730" windowHeight="6585" firstSheet="3" activeTab="3"/>
  </bookViews>
  <sheets>
    <sheet name="Sheet2 (2)" sheetId="5" state="hidden" r:id="rId1"/>
    <sheet name="Sheet1" sheetId="2" state="hidden" r:id="rId2"/>
    <sheet name="Chart1" sheetId="3" state="hidden" r:id="rId3"/>
    <sheet name="Sheet2" sheetId="4" r:id="rId4"/>
    <sheet name="STATS1003B" sheetId="1" state="hidden" r:id="rId5"/>
  </sheets>
  <definedNames>
    <definedName name="_Regression_Int" localSheetId="4" hidden="1">1</definedName>
    <definedName name="_xlnm.Print_Area" localSheetId="3">Sheet2!$A$2946</definedName>
    <definedName name="_xlnm.Print_Area" localSheetId="0">'Sheet2 (2)'!$A$2908:$AC$2951</definedName>
    <definedName name="_xlnm.Print_Area" localSheetId="4">STATS1003B!$A$2773:$AB$2879</definedName>
    <definedName name="Print_Area_MI">STATS1003B!$C$2889:$Z$2934</definedName>
    <definedName name="_xlnm.Print_Titles" localSheetId="3">Sheet2!$1:$9</definedName>
    <definedName name="_xlnm.Print_Titles" localSheetId="4">STATS1003B!$2773:$2779</definedName>
    <definedName name="Print_Titles_MI">STATS1003B!$1:$7</definedName>
  </definedNames>
  <calcPr calcId="145621"/>
</workbook>
</file>

<file path=xl/calcChain.xml><?xml version="1.0" encoding="utf-8"?>
<calcChain xmlns="http://schemas.openxmlformats.org/spreadsheetml/2006/main">
  <c r="H2874" i="4" l="1"/>
  <c r="E2874" i="4"/>
  <c r="H2835" i="4"/>
  <c r="E2835" i="4"/>
  <c r="H2834" i="4"/>
  <c r="E2834" i="4"/>
  <c r="H2827" i="4"/>
  <c r="E2827" i="4"/>
  <c r="H2658" i="4"/>
  <c r="E2658" i="4"/>
  <c r="H2446" i="4" l="1"/>
  <c r="E2446" i="4"/>
  <c r="H2428" i="4"/>
  <c r="H2262" i="4"/>
  <c r="E2262" i="4"/>
  <c r="H2219" i="4"/>
  <c r="E2219" i="4"/>
  <c r="H2173" i="4"/>
  <c r="E2173" i="4"/>
  <c r="H2138" i="4"/>
  <c r="E2138" i="4"/>
  <c r="H2059" i="4"/>
  <c r="E2059" i="4"/>
  <c r="H2037" i="4"/>
  <c r="E2037" i="4"/>
  <c r="H1758" i="4"/>
  <c r="E1758" i="4"/>
  <c r="H1899" i="4"/>
  <c r="E1899" i="4"/>
  <c r="H1720" i="4"/>
  <c r="E1720" i="4"/>
  <c r="H1709" i="4"/>
  <c r="E1709" i="4"/>
  <c r="H1678" i="4"/>
  <c r="E1678" i="4"/>
  <c r="H1618" i="4"/>
  <c r="E1618" i="4"/>
  <c r="H1592" i="4"/>
  <c r="E1592" i="4"/>
  <c r="H1497" i="4"/>
  <c r="E1497" i="4"/>
  <c r="H1471" i="4"/>
  <c r="E1471" i="4"/>
  <c r="H1339" i="4"/>
  <c r="E1339" i="4"/>
  <c r="H1188" i="4"/>
  <c r="E1188" i="4"/>
  <c r="H1166" i="4"/>
  <c r="E1166" i="4"/>
  <c r="H1129" i="4"/>
  <c r="E1129" i="4"/>
  <c r="H1065" i="4"/>
  <c r="E1065" i="4"/>
  <c r="H1013" i="4"/>
  <c r="E1013" i="4"/>
  <c r="H984" i="4"/>
  <c r="E984" i="4"/>
  <c r="H895" i="4"/>
  <c r="E895" i="4"/>
  <c r="H844" i="4"/>
  <c r="E844" i="4"/>
  <c r="H941" i="4"/>
  <c r="E941" i="4"/>
  <c r="H922" i="4"/>
  <c r="E922" i="4"/>
  <c r="H743" i="4"/>
  <c r="E743" i="4"/>
  <c r="H691" i="4"/>
  <c r="E691" i="4"/>
  <c r="H500" i="4"/>
  <c r="E500" i="4"/>
  <c r="H487" i="4"/>
  <c r="E487" i="4"/>
  <c r="H473" i="4"/>
  <c r="E473" i="4"/>
  <c r="H419" i="4"/>
  <c r="E419" i="4"/>
  <c r="H398" i="4"/>
  <c r="E398" i="4"/>
  <c r="H333" i="4"/>
  <c r="E333" i="4"/>
  <c r="H312" i="4"/>
  <c r="E312" i="4"/>
  <c r="H235" i="4"/>
  <c r="E235" i="4"/>
  <c r="H208" i="4"/>
  <c r="E208" i="4"/>
  <c r="H184" i="4"/>
  <c r="E184" i="4"/>
  <c r="H149" i="4"/>
  <c r="E149" i="4"/>
  <c r="H2842" i="4"/>
  <c r="X2842" i="4" s="1"/>
  <c r="E2842" i="4"/>
  <c r="H2840" i="4"/>
  <c r="E2840" i="4"/>
  <c r="H2839" i="4"/>
  <c r="E2839" i="4"/>
  <c r="H2836" i="4"/>
  <c r="E2836" i="4"/>
  <c r="H2833" i="4"/>
  <c r="E2833" i="4"/>
  <c r="H2817" i="4"/>
  <c r="E2817" i="4"/>
  <c r="H2750" i="4"/>
  <c r="E2750" i="4"/>
  <c r="H2728" i="4"/>
  <c r="E2728" i="4"/>
  <c r="H2704" i="4"/>
  <c r="E2704" i="4"/>
  <c r="H2683" i="4"/>
  <c r="E2683" i="4"/>
  <c r="H2635" i="4"/>
  <c r="E2635" i="4"/>
  <c r="H2608" i="4"/>
  <c r="E2608" i="4"/>
  <c r="H2488" i="4"/>
  <c r="E2488" i="4"/>
  <c r="E2428" i="4"/>
  <c r="H2366" i="4"/>
  <c r="E2366" i="4"/>
  <c r="H2194" i="4"/>
  <c r="E2194" i="4"/>
  <c r="H2112" i="4"/>
  <c r="E2112" i="4"/>
  <c r="H2011" i="4"/>
  <c r="E2011" i="4"/>
  <c r="H1987" i="4"/>
  <c r="E1987" i="4"/>
  <c r="H1737" i="4"/>
  <c r="E1737" i="4"/>
  <c r="H1659" i="4"/>
  <c r="E1659" i="4"/>
  <c r="H1433" i="4"/>
  <c r="E1433" i="4"/>
  <c r="H1309" i="4"/>
  <c r="E1309" i="4"/>
  <c r="H1214" i="4"/>
  <c r="E1214" i="4"/>
  <c r="H661" i="4"/>
  <c r="E661" i="4"/>
  <c r="H589" i="4"/>
  <c r="E589" i="4"/>
  <c r="H556" i="4"/>
  <c r="E556" i="4"/>
  <c r="H107" i="4"/>
  <c r="E107" i="4"/>
  <c r="H45" i="4"/>
  <c r="E45" i="4"/>
  <c r="H68" i="4"/>
  <c r="S2937" i="5"/>
  <c r="R2937" i="5"/>
  <c r="Y2935" i="5"/>
  <c r="Y2933" i="5"/>
  <c r="Y2921" i="5"/>
  <c r="Y2919" i="5"/>
  <c r="N2915" i="5"/>
  <c r="C2909" i="5"/>
  <c r="B2909" i="5"/>
  <c r="Z2885" i="5"/>
  <c r="W2883" i="5"/>
  <c r="V2883" i="5"/>
  <c r="T2883" i="5"/>
  <c r="S2883" i="5"/>
  <c r="R2883" i="5"/>
  <c r="Q2883" i="5"/>
  <c r="P2883" i="5"/>
  <c r="X2883" i="5" s="1"/>
  <c r="O2883" i="5"/>
  <c r="N2883" i="5"/>
  <c r="L2883" i="5"/>
  <c r="K2883" i="5"/>
  <c r="J2883" i="5"/>
  <c r="I2883" i="5"/>
  <c r="G2883" i="5"/>
  <c r="F2883" i="5"/>
  <c r="E2883" i="5"/>
  <c r="W2882" i="5"/>
  <c r="V2882" i="5"/>
  <c r="T2882" i="5"/>
  <c r="S2882" i="5"/>
  <c r="R2882" i="5"/>
  <c r="Q2882" i="5"/>
  <c r="P2882" i="5"/>
  <c r="X2882" i="5" s="1"/>
  <c r="O2882" i="5"/>
  <c r="N2882" i="5"/>
  <c r="L2882" i="5"/>
  <c r="K2882" i="5"/>
  <c r="J2882" i="5"/>
  <c r="I2882" i="5"/>
  <c r="G2882" i="5"/>
  <c r="F2882" i="5"/>
  <c r="E2882" i="5"/>
  <c r="W2881" i="5"/>
  <c r="V2881" i="5"/>
  <c r="T2881" i="5"/>
  <c r="S2881" i="5"/>
  <c r="R2881" i="5"/>
  <c r="Q2881" i="5"/>
  <c r="P2881" i="5"/>
  <c r="X2881" i="5" s="1"/>
  <c r="Z2881" i="5" s="1"/>
  <c r="O2881" i="5"/>
  <c r="N2881" i="5"/>
  <c r="L2881" i="5"/>
  <c r="K2881" i="5"/>
  <c r="J2881" i="5"/>
  <c r="I2881" i="5"/>
  <c r="G2881" i="5"/>
  <c r="F2881" i="5"/>
  <c r="E2881" i="5"/>
  <c r="T2880" i="5"/>
  <c r="S2880" i="5"/>
  <c r="R2880" i="5"/>
  <c r="Q2880" i="5"/>
  <c r="P2880" i="5"/>
  <c r="O2880" i="5"/>
  <c r="N2880" i="5"/>
  <c r="L2880" i="5"/>
  <c r="K2880" i="5"/>
  <c r="J2880" i="5"/>
  <c r="I2880" i="5"/>
  <c r="H2880" i="5"/>
  <c r="X2880" i="5" s="1"/>
  <c r="Z2880" i="5" s="1"/>
  <c r="G2880" i="5"/>
  <c r="F2880" i="5"/>
  <c r="W2879" i="5"/>
  <c r="V2879" i="5"/>
  <c r="T2879" i="5"/>
  <c r="S2879" i="5"/>
  <c r="R2879" i="5"/>
  <c r="Q2879" i="5"/>
  <c r="O2879" i="5"/>
  <c r="N2879" i="5"/>
  <c r="L2879" i="5"/>
  <c r="K2879" i="5"/>
  <c r="J2879" i="5"/>
  <c r="I2879" i="5"/>
  <c r="H2879" i="5"/>
  <c r="X2879" i="5" s="1"/>
  <c r="G2879" i="5"/>
  <c r="F2879" i="5"/>
  <c r="E2879" i="5"/>
  <c r="W2878" i="5"/>
  <c r="V2878" i="5"/>
  <c r="T2878" i="5"/>
  <c r="S2878" i="5"/>
  <c r="R2878" i="5"/>
  <c r="Q2878" i="5"/>
  <c r="P2878" i="5"/>
  <c r="O2878" i="5"/>
  <c r="N2878" i="5"/>
  <c r="L2878" i="5"/>
  <c r="K2878" i="5"/>
  <c r="J2878" i="5"/>
  <c r="I2878" i="5"/>
  <c r="H2878" i="5"/>
  <c r="X2878" i="5" s="1"/>
  <c r="G2878" i="5"/>
  <c r="F2878" i="5"/>
  <c r="E2878" i="5"/>
  <c r="W2877" i="5"/>
  <c r="V2877" i="5"/>
  <c r="T2877" i="5"/>
  <c r="S2877" i="5"/>
  <c r="R2877" i="5"/>
  <c r="Q2877" i="5"/>
  <c r="O2877" i="5"/>
  <c r="N2877" i="5"/>
  <c r="L2877" i="5"/>
  <c r="K2877" i="5"/>
  <c r="J2877" i="5"/>
  <c r="I2877" i="5"/>
  <c r="H2877" i="5"/>
  <c r="X2877" i="5" s="1"/>
  <c r="G2877" i="5"/>
  <c r="F2877" i="5"/>
  <c r="E2877" i="5"/>
  <c r="T2876" i="5"/>
  <c r="S2876" i="5"/>
  <c r="R2876" i="5"/>
  <c r="Q2876" i="5"/>
  <c r="P2876" i="5"/>
  <c r="O2876" i="5"/>
  <c r="N2876" i="5"/>
  <c r="L2876" i="5"/>
  <c r="K2876" i="5"/>
  <c r="J2876" i="5"/>
  <c r="I2876" i="5"/>
  <c r="H2876" i="5"/>
  <c r="X2876" i="5" s="1"/>
  <c r="Z2876" i="5" s="1"/>
  <c r="G2876" i="5"/>
  <c r="F2876" i="5"/>
  <c r="E2876" i="5"/>
  <c r="T2875" i="5"/>
  <c r="P2875" i="5"/>
  <c r="O2875" i="5"/>
  <c r="N2875" i="5"/>
  <c r="L2875" i="5"/>
  <c r="H2875" i="5"/>
  <c r="X2875" i="5" s="1"/>
  <c r="Z2875" i="5" s="1"/>
  <c r="G2875" i="5"/>
  <c r="F2875" i="5"/>
  <c r="E2875" i="5"/>
  <c r="T2874" i="5"/>
  <c r="O2874" i="5"/>
  <c r="N2874" i="5"/>
  <c r="L2874" i="5"/>
  <c r="H2874" i="5"/>
  <c r="X2874" i="5" s="1"/>
  <c r="G2874" i="5"/>
  <c r="E2874" i="5"/>
  <c r="H2873" i="5"/>
  <c r="X2873" i="5" s="1"/>
  <c r="E2873" i="5"/>
  <c r="Z2872" i="5"/>
  <c r="T2872" i="5"/>
  <c r="P2872" i="5"/>
  <c r="O2872" i="5"/>
  <c r="N2872" i="5"/>
  <c r="L2872" i="5"/>
  <c r="H2872" i="5"/>
  <c r="X2872" i="5" s="1"/>
  <c r="G2872" i="5"/>
  <c r="F2872" i="5"/>
  <c r="E2872" i="5"/>
  <c r="T2871" i="5"/>
  <c r="P2871" i="5"/>
  <c r="O2871" i="5"/>
  <c r="N2871" i="5"/>
  <c r="L2871" i="5"/>
  <c r="H2871" i="5"/>
  <c r="X2871" i="5" s="1"/>
  <c r="G2871" i="5"/>
  <c r="F2871" i="5"/>
  <c r="E2871" i="5"/>
  <c r="T2870" i="5"/>
  <c r="P2870" i="5"/>
  <c r="O2870" i="5"/>
  <c r="N2870" i="5"/>
  <c r="L2870" i="5"/>
  <c r="H2870" i="5"/>
  <c r="X2870" i="5" s="1"/>
  <c r="G2870" i="5"/>
  <c r="E2870" i="5"/>
  <c r="T2869" i="5"/>
  <c r="O2869" i="5"/>
  <c r="L2869" i="5"/>
  <c r="H2869" i="5"/>
  <c r="X2869" i="5" s="1"/>
  <c r="G2869" i="5"/>
  <c r="E2869" i="5"/>
  <c r="W2868" i="5"/>
  <c r="V2868" i="5"/>
  <c r="T2868" i="5"/>
  <c r="S2868" i="5"/>
  <c r="R2868" i="5"/>
  <c r="Q2868" i="5"/>
  <c r="O2868" i="5"/>
  <c r="N2868" i="5"/>
  <c r="L2868" i="5"/>
  <c r="K2868" i="5"/>
  <c r="J2868" i="5"/>
  <c r="I2868" i="5"/>
  <c r="H2868" i="5"/>
  <c r="X2868" i="5" s="1"/>
  <c r="G2868" i="5"/>
  <c r="F2868" i="5"/>
  <c r="E2868" i="5"/>
  <c r="H2867" i="5"/>
  <c r="X2867" i="5" s="1"/>
  <c r="Z2867" i="5" s="1"/>
  <c r="E2867" i="5"/>
  <c r="W2866" i="5"/>
  <c r="V2866" i="5"/>
  <c r="T2866" i="5"/>
  <c r="S2866" i="5"/>
  <c r="R2866" i="5"/>
  <c r="Q2866" i="5"/>
  <c r="O2866" i="5"/>
  <c r="N2866" i="5"/>
  <c r="L2866" i="5"/>
  <c r="K2866" i="5"/>
  <c r="J2866" i="5"/>
  <c r="I2866" i="5"/>
  <c r="H2866" i="5"/>
  <c r="X2866" i="5" s="1"/>
  <c r="G2866" i="5"/>
  <c r="F2866" i="5"/>
  <c r="E2866" i="5"/>
  <c r="Y2865" i="5"/>
  <c r="W2865" i="5"/>
  <c r="V2865" i="5"/>
  <c r="T2865" i="5"/>
  <c r="S2865" i="5"/>
  <c r="R2865" i="5"/>
  <c r="Q2865" i="5"/>
  <c r="O2865" i="5"/>
  <c r="N2865" i="5"/>
  <c r="L2865" i="5"/>
  <c r="K2865" i="5"/>
  <c r="J2865" i="5"/>
  <c r="I2865" i="5"/>
  <c r="H2865" i="5"/>
  <c r="X2865" i="5" s="1"/>
  <c r="Z2865" i="5" s="1"/>
  <c r="G2865" i="5"/>
  <c r="F2865" i="5"/>
  <c r="E2865" i="5"/>
  <c r="T2864" i="5"/>
  <c r="O2864" i="5"/>
  <c r="N2864" i="5"/>
  <c r="L2864" i="5"/>
  <c r="H2864" i="5"/>
  <c r="X2864" i="5" s="1"/>
  <c r="G2864" i="5"/>
  <c r="F2864" i="5"/>
  <c r="E2864" i="5"/>
  <c r="W2863" i="5"/>
  <c r="V2863" i="5"/>
  <c r="T2863" i="5"/>
  <c r="S2863" i="5"/>
  <c r="R2863" i="5"/>
  <c r="Q2863" i="5"/>
  <c r="P2863" i="5"/>
  <c r="O2863" i="5"/>
  <c r="N2863" i="5"/>
  <c r="L2863" i="5"/>
  <c r="K2863" i="5"/>
  <c r="J2863" i="5"/>
  <c r="I2863" i="5"/>
  <c r="H2863" i="5"/>
  <c r="X2863" i="5" s="1"/>
  <c r="G2863" i="5"/>
  <c r="F2863" i="5"/>
  <c r="E2863" i="5"/>
  <c r="T2862" i="5"/>
  <c r="P2862" i="5"/>
  <c r="O2862" i="5"/>
  <c r="N2862" i="5"/>
  <c r="L2862" i="5"/>
  <c r="H2862" i="5"/>
  <c r="X2862" i="5" s="1"/>
  <c r="G2862" i="5"/>
  <c r="F2862" i="5"/>
  <c r="E2862" i="5"/>
  <c r="T2861" i="5"/>
  <c r="O2861" i="5"/>
  <c r="N2861" i="5"/>
  <c r="L2861" i="5"/>
  <c r="H2861" i="5"/>
  <c r="X2861" i="5" s="1"/>
  <c r="G2861" i="5"/>
  <c r="F2861" i="5"/>
  <c r="E2861" i="5"/>
  <c r="W2860" i="5"/>
  <c r="V2860" i="5"/>
  <c r="T2860" i="5"/>
  <c r="S2860" i="5"/>
  <c r="R2860" i="5"/>
  <c r="Q2860" i="5"/>
  <c r="P2860" i="5"/>
  <c r="O2860" i="5"/>
  <c r="N2860" i="5"/>
  <c r="L2860" i="5"/>
  <c r="K2860" i="5"/>
  <c r="J2860" i="5"/>
  <c r="I2860" i="5"/>
  <c r="H2860" i="5"/>
  <c r="X2860" i="5" s="1"/>
  <c r="Z2860" i="5" s="1"/>
  <c r="G2860" i="5"/>
  <c r="F2860" i="5"/>
  <c r="E2860" i="5"/>
  <c r="W2859" i="5"/>
  <c r="V2859" i="5"/>
  <c r="T2859" i="5"/>
  <c r="S2859" i="5"/>
  <c r="R2859" i="5"/>
  <c r="Q2859" i="5"/>
  <c r="P2859" i="5"/>
  <c r="O2859" i="5"/>
  <c r="N2859" i="5"/>
  <c r="L2859" i="5"/>
  <c r="K2859" i="5"/>
  <c r="J2859" i="5"/>
  <c r="I2859" i="5"/>
  <c r="H2859" i="5"/>
  <c r="X2859" i="5" s="1"/>
  <c r="Z2859" i="5" s="1"/>
  <c r="G2859" i="5"/>
  <c r="F2859" i="5"/>
  <c r="E2859" i="5"/>
  <c r="W2858" i="5"/>
  <c r="V2858" i="5"/>
  <c r="T2858" i="5"/>
  <c r="S2858" i="5"/>
  <c r="R2858" i="5"/>
  <c r="Q2858" i="5"/>
  <c r="P2858" i="5"/>
  <c r="O2858" i="5"/>
  <c r="N2858" i="5"/>
  <c r="L2858" i="5"/>
  <c r="K2858" i="5"/>
  <c r="J2858" i="5"/>
  <c r="I2858" i="5"/>
  <c r="H2858" i="5"/>
  <c r="X2858" i="5" s="1"/>
  <c r="Z2858" i="5" s="1"/>
  <c r="G2858" i="5"/>
  <c r="F2858" i="5"/>
  <c r="E2858" i="5"/>
  <c r="W2857" i="5"/>
  <c r="V2857" i="5"/>
  <c r="T2857" i="5"/>
  <c r="S2857" i="5"/>
  <c r="R2857" i="5"/>
  <c r="Q2857" i="5"/>
  <c r="P2857" i="5"/>
  <c r="O2857" i="5"/>
  <c r="L2857" i="5"/>
  <c r="K2857" i="5"/>
  <c r="J2857" i="5"/>
  <c r="I2857" i="5"/>
  <c r="H2857" i="5"/>
  <c r="X2857" i="5" s="1"/>
  <c r="Z2857" i="5" s="1"/>
  <c r="G2857" i="5"/>
  <c r="F2857" i="5"/>
  <c r="E2857" i="5"/>
  <c r="W2856" i="5"/>
  <c r="V2856" i="5"/>
  <c r="T2856" i="5"/>
  <c r="S2856" i="5"/>
  <c r="R2856" i="5"/>
  <c r="Q2856" i="5"/>
  <c r="O2856" i="5"/>
  <c r="N2856" i="5"/>
  <c r="L2856" i="5"/>
  <c r="K2856" i="5"/>
  <c r="J2856" i="5"/>
  <c r="I2856" i="5"/>
  <c r="H2856" i="5"/>
  <c r="X2856" i="5" s="1"/>
  <c r="G2856" i="5"/>
  <c r="F2856" i="5"/>
  <c r="E2856" i="5"/>
  <c r="W2855" i="5"/>
  <c r="V2855" i="5"/>
  <c r="T2855" i="5"/>
  <c r="S2855" i="5"/>
  <c r="R2855" i="5"/>
  <c r="Q2855" i="5"/>
  <c r="P2855" i="5"/>
  <c r="O2855" i="5"/>
  <c r="N2855" i="5"/>
  <c r="L2855" i="5"/>
  <c r="K2855" i="5"/>
  <c r="J2855" i="5"/>
  <c r="I2855" i="5"/>
  <c r="H2855" i="5"/>
  <c r="X2855" i="5" s="1"/>
  <c r="G2855" i="5"/>
  <c r="F2855" i="5"/>
  <c r="E2855" i="5"/>
  <c r="W2854" i="5"/>
  <c r="V2854" i="5"/>
  <c r="T2854" i="5"/>
  <c r="S2854" i="5"/>
  <c r="R2854" i="5"/>
  <c r="Q2854" i="5"/>
  <c r="P2854" i="5"/>
  <c r="O2854" i="5"/>
  <c r="N2854" i="5"/>
  <c r="L2854" i="5"/>
  <c r="K2854" i="5"/>
  <c r="J2854" i="5"/>
  <c r="I2854" i="5"/>
  <c r="G2854" i="5"/>
  <c r="F2854" i="5"/>
  <c r="E2854" i="5"/>
  <c r="T2853" i="5"/>
  <c r="O2853" i="5"/>
  <c r="N2853" i="5"/>
  <c r="L2853" i="5"/>
  <c r="H2853" i="5"/>
  <c r="X2853" i="5" s="1"/>
  <c r="Z2853" i="5" s="1"/>
  <c r="G2853" i="5"/>
  <c r="F2853" i="5"/>
  <c r="E2853" i="5"/>
  <c r="T2852" i="5"/>
  <c r="S2852" i="5"/>
  <c r="O2852" i="5"/>
  <c r="N2852" i="5"/>
  <c r="L2852" i="5"/>
  <c r="H2852" i="5"/>
  <c r="X2852" i="5" s="1"/>
  <c r="G2852" i="5"/>
  <c r="F2852" i="5"/>
  <c r="E2852" i="5"/>
  <c r="T2851" i="5"/>
  <c r="S2851" i="5"/>
  <c r="O2851" i="5"/>
  <c r="N2851" i="5"/>
  <c r="L2851" i="5"/>
  <c r="H2851" i="5"/>
  <c r="X2851" i="5" s="1"/>
  <c r="G2851" i="5"/>
  <c r="F2851" i="5"/>
  <c r="E2851" i="5"/>
  <c r="T2850" i="5"/>
  <c r="O2850" i="5"/>
  <c r="N2850" i="5"/>
  <c r="L2850" i="5"/>
  <c r="H2850" i="5"/>
  <c r="X2850" i="5" s="1"/>
  <c r="G2850" i="5"/>
  <c r="F2850" i="5"/>
  <c r="E2850" i="5"/>
  <c r="T2849" i="5"/>
  <c r="S2849" i="5"/>
  <c r="P2849" i="5"/>
  <c r="O2849" i="5"/>
  <c r="N2849" i="5"/>
  <c r="L2849" i="5"/>
  <c r="H2849" i="5"/>
  <c r="X2849" i="5" s="1"/>
  <c r="G2849" i="5"/>
  <c r="F2849" i="5"/>
  <c r="E2849" i="5"/>
  <c r="T2848" i="5"/>
  <c r="P2848" i="5"/>
  <c r="O2848" i="5"/>
  <c r="N2848" i="5"/>
  <c r="L2848" i="5"/>
  <c r="H2848" i="5"/>
  <c r="X2848" i="5" s="1"/>
  <c r="G2848" i="5"/>
  <c r="F2848" i="5"/>
  <c r="E2848" i="5"/>
  <c r="W2847" i="5"/>
  <c r="V2847" i="5"/>
  <c r="T2847" i="5"/>
  <c r="S2847" i="5"/>
  <c r="R2847" i="5"/>
  <c r="Q2847" i="5"/>
  <c r="P2847" i="5"/>
  <c r="O2847" i="5"/>
  <c r="N2847" i="5"/>
  <c r="L2847" i="5"/>
  <c r="K2847" i="5"/>
  <c r="J2847" i="5"/>
  <c r="I2847" i="5"/>
  <c r="H2847" i="5"/>
  <c r="X2847" i="5" s="1"/>
  <c r="G2847" i="5"/>
  <c r="F2847" i="5"/>
  <c r="E2847" i="5"/>
  <c r="T2846" i="5"/>
  <c r="S2846" i="5"/>
  <c r="P2846" i="5"/>
  <c r="O2846" i="5"/>
  <c r="N2846" i="5"/>
  <c r="L2846" i="5"/>
  <c r="H2846" i="5"/>
  <c r="X2846" i="5" s="1"/>
  <c r="Z2846" i="5" s="1"/>
  <c r="G2846" i="5"/>
  <c r="F2846" i="5"/>
  <c r="E2846" i="5"/>
  <c r="T2845" i="5"/>
  <c r="P2845" i="5"/>
  <c r="O2845" i="5"/>
  <c r="N2845" i="5"/>
  <c r="L2845" i="5"/>
  <c r="H2845" i="5"/>
  <c r="X2845" i="5" s="1"/>
  <c r="G2845" i="5"/>
  <c r="F2845" i="5"/>
  <c r="E2845" i="5"/>
  <c r="T2844" i="5"/>
  <c r="S2844" i="5"/>
  <c r="O2844" i="5"/>
  <c r="N2844" i="5"/>
  <c r="L2844" i="5"/>
  <c r="H2844" i="5"/>
  <c r="X2844" i="5" s="1"/>
  <c r="G2844" i="5"/>
  <c r="F2844" i="5"/>
  <c r="E2844" i="5"/>
  <c r="T2843" i="5"/>
  <c r="S2843" i="5"/>
  <c r="O2843" i="5"/>
  <c r="N2843" i="5"/>
  <c r="L2843" i="5"/>
  <c r="H2843" i="5"/>
  <c r="X2843" i="5" s="1"/>
  <c r="G2843" i="5"/>
  <c r="F2843" i="5"/>
  <c r="E2843" i="5"/>
  <c r="Y2842" i="5"/>
  <c r="W2842" i="5"/>
  <c r="V2842" i="5"/>
  <c r="T2842" i="5"/>
  <c r="S2842" i="5"/>
  <c r="R2842" i="5"/>
  <c r="Q2842" i="5"/>
  <c r="O2842" i="5"/>
  <c r="N2842" i="5"/>
  <c r="L2842" i="5"/>
  <c r="K2842" i="5"/>
  <c r="J2842" i="5"/>
  <c r="I2842" i="5"/>
  <c r="H2842" i="5"/>
  <c r="X2842" i="5" s="1"/>
  <c r="G2842" i="5"/>
  <c r="F2842" i="5"/>
  <c r="E2842" i="5"/>
  <c r="X2841" i="5"/>
  <c r="Z2841" i="5" s="1"/>
  <c r="H2841" i="5"/>
  <c r="E2841" i="5"/>
  <c r="H2840" i="5"/>
  <c r="X2840" i="5" s="1"/>
  <c r="Z2840" i="5" s="1"/>
  <c r="E2840" i="5"/>
  <c r="X2839" i="5"/>
  <c r="H2839" i="5"/>
  <c r="E2839" i="5"/>
  <c r="H2838" i="5"/>
  <c r="X2838" i="5" s="1"/>
  <c r="Z2838" i="5" s="1"/>
  <c r="E2838" i="5"/>
  <c r="X2837" i="5"/>
  <c r="Z2837" i="5" s="1"/>
  <c r="H2837" i="5"/>
  <c r="E2837" i="5"/>
  <c r="H2836" i="5"/>
  <c r="X2836" i="5" s="1"/>
  <c r="Z2836" i="5" s="1"/>
  <c r="E2836" i="5"/>
  <c r="X2835" i="5"/>
  <c r="H2835" i="5"/>
  <c r="E2835" i="5"/>
  <c r="H2834" i="5"/>
  <c r="X2834" i="5" s="1"/>
  <c r="Z2834" i="5" s="1"/>
  <c r="E2834" i="5"/>
  <c r="X2833" i="5"/>
  <c r="Z2833" i="5" s="1"/>
  <c r="H2833" i="5"/>
  <c r="E2833" i="5"/>
  <c r="H2832" i="5"/>
  <c r="X2832" i="5" s="1"/>
  <c r="Z2832" i="5" s="1"/>
  <c r="E2832" i="5"/>
  <c r="X2831" i="5"/>
  <c r="H2831" i="5"/>
  <c r="E2831" i="5"/>
  <c r="H2830" i="5"/>
  <c r="X2830" i="5" s="1"/>
  <c r="Z2830" i="5" s="1"/>
  <c r="E2830" i="5"/>
  <c r="X2829" i="5"/>
  <c r="Z2829" i="5" s="1"/>
  <c r="H2829" i="5"/>
  <c r="E2829" i="5"/>
  <c r="H2828" i="5"/>
  <c r="X2828" i="5" s="1"/>
  <c r="Z2828" i="5" s="1"/>
  <c r="E2828" i="5"/>
  <c r="X2827" i="5"/>
  <c r="H2827" i="5"/>
  <c r="E2827" i="5"/>
  <c r="H2826" i="5"/>
  <c r="X2826" i="5" s="1"/>
  <c r="Z2826" i="5" s="1"/>
  <c r="E2826" i="5"/>
  <c r="X2825" i="5"/>
  <c r="Z2825" i="5" s="1"/>
  <c r="H2825" i="5"/>
  <c r="E2825" i="5"/>
  <c r="H2824" i="5"/>
  <c r="X2824" i="5" s="1"/>
  <c r="Z2824" i="5" s="1"/>
  <c r="E2824" i="5"/>
  <c r="X2823" i="5"/>
  <c r="H2823" i="5"/>
  <c r="E2823" i="5"/>
  <c r="Y2822" i="5"/>
  <c r="W2822" i="5"/>
  <c r="V2822" i="5"/>
  <c r="T2822" i="5"/>
  <c r="S2822" i="5"/>
  <c r="R2822" i="5"/>
  <c r="Q2822" i="5"/>
  <c r="O2822" i="5"/>
  <c r="N2822" i="5"/>
  <c r="L2822" i="5"/>
  <c r="K2822" i="5"/>
  <c r="J2822" i="5"/>
  <c r="I2822" i="5"/>
  <c r="H2822" i="5"/>
  <c r="X2822" i="5" s="1"/>
  <c r="Z2822" i="5" s="1"/>
  <c r="G2822" i="5"/>
  <c r="E2822" i="5"/>
  <c r="Y2821" i="5"/>
  <c r="W2821" i="5"/>
  <c r="V2821" i="5"/>
  <c r="T2821" i="5"/>
  <c r="S2821" i="5"/>
  <c r="R2821" i="5"/>
  <c r="Q2821" i="5"/>
  <c r="O2821" i="5"/>
  <c r="N2821" i="5"/>
  <c r="L2821" i="5"/>
  <c r="K2821" i="5"/>
  <c r="J2821" i="5"/>
  <c r="I2821" i="5"/>
  <c r="H2821" i="5"/>
  <c r="X2821" i="5" s="1"/>
  <c r="G2821" i="5"/>
  <c r="E2821" i="5"/>
  <c r="T2820" i="5"/>
  <c r="S2820" i="5"/>
  <c r="R2820" i="5"/>
  <c r="Q2820" i="5"/>
  <c r="O2820" i="5"/>
  <c r="N2820" i="5"/>
  <c r="L2820" i="5"/>
  <c r="K2820" i="5"/>
  <c r="J2820" i="5"/>
  <c r="I2820" i="5"/>
  <c r="H2820" i="5"/>
  <c r="X2820" i="5" s="1"/>
  <c r="G2820" i="5"/>
  <c r="E2820" i="5"/>
  <c r="T2819" i="5"/>
  <c r="S2819" i="5"/>
  <c r="R2819" i="5"/>
  <c r="Q2819" i="5"/>
  <c r="O2819" i="5"/>
  <c r="N2819" i="5"/>
  <c r="L2819" i="5"/>
  <c r="K2819" i="5"/>
  <c r="J2819" i="5"/>
  <c r="I2819" i="5"/>
  <c r="H2819" i="5"/>
  <c r="X2819" i="5" s="1"/>
  <c r="G2819" i="5"/>
  <c r="F2819" i="5"/>
  <c r="E2819" i="5"/>
  <c r="H2818" i="5"/>
  <c r="X2818" i="5" s="1"/>
  <c r="Z2818" i="5" s="1"/>
  <c r="E2818" i="5"/>
  <c r="X2817" i="5"/>
  <c r="Z2817" i="5" s="1"/>
  <c r="H2817" i="5"/>
  <c r="E2817" i="5"/>
  <c r="H2816" i="5"/>
  <c r="X2816" i="5" s="1"/>
  <c r="Z2816" i="5" s="1"/>
  <c r="E2816" i="5"/>
  <c r="X2815" i="5"/>
  <c r="H2815" i="5"/>
  <c r="E2815" i="5"/>
  <c r="H2814" i="5"/>
  <c r="X2814" i="5" s="1"/>
  <c r="Z2814" i="5" s="1"/>
  <c r="E2814" i="5"/>
  <c r="X2813" i="5"/>
  <c r="Z2813" i="5" s="1"/>
  <c r="H2813" i="5"/>
  <c r="E2813" i="5"/>
  <c r="H2812" i="5"/>
  <c r="X2812" i="5" s="1"/>
  <c r="Z2812" i="5" s="1"/>
  <c r="E2812" i="5"/>
  <c r="X2811" i="5"/>
  <c r="H2811" i="5"/>
  <c r="E2811" i="5"/>
  <c r="H2810" i="5"/>
  <c r="X2810" i="5" s="1"/>
  <c r="Z2810" i="5" s="1"/>
  <c r="E2810" i="5"/>
  <c r="Y2809" i="5"/>
  <c r="W2809" i="5"/>
  <c r="V2809" i="5"/>
  <c r="S2809" i="5"/>
  <c r="R2809" i="5"/>
  <c r="Q2809" i="5"/>
  <c r="O2809" i="5"/>
  <c r="N2809" i="5"/>
  <c r="L2809" i="5"/>
  <c r="K2809" i="5"/>
  <c r="J2809" i="5"/>
  <c r="I2809" i="5"/>
  <c r="H2809" i="5"/>
  <c r="X2809" i="5" s="1"/>
  <c r="G2809" i="5"/>
  <c r="E2809" i="5"/>
  <c r="S2808" i="5"/>
  <c r="R2808" i="5"/>
  <c r="Q2808" i="5"/>
  <c r="O2808" i="5"/>
  <c r="N2808" i="5"/>
  <c r="L2808" i="5"/>
  <c r="K2808" i="5"/>
  <c r="J2808" i="5"/>
  <c r="I2808" i="5"/>
  <c r="H2808" i="5"/>
  <c r="X2808" i="5" s="1"/>
  <c r="G2808" i="5"/>
  <c r="E2808" i="5"/>
  <c r="T2807" i="5"/>
  <c r="S2807" i="5"/>
  <c r="R2807" i="5"/>
  <c r="Q2807" i="5"/>
  <c r="O2807" i="5"/>
  <c r="L2807" i="5"/>
  <c r="K2807" i="5"/>
  <c r="J2807" i="5"/>
  <c r="I2807" i="5"/>
  <c r="H2807" i="5"/>
  <c r="X2807" i="5" s="1"/>
  <c r="G2807" i="5"/>
  <c r="E2807" i="5"/>
  <c r="Y2806" i="5"/>
  <c r="W2806" i="5"/>
  <c r="V2806" i="5"/>
  <c r="T2806" i="5"/>
  <c r="S2806" i="5"/>
  <c r="R2806" i="5"/>
  <c r="Q2806" i="5"/>
  <c r="O2806" i="5"/>
  <c r="N2806" i="5"/>
  <c r="L2806" i="5"/>
  <c r="K2806" i="5"/>
  <c r="J2806" i="5"/>
  <c r="I2806" i="5"/>
  <c r="H2806" i="5"/>
  <c r="X2806" i="5" s="1"/>
  <c r="G2806" i="5"/>
  <c r="E2806" i="5"/>
  <c r="Y2805" i="5"/>
  <c r="W2805" i="5"/>
  <c r="V2805" i="5"/>
  <c r="T2805" i="5"/>
  <c r="S2805" i="5"/>
  <c r="R2805" i="5"/>
  <c r="Q2805" i="5"/>
  <c r="O2805" i="5"/>
  <c r="N2805" i="5"/>
  <c r="L2805" i="5"/>
  <c r="K2805" i="5"/>
  <c r="J2805" i="5"/>
  <c r="I2805" i="5"/>
  <c r="H2805" i="5"/>
  <c r="X2805" i="5" s="1"/>
  <c r="G2805" i="5"/>
  <c r="E2805" i="5"/>
  <c r="Y2804" i="5"/>
  <c r="W2804" i="5"/>
  <c r="V2804" i="5"/>
  <c r="T2804" i="5"/>
  <c r="S2804" i="5"/>
  <c r="R2804" i="5"/>
  <c r="Q2804" i="5"/>
  <c r="O2804" i="5"/>
  <c r="N2804" i="5"/>
  <c r="L2804" i="5"/>
  <c r="K2804" i="5"/>
  <c r="J2804" i="5"/>
  <c r="I2804" i="5"/>
  <c r="H2804" i="5"/>
  <c r="X2804" i="5" s="1"/>
  <c r="G2804" i="5"/>
  <c r="F2804" i="5"/>
  <c r="E2804" i="5"/>
  <c r="Y2803" i="5"/>
  <c r="W2803" i="5"/>
  <c r="V2803" i="5"/>
  <c r="S2803" i="5"/>
  <c r="R2803" i="5"/>
  <c r="Q2803" i="5"/>
  <c r="O2803" i="5"/>
  <c r="N2803" i="5"/>
  <c r="L2803" i="5"/>
  <c r="K2803" i="5"/>
  <c r="J2803" i="5"/>
  <c r="I2803" i="5"/>
  <c r="H2803" i="5"/>
  <c r="X2803" i="5" s="1"/>
  <c r="G2803" i="5"/>
  <c r="F2803" i="5"/>
  <c r="E2803" i="5"/>
  <c r="Y2802" i="5"/>
  <c r="W2802" i="5"/>
  <c r="V2802" i="5"/>
  <c r="T2802" i="5"/>
  <c r="S2802" i="5"/>
  <c r="R2802" i="5"/>
  <c r="Q2802" i="5"/>
  <c r="O2802" i="5"/>
  <c r="N2802" i="5"/>
  <c r="L2802" i="5"/>
  <c r="K2802" i="5"/>
  <c r="J2802" i="5"/>
  <c r="I2802" i="5"/>
  <c r="H2802" i="5"/>
  <c r="X2802" i="5" s="1"/>
  <c r="G2802" i="5"/>
  <c r="F2802" i="5"/>
  <c r="E2802" i="5"/>
  <c r="T2801" i="5"/>
  <c r="P2801" i="5"/>
  <c r="O2801" i="5"/>
  <c r="L2801" i="5"/>
  <c r="H2801" i="5"/>
  <c r="G2801" i="5"/>
  <c r="E2801" i="5"/>
  <c r="S2800" i="5"/>
  <c r="R2800" i="5"/>
  <c r="Q2800" i="5"/>
  <c r="O2800" i="5"/>
  <c r="N2800" i="5"/>
  <c r="L2800" i="5"/>
  <c r="K2800" i="5"/>
  <c r="J2800" i="5"/>
  <c r="I2800" i="5"/>
  <c r="H2800" i="5"/>
  <c r="X2800" i="5" s="1"/>
  <c r="G2800" i="5"/>
  <c r="E2800" i="5"/>
  <c r="Y2799" i="5"/>
  <c r="W2799" i="5"/>
  <c r="V2799" i="5"/>
  <c r="T2799" i="5"/>
  <c r="S2799" i="5"/>
  <c r="R2799" i="5"/>
  <c r="Q2799" i="5"/>
  <c r="O2799" i="5"/>
  <c r="N2799" i="5"/>
  <c r="L2799" i="5"/>
  <c r="K2799" i="5"/>
  <c r="J2799" i="5"/>
  <c r="I2799" i="5"/>
  <c r="H2799" i="5"/>
  <c r="X2799" i="5" s="1"/>
  <c r="G2799" i="5"/>
  <c r="F2799" i="5"/>
  <c r="E2799" i="5"/>
  <c r="Y2798" i="5"/>
  <c r="W2798" i="5"/>
  <c r="V2798" i="5"/>
  <c r="T2798" i="5"/>
  <c r="S2798" i="5"/>
  <c r="R2798" i="5"/>
  <c r="Q2798" i="5"/>
  <c r="O2798" i="5"/>
  <c r="N2798" i="5"/>
  <c r="L2798" i="5"/>
  <c r="K2798" i="5"/>
  <c r="J2798" i="5"/>
  <c r="I2798" i="5"/>
  <c r="H2798" i="5"/>
  <c r="X2798" i="5" s="1"/>
  <c r="G2798" i="5"/>
  <c r="F2798" i="5"/>
  <c r="E2798" i="5"/>
  <c r="H2797" i="5"/>
  <c r="X2797" i="5" s="1"/>
  <c r="E2797" i="5"/>
  <c r="H2796" i="5"/>
  <c r="X2796" i="5" s="1"/>
  <c r="Z2796" i="5" s="1"/>
  <c r="E2796" i="5"/>
  <c r="AB2795" i="5"/>
  <c r="AA2795" i="5"/>
  <c r="Y2795" i="5"/>
  <c r="W2795" i="5"/>
  <c r="V2795" i="5"/>
  <c r="U2795" i="5"/>
  <c r="T2795" i="5"/>
  <c r="S2795" i="5"/>
  <c r="R2795" i="5"/>
  <c r="Q2795" i="5"/>
  <c r="O2795" i="5"/>
  <c r="N2795" i="5"/>
  <c r="M2795" i="5"/>
  <c r="L2795" i="5"/>
  <c r="K2795" i="5"/>
  <c r="J2795" i="5"/>
  <c r="I2795" i="5"/>
  <c r="H2795" i="5"/>
  <c r="X2795" i="5" s="1"/>
  <c r="G2795" i="5"/>
  <c r="F2795" i="5"/>
  <c r="E2795" i="5"/>
  <c r="Y2794" i="5"/>
  <c r="W2794" i="5"/>
  <c r="V2794" i="5"/>
  <c r="T2794" i="5"/>
  <c r="S2794" i="5"/>
  <c r="R2794" i="5"/>
  <c r="Q2794" i="5"/>
  <c r="O2794" i="5"/>
  <c r="N2794" i="5"/>
  <c r="L2794" i="5"/>
  <c r="K2794" i="5"/>
  <c r="J2794" i="5"/>
  <c r="I2794" i="5"/>
  <c r="H2794" i="5"/>
  <c r="X2794" i="5" s="1"/>
  <c r="G2794" i="5"/>
  <c r="E2794" i="5"/>
  <c r="T2793" i="5"/>
  <c r="S2793" i="5"/>
  <c r="R2793" i="5"/>
  <c r="Q2793" i="5"/>
  <c r="O2793" i="5"/>
  <c r="N2793" i="5"/>
  <c r="L2793" i="5"/>
  <c r="K2793" i="5"/>
  <c r="J2793" i="5"/>
  <c r="I2793" i="5"/>
  <c r="H2793" i="5"/>
  <c r="X2793" i="5" s="1"/>
  <c r="G2793" i="5"/>
  <c r="E2793" i="5"/>
  <c r="T2792" i="5"/>
  <c r="P2792" i="5"/>
  <c r="O2792" i="5"/>
  <c r="N2792" i="5"/>
  <c r="L2792" i="5"/>
  <c r="H2792" i="5"/>
  <c r="G2792" i="5"/>
  <c r="E2792" i="5"/>
  <c r="T2791" i="5"/>
  <c r="P2791" i="5"/>
  <c r="O2791" i="5"/>
  <c r="N2791" i="5"/>
  <c r="L2791" i="5"/>
  <c r="H2791" i="5"/>
  <c r="X2791" i="5" s="1"/>
  <c r="G2791" i="5"/>
  <c r="F2791" i="5"/>
  <c r="E2791" i="5"/>
  <c r="T2790" i="5"/>
  <c r="O2790" i="5"/>
  <c r="N2790" i="5"/>
  <c r="L2790" i="5"/>
  <c r="H2790" i="5"/>
  <c r="X2790" i="5" s="1"/>
  <c r="G2790" i="5"/>
  <c r="F2790" i="5"/>
  <c r="E2790" i="5"/>
  <c r="Y2789" i="5"/>
  <c r="W2789" i="5"/>
  <c r="V2789" i="5"/>
  <c r="T2789" i="5"/>
  <c r="S2789" i="5"/>
  <c r="R2789" i="5"/>
  <c r="Q2789" i="5"/>
  <c r="O2789" i="5"/>
  <c r="N2789" i="5"/>
  <c r="L2789" i="5"/>
  <c r="K2789" i="5"/>
  <c r="J2789" i="5"/>
  <c r="I2789" i="5"/>
  <c r="H2789" i="5"/>
  <c r="X2789" i="5" s="1"/>
  <c r="G2789" i="5"/>
  <c r="F2789" i="5"/>
  <c r="E2789" i="5"/>
  <c r="Y2788" i="5"/>
  <c r="W2788" i="5"/>
  <c r="V2788" i="5"/>
  <c r="T2788" i="5"/>
  <c r="S2788" i="5"/>
  <c r="R2788" i="5"/>
  <c r="Q2788" i="5"/>
  <c r="O2788" i="5"/>
  <c r="N2788" i="5"/>
  <c r="L2788" i="5"/>
  <c r="K2788" i="5"/>
  <c r="J2788" i="5"/>
  <c r="I2788" i="5"/>
  <c r="H2788" i="5"/>
  <c r="X2788" i="5" s="1"/>
  <c r="G2788" i="5"/>
  <c r="E2788" i="5"/>
  <c r="Y2787" i="5"/>
  <c r="W2787" i="5"/>
  <c r="V2787" i="5"/>
  <c r="T2787" i="5"/>
  <c r="S2787" i="5"/>
  <c r="R2787" i="5"/>
  <c r="Q2787" i="5"/>
  <c r="O2787" i="5"/>
  <c r="N2787" i="5"/>
  <c r="L2787" i="5"/>
  <c r="K2787" i="5"/>
  <c r="J2787" i="5"/>
  <c r="I2787" i="5"/>
  <c r="H2787" i="5"/>
  <c r="X2787" i="5" s="1"/>
  <c r="G2787" i="5"/>
  <c r="E2787" i="5"/>
  <c r="T2786" i="5"/>
  <c r="O2786" i="5"/>
  <c r="N2786" i="5"/>
  <c r="L2786" i="5"/>
  <c r="H2786" i="5"/>
  <c r="X2786" i="5" s="1"/>
  <c r="G2786" i="5"/>
  <c r="F2786" i="5"/>
  <c r="E2786" i="5"/>
  <c r="T2785" i="5"/>
  <c r="O2785" i="5"/>
  <c r="N2785" i="5"/>
  <c r="L2785" i="5"/>
  <c r="H2785" i="5"/>
  <c r="X2785" i="5" s="1"/>
  <c r="G2785" i="5"/>
  <c r="F2785" i="5"/>
  <c r="E2785" i="5"/>
  <c r="T2784" i="5"/>
  <c r="S2784" i="5"/>
  <c r="O2784" i="5"/>
  <c r="N2784" i="5"/>
  <c r="L2784" i="5"/>
  <c r="H2784" i="5"/>
  <c r="X2784" i="5" s="1"/>
  <c r="G2784" i="5"/>
  <c r="F2784" i="5"/>
  <c r="E2784" i="5"/>
  <c r="T2783" i="5"/>
  <c r="O2783" i="5"/>
  <c r="N2783" i="5"/>
  <c r="L2783" i="5"/>
  <c r="H2783" i="5"/>
  <c r="X2783" i="5" s="1"/>
  <c r="G2783" i="5"/>
  <c r="F2783" i="5"/>
  <c r="E2783" i="5"/>
  <c r="T2782" i="5"/>
  <c r="O2782" i="5"/>
  <c r="L2782" i="5"/>
  <c r="H2782" i="5"/>
  <c r="X2782" i="5" s="1"/>
  <c r="G2782" i="5"/>
  <c r="F2782" i="5"/>
  <c r="E2782" i="5"/>
  <c r="T2781" i="5"/>
  <c r="O2781" i="5"/>
  <c r="N2781" i="5"/>
  <c r="L2781" i="5"/>
  <c r="H2781" i="5"/>
  <c r="X2781" i="5" s="1"/>
  <c r="G2781" i="5"/>
  <c r="F2781" i="5"/>
  <c r="E2781" i="5"/>
  <c r="W2780" i="5"/>
  <c r="V2780" i="5"/>
  <c r="T2780" i="5"/>
  <c r="S2780" i="5"/>
  <c r="R2780" i="5"/>
  <c r="Q2780" i="5"/>
  <c r="P2780" i="5"/>
  <c r="O2780" i="5"/>
  <c r="N2780" i="5"/>
  <c r="L2780" i="5"/>
  <c r="K2780" i="5"/>
  <c r="J2780" i="5"/>
  <c r="I2780" i="5"/>
  <c r="H2780" i="5"/>
  <c r="X2780" i="5" s="1"/>
  <c r="G2780" i="5"/>
  <c r="F2780" i="5"/>
  <c r="E2780" i="5"/>
  <c r="Y2779" i="5"/>
  <c r="W2779" i="5"/>
  <c r="V2779" i="5"/>
  <c r="T2779" i="5"/>
  <c r="S2779" i="5"/>
  <c r="R2779" i="5"/>
  <c r="Q2779" i="5"/>
  <c r="O2779" i="5"/>
  <c r="N2779" i="5"/>
  <c r="L2779" i="5"/>
  <c r="K2779" i="5"/>
  <c r="J2779" i="5"/>
  <c r="I2779" i="5"/>
  <c r="H2779" i="5"/>
  <c r="X2779" i="5" s="1"/>
  <c r="G2779" i="5"/>
  <c r="F2779" i="5"/>
  <c r="E2779" i="5"/>
  <c r="T2778" i="5"/>
  <c r="S2778" i="5"/>
  <c r="R2778" i="5"/>
  <c r="Q2778" i="5"/>
  <c r="O2778" i="5"/>
  <c r="N2778" i="5"/>
  <c r="L2778" i="5"/>
  <c r="K2778" i="5"/>
  <c r="J2778" i="5"/>
  <c r="I2778" i="5"/>
  <c r="H2778" i="5"/>
  <c r="X2778" i="5" s="1"/>
  <c r="G2778" i="5"/>
  <c r="F2778" i="5"/>
  <c r="E2778" i="5"/>
  <c r="T2777" i="5"/>
  <c r="O2777" i="5"/>
  <c r="N2777" i="5"/>
  <c r="L2777" i="5"/>
  <c r="H2777" i="5"/>
  <c r="X2777" i="5" s="1"/>
  <c r="G2777" i="5"/>
  <c r="F2777" i="5"/>
  <c r="E2777" i="5"/>
  <c r="W2776" i="5"/>
  <c r="V2776" i="5"/>
  <c r="T2776" i="5"/>
  <c r="S2776" i="5"/>
  <c r="R2776" i="5"/>
  <c r="Q2776" i="5"/>
  <c r="P2776" i="5"/>
  <c r="O2776" i="5"/>
  <c r="N2776" i="5"/>
  <c r="L2776" i="5"/>
  <c r="K2776" i="5"/>
  <c r="J2776" i="5"/>
  <c r="I2776" i="5"/>
  <c r="H2776" i="5"/>
  <c r="G2776" i="5"/>
  <c r="F2776" i="5"/>
  <c r="E2776" i="5"/>
  <c r="T2775" i="5"/>
  <c r="O2775" i="5"/>
  <c r="N2775" i="5"/>
  <c r="L2775" i="5"/>
  <c r="H2775" i="5"/>
  <c r="X2775" i="5" s="1"/>
  <c r="G2775" i="5"/>
  <c r="F2775" i="5"/>
  <c r="E2775" i="5"/>
  <c r="T2774" i="5"/>
  <c r="O2774" i="5"/>
  <c r="N2774" i="5"/>
  <c r="L2774" i="5"/>
  <c r="H2774" i="5"/>
  <c r="X2774" i="5" s="1"/>
  <c r="G2774" i="5"/>
  <c r="F2774" i="5"/>
  <c r="E2774" i="5"/>
  <c r="T2773" i="5"/>
  <c r="O2773" i="5"/>
  <c r="N2773" i="5"/>
  <c r="L2773" i="5"/>
  <c r="H2773" i="5"/>
  <c r="X2773" i="5" s="1"/>
  <c r="G2773" i="5"/>
  <c r="F2773" i="5"/>
  <c r="E2773" i="5"/>
  <c r="Z2773" i="5" s="1"/>
  <c r="T2772" i="5"/>
  <c r="O2772" i="5"/>
  <c r="L2772" i="5"/>
  <c r="H2772" i="5"/>
  <c r="X2772" i="5" s="1"/>
  <c r="Z2772" i="5" s="1"/>
  <c r="G2772" i="5"/>
  <c r="F2772" i="5"/>
  <c r="E2772" i="5"/>
  <c r="T2771" i="5"/>
  <c r="P2771" i="5"/>
  <c r="O2771" i="5"/>
  <c r="N2771" i="5"/>
  <c r="L2771" i="5"/>
  <c r="H2771" i="5"/>
  <c r="X2771" i="5" s="1"/>
  <c r="G2771" i="5"/>
  <c r="F2771" i="5"/>
  <c r="E2771" i="5"/>
  <c r="N2768" i="5"/>
  <c r="C2765" i="5"/>
  <c r="B2765" i="5"/>
  <c r="P2750" i="5"/>
  <c r="H2750" i="5"/>
  <c r="E2750" i="5"/>
  <c r="X2749" i="5"/>
  <c r="Y2748" i="5"/>
  <c r="T2748" i="5"/>
  <c r="S2748" i="5"/>
  <c r="R2748" i="5"/>
  <c r="Q2748" i="5"/>
  <c r="O2748" i="5"/>
  <c r="N2748" i="5"/>
  <c r="L2748" i="5"/>
  <c r="K2748" i="5"/>
  <c r="J2748" i="5"/>
  <c r="I2748" i="5"/>
  <c r="G2748" i="5"/>
  <c r="F2748" i="5"/>
  <c r="E2748" i="5"/>
  <c r="Y2747" i="5"/>
  <c r="T2747" i="5"/>
  <c r="S2747" i="5"/>
  <c r="R2747" i="5"/>
  <c r="Q2747" i="5"/>
  <c r="O2747" i="5"/>
  <c r="N2747" i="5"/>
  <c r="L2747" i="5"/>
  <c r="K2747" i="5"/>
  <c r="J2747" i="5"/>
  <c r="I2747" i="5"/>
  <c r="G2747" i="5"/>
  <c r="F2747" i="5"/>
  <c r="E2747" i="5"/>
  <c r="Y2746" i="5"/>
  <c r="T2746" i="5"/>
  <c r="S2746" i="5"/>
  <c r="R2746" i="5"/>
  <c r="Q2746" i="5"/>
  <c r="O2746" i="5"/>
  <c r="N2746" i="5"/>
  <c r="L2746" i="5"/>
  <c r="K2746" i="5"/>
  <c r="J2746" i="5"/>
  <c r="I2746" i="5"/>
  <c r="G2746" i="5"/>
  <c r="F2746" i="5"/>
  <c r="E2746" i="5"/>
  <c r="Y2745" i="5"/>
  <c r="T2745" i="5"/>
  <c r="S2745" i="5"/>
  <c r="R2745" i="5"/>
  <c r="Q2745" i="5"/>
  <c r="O2745" i="5"/>
  <c r="N2745" i="5"/>
  <c r="L2745" i="5"/>
  <c r="K2745" i="5"/>
  <c r="J2745" i="5"/>
  <c r="I2745" i="5"/>
  <c r="G2745" i="5"/>
  <c r="F2745" i="5"/>
  <c r="E2745" i="5"/>
  <c r="W2744" i="5"/>
  <c r="V2744" i="5"/>
  <c r="T2744" i="5"/>
  <c r="S2744" i="5"/>
  <c r="R2744" i="5"/>
  <c r="Q2744" i="5"/>
  <c r="O2744" i="5"/>
  <c r="N2744" i="5"/>
  <c r="L2744" i="5"/>
  <c r="K2744" i="5"/>
  <c r="J2744" i="5"/>
  <c r="I2744" i="5"/>
  <c r="G2744" i="5"/>
  <c r="F2744" i="5"/>
  <c r="E2744" i="5"/>
  <c r="W2743" i="5"/>
  <c r="V2743" i="5"/>
  <c r="T2743" i="5"/>
  <c r="S2743" i="5"/>
  <c r="R2743" i="5"/>
  <c r="Q2743" i="5"/>
  <c r="O2743" i="5"/>
  <c r="N2743" i="5"/>
  <c r="L2743" i="5"/>
  <c r="K2743" i="5"/>
  <c r="J2743" i="5"/>
  <c r="I2743" i="5"/>
  <c r="G2743" i="5"/>
  <c r="F2743" i="5"/>
  <c r="E2743" i="5"/>
  <c r="Y2742" i="5"/>
  <c r="T2742" i="5"/>
  <c r="S2742" i="5"/>
  <c r="R2742" i="5"/>
  <c r="Q2742" i="5"/>
  <c r="O2742" i="5"/>
  <c r="N2742" i="5"/>
  <c r="L2742" i="5"/>
  <c r="K2742" i="5"/>
  <c r="J2742" i="5"/>
  <c r="I2742" i="5"/>
  <c r="G2742" i="5"/>
  <c r="Y2741" i="5"/>
  <c r="T2741" i="5"/>
  <c r="S2741" i="5"/>
  <c r="R2741" i="5"/>
  <c r="Q2741" i="5"/>
  <c r="O2741" i="5"/>
  <c r="N2741" i="5"/>
  <c r="L2741" i="5"/>
  <c r="K2741" i="5"/>
  <c r="J2741" i="5"/>
  <c r="I2741" i="5"/>
  <c r="G2741" i="5"/>
  <c r="F2741" i="5"/>
  <c r="E2741" i="5"/>
  <c r="Y2740" i="5"/>
  <c r="T2740" i="5"/>
  <c r="S2740" i="5"/>
  <c r="R2740" i="5"/>
  <c r="Q2740" i="5"/>
  <c r="O2740" i="5"/>
  <c r="N2740" i="5"/>
  <c r="L2740" i="5"/>
  <c r="K2740" i="5"/>
  <c r="J2740" i="5"/>
  <c r="I2740" i="5"/>
  <c r="G2740" i="5"/>
  <c r="Y2739" i="5"/>
  <c r="T2739" i="5"/>
  <c r="S2739" i="5"/>
  <c r="R2739" i="5"/>
  <c r="Q2739" i="5"/>
  <c r="O2739" i="5"/>
  <c r="N2739" i="5"/>
  <c r="L2739" i="5"/>
  <c r="K2739" i="5"/>
  <c r="J2739" i="5"/>
  <c r="I2739" i="5"/>
  <c r="G2739" i="5"/>
  <c r="F2739" i="5"/>
  <c r="E2739" i="5"/>
  <c r="Y2738" i="5"/>
  <c r="T2738" i="5"/>
  <c r="S2738" i="5"/>
  <c r="R2738" i="5"/>
  <c r="Q2738" i="5"/>
  <c r="O2738" i="5"/>
  <c r="N2738" i="5"/>
  <c r="L2738" i="5"/>
  <c r="K2738" i="5"/>
  <c r="J2738" i="5"/>
  <c r="I2738" i="5"/>
  <c r="G2738" i="5"/>
  <c r="F2738" i="5"/>
  <c r="E2738" i="5"/>
  <c r="Y2737" i="5"/>
  <c r="T2737" i="5"/>
  <c r="S2737" i="5"/>
  <c r="R2737" i="5"/>
  <c r="Q2737" i="5"/>
  <c r="O2737" i="5"/>
  <c r="N2737" i="5"/>
  <c r="L2737" i="5"/>
  <c r="K2737" i="5"/>
  <c r="J2737" i="5"/>
  <c r="I2737" i="5"/>
  <c r="G2737" i="5"/>
  <c r="F2737" i="5"/>
  <c r="E2737" i="5"/>
  <c r="Y2736" i="5"/>
  <c r="T2736" i="5"/>
  <c r="S2736" i="5"/>
  <c r="R2736" i="5"/>
  <c r="Q2736" i="5"/>
  <c r="O2736" i="5"/>
  <c r="N2736" i="5"/>
  <c r="L2736" i="5"/>
  <c r="K2736" i="5"/>
  <c r="J2736" i="5"/>
  <c r="I2736" i="5"/>
  <c r="G2736" i="5"/>
  <c r="F2736" i="5"/>
  <c r="E2736" i="5"/>
  <c r="Y2735" i="5"/>
  <c r="T2735" i="5"/>
  <c r="S2735" i="5"/>
  <c r="R2735" i="5"/>
  <c r="Q2735" i="5"/>
  <c r="O2735" i="5"/>
  <c r="N2735" i="5"/>
  <c r="L2735" i="5"/>
  <c r="K2735" i="5"/>
  <c r="J2735" i="5"/>
  <c r="I2735" i="5"/>
  <c r="G2735" i="5"/>
  <c r="F2735" i="5"/>
  <c r="E2735" i="5"/>
  <c r="Y2734" i="5"/>
  <c r="T2734" i="5"/>
  <c r="S2734" i="5"/>
  <c r="R2734" i="5"/>
  <c r="Q2734" i="5"/>
  <c r="O2734" i="5"/>
  <c r="N2734" i="5"/>
  <c r="L2734" i="5"/>
  <c r="K2734" i="5"/>
  <c r="J2734" i="5"/>
  <c r="I2734" i="5"/>
  <c r="G2734" i="5"/>
  <c r="F2734" i="5"/>
  <c r="E2734" i="5"/>
  <c r="Y2733" i="5"/>
  <c r="T2733" i="5"/>
  <c r="S2733" i="5"/>
  <c r="R2733" i="5"/>
  <c r="Q2733" i="5"/>
  <c r="O2733" i="5"/>
  <c r="N2733" i="5"/>
  <c r="L2733" i="5"/>
  <c r="K2733" i="5"/>
  <c r="J2733" i="5"/>
  <c r="I2733" i="5"/>
  <c r="G2733" i="5"/>
  <c r="F2733" i="5"/>
  <c r="E2733" i="5"/>
  <c r="Y2732" i="5"/>
  <c r="T2732" i="5"/>
  <c r="S2732" i="5"/>
  <c r="R2732" i="5"/>
  <c r="Q2732" i="5"/>
  <c r="O2732" i="5"/>
  <c r="N2732" i="5"/>
  <c r="L2732" i="5"/>
  <c r="K2732" i="5"/>
  <c r="J2732" i="5"/>
  <c r="I2732" i="5"/>
  <c r="G2732" i="5"/>
  <c r="Y2731" i="5"/>
  <c r="T2731" i="5"/>
  <c r="S2731" i="5"/>
  <c r="R2731" i="5"/>
  <c r="Q2731" i="5"/>
  <c r="O2731" i="5"/>
  <c r="N2731" i="5"/>
  <c r="L2731" i="5"/>
  <c r="K2731" i="5"/>
  <c r="J2731" i="5"/>
  <c r="I2731" i="5"/>
  <c r="G2731" i="5"/>
  <c r="X2730" i="5"/>
  <c r="X2729" i="5"/>
  <c r="P2728" i="5"/>
  <c r="H2728" i="5"/>
  <c r="E2728" i="5"/>
  <c r="X2727" i="5"/>
  <c r="Z2727" i="5" s="1"/>
  <c r="Y2726" i="5"/>
  <c r="T2726" i="5"/>
  <c r="S2726" i="5"/>
  <c r="R2726" i="5"/>
  <c r="Q2726" i="5"/>
  <c r="O2726" i="5"/>
  <c r="N2726" i="5"/>
  <c r="L2726" i="5"/>
  <c r="K2726" i="5"/>
  <c r="J2726" i="5"/>
  <c r="I2726" i="5"/>
  <c r="G2726" i="5"/>
  <c r="F2726" i="5"/>
  <c r="E2726" i="5"/>
  <c r="Y2725" i="5"/>
  <c r="W2725" i="5"/>
  <c r="V2725" i="5"/>
  <c r="T2725" i="5"/>
  <c r="S2725" i="5"/>
  <c r="R2725" i="5"/>
  <c r="Q2725" i="5"/>
  <c r="O2725" i="5"/>
  <c r="N2725" i="5"/>
  <c r="L2725" i="5"/>
  <c r="K2725" i="5"/>
  <c r="J2725" i="5"/>
  <c r="I2725" i="5"/>
  <c r="G2725" i="5"/>
  <c r="F2725" i="5"/>
  <c r="E2725" i="5"/>
  <c r="Y2724" i="5"/>
  <c r="W2724" i="5"/>
  <c r="V2724" i="5"/>
  <c r="T2724" i="5"/>
  <c r="S2724" i="5"/>
  <c r="R2724" i="5"/>
  <c r="Q2724" i="5"/>
  <c r="O2724" i="5"/>
  <c r="N2724" i="5"/>
  <c r="L2724" i="5"/>
  <c r="K2724" i="5"/>
  <c r="J2724" i="5"/>
  <c r="I2724" i="5"/>
  <c r="G2724" i="5"/>
  <c r="Y2723" i="5"/>
  <c r="W2723" i="5"/>
  <c r="V2723" i="5"/>
  <c r="T2723" i="5"/>
  <c r="S2723" i="5"/>
  <c r="R2723" i="5"/>
  <c r="Q2723" i="5"/>
  <c r="O2723" i="5"/>
  <c r="N2723" i="5"/>
  <c r="L2723" i="5"/>
  <c r="K2723" i="5"/>
  <c r="J2723" i="5"/>
  <c r="I2723" i="5"/>
  <c r="G2723" i="5"/>
  <c r="Y2722" i="5"/>
  <c r="T2722" i="5"/>
  <c r="S2722" i="5"/>
  <c r="R2722" i="5"/>
  <c r="Q2722" i="5"/>
  <c r="O2722" i="5"/>
  <c r="N2722" i="5"/>
  <c r="L2722" i="5"/>
  <c r="K2722" i="5"/>
  <c r="J2722" i="5"/>
  <c r="I2722" i="5"/>
  <c r="G2722" i="5"/>
  <c r="Y2721" i="5"/>
  <c r="T2721" i="5"/>
  <c r="S2721" i="5"/>
  <c r="R2721" i="5"/>
  <c r="Q2721" i="5"/>
  <c r="O2721" i="5"/>
  <c r="N2721" i="5"/>
  <c r="L2721" i="5"/>
  <c r="K2721" i="5"/>
  <c r="J2721" i="5"/>
  <c r="I2721" i="5"/>
  <c r="G2721" i="5"/>
  <c r="F2721" i="5"/>
  <c r="E2721" i="5"/>
  <c r="Y2720" i="5"/>
  <c r="T2720" i="5"/>
  <c r="S2720" i="5"/>
  <c r="R2720" i="5"/>
  <c r="Q2720" i="5"/>
  <c r="O2720" i="5"/>
  <c r="N2720" i="5"/>
  <c r="L2720" i="5"/>
  <c r="K2720" i="5"/>
  <c r="J2720" i="5"/>
  <c r="I2720" i="5"/>
  <c r="G2720" i="5"/>
  <c r="F2720" i="5"/>
  <c r="E2720" i="5"/>
  <c r="Y2719" i="5"/>
  <c r="T2719" i="5"/>
  <c r="S2719" i="5"/>
  <c r="R2719" i="5"/>
  <c r="Q2719" i="5"/>
  <c r="O2719" i="5"/>
  <c r="N2719" i="5"/>
  <c r="L2719" i="5"/>
  <c r="K2719" i="5"/>
  <c r="J2719" i="5"/>
  <c r="I2719" i="5"/>
  <c r="G2719" i="5"/>
  <c r="F2719" i="5"/>
  <c r="E2719" i="5"/>
  <c r="Y2718" i="5"/>
  <c r="T2718" i="5"/>
  <c r="S2718" i="5"/>
  <c r="R2718" i="5"/>
  <c r="Q2718" i="5"/>
  <c r="O2718" i="5"/>
  <c r="N2718" i="5"/>
  <c r="L2718" i="5"/>
  <c r="K2718" i="5"/>
  <c r="J2718" i="5"/>
  <c r="I2718" i="5"/>
  <c r="G2718" i="5"/>
  <c r="F2718" i="5"/>
  <c r="E2718" i="5"/>
  <c r="Y2717" i="5"/>
  <c r="T2717" i="5"/>
  <c r="S2717" i="5"/>
  <c r="R2717" i="5"/>
  <c r="Q2717" i="5"/>
  <c r="O2717" i="5"/>
  <c r="N2717" i="5"/>
  <c r="L2717" i="5"/>
  <c r="K2717" i="5"/>
  <c r="J2717" i="5"/>
  <c r="I2717" i="5"/>
  <c r="G2717" i="5"/>
  <c r="F2717" i="5"/>
  <c r="E2717" i="5"/>
  <c r="Y2716" i="5"/>
  <c r="T2716" i="5"/>
  <c r="S2716" i="5"/>
  <c r="R2716" i="5"/>
  <c r="Q2716" i="5"/>
  <c r="O2716" i="5"/>
  <c r="N2716" i="5"/>
  <c r="L2716" i="5"/>
  <c r="K2716" i="5"/>
  <c r="J2716" i="5"/>
  <c r="I2716" i="5"/>
  <c r="G2716" i="5"/>
  <c r="F2716" i="5"/>
  <c r="E2716" i="5"/>
  <c r="Y2715" i="5"/>
  <c r="T2715" i="5"/>
  <c r="S2715" i="5"/>
  <c r="R2715" i="5"/>
  <c r="Q2715" i="5"/>
  <c r="O2715" i="5"/>
  <c r="N2715" i="5"/>
  <c r="L2715" i="5"/>
  <c r="K2715" i="5"/>
  <c r="J2715" i="5"/>
  <c r="I2715" i="5"/>
  <c r="G2715" i="5"/>
  <c r="Y2714" i="5"/>
  <c r="T2714" i="5"/>
  <c r="S2714" i="5"/>
  <c r="R2714" i="5"/>
  <c r="Q2714" i="5"/>
  <c r="O2714" i="5"/>
  <c r="N2714" i="5"/>
  <c r="L2714" i="5"/>
  <c r="K2714" i="5"/>
  <c r="J2714" i="5"/>
  <c r="I2714" i="5"/>
  <c r="G2714" i="5"/>
  <c r="F2714" i="5"/>
  <c r="E2714" i="5"/>
  <c r="Y2713" i="5"/>
  <c r="T2713" i="5"/>
  <c r="S2713" i="5"/>
  <c r="R2713" i="5"/>
  <c r="Q2713" i="5"/>
  <c r="O2713" i="5"/>
  <c r="N2713" i="5"/>
  <c r="L2713" i="5"/>
  <c r="K2713" i="5"/>
  <c r="J2713" i="5"/>
  <c r="I2713" i="5"/>
  <c r="G2713" i="5"/>
  <c r="F2713" i="5"/>
  <c r="E2713" i="5"/>
  <c r="Y2712" i="5"/>
  <c r="T2712" i="5"/>
  <c r="S2712" i="5"/>
  <c r="R2712" i="5"/>
  <c r="Q2712" i="5"/>
  <c r="O2712" i="5"/>
  <c r="N2712" i="5"/>
  <c r="L2712" i="5"/>
  <c r="K2712" i="5"/>
  <c r="J2712" i="5"/>
  <c r="I2712" i="5"/>
  <c r="G2712" i="5"/>
  <c r="F2712" i="5"/>
  <c r="E2712" i="5"/>
  <c r="Y2711" i="5"/>
  <c r="T2711" i="5"/>
  <c r="S2711" i="5"/>
  <c r="R2711" i="5"/>
  <c r="Q2711" i="5"/>
  <c r="O2711" i="5"/>
  <c r="N2711" i="5"/>
  <c r="L2711" i="5"/>
  <c r="K2711" i="5"/>
  <c r="J2711" i="5"/>
  <c r="I2711" i="5"/>
  <c r="G2711" i="5"/>
  <c r="F2711" i="5"/>
  <c r="E2711" i="5"/>
  <c r="Y2710" i="5"/>
  <c r="T2710" i="5"/>
  <c r="S2710" i="5"/>
  <c r="R2710" i="5"/>
  <c r="Q2710" i="5"/>
  <c r="O2710" i="5"/>
  <c r="N2710" i="5"/>
  <c r="L2710" i="5"/>
  <c r="K2710" i="5"/>
  <c r="J2710" i="5"/>
  <c r="I2710" i="5"/>
  <c r="G2710" i="5"/>
  <c r="F2710" i="5"/>
  <c r="E2710" i="5"/>
  <c r="Y2709" i="5"/>
  <c r="T2709" i="5"/>
  <c r="S2709" i="5"/>
  <c r="R2709" i="5"/>
  <c r="Q2709" i="5"/>
  <c r="O2709" i="5"/>
  <c r="N2709" i="5"/>
  <c r="L2709" i="5"/>
  <c r="K2709" i="5"/>
  <c r="J2709" i="5"/>
  <c r="I2709" i="5"/>
  <c r="G2709" i="5"/>
  <c r="F2709" i="5"/>
  <c r="E2709" i="5"/>
  <c r="Y2708" i="5"/>
  <c r="T2708" i="5"/>
  <c r="S2708" i="5"/>
  <c r="R2708" i="5"/>
  <c r="Q2708" i="5"/>
  <c r="O2708" i="5"/>
  <c r="N2708" i="5"/>
  <c r="L2708" i="5"/>
  <c r="K2708" i="5"/>
  <c r="J2708" i="5"/>
  <c r="I2708" i="5"/>
  <c r="G2708" i="5"/>
  <c r="F2708" i="5"/>
  <c r="E2708" i="5"/>
  <c r="Y2707" i="5"/>
  <c r="T2707" i="5"/>
  <c r="S2707" i="5"/>
  <c r="R2707" i="5"/>
  <c r="Q2707" i="5"/>
  <c r="O2707" i="5"/>
  <c r="N2707" i="5"/>
  <c r="L2707" i="5"/>
  <c r="K2707" i="5"/>
  <c r="J2707" i="5"/>
  <c r="I2707" i="5"/>
  <c r="G2707" i="5"/>
  <c r="X2706" i="5"/>
  <c r="Z2706" i="5" s="1"/>
  <c r="X2705" i="5"/>
  <c r="Z2705" i="5" s="1"/>
  <c r="P2704" i="5"/>
  <c r="H2704" i="5"/>
  <c r="E2704" i="5"/>
  <c r="X2703" i="5"/>
  <c r="Y2702" i="5"/>
  <c r="T2702" i="5"/>
  <c r="S2702" i="5"/>
  <c r="R2702" i="5"/>
  <c r="Q2702" i="5"/>
  <c r="O2702" i="5"/>
  <c r="N2702" i="5"/>
  <c r="L2702" i="5"/>
  <c r="K2702" i="5"/>
  <c r="J2702" i="5"/>
  <c r="I2702" i="5"/>
  <c r="G2702" i="5"/>
  <c r="F2702" i="5"/>
  <c r="E2702" i="5"/>
  <c r="Y2701" i="5"/>
  <c r="W2701" i="5"/>
  <c r="V2701" i="5"/>
  <c r="T2701" i="5"/>
  <c r="S2701" i="5"/>
  <c r="R2701" i="5"/>
  <c r="Q2701" i="5"/>
  <c r="O2701" i="5"/>
  <c r="N2701" i="5"/>
  <c r="L2701" i="5"/>
  <c r="K2701" i="5"/>
  <c r="J2701" i="5"/>
  <c r="I2701" i="5"/>
  <c r="G2701" i="5"/>
  <c r="F2701" i="5"/>
  <c r="E2701" i="5"/>
  <c r="Y2700" i="5"/>
  <c r="W2700" i="5"/>
  <c r="V2700" i="5"/>
  <c r="T2700" i="5"/>
  <c r="S2700" i="5"/>
  <c r="R2700" i="5"/>
  <c r="Q2700" i="5"/>
  <c r="O2700" i="5"/>
  <c r="N2700" i="5"/>
  <c r="L2700" i="5"/>
  <c r="K2700" i="5"/>
  <c r="J2700" i="5"/>
  <c r="I2700" i="5"/>
  <c r="G2700" i="5"/>
  <c r="F2700" i="5"/>
  <c r="E2700" i="5"/>
  <c r="Y2699" i="5"/>
  <c r="W2699" i="5"/>
  <c r="V2699" i="5"/>
  <c r="T2699" i="5"/>
  <c r="S2699" i="5"/>
  <c r="R2699" i="5"/>
  <c r="Q2699" i="5"/>
  <c r="O2699" i="5"/>
  <c r="N2699" i="5"/>
  <c r="L2699" i="5"/>
  <c r="K2699" i="5"/>
  <c r="J2699" i="5"/>
  <c r="I2699" i="5"/>
  <c r="G2699" i="5"/>
  <c r="Y2698" i="5"/>
  <c r="W2698" i="5"/>
  <c r="V2698" i="5"/>
  <c r="T2698" i="5"/>
  <c r="S2698" i="5"/>
  <c r="R2698" i="5"/>
  <c r="Q2698" i="5"/>
  <c r="O2698" i="5"/>
  <c r="N2698" i="5"/>
  <c r="L2698" i="5"/>
  <c r="K2698" i="5"/>
  <c r="J2698" i="5"/>
  <c r="I2698" i="5"/>
  <c r="G2698" i="5"/>
  <c r="E2698" i="5"/>
  <c r="Y2697" i="5"/>
  <c r="T2697" i="5"/>
  <c r="S2697" i="5"/>
  <c r="R2697" i="5"/>
  <c r="Q2697" i="5"/>
  <c r="O2697" i="5"/>
  <c r="N2697" i="5"/>
  <c r="L2697" i="5"/>
  <c r="K2697" i="5"/>
  <c r="J2697" i="5"/>
  <c r="I2697" i="5"/>
  <c r="G2697" i="5"/>
  <c r="Y2696" i="5"/>
  <c r="T2696" i="5"/>
  <c r="S2696" i="5"/>
  <c r="R2696" i="5"/>
  <c r="Q2696" i="5"/>
  <c r="O2696" i="5"/>
  <c r="N2696" i="5"/>
  <c r="L2696" i="5"/>
  <c r="K2696" i="5"/>
  <c r="J2696" i="5"/>
  <c r="I2696" i="5"/>
  <c r="G2696" i="5"/>
  <c r="F2696" i="5"/>
  <c r="E2696" i="5"/>
  <c r="Y2695" i="5"/>
  <c r="T2695" i="5"/>
  <c r="S2695" i="5"/>
  <c r="R2695" i="5"/>
  <c r="Q2695" i="5"/>
  <c r="O2695" i="5"/>
  <c r="N2695" i="5"/>
  <c r="L2695" i="5"/>
  <c r="K2695" i="5"/>
  <c r="J2695" i="5"/>
  <c r="I2695" i="5"/>
  <c r="G2695" i="5"/>
  <c r="F2695" i="5"/>
  <c r="Y2694" i="5"/>
  <c r="T2694" i="5"/>
  <c r="S2694" i="5"/>
  <c r="R2694" i="5"/>
  <c r="Q2694" i="5"/>
  <c r="O2694" i="5"/>
  <c r="N2694" i="5"/>
  <c r="L2694" i="5"/>
  <c r="K2694" i="5"/>
  <c r="J2694" i="5"/>
  <c r="I2694" i="5"/>
  <c r="G2694" i="5"/>
  <c r="F2694" i="5"/>
  <c r="E2694" i="5"/>
  <c r="Y2693" i="5"/>
  <c r="T2693" i="5"/>
  <c r="S2693" i="5"/>
  <c r="R2693" i="5"/>
  <c r="Q2693" i="5"/>
  <c r="O2693" i="5"/>
  <c r="N2693" i="5"/>
  <c r="L2693" i="5"/>
  <c r="K2693" i="5"/>
  <c r="J2693" i="5"/>
  <c r="I2693" i="5"/>
  <c r="G2693" i="5"/>
  <c r="F2693" i="5"/>
  <c r="E2693" i="5"/>
  <c r="Y2692" i="5"/>
  <c r="T2692" i="5"/>
  <c r="S2692" i="5"/>
  <c r="R2692" i="5"/>
  <c r="Q2692" i="5"/>
  <c r="O2692" i="5"/>
  <c r="N2692" i="5"/>
  <c r="L2692" i="5"/>
  <c r="K2692" i="5"/>
  <c r="J2692" i="5"/>
  <c r="I2692" i="5"/>
  <c r="G2692" i="5"/>
  <c r="F2692" i="5"/>
  <c r="E2692" i="5"/>
  <c r="Y2691" i="5"/>
  <c r="T2691" i="5"/>
  <c r="S2691" i="5"/>
  <c r="R2691" i="5"/>
  <c r="Q2691" i="5"/>
  <c r="O2691" i="5"/>
  <c r="N2691" i="5"/>
  <c r="L2691" i="5"/>
  <c r="K2691" i="5"/>
  <c r="J2691" i="5"/>
  <c r="I2691" i="5"/>
  <c r="G2691" i="5"/>
  <c r="F2691" i="5"/>
  <c r="E2691" i="5"/>
  <c r="Y2690" i="5"/>
  <c r="T2690" i="5"/>
  <c r="S2690" i="5"/>
  <c r="R2690" i="5"/>
  <c r="Q2690" i="5"/>
  <c r="O2690" i="5"/>
  <c r="N2690" i="5"/>
  <c r="L2690" i="5"/>
  <c r="K2690" i="5"/>
  <c r="J2690" i="5"/>
  <c r="I2690" i="5"/>
  <c r="G2690" i="5"/>
  <c r="F2690" i="5"/>
  <c r="E2690" i="5"/>
  <c r="Y2689" i="5"/>
  <c r="T2689" i="5"/>
  <c r="S2689" i="5"/>
  <c r="R2689" i="5"/>
  <c r="Q2689" i="5"/>
  <c r="O2689" i="5"/>
  <c r="N2689" i="5"/>
  <c r="L2689" i="5"/>
  <c r="K2689" i="5"/>
  <c r="J2689" i="5"/>
  <c r="I2689" i="5"/>
  <c r="G2689" i="5"/>
  <c r="F2689" i="5"/>
  <c r="E2689" i="5"/>
  <c r="Y2688" i="5"/>
  <c r="T2688" i="5"/>
  <c r="S2688" i="5"/>
  <c r="R2688" i="5"/>
  <c r="Q2688" i="5"/>
  <c r="O2688" i="5"/>
  <c r="N2688" i="5"/>
  <c r="L2688" i="5"/>
  <c r="K2688" i="5"/>
  <c r="J2688" i="5"/>
  <c r="I2688" i="5"/>
  <c r="G2688" i="5"/>
  <c r="F2688" i="5"/>
  <c r="E2688" i="5"/>
  <c r="Y2687" i="5"/>
  <c r="T2687" i="5"/>
  <c r="S2687" i="5"/>
  <c r="R2687" i="5"/>
  <c r="Q2687" i="5"/>
  <c r="O2687" i="5"/>
  <c r="N2687" i="5"/>
  <c r="L2687" i="5"/>
  <c r="K2687" i="5"/>
  <c r="J2687" i="5"/>
  <c r="I2687" i="5"/>
  <c r="G2687" i="5"/>
  <c r="F2687" i="5"/>
  <c r="E2687" i="5"/>
  <c r="Y2686" i="5"/>
  <c r="T2686" i="5"/>
  <c r="S2686" i="5"/>
  <c r="R2686" i="5"/>
  <c r="Q2686" i="5"/>
  <c r="O2686" i="5"/>
  <c r="N2686" i="5"/>
  <c r="L2686" i="5"/>
  <c r="K2686" i="5"/>
  <c r="J2686" i="5"/>
  <c r="I2686" i="5"/>
  <c r="G2686" i="5"/>
  <c r="F2686" i="5"/>
  <c r="E2686" i="5"/>
  <c r="X2685" i="5"/>
  <c r="X2684" i="5"/>
  <c r="P2683" i="5"/>
  <c r="H2683" i="5"/>
  <c r="E2683" i="5"/>
  <c r="Y2681" i="5"/>
  <c r="T2681" i="5"/>
  <c r="S2681" i="5"/>
  <c r="R2681" i="5"/>
  <c r="Q2681" i="5"/>
  <c r="O2681" i="5"/>
  <c r="N2681" i="5"/>
  <c r="L2681" i="5"/>
  <c r="K2681" i="5"/>
  <c r="J2681" i="5"/>
  <c r="I2681" i="5"/>
  <c r="G2681" i="5"/>
  <c r="F2681" i="5"/>
  <c r="E2681" i="5"/>
  <c r="Y2680" i="5"/>
  <c r="T2680" i="5"/>
  <c r="S2680" i="5"/>
  <c r="R2680" i="5"/>
  <c r="Q2680" i="5"/>
  <c r="O2680" i="5"/>
  <c r="N2680" i="5"/>
  <c r="L2680" i="5"/>
  <c r="K2680" i="5"/>
  <c r="J2680" i="5"/>
  <c r="I2680" i="5"/>
  <c r="G2680" i="5"/>
  <c r="Y2679" i="5"/>
  <c r="T2679" i="5"/>
  <c r="S2679" i="5"/>
  <c r="R2679" i="5"/>
  <c r="Q2679" i="5"/>
  <c r="O2679" i="5"/>
  <c r="N2679" i="5"/>
  <c r="L2679" i="5"/>
  <c r="K2679" i="5"/>
  <c r="J2679" i="5"/>
  <c r="I2679" i="5"/>
  <c r="G2679" i="5"/>
  <c r="F2679" i="5"/>
  <c r="E2679" i="5"/>
  <c r="Y2678" i="5"/>
  <c r="W2678" i="5"/>
  <c r="T2678" i="5"/>
  <c r="S2678" i="5"/>
  <c r="R2678" i="5"/>
  <c r="Q2678" i="5"/>
  <c r="O2678" i="5"/>
  <c r="N2678" i="5"/>
  <c r="L2678" i="5"/>
  <c r="K2678" i="5"/>
  <c r="J2678" i="5"/>
  <c r="I2678" i="5"/>
  <c r="G2678" i="5"/>
  <c r="F2678" i="5"/>
  <c r="E2678" i="5"/>
  <c r="Y2677" i="5"/>
  <c r="W2677" i="5"/>
  <c r="T2677" i="5"/>
  <c r="S2677" i="5"/>
  <c r="R2677" i="5"/>
  <c r="Q2677" i="5"/>
  <c r="O2677" i="5"/>
  <c r="N2677" i="5"/>
  <c r="L2677" i="5"/>
  <c r="K2677" i="5"/>
  <c r="J2677" i="5"/>
  <c r="I2677" i="5"/>
  <c r="G2677" i="5"/>
  <c r="F2677" i="5"/>
  <c r="E2677" i="5"/>
  <c r="Y2676" i="5"/>
  <c r="W2676" i="5"/>
  <c r="V2676" i="5"/>
  <c r="T2676" i="5"/>
  <c r="S2676" i="5"/>
  <c r="R2676" i="5"/>
  <c r="Q2676" i="5"/>
  <c r="O2676" i="5"/>
  <c r="N2676" i="5"/>
  <c r="L2676" i="5"/>
  <c r="K2676" i="5"/>
  <c r="J2676" i="5"/>
  <c r="I2676" i="5"/>
  <c r="G2676" i="5"/>
  <c r="F2676" i="5"/>
  <c r="E2676" i="5"/>
  <c r="Y2675" i="5"/>
  <c r="W2675" i="5"/>
  <c r="V2675" i="5"/>
  <c r="T2675" i="5"/>
  <c r="S2675" i="5"/>
  <c r="R2675" i="5"/>
  <c r="Q2675" i="5"/>
  <c r="O2675" i="5"/>
  <c r="N2675" i="5"/>
  <c r="L2675" i="5"/>
  <c r="K2675" i="5"/>
  <c r="J2675" i="5"/>
  <c r="I2675" i="5"/>
  <c r="G2675" i="5"/>
  <c r="F2675" i="5"/>
  <c r="E2675" i="5"/>
  <c r="Y2674" i="5"/>
  <c r="T2674" i="5"/>
  <c r="S2674" i="5"/>
  <c r="R2674" i="5"/>
  <c r="Q2674" i="5"/>
  <c r="O2674" i="5"/>
  <c r="N2674" i="5"/>
  <c r="L2674" i="5"/>
  <c r="K2674" i="5"/>
  <c r="J2674" i="5"/>
  <c r="I2674" i="5"/>
  <c r="G2674" i="5"/>
  <c r="F2674" i="5"/>
  <c r="Y2673" i="5"/>
  <c r="W2673" i="5"/>
  <c r="T2673" i="5"/>
  <c r="S2673" i="5"/>
  <c r="R2673" i="5"/>
  <c r="Q2673" i="5"/>
  <c r="O2673" i="5"/>
  <c r="N2673" i="5"/>
  <c r="L2673" i="5"/>
  <c r="K2673" i="5"/>
  <c r="J2673" i="5"/>
  <c r="I2673" i="5"/>
  <c r="G2673" i="5"/>
  <c r="F2673" i="5"/>
  <c r="E2673" i="5"/>
  <c r="Y2672" i="5"/>
  <c r="T2672" i="5"/>
  <c r="S2672" i="5"/>
  <c r="R2672" i="5"/>
  <c r="Q2672" i="5"/>
  <c r="O2672" i="5"/>
  <c r="N2672" i="5"/>
  <c r="L2672" i="5"/>
  <c r="K2672" i="5"/>
  <c r="J2672" i="5"/>
  <c r="I2672" i="5"/>
  <c r="G2672" i="5"/>
  <c r="Y2671" i="5"/>
  <c r="T2671" i="5"/>
  <c r="S2671" i="5"/>
  <c r="R2671" i="5"/>
  <c r="Q2671" i="5"/>
  <c r="O2671" i="5"/>
  <c r="N2671" i="5"/>
  <c r="L2671" i="5"/>
  <c r="K2671" i="5"/>
  <c r="J2671" i="5"/>
  <c r="I2671" i="5"/>
  <c r="G2671" i="5"/>
  <c r="F2671" i="5"/>
  <c r="E2671" i="5"/>
  <c r="Y2670" i="5"/>
  <c r="T2670" i="5"/>
  <c r="S2670" i="5"/>
  <c r="R2670" i="5"/>
  <c r="Q2670" i="5"/>
  <c r="O2670" i="5"/>
  <c r="N2670" i="5"/>
  <c r="L2670" i="5"/>
  <c r="K2670" i="5"/>
  <c r="J2670" i="5"/>
  <c r="I2670" i="5"/>
  <c r="G2670" i="5"/>
  <c r="F2670" i="5"/>
  <c r="E2670" i="5"/>
  <c r="Y2669" i="5"/>
  <c r="T2669" i="5"/>
  <c r="S2669" i="5"/>
  <c r="R2669" i="5"/>
  <c r="Q2669" i="5"/>
  <c r="O2669" i="5"/>
  <c r="N2669" i="5"/>
  <c r="L2669" i="5"/>
  <c r="K2669" i="5"/>
  <c r="J2669" i="5"/>
  <c r="I2669" i="5"/>
  <c r="G2669" i="5"/>
  <c r="F2669" i="5"/>
  <c r="E2669" i="5"/>
  <c r="Y2668" i="5"/>
  <c r="T2668" i="5"/>
  <c r="S2668" i="5"/>
  <c r="R2668" i="5"/>
  <c r="Q2668" i="5"/>
  <c r="O2668" i="5"/>
  <c r="N2668" i="5"/>
  <c r="L2668" i="5"/>
  <c r="K2668" i="5"/>
  <c r="J2668" i="5"/>
  <c r="I2668" i="5"/>
  <c r="G2668" i="5"/>
  <c r="F2668" i="5"/>
  <c r="E2668" i="5"/>
  <c r="Y2667" i="5"/>
  <c r="T2667" i="5"/>
  <c r="S2667" i="5"/>
  <c r="R2667" i="5"/>
  <c r="Q2667" i="5"/>
  <c r="O2667" i="5"/>
  <c r="N2667" i="5"/>
  <c r="L2667" i="5"/>
  <c r="K2667" i="5"/>
  <c r="J2667" i="5"/>
  <c r="I2667" i="5"/>
  <c r="G2667" i="5"/>
  <c r="F2667" i="5"/>
  <c r="E2667" i="5"/>
  <c r="Y2666" i="5"/>
  <c r="T2666" i="5"/>
  <c r="S2666" i="5"/>
  <c r="R2666" i="5"/>
  <c r="Q2666" i="5"/>
  <c r="O2666" i="5"/>
  <c r="N2666" i="5"/>
  <c r="L2666" i="5"/>
  <c r="K2666" i="5"/>
  <c r="J2666" i="5"/>
  <c r="I2666" i="5"/>
  <c r="G2666" i="5"/>
  <c r="F2666" i="5"/>
  <c r="E2666" i="5"/>
  <c r="Y2665" i="5"/>
  <c r="T2665" i="5"/>
  <c r="T2683" i="5" s="1"/>
  <c r="S2665" i="5"/>
  <c r="R2665" i="5"/>
  <c r="R2683" i="5" s="1"/>
  <c r="Q2665" i="5"/>
  <c r="O2665" i="5"/>
  <c r="N2665" i="5"/>
  <c r="L2665" i="5"/>
  <c r="L2683" i="5" s="1"/>
  <c r="K2665" i="5"/>
  <c r="J2665" i="5"/>
  <c r="J2683" i="5" s="1"/>
  <c r="I2665" i="5"/>
  <c r="G2665" i="5"/>
  <c r="F2665" i="5"/>
  <c r="E2665" i="5"/>
  <c r="P2658" i="5"/>
  <c r="H2658" i="5"/>
  <c r="E2658" i="5"/>
  <c r="X2657" i="5"/>
  <c r="Y2656" i="5"/>
  <c r="T2656" i="5"/>
  <c r="S2656" i="5"/>
  <c r="R2656" i="5"/>
  <c r="Q2656" i="5"/>
  <c r="O2656" i="5"/>
  <c r="N2656" i="5"/>
  <c r="L2656" i="5"/>
  <c r="K2656" i="5"/>
  <c r="J2656" i="5"/>
  <c r="I2656" i="5"/>
  <c r="G2656" i="5"/>
  <c r="F2656" i="5"/>
  <c r="E2656" i="5"/>
  <c r="Y2655" i="5"/>
  <c r="W2655" i="5"/>
  <c r="V2655" i="5"/>
  <c r="T2655" i="5"/>
  <c r="S2655" i="5"/>
  <c r="R2655" i="5"/>
  <c r="Q2655" i="5"/>
  <c r="O2655" i="5"/>
  <c r="N2655" i="5"/>
  <c r="L2655" i="5"/>
  <c r="K2655" i="5"/>
  <c r="J2655" i="5"/>
  <c r="I2655" i="5"/>
  <c r="G2655" i="5"/>
  <c r="F2655" i="5"/>
  <c r="E2655" i="5"/>
  <c r="Y2654" i="5"/>
  <c r="W2654" i="5"/>
  <c r="T2654" i="5"/>
  <c r="S2654" i="5"/>
  <c r="R2654" i="5"/>
  <c r="Q2654" i="5"/>
  <c r="O2654" i="5"/>
  <c r="N2654" i="5"/>
  <c r="L2654" i="5"/>
  <c r="K2654" i="5"/>
  <c r="J2654" i="5"/>
  <c r="I2654" i="5"/>
  <c r="G2654" i="5"/>
  <c r="F2654" i="5"/>
  <c r="E2654" i="5"/>
  <c r="Y2653" i="5"/>
  <c r="W2653" i="5"/>
  <c r="T2653" i="5"/>
  <c r="S2653" i="5"/>
  <c r="R2653" i="5"/>
  <c r="Q2653" i="5"/>
  <c r="O2653" i="5"/>
  <c r="N2653" i="5"/>
  <c r="L2653" i="5"/>
  <c r="K2653" i="5"/>
  <c r="J2653" i="5"/>
  <c r="I2653" i="5"/>
  <c r="G2653" i="5"/>
  <c r="F2653" i="5"/>
  <c r="E2653" i="5"/>
  <c r="Y2652" i="5"/>
  <c r="T2652" i="5"/>
  <c r="S2652" i="5"/>
  <c r="R2652" i="5"/>
  <c r="Q2652" i="5"/>
  <c r="O2652" i="5"/>
  <c r="N2652" i="5"/>
  <c r="L2652" i="5"/>
  <c r="K2652" i="5"/>
  <c r="J2652" i="5"/>
  <c r="I2652" i="5"/>
  <c r="G2652" i="5"/>
  <c r="Y2651" i="5"/>
  <c r="T2651" i="5"/>
  <c r="S2651" i="5"/>
  <c r="R2651" i="5"/>
  <c r="Q2651" i="5"/>
  <c r="O2651" i="5"/>
  <c r="N2651" i="5"/>
  <c r="L2651" i="5"/>
  <c r="K2651" i="5"/>
  <c r="J2651" i="5"/>
  <c r="I2651" i="5"/>
  <c r="G2651" i="5"/>
  <c r="Y2650" i="5"/>
  <c r="T2650" i="5"/>
  <c r="S2650" i="5"/>
  <c r="R2650" i="5"/>
  <c r="Q2650" i="5"/>
  <c r="O2650" i="5"/>
  <c r="N2650" i="5"/>
  <c r="L2650" i="5"/>
  <c r="K2650" i="5"/>
  <c r="J2650" i="5"/>
  <c r="I2650" i="5"/>
  <c r="G2650" i="5"/>
  <c r="F2650" i="5"/>
  <c r="E2650" i="5"/>
  <c r="Y2649" i="5"/>
  <c r="T2649" i="5"/>
  <c r="S2649" i="5"/>
  <c r="R2649" i="5"/>
  <c r="Q2649" i="5"/>
  <c r="O2649" i="5"/>
  <c r="N2649" i="5"/>
  <c r="L2649" i="5"/>
  <c r="K2649" i="5"/>
  <c r="J2649" i="5"/>
  <c r="I2649" i="5"/>
  <c r="G2649" i="5"/>
  <c r="Y2648" i="5"/>
  <c r="T2648" i="5"/>
  <c r="S2648" i="5"/>
  <c r="R2648" i="5"/>
  <c r="Q2648" i="5"/>
  <c r="O2648" i="5"/>
  <c r="N2648" i="5"/>
  <c r="L2648" i="5"/>
  <c r="K2648" i="5"/>
  <c r="J2648" i="5"/>
  <c r="I2648" i="5"/>
  <c r="G2648" i="5"/>
  <c r="F2648" i="5"/>
  <c r="E2648" i="5"/>
  <c r="Y2647" i="5"/>
  <c r="T2647" i="5"/>
  <c r="S2647" i="5"/>
  <c r="R2647" i="5"/>
  <c r="Q2647" i="5"/>
  <c r="O2647" i="5"/>
  <c r="N2647" i="5"/>
  <c r="L2647" i="5"/>
  <c r="K2647" i="5"/>
  <c r="J2647" i="5"/>
  <c r="I2647" i="5"/>
  <c r="G2647" i="5"/>
  <c r="F2647" i="5"/>
  <c r="E2647" i="5"/>
  <c r="Y2646" i="5"/>
  <c r="T2646" i="5"/>
  <c r="S2646" i="5"/>
  <c r="R2646" i="5"/>
  <c r="Q2646" i="5"/>
  <c r="O2646" i="5"/>
  <c r="N2646" i="5"/>
  <c r="L2646" i="5"/>
  <c r="K2646" i="5"/>
  <c r="J2646" i="5"/>
  <c r="I2646" i="5"/>
  <c r="G2646" i="5"/>
  <c r="F2646" i="5"/>
  <c r="E2646" i="5"/>
  <c r="Y2645" i="5"/>
  <c r="T2645" i="5"/>
  <c r="S2645" i="5"/>
  <c r="R2645" i="5"/>
  <c r="Q2645" i="5"/>
  <c r="O2645" i="5"/>
  <c r="N2645" i="5"/>
  <c r="L2645" i="5"/>
  <c r="K2645" i="5"/>
  <c r="J2645" i="5"/>
  <c r="I2645" i="5"/>
  <c r="G2645" i="5"/>
  <c r="F2645" i="5"/>
  <c r="E2645" i="5"/>
  <c r="Y2644" i="5"/>
  <c r="T2644" i="5"/>
  <c r="S2644" i="5"/>
  <c r="R2644" i="5"/>
  <c r="Q2644" i="5"/>
  <c r="O2644" i="5"/>
  <c r="N2644" i="5"/>
  <c r="L2644" i="5"/>
  <c r="K2644" i="5"/>
  <c r="J2644" i="5"/>
  <c r="I2644" i="5"/>
  <c r="G2644" i="5"/>
  <c r="F2644" i="5"/>
  <c r="E2644" i="5"/>
  <c r="Y2643" i="5"/>
  <c r="T2643" i="5"/>
  <c r="S2643" i="5"/>
  <c r="R2643" i="5"/>
  <c r="Q2643" i="5"/>
  <c r="O2643" i="5"/>
  <c r="N2643" i="5"/>
  <c r="L2643" i="5"/>
  <c r="K2643" i="5"/>
  <c r="J2643" i="5"/>
  <c r="I2643" i="5"/>
  <c r="G2643" i="5"/>
  <c r="F2643" i="5"/>
  <c r="E2643" i="5"/>
  <c r="Y2642" i="5"/>
  <c r="T2642" i="5"/>
  <c r="S2642" i="5"/>
  <c r="R2642" i="5"/>
  <c r="Q2642" i="5"/>
  <c r="O2642" i="5"/>
  <c r="N2642" i="5"/>
  <c r="L2642" i="5"/>
  <c r="K2642" i="5"/>
  <c r="J2642" i="5"/>
  <c r="I2642" i="5"/>
  <c r="G2642" i="5"/>
  <c r="F2642" i="5"/>
  <c r="E2642" i="5"/>
  <c r="Y2641" i="5"/>
  <c r="T2641" i="5"/>
  <c r="S2641" i="5"/>
  <c r="R2641" i="5"/>
  <c r="Q2641" i="5"/>
  <c r="O2641" i="5"/>
  <c r="N2641" i="5"/>
  <c r="L2641" i="5"/>
  <c r="K2641" i="5"/>
  <c r="J2641" i="5"/>
  <c r="I2641" i="5"/>
  <c r="G2641" i="5"/>
  <c r="F2641" i="5"/>
  <c r="E2641" i="5"/>
  <c r="Y2640" i="5"/>
  <c r="T2640" i="5"/>
  <c r="S2640" i="5"/>
  <c r="R2640" i="5"/>
  <c r="Q2640" i="5"/>
  <c r="O2640" i="5"/>
  <c r="N2640" i="5"/>
  <c r="L2640" i="5"/>
  <c r="K2640" i="5"/>
  <c r="J2640" i="5"/>
  <c r="I2640" i="5"/>
  <c r="G2640" i="5"/>
  <c r="F2640" i="5"/>
  <c r="E2640" i="5"/>
  <c r="Y2639" i="5"/>
  <c r="T2639" i="5"/>
  <c r="S2639" i="5"/>
  <c r="R2639" i="5"/>
  <c r="Q2639" i="5"/>
  <c r="O2639" i="5"/>
  <c r="L2639" i="5"/>
  <c r="K2639" i="5"/>
  <c r="J2639" i="5"/>
  <c r="I2639" i="5"/>
  <c r="G2639" i="5"/>
  <c r="F2639" i="5"/>
  <c r="E2639" i="5"/>
  <c r="X2638" i="5"/>
  <c r="X2637" i="5"/>
  <c r="X2636" i="5"/>
  <c r="P2635" i="5"/>
  <c r="H2635" i="5"/>
  <c r="E2635" i="5"/>
  <c r="X2634" i="5"/>
  <c r="Y2633" i="5"/>
  <c r="T2633" i="5"/>
  <c r="S2633" i="5"/>
  <c r="R2633" i="5"/>
  <c r="Q2633" i="5"/>
  <c r="O2633" i="5"/>
  <c r="N2633" i="5"/>
  <c r="L2633" i="5"/>
  <c r="K2633" i="5"/>
  <c r="J2633" i="5"/>
  <c r="I2633" i="5"/>
  <c r="G2633" i="5"/>
  <c r="F2633" i="5"/>
  <c r="E2633" i="5"/>
  <c r="Y2632" i="5"/>
  <c r="T2632" i="5"/>
  <c r="S2632" i="5"/>
  <c r="R2632" i="5"/>
  <c r="Q2632" i="5"/>
  <c r="O2632" i="5"/>
  <c r="N2632" i="5"/>
  <c r="L2632" i="5"/>
  <c r="K2632" i="5"/>
  <c r="J2632" i="5"/>
  <c r="I2632" i="5"/>
  <c r="G2632" i="5"/>
  <c r="F2632" i="5"/>
  <c r="E2632" i="5"/>
  <c r="Y2631" i="5"/>
  <c r="W2631" i="5"/>
  <c r="V2631" i="5"/>
  <c r="T2631" i="5"/>
  <c r="S2631" i="5"/>
  <c r="R2631" i="5"/>
  <c r="Q2631" i="5"/>
  <c r="O2631" i="5"/>
  <c r="N2631" i="5"/>
  <c r="L2631" i="5"/>
  <c r="K2631" i="5"/>
  <c r="J2631" i="5"/>
  <c r="I2631" i="5"/>
  <c r="G2631" i="5"/>
  <c r="F2631" i="5"/>
  <c r="Y2630" i="5"/>
  <c r="T2630" i="5"/>
  <c r="S2630" i="5"/>
  <c r="R2630" i="5"/>
  <c r="Q2630" i="5"/>
  <c r="O2630" i="5"/>
  <c r="N2630" i="5"/>
  <c r="L2630" i="5"/>
  <c r="K2630" i="5"/>
  <c r="J2630" i="5"/>
  <c r="I2630" i="5"/>
  <c r="G2630" i="5"/>
  <c r="F2630" i="5"/>
  <c r="E2630" i="5"/>
  <c r="Y2629" i="5"/>
  <c r="T2629" i="5"/>
  <c r="S2629" i="5"/>
  <c r="R2629" i="5"/>
  <c r="Q2629" i="5"/>
  <c r="O2629" i="5"/>
  <c r="N2629" i="5"/>
  <c r="L2629" i="5"/>
  <c r="K2629" i="5"/>
  <c r="J2629" i="5"/>
  <c r="G2629" i="5"/>
  <c r="Y2628" i="5"/>
  <c r="W2628" i="5"/>
  <c r="V2628" i="5"/>
  <c r="T2628" i="5"/>
  <c r="S2628" i="5"/>
  <c r="R2628" i="5"/>
  <c r="Q2628" i="5"/>
  <c r="O2628" i="5"/>
  <c r="N2628" i="5"/>
  <c r="L2628" i="5"/>
  <c r="K2628" i="5"/>
  <c r="J2628" i="5"/>
  <c r="I2628" i="5"/>
  <c r="G2628" i="5"/>
  <c r="F2628" i="5"/>
  <c r="E2628" i="5"/>
  <c r="Y2627" i="5"/>
  <c r="T2627" i="5"/>
  <c r="S2627" i="5"/>
  <c r="R2627" i="5"/>
  <c r="Q2627" i="5"/>
  <c r="O2627" i="5"/>
  <c r="N2627" i="5"/>
  <c r="L2627" i="5"/>
  <c r="K2627" i="5"/>
  <c r="J2627" i="5"/>
  <c r="I2627" i="5"/>
  <c r="G2627" i="5"/>
  <c r="F2627" i="5"/>
  <c r="E2627" i="5"/>
  <c r="Y2626" i="5"/>
  <c r="T2626" i="5"/>
  <c r="S2626" i="5"/>
  <c r="R2626" i="5"/>
  <c r="Q2626" i="5"/>
  <c r="O2626" i="5"/>
  <c r="N2626" i="5"/>
  <c r="L2626" i="5"/>
  <c r="K2626" i="5"/>
  <c r="J2626" i="5"/>
  <c r="I2626" i="5"/>
  <c r="G2626" i="5"/>
  <c r="F2626" i="5"/>
  <c r="Y2625" i="5"/>
  <c r="T2625" i="5"/>
  <c r="S2625" i="5"/>
  <c r="R2625" i="5"/>
  <c r="Q2625" i="5"/>
  <c r="O2625" i="5"/>
  <c r="N2625" i="5"/>
  <c r="L2625" i="5"/>
  <c r="K2625" i="5"/>
  <c r="J2625" i="5"/>
  <c r="I2625" i="5"/>
  <c r="G2625" i="5"/>
  <c r="F2625" i="5"/>
  <c r="Y2624" i="5"/>
  <c r="T2624" i="5"/>
  <c r="S2624" i="5"/>
  <c r="R2624" i="5"/>
  <c r="Q2624" i="5"/>
  <c r="O2624" i="5"/>
  <c r="N2624" i="5"/>
  <c r="L2624" i="5"/>
  <c r="K2624" i="5"/>
  <c r="J2624" i="5"/>
  <c r="I2624" i="5"/>
  <c r="G2624" i="5"/>
  <c r="F2624" i="5"/>
  <c r="E2624" i="5"/>
  <c r="Y2623" i="5"/>
  <c r="T2623" i="5"/>
  <c r="S2623" i="5"/>
  <c r="R2623" i="5"/>
  <c r="Q2623" i="5"/>
  <c r="O2623" i="5"/>
  <c r="N2623" i="5"/>
  <c r="L2623" i="5"/>
  <c r="K2623" i="5"/>
  <c r="J2623" i="5"/>
  <c r="I2623" i="5"/>
  <c r="G2623" i="5"/>
  <c r="F2623" i="5"/>
  <c r="E2623" i="5"/>
  <c r="Y2622" i="5"/>
  <c r="T2622" i="5"/>
  <c r="S2622" i="5"/>
  <c r="R2622" i="5"/>
  <c r="Q2622" i="5"/>
  <c r="O2622" i="5"/>
  <c r="N2622" i="5"/>
  <c r="L2622" i="5"/>
  <c r="K2622" i="5"/>
  <c r="J2622" i="5"/>
  <c r="I2622" i="5"/>
  <c r="G2622" i="5"/>
  <c r="F2622" i="5"/>
  <c r="E2622" i="5"/>
  <c r="Y2621" i="5"/>
  <c r="T2621" i="5"/>
  <c r="S2621" i="5"/>
  <c r="R2621" i="5"/>
  <c r="Q2621" i="5"/>
  <c r="O2621" i="5"/>
  <c r="N2621" i="5"/>
  <c r="L2621" i="5"/>
  <c r="K2621" i="5"/>
  <c r="J2621" i="5"/>
  <c r="I2621" i="5"/>
  <c r="G2621" i="5"/>
  <c r="F2621" i="5"/>
  <c r="E2621" i="5"/>
  <c r="Y2620" i="5"/>
  <c r="T2620" i="5"/>
  <c r="S2620" i="5"/>
  <c r="R2620" i="5"/>
  <c r="Q2620" i="5"/>
  <c r="O2620" i="5"/>
  <c r="N2620" i="5"/>
  <c r="L2620" i="5"/>
  <c r="K2620" i="5"/>
  <c r="J2620" i="5"/>
  <c r="I2620" i="5"/>
  <c r="G2620" i="5"/>
  <c r="F2620" i="5"/>
  <c r="E2620" i="5"/>
  <c r="Y2619" i="5"/>
  <c r="T2619" i="5"/>
  <c r="S2619" i="5"/>
  <c r="R2619" i="5"/>
  <c r="Q2619" i="5"/>
  <c r="O2619" i="5"/>
  <c r="N2619" i="5"/>
  <c r="L2619" i="5"/>
  <c r="K2619" i="5"/>
  <c r="J2619" i="5"/>
  <c r="I2619" i="5"/>
  <c r="G2619" i="5"/>
  <c r="F2619" i="5"/>
  <c r="E2619" i="5"/>
  <c r="Y2618" i="5"/>
  <c r="T2618" i="5"/>
  <c r="S2618" i="5"/>
  <c r="R2618" i="5"/>
  <c r="Q2618" i="5"/>
  <c r="O2618" i="5"/>
  <c r="N2618" i="5"/>
  <c r="L2618" i="5"/>
  <c r="K2618" i="5"/>
  <c r="J2618" i="5"/>
  <c r="I2618" i="5"/>
  <c r="G2618" i="5"/>
  <c r="F2618" i="5"/>
  <c r="Y2617" i="5"/>
  <c r="T2617" i="5"/>
  <c r="S2617" i="5"/>
  <c r="R2617" i="5"/>
  <c r="Q2617" i="5"/>
  <c r="O2617" i="5"/>
  <c r="N2617" i="5"/>
  <c r="L2617" i="5"/>
  <c r="K2617" i="5"/>
  <c r="J2617" i="5"/>
  <c r="I2617" i="5"/>
  <c r="G2617" i="5"/>
  <c r="F2617" i="5"/>
  <c r="E2617" i="5"/>
  <c r="Y2616" i="5"/>
  <c r="T2616" i="5"/>
  <c r="S2616" i="5"/>
  <c r="R2616" i="5"/>
  <c r="Q2616" i="5"/>
  <c r="O2616" i="5"/>
  <c r="N2616" i="5"/>
  <c r="L2616" i="5"/>
  <c r="K2616" i="5"/>
  <c r="J2616" i="5"/>
  <c r="I2616" i="5"/>
  <c r="G2616" i="5"/>
  <c r="F2616" i="5"/>
  <c r="E2616" i="5"/>
  <c r="X2615" i="5"/>
  <c r="X2614" i="5"/>
  <c r="X2613" i="5"/>
  <c r="H2612" i="5"/>
  <c r="E2612" i="5"/>
  <c r="X2611" i="5"/>
  <c r="Y2610" i="5"/>
  <c r="Y2612" i="5" s="1"/>
  <c r="S2610" i="5"/>
  <c r="S2612" i="5" s="1"/>
  <c r="R2610" i="5"/>
  <c r="R2612" i="5" s="1"/>
  <c r="Q2610" i="5"/>
  <c r="Q2612" i="5" s="1"/>
  <c r="O2610" i="5"/>
  <c r="O2612" i="5" s="1"/>
  <c r="N2610" i="5"/>
  <c r="N2612" i="5" s="1"/>
  <c r="J2610" i="5"/>
  <c r="J2612" i="5" s="1"/>
  <c r="I2610" i="5"/>
  <c r="I2612" i="5" s="1"/>
  <c r="G2610" i="5"/>
  <c r="G2612" i="5" s="1"/>
  <c r="F2610" i="5"/>
  <c r="F2612" i="5" s="1"/>
  <c r="E2610" i="5"/>
  <c r="X2609" i="5"/>
  <c r="P2608" i="5"/>
  <c r="H2608" i="5"/>
  <c r="E2608" i="5"/>
  <c r="Y2606" i="5"/>
  <c r="T2606" i="5"/>
  <c r="S2606" i="5"/>
  <c r="R2606" i="5"/>
  <c r="Q2606" i="5"/>
  <c r="O2606" i="5"/>
  <c r="N2606" i="5"/>
  <c r="L2606" i="5"/>
  <c r="K2606" i="5"/>
  <c r="J2606" i="5"/>
  <c r="I2606" i="5"/>
  <c r="G2606" i="5"/>
  <c r="Y2605" i="5"/>
  <c r="W2605" i="5"/>
  <c r="V2605" i="5"/>
  <c r="T2605" i="5"/>
  <c r="S2605" i="5"/>
  <c r="R2605" i="5"/>
  <c r="Q2605" i="5"/>
  <c r="O2605" i="5"/>
  <c r="N2605" i="5"/>
  <c r="L2605" i="5"/>
  <c r="K2605" i="5"/>
  <c r="J2605" i="5"/>
  <c r="I2605" i="5"/>
  <c r="G2605" i="5"/>
  <c r="Y2604" i="5"/>
  <c r="W2604" i="5"/>
  <c r="V2604" i="5"/>
  <c r="T2604" i="5"/>
  <c r="S2604" i="5"/>
  <c r="R2604" i="5"/>
  <c r="Q2604" i="5"/>
  <c r="O2604" i="5"/>
  <c r="N2604" i="5"/>
  <c r="L2604" i="5"/>
  <c r="K2604" i="5"/>
  <c r="J2604" i="5"/>
  <c r="I2604" i="5"/>
  <c r="G2604" i="5"/>
  <c r="F2604" i="5"/>
  <c r="E2604" i="5"/>
  <c r="Y2603" i="5"/>
  <c r="W2603" i="5"/>
  <c r="V2603" i="5"/>
  <c r="T2603" i="5"/>
  <c r="S2603" i="5"/>
  <c r="R2603" i="5"/>
  <c r="Q2603" i="5"/>
  <c r="O2603" i="5"/>
  <c r="N2603" i="5"/>
  <c r="L2603" i="5"/>
  <c r="K2603" i="5"/>
  <c r="J2603" i="5"/>
  <c r="I2603" i="5"/>
  <c r="G2603" i="5"/>
  <c r="Y2602" i="5"/>
  <c r="W2602" i="5"/>
  <c r="V2602" i="5"/>
  <c r="T2602" i="5"/>
  <c r="S2602" i="5"/>
  <c r="R2602" i="5"/>
  <c r="Q2602" i="5"/>
  <c r="P2602" i="5"/>
  <c r="O2602" i="5"/>
  <c r="N2602" i="5"/>
  <c r="L2602" i="5"/>
  <c r="K2602" i="5"/>
  <c r="J2602" i="5"/>
  <c r="I2602" i="5"/>
  <c r="G2602" i="5"/>
  <c r="Y2601" i="5"/>
  <c r="W2601" i="5"/>
  <c r="V2601" i="5"/>
  <c r="T2601" i="5"/>
  <c r="S2601" i="5"/>
  <c r="R2601" i="5"/>
  <c r="Q2601" i="5"/>
  <c r="P2601" i="5"/>
  <c r="O2601" i="5"/>
  <c r="N2601" i="5"/>
  <c r="L2601" i="5"/>
  <c r="K2601" i="5"/>
  <c r="J2601" i="5"/>
  <c r="I2601" i="5"/>
  <c r="G2601" i="5"/>
  <c r="F2601" i="5"/>
  <c r="E2601" i="5"/>
  <c r="Y2600" i="5"/>
  <c r="W2600" i="5"/>
  <c r="V2600" i="5"/>
  <c r="T2600" i="5"/>
  <c r="S2600" i="5"/>
  <c r="R2600" i="5"/>
  <c r="Q2600" i="5"/>
  <c r="O2600" i="5"/>
  <c r="N2600" i="5"/>
  <c r="L2600" i="5"/>
  <c r="K2600" i="5"/>
  <c r="J2600" i="5"/>
  <c r="I2600" i="5"/>
  <c r="G2600" i="5"/>
  <c r="F2600" i="5"/>
  <c r="E2600" i="5"/>
  <c r="Y2599" i="5"/>
  <c r="W2599" i="5"/>
  <c r="V2599" i="5"/>
  <c r="T2599" i="5"/>
  <c r="S2599" i="5"/>
  <c r="R2599" i="5"/>
  <c r="Q2599" i="5"/>
  <c r="O2599" i="5"/>
  <c r="N2599" i="5"/>
  <c r="L2599" i="5"/>
  <c r="K2599" i="5"/>
  <c r="J2599" i="5"/>
  <c r="I2599" i="5"/>
  <c r="G2599" i="5"/>
  <c r="F2599" i="5"/>
  <c r="E2599" i="5"/>
  <c r="Y2598" i="5"/>
  <c r="T2598" i="5"/>
  <c r="S2598" i="5"/>
  <c r="R2598" i="5"/>
  <c r="Q2598" i="5"/>
  <c r="P2598" i="5"/>
  <c r="O2598" i="5"/>
  <c r="N2598" i="5"/>
  <c r="L2598" i="5"/>
  <c r="K2598" i="5"/>
  <c r="J2598" i="5"/>
  <c r="I2598" i="5"/>
  <c r="G2598" i="5"/>
  <c r="Y2597" i="5"/>
  <c r="T2597" i="5"/>
  <c r="S2597" i="5"/>
  <c r="R2597" i="5"/>
  <c r="Q2597" i="5"/>
  <c r="O2597" i="5"/>
  <c r="N2597" i="5"/>
  <c r="L2597" i="5"/>
  <c r="K2597" i="5"/>
  <c r="J2597" i="5"/>
  <c r="I2597" i="5"/>
  <c r="G2597" i="5"/>
  <c r="Y2596" i="5"/>
  <c r="T2596" i="5"/>
  <c r="S2596" i="5"/>
  <c r="R2596" i="5"/>
  <c r="Q2596" i="5"/>
  <c r="O2596" i="5"/>
  <c r="N2596" i="5"/>
  <c r="L2596" i="5"/>
  <c r="K2596" i="5"/>
  <c r="J2596" i="5"/>
  <c r="I2596" i="5"/>
  <c r="G2596" i="5"/>
  <c r="F2596" i="5"/>
  <c r="E2596" i="5"/>
  <c r="Y2595" i="5"/>
  <c r="T2595" i="5"/>
  <c r="S2595" i="5"/>
  <c r="R2595" i="5"/>
  <c r="Q2595" i="5"/>
  <c r="O2595" i="5"/>
  <c r="N2595" i="5"/>
  <c r="L2595" i="5"/>
  <c r="K2595" i="5"/>
  <c r="J2595" i="5"/>
  <c r="I2595" i="5"/>
  <c r="G2595" i="5"/>
  <c r="Y2594" i="5"/>
  <c r="T2594" i="5"/>
  <c r="S2594" i="5"/>
  <c r="R2594" i="5"/>
  <c r="Q2594" i="5"/>
  <c r="O2594" i="5"/>
  <c r="N2594" i="5"/>
  <c r="L2594" i="5"/>
  <c r="K2594" i="5"/>
  <c r="J2594" i="5"/>
  <c r="I2594" i="5"/>
  <c r="G2594" i="5"/>
  <c r="F2594" i="5"/>
  <c r="E2594" i="5"/>
  <c r="Y2593" i="5"/>
  <c r="T2593" i="5"/>
  <c r="S2593" i="5"/>
  <c r="R2593" i="5"/>
  <c r="Q2593" i="5"/>
  <c r="O2593" i="5"/>
  <c r="N2593" i="5"/>
  <c r="L2593" i="5"/>
  <c r="K2593" i="5"/>
  <c r="J2593" i="5"/>
  <c r="I2593" i="5"/>
  <c r="G2593" i="5"/>
  <c r="F2593" i="5"/>
  <c r="E2593" i="5"/>
  <c r="Y2592" i="5"/>
  <c r="T2592" i="5"/>
  <c r="S2592" i="5"/>
  <c r="R2592" i="5"/>
  <c r="Q2592" i="5"/>
  <c r="O2592" i="5"/>
  <c r="N2592" i="5"/>
  <c r="L2592" i="5"/>
  <c r="K2592" i="5"/>
  <c r="J2592" i="5"/>
  <c r="I2592" i="5"/>
  <c r="G2592" i="5"/>
  <c r="F2592" i="5"/>
  <c r="E2592" i="5"/>
  <c r="Y2591" i="5"/>
  <c r="T2591" i="5"/>
  <c r="S2591" i="5"/>
  <c r="R2591" i="5"/>
  <c r="Q2591" i="5"/>
  <c r="O2591" i="5"/>
  <c r="N2591" i="5"/>
  <c r="L2591" i="5"/>
  <c r="K2591" i="5"/>
  <c r="J2591" i="5"/>
  <c r="I2591" i="5"/>
  <c r="G2591" i="5"/>
  <c r="F2591" i="5"/>
  <c r="E2591" i="5"/>
  <c r="Y2590" i="5"/>
  <c r="T2590" i="5"/>
  <c r="S2590" i="5"/>
  <c r="R2590" i="5"/>
  <c r="Q2590" i="5"/>
  <c r="O2590" i="5"/>
  <c r="N2590" i="5"/>
  <c r="L2590" i="5"/>
  <c r="K2590" i="5"/>
  <c r="J2590" i="5"/>
  <c r="I2590" i="5"/>
  <c r="G2590" i="5"/>
  <c r="Y2589" i="5"/>
  <c r="T2589" i="5"/>
  <c r="S2589" i="5"/>
  <c r="R2589" i="5"/>
  <c r="Q2589" i="5"/>
  <c r="O2589" i="5"/>
  <c r="N2589" i="5"/>
  <c r="L2589" i="5"/>
  <c r="K2589" i="5"/>
  <c r="J2589" i="5"/>
  <c r="I2589" i="5"/>
  <c r="G2589" i="5"/>
  <c r="F2589" i="5"/>
  <c r="E2589" i="5"/>
  <c r="Y2588" i="5"/>
  <c r="T2588" i="5"/>
  <c r="S2588" i="5"/>
  <c r="R2588" i="5"/>
  <c r="Q2588" i="5"/>
  <c r="O2588" i="5"/>
  <c r="N2588" i="5"/>
  <c r="L2588" i="5"/>
  <c r="K2588" i="5"/>
  <c r="J2588" i="5"/>
  <c r="I2588" i="5"/>
  <c r="G2588" i="5"/>
  <c r="F2588" i="5"/>
  <c r="E2588" i="5"/>
  <c r="Y2587" i="5"/>
  <c r="T2587" i="5"/>
  <c r="S2587" i="5"/>
  <c r="R2587" i="5"/>
  <c r="Q2587" i="5"/>
  <c r="O2587" i="5"/>
  <c r="N2587" i="5"/>
  <c r="L2587" i="5"/>
  <c r="K2587" i="5"/>
  <c r="J2587" i="5"/>
  <c r="I2587" i="5"/>
  <c r="G2587" i="5"/>
  <c r="F2587" i="5"/>
  <c r="E2587" i="5"/>
  <c r="Y2586" i="5"/>
  <c r="T2586" i="5"/>
  <c r="S2586" i="5"/>
  <c r="R2586" i="5"/>
  <c r="Q2586" i="5"/>
  <c r="O2586" i="5"/>
  <c r="N2586" i="5"/>
  <c r="L2586" i="5"/>
  <c r="K2586" i="5"/>
  <c r="J2586" i="5"/>
  <c r="I2586" i="5"/>
  <c r="G2586" i="5"/>
  <c r="F2586" i="5"/>
  <c r="E2586" i="5"/>
  <c r="Y2585" i="5"/>
  <c r="T2585" i="5"/>
  <c r="S2585" i="5"/>
  <c r="R2585" i="5"/>
  <c r="Q2585" i="5"/>
  <c r="O2585" i="5"/>
  <c r="N2585" i="5"/>
  <c r="L2585" i="5"/>
  <c r="K2585" i="5"/>
  <c r="J2585" i="5"/>
  <c r="I2585" i="5"/>
  <c r="G2585" i="5"/>
  <c r="F2585" i="5"/>
  <c r="E2585" i="5"/>
  <c r="Y2584" i="5"/>
  <c r="T2584" i="5"/>
  <c r="S2584" i="5"/>
  <c r="R2584" i="5"/>
  <c r="Q2584" i="5"/>
  <c r="O2584" i="5"/>
  <c r="N2584" i="5"/>
  <c r="L2584" i="5"/>
  <c r="K2584" i="5"/>
  <c r="J2584" i="5"/>
  <c r="I2584" i="5"/>
  <c r="G2584" i="5"/>
  <c r="F2584" i="5"/>
  <c r="E2584" i="5"/>
  <c r="Y2583" i="5"/>
  <c r="T2583" i="5"/>
  <c r="S2583" i="5"/>
  <c r="R2583" i="5"/>
  <c r="Q2583" i="5"/>
  <c r="O2583" i="5"/>
  <c r="N2583" i="5"/>
  <c r="L2583" i="5"/>
  <c r="K2583" i="5"/>
  <c r="J2583" i="5"/>
  <c r="I2583" i="5"/>
  <c r="G2583" i="5"/>
  <c r="F2583" i="5"/>
  <c r="E2583" i="5"/>
  <c r="Y2582" i="5"/>
  <c r="T2582" i="5"/>
  <c r="S2582" i="5"/>
  <c r="R2582" i="5"/>
  <c r="Q2582" i="5"/>
  <c r="O2582" i="5"/>
  <c r="N2582" i="5"/>
  <c r="L2582" i="5"/>
  <c r="K2582" i="5"/>
  <c r="J2582" i="5"/>
  <c r="I2582" i="5"/>
  <c r="G2582" i="5"/>
  <c r="F2582" i="5"/>
  <c r="Y2581" i="5"/>
  <c r="T2581" i="5"/>
  <c r="S2581" i="5"/>
  <c r="R2581" i="5"/>
  <c r="Q2581" i="5"/>
  <c r="O2581" i="5"/>
  <c r="N2581" i="5"/>
  <c r="L2581" i="5"/>
  <c r="K2581" i="5"/>
  <c r="J2581" i="5"/>
  <c r="I2581" i="5"/>
  <c r="G2581" i="5"/>
  <c r="F2581" i="5"/>
  <c r="E2581" i="5"/>
  <c r="Y2580" i="5"/>
  <c r="T2580" i="5"/>
  <c r="S2580" i="5"/>
  <c r="R2580" i="5"/>
  <c r="Q2580" i="5"/>
  <c r="O2580" i="5"/>
  <c r="N2580" i="5"/>
  <c r="L2580" i="5"/>
  <c r="K2580" i="5"/>
  <c r="J2580" i="5"/>
  <c r="I2580" i="5"/>
  <c r="G2580" i="5"/>
  <c r="F2580" i="5"/>
  <c r="E2580" i="5"/>
  <c r="Y2579" i="5"/>
  <c r="T2579" i="5"/>
  <c r="S2579" i="5"/>
  <c r="R2579" i="5"/>
  <c r="Q2579" i="5"/>
  <c r="O2579" i="5"/>
  <c r="N2579" i="5"/>
  <c r="L2579" i="5"/>
  <c r="K2579" i="5"/>
  <c r="J2579" i="5"/>
  <c r="I2579" i="5"/>
  <c r="G2579" i="5"/>
  <c r="F2579" i="5"/>
  <c r="E2579" i="5"/>
  <c r="Y2578" i="5"/>
  <c r="T2578" i="5"/>
  <c r="S2578" i="5"/>
  <c r="R2578" i="5"/>
  <c r="Q2578" i="5"/>
  <c r="O2578" i="5"/>
  <c r="N2578" i="5"/>
  <c r="L2578" i="5"/>
  <c r="K2578" i="5"/>
  <c r="J2578" i="5"/>
  <c r="I2578" i="5"/>
  <c r="G2578" i="5"/>
  <c r="F2578" i="5"/>
  <c r="E2578" i="5"/>
  <c r="Y2577" i="5"/>
  <c r="T2577" i="5"/>
  <c r="S2577" i="5"/>
  <c r="R2577" i="5"/>
  <c r="Q2577" i="5"/>
  <c r="O2577" i="5"/>
  <c r="N2577" i="5"/>
  <c r="L2577" i="5"/>
  <c r="K2577" i="5"/>
  <c r="J2577" i="5"/>
  <c r="I2577" i="5"/>
  <c r="G2577" i="5"/>
  <c r="F2577" i="5"/>
  <c r="E2577" i="5"/>
  <c r="Y2576" i="5"/>
  <c r="T2576" i="5"/>
  <c r="S2576" i="5"/>
  <c r="R2576" i="5"/>
  <c r="Q2576" i="5"/>
  <c r="O2576" i="5"/>
  <c r="N2576" i="5"/>
  <c r="L2576" i="5"/>
  <c r="K2576" i="5"/>
  <c r="J2576" i="5"/>
  <c r="I2576" i="5"/>
  <c r="G2576" i="5"/>
  <c r="F2576" i="5"/>
  <c r="E2576" i="5"/>
  <c r="Y2575" i="5"/>
  <c r="T2575" i="5"/>
  <c r="S2575" i="5"/>
  <c r="R2575" i="5"/>
  <c r="Q2575" i="5"/>
  <c r="O2575" i="5"/>
  <c r="N2575" i="5"/>
  <c r="L2575" i="5"/>
  <c r="K2575" i="5"/>
  <c r="J2575" i="5"/>
  <c r="I2575" i="5"/>
  <c r="G2575" i="5"/>
  <c r="F2575" i="5"/>
  <c r="E2575" i="5"/>
  <c r="Y2574" i="5"/>
  <c r="T2574" i="5"/>
  <c r="S2574" i="5"/>
  <c r="R2574" i="5"/>
  <c r="Q2574" i="5"/>
  <c r="O2574" i="5"/>
  <c r="N2574" i="5"/>
  <c r="L2574" i="5"/>
  <c r="K2574" i="5"/>
  <c r="J2574" i="5"/>
  <c r="I2574" i="5"/>
  <c r="G2574" i="5"/>
  <c r="F2574" i="5"/>
  <c r="E2574" i="5"/>
  <c r="Y2573" i="5"/>
  <c r="Y2608" i="5" s="1"/>
  <c r="T2573" i="5"/>
  <c r="S2573" i="5"/>
  <c r="S2608" i="5" s="1"/>
  <c r="R2573" i="5"/>
  <c r="Q2573" i="5"/>
  <c r="O2573" i="5"/>
  <c r="O2608" i="5" s="1"/>
  <c r="N2573" i="5"/>
  <c r="L2573" i="5"/>
  <c r="K2573" i="5"/>
  <c r="K2608" i="5" s="1"/>
  <c r="J2573" i="5"/>
  <c r="I2573" i="5"/>
  <c r="I2608" i="5" s="1"/>
  <c r="G2573" i="5"/>
  <c r="G2608" i="5" s="1"/>
  <c r="F2573" i="5"/>
  <c r="E2573" i="5"/>
  <c r="P2565" i="5"/>
  <c r="H2565" i="5"/>
  <c r="E2565" i="5"/>
  <c r="X2564" i="5"/>
  <c r="Z2564" i="5" s="1"/>
  <c r="Y2563" i="5"/>
  <c r="T2563" i="5"/>
  <c r="S2563" i="5"/>
  <c r="R2563" i="5"/>
  <c r="Q2563" i="5"/>
  <c r="O2563" i="5"/>
  <c r="N2563" i="5"/>
  <c r="L2563" i="5"/>
  <c r="K2563" i="5"/>
  <c r="J2563" i="5"/>
  <c r="I2563" i="5"/>
  <c r="G2563" i="5"/>
  <c r="F2563" i="5"/>
  <c r="Y2562" i="5"/>
  <c r="T2562" i="5"/>
  <c r="S2562" i="5"/>
  <c r="R2562" i="5"/>
  <c r="Q2562" i="5"/>
  <c r="O2562" i="5"/>
  <c r="N2562" i="5"/>
  <c r="L2562" i="5"/>
  <c r="K2562" i="5"/>
  <c r="J2562" i="5"/>
  <c r="I2562" i="5"/>
  <c r="G2562" i="5"/>
  <c r="F2562" i="5"/>
  <c r="E2562" i="5"/>
  <c r="Y2561" i="5"/>
  <c r="T2561" i="5"/>
  <c r="S2561" i="5"/>
  <c r="R2561" i="5"/>
  <c r="Q2561" i="5"/>
  <c r="O2561" i="5"/>
  <c r="N2561" i="5"/>
  <c r="L2561" i="5"/>
  <c r="K2561" i="5"/>
  <c r="J2561" i="5"/>
  <c r="I2561" i="5"/>
  <c r="G2561" i="5"/>
  <c r="F2561" i="5"/>
  <c r="E2561" i="5"/>
  <c r="Y2560" i="5"/>
  <c r="T2560" i="5"/>
  <c r="S2560" i="5"/>
  <c r="R2560" i="5"/>
  <c r="Q2560" i="5"/>
  <c r="O2560" i="5"/>
  <c r="N2560" i="5"/>
  <c r="L2560" i="5"/>
  <c r="K2560" i="5"/>
  <c r="J2560" i="5"/>
  <c r="I2560" i="5"/>
  <c r="G2560" i="5"/>
  <c r="F2560" i="5"/>
  <c r="E2560" i="5"/>
  <c r="Y2559" i="5"/>
  <c r="T2559" i="5"/>
  <c r="S2559" i="5"/>
  <c r="R2559" i="5"/>
  <c r="Q2559" i="5"/>
  <c r="O2559" i="5"/>
  <c r="N2559" i="5"/>
  <c r="L2559" i="5"/>
  <c r="K2559" i="5"/>
  <c r="J2559" i="5"/>
  <c r="I2559" i="5"/>
  <c r="G2559" i="5"/>
  <c r="F2559" i="5"/>
  <c r="E2559" i="5"/>
  <c r="Y2558" i="5"/>
  <c r="T2558" i="5"/>
  <c r="S2558" i="5"/>
  <c r="R2558" i="5"/>
  <c r="Q2558" i="5"/>
  <c r="O2558" i="5"/>
  <c r="N2558" i="5"/>
  <c r="L2558" i="5"/>
  <c r="K2558" i="5"/>
  <c r="J2558" i="5"/>
  <c r="I2558" i="5"/>
  <c r="G2558" i="5"/>
  <c r="F2558" i="5"/>
  <c r="E2558" i="5"/>
  <c r="Y2557" i="5"/>
  <c r="T2557" i="5"/>
  <c r="S2557" i="5"/>
  <c r="R2557" i="5"/>
  <c r="Q2557" i="5"/>
  <c r="O2557" i="5"/>
  <c r="N2557" i="5"/>
  <c r="L2557" i="5"/>
  <c r="K2557" i="5"/>
  <c r="J2557" i="5"/>
  <c r="I2557" i="5"/>
  <c r="G2557" i="5"/>
  <c r="Y2556" i="5"/>
  <c r="T2556" i="5"/>
  <c r="S2556" i="5"/>
  <c r="R2556" i="5"/>
  <c r="Q2556" i="5"/>
  <c r="O2556" i="5"/>
  <c r="N2556" i="5"/>
  <c r="L2556" i="5"/>
  <c r="K2556" i="5"/>
  <c r="J2556" i="5"/>
  <c r="I2556" i="5"/>
  <c r="G2556" i="5"/>
  <c r="Y2555" i="5"/>
  <c r="T2555" i="5"/>
  <c r="S2555" i="5"/>
  <c r="R2555" i="5"/>
  <c r="Q2555" i="5"/>
  <c r="O2555" i="5"/>
  <c r="N2555" i="5"/>
  <c r="L2555" i="5"/>
  <c r="K2555" i="5"/>
  <c r="J2555" i="5"/>
  <c r="I2555" i="5"/>
  <c r="G2555" i="5"/>
  <c r="F2555" i="5"/>
  <c r="E2555" i="5"/>
  <c r="Y2554" i="5"/>
  <c r="T2554" i="5"/>
  <c r="S2554" i="5"/>
  <c r="R2554" i="5"/>
  <c r="Q2554" i="5"/>
  <c r="O2554" i="5"/>
  <c r="N2554" i="5"/>
  <c r="L2554" i="5"/>
  <c r="K2554" i="5"/>
  <c r="J2554" i="5"/>
  <c r="I2554" i="5"/>
  <c r="G2554" i="5"/>
  <c r="F2554" i="5"/>
  <c r="E2554" i="5"/>
  <c r="Y2553" i="5"/>
  <c r="T2553" i="5"/>
  <c r="S2553" i="5"/>
  <c r="R2553" i="5"/>
  <c r="Q2553" i="5"/>
  <c r="O2553" i="5"/>
  <c r="N2553" i="5"/>
  <c r="L2553" i="5"/>
  <c r="K2553" i="5"/>
  <c r="J2553" i="5"/>
  <c r="I2553" i="5"/>
  <c r="G2553" i="5"/>
  <c r="Y2552" i="5"/>
  <c r="T2552" i="5"/>
  <c r="S2552" i="5"/>
  <c r="R2552" i="5"/>
  <c r="Q2552" i="5"/>
  <c r="O2552" i="5"/>
  <c r="N2552" i="5"/>
  <c r="L2552" i="5"/>
  <c r="K2552" i="5"/>
  <c r="J2552" i="5"/>
  <c r="I2552" i="5"/>
  <c r="G2552" i="5"/>
  <c r="F2552" i="5"/>
  <c r="E2552" i="5"/>
  <c r="Y2551" i="5"/>
  <c r="T2551" i="5"/>
  <c r="S2551" i="5"/>
  <c r="R2551" i="5"/>
  <c r="Q2551" i="5"/>
  <c r="O2551" i="5"/>
  <c r="N2551" i="5"/>
  <c r="L2551" i="5"/>
  <c r="K2551" i="5"/>
  <c r="J2551" i="5"/>
  <c r="I2551" i="5"/>
  <c r="G2551" i="5"/>
  <c r="F2551" i="5"/>
  <c r="E2551" i="5"/>
  <c r="Y2550" i="5"/>
  <c r="T2550" i="5"/>
  <c r="S2550" i="5"/>
  <c r="R2550" i="5"/>
  <c r="Q2550" i="5"/>
  <c r="O2550" i="5"/>
  <c r="N2550" i="5"/>
  <c r="L2550" i="5"/>
  <c r="K2550" i="5"/>
  <c r="J2550" i="5"/>
  <c r="I2550" i="5"/>
  <c r="G2550" i="5"/>
  <c r="F2550" i="5"/>
  <c r="E2550" i="5"/>
  <c r="Y2549" i="5"/>
  <c r="T2549" i="5"/>
  <c r="S2549" i="5"/>
  <c r="R2549" i="5"/>
  <c r="Q2549" i="5"/>
  <c r="O2549" i="5"/>
  <c r="N2549" i="5"/>
  <c r="L2549" i="5"/>
  <c r="K2549" i="5"/>
  <c r="J2549" i="5"/>
  <c r="I2549" i="5"/>
  <c r="G2549" i="5"/>
  <c r="F2549" i="5"/>
  <c r="E2549" i="5"/>
  <c r="Y2548" i="5"/>
  <c r="T2548" i="5"/>
  <c r="S2548" i="5"/>
  <c r="R2548" i="5"/>
  <c r="Q2548" i="5"/>
  <c r="O2548" i="5"/>
  <c r="N2548" i="5"/>
  <c r="L2548" i="5"/>
  <c r="K2548" i="5"/>
  <c r="J2548" i="5"/>
  <c r="I2548" i="5"/>
  <c r="G2548" i="5"/>
  <c r="Y2547" i="5"/>
  <c r="T2547" i="5"/>
  <c r="S2547" i="5"/>
  <c r="R2547" i="5"/>
  <c r="Q2547" i="5"/>
  <c r="O2547" i="5"/>
  <c r="N2547" i="5"/>
  <c r="L2547" i="5"/>
  <c r="K2547" i="5"/>
  <c r="J2547" i="5"/>
  <c r="I2547" i="5"/>
  <c r="G2547" i="5"/>
  <c r="F2547" i="5"/>
  <c r="E2547" i="5"/>
  <c r="Y2546" i="5"/>
  <c r="T2546" i="5"/>
  <c r="S2546" i="5"/>
  <c r="R2546" i="5"/>
  <c r="Q2546" i="5"/>
  <c r="O2546" i="5"/>
  <c r="N2546" i="5"/>
  <c r="L2546" i="5"/>
  <c r="K2546" i="5"/>
  <c r="J2546" i="5"/>
  <c r="I2546" i="5"/>
  <c r="G2546" i="5"/>
  <c r="F2546" i="5"/>
  <c r="Y2545" i="5"/>
  <c r="T2545" i="5"/>
  <c r="S2545" i="5"/>
  <c r="R2545" i="5"/>
  <c r="Q2545" i="5"/>
  <c r="O2545" i="5"/>
  <c r="N2545" i="5"/>
  <c r="L2545" i="5"/>
  <c r="K2545" i="5"/>
  <c r="J2545" i="5"/>
  <c r="I2545" i="5"/>
  <c r="G2545" i="5"/>
  <c r="F2545" i="5"/>
  <c r="E2545" i="5"/>
  <c r="Y2544" i="5"/>
  <c r="T2544" i="5"/>
  <c r="S2544" i="5"/>
  <c r="R2544" i="5"/>
  <c r="Q2544" i="5"/>
  <c r="O2544" i="5"/>
  <c r="N2544" i="5"/>
  <c r="L2544" i="5"/>
  <c r="K2544" i="5"/>
  <c r="J2544" i="5"/>
  <c r="I2544" i="5"/>
  <c r="G2544" i="5"/>
  <c r="F2544" i="5"/>
  <c r="E2544" i="5"/>
  <c r="Y2543" i="5"/>
  <c r="T2543" i="5"/>
  <c r="S2543" i="5"/>
  <c r="R2543" i="5"/>
  <c r="Q2543" i="5"/>
  <c r="O2543" i="5"/>
  <c r="N2543" i="5"/>
  <c r="L2543" i="5"/>
  <c r="K2543" i="5"/>
  <c r="J2543" i="5"/>
  <c r="I2543" i="5"/>
  <c r="G2543" i="5"/>
  <c r="F2543" i="5"/>
  <c r="E2543" i="5"/>
  <c r="Y2542" i="5"/>
  <c r="T2542" i="5"/>
  <c r="S2542" i="5"/>
  <c r="R2542" i="5"/>
  <c r="Q2542" i="5"/>
  <c r="O2542" i="5"/>
  <c r="N2542" i="5"/>
  <c r="L2542" i="5"/>
  <c r="K2542" i="5"/>
  <c r="J2542" i="5"/>
  <c r="I2542" i="5"/>
  <c r="G2542" i="5"/>
  <c r="F2542" i="5"/>
  <c r="E2542" i="5"/>
  <c r="Y2541" i="5"/>
  <c r="T2541" i="5"/>
  <c r="S2541" i="5"/>
  <c r="R2541" i="5"/>
  <c r="Q2541" i="5"/>
  <c r="O2541" i="5"/>
  <c r="N2541" i="5"/>
  <c r="L2541" i="5"/>
  <c r="K2541" i="5"/>
  <c r="J2541" i="5"/>
  <c r="I2541" i="5"/>
  <c r="G2541" i="5"/>
  <c r="X2540" i="5"/>
  <c r="Z2540" i="5" s="1"/>
  <c r="Z2539" i="5"/>
  <c r="X2539" i="5"/>
  <c r="Y2538" i="5"/>
  <c r="X2538" i="5"/>
  <c r="Z2538" i="5" s="1"/>
  <c r="S2538" i="5"/>
  <c r="R2538" i="5"/>
  <c r="Q2538" i="5"/>
  <c r="O2538" i="5"/>
  <c r="N2538" i="5"/>
  <c r="K2538" i="5"/>
  <c r="J2538" i="5"/>
  <c r="I2538" i="5"/>
  <c r="G2538" i="5"/>
  <c r="F2538" i="5"/>
  <c r="X2537" i="5"/>
  <c r="Z2537" i="5" s="1"/>
  <c r="X2536" i="5"/>
  <c r="Z2536" i="5" s="1"/>
  <c r="P2535" i="5"/>
  <c r="H2535" i="5"/>
  <c r="E2535" i="5"/>
  <c r="X2534" i="5"/>
  <c r="Z2534" i="5" s="1"/>
  <c r="Y2533" i="5"/>
  <c r="T2533" i="5"/>
  <c r="S2533" i="5"/>
  <c r="R2533" i="5"/>
  <c r="Q2533" i="5"/>
  <c r="O2533" i="5"/>
  <c r="N2533" i="5"/>
  <c r="L2533" i="5"/>
  <c r="K2533" i="5"/>
  <c r="J2533" i="5"/>
  <c r="I2533" i="5"/>
  <c r="G2533" i="5"/>
  <c r="F2533" i="5"/>
  <c r="E2533" i="5"/>
  <c r="Y2532" i="5"/>
  <c r="T2532" i="5"/>
  <c r="S2532" i="5"/>
  <c r="R2532" i="5"/>
  <c r="Q2532" i="5"/>
  <c r="O2532" i="5"/>
  <c r="N2532" i="5"/>
  <c r="L2532" i="5"/>
  <c r="K2532" i="5"/>
  <c r="J2532" i="5"/>
  <c r="I2532" i="5"/>
  <c r="G2532" i="5"/>
  <c r="F2532" i="5"/>
  <c r="E2532" i="5"/>
  <c r="Y2531" i="5"/>
  <c r="T2531" i="5"/>
  <c r="S2531" i="5"/>
  <c r="R2531" i="5"/>
  <c r="Q2531" i="5"/>
  <c r="O2531" i="5"/>
  <c r="N2531" i="5"/>
  <c r="L2531" i="5"/>
  <c r="K2531" i="5"/>
  <c r="J2531" i="5"/>
  <c r="I2531" i="5"/>
  <c r="G2531" i="5"/>
  <c r="F2531" i="5"/>
  <c r="E2531" i="5"/>
  <c r="Y2530" i="5"/>
  <c r="T2530" i="5"/>
  <c r="S2530" i="5"/>
  <c r="R2530" i="5"/>
  <c r="Q2530" i="5"/>
  <c r="O2530" i="5"/>
  <c r="N2530" i="5"/>
  <c r="L2530" i="5"/>
  <c r="K2530" i="5"/>
  <c r="J2530" i="5"/>
  <c r="I2530" i="5"/>
  <c r="G2530" i="5"/>
  <c r="F2530" i="5"/>
  <c r="E2530" i="5"/>
  <c r="Y2529" i="5"/>
  <c r="W2529" i="5"/>
  <c r="T2529" i="5"/>
  <c r="S2529" i="5"/>
  <c r="R2529" i="5"/>
  <c r="Q2529" i="5"/>
  <c r="O2529" i="5"/>
  <c r="N2529" i="5"/>
  <c r="L2529" i="5"/>
  <c r="K2529" i="5"/>
  <c r="J2529" i="5"/>
  <c r="I2529" i="5"/>
  <c r="G2529" i="5"/>
  <c r="F2529" i="5"/>
  <c r="E2529" i="5"/>
  <c r="Y2528" i="5"/>
  <c r="W2528" i="5"/>
  <c r="T2528" i="5"/>
  <c r="S2528" i="5"/>
  <c r="R2528" i="5"/>
  <c r="Q2528" i="5"/>
  <c r="O2528" i="5"/>
  <c r="N2528" i="5"/>
  <c r="L2528" i="5"/>
  <c r="K2528" i="5"/>
  <c r="J2528" i="5"/>
  <c r="I2528" i="5"/>
  <c r="G2528" i="5"/>
  <c r="Y2527" i="5"/>
  <c r="T2527" i="5"/>
  <c r="S2527" i="5"/>
  <c r="R2527" i="5"/>
  <c r="Q2527" i="5"/>
  <c r="O2527" i="5"/>
  <c r="N2527" i="5"/>
  <c r="L2527" i="5"/>
  <c r="K2527" i="5"/>
  <c r="J2527" i="5"/>
  <c r="I2527" i="5"/>
  <c r="G2527" i="5"/>
  <c r="Y2526" i="5"/>
  <c r="T2526" i="5"/>
  <c r="S2526" i="5"/>
  <c r="R2526" i="5"/>
  <c r="Q2526" i="5"/>
  <c r="O2526" i="5"/>
  <c r="N2526" i="5"/>
  <c r="L2526" i="5"/>
  <c r="K2526" i="5"/>
  <c r="J2526" i="5"/>
  <c r="I2526" i="5"/>
  <c r="G2526" i="5"/>
  <c r="F2526" i="5"/>
  <c r="E2526" i="5"/>
  <c r="Y2525" i="5"/>
  <c r="T2525" i="5"/>
  <c r="S2525" i="5"/>
  <c r="R2525" i="5"/>
  <c r="Q2525" i="5"/>
  <c r="O2525" i="5"/>
  <c r="N2525" i="5"/>
  <c r="L2525" i="5"/>
  <c r="K2525" i="5"/>
  <c r="J2525" i="5"/>
  <c r="I2525" i="5"/>
  <c r="G2525" i="5"/>
  <c r="F2525" i="5"/>
  <c r="E2525" i="5"/>
  <c r="Y2524" i="5"/>
  <c r="T2524" i="5"/>
  <c r="S2524" i="5"/>
  <c r="R2524" i="5"/>
  <c r="Q2524" i="5"/>
  <c r="O2524" i="5"/>
  <c r="N2524" i="5"/>
  <c r="L2524" i="5"/>
  <c r="K2524" i="5"/>
  <c r="J2524" i="5"/>
  <c r="I2524" i="5"/>
  <c r="G2524" i="5"/>
  <c r="F2524" i="5"/>
  <c r="E2524" i="5"/>
  <c r="Y2523" i="5"/>
  <c r="T2523" i="5"/>
  <c r="S2523" i="5"/>
  <c r="R2523" i="5"/>
  <c r="O2523" i="5"/>
  <c r="L2523" i="5"/>
  <c r="K2523" i="5"/>
  <c r="J2523" i="5"/>
  <c r="I2523" i="5"/>
  <c r="G2523" i="5"/>
  <c r="F2523" i="5"/>
  <c r="E2523" i="5"/>
  <c r="Y2522" i="5"/>
  <c r="T2522" i="5"/>
  <c r="S2522" i="5"/>
  <c r="R2522" i="5"/>
  <c r="Q2522" i="5"/>
  <c r="O2522" i="5"/>
  <c r="N2522" i="5"/>
  <c r="L2522" i="5"/>
  <c r="K2522" i="5"/>
  <c r="J2522" i="5"/>
  <c r="I2522" i="5"/>
  <c r="G2522" i="5"/>
  <c r="F2522" i="5"/>
  <c r="E2522" i="5"/>
  <c r="Y2521" i="5"/>
  <c r="T2521" i="5"/>
  <c r="S2521" i="5"/>
  <c r="R2521" i="5"/>
  <c r="Q2521" i="5"/>
  <c r="O2521" i="5"/>
  <c r="N2521" i="5"/>
  <c r="L2521" i="5"/>
  <c r="K2521" i="5"/>
  <c r="J2521" i="5"/>
  <c r="I2521" i="5"/>
  <c r="G2521" i="5"/>
  <c r="F2521" i="5"/>
  <c r="E2521" i="5"/>
  <c r="Y2520" i="5"/>
  <c r="T2520" i="5"/>
  <c r="S2520" i="5"/>
  <c r="R2520" i="5"/>
  <c r="Q2520" i="5"/>
  <c r="O2520" i="5"/>
  <c r="N2520" i="5"/>
  <c r="L2520" i="5"/>
  <c r="K2520" i="5"/>
  <c r="J2520" i="5"/>
  <c r="I2520" i="5"/>
  <c r="G2520" i="5"/>
  <c r="F2520" i="5"/>
  <c r="E2520" i="5"/>
  <c r="Y2519" i="5"/>
  <c r="T2519" i="5"/>
  <c r="S2519" i="5"/>
  <c r="R2519" i="5"/>
  <c r="Q2519" i="5"/>
  <c r="O2519" i="5"/>
  <c r="N2519" i="5"/>
  <c r="L2519" i="5"/>
  <c r="K2519" i="5"/>
  <c r="J2519" i="5"/>
  <c r="I2519" i="5"/>
  <c r="G2519" i="5"/>
  <c r="F2519" i="5"/>
  <c r="E2519" i="5"/>
  <c r="Y2518" i="5"/>
  <c r="T2518" i="5"/>
  <c r="S2518" i="5"/>
  <c r="R2518" i="5"/>
  <c r="Q2518" i="5"/>
  <c r="O2518" i="5"/>
  <c r="N2518" i="5"/>
  <c r="L2518" i="5"/>
  <c r="K2518" i="5"/>
  <c r="J2518" i="5"/>
  <c r="I2518" i="5"/>
  <c r="G2518" i="5"/>
  <c r="X2517" i="5"/>
  <c r="Z2517" i="5" s="1"/>
  <c r="X2516" i="5"/>
  <c r="Z2516" i="5" s="1"/>
  <c r="P2515" i="5"/>
  <c r="H2515" i="5"/>
  <c r="E2515" i="5"/>
  <c r="X2514" i="5"/>
  <c r="Z2514" i="5" s="1"/>
  <c r="Y2513" i="5"/>
  <c r="T2513" i="5"/>
  <c r="S2513" i="5"/>
  <c r="R2513" i="5"/>
  <c r="Q2513" i="5"/>
  <c r="O2513" i="5"/>
  <c r="N2513" i="5"/>
  <c r="L2513" i="5"/>
  <c r="K2513" i="5"/>
  <c r="J2513" i="5"/>
  <c r="I2513" i="5"/>
  <c r="G2513" i="5"/>
  <c r="F2513" i="5"/>
  <c r="E2513" i="5"/>
  <c r="Y2512" i="5"/>
  <c r="W2512" i="5"/>
  <c r="V2512" i="5"/>
  <c r="T2512" i="5"/>
  <c r="S2512" i="5"/>
  <c r="R2512" i="5"/>
  <c r="Q2512" i="5"/>
  <c r="O2512" i="5"/>
  <c r="N2512" i="5"/>
  <c r="L2512" i="5"/>
  <c r="K2512" i="5"/>
  <c r="J2512" i="5"/>
  <c r="I2512" i="5"/>
  <c r="G2512" i="5"/>
  <c r="Y2511" i="5"/>
  <c r="T2511" i="5"/>
  <c r="S2511" i="5"/>
  <c r="R2511" i="5"/>
  <c r="Q2511" i="5"/>
  <c r="O2511" i="5"/>
  <c r="N2511" i="5"/>
  <c r="L2511" i="5"/>
  <c r="K2511" i="5"/>
  <c r="J2511" i="5"/>
  <c r="I2511" i="5"/>
  <c r="G2511" i="5"/>
  <c r="F2511" i="5"/>
  <c r="E2511" i="5"/>
  <c r="Y2510" i="5"/>
  <c r="T2510" i="5"/>
  <c r="S2510" i="5"/>
  <c r="R2510" i="5"/>
  <c r="Q2510" i="5"/>
  <c r="O2510" i="5"/>
  <c r="N2510" i="5"/>
  <c r="L2510" i="5"/>
  <c r="K2510" i="5"/>
  <c r="J2510" i="5"/>
  <c r="I2510" i="5"/>
  <c r="G2510" i="5"/>
  <c r="F2510" i="5"/>
  <c r="E2510" i="5"/>
  <c r="Y2509" i="5"/>
  <c r="T2509" i="5"/>
  <c r="S2509" i="5"/>
  <c r="R2509" i="5"/>
  <c r="Q2509" i="5"/>
  <c r="O2509" i="5"/>
  <c r="N2509" i="5"/>
  <c r="L2509" i="5"/>
  <c r="K2509" i="5"/>
  <c r="J2509" i="5"/>
  <c r="I2509" i="5"/>
  <c r="G2509" i="5"/>
  <c r="F2509" i="5"/>
  <c r="E2509" i="5"/>
  <c r="Y2508" i="5"/>
  <c r="T2508" i="5"/>
  <c r="S2508" i="5"/>
  <c r="R2508" i="5"/>
  <c r="Q2508" i="5"/>
  <c r="O2508" i="5"/>
  <c r="N2508" i="5"/>
  <c r="L2508" i="5"/>
  <c r="K2508" i="5"/>
  <c r="J2508" i="5"/>
  <c r="I2508" i="5"/>
  <c r="G2508" i="5"/>
  <c r="F2508" i="5"/>
  <c r="E2508" i="5"/>
  <c r="Y2507" i="5"/>
  <c r="T2507" i="5"/>
  <c r="S2507" i="5"/>
  <c r="R2507" i="5"/>
  <c r="Q2507" i="5"/>
  <c r="O2507" i="5"/>
  <c r="N2507" i="5"/>
  <c r="L2507" i="5"/>
  <c r="K2507" i="5"/>
  <c r="J2507" i="5"/>
  <c r="I2507" i="5"/>
  <c r="G2507" i="5"/>
  <c r="Y2506" i="5"/>
  <c r="T2506" i="5"/>
  <c r="S2506" i="5"/>
  <c r="R2506" i="5"/>
  <c r="Q2506" i="5"/>
  <c r="O2506" i="5"/>
  <c r="N2506" i="5"/>
  <c r="L2506" i="5"/>
  <c r="K2506" i="5"/>
  <c r="J2506" i="5"/>
  <c r="I2506" i="5"/>
  <c r="G2506" i="5"/>
  <c r="F2506" i="5"/>
  <c r="E2506" i="5"/>
  <c r="Y2505" i="5"/>
  <c r="T2505" i="5"/>
  <c r="S2505" i="5"/>
  <c r="R2505" i="5"/>
  <c r="Q2505" i="5"/>
  <c r="O2505" i="5"/>
  <c r="N2505" i="5"/>
  <c r="L2505" i="5"/>
  <c r="K2505" i="5"/>
  <c r="J2505" i="5"/>
  <c r="I2505" i="5"/>
  <c r="G2505" i="5"/>
  <c r="F2505" i="5"/>
  <c r="E2505" i="5"/>
  <c r="Y2504" i="5"/>
  <c r="T2504" i="5"/>
  <c r="S2504" i="5"/>
  <c r="R2504" i="5"/>
  <c r="Q2504" i="5"/>
  <c r="O2504" i="5"/>
  <c r="N2504" i="5"/>
  <c r="L2504" i="5"/>
  <c r="K2504" i="5"/>
  <c r="J2504" i="5"/>
  <c r="I2504" i="5"/>
  <c r="G2504" i="5"/>
  <c r="F2504" i="5"/>
  <c r="E2504" i="5"/>
  <c r="Y2503" i="5"/>
  <c r="T2503" i="5"/>
  <c r="S2503" i="5"/>
  <c r="R2503" i="5"/>
  <c r="Q2503" i="5"/>
  <c r="O2503" i="5"/>
  <c r="N2503" i="5"/>
  <c r="L2503" i="5"/>
  <c r="K2503" i="5"/>
  <c r="J2503" i="5"/>
  <c r="I2503" i="5"/>
  <c r="G2503" i="5"/>
  <c r="F2503" i="5"/>
  <c r="E2503" i="5"/>
  <c r="Y2502" i="5"/>
  <c r="T2502" i="5"/>
  <c r="S2502" i="5"/>
  <c r="R2502" i="5"/>
  <c r="Q2502" i="5"/>
  <c r="O2502" i="5"/>
  <c r="N2502" i="5"/>
  <c r="L2502" i="5"/>
  <c r="K2502" i="5"/>
  <c r="J2502" i="5"/>
  <c r="I2502" i="5"/>
  <c r="G2502" i="5"/>
  <c r="F2502" i="5"/>
  <c r="E2502" i="5"/>
  <c r="X2501" i="5"/>
  <c r="Z2501" i="5" s="1"/>
  <c r="X2500" i="5"/>
  <c r="Z2500" i="5" s="1"/>
  <c r="P2499" i="5"/>
  <c r="H2499" i="5"/>
  <c r="E2499" i="5"/>
  <c r="X2498" i="5"/>
  <c r="Z2498" i="5" s="1"/>
  <c r="Y2497" i="5"/>
  <c r="T2497" i="5"/>
  <c r="S2497" i="5"/>
  <c r="R2497" i="5"/>
  <c r="Q2497" i="5"/>
  <c r="O2497" i="5"/>
  <c r="N2497" i="5"/>
  <c r="L2497" i="5"/>
  <c r="K2497" i="5"/>
  <c r="J2497" i="5"/>
  <c r="I2497" i="5"/>
  <c r="G2497" i="5"/>
  <c r="F2497" i="5"/>
  <c r="E2497" i="5"/>
  <c r="Y2496" i="5"/>
  <c r="T2496" i="5"/>
  <c r="S2496" i="5"/>
  <c r="R2496" i="5"/>
  <c r="Q2496" i="5"/>
  <c r="O2496" i="5"/>
  <c r="N2496" i="5"/>
  <c r="L2496" i="5"/>
  <c r="K2496" i="5"/>
  <c r="J2496" i="5"/>
  <c r="I2496" i="5"/>
  <c r="G2496" i="5"/>
  <c r="F2496" i="5"/>
  <c r="E2496" i="5"/>
  <c r="Y2495" i="5"/>
  <c r="T2495" i="5"/>
  <c r="S2495" i="5"/>
  <c r="R2495" i="5"/>
  <c r="Q2495" i="5"/>
  <c r="O2495" i="5"/>
  <c r="N2495" i="5"/>
  <c r="L2495" i="5"/>
  <c r="K2495" i="5"/>
  <c r="J2495" i="5"/>
  <c r="I2495" i="5"/>
  <c r="G2495" i="5"/>
  <c r="F2495" i="5"/>
  <c r="E2495" i="5"/>
  <c r="Y2494" i="5"/>
  <c r="T2494" i="5"/>
  <c r="S2494" i="5"/>
  <c r="R2494" i="5"/>
  <c r="Q2494" i="5"/>
  <c r="O2494" i="5"/>
  <c r="N2494" i="5"/>
  <c r="L2494" i="5"/>
  <c r="K2494" i="5"/>
  <c r="J2494" i="5"/>
  <c r="I2494" i="5"/>
  <c r="G2494" i="5"/>
  <c r="F2494" i="5"/>
  <c r="E2494" i="5"/>
  <c r="Y2493" i="5"/>
  <c r="T2493" i="5"/>
  <c r="S2493" i="5"/>
  <c r="R2493" i="5"/>
  <c r="Q2493" i="5"/>
  <c r="O2493" i="5"/>
  <c r="N2493" i="5"/>
  <c r="L2493" i="5"/>
  <c r="K2493" i="5"/>
  <c r="J2493" i="5"/>
  <c r="I2493" i="5"/>
  <c r="G2493" i="5"/>
  <c r="F2493" i="5"/>
  <c r="E2493" i="5"/>
  <c r="Y2492" i="5"/>
  <c r="T2492" i="5"/>
  <c r="S2492" i="5"/>
  <c r="R2492" i="5"/>
  <c r="Q2492" i="5"/>
  <c r="O2492" i="5"/>
  <c r="N2492" i="5"/>
  <c r="L2492" i="5"/>
  <c r="K2492" i="5"/>
  <c r="J2492" i="5"/>
  <c r="I2492" i="5"/>
  <c r="G2492" i="5"/>
  <c r="F2492" i="5"/>
  <c r="E2492" i="5"/>
  <c r="Y2491" i="5"/>
  <c r="T2491" i="5"/>
  <c r="S2491" i="5"/>
  <c r="S2499" i="5" s="1"/>
  <c r="R2491" i="5"/>
  <c r="Q2491" i="5"/>
  <c r="O2491" i="5"/>
  <c r="N2491" i="5"/>
  <c r="L2491" i="5"/>
  <c r="K2491" i="5"/>
  <c r="J2491" i="5"/>
  <c r="I2491" i="5"/>
  <c r="G2491" i="5"/>
  <c r="F2491" i="5"/>
  <c r="E2491" i="5"/>
  <c r="X2490" i="5"/>
  <c r="Z2490" i="5" s="1"/>
  <c r="X2489" i="5"/>
  <c r="Z2489" i="5" s="1"/>
  <c r="P2488" i="5"/>
  <c r="H2488" i="5"/>
  <c r="E2488" i="5"/>
  <c r="X2487" i="5"/>
  <c r="Y2486" i="5"/>
  <c r="T2486" i="5"/>
  <c r="S2486" i="5"/>
  <c r="R2486" i="5"/>
  <c r="Q2486" i="5"/>
  <c r="O2486" i="5"/>
  <c r="N2486" i="5"/>
  <c r="L2486" i="5"/>
  <c r="K2486" i="5"/>
  <c r="J2486" i="5"/>
  <c r="I2486" i="5"/>
  <c r="G2486" i="5"/>
  <c r="F2486" i="5"/>
  <c r="Y2485" i="5"/>
  <c r="T2485" i="5"/>
  <c r="S2485" i="5"/>
  <c r="R2485" i="5"/>
  <c r="Q2485" i="5"/>
  <c r="O2485" i="5"/>
  <c r="N2485" i="5"/>
  <c r="L2485" i="5"/>
  <c r="K2485" i="5"/>
  <c r="J2485" i="5"/>
  <c r="I2485" i="5"/>
  <c r="G2485" i="5"/>
  <c r="F2485" i="5"/>
  <c r="E2485" i="5"/>
  <c r="Y2484" i="5"/>
  <c r="T2484" i="5"/>
  <c r="S2484" i="5"/>
  <c r="R2484" i="5"/>
  <c r="Q2484" i="5"/>
  <c r="O2484" i="5"/>
  <c r="N2484" i="5"/>
  <c r="L2484" i="5"/>
  <c r="K2484" i="5"/>
  <c r="J2484" i="5"/>
  <c r="I2484" i="5"/>
  <c r="G2484" i="5"/>
  <c r="F2484" i="5"/>
  <c r="E2484" i="5"/>
  <c r="Y2483" i="5"/>
  <c r="T2483" i="5"/>
  <c r="S2483" i="5"/>
  <c r="R2483" i="5"/>
  <c r="Q2483" i="5"/>
  <c r="O2483" i="5"/>
  <c r="N2483" i="5"/>
  <c r="L2483" i="5"/>
  <c r="K2483" i="5"/>
  <c r="J2483" i="5"/>
  <c r="I2483" i="5"/>
  <c r="G2483" i="5"/>
  <c r="F2483" i="5"/>
  <c r="E2483" i="5"/>
  <c r="Y2482" i="5"/>
  <c r="T2482" i="5"/>
  <c r="S2482" i="5"/>
  <c r="R2482" i="5"/>
  <c r="Q2482" i="5"/>
  <c r="O2482" i="5"/>
  <c r="N2482" i="5"/>
  <c r="L2482" i="5"/>
  <c r="K2482" i="5"/>
  <c r="J2482" i="5"/>
  <c r="I2482" i="5"/>
  <c r="G2482" i="5"/>
  <c r="F2482" i="5"/>
  <c r="E2482" i="5"/>
  <c r="Y2481" i="5"/>
  <c r="T2481" i="5"/>
  <c r="S2481" i="5"/>
  <c r="R2481" i="5"/>
  <c r="Q2481" i="5"/>
  <c r="O2481" i="5"/>
  <c r="N2481" i="5"/>
  <c r="L2481" i="5"/>
  <c r="K2481" i="5"/>
  <c r="J2481" i="5"/>
  <c r="I2481" i="5"/>
  <c r="G2481" i="5"/>
  <c r="F2481" i="5"/>
  <c r="E2481" i="5"/>
  <c r="Y2480" i="5"/>
  <c r="T2480" i="5"/>
  <c r="S2480" i="5"/>
  <c r="R2480" i="5"/>
  <c r="Q2480" i="5"/>
  <c r="O2480" i="5"/>
  <c r="N2480" i="5"/>
  <c r="L2480" i="5"/>
  <c r="K2480" i="5"/>
  <c r="J2480" i="5"/>
  <c r="I2480" i="5"/>
  <c r="G2480" i="5"/>
  <c r="F2480" i="5"/>
  <c r="E2480" i="5"/>
  <c r="Y2479" i="5"/>
  <c r="T2479" i="5"/>
  <c r="S2479" i="5"/>
  <c r="R2479" i="5"/>
  <c r="Q2479" i="5"/>
  <c r="O2479" i="5"/>
  <c r="N2479" i="5"/>
  <c r="L2479" i="5"/>
  <c r="K2479" i="5"/>
  <c r="J2479" i="5"/>
  <c r="I2479" i="5"/>
  <c r="G2479" i="5"/>
  <c r="F2479" i="5"/>
  <c r="E2479" i="5"/>
  <c r="Y2478" i="5"/>
  <c r="T2478" i="5"/>
  <c r="S2478" i="5"/>
  <c r="R2478" i="5"/>
  <c r="Q2478" i="5"/>
  <c r="O2478" i="5"/>
  <c r="N2478" i="5"/>
  <c r="L2478" i="5"/>
  <c r="K2478" i="5"/>
  <c r="J2478" i="5"/>
  <c r="I2478" i="5"/>
  <c r="G2478" i="5"/>
  <c r="E2478" i="5"/>
  <c r="Y2477" i="5"/>
  <c r="T2477" i="5"/>
  <c r="S2477" i="5"/>
  <c r="R2477" i="5"/>
  <c r="Q2477" i="5"/>
  <c r="O2477" i="5"/>
  <c r="N2477" i="5"/>
  <c r="L2477" i="5"/>
  <c r="K2477" i="5"/>
  <c r="J2477" i="5"/>
  <c r="I2477" i="5"/>
  <c r="G2477" i="5"/>
  <c r="F2477" i="5"/>
  <c r="E2477" i="5"/>
  <c r="Y2476" i="5"/>
  <c r="T2476" i="5"/>
  <c r="S2476" i="5"/>
  <c r="R2476" i="5"/>
  <c r="Q2476" i="5"/>
  <c r="O2476" i="5"/>
  <c r="N2476" i="5"/>
  <c r="L2476" i="5"/>
  <c r="K2476" i="5"/>
  <c r="J2476" i="5"/>
  <c r="I2476" i="5"/>
  <c r="G2476" i="5"/>
  <c r="F2476" i="5"/>
  <c r="E2476" i="5"/>
  <c r="Y2475" i="5"/>
  <c r="T2475" i="5"/>
  <c r="S2475" i="5"/>
  <c r="R2475" i="5"/>
  <c r="Q2475" i="5"/>
  <c r="O2475" i="5"/>
  <c r="N2475" i="5"/>
  <c r="L2475" i="5"/>
  <c r="K2475" i="5"/>
  <c r="J2475" i="5"/>
  <c r="I2475" i="5"/>
  <c r="G2475" i="5"/>
  <c r="F2475" i="5"/>
  <c r="E2475" i="5"/>
  <c r="Y2474" i="5"/>
  <c r="T2474" i="5"/>
  <c r="S2474" i="5"/>
  <c r="R2474" i="5"/>
  <c r="Q2474" i="5"/>
  <c r="O2474" i="5"/>
  <c r="N2474" i="5"/>
  <c r="L2474" i="5"/>
  <c r="K2474" i="5"/>
  <c r="J2474" i="5"/>
  <c r="I2474" i="5"/>
  <c r="G2474" i="5"/>
  <c r="F2474" i="5"/>
  <c r="E2474" i="5"/>
  <c r="Y2473" i="5"/>
  <c r="T2473" i="5"/>
  <c r="S2473" i="5"/>
  <c r="R2473" i="5"/>
  <c r="Q2473" i="5"/>
  <c r="O2473" i="5"/>
  <c r="N2473" i="5"/>
  <c r="L2473" i="5"/>
  <c r="K2473" i="5"/>
  <c r="J2473" i="5"/>
  <c r="I2473" i="5"/>
  <c r="G2473" i="5"/>
  <c r="F2473" i="5"/>
  <c r="E2473" i="5"/>
  <c r="X2472" i="5"/>
  <c r="X2471" i="5"/>
  <c r="P2470" i="5"/>
  <c r="H2470" i="5"/>
  <c r="E2470" i="5"/>
  <c r="Y2468" i="5"/>
  <c r="T2468" i="5"/>
  <c r="S2468" i="5"/>
  <c r="R2468" i="5"/>
  <c r="Q2468" i="5"/>
  <c r="O2468" i="5"/>
  <c r="N2468" i="5"/>
  <c r="L2468" i="5"/>
  <c r="K2468" i="5"/>
  <c r="J2468" i="5"/>
  <c r="I2468" i="5"/>
  <c r="G2468" i="5"/>
  <c r="F2468" i="5"/>
  <c r="E2468" i="5"/>
  <c r="Y2467" i="5"/>
  <c r="T2467" i="5"/>
  <c r="S2467" i="5"/>
  <c r="R2467" i="5"/>
  <c r="Q2467" i="5"/>
  <c r="O2467" i="5"/>
  <c r="N2467" i="5"/>
  <c r="L2467" i="5"/>
  <c r="K2467" i="5"/>
  <c r="J2467" i="5"/>
  <c r="I2467" i="5"/>
  <c r="G2467" i="5"/>
  <c r="F2467" i="5"/>
  <c r="E2467" i="5"/>
  <c r="Y2466" i="5"/>
  <c r="T2466" i="5"/>
  <c r="S2466" i="5"/>
  <c r="R2466" i="5"/>
  <c r="Q2466" i="5"/>
  <c r="O2466" i="5"/>
  <c r="N2466" i="5"/>
  <c r="L2466" i="5"/>
  <c r="K2466" i="5"/>
  <c r="J2466" i="5"/>
  <c r="I2466" i="5"/>
  <c r="G2466" i="5"/>
  <c r="F2466" i="5"/>
  <c r="E2466" i="5"/>
  <c r="Y2465" i="5"/>
  <c r="T2465" i="5"/>
  <c r="S2465" i="5"/>
  <c r="R2465" i="5"/>
  <c r="Q2465" i="5"/>
  <c r="O2465" i="5"/>
  <c r="N2465" i="5"/>
  <c r="L2465" i="5"/>
  <c r="K2465" i="5"/>
  <c r="J2465" i="5"/>
  <c r="I2465" i="5"/>
  <c r="G2465" i="5"/>
  <c r="F2465" i="5"/>
  <c r="E2465" i="5"/>
  <c r="Y2464" i="5"/>
  <c r="T2464" i="5"/>
  <c r="S2464" i="5"/>
  <c r="R2464" i="5"/>
  <c r="Q2464" i="5"/>
  <c r="O2464" i="5"/>
  <c r="N2464" i="5"/>
  <c r="L2464" i="5"/>
  <c r="K2464" i="5"/>
  <c r="J2464" i="5"/>
  <c r="I2464" i="5"/>
  <c r="G2464" i="5"/>
  <c r="F2464" i="5"/>
  <c r="E2464" i="5"/>
  <c r="Y2463" i="5"/>
  <c r="T2463" i="5"/>
  <c r="S2463" i="5"/>
  <c r="R2463" i="5"/>
  <c r="Q2463" i="5"/>
  <c r="O2463" i="5"/>
  <c r="N2463" i="5"/>
  <c r="L2463" i="5"/>
  <c r="K2463" i="5"/>
  <c r="J2463" i="5"/>
  <c r="I2463" i="5"/>
  <c r="G2463" i="5"/>
  <c r="F2463" i="5"/>
  <c r="E2463" i="5"/>
  <c r="Y2462" i="5"/>
  <c r="T2462" i="5"/>
  <c r="S2462" i="5"/>
  <c r="R2462" i="5"/>
  <c r="Q2462" i="5"/>
  <c r="O2462" i="5"/>
  <c r="N2462" i="5"/>
  <c r="L2462" i="5"/>
  <c r="K2462" i="5"/>
  <c r="J2462" i="5"/>
  <c r="I2462" i="5"/>
  <c r="G2462" i="5"/>
  <c r="F2462" i="5"/>
  <c r="E2462" i="5"/>
  <c r="Y2461" i="5"/>
  <c r="T2461" i="5"/>
  <c r="S2461" i="5"/>
  <c r="R2461" i="5"/>
  <c r="Q2461" i="5"/>
  <c r="O2461" i="5"/>
  <c r="N2461" i="5"/>
  <c r="L2461" i="5"/>
  <c r="K2461" i="5"/>
  <c r="J2461" i="5"/>
  <c r="I2461" i="5"/>
  <c r="G2461" i="5"/>
  <c r="F2461" i="5"/>
  <c r="E2461" i="5"/>
  <c r="Y2460" i="5"/>
  <c r="T2460" i="5"/>
  <c r="S2460" i="5"/>
  <c r="R2460" i="5"/>
  <c r="Q2460" i="5"/>
  <c r="O2460" i="5"/>
  <c r="N2460" i="5"/>
  <c r="L2460" i="5"/>
  <c r="K2460" i="5"/>
  <c r="J2460" i="5"/>
  <c r="I2460" i="5"/>
  <c r="G2460" i="5"/>
  <c r="F2460" i="5"/>
  <c r="E2460" i="5"/>
  <c r="Y2459" i="5"/>
  <c r="T2459" i="5"/>
  <c r="S2459" i="5"/>
  <c r="R2459" i="5"/>
  <c r="Q2459" i="5"/>
  <c r="O2459" i="5"/>
  <c r="N2459" i="5"/>
  <c r="L2459" i="5"/>
  <c r="K2459" i="5"/>
  <c r="J2459" i="5"/>
  <c r="I2459" i="5"/>
  <c r="G2459" i="5"/>
  <c r="F2459" i="5"/>
  <c r="E2459" i="5"/>
  <c r="Y2458" i="5"/>
  <c r="T2458" i="5"/>
  <c r="S2458" i="5"/>
  <c r="R2458" i="5"/>
  <c r="Q2458" i="5"/>
  <c r="O2458" i="5"/>
  <c r="N2458" i="5"/>
  <c r="L2458" i="5"/>
  <c r="K2458" i="5"/>
  <c r="J2458" i="5"/>
  <c r="I2458" i="5"/>
  <c r="G2458" i="5"/>
  <c r="F2458" i="5"/>
  <c r="E2458" i="5"/>
  <c r="Y2457" i="5"/>
  <c r="T2457" i="5"/>
  <c r="S2457" i="5"/>
  <c r="R2457" i="5"/>
  <c r="Q2457" i="5"/>
  <c r="O2457" i="5"/>
  <c r="N2457" i="5"/>
  <c r="L2457" i="5"/>
  <c r="K2457" i="5"/>
  <c r="J2457" i="5"/>
  <c r="I2457" i="5"/>
  <c r="G2457" i="5"/>
  <c r="F2457" i="5"/>
  <c r="E2457" i="5"/>
  <c r="Y2456" i="5"/>
  <c r="T2456" i="5"/>
  <c r="S2456" i="5"/>
  <c r="R2456" i="5"/>
  <c r="Q2456" i="5"/>
  <c r="O2456" i="5"/>
  <c r="N2456" i="5"/>
  <c r="L2456" i="5"/>
  <c r="K2456" i="5"/>
  <c r="J2456" i="5"/>
  <c r="I2456" i="5"/>
  <c r="G2456" i="5"/>
  <c r="F2456" i="5"/>
  <c r="E2456" i="5"/>
  <c r="Y2455" i="5"/>
  <c r="T2455" i="5"/>
  <c r="S2455" i="5"/>
  <c r="R2455" i="5"/>
  <c r="Q2455" i="5"/>
  <c r="O2455" i="5"/>
  <c r="N2455" i="5"/>
  <c r="L2455" i="5"/>
  <c r="K2455" i="5"/>
  <c r="J2455" i="5"/>
  <c r="I2455" i="5"/>
  <c r="G2455" i="5"/>
  <c r="F2455" i="5"/>
  <c r="E2455" i="5"/>
  <c r="Y2454" i="5"/>
  <c r="T2454" i="5"/>
  <c r="S2454" i="5"/>
  <c r="R2454" i="5"/>
  <c r="Q2454" i="5"/>
  <c r="O2454" i="5"/>
  <c r="N2454" i="5"/>
  <c r="L2454" i="5"/>
  <c r="K2454" i="5"/>
  <c r="J2454" i="5"/>
  <c r="I2454" i="5"/>
  <c r="G2454" i="5"/>
  <c r="F2454" i="5"/>
  <c r="E2454" i="5"/>
  <c r="Y2453" i="5"/>
  <c r="Y2470" i="5" s="1"/>
  <c r="T2453" i="5"/>
  <c r="S2453" i="5"/>
  <c r="S2470" i="5" s="1"/>
  <c r="R2453" i="5"/>
  <c r="R2470" i="5" s="1"/>
  <c r="Q2453" i="5"/>
  <c r="Q2470" i="5" s="1"/>
  <c r="O2453" i="5"/>
  <c r="O2470" i="5" s="1"/>
  <c r="N2453" i="5"/>
  <c r="N2470" i="5" s="1"/>
  <c r="L2453" i="5"/>
  <c r="K2453" i="5"/>
  <c r="K2470" i="5" s="1"/>
  <c r="J2453" i="5"/>
  <c r="J2470" i="5" s="1"/>
  <c r="I2453" i="5"/>
  <c r="I2470" i="5" s="1"/>
  <c r="G2453" i="5"/>
  <c r="G2470" i="5" s="1"/>
  <c r="F2453" i="5"/>
  <c r="F2470" i="5" s="1"/>
  <c r="E2453" i="5"/>
  <c r="S2448" i="5"/>
  <c r="S2939" i="5" s="1"/>
  <c r="R2448" i="5"/>
  <c r="R2939" i="5" s="1"/>
  <c r="H2446" i="5"/>
  <c r="E2446" i="5"/>
  <c r="X2445" i="5"/>
  <c r="Z2445" i="5" s="1"/>
  <c r="Y2444" i="5"/>
  <c r="W2444" i="5"/>
  <c r="V2444" i="5"/>
  <c r="T2444" i="5"/>
  <c r="S2444" i="5"/>
  <c r="R2444" i="5"/>
  <c r="O2444" i="5"/>
  <c r="N2444" i="5"/>
  <c r="L2444" i="5"/>
  <c r="K2444" i="5"/>
  <c r="I2444" i="5"/>
  <c r="G2444" i="5"/>
  <c r="F2444" i="5"/>
  <c r="E2444" i="5"/>
  <c r="Y2443" i="5"/>
  <c r="W2443" i="5"/>
  <c r="V2443" i="5"/>
  <c r="T2443" i="5"/>
  <c r="S2443" i="5"/>
  <c r="R2443" i="5"/>
  <c r="Q2443" i="5"/>
  <c r="O2443" i="5"/>
  <c r="N2443" i="5"/>
  <c r="L2443" i="5"/>
  <c r="K2443" i="5"/>
  <c r="J2443" i="5"/>
  <c r="I2443" i="5"/>
  <c r="G2443" i="5"/>
  <c r="F2443" i="5"/>
  <c r="E2443" i="5"/>
  <c r="Y2442" i="5"/>
  <c r="W2442" i="5"/>
  <c r="V2442" i="5"/>
  <c r="T2442" i="5"/>
  <c r="S2442" i="5"/>
  <c r="R2442" i="5"/>
  <c r="O2442" i="5"/>
  <c r="N2442" i="5"/>
  <c r="L2442" i="5"/>
  <c r="K2442" i="5"/>
  <c r="I2442" i="5"/>
  <c r="G2442" i="5"/>
  <c r="F2442" i="5"/>
  <c r="E2442" i="5"/>
  <c r="Y2441" i="5"/>
  <c r="W2441" i="5"/>
  <c r="V2441" i="5"/>
  <c r="T2441" i="5"/>
  <c r="S2441" i="5"/>
  <c r="R2441" i="5"/>
  <c r="O2441" i="5"/>
  <c r="N2441" i="5"/>
  <c r="L2441" i="5"/>
  <c r="K2441" i="5"/>
  <c r="I2441" i="5"/>
  <c r="G2441" i="5"/>
  <c r="F2441" i="5"/>
  <c r="E2441" i="5"/>
  <c r="Y2440" i="5"/>
  <c r="W2440" i="5"/>
  <c r="V2440" i="5"/>
  <c r="T2440" i="5"/>
  <c r="S2440" i="5"/>
  <c r="R2440" i="5"/>
  <c r="O2440" i="5"/>
  <c r="N2440" i="5"/>
  <c r="L2440" i="5"/>
  <c r="K2440" i="5"/>
  <c r="I2440" i="5"/>
  <c r="G2440" i="5"/>
  <c r="F2440" i="5"/>
  <c r="E2440" i="5"/>
  <c r="Y2439" i="5"/>
  <c r="W2439" i="5"/>
  <c r="V2439" i="5"/>
  <c r="T2439" i="5"/>
  <c r="S2439" i="5"/>
  <c r="R2439" i="5"/>
  <c r="O2439" i="5"/>
  <c r="N2439" i="5"/>
  <c r="L2439" i="5"/>
  <c r="K2439" i="5"/>
  <c r="I2439" i="5"/>
  <c r="G2439" i="5"/>
  <c r="F2439" i="5"/>
  <c r="E2439" i="5"/>
  <c r="Y2438" i="5"/>
  <c r="W2438" i="5"/>
  <c r="V2438" i="5"/>
  <c r="T2438" i="5"/>
  <c r="S2438" i="5"/>
  <c r="R2438" i="5"/>
  <c r="O2438" i="5"/>
  <c r="N2438" i="5"/>
  <c r="L2438" i="5"/>
  <c r="K2438" i="5"/>
  <c r="I2438" i="5"/>
  <c r="G2438" i="5"/>
  <c r="F2438" i="5"/>
  <c r="E2438" i="5"/>
  <c r="Y2437" i="5"/>
  <c r="W2437" i="5"/>
  <c r="V2437" i="5"/>
  <c r="T2437" i="5"/>
  <c r="S2437" i="5"/>
  <c r="R2437" i="5"/>
  <c r="O2437" i="5"/>
  <c r="N2437" i="5"/>
  <c r="L2437" i="5"/>
  <c r="K2437" i="5"/>
  <c r="I2437" i="5"/>
  <c r="G2437" i="5"/>
  <c r="F2437" i="5"/>
  <c r="E2437" i="5"/>
  <c r="Y2436" i="5"/>
  <c r="W2436" i="5"/>
  <c r="V2436" i="5"/>
  <c r="T2436" i="5"/>
  <c r="S2436" i="5"/>
  <c r="R2436" i="5"/>
  <c r="O2436" i="5"/>
  <c r="N2436" i="5"/>
  <c r="L2436" i="5"/>
  <c r="K2436" i="5"/>
  <c r="I2436" i="5"/>
  <c r="G2436" i="5"/>
  <c r="F2436" i="5"/>
  <c r="E2436" i="5"/>
  <c r="Y2435" i="5"/>
  <c r="W2435" i="5"/>
  <c r="V2435" i="5"/>
  <c r="T2435" i="5"/>
  <c r="S2435" i="5"/>
  <c r="R2435" i="5"/>
  <c r="O2435" i="5"/>
  <c r="N2435" i="5"/>
  <c r="L2435" i="5"/>
  <c r="K2435" i="5"/>
  <c r="I2435" i="5"/>
  <c r="G2435" i="5"/>
  <c r="F2435" i="5"/>
  <c r="E2435" i="5"/>
  <c r="Y2434" i="5"/>
  <c r="W2434" i="5"/>
  <c r="V2434" i="5"/>
  <c r="T2434" i="5"/>
  <c r="S2434" i="5"/>
  <c r="R2434" i="5"/>
  <c r="O2434" i="5"/>
  <c r="N2434" i="5"/>
  <c r="L2434" i="5"/>
  <c r="K2434" i="5"/>
  <c r="I2434" i="5"/>
  <c r="G2434" i="5"/>
  <c r="F2434" i="5"/>
  <c r="E2434" i="5"/>
  <c r="Y2433" i="5"/>
  <c r="W2433" i="5"/>
  <c r="V2433" i="5"/>
  <c r="T2433" i="5"/>
  <c r="S2433" i="5"/>
  <c r="R2433" i="5"/>
  <c r="O2433" i="5"/>
  <c r="N2433" i="5"/>
  <c r="L2433" i="5"/>
  <c r="K2433" i="5"/>
  <c r="I2433" i="5"/>
  <c r="G2433" i="5"/>
  <c r="F2433" i="5"/>
  <c r="E2433" i="5"/>
  <c r="Y2432" i="5"/>
  <c r="W2432" i="5"/>
  <c r="V2432" i="5"/>
  <c r="T2432" i="5"/>
  <c r="S2432" i="5"/>
  <c r="R2432" i="5"/>
  <c r="Q2432" i="5"/>
  <c r="O2432" i="5"/>
  <c r="N2432" i="5"/>
  <c r="L2432" i="5"/>
  <c r="K2432" i="5"/>
  <c r="J2432" i="5"/>
  <c r="I2432" i="5"/>
  <c r="H2432" i="5"/>
  <c r="G2432" i="5"/>
  <c r="F2432" i="5"/>
  <c r="E2432" i="5"/>
  <c r="Y2431" i="5"/>
  <c r="W2431" i="5"/>
  <c r="V2431" i="5"/>
  <c r="T2431" i="5"/>
  <c r="S2431" i="5"/>
  <c r="R2431" i="5"/>
  <c r="O2431" i="5"/>
  <c r="N2431" i="5"/>
  <c r="L2431" i="5"/>
  <c r="K2431" i="5"/>
  <c r="I2431" i="5"/>
  <c r="G2431" i="5"/>
  <c r="F2431" i="5"/>
  <c r="E2431" i="5"/>
  <c r="X2430" i="5"/>
  <c r="Z2430" i="5" s="1"/>
  <c r="X2429" i="5"/>
  <c r="Z2429" i="5" s="1"/>
  <c r="P2428" i="5"/>
  <c r="H2428" i="5"/>
  <c r="E2428" i="5"/>
  <c r="X2427" i="5"/>
  <c r="Z2427" i="5" s="1"/>
  <c r="Y2426" i="5"/>
  <c r="W2426" i="5"/>
  <c r="V2426" i="5"/>
  <c r="T2426" i="5"/>
  <c r="S2426" i="5"/>
  <c r="R2426" i="5"/>
  <c r="O2426" i="5"/>
  <c r="N2426" i="5"/>
  <c r="L2426" i="5"/>
  <c r="K2426" i="5"/>
  <c r="I2426" i="5"/>
  <c r="G2426" i="5"/>
  <c r="F2426" i="5"/>
  <c r="E2426" i="5"/>
  <c r="Y2425" i="5"/>
  <c r="W2425" i="5"/>
  <c r="V2425" i="5"/>
  <c r="T2425" i="5"/>
  <c r="S2425" i="5"/>
  <c r="R2425" i="5"/>
  <c r="Q2425" i="5"/>
  <c r="O2425" i="5"/>
  <c r="N2425" i="5"/>
  <c r="L2425" i="5"/>
  <c r="K2425" i="5"/>
  <c r="J2425" i="5"/>
  <c r="I2425" i="5"/>
  <c r="G2425" i="5"/>
  <c r="F2425" i="5"/>
  <c r="E2425" i="5"/>
  <c r="Y2424" i="5"/>
  <c r="W2424" i="5"/>
  <c r="V2424" i="5"/>
  <c r="T2424" i="5"/>
  <c r="S2424" i="5"/>
  <c r="R2424" i="5"/>
  <c r="Q2424" i="5"/>
  <c r="O2424" i="5"/>
  <c r="N2424" i="5"/>
  <c r="L2424" i="5"/>
  <c r="K2424" i="5"/>
  <c r="J2424" i="5"/>
  <c r="I2424" i="5"/>
  <c r="G2424" i="5"/>
  <c r="F2424" i="5"/>
  <c r="E2424" i="5"/>
  <c r="Y2423" i="5"/>
  <c r="W2423" i="5"/>
  <c r="V2423" i="5"/>
  <c r="T2423" i="5"/>
  <c r="S2423" i="5"/>
  <c r="R2423" i="5"/>
  <c r="Q2423" i="5"/>
  <c r="O2423" i="5"/>
  <c r="M2423" i="5"/>
  <c r="L2423" i="5"/>
  <c r="K2423" i="5"/>
  <c r="J2423" i="5"/>
  <c r="I2423" i="5"/>
  <c r="H2423" i="5"/>
  <c r="G2423" i="5"/>
  <c r="F2423" i="5"/>
  <c r="Y2422" i="5"/>
  <c r="W2422" i="5"/>
  <c r="V2422" i="5"/>
  <c r="T2422" i="5"/>
  <c r="S2422" i="5"/>
  <c r="R2422" i="5"/>
  <c r="O2422" i="5"/>
  <c r="N2422" i="5"/>
  <c r="L2422" i="5"/>
  <c r="K2422" i="5"/>
  <c r="I2422" i="5"/>
  <c r="G2422" i="5"/>
  <c r="F2422" i="5"/>
  <c r="Y2421" i="5"/>
  <c r="W2421" i="5"/>
  <c r="V2421" i="5"/>
  <c r="T2421" i="5"/>
  <c r="S2421" i="5"/>
  <c r="R2421" i="5"/>
  <c r="O2421" i="5"/>
  <c r="N2421" i="5"/>
  <c r="L2421" i="5"/>
  <c r="K2421" i="5"/>
  <c r="I2421" i="5"/>
  <c r="G2421" i="5"/>
  <c r="F2421" i="5"/>
  <c r="E2421" i="5"/>
  <c r="Y2420" i="5"/>
  <c r="W2420" i="5"/>
  <c r="V2420" i="5"/>
  <c r="T2420" i="5"/>
  <c r="S2420" i="5"/>
  <c r="R2420" i="5"/>
  <c r="O2420" i="5"/>
  <c r="N2420" i="5"/>
  <c r="L2420" i="5"/>
  <c r="K2420" i="5"/>
  <c r="I2420" i="5"/>
  <c r="G2420" i="5"/>
  <c r="F2420" i="5"/>
  <c r="E2420" i="5"/>
  <c r="Y2419" i="5"/>
  <c r="W2419" i="5"/>
  <c r="V2419" i="5"/>
  <c r="T2419" i="5"/>
  <c r="S2419" i="5"/>
  <c r="R2419" i="5"/>
  <c r="O2419" i="5"/>
  <c r="N2419" i="5"/>
  <c r="L2419" i="5"/>
  <c r="K2419" i="5"/>
  <c r="I2419" i="5"/>
  <c r="G2419" i="5"/>
  <c r="F2419" i="5"/>
  <c r="E2419" i="5"/>
  <c r="Y2418" i="5"/>
  <c r="W2418" i="5"/>
  <c r="V2418" i="5"/>
  <c r="T2418" i="5"/>
  <c r="S2418" i="5"/>
  <c r="R2418" i="5"/>
  <c r="O2418" i="5"/>
  <c r="N2418" i="5"/>
  <c r="L2418" i="5"/>
  <c r="K2418" i="5"/>
  <c r="I2418" i="5"/>
  <c r="G2418" i="5"/>
  <c r="F2418" i="5"/>
  <c r="E2418" i="5"/>
  <c r="Y2417" i="5"/>
  <c r="W2417" i="5"/>
  <c r="V2417" i="5"/>
  <c r="T2417" i="5"/>
  <c r="S2417" i="5"/>
  <c r="R2417" i="5"/>
  <c r="O2417" i="5"/>
  <c r="N2417" i="5"/>
  <c r="L2417" i="5"/>
  <c r="K2417" i="5"/>
  <c r="I2417" i="5"/>
  <c r="G2417" i="5"/>
  <c r="F2417" i="5"/>
  <c r="E2417" i="5"/>
  <c r="Y2416" i="5"/>
  <c r="W2416" i="5"/>
  <c r="V2416" i="5"/>
  <c r="T2416" i="5"/>
  <c r="S2416" i="5"/>
  <c r="R2416" i="5"/>
  <c r="O2416" i="5"/>
  <c r="N2416" i="5"/>
  <c r="L2416" i="5"/>
  <c r="K2416" i="5"/>
  <c r="I2416" i="5"/>
  <c r="G2416" i="5"/>
  <c r="F2416" i="5"/>
  <c r="E2416" i="5"/>
  <c r="Y2415" i="5"/>
  <c r="W2415" i="5"/>
  <c r="V2415" i="5"/>
  <c r="T2415" i="5"/>
  <c r="S2415" i="5"/>
  <c r="R2415" i="5"/>
  <c r="O2415" i="5"/>
  <c r="N2415" i="5"/>
  <c r="L2415" i="5"/>
  <c r="K2415" i="5"/>
  <c r="I2415" i="5"/>
  <c r="G2415" i="5"/>
  <c r="F2415" i="5"/>
  <c r="E2415" i="5"/>
  <c r="Y2414" i="5"/>
  <c r="W2414" i="5"/>
  <c r="V2414" i="5"/>
  <c r="T2414" i="5"/>
  <c r="S2414" i="5"/>
  <c r="R2414" i="5"/>
  <c r="Q2414" i="5"/>
  <c r="O2414" i="5"/>
  <c r="N2414" i="5"/>
  <c r="M2414" i="5"/>
  <c r="L2414" i="5"/>
  <c r="K2414" i="5"/>
  <c r="J2414" i="5"/>
  <c r="I2414" i="5"/>
  <c r="H2414" i="5"/>
  <c r="G2414" i="5"/>
  <c r="F2414" i="5"/>
  <c r="E2414" i="5"/>
  <c r="Y2413" i="5"/>
  <c r="W2413" i="5"/>
  <c r="V2413" i="5"/>
  <c r="T2413" i="5"/>
  <c r="S2413" i="5"/>
  <c r="R2413" i="5"/>
  <c r="O2413" i="5"/>
  <c r="N2413" i="5"/>
  <c r="L2413" i="5"/>
  <c r="K2413" i="5"/>
  <c r="I2413" i="5"/>
  <c r="G2413" i="5"/>
  <c r="F2413" i="5"/>
  <c r="E2413" i="5"/>
  <c r="X2412" i="5"/>
  <c r="Z2412" i="5" s="1"/>
  <c r="X2411" i="5"/>
  <c r="Z2411" i="5" s="1"/>
  <c r="P2410" i="5"/>
  <c r="H2410" i="5"/>
  <c r="E2410" i="5"/>
  <c r="X2409" i="5"/>
  <c r="Z2409" i="5" s="1"/>
  <c r="Y2408" i="5"/>
  <c r="W2408" i="5"/>
  <c r="V2408" i="5"/>
  <c r="T2408" i="5"/>
  <c r="S2408" i="5"/>
  <c r="R2408" i="5"/>
  <c r="O2408" i="5"/>
  <c r="N2408" i="5"/>
  <c r="L2408" i="5"/>
  <c r="K2408" i="5"/>
  <c r="I2408" i="5"/>
  <c r="G2408" i="5"/>
  <c r="F2408" i="5"/>
  <c r="E2408" i="5"/>
  <c r="Y2407" i="5"/>
  <c r="W2407" i="5"/>
  <c r="V2407" i="5"/>
  <c r="T2407" i="5"/>
  <c r="S2407" i="5"/>
  <c r="R2407" i="5"/>
  <c r="O2407" i="5"/>
  <c r="N2407" i="5"/>
  <c r="L2407" i="5"/>
  <c r="K2407" i="5"/>
  <c r="I2407" i="5"/>
  <c r="G2407" i="5"/>
  <c r="F2407" i="5"/>
  <c r="E2407" i="5"/>
  <c r="Y2406" i="5"/>
  <c r="W2406" i="5"/>
  <c r="V2406" i="5"/>
  <c r="T2406" i="5"/>
  <c r="S2406" i="5"/>
  <c r="R2406" i="5"/>
  <c r="O2406" i="5"/>
  <c r="N2406" i="5"/>
  <c r="L2406" i="5"/>
  <c r="K2406" i="5"/>
  <c r="I2406" i="5"/>
  <c r="G2406" i="5"/>
  <c r="Y2405" i="5"/>
  <c r="W2405" i="5"/>
  <c r="V2405" i="5"/>
  <c r="T2405" i="5"/>
  <c r="S2405" i="5"/>
  <c r="R2405" i="5"/>
  <c r="O2405" i="5"/>
  <c r="N2405" i="5"/>
  <c r="L2405" i="5"/>
  <c r="K2405" i="5"/>
  <c r="I2405" i="5"/>
  <c r="G2405" i="5"/>
  <c r="F2405" i="5"/>
  <c r="E2405" i="5"/>
  <c r="Y2404" i="5"/>
  <c r="W2404" i="5"/>
  <c r="V2404" i="5"/>
  <c r="T2404" i="5"/>
  <c r="S2404" i="5"/>
  <c r="R2404" i="5"/>
  <c r="Q2404" i="5"/>
  <c r="P2404" i="5"/>
  <c r="O2404" i="5"/>
  <c r="N2404" i="5"/>
  <c r="L2404" i="5"/>
  <c r="K2404" i="5"/>
  <c r="J2404" i="5"/>
  <c r="I2404" i="5"/>
  <c r="G2404" i="5"/>
  <c r="Y2403" i="5"/>
  <c r="W2403" i="5"/>
  <c r="V2403" i="5"/>
  <c r="T2403" i="5"/>
  <c r="S2403" i="5"/>
  <c r="R2403" i="5"/>
  <c r="O2403" i="5"/>
  <c r="N2403" i="5"/>
  <c r="L2403" i="5"/>
  <c r="K2403" i="5"/>
  <c r="J2403" i="5"/>
  <c r="I2403" i="5"/>
  <c r="G2403" i="5"/>
  <c r="F2403" i="5"/>
  <c r="E2403" i="5"/>
  <c r="Y2402" i="5"/>
  <c r="W2402" i="5"/>
  <c r="V2402" i="5"/>
  <c r="T2402" i="5"/>
  <c r="S2402" i="5"/>
  <c r="R2402" i="5"/>
  <c r="O2402" i="5"/>
  <c r="N2402" i="5"/>
  <c r="L2402" i="5"/>
  <c r="K2402" i="5"/>
  <c r="J2402" i="5"/>
  <c r="I2402" i="5"/>
  <c r="G2402" i="5"/>
  <c r="F2402" i="5"/>
  <c r="E2402" i="5"/>
  <c r="Y2401" i="5"/>
  <c r="W2401" i="5"/>
  <c r="V2401" i="5"/>
  <c r="T2401" i="5"/>
  <c r="S2401" i="5"/>
  <c r="R2401" i="5"/>
  <c r="O2401" i="5"/>
  <c r="N2401" i="5"/>
  <c r="L2401" i="5"/>
  <c r="K2401" i="5"/>
  <c r="I2401" i="5"/>
  <c r="G2401" i="5"/>
  <c r="F2401" i="5"/>
  <c r="E2401" i="5"/>
  <c r="Y2400" i="5"/>
  <c r="W2400" i="5"/>
  <c r="V2400" i="5"/>
  <c r="T2400" i="5"/>
  <c r="S2400" i="5"/>
  <c r="R2400" i="5"/>
  <c r="O2400" i="5"/>
  <c r="N2400" i="5"/>
  <c r="L2400" i="5"/>
  <c r="K2400" i="5"/>
  <c r="I2400" i="5"/>
  <c r="G2400" i="5"/>
  <c r="F2400" i="5"/>
  <c r="E2400" i="5"/>
  <c r="Y2399" i="5"/>
  <c r="W2399" i="5"/>
  <c r="V2399" i="5"/>
  <c r="T2399" i="5"/>
  <c r="S2399" i="5"/>
  <c r="R2399" i="5"/>
  <c r="O2399" i="5"/>
  <c r="N2399" i="5"/>
  <c r="L2399" i="5"/>
  <c r="K2399" i="5"/>
  <c r="I2399" i="5"/>
  <c r="G2399" i="5"/>
  <c r="F2399" i="5"/>
  <c r="E2399" i="5"/>
  <c r="Y2398" i="5"/>
  <c r="W2398" i="5"/>
  <c r="V2398" i="5"/>
  <c r="T2398" i="5"/>
  <c r="S2398" i="5"/>
  <c r="R2398" i="5"/>
  <c r="O2398" i="5"/>
  <c r="N2398" i="5"/>
  <c r="L2398" i="5"/>
  <c r="K2398" i="5"/>
  <c r="I2398" i="5"/>
  <c r="G2398" i="5"/>
  <c r="F2398" i="5"/>
  <c r="E2398" i="5"/>
  <c r="Y2397" i="5"/>
  <c r="W2397" i="5"/>
  <c r="V2397" i="5"/>
  <c r="T2397" i="5"/>
  <c r="S2397" i="5"/>
  <c r="R2397" i="5"/>
  <c r="O2397" i="5"/>
  <c r="N2397" i="5"/>
  <c r="L2397" i="5"/>
  <c r="K2397" i="5"/>
  <c r="I2397" i="5"/>
  <c r="G2397" i="5"/>
  <c r="F2397" i="5"/>
  <c r="E2397" i="5"/>
  <c r="Y2396" i="5"/>
  <c r="W2396" i="5"/>
  <c r="V2396" i="5"/>
  <c r="T2396" i="5"/>
  <c r="S2396" i="5"/>
  <c r="R2396" i="5"/>
  <c r="O2396" i="5"/>
  <c r="N2396" i="5"/>
  <c r="L2396" i="5"/>
  <c r="K2396" i="5"/>
  <c r="I2396" i="5"/>
  <c r="G2396" i="5"/>
  <c r="F2396" i="5"/>
  <c r="E2396" i="5"/>
  <c r="Y2395" i="5"/>
  <c r="W2395" i="5"/>
  <c r="V2395" i="5"/>
  <c r="T2395" i="5"/>
  <c r="S2395" i="5"/>
  <c r="R2395" i="5"/>
  <c r="O2395" i="5"/>
  <c r="N2395" i="5"/>
  <c r="L2395" i="5"/>
  <c r="K2395" i="5"/>
  <c r="I2395" i="5"/>
  <c r="G2395" i="5"/>
  <c r="F2395" i="5"/>
  <c r="E2395" i="5"/>
  <c r="Y2394" i="5"/>
  <c r="W2394" i="5"/>
  <c r="V2394" i="5"/>
  <c r="T2394" i="5"/>
  <c r="S2394" i="5"/>
  <c r="R2394" i="5"/>
  <c r="O2394" i="5"/>
  <c r="N2394" i="5"/>
  <c r="L2394" i="5"/>
  <c r="K2394" i="5"/>
  <c r="I2394" i="5"/>
  <c r="G2394" i="5"/>
  <c r="Y2393" i="5"/>
  <c r="W2393" i="5"/>
  <c r="V2393" i="5"/>
  <c r="T2393" i="5"/>
  <c r="S2393" i="5"/>
  <c r="R2393" i="5"/>
  <c r="O2393" i="5"/>
  <c r="N2393" i="5"/>
  <c r="L2393" i="5"/>
  <c r="K2393" i="5"/>
  <c r="I2393" i="5"/>
  <c r="G2393" i="5"/>
  <c r="F2393" i="5"/>
  <c r="Y2392" i="5"/>
  <c r="W2392" i="5"/>
  <c r="V2392" i="5"/>
  <c r="T2392" i="5"/>
  <c r="S2392" i="5"/>
  <c r="R2392" i="5"/>
  <c r="O2392" i="5"/>
  <c r="N2392" i="5"/>
  <c r="L2392" i="5"/>
  <c r="K2392" i="5"/>
  <c r="I2392" i="5"/>
  <c r="G2392" i="5"/>
  <c r="Y2391" i="5"/>
  <c r="W2391" i="5"/>
  <c r="V2391" i="5"/>
  <c r="T2391" i="5"/>
  <c r="S2391" i="5"/>
  <c r="R2391" i="5"/>
  <c r="O2391" i="5"/>
  <c r="N2391" i="5"/>
  <c r="L2391" i="5"/>
  <c r="K2391" i="5"/>
  <c r="I2391" i="5"/>
  <c r="G2391" i="5"/>
  <c r="F2391" i="5"/>
  <c r="E2391" i="5"/>
  <c r="Y2390" i="5"/>
  <c r="W2390" i="5"/>
  <c r="V2390" i="5"/>
  <c r="T2390" i="5"/>
  <c r="S2390" i="5"/>
  <c r="R2390" i="5"/>
  <c r="O2390" i="5"/>
  <c r="N2390" i="5"/>
  <c r="L2390" i="5"/>
  <c r="I2390" i="5"/>
  <c r="G2390" i="5"/>
  <c r="F2390" i="5"/>
  <c r="Y2389" i="5"/>
  <c r="W2389" i="5"/>
  <c r="V2389" i="5"/>
  <c r="T2389" i="5"/>
  <c r="S2389" i="5"/>
  <c r="R2389" i="5"/>
  <c r="O2389" i="5"/>
  <c r="N2389" i="5"/>
  <c r="L2389" i="5"/>
  <c r="K2389" i="5"/>
  <c r="I2389" i="5"/>
  <c r="G2389" i="5"/>
  <c r="F2389" i="5"/>
  <c r="Y2388" i="5"/>
  <c r="W2388" i="5"/>
  <c r="V2388" i="5"/>
  <c r="T2388" i="5"/>
  <c r="S2388" i="5"/>
  <c r="R2388" i="5"/>
  <c r="O2388" i="5"/>
  <c r="N2388" i="5"/>
  <c r="L2388" i="5"/>
  <c r="K2388" i="5"/>
  <c r="I2388" i="5"/>
  <c r="G2388" i="5"/>
  <c r="F2388" i="5"/>
  <c r="E2388" i="5"/>
  <c r="Y2387" i="5"/>
  <c r="W2387" i="5"/>
  <c r="V2387" i="5"/>
  <c r="T2387" i="5"/>
  <c r="S2387" i="5"/>
  <c r="R2387" i="5"/>
  <c r="O2387" i="5"/>
  <c r="N2387" i="5"/>
  <c r="L2387" i="5"/>
  <c r="K2387" i="5"/>
  <c r="I2387" i="5"/>
  <c r="G2387" i="5"/>
  <c r="F2387" i="5"/>
  <c r="E2387" i="5"/>
  <c r="Y2386" i="5"/>
  <c r="W2386" i="5"/>
  <c r="V2386" i="5"/>
  <c r="T2386" i="5"/>
  <c r="S2386" i="5"/>
  <c r="R2386" i="5"/>
  <c r="O2386" i="5"/>
  <c r="N2386" i="5"/>
  <c r="L2386" i="5"/>
  <c r="K2386" i="5"/>
  <c r="I2386" i="5"/>
  <c r="G2386" i="5"/>
  <c r="F2386" i="5"/>
  <c r="E2386" i="5"/>
  <c r="Y2385" i="5"/>
  <c r="W2385" i="5"/>
  <c r="V2385" i="5"/>
  <c r="T2385" i="5"/>
  <c r="S2385" i="5"/>
  <c r="R2385" i="5"/>
  <c r="O2385" i="5"/>
  <c r="N2385" i="5"/>
  <c r="L2385" i="5"/>
  <c r="K2385" i="5"/>
  <c r="I2385" i="5"/>
  <c r="G2385" i="5"/>
  <c r="E2385" i="5"/>
  <c r="X2384" i="5"/>
  <c r="Z2384" i="5" s="1"/>
  <c r="X2383" i="5"/>
  <c r="Z2383" i="5" s="1"/>
  <c r="P2382" i="5"/>
  <c r="H2382" i="5"/>
  <c r="E2382" i="5"/>
  <c r="X2381" i="5"/>
  <c r="Z2381" i="5" s="1"/>
  <c r="Y2380" i="5"/>
  <c r="W2380" i="5"/>
  <c r="V2380" i="5"/>
  <c r="T2380" i="5"/>
  <c r="S2380" i="5"/>
  <c r="R2380" i="5"/>
  <c r="O2380" i="5"/>
  <c r="N2380" i="5"/>
  <c r="L2380" i="5"/>
  <c r="K2380" i="5"/>
  <c r="I2380" i="5"/>
  <c r="G2380" i="5"/>
  <c r="F2380" i="5"/>
  <c r="E2380" i="5"/>
  <c r="Y2379" i="5"/>
  <c r="W2379" i="5"/>
  <c r="V2379" i="5"/>
  <c r="T2379" i="5"/>
  <c r="S2379" i="5"/>
  <c r="R2379" i="5"/>
  <c r="O2379" i="5"/>
  <c r="N2379" i="5"/>
  <c r="L2379" i="5"/>
  <c r="K2379" i="5"/>
  <c r="I2379" i="5"/>
  <c r="G2379" i="5"/>
  <c r="F2379" i="5"/>
  <c r="E2379" i="5"/>
  <c r="Y2378" i="5"/>
  <c r="W2378" i="5"/>
  <c r="V2378" i="5"/>
  <c r="T2378" i="5"/>
  <c r="S2378" i="5"/>
  <c r="R2378" i="5"/>
  <c r="O2378" i="5"/>
  <c r="N2378" i="5"/>
  <c r="L2378" i="5"/>
  <c r="K2378" i="5"/>
  <c r="I2378" i="5"/>
  <c r="G2378" i="5"/>
  <c r="F2378" i="5"/>
  <c r="E2378" i="5"/>
  <c r="Y2377" i="5"/>
  <c r="W2377" i="5"/>
  <c r="V2377" i="5"/>
  <c r="T2377" i="5"/>
  <c r="S2377" i="5"/>
  <c r="R2377" i="5"/>
  <c r="O2377" i="5"/>
  <c r="N2377" i="5"/>
  <c r="L2377" i="5"/>
  <c r="K2377" i="5"/>
  <c r="I2377" i="5"/>
  <c r="G2377" i="5"/>
  <c r="F2377" i="5"/>
  <c r="E2377" i="5"/>
  <c r="Y2376" i="5"/>
  <c r="W2376" i="5"/>
  <c r="V2376" i="5"/>
  <c r="T2376" i="5"/>
  <c r="S2376" i="5"/>
  <c r="R2376" i="5"/>
  <c r="O2376" i="5"/>
  <c r="N2376" i="5"/>
  <c r="L2376" i="5"/>
  <c r="K2376" i="5"/>
  <c r="I2376" i="5"/>
  <c r="G2376" i="5"/>
  <c r="F2376" i="5"/>
  <c r="E2376" i="5"/>
  <c r="Y2375" i="5"/>
  <c r="W2375" i="5"/>
  <c r="V2375" i="5"/>
  <c r="T2375" i="5"/>
  <c r="S2375" i="5"/>
  <c r="R2375" i="5"/>
  <c r="O2375" i="5"/>
  <c r="N2375" i="5"/>
  <c r="L2375" i="5"/>
  <c r="K2375" i="5"/>
  <c r="I2375" i="5"/>
  <c r="G2375" i="5"/>
  <c r="F2375" i="5"/>
  <c r="Y2374" i="5"/>
  <c r="W2374" i="5"/>
  <c r="V2374" i="5"/>
  <c r="T2374" i="5"/>
  <c r="S2374" i="5"/>
  <c r="R2374" i="5"/>
  <c r="O2374" i="5"/>
  <c r="N2374" i="5"/>
  <c r="L2374" i="5"/>
  <c r="K2374" i="5"/>
  <c r="I2374" i="5"/>
  <c r="G2374" i="5"/>
  <c r="F2374" i="5"/>
  <c r="Y2373" i="5"/>
  <c r="W2373" i="5"/>
  <c r="V2373" i="5"/>
  <c r="T2373" i="5"/>
  <c r="S2373" i="5"/>
  <c r="R2373" i="5"/>
  <c r="O2373" i="5"/>
  <c r="N2373" i="5"/>
  <c r="L2373" i="5"/>
  <c r="K2373" i="5"/>
  <c r="I2373" i="5"/>
  <c r="G2373" i="5"/>
  <c r="F2373" i="5"/>
  <c r="Y2372" i="5"/>
  <c r="W2372" i="5"/>
  <c r="V2372" i="5"/>
  <c r="T2372" i="5"/>
  <c r="S2372" i="5"/>
  <c r="R2372" i="5"/>
  <c r="O2372" i="5"/>
  <c r="N2372" i="5"/>
  <c r="L2372" i="5"/>
  <c r="K2372" i="5"/>
  <c r="I2372" i="5"/>
  <c r="G2372" i="5"/>
  <c r="F2372" i="5"/>
  <c r="E2372" i="5"/>
  <c r="Y2371" i="5"/>
  <c r="W2371" i="5"/>
  <c r="V2371" i="5"/>
  <c r="T2371" i="5"/>
  <c r="S2371" i="5"/>
  <c r="R2371" i="5"/>
  <c r="O2371" i="5"/>
  <c r="N2371" i="5"/>
  <c r="L2371" i="5"/>
  <c r="K2371" i="5"/>
  <c r="I2371" i="5"/>
  <c r="G2371" i="5"/>
  <c r="F2371" i="5"/>
  <c r="E2371" i="5"/>
  <c r="Y2370" i="5"/>
  <c r="W2370" i="5"/>
  <c r="V2370" i="5"/>
  <c r="T2370" i="5"/>
  <c r="S2370" i="5"/>
  <c r="R2370" i="5"/>
  <c r="O2370" i="5"/>
  <c r="N2370" i="5"/>
  <c r="L2370" i="5"/>
  <c r="K2370" i="5"/>
  <c r="I2370" i="5"/>
  <c r="G2370" i="5"/>
  <c r="F2370" i="5"/>
  <c r="Y2369" i="5"/>
  <c r="W2369" i="5"/>
  <c r="V2369" i="5"/>
  <c r="T2369" i="5"/>
  <c r="S2369" i="5"/>
  <c r="R2369" i="5"/>
  <c r="O2369" i="5"/>
  <c r="N2369" i="5"/>
  <c r="L2369" i="5"/>
  <c r="K2369" i="5"/>
  <c r="I2369" i="5"/>
  <c r="G2369" i="5"/>
  <c r="F2369" i="5"/>
  <c r="X2368" i="5"/>
  <c r="Z2368" i="5" s="1"/>
  <c r="X2367" i="5"/>
  <c r="Z2367" i="5" s="1"/>
  <c r="P2366" i="5"/>
  <c r="H2366" i="5"/>
  <c r="E2366" i="5"/>
  <c r="X2365" i="5"/>
  <c r="Z2365" i="5" s="1"/>
  <c r="Y2364" i="5"/>
  <c r="W2364" i="5"/>
  <c r="V2364" i="5"/>
  <c r="T2364" i="5"/>
  <c r="S2364" i="5"/>
  <c r="R2364" i="5"/>
  <c r="O2364" i="5"/>
  <c r="N2364" i="5"/>
  <c r="L2364" i="5"/>
  <c r="K2364" i="5"/>
  <c r="I2364" i="5"/>
  <c r="G2364" i="5"/>
  <c r="F2364" i="5"/>
  <c r="Y2363" i="5"/>
  <c r="W2363" i="5"/>
  <c r="V2363" i="5"/>
  <c r="T2363" i="5"/>
  <c r="S2363" i="5"/>
  <c r="R2363" i="5"/>
  <c r="Q2363" i="5"/>
  <c r="O2363" i="5"/>
  <c r="N2363" i="5"/>
  <c r="L2363" i="5"/>
  <c r="K2363" i="5"/>
  <c r="J2363" i="5"/>
  <c r="I2363" i="5"/>
  <c r="G2363" i="5"/>
  <c r="F2363" i="5"/>
  <c r="E2363" i="5"/>
  <c r="Y2362" i="5"/>
  <c r="W2362" i="5"/>
  <c r="V2362" i="5"/>
  <c r="T2362" i="5"/>
  <c r="S2362" i="5"/>
  <c r="R2362" i="5"/>
  <c r="O2362" i="5"/>
  <c r="N2362" i="5"/>
  <c r="L2362" i="5"/>
  <c r="K2362" i="5"/>
  <c r="I2362" i="5"/>
  <c r="G2362" i="5"/>
  <c r="F2362" i="5"/>
  <c r="Y2361" i="5"/>
  <c r="W2361" i="5"/>
  <c r="V2361" i="5"/>
  <c r="T2361" i="5"/>
  <c r="S2361" i="5"/>
  <c r="R2361" i="5"/>
  <c r="O2361" i="5"/>
  <c r="N2361" i="5"/>
  <c r="L2361" i="5"/>
  <c r="K2361" i="5"/>
  <c r="I2361" i="5"/>
  <c r="G2361" i="5"/>
  <c r="F2361" i="5"/>
  <c r="E2361" i="5"/>
  <c r="Y2360" i="5"/>
  <c r="W2360" i="5"/>
  <c r="V2360" i="5"/>
  <c r="T2360" i="5"/>
  <c r="S2360" i="5"/>
  <c r="R2360" i="5"/>
  <c r="O2360" i="5"/>
  <c r="N2360" i="5"/>
  <c r="L2360" i="5"/>
  <c r="K2360" i="5"/>
  <c r="I2360" i="5"/>
  <c r="G2360" i="5"/>
  <c r="E2360" i="5"/>
  <c r="Y2359" i="5"/>
  <c r="W2359" i="5"/>
  <c r="V2359" i="5"/>
  <c r="T2359" i="5"/>
  <c r="S2359" i="5"/>
  <c r="R2359" i="5"/>
  <c r="Q2359" i="5"/>
  <c r="O2359" i="5"/>
  <c r="N2359" i="5"/>
  <c r="L2359" i="5"/>
  <c r="K2359" i="5"/>
  <c r="I2359" i="5"/>
  <c r="G2359" i="5"/>
  <c r="F2359" i="5"/>
  <c r="E2359" i="5"/>
  <c r="Y2358" i="5"/>
  <c r="W2358" i="5"/>
  <c r="V2358" i="5"/>
  <c r="T2358" i="5"/>
  <c r="S2358" i="5"/>
  <c r="R2358" i="5"/>
  <c r="Q2358" i="5"/>
  <c r="O2358" i="5"/>
  <c r="N2358" i="5"/>
  <c r="L2358" i="5"/>
  <c r="K2358" i="5"/>
  <c r="I2358" i="5"/>
  <c r="G2358" i="5"/>
  <c r="F2358" i="5"/>
  <c r="E2358" i="5"/>
  <c r="Y2357" i="5"/>
  <c r="W2357" i="5"/>
  <c r="V2357" i="5"/>
  <c r="T2357" i="5"/>
  <c r="S2357" i="5"/>
  <c r="R2357" i="5"/>
  <c r="Q2357" i="5"/>
  <c r="O2357" i="5"/>
  <c r="N2357" i="5"/>
  <c r="L2357" i="5"/>
  <c r="K2357" i="5"/>
  <c r="I2357" i="5"/>
  <c r="G2357" i="5"/>
  <c r="F2357" i="5"/>
  <c r="E2357" i="5"/>
  <c r="Y2356" i="5"/>
  <c r="W2356" i="5"/>
  <c r="V2356" i="5"/>
  <c r="T2356" i="5"/>
  <c r="S2356" i="5"/>
  <c r="R2356" i="5"/>
  <c r="O2356" i="5"/>
  <c r="N2356" i="5"/>
  <c r="L2356" i="5"/>
  <c r="K2356" i="5"/>
  <c r="I2356" i="5"/>
  <c r="G2356" i="5"/>
  <c r="F2356" i="5"/>
  <c r="E2356" i="5"/>
  <c r="Y2355" i="5"/>
  <c r="W2355" i="5"/>
  <c r="V2355" i="5"/>
  <c r="T2355" i="5"/>
  <c r="S2355" i="5"/>
  <c r="R2355" i="5"/>
  <c r="O2355" i="5"/>
  <c r="N2355" i="5"/>
  <c r="L2355" i="5"/>
  <c r="K2355" i="5"/>
  <c r="I2355" i="5"/>
  <c r="G2355" i="5"/>
  <c r="F2355" i="5"/>
  <c r="E2355" i="5"/>
  <c r="Y2354" i="5"/>
  <c r="W2354" i="5"/>
  <c r="V2354" i="5"/>
  <c r="T2354" i="5"/>
  <c r="S2354" i="5"/>
  <c r="R2354" i="5"/>
  <c r="O2354" i="5"/>
  <c r="N2354" i="5"/>
  <c r="L2354" i="5"/>
  <c r="K2354" i="5"/>
  <c r="I2354" i="5"/>
  <c r="G2354" i="5"/>
  <c r="Y2353" i="5"/>
  <c r="W2353" i="5"/>
  <c r="V2353" i="5"/>
  <c r="T2353" i="5"/>
  <c r="S2353" i="5"/>
  <c r="R2353" i="5"/>
  <c r="O2353" i="5"/>
  <c r="N2353" i="5"/>
  <c r="L2353" i="5"/>
  <c r="K2353" i="5"/>
  <c r="I2353" i="5"/>
  <c r="G2353" i="5"/>
  <c r="Y2352" i="5"/>
  <c r="W2352" i="5"/>
  <c r="V2352" i="5"/>
  <c r="T2352" i="5"/>
  <c r="S2352" i="5"/>
  <c r="R2352" i="5"/>
  <c r="O2352" i="5"/>
  <c r="N2352" i="5"/>
  <c r="L2352" i="5"/>
  <c r="K2352" i="5"/>
  <c r="I2352" i="5"/>
  <c r="G2352" i="5"/>
  <c r="F2352" i="5"/>
  <c r="Y2351" i="5"/>
  <c r="W2351" i="5"/>
  <c r="V2351" i="5"/>
  <c r="T2351" i="5"/>
  <c r="S2351" i="5"/>
  <c r="R2351" i="5"/>
  <c r="O2351" i="5"/>
  <c r="N2351" i="5"/>
  <c r="L2351" i="5"/>
  <c r="K2351" i="5"/>
  <c r="I2351" i="5"/>
  <c r="G2351" i="5"/>
  <c r="F2351" i="5"/>
  <c r="E2351" i="5"/>
  <c r="Y2350" i="5"/>
  <c r="W2350" i="5"/>
  <c r="V2350" i="5"/>
  <c r="T2350" i="5"/>
  <c r="S2350" i="5"/>
  <c r="R2350" i="5"/>
  <c r="O2350" i="5"/>
  <c r="N2350" i="5"/>
  <c r="L2350" i="5"/>
  <c r="K2350" i="5"/>
  <c r="I2350" i="5"/>
  <c r="G2350" i="5"/>
  <c r="F2350" i="5"/>
  <c r="E2350" i="5"/>
  <c r="Y2349" i="5"/>
  <c r="W2349" i="5"/>
  <c r="V2349" i="5"/>
  <c r="T2349" i="5"/>
  <c r="S2349" i="5"/>
  <c r="R2349" i="5"/>
  <c r="O2349" i="5"/>
  <c r="N2349" i="5"/>
  <c r="L2349" i="5"/>
  <c r="K2349" i="5"/>
  <c r="I2349" i="5"/>
  <c r="G2349" i="5"/>
  <c r="F2349" i="5"/>
  <c r="E2349" i="5"/>
  <c r="Y2348" i="5"/>
  <c r="W2348" i="5"/>
  <c r="V2348" i="5"/>
  <c r="T2348" i="5"/>
  <c r="S2348" i="5"/>
  <c r="R2348" i="5"/>
  <c r="O2348" i="5"/>
  <c r="N2348" i="5"/>
  <c r="L2348" i="5"/>
  <c r="K2348" i="5"/>
  <c r="I2348" i="5"/>
  <c r="G2348" i="5"/>
  <c r="Y2347" i="5"/>
  <c r="W2347" i="5"/>
  <c r="V2347" i="5"/>
  <c r="T2347" i="5"/>
  <c r="S2347" i="5"/>
  <c r="R2347" i="5"/>
  <c r="O2347" i="5"/>
  <c r="N2347" i="5"/>
  <c r="L2347" i="5"/>
  <c r="K2347" i="5"/>
  <c r="I2347" i="5"/>
  <c r="G2347" i="5"/>
  <c r="F2347" i="5"/>
  <c r="E2347" i="5"/>
  <c r="Y2346" i="5"/>
  <c r="W2346" i="5"/>
  <c r="V2346" i="5"/>
  <c r="T2346" i="5"/>
  <c r="S2346" i="5"/>
  <c r="R2346" i="5"/>
  <c r="O2346" i="5"/>
  <c r="N2346" i="5"/>
  <c r="L2346" i="5"/>
  <c r="K2346" i="5"/>
  <c r="I2346" i="5"/>
  <c r="G2346" i="5"/>
  <c r="F2346" i="5"/>
  <c r="E2346" i="5"/>
  <c r="Y2345" i="5"/>
  <c r="W2345" i="5"/>
  <c r="V2345" i="5"/>
  <c r="T2345" i="5"/>
  <c r="S2345" i="5"/>
  <c r="R2345" i="5"/>
  <c r="O2345" i="5"/>
  <c r="N2345" i="5"/>
  <c r="L2345" i="5"/>
  <c r="K2345" i="5"/>
  <c r="I2345" i="5"/>
  <c r="G2345" i="5"/>
  <c r="Y2344" i="5"/>
  <c r="W2344" i="5"/>
  <c r="V2344" i="5"/>
  <c r="T2344" i="5"/>
  <c r="S2344" i="5"/>
  <c r="R2344" i="5"/>
  <c r="O2344" i="5"/>
  <c r="N2344" i="5"/>
  <c r="L2344" i="5"/>
  <c r="I2344" i="5"/>
  <c r="G2344" i="5"/>
  <c r="F2344" i="5"/>
  <c r="X2343" i="5"/>
  <c r="Z2343" i="5" s="1"/>
  <c r="X2342" i="5"/>
  <c r="Z2342" i="5" s="1"/>
  <c r="P2341" i="5"/>
  <c r="H2341" i="5"/>
  <c r="E2341" i="5"/>
  <c r="X2340" i="5"/>
  <c r="Z2340" i="5" s="1"/>
  <c r="Y2339" i="5"/>
  <c r="W2339" i="5"/>
  <c r="V2339" i="5"/>
  <c r="T2339" i="5"/>
  <c r="S2339" i="5"/>
  <c r="R2339" i="5"/>
  <c r="O2339" i="5"/>
  <c r="N2339" i="5"/>
  <c r="L2339" i="5"/>
  <c r="K2339" i="5"/>
  <c r="I2339" i="5"/>
  <c r="G2339" i="5"/>
  <c r="F2339" i="5"/>
  <c r="E2339" i="5"/>
  <c r="Y2338" i="5"/>
  <c r="W2338" i="5"/>
  <c r="V2338" i="5"/>
  <c r="T2338" i="5"/>
  <c r="S2338" i="5"/>
  <c r="R2338" i="5"/>
  <c r="O2338" i="5"/>
  <c r="N2338" i="5"/>
  <c r="L2338" i="5"/>
  <c r="K2338" i="5"/>
  <c r="I2338" i="5"/>
  <c r="G2338" i="5"/>
  <c r="F2338" i="5"/>
  <c r="E2338" i="5"/>
  <c r="Y2337" i="5"/>
  <c r="W2337" i="5"/>
  <c r="V2337" i="5"/>
  <c r="T2337" i="5"/>
  <c r="S2337" i="5"/>
  <c r="R2337" i="5"/>
  <c r="O2337" i="5"/>
  <c r="N2337" i="5"/>
  <c r="L2337" i="5"/>
  <c r="K2337" i="5"/>
  <c r="I2337" i="5"/>
  <c r="G2337" i="5"/>
  <c r="E2337" i="5"/>
  <c r="Y2336" i="5"/>
  <c r="W2336" i="5"/>
  <c r="V2336" i="5"/>
  <c r="T2336" i="5"/>
  <c r="S2336" i="5"/>
  <c r="R2336" i="5"/>
  <c r="O2336" i="5"/>
  <c r="N2336" i="5"/>
  <c r="L2336" i="5"/>
  <c r="K2336" i="5"/>
  <c r="J2336" i="5"/>
  <c r="I2336" i="5"/>
  <c r="G2336" i="5"/>
  <c r="Y2335" i="5"/>
  <c r="W2335" i="5"/>
  <c r="V2335" i="5"/>
  <c r="T2335" i="5"/>
  <c r="S2335" i="5"/>
  <c r="R2335" i="5"/>
  <c r="O2335" i="5"/>
  <c r="N2335" i="5"/>
  <c r="L2335" i="5"/>
  <c r="K2335" i="5"/>
  <c r="I2335" i="5"/>
  <c r="G2335" i="5"/>
  <c r="Y2334" i="5"/>
  <c r="W2334" i="5"/>
  <c r="V2334" i="5"/>
  <c r="T2334" i="5"/>
  <c r="S2334" i="5"/>
  <c r="R2334" i="5"/>
  <c r="O2334" i="5"/>
  <c r="N2334" i="5"/>
  <c r="L2334" i="5"/>
  <c r="K2334" i="5"/>
  <c r="I2334" i="5"/>
  <c r="G2334" i="5"/>
  <c r="Y2333" i="5"/>
  <c r="W2333" i="5"/>
  <c r="V2333" i="5"/>
  <c r="T2333" i="5"/>
  <c r="S2333" i="5"/>
  <c r="R2333" i="5"/>
  <c r="O2333" i="5"/>
  <c r="N2333" i="5"/>
  <c r="L2333" i="5"/>
  <c r="K2333" i="5"/>
  <c r="I2333" i="5"/>
  <c r="G2333" i="5"/>
  <c r="Y2332" i="5"/>
  <c r="W2332" i="5"/>
  <c r="V2332" i="5"/>
  <c r="T2332" i="5"/>
  <c r="S2332" i="5"/>
  <c r="R2332" i="5"/>
  <c r="O2332" i="5"/>
  <c r="N2332" i="5"/>
  <c r="L2332" i="5"/>
  <c r="K2332" i="5"/>
  <c r="I2332" i="5"/>
  <c r="G2332" i="5"/>
  <c r="F2332" i="5"/>
  <c r="Y2331" i="5"/>
  <c r="W2331" i="5"/>
  <c r="V2331" i="5"/>
  <c r="T2331" i="5"/>
  <c r="S2331" i="5"/>
  <c r="R2331" i="5"/>
  <c r="O2331" i="5"/>
  <c r="N2331" i="5"/>
  <c r="L2331" i="5"/>
  <c r="K2331" i="5"/>
  <c r="I2331" i="5"/>
  <c r="G2331" i="5"/>
  <c r="E2331" i="5"/>
  <c r="Y2330" i="5"/>
  <c r="W2330" i="5"/>
  <c r="V2330" i="5"/>
  <c r="T2330" i="5"/>
  <c r="S2330" i="5"/>
  <c r="R2330" i="5"/>
  <c r="O2330" i="5"/>
  <c r="N2330" i="5"/>
  <c r="L2330" i="5"/>
  <c r="K2330" i="5"/>
  <c r="I2330" i="5"/>
  <c r="G2330" i="5"/>
  <c r="F2330" i="5"/>
  <c r="Y2329" i="5"/>
  <c r="W2329" i="5"/>
  <c r="V2329" i="5"/>
  <c r="T2329" i="5"/>
  <c r="S2329" i="5"/>
  <c r="R2329" i="5"/>
  <c r="O2329" i="5"/>
  <c r="N2329" i="5"/>
  <c r="L2329" i="5"/>
  <c r="K2329" i="5"/>
  <c r="I2329" i="5"/>
  <c r="G2329" i="5"/>
  <c r="Y2328" i="5"/>
  <c r="W2328" i="5"/>
  <c r="V2328" i="5"/>
  <c r="T2328" i="5"/>
  <c r="S2328" i="5"/>
  <c r="R2328" i="5"/>
  <c r="O2328" i="5"/>
  <c r="N2328" i="5"/>
  <c r="L2328" i="5"/>
  <c r="K2328" i="5"/>
  <c r="I2328" i="5"/>
  <c r="G2328" i="5"/>
  <c r="F2328" i="5"/>
  <c r="E2328" i="5"/>
  <c r="Y2327" i="5"/>
  <c r="W2327" i="5"/>
  <c r="V2327" i="5"/>
  <c r="T2327" i="5"/>
  <c r="S2327" i="5"/>
  <c r="R2327" i="5"/>
  <c r="O2327" i="5"/>
  <c r="N2327" i="5"/>
  <c r="L2327" i="5"/>
  <c r="K2327" i="5"/>
  <c r="I2327" i="5"/>
  <c r="G2327" i="5"/>
  <c r="F2327" i="5"/>
  <c r="E2327" i="5"/>
  <c r="Y2326" i="5"/>
  <c r="W2326" i="5"/>
  <c r="V2326" i="5"/>
  <c r="T2326" i="5"/>
  <c r="S2326" i="5"/>
  <c r="R2326" i="5"/>
  <c r="O2326" i="5"/>
  <c r="N2326" i="5"/>
  <c r="L2326" i="5"/>
  <c r="K2326" i="5"/>
  <c r="I2326" i="5"/>
  <c r="G2326" i="5"/>
  <c r="F2326" i="5"/>
  <c r="E2326" i="5"/>
  <c r="Y2325" i="5"/>
  <c r="W2325" i="5"/>
  <c r="V2325" i="5"/>
  <c r="T2325" i="5"/>
  <c r="S2325" i="5"/>
  <c r="R2325" i="5"/>
  <c r="O2325" i="5"/>
  <c r="N2325" i="5"/>
  <c r="L2325" i="5"/>
  <c r="K2325" i="5"/>
  <c r="I2325" i="5"/>
  <c r="G2325" i="5"/>
  <c r="F2325" i="5"/>
  <c r="Y2324" i="5"/>
  <c r="W2324" i="5"/>
  <c r="V2324" i="5"/>
  <c r="T2324" i="5"/>
  <c r="S2324" i="5"/>
  <c r="R2324" i="5"/>
  <c r="O2324" i="5"/>
  <c r="N2324" i="5"/>
  <c r="L2324" i="5"/>
  <c r="K2324" i="5"/>
  <c r="I2324" i="5"/>
  <c r="G2324" i="5"/>
  <c r="F2324" i="5"/>
  <c r="Y2323" i="5"/>
  <c r="W2323" i="5"/>
  <c r="V2323" i="5"/>
  <c r="T2323" i="5"/>
  <c r="S2323" i="5"/>
  <c r="R2323" i="5"/>
  <c r="O2323" i="5"/>
  <c r="N2323" i="5"/>
  <c r="L2323" i="5"/>
  <c r="K2323" i="5"/>
  <c r="I2323" i="5"/>
  <c r="G2323" i="5"/>
  <c r="F2323" i="5"/>
  <c r="E2323" i="5"/>
  <c r="Y2322" i="5"/>
  <c r="W2322" i="5"/>
  <c r="V2322" i="5"/>
  <c r="T2322" i="5"/>
  <c r="S2322" i="5"/>
  <c r="R2322" i="5"/>
  <c r="O2322" i="5"/>
  <c r="N2322" i="5"/>
  <c r="L2322" i="5"/>
  <c r="K2322" i="5"/>
  <c r="I2322" i="5"/>
  <c r="G2322" i="5"/>
  <c r="F2322" i="5"/>
  <c r="Y2321" i="5"/>
  <c r="W2321" i="5"/>
  <c r="V2321" i="5"/>
  <c r="T2321" i="5"/>
  <c r="S2321" i="5"/>
  <c r="R2321" i="5"/>
  <c r="O2321" i="5"/>
  <c r="N2321" i="5"/>
  <c r="L2321" i="5"/>
  <c r="K2321" i="5"/>
  <c r="I2321" i="5"/>
  <c r="G2321" i="5"/>
  <c r="F2321" i="5"/>
  <c r="X2320" i="5"/>
  <c r="Z2320" i="5" s="1"/>
  <c r="X2319" i="5"/>
  <c r="Z2319" i="5" s="1"/>
  <c r="X2318" i="5"/>
  <c r="Z2318" i="5" s="1"/>
  <c r="Y2317" i="5"/>
  <c r="W2317" i="5"/>
  <c r="V2317" i="5"/>
  <c r="T2317" i="5"/>
  <c r="S2317" i="5"/>
  <c r="R2317" i="5"/>
  <c r="Q2317" i="5"/>
  <c r="O2317" i="5"/>
  <c r="N2317" i="5"/>
  <c r="L2317" i="5"/>
  <c r="K2317" i="5"/>
  <c r="J2317" i="5"/>
  <c r="I2317" i="5"/>
  <c r="H2317" i="5"/>
  <c r="X2317" i="5" s="1"/>
  <c r="G2317" i="5"/>
  <c r="F2317" i="5"/>
  <c r="E2317" i="5"/>
  <c r="X2316" i="5"/>
  <c r="X2315" i="5"/>
  <c r="X2314" i="5"/>
  <c r="P2313" i="5"/>
  <c r="H2313" i="5"/>
  <c r="E2313" i="5"/>
  <c r="Y2311" i="5"/>
  <c r="W2311" i="5"/>
  <c r="V2311" i="5"/>
  <c r="T2311" i="5"/>
  <c r="S2311" i="5"/>
  <c r="R2311" i="5"/>
  <c r="O2311" i="5"/>
  <c r="N2311" i="5"/>
  <c r="L2311" i="5"/>
  <c r="K2311" i="5"/>
  <c r="I2311" i="5"/>
  <c r="G2311" i="5"/>
  <c r="F2311" i="5"/>
  <c r="Y2310" i="5"/>
  <c r="W2310" i="5"/>
  <c r="V2310" i="5"/>
  <c r="T2310" i="5"/>
  <c r="S2310" i="5"/>
  <c r="R2310" i="5"/>
  <c r="O2310" i="5"/>
  <c r="N2310" i="5"/>
  <c r="L2310" i="5"/>
  <c r="K2310" i="5"/>
  <c r="I2310" i="5"/>
  <c r="G2310" i="5"/>
  <c r="F2310" i="5"/>
  <c r="E2310" i="5"/>
  <c r="Y2309" i="5"/>
  <c r="W2309" i="5"/>
  <c r="V2309" i="5"/>
  <c r="T2309" i="5"/>
  <c r="S2309" i="5"/>
  <c r="R2309" i="5"/>
  <c r="O2309" i="5"/>
  <c r="N2309" i="5"/>
  <c r="L2309" i="5"/>
  <c r="K2309" i="5"/>
  <c r="I2309" i="5"/>
  <c r="G2309" i="5"/>
  <c r="F2309" i="5"/>
  <c r="E2309" i="5"/>
  <c r="Y2308" i="5"/>
  <c r="W2308" i="5"/>
  <c r="V2308" i="5"/>
  <c r="T2308" i="5"/>
  <c r="S2308" i="5"/>
  <c r="R2308" i="5"/>
  <c r="O2308" i="5"/>
  <c r="N2308" i="5"/>
  <c r="L2308" i="5"/>
  <c r="K2308" i="5"/>
  <c r="I2308" i="5"/>
  <c r="G2308" i="5"/>
  <c r="F2308" i="5"/>
  <c r="E2308" i="5"/>
  <c r="Y2307" i="5"/>
  <c r="W2307" i="5"/>
  <c r="V2307" i="5"/>
  <c r="T2307" i="5"/>
  <c r="S2307" i="5"/>
  <c r="R2307" i="5"/>
  <c r="O2307" i="5"/>
  <c r="N2307" i="5"/>
  <c r="L2307" i="5"/>
  <c r="K2307" i="5"/>
  <c r="I2307" i="5"/>
  <c r="G2307" i="5"/>
  <c r="Y2306" i="5"/>
  <c r="W2306" i="5"/>
  <c r="V2306" i="5"/>
  <c r="T2306" i="5"/>
  <c r="S2306" i="5"/>
  <c r="R2306" i="5"/>
  <c r="O2306" i="5"/>
  <c r="N2306" i="5"/>
  <c r="L2306" i="5"/>
  <c r="K2306" i="5"/>
  <c r="I2306" i="5"/>
  <c r="G2306" i="5"/>
  <c r="Y2305" i="5"/>
  <c r="W2305" i="5"/>
  <c r="V2305" i="5"/>
  <c r="T2305" i="5"/>
  <c r="S2305" i="5"/>
  <c r="R2305" i="5"/>
  <c r="O2305" i="5"/>
  <c r="N2305" i="5"/>
  <c r="L2305" i="5"/>
  <c r="K2305" i="5"/>
  <c r="I2305" i="5"/>
  <c r="G2305" i="5"/>
  <c r="F2305" i="5"/>
  <c r="E2305" i="5"/>
  <c r="Y2304" i="5"/>
  <c r="W2304" i="5"/>
  <c r="V2304" i="5"/>
  <c r="T2304" i="5"/>
  <c r="S2304" i="5"/>
  <c r="R2304" i="5"/>
  <c r="O2304" i="5"/>
  <c r="N2304" i="5"/>
  <c r="L2304" i="5"/>
  <c r="K2304" i="5"/>
  <c r="I2304" i="5"/>
  <c r="G2304" i="5"/>
  <c r="Y2303" i="5"/>
  <c r="W2303" i="5"/>
  <c r="V2303" i="5"/>
  <c r="T2303" i="5"/>
  <c r="S2303" i="5"/>
  <c r="R2303" i="5"/>
  <c r="O2303" i="5"/>
  <c r="N2303" i="5"/>
  <c r="L2303" i="5"/>
  <c r="K2303" i="5"/>
  <c r="I2303" i="5"/>
  <c r="G2303" i="5"/>
  <c r="F2303" i="5"/>
  <c r="E2303" i="5"/>
  <c r="Y2302" i="5"/>
  <c r="W2302" i="5"/>
  <c r="V2302" i="5"/>
  <c r="T2302" i="5"/>
  <c r="S2302" i="5"/>
  <c r="R2302" i="5"/>
  <c r="O2302" i="5"/>
  <c r="N2302" i="5"/>
  <c r="L2302" i="5"/>
  <c r="K2302" i="5"/>
  <c r="I2302" i="5"/>
  <c r="G2302" i="5"/>
  <c r="F2302" i="5"/>
  <c r="E2302" i="5"/>
  <c r="Y2301" i="5"/>
  <c r="W2301" i="5"/>
  <c r="V2301" i="5"/>
  <c r="T2301" i="5"/>
  <c r="S2301" i="5"/>
  <c r="R2301" i="5"/>
  <c r="O2301" i="5"/>
  <c r="N2301" i="5"/>
  <c r="L2301" i="5"/>
  <c r="K2301" i="5"/>
  <c r="I2301" i="5"/>
  <c r="G2301" i="5"/>
  <c r="F2301" i="5"/>
  <c r="Y2300" i="5"/>
  <c r="W2300" i="5"/>
  <c r="V2300" i="5"/>
  <c r="T2300" i="5"/>
  <c r="S2300" i="5"/>
  <c r="R2300" i="5"/>
  <c r="O2300" i="5"/>
  <c r="N2300" i="5"/>
  <c r="L2300" i="5"/>
  <c r="K2300" i="5"/>
  <c r="I2300" i="5"/>
  <c r="G2300" i="5"/>
  <c r="F2300" i="5"/>
  <c r="Y2299" i="5"/>
  <c r="W2299" i="5"/>
  <c r="V2299" i="5"/>
  <c r="V2313" i="5" s="1"/>
  <c r="T2299" i="5"/>
  <c r="T2313" i="5" s="1"/>
  <c r="S2299" i="5"/>
  <c r="R2299" i="5"/>
  <c r="O2299" i="5"/>
  <c r="O2313" i="5" s="1"/>
  <c r="N2299" i="5"/>
  <c r="L2299" i="5"/>
  <c r="L2313" i="5" s="1"/>
  <c r="K2299" i="5"/>
  <c r="K2313" i="5" s="1"/>
  <c r="I2299" i="5"/>
  <c r="I2313" i="5" s="1"/>
  <c r="G2299" i="5"/>
  <c r="G2313" i="5" s="1"/>
  <c r="F2299" i="5"/>
  <c r="E2299" i="5"/>
  <c r="P2292" i="5"/>
  <c r="H2292" i="5"/>
  <c r="E2292" i="5"/>
  <c r="X2291" i="5"/>
  <c r="Z2291" i="5" s="1"/>
  <c r="Y2290" i="5"/>
  <c r="W2290" i="5"/>
  <c r="V2290" i="5"/>
  <c r="T2290" i="5"/>
  <c r="S2290" i="5"/>
  <c r="R2290" i="5"/>
  <c r="O2290" i="5"/>
  <c r="N2290" i="5"/>
  <c r="L2290" i="5"/>
  <c r="K2290" i="5"/>
  <c r="G2290" i="5"/>
  <c r="Y2289" i="5"/>
  <c r="W2289" i="5"/>
  <c r="V2289" i="5"/>
  <c r="T2289" i="5"/>
  <c r="S2289" i="5"/>
  <c r="R2289" i="5"/>
  <c r="O2289" i="5"/>
  <c r="N2289" i="5"/>
  <c r="L2289" i="5"/>
  <c r="K2289" i="5"/>
  <c r="I2289" i="5"/>
  <c r="G2289" i="5"/>
  <c r="F2289" i="5"/>
  <c r="E2289" i="5"/>
  <c r="Y2288" i="5"/>
  <c r="W2288" i="5"/>
  <c r="V2288" i="5"/>
  <c r="T2288" i="5"/>
  <c r="S2288" i="5"/>
  <c r="R2288" i="5"/>
  <c r="O2288" i="5"/>
  <c r="N2288" i="5"/>
  <c r="L2288" i="5"/>
  <c r="K2288" i="5"/>
  <c r="I2288" i="5"/>
  <c r="G2288" i="5"/>
  <c r="E2288" i="5"/>
  <c r="Y2287" i="5"/>
  <c r="W2287" i="5"/>
  <c r="V2287" i="5"/>
  <c r="T2287" i="5"/>
  <c r="S2287" i="5"/>
  <c r="R2287" i="5"/>
  <c r="O2287" i="5"/>
  <c r="N2287" i="5"/>
  <c r="L2287" i="5"/>
  <c r="K2287" i="5"/>
  <c r="I2287" i="5"/>
  <c r="G2287" i="5"/>
  <c r="F2287" i="5"/>
  <c r="E2287" i="5"/>
  <c r="Y2286" i="5"/>
  <c r="W2286" i="5"/>
  <c r="V2286" i="5"/>
  <c r="T2286" i="5"/>
  <c r="S2286" i="5"/>
  <c r="R2286" i="5"/>
  <c r="O2286" i="5"/>
  <c r="N2286" i="5"/>
  <c r="L2286" i="5"/>
  <c r="K2286" i="5"/>
  <c r="I2286" i="5"/>
  <c r="G2286" i="5"/>
  <c r="E2286" i="5"/>
  <c r="Y2285" i="5"/>
  <c r="W2285" i="5"/>
  <c r="V2285" i="5"/>
  <c r="T2285" i="5"/>
  <c r="S2285" i="5"/>
  <c r="R2285" i="5"/>
  <c r="O2285" i="5"/>
  <c r="N2285" i="5"/>
  <c r="L2285" i="5"/>
  <c r="K2285" i="5"/>
  <c r="I2285" i="5"/>
  <c r="G2285" i="5"/>
  <c r="F2285" i="5"/>
  <c r="E2285" i="5"/>
  <c r="Y2284" i="5"/>
  <c r="W2284" i="5"/>
  <c r="V2284" i="5"/>
  <c r="T2284" i="5"/>
  <c r="S2284" i="5"/>
  <c r="R2284" i="5"/>
  <c r="Q2284" i="5"/>
  <c r="O2284" i="5"/>
  <c r="N2284" i="5"/>
  <c r="L2284" i="5"/>
  <c r="K2284" i="5"/>
  <c r="J2284" i="5"/>
  <c r="I2284" i="5"/>
  <c r="G2284" i="5"/>
  <c r="F2284" i="5"/>
  <c r="E2284" i="5"/>
  <c r="Y2283" i="5"/>
  <c r="W2283" i="5"/>
  <c r="V2283" i="5"/>
  <c r="T2283" i="5"/>
  <c r="S2283" i="5"/>
  <c r="R2283" i="5"/>
  <c r="Q2283" i="5"/>
  <c r="O2283" i="5"/>
  <c r="N2283" i="5"/>
  <c r="L2283" i="5"/>
  <c r="K2283" i="5"/>
  <c r="J2283" i="5"/>
  <c r="I2283" i="5"/>
  <c r="G2283" i="5"/>
  <c r="F2283" i="5"/>
  <c r="Y2282" i="5"/>
  <c r="W2282" i="5"/>
  <c r="V2282" i="5"/>
  <c r="T2282" i="5"/>
  <c r="S2282" i="5"/>
  <c r="R2282" i="5"/>
  <c r="Q2282" i="5"/>
  <c r="O2282" i="5"/>
  <c r="N2282" i="5"/>
  <c r="L2282" i="5"/>
  <c r="K2282" i="5"/>
  <c r="J2282" i="5"/>
  <c r="I2282" i="5"/>
  <c r="G2282" i="5"/>
  <c r="F2282" i="5"/>
  <c r="E2282" i="5"/>
  <c r="Y2281" i="5"/>
  <c r="W2281" i="5"/>
  <c r="V2281" i="5"/>
  <c r="T2281" i="5"/>
  <c r="S2281" i="5"/>
  <c r="R2281" i="5"/>
  <c r="Q2281" i="5"/>
  <c r="O2281" i="5"/>
  <c r="N2281" i="5"/>
  <c r="L2281" i="5"/>
  <c r="K2281" i="5"/>
  <c r="J2281" i="5"/>
  <c r="I2281" i="5"/>
  <c r="G2281" i="5"/>
  <c r="F2281" i="5"/>
  <c r="E2281" i="5"/>
  <c r="Y2280" i="5"/>
  <c r="W2280" i="5"/>
  <c r="V2280" i="5"/>
  <c r="T2280" i="5"/>
  <c r="S2280" i="5"/>
  <c r="R2280" i="5"/>
  <c r="Q2280" i="5"/>
  <c r="O2280" i="5"/>
  <c r="N2280" i="5"/>
  <c r="L2280" i="5"/>
  <c r="K2280" i="5"/>
  <c r="I2280" i="5"/>
  <c r="G2280" i="5"/>
  <c r="F2280" i="5"/>
  <c r="Y2279" i="5"/>
  <c r="W2279" i="5"/>
  <c r="V2279" i="5"/>
  <c r="T2279" i="5"/>
  <c r="S2279" i="5"/>
  <c r="R2279" i="5"/>
  <c r="O2279" i="5"/>
  <c r="N2279" i="5"/>
  <c r="L2279" i="5"/>
  <c r="K2279" i="5"/>
  <c r="I2279" i="5"/>
  <c r="G2279" i="5"/>
  <c r="F2279" i="5"/>
  <c r="E2279" i="5"/>
  <c r="Y2278" i="5"/>
  <c r="W2278" i="5"/>
  <c r="V2278" i="5"/>
  <c r="T2278" i="5"/>
  <c r="S2278" i="5"/>
  <c r="R2278" i="5"/>
  <c r="O2278" i="5"/>
  <c r="N2278" i="5"/>
  <c r="L2278" i="5"/>
  <c r="K2278" i="5"/>
  <c r="I2278" i="5"/>
  <c r="G2278" i="5"/>
  <c r="Y2277" i="5"/>
  <c r="W2277" i="5"/>
  <c r="V2277" i="5"/>
  <c r="T2277" i="5"/>
  <c r="S2277" i="5"/>
  <c r="R2277" i="5"/>
  <c r="O2277" i="5"/>
  <c r="N2277" i="5"/>
  <c r="L2277" i="5"/>
  <c r="K2277" i="5"/>
  <c r="I2277" i="5"/>
  <c r="G2277" i="5"/>
  <c r="F2277" i="5"/>
  <c r="Y2276" i="5"/>
  <c r="W2276" i="5"/>
  <c r="V2276" i="5"/>
  <c r="T2276" i="5"/>
  <c r="S2276" i="5"/>
  <c r="R2276" i="5"/>
  <c r="O2276" i="5"/>
  <c r="N2276" i="5"/>
  <c r="L2276" i="5"/>
  <c r="K2276" i="5"/>
  <c r="I2276" i="5"/>
  <c r="G2276" i="5"/>
  <c r="F2276" i="5"/>
  <c r="E2276" i="5"/>
  <c r="Y2275" i="5"/>
  <c r="W2275" i="5"/>
  <c r="V2275" i="5"/>
  <c r="T2275" i="5"/>
  <c r="S2275" i="5"/>
  <c r="R2275" i="5"/>
  <c r="O2275" i="5"/>
  <c r="N2275" i="5"/>
  <c r="L2275" i="5"/>
  <c r="K2275" i="5"/>
  <c r="I2275" i="5"/>
  <c r="G2275" i="5"/>
  <c r="F2275" i="5"/>
  <c r="Y2274" i="5"/>
  <c r="W2274" i="5"/>
  <c r="V2274" i="5"/>
  <c r="T2274" i="5"/>
  <c r="S2274" i="5"/>
  <c r="R2274" i="5"/>
  <c r="O2274" i="5"/>
  <c r="N2274" i="5"/>
  <c r="L2274" i="5"/>
  <c r="K2274" i="5"/>
  <c r="I2274" i="5"/>
  <c r="G2274" i="5"/>
  <c r="Y2273" i="5"/>
  <c r="W2273" i="5"/>
  <c r="V2273" i="5"/>
  <c r="T2273" i="5"/>
  <c r="S2273" i="5"/>
  <c r="R2273" i="5"/>
  <c r="O2273" i="5"/>
  <c r="N2273" i="5"/>
  <c r="L2273" i="5"/>
  <c r="K2273" i="5"/>
  <c r="I2273" i="5"/>
  <c r="G2273" i="5"/>
  <c r="F2273" i="5"/>
  <c r="E2273" i="5"/>
  <c r="Y2272" i="5"/>
  <c r="W2272" i="5"/>
  <c r="V2272" i="5"/>
  <c r="T2272" i="5"/>
  <c r="S2272" i="5"/>
  <c r="R2272" i="5"/>
  <c r="O2272" i="5"/>
  <c r="N2272" i="5"/>
  <c r="L2272" i="5"/>
  <c r="K2272" i="5"/>
  <c r="I2272" i="5"/>
  <c r="G2272" i="5"/>
  <c r="E2272" i="5"/>
  <c r="Y2271" i="5"/>
  <c r="W2271" i="5"/>
  <c r="V2271" i="5"/>
  <c r="T2271" i="5"/>
  <c r="S2271" i="5"/>
  <c r="R2271" i="5"/>
  <c r="O2271" i="5"/>
  <c r="N2271" i="5"/>
  <c r="L2271" i="5"/>
  <c r="K2271" i="5"/>
  <c r="I2271" i="5"/>
  <c r="G2271" i="5"/>
  <c r="E2271" i="5"/>
  <c r="Y2270" i="5"/>
  <c r="W2270" i="5"/>
  <c r="V2270" i="5"/>
  <c r="T2270" i="5"/>
  <c r="S2270" i="5"/>
  <c r="R2270" i="5"/>
  <c r="O2270" i="5"/>
  <c r="N2270" i="5"/>
  <c r="L2270" i="5"/>
  <c r="K2270" i="5"/>
  <c r="I2270" i="5"/>
  <c r="G2270" i="5"/>
  <c r="F2270" i="5"/>
  <c r="E2270" i="5"/>
  <c r="Y2269" i="5"/>
  <c r="W2269" i="5"/>
  <c r="V2269" i="5"/>
  <c r="T2269" i="5"/>
  <c r="S2269" i="5"/>
  <c r="R2269" i="5"/>
  <c r="O2269" i="5"/>
  <c r="N2269" i="5"/>
  <c r="L2269" i="5"/>
  <c r="K2269" i="5"/>
  <c r="I2269" i="5"/>
  <c r="G2269" i="5"/>
  <c r="F2269" i="5"/>
  <c r="E2269" i="5"/>
  <c r="Y2268" i="5"/>
  <c r="W2268" i="5"/>
  <c r="V2268" i="5"/>
  <c r="T2268" i="5"/>
  <c r="S2268" i="5"/>
  <c r="R2268" i="5"/>
  <c r="O2268" i="5"/>
  <c r="N2268" i="5"/>
  <c r="L2268" i="5"/>
  <c r="K2268" i="5"/>
  <c r="I2268" i="5"/>
  <c r="G2268" i="5"/>
  <c r="Y2267" i="5"/>
  <c r="W2267" i="5"/>
  <c r="V2267" i="5"/>
  <c r="T2267" i="5"/>
  <c r="S2267" i="5"/>
  <c r="R2267" i="5"/>
  <c r="O2267" i="5"/>
  <c r="N2267" i="5"/>
  <c r="L2267" i="5"/>
  <c r="K2267" i="5"/>
  <c r="I2267" i="5"/>
  <c r="G2267" i="5"/>
  <c r="F2267" i="5"/>
  <c r="E2267" i="5"/>
  <c r="Y2266" i="5"/>
  <c r="W2266" i="5"/>
  <c r="V2266" i="5"/>
  <c r="T2266" i="5"/>
  <c r="S2266" i="5"/>
  <c r="R2266" i="5"/>
  <c r="O2266" i="5"/>
  <c r="N2266" i="5"/>
  <c r="L2266" i="5"/>
  <c r="K2266" i="5"/>
  <c r="I2266" i="5"/>
  <c r="G2266" i="5"/>
  <c r="F2266" i="5"/>
  <c r="Y2265" i="5"/>
  <c r="W2265" i="5"/>
  <c r="V2265" i="5"/>
  <c r="T2265" i="5"/>
  <c r="S2265" i="5"/>
  <c r="R2265" i="5"/>
  <c r="O2265" i="5"/>
  <c r="N2265" i="5"/>
  <c r="L2265" i="5"/>
  <c r="I2265" i="5"/>
  <c r="G2265" i="5"/>
  <c r="F2265" i="5"/>
  <c r="X2264" i="5"/>
  <c r="Z2264" i="5" s="1"/>
  <c r="X2263" i="5"/>
  <c r="Z2263" i="5" s="1"/>
  <c r="P2262" i="5"/>
  <c r="H2262" i="5"/>
  <c r="E2262" i="5"/>
  <c r="X2261" i="5"/>
  <c r="Z2261" i="5" s="1"/>
  <c r="Y2260" i="5"/>
  <c r="W2260" i="5"/>
  <c r="V2260" i="5"/>
  <c r="T2260" i="5"/>
  <c r="S2260" i="5"/>
  <c r="R2260" i="5"/>
  <c r="O2260" i="5"/>
  <c r="N2260" i="5"/>
  <c r="L2260" i="5"/>
  <c r="K2260" i="5"/>
  <c r="I2260" i="5"/>
  <c r="G2260" i="5"/>
  <c r="F2260" i="5"/>
  <c r="Y2259" i="5"/>
  <c r="W2259" i="5"/>
  <c r="V2259" i="5"/>
  <c r="T2259" i="5"/>
  <c r="S2259" i="5"/>
  <c r="R2259" i="5"/>
  <c r="O2259" i="5"/>
  <c r="N2259" i="5"/>
  <c r="L2259" i="5"/>
  <c r="K2259" i="5"/>
  <c r="I2259" i="5"/>
  <c r="G2259" i="5"/>
  <c r="F2259" i="5"/>
  <c r="E2259" i="5"/>
  <c r="Y2258" i="5"/>
  <c r="W2258" i="5"/>
  <c r="V2258" i="5"/>
  <c r="T2258" i="5"/>
  <c r="S2258" i="5"/>
  <c r="R2258" i="5"/>
  <c r="O2258" i="5"/>
  <c r="N2258" i="5"/>
  <c r="L2258" i="5"/>
  <c r="K2258" i="5"/>
  <c r="I2258" i="5"/>
  <c r="G2258" i="5"/>
  <c r="F2258" i="5"/>
  <c r="E2258" i="5"/>
  <c r="Y2257" i="5"/>
  <c r="W2257" i="5"/>
  <c r="V2257" i="5"/>
  <c r="T2257" i="5"/>
  <c r="S2257" i="5"/>
  <c r="R2257" i="5"/>
  <c r="O2257" i="5"/>
  <c r="N2257" i="5"/>
  <c r="L2257" i="5"/>
  <c r="K2257" i="5"/>
  <c r="I2257" i="5"/>
  <c r="G2257" i="5"/>
  <c r="Y2256" i="5"/>
  <c r="W2256" i="5"/>
  <c r="V2256" i="5"/>
  <c r="T2256" i="5"/>
  <c r="S2256" i="5"/>
  <c r="R2256" i="5"/>
  <c r="O2256" i="5"/>
  <c r="N2256" i="5"/>
  <c r="L2256" i="5"/>
  <c r="K2256" i="5"/>
  <c r="I2256" i="5"/>
  <c r="G2256" i="5"/>
  <c r="Y2255" i="5"/>
  <c r="W2255" i="5"/>
  <c r="V2255" i="5"/>
  <c r="T2255" i="5"/>
  <c r="S2255" i="5"/>
  <c r="R2255" i="5"/>
  <c r="O2255" i="5"/>
  <c r="N2255" i="5"/>
  <c r="L2255" i="5"/>
  <c r="K2255" i="5"/>
  <c r="I2255" i="5"/>
  <c r="G2255" i="5"/>
  <c r="Y2254" i="5"/>
  <c r="W2254" i="5"/>
  <c r="V2254" i="5"/>
  <c r="T2254" i="5"/>
  <c r="S2254" i="5"/>
  <c r="R2254" i="5"/>
  <c r="O2254" i="5"/>
  <c r="N2254" i="5"/>
  <c r="L2254" i="5"/>
  <c r="K2254" i="5"/>
  <c r="I2254" i="5"/>
  <c r="G2254" i="5"/>
  <c r="F2254" i="5"/>
  <c r="E2254" i="5"/>
  <c r="Y2253" i="5"/>
  <c r="W2253" i="5"/>
  <c r="V2253" i="5"/>
  <c r="T2253" i="5"/>
  <c r="S2253" i="5"/>
  <c r="R2253" i="5"/>
  <c r="O2253" i="5"/>
  <c r="N2253" i="5"/>
  <c r="L2253" i="5"/>
  <c r="K2253" i="5"/>
  <c r="I2253" i="5"/>
  <c r="G2253" i="5"/>
  <c r="Y2252" i="5"/>
  <c r="W2252" i="5"/>
  <c r="V2252" i="5"/>
  <c r="T2252" i="5"/>
  <c r="S2252" i="5"/>
  <c r="R2252" i="5"/>
  <c r="O2252" i="5"/>
  <c r="N2252" i="5"/>
  <c r="L2252" i="5"/>
  <c r="K2252" i="5"/>
  <c r="I2252" i="5"/>
  <c r="G2252" i="5"/>
  <c r="F2252" i="5"/>
  <c r="E2252" i="5"/>
  <c r="Y2251" i="5"/>
  <c r="W2251" i="5"/>
  <c r="V2251" i="5"/>
  <c r="T2251" i="5"/>
  <c r="S2251" i="5"/>
  <c r="R2251" i="5"/>
  <c r="O2251" i="5"/>
  <c r="N2251" i="5"/>
  <c r="L2251" i="5"/>
  <c r="K2251" i="5"/>
  <c r="I2251" i="5"/>
  <c r="G2251" i="5"/>
  <c r="F2251" i="5"/>
  <c r="Y2250" i="5"/>
  <c r="W2250" i="5"/>
  <c r="V2250" i="5"/>
  <c r="T2250" i="5"/>
  <c r="S2250" i="5"/>
  <c r="R2250" i="5"/>
  <c r="O2250" i="5"/>
  <c r="N2250" i="5"/>
  <c r="L2250" i="5"/>
  <c r="K2250" i="5"/>
  <c r="I2250" i="5"/>
  <c r="G2250" i="5"/>
  <c r="F2250" i="5"/>
  <c r="E2250" i="5"/>
  <c r="Y2249" i="5"/>
  <c r="W2249" i="5"/>
  <c r="V2249" i="5"/>
  <c r="T2249" i="5"/>
  <c r="S2249" i="5"/>
  <c r="R2249" i="5"/>
  <c r="O2249" i="5"/>
  <c r="N2249" i="5"/>
  <c r="L2249" i="5"/>
  <c r="K2249" i="5"/>
  <c r="I2249" i="5"/>
  <c r="G2249" i="5"/>
  <c r="F2249" i="5"/>
  <c r="E2249" i="5"/>
  <c r="Y2248" i="5"/>
  <c r="W2248" i="5"/>
  <c r="V2248" i="5"/>
  <c r="T2248" i="5"/>
  <c r="S2248" i="5"/>
  <c r="R2248" i="5"/>
  <c r="O2248" i="5"/>
  <c r="N2248" i="5"/>
  <c r="L2248" i="5"/>
  <c r="K2248" i="5"/>
  <c r="I2248" i="5"/>
  <c r="G2248" i="5"/>
  <c r="F2248" i="5"/>
  <c r="E2248" i="5"/>
  <c r="Y2247" i="5"/>
  <c r="W2247" i="5"/>
  <c r="V2247" i="5"/>
  <c r="T2247" i="5"/>
  <c r="S2247" i="5"/>
  <c r="R2247" i="5"/>
  <c r="O2247" i="5"/>
  <c r="N2247" i="5"/>
  <c r="L2247" i="5"/>
  <c r="K2247" i="5"/>
  <c r="I2247" i="5"/>
  <c r="G2247" i="5"/>
  <c r="F2247" i="5"/>
  <c r="E2247" i="5"/>
  <c r="Y2246" i="5"/>
  <c r="W2246" i="5"/>
  <c r="V2246" i="5"/>
  <c r="T2246" i="5"/>
  <c r="S2246" i="5"/>
  <c r="R2246" i="5"/>
  <c r="O2246" i="5"/>
  <c r="N2246" i="5"/>
  <c r="L2246" i="5"/>
  <c r="K2246" i="5"/>
  <c r="I2246" i="5"/>
  <c r="G2246" i="5"/>
  <c r="F2246" i="5"/>
  <c r="X2245" i="5"/>
  <c r="Z2245" i="5" s="1"/>
  <c r="X2244" i="5"/>
  <c r="Z2244" i="5" s="1"/>
  <c r="P2243" i="5"/>
  <c r="H2243" i="5"/>
  <c r="E2243" i="5"/>
  <c r="X2242" i="5"/>
  <c r="Z2242" i="5" s="1"/>
  <c r="Y2241" i="5"/>
  <c r="W2241" i="5"/>
  <c r="V2241" i="5"/>
  <c r="T2241" i="5"/>
  <c r="S2241" i="5"/>
  <c r="R2241" i="5"/>
  <c r="O2241" i="5"/>
  <c r="N2241" i="5"/>
  <c r="L2241" i="5"/>
  <c r="K2241" i="5"/>
  <c r="I2241" i="5"/>
  <c r="G2241" i="5"/>
  <c r="F2241" i="5"/>
  <c r="Y2240" i="5"/>
  <c r="W2240" i="5"/>
  <c r="V2240" i="5"/>
  <c r="T2240" i="5"/>
  <c r="S2240" i="5"/>
  <c r="R2240" i="5"/>
  <c r="O2240" i="5"/>
  <c r="N2240" i="5"/>
  <c r="L2240" i="5"/>
  <c r="K2240" i="5"/>
  <c r="I2240" i="5"/>
  <c r="G2240" i="5"/>
  <c r="F2240" i="5"/>
  <c r="E2240" i="5"/>
  <c r="Y2239" i="5"/>
  <c r="W2239" i="5"/>
  <c r="V2239" i="5"/>
  <c r="T2239" i="5"/>
  <c r="S2239" i="5"/>
  <c r="R2239" i="5"/>
  <c r="O2239" i="5"/>
  <c r="N2239" i="5"/>
  <c r="L2239" i="5"/>
  <c r="K2239" i="5"/>
  <c r="I2239" i="5"/>
  <c r="G2239" i="5"/>
  <c r="F2239" i="5"/>
  <c r="E2239" i="5"/>
  <c r="Y2238" i="5"/>
  <c r="W2238" i="5"/>
  <c r="V2238" i="5"/>
  <c r="T2238" i="5"/>
  <c r="S2238" i="5"/>
  <c r="R2238" i="5"/>
  <c r="Q2238" i="5"/>
  <c r="O2238" i="5"/>
  <c r="N2238" i="5"/>
  <c r="L2238" i="5"/>
  <c r="K2238" i="5"/>
  <c r="J2238" i="5"/>
  <c r="I2238" i="5"/>
  <c r="G2238" i="5"/>
  <c r="F2238" i="5"/>
  <c r="E2238" i="5"/>
  <c r="Y2237" i="5"/>
  <c r="W2237" i="5"/>
  <c r="V2237" i="5"/>
  <c r="T2237" i="5"/>
  <c r="S2237" i="5"/>
  <c r="R2237" i="5"/>
  <c r="Q2237" i="5"/>
  <c r="O2237" i="5"/>
  <c r="N2237" i="5"/>
  <c r="L2237" i="5"/>
  <c r="K2237" i="5"/>
  <c r="I2237" i="5"/>
  <c r="G2237" i="5"/>
  <c r="F2237" i="5"/>
  <c r="E2237" i="5"/>
  <c r="Y2236" i="5"/>
  <c r="W2236" i="5"/>
  <c r="V2236" i="5"/>
  <c r="T2236" i="5"/>
  <c r="S2236" i="5"/>
  <c r="R2236" i="5"/>
  <c r="Q2236" i="5"/>
  <c r="O2236" i="5"/>
  <c r="N2236" i="5"/>
  <c r="L2236" i="5"/>
  <c r="K2236" i="5"/>
  <c r="I2236" i="5"/>
  <c r="G2236" i="5"/>
  <c r="F2236" i="5"/>
  <c r="E2236" i="5"/>
  <c r="Y2235" i="5"/>
  <c r="W2235" i="5"/>
  <c r="V2235" i="5"/>
  <c r="T2235" i="5"/>
  <c r="S2235" i="5"/>
  <c r="R2235" i="5"/>
  <c r="O2235" i="5"/>
  <c r="N2235" i="5"/>
  <c r="L2235" i="5"/>
  <c r="K2235" i="5"/>
  <c r="I2235" i="5"/>
  <c r="G2235" i="5"/>
  <c r="Y2234" i="5"/>
  <c r="W2234" i="5"/>
  <c r="V2234" i="5"/>
  <c r="T2234" i="5"/>
  <c r="S2234" i="5"/>
  <c r="R2234" i="5"/>
  <c r="O2234" i="5"/>
  <c r="N2234" i="5"/>
  <c r="L2234" i="5"/>
  <c r="K2234" i="5"/>
  <c r="I2234" i="5"/>
  <c r="G2234" i="5"/>
  <c r="F2234" i="5"/>
  <c r="E2234" i="5"/>
  <c r="Y2233" i="5"/>
  <c r="W2233" i="5"/>
  <c r="V2233" i="5"/>
  <c r="T2233" i="5"/>
  <c r="S2233" i="5"/>
  <c r="R2233" i="5"/>
  <c r="O2233" i="5"/>
  <c r="N2233" i="5"/>
  <c r="L2233" i="5"/>
  <c r="K2233" i="5"/>
  <c r="I2233" i="5"/>
  <c r="G2233" i="5"/>
  <c r="F2233" i="5"/>
  <c r="E2233" i="5"/>
  <c r="Y2232" i="5"/>
  <c r="W2232" i="5"/>
  <c r="V2232" i="5"/>
  <c r="T2232" i="5"/>
  <c r="S2232" i="5"/>
  <c r="R2232" i="5"/>
  <c r="O2232" i="5"/>
  <c r="N2232" i="5"/>
  <c r="L2232" i="5"/>
  <c r="K2232" i="5"/>
  <c r="I2232" i="5"/>
  <c r="G2232" i="5"/>
  <c r="F2232" i="5"/>
  <c r="E2232" i="5"/>
  <c r="Y2231" i="5"/>
  <c r="W2231" i="5"/>
  <c r="V2231" i="5"/>
  <c r="T2231" i="5"/>
  <c r="S2231" i="5"/>
  <c r="R2231" i="5"/>
  <c r="O2231" i="5"/>
  <c r="N2231" i="5"/>
  <c r="L2231" i="5"/>
  <c r="K2231" i="5"/>
  <c r="I2231" i="5"/>
  <c r="G2231" i="5"/>
  <c r="Y2230" i="5"/>
  <c r="W2230" i="5"/>
  <c r="V2230" i="5"/>
  <c r="T2230" i="5"/>
  <c r="S2230" i="5"/>
  <c r="R2230" i="5"/>
  <c r="O2230" i="5"/>
  <c r="N2230" i="5"/>
  <c r="L2230" i="5"/>
  <c r="K2230" i="5"/>
  <c r="I2230" i="5"/>
  <c r="G2230" i="5"/>
  <c r="F2230" i="5"/>
  <c r="E2230" i="5"/>
  <c r="Y2229" i="5"/>
  <c r="W2229" i="5"/>
  <c r="V2229" i="5"/>
  <c r="T2229" i="5"/>
  <c r="S2229" i="5"/>
  <c r="R2229" i="5"/>
  <c r="O2229" i="5"/>
  <c r="N2229" i="5"/>
  <c r="L2229" i="5"/>
  <c r="K2229" i="5"/>
  <c r="I2229" i="5"/>
  <c r="G2229" i="5"/>
  <c r="F2229" i="5"/>
  <c r="E2229" i="5"/>
  <c r="Y2228" i="5"/>
  <c r="W2228" i="5"/>
  <c r="V2228" i="5"/>
  <c r="T2228" i="5"/>
  <c r="S2228" i="5"/>
  <c r="R2228" i="5"/>
  <c r="O2228" i="5"/>
  <c r="N2228" i="5"/>
  <c r="L2228" i="5"/>
  <c r="K2228" i="5"/>
  <c r="I2228" i="5"/>
  <c r="G2228" i="5"/>
  <c r="F2228" i="5"/>
  <c r="Y2227" i="5"/>
  <c r="W2227" i="5"/>
  <c r="V2227" i="5"/>
  <c r="T2227" i="5"/>
  <c r="S2227" i="5"/>
  <c r="R2227" i="5"/>
  <c r="O2227" i="5"/>
  <c r="N2227" i="5"/>
  <c r="L2227" i="5"/>
  <c r="K2227" i="5"/>
  <c r="I2227" i="5"/>
  <c r="G2227" i="5"/>
  <c r="F2227" i="5"/>
  <c r="E2227" i="5"/>
  <c r="Y2226" i="5"/>
  <c r="W2226" i="5"/>
  <c r="V2226" i="5"/>
  <c r="T2226" i="5"/>
  <c r="S2226" i="5"/>
  <c r="R2226" i="5"/>
  <c r="O2226" i="5"/>
  <c r="N2226" i="5"/>
  <c r="L2226" i="5"/>
  <c r="K2226" i="5"/>
  <c r="I2226" i="5"/>
  <c r="G2226" i="5"/>
  <c r="Y2225" i="5"/>
  <c r="W2225" i="5"/>
  <c r="V2225" i="5"/>
  <c r="T2225" i="5"/>
  <c r="S2225" i="5"/>
  <c r="R2225" i="5"/>
  <c r="O2225" i="5"/>
  <c r="N2225" i="5"/>
  <c r="L2225" i="5"/>
  <c r="K2225" i="5"/>
  <c r="I2225" i="5"/>
  <c r="G2225" i="5"/>
  <c r="E2225" i="5"/>
  <c r="Y2224" i="5"/>
  <c r="W2224" i="5"/>
  <c r="V2224" i="5"/>
  <c r="T2224" i="5"/>
  <c r="S2224" i="5"/>
  <c r="R2224" i="5"/>
  <c r="O2224" i="5"/>
  <c r="N2224" i="5"/>
  <c r="L2224" i="5"/>
  <c r="K2224" i="5"/>
  <c r="I2224" i="5"/>
  <c r="G2224" i="5"/>
  <c r="F2224" i="5"/>
  <c r="Y2223" i="5"/>
  <c r="W2223" i="5"/>
  <c r="V2223" i="5"/>
  <c r="T2223" i="5"/>
  <c r="S2223" i="5"/>
  <c r="R2223" i="5"/>
  <c r="O2223" i="5"/>
  <c r="N2223" i="5"/>
  <c r="L2223" i="5"/>
  <c r="K2223" i="5"/>
  <c r="I2223" i="5"/>
  <c r="G2223" i="5"/>
  <c r="F2223" i="5"/>
  <c r="Y2222" i="5"/>
  <c r="W2222" i="5"/>
  <c r="V2222" i="5"/>
  <c r="T2222" i="5"/>
  <c r="S2222" i="5"/>
  <c r="R2222" i="5"/>
  <c r="O2222" i="5"/>
  <c r="N2222" i="5"/>
  <c r="L2222" i="5"/>
  <c r="I2222" i="5"/>
  <c r="G2222" i="5"/>
  <c r="F2222" i="5"/>
  <c r="X2221" i="5"/>
  <c r="Z2221" i="5" s="1"/>
  <c r="X2220" i="5"/>
  <c r="Z2220" i="5" s="1"/>
  <c r="P2219" i="5"/>
  <c r="H2219" i="5"/>
  <c r="E2219" i="5"/>
  <c r="X2218" i="5"/>
  <c r="Z2218" i="5" s="1"/>
  <c r="Y2217" i="5"/>
  <c r="W2217" i="5"/>
  <c r="V2217" i="5"/>
  <c r="T2217" i="5"/>
  <c r="S2217" i="5"/>
  <c r="R2217" i="5"/>
  <c r="O2217" i="5"/>
  <c r="N2217" i="5"/>
  <c r="L2217" i="5"/>
  <c r="K2217" i="5"/>
  <c r="I2217" i="5"/>
  <c r="G2217" i="5"/>
  <c r="E2217" i="5"/>
  <c r="Y2216" i="5"/>
  <c r="W2216" i="5"/>
  <c r="V2216" i="5"/>
  <c r="T2216" i="5"/>
  <c r="S2216" i="5"/>
  <c r="R2216" i="5"/>
  <c r="O2216" i="5"/>
  <c r="N2216" i="5"/>
  <c r="L2216" i="5"/>
  <c r="K2216" i="5"/>
  <c r="I2216" i="5"/>
  <c r="G2216" i="5"/>
  <c r="F2216" i="5"/>
  <c r="E2216" i="5"/>
  <c r="Y2215" i="5"/>
  <c r="W2215" i="5"/>
  <c r="V2215" i="5"/>
  <c r="T2215" i="5"/>
  <c r="S2215" i="5"/>
  <c r="R2215" i="5"/>
  <c r="O2215" i="5"/>
  <c r="N2215" i="5"/>
  <c r="L2215" i="5"/>
  <c r="K2215" i="5"/>
  <c r="I2215" i="5"/>
  <c r="G2215" i="5"/>
  <c r="F2215" i="5"/>
  <c r="E2215" i="5"/>
  <c r="Y2214" i="5"/>
  <c r="W2214" i="5"/>
  <c r="V2214" i="5"/>
  <c r="T2214" i="5"/>
  <c r="S2214" i="5"/>
  <c r="R2214" i="5"/>
  <c r="O2214" i="5"/>
  <c r="N2214" i="5"/>
  <c r="L2214" i="5"/>
  <c r="K2214" i="5"/>
  <c r="I2214" i="5"/>
  <c r="G2214" i="5"/>
  <c r="F2214" i="5"/>
  <c r="E2214" i="5"/>
  <c r="Y2213" i="5"/>
  <c r="W2213" i="5"/>
  <c r="V2213" i="5"/>
  <c r="T2213" i="5"/>
  <c r="S2213" i="5"/>
  <c r="R2213" i="5"/>
  <c r="Q2213" i="5"/>
  <c r="O2213" i="5"/>
  <c r="N2213" i="5"/>
  <c r="L2213" i="5"/>
  <c r="K2213" i="5"/>
  <c r="I2213" i="5"/>
  <c r="G2213" i="5"/>
  <c r="Y2212" i="5"/>
  <c r="W2212" i="5"/>
  <c r="V2212" i="5"/>
  <c r="T2212" i="5"/>
  <c r="S2212" i="5"/>
  <c r="R2212" i="5"/>
  <c r="Q2212" i="5"/>
  <c r="O2212" i="5"/>
  <c r="N2212" i="5"/>
  <c r="L2212" i="5"/>
  <c r="K2212" i="5"/>
  <c r="I2212" i="5"/>
  <c r="G2212" i="5"/>
  <c r="F2212" i="5"/>
  <c r="E2212" i="5"/>
  <c r="Y2211" i="5"/>
  <c r="W2211" i="5"/>
  <c r="V2211" i="5"/>
  <c r="T2211" i="5"/>
  <c r="S2211" i="5"/>
  <c r="R2211" i="5"/>
  <c r="Q2211" i="5"/>
  <c r="O2211" i="5"/>
  <c r="N2211" i="5"/>
  <c r="M2211" i="5"/>
  <c r="L2211" i="5"/>
  <c r="K2211" i="5"/>
  <c r="J2211" i="5"/>
  <c r="I2211" i="5"/>
  <c r="H2211" i="5"/>
  <c r="G2211" i="5"/>
  <c r="F2211" i="5"/>
  <c r="E2211" i="5"/>
  <c r="Y2210" i="5"/>
  <c r="W2210" i="5"/>
  <c r="V2210" i="5"/>
  <c r="T2210" i="5"/>
  <c r="S2210" i="5"/>
  <c r="R2210" i="5"/>
  <c r="O2210" i="5"/>
  <c r="N2210" i="5"/>
  <c r="L2210" i="5"/>
  <c r="K2210" i="5"/>
  <c r="I2210" i="5"/>
  <c r="G2210" i="5"/>
  <c r="F2210" i="5"/>
  <c r="Y2209" i="5"/>
  <c r="W2209" i="5"/>
  <c r="V2209" i="5"/>
  <c r="T2209" i="5"/>
  <c r="S2209" i="5"/>
  <c r="R2209" i="5"/>
  <c r="O2209" i="5"/>
  <c r="N2209" i="5"/>
  <c r="L2209" i="5"/>
  <c r="K2209" i="5"/>
  <c r="I2209" i="5"/>
  <c r="G2209" i="5"/>
  <c r="Y2208" i="5"/>
  <c r="W2208" i="5"/>
  <c r="V2208" i="5"/>
  <c r="T2208" i="5"/>
  <c r="S2208" i="5"/>
  <c r="R2208" i="5"/>
  <c r="O2208" i="5"/>
  <c r="N2208" i="5"/>
  <c r="L2208" i="5"/>
  <c r="K2208" i="5"/>
  <c r="I2208" i="5"/>
  <c r="G2208" i="5"/>
  <c r="Y2207" i="5"/>
  <c r="W2207" i="5"/>
  <c r="V2207" i="5"/>
  <c r="T2207" i="5"/>
  <c r="S2207" i="5"/>
  <c r="R2207" i="5"/>
  <c r="O2207" i="5"/>
  <c r="N2207" i="5"/>
  <c r="L2207" i="5"/>
  <c r="K2207" i="5"/>
  <c r="I2207" i="5"/>
  <c r="G2207" i="5"/>
  <c r="F2207" i="5"/>
  <c r="Y2206" i="5"/>
  <c r="W2206" i="5"/>
  <c r="V2206" i="5"/>
  <c r="T2206" i="5"/>
  <c r="S2206" i="5"/>
  <c r="R2206" i="5"/>
  <c r="O2206" i="5"/>
  <c r="N2206" i="5"/>
  <c r="L2206" i="5"/>
  <c r="K2206" i="5"/>
  <c r="I2206" i="5"/>
  <c r="G2206" i="5"/>
  <c r="F2206" i="5"/>
  <c r="E2206" i="5"/>
  <c r="Y2205" i="5"/>
  <c r="W2205" i="5"/>
  <c r="V2205" i="5"/>
  <c r="T2205" i="5"/>
  <c r="S2205" i="5"/>
  <c r="R2205" i="5"/>
  <c r="O2205" i="5"/>
  <c r="N2205" i="5"/>
  <c r="L2205" i="5"/>
  <c r="K2205" i="5"/>
  <c r="I2205" i="5"/>
  <c r="G2205" i="5"/>
  <c r="F2205" i="5"/>
  <c r="Y2204" i="5"/>
  <c r="W2204" i="5"/>
  <c r="V2204" i="5"/>
  <c r="T2204" i="5"/>
  <c r="S2204" i="5"/>
  <c r="R2204" i="5"/>
  <c r="O2204" i="5"/>
  <c r="N2204" i="5"/>
  <c r="L2204" i="5"/>
  <c r="K2204" i="5"/>
  <c r="I2204" i="5"/>
  <c r="G2204" i="5"/>
  <c r="F2204" i="5"/>
  <c r="E2204" i="5"/>
  <c r="Y2203" i="5"/>
  <c r="W2203" i="5"/>
  <c r="V2203" i="5"/>
  <c r="T2203" i="5"/>
  <c r="S2203" i="5"/>
  <c r="R2203" i="5"/>
  <c r="O2203" i="5"/>
  <c r="N2203" i="5"/>
  <c r="L2203" i="5"/>
  <c r="K2203" i="5"/>
  <c r="I2203" i="5"/>
  <c r="G2203" i="5"/>
  <c r="F2203" i="5"/>
  <c r="Y2202" i="5"/>
  <c r="W2202" i="5"/>
  <c r="V2202" i="5"/>
  <c r="T2202" i="5"/>
  <c r="S2202" i="5"/>
  <c r="R2202" i="5"/>
  <c r="O2202" i="5"/>
  <c r="N2202" i="5"/>
  <c r="L2202" i="5"/>
  <c r="K2202" i="5"/>
  <c r="I2202" i="5"/>
  <c r="G2202" i="5"/>
  <c r="F2202" i="5"/>
  <c r="E2202" i="5"/>
  <c r="Y2201" i="5"/>
  <c r="W2201" i="5"/>
  <c r="V2201" i="5"/>
  <c r="T2201" i="5"/>
  <c r="S2201" i="5"/>
  <c r="R2201" i="5"/>
  <c r="O2201" i="5"/>
  <c r="N2201" i="5"/>
  <c r="L2201" i="5"/>
  <c r="K2201" i="5"/>
  <c r="I2201" i="5"/>
  <c r="G2201" i="5"/>
  <c r="F2201" i="5"/>
  <c r="Y2200" i="5"/>
  <c r="W2200" i="5"/>
  <c r="V2200" i="5"/>
  <c r="T2200" i="5"/>
  <c r="S2200" i="5"/>
  <c r="R2200" i="5"/>
  <c r="O2200" i="5"/>
  <c r="N2200" i="5"/>
  <c r="L2200" i="5"/>
  <c r="K2200" i="5"/>
  <c r="I2200" i="5"/>
  <c r="G2200" i="5"/>
  <c r="Y2199" i="5"/>
  <c r="W2199" i="5"/>
  <c r="V2199" i="5"/>
  <c r="T2199" i="5"/>
  <c r="S2199" i="5"/>
  <c r="R2199" i="5"/>
  <c r="O2199" i="5"/>
  <c r="N2199" i="5"/>
  <c r="L2199" i="5"/>
  <c r="K2199" i="5"/>
  <c r="I2199" i="5"/>
  <c r="G2199" i="5"/>
  <c r="F2199" i="5"/>
  <c r="Y2198" i="5"/>
  <c r="W2198" i="5"/>
  <c r="V2198" i="5"/>
  <c r="T2198" i="5"/>
  <c r="S2198" i="5"/>
  <c r="R2198" i="5"/>
  <c r="O2198" i="5"/>
  <c r="N2198" i="5"/>
  <c r="L2198" i="5"/>
  <c r="K2198" i="5"/>
  <c r="I2198" i="5"/>
  <c r="G2198" i="5"/>
  <c r="F2198" i="5"/>
  <c r="E2198" i="5"/>
  <c r="Y2197" i="5"/>
  <c r="W2197" i="5"/>
  <c r="V2197" i="5"/>
  <c r="T2197" i="5"/>
  <c r="S2197" i="5"/>
  <c r="R2197" i="5"/>
  <c r="O2197" i="5"/>
  <c r="N2197" i="5"/>
  <c r="L2197" i="5"/>
  <c r="K2197" i="5"/>
  <c r="I2197" i="5"/>
  <c r="G2197" i="5"/>
  <c r="F2197" i="5"/>
  <c r="X2196" i="5"/>
  <c r="Z2196" i="5" s="1"/>
  <c r="X2195" i="5"/>
  <c r="Z2195" i="5" s="1"/>
  <c r="P2194" i="5"/>
  <c r="H2194" i="5"/>
  <c r="E2194" i="5"/>
  <c r="X2193" i="5"/>
  <c r="Z2193" i="5" s="1"/>
  <c r="Y2192" i="5"/>
  <c r="W2192" i="5"/>
  <c r="V2192" i="5"/>
  <c r="T2192" i="5"/>
  <c r="S2192" i="5"/>
  <c r="R2192" i="5"/>
  <c r="O2192" i="5"/>
  <c r="N2192" i="5"/>
  <c r="L2192" i="5"/>
  <c r="K2192" i="5"/>
  <c r="I2192" i="5"/>
  <c r="G2192" i="5"/>
  <c r="F2192" i="5"/>
  <c r="E2192" i="5"/>
  <c r="Y2191" i="5"/>
  <c r="W2191" i="5"/>
  <c r="V2191" i="5"/>
  <c r="T2191" i="5"/>
  <c r="S2191" i="5"/>
  <c r="R2191" i="5"/>
  <c r="Q2191" i="5"/>
  <c r="O2191" i="5"/>
  <c r="N2191" i="5"/>
  <c r="L2191" i="5"/>
  <c r="K2191" i="5"/>
  <c r="J2191" i="5"/>
  <c r="I2191" i="5"/>
  <c r="G2191" i="5"/>
  <c r="Y2190" i="5"/>
  <c r="W2190" i="5"/>
  <c r="V2190" i="5"/>
  <c r="T2190" i="5"/>
  <c r="S2190" i="5"/>
  <c r="R2190" i="5"/>
  <c r="Q2190" i="5"/>
  <c r="O2190" i="5"/>
  <c r="N2190" i="5"/>
  <c r="L2190" i="5"/>
  <c r="K2190" i="5"/>
  <c r="J2190" i="5"/>
  <c r="I2190" i="5"/>
  <c r="G2190" i="5"/>
  <c r="F2190" i="5"/>
  <c r="E2190" i="5"/>
  <c r="Y2189" i="5"/>
  <c r="W2189" i="5"/>
  <c r="V2189" i="5"/>
  <c r="T2189" i="5"/>
  <c r="S2189" i="5"/>
  <c r="R2189" i="5"/>
  <c r="Q2189" i="5"/>
  <c r="O2189" i="5"/>
  <c r="N2189" i="5"/>
  <c r="L2189" i="5"/>
  <c r="K2189" i="5"/>
  <c r="J2189" i="5"/>
  <c r="I2189" i="5"/>
  <c r="G2189" i="5"/>
  <c r="F2189" i="5"/>
  <c r="E2189" i="5"/>
  <c r="Y2188" i="5"/>
  <c r="W2188" i="5"/>
  <c r="V2188" i="5"/>
  <c r="T2188" i="5"/>
  <c r="S2188" i="5"/>
  <c r="R2188" i="5"/>
  <c r="O2188" i="5"/>
  <c r="N2188" i="5"/>
  <c r="L2188" i="5"/>
  <c r="K2188" i="5"/>
  <c r="I2188" i="5"/>
  <c r="G2188" i="5"/>
  <c r="F2188" i="5"/>
  <c r="E2188" i="5"/>
  <c r="Y2187" i="5"/>
  <c r="W2187" i="5"/>
  <c r="V2187" i="5"/>
  <c r="T2187" i="5"/>
  <c r="S2187" i="5"/>
  <c r="R2187" i="5"/>
  <c r="O2187" i="5"/>
  <c r="N2187" i="5"/>
  <c r="L2187" i="5"/>
  <c r="K2187" i="5"/>
  <c r="I2187" i="5"/>
  <c r="G2187" i="5"/>
  <c r="Y2186" i="5"/>
  <c r="W2186" i="5"/>
  <c r="V2186" i="5"/>
  <c r="T2186" i="5"/>
  <c r="S2186" i="5"/>
  <c r="R2186" i="5"/>
  <c r="O2186" i="5"/>
  <c r="N2186" i="5"/>
  <c r="L2186" i="5"/>
  <c r="K2186" i="5"/>
  <c r="I2186" i="5"/>
  <c r="G2186" i="5"/>
  <c r="F2186" i="5"/>
  <c r="Y2185" i="5"/>
  <c r="W2185" i="5"/>
  <c r="V2185" i="5"/>
  <c r="T2185" i="5"/>
  <c r="S2185" i="5"/>
  <c r="R2185" i="5"/>
  <c r="O2185" i="5"/>
  <c r="N2185" i="5"/>
  <c r="L2185" i="5"/>
  <c r="K2185" i="5"/>
  <c r="I2185" i="5"/>
  <c r="G2185" i="5"/>
  <c r="F2185" i="5"/>
  <c r="E2185" i="5"/>
  <c r="Y2184" i="5"/>
  <c r="W2184" i="5"/>
  <c r="V2184" i="5"/>
  <c r="T2184" i="5"/>
  <c r="S2184" i="5"/>
  <c r="R2184" i="5"/>
  <c r="O2184" i="5"/>
  <c r="N2184" i="5"/>
  <c r="L2184" i="5"/>
  <c r="K2184" i="5"/>
  <c r="I2184" i="5"/>
  <c r="G2184" i="5"/>
  <c r="F2184" i="5"/>
  <c r="E2184" i="5"/>
  <c r="Y2183" i="5"/>
  <c r="W2183" i="5"/>
  <c r="V2183" i="5"/>
  <c r="T2183" i="5"/>
  <c r="S2183" i="5"/>
  <c r="R2183" i="5"/>
  <c r="O2183" i="5"/>
  <c r="N2183" i="5"/>
  <c r="L2183" i="5"/>
  <c r="K2183" i="5"/>
  <c r="I2183" i="5"/>
  <c r="G2183" i="5"/>
  <c r="F2183" i="5"/>
  <c r="E2183" i="5"/>
  <c r="Y2182" i="5"/>
  <c r="W2182" i="5"/>
  <c r="V2182" i="5"/>
  <c r="T2182" i="5"/>
  <c r="S2182" i="5"/>
  <c r="R2182" i="5"/>
  <c r="O2182" i="5"/>
  <c r="N2182" i="5"/>
  <c r="L2182" i="5"/>
  <c r="K2182" i="5"/>
  <c r="I2182" i="5"/>
  <c r="G2182" i="5"/>
  <c r="F2182" i="5"/>
  <c r="E2182" i="5"/>
  <c r="Y2181" i="5"/>
  <c r="W2181" i="5"/>
  <c r="V2181" i="5"/>
  <c r="T2181" i="5"/>
  <c r="S2181" i="5"/>
  <c r="R2181" i="5"/>
  <c r="O2181" i="5"/>
  <c r="N2181" i="5"/>
  <c r="L2181" i="5"/>
  <c r="K2181" i="5"/>
  <c r="I2181" i="5"/>
  <c r="G2181" i="5"/>
  <c r="F2181" i="5"/>
  <c r="E2181" i="5"/>
  <c r="Y2180" i="5"/>
  <c r="W2180" i="5"/>
  <c r="V2180" i="5"/>
  <c r="T2180" i="5"/>
  <c r="S2180" i="5"/>
  <c r="R2180" i="5"/>
  <c r="O2180" i="5"/>
  <c r="N2180" i="5"/>
  <c r="L2180" i="5"/>
  <c r="K2180" i="5"/>
  <c r="I2180" i="5"/>
  <c r="G2180" i="5"/>
  <c r="F2180" i="5"/>
  <c r="E2180" i="5"/>
  <c r="Y2179" i="5"/>
  <c r="W2179" i="5"/>
  <c r="V2179" i="5"/>
  <c r="T2179" i="5"/>
  <c r="S2179" i="5"/>
  <c r="R2179" i="5"/>
  <c r="O2179" i="5"/>
  <c r="N2179" i="5"/>
  <c r="L2179" i="5"/>
  <c r="K2179" i="5"/>
  <c r="I2179" i="5"/>
  <c r="G2179" i="5"/>
  <c r="F2179" i="5"/>
  <c r="Y2178" i="5"/>
  <c r="W2178" i="5"/>
  <c r="V2178" i="5"/>
  <c r="T2178" i="5"/>
  <c r="S2178" i="5"/>
  <c r="R2178" i="5"/>
  <c r="O2178" i="5"/>
  <c r="N2178" i="5"/>
  <c r="L2178" i="5"/>
  <c r="K2178" i="5"/>
  <c r="I2178" i="5"/>
  <c r="G2178" i="5"/>
  <c r="F2178" i="5"/>
  <c r="E2178" i="5"/>
  <c r="Y2177" i="5"/>
  <c r="W2177" i="5"/>
  <c r="V2177" i="5"/>
  <c r="T2177" i="5"/>
  <c r="S2177" i="5"/>
  <c r="R2177" i="5"/>
  <c r="O2177" i="5"/>
  <c r="N2177" i="5"/>
  <c r="L2177" i="5"/>
  <c r="K2177" i="5"/>
  <c r="I2177" i="5"/>
  <c r="G2177" i="5"/>
  <c r="F2177" i="5"/>
  <c r="Y2176" i="5"/>
  <c r="W2176" i="5"/>
  <c r="V2176" i="5"/>
  <c r="T2176" i="5"/>
  <c r="S2176" i="5"/>
  <c r="R2176" i="5"/>
  <c r="O2176" i="5"/>
  <c r="N2176" i="5"/>
  <c r="L2176" i="5"/>
  <c r="K2176" i="5"/>
  <c r="I2176" i="5"/>
  <c r="G2176" i="5"/>
  <c r="F2176" i="5"/>
  <c r="X2175" i="5"/>
  <c r="Z2175" i="5" s="1"/>
  <c r="X2174" i="5"/>
  <c r="Z2174" i="5" s="1"/>
  <c r="P2173" i="5"/>
  <c r="H2173" i="5"/>
  <c r="E2173" i="5"/>
  <c r="X2172" i="5"/>
  <c r="Z2172" i="5" s="1"/>
  <c r="Y2171" i="5"/>
  <c r="W2171" i="5"/>
  <c r="V2171" i="5"/>
  <c r="T2171" i="5"/>
  <c r="S2171" i="5"/>
  <c r="R2171" i="5"/>
  <c r="O2171" i="5"/>
  <c r="N2171" i="5"/>
  <c r="L2171" i="5"/>
  <c r="K2171" i="5"/>
  <c r="I2171" i="5"/>
  <c r="G2171" i="5"/>
  <c r="F2171" i="5"/>
  <c r="Y2170" i="5"/>
  <c r="W2170" i="5"/>
  <c r="V2170" i="5"/>
  <c r="T2170" i="5"/>
  <c r="S2170" i="5"/>
  <c r="R2170" i="5"/>
  <c r="O2170" i="5"/>
  <c r="N2170" i="5"/>
  <c r="L2170" i="5"/>
  <c r="K2170" i="5"/>
  <c r="I2170" i="5"/>
  <c r="G2170" i="5"/>
  <c r="Y2169" i="5"/>
  <c r="W2169" i="5"/>
  <c r="V2169" i="5"/>
  <c r="T2169" i="5"/>
  <c r="S2169" i="5"/>
  <c r="R2169" i="5"/>
  <c r="O2169" i="5"/>
  <c r="N2169" i="5"/>
  <c r="L2169" i="5"/>
  <c r="K2169" i="5"/>
  <c r="I2169" i="5"/>
  <c r="G2169" i="5"/>
  <c r="F2169" i="5"/>
  <c r="E2169" i="5"/>
  <c r="Y2168" i="5"/>
  <c r="W2168" i="5"/>
  <c r="V2168" i="5"/>
  <c r="T2168" i="5"/>
  <c r="S2168" i="5"/>
  <c r="R2168" i="5"/>
  <c r="O2168" i="5"/>
  <c r="N2168" i="5"/>
  <c r="L2168" i="5"/>
  <c r="I2168" i="5"/>
  <c r="G2168" i="5"/>
  <c r="F2168" i="5"/>
  <c r="Y2167" i="5"/>
  <c r="W2167" i="5"/>
  <c r="V2167" i="5"/>
  <c r="T2167" i="5"/>
  <c r="S2167" i="5"/>
  <c r="R2167" i="5"/>
  <c r="O2167" i="5"/>
  <c r="N2167" i="5"/>
  <c r="L2167" i="5"/>
  <c r="K2167" i="5"/>
  <c r="I2167" i="5"/>
  <c r="G2167" i="5"/>
  <c r="F2167" i="5"/>
  <c r="E2167" i="5"/>
  <c r="Y2166" i="5"/>
  <c r="W2166" i="5"/>
  <c r="V2166" i="5"/>
  <c r="T2166" i="5"/>
  <c r="S2166" i="5"/>
  <c r="R2166" i="5"/>
  <c r="O2166" i="5"/>
  <c r="N2166" i="5"/>
  <c r="L2166" i="5"/>
  <c r="K2166" i="5"/>
  <c r="I2166" i="5"/>
  <c r="G2166" i="5"/>
  <c r="F2166" i="5"/>
  <c r="E2166" i="5"/>
  <c r="Y2165" i="5"/>
  <c r="W2165" i="5"/>
  <c r="V2165" i="5"/>
  <c r="T2165" i="5"/>
  <c r="S2165" i="5"/>
  <c r="R2165" i="5"/>
  <c r="O2165" i="5"/>
  <c r="N2165" i="5"/>
  <c r="L2165" i="5"/>
  <c r="K2165" i="5"/>
  <c r="I2165" i="5"/>
  <c r="G2165" i="5"/>
  <c r="F2165" i="5"/>
  <c r="E2165" i="5"/>
  <c r="Y2164" i="5"/>
  <c r="W2164" i="5"/>
  <c r="V2164" i="5"/>
  <c r="T2164" i="5"/>
  <c r="S2164" i="5"/>
  <c r="R2164" i="5"/>
  <c r="Q2164" i="5"/>
  <c r="O2164" i="5"/>
  <c r="N2164" i="5"/>
  <c r="L2164" i="5"/>
  <c r="K2164" i="5"/>
  <c r="J2164" i="5"/>
  <c r="I2164" i="5"/>
  <c r="G2164" i="5"/>
  <c r="F2164" i="5"/>
  <c r="Y2163" i="5"/>
  <c r="W2163" i="5"/>
  <c r="V2163" i="5"/>
  <c r="T2163" i="5"/>
  <c r="S2163" i="5"/>
  <c r="R2163" i="5"/>
  <c r="Q2163" i="5"/>
  <c r="O2163" i="5"/>
  <c r="N2163" i="5"/>
  <c r="L2163" i="5"/>
  <c r="K2163" i="5"/>
  <c r="J2163" i="5"/>
  <c r="I2163" i="5"/>
  <c r="G2163" i="5"/>
  <c r="F2163" i="5"/>
  <c r="E2163" i="5"/>
  <c r="Y2162" i="5"/>
  <c r="W2162" i="5"/>
  <c r="V2162" i="5"/>
  <c r="T2162" i="5"/>
  <c r="S2162" i="5"/>
  <c r="R2162" i="5"/>
  <c r="Q2162" i="5"/>
  <c r="O2162" i="5"/>
  <c r="N2162" i="5"/>
  <c r="L2162" i="5"/>
  <c r="K2162" i="5"/>
  <c r="J2162" i="5"/>
  <c r="I2162" i="5"/>
  <c r="G2162" i="5"/>
  <c r="F2162" i="5"/>
  <c r="E2162" i="5"/>
  <c r="Y2161" i="5"/>
  <c r="W2161" i="5"/>
  <c r="V2161" i="5"/>
  <c r="T2161" i="5"/>
  <c r="S2161" i="5"/>
  <c r="R2161" i="5"/>
  <c r="Q2161" i="5"/>
  <c r="O2161" i="5"/>
  <c r="N2161" i="5"/>
  <c r="L2161" i="5"/>
  <c r="K2161" i="5"/>
  <c r="I2161" i="5"/>
  <c r="G2161" i="5"/>
  <c r="F2161" i="5"/>
  <c r="E2161" i="5"/>
  <c r="Y2160" i="5"/>
  <c r="W2160" i="5"/>
  <c r="V2160" i="5"/>
  <c r="T2160" i="5"/>
  <c r="S2160" i="5"/>
  <c r="R2160" i="5"/>
  <c r="Q2160" i="5"/>
  <c r="O2160" i="5"/>
  <c r="N2160" i="5"/>
  <c r="L2160" i="5"/>
  <c r="K2160" i="5"/>
  <c r="I2160" i="5"/>
  <c r="G2160" i="5"/>
  <c r="F2160" i="5"/>
  <c r="E2160" i="5"/>
  <c r="Y2159" i="5"/>
  <c r="W2159" i="5"/>
  <c r="V2159" i="5"/>
  <c r="T2159" i="5"/>
  <c r="S2159" i="5"/>
  <c r="R2159" i="5"/>
  <c r="Q2159" i="5"/>
  <c r="O2159" i="5"/>
  <c r="N2159" i="5"/>
  <c r="L2159" i="5"/>
  <c r="K2159" i="5"/>
  <c r="I2159" i="5"/>
  <c r="G2159" i="5"/>
  <c r="Y2158" i="5"/>
  <c r="W2158" i="5"/>
  <c r="V2158" i="5"/>
  <c r="T2158" i="5"/>
  <c r="S2158" i="5"/>
  <c r="R2158" i="5"/>
  <c r="O2158" i="5"/>
  <c r="N2158" i="5"/>
  <c r="L2158" i="5"/>
  <c r="K2158" i="5"/>
  <c r="I2158" i="5"/>
  <c r="G2158" i="5"/>
  <c r="F2158" i="5"/>
  <c r="Y2157" i="5"/>
  <c r="W2157" i="5"/>
  <c r="V2157" i="5"/>
  <c r="T2157" i="5"/>
  <c r="S2157" i="5"/>
  <c r="R2157" i="5"/>
  <c r="O2157" i="5"/>
  <c r="N2157" i="5"/>
  <c r="L2157" i="5"/>
  <c r="K2157" i="5"/>
  <c r="I2157" i="5"/>
  <c r="G2157" i="5"/>
  <c r="F2157" i="5"/>
  <c r="E2157" i="5"/>
  <c r="Y2156" i="5"/>
  <c r="W2156" i="5"/>
  <c r="V2156" i="5"/>
  <c r="T2156" i="5"/>
  <c r="S2156" i="5"/>
  <c r="R2156" i="5"/>
  <c r="O2156" i="5"/>
  <c r="N2156" i="5"/>
  <c r="L2156" i="5"/>
  <c r="K2156" i="5"/>
  <c r="I2156" i="5"/>
  <c r="G2156" i="5"/>
  <c r="Y2155" i="5"/>
  <c r="W2155" i="5"/>
  <c r="V2155" i="5"/>
  <c r="T2155" i="5"/>
  <c r="S2155" i="5"/>
  <c r="R2155" i="5"/>
  <c r="O2155" i="5"/>
  <c r="N2155" i="5"/>
  <c r="L2155" i="5"/>
  <c r="K2155" i="5"/>
  <c r="I2155" i="5"/>
  <c r="G2155" i="5"/>
  <c r="Y2154" i="5"/>
  <c r="W2154" i="5"/>
  <c r="V2154" i="5"/>
  <c r="T2154" i="5"/>
  <c r="S2154" i="5"/>
  <c r="R2154" i="5"/>
  <c r="O2154" i="5"/>
  <c r="N2154" i="5"/>
  <c r="L2154" i="5"/>
  <c r="K2154" i="5"/>
  <c r="I2154" i="5"/>
  <c r="G2154" i="5"/>
  <c r="Y2153" i="5"/>
  <c r="W2153" i="5"/>
  <c r="V2153" i="5"/>
  <c r="T2153" i="5"/>
  <c r="S2153" i="5"/>
  <c r="R2153" i="5"/>
  <c r="O2153" i="5"/>
  <c r="N2153" i="5"/>
  <c r="L2153" i="5"/>
  <c r="K2153" i="5"/>
  <c r="I2153" i="5"/>
  <c r="G2153" i="5"/>
  <c r="F2153" i="5"/>
  <c r="Y2152" i="5"/>
  <c r="W2152" i="5"/>
  <c r="V2152" i="5"/>
  <c r="T2152" i="5"/>
  <c r="S2152" i="5"/>
  <c r="R2152" i="5"/>
  <c r="O2152" i="5"/>
  <c r="N2152" i="5"/>
  <c r="L2152" i="5"/>
  <c r="K2152" i="5"/>
  <c r="I2152" i="5"/>
  <c r="G2152" i="5"/>
  <c r="Y2151" i="5"/>
  <c r="W2151" i="5"/>
  <c r="V2151" i="5"/>
  <c r="T2151" i="5"/>
  <c r="S2151" i="5"/>
  <c r="R2151" i="5"/>
  <c r="O2151" i="5"/>
  <c r="N2151" i="5"/>
  <c r="L2151" i="5"/>
  <c r="K2151" i="5"/>
  <c r="I2151" i="5"/>
  <c r="G2151" i="5"/>
  <c r="F2151" i="5"/>
  <c r="Y2150" i="5"/>
  <c r="W2150" i="5"/>
  <c r="V2150" i="5"/>
  <c r="T2150" i="5"/>
  <c r="S2150" i="5"/>
  <c r="R2150" i="5"/>
  <c r="O2150" i="5"/>
  <c r="N2150" i="5"/>
  <c r="L2150" i="5"/>
  <c r="K2150" i="5"/>
  <c r="I2150" i="5"/>
  <c r="G2150" i="5"/>
  <c r="F2150" i="5"/>
  <c r="Y2149" i="5"/>
  <c r="W2149" i="5"/>
  <c r="V2149" i="5"/>
  <c r="T2149" i="5"/>
  <c r="S2149" i="5"/>
  <c r="R2149" i="5"/>
  <c r="O2149" i="5"/>
  <c r="N2149" i="5"/>
  <c r="L2149" i="5"/>
  <c r="K2149" i="5"/>
  <c r="I2149" i="5"/>
  <c r="G2149" i="5"/>
  <c r="F2149" i="5"/>
  <c r="Y2148" i="5"/>
  <c r="W2148" i="5"/>
  <c r="V2148" i="5"/>
  <c r="T2148" i="5"/>
  <c r="S2148" i="5"/>
  <c r="R2148" i="5"/>
  <c r="O2148" i="5"/>
  <c r="N2148" i="5"/>
  <c r="L2148" i="5"/>
  <c r="K2148" i="5"/>
  <c r="I2148" i="5"/>
  <c r="G2148" i="5"/>
  <c r="F2148" i="5"/>
  <c r="Y2147" i="5"/>
  <c r="W2147" i="5"/>
  <c r="V2147" i="5"/>
  <c r="T2147" i="5"/>
  <c r="S2147" i="5"/>
  <c r="R2147" i="5"/>
  <c r="O2147" i="5"/>
  <c r="N2147" i="5"/>
  <c r="L2147" i="5"/>
  <c r="K2147" i="5"/>
  <c r="I2147" i="5"/>
  <c r="G2147" i="5"/>
  <c r="F2147" i="5"/>
  <c r="E2147" i="5"/>
  <c r="Y2146" i="5"/>
  <c r="W2146" i="5"/>
  <c r="V2146" i="5"/>
  <c r="T2146" i="5"/>
  <c r="S2146" i="5"/>
  <c r="R2146" i="5"/>
  <c r="O2146" i="5"/>
  <c r="N2146" i="5"/>
  <c r="L2146" i="5"/>
  <c r="K2146" i="5"/>
  <c r="I2146" i="5"/>
  <c r="G2146" i="5"/>
  <c r="E2146" i="5"/>
  <c r="Y2145" i="5"/>
  <c r="W2145" i="5"/>
  <c r="V2145" i="5"/>
  <c r="T2145" i="5"/>
  <c r="S2145" i="5"/>
  <c r="R2145" i="5"/>
  <c r="O2145" i="5"/>
  <c r="N2145" i="5"/>
  <c r="L2145" i="5"/>
  <c r="K2145" i="5"/>
  <c r="I2145" i="5"/>
  <c r="G2145" i="5"/>
  <c r="Y2144" i="5"/>
  <c r="W2144" i="5"/>
  <c r="V2144" i="5"/>
  <c r="T2144" i="5"/>
  <c r="S2144" i="5"/>
  <c r="R2144" i="5"/>
  <c r="O2144" i="5"/>
  <c r="N2144" i="5"/>
  <c r="L2144" i="5"/>
  <c r="K2144" i="5"/>
  <c r="I2144" i="5"/>
  <c r="G2144" i="5"/>
  <c r="F2144" i="5"/>
  <c r="E2144" i="5"/>
  <c r="Y2143" i="5"/>
  <c r="W2143" i="5"/>
  <c r="V2143" i="5"/>
  <c r="T2143" i="5"/>
  <c r="S2143" i="5"/>
  <c r="R2143" i="5"/>
  <c r="O2143" i="5"/>
  <c r="N2143" i="5"/>
  <c r="L2143" i="5"/>
  <c r="K2143" i="5"/>
  <c r="I2143" i="5"/>
  <c r="G2143" i="5"/>
  <c r="F2143" i="5"/>
  <c r="Y2142" i="5"/>
  <c r="W2142" i="5"/>
  <c r="V2142" i="5"/>
  <c r="T2142" i="5"/>
  <c r="S2142" i="5"/>
  <c r="R2142" i="5"/>
  <c r="O2142" i="5"/>
  <c r="N2142" i="5"/>
  <c r="L2142" i="5"/>
  <c r="I2142" i="5"/>
  <c r="G2142" i="5"/>
  <c r="F2142" i="5"/>
  <c r="Y2141" i="5"/>
  <c r="W2141" i="5"/>
  <c r="V2141" i="5"/>
  <c r="T2141" i="5"/>
  <c r="S2141" i="5"/>
  <c r="R2141" i="5"/>
  <c r="O2141" i="5"/>
  <c r="N2141" i="5"/>
  <c r="L2141" i="5"/>
  <c r="K2141" i="5"/>
  <c r="I2141" i="5"/>
  <c r="G2141" i="5"/>
  <c r="F2141" i="5"/>
  <c r="E2141" i="5"/>
  <c r="X2140" i="5"/>
  <c r="Z2140" i="5" s="1"/>
  <c r="X2139" i="5"/>
  <c r="Z2139" i="5" s="1"/>
  <c r="P2138" i="5"/>
  <c r="H2138" i="5"/>
  <c r="E2138" i="5"/>
  <c r="X2137" i="5"/>
  <c r="Y2136" i="5"/>
  <c r="W2136" i="5"/>
  <c r="V2136" i="5"/>
  <c r="T2136" i="5"/>
  <c r="S2136" i="5"/>
  <c r="R2136" i="5"/>
  <c r="O2136" i="5"/>
  <c r="N2136" i="5"/>
  <c r="L2136" i="5"/>
  <c r="K2136" i="5"/>
  <c r="I2136" i="5"/>
  <c r="G2136" i="5"/>
  <c r="Y2135" i="5"/>
  <c r="W2135" i="5"/>
  <c r="V2135" i="5"/>
  <c r="T2135" i="5"/>
  <c r="S2135" i="5"/>
  <c r="R2135" i="5"/>
  <c r="O2135" i="5"/>
  <c r="N2135" i="5"/>
  <c r="L2135" i="5"/>
  <c r="K2135" i="5"/>
  <c r="I2135" i="5"/>
  <c r="G2135" i="5"/>
  <c r="E2135" i="5"/>
  <c r="Y2134" i="5"/>
  <c r="W2134" i="5"/>
  <c r="V2134" i="5"/>
  <c r="T2134" i="5"/>
  <c r="S2134" i="5"/>
  <c r="R2134" i="5"/>
  <c r="Q2134" i="5"/>
  <c r="O2134" i="5"/>
  <c r="N2134" i="5"/>
  <c r="L2134" i="5"/>
  <c r="K2134" i="5"/>
  <c r="I2134" i="5"/>
  <c r="G2134" i="5"/>
  <c r="F2134" i="5"/>
  <c r="E2134" i="5"/>
  <c r="Y2133" i="5"/>
  <c r="W2133" i="5"/>
  <c r="V2133" i="5"/>
  <c r="T2133" i="5"/>
  <c r="S2133" i="5"/>
  <c r="R2133" i="5"/>
  <c r="O2133" i="5"/>
  <c r="N2133" i="5"/>
  <c r="L2133" i="5"/>
  <c r="K2133" i="5"/>
  <c r="I2133" i="5"/>
  <c r="G2133" i="5"/>
  <c r="F2133" i="5"/>
  <c r="Y2132" i="5"/>
  <c r="W2132" i="5"/>
  <c r="V2132" i="5"/>
  <c r="T2132" i="5"/>
  <c r="S2132" i="5"/>
  <c r="R2132" i="5"/>
  <c r="O2132" i="5"/>
  <c r="N2132" i="5"/>
  <c r="L2132" i="5"/>
  <c r="K2132" i="5"/>
  <c r="I2132" i="5"/>
  <c r="G2132" i="5"/>
  <c r="F2132" i="5"/>
  <c r="E2132" i="5"/>
  <c r="Y2131" i="5"/>
  <c r="W2131" i="5"/>
  <c r="V2131" i="5"/>
  <c r="T2131" i="5"/>
  <c r="S2131" i="5"/>
  <c r="R2131" i="5"/>
  <c r="O2131" i="5"/>
  <c r="N2131" i="5"/>
  <c r="L2131" i="5"/>
  <c r="K2131" i="5"/>
  <c r="I2131" i="5"/>
  <c r="G2131" i="5"/>
  <c r="Y2130" i="5"/>
  <c r="W2130" i="5"/>
  <c r="V2130" i="5"/>
  <c r="T2130" i="5"/>
  <c r="S2130" i="5"/>
  <c r="R2130" i="5"/>
  <c r="O2130" i="5"/>
  <c r="N2130" i="5"/>
  <c r="L2130" i="5"/>
  <c r="K2130" i="5"/>
  <c r="I2130" i="5"/>
  <c r="G2130" i="5"/>
  <c r="F2130" i="5"/>
  <c r="E2130" i="5"/>
  <c r="Y2129" i="5"/>
  <c r="W2129" i="5"/>
  <c r="V2129" i="5"/>
  <c r="T2129" i="5"/>
  <c r="S2129" i="5"/>
  <c r="R2129" i="5"/>
  <c r="O2129" i="5"/>
  <c r="N2129" i="5"/>
  <c r="L2129" i="5"/>
  <c r="K2129" i="5"/>
  <c r="I2129" i="5"/>
  <c r="G2129" i="5"/>
  <c r="F2129" i="5"/>
  <c r="E2129" i="5"/>
  <c r="Y2128" i="5"/>
  <c r="W2128" i="5"/>
  <c r="V2128" i="5"/>
  <c r="T2128" i="5"/>
  <c r="S2128" i="5"/>
  <c r="R2128" i="5"/>
  <c r="O2128" i="5"/>
  <c r="N2128" i="5"/>
  <c r="L2128" i="5"/>
  <c r="K2128" i="5"/>
  <c r="I2128" i="5"/>
  <c r="G2128" i="5"/>
  <c r="F2128" i="5"/>
  <c r="E2128" i="5"/>
  <c r="Y2127" i="5"/>
  <c r="W2127" i="5"/>
  <c r="V2127" i="5"/>
  <c r="T2127" i="5"/>
  <c r="S2127" i="5"/>
  <c r="R2127" i="5"/>
  <c r="O2127" i="5"/>
  <c r="N2127" i="5"/>
  <c r="L2127" i="5"/>
  <c r="K2127" i="5"/>
  <c r="I2127" i="5"/>
  <c r="G2127" i="5"/>
  <c r="Y2126" i="5"/>
  <c r="W2126" i="5"/>
  <c r="V2126" i="5"/>
  <c r="T2126" i="5"/>
  <c r="S2126" i="5"/>
  <c r="R2126" i="5"/>
  <c r="O2126" i="5"/>
  <c r="N2126" i="5"/>
  <c r="L2126" i="5"/>
  <c r="K2126" i="5"/>
  <c r="I2126" i="5"/>
  <c r="G2126" i="5"/>
  <c r="F2126" i="5"/>
  <c r="Y2125" i="5"/>
  <c r="W2125" i="5"/>
  <c r="V2125" i="5"/>
  <c r="T2125" i="5"/>
  <c r="S2125" i="5"/>
  <c r="R2125" i="5"/>
  <c r="O2125" i="5"/>
  <c r="N2125" i="5"/>
  <c r="L2125" i="5"/>
  <c r="K2125" i="5"/>
  <c r="I2125" i="5"/>
  <c r="G2125" i="5"/>
  <c r="F2125" i="5"/>
  <c r="E2125" i="5"/>
  <c r="Y2124" i="5"/>
  <c r="W2124" i="5"/>
  <c r="V2124" i="5"/>
  <c r="T2124" i="5"/>
  <c r="S2124" i="5"/>
  <c r="R2124" i="5"/>
  <c r="O2124" i="5"/>
  <c r="N2124" i="5"/>
  <c r="L2124" i="5"/>
  <c r="K2124" i="5"/>
  <c r="I2124" i="5"/>
  <c r="G2124" i="5"/>
  <c r="F2124" i="5"/>
  <c r="E2124" i="5"/>
  <c r="Y2123" i="5"/>
  <c r="W2123" i="5"/>
  <c r="V2123" i="5"/>
  <c r="T2123" i="5"/>
  <c r="S2123" i="5"/>
  <c r="R2123" i="5"/>
  <c r="O2123" i="5"/>
  <c r="N2123" i="5"/>
  <c r="L2123" i="5"/>
  <c r="K2123" i="5"/>
  <c r="I2123" i="5"/>
  <c r="G2123" i="5"/>
  <c r="F2123" i="5"/>
  <c r="E2123" i="5"/>
  <c r="Y2122" i="5"/>
  <c r="W2122" i="5"/>
  <c r="V2122" i="5"/>
  <c r="T2122" i="5"/>
  <c r="S2122" i="5"/>
  <c r="R2122" i="5"/>
  <c r="O2122" i="5"/>
  <c r="N2122" i="5"/>
  <c r="L2122" i="5"/>
  <c r="K2122" i="5"/>
  <c r="I2122" i="5"/>
  <c r="G2122" i="5"/>
  <c r="Y2121" i="5"/>
  <c r="W2121" i="5"/>
  <c r="V2121" i="5"/>
  <c r="T2121" i="5"/>
  <c r="S2121" i="5"/>
  <c r="R2121" i="5"/>
  <c r="O2121" i="5"/>
  <c r="N2121" i="5"/>
  <c r="L2121" i="5"/>
  <c r="K2121" i="5"/>
  <c r="I2121" i="5"/>
  <c r="G2121" i="5"/>
  <c r="Y2120" i="5"/>
  <c r="W2120" i="5"/>
  <c r="V2120" i="5"/>
  <c r="T2120" i="5"/>
  <c r="S2120" i="5"/>
  <c r="R2120" i="5"/>
  <c r="O2120" i="5"/>
  <c r="N2120" i="5"/>
  <c r="L2120" i="5"/>
  <c r="K2120" i="5"/>
  <c r="I2120" i="5"/>
  <c r="G2120" i="5"/>
  <c r="E2120" i="5"/>
  <c r="Y2119" i="5"/>
  <c r="W2119" i="5"/>
  <c r="V2119" i="5"/>
  <c r="T2119" i="5"/>
  <c r="S2119" i="5"/>
  <c r="R2119" i="5"/>
  <c r="O2119" i="5"/>
  <c r="N2119" i="5"/>
  <c r="L2119" i="5"/>
  <c r="K2119" i="5"/>
  <c r="I2119" i="5"/>
  <c r="G2119" i="5"/>
  <c r="E2119" i="5"/>
  <c r="Y2118" i="5"/>
  <c r="W2118" i="5"/>
  <c r="V2118" i="5"/>
  <c r="T2118" i="5"/>
  <c r="S2118" i="5"/>
  <c r="R2118" i="5"/>
  <c r="O2118" i="5"/>
  <c r="N2118" i="5"/>
  <c r="L2118" i="5"/>
  <c r="K2118" i="5"/>
  <c r="I2118" i="5"/>
  <c r="G2118" i="5"/>
  <c r="F2118" i="5"/>
  <c r="Y2117" i="5"/>
  <c r="W2117" i="5"/>
  <c r="V2117" i="5"/>
  <c r="T2117" i="5"/>
  <c r="S2117" i="5"/>
  <c r="R2117" i="5"/>
  <c r="O2117" i="5"/>
  <c r="N2117" i="5"/>
  <c r="L2117" i="5"/>
  <c r="K2117" i="5"/>
  <c r="I2117" i="5"/>
  <c r="G2117" i="5"/>
  <c r="F2117" i="5"/>
  <c r="E2117" i="5"/>
  <c r="Y2116" i="5"/>
  <c r="W2116" i="5"/>
  <c r="V2116" i="5"/>
  <c r="T2116" i="5"/>
  <c r="S2116" i="5"/>
  <c r="R2116" i="5"/>
  <c r="O2116" i="5"/>
  <c r="N2116" i="5"/>
  <c r="L2116" i="5"/>
  <c r="K2116" i="5"/>
  <c r="I2116" i="5"/>
  <c r="G2116" i="5"/>
  <c r="F2116" i="5"/>
  <c r="E2116" i="5"/>
  <c r="Y2115" i="5"/>
  <c r="W2115" i="5"/>
  <c r="V2115" i="5"/>
  <c r="T2115" i="5"/>
  <c r="S2115" i="5"/>
  <c r="R2115" i="5"/>
  <c r="O2115" i="5"/>
  <c r="N2115" i="5"/>
  <c r="L2115" i="5"/>
  <c r="K2115" i="5"/>
  <c r="I2115" i="5"/>
  <c r="G2115" i="5"/>
  <c r="F2115" i="5"/>
  <c r="X2114" i="5"/>
  <c r="X2113" i="5"/>
  <c r="P2112" i="5"/>
  <c r="H2112" i="5"/>
  <c r="X2112" i="5" s="1"/>
  <c r="E2112" i="5"/>
  <c r="Y2110" i="5"/>
  <c r="W2110" i="5"/>
  <c r="V2110" i="5"/>
  <c r="T2110" i="5"/>
  <c r="S2110" i="5"/>
  <c r="R2110" i="5"/>
  <c r="O2110" i="5"/>
  <c r="N2110" i="5"/>
  <c r="L2110" i="5"/>
  <c r="K2110" i="5"/>
  <c r="I2110" i="5"/>
  <c r="G2110" i="5"/>
  <c r="Y2109" i="5"/>
  <c r="W2109" i="5"/>
  <c r="V2109" i="5"/>
  <c r="T2109" i="5"/>
  <c r="S2109" i="5"/>
  <c r="R2109" i="5"/>
  <c r="O2109" i="5"/>
  <c r="N2109" i="5"/>
  <c r="L2109" i="5"/>
  <c r="K2109" i="5"/>
  <c r="I2109" i="5"/>
  <c r="G2109" i="5"/>
  <c r="F2109" i="5"/>
  <c r="E2109" i="5"/>
  <c r="Y2108" i="5"/>
  <c r="W2108" i="5"/>
  <c r="V2108" i="5"/>
  <c r="T2108" i="5"/>
  <c r="S2108" i="5"/>
  <c r="R2108" i="5"/>
  <c r="O2108" i="5"/>
  <c r="N2108" i="5"/>
  <c r="L2108" i="5"/>
  <c r="K2108" i="5"/>
  <c r="I2108" i="5"/>
  <c r="G2108" i="5"/>
  <c r="F2108" i="5"/>
  <c r="E2108" i="5"/>
  <c r="Y2107" i="5"/>
  <c r="W2107" i="5"/>
  <c r="V2107" i="5"/>
  <c r="T2107" i="5"/>
  <c r="S2107" i="5"/>
  <c r="R2107" i="5"/>
  <c r="Q2107" i="5"/>
  <c r="O2107" i="5"/>
  <c r="N2107" i="5"/>
  <c r="L2107" i="5"/>
  <c r="K2107" i="5"/>
  <c r="J2107" i="5"/>
  <c r="I2107" i="5"/>
  <c r="G2107" i="5"/>
  <c r="F2107" i="5"/>
  <c r="E2107" i="5"/>
  <c r="Y2106" i="5"/>
  <c r="W2106" i="5"/>
  <c r="V2106" i="5"/>
  <c r="T2106" i="5"/>
  <c r="S2106" i="5"/>
  <c r="R2106" i="5"/>
  <c r="O2106" i="5"/>
  <c r="N2106" i="5"/>
  <c r="L2106" i="5"/>
  <c r="K2106" i="5"/>
  <c r="I2106" i="5"/>
  <c r="G2106" i="5"/>
  <c r="F2106" i="5"/>
  <c r="Y2105" i="5"/>
  <c r="W2105" i="5"/>
  <c r="V2105" i="5"/>
  <c r="T2105" i="5"/>
  <c r="S2105" i="5"/>
  <c r="R2105" i="5"/>
  <c r="O2105" i="5"/>
  <c r="N2105" i="5"/>
  <c r="L2105" i="5"/>
  <c r="K2105" i="5"/>
  <c r="I2105" i="5"/>
  <c r="G2105" i="5"/>
  <c r="F2105" i="5"/>
  <c r="E2105" i="5"/>
  <c r="Y2104" i="5"/>
  <c r="W2104" i="5"/>
  <c r="V2104" i="5"/>
  <c r="T2104" i="5"/>
  <c r="S2104" i="5"/>
  <c r="R2104" i="5"/>
  <c r="Q2104" i="5"/>
  <c r="O2104" i="5"/>
  <c r="N2104" i="5"/>
  <c r="L2104" i="5"/>
  <c r="K2104" i="5"/>
  <c r="J2104" i="5"/>
  <c r="I2104" i="5"/>
  <c r="G2104" i="5"/>
  <c r="Y2103" i="5"/>
  <c r="W2103" i="5"/>
  <c r="V2103" i="5"/>
  <c r="T2103" i="5"/>
  <c r="S2103" i="5"/>
  <c r="R2103" i="5"/>
  <c r="Q2103" i="5"/>
  <c r="O2103" i="5"/>
  <c r="N2103" i="5"/>
  <c r="L2103" i="5"/>
  <c r="K2103" i="5"/>
  <c r="J2103" i="5"/>
  <c r="I2103" i="5"/>
  <c r="G2103" i="5"/>
  <c r="Y2102" i="5"/>
  <c r="W2102" i="5"/>
  <c r="V2102" i="5"/>
  <c r="T2102" i="5"/>
  <c r="S2102" i="5"/>
  <c r="R2102" i="5"/>
  <c r="O2102" i="5"/>
  <c r="N2102" i="5"/>
  <c r="L2102" i="5"/>
  <c r="K2102" i="5"/>
  <c r="I2102" i="5"/>
  <c r="G2102" i="5"/>
  <c r="F2102" i="5"/>
  <c r="E2102" i="5"/>
  <c r="Y2101" i="5"/>
  <c r="W2101" i="5"/>
  <c r="V2101" i="5"/>
  <c r="T2101" i="5"/>
  <c r="S2101" i="5"/>
  <c r="R2101" i="5"/>
  <c r="O2101" i="5"/>
  <c r="N2101" i="5"/>
  <c r="L2101" i="5"/>
  <c r="K2101" i="5"/>
  <c r="I2101" i="5"/>
  <c r="G2101" i="5"/>
  <c r="F2101" i="5"/>
  <c r="E2101" i="5"/>
  <c r="Y2100" i="5"/>
  <c r="W2100" i="5"/>
  <c r="V2100" i="5"/>
  <c r="T2100" i="5"/>
  <c r="S2100" i="5"/>
  <c r="R2100" i="5"/>
  <c r="O2100" i="5"/>
  <c r="N2100" i="5"/>
  <c r="L2100" i="5"/>
  <c r="K2100" i="5"/>
  <c r="I2100" i="5"/>
  <c r="G2100" i="5"/>
  <c r="F2100" i="5"/>
  <c r="E2100" i="5"/>
  <c r="Y2099" i="5"/>
  <c r="W2099" i="5"/>
  <c r="V2099" i="5"/>
  <c r="T2099" i="5"/>
  <c r="S2099" i="5"/>
  <c r="R2099" i="5"/>
  <c r="O2099" i="5"/>
  <c r="N2099" i="5"/>
  <c r="L2099" i="5"/>
  <c r="K2099" i="5"/>
  <c r="I2099" i="5"/>
  <c r="G2099" i="5"/>
  <c r="F2099" i="5"/>
  <c r="E2099" i="5"/>
  <c r="Y2098" i="5"/>
  <c r="W2098" i="5"/>
  <c r="V2098" i="5"/>
  <c r="T2098" i="5"/>
  <c r="S2098" i="5"/>
  <c r="R2098" i="5"/>
  <c r="O2098" i="5"/>
  <c r="N2098" i="5"/>
  <c r="L2098" i="5"/>
  <c r="K2098" i="5"/>
  <c r="I2098" i="5"/>
  <c r="G2098" i="5"/>
  <c r="E2098" i="5"/>
  <c r="Y2097" i="5"/>
  <c r="W2097" i="5"/>
  <c r="V2097" i="5"/>
  <c r="T2097" i="5"/>
  <c r="S2097" i="5"/>
  <c r="R2097" i="5"/>
  <c r="O2097" i="5"/>
  <c r="N2097" i="5"/>
  <c r="L2097" i="5"/>
  <c r="K2097" i="5"/>
  <c r="I2097" i="5"/>
  <c r="G2097" i="5"/>
  <c r="F2097" i="5"/>
  <c r="E2097" i="5"/>
  <c r="Y2096" i="5"/>
  <c r="W2096" i="5"/>
  <c r="V2096" i="5"/>
  <c r="T2096" i="5"/>
  <c r="S2096" i="5"/>
  <c r="R2096" i="5"/>
  <c r="O2096" i="5"/>
  <c r="N2096" i="5"/>
  <c r="L2096" i="5"/>
  <c r="K2096" i="5"/>
  <c r="I2096" i="5"/>
  <c r="G2096" i="5"/>
  <c r="F2096" i="5"/>
  <c r="E2096" i="5"/>
  <c r="Y2095" i="5"/>
  <c r="W2095" i="5"/>
  <c r="V2095" i="5"/>
  <c r="T2095" i="5"/>
  <c r="S2095" i="5"/>
  <c r="R2095" i="5"/>
  <c r="O2095" i="5"/>
  <c r="N2095" i="5"/>
  <c r="L2095" i="5"/>
  <c r="K2095" i="5"/>
  <c r="I2095" i="5"/>
  <c r="G2095" i="5"/>
  <c r="F2095" i="5"/>
  <c r="E2095" i="5"/>
  <c r="Y2094" i="5"/>
  <c r="W2094" i="5"/>
  <c r="V2094" i="5"/>
  <c r="T2094" i="5"/>
  <c r="S2094" i="5"/>
  <c r="R2094" i="5"/>
  <c r="O2094" i="5"/>
  <c r="N2094" i="5"/>
  <c r="L2094" i="5"/>
  <c r="K2094" i="5"/>
  <c r="I2094" i="5"/>
  <c r="G2094" i="5"/>
  <c r="F2094" i="5"/>
  <c r="Y2093" i="5"/>
  <c r="W2093" i="5"/>
  <c r="V2093" i="5"/>
  <c r="T2093" i="5"/>
  <c r="S2093" i="5"/>
  <c r="R2093" i="5"/>
  <c r="O2093" i="5"/>
  <c r="N2093" i="5"/>
  <c r="L2093" i="5"/>
  <c r="K2093" i="5"/>
  <c r="I2093" i="5"/>
  <c r="G2093" i="5"/>
  <c r="F2093" i="5"/>
  <c r="Y2092" i="5"/>
  <c r="W2092" i="5"/>
  <c r="V2092" i="5"/>
  <c r="T2092" i="5"/>
  <c r="S2092" i="5"/>
  <c r="R2092" i="5"/>
  <c r="O2092" i="5"/>
  <c r="N2092" i="5"/>
  <c r="L2092" i="5"/>
  <c r="K2092" i="5"/>
  <c r="I2092" i="5"/>
  <c r="G2092" i="5"/>
  <c r="F2092" i="5"/>
  <c r="E2092" i="5"/>
  <c r="Y2091" i="5"/>
  <c r="W2091" i="5"/>
  <c r="V2091" i="5"/>
  <c r="T2091" i="5"/>
  <c r="S2091" i="5"/>
  <c r="R2091" i="5"/>
  <c r="O2091" i="5"/>
  <c r="N2091" i="5"/>
  <c r="L2091" i="5"/>
  <c r="K2091" i="5"/>
  <c r="I2091" i="5"/>
  <c r="G2091" i="5"/>
  <c r="F2091" i="5"/>
  <c r="Y2090" i="5"/>
  <c r="W2090" i="5"/>
  <c r="V2090" i="5"/>
  <c r="T2090" i="5"/>
  <c r="S2090" i="5"/>
  <c r="R2090" i="5"/>
  <c r="O2090" i="5"/>
  <c r="N2090" i="5"/>
  <c r="L2090" i="5"/>
  <c r="K2090" i="5"/>
  <c r="I2090" i="5"/>
  <c r="G2090" i="5"/>
  <c r="F2090" i="5"/>
  <c r="E2090" i="5"/>
  <c r="Y2089" i="5"/>
  <c r="W2089" i="5"/>
  <c r="V2089" i="5"/>
  <c r="T2089" i="5"/>
  <c r="S2089" i="5"/>
  <c r="R2089" i="5"/>
  <c r="O2089" i="5"/>
  <c r="N2089" i="5"/>
  <c r="L2089" i="5"/>
  <c r="K2089" i="5"/>
  <c r="I2089" i="5"/>
  <c r="G2089" i="5"/>
  <c r="F2089" i="5"/>
  <c r="E2089" i="5"/>
  <c r="Y2088" i="5"/>
  <c r="W2088" i="5"/>
  <c r="V2088" i="5"/>
  <c r="T2088" i="5"/>
  <c r="S2088" i="5"/>
  <c r="R2088" i="5"/>
  <c r="O2088" i="5"/>
  <c r="N2088" i="5"/>
  <c r="L2088" i="5"/>
  <c r="K2088" i="5"/>
  <c r="I2088" i="5"/>
  <c r="G2088" i="5"/>
  <c r="F2088" i="5"/>
  <c r="Y2087" i="5"/>
  <c r="W2087" i="5"/>
  <c r="V2087" i="5"/>
  <c r="T2087" i="5"/>
  <c r="S2087" i="5"/>
  <c r="R2087" i="5"/>
  <c r="O2087" i="5"/>
  <c r="N2087" i="5"/>
  <c r="L2087" i="5"/>
  <c r="K2087" i="5"/>
  <c r="I2087" i="5"/>
  <c r="G2087" i="5"/>
  <c r="F2087" i="5"/>
  <c r="E2087" i="5"/>
  <c r="Y2086" i="5"/>
  <c r="Y2112" i="5" s="1"/>
  <c r="W2086" i="5"/>
  <c r="W2112" i="5" s="1"/>
  <c r="V2086" i="5"/>
  <c r="T2086" i="5"/>
  <c r="T2112" i="5" s="1"/>
  <c r="S2086" i="5"/>
  <c r="R2086" i="5"/>
  <c r="O2086" i="5"/>
  <c r="O2112" i="5" s="1"/>
  <c r="N2086" i="5"/>
  <c r="L2086" i="5"/>
  <c r="L2112" i="5" s="1"/>
  <c r="I2086" i="5"/>
  <c r="I2112" i="5" s="1"/>
  <c r="G2086" i="5"/>
  <c r="G2112" i="5" s="1"/>
  <c r="F2086" i="5"/>
  <c r="P2079" i="5"/>
  <c r="H2079" i="5"/>
  <c r="E2079" i="5"/>
  <c r="X2078" i="5"/>
  <c r="Z2078" i="5" s="1"/>
  <c r="Y2077" i="5"/>
  <c r="T2077" i="5"/>
  <c r="S2077" i="5"/>
  <c r="R2077" i="5"/>
  <c r="Q2077" i="5"/>
  <c r="O2077" i="5"/>
  <c r="N2077" i="5"/>
  <c r="L2077" i="5"/>
  <c r="K2077" i="5"/>
  <c r="J2077" i="5"/>
  <c r="I2077" i="5"/>
  <c r="G2077" i="5"/>
  <c r="F2077" i="5"/>
  <c r="E2077" i="5"/>
  <c r="Y2076" i="5"/>
  <c r="W2076" i="5"/>
  <c r="T2076" i="5"/>
  <c r="S2076" i="5"/>
  <c r="R2076" i="5"/>
  <c r="Q2076" i="5"/>
  <c r="O2076" i="5"/>
  <c r="N2076" i="5"/>
  <c r="L2076" i="5"/>
  <c r="K2076" i="5"/>
  <c r="J2076" i="5"/>
  <c r="I2076" i="5"/>
  <c r="G2076" i="5"/>
  <c r="F2076" i="5"/>
  <c r="E2076" i="5"/>
  <c r="Y2075" i="5"/>
  <c r="T2075" i="5"/>
  <c r="S2075" i="5"/>
  <c r="R2075" i="5"/>
  <c r="Q2075" i="5"/>
  <c r="O2075" i="5"/>
  <c r="N2075" i="5"/>
  <c r="L2075" i="5"/>
  <c r="K2075" i="5"/>
  <c r="J2075" i="5"/>
  <c r="I2075" i="5"/>
  <c r="G2075" i="5"/>
  <c r="Y2074" i="5"/>
  <c r="T2074" i="5"/>
  <c r="S2074" i="5"/>
  <c r="R2074" i="5"/>
  <c r="Q2074" i="5"/>
  <c r="O2074" i="5"/>
  <c r="N2074" i="5"/>
  <c r="L2074" i="5"/>
  <c r="K2074" i="5"/>
  <c r="J2074" i="5"/>
  <c r="I2074" i="5"/>
  <c r="G2074" i="5"/>
  <c r="F2074" i="5"/>
  <c r="E2074" i="5"/>
  <c r="Y2073" i="5"/>
  <c r="T2073" i="5"/>
  <c r="S2073" i="5"/>
  <c r="R2073" i="5"/>
  <c r="Q2073" i="5"/>
  <c r="O2073" i="5"/>
  <c r="N2073" i="5"/>
  <c r="L2073" i="5"/>
  <c r="K2073" i="5"/>
  <c r="J2073" i="5"/>
  <c r="I2073" i="5"/>
  <c r="G2073" i="5"/>
  <c r="F2073" i="5"/>
  <c r="E2073" i="5"/>
  <c r="Y2072" i="5"/>
  <c r="T2072" i="5"/>
  <c r="S2072" i="5"/>
  <c r="R2072" i="5"/>
  <c r="Q2072" i="5"/>
  <c r="O2072" i="5"/>
  <c r="N2072" i="5"/>
  <c r="L2072" i="5"/>
  <c r="K2072" i="5"/>
  <c r="J2072" i="5"/>
  <c r="I2072" i="5"/>
  <c r="G2072" i="5"/>
  <c r="F2072" i="5"/>
  <c r="E2072" i="5"/>
  <c r="Y2071" i="5"/>
  <c r="T2071" i="5"/>
  <c r="S2071" i="5"/>
  <c r="R2071" i="5"/>
  <c r="Q2071" i="5"/>
  <c r="O2071" i="5"/>
  <c r="N2071" i="5"/>
  <c r="L2071" i="5"/>
  <c r="K2071" i="5"/>
  <c r="J2071" i="5"/>
  <c r="I2071" i="5"/>
  <c r="G2071" i="5"/>
  <c r="F2071" i="5"/>
  <c r="E2071" i="5"/>
  <c r="Y2070" i="5"/>
  <c r="T2070" i="5"/>
  <c r="S2070" i="5"/>
  <c r="R2070" i="5"/>
  <c r="Q2070" i="5"/>
  <c r="O2070" i="5"/>
  <c r="N2070" i="5"/>
  <c r="L2070" i="5"/>
  <c r="K2070" i="5"/>
  <c r="J2070" i="5"/>
  <c r="I2070" i="5"/>
  <c r="G2070" i="5"/>
  <c r="F2070" i="5"/>
  <c r="E2070" i="5"/>
  <c r="Y2069" i="5"/>
  <c r="T2069" i="5"/>
  <c r="S2069" i="5"/>
  <c r="R2069" i="5"/>
  <c r="Q2069" i="5"/>
  <c r="O2069" i="5"/>
  <c r="N2069" i="5"/>
  <c r="L2069" i="5"/>
  <c r="K2069" i="5"/>
  <c r="J2069" i="5"/>
  <c r="I2069" i="5"/>
  <c r="G2069" i="5"/>
  <c r="F2069" i="5"/>
  <c r="E2069" i="5"/>
  <c r="Y2068" i="5"/>
  <c r="T2068" i="5"/>
  <c r="S2068" i="5"/>
  <c r="R2068" i="5"/>
  <c r="Q2068" i="5"/>
  <c r="O2068" i="5"/>
  <c r="N2068" i="5"/>
  <c r="L2068" i="5"/>
  <c r="K2068" i="5"/>
  <c r="J2068" i="5"/>
  <c r="I2068" i="5"/>
  <c r="G2068" i="5"/>
  <c r="F2068" i="5"/>
  <c r="E2068" i="5"/>
  <c r="Y2067" i="5"/>
  <c r="T2067" i="5"/>
  <c r="S2067" i="5"/>
  <c r="R2067" i="5"/>
  <c r="Q2067" i="5"/>
  <c r="O2067" i="5"/>
  <c r="N2067" i="5"/>
  <c r="L2067" i="5"/>
  <c r="K2067" i="5"/>
  <c r="J2067" i="5"/>
  <c r="I2067" i="5"/>
  <c r="G2067" i="5"/>
  <c r="F2067" i="5"/>
  <c r="E2067" i="5"/>
  <c r="Y2066" i="5"/>
  <c r="T2066" i="5"/>
  <c r="S2066" i="5"/>
  <c r="R2066" i="5"/>
  <c r="Q2066" i="5"/>
  <c r="O2066" i="5"/>
  <c r="N2066" i="5"/>
  <c r="L2066" i="5"/>
  <c r="K2066" i="5"/>
  <c r="J2066" i="5"/>
  <c r="I2066" i="5"/>
  <c r="G2066" i="5"/>
  <c r="F2066" i="5"/>
  <c r="E2066" i="5"/>
  <c r="Y2065" i="5"/>
  <c r="T2065" i="5"/>
  <c r="S2065" i="5"/>
  <c r="R2065" i="5"/>
  <c r="Q2065" i="5"/>
  <c r="O2065" i="5"/>
  <c r="N2065" i="5"/>
  <c r="L2065" i="5"/>
  <c r="K2065" i="5"/>
  <c r="J2065" i="5"/>
  <c r="I2065" i="5"/>
  <c r="G2065" i="5"/>
  <c r="F2065" i="5"/>
  <c r="E2065" i="5"/>
  <c r="Y2064" i="5"/>
  <c r="T2064" i="5"/>
  <c r="S2064" i="5"/>
  <c r="R2064" i="5"/>
  <c r="Q2064" i="5"/>
  <c r="O2064" i="5"/>
  <c r="N2064" i="5"/>
  <c r="L2064" i="5"/>
  <c r="K2064" i="5"/>
  <c r="J2064" i="5"/>
  <c r="I2064" i="5"/>
  <c r="G2064" i="5"/>
  <c r="F2064" i="5"/>
  <c r="E2064" i="5"/>
  <c r="AB2063" i="5"/>
  <c r="AA2063" i="5"/>
  <c r="Y2063" i="5"/>
  <c r="W2063" i="5"/>
  <c r="V2063" i="5"/>
  <c r="U2063" i="5"/>
  <c r="T2063" i="5"/>
  <c r="S2063" i="5"/>
  <c r="R2063" i="5"/>
  <c r="Q2063" i="5"/>
  <c r="P2063" i="5"/>
  <c r="O2063" i="5"/>
  <c r="N2063" i="5"/>
  <c r="M2063" i="5"/>
  <c r="L2063" i="5"/>
  <c r="K2063" i="5"/>
  <c r="J2063" i="5"/>
  <c r="I2063" i="5"/>
  <c r="H2063" i="5"/>
  <c r="X2063" i="5" s="1"/>
  <c r="G2063" i="5"/>
  <c r="F2063" i="5"/>
  <c r="E2063" i="5"/>
  <c r="Y2062" i="5"/>
  <c r="T2062" i="5"/>
  <c r="S2062" i="5"/>
  <c r="R2062" i="5"/>
  <c r="Q2062" i="5"/>
  <c r="O2062" i="5"/>
  <c r="N2062" i="5"/>
  <c r="L2062" i="5"/>
  <c r="K2062" i="5"/>
  <c r="J2062" i="5"/>
  <c r="I2062" i="5"/>
  <c r="G2062" i="5"/>
  <c r="F2062" i="5"/>
  <c r="E2062" i="5"/>
  <c r="X2061" i="5"/>
  <c r="Z2061" i="5" s="1"/>
  <c r="X2060" i="5"/>
  <c r="Z2060" i="5" s="1"/>
  <c r="P2059" i="5"/>
  <c r="H2059" i="5"/>
  <c r="E2059" i="5"/>
  <c r="X2058" i="5"/>
  <c r="Z2058" i="5" s="1"/>
  <c r="Y2057" i="5"/>
  <c r="T2057" i="5"/>
  <c r="S2057" i="5"/>
  <c r="R2057" i="5"/>
  <c r="Q2057" i="5"/>
  <c r="O2057" i="5"/>
  <c r="N2057" i="5"/>
  <c r="L2057" i="5"/>
  <c r="K2057" i="5"/>
  <c r="J2057" i="5"/>
  <c r="I2057" i="5"/>
  <c r="G2057" i="5"/>
  <c r="F2057" i="5"/>
  <c r="E2057" i="5"/>
  <c r="Y2056" i="5"/>
  <c r="T2056" i="5"/>
  <c r="S2056" i="5"/>
  <c r="R2056" i="5"/>
  <c r="Q2056" i="5"/>
  <c r="P2056" i="5"/>
  <c r="O2056" i="5"/>
  <c r="N2056" i="5"/>
  <c r="L2056" i="5"/>
  <c r="K2056" i="5"/>
  <c r="J2056" i="5"/>
  <c r="I2056" i="5"/>
  <c r="G2056" i="5"/>
  <c r="F2056" i="5"/>
  <c r="E2056" i="5"/>
  <c r="Y2055" i="5"/>
  <c r="W2055" i="5"/>
  <c r="V2055" i="5"/>
  <c r="T2055" i="5"/>
  <c r="S2055" i="5"/>
  <c r="R2055" i="5"/>
  <c r="Q2055" i="5"/>
  <c r="O2055" i="5"/>
  <c r="N2055" i="5"/>
  <c r="L2055" i="5"/>
  <c r="K2055" i="5"/>
  <c r="J2055" i="5"/>
  <c r="I2055" i="5"/>
  <c r="F2055" i="5"/>
  <c r="Y2054" i="5"/>
  <c r="W2054" i="5"/>
  <c r="V2054" i="5"/>
  <c r="U2054" i="5"/>
  <c r="T2054" i="5"/>
  <c r="S2054" i="5"/>
  <c r="R2054" i="5"/>
  <c r="Q2054" i="5"/>
  <c r="O2054" i="5"/>
  <c r="N2054" i="5"/>
  <c r="L2054" i="5"/>
  <c r="K2054" i="5"/>
  <c r="J2054" i="5"/>
  <c r="I2054" i="5"/>
  <c r="G2054" i="5"/>
  <c r="F2054" i="5"/>
  <c r="E2054" i="5"/>
  <c r="Y2053" i="5"/>
  <c r="W2053" i="5"/>
  <c r="T2053" i="5"/>
  <c r="S2053" i="5"/>
  <c r="R2053" i="5"/>
  <c r="Q2053" i="5"/>
  <c r="O2053" i="5"/>
  <c r="N2053" i="5"/>
  <c r="L2053" i="5"/>
  <c r="K2053" i="5"/>
  <c r="J2053" i="5"/>
  <c r="I2053" i="5"/>
  <c r="G2053" i="5"/>
  <c r="Y2052" i="5"/>
  <c r="T2052" i="5"/>
  <c r="S2052" i="5"/>
  <c r="R2052" i="5"/>
  <c r="Q2052" i="5"/>
  <c r="O2052" i="5"/>
  <c r="N2052" i="5"/>
  <c r="L2052" i="5"/>
  <c r="K2052" i="5"/>
  <c r="J2052" i="5"/>
  <c r="I2052" i="5"/>
  <c r="G2052" i="5"/>
  <c r="Y2051" i="5"/>
  <c r="T2051" i="5"/>
  <c r="S2051" i="5"/>
  <c r="R2051" i="5"/>
  <c r="Q2051" i="5"/>
  <c r="O2051" i="5"/>
  <c r="N2051" i="5"/>
  <c r="L2051" i="5"/>
  <c r="K2051" i="5"/>
  <c r="J2051" i="5"/>
  <c r="I2051" i="5"/>
  <c r="G2051" i="5"/>
  <c r="F2051" i="5"/>
  <c r="E2051" i="5"/>
  <c r="Y2050" i="5"/>
  <c r="T2050" i="5"/>
  <c r="S2050" i="5"/>
  <c r="R2050" i="5"/>
  <c r="Q2050" i="5"/>
  <c r="O2050" i="5"/>
  <c r="N2050" i="5"/>
  <c r="L2050" i="5"/>
  <c r="K2050" i="5"/>
  <c r="J2050" i="5"/>
  <c r="I2050" i="5"/>
  <c r="G2050" i="5"/>
  <c r="F2050" i="5"/>
  <c r="E2050" i="5"/>
  <c r="Y2049" i="5"/>
  <c r="T2049" i="5"/>
  <c r="S2049" i="5"/>
  <c r="R2049" i="5"/>
  <c r="Q2049" i="5"/>
  <c r="O2049" i="5"/>
  <c r="N2049" i="5"/>
  <c r="L2049" i="5"/>
  <c r="K2049" i="5"/>
  <c r="J2049" i="5"/>
  <c r="I2049" i="5"/>
  <c r="G2049" i="5"/>
  <c r="F2049" i="5"/>
  <c r="E2049" i="5"/>
  <c r="Y2048" i="5"/>
  <c r="T2048" i="5"/>
  <c r="S2048" i="5"/>
  <c r="R2048" i="5"/>
  <c r="Q2048" i="5"/>
  <c r="O2048" i="5"/>
  <c r="N2048" i="5"/>
  <c r="L2048" i="5"/>
  <c r="K2048" i="5"/>
  <c r="J2048" i="5"/>
  <c r="I2048" i="5"/>
  <c r="G2048" i="5"/>
  <c r="F2048" i="5"/>
  <c r="E2048" i="5"/>
  <c r="Y2047" i="5"/>
  <c r="T2047" i="5"/>
  <c r="S2047" i="5"/>
  <c r="R2047" i="5"/>
  <c r="Q2047" i="5"/>
  <c r="O2047" i="5"/>
  <c r="N2047" i="5"/>
  <c r="L2047" i="5"/>
  <c r="K2047" i="5"/>
  <c r="J2047" i="5"/>
  <c r="I2047" i="5"/>
  <c r="G2047" i="5"/>
  <c r="F2047" i="5"/>
  <c r="E2047" i="5"/>
  <c r="Y2046" i="5"/>
  <c r="T2046" i="5"/>
  <c r="S2046" i="5"/>
  <c r="R2046" i="5"/>
  <c r="Q2046" i="5"/>
  <c r="O2046" i="5"/>
  <c r="N2046" i="5"/>
  <c r="L2046" i="5"/>
  <c r="K2046" i="5"/>
  <c r="J2046" i="5"/>
  <c r="I2046" i="5"/>
  <c r="G2046" i="5"/>
  <c r="F2046" i="5"/>
  <c r="E2046" i="5"/>
  <c r="Y2045" i="5"/>
  <c r="T2045" i="5"/>
  <c r="S2045" i="5"/>
  <c r="R2045" i="5"/>
  <c r="Q2045" i="5"/>
  <c r="O2045" i="5"/>
  <c r="N2045" i="5"/>
  <c r="L2045" i="5"/>
  <c r="K2045" i="5"/>
  <c r="J2045" i="5"/>
  <c r="I2045" i="5"/>
  <c r="G2045" i="5"/>
  <c r="F2045" i="5"/>
  <c r="E2045" i="5"/>
  <c r="Y2044" i="5"/>
  <c r="T2044" i="5"/>
  <c r="S2044" i="5"/>
  <c r="R2044" i="5"/>
  <c r="Q2044" i="5"/>
  <c r="O2044" i="5"/>
  <c r="N2044" i="5"/>
  <c r="L2044" i="5"/>
  <c r="K2044" i="5"/>
  <c r="J2044" i="5"/>
  <c r="I2044" i="5"/>
  <c r="G2044" i="5"/>
  <c r="F2044" i="5"/>
  <c r="E2044" i="5"/>
  <c r="Y2043" i="5"/>
  <c r="T2043" i="5"/>
  <c r="S2043" i="5"/>
  <c r="R2043" i="5"/>
  <c r="Q2043" i="5"/>
  <c r="O2043" i="5"/>
  <c r="N2043" i="5"/>
  <c r="L2043" i="5"/>
  <c r="K2043" i="5"/>
  <c r="J2043" i="5"/>
  <c r="I2043" i="5"/>
  <c r="G2043" i="5"/>
  <c r="F2043" i="5"/>
  <c r="E2043" i="5"/>
  <c r="Y2042" i="5"/>
  <c r="T2042" i="5"/>
  <c r="S2042" i="5"/>
  <c r="R2042" i="5"/>
  <c r="Q2042" i="5"/>
  <c r="O2042" i="5"/>
  <c r="N2042" i="5"/>
  <c r="L2042" i="5"/>
  <c r="K2042" i="5"/>
  <c r="J2042" i="5"/>
  <c r="I2042" i="5"/>
  <c r="G2042" i="5"/>
  <c r="F2042" i="5"/>
  <c r="E2042" i="5"/>
  <c r="Y2041" i="5"/>
  <c r="T2041" i="5"/>
  <c r="S2041" i="5"/>
  <c r="R2041" i="5"/>
  <c r="Q2041" i="5"/>
  <c r="O2041" i="5"/>
  <c r="L2041" i="5"/>
  <c r="K2041" i="5"/>
  <c r="J2041" i="5"/>
  <c r="I2041" i="5"/>
  <c r="G2041" i="5"/>
  <c r="F2041" i="5"/>
  <c r="E2041" i="5"/>
  <c r="X2040" i="5"/>
  <c r="Z2040" i="5" s="1"/>
  <c r="X2039" i="5"/>
  <c r="Z2039" i="5" s="1"/>
  <c r="Z2038" i="5"/>
  <c r="X2038" i="5"/>
  <c r="P2037" i="5"/>
  <c r="H2037" i="5"/>
  <c r="E2037" i="5"/>
  <c r="X2036" i="5"/>
  <c r="Z2036" i="5" s="1"/>
  <c r="Y2035" i="5"/>
  <c r="T2035" i="5"/>
  <c r="S2035" i="5"/>
  <c r="R2035" i="5"/>
  <c r="Q2035" i="5"/>
  <c r="O2035" i="5"/>
  <c r="N2035" i="5"/>
  <c r="L2035" i="5"/>
  <c r="K2035" i="5"/>
  <c r="J2035" i="5"/>
  <c r="I2035" i="5"/>
  <c r="G2035" i="5"/>
  <c r="F2035" i="5"/>
  <c r="Y2034" i="5"/>
  <c r="T2034" i="5"/>
  <c r="S2034" i="5"/>
  <c r="R2034" i="5"/>
  <c r="Q2034" i="5"/>
  <c r="O2034" i="5"/>
  <c r="N2034" i="5"/>
  <c r="L2034" i="5"/>
  <c r="K2034" i="5"/>
  <c r="J2034" i="5"/>
  <c r="I2034" i="5"/>
  <c r="G2034" i="5"/>
  <c r="Y2033" i="5"/>
  <c r="W2033" i="5"/>
  <c r="V2033" i="5"/>
  <c r="T2033" i="5"/>
  <c r="S2033" i="5"/>
  <c r="R2033" i="5"/>
  <c r="Q2033" i="5"/>
  <c r="O2033" i="5"/>
  <c r="N2033" i="5"/>
  <c r="L2033" i="5"/>
  <c r="K2033" i="5"/>
  <c r="J2033" i="5"/>
  <c r="I2033" i="5"/>
  <c r="G2033" i="5"/>
  <c r="F2033" i="5"/>
  <c r="E2033" i="5"/>
  <c r="Y2032" i="5"/>
  <c r="T2032" i="5"/>
  <c r="S2032" i="5"/>
  <c r="R2032" i="5"/>
  <c r="Q2032" i="5"/>
  <c r="O2032" i="5"/>
  <c r="N2032" i="5"/>
  <c r="L2032" i="5"/>
  <c r="K2032" i="5"/>
  <c r="J2032" i="5"/>
  <c r="I2032" i="5"/>
  <c r="G2032" i="5"/>
  <c r="Y2031" i="5"/>
  <c r="T2031" i="5"/>
  <c r="S2031" i="5"/>
  <c r="R2031" i="5"/>
  <c r="Q2031" i="5"/>
  <c r="O2031" i="5"/>
  <c r="N2031" i="5"/>
  <c r="L2031" i="5"/>
  <c r="K2031" i="5"/>
  <c r="J2031" i="5"/>
  <c r="I2031" i="5"/>
  <c r="G2031" i="5"/>
  <c r="F2031" i="5"/>
  <c r="E2031" i="5"/>
  <c r="Y2030" i="5"/>
  <c r="T2030" i="5"/>
  <c r="S2030" i="5"/>
  <c r="R2030" i="5"/>
  <c r="Q2030" i="5"/>
  <c r="O2030" i="5"/>
  <c r="N2030" i="5"/>
  <c r="L2030" i="5"/>
  <c r="K2030" i="5"/>
  <c r="J2030" i="5"/>
  <c r="I2030" i="5"/>
  <c r="G2030" i="5"/>
  <c r="F2030" i="5"/>
  <c r="E2030" i="5"/>
  <c r="Y2029" i="5"/>
  <c r="T2029" i="5"/>
  <c r="S2029" i="5"/>
  <c r="R2029" i="5"/>
  <c r="Q2029" i="5"/>
  <c r="O2029" i="5"/>
  <c r="N2029" i="5"/>
  <c r="L2029" i="5"/>
  <c r="K2029" i="5"/>
  <c r="J2029" i="5"/>
  <c r="I2029" i="5"/>
  <c r="G2029" i="5"/>
  <c r="F2029" i="5"/>
  <c r="E2029" i="5"/>
  <c r="Y2028" i="5"/>
  <c r="T2028" i="5"/>
  <c r="S2028" i="5"/>
  <c r="R2028" i="5"/>
  <c r="Q2028" i="5"/>
  <c r="O2028" i="5"/>
  <c r="N2028" i="5"/>
  <c r="L2028" i="5"/>
  <c r="K2028" i="5"/>
  <c r="J2028" i="5"/>
  <c r="I2028" i="5"/>
  <c r="G2028" i="5"/>
  <c r="F2028" i="5"/>
  <c r="E2028" i="5"/>
  <c r="Y2027" i="5"/>
  <c r="T2027" i="5"/>
  <c r="S2027" i="5"/>
  <c r="R2027" i="5"/>
  <c r="Q2027" i="5"/>
  <c r="O2027" i="5"/>
  <c r="N2027" i="5"/>
  <c r="L2027" i="5"/>
  <c r="K2027" i="5"/>
  <c r="J2027" i="5"/>
  <c r="I2027" i="5"/>
  <c r="G2027" i="5"/>
  <c r="E2027" i="5"/>
  <c r="Y2026" i="5"/>
  <c r="T2026" i="5"/>
  <c r="S2026" i="5"/>
  <c r="R2026" i="5"/>
  <c r="Q2026" i="5"/>
  <c r="O2026" i="5"/>
  <c r="N2026" i="5"/>
  <c r="L2026" i="5"/>
  <c r="K2026" i="5"/>
  <c r="J2026" i="5"/>
  <c r="I2026" i="5"/>
  <c r="G2026" i="5"/>
  <c r="F2026" i="5"/>
  <c r="E2026" i="5"/>
  <c r="Y2025" i="5"/>
  <c r="T2025" i="5"/>
  <c r="S2025" i="5"/>
  <c r="R2025" i="5"/>
  <c r="Q2025" i="5"/>
  <c r="O2025" i="5"/>
  <c r="N2025" i="5"/>
  <c r="L2025" i="5"/>
  <c r="K2025" i="5"/>
  <c r="J2025" i="5"/>
  <c r="I2025" i="5"/>
  <c r="G2025" i="5"/>
  <c r="E2025" i="5"/>
  <c r="Y2024" i="5"/>
  <c r="T2024" i="5"/>
  <c r="S2024" i="5"/>
  <c r="R2024" i="5"/>
  <c r="Q2024" i="5"/>
  <c r="O2024" i="5"/>
  <c r="N2024" i="5"/>
  <c r="L2024" i="5"/>
  <c r="K2024" i="5"/>
  <c r="J2024" i="5"/>
  <c r="I2024" i="5"/>
  <c r="G2024" i="5"/>
  <c r="F2024" i="5"/>
  <c r="E2024" i="5"/>
  <c r="Y2023" i="5"/>
  <c r="T2023" i="5"/>
  <c r="S2023" i="5"/>
  <c r="R2023" i="5"/>
  <c r="Q2023" i="5"/>
  <c r="O2023" i="5"/>
  <c r="N2023" i="5"/>
  <c r="L2023" i="5"/>
  <c r="K2023" i="5"/>
  <c r="J2023" i="5"/>
  <c r="I2023" i="5"/>
  <c r="G2023" i="5"/>
  <c r="F2023" i="5"/>
  <c r="E2023" i="5"/>
  <c r="Y2022" i="5"/>
  <c r="T2022" i="5"/>
  <c r="S2022" i="5"/>
  <c r="R2022" i="5"/>
  <c r="Q2022" i="5"/>
  <c r="O2022" i="5"/>
  <c r="N2022" i="5"/>
  <c r="L2022" i="5"/>
  <c r="K2022" i="5"/>
  <c r="J2022" i="5"/>
  <c r="I2022" i="5"/>
  <c r="G2022" i="5"/>
  <c r="F2022" i="5"/>
  <c r="E2022" i="5"/>
  <c r="Y2021" i="5"/>
  <c r="T2021" i="5"/>
  <c r="S2021" i="5"/>
  <c r="R2021" i="5"/>
  <c r="Q2021" i="5"/>
  <c r="O2021" i="5"/>
  <c r="N2021" i="5"/>
  <c r="L2021" i="5"/>
  <c r="K2021" i="5"/>
  <c r="J2021" i="5"/>
  <c r="I2021" i="5"/>
  <c r="G2021" i="5"/>
  <c r="F2021" i="5"/>
  <c r="E2021" i="5"/>
  <c r="Y2020" i="5"/>
  <c r="T2020" i="5"/>
  <c r="S2020" i="5"/>
  <c r="R2020" i="5"/>
  <c r="Q2020" i="5"/>
  <c r="O2020" i="5"/>
  <c r="N2020" i="5"/>
  <c r="L2020" i="5"/>
  <c r="K2020" i="5"/>
  <c r="J2020" i="5"/>
  <c r="I2020" i="5"/>
  <c r="G2020" i="5"/>
  <c r="F2020" i="5"/>
  <c r="Y2019" i="5"/>
  <c r="T2019" i="5"/>
  <c r="S2019" i="5"/>
  <c r="R2019" i="5"/>
  <c r="Q2019" i="5"/>
  <c r="O2019" i="5"/>
  <c r="L2019" i="5"/>
  <c r="K2019" i="5"/>
  <c r="J2019" i="5"/>
  <c r="I2019" i="5"/>
  <c r="G2019" i="5"/>
  <c r="F2019" i="5"/>
  <c r="E2019" i="5"/>
  <c r="Y2018" i="5"/>
  <c r="T2018" i="5"/>
  <c r="S2018" i="5"/>
  <c r="R2018" i="5"/>
  <c r="Q2018" i="5"/>
  <c r="O2018" i="5"/>
  <c r="N2018" i="5"/>
  <c r="L2018" i="5"/>
  <c r="K2018" i="5"/>
  <c r="J2018" i="5"/>
  <c r="I2018" i="5"/>
  <c r="G2018" i="5"/>
  <c r="F2018" i="5"/>
  <c r="E2018" i="5"/>
  <c r="Y2017" i="5"/>
  <c r="T2017" i="5"/>
  <c r="S2017" i="5"/>
  <c r="R2017" i="5"/>
  <c r="Q2017" i="5"/>
  <c r="O2017" i="5"/>
  <c r="N2017" i="5"/>
  <c r="L2017" i="5"/>
  <c r="K2017" i="5"/>
  <c r="J2017" i="5"/>
  <c r="I2017" i="5"/>
  <c r="G2017" i="5"/>
  <c r="F2017" i="5"/>
  <c r="E2017" i="5"/>
  <c r="Y2016" i="5"/>
  <c r="T2016" i="5"/>
  <c r="S2016" i="5"/>
  <c r="R2016" i="5"/>
  <c r="Q2016" i="5"/>
  <c r="O2016" i="5"/>
  <c r="N2016" i="5"/>
  <c r="L2016" i="5"/>
  <c r="K2016" i="5"/>
  <c r="J2016" i="5"/>
  <c r="I2016" i="5"/>
  <c r="G2016" i="5"/>
  <c r="F2016" i="5"/>
  <c r="E2016" i="5"/>
  <c r="Y2015" i="5"/>
  <c r="T2015" i="5"/>
  <c r="S2015" i="5"/>
  <c r="R2015" i="5"/>
  <c r="Q2015" i="5"/>
  <c r="O2015" i="5"/>
  <c r="N2015" i="5"/>
  <c r="L2015" i="5"/>
  <c r="K2015" i="5"/>
  <c r="J2015" i="5"/>
  <c r="I2015" i="5"/>
  <c r="G2015" i="5"/>
  <c r="F2015" i="5"/>
  <c r="E2015" i="5"/>
  <c r="X2014" i="5"/>
  <c r="Z2014" i="5" s="1"/>
  <c r="X2013" i="5"/>
  <c r="Z2013" i="5" s="1"/>
  <c r="X2012" i="5"/>
  <c r="Z2012" i="5" s="1"/>
  <c r="P2011" i="5"/>
  <c r="H2011" i="5"/>
  <c r="E2011" i="5"/>
  <c r="X2010" i="5"/>
  <c r="Y2009" i="5"/>
  <c r="T2009" i="5"/>
  <c r="S2009" i="5"/>
  <c r="R2009" i="5"/>
  <c r="Q2009" i="5"/>
  <c r="O2009" i="5"/>
  <c r="N2009" i="5"/>
  <c r="L2009" i="5"/>
  <c r="K2009" i="5"/>
  <c r="J2009" i="5"/>
  <c r="I2009" i="5"/>
  <c r="G2009" i="5"/>
  <c r="Y2008" i="5"/>
  <c r="W2008" i="5"/>
  <c r="V2008" i="5"/>
  <c r="T2008" i="5"/>
  <c r="S2008" i="5"/>
  <c r="R2008" i="5"/>
  <c r="Q2008" i="5"/>
  <c r="O2008" i="5"/>
  <c r="N2008" i="5"/>
  <c r="L2008" i="5"/>
  <c r="K2008" i="5"/>
  <c r="J2008" i="5"/>
  <c r="I2008" i="5"/>
  <c r="G2008" i="5"/>
  <c r="F2008" i="5"/>
  <c r="E2008" i="5"/>
  <c r="Y2007" i="5"/>
  <c r="W2007" i="5"/>
  <c r="V2007" i="5"/>
  <c r="T2007" i="5"/>
  <c r="S2007" i="5"/>
  <c r="R2007" i="5"/>
  <c r="Q2007" i="5"/>
  <c r="O2007" i="5"/>
  <c r="N2007" i="5"/>
  <c r="L2007" i="5"/>
  <c r="K2007" i="5"/>
  <c r="J2007" i="5"/>
  <c r="I2007" i="5"/>
  <c r="F2007" i="5"/>
  <c r="Y2006" i="5"/>
  <c r="W2006" i="5"/>
  <c r="V2006" i="5"/>
  <c r="T2006" i="5"/>
  <c r="S2006" i="5"/>
  <c r="R2006" i="5"/>
  <c r="Q2006" i="5"/>
  <c r="O2006" i="5"/>
  <c r="N2006" i="5"/>
  <c r="L2006" i="5"/>
  <c r="K2006" i="5"/>
  <c r="J2006" i="5"/>
  <c r="I2006" i="5"/>
  <c r="G2006" i="5"/>
  <c r="Y2005" i="5"/>
  <c r="W2005" i="5"/>
  <c r="V2005" i="5"/>
  <c r="T2005" i="5"/>
  <c r="S2005" i="5"/>
  <c r="R2005" i="5"/>
  <c r="Q2005" i="5"/>
  <c r="O2005" i="5"/>
  <c r="N2005" i="5"/>
  <c r="L2005" i="5"/>
  <c r="K2005" i="5"/>
  <c r="J2005" i="5"/>
  <c r="I2005" i="5"/>
  <c r="G2005" i="5"/>
  <c r="Y2004" i="5"/>
  <c r="W2004" i="5"/>
  <c r="V2004" i="5"/>
  <c r="T2004" i="5"/>
  <c r="S2004" i="5"/>
  <c r="R2004" i="5"/>
  <c r="Q2004" i="5"/>
  <c r="O2004" i="5"/>
  <c r="N2004" i="5"/>
  <c r="M2004" i="5"/>
  <c r="L2004" i="5"/>
  <c r="K2004" i="5"/>
  <c r="J2004" i="5"/>
  <c r="I2004" i="5"/>
  <c r="H2004" i="5"/>
  <c r="G2004" i="5"/>
  <c r="F2004" i="5"/>
  <c r="E2004" i="5"/>
  <c r="Y2003" i="5"/>
  <c r="T2003" i="5"/>
  <c r="S2003" i="5"/>
  <c r="R2003" i="5"/>
  <c r="Q2003" i="5"/>
  <c r="O2003" i="5"/>
  <c r="N2003" i="5"/>
  <c r="L2003" i="5"/>
  <c r="K2003" i="5"/>
  <c r="J2003" i="5"/>
  <c r="I2003" i="5"/>
  <c r="G2003" i="5"/>
  <c r="F2003" i="5"/>
  <c r="E2003" i="5"/>
  <c r="Y2002" i="5"/>
  <c r="T2002" i="5"/>
  <c r="S2002" i="5"/>
  <c r="R2002" i="5"/>
  <c r="Q2002" i="5"/>
  <c r="O2002" i="5"/>
  <c r="N2002" i="5"/>
  <c r="L2002" i="5"/>
  <c r="K2002" i="5"/>
  <c r="J2002" i="5"/>
  <c r="I2002" i="5"/>
  <c r="G2002" i="5"/>
  <c r="F2002" i="5"/>
  <c r="E2002" i="5"/>
  <c r="Y2001" i="5"/>
  <c r="T2001" i="5"/>
  <c r="S2001" i="5"/>
  <c r="R2001" i="5"/>
  <c r="Q2001" i="5"/>
  <c r="O2001" i="5"/>
  <c r="N2001" i="5"/>
  <c r="L2001" i="5"/>
  <c r="K2001" i="5"/>
  <c r="J2001" i="5"/>
  <c r="I2001" i="5"/>
  <c r="G2001" i="5"/>
  <c r="Y2000" i="5"/>
  <c r="T2000" i="5"/>
  <c r="S2000" i="5"/>
  <c r="R2000" i="5"/>
  <c r="Q2000" i="5"/>
  <c r="O2000" i="5"/>
  <c r="N2000" i="5"/>
  <c r="L2000" i="5"/>
  <c r="K2000" i="5"/>
  <c r="J2000" i="5"/>
  <c r="I2000" i="5"/>
  <c r="G2000" i="5"/>
  <c r="F2000" i="5"/>
  <c r="E2000" i="5"/>
  <c r="Y1999" i="5"/>
  <c r="T1999" i="5"/>
  <c r="S1999" i="5"/>
  <c r="R1999" i="5"/>
  <c r="Q1999" i="5"/>
  <c r="O1999" i="5"/>
  <c r="N1999" i="5"/>
  <c r="L1999" i="5"/>
  <c r="K1999" i="5"/>
  <c r="J1999" i="5"/>
  <c r="I1999" i="5"/>
  <c r="G1999" i="5"/>
  <c r="F1999" i="5"/>
  <c r="E1999" i="5"/>
  <c r="Y1998" i="5"/>
  <c r="T1998" i="5"/>
  <c r="S1998" i="5"/>
  <c r="R1998" i="5"/>
  <c r="Q1998" i="5"/>
  <c r="O1998" i="5"/>
  <c r="N1998" i="5"/>
  <c r="L1998" i="5"/>
  <c r="K1998" i="5"/>
  <c r="J1998" i="5"/>
  <c r="I1998" i="5"/>
  <c r="G1998" i="5"/>
  <c r="F1998" i="5"/>
  <c r="E1998" i="5"/>
  <c r="Y1997" i="5"/>
  <c r="T1997" i="5"/>
  <c r="S1997" i="5"/>
  <c r="R1997" i="5"/>
  <c r="Q1997" i="5"/>
  <c r="O1997" i="5"/>
  <c r="N1997" i="5"/>
  <c r="L1997" i="5"/>
  <c r="K1997" i="5"/>
  <c r="J1997" i="5"/>
  <c r="I1997" i="5"/>
  <c r="G1997" i="5"/>
  <c r="F1997" i="5"/>
  <c r="E1997" i="5"/>
  <c r="Y1996" i="5"/>
  <c r="T1996" i="5"/>
  <c r="S1996" i="5"/>
  <c r="R1996" i="5"/>
  <c r="Q1996" i="5"/>
  <c r="O1996" i="5"/>
  <c r="N1996" i="5"/>
  <c r="L1996" i="5"/>
  <c r="K1996" i="5"/>
  <c r="J1996" i="5"/>
  <c r="I1996" i="5"/>
  <c r="G1996" i="5"/>
  <c r="F1996" i="5"/>
  <c r="E1996" i="5"/>
  <c r="Y1995" i="5"/>
  <c r="T1995" i="5"/>
  <c r="S1995" i="5"/>
  <c r="R1995" i="5"/>
  <c r="Q1995" i="5"/>
  <c r="O1995" i="5"/>
  <c r="N1995" i="5"/>
  <c r="L1995" i="5"/>
  <c r="K1995" i="5"/>
  <c r="J1995" i="5"/>
  <c r="I1995" i="5"/>
  <c r="G1995" i="5"/>
  <c r="F1995" i="5"/>
  <c r="E1995" i="5"/>
  <c r="Y1994" i="5"/>
  <c r="T1994" i="5"/>
  <c r="S1994" i="5"/>
  <c r="R1994" i="5"/>
  <c r="Q1994" i="5"/>
  <c r="O1994" i="5"/>
  <c r="N1994" i="5"/>
  <c r="L1994" i="5"/>
  <c r="K1994" i="5"/>
  <c r="J1994" i="5"/>
  <c r="I1994" i="5"/>
  <c r="G1994" i="5"/>
  <c r="F1994" i="5"/>
  <c r="E1994" i="5"/>
  <c r="Y1993" i="5"/>
  <c r="T1993" i="5"/>
  <c r="S1993" i="5"/>
  <c r="R1993" i="5"/>
  <c r="Q1993" i="5"/>
  <c r="O1993" i="5"/>
  <c r="N1993" i="5"/>
  <c r="L1993" i="5"/>
  <c r="K1993" i="5"/>
  <c r="J1993" i="5"/>
  <c r="I1993" i="5"/>
  <c r="G1993" i="5"/>
  <c r="F1993" i="5"/>
  <c r="E1993" i="5"/>
  <c r="Y1992" i="5"/>
  <c r="T1992" i="5"/>
  <c r="S1992" i="5"/>
  <c r="R1992" i="5"/>
  <c r="Q1992" i="5"/>
  <c r="O1992" i="5"/>
  <c r="N1992" i="5"/>
  <c r="L1992" i="5"/>
  <c r="K1992" i="5"/>
  <c r="J1992" i="5"/>
  <c r="I1992" i="5"/>
  <c r="G1992" i="5"/>
  <c r="F1992" i="5"/>
  <c r="E1992" i="5"/>
  <c r="Y1991" i="5"/>
  <c r="T1991" i="5"/>
  <c r="S1991" i="5"/>
  <c r="R1991" i="5"/>
  <c r="Q1991" i="5"/>
  <c r="O1991" i="5"/>
  <c r="N1991" i="5"/>
  <c r="L1991" i="5"/>
  <c r="K1991" i="5"/>
  <c r="J1991" i="5"/>
  <c r="I1991" i="5"/>
  <c r="G1991" i="5"/>
  <c r="F1991" i="5"/>
  <c r="E1991" i="5"/>
  <c r="Y1990" i="5"/>
  <c r="T1990" i="5"/>
  <c r="S1990" i="5"/>
  <c r="R1990" i="5"/>
  <c r="Q1990" i="5"/>
  <c r="O1990" i="5"/>
  <c r="N1990" i="5"/>
  <c r="L1990" i="5"/>
  <c r="K1990" i="5"/>
  <c r="J1990" i="5"/>
  <c r="I1990" i="5"/>
  <c r="G1990" i="5"/>
  <c r="F1990" i="5"/>
  <c r="X1989" i="5"/>
  <c r="X1988" i="5"/>
  <c r="P1987" i="5"/>
  <c r="H1987" i="5"/>
  <c r="E1987" i="5"/>
  <c r="Y1985" i="5"/>
  <c r="T1985" i="5"/>
  <c r="S1985" i="5"/>
  <c r="R1985" i="5"/>
  <c r="Q1985" i="5"/>
  <c r="O1985" i="5"/>
  <c r="N1985" i="5"/>
  <c r="L1985" i="5"/>
  <c r="K1985" i="5"/>
  <c r="J1985" i="5"/>
  <c r="I1985" i="5"/>
  <c r="G1985" i="5"/>
  <c r="Y1984" i="5"/>
  <c r="T1984" i="5"/>
  <c r="S1984" i="5"/>
  <c r="R1984" i="5"/>
  <c r="Q1984" i="5"/>
  <c r="O1984" i="5"/>
  <c r="N1984" i="5"/>
  <c r="L1984" i="5"/>
  <c r="K1984" i="5"/>
  <c r="J1984" i="5"/>
  <c r="I1984" i="5"/>
  <c r="G1984" i="5"/>
  <c r="F1984" i="5"/>
  <c r="E1984" i="5"/>
  <c r="Y1983" i="5"/>
  <c r="T1983" i="5"/>
  <c r="S1983" i="5"/>
  <c r="R1983" i="5"/>
  <c r="Q1983" i="5"/>
  <c r="O1983" i="5"/>
  <c r="N1983" i="5"/>
  <c r="L1983" i="5"/>
  <c r="K1983" i="5"/>
  <c r="J1983" i="5"/>
  <c r="I1983" i="5"/>
  <c r="G1983" i="5"/>
  <c r="F1983" i="5"/>
  <c r="E1983" i="5"/>
  <c r="Y1982" i="5"/>
  <c r="T1982" i="5"/>
  <c r="S1982" i="5"/>
  <c r="R1982" i="5"/>
  <c r="Q1982" i="5"/>
  <c r="O1982" i="5"/>
  <c r="N1982" i="5"/>
  <c r="L1982" i="5"/>
  <c r="K1982" i="5"/>
  <c r="J1982" i="5"/>
  <c r="I1982" i="5"/>
  <c r="G1982" i="5"/>
  <c r="F1982" i="5"/>
  <c r="E1982" i="5"/>
  <c r="Y1981" i="5"/>
  <c r="T1981" i="5"/>
  <c r="S1981" i="5"/>
  <c r="R1981" i="5"/>
  <c r="Q1981" i="5"/>
  <c r="O1981" i="5"/>
  <c r="N1981" i="5"/>
  <c r="L1981" i="5"/>
  <c r="K1981" i="5"/>
  <c r="J1981" i="5"/>
  <c r="I1981" i="5"/>
  <c r="G1981" i="5"/>
  <c r="F1981" i="5"/>
  <c r="E1981" i="5"/>
  <c r="Y1980" i="5"/>
  <c r="T1980" i="5"/>
  <c r="S1980" i="5"/>
  <c r="R1980" i="5"/>
  <c r="Q1980" i="5"/>
  <c r="O1980" i="5"/>
  <c r="N1980" i="5"/>
  <c r="L1980" i="5"/>
  <c r="K1980" i="5"/>
  <c r="J1980" i="5"/>
  <c r="I1980" i="5"/>
  <c r="F1980" i="5"/>
  <c r="E1980" i="5"/>
  <c r="Y1979" i="5"/>
  <c r="T1979" i="5"/>
  <c r="S1979" i="5"/>
  <c r="R1979" i="5"/>
  <c r="Q1979" i="5"/>
  <c r="O1979" i="5"/>
  <c r="N1979" i="5"/>
  <c r="L1979" i="5"/>
  <c r="K1979" i="5"/>
  <c r="J1979" i="5"/>
  <c r="I1979" i="5"/>
  <c r="G1979" i="5"/>
  <c r="F1979" i="5"/>
  <c r="E1979" i="5"/>
  <c r="Y1978" i="5"/>
  <c r="T1978" i="5"/>
  <c r="S1978" i="5"/>
  <c r="R1978" i="5"/>
  <c r="Q1978" i="5"/>
  <c r="O1978" i="5"/>
  <c r="N1978" i="5"/>
  <c r="L1978" i="5"/>
  <c r="K1978" i="5"/>
  <c r="J1978" i="5"/>
  <c r="I1978" i="5"/>
  <c r="G1978" i="5"/>
  <c r="F1978" i="5"/>
  <c r="E1978" i="5"/>
  <c r="Y1977" i="5"/>
  <c r="T1977" i="5"/>
  <c r="S1977" i="5"/>
  <c r="R1977" i="5"/>
  <c r="Q1977" i="5"/>
  <c r="O1977" i="5"/>
  <c r="N1977" i="5"/>
  <c r="L1977" i="5"/>
  <c r="K1977" i="5"/>
  <c r="J1977" i="5"/>
  <c r="I1977" i="5"/>
  <c r="G1977" i="5"/>
  <c r="F1977" i="5"/>
  <c r="E1977" i="5"/>
  <c r="Y1976" i="5"/>
  <c r="T1976" i="5"/>
  <c r="S1976" i="5"/>
  <c r="R1976" i="5"/>
  <c r="Q1976" i="5"/>
  <c r="O1976" i="5"/>
  <c r="N1976" i="5"/>
  <c r="L1976" i="5"/>
  <c r="K1976" i="5"/>
  <c r="J1976" i="5"/>
  <c r="I1976" i="5"/>
  <c r="G1976" i="5"/>
  <c r="F1976" i="5"/>
  <c r="E1976" i="5"/>
  <c r="Y1975" i="5"/>
  <c r="T1975" i="5"/>
  <c r="S1975" i="5"/>
  <c r="R1975" i="5"/>
  <c r="Q1975" i="5"/>
  <c r="O1975" i="5"/>
  <c r="N1975" i="5"/>
  <c r="L1975" i="5"/>
  <c r="K1975" i="5"/>
  <c r="J1975" i="5"/>
  <c r="I1975" i="5"/>
  <c r="G1975" i="5"/>
  <c r="F1975" i="5"/>
  <c r="E1975" i="5"/>
  <c r="S1969" i="5"/>
  <c r="S2933" i="5" s="1"/>
  <c r="R1969" i="5"/>
  <c r="R2933" i="5" s="1"/>
  <c r="P1967" i="5"/>
  <c r="H1967" i="5"/>
  <c r="E1967" i="5"/>
  <c r="X1966" i="5"/>
  <c r="Z1966" i="5" s="1"/>
  <c r="Y1965" i="5"/>
  <c r="W1965" i="5"/>
  <c r="V1965" i="5"/>
  <c r="T1965" i="5"/>
  <c r="S1965" i="5"/>
  <c r="R1965" i="5"/>
  <c r="O1965" i="5"/>
  <c r="N1965" i="5"/>
  <c r="L1965" i="5"/>
  <c r="K1965" i="5"/>
  <c r="I1965" i="5"/>
  <c r="G1965" i="5"/>
  <c r="Y1964" i="5"/>
  <c r="W1964" i="5"/>
  <c r="V1964" i="5"/>
  <c r="T1964" i="5"/>
  <c r="S1964" i="5"/>
  <c r="R1964" i="5"/>
  <c r="O1964" i="5"/>
  <c r="N1964" i="5"/>
  <c r="L1964" i="5"/>
  <c r="K1964" i="5"/>
  <c r="I1964" i="5"/>
  <c r="G1964" i="5"/>
  <c r="F1964" i="5"/>
  <c r="E1964" i="5"/>
  <c r="Y1963" i="5"/>
  <c r="W1963" i="5"/>
  <c r="V1963" i="5"/>
  <c r="T1963" i="5"/>
  <c r="S1963" i="5"/>
  <c r="R1963" i="5"/>
  <c r="O1963" i="5"/>
  <c r="N1963" i="5"/>
  <c r="L1963" i="5"/>
  <c r="K1963" i="5"/>
  <c r="I1963" i="5"/>
  <c r="G1963" i="5"/>
  <c r="F1963" i="5"/>
  <c r="E1963" i="5"/>
  <c r="Y1962" i="5"/>
  <c r="W1962" i="5"/>
  <c r="V1962" i="5"/>
  <c r="T1962" i="5"/>
  <c r="S1962" i="5"/>
  <c r="R1962" i="5"/>
  <c r="O1962" i="5"/>
  <c r="N1962" i="5"/>
  <c r="L1962" i="5"/>
  <c r="K1962" i="5"/>
  <c r="I1962" i="5"/>
  <c r="G1962" i="5"/>
  <c r="F1962" i="5"/>
  <c r="E1962" i="5"/>
  <c r="Y1961" i="5"/>
  <c r="W1961" i="5"/>
  <c r="V1961" i="5"/>
  <c r="T1961" i="5"/>
  <c r="S1961" i="5"/>
  <c r="R1961" i="5"/>
  <c r="O1961" i="5"/>
  <c r="N1961" i="5"/>
  <c r="L1961" i="5"/>
  <c r="K1961" i="5"/>
  <c r="I1961" i="5"/>
  <c r="G1961" i="5"/>
  <c r="F1961" i="5"/>
  <c r="E1961" i="5"/>
  <c r="Y1960" i="5"/>
  <c r="W1960" i="5"/>
  <c r="V1960" i="5"/>
  <c r="T1960" i="5"/>
  <c r="S1960" i="5"/>
  <c r="R1960" i="5"/>
  <c r="O1960" i="5"/>
  <c r="N1960" i="5"/>
  <c r="L1960" i="5"/>
  <c r="K1960" i="5"/>
  <c r="I1960" i="5"/>
  <c r="G1960" i="5"/>
  <c r="F1960" i="5"/>
  <c r="E1960" i="5"/>
  <c r="Y1959" i="5"/>
  <c r="W1959" i="5"/>
  <c r="V1959" i="5"/>
  <c r="T1959" i="5"/>
  <c r="S1959" i="5"/>
  <c r="R1959" i="5"/>
  <c r="O1959" i="5"/>
  <c r="N1959" i="5"/>
  <c r="L1959" i="5"/>
  <c r="K1959" i="5"/>
  <c r="I1959" i="5"/>
  <c r="G1959" i="5"/>
  <c r="F1959" i="5"/>
  <c r="E1959" i="5"/>
  <c r="Y1958" i="5"/>
  <c r="W1958" i="5"/>
  <c r="V1958" i="5"/>
  <c r="T1958" i="5"/>
  <c r="S1958" i="5"/>
  <c r="R1958" i="5"/>
  <c r="O1958" i="5"/>
  <c r="N1958" i="5"/>
  <c r="L1958" i="5"/>
  <c r="K1958" i="5"/>
  <c r="I1958" i="5"/>
  <c r="G1958" i="5"/>
  <c r="F1958" i="5"/>
  <c r="E1958" i="5"/>
  <c r="Y1957" i="5"/>
  <c r="W1957" i="5"/>
  <c r="V1957" i="5"/>
  <c r="T1957" i="5"/>
  <c r="S1957" i="5"/>
  <c r="R1957" i="5"/>
  <c r="O1957" i="5"/>
  <c r="N1957" i="5"/>
  <c r="L1957" i="5"/>
  <c r="K1957" i="5"/>
  <c r="I1957" i="5"/>
  <c r="G1957" i="5"/>
  <c r="F1957" i="5"/>
  <c r="E1957" i="5"/>
  <c r="Y1956" i="5"/>
  <c r="W1956" i="5"/>
  <c r="V1956" i="5"/>
  <c r="T1956" i="5"/>
  <c r="S1956" i="5"/>
  <c r="R1956" i="5"/>
  <c r="O1956" i="5"/>
  <c r="N1956" i="5"/>
  <c r="L1956" i="5"/>
  <c r="K1956" i="5"/>
  <c r="I1956" i="5"/>
  <c r="G1956" i="5"/>
  <c r="F1956" i="5"/>
  <c r="Y1955" i="5"/>
  <c r="W1955" i="5"/>
  <c r="V1955" i="5"/>
  <c r="T1955" i="5"/>
  <c r="S1955" i="5"/>
  <c r="R1955" i="5"/>
  <c r="O1955" i="5"/>
  <c r="N1955" i="5"/>
  <c r="L1955" i="5"/>
  <c r="K1955" i="5"/>
  <c r="I1955" i="5"/>
  <c r="G1955" i="5"/>
  <c r="F1955" i="5"/>
  <c r="Y1954" i="5"/>
  <c r="W1954" i="5"/>
  <c r="V1954" i="5"/>
  <c r="T1954" i="5"/>
  <c r="S1954" i="5"/>
  <c r="R1954" i="5"/>
  <c r="O1954" i="5"/>
  <c r="N1954" i="5"/>
  <c r="L1954" i="5"/>
  <c r="K1954" i="5"/>
  <c r="I1954" i="5"/>
  <c r="G1954" i="5"/>
  <c r="F1954" i="5"/>
  <c r="E1954" i="5"/>
  <c r="X1953" i="5"/>
  <c r="Z1953" i="5" s="1"/>
  <c r="X1952" i="5"/>
  <c r="Z1952" i="5" s="1"/>
  <c r="P1951" i="5"/>
  <c r="H1951" i="5"/>
  <c r="E1951" i="5"/>
  <c r="X1950" i="5"/>
  <c r="Z1950" i="5" s="1"/>
  <c r="Y1949" i="5"/>
  <c r="W1949" i="5"/>
  <c r="V1949" i="5"/>
  <c r="T1949" i="5"/>
  <c r="S1949" i="5"/>
  <c r="R1949" i="5"/>
  <c r="O1949" i="5"/>
  <c r="N1949" i="5"/>
  <c r="L1949" i="5"/>
  <c r="K1949" i="5"/>
  <c r="I1949" i="5"/>
  <c r="G1949" i="5"/>
  <c r="F1949" i="5"/>
  <c r="E1949" i="5"/>
  <c r="Y1948" i="5"/>
  <c r="W1948" i="5"/>
  <c r="V1948" i="5"/>
  <c r="T1948" i="5"/>
  <c r="S1948" i="5"/>
  <c r="R1948" i="5"/>
  <c r="O1948" i="5"/>
  <c r="N1948" i="5"/>
  <c r="L1948" i="5"/>
  <c r="K1948" i="5"/>
  <c r="I1948" i="5"/>
  <c r="G1948" i="5"/>
  <c r="F1948" i="5"/>
  <c r="E1948" i="5"/>
  <c r="Y1947" i="5"/>
  <c r="W1947" i="5"/>
  <c r="V1947" i="5"/>
  <c r="T1947" i="5"/>
  <c r="S1947" i="5"/>
  <c r="R1947" i="5"/>
  <c r="O1947" i="5"/>
  <c r="N1947" i="5"/>
  <c r="L1947" i="5"/>
  <c r="K1947" i="5"/>
  <c r="I1947" i="5"/>
  <c r="G1947" i="5"/>
  <c r="F1947" i="5"/>
  <c r="E1947" i="5"/>
  <c r="Y1946" i="5"/>
  <c r="W1946" i="5"/>
  <c r="V1946" i="5"/>
  <c r="T1946" i="5"/>
  <c r="S1946" i="5"/>
  <c r="R1946" i="5"/>
  <c r="Q1946" i="5"/>
  <c r="O1946" i="5"/>
  <c r="N1946" i="5"/>
  <c r="L1946" i="5"/>
  <c r="K1946" i="5"/>
  <c r="J1946" i="5"/>
  <c r="I1946" i="5"/>
  <c r="G1946" i="5"/>
  <c r="F1946" i="5"/>
  <c r="E1946" i="5"/>
  <c r="Y1945" i="5"/>
  <c r="W1945" i="5"/>
  <c r="V1945" i="5"/>
  <c r="T1945" i="5"/>
  <c r="S1945" i="5"/>
  <c r="R1945" i="5"/>
  <c r="Q1945" i="5"/>
  <c r="O1945" i="5"/>
  <c r="N1945" i="5"/>
  <c r="L1945" i="5"/>
  <c r="K1945" i="5"/>
  <c r="I1945" i="5"/>
  <c r="G1945" i="5"/>
  <c r="F1945" i="5"/>
  <c r="E1945" i="5"/>
  <c r="Y1944" i="5"/>
  <c r="W1944" i="5"/>
  <c r="V1944" i="5"/>
  <c r="T1944" i="5"/>
  <c r="S1944" i="5"/>
  <c r="R1944" i="5"/>
  <c r="Q1944" i="5"/>
  <c r="P1944" i="5"/>
  <c r="O1944" i="5"/>
  <c r="N1944" i="5"/>
  <c r="L1944" i="5"/>
  <c r="K1944" i="5"/>
  <c r="I1944" i="5"/>
  <c r="G1944" i="5"/>
  <c r="Y1943" i="5"/>
  <c r="W1943" i="5"/>
  <c r="V1943" i="5"/>
  <c r="T1943" i="5"/>
  <c r="S1943" i="5"/>
  <c r="R1943" i="5"/>
  <c r="O1943" i="5"/>
  <c r="N1943" i="5"/>
  <c r="L1943" i="5"/>
  <c r="K1943" i="5"/>
  <c r="I1943" i="5"/>
  <c r="G1943" i="5"/>
  <c r="F1943" i="5"/>
  <c r="E1943" i="5"/>
  <c r="Y1942" i="5"/>
  <c r="W1942" i="5"/>
  <c r="V1942" i="5"/>
  <c r="T1942" i="5"/>
  <c r="S1942" i="5"/>
  <c r="R1942" i="5"/>
  <c r="O1942" i="5"/>
  <c r="N1942" i="5"/>
  <c r="L1942" i="5"/>
  <c r="K1942" i="5"/>
  <c r="I1942" i="5"/>
  <c r="G1942" i="5"/>
  <c r="F1942" i="5"/>
  <c r="E1942" i="5"/>
  <c r="Y1941" i="5"/>
  <c r="W1941" i="5"/>
  <c r="V1941" i="5"/>
  <c r="T1941" i="5"/>
  <c r="S1941" i="5"/>
  <c r="R1941" i="5"/>
  <c r="O1941" i="5"/>
  <c r="N1941" i="5"/>
  <c r="L1941" i="5"/>
  <c r="K1941" i="5"/>
  <c r="I1941" i="5"/>
  <c r="G1941" i="5"/>
  <c r="Y1940" i="5"/>
  <c r="W1940" i="5"/>
  <c r="V1940" i="5"/>
  <c r="T1940" i="5"/>
  <c r="S1940" i="5"/>
  <c r="R1940" i="5"/>
  <c r="O1940" i="5"/>
  <c r="N1940" i="5"/>
  <c r="L1940" i="5"/>
  <c r="K1940" i="5"/>
  <c r="I1940" i="5"/>
  <c r="G1940" i="5"/>
  <c r="Y1939" i="5"/>
  <c r="W1939" i="5"/>
  <c r="V1939" i="5"/>
  <c r="T1939" i="5"/>
  <c r="S1939" i="5"/>
  <c r="R1939" i="5"/>
  <c r="O1939" i="5"/>
  <c r="N1939" i="5"/>
  <c r="L1939" i="5"/>
  <c r="K1939" i="5"/>
  <c r="I1939" i="5"/>
  <c r="G1939" i="5"/>
  <c r="F1939" i="5"/>
  <c r="E1939" i="5"/>
  <c r="Y1938" i="5"/>
  <c r="W1938" i="5"/>
  <c r="V1938" i="5"/>
  <c r="T1938" i="5"/>
  <c r="S1938" i="5"/>
  <c r="R1938" i="5"/>
  <c r="O1938" i="5"/>
  <c r="N1938" i="5"/>
  <c r="L1938" i="5"/>
  <c r="K1938" i="5"/>
  <c r="I1938" i="5"/>
  <c r="G1938" i="5"/>
  <c r="Y1937" i="5"/>
  <c r="W1937" i="5"/>
  <c r="V1937" i="5"/>
  <c r="T1937" i="5"/>
  <c r="S1937" i="5"/>
  <c r="R1937" i="5"/>
  <c r="O1937" i="5"/>
  <c r="N1937" i="5"/>
  <c r="L1937" i="5"/>
  <c r="K1937" i="5"/>
  <c r="I1937" i="5"/>
  <c r="G1937" i="5"/>
  <c r="F1937" i="5"/>
  <c r="E1937" i="5"/>
  <c r="Y1936" i="5"/>
  <c r="W1936" i="5"/>
  <c r="V1936" i="5"/>
  <c r="T1936" i="5"/>
  <c r="S1936" i="5"/>
  <c r="R1936" i="5"/>
  <c r="O1936" i="5"/>
  <c r="N1936" i="5"/>
  <c r="L1936" i="5"/>
  <c r="K1936" i="5"/>
  <c r="I1936" i="5"/>
  <c r="G1936" i="5"/>
  <c r="Y1935" i="5"/>
  <c r="W1935" i="5"/>
  <c r="V1935" i="5"/>
  <c r="T1935" i="5"/>
  <c r="S1935" i="5"/>
  <c r="R1935" i="5"/>
  <c r="O1935" i="5"/>
  <c r="N1935" i="5"/>
  <c r="L1935" i="5"/>
  <c r="K1935" i="5"/>
  <c r="I1935" i="5"/>
  <c r="G1935" i="5"/>
  <c r="F1935" i="5"/>
  <c r="Y1934" i="5"/>
  <c r="W1934" i="5"/>
  <c r="V1934" i="5"/>
  <c r="T1934" i="5"/>
  <c r="S1934" i="5"/>
  <c r="R1934" i="5"/>
  <c r="O1934" i="5"/>
  <c r="N1934" i="5"/>
  <c r="L1934" i="5"/>
  <c r="K1934" i="5"/>
  <c r="I1934" i="5"/>
  <c r="G1934" i="5"/>
  <c r="F1934" i="5"/>
  <c r="E1934" i="5"/>
  <c r="Y1933" i="5"/>
  <c r="W1933" i="5"/>
  <c r="V1933" i="5"/>
  <c r="T1933" i="5"/>
  <c r="S1933" i="5"/>
  <c r="R1933" i="5"/>
  <c r="O1933" i="5"/>
  <c r="N1933" i="5"/>
  <c r="L1933" i="5"/>
  <c r="K1933" i="5"/>
  <c r="I1933" i="5"/>
  <c r="G1933" i="5"/>
  <c r="F1933" i="5"/>
  <c r="E1933" i="5"/>
  <c r="Y1932" i="5"/>
  <c r="W1932" i="5"/>
  <c r="V1932" i="5"/>
  <c r="T1932" i="5"/>
  <c r="S1932" i="5"/>
  <c r="R1932" i="5"/>
  <c r="O1932" i="5"/>
  <c r="N1932" i="5"/>
  <c r="L1932" i="5"/>
  <c r="K1932" i="5"/>
  <c r="I1932" i="5"/>
  <c r="G1932" i="5"/>
  <c r="F1932" i="5"/>
  <c r="Y1931" i="5"/>
  <c r="W1931" i="5"/>
  <c r="V1931" i="5"/>
  <c r="T1931" i="5"/>
  <c r="S1931" i="5"/>
  <c r="R1931" i="5"/>
  <c r="O1931" i="5"/>
  <c r="N1931" i="5"/>
  <c r="L1931" i="5"/>
  <c r="K1931" i="5"/>
  <c r="I1931" i="5"/>
  <c r="G1931" i="5"/>
  <c r="F1931" i="5"/>
  <c r="Y1930" i="5"/>
  <c r="W1930" i="5"/>
  <c r="V1930" i="5"/>
  <c r="T1930" i="5"/>
  <c r="S1930" i="5"/>
  <c r="R1930" i="5"/>
  <c r="O1930" i="5"/>
  <c r="N1930" i="5"/>
  <c r="L1930" i="5"/>
  <c r="K1930" i="5"/>
  <c r="I1930" i="5"/>
  <c r="G1930" i="5"/>
  <c r="F1930" i="5"/>
  <c r="Y1929" i="5"/>
  <c r="W1929" i="5"/>
  <c r="V1929" i="5"/>
  <c r="T1929" i="5"/>
  <c r="S1929" i="5"/>
  <c r="R1929" i="5"/>
  <c r="O1929" i="5"/>
  <c r="N1929" i="5"/>
  <c r="L1929" i="5"/>
  <c r="K1929" i="5"/>
  <c r="I1929" i="5"/>
  <c r="G1929" i="5"/>
  <c r="E1929" i="5"/>
  <c r="Y1928" i="5"/>
  <c r="W1928" i="5"/>
  <c r="V1928" i="5"/>
  <c r="T1928" i="5"/>
  <c r="S1928" i="5"/>
  <c r="R1928" i="5"/>
  <c r="O1928" i="5"/>
  <c r="N1928" i="5"/>
  <c r="L1928" i="5"/>
  <c r="K1928" i="5"/>
  <c r="I1928" i="5"/>
  <c r="G1928" i="5"/>
  <c r="F1928" i="5"/>
  <c r="Y1927" i="5"/>
  <c r="W1927" i="5"/>
  <c r="V1927" i="5"/>
  <c r="T1927" i="5"/>
  <c r="S1927" i="5"/>
  <c r="R1927" i="5"/>
  <c r="O1927" i="5"/>
  <c r="N1927" i="5"/>
  <c r="L1927" i="5"/>
  <c r="K1927" i="5"/>
  <c r="I1927" i="5"/>
  <c r="G1927" i="5"/>
  <c r="E1927" i="5"/>
  <c r="Y1926" i="5"/>
  <c r="W1926" i="5"/>
  <c r="V1926" i="5"/>
  <c r="T1926" i="5"/>
  <c r="S1926" i="5"/>
  <c r="R1926" i="5"/>
  <c r="O1926" i="5"/>
  <c r="N1926" i="5"/>
  <c r="L1926" i="5"/>
  <c r="K1926" i="5"/>
  <c r="I1926" i="5"/>
  <c r="G1926" i="5"/>
  <c r="E1926" i="5"/>
  <c r="Y1925" i="5"/>
  <c r="W1925" i="5"/>
  <c r="V1925" i="5"/>
  <c r="T1925" i="5"/>
  <c r="S1925" i="5"/>
  <c r="R1925" i="5"/>
  <c r="O1925" i="5"/>
  <c r="N1925" i="5"/>
  <c r="L1925" i="5"/>
  <c r="K1925" i="5"/>
  <c r="I1925" i="5"/>
  <c r="G1925" i="5"/>
  <c r="E1925" i="5"/>
  <c r="X1924" i="5"/>
  <c r="Z1924" i="5" s="1"/>
  <c r="X1923" i="5"/>
  <c r="Z1923" i="5" s="1"/>
  <c r="P1922" i="5"/>
  <c r="H1922" i="5"/>
  <c r="E1922" i="5"/>
  <c r="X1921" i="5"/>
  <c r="Z1921" i="5" s="1"/>
  <c r="Y1920" i="5"/>
  <c r="W1920" i="5"/>
  <c r="V1920" i="5"/>
  <c r="T1920" i="5"/>
  <c r="S1920" i="5"/>
  <c r="R1920" i="5"/>
  <c r="O1920" i="5"/>
  <c r="N1920" i="5"/>
  <c r="L1920" i="5"/>
  <c r="K1920" i="5"/>
  <c r="I1920" i="5"/>
  <c r="G1920" i="5"/>
  <c r="F1920" i="5"/>
  <c r="E1920" i="5"/>
  <c r="Y1919" i="5"/>
  <c r="W1919" i="5"/>
  <c r="V1919" i="5"/>
  <c r="T1919" i="5"/>
  <c r="S1919" i="5"/>
  <c r="R1919" i="5"/>
  <c r="O1919" i="5"/>
  <c r="N1919" i="5"/>
  <c r="L1919" i="5"/>
  <c r="K1919" i="5"/>
  <c r="I1919" i="5"/>
  <c r="G1919" i="5"/>
  <c r="F1919" i="5"/>
  <c r="E1919" i="5"/>
  <c r="Y1918" i="5"/>
  <c r="W1918" i="5"/>
  <c r="V1918" i="5"/>
  <c r="T1918" i="5"/>
  <c r="S1918" i="5"/>
  <c r="R1918" i="5"/>
  <c r="O1918" i="5"/>
  <c r="N1918" i="5"/>
  <c r="L1918" i="5"/>
  <c r="K1918" i="5"/>
  <c r="I1918" i="5"/>
  <c r="G1918" i="5"/>
  <c r="F1918" i="5"/>
  <c r="E1918" i="5"/>
  <c r="Y1917" i="5"/>
  <c r="W1917" i="5"/>
  <c r="V1917" i="5"/>
  <c r="T1917" i="5"/>
  <c r="S1917" i="5"/>
  <c r="R1917" i="5"/>
  <c r="O1917" i="5"/>
  <c r="N1917" i="5"/>
  <c r="L1917" i="5"/>
  <c r="K1917" i="5"/>
  <c r="I1917" i="5"/>
  <c r="G1917" i="5"/>
  <c r="Y1916" i="5"/>
  <c r="W1916" i="5"/>
  <c r="V1916" i="5"/>
  <c r="T1916" i="5"/>
  <c r="S1916" i="5"/>
  <c r="R1916" i="5"/>
  <c r="O1916" i="5"/>
  <c r="N1916" i="5"/>
  <c r="L1916" i="5"/>
  <c r="K1916" i="5"/>
  <c r="I1916" i="5"/>
  <c r="G1916" i="5"/>
  <c r="Y1915" i="5"/>
  <c r="W1915" i="5"/>
  <c r="V1915" i="5"/>
  <c r="T1915" i="5"/>
  <c r="S1915" i="5"/>
  <c r="R1915" i="5"/>
  <c r="O1915" i="5"/>
  <c r="N1915" i="5"/>
  <c r="L1915" i="5"/>
  <c r="K1915" i="5"/>
  <c r="I1915" i="5"/>
  <c r="G1915" i="5"/>
  <c r="F1915" i="5"/>
  <c r="E1915" i="5"/>
  <c r="Y1914" i="5"/>
  <c r="W1914" i="5"/>
  <c r="V1914" i="5"/>
  <c r="T1914" i="5"/>
  <c r="S1914" i="5"/>
  <c r="R1914" i="5"/>
  <c r="O1914" i="5"/>
  <c r="N1914" i="5"/>
  <c r="L1914" i="5"/>
  <c r="K1914" i="5"/>
  <c r="I1914" i="5"/>
  <c r="G1914" i="5"/>
  <c r="Y1913" i="5"/>
  <c r="W1913" i="5"/>
  <c r="V1913" i="5"/>
  <c r="T1913" i="5"/>
  <c r="S1913" i="5"/>
  <c r="R1913" i="5"/>
  <c r="O1913" i="5"/>
  <c r="N1913" i="5"/>
  <c r="L1913" i="5"/>
  <c r="K1913" i="5"/>
  <c r="I1913" i="5"/>
  <c r="G1913" i="5"/>
  <c r="F1913" i="5"/>
  <c r="E1913" i="5"/>
  <c r="Y1912" i="5"/>
  <c r="W1912" i="5"/>
  <c r="V1912" i="5"/>
  <c r="T1912" i="5"/>
  <c r="S1912" i="5"/>
  <c r="R1912" i="5"/>
  <c r="Q1912" i="5"/>
  <c r="O1912" i="5"/>
  <c r="N1912" i="5"/>
  <c r="L1912" i="5"/>
  <c r="K1912" i="5"/>
  <c r="J1912" i="5"/>
  <c r="I1912" i="5"/>
  <c r="G1912" i="5"/>
  <c r="F1912" i="5"/>
  <c r="E1912" i="5"/>
  <c r="Y1911" i="5"/>
  <c r="W1911" i="5"/>
  <c r="V1911" i="5"/>
  <c r="T1911" i="5"/>
  <c r="S1911" i="5"/>
  <c r="R1911" i="5"/>
  <c r="Q1911" i="5"/>
  <c r="O1911" i="5"/>
  <c r="N1911" i="5"/>
  <c r="L1911" i="5"/>
  <c r="K1911" i="5"/>
  <c r="I1911" i="5"/>
  <c r="G1911" i="5"/>
  <c r="Y1910" i="5"/>
  <c r="W1910" i="5"/>
  <c r="V1910" i="5"/>
  <c r="T1910" i="5"/>
  <c r="S1910" i="5"/>
  <c r="R1910" i="5"/>
  <c r="Q1910" i="5"/>
  <c r="O1910" i="5"/>
  <c r="N1910" i="5"/>
  <c r="L1910" i="5"/>
  <c r="K1910" i="5"/>
  <c r="I1910" i="5"/>
  <c r="G1910" i="5"/>
  <c r="F1910" i="5"/>
  <c r="E1910" i="5"/>
  <c r="Y1909" i="5"/>
  <c r="W1909" i="5"/>
  <c r="V1909" i="5"/>
  <c r="T1909" i="5"/>
  <c r="S1909" i="5"/>
  <c r="R1909" i="5"/>
  <c r="O1909" i="5"/>
  <c r="N1909" i="5"/>
  <c r="L1909" i="5"/>
  <c r="K1909" i="5"/>
  <c r="I1909" i="5"/>
  <c r="G1909" i="5"/>
  <c r="F1909" i="5"/>
  <c r="Y1908" i="5"/>
  <c r="W1908" i="5"/>
  <c r="V1908" i="5"/>
  <c r="T1908" i="5"/>
  <c r="S1908" i="5"/>
  <c r="R1908" i="5"/>
  <c r="O1908" i="5"/>
  <c r="N1908" i="5"/>
  <c r="L1908" i="5"/>
  <c r="K1908" i="5"/>
  <c r="I1908" i="5"/>
  <c r="G1908" i="5"/>
  <c r="Y1907" i="5"/>
  <c r="W1907" i="5"/>
  <c r="V1907" i="5"/>
  <c r="T1907" i="5"/>
  <c r="S1907" i="5"/>
  <c r="R1907" i="5"/>
  <c r="O1907" i="5"/>
  <c r="N1907" i="5"/>
  <c r="L1907" i="5"/>
  <c r="K1907" i="5"/>
  <c r="I1907" i="5"/>
  <c r="G1907" i="5"/>
  <c r="F1907" i="5"/>
  <c r="E1907" i="5"/>
  <c r="Y1906" i="5"/>
  <c r="W1906" i="5"/>
  <c r="V1906" i="5"/>
  <c r="T1906" i="5"/>
  <c r="S1906" i="5"/>
  <c r="R1906" i="5"/>
  <c r="O1906" i="5"/>
  <c r="N1906" i="5"/>
  <c r="L1906" i="5"/>
  <c r="K1906" i="5"/>
  <c r="I1906" i="5"/>
  <c r="G1906" i="5"/>
  <c r="Y1905" i="5"/>
  <c r="W1905" i="5"/>
  <c r="V1905" i="5"/>
  <c r="T1905" i="5"/>
  <c r="S1905" i="5"/>
  <c r="R1905" i="5"/>
  <c r="O1905" i="5"/>
  <c r="N1905" i="5"/>
  <c r="L1905" i="5"/>
  <c r="K1905" i="5"/>
  <c r="I1905" i="5"/>
  <c r="G1905" i="5"/>
  <c r="F1905" i="5"/>
  <c r="E1905" i="5"/>
  <c r="Y1904" i="5"/>
  <c r="W1904" i="5"/>
  <c r="V1904" i="5"/>
  <c r="T1904" i="5"/>
  <c r="S1904" i="5"/>
  <c r="R1904" i="5"/>
  <c r="O1904" i="5"/>
  <c r="N1904" i="5"/>
  <c r="L1904" i="5"/>
  <c r="I1904" i="5"/>
  <c r="G1904" i="5"/>
  <c r="F1904" i="5"/>
  <c r="Y1903" i="5"/>
  <c r="W1903" i="5"/>
  <c r="V1903" i="5"/>
  <c r="T1903" i="5"/>
  <c r="S1903" i="5"/>
  <c r="R1903" i="5"/>
  <c r="O1903" i="5"/>
  <c r="N1903" i="5"/>
  <c r="L1903" i="5"/>
  <c r="K1903" i="5"/>
  <c r="I1903" i="5"/>
  <c r="G1903" i="5"/>
  <c r="G1922" i="5" s="1"/>
  <c r="Y1902" i="5"/>
  <c r="W1902" i="5"/>
  <c r="V1902" i="5"/>
  <c r="T1902" i="5"/>
  <c r="S1902" i="5"/>
  <c r="R1902" i="5"/>
  <c r="O1902" i="5"/>
  <c r="N1902" i="5"/>
  <c r="L1902" i="5"/>
  <c r="K1902" i="5"/>
  <c r="I1902" i="5"/>
  <c r="G1902" i="5"/>
  <c r="F1902" i="5"/>
  <c r="E1902" i="5"/>
  <c r="Z1901" i="5"/>
  <c r="X1901" i="5"/>
  <c r="X1900" i="5"/>
  <c r="Z1900" i="5" s="1"/>
  <c r="P1899" i="5"/>
  <c r="H1899" i="5"/>
  <c r="E1899" i="5"/>
  <c r="X1898" i="5"/>
  <c r="Z1898" i="5" s="1"/>
  <c r="Y1897" i="5"/>
  <c r="W1897" i="5"/>
  <c r="V1897" i="5"/>
  <c r="T1897" i="5"/>
  <c r="S1897" i="5"/>
  <c r="R1897" i="5"/>
  <c r="O1897" i="5"/>
  <c r="N1897" i="5"/>
  <c r="L1897" i="5"/>
  <c r="K1897" i="5"/>
  <c r="G1897" i="5"/>
  <c r="Y1896" i="5"/>
  <c r="W1896" i="5"/>
  <c r="V1896" i="5"/>
  <c r="T1896" i="5"/>
  <c r="S1896" i="5"/>
  <c r="R1896" i="5"/>
  <c r="Q1896" i="5"/>
  <c r="O1896" i="5"/>
  <c r="N1896" i="5"/>
  <c r="L1896" i="5"/>
  <c r="K1896" i="5"/>
  <c r="J1896" i="5"/>
  <c r="I1896" i="5"/>
  <c r="G1896" i="5"/>
  <c r="F1896" i="5"/>
  <c r="E1896" i="5"/>
  <c r="Y1895" i="5"/>
  <c r="W1895" i="5"/>
  <c r="V1895" i="5"/>
  <c r="T1895" i="5"/>
  <c r="S1895" i="5"/>
  <c r="R1895" i="5"/>
  <c r="Q1895" i="5"/>
  <c r="O1895" i="5"/>
  <c r="N1895" i="5"/>
  <c r="L1895" i="5"/>
  <c r="K1895" i="5"/>
  <c r="J1895" i="5"/>
  <c r="I1895" i="5"/>
  <c r="G1895" i="5"/>
  <c r="Y1894" i="5"/>
  <c r="W1894" i="5"/>
  <c r="V1894" i="5"/>
  <c r="T1894" i="5"/>
  <c r="S1894" i="5"/>
  <c r="R1894" i="5"/>
  <c r="O1894" i="5"/>
  <c r="N1894" i="5"/>
  <c r="L1894" i="5"/>
  <c r="K1894" i="5"/>
  <c r="I1894" i="5"/>
  <c r="G1894" i="5"/>
  <c r="E1894" i="5"/>
  <c r="Y1893" i="5"/>
  <c r="W1893" i="5"/>
  <c r="V1893" i="5"/>
  <c r="T1893" i="5"/>
  <c r="S1893" i="5"/>
  <c r="R1893" i="5"/>
  <c r="O1893" i="5"/>
  <c r="N1893" i="5"/>
  <c r="L1893" i="5"/>
  <c r="K1893" i="5"/>
  <c r="I1893" i="5"/>
  <c r="G1893" i="5"/>
  <c r="Y1892" i="5"/>
  <c r="W1892" i="5"/>
  <c r="V1892" i="5"/>
  <c r="T1892" i="5"/>
  <c r="S1892" i="5"/>
  <c r="R1892" i="5"/>
  <c r="O1892" i="5"/>
  <c r="N1892" i="5"/>
  <c r="L1892" i="5"/>
  <c r="K1892" i="5"/>
  <c r="I1892" i="5"/>
  <c r="G1892" i="5"/>
  <c r="F1892" i="5"/>
  <c r="E1892" i="5"/>
  <c r="Y1891" i="5"/>
  <c r="W1891" i="5"/>
  <c r="V1891" i="5"/>
  <c r="T1891" i="5"/>
  <c r="S1891" i="5"/>
  <c r="R1891" i="5"/>
  <c r="O1891" i="5"/>
  <c r="N1891" i="5"/>
  <c r="L1891" i="5"/>
  <c r="K1891" i="5"/>
  <c r="I1891" i="5"/>
  <c r="G1891" i="5"/>
  <c r="F1891" i="5"/>
  <c r="Y1890" i="5"/>
  <c r="W1890" i="5"/>
  <c r="V1890" i="5"/>
  <c r="T1890" i="5"/>
  <c r="S1890" i="5"/>
  <c r="R1890" i="5"/>
  <c r="O1890" i="5"/>
  <c r="N1890" i="5"/>
  <c r="L1890" i="5"/>
  <c r="K1890" i="5"/>
  <c r="I1890" i="5"/>
  <c r="G1890" i="5"/>
  <c r="Y1889" i="5"/>
  <c r="W1889" i="5"/>
  <c r="V1889" i="5"/>
  <c r="T1889" i="5"/>
  <c r="S1889" i="5"/>
  <c r="R1889" i="5"/>
  <c r="O1889" i="5"/>
  <c r="N1889" i="5"/>
  <c r="L1889" i="5"/>
  <c r="K1889" i="5"/>
  <c r="I1889" i="5"/>
  <c r="G1889" i="5"/>
  <c r="F1889" i="5"/>
  <c r="E1889" i="5"/>
  <c r="Y1888" i="5"/>
  <c r="W1888" i="5"/>
  <c r="V1888" i="5"/>
  <c r="T1888" i="5"/>
  <c r="S1888" i="5"/>
  <c r="R1888" i="5"/>
  <c r="Q1888" i="5"/>
  <c r="O1888" i="5"/>
  <c r="N1888" i="5"/>
  <c r="L1888" i="5"/>
  <c r="K1888" i="5"/>
  <c r="I1888" i="5"/>
  <c r="G1888" i="5"/>
  <c r="F1888" i="5"/>
  <c r="Y1887" i="5"/>
  <c r="W1887" i="5"/>
  <c r="V1887" i="5"/>
  <c r="T1887" i="5"/>
  <c r="S1887" i="5"/>
  <c r="R1887" i="5"/>
  <c r="Q1887" i="5"/>
  <c r="O1887" i="5"/>
  <c r="N1887" i="5"/>
  <c r="L1887" i="5"/>
  <c r="K1887" i="5"/>
  <c r="I1887" i="5"/>
  <c r="G1887" i="5"/>
  <c r="Y1886" i="5"/>
  <c r="W1886" i="5"/>
  <c r="V1886" i="5"/>
  <c r="T1886" i="5"/>
  <c r="S1886" i="5"/>
  <c r="R1886" i="5"/>
  <c r="Q1886" i="5"/>
  <c r="O1886" i="5"/>
  <c r="N1886" i="5"/>
  <c r="L1886" i="5"/>
  <c r="K1886" i="5"/>
  <c r="I1886" i="5"/>
  <c r="G1886" i="5"/>
  <c r="F1886" i="5"/>
  <c r="E1886" i="5"/>
  <c r="Y1885" i="5"/>
  <c r="W1885" i="5"/>
  <c r="V1885" i="5"/>
  <c r="T1885" i="5"/>
  <c r="S1885" i="5"/>
  <c r="R1885" i="5"/>
  <c r="O1885" i="5"/>
  <c r="N1885" i="5"/>
  <c r="L1885" i="5"/>
  <c r="K1885" i="5"/>
  <c r="I1885" i="5"/>
  <c r="G1885" i="5"/>
  <c r="Y1884" i="5"/>
  <c r="W1884" i="5"/>
  <c r="V1884" i="5"/>
  <c r="T1884" i="5"/>
  <c r="S1884" i="5"/>
  <c r="R1884" i="5"/>
  <c r="O1884" i="5"/>
  <c r="N1884" i="5"/>
  <c r="L1884" i="5"/>
  <c r="K1884" i="5"/>
  <c r="I1884" i="5"/>
  <c r="G1884" i="5"/>
  <c r="F1884" i="5"/>
  <c r="E1884" i="5"/>
  <c r="Y1883" i="5"/>
  <c r="W1883" i="5"/>
  <c r="V1883" i="5"/>
  <c r="T1883" i="5"/>
  <c r="S1883" i="5"/>
  <c r="R1883" i="5"/>
  <c r="O1883" i="5"/>
  <c r="N1883" i="5"/>
  <c r="L1883" i="5"/>
  <c r="K1883" i="5"/>
  <c r="I1883" i="5"/>
  <c r="G1883" i="5"/>
  <c r="Y1882" i="5"/>
  <c r="W1882" i="5"/>
  <c r="V1882" i="5"/>
  <c r="T1882" i="5"/>
  <c r="S1882" i="5"/>
  <c r="R1882" i="5"/>
  <c r="O1882" i="5"/>
  <c r="N1882" i="5"/>
  <c r="L1882" i="5"/>
  <c r="K1882" i="5"/>
  <c r="I1882" i="5"/>
  <c r="G1882" i="5"/>
  <c r="F1882" i="5"/>
  <c r="E1882" i="5"/>
  <c r="Y1881" i="5"/>
  <c r="W1881" i="5"/>
  <c r="V1881" i="5"/>
  <c r="T1881" i="5"/>
  <c r="S1881" i="5"/>
  <c r="R1881" i="5"/>
  <c r="O1881" i="5"/>
  <c r="N1881" i="5"/>
  <c r="L1881" i="5"/>
  <c r="K1881" i="5"/>
  <c r="I1881" i="5"/>
  <c r="G1881" i="5"/>
  <c r="F1881" i="5"/>
  <c r="E1881" i="5"/>
  <c r="Y1880" i="5"/>
  <c r="W1880" i="5"/>
  <c r="V1880" i="5"/>
  <c r="T1880" i="5"/>
  <c r="S1880" i="5"/>
  <c r="R1880" i="5"/>
  <c r="O1880" i="5"/>
  <c r="N1880" i="5"/>
  <c r="L1880" i="5"/>
  <c r="K1880" i="5"/>
  <c r="I1880" i="5"/>
  <c r="G1880" i="5"/>
  <c r="F1880" i="5"/>
  <c r="E1880" i="5"/>
  <c r="Y1879" i="5"/>
  <c r="W1879" i="5"/>
  <c r="V1879" i="5"/>
  <c r="T1879" i="5"/>
  <c r="S1879" i="5"/>
  <c r="R1879" i="5"/>
  <c r="O1879" i="5"/>
  <c r="N1879" i="5"/>
  <c r="L1879" i="5"/>
  <c r="K1879" i="5"/>
  <c r="I1879" i="5"/>
  <c r="G1879" i="5"/>
  <c r="F1879" i="5"/>
  <c r="E1879" i="5"/>
  <c r="Y1878" i="5"/>
  <c r="W1878" i="5"/>
  <c r="V1878" i="5"/>
  <c r="T1878" i="5"/>
  <c r="S1878" i="5"/>
  <c r="R1878" i="5"/>
  <c r="O1878" i="5"/>
  <c r="N1878" i="5"/>
  <c r="L1878" i="5"/>
  <c r="K1878" i="5"/>
  <c r="I1878" i="5"/>
  <c r="G1878" i="5"/>
  <c r="F1878" i="5"/>
  <c r="E1878" i="5"/>
  <c r="Y1877" i="5"/>
  <c r="W1877" i="5"/>
  <c r="V1877" i="5"/>
  <c r="T1877" i="5"/>
  <c r="S1877" i="5"/>
  <c r="R1877" i="5"/>
  <c r="O1877" i="5"/>
  <c r="N1877" i="5"/>
  <c r="L1877" i="5"/>
  <c r="K1877" i="5"/>
  <c r="I1877" i="5"/>
  <c r="G1877" i="5"/>
  <c r="F1877" i="5"/>
  <c r="E1877" i="5"/>
  <c r="Y1876" i="5"/>
  <c r="W1876" i="5"/>
  <c r="V1876" i="5"/>
  <c r="T1876" i="5"/>
  <c r="S1876" i="5"/>
  <c r="R1876" i="5"/>
  <c r="O1876" i="5"/>
  <c r="N1876" i="5"/>
  <c r="L1876" i="5"/>
  <c r="K1876" i="5"/>
  <c r="I1876" i="5"/>
  <c r="G1876" i="5"/>
  <c r="F1876" i="5"/>
  <c r="Y1875" i="5"/>
  <c r="W1875" i="5"/>
  <c r="V1875" i="5"/>
  <c r="T1875" i="5"/>
  <c r="S1875" i="5"/>
  <c r="R1875" i="5"/>
  <c r="O1875" i="5"/>
  <c r="N1875" i="5"/>
  <c r="L1875" i="5"/>
  <c r="K1875" i="5"/>
  <c r="I1875" i="5"/>
  <c r="G1875" i="5"/>
  <c r="E1875" i="5"/>
  <c r="Y1874" i="5"/>
  <c r="W1874" i="5"/>
  <c r="V1874" i="5"/>
  <c r="T1874" i="5"/>
  <c r="S1874" i="5"/>
  <c r="R1874" i="5"/>
  <c r="O1874" i="5"/>
  <c r="N1874" i="5"/>
  <c r="L1874" i="5"/>
  <c r="K1874" i="5"/>
  <c r="I1874" i="5"/>
  <c r="G1874" i="5"/>
  <c r="F1874" i="5"/>
  <c r="E1874" i="5"/>
  <c r="Y1873" i="5"/>
  <c r="W1873" i="5"/>
  <c r="V1873" i="5"/>
  <c r="T1873" i="5"/>
  <c r="S1873" i="5"/>
  <c r="R1873" i="5"/>
  <c r="O1873" i="5"/>
  <c r="N1873" i="5"/>
  <c r="L1873" i="5"/>
  <c r="K1873" i="5"/>
  <c r="I1873" i="5"/>
  <c r="G1873" i="5"/>
  <c r="Y1872" i="5"/>
  <c r="W1872" i="5"/>
  <c r="V1872" i="5"/>
  <c r="T1872" i="5"/>
  <c r="S1872" i="5"/>
  <c r="R1872" i="5"/>
  <c r="O1872" i="5"/>
  <c r="N1872" i="5"/>
  <c r="L1872" i="5"/>
  <c r="K1872" i="5"/>
  <c r="I1872" i="5"/>
  <c r="G1872" i="5"/>
  <c r="F1872" i="5"/>
  <c r="E1872" i="5"/>
  <c r="Y1871" i="5"/>
  <c r="W1871" i="5"/>
  <c r="V1871" i="5"/>
  <c r="T1871" i="5"/>
  <c r="S1871" i="5"/>
  <c r="R1871" i="5"/>
  <c r="O1871" i="5"/>
  <c r="N1871" i="5"/>
  <c r="L1871" i="5"/>
  <c r="K1871" i="5"/>
  <c r="I1871" i="5"/>
  <c r="G1871" i="5"/>
  <c r="F1871" i="5"/>
  <c r="E1871" i="5"/>
  <c r="Y1870" i="5"/>
  <c r="W1870" i="5"/>
  <c r="V1870" i="5"/>
  <c r="T1870" i="5"/>
  <c r="S1870" i="5"/>
  <c r="R1870" i="5"/>
  <c r="O1870" i="5"/>
  <c r="N1870" i="5"/>
  <c r="L1870" i="5"/>
  <c r="I1870" i="5"/>
  <c r="G1870" i="5"/>
  <c r="F1870" i="5"/>
  <c r="E1870" i="5"/>
  <c r="Y1869" i="5"/>
  <c r="W1869" i="5"/>
  <c r="V1869" i="5"/>
  <c r="T1869" i="5"/>
  <c r="S1869" i="5"/>
  <c r="R1869" i="5"/>
  <c r="O1869" i="5"/>
  <c r="N1869" i="5"/>
  <c r="L1869" i="5"/>
  <c r="K1869" i="5"/>
  <c r="I1869" i="5"/>
  <c r="G1869" i="5"/>
  <c r="F1869" i="5"/>
  <c r="E1869" i="5"/>
  <c r="Y1868" i="5"/>
  <c r="W1868" i="5"/>
  <c r="V1868" i="5"/>
  <c r="T1868" i="5"/>
  <c r="S1868" i="5"/>
  <c r="R1868" i="5"/>
  <c r="O1868" i="5"/>
  <c r="N1868" i="5"/>
  <c r="L1868" i="5"/>
  <c r="K1868" i="5"/>
  <c r="I1868" i="5"/>
  <c r="G1868" i="5"/>
  <c r="F1868" i="5"/>
  <c r="E1868" i="5"/>
  <c r="X1867" i="5"/>
  <c r="Z1867" i="5" s="1"/>
  <c r="X1866" i="5"/>
  <c r="Z1866" i="5" s="1"/>
  <c r="P1865" i="5"/>
  <c r="H1865" i="5"/>
  <c r="E1865" i="5"/>
  <c r="X1864" i="5"/>
  <c r="Z1864" i="5" s="1"/>
  <c r="Y1863" i="5"/>
  <c r="W1863" i="5"/>
  <c r="V1863" i="5"/>
  <c r="T1863" i="5"/>
  <c r="S1863" i="5"/>
  <c r="R1863" i="5"/>
  <c r="O1863" i="5"/>
  <c r="N1863" i="5"/>
  <c r="L1863" i="5"/>
  <c r="K1863" i="5"/>
  <c r="I1863" i="5"/>
  <c r="G1863" i="5"/>
  <c r="F1863" i="5"/>
  <c r="AB1862" i="5"/>
  <c r="Y1862" i="5"/>
  <c r="W1862" i="5"/>
  <c r="V1862" i="5"/>
  <c r="T1862" i="5"/>
  <c r="S1862" i="5"/>
  <c r="R1862" i="5"/>
  <c r="Q1862" i="5"/>
  <c r="O1862" i="5"/>
  <c r="N1862" i="5"/>
  <c r="L1862" i="5"/>
  <c r="K1862" i="5"/>
  <c r="J1862" i="5"/>
  <c r="I1862" i="5"/>
  <c r="G1862" i="5"/>
  <c r="F1862" i="5"/>
  <c r="Y1861" i="5"/>
  <c r="W1861" i="5"/>
  <c r="V1861" i="5"/>
  <c r="T1861" i="5"/>
  <c r="S1861" i="5"/>
  <c r="R1861" i="5"/>
  <c r="Q1861" i="5"/>
  <c r="O1861" i="5"/>
  <c r="N1861" i="5"/>
  <c r="L1861" i="5"/>
  <c r="K1861" i="5"/>
  <c r="J1861" i="5"/>
  <c r="I1861" i="5"/>
  <c r="G1861" i="5"/>
  <c r="Y1860" i="5"/>
  <c r="W1860" i="5"/>
  <c r="V1860" i="5"/>
  <c r="T1860" i="5"/>
  <c r="S1860" i="5"/>
  <c r="R1860" i="5"/>
  <c r="Q1860" i="5"/>
  <c r="O1860" i="5"/>
  <c r="N1860" i="5"/>
  <c r="L1860" i="5"/>
  <c r="K1860" i="5"/>
  <c r="J1860" i="5"/>
  <c r="I1860" i="5"/>
  <c r="G1860" i="5"/>
  <c r="Y1859" i="5"/>
  <c r="W1859" i="5"/>
  <c r="V1859" i="5"/>
  <c r="T1859" i="5"/>
  <c r="S1859" i="5"/>
  <c r="R1859" i="5"/>
  <c r="O1859" i="5"/>
  <c r="N1859" i="5"/>
  <c r="L1859" i="5"/>
  <c r="K1859" i="5"/>
  <c r="I1859" i="5"/>
  <c r="G1859" i="5"/>
  <c r="F1859" i="5"/>
  <c r="E1859" i="5"/>
  <c r="Y1858" i="5"/>
  <c r="W1858" i="5"/>
  <c r="V1858" i="5"/>
  <c r="T1858" i="5"/>
  <c r="S1858" i="5"/>
  <c r="R1858" i="5"/>
  <c r="O1858" i="5"/>
  <c r="N1858" i="5"/>
  <c r="L1858" i="5"/>
  <c r="K1858" i="5"/>
  <c r="I1858" i="5"/>
  <c r="G1858" i="5"/>
  <c r="Y1857" i="5"/>
  <c r="W1857" i="5"/>
  <c r="V1857" i="5"/>
  <c r="T1857" i="5"/>
  <c r="S1857" i="5"/>
  <c r="R1857" i="5"/>
  <c r="O1857" i="5"/>
  <c r="N1857" i="5"/>
  <c r="L1857" i="5"/>
  <c r="K1857" i="5"/>
  <c r="I1857" i="5"/>
  <c r="G1857" i="5"/>
  <c r="Y1856" i="5"/>
  <c r="W1856" i="5"/>
  <c r="V1856" i="5"/>
  <c r="T1856" i="5"/>
  <c r="S1856" i="5"/>
  <c r="R1856" i="5"/>
  <c r="O1856" i="5"/>
  <c r="N1856" i="5"/>
  <c r="L1856" i="5"/>
  <c r="K1856" i="5"/>
  <c r="I1856" i="5"/>
  <c r="G1856" i="5"/>
  <c r="F1856" i="5"/>
  <c r="E1856" i="5"/>
  <c r="Y1855" i="5"/>
  <c r="W1855" i="5"/>
  <c r="V1855" i="5"/>
  <c r="T1855" i="5"/>
  <c r="S1855" i="5"/>
  <c r="R1855" i="5"/>
  <c r="O1855" i="5"/>
  <c r="N1855" i="5"/>
  <c r="L1855" i="5"/>
  <c r="K1855" i="5"/>
  <c r="I1855" i="5"/>
  <c r="G1855" i="5"/>
  <c r="F1855" i="5"/>
  <c r="E1855" i="5"/>
  <c r="Y1854" i="5"/>
  <c r="W1854" i="5"/>
  <c r="V1854" i="5"/>
  <c r="T1854" i="5"/>
  <c r="S1854" i="5"/>
  <c r="R1854" i="5"/>
  <c r="O1854" i="5"/>
  <c r="N1854" i="5"/>
  <c r="L1854" i="5"/>
  <c r="K1854" i="5"/>
  <c r="I1854" i="5"/>
  <c r="G1854" i="5"/>
  <c r="E1854" i="5"/>
  <c r="Y1853" i="5"/>
  <c r="W1853" i="5"/>
  <c r="V1853" i="5"/>
  <c r="T1853" i="5"/>
  <c r="S1853" i="5"/>
  <c r="R1853" i="5"/>
  <c r="O1853" i="5"/>
  <c r="N1853" i="5"/>
  <c r="L1853" i="5"/>
  <c r="K1853" i="5"/>
  <c r="I1853" i="5"/>
  <c r="G1853" i="5"/>
  <c r="Y1852" i="5"/>
  <c r="W1852" i="5"/>
  <c r="V1852" i="5"/>
  <c r="T1852" i="5"/>
  <c r="S1852" i="5"/>
  <c r="R1852" i="5"/>
  <c r="O1852" i="5"/>
  <c r="N1852" i="5"/>
  <c r="L1852" i="5"/>
  <c r="K1852" i="5"/>
  <c r="I1852" i="5"/>
  <c r="G1852" i="5"/>
  <c r="F1852" i="5"/>
  <c r="E1852" i="5"/>
  <c r="Y1851" i="5"/>
  <c r="W1851" i="5"/>
  <c r="V1851" i="5"/>
  <c r="T1851" i="5"/>
  <c r="S1851" i="5"/>
  <c r="R1851" i="5"/>
  <c r="O1851" i="5"/>
  <c r="N1851" i="5"/>
  <c r="L1851" i="5"/>
  <c r="I1851" i="5"/>
  <c r="G1851" i="5"/>
  <c r="F1851" i="5"/>
  <c r="Y1850" i="5"/>
  <c r="W1850" i="5"/>
  <c r="V1850" i="5"/>
  <c r="T1850" i="5"/>
  <c r="S1850" i="5"/>
  <c r="R1850" i="5"/>
  <c r="O1850" i="5"/>
  <c r="N1850" i="5"/>
  <c r="L1850" i="5"/>
  <c r="K1850" i="5"/>
  <c r="I1850" i="5"/>
  <c r="G1850" i="5"/>
  <c r="F1850" i="5"/>
  <c r="Y1849" i="5"/>
  <c r="W1849" i="5"/>
  <c r="V1849" i="5"/>
  <c r="T1849" i="5"/>
  <c r="S1849" i="5"/>
  <c r="R1849" i="5"/>
  <c r="O1849" i="5"/>
  <c r="N1849" i="5"/>
  <c r="L1849" i="5"/>
  <c r="K1849" i="5"/>
  <c r="I1849" i="5"/>
  <c r="G1849" i="5"/>
  <c r="Y1848" i="5"/>
  <c r="W1848" i="5"/>
  <c r="V1848" i="5"/>
  <c r="T1848" i="5"/>
  <c r="S1848" i="5"/>
  <c r="R1848" i="5"/>
  <c r="O1848" i="5"/>
  <c r="N1848" i="5"/>
  <c r="L1848" i="5"/>
  <c r="K1848" i="5"/>
  <c r="I1848" i="5"/>
  <c r="G1848" i="5"/>
  <c r="F1848" i="5"/>
  <c r="Y1847" i="5"/>
  <c r="W1847" i="5"/>
  <c r="V1847" i="5"/>
  <c r="T1847" i="5"/>
  <c r="S1847" i="5"/>
  <c r="R1847" i="5"/>
  <c r="O1847" i="5"/>
  <c r="N1847" i="5"/>
  <c r="L1847" i="5"/>
  <c r="K1847" i="5"/>
  <c r="I1847" i="5"/>
  <c r="G1847" i="5"/>
  <c r="F1847" i="5"/>
  <c r="E1847" i="5"/>
  <c r="Y1846" i="5"/>
  <c r="W1846" i="5"/>
  <c r="V1846" i="5"/>
  <c r="T1846" i="5"/>
  <c r="S1846" i="5"/>
  <c r="R1846" i="5"/>
  <c r="O1846" i="5"/>
  <c r="N1846" i="5"/>
  <c r="L1846" i="5"/>
  <c r="K1846" i="5"/>
  <c r="I1846" i="5"/>
  <c r="G1846" i="5"/>
  <c r="F1846" i="5"/>
  <c r="E1846" i="5"/>
  <c r="Z1845" i="5"/>
  <c r="X1845" i="5"/>
  <c r="X1844" i="5"/>
  <c r="Z1844" i="5" s="1"/>
  <c r="P1843" i="5"/>
  <c r="H1843" i="5"/>
  <c r="E1843" i="5"/>
  <c r="X1842" i="5"/>
  <c r="Z1842" i="5" s="1"/>
  <c r="Y1841" i="5"/>
  <c r="W1841" i="5"/>
  <c r="V1841" i="5"/>
  <c r="T1841" i="5"/>
  <c r="S1841" i="5"/>
  <c r="R1841" i="5"/>
  <c r="O1841" i="5"/>
  <c r="N1841" i="5"/>
  <c r="L1841" i="5"/>
  <c r="K1841" i="5"/>
  <c r="I1841" i="5"/>
  <c r="G1841" i="5"/>
  <c r="Y1840" i="5"/>
  <c r="W1840" i="5"/>
  <c r="V1840" i="5"/>
  <c r="T1840" i="5"/>
  <c r="S1840" i="5"/>
  <c r="R1840" i="5"/>
  <c r="O1840" i="5"/>
  <c r="N1840" i="5"/>
  <c r="L1840" i="5"/>
  <c r="I1840" i="5"/>
  <c r="G1840" i="5"/>
  <c r="Y1839" i="5"/>
  <c r="W1839" i="5"/>
  <c r="V1839" i="5"/>
  <c r="T1839" i="5"/>
  <c r="S1839" i="5"/>
  <c r="R1839" i="5"/>
  <c r="O1839" i="5"/>
  <c r="N1839" i="5"/>
  <c r="L1839" i="5"/>
  <c r="K1839" i="5"/>
  <c r="I1839" i="5"/>
  <c r="G1839" i="5"/>
  <c r="F1839" i="5"/>
  <c r="E1839" i="5"/>
  <c r="Y1838" i="5"/>
  <c r="W1838" i="5"/>
  <c r="V1838" i="5"/>
  <c r="T1838" i="5"/>
  <c r="S1838" i="5"/>
  <c r="R1838" i="5"/>
  <c r="Q1838" i="5"/>
  <c r="O1838" i="5"/>
  <c r="N1838" i="5"/>
  <c r="L1838" i="5"/>
  <c r="K1838" i="5"/>
  <c r="J1838" i="5"/>
  <c r="I1838" i="5"/>
  <c r="G1838" i="5"/>
  <c r="F1838" i="5"/>
  <c r="E1838" i="5"/>
  <c r="Y1837" i="5"/>
  <c r="W1837" i="5"/>
  <c r="V1837" i="5"/>
  <c r="T1837" i="5"/>
  <c r="S1837" i="5"/>
  <c r="R1837" i="5"/>
  <c r="Q1837" i="5"/>
  <c r="O1837" i="5"/>
  <c r="N1837" i="5"/>
  <c r="L1837" i="5"/>
  <c r="K1837" i="5"/>
  <c r="J1837" i="5"/>
  <c r="I1837" i="5"/>
  <c r="G1837" i="5"/>
  <c r="F1837" i="5"/>
  <c r="E1837" i="5"/>
  <c r="Y1836" i="5"/>
  <c r="W1836" i="5"/>
  <c r="V1836" i="5"/>
  <c r="T1836" i="5"/>
  <c r="S1836" i="5"/>
  <c r="R1836" i="5"/>
  <c r="Q1836" i="5"/>
  <c r="O1836" i="5"/>
  <c r="N1836" i="5"/>
  <c r="L1836" i="5"/>
  <c r="K1836" i="5"/>
  <c r="J1836" i="5"/>
  <c r="I1836" i="5"/>
  <c r="G1836" i="5"/>
  <c r="F1836" i="5"/>
  <c r="E1836" i="5"/>
  <c r="Y1835" i="5"/>
  <c r="W1835" i="5"/>
  <c r="V1835" i="5"/>
  <c r="T1835" i="5"/>
  <c r="S1835" i="5"/>
  <c r="R1835" i="5"/>
  <c r="O1835" i="5"/>
  <c r="N1835" i="5"/>
  <c r="L1835" i="5"/>
  <c r="K1835" i="5"/>
  <c r="I1835" i="5"/>
  <c r="G1835" i="5"/>
  <c r="F1835" i="5"/>
  <c r="E1835" i="5"/>
  <c r="Y1834" i="5"/>
  <c r="W1834" i="5"/>
  <c r="V1834" i="5"/>
  <c r="T1834" i="5"/>
  <c r="S1834" i="5"/>
  <c r="R1834" i="5"/>
  <c r="O1834" i="5"/>
  <c r="N1834" i="5"/>
  <c r="L1834" i="5"/>
  <c r="K1834" i="5"/>
  <c r="I1834" i="5"/>
  <c r="G1834" i="5"/>
  <c r="Y1833" i="5"/>
  <c r="W1833" i="5"/>
  <c r="V1833" i="5"/>
  <c r="T1833" i="5"/>
  <c r="S1833" i="5"/>
  <c r="R1833" i="5"/>
  <c r="O1833" i="5"/>
  <c r="N1833" i="5"/>
  <c r="L1833" i="5"/>
  <c r="K1833" i="5"/>
  <c r="I1833" i="5"/>
  <c r="G1833" i="5"/>
  <c r="F1833" i="5"/>
  <c r="E1833" i="5"/>
  <c r="Y1832" i="5"/>
  <c r="W1832" i="5"/>
  <c r="V1832" i="5"/>
  <c r="T1832" i="5"/>
  <c r="S1832" i="5"/>
  <c r="R1832" i="5"/>
  <c r="O1832" i="5"/>
  <c r="N1832" i="5"/>
  <c r="L1832" i="5"/>
  <c r="K1832" i="5"/>
  <c r="I1832" i="5"/>
  <c r="G1832" i="5"/>
  <c r="F1832" i="5"/>
  <c r="Y1831" i="5"/>
  <c r="W1831" i="5"/>
  <c r="V1831" i="5"/>
  <c r="T1831" i="5"/>
  <c r="S1831" i="5"/>
  <c r="R1831" i="5"/>
  <c r="O1831" i="5"/>
  <c r="N1831" i="5"/>
  <c r="L1831" i="5"/>
  <c r="K1831" i="5"/>
  <c r="I1831" i="5"/>
  <c r="G1831" i="5"/>
  <c r="F1831" i="5"/>
  <c r="E1831" i="5"/>
  <c r="Y1830" i="5"/>
  <c r="W1830" i="5"/>
  <c r="V1830" i="5"/>
  <c r="T1830" i="5"/>
  <c r="S1830" i="5"/>
  <c r="R1830" i="5"/>
  <c r="O1830" i="5"/>
  <c r="N1830" i="5"/>
  <c r="L1830" i="5"/>
  <c r="K1830" i="5"/>
  <c r="I1830" i="5"/>
  <c r="G1830" i="5"/>
  <c r="Y1829" i="5"/>
  <c r="W1829" i="5"/>
  <c r="V1829" i="5"/>
  <c r="T1829" i="5"/>
  <c r="S1829" i="5"/>
  <c r="R1829" i="5"/>
  <c r="O1829" i="5"/>
  <c r="N1829" i="5"/>
  <c r="L1829" i="5"/>
  <c r="K1829" i="5"/>
  <c r="I1829" i="5"/>
  <c r="G1829" i="5"/>
  <c r="F1829" i="5"/>
  <c r="E1829" i="5"/>
  <c r="Y1828" i="5"/>
  <c r="W1828" i="5"/>
  <c r="V1828" i="5"/>
  <c r="T1828" i="5"/>
  <c r="S1828" i="5"/>
  <c r="R1828" i="5"/>
  <c r="O1828" i="5"/>
  <c r="N1828" i="5"/>
  <c r="L1828" i="5"/>
  <c r="K1828" i="5"/>
  <c r="I1828" i="5"/>
  <c r="G1828" i="5"/>
  <c r="E1828" i="5"/>
  <c r="Y1827" i="5"/>
  <c r="W1827" i="5"/>
  <c r="V1827" i="5"/>
  <c r="T1827" i="5"/>
  <c r="S1827" i="5"/>
  <c r="R1827" i="5"/>
  <c r="O1827" i="5"/>
  <c r="N1827" i="5"/>
  <c r="L1827" i="5"/>
  <c r="K1827" i="5"/>
  <c r="I1827" i="5"/>
  <c r="G1827" i="5"/>
  <c r="F1827" i="5"/>
  <c r="E1827" i="5"/>
  <c r="Y1826" i="5"/>
  <c r="W1826" i="5"/>
  <c r="V1826" i="5"/>
  <c r="T1826" i="5"/>
  <c r="S1826" i="5"/>
  <c r="R1826" i="5"/>
  <c r="O1826" i="5"/>
  <c r="N1826" i="5"/>
  <c r="L1826" i="5"/>
  <c r="K1826" i="5"/>
  <c r="I1826" i="5"/>
  <c r="G1826" i="5"/>
  <c r="F1826" i="5"/>
  <c r="E1826" i="5"/>
  <c r="Y1825" i="5"/>
  <c r="W1825" i="5"/>
  <c r="V1825" i="5"/>
  <c r="T1825" i="5"/>
  <c r="S1825" i="5"/>
  <c r="R1825" i="5"/>
  <c r="O1825" i="5"/>
  <c r="N1825" i="5"/>
  <c r="L1825" i="5"/>
  <c r="K1825" i="5"/>
  <c r="I1825" i="5"/>
  <c r="G1825" i="5"/>
  <c r="Y1824" i="5"/>
  <c r="W1824" i="5"/>
  <c r="V1824" i="5"/>
  <c r="T1824" i="5"/>
  <c r="S1824" i="5"/>
  <c r="R1824" i="5"/>
  <c r="O1824" i="5"/>
  <c r="N1824" i="5"/>
  <c r="L1824" i="5"/>
  <c r="K1824" i="5"/>
  <c r="I1824" i="5"/>
  <c r="G1824" i="5"/>
  <c r="F1824" i="5"/>
  <c r="Y1823" i="5"/>
  <c r="W1823" i="5"/>
  <c r="V1823" i="5"/>
  <c r="T1823" i="5"/>
  <c r="S1823" i="5"/>
  <c r="R1823" i="5"/>
  <c r="O1823" i="5"/>
  <c r="N1823" i="5"/>
  <c r="L1823" i="5"/>
  <c r="K1823" i="5"/>
  <c r="I1823" i="5"/>
  <c r="G1823" i="5"/>
  <c r="F1823" i="5"/>
  <c r="E1823" i="5"/>
  <c r="X1822" i="5"/>
  <c r="Z1822" i="5" s="1"/>
  <c r="X1821" i="5"/>
  <c r="Z1821" i="5" s="1"/>
  <c r="P1820" i="5"/>
  <c r="H1820" i="5"/>
  <c r="E1820" i="5"/>
  <c r="X1819" i="5"/>
  <c r="Z1819" i="5" s="1"/>
  <c r="Y1818" i="5"/>
  <c r="W1818" i="5"/>
  <c r="V1818" i="5"/>
  <c r="T1818" i="5"/>
  <c r="S1818" i="5"/>
  <c r="R1818" i="5"/>
  <c r="O1818" i="5"/>
  <c r="N1818" i="5"/>
  <c r="L1818" i="5"/>
  <c r="K1818" i="5"/>
  <c r="G1818" i="5"/>
  <c r="F1818" i="5"/>
  <c r="Y1817" i="5"/>
  <c r="W1817" i="5"/>
  <c r="V1817" i="5"/>
  <c r="T1817" i="5"/>
  <c r="S1817" i="5"/>
  <c r="R1817" i="5"/>
  <c r="O1817" i="5"/>
  <c r="N1817" i="5"/>
  <c r="L1817" i="5"/>
  <c r="K1817" i="5"/>
  <c r="I1817" i="5"/>
  <c r="G1817" i="5"/>
  <c r="F1817" i="5"/>
  <c r="E1817" i="5"/>
  <c r="Y1816" i="5"/>
  <c r="W1816" i="5"/>
  <c r="V1816" i="5"/>
  <c r="T1816" i="5"/>
  <c r="S1816" i="5"/>
  <c r="R1816" i="5"/>
  <c r="Q1816" i="5"/>
  <c r="O1816" i="5"/>
  <c r="N1816" i="5"/>
  <c r="L1816" i="5"/>
  <c r="K1816" i="5"/>
  <c r="J1816" i="5"/>
  <c r="I1816" i="5"/>
  <c r="G1816" i="5"/>
  <c r="Y1815" i="5"/>
  <c r="W1815" i="5"/>
  <c r="V1815" i="5"/>
  <c r="T1815" i="5"/>
  <c r="S1815" i="5"/>
  <c r="R1815" i="5"/>
  <c r="O1815" i="5"/>
  <c r="N1815" i="5"/>
  <c r="L1815" i="5"/>
  <c r="K1815" i="5"/>
  <c r="I1815" i="5"/>
  <c r="G1815" i="5"/>
  <c r="Y1814" i="5"/>
  <c r="W1814" i="5"/>
  <c r="V1814" i="5"/>
  <c r="T1814" i="5"/>
  <c r="S1814" i="5"/>
  <c r="R1814" i="5"/>
  <c r="O1814" i="5"/>
  <c r="N1814" i="5"/>
  <c r="L1814" i="5"/>
  <c r="K1814" i="5"/>
  <c r="I1814" i="5"/>
  <c r="G1814" i="5"/>
  <c r="F1814" i="5"/>
  <c r="E1814" i="5"/>
  <c r="Y1813" i="5"/>
  <c r="W1813" i="5"/>
  <c r="V1813" i="5"/>
  <c r="T1813" i="5"/>
  <c r="S1813" i="5"/>
  <c r="R1813" i="5"/>
  <c r="O1813" i="5"/>
  <c r="N1813" i="5"/>
  <c r="L1813" i="5"/>
  <c r="K1813" i="5"/>
  <c r="I1813" i="5"/>
  <c r="G1813" i="5"/>
  <c r="F1813" i="5"/>
  <c r="E1813" i="5"/>
  <c r="Y1812" i="5"/>
  <c r="W1812" i="5"/>
  <c r="V1812" i="5"/>
  <c r="T1812" i="5"/>
  <c r="S1812" i="5"/>
  <c r="R1812" i="5"/>
  <c r="O1812" i="5"/>
  <c r="N1812" i="5"/>
  <c r="L1812" i="5"/>
  <c r="K1812" i="5"/>
  <c r="I1812" i="5"/>
  <c r="G1812" i="5"/>
  <c r="F1812" i="5"/>
  <c r="E1812" i="5"/>
  <c r="Y1811" i="5"/>
  <c r="W1811" i="5"/>
  <c r="V1811" i="5"/>
  <c r="T1811" i="5"/>
  <c r="S1811" i="5"/>
  <c r="R1811" i="5"/>
  <c r="O1811" i="5"/>
  <c r="N1811" i="5"/>
  <c r="L1811" i="5"/>
  <c r="K1811" i="5"/>
  <c r="I1811" i="5"/>
  <c r="G1811" i="5"/>
  <c r="F1811" i="5"/>
  <c r="E1811" i="5"/>
  <c r="Y1810" i="5"/>
  <c r="W1810" i="5"/>
  <c r="V1810" i="5"/>
  <c r="T1810" i="5"/>
  <c r="S1810" i="5"/>
  <c r="R1810" i="5"/>
  <c r="O1810" i="5"/>
  <c r="N1810" i="5"/>
  <c r="L1810" i="5"/>
  <c r="K1810" i="5"/>
  <c r="I1810" i="5"/>
  <c r="G1810" i="5"/>
  <c r="E1810" i="5"/>
  <c r="Y1809" i="5"/>
  <c r="W1809" i="5"/>
  <c r="V1809" i="5"/>
  <c r="T1809" i="5"/>
  <c r="S1809" i="5"/>
  <c r="R1809" i="5"/>
  <c r="O1809" i="5"/>
  <c r="N1809" i="5"/>
  <c r="L1809" i="5"/>
  <c r="K1809" i="5"/>
  <c r="I1809" i="5"/>
  <c r="G1809" i="5"/>
  <c r="F1809" i="5"/>
  <c r="E1809" i="5"/>
  <c r="Y1808" i="5"/>
  <c r="W1808" i="5"/>
  <c r="V1808" i="5"/>
  <c r="T1808" i="5"/>
  <c r="S1808" i="5"/>
  <c r="R1808" i="5"/>
  <c r="O1808" i="5"/>
  <c r="N1808" i="5"/>
  <c r="L1808" i="5"/>
  <c r="K1808" i="5"/>
  <c r="I1808" i="5"/>
  <c r="G1808" i="5"/>
  <c r="F1808" i="5"/>
  <c r="E1808" i="5"/>
  <c r="Y1807" i="5"/>
  <c r="W1807" i="5"/>
  <c r="V1807" i="5"/>
  <c r="T1807" i="5"/>
  <c r="S1807" i="5"/>
  <c r="R1807" i="5"/>
  <c r="O1807" i="5"/>
  <c r="N1807" i="5"/>
  <c r="L1807" i="5"/>
  <c r="K1807" i="5"/>
  <c r="I1807" i="5"/>
  <c r="G1807" i="5"/>
  <c r="F1807" i="5"/>
  <c r="E1807" i="5"/>
  <c r="Y1806" i="5"/>
  <c r="W1806" i="5"/>
  <c r="V1806" i="5"/>
  <c r="T1806" i="5"/>
  <c r="S1806" i="5"/>
  <c r="R1806" i="5"/>
  <c r="O1806" i="5"/>
  <c r="N1806" i="5"/>
  <c r="L1806" i="5"/>
  <c r="K1806" i="5"/>
  <c r="I1806" i="5"/>
  <c r="G1806" i="5"/>
  <c r="F1806" i="5"/>
  <c r="E1806" i="5"/>
  <c r="Y1805" i="5"/>
  <c r="W1805" i="5"/>
  <c r="V1805" i="5"/>
  <c r="T1805" i="5"/>
  <c r="S1805" i="5"/>
  <c r="R1805" i="5"/>
  <c r="O1805" i="5"/>
  <c r="N1805" i="5"/>
  <c r="L1805" i="5"/>
  <c r="K1805" i="5"/>
  <c r="I1805" i="5"/>
  <c r="G1805" i="5"/>
  <c r="F1805" i="5"/>
  <c r="X1804" i="5"/>
  <c r="Z1804" i="5" s="1"/>
  <c r="X1803" i="5"/>
  <c r="Z1803" i="5" s="1"/>
  <c r="P1802" i="5"/>
  <c r="H1802" i="5"/>
  <c r="X1802" i="5" s="1"/>
  <c r="E1802" i="5"/>
  <c r="X1801" i="5"/>
  <c r="Z1801" i="5" s="1"/>
  <c r="Y1800" i="5"/>
  <c r="W1800" i="5"/>
  <c r="V1800" i="5"/>
  <c r="T1800" i="5"/>
  <c r="S1800" i="5"/>
  <c r="R1800" i="5"/>
  <c r="O1800" i="5"/>
  <c r="N1800" i="5"/>
  <c r="L1800" i="5"/>
  <c r="K1800" i="5"/>
  <c r="I1800" i="5"/>
  <c r="G1800" i="5"/>
  <c r="F1800" i="5"/>
  <c r="E1800" i="5"/>
  <c r="Y1799" i="5"/>
  <c r="W1799" i="5"/>
  <c r="V1799" i="5"/>
  <c r="T1799" i="5"/>
  <c r="S1799" i="5"/>
  <c r="R1799" i="5"/>
  <c r="O1799" i="5"/>
  <c r="N1799" i="5"/>
  <c r="L1799" i="5"/>
  <c r="K1799" i="5"/>
  <c r="I1799" i="5"/>
  <c r="G1799" i="5"/>
  <c r="F1799" i="5"/>
  <c r="E1799" i="5"/>
  <c r="Y1798" i="5"/>
  <c r="W1798" i="5"/>
  <c r="V1798" i="5"/>
  <c r="T1798" i="5"/>
  <c r="S1798" i="5"/>
  <c r="R1798" i="5"/>
  <c r="O1798" i="5"/>
  <c r="N1798" i="5"/>
  <c r="L1798" i="5"/>
  <c r="K1798" i="5"/>
  <c r="I1798" i="5"/>
  <c r="G1798" i="5"/>
  <c r="F1798" i="5"/>
  <c r="E1798" i="5"/>
  <c r="Y1797" i="5"/>
  <c r="W1797" i="5"/>
  <c r="V1797" i="5"/>
  <c r="T1797" i="5"/>
  <c r="S1797" i="5"/>
  <c r="R1797" i="5"/>
  <c r="O1797" i="5"/>
  <c r="N1797" i="5"/>
  <c r="L1797" i="5"/>
  <c r="K1797" i="5"/>
  <c r="I1797" i="5"/>
  <c r="G1797" i="5"/>
  <c r="F1797" i="5"/>
  <c r="E1797" i="5"/>
  <c r="Y1796" i="5"/>
  <c r="W1796" i="5"/>
  <c r="V1796" i="5"/>
  <c r="T1796" i="5"/>
  <c r="S1796" i="5"/>
  <c r="R1796" i="5"/>
  <c r="O1796" i="5"/>
  <c r="N1796" i="5"/>
  <c r="L1796" i="5"/>
  <c r="K1796" i="5"/>
  <c r="I1796" i="5"/>
  <c r="G1796" i="5"/>
  <c r="F1796" i="5"/>
  <c r="E1796" i="5"/>
  <c r="Y1795" i="5"/>
  <c r="W1795" i="5"/>
  <c r="V1795" i="5"/>
  <c r="T1795" i="5"/>
  <c r="S1795" i="5"/>
  <c r="R1795" i="5"/>
  <c r="O1795" i="5"/>
  <c r="N1795" i="5"/>
  <c r="L1795" i="5"/>
  <c r="K1795" i="5"/>
  <c r="I1795" i="5"/>
  <c r="G1795" i="5"/>
  <c r="F1795" i="5"/>
  <c r="E1795" i="5"/>
  <c r="Y1794" i="5"/>
  <c r="W1794" i="5"/>
  <c r="V1794" i="5"/>
  <c r="T1794" i="5"/>
  <c r="S1794" i="5"/>
  <c r="R1794" i="5"/>
  <c r="O1794" i="5"/>
  <c r="N1794" i="5"/>
  <c r="L1794" i="5"/>
  <c r="K1794" i="5"/>
  <c r="I1794" i="5"/>
  <c r="G1794" i="5"/>
  <c r="F1794" i="5"/>
  <c r="E1794" i="5"/>
  <c r="Y1793" i="5"/>
  <c r="W1793" i="5"/>
  <c r="V1793" i="5"/>
  <c r="T1793" i="5"/>
  <c r="S1793" i="5"/>
  <c r="R1793" i="5"/>
  <c r="O1793" i="5"/>
  <c r="N1793" i="5"/>
  <c r="L1793" i="5"/>
  <c r="K1793" i="5"/>
  <c r="I1793" i="5"/>
  <c r="G1793" i="5"/>
  <c r="F1793" i="5"/>
  <c r="E1793" i="5"/>
  <c r="Y1792" i="5"/>
  <c r="W1792" i="5"/>
  <c r="V1792" i="5"/>
  <c r="T1792" i="5"/>
  <c r="S1792" i="5"/>
  <c r="R1792" i="5"/>
  <c r="O1792" i="5"/>
  <c r="N1792" i="5"/>
  <c r="L1792" i="5"/>
  <c r="K1792" i="5"/>
  <c r="I1792" i="5"/>
  <c r="G1792" i="5"/>
  <c r="F1792" i="5"/>
  <c r="E1792" i="5"/>
  <c r="Y1791" i="5"/>
  <c r="W1791" i="5"/>
  <c r="V1791" i="5"/>
  <c r="T1791" i="5"/>
  <c r="S1791" i="5"/>
  <c r="R1791" i="5"/>
  <c r="O1791" i="5"/>
  <c r="N1791" i="5"/>
  <c r="L1791" i="5"/>
  <c r="K1791" i="5"/>
  <c r="I1791" i="5"/>
  <c r="G1791" i="5"/>
  <c r="F1791" i="5"/>
  <c r="E1791" i="5"/>
  <c r="Y1790" i="5"/>
  <c r="W1790" i="5"/>
  <c r="V1790" i="5"/>
  <c r="T1790" i="5"/>
  <c r="S1790" i="5"/>
  <c r="R1790" i="5"/>
  <c r="O1790" i="5"/>
  <c r="N1790" i="5"/>
  <c r="L1790" i="5"/>
  <c r="K1790" i="5"/>
  <c r="I1790" i="5"/>
  <c r="G1790" i="5"/>
  <c r="F1790" i="5"/>
  <c r="E1790" i="5"/>
  <c r="Y1789" i="5"/>
  <c r="W1789" i="5"/>
  <c r="V1789" i="5"/>
  <c r="T1789" i="5"/>
  <c r="S1789" i="5"/>
  <c r="R1789" i="5"/>
  <c r="O1789" i="5"/>
  <c r="N1789" i="5"/>
  <c r="L1789" i="5"/>
  <c r="K1789" i="5"/>
  <c r="I1789" i="5"/>
  <c r="G1789" i="5"/>
  <c r="F1789" i="5"/>
  <c r="E1789" i="5"/>
  <c r="Y1788" i="5"/>
  <c r="W1788" i="5"/>
  <c r="V1788" i="5"/>
  <c r="T1788" i="5"/>
  <c r="S1788" i="5"/>
  <c r="R1788" i="5"/>
  <c r="O1788" i="5"/>
  <c r="N1788" i="5"/>
  <c r="L1788" i="5"/>
  <c r="K1788" i="5"/>
  <c r="I1788" i="5"/>
  <c r="G1788" i="5"/>
  <c r="F1788" i="5"/>
  <c r="Y1787" i="5"/>
  <c r="W1787" i="5"/>
  <c r="V1787" i="5"/>
  <c r="T1787" i="5"/>
  <c r="S1787" i="5"/>
  <c r="R1787" i="5"/>
  <c r="O1787" i="5"/>
  <c r="N1787" i="5"/>
  <c r="L1787" i="5"/>
  <c r="K1787" i="5"/>
  <c r="I1787" i="5"/>
  <c r="G1787" i="5"/>
  <c r="F1787" i="5"/>
  <c r="X1786" i="5"/>
  <c r="Z1786" i="5" s="1"/>
  <c r="X1785" i="5"/>
  <c r="Z1785" i="5" s="1"/>
  <c r="P1784" i="5"/>
  <c r="H1784" i="5"/>
  <c r="E1784" i="5"/>
  <c r="X1783" i="5"/>
  <c r="Z1783" i="5" s="1"/>
  <c r="Y1782" i="5"/>
  <c r="W1782" i="5"/>
  <c r="V1782" i="5"/>
  <c r="T1782" i="5"/>
  <c r="S1782" i="5"/>
  <c r="R1782" i="5"/>
  <c r="O1782" i="5"/>
  <c r="N1782" i="5"/>
  <c r="L1782" i="5"/>
  <c r="K1782" i="5"/>
  <c r="I1782" i="5"/>
  <c r="G1782" i="5"/>
  <c r="F1782" i="5"/>
  <c r="E1782" i="5"/>
  <c r="Y1781" i="5"/>
  <c r="W1781" i="5"/>
  <c r="V1781" i="5"/>
  <c r="T1781" i="5"/>
  <c r="S1781" i="5"/>
  <c r="R1781" i="5"/>
  <c r="O1781" i="5"/>
  <c r="N1781" i="5"/>
  <c r="L1781" i="5"/>
  <c r="K1781" i="5"/>
  <c r="I1781" i="5"/>
  <c r="G1781" i="5"/>
  <c r="F1781" i="5"/>
  <c r="Y1780" i="5"/>
  <c r="W1780" i="5"/>
  <c r="V1780" i="5"/>
  <c r="T1780" i="5"/>
  <c r="S1780" i="5"/>
  <c r="R1780" i="5"/>
  <c r="O1780" i="5"/>
  <c r="N1780" i="5"/>
  <c r="L1780" i="5"/>
  <c r="K1780" i="5"/>
  <c r="I1780" i="5"/>
  <c r="G1780" i="5"/>
  <c r="F1780" i="5"/>
  <c r="E1780" i="5"/>
  <c r="Y1779" i="5"/>
  <c r="W1779" i="5"/>
  <c r="V1779" i="5"/>
  <c r="T1779" i="5"/>
  <c r="S1779" i="5"/>
  <c r="R1779" i="5"/>
  <c r="O1779" i="5"/>
  <c r="N1779" i="5"/>
  <c r="L1779" i="5"/>
  <c r="K1779" i="5"/>
  <c r="I1779" i="5"/>
  <c r="G1779" i="5"/>
  <c r="F1779" i="5"/>
  <c r="E1779" i="5"/>
  <c r="Y1778" i="5"/>
  <c r="W1778" i="5"/>
  <c r="V1778" i="5"/>
  <c r="T1778" i="5"/>
  <c r="S1778" i="5"/>
  <c r="R1778" i="5"/>
  <c r="O1778" i="5"/>
  <c r="N1778" i="5"/>
  <c r="L1778" i="5"/>
  <c r="K1778" i="5"/>
  <c r="I1778" i="5"/>
  <c r="G1778" i="5"/>
  <c r="F1778" i="5"/>
  <c r="E1778" i="5"/>
  <c r="Y1777" i="5"/>
  <c r="W1777" i="5"/>
  <c r="V1777" i="5"/>
  <c r="T1777" i="5"/>
  <c r="S1777" i="5"/>
  <c r="R1777" i="5"/>
  <c r="O1777" i="5"/>
  <c r="N1777" i="5"/>
  <c r="L1777" i="5"/>
  <c r="K1777" i="5"/>
  <c r="I1777" i="5"/>
  <c r="G1777" i="5"/>
  <c r="F1777" i="5"/>
  <c r="E1777" i="5"/>
  <c r="Y1776" i="5"/>
  <c r="W1776" i="5"/>
  <c r="V1776" i="5"/>
  <c r="T1776" i="5"/>
  <c r="S1776" i="5"/>
  <c r="R1776" i="5"/>
  <c r="O1776" i="5"/>
  <c r="N1776" i="5"/>
  <c r="L1776" i="5"/>
  <c r="K1776" i="5"/>
  <c r="I1776" i="5"/>
  <c r="G1776" i="5"/>
  <c r="E1776" i="5"/>
  <c r="Y1775" i="5"/>
  <c r="W1775" i="5"/>
  <c r="V1775" i="5"/>
  <c r="T1775" i="5"/>
  <c r="S1775" i="5"/>
  <c r="R1775" i="5"/>
  <c r="O1775" i="5"/>
  <c r="N1775" i="5"/>
  <c r="L1775" i="5"/>
  <c r="K1775" i="5"/>
  <c r="I1775" i="5"/>
  <c r="G1775" i="5"/>
  <c r="F1775" i="5"/>
  <c r="E1775" i="5"/>
  <c r="Y1774" i="5"/>
  <c r="W1774" i="5"/>
  <c r="V1774" i="5"/>
  <c r="T1774" i="5"/>
  <c r="S1774" i="5"/>
  <c r="R1774" i="5"/>
  <c r="O1774" i="5"/>
  <c r="N1774" i="5"/>
  <c r="L1774" i="5"/>
  <c r="K1774" i="5"/>
  <c r="I1774" i="5"/>
  <c r="G1774" i="5"/>
  <c r="Y1773" i="5"/>
  <c r="W1773" i="5"/>
  <c r="V1773" i="5"/>
  <c r="T1773" i="5"/>
  <c r="S1773" i="5"/>
  <c r="R1773" i="5"/>
  <c r="O1773" i="5"/>
  <c r="N1773" i="5"/>
  <c r="L1773" i="5"/>
  <c r="K1773" i="5"/>
  <c r="I1773" i="5"/>
  <c r="G1773" i="5"/>
  <c r="F1773" i="5"/>
  <c r="Y1772" i="5"/>
  <c r="W1772" i="5"/>
  <c r="V1772" i="5"/>
  <c r="T1772" i="5"/>
  <c r="S1772" i="5"/>
  <c r="R1772" i="5"/>
  <c r="O1772" i="5"/>
  <c r="N1772" i="5"/>
  <c r="L1772" i="5"/>
  <c r="K1772" i="5"/>
  <c r="I1772" i="5"/>
  <c r="G1772" i="5"/>
  <c r="F1772" i="5"/>
  <c r="E1772" i="5"/>
  <c r="Y1771" i="5"/>
  <c r="W1771" i="5"/>
  <c r="V1771" i="5"/>
  <c r="T1771" i="5"/>
  <c r="S1771" i="5"/>
  <c r="R1771" i="5"/>
  <c r="O1771" i="5"/>
  <c r="N1771" i="5"/>
  <c r="L1771" i="5"/>
  <c r="K1771" i="5"/>
  <c r="I1771" i="5"/>
  <c r="G1771" i="5"/>
  <c r="Y1770" i="5"/>
  <c r="W1770" i="5"/>
  <c r="V1770" i="5"/>
  <c r="T1770" i="5"/>
  <c r="S1770" i="5"/>
  <c r="R1770" i="5"/>
  <c r="O1770" i="5"/>
  <c r="N1770" i="5"/>
  <c r="L1770" i="5"/>
  <c r="I1770" i="5"/>
  <c r="G1770" i="5"/>
  <c r="F1770" i="5"/>
  <c r="X1769" i="5"/>
  <c r="Z1769" i="5" s="1"/>
  <c r="X1768" i="5"/>
  <c r="Z1768" i="5" s="1"/>
  <c r="P1767" i="5"/>
  <c r="H1767" i="5"/>
  <c r="E1767" i="5"/>
  <c r="X1766" i="5"/>
  <c r="Y1765" i="5"/>
  <c r="W1765" i="5"/>
  <c r="V1765" i="5"/>
  <c r="T1765" i="5"/>
  <c r="S1765" i="5"/>
  <c r="R1765" i="5"/>
  <c r="O1765" i="5"/>
  <c r="N1765" i="5"/>
  <c r="L1765" i="5"/>
  <c r="K1765" i="5"/>
  <c r="I1765" i="5"/>
  <c r="G1765" i="5"/>
  <c r="F1765" i="5"/>
  <c r="E1765" i="5"/>
  <c r="Y1764" i="5"/>
  <c r="W1764" i="5"/>
  <c r="V1764" i="5"/>
  <c r="T1764" i="5"/>
  <c r="S1764" i="5"/>
  <c r="R1764" i="5"/>
  <c r="O1764" i="5"/>
  <c r="N1764" i="5"/>
  <c r="L1764" i="5"/>
  <c r="K1764" i="5"/>
  <c r="I1764" i="5"/>
  <c r="G1764" i="5"/>
  <c r="F1764" i="5"/>
  <c r="E1764" i="5"/>
  <c r="Y1763" i="5"/>
  <c r="W1763" i="5"/>
  <c r="V1763" i="5"/>
  <c r="T1763" i="5"/>
  <c r="S1763" i="5"/>
  <c r="R1763" i="5"/>
  <c r="O1763" i="5"/>
  <c r="N1763" i="5"/>
  <c r="L1763" i="5"/>
  <c r="K1763" i="5"/>
  <c r="I1763" i="5"/>
  <c r="G1763" i="5"/>
  <c r="F1763" i="5"/>
  <c r="E1763" i="5"/>
  <c r="Y1762" i="5"/>
  <c r="W1762" i="5"/>
  <c r="V1762" i="5"/>
  <c r="T1762" i="5"/>
  <c r="S1762" i="5"/>
  <c r="R1762" i="5"/>
  <c r="O1762" i="5"/>
  <c r="N1762" i="5"/>
  <c r="L1762" i="5"/>
  <c r="K1762" i="5"/>
  <c r="I1762" i="5"/>
  <c r="G1762" i="5"/>
  <c r="F1762" i="5"/>
  <c r="E1762" i="5"/>
  <c r="Y1761" i="5"/>
  <c r="W1761" i="5"/>
  <c r="V1761" i="5"/>
  <c r="T1761" i="5"/>
  <c r="S1761" i="5"/>
  <c r="R1761" i="5"/>
  <c r="O1761" i="5"/>
  <c r="N1761" i="5"/>
  <c r="L1761" i="5"/>
  <c r="K1761" i="5"/>
  <c r="I1761" i="5"/>
  <c r="G1761" i="5"/>
  <c r="F1761" i="5"/>
  <c r="X1760" i="5"/>
  <c r="X1759" i="5"/>
  <c r="P1758" i="5"/>
  <c r="H1758" i="5"/>
  <c r="E1758" i="5"/>
  <c r="Y1756" i="5"/>
  <c r="W1756" i="5"/>
  <c r="V1756" i="5"/>
  <c r="T1756" i="5"/>
  <c r="S1756" i="5"/>
  <c r="R1756" i="5"/>
  <c r="O1756" i="5"/>
  <c r="N1756" i="5"/>
  <c r="L1756" i="5"/>
  <c r="K1756" i="5"/>
  <c r="I1756" i="5"/>
  <c r="G1756" i="5"/>
  <c r="F1756" i="5"/>
  <c r="E1756" i="5"/>
  <c r="Y1755" i="5"/>
  <c r="W1755" i="5"/>
  <c r="V1755" i="5"/>
  <c r="T1755" i="5"/>
  <c r="S1755" i="5"/>
  <c r="R1755" i="5"/>
  <c r="Q1755" i="5"/>
  <c r="P1755" i="5"/>
  <c r="O1755" i="5"/>
  <c r="N1755" i="5"/>
  <c r="L1755" i="5"/>
  <c r="K1755" i="5"/>
  <c r="I1755" i="5"/>
  <c r="G1755" i="5"/>
  <c r="F1755" i="5"/>
  <c r="E1755" i="5"/>
  <c r="Y1754" i="5"/>
  <c r="W1754" i="5"/>
  <c r="V1754" i="5"/>
  <c r="T1754" i="5"/>
  <c r="S1754" i="5"/>
  <c r="R1754" i="5"/>
  <c r="O1754" i="5"/>
  <c r="N1754" i="5"/>
  <c r="L1754" i="5"/>
  <c r="K1754" i="5"/>
  <c r="I1754" i="5"/>
  <c r="G1754" i="5"/>
  <c r="F1754" i="5"/>
  <c r="E1754" i="5"/>
  <c r="Y1753" i="5"/>
  <c r="W1753" i="5"/>
  <c r="V1753" i="5"/>
  <c r="T1753" i="5"/>
  <c r="S1753" i="5"/>
  <c r="R1753" i="5"/>
  <c r="O1753" i="5"/>
  <c r="N1753" i="5"/>
  <c r="L1753" i="5"/>
  <c r="K1753" i="5"/>
  <c r="I1753" i="5"/>
  <c r="G1753" i="5"/>
  <c r="F1753" i="5"/>
  <c r="E1753" i="5"/>
  <c r="Y1752" i="5"/>
  <c r="W1752" i="5"/>
  <c r="V1752" i="5"/>
  <c r="T1752" i="5"/>
  <c r="S1752" i="5"/>
  <c r="R1752" i="5"/>
  <c r="O1752" i="5"/>
  <c r="N1752" i="5"/>
  <c r="L1752" i="5"/>
  <c r="K1752" i="5"/>
  <c r="I1752" i="5"/>
  <c r="G1752" i="5"/>
  <c r="Y1751" i="5"/>
  <c r="W1751" i="5"/>
  <c r="V1751" i="5"/>
  <c r="T1751" i="5"/>
  <c r="S1751" i="5"/>
  <c r="R1751" i="5"/>
  <c r="O1751" i="5"/>
  <c r="N1751" i="5"/>
  <c r="L1751" i="5"/>
  <c r="K1751" i="5"/>
  <c r="I1751" i="5"/>
  <c r="G1751" i="5"/>
  <c r="Y1750" i="5"/>
  <c r="W1750" i="5"/>
  <c r="V1750" i="5"/>
  <c r="T1750" i="5"/>
  <c r="S1750" i="5"/>
  <c r="R1750" i="5"/>
  <c r="O1750" i="5"/>
  <c r="N1750" i="5"/>
  <c r="L1750" i="5"/>
  <c r="K1750" i="5"/>
  <c r="I1750" i="5"/>
  <c r="G1750" i="5"/>
  <c r="F1750" i="5"/>
  <c r="E1750" i="5"/>
  <c r="Y1749" i="5"/>
  <c r="W1749" i="5"/>
  <c r="V1749" i="5"/>
  <c r="T1749" i="5"/>
  <c r="S1749" i="5"/>
  <c r="R1749" i="5"/>
  <c r="O1749" i="5"/>
  <c r="N1749" i="5"/>
  <c r="L1749" i="5"/>
  <c r="K1749" i="5"/>
  <c r="I1749" i="5"/>
  <c r="G1749" i="5"/>
  <c r="F1749" i="5"/>
  <c r="E1749" i="5"/>
  <c r="Y1748" i="5"/>
  <c r="W1748" i="5"/>
  <c r="V1748" i="5"/>
  <c r="T1748" i="5"/>
  <c r="S1748" i="5"/>
  <c r="R1748" i="5"/>
  <c r="O1748" i="5"/>
  <c r="N1748" i="5"/>
  <c r="L1748" i="5"/>
  <c r="K1748" i="5"/>
  <c r="I1748" i="5"/>
  <c r="G1748" i="5"/>
  <c r="F1748" i="5"/>
  <c r="E1748" i="5"/>
  <c r="Y1747" i="5"/>
  <c r="W1747" i="5"/>
  <c r="V1747" i="5"/>
  <c r="T1747" i="5"/>
  <c r="S1747" i="5"/>
  <c r="R1747" i="5"/>
  <c r="O1747" i="5"/>
  <c r="N1747" i="5"/>
  <c r="L1747" i="5"/>
  <c r="K1747" i="5"/>
  <c r="I1747" i="5"/>
  <c r="G1747" i="5"/>
  <c r="F1747" i="5"/>
  <c r="Y1746" i="5"/>
  <c r="W1746" i="5"/>
  <c r="V1746" i="5"/>
  <c r="T1746" i="5"/>
  <c r="S1746" i="5"/>
  <c r="R1746" i="5"/>
  <c r="O1746" i="5"/>
  <c r="N1746" i="5"/>
  <c r="L1746" i="5"/>
  <c r="I1746" i="5"/>
  <c r="G1746" i="5"/>
  <c r="F1746" i="5"/>
  <c r="Y1745" i="5"/>
  <c r="W1745" i="5"/>
  <c r="W1758" i="5" s="1"/>
  <c r="V1745" i="5"/>
  <c r="T1745" i="5"/>
  <c r="T1758" i="5" s="1"/>
  <c r="S1745" i="5"/>
  <c r="R1745" i="5"/>
  <c r="O1745" i="5"/>
  <c r="O1758" i="5" s="1"/>
  <c r="N1745" i="5"/>
  <c r="L1745" i="5"/>
  <c r="L1758" i="5" s="1"/>
  <c r="K1745" i="5"/>
  <c r="I1745" i="5"/>
  <c r="G1745" i="5"/>
  <c r="G1758" i="5" s="1"/>
  <c r="F1745" i="5"/>
  <c r="P1737" i="5"/>
  <c r="H1737" i="5"/>
  <c r="E1737" i="5"/>
  <c r="X1736" i="5"/>
  <c r="Y1735" i="5"/>
  <c r="T1735" i="5"/>
  <c r="S1735" i="5"/>
  <c r="R1735" i="5"/>
  <c r="Q1735" i="5"/>
  <c r="O1735" i="5"/>
  <c r="N1735" i="5"/>
  <c r="L1735" i="5"/>
  <c r="K1735" i="5"/>
  <c r="J1735" i="5"/>
  <c r="I1735" i="5"/>
  <c r="G1735" i="5"/>
  <c r="F1735" i="5"/>
  <c r="Y1734" i="5"/>
  <c r="T1734" i="5"/>
  <c r="S1734" i="5"/>
  <c r="R1734" i="5"/>
  <c r="Q1734" i="5"/>
  <c r="O1734" i="5"/>
  <c r="N1734" i="5"/>
  <c r="L1734" i="5"/>
  <c r="K1734" i="5"/>
  <c r="J1734" i="5"/>
  <c r="I1734" i="5"/>
  <c r="G1734" i="5"/>
  <c r="F1734" i="5"/>
  <c r="E1734" i="5"/>
  <c r="Y1733" i="5"/>
  <c r="T1733" i="5"/>
  <c r="S1733" i="5"/>
  <c r="R1733" i="5"/>
  <c r="Q1733" i="5"/>
  <c r="O1733" i="5"/>
  <c r="N1733" i="5"/>
  <c r="L1733" i="5"/>
  <c r="K1733" i="5"/>
  <c r="J1733" i="5"/>
  <c r="I1733" i="5"/>
  <c r="G1733" i="5"/>
  <c r="F1733" i="5"/>
  <c r="E1733" i="5"/>
  <c r="Y1732" i="5"/>
  <c r="T1732" i="5"/>
  <c r="S1732" i="5"/>
  <c r="R1732" i="5"/>
  <c r="Q1732" i="5"/>
  <c r="O1732" i="5"/>
  <c r="N1732" i="5"/>
  <c r="L1732" i="5"/>
  <c r="K1732" i="5"/>
  <c r="J1732" i="5"/>
  <c r="I1732" i="5"/>
  <c r="G1732" i="5"/>
  <c r="F1732" i="5"/>
  <c r="E1732" i="5"/>
  <c r="Y1731" i="5"/>
  <c r="T1731" i="5"/>
  <c r="S1731" i="5"/>
  <c r="R1731" i="5"/>
  <c r="Q1731" i="5"/>
  <c r="O1731" i="5"/>
  <c r="N1731" i="5"/>
  <c r="L1731" i="5"/>
  <c r="K1731" i="5"/>
  <c r="J1731" i="5"/>
  <c r="I1731" i="5"/>
  <c r="G1731" i="5"/>
  <c r="F1731" i="5"/>
  <c r="E1731" i="5"/>
  <c r="Y1730" i="5"/>
  <c r="T1730" i="5"/>
  <c r="S1730" i="5"/>
  <c r="R1730" i="5"/>
  <c r="Q1730" i="5"/>
  <c r="O1730" i="5"/>
  <c r="N1730" i="5"/>
  <c r="L1730" i="5"/>
  <c r="K1730" i="5"/>
  <c r="J1730" i="5"/>
  <c r="I1730" i="5"/>
  <c r="G1730" i="5"/>
  <c r="F1730" i="5"/>
  <c r="E1730" i="5"/>
  <c r="Y1729" i="5"/>
  <c r="T1729" i="5"/>
  <c r="S1729" i="5"/>
  <c r="R1729" i="5"/>
  <c r="Q1729" i="5"/>
  <c r="O1729" i="5"/>
  <c r="N1729" i="5"/>
  <c r="L1729" i="5"/>
  <c r="K1729" i="5"/>
  <c r="J1729" i="5"/>
  <c r="I1729" i="5"/>
  <c r="G1729" i="5"/>
  <c r="F1729" i="5"/>
  <c r="E1729" i="5"/>
  <c r="Y1728" i="5"/>
  <c r="T1728" i="5"/>
  <c r="S1728" i="5"/>
  <c r="R1728" i="5"/>
  <c r="Q1728" i="5"/>
  <c r="O1728" i="5"/>
  <c r="N1728" i="5"/>
  <c r="L1728" i="5"/>
  <c r="K1728" i="5"/>
  <c r="J1728" i="5"/>
  <c r="I1728" i="5"/>
  <c r="G1728" i="5"/>
  <c r="F1728" i="5"/>
  <c r="E1728" i="5"/>
  <c r="Y1727" i="5"/>
  <c r="T1727" i="5"/>
  <c r="S1727" i="5"/>
  <c r="R1727" i="5"/>
  <c r="Q1727" i="5"/>
  <c r="O1727" i="5"/>
  <c r="N1727" i="5"/>
  <c r="L1727" i="5"/>
  <c r="K1727" i="5"/>
  <c r="J1727" i="5"/>
  <c r="I1727" i="5"/>
  <c r="G1727" i="5"/>
  <c r="F1727" i="5"/>
  <c r="E1727" i="5"/>
  <c r="Y1726" i="5"/>
  <c r="T1726" i="5"/>
  <c r="S1726" i="5"/>
  <c r="R1726" i="5"/>
  <c r="Q1726" i="5"/>
  <c r="O1726" i="5"/>
  <c r="N1726" i="5"/>
  <c r="L1726" i="5"/>
  <c r="K1726" i="5"/>
  <c r="J1726" i="5"/>
  <c r="I1726" i="5"/>
  <c r="G1726" i="5"/>
  <c r="F1726" i="5"/>
  <c r="E1726" i="5"/>
  <c r="Y1725" i="5"/>
  <c r="T1725" i="5"/>
  <c r="S1725" i="5"/>
  <c r="R1725" i="5"/>
  <c r="Q1725" i="5"/>
  <c r="O1725" i="5"/>
  <c r="N1725" i="5"/>
  <c r="L1725" i="5"/>
  <c r="K1725" i="5"/>
  <c r="J1725" i="5"/>
  <c r="I1725" i="5"/>
  <c r="G1725" i="5"/>
  <c r="F1725" i="5"/>
  <c r="E1725" i="5"/>
  <c r="Y1724" i="5"/>
  <c r="T1724" i="5"/>
  <c r="S1724" i="5"/>
  <c r="R1724" i="5"/>
  <c r="Q1724" i="5"/>
  <c r="O1724" i="5"/>
  <c r="N1724" i="5"/>
  <c r="L1724" i="5"/>
  <c r="K1724" i="5"/>
  <c r="J1724" i="5"/>
  <c r="I1724" i="5"/>
  <c r="G1724" i="5"/>
  <c r="F1724" i="5"/>
  <c r="E1724" i="5"/>
  <c r="Y1723" i="5"/>
  <c r="T1723" i="5"/>
  <c r="S1723" i="5"/>
  <c r="R1723" i="5"/>
  <c r="Q1723" i="5"/>
  <c r="O1723" i="5"/>
  <c r="N1723" i="5"/>
  <c r="L1723" i="5"/>
  <c r="K1723" i="5"/>
  <c r="J1723" i="5"/>
  <c r="I1723" i="5"/>
  <c r="G1723" i="5"/>
  <c r="F1723" i="5"/>
  <c r="E1723" i="5"/>
  <c r="X1722" i="5"/>
  <c r="X1721" i="5"/>
  <c r="P1720" i="5"/>
  <c r="H1720" i="5"/>
  <c r="E1720" i="5"/>
  <c r="X1719" i="5"/>
  <c r="Y1718" i="5"/>
  <c r="T1718" i="5"/>
  <c r="S1718" i="5"/>
  <c r="R1718" i="5"/>
  <c r="Q1718" i="5"/>
  <c r="O1718" i="5"/>
  <c r="N1718" i="5"/>
  <c r="L1718" i="5"/>
  <c r="K1718" i="5"/>
  <c r="J1718" i="5"/>
  <c r="I1718" i="5"/>
  <c r="G1718" i="5"/>
  <c r="F1718" i="5"/>
  <c r="E1718" i="5"/>
  <c r="Y1717" i="5"/>
  <c r="T1717" i="5"/>
  <c r="S1717" i="5"/>
  <c r="R1717" i="5"/>
  <c r="Q1717" i="5"/>
  <c r="O1717" i="5"/>
  <c r="N1717" i="5"/>
  <c r="L1717" i="5"/>
  <c r="K1717" i="5"/>
  <c r="J1717" i="5"/>
  <c r="I1717" i="5"/>
  <c r="G1717" i="5"/>
  <c r="F1717" i="5"/>
  <c r="E1717" i="5"/>
  <c r="Y1716" i="5"/>
  <c r="T1716" i="5"/>
  <c r="S1716" i="5"/>
  <c r="R1716" i="5"/>
  <c r="Q1716" i="5"/>
  <c r="O1716" i="5"/>
  <c r="N1716" i="5"/>
  <c r="L1716" i="5"/>
  <c r="K1716" i="5"/>
  <c r="J1716" i="5"/>
  <c r="I1716" i="5"/>
  <c r="G1716" i="5"/>
  <c r="F1716" i="5"/>
  <c r="E1716" i="5"/>
  <c r="Y1715" i="5"/>
  <c r="T1715" i="5"/>
  <c r="S1715" i="5"/>
  <c r="R1715" i="5"/>
  <c r="Q1715" i="5"/>
  <c r="O1715" i="5"/>
  <c r="N1715" i="5"/>
  <c r="L1715" i="5"/>
  <c r="K1715" i="5"/>
  <c r="J1715" i="5"/>
  <c r="I1715" i="5"/>
  <c r="G1715" i="5"/>
  <c r="F1715" i="5"/>
  <c r="E1715" i="5"/>
  <c r="Y1714" i="5"/>
  <c r="T1714" i="5"/>
  <c r="S1714" i="5"/>
  <c r="R1714" i="5"/>
  <c r="Q1714" i="5"/>
  <c r="O1714" i="5"/>
  <c r="N1714" i="5"/>
  <c r="L1714" i="5"/>
  <c r="K1714" i="5"/>
  <c r="J1714" i="5"/>
  <c r="I1714" i="5"/>
  <c r="G1714" i="5"/>
  <c r="F1714" i="5"/>
  <c r="E1714" i="5"/>
  <c r="Y1713" i="5"/>
  <c r="T1713" i="5"/>
  <c r="S1713" i="5"/>
  <c r="R1713" i="5"/>
  <c r="Q1713" i="5"/>
  <c r="O1713" i="5"/>
  <c r="N1713" i="5"/>
  <c r="L1713" i="5"/>
  <c r="K1713" i="5"/>
  <c r="J1713" i="5"/>
  <c r="I1713" i="5"/>
  <c r="G1713" i="5"/>
  <c r="F1713" i="5"/>
  <c r="E1713" i="5"/>
  <c r="Y1712" i="5"/>
  <c r="T1712" i="5"/>
  <c r="S1712" i="5"/>
  <c r="R1712" i="5"/>
  <c r="Q1712" i="5"/>
  <c r="O1712" i="5"/>
  <c r="N1712" i="5"/>
  <c r="L1712" i="5"/>
  <c r="K1712" i="5"/>
  <c r="J1712" i="5"/>
  <c r="I1712" i="5"/>
  <c r="G1712" i="5"/>
  <c r="F1712" i="5"/>
  <c r="E1712" i="5"/>
  <c r="X1711" i="5"/>
  <c r="X1710" i="5"/>
  <c r="P1709" i="5"/>
  <c r="H1709" i="5"/>
  <c r="E1709" i="5"/>
  <c r="X1708" i="5"/>
  <c r="Y1707" i="5"/>
  <c r="T1707" i="5"/>
  <c r="S1707" i="5"/>
  <c r="R1707" i="5"/>
  <c r="Q1707" i="5"/>
  <c r="O1707" i="5"/>
  <c r="N1707" i="5"/>
  <c r="L1707" i="5"/>
  <c r="K1707" i="5"/>
  <c r="J1707" i="5"/>
  <c r="I1707" i="5"/>
  <c r="G1707" i="5"/>
  <c r="F1707" i="5"/>
  <c r="E1707" i="5"/>
  <c r="Y1706" i="5"/>
  <c r="T1706" i="5"/>
  <c r="S1706" i="5"/>
  <c r="R1706" i="5"/>
  <c r="Q1706" i="5"/>
  <c r="O1706" i="5"/>
  <c r="N1706" i="5"/>
  <c r="L1706" i="5"/>
  <c r="K1706" i="5"/>
  <c r="J1706" i="5"/>
  <c r="I1706" i="5"/>
  <c r="G1706" i="5"/>
  <c r="F1706" i="5"/>
  <c r="E1706" i="5"/>
  <c r="Y1705" i="5"/>
  <c r="T1705" i="5"/>
  <c r="S1705" i="5"/>
  <c r="R1705" i="5"/>
  <c r="Q1705" i="5"/>
  <c r="O1705" i="5"/>
  <c r="N1705" i="5"/>
  <c r="L1705" i="5"/>
  <c r="K1705" i="5"/>
  <c r="J1705" i="5"/>
  <c r="I1705" i="5"/>
  <c r="G1705" i="5"/>
  <c r="F1705" i="5"/>
  <c r="E1705" i="5"/>
  <c r="Y1704" i="5"/>
  <c r="T1704" i="5"/>
  <c r="S1704" i="5"/>
  <c r="R1704" i="5"/>
  <c r="Q1704" i="5"/>
  <c r="O1704" i="5"/>
  <c r="N1704" i="5"/>
  <c r="L1704" i="5"/>
  <c r="K1704" i="5"/>
  <c r="J1704" i="5"/>
  <c r="I1704" i="5"/>
  <c r="G1704" i="5"/>
  <c r="F1704" i="5"/>
  <c r="E1704" i="5"/>
  <c r="Y1703" i="5"/>
  <c r="T1703" i="5"/>
  <c r="S1703" i="5"/>
  <c r="R1703" i="5"/>
  <c r="Q1703" i="5"/>
  <c r="O1703" i="5"/>
  <c r="N1703" i="5"/>
  <c r="L1703" i="5"/>
  <c r="K1703" i="5"/>
  <c r="J1703" i="5"/>
  <c r="I1703" i="5"/>
  <c r="G1703" i="5"/>
  <c r="F1703" i="5"/>
  <c r="E1703" i="5"/>
  <c r="Y1702" i="5"/>
  <c r="T1702" i="5"/>
  <c r="S1702" i="5"/>
  <c r="R1702" i="5"/>
  <c r="Q1702" i="5"/>
  <c r="O1702" i="5"/>
  <c r="N1702" i="5"/>
  <c r="L1702" i="5"/>
  <c r="K1702" i="5"/>
  <c r="J1702" i="5"/>
  <c r="I1702" i="5"/>
  <c r="G1702" i="5"/>
  <c r="F1702" i="5"/>
  <c r="E1702" i="5"/>
  <c r="Y1701" i="5"/>
  <c r="T1701" i="5"/>
  <c r="S1701" i="5"/>
  <c r="R1701" i="5"/>
  <c r="Q1701" i="5"/>
  <c r="O1701" i="5"/>
  <c r="N1701" i="5"/>
  <c r="L1701" i="5"/>
  <c r="K1701" i="5"/>
  <c r="J1701" i="5"/>
  <c r="I1701" i="5"/>
  <c r="G1701" i="5"/>
  <c r="F1701" i="5"/>
  <c r="E1701" i="5"/>
  <c r="Y1700" i="5"/>
  <c r="T1700" i="5"/>
  <c r="S1700" i="5"/>
  <c r="R1700" i="5"/>
  <c r="Q1700" i="5"/>
  <c r="O1700" i="5"/>
  <c r="N1700" i="5"/>
  <c r="L1700" i="5"/>
  <c r="K1700" i="5"/>
  <c r="J1700" i="5"/>
  <c r="I1700" i="5"/>
  <c r="G1700" i="5"/>
  <c r="F1700" i="5"/>
  <c r="E1700" i="5"/>
  <c r="X1699" i="5"/>
  <c r="X1698" i="5"/>
  <c r="P1697" i="5"/>
  <c r="H1697" i="5"/>
  <c r="E1697" i="5"/>
  <c r="X1696" i="5"/>
  <c r="Y1695" i="5"/>
  <c r="T1695" i="5"/>
  <c r="S1695" i="5"/>
  <c r="R1695" i="5"/>
  <c r="Q1695" i="5"/>
  <c r="O1695" i="5"/>
  <c r="N1695" i="5"/>
  <c r="L1695" i="5"/>
  <c r="K1695" i="5"/>
  <c r="J1695" i="5"/>
  <c r="I1695" i="5"/>
  <c r="G1695" i="5"/>
  <c r="F1695" i="5"/>
  <c r="Y1694" i="5"/>
  <c r="T1694" i="5"/>
  <c r="S1694" i="5"/>
  <c r="R1694" i="5"/>
  <c r="Q1694" i="5"/>
  <c r="O1694" i="5"/>
  <c r="N1694" i="5"/>
  <c r="L1694" i="5"/>
  <c r="K1694" i="5"/>
  <c r="J1694" i="5"/>
  <c r="I1694" i="5"/>
  <c r="G1694" i="5"/>
  <c r="F1694" i="5"/>
  <c r="E1694" i="5"/>
  <c r="Y1693" i="5"/>
  <c r="T1693" i="5"/>
  <c r="S1693" i="5"/>
  <c r="R1693" i="5"/>
  <c r="Q1693" i="5"/>
  <c r="O1693" i="5"/>
  <c r="N1693" i="5"/>
  <c r="L1693" i="5"/>
  <c r="K1693" i="5"/>
  <c r="J1693" i="5"/>
  <c r="I1693" i="5"/>
  <c r="G1693" i="5"/>
  <c r="F1693" i="5"/>
  <c r="E1693" i="5"/>
  <c r="Y1692" i="5"/>
  <c r="T1692" i="5"/>
  <c r="S1692" i="5"/>
  <c r="R1692" i="5"/>
  <c r="Q1692" i="5"/>
  <c r="O1692" i="5"/>
  <c r="N1692" i="5"/>
  <c r="L1692" i="5"/>
  <c r="K1692" i="5"/>
  <c r="J1692" i="5"/>
  <c r="I1692" i="5"/>
  <c r="G1692" i="5"/>
  <c r="F1692" i="5"/>
  <c r="E1692" i="5"/>
  <c r="Y1691" i="5"/>
  <c r="T1691" i="5"/>
  <c r="S1691" i="5"/>
  <c r="R1691" i="5"/>
  <c r="Q1691" i="5"/>
  <c r="O1691" i="5"/>
  <c r="N1691" i="5"/>
  <c r="L1691" i="5"/>
  <c r="K1691" i="5"/>
  <c r="J1691" i="5"/>
  <c r="I1691" i="5"/>
  <c r="G1691" i="5"/>
  <c r="F1691" i="5"/>
  <c r="E1691" i="5"/>
  <c r="Y1690" i="5"/>
  <c r="T1690" i="5"/>
  <c r="S1690" i="5"/>
  <c r="R1690" i="5"/>
  <c r="Q1690" i="5"/>
  <c r="O1690" i="5"/>
  <c r="N1690" i="5"/>
  <c r="L1690" i="5"/>
  <c r="K1690" i="5"/>
  <c r="J1690" i="5"/>
  <c r="I1690" i="5"/>
  <c r="G1690" i="5"/>
  <c r="F1690" i="5"/>
  <c r="E1690" i="5"/>
  <c r="Y1689" i="5"/>
  <c r="T1689" i="5"/>
  <c r="S1689" i="5"/>
  <c r="R1689" i="5"/>
  <c r="Q1689" i="5"/>
  <c r="O1689" i="5"/>
  <c r="N1689" i="5"/>
  <c r="L1689" i="5"/>
  <c r="K1689" i="5"/>
  <c r="J1689" i="5"/>
  <c r="I1689" i="5"/>
  <c r="G1689" i="5"/>
  <c r="F1689" i="5"/>
  <c r="E1689" i="5"/>
  <c r="Y1688" i="5"/>
  <c r="T1688" i="5"/>
  <c r="S1688" i="5"/>
  <c r="R1688" i="5"/>
  <c r="Q1688" i="5"/>
  <c r="O1688" i="5"/>
  <c r="N1688" i="5"/>
  <c r="L1688" i="5"/>
  <c r="K1688" i="5"/>
  <c r="J1688" i="5"/>
  <c r="I1688" i="5"/>
  <c r="G1688" i="5"/>
  <c r="F1688" i="5"/>
  <c r="E1688" i="5"/>
  <c r="Y1687" i="5"/>
  <c r="T1687" i="5"/>
  <c r="S1687" i="5"/>
  <c r="R1687" i="5"/>
  <c r="Q1687" i="5"/>
  <c r="O1687" i="5"/>
  <c r="N1687" i="5"/>
  <c r="L1687" i="5"/>
  <c r="K1687" i="5"/>
  <c r="J1687" i="5"/>
  <c r="I1687" i="5"/>
  <c r="G1687" i="5"/>
  <c r="F1687" i="5"/>
  <c r="E1687" i="5"/>
  <c r="Y1686" i="5"/>
  <c r="T1686" i="5"/>
  <c r="S1686" i="5"/>
  <c r="R1686" i="5"/>
  <c r="Q1686" i="5"/>
  <c r="O1686" i="5"/>
  <c r="N1686" i="5"/>
  <c r="L1686" i="5"/>
  <c r="K1686" i="5"/>
  <c r="J1686" i="5"/>
  <c r="I1686" i="5"/>
  <c r="G1686" i="5"/>
  <c r="F1686" i="5"/>
  <c r="E1686" i="5"/>
  <c r="Y1685" i="5"/>
  <c r="T1685" i="5"/>
  <c r="S1685" i="5"/>
  <c r="R1685" i="5"/>
  <c r="Q1685" i="5"/>
  <c r="O1685" i="5"/>
  <c r="N1685" i="5"/>
  <c r="L1685" i="5"/>
  <c r="K1685" i="5"/>
  <c r="J1685" i="5"/>
  <c r="I1685" i="5"/>
  <c r="G1685" i="5"/>
  <c r="F1685" i="5"/>
  <c r="E1685" i="5"/>
  <c r="Y1684" i="5"/>
  <c r="T1684" i="5"/>
  <c r="S1684" i="5"/>
  <c r="R1684" i="5"/>
  <c r="Q1684" i="5"/>
  <c r="O1684" i="5"/>
  <c r="N1684" i="5"/>
  <c r="L1684" i="5"/>
  <c r="K1684" i="5"/>
  <c r="J1684" i="5"/>
  <c r="I1684" i="5"/>
  <c r="G1684" i="5"/>
  <c r="F1684" i="5"/>
  <c r="E1684" i="5"/>
  <c r="Y1683" i="5"/>
  <c r="T1683" i="5"/>
  <c r="S1683" i="5"/>
  <c r="R1683" i="5"/>
  <c r="Q1683" i="5"/>
  <c r="O1683" i="5"/>
  <c r="N1683" i="5"/>
  <c r="L1683" i="5"/>
  <c r="K1683" i="5"/>
  <c r="J1683" i="5"/>
  <c r="I1683" i="5"/>
  <c r="G1683" i="5"/>
  <c r="F1683" i="5"/>
  <c r="E1683" i="5"/>
  <c r="Y1682" i="5"/>
  <c r="T1682" i="5"/>
  <c r="S1682" i="5"/>
  <c r="R1682" i="5"/>
  <c r="Q1682" i="5"/>
  <c r="O1682" i="5"/>
  <c r="N1682" i="5"/>
  <c r="L1682" i="5"/>
  <c r="K1682" i="5"/>
  <c r="J1682" i="5"/>
  <c r="I1682" i="5"/>
  <c r="G1682" i="5"/>
  <c r="F1682" i="5"/>
  <c r="E1682" i="5"/>
  <c r="Y1681" i="5"/>
  <c r="T1681" i="5"/>
  <c r="S1681" i="5"/>
  <c r="R1681" i="5"/>
  <c r="Q1681" i="5"/>
  <c r="O1681" i="5"/>
  <c r="N1681" i="5"/>
  <c r="L1681" i="5"/>
  <c r="K1681" i="5"/>
  <c r="J1681" i="5"/>
  <c r="I1681" i="5"/>
  <c r="G1681" i="5"/>
  <c r="F1681" i="5"/>
  <c r="E1681" i="5"/>
  <c r="X1680" i="5"/>
  <c r="X1679" i="5"/>
  <c r="P1678" i="5"/>
  <c r="H1678" i="5"/>
  <c r="E1678" i="5"/>
  <c r="X1677" i="5"/>
  <c r="Y1676" i="5"/>
  <c r="T1676" i="5"/>
  <c r="S1676" i="5"/>
  <c r="R1676" i="5"/>
  <c r="Q1676" i="5"/>
  <c r="O1676" i="5"/>
  <c r="N1676" i="5"/>
  <c r="L1676" i="5"/>
  <c r="K1676" i="5"/>
  <c r="J1676" i="5"/>
  <c r="I1676" i="5"/>
  <c r="G1676" i="5"/>
  <c r="F1676" i="5"/>
  <c r="E1676" i="5"/>
  <c r="Y1675" i="5"/>
  <c r="T1675" i="5"/>
  <c r="S1675" i="5"/>
  <c r="R1675" i="5"/>
  <c r="Q1675" i="5"/>
  <c r="O1675" i="5"/>
  <c r="N1675" i="5"/>
  <c r="L1675" i="5"/>
  <c r="K1675" i="5"/>
  <c r="J1675" i="5"/>
  <c r="I1675" i="5"/>
  <c r="G1675" i="5"/>
  <c r="F1675" i="5"/>
  <c r="E1675" i="5"/>
  <c r="Y1674" i="5"/>
  <c r="T1674" i="5"/>
  <c r="S1674" i="5"/>
  <c r="R1674" i="5"/>
  <c r="Q1674" i="5"/>
  <c r="O1674" i="5"/>
  <c r="N1674" i="5"/>
  <c r="L1674" i="5"/>
  <c r="K1674" i="5"/>
  <c r="J1674" i="5"/>
  <c r="I1674" i="5"/>
  <c r="G1674" i="5"/>
  <c r="F1674" i="5"/>
  <c r="Y1673" i="5"/>
  <c r="W1673" i="5"/>
  <c r="T1673" i="5"/>
  <c r="S1673" i="5"/>
  <c r="R1673" i="5"/>
  <c r="Q1673" i="5"/>
  <c r="O1673" i="5"/>
  <c r="L1673" i="5"/>
  <c r="K1673" i="5"/>
  <c r="J1673" i="5"/>
  <c r="I1673" i="5"/>
  <c r="G1673" i="5"/>
  <c r="F1673" i="5"/>
  <c r="E1673" i="5"/>
  <c r="Y1672" i="5"/>
  <c r="T1672" i="5"/>
  <c r="S1672" i="5"/>
  <c r="R1672" i="5"/>
  <c r="Q1672" i="5"/>
  <c r="O1672" i="5"/>
  <c r="N1672" i="5"/>
  <c r="L1672" i="5"/>
  <c r="K1672" i="5"/>
  <c r="J1672" i="5"/>
  <c r="I1672" i="5"/>
  <c r="G1672" i="5"/>
  <c r="Y1671" i="5"/>
  <c r="T1671" i="5"/>
  <c r="S1671" i="5"/>
  <c r="R1671" i="5"/>
  <c r="Q1671" i="5"/>
  <c r="O1671" i="5"/>
  <c r="N1671" i="5"/>
  <c r="L1671" i="5"/>
  <c r="K1671" i="5"/>
  <c r="J1671" i="5"/>
  <c r="I1671" i="5"/>
  <c r="G1671" i="5"/>
  <c r="F1671" i="5"/>
  <c r="E1671" i="5"/>
  <c r="Y1670" i="5"/>
  <c r="T1670" i="5"/>
  <c r="S1670" i="5"/>
  <c r="R1670" i="5"/>
  <c r="Q1670" i="5"/>
  <c r="O1670" i="5"/>
  <c r="N1670" i="5"/>
  <c r="L1670" i="5"/>
  <c r="K1670" i="5"/>
  <c r="J1670" i="5"/>
  <c r="I1670" i="5"/>
  <c r="G1670" i="5"/>
  <c r="F1670" i="5"/>
  <c r="E1670" i="5"/>
  <c r="Y1669" i="5"/>
  <c r="T1669" i="5"/>
  <c r="S1669" i="5"/>
  <c r="R1669" i="5"/>
  <c r="Q1669" i="5"/>
  <c r="O1669" i="5"/>
  <c r="N1669" i="5"/>
  <c r="L1669" i="5"/>
  <c r="K1669" i="5"/>
  <c r="J1669" i="5"/>
  <c r="I1669" i="5"/>
  <c r="G1669" i="5"/>
  <c r="F1669" i="5"/>
  <c r="E1669" i="5"/>
  <c r="Y1668" i="5"/>
  <c r="T1668" i="5"/>
  <c r="S1668" i="5"/>
  <c r="R1668" i="5"/>
  <c r="Q1668" i="5"/>
  <c r="O1668" i="5"/>
  <c r="N1668" i="5"/>
  <c r="L1668" i="5"/>
  <c r="K1668" i="5"/>
  <c r="J1668" i="5"/>
  <c r="I1668" i="5"/>
  <c r="G1668" i="5"/>
  <c r="F1668" i="5"/>
  <c r="E1668" i="5"/>
  <c r="Y1667" i="5"/>
  <c r="T1667" i="5"/>
  <c r="S1667" i="5"/>
  <c r="R1667" i="5"/>
  <c r="Q1667" i="5"/>
  <c r="O1667" i="5"/>
  <c r="N1667" i="5"/>
  <c r="L1667" i="5"/>
  <c r="K1667" i="5"/>
  <c r="J1667" i="5"/>
  <c r="I1667" i="5"/>
  <c r="G1667" i="5"/>
  <c r="F1667" i="5"/>
  <c r="E1667" i="5"/>
  <c r="Y1666" i="5"/>
  <c r="T1666" i="5"/>
  <c r="S1666" i="5"/>
  <c r="R1666" i="5"/>
  <c r="Q1666" i="5"/>
  <c r="O1666" i="5"/>
  <c r="N1666" i="5"/>
  <c r="L1666" i="5"/>
  <c r="K1666" i="5"/>
  <c r="J1666" i="5"/>
  <c r="I1666" i="5"/>
  <c r="G1666" i="5"/>
  <c r="F1666" i="5"/>
  <c r="E1666" i="5"/>
  <c r="Y1665" i="5"/>
  <c r="T1665" i="5"/>
  <c r="S1665" i="5"/>
  <c r="R1665" i="5"/>
  <c r="Q1665" i="5"/>
  <c r="O1665" i="5"/>
  <c r="N1665" i="5"/>
  <c r="L1665" i="5"/>
  <c r="K1665" i="5"/>
  <c r="J1665" i="5"/>
  <c r="I1665" i="5"/>
  <c r="G1665" i="5"/>
  <c r="F1665" i="5"/>
  <c r="E1665" i="5"/>
  <c r="Y1664" i="5"/>
  <c r="T1664" i="5"/>
  <c r="S1664" i="5"/>
  <c r="R1664" i="5"/>
  <c r="Q1664" i="5"/>
  <c r="O1664" i="5"/>
  <c r="N1664" i="5"/>
  <c r="L1664" i="5"/>
  <c r="K1664" i="5"/>
  <c r="J1664" i="5"/>
  <c r="I1664" i="5"/>
  <c r="G1664" i="5"/>
  <c r="F1664" i="5"/>
  <c r="E1664" i="5"/>
  <c r="Y1663" i="5"/>
  <c r="T1663" i="5"/>
  <c r="S1663" i="5"/>
  <c r="R1663" i="5"/>
  <c r="Q1663" i="5"/>
  <c r="O1663" i="5"/>
  <c r="N1663" i="5"/>
  <c r="L1663" i="5"/>
  <c r="K1663" i="5"/>
  <c r="J1663" i="5"/>
  <c r="I1663" i="5"/>
  <c r="G1663" i="5"/>
  <c r="F1663" i="5"/>
  <c r="E1663" i="5"/>
  <c r="Y1662" i="5"/>
  <c r="T1662" i="5"/>
  <c r="S1662" i="5"/>
  <c r="R1662" i="5"/>
  <c r="Q1662" i="5"/>
  <c r="O1662" i="5"/>
  <c r="N1662" i="5"/>
  <c r="L1662" i="5"/>
  <c r="K1662" i="5"/>
  <c r="J1662" i="5"/>
  <c r="I1662" i="5"/>
  <c r="G1662" i="5"/>
  <c r="F1662" i="5"/>
  <c r="E1662" i="5"/>
  <c r="X1661" i="5"/>
  <c r="X1660" i="5"/>
  <c r="P1659" i="5"/>
  <c r="H1659" i="5"/>
  <c r="E1659" i="5"/>
  <c r="X1658" i="5"/>
  <c r="Y1657" i="5"/>
  <c r="T1657" i="5"/>
  <c r="S1657" i="5"/>
  <c r="R1657" i="5"/>
  <c r="Q1657" i="5"/>
  <c r="O1657" i="5"/>
  <c r="N1657" i="5"/>
  <c r="L1657" i="5"/>
  <c r="K1657" i="5"/>
  <c r="J1657" i="5"/>
  <c r="I1657" i="5"/>
  <c r="G1657" i="5"/>
  <c r="Y1656" i="5"/>
  <c r="T1656" i="5"/>
  <c r="S1656" i="5"/>
  <c r="R1656" i="5"/>
  <c r="Q1656" i="5"/>
  <c r="O1656" i="5"/>
  <c r="N1656" i="5"/>
  <c r="L1656" i="5"/>
  <c r="K1656" i="5"/>
  <c r="J1656" i="5"/>
  <c r="I1656" i="5"/>
  <c r="G1656" i="5"/>
  <c r="F1656" i="5"/>
  <c r="E1656" i="5"/>
  <c r="Y1655" i="5"/>
  <c r="T1655" i="5"/>
  <c r="S1655" i="5"/>
  <c r="R1655" i="5"/>
  <c r="Q1655" i="5"/>
  <c r="O1655" i="5"/>
  <c r="N1655" i="5"/>
  <c r="L1655" i="5"/>
  <c r="K1655" i="5"/>
  <c r="J1655" i="5"/>
  <c r="I1655" i="5"/>
  <c r="G1655" i="5"/>
  <c r="F1655" i="5"/>
  <c r="E1655" i="5"/>
  <c r="Y1654" i="5"/>
  <c r="T1654" i="5"/>
  <c r="S1654" i="5"/>
  <c r="R1654" i="5"/>
  <c r="Q1654" i="5"/>
  <c r="O1654" i="5"/>
  <c r="N1654" i="5"/>
  <c r="L1654" i="5"/>
  <c r="K1654" i="5"/>
  <c r="J1654" i="5"/>
  <c r="I1654" i="5"/>
  <c r="G1654" i="5"/>
  <c r="F1654" i="5"/>
  <c r="E1654" i="5"/>
  <c r="Y1653" i="5"/>
  <c r="T1653" i="5"/>
  <c r="S1653" i="5"/>
  <c r="R1653" i="5"/>
  <c r="Q1653" i="5"/>
  <c r="O1653" i="5"/>
  <c r="N1653" i="5"/>
  <c r="L1653" i="5"/>
  <c r="K1653" i="5"/>
  <c r="J1653" i="5"/>
  <c r="I1653" i="5"/>
  <c r="G1653" i="5"/>
  <c r="F1653" i="5"/>
  <c r="E1653" i="5"/>
  <c r="Y1652" i="5"/>
  <c r="T1652" i="5"/>
  <c r="S1652" i="5"/>
  <c r="R1652" i="5"/>
  <c r="Q1652" i="5"/>
  <c r="O1652" i="5"/>
  <c r="N1652" i="5"/>
  <c r="L1652" i="5"/>
  <c r="K1652" i="5"/>
  <c r="J1652" i="5"/>
  <c r="I1652" i="5"/>
  <c r="G1652" i="5"/>
  <c r="F1652" i="5"/>
  <c r="E1652" i="5"/>
  <c r="Y1651" i="5"/>
  <c r="T1651" i="5"/>
  <c r="S1651" i="5"/>
  <c r="R1651" i="5"/>
  <c r="Q1651" i="5"/>
  <c r="O1651" i="5"/>
  <c r="N1651" i="5"/>
  <c r="L1651" i="5"/>
  <c r="K1651" i="5"/>
  <c r="J1651" i="5"/>
  <c r="I1651" i="5"/>
  <c r="G1651" i="5"/>
  <c r="F1651" i="5"/>
  <c r="E1651" i="5"/>
  <c r="Y1650" i="5"/>
  <c r="T1650" i="5"/>
  <c r="S1650" i="5"/>
  <c r="R1650" i="5"/>
  <c r="Q1650" i="5"/>
  <c r="O1650" i="5"/>
  <c r="N1650" i="5"/>
  <c r="L1650" i="5"/>
  <c r="K1650" i="5"/>
  <c r="J1650" i="5"/>
  <c r="I1650" i="5"/>
  <c r="G1650" i="5"/>
  <c r="F1650" i="5"/>
  <c r="E1650" i="5"/>
  <c r="Y1649" i="5"/>
  <c r="T1649" i="5"/>
  <c r="S1649" i="5"/>
  <c r="R1649" i="5"/>
  <c r="Q1649" i="5"/>
  <c r="O1649" i="5"/>
  <c r="N1649" i="5"/>
  <c r="L1649" i="5"/>
  <c r="K1649" i="5"/>
  <c r="J1649" i="5"/>
  <c r="I1649" i="5"/>
  <c r="G1649" i="5"/>
  <c r="F1649" i="5"/>
  <c r="E1649" i="5"/>
  <c r="AB1648" i="5"/>
  <c r="AA1648" i="5"/>
  <c r="Z1648" i="5"/>
  <c r="Y1648" i="5"/>
  <c r="W1648" i="5"/>
  <c r="V1648" i="5"/>
  <c r="U1648" i="5"/>
  <c r="T1648" i="5"/>
  <c r="S1648" i="5"/>
  <c r="R1648" i="5"/>
  <c r="Q1648" i="5"/>
  <c r="P1648" i="5"/>
  <c r="O1648" i="5"/>
  <c r="N1648" i="5"/>
  <c r="M1648" i="5"/>
  <c r="L1648" i="5"/>
  <c r="K1648" i="5"/>
  <c r="J1648" i="5"/>
  <c r="I1648" i="5"/>
  <c r="H1648" i="5"/>
  <c r="X1648" i="5" s="1"/>
  <c r="G1648" i="5"/>
  <c r="F1648" i="5"/>
  <c r="E1648" i="5"/>
  <c r="Y1647" i="5"/>
  <c r="T1647" i="5"/>
  <c r="S1647" i="5"/>
  <c r="R1647" i="5"/>
  <c r="Q1647" i="5"/>
  <c r="O1647" i="5"/>
  <c r="N1647" i="5"/>
  <c r="L1647" i="5"/>
  <c r="K1647" i="5"/>
  <c r="J1647" i="5"/>
  <c r="I1647" i="5"/>
  <c r="G1647" i="5"/>
  <c r="F1647" i="5"/>
  <c r="E1647" i="5"/>
  <c r="Y1646" i="5"/>
  <c r="T1646" i="5"/>
  <c r="S1646" i="5"/>
  <c r="R1646" i="5"/>
  <c r="Q1646" i="5"/>
  <c r="O1646" i="5"/>
  <c r="N1646" i="5"/>
  <c r="L1646" i="5"/>
  <c r="K1646" i="5"/>
  <c r="J1646" i="5"/>
  <c r="I1646" i="5"/>
  <c r="G1646" i="5"/>
  <c r="F1646" i="5"/>
  <c r="E1646" i="5"/>
  <c r="Y1645" i="5"/>
  <c r="T1645" i="5"/>
  <c r="S1645" i="5"/>
  <c r="R1645" i="5"/>
  <c r="Q1645" i="5"/>
  <c r="O1645" i="5"/>
  <c r="N1645" i="5"/>
  <c r="L1645" i="5"/>
  <c r="K1645" i="5"/>
  <c r="J1645" i="5"/>
  <c r="I1645" i="5"/>
  <c r="G1645" i="5"/>
  <c r="F1645" i="5"/>
  <c r="E1645" i="5"/>
  <c r="Y1644" i="5"/>
  <c r="T1644" i="5"/>
  <c r="S1644" i="5"/>
  <c r="R1644" i="5"/>
  <c r="Q1644" i="5"/>
  <c r="O1644" i="5"/>
  <c r="N1644" i="5"/>
  <c r="L1644" i="5"/>
  <c r="K1644" i="5"/>
  <c r="J1644" i="5"/>
  <c r="I1644" i="5"/>
  <c r="G1644" i="5"/>
  <c r="F1644" i="5"/>
  <c r="E1644" i="5"/>
  <c r="Y1643" i="5"/>
  <c r="T1643" i="5"/>
  <c r="S1643" i="5"/>
  <c r="R1643" i="5"/>
  <c r="Q1643" i="5"/>
  <c r="O1643" i="5"/>
  <c r="N1643" i="5"/>
  <c r="L1643" i="5"/>
  <c r="K1643" i="5"/>
  <c r="J1643" i="5"/>
  <c r="I1643" i="5"/>
  <c r="G1643" i="5"/>
  <c r="F1643" i="5"/>
  <c r="E1643" i="5"/>
  <c r="Y1642" i="5"/>
  <c r="T1642" i="5"/>
  <c r="S1642" i="5"/>
  <c r="R1642" i="5"/>
  <c r="Q1642" i="5"/>
  <c r="O1642" i="5"/>
  <c r="N1642" i="5"/>
  <c r="L1642" i="5"/>
  <c r="K1642" i="5"/>
  <c r="J1642" i="5"/>
  <c r="I1642" i="5"/>
  <c r="G1642" i="5"/>
  <c r="F1642" i="5"/>
  <c r="X1641" i="5"/>
  <c r="X1640" i="5"/>
  <c r="P1639" i="5"/>
  <c r="H1639" i="5"/>
  <c r="E1639" i="5"/>
  <c r="X1638" i="5"/>
  <c r="Y1637" i="5"/>
  <c r="T1637" i="5"/>
  <c r="S1637" i="5"/>
  <c r="R1637" i="5"/>
  <c r="Q1637" i="5"/>
  <c r="O1637" i="5"/>
  <c r="N1637" i="5"/>
  <c r="L1637" i="5"/>
  <c r="K1637" i="5"/>
  <c r="J1637" i="5"/>
  <c r="I1637" i="5"/>
  <c r="G1637" i="5"/>
  <c r="Y1636" i="5"/>
  <c r="W1636" i="5"/>
  <c r="V1636" i="5"/>
  <c r="T1636" i="5"/>
  <c r="S1636" i="5"/>
  <c r="R1636" i="5"/>
  <c r="Q1636" i="5"/>
  <c r="O1636" i="5"/>
  <c r="N1636" i="5"/>
  <c r="L1636" i="5"/>
  <c r="K1636" i="5"/>
  <c r="J1636" i="5"/>
  <c r="I1636" i="5"/>
  <c r="G1636" i="5"/>
  <c r="F1636" i="5"/>
  <c r="E1636" i="5"/>
  <c r="Y1635" i="5"/>
  <c r="T1635" i="5"/>
  <c r="S1635" i="5"/>
  <c r="R1635" i="5"/>
  <c r="Q1635" i="5"/>
  <c r="O1635" i="5"/>
  <c r="N1635" i="5"/>
  <c r="L1635" i="5"/>
  <c r="K1635" i="5"/>
  <c r="J1635" i="5"/>
  <c r="I1635" i="5"/>
  <c r="G1635" i="5"/>
  <c r="F1635" i="5"/>
  <c r="E1635" i="5"/>
  <c r="Y1634" i="5"/>
  <c r="T1634" i="5"/>
  <c r="S1634" i="5"/>
  <c r="R1634" i="5"/>
  <c r="Q1634" i="5"/>
  <c r="P1634" i="5"/>
  <c r="O1634" i="5"/>
  <c r="N1634" i="5"/>
  <c r="L1634" i="5"/>
  <c r="K1634" i="5"/>
  <c r="J1634" i="5"/>
  <c r="I1634" i="5"/>
  <c r="G1634" i="5"/>
  <c r="F1634" i="5"/>
  <c r="E1634" i="5"/>
  <c r="Y1633" i="5"/>
  <c r="T1633" i="5"/>
  <c r="S1633" i="5"/>
  <c r="R1633" i="5"/>
  <c r="Q1633" i="5"/>
  <c r="O1633" i="5"/>
  <c r="N1633" i="5"/>
  <c r="L1633" i="5"/>
  <c r="K1633" i="5"/>
  <c r="J1633" i="5"/>
  <c r="I1633" i="5"/>
  <c r="G1633" i="5"/>
  <c r="F1633" i="5"/>
  <c r="E1633" i="5"/>
  <c r="Y1632" i="5"/>
  <c r="W1632" i="5"/>
  <c r="T1632" i="5"/>
  <c r="S1632" i="5"/>
  <c r="R1632" i="5"/>
  <c r="Q1632" i="5"/>
  <c r="O1632" i="5"/>
  <c r="N1632" i="5"/>
  <c r="L1632" i="5"/>
  <c r="K1632" i="5"/>
  <c r="J1632" i="5"/>
  <c r="I1632" i="5"/>
  <c r="G1632" i="5"/>
  <c r="F1632" i="5"/>
  <c r="E1632" i="5"/>
  <c r="Y1631" i="5"/>
  <c r="T1631" i="5"/>
  <c r="S1631" i="5"/>
  <c r="R1631" i="5"/>
  <c r="Q1631" i="5"/>
  <c r="O1631" i="5"/>
  <c r="N1631" i="5"/>
  <c r="L1631" i="5"/>
  <c r="K1631" i="5"/>
  <c r="J1631" i="5"/>
  <c r="I1631" i="5"/>
  <c r="G1631" i="5"/>
  <c r="Y1630" i="5"/>
  <c r="T1630" i="5"/>
  <c r="S1630" i="5"/>
  <c r="R1630" i="5"/>
  <c r="Q1630" i="5"/>
  <c r="O1630" i="5"/>
  <c r="N1630" i="5"/>
  <c r="L1630" i="5"/>
  <c r="K1630" i="5"/>
  <c r="J1630" i="5"/>
  <c r="I1630" i="5"/>
  <c r="G1630" i="5"/>
  <c r="F1630" i="5"/>
  <c r="E1630" i="5"/>
  <c r="Y1629" i="5"/>
  <c r="T1629" i="5"/>
  <c r="S1629" i="5"/>
  <c r="R1629" i="5"/>
  <c r="Q1629" i="5"/>
  <c r="O1629" i="5"/>
  <c r="N1629" i="5"/>
  <c r="L1629" i="5"/>
  <c r="K1629" i="5"/>
  <c r="J1629" i="5"/>
  <c r="I1629" i="5"/>
  <c r="G1629" i="5"/>
  <c r="F1629" i="5"/>
  <c r="E1629" i="5"/>
  <c r="Y1628" i="5"/>
  <c r="T1628" i="5"/>
  <c r="S1628" i="5"/>
  <c r="R1628" i="5"/>
  <c r="Q1628" i="5"/>
  <c r="O1628" i="5"/>
  <c r="N1628" i="5"/>
  <c r="L1628" i="5"/>
  <c r="K1628" i="5"/>
  <c r="J1628" i="5"/>
  <c r="I1628" i="5"/>
  <c r="G1628" i="5"/>
  <c r="F1628" i="5"/>
  <c r="E1628" i="5"/>
  <c r="Y1627" i="5"/>
  <c r="T1627" i="5"/>
  <c r="S1627" i="5"/>
  <c r="R1627" i="5"/>
  <c r="Q1627" i="5"/>
  <c r="O1627" i="5"/>
  <c r="N1627" i="5"/>
  <c r="L1627" i="5"/>
  <c r="K1627" i="5"/>
  <c r="J1627" i="5"/>
  <c r="I1627" i="5"/>
  <c r="G1627" i="5"/>
  <c r="F1627" i="5"/>
  <c r="E1627" i="5"/>
  <c r="Y1626" i="5"/>
  <c r="T1626" i="5"/>
  <c r="S1626" i="5"/>
  <c r="R1626" i="5"/>
  <c r="Q1626" i="5"/>
  <c r="O1626" i="5"/>
  <c r="N1626" i="5"/>
  <c r="L1626" i="5"/>
  <c r="K1626" i="5"/>
  <c r="J1626" i="5"/>
  <c r="I1626" i="5"/>
  <c r="G1626" i="5"/>
  <c r="F1626" i="5"/>
  <c r="E1626" i="5"/>
  <c r="Y1625" i="5"/>
  <c r="T1625" i="5"/>
  <c r="S1625" i="5"/>
  <c r="R1625" i="5"/>
  <c r="Q1625" i="5"/>
  <c r="O1625" i="5"/>
  <c r="N1625" i="5"/>
  <c r="L1625" i="5"/>
  <c r="K1625" i="5"/>
  <c r="J1625" i="5"/>
  <c r="I1625" i="5"/>
  <c r="G1625" i="5"/>
  <c r="F1625" i="5"/>
  <c r="E1625" i="5"/>
  <c r="Y1624" i="5"/>
  <c r="T1624" i="5"/>
  <c r="S1624" i="5"/>
  <c r="R1624" i="5"/>
  <c r="Q1624" i="5"/>
  <c r="O1624" i="5"/>
  <c r="N1624" i="5"/>
  <c r="L1624" i="5"/>
  <c r="K1624" i="5"/>
  <c r="J1624" i="5"/>
  <c r="I1624" i="5"/>
  <c r="G1624" i="5"/>
  <c r="F1624" i="5"/>
  <c r="Y1623" i="5"/>
  <c r="T1623" i="5"/>
  <c r="S1623" i="5"/>
  <c r="R1623" i="5"/>
  <c r="Q1623" i="5"/>
  <c r="O1623" i="5"/>
  <c r="N1623" i="5"/>
  <c r="L1623" i="5"/>
  <c r="K1623" i="5"/>
  <c r="J1623" i="5"/>
  <c r="I1623" i="5"/>
  <c r="G1623" i="5"/>
  <c r="F1623" i="5"/>
  <c r="E1623" i="5"/>
  <c r="Y1622" i="5"/>
  <c r="T1622" i="5"/>
  <c r="S1622" i="5"/>
  <c r="R1622" i="5"/>
  <c r="Q1622" i="5"/>
  <c r="O1622" i="5"/>
  <c r="N1622" i="5"/>
  <c r="L1622" i="5"/>
  <c r="K1622" i="5"/>
  <c r="J1622" i="5"/>
  <c r="I1622" i="5"/>
  <c r="G1622" i="5"/>
  <c r="F1622" i="5"/>
  <c r="E1622" i="5"/>
  <c r="Y1621" i="5"/>
  <c r="T1621" i="5"/>
  <c r="S1621" i="5"/>
  <c r="R1621" i="5"/>
  <c r="Q1621" i="5"/>
  <c r="O1621" i="5"/>
  <c r="N1621" i="5"/>
  <c r="L1621" i="5"/>
  <c r="K1621" i="5"/>
  <c r="J1621" i="5"/>
  <c r="I1621" i="5"/>
  <c r="G1621" i="5"/>
  <c r="F1621" i="5"/>
  <c r="E1621" i="5"/>
  <c r="X1620" i="5"/>
  <c r="X1619" i="5"/>
  <c r="P1618" i="5"/>
  <c r="H1618" i="5"/>
  <c r="E1618" i="5"/>
  <c r="X1617" i="5"/>
  <c r="Y1616" i="5"/>
  <c r="T1616" i="5"/>
  <c r="S1616" i="5"/>
  <c r="R1616" i="5"/>
  <c r="Q1616" i="5"/>
  <c r="O1616" i="5"/>
  <c r="N1616" i="5"/>
  <c r="L1616" i="5"/>
  <c r="K1616" i="5"/>
  <c r="J1616" i="5"/>
  <c r="I1616" i="5"/>
  <c r="G1616" i="5"/>
  <c r="F1616" i="5"/>
  <c r="E1616" i="5"/>
  <c r="Y1615" i="5"/>
  <c r="W1615" i="5"/>
  <c r="V1615" i="5"/>
  <c r="T1615" i="5"/>
  <c r="S1615" i="5"/>
  <c r="R1615" i="5"/>
  <c r="Q1615" i="5"/>
  <c r="O1615" i="5"/>
  <c r="N1615" i="5"/>
  <c r="L1615" i="5"/>
  <c r="K1615" i="5"/>
  <c r="J1615" i="5"/>
  <c r="I1615" i="5"/>
  <c r="G1615" i="5"/>
  <c r="F1615" i="5"/>
  <c r="E1615" i="5"/>
  <c r="Y1614" i="5"/>
  <c r="T1614" i="5"/>
  <c r="S1614" i="5"/>
  <c r="R1614" i="5"/>
  <c r="Q1614" i="5"/>
  <c r="O1614" i="5"/>
  <c r="N1614" i="5"/>
  <c r="L1614" i="5"/>
  <c r="K1614" i="5"/>
  <c r="J1614" i="5"/>
  <c r="I1614" i="5"/>
  <c r="G1614" i="5"/>
  <c r="F1614" i="5"/>
  <c r="E1614" i="5"/>
  <c r="Y1613" i="5"/>
  <c r="T1613" i="5"/>
  <c r="S1613" i="5"/>
  <c r="R1613" i="5"/>
  <c r="Q1613" i="5"/>
  <c r="O1613" i="5"/>
  <c r="N1613" i="5"/>
  <c r="L1613" i="5"/>
  <c r="K1613" i="5"/>
  <c r="J1613" i="5"/>
  <c r="I1613" i="5"/>
  <c r="G1613" i="5"/>
  <c r="F1613" i="5"/>
  <c r="E1613" i="5"/>
  <c r="Y1612" i="5"/>
  <c r="T1612" i="5"/>
  <c r="S1612" i="5"/>
  <c r="R1612" i="5"/>
  <c r="Q1612" i="5"/>
  <c r="O1612" i="5"/>
  <c r="N1612" i="5"/>
  <c r="L1612" i="5"/>
  <c r="K1612" i="5"/>
  <c r="J1612" i="5"/>
  <c r="I1612" i="5"/>
  <c r="G1612" i="5"/>
  <c r="F1612" i="5"/>
  <c r="E1612" i="5"/>
  <c r="Y1611" i="5"/>
  <c r="T1611" i="5"/>
  <c r="S1611" i="5"/>
  <c r="R1611" i="5"/>
  <c r="Q1611" i="5"/>
  <c r="O1611" i="5"/>
  <c r="N1611" i="5"/>
  <c r="L1611" i="5"/>
  <c r="K1611" i="5"/>
  <c r="J1611" i="5"/>
  <c r="I1611" i="5"/>
  <c r="G1611" i="5"/>
  <c r="F1611" i="5"/>
  <c r="E1611" i="5"/>
  <c r="Y1610" i="5"/>
  <c r="T1610" i="5"/>
  <c r="S1610" i="5"/>
  <c r="R1610" i="5"/>
  <c r="Q1610" i="5"/>
  <c r="O1610" i="5"/>
  <c r="N1610" i="5"/>
  <c r="L1610" i="5"/>
  <c r="K1610" i="5"/>
  <c r="J1610" i="5"/>
  <c r="I1610" i="5"/>
  <c r="G1610" i="5"/>
  <c r="F1610" i="5"/>
  <c r="E1610" i="5"/>
  <c r="Y1609" i="5"/>
  <c r="T1609" i="5"/>
  <c r="S1609" i="5"/>
  <c r="R1609" i="5"/>
  <c r="Q1609" i="5"/>
  <c r="O1609" i="5"/>
  <c r="N1609" i="5"/>
  <c r="L1609" i="5"/>
  <c r="K1609" i="5"/>
  <c r="J1609" i="5"/>
  <c r="I1609" i="5"/>
  <c r="G1609" i="5"/>
  <c r="F1609" i="5"/>
  <c r="E1609" i="5"/>
  <c r="Y1608" i="5"/>
  <c r="T1608" i="5"/>
  <c r="S1608" i="5"/>
  <c r="R1608" i="5"/>
  <c r="Q1608" i="5"/>
  <c r="O1608" i="5"/>
  <c r="N1608" i="5"/>
  <c r="L1608" i="5"/>
  <c r="K1608" i="5"/>
  <c r="J1608" i="5"/>
  <c r="I1608" i="5"/>
  <c r="G1608" i="5"/>
  <c r="E1608" i="5"/>
  <c r="Y1607" i="5"/>
  <c r="T1607" i="5"/>
  <c r="S1607" i="5"/>
  <c r="R1607" i="5"/>
  <c r="Q1607" i="5"/>
  <c r="O1607" i="5"/>
  <c r="N1607" i="5"/>
  <c r="L1607" i="5"/>
  <c r="K1607" i="5"/>
  <c r="J1607" i="5"/>
  <c r="I1607" i="5"/>
  <c r="G1607" i="5"/>
  <c r="F1607" i="5"/>
  <c r="E1607" i="5"/>
  <c r="Y1606" i="5"/>
  <c r="T1606" i="5"/>
  <c r="S1606" i="5"/>
  <c r="R1606" i="5"/>
  <c r="Q1606" i="5"/>
  <c r="O1606" i="5"/>
  <c r="N1606" i="5"/>
  <c r="L1606" i="5"/>
  <c r="K1606" i="5"/>
  <c r="J1606" i="5"/>
  <c r="I1606" i="5"/>
  <c r="G1606" i="5"/>
  <c r="F1606" i="5"/>
  <c r="E1606" i="5"/>
  <c r="Y1605" i="5"/>
  <c r="T1605" i="5"/>
  <c r="S1605" i="5"/>
  <c r="R1605" i="5"/>
  <c r="Q1605" i="5"/>
  <c r="O1605" i="5"/>
  <c r="N1605" i="5"/>
  <c r="L1605" i="5"/>
  <c r="K1605" i="5"/>
  <c r="J1605" i="5"/>
  <c r="I1605" i="5"/>
  <c r="G1605" i="5"/>
  <c r="F1605" i="5"/>
  <c r="E1605" i="5"/>
  <c r="AB1604" i="5"/>
  <c r="AA1604" i="5"/>
  <c r="Z1604" i="5"/>
  <c r="Y1604" i="5"/>
  <c r="W1604" i="5"/>
  <c r="V1604" i="5"/>
  <c r="U1604" i="5"/>
  <c r="T1604" i="5"/>
  <c r="S1604" i="5"/>
  <c r="R1604" i="5"/>
  <c r="Q1604" i="5"/>
  <c r="P1604" i="5"/>
  <c r="O1604" i="5"/>
  <c r="N1604" i="5"/>
  <c r="M1604" i="5"/>
  <c r="L1604" i="5"/>
  <c r="K1604" i="5"/>
  <c r="J1604" i="5"/>
  <c r="I1604" i="5"/>
  <c r="H1604" i="5"/>
  <c r="X1604" i="5" s="1"/>
  <c r="G1604" i="5"/>
  <c r="F1604" i="5"/>
  <c r="E1604" i="5"/>
  <c r="Y1603" i="5"/>
  <c r="T1603" i="5"/>
  <c r="S1603" i="5"/>
  <c r="R1603" i="5"/>
  <c r="Q1603" i="5"/>
  <c r="O1603" i="5"/>
  <c r="N1603" i="5"/>
  <c r="L1603" i="5"/>
  <c r="K1603" i="5"/>
  <c r="J1603" i="5"/>
  <c r="I1603" i="5"/>
  <c r="G1603" i="5"/>
  <c r="F1603" i="5"/>
  <c r="E1603" i="5"/>
  <c r="Y1602" i="5"/>
  <c r="T1602" i="5"/>
  <c r="S1602" i="5"/>
  <c r="R1602" i="5"/>
  <c r="Q1602" i="5"/>
  <c r="O1602" i="5"/>
  <c r="N1602" i="5"/>
  <c r="L1602" i="5"/>
  <c r="K1602" i="5"/>
  <c r="J1602" i="5"/>
  <c r="I1602" i="5"/>
  <c r="G1602" i="5"/>
  <c r="F1602" i="5"/>
  <c r="E1602" i="5"/>
  <c r="Y1601" i="5"/>
  <c r="T1601" i="5"/>
  <c r="S1601" i="5"/>
  <c r="R1601" i="5"/>
  <c r="Q1601" i="5"/>
  <c r="O1601" i="5"/>
  <c r="N1601" i="5"/>
  <c r="L1601" i="5"/>
  <c r="K1601" i="5"/>
  <c r="J1601" i="5"/>
  <c r="I1601" i="5"/>
  <c r="G1601" i="5"/>
  <c r="F1601" i="5"/>
  <c r="Y1600" i="5"/>
  <c r="T1600" i="5"/>
  <c r="S1600" i="5"/>
  <c r="R1600" i="5"/>
  <c r="Q1600" i="5"/>
  <c r="O1600" i="5"/>
  <c r="N1600" i="5"/>
  <c r="L1600" i="5"/>
  <c r="K1600" i="5"/>
  <c r="J1600" i="5"/>
  <c r="I1600" i="5"/>
  <c r="G1600" i="5"/>
  <c r="F1600" i="5"/>
  <c r="E1600" i="5"/>
  <c r="Y1599" i="5"/>
  <c r="T1599" i="5"/>
  <c r="S1599" i="5"/>
  <c r="R1599" i="5"/>
  <c r="Q1599" i="5"/>
  <c r="O1599" i="5"/>
  <c r="N1599" i="5"/>
  <c r="L1599" i="5"/>
  <c r="K1599" i="5"/>
  <c r="J1599" i="5"/>
  <c r="I1599" i="5"/>
  <c r="G1599" i="5"/>
  <c r="F1599" i="5"/>
  <c r="E1599" i="5"/>
  <c r="Y1598" i="5"/>
  <c r="T1598" i="5"/>
  <c r="S1598" i="5"/>
  <c r="R1598" i="5"/>
  <c r="Q1598" i="5"/>
  <c r="O1598" i="5"/>
  <c r="N1598" i="5"/>
  <c r="L1598" i="5"/>
  <c r="K1598" i="5"/>
  <c r="J1598" i="5"/>
  <c r="I1598" i="5"/>
  <c r="G1598" i="5"/>
  <c r="F1598" i="5"/>
  <c r="Y1597" i="5"/>
  <c r="T1597" i="5"/>
  <c r="S1597" i="5"/>
  <c r="R1597" i="5"/>
  <c r="Q1597" i="5"/>
  <c r="O1597" i="5"/>
  <c r="N1597" i="5"/>
  <c r="L1597" i="5"/>
  <c r="K1597" i="5"/>
  <c r="J1597" i="5"/>
  <c r="I1597" i="5"/>
  <c r="G1597" i="5"/>
  <c r="F1597" i="5"/>
  <c r="E1597" i="5"/>
  <c r="Y1596" i="5"/>
  <c r="T1596" i="5"/>
  <c r="S1596" i="5"/>
  <c r="R1596" i="5"/>
  <c r="Q1596" i="5"/>
  <c r="O1596" i="5"/>
  <c r="N1596" i="5"/>
  <c r="L1596" i="5"/>
  <c r="K1596" i="5"/>
  <c r="J1596" i="5"/>
  <c r="I1596" i="5"/>
  <c r="G1596" i="5"/>
  <c r="F1596" i="5"/>
  <c r="E1596" i="5"/>
  <c r="X1595" i="5"/>
  <c r="X1594" i="5"/>
  <c r="X1593" i="5"/>
  <c r="P1592" i="5"/>
  <c r="H1592" i="5"/>
  <c r="E1592" i="5"/>
  <c r="Y1590" i="5"/>
  <c r="T1590" i="5"/>
  <c r="S1590" i="5"/>
  <c r="R1590" i="5"/>
  <c r="Q1590" i="5"/>
  <c r="O1590" i="5"/>
  <c r="N1590" i="5"/>
  <c r="L1590" i="5"/>
  <c r="K1590" i="5"/>
  <c r="J1590" i="5"/>
  <c r="I1590" i="5"/>
  <c r="G1590" i="5"/>
  <c r="F1590" i="5"/>
  <c r="E1590" i="5"/>
  <c r="Y1589" i="5"/>
  <c r="W1589" i="5"/>
  <c r="V1589" i="5"/>
  <c r="T1589" i="5"/>
  <c r="S1589" i="5"/>
  <c r="R1589" i="5"/>
  <c r="Q1589" i="5"/>
  <c r="O1589" i="5"/>
  <c r="N1589" i="5"/>
  <c r="L1589" i="5"/>
  <c r="K1589" i="5"/>
  <c r="J1589" i="5"/>
  <c r="I1589" i="5"/>
  <c r="G1589" i="5"/>
  <c r="F1589" i="5"/>
  <c r="E1589" i="5"/>
  <c r="Y1588" i="5"/>
  <c r="T1588" i="5"/>
  <c r="S1588" i="5"/>
  <c r="R1588" i="5"/>
  <c r="Q1588" i="5"/>
  <c r="O1588" i="5"/>
  <c r="N1588" i="5"/>
  <c r="L1588" i="5"/>
  <c r="K1588" i="5"/>
  <c r="J1588" i="5"/>
  <c r="I1588" i="5"/>
  <c r="G1588" i="5"/>
  <c r="F1588" i="5"/>
  <c r="E1588" i="5"/>
  <c r="Y1587" i="5"/>
  <c r="T1587" i="5"/>
  <c r="S1587" i="5"/>
  <c r="R1587" i="5"/>
  <c r="Q1587" i="5"/>
  <c r="O1587" i="5"/>
  <c r="N1587" i="5"/>
  <c r="L1587" i="5"/>
  <c r="K1587" i="5"/>
  <c r="J1587" i="5"/>
  <c r="I1587" i="5"/>
  <c r="G1587" i="5"/>
  <c r="F1587" i="5"/>
  <c r="E1587" i="5"/>
  <c r="Y1586" i="5"/>
  <c r="T1586" i="5"/>
  <c r="S1586" i="5"/>
  <c r="R1586" i="5"/>
  <c r="Q1586" i="5"/>
  <c r="O1586" i="5"/>
  <c r="N1586" i="5"/>
  <c r="L1586" i="5"/>
  <c r="K1586" i="5"/>
  <c r="J1586" i="5"/>
  <c r="I1586" i="5"/>
  <c r="G1586" i="5"/>
  <c r="F1586" i="5"/>
  <c r="E1586" i="5"/>
  <c r="Y1585" i="5"/>
  <c r="T1585" i="5"/>
  <c r="S1585" i="5"/>
  <c r="R1585" i="5"/>
  <c r="Q1585" i="5"/>
  <c r="O1585" i="5"/>
  <c r="N1585" i="5"/>
  <c r="L1585" i="5"/>
  <c r="K1585" i="5"/>
  <c r="J1585" i="5"/>
  <c r="I1585" i="5"/>
  <c r="G1585" i="5"/>
  <c r="F1585" i="5"/>
  <c r="E1585" i="5"/>
  <c r="Y1584" i="5"/>
  <c r="T1584" i="5"/>
  <c r="S1584" i="5"/>
  <c r="R1584" i="5"/>
  <c r="Q1584" i="5"/>
  <c r="O1584" i="5"/>
  <c r="N1584" i="5"/>
  <c r="L1584" i="5"/>
  <c r="K1584" i="5"/>
  <c r="J1584" i="5"/>
  <c r="I1584" i="5"/>
  <c r="G1584" i="5"/>
  <c r="F1584" i="5"/>
  <c r="E1584" i="5"/>
  <c r="Y1583" i="5"/>
  <c r="T1583" i="5"/>
  <c r="S1583" i="5"/>
  <c r="R1583" i="5"/>
  <c r="Q1583" i="5"/>
  <c r="O1583" i="5"/>
  <c r="N1583" i="5"/>
  <c r="L1583" i="5"/>
  <c r="K1583" i="5"/>
  <c r="J1583" i="5"/>
  <c r="I1583" i="5"/>
  <c r="G1583" i="5"/>
  <c r="F1583" i="5"/>
  <c r="E1583" i="5"/>
  <c r="Y1582" i="5"/>
  <c r="T1582" i="5"/>
  <c r="S1582" i="5"/>
  <c r="R1582" i="5"/>
  <c r="Q1582" i="5"/>
  <c r="O1582" i="5"/>
  <c r="N1582" i="5"/>
  <c r="L1582" i="5"/>
  <c r="K1582" i="5"/>
  <c r="J1582" i="5"/>
  <c r="I1582" i="5"/>
  <c r="G1582" i="5"/>
  <c r="F1582" i="5"/>
  <c r="E1582" i="5"/>
  <c r="Y1581" i="5"/>
  <c r="T1581" i="5"/>
  <c r="S1581" i="5"/>
  <c r="R1581" i="5"/>
  <c r="Q1581" i="5"/>
  <c r="O1581" i="5"/>
  <c r="N1581" i="5"/>
  <c r="L1581" i="5"/>
  <c r="K1581" i="5"/>
  <c r="J1581" i="5"/>
  <c r="I1581" i="5"/>
  <c r="G1581" i="5"/>
  <c r="F1581" i="5"/>
  <c r="E1581" i="5"/>
  <c r="Y1580" i="5"/>
  <c r="T1580" i="5"/>
  <c r="S1580" i="5"/>
  <c r="R1580" i="5"/>
  <c r="Q1580" i="5"/>
  <c r="O1580" i="5"/>
  <c r="N1580" i="5"/>
  <c r="L1580" i="5"/>
  <c r="K1580" i="5"/>
  <c r="J1580" i="5"/>
  <c r="I1580" i="5"/>
  <c r="G1580" i="5"/>
  <c r="F1580" i="5"/>
  <c r="E1580" i="5"/>
  <c r="Y1579" i="5"/>
  <c r="T1579" i="5"/>
  <c r="S1579" i="5"/>
  <c r="R1579" i="5"/>
  <c r="Q1579" i="5"/>
  <c r="O1579" i="5"/>
  <c r="N1579" i="5"/>
  <c r="L1579" i="5"/>
  <c r="K1579" i="5"/>
  <c r="J1579" i="5"/>
  <c r="I1579" i="5"/>
  <c r="G1579" i="5"/>
  <c r="F1579" i="5"/>
  <c r="E1579" i="5"/>
  <c r="Y1578" i="5"/>
  <c r="T1578" i="5"/>
  <c r="S1578" i="5"/>
  <c r="R1578" i="5"/>
  <c r="Q1578" i="5"/>
  <c r="O1578" i="5"/>
  <c r="N1578" i="5"/>
  <c r="L1578" i="5"/>
  <c r="K1578" i="5"/>
  <c r="J1578" i="5"/>
  <c r="I1578" i="5"/>
  <c r="G1578" i="5"/>
  <c r="F1578" i="5"/>
  <c r="E1578" i="5"/>
  <c r="Y1577" i="5"/>
  <c r="T1577" i="5"/>
  <c r="S1577" i="5"/>
  <c r="R1577" i="5"/>
  <c r="Q1577" i="5"/>
  <c r="O1577" i="5"/>
  <c r="N1577" i="5"/>
  <c r="L1577" i="5"/>
  <c r="K1577" i="5"/>
  <c r="J1577" i="5"/>
  <c r="I1577" i="5"/>
  <c r="G1577" i="5"/>
  <c r="F1577" i="5"/>
  <c r="E1577" i="5"/>
  <c r="Y1576" i="5"/>
  <c r="T1576" i="5"/>
  <c r="S1576" i="5"/>
  <c r="R1576" i="5"/>
  <c r="Q1576" i="5"/>
  <c r="O1576" i="5"/>
  <c r="N1576" i="5"/>
  <c r="L1576" i="5"/>
  <c r="K1576" i="5"/>
  <c r="J1576" i="5"/>
  <c r="I1576" i="5"/>
  <c r="G1576" i="5"/>
  <c r="F1576" i="5"/>
  <c r="E1576" i="5"/>
  <c r="Y1575" i="5"/>
  <c r="T1575" i="5"/>
  <c r="S1575" i="5"/>
  <c r="R1575" i="5"/>
  <c r="Q1575" i="5"/>
  <c r="O1575" i="5"/>
  <c r="N1575" i="5"/>
  <c r="L1575" i="5"/>
  <c r="K1575" i="5"/>
  <c r="J1575" i="5"/>
  <c r="I1575" i="5"/>
  <c r="G1575" i="5"/>
  <c r="F1575" i="5"/>
  <c r="E1575" i="5"/>
  <c r="Y1574" i="5"/>
  <c r="T1574" i="5"/>
  <c r="S1574" i="5"/>
  <c r="R1574" i="5"/>
  <c r="Q1574" i="5"/>
  <c r="O1574" i="5"/>
  <c r="N1574" i="5"/>
  <c r="L1574" i="5"/>
  <c r="K1574" i="5"/>
  <c r="J1574" i="5"/>
  <c r="I1574" i="5"/>
  <c r="G1574" i="5"/>
  <c r="F1574" i="5"/>
  <c r="E1574" i="5"/>
  <c r="Y1573" i="5"/>
  <c r="T1573" i="5"/>
  <c r="S1573" i="5"/>
  <c r="R1573" i="5"/>
  <c r="Q1573" i="5"/>
  <c r="O1573" i="5"/>
  <c r="N1573" i="5"/>
  <c r="L1573" i="5"/>
  <c r="K1573" i="5"/>
  <c r="J1573" i="5"/>
  <c r="I1573" i="5"/>
  <c r="G1573" i="5"/>
  <c r="F1573" i="5"/>
  <c r="E1573" i="5"/>
  <c r="Y1572" i="5"/>
  <c r="T1572" i="5"/>
  <c r="S1572" i="5"/>
  <c r="R1572" i="5"/>
  <c r="Q1572" i="5"/>
  <c r="O1572" i="5"/>
  <c r="N1572" i="5"/>
  <c r="L1572" i="5"/>
  <c r="K1572" i="5"/>
  <c r="J1572" i="5"/>
  <c r="I1572" i="5"/>
  <c r="G1572" i="5"/>
  <c r="F1572" i="5"/>
  <c r="E1572" i="5"/>
  <c r="Y1571" i="5"/>
  <c r="Y1592" i="5" s="1"/>
  <c r="T1571" i="5"/>
  <c r="T1592" i="5" s="1"/>
  <c r="S1571" i="5"/>
  <c r="S1592" i="5" s="1"/>
  <c r="R1571" i="5"/>
  <c r="R1592" i="5" s="1"/>
  <c r="Q1571" i="5"/>
  <c r="Q1592" i="5" s="1"/>
  <c r="O1571" i="5"/>
  <c r="O1592" i="5" s="1"/>
  <c r="N1571" i="5"/>
  <c r="N1592" i="5" s="1"/>
  <c r="L1571" i="5"/>
  <c r="L1592" i="5" s="1"/>
  <c r="K1571" i="5"/>
  <c r="K1592" i="5" s="1"/>
  <c r="J1571" i="5"/>
  <c r="J1592" i="5" s="1"/>
  <c r="I1571" i="5"/>
  <c r="I1592" i="5" s="1"/>
  <c r="G1571" i="5"/>
  <c r="G1592" i="5" s="1"/>
  <c r="F1571" i="5"/>
  <c r="F1592" i="5" s="1"/>
  <c r="E1571" i="5"/>
  <c r="P1568" i="5"/>
  <c r="H1568" i="5"/>
  <c r="E1568" i="5"/>
  <c r="Y1566" i="5"/>
  <c r="T1566" i="5"/>
  <c r="S1566" i="5"/>
  <c r="R1566" i="5"/>
  <c r="Q1566" i="5"/>
  <c r="O1566" i="5"/>
  <c r="N1566" i="5"/>
  <c r="L1566" i="5"/>
  <c r="K1566" i="5"/>
  <c r="J1566" i="5"/>
  <c r="I1566" i="5"/>
  <c r="G1566" i="5"/>
  <c r="F1566" i="5"/>
  <c r="E1566" i="5"/>
  <c r="Y1565" i="5"/>
  <c r="T1565" i="5"/>
  <c r="S1565" i="5"/>
  <c r="R1565" i="5"/>
  <c r="Q1565" i="5"/>
  <c r="O1565" i="5"/>
  <c r="N1565" i="5"/>
  <c r="L1565" i="5"/>
  <c r="K1565" i="5"/>
  <c r="J1565" i="5"/>
  <c r="I1565" i="5"/>
  <c r="G1565" i="5"/>
  <c r="F1565" i="5"/>
  <c r="E1565" i="5"/>
  <c r="Y1564" i="5"/>
  <c r="T1564" i="5"/>
  <c r="S1564" i="5"/>
  <c r="R1564" i="5"/>
  <c r="Q1564" i="5"/>
  <c r="O1564" i="5"/>
  <c r="N1564" i="5"/>
  <c r="L1564" i="5"/>
  <c r="K1564" i="5"/>
  <c r="J1564" i="5"/>
  <c r="I1564" i="5"/>
  <c r="G1564" i="5"/>
  <c r="F1564" i="5"/>
  <c r="E1564" i="5"/>
  <c r="Y1563" i="5"/>
  <c r="T1563" i="5"/>
  <c r="S1563" i="5"/>
  <c r="R1563" i="5"/>
  <c r="Q1563" i="5"/>
  <c r="O1563" i="5"/>
  <c r="N1563" i="5"/>
  <c r="L1563" i="5"/>
  <c r="K1563" i="5"/>
  <c r="J1563" i="5"/>
  <c r="I1563" i="5"/>
  <c r="G1563" i="5"/>
  <c r="F1563" i="5"/>
  <c r="E1563" i="5"/>
  <c r="Y1562" i="5"/>
  <c r="T1562" i="5"/>
  <c r="S1562" i="5"/>
  <c r="R1562" i="5"/>
  <c r="Q1562" i="5"/>
  <c r="O1562" i="5"/>
  <c r="N1562" i="5"/>
  <c r="L1562" i="5"/>
  <c r="K1562" i="5"/>
  <c r="J1562" i="5"/>
  <c r="I1562" i="5"/>
  <c r="G1562" i="5"/>
  <c r="F1562" i="5"/>
  <c r="E1562" i="5"/>
  <c r="Y1561" i="5"/>
  <c r="T1561" i="5"/>
  <c r="S1561" i="5"/>
  <c r="R1561" i="5"/>
  <c r="Q1561" i="5"/>
  <c r="O1561" i="5"/>
  <c r="N1561" i="5"/>
  <c r="L1561" i="5"/>
  <c r="K1561" i="5"/>
  <c r="J1561" i="5"/>
  <c r="I1561" i="5"/>
  <c r="G1561" i="5"/>
  <c r="F1561" i="5"/>
  <c r="E1561" i="5"/>
  <c r="Y1560" i="5"/>
  <c r="T1560" i="5"/>
  <c r="S1560" i="5"/>
  <c r="R1560" i="5"/>
  <c r="Q1560" i="5"/>
  <c r="O1560" i="5"/>
  <c r="N1560" i="5"/>
  <c r="L1560" i="5"/>
  <c r="K1560" i="5"/>
  <c r="J1560" i="5"/>
  <c r="I1560" i="5"/>
  <c r="G1560" i="5"/>
  <c r="F1560" i="5"/>
  <c r="E1560" i="5"/>
  <c r="Y1559" i="5"/>
  <c r="T1559" i="5"/>
  <c r="S1559" i="5"/>
  <c r="R1559" i="5"/>
  <c r="Q1559" i="5"/>
  <c r="O1559" i="5"/>
  <c r="N1559" i="5"/>
  <c r="L1559" i="5"/>
  <c r="K1559" i="5"/>
  <c r="J1559" i="5"/>
  <c r="I1559" i="5"/>
  <c r="G1559" i="5"/>
  <c r="F1559" i="5"/>
  <c r="E1559" i="5"/>
  <c r="Y1558" i="5"/>
  <c r="T1558" i="5"/>
  <c r="S1558" i="5"/>
  <c r="R1558" i="5"/>
  <c r="Q1558" i="5"/>
  <c r="O1558" i="5"/>
  <c r="N1558" i="5"/>
  <c r="L1558" i="5"/>
  <c r="K1558" i="5"/>
  <c r="J1558" i="5"/>
  <c r="I1558" i="5"/>
  <c r="G1558" i="5"/>
  <c r="F1558" i="5"/>
  <c r="E1558" i="5"/>
  <c r="Y1557" i="5"/>
  <c r="T1557" i="5"/>
  <c r="S1557" i="5"/>
  <c r="R1557" i="5"/>
  <c r="Q1557" i="5"/>
  <c r="O1557" i="5"/>
  <c r="N1557" i="5"/>
  <c r="L1557" i="5"/>
  <c r="K1557" i="5"/>
  <c r="J1557" i="5"/>
  <c r="I1557" i="5"/>
  <c r="G1557" i="5"/>
  <c r="F1557" i="5"/>
  <c r="E1557" i="5"/>
  <c r="Y1556" i="5"/>
  <c r="T1556" i="5"/>
  <c r="S1556" i="5"/>
  <c r="R1556" i="5"/>
  <c r="Q1556" i="5"/>
  <c r="O1556" i="5"/>
  <c r="N1556" i="5"/>
  <c r="L1556" i="5"/>
  <c r="K1556" i="5"/>
  <c r="J1556" i="5"/>
  <c r="I1556" i="5"/>
  <c r="G1556" i="5"/>
  <c r="F1556" i="5"/>
  <c r="E1556" i="5"/>
  <c r="Y1555" i="5"/>
  <c r="T1555" i="5"/>
  <c r="S1555" i="5"/>
  <c r="R1555" i="5"/>
  <c r="Q1555" i="5"/>
  <c r="O1555" i="5"/>
  <c r="N1555" i="5"/>
  <c r="L1555" i="5"/>
  <c r="K1555" i="5"/>
  <c r="J1555" i="5"/>
  <c r="I1555" i="5"/>
  <c r="G1555" i="5"/>
  <c r="F1555" i="5"/>
  <c r="E1555" i="5"/>
  <c r="Y1554" i="5"/>
  <c r="T1554" i="5"/>
  <c r="S1554" i="5"/>
  <c r="R1554" i="5"/>
  <c r="Q1554" i="5"/>
  <c r="O1554" i="5"/>
  <c r="N1554" i="5"/>
  <c r="L1554" i="5"/>
  <c r="K1554" i="5"/>
  <c r="J1554" i="5"/>
  <c r="I1554" i="5"/>
  <c r="G1554" i="5"/>
  <c r="F1554" i="5"/>
  <c r="E1554" i="5"/>
  <c r="Y1553" i="5"/>
  <c r="T1553" i="5"/>
  <c r="S1553" i="5"/>
  <c r="R1553" i="5"/>
  <c r="Q1553" i="5"/>
  <c r="O1553" i="5"/>
  <c r="N1553" i="5"/>
  <c r="L1553" i="5"/>
  <c r="K1553" i="5"/>
  <c r="J1553" i="5"/>
  <c r="I1553" i="5"/>
  <c r="G1553" i="5"/>
  <c r="F1553" i="5"/>
  <c r="E1553" i="5"/>
  <c r="Y1552" i="5"/>
  <c r="T1552" i="5"/>
  <c r="S1552" i="5"/>
  <c r="R1552" i="5"/>
  <c r="Q1552" i="5"/>
  <c r="O1552" i="5"/>
  <c r="N1552" i="5"/>
  <c r="L1552" i="5"/>
  <c r="K1552" i="5"/>
  <c r="J1552" i="5"/>
  <c r="I1552" i="5"/>
  <c r="G1552" i="5"/>
  <c r="F1552" i="5"/>
  <c r="E1552" i="5"/>
  <c r="Y1551" i="5"/>
  <c r="T1551" i="5"/>
  <c r="S1551" i="5"/>
  <c r="R1551" i="5"/>
  <c r="Q1551" i="5"/>
  <c r="O1551" i="5"/>
  <c r="N1551" i="5"/>
  <c r="M1551" i="5"/>
  <c r="L1551" i="5"/>
  <c r="K1551" i="5"/>
  <c r="J1551" i="5"/>
  <c r="I1551" i="5"/>
  <c r="H1551" i="5"/>
  <c r="G1551" i="5"/>
  <c r="F1551" i="5"/>
  <c r="E1551" i="5"/>
  <c r="Y1550" i="5"/>
  <c r="T1550" i="5"/>
  <c r="S1550" i="5"/>
  <c r="R1550" i="5"/>
  <c r="Q1550" i="5"/>
  <c r="O1550" i="5"/>
  <c r="N1550" i="5"/>
  <c r="L1550" i="5"/>
  <c r="K1550" i="5"/>
  <c r="J1550" i="5"/>
  <c r="I1550" i="5"/>
  <c r="G1550" i="5"/>
  <c r="F1550" i="5"/>
  <c r="Y1549" i="5"/>
  <c r="T1549" i="5"/>
  <c r="S1549" i="5"/>
  <c r="R1549" i="5"/>
  <c r="Q1549" i="5"/>
  <c r="O1549" i="5"/>
  <c r="N1549" i="5"/>
  <c r="L1549" i="5"/>
  <c r="K1549" i="5"/>
  <c r="J1549" i="5"/>
  <c r="I1549" i="5"/>
  <c r="G1549" i="5"/>
  <c r="F1549" i="5"/>
  <c r="E1549" i="5"/>
  <c r="Y1548" i="5"/>
  <c r="Y1568" i="5" s="1"/>
  <c r="T1548" i="5"/>
  <c r="T1568" i="5" s="1"/>
  <c r="S1548" i="5"/>
  <c r="S1568" i="5" s="1"/>
  <c r="R1548" i="5"/>
  <c r="R1568" i="5" s="1"/>
  <c r="Q1548" i="5"/>
  <c r="Q1568" i="5" s="1"/>
  <c r="O1548" i="5"/>
  <c r="O1568" i="5" s="1"/>
  <c r="N1548" i="5"/>
  <c r="N1568" i="5" s="1"/>
  <c r="L1548" i="5"/>
  <c r="L1568" i="5" s="1"/>
  <c r="K1548" i="5"/>
  <c r="K1568" i="5" s="1"/>
  <c r="J1548" i="5"/>
  <c r="J1568" i="5" s="1"/>
  <c r="I1548" i="5"/>
  <c r="I1568" i="5" s="1"/>
  <c r="G1548" i="5"/>
  <c r="G1568" i="5" s="1"/>
  <c r="F1548" i="5"/>
  <c r="F1568" i="5" s="1"/>
  <c r="E1548" i="5"/>
  <c r="Y1539" i="5"/>
  <c r="T1539" i="5"/>
  <c r="S1539" i="5"/>
  <c r="R1539" i="5"/>
  <c r="O1539" i="5"/>
  <c r="N1539" i="5"/>
  <c r="L1539" i="5"/>
  <c r="K1539" i="5"/>
  <c r="I1539" i="5"/>
  <c r="G1539" i="5"/>
  <c r="F1539" i="5"/>
  <c r="E1539" i="5"/>
  <c r="X1538" i="5"/>
  <c r="Z1538" i="5" s="1"/>
  <c r="X1537" i="5"/>
  <c r="Z1537" i="5" s="1"/>
  <c r="Y1536" i="5"/>
  <c r="T1536" i="5"/>
  <c r="S1536" i="5"/>
  <c r="R1536" i="5"/>
  <c r="O1536" i="5"/>
  <c r="N1536" i="5"/>
  <c r="L1536" i="5"/>
  <c r="K1536" i="5"/>
  <c r="I1536" i="5"/>
  <c r="G1536" i="5"/>
  <c r="E1536" i="5"/>
  <c r="X1535" i="5"/>
  <c r="Z1535" i="5" s="1"/>
  <c r="X1534" i="5"/>
  <c r="Z1534" i="5" s="1"/>
  <c r="Y1533" i="5"/>
  <c r="T1533" i="5"/>
  <c r="S1533" i="5"/>
  <c r="R1533" i="5"/>
  <c r="O1533" i="5"/>
  <c r="N1533" i="5"/>
  <c r="L1533" i="5"/>
  <c r="K1533" i="5"/>
  <c r="I1533" i="5"/>
  <c r="G1533" i="5"/>
  <c r="F1533" i="5"/>
  <c r="E1533" i="5"/>
  <c r="X1532" i="5"/>
  <c r="Z1532" i="5" s="1"/>
  <c r="X1531" i="5"/>
  <c r="Z1531" i="5" s="1"/>
  <c r="Y1530" i="5"/>
  <c r="T1530" i="5"/>
  <c r="S1530" i="5"/>
  <c r="R1530" i="5"/>
  <c r="O1530" i="5"/>
  <c r="N1530" i="5"/>
  <c r="L1530" i="5"/>
  <c r="K1530" i="5"/>
  <c r="I1530" i="5"/>
  <c r="G1530" i="5"/>
  <c r="F1530" i="5"/>
  <c r="E1530" i="5"/>
  <c r="X1529" i="5"/>
  <c r="Z1529" i="5" s="1"/>
  <c r="X1528" i="5"/>
  <c r="Z1528" i="5" s="1"/>
  <c r="Y1527" i="5"/>
  <c r="T1527" i="5"/>
  <c r="S1527" i="5"/>
  <c r="R1527" i="5"/>
  <c r="O1527" i="5"/>
  <c r="N1527" i="5"/>
  <c r="L1527" i="5"/>
  <c r="K1527" i="5"/>
  <c r="I1527" i="5"/>
  <c r="G1527" i="5"/>
  <c r="F1527" i="5"/>
  <c r="E1527" i="5"/>
  <c r="X1526" i="5"/>
  <c r="Z1526" i="5" s="1"/>
  <c r="X1525" i="5"/>
  <c r="Z1525" i="5" s="1"/>
  <c r="Y1524" i="5"/>
  <c r="T1524" i="5"/>
  <c r="S1524" i="5"/>
  <c r="R1524" i="5"/>
  <c r="O1524" i="5"/>
  <c r="N1524" i="5"/>
  <c r="L1524" i="5"/>
  <c r="K1524" i="5"/>
  <c r="I1524" i="5"/>
  <c r="G1524" i="5"/>
  <c r="F1524" i="5"/>
  <c r="E1524" i="5"/>
  <c r="X1523" i="5"/>
  <c r="Z1523" i="5" s="1"/>
  <c r="X1522" i="5"/>
  <c r="Z1522" i="5" s="1"/>
  <c r="Y1521" i="5"/>
  <c r="T1521" i="5"/>
  <c r="S1521" i="5"/>
  <c r="R1521" i="5"/>
  <c r="O1521" i="5"/>
  <c r="N1521" i="5"/>
  <c r="L1521" i="5"/>
  <c r="K1521" i="5"/>
  <c r="I1521" i="5"/>
  <c r="G1521" i="5"/>
  <c r="F1521" i="5"/>
  <c r="E1521" i="5"/>
  <c r="X1520" i="5"/>
  <c r="Z1520" i="5" s="1"/>
  <c r="X1519" i="5"/>
  <c r="Z1519" i="5" s="1"/>
  <c r="Y1518" i="5"/>
  <c r="T1518" i="5"/>
  <c r="S1518" i="5"/>
  <c r="R1518" i="5"/>
  <c r="O1518" i="5"/>
  <c r="N1518" i="5"/>
  <c r="L1518" i="5"/>
  <c r="K1518" i="5"/>
  <c r="I1518" i="5"/>
  <c r="G1518" i="5"/>
  <c r="F1518" i="5"/>
  <c r="E1518" i="5"/>
  <c r="X1517" i="5"/>
  <c r="Z1517" i="5" s="1"/>
  <c r="X1516" i="5"/>
  <c r="Z1516" i="5" s="1"/>
  <c r="Y1515" i="5"/>
  <c r="T1515" i="5"/>
  <c r="S1515" i="5"/>
  <c r="R1515" i="5"/>
  <c r="O1515" i="5"/>
  <c r="N1515" i="5"/>
  <c r="L1515" i="5"/>
  <c r="K1515" i="5"/>
  <c r="I1515" i="5"/>
  <c r="G1515" i="5"/>
  <c r="F1515" i="5"/>
  <c r="E1515" i="5"/>
  <c r="X1514" i="5"/>
  <c r="Z1514" i="5" s="1"/>
  <c r="X1513" i="5"/>
  <c r="Z1513" i="5" s="1"/>
  <c r="Y1512" i="5"/>
  <c r="T1512" i="5"/>
  <c r="S1512" i="5"/>
  <c r="R1512" i="5"/>
  <c r="O1512" i="5"/>
  <c r="N1512" i="5"/>
  <c r="L1512" i="5"/>
  <c r="K1512" i="5"/>
  <c r="I1512" i="5"/>
  <c r="G1512" i="5"/>
  <c r="F1512" i="5"/>
  <c r="E1512" i="5"/>
  <c r="X1511" i="5"/>
  <c r="Z1511" i="5" s="1"/>
  <c r="X1510" i="5"/>
  <c r="Z1510" i="5" s="1"/>
  <c r="Y1509" i="5"/>
  <c r="T1509" i="5"/>
  <c r="S1509" i="5"/>
  <c r="R1509" i="5"/>
  <c r="O1509" i="5"/>
  <c r="N1509" i="5"/>
  <c r="L1509" i="5"/>
  <c r="K1509" i="5"/>
  <c r="I1509" i="5"/>
  <c r="G1509" i="5"/>
  <c r="F1509" i="5"/>
  <c r="E1509" i="5"/>
  <c r="X1508" i="5"/>
  <c r="Z1508" i="5" s="1"/>
  <c r="X1507" i="5"/>
  <c r="Z1507" i="5" s="1"/>
  <c r="Y1506" i="5"/>
  <c r="T1506" i="5"/>
  <c r="S1506" i="5"/>
  <c r="R1506" i="5"/>
  <c r="O1506" i="5"/>
  <c r="N1506" i="5"/>
  <c r="L1506" i="5"/>
  <c r="K1506" i="5"/>
  <c r="I1506" i="5"/>
  <c r="G1506" i="5"/>
  <c r="F1506" i="5"/>
  <c r="E1506" i="5"/>
  <c r="X1505" i="5"/>
  <c r="Z1505" i="5" s="1"/>
  <c r="X1504" i="5"/>
  <c r="Z1504" i="5" s="1"/>
  <c r="Y1503" i="5"/>
  <c r="T1503" i="5"/>
  <c r="S1503" i="5"/>
  <c r="R1503" i="5"/>
  <c r="O1503" i="5"/>
  <c r="N1503" i="5"/>
  <c r="L1503" i="5"/>
  <c r="K1503" i="5"/>
  <c r="I1503" i="5"/>
  <c r="G1503" i="5"/>
  <c r="F1503" i="5"/>
  <c r="E1503" i="5"/>
  <c r="X1502" i="5"/>
  <c r="Z1502" i="5" s="1"/>
  <c r="X1501" i="5"/>
  <c r="Z1501" i="5" s="1"/>
  <c r="Y1500" i="5"/>
  <c r="T1500" i="5"/>
  <c r="S1500" i="5"/>
  <c r="R1500" i="5"/>
  <c r="O1500" i="5"/>
  <c r="N1500" i="5"/>
  <c r="L1500" i="5"/>
  <c r="K1500" i="5"/>
  <c r="I1500" i="5"/>
  <c r="G1500" i="5"/>
  <c r="F1500" i="5"/>
  <c r="E1500" i="5"/>
  <c r="X1499" i="5"/>
  <c r="Z1499" i="5" s="1"/>
  <c r="X1498" i="5"/>
  <c r="Z1498" i="5" s="1"/>
  <c r="P1497" i="5"/>
  <c r="H1497" i="5"/>
  <c r="E1497" i="5"/>
  <c r="X1496" i="5"/>
  <c r="Z1496" i="5" s="1"/>
  <c r="Y1495" i="5"/>
  <c r="T1495" i="5"/>
  <c r="S1495" i="5"/>
  <c r="R1495" i="5"/>
  <c r="O1495" i="5"/>
  <c r="N1495" i="5"/>
  <c r="L1495" i="5"/>
  <c r="K1495" i="5"/>
  <c r="I1495" i="5"/>
  <c r="G1495" i="5"/>
  <c r="F1495" i="5"/>
  <c r="E1495" i="5"/>
  <c r="Y1494" i="5"/>
  <c r="T1494" i="5"/>
  <c r="S1494" i="5"/>
  <c r="R1494" i="5"/>
  <c r="O1494" i="5"/>
  <c r="N1494" i="5"/>
  <c r="L1494" i="5"/>
  <c r="K1494" i="5"/>
  <c r="I1494" i="5"/>
  <c r="G1494" i="5"/>
  <c r="F1494" i="5"/>
  <c r="E1494" i="5"/>
  <c r="Y1493" i="5"/>
  <c r="T1493" i="5"/>
  <c r="S1493" i="5"/>
  <c r="R1493" i="5"/>
  <c r="O1493" i="5"/>
  <c r="N1493" i="5"/>
  <c r="L1493" i="5"/>
  <c r="K1493" i="5"/>
  <c r="I1493" i="5"/>
  <c r="G1493" i="5"/>
  <c r="F1493" i="5"/>
  <c r="E1493" i="5"/>
  <c r="Y1492" i="5"/>
  <c r="T1492" i="5"/>
  <c r="S1492" i="5"/>
  <c r="R1492" i="5"/>
  <c r="O1492" i="5"/>
  <c r="N1492" i="5"/>
  <c r="L1492" i="5"/>
  <c r="K1492" i="5"/>
  <c r="I1492" i="5"/>
  <c r="G1492" i="5"/>
  <c r="F1492" i="5"/>
  <c r="E1492" i="5"/>
  <c r="Y1491" i="5"/>
  <c r="T1491" i="5"/>
  <c r="S1491" i="5"/>
  <c r="R1491" i="5"/>
  <c r="O1491" i="5"/>
  <c r="N1491" i="5"/>
  <c r="L1491" i="5"/>
  <c r="K1491" i="5"/>
  <c r="I1491" i="5"/>
  <c r="G1491" i="5"/>
  <c r="F1491" i="5"/>
  <c r="E1491" i="5"/>
  <c r="Y1490" i="5"/>
  <c r="T1490" i="5"/>
  <c r="S1490" i="5"/>
  <c r="R1490" i="5"/>
  <c r="O1490" i="5"/>
  <c r="N1490" i="5"/>
  <c r="L1490" i="5"/>
  <c r="K1490" i="5"/>
  <c r="I1490" i="5"/>
  <c r="G1490" i="5"/>
  <c r="F1490" i="5"/>
  <c r="E1490" i="5"/>
  <c r="Y1489" i="5"/>
  <c r="T1489" i="5"/>
  <c r="S1489" i="5"/>
  <c r="R1489" i="5"/>
  <c r="O1489" i="5"/>
  <c r="N1489" i="5"/>
  <c r="L1489" i="5"/>
  <c r="K1489" i="5"/>
  <c r="I1489" i="5"/>
  <c r="G1489" i="5"/>
  <c r="F1489" i="5"/>
  <c r="E1489" i="5"/>
  <c r="Y1488" i="5"/>
  <c r="T1488" i="5"/>
  <c r="S1488" i="5"/>
  <c r="R1488" i="5"/>
  <c r="O1488" i="5"/>
  <c r="N1488" i="5"/>
  <c r="L1488" i="5"/>
  <c r="K1488" i="5"/>
  <c r="I1488" i="5"/>
  <c r="G1488" i="5"/>
  <c r="Y1487" i="5"/>
  <c r="T1487" i="5"/>
  <c r="S1487" i="5"/>
  <c r="R1487" i="5"/>
  <c r="O1487" i="5"/>
  <c r="N1487" i="5"/>
  <c r="L1487" i="5"/>
  <c r="K1487" i="5"/>
  <c r="I1487" i="5"/>
  <c r="G1487" i="5"/>
  <c r="F1487" i="5"/>
  <c r="E1487" i="5"/>
  <c r="Y1486" i="5"/>
  <c r="T1486" i="5"/>
  <c r="S1486" i="5"/>
  <c r="R1486" i="5"/>
  <c r="O1486" i="5"/>
  <c r="N1486" i="5"/>
  <c r="L1486" i="5"/>
  <c r="K1486" i="5"/>
  <c r="I1486" i="5"/>
  <c r="G1486" i="5"/>
  <c r="F1486" i="5"/>
  <c r="E1486" i="5"/>
  <c r="Y1485" i="5"/>
  <c r="T1485" i="5"/>
  <c r="S1485" i="5"/>
  <c r="R1485" i="5"/>
  <c r="O1485" i="5"/>
  <c r="N1485" i="5"/>
  <c r="L1485" i="5"/>
  <c r="K1485" i="5"/>
  <c r="I1485" i="5"/>
  <c r="G1485" i="5"/>
  <c r="F1485" i="5"/>
  <c r="Y1484" i="5"/>
  <c r="T1484" i="5"/>
  <c r="S1484" i="5"/>
  <c r="R1484" i="5"/>
  <c r="O1484" i="5"/>
  <c r="N1484" i="5"/>
  <c r="L1484" i="5"/>
  <c r="K1484" i="5"/>
  <c r="I1484" i="5"/>
  <c r="G1484" i="5"/>
  <c r="F1484" i="5"/>
  <c r="E1484" i="5"/>
  <c r="Y1483" i="5"/>
  <c r="T1483" i="5"/>
  <c r="S1483" i="5"/>
  <c r="R1483" i="5"/>
  <c r="O1483" i="5"/>
  <c r="N1483" i="5"/>
  <c r="L1483" i="5"/>
  <c r="K1483" i="5"/>
  <c r="I1483" i="5"/>
  <c r="G1483" i="5"/>
  <c r="F1483" i="5"/>
  <c r="Y1482" i="5"/>
  <c r="T1482" i="5"/>
  <c r="S1482" i="5"/>
  <c r="R1482" i="5"/>
  <c r="O1482" i="5"/>
  <c r="N1482" i="5"/>
  <c r="L1482" i="5"/>
  <c r="K1482" i="5"/>
  <c r="I1482" i="5"/>
  <c r="G1482" i="5"/>
  <c r="Y1481" i="5"/>
  <c r="T1481" i="5"/>
  <c r="S1481" i="5"/>
  <c r="R1481" i="5"/>
  <c r="O1481" i="5"/>
  <c r="N1481" i="5"/>
  <c r="L1481" i="5"/>
  <c r="K1481" i="5"/>
  <c r="I1481" i="5"/>
  <c r="G1481" i="5"/>
  <c r="Y1480" i="5"/>
  <c r="T1480" i="5"/>
  <c r="S1480" i="5"/>
  <c r="R1480" i="5"/>
  <c r="O1480" i="5"/>
  <c r="N1480" i="5"/>
  <c r="L1480" i="5"/>
  <c r="K1480" i="5"/>
  <c r="I1480" i="5"/>
  <c r="G1480" i="5"/>
  <c r="F1480" i="5"/>
  <c r="E1480" i="5"/>
  <c r="Y1479" i="5"/>
  <c r="T1479" i="5"/>
  <c r="S1479" i="5"/>
  <c r="R1479" i="5"/>
  <c r="O1479" i="5"/>
  <c r="N1479" i="5"/>
  <c r="L1479" i="5"/>
  <c r="K1479" i="5"/>
  <c r="I1479" i="5"/>
  <c r="G1479" i="5"/>
  <c r="E1479" i="5"/>
  <c r="Y1478" i="5"/>
  <c r="T1478" i="5"/>
  <c r="S1478" i="5"/>
  <c r="R1478" i="5"/>
  <c r="O1478" i="5"/>
  <c r="N1478" i="5"/>
  <c r="L1478" i="5"/>
  <c r="K1478" i="5"/>
  <c r="I1478" i="5"/>
  <c r="G1478" i="5"/>
  <c r="F1478" i="5"/>
  <c r="E1478" i="5"/>
  <c r="Y1477" i="5"/>
  <c r="T1477" i="5"/>
  <c r="S1477" i="5"/>
  <c r="R1477" i="5"/>
  <c r="O1477" i="5"/>
  <c r="N1477" i="5"/>
  <c r="L1477" i="5"/>
  <c r="K1477" i="5"/>
  <c r="I1477" i="5"/>
  <c r="G1477" i="5"/>
  <c r="F1477" i="5"/>
  <c r="Y1476" i="5"/>
  <c r="T1476" i="5"/>
  <c r="S1476" i="5"/>
  <c r="R1476" i="5"/>
  <c r="O1476" i="5"/>
  <c r="N1476" i="5"/>
  <c r="L1476" i="5"/>
  <c r="K1476" i="5"/>
  <c r="I1476" i="5"/>
  <c r="G1476" i="5"/>
  <c r="F1476" i="5"/>
  <c r="Y1475" i="5"/>
  <c r="T1475" i="5"/>
  <c r="S1475" i="5"/>
  <c r="R1475" i="5"/>
  <c r="O1475" i="5"/>
  <c r="N1475" i="5"/>
  <c r="L1475" i="5"/>
  <c r="I1475" i="5"/>
  <c r="G1475" i="5"/>
  <c r="F1475" i="5"/>
  <c r="E1475" i="5"/>
  <c r="Y1474" i="5"/>
  <c r="T1474" i="5"/>
  <c r="S1474" i="5"/>
  <c r="R1474" i="5"/>
  <c r="O1474" i="5"/>
  <c r="N1474" i="5"/>
  <c r="L1474" i="5"/>
  <c r="I1474" i="5"/>
  <c r="G1474" i="5"/>
  <c r="F1474" i="5"/>
  <c r="X1473" i="5"/>
  <c r="Z1473" i="5" s="1"/>
  <c r="X1472" i="5"/>
  <c r="Z1472" i="5" s="1"/>
  <c r="P1471" i="5"/>
  <c r="H1471" i="5"/>
  <c r="E1471" i="5"/>
  <c r="X1470" i="5"/>
  <c r="Z1470" i="5" s="1"/>
  <c r="Y1469" i="5"/>
  <c r="T1469" i="5"/>
  <c r="S1469" i="5"/>
  <c r="R1469" i="5"/>
  <c r="O1469" i="5"/>
  <c r="N1469" i="5"/>
  <c r="L1469" i="5"/>
  <c r="K1469" i="5"/>
  <c r="I1469" i="5"/>
  <c r="G1469" i="5"/>
  <c r="F1469" i="5"/>
  <c r="Y1468" i="5"/>
  <c r="W1468" i="5"/>
  <c r="V1468" i="5"/>
  <c r="T1468" i="5"/>
  <c r="S1468" i="5"/>
  <c r="R1468" i="5"/>
  <c r="Q1468" i="5"/>
  <c r="O1468" i="5"/>
  <c r="N1468" i="5"/>
  <c r="L1468" i="5"/>
  <c r="K1468" i="5"/>
  <c r="J1468" i="5"/>
  <c r="I1468" i="5"/>
  <c r="G1468" i="5"/>
  <c r="F1468" i="5"/>
  <c r="E1468" i="5"/>
  <c r="Y1467" i="5"/>
  <c r="W1467" i="5"/>
  <c r="V1467" i="5"/>
  <c r="T1467" i="5"/>
  <c r="S1467" i="5"/>
  <c r="R1467" i="5"/>
  <c r="Q1467" i="5"/>
  <c r="O1467" i="5"/>
  <c r="N1467" i="5"/>
  <c r="L1467" i="5"/>
  <c r="K1467" i="5"/>
  <c r="J1467" i="5"/>
  <c r="I1467" i="5"/>
  <c r="G1467" i="5"/>
  <c r="F1467" i="5"/>
  <c r="E1467" i="5"/>
  <c r="Y1466" i="5"/>
  <c r="W1466" i="5"/>
  <c r="T1466" i="5"/>
  <c r="S1466" i="5"/>
  <c r="R1466" i="5"/>
  <c r="Q1466" i="5"/>
  <c r="O1466" i="5"/>
  <c r="N1466" i="5"/>
  <c r="L1466" i="5"/>
  <c r="K1466" i="5"/>
  <c r="J1466" i="5"/>
  <c r="I1466" i="5"/>
  <c r="G1466" i="5"/>
  <c r="Y1465" i="5"/>
  <c r="W1465" i="5"/>
  <c r="T1465" i="5"/>
  <c r="S1465" i="5"/>
  <c r="R1465" i="5"/>
  <c r="Q1465" i="5"/>
  <c r="O1465" i="5"/>
  <c r="N1465" i="5"/>
  <c r="L1465" i="5"/>
  <c r="K1465" i="5"/>
  <c r="I1465" i="5"/>
  <c r="G1465" i="5"/>
  <c r="Y1464" i="5"/>
  <c r="W1464" i="5"/>
  <c r="T1464" i="5"/>
  <c r="S1464" i="5"/>
  <c r="R1464" i="5"/>
  <c r="Q1464" i="5"/>
  <c r="O1464" i="5"/>
  <c r="N1464" i="5"/>
  <c r="L1464" i="5"/>
  <c r="K1464" i="5"/>
  <c r="I1464" i="5"/>
  <c r="G1464" i="5"/>
  <c r="F1464" i="5"/>
  <c r="E1464" i="5"/>
  <c r="Y1463" i="5"/>
  <c r="T1463" i="5"/>
  <c r="S1463" i="5"/>
  <c r="R1463" i="5"/>
  <c r="O1463" i="5"/>
  <c r="N1463" i="5"/>
  <c r="L1463" i="5"/>
  <c r="K1463" i="5"/>
  <c r="I1463" i="5"/>
  <c r="G1463" i="5"/>
  <c r="F1463" i="5"/>
  <c r="Y1462" i="5"/>
  <c r="T1462" i="5"/>
  <c r="S1462" i="5"/>
  <c r="R1462" i="5"/>
  <c r="O1462" i="5"/>
  <c r="N1462" i="5"/>
  <c r="L1462" i="5"/>
  <c r="K1462" i="5"/>
  <c r="I1462" i="5"/>
  <c r="G1462" i="5"/>
  <c r="F1462" i="5"/>
  <c r="Y1461" i="5"/>
  <c r="T1461" i="5"/>
  <c r="S1461" i="5"/>
  <c r="R1461" i="5"/>
  <c r="O1461" i="5"/>
  <c r="N1461" i="5"/>
  <c r="L1461" i="5"/>
  <c r="K1461" i="5"/>
  <c r="I1461" i="5"/>
  <c r="G1461" i="5"/>
  <c r="Y1460" i="5"/>
  <c r="T1460" i="5"/>
  <c r="S1460" i="5"/>
  <c r="R1460" i="5"/>
  <c r="O1460" i="5"/>
  <c r="N1460" i="5"/>
  <c r="L1460" i="5"/>
  <c r="K1460" i="5"/>
  <c r="I1460" i="5"/>
  <c r="G1460" i="5"/>
  <c r="F1460" i="5"/>
  <c r="E1460" i="5"/>
  <c r="Y1459" i="5"/>
  <c r="W1459" i="5"/>
  <c r="T1459" i="5"/>
  <c r="S1459" i="5"/>
  <c r="R1459" i="5"/>
  <c r="Q1459" i="5"/>
  <c r="O1459" i="5"/>
  <c r="N1459" i="5"/>
  <c r="L1459" i="5"/>
  <c r="K1459" i="5"/>
  <c r="I1459" i="5"/>
  <c r="G1459" i="5"/>
  <c r="F1459" i="5"/>
  <c r="E1459" i="5"/>
  <c r="Y1458" i="5"/>
  <c r="W1458" i="5"/>
  <c r="T1458" i="5"/>
  <c r="S1458" i="5"/>
  <c r="R1458" i="5"/>
  <c r="Q1458" i="5"/>
  <c r="O1458" i="5"/>
  <c r="N1458" i="5"/>
  <c r="L1458" i="5"/>
  <c r="K1458" i="5"/>
  <c r="I1458" i="5"/>
  <c r="G1458" i="5"/>
  <c r="F1458" i="5"/>
  <c r="E1458" i="5"/>
  <c r="Y1457" i="5"/>
  <c r="T1457" i="5"/>
  <c r="S1457" i="5"/>
  <c r="R1457" i="5"/>
  <c r="O1457" i="5"/>
  <c r="N1457" i="5"/>
  <c r="L1457" i="5"/>
  <c r="K1457" i="5"/>
  <c r="I1457" i="5"/>
  <c r="G1457" i="5"/>
  <c r="Y1456" i="5"/>
  <c r="T1456" i="5"/>
  <c r="S1456" i="5"/>
  <c r="R1456" i="5"/>
  <c r="O1456" i="5"/>
  <c r="N1456" i="5"/>
  <c r="L1456" i="5"/>
  <c r="K1456" i="5"/>
  <c r="I1456" i="5"/>
  <c r="G1456" i="5"/>
  <c r="Y1455" i="5"/>
  <c r="T1455" i="5"/>
  <c r="S1455" i="5"/>
  <c r="R1455" i="5"/>
  <c r="O1455" i="5"/>
  <c r="N1455" i="5"/>
  <c r="L1455" i="5"/>
  <c r="K1455" i="5"/>
  <c r="I1455" i="5"/>
  <c r="G1455" i="5"/>
  <c r="F1455" i="5"/>
  <c r="E1455" i="5"/>
  <c r="Y1454" i="5"/>
  <c r="T1454" i="5"/>
  <c r="S1454" i="5"/>
  <c r="R1454" i="5"/>
  <c r="O1454" i="5"/>
  <c r="N1454" i="5"/>
  <c r="L1454" i="5"/>
  <c r="K1454" i="5"/>
  <c r="I1454" i="5"/>
  <c r="G1454" i="5"/>
  <c r="F1454" i="5"/>
  <c r="E1454" i="5"/>
  <c r="Y1453" i="5"/>
  <c r="T1453" i="5"/>
  <c r="S1453" i="5"/>
  <c r="R1453" i="5"/>
  <c r="O1453" i="5"/>
  <c r="N1453" i="5"/>
  <c r="L1453" i="5"/>
  <c r="K1453" i="5"/>
  <c r="I1453" i="5"/>
  <c r="G1453" i="5"/>
  <c r="Y1452" i="5"/>
  <c r="T1452" i="5"/>
  <c r="S1452" i="5"/>
  <c r="R1452" i="5"/>
  <c r="O1452" i="5"/>
  <c r="N1452" i="5"/>
  <c r="L1452" i="5"/>
  <c r="K1452" i="5"/>
  <c r="I1452" i="5"/>
  <c r="G1452" i="5"/>
  <c r="F1452" i="5"/>
  <c r="E1452" i="5"/>
  <c r="Y1451" i="5"/>
  <c r="T1451" i="5"/>
  <c r="S1451" i="5"/>
  <c r="R1451" i="5"/>
  <c r="O1451" i="5"/>
  <c r="N1451" i="5"/>
  <c r="L1451" i="5"/>
  <c r="K1451" i="5"/>
  <c r="I1451" i="5"/>
  <c r="G1451" i="5"/>
  <c r="F1451" i="5"/>
  <c r="E1451" i="5"/>
  <c r="Y1450" i="5"/>
  <c r="T1450" i="5"/>
  <c r="S1450" i="5"/>
  <c r="R1450" i="5"/>
  <c r="O1450" i="5"/>
  <c r="N1450" i="5"/>
  <c r="L1450" i="5"/>
  <c r="K1450" i="5"/>
  <c r="I1450" i="5"/>
  <c r="G1450" i="5"/>
  <c r="E1450" i="5"/>
  <c r="Y1449" i="5"/>
  <c r="T1449" i="5"/>
  <c r="S1449" i="5"/>
  <c r="R1449" i="5"/>
  <c r="O1449" i="5"/>
  <c r="N1449" i="5"/>
  <c r="L1449" i="5"/>
  <c r="K1449" i="5"/>
  <c r="I1449" i="5"/>
  <c r="G1449" i="5"/>
  <c r="Y1448" i="5"/>
  <c r="T1448" i="5"/>
  <c r="S1448" i="5"/>
  <c r="R1448" i="5"/>
  <c r="O1448" i="5"/>
  <c r="N1448" i="5"/>
  <c r="L1448" i="5"/>
  <c r="K1448" i="5"/>
  <c r="I1448" i="5"/>
  <c r="G1448" i="5"/>
  <c r="E1448" i="5"/>
  <c r="Y1447" i="5"/>
  <c r="T1447" i="5"/>
  <c r="S1447" i="5"/>
  <c r="R1447" i="5"/>
  <c r="O1447" i="5"/>
  <c r="N1447" i="5"/>
  <c r="L1447" i="5"/>
  <c r="K1447" i="5"/>
  <c r="I1447" i="5"/>
  <c r="G1447" i="5"/>
  <c r="F1447" i="5"/>
  <c r="Y1446" i="5"/>
  <c r="T1446" i="5"/>
  <c r="S1446" i="5"/>
  <c r="R1446" i="5"/>
  <c r="O1446" i="5"/>
  <c r="N1446" i="5"/>
  <c r="L1446" i="5"/>
  <c r="K1446" i="5"/>
  <c r="I1446" i="5"/>
  <c r="G1446" i="5"/>
  <c r="F1446" i="5"/>
  <c r="E1446" i="5"/>
  <c r="Y1445" i="5"/>
  <c r="T1445" i="5"/>
  <c r="S1445" i="5"/>
  <c r="R1445" i="5"/>
  <c r="O1445" i="5"/>
  <c r="N1445" i="5"/>
  <c r="L1445" i="5"/>
  <c r="K1445" i="5"/>
  <c r="I1445" i="5"/>
  <c r="G1445" i="5"/>
  <c r="F1445" i="5"/>
  <c r="E1445" i="5"/>
  <c r="Y1444" i="5"/>
  <c r="T1444" i="5"/>
  <c r="S1444" i="5"/>
  <c r="R1444" i="5"/>
  <c r="O1444" i="5"/>
  <c r="N1444" i="5"/>
  <c r="L1444" i="5"/>
  <c r="K1444" i="5"/>
  <c r="I1444" i="5"/>
  <c r="G1444" i="5"/>
  <c r="F1444" i="5"/>
  <c r="Y1443" i="5"/>
  <c r="T1443" i="5"/>
  <c r="S1443" i="5"/>
  <c r="R1443" i="5"/>
  <c r="O1443" i="5"/>
  <c r="N1443" i="5"/>
  <c r="L1443" i="5"/>
  <c r="K1443" i="5"/>
  <c r="I1443" i="5"/>
  <c r="G1443" i="5"/>
  <c r="F1443" i="5"/>
  <c r="Y1442" i="5"/>
  <c r="T1442" i="5"/>
  <c r="S1442" i="5"/>
  <c r="R1442" i="5"/>
  <c r="O1442" i="5"/>
  <c r="N1442" i="5"/>
  <c r="L1442" i="5"/>
  <c r="K1442" i="5"/>
  <c r="I1442" i="5"/>
  <c r="G1442" i="5"/>
  <c r="F1442" i="5"/>
  <c r="E1442" i="5"/>
  <c r="Y1441" i="5"/>
  <c r="T1441" i="5"/>
  <c r="S1441" i="5"/>
  <c r="R1441" i="5"/>
  <c r="O1441" i="5"/>
  <c r="N1441" i="5"/>
  <c r="L1441" i="5"/>
  <c r="K1441" i="5"/>
  <c r="I1441" i="5"/>
  <c r="G1441" i="5"/>
  <c r="F1441" i="5"/>
  <c r="Y1440" i="5"/>
  <c r="T1440" i="5"/>
  <c r="S1440" i="5"/>
  <c r="R1440" i="5"/>
  <c r="O1440" i="5"/>
  <c r="N1440" i="5"/>
  <c r="L1440" i="5"/>
  <c r="K1440" i="5"/>
  <c r="I1440" i="5"/>
  <c r="G1440" i="5"/>
  <c r="F1440" i="5"/>
  <c r="Y1439" i="5"/>
  <c r="T1439" i="5"/>
  <c r="S1439" i="5"/>
  <c r="R1439" i="5"/>
  <c r="O1439" i="5"/>
  <c r="N1439" i="5"/>
  <c r="L1439" i="5"/>
  <c r="K1439" i="5"/>
  <c r="I1439" i="5"/>
  <c r="G1439" i="5"/>
  <c r="F1439" i="5"/>
  <c r="E1439" i="5"/>
  <c r="Y1438" i="5"/>
  <c r="T1438" i="5"/>
  <c r="S1438" i="5"/>
  <c r="R1438" i="5"/>
  <c r="O1438" i="5"/>
  <c r="N1438" i="5"/>
  <c r="L1438" i="5"/>
  <c r="K1438" i="5"/>
  <c r="I1438" i="5"/>
  <c r="G1438" i="5"/>
  <c r="F1438" i="5"/>
  <c r="Y1437" i="5"/>
  <c r="T1437" i="5"/>
  <c r="S1437" i="5"/>
  <c r="R1437" i="5"/>
  <c r="O1437" i="5"/>
  <c r="N1437" i="5"/>
  <c r="L1437" i="5"/>
  <c r="K1437" i="5"/>
  <c r="I1437" i="5"/>
  <c r="G1437" i="5"/>
  <c r="F1437" i="5"/>
  <c r="E1437" i="5"/>
  <c r="Y1436" i="5"/>
  <c r="T1436" i="5"/>
  <c r="S1436" i="5"/>
  <c r="R1436" i="5"/>
  <c r="O1436" i="5"/>
  <c r="N1436" i="5"/>
  <c r="L1436" i="5"/>
  <c r="K1436" i="5"/>
  <c r="I1436" i="5"/>
  <c r="G1436" i="5"/>
  <c r="F1436" i="5"/>
  <c r="X1435" i="5"/>
  <c r="Z1435" i="5" s="1"/>
  <c r="X1434" i="5"/>
  <c r="Z1434" i="5" s="1"/>
  <c r="P1433" i="5"/>
  <c r="H1433" i="5"/>
  <c r="E1433" i="5"/>
  <c r="X1432" i="5"/>
  <c r="Z1432" i="5" s="1"/>
  <c r="Y1431" i="5"/>
  <c r="T1431" i="5"/>
  <c r="S1431" i="5"/>
  <c r="R1431" i="5"/>
  <c r="O1431" i="5"/>
  <c r="N1431" i="5"/>
  <c r="L1431" i="5"/>
  <c r="K1431" i="5"/>
  <c r="I1431" i="5"/>
  <c r="G1431" i="5"/>
  <c r="Y1430" i="5"/>
  <c r="T1430" i="5"/>
  <c r="S1430" i="5"/>
  <c r="R1430" i="5"/>
  <c r="O1430" i="5"/>
  <c r="N1430" i="5"/>
  <c r="L1430" i="5"/>
  <c r="K1430" i="5"/>
  <c r="I1430" i="5"/>
  <c r="G1430" i="5"/>
  <c r="F1430" i="5"/>
  <c r="Y1429" i="5"/>
  <c r="T1429" i="5"/>
  <c r="S1429" i="5"/>
  <c r="R1429" i="5"/>
  <c r="O1429" i="5"/>
  <c r="N1429" i="5"/>
  <c r="L1429" i="5"/>
  <c r="K1429" i="5"/>
  <c r="I1429" i="5"/>
  <c r="G1429" i="5"/>
  <c r="F1429" i="5"/>
  <c r="E1429" i="5"/>
  <c r="Y1428" i="5"/>
  <c r="W1428" i="5"/>
  <c r="T1428" i="5"/>
  <c r="S1428" i="5"/>
  <c r="R1428" i="5"/>
  <c r="Q1428" i="5"/>
  <c r="O1428" i="5"/>
  <c r="N1428" i="5"/>
  <c r="L1428" i="5"/>
  <c r="K1428" i="5"/>
  <c r="J1428" i="5"/>
  <c r="I1428" i="5"/>
  <c r="G1428" i="5"/>
  <c r="Y1427" i="5"/>
  <c r="T1427" i="5"/>
  <c r="S1427" i="5"/>
  <c r="R1427" i="5"/>
  <c r="Q1427" i="5"/>
  <c r="O1427" i="5"/>
  <c r="N1427" i="5"/>
  <c r="L1427" i="5"/>
  <c r="K1427" i="5"/>
  <c r="J1427" i="5"/>
  <c r="I1427" i="5"/>
  <c r="G1427" i="5"/>
  <c r="Y1426" i="5"/>
  <c r="T1426" i="5"/>
  <c r="S1426" i="5"/>
  <c r="R1426" i="5"/>
  <c r="O1426" i="5"/>
  <c r="N1426" i="5"/>
  <c r="L1426" i="5"/>
  <c r="K1426" i="5"/>
  <c r="I1426" i="5"/>
  <c r="G1426" i="5"/>
  <c r="F1426" i="5"/>
  <c r="E1426" i="5"/>
  <c r="Y1425" i="5"/>
  <c r="T1425" i="5"/>
  <c r="S1425" i="5"/>
  <c r="R1425" i="5"/>
  <c r="O1425" i="5"/>
  <c r="N1425" i="5"/>
  <c r="L1425" i="5"/>
  <c r="K1425" i="5"/>
  <c r="I1425" i="5"/>
  <c r="G1425" i="5"/>
  <c r="Y1424" i="5"/>
  <c r="T1424" i="5"/>
  <c r="S1424" i="5"/>
  <c r="R1424" i="5"/>
  <c r="O1424" i="5"/>
  <c r="N1424" i="5"/>
  <c r="L1424" i="5"/>
  <c r="K1424" i="5"/>
  <c r="I1424" i="5"/>
  <c r="G1424" i="5"/>
  <c r="F1424" i="5"/>
  <c r="E1424" i="5"/>
  <c r="Y1423" i="5"/>
  <c r="T1423" i="5"/>
  <c r="S1423" i="5"/>
  <c r="R1423" i="5"/>
  <c r="O1423" i="5"/>
  <c r="N1423" i="5"/>
  <c r="L1423" i="5"/>
  <c r="K1423" i="5"/>
  <c r="I1423" i="5"/>
  <c r="G1423" i="5"/>
  <c r="Y1422" i="5"/>
  <c r="T1422" i="5"/>
  <c r="S1422" i="5"/>
  <c r="R1422" i="5"/>
  <c r="O1422" i="5"/>
  <c r="N1422" i="5"/>
  <c r="L1422" i="5"/>
  <c r="K1422" i="5"/>
  <c r="I1422" i="5"/>
  <c r="G1422" i="5"/>
  <c r="F1422" i="5"/>
  <c r="E1422" i="5"/>
  <c r="Y1421" i="5"/>
  <c r="T1421" i="5"/>
  <c r="S1421" i="5"/>
  <c r="R1421" i="5"/>
  <c r="O1421" i="5"/>
  <c r="N1421" i="5"/>
  <c r="L1421" i="5"/>
  <c r="K1421" i="5"/>
  <c r="I1421" i="5"/>
  <c r="G1421" i="5"/>
  <c r="Y1420" i="5"/>
  <c r="T1420" i="5"/>
  <c r="S1420" i="5"/>
  <c r="R1420" i="5"/>
  <c r="O1420" i="5"/>
  <c r="N1420" i="5"/>
  <c r="L1420" i="5"/>
  <c r="K1420" i="5"/>
  <c r="I1420" i="5"/>
  <c r="G1420" i="5"/>
  <c r="F1420" i="5"/>
  <c r="E1420" i="5"/>
  <c r="Y1419" i="5"/>
  <c r="T1419" i="5"/>
  <c r="S1419" i="5"/>
  <c r="R1419" i="5"/>
  <c r="O1419" i="5"/>
  <c r="N1419" i="5"/>
  <c r="L1419" i="5"/>
  <c r="K1419" i="5"/>
  <c r="I1419" i="5"/>
  <c r="G1419" i="5"/>
  <c r="F1419" i="5"/>
  <c r="E1419" i="5"/>
  <c r="Y1418" i="5"/>
  <c r="T1418" i="5"/>
  <c r="S1418" i="5"/>
  <c r="R1418" i="5"/>
  <c r="O1418" i="5"/>
  <c r="N1418" i="5"/>
  <c r="L1418" i="5"/>
  <c r="K1418" i="5"/>
  <c r="I1418" i="5"/>
  <c r="G1418" i="5"/>
  <c r="F1418" i="5"/>
  <c r="E1418" i="5"/>
  <c r="Y1417" i="5"/>
  <c r="T1417" i="5"/>
  <c r="S1417" i="5"/>
  <c r="R1417" i="5"/>
  <c r="O1417" i="5"/>
  <c r="N1417" i="5"/>
  <c r="L1417" i="5"/>
  <c r="K1417" i="5"/>
  <c r="I1417" i="5"/>
  <c r="G1417" i="5"/>
  <c r="Y1416" i="5"/>
  <c r="T1416" i="5"/>
  <c r="S1416" i="5"/>
  <c r="R1416" i="5"/>
  <c r="O1416" i="5"/>
  <c r="N1416" i="5"/>
  <c r="L1416" i="5"/>
  <c r="K1416" i="5"/>
  <c r="I1416" i="5"/>
  <c r="G1416" i="5"/>
  <c r="F1416" i="5"/>
  <c r="E1416" i="5"/>
  <c r="Y1415" i="5"/>
  <c r="T1415" i="5"/>
  <c r="S1415" i="5"/>
  <c r="R1415" i="5"/>
  <c r="O1415" i="5"/>
  <c r="N1415" i="5"/>
  <c r="L1415" i="5"/>
  <c r="K1415" i="5"/>
  <c r="I1415" i="5"/>
  <c r="G1415" i="5"/>
  <c r="F1415" i="5"/>
  <c r="Y1414" i="5"/>
  <c r="T1414" i="5"/>
  <c r="S1414" i="5"/>
  <c r="R1414" i="5"/>
  <c r="O1414" i="5"/>
  <c r="N1414" i="5"/>
  <c r="L1414" i="5"/>
  <c r="K1414" i="5"/>
  <c r="I1414" i="5"/>
  <c r="G1414" i="5"/>
  <c r="Y1413" i="5"/>
  <c r="T1413" i="5"/>
  <c r="S1413" i="5"/>
  <c r="R1413" i="5"/>
  <c r="O1413" i="5"/>
  <c r="N1413" i="5"/>
  <c r="L1413" i="5"/>
  <c r="K1413" i="5"/>
  <c r="I1413" i="5"/>
  <c r="G1413" i="5"/>
  <c r="F1413" i="5"/>
  <c r="E1413" i="5"/>
  <c r="Y1412" i="5"/>
  <c r="T1412" i="5"/>
  <c r="S1412" i="5"/>
  <c r="R1412" i="5"/>
  <c r="O1412" i="5"/>
  <c r="N1412" i="5"/>
  <c r="L1412" i="5"/>
  <c r="K1412" i="5"/>
  <c r="I1412" i="5"/>
  <c r="G1412" i="5"/>
  <c r="E1412" i="5"/>
  <c r="Y1411" i="5"/>
  <c r="T1411" i="5"/>
  <c r="S1411" i="5"/>
  <c r="R1411" i="5"/>
  <c r="O1411" i="5"/>
  <c r="N1411" i="5"/>
  <c r="L1411" i="5"/>
  <c r="K1411" i="5"/>
  <c r="I1411" i="5"/>
  <c r="G1411" i="5"/>
  <c r="F1411" i="5"/>
  <c r="E1411" i="5"/>
  <c r="Y1410" i="5"/>
  <c r="T1410" i="5"/>
  <c r="S1410" i="5"/>
  <c r="R1410" i="5"/>
  <c r="O1410" i="5"/>
  <c r="N1410" i="5"/>
  <c r="L1410" i="5"/>
  <c r="K1410" i="5"/>
  <c r="I1410" i="5"/>
  <c r="G1410" i="5"/>
  <c r="F1410" i="5"/>
  <c r="E1410" i="5"/>
  <c r="Y1409" i="5"/>
  <c r="T1409" i="5"/>
  <c r="S1409" i="5"/>
  <c r="R1409" i="5"/>
  <c r="O1409" i="5"/>
  <c r="N1409" i="5"/>
  <c r="L1409" i="5"/>
  <c r="K1409" i="5"/>
  <c r="I1409" i="5"/>
  <c r="G1409" i="5"/>
  <c r="F1409" i="5"/>
  <c r="E1409" i="5"/>
  <c r="Y1408" i="5"/>
  <c r="T1408" i="5"/>
  <c r="S1408" i="5"/>
  <c r="R1408" i="5"/>
  <c r="O1408" i="5"/>
  <c r="N1408" i="5"/>
  <c r="L1408" i="5"/>
  <c r="K1408" i="5"/>
  <c r="I1408" i="5"/>
  <c r="G1408" i="5"/>
  <c r="F1408" i="5"/>
  <c r="Y1407" i="5"/>
  <c r="T1407" i="5"/>
  <c r="S1407" i="5"/>
  <c r="R1407" i="5"/>
  <c r="O1407" i="5"/>
  <c r="N1407" i="5"/>
  <c r="L1407" i="5"/>
  <c r="I1407" i="5"/>
  <c r="G1407" i="5"/>
  <c r="F1407" i="5"/>
  <c r="Y1406" i="5"/>
  <c r="T1406" i="5"/>
  <c r="S1406" i="5"/>
  <c r="R1406" i="5"/>
  <c r="O1406" i="5"/>
  <c r="N1406" i="5"/>
  <c r="L1406" i="5"/>
  <c r="K1406" i="5"/>
  <c r="I1406" i="5"/>
  <c r="G1406" i="5"/>
  <c r="F1406" i="5"/>
  <c r="Y1405" i="5"/>
  <c r="T1405" i="5"/>
  <c r="S1405" i="5"/>
  <c r="R1405" i="5"/>
  <c r="O1405" i="5"/>
  <c r="N1405" i="5"/>
  <c r="L1405" i="5"/>
  <c r="K1405" i="5"/>
  <c r="I1405" i="5"/>
  <c r="G1405" i="5"/>
  <c r="F1405" i="5"/>
  <c r="X1404" i="5"/>
  <c r="Z1404" i="5" s="1"/>
  <c r="X1403" i="5"/>
  <c r="Z1403" i="5" s="1"/>
  <c r="P1402" i="5"/>
  <c r="H1402" i="5"/>
  <c r="E1402" i="5"/>
  <c r="X1401" i="5"/>
  <c r="Z1401" i="5" s="1"/>
  <c r="Y1400" i="5"/>
  <c r="T1400" i="5"/>
  <c r="S1400" i="5"/>
  <c r="R1400" i="5"/>
  <c r="O1400" i="5"/>
  <c r="N1400" i="5"/>
  <c r="L1400" i="5"/>
  <c r="K1400" i="5"/>
  <c r="G1400" i="5"/>
  <c r="Y1399" i="5"/>
  <c r="T1399" i="5"/>
  <c r="S1399" i="5"/>
  <c r="R1399" i="5"/>
  <c r="O1399" i="5"/>
  <c r="N1399" i="5"/>
  <c r="L1399" i="5"/>
  <c r="K1399" i="5"/>
  <c r="I1399" i="5"/>
  <c r="G1399" i="5"/>
  <c r="F1399" i="5"/>
  <c r="Y1398" i="5"/>
  <c r="T1398" i="5"/>
  <c r="S1398" i="5"/>
  <c r="R1398" i="5"/>
  <c r="O1398" i="5"/>
  <c r="N1398" i="5"/>
  <c r="L1398" i="5"/>
  <c r="K1398" i="5"/>
  <c r="I1398" i="5"/>
  <c r="G1398" i="5"/>
  <c r="F1398" i="5"/>
  <c r="E1398" i="5"/>
  <c r="Y1397" i="5"/>
  <c r="T1397" i="5"/>
  <c r="S1397" i="5"/>
  <c r="R1397" i="5"/>
  <c r="O1397" i="5"/>
  <c r="N1397" i="5"/>
  <c r="L1397" i="5"/>
  <c r="K1397" i="5"/>
  <c r="I1397" i="5"/>
  <c r="G1397" i="5"/>
  <c r="F1397" i="5"/>
  <c r="E1397" i="5"/>
  <c r="Y1396" i="5"/>
  <c r="W1396" i="5"/>
  <c r="V1396" i="5"/>
  <c r="T1396" i="5"/>
  <c r="S1396" i="5"/>
  <c r="R1396" i="5"/>
  <c r="Q1396" i="5"/>
  <c r="O1396" i="5"/>
  <c r="N1396" i="5"/>
  <c r="L1396" i="5"/>
  <c r="K1396" i="5"/>
  <c r="J1396" i="5"/>
  <c r="I1396" i="5"/>
  <c r="G1396" i="5"/>
  <c r="F1396" i="5"/>
  <c r="E1396" i="5"/>
  <c r="Y1395" i="5"/>
  <c r="T1395" i="5"/>
  <c r="S1395" i="5"/>
  <c r="R1395" i="5"/>
  <c r="Q1395" i="5"/>
  <c r="P1395" i="5"/>
  <c r="O1395" i="5"/>
  <c r="N1395" i="5"/>
  <c r="L1395" i="5"/>
  <c r="K1395" i="5"/>
  <c r="I1395" i="5"/>
  <c r="G1395" i="5"/>
  <c r="F1395" i="5"/>
  <c r="E1395" i="5"/>
  <c r="Y1394" i="5"/>
  <c r="T1394" i="5"/>
  <c r="S1394" i="5"/>
  <c r="R1394" i="5"/>
  <c r="O1394" i="5"/>
  <c r="N1394" i="5"/>
  <c r="L1394" i="5"/>
  <c r="K1394" i="5"/>
  <c r="I1394" i="5"/>
  <c r="G1394" i="5"/>
  <c r="F1394" i="5"/>
  <c r="E1394" i="5"/>
  <c r="Y1393" i="5"/>
  <c r="T1393" i="5"/>
  <c r="S1393" i="5"/>
  <c r="R1393" i="5"/>
  <c r="O1393" i="5"/>
  <c r="N1393" i="5"/>
  <c r="L1393" i="5"/>
  <c r="K1393" i="5"/>
  <c r="I1393" i="5"/>
  <c r="G1393" i="5"/>
  <c r="F1393" i="5"/>
  <c r="E1393" i="5"/>
  <c r="Y1392" i="5"/>
  <c r="T1392" i="5"/>
  <c r="S1392" i="5"/>
  <c r="R1392" i="5"/>
  <c r="O1392" i="5"/>
  <c r="N1392" i="5"/>
  <c r="L1392" i="5"/>
  <c r="K1392" i="5"/>
  <c r="I1392" i="5"/>
  <c r="G1392" i="5"/>
  <c r="Y1391" i="5"/>
  <c r="T1391" i="5"/>
  <c r="S1391" i="5"/>
  <c r="R1391" i="5"/>
  <c r="O1391" i="5"/>
  <c r="N1391" i="5"/>
  <c r="L1391" i="5"/>
  <c r="K1391" i="5"/>
  <c r="I1391" i="5"/>
  <c r="G1391" i="5"/>
  <c r="Y1390" i="5"/>
  <c r="T1390" i="5"/>
  <c r="S1390" i="5"/>
  <c r="R1390" i="5"/>
  <c r="O1390" i="5"/>
  <c r="N1390" i="5"/>
  <c r="L1390" i="5"/>
  <c r="K1390" i="5"/>
  <c r="I1390" i="5"/>
  <c r="G1390" i="5"/>
  <c r="F1390" i="5"/>
  <c r="Y1389" i="5"/>
  <c r="T1389" i="5"/>
  <c r="S1389" i="5"/>
  <c r="R1389" i="5"/>
  <c r="O1389" i="5"/>
  <c r="N1389" i="5"/>
  <c r="L1389" i="5"/>
  <c r="K1389" i="5"/>
  <c r="I1389" i="5"/>
  <c r="G1389" i="5"/>
  <c r="Y1388" i="5"/>
  <c r="T1388" i="5"/>
  <c r="S1388" i="5"/>
  <c r="R1388" i="5"/>
  <c r="O1388" i="5"/>
  <c r="N1388" i="5"/>
  <c r="L1388" i="5"/>
  <c r="K1388" i="5"/>
  <c r="I1388" i="5"/>
  <c r="G1388" i="5"/>
  <c r="F1388" i="5"/>
  <c r="Y1387" i="5"/>
  <c r="T1387" i="5"/>
  <c r="S1387" i="5"/>
  <c r="R1387" i="5"/>
  <c r="O1387" i="5"/>
  <c r="N1387" i="5"/>
  <c r="L1387" i="5"/>
  <c r="K1387" i="5"/>
  <c r="I1387" i="5"/>
  <c r="G1387" i="5"/>
  <c r="F1387" i="5"/>
  <c r="E1387" i="5"/>
  <c r="Y1386" i="5"/>
  <c r="T1386" i="5"/>
  <c r="S1386" i="5"/>
  <c r="R1386" i="5"/>
  <c r="O1386" i="5"/>
  <c r="N1386" i="5"/>
  <c r="L1386" i="5"/>
  <c r="K1386" i="5"/>
  <c r="I1386" i="5"/>
  <c r="G1386" i="5"/>
  <c r="F1386" i="5"/>
  <c r="E1386" i="5"/>
  <c r="Y1385" i="5"/>
  <c r="T1385" i="5"/>
  <c r="S1385" i="5"/>
  <c r="R1385" i="5"/>
  <c r="O1385" i="5"/>
  <c r="N1385" i="5"/>
  <c r="L1385" i="5"/>
  <c r="K1385" i="5"/>
  <c r="I1385" i="5"/>
  <c r="G1385" i="5"/>
  <c r="F1385" i="5"/>
  <c r="E1385" i="5"/>
  <c r="Y1384" i="5"/>
  <c r="T1384" i="5"/>
  <c r="S1384" i="5"/>
  <c r="R1384" i="5"/>
  <c r="O1384" i="5"/>
  <c r="N1384" i="5"/>
  <c r="L1384" i="5"/>
  <c r="K1384" i="5"/>
  <c r="I1384" i="5"/>
  <c r="G1384" i="5"/>
  <c r="F1384" i="5"/>
  <c r="E1384" i="5"/>
  <c r="Y1383" i="5"/>
  <c r="T1383" i="5"/>
  <c r="S1383" i="5"/>
  <c r="R1383" i="5"/>
  <c r="O1383" i="5"/>
  <c r="N1383" i="5"/>
  <c r="L1383" i="5"/>
  <c r="K1383" i="5"/>
  <c r="I1383" i="5"/>
  <c r="G1383" i="5"/>
  <c r="F1383" i="5"/>
  <c r="E1383" i="5"/>
  <c r="Y1382" i="5"/>
  <c r="T1382" i="5"/>
  <c r="S1382" i="5"/>
  <c r="R1382" i="5"/>
  <c r="O1382" i="5"/>
  <c r="N1382" i="5"/>
  <c r="L1382" i="5"/>
  <c r="K1382" i="5"/>
  <c r="I1382" i="5"/>
  <c r="G1382" i="5"/>
  <c r="F1382" i="5"/>
  <c r="E1382" i="5"/>
  <c r="Y1381" i="5"/>
  <c r="T1381" i="5"/>
  <c r="S1381" i="5"/>
  <c r="R1381" i="5"/>
  <c r="O1381" i="5"/>
  <c r="N1381" i="5"/>
  <c r="L1381" i="5"/>
  <c r="K1381" i="5"/>
  <c r="I1381" i="5"/>
  <c r="G1381" i="5"/>
  <c r="F1381" i="5"/>
  <c r="Y1380" i="5"/>
  <c r="T1380" i="5"/>
  <c r="S1380" i="5"/>
  <c r="R1380" i="5"/>
  <c r="O1380" i="5"/>
  <c r="N1380" i="5"/>
  <c r="L1380" i="5"/>
  <c r="I1380" i="5"/>
  <c r="G1380" i="5"/>
  <c r="F1380" i="5"/>
  <c r="Y1379" i="5"/>
  <c r="T1379" i="5"/>
  <c r="S1379" i="5"/>
  <c r="R1379" i="5"/>
  <c r="O1379" i="5"/>
  <c r="N1379" i="5"/>
  <c r="L1379" i="5"/>
  <c r="I1379" i="5"/>
  <c r="G1379" i="5"/>
  <c r="Y1378" i="5"/>
  <c r="T1378" i="5"/>
  <c r="S1378" i="5"/>
  <c r="R1378" i="5"/>
  <c r="O1378" i="5"/>
  <c r="N1378" i="5"/>
  <c r="L1378" i="5"/>
  <c r="K1378" i="5"/>
  <c r="I1378" i="5"/>
  <c r="G1378" i="5"/>
  <c r="F1378" i="5"/>
  <c r="X1377" i="5"/>
  <c r="Z1377" i="5" s="1"/>
  <c r="X1376" i="5"/>
  <c r="Z1376" i="5" s="1"/>
  <c r="P1375" i="5"/>
  <c r="H1375" i="5"/>
  <c r="E1375" i="5"/>
  <c r="X1374" i="5"/>
  <c r="Z1374" i="5" s="1"/>
  <c r="Y1373" i="5"/>
  <c r="T1373" i="5"/>
  <c r="S1373" i="5"/>
  <c r="R1373" i="5"/>
  <c r="O1373" i="5"/>
  <c r="N1373" i="5"/>
  <c r="L1373" i="5"/>
  <c r="K1373" i="5"/>
  <c r="I1373" i="5"/>
  <c r="G1373" i="5"/>
  <c r="F1373" i="5"/>
  <c r="Y1372" i="5"/>
  <c r="T1372" i="5"/>
  <c r="S1372" i="5"/>
  <c r="R1372" i="5"/>
  <c r="O1372" i="5"/>
  <c r="N1372" i="5"/>
  <c r="L1372" i="5"/>
  <c r="K1372" i="5"/>
  <c r="I1372" i="5"/>
  <c r="G1372" i="5"/>
  <c r="F1372" i="5"/>
  <c r="E1372" i="5"/>
  <c r="Y1371" i="5"/>
  <c r="T1371" i="5"/>
  <c r="S1371" i="5"/>
  <c r="R1371" i="5"/>
  <c r="O1371" i="5"/>
  <c r="N1371" i="5"/>
  <c r="L1371" i="5"/>
  <c r="K1371" i="5"/>
  <c r="I1371" i="5"/>
  <c r="G1371" i="5"/>
  <c r="F1371" i="5"/>
  <c r="E1371" i="5"/>
  <c r="Y1370" i="5"/>
  <c r="T1370" i="5"/>
  <c r="S1370" i="5"/>
  <c r="R1370" i="5"/>
  <c r="O1370" i="5"/>
  <c r="N1370" i="5"/>
  <c r="L1370" i="5"/>
  <c r="K1370" i="5"/>
  <c r="I1370" i="5"/>
  <c r="G1370" i="5"/>
  <c r="F1370" i="5"/>
  <c r="E1370" i="5"/>
  <c r="Y1369" i="5"/>
  <c r="T1369" i="5"/>
  <c r="S1369" i="5"/>
  <c r="R1369" i="5"/>
  <c r="O1369" i="5"/>
  <c r="N1369" i="5"/>
  <c r="L1369" i="5"/>
  <c r="K1369" i="5"/>
  <c r="I1369" i="5"/>
  <c r="G1369" i="5"/>
  <c r="F1369" i="5"/>
  <c r="E1369" i="5"/>
  <c r="Y1368" i="5"/>
  <c r="T1368" i="5"/>
  <c r="S1368" i="5"/>
  <c r="R1368" i="5"/>
  <c r="O1368" i="5"/>
  <c r="N1368" i="5"/>
  <c r="L1368" i="5"/>
  <c r="K1368" i="5"/>
  <c r="I1368" i="5"/>
  <c r="G1368" i="5"/>
  <c r="F1368" i="5"/>
  <c r="E1368" i="5"/>
  <c r="Y1367" i="5"/>
  <c r="T1367" i="5"/>
  <c r="S1367" i="5"/>
  <c r="R1367" i="5"/>
  <c r="O1367" i="5"/>
  <c r="N1367" i="5"/>
  <c r="L1367" i="5"/>
  <c r="K1367" i="5"/>
  <c r="I1367" i="5"/>
  <c r="G1367" i="5"/>
  <c r="F1367" i="5"/>
  <c r="E1367" i="5"/>
  <c r="Y1366" i="5"/>
  <c r="T1366" i="5"/>
  <c r="S1366" i="5"/>
  <c r="R1366" i="5"/>
  <c r="O1366" i="5"/>
  <c r="N1366" i="5"/>
  <c r="L1366" i="5"/>
  <c r="K1366" i="5"/>
  <c r="I1366" i="5"/>
  <c r="G1366" i="5"/>
  <c r="Y1365" i="5"/>
  <c r="W1365" i="5"/>
  <c r="T1365" i="5"/>
  <c r="S1365" i="5"/>
  <c r="R1365" i="5"/>
  <c r="Q1365" i="5"/>
  <c r="O1365" i="5"/>
  <c r="N1365" i="5"/>
  <c r="L1365" i="5"/>
  <c r="K1365" i="5"/>
  <c r="I1365" i="5"/>
  <c r="G1365" i="5"/>
  <c r="F1365" i="5"/>
  <c r="E1365" i="5"/>
  <c r="Y1364" i="5"/>
  <c r="W1364" i="5"/>
  <c r="T1364" i="5"/>
  <c r="S1364" i="5"/>
  <c r="R1364" i="5"/>
  <c r="Q1364" i="5"/>
  <c r="O1364" i="5"/>
  <c r="N1364" i="5"/>
  <c r="L1364" i="5"/>
  <c r="K1364" i="5"/>
  <c r="I1364" i="5"/>
  <c r="G1364" i="5"/>
  <c r="F1364" i="5"/>
  <c r="E1364" i="5"/>
  <c r="Y1363" i="5"/>
  <c r="W1363" i="5"/>
  <c r="T1363" i="5"/>
  <c r="S1363" i="5"/>
  <c r="R1363" i="5"/>
  <c r="Q1363" i="5"/>
  <c r="O1363" i="5"/>
  <c r="N1363" i="5"/>
  <c r="L1363" i="5"/>
  <c r="K1363" i="5"/>
  <c r="I1363" i="5"/>
  <c r="G1363" i="5"/>
  <c r="F1363" i="5"/>
  <c r="E1363" i="5"/>
  <c r="Y1362" i="5"/>
  <c r="W1362" i="5"/>
  <c r="T1362" i="5"/>
  <c r="S1362" i="5"/>
  <c r="R1362" i="5"/>
  <c r="Q1362" i="5"/>
  <c r="O1362" i="5"/>
  <c r="N1362" i="5"/>
  <c r="L1362" i="5"/>
  <c r="K1362" i="5"/>
  <c r="I1362" i="5"/>
  <c r="G1362" i="5"/>
  <c r="F1362" i="5"/>
  <c r="E1362" i="5"/>
  <c r="Y1361" i="5"/>
  <c r="W1361" i="5"/>
  <c r="T1361" i="5"/>
  <c r="S1361" i="5"/>
  <c r="R1361" i="5"/>
  <c r="Q1361" i="5"/>
  <c r="O1361" i="5"/>
  <c r="N1361" i="5"/>
  <c r="L1361" i="5"/>
  <c r="K1361" i="5"/>
  <c r="I1361" i="5"/>
  <c r="G1361" i="5"/>
  <c r="F1361" i="5"/>
  <c r="E1361" i="5"/>
  <c r="Y1360" i="5"/>
  <c r="T1360" i="5"/>
  <c r="S1360" i="5"/>
  <c r="R1360" i="5"/>
  <c r="O1360" i="5"/>
  <c r="N1360" i="5"/>
  <c r="L1360" i="5"/>
  <c r="K1360" i="5"/>
  <c r="I1360" i="5"/>
  <c r="G1360" i="5"/>
  <c r="Y1359" i="5"/>
  <c r="T1359" i="5"/>
  <c r="S1359" i="5"/>
  <c r="R1359" i="5"/>
  <c r="O1359" i="5"/>
  <c r="N1359" i="5"/>
  <c r="L1359" i="5"/>
  <c r="K1359" i="5"/>
  <c r="I1359" i="5"/>
  <c r="G1359" i="5"/>
  <c r="Y1358" i="5"/>
  <c r="T1358" i="5"/>
  <c r="S1358" i="5"/>
  <c r="R1358" i="5"/>
  <c r="O1358" i="5"/>
  <c r="N1358" i="5"/>
  <c r="L1358" i="5"/>
  <c r="K1358" i="5"/>
  <c r="I1358" i="5"/>
  <c r="G1358" i="5"/>
  <c r="F1358" i="5"/>
  <c r="E1358" i="5"/>
  <c r="Y1357" i="5"/>
  <c r="T1357" i="5"/>
  <c r="S1357" i="5"/>
  <c r="R1357" i="5"/>
  <c r="O1357" i="5"/>
  <c r="N1357" i="5"/>
  <c r="L1357" i="5"/>
  <c r="K1357" i="5"/>
  <c r="I1357" i="5"/>
  <c r="G1357" i="5"/>
  <c r="Y1356" i="5"/>
  <c r="T1356" i="5"/>
  <c r="S1356" i="5"/>
  <c r="R1356" i="5"/>
  <c r="O1356" i="5"/>
  <c r="N1356" i="5"/>
  <c r="L1356" i="5"/>
  <c r="K1356" i="5"/>
  <c r="I1356" i="5"/>
  <c r="G1356" i="5"/>
  <c r="F1356" i="5"/>
  <c r="Y1355" i="5"/>
  <c r="T1355" i="5"/>
  <c r="S1355" i="5"/>
  <c r="R1355" i="5"/>
  <c r="O1355" i="5"/>
  <c r="N1355" i="5"/>
  <c r="L1355" i="5"/>
  <c r="K1355" i="5"/>
  <c r="I1355" i="5"/>
  <c r="G1355" i="5"/>
  <c r="F1355" i="5"/>
  <c r="E1355" i="5"/>
  <c r="Y1354" i="5"/>
  <c r="T1354" i="5"/>
  <c r="S1354" i="5"/>
  <c r="R1354" i="5"/>
  <c r="O1354" i="5"/>
  <c r="N1354" i="5"/>
  <c r="L1354" i="5"/>
  <c r="K1354" i="5"/>
  <c r="I1354" i="5"/>
  <c r="G1354" i="5"/>
  <c r="F1354" i="5"/>
  <c r="E1354" i="5"/>
  <c r="Y1353" i="5"/>
  <c r="T1353" i="5"/>
  <c r="S1353" i="5"/>
  <c r="R1353" i="5"/>
  <c r="O1353" i="5"/>
  <c r="N1353" i="5"/>
  <c r="L1353" i="5"/>
  <c r="K1353" i="5"/>
  <c r="I1353" i="5"/>
  <c r="G1353" i="5"/>
  <c r="F1353" i="5"/>
  <c r="Y1352" i="5"/>
  <c r="T1352" i="5"/>
  <c r="S1352" i="5"/>
  <c r="R1352" i="5"/>
  <c r="O1352" i="5"/>
  <c r="N1352" i="5"/>
  <c r="L1352" i="5"/>
  <c r="K1352" i="5"/>
  <c r="I1352" i="5"/>
  <c r="G1352" i="5"/>
  <c r="F1352" i="5"/>
  <c r="E1352" i="5"/>
  <c r="Y1351" i="5"/>
  <c r="T1351" i="5"/>
  <c r="S1351" i="5"/>
  <c r="R1351" i="5"/>
  <c r="O1351" i="5"/>
  <c r="N1351" i="5"/>
  <c r="L1351" i="5"/>
  <c r="K1351" i="5"/>
  <c r="I1351" i="5"/>
  <c r="G1351" i="5"/>
  <c r="F1351" i="5"/>
  <c r="E1351" i="5"/>
  <c r="Y1350" i="5"/>
  <c r="T1350" i="5"/>
  <c r="S1350" i="5"/>
  <c r="R1350" i="5"/>
  <c r="O1350" i="5"/>
  <c r="N1350" i="5"/>
  <c r="L1350" i="5"/>
  <c r="K1350" i="5"/>
  <c r="I1350" i="5"/>
  <c r="G1350" i="5"/>
  <c r="F1350" i="5"/>
  <c r="E1350" i="5"/>
  <c r="Y1349" i="5"/>
  <c r="T1349" i="5"/>
  <c r="S1349" i="5"/>
  <c r="R1349" i="5"/>
  <c r="O1349" i="5"/>
  <c r="N1349" i="5"/>
  <c r="L1349" i="5"/>
  <c r="K1349" i="5"/>
  <c r="I1349" i="5"/>
  <c r="G1349" i="5"/>
  <c r="F1349" i="5"/>
  <c r="Y1348" i="5"/>
  <c r="T1348" i="5"/>
  <c r="S1348" i="5"/>
  <c r="R1348" i="5"/>
  <c r="O1348" i="5"/>
  <c r="N1348" i="5"/>
  <c r="L1348" i="5"/>
  <c r="K1348" i="5"/>
  <c r="I1348" i="5"/>
  <c r="G1348" i="5"/>
  <c r="F1348" i="5"/>
  <c r="Y1347" i="5"/>
  <c r="T1347" i="5"/>
  <c r="S1347" i="5"/>
  <c r="R1347" i="5"/>
  <c r="O1347" i="5"/>
  <c r="N1347" i="5"/>
  <c r="L1347" i="5"/>
  <c r="K1347" i="5"/>
  <c r="I1347" i="5"/>
  <c r="G1347" i="5"/>
  <c r="F1347" i="5"/>
  <c r="E1347" i="5"/>
  <c r="Y1346" i="5"/>
  <c r="T1346" i="5"/>
  <c r="S1346" i="5"/>
  <c r="R1346" i="5"/>
  <c r="O1346" i="5"/>
  <c r="N1346" i="5"/>
  <c r="L1346" i="5"/>
  <c r="K1346" i="5"/>
  <c r="I1346" i="5"/>
  <c r="G1346" i="5"/>
  <c r="F1346" i="5"/>
  <c r="E1346" i="5"/>
  <c r="Y1345" i="5"/>
  <c r="T1345" i="5"/>
  <c r="S1345" i="5"/>
  <c r="R1345" i="5"/>
  <c r="O1345" i="5"/>
  <c r="N1345" i="5"/>
  <c r="L1345" i="5"/>
  <c r="K1345" i="5"/>
  <c r="I1345" i="5"/>
  <c r="G1345" i="5"/>
  <c r="F1345" i="5"/>
  <c r="Y1344" i="5"/>
  <c r="T1344" i="5"/>
  <c r="S1344" i="5"/>
  <c r="R1344" i="5"/>
  <c r="O1344" i="5"/>
  <c r="N1344" i="5"/>
  <c r="L1344" i="5"/>
  <c r="I1344" i="5"/>
  <c r="G1344" i="5"/>
  <c r="F1344" i="5"/>
  <c r="Y1343" i="5"/>
  <c r="T1343" i="5"/>
  <c r="S1343" i="5"/>
  <c r="R1343" i="5"/>
  <c r="O1343" i="5"/>
  <c r="N1343" i="5"/>
  <c r="L1343" i="5"/>
  <c r="I1343" i="5"/>
  <c r="G1343" i="5"/>
  <c r="F1343" i="5"/>
  <c r="Y1342" i="5"/>
  <c r="T1342" i="5"/>
  <c r="S1342" i="5"/>
  <c r="R1342" i="5"/>
  <c r="O1342" i="5"/>
  <c r="N1342" i="5"/>
  <c r="L1342" i="5"/>
  <c r="K1342" i="5"/>
  <c r="I1342" i="5"/>
  <c r="G1342" i="5"/>
  <c r="F1342" i="5"/>
  <c r="X1341" i="5"/>
  <c r="Z1341" i="5" s="1"/>
  <c r="X1340" i="5"/>
  <c r="Z1340" i="5" s="1"/>
  <c r="P1339" i="5"/>
  <c r="H1339" i="5"/>
  <c r="E1339" i="5"/>
  <c r="X1338" i="5"/>
  <c r="Z1338" i="5" s="1"/>
  <c r="Y1337" i="5"/>
  <c r="T1337" i="5"/>
  <c r="S1337" i="5"/>
  <c r="R1337" i="5"/>
  <c r="O1337" i="5"/>
  <c r="N1337" i="5"/>
  <c r="L1337" i="5"/>
  <c r="K1337" i="5"/>
  <c r="I1337" i="5"/>
  <c r="G1337" i="5"/>
  <c r="F1337" i="5"/>
  <c r="Y1336" i="5"/>
  <c r="T1336" i="5"/>
  <c r="S1336" i="5"/>
  <c r="R1336" i="5"/>
  <c r="O1336" i="5"/>
  <c r="N1336" i="5"/>
  <c r="L1336" i="5"/>
  <c r="K1336" i="5"/>
  <c r="I1336" i="5"/>
  <c r="G1336" i="5"/>
  <c r="F1336" i="5"/>
  <c r="E1336" i="5"/>
  <c r="Y1335" i="5"/>
  <c r="T1335" i="5"/>
  <c r="S1335" i="5"/>
  <c r="R1335" i="5"/>
  <c r="O1335" i="5"/>
  <c r="N1335" i="5"/>
  <c r="L1335" i="5"/>
  <c r="K1335" i="5"/>
  <c r="I1335" i="5"/>
  <c r="G1335" i="5"/>
  <c r="F1335" i="5"/>
  <c r="E1335" i="5"/>
  <c r="Y1334" i="5"/>
  <c r="T1334" i="5"/>
  <c r="S1334" i="5"/>
  <c r="R1334" i="5"/>
  <c r="O1334" i="5"/>
  <c r="N1334" i="5"/>
  <c r="L1334" i="5"/>
  <c r="K1334" i="5"/>
  <c r="I1334" i="5"/>
  <c r="G1334" i="5"/>
  <c r="F1334" i="5"/>
  <c r="E1334" i="5"/>
  <c r="Y1333" i="5"/>
  <c r="T1333" i="5"/>
  <c r="S1333" i="5"/>
  <c r="R1333" i="5"/>
  <c r="O1333" i="5"/>
  <c r="N1333" i="5"/>
  <c r="L1333" i="5"/>
  <c r="K1333" i="5"/>
  <c r="I1333" i="5"/>
  <c r="G1333" i="5"/>
  <c r="F1333" i="5"/>
  <c r="E1333" i="5"/>
  <c r="Y1332" i="5"/>
  <c r="W1332" i="5"/>
  <c r="V1332" i="5"/>
  <c r="T1332" i="5"/>
  <c r="S1332" i="5"/>
  <c r="R1332" i="5"/>
  <c r="Q1332" i="5"/>
  <c r="O1332" i="5"/>
  <c r="N1332" i="5"/>
  <c r="L1332" i="5"/>
  <c r="K1332" i="5"/>
  <c r="J1332" i="5"/>
  <c r="I1332" i="5"/>
  <c r="G1332" i="5"/>
  <c r="F1332" i="5"/>
  <c r="E1332" i="5"/>
  <c r="Y1331" i="5"/>
  <c r="W1331" i="5"/>
  <c r="V1331" i="5"/>
  <c r="T1331" i="5"/>
  <c r="S1331" i="5"/>
  <c r="R1331" i="5"/>
  <c r="Q1331" i="5"/>
  <c r="O1331" i="5"/>
  <c r="N1331" i="5"/>
  <c r="L1331" i="5"/>
  <c r="K1331" i="5"/>
  <c r="J1331" i="5"/>
  <c r="I1331" i="5"/>
  <c r="G1331" i="5"/>
  <c r="F1331" i="5"/>
  <c r="E1331" i="5"/>
  <c r="Y1330" i="5"/>
  <c r="W1330" i="5"/>
  <c r="V1330" i="5"/>
  <c r="T1330" i="5"/>
  <c r="S1330" i="5"/>
  <c r="R1330" i="5"/>
  <c r="Q1330" i="5"/>
  <c r="O1330" i="5"/>
  <c r="N1330" i="5"/>
  <c r="L1330" i="5"/>
  <c r="K1330" i="5"/>
  <c r="J1330" i="5"/>
  <c r="I1330" i="5"/>
  <c r="G1330" i="5"/>
  <c r="F1330" i="5"/>
  <c r="E1330" i="5"/>
  <c r="Y1329" i="5"/>
  <c r="T1329" i="5"/>
  <c r="S1329" i="5"/>
  <c r="R1329" i="5"/>
  <c r="O1329" i="5"/>
  <c r="N1329" i="5"/>
  <c r="L1329" i="5"/>
  <c r="K1329" i="5"/>
  <c r="I1329" i="5"/>
  <c r="G1329" i="5"/>
  <c r="F1329" i="5"/>
  <c r="Y1328" i="5"/>
  <c r="T1328" i="5"/>
  <c r="S1328" i="5"/>
  <c r="R1328" i="5"/>
  <c r="O1328" i="5"/>
  <c r="N1328" i="5"/>
  <c r="L1328" i="5"/>
  <c r="K1328" i="5"/>
  <c r="I1328" i="5"/>
  <c r="G1328" i="5"/>
  <c r="F1328" i="5"/>
  <c r="E1328" i="5"/>
  <c r="Y1327" i="5"/>
  <c r="T1327" i="5"/>
  <c r="S1327" i="5"/>
  <c r="R1327" i="5"/>
  <c r="O1327" i="5"/>
  <c r="N1327" i="5"/>
  <c r="L1327" i="5"/>
  <c r="K1327" i="5"/>
  <c r="I1327" i="5"/>
  <c r="G1327" i="5"/>
  <c r="F1327" i="5"/>
  <c r="Y1326" i="5"/>
  <c r="T1326" i="5"/>
  <c r="S1326" i="5"/>
  <c r="R1326" i="5"/>
  <c r="O1326" i="5"/>
  <c r="N1326" i="5"/>
  <c r="L1326" i="5"/>
  <c r="K1326" i="5"/>
  <c r="I1326" i="5"/>
  <c r="G1326" i="5"/>
  <c r="F1326" i="5"/>
  <c r="E1326" i="5"/>
  <c r="Y1325" i="5"/>
  <c r="T1325" i="5"/>
  <c r="S1325" i="5"/>
  <c r="R1325" i="5"/>
  <c r="O1325" i="5"/>
  <c r="N1325" i="5"/>
  <c r="L1325" i="5"/>
  <c r="K1325" i="5"/>
  <c r="I1325" i="5"/>
  <c r="G1325" i="5"/>
  <c r="F1325" i="5"/>
  <c r="Y1324" i="5"/>
  <c r="T1324" i="5"/>
  <c r="S1324" i="5"/>
  <c r="R1324" i="5"/>
  <c r="O1324" i="5"/>
  <c r="N1324" i="5"/>
  <c r="L1324" i="5"/>
  <c r="K1324" i="5"/>
  <c r="I1324" i="5"/>
  <c r="G1324" i="5"/>
  <c r="F1324" i="5"/>
  <c r="Y1323" i="5"/>
  <c r="T1323" i="5"/>
  <c r="S1323" i="5"/>
  <c r="R1323" i="5"/>
  <c r="O1323" i="5"/>
  <c r="N1323" i="5"/>
  <c r="L1323" i="5"/>
  <c r="K1323" i="5"/>
  <c r="I1323" i="5"/>
  <c r="G1323" i="5"/>
  <c r="F1323" i="5"/>
  <c r="E1323" i="5"/>
  <c r="Y1322" i="5"/>
  <c r="T1322" i="5"/>
  <c r="S1322" i="5"/>
  <c r="R1322" i="5"/>
  <c r="O1322" i="5"/>
  <c r="N1322" i="5"/>
  <c r="L1322" i="5"/>
  <c r="K1322" i="5"/>
  <c r="I1322" i="5"/>
  <c r="G1322" i="5"/>
  <c r="F1322" i="5"/>
  <c r="Y1321" i="5"/>
  <c r="T1321" i="5"/>
  <c r="S1321" i="5"/>
  <c r="R1321" i="5"/>
  <c r="O1321" i="5"/>
  <c r="N1321" i="5"/>
  <c r="L1321" i="5"/>
  <c r="K1321" i="5"/>
  <c r="I1321" i="5"/>
  <c r="G1321" i="5"/>
  <c r="F1321" i="5"/>
  <c r="E1321" i="5"/>
  <c r="Y1320" i="5"/>
  <c r="T1320" i="5"/>
  <c r="S1320" i="5"/>
  <c r="R1320" i="5"/>
  <c r="O1320" i="5"/>
  <c r="N1320" i="5"/>
  <c r="L1320" i="5"/>
  <c r="K1320" i="5"/>
  <c r="I1320" i="5"/>
  <c r="G1320" i="5"/>
  <c r="Y1319" i="5"/>
  <c r="T1319" i="5"/>
  <c r="S1319" i="5"/>
  <c r="R1319" i="5"/>
  <c r="O1319" i="5"/>
  <c r="N1319" i="5"/>
  <c r="L1319" i="5"/>
  <c r="K1319" i="5"/>
  <c r="I1319" i="5"/>
  <c r="G1319" i="5"/>
  <c r="Y1318" i="5"/>
  <c r="T1318" i="5"/>
  <c r="S1318" i="5"/>
  <c r="R1318" i="5"/>
  <c r="O1318" i="5"/>
  <c r="N1318" i="5"/>
  <c r="L1318" i="5"/>
  <c r="K1318" i="5"/>
  <c r="I1318" i="5"/>
  <c r="G1318" i="5"/>
  <c r="F1318" i="5"/>
  <c r="E1318" i="5"/>
  <c r="Y1317" i="5"/>
  <c r="T1317" i="5"/>
  <c r="S1317" i="5"/>
  <c r="R1317" i="5"/>
  <c r="O1317" i="5"/>
  <c r="N1317" i="5"/>
  <c r="L1317" i="5"/>
  <c r="K1317" i="5"/>
  <c r="I1317" i="5"/>
  <c r="G1317" i="5"/>
  <c r="F1317" i="5"/>
  <c r="E1317" i="5"/>
  <c r="Y1316" i="5"/>
  <c r="T1316" i="5"/>
  <c r="S1316" i="5"/>
  <c r="R1316" i="5"/>
  <c r="O1316" i="5"/>
  <c r="N1316" i="5"/>
  <c r="L1316" i="5"/>
  <c r="K1316" i="5"/>
  <c r="I1316" i="5"/>
  <c r="G1316" i="5"/>
  <c r="F1316" i="5"/>
  <c r="E1316" i="5"/>
  <c r="Y1315" i="5"/>
  <c r="T1315" i="5"/>
  <c r="S1315" i="5"/>
  <c r="R1315" i="5"/>
  <c r="O1315" i="5"/>
  <c r="N1315" i="5"/>
  <c r="L1315" i="5"/>
  <c r="K1315" i="5"/>
  <c r="I1315" i="5"/>
  <c r="G1315" i="5"/>
  <c r="F1315" i="5"/>
  <c r="Y1314" i="5"/>
  <c r="T1314" i="5"/>
  <c r="S1314" i="5"/>
  <c r="R1314" i="5"/>
  <c r="O1314" i="5"/>
  <c r="N1314" i="5"/>
  <c r="L1314" i="5"/>
  <c r="K1314" i="5"/>
  <c r="I1314" i="5"/>
  <c r="G1314" i="5"/>
  <c r="F1314" i="5"/>
  <c r="Y1313" i="5"/>
  <c r="T1313" i="5"/>
  <c r="S1313" i="5"/>
  <c r="R1313" i="5"/>
  <c r="O1313" i="5"/>
  <c r="N1313" i="5"/>
  <c r="L1313" i="5"/>
  <c r="K1313" i="5"/>
  <c r="I1313" i="5"/>
  <c r="G1313" i="5"/>
  <c r="F1313" i="5"/>
  <c r="E1313" i="5"/>
  <c r="Y1312" i="5"/>
  <c r="T1312" i="5"/>
  <c r="S1312" i="5"/>
  <c r="R1312" i="5"/>
  <c r="O1312" i="5"/>
  <c r="N1312" i="5"/>
  <c r="L1312" i="5"/>
  <c r="I1312" i="5"/>
  <c r="I1339" i="5" s="1"/>
  <c r="G1312" i="5"/>
  <c r="F1312" i="5"/>
  <c r="X1311" i="5"/>
  <c r="Z1311" i="5" s="1"/>
  <c r="X1310" i="5"/>
  <c r="Z1310" i="5" s="1"/>
  <c r="P1309" i="5"/>
  <c r="H1309" i="5"/>
  <c r="E1309" i="5"/>
  <c r="X1308" i="5"/>
  <c r="Z1308" i="5" s="1"/>
  <c r="Y1307" i="5"/>
  <c r="T1307" i="5"/>
  <c r="S1307" i="5"/>
  <c r="R1307" i="5"/>
  <c r="O1307" i="5"/>
  <c r="N1307" i="5"/>
  <c r="L1307" i="5"/>
  <c r="K1307" i="5"/>
  <c r="I1307" i="5"/>
  <c r="G1307" i="5"/>
  <c r="Y1306" i="5"/>
  <c r="T1306" i="5"/>
  <c r="S1306" i="5"/>
  <c r="R1306" i="5"/>
  <c r="O1306" i="5"/>
  <c r="N1306" i="5"/>
  <c r="L1306" i="5"/>
  <c r="K1306" i="5"/>
  <c r="I1306" i="5"/>
  <c r="G1306" i="5"/>
  <c r="F1306" i="5"/>
  <c r="E1306" i="5"/>
  <c r="Y1305" i="5"/>
  <c r="T1305" i="5"/>
  <c r="S1305" i="5"/>
  <c r="R1305" i="5"/>
  <c r="O1305" i="5"/>
  <c r="N1305" i="5"/>
  <c r="L1305" i="5"/>
  <c r="K1305" i="5"/>
  <c r="I1305" i="5"/>
  <c r="G1305" i="5"/>
  <c r="F1305" i="5"/>
  <c r="Y1304" i="5"/>
  <c r="T1304" i="5"/>
  <c r="S1304" i="5"/>
  <c r="R1304" i="5"/>
  <c r="O1304" i="5"/>
  <c r="N1304" i="5"/>
  <c r="L1304" i="5"/>
  <c r="K1304" i="5"/>
  <c r="I1304" i="5"/>
  <c r="G1304" i="5"/>
  <c r="E1304" i="5"/>
  <c r="Y1303" i="5"/>
  <c r="T1303" i="5"/>
  <c r="S1303" i="5"/>
  <c r="R1303" i="5"/>
  <c r="O1303" i="5"/>
  <c r="N1303" i="5"/>
  <c r="L1303" i="5"/>
  <c r="K1303" i="5"/>
  <c r="I1303" i="5"/>
  <c r="G1303" i="5"/>
  <c r="F1303" i="5"/>
  <c r="E1303" i="5"/>
  <c r="Y1302" i="5"/>
  <c r="T1302" i="5"/>
  <c r="S1302" i="5"/>
  <c r="R1302" i="5"/>
  <c r="Q1302" i="5"/>
  <c r="O1302" i="5"/>
  <c r="N1302" i="5"/>
  <c r="L1302" i="5"/>
  <c r="K1302" i="5"/>
  <c r="J1302" i="5"/>
  <c r="I1302" i="5"/>
  <c r="G1302" i="5"/>
  <c r="Y1301" i="5"/>
  <c r="T1301" i="5"/>
  <c r="S1301" i="5"/>
  <c r="R1301" i="5"/>
  <c r="O1301" i="5"/>
  <c r="N1301" i="5"/>
  <c r="L1301" i="5"/>
  <c r="K1301" i="5"/>
  <c r="I1301" i="5"/>
  <c r="G1301" i="5"/>
  <c r="Y1300" i="5"/>
  <c r="T1300" i="5"/>
  <c r="S1300" i="5"/>
  <c r="R1300" i="5"/>
  <c r="O1300" i="5"/>
  <c r="N1300" i="5"/>
  <c r="L1300" i="5"/>
  <c r="K1300" i="5"/>
  <c r="I1300" i="5"/>
  <c r="G1300" i="5"/>
  <c r="F1300" i="5"/>
  <c r="E1300" i="5"/>
  <c r="Y1299" i="5"/>
  <c r="T1299" i="5"/>
  <c r="S1299" i="5"/>
  <c r="R1299" i="5"/>
  <c r="O1299" i="5"/>
  <c r="N1299" i="5"/>
  <c r="L1299" i="5"/>
  <c r="K1299" i="5"/>
  <c r="I1299" i="5"/>
  <c r="G1299" i="5"/>
  <c r="F1299" i="5"/>
  <c r="E1299" i="5"/>
  <c r="Y1298" i="5"/>
  <c r="T1298" i="5"/>
  <c r="S1298" i="5"/>
  <c r="R1298" i="5"/>
  <c r="O1298" i="5"/>
  <c r="N1298" i="5"/>
  <c r="L1298" i="5"/>
  <c r="K1298" i="5"/>
  <c r="G1298" i="5"/>
  <c r="F1298" i="5"/>
  <c r="Y1297" i="5"/>
  <c r="T1297" i="5"/>
  <c r="S1297" i="5"/>
  <c r="R1297" i="5"/>
  <c r="O1297" i="5"/>
  <c r="N1297" i="5"/>
  <c r="L1297" i="5"/>
  <c r="K1297" i="5"/>
  <c r="I1297" i="5"/>
  <c r="G1297" i="5"/>
  <c r="F1297" i="5"/>
  <c r="E1297" i="5"/>
  <c r="Y1296" i="5"/>
  <c r="T1296" i="5"/>
  <c r="S1296" i="5"/>
  <c r="R1296" i="5"/>
  <c r="O1296" i="5"/>
  <c r="N1296" i="5"/>
  <c r="L1296" i="5"/>
  <c r="K1296" i="5"/>
  <c r="I1296" i="5"/>
  <c r="G1296" i="5"/>
  <c r="Y1295" i="5"/>
  <c r="T1295" i="5"/>
  <c r="S1295" i="5"/>
  <c r="R1295" i="5"/>
  <c r="O1295" i="5"/>
  <c r="N1295" i="5"/>
  <c r="L1295" i="5"/>
  <c r="K1295" i="5"/>
  <c r="I1295" i="5"/>
  <c r="G1295" i="5"/>
  <c r="F1295" i="5"/>
  <c r="E1295" i="5"/>
  <c r="Y1294" i="5"/>
  <c r="T1294" i="5"/>
  <c r="S1294" i="5"/>
  <c r="R1294" i="5"/>
  <c r="O1294" i="5"/>
  <c r="N1294" i="5"/>
  <c r="L1294" i="5"/>
  <c r="K1294" i="5"/>
  <c r="I1294" i="5"/>
  <c r="G1294" i="5"/>
  <c r="F1294" i="5"/>
  <c r="E1294" i="5"/>
  <c r="Y1293" i="5"/>
  <c r="T1293" i="5"/>
  <c r="S1293" i="5"/>
  <c r="R1293" i="5"/>
  <c r="O1293" i="5"/>
  <c r="N1293" i="5"/>
  <c r="L1293" i="5"/>
  <c r="K1293" i="5"/>
  <c r="I1293" i="5"/>
  <c r="G1293" i="5"/>
  <c r="Y1292" i="5"/>
  <c r="T1292" i="5"/>
  <c r="S1292" i="5"/>
  <c r="R1292" i="5"/>
  <c r="O1292" i="5"/>
  <c r="N1292" i="5"/>
  <c r="L1292" i="5"/>
  <c r="K1292" i="5"/>
  <c r="I1292" i="5"/>
  <c r="G1292" i="5"/>
  <c r="F1292" i="5"/>
  <c r="Y1291" i="5"/>
  <c r="T1291" i="5"/>
  <c r="S1291" i="5"/>
  <c r="R1291" i="5"/>
  <c r="O1291" i="5"/>
  <c r="N1291" i="5"/>
  <c r="L1291" i="5"/>
  <c r="K1291" i="5"/>
  <c r="I1291" i="5"/>
  <c r="G1291" i="5"/>
  <c r="F1291" i="5"/>
  <c r="E1291" i="5"/>
  <c r="Y1290" i="5"/>
  <c r="T1290" i="5"/>
  <c r="S1290" i="5"/>
  <c r="R1290" i="5"/>
  <c r="O1290" i="5"/>
  <c r="N1290" i="5"/>
  <c r="L1290" i="5"/>
  <c r="K1290" i="5"/>
  <c r="I1290" i="5"/>
  <c r="G1290" i="5"/>
  <c r="F1290" i="5"/>
  <c r="E1290" i="5"/>
  <c r="Y1289" i="5"/>
  <c r="T1289" i="5"/>
  <c r="S1289" i="5"/>
  <c r="R1289" i="5"/>
  <c r="O1289" i="5"/>
  <c r="N1289" i="5"/>
  <c r="L1289" i="5"/>
  <c r="K1289" i="5"/>
  <c r="I1289" i="5"/>
  <c r="G1289" i="5"/>
  <c r="F1289" i="5"/>
  <c r="E1289" i="5"/>
  <c r="Y1288" i="5"/>
  <c r="T1288" i="5"/>
  <c r="S1288" i="5"/>
  <c r="R1288" i="5"/>
  <c r="O1288" i="5"/>
  <c r="N1288" i="5"/>
  <c r="L1288" i="5"/>
  <c r="K1288" i="5"/>
  <c r="I1288" i="5"/>
  <c r="G1288" i="5"/>
  <c r="F1288" i="5"/>
  <c r="E1288" i="5"/>
  <c r="Y1287" i="5"/>
  <c r="T1287" i="5"/>
  <c r="S1287" i="5"/>
  <c r="R1287" i="5"/>
  <c r="O1287" i="5"/>
  <c r="N1287" i="5"/>
  <c r="L1287" i="5"/>
  <c r="K1287" i="5"/>
  <c r="I1287" i="5"/>
  <c r="G1287" i="5"/>
  <c r="Y1286" i="5"/>
  <c r="T1286" i="5"/>
  <c r="S1286" i="5"/>
  <c r="R1286" i="5"/>
  <c r="O1286" i="5"/>
  <c r="N1286" i="5"/>
  <c r="L1286" i="5"/>
  <c r="K1286" i="5"/>
  <c r="I1286" i="5"/>
  <c r="G1286" i="5"/>
  <c r="F1286" i="5"/>
  <c r="Y1285" i="5"/>
  <c r="T1285" i="5"/>
  <c r="S1285" i="5"/>
  <c r="R1285" i="5"/>
  <c r="O1285" i="5"/>
  <c r="N1285" i="5"/>
  <c r="L1285" i="5"/>
  <c r="K1285" i="5"/>
  <c r="I1285" i="5"/>
  <c r="G1285" i="5"/>
  <c r="F1285" i="5"/>
  <c r="E1285" i="5"/>
  <c r="Y1284" i="5"/>
  <c r="T1284" i="5"/>
  <c r="S1284" i="5"/>
  <c r="R1284" i="5"/>
  <c r="O1284" i="5"/>
  <c r="N1284" i="5"/>
  <c r="L1284" i="5"/>
  <c r="I1284" i="5"/>
  <c r="G1284" i="5"/>
  <c r="F1284" i="5"/>
  <c r="X1283" i="5"/>
  <c r="Z1283" i="5" s="1"/>
  <c r="X1282" i="5"/>
  <c r="Z1282" i="5" s="1"/>
  <c r="P1281" i="5"/>
  <c r="X1281" i="5" s="1"/>
  <c r="H1281" i="5"/>
  <c r="E1281" i="5"/>
  <c r="X1280" i="5"/>
  <c r="Z1280" i="5" s="1"/>
  <c r="Y1279" i="5"/>
  <c r="T1279" i="5"/>
  <c r="S1279" i="5"/>
  <c r="R1279" i="5"/>
  <c r="O1279" i="5"/>
  <c r="N1279" i="5"/>
  <c r="L1279" i="5"/>
  <c r="K1279" i="5"/>
  <c r="I1279" i="5"/>
  <c r="G1279" i="5"/>
  <c r="Y1278" i="5"/>
  <c r="W1278" i="5"/>
  <c r="V1278" i="5"/>
  <c r="T1278" i="5"/>
  <c r="S1278" i="5"/>
  <c r="R1278" i="5"/>
  <c r="Q1278" i="5"/>
  <c r="P1278" i="5"/>
  <c r="O1278" i="5"/>
  <c r="N1278" i="5"/>
  <c r="L1278" i="5"/>
  <c r="K1278" i="5"/>
  <c r="J1278" i="5"/>
  <c r="I1278" i="5"/>
  <c r="G1278" i="5"/>
  <c r="Y1277" i="5"/>
  <c r="W1277" i="5"/>
  <c r="V1277" i="5"/>
  <c r="T1277" i="5"/>
  <c r="S1277" i="5"/>
  <c r="R1277" i="5"/>
  <c r="Q1277" i="5"/>
  <c r="O1277" i="5"/>
  <c r="N1277" i="5"/>
  <c r="L1277" i="5"/>
  <c r="K1277" i="5"/>
  <c r="J1277" i="5"/>
  <c r="I1277" i="5"/>
  <c r="G1277" i="5"/>
  <c r="F1277" i="5"/>
  <c r="E1277" i="5"/>
  <c r="Y1276" i="5"/>
  <c r="W1276" i="5"/>
  <c r="V1276" i="5"/>
  <c r="T1276" i="5"/>
  <c r="S1276" i="5"/>
  <c r="R1276" i="5"/>
  <c r="Q1276" i="5"/>
  <c r="O1276" i="5"/>
  <c r="N1276" i="5"/>
  <c r="L1276" i="5"/>
  <c r="K1276" i="5"/>
  <c r="J1276" i="5"/>
  <c r="I1276" i="5"/>
  <c r="F1276" i="5"/>
  <c r="Y1275" i="5"/>
  <c r="W1275" i="5"/>
  <c r="V1275" i="5"/>
  <c r="T1275" i="5"/>
  <c r="S1275" i="5"/>
  <c r="R1275" i="5"/>
  <c r="Q1275" i="5"/>
  <c r="O1275" i="5"/>
  <c r="N1275" i="5"/>
  <c r="L1275" i="5"/>
  <c r="K1275" i="5"/>
  <c r="J1275" i="5"/>
  <c r="I1275" i="5"/>
  <c r="G1275" i="5"/>
  <c r="F1275" i="5"/>
  <c r="E1275" i="5"/>
  <c r="Y1274" i="5"/>
  <c r="W1274" i="5"/>
  <c r="V1274" i="5"/>
  <c r="U1274" i="5"/>
  <c r="T1274" i="5"/>
  <c r="S1274" i="5"/>
  <c r="R1274" i="5"/>
  <c r="Q1274" i="5"/>
  <c r="P1274" i="5"/>
  <c r="O1274" i="5"/>
  <c r="N1274" i="5"/>
  <c r="L1274" i="5"/>
  <c r="K1274" i="5"/>
  <c r="J1274" i="5"/>
  <c r="I1274" i="5"/>
  <c r="G1274" i="5"/>
  <c r="F1274" i="5"/>
  <c r="E1274" i="5"/>
  <c r="Y1273" i="5"/>
  <c r="T1273" i="5"/>
  <c r="S1273" i="5"/>
  <c r="R1273" i="5"/>
  <c r="O1273" i="5"/>
  <c r="N1273" i="5"/>
  <c r="L1273" i="5"/>
  <c r="K1273" i="5"/>
  <c r="I1273" i="5"/>
  <c r="G1273" i="5"/>
  <c r="F1273" i="5"/>
  <c r="E1273" i="5"/>
  <c r="Y1272" i="5"/>
  <c r="T1272" i="5"/>
  <c r="S1272" i="5"/>
  <c r="R1272" i="5"/>
  <c r="O1272" i="5"/>
  <c r="N1272" i="5"/>
  <c r="L1272" i="5"/>
  <c r="K1272" i="5"/>
  <c r="I1272" i="5"/>
  <c r="G1272" i="5"/>
  <c r="F1272" i="5"/>
  <c r="E1272" i="5"/>
  <c r="Y1271" i="5"/>
  <c r="T1271" i="5"/>
  <c r="S1271" i="5"/>
  <c r="R1271" i="5"/>
  <c r="O1271" i="5"/>
  <c r="N1271" i="5"/>
  <c r="L1271" i="5"/>
  <c r="K1271" i="5"/>
  <c r="I1271" i="5"/>
  <c r="G1271" i="5"/>
  <c r="F1271" i="5"/>
  <c r="E1271" i="5"/>
  <c r="Y1270" i="5"/>
  <c r="T1270" i="5"/>
  <c r="S1270" i="5"/>
  <c r="R1270" i="5"/>
  <c r="Q1270" i="5"/>
  <c r="O1270" i="5"/>
  <c r="N1270" i="5"/>
  <c r="L1270" i="5"/>
  <c r="K1270" i="5"/>
  <c r="J1270" i="5"/>
  <c r="I1270" i="5"/>
  <c r="G1270" i="5"/>
  <c r="F1270" i="5"/>
  <c r="E1270" i="5"/>
  <c r="Y1269" i="5"/>
  <c r="T1269" i="5"/>
  <c r="S1269" i="5"/>
  <c r="R1269" i="5"/>
  <c r="O1269" i="5"/>
  <c r="N1269" i="5"/>
  <c r="L1269" i="5"/>
  <c r="K1269" i="5"/>
  <c r="I1269" i="5"/>
  <c r="G1269" i="5"/>
  <c r="F1269" i="5"/>
  <c r="E1269" i="5"/>
  <c r="Y1268" i="5"/>
  <c r="T1268" i="5"/>
  <c r="S1268" i="5"/>
  <c r="R1268" i="5"/>
  <c r="O1268" i="5"/>
  <c r="N1268" i="5"/>
  <c r="L1268" i="5"/>
  <c r="K1268" i="5"/>
  <c r="I1268" i="5"/>
  <c r="G1268" i="5"/>
  <c r="F1268" i="5"/>
  <c r="E1268" i="5"/>
  <c r="Y1267" i="5"/>
  <c r="T1267" i="5"/>
  <c r="S1267" i="5"/>
  <c r="R1267" i="5"/>
  <c r="O1267" i="5"/>
  <c r="N1267" i="5"/>
  <c r="L1267" i="5"/>
  <c r="K1267" i="5"/>
  <c r="I1267" i="5"/>
  <c r="G1267" i="5"/>
  <c r="Y1266" i="5"/>
  <c r="T1266" i="5"/>
  <c r="S1266" i="5"/>
  <c r="R1266" i="5"/>
  <c r="O1266" i="5"/>
  <c r="N1266" i="5"/>
  <c r="L1266" i="5"/>
  <c r="K1266" i="5"/>
  <c r="I1266" i="5"/>
  <c r="G1266" i="5"/>
  <c r="Y1265" i="5"/>
  <c r="T1265" i="5"/>
  <c r="S1265" i="5"/>
  <c r="R1265" i="5"/>
  <c r="O1265" i="5"/>
  <c r="N1265" i="5"/>
  <c r="L1265" i="5"/>
  <c r="K1265" i="5"/>
  <c r="I1265" i="5"/>
  <c r="G1265" i="5"/>
  <c r="F1265" i="5"/>
  <c r="E1265" i="5"/>
  <c r="Y1264" i="5"/>
  <c r="T1264" i="5"/>
  <c r="S1264" i="5"/>
  <c r="R1264" i="5"/>
  <c r="O1264" i="5"/>
  <c r="N1264" i="5"/>
  <c r="L1264" i="5"/>
  <c r="K1264" i="5"/>
  <c r="I1264" i="5"/>
  <c r="G1264" i="5"/>
  <c r="F1264" i="5"/>
  <c r="E1264" i="5"/>
  <c r="Y1263" i="5"/>
  <c r="T1263" i="5"/>
  <c r="S1263" i="5"/>
  <c r="R1263" i="5"/>
  <c r="O1263" i="5"/>
  <c r="N1263" i="5"/>
  <c r="L1263" i="5"/>
  <c r="K1263" i="5"/>
  <c r="I1263" i="5"/>
  <c r="G1263" i="5"/>
  <c r="Y1262" i="5"/>
  <c r="T1262" i="5"/>
  <c r="S1262" i="5"/>
  <c r="R1262" i="5"/>
  <c r="O1262" i="5"/>
  <c r="N1262" i="5"/>
  <c r="L1262" i="5"/>
  <c r="K1262" i="5"/>
  <c r="I1262" i="5"/>
  <c r="G1262" i="5"/>
  <c r="F1262" i="5"/>
  <c r="E1262" i="5"/>
  <c r="Y1261" i="5"/>
  <c r="T1261" i="5"/>
  <c r="S1261" i="5"/>
  <c r="R1261" i="5"/>
  <c r="O1261" i="5"/>
  <c r="N1261" i="5"/>
  <c r="L1261" i="5"/>
  <c r="K1261" i="5"/>
  <c r="I1261" i="5"/>
  <c r="G1261" i="5"/>
  <c r="F1261" i="5"/>
  <c r="E1261" i="5"/>
  <c r="Y1260" i="5"/>
  <c r="T1260" i="5"/>
  <c r="S1260" i="5"/>
  <c r="R1260" i="5"/>
  <c r="O1260" i="5"/>
  <c r="N1260" i="5"/>
  <c r="L1260" i="5"/>
  <c r="K1260" i="5"/>
  <c r="I1260" i="5"/>
  <c r="G1260" i="5"/>
  <c r="Y1259" i="5"/>
  <c r="T1259" i="5"/>
  <c r="S1259" i="5"/>
  <c r="R1259" i="5"/>
  <c r="O1259" i="5"/>
  <c r="N1259" i="5"/>
  <c r="L1259" i="5"/>
  <c r="K1259" i="5"/>
  <c r="I1259" i="5"/>
  <c r="G1259" i="5"/>
  <c r="F1259" i="5"/>
  <c r="E1259" i="5"/>
  <c r="Y1258" i="5"/>
  <c r="T1258" i="5"/>
  <c r="S1258" i="5"/>
  <c r="R1258" i="5"/>
  <c r="O1258" i="5"/>
  <c r="N1258" i="5"/>
  <c r="L1258" i="5"/>
  <c r="K1258" i="5"/>
  <c r="I1258" i="5"/>
  <c r="G1258" i="5"/>
  <c r="F1258" i="5"/>
  <c r="E1258" i="5"/>
  <c r="Y1257" i="5"/>
  <c r="T1257" i="5"/>
  <c r="S1257" i="5"/>
  <c r="R1257" i="5"/>
  <c r="O1257" i="5"/>
  <c r="N1257" i="5"/>
  <c r="L1257" i="5"/>
  <c r="K1257" i="5"/>
  <c r="I1257" i="5"/>
  <c r="G1257" i="5"/>
  <c r="E1257" i="5"/>
  <c r="Y1256" i="5"/>
  <c r="T1256" i="5"/>
  <c r="S1256" i="5"/>
  <c r="R1256" i="5"/>
  <c r="O1256" i="5"/>
  <c r="N1256" i="5"/>
  <c r="L1256" i="5"/>
  <c r="K1256" i="5"/>
  <c r="I1256" i="5"/>
  <c r="G1256" i="5"/>
  <c r="F1256" i="5"/>
  <c r="Y1255" i="5"/>
  <c r="T1255" i="5"/>
  <c r="S1255" i="5"/>
  <c r="R1255" i="5"/>
  <c r="O1255" i="5"/>
  <c r="N1255" i="5"/>
  <c r="L1255" i="5"/>
  <c r="K1255" i="5"/>
  <c r="I1255" i="5"/>
  <c r="G1255" i="5"/>
  <c r="F1255" i="5"/>
  <c r="E1255" i="5"/>
  <c r="Y1254" i="5"/>
  <c r="T1254" i="5"/>
  <c r="S1254" i="5"/>
  <c r="R1254" i="5"/>
  <c r="O1254" i="5"/>
  <c r="N1254" i="5"/>
  <c r="L1254" i="5"/>
  <c r="K1254" i="5"/>
  <c r="I1254" i="5"/>
  <c r="G1254" i="5"/>
  <c r="F1254" i="5"/>
  <c r="E1254" i="5"/>
  <c r="Y1253" i="5"/>
  <c r="T1253" i="5"/>
  <c r="S1253" i="5"/>
  <c r="R1253" i="5"/>
  <c r="O1253" i="5"/>
  <c r="N1253" i="5"/>
  <c r="L1253" i="5"/>
  <c r="K1253" i="5"/>
  <c r="I1253" i="5"/>
  <c r="G1253" i="5"/>
  <c r="F1253" i="5"/>
  <c r="E1253" i="5"/>
  <c r="Y1252" i="5"/>
  <c r="T1252" i="5"/>
  <c r="S1252" i="5"/>
  <c r="R1252" i="5"/>
  <c r="O1252" i="5"/>
  <c r="N1252" i="5"/>
  <c r="L1252" i="5"/>
  <c r="K1252" i="5"/>
  <c r="I1252" i="5"/>
  <c r="G1252" i="5"/>
  <c r="F1252" i="5"/>
  <c r="E1252" i="5"/>
  <c r="Y1251" i="5"/>
  <c r="T1251" i="5"/>
  <c r="S1251" i="5"/>
  <c r="R1251" i="5"/>
  <c r="O1251" i="5"/>
  <c r="N1251" i="5"/>
  <c r="L1251" i="5"/>
  <c r="K1251" i="5"/>
  <c r="I1251" i="5"/>
  <c r="G1251" i="5"/>
  <c r="F1251" i="5"/>
  <c r="Y1250" i="5"/>
  <c r="T1250" i="5"/>
  <c r="S1250" i="5"/>
  <c r="R1250" i="5"/>
  <c r="O1250" i="5"/>
  <c r="N1250" i="5"/>
  <c r="L1250" i="5"/>
  <c r="K1250" i="5"/>
  <c r="I1250" i="5"/>
  <c r="G1250" i="5"/>
  <c r="F1250" i="5"/>
  <c r="E1250" i="5"/>
  <c r="Y1249" i="5"/>
  <c r="T1249" i="5"/>
  <c r="S1249" i="5"/>
  <c r="R1249" i="5"/>
  <c r="O1249" i="5"/>
  <c r="N1249" i="5"/>
  <c r="L1249" i="5"/>
  <c r="K1249" i="5"/>
  <c r="I1249" i="5"/>
  <c r="G1249" i="5"/>
  <c r="Y1248" i="5"/>
  <c r="T1248" i="5"/>
  <c r="S1248" i="5"/>
  <c r="R1248" i="5"/>
  <c r="O1248" i="5"/>
  <c r="N1248" i="5"/>
  <c r="L1248" i="5"/>
  <c r="K1248" i="5"/>
  <c r="I1248" i="5"/>
  <c r="I1281" i="5" s="1"/>
  <c r="G1248" i="5"/>
  <c r="F1248" i="5"/>
  <c r="Y1247" i="5"/>
  <c r="T1247" i="5"/>
  <c r="S1247" i="5"/>
  <c r="R1247" i="5"/>
  <c r="O1247" i="5"/>
  <c r="O1281" i="5" s="1"/>
  <c r="N1247" i="5"/>
  <c r="L1247" i="5"/>
  <c r="I1247" i="5"/>
  <c r="G1247" i="5"/>
  <c r="F1247" i="5"/>
  <c r="X1246" i="5"/>
  <c r="Z1246" i="5" s="1"/>
  <c r="X1245" i="5"/>
  <c r="Z1245" i="5" s="1"/>
  <c r="P1244" i="5"/>
  <c r="H1244" i="5"/>
  <c r="E1244" i="5"/>
  <c r="X1243" i="5"/>
  <c r="Y1242" i="5"/>
  <c r="T1242" i="5"/>
  <c r="S1242" i="5"/>
  <c r="R1242" i="5"/>
  <c r="O1242" i="5"/>
  <c r="N1242" i="5"/>
  <c r="L1242" i="5"/>
  <c r="K1242" i="5"/>
  <c r="I1242" i="5"/>
  <c r="G1242" i="5"/>
  <c r="Y1241" i="5"/>
  <c r="W1241" i="5"/>
  <c r="V1241" i="5"/>
  <c r="T1241" i="5"/>
  <c r="S1241" i="5"/>
  <c r="R1241" i="5"/>
  <c r="Q1241" i="5"/>
  <c r="O1241" i="5"/>
  <c r="N1241" i="5"/>
  <c r="L1241" i="5"/>
  <c r="K1241" i="5"/>
  <c r="J1241" i="5"/>
  <c r="I1241" i="5"/>
  <c r="G1241" i="5"/>
  <c r="F1241" i="5"/>
  <c r="E1241" i="5"/>
  <c r="Y1240" i="5"/>
  <c r="T1240" i="5"/>
  <c r="S1240" i="5"/>
  <c r="R1240" i="5"/>
  <c r="Q1240" i="5"/>
  <c r="O1240" i="5"/>
  <c r="N1240" i="5"/>
  <c r="L1240" i="5"/>
  <c r="K1240" i="5"/>
  <c r="J1240" i="5"/>
  <c r="I1240" i="5"/>
  <c r="G1240" i="5"/>
  <c r="Y1239" i="5"/>
  <c r="T1239" i="5"/>
  <c r="S1239" i="5"/>
  <c r="R1239" i="5"/>
  <c r="Q1239" i="5"/>
  <c r="O1239" i="5"/>
  <c r="N1239" i="5"/>
  <c r="L1239" i="5"/>
  <c r="K1239" i="5"/>
  <c r="J1239" i="5"/>
  <c r="I1239" i="5"/>
  <c r="G1239" i="5"/>
  <c r="F1239" i="5"/>
  <c r="Y1238" i="5"/>
  <c r="T1238" i="5"/>
  <c r="S1238" i="5"/>
  <c r="R1238" i="5"/>
  <c r="Q1238" i="5"/>
  <c r="O1238" i="5"/>
  <c r="N1238" i="5"/>
  <c r="L1238" i="5"/>
  <c r="K1238" i="5"/>
  <c r="J1238" i="5"/>
  <c r="I1238" i="5"/>
  <c r="G1238" i="5"/>
  <c r="F1238" i="5"/>
  <c r="E1238" i="5"/>
  <c r="Y1237" i="5"/>
  <c r="T1237" i="5"/>
  <c r="S1237" i="5"/>
  <c r="R1237" i="5"/>
  <c r="Q1237" i="5"/>
  <c r="O1237" i="5"/>
  <c r="N1237" i="5"/>
  <c r="L1237" i="5"/>
  <c r="K1237" i="5"/>
  <c r="J1237" i="5"/>
  <c r="I1237" i="5"/>
  <c r="G1237" i="5"/>
  <c r="F1237" i="5"/>
  <c r="E1237" i="5"/>
  <c r="Y1236" i="5"/>
  <c r="W1236" i="5"/>
  <c r="V1236" i="5"/>
  <c r="T1236" i="5"/>
  <c r="S1236" i="5"/>
  <c r="R1236" i="5"/>
  <c r="Q1236" i="5"/>
  <c r="O1236" i="5"/>
  <c r="N1236" i="5"/>
  <c r="M1236" i="5"/>
  <c r="L1236" i="5"/>
  <c r="K1236" i="5"/>
  <c r="J1236" i="5"/>
  <c r="I1236" i="5"/>
  <c r="H1236" i="5"/>
  <c r="G1236" i="5"/>
  <c r="F1236" i="5"/>
  <c r="E1236" i="5"/>
  <c r="Y1235" i="5"/>
  <c r="W1235" i="5"/>
  <c r="V1235" i="5"/>
  <c r="T1235" i="5"/>
  <c r="S1235" i="5"/>
  <c r="R1235" i="5"/>
  <c r="Q1235" i="5"/>
  <c r="P1235" i="5"/>
  <c r="O1235" i="5"/>
  <c r="N1235" i="5"/>
  <c r="L1235" i="5"/>
  <c r="K1235" i="5"/>
  <c r="I1235" i="5"/>
  <c r="G1235" i="5"/>
  <c r="F1235" i="5"/>
  <c r="E1235" i="5"/>
  <c r="Y1234" i="5"/>
  <c r="T1234" i="5"/>
  <c r="S1234" i="5"/>
  <c r="R1234" i="5"/>
  <c r="O1234" i="5"/>
  <c r="N1234" i="5"/>
  <c r="L1234" i="5"/>
  <c r="K1234" i="5"/>
  <c r="I1234" i="5"/>
  <c r="G1234" i="5"/>
  <c r="Y1233" i="5"/>
  <c r="T1233" i="5"/>
  <c r="S1233" i="5"/>
  <c r="R1233" i="5"/>
  <c r="O1233" i="5"/>
  <c r="N1233" i="5"/>
  <c r="L1233" i="5"/>
  <c r="K1233" i="5"/>
  <c r="I1233" i="5"/>
  <c r="G1233" i="5"/>
  <c r="Y1232" i="5"/>
  <c r="T1232" i="5"/>
  <c r="S1232" i="5"/>
  <c r="R1232" i="5"/>
  <c r="O1232" i="5"/>
  <c r="N1232" i="5"/>
  <c r="L1232" i="5"/>
  <c r="K1232" i="5"/>
  <c r="I1232" i="5"/>
  <c r="G1232" i="5"/>
  <c r="F1232" i="5"/>
  <c r="E1232" i="5"/>
  <c r="Y1231" i="5"/>
  <c r="T1231" i="5"/>
  <c r="S1231" i="5"/>
  <c r="R1231" i="5"/>
  <c r="O1231" i="5"/>
  <c r="N1231" i="5"/>
  <c r="L1231" i="5"/>
  <c r="K1231" i="5"/>
  <c r="I1231" i="5"/>
  <c r="G1231" i="5"/>
  <c r="Y1230" i="5"/>
  <c r="T1230" i="5"/>
  <c r="S1230" i="5"/>
  <c r="R1230" i="5"/>
  <c r="O1230" i="5"/>
  <c r="N1230" i="5"/>
  <c r="L1230" i="5"/>
  <c r="K1230" i="5"/>
  <c r="I1230" i="5"/>
  <c r="G1230" i="5"/>
  <c r="F1230" i="5"/>
  <c r="E1230" i="5"/>
  <c r="Y1229" i="5"/>
  <c r="T1229" i="5"/>
  <c r="S1229" i="5"/>
  <c r="R1229" i="5"/>
  <c r="O1229" i="5"/>
  <c r="N1229" i="5"/>
  <c r="L1229" i="5"/>
  <c r="K1229" i="5"/>
  <c r="I1229" i="5"/>
  <c r="G1229" i="5"/>
  <c r="F1229" i="5"/>
  <c r="E1229" i="5"/>
  <c r="Y1228" i="5"/>
  <c r="T1228" i="5"/>
  <c r="S1228" i="5"/>
  <c r="R1228" i="5"/>
  <c r="O1228" i="5"/>
  <c r="N1228" i="5"/>
  <c r="L1228" i="5"/>
  <c r="K1228" i="5"/>
  <c r="I1228" i="5"/>
  <c r="G1228" i="5"/>
  <c r="F1228" i="5"/>
  <c r="E1228" i="5"/>
  <c r="Y1227" i="5"/>
  <c r="T1227" i="5"/>
  <c r="S1227" i="5"/>
  <c r="R1227" i="5"/>
  <c r="O1227" i="5"/>
  <c r="N1227" i="5"/>
  <c r="L1227" i="5"/>
  <c r="K1227" i="5"/>
  <c r="I1227" i="5"/>
  <c r="G1227" i="5"/>
  <c r="F1227" i="5"/>
  <c r="E1227" i="5"/>
  <c r="Y1226" i="5"/>
  <c r="T1226" i="5"/>
  <c r="S1226" i="5"/>
  <c r="R1226" i="5"/>
  <c r="O1226" i="5"/>
  <c r="N1226" i="5"/>
  <c r="L1226" i="5"/>
  <c r="K1226" i="5"/>
  <c r="I1226" i="5"/>
  <c r="G1226" i="5"/>
  <c r="F1226" i="5"/>
  <c r="Y1225" i="5"/>
  <c r="T1225" i="5"/>
  <c r="S1225" i="5"/>
  <c r="R1225" i="5"/>
  <c r="O1225" i="5"/>
  <c r="N1225" i="5"/>
  <c r="L1225" i="5"/>
  <c r="K1225" i="5"/>
  <c r="I1225" i="5"/>
  <c r="G1225" i="5"/>
  <c r="E1225" i="5"/>
  <c r="Y1224" i="5"/>
  <c r="T1224" i="5"/>
  <c r="S1224" i="5"/>
  <c r="R1224" i="5"/>
  <c r="O1224" i="5"/>
  <c r="N1224" i="5"/>
  <c r="L1224" i="5"/>
  <c r="K1224" i="5"/>
  <c r="I1224" i="5"/>
  <c r="G1224" i="5"/>
  <c r="F1224" i="5"/>
  <c r="E1224" i="5"/>
  <c r="Y1223" i="5"/>
  <c r="T1223" i="5"/>
  <c r="S1223" i="5"/>
  <c r="R1223" i="5"/>
  <c r="O1223" i="5"/>
  <c r="N1223" i="5"/>
  <c r="L1223" i="5"/>
  <c r="K1223" i="5"/>
  <c r="I1223" i="5"/>
  <c r="G1223" i="5"/>
  <c r="E1223" i="5"/>
  <c r="Y1222" i="5"/>
  <c r="T1222" i="5"/>
  <c r="S1222" i="5"/>
  <c r="R1222" i="5"/>
  <c r="O1222" i="5"/>
  <c r="N1222" i="5"/>
  <c r="L1222" i="5"/>
  <c r="K1222" i="5"/>
  <c r="I1222" i="5"/>
  <c r="G1222" i="5"/>
  <c r="F1222" i="5"/>
  <c r="Y1221" i="5"/>
  <c r="T1221" i="5"/>
  <c r="S1221" i="5"/>
  <c r="R1221" i="5"/>
  <c r="O1221" i="5"/>
  <c r="N1221" i="5"/>
  <c r="L1221" i="5"/>
  <c r="K1221" i="5"/>
  <c r="I1221" i="5"/>
  <c r="G1221" i="5"/>
  <c r="F1221" i="5"/>
  <c r="E1221" i="5"/>
  <c r="Y1220" i="5"/>
  <c r="T1220" i="5"/>
  <c r="S1220" i="5"/>
  <c r="R1220" i="5"/>
  <c r="O1220" i="5"/>
  <c r="N1220" i="5"/>
  <c r="L1220" i="5"/>
  <c r="I1220" i="5"/>
  <c r="G1220" i="5"/>
  <c r="F1220" i="5"/>
  <c r="Y1219" i="5"/>
  <c r="T1219" i="5"/>
  <c r="S1219" i="5"/>
  <c r="R1219" i="5"/>
  <c r="O1219" i="5"/>
  <c r="N1219" i="5"/>
  <c r="L1219" i="5"/>
  <c r="K1219" i="5"/>
  <c r="I1219" i="5"/>
  <c r="G1219" i="5"/>
  <c r="F1219" i="5"/>
  <c r="E1219" i="5"/>
  <c r="Y1218" i="5"/>
  <c r="T1218" i="5"/>
  <c r="S1218" i="5"/>
  <c r="R1218" i="5"/>
  <c r="O1218" i="5"/>
  <c r="N1218" i="5"/>
  <c r="L1218" i="5"/>
  <c r="I1218" i="5"/>
  <c r="G1218" i="5"/>
  <c r="F1218" i="5"/>
  <c r="Y1217" i="5"/>
  <c r="T1217" i="5"/>
  <c r="S1217" i="5"/>
  <c r="R1217" i="5"/>
  <c r="O1217" i="5"/>
  <c r="N1217" i="5"/>
  <c r="L1217" i="5"/>
  <c r="K1217" i="5"/>
  <c r="I1217" i="5"/>
  <c r="G1217" i="5"/>
  <c r="F1217" i="5"/>
  <c r="E1217" i="5"/>
  <c r="X1216" i="5"/>
  <c r="X1215" i="5"/>
  <c r="P1214" i="5"/>
  <c r="H1214" i="5"/>
  <c r="E1214" i="5"/>
  <c r="Y1212" i="5"/>
  <c r="T1212" i="5"/>
  <c r="S1212" i="5"/>
  <c r="R1212" i="5"/>
  <c r="O1212" i="5"/>
  <c r="N1212" i="5"/>
  <c r="L1212" i="5"/>
  <c r="K1212" i="5"/>
  <c r="I1212" i="5"/>
  <c r="G1212" i="5"/>
  <c r="F1212" i="5"/>
  <c r="E1212" i="5"/>
  <c r="Y1211" i="5"/>
  <c r="T1211" i="5"/>
  <c r="S1211" i="5"/>
  <c r="R1211" i="5"/>
  <c r="O1211" i="5"/>
  <c r="N1211" i="5"/>
  <c r="L1211" i="5"/>
  <c r="K1211" i="5"/>
  <c r="I1211" i="5"/>
  <c r="G1211" i="5"/>
  <c r="F1211" i="5"/>
  <c r="Y1210" i="5"/>
  <c r="T1210" i="5"/>
  <c r="S1210" i="5"/>
  <c r="R1210" i="5"/>
  <c r="O1210" i="5"/>
  <c r="N1210" i="5"/>
  <c r="L1210" i="5"/>
  <c r="K1210" i="5"/>
  <c r="I1210" i="5"/>
  <c r="G1210" i="5"/>
  <c r="F1210" i="5"/>
  <c r="E1210" i="5"/>
  <c r="Y1209" i="5"/>
  <c r="W1209" i="5"/>
  <c r="T1209" i="5"/>
  <c r="S1209" i="5"/>
  <c r="R1209" i="5"/>
  <c r="Q1209" i="5"/>
  <c r="O1209" i="5"/>
  <c r="N1209" i="5"/>
  <c r="L1209" i="5"/>
  <c r="K1209" i="5"/>
  <c r="J1209" i="5"/>
  <c r="I1209" i="5"/>
  <c r="F1209" i="5"/>
  <c r="E1209" i="5"/>
  <c r="Y1208" i="5"/>
  <c r="W1208" i="5"/>
  <c r="T1208" i="5"/>
  <c r="S1208" i="5"/>
  <c r="R1208" i="5"/>
  <c r="Q1208" i="5"/>
  <c r="O1208" i="5"/>
  <c r="N1208" i="5"/>
  <c r="L1208" i="5"/>
  <c r="K1208" i="5"/>
  <c r="I1208" i="5"/>
  <c r="G1208" i="5"/>
  <c r="F1208" i="5"/>
  <c r="E1208" i="5"/>
  <c r="Y1207" i="5"/>
  <c r="W1207" i="5"/>
  <c r="T1207" i="5"/>
  <c r="S1207" i="5"/>
  <c r="R1207" i="5"/>
  <c r="Q1207" i="5"/>
  <c r="O1207" i="5"/>
  <c r="N1207" i="5"/>
  <c r="L1207" i="5"/>
  <c r="K1207" i="5"/>
  <c r="I1207" i="5"/>
  <c r="G1207" i="5"/>
  <c r="F1207" i="5"/>
  <c r="E1207" i="5"/>
  <c r="Y1206" i="5"/>
  <c r="T1206" i="5"/>
  <c r="S1206" i="5"/>
  <c r="R1206" i="5"/>
  <c r="O1206" i="5"/>
  <c r="N1206" i="5"/>
  <c r="L1206" i="5"/>
  <c r="K1206" i="5"/>
  <c r="I1206" i="5"/>
  <c r="G1206" i="5"/>
  <c r="Y1205" i="5"/>
  <c r="T1205" i="5"/>
  <c r="S1205" i="5"/>
  <c r="R1205" i="5"/>
  <c r="O1205" i="5"/>
  <c r="N1205" i="5"/>
  <c r="L1205" i="5"/>
  <c r="K1205" i="5"/>
  <c r="I1205" i="5"/>
  <c r="G1205" i="5"/>
  <c r="Y1204" i="5"/>
  <c r="T1204" i="5"/>
  <c r="S1204" i="5"/>
  <c r="R1204" i="5"/>
  <c r="O1204" i="5"/>
  <c r="N1204" i="5"/>
  <c r="L1204" i="5"/>
  <c r="K1204" i="5"/>
  <c r="I1204" i="5"/>
  <c r="G1204" i="5"/>
  <c r="Y1203" i="5"/>
  <c r="T1203" i="5"/>
  <c r="S1203" i="5"/>
  <c r="R1203" i="5"/>
  <c r="O1203" i="5"/>
  <c r="N1203" i="5"/>
  <c r="L1203" i="5"/>
  <c r="K1203" i="5"/>
  <c r="I1203" i="5"/>
  <c r="G1203" i="5"/>
  <c r="F1203" i="5"/>
  <c r="Y1202" i="5"/>
  <c r="T1202" i="5"/>
  <c r="S1202" i="5"/>
  <c r="R1202" i="5"/>
  <c r="O1202" i="5"/>
  <c r="N1202" i="5"/>
  <c r="L1202" i="5"/>
  <c r="K1202" i="5"/>
  <c r="I1202" i="5"/>
  <c r="G1202" i="5"/>
  <c r="Y1201" i="5"/>
  <c r="T1201" i="5"/>
  <c r="S1201" i="5"/>
  <c r="R1201" i="5"/>
  <c r="O1201" i="5"/>
  <c r="N1201" i="5"/>
  <c r="L1201" i="5"/>
  <c r="K1201" i="5"/>
  <c r="I1201" i="5"/>
  <c r="G1201" i="5"/>
  <c r="F1201" i="5"/>
  <c r="Y1200" i="5"/>
  <c r="T1200" i="5"/>
  <c r="S1200" i="5"/>
  <c r="R1200" i="5"/>
  <c r="O1200" i="5"/>
  <c r="N1200" i="5"/>
  <c r="L1200" i="5"/>
  <c r="K1200" i="5"/>
  <c r="I1200" i="5"/>
  <c r="G1200" i="5"/>
  <c r="E1200" i="5"/>
  <c r="Y1199" i="5"/>
  <c r="T1199" i="5"/>
  <c r="S1199" i="5"/>
  <c r="R1199" i="5"/>
  <c r="O1199" i="5"/>
  <c r="N1199" i="5"/>
  <c r="L1199" i="5"/>
  <c r="K1199" i="5"/>
  <c r="I1199" i="5"/>
  <c r="G1199" i="5"/>
  <c r="F1199" i="5"/>
  <c r="E1199" i="5"/>
  <c r="Y1198" i="5"/>
  <c r="T1198" i="5"/>
  <c r="S1198" i="5"/>
  <c r="R1198" i="5"/>
  <c r="O1198" i="5"/>
  <c r="N1198" i="5"/>
  <c r="L1198" i="5"/>
  <c r="I1198" i="5"/>
  <c r="G1198" i="5"/>
  <c r="F1198" i="5"/>
  <c r="Y1197" i="5"/>
  <c r="T1197" i="5"/>
  <c r="S1197" i="5"/>
  <c r="R1197" i="5"/>
  <c r="O1197" i="5"/>
  <c r="N1197" i="5"/>
  <c r="L1197" i="5"/>
  <c r="I1197" i="5"/>
  <c r="G1197" i="5"/>
  <c r="F1197" i="5"/>
  <c r="Y1196" i="5"/>
  <c r="Y1214" i="5" s="1"/>
  <c r="T1196" i="5"/>
  <c r="T1214" i="5" s="1"/>
  <c r="S1196" i="5"/>
  <c r="R1196" i="5"/>
  <c r="O1196" i="5"/>
  <c r="O1214" i="5" s="1"/>
  <c r="N1196" i="5"/>
  <c r="N1214" i="5" s="1"/>
  <c r="L1196" i="5"/>
  <c r="L1214" i="5" s="1"/>
  <c r="K1196" i="5"/>
  <c r="I1196" i="5"/>
  <c r="I1214" i="5" s="1"/>
  <c r="G1196" i="5"/>
  <c r="F1196" i="5"/>
  <c r="E1196" i="5"/>
  <c r="P1188" i="5"/>
  <c r="H1188" i="5"/>
  <c r="E1188" i="5"/>
  <c r="H1187" i="5"/>
  <c r="X1187" i="5" s="1"/>
  <c r="E1187" i="5"/>
  <c r="Z1187" i="5" s="1"/>
  <c r="X1186" i="5"/>
  <c r="Z1186" i="5" s="1"/>
  <c r="Y1185" i="5"/>
  <c r="T1185" i="5"/>
  <c r="S1185" i="5"/>
  <c r="R1185" i="5"/>
  <c r="Q1185" i="5"/>
  <c r="O1185" i="5"/>
  <c r="N1185" i="5"/>
  <c r="L1185" i="5"/>
  <c r="K1185" i="5"/>
  <c r="J1185" i="5"/>
  <c r="I1185" i="5"/>
  <c r="G1185" i="5"/>
  <c r="F1185" i="5"/>
  <c r="E1185" i="5"/>
  <c r="Y1184" i="5"/>
  <c r="W1184" i="5"/>
  <c r="T1184" i="5"/>
  <c r="S1184" i="5"/>
  <c r="R1184" i="5"/>
  <c r="Q1184" i="5"/>
  <c r="O1184" i="5"/>
  <c r="N1184" i="5"/>
  <c r="L1184" i="5"/>
  <c r="K1184" i="5"/>
  <c r="J1184" i="5"/>
  <c r="I1184" i="5"/>
  <c r="G1184" i="5"/>
  <c r="F1184" i="5"/>
  <c r="E1184" i="5"/>
  <c r="Y1183" i="5"/>
  <c r="T1183" i="5"/>
  <c r="S1183" i="5"/>
  <c r="R1183" i="5"/>
  <c r="Q1183" i="5"/>
  <c r="O1183" i="5"/>
  <c r="N1183" i="5"/>
  <c r="L1183" i="5"/>
  <c r="K1183" i="5"/>
  <c r="J1183" i="5"/>
  <c r="I1183" i="5"/>
  <c r="G1183" i="5"/>
  <c r="F1183" i="5"/>
  <c r="Y1182" i="5"/>
  <c r="T1182" i="5"/>
  <c r="S1182" i="5"/>
  <c r="R1182" i="5"/>
  <c r="Q1182" i="5"/>
  <c r="O1182" i="5"/>
  <c r="N1182" i="5"/>
  <c r="L1182" i="5"/>
  <c r="K1182" i="5"/>
  <c r="J1182" i="5"/>
  <c r="I1182" i="5"/>
  <c r="G1182" i="5"/>
  <c r="F1182" i="5"/>
  <c r="E1182" i="5"/>
  <c r="Y1181" i="5"/>
  <c r="T1181" i="5"/>
  <c r="S1181" i="5"/>
  <c r="R1181" i="5"/>
  <c r="Q1181" i="5"/>
  <c r="O1181" i="5"/>
  <c r="N1181" i="5"/>
  <c r="L1181" i="5"/>
  <c r="K1181" i="5"/>
  <c r="J1181" i="5"/>
  <c r="I1181" i="5"/>
  <c r="G1181" i="5"/>
  <c r="Y1180" i="5"/>
  <c r="T1180" i="5"/>
  <c r="S1180" i="5"/>
  <c r="R1180" i="5"/>
  <c r="Q1180" i="5"/>
  <c r="O1180" i="5"/>
  <c r="N1180" i="5"/>
  <c r="L1180" i="5"/>
  <c r="K1180" i="5"/>
  <c r="J1180" i="5"/>
  <c r="I1180" i="5"/>
  <c r="G1180" i="5"/>
  <c r="F1180" i="5"/>
  <c r="E1180" i="5"/>
  <c r="Y1179" i="5"/>
  <c r="T1179" i="5"/>
  <c r="S1179" i="5"/>
  <c r="R1179" i="5"/>
  <c r="Q1179" i="5"/>
  <c r="O1179" i="5"/>
  <c r="N1179" i="5"/>
  <c r="L1179" i="5"/>
  <c r="K1179" i="5"/>
  <c r="J1179" i="5"/>
  <c r="I1179" i="5"/>
  <c r="G1179" i="5"/>
  <c r="F1179" i="5"/>
  <c r="E1179" i="5"/>
  <c r="Y1178" i="5"/>
  <c r="T1178" i="5"/>
  <c r="S1178" i="5"/>
  <c r="R1178" i="5"/>
  <c r="Q1178" i="5"/>
  <c r="O1178" i="5"/>
  <c r="N1178" i="5"/>
  <c r="L1178" i="5"/>
  <c r="K1178" i="5"/>
  <c r="J1178" i="5"/>
  <c r="I1178" i="5"/>
  <c r="G1178" i="5"/>
  <c r="F1178" i="5"/>
  <c r="E1178" i="5"/>
  <c r="Y1177" i="5"/>
  <c r="T1177" i="5"/>
  <c r="S1177" i="5"/>
  <c r="R1177" i="5"/>
  <c r="Q1177" i="5"/>
  <c r="O1177" i="5"/>
  <c r="N1177" i="5"/>
  <c r="L1177" i="5"/>
  <c r="K1177" i="5"/>
  <c r="J1177" i="5"/>
  <c r="I1177" i="5"/>
  <c r="G1177" i="5"/>
  <c r="F1177" i="5"/>
  <c r="E1177" i="5"/>
  <c r="Y1176" i="5"/>
  <c r="T1176" i="5"/>
  <c r="S1176" i="5"/>
  <c r="R1176" i="5"/>
  <c r="Q1176" i="5"/>
  <c r="O1176" i="5"/>
  <c r="N1176" i="5"/>
  <c r="L1176" i="5"/>
  <c r="K1176" i="5"/>
  <c r="J1176" i="5"/>
  <c r="I1176" i="5"/>
  <c r="G1176" i="5"/>
  <c r="F1176" i="5"/>
  <c r="E1176" i="5"/>
  <c r="Y1175" i="5"/>
  <c r="T1175" i="5"/>
  <c r="S1175" i="5"/>
  <c r="R1175" i="5"/>
  <c r="Q1175" i="5"/>
  <c r="O1175" i="5"/>
  <c r="N1175" i="5"/>
  <c r="L1175" i="5"/>
  <c r="K1175" i="5"/>
  <c r="J1175" i="5"/>
  <c r="I1175" i="5"/>
  <c r="G1175" i="5"/>
  <c r="F1175" i="5"/>
  <c r="Y1174" i="5"/>
  <c r="T1174" i="5"/>
  <c r="S1174" i="5"/>
  <c r="R1174" i="5"/>
  <c r="Q1174" i="5"/>
  <c r="O1174" i="5"/>
  <c r="N1174" i="5"/>
  <c r="L1174" i="5"/>
  <c r="K1174" i="5"/>
  <c r="J1174" i="5"/>
  <c r="I1174" i="5"/>
  <c r="G1174" i="5"/>
  <c r="F1174" i="5"/>
  <c r="Y1173" i="5"/>
  <c r="T1173" i="5"/>
  <c r="S1173" i="5"/>
  <c r="R1173" i="5"/>
  <c r="Q1173" i="5"/>
  <c r="O1173" i="5"/>
  <c r="N1173" i="5"/>
  <c r="L1173" i="5"/>
  <c r="K1173" i="5"/>
  <c r="J1173" i="5"/>
  <c r="I1173" i="5"/>
  <c r="G1173" i="5"/>
  <c r="F1173" i="5"/>
  <c r="E1173" i="5"/>
  <c r="Y1172" i="5"/>
  <c r="T1172" i="5"/>
  <c r="S1172" i="5"/>
  <c r="R1172" i="5"/>
  <c r="Q1172" i="5"/>
  <c r="O1172" i="5"/>
  <c r="N1172" i="5"/>
  <c r="L1172" i="5"/>
  <c r="K1172" i="5"/>
  <c r="J1172" i="5"/>
  <c r="I1172" i="5"/>
  <c r="G1172" i="5"/>
  <c r="F1172" i="5"/>
  <c r="E1172" i="5"/>
  <c r="Y1171" i="5"/>
  <c r="T1171" i="5"/>
  <c r="S1171" i="5"/>
  <c r="R1171" i="5"/>
  <c r="Q1171" i="5"/>
  <c r="O1171" i="5"/>
  <c r="N1171" i="5"/>
  <c r="L1171" i="5"/>
  <c r="K1171" i="5"/>
  <c r="J1171" i="5"/>
  <c r="I1171" i="5"/>
  <c r="G1171" i="5"/>
  <c r="F1171" i="5"/>
  <c r="E1171" i="5"/>
  <c r="Y1170" i="5"/>
  <c r="T1170" i="5"/>
  <c r="S1170" i="5"/>
  <c r="R1170" i="5"/>
  <c r="Q1170" i="5"/>
  <c r="O1170" i="5"/>
  <c r="N1170" i="5"/>
  <c r="L1170" i="5"/>
  <c r="K1170" i="5"/>
  <c r="J1170" i="5"/>
  <c r="I1170" i="5"/>
  <c r="G1170" i="5"/>
  <c r="F1170" i="5"/>
  <c r="E1170" i="5"/>
  <c r="Y1169" i="5"/>
  <c r="T1169" i="5"/>
  <c r="S1169" i="5"/>
  <c r="R1169" i="5"/>
  <c r="Q1169" i="5"/>
  <c r="O1169" i="5"/>
  <c r="L1169" i="5"/>
  <c r="K1169" i="5"/>
  <c r="J1169" i="5"/>
  <c r="I1169" i="5"/>
  <c r="G1169" i="5"/>
  <c r="F1169" i="5"/>
  <c r="E1169" i="5"/>
  <c r="X1168" i="5"/>
  <c r="Z1168" i="5" s="1"/>
  <c r="X1167" i="5"/>
  <c r="Z1167" i="5" s="1"/>
  <c r="P1166" i="5"/>
  <c r="H1166" i="5"/>
  <c r="E1166" i="5"/>
  <c r="X1165" i="5"/>
  <c r="Z1165" i="5" s="1"/>
  <c r="Y1164" i="5"/>
  <c r="T1164" i="5"/>
  <c r="S1164" i="5"/>
  <c r="R1164" i="5"/>
  <c r="Q1164" i="5"/>
  <c r="O1164" i="5"/>
  <c r="N1164" i="5"/>
  <c r="L1164" i="5"/>
  <c r="K1164" i="5"/>
  <c r="J1164" i="5"/>
  <c r="I1164" i="5"/>
  <c r="G1164" i="5"/>
  <c r="F1164" i="5"/>
  <c r="E1164" i="5"/>
  <c r="Y1163" i="5"/>
  <c r="T1163" i="5"/>
  <c r="S1163" i="5"/>
  <c r="R1163" i="5"/>
  <c r="Q1163" i="5"/>
  <c r="O1163" i="5"/>
  <c r="N1163" i="5"/>
  <c r="L1163" i="5"/>
  <c r="K1163" i="5"/>
  <c r="J1163" i="5"/>
  <c r="I1163" i="5"/>
  <c r="G1163" i="5"/>
  <c r="F1163" i="5"/>
  <c r="E1163" i="5"/>
  <c r="Y1162" i="5"/>
  <c r="T1162" i="5"/>
  <c r="S1162" i="5"/>
  <c r="R1162" i="5"/>
  <c r="Q1162" i="5"/>
  <c r="O1162" i="5"/>
  <c r="N1162" i="5"/>
  <c r="L1162" i="5"/>
  <c r="K1162" i="5"/>
  <c r="J1162" i="5"/>
  <c r="I1162" i="5"/>
  <c r="G1162" i="5"/>
  <c r="Y1161" i="5"/>
  <c r="T1161" i="5"/>
  <c r="S1161" i="5"/>
  <c r="R1161" i="5"/>
  <c r="Q1161" i="5"/>
  <c r="O1161" i="5"/>
  <c r="N1161" i="5"/>
  <c r="L1161" i="5"/>
  <c r="K1161" i="5"/>
  <c r="J1161" i="5"/>
  <c r="I1161" i="5"/>
  <c r="G1161" i="5"/>
  <c r="F1161" i="5"/>
  <c r="E1161" i="5"/>
  <c r="Y1160" i="5"/>
  <c r="T1160" i="5"/>
  <c r="S1160" i="5"/>
  <c r="R1160" i="5"/>
  <c r="Q1160" i="5"/>
  <c r="O1160" i="5"/>
  <c r="N1160" i="5"/>
  <c r="L1160" i="5"/>
  <c r="K1160" i="5"/>
  <c r="J1160" i="5"/>
  <c r="I1160" i="5"/>
  <c r="G1160" i="5"/>
  <c r="F1160" i="5"/>
  <c r="E1160" i="5"/>
  <c r="Y1159" i="5"/>
  <c r="T1159" i="5"/>
  <c r="S1159" i="5"/>
  <c r="R1159" i="5"/>
  <c r="Q1159" i="5"/>
  <c r="O1159" i="5"/>
  <c r="N1159" i="5"/>
  <c r="L1159" i="5"/>
  <c r="K1159" i="5"/>
  <c r="J1159" i="5"/>
  <c r="I1159" i="5"/>
  <c r="G1159" i="5"/>
  <c r="F1159" i="5"/>
  <c r="E1159" i="5"/>
  <c r="Y1158" i="5"/>
  <c r="T1158" i="5"/>
  <c r="S1158" i="5"/>
  <c r="R1158" i="5"/>
  <c r="Q1158" i="5"/>
  <c r="O1158" i="5"/>
  <c r="N1158" i="5"/>
  <c r="L1158" i="5"/>
  <c r="K1158" i="5"/>
  <c r="J1158" i="5"/>
  <c r="I1158" i="5"/>
  <c r="G1158" i="5"/>
  <c r="F1158" i="5"/>
  <c r="E1158" i="5"/>
  <c r="Y1157" i="5"/>
  <c r="T1157" i="5"/>
  <c r="S1157" i="5"/>
  <c r="R1157" i="5"/>
  <c r="Q1157" i="5"/>
  <c r="O1157" i="5"/>
  <c r="N1157" i="5"/>
  <c r="L1157" i="5"/>
  <c r="K1157" i="5"/>
  <c r="J1157" i="5"/>
  <c r="I1157" i="5"/>
  <c r="G1157" i="5"/>
  <c r="F1157" i="5"/>
  <c r="E1157" i="5"/>
  <c r="Y1156" i="5"/>
  <c r="T1156" i="5"/>
  <c r="S1156" i="5"/>
  <c r="R1156" i="5"/>
  <c r="Q1156" i="5"/>
  <c r="O1156" i="5"/>
  <c r="N1156" i="5"/>
  <c r="L1156" i="5"/>
  <c r="K1156" i="5"/>
  <c r="J1156" i="5"/>
  <c r="I1156" i="5"/>
  <c r="G1156" i="5"/>
  <c r="F1156" i="5"/>
  <c r="E1156" i="5"/>
  <c r="Y1155" i="5"/>
  <c r="T1155" i="5"/>
  <c r="S1155" i="5"/>
  <c r="R1155" i="5"/>
  <c r="Q1155" i="5"/>
  <c r="O1155" i="5"/>
  <c r="N1155" i="5"/>
  <c r="L1155" i="5"/>
  <c r="K1155" i="5"/>
  <c r="J1155" i="5"/>
  <c r="I1155" i="5"/>
  <c r="G1155" i="5"/>
  <c r="F1155" i="5"/>
  <c r="E1155" i="5"/>
  <c r="Y1154" i="5"/>
  <c r="T1154" i="5"/>
  <c r="S1154" i="5"/>
  <c r="R1154" i="5"/>
  <c r="Q1154" i="5"/>
  <c r="O1154" i="5"/>
  <c r="N1154" i="5"/>
  <c r="L1154" i="5"/>
  <c r="K1154" i="5"/>
  <c r="J1154" i="5"/>
  <c r="I1154" i="5"/>
  <c r="G1154" i="5"/>
  <c r="F1154" i="5"/>
  <c r="E1154" i="5"/>
  <c r="Y1153" i="5"/>
  <c r="T1153" i="5"/>
  <c r="S1153" i="5"/>
  <c r="R1153" i="5"/>
  <c r="Q1153" i="5"/>
  <c r="O1153" i="5"/>
  <c r="N1153" i="5"/>
  <c r="L1153" i="5"/>
  <c r="K1153" i="5"/>
  <c r="J1153" i="5"/>
  <c r="I1153" i="5"/>
  <c r="G1153" i="5"/>
  <c r="F1153" i="5"/>
  <c r="E1153" i="5"/>
  <c r="Y1152" i="5"/>
  <c r="T1152" i="5"/>
  <c r="S1152" i="5"/>
  <c r="R1152" i="5"/>
  <c r="Q1152" i="5"/>
  <c r="O1152" i="5"/>
  <c r="N1152" i="5"/>
  <c r="L1152" i="5"/>
  <c r="K1152" i="5"/>
  <c r="J1152" i="5"/>
  <c r="I1152" i="5"/>
  <c r="G1152" i="5"/>
  <c r="F1152" i="5"/>
  <c r="E1152" i="5"/>
  <c r="Y1151" i="5"/>
  <c r="T1151" i="5"/>
  <c r="S1151" i="5"/>
  <c r="R1151" i="5"/>
  <c r="Q1151" i="5"/>
  <c r="O1151" i="5"/>
  <c r="N1151" i="5"/>
  <c r="L1151" i="5"/>
  <c r="K1151" i="5"/>
  <c r="J1151" i="5"/>
  <c r="I1151" i="5"/>
  <c r="G1151" i="5"/>
  <c r="F1151" i="5"/>
  <c r="E1151" i="5"/>
  <c r="Y1150" i="5"/>
  <c r="T1150" i="5"/>
  <c r="S1150" i="5"/>
  <c r="R1150" i="5"/>
  <c r="Q1150" i="5"/>
  <c r="O1150" i="5"/>
  <c r="N1150" i="5"/>
  <c r="L1150" i="5"/>
  <c r="K1150" i="5"/>
  <c r="J1150" i="5"/>
  <c r="I1150" i="5"/>
  <c r="G1150" i="5"/>
  <c r="F1150" i="5"/>
  <c r="E1150" i="5"/>
  <c r="Y1149" i="5"/>
  <c r="T1149" i="5"/>
  <c r="S1149" i="5"/>
  <c r="R1149" i="5"/>
  <c r="Q1149" i="5"/>
  <c r="O1149" i="5"/>
  <c r="N1149" i="5"/>
  <c r="L1149" i="5"/>
  <c r="K1149" i="5"/>
  <c r="J1149" i="5"/>
  <c r="I1149" i="5"/>
  <c r="G1149" i="5"/>
  <c r="F1149" i="5"/>
  <c r="E1149" i="5"/>
  <c r="Y1148" i="5"/>
  <c r="T1148" i="5"/>
  <c r="S1148" i="5"/>
  <c r="R1148" i="5"/>
  <c r="Q1148" i="5"/>
  <c r="O1148" i="5"/>
  <c r="N1148" i="5"/>
  <c r="L1148" i="5"/>
  <c r="K1148" i="5"/>
  <c r="J1148" i="5"/>
  <c r="I1148" i="5"/>
  <c r="G1148" i="5"/>
  <c r="F1148" i="5"/>
  <c r="E1148" i="5"/>
  <c r="Y1147" i="5"/>
  <c r="T1147" i="5"/>
  <c r="S1147" i="5"/>
  <c r="R1147" i="5"/>
  <c r="Q1147" i="5"/>
  <c r="O1147" i="5"/>
  <c r="L1147" i="5"/>
  <c r="K1147" i="5"/>
  <c r="J1147" i="5"/>
  <c r="I1147" i="5"/>
  <c r="G1147" i="5"/>
  <c r="F1147" i="5"/>
  <c r="E1147" i="5"/>
  <c r="X1146" i="5"/>
  <c r="Z1146" i="5" s="1"/>
  <c r="X1145" i="5"/>
  <c r="Z1145" i="5" s="1"/>
  <c r="X1144" i="5"/>
  <c r="Z1144" i="5" s="1"/>
  <c r="P1143" i="5"/>
  <c r="H1143" i="5"/>
  <c r="E1143" i="5"/>
  <c r="X1142" i="5"/>
  <c r="Z1142" i="5" s="1"/>
  <c r="Y1141" i="5"/>
  <c r="T1141" i="5"/>
  <c r="S1141" i="5"/>
  <c r="R1141" i="5"/>
  <c r="Q1141" i="5"/>
  <c r="O1141" i="5"/>
  <c r="N1141" i="5"/>
  <c r="L1141" i="5"/>
  <c r="K1141" i="5"/>
  <c r="J1141" i="5"/>
  <c r="I1141" i="5"/>
  <c r="G1141" i="5"/>
  <c r="F1141" i="5"/>
  <c r="Y1140" i="5"/>
  <c r="T1140" i="5"/>
  <c r="S1140" i="5"/>
  <c r="R1140" i="5"/>
  <c r="Q1140" i="5"/>
  <c r="O1140" i="5"/>
  <c r="N1140" i="5"/>
  <c r="L1140" i="5"/>
  <c r="K1140" i="5"/>
  <c r="J1140" i="5"/>
  <c r="I1140" i="5"/>
  <c r="G1140" i="5"/>
  <c r="Y1139" i="5"/>
  <c r="T1139" i="5"/>
  <c r="S1139" i="5"/>
  <c r="R1139" i="5"/>
  <c r="Q1139" i="5"/>
  <c r="O1139" i="5"/>
  <c r="N1139" i="5"/>
  <c r="L1139" i="5"/>
  <c r="K1139" i="5"/>
  <c r="J1139" i="5"/>
  <c r="I1139" i="5"/>
  <c r="G1139" i="5"/>
  <c r="F1139" i="5"/>
  <c r="E1139" i="5"/>
  <c r="Y1138" i="5"/>
  <c r="T1138" i="5"/>
  <c r="S1138" i="5"/>
  <c r="R1138" i="5"/>
  <c r="Q1138" i="5"/>
  <c r="O1138" i="5"/>
  <c r="N1138" i="5"/>
  <c r="L1138" i="5"/>
  <c r="K1138" i="5"/>
  <c r="J1138" i="5"/>
  <c r="I1138" i="5"/>
  <c r="G1138" i="5"/>
  <c r="F1138" i="5"/>
  <c r="E1138" i="5"/>
  <c r="Y1137" i="5"/>
  <c r="T1137" i="5"/>
  <c r="S1137" i="5"/>
  <c r="R1137" i="5"/>
  <c r="Q1137" i="5"/>
  <c r="O1137" i="5"/>
  <c r="N1137" i="5"/>
  <c r="L1137" i="5"/>
  <c r="K1137" i="5"/>
  <c r="J1137" i="5"/>
  <c r="I1137" i="5"/>
  <c r="G1137" i="5"/>
  <c r="F1137" i="5"/>
  <c r="E1137" i="5"/>
  <c r="Y1136" i="5"/>
  <c r="T1136" i="5"/>
  <c r="S1136" i="5"/>
  <c r="R1136" i="5"/>
  <c r="Q1136" i="5"/>
  <c r="O1136" i="5"/>
  <c r="N1136" i="5"/>
  <c r="L1136" i="5"/>
  <c r="K1136" i="5"/>
  <c r="J1136" i="5"/>
  <c r="I1136" i="5"/>
  <c r="G1136" i="5"/>
  <c r="F1136" i="5"/>
  <c r="E1136" i="5"/>
  <c r="Y1135" i="5"/>
  <c r="T1135" i="5"/>
  <c r="S1135" i="5"/>
  <c r="R1135" i="5"/>
  <c r="Q1135" i="5"/>
  <c r="O1135" i="5"/>
  <c r="N1135" i="5"/>
  <c r="L1135" i="5"/>
  <c r="K1135" i="5"/>
  <c r="J1135" i="5"/>
  <c r="I1135" i="5"/>
  <c r="G1135" i="5"/>
  <c r="F1135" i="5"/>
  <c r="E1135" i="5"/>
  <c r="Y1134" i="5"/>
  <c r="T1134" i="5"/>
  <c r="S1134" i="5"/>
  <c r="R1134" i="5"/>
  <c r="Q1134" i="5"/>
  <c r="O1134" i="5"/>
  <c r="N1134" i="5"/>
  <c r="L1134" i="5"/>
  <c r="K1134" i="5"/>
  <c r="J1134" i="5"/>
  <c r="I1134" i="5"/>
  <c r="G1134" i="5"/>
  <c r="F1134" i="5"/>
  <c r="Y1133" i="5"/>
  <c r="T1133" i="5"/>
  <c r="S1133" i="5"/>
  <c r="R1133" i="5"/>
  <c r="Q1133" i="5"/>
  <c r="O1133" i="5"/>
  <c r="N1133" i="5"/>
  <c r="L1133" i="5"/>
  <c r="K1133" i="5"/>
  <c r="J1133" i="5"/>
  <c r="I1133" i="5"/>
  <c r="G1133" i="5"/>
  <c r="F1133" i="5"/>
  <c r="E1133" i="5"/>
  <c r="Y1132" i="5"/>
  <c r="T1132" i="5"/>
  <c r="S1132" i="5"/>
  <c r="R1132" i="5"/>
  <c r="Q1132" i="5"/>
  <c r="O1132" i="5"/>
  <c r="N1132" i="5"/>
  <c r="L1132" i="5"/>
  <c r="K1132" i="5"/>
  <c r="J1132" i="5"/>
  <c r="I1132" i="5"/>
  <c r="G1132" i="5"/>
  <c r="F1132" i="5"/>
  <c r="E1132" i="5"/>
  <c r="X1131" i="5"/>
  <c r="Z1131" i="5" s="1"/>
  <c r="X1130" i="5"/>
  <c r="Z1130" i="5" s="1"/>
  <c r="P1129" i="5"/>
  <c r="H1129" i="5"/>
  <c r="E1129" i="5"/>
  <c r="X1128" i="5"/>
  <c r="Z1128" i="5" s="1"/>
  <c r="Y1127" i="5"/>
  <c r="T1127" i="5"/>
  <c r="S1127" i="5"/>
  <c r="R1127" i="5"/>
  <c r="Q1127" i="5"/>
  <c r="O1127" i="5"/>
  <c r="N1127" i="5"/>
  <c r="L1127" i="5"/>
  <c r="K1127" i="5"/>
  <c r="J1127" i="5"/>
  <c r="I1127" i="5"/>
  <c r="G1127" i="5"/>
  <c r="F1127" i="5"/>
  <c r="E1127" i="5"/>
  <c r="Y1126" i="5"/>
  <c r="W1126" i="5"/>
  <c r="V1126" i="5"/>
  <c r="T1126" i="5"/>
  <c r="S1126" i="5"/>
  <c r="R1126" i="5"/>
  <c r="Q1126" i="5"/>
  <c r="O1126" i="5"/>
  <c r="N1126" i="5"/>
  <c r="L1126" i="5"/>
  <c r="K1126" i="5"/>
  <c r="J1126" i="5"/>
  <c r="I1126" i="5"/>
  <c r="G1126" i="5"/>
  <c r="Y1125" i="5"/>
  <c r="W1125" i="5"/>
  <c r="V1125" i="5"/>
  <c r="T1125" i="5"/>
  <c r="S1125" i="5"/>
  <c r="R1125" i="5"/>
  <c r="Q1125" i="5"/>
  <c r="O1125" i="5"/>
  <c r="N1125" i="5"/>
  <c r="L1125" i="5"/>
  <c r="K1125" i="5"/>
  <c r="J1125" i="5"/>
  <c r="I1125" i="5"/>
  <c r="G1125" i="5"/>
  <c r="Y1124" i="5"/>
  <c r="W1124" i="5"/>
  <c r="V1124" i="5"/>
  <c r="T1124" i="5"/>
  <c r="S1124" i="5"/>
  <c r="R1124" i="5"/>
  <c r="Q1124" i="5"/>
  <c r="O1124" i="5"/>
  <c r="N1124" i="5"/>
  <c r="L1124" i="5"/>
  <c r="K1124" i="5"/>
  <c r="J1124" i="5"/>
  <c r="I1124" i="5"/>
  <c r="G1124" i="5"/>
  <c r="F1124" i="5"/>
  <c r="E1124" i="5"/>
  <c r="Y1123" i="5"/>
  <c r="W1123" i="5"/>
  <c r="V1123" i="5"/>
  <c r="T1123" i="5"/>
  <c r="S1123" i="5"/>
  <c r="R1123" i="5"/>
  <c r="Q1123" i="5"/>
  <c r="O1123" i="5"/>
  <c r="N1123" i="5"/>
  <c r="L1123" i="5"/>
  <c r="K1123" i="5"/>
  <c r="J1123" i="5"/>
  <c r="I1123" i="5"/>
  <c r="G1123" i="5"/>
  <c r="F1123" i="5"/>
  <c r="E1123" i="5"/>
  <c r="Y1122" i="5"/>
  <c r="T1122" i="5"/>
  <c r="S1122" i="5"/>
  <c r="R1122" i="5"/>
  <c r="Q1122" i="5"/>
  <c r="O1122" i="5"/>
  <c r="N1122" i="5"/>
  <c r="L1122" i="5"/>
  <c r="K1122" i="5"/>
  <c r="J1122" i="5"/>
  <c r="I1122" i="5"/>
  <c r="G1122" i="5"/>
  <c r="F1122" i="5"/>
  <c r="C1122" i="5"/>
  <c r="Y1121" i="5"/>
  <c r="T1121" i="5"/>
  <c r="S1121" i="5"/>
  <c r="R1121" i="5"/>
  <c r="Q1121" i="5"/>
  <c r="O1121" i="5"/>
  <c r="N1121" i="5"/>
  <c r="L1121" i="5"/>
  <c r="K1121" i="5"/>
  <c r="J1121" i="5"/>
  <c r="I1121" i="5"/>
  <c r="G1121" i="5"/>
  <c r="Y1120" i="5"/>
  <c r="T1120" i="5"/>
  <c r="S1120" i="5"/>
  <c r="R1120" i="5"/>
  <c r="Q1120" i="5"/>
  <c r="O1120" i="5"/>
  <c r="N1120" i="5"/>
  <c r="L1120" i="5"/>
  <c r="K1120" i="5"/>
  <c r="J1120" i="5"/>
  <c r="I1120" i="5"/>
  <c r="G1120" i="5"/>
  <c r="F1120" i="5"/>
  <c r="Y1119" i="5"/>
  <c r="T1119" i="5"/>
  <c r="S1119" i="5"/>
  <c r="R1119" i="5"/>
  <c r="Q1119" i="5"/>
  <c r="O1119" i="5"/>
  <c r="N1119" i="5"/>
  <c r="L1119" i="5"/>
  <c r="K1119" i="5"/>
  <c r="J1119" i="5"/>
  <c r="I1119" i="5"/>
  <c r="G1119" i="5"/>
  <c r="F1119" i="5"/>
  <c r="E1119" i="5"/>
  <c r="Y1118" i="5"/>
  <c r="T1118" i="5"/>
  <c r="S1118" i="5"/>
  <c r="R1118" i="5"/>
  <c r="Q1118" i="5"/>
  <c r="O1118" i="5"/>
  <c r="N1118" i="5"/>
  <c r="L1118" i="5"/>
  <c r="K1118" i="5"/>
  <c r="J1118" i="5"/>
  <c r="I1118" i="5"/>
  <c r="G1118" i="5"/>
  <c r="F1118" i="5"/>
  <c r="E1118" i="5"/>
  <c r="Y1117" i="5"/>
  <c r="T1117" i="5"/>
  <c r="S1117" i="5"/>
  <c r="R1117" i="5"/>
  <c r="Q1117" i="5"/>
  <c r="O1117" i="5"/>
  <c r="N1117" i="5"/>
  <c r="L1117" i="5"/>
  <c r="K1117" i="5"/>
  <c r="J1117" i="5"/>
  <c r="I1117" i="5"/>
  <c r="G1117" i="5"/>
  <c r="F1117" i="5"/>
  <c r="E1117" i="5"/>
  <c r="Y1116" i="5"/>
  <c r="T1116" i="5"/>
  <c r="S1116" i="5"/>
  <c r="R1116" i="5"/>
  <c r="Q1116" i="5"/>
  <c r="O1116" i="5"/>
  <c r="N1116" i="5"/>
  <c r="L1116" i="5"/>
  <c r="K1116" i="5"/>
  <c r="J1116" i="5"/>
  <c r="I1116" i="5"/>
  <c r="G1116" i="5"/>
  <c r="F1116" i="5"/>
  <c r="E1116" i="5"/>
  <c r="Y1115" i="5"/>
  <c r="T1115" i="5"/>
  <c r="S1115" i="5"/>
  <c r="R1115" i="5"/>
  <c r="Q1115" i="5"/>
  <c r="O1115" i="5"/>
  <c r="N1115" i="5"/>
  <c r="L1115" i="5"/>
  <c r="K1115" i="5"/>
  <c r="J1115" i="5"/>
  <c r="I1115" i="5"/>
  <c r="G1115" i="5"/>
  <c r="F1115" i="5"/>
  <c r="E1115" i="5"/>
  <c r="Y1114" i="5"/>
  <c r="T1114" i="5"/>
  <c r="S1114" i="5"/>
  <c r="R1114" i="5"/>
  <c r="Q1114" i="5"/>
  <c r="O1114" i="5"/>
  <c r="N1114" i="5"/>
  <c r="L1114" i="5"/>
  <c r="K1114" i="5"/>
  <c r="J1114" i="5"/>
  <c r="I1114" i="5"/>
  <c r="G1114" i="5"/>
  <c r="F1114" i="5"/>
  <c r="E1114" i="5"/>
  <c r="Y1113" i="5"/>
  <c r="T1113" i="5"/>
  <c r="S1113" i="5"/>
  <c r="R1113" i="5"/>
  <c r="Q1113" i="5"/>
  <c r="O1113" i="5"/>
  <c r="N1113" i="5"/>
  <c r="L1113" i="5"/>
  <c r="K1113" i="5"/>
  <c r="J1113" i="5"/>
  <c r="I1113" i="5"/>
  <c r="G1113" i="5"/>
  <c r="F1113" i="5"/>
  <c r="E1113" i="5"/>
  <c r="AB1112" i="5"/>
  <c r="AA1112" i="5"/>
  <c r="Y1112" i="5"/>
  <c r="W1112" i="5"/>
  <c r="V1112" i="5"/>
  <c r="U1112" i="5"/>
  <c r="T1112" i="5"/>
  <c r="S1112" i="5"/>
  <c r="R1112" i="5"/>
  <c r="Q1112" i="5"/>
  <c r="P1112" i="5"/>
  <c r="O1112" i="5"/>
  <c r="N1112" i="5"/>
  <c r="M1112" i="5"/>
  <c r="L1112" i="5"/>
  <c r="K1112" i="5"/>
  <c r="J1112" i="5"/>
  <c r="I1112" i="5"/>
  <c r="H1112" i="5"/>
  <c r="X1112" i="5" s="1"/>
  <c r="G1112" i="5"/>
  <c r="F1112" i="5"/>
  <c r="E1112" i="5"/>
  <c r="Y1111" i="5"/>
  <c r="T1111" i="5"/>
  <c r="S1111" i="5"/>
  <c r="R1111" i="5"/>
  <c r="Q1111" i="5"/>
  <c r="O1111" i="5"/>
  <c r="N1111" i="5"/>
  <c r="L1111" i="5"/>
  <c r="K1111" i="5"/>
  <c r="J1111" i="5"/>
  <c r="I1111" i="5"/>
  <c r="G1111" i="5"/>
  <c r="F1111" i="5"/>
  <c r="E1111" i="5"/>
  <c r="Y1110" i="5"/>
  <c r="T1110" i="5"/>
  <c r="S1110" i="5"/>
  <c r="R1110" i="5"/>
  <c r="Q1110" i="5"/>
  <c r="O1110" i="5"/>
  <c r="N1110" i="5"/>
  <c r="L1110" i="5"/>
  <c r="K1110" i="5"/>
  <c r="J1110" i="5"/>
  <c r="I1110" i="5"/>
  <c r="G1110" i="5"/>
  <c r="F1110" i="5"/>
  <c r="E1110" i="5"/>
  <c r="Y1109" i="5"/>
  <c r="T1109" i="5"/>
  <c r="S1109" i="5"/>
  <c r="R1109" i="5"/>
  <c r="Q1109" i="5"/>
  <c r="O1109" i="5"/>
  <c r="N1109" i="5"/>
  <c r="L1109" i="5"/>
  <c r="K1109" i="5"/>
  <c r="J1109" i="5"/>
  <c r="I1109" i="5"/>
  <c r="G1109" i="5"/>
  <c r="F1109" i="5"/>
  <c r="E1109" i="5"/>
  <c r="X1108" i="5"/>
  <c r="Z1108" i="5" s="1"/>
  <c r="X1107" i="5"/>
  <c r="Z1107" i="5" s="1"/>
  <c r="P1106" i="5"/>
  <c r="H1106" i="5"/>
  <c r="E1106" i="5"/>
  <c r="X1105" i="5"/>
  <c r="Z1105" i="5" s="1"/>
  <c r="Y1104" i="5"/>
  <c r="T1104" i="5"/>
  <c r="S1104" i="5"/>
  <c r="R1104" i="5"/>
  <c r="Q1104" i="5"/>
  <c r="O1104" i="5"/>
  <c r="N1104" i="5"/>
  <c r="L1104" i="5"/>
  <c r="K1104" i="5"/>
  <c r="J1104" i="5"/>
  <c r="I1104" i="5"/>
  <c r="G1104" i="5"/>
  <c r="F1104" i="5"/>
  <c r="E1104" i="5"/>
  <c r="Y1103" i="5"/>
  <c r="W1103" i="5"/>
  <c r="V1103" i="5"/>
  <c r="T1103" i="5"/>
  <c r="S1103" i="5"/>
  <c r="R1103" i="5"/>
  <c r="Q1103" i="5"/>
  <c r="O1103" i="5"/>
  <c r="N1103" i="5"/>
  <c r="L1103" i="5"/>
  <c r="K1103" i="5"/>
  <c r="J1103" i="5"/>
  <c r="I1103" i="5"/>
  <c r="G1103" i="5"/>
  <c r="F1103" i="5"/>
  <c r="E1103" i="5"/>
  <c r="Y1102" i="5"/>
  <c r="T1102" i="5"/>
  <c r="S1102" i="5"/>
  <c r="R1102" i="5"/>
  <c r="Q1102" i="5"/>
  <c r="O1102" i="5"/>
  <c r="N1102" i="5"/>
  <c r="L1102" i="5"/>
  <c r="K1102" i="5"/>
  <c r="J1102" i="5"/>
  <c r="I1102" i="5"/>
  <c r="G1102" i="5"/>
  <c r="F1102" i="5"/>
  <c r="Y1101" i="5"/>
  <c r="T1101" i="5"/>
  <c r="S1101" i="5"/>
  <c r="R1101" i="5"/>
  <c r="Q1101" i="5"/>
  <c r="O1101" i="5"/>
  <c r="N1101" i="5"/>
  <c r="L1101" i="5"/>
  <c r="K1101" i="5"/>
  <c r="J1101" i="5"/>
  <c r="I1101" i="5"/>
  <c r="G1101" i="5"/>
  <c r="F1101" i="5"/>
  <c r="E1101" i="5"/>
  <c r="Y1100" i="5"/>
  <c r="T1100" i="5"/>
  <c r="S1100" i="5"/>
  <c r="R1100" i="5"/>
  <c r="Q1100" i="5"/>
  <c r="O1100" i="5"/>
  <c r="N1100" i="5"/>
  <c r="L1100" i="5"/>
  <c r="K1100" i="5"/>
  <c r="J1100" i="5"/>
  <c r="I1100" i="5"/>
  <c r="G1100" i="5"/>
  <c r="F1100" i="5"/>
  <c r="E1100" i="5"/>
  <c r="Y1099" i="5"/>
  <c r="T1099" i="5"/>
  <c r="S1099" i="5"/>
  <c r="R1099" i="5"/>
  <c r="Q1099" i="5"/>
  <c r="O1099" i="5"/>
  <c r="N1099" i="5"/>
  <c r="L1099" i="5"/>
  <c r="K1099" i="5"/>
  <c r="J1099" i="5"/>
  <c r="I1099" i="5"/>
  <c r="G1099" i="5"/>
  <c r="Y1098" i="5"/>
  <c r="T1098" i="5"/>
  <c r="S1098" i="5"/>
  <c r="R1098" i="5"/>
  <c r="Q1098" i="5"/>
  <c r="O1098" i="5"/>
  <c r="N1098" i="5"/>
  <c r="L1098" i="5"/>
  <c r="K1098" i="5"/>
  <c r="J1098" i="5"/>
  <c r="I1098" i="5"/>
  <c r="G1098" i="5"/>
  <c r="F1098" i="5"/>
  <c r="E1098" i="5"/>
  <c r="Y1097" i="5"/>
  <c r="T1097" i="5"/>
  <c r="S1097" i="5"/>
  <c r="R1097" i="5"/>
  <c r="Q1097" i="5"/>
  <c r="O1097" i="5"/>
  <c r="N1097" i="5"/>
  <c r="L1097" i="5"/>
  <c r="K1097" i="5"/>
  <c r="J1097" i="5"/>
  <c r="I1097" i="5"/>
  <c r="G1097" i="5"/>
  <c r="F1097" i="5"/>
  <c r="E1097" i="5"/>
  <c r="Y1096" i="5"/>
  <c r="T1096" i="5"/>
  <c r="S1096" i="5"/>
  <c r="R1096" i="5"/>
  <c r="Q1096" i="5"/>
  <c r="O1096" i="5"/>
  <c r="N1096" i="5"/>
  <c r="L1096" i="5"/>
  <c r="K1096" i="5"/>
  <c r="J1096" i="5"/>
  <c r="I1096" i="5"/>
  <c r="G1096" i="5"/>
  <c r="F1096" i="5"/>
  <c r="E1096" i="5"/>
  <c r="Y1095" i="5"/>
  <c r="T1095" i="5"/>
  <c r="S1095" i="5"/>
  <c r="R1095" i="5"/>
  <c r="Q1095" i="5"/>
  <c r="O1095" i="5"/>
  <c r="N1095" i="5"/>
  <c r="L1095" i="5"/>
  <c r="K1095" i="5"/>
  <c r="J1095" i="5"/>
  <c r="I1095" i="5"/>
  <c r="G1095" i="5"/>
  <c r="F1095" i="5"/>
  <c r="E1095" i="5"/>
  <c r="Y1094" i="5"/>
  <c r="T1094" i="5"/>
  <c r="S1094" i="5"/>
  <c r="R1094" i="5"/>
  <c r="Q1094" i="5"/>
  <c r="O1094" i="5"/>
  <c r="N1094" i="5"/>
  <c r="L1094" i="5"/>
  <c r="K1094" i="5"/>
  <c r="J1094" i="5"/>
  <c r="I1094" i="5"/>
  <c r="G1094" i="5"/>
  <c r="F1094" i="5"/>
  <c r="E1094" i="5"/>
  <c r="Y1093" i="5"/>
  <c r="T1093" i="5"/>
  <c r="S1093" i="5"/>
  <c r="R1093" i="5"/>
  <c r="Q1093" i="5"/>
  <c r="O1093" i="5"/>
  <c r="N1093" i="5"/>
  <c r="L1093" i="5"/>
  <c r="K1093" i="5"/>
  <c r="J1093" i="5"/>
  <c r="I1093" i="5"/>
  <c r="G1093" i="5"/>
  <c r="F1093" i="5"/>
  <c r="E1093" i="5"/>
  <c r="Y1092" i="5"/>
  <c r="T1092" i="5"/>
  <c r="S1092" i="5"/>
  <c r="R1092" i="5"/>
  <c r="Q1092" i="5"/>
  <c r="O1092" i="5"/>
  <c r="N1092" i="5"/>
  <c r="L1092" i="5"/>
  <c r="K1092" i="5"/>
  <c r="J1092" i="5"/>
  <c r="I1092" i="5"/>
  <c r="G1092" i="5"/>
  <c r="F1092" i="5"/>
  <c r="E1092" i="5"/>
  <c r="Y1091" i="5"/>
  <c r="T1091" i="5"/>
  <c r="S1091" i="5"/>
  <c r="R1091" i="5"/>
  <c r="Q1091" i="5"/>
  <c r="O1091" i="5"/>
  <c r="N1091" i="5"/>
  <c r="L1091" i="5"/>
  <c r="K1091" i="5"/>
  <c r="J1091" i="5"/>
  <c r="I1091" i="5"/>
  <c r="G1091" i="5"/>
  <c r="F1091" i="5"/>
  <c r="E1091" i="5"/>
  <c r="Y1090" i="5"/>
  <c r="T1090" i="5"/>
  <c r="S1090" i="5"/>
  <c r="R1090" i="5"/>
  <c r="Q1090" i="5"/>
  <c r="O1090" i="5"/>
  <c r="N1090" i="5"/>
  <c r="L1090" i="5"/>
  <c r="K1090" i="5"/>
  <c r="J1090" i="5"/>
  <c r="I1090" i="5"/>
  <c r="G1090" i="5"/>
  <c r="F1090" i="5"/>
  <c r="E1090" i="5"/>
  <c r="Y1089" i="5"/>
  <c r="T1089" i="5"/>
  <c r="S1089" i="5"/>
  <c r="R1089" i="5"/>
  <c r="Q1089" i="5"/>
  <c r="O1089" i="5"/>
  <c r="N1089" i="5"/>
  <c r="L1089" i="5"/>
  <c r="K1089" i="5"/>
  <c r="J1089" i="5"/>
  <c r="I1089" i="5"/>
  <c r="G1089" i="5"/>
  <c r="F1089" i="5"/>
  <c r="E1089" i="5"/>
  <c r="X1088" i="5"/>
  <c r="Z1088" i="5" s="1"/>
  <c r="X1087" i="5"/>
  <c r="Z1087" i="5" s="1"/>
  <c r="X1086" i="5"/>
  <c r="Z1086" i="5" s="1"/>
  <c r="P1085" i="5"/>
  <c r="H1085" i="5"/>
  <c r="E1085" i="5"/>
  <c r="X1084" i="5"/>
  <c r="Z1084" i="5" s="1"/>
  <c r="Y1083" i="5"/>
  <c r="T1083" i="5"/>
  <c r="S1083" i="5"/>
  <c r="R1083" i="5"/>
  <c r="Q1083" i="5"/>
  <c r="O1083" i="5"/>
  <c r="N1083" i="5"/>
  <c r="L1083" i="5"/>
  <c r="K1083" i="5"/>
  <c r="J1083" i="5"/>
  <c r="I1083" i="5"/>
  <c r="G1083" i="5"/>
  <c r="F1083" i="5"/>
  <c r="Y1082" i="5"/>
  <c r="T1082" i="5"/>
  <c r="S1082" i="5"/>
  <c r="R1082" i="5"/>
  <c r="Q1082" i="5"/>
  <c r="O1082" i="5"/>
  <c r="N1082" i="5"/>
  <c r="L1082" i="5"/>
  <c r="K1082" i="5"/>
  <c r="J1082" i="5"/>
  <c r="I1082" i="5"/>
  <c r="G1082" i="5"/>
  <c r="F1082" i="5"/>
  <c r="E1082" i="5"/>
  <c r="Y1081" i="5"/>
  <c r="T1081" i="5"/>
  <c r="S1081" i="5"/>
  <c r="R1081" i="5"/>
  <c r="Q1081" i="5"/>
  <c r="O1081" i="5"/>
  <c r="N1081" i="5"/>
  <c r="L1081" i="5"/>
  <c r="K1081" i="5"/>
  <c r="J1081" i="5"/>
  <c r="I1081" i="5"/>
  <c r="G1081" i="5"/>
  <c r="F1081" i="5"/>
  <c r="E1081" i="5"/>
  <c r="Y1080" i="5"/>
  <c r="W1080" i="5"/>
  <c r="V1080" i="5"/>
  <c r="T1080" i="5"/>
  <c r="S1080" i="5"/>
  <c r="R1080" i="5"/>
  <c r="Q1080" i="5"/>
  <c r="O1080" i="5"/>
  <c r="N1080" i="5"/>
  <c r="L1080" i="5"/>
  <c r="K1080" i="5"/>
  <c r="J1080" i="5"/>
  <c r="I1080" i="5"/>
  <c r="G1080" i="5"/>
  <c r="F1080" i="5"/>
  <c r="E1080" i="5"/>
  <c r="Y1079" i="5"/>
  <c r="W1079" i="5"/>
  <c r="V1079" i="5"/>
  <c r="T1079" i="5"/>
  <c r="S1079" i="5"/>
  <c r="R1079" i="5"/>
  <c r="Q1079" i="5"/>
  <c r="O1079" i="5"/>
  <c r="N1079" i="5"/>
  <c r="L1079" i="5"/>
  <c r="K1079" i="5"/>
  <c r="J1079" i="5"/>
  <c r="I1079" i="5"/>
  <c r="G1079" i="5"/>
  <c r="F1079" i="5"/>
  <c r="E1079" i="5"/>
  <c r="Y1078" i="5"/>
  <c r="W1078" i="5"/>
  <c r="V1078" i="5"/>
  <c r="T1078" i="5"/>
  <c r="S1078" i="5"/>
  <c r="R1078" i="5"/>
  <c r="Q1078" i="5"/>
  <c r="O1078" i="5"/>
  <c r="N1078" i="5"/>
  <c r="L1078" i="5"/>
  <c r="K1078" i="5"/>
  <c r="J1078" i="5"/>
  <c r="I1078" i="5"/>
  <c r="G1078" i="5"/>
  <c r="F1078" i="5"/>
  <c r="E1078" i="5"/>
  <c r="Y1077" i="5"/>
  <c r="T1077" i="5"/>
  <c r="S1077" i="5"/>
  <c r="R1077" i="5"/>
  <c r="Q1077" i="5"/>
  <c r="P1077" i="5"/>
  <c r="O1077" i="5"/>
  <c r="N1077" i="5"/>
  <c r="L1077" i="5"/>
  <c r="K1077" i="5"/>
  <c r="J1077" i="5"/>
  <c r="I1077" i="5"/>
  <c r="G1077" i="5"/>
  <c r="F1077" i="5"/>
  <c r="E1077" i="5"/>
  <c r="Y1076" i="5"/>
  <c r="T1076" i="5"/>
  <c r="S1076" i="5"/>
  <c r="R1076" i="5"/>
  <c r="Q1076" i="5"/>
  <c r="O1076" i="5"/>
  <c r="N1076" i="5"/>
  <c r="L1076" i="5"/>
  <c r="K1076" i="5"/>
  <c r="J1076" i="5"/>
  <c r="I1076" i="5"/>
  <c r="G1076" i="5"/>
  <c r="F1076" i="5"/>
  <c r="E1076" i="5"/>
  <c r="Y1075" i="5"/>
  <c r="T1075" i="5"/>
  <c r="S1075" i="5"/>
  <c r="R1075" i="5"/>
  <c r="Q1075" i="5"/>
  <c r="O1075" i="5"/>
  <c r="N1075" i="5"/>
  <c r="L1075" i="5"/>
  <c r="K1075" i="5"/>
  <c r="J1075" i="5"/>
  <c r="I1075" i="5"/>
  <c r="G1075" i="5"/>
  <c r="F1075" i="5"/>
  <c r="E1075" i="5"/>
  <c r="Y1074" i="5"/>
  <c r="T1074" i="5"/>
  <c r="S1074" i="5"/>
  <c r="R1074" i="5"/>
  <c r="Q1074" i="5"/>
  <c r="O1074" i="5"/>
  <c r="N1074" i="5"/>
  <c r="L1074" i="5"/>
  <c r="K1074" i="5"/>
  <c r="J1074" i="5"/>
  <c r="I1074" i="5"/>
  <c r="G1074" i="5"/>
  <c r="F1074" i="5"/>
  <c r="E1074" i="5"/>
  <c r="Y1073" i="5"/>
  <c r="T1073" i="5"/>
  <c r="S1073" i="5"/>
  <c r="R1073" i="5"/>
  <c r="Q1073" i="5"/>
  <c r="O1073" i="5"/>
  <c r="L1073" i="5"/>
  <c r="K1073" i="5"/>
  <c r="J1073" i="5"/>
  <c r="I1073" i="5"/>
  <c r="G1073" i="5"/>
  <c r="F1073" i="5"/>
  <c r="E1073" i="5"/>
  <c r="Y1072" i="5"/>
  <c r="T1072" i="5"/>
  <c r="S1072" i="5"/>
  <c r="R1072" i="5"/>
  <c r="Q1072" i="5"/>
  <c r="O1072" i="5"/>
  <c r="N1072" i="5"/>
  <c r="L1072" i="5"/>
  <c r="K1072" i="5"/>
  <c r="J1072" i="5"/>
  <c r="I1072" i="5"/>
  <c r="G1072" i="5"/>
  <c r="F1072" i="5"/>
  <c r="E1072" i="5"/>
  <c r="Y1071" i="5"/>
  <c r="T1071" i="5"/>
  <c r="S1071" i="5"/>
  <c r="R1071" i="5"/>
  <c r="Q1071" i="5"/>
  <c r="O1071" i="5"/>
  <c r="N1071" i="5"/>
  <c r="L1071" i="5"/>
  <c r="K1071" i="5"/>
  <c r="J1071" i="5"/>
  <c r="I1071" i="5"/>
  <c r="G1071" i="5"/>
  <c r="F1071" i="5"/>
  <c r="E1071" i="5"/>
  <c r="Y1070" i="5"/>
  <c r="T1070" i="5"/>
  <c r="S1070" i="5"/>
  <c r="R1070" i="5"/>
  <c r="Q1070" i="5"/>
  <c r="O1070" i="5"/>
  <c r="N1070" i="5"/>
  <c r="L1070" i="5"/>
  <c r="K1070" i="5"/>
  <c r="J1070" i="5"/>
  <c r="I1070" i="5"/>
  <c r="G1070" i="5"/>
  <c r="F1070" i="5"/>
  <c r="E1070" i="5"/>
  <c r="Y1069" i="5"/>
  <c r="T1069" i="5"/>
  <c r="S1069" i="5"/>
  <c r="R1069" i="5"/>
  <c r="Q1069" i="5"/>
  <c r="O1069" i="5"/>
  <c r="N1069" i="5"/>
  <c r="L1069" i="5"/>
  <c r="K1069" i="5"/>
  <c r="J1069" i="5"/>
  <c r="I1069" i="5"/>
  <c r="G1069" i="5"/>
  <c r="F1069" i="5"/>
  <c r="E1069" i="5"/>
  <c r="Y1068" i="5"/>
  <c r="T1068" i="5"/>
  <c r="S1068" i="5"/>
  <c r="R1068" i="5"/>
  <c r="Q1068" i="5"/>
  <c r="O1068" i="5"/>
  <c r="N1068" i="5"/>
  <c r="L1068" i="5"/>
  <c r="K1068" i="5"/>
  <c r="J1068" i="5"/>
  <c r="I1068" i="5"/>
  <c r="G1068" i="5"/>
  <c r="F1068" i="5"/>
  <c r="E1068" i="5"/>
  <c r="X1067" i="5"/>
  <c r="Z1067" i="5" s="1"/>
  <c r="X1066" i="5"/>
  <c r="Z1066" i="5" s="1"/>
  <c r="P1065" i="5"/>
  <c r="H1065" i="5"/>
  <c r="X1065" i="5" s="1"/>
  <c r="E1065" i="5"/>
  <c r="X1064" i="5"/>
  <c r="Z1064" i="5" s="1"/>
  <c r="Y1063" i="5"/>
  <c r="T1063" i="5"/>
  <c r="S1063" i="5"/>
  <c r="R1063" i="5"/>
  <c r="Q1063" i="5"/>
  <c r="O1063" i="5"/>
  <c r="N1063" i="5"/>
  <c r="L1063" i="5"/>
  <c r="K1063" i="5"/>
  <c r="J1063" i="5"/>
  <c r="I1063" i="5"/>
  <c r="G1063" i="5"/>
  <c r="F1063" i="5"/>
  <c r="E1063" i="5"/>
  <c r="Y1062" i="5"/>
  <c r="T1062" i="5"/>
  <c r="S1062" i="5"/>
  <c r="R1062" i="5"/>
  <c r="Q1062" i="5"/>
  <c r="O1062" i="5"/>
  <c r="N1062" i="5"/>
  <c r="L1062" i="5"/>
  <c r="K1062" i="5"/>
  <c r="J1062" i="5"/>
  <c r="I1062" i="5"/>
  <c r="G1062" i="5"/>
  <c r="F1062" i="5"/>
  <c r="E1062" i="5"/>
  <c r="Y1061" i="5"/>
  <c r="T1061" i="5"/>
  <c r="S1061" i="5"/>
  <c r="R1061" i="5"/>
  <c r="Q1061" i="5"/>
  <c r="O1061" i="5"/>
  <c r="N1061" i="5"/>
  <c r="L1061" i="5"/>
  <c r="K1061" i="5"/>
  <c r="J1061" i="5"/>
  <c r="I1061" i="5"/>
  <c r="G1061" i="5"/>
  <c r="F1061" i="5"/>
  <c r="E1061" i="5"/>
  <c r="Y1060" i="5"/>
  <c r="T1060" i="5"/>
  <c r="S1060" i="5"/>
  <c r="R1060" i="5"/>
  <c r="Q1060" i="5"/>
  <c r="O1060" i="5"/>
  <c r="N1060" i="5"/>
  <c r="L1060" i="5"/>
  <c r="K1060" i="5"/>
  <c r="J1060" i="5"/>
  <c r="I1060" i="5"/>
  <c r="G1060" i="5"/>
  <c r="F1060" i="5"/>
  <c r="E1060" i="5"/>
  <c r="Y1059" i="5"/>
  <c r="T1059" i="5"/>
  <c r="S1059" i="5"/>
  <c r="R1059" i="5"/>
  <c r="Q1059" i="5"/>
  <c r="O1059" i="5"/>
  <c r="N1059" i="5"/>
  <c r="L1059" i="5"/>
  <c r="K1059" i="5"/>
  <c r="J1059" i="5"/>
  <c r="I1059" i="5"/>
  <c r="G1059" i="5"/>
  <c r="F1059" i="5"/>
  <c r="E1059" i="5"/>
  <c r="Y1058" i="5"/>
  <c r="T1058" i="5"/>
  <c r="S1058" i="5"/>
  <c r="R1058" i="5"/>
  <c r="Q1058" i="5"/>
  <c r="O1058" i="5"/>
  <c r="N1058" i="5"/>
  <c r="L1058" i="5"/>
  <c r="K1058" i="5"/>
  <c r="J1058" i="5"/>
  <c r="I1058" i="5"/>
  <c r="G1058" i="5"/>
  <c r="F1058" i="5"/>
  <c r="E1058" i="5"/>
  <c r="Y1057" i="5"/>
  <c r="T1057" i="5"/>
  <c r="S1057" i="5"/>
  <c r="R1057" i="5"/>
  <c r="Q1057" i="5"/>
  <c r="O1057" i="5"/>
  <c r="N1057" i="5"/>
  <c r="L1057" i="5"/>
  <c r="K1057" i="5"/>
  <c r="J1057" i="5"/>
  <c r="I1057" i="5"/>
  <c r="G1057" i="5"/>
  <c r="F1057" i="5"/>
  <c r="E1057" i="5"/>
  <c r="Y1056" i="5"/>
  <c r="T1056" i="5"/>
  <c r="S1056" i="5"/>
  <c r="R1056" i="5"/>
  <c r="Q1056" i="5"/>
  <c r="O1056" i="5"/>
  <c r="N1056" i="5"/>
  <c r="L1056" i="5"/>
  <c r="K1056" i="5"/>
  <c r="J1056" i="5"/>
  <c r="I1056" i="5"/>
  <c r="G1056" i="5"/>
  <c r="F1056" i="5"/>
  <c r="E1056" i="5"/>
  <c r="Y1055" i="5"/>
  <c r="T1055" i="5"/>
  <c r="S1055" i="5"/>
  <c r="R1055" i="5"/>
  <c r="Q1055" i="5"/>
  <c r="O1055" i="5"/>
  <c r="N1055" i="5"/>
  <c r="L1055" i="5"/>
  <c r="K1055" i="5"/>
  <c r="J1055" i="5"/>
  <c r="I1055" i="5"/>
  <c r="G1055" i="5"/>
  <c r="F1055" i="5"/>
  <c r="E1055" i="5"/>
  <c r="Y1054" i="5"/>
  <c r="T1054" i="5"/>
  <c r="S1054" i="5"/>
  <c r="R1054" i="5"/>
  <c r="Q1054" i="5"/>
  <c r="O1054" i="5"/>
  <c r="N1054" i="5"/>
  <c r="L1054" i="5"/>
  <c r="K1054" i="5"/>
  <c r="J1054" i="5"/>
  <c r="I1054" i="5"/>
  <c r="G1054" i="5"/>
  <c r="F1054" i="5"/>
  <c r="E1054" i="5"/>
  <c r="AB1053" i="5"/>
  <c r="AA1053" i="5"/>
  <c r="Y1053" i="5"/>
  <c r="W1053" i="5"/>
  <c r="V1053" i="5"/>
  <c r="U1053" i="5"/>
  <c r="T1053" i="5"/>
  <c r="S1053" i="5"/>
  <c r="R1053" i="5"/>
  <c r="Q1053" i="5"/>
  <c r="P1053" i="5"/>
  <c r="O1053" i="5"/>
  <c r="N1053" i="5"/>
  <c r="M1053" i="5"/>
  <c r="L1053" i="5"/>
  <c r="K1053" i="5"/>
  <c r="J1053" i="5"/>
  <c r="I1053" i="5"/>
  <c r="H1053" i="5"/>
  <c r="X1053" i="5" s="1"/>
  <c r="G1053" i="5"/>
  <c r="F1053" i="5"/>
  <c r="E1053" i="5"/>
  <c r="Y1052" i="5"/>
  <c r="T1052" i="5"/>
  <c r="S1052" i="5"/>
  <c r="R1052" i="5"/>
  <c r="Q1052" i="5"/>
  <c r="O1052" i="5"/>
  <c r="N1052" i="5"/>
  <c r="L1052" i="5"/>
  <c r="K1052" i="5"/>
  <c r="J1052" i="5"/>
  <c r="I1052" i="5"/>
  <c r="G1052" i="5"/>
  <c r="F1052" i="5"/>
  <c r="E1052" i="5"/>
  <c r="X1051" i="5"/>
  <c r="Z1051" i="5" s="1"/>
  <c r="X1050" i="5"/>
  <c r="Z1050" i="5" s="1"/>
  <c r="P1049" i="5"/>
  <c r="H1049" i="5"/>
  <c r="X1049" i="5" s="1"/>
  <c r="Z1049" i="5" s="1"/>
  <c r="E1049" i="5"/>
  <c r="X1048" i="5"/>
  <c r="Z1048" i="5" s="1"/>
  <c r="Y1047" i="5"/>
  <c r="T1047" i="5"/>
  <c r="S1047" i="5"/>
  <c r="R1047" i="5"/>
  <c r="Q1047" i="5"/>
  <c r="O1047" i="5"/>
  <c r="N1047" i="5"/>
  <c r="L1047" i="5"/>
  <c r="K1047" i="5"/>
  <c r="J1047" i="5"/>
  <c r="I1047" i="5"/>
  <c r="G1047" i="5"/>
  <c r="F1047" i="5"/>
  <c r="E1047" i="5"/>
  <c r="Y1046" i="5"/>
  <c r="T1046" i="5"/>
  <c r="S1046" i="5"/>
  <c r="R1046" i="5"/>
  <c r="Q1046" i="5"/>
  <c r="O1046" i="5"/>
  <c r="N1046" i="5"/>
  <c r="L1046" i="5"/>
  <c r="K1046" i="5"/>
  <c r="J1046" i="5"/>
  <c r="I1046" i="5"/>
  <c r="G1046" i="5"/>
  <c r="F1046" i="5"/>
  <c r="E1046" i="5"/>
  <c r="Y1045" i="5"/>
  <c r="T1045" i="5"/>
  <c r="S1045" i="5"/>
  <c r="R1045" i="5"/>
  <c r="Q1045" i="5"/>
  <c r="O1045" i="5"/>
  <c r="N1045" i="5"/>
  <c r="L1045" i="5"/>
  <c r="K1045" i="5"/>
  <c r="J1045" i="5"/>
  <c r="I1045" i="5"/>
  <c r="G1045" i="5"/>
  <c r="F1045" i="5"/>
  <c r="E1045" i="5"/>
  <c r="Y1044" i="5"/>
  <c r="T1044" i="5"/>
  <c r="S1044" i="5"/>
  <c r="R1044" i="5"/>
  <c r="Q1044" i="5"/>
  <c r="O1044" i="5"/>
  <c r="N1044" i="5"/>
  <c r="L1044" i="5"/>
  <c r="K1044" i="5"/>
  <c r="J1044" i="5"/>
  <c r="I1044" i="5"/>
  <c r="G1044" i="5"/>
  <c r="F1044" i="5"/>
  <c r="E1044" i="5"/>
  <c r="Y1043" i="5"/>
  <c r="T1043" i="5"/>
  <c r="S1043" i="5"/>
  <c r="R1043" i="5"/>
  <c r="Q1043" i="5"/>
  <c r="O1043" i="5"/>
  <c r="N1043" i="5"/>
  <c r="L1043" i="5"/>
  <c r="K1043" i="5"/>
  <c r="J1043" i="5"/>
  <c r="I1043" i="5"/>
  <c r="G1043" i="5"/>
  <c r="F1043" i="5"/>
  <c r="E1043" i="5"/>
  <c r="Y1042" i="5"/>
  <c r="T1042" i="5"/>
  <c r="S1042" i="5"/>
  <c r="R1042" i="5"/>
  <c r="Q1042" i="5"/>
  <c r="O1042" i="5"/>
  <c r="N1042" i="5"/>
  <c r="L1042" i="5"/>
  <c r="K1042" i="5"/>
  <c r="J1042" i="5"/>
  <c r="I1042" i="5"/>
  <c r="G1042" i="5"/>
  <c r="F1042" i="5"/>
  <c r="E1042" i="5"/>
  <c r="Y1041" i="5"/>
  <c r="T1041" i="5"/>
  <c r="S1041" i="5"/>
  <c r="R1041" i="5"/>
  <c r="Q1041" i="5"/>
  <c r="O1041" i="5"/>
  <c r="N1041" i="5"/>
  <c r="L1041" i="5"/>
  <c r="K1041" i="5"/>
  <c r="J1041" i="5"/>
  <c r="I1041" i="5"/>
  <c r="G1041" i="5"/>
  <c r="F1041" i="5"/>
  <c r="E1041" i="5"/>
  <c r="Y1040" i="5"/>
  <c r="T1040" i="5"/>
  <c r="S1040" i="5"/>
  <c r="R1040" i="5"/>
  <c r="Q1040" i="5"/>
  <c r="O1040" i="5"/>
  <c r="N1040" i="5"/>
  <c r="L1040" i="5"/>
  <c r="K1040" i="5"/>
  <c r="J1040" i="5"/>
  <c r="I1040" i="5"/>
  <c r="G1040" i="5"/>
  <c r="F1040" i="5"/>
  <c r="E1040" i="5"/>
  <c r="Y1039" i="5"/>
  <c r="T1039" i="5"/>
  <c r="S1039" i="5"/>
  <c r="R1039" i="5"/>
  <c r="Q1039" i="5"/>
  <c r="O1039" i="5"/>
  <c r="N1039" i="5"/>
  <c r="L1039" i="5"/>
  <c r="K1039" i="5"/>
  <c r="J1039" i="5"/>
  <c r="I1039" i="5"/>
  <c r="G1039" i="5"/>
  <c r="F1039" i="5"/>
  <c r="E1039" i="5"/>
  <c r="Y1038" i="5"/>
  <c r="T1038" i="5"/>
  <c r="S1038" i="5"/>
  <c r="R1038" i="5"/>
  <c r="Q1038" i="5"/>
  <c r="O1038" i="5"/>
  <c r="N1038" i="5"/>
  <c r="L1038" i="5"/>
  <c r="K1038" i="5"/>
  <c r="J1038" i="5"/>
  <c r="I1038" i="5"/>
  <c r="G1038" i="5"/>
  <c r="F1038" i="5"/>
  <c r="E1038" i="5"/>
  <c r="Y1037" i="5"/>
  <c r="T1037" i="5"/>
  <c r="S1037" i="5"/>
  <c r="R1037" i="5"/>
  <c r="Q1037" i="5"/>
  <c r="O1037" i="5"/>
  <c r="N1037" i="5"/>
  <c r="L1037" i="5"/>
  <c r="K1037" i="5"/>
  <c r="J1037" i="5"/>
  <c r="I1037" i="5"/>
  <c r="G1037" i="5"/>
  <c r="F1037" i="5"/>
  <c r="E1037" i="5"/>
  <c r="Y1036" i="5"/>
  <c r="T1036" i="5"/>
  <c r="S1036" i="5"/>
  <c r="R1036" i="5"/>
  <c r="Q1036" i="5"/>
  <c r="O1036" i="5"/>
  <c r="N1036" i="5"/>
  <c r="L1036" i="5"/>
  <c r="K1036" i="5"/>
  <c r="J1036" i="5"/>
  <c r="I1036" i="5"/>
  <c r="G1036" i="5"/>
  <c r="F1036" i="5"/>
  <c r="E1036" i="5"/>
  <c r="X1035" i="5"/>
  <c r="Z1035" i="5" s="1"/>
  <c r="X1034" i="5"/>
  <c r="Z1034" i="5" s="1"/>
  <c r="P1033" i="5"/>
  <c r="H1033" i="5"/>
  <c r="E1033" i="5"/>
  <c r="X1032" i="5"/>
  <c r="Z1032" i="5" s="1"/>
  <c r="Y1031" i="5"/>
  <c r="T1031" i="5"/>
  <c r="S1031" i="5"/>
  <c r="R1031" i="5"/>
  <c r="Q1031" i="5"/>
  <c r="O1031" i="5"/>
  <c r="N1031" i="5"/>
  <c r="L1031" i="5"/>
  <c r="K1031" i="5"/>
  <c r="J1031" i="5"/>
  <c r="I1031" i="5"/>
  <c r="G1031" i="5"/>
  <c r="F1031" i="5"/>
  <c r="E1031" i="5"/>
  <c r="Y1030" i="5"/>
  <c r="T1030" i="5"/>
  <c r="S1030" i="5"/>
  <c r="R1030" i="5"/>
  <c r="Q1030" i="5"/>
  <c r="O1030" i="5"/>
  <c r="N1030" i="5"/>
  <c r="M1030" i="5"/>
  <c r="L1030" i="5"/>
  <c r="K1030" i="5"/>
  <c r="J1030" i="5"/>
  <c r="I1030" i="5"/>
  <c r="H1030" i="5"/>
  <c r="G1030" i="5"/>
  <c r="F1030" i="5"/>
  <c r="E1030" i="5"/>
  <c r="Y1029" i="5"/>
  <c r="W1029" i="5"/>
  <c r="T1029" i="5"/>
  <c r="S1029" i="5"/>
  <c r="R1029" i="5"/>
  <c r="Q1029" i="5"/>
  <c r="O1029" i="5"/>
  <c r="N1029" i="5"/>
  <c r="L1029" i="5"/>
  <c r="K1029" i="5"/>
  <c r="J1029" i="5"/>
  <c r="I1029" i="5"/>
  <c r="G1029" i="5"/>
  <c r="F1029" i="5"/>
  <c r="E1029" i="5"/>
  <c r="Y1028" i="5"/>
  <c r="W1028" i="5"/>
  <c r="T1028" i="5"/>
  <c r="S1028" i="5"/>
  <c r="R1028" i="5"/>
  <c r="Q1028" i="5"/>
  <c r="O1028" i="5"/>
  <c r="N1028" i="5"/>
  <c r="L1028" i="5"/>
  <c r="K1028" i="5"/>
  <c r="J1028" i="5"/>
  <c r="I1028" i="5"/>
  <c r="G1028" i="5"/>
  <c r="F1028" i="5"/>
  <c r="E1028" i="5"/>
  <c r="Y1027" i="5"/>
  <c r="T1027" i="5"/>
  <c r="S1027" i="5"/>
  <c r="R1027" i="5"/>
  <c r="Q1027" i="5"/>
  <c r="O1027" i="5"/>
  <c r="N1027" i="5"/>
  <c r="L1027" i="5"/>
  <c r="K1027" i="5"/>
  <c r="J1027" i="5"/>
  <c r="I1027" i="5"/>
  <c r="G1027" i="5"/>
  <c r="Y1026" i="5"/>
  <c r="T1026" i="5"/>
  <c r="S1026" i="5"/>
  <c r="R1026" i="5"/>
  <c r="Q1026" i="5"/>
  <c r="O1026" i="5"/>
  <c r="N1026" i="5"/>
  <c r="L1026" i="5"/>
  <c r="K1026" i="5"/>
  <c r="J1026" i="5"/>
  <c r="I1026" i="5"/>
  <c r="G1026" i="5"/>
  <c r="F1026" i="5"/>
  <c r="E1026" i="5"/>
  <c r="Y1025" i="5"/>
  <c r="T1025" i="5"/>
  <c r="S1025" i="5"/>
  <c r="R1025" i="5"/>
  <c r="Q1025" i="5"/>
  <c r="O1025" i="5"/>
  <c r="N1025" i="5"/>
  <c r="L1025" i="5"/>
  <c r="K1025" i="5"/>
  <c r="J1025" i="5"/>
  <c r="I1025" i="5"/>
  <c r="G1025" i="5"/>
  <c r="F1025" i="5"/>
  <c r="E1025" i="5"/>
  <c r="Y1024" i="5"/>
  <c r="T1024" i="5"/>
  <c r="S1024" i="5"/>
  <c r="R1024" i="5"/>
  <c r="Q1024" i="5"/>
  <c r="O1024" i="5"/>
  <c r="N1024" i="5"/>
  <c r="L1024" i="5"/>
  <c r="K1024" i="5"/>
  <c r="J1024" i="5"/>
  <c r="I1024" i="5"/>
  <c r="G1024" i="5"/>
  <c r="F1024" i="5"/>
  <c r="Y1023" i="5"/>
  <c r="T1023" i="5"/>
  <c r="S1023" i="5"/>
  <c r="R1023" i="5"/>
  <c r="Q1023" i="5"/>
  <c r="O1023" i="5"/>
  <c r="N1023" i="5"/>
  <c r="L1023" i="5"/>
  <c r="K1023" i="5"/>
  <c r="J1023" i="5"/>
  <c r="I1023" i="5"/>
  <c r="G1023" i="5"/>
  <c r="F1023" i="5"/>
  <c r="E1023" i="5"/>
  <c r="Y1022" i="5"/>
  <c r="T1022" i="5"/>
  <c r="S1022" i="5"/>
  <c r="R1022" i="5"/>
  <c r="Q1022" i="5"/>
  <c r="O1022" i="5"/>
  <c r="N1022" i="5"/>
  <c r="L1022" i="5"/>
  <c r="K1022" i="5"/>
  <c r="J1022" i="5"/>
  <c r="I1022" i="5"/>
  <c r="G1022" i="5"/>
  <c r="F1022" i="5"/>
  <c r="Y1021" i="5"/>
  <c r="T1021" i="5"/>
  <c r="S1021" i="5"/>
  <c r="R1021" i="5"/>
  <c r="Q1021" i="5"/>
  <c r="O1021" i="5"/>
  <c r="N1021" i="5"/>
  <c r="L1021" i="5"/>
  <c r="K1021" i="5"/>
  <c r="J1021" i="5"/>
  <c r="I1021" i="5"/>
  <c r="G1021" i="5"/>
  <c r="F1021" i="5"/>
  <c r="E1021" i="5"/>
  <c r="Y1020" i="5"/>
  <c r="T1020" i="5"/>
  <c r="S1020" i="5"/>
  <c r="R1020" i="5"/>
  <c r="Q1020" i="5"/>
  <c r="O1020" i="5"/>
  <c r="N1020" i="5"/>
  <c r="L1020" i="5"/>
  <c r="K1020" i="5"/>
  <c r="J1020" i="5"/>
  <c r="I1020" i="5"/>
  <c r="G1020" i="5"/>
  <c r="F1020" i="5"/>
  <c r="E1020" i="5"/>
  <c r="Y1019" i="5"/>
  <c r="T1019" i="5"/>
  <c r="S1019" i="5"/>
  <c r="R1019" i="5"/>
  <c r="Q1019" i="5"/>
  <c r="O1019" i="5"/>
  <c r="N1019" i="5"/>
  <c r="L1019" i="5"/>
  <c r="K1019" i="5"/>
  <c r="J1019" i="5"/>
  <c r="I1019" i="5"/>
  <c r="G1019" i="5"/>
  <c r="F1019" i="5"/>
  <c r="E1019" i="5"/>
  <c r="Y1018" i="5"/>
  <c r="T1018" i="5"/>
  <c r="S1018" i="5"/>
  <c r="R1018" i="5"/>
  <c r="Q1018" i="5"/>
  <c r="O1018" i="5"/>
  <c r="N1018" i="5"/>
  <c r="L1018" i="5"/>
  <c r="K1018" i="5"/>
  <c r="J1018" i="5"/>
  <c r="I1018" i="5"/>
  <c r="G1018" i="5"/>
  <c r="F1018" i="5"/>
  <c r="E1018" i="5"/>
  <c r="Y1017" i="5"/>
  <c r="T1017" i="5"/>
  <c r="S1017" i="5"/>
  <c r="R1017" i="5"/>
  <c r="Q1017" i="5"/>
  <c r="O1017" i="5"/>
  <c r="N1017" i="5"/>
  <c r="L1017" i="5"/>
  <c r="K1017" i="5"/>
  <c r="J1017" i="5"/>
  <c r="I1017" i="5"/>
  <c r="G1017" i="5"/>
  <c r="F1017" i="5"/>
  <c r="E1017" i="5"/>
  <c r="X1016" i="5"/>
  <c r="Z1016" i="5" s="1"/>
  <c r="X1015" i="5"/>
  <c r="Z1015" i="5" s="1"/>
  <c r="X1014" i="5"/>
  <c r="Z1014" i="5" s="1"/>
  <c r="P1013" i="5"/>
  <c r="H1013" i="5"/>
  <c r="E1013" i="5"/>
  <c r="X1012" i="5"/>
  <c r="Z1012" i="5" s="1"/>
  <c r="Y1011" i="5"/>
  <c r="T1011" i="5"/>
  <c r="S1011" i="5"/>
  <c r="R1011" i="5"/>
  <c r="Q1011" i="5"/>
  <c r="O1011" i="5"/>
  <c r="N1011" i="5"/>
  <c r="L1011" i="5"/>
  <c r="K1011" i="5"/>
  <c r="J1011" i="5"/>
  <c r="I1011" i="5"/>
  <c r="G1011" i="5"/>
  <c r="F1011" i="5"/>
  <c r="E1011" i="5"/>
  <c r="Y1010" i="5"/>
  <c r="W1010" i="5"/>
  <c r="V1010" i="5"/>
  <c r="T1010" i="5"/>
  <c r="S1010" i="5"/>
  <c r="R1010" i="5"/>
  <c r="Q1010" i="5"/>
  <c r="O1010" i="5"/>
  <c r="N1010" i="5"/>
  <c r="L1010" i="5"/>
  <c r="K1010" i="5"/>
  <c r="J1010" i="5"/>
  <c r="I1010" i="5"/>
  <c r="G1010" i="5"/>
  <c r="Y1009" i="5"/>
  <c r="T1009" i="5"/>
  <c r="S1009" i="5"/>
  <c r="R1009" i="5"/>
  <c r="Q1009" i="5"/>
  <c r="O1009" i="5"/>
  <c r="N1009" i="5"/>
  <c r="L1009" i="5"/>
  <c r="K1009" i="5"/>
  <c r="J1009" i="5"/>
  <c r="I1009" i="5"/>
  <c r="G1009" i="5"/>
  <c r="Y1008" i="5"/>
  <c r="T1008" i="5"/>
  <c r="S1008" i="5"/>
  <c r="R1008" i="5"/>
  <c r="Q1008" i="5"/>
  <c r="O1008" i="5"/>
  <c r="N1008" i="5"/>
  <c r="L1008" i="5"/>
  <c r="K1008" i="5"/>
  <c r="J1008" i="5"/>
  <c r="I1008" i="5"/>
  <c r="G1008" i="5"/>
  <c r="F1008" i="5"/>
  <c r="E1008" i="5"/>
  <c r="Y1007" i="5"/>
  <c r="T1007" i="5"/>
  <c r="S1007" i="5"/>
  <c r="R1007" i="5"/>
  <c r="Q1007" i="5"/>
  <c r="O1007" i="5"/>
  <c r="N1007" i="5"/>
  <c r="L1007" i="5"/>
  <c r="K1007" i="5"/>
  <c r="J1007" i="5"/>
  <c r="I1007" i="5"/>
  <c r="G1007" i="5"/>
  <c r="F1007" i="5"/>
  <c r="E1007" i="5"/>
  <c r="Y1006" i="5"/>
  <c r="T1006" i="5"/>
  <c r="S1006" i="5"/>
  <c r="R1006" i="5"/>
  <c r="Q1006" i="5"/>
  <c r="O1006" i="5"/>
  <c r="N1006" i="5"/>
  <c r="L1006" i="5"/>
  <c r="K1006" i="5"/>
  <c r="J1006" i="5"/>
  <c r="G1006" i="5"/>
  <c r="Y1005" i="5"/>
  <c r="T1005" i="5"/>
  <c r="S1005" i="5"/>
  <c r="R1005" i="5"/>
  <c r="Q1005" i="5"/>
  <c r="O1005" i="5"/>
  <c r="N1005" i="5"/>
  <c r="L1005" i="5"/>
  <c r="K1005" i="5"/>
  <c r="J1005" i="5"/>
  <c r="I1005" i="5"/>
  <c r="G1005" i="5"/>
  <c r="Y1004" i="5"/>
  <c r="T1004" i="5"/>
  <c r="S1004" i="5"/>
  <c r="R1004" i="5"/>
  <c r="Q1004" i="5"/>
  <c r="O1004" i="5"/>
  <c r="N1004" i="5"/>
  <c r="L1004" i="5"/>
  <c r="K1004" i="5"/>
  <c r="J1004" i="5"/>
  <c r="I1004" i="5"/>
  <c r="G1004" i="5"/>
  <c r="F1004" i="5"/>
  <c r="E1004" i="5"/>
  <c r="Y1003" i="5"/>
  <c r="T1003" i="5"/>
  <c r="S1003" i="5"/>
  <c r="R1003" i="5"/>
  <c r="Q1003" i="5"/>
  <c r="O1003" i="5"/>
  <c r="N1003" i="5"/>
  <c r="L1003" i="5"/>
  <c r="K1003" i="5"/>
  <c r="J1003" i="5"/>
  <c r="I1003" i="5"/>
  <c r="G1003" i="5"/>
  <c r="F1003" i="5"/>
  <c r="E1003" i="5"/>
  <c r="Y1002" i="5"/>
  <c r="T1002" i="5"/>
  <c r="S1002" i="5"/>
  <c r="R1002" i="5"/>
  <c r="Q1002" i="5"/>
  <c r="O1002" i="5"/>
  <c r="N1002" i="5"/>
  <c r="L1002" i="5"/>
  <c r="K1002" i="5"/>
  <c r="J1002" i="5"/>
  <c r="I1002" i="5"/>
  <c r="G1002" i="5"/>
  <c r="F1002" i="5"/>
  <c r="E1002" i="5"/>
  <c r="Y1001" i="5"/>
  <c r="T1001" i="5"/>
  <c r="S1001" i="5"/>
  <c r="R1001" i="5"/>
  <c r="Q1001" i="5"/>
  <c r="O1001" i="5"/>
  <c r="N1001" i="5"/>
  <c r="L1001" i="5"/>
  <c r="K1001" i="5"/>
  <c r="J1001" i="5"/>
  <c r="I1001" i="5"/>
  <c r="G1001" i="5"/>
  <c r="F1001" i="5"/>
  <c r="E1001" i="5"/>
  <c r="Y1000" i="5"/>
  <c r="T1000" i="5"/>
  <c r="S1000" i="5"/>
  <c r="R1000" i="5"/>
  <c r="Q1000" i="5"/>
  <c r="O1000" i="5"/>
  <c r="N1000" i="5"/>
  <c r="L1000" i="5"/>
  <c r="K1000" i="5"/>
  <c r="J1000" i="5"/>
  <c r="I1000" i="5"/>
  <c r="G1000" i="5"/>
  <c r="F1000" i="5"/>
  <c r="E1000" i="5"/>
  <c r="Y999" i="5"/>
  <c r="T999" i="5"/>
  <c r="S999" i="5"/>
  <c r="R999" i="5"/>
  <c r="Q999" i="5"/>
  <c r="O999" i="5"/>
  <c r="L999" i="5"/>
  <c r="K999" i="5"/>
  <c r="J999" i="5"/>
  <c r="I999" i="5"/>
  <c r="G999" i="5"/>
  <c r="F999" i="5"/>
  <c r="E999" i="5"/>
  <c r="Y998" i="5"/>
  <c r="T998" i="5"/>
  <c r="S998" i="5"/>
  <c r="R998" i="5"/>
  <c r="Q998" i="5"/>
  <c r="O998" i="5"/>
  <c r="N998" i="5"/>
  <c r="L998" i="5"/>
  <c r="K998" i="5"/>
  <c r="J998" i="5"/>
  <c r="I998" i="5"/>
  <c r="G998" i="5"/>
  <c r="F998" i="5"/>
  <c r="E998" i="5"/>
  <c r="Y997" i="5"/>
  <c r="T997" i="5"/>
  <c r="S997" i="5"/>
  <c r="R997" i="5"/>
  <c r="Q997" i="5"/>
  <c r="O997" i="5"/>
  <c r="N997" i="5"/>
  <c r="L997" i="5"/>
  <c r="K997" i="5"/>
  <c r="J997" i="5"/>
  <c r="I997" i="5"/>
  <c r="G997" i="5"/>
  <c r="F997" i="5"/>
  <c r="E997" i="5"/>
  <c r="Y996" i="5"/>
  <c r="W996" i="5"/>
  <c r="V996" i="5"/>
  <c r="U996" i="5"/>
  <c r="T996" i="5"/>
  <c r="S996" i="5"/>
  <c r="R996" i="5"/>
  <c r="Q996" i="5"/>
  <c r="P996" i="5"/>
  <c r="O996" i="5"/>
  <c r="N996" i="5"/>
  <c r="M996" i="5"/>
  <c r="L996" i="5"/>
  <c r="K996" i="5"/>
  <c r="J996" i="5"/>
  <c r="I996" i="5"/>
  <c r="H996" i="5"/>
  <c r="X996" i="5" s="1"/>
  <c r="G996" i="5"/>
  <c r="F996" i="5"/>
  <c r="E996" i="5"/>
  <c r="Y995" i="5"/>
  <c r="T995" i="5"/>
  <c r="S995" i="5"/>
  <c r="R995" i="5"/>
  <c r="Q995" i="5"/>
  <c r="O995" i="5"/>
  <c r="N995" i="5"/>
  <c r="L995" i="5"/>
  <c r="K995" i="5"/>
  <c r="J995" i="5"/>
  <c r="I995" i="5"/>
  <c r="G995" i="5"/>
  <c r="F995" i="5"/>
  <c r="E995" i="5"/>
  <c r="Y994" i="5"/>
  <c r="T994" i="5"/>
  <c r="S994" i="5"/>
  <c r="R994" i="5"/>
  <c r="Q994" i="5"/>
  <c r="O994" i="5"/>
  <c r="N994" i="5"/>
  <c r="L994" i="5"/>
  <c r="K994" i="5"/>
  <c r="J994" i="5"/>
  <c r="I994" i="5"/>
  <c r="G994" i="5"/>
  <c r="F994" i="5"/>
  <c r="E994" i="5"/>
  <c r="Y993" i="5"/>
  <c r="T993" i="5"/>
  <c r="S993" i="5"/>
  <c r="R993" i="5"/>
  <c r="Q993" i="5"/>
  <c r="O993" i="5"/>
  <c r="L993" i="5"/>
  <c r="K993" i="5"/>
  <c r="J993" i="5"/>
  <c r="I993" i="5"/>
  <c r="G993" i="5"/>
  <c r="F993" i="5"/>
  <c r="E993" i="5"/>
  <c r="X992" i="5"/>
  <c r="Z992" i="5" s="1"/>
  <c r="X991" i="5"/>
  <c r="Z991" i="5" s="1"/>
  <c r="X990" i="5"/>
  <c r="Z990" i="5" s="1"/>
  <c r="H989" i="5"/>
  <c r="X989" i="5" s="1"/>
  <c r="G989" i="5"/>
  <c r="E989" i="5"/>
  <c r="X988" i="5"/>
  <c r="Y987" i="5"/>
  <c r="Y989" i="5" s="1"/>
  <c r="S987" i="5"/>
  <c r="S989" i="5" s="1"/>
  <c r="R987" i="5"/>
  <c r="R989" i="5" s="1"/>
  <c r="Q987" i="5"/>
  <c r="Q989" i="5" s="1"/>
  <c r="O987" i="5"/>
  <c r="O989" i="5" s="1"/>
  <c r="N987" i="5"/>
  <c r="N989" i="5" s="1"/>
  <c r="L987" i="5"/>
  <c r="L989" i="5" s="1"/>
  <c r="K987" i="5"/>
  <c r="K989" i="5" s="1"/>
  <c r="J987" i="5"/>
  <c r="J989" i="5" s="1"/>
  <c r="I987" i="5"/>
  <c r="I989" i="5" s="1"/>
  <c r="G987" i="5"/>
  <c r="F987" i="5"/>
  <c r="F989" i="5" s="1"/>
  <c r="E987" i="5"/>
  <c r="X985" i="5"/>
  <c r="P984" i="5"/>
  <c r="H984" i="5"/>
  <c r="E984" i="5"/>
  <c r="E1190" i="5" s="1"/>
  <c r="E2927" i="5" s="1"/>
  <c r="Y982" i="5"/>
  <c r="T982" i="5"/>
  <c r="S982" i="5"/>
  <c r="R982" i="5"/>
  <c r="Q982" i="5"/>
  <c r="O982" i="5"/>
  <c r="N982" i="5"/>
  <c r="L982" i="5"/>
  <c r="K982" i="5"/>
  <c r="J982" i="5"/>
  <c r="I982" i="5"/>
  <c r="G982" i="5"/>
  <c r="Y981" i="5"/>
  <c r="T981" i="5"/>
  <c r="S981" i="5"/>
  <c r="R981" i="5"/>
  <c r="Q981" i="5"/>
  <c r="O981" i="5"/>
  <c r="N981" i="5"/>
  <c r="L981" i="5"/>
  <c r="K981" i="5"/>
  <c r="J981" i="5"/>
  <c r="I981" i="5"/>
  <c r="G981" i="5"/>
  <c r="F981" i="5"/>
  <c r="E981" i="5"/>
  <c r="Y980" i="5"/>
  <c r="W980" i="5"/>
  <c r="T980" i="5"/>
  <c r="S980" i="5"/>
  <c r="R980" i="5"/>
  <c r="Q980" i="5"/>
  <c r="O980" i="5"/>
  <c r="N980" i="5"/>
  <c r="L980" i="5"/>
  <c r="K980" i="5"/>
  <c r="J980" i="5"/>
  <c r="I980" i="5"/>
  <c r="G980" i="5"/>
  <c r="F980" i="5"/>
  <c r="E980" i="5"/>
  <c r="Y979" i="5"/>
  <c r="T979" i="5"/>
  <c r="S979" i="5"/>
  <c r="R979" i="5"/>
  <c r="Q979" i="5"/>
  <c r="O979" i="5"/>
  <c r="N979" i="5"/>
  <c r="L979" i="5"/>
  <c r="K979" i="5"/>
  <c r="J979" i="5"/>
  <c r="I979" i="5"/>
  <c r="G979" i="5"/>
  <c r="Y978" i="5"/>
  <c r="T978" i="5"/>
  <c r="S978" i="5"/>
  <c r="R978" i="5"/>
  <c r="Q978" i="5"/>
  <c r="O978" i="5"/>
  <c r="N978" i="5"/>
  <c r="L978" i="5"/>
  <c r="K978" i="5"/>
  <c r="J978" i="5"/>
  <c r="I978" i="5"/>
  <c r="G978" i="5"/>
  <c r="F978" i="5"/>
  <c r="E978" i="5"/>
  <c r="Y977" i="5"/>
  <c r="T977" i="5"/>
  <c r="S977" i="5"/>
  <c r="R977" i="5"/>
  <c r="Q977" i="5"/>
  <c r="O977" i="5"/>
  <c r="N977" i="5"/>
  <c r="L977" i="5"/>
  <c r="K977" i="5"/>
  <c r="J977" i="5"/>
  <c r="I977" i="5"/>
  <c r="G977" i="5"/>
  <c r="F977" i="5"/>
  <c r="Y976" i="5"/>
  <c r="T976" i="5"/>
  <c r="S976" i="5"/>
  <c r="R976" i="5"/>
  <c r="Q976" i="5"/>
  <c r="O976" i="5"/>
  <c r="N976" i="5"/>
  <c r="L976" i="5"/>
  <c r="K976" i="5"/>
  <c r="J976" i="5"/>
  <c r="I976" i="5"/>
  <c r="G976" i="5"/>
  <c r="F976" i="5"/>
  <c r="Y975" i="5"/>
  <c r="T975" i="5"/>
  <c r="S975" i="5"/>
  <c r="R975" i="5"/>
  <c r="Q975" i="5"/>
  <c r="O975" i="5"/>
  <c r="N975" i="5"/>
  <c r="L975" i="5"/>
  <c r="K975" i="5"/>
  <c r="J975" i="5"/>
  <c r="I975" i="5"/>
  <c r="G975" i="5"/>
  <c r="F975" i="5"/>
  <c r="E975" i="5"/>
  <c r="Y974" i="5"/>
  <c r="T974" i="5"/>
  <c r="S974" i="5"/>
  <c r="R974" i="5"/>
  <c r="Q974" i="5"/>
  <c r="O974" i="5"/>
  <c r="N974" i="5"/>
  <c r="L974" i="5"/>
  <c r="K974" i="5"/>
  <c r="J974" i="5"/>
  <c r="I974" i="5"/>
  <c r="G974" i="5"/>
  <c r="F974" i="5"/>
  <c r="Y973" i="5"/>
  <c r="T973" i="5"/>
  <c r="S973" i="5"/>
  <c r="R973" i="5"/>
  <c r="Q973" i="5"/>
  <c r="O973" i="5"/>
  <c r="N973" i="5"/>
  <c r="L973" i="5"/>
  <c r="K973" i="5"/>
  <c r="J973" i="5"/>
  <c r="I973" i="5"/>
  <c r="G973" i="5"/>
  <c r="F973" i="5"/>
  <c r="Y972" i="5"/>
  <c r="T972" i="5"/>
  <c r="S972" i="5"/>
  <c r="R972" i="5"/>
  <c r="Q972" i="5"/>
  <c r="O972" i="5"/>
  <c r="N972" i="5"/>
  <c r="L972" i="5"/>
  <c r="K972" i="5"/>
  <c r="J972" i="5"/>
  <c r="I972" i="5"/>
  <c r="G972" i="5"/>
  <c r="F972" i="5"/>
  <c r="E972" i="5"/>
  <c r="Y971" i="5"/>
  <c r="T971" i="5"/>
  <c r="S971" i="5"/>
  <c r="R971" i="5"/>
  <c r="Q971" i="5"/>
  <c r="O971" i="5"/>
  <c r="L971" i="5"/>
  <c r="K971" i="5"/>
  <c r="J971" i="5"/>
  <c r="I971" i="5"/>
  <c r="G971" i="5"/>
  <c r="F971" i="5"/>
  <c r="E971" i="5"/>
  <c r="Y970" i="5"/>
  <c r="T970" i="5"/>
  <c r="S970" i="5"/>
  <c r="R970" i="5"/>
  <c r="Q970" i="5"/>
  <c r="O970" i="5"/>
  <c r="N970" i="5"/>
  <c r="L970" i="5"/>
  <c r="K970" i="5"/>
  <c r="J970" i="5"/>
  <c r="I970" i="5"/>
  <c r="G970" i="5"/>
  <c r="F970" i="5"/>
  <c r="E970" i="5"/>
  <c r="Y969" i="5"/>
  <c r="T969" i="5"/>
  <c r="S969" i="5"/>
  <c r="R969" i="5"/>
  <c r="Q969" i="5"/>
  <c r="O969" i="5"/>
  <c r="N969" i="5"/>
  <c r="L969" i="5"/>
  <c r="K969" i="5"/>
  <c r="J969" i="5"/>
  <c r="I969" i="5"/>
  <c r="G969" i="5"/>
  <c r="F969" i="5"/>
  <c r="E969" i="5"/>
  <c r="Y968" i="5"/>
  <c r="Y984" i="5" s="1"/>
  <c r="Y986" i="5" s="1"/>
  <c r="T968" i="5"/>
  <c r="T984" i="5" s="1"/>
  <c r="T986" i="5" s="1"/>
  <c r="S968" i="5"/>
  <c r="S984" i="5" s="1"/>
  <c r="S986" i="5" s="1"/>
  <c r="R968" i="5"/>
  <c r="R984" i="5" s="1"/>
  <c r="R986" i="5" s="1"/>
  <c r="Q968" i="5"/>
  <c r="Q984" i="5" s="1"/>
  <c r="Q986" i="5" s="1"/>
  <c r="O968" i="5"/>
  <c r="O984" i="5" s="1"/>
  <c r="O986" i="5" s="1"/>
  <c r="N968" i="5"/>
  <c r="L968" i="5"/>
  <c r="L984" i="5" s="1"/>
  <c r="L986" i="5" s="1"/>
  <c r="K968" i="5"/>
  <c r="K984" i="5" s="1"/>
  <c r="K986" i="5" s="1"/>
  <c r="J968" i="5"/>
  <c r="J984" i="5" s="1"/>
  <c r="J986" i="5" s="1"/>
  <c r="I968" i="5"/>
  <c r="I984" i="5" s="1"/>
  <c r="I986" i="5" s="1"/>
  <c r="G968" i="5"/>
  <c r="G984" i="5" s="1"/>
  <c r="G986" i="5" s="1"/>
  <c r="F968" i="5"/>
  <c r="E968" i="5"/>
  <c r="Y959" i="5"/>
  <c r="X959" i="5"/>
  <c r="W959" i="5"/>
  <c r="V959" i="5"/>
  <c r="U959" i="5"/>
  <c r="T959" i="5"/>
  <c r="S959" i="5"/>
  <c r="R959" i="5"/>
  <c r="N959" i="5"/>
  <c r="L959" i="5"/>
  <c r="K959" i="5"/>
  <c r="I959" i="5"/>
  <c r="G959" i="5"/>
  <c r="F959" i="5"/>
  <c r="E959" i="5"/>
  <c r="X958" i="5"/>
  <c r="Z958" i="5" s="1"/>
  <c r="X957" i="5"/>
  <c r="Z957" i="5" s="1"/>
  <c r="H956" i="5"/>
  <c r="X956" i="5" s="1"/>
  <c r="Z956" i="5" s="1"/>
  <c r="E956" i="5"/>
  <c r="X955" i="5"/>
  <c r="Z955" i="5" s="1"/>
  <c r="Y954" i="5"/>
  <c r="T954" i="5"/>
  <c r="S954" i="5"/>
  <c r="R954" i="5"/>
  <c r="N954" i="5"/>
  <c r="L954" i="5"/>
  <c r="K954" i="5"/>
  <c r="I954" i="5"/>
  <c r="G954" i="5"/>
  <c r="F954" i="5"/>
  <c r="E954" i="5"/>
  <c r="Y953" i="5"/>
  <c r="T953" i="5"/>
  <c r="S953" i="5"/>
  <c r="R953" i="5"/>
  <c r="O953" i="5"/>
  <c r="N953" i="5"/>
  <c r="L953" i="5"/>
  <c r="K953" i="5"/>
  <c r="I953" i="5"/>
  <c r="G953" i="5"/>
  <c r="F953" i="5"/>
  <c r="E953" i="5"/>
  <c r="X952" i="5"/>
  <c r="Z952" i="5" s="1"/>
  <c r="X951" i="5"/>
  <c r="Z951" i="5" s="1"/>
  <c r="Y950" i="5"/>
  <c r="T950" i="5"/>
  <c r="S950" i="5"/>
  <c r="R950" i="5"/>
  <c r="O950" i="5"/>
  <c r="N950" i="5"/>
  <c r="L950" i="5"/>
  <c r="K950" i="5"/>
  <c r="I950" i="5"/>
  <c r="H950" i="5"/>
  <c r="X950" i="5" s="1"/>
  <c r="G950" i="5"/>
  <c r="F950" i="5"/>
  <c r="E950" i="5"/>
  <c r="X949" i="5"/>
  <c r="Z949" i="5" s="1"/>
  <c r="X948" i="5"/>
  <c r="Z948" i="5" s="1"/>
  <c r="H947" i="5"/>
  <c r="X947" i="5" s="1"/>
  <c r="E947" i="5"/>
  <c r="X946" i="5"/>
  <c r="Z946" i="5" s="1"/>
  <c r="Y945" i="5"/>
  <c r="T945" i="5"/>
  <c r="S945" i="5"/>
  <c r="R945" i="5"/>
  <c r="O945" i="5"/>
  <c r="N945" i="5"/>
  <c r="L945" i="5"/>
  <c r="K945" i="5"/>
  <c r="I945" i="5"/>
  <c r="G945" i="5"/>
  <c r="F945" i="5"/>
  <c r="E945" i="5"/>
  <c r="Y944" i="5"/>
  <c r="T944" i="5"/>
  <c r="S944" i="5"/>
  <c r="R944" i="5"/>
  <c r="O944" i="5"/>
  <c r="N944" i="5"/>
  <c r="L944" i="5"/>
  <c r="K944" i="5"/>
  <c r="I944" i="5"/>
  <c r="G944" i="5"/>
  <c r="F944" i="5"/>
  <c r="E944" i="5"/>
  <c r="X943" i="5"/>
  <c r="Z943" i="5" s="1"/>
  <c r="X942" i="5"/>
  <c r="Z942" i="5" s="1"/>
  <c r="P941" i="5"/>
  <c r="H941" i="5"/>
  <c r="E941" i="5"/>
  <c r="X940" i="5"/>
  <c r="Z940" i="5" s="1"/>
  <c r="Y939" i="5"/>
  <c r="T939" i="5"/>
  <c r="S939" i="5"/>
  <c r="R939" i="5"/>
  <c r="O939" i="5"/>
  <c r="N939" i="5"/>
  <c r="L939" i="5"/>
  <c r="K939" i="5"/>
  <c r="I939" i="5"/>
  <c r="G939" i="5"/>
  <c r="F939" i="5"/>
  <c r="E939" i="5"/>
  <c r="Y938" i="5"/>
  <c r="T938" i="5"/>
  <c r="S938" i="5"/>
  <c r="R938" i="5"/>
  <c r="O938" i="5"/>
  <c r="N938" i="5"/>
  <c r="L938" i="5"/>
  <c r="K938" i="5"/>
  <c r="I938" i="5"/>
  <c r="G938" i="5"/>
  <c r="Y937" i="5"/>
  <c r="T937" i="5"/>
  <c r="S937" i="5"/>
  <c r="R937" i="5"/>
  <c r="O937" i="5"/>
  <c r="N937" i="5"/>
  <c r="L937" i="5"/>
  <c r="K937" i="5"/>
  <c r="I937" i="5"/>
  <c r="G937" i="5"/>
  <c r="F937" i="5"/>
  <c r="Y936" i="5"/>
  <c r="T936" i="5"/>
  <c r="S936" i="5"/>
  <c r="R936" i="5"/>
  <c r="O936" i="5"/>
  <c r="N936" i="5"/>
  <c r="L936" i="5"/>
  <c r="K936" i="5"/>
  <c r="I936" i="5"/>
  <c r="G936" i="5"/>
  <c r="F936" i="5"/>
  <c r="E936" i="5"/>
  <c r="Y935" i="5"/>
  <c r="T935" i="5"/>
  <c r="S935" i="5"/>
  <c r="R935" i="5"/>
  <c r="O935" i="5"/>
  <c r="N935" i="5"/>
  <c r="L935" i="5"/>
  <c r="K935" i="5"/>
  <c r="I935" i="5"/>
  <c r="G935" i="5"/>
  <c r="F935" i="5"/>
  <c r="E935" i="5"/>
  <c r="Y934" i="5"/>
  <c r="T934" i="5"/>
  <c r="S934" i="5"/>
  <c r="R934" i="5"/>
  <c r="O934" i="5"/>
  <c r="N934" i="5"/>
  <c r="L934" i="5"/>
  <c r="K934" i="5"/>
  <c r="I934" i="5"/>
  <c r="G934" i="5"/>
  <c r="F934" i="5"/>
  <c r="E934" i="5"/>
  <c r="Y933" i="5"/>
  <c r="T933" i="5"/>
  <c r="S933" i="5"/>
  <c r="R933" i="5"/>
  <c r="O933" i="5"/>
  <c r="N933" i="5"/>
  <c r="L933" i="5"/>
  <c r="K933" i="5"/>
  <c r="I933" i="5"/>
  <c r="G933" i="5"/>
  <c r="F933" i="5"/>
  <c r="E933" i="5"/>
  <c r="Y932" i="5"/>
  <c r="T932" i="5"/>
  <c r="S932" i="5"/>
  <c r="R932" i="5"/>
  <c r="O932" i="5"/>
  <c r="N932" i="5"/>
  <c r="L932" i="5"/>
  <c r="K932" i="5"/>
  <c r="I932" i="5"/>
  <c r="G932" i="5"/>
  <c r="F932" i="5"/>
  <c r="E932" i="5"/>
  <c r="Y931" i="5"/>
  <c r="T931" i="5"/>
  <c r="S931" i="5"/>
  <c r="R931" i="5"/>
  <c r="O931" i="5"/>
  <c r="N931" i="5"/>
  <c r="L931" i="5"/>
  <c r="K931" i="5"/>
  <c r="I931" i="5"/>
  <c r="G931" i="5"/>
  <c r="F931" i="5"/>
  <c r="E931" i="5"/>
  <c r="Y930" i="5"/>
  <c r="T930" i="5"/>
  <c r="S930" i="5"/>
  <c r="R930" i="5"/>
  <c r="O930" i="5"/>
  <c r="N930" i="5"/>
  <c r="L930" i="5"/>
  <c r="K930" i="5"/>
  <c r="I930" i="5"/>
  <c r="G930" i="5"/>
  <c r="Y929" i="5"/>
  <c r="T929" i="5"/>
  <c r="S929" i="5"/>
  <c r="R929" i="5"/>
  <c r="O929" i="5"/>
  <c r="N929" i="5"/>
  <c r="L929" i="5"/>
  <c r="K929" i="5"/>
  <c r="I929" i="5"/>
  <c r="G929" i="5"/>
  <c r="F929" i="5"/>
  <c r="E929" i="5"/>
  <c r="Y928" i="5"/>
  <c r="T928" i="5"/>
  <c r="S928" i="5"/>
  <c r="R928" i="5"/>
  <c r="O928" i="5"/>
  <c r="N928" i="5"/>
  <c r="L928" i="5"/>
  <c r="K928" i="5"/>
  <c r="I928" i="5"/>
  <c r="G928" i="5"/>
  <c r="F928" i="5"/>
  <c r="Y927" i="5"/>
  <c r="T927" i="5"/>
  <c r="S927" i="5"/>
  <c r="R927" i="5"/>
  <c r="O927" i="5"/>
  <c r="N927" i="5"/>
  <c r="L927" i="5"/>
  <c r="K927" i="5"/>
  <c r="I927" i="5"/>
  <c r="G927" i="5"/>
  <c r="E927" i="5"/>
  <c r="Y926" i="5"/>
  <c r="T926" i="5"/>
  <c r="S926" i="5"/>
  <c r="R926" i="5"/>
  <c r="O926" i="5"/>
  <c r="N926" i="5"/>
  <c r="L926" i="5"/>
  <c r="K926" i="5"/>
  <c r="I926" i="5"/>
  <c r="G926" i="5"/>
  <c r="E926" i="5"/>
  <c r="Y925" i="5"/>
  <c r="T925" i="5"/>
  <c r="S925" i="5"/>
  <c r="R925" i="5"/>
  <c r="O925" i="5"/>
  <c r="N925" i="5"/>
  <c r="L925" i="5"/>
  <c r="K925" i="5"/>
  <c r="I925" i="5"/>
  <c r="G925" i="5"/>
  <c r="F925" i="5"/>
  <c r="X924" i="5"/>
  <c r="Z924" i="5" s="1"/>
  <c r="X923" i="5"/>
  <c r="Z923" i="5" s="1"/>
  <c r="P922" i="5"/>
  <c r="H922" i="5"/>
  <c r="E922" i="5"/>
  <c r="X921" i="5"/>
  <c r="Z921" i="5" s="1"/>
  <c r="Y920" i="5"/>
  <c r="T920" i="5"/>
  <c r="S920" i="5"/>
  <c r="R920" i="5"/>
  <c r="O920" i="5"/>
  <c r="N920" i="5"/>
  <c r="L920" i="5"/>
  <c r="K920" i="5"/>
  <c r="I920" i="5"/>
  <c r="G920" i="5"/>
  <c r="Y919" i="5"/>
  <c r="T919" i="5"/>
  <c r="S919" i="5"/>
  <c r="R919" i="5"/>
  <c r="O919" i="5"/>
  <c r="N919" i="5"/>
  <c r="L919" i="5"/>
  <c r="K919" i="5"/>
  <c r="I919" i="5"/>
  <c r="G919" i="5"/>
  <c r="F919" i="5"/>
  <c r="E919" i="5"/>
  <c r="Y918" i="5"/>
  <c r="T918" i="5"/>
  <c r="S918" i="5"/>
  <c r="R918" i="5"/>
  <c r="O918" i="5"/>
  <c r="N918" i="5"/>
  <c r="L918" i="5"/>
  <c r="K918" i="5"/>
  <c r="I918" i="5"/>
  <c r="G918" i="5"/>
  <c r="F918" i="5"/>
  <c r="E918" i="5"/>
  <c r="Y917" i="5"/>
  <c r="T917" i="5"/>
  <c r="S917" i="5"/>
  <c r="R917" i="5"/>
  <c r="O917" i="5"/>
  <c r="N917" i="5"/>
  <c r="L917" i="5"/>
  <c r="K917" i="5"/>
  <c r="I917" i="5"/>
  <c r="G917" i="5"/>
  <c r="F917" i="5"/>
  <c r="E917" i="5"/>
  <c r="Y916" i="5"/>
  <c r="W916" i="5"/>
  <c r="V916" i="5"/>
  <c r="T916" i="5"/>
  <c r="S916" i="5"/>
  <c r="R916" i="5"/>
  <c r="Q916" i="5"/>
  <c r="O916" i="5"/>
  <c r="N916" i="5"/>
  <c r="L916" i="5"/>
  <c r="K916" i="5"/>
  <c r="J916" i="5"/>
  <c r="I916" i="5"/>
  <c r="G916" i="5"/>
  <c r="F916" i="5"/>
  <c r="E916" i="5"/>
  <c r="Y915" i="5"/>
  <c r="W915" i="5"/>
  <c r="V915" i="5"/>
  <c r="T915" i="5"/>
  <c r="S915" i="5"/>
  <c r="R915" i="5"/>
  <c r="Q915" i="5"/>
  <c r="O915" i="5"/>
  <c r="N915" i="5"/>
  <c r="L915" i="5"/>
  <c r="K915" i="5"/>
  <c r="J915" i="5"/>
  <c r="I915" i="5"/>
  <c r="G915" i="5"/>
  <c r="Y914" i="5"/>
  <c r="T914" i="5"/>
  <c r="S914" i="5"/>
  <c r="R914" i="5"/>
  <c r="Q914" i="5"/>
  <c r="O914" i="5"/>
  <c r="N914" i="5"/>
  <c r="L914" i="5"/>
  <c r="K914" i="5"/>
  <c r="J914" i="5"/>
  <c r="I914" i="5"/>
  <c r="G914" i="5"/>
  <c r="Y913" i="5"/>
  <c r="T913" i="5"/>
  <c r="S913" i="5"/>
  <c r="R913" i="5"/>
  <c r="O913" i="5"/>
  <c r="N913" i="5"/>
  <c r="L913" i="5"/>
  <c r="K913" i="5"/>
  <c r="I913" i="5"/>
  <c r="G913" i="5"/>
  <c r="F913" i="5"/>
  <c r="E913" i="5"/>
  <c r="Y912" i="5"/>
  <c r="T912" i="5"/>
  <c r="S912" i="5"/>
  <c r="R912" i="5"/>
  <c r="O912" i="5"/>
  <c r="N912" i="5"/>
  <c r="L912" i="5"/>
  <c r="K912" i="5"/>
  <c r="I912" i="5"/>
  <c r="G912" i="5"/>
  <c r="F912" i="5"/>
  <c r="E912" i="5"/>
  <c r="Y911" i="5"/>
  <c r="T911" i="5"/>
  <c r="S911" i="5"/>
  <c r="R911" i="5"/>
  <c r="O911" i="5"/>
  <c r="N911" i="5"/>
  <c r="L911" i="5"/>
  <c r="K911" i="5"/>
  <c r="I911" i="5"/>
  <c r="G911" i="5"/>
  <c r="F911" i="5"/>
  <c r="E911" i="5"/>
  <c r="Y910" i="5"/>
  <c r="T910" i="5"/>
  <c r="S910" i="5"/>
  <c r="R910" i="5"/>
  <c r="O910" i="5"/>
  <c r="N910" i="5"/>
  <c r="L910" i="5"/>
  <c r="K910" i="5"/>
  <c r="I910" i="5"/>
  <c r="G910" i="5"/>
  <c r="F910" i="5"/>
  <c r="E910" i="5"/>
  <c r="Y909" i="5"/>
  <c r="T909" i="5"/>
  <c r="S909" i="5"/>
  <c r="R909" i="5"/>
  <c r="O909" i="5"/>
  <c r="N909" i="5"/>
  <c r="L909" i="5"/>
  <c r="K909" i="5"/>
  <c r="I909" i="5"/>
  <c r="G909" i="5"/>
  <c r="Y908" i="5"/>
  <c r="T908" i="5"/>
  <c r="S908" i="5"/>
  <c r="R908" i="5"/>
  <c r="O908" i="5"/>
  <c r="N908" i="5"/>
  <c r="L908" i="5"/>
  <c r="K908" i="5"/>
  <c r="I908" i="5"/>
  <c r="G908" i="5"/>
  <c r="F908" i="5"/>
  <c r="Y907" i="5"/>
  <c r="T907" i="5"/>
  <c r="S907" i="5"/>
  <c r="R907" i="5"/>
  <c r="O907" i="5"/>
  <c r="N907" i="5"/>
  <c r="L907" i="5"/>
  <c r="K907" i="5"/>
  <c r="I907" i="5"/>
  <c r="G907" i="5"/>
  <c r="Y906" i="5"/>
  <c r="T906" i="5"/>
  <c r="S906" i="5"/>
  <c r="R906" i="5"/>
  <c r="O906" i="5"/>
  <c r="N906" i="5"/>
  <c r="L906" i="5"/>
  <c r="K906" i="5"/>
  <c r="I906" i="5"/>
  <c r="G906" i="5"/>
  <c r="F906" i="5"/>
  <c r="Y905" i="5"/>
  <c r="T905" i="5"/>
  <c r="S905" i="5"/>
  <c r="R905" i="5"/>
  <c r="O905" i="5"/>
  <c r="N905" i="5"/>
  <c r="L905" i="5"/>
  <c r="K905" i="5"/>
  <c r="I905" i="5"/>
  <c r="G905" i="5"/>
  <c r="F905" i="5"/>
  <c r="E905" i="5"/>
  <c r="Y904" i="5"/>
  <c r="T904" i="5"/>
  <c r="S904" i="5"/>
  <c r="R904" i="5"/>
  <c r="O904" i="5"/>
  <c r="N904" i="5"/>
  <c r="L904" i="5"/>
  <c r="K904" i="5"/>
  <c r="I904" i="5"/>
  <c r="G904" i="5"/>
  <c r="E904" i="5"/>
  <c r="Y903" i="5"/>
  <c r="T903" i="5"/>
  <c r="S903" i="5"/>
  <c r="R903" i="5"/>
  <c r="O903" i="5"/>
  <c r="N903" i="5"/>
  <c r="L903" i="5"/>
  <c r="K903" i="5"/>
  <c r="I903" i="5"/>
  <c r="G903" i="5"/>
  <c r="F903" i="5"/>
  <c r="Y902" i="5"/>
  <c r="T902" i="5"/>
  <c r="S902" i="5"/>
  <c r="R902" i="5"/>
  <c r="O902" i="5"/>
  <c r="N902" i="5"/>
  <c r="L902" i="5"/>
  <c r="K902" i="5"/>
  <c r="I902" i="5"/>
  <c r="G902" i="5"/>
  <c r="E902" i="5"/>
  <c r="Y901" i="5"/>
  <c r="T901" i="5"/>
  <c r="S901" i="5"/>
  <c r="R901" i="5"/>
  <c r="O901" i="5"/>
  <c r="N901" i="5"/>
  <c r="L901" i="5"/>
  <c r="K901" i="5"/>
  <c r="I901" i="5"/>
  <c r="G901" i="5"/>
  <c r="F901" i="5"/>
  <c r="E901" i="5"/>
  <c r="Y900" i="5"/>
  <c r="T900" i="5"/>
  <c r="S900" i="5"/>
  <c r="R900" i="5"/>
  <c r="O900" i="5"/>
  <c r="N900" i="5"/>
  <c r="L900" i="5"/>
  <c r="K900" i="5"/>
  <c r="I900" i="5"/>
  <c r="G900" i="5"/>
  <c r="F900" i="5"/>
  <c r="E900" i="5"/>
  <c r="Y899" i="5"/>
  <c r="T899" i="5"/>
  <c r="S899" i="5"/>
  <c r="R899" i="5"/>
  <c r="O899" i="5"/>
  <c r="N899" i="5"/>
  <c r="L899" i="5"/>
  <c r="I899" i="5"/>
  <c r="G899" i="5"/>
  <c r="F899" i="5"/>
  <c r="Y898" i="5"/>
  <c r="T898" i="5"/>
  <c r="S898" i="5"/>
  <c r="S922" i="5" s="1"/>
  <c r="R898" i="5"/>
  <c r="O898" i="5"/>
  <c r="O922" i="5" s="1"/>
  <c r="N898" i="5"/>
  <c r="L898" i="5"/>
  <c r="I898" i="5"/>
  <c r="G898" i="5"/>
  <c r="G922" i="5" s="1"/>
  <c r="F898" i="5"/>
  <c r="E898" i="5"/>
  <c r="X897" i="5"/>
  <c r="Z897" i="5" s="1"/>
  <c r="X896" i="5"/>
  <c r="Z896" i="5" s="1"/>
  <c r="P895" i="5"/>
  <c r="H895" i="5"/>
  <c r="E895" i="5"/>
  <c r="Z894" i="5"/>
  <c r="X894" i="5"/>
  <c r="Y893" i="5"/>
  <c r="T893" i="5"/>
  <c r="S893" i="5"/>
  <c r="R893" i="5"/>
  <c r="O893" i="5"/>
  <c r="N893" i="5"/>
  <c r="L893" i="5"/>
  <c r="K893" i="5"/>
  <c r="I893" i="5"/>
  <c r="G893" i="5"/>
  <c r="F893" i="5"/>
  <c r="E893" i="5"/>
  <c r="Y892" i="5"/>
  <c r="T892" i="5"/>
  <c r="S892" i="5"/>
  <c r="R892" i="5"/>
  <c r="O892" i="5"/>
  <c r="N892" i="5"/>
  <c r="L892" i="5"/>
  <c r="K892" i="5"/>
  <c r="I892" i="5"/>
  <c r="G892" i="5"/>
  <c r="Y891" i="5"/>
  <c r="T891" i="5"/>
  <c r="S891" i="5"/>
  <c r="R891" i="5"/>
  <c r="O891" i="5"/>
  <c r="N891" i="5"/>
  <c r="L891" i="5"/>
  <c r="K891" i="5"/>
  <c r="I891" i="5"/>
  <c r="G891" i="5"/>
  <c r="F891" i="5"/>
  <c r="E891" i="5"/>
  <c r="Y890" i="5"/>
  <c r="W890" i="5"/>
  <c r="V890" i="5"/>
  <c r="T890" i="5"/>
  <c r="S890" i="5"/>
  <c r="R890" i="5"/>
  <c r="Q890" i="5"/>
  <c r="O890" i="5"/>
  <c r="N890" i="5"/>
  <c r="L890" i="5"/>
  <c r="K890" i="5"/>
  <c r="J890" i="5"/>
  <c r="I890" i="5"/>
  <c r="G890" i="5"/>
  <c r="F890" i="5"/>
  <c r="E890" i="5"/>
  <c r="Y889" i="5"/>
  <c r="W889" i="5"/>
  <c r="V889" i="5"/>
  <c r="T889" i="5"/>
  <c r="S889" i="5"/>
  <c r="R889" i="5"/>
  <c r="Q889" i="5"/>
  <c r="O889" i="5"/>
  <c r="N889" i="5"/>
  <c r="L889" i="5"/>
  <c r="K889" i="5"/>
  <c r="J889" i="5"/>
  <c r="I889" i="5"/>
  <c r="G889" i="5"/>
  <c r="F889" i="5"/>
  <c r="Y888" i="5"/>
  <c r="W888" i="5"/>
  <c r="V888" i="5"/>
  <c r="T888" i="5"/>
  <c r="S888" i="5"/>
  <c r="R888" i="5"/>
  <c r="Q888" i="5"/>
  <c r="O888" i="5"/>
  <c r="N888" i="5"/>
  <c r="L888" i="5"/>
  <c r="K888" i="5"/>
  <c r="J888" i="5"/>
  <c r="I888" i="5"/>
  <c r="G888" i="5"/>
  <c r="F888" i="5"/>
  <c r="E888" i="5"/>
  <c r="Y887" i="5"/>
  <c r="T887" i="5"/>
  <c r="S887" i="5"/>
  <c r="R887" i="5"/>
  <c r="O887" i="5"/>
  <c r="N887" i="5"/>
  <c r="L887" i="5"/>
  <c r="K887" i="5"/>
  <c r="I887" i="5"/>
  <c r="G887" i="5"/>
  <c r="F887" i="5"/>
  <c r="E887" i="5"/>
  <c r="Y886" i="5"/>
  <c r="T886" i="5"/>
  <c r="S886" i="5"/>
  <c r="R886" i="5"/>
  <c r="O886" i="5"/>
  <c r="N886" i="5"/>
  <c r="L886" i="5"/>
  <c r="K886" i="5"/>
  <c r="I886" i="5"/>
  <c r="G886" i="5"/>
  <c r="F886" i="5"/>
  <c r="E886" i="5"/>
  <c r="Y885" i="5"/>
  <c r="T885" i="5"/>
  <c r="S885" i="5"/>
  <c r="R885" i="5"/>
  <c r="O885" i="5"/>
  <c r="N885" i="5"/>
  <c r="L885" i="5"/>
  <c r="K885" i="5"/>
  <c r="I885" i="5"/>
  <c r="G885" i="5"/>
  <c r="F885" i="5"/>
  <c r="E885" i="5"/>
  <c r="Y884" i="5"/>
  <c r="T884" i="5"/>
  <c r="S884" i="5"/>
  <c r="R884" i="5"/>
  <c r="O884" i="5"/>
  <c r="N884" i="5"/>
  <c r="L884" i="5"/>
  <c r="K884" i="5"/>
  <c r="I884" i="5"/>
  <c r="G884" i="5"/>
  <c r="F884" i="5"/>
  <c r="E884" i="5"/>
  <c r="Y883" i="5"/>
  <c r="T883" i="5"/>
  <c r="S883" i="5"/>
  <c r="R883" i="5"/>
  <c r="O883" i="5"/>
  <c r="N883" i="5"/>
  <c r="L883" i="5"/>
  <c r="K883" i="5"/>
  <c r="I883" i="5"/>
  <c r="G883" i="5"/>
  <c r="F883" i="5"/>
  <c r="E883" i="5"/>
  <c r="Y882" i="5"/>
  <c r="T882" i="5"/>
  <c r="S882" i="5"/>
  <c r="R882" i="5"/>
  <c r="O882" i="5"/>
  <c r="N882" i="5"/>
  <c r="L882" i="5"/>
  <c r="K882" i="5"/>
  <c r="I882" i="5"/>
  <c r="G882" i="5"/>
  <c r="E882" i="5"/>
  <c r="Y881" i="5"/>
  <c r="T881" i="5"/>
  <c r="S881" i="5"/>
  <c r="R881" i="5"/>
  <c r="O881" i="5"/>
  <c r="N881" i="5"/>
  <c r="L881" i="5"/>
  <c r="K881" i="5"/>
  <c r="I881" i="5"/>
  <c r="G881" i="5"/>
  <c r="F881" i="5"/>
  <c r="Y880" i="5"/>
  <c r="T880" i="5"/>
  <c r="S880" i="5"/>
  <c r="R880" i="5"/>
  <c r="O880" i="5"/>
  <c r="N880" i="5"/>
  <c r="L880" i="5"/>
  <c r="K880" i="5"/>
  <c r="I880" i="5"/>
  <c r="G880" i="5"/>
  <c r="F880" i="5"/>
  <c r="E880" i="5"/>
  <c r="Y879" i="5"/>
  <c r="T879" i="5"/>
  <c r="S879" i="5"/>
  <c r="R879" i="5"/>
  <c r="O879" i="5"/>
  <c r="N879" i="5"/>
  <c r="L879" i="5"/>
  <c r="K879" i="5"/>
  <c r="I879" i="5"/>
  <c r="G879" i="5"/>
  <c r="F879" i="5"/>
  <c r="E879" i="5"/>
  <c r="Y878" i="5"/>
  <c r="T878" i="5"/>
  <c r="S878" i="5"/>
  <c r="R878" i="5"/>
  <c r="O878" i="5"/>
  <c r="N878" i="5"/>
  <c r="L878" i="5"/>
  <c r="K878" i="5"/>
  <c r="I878" i="5"/>
  <c r="G878" i="5"/>
  <c r="Y877" i="5"/>
  <c r="T877" i="5"/>
  <c r="S877" i="5"/>
  <c r="R877" i="5"/>
  <c r="O877" i="5"/>
  <c r="N877" i="5"/>
  <c r="L877" i="5"/>
  <c r="K877" i="5"/>
  <c r="I877" i="5"/>
  <c r="G877" i="5"/>
  <c r="F877" i="5"/>
  <c r="E877" i="5"/>
  <c r="Y876" i="5"/>
  <c r="T876" i="5"/>
  <c r="S876" i="5"/>
  <c r="R876" i="5"/>
  <c r="O876" i="5"/>
  <c r="N876" i="5"/>
  <c r="L876" i="5"/>
  <c r="K876" i="5"/>
  <c r="I876" i="5"/>
  <c r="G876" i="5"/>
  <c r="F876" i="5"/>
  <c r="Y875" i="5"/>
  <c r="T875" i="5"/>
  <c r="T895" i="5" s="1"/>
  <c r="S875" i="5"/>
  <c r="R875" i="5"/>
  <c r="O875" i="5"/>
  <c r="N875" i="5"/>
  <c r="L875" i="5"/>
  <c r="L895" i="5" s="1"/>
  <c r="K875" i="5"/>
  <c r="I875" i="5"/>
  <c r="G875" i="5"/>
  <c r="F875" i="5"/>
  <c r="Z874" i="5"/>
  <c r="X874" i="5"/>
  <c r="X873" i="5"/>
  <c r="Z873" i="5" s="1"/>
  <c r="P872" i="5"/>
  <c r="H872" i="5"/>
  <c r="E872" i="5"/>
  <c r="X871" i="5"/>
  <c r="Z871" i="5" s="1"/>
  <c r="Y870" i="5"/>
  <c r="T870" i="5"/>
  <c r="S870" i="5"/>
  <c r="R870" i="5"/>
  <c r="O870" i="5"/>
  <c r="N870" i="5"/>
  <c r="L870" i="5"/>
  <c r="K870" i="5"/>
  <c r="I870" i="5"/>
  <c r="G870" i="5"/>
  <c r="F870" i="5"/>
  <c r="E870" i="5"/>
  <c r="Y869" i="5"/>
  <c r="W869" i="5"/>
  <c r="T869" i="5"/>
  <c r="S869" i="5"/>
  <c r="R869" i="5"/>
  <c r="Q869" i="5"/>
  <c r="O869" i="5"/>
  <c r="N869" i="5"/>
  <c r="L869" i="5"/>
  <c r="K869" i="5"/>
  <c r="I869" i="5"/>
  <c r="G869" i="5"/>
  <c r="F869" i="5"/>
  <c r="E869" i="5"/>
  <c r="Y868" i="5"/>
  <c r="W868" i="5"/>
  <c r="T868" i="5"/>
  <c r="S868" i="5"/>
  <c r="R868" i="5"/>
  <c r="Q868" i="5"/>
  <c r="O868" i="5"/>
  <c r="N868" i="5"/>
  <c r="L868" i="5"/>
  <c r="K868" i="5"/>
  <c r="I868" i="5"/>
  <c r="G868" i="5"/>
  <c r="F868" i="5"/>
  <c r="E868" i="5"/>
  <c r="Y867" i="5"/>
  <c r="W867" i="5"/>
  <c r="T867" i="5"/>
  <c r="S867" i="5"/>
  <c r="R867" i="5"/>
  <c r="Q867" i="5"/>
  <c r="O867" i="5"/>
  <c r="N867" i="5"/>
  <c r="L867" i="5"/>
  <c r="K867" i="5"/>
  <c r="I867" i="5"/>
  <c r="G867" i="5"/>
  <c r="F867" i="5"/>
  <c r="E867" i="5"/>
  <c r="Y866" i="5"/>
  <c r="W866" i="5"/>
  <c r="T866" i="5"/>
  <c r="S866" i="5"/>
  <c r="R866" i="5"/>
  <c r="Q866" i="5"/>
  <c r="O866" i="5"/>
  <c r="N866" i="5"/>
  <c r="L866" i="5"/>
  <c r="K866" i="5"/>
  <c r="I866" i="5"/>
  <c r="G866" i="5"/>
  <c r="F866" i="5"/>
  <c r="E866" i="5"/>
  <c r="Y865" i="5"/>
  <c r="W865" i="5"/>
  <c r="T865" i="5"/>
  <c r="S865" i="5"/>
  <c r="R865" i="5"/>
  <c r="Q865" i="5"/>
  <c r="O865" i="5"/>
  <c r="N865" i="5"/>
  <c r="L865" i="5"/>
  <c r="K865" i="5"/>
  <c r="I865" i="5"/>
  <c r="G865" i="5"/>
  <c r="Y864" i="5"/>
  <c r="W864" i="5"/>
  <c r="T864" i="5"/>
  <c r="S864" i="5"/>
  <c r="R864" i="5"/>
  <c r="Q864" i="5"/>
  <c r="O864" i="5"/>
  <c r="N864" i="5"/>
  <c r="L864" i="5"/>
  <c r="K864" i="5"/>
  <c r="I864" i="5"/>
  <c r="G864" i="5"/>
  <c r="F864" i="5"/>
  <c r="E864" i="5"/>
  <c r="Y863" i="5"/>
  <c r="W863" i="5"/>
  <c r="T863" i="5"/>
  <c r="S863" i="5"/>
  <c r="R863" i="5"/>
  <c r="Q863" i="5"/>
  <c r="O863" i="5"/>
  <c r="N863" i="5"/>
  <c r="L863" i="5"/>
  <c r="K863" i="5"/>
  <c r="I863" i="5"/>
  <c r="G863" i="5"/>
  <c r="F863" i="5"/>
  <c r="E863" i="5"/>
  <c r="Y862" i="5"/>
  <c r="T862" i="5"/>
  <c r="S862" i="5"/>
  <c r="R862" i="5"/>
  <c r="O862" i="5"/>
  <c r="N862" i="5"/>
  <c r="L862" i="5"/>
  <c r="K862" i="5"/>
  <c r="I862" i="5"/>
  <c r="G862" i="5"/>
  <c r="F862" i="5"/>
  <c r="Y861" i="5"/>
  <c r="T861" i="5"/>
  <c r="S861" i="5"/>
  <c r="R861" i="5"/>
  <c r="O861" i="5"/>
  <c r="N861" i="5"/>
  <c r="L861" i="5"/>
  <c r="K861" i="5"/>
  <c r="I861" i="5"/>
  <c r="G861" i="5"/>
  <c r="F861" i="5"/>
  <c r="E861" i="5"/>
  <c r="Y860" i="5"/>
  <c r="T860" i="5"/>
  <c r="S860" i="5"/>
  <c r="R860" i="5"/>
  <c r="O860" i="5"/>
  <c r="N860" i="5"/>
  <c r="L860" i="5"/>
  <c r="K860" i="5"/>
  <c r="I860" i="5"/>
  <c r="G860" i="5"/>
  <c r="F860" i="5"/>
  <c r="E860" i="5"/>
  <c r="Y859" i="5"/>
  <c r="T859" i="5"/>
  <c r="S859" i="5"/>
  <c r="R859" i="5"/>
  <c r="O859" i="5"/>
  <c r="N859" i="5"/>
  <c r="L859" i="5"/>
  <c r="K859" i="5"/>
  <c r="I859" i="5"/>
  <c r="G859" i="5"/>
  <c r="F859" i="5"/>
  <c r="E859" i="5"/>
  <c r="Y858" i="5"/>
  <c r="T858" i="5"/>
  <c r="S858" i="5"/>
  <c r="R858" i="5"/>
  <c r="O858" i="5"/>
  <c r="N858" i="5"/>
  <c r="L858" i="5"/>
  <c r="K858" i="5"/>
  <c r="I858" i="5"/>
  <c r="G858" i="5"/>
  <c r="Y857" i="5"/>
  <c r="T857" i="5"/>
  <c r="S857" i="5"/>
  <c r="R857" i="5"/>
  <c r="O857" i="5"/>
  <c r="N857" i="5"/>
  <c r="L857" i="5"/>
  <c r="K857" i="5"/>
  <c r="I857" i="5"/>
  <c r="G857" i="5"/>
  <c r="Y856" i="5"/>
  <c r="T856" i="5"/>
  <c r="S856" i="5"/>
  <c r="R856" i="5"/>
  <c r="O856" i="5"/>
  <c r="N856" i="5"/>
  <c r="L856" i="5"/>
  <c r="K856" i="5"/>
  <c r="I856" i="5"/>
  <c r="G856" i="5"/>
  <c r="F856" i="5"/>
  <c r="Y855" i="5"/>
  <c r="T855" i="5"/>
  <c r="S855" i="5"/>
  <c r="R855" i="5"/>
  <c r="O855" i="5"/>
  <c r="N855" i="5"/>
  <c r="L855" i="5"/>
  <c r="K855" i="5"/>
  <c r="I855" i="5"/>
  <c r="G855" i="5"/>
  <c r="E855" i="5"/>
  <c r="Y854" i="5"/>
  <c r="T854" i="5"/>
  <c r="S854" i="5"/>
  <c r="R854" i="5"/>
  <c r="O854" i="5"/>
  <c r="N854" i="5"/>
  <c r="L854" i="5"/>
  <c r="K854" i="5"/>
  <c r="I854" i="5"/>
  <c r="G854" i="5"/>
  <c r="F854" i="5"/>
  <c r="E854" i="5"/>
  <c r="Y853" i="5"/>
  <c r="T853" i="5"/>
  <c r="S853" i="5"/>
  <c r="R853" i="5"/>
  <c r="O853" i="5"/>
  <c r="N853" i="5"/>
  <c r="L853" i="5"/>
  <c r="K853" i="5"/>
  <c r="I853" i="5"/>
  <c r="G853" i="5"/>
  <c r="Y852" i="5"/>
  <c r="T852" i="5"/>
  <c r="S852" i="5"/>
  <c r="R852" i="5"/>
  <c r="O852" i="5"/>
  <c r="N852" i="5"/>
  <c r="L852" i="5"/>
  <c r="K852" i="5"/>
  <c r="I852" i="5"/>
  <c r="G852" i="5"/>
  <c r="F852" i="5"/>
  <c r="E852" i="5"/>
  <c r="Y851" i="5"/>
  <c r="T851" i="5"/>
  <c r="S851" i="5"/>
  <c r="R851" i="5"/>
  <c r="O851" i="5"/>
  <c r="N851" i="5"/>
  <c r="L851" i="5"/>
  <c r="K851" i="5"/>
  <c r="I851" i="5"/>
  <c r="G851" i="5"/>
  <c r="F851" i="5"/>
  <c r="E851" i="5"/>
  <c r="Y850" i="5"/>
  <c r="T850" i="5"/>
  <c r="S850" i="5"/>
  <c r="R850" i="5"/>
  <c r="O850" i="5"/>
  <c r="N850" i="5"/>
  <c r="L850" i="5"/>
  <c r="K850" i="5"/>
  <c r="I850" i="5"/>
  <c r="G850" i="5"/>
  <c r="F850" i="5"/>
  <c r="Y849" i="5"/>
  <c r="T849" i="5"/>
  <c r="S849" i="5"/>
  <c r="R849" i="5"/>
  <c r="O849" i="5"/>
  <c r="N849" i="5"/>
  <c r="L849" i="5"/>
  <c r="K849" i="5"/>
  <c r="I849" i="5"/>
  <c r="G849" i="5"/>
  <c r="F849" i="5"/>
  <c r="Y848" i="5"/>
  <c r="T848" i="5"/>
  <c r="S848" i="5"/>
  <c r="R848" i="5"/>
  <c r="O848" i="5"/>
  <c r="N848" i="5"/>
  <c r="L848" i="5"/>
  <c r="K848" i="5"/>
  <c r="I848" i="5"/>
  <c r="G848" i="5"/>
  <c r="F848" i="5"/>
  <c r="Y847" i="5"/>
  <c r="T847" i="5"/>
  <c r="S847" i="5"/>
  <c r="R847" i="5"/>
  <c r="O847" i="5"/>
  <c r="N847" i="5"/>
  <c r="L847" i="5"/>
  <c r="K847" i="5"/>
  <c r="I847" i="5"/>
  <c r="G847" i="5"/>
  <c r="F847" i="5"/>
  <c r="E847" i="5"/>
  <c r="X846" i="5"/>
  <c r="Z846" i="5" s="1"/>
  <c r="X845" i="5"/>
  <c r="Z845" i="5" s="1"/>
  <c r="P844" i="5"/>
  <c r="H844" i="5"/>
  <c r="E844" i="5"/>
  <c r="X843" i="5"/>
  <c r="Z843" i="5" s="1"/>
  <c r="Y842" i="5"/>
  <c r="T842" i="5"/>
  <c r="S842" i="5"/>
  <c r="R842" i="5"/>
  <c r="O842" i="5"/>
  <c r="N842" i="5"/>
  <c r="L842" i="5"/>
  <c r="K842" i="5"/>
  <c r="I842" i="5"/>
  <c r="G842" i="5"/>
  <c r="F842" i="5"/>
  <c r="E842" i="5"/>
  <c r="Y841" i="5"/>
  <c r="T841" i="5"/>
  <c r="S841" i="5"/>
  <c r="R841" i="5"/>
  <c r="O841" i="5"/>
  <c r="N841" i="5"/>
  <c r="L841" i="5"/>
  <c r="K841" i="5"/>
  <c r="I841" i="5"/>
  <c r="G841" i="5"/>
  <c r="F841" i="5"/>
  <c r="E841" i="5"/>
  <c r="Y840" i="5"/>
  <c r="T840" i="5"/>
  <c r="S840" i="5"/>
  <c r="R840" i="5"/>
  <c r="O840" i="5"/>
  <c r="N840" i="5"/>
  <c r="L840" i="5"/>
  <c r="K840" i="5"/>
  <c r="I840" i="5"/>
  <c r="G840" i="5"/>
  <c r="F840" i="5"/>
  <c r="E840" i="5"/>
  <c r="Y839" i="5"/>
  <c r="W839" i="5"/>
  <c r="V839" i="5"/>
  <c r="T839" i="5"/>
  <c r="S839" i="5"/>
  <c r="R839" i="5"/>
  <c r="Q839" i="5"/>
  <c r="O839" i="5"/>
  <c r="N839" i="5"/>
  <c r="L839" i="5"/>
  <c r="K839" i="5"/>
  <c r="J839" i="5"/>
  <c r="I839" i="5"/>
  <c r="G839" i="5"/>
  <c r="F839" i="5"/>
  <c r="E839" i="5"/>
  <c r="Y838" i="5"/>
  <c r="W838" i="5"/>
  <c r="V838" i="5"/>
  <c r="T838" i="5"/>
  <c r="S838" i="5"/>
  <c r="R838" i="5"/>
  <c r="Q838" i="5"/>
  <c r="O838" i="5"/>
  <c r="N838" i="5"/>
  <c r="L838" i="5"/>
  <c r="K838" i="5"/>
  <c r="J838" i="5"/>
  <c r="I838" i="5"/>
  <c r="G838" i="5"/>
  <c r="Y837" i="5"/>
  <c r="W837" i="5"/>
  <c r="T837" i="5"/>
  <c r="S837" i="5"/>
  <c r="R837" i="5"/>
  <c r="Q837" i="5"/>
  <c r="O837" i="5"/>
  <c r="N837" i="5"/>
  <c r="L837" i="5"/>
  <c r="K837" i="5"/>
  <c r="I837" i="5"/>
  <c r="G837" i="5"/>
  <c r="Y836" i="5"/>
  <c r="T836" i="5"/>
  <c r="S836" i="5"/>
  <c r="R836" i="5"/>
  <c r="O836" i="5"/>
  <c r="N836" i="5"/>
  <c r="L836" i="5"/>
  <c r="K836" i="5"/>
  <c r="I836" i="5"/>
  <c r="G836" i="5"/>
  <c r="F836" i="5"/>
  <c r="Y835" i="5"/>
  <c r="T835" i="5"/>
  <c r="S835" i="5"/>
  <c r="R835" i="5"/>
  <c r="O835" i="5"/>
  <c r="N835" i="5"/>
  <c r="L835" i="5"/>
  <c r="K835" i="5"/>
  <c r="I835" i="5"/>
  <c r="G835" i="5"/>
  <c r="F835" i="5"/>
  <c r="E835" i="5"/>
  <c r="Y834" i="5"/>
  <c r="T834" i="5"/>
  <c r="S834" i="5"/>
  <c r="R834" i="5"/>
  <c r="O834" i="5"/>
  <c r="N834" i="5"/>
  <c r="L834" i="5"/>
  <c r="K834" i="5"/>
  <c r="I834" i="5"/>
  <c r="G834" i="5"/>
  <c r="F834" i="5"/>
  <c r="Y833" i="5"/>
  <c r="T833" i="5"/>
  <c r="S833" i="5"/>
  <c r="R833" i="5"/>
  <c r="O833" i="5"/>
  <c r="N833" i="5"/>
  <c r="L833" i="5"/>
  <c r="K833" i="5"/>
  <c r="I833" i="5"/>
  <c r="G833" i="5"/>
  <c r="Y832" i="5"/>
  <c r="T832" i="5"/>
  <c r="S832" i="5"/>
  <c r="R832" i="5"/>
  <c r="O832" i="5"/>
  <c r="N832" i="5"/>
  <c r="L832" i="5"/>
  <c r="K832" i="5"/>
  <c r="I832" i="5"/>
  <c r="G832" i="5"/>
  <c r="F832" i="5"/>
  <c r="E832" i="5"/>
  <c r="Y831" i="5"/>
  <c r="T831" i="5"/>
  <c r="S831" i="5"/>
  <c r="R831" i="5"/>
  <c r="O831" i="5"/>
  <c r="N831" i="5"/>
  <c r="L831" i="5"/>
  <c r="K831" i="5"/>
  <c r="I831" i="5"/>
  <c r="G831" i="5"/>
  <c r="F831" i="5"/>
  <c r="E831" i="5"/>
  <c r="Y830" i="5"/>
  <c r="T830" i="5"/>
  <c r="S830" i="5"/>
  <c r="R830" i="5"/>
  <c r="O830" i="5"/>
  <c r="N830" i="5"/>
  <c r="L830" i="5"/>
  <c r="K830" i="5"/>
  <c r="I830" i="5"/>
  <c r="G830" i="5"/>
  <c r="F830" i="5"/>
  <c r="Y829" i="5"/>
  <c r="T829" i="5"/>
  <c r="S829" i="5"/>
  <c r="R829" i="5"/>
  <c r="O829" i="5"/>
  <c r="N829" i="5"/>
  <c r="L829" i="5"/>
  <c r="K829" i="5"/>
  <c r="I829" i="5"/>
  <c r="G829" i="5"/>
  <c r="F829" i="5"/>
  <c r="Y828" i="5"/>
  <c r="T828" i="5"/>
  <c r="S828" i="5"/>
  <c r="R828" i="5"/>
  <c r="O828" i="5"/>
  <c r="N828" i="5"/>
  <c r="L828" i="5"/>
  <c r="K828" i="5"/>
  <c r="I828" i="5"/>
  <c r="G828" i="5"/>
  <c r="F828" i="5"/>
  <c r="E828" i="5"/>
  <c r="Y827" i="5"/>
  <c r="T827" i="5"/>
  <c r="S827" i="5"/>
  <c r="R827" i="5"/>
  <c r="O827" i="5"/>
  <c r="N827" i="5"/>
  <c r="L827" i="5"/>
  <c r="I827" i="5"/>
  <c r="G827" i="5"/>
  <c r="F827" i="5"/>
  <c r="Y826" i="5"/>
  <c r="T826" i="5"/>
  <c r="S826" i="5"/>
  <c r="R826" i="5"/>
  <c r="O826" i="5"/>
  <c r="N826" i="5"/>
  <c r="L826" i="5"/>
  <c r="K826" i="5"/>
  <c r="I826" i="5"/>
  <c r="G826" i="5"/>
  <c r="F826" i="5"/>
  <c r="E826" i="5"/>
  <c r="X825" i="5"/>
  <c r="Z825" i="5" s="1"/>
  <c r="X824" i="5"/>
  <c r="Z824" i="5" s="1"/>
  <c r="P823" i="5"/>
  <c r="H823" i="5"/>
  <c r="E823" i="5"/>
  <c r="X822" i="5"/>
  <c r="Z822" i="5" s="1"/>
  <c r="Y821" i="5"/>
  <c r="T821" i="5"/>
  <c r="S821" i="5"/>
  <c r="R821" i="5"/>
  <c r="O821" i="5"/>
  <c r="N821" i="5"/>
  <c r="L821" i="5"/>
  <c r="K821" i="5"/>
  <c r="I821" i="5"/>
  <c r="G821" i="5"/>
  <c r="F821" i="5"/>
  <c r="E821" i="5"/>
  <c r="Y820" i="5"/>
  <c r="T820" i="5"/>
  <c r="S820" i="5"/>
  <c r="R820" i="5"/>
  <c r="Q820" i="5"/>
  <c r="O820" i="5"/>
  <c r="N820" i="5"/>
  <c r="L820" i="5"/>
  <c r="K820" i="5"/>
  <c r="J820" i="5"/>
  <c r="I820" i="5"/>
  <c r="G820" i="5"/>
  <c r="F820" i="5"/>
  <c r="E820" i="5"/>
  <c r="Y819" i="5"/>
  <c r="T819" i="5"/>
  <c r="S819" i="5"/>
  <c r="R819" i="5"/>
  <c r="O819" i="5"/>
  <c r="N819" i="5"/>
  <c r="L819" i="5"/>
  <c r="K819" i="5"/>
  <c r="I819" i="5"/>
  <c r="G819" i="5"/>
  <c r="F819" i="5"/>
  <c r="E819" i="5"/>
  <c r="Y818" i="5"/>
  <c r="T818" i="5"/>
  <c r="S818" i="5"/>
  <c r="R818" i="5"/>
  <c r="O818" i="5"/>
  <c r="N818" i="5"/>
  <c r="L818" i="5"/>
  <c r="K818" i="5"/>
  <c r="I818" i="5"/>
  <c r="G818" i="5"/>
  <c r="F818" i="5"/>
  <c r="Y817" i="5"/>
  <c r="T817" i="5"/>
  <c r="S817" i="5"/>
  <c r="R817" i="5"/>
  <c r="O817" i="5"/>
  <c r="N817" i="5"/>
  <c r="L817" i="5"/>
  <c r="K817" i="5"/>
  <c r="I817" i="5"/>
  <c r="G817" i="5"/>
  <c r="F817" i="5"/>
  <c r="E817" i="5"/>
  <c r="Y816" i="5"/>
  <c r="T816" i="5"/>
  <c r="S816" i="5"/>
  <c r="R816" i="5"/>
  <c r="O816" i="5"/>
  <c r="N816" i="5"/>
  <c r="L816" i="5"/>
  <c r="K816" i="5"/>
  <c r="I816" i="5"/>
  <c r="G816" i="5"/>
  <c r="F816" i="5"/>
  <c r="E816" i="5"/>
  <c r="Y815" i="5"/>
  <c r="T815" i="5"/>
  <c r="S815" i="5"/>
  <c r="R815" i="5"/>
  <c r="O815" i="5"/>
  <c r="N815" i="5"/>
  <c r="L815" i="5"/>
  <c r="K815" i="5"/>
  <c r="I815" i="5"/>
  <c r="G815" i="5"/>
  <c r="Y814" i="5"/>
  <c r="T814" i="5"/>
  <c r="S814" i="5"/>
  <c r="R814" i="5"/>
  <c r="O814" i="5"/>
  <c r="N814" i="5"/>
  <c r="L814" i="5"/>
  <c r="K814" i="5"/>
  <c r="I814" i="5"/>
  <c r="G814" i="5"/>
  <c r="F814" i="5"/>
  <c r="E814" i="5"/>
  <c r="Y813" i="5"/>
  <c r="T813" i="5"/>
  <c r="S813" i="5"/>
  <c r="R813" i="5"/>
  <c r="O813" i="5"/>
  <c r="N813" i="5"/>
  <c r="L813" i="5"/>
  <c r="K813" i="5"/>
  <c r="I813" i="5"/>
  <c r="G813" i="5"/>
  <c r="F813" i="5"/>
  <c r="E813" i="5"/>
  <c r="Y812" i="5"/>
  <c r="T812" i="5"/>
  <c r="S812" i="5"/>
  <c r="R812" i="5"/>
  <c r="O812" i="5"/>
  <c r="N812" i="5"/>
  <c r="L812" i="5"/>
  <c r="K812" i="5"/>
  <c r="I812" i="5"/>
  <c r="G812" i="5"/>
  <c r="E812" i="5"/>
  <c r="Y811" i="5"/>
  <c r="T811" i="5"/>
  <c r="S811" i="5"/>
  <c r="R811" i="5"/>
  <c r="O811" i="5"/>
  <c r="N811" i="5"/>
  <c r="L811" i="5"/>
  <c r="K811" i="5"/>
  <c r="I811" i="5"/>
  <c r="G811" i="5"/>
  <c r="F811" i="5"/>
  <c r="Y810" i="5"/>
  <c r="T810" i="5"/>
  <c r="S810" i="5"/>
  <c r="R810" i="5"/>
  <c r="O810" i="5"/>
  <c r="N810" i="5"/>
  <c r="L810" i="5"/>
  <c r="K810" i="5"/>
  <c r="I810" i="5"/>
  <c r="G810" i="5"/>
  <c r="E810" i="5"/>
  <c r="Y809" i="5"/>
  <c r="T809" i="5"/>
  <c r="S809" i="5"/>
  <c r="R809" i="5"/>
  <c r="O809" i="5"/>
  <c r="N809" i="5"/>
  <c r="L809" i="5"/>
  <c r="K809" i="5"/>
  <c r="I809" i="5"/>
  <c r="G809" i="5"/>
  <c r="F809" i="5"/>
  <c r="E809" i="5"/>
  <c r="Y808" i="5"/>
  <c r="T808" i="5"/>
  <c r="S808" i="5"/>
  <c r="R808" i="5"/>
  <c r="O808" i="5"/>
  <c r="N808" i="5"/>
  <c r="L808" i="5"/>
  <c r="K808" i="5"/>
  <c r="I808" i="5"/>
  <c r="G808" i="5"/>
  <c r="F808" i="5"/>
  <c r="E808" i="5"/>
  <c r="Y807" i="5"/>
  <c r="T807" i="5"/>
  <c r="S807" i="5"/>
  <c r="R807" i="5"/>
  <c r="O807" i="5"/>
  <c r="N807" i="5"/>
  <c r="L807" i="5"/>
  <c r="I807" i="5"/>
  <c r="G807" i="5"/>
  <c r="F807" i="5"/>
  <c r="Y806" i="5"/>
  <c r="T806" i="5"/>
  <c r="S806" i="5"/>
  <c r="R806" i="5"/>
  <c r="O806" i="5"/>
  <c r="N806" i="5"/>
  <c r="L806" i="5"/>
  <c r="K806" i="5"/>
  <c r="I806" i="5"/>
  <c r="G806" i="5"/>
  <c r="F806" i="5"/>
  <c r="E806" i="5"/>
  <c r="Y805" i="5"/>
  <c r="T805" i="5"/>
  <c r="S805" i="5"/>
  <c r="R805" i="5"/>
  <c r="O805" i="5"/>
  <c r="O823" i="5" s="1"/>
  <c r="N805" i="5"/>
  <c r="L805" i="5"/>
  <c r="K805" i="5"/>
  <c r="I805" i="5"/>
  <c r="G805" i="5"/>
  <c r="G823" i="5" s="1"/>
  <c r="F805" i="5"/>
  <c r="E805" i="5"/>
  <c r="X804" i="5"/>
  <c r="Z804" i="5" s="1"/>
  <c r="X803" i="5"/>
  <c r="Z803" i="5" s="1"/>
  <c r="P802" i="5"/>
  <c r="H802" i="5"/>
  <c r="E802" i="5"/>
  <c r="X801" i="5"/>
  <c r="Z801" i="5" s="1"/>
  <c r="Y800" i="5"/>
  <c r="T800" i="5"/>
  <c r="S800" i="5"/>
  <c r="R800" i="5"/>
  <c r="O800" i="5"/>
  <c r="N800" i="5"/>
  <c r="L800" i="5"/>
  <c r="K800" i="5"/>
  <c r="I800" i="5"/>
  <c r="G800" i="5"/>
  <c r="F800" i="5"/>
  <c r="E800" i="5"/>
  <c r="Y799" i="5"/>
  <c r="T799" i="5"/>
  <c r="S799" i="5"/>
  <c r="R799" i="5"/>
  <c r="O799" i="5"/>
  <c r="N799" i="5"/>
  <c r="L799" i="5"/>
  <c r="K799" i="5"/>
  <c r="I799" i="5"/>
  <c r="G799" i="5"/>
  <c r="F799" i="5"/>
  <c r="Y798" i="5"/>
  <c r="W798" i="5"/>
  <c r="V798" i="5"/>
  <c r="T798" i="5"/>
  <c r="S798" i="5"/>
  <c r="R798" i="5"/>
  <c r="Q798" i="5"/>
  <c r="O798" i="5"/>
  <c r="N798" i="5"/>
  <c r="L798" i="5"/>
  <c r="K798" i="5"/>
  <c r="J798" i="5"/>
  <c r="I798" i="5"/>
  <c r="G798" i="5"/>
  <c r="F798" i="5"/>
  <c r="E798" i="5"/>
  <c r="Y797" i="5"/>
  <c r="W797" i="5"/>
  <c r="V797" i="5"/>
  <c r="T797" i="5"/>
  <c r="S797" i="5"/>
  <c r="R797" i="5"/>
  <c r="Q797" i="5"/>
  <c r="O797" i="5"/>
  <c r="N797" i="5"/>
  <c r="L797" i="5"/>
  <c r="K797" i="5"/>
  <c r="J797" i="5"/>
  <c r="I797" i="5"/>
  <c r="G797" i="5"/>
  <c r="F797" i="5"/>
  <c r="E797" i="5"/>
  <c r="Y796" i="5"/>
  <c r="T796" i="5"/>
  <c r="S796" i="5"/>
  <c r="R796" i="5"/>
  <c r="Q796" i="5"/>
  <c r="O796" i="5"/>
  <c r="N796" i="5"/>
  <c r="L796" i="5"/>
  <c r="K796" i="5"/>
  <c r="J796" i="5"/>
  <c r="I796" i="5"/>
  <c r="G796" i="5"/>
  <c r="F796" i="5"/>
  <c r="Y795" i="5"/>
  <c r="T795" i="5"/>
  <c r="S795" i="5"/>
  <c r="R795" i="5"/>
  <c r="O795" i="5"/>
  <c r="N795" i="5"/>
  <c r="L795" i="5"/>
  <c r="K795" i="5"/>
  <c r="I795" i="5"/>
  <c r="G795" i="5"/>
  <c r="Y794" i="5"/>
  <c r="T794" i="5"/>
  <c r="S794" i="5"/>
  <c r="R794" i="5"/>
  <c r="O794" i="5"/>
  <c r="N794" i="5"/>
  <c r="L794" i="5"/>
  <c r="K794" i="5"/>
  <c r="I794" i="5"/>
  <c r="G794" i="5"/>
  <c r="F794" i="5"/>
  <c r="Y793" i="5"/>
  <c r="T793" i="5"/>
  <c r="S793" i="5"/>
  <c r="R793" i="5"/>
  <c r="O793" i="5"/>
  <c r="N793" i="5"/>
  <c r="L793" i="5"/>
  <c r="K793" i="5"/>
  <c r="I793" i="5"/>
  <c r="G793" i="5"/>
  <c r="F793" i="5"/>
  <c r="E793" i="5"/>
  <c r="Y792" i="5"/>
  <c r="T792" i="5"/>
  <c r="S792" i="5"/>
  <c r="R792" i="5"/>
  <c r="O792" i="5"/>
  <c r="N792" i="5"/>
  <c r="L792" i="5"/>
  <c r="K792" i="5"/>
  <c r="I792" i="5"/>
  <c r="G792" i="5"/>
  <c r="F792" i="5"/>
  <c r="E792" i="5"/>
  <c r="Y791" i="5"/>
  <c r="T791" i="5"/>
  <c r="S791" i="5"/>
  <c r="R791" i="5"/>
  <c r="O791" i="5"/>
  <c r="N791" i="5"/>
  <c r="L791" i="5"/>
  <c r="K791" i="5"/>
  <c r="I791" i="5"/>
  <c r="G791" i="5"/>
  <c r="F791" i="5"/>
  <c r="Y790" i="5"/>
  <c r="T790" i="5"/>
  <c r="S790" i="5"/>
  <c r="R790" i="5"/>
  <c r="O790" i="5"/>
  <c r="N790" i="5"/>
  <c r="L790" i="5"/>
  <c r="K790" i="5"/>
  <c r="I790" i="5"/>
  <c r="G790" i="5"/>
  <c r="F790" i="5"/>
  <c r="E790" i="5"/>
  <c r="Y789" i="5"/>
  <c r="T789" i="5"/>
  <c r="S789" i="5"/>
  <c r="R789" i="5"/>
  <c r="O789" i="5"/>
  <c r="N789" i="5"/>
  <c r="L789" i="5"/>
  <c r="K789" i="5"/>
  <c r="I789" i="5"/>
  <c r="G789" i="5"/>
  <c r="F789" i="5"/>
  <c r="E789" i="5"/>
  <c r="Y788" i="5"/>
  <c r="T788" i="5"/>
  <c r="S788" i="5"/>
  <c r="R788" i="5"/>
  <c r="O788" i="5"/>
  <c r="N788" i="5"/>
  <c r="L788" i="5"/>
  <c r="I788" i="5"/>
  <c r="G788" i="5"/>
  <c r="Y787" i="5"/>
  <c r="T787" i="5"/>
  <c r="S787" i="5"/>
  <c r="R787" i="5"/>
  <c r="O787" i="5"/>
  <c r="N787" i="5"/>
  <c r="L787" i="5"/>
  <c r="K787" i="5"/>
  <c r="I787" i="5"/>
  <c r="G787" i="5"/>
  <c r="F787" i="5"/>
  <c r="Y786" i="5"/>
  <c r="T786" i="5"/>
  <c r="S786" i="5"/>
  <c r="R786" i="5"/>
  <c r="O786" i="5"/>
  <c r="N786" i="5"/>
  <c r="L786" i="5"/>
  <c r="K786" i="5"/>
  <c r="I786" i="5"/>
  <c r="G786" i="5"/>
  <c r="F786" i="5"/>
  <c r="E786" i="5"/>
  <c r="Y785" i="5"/>
  <c r="T785" i="5"/>
  <c r="S785" i="5"/>
  <c r="R785" i="5"/>
  <c r="O785" i="5"/>
  <c r="N785" i="5"/>
  <c r="L785" i="5"/>
  <c r="K785" i="5"/>
  <c r="I785" i="5"/>
  <c r="G785" i="5"/>
  <c r="E785" i="5"/>
  <c r="Y784" i="5"/>
  <c r="T784" i="5"/>
  <c r="S784" i="5"/>
  <c r="R784" i="5"/>
  <c r="O784" i="5"/>
  <c r="O802" i="5" s="1"/>
  <c r="N784" i="5"/>
  <c r="L784" i="5"/>
  <c r="K784" i="5"/>
  <c r="I784" i="5"/>
  <c r="G784" i="5"/>
  <c r="E784" i="5"/>
  <c r="X783" i="5"/>
  <c r="Z783" i="5" s="1"/>
  <c r="X782" i="5"/>
  <c r="Z782" i="5" s="1"/>
  <c r="P781" i="5"/>
  <c r="H781" i="5"/>
  <c r="E781" i="5"/>
  <c r="Z780" i="5"/>
  <c r="X780" i="5"/>
  <c r="Y779" i="5"/>
  <c r="T779" i="5"/>
  <c r="S779" i="5"/>
  <c r="R779" i="5"/>
  <c r="O779" i="5"/>
  <c r="N779" i="5"/>
  <c r="L779" i="5"/>
  <c r="K779" i="5"/>
  <c r="G779" i="5"/>
  <c r="F779" i="5"/>
  <c r="E779" i="5"/>
  <c r="Y778" i="5"/>
  <c r="T778" i="5"/>
  <c r="S778" i="5"/>
  <c r="R778" i="5"/>
  <c r="O778" i="5"/>
  <c r="N778" i="5"/>
  <c r="L778" i="5"/>
  <c r="K778" i="5"/>
  <c r="I778" i="5"/>
  <c r="G778" i="5"/>
  <c r="F778" i="5"/>
  <c r="Y777" i="5"/>
  <c r="T777" i="5"/>
  <c r="S777" i="5"/>
  <c r="R777" i="5"/>
  <c r="O777" i="5"/>
  <c r="N777" i="5"/>
  <c r="L777" i="5"/>
  <c r="K777" i="5"/>
  <c r="I777" i="5"/>
  <c r="G777" i="5"/>
  <c r="F777" i="5"/>
  <c r="E777" i="5"/>
  <c r="Y776" i="5"/>
  <c r="T776" i="5"/>
  <c r="S776" i="5"/>
  <c r="R776" i="5"/>
  <c r="O776" i="5"/>
  <c r="N776" i="5"/>
  <c r="L776" i="5"/>
  <c r="K776" i="5"/>
  <c r="I776" i="5"/>
  <c r="G776" i="5"/>
  <c r="F776" i="5"/>
  <c r="E776" i="5"/>
  <c r="Y775" i="5"/>
  <c r="T775" i="5"/>
  <c r="S775" i="5"/>
  <c r="R775" i="5"/>
  <c r="Q775" i="5"/>
  <c r="O775" i="5"/>
  <c r="N775" i="5"/>
  <c r="L775" i="5"/>
  <c r="K775" i="5"/>
  <c r="I775" i="5"/>
  <c r="G775" i="5"/>
  <c r="F775" i="5"/>
  <c r="E775" i="5"/>
  <c r="Y774" i="5"/>
  <c r="T774" i="5"/>
  <c r="S774" i="5"/>
  <c r="R774" i="5"/>
  <c r="O774" i="5"/>
  <c r="N774" i="5"/>
  <c r="L774" i="5"/>
  <c r="K774" i="5"/>
  <c r="I774" i="5"/>
  <c r="G774" i="5"/>
  <c r="F774" i="5"/>
  <c r="E774" i="5"/>
  <c r="Y773" i="5"/>
  <c r="T773" i="5"/>
  <c r="S773" i="5"/>
  <c r="R773" i="5"/>
  <c r="O773" i="5"/>
  <c r="N773" i="5"/>
  <c r="L773" i="5"/>
  <c r="K773" i="5"/>
  <c r="I773" i="5"/>
  <c r="G773" i="5"/>
  <c r="F773" i="5"/>
  <c r="E773" i="5"/>
  <c r="Y772" i="5"/>
  <c r="T772" i="5"/>
  <c r="S772" i="5"/>
  <c r="R772" i="5"/>
  <c r="O772" i="5"/>
  <c r="N772" i="5"/>
  <c r="L772" i="5"/>
  <c r="K772" i="5"/>
  <c r="I772" i="5"/>
  <c r="G772" i="5"/>
  <c r="F772" i="5"/>
  <c r="E772" i="5"/>
  <c r="Y771" i="5"/>
  <c r="T771" i="5"/>
  <c r="S771" i="5"/>
  <c r="R771" i="5"/>
  <c r="O771" i="5"/>
  <c r="N771" i="5"/>
  <c r="L771" i="5"/>
  <c r="K771" i="5"/>
  <c r="I771" i="5"/>
  <c r="G771" i="5"/>
  <c r="F771" i="5"/>
  <c r="E771" i="5"/>
  <c r="Y770" i="5"/>
  <c r="T770" i="5"/>
  <c r="S770" i="5"/>
  <c r="R770" i="5"/>
  <c r="O770" i="5"/>
  <c r="N770" i="5"/>
  <c r="L770" i="5"/>
  <c r="K770" i="5"/>
  <c r="I770" i="5"/>
  <c r="G770" i="5"/>
  <c r="F770" i="5"/>
  <c r="E770" i="5"/>
  <c r="Y769" i="5"/>
  <c r="T769" i="5"/>
  <c r="S769" i="5"/>
  <c r="R769" i="5"/>
  <c r="O769" i="5"/>
  <c r="N769" i="5"/>
  <c r="L769" i="5"/>
  <c r="K769" i="5"/>
  <c r="I769" i="5"/>
  <c r="G769" i="5"/>
  <c r="F769" i="5"/>
  <c r="E769" i="5"/>
  <c r="Y768" i="5"/>
  <c r="T768" i="5"/>
  <c r="S768" i="5"/>
  <c r="R768" i="5"/>
  <c r="O768" i="5"/>
  <c r="N768" i="5"/>
  <c r="L768" i="5"/>
  <c r="K768" i="5"/>
  <c r="I768" i="5"/>
  <c r="G768" i="5"/>
  <c r="Y767" i="5"/>
  <c r="T767" i="5"/>
  <c r="S767" i="5"/>
  <c r="R767" i="5"/>
  <c r="O767" i="5"/>
  <c r="N767" i="5"/>
  <c r="L767" i="5"/>
  <c r="K767" i="5"/>
  <c r="I767" i="5"/>
  <c r="G767" i="5"/>
  <c r="F767" i="5"/>
  <c r="Y766" i="5"/>
  <c r="T766" i="5"/>
  <c r="S766" i="5"/>
  <c r="R766" i="5"/>
  <c r="O766" i="5"/>
  <c r="N766" i="5"/>
  <c r="L766" i="5"/>
  <c r="K766" i="5"/>
  <c r="I766" i="5"/>
  <c r="G766" i="5"/>
  <c r="F766" i="5"/>
  <c r="E766" i="5"/>
  <c r="Y765" i="5"/>
  <c r="T765" i="5"/>
  <c r="S765" i="5"/>
  <c r="R765" i="5"/>
  <c r="O765" i="5"/>
  <c r="N765" i="5"/>
  <c r="L765" i="5"/>
  <c r="K765" i="5"/>
  <c r="I765" i="5"/>
  <c r="G765" i="5"/>
  <c r="F765" i="5"/>
  <c r="E765" i="5"/>
  <c r="Y764" i="5"/>
  <c r="T764" i="5"/>
  <c r="S764" i="5"/>
  <c r="R764" i="5"/>
  <c r="O764" i="5"/>
  <c r="N764" i="5"/>
  <c r="L764" i="5"/>
  <c r="K764" i="5"/>
  <c r="I764" i="5"/>
  <c r="G764" i="5"/>
  <c r="Y763" i="5"/>
  <c r="T763" i="5"/>
  <c r="S763" i="5"/>
  <c r="R763" i="5"/>
  <c r="O763" i="5"/>
  <c r="N763" i="5"/>
  <c r="L763" i="5"/>
  <c r="I763" i="5"/>
  <c r="G763" i="5"/>
  <c r="F763" i="5"/>
  <c r="Y762" i="5"/>
  <c r="T762" i="5"/>
  <c r="S762" i="5"/>
  <c r="R762" i="5"/>
  <c r="O762" i="5"/>
  <c r="N762" i="5"/>
  <c r="L762" i="5"/>
  <c r="I762" i="5"/>
  <c r="G762" i="5"/>
  <c r="F762" i="5"/>
  <c r="Y761" i="5"/>
  <c r="T761" i="5"/>
  <c r="S761" i="5"/>
  <c r="R761" i="5"/>
  <c r="O761" i="5"/>
  <c r="N761" i="5"/>
  <c r="L761" i="5"/>
  <c r="L781" i="5" s="1"/>
  <c r="K761" i="5"/>
  <c r="I761" i="5"/>
  <c r="G761" i="5"/>
  <c r="F761" i="5"/>
  <c r="E761" i="5"/>
  <c r="Y760" i="5"/>
  <c r="T760" i="5"/>
  <c r="S760" i="5"/>
  <c r="R760" i="5"/>
  <c r="O760" i="5"/>
  <c r="N760" i="5"/>
  <c r="L760" i="5"/>
  <c r="K760" i="5"/>
  <c r="I760" i="5"/>
  <c r="G760" i="5"/>
  <c r="F760" i="5"/>
  <c r="E760" i="5"/>
  <c r="X759" i="5"/>
  <c r="Z759" i="5" s="1"/>
  <c r="X758" i="5"/>
  <c r="Z758" i="5" s="1"/>
  <c r="X757" i="5"/>
  <c r="Z757" i="5" s="1"/>
  <c r="P756" i="5"/>
  <c r="H756" i="5"/>
  <c r="E756" i="5"/>
  <c r="X755" i="5"/>
  <c r="Z755" i="5" s="1"/>
  <c r="Y754" i="5"/>
  <c r="T754" i="5"/>
  <c r="S754" i="5"/>
  <c r="R754" i="5"/>
  <c r="O754" i="5"/>
  <c r="N754" i="5"/>
  <c r="L754" i="5"/>
  <c r="K754" i="5"/>
  <c r="I754" i="5"/>
  <c r="G754" i="5"/>
  <c r="F754" i="5"/>
  <c r="Y753" i="5"/>
  <c r="W753" i="5"/>
  <c r="V753" i="5"/>
  <c r="T753" i="5"/>
  <c r="S753" i="5"/>
  <c r="R753" i="5"/>
  <c r="Q753" i="5"/>
  <c r="O753" i="5"/>
  <c r="N753" i="5"/>
  <c r="L753" i="5"/>
  <c r="K753" i="5"/>
  <c r="J753" i="5"/>
  <c r="I753" i="5"/>
  <c r="G753" i="5"/>
  <c r="F753" i="5"/>
  <c r="E753" i="5"/>
  <c r="Y752" i="5"/>
  <c r="T752" i="5"/>
  <c r="S752" i="5"/>
  <c r="R752" i="5"/>
  <c r="O752" i="5"/>
  <c r="N752" i="5"/>
  <c r="L752" i="5"/>
  <c r="K752" i="5"/>
  <c r="I752" i="5"/>
  <c r="G752" i="5"/>
  <c r="F752" i="5"/>
  <c r="E752" i="5"/>
  <c r="Y751" i="5"/>
  <c r="T751" i="5"/>
  <c r="S751" i="5"/>
  <c r="R751" i="5"/>
  <c r="O751" i="5"/>
  <c r="N751" i="5"/>
  <c r="L751" i="5"/>
  <c r="K751" i="5"/>
  <c r="I751" i="5"/>
  <c r="G751" i="5"/>
  <c r="F751" i="5"/>
  <c r="E751" i="5"/>
  <c r="Y750" i="5"/>
  <c r="T750" i="5"/>
  <c r="S750" i="5"/>
  <c r="R750" i="5"/>
  <c r="O750" i="5"/>
  <c r="N750" i="5"/>
  <c r="L750" i="5"/>
  <c r="K750" i="5"/>
  <c r="I750" i="5"/>
  <c r="G750" i="5"/>
  <c r="F750" i="5"/>
  <c r="E750" i="5"/>
  <c r="Y749" i="5"/>
  <c r="T749" i="5"/>
  <c r="S749" i="5"/>
  <c r="R749" i="5"/>
  <c r="O749" i="5"/>
  <c r="N749" i="5"/>
  <c r="L749" i="5"/>
  <c r="I749" i="5"/>
  <c r="G749" i="5"/>
  <c r="F749" i="5"/>
  <c r="Y748" i="5"/>
  <c r="T748" i="5"/>
  <c r="S748" i="5"/>
  <c r="R748" i="5"/>
  <c r="O748" i="5"/>
  <c r="N748" i="5"/>
  <c r="L748" i="5"/>
  <c r="I748" i="5"/>
  <c r="G748" i="5"/>
  <c r="F748" i="5"/>
  <c r="E748" i="5"/>
  <c r="Y747" i="5"/>
  <c r="T747" i="5"/>
  <c r="S747" i="5"/>
  <c r="R747" i="5"/>
  <c r="O747" i="5"/>
  <c r="N747" i="5"/>
  <c r="L747" i="5"/>
  <c r="K747" i="5"/>
  <c r="I747" i="5"/>
  <c r="G747" i="5"/>
  <c r="E747" i="5"/>
  <c r="Y746" i="5"/>
  <c r="T746" i="5"/>
  <c r="S746" i="5"/>
  <c r="R746" i="5"/>
  <c r="O746" i="5"/>
  <c r="N746" i="5"/>
  <c r="L746" i="5"/>
  <c r="K746" i="5"/>
  <c r="I746" i="5"/>
  <c r="G746" i="5"/>
  <c r="E746" i="5"/>
  <c r="X745" i="5"/>
  <c r="Z745" i="5" s="1"/>
  <c r="X744" i="5"/>
  <c r="Z744" i="5" s="1"/>
  <c r="P743" i="5"/>
  <c r="H743" i="5"/>
  <c r="E743" i="5"/>
  <c r="X742" i="5"/>
  <c r="Z742" i="5" s="1"/>
  <c r="Y741" i="5"/>
  <c r="T741" i="5"/>
  <c r="S741" i="5"/>
  <c r="R741" i="5"/>
  <c r="O741" i="5"/>
  <c r="N741" i="5"/>
  <c r="L741" i="5"/>
  <c r="K741" i="5"/>
  <c r="I741" i="5"/>
  <c r="G741" i="5"/>
  <c r="F741" i="5"/>
  <c r="E741" i="5"/>
  <c r="Y740" i="5"/>
  <c r="T740" i="5"/>
  <c r="S740" i="5"/>
  <c r="R740" i="5"/>
  <c r="O740" i="5"/>
  <c r="N740" i="5"/>
  <c r="L740" i="5"/>
  <c r="K740" i="5"/>
  <c r="I740" i="5"/>
  <c r="G740" i="5"/>
  <c r="F740" i="5"/>
  <c r="E740" i="5"/>
  <c r="Y739" i="5"/>
  <c r="T739" i="5"/>
  <c r="S739" i="5"/>
  <c r="R739" i="5"/>
  <c r="O739" i="5"/>
  <c r="N739" i="5"/>
  <c r="L739" i="5"/>
  <c r="K739" i="5"/>
  <c r="I739" i="5"/>
  <c r="G739" i="5"/>
  <c r="E739" i="5"/>
  <c r="Y738" i="5"/>
  <c r="T738" i="5"/>
  <c r="S738" i="5"/>
  <c r="R738" i="5"/>
  <c r="Q738" i="5"/>
  <c r="O738" i="5"/>
  <c r="N738" i="5"/>
  <c r="L738" i="5"/>
  <c r="K738" i="5"/>
  <c r="J738" i="5"/>
  <c r="I738" i="5"/>
  <c r="G738" i="5"/>
  <c r="F738" i="5"/>
  <c r="E738" i="5"/>
  <c r="Y737" i="5"/>
  <c r="T737" i="5"/>
  <c r="S737" i="5"/>
  <c r="R737" i="5"/>
  <c r="Q737" i="5"/>
  <c r="O737" i="5"/>
  <c r="N737" i="5"/>
  <c r="L737" i="5"/>
  <c r="K737" i="5"/>
  <c r="I737" i="5"/>
  <c r="G737" i="5"/>
  <c r="F737" i="5"/>
  <c r="E737" i="5"/>
  <c r="Y736" i="5"/>
  <c r="T736" i="5"/>
  <c r="S736" i="5"/>
  <c r="R736" i="5"/>
  <c r="Q736" i="5"/>
  <c r="O736" i="5"/>
  <c r="N736" i="5"/>
  <c r="L736" i="5"/>
  <c r="K736" i="5"/>
  <c r="I736" i="5"/>
  <c r="G736" i="5"/>
  <c r="F736" i="5"/>
  <c r="E736" i="5"/>
  <c r="Y735" i="5"/>
  <c r="T735" i="5"/>
  <c r="S735" i="5"/>
  <c r="R735" i="5"/>
  <c r="O735" i="5"/>
  <c r="N735" i="5"/>
  <c r="L735" i="5"/>
  <c r="K735" i="5"/>
  <c r="I735" i="5"/>
  <c r="G735" i="5"/>
  <c r="F735" i="5"/>
  <c r="Y734" i="5"/>
  <c r="T734" i="5"/>
  <c r="S734" i="5"/>
  <c r="R734" i="5"/>
  <c r="O734" i="5"/>
  <c r="N734" i="5"/>
  <c r="L734" i="5"/>
  <c r="K734" i="5"/>
  <c r="I734" i="5"/>
  <c r="G734" i="5"/>
  <c r="F734" i="5"/>
  <c r="E734" i="5"/>
  <c r="Y733" i="5"/>
  <c r="T733" i="5"/>
  <c r="S733" i="5"/>
  <c r="R733" i="5"/>
  <c r="O733" i="5"/>
  <c r="N733" i="5"/>
  <c r="L733" i="5"/>
  <c r="K733" i="5"/>
  <c r="I733" i="5"/>
  <c r="G733" i="5"/>
  <c r="F733" i="5"/>
  <c r="E733" i="5"/>
  <c r="Y732" i="5"/>
  <c r="T732" i="5"/>
  <c r="S732" i="5"/>
  <c r="R732" i="5"/>
  <c r="O732" i="5"/>
  <c r="N732" i="5"/>
  <c r="L732" i="5"/>
  <c r="K732" i="5"/>
  <c r="I732" i="5"/>
  <c r="G732" i="5"/>
  <c r="Y731" i="5"/>
  <c r="T731" i="5"/>
  <c r="S731" i="5"/>
  <c r="R731" i="5"/>
  <c r="O731" i="5"/>
  <c r="N731" i="5"/>
  <c r="L731" i="5"/>
  <c r="K731" i="5"/>
  <c r="G731" i="5"/>
  <c r="Y730" i="5"/>
  <c r="T730" i="5"/>
  <c r="S730" i="5"/>
  <c r="R730" i="5"/>
  <c r="O730" i="5"/>
  <c r="N730" i="5"/>
  <c r="L730" i="5"/>
  <c r="K730" i="5"/>
  <c r="I730" i="5"/>
  <c r="G730" i="5"/>
  <c r="F730" i="5"/>
  <c r="E730" i="5"/>
  <c r="Y729" i="5"/>
  <c r="T729" i="5"/>
  <c r="S729" i="5"/>
  <c r="R729" i="5"/>
  <c r="O729" i="5"/>
  <c r="N729" i="5"/>
  <c r="L729" i="5"/>
  <c r="K729" i="5"/>
  <c r="I729" i="5"/>
  <c r="G729" i="5"/>
  <c r="F729" i="5"/>
  <c r="E729" i="5"/>
  <c r="Y728" i="5"/>
  <c r="T728" i="5"/>
  <c r="S728" i="5"/>
  <c r="R728" i="5"/>
  <c r="O728" i="5"/>
  <c r="N728" i="5"/>
  <c r="L728" i="5"/>
  <c r="K728" i="5"/>
  <c r="I728" i="5"/>
  <c r="G728" i="5"/>
  <c r="F728" i="5"/>
  <c r="E728" i="5"/>
  <c r="Y727" i="5"/>
  <c r="T727" i="5"/>
  <c r="S727" i="5"/>
  <c r="R727" i="5"/>
  <c r="O727" i="5"/>
  <c r="N727" i="5"/>
  <c r="L727" i="5"/>
  <c r="K727" i="5"/>
  <c r="I727" i="5"/>
  <c r="G727" i="5"/>
  <c r="F727" i="5"/>
  <c r="Y726" i="5"/>
  <c r="T726" i="5"/>
  <c r="S726" i="5"/>
  <c r="R726" i="5"/>
  <c r="O726" i="5"/>
  <c r="N726" i="5"/>
  <c r="L726" i="5"/>
  <c r="K726" i="5"/>
  <c r="I726" i="5"/>
  <c r="G726" i="5"/>
  <c r="F726" i="5"/>
  <c r="E726" i="5"/>
  <c r="Y725" i="5"/>
  <c r="T725" i="5"/>
  <c r="S725" i="5"/>
  <c r="R725" i="5"/>
  <c r="O725" i="5"/>
  <c r="N725" i="5"/>
  <c r="L725" i="5"/>
  <c r="K725" i="5"/>
  <c r="I725" i="5"/>
  <c r="G725" i="5"/>
  <c r="Y724" i="5"/>
  <c r="T724" i="5"/>
  <c r="S724" i="5"/>
  <c r="R724" i="5"/>
  <c r="O724" i="5"/>
  <c r="N724" i="5"/>
  <c r="L724" i="5"/>
  <c r="K724" i="5"/>
  <c r="I724" i="5"/>
  <c r="G724" i="5"/>
  <c r="Y723" i="5"/>
  <c r="T723" i="5"/>
  <c r="S723" i="5"/>
  <c r="R723" i="5"/>
  <c r="O723" i="5"/>
  <c r="N723" i="5"/>
  <c r="L723" i="5"/>
  <c r="K723" i="5"/>
  <c r="I723" i="5"/>
  <c r="G723" i="5"/>
  <c r="F723" i="5"/>
  <c r="E723" i="5"/>
  <c r="Y722" i="5"/>
  <c r="T722" i="5"/>
  <c r="S722" i="5"/>
  <c r="R722" i="5"/>
  <c r="O722" i="5"/>
  <c r="N722" i="5"/>
  <c r="L722" i="5"/>
  <c r="I722" i="5"/>
  <c r="G722" i="5"/>
  <c r="F722" i="5"/>
  <c r="Y721" i="5"/>
  <c r="T721" i="5"/>
  <c r="S721" i="5"/>
  <c r="R721" i="5"/>
  <c r="O721" i="5"/>
  <c r="N721" i="5"/>
  <c r="L721" i="5"/>
  <c r="K721" i="5"/>
  <c r="I721" i="5"/>
  <c r="G721" i="5"/>
  <c r="F721" i="5"/>
  <c r="Y720" i="5"/>
  <c r="T720" i="5"/>
  <c r="S720" i="5"/>
  <c r="R720" i="5"/>
  <c r="O720" i="5"/>
  <c r="N720" i="5"/>
  <c r="L720" i="5"/>
  <c r="K720" i="5"/>
  <c r="I720" i="5"/>
  <c r="G720" i="5"/>
  <c r="F720" i="5"/>
  <c r="E720" i="5"/>
  <c r="Y719" i="5"/>
  <c r="T719" i="5"/>
  <c r="S719" i="5"/>
  <c r="R719" i="5"/>
  <c r="O719" i="5"/>
  <c r="N719" i="5"/>
  <c r="L719" i="5"/>
  <c r="K719" i="5"/>
  <c r="I719" i="5"/>
  <c r="G719" i="5"/>
  <c r="Y718" i="5"/>
  <c r="T718" i="5"/>
  <c r="S718" i="5"/>
  <c r="R718" i="5"/>
  <c r="O718" i="5"/>
  <c r="N718" i="5"/>
  <c r="L718" i="5"/>
  <c r="K718" i="5"/>
  <c r="I718" i="5"/>
  <c r="G718" i="5"/>
  <c r="E718" i="5"/>
  <c r="Y717" i="5"/>
  <c r="T717" i="5"/>
  <c r="S717" i="5"/>
  <c r="R717" i="5"/>
  <c r="O717" i="5"/>
  <c r="N717" i="5"/>
  <c r="L717" i="5"/>
  <c r="K717" i="5"/>
  <c r="I717" i="5"/>
  <c r="G717" i="5"/>
  <c r="E717" i="5"/>
  <c r="X716" i="5"/>
  <c r="Z716" i="5" s="1"/>
  <c r="X715" i="5"/>
  <c r="Z715" i="5" s="1"/>
  <c r="P714" i="5"/>
  <c r="H714" i="5"/>
  <c r="E714" i="5"/>
  <c r="X713" i="5"/>
  <c r="Z713" i="5" s="1"/>
  <c r="Y712" i="5"/>
  <c r="T712" i="5"/>
  <c r="S712" i="5"/>
  <c r="R712" i="5"/>
  <c r="O712" i="5"/>
  <c r="N712" i="5"/>
  <c r="L712" i="5"/>
  <c r="K712" i="5"/>
  <c r="I712" i="5"/>
  <c r="G712" i="5"/>
  <c r="F712" i="5"/>
  <c r="E712" i="5"/>
  <c r="Y711" i="5"/>
  <c r="T711" i="5"/>
  <c r="S711" i="5"/>
  <c r="R711" i="5"/>
  <c r="O711" i="5"/>
  <c r="N711" i="5"/>
  <c r="L711" i="5"/>
  <c r="K711" i="5"/>
  <c r="I711" i="5"/>
  <c r="G711" i="5"/>
  <c r="F711" i="5"/>
  <c r="E711" i="5"/>
  <c r="Y710" i="5"/>
  <c r="T710" i="5"/>
  <c r="S710" i="5"/>
  <c r="R710" i="5"/>
  <c r="O710" i="5"/>
  <c r="N710" i="5"/>
  <c r="L710" i="5"/>
  <c r="K710" i="5"/>
  <c r="I710" i="5"/>
  <c r="G710" i="5"/>
  <c r="F710" i="5"/>
  <c r="E710" i="5"/>
  <c r="Y709" i="5"/>
  <c r="T709" i="5"/>
  <c r="S709" i="5"/>
  <c r="R709" i="5"/>
  <c r="O709" i="5"/>
  <c r="N709" i="5"/>
  <c r="L709" i="5"/>
  <c r="K709" i="5"/>
  <c r="I709" i="5"/>
  <c r="G709" i="5"/>
  <c r="F709" i="5"/>
  <c r="Y708" i="5"/>
  <c r="T708" i="5"/>
  <c r="S708" i="5"/>
  <c r="R708" i="5"/>
  <c r="O708" i="5"/>
  <c r="N708" i="5"/>
  <c r="L708" i="5"/>
  <c r="K708" i="5"/>
  <c r="I708" i="5"/>
  <c r="G708" i="5"/>
  <c r="F708" i="5"/>
  <c r="Y707" i="5"/>
  <c r="T707" i="5"/>
  <c r="S707" i="5"/>
  <c r="R707" i="5"/>
  <c r="O707" i="5"/>
  <c r="N707" i="5"/>
  <c r="L707" i="5"/>
  <c r="K707" i="5"/>
  <c r="I707" i="5"/>
  <c r="G707" i="5"/>
  <c r="F707" i="5"/>
  <c r="E707" i="5"/>
  <c r="Y706" i="5"/>
  <c r="T706" i="5"/>
  <c r="S706" i="5"/>
  <c r="R706" i="5"/>
  <c r="O706" i="5"/>
  <c r="N706" i="5"/>
  <c r="L706" i="5"/>
  <c r="K706" i="5"/>
  <c r="I706" i="5"/>
  <c r="G706" i="5"/>
  <c r="F706" i="5"/>
  <c r="E706" i="5"/>
  <c r="Y705" i="5"/>
  <c r="T705" i="5"/>
  <c r="S705" i="5"/>
  <c r="R705" i="5"/>
  <c r="O705" i="5"/>
  <c r="N705" i="5"/>
  <c r="L705" i="5"/>
  <c r="K705" i="5"/>
  <c r="I705" i="5"/>
  <c r="G705" i="5"/>
  <c r="F705" i="5"/>
  <c r="E705" i="5"/>
  <c r="Y704" i="5"/>
  <c r="T704" i="5"/>
  <c r="S704" i="5"/>
  <c r="R704" i="5"/>
  <c r="O704" i="5"/>
  <c r="N704" i="5"/>
  <c r="L704" i="5"/>
  <c r="K704" i="5"/>
  <c r="I704" i="5"/>
  <c r="G704" i="5"/>
  <c r="E704" i="5"/>
  <c r="Y703" i="5"/>
  <c r="T703" i="5"/>
  <c r="S703" i="5"/>
  <c r="R703" i="5"/>
  <c r="O703" i="5"/>
  <c r="N703" i="5"/>
  <c r="L703" i="5"/>
  <c r="K703" i="5"/>
  <c r="I703" i="5"/>
  <c r="G703" i="5"/>
  <c r="F703" i="5"/>
  <c r="Y702" i="5"/>
  <c r="T702" i="5"/>
  <c r="S702" i="5"/>
  <c r="R702" i="5"/>
  <c r="O702" i="5"/>
  <c r="N702" i="5"/>
  <c r="L702" i="5"/>
  <c r="K702" i="5"/>
  <c r="I702" i="5"/>
  <c r="G702" i="5"/>
  <c r="F702" i="5"/>
  <c r="E702" i="5"/>
  <c r="Y701" i="5"/>
  <c r="T701" i="5"/>
  <c r="S701" i="5"/>
  <c r="R701" i="5"/>
  <c r="O701" i="5"/>
  <c r="N701" i="5"/>
  <c r="L701" i="5"/>
  <c r="K701" i="5"/>
  <c r="I701" i="5"/>
  <c r="G701" i="5"/>
  <c r="F701" i="5"/>
  <c r="Y700" i="5"/>
  <c r="T700" i="5"/>
  <c r="S700" i="5"/>
  <c r="R700" i="5"/>
  <c r="O700" i="5"/>
  <c r="N700" i="5"/>
  <c r="L700" i="5"/>
  <c r="K700" i="5"/>
  <c r="I700" i="5"/>
  <c r="G700" i="5"/>
  <c r="F700" i="5"/>
  <c r="E700" i="5"/>
  <c r="Y699" i="5"/>
  <c r="T699" i="5"/>
  <c r="S699" i="5"/>
  <c r="R699" i="5"/>
  <c r="O699" i="5"/>
  <c r="N699" i="5"/>
  <c r="L699" i="5"/>
  <c r="I699" i="5"/>
  <c r="G699" i="5"/>
  <c r="F699" i="5"/>
  <c r="Y698" i="5"/>
  <c r="T698" i="5"/>
  <c r="S698" i="5"/>
  <c r="R698" i="5"/>
  <c r="O698" i="5"/>
  <c r="N698" i="5"/>
  <c r="L698" i="5"/>
  <c r="I698" i="5"/>
  <c r="G698" i="5"/>
  <c r="F698" i="5"/>
  <c r="Y697" i="5"/>
  <c r="T697" i="5"/>
  <c r="S697" i="5"/>
  <c r="R697" i="5"/>
  <c r="O697" i="5"/>
  <c r="N697" i="5"/>
  <c r="L697" i="5"/>
  <c r="K697" i="5"/>
  <c r="I697" i="5"/>
  <c r="G697" i="5"/>
  <c r="F697" i="5"/>
  <c r="E697" i="5"/>
  <c r="Y696" i="5"/>
  <c r="T696" i="5"/>
  <c r="S696" i="5"/>
  <c r="R696" i="5"/>
  <c r="O696" i="5"/>
  <c r="N696" i="5"/>
  <c r="L696" i="5"/>
  <c r="K696" i="5"/>
  <c r="I696" i="5"/>
  <c r="G696" i="5"/>
  <c r="F696" i="5"/>
  <c r="E696" i="5"/>
  <c r="Y695" i="5"/>
  <c r="T695" i="5"/>
  <c r="S695" i="5"/>
  <c r="R695" i="5"/>
  <c r="O695" i="5"/>
  <c r="N695" i="5"/>
  <c r="L695" i="5"/>
  <c r="K695" i="5"/>
  <c r="I695" i="5"/>
  <c r="G695" i="5"/>
  <c r="F695" i="5"/>
  <c r="E695" i="5"/>
  <c r="Y694" i="5"/>
  <c r="T694" i="5"/>
  <c r="S694" i="5"/>
  <c r="R694" i="5"/>
  <c r="O694" i="5"/>
  <c r="N694" i="5"/>
  <c r="L694" i="5"/>
  <c r="I694" i="5"/>
  <c r="G694" i="5"/>
  <c r="E694" i="5"/>
  <c r="X693" i="5"/>
  <c r="Z693" i="5" s="1"/>
  <c r="X692" i="5"/>
  <c r="Z692" i="5" s="1"/>
  <c r="P691" i="5"/>
  <c r="H691" i="5"/>
  <c r="E691" i="5"/>
  <c r="X690" i="5"/>
  <c r="Z690" i="5" s="1"/>
  <c r="Y689" i="5"/>
  <c r="T689" i="5"/>
  <c r="S689" i="5"/>
  <c r="R689" i="5"/>
  <c r="Q689" i="5"/>
  <c r="O689" i="5"/>
  <c r="N689" i="5"/>
  <c r="L689" i="5"/>
  <c r="K689" i="5"/>
  <c r="I689" i="5"/>
  <c r="G689" i="5"/>
  <c r="Y688" i="5"/>
  <c r="T688" i="5"/>
  <c r="S688" i="5"/>
  <c r="R688" i="5"/>
  <c r="Q688" i="5"/>
  <c r="O688" i="5"/>
  <c r="N688" i="5"/>
  <c r="L688" i="5"/>
  <c r="K688" i="5"/>
  <c r="I688" i="5"/>
  <c r="G688" i="5"/>
  <c r="F688" i="5"/>
  <c r="E688" i="5"/>
  <c r="Y687" i="5"/>
  <c r="T687" i="5"/>
  <c r="S687" i="5"/>
  <c r="R687" i="5"/>
  <c r="Q687" i="5"/>
  <c r="O687" i="5"/>
  <c r="N687" i="5"/>
  <c r="L687" i="5"/>
  <c r="K687" i="5"/>
  <c r="I687" i="5"/>
  <c r="G687" i="5"/>
  <c r="F687" i="5"/>
  <c r="E687" i="5"/>
  <c r="Y686" i="5"/>
  <c r="T686" i="5"/>
  <c r="S686" i="5"/>
  <c r="R686" i="5"/>
  <c r="Q686" i="5"/>
  <c r="O686" i="5"/>
  <c r="N686" i="5"/>
  <c r="L686" i="5"/>
  <c r="K686" i="5"/>
  <c r="I686" i="5"/>
  <c r="G686" i="5"/>
  <c r="F686" i="5"/>
  <c r="E686" i="5"/>
  <c r="Y685" i="5"/>
  <c r="T685" i="5"/>
  <c r="S685" i="5"/>
  <c r="R685" i="5"/>
  <c r="Q685" i="5"/>
  <c r="O685" i="5"/>
  <c r="N685" i="5"/>
  <c r="L685" i="5"/>
  <c r="K685" i="5"/>
  <c r="I685" i="5"/>
  <c r="G685" i="5"/>
  <c r="F685" i="5"/>
  <c r="E685" i="5"/>
  <c r="Y684" i="5"/>
  <c r="W684" i="5"/>
  <c r="V684" i="5"/>
  <c r="T684" i="5"/>
  <c r="S684" i="5"/>
  <c r="R684" i="5"/>
  <c r="Q684" i="5"/>
  <c r="O684" i="5"/>
  <c r="N684" i="5"/>
  <c r="L684" i="5"/>
  <c r="K684" i="5"/>
  <c r="J684" i="5"/>
  <c r="I684" i="5"/>
  <c r="G684" i="5"/>
  <c r="F684" i="5"/>
  <c r="E684" i="5"/>
  <c r="Y683" i="5"/>
  <c r="W683" i="5"/>
  <c r="V683" i="5"/>
  <c r="T683" i="5"/>
  <c r="S683" i="5"/>
  <c r="R683" i="5"/>
  <c r="Q683" i="5"/>
  <c r="O683" i="5"/>
  <c r="N683" i="5"/>
  <c r="L683" i="5"/>
  <c r="K683" i="5"/>
  <c r="J683" i="5"/>
  <c r="I683" i="5"/>
  <c r="G683" i="5"/>
  <c r="F683" i="5"/>
  <c r="E683" i="5"/>
  <c r="Y682" i="5"/>
  <c r="W682" i="5"/>
  <c r="V682" i="5"/>
  <c r="T682" i="5"/>
  <c r="S682" i="5"/>
  <c r="R682" i="5"/>
  <c r="Q682" i="5"/>
  <c r="O682" i="5"/>
  <c r="N682" i="5"/>
  <c r="L682" i="5"/>
  <c r="K682" i="5"/>
  <c r="J682" i="5"/>
  <c r="I682" i="5"/>
  <c r="G682" i="5"/>
  <c r="F682" i="5"/>
  <c r="E682" i="5"/>
  <c r="Y681" i="5"/>
  <c r="W681" i="5"/>
  <c r="V681" i="5"/>
  <c r="T681" i="5"/>
  <c r="S681" i="5"/>
  <c r="R681" i="5"/>
  <c r="Q681" i="5"/>
  <c r="O681" i="5"/>
  <c r="N681" i="5"/>
  <c r="L681" i="5"/>
  <c r="K681" i="5"/>
  <c r="J681" i="5"/>
  <c r="I681" i="5"/>
  <c r="G681" i="5"/>
  <c r="F681" i="5"/>
  <c r="E681" i="5"/>
  <c r="Y680" i="5"/>
  <c r="T680" i="5"/>
  <c r="S680" i="5"/>
  <c r="R680" i="5"/>
  <c r="Q680" i="5"/>
  <c r="O680" i="5"/>
  <c r="N680" i="5"/>
  <c r="L680" i="5"/>
  <c r="K680" i="5"/>
  <c r="I680" i="5"/>
  <c r="G680" i="5"/>
  <c r="F680" i="5"/>
  <c r="E680" i="5"/>
  <c r="Y679" i="5"/>
  <c r="T679" i="5"/>
  <c r="S679" i="5"/>
  <c r="R679" i="5"/>
  <c r="Q679" i="5"/>
  <c r="O679" i="5"/>
  <c r="N679" i="5"/>
  <c r="L679" i="5"/>
  <c r="K679" i="5"/>
  <c r="G679" i="5"/>
  <c r="F679" i="5"/>
  <c r="Y678" i="5"/>
  <c r="T678" i="5"/>
  <c r="S678" i="5"/>
  <c r="R678" i="5"/>
  <c r="Q678" i="5"/>
  <c r="O678" i="5"/>
  <c r="N678" i="5"/>
  <c r="L678" i="5"/>
  <c r="K678" i="5"/>
  <c r="I678" i="5"/>
  <c r="G678" i="5"/>
  <c r="Y677" i="5"/>
  <c r="T677" i="5"/>
  <c r="S677" i="5"/>
  <c r="R677" i="5"/>
  <c r="Q677" i="5"/>
  <c r="O677" i="5"/>
  <c r="N677" i="5"/>
  <c r="L677" i="5"/>
  <c r="K677" i="5"/>
  <c r="I677" i="5"/>
  <c r="G677" i="5"/>
  <c r="Y676" i="5"/>
  <c r="T676" i="5"/>
  <c r="S676" i="5"/>
  <c r="R676" i="5"/>
  <c r="Q676" i="5"/>
  <c r="O676" i="5"/>
  <c r="N676" i="5"/>
  <c r="L676" i="5"/>
  <c r="K676" i="5"/>
  <c r="I676" i="5"/>
  <c r="G676" i="5"/>
  <c r="F676" i="5"/>
  <c r="E676" i="5"/>
  <c r="Y675" i="5"/>
  <c r="T675" i="5"/>
  <c r="S675" i="5"/>
  <c r="R675" i="5"/>
  <c r="Q675" i="5"/>
  <c r="O675" i="5"/>
  <c r="N675" i="5"/>
  <c r="L675" i="5"/>
  <c r="K675" i="5"/>
  <c r="I675" i="5"/>
  <c r="G675" i="5"/>
  <c r="F675" i="5"/>
  <c r="E675" i="5"/>
  <c r="Y674" i="5"/>
  <c r="T674" i="5"/>
  <c r="S674" i="5"/>
  <c r="R674" i="5"/>
  <c r="Q674" i="5"/>
  <c r="O674" i="5"/>
  <c r="N674" i="5"/>
  <c r="L674" i="5"/>
  <c r="K674" i="5"/>
  <c r="I674" i="5"/>
  <c r="G674" i="5"/>
  <c r="F674" i="5"/>
  <c r="E674" i="5"/>
  <c r="Y673" i="5"/>
  <c r="T673" i="5"/>
  <c r="S673" i="5"/>
  <c r="R673" i="5"/>
  <c r="Q673" i="5"/>
  <c r="O673" i="5"/>
  <c r="N673" i="5"/>
  <c r="L673" i="5"/>
  <c r="K673" i="5"/>
  <c r="I673" i="5"/>
  <c r="G673" i="5"/>
  <c r="F673" i="5"/>
  <c r="E673" i="5"/>
  <c r="Y672" i="5"/>
  <c r="T672" i="5"/>
  <c r="S672" i="5"/>
  <c r="R672" i="5"/>
  <c r="Q672" i="5"/>
  <c r="O672" i="5"/>
  <c r="N672" i="5"/>
  <c r="L672" i="5"/>
  <c r="K672" i="5"/>
  <c r="I672" i="5"/>
  <c r="G672" i="5"/>
  <c r="F672" i="5"/>
  <c r="E672" i="5"/>
  <c r="Y671" i="5"/>
  <c r="T671" i="5"/>
  <c r="S671" i="5"/>
  <c r="R671" i="5"/>
  <c r="Q671" i="5"/>
  <c r="O671" i="5"/>
  <c r="N671" i="5"/>
  <c r="L671" i="5"/>
  <c r="K671" i="5"/>
  <c r="I671" i="5"/>
  <c r="G671" i="5"/>
  <c r="F671" i="5"/>
  <c r="E671" i="5"/>
  <c r="Y670" i="5"/>
  <c r="T670" i="5"/>
  <c r="S670" i="5"/>
  <c r="R670" i="5"/>
  <c r="Q670" i="5"/>
  <c r="O670" i="5"/>
  <c r="N670" i="5"/>
  <c r="L670" i="5"/>
  <c r="K670" i="5"/>
  <c r="I670" i="5"/>
  <c r="G670" i="5"/>
  <c r="F670" i="5"/>
  <c r="Y669" i="5"/>
  <c r="T669" i="5"/>
  <c r="S669" i="5"/>
  <c r="R669" i="5"/>
  <c r="Q669" i="5"/>
  <c r="O669" i="5"/>
  <c r="N669" i="5"/>
  <c r="L669" i="5"/>
  <c r="K669" i="5"/>
  <c r="I669" i="5"/>
  <c r="G669" i="5"/>
  <c r="F669" i="5"/>
  <c r="E669" i="5"/>
  <c r="Y668" i="5"/>
  <c r="T668" i="5"/>
  <c r="S668" i="5"/>
  <c r="R668" i="5"/>
  <c r="Q668" i="5"/>
  <c r="O668" i="5"/>
  <c r="N668" i="5"/>
  <c r="L668" i="5"/>
  <c r="K668" i="5"/>
  <c r="I668" i="5"/>
  <c r="G668" i="5"/>
  <c r="F668" i="5"/>
  <c r="E668" i="5"/>
  <c r="Y667" i="5"/>
  <c r="T667" i="5"/>
  <c r="S667" i="5"/>
  <c r="R667" i="5"/>
  <c r="Q667" i="5"/>
  <c r="O667" i="5"/>
  <c r="N667" i="5"/>
  <c r="L667" i="5"/>
  <c r="K667" i="5"/>
  <c r="I667" i="5"/>
  <c r="G667" i="5"/>
  <c r="F667" i="5"/>
  <c r="E667" i="5"/>
  <c r="Y666" i="5"/>
  <c r="T666" i="5"/>
  <c r="S666" i="5"/>
  <c r="R666" i="5"/>
  <c r="Q666" i="5"/>
  <c r="O666" i="5"/>
  <c r="N666" i="5"/>
  <c r="L666" i="5"/>
  <c r="K666" i="5"/>
  <c r="I666" i="5"/>
  <c r="G666" i="5"/>
  <c r="F666" i="5"/>
  <c r="Y665" i="5"/>
  <c r="T665" i="5"/>
  <c r="S665" i="5"/>
  <c r="R665" i="5"/>
  <c r="Q665" i="5"/>
  <c r="O665" i="5"/>
  <c r="N665" i="5"/>
  <c r="L665" i="5"/>
  <c r="K665" i="5"/>
  <c r="I665" i="5"/>
  <c r="G665" i="5"/>
  <c r="F665" i="5"/>
  <c r="Y664" i="5"/>
  <c r="T664" i="5"/>
  <c r="S664" i="5"/>
  <c r="R664" i="5"/>
  <c r="Q664" i="5"/>
  <c r="O664" i="5"/>
  <c r="N664" i="5"/>
  <c r="L664" i="5"/>
  <c r="K664" i="5"/>
  <c r="I664" i="5"/>
  <c r="G664" i="5"/>
  <c r="F664" i="5"/>
  <c r="E664" i="5"/>
  <c r="X663" i="5"/>
  <c r="Z663" i="5" s="1"/>
  <c r="X662" i="5"/>
  <c r="Z662" i="5" s="1"/>
  <c r="P661" i="5"/>
  <c r="H661" i="5"/>
  <c r="E661" i="5"/>
  <c r="X660" i="5"/>
  <c r="Y659" i="5"/>
  <c r="T659" i="5"/>
  <c r="S659" i="5"/>
  <c r="R659" i="5"/>
  <c r="Q659" i="5"/>
  <c r="O659" i="5"/>
  <c r="N659" i="5"/>
  <c r="L659" i="5"/>
  <c r="K659" i="5"/>
  <c r="I659" i="5"/>
  <c r="G659" i="5"/>
  <c r="F659" i="5"/>
  <c r="E659" i="5"/>
  <c r="Y658" i="5"/>
  <c r="T658" i="5"/>
  <c r="S658" i="5"/>
  <c r="R658" i="5"/>
  <c r="Q658" i="5"/>
  <c r="O658" i="5"/>
  <c r="N658" i="5"/>
  <c r="L658" i="5"/>
  <c r="K658" i="5"/>
  <c r="I658" i="5"/>
  <c r="G658" i="5"/>
  <c r="F658" i="5"/>
  <c r="E658" i="5"/>
  <c r="Y657" i="5"/>
  <c r="T657" i="5"/>
  <c r="S657" i="5"/>
  <c r="R657" i="5"/>
  <c r="Q657" i="5"/>
  <c r="O657" i="5"/>
  <c r="N657" i="5"/>
  <c r="L657" i="5"/>
  <c r="K657" i="5"/>
  <c r="I657" i="5"/>
  <c r="G657" i="5"/>
  <c r="F657" i="5"/>
  <c r="E657" i="5"/>
  <c r="Y656" i="5"/>
  <c r="T656" i="5"/>
  <c r="S656" i="5"/>
  <c r="R656" i="5"/>
  <c r="Q656" i="5"/>
  <c r="O656" i="5"/>
  <c r="N656" i="5"/>
  <c r="L656" i="5"/>
  <c r="K656" i="5"/>
  <c r="I656" i="5"/>
  <c r="G656" i="5"/>
  <c r="F656" i="5"/>
  <c r="E656" i="5"/>
  <c r="Y655" i="5"/>
  <c r="T655" i="5"/>
  <c r="S655" i="5"/>
  <c r="R655" i="5"/>
  <c r="Q655" i="5"/>
  <c r="O655" i="5"/>
  <c r="N655" i="5"/>
  <c r="L655" i="5"/>
  <c r="K655" i="5"/>
  <c r="I655" i="5"/>
  <c r="G655" i="5"/>
  <c r="F655" i="5"/>
  <c r="Y654" i="5"/>
  <c r="T654" i="5"/>
  <c r="S654" i="5"/>
  <c r="R654" i="5"/>
  <c r="Q654" i="5"/>
  <c r="O654" i="5"/>
  <c r="N654" i="5"/>
  <c r="L654" i="5"/>
  <c r="K654" i="5"/>
  <c r="I654" i="5"/>
  <c r="G654" i="5"/>
  <c r="F654" i="5"/>
  <c r="Y653" i="5"/>
  <c r="T653" i="5"/>
  <c r="S653" i="5"/>
  <c r="R653" i="5"/>
  <c r="Q653" i="5"/>
  <c r="O653" i="5"/>
  <c r="N653" i="5"/>
  <c r="L653" i="5"/>
  <c r="K653" i="5"/>
  <c r="I653" i="5"/>
  <c r="G653" i="5"/>
  <c r="F653" i="5"/>
  <c r="Y652" i="5"/>
  <c r="T652" i="5"/>
  <c r="S652" i="5"/>
  <c r="R652" i="5"/>
  <c r="Q652" i="5"/>
  <c r="O652" i="5"/>
  <c r="N652" i="5"/>
  <c r="L652" i="5"/>
  <c r="K652" i="5"/>
  <c r="I652" i="5"/>
  <c r="G652" i="5"/>
  <c r="F652" i="5"/>
  <c r="E652" i="5"/>
  <c r="Y651" i="5"/>
  <c r="T651" i="5"/>
  <c r="S651" i="5"/>
  <c r="R651" i="5"/>
  <c r="Q651" i="5"/>
  <c r="O651" i="5"/>
  <c r="N651" i="5"/>
  <c r="L651" i="5"/>
  <c r="K651" i="5"/>
  <c r="I651" i="5"/>
  <c r="G651" i="5"/>
  <c r="F651" i="5"/>
  <c r="Y650" i="5"/>
  <c r="T650" i="5"/>
  <c r="S650" i="5"/>
  <c r="R650" i="5"/>
  <c r="Q650" i="5"/>
  <c r="O650" i="5"/>
  <c r="N650" i="5"/>
  <c r="L650" i="5"/>
  <c r="K650" i="5"/>
  <c r="I650" i="5"/>
  <c r="G650" i="5"/>
  <c r="F650" i="5"/>
  <c r="E650" i="5"/>
  <c r="Y649" i="5"/>
  <c r="T649" i="5"/>
  <c r="S649" i="5"/>
  <c r="R649" i="5"/>
  <c r="Q649" i="5"/>
  <c r="O649" i="5"/>
  <c r="N649" i="5"/>
  <c r="L649" i="5"/>
  <c r="K649" i="5"/>
  <c r="I649" i="5"/>
  <c r="G649" i="5"/>
  <c r="X648" i="5"/>
  <c r="X647" i="5"/>
  <c r="X646" i="5"/>
  <c r="Y645" i="5"/>
  <c r="T645" i="5"/>
  <c r="S645" i="5"/>
  <c r="R645" i="5"/>
  <c r="Q645" i="5"/>
  <c r="O645" i="5"/>
  <c r="N645" i="5"/>
  <c r="L645" i="5"/>
  <c r="K645" i="5"/>
  <c r="J645" i="5"/>
  <c r="I645" i="5"/>
  <c r="H645" i="5"/>
  <c r="X645" i="5" s="1"/>
  <c r="G645" i="5"/>
  <c r="F645" i="5"/>
  <c r="E645" i="5"/>
  <c r="P638" i="5"/>
  <c r="H638" i="5"/>
  <c r="E638" i="5"/>
  <c r="X637" i="5"/>
  <c r="Y636" i="5"/>
  <c r="T636" i="5"/>
  <c r="S636" i="5"/>
  <c r="R636" i="5"/>
  <c r="Q636" i="5"/>
  <c r="O636" i="5"/>
  <c r="N636" i="5"/>
  <c r="L636" i="5"/>
  <c r="K636" i="5"/>
  <c r="J636" i="5"/>
  <c r="I636" i="5"/>
  <c r="G636" i="5"/>
  <c r="F636" i="5"/>
  <c r="E636" i="5"/>
  <c r="Y635" i="5"/>
  <c r="T635" i="5"/>
  <c r="S635" i="5"/>
  <c r="R635" i="5"/>
  <c r="Q635" i="5"/>
  <c r="O635" i="5"/>
  <c r="N635" i="5"/>
  <c r="L635" i="5"/>
  <c r="K635" i="5"/>
  <c r="J635" i="5"/>
  <c r="I635" i="5"/>
  <c r="G635" i="5"/>
  <c r="F635" i="5"/>
  <c r="E635" i="5"/>
  <c r="Y634" i="5"/>
  <c r="T634" i="5"/>
  <c r="S634" i="5"/>
  <c r="R634" i="5"/>
  <c r="Q634" i="5"/>
  <c r="O634" i="5"/>
  <c r="N634" i="5"/>
  <c r="L634" i="5"/>
  <c r="K634" i="5"/>
  <c r="J634" i="5"/>
  <c r="I634" i="5"/>
  <c r="G634" i="5"/>
  <c r="Y633" i="5"/>
  <c r="T633" i="5"/>
  <c r="S633" i="5"/>
  <c r="R633" i="5"/>
  <c r="Q633" i="5"/>
  <c r="O633" i="5"/>
  <c r="N633" i="5"/>
  <c r="L633" i="5"/>
  <c r="K633" i="5"/>
  <c r="J633" i="5"/>
  <c r="I633" i="5"/>
  <c r="G633" i="5"/>
  <c r="F633" i="5"/>
  <c r="E633" i="5"/>
  <c r="Y632" i="5"/>
  <c r="T632" i="5"/>
  <c r="S632" i="5"/>
  <c r="R632" i="5"/>
  <c r="Q632" i="5"/>
  <c r="O632" i="5"/>
  <c r="N632" i="5"/>
  <c r="L632" i="5"/>
  <c r="K632" i="5"/>
  <c r="J632" i="5"/>
  <c r="I632" i="5"/>
  <c r="G632" i="5"/>
  <c r="F632" i="5"/>
  <c r="E632" i="5"/>
  <c r="Y631" i="5"/>
  <c r="T631" i="5"/>
  <c r="S631" i="5"/>
  <c r="R631" i="5"/>
  <c r="Q631" i="5"/>
  <c r="O631" i="5"/>
  <c r="N631" i="5"/>
  <c r="L631" i="5"/>
  <c r="K631" i="5"/>
  <c r="J631" i="5"/>
  <c r="I631" i="5"/>
  <c r="G631" i="5"/>
  <c r="F631" i="5"/>
  <c r="E631" i="5"/>
  <c r="Y630" i="5"/>
  <c r="T630" i="5"/>
  <c r="S630" i="5"/>
  <c r="R630" i="5"/>
  <c r="Q630" i="5"/>
  <c r="O630" i="5"/>
  <c r="N630" i="5"/>
  <c r="L630" i="5"/>
  <c r="K630" i="5"/>
  <c r="J630" i="5"/>
  <c r="I630" i="5"/>
  <c r="G630" i="5"/>
  <c r="F630" i="5"/>
  <c r="E630" i="5"/>
  <c r="Y629" i="5"/>
  <c r="T629" i="5"/>
  <c r="S629" i="5"/>
  <c r="R629" i="5"/>
  <c r="Q629" i="5"/>
  <c r="O629" i="5"/>
  <c r="N629" i="5"/>
  <c r="L629" i="5"/>
  <c r="K629" i="5"/>
  <c r="J629" i="5"/>
  <c r="I629" i="5"/>
  <c r="G629" i="5"/>
  <c r="F629" i="5"/>
  <c r="E629" i="5"/>
  <c r="Y628" i="5"/>
  <c r="T628" i="5"/>
  <c r="S628" i="5"/>
  <c r="R628" i="5"/>
  <c r="Q628" i="5"/>
  <c r="O628" i="5"/>
  <c r="N628" i="5"/>
  <c r="L628" i="5"/>
  <c r="K628" i="5"/>
  <c r="J628" i="5"/>
  <c r="I628" i="5"/>
  <c r="G628" i="5"/>
  <c r="F628" i="5"/>
  <c r="E628" i="5"/>
  <c r="X627" i="5"/>
  <c r="X626" i="5"/>
  <c r="P625" i="5"/>
  <c r="H625" i="5"/>
  <c r="E625" i="5"/>
  <c r="X624" i="5"/>
  <c r="Z624" i="5" s="1"/>
  <c r="Y623" i="5"/>
  <c r="T623" i="5"/>
  <c r="S623" i="5"/>
  <c r="R623" i="5"/>
  <c r="Q623" i="5"/>
  <c r="O623" i="5"/>
  <c r="N623" i="5"/>
  <c r="L623" i="5"/>
  <c r="K623" i="5"/>
  <c r="J623" i="5"/>
  <c r="I623" i="5"/>
  <c r="G623" i="5"/>
  <c r="F623" i="5"/>
  <c r="E623" i="5"/>
  <c r="Y622" i="5"/>
  <c r="W622" i="5"/>
  <c r="V622" i="5"/>
  <c r="T622" i="5"/>
  <c r="S622" i="5"/>
  <c r="R622" i="5"/>
  <c r="Q622" i="5"/>
  <c r="O622" i="5"/>
  <c r="N622" i="5"/>
  <c r="L622" i="5"/>
  <c r="K622" i="5"/>
  <c r="J622" i="5"/>
  <c r="I622" i="5"/>
  <c r="G622" i="5"/>
  <c r="F622" i="5"/>
  <c r="E622" i="5"/>
  <c r="Y621" i="5"/>
  <c r="T621" i="5"/>
  <c r="S621" i="5"/>
  <c r="R621" i="5"/>
  <c r="Q621" i="5"/>
  <c r="O621" i="5"/>
  <c r="N621" i="5"/>
  <c r="L621" i="5"/>
  <c r="K621" i="5"/>
  <c r="J621" i="5"/>
  <c r="I621" i="5"/>
  <c r="G621" i="5"/>
  <c r="F621" i="5"/>
  <c r="E621" i="5"/>
  <c r="Y620" i="5"/>
  <c r="T620" i="5"/>
  <c r="S620" i="5"/>
  <c r="R620" i="5"/>
  <c r="Q620" i="5"/>
  <c r="P620" i="5"/>
  <c r="O620" i="5"/>
  <c r="N620" i="5"/>
  <c r="L620" i="5"/>
  <c r="K620" i="5"/>
  <c r="J620" i="5"/>
  <c r="I620" i="5"/>
  <c r="G620" i="5"/>
  <c r="F620" i="5"/>
  <c r="E620" i="5"/>
  <c r="Y619" i="5"/>
  <c r="T619" i="5"/>
  <c r="S619" i="5"/>
  <c r="R619" i="5"/>
  <c r="Q619" i="5"/>
  <c r="O619" i="5"/>
  <c r="N619" i="5"/>
  <c r="L619" i="5"/>
  <c r="K619" i="5"/>
  <c r="J619" i="5"/>
  <c r="I619" i="5"/>
  <c r="G619" i="5"/>
  <c r="Y618" i="5"/>
  <c r="T618" i="5"/>
  <c r="S618" i="5"/>
  <c r="R618" i="5"/>
  <c r="Q618" i="5"/>
  <c r="O618" i="5"/>
  <c r="N618" i="5"/>
  <c r="L618" i="5"/>
  <c r="K618" i="5"/>
  <c r="J618" i="5"/>
  <c r="I618" i="5"/>
  <c r="G618" i="5"/>
  <c r="F618" i="5"/>
  <c r="E618" i="5"/>
  <c r="Y617" i="5"/>
  <c r="T617" i="5"/>
  <c r="S617" i="5"/>
  <c r="R617" i="5"/>
  <c r="Q617" i="5"/>
  <c r="O617" i="5"/>
  <c r="N617" i="5"/>
  <c r="L617" i="5"/>
  <c r="K617" i="5"/>
  <c r="J617" i="5"/>
  <c r="I617" i="5"/>
  <c r="G617" i="5"/>
  <c r="F617" i="5"/>
  <c r="E617" i="5"/>
  <c r="Y616" i="5"/>
  <c r="T616" i="5"/>
  <c r="S616" i="5"/>
  <c r="R616" i="5"/>
  <c r="Q616" i="5"/>
  <c r="O616" i="5"/>
  <c r="N616" i="5"/>
  <c r="L616" i="5"/>
  <c r="K616" i="5"/>
  <c r="J616" i="5"/>
  <c r="I616" i="5"/>
  <c r="G616" i="5"/>
  <c r="F616" i="5"/>
  <c r="Y615" i="5"/>
  <c r="T615" i="5"/>
  <c r="S615" i="5"/>
  <c r="R615" i="5"/>
  <c r="Q615" i="5"/>
  <c r="O615" i="5"/>
  <c r="N615" i="5"/>
  <c r="L615" i="5"/>
  <c r="K615" i="5"/>
  <c r="J615" i="5"/>
  <c r="I615" i="5"/>
  <c r="G615" i="5"/>
  <c r="F615" i="5"/>
  <c r="E615" i="5"/>
  <c r="Y614" i="5"/>
  <c r="T614" i="5"/>
  <c r="S614" i="5"/>
  <c r="R614" i="5"/>
  <c r="Q614" i="5"/>
  <c r="O614" i="5"/>
  <c r="N614" i="5"/>
  <c r="L614" i="5"/>
  <c r="K614" i="5"/>
  <c r="J614" i="5"/>
  <c r="I614" i="5"/>
  <c r="G614" i="5"/>
  <c r="F614" i="5"/>
  <c r="E614" i="5"/>
  <c r="Y613" i="5"/>
  <c r="T613" i="5"/>
  <c r="S613" i="5"/>
  <c r="R613" i="5"/>
  <c r="Q613" i="5"/>
  <c r="O613" i="5"/>
  <c r="N613" i="5"/>
  <c r="L613" i="5"/>
  <c r="K613" i="5"/>
  <c r="J613" i="5"/>
  <c r="I613" i="5"/>
  <c r="G613" i="5"/>
  <c r="F613" i="5"/>
  <c r="E613" i="5"/>
  <c r="Y612" i="5"/>
  <c r="T612" i="5"/>
  <c r="S612" i="5"/>
  <c r="R612" i="5"/>
  <c r="Q612" i="5"/>
  <c r="O612" i="5"/>
  <c r="N612" i="5"/>
  <c r="L612" i="5"/>
  <c r="K612" i="5"/>
  <c r="J612" i="5"/>
  <c r="I612" i="5"/>
  <c r="G612" i="5"/>
  <c r="F612" i="5"/>
  <c r="E612" i="5"/>
  <c r="Y611" i="5"/>
  <c r="T611" i="5"/>
  <c r="S611" i="5"/>
  <c r="R611" i="5"/>
  <c r="Q611" i="5"/>
  <c r="O611" i="5"/>
  <c r="N611" i="5"/>
  <c r="L611" i="5"/>
  <c r="K611" i="5"/>
  <c r="J611" i="5"/>
  <c r="I611" i="5"/>
  <c r="G611" i="5"/>
  <c r="F611" i="5"/>
  <c r="E611" i="5"/>
  <c r="X610" i="5"/>
  <c r="Z610" i="5" s="1"/>
  <c r="X609" i="5"/>
  <c r="Z609" i="5" s="1"/>
  <c r="X608" i="5"/>
  <c r="Z608" i="5" s="1"/>
  <c r="P607" i="5"/>
  <c r="H607" i="5"/>
  <c r="E607" i="5"/>
  <c r="X606" i="5"/>
  <c r="Z606" i="5" s="1"/>
  <c r="Y605" i="5"/>
  <c r="T605" i="5"/>
  <c r="S605" i="5"/>
  <c r="R605" i="5"/>
  <c r="Q605" i="5"/>
  <c r="O605" i="5"/>
  <c r="N605" i="5"/>
  <c r="L605" i="5"/>
  <c r="K605" i="5"/>
  <c r="J605" i="5"/>
  <c r="I605" i="5"/>
  <c r="G605" i="5"/>
  <c r="Y604" i="5"/>
  <c r="T604" i="5"/>
  <c r="S604" i="5"/>
  <c r="R604" i="5"/>
  <c r="Q604" i="5"/>
  <c r="O604" i="5"/>
  <c r="N604" i="5"/>
  <c r="L604" i="5"/>
  <c r="K604" i="5"/>
  <c r="J604" i="5"/>
  <c r="I604" i="5"/>
  <c r="G604" i="5"/>
  <c r="F604" i="5"/>
  <c r="Y603" i="5"/>
  <c r="T603" i="5"/>
  <c r="S603" i="5"/>
  <c r="R603" i="5"/>
  <c r="Q603" i="5"/>
  <c r="O603" i="5"/>
  <c r="N603" i="5"/>
  <c r="L603" i="5"/>
  <c r="K603" i="5"/>
  <c r="J603" i="5"/>
  <c r="I603" i="5"/>
  <c r="G603" i="5"/>
  <c r="F603" i="5"/>
  <c r="E603" i="5"/>
  <c r="Y602" i="5"/>
  <c r="T602" i="5"/>
  <c r="S602" i="5"/>
  <c r="R602" i="5"/>
  <c r="Q602" i="5"/>
  <c r="O602" i="5"/>
  <c r="N602" i="5"/>
  <c r="L602" i="5"/>
  <c r="K602" i="5"/>
  <c r="J602" i="5"/>
  <c r="I602" i="5"/>
  <c r="G602" i="5"/>
  <c r="F602" i="5"/>
  <c r="E602" i="5"/>
  <c r="Y601" i="5"/>
  <c r="T601" i="5"/>
  <c r="S601" i="5"/>
  <c r="R601" i="5"/>
  <c r="Q601" i="5"/>
  <c r="O601" i="5"/>
  <c r="N601" i="5"/>
  <c r="L601" i="5"/>
  <c r="K601" i="5"/>
  <c r="J601" i="5"/>
  <c r="I601" i="5"/>
  <c r="G601" i="5"/>
  <c r="F601" i="5"/>
  <c r="E601" i="5"/>
  <c r="Y600" i="5"/>
  <c r="T600" i="5"/>
  <c r="S600" i="5"/>
  <c r="R600" i="5"/>
  <c r="Q600" i="5"/>
  <c r="O600" i="5"/>
  <c r="N600" i="5"/>
  <c r="L600" i="5"/>
  <c r="K600" i="5"/>
  <c r="J600" i="5"/>
  <c r="I600" i="5"/>
  <c r="G600" i="5"/>
  <c r="F600" i="5"/>
  <c r="E600" i="5"/>
  <c r="Y599" i="5"/>
  <c r="T599" i="5"/>
  <c r="S599" i="5"/>
  <c r="R599" i="5"/>
  <c r="Q599" i="5"/>
  <c r="O599" i="5"/>
  <c r="N599" i="5"/>
  <c r="L599" i="5"/>
  <c r="K599" i="5"/>
  <c r="J599" i="5"/>
  <c r="I599" i="5"/>
  <c r="G599" i="5"/>
  <c r="F599" i="5"/>
  <c r="E599" i="5"/>
  <c r="Y598" i="5"/>
  <c r="T598" i="5"/>
  <c r="S598" i="5"/>
  <c r="R598" i="5"/>
  <c r="Q598" i="5"/>
  <c r="O598" i="5"/>
  <c r="N598" i="5"/>
  <c r="L598" i="5"/>
  <c r="K598" i="5"/>
  <c r="J598" i="5"/>
  <c r="I598" i="5"/>
  <c r="G598" i="5"/>
  <c r="F598" i="5"/>
  <c r="E598" i="5"/>
  <c r="Y597" i="5"/>
  <c r="T597" i="5"/>
  <c r="S597" i="5"/>
  <c r="R597" i="5"/>
  <c r="Q597" i="5"/>
  <c r="O597" i="5"/>
  <c r="N597" i="5"/>
  <c r="L597" i="5"/>
  <c r="K597" i="5"/>
  <c r="J597" i="5"/>
  <c r="I597" i="5"/>
  <c r="G597" i="5"/>
  <c r="F597" i="5"/>
  <c r="E597" i="5"/>
  <c r="Y596" i="5"/>
  <c r="T596" i="5"/>
  <c r="S596" i="5"/>
  <c r="R596" i="5"/>
  <c r="Q596" i="5"/>
  <c r="O596" i="5"/>
  <c r="N596" i="5"/>
  <c r="L596" i="5"/>
  <c r="K596" i="5"/>
  <c r="J596" i="5"/>
  <c r="I596" i="5"/>
  <c r="G596" i="5"/>
  <c r="Y595" i="5"/>
  <c r="W595" i="5"/>
  <c r="V595" i="5"/>
  <c r="U595" i="5"/>
  <c r="T595" i="5"/>
  <c r="S595" i="5"/>
  <c r="R595" i="5"/>
  <c r="Q595" i="5"/>
  <c r="P595" i="5"/>
  <c r="O595" i="5"/>
  <c r="N595" i="5"/>
  <c r="M595" i="5"/>
  <c r="L595" i="5"/>
  <c r="K595" i="5"/>
  <c r="J595" i="5"/>
  <c r="I595" i="5"/>
  <c r="H595" i="5"/>
  <c r="X595" i="5" s="1"/>
  <c r="G595" i="5"/>
  <c r="F595" i="5"/>
  <c r="E595" i="5"/>
  <c r="Y594" i="5"/>
  <c r="T594" i="5"/>
  <c r="S594" i="5"/>
  <c r="R594" i="5"/>
  <c r="Q594" i="5"/>
  <c r="O594" i="5"/>
  <c r="N594" i="5"/>
  <c r="L594" i="5"/>
  <c r="K594" i="5"/>
  <c r="J594" i="5"/>
  <c r="I594" i="5"/>
  <c r="G594" i="5"/>
  <c r="F594" i="5"/>
  <c r="E594" i="5"/>
  <c r="Y593" i="5"/>
  <c r="T593" i="5"/>
  <c r="S593" i="5"/>
  <c r="R593" i="5"/>
  <c r="Q593" i="5"/>
  <c r="O593" i="5"/>
  <c r="N593" i="5"/>
  <c r="L593" i="5"/>
  <c r="K593" i="5"/>
  <c r="J593" i="5"/>
  <c r="I593" i="5"/>
  <c r="G593" i="5"/>
  <c r="F593" i="5"/>
  <c r="E593" i="5"/>
  <c r="Y592" i="5"/>
  <c r="T592" i="5"/>
  <c r="T607" i="5" s="1"/>
  <c r="S592" i="5"/>
  <c r="R592" i="5"/>
  <c r="Q592" i="5"/>
  <c r="O592" i="5"/>
  <c r="N592" i="5"/>
  <c r="L592" i="5"/>
  <c r="L607" i="5" s="1"/>
  <c r="K592" i="5"/>
  <c r="J592" i="5"/>
  <c r="I592" i="5"/>
  <c r="G592" i="5"/>
  <c r="F592" i="5"/>
  <c r="E592" i="5"/>
  <c r="X591" i="5"/>
  <c r="Z591" i="5" s="1"/>
  <c r="X590" i="5"/>
  <c r="Z590" i="5" s="1"/>
  <c r="P589" i="5"/>
  <c r="H589" i="5"/>
  <c r="X589" i="5" s="1"/>
  <c r="E589" i="5"/>
  <c r="X588" i="5"/>
  <c r="Z588" i="5" s="1"/>
  <c r="Y587" i="5"/>
  <c r="T587" i="5"/>
  <c r="S587" i="5"/>
  <c r="R587" i="5"/>
  <c r="Q587" i="5"/>
  <c r="O587" i="5"/>
  <c r="N587" i="5"/>
  <c r="L587" i="5"/>
  <c r="K587" i="5"/>
  <c r="J587" i="5"/>
  <c r="I587" i="5"/>
  <c r="G587" i="5"/>
  <c r="F587" i="5"/>
  <c r="E587" i="5"/>
  <c r="Y586" i="5"/>
  <c r="W586" i="5"/>
  <c r="V586" i="5"/>
  <c r="T586" i="5"/>
  <c r="S586" i="5"/>
  <c r="R586" i="5"/>
  <c r="Q586" i="5"/>
  <c r="O586" i="5"/>
  <c r="N586" i="5"/>
  <c r="L586" i="5"/>
  <c r="K586" i="5"/>
  <c r="J586" i="5"/>
  <c r="I586" i="5"/>
  <c r="G586" i="5"/>
  <c r="Y585" i="5"/>
  <c r="W585" i="5"/>
  <c r="V585" i="5"/>
  <c r="T585" i="5"/>
  <c r="S585" i="5"/>
  <c r="R585" i="5"/>
  <c r="Q585" i="5"/>
  <c r="O585" i="5"/>
  <c r="N585" i="5"/>
  <c r="L585" i="5"/>
  <c r="K585" i="5"/>
  <c r="J585" i="5"/>
  <c r="I585" i="5"/>
  <c r="G585" i="5"/>
  <c r="F585" i="5"/>
  <c r="E585" i="5"/>
  <c r="Y584" i="5"/>
  <c r="W584" i="5"/>
  <c r="V584" i="5"/>
  <c r="T584" i="5"/>
  <c r="S584" i="5"/>
  <c r="R584" i="5"/>
  <c r="Q584" i="5"/>
  <c r="O584" i="5"/>
  <c r="N584" i="5"/>
  <c r="L584" i="5"/>
  <c r="K584" i="5"/>
  <c r="J584" i="5"/>
  <c r="I584" i="5"/>
  <c r="G584" i="5"/>
  <c r="F584" i="5"/>
  <c r="E584" i="5"/>
  <c r="Y583" i="5"/>
  <c r="W583" i="5"/>
  <c r="T583" i="5"/>
  <c r="S583" i="5"/>
  <c r="R583" i="5"/>
  <c r="Q583" i="5"/>
  <c r="O583" i="5"/>
  <c r="N583" i="5"/>
  <c r="L583" i="5"/>
  <c r="K583" i="5"/>
  <c r="J583" i="5"/>
  <c r="I583" i="5"/>
  <c r="G583" i="5"/>
  <c r="F583" i="5"/>
  <c r="E583" i="5"/>
  <c r="Y582" i="5"/>
  <c r="T582" i="5"/>
  <c r="S582" i="5"/>
  <c r="R582" i="5"/>
  <c r="Q582" i="5"/>
  <c r="O582" i="5"/>
  <c r="N582" i="5"/>
  <c r="L582" i="5"/>
  <c r="K582" i="5"/>
  <c r="J582" i="5"/>
  <c r="I582" i="5"/>
  <c r="G582" i="5"/>
  <c r="F582" i="5"/>
  <c r="Y581" i="5"/>
  <c r="T581" i="5"/>
  <c r="S581" i="5"/>
  <c r="R581" i="5"/>
  <c r="Q581" i="5"/>
  <c r="O581" i="5"/>
  <c r="N581" i="5"/>
  <c r="L581" i="5"/>
  <c r="K581" i="5"/>
  <c r="J581" i="5"/>
  <c r="I581" i="5"/>
  <c r="G581" i="5"/>
  <c r="F581" i="5"/>
  <c r="E581" i="5"/>
  <c r="Y580" i="5"/>
  <c r="T580" i="5"/>
  <c r="S580" i="5"/>
  <c r="R580" i="5"/>
  <c r="Q580" i="5"/>
  <c r="O580" i="5"/>
  <c r="N580" i="5"/>
  <c r="L580" i="5"/>
  <c r="K580" i="5"/>
  <c r="J580" i="5"/>
  <c r="I580" i="5"/>
  <c r="G580" i="5"/>
  <c r="E580" i="5"/>
  <c r="Y579" i="5"/>
  <c r="T579" i="5"/>
  <c r="S579" i="5"/>
  <c r="R579" i="5"/>
  <c r="Q579" i="5"/>
  <c r="O579" i="5"/>
  <c r="N579" i="5"/>
  <c r="L579" i="5"/>
  <c r="K579" i="5"/>
  <c r="J579" i="5"/>
  <c r="I579" i="5"/>
  <c r="G579" i="5"/>
  <c r="F579" i="5"/>
  <c r="E579" i="5"/>
  <c r="Y578" i="5"/>
  <c r="T578" i="5"/>
  <c r="S578" i="5"/>
  <c r="R578" i="5"/>
  <c r="Q578" i="5"/>
  <c r="O578" i="5"/>
  <c r="N578" i="5"/>
  <c r="L578" i="5"/>
  <c r="K578" i="5"/>
  <c r="J578" i="5"/>
  <c r="I578" i="5"/>
  <c r="G578" i="5"/>
  <c r="F578" i="5"/>
  <c r="E578" i="5"/>
  <c r="Y577" i="5"/>
  <c r="T577" i="5"/>
  <c r="S577" i="5"/>
  <c r="R577" i="5"/>
  <c r="Q577" i="5"/>
  <c r="O577" i="5"/>
  <c r="N577" i="5"/>
  <c r="L577" i="5"/>
  <c r="K577" i="5"/>
  <c r="J577" i="5"/>
  <c r="I577" i="5"/>
  <c r="G577" i="5"/>
  <c r="F577" i="5"/>
  <c r="E577" i="5"/>
  <c r="Y576" i="5"/>
  <c r="T576" i="5"/>
  <c r="S576" i="5"/>
  <c r="R576" i="5"/>
  <c r="Q576" i="5"/>
  <c r="O576" i="5"/>
  <c r="L576" i="5"/>
  <c r="K576" i="5"/>
  <c r="J576" i="5"/>
  <c r="I576" i="5"/>
  <c r="G576" i="5"/>
  <c r="E576" i="5"/>
  <c r="Y575" i="5"/>
  <c r="W575" i="5"/>
  <c r="V575" i="5"/>
  <c r="U575" i="5"/>
  <c r="T575" i="5"/>
  <c r="S575" i="5"/>
  <c r="R575" i="5"/>
  <c r="Q575" i="5"/>
  <c r="P575" i="5"/>
  <c r="O575" i="5"/>
  <c r="N575" i="5"/>
  <c r="M575" i="5"/>
  <c r="L575" i="5"/>
  <c r="K575" i="5"/>
  <c r="J575" i="5"/>
  <c r="I575" i="5"/>
  <c r="H575" i="5"/>
  <c r="G575" i="5"/>
  <c r="F575" i="5"/>
  <c r="E575" i="5"/>
  <c r="Y574" i="5"/>
  <c r="T574" i="5"/>
  <c r="S574" i="5"/>
  <c r="R574" i="5"/>
  <c r="Q574" i="5"/>
  <c r="O574" i="5"/>
  <c r="N574" i="5"/>
  <c r="L574" i="5"/>
  <c r="K574" i="5"/>
  <c r="J574" i="5"/>
  <c r="I574" i="5"/>
  <c r="G574" i="5"/>
  <c r="F574" i="5"/>
  <c r="E574" i="5"/>
  <c r="Y573" i="5"/>
  <c r="T573" i="5"/>
  <c r="S573" i="5"/>
  <c r="R573" i="5"/>
  <c r="Q573" i="5"/>
  <c r="O573" i="5"/>
  <c r="N573" i="5"/>
  <c r="L573" i="5"/>
  <c r="K573" i="5"/>
  <c r="J573" i="5"/>
  <c r="I573" i="5"/>
  <c r="G573" i="5"/>
  <c r="F573" i="5"/>
  <c r="E573" i="5"/>
  <c r="X572" i="5"/>
  <c r="Z572" i="5" s="1"/>
  <c r="X571" i="5"/>
  <c r="Z571" i="5" s="1"/>
  <c r="P570" i="5"/>
  <c r="H570" i="5"/>
  <c r="X570" i="5" s="1"/>
  <c r="E570" i="5"/>
  <c r="X569" i="5"/>
  <c r="Z569" i="5" s="1"/>
  <c r="Y568" i="5"/>
  <c r="T568" i="5"/>
  <c r="S568" i="5"/>
  <c r="R568" i="5"/>
  <c r="Q568" i="5"/>
  <c r="O568" i="5"/>
  <c r="N568" i="5"/>
  <c r="L568" i="5"/>
  <c r="K568" i="5"/>
  <c r="J568" i="5"/>
  <c r="I568" i="5"/>
  <c r="G568" i="5"/>
  <c r="F568" i="5"/>
  <c r="E568" i="5"/>
  <c r="Y567" i="5"/>
  <c r="T567" i="5"/>
  <c r="S567" i="5"/>
  <c r="R567" i="5"/>
  <c r="Q567" i="5"/>
  <c r="O567" i="5"/>
  <c r="N567" i="5"/>
  <c r="L567" i="5"/>
  <c r="K567" i="5"/>
  <c r="J567" i="5"/>
  <c r="I567" i="5"/>
  <c r="G567" i="5"/>
  <c r="F567" i="5"/>
  <c r="E567" i="5"/>
  <c r="Y566" i="5"/>
  <c r="Y570" i="5" s="1"/>
  <c r="T566" i="5"/>
  <c r="S566" i="5"/>
  <c r="R566" i="5"/>
  <c r="Q566" i="5"/>
  <c r="Q570" i="5" s="1"/>
  <c r="O566" i="5"/>
  <c r="N566" i="5"/>
  <c r="L566" i="5"/>
  <c r="K566" i="5"/>
  <c r="J566" i="5"/>
  <c r="I566" i="5"/>
  <c r="I570" i="5" s="1"/>
  <c r="G566" i="5"/>
  <c r="F566" i="5"/>
  <c r="E566" i="5"/>
  <c r="X565" i="5"/>
  <c r="Z565" i="5" s="1"/>
  <c r="X564" i="5"/>
  <c r="Z564" i="5" s="1"/>
  <c r="H563" i="5"/>
  <c r="X563" i="5" s="1"/>
  <c r="E563" i="5"/>
  <c r="X562" i="5"/>
  <c r="Z562" i="5" s="1"/>
  <c r="Y561" i="5"/>
  <c r="Y563" i="5" s="1"/>
  <c r="T561" i="5"/>
  <c r="T563" i="5" s="1"/>
  <c r="S561" i="5"/>
  <c r="S563" i="5" s="1"/>
  <c r="R561" i="5"/>
  <c r="R563" i="5" s="1"/>
  <c r="Q561" i="5"/>
  <c r="Q563" i="5" s="1"/>
  <c r="O561" i="5"/>
  <c r="O563" i="5" s="1"/>
  <c r="N561" i="5"/>
  <c r="N563" i="5" s="1"/>
  <c r="L561" i="5"/>
  <c r="L563" i="5" s="1"/>
  <c r="K561" i="5"/>
  <c r="K563" i="5" s="1"/>
  <c r="J561" i="5"/>
  <c r="J563" i="5" s="1"/>
  <c r="I561" i="5"/>
  <c r="I563" i="5" s="1"/>
  <c r="G561" i="5"/>
  <c r="G563" i="5" s="1"/>
  <c r="F561" i="5"/>
  <c r="F563" i="5" s="1"/>
  <c r="E561" i="5"/>
  <c r="X560" i="5"/>
  <c r="Z560" i="5" s="1"/>
  <c r="X559" i="5"/>
  <c r="Z559" i="5" s="1"/>
  <c r="P558" i="5"/>
  <c r="H558" i="5"/>
  <c r="X558" i="5" s="1"/>
  <c r="E558" i="5"/>
  <c r="H557" i="5"/>
  <c r="X557" i="5" s="1"/>
  <c r="E557" i="5"/>
  <c r="H556" i="5"/>
  <c r="X556" i="5" s="1"/>
  <c r="E556" i="5"/>
  <c r="X555" i="5"/>
  <c r="Z555" i="5" s="1"/>
  <c r="Y554" i="5"/>
  <c r="T554" i="5"/>
  <c r="S554" i="5"/>
  <c r="R554" i="5"/>
  <c r="Q554" i="5"/>
  <c r="O554" i="5"/>
  <c r="N554" i="5"/>
  <c r="L554" i="5"/>
  <c r="K554" i="5"/>
  <c r="J554" i="5"/>
  <c r="I554" i="5"/>
  <c r="G554" i="5"/>
  <c r="F554" i="5"/>
  <c r="E554" i="5"/>
  <c r="Y553" i="5"/>
  <c r="T553" i="5"/>
  <c r="S553" i="5"/>
  <c r="R553" i="5"/>
  <c r="Q553" i="5"/>
  <c r="O553" i="5"/>
  <c r="N553" i="5"/>
  <c r="L553" i="5"/>
  <c r="K553" i="5"/>
  <c r="J553" i="5"/>
  <c r="I553" i="5"/>
  <c r="G553" i="5"/>
  <c r="Y552" i="5"/>
  <c r="T552" i="5"/>
  <c r="S552" i="5"/>
  <c r="R552" i="5"/>
  <c r="Q552" i="5"/>
  <c r="O552" i="5"/>
  <c r="N552" i="5"/>
  <c r="L552" i="5"/>
  <c r="K552" i="5"/>
  <c r="J552" i="5"/>
  <c r="I552" i="5"/>
  <c r="G552" i="5"/>
  <c r="F552" i="5"/>
  <c r="E552" i="5"/>
  <c r="Y551" i="5"/>
  <c r="T551" i="5"/>
  <c r="S551" i="5"/>
  <c r="R551" i="5"/>
  <c r="Q551" i="5"/>
  <c r="O551" i="5"/>
  <c r="N551" i="5"/>
  <c r="L551" i="5"/>
  <c r="K551" i="5"/>
  <c r="J551" i="5"/>
  <c r="I551" i="5"/>
  <c r="G551" i="5"/>
  <c r="F551" i="5"/>
  <c r="E551" i="5"/>
  <c r="Y550" i="5"/>
  <c r="T550" i="5"/>
  <c r="S550" i="5"/>
  <c r="R550" i="5"/>
  <c r="Q550" i="5"/>
  <c r="O550" i="5"/>
  <c r="N550" i="5"/>
  <c r="L550" i="5"/>
  <c r="K550" i="5"/>
  <c r="J550" i="5"/>
  <c r="I550" i="5"/>
  <c r="G550" i="5"/>
  <c r="F550" i="5"/>
  <c r="E550" i="5"/>
  <c r="Y549" i="5"/>
  <c r="T549" i="5"/>
  <c r="S549" i="5"/>
  <c r="R549" i="5"/>
  <c r="Q549" i="5"/>
  <c r="O549" i="5"/>
  <c r="N549" i="5"/>
  <c r="L549" i="5"/>
  <c r="K549" i="5"/>
  <c r="J549" i="5"/>
  <c r="I549" i="5"/>
  <c r="G549" i="5"/>
  <c r="E549" i="5"/>
  <c r="Y548" i="5"/>
  <c r="T548" i="5"/>
  <c r="S548" i="5"/>
  <c r="R548" i="5"/>
  <c r="Q548" i="5"/>
  <c r="O548" i="5"/>
  <c r="N548" i="5"/>
  <c r="L548" i="5"/>
  <c r="K548" i="5"/>
  <c r="J548" i="5"/>
  <c r="I548" i="5"/>
  <c r="G548" i="5"/>
  <c r="F548" i="5"/>
  <c r="E548" i="5"/>
  <c r="X547" i="5"/>
  <c r="Z547" i="5" s="1"/>
  <c r="X546" i="5"/>
  <c r="Z546" i="5" s="1"/>
  <c r="P545" i="5"/>
  <c r="H545" i="5"/>
  <c r="X545" i="5" s="1"/>
  <c r="Z545" i="5" s="1"/>
  <c r="E545" i="5"/>
  <c r="X544" i="5"/>
  <c r="Z544" i="5" s="1"/>
  <c r="Y543" i="5"/>
  <c r="T543" i="5"/>
  <c r="S543" i="5"/>
  <c r="R543" i="5"/>
  <c r="Q543" i="5"/>
  <c r="O543" i="5"/>
  <c r="N543" i="5"/>
  <c r="L543" i="5"/>
  <c r="K543" i="5"/>
  <c r="J543" i="5"/>
  <c r="I543" i="5"/>
  <c r="G543" i="5"/>
  <c r="F543" i="5"/>
  <c r="E543" i="5"/>
  <c r="Y542" i="5"/>
  <c r="T542" i="5"/>
  <c r="S542" i="5"/>
  <c r="R542" i="5"/>
  <c r="Q542" i="5"/>
  <c r="O542" i="5"/>
  <c r="N542" i="5"/>
  <c r="L542" i="5"/>
  <c r="K542" i="5"/>
  <c r="J542" i="5"/>
  <c r="I542" i="5"/>
  <c r="G542" i="5"/>
  <c r="F542" i="5"/>
  <c r="E542" i="5"/>
  <c r="Y541" i="5"/>
  <c r="T541" i="5"/>
  <c r="S541" i="5"/>
  <c r="R541" i="5"/>
  <c r="Q541" i="5"/>
  <c r="O541" i="5"/>
  <c r="L541" i="5"/>
  <c r="K541" i="5"/>
  <c r="J541" i="5"/>
  <c r="I541" i="5"/>
  <c r="G541" i="5"/>
  <c r="F541" i="5"/>
  <c r="E541" i="5"/>
  <c r="Y540" i="5"/>
  <c r="T540" i="5"/>
  <c r="S540" i="5"/>
  <c r="R540" i="5"/>
  <c r="Q540" i="5"/>
  <c r="O540" i="5"/>
  <c r="N540" i="5"/>
  <c r="L540" i="5"/>
  <c r="K540" i="5"/>
  <c r="J540" i="5"/>
  <c r="I540" i="5"/>
  <c r="G540" i="5"/>
  <c r="F540" i="5"/>
  <c r="E540" i="5"/>
  <c r="Y539" i="5"/>
  <c r="W539" i="5"/>
  <c r="V539" i="5"/>
  <c r="T539" i="5"/>
  <c r="S539" i="5"/>
  <c r="R539" i="5"/>
  <c r="Q539" i="5"/>
  <c r="O539" i="5"/>
  <c r="N539" i="5"/>
  <c r="L539" i="5"/>
  <c r="K539" i="5"/>
  <c r="J539" i="5"/>
  <c r="I539" i="5"/>
  <c r="G539" i="5"/>
  <c r="F539" i="5"/>
  <c r="E539" i="5"/>
  <c r="Y538" i="5"/>
  <c r="T538" i="5"/>
  <c r="S538" i="5"/>
  <c r="R538" i="5"/>
  <c r="Q538" i="5"/>
  <c r="O538" i="5"/>
  <c r="N538" i="5"/>
  <c r="L538" i="5"/>
  <c r="K538" i="5"/>
  <c r="J538" i="5"/>
  <c r="I538" i="5"/>
  <c r="G538" i="5"/>
  <c r="F538" i="5"/>
  <c r="E538" i="5"/>
  <c r="X537" i="5"/>
  <c r="Z537" i="5" s="1"/>
  <c r="X536" i="5"/>
  <c r="Z536" i="5" s="1"/>
  <c r="P535" i="5"/>
  <c r="H535" i="5"/>
  <c r="X535" i="5" s="1"/>
  <c r="E535" i="5"/>
  <c r="X534" i="5"/>
  <c r="Z534" i="5" s="1"/>
  <c r="Y533" i="5"/>
  <c r="T533" i="5"/>
  <c r="S533" i="5"/>
  <c r="R533" i="5"/>
  <c r="Q533" i="5"/>
  <c r="O533" i="5"/>
  <c r="N533" i="5"/>
  <c r="L533" i="5"/>
  <c r="K533" i="5"/>
  <c r="J533" i="5"/>
  <c r="I533" i="5"/>
  <c r="G533" i="5"/>
  <c r="F533" i="5"/>
  <c r="E533" i="5"/>
  <c r="Y532" i="5"/>
  <c r="T532" i="5"/>
  <c r="S532" i="5"/>
  <c r="R532" i="5"/>
  <c r="Q532" i="5"/>
  <c r="O532" i="5"/>
  <c r="N532" i="5"/>
  <c r="L532" i="5"/>
  <c r="K532" i="5"/>
  <c r="J532" i="5"/>
  <c r="I532" i="5"/>
  <c r="G532" i="5"/>
  <c r="F532" i="5"/>
  <c r="E532" i="5"/>
  <c r="Y531" i="5"/>
  <c r="T531" i="5"/>
  <c r="S531" i="5"/>
  <c r="R531" i="5"/>
  <c r="Q531" i="5"/>
  <c r="O531" i="5"/>
  <c r="N531" i="5"/>
  <c r="L531" i="5"/>
  <c r="K531" i="5"/>
  <c r="J531" i="5"/>
  <c r="I531" i="5"/>
  <c r="G531" i="5"/>
  <c r="F531" i="5"/>
  <c r="E531" i="5"/>
  <c r="Y530" i="5"/>
  <c r="T530" i="5"/>
  <c r="S530" i="5"/>
  <c r="R530" i="5"/>
  <c r="Q530" i="5"/>
  <c r="O530" i="5"/>
  <c r="N530" i="5"/>
  <c r="L530" i="5"/>
  <c r="K530" i="5"/>
  <c r="J530" i="5"/>
  <c r="I530" i="5"/>
  <c r="G530" i="5"/>
  <c r="F530" i="5"/>
  <c r="E530" i="5"/>
  <c r="Y529" i="5"/>
  <c r="T529" i="5"/>
  <c r="S529" i="5"/>
  <c r="R529" i="5"/>
  <c r="Q529" i="5"/>
  <c r="O529" i="5"/>
  <c r="N529" i="5"/>
  <c r="L529" i="5"/>
  <c r="K529" i="5"/>
  <c r="J529" i="5"/>
  <c r="I529" i="5"/>
  <c r="G529" i="5"/>
  <c r="F529" i="5"/>
  <c r="E529" i="5"/>
  <c r="Y528" i="5"/>
  <c r="T528" i="5"/>
  <c r="S528" i="5"/>
  <c r="R528" i="5"/>
  <c r="Q528" i="5"/>
  <c r="O528" i="5"/>
  <c r="N528" i="5"/>
  <c r="L528" i="5"/>
  <c r="K528" i="5"/>
  <c r="J528" i="5"/>
  <c r="I528" i="5"/>
  <c r="G528" i="5"/>
  <c r="F528" i="5"/>
  <c r="E528" i="5"/>
  <c r="AB527" i="5"/>
  <c r="AA527" i="5"/>
  <c r="Y527" i="5"/>
  <c r="W527" i="5"/>
  <c r="V527" i="5"/>
  <c r="U527" i="5"/>
  <c r="T527" i="5"/>
  <c r="S527" i="5"/>
  <c r="R527" i="5"/>
  <c r="Q527" i="5"/>
  <c r="P527" i="5"/>
  <c r="O527" i="5"/>
  <c r="N527" i="5"/>
  <c r="M527" i="5"/>
  <c r="L527" i="5"/>
  <c r="K527" i="5"/>
  <c r="J527" i="5"/>
  <c r="I527" i="5"/>
  <c r="H527" i="5"/>
  <c r="X527" i="5" s="1"/>
  <c r="G527" i="5"/>
  <c r="F527" i="5"/>
  <c r="E527" i="5"/>
  <c r="Y526" i="5"/>
  <c r="T526" i="5"/>
  <c r="S526" i="5"/>
  <c r="R526" i="5"/>
  <c r="Q526" i="5"/>
  <c r="O526" i="5"/>
  <c r="N526" i="5"/>
  <c r="L526" i="5"/>
  <c r="K526" i="5"/>
  <c r="J526" i="5"/>
  <c r="I526" i="5"/>
  <c r="G526" i="5"/>
  <c r="F526" i="5"/>
  <c r="E526" i="5"/>
  <c r="Y525" i="5"/>
  <c r="T525" i="5"/>
  <c r="S525" i="5"/>
  <c r="R525" i="5"/>
  <c r="Q525" i="5"/>
  <c r="O525" i="5"/>
  <c r="N525" i="5"/>
  <c r="L525" i="5"/>
  <c r="K525" i="5"/>
  <c r="J525" i="5"/>
  <c r="I525" i="5"/>
  <c r="G525" i="5"/>
  <c r="F525" i="5"/>
  <c r="E525" i="5"/>
  <c r="X524" i="5"/>
  <c r="Z524" i="5" s="1"/>
  <c r="X523" i="5"/>
  <c r="Z523" i="5" s="1"/>
  <c r="P522" i="5"/>
  <c r="H522" i="5"/>
  <c r="X522" i="5" s="1"/>
  <c r="E522" i="5"/>
  <c r="X521" i="5"/>
  <c r="Z521" i="5" s="1"/>
  <c r="Y520" i="5"/>
  <c r="T520" i="5"/>
  <c r="S520" i="5"/>
  <c r="R520" i="5"/>
  <c r="Q520" i="5"/>
  <c r="O520" i="5"/>
  <c r="N520" i="5"/>
  <c r="L520" i="5"/>
  <c r="K520" i="5"/>
  <c r="J520" i="5"/>
  <c r="I520" i="5"/>
  <c r="G520" i="5"/>
  <c r="F520" i="5"/>
  <c r="E520" i="5"/>
  <c r="Y519" i="5"/>
  <c r="T519" i="5"/>
  <c r="S519" i="5"/>
  <c r="R519" i="5"/>
  <c r="Q519" i="5"/>
  <c r="O519" i="5"/>
  <c r="N519" i="5"/>
  <c r="L519" i="5"/>
  <c r="K519" i="5"/>
  <c r="J519" i="5"/>
  <c r="I519" i="5"/>
  <c r="G519" i="5"/>
  <c r="F519" i="5"/>
  <c r="E519" i="5"/>
  <c r="Y518" i="5"/>
  <c r="T518" i="5"/>
  <c r="S518" i="5"/>
  <c r="R518" i="5"/>
  <c r="Q518" i="5"/>
  <c r="O518" i="5"/>
  <c r="N518" i="5"/>
  <c r="L518" i="5"/>
  <c r="K518" i="5"/>
  <c r="J518" i="5"/>
  <c r="I518" i="5"/>
  <c r="G518" i="5"/>
  <c r="F518" i="5"/>
  <c r="E518" i="5"/>
  <c r="Y517" i="5"/>
  <c r="T517" i="5"/>
  <c r="S517" i="5"/>
  <c r="R517" i="5"/>
  <c r="Q517" i="5"/>
  <c r="O517" i="5"/>
  <c r="N517" i="5"/>
  <c r="L517" i="5"/>
  <c r="K517" i="5"/>
  <c r="J517" i="5"/>
  <c r="I517" i="5"/>
  <c r="G517" i="5"/>
  <c r="F517" i="5"/>
  <c r="E517" i="5"/>
  <c r="Y516" i="5"/>
  <c r="T516" i="5"/>
  <c r="S516" i="5"/>
  <c r="R516" i="5"/>
  <c r="Q516" i="5"/>
  <c r="O516" i="5"/>
  <c r="N516" i="5"/>
  <c r="L516" i="5"/>
  <c r="K516" i="5"/>
  <c r="J516" i="5"/>
  <c r="I516" i="5"/>
  <c r="G516" i="5"/>
  <c r="F516" i="5"/>
  <c r="E516" i="5"/>
  <c r="Y515" i="5"/>
  <c r="T515" i="5"/>
  <c r="S515" i="5"/>
  <c r="R515" i="5"/>
  <c r="Q515" i="5"/>
  <c r="O515" i="5"/>
  <c r="N515" i="5"/>
  <c r="L515" i="5"/>
  <c r="K515" i="5"/>
  <c r="J515" i="5"/>
  <c r="I515" i="5"/>
  <c r="G515" i="5"/>
  <c r="F515" i="5"/>
  <c r="E515" i="5"/>
  <c r="Y514" i="5"/>
  <c r="T514" i="5"/>
  <c r="S514" i="5"/>
  <c r="R514" i="5"/>
  <c r="Q514" i="5"/>
  <c r="O514" i="5"/>
  <c r="N514" i="5"/>
  <c r="L514" i="5"/>
  <c r="K514" i="5"/>
  <c r="J514" i="5"/>
  <c r="I514" i="5"/>
  <c r="G514" i="5"/>
  <c r="F514" i="5"/>
  <c r="E514" i="5"/>
  <c r="Y513" i="5"/>
  <c r="T513" i="5"/>
  <c r="S513" i="5"/>
  <c r="R513" i="5"/>
  <c r="Q513" i="5"/>
  <c r="O513" i="5"/>
  <c r="N513" i="5"/>
  <c r="L513" i="5"/>
  <c r="K513" i="5"/>
  <c r="J513" i="5"/>
  <c r="I513" i="5"/>
  <c r="G513" i="5"/>
  <c r="F513" i="5"/>
  <c r="E513" i="5"/>
  <c r="Y512" i="5"/>
  <c r="T512" i="5"/>
  <c r="S512" i="5"/>
  <c r="R512" i="5"/>
  <c r="Q512" i="5"/>
  <c r="O512" i="5"/>
  <c r="N512" i="5"/>
  <c r="L512" i="5"/>
  <c r="K512" i="5"/>
  <c r="J512" i="5"/>
  <c r="I512" i="5"/>
  <c r="G512" i="5"/>
  <c r="F512" i="5"/>
  <c r="E512" i="5"/>
  <c r="X511" i="5"/>
  <c r="Z511" i="5" s="1"/>
  <c r="X510" i="5"/>
  <c r="Z510" i="5" s="1"/>
  <c r="P509" i="5"/>
  <c r="H509" i="5"/>
  <c r="X509" i="5" s="1"/>
  <c r="E509" i="5"/>
  <c r="X508" i="5"/>
  <c r="Z508" i="5" s="1"/>
  <c r="Y507" i="5"/>
  <c r="T507" i="5"/>
  <c r="S507" i="5"/>
  <c r="R507" i="5"/>
  <c r="Q507" i="5"/>
  <c r="O507" i="5"/>
  <c r="N507" i="5"/>
  <c r="L507" i="5"/>
  <c r="K507" i="5"/>
  <c r="J507" i="5"/>
  <c r="I507" i="5"/>
  <c r="G507" i="5"/>
  <c r="F507" i="5"/>
  <c r="E507" i="5"/>
  <c r="Y506" i="5"/>
  <c r="T506" i="5"/>
  <c r="S506" i="5"/>
  <c r="R506" i="5"/>
  <c r="Q506" i="5"/>
  <c r="O506" i="5"/>
  <c r="N506" i="5"/>
  <c r="L506" i="5"/>
  <c r="K506" i="5"/>
  <c r="J506" i="5"/>
  <c r="I506" i="5"/>
  <c r="G506" i="5"/>
  <c r="F506" i="5"/>
  <c r="E506" i="5"/>
  <c r="Y505" i="5"/>
  <c r="W505" i="5"/>
  <c r="T505" i="5"/>
  <c r="S505" i="5"/>
  <c r="R505" i="5"/>
  <c r="Q505" i="5"/>
  <c r="O505" i="5"/>
  <c r="N505" i="5"/>
  <c r="L505" i="5"/>
  <c r="K505" i="5"/>
  <c r="J505" i="5"/>
  <c r="I505" i="5"/>
  <c r="G505" i="5"/>
  <c r="F505" i="5"/>
  <c r="E505" i="5"/>
  <c r="Y504" i="5"/>
  <c r="T504" i="5"/>
  <c r="S504" i="5"/>
  <c r="R504" i="5"/>
  <c r="Q504" i="5"/>
  <c r="O504" i="5"/>
  <c r="N504" i="5"/>
  <c r="L504" i="5"/>
  <c r="K504" i="5"/>
  <c r="J504" i="5"/>
  <c r="I504" i="5"/>
  <c r="G504" i="5"/>
  <c r="F504" i="5"/>
  <c r="E504" i="5"/>
  <c r="Y503" i="5"/>
  <c r="T503" i="5"/>
  <c r="S503" i="5"/>
  <c r="R503" i="5"/>
  <c r="Q503" i="5"/>
  <c r="O503" i="5"/>
  <c r="N503" i="5"/>
  <c r="L503" i="5"/>
  <c r="K503" i="5"/>
  <c r="J503" i="5"/>
  <c r="I503" i="5"/>
  <c r="G503" i="5"/>
  <c r="F503" i="5"/>
  <c r="E503" i="5"/>
  <c r="X502" i="5"/>
  <c r="Z502" i="5" s="1"/>
  <c r="X501" i="5"/>
  <c r="Z501" i="5" s="1"/>
  <c r="P500" i="5"/>
  <c r="H500" i="5"/>
  <c r="X500" i="5" s="1"/>
  <c r="E500" i="5"/>
  <c r="X499" i="5"/>
  <c r="Z499" i="5" s="1"/>
  <c r="Y498" i="5"/>
  <c r="T498" i="5"/>
  <c r="S498" i="5"/>
  <c r="R498" i="5"/>
  <c r="Q498" i="5"/>
  <c r="O498" i="5"/>
  <c r="N498" i="5"/>
  <c r="L498" i="5"/>
  <c r="K498" i="5"/>
  <c r="J498" i="5"/>
  <c r="I498" i="5"/>
  <c r="G498" i="5"/>
  <c r="F498" i="5"/>
  <c r="E498" i="5"/>
  <c r="Y497" i="5"/>
  <c r="T497" i="5"/>
  <c r="S497" i="5"/>
  <c r="R497" i="5"/>
  <c r="Q497" i="5"/>
  <c r="O497" i="5"/>
  <c r="N497" i="5"/>
  <c r="L497" i="5"/>
  <c r="K497" i="5"/>
  <c r="J497" i="5"/>
  <c r="I497" i="5"/>
  <c r="G497" i="5"/>
  <c r="F497" i="5"/>
  <c r="E497" i="5"/>
  <c r="Y496" i="5"/>
  <c r="T496" i="5"/>
  <c r="S496" i="5"/>
  <c r="R496" i="5"/>
  <c r="Q496" i="5"/>
  <c r="O496" i="5"/>
  <c r="N496" i="5"/>
  <c r="L496" i="5"/>
  <c r="K496" i="5"/>
  <c r="J496" i="5"/>
  <c r="I496" i="5"/>
  <c r="G496" i="5"/>
  <c r="F496" i="5"/>
  <c r="E496" i="5"/>
  <c r="Y495" i="5"/>
  <c r="T495" i="5"/>
  <c r="S495" i="5"/>
  <c r="R495" i="5"/>
  <c r="Q495" i="5"/>
  <c r="O495" i="5"/>
  <c r="N495" i="5"/>
  <c r="L495" i="5"/>
  <c r="K495" i="5"/>
  <c r="J495" i="5"/>
  <c r="I495" i="5"/>
  <c r="G495" i="5"/>
  <c r="F495" i="5"/>
  <c r="E495" i="5"/>
  <c r="Y494" i="5"/>
  <c r="T494" i="5"/>
  <c r="S494" i="5"/>
  <c r="R494" i="5"/>
  <c r="Q494" i="5"/>
  <c r="O494" i="5"/>
  <c r="N494" i="5"/>
  <c r="L494" i="5"/>
  <c r="K494" i="5"/>
  <c r="J494" i="5"/>
  <c r="I494" i="5"/>
  <c r="G494" i="5"/>
  <c r="F494" i="5"/>
  <c r="E494" i="5"/>
  <c r="Y493" i="5"/>
  <c r="T493" i="5"/>
  <c r="S493" i="5"/>
  <c r="R493" i="5"/>
  <c r="Q493" i="5"/>
  <c r="O493" i="5"/>
  <c r="N493" i="5"/>
  <c r="L493" i="5"/>
  <c r="K493" i="5"/>
  <c r="J493" i="5"/>
  <c r="I493" i="5"/>
  <c r="G493" i="5"/>
  <c r="F493" i="5"/>
  <c r="E493" i="5"/>
  <c r="Y492" i="5"/>
  <c r="T492" i="5"/>
  <c r="S492" i="5"/>
  <c r="R492" i="5"/>
  <c r="Q492" i="5"/>
  <c r="O492" i="5"/>
  <c r="N492" i="5"/>
  <c r="L492" i="5"/>
  <c r="K492" i="5"/>
  <c r="J492" i="5"/>
  <c r="I492" i="5"/>
  <c r="G492" i="5"/>
  <c r="F492" i="5"/>
  <c r="E492" i="5"/>
  <c r="Y491" i="5"/>
  <c r="T491" i="5"/>
  <c r="S491" i="5"/>
  <c r="R491" i="5"/>
  <c r="Q491" i="5"/>
  <c r="O491" i="5"/>
  <c r="N491" i="5"/>
  <c r="L491" i="5"/>
  <c r="K491" i="5"/>
  <c r="J491" i="5"/>
  <c r="I491" i="5"/>
  <c r="G491" i="5"/>
  <c r="F491" i="5"/>
  <c r="E491" i="5"/>
  <c r="X490" i="5"/>
  <c r="Z490" i="5" s="1"/>
  <c r="X489" i="5"/>
  <c r="Z489" i="5" s="1"/>
  <c r="X488" i="5"/>
  <c r="Z488" i="5" s="1"/>
  <c r="P487" i="5"/>
  <c r="H487" i="5"/>
  <c r="E487" i="5"/>
  <c r="X486" i="5"/>
  <c r="Z486" i="5" s="1"/>
  <c r="Y485" i="5"/>
  <c r="T485" i="5"/>
  <c r="S485" i="5"/>
  <c r="R485" i="5"/>
  <c r="Q485" i="5"/>
  <c r="O485" i="5"/>
  <c r="N485" i="5"/>
  <c r="L485" i="5"/>
  <c r="K485" i="5"/>
  <c r="J485" i="5"/>
  <c r="I485" i="5"/>
  <c r="G485" i="5"/>
  <c r="F485" i="5"/>
  <c r="E485" i="5"/>
  <c r="Y484" i="5"/>
  <c r="T484" i="5"/>
  <c r="S484" i="5"/>
  <c r="R484" i="5"/>
  <c r="Q484" i="5"/>
  <c r="O484" i="5"/>
  <c r="N484" i="5"/>
  <c r="L484" i="5"/>
  <c r="K484" i="5"/>
  <c r="J484" i="5"/>
  <c r="I484" i="5"/>
  <c r="G484" i="5"/>
  <c r="F484" i="5"/>
  <c r="E484" i="5"/>
  <c r="Y483" i="5"/>
  <c r="T483" i="5"/>
  <c r="S483" i="5"/>
  <c r="R483" i="5"/>
  <c r="Q483" i="5"/>
  <c r="O483" i="5"/>
  <c r="N483" i="5"/>
  <c r="L483" i="5"/>
  <c r="K483" i="5"/>
  <c r="J483" i="5"/>
  <c r="I483" i="5"/>
  <c r="G483" i="5"/>
  <c r="F483" i="5"/>
  <c r="E483" i="5"/>
  <c r="Y482" i="5"/>
  <c r="T482" i="5"/>
  <c r="S482" i="5"/>
  <c r="R482" i="5"/>
  <c r="Q482" i="5"/>
  <c r="O482" i="5"/>
  <c r="N482" i="5"/>
  <c r="L482" i="5"/>
  <c r="K482" i="5"/>
  <c r="J482" i="5"/>
  <c r="I482" i="5"/>
  <c r="G482" i="5"/>
  <c r="E482" i="5"/>
  <c r="Y481" i="5"/>
  <c r="T481" i="5"/>
  <c r="S481" i="5"/>
  <c r="R481" i="5"/>
  <c r="Q481" i="5"/>
  <c r="O481" i="5"/>
  <c r="N481" i="5"/>
  <c r="L481" i="5"/>
  <c r="K481" i="5"/>
  <c r="J481" i="5"/>
  <c r="I481" i="5"/>
  <c r="G481" i="5"/>
  <c r="F481" i="5"/>
  <c r="E481" i="5"/>
  <c r="Y480" i="5"/>
  <c r="T480" i="5"/>
  <c r="S480" i="5"/>
  <c r="R480" i="5"/>
  <c r="Q480" i="5"/>
  <c r="O480" i="5"/>
  <c r="N480" i="5"/>
  <c r="L480" i="5"/>
  <c r="K480" i="5"/>
  <c r="J480" i="5"/>
  <c r="I480" i="5"/>
  <c r="G480" i="5"/>
  <c r="F480" i="5"/>
  <c r="E480" i="5"/>
  <c r="Y479" i="5"/>
  <c r="W479" i="5"/>
  <c r="T479" i="5"/>
  <c r="S479" i="5"/>
  <c r="R479" i="5"/>
  <c r="Q479" i="5"/>
  <c r="O479" i="5"/>
  <c r="N479" i="5"/>
  <c r="L479" i="5"/>
  <c r="K479" i="5"/>
  <c r="J479" i="5"/>
  <c r="I479" i="5"/>
  <c r="G479" i="5"/>
  <c r="F479" i="5"/>
  <c r="E479" i="5"/>
  <c r="Y478" i="5"/>
  <c r="W478" i="5"/>
  <c r="T478" i="5"/>
  <c r="S478" i="5"/>
  <c r="R478" i="5"/>
  <c r="Q478" i="5"/>
  <c r="O478" i="5"/>
  <c r="N478" i="5"/>
  <c r="L478" i="5"/>
  <c r="K478" i="5"/>
  <c r="J478" i="5"/>
  <c r="I478" i="5"/>
  <c r="G478" i="5"/>
  <c r="F478" i="5"/>
  <c r="E478" i="5"/>
  <c r="Y477" i="5"/>
  <c r="W477" i="5"/>
  <c r="T477" i="5"/>
  <c r="S477" i="5"/>
  <c r="R477" i="5"/>
  <c r="Q477" i="5"/>
  <c r="O477" i="5"/>
  <c r="N477" i="5"/>
  <c r="L477" i="5"/>
  <c r="K477" i="5"/>
  <c r="J477" i="5"/>
  <c r="I477" i="5"/>
  <c r="G477" i="5"/>
  <c r="F477" i="5"/>
  <c r="E477" i="5"/>
  <c r="Y476" i="5"/>
  <c r="W476" i="5"/>
  <c r="T476" i="5"/>
  <c r="S476" i="5"/>
  <c r="R476" i="5"/>
  <c r="Q476" i="5"/>
  <c r="O476" i="5"/>
  <c r="N476" i="5"/>
  <c r="L476" i="5"/>
  <c r="K476" i="5"/>
  <c r="J476" i="5"/>
  <c r="I476" i="5"/>
  <c r="G476" i="5"/>
  <c r="F476" i="5"/>
  <c r="E476" i="5"/>
  <c r="X475" i="5"/>
  <c r="Z475" i="5" s="1"/>
  <c r="X474" i="5"/>
  <c r="Z474" i="5" s="1"/>
  <c r="P473" i="5"/>
  <c r="H473" i="5"/>
  <c r="X473" i="5" s="1"/>
  <c r="E473" i="5"/>
  <c r="X472" i="5"/>
  <c r="Z472" i="5" s="1"/>
  <c r="Y471" i="5"/>
  <c r="T471" i="5"/>
  <c r="S471" i="5"/>
  <c r="R471" i="5"/>
  <c r="Q471" i="5"/>
  <c r="O471" i="5"/>
  <c r="N471" i="5"/>
  <c r="L471" i="5"/>
  <c r="K471" i="5"/>
  <c r="J471" i="5"/>
  <c r="I471" i="5"/>
  <c r="G471" i="5"/>
  <c r="F471" i="5"/>
  <c r="E471" i="5"/>
  <c r="Y470" i="5"/>
  <c r="T470" i="5"/>
  <c r="S470" i="5"/>
  <c r="R470" i="5"/>
  <c r="Q470" i="5"/>
  <c r="O470" i="5"/>
  <c r="N470" i="5"/>
  <c r="L470" i="5"/>
  <c r="K470" i="5"/>
  <c r="J470" i="5"/>
  <c r="I470" i="5"/>
  <c r="G470" i="5"/>
  <c r="F470" i="5"/>
  <c r="E470" i="5"/>
  <c r="Y469" i="5"/>
  <c r="T469" i="5"/>
  <c r="S469" i="5"/>
  <c r="R469" i="5"/>
  <c r="Q469" i="5"/>
  <c r="O469" i="5"/>
  <c r="N469" i="5"/>
  <c r="L469" i="5"/>
  <c r="K469" i="5"/>
  <c r="J469" i="5"/>
  <c r="I469" i="5"/>
  <c r="G469" i="5"/>
  <c r="F469" i="5"/>
  <c r="E469" i="5"/>
  <c r="Y468" i="5"/>
  <c r="T468" i="5"/>
  <c r="S468" i="5"/>
  <c r="R468" i="5"/>
  <c r="Q468" i="5"/>
  <c r="O468" i="5"/>
  <c r="N468" i="5"/>
  <c r="L468" i="5"/>
  <c r="K468" i="5"/>
  <c r="J468" i="5"/>
  <c r="I468" i="5"/>
  <c r="G468" i="5"/>
  <c r="F468" i="5"/>
  <c r="E468" i="5"/>
  <c r="Y467" i="5"/>
  <c r="T467" i="5"/>
  <c r="S467" i="5"/>
  <c r="R467" i="5"/>
  <c r="Q467" i="5"/>
  <c r="O467" i="5"/>
  <c r="N467" i="5"/>
  <c r="L467" i="5"/>
  <c r="K467" i="5"/>
  <c r="J467" i="5"/>
  <c r="I467" i="5"/>
  <c r="G467" i="5"/>
  <c r="F467" i="5"/>
  <c r="E467" i="5"/>
  <c r="Y466" i="5"/>
  <c r="T466" i="5"/>
  <c r="S466" i="5"/>
  <c r="R466" i="5"/>
  <c r="Q466" i="5"/>
  <c r="O466" i="5"/>
  <c r="N466" i="5"/>
  <c r="L466" i="5"/>
  <c r="K466" i="5"/>
  <c r="J466" i="5"/>
  <c r="I466" i="5"/>
  <c r="G466" i="5"/>
  <c r="F466" i="5"/>
  <c r="E466" i="5"/>
  <c r="Y465" i="5"/>
  <c r="T465" i="5"/>
  <c r="S465" i="5"/>
  <c r="R465" i="5"/>
  <c r="Q465" i="5"/>
  <c r="O465" i="5"/>
  <c r="N465" i="5"/>
  <c r="L465" i="5"/>
  <c r="K465" i="5"/>
  <c r="J465" i="5"/>
  <c r="I465" i="5"/>
  <c r="G465" i="5"/>
  <c r="F465" i="5"/>
  <c r="E465" i="5"/>
  <c r="Y464" i="5"/>
  <c r="T464" i="5"/>
  <c r="S464" i="5"/>
  <c r="R464" i="5"/>
  <c r="Q464" i="5"/>
  <c r="O464" i="5"/>
  <c r="N464" i="5"/>
  <c r="L464" i="5"/>
  <c r="K464" i="5"/>
  <c r="J464" i="5"/>
  <c r="I464" i="5"/>
  <c r="G464" i="5"/>
  <c r="F464" i="5"/>
  <c r="E464" i="5"/>
  <c r="Y463" i="5"/>
  <c r="T463" i="5"/>
  <c r="S463" i="5"/>
  <c r="R463" i="5"/>
  <c r="Q463" i="5"/>
  <c r="O463" i="5"/>
  <c r="N463" i="5"/>
  <c r="L463" i="5"/>
  <c r="K463" i="5"/>
  <c r="J463" i="5"/>
  <c r="I463" i="5"/>
  <c r="G463" i="5"/>
  <c r="F463" i="5"/>
  <c r="E463" i="5"/>
  <c r="Y462" i="5"/>
  <c r="T462" i="5"/>
  <c r="S462" i="5"/>
  <c r="R462" i="5"/>
  <c r="Q462" i="5"/>
  <c r="O462" i="5"/>
  <c r="N462" i="5"/>
  <c r="L462" i="5"/>
  <c r="K462" i="5"/>
  <c r="J462" i="5"/>
  <c r="I462" i="5"/>
  <c r="G462" i="5"/>
  <c r="F462" i="5"/>
  <c r="E462" i="5"/>
  <c r="Y461" i="5"/>
  <c r="T461" i="5"/>
  <c r="S461" i="5"/>
  <c r="R461" i="5"/>
  <c r="Q461" i="5"/>
  <c r="O461" i="5"/>
  <c r="N461" i="5"/>
  <c r="L461" i="5"/>
  <c r="K461" i="5"/>
  <c r="J461" i="5"/>
  <c r="I461" i="5"/>
  <c r="G461" i="5"/>
  <c r="F461" i="5"/>
  <c r="E461" i="5"/>
  <c r="Y460" i="5"/>
  <c r="T460" i="5"/>
  <c r="S460" i="5"/>
  <c r="R460" i="5"/>
  <c r="Q460" i="5"/>
  <c r="O460" i="5"/>
  <c r="N460" i="5"/>
  <c r="L460" i="5"/>
  <c r="K460" i="5"/>
  <c r="J460" i="5"/>
  <c r="I460" i="5"/>
  <c r="G460" i="5"/>
  <c r="F460" i="5"/>
  <c r="E460" i="5"/>
  <c r="X459" i="5"/>
  <c r="Z459" i="5" s="1"/>
  <c r="X458" i="5"/>
  <c r="Z458" i="5" s="1"/>
  <c r="P457" i="5"/>
  <c r="H457" i="5"/>
  <c r="E457" i="5"/>
  <c r="X456" i="5"/>
  <c r="Y455" i="5"/>
  <c r="T455" i="5"/>
  <c r="S455" i="5"/>
  <c r="R455" i="5"/>
  <c r="Q455" i="5"/>
  <c r="O455" i="5"/>
  <c r="N455" i="5"/>
  <c r="L455" i="5"/>
  <c r="K455" i="5"/>
  <c r="J455" i="5"/>
  <c r="I455" i="5"/>
  <c r="G455" i="5"/>
  <c r="F455" i="5"/>
  <c r="E455" i="5"/>
  <c r="Y454" i="5"/>
  <c r="T454" i="5"/>
  <c r="S454" i="5"/>
  <c r="R454" i="5"/>
  <c r="Q454" i="5"/>
  <c r="O454" i="5"/>
  <c r="N454" i="5"/>
  <c r="L454" i="5"/>
  <c r="K454" i="5"/>
  <c r="J454" i="5"/>
  <c r="I454" i="5"/>
  <c r="G454" i="5"/>
  <c r="F454" i="5"/>
  <c r="E454" i="5"/>
  <c r="Y453" i="5"/>
  <c r="T453" i="5"/>
  <c r="S453" i="5"/>
  <c r="R453" i="5"/>
  <c r="Q453" i="5"/>
  <c r="O453" i="5"/>
  <c r="N453" i="5"/>
  <c r="L453" i="5"/>
  <c r="K453" i="5"/>
  <c r="J453" i="5"/>
  <c r="I453" i="5"/>
  <c r="G453" i="5"/>
  <c r="F453" i="5"/>
  <c r="E453" i="5"/>
  <c r="Y452" i="5"/>
  <c r="T452" i="5"/>
  <c r="S452" i="5"/>
  <c r="R452" i="5"/>
  <c r="Q452" i="5"/>
  <c r="O452" i="5"/>
  <c r="N452" i="5"/>
  <c r="L452" i="5"/>
  <c r="K452" i="5"/>
  <c r="J452" i="5"/>
  <c r="I452" i="5"/>
  <c r="G452" i="5"/>
  <c r="F452" i="5"/>
  <c r="E452" i="5"/>
  <c r="Y451" i="5"/>
  <c r="T451" i="5"/>
  <c r="S451" i="5"/>
  <c r="R451" i="5"/>
  <c r="Q451" i="5"/>
  <c r="O451" i="5"/>
  <c r="N451" i="5"/>
  <c r="L451" i="5"/>
  <c r="K451" i="5"/>
  <c r="J451" i="5"/>
  <c r="I451" i="5"/>
  <c r="G451" i="5"/>
  <c r="F451" i="5"/>
  <c r="E451" i="5"/>
  <c r="Y450" i="5"/>
  <c r="T450" i="5"/>
  <c r="S450" i="5"/>
  <c r="R450" i="5"/>
  <c r="Q450" i="5"/>
  <c r="O450" i="5"/>
  <c r="N450" i="5"/>
  <c r="L450" i="5"/>
  <c r="K450" i="5"/>
  <c r="J450" i="5"/>
  <c r="I450" i="5"/>
  <c r="G450" i="5"/>
  <c r="F450" i="5"/>
  <c r="E450" i="5"/>
  <c r="Y449" i="5"/>
  <c r="T449" i="5"/>
  <c r="S449" i="5"/>
  <c r="R449" i="5"/>
  <c r="Q449" i="5"/>
  <c r="O449" i="5"/>
  <c r="N449" i="5"/>
  <c r="L449" i="5"/>
  <c r="K449" i="5"/>
  <c r="J449" i="5"/>
  <c r="I449" i="5"/>
  <c r="G449" i="5"/>
  <c r="F449" i="5"/>
  <c r="E449" i="5"/>
  <c r="X448" i="5"/>
  <c r="X447" i="5"/>
  <c r="P446" i="5"/>
  <c r="H446" i="5"/>
  <c r="X446" i="5" s="1"/>
  <c r="Z446" i="5" s="1"/>
  <c r="E446" i="5"/>
  <c r="Y444" i="5"/>
  <c r="T444" i="5"/>
  <c r="S444" i="5"/>
  <c r="R444" i="5"/>
  <c r="Q444" i="5"/>
  <c r="O444" i="5"/>
  <c r="N444" i="5"/>
  <c r="L444" i="5"/>
  <c r="K444" i="5"/>
  <c r="J444" i="5"/>
  <c r="I444" i="5"/>
  <c r="G444" i="5"/>
  <c r="F444" i="5"/>
  <c r="E444" i="5"/>
  <c r="Y443" i="5"/>
  <c r="T443" i="5"/>
  <c r="S443" i="5"/>
  <c r="R443" i="5"/>
  <c r="Q443" i="5"/>
  <c r="O443" i="5"/>
  <c r="N443" i="5"/>
  <c r="L443" i="5"/>
  <c r="K443" i="5"/>
  <c r="J443" i="5"/>
  <c r="I443" i="5"/>
  <c r="G443" i="5"/>
  <c r="F443" i="5"/>
  <c r="E443" i="5"/>
  <c r="Y442" i="5"/>
  <c r="T442" i="5"/>
  <c r="S442" i="5"/>
  <c r="R442" i="5"/>
  <c r="Q442" i="5"/>
  <c r="O442" i="5"/>
  <c r="N442" i="5"/>
  <c r="L442" i="5"/>
  <c r="K442" i="5"/>
  <c r="J442" i="5"/>
  <c r="I442" i="5"/>
  <c r="G442" i="5"/>
  <c r="F442" i="5"/>
  <c r="E442" i="5"/>
  <c r="Y441" i="5"/>
  <c r="T441" i="5"/>
  <c r="S441" i="5"/>
  <c r="R441" i="5"/>
  <c r="Q441" i="5"/>
  <c r="O441" i="5"/>
  <c r="N441" i="5"/>
  <c r="L441" i="5"/>
  <c r="K441" i="5"/>
  <c r="J441" i="5"/>
  <c r="I441" i="5"/>
  <c r="G441" i="5"/>
  <c r="F441" i="5"/>
  <c r="E441" i="5"/>
  <c r="Y440" i="5"/>
  <c r="T440" i="5"/>
  <c r="S440" i="5"/>
  <c r="R440" i="5"/>
  <c r="Q440" i="5"/>
  <c r="O440" i="5"/>
  <c r="N440" i="5"/>
  <c r="L440" i="5"/>
  <c r="K440" i="5"/>
  <c r="J440" i="5"/>
  <c r="I440" i="5"/>
  <c r="G440" i="5"/>
  <c r="F440" i="5"/>
  <c r="E440" i="5"/>
  <c r="Y439" i="5"/>
  <c r="T439" i="5"/>
  <c r="S439" i="5"/>
  <c r="R439" i="5"/>
  <c r="Q439" i="5"/>
  <c r="O439" i="5"/>
  <c r="N439" i="5"/>
  <c r="L439" i="5"/>
  <c r="K439" i="5"/>
  <c r="J439" i="5"/>
  <c r="I439" i="5"/>
  <c r="G439" i="5"/>
  <c r="F439" i="5"/>
  <c r="E439" i="5"/>
  <c r="Y438" i="5"/>
  <c r="T438" i="5"/>
  <c r="S438" i="5"/>
  <c r="R438" i="5"/>
  <c r="Q438" i="5"/>
  <c r="O438" i="5"/>
  <c r="N438" i="5"/>
  <c r="L438" i="5"/>
  <c r="K438" i="5"/>
  <c r="J438" i="5"/>
  <c r="I438" i="5"/>
  <c r="G438" i="5"/>
  <c r="F438" i="5"/>
  <c r="E438" i="5"/>
  <c r="Y437" i="5"/>
  <c r="T437" i="5"/>
  <c r="S437" i="5"/>
  <c r="R437" i="5"/>
  <c r="Q437" i="5"/>
  <c r="O437" i="5"/>
  <c r="N437" i="5"/>
  <c r="L437" i="5"/>
  <c r="K437" i="5"/>
  <c r="J437" i="5"/>
  <c r="I437" i="5"/>
  <c r="G437" i="5"/>
  <c r="F437" i="5"/>
  <c r="E437" i="5"/>
  <c r="Y436" i="5"/>
  <c r="T436" i="5"/>
  <c r="S436" i="5"/>
  <c r="R436" i="5"/>
  <c r="Q436" i="5"/>
  <c r="O436" i="5"/>
  <c r="N436" i="5"/>
  <c r="L436" i="5"/>
  <c r="K436" i="5"/>
  <c r="J436" i="5"/>
  <c r="I436" i="5"/>
  <c r="G436" i="5"/>
  <c r="F436" i="5"/>
  <c r="E436" i="5"/>
  <c r="Y435" i="5"/>
  <c r="T435" i="5"/>
  <c r="S435" i="5"/>
  <c r="R435" i="5"/>
  <c r="Q435" i="5"/>
  <c r="O435" i="5"/>
  <c r="N435" i="5"/>
  <c r="L435" i="5"/>
  <c r="K435" i="5"/>
  <c r="J435" i="5"/>
  <c r="I435" i="5"/>
  <c r="G435" i="5"/>
  <c r="F435" i="5"/>
  <c r="E435" i="5"/>
  <c r="Y434" i="5"/>
  <c r="T434" i="5"/>
  <c r="S434" i="5"/>
  <c r="R434" i="5"/>
  <c r="Q434" i="5"/>
  <c r="O434" i="5"/>
  <c r="N434" i="5"/>
  <c r="L434" i="5"/>
  <c r="K434" i="5"/>
  <c r="J434" i="5"/>
  <c r="I434" i="5"/>
  <c r="G434" i="5"/>
  <c r="F434" i="5"/>
  <c r="E434" i="5"/>
  <c r="Y433" i="5"/>
  <c r="T433" i="5"/>
  <c r="S433" i="5"/>
  <c r="R433" i="5"/>
  <c r="Q433" i="5"/>
  <c r="O433" i="5"/>
  <c r="N433" i="5"/>
  <c r="L433" i="5"/>
  <c r="K433" i="5"/>
  <c r="J433" i="5"/>
  <c r="I433" i="5"/>
  <c r="G433" i="5"/>
  <c r="F433" i="5"/>
  <c r="E433" i="5"/>
  <c r="Y432" i="5"/>
  <c r="T432" i="5"/>
  <c r="S432" i="5"/>
  <c r="R432" i="5"/>
  <c r="Q432" i="5"/>
  <c r="O432" i="5"/>
  <c r="N432" i="5"/>
  <c r="L432" i="5"/>
  <c r="K432" i="5"/>
  <c r="J432" i="5"/>
  <c r="I432" i="5"/>
  <c r="G432" i="5"/>
  <c r="F432" i="5"/>
  <c r="E432" i="5"/>
  <c r="Y431" i="5"/>
  <c r="T431" i="5"/>
  <c r="S431" i="5"/>
  <c r="R431" i="5"/>
  <c r="Q431" i="5"/>
  <c r="O431" i="5"/>
  <c r="N431" i="5"/>
  <c r="L431" i="5"/>
  <c r="K431" i="5"/>
  <c r="J431" i="5"/>
  <c r="I431" i="5"/>
  <c r="G431" i="5"/>
  <c r="F431" i="5"/>
  <c r="E431" i="5"/>
  <c r="Y430" i="5"/>
  <c r="T430" i="5"/>
  <c r="S430" i="5"/>
  <c r="R430" i="5"/>
  <c r="Q430" i="5"/>
  <c r="O430" i="5"/>
  <c r="N430" i="5"/>
  <c r="L430" i="5"/>
  <c r="K430" i="5"/>
  <c r="J430" i="5"/>
  <c r="I430" i="5"/>
  <c r="G430" i="5"/>
  <c r="F430" i="5"/>
  <c r="E430" i="5"/>
  <c r="Y429" i="5"/>
  <c r="T429" i="5"/>
  <c r="S429" i="5"/>
  <c r="R429" i="5"/>
  <c r="Q429" i="5"/>
  <c r="O429" i="5"/>
  <c r="N429" i="5"/>
  <c r="L429" i="5"/>
  <c r="K429" i="5"/>
  <c r="J429" i="5"/>
  <c r="I429" i="5"/>
  <c r="G429" i="5"/>
  <c r="F429" i="5"/>
  <c r="E429" i="5"/>
  <c r="Y428" i="5"/>
  <c r="T428" i="5"/>
  <c r="S428" i="5"/>
  <c r="R428" i="5"/>
  <c r="Q428" i="5"/>
  <c r="O428" i="5"/>
  <c r="N428" i="5"/>
  <c r="L428" i="5"/>
  <c r="K428" i="5"/>
  <c r="J428" i="5"/>
  <c r="I428" i="5"/>
  <c r="G428" i="5"/>
  <c r="Y427" i="5"/>
  <c r="T427" i="5"/>
  <c r="S427" i="5"/>
  <c r="R427" i="5"/>
  <c r="Q427" i="5"/>
  <c r="O427" i="5"/>
  <c r="N427" i="5"/>
  <c r="L427" i="5"/>
  <c r="K427" i="5"/>
  <c r="J427" i="5"/>
  <c r="I427" i="5"/>
  <c r="G427" i="5"/>
  <c r="F427" i="5"/>
  <c r="E427" i="5"/>
  <c r="Y426" i="5"/>
  <c r="Y446" i="5" s="1"/>
  <c r="T426" i="5"/>
  <c r="T446" i="5" s="1"/>
  <c r="S426" i="5"/>
  <c r="S446" i="5" s="1"/>
  <c r="R426" i="5"/>
  <c r="R446" i="5" s="1"/>
  <c r="Q426" i="5"/>
  <c r="Q446" i="5" s="1"/>
  <c r="O426" i="5"/>
  <c r="O446" i="5" s="1"/>
  <c r="L426" i="5"/>
  <c r="L446" i="5" s="1"/>
  <c r="K426" i="5"/>
  <c r="K446" i="5" s="1"/>
  <c r="J426" i="5"/>
  <c r="J446" i="5" s="1"/>
  <c r="I426" i="5"/>
  <c r="I446" i="5" s="1"/>
  <c r="G426" i="5"/>
  <c r="G446" i="5" s="1"/>
  <c r="P419" i="5"/>
  <c r="H419" i="5"/>
  <c r="E419" i="5"/>
  <c r="X418" i="5"/>
  <c r="Y417" i="5"/>
  <c r="W417" i="5"/>
  <c r="V417" i="5"/>
  <c r="T417" i="5"/>
  <c r="S417" i="5"/>
  <c r="R417" i="5"/>
  <c r="Q417" i="5"/>
  <c r="O417" i="5"/>
  <c r="N417" i="5"/>
  <c r="L417" i="5"/>
  <c r="K417" i="5"/>
  <c r="I417" i="5"/>
  <c r="G417" i="5"/>
  <c r="F417" i="5"/>
  <c r="E417" i="5"/>
  <c r="Y416" i="5"/>
  <c r="W416" i="5"/>
  <c r="V416" i="5"/>
  <c r="T416" i="5"/>
  <c r="S416" i="5"/>
  <c r="R416" i="5"/>
  <c r="Q416" i="5"/>
  <c r="O416" i="5"/>
  <c r="N416" i="5"/>
  <c r="L416" i="5"/>
  <c r="K416" i="5"/>
  <c r="I416" i="5"/>
  <c r="G416" i="5"/>
  <c r="F416" i="5"/>
  <c r="E416" i="5"/>
  <c r="Y415" i="5"/>
  <c r="W415" i="5"/>
  <c r="V415" i="5"/>
  <c r="T415" i="5"/>
  <c r="S415" i="5"/>
  <c r="R415" i="5"/>
  <c r="Q415" i="5"/>
  <c r="O415" i="5"/>
  <c r="N415" i="5"/>
  <c r="L415" i="5"/>
  <c r="K415" i="5"/>
  <c r="I415" i="5"/>
  <c r="G415" i="5"/>
  <c r="F415" i="5"/>
  <c r="E415" i="5"/>
  <c r="Y414" i="5"/>
  <c r="W414" i="5"/>
  <c r="V414" i="5"/>
  <c r="T414" i="5"/>
  <c r="S414" i="5"/>
  <c r="R414" i="5"/>
  <c r="Q414" i="5"/>
  <c r="O414" i="5"/>
  <c r="N414" i="5"/>
  <c r="L414" i="5"/>
  <c r="I414" i="5"/>
  <c r="G414" i="5"/>
  <c r="F414" i="5"/>
  <c r="E414" i="5"/>
  <c r="Y413" i="5"/>
  <c r="W413" i="5"/>
  <c r="V413" i="5"/>
  <c r="T413" i="5"/>
  <c r="S413" i="5"/>
  <c r="R413" i="5"/>
  <c r="Q413" i="5"/>
  <c r="O413" i="5"/>
  <c r="N413" i="5"/>
  <c r="L413" i="5"/>
  <c r="K413" i="5"/>
  <c r="I413" i="5"/>
  <c r="G413" i="5"/>
  <c r="F413" i="5"/>
  <c r="E413" i="5"/>
  <c r="Y412" i="5"/>
  <c r="W412" i="5"/>
  <c r="V412" i="5"/>
  <c r="T412" i="5"/>
  <c r="S412" i="5"/>
  <c r="R412" i="5"/>
  <c r="Q412" i="5"/>
  <c r="O412" i="5"/>
  <c r="N412" i="5"/>
  <c r="L412" i="5"/>
  <c r="K412" i="5"/>
  <c r="I412" i="5"/>
  <c r="G412" i="5"/>
  <c r="F412" i="5"/>
  <c r="E412" i="5"/>
  <c r="Y411" i="5"/>
  <c r="W411" i="5"/>
  <c r="V411" i="5"/>
  <c r="T411" i="5"/>
  <c r="S411" i="5"/>
  <c r="R411" i="5"/>
  <c r="Q411" i="5"/>
  <c r="O411" i="5"/>
  <c r="N411" i="5"/>
  <c r="L411" i="5"/>
  <c r="K411" i="5"/>
  <c r="I411" i="5"/>
  <c r="G411" i="5"/>
  <c r="Y410" i="5"/>
  <c r="W410" i="5"/>
  <c r="V410" i="5"/>
  <c r="T410" i="5"/>
  <c r="S410" i="5"/>
  <c r="R410" i="5"/>
  <c r="Q410" i="5"/>
  <c r="O410" i="5"/>
  <c r="N410" i="5"/>
  <c r="L410" i="5"/>
  <c r="K410" i="5"/>
  <c r="I410" i="5"/>
  <c r="G410" i="5"/>
  <c r="F410" i="5"/>
  <c r="E410" i="5"/>
  <c r="Y409" i="5"/>
  <c r="W409" i="5"/>
  <c r="V409" i="5"/>
  <c r="T409" i="5"/>
  <c r="S409" i="5"/>
  <c r="R409" i="5"/>
  <c r="Q409" i="5"/>
  <c r="O409" i="5"/>
  <c r="N409" i="5"/>
  <c r="L409" i="5"/>
  <c r="K409" i="5"/>
  <c r="I409" i="5"/>
  <c r="G409" i="5"/>
  <c r="F409" i="5"/>
  <c r="E409" i="5"/>
  <c r="Y408" i="5"/>
  <c r="W408" i="5"/>
  <c r="V408" i="5"/>
  <c r="T408" i="5"/>
  <c r="S408" i="5"/>
  <c r="R408" i="5"/>
  <c r="Q408" i="5"/>
  <c r="O408" i="5"/>
  <c r="N408" i="5"/>
  <c r="L408" i="5"/>
  <c r="K408" i="5"/>
  <c r="I408" i="5"/>
  <c r="G408" i="5"/>
  <c r="F408" i="5"/>
  <c r="E408" i="5"/>
  <c r="Y407" i="5"/>
  <c r="W407" i="5"/>
  <c r="V407" i="5"/>
  <c r="T407" i="5"/>
  <c r="S407" i="5"/>
  <c r="R407" i="5"/>
  <c r="Q407" i="5"/>
  <c r="O407" i="5"/>
  <c r="N407" i="5"/>
  <c r="L407" i="5"/>
  <c r="K407" i="5"/>
  <c r="I407" i="5"/>
  <c r="G407" i="5"/>
  <c r="F407" i="5"/>
  <c r="E407" i="5"/>
  <c r="Y406" i="5"/>
  <c r="W406" i="5"/>
  <c r="V406" i="5"/>
  <c r="T406" i="5"/>
  <c r="S406" i="5"/>
  <c r="R406" i="5"/>
  <c r="Q406" i="5"/>
  <c r="O406" i="5"/>
  <c r="N406" i="5"/>
  <c r="L406" i="5"/>
  <c r="K406" i="5"/>
  <c r="I406" i="5"/>
  <c r="G406" i="5"/>
  <c r="F406" i="5"/>
  <c r="E406" i="5"/>
  <c r="Y405" i="5"/>
  <c r="W405" i="5"/>
  <c r="V405" i="5"/>
  <c r="T405" i="5"/>
  <c r="S405" i="5"/>
  <c r="R405" i="5"/>
  <c r="Q405" i="5"/>
  <c r="O405" i="5"/>
  <c r="N405" i="5"/>
  <c r="L405" i="5"/>
  <c r="K405" i="5"/>
  <c r="I405" i="5"/>
  <c r="G405" i="5"/>
  <c r="F405" i="5"/>
  <c r="Y404" i="5"/>
  <c r="W404" i="5"/>
  <c r="V404" i="5"/>
  <c r="T404" i="5"/>
  <c r="S404" i="5"/>
  <c r="R404" i="5"/>
  <c r="Q404" i="5"/>
  <c r="O404" i="5"/>
  <c r="N404" i="5"/>
  <c r="L404" i="5"/>
  <c r="K404" i="5"/>
  <c r="I404" i="5"/>
  <c r="G404" i="5"/>
  <c r="F404" i="5"/>
  <c r="E404" i="5"/>
  <c r="Y403" i="5"/>
  <c r="W403" i="5"/>
  <c r="V403" i="5"/>
  <c r="T403" i="5"/>
  <c r="S403" i="5"/>
  <c r="R403" i="5"/>
  <c r="Q403" i="5"/>
  <c r="O403" i="5"/>
  <c r="N403" i="5"/>
  <c r="L403" i="5"/>
  <c r="K403" i="5"/>
  <c r="I403" i="5"/>
  <c r="G403" i="5"/>
  <c r="F403" i="5"/>
  <c r="E403" i="5"/>
  <c r="Y402" i="5"/>
  <c r="W402" i="5"/>
  <c r="V402" i="5"/>
  <c r="T402" i="5"/>
  <c r="S402" i="5"/>
  <c r="R402" i="5"/>
  <c r="Q402" i="5"/>
  <c r="O402" i="5"/>
  <c r="N402" i="5"/>
  <c r="L402" i="5"/>
  <c r="K402" i="5"/>
  <c r="I402" i="5"/>
  <c r="G402" i="5"/>
  <c r="F402" i="5"/>
  <c r="Y401" i="5"/>
  <c r="W401" i="5"/>
  <c r="V401" i="5"/>
  <c r="T401" i="5"/>
  <c r="S401" i="5"/>
  <c r="R401" i="5"/>
  <c r="Q401" i="5"/>
  <c r="O401" i="5"/>
  <c r="N401" i="5"/>
  <c r="L401" i="5"/>
  <c r="I401" i="5"/>
  <c r="G401" i="5"/>
  <c r="F401" i="5"/>
  <c r="X400" i="5"/>
  <c r="X399" i="5"/>
  <c r="P398" i="5"/>
  <c r="H398" i="5"/>
  <c r="E398" i="5"/>
  <c r="X397" i="5"/>
  <c r="Z397" i="5" s="1"/>
  <c r="Y396" i="5"/>
  <c r="W396" i="5"/>
  <c r="V396" i="5"/>
  <c r="T396" i="5"/>
  <c r="S396" i="5"/>
  <c r="R396" i="5"/>
  <c r="Q396" i="5"/>
  <c r="O396" i="5"/>
  <c r="N396" i="5"/>
  <c r="L396" i="5"/>
  <c r="K396" i="5"/>
  <c r="I396" i="5"/>
  <c r="G396" i="5"/>
  <c r="F396" i="5"/>
  <c r="E396" i="5"/>
  <c r="Y395" i="5"/>
  <c r="W395" i="5"/>
  <c r="V395" i="5"/>
  <c r="T395" i="5"/>
  <c r="S395" i="5"/>
  <c r="R395" i="5"/>
  <c r="Q395" i="5"/>
  <c r="O395" i="5"/>
  <c r="N395" i="5"/>
  <c r="L395" i="5"/>
  <c r="K395" i="5"/>
  <c r="J395" i="5"/>
  <c r="I395" i="5"/>
  <c r="G395" i="5"/>
  <c r="F395" i="5"/>
  <c r="E395" i="5"/>
  <c r="Y394" i="5"/>
  <c r="W394" i="5"/>
  <c r="V394" i="5"/>
  <c r="T394" i="5"/>
  <c r="S394" i="5"/>
  <c r="R394" i="5"/>
  <c r="Q394" i="5"/>
  <c r="O394" i="5"/>
  <c r="N394" i="5"/>
  <c r="L394" i="5"/>
  <c r="K394" i="5"/>
  <c r="I394" i="5"/>
  <c r="G394" i="5"/>
  <c r="Y393" i="5"/>
  <c r="W393" i="5"/>
  <c r="V393" i="5"/>
  <c r="T393" i="5"/>
  <c r="S393" i="5"/>
  <c r="R393" i="5"/>
  <c r="Q393" i="5"/>
  <c r="O393" i="5"/>
  <c r="N393" i="5"/>
  <c r="L393" i="5"/>
  <c r="K393" i="5"/>
  <c r="I393" i="5"/>
  <c r="G393" i="5"/>
  <c r="F393" i="5"/>
  <c r="Y392" i="5"/>
  <c r="W392" i="5"/>
  <c r="V392" i="5"/>
  <c r="T392" i="5"/>
  <c r="S392" i="5"/>
  <c r="R392" i="5"/>
  <c r="Q392" i="5"/>
  <c r="O392" i="5"/>
  <c r="N392" i="5"/>
  <c r="L392" i="5"/>
  <c r="K392" i="5"/>
  <c r="I392" i="5"/>
  <c r="G392" i="5"/>
  <c r="Y391" i="5"/>
  <c r="W391" i="5"/>
  <c r="V391" i="5"/>
  <c r="T391" i="5"/>
  <c r="S391" i="5"/>
  <c r="R391" i="5"/>
  <c r="Q391" i="5"/>
  <c r="O391" i="5"/>
  <c r="N391" i="5"/>
  <c r="L391" i="5"/>
  <c r="K391" i="5"/>
  <c r="I391" i="5"/>
  <c r="G391" i="5"/>
  <c r="Y390" i="5"/>
  <c r="W390" i="5"/>
  <c r="V390" i="5"/>
  <c r="T390" i="5"/>
  <c r="S390" i="5"/>
  <c r="R390" i="5"/>
  <c r="Q390" i="5"/>
  <c r="O390" i="5"/>
  <c r="N390" i="5"/>
  <c r="L390" i="5"/>
  <c r="K390" i="5"/>
  <c r="I390" i="5"/>
  <c r="G390" i="5"/>
  <c r="Y389" i="5"/>
  <c r="W389" i="5"/>
  <c r="V389" i="5"/>
  <c r="T389" i="5"/>
  <c r="S389" i="5"/>
  <c r="R389" i="5"/>
  <c r="Q389" i="5"/>
  <c r="O389" i="5"/>
  <c r="N389" i="5"/>
  <c r="L389" i="5"/>
  <c r="K389" i="5"/>
  <c r="I389" i="5"/>
  <c r="G389" i="5"/>
  <c r="Y388" i="5"/>
  <c r="W388" i="5"/>
  <c r="V388" i="5"/>
  <c r="T388" i="5"/>
  <c r="S388" i="5"/>
  <c r="R388" i="5"/>
  <c r="Q388" i="5"/>
  <c r="O388" i="5"/>
  <c r="N388" i="5"/>
  <c r="L388" i="5"/>
  <c r="K388" i="5"/>
  <c r="I388" i="5"/>
  <c r="G388" i="5"/>
  <c r="F388" i="5"/>
  <c r="E388" i="5"/>
  <c r="Y387" i="5"/>
  <c r="W387" i="5"/>
  <c r="V387" i="5"/>
  <c r="T387" i="5"/>
  <c r="S387" i="5"/>
  <c r="R387" i="5"/>
  <c r="Q387" i="5"/>
  <c r="O387" i="5"/>
  <c r="N387" i="5"/>
  <c r="L387" i="5"/>
  <c r="K387" i="5"/>
  <c r="I387" i="5"/>
  <c r="G387" i="5"/>
  <c r="F387" i="5"/>
  <c r="E387" i="5"/>
  <c r="Y386" i="5"/>
  <c r="W386" i="5"/>
  <c r="V386" i="5"/>
  <c r="T386" i="5"/>
  <c r="S386" i="5"/>
  <c r="R386" i="5"/>
  <c r="Q386" i="5"/>
  <c r="O386" i="5"/>
  <c r="N386" i="5"/>
  <c r="L386" i="5"/>
  <c r="K386" i="5"/>
  <c r="I386" i="5"/>
  <c r="G386" i="5"/>
  <c r="F386" i="5"/>
  <c r="E386" i="5"/>
  <c r="Y385" i="5"/>
  <c r="W385" i="5"/>
  <c r="V385" i="5"/>
  <c r="T385" i="5"/>
  <c r="S385" i="5"/>
  <c r="R385" i="5"/>
  <c r="Q385" i="5"/>
  <c r="O385" i="5"/>
  <c r="N385" i="5"/>
  <c r="L385" i="5"/>
  <c r="K385" i="5"/>
  <c r="I385" i="5"/>
  <c r="G385" i="5"/>
  <c r="Y384" i="5"/>
  <c r="W384" i="5"/>
  <c r="V384" i="5"/>
  <c r="T384" i="5"/>
  <c r="S384" i="5"/>
  <c r="R384" i="5"/>
  <c r="Q384" i="5"/>
  <c r="O384" i="5"/>
  <c r="N384" i="5"/>
  <c r="L384" i="5"/>
  <c r="K384" i="5"/>
  <c r="I384" i="5"/>
  <c r="G384" i="5"/>
  <c r="F384" i="5"/>
  <c r="E384" i="5"/>
  <c r="Y383" i="5"/>
  <c r="W383" i="5"/>
  <c r="V383" i="5"/>
  <c r="T383" i="5"/>
  <c r="S383" i="5"/>
  <c r="R383" i="5"/>
  <c r="Q383" i="5"/>
  <c r="O383" i="5"/>
  <c r="N383" i="5"/>
  <c r="L383" i="5"/>
  <c r="K383" i="5"/>
  <c r="I383" i="5"/>
  <c r="G383" i="5"/>
  <c r="F383" i="5"/>
  <c r="E383" i="5"/>
  <c r="Y382" i="5"/>
  <c r="W382" i="5"/>
  <c r="V382" i="5"/>
  <c r="T382" i="5"/>
  <c r="S382" i="5"/>
  <c r="R382" i="5"/>
  <c r="Q382" i="5"/>
  <c r="O382" i="5"/>
  <c r="N382" i="5"/>
  <c r="L382" i="5"/>
  <c r="K382" i="5"/>
  <c r="I382" i="5"/>
  <c r="G382" i="5"/>
  <c r="F382" i="5"/>
  <c r="E382" i="5"/>
  <c r="Y381" i="5"/>
  <c r="W381" i="5"/>
  <c r="V381" i="5"/>
  <c r="T381" i="5"/>
  <c r="S381" i="5"/>
  <c r="R381" i="5"/>
  <c r="Q381" i="5"/>
  <c r="O381" i="5"/>
  <c r="N381" i="5"/>
  <c r="L381" i="5"/>
  <c r="K381" i="5"/>
  <c r="I381" i="5"/>
  <c r="G381" i="5"/>
  <c r="Y380" i="5"/>
  <c r="W380" i="5"/>
  <c r="V380" i="5"/>
  <c r="T380" i="5"/>
  <c r="S380" i="5"/>
  <c r="R380" i="5"/>
  <c r="Q380" i="5"/>
  <c r="O380" i="5"/>
  <c r="N380" i="5"/>
  <c r="L380" i="5"/>
  <c r="K380" i="5"/>
  <c r="I380" i="5"/>
  <c r="G380" i="5"/>
  <c r="F380" i="5"/>
  <c r="E380" i="5"/>
  <c r="Y379" i="5"/>
  <c r="W379" i="5"/>
  <c r="V379" i="5"/>
  <c r="T379" i="5"/>
  <c r="S379" i="5"/>
  <c r="R379" i="5"/>
  <c r="Q379" i="5"/>
  <c r="O379" i="5"/>
  <c r="N379" i="5"/>
  <c r="L379" i="5"/>
  <c r="I379" i="5"/>
  <c r="G379" i="5"/>
  <c r="Y378" i="5"/>
  <c r="W378" i="5"/>
  <c r="V378" i="5"/>
  <c r="T378" i="5"/>
  <c r="S378" i="5"/>
  <c r="R378" i="5"/>
  <c r="Q378" i="5"/>
  <c r="O378" i="5"/>
  <c r="N378" i="5"/>
  <c r="L378" i="5"/>
  <c r="K378" i="5"/>
  <c r="I378" i="5"/>
  <c r="G378" i="5"/>
  <c r="F378" i="5"/>
  <c r="E378" i="5"/>
  <c r="Y377" i="5"/>
  <c r="W377" i="5"/>
  <c r="V377" i="5"/>
  <c r="T377" i="5"/>
  <c r="S377" i="5"/>
  <c r="R377" i="5"/>
  <c r="Q377" i="5"/>
  <c r="O377" i="5"/>
  <c r="N377" i="5"/>
  <c r="L377" i="5"/>
  <c r="K377" i="5"/>
  <c r="I377" i="5"/>
  <c r="G377" i="5"/>
  <c r="F377" i="5"/>
  <c r="Y376" i="5"/>
  <c r="W376" i="5"/>
  <c r="V376" i="5"/>
  <c r="T376" i="5"/>
  <c r="S376" i="5"/>
  <c r="R376" i="5"/>
  <c r="Q376" i="5"/>
  <c r="O376" i="5"/>
  <c r="N376" i="5"/>
  <c r="L376" i="5"/>
  <c r="K376" i="5"/>
  <c r="I376" i="5"/>
  <c r="G376" i="5"/>
  <c r="F376" i="5"/>
  <c r="Y375" i="5"/>
  <c r="W375" i="5"/>
  <c r="V375" i="5"/>
  <c r="T375" i="5"/>
  <c r="S375" i="5"/>
  <c r="R375" i="5"/>
  <c r="Q375" i="5"/>
  <c r="O375" i="5"/>
  <c r="N375" i="5"/>
  <c r="L375" i="5"/>
  <c r="I375" i="5"/>
  <c r="G375" i="5"/>
  <c r="F375" i="5"/>
  <c r="Y374" i="5"/>
  <c r="W374" i="5"/>
  <c r="V374" i="5"/>
  <c r="T374" i="5"/>
  <c r="S374" i="5"/>
  <c r="R374" i="5"/>
  <c r="Q374" i="5"/>
  <c r="O374" i="5"/>
  <c r="N374" i="5"/>
  <c r="L374" i="5"/>
  <c r="K374" i="5"/>
  <c r="I374" i="5"/>
  <c r="G374" i="5"/>
  <c r="F374" i="5"/>
  <c r="Y373" i="5"/>
  <c r="W373" i="5"/>
  <c r="V373" i="5"/>
  <c r="T373" i="5"/>
  <c r="S373" i="5"/>
  <c r="R373" i="5"/>
  <c r="Q373" i="5"/>
  <c r="O373" i="5"/>
  <c r="N373" i="5"/>
  <c r="L373" i="5"/>
  <c r="I373" i="5"/>
  <c r="G373" i="5"/>
  <c r="F373" i="5"/>
  <c r="E373" i="5"/>
  <c r="Y372" i="5"/>
  <c r="W372" i="5"/>
  <c r="V372" i="5"/>
  <c r="T372" i="5"/>
  <c r="S372" i="5"/>
  <c r="R372" i="5"/>
  <c r="Q372" i="5"/>
  <c r="O372" i="5"/>
  <c r="N372" i="5"/>
  <c r="L372" i="5"/>
  <c r="K372" i="5"/>
  <c r="I372" i="5"/>
  <c r="G372" i="5"/>
  <c r="F372" i="5"/>
  <c r="E372" i="5"/>
  <c r="X371" i="5"/>
  <c r="Z371" i="5" s="1"/>
  <c r="X370" i="5"/>
  <c r="Z370" i="5" s="1"/>
  <c r="P369" i="5"/>
  <c r="H369" i="5"/>
  <c r="X369" i="5" s="1"/>
  <c r="E369" i="5"/>
  <c r="X368" i="5"/>
  <c r="Z368" i="5" s="1"/>
  <c r="Y367" i="5"/>
  <c r="W367" i="5"/>
  <c r="V367" i="5"/>
  <c r="T367" i="5"/>
  <c r="S367" i="5"/>
  <c r="R367" i="5"/>
  <c r="Q367" i="5"/>
  <c r="O367" i="5"/>
  <c r="N367" i="5"/>
  <c r="L367" i="5"/>
  <c r="K367" i="5"/>
  <c r="I367" i="5"/>
  <c r="G367" i="5"/>
  <c r="Y366" i="5"/>
  <c r="W366" i="5"/>
  <c r="V366" i="5"/>
  <c r="T366" i="5"/>
  <c r="S366" i="5"/>
  <c r="R366" i="5"/>
  <c r="Q366" i="5"/>
  <c r="O366" i="5"/>
  <c r="N366" i="5"/>
  <c r="L366" i="5"/>
  <c r="K366" i="5"/>
  <c r="I366" i="5"/>
  <c r="G366" i="5"/>
  <c r="F366" i="5"/>
  <c r="E366" i="5"/>
  <c r="Y365" i="5"/>
  <c r="W365" i="5"/>
  <c r="V365" i="5"/>
  <c r="T365" i="5"/>
  <c r="S365" i="5"/>
  <c r="R365" i="5"/>
  <c r="Q365" i="5"/>
  <c r="O365" i="5"/>
  <c r="N365" i="5"/>
  <c r="L365" i="5"/>
  <c r="K365" i="5"/>
  <c r="I365" i="5"/>
  <c r="G365" i="5"/>
  <c r="F365" i="5"/>
  <c r="E365" i="5"/>
  <c r="Y364" i="5"/>
  <c r="W364" i="5"/>
  <c r="V364" i="5"/>
  <c r="T364" i="5"/>
  <c r="S364" i="5"/>
  <c r="R364" i="5"/>
  <c r="Q364" i="5"/>
  <c r="O364" i="5"/>
  <c r="N364" i="5"/>
  <c r="L364" i="5"/>
  <c r="K364" i="5"/>
  <c r="I364" i="5"/>
  <c r="G364" i="5"/>
  <c r="F364" i="5"/>
  <c r="E364" i="5"/>
  <c r="Y363" i="5"/>
  <c r="W363" i="5"/>
  <c r="V363" i="5"/>
  <c r="T363" i="5"/>
  <c r="S363" i="5"/>
  <c r="R363" i="5"/>
  <c r="Q363" i="5"/>
  <c r="O363" i="5"/>
  <c r="N363" i="5"/>
  <c r="L363" i="5"/>
  <c r="K363" i="5"/>
  <c r="I363" i="5"/>
  <c r="G363" i="5"/>
  <c r="F363" i="5"/>
  <c r="E363" i="5"/>
  <c r="Y362" i="5"/>
  <c r="W362" i="5"/>
  <c r="V362" i="5"/>
  <c r="T362" i="5"/>
  <c r="S362" i="5"/>
  <c r="R362" i="5"/>
  <c r="Q362" i="5"/>
  <c r="O362" i="5"/>
  <c r="N362" i="5"/>
  <c r="L362" i="5"/>
  <c r="K362" i="5"/>
  <c r="J362" i="5"/>
  <c r="I362" i="5"/>
  <c r="G362" i="5"/>
  <c r="F362" i="5"/>
  <c r="E362" i="5"/>
  <c r="Y361" i="5"/>
  <c r="W361" i="5"/>
  <c r="V361" i="5"/>
  <c r="T361" i="5"/>
  <c r="S361" i="5"/>
  <c r="R361" i="5"/>
  <c r="Q361" i="5"/>
  <c r="O361" i="5"/>
  <c r="N361" i="5"/>
  <c r="L361" i="5"/>
  <c r="K361" i="5"/>
  <c r="J361" i="5"/>
  <c r="I361" i="5"/>
  <c r="G361" i="5"/>
  <c r="F361" i="5"/>
  <c r="E361" i="5"/>
  <c r="Y360" i="5"/>
  <c r="W360" i="5"/>
  <c r="V360" i="5"/>
  <c r="T360" i="5"/>
  <c r="S360" i="5"/>
  <c r="R360" i="5"/>
  <c r="Q360" i="5"/>
  <c r="O360" i="5"/>
  <c r="N360" i="5"/>
  <c r="L360" i="5"/>
  <c r="K360" i="5"/>
  <c r="J360" i="5"/>
  <c r="I360" i="5"/>
  <c r="G360" i="5"/>
  <c r="F360" i="5"/>
  <c r="E360" i="5"/>
  <c r="Y359" i="5"/>
  <c r="W359" i="5"/>
  <c r="V359" i="5"/>
  <c r="U359" i="5"/>
  <c r="T359" i="5"/>
  <c r="S359" i="5"/>
  <c r="R359" i="5"/>
  <c r="Q359" i="5"/>
  <c r="P359" i="5"/>
  <c r="O359" i="5"/>
  <c r="N359" i="5"/>
  <c r="L359" i="5"/>
  <c r="K359" i="5"/>
  <c r="J359" i="5"/>
  <c r="I359" i="5"/>
  <c r="G359" i="5"/>
  <c r="F359" i="5"/>
  <c r="E359" i="5"/>
  <c r="Y358" i="5"/>
  <c r="W358" i="5"/>
  <c r="V358" i="5"/>
  <c r="T358" i="5"/>
  <c r="S358" i="5"/>
  <c r="R358" i="5"/>
  <c r="Q358" i="5"/>
  <c r="O358" i="5"/>
  <c r="N358" i="5"/>
  <c r="L358" i="5"/>
  <c r="K358" i="5"/>
  <c r="J358" i="5"/>
  <c r="I358" i="5"/>
  <c r="G358" i="5"/>
  <c r="F358" i="5"/>
  <c r="E358" i="5"/>
  <c r="Y357" i="5"/>
  <c r="W357" i="5"/>
  <c r="V357" i="5"/>
  <c r="T357" i="5"/>
  <c r="S357" i="5"/>
  <c r="R357" i="5"/>
  <c r="Q357" i="5"/>
  <c r="O357" i="5"/>
  <c r="N357" i="5"/>
  <c r="L357" i="5"/>
  <c r="K357" i="5"/>
  <c r="J357" i="5"/>
  <c r="I357" i="5"/>
  <c r="G357" i="5"/>
  <c r="F357" i="5"/>
  <c r="E357" i="5"/>
  <c r="Y356" i="5"/>
  <c r="W356" i="5"/>
  <c r="V356" i="5"/>
  <c r="T356" i="5"/>
  <c r="S356" i="5"/>
  <c r="R356" i="5"/>
  <c r="Q356" i="5"/>
  <c r="O356" i="5"/>
  <c r="N356" i="5"/>
  <c r="L356" i="5"/>
  <c r="K356" i="5"/>
  <c r="J356" i="5"/>
  <c r="I356" i="5"/>
  <c r="G356" i="5"/>
  <c r="E356" i="5"/>
  <c r="Y355" i="5"/>
  <c r="W355" i="5"/>
  <c r="V355" i="5"/>
  <c r="T355" i="5"/>
  <c r="S355" i="5"/>
  <c r="R355" i="5"/>
  <c r="Q355" i="5"/>
  <c r="O355" i="5"/>
  <c r="N355" i="5"/>
  <c r="L355" i="5"/>
  <c r="K355" i="5"/>
  <c r="J355" i="5"/>
  <c r="I355" i="5"/>
  <c r="G355" i="5"/>
  <c r="Y354" i="5"/>
  <c r="W354" i="5"/>
  <c r="V354" i="5"/>
  <c r="T354" i="5"/>
  <c r="S354" i="5"/>
  <c r="R354" i="5"/>
  <c r="Q354" i="5"/>
  <c r="O354" i="5"/>
  <c r="N354" i="5"/>
  <c r="L354" i="5"/>
  <c r="K354" i="5"/>
  <c r="I354" i="5"/>
  <c r="G354" i="5"/>
  <c r="F354" i="5"/>
  <c r="E354" i="5"/>
  <c r="Y353" i="5"/>
  <c r="W353" i="5"/>
  <c r="V353" i="5"/>
  <c r="T353" i="5"/>
  <c r="S353" i="5"/>
  <c r="R353" i="5"/>
  <c r="Q353" i="5"/>
  <c r="O353" i="5"/>
  <c r="N353" i="5"/>
  <c r="L353" i="5"/>
  <c r="K353" i="5"/>
  <c r="I353" i="5"/>
  <c r="G353" i="5"/>
  <c r="F353" i="5"/>
  <c r="E353" i="5"/>
  <c r="Y352" i="5"/>
  <c r="W352" i="5"/>
  <c r="V352" i="5"/>
  <c r="T352" i="5"/>
  <c r="S352" i="5"/>
  <c r="R352" i="5"/>
  <c r="Q352" i="5"/>
  <c r="O352" i="5"/>
  <c r="N352" i="5"/>
  <c r="L352" i="5"/>
  <c r="K352" i="5"/>
  <c r="I352" i="5"/>
  <c r="G352" i="5"/>
  <c r="F352" i="5"/>
  <c r="E352" i="5"/>
  <c r="Y351" i="5"/>
  <c r="W351" i="5"/>
  <c r="V351" i="5"/>
  <c r="T351" i="5"/>
  <c r="S351" i="5"/>
  <c r="R351" i="5"/>
  <c r="Q351" i="5"/>
  <c r="O351" i="5"/>
  <c r="N351" i="5"/>
  <c r="L351" i="5"/>
  <c r="K351" i="5"/>
  <c r="I351" i="5"/>
  <c r="G351" i="5"/>
  <c r="F351" i="5"/>
  <c r="E351" i="5"/>
  <c r="Y350" i="5"/>
  <c r="W350" i="5"/>
  <c r="V350" i="5"/>
  <c r="T350" i="5"/>
  <c r="S350" i="5"/>
  <c r="R350" i="5"/>
  <c r="Q350" i="5"/>
  <c r="O350" i="5"/>
  <c r="N350" i="5"/>
  <c r="L350" i="5"/>
  <c r="K350" i="5"/>
  <c r="I350" i="5"/>
  <c r="G350" i="5"/>
  <c r="F350" i="5"/>
  <c r="E350" i="5"/>
  <c r="Y349" i="5"/>
  <c r="W349" i="5"/>
  <c r="V349" i="5"/>
  <c r="T349" i="5"/>
  <c r="S349" i="5"/>
  <c r="R349" i="5"/>
  <c r="Q349" i="5"/>
  <c r="O349" i="5"/>
  <c r="N349" i="5"/>
  <c r="L349" i="5"/>
  <c r="K349" i="5"/>
  <c r="I349" i="5"/>
  <c r="G349" i="5"/>
  <c r="F349" i="5"/>
  <c r="Y348" i="5"/>
  <c r="W348" i="5"/>
  <c r="V348" i="5"/>
  <c r="T348" i="5"/>
  <c r="S348" i="5"/>
  <c r="R348" i="5"/>
  <c r="Q348" i="5"/>
  <c r="O348" i="5"/>
  <c r="N348" i="5"/>
  <c r="L348" i="5"/>
  <c r="K348" i="5"/>
  <c r="I348" i="5"/>
  <c r="G348" i="5"/>
  <c r="F348" i="5"/>
  <c r="E348" i="5"/>
  <c r="Y347" i="5"/>
  <c r="W347" i="5"/>
  <c r="V347" i="5"/>
  <c r="T347" i="5"/>
  <c r="S347" i="5"/>
  <c r="R347" i="5"/>
  <c r="Q347" i="5"/>
  <c r="O347" i="5"/>
  <c r="N347" i="5"/>
  <c r="L347" i="5"/>
  <c r="K347" i="5"/>
  <c r="I347" i="5"/>
  <c r="G347" i="5"/>
  <c r="Y346" i="5"/>
  <c r="W346" i="5"/>
  <c r="V346" i="5"/>
  <c r="T346" i="5"/>
  <c r="S346" i="5"/>
  <c r="R346" i="5"/>
  <c r="Q346" i="5"/>
  <c r="O346" i="5"/>
  <c r="N346" i="5"/>
  <c r="L346" i="5"/>
  <c r="K346" i="5"/>
  <c r="I346" i="5"/>
  <c r="G346" i="5"/>
  <c r="F346" i="5"/>
  <c r="E346" i="5"/>
  <c r="Y345" i="5"/>
  <c r="W345" i="5"/>
  <c r="V345" i="5"/>
  <c r="T345" i="5"/>
  <c r="S345" i="5"/>
  <c r="R345" i="5"/>
  <c r="Q345" i="5"/>
  <c r="O345" i="5"/>
  <c r="N345" i="5"/>
  <c r="L345" i="5"/>
  <c r="K345" i="5"/>
  <c r="I345" i="5"/>
  <c r="G345" i="5"/>
  <c r="F345" i="5"/>
  <c r="Y344" i="5"/>
  <c r="W344" i="5"/>
  <c r="V344" i="5"/>
  <c r="T344" i="5"/>
  <c r="S344" i="5"/>
  <c r="R344" i="5"/>
  <c r="Q344" i="5"/>
  <c r="O344" i="5"/>
  <c r="N344" i="5"/>
  <c r="L344" i="5"/>
  <c r="K344" i="5"/>
  <c r="I344" i="5"/>
  <c r="G344" i="5"/>
  <c r="Y343" i="5"/>
  <c r="W343" i="5"/>
  <c r="V343" i="5"/>
  <c r="T343" i="5"/>
  <c r="S343" i="5"/>
  <c r="R343" i="5"/>
  <c r="Q343" i="5"/>
  <c r="O343" i="5"/>
  <c r="N343" i="5"/>
  <c r="L343" i="5"/>
  <c r="K343" i="5"/>
  <c r="I343" i="5"/>
  <c r="G343" i="5"/>
  <c r="F343" i="5"/>
  <c r="E343" i="5"/>
  <c r="Y342" i="5"/>
  <c r="W342" i="5"/>
  <c r="V342" i="5"/>
  <c r="T342" i="5"/>
  <c r="S342" i="5"/>
  <c r="R342" i="5"/>
  <c r="Q342" i="5"/>
  <c r="O342" i="5"/>
  <c r="N342" i="5"/>
  <c r="L342" i="5"/>
  <c r="K342" i="5"/>
  <c r="I342" i="5"/>
  <c r="G342" i="5"/>
  <c r="F342" i="5"/>
  <c r="E342" i="5"/>
  <c r="Y341" i="5"/>
  <c r="W341" i="5"/>
  <c r="V341" i="5"/>
  <c r="T341" i="5"/>
  <c r="S341" i="5"/>
  <c r="R341" i="5"/>
  <c r="Q341" i="5"/>
  <c r="O341" i="5"/>
  <c r="N341" i="5"/>
  <c r="L341" i="5"/>
  <c r="K341" i="5"/>
  <c r="I341" i="5"/>
  <c r="G341" i="5"/>
  <c r="F341" i="5"/>
  <c r="Y340" i="5"/>
  <c r="W340" i="5"/>
  <c r="V340" i="5"/>
  <c r="T340" i="5"/>
  <c r="S340" i="5"/>
  <c r="R340" i="5"/>
  <c r="Q340" i="5"/>
  <c r="O340" i="5"/>
  <c r="N340" i="5"/>
  <c r="L340" i="5"/>
  <c r="K340" i="5"/>
  <c r="I340" i="5"/>
  <c r="G340" i="5"/>
  <c r="F340" i="5"/>
  <c r="Y339" i="5"/>
  <c r="W339" i="5"/>
  <c r="V339" i="5"/>
  <c r="T339" i="5"/>
  <c r="S339" i="5"/>
  <c r="R339" i="5"/>
  <c r="Q339" i="5"/>
  <c r="O339" i="5"/>
  <c r="N339" i="5"/>
  <c r="L339" i="5"/>
  <c r="K339" i="5"/>
  <c r="I339" i="5"/>
  <c r="G339" i="5"/>
  <c r="F339" i="5"/>
  <c r="Y338" i="5"/>
  <c r="W338" i="5"/>
  <c r="V338" i="5"/>
  <c r="T338" i="5"/>
  <c r="S338" i="5"/>
  <c r="R338" i="5"/>
  <c r="Q338" i="5"/>
  <c r="O338" i="5"/>
  <c r="N338" i="5"/>
  <c r="L338" i="5"/>
  <c r="K338" i="5"/>
  <c r="I338" i="5"/>
  <c r="G338" i="5"/>
  <c r="F338" i="5"/>
  <c r="Y337" i="5"/>
  <c r="W337" i="5"/>
  <c r="V337" i="5"/>
  <c r="T337" i="5"/>
  <c r="S337" i="5"/>
  <c r="R337" i="5"/>
  <c r="Q337" i="5"/>
  <c r="O337" i="5"/>
  <c r="N337" i="5"/>
  <c r="L337" i="5"/>
  <c r="K337" i="5"/>
  <c r="I337" i="5"/>
  <c r="G337" i="5"/>
  <c r="F337" i="5"/>
  <c r="Y336" i="5"/>
  <c r="W336" i="5"/>
  <c r="V336" i="5"/>
  <c r="T336" i="5"/>
  <c r="S336" i="5"/>
  <c r="R336" i="5"/>
  <c r="Q336" i="5"/>
  <c r="O336" i="5"/>
  <c r="N336" i="5"/>
  <c r="L336" i="5"/>
  <c r="I336" i="5"/>
  <c r="G336" i="5"/>
  <c r="F336" i="5"/>
  <c r="X335" i="5"/>
  <c r="Z335" i="5" s="1"/>
  <c r="X334" i="5"/>
  <c r="Z334" i="5" s="1"/>
  <c r="P333" i="5"/>
  <c r="H333" i="5"/>
  <c r="E333" i="5"/>
  <c r="X332" i="5"/>
  <c r="Z332" i="5" s="1"/>
  <c r="Y331" i="5"/>
  <c r="W331" i="5"/>
  <c r="V331" i="5"/>
  <c r="T331" i="5"/>
  <c r="S331" i="5"/>
  <c r="R331" i="5"/>
  <c r="Q331" i="5"/>
  <c r="O331" i="5"/>
  <c r="N331" i="5"/>
  <c r="L331" i="5"/>
  <c r="K331" i="5"/>
  <c r="I331" i="5"/>
  <c r="G331" i="5"/>
  <c r="Y330" i="5"/>
  <c r="W330" i="5"/>
  <c r="V330" i="5"/>
  <c r="T330" i="5"/>
  <c r="S330" i="5"/>
  <c r="R330" i="5"/>
  <c r="Q330" i="5"/>
  <c r="O330" i="5"/>
  <c r="N330" i="5"/>
  <c r="L330" i="5"/>
  <c r="K330" i="5"/>
  <c r="I330" i="5"/>
  <c r="G330" i="5"/>
  <c r="F330" i="5"/>
  <c r="E330" i="5"/>
  <c r="Y329" i="5"/>
  <c r="W329" i="5"/>
  <c r="V329" i="5"/>
  <c r="T329" i="5"/>
  <c r="S329" i="5"/>
  <c r="R329" i="5"/>
  <c r="Q329" i="5"/>
  <c r="O329" i="5"/>
  <c r="N329" i="5"/>
  <c r="L329" i="5"/>
  <c r="K329" i="5"/>
  <c r="I329" i="5"/>
  <c r="G329" i="5"/>
  <c r="F329" i="5"/>
  <c r="E329" i="5"/>
  <c r="Y328" i="5"/>
  <c r="W328" i="5"/>
  <c r="V328" i="5"/>
  <c r="T328" i="5"/>
  <c r="S328" i="5"/>
  <c r="R328" i="5"/>
  <c r="Q328" i="5"/>
  <c r="O328" i="5"/>
  <c r="N328" i="5"/>
  <c r="L328" i="5"/>
  <c r="K328" i="5"/>
  <c r="I328" i="5"/>
  <c r="G328" i="5"/>
  <c r="F328" i="5"/>
  <c r="Y327" i="5"/>
  <c r="W327" i="5"/>
  <c r="V327" i="5"/>
  <c r="T327" i="5"/>
  <c r="S327" i="5"/>
  <c r="R327" i="5"/>
  <c r="Q327" i="5"/>
  <c r="O327" i="5"/>
  <c r="N327" i="5"/>
  <c r="L327" i="5"/>
  <c r="K327" i="5"/>
  <c r="J327" i="5"/>
  <c r="I327" i="5"/>
  <c r="G327" i="5"/>
  <c r="F327" i="5"/>
  <c r="Y326" i="5"/>
  <c r="W326" i="5"/>
  <c r="V326" i="5"/>
  <c r="T326" i="5"/>
  <c r="S326" i="5"/>
  <c r="R326" i="5"/>
  <c r="Q326" i="5"/>
  <c r="O326" i="5"/>
  <c r="N326" i="5"/>
  <c r="L326" i="5"/>
  <c r="K326" i="5"/>
  <c r="I326" i="5"/>
  <c r="G326" i="5"/>
  <c r="F326" i="5"/>
  <c r="Y325" i="5"/>
  <c r="W325" i="5"/>
  <c r="V325" i="5"/>
  <c r="T325" i="5"/>
  <c r="S325" i="5"/>
  <c r="R325" i="5"/>
  <c r="Q325" i="5"/>
  <c r="O325" i="5"/>
  <c r="N325" i="5"/>
  <c r="L325" i="5"/>
  <c r="K325" i="5"/>
  <c r="I325" i="5"/>
  <c r="G325" i="5"/>
  <c r="F325" i="5"/>
  <c r="E325" i="5"/>
  <c r="Y324" i="5"/>
  <c r="W324" i="5"/>
  <c r="V324" i="5"/>
  <c r="T324" i="5"/>
  <c r="S324" i="5"/>
  <c r="R324" i="5"/>
  <c r="Q324" i="5"/>
  <c r="O324" i="5"/>
  <c r="N324" i="5"/>
  <c r="L324" i="5"/>
  <c r="K324" i="5"/>
  <c r="I324" i="5"/>
  <c r="G324" i="5"/>
  <c r="F324" i="5"/>
  <c r="E324" i="5"/>
  <c r="Y323" i="5"/>
  <c r="W323" i="5"/>
  <c r="V323" i="5"/>
  <c r="T323" i="5"/>
  <c r="S323" i="5"/>
  <c r="R323" i="5"/>
  <c r="Q323" i="5"/>
  <c r="O323" i="5"/>
  <c r="N323" i="5"/>
  <c r="L323" i="5"/>
  <c r="K323" i="5"/>
  <c r="I323" i="5"/>
  <c r="G323" i="5"/>
  <c r="F323" i="5"/>
  <c r="E323" i="5"/>
  <c r="Y322" i="5"/>
  <c r="W322" i="5"/>
  <c r="V322" i="5"/>
  <c r="T322" i="5"/>
  <c r="S322" i="5"/>
  <c r="R322" i="5"/>
  <c r="Q322" i="5"/>
  <c r="O322" i="5"/>
  <c r="N322" i="5"/>
  <c r="L322" i="5"/>
  <c r="K322" i="5"/>
  <c r="I322" i="5"/>
  <c r="G322" i="5"/>
  <c r="F322" i="5"/>
  <c r="E322" i="5"/>
  <c r="Y321" i="5"/>
  <c r="W321" i="5"/>
  <c r="V321" i="5"/>
  <c r="T321" i="5"/>
  <c r="S321" i="5"/>
  <c r="R321" i="5"/>
  <c r="Q321" i="5"/>
  <c r="O321" i="5"/>
  <c r="N321" i="5"/>
  <c r="L321" i="5"/>
  <c r="K321" i="5"/>
  <c r="I321" i="5"/>
  <c r="G321" i="5"/>
  <c r="E321" i="5"/>
  <c r="Y320" i="5"/>
  <c r="W320" i="5"/>
  <c r="V320" i="5"/>
  <c r="T320" i="5"/>
  <c r="S320" i="5"/>
  <c r="R320" i="5"/>
  <c r="Q320" i="5"/>
  <c r="O320" i="5"/>
  <c r="N320" i="5"/>
  <c r="L320" i="5"/>
  <c r="K320" i="5"/>
  <c r="I320" i="5"/>
  <c r="G320" i="5"/>
  <c r="E320" i="5"/>
  <c r="Y319" i="5"/>
  <c r="W319" i="5"/>
  <c r="V319" i="5"/>
  <c r="T319" i="5"/>
  <c r="S319" i="5"/>
  <c r="R319" i="5"/>
  <c r="Q319" i="5"/>
  <c r="O319" i="5"/>
  <c r="N319" i="5"/>
  <c r="L319" i="5"/>
  <c r="K319" i="5"/>
  <c r="I319" i="5"/>
  <c r="G319" i="5"/>
  <c r="F319" i="5"/>
  <c r="E319" i="5"/>
  <c r="Y318" i="5"/>
  <c r="W318" i="5"/>
  <c r="V318" i="5"/>
  <c r="T318" i="5"/>
  <c r="S318" i="5"/>
  <c r="R318" i="5"/>
  <c r="Q318" i="5"/>
  <c r="O318" i="5"/>
  <c r="N318" i="5"/>
  <c r="L318" i="5"/>
  <c r="K318" i="5"/>
  <c r="I318" i="5"/>
  <c r="G318" i="5"/>
  <c r="F318" i="5"/>
  <c r="Y317" i="5"/>
  <c r="W317" i="5"/>
  <c r="V317" i="5"/>
  <c r="T317" i="5"/>
  <c r="S317" i="5"/>
  <c r="R317" i="5"/>
  <c r="Q317" i="5"/>
  <c r="O317" i="5"/>
  <c r="N317" i="5"/>
  <c r="L317" i="5"/>
  <c r="I317" i="5"/>
  <c r="G317" i="5"/>
  <c r="F317" i="5"/>
  <c r="Y316" i="5"/>
  <c r="W316" i="5"/>
  <c r="V316" i="5"/>
  <c r="T316" i="5"/>
  <c r="S316" i="5"/>
  <c r="R316" i="5"/>
  <c r="Q316" i="5"/>
  <c r="O316" i="5"/>
  <c r="N316" i="5"/>
  <c r="L316" i="5"/>
  <c r="K316" i="5"/>
  <c r="I316" i="5"/>
  <c r="G316" i="5"/>
  <c r="Y315" i="5"/>
  <c r="W315" i="5"/>
  <c r="V315" i="5"/>
  <c r="T315" i="5"/>
  <c r="S315" i="5"/>
  <c r="R315" i="5"/>
  <c r="Q315" i="5"/>
  <c r="O315" i="5"/>
  <c r="N315" i="5"/>
  <c r="L315" i="5"/>
  <c r="K315" i="5"/>
  <c r="I315" i="5"/>
  <c r="G315" i="5"/>
  <c r="F315" i="5"/>
  <c r="E315" i="5"/>
  <c r="X314" i="5"/>
  <c r="Z314" i="5" s="1"/>
  <c r="X313" i="5"/>
  <c r="Z313" i="5" s="1"/>
  <c r="P312" i="5"/>
  <c r="H312" i="5"/>
  <c r="E312" i="5"/>
  <c r="X311" i="5"/>
  <c r="Z311" i="5" s="1"/>
  <c r="Y310" i="5"/>
  <c r="W310" i="5"/>
  <c r="V310" i="5"/>
  <c r="T310" i="5"/>
  <c r="S310" i="5"/>
  <c r="R310" i="5"/>
  <c r="Q310" i="5"/>
  <c r="O310" i="5"/>
  <c r="N310" i="5"/>
  <c r="L310" i="5"/>
  <c r="K310" i="5"/>
  <c r="I310" i="5"/>
  <c r="G310" i="5"/>
  <c r="Y309" i="5"/>
  <c r="W309" i="5"/>
  <c r="V309" i="5"/>
  <c r="T309" i="5"/>
  <c r="S309" i="5"/>
  <c r="R309" i="5"/>
  <c r="Q309" i="5"/>
  <c r="O309" i="5"/>
  <c r="N309" i="5"/>
  <c r="L309" i="5"/>
  <c r="K309" i="5"/>
  <c r="I309" i="5"/>
  <c r="G309" i="5"/>
  <c r="F309" i="5"/>
  <c r="E309" i="5"/>
  <c r="Y308" i="5"/>
  <c r="W308" i="5"/>
  <c r="V308" i="5"/>
  <c r="T308" i="5"/>
  <c r="S308" i="5"/>
  <c r="R308" i="5"/>
  <c r="Q308" i="5"/>
  <c r="O308" i="5"/>
  <c r="N308" i="5"/>
  <c r="L308" i="5"/>
  <c r="I308" i="5"/>
  <c r="G308" i="5"/>
  <c r="F308" i="5"/>
  <c r="E308" i="5"/>
  <c r="Y307" i="5"/>
  <c r="W307" i="5"/>
  <c r="V307" i="5"/>
  <c r="T307" i="5"/>
  <c r="S307" i="5"/>
  <c r="R307" i="5"/>
  <c r="Q307" i="5"/>
  <c r="O307" i="5"/>
  <c r="N307" i="5"/>
  <c r="L307" i="5"/>
  <c r="K307" i="5"/>
  <c r="J307" i="5"/>
  <c r="I307" i="5"/>
  <c r="G307" i="5"/>
  <c r="F307" i="5"/>
  <c r="E307" i="5"/>
  <c r="Y306" i="5"/>
  <c r="W306" i="5"/>
  <c r="V306" i="5"/>
  <c r="T306" i="5"/>
  <c r="S306" i="5"/>
  <c r="R306" i="5"/>
  <c r="Q306" i="5"/>
  <c r="O306" i="5"/>
  <c r="N306" i="5"/>
  <c r="L306" i="5"/>
  <c r="K306" i="5"/>
  <c r="J306" i="5"/>
  <c r="I306" i="5"/>
  <c r="G306" i="5"/>
  <c r="Y305" i="5"/>
  <c r="W305" i="5"/>
  <c r="V305" i="5"/>
  <c r="T305" i="5"/>
  <c r="S305" i="5"/>
  <c r="R305" i="5"/>
  <c r="Q305" i="5"/>
  <c r="O305" i="5"/>
  <c r="N305" i="5"/>
  <c r="L305" i="5"/>
  <c r="K305" i="5"/>
  <c r="I305" i="5"/>
  <c r="G305" i="5"/>
  <c r="Y304" i="5"/>
  <c r="W304" i="5"/>
  <c r="V304" i="5"/>
  <c r="T304" i="5"/>
  <c r="S304" i="5"/>
  <c r="R304" i="5"/>
  <c r="Q304" i="5"/>
  <c r="O304" i="5"/>
  <c r="N304" i="5"/>
  <c r="L304" i="5"/>
  <c r="K304" i="5"/>
  <c r="I304" i="5"/>
  <c r="G304" i="5"/>
  <c r="Y303" i="5"/>
  <c r="W303" i="5"/>
  <c r="V303" i="5"/>
  <c r="T303" i="5"/>
  <c r="S303" i="5"/>
  <c r="R303" i="5"/>
  <c r="Q303" i="5"/>
  <c r="O303" i="5"/>
  <c r="N303" i="5"/>
  <c r="L303" i="5"/>
  <c r="K303" i="5"/>
  <c r="I303" i="5"/>
  <c r="G303" i="5"/>
  <c r="Y302" i="5"/>
  <c r="W302" i="5"/>
  <c r="V302" i="5"/>
  <c r="T302" i="5"/>
  <c r="S302" i="5"/>
  <c r="R302" i="5"/>
  <c r="Q302" i="5"/>
  <c r="O302" i="5"/>
  <c r="N302" i="5"/>
  <c r="L302" i="5"/>
  <c r="K302" i="5"/>
  <c r="I302" i="5"/>
  <c r="G302" i="5"/>
  <c r="Y301" i="5"/>
  <c r="W301" i="5"/>
  <c r="V301" i="5"/>
  <c r="T301" i="5"/>
  <c r="S301" i="5"/>
  <c r="R301" i="5"/>
  <c r="Q301" i="5"/>
  <c r="O301" i="5"/>
  <c r="N301" i="5"/>
  <c r="L301" i="5"/>
  <c r="K301" i="5"/>
  <c r="I301" i="5"/>
  <c r="G301" i="5"/>
  <c r="F301" i="5"/>
  <c r="E301" i="5"/>
  <c r="Y300" i="5"/>
  <c r="W300" i="5"/>
  <c r="V300" i="5"/>
  <c r="T300" i="5"/>
  <c r="S300" i="5"/>
  <c r="R300" i="5"/>
  <c r="Q300" i="5"/>
  <c r="O300" i="5"/>
  <c r="N300" i="5"/>
  <c r="L300" i="5"/>
  <c r="K300" i="5"/>
  <c r="G300" i="5"/>
  <c r="F300" i="5"/>
  <c r="Y299" i="5"/>
  <c r="W299" i="5"/>
  <c r="V299" i="5"/>
  <c r="T299" i="5"/>
  <c r="S299" i="5"/>
  <c r="R299" i="5"/>
  <c r="Q299" i="5"/>
  <c r="O299" i="5"/>
  <c r="N299" i="5"/>
  <c r="L299" i="5"/>
  <c r="K299" i="5"/>
  <c r="I299" i="5"/>
  <c r="G299" i="5"/>
  <c r="F299" i="5"/>
  <c r="E299" i="5"/>
  <c r="Y298" i="5"/>
  <c r="W298" i="5"/>
  <c r="V298" i="5"/>
  <c r="T298" i="5"/>
  <c r="S298" i="5"/>
  <c r="R298" i="5"/>
  <c r="Q298" i="5"/>
  <c r="O298" i="5"/>
  <c r="N298" i="5"/>
  <c r="L298" i="5"/>
  <c r="K298" i="5"/>
  <c r="I298" i="5"/>
  <c r="G298" i="5"/>
  <c r="F298" i="5"/>
  <c r="E298" i="5"/>
  <c r="Y297" i="5"/>
  <c r="W297" i="5"/>
  <c r="V297" i="5"/>
  <c r="T297" i="5"/>
  <c r="S297" i="5"/>
  <c r="R297" i="5"/>
  <c r="Q297" i="5"/>
  <c r="O297" i="5"/>
  <c r="N297" i="5"/>
  <c r="L297" i="5"/>
  <c r="K297" i="5"/>
  <c r="I297" i="5"/>
  <c r="G297" i="5"/>
  <c r="F297" i="5"/>
  <c r="E297" i="5"/>
  <c r="Y296" i="5"/>
  <c r="W296" i="5"/>
  <c r="V296" i="5"/>
  <c r="T296" i="5"/>
  <c r="S296" i="5"/>
  <c r="R296" i="5"/>
  <c r="Q296" i="5"/>
  <c r="O296" i="5"/>
  <c r="N296" i="5"/>
  <c r="L296" i="5"/>
  <c r="K296" i="5"/>
  <c r="I296" i="5"/>
  <c r="G296" i="5"/>
  <c r="E296" i="5"/>
  <c r="Y295" i="5"/>
  <c r="W295" i="5"/>
  <c r="V295" i="5"/>
  <c r="T295" i="5"/>
  <c r="S295" i="5"/>
  <c r="R295" i="5"/>
  <c r="Q295" i="5"/>
  <c r="O295" i="5"/>
  <c r="N295" i="5"/>
  <c r="L295" i="5"/>
  <c r="K295" i="5"/>
  <c r="I295" i="5"/>
  <c r="G295" i="5"/>
  <c r="E295" i="5"/>
  <c r="Y294" i="5"/>
  <c r="W294" i="5"/>
  <c r="V294" i="5"/>
  <c r="T294" i="5"/>
  <c r="S294" i="5"/>
  <c r="R294" i="5"/>
  <c r="Q294" i="5"/>
  <c r="O294" i="5"/>
  <c r="N294" i="5"/>
  <c r="L294" i="5"/>
  <c r="K294" i="5"/>
  <c r="I294" i="5"/>
  <c r="G294" i="5"/>
  <c r="F294" i="5"/>
  <c r="E294" i="5"/>
  <c r="Y293" i="5"/>
  <c r="W293" i="5"/>
  <c r="V293" i="5"/>
  <c r="T293" i="5"/>
  <c r="S293" i="5"/>
  <c r="R293" i="5"/>
  <c r="Q293" i="5"/>
  <c r="O293" i="5"/>
  <c r="N293" i="5"/>
  <c r="L293" i="5"/>
  <c r="K293" i="5"/>
  <c r="I293" i="5"/>
  <c r="G293" i="5"/>
  <c r="F293" i="5"/>
  <c r="E293" i="5"/>
  <c r="Y292" i="5"/>
  <c r="W292" i="5"/>
  <c r="V292" i="5"/>
  <c r="T292" i="5"/>
  <c r="S292" i="5"/>
  <c r="R292" i="5"/>
  <c r="Q292" i="5"/>
  <c r="O292" i="5"/>
  <c r="N292" i="5"/>
  <c r="L292" i="5"/>
  <c r="K292" i="5"/>
  <c r="I292" i="5"/>
  <c r="G292" i="5"/>
  <c r="F292" i="5"/>
  <c r="E292" i="5"/>
  <c r="Y291" i="5"/>
  <c r="W291" i="5"/>
  <c r="V291" i="5"/>
  <c r="T291" i="5"/>
  <c r="S291" i="5"/>
  <c r="R291" i="5"/>
  <c r="Q291" i="5"/>
  <c r="O291" i="5"/>
  <c r="N291" i="5"/>
  <c r="L291" i="5"/>
  <c r="K291" i="5"/>
  <c r="I291" i="5"/>
  <c r="G291" i="5"/>
  <c r="E291" i="5"/>
  <c r="Y290" i="5"/>
  <c r="W290" i="5"/>
  <c r="V290" i="5"/>
  <c r="T290" i="5"/>
  <c r="S290" i="5"/>
  <c r="R290" i="5"/>
  <c r="Q290" i="5"/>
  <c r="O290" i="5"/>
  <c r="N290" i="5"/>
  <c r="L290" i="5"/>
  <c r="I290" i="5"/>
  <c r="G290" i="5"/>
  <c r="E290" i="5"/>
  <c r="Y289" i="5"/>
  <c r="W289" i="5"/>
  <c r="V289" i="5"/>
  <c r="T289" i="5"/>
  <c r="S289" i="5"/>
  <c r="R289" i="5"/>
  <c r="Q289" i="5"/>
  <c r="O289" i="5"/>
  <c r="N289" i="5"/>
  <c r="L289" i="5"/>
  <c r="K289" i="5"/>
  <c r="I289" i="5"/>
  <c r="G289" i="5"/>
  <c r="F289" i="5"/>
  <c r="Y288" i="5"/>
  <c r="W288" i="5"/>
  <c r="V288" i="5"/>
  <c r="T288" i="5"/>
  <c r="S288" i="5"/>
  <c r="R288" i="5"/>
  <c r="Q288" i="5"/>
  <c r="O288" i="5"/>
  <c r="N288" i="5"/>
  <c r="L288" i="5"/>
  <c r="I288" i="5"/>
  <c r="G288" i="5"/>
  <c r="F288" i="5"/>
  <c r="Y287" i="5"/>
  <c r="W287" i="5"/>
  <c r="V287" i="5"/>
  <c r="T287" i="5"/>
  <c r="S287" i="5"/>
  <c r="R287" i="5"/>
  <c r="Q287" i="5"/>
  <c r="O287" i="5"/>
  <c r="N287" i="5"/>
  <c r="L287" i="5"/>
  <c r="K287" i="5"/>
  <c r="I287" i="5"/>
  <c r="G287" i="5"/>
  <c r="F287" i="5"/>
  <c r="Y286" i="5"/>
  <c r="W286" i="5"/>
  <c r="V286" i="5"/>
  <c r="T286" i="5"/>
  <c r="S286" i="5"/>
  <c r="R286" i="5"/>
  <c r="Q286" i="5"/>
  <c r="O286" i="5"/>
  <c r="N286" i="5"/>
  <c r="L286" i="5"/>
  <c r="K286" i="5"/>
  <c r="I286" i="5"/>
  <c r="G286" i="5"/>
  <c r="F286" i="5"/>
  <c r="Y285" i="5"/>
  <c r="W285" i="5"/>
  <c r="V285" i="5"/>
  <c r="T285" i="5"/>
  <c r="S285" i="5"/>
  <c r="R285" i="5"/>
  <c r="Q285" i="5"/>
  <c r="O285" i="5"/>
  <c r="N285" i="5"/>
  <c r="L285" i="5"/>
  <c r="K285" i="5"/>
  <c r="I285" i="5"/>
  <c r="G285" i="5"/>
  <c r="F285" i="5"/>
  <c r="Y284" i="5"/>
  <c r="W284" i="5"/>
  <c r="V284" i="5"/>
  <c r="T284" i="5"/>
  <c r="S284" i="5"/>
  <c r="R284" i="5"/>
  <c r="Q284" i="5"/>
  <c r="O284" i="5"/>
  <c r="N284" i="5"/>
  <c r="L284" i="5"/>
  <c r="K284" i="5"/>
  <c r="I284" i="5"/>
  <c r="G284" i="5"/>
  <c r="F284" i="5"/>
  <c r="E284" i="5"/>
  <c r="Y283" i="5"/>
  <c r="W283" i="5"/>
  <c r="V283" i="5"/>
  <c r="T283" i="5"/>
  <c r="S283" i="5"/>
  <c r="R283" i="5"/>
  <c r="Q283" i="5"/>
  <c r="O283" i="5"/>
  <c r="N283" i="5"/>
  <c r="L283" i="5"/>
  <c r="K283" i="5"/>
  <c r="I283" i="5"/>
  <c r="G283" i="5"/>
  <c r="F283" i="5"/>
  <c r="E283" i="5"/>
  <c r="X282" i="5"/>
  <c r="Z282" i="5" s="1"/>
  <c r="X281" i="5"/>
  <c r="Z281" i="5" s="1"/>
  <c r="P280" i="5"/>
  <c r="U280" i="5" s="1"/>
  <c r="H280" i="5"/>
  <c r="E280" i="5"/>
  <c r="X279" i="5"/>
  <c r="Y278" i="5"/>
  <c r="W278" i="5"/>
  <c r="V278" i="5"/>
  <c r="T278" i="5"/>
  <c r="S278" i="5"/>
  <c r="R278" i="5"/>
  <c r="Q278" i="5"/>
  <c r="O278" i="5"/>
  <c r="N278" i="5"/>
  <c r="L278" i="5"/>
  <c r="K278" i="5"/>
  <c r="I278" i="5"/>
  <c r="G278" i="5"/>
  <c r="F278" i="5"/>
  <c r="E278" i="5"/>
  <c r="Y277" i="5"/>
  <c r="W277" i="5"/>
  <c r="V277" i="5"/>
  <c r="T277" i="5"/>
  <c r="S277" i="5"/>
  <c r="R277" i="5"/>
  <c r="Q277" i="5"/>
  <c r="O277" i="5"/>
  <c r="N277" i="5"/>
  <c r="L277" i="5"/>
  <c r="K277" i="5"/>
  <c r="I277" i="5"/>
  <c r="G277" i="5"/>
  <c r="F277" i="5"/>
  <c r="E277" i="5"/>
  <c r="Y276" i="5"/>
  <c r="W276" i="5"/>
  <c r="V276" i="5"/>
  <c r="T276" i="5"/>
  <c r="S276" i="5"/>
  <c r="R276" i="5"/>
  <c r="Q276" i="5"/>
  <c r="O276" i="5"/>
  <c r="N276" i="5"/>
  <c r="L276" i="5"/>
  <c r="I276" i="5"/>
  <c r="G276" i="5"/>
  <c r="F276" i="5"/>
  <c r="E276" i="5"/>
  <c r="Y275" i="5"/>
  <c r="W275" i="5"/>
  <c r="V275" i="5"/>
  <c r="T275" i="5"/>
  <c r="S275" i="5"/>
  <c r="R275" i="5"/>
  <c r="Q275" i="5"/>
  <c r="O275" i="5"/>
  <c r="N275" i="5"/>
  <c r="L275" i="5"/>
  <c r="K275" i="5"/>
  <c r="I275" i="5"/>
  <c r="G275" i="5"/>
  <c r="F275" i="5"/>
  <c r="E275" i="5"/>
  <c r="Y274" i="5"/>
  <c r="W274" i="5"/>
  <c r="V274" i="5"/>
  <c r="T274" i="5"/>
  <c r="S274" i="5"/>
  <c r="R274" i="5"/>
  <c r="Q274" i="5"/>
  <c r="O274" i="5"/>
  <c r="N274" i="5"/>
  <c r="L274" i="5"/>
  <c r="K274" i="5"/>
  <c r="I274" i="5"/>
  <c r="G274" i="5"/>
  <c r="F274" i="5"/>
  <c r="E274" i="5"/>
  <c r="Y273" i="5"/>
  <c r="W273" i="5"/>
  <c r="V273" i="5"/>
  <c r="T273" i="5"/>
  <c r="S273" i="5"/>
  <c r="R273" i="5"/>
  <c r="Q273" i="5"/>
  <c r="O273" i="5"/>
  <c r="N273" i="5"/>
  <c r="L273" i="5"/>
  <c r="K273" i="5"/>
  <c r="I273" i="5"/>
  <c r="G273" i="5"/>
  <c r="F273" i="5"/>
  <c r="E273" i="5"/>
  <c r="Y272" i="5"/>
  <c r="W272" i="5"/>
  <c r="V272" i="5"/>
  <c r="T272" i="5"/>
  <c r="S272" i="5"/>
  <c r="R272" i="5"/>
  <c r="Q272" i="5"/>
  <c r="O272" i="5"/>
  <c r="N272" i="5"/>
  <c r="L272" i="5"/>
  <c r="K272" i="5"/>
  <c r="I272" i="5"/>
  <c r="G272" i="5"/>
  <c r="F272" i="5"/>
  <c r="E272" i="5"/>
  <c r="Y271" i="5"/>
  <c r="W271" i="5"/>
  <c r="V271" i="5"/>
  <c r="T271" i="5"/>
  <c r="S271" i="5"/>
  <c r="R271" i="5"/>
  <c r="Q271" i="5"/>
  <c r="O271" i="5"/>
  <c r="N271" i="5"/>
  <c r="L271" i="5"/>
  <c r="K271" i="5"/>
  <c r="I271" i="5"/>
  <c r="G271" i="5"/>
  <c r="F271" i="5"/>
  <c r="Y270" i="5"/>
  <c r="W270" i="5"/>
  <c r="V270" i="5"/>
  <c r="T270" i="5"/>
  <c r="S270" i="5"/>
  <c r="R270" i="5"/>
  <c r="Q270" i="5"/>
  <c r="O270" i="5"/>
  <c r="N270" i="5"/>
  <c r="L270" i="5"/>
  <c r="K270" i="5"/>
  <c r="I270" i="5"/>
  <c r="G270" i="5"/>
  <c r="Y269" i="5"/>
  <c r="W269" i="5"/>
  <c r="V269" i="5"/>
  <c r="T269" i="5"/>
  <c r="S269" i="5"/>
  <c r="R269" i="5"/>
  <c r="Q269" i="5"/>
  <c r="O269" i="5"/>
  <c r="N269" i="5"/>
  <c r="L269" i="5"/>
  <c r="K269" i="5"/>
  <c r="I269" i="5"/>
  <c r="G269" i="5"/>
  <c r="F269" i="5"/>
  <c r="E269" i="5"/>
  <c r="Y268" i="5"/>
  <c r="W268" i="5"/>
  <c r="V268" i="5"/>
  <c r="T268" i="5"/>
  <c r="S268" i="5"/>
  <c r="R268" i="5"/>
  <c r="Q268" i="5"/>
  <c r="O268" i="5"/>
  <c r="N268" i="5"/>
  <c r="L268" i="5"/>
  <c r="K268" i="5"/>
  <c r="I268" i="5"/>
  <c r="G268" i="5"/>
  <c r="F268" i="5"/>
  <c r="Y267" i="5"/>
  <c r="W267" i="5"/>
  <c r="V267" i="5"/>
  <c r="T267" i="5"/>
  <c r="S267" i="5"/>
  <c r="R267" i="5"/>
  <c r="Q267" i="5"/>
  <c r="O267" i="5"/>
  <c r="N267" i="5"/>
  <c r="L267" i="5"/>
  <c r="K267" i="5"/>
  <c r="I267" i="5"/>
  <c r="G267" i="5"/>
  <c r="F267" i="5"/>
  <c r="Y266" i="5"/>
  <c r="W266" i="5"/>
  <c r="V266" i="5"/>
  <c r="T266" i="5"/>
  <c r="S266" i="5"/>
  <c r="R266" i="5"/>
  <c r="Q266" i="5"/>
  <c r="O266" i="5"/>
  <c r="N266" i="5"/>
  <c r="L266" i="5"/>
  <c r="K266" i="5"/>
  <c r="I266" i="5"/>
  <c r="G266" i="5"/>
  <c r="F266" i="5"/>
  <c r="E266" i="5"/>
  <c r="Y265" i="5"/>
  <c r="W265" i="5"/>
  <c r="V265" i="5"/>
  <c r="T265" i="5"/>
  <c r="S265" i="5"/>
  <c r="R265" i="5"/>
  <c r="Q265" i="5"/>
  <c r="O265" i="5"/>
  <c r="N265" i="5"/>
  <c r="L265" i="5"/>
  <c r="K265" i="5"/>
  <c r="I265" i="5"/>
  <c r="G265" i="5"/>
  <c r="F265" i="5"/>
  <c r="Y264" i="5"/>
  <c r="W264" i="5"/>
  <c r="V264" i="5"/>
  <c r="T264" i="5"/>
  <c r="S264" i="5"/>
  <c r="R264" i="5"/>
  <c r="Q264" i="5"/>
  <c r="O264" i="5"/>
  <c r="N264" i="5"/>
  <c r="L264" i="5"/>
  <c r="I264" i="5"/>
  <c r="G264" i="5"/>
  <c r="F264" i="5"/>
  <c r="X263" i="5"/>
  <c r="X262" i="5"/>
  <c r="P261" i="5"/>
  <c r="H261" i="5"/>
  <c r="E261" i="5"/>
  <c r="Y259" i="5"/>
  <c r="W259" i="5"/>
  <c r="V259" i="5"/>
  <c r="T259" i="5"/>
  <c r="S259" i="5"/>
  <c r="R259" i="5"/>
  <c r="O259" i="5"/>
  <c r="N259" i="5"/>
  <c r="L259" i="5"/>
  <c r="K259" i="5"/>
  <c r="I259" i="5"/>
  <c r="G259" i="5"/>
  <c r="F259" i="5"/>
  <c r="E259" i="5"/>
  <c r="Y258" i="5"/>
  <c r="W258" i="5"/>
  <c r="V258" i="5"/>
  <c r="T258" i="5"/>
  <c r="S258" i="5"/>
  <c r="R258" i="5"/>
  <c r="Q258" i="5"/>
  <c r="O258" i="5"/>
  <c r="N258" i="5"/>
  <c r="L258" i="5"/>
  <c r="K258" i="5"/>
  <c r="J258" i="5"/>
  <c r="I258" i="5"/>
  <c r="G258" i="5"/>
  <c r="F258" i="5"/>
  <c r="E258" i="5"/>
  <c r="Y257" i="5"/>
  <c r="W257" i="5"/>
  <c r="V257" i="5"/>
  <c r="T257" i="5"/>
  <c r="S257" i="5"/>
  <c r="R257" i="5"/>
  <c r="Q257" i="5"/>
  <c r="P257" i="5"/>
  <c r="O257" i="5"/>
  <c r="N257" i="5"/>
  <c r="L257" i="5"/>
  <c r="K257" i="5"/>
  <c r="I257" i="5"/>
  <c r="G257" i="5"/>
  <c r="F257" i="5"/>
  <c r="E257" i="5"/>
  <c r="Y256" i="5"/>
  <c r="W256" i="5"/>
  <c r="V256" i="5"/>
  <c r="T256" i="5"/>
  <c r="S256" i="5"/>
  <c r="R256" i="5"/>
  <c r="O256" i="5"/>
  <c r="N256" i="5"/>
  <c r="L256" i="5"/>
  <c r="K256" i="5"/>
  <c r="I256" i="5"/>
  <c r="G256" i="5"/>
  <c r="F256" i="5"/>
  <c r="E256" i="5"/>
  <c r="Y255" i="5"/>
  <c r="W255" i="5"/>
  <c r="V255" i="5"/>
  <c r="T255" i="5"/>
  <c r="S255" i="5"/>
  <c r="R255" i="5"/>
  <c r="O255" i="5"/>
  <c r="N255" i="5"/>
  <c r="L255" i="5"/>
  <c r="K255" i="5"/>
  <c r="I255" i="5"/>
  <c r="G255" i="5"/>
  <c r="F255" i="5"/>
  <c r="E255" i="5"/>
  <c r="Y254" i="5"/>
  <c r="W254" i="5"/>
  <c r="V254" i="5"/>
  <c r="T254" i="5"/>
  <c r="S254" i="5"/>
  <c r="R254" i="5"/>
  <c r="O254" i="5"/>
  <c r="N254" i="5"/>
  <c r="L254" i="5"/>
  <c r="K254" i="5"/>
  <c r="I254" i="5"/>
  <c r="G254" i="5"/>
  <c r="F254" i="5"/>
  <c r="E254" i="5"/>
  <c r="Y253" i="5"/>
  <c r="W253" i="5"/>
  <c r="V253" i="5"/>
  <c r="T253" i="5"/>
  <c r="S253" i="5"/>
  <c r="R253" i="5"/>
  <c r="O253" i="5"/>
  <c r="N253" i="5"/>
  <c r="L253" i="5"/>
  <c r="K253" i="5"/>
  <c r="I253" i="5"/>
  <c r="G253" i="5"/>
  <c r="F253" i="5"/>
  <c r="E253" i="5"/>
  <c r="Y252" i="5"/>
  <c r="W252" i="5"/>
  <c r="V252" i="5"/>
  <c r="T252" i="5"/>
  <c r="S252" i="5"/>
  <c r="R252" i="5"/>
  <c r="O252" i="5"/>
  <c r="N252" i="5"/>
  <c r="L252" i="5"/>
  <c r="K252" i="5"/>
  <c r="I252" i="5"/>
  <c r="G252" i="5"/>
  <c r="Y251" i="5"/>
  <c r="W251" i="5"/>
  <c r="V251" i="5"/>
  <c r="T251" i="5"/>
  <c r="S251" i="5"/>
  <c r="R251" i="5"/>
  <c r="O251" i="5"/>
  <c r="N251" i="5"/>
  <c r="L251" i="5"/>
  <c r="K251" i="5"/>
  <c r="I251" i="5"/>
  <c r="G251" i="5"/>
  <c r="F251" i="5"/>
  <c r="Y250" i="5"/>
  <c r="W250" i="5"/>
  <c r="V250" i="5"/>
  <c r="T250" i="5"/>
  <c r="S250" i="5"/>
  <c r="R250" i="5"/>
  <c r="O250" i="5"/>
  <c r="N250" i="5"/>
  <c r="L250" i="5"/>
  <c r="K250" i="5"/>
  <c r="I250" i="5"/>
  <c r="G250" i="5"/>
  <c r="Y249" i="5"/>
  <c r="W249" i="5"/>
  <c r="V249" i="5"/>
  <c r="T249" i="5"/>
  <c r="S249" i="5"/>
  <c r="R249" i="5"/>
  <c r="O249" i="5"/>
  <c r="N249" i="5"/>
  <c r="L249" i="5"/>
  <c r="K249" i="5"/>
  <c r="I249" i="5"/>
  <c r="G249" i="5"/>
  <c r="F249" i="5"/>
  <c r="E249" i="5"/>
  <c r="Y248" i="5"/>
  <c r="W248" i="5"/>
  <c r="V248" i="5"/>
  <c r="T248" i="5"/>
  <c r="S248" i="5"/>
  <c r="R248" i="5"/>
  <c r="O248" i="5"/>
  <c r="N248" i="5"/>
  <c r="L248" i="5"/>
  <c r="K248" i="5"/>
  <c r="I248" i="5"/>
  <c r="G248" i="5"/>
  <c r="F248" i="5"/>
  <c r="Y247" i="5"/>
  <c r="W247" i="5"/>
  <c r="V247" i="5"/>
  <c r="T247" i="5"/>
  <c r="S247" i="5"/>
  <c r="R247" i="5"/>
  <c r="O247" i="5"/>
  <c r="N247" i="5"/>
  <c r="L247" i="5"/>
  <c r="K247" i="5"/>
  <c r="I247" i="5"/>
  <c r="G247" i="5"/>
  <c r="F247" i="5"/>
  <c r="E247" i="5"/>
  <c r="Y246" i="5"/>
  <c r="W246" i="5"/>
  <c r="V246" i="5"/>
  <c r="T246" i="5"/>
  <c r="S246" i="5"/>
  <c r="R246" i="5"/>
  <c r="O246" i="5"/>
  <c r="N246" i="5"/>
  <c r="L246" i="5"/>
  <c r="I246" i="5"/>
  <c r="G246" i="5"/>
  <c r="F246" i="5"/>
  <c r="E246" i="5"/>
  <c r="Y245" i="5"/>
  <c r="W245" i="5"/>
  <c r="V245" i="5"/>
  <c r="T245" i="5"/>
  <c r="S245" i="5"/>
  <c r="R245" i="5"/>
  <c r="O245" i="5"/>
  <c r="N245" i="5"/>
  <c r="L245" i="5"/>
  <c r="K245" i="5"/>
  <c r="I245" i="5"/>
  <c r="G245" i="5"/>
  <c r="F245" i="5"/>
  <c r="Y244" i="5"/>
  <c r="W244" i="5"/>
  <c r="V244" i="5"/>
  <c r="T244" i="5"/>
  <c r="S244" i="5"/>
  <c r="R244" i="5"/>
  <c r="O244" i="5"/>
  <c r="N244" i="5"/>
  <c r="L244" i="5"/>
  <c r="K244" i="5"/>
  <c r="I244" i="5"/>
  <c r="G244" i="5"/>
  <c r="F244" i="5"/>
  <c r="E244" i="5"/>
  <c r="Y243" i="5"/>
  <c r="W243" i="5"/>
  <c r="V243" i="5"/>
  <c r="T243" i="5"/>
  <c r="S243" i="5"/>
  <c r="R243" i="5"/>
  <c r="O243" i="5"/>
  <c r="N243" i="5"/>
  <c r="L243" i="5"/>
  <c r="K243" i="5"/>
  <c r="I243" i="5"/>
  <c r="G243" i="5"/>
  <c r="F243" i="5"/>
  <c r="Y242" i="5"/>
  <c r="Y261" i="5" s="1"/>
  <c r="W242" i="5"/>
  <c r="W261" i="5" s="1"/>
  <c r="V242" i="5"/>
  <c r="V261" i="5" s="1"/>
  <c r="T242" i="5"/>
  <c r="T261" i="5" s="1"/>
  <c r="S242" i="5"/>
  <c r="S261" i="5" s="1"/>
  <c r="R242" i="5"/>
  <c r="R261" i="5" s="1"/>
  <c r="O242" i="5"/>
  <c r="O261" i="5" s="1"/>
  <c r="N242" i="5"/>
  <c r="N261" i="5" s="1"/>
  <c r="L242" i="5"/>
  <c r="L261" i="5" s="1"/>
  <c r="I242" i="5"/>
  <c r="I261" i="5" s="1"/>
  <c r="G242" i="5"/>
  <c r="G261" i="5" s="1"/>
  <c r="E242" i="5"/>
  <c r="X235" i="5"/>
  <c r="P235" i="5"/>
  <c r="H235" i="5"/>
  <c r="E235" i="5"/>
  <c r="X234" i="5"/>
  <c r="Z234" i="5" s="1"/>
  <c r="Y233" i="5"/>
  <c r="W233" i="5"/>
  <c r="V233" i="5"/>
  <c r="T233" i="5"/>
  <c r="S233" i="5"/>
  <c r="O233" i="5"/>
  <c r="N233" i="5"/>
  <c r="L233" i="5"/>
  <c r="J233" i="5"/>
  <c r="G233" i="5"/>
  <c r="F233" i="5"/>
  <c r="Y232" i="5"/>
  <c r="W232" i="5"/>
  <c r="V232" i="5"/>
  <c r="T232" i="5"/>
  <c r="S232" i="5"/>
  <c r="O232" i="5"/>
  <c r="N232" i="5"/>
  <c r="L232" i="5"/>
  <c r="J232" i="5"/>
  <c r="G232" i="5"/>
  <c r="F232" i="5"/>
  <c r="E232" i="5"/>
  <c r="Y231" i="5"/>
  <c r="W231" i="5"/>
  <c r="V231" i="5"/>
  <c r="T231" i="5"/>
  <c r="S231" i="5"/>
  <c r="O231" i="5"/>
  <c r="N231" i="5"/>
  <c r="L231" i="5"/>
  <c r="J231" i="5"/>
  <c r="G231" i="5"/>
  <c r="F231" i="5"/>
  <c r="E231" i="5"/>
  <c r="Y230" i="5"/>
  <c r="W230" i="5"/>
  <c r="V230" i="5"/>
  <c r="T230" i="5"/>
  <c r="S230" i="5"/>
  <c r="O230" i="5"/>
  <c r="N230" i="5"/>
  <c r="L230" i="5"/>
  <c r="J230" i="5"/>
  <c r="G230" i="5"/>
  <c r="F230" i="5"/>
  <c r="E230" i="5"/>
  <c r="Y229" i="5"/>
  <c r="W229" i="5"/>
  <c r="V229" i="5"/>
  <c r="T229" i="5"/>
  <c r="S229" i="5"/>
  <c r="R229" i="5"/>
  <c r="Q229" i="5"/>
  <c r="O229" i="5"/>
  <c r="N229" i="5"/>
  <c r="L229" i="5"/>
  <c r="K229" i="5"/>
  <c r="J229" i="5"/>
  <c r="I229" i="5"/>
  <c r="G229" i="5"/>
  <c r="F229" i="5"/>
  <c r="E229" i="5"/>
  <c r="Y228" i="5"/>
  <c r="W228" i="5"/>
  <c r="V228" i="5"/>
  <c r="T228" i="5"/>
  <c r="S228" i="5"/>
  <c r="R228" i="5"/>
  <c r="Q228" i="5"/>
  <c r="O228" i="5"/>
  <c r="N228" i="5"/>
  <c r="L228" i="5"/>
  <c r="K228" i="5"/>
  <c r="J228" i="5"/>
  <c r="I228" i="5"/>
  <c r="G228" i="5"/>
  <c r="Y227" i="5"/>
  <c r="W227" i="5"/>
  <c r="V227" i="5"/>
  <c r="T227" i="5"/>
  <c r="S227" i="5"/>
  <c r="R227" i="5"/>
  <c r="Q227" i="5"/>
  <c r="O227" i="5"/>
  <c r="N227" i="5"/>
  <c r="L227" i="5"/>
  <c r="K227" i="5"/>
  <c r="J227" i="5"/>
  <c r="I227" i="5"/>
  <c r="G227" i="5"/>
  <c r="Y226" i="5"/>
  <c r="W226" i="5"/>
  <c r="V226" i="5"/>
  <c r="T226" i="5"/>
  <c r="S226" i="5"/>
  <c r="O226" i="5"/>
  <c r="N226" i="5"/>
  <c r="L226" i="5"/>
  <c r="J226" i="5"/>
  <c r="G226" i="5"/>
  <c r="F226" i="5"/>
  <c r="Y225" i="5"/>
  <c r="W225" i="5"/>
  <c r="V225" i="5"/>
  <c r="T225" i="5"/>
  <c r="S225" i="5"/>
  <c r="O225" i="5"/>
  <c r="N225" i="5"/>
  <c r="L225" i="5"/>
  <c r="J225" i="5"/>
  <c r="G225" i="5"/>
  <c r="F225" i="5"/>
  <c r="Y224" i="5"/>
  <c r="W224" i="5"/>
  <c r="V224" i="5"/>
  <c r="T224" i="5"/>
  <c r="S224" i="5"/>
  <c r="O224" i="5"/>
  <c r="N224" i="5"/>
  <c r="L224" i="5"/>
  <c r="J224" i="5"/>
  <c r="G224" i="5"/>
  <c r="F224" i="5"/>
  <c r="Y223" i="5"/>
  <c r="W223" i="5"/>
  <c r="V223" i="5"/>
  <c r="T223" i="5"/>
  <c r="S223" i="5"/>
  <c r="O223" i="5"/>
  <c r="N223" i="5"/>
  <c r="L223" i="5"/>
  <c r="J223" i="5"/>
  <c r="G223" i="5"/>
  <c r="F223" i="5"/>
  <c r="E223" i="5"/>
  <c r="Y222" i="5"/>
  <c r="W222" i="5"/>
  <c r="V222" i="5"/>
  <c r="T222" i="5"/>
  <c r="S222" i="5"/>
  <c r="O222" i="5"/>
  <c r="N222" i="5"/>
  <c r="L222" i="5"/>
  <c r="G222" i="5"/>
  <c r="F222" i="5"/>
  <c r="Y221" i="5"/>
  <c r="W221" i="5"/>
  <c r="V221" i="5"/>
  <c r="T221" i="5"/>
  <c r="S221" i="5"/>
  <c r="O221" i="5"/>
  <c r="N221" i="5"/>
  <c r="L221" i="5"/>
  <c r="J221" i="5"/>
  <c r="G221" i="5"/>
  <c r="F221" i="5"/>
  <c r="E221" i="5"/>
  <c r="Y220" i="5"/>
  <c r="W220" i="5"/>
  <c r="V220" i="5"/>
  <c r="T220" i="5"/>
  <c r="S220" i="5"/>
  <c r="O220" i="5"/>
  <c r="N220" i="5"/>
  <c r="L220" i="5"/>
  <c r="J220" i="5"/>
  <c r="G220" i="5"/>
  <c r="F220" i="5"/>
  <c r="E220" i="5"/>
  <c r="Y219" i="5"/>
  <c r="W219" i="5"/>
  <c r="V219" i="5"/>
  <c r="T219" i="5"/>
  <c r="S219" i="5"/>
  <c r="O219" i="5"/>
  <c r="N219" i="5"/>
  <c r="L219" i="5"/>
  <c r="J219" i="5"/>
  <c r="G219" i="5"/>
  <c r="F219" i="5"/>
  <c r="E219" i="5"/>
  <c r="Y218" i="5"/>
  <c r="W218" i="5"/>
  <c r="V218" i="5"/>
  <c r="T218" i="5"/>
  <c r="S218" i="5"/>
  <c r="O218" i="5"/>
  <c r="N218" i="5"/>
  <c r="L218" i="5"/>
  <c r="J218" i="5"/>
  <c r="G218" i="5"/>
  <c r="F218" i="5"/>
  <c r="E218" i="5"/>
  <c r="Y217" i="5"/>
  <c r="W217" i="5"/>
  <c r="V217" i="5"/>
  <c r="T217" i="5"/>
  <c r="S217" i="5"/>
  <c r="O217" i="5"/>
  <c r="N217" i="5"/>
  <c r="L217" i="5"/>
  <c r="J217" i="5"/>
  <c r="G217" i="5"/>
  <c r="F217" i="5"/>
  <c r="E217" i="5"/>
  <c r="Y216" i="5"/>
  <c r="W216" i="5"/>
  <c r="V216" i="5"/>
  <c r="T216" i="5"/>
  <c r="S216" i="5"/>
  <c r="O216" i="5"/>
  <c r="N216" i="5"/>
  <c r="L216" i="5"/>
  <c r="J216" i="5"/>
  <c r="G216" i="5"/>
  <c r="F216" i="5"/>
  <c r="E216" i="5"/>
  <c r="Y215" i="5"/>
  <c r="W215" i="5"/>
  <c r="V215" i="5"/>
  <c r="T215" i="5"/>
  <c r="S215" i="5"/>
  <c r="O215" i="5"/>
  <c r="N215" i="5"/>
  <c r="L215" i="5"/>
  <c r="J215" i="5"/>
  <c r="G215" i="5"/>
  <c r="F215" i="5"/>
  <c r="Y214" i="5"/>
  <c r="W214" i="5"/>
  <c r="V214" i="5"/>
  <c r="T214" i="5"/>
  <c r="S214" i="5"/>
  <c r="O214" i="5"/>
  <c r="N214" i="5"/>
  <c r="L214" i="5"/>
  <c r="J214" i="5"/>
  <c r="G214" i="5"/>
  <c r="F214" i="5"/>
  <c r="Y213" i="5"/>
  <c r="W213" i="5"/>
  <c r="V213" i="5"/>
  <c r="T213" i="5"/>
  <c r="S213" i="5"/>
  <c r="O213" i="5"/>
  <c r="N213" i="5"/>
  <c r="L213" i="5"/>
  <c r="J213" i="5"/>
  <c r="G213" i="5"/>
  <c r="F213" i="5"/>
  <c r="E213" i="5"/>
  <c r="Y212" i="5"/>
  <c r="W212" i="5"/>
  <c r="V212" i="5"/>
  <c r="T212" i="5"/>
  <c r="S212" i="5"/>
  <c r="O212" i="5"/>
  <c r="N212" i="5"/>
  <c r="L212" i="5"/>
  <c r="J212" i="5"/>
  <c r="G212" i="5"/>
  <c r="F212" i="5"/>
  <c r="E212" i="5"/>
  <c r="Y211" i="5"/>
  <c r="W211" i="5"/>
  <c r="V211" i="5"/>
  <c r="T211" i="5"/>
  <c r="S211" i="5"/>
  <c r="O211" i="5"/>
  <c r="N211" i="5"/>
  <c r="L211" i="5"/>
  <c r="J211" i="5"/>
  <c r="G211" i="5"/>
  <c r="F211" i="5"/>
  <c r="E211" i="5"/>
  <c r="X210" i="5"/>
  <c r="Z210" i="5" s="1"/>
  <c r="X209" i="5"/>
  <c r="Z209" i="5" s="1"/>
  <c r="P208" i="5"/>
  <c r="H208" i="5"/>
  <c r="E208" i="5"/>
  <c r="X207" i="5"/>
  <c r="Z207" i="5" s="1"/>
  <c r="Y206" i="5"/>
  <c r="W206" i="5"/>
  <c r="V206" i="5"/>
  <c r="T206" i="5"/>
  <c r="S206" i="5"/>
  <c r="O206" i="5"/>
  <c r="N206" i="5"/>
  <c r="L206" i="5"/>
  <c r="J206" i="5"/>
  <c r="G206" i="5"/>
  <c r="Y205" i="5"/>
  <c r="W205" i="5"/>
  <c r="V205" i="5"/>
  <c r="T205" i="5"/>
  <c r="S205" i="5"/>
  <c r="O205" i="5"/>
  <c r="N205" i="5"/>
  <c r="L205" i="5"/>
  <c r="J205" i="5"/>
  <c r="G205" i="5"/>
  <c r="F205" i="5"/>
  <c r="E205" i="5"/>
  <c r="Y204" i="5"/>
  <c r="W204" i="5"/>
  <c r="V204" i="5"/>
  <c r="T204" i="5"/>
  <c r="S204" i="5"/>
  <c r="O204" i="5"/>
  <c r="N204" i="5"/>
  <c r="L204" i="5"/>
  <c r="J204" i="5"/>
  <c r="G204" i="5"/>
  <c r="F204" i="5"/>
  <c r="Y203" i="5"/>
  <c r="W203" i="5"/>
  <c r="V203" i="5"/>
  <c r="T203" i="5"/>
  <c r="S203" i="5"/>
  <c r="O203" i="5"/>
  <c r="N203" i="5"/>
  <c r="L203" i="5"/>
  <c r="J203" i="5"/>
  <c r="G203" i="5"/>
  <c r="F203" i="5"/>
  <c r="Y202" i="5"/>
  <c r="W202" i="5"/>
  <c r="V202" i="5"/>
  <c r="T202" i="5"/>
  <c r="S202" i="5"/>
  <c r="R202" i="5"/>
  <c r="Q202" i="5"/>
  <c r="O202" i="5"/>
  <c r="N202" i="5"/>
  <c r="L202" i="5"/>
  <c r="K202" i="5"/>
  <c r="J202" i="5"/>
  <c r="I202" i="5"/>
  <c r="G202" i="5"/>
  <c r="F202" i="5"/>
  <c r="E202" i="5"/>
  <c r="Y201" i="5"/>
  <c r="W201" i="5"/>
  <c r="V201" i="5"/>
  <c r="T201" i="5"/>
  <c r="S201" i="5"/>
  <c r="R201" i="5"/>
  <c r="Q201" i="5"/>
  <c r="O201" i="5"/>
  <c r="N201" i="5"/>
  <c r="L201" i="5"/>
  <c r="K201" i="5"/>
  <c r="J201" i="5"/>
  <c r="I201" i="5"/>
  <c r="G201" i="5"/>
  <c r="F201" i="5"/>
  <c r="Y200" i="5"/>
  <c r="W200" i="5"/>
  <c r="V200" i="5"/>
  <c r="T200" i="5"/>
  <c r="S200" i="5"/>
  <c r="O200" i="5"/>
  <c r="N200" i="5"/>
  <c r="L200" i="5"/>
  <c r="J200" i="5"/>
  <c r="G200" i="5"/>
  <c r="F200" i="5"/>
  <c r="E200" i="5"/>
  <c r="Y199" i="5"/>
  <c r="W199" i="5"/>
  <c r="V199" i="5"/>
  <c r="T199" i="5"/>
  <c r="S199" i="5"/>
  <c r="O199" i="5"/>
  <c r="N199" i="5"/>
  <c r="L199" i="5"/>
  <c r="J199" i="5"/>
  <c r="G199" i="5"/>
  <c r="F199" i="5"/>
  <c r="E199" i="5"/>
  <c r="Y198" i="5"/>
  <c r="W198" i="5"/>
  <c r="V198" i="5"/>
  <c r="T198" i="5"/>
  <c r="S198" i="5"/>
  <c r="O198" i="5"/>
  <c r="N198" i="5"/>
  <c r="L198" i="5"/>
  <c r="J198" i="5"/>
  <c r="G198" i="5"/>
  <c r="Y197" i="5"/>
  <c r="W197" i="5"/>
  <c r="V197" i="5"/>
  <c r="T197" i="5"/>
  <c r="S197" i="5"/>
  <c r="O197" i="5"/>
  <c r="N197" i="5"/>
  <c r="L197" i="5"/>
  <c r="J197" i="5"/>
  <c r="G197" i="5"/>
  <c r="F197" i="5"/>
  <c r="E197" i="5"/>
  <c r="Y196" i="5"/>
  <c r="W196" i="5"/>
  <c r="V196" i="5"/>
  <c r="T196" i="5"/>
  <c r="S196" i="5"/>
  <c r="O196" i="5"/>
  <c r="N196" i="5"/>
  <c r="L196" i="5"/>
  <c r="J196" i="5"/>
  <c r="G196" i="5"/>
  <c r="F196" i="5"/>
  <c r="E196" i="5"/>
  <c r="Y195" i="5"/>
  <c r="W195" i="5"/>
  <c r="V195" i="5"/>
  <c r="T195" i="5"/>
  <c r="S195" i="5"/>
  <c r="O195" i="5"/>
  <c r="N195" i="5"/>
  <c r="L195" i="5"/>
  <c r="J195" i="5"/>
  <c r="G195" i="5"/>
  <c r="F195" i="5"/>
  <c r="E195" i="5"/>
  <c r="Y194" i="5"/>
  <c r="W194" i="5"/>
  <c r="V194" i="5"/>
  <c r="T194" i="5"/>
  <c r="S194" i="5"/>
  <c r="O194" i="5"/>
  <c r="N194" i="5"/>
  <c r="L194" i="5"/>
  <c r="J194" i="5"/>
  <c r="G194" i="5"/>
  <c r="E194" i="5"/>
  <c r="Y193" i="5"/>
  <c r="W193" i="5"/>
  <c r="V193" i="5"/>
  <c r="T193" i="5"/>
  <c r="S193" i="5"/>
  <c r="O193" i="5"/>
  <c r="N193" i="5"/>
  <c r="L193" i="5"/>
  <c r="J193" i="5"/>
  <c r="G193" i="5"/>
  <c r="F193" i="5"/>
  <c r="E193" i="5"/>
  <c r="Y192" i="5"/>
  <c r="W192" i="5"/>
  <c r="V192" i="5"/>
  <c r="T192" i="5"/>
  <c r="S192" i="5"/>
  <c r="O192" i="5"/>
  <c r="N192" i="5"/>
  <c r="L192" i="5"/>
  <c r="J192" i="5"/>
  <c r="G192" i="5"/>
  <c r="F192" i="5"/>
  <c r="E192" i="5"/>
  <c r="Y191" i="5"/>
  <c r="W191" i="5"/>
  <c r="V191" i="5"/>
  <c r="T191" i="5"/>
  <c r="S191" i="5"/>
  <c r="O191" i="5"/>
  <c r="N191" i="5"/>
  <c r="L191" i="5"/>
  <c r="J191" i="5"/>
  <c r="G191" i="5"/>
  <c r="F191" i="5"/>
  <c r="E191" i="5"/>
  <c r="Y190" i="5"/>
  <c r="W190" i="5"/>
  <c r="V190" i="5"/>
  <c r="T190" i="5"/>
  <c r="S190" i="5"/>
  <c r="O190" i="5"/>
  <c r="N190" i="5"/>
  <c r="L190" i="5"/>
  <c r="J190" i="5"/>
  <c r="G190" i="5"/>
  <c r="F190" i="5"/>
  <c r="Y189" i="5"/>
  <c r="W189" i="5"/>
  <c r="V189" i="5"/>
  <c r="T189" i="5"/>
  <c r="S189" i="5"/>
  <c r="O189" i="5"/>
  <c r="N189" i="5"/>
  <c r="L189" i="5"/>
  <c r="J189" i="5"/>
  <c r="G189" i="5"/>
  <c r="F189" i="5"/>
  <c r="E189" i="5"/>
  <c r="Y188" i="5"/>
  <c r="W188" i="5"/>
  <c r="V188" i="5"/>
  <c r="T188" i="5"/>
  <c r="S188" i="5"/>
  <c r="O188" i="5"/>
  <c r="N188" i="5"/>
  <c r="L188" i="5"/>
  <c r="J188" i="5"/>
  <c r="G188" i="5"/>
  <c r="F188" i="5"/>
  <c r="E188" i="5"/>
  <c r="Y187" i="5"/>
  <c r="W187" i="5"/>
  <c r="V187" i="5"/>
  <c r="T187" i="5"/>
  <c r="S187" i="5"/>
  <c r="O187" i="5"/>
  <c r="N187" i="5"/>
  <c r="L187" i="5"/>
  <c r="J187" i="5"/>
  <c r="G187" i="5"/>
  <c r="F187" i="5"/>
  <c r="E187" i="5"/>
  <c r="X186" i="5"/>
  <c r="Z186" i="5" s="1"/>
  <c r="X185" i="5"/>
  <c r="Z185" i="5" s="1"/>
  <c r="P184" i="5"/>
  <c r="H184" i="5"/>
  <c r="E184" i="5"/>
  <c r="X183" i="5"/>
  <c r="Z183" i="5" s="1"/>
  <c r="Y182" i="5"/>
  <c r="T182" i="5"/>
  <c r="S182" i="5"/>
  <c r="R182" i="5"/>
  <c r="Q182" i="5"/>
  <c r="O182" i="5"/>
  <c r="N182" i="5"/>
  <c r="L182" i="5"/>
  <c r="K182" i="5"/>
  <c r="J182" i="5"/>
  <c r="I182" i="5"/>
  <c r="G182" i="5"/>
  <c r="Y181" i="5"/>
  <c r="W181" i="5"/>
  <c r="T181" i="5"/>
  <c r="S181" i="5"/>
  <c r="R181" i="5"/>
  <c r="Q181" i="5"/>
  <c r="O181" i="5"/>
  <c r="N181" i="5"/>
  <c r="L181" i="5"/>
  <c r="K181" i="5"/>
  <c r="J181" i="5"/>
  <c r="I181" i="5"/>
  <c r="G181" i="5"/>
  <c r="F181" i="5"/>
  <c r="E181" i="5"/>
  <c r="Y180" i="5"/>
  <c r="T180" i="5"/>
  <c r="S180" i="5"/>
  <c r="R180" i="5"/>
  <c r="Q180" i="5"/>
  <c r="O180" i="5"/>
  <c r="N180" i="5"/>
  <c r="L180" i="5"/>
  <c r="K180" i="5"/>
  <c r="J180" i="5"/>
  <c r="I180" i="5"/>
  <c r="G180" i="5"/>
  <c r="Y179" i="5"/>
  <c r="T179" i="5"/>
  <c r="S179" i="5"/>
  <c r="R179" i="5"/>
  <c r="Q179" i="5"/>
  <c r="O179" i="5"/>
  <c r="N179" i="5"/>
  <c r="L179" i="5"/>
  <c r="K179" i="5"/>
  <c r="J179" i="5"/>
  <c r="I179" i="5"/>
  <c r="G179" i="5"/>
  <c r="F179" i="5"/>
  <c r="E179" i="5"/>
  <c r="Y178" i="5"/>
  <c r="T178" i="5"/>
  <c r="S178" i="5"/>
  <c r="R178" i="5"/>
  <c r="Q178" i="5"/>
  <c r="O178" i="5"/>
  <c r="N178" i="5"/>
  <c r="L178" i="5"/>
  <c r="K178" i="5"/>
  <c r="J178" i="5"/>
  <c r="I178" i="5"/>
  <c r="G178" i="5"/>
  <c r="F178" i="5"/>
  <c r="E178" i="5"/>
  <c r="Y177" i="5"/>
  <c r="T177" i="5"/>
  <c r="S177" i="5"/>
  <c r="R177" i="5"/>
  <c r="Q177" i="5"/>
  <c r="O177" i="5"/>
  <c r="N177" i="5"/>
  <c r="L177" i="5"/>
  <c r="K177" i="5"/>
  <c r="J177" i="5"/>
  <c r="I177" i="5"/>
  <c r="G177" i="5"/>
  <c r="F177" i="5"/>
  <c r="E177" i="5"/>
  <c r="Y176" i="5"/>
  <c r="T176" i="5"/>
  <c r="S176" i="5"/>
  <c r="R176" i="5"/>
  <c r="Q176" i="5"/>
  <c r="O176" i="5"/>
  <c r="N176" i="5"/>
  <c r="L176" i="5"/>
  <c r="K176" i="5"/>
  <c r="J176" i="5"/>
  <c r="I176" i="5"/>
  <c r="G176" i="5"/>
  <c r="F176" i="5"/>
  <c r="E176" i="5"/>
  <c r="Y175" i="5"/>
  <c r="T175" i="5"/>
  <c r="S175" i="5"/>
  <c r="R175" i="5"/>
  <c r="Q175" i="5"/>
  <c r="O175" i="5"/>
  <c r="N175" i="5"/>
  <c r="L175" i="5"/>
  <c r="K175" i="5"/>
  <c r="J175" i="5"/>
  <c r="I175" i="5"/>
  <c r="G175" i="5"/>
  <c r="F175" i="5"/>
  <c r="E175" i="5"/>
  <c r="Y174" i="5"/>
  <c r="T174" i="5"/>
  <c r="S174" i="5"/>
  <c r="R174" i="5"/>
  <c r="Q174" i="5"/>
  <c r="O174" i="5"/>
  <c r="N174" i="5"/>
  <c r="L174" i="5"/>
  <c r="K174" i="5"/>
  <c r="J174" i="5"/>
  <c r="I174" i="5"/>
  <c r="G174" i="5"/>
  <c r="F174" i="5"/>
  <c r="E174" i="5"/>
  <c r="Y173" i="5"/>
  <c r="T173" i="5"/>
  <c r="S173" i="5"/>
  <c r="R173" i="5"/>
  <c r="Q173" i="5"/>
  <c r="O173" i="5"/>
  <c r="N173" i="5"/>
  <c r="L173" i="5"/>
  <c r="K173" i="5"/>
  <c r="J173" i="5"/>
  <c r="I173" i="5"/>
  <c r="G173" i="5"/>
  <c r="F173" i="5"/>
  <c r="E173" i="5"/>
  <c r="Y172" i="5"/>
  <c r="T172" i="5"/>
  <c r="S172" i="5"/>
  <c r="R172" i="5"/>
  <c r="Q172" i="5"/>
  <c r="O172" i="5"/>
  <c r="N172" i="5"/>
  <c r="L172" i="5"/>
  <c r="K172" i="5"/>
  <c r="J172" i="5"/>
  <c r="I172" i="5"/>
  <c r="G172" i="5"/>
  <c r="F172" i="5"/>
  <c r="E172" i="5"/>
  <c r="Y171" i="5"/>
  <c r="T171" i="5"/>
  <c r="S171" i="5"/>
  <c r="R171" i="5"/>
  <c r="Q171" i="5"/>
  <c r="O171" i="5"/>
  <c r="L171" i="5"/>
  <c r="K171" i="5"/>
  <c r="J171" i="5"/>
  <c r="I171" i="5"/>
  <c r="G171" i="5"/>
  <c r="F171" i="5"/>
  <c r="E171" i="5"/>
  <c r="X170" i="5"/>
  <c r="Z170" i="5" s="1"/>
  <c r="X169" i="5"/>
  <c r="Z169" i="5" s="1"/>
  <c r="X168" i="5"/>
  <c r="Z168" i="5" s="1"/>
  <c r="X167" i="5"/>
  <c r="Z167" i="5" s="1"/>
  <c r="P166" i="5"/>
  <c r="H166" i="5"/>
  <c r="E166" i="5"/>
  <c r="X165" i="5"/>
  <c r="Y164" i="5"/>
  <c r="T164" i="5"/>
  <c r="S164" i="5"/>
  <c r="R164" i="5"/>
  <c r="Q164" i="5"/>
  <c r="O164" i="5"/>
  <c r="N164" i="5"/>
  <c r="L164" i="5"/>
  <c r="K164" i="5"/>
  <c r="J164" i="5"/>
  <c r="I164" i="5"/>
  <c r="G164" i="5"/>
  <c r="F164" i="5"/>
  <c r="E164" i="5"/>
  <c r="Y163" i="5"/>
  <c r="T163" i="5"/>
  <c r="S163" i="5"/>
  <c r="R163" i="5"/>
  <c r="Q163" i="5"/>
  <c r="O163" i="5"/>
  <c r="N163" i="5"/>
  <c r="L163" i="5"/>
  <c r="K163" i="5"/>
  <c r="J163" i="5"/>
  <c r="I163" i="5"/>
  <c r="G163" i="5"/>
  <c r="F163" i="5"/>
  <c r="E163" i="5"/>
  <c r="Y162" i="5"/>
  <c r="Y2945" i="5" s="1"/>
  <c r="T162" i="5"/>
  <c r="S162" i="5"/>
  <c r="R162" i="5"/>
  <c r="Q162" i="5"/>
  <c r="O162" i="5"/>
  <c r="N162" i="5"/>
  <c r="L162" i="5"/>
  <c r="K162" i="5"/>
  <c r="J162" i="5"/>
  <c r="I162" i="5"/>
  <c r="G162" i="5"/>
  <c r="F162" i="5"/>
  <c r="E162" i="5"/>
  <c r="Y161" i="5"/>
  <c r="T161" i="5"/>
  <c r="S161" i="5"/>
  <c r="R161" i="5"/>
  <c r="Q161" i="5"/>
  <c r="O161" i="5"/>
  <c r="N161" i="5"/>
  <c r="L161" i="5"/>
  <c r="K161" i="5"/>
  <c r="J161" i="5"/>
  <c r="I161" i="5"/>
  <c r="G161" i="5"/>
  <c r="F161" i="5"/>
  <c r="E161" i="5"/>
  <c r="Y160" i="5"/>
  <c r="T160" i="5"/>
  <c r="S160" i="5"/>
  <c r="R160" i="5"/>
  <c r="Q160" i="5"/>
  <c r="O160" i="5"/>
  <c r="N160" i="5"/>
  <c r="L160" i="5"/>
  <c r="K160" i="5"/>
  <c r="J160" i="5"/>
  <c r="I160" i="5"/>
  <c r="G160" i="5"/>
  <c r="F160" i="5"/>
  <c r="E160" i="5"/>
  <c r="Y159" i="5"/>
  <c r="Y2943" i="5" s="1"/>
  <c r="T159" i="5"/>
  <c r="S159" i="5"/>
  <c r="R159" i="5"/>
  <c r="Q159" i="5"/>
  <c r="O159" i="5"/>
  <c r="N159" i="5"/>
  <c r="L159" i="5"/>
  <c r="K159" i="5"/>
  <c r="J159" i="5"/>
  <c r="I159" i="5"/>
  <c r="G159" i="5"/>
  <c r="F159" i="5"/>
  <c r="E159" i="5"/>
  <c r="Y158" i="5"/>
  <c r="T158" i="5"/>
  <c r="S158" i="5"/>
  <c r="R158" i="5"/>
  <c r="Q158" i="5"/>
  <c r="O158" i="5"/>
  <c r="N158" i="5"/>
  <c r="L158" i="5"/>
  <c r="K158" i="5"/>
  <c r="J158" i="5"/>
  <c r="I158" i="5"/>
  <c r="G158" i="5"/>
  <c r="F158" i="5"/>
  <c r="E158" i="5"/>
  <c r="Y157" i="5"/>
  <c r="T157" i="5"/>
  <c r="S157" i="5"/>
  <c r="R157" i="5"/>
  <c r="Q157" i="5"/>
  <c r="O157" i="5"/>
  <c r="N157" i="5"/>
  <c r="L157" i="5"/>
  <c r="K157" i="5"/>
  <c r="J157" i="5"/>
  <c r="I157" i="5"/>
  <c r="G157" i="5"/>
  <c r="E157" i="5"/>
  <c r="Y156" i="5"/>
  <c r="Y2941" i="5" s="1"/>
  <c r="T156" i="5"/>
  <c r="S156" i="5"/>
  <c r="R156" i="5"/>
  <c r="Q156" i="5"/>
  <c r="O156" i="5"/>
  <c r="N156" i="5"/>
  <c r="L156" i="5"/>
  <c r="K156" i="5"/>
  <c r="J156" i="5"/>
  <c r="I156" i="5"/>
  <c r="G156" i="5"/>
  <c r="F156" i="5"/>
  <c r="E156" i="5"/>
  <c r="Y155" i="5"/>
  <c r="T155" i="5"/>
  <c r="S155" i="5"/>
  <c r="R155" i="5"/>
  <c r="Q155" i="5"/>
  <c r="O155" i="5"/>
  <c r="N155" i="5"/>
  <c r="L155" i="5"/>
  <c r="K155" i="5"/>
  <c r="J155" i="5"/>
  <c r="I155" i="5"/>
  <c r="G155" i="5"/>
  <c r="F155" i="5"/>
  <c r="E155" i="5"/>
  <c r="Y154" i="5"/>
  <c r="Y2939" i="5" s="1"/>
  <c r="T154" i="5"/>
  <c r="S154" i="5"/>
  <c r="R154" i="5"/>
  <c r="Q154" i="5"/>
  <c r="O154" i="5"/>
  <c r="N154" i="5"/>
  <c r="L154" i="5"/>
  <c r="K154" i="5"/>
  <c r="J154" i="5"/>
  <c r="I154" i="5"/>
  <c r="G154" i="5"/>
  <c r="F154" i="5"/>
  <c r="E154" i="5"/>
  <c r="AB153" i="5"/>
  <c r="AA153" i="5"/>
  <c r="Z153" i="5"/>
  <c r="Y153" i="5"/>
  <c r="W153" i="5"/>
  <c r="V153" i="5"/>
  <c r="U153" i="5"/>
  <c r="T153" i="5"/>
  <c r="S153" i="5"/>
  <c r="R153" i="5"/>
  <c r="Q153" i="5"/>
  <c r="P153" i="5"/>
  <c r="O153" i="5"/>
  <c r="N153" i="5"/>
  <c r="M153" i="5"/>
  <c r="L153" i="5"/>
  <c r="K153" i="5"/>
  <c r="J153" i="5"/>
  <c r="I153" i="5"/>
  <c r="H153" i="5"/>
  <c r="X153" i="5" s="1"/>
  <c r="G153" i="5"/>
  <c r="F153" i="5"/>
  <c r="E153" i="5"/>
  <c r="Y152" i="5"/>
  <c r="Y2937" i="5" s="1"/>
  <c r="T152" i="5"/>
  <c r="S152" i="5"/>
  <c r="R152" i="5"/>
  <c r="Q152" i="5"/>
  <c r="O152" i="5"/>
  <c r="N152" i="5"/>
  <c r="L152" i="5"/>
  <c r="K152" i="5"/>
  <c r="J152" i="5"/>
  <c r="I152" i="5"/>
  <c r="G152" i="5"/>
  <c r="F152" i="5"/>
  <c r="E152" i="5"/>
  <c r="X151" i="5"/>
  <c r="X150" i="5"/>
  <c r="P149" i="5"/>
  <c r="P237" i="5" s="1"/>
  <c r="P2919" i="5" s="1"/>
  <c r="H149" i="5"/>
  <c r="E149" i="5"/>
  <c r="Y147" i="5"/>
  <c r="T147" i="5"/>
  <c r="S147" i="5"/>
  <c r="R147" i="5"/>
  <c r="Q147" i="5"/>
  <c r="O147" i="5"/>
  <c r="N147" i="5"/>
  <c r="L147" i="5"/>
  <c r="K147" i="5"/>
  <c r="J147" i="5"/>
  <c r="I147" i="5"/>
  <c r="G147" i="5"/>
  <c r="F147" i="5"/>
  <c r="E147" i="5"/>
  <c r="Y146" i="5"/>
  <c r="Y2931" i="5" s="1"/>
  <c r="W146" i="5"/>
  <c r="V146" i="5"/>
  <c r="T146" i="5"/>
  <c r="S146" i="5"/>
  <c r="R146" i="5"/>
  <c r="Q146" i="5"/>
  <c r="O146" i="5"/>
  <c r="N146" i="5"/>
  <c r="L146" i="5"/>
  <c r="K146" i="5"/>
  <c r="J146" i="5"/>
  <c r="I146" i="5"/>
  <c r="G146" i="5"/>
  <c r="F146" i="5"/>
  <c r="E146" i="5"/>
  <c r="Y145" i="5"/>
  <c r="T145" i="5"/>
  <c r="S145" i="5"/>
  <c r="R145" i="5"/>
  <c r="Q145" i="5"/>
  <c r="O145" i="5"/>
  <c r="N145" i="5"/>
  <c r="L145" i="5"/>
  <c r="K145" i="5"/>
  <c r="J145" i="5"/>
  <c r="I145" i="5"/>
  <c r="G145" i="5"/>
  <c r="F145" i="5"/>
  <c r="E145" i="5"/>
  <c r="Y144" i="5"/>
  <c r="Y2929" i="5" s="1"/>
  <c r="T144" i="5"/>
  <c r="S144" i="5"/>
  <c r="R144" i="5"/>
  <c r="Q144" i="5"/>
  <c r="O144" i="5"/>
  <c r="N144" i="5"/>
  <c r="L144" i="5"/>
  <c r="K144" i="5"/>
  <c r="J144" i="5"/>
  <c r="I144" i="5"/>
  <c r="G144" i="5"/>
  <c r="F144" i="5"/>
  <c r="Y143" i="5"/>
  <c r="T143" i="5"/>
  <c r="S143" i="5"/>
  <c r="R143" i="5"/>
  <c r="Q143" i="5"/>
  <c r="O143" i="5"/>
  <c r="N143" i="5"/>
  <c r="L143" i="5"/>
  <c r="K143" i="5"/>
  <c r="J143" i="5"/>
  <c r="I143" i="5"/>
  <c r="G143" i="5"/>
  <c r="F143" i="5"/>
  <c r="E143" i="5"/>
  <c r="Y142" i="5"/>
  <c r="Y2927" i="5" s="1"/>
  <c r="T142" i="5"/>
  <c r="S142" i="5"/>
  <c r="R142" i="5"/>
  <c r="Q142" i="5"/>
  <c r="O142" i="5"/>
  <c r="N142" i="5"/>
  <c r="L142" i="5"/>
  <c r="K142" i="5"/>
  <c r="J142" i="5"/>
  <c r="I142" i="5"/>
  <c r="G142" i="5"/>
  <c r="F142" i="5"/>
  <c r="E142" i="5"/>
  <c r="Y141" i="5"/>
  <c r="T141" i="5"/>
  <c r="S141" i="5"/>
  <c r="R141" i="5"/>
  <c r="Q141" i="5"/>
  <c r="O141" i="5"/>
  <c r="N141" i="5"/>
  <c r="L141" i="5"/>
  <c r="K141" i="5"/>
  <c r="J141" i="5"/>
  <c r="I141" i="5"/>
  <c r="G141" i="5"/>
  <c r="F141" i="5"/>
  <c r="E141" i="5"/>
  <c r="Y140" i="5"/>
  <c r="Y2925" i="5" s="1"/>
  <c r="T140" i="5"/>
  <c r="S140" i="5"/>
  <c r="R140" i="5"/>
  <c r="Q140" i="5"/>
  <c r="O140" i="5"/>
  <c r="N140" i="5"/>
  <c r="L140" i="5"/>
  <c r="K140" i="5"/>
  <c r="J140" i="5"/>
  <c r="I140" i="5"/>
  <c r="G140" i="5"/>
  <c r="F140" i="5"/>
  <c r="E140" i="5"/>
  <c r="Y139" i="5"/>
  <c r="T139" i="5"/>
  <c r="S139" i="5"/>
  <c r="R139" i="5"/>
  <c r="Q139" i="5"/>
  <c r="O139" i="5"/>
  <c r="N139" i="5"/>
  <c r="L139" i="5"/>
  <c r="K139" i="5"/>
  <c r="J139" i="5"/>
  <c r="I139" i="5"/>
  <c r="G139" i="5"/>
  <c r="F139" i="5"/>
  <c r="Y138" i="5"/>
  <c r="Y2923" i="5" s="1"/>
  <c r="T138" i="5"/>
  <c r="S138" i="5"/>
  <c r="R138" i="5"/>
  <c r="Q138" i="5"/>
  <c r="O138" i="5"/>
  <c r="N138" i="5"/>
  <c r="L138" i="5"/>
  <c r="K138" i="5"/>
  <c r="J138" i="5"/>
  <c r="I138" i="5"/>
  <c r="G138" i="5"/>
  <c r="F138" i="5"/>
  <c r="E138" i="5"/>
  <c r="Y137" i="5"/>
  <c r="Y149" i="5" s="1"/>
  <c r="T137" i="5"/>
  <c r="T149" i="5" s="1"/>
  <c r="S137" i="5"/>
  <c r="S149" i="5" s="1"/>
  <c r="R137" i="5"/>
  <c r="R149" i="5" s="1"/>
  <c r="Q137" i="5"/>
  <c r="Q149" i="5" s="1"/>
  <c r="O137" i="5"/>
  <c r="O149" i="5" s="1"/>
  <c r="N137" i="5"/>
  <c r="N149" i="5" s="1"/>
  <c r="L137" i="5"/>
  <c r="L149" i="5" s="1"/>
  <c r="K137" i="5"/>
  <c r="K149" i="5" s="1"/>
  <c r="J137" i="5"/>
  <c r="J149" i="5" s="1"/>
  <c r="I137" i="5"/>
  <c r="I149" i="5" s="1"/>
  <c r="G137" i="5"/>
  <c r="G149" i="5" s="1"/>
  <c r="F137" i="5"/>
  <c r="F149" i="5" s="1"/>
  <c r="E137" i="5"/>
  <c r="P130" i="5"/>
  <c r="H130" i="5"/>
  <c r="E130" i="5"/>
  <c r="X129" i="5"/>
  <c r="Z129" i="5" s="1"/>
  <c r="Y128" i="5"/>
  <c r="T128" i="5"/>
  <c r="S128" i="5"/>
  <c r="R128" i="5"/>
  <c r="Q128" i="5"/>
  <c r="O128" i="5"/>
  <c r="N128" i="5"/>
  <c r="L128" i="5"/>
  <c r="K128" i="5"/>
  <c r="J128" i="5"/>
  <c r="I128" i="5"/>
  <c r="G128" i="5"/>
  <c r="F128" i="5"/>
  <c r="E128" i="5"/>
  <c r="Y127" i="5"/>
  <c r="W127" i="5"/>
  <c r="V127" i="5"/>
  <c r="T127" i="5"/>
  <c r="S127" i="5"/>
  <c r="R127" i="5"/>
  <c r="Q127" i="5"/>
  <c r="O127" i="5"/>
  <c r="N127" i="5"/>
  <c r="L127" i="5"/>
  <c r="K127" i="5"/>
  <c r="J127" i="5"/>
  <c r="I127" i="5"/>
  <c r="G127" i="5"/>
  <c r="F127" i="5"/>
  <c r="E127" i="5"/>
  <c r="Y126" i="5"/>
  <c r="W126" i="5"/>
  <c r="V126" i="5"/>
  <c r="T126" i="5"/>
  <c r="S126" i="5"/>
  <c r="R126" i="5"/>
  <c r="Q126" i="5"/>
  <c r="O126" i="5"/>
  <c r="N126" i="5"/>
  <c r="L126" i="5"/>
  <c r="K126" i="5"/>
  <c r="J126" i="5"/>
  <c r="I126" i="5"/>
  <c r="G126" i="5"/>
  <c r="F126" i="5"/>
  <c r="E126" i="5"/>
  <c r="Y125" i="5"/>
  <c r="W125" i="5"/>
  <c r="V125" i="5"/>
  <c r="T125" i="5"/>
  <c r="S125" i="5"/>
  <c r="R125" i="5"/>
  <c r="Q125" i="5"/>
  <c r="O125" i="5"/>
  <c r="N125" i="5"/>
  <c r="L125" i="5"/>
  <c r="K125" i="5"/>
  <c r="J125" i="5"/>
  <c r="I125" i="5"/>
  <c r="G125" i="5"/>
  <c r="F125" i="5"/>
  <c r="E125" i="5"/>
  <c r="Y124" i="5"/>
  <c r="T124" i="5"/>
  <c r="S124" i="5"/>
  <c r="R124" i="5"/>
  <c r="Q124" i="5"/>
  <c r="O124" i="5"/>
  <c r="N124" i="5"/>
  <c r="L124" i="5"/>
  <c r="K124" i="5"/>
  <c r="J124" i="5"/>
  <c r="I124" i="5"/>
  <c r="G124" i="5"/>
  <c r="F124" i="5"/>
  <c r="E124" i="5"/>
  <c r="Y123" i="5"/>
  <c r="T123" i="5"/>
  <c r="S123" i="5"/>
  <c r="R123" i="5"/>
  <c r="Q123" i="5"/>
  <c r="O123" i="5"/>
  <c r="N123" i="5"/>
  <c r="L123" i="5"/>
  <c r="K123" i="5"/>
  <c r="J123" i="5"/>
  <c r="I123" i="5"/>
  <c r="G123" i="5"/>
  <c r="F123" i="5"/>
  <c r="E123" i="5"/>
  <c r="Y122" i="5"/>
  <c r="T122" i="5"/>
  <c r="S122" i="5"/>
  <c r="R122" i="5"/>
  <c r="Q122" i="5"/>
  <c r="O122" i="5"/>
  <c r="N122" i="5"/>
  <c r="L122" i="5"/>
  <c r="K122" i="5"/>
  <c r="J122" i="5"/>
  <c r="I122" i="5"/>
  <c r="G122" i="5"/>
  <c r="F122" i="5"/>
  <c r="E122" i="5"/>
  <c r="Y121" i="5"/>
  <c r="T121" i="5"/>
  <c r="S121" i="5"/>
  <c r="R121" i="5"/>
  <c r="Q121" i="5"/>
  <c r="O121" i="5"/>
  <c r="N121" i="5"/>
  <c r="L121" i="5"/>
  <c r="K121" i="5"/>
  <c r="J121" i="5"/>
  <c r="I121" i="5"/>
  <c r="G121" i="5"/>
  <c r="F121" i="5"/>
  <c r="E121" i="5"/>
  <c r="Y120" i="5"/>
  <c r="T120" i="5"/>
  <c r="S120" i="5"/>
  <c r="R120" i="5"/>
  <c r="Q120" i="5"/>
  <c r="O120" i="5"/>
  <c r="N120" i="5"/>
  <c r="L120" i="5"/>
  <c r="K120" i="5"/>
  <c r="J120" i="5"/>
  <c r="I120" i="5"/>
  <c r="G120" i="5"/>
  <c r="F120" i="5"/>
  <c r="E120" i="5"/>
  <c r="Y119" i="5"/>
  <c r="T119" i="5"/>
  <c r="S119" i="5"/>
  <c r="R119" i="5"/>
  <c r="Q119" i="5"/>
  <c r="O119" i="5"/>
  <c r="N119" i="5"/>
  <c r="L119" i="5"/>
  <c r="K119" i="5"/>
  <c r="J119" i="5"/>
  <c r="I119" i="5"/>
  <c r="G119" i="5"/>
  <c r="F119" i="5"/>
  <c r="Y118" i="5"/>
  <c r="T118" i="5"/>
  <c r="S118" i="5"/>
  <c r="R118" i="5"/>
  <c r="Q118" i="5"/>
  <c r="O118" i="5"/>
  <c r="N118" i="5"/>
  <c r="L118" i="5"/>
  <c r="K118" i="5"/>
  <c r="J118" i="5"/>
  <c r="I118" i="5"/>
  <c r="G118" i="5"/>
  <c r="F118" i="5"/>
  <c r="E118" i="5"/>
  <c r="Y117" i="5"/>
  <c r="T117" i="5"/>
  <c r="S117" i="5"/>
  <c r="R117" i="5"/>
  <c r="Q117" i="5"/>
  <c r="O117" i="5"/>
  <c r="N117" i="5"/>
  <c r="L117" i="5"/>
  <c r="K117" i="5"/>
  <c r="J117" i="5"/>
  <c r="I117" i="5"/>
  <c r="G117" i="5"/>
  <c r="F117" i="5"/>
  <c r="E117" i="5"/>
  <c r="Y116" i="5"/>
  <c r="T116" i="5"/>
  <c r="S116" i="5"/>
  <c r="R116" i="5"/>
  <c r="Q116" i="5"/>
  <c r="O116" i="5"/>
  <c r="N116" i="5"/>
  <c r="L116" i="5"/>
  <c r="K116" i="5"/>
  <c r="J116" i="5"/>
  <c r="I116" i="5"/>
  <c r="G116" i="5"/>
  <c r="F116" i="5"/>
  <c r="E116" i="5"/>
  <c r="Y115" i="5"/>
  <c r="T115" i="5"/>
  <c r="S115" i="5"/>
  <c r="R115" i="5"/>
  <c r="Q115" i="5"/>
  <c r="O115" i="5"/>
  <c r="N115" i="5"/>
  <c r="L115" i="5"/>
  <c r="K115" i="5"/>
  <c r="J115" i="5"/>
  <c r="I115" i="5"/>
  <c r="G115" i="5"/>
  <c r="F115" i="5"/>
  <c r="Y114" i="5"/>
  <c r="T114" i="5"/>
  <c r="S114" i="5"/>
  <c r="R114" i="5"/>
  <c r="Q114" i="5"/>
  <c r="O114" i="5"/>
  <c r="L114" i="5"/>
  <c r="K114" i="5"/>
  <c r="J114" i="5"/>
  <c r="I114" i="5"/>
  <c r="G114" i="5"/>
  <c r="F114" i="5"/>
  <c r="E114" i="5"/>
  <c r="Y113" i="5"/>
  <c r="W113" i="5"/>
  <c r="V113" i="5"/>
  <c r="U113" i="5"/>
  <c r="T113" i="5"/>
  <c r="S113" i="5"/>
  <c r="R113" i="5"/>
  <c r="Q113" i="5"/>
  <c r="P113" i="5"/>
  <c r="O113" i="5"/>
  <c r="N113" i="5"/>
  <c r="M113" i="5"/>
  <c r="L113" i="5"/>
  <c r="K113" i="5"/>
  <c r="J113" i="5"/>
  <c r="I113" i="5"/>
  <c r="H113" i="5"/>
  <c r="X113" i="5" s="1"/>
  <c r="G113" i="5"/>
  <c r="F113" i="5"/>
  <c r="E113" i="5"/>
  <c r="Y112" i="5"/>
  <c r="T112" i="5"/>
  <c r="S112" i="5"/>
  <c r="R112" i="5"/>
  <c r="Q112" i="5"/>
  <c r="O112" i="5"/>
  <c r="L112" i="5"/>
  <c r="K112" i="5"/>
  <c r="J112" i="5"/>
  <c r="I112" i="5"/>
  <c r="G112" i="5"/>
  <c r="F112" i="5"/>
  <c r="E112" i="5"/>
  <c r="Y111" i="5"/>
  <c r="T111" i="5"/>
  <c r="S111" i="5"/>
  <c r="R111" i="5"/>
  <c r="Q111" i="5"/>
  <c r="O111" i="5"/>
  <c r="N111" i="5"/>
  <c r="L111" i="5"/>
  <c r="K111" i="5"/>
  <c r="J111" i="5"/>
  <c r="I111" i="5"/>
  <c r="G111" i="5"/>
  <c r="F111" i="5"/>
  <c r="E111" i="5"/>
  <c r="Y110" i="5"/>
  <c r="T110" i="5"/>
  <c r="S110" i="5"/>
  <c r="R110" i="5"/>
  <c r="Q110" i="5"/>
  <c r="O110" i="5"/>
  <c r="N110" i="5"/>
  <c r="L110" i="5"/>
  <c r="K110" i="5"/>
  <c r="J110" i="5"/>
  <c r="I110" i="5"/>
  <c r="G110" i="5"/>
  <c r="F110" i="5"/>
  <c r="E110" i="5"/>
  <c r="X109" i="5"/>
  <c r="Z109" i="5" s="1"/>
  <c r="X108" i="5"/>
  <c r="Z108" i="5" s="1"/>
  <c r="P107" i="5"/>
  <c r="H107" i="5"/>
  <c r="E107" i="5"/>
  <c r="X106" i="5"/>
  <c r="Z106" i="5" s="1"/>
  <c r="Y105" i="5"/>
  <c r="T105" i="5"/>
  <c r="S105" i="5"/>
  <c r="R105" i="5"/>
  <c r="Q105" i="5"/>
  <c r="O105" i="5"/>
  <c r="N105" i="5"/>
  <c r="L105" i="5"/>
  <c r="K105" i="5"/>
  <c r="J105" i="5"/>
  <c r="I105" i="5"/>
  <c r="G105" i="5"/>
  <c r="F105" i="5"/>
  <c r="E105" i="5"/>
  <c r="Y104" i="5"/>
  <c r="W104" i="5"/>
  <c r="V104" i="5"/>
  <c r="T104" i="5"/>
  <c r="S104" i="5"/>
  <c r="R104" i="5"/>
  <c r="Q104" i="5"/>
  <c r="O104" i="5"/>
  <c r="N104" i="5"/>
  <c r="L104" i="5"/>
  <c r="K104" i="5"/>
  <c r="J104" i="5"/>
  <c r="I104" i="5"/>
  <c r="G104" i="5"/>
  <c r="F104" i="5"/>
  <c r="E104" i="5"/>
  <c r="Y103" i="5"/>
  <c r="W103" i="5"/>
  <c r="V103" i="5"/>
  <c r="T103" i="5"/>
  <c r="S103" i="5"/>
  <c r="R103" i="5"/>
  <c r="Q103" i="5"/>
  <c r="O103" i="5"/>
  <c r="N103" i="5"/>
  <c r="L103" i="5"/>
  <c r="K103" i="5"/>
  <c r="J103" i="5"/>
  <c r="I103" i="5"/>
  <c r="G103" i="5"/>
  <c r="F103" i="5"/>
  <c r="E103" i="5"/>
  <c r="Y102" i="5"/>
  <c r="T102" i="5"/>
  <c r="S102" i="5"/>
  <c r="R102" i="5"/>
  <c r="Q102" i="5"/>
  <c r="O102" i="5"/>
  <c r="N102" i="5"/>
  <c r="L102" i="5"/>
  <c r="K102" i="5"/>
  <c r="J102" i="5"/>
  <c r="I102" i="5"/>
  <c r="G102" i="5"/>
  <c r="F102" i="5"/>
  <c r="E102" i="5"/>
  <c r="Y101" i="5"/>
  <c r="T101" i="5"/>
  <c r="S101" i="5"/>
  <c r="R101" i="5"/>
  <c r="Q101" i="5"/>
  <c r="O101" i="5"/>
  <c r="N101" i="5"/>
  <c r="L101" i="5"/>
  <c r="K101" i="5"/>
  <c r="J101" i="5"/>
  <c r="I101" i="5"/>
  <c r="G101" i="5"/>
  <c r="F101" i="5"/>
  <c r="E101" i="5"/>
  <c r="Y100" i="5"/>
  <c r="T100" i="5"/>
  <c r="S100" i="5"/>
  <c r="R100" i="5"/>
  <c r="Q100" i="5"/>
  <c r="O100" i="5"/>
  <c r="N100" i="5"/>
  <c r="L100" i="5"/>
  <c r="K100" i="5"/>
  <c r="J100" i="5"/>
  <c r="I100" i="5"/>
  <c r="G100" i="5"/>
  <c r="F100" i="5"/>
  <c r="E100" i="5"/>
  <c r="Y99" i="5"/>
  <c r="T99" i="5"/>
  <c r="S99" i="5"/>
  <c r="R99" i="5"/>
  <c r="Q99" i="5"/>
  <c r="O99" i="5"/>
  <c r="N99" i="5"/>
  <c r="L99" i="5"/>
  <c r="K99" i="5"/>
  <c r="J99" i="5"/>
  <c r="I99" i="5"/>
  <c r="G99" i="5"/>
  <c r="F99" i="5"/>
  <c r="E99" i="5"/>
  <c r="Y98" i="5"/>
  <c r="T98" i="5"/>
  <c r="S98" i="5"/>
  <c r="R98" i="5"/>
  <c r="Q98" i="5"/>
  <c r="O98" i="5"/>
  <c r="N98" i="5"/>
  <c r="L98" i="5"/>
  <c r="K98" i="5"/>
  <c r="J98" i="5"/>
  <c r="I98" i="5"/>
  <c r="G98" i="5"/>
  <c r="F98" i="5"/>
  <c r="E98" i="5"/>
  <c r="Y97" i="5"/>
  <c r="T97" i="5"/>
  <c r="S97" i="5"/>
  <c r="R97" i="5"/>
  <c r="Q97" i="5"/>
  <c r="O97" i="5"/>
  <c r="N97" i="5"/>
  <c r="L97" i="5"/>
  <c r="K97" i="5"/>
  <c r="J97" i="5"/>
  <c r="I97" i="5"/>
  <c r="G97" i="5"/>
  <c r="F97" i="5"/>
  <c r="E97" i="5"/>
  <c r="Y96" i="5"/>
  <c r="T96" i="5"/>
  <c r="S96" i="5"/>
  <c r="R96" i="5"/>
  <c r="Q96" i="5"/>
  <c r="O96" i="5"/>
  <c r="N96" i="5"/>
  <c r="L96" i="5"/>
  <c r="K96" i="5"/>
  <c r="J96" i="5"/>
  <c r="I96" i="5"/>
  <c r="G96" i="5"/>
  <c r="F96" i="5"/>
  <c r="E96" i="5"/>
  <c r="Y95" i="5"/>
  <c r="T95" i="5"/>
  <c r="S95" i="5"/>
  <c r="R95" i="5"/>
  <c r="Q95" i="5"/>
  <c r="O95" i="5"/>
  <c r="O107" i="5" s="1"/>
  <c r="N95" i="5"/>
  <c r="L95" i="5"/>
  <c r="K95" i="5"/>
  <c r="J95" i="5"/>
  <c r="I95" i="5"/>
  <c r="G95" i="5"/>
  <c r="F95" i="5"/>
  <c r="E95" i="5"/>
  <c r="X94" i="5"/>
  <c r="Z94" i="5" s="1"/>
  <c r="X93" i="5"/>
  <c r="Z93" i="5" s="1"/>
  <c r="P92" i="5"/>
  <c r="H92" i="5"/>
  <c r="E92" i="5"/>
  <c r="X91" i="5"/>
  <c r="Z91" i="5" s="1"/>
  <c r="Y90" i="5"/>
  <c r="T90" i="5"/>
  <c r="S90" i="5"/>
  <c r="R90" i="5"/>
  <c r="Q90" i="5"/>
  <c r="O90" i="5"/>
  <c r="N90" i="5"/>
  <c r="L90" i="5"/>
  <c r="K90" i="5"/>
  <c r="J90" i="5"/>
  <c r="I90" i="5"/>
  <c r="G90" i="5"/>
  <c r="F90" i="5"/>
  <c r="Y89" i="5"/>
  <c r="T89" i="5"/>
  <c r="S89" i="5"/>
  <c r="R89" i="5"/>
  <c r="Q89" i="5"/>
  <c r="O89" i="5"/>
  <c r="N89" i="5"/>
  <c r="L89" i="5"/>
  <c r="K89" i="5"/>
  <c r="J89" i="5"/>
  <c r="I89" i="5"/>
  <c r="G89" i="5"/>
  <c r="F89" i="5"/>
  <c r="E89" i="5"/>
  <c r="Y88" i="5"/>
  <c r="T88" i="5"/>
  <c r="S88" i="5"/>
  <c r="R88" i="5"/>
  <c r="Q88" i="5"/>
  <c r="O88" i="5"/>
  <c r="N88" i="5"/>
  <c r="L88" i="5"/>
  <c r="K88" i="5"/>
  <c r="J88" i="5"/>
  <c r="I88" i="5"/>
  <c r="G88" i="5"/>
  <c r="F88" i="5"/>
  <c r="E88" i="5"/>
  <c r="Y87" i="5"/>
  <c r="T87" i="5"/>
  <c r="S87" i="5"/>
  <c r="R87" i="5"/>
  <c r="Q87" i="5"/>
  <c r="O87" i="5"/>
  <c r="N87" i="5"/>
  <c r="L87" i="5"/>
  <c r="K87" i="5"/>
  <c r="J87" i="5"/>
  <c r="I87" i="5"/>
  <c r="G87" i="5"/>
  <c r="F87" i="5"/>
  <c r="E87" i="5"/>
  <c r="Y86" i="5"/>
  <c r="T86" i="5"/>
  <c r="S86" i="5"/>
  <c r="R86" i="5"/>
  <c r="Q86" i="5"/>
  <c r="O86" i="5"/>
  <c r="N86" i="5"/>
  <c r="L86" i="5"/>
  <c r="K86" i="5"/>
  <c r="J86" i="5"/>
  <c r="I86" i="5"/>
  <c r="G86" i="5"/>
  <c r="F86" i="5"/>
  <c r="E86" i="5"/>
  <c r="Y85" i="5"/>
  <c r="T85" i="5"/>
  <c r="S85" i="5"/>
  <c r="R85" i="5"/>
  <c r="Q85" i="5"/>
  <c r="O85" i="5"/>
  <c r="N85" i="5"/>
  <c r="L85" i="5"/>
  <c r="K85" i="5"/>
  <c r="J85" i="5"/>
  <c r="I85" i="5"/>
  <c r="G85" i="5"/>
  <c r="F85" i="5"/>
  <c r="E85" i="5"/>
  <c r="Y84" i="5"/>
  <c r="T84" i="5"/>
  <c r="S84" i="5"/>
  <c r="R84" i="5"/>
  <c r="Q84" i="5"/>
  <c r="O84" i="5"/>
  <c r="N84" i="5"/>
  <c r="L84" i="5"/>
  <c r="K84" i="5"/>
  <c r="J84" i="5"/>
  <c r="I84" i="5"/>
  <c r="G84" i="5"/>
  <c r="F84" i="5"/>
  <c r="E84" i="5"/>
  <c r="Y83" i="5"/>
  <c r="T83" i="5"/>
  <c r="S83" i="5"/>
  <c r="R83" i="5"/>
  <c r="Q83" i="5"/>
  <c r="O83" i="5"/>
  <c r="N83" i="5"/>
  <c r="L83" i="5"/>
  <c r="K83" i="5"/>
  <c r="J83" i="5"/>
  <c r="I83" i="5"/>
  <c r="G83" i="5"/>
  <c r="F83" i="5"/>
  <c r="E83" i="5"/>
  <c r="Y82" i="5"/>
  <c r="T82" i="5"/>
  <c r="S82" i="5"/>
  <c r="R82" i="5"/>
  <c r="Q82" i="5"/>
  <c r="O82" i="5"/>
  <c r="N82" i="5"/>
  <c r="L82" i="5"/>
  <c r="K82" i="5"/>
  <c r="J82" i="5"/>
  <c r="I82" i="5"/>
  <c r="G82" i="5"/>
  <c r="F82" i="5"/>
  <c r="E82" i="5"/>
  <c r="Y81" i="5"/>
  <c r="T81" i="5"/>
  <c r="S81" i="5"/>
  <c r="R81" i="5"/>
  <c r="Q81" i="5"/>
  <c r="O81" i="5"/>
  <c r="N81" i="5"/>
  <c r="L81" i="5"/>
  <c r="K81" i="5"/>
  <c r="J81" i="5"/>
  <c r="I81" i="5"/>
  <c r="G81" i="5"/>
  <c r="F81" i="5"/>
  <c r="E81" i="5"/>
  <c r="Y80" i="5"/>
  <c r="T80" i="5"/>
  <c r="S80" i="5"/>
  <c r="R80" i="5"/>
  <c r="Q80" i="5"/>
  <c r="O80" i="5"/>
  <c r="N80" i="5"/>
  <c r="L80" i="5"/>
  <c r="K80" i="5"/>
  <c r="J80" i="5"/>
  <c r="I80" i="5"/>
  <c r="G80" i="5"/>
  <c r="F80" i="5"/>
  <c r="E80" i="5"/>
  <c r="Y79" i="5"/>
  <c r="T79" i="5"/>
  <c r="S79" i="5"/>
  <c r="R79" i="5"/>
  <c r="Q79" i="5"/>
  <c r="O79" i="5"/>
  <c r="N79" i="5"/>
  <c r="L79" i="5"/>
  <c r="K79" i="5"/>
  <c r="J79" i="5"/>
  <c r="I79" i="5"/>
  <c r="G79" i="5"/>
  <c r="F79" i="5"/>
  <c r="Y78" i="5"/>
  <c r="T78" i="5"/>
  <c r="S78" i="5"/>
  <c r="R78" i="5"/>
  <c r="Q78" i="5"/>
  <c r="O78" i="5"/>
  <c r="N78" i="5"/>
  <c r="L78" i="5"/>
  <c r="K78" i="5"/>
  <c r="J78" i="5"/>
  <c r="I78" i="5"/>
  <c r="G78" i="5"/>
  <c r="F78" i="5"/>
  <c r="Y77" i="5"/>
  <c r="T77" i="5"/>
  <c r="S77" i="5"/>
  <c r="R77" i="5"/>
  <c r="Q77" i="5"/>
  <c r="O77" i="5"/>
  <c r="N77" i="5"/>
  <c r="L77" i="5"/>
  <c r="K77" i="5"/>
  <c r="J77" i="5"/>
  <c r="I77" i="5"/>
  <c r="G77" i="5"/>
  <c r="F77" i="5"/>
  <c r="E77" i="5"/>
  <c r="Y76" i="5"/>
  <c r="T76" i="5"/>
  <c r="S76" i="5"/>
  <c r="R76" i="5"/>
  <c r="Q76" i="5"/>
  <c r="O76" i="5"/>
  <c r="N76" i="5"/>
  <c r="L76" i="5"/>
  <c r="K76" i="5"/>
  <c r="J76" i="5"/>
  <c r="I76" i="5"/>
  <c r="G76" i="5"/>
  <c r="F76" i="5"/>
  <c r="E76" i="5"/>
  <c r="Y75" i="5"/>
  <c r="T75" i="5"/>
  <c r="S75" i="5"/>
  <c r="R75" i="5"/>
  <c r="Q75" i="5"/>
  <c r="O75" i="5"/>
  <c r="N75" i="5"/>
  <c r="L75" i="5"/>
  <c r="K75" i="5"/>
  <c r="J75" i="5"/>
  <c r="I75" i="5"/>
  <c r="G75" i="5"/>
  <c r="F75" i="5"/>
  <c r="E75" i="5"/>
  <c r="Y74" i="5"/>
  <c r="W74" i="5"/>
  <c r="V74" i="5"/>
  <c r="U74" i="5"/>
  <c r="T74" i="5"/>
  <c r="S74" i="5"/>
  <c r="R74" i="5"/>
  <c r="Q74" i="5"/>
  <c r="P74" i="5"/>
  <c r="O74" i="5"/>
  <c r="N74" i="5"/>
  <c r="M74" i="5"/>
  <c r="L74" i="5"/>
  <c r="K74" i="5"/>
  <c r="J74" i="5"/>
  <c r="I74" i="5"/>
  <c r="H74" i="5"/>
  <c r="X74" i="5" s="1"/>
  <c r="G74" i="5"/>
  <c r="F74" i="5"/>
  <c r="E74" i="5"/>
  <c r="Y73" i="5"/>
  <c r="T73" i="5"/>
  <c r="S73" i="5"/>
  <c r="R73" i="5"/>
  <c r="Q73" i="5"/>
  <c r="O73" i="5"/>
  <c r="N73" i="5"/>
  <c r="L73" i="5"/>
  <c r="K73" i="5"/>
  <c r="J73" i="5"/>
  <c r="I73" i="5"/>
  <c r="G73" i="5"/>
  <c r="F73" i="5"/>
  <c r="E73" i="5"/>
  <c r="Y72" i="5"/>
  <c r="T72" i="5"/>
  <c r="S72" i="5"/>
  <c r="R72" i="5"/>
  <c r="Q72" i="5"/>
  <c r="O72" i="5"/>
  <c r="N72" i="5"/>
  <c r="L72" i="5"/>
  <c r="K72" i="5"/>
  <c r="J72" i="5"/>
  <c r="I72" i="5"/>
  <c r="G72" i="5"/>
  <c r="F72" i="5"/>
  <c r="E72" i="5"/>
  <c r="Y71" i="5"/>
  <c r="T71" i="5"/>
  <c r="S71" i="5"/>
  <c r="R71" i="5"/>
  <c r="Q71" i="5"/>
  <c r="O71" i="5"/>
  <c r="N71" i="5"/>
  <c r="L71" i="5"/>
  <c r="K71" i="5"/>
  <c r="J71" i="5"/>
  <c r="I71" i="5"/>
  <c r="G71" i="5"/>
  <c r="F71" i="5"/>
  <c r="E71" i="5"/>
  <c r="X70" i="5"/>
  <c r="Z70" i="5" s="1"/>
  <c r="X69" i="5"/>
  <c r="Z69" i="5" s="1"/>
  <c r="P68" i="5"/>
  <c r="H68" i="5"/>
  <c r="X68" i="5" s="1"/>
  <c r="E68" i="5"/>
  <c r="X67" i="5"/>
  <c r="Z67" i="5" s="1"/>
  <c r="Y66" i="5"/>
  <c r="T66" i="5"/>
  <c r="S66" i="5"/>
  <c r="R66" i="5"/>
  <c r="Q66" i="5"/>
  <c r="O66" i="5"/>
  <c r="N66" i="5"/>
  <c r="L66" i="5"/>
  <c r="K66" i="5"/>
  <c r="J66" i="5"/>
  <c r="I66" i="5"/>
  <c r="G66" i="5"/>
  <c r="F66" i="5"/>
  <c r="E66" i="5"/>
  <c r="Y65" i="5"/>
  <c r="T65" i="5"/>
  <c r="S65" i="5"/>
  <c r="R65" i="5"/>
  <c r="Q65" i="5"/>
  <c r="O65" i="5"/>
  <c r="N65" i="5"/>
  <c r="L65" i="5"/>
  <c r="K65" i="5"/>
  <c r="J65" i="5"/>
  <c r="I65" i="5"/>
  <c r="G65" i="5"/>
  <c r="Y64" i="5"/>
  <c r="T64" i="5"/>
  <c r="S64" i="5"/>
  <c r="R64" i="5"/>
  <c r="Q64" i="5"/>
  <c r="O64" i="5"/>
  <c r="N64" i="5"/>
  <c r="L64" i="5"/>
  <c r="K64" i="5"/>
  <c r="J64" i="5"/>
  <c r="I64" i="5"/>
  <c r="G64" i="5"/>
  <c r="F64" i="5"/>
  <c r="E64" i="5"/>
  <c r="Y63" i="5"/>
  <c r="T63" i="5"/>
  <c r="S63" i="5"/>
  <c r="R63" i="5"/>
  <c r="Q63" i="5"/>
  <c r="O63" i="5"/>
  <c r="N63" i="5"/>
  <c r="L63" i="5"/>
  <c r="K63" i="5"/>
  <c r="J63" i="5"/>
  <c r="I63" i="5"/>
  <c r="G63" i="5"/>
  <c r="F63" i="5"/>
  <c r="E63" i="5"/>
  <c r="Y62" i="5"/>
  <c r="T62" i="5"/>
  <c r="S62" i="5"/>
  <c r="R62" i="5"/>
  <c r="Q62" i="5"/>
  <c r="O62" i="5"/>
  <c r="N62" i="5"/>
  <c r="L62" i="5"/>
  <c r="K62" i="5"/>
  <c r="J62" i="5"/>
  <c r="I62" i="5"/>
  <c r="G62" i="5"/>
  <c r="F62" i="5"/>
  <c r="E62" i="5"/>
  <c r="Y61" i="5"/>
  <c r="T61" i="5"/>
  <c r="S61" i="5"/>
  <c r="R61" i="5"/>
  <c r="Q61" i="5"/>
  <c r="O61" i="5"/>
  <c r="N61" i="5"/>
  <c r="L61" i="5"/>
  <c r="K61" i="5"/>
  <c r="J61" i="5"/>
  <c r="I61" i="5"/>
  <c r="G61" i="5"/>
  <c r="F61" i="5"/>
  <c r="E61" i="5"/>
  <c r="Y60" i="5"/>
  <c r="T60" i="5"/>
  <c r="S60" i="5"/>
  <c r="R60" i="5"/>
  <c r="Q60" i="5"/>
  <c r="O60" i="5"/>
  <c r="N60" i="5"/>
  <c r="L60" i="5"/>
  <c r="K60" i="5"/>
  <c r="J60" i="5"/>
  <c r="I60" i="5"/>
  <c r="G60" i="5"/>
  <c r="F60" i="5"/>
  <c r="E60" i="5"/>
  <c r="Y59" i="5"/>
  <c r="T59" i="5"/>
  <c r="S59" i="5"/>
  <c r="R59" i="5"/>
  <c r="Q59" i="5"/>
  <c r="O59" i="5"/>
  <c r="N59" i="5"/>
  <c r="L59" i="5"/>
  <c r="K59" i="5"/>
  <c r="J59" i="5"/>
  <c r="I59" i="5"/>
  <c r="G59" i="5"/>
  <c r="F59" i="5"/>
  <c r="E59" i="5"/>
  <c r="Y58" i="5"/>
  <c r="T58" i="5"/>
  <c r="S58" i="5"/>
  <c r="R58" i="5"/>
  <c r="Q58" i="5"/>
  <c r="O58" i="5"/>
  <c r="N58" i="5"/>
  <c r="L58" i="5"/>
  <c r="K58" i="5"/>
  <c r="J58" i="5"/>
  <c r="I58" i="5"/>
  <c r="G58" i="5"/>
  <c r="F58" i="5"/>
  <c r="E58" i="5"/>
  <c r="Y57" i="5"/>
  <c r="T57" i="5"/>
  <c r="S57" i="5"/>
  <c r="R57" i="5"/>
  <c r="Q57" i="5"/>
  <c r="O57" i="5"/>
  <c r="N57" i="5"/>
  <c r="L57" i="5"/>
  <c r="K57" i="5"/>
  <c r="J57" i="5"/>
  <c r="I57" i="5"/>
  <c r="G57" i="5"/>
  <c r="F57" i="5"/>
  <c r="E57" i="5"/>
  <c r="Y56" i="5"/>
  <c r="T56" i="5"/>
  <c r="S56" i="5"/>
  <c r="R56" i="5"/>
  <c r="Q56" i="5"/>
  <c r="O56" i="5"/>
  <c r="N56" i="5"/>
  <c r="L56" i="5"/>
  <c r="K56" i="5"/>
  <c r="J56" i="5"/>
  <c r="I56" i="5"/>
  <c r="G56" i="5"/>
  <c r="F56" i="5"/>
  <c r="E56" i="5"/>
  <c r="Y55" i="5"/>
  <c r="T55" i="5"/>
  <c r="S55" i="5"/>
  <c r="R55" i="5"/>
  <c r="Q55" i="5"/>
  <c r="O55" i="5"/>
  <c r="N55" i="5"/>
  <c r="L55" i="5"/>
  <c r="K55" i="5"/>
  <c r="J55" i="5"/>
  <c r="I55" i="5"/>
  <c r="G55" i="5"/>
  <c r="F55" i="5"/>
  <c r="E55" i="5"/>
  <c r="Y54" i="5"/>
  <c r="T54" i="5"/>
  <c r="S54" i="5"/>
  <c r="R54" i="5"/>
  <c r="Q54" i="5"/>
  <c r="O54" i="5"/>
  <c r="N54" i="5"/>
  <c r="L54" i="5"/>
  <c r="K54" i="5"/>
  <c r="J54" i="5"/>
  <c r="I54" i="5"/>
  <c r="G54" i="5"/>
  <c r="F54" i="5"/>
  <c r="E54" i="5"/>
  <c r="Y53" i="5"/>
  <c r="T53" i="5"/>
  <c r="S53" i="5"/>
  <c r="R53" i="5"/>
  <c r="Q53" i="5"/>
  <c r="O53" i="5"/>
  <c r="N53" i="5"/>
  <c r="L53" i="5"/>
  <c r="K53" i="5"/>
  <c r="J53" i="5"/>
  <c r="I53" i="5"/>
  <c r="G53" i="5"/>
  <c r="F53" i="5"/>
  <c r="E53" i="5"/>
  <c r="Y52" i="5"/>
  <c r="W52" i="5"/>
  <c r="V52" i="5"/>
  <c r="U52" i="5"/>
  <c r="T52" i="5"/>
  <c r="S52" i="5"/>
  <c r="R52" i="5"/>
  <c r="Q52" i="5"/>
  <c r="P52" i="5"/>
  <c r="O52" i="5"/>
  <c r="N52" i="5"/>
  <c r="M52" i="5"/>
  <c r="L52" i="5"/>
  <c r="K52" i="5"/>
  <c r="J52" i="5"/>
  <c r="I52" i="5"/>
  <c r="H52" i="5"/>
  <c r="X52" i="5" s="1"/>
  <c r="G52" i="5"/>
  <c r="F52" i="5"/>
  <c r="E52" i="5"/>
  <c r="Y51" i="5"/>
  <c r="T51" i="5"/>
  <c r="S51" i="5"/>
  <c r="R51" i="5"/>
  <c r="Q51" i="5"/>
  <c r="O51" i="5"/>
  <c r="N51" i="5"/>
  <c r="L51" i="5"/>
  <c r="K51" i="5"/>
  <c r="J51" i="5"/>
  <c r="I51" i="5"/>
  <c r="G51" i="5"/>
  <c r="F51" i="5"/>
  <c r="E51" i="5"/>
  <c r="Y50" i="5"/>
  <c r="T50" i="5"/>
  <c r="S50" i="5"/>
  <c r="R50" i="5"/>
  <c r="Q50" i="5"/>
  <c r="O50" i="5"/>
  <c r="N50" i="5"/>
  <c r="L50" i="5"/>
  <c r="K50" i="5"/>
  <c r="J50" i="5"/>
  <c r="I50" i="5"/>
  <c r="G50" i="5"/>
  <c r="F50" i="5"/>
  <c r="E50" i="5"/>
  <c r="Y49" i="5"/>
  <c r="T49" i="5"/>
  <c r="S49" i="5"/>
  <c r="R49" i="5"/>
  <c r="Q49" i="5"/>
  <c r="O49" i="5"/>
  <c r="N49" i="5"/>
  <c r="L49" i="5"/>
  <c r="K49" i="5"/>
  <c r="J49" i="5"/>
  <c r="I49" i="5"/>
  <c r="G49" i="5"/>
  <c r="F49" i="5"/>
  <c r="E49" i="5"/>
  <c r="X48" i="5"/>
  <c r="Z48" i="5" s="1"/>
  <c r="X47" i="5"/>
  <c r="Z47" i="5" s="1"/>
  <c r="X46" i="5"/>
  <c r="Z46" i="5" s="1"/>
  <c r="P45" i="5"/>
  <c r="H45" i="5"/>
  <c r="X45" i="5" s="1"/>
  <c r="E45" i="5"/>
  <c r="Z45" i="5" s="1"/>
  <c r="Y43" i="5"/>
  <c r="T43" i="5"/>
  <c r="S43" i="5"/>
  <c r="R43" i="5"/>
  <c r="Q43" i="5"/>
  <c r="O43" i="5"/>
  <c r="N43" i="5"/>
  <c r="L43" i="5"/>
  <c r="K43" i="5"/>
  <c r="J43" i="5"/>
  <c r="I43" i="5"/>
  <c r="G43" i="5"/>
  <c r="Y42" i="5"/>
  <c r="T42" i="5"/>
  <c r="S42" i="5"/>
  <c r="R42" i="5"/>
  <c r="Q42" i="5"/>
  <c r="O42" i="5"/>
  <c r="N42" i="5"/>
  <c r="L42" i="5"/>
  <c r="K42" i="5"/>
  <c r="J42" i="5"/>
  <c r="I42" i="5"/>
  <c r="G42" i="5"/>
  <c r="F42" i="5"/>
  <c r="E42" i="5"/>
  <c r="Y41" i="5"/>
  <c r="W41" i="5"/>
  <c r="T41" i="5"/>
  <c r="S41" i="5"/>
  <c r="R41" i="5"/>
  <c r="Q41" i="5"/>
  <c r="O41" i="5"/>
  <c r="N41" i="5"/>
  <c r="L41" i="5"/>
  <c r="K41" i="5"/>
  <c r="J41" i="5"/>
  <c r="I41" i="5"/>
  <c r="G41" i="5"/>
  <c r="F41" i="5"/>
  <c r="E41" i="5"/>
  <c r="Y40" i="5"/>
  <c r="W40" i="5"/>
  <c r="T40" i="5"/>
  <c r="S40" i="5"/>
  <c r="R40" i="5"/>
  <c r="Q40" i="5"/>
  <c r="O40" i="5"/>
  <c r="N40" i="5"/>
  <c r="L40" i="5"/>
  <c r="K40" i="5"/>
  <c r="J40" i="5"/>
  <c r="I40" i="5"/>
  <c r="G40" i="5"/>
  <c r="F40" i="5"/>
  <c r="E40" i="5"/>
  <c r="Y39" i="5"/>
  <c r="T39" i="5"/>
  <c r="S39" i="5"/>
  <c r="R39" i="5"/>
  <c r="Q39" i="5"/>
  <c r="O39" i="5"/>
  <c r="N39" i="5"/>
  <c r="L39" i="5"/>
  <c r="K39" i="5"/>
  <c r="J39" i="5"/>
  <c r="I39" i="5"/>
  <c r="G39" i="5"/>
  <c r="F39" i="5"/>
  <c r="Y38" i="5"/>
  <c r="T38" i="5"/>
  <c r="S38" i="5"/>
  <c r="R38" i="5"/>
  <c r="Q38" i="5"/>
  <c r="O38" i="5"/>
  <c r="N38" i="5"/>
  <c r="L38" i="5"/>
  <c r="K38" i="5"/>
  <c r="J38" i="5"/>
  <c r="I38" i="5"/>
  <c r="G38" i="5"/>
  <c r="F38" i="5"/>
  <c r="E38" i="5"/>
  <c r="Y37" i="5"/>
  <c r="T37" i="5"/>
  <c r="S37" i="5"/>
  <c r="R37" i="5"/>
  <c r="Q37" i="5"/>
  <c r="O37" i="5"/>
  <c r="N37" i="5"/>
  <c r="L37" i="5"/>
  <c r="K37" i="5"/>
  <c r="J37" i="5"/>
  <c r="I37" i="5"/>
  <c r="G37" i="5"/>
  <c r="F37" i="5"/>
  <c r="E37" i="5"/>
  <c r="Y36" i="5"/>
  <c r="T36" i="5"/>
  <c r="S36" i="5"/>
  <c r="R36" i="5"/>
  <c r="Q36" i="5"/>
  <c r="O36" i="5"/>
  <c r="N36" i="5"/>
  <c r="L36" i="5"/>
  <c r="K36" i="5"/>
  <c r="J36" i="5"/>
  <c r="I36" i="5"/>
  <c r="G36" i="5"/>
  <c r="F36" i="5"/>
  <c r="E36" i="5"/>
  <c r="Y35" i="5"/>
  <c r="T35" i="5"/>
  <c r="S35" i="5"/>
  <c r="R35" i="5"/>
  <c r="Q35" i="5"/>
  <c r="O35" i="5"/>
  <c r="N35" i="5"/>
  <c r="L35" i="5"/>
  <c r="K35" i="5"/>
  <c r="J35" i="5"/>
  <c r="I35" i="5"/>
  <c r="G35" i="5"/>
  <c r="F35" i="5"/>
  <c r="E35" i="5"/>
  <c r="Y34" i="5"/>
  <c r="T34" i="5"/>
  <c r="S34" i="5"/>
  <c r="R34" i="5"/>
  <c r="Q34" i="5"/>
  <c r="O34" i="5"/>
  <c r="N34" i="5"/>
  <c r="L34" i="5"/>
  <c r="K34" i="5"/>
  <c r="J34" i="5"/>
  <c r="I34" i="5"/>
  <c r="G34" i="5"/>
  <c r="F34" i="5"/>
  <c r="E34" i="5"/>
  <c r="Y33" i="5"/>
  <c r="T33" i="5"/>
  <c r="S33" i="5"/>
  <c r="R33" i="5"/>
  <c r="Q33" i="5"/>
  <c r="O33" i="5"/>
  <c r="N33" i="5"/>
  <c r="L33" i="5"/>
  <c r="K33" i="5"/>
  <c r="J33" i="5"/>
  <c r="I33" i="5"/>
  <c r="G33" i="5"/>
  <c r="F33" i="5"/>
  <c r="E33" i="5"/>
  <c r="Y32" i="5"/>
  <c r="T32" i="5"/>
  <c r="S32" i="5"/>
  <c r="R32" i="5"/>
  <c r="Q32" i="5"/>
  <c r="O32" i="5"/>
  <c r="N32" i="5"/>
  <c r="L32" i="5"/>
  <c r="K32" i="5"/>
  <c r="J32" i="5"/>
  <c r="I32" i="5"/>
  <c r="G32" i="5"/>
  <c r="F32" i="5"/>
  <c r="E32" i="5"/>
  <c r="Y31" i="5"/>
  <c r="T31" i="5"/>
  <c r="S31" i="5"/>
  <c r="R31" i="5"/>
  <c r="Q31" i="5"/>
  <c r="O31" i="5"/>
  <c r="N31" i="5"/>
  <c r="L31" i="5"/>
  <c r="K31" i="5"/>
  <c r="J31" i="5"/>
  <c r="I31" i="5"/>
  <c r="G31" i="5"/>
  <c r="F31" i="5"/>
  <c r="E31" i="5"/>
  <c r="Y30" i="5"/>
  <c r="T30" i="5"/>
  <c r="S30" i="5"/>
  <c r="R30" i="5"/>
  <c r="Q30" i="5"/>
  <c r="O30" i="5"/>
  <c r="N30" i="5"/>
  <c r="L30" i="5"/>
  <c r="K30" i="5"/>
  <c r="J30" i="5"/>
  <c r="I30" i="5"/>
  <c r="G30" i="5"/>
  <c r="F30" i="5"/>
  <c r="E30" i="5"/>
  <c r="Y29" i="5"/>
  <c r="T29" i="5"/>
  <c r="S29" i="5"/>
  <c r="R29" i="5"/>
  <c r="Q29" i="5"/>
  <c r="O29" i="5"/>
  <c r="N29" i="5"/>
  <c r="L29" i="5"/>
  <c r="K29" i="5"/>
  <c r="J29" i="5"/>
  <c r="I29" i="5"/>
  <c r="G29" i="5"/>
  <c r="F29" i="5"/>
  <c r="E29" i="5"/>
  <c r="Y28" i="5"/>
  <c r="T28" i="5"/>
  <c r="S28" i="5"/>
  <c r="R28" i="5"/>
  <c r="Q28" i="5"/>
  <c r="O28" i="5"/>
  <c r="N28" i="5"/>
  <c r="L28" i="5"/>
  <c r="K28" i="5"/>
  <c r="J28" i="5"/>
  <c r="I28" i="5"/>
  <c r="G28" i="5"/>
  <c r="F28" i="5"/>
  <c r="E28" i="5"/>
  <c r="Y27" i="5"/>
  <c r="T27" i="5"/>
  <c r="S27" i="5"/>
  <c r="R27" i="5"/>
  <c r="Q27" i="5"/>
  <c r="O27" i="5"/>
  <c r="N27" i="5"/>
  <c r="L27" i="5"/>
  <c r="K27" i="5"/>
  <c r="J27" i="5"/>
  <c r="I27" i="5"/>
  <c r="G27" i="5"/>
  <c r="F27" i="5"/>
  <c r="E27" i="5"/>
  <c r="Y26" i="5"/>
  <c r="Y45" i="5" s="1"/>
  <c r="T26" i="5"/>
  <c r="T45" i="5" s="1"/>
  <c r="S26" i="5"/>
  <c r="S45" i="5" s="1"/>
  <c r="R26" i="5"/>
  <c r="R45" i="5" s="1"/>
  <c r="Q26" i="5"/>
  <c r="Q45" i="5" s="1"/>
  <c r="O26" i="5"/>
  <c r="O45" i="5" s="1"/>
  <c r="L26" i="5"/>
  <c r="L45" i="5" s="1"/>
  <c r="K26" i="5"/>
  <c r="K45" i="5" s="1"/>
  <c r="J26" i="5"/>
  <c r="J45" i="5" s="1"/>
  <c r="I26" i="5"/>
  <c r="I45" i="5" s="1"/>
  <c r="G26" i="5"/>
  <c r="G45" i="5" s="1"/>
  <c r="F26" i="5"/>
  <c r="E26" i="5"/>
  <c r="P22" i="5"/>
  <c r="H22" i="5"/>
  <c r="X22" i="5" s="1"/>
  <c r="E22" i="5"/>
  <c r="Z22" i="5" s="1"/>
  <c r="Y20" i="5"/>
  <c r="T20" i="5"/>
  <c r="S20" i="5"/>
  <c r="R20" i="5"/>
  <c r="Q20" i="5"/>
  <c r="O20" i="5"/>
  <c r="N20" i="5"/>
  <c r="L20" i="5"/>
  <c r="K20" i="5"/>
  <c r="J20" i="5"/>
  <c r="I20" i="5"/>
  <c r="G20" i="5"/>
  <c r="F20" i="5"/>
  <c r="E20" i="5"/>
  <c r="Y19" i="5"/>
  <c r="T19" i="5"/>
  <c r="S19" i="5"/>
  <c r="R19" i="5"/>
  <c r="Q19" i="5"/>
  <c r="O19" i="5"/>
  <c r="N19" i="5"/>
  <c r="L19" i="5"/>
  <c r="K19" i="5"/>
  <c r="J19" i="5"/>
  <c r="I19" i="5"/>
  <c r="G19" i="5"/>
  <c r="F19" i="5"/>
  <c r="E19" i="5"/>
  <c r="Y18" i="5"/>
  <c r="T18" i="5"/>
  <c r="S18" i="5"/>
  <c r="R18" i="5"/>
  <c r="Q18" i="5"/>
  <c r="O18" i="5"/>
  <c r="N18" i="5"/>
  <c r="L18" i="5"/>
  <c r="K18" i="5"/>
  <c r="J18" i="5"/>
  <c r="I18" i="5"/>
  <c r="G18" i="5"/>
  <c r="F18" i="5"/>
  <c r="E18" i="5"/>
  <c r="Y17" i="5"/>
  <c r="T17" i="5"/>
  <c r="S17" i="5"/>
  <c r="R17" i="5"/>
  <c r="Q17" i="5"/>
  <c r="O17" i="5"/>
  <c r="N17" i="5"/>
  <c r="L17" i="5"/>
  <c r="K17" i="5"/>
  <c r="J17" i="5"/>
  <c r="I17" i="5"/>
  <c r="G17" i="5"/>
  <c r="F17" i="5"/>
  <c r="E17" i="5"/>
  <c r="Y16" i="5"/>
  <c r="T16" i="5"/>
  <c r="S16" i="5"/>
  <c r="R16" i="5"/>
  <c r="Q16" i="5"/>
  <c r="O16" i="5"/>
  <c r="N16" i="5"/>
  <c r="L16" i="5"/>
  <c r="K16" i="5"/>
  <c r="J16" i="5"/>
  <c r="I16" i="5"/>
  <c r="G16" i="5"/>
  <c r="F16" i="5"/>
  <c r="E16" i="5"/>
  <c r="Y15" i="5"/>
  <c r="T15" i="5"/>
  <c r="S15" i="5"/>
  <c r="R15" i="5"/>
  <c r="Q15" i="5"/>
  <c r="O15" i="5"/>
  <c r="N15" i="5"/>
  <c r="L15" i="5"/>
  <c r="K15" i="5"/>
  <c r="J15" i="5"/>
  <c r="I15" i="5"/>
  <c r="G15" i="5"/>
  <c r="F15" i="5"/>
  <c r="E15" i="5"/>
  <c r="Y14" i="5"/>
  <c r="T14" i="5"/>
  <c r="S14" i="5"/>
  <c r="R14" i="5"/>
  <c r="Q14" i="5"/>
  <c r="O14" i="5"/>
  <c r="L14" i="5"/>
  <c r="K14" i="5"/>
  <c r="J14" i="5"/>
  <c r="I14" i="5"/>
  <c r="G14" i="5"/>
  <c r="F14" i="5"/>
  <c r="E14" i="5"/>
  <c r="Y13" i="5"/>
  <c r="T13" i="5"/>
  <c r="S13" i="5"/>
  <c r="R13" i="5"/>
  <c r="Q13" i="5"/>
  <c r="O13" i="5"/>
  <c r="N13" i="5"/>
  <c r="L13" i="5"/>
  <c r="K13" i="5"/>
  <c r="J13" i="5"/>
  <c r="I13" i="5"/>
  <c r="G13" i="5"/>
  <c r="F13" i="5"/>
  <c r="E13" i="5"/>
  <c r="Y12" i="5"/>
  <c r="Y22" i="5" s="1"/>
  <c r="T12" i="5"/>
  <c r="T22" i="5" s="1"/>
  <c r="S12" i="5"/>
  <c r="S22" i="5" s="1"/>
  <c r="R12" i="5"/>
  <c r="R22" i="5" s="1"/>
  <c r="Q12" i="5"/>
  <c r="Q22" i="5" s="1"/>
  <c r="O12" i="5"/>
  <c r="O22" i="5" s="1"/>
  <c r="L12" i="5"/>
  <c r="L22" i="5" s="1"/>
  <c r="K12" i="5"/>
  <c r="K22" i="5" s="1"/>
  <c r="J12" i="5"/>
  <c r="J22" i="5" s="1"/>
  <c r="I12" i="5"/>
  <c r="I22" i="5" s="1"/>
  <c r="G12" i="5"/>
  <c r="G22" i="5" s="1"/>
  <c r="F12" i="5"/>
  <c r="F22" i="5" s="1"/>
  <c r="E12" i="5"/>
  <c r="N7" i="5"/>
  <c r="H2470" i="4"/>
  <c r="E2470" i="4"/>
  <c r="H2410" i="4"/>
  <c r="E2410" i="4"/>
  <c r="H2341" i="4"/>
  <c r="E2341" i="4"/>
  <c r="H2313" i="4"/>
  <c r="E2313" i="4"/>
  <c r="H2292" i="4"/>
  <c r="E2292" i="4"/>
  <c r="H1967" i="4"/>
  <c r="E1967" i="4"/>
  <c r="H1951" i="4"/>
  <c r="E1951" i="4"/>
  <c r="H1922" i="4"/>
  <c r="E1922" i="4"/>
  <c r="H1865" i="4"/>
  <c r="E1865" i="4"/>
  <c r="H1843" i="4"/>
  <c r="E1843" i="4"/>
  <c r="H1802" i="4"/>
  <c r="E1802" i="4"/>
  <c r="H1639" i="4"/>
  <c r="E1639" i="4"/>
  <c r="H1402" i="4"/>
  <c r="E1402" i="4"/>
  <c r="H1244" i="4"/>
  <c r="E1244" i="4"/>
  <c r="H1085" i="4"/>
  <c r="E1085" i="4"/>
  <c r="H756" i="4"/>
  <c r="E756" i="4"/>
  <c r="H714" i="4"/>
  <c r="E714" i="4"/>
  <c r="H509" i="4"/>
  <c r="E509" i="4"/>
  <c r="H261" i="4"/>
  <c r="E261" i="4"/>
  <c r="H130" i="4"/>
  <c r="E130" i="4"/>
  <c r="E68" i="4"/>
  <c r="E2823" i="4"/>
  <c r="H2823" i="4"/>
  <c r="H2565" i="4"/>
  <c r="E2565" i="4"/>
  <c r="H2535" i="4"/>
  <c r="E2535" i="4"/>
  <c r="H2515" i="4"/>
  <c r="E2515" i="4"/>
  <c r="H2382" i="4"/>
  <c r="E2382" i="4"/>
  <c r="H2243" i="4"/>
  <c r="E2243" i="4"/>
  <c r="H2079" i="4"/>
  <c r="E2079" i="4"/>
  <c r="H1820" i="4"/>
  <c r="E1820" i="4"/>
  <c r="H1784" i="4"/>
  <c r="E1784" i="4"/>
  <c r="H1767" i="4"/>
  <c r="E1767" i="4"/>
  <c r="H1697" i="4"/>
  <c r="E1697" i="4"/>
  <c r="H1568" i="4"/>
  <c r="E1568" i="4"/>
  <c r="H1375" i="4"/>
  <c r="E1375" i="4"/>
  <c r="P1166" i="4"/>
  <c r="H1143" i="4"/>
  <c r="E1143" i="4"/>
  <c r="H1106" i="4"/>
  <c r="E1106" i="4"/>
  <c r="H872" i="4"/>
  <c r="E872" i="4"/>
  <c r="H823" i="4"/>
  <c r="E823" i="4"/>
  <c r="H781" i="4"/>
  <c r="E781" i="4"/>
  <c r="H457" i="4"/>
  <c r="E457" i="4"/>
  <c r="H369" i="4"/>
  <c r="E369" i="4"/>
  <c r="H280" i="4"/>
  <c r="E280" i="4"/>
  <c r="H166" i="4"/>
  <c r="E166" i="4"/>
  <c r="H607" i="4"/>
  <c r="E607" i="4"/>
  <c r="C2896" i="4"/>
  <c r="H2831" i="4"/>
  <c r="E2831" i="4"/>
  <c r="C2765" i="4"/>
  <c r="B2765" i="4"/>
  <c r="X92" i="5" l="1"/>
  <c r="X107" i="5"/>
  <c r="Z107" i="5" s="1"/>
  <c r="H237" i="5"/>
  <c r="H2919" i="5" s="1"/>
  <c r="H132" i="5"/>
  <c r="X166" i="5"/>
  <c r="Z166" i="5" s="1"/>
  <c r="X184" i="5"/>
  <c r="P132" i="5"/>
  <c r="X457" i="5"/>
  <c r="Z457" i="5" s="1"/>
  <c r="X487" i="5"/>
  <c r="Z487" i="5" s="1"/>
  <c r="X607" i="5"/>
  <c r="P640" i="5"/>
  <c r="P2923" i="5" s="1"/>
  <c r="Z570" i="5"/>
  <c r="Z500" i="5"/>
  <c r="Z522" i="5"/>
  <c r="X638" i="5"/>
  <c r="F947" i="5"/>
  <c r="Z1065" i="5"/>
  <c r="S625" i="5"/>
  <c r="X625" i="5"/>
  <c r="X743" i="5"/>
  <c r="X984" i="5"/>
  <c r="Z989" i="5"/>
  <c r="L1106" i="5"/>
  <c r="T1106" i="5"/>
  <c r="X1402" i="5"/>
  <c r="Y1497" i="5"/>
  <c r="E1739" i="5"/>
  <c r="E2931" i="5" s="1"/>
  <c r="Y1899" i="5"/>
  <c r="N1758" i="5"/>
  <c r="E1969" i="5"/>
  <c r="E2933" i="5" s="1"/>
  <c r="I1758" i="5"/>
  <c r="V1758" i="5"/>
  <c r="O1922" i="5"/>
  <c r="V2112" i="5"/>
  <c r="L1987" i="5"/>
  <c r="T1987" i="5"/>
  <c r="X1967" i="5"/>
  <c r="N2112" i="5"/>
  <c r="N2313" i="5"/>
  <c r="G2037" i="5"/>
  <c r="K2037" i="5"/>
  <c r="O2037" i="5"/>
  <c r="S2037" i="5"/>
  <c r="N2138" i="5"/>
  <c r="Y2313" i="5"/>
  <c r="L2470" i="5"/>
  <c r="W2313" i="5"/>
  <c r="Q2608" i="5"/>
  <c r="T2470" i="5"/>
  <c r="L2608" i="5"/>
  <c r="T2608" i="5"/>
  <c r="N2683" i="5"/>
  <c r="J2608" i="5"/>
  <c r="N2608" i="5"/>
  <c r="R2608" i="5"/>
  <c r="J2535" i="5"/>
  <c r="R2535" i="5"/>
  <c r="I2683" i="5"/>
  <c r="Q2683" i="5"/>
  <c r="Y2683" i="5"/>
  <c r="G2683" i="5"/>
  <c r="K2683" i="5"/>
  <c r="O2683" i="5"/>
  <c r="S2683" i="5"/>
  <c r="Z2783" i="5"/>
  <c r="Z2787" i="5"/>
  <c r="X2792" i="5"/>
  <c r="Z2811" i="5"/>
  <c r="Z2790" i="5"/>
  <c r="Z2795" i="5"/>
  <c r="Z2797" i="5"/>
  <c r="Z2798" i="5"/>
  <c r="Z2808" i="5"/>
  <c r="Z2809" i="5"/>
  <c r="Z2807" i="5"/>
  <c r="Z2815" i="5"/>
  <c r="Z2823" i="5"/>
  <c r="Z2827" i="5"/>
  <c r="Z2831" i="5"/>
  <c r="Z2835" i="5"/>
  <c r="Z2839" i="5"/>
  <c r="Z2845" i="5"/>
  <c r="Z2847" i="5"/>
  <c r="Z2849" i="5"/>
  <c r="Z2855" i="5"/>
  <c r="Z2848" i="5"/>
  <c r="Z2871" i="5"/>
  <c r="Z2878" i="5"/>
  <c r="Z2842" i="4"/>
  <c r="X280" i="5"/>
  <c r="Z280" i="5" s="1"/>
  <c r="S961" i="5"/>
  <c r="S2925" i="5" s="1"/>
  <c r="X1339" i="5"/>
  <c r="Z1339" i="5" s="1"/>
  <c r="J1659" i="5"/>
  <c r="N1659" i="5"/>
  <c r="R1659" i="5"/>
  <c r="O1659" i="5"/>
  <c r="T1659" i="5"/>
  <c r="X1678" i="5"/>
  <c r="I1697" i="5"/>
  <c r="Q1697" i="5"/>
  <c r="N1697" i="5"/>
  <c r="X1899" i="5"/>
  <c r="J2658" i="5"/>
  <c r="R2658" i="5"/>
  <c r="K2704" i="5"/>
  <c r="Q130" i="5"/>
  <c r="Y312" i="5"/>
  <c r="V333" i="5"/>
  <c r="O487" i="5"/>
  <c r="F535" i="5"/>
  <c r="R535" i="5"/>
  <c r="Y535" i="5"/>
  <c r="R545" i="5"/>
  <c r="L625" i="5"/>
  <c r="T625" i="5"/>
  <c r="N756" i="5"/>
  <c r="T756" i="5"/>
  <c r="N802" i="5"/>
  <c r="L802" i="5"/>
  <c r="N823" i="5"/>
  <c r="N1402" i="5"/>
  <c r="I1802" i="5"/>
  <c r="K1820" i="5"/>
  <c r="L2194" i="5"/>
  <c r="P2567" i="5"/>
  <c r="P2941" i="5" s="1"/>
  <c r="I2728" i="5"/>
  <c r="Q2728" i="5"/>
  <c r="Z2820" i="5"/>
  <c r="Z113" i="5"/>
  <c r="I130" i="5"/>
  <c r="G184" i="5"/>
  <c r="O184" i="5"/>
  <c r="N312" i="5"/>
  <c r="N333" i="5"/>
  <c r="L398" i="5"/>
  <c r="J535" i="5"/>
  <c r="N535" i="5"/>
  <c r="F545" i="5"/>
  <c r="G398" i="5"/>
  <c r="O398" i="5"/>
  <c r="W398" i="5"/>
  <c r="I398" i="5"/>
  <c r="Q398" i="5"/>
  <c r="R487" i="5"/>
  <c r="I535" i="5"/>
  <c r="Q535" i="5"/>
  <c r="K545" i="5"/>
  <c r="L1049" i="5"/>
  <c r="T1049" i="5"/>
  <c r="L1085" i="5"/>
  <c r="J1166" i="5"/>
  <c r="R1166" i="5"/>
  <c r="X1433" i="5"/>
  <c r="Z1433" i="5" s="1"/>
  <c r="G1865" i="5"/>
  <c r="N1922" i="5"/>
  <c r="L2243" i="5"/>
  <c r="G2499" i="5"/>
  <c r="T130" i="5"/>
  <c r="I166" i="5"/>
  <c r="Q166" i="5"/>
  <c r="J184" i="5"/>
  <c r="L184" i="5"/>
  <c r="L208" i="5"/>
  <c r="N208" i="5"/>
  <c r="I333" i="5"/>
  <c r="Q333" i="5"/>
  <c r="O419" i="5"/>
  <c r="N500" i="5"/>
  <c r="L509" i="5"/>
  <c r="Y509" i="5"/>
  <c r="X756" i="5"/>
  <c r="G802" i="5"/>
  <c r="X802" i="5"/>
  <c r="Z802" i="5" s="1"/>
  <c r="X895" i="5"/>
  <c r="Z895" i="5" s="1"/>
  <c r="L956" i="5"/>
  <c r="T956" i="5"/>
  <c r="Y956" i="5"/>
  <c r="I1033" i="5"/>
  <c r="G1049" i="5"/>
  <c r="K1049" i="5"/>
  <c r="O1049" i="5"/>
  <c r="S1049" i="5"/>
  <c r="G1085" i="5"/>
  <c r="K1085" i="5"/>
  <c r="O1085" i="5"/>
  <c r="S1085" i="5"/>
  <c r="I1129" i="5"/>
  <c r="Q1129" i="5"/>
  <c r="J1143" i="5"/>
  <c r="Y1471" i="5"/>
  <c r="N1471" i="5"/>
  <c r="X1568" i="5"/>
  <c r="J1709" i="5"/>
  <c r="I1784" i="5"/>
  <c r="G1820" i="5"/>
  <c r="O1820" i="5"/>
  <c r="W1820" i="5"/>
  <c r="X1820" i="5"/>
  <c r="Z1820" i="5" s="1"/>
  <c r="G1843" i="5"/>
  <c r="O1843" i="5"/>
  <c r="W1843" i="5"/>
  <c r="N1865" i="5"/>
  <c r="G1899" i="5"/>
  <c r="O1899" i="5"/>
  <c r="J2011" i="5"/>
  <c r="J2059" i="5"/>
  <c r="R2059" i="5"/>
  <c r="L2173" i="5"/>
  <c r="T2173" i="5"/>
  <c r="G2219" i="5"/>
  <c r="N2499" i="5"/>
  <c r="L130" i="5"/>
  <c r="Y130" i="5"/>
  <c r="R184" i="5"/>
  <c r="T184" i="5"/>
  <c r="Y208" i="5"/>
  <c r="T235" i="5"/>
  <c r="P421" i="5"/>
  <c r="P2921" i="5" s="1"/>
  <c r="X312" i="5"/>
  <c r="G419" i="5"/>
  <c r="X419" i="5"/>
  <c r="R457" i="5"/>
  <c r="K457" i="5"/>
  <c r="F500" i="5"/>
  <c r="J500" i="5"/>
  <c r="R500" i="5"/>
  <c r="T509" i="5"/>
  <c r="L545" i="5"/>
  <c r="T545" i="5"/>
  <c r="Q691" i="5"/>
  <c r="F107" i="5"/>
  <c r="R107" i="5"/>
  <c r="X208" i="5"/>
  <c r="O369" i="5"/>
  <c r="W369" i="5"/>
  <c r="F473" i="5"/>
  <c r="J473" i="5"/>
  <c r="N473" i="5"/>
  <c r="R473" i="5"/>
  <c r="L473" i="5"/>
  <c r="T473" i="5"/>
  <c r="J487" i="5"/>
  <c r="I500" i="5"/>
  <c r="Q500" i="5"/>
  <c r="K500" i="5"/>
  <c r="G522" i="5"/>
  <c r="K522" i="5"/>
  <c r="O522" i="5"/>
  <c r="S522" i="5"/>
  <c r="J638" i="5"/>
  <c r="N638" i="5"/>
  <c r="R638" i="5"/>
  <c r="Y691" i="5"/>
  <c r="N714" i="5"/>
  <c r="N743" i="5"/>
  <c r="G781" i="5"/>
  <c r="O781" i="5"/>
  <c r="L872" i="5"/>
  <c r="T872" i="5"/>
  <c r="G895" i="5"/>
  <c r="K895" i="5"/>
  <c r="O895" i="5"/>
  <c r="L922" i="5"/>
  <c r="T922" i="5"/>
  <c r="Y941" i="5"/>
  <c r="L947" i="5"/>
  <c r="T947" i="5"/>
  <c r="Y947" i="5"/>
  <c r="N947" i="5"/>
  <c r="Y1309" i="5"/>
  <c r="N1309" i="5"/>
  <c r="N1339" i="5"/>
  <c r="N1375" i="5"/>
  <c r="X1471" i="5"/>
  <c r="Z1471" i="5" s="1"/>
  <c r="I1497" i="5"/>
  <c r="N1720" i="5"/>
  <c r="X1737" i="5"/>
  <c r="L1767" i="5"/>
  <c r="G1951" i="5"/>
  <c r="K1951" i="5"/>
  <c r="O1951" i="5"/>
  <c r="W1951" i="5"/>
  <c r="G1987" i="5"/>
  <c r="K1987" i="5"/>
  <c r="O1987" i="5"/>
  <c r="S1987" i="5"/>
  <c r="X2011" i="5"/>
  <c r="Z2011" i="5" s="1"/>
  <c r="J2037" i="5"/>
  <c r="I2079" i="5"/>
  <c r="Q2079" i="5"/>
  <c r="L2292" i="5"/>
  <c r="T2292" i="5"/>
  <c r="X2428" i="5"/>
  <c r="Z2428" i="5" s="1"/>
  <c r="I2446" i="5"/>
  <c r="G2535" i="5"/>
  <c r="K2535" i="5"/>
  <c r="O2535" i="5"/>
  <c r="S2535" i="5"/>
  <c r="X2535" i="5"/>
  <c r="Z2535" i="5" s="1"/>
  <c r="J2728" i="5"/>
  <c r="N2728" i="5"/>
  <c r="R2728" i="5"/>
  <c r="Z2782" i="5"/>
  <c r="Z2792" i="5"/>
  <c r="Z2843" i="5"/>
  <c r="X333" i="5"/>
  <c r="Z1112" i="5"/>
  <c r="X1129" i="5"/>
  <c r="Z1129" i="5" s="1"/>
  <c r="G1639" i="5"/>
  <c r="T1697" i="5"/>
  <c r="X1697" i="5"/>
  <c r="Z1697" i="5" s="1"/>
  <c r="X1922" i="5"/>
  <c r="X2704" i="5"/>
  <c r="Z2704" i="5" s="1"/>
  <c r="G68" i="5"/>
  <c r="K68" i="5"/>
  <c r="O68" i="5"/>
  <c r="S68" i="5"/>
  <c r="L92" i="5"/>
  <c r="T92" i="5"/>
  <c r="Y92" i="5"/>
  <c r="J107" i="5"/>
  <c r="N107" i="5"/>
  <c r="K184" i="5"/>
  <c r="S184" i="5"/>
  <c r="J208" i="5"/>
  <c r="L235" i="5"/>
  <c r="N369" i="5"/>
  <c r="V369" i="5"/>
  <c r="N398" i="5"/>
  <c r="V398" i="5"/>
  <c r="G457" i="5"/>
  <c r="O457" i="5"/>
  <c r="I473" i="5"/>
  <c r="Q473" i="5"/>
  <c r="N487" i="5"/>
  <c r="G509" i="5"/>
  <c r="K509" i="5"/>
  <c r="O509" i="5"/>
  <c r="S509" i="5"/>
  <c r="I509" i="5"/>
  <c r="Q509" i="5"/>
  <c r="F522" i="5"/>
  <c r="J522" i="5"/>
  <c r="N522" i="5"/>
  <c r="R522" i="5"/>
  <c r="L535" i="5"/>
  <c r="T535" i="5"/>
  <c r="Z535" i="5"/>
  <c r="G545" i="5"/>
  <c r="O545" i="5"/>
  <c r="S545" i="5"/>
  <c r="J558" i="5"/>
  <c r="N558" i="5"/>
  <c r="R558" i="5"/>
  <c r="L558" i="5"/>
  <c r="T558" i="5"/>
  <c r="Y558" i="5"/>
  <c r="G570" i="5"/>
  <c r="K570" i="5"/>
  <c r="O570" i="5"/>
  <c r="S570" i="5"/>
  <c r="L589" i="5"/>
  <c r="G607" i="5"/>
  <c r="K607" i="5"/>
  <c r="O607" i="5"/>
  <c r="S607" i="5"/>
  <c r="Z595" i="5"/>
  <c r="K625" i="5"/>
  <c r="X691" i="5"/>
  <c r="I714" i="5"/>
  <c r="Y743" i="5"/>
  <c r="I756" i="5"/>
  <c r="L844" i="5"/>
  <c r="T844" i="5"/>
  <c r="I941" i="5"/>
  <c r="X941" i="5"/>
  <c r="Z941" i="5" s="1"/>
  <c r="F1065" i="5"/>
  <c r="J1065" i="5"/>
  <c r="N1065" i="5"/>
  <c r="R1065" i="5"/>
  <c r="Z1053" i="5"/>
  <c r="Y1065" i="5"/>
  <c r="X1085" i="5"/>
  <c r="Z1085" i="5" s="1"/>
  <c r="N1143" i="5"/>
  <c r="R1143" i="5"/>
  <c r="O1166" i="5"/>
  <c r="N1541" i="5"/>
  <c r="R1541" i="5"/>
  <c r="R1543" i="5" s="1"/>
  <c r="R2929" i="5" s="1"/>
  <c r="X1865" i="5"/>
  <c r="Z1865" i="5" s="1"/>
  <c r="Q589" i="5"/>
  <c r="J68" i="5"/>
  <c r="N68" i="5"/>
  <c r="R68" i="5"/>
  <c r="I92" i="5"/>
  <c r="Q92" i="5"/>
  <c r="Z74" i="5"/>
  <c r="I107" i="5"/>
  <c r="Q107" i="5"/>
  <c r="G107" i="5"/>
  <c r="K107" i="5"/>
  <c r="S107" i="5"/>
  <c r="I280" i="5"/>
  <c r="Q312" i="5"/>
  <c r="I369" i="5"/>
  <c r="Q369" i="5"/>
  <c r="S369" i="5"/>
  <c r="S421" i="5" s="1"/>
  <c r="S2921" i="5" s="1"/>
  <c r="L419" i="5"/>
  <c r="T419" i="5"/>
  <c r="V419" i="5"/>
  <c r="L457" i="5"/>
  <c r="T457" i="5"/>
  <c r="Y457" i="5"/>
  <c r="F457" i="5"/>
  <c r="N457" i="5"/>
  <c r="S457" i="5"/>
  <c r="Y473" i="5"/>
  <c r="I487" i="5"/>
  <c r="Q487" i="5"/>
  <c r="K487" i="5"/>
  <c r="O500" i="5"/>
  <c r="J545" i="5"/>
  <c r="I558" i="5"/>
  <c r="Q558" i="5"/>
  <c r="Z563" i="5"/>
  <c r="F570" i="5"/>
  <c r="J570" i="5"/>
  <c r="N570" i="5"/>
  <c r="R570" i="5"/>
  <c r="K589" i="5"/>
  <c r="I661" i="5"/>
  <c r="N661" i="5"/>
  <c r="P961" i="5"/>
  <c r="P2925" i="5" s="1"/>
  <c r="N691" i="5"/>
  <c r="Y714" i="5"/>
  <c r="X781" i="5"/>
  <c r="Z781" i="5" s="1"/>
  <c r="L823" i="5"/>
  <c r="G844" i="5"/>
  <c r="O844" i="5"/>
  <c r="G872" i="5"/>
  <c r="K872" i="5"/>
  <c r="O872" i="5"/>
  <c r="I956" i="5"/>
  <c r="G956" i="5"/>
  <c r="K956" i="5"/>
  <c r="Y1013" i="5"/>
  <c r="J1013" i="5"/>
  <c r="L1033" i="5"/>
  <c r="T1033" i="5"/>
  <c r="Y1033" i="5"/>
  <c r="J1033" i="5"/>
  <c r="T1085" i="5"/>
  <c r="X1309" i="5"/>
  <c r="Z1309" i="5" s="1"/>
  <c r="Y1375" i="5"/>
  <c r="I1433" i="5"/>
  <c r="O1737" i="5"/>
  <c r="G1967" i="5"/>
  <c r="O2219" i="5"/>
  <c r="L280" i="5"/>
  <c r="Q280" i="5"/>
  <c r="Y589" i="5"/>
  <c r="L638" i="5"/>
  <c r="T638" i="5"/>
  <c r="L661" i="5"/>
  <c r="T661" i="5"/>
  <c r="Y661" i="5"/>
  <c r="Q661" i="5"/>
  <c r="X714" i="5"/>
  <c r="Z714" i="5" s="1"/>
  <c r="L1618" i="5"/>
  <c r="T1618" i="5"/>
  <c r="Y1618" i="5"/>
  <c r="I1618" i="5"/>
  <c r="Q1618" i="5"/>
  <c r="N1618" i="5"/>
  <c r="R1618" i="5"/>
  <c r="X1639" i="5"/>
  <c r="Z1639" i="5" s="1"/>
  <c r="N1709" i="5"/>
  <c r="G1720" i="5"/>
  <c r="O1720" i="5"/>
  <c r="S1720" i="5"/>
  <c r="T1720" i="5"/>
  <c r="T1767" i="5"/>
  <c r="W1767" i="5"/>
  <c r="Y1802" i="5"/>
  <c r="F1802" i="5"/>
  <c r="N1820" i="5"/>
  <c r="V1820" i="5"/>
  <c r="N1843" i="5"/>
  <c r="T1865" i="5"/>
  <c r="N1899" i="5"/>
  <c r="X1951" i="5"/>
  <c r="Z1951" i="5" s="1"/>
  <c r="K1967" i="5"/>
  <c r="O1967" i="5"/>
  <c r="W1967" i="5"/>
  <c r="N2011" i="5"/>
  <c r="R2011" i="5"/>
  <c r="R2037" i="5"/>
  <c r="K2059" i="5"/>
  <c r="S2059" i="5"/>
  <c r="L2138" i="5"/>
  <c r="T2138" i="5"/>
  <c r="Y2138" i="5"/>
  <c r="G2173" i="5"/>
  <c r="O2173" i="5"/>
  <c r="W2173" i="5"/>
  <c r="V2194" i="5"/>
  <c r="X2194" i="5"/>
  <c r="Z2194" i="5" s="1"/>
  <c r="K2219" i="5"/>
  <c r="W2219" i="5"/>
  <c r="X2243" i="5"/>
  <c r="Z2243" i="5" s="1"/>
  <c r="W2292" i="5"/>
  <c r="I2428" i="5"/>
  <c r="K2499" i="5"/>
  <c r="O2499" i="5"/>
  <c r="Y2515" i="5"/>
  <c r="L2515" i="5"/>
  <c r="T2515" i="5"/>
  <c r="X2515" i="5"/>
  <c r="X2565" i="5"/>
  <c r="X2608" i="5"/>
  <c r="L2704" i="5"/>
  <c r="T2704" i="5"/>
  <c r="S2704" i="5"/>
  <c r="Y2728" i="5"/>
  <c r="I2750" i="5"/>
  <c r="Q2750" i="5"/>
  <c r="N2750" i="5"/>
  <c r="Q1033" i="5"/>
  <c r="I1065" i="5"/>
  <c r="Q1065" i="5"/>
  <c r="G1106" i="5"/>
  <c r="K1106" i="5"/>
  <c r="O1106" i="5"/>
  <c r="S1106" i="5"/>
  <c r="X1106" i="5"/>
  <c r="Z1106" i="5" s="1"/>
  <c r="Y1129" i="5"/>
  <c r="G1143" i="5"/>
  <c r="K1143" i="5"/>
  <c r="O1143" i="5"/>
  <c r="S1143" i="5"/>
  <c r="Y1188" i="5"/>
  <c r="I1244" i="5"/>
  <c r="L1281" i="5"/>
  <c r="T1281" i="5"/>
  <c r="X1375" i="5"/>
  <c r="Y1433" i="5"/>
  <c r="N1433" i="5"/>
  <c r="I1471" i="5"/>
  <c r="N1497" i="5"/>
  <c r="J1639" i="5"/>
  <c r="I1709" i="5"/>
  <c r="R1709" i="5"/>
  <c r="G1737" i="5"/>
  <c r="L1737" i="5"/>
  <c r="T1737" i="5"/>
  <c r="K1767" i="5"/>
  <c r="Y1784" i="5"/>
  <c r="N1784" i="5"/>
  <c r="O1865" i="5"/>
  <c r="W1865" i="5"/>
  <c r="W1922" i="5"/>
  <c r="N1951" i="5"/>
  <c r="N1967" i="5"/>
  <c r="V1967" i="5"/>
  <c r="N1987" i="5"/>
  <c r="R1987" i="5"/>
  <c r="X1987" i="5"/>
  <c r="Z1987" i="5" s="1"/>
  <c r="X2037" i="5"/>
  <c r="Z2037" i="5" s="1"/>
  <c r="G2138" i="5"/>
  <c r="K2138" i="5"/>
  <c r="O2138" i="5"/>
  <c r="I2194" i="5"/>
  <c r="G2194" i="5"/>
  <c r="K2194" i="5"/>
  <c r="O2194" i="5"/>
  <c r="V2219" i="5"/>
  <c r="L2219" i="5"/>
  <c r="G2243" i="5"/>
  <c r="O2243" i="5"/>
  <c r="W2243" i="5"/>
  <c r="G2262" i="5"/>
  <c r="K2262" i="5"/>
  <c r="O2262" i="5"/>
  <c r="W2262" i="5"/>
  <c r="I2382" i="5"/>
  <c r="X2410" i="5"/>
  <c r="L2428" i="5"/>
  <c r="T2428" i="5"/>
  <c r="Y2428" i="5"/>
  <c r="F2428" i="5"/>
  <c r="F2446" i="5"/>
  <c r="N2446" i="5"/>
  <c r="V2446" i="5"/>
  <c r="L2488" i="5"/>
  <c r="F2499" i="5"/>
  <c r="J2499" i="5"/>
  <c r="R2499" i="5"/>
  <c r="X2499" i="5"/>
  <c r="Z2499" i="5" s="1"/>
  <c r="G2704" i="5"/>
  <c r="O2704" i="5"/>
  <c r="Z2779" i="5"/>
  <c r="Z2844" i="5"/>
  <c r="Z2864" i="5"/>
  <c r="Y1541" i="5"/>
  <c r="L1639" i="5"/>
  <c r="T1639" i="5"/>
  <c r="Y1639" i="5"/>
  <c r="Q1639" i="5"/>
  <c r="R1639" i="5"/>
  <c r="K1639" i="5"/>
  <c r="G1678" i="5"/>
  <c r="K1678" i="5"/>
  <c r="O1678" i="5"/>
  <c r="S1678" i="5"/>
  <c r="L1678" i="5"/>
  <c r="Q1678" i="5"/>
  <c r="L1697" i="5"/>
  <c r="Y1697" i="5"/>
  <c r="G1709" i="5"/>
  <c r="K1709" i="5"/>
  <c r="O1709" i="5"/>
  <c r="S1709" i="5"/>
  <c r="F1709" i="5"/>
  <c r="Q1737" i="5"/>
  <c r="X1784" i="5"/>
  <c r="Z1784" i="5" s="1"/>
  <c r="Y2079" i="5"/>
  <c r="V2138" i="5"/>
  <c r="X2262" i="5"/>
  <c r="Z2262" i="5" s="1"/>
  <c r="X2341" i="5"/>
  <c r="Z2341" i="5" s="1"/>
  <c r="X2382" i="5"/>
  <c r="T2488" i="5"/>
  <c r="J2635" i="5"/>
  <c r="N2635" i="5"/>
  <c r="R2635" i="5"/>
  <c r="R2660" i="5" s="1"/>
  <c r="R2943" i="5" s="1"/>
  <c r="X2683" i="5"/>
  <c r="Z2683" i="5" s="1"/>
  <c r="J2750" i="5"/>
  <c r="R2750" i="5"/>
  <c r="G2750" i="5"/>
  <c r="Z2805" i="5"/>
  <c r="Z2866" i="5"/>
  <c r="X575" i="5"/>
  <c r="Z575" i="5" s="1"/>
  <c r="H961" i="5"/>
  <c r="H2925" i="5" s="1"/>
  <c r="X2801" i="5"/>
  <c r="Z2801" i="5" s="1"/>
  <c r="Y107" i="5"/>
  <c r="L166" i="5"/>
  <c r="T166" i="5"/>
  <c r="N166" i="5"/>
  <c r="Y166" i="5"/>
  <c r="Y235" i="5"/>
  <c r="H421" i="5"/>
  <c r="H2921" i="5" s="1"/>
  <c r="G312" i="5"/>
  <c r="O312" i="5"/>
  <c r="W312" i="5"/>
  <c r="G369" i="5"/>
  <c r="T398" i="5"/>
  <c r="Y398" i="5"/>
  <c r="I522" i="5"/>
  <c r="Q522" i="5"/>
  <c r="Z556" i="5"/>
  <c r="T589" i="5"/>
  <c r="Z691" i="5"/>
  <c r="Z743" i="5"/>
  <c r="X823" i="5"/>
  <c r="Z823" i="5" s="1"/>
  <c r="N941" i="5"/>
  <c r="R1013" i="5"/>
  <c r="X1013" i="5"/>
  <c r="Z1013" i="5" s="1"/>
  <c r="N1033" i="5"/>
  <c r="R1033" i="5"/>
  <c r="X1188" i="5"/>
  <c r="Z1188" i="5" s="1"/>
  <c r="L1244" i="5"/>
  <c r="T1244" i="5"/>
  <c r="Y1244" i="5"/>
  <c r="I1375" i="5"/>
  <c r="I1639" i="5"/>
  <c r="N1639" i="5"/>
  <c r="J1720" i="5"/>
  <c r="Z1281" i="5"/>
  <c r="F92" i="5"/>
  <c r="J92" i="5"/>
  <c r="N92" i="5"/>
  <c r="R92" i="5"/>
  <c r="Z208" i="5"/>
  <c r="R369" i="5"/>
  <c r="R421" i="5" s="1"/>
  <c r="R2921" i="5" s="1"/>
  <c r="N419" i="5"/>
  <c r="J457" i="5"/>
  <c r="G487" i="5"/>
  <c r="S487" i="5"/>
  <c r="G500" i="5"/>
  <c r="S500" i="5"/>
  <c r="G589" i="5"/>
  <c r="O589" i="5"/>
  <c r="S589" i="5"/>
  <c r="G625" i="5"/>
  <c r="O625" i="5"/>
  <c r="X661" i="5"/>
  <c r="Z661" i="5" s="1"/>
  <c r="X844" i="5"/>
  <c r="Z844" i="5" s="1"/>
  <c r="X922" i="5"/>
  <c r="I947" i="5"/>
  <c r="Q1013" i="5"/>
  <c r="G1166" i="5"/>
  <c r="K1166" i="5"/>
  <c r="S1166" i="5"/>
  <c r="X1166" i="5"/>
  <c r="Z1166" i="5" s="1"/>
  <c r="L1188" i="5"/>
  <c r="T1188" i="5"/>
  <c r="O1244" i="5"/>
  <c r="T1339" i="5"/>
  <c r="T1433" i="5"/>
  <c r="X1843" i="5"/>
  <c r="Z1843" i="5" s="1"/>
  <c r="I2341" i="5"/>
  <c r="J166" i="5"/>
  <c r="R166" i="5"/>
  <c r="N235" i="5"/>
  <c r="V235" i="5"/>
  <c r="N280" i="5"/>
  <c r="X398" i="5"/>
  <c r="I419" i="5"/>
  <c r="Q419" i="5"/>
  <c r="I457" i="5"/>
  <c r="Q457" i="5"/>
  <c r="J589" i="5"/>
  <c r="R589" i="5"/>
  <c r="G638" i="5"/>
  <c r="K638" i="5"/>
  <c r="O638" i="5"/>
  <c r="S638" i="5"/>
  <c r="Z645" i="5"/>
  <c r="Z950" i="5"/>
  <c r="I1188" i="5"/>
  <c r="Q1188" i="5"/>
  <c r="N1244" i="5"/>
  <c r="G1244" i="5"/>
  <c r="X1497" i="5"/>
  <c r="Z1497" i="5" s="1"/>
  <c r="I1541" i="5"/>
  <c r="O1639" i="5"/>
  <c r="S1639" i="5"/>
  <c r="G1659" i="5"/>
  <c r="K1659" i="5"/>
  <c r="S1659" i="5"/>
  <c r="X1659" i="5"/>
  <c r="T1678" i="5"/>
  <c r="R1697" i="5"/>
  <c r="X1720" i="5"/>
  <c r="P1969" i="5"/>
  <c r="P2933" i="5" s="1"/>
  <c r="X1758" i="5"/>
  <c r="H1969" i="5"/>
  <c r="H2933" i="5" s="1"/>
  <c r="V312" i="5"/>
  <c r="V421" i="5" s="1"/>
  <c r="V2921" i="5" s="1"/>
  <c r="T312" i="5"/>
  <c r="Z312" i="5"/>
  <c r="T333" i="5"/>
  <c r="Y333" i="5"/>
  <c r="Z333" i="5"/>
  <c r="Y369" i="5"/>
  <c r="W419" i="5"/>
  <c r="L487" i="5"/>
  <c r="T487" i="5"/>
  <c r="Y487" i="5"/>
  <c r="L500" i="5"/>
  <c r="T500" i="5"/>
  <c r="Y500" i="5"/>
  <c r="F509" i="5"/>
  <c r="J509" i="5"/>
  <c r="N509" i="5"/>
  <c r="R509" i="5"/>
  <c r="L522" i="5"/>
  <c r="T522" i="5"/>
  <c r="Y522" i="5"/>
  <c r="Z527" i="5"/>
  <c r="I589" i="5"/>
  <c r="Y756" i="5"/>
  <c r="Z756" i="5"/>
  <c r="T802" i="5"/>
  <c r="N844" i="5"/>
  <c r="Z922" i="5"/>
  <c r="Z996" i="5"/>
  <c r="X1033" i="5"/>
  <c r="Z1033" i="5" s="1"/>
  <c r="L1129" i="5"/>
  <c r="T1129" i="5"/>
  <c r="I1143" i="5"/>
  <c r="Q1143" i="5"/>
  <c r="X1143" i="5"/>
  <c r="Z1143" i="5" s="1"/>
  <c r="G1309" i="5"/>
  <c r="O1309" i="5"/>
  <c r="Y1339" i="5"/>
  <c r="Z1375" i="5"/>
  <c r="Y1402" i="5"/>
  <c r="L1659" i="5"/>
  <c r="P1739" i="5"/>
  <c r="P2931" i="5" s="1"/>
  <c r="G1767" i="5"/>
  <c r="O1767" i="5"/>
  <c r="V1899" i="5"/>
  <c r="Z1899" i="5"/>
  <c r="V1951" i="5"/>
  <c r="Y1951" i="5"/>
  <c r="I1987" i="5"/>
  <c r="Q1987" i="5"/>
  <c r="Y1987" i="5"/>
  <c r="K2011" i="5"/>
  <c r="O2011" i="5"/>
  <c r="S2011" i="5"/>
  <c r="L2079" i="5"/>
  <c r="T2079" i="5"/>
  <c r="L2262" i="5"/>
  <c r="L2341" i="5"/>
  <c r="I2366" i="5"/>
  <c r="X2366" i="5"/>
  <c r="Z2366" i="5" s="1"/>
  <c r="L2382" i="5"/>
  <c r="T2382" i="5"/>
  <c r="Y2382" i="5"/>
  <c r="I2565" i="5"/>
  <c r="Q2565" i="5"/>
  <c r="O2635" i="5"/>
  <c r="T781" i="5"/>
  <c r="T823" i="5"/>
  <c r="N872" i="5"/>
  <c r="Y895" i="5"/>
  <c r="Y1085" i="5"/>
  <c r="K1541" i="5"/>
  <c r="O1541" i="5"/>
  <c r="S1541" i="5"/>
  <c r="S1543" i="5" s="1"/>
  <c r="S2929" i="5" s="1"/>
  <c r="X1592" i="5"/>
  <c r="X1618" i="5"/>
  <c r="Z1618" i="5" s="1"/>
  <c r="Y1678" i="5"/>
  <c r="I1678" i="5"/>
  <c r="F1697" i="5"/>
  <c r="J1697" i="5"/>
  <c r="Q1709" i="5"/>
  <c r="X1709" i="5"/>
  <c r="K1720" i="5"/>
  <c r="K1737" i="5"/>
  <c r="S1737" i="5"/>
  <c r="T1784" i="5"/>
  <c r="N1802" i="5"/>
  <c r="V1802" i="5"/>
  <c r="Y1843" i="5"/>
  <c r="V1865" i="5"/>
  <c r="V1922" i="5"/>
  <c r="T1922" i="5"/>
  <c r="O2059" i="5"/>
  <c r="L2366" i="5"/>
  <c r="T2366" i="5"/>
  <c r="Y2366" i="5"/>
  <c r="J2515" i="5"/>
  <c r="N2515" i="5"/>
  <c r="R2515" i="5"/>
  <c r="L2565" i="5"/>
  <c r="T2565" i="5"/>
  <c r="Y2565" i="5"/>
  <c r="L1709" i="5"/>
  <c r="T1709" i="5"/>
  <c r="Y1709" i="5"/>
  <c r="F1720" i="5"/>
  <c r="R1720" i="5"/>
  <c r="I1767" i="5"/>
  <c r="T1951" i="5"/>
  <c r="J1987" i="5"/>
  <c r="X2173" i="5"/>
  <c r="Z2173" i="5" s="1"/>
  <c r="V2262" i="5"/>
  <c r="I2410" i="5"/>
  <c r="I2515" i="5"/>
  <c r="Q2515" i="5"/>
  <c r="X2635" i="5"/>
  <c r="Z2635" i="5" s="1"/>
  <c r="Z2788" i="5"/>
  <c r="I2011" i="5"/>
  <c r="Q2011" i="5"/>
  <c r="W2138" i="5"/>
  <c r="T2194" i="5"/>
  <c r="V2341" i="5"/>
  <c r="G2366" i="5"/>
  <c r="O2366" i="5"/>
  <c r="W2366" i="5"/>
  <c r="G2382" i="5"/>
  <c r="K2382" i="5"/>
  <c r="O2382" i="5"/>
  <c r="W2382" i="5"/>
  <c r="Y2410" i="5"/>
  <c r="X2488" i="5"/>
  <c r="Z2488" i="5" s="1"/>
  <c r="I2499" i="5"/>
  <c r="Q2499" i="5"/>
  <c r="Q2635" i="5"/>
  <c r="I2658" i="5"/>
  <c r="Q2658" i="5"/>
  <c r="Q2660" i="5" s="1"/>
  <c r="Q2943" i="5" s="1"/>
  <c r="X2728" i="5"/>
  <c r="Z2728" i="5" s="1"/>
  <c r="L2750" i="5"/>
  <c r="T2750" i="5"/>
  <c r="Z2882" i="5"/>
  <c r="L1720" i="5"/>
  <c r="Y1737" i="5"/>
  <c r="I1737" i="5"/>
  <c r="V1767" i="5"/>
  <c r="V1784" i="5"/>
  <c r="Y1820" i="5"/>
  <c r="V1843" i="5"/>
  <c r="I1865" i="5"/>
  <c r="W1899" i="5"/>
  <c r="L2011" i="5"/>
  <c r="T2011" i="5"/>
  <c r="Y2011" i="5"/>
  <c r="X2059" i="5"/>
  <c r="Z2059" i="5" s="1"/>
  <c r="Z2063" i="5"/>
  <c r="W2194" i="5"/>
  <c r="T2219" i="5"/>
  <c r="T2243" i="5"/>
  <c r="Y2243" i="5"/>
  <c r="T2262" i="5"/>
  <c r="Y2262" i="5"/>
  <c r="T2341" i="5"/>
  <c r="Y2341" i="5"/>
  <c r="Z2382" i="5"/>
  <c r="V2428" i="5"/>
  <c r="Y2446" i="5"/>
  <c r="T2446" i="5"/>
  <c r="Y2488" i="5"/>
  <c r="I2488" i="5"/>
  <c r="Q2488" i="5"/>
  <c r="L2635" i="5"/>
  <c r="T2635" i="5"/>
  <c r="Y2635" i="5"/>
  <c r="L2658" i="5"/>
  <c r="T2658" i="5"/>
  <c r="Y2658" i="5"/>
  <c r="J2704" i="5"/>
  <c r="N2704" i="5"/>
  <c r="R2704" i="5"/>
  <c r="K2750" i="5"/>
  <c r="O2750" i="5"/>
  <c r="S2750" i="5"/>
  <c r="G2885" i="5"/>
  <c r="O2885" i="5"/>
  <c r="Z2775" i="5"/>
  <c r="P2885" i="5"/>
  <c r="Z2778" i="5"/>
  <c r="Z2784" i="5"/>
  <c r="Z2786" i="5"/>
  <c r="Z2799" i="5"/>
  <c r="Z2804" i="5"/>
  <c r="Z2850" i="5"/>
  <c r="Z2852" i="5"/>
  <c r="Z2869" i="5"/>
  <c r="Z2877" i="5"/>
  <c r="J2079" i="5"/>
  <c r="N2079" i="5"/>
  <c r="R2079" i="5"/>
  <c r="H2081" i="5"/>
  <c r="H2935" i="5" s="1"/>
  <c r="P2081" i="5"/>
  <c r="P2935" i="5" s="1"/>
  <c r="I2138" i="5"/>
  <c r="O2292" i="5"/>
  <c r="W2341" i="5"/>
  <c r="G2488" i="5"/>
  <c r="K2488" i="5"/>
  <c r="O2488" i="5"/>
  <c r="S2488" i="5"/>
  <c r="G2635" i="5"/>
  <c r="K2635" i="5"/>
  <c r="S2635" i="5"/>
  <c r="I2704" i="5"/>
  <c r="Q2704" i="5"/>
  <c r="Z2777" i="5"/>
  <c r="Z2793" i="5"/>
  <c r="Z2803" i="5"/>
  <c r="Z2821" i="5"/>
  <c r="Z2874" i="5"/>
  <c r="P2917" i="5"/>
  <c r="X640" i="5"/>
  <c r="H2917" i="5"/>
  <c r="E1541" i="5"/>
  <c r="E1543" i="5" s="1"/>
  <c r="E2929" i="5" s="1"/>
  <c r="E421" i="5"/>
  <c r="E2921" i="5" s="1"/>
  <c r="H1190" i="5"/>
  <c r="H2927" i="5" s="1"/>
  <c r="H986" i="5"/>
  <c r="X130" i="5"/>
  <c r="X132" i="5" s="1"/>
  <c r="X2917" i="5" s="1"/>
  <c r="X149" i="5"/>
  <c r="X237" i="5" s="1"/>
  <c r="X2919" i="5" s="1"/>
  <c r="G166" i="5"/>
  <c r="O166" i="5"/>
  <c r="Q184" i="5"/>
  <c r="G208" i="5"/>
  <c r="O208" i="5"/>
  <c r="T208" i="5" s="1"/>
  <c r="X261" i="5"/>
  <c r="L333" i="5"/>
  <c r="Y419" i="5"/>
  <c r="N625" i="5"/>
  <c r="R625" i="5"/>
  <c r="Q638" i="5"/>
  <c r="E640" i="5"/>
  <c r="E2923" i="5" s="1"/>
  <c r="K1013" i="5"/>
  <c r="S1013" i="5"/>
  <c r="Y1143" i="5"/>
  <c r="Z68" i="5"/>
  <c r="G130" i="5"/>
  <c r="O130" i="5"/>
  <c r="S130" i="5"/>
  <c r="G280" i="5"/>
  <c r="O333" i="5"/>
  <c r="T369" i="5"/>
  <c r="G473" i="5"/>
  <c r="K473" i="5"/>
  <c r="O473" i="5"/>
  <c r="S473" i="5"/>
  <c r="Z473" i="5"/>
  <c r="Z509" i="5"/>
  <c r="G535" i="5"/>
  <c r="K535" i="5"/>
  <c r="O535" i="5"/>
  <c r="S535" i="5"/>
  <c r="I545" i="5"/>
  <c r="Q545" i="5"/>
  <c r="G558" i="5"/>
  <c r="K558" i="5"/>
  <c r="O558" i="5"/>
  <c r="S558" i="5"/>
  <c r="L570" i="5"/>
  <c r="T570" i="5"/>
  <c r="Z589" i="5"/>
  <c r="Y638" i="5"/>
  <c r="H640" i="5"/>
  <c r="H2923" i="5" s="1"/>
  <c r="X2923" i="5" s="1"/>
  <c r="L68" i="5"/>
  <c r="T68" i="5"/>
  <c r="G92" i="5"/>
  <c r="K92" i="5"/>
  <c r="O92" i="5"/>
  <c r="S92" i="5"/>
  <c r="Z92" i="5"/>
  <c r="F130" i="5"/>
  <c r="J130" i="5"/>
  <c r="R130" i="5"/>
  <c r="R132" i="5" s="1"/>
  <c r="Z184" i="5"/>
  <c r="G235" i="5"/>
  <c r="O235" i="5"/>
  <c r="S235" i="5"/>
  <c r="W235" i="5"/>
  <c r="L312" i="5"/>
  <c r="Z369" i="5"/>
  <c r="Z398" i="5"/>
  <c r="Y545" i="5"/>
  <c r="Z558" i="5"/>
  <c r="Z625" i="5"/>
  <c r="T743" i="5"/>
  <c r="Y922" i="5"/>
  <c r="Y1281" i="5"/>
  <c r="L1309" i="5"/>
  <c r="T1309" i="5"/>
  <c r="X2776" i="5"/>
  <c r="Z2776" i="5" s="1"/>
  <c r="P1190" i="5"/>
  <c r="P2927" i="5" s="1"/>
  <c r="P986" i="5"/>
  <c r="Z52" i="5"/>
  <c r="L107" i="5"/>
  <c r="T107" i="5"/>
  <c r="E132" i="5"/>
  <c r="K166" i="5"/>
  <c r="S166" i="5"/>
  <c r="I184" i="5"/>
  <c r="Z557" i="5"/>
  <c r="J625" i="5"/>
  <c r="I638" i="5"/>
  <c r="T691" i="5"/>
  <c r="T714" i="5"/>
  <c r="Y781" i="5"/>
  <c r="G1013" i="5"/>
  <c r="O1013" i="5"/>
  <c r="Y1865" i="5"/>
  <c r="I68" i="5"/>
  <c r="Q68" i="5"/>
  <c r="Q132" i="5" s="1"/>
  <c r="Y68" i="5"/>
  <c r="Y132" i="5" s="1"/>
  <c r="Y2917" i="5" s="1"/>
  <c r="Y2948" i="5" s="1"/>
  <c r="Y2950" i="5" s="1"/>
  <c r="K130" i="5"/>
  <c r="Y184" i="5"/>
  <c r="Z235" i="5"/>
  <c r="E237" i="5"/>
  <c r="E2919" i="5" s="1"/>
  <c r="O280" i="5"/>
  <c r="G333" i="5"/>
  <c r="W333" i="5"/>
  <c r="G743" i="5"/>
  <c r="O743" i="5"/>
  <c r="Y802" i="5"/>
  <c r="Y823" i="5"/>
  <c r="Y844" i="5"/>
  <c r="Y872" i="5"/>
  <c r="I895" i="5"/>
  <c r="T941" i="5"/>
  <c r="L1065" i="5"/>
  <c r="T1065" i="5"/>
  <c r="G1402" i="5"/>
  <c r="O1402" i="5"/>
  <c r="T1899" i="5"/>
  <c r="L2059" i="5"/>
  <c r="T2059" i="5"/>
  <c r="J607" i="5"/>
  <c r="Q625" i="5"/>
  <c r="I802" i="5"/>
  <c r="I844" i="5"/>
  <c r="L941" i="5"/>
  <c r="Z947" i="5"/>
  <c r="E961" i="5"/>
  <c r="E2925" i="5" s="1"/>
  <c r="G1033" i="5"/>
  <c r="O1033" i="5"/>
  <c r="N1049" i="5"/>
  <c r="O1065" i="5"/>
  <c r="J1106" i="5"/>
  <c r="G1129" i="5"/>
  <c r="O1129" i="5"/>
  <c r="S1129" i="5"/>
  <c r="L1143" i="5"/>
  <c r="I1166" i="5"/>
  <c r="Q1166" i="5"/>
  <c r="Y1166" i="5"/>
  <c r="K1618" i="5"/>
  <c r="S1618" i="5"/>
  <c r="I1659" i="5"/>
  <c r="L1865" i="5"/>
  <c r="L1967" i="5"/>
  <c r="Y607" i="5"/>
  <c r="G691" i="5"/>
  <c r="K691" i="5"/>
  <c r="O691" i="5"/>
  <c r="G714" i="5"/>
  <c r="O714" i="5"/>
  <c r="L743" i="5"/>
  <c r="G756" i="5"/>
  <c r="O756" i="5"/>
  <c r="N895" i="5"/>
  <c r="I922" i="5"/>
  <c r="G947" i="5"/>
  <c r="K947" i="5"/>
  <c r="O947" i="5"/>
  <c r="F956" i="5"/>
  <c r="N956" i="5"/>
  <c r="L1013" i="5"/>
  <c r="T1013" i="5"/>
  <c r="Y1049" i="5"/>
  <c r="I1085" i="5"/>
  <c r="Q1085" i="5"/>
  <c r="Y1106" i="5"/>
  <c r="J1188" i="5"/>
  <c r="R1188" i="5"/>
  <c r="T1497" i="5"/>
  <c r="H1739" i="5"/>
  <c r="H2931" i="5" s="1"/>
  <c r="T1843" i="5"/>
  <c r="L2037" i="5"/>
  <c r="T2037" i="5"/>
  <c r="N2194" i="5"/>
  <c r="Y2219" i="5"/>
  <c r="G2292" i="5"/>
  <c r="E986" i="5"/>
  <c r="Z984" i="5"/>
  <c r="H2567" i="5"/>
  <c r="H2941" i="5" s="1"/>
  <c r="X2470" i="5"/>
  <c r="X1214" i="5"/>
  <c r="E2567" i="5"/>
  <c r="E2941" i="5" s="1"/>
  <c r="N607" i="5"/>
  <c r="R607" i="5"/>
  <c r="I625" i="5"/>
  <c r="Z638" i="5"/>
  <c r="N781" i="5"/>
  <c r="I823" i="5"/>
  <c r="I872" i="5"/>
  <c r="X872" i="5"/>
  <c r="K1033" i="5"/>
  <c r="S1033" i="5"/>
  <c r="F1049" i="5"/>
  <c r="J1049" i="5"/>
  <c r="R1049" i="5"/>
  <c r="G1065" i="5"/>
  <c r="K1065" i="5"/>
  <c r="S1065" i="5"/>
  <c r="N1106" i="5"/>
  <c r="R1106" i="5"/>
  <c r="K1129" i="5"/>
  <c r="T1143" i="5"/>
  <c r="T1402" i="5"/>
  <c r="G1618" i="5"/>
  <c r="O1618" i="5"/>
  <c r="Q1659" i="5"/>
  <c r="T1967" i="5"/>
  <c r="V2173" i="5"/>
  <c r="I607" i="5"/>
  <c r="Q607" i="5"/>
  <c r="Z607" i="5"/>
  <c r="Y625" i="5"/>
  <c r="G661" i="5"/>
  <c r="K661" i="5"/>
  <c r="O661" i="5"/>
  <c r="L691" i="5"/>
  <c r="L714" i="5"/>
  <c r="L756" i="5"/>
  <c r="N922" i="5"/>
  <c r="R922" i="5"/>
  <c r="R961" i="5" s="1"/>
  <c r="R2925" i="5" s="1"/>
  <c r="G941" i="5"/>
  <c r="K941" i="5"/>
  <c r="O941" i="5"/>
  <c r="Z959" i="5"/>
  <c r="I1049" i="5"/>
  <c r="Q1049" i="5"/>
  <c r="F1085" i="5"/>
  <c r="J1085" i="5"/>
  <c r="R1085" i="5"/>
  <c r="I1106" i="5"/>
  <c r="Q1106" i="5"/>
  <c r="J1129" i="5"/>
  <c r="N1129" i="5"/>
  <c r="R1129" i="5"/>
  <c r="L1166" i="5"/>
  <c r="T1166" i="5"/>
  <c r="G1188" i="5"/>
  <c r="K1188" i="5"/>
  <c r="O1188" i="5"/>
  <c r="S1188" i="5"/>
  <c r="X1244" i="5"/>
  <c r="Z1244" i="5" s="1"/>
  <c r="N1281" i="5"/>
  <c r="N1543" i="5" s="1"/>
  <c r="N2929" i="5" s="1"/>
  <c r="T1375" i="5"/>
  <c r="L1471" i="5"/>
  <c r="T1471" i="5"/>
  <c r="G1497" i="5"/>
  <c r="I1720" i="5"/>
  <c r="Q1720" i="5"/>
  <c r="L1820" i="5"/>
  <c r="T1820" i="5"/>
  <c r="G1339" i="5"/>
  <c r="O1339" i="5"/>
  <c r="G1375" i="5"/>
  <c r="O1375" i="5"/>
  <c r="L1402" i="5"/>
  <c r="Z1402" i="5"/>
  <c r="G1433" i="5"/>
  <c r="O1433" i="5"/>
  <c r="L1497" i="5"/>
  <c r="L1541" i="5"/>
  <c r="T1541" i="5"/>
  <c r="Z1678" i="5"/>
  <c r="G1802" i="5"/>
  <c r="K1802" i="5"/>
  <c r="O1802" i="5"/>
  <c r="W1802" i="5"/>
  <c r="L1899" i="5"/>
  <c r="L1922" i="5"/>
  <c r="I1967" i="5"/>
  <c r="Y1967" i="5"/>
  <c r="E2294" i="5"/>
  <c r="E2937" i="5" s="1"/>
  <c r="Y2173" i="5"/>
  <c r="I2219" i="5"/>
  <c r="I2243" i="5"/>
  <c r="I2262" i="5"/>
  <c r="L1339" i="5"/>
  <c r="L1375" i="5"/>
  <c r="L1433" i="5"/>
  <c r="G1471" i="5"/>
  <c r="K1471" i="5"/>
  <c r="O1471" i="5"/>
  <c r="J1618" i="5"/>
  <c r="Y1659" i="5"/>
  <c r="Y1720" i="5"/>
  <c r="Z1758" i="5"/>
  <c r="AB1758" i="5" s="1"/>
  <c r="G1784" i="5"/>
  <c r="O1784" i="5"/>
  <c r="W1784" i="5"/>
  <c r="L1802" i="5"/>
  <c r="L1843" i="5"/>
  <c r="I1922" i="5"/>
  <c r="Y1922" i="5"/>
  <c r="I1951" i="5"/>
  <c r="Y2194" i="5"/>
  <c r="N2219" i="5"/>
  <c r="N2243" i="5"/>
  <c r="V2243" i="5"/>
  <c r="N2292" i="5"/>
  <c r="V2292" i="5"/>
  <c r="T2410" i="5"/>
  <c r="H2294" i="5"/>
  <c r="H2937" i="5" s="1"/>
  <c r="X2219" i="5"/>
  <c r="J1678" i="5"/>
  <c r="R1678" i="5"/>
  <c r="F1737" i="5"/>
  <c r="J1737" i="5"/>
  <c r="N1737" i="5"/>
  <c r="R1737" i="5"/>
  <c r="X1767" i="5"/>
  <c r="Z1922" i="5"/>
  <c r="L1951" i="5"/>
  <c r="X2079" i="5"/>
  <c r="Z2112" i="5"/>
  <c r="X2138" i="5"/>
  <c r="Z2138" i="5" s="1"/>
  <c r="N2173" i="5"/>
  <c r="P2294" i="5"/>
  <c r="P2937" i="5" s="1"/>
  <c r="Z2317" i="5"/>
  <c r="N2366" i="5"/>
  <c r="V2366" i="5"/>
  <c r="V2382" i="5"/>
  <c r="G2410" i="5"/>
  <c r="O2410" i="5"/>
  <c r="W2410" i="5"/>
  <c r="I2535" i="5"/>
  <c r="G2658" i="5"/>
  <c r="K2658" i="5"/>
  <c r="O2658" i="5"/>
  <c r="S2658" i="5"/>
  <c r="J2660" i="5"/>
  <c r="J2943" i="5" s="1"/>
  <c r="G1697" i="5"/>
  <c r="K1697" i="5"/>
  <c r="O1697" i="5"/>
  <c r="S1697" i="5"/>
  <c r="F1767" i="5"/>
  <c r="N1767" i="5"/>
  <c r="L1784" i="5"/>
  <c r="Z1802" i="5"/>
  <c r="I1843" i="5"/>
  <c r="Z1967" i="5"/>
  <c r="I2037" i="5"/>
  <c r="Q2037" i="5"/>
  <c r="Y2037" i="5"/>
  <c r="I2059" i="5"/>
  <c r="Q2059" i="5"/>
  <c r="Y2059" i="5"/>
  <c r="G2079" i="5"/>
  <c r="K2079" i="5"/>
  <c r="O2079" i="5"/>
  <c r="S2079" i="5"/>
  <c r="E2081" i="5"/>
  <c r="E2935" i="5" s="1"/>
  <c r="I2173" i="5"/>
  <c r="N2262" i="5"/>
  <c r="Y2292" i="5"/>
  <c r="G2341" i="5"/>
  <c r="K2341" i="5"/>
  <c r="O2341" i="5"/>
  <c r="Y2535" i="5"/>
  <c r="L2885" i="5"/>
  <c r="H2448" i="5"/>
  <c r="H2939" i="5" s="1"/>
  <c r="X2313" i="5"/>
  <c r="X2292" i="5"/>
  <c r="Z2292" i="5" s="1"/>
  <c r="N2341" i="5"/>
  <c r="F2382" i="5"/>
  <c r="N2382" i="5"/>
  <c r="N2410" i="5"/>
  <c r="V2410" i="5"/>
  <c r="G2428" i="5"/>
  <c r="K2428" i="5"/>
  <c r="O2428" i="5"/>
  <c r="W2428" i="5"/>
  <c r="L2446" i="5"/>
  <c r="Y2499" i="5"/>
  <c r="L2535" i="5"/>
  <c r="T2535" i="5"/>
  <c r="E2448" i="5"/>
  <c r="E2939" i="5" s="1"/>
  <c r="Z2410" i="5"/>
  <c r="G2446" i="5"/>
  <c r="K2446" i="5"/>
  <c r="O2446" i="5"/>
  <c r="W2446" i="5"/>
  <c r="Z2791" i="5"/>
  <c r="Z2870" i="5"/>
  <c r="L2410" i="5"/>
  <c r="G2515" i="5"/>
  <c r="K2515" i="5"/>
  <c r="O2515" i="5"/>
  <c r="S2515" i="5"/>
  <c r="Z2515" i="5"/>
  <c r="Z2565" i="5"/>
  <c r="E2660" i="5"/>
  <c r="E2943" i="5" s="1"/>
  <c r="L2728" i="5"/>
  <c r="T2728" i="5"/>
  <c r="Z2861" i="5"/>
  <c r="Z2863" i="5"/>
  <c r="Z2470" i="5"/>
  <c r="J2488" i="5"/>
  <c r="N2488" i="5"/>
  <c r="R2488" i="5"/>
  <c r="L2499" i="5"/>
  <c r="T2499" i="5"/>
  <c r="G2565" i="5"/>
  <c r="K2565" i="5"/>
  <c r="O2565" i="5"/>
  <c r="S2565" i="5"/>
  <c r="Z2608" i="5"/>
  <c r="Y2704" i="5"/>
  <c r="E2885" i="5"/>
  <c r="J2565" i="5"/>
  <c r="N2565" i="5"/>
  <c r="R2565" i="5"/>
  <c r="H2660" i="5"/>
  <c r="H2943" i="5" s="1"/>
  <c r="G2728" i="5"/>
  <c r="K2728" i="5"/>
  <c r="K2752" i="5" s="1"/>
  <c r="K2945" i="5" s="1"/>
  <c r="O2728" i="5"/>
  <c r="S2728" i="5"/>
  <c r="S2752" i="5" s="1"/>
  <c r="S2945" i="5" s="1"/>
  <c r="E2752" i="5"/>
  <c r="E2945" i="5" s="1"/>
  <c r="P2752" i="5"/>
  <c r="P2945" i="5" s="1"/>
  <c r="Z2771" i="5"/>
  <c r="Z2780" i="5"/>
  <c r="Z2802" i="5"/>
  <c r="Z2806" i="5"/>
  <c r="Z2819" i="5"/>
  <c r="Z2842" i="5"/>
  <c r="Z2873" i="5"/>
  <c r="Q2752" i="5"/>
  <c r="Q2945" i="5" s="1"/>
  <c r="H2752" i="5"/>
  <c r="H2945" i="5" s="1"/>
  <c r="Z2774" i="5"/>
  <c r="Z2781" i="5"/>
  <c r="Z2785" i="5"/>
  <c r="Z2789" i="5"/>
  <c r="Z2794" i="5"/>
  <c r="Z2800" i="5"/>
  <c r="Z2851" i="5"/>
  <c r="Z2856" i="5"/>
  <c r="Z2862" i="5"/>
  <c r="Z2868" i="5"/>
  <c r="Z2879" i="5"/>
  <c r="Z2883" i="5"/>
  <c r="X2658" i="5"/>
  <c r="X2750" i="5"/>
  <c r="N2768" i="4"/>
  <c r="E2771" i="4"/>
  <c r="F2771" i="4"/>
  <c r="G2771" i="4"/>
  <c r="H2771" i="4"/>
  <c r="L2771" i="4"/>
  <c r="N2771" i="4"/>
  <c r="O2771" i="4"/>
  <c r="P2771" i="4"/>
  <c r="X2771" i="4" s="1"/>
  <c r="T2771" i="4"/>
  <c r="E2772" i="4"/>
  <c r="F2772" i="4"/>
  <c r="G2772" i="4"/>
  <c r="H2772" i="4"/>
  <c r="X2772" i="4" s="1"/>
  <c r="L2772" i="4"/>
  <c r="O2772" i="4"/>
  <c r="T2772" i="4"/>
  <c r="E2773" i="4"/>
  <c r="F2773" i="4"/>
  <c r="G2773" i="4"/>
  <c r="H2773" i="4"/>
  <c r="X2773" i="4" s="1"/>
  <c r="Z2773" i="4" s="1"/>
  <c r="L2773" i="4"/>
  <c r="N2773" i="4"/>
  <c r="O2773" i="4"/>
  <c r="T2773" i="4"/>
  <c r="E2774" i="4"/>
  <c r="F2774" i="4"/>
  <c r="G2774" i="4"/>
  <c r="H2774" i="4"/>
  <c r="X2774" i="4" s="1"/>
  <c r="Z2774" i="4" s="1"/>
  <c r="L2774" i="4"/>
  <c r="N2774" i="4"/>
  <c r="O2774" i="4"/>
  <c r="T2774" i="4"/>
  <c r="E2775" i="4"/>
  <c r="F2775" i="4"/>
  <c r="G2775" i="4"/>
  <c r="H2775" i="4"/>
  <c r="X2775" i="4" s="1"/>
  <c r="L2775" i="4"/>
  <c r="N2775" i="4"/>
  <c r="O2775" i="4"/>
  <c r="T2775" i="4"/>
  <c r="E2776" i="4"/>
  <c r="F2776" i="4"/>
  <c r="G2776" i="4"/>
  <c r="H2776" i="4"/>
  <c r="I2776" i="4"/>
  <c r="J2776" i="4"/>
  <c r="K2776" i="4"/>
  <c r="L2776" i="4"/>
  <c r="N2776" i="4"/>
  <c r="O2776" i="4"/>
  <c r="P2776" i="4"/>
  <c r="Q2776" i="4"/>
  <c r="R2776" i="4"/>
  <c r="S2776" i="4"/>
  <c r="T2776" i="4"/>
  <c r="V2776" i="4"/>
  <c r="W2776" i="4"/>
  <c r="X2776" i="4"/>
  <c r="E2777" i="4"/>
  <c r="F2777" i="4"/>
  <c r="G2777" i="4"/>
  <c r="H2777" i="4"/>
  <c r="X2777" i="4" s="1"/>
  <c r="L2777" i="4"/>
  <c r="N2777" i="4"/>
  <c r="O2777" i="4"/>
  <c r="T2777" i="4"/>
  <c r="E2778" i="4"/>
  <c r="F2778" i="4"/>
  <c r="G2778" i="4"/>
  <c r="H2778" i="4"/>
  <c r="X2778" i="4" s="1"/>
  <c r="I2778" i="4"/>
  <c r="J2778" i="4"/>
  <c r="K2778" i="4"/>
  <c r="L2778" i="4"/>
  <c r="N2778" i="4"/>
  <c r="O2778" i="4"/>
  <c r="Q2778" i="4"/>
  <c r="R2778" i="4"/>
  <c r="S2778" i="4"/>
  <c r="T2778" i="4"/>
  <c r="E2779" i="4"/>
  <c r="F2779" i="4"/>
  <c r="G2779" i="4"/>
  <c r="H2779" i="4"/>
  <c r="X2779" i="4" s="1"/>
  <c r="Z2779" i="4" s="1"/>
  <c r="I2779" i="4"/>
  <c r="J2779" i="4"/>
  <c r="K2779" i="4"/>
  <c r="L2779" i="4"/>
  <c r="N2779" i="4"/>
  <c r="O2779" i="4"/>
  <c r="Q2779" i="4"/>
  <c r="R2779" i="4"/>
  <c r="S2779" i="4"/>
  <c r="T2779" i="4"/>
  <c r="V2779" i="4"/>
  <c r="W2779" i="4"/>
  <c r="Y2779" i="4"/>
  <c r="E2780" i="4"/>
  <c r="F2780" i="4"/>
  <c r="G2780" i="4"/>
  <c r="H2780" i="4"/>
  <c r="I2780" i="4"/>
  <c r="J2780" i="4"/>
  <c r="K2780" i="4"/>
  <c r="L2780" i="4"/>
  <c r="N2780" i="4"/>
  <c r="O2780" i="4"/>
  <c r="P2780" i="4"/>
  <c r="Q2780" i="4"/>
  <c r="R2780" i="4"/>
  <c r="S2780" i="4"/>
  <c r="T2780" i="4"/>
  <c r="V2780" i="4"/>
  <c r="W2780" i="4"/>
  <c r="X2780" i="4"/>
  <c r="E2781" i="4"/>
  <c r="F2781" i="4"/>
  <c r="G2781" i="4"/>
  <c r="H2781" i="4"/>
  <c r="X2781" i="4" s="1"/>
  <c r="Z2781" i="4" s="1"/>
  <c r="L2781" i="4"/>
  <c r="N2781" i="4"/>
  <c r="O2781" i="4"/>
  <c r="T2781" i="4"/>
  <c r="E2782" i="4"/>
  <c r="F2782" i="4"/>
  <c r="G2782" i="4"/>
  <c r="H2782" i="4"/>
  <c r="X2782" i="4" s="1"/>
  <c r="Z2782" i="4" s="1"/>
  <c r="L2782" i="4"/>
  <c r="O2782" i="4"/>
  <c r="T2782" i="4"/>
  <c r="E2783" i="4"/>
  <c r="F2783" i="4"/>
  <c r="G2783" i="4"/>
  <c r="H2783" i="4"/>
  <c r="X2783" i="4" s="1"/>
  <c r="L2783" i="4"/>
  <c r="N2783" i="4"/>
  <c r="O2783" i="4"/>
  <c r="T2783" i="4"/>
  <c r="E2784" i="4"/>
  <c r="F2784" i="4"/>
  <c r="G2784" i="4"/>
  <c r="H2784" i="4"/>
  <c r="X2784" i="4" s="1"/>
  <c r="L2784" i="4"/>
  <c r="N2784" i="4"/>
  <c r="O2784" i="4"/>
  <c r="S2784" i="4"/>
  <c r="T2784" i="4"/>
  <c r="E2785" i="4"/>
  <c r="F2785" i="4"/>
  <c r="G2785" i="4"/>
  <c r="H2785" i="4"/>
  <c r="X2785" i="4" s="1"/>
  <c r="Z2785" i="4" s="1"/>
  <c r="L2785" i="4"/>
  <c r="N2785" i="4"/>
  <c r="O2785" i="4"/>
  <c r="T2785" i="4"/>
  <c r="E2786" i="4"/>
  <c r="F2786" i="4"/>
  <c r="G2786" i="4"/>
  <c r="H2786" i="4"/>
  <c r="X2786" i="4" s="1"/>
  <c r="L2786" i="4"/>
  <c r="N2786" i="4"/>
  <c r="O2786" i="4"/>
  <c r="T2786" i="4"/>
  <c r="E2787" i="4"/>
  <c r="G2787" i="4"/>
  <c r="H2787" i="4"/>
  <c r="X2787" i="4" s="1"/>
  <c r="I2787" i="4"/>
  <c r="J2787" i="4"/>
  <c r="K2787" i="4"/>
  <c r="L2787" i="4"/>
  <c r="N2787" i="4"/>
  <c r="O2787" i="4"/>
  <c r="Q2787" i="4"/>
  <c r="R2787" i="4"/>
  <c r="S2787" i="4"/>
  <c r="T2787" i="4"/>
  <c r="V2787" i="4"/>
  <c r="W2787" i="4"/>
  <c r="Y2787" i="4"/>
  <c r="E2788" i="4"/>
  <c r="G2788" i="4"/>
  <c r="H2788" i="4"/>
  <c r="X2788" i="4" s="1"/>
  <c r="I2788" i="4"/>
  <c r="J2788" i="4"/>
  <c r="K2788" i="4"/>
  <c r="L2788" i="4"/>
  <c r="N2788" i="4"/>
  <c r="O2788" i="4"/>
  <c r="Q2788" i="4"/>
  <c r="R2788" i="4"/>
  <c r="S2788" i="4"/>
  <c r="T2788" i="4"/>
  <c r="V2788" i="4"/>
  <c r="W2788" i="4"/>
  <c r="Y2788" i="4"/>
  <c r="E2789" i="4"/>
  <c r="F2789" i="4"/>
  <c r="G2789" i="4"/>
  <c r="H2789" i="4"/>
  <c r="X2789" i="4" s="1"/>
  <c r="Z2789" i="4" s="1"/>
  <c r="I2789" i="4"/>
  <c r="J2789" i="4"/>
  <c r="K2789" i="4"/>
  <c r="L2789" i="4"/>
  <c r="N2789" i="4"/>
  <c r="O2789" i="4"/>
  <c r="Q2789" i="4"/>
  <c r="R2789" i="4"/>
  <c r="S2789" i="4"/>
  <c r="T2789" i="4"/>
  <c r="V2789" i="4"/>
  <c r="W2789" i="4"/>
  <c r="Y2789" i="4"/>
  <c r="E2790" i="4"/>
  <c r="F2790" i="4"/>
  <c r="G2790" i="4"/>
  <c r="H2790" i="4"/>
  <c r="X2790" i="4" s="1"/>
  <c r="L2790" i="4"/>
  <c r="N2790" i="4"/>
  <c r="O2790" i="4"/>
  <c r="T2790" i="4"/>
  <c r="E2791" i="4"/>
  <c r="F2791" i="4"/>
  <c r="G2791" i="4"/>
  <c r="H2791" i="4"/>
  <c r="L2791" i="4"/>
  <c r="N2791" i="4"/>
  <c r="O2791" i="4"/>
  <c r="P2791" i="4"/>
  <c r="T2791" i="4"/>
  <c r="X2791" i="4"/>
  <c r="E2792" i="4"/>
  <c r="G2792" i="4"/>
  <c r="H2792" i="4"/>
  <c r="L2792" i="4"/>
  <c r="N2792" i="4"/>
  <c r="O2792" i="4"/>
  <c r="P2792" i="4"/>
  <c r="T2792" i="4"/>
  <c r="X2792" i="4"/>
  <c r="E2793" i="4"/>
  <c r="G2793" i="4"/>
  <c r="H2793" i="4"/>
  <c r="X2793" i="4" s="1"/>
  <c r="Z2793" i="4" s="1"/>
  <c r="I2793" i="4"/>
  <c r="J2793" i="4"/>
  <c r="K2793" i="4"/>
  <c r="L2793" i="4"/>
  <c r="N2793" i="4"/>
  <c r="O2793" i="4"/>
  <c r="Q2793" i="4"/>
  <c r="R2793" i="4"/>
  <c r="S2793" i="4"/>
  <c r="T2793" i="4"/>
  <c r="E2794" i="4"/>
  <c r="G2794" i="4"/>
  <c r="H2794" i="4"/>
  <c r="X2794" i="4" s="1"/>
  <c r="I2794" i="4"/>
  <c r="J2794" i="4"/>
  <c r="K2794" i="4"/>
  <c r="L2794" i="4"/>
  <c r="N2794" i="4"/>
  <c r="O2794" i="4"/>
  <c r="Q2794" i="4"/>
  <c r="R2794" i="4"/>
  <c r="S2794" i="4"/>
  <c r="T2794" i="4"/>
  <c r="V2794" i="4"/>
  <c r="W2794" i="4"/>
  <c r="Y2794" i="4"/>
  <c r="E2795" i="4"/>
  <c r="F2795" i="4"/>
  <c r="G2795" i="4"/>
  <c r="H2795" i="4"/>
  <c r="X2795" i="4" s="1"/>
  <c r="I2795" i="4"/>
  <c r="J2795" i="4"/>
  <c r="K2795" i="4"/>
  <c r="L2795" i="4"/>
  <c r="M2795" i="4"/>
  <c r="N2795" i="4"/>
  <c r="O2795" i="4"/>
  <c r="Q2795" i="4"/>
  <c r="R2795" i="4"/>
  <c r="S2795" i="4"/>
  <c r="T2795" i="4"/>
  <c r="U2795" i="4"/>
  <c r="V2795" i="4"/>
  <c r="W2795" i="4"/>
  <c r="Y2795" i="4"/>
  <c r="AA2795" i="4"/>
  <c r="AB2795" i="4"/>
  <c r="E2796" i="4"/>
  <c r="H2796" i="4"/>
  <c r="X2796" i="4" s="1"/>
  <c r="E2797" i="4"/>
  <c r="H2797" i="4"/>
  <c r="X2797" i="4" s="1"/>
  <c r="Z2797" i="4" s="1"/>
  <c r="E2798" i="4"/>
  <c r="F2798" i="4"/>
  <c r="G2798" i="4"/>
  <c r="H2798" i="4"/>
  <c r="X2798" i="4" s="1"/>
  <c r="I2798" i="4"/>
  <c r="J2798" i="4"/>
  <c r="K2798" i="4"/>
  <c r="L2798" i="4"/>
  <c r="N2798" i="4"/>
  <c r="O2798" i="4"/>
  <c r="Q2798" i="4"/>
  <c r="R2798" i="4"/>
  <c r="S2798" i="4"/>
  <c r="T2798" i="4"/>
  <c r="V2798" i="4"/>
  <c r="W2798" i="4"/>
  <c r="Y2798" i="4"/>
  <c r="E2799" i="4"/>
  <c r="F2799" i="4"/>
  <c r="G2799" i="4"/>
  <c r="H2799" i="4"/>
  <c r="X2799" i="4" s="1"/>
  <c r="Z2799" i="4" s="1"/>
  <c r="I2799" i="4"/>
  <c r="J2799" i="4"/>
  <c r="K2799" i="4"/>
  <c r="L2799" i="4"/>
  <c r="N2799" i="4"/>
  <c r="O2799" i="4"/>
  <c r="Q2799" i="4"/>
  <c r="R2799" i="4"/>
  <c r="S2799" i="4"/>
  <c r="T2799" i="4"/>
  <c r="V2799" i="4"/>
  <c r="W2799" i="4"/>
  <c r="Y2799" i="4"/>
  <c r="E2800" i="4"/>
  <c r="G2800" i="4"/>
  <c r="H2800" i="4"/>
  <c r="X2800" i="4" s="1"/>
  <c r="I2800" i="4"/>
  <c r="J2800" i="4"/>
  <c r="K2800" i="4"/>
  <c r="L2800" i="4"/>
  <c r="N2800" i="4"/>
  <c r="O2800" i="4"/>
  <c r="Q2800" i="4"/>
  <c r="R2800" i="4"/>
  <c r="S2800" i="4"/>
  <c r="E2801" i="4"/>
  <c r="G2801" i="4"/>
  <c r="H2801" i="4"/>
  <c r="L2801" i="4"/>
  <c r="O2801" i="4"/>
  <c r="P2801" i="4"/>
  <c r="T2801" i="4"/>
  <c r="X2801" i="4"/>
  <c r="E2802" i="4"/>
  <c r="F2802" i="4"/>
  <c r="G2802" i="4"/>
  <c r="H2802" i="4"/>
  <c r="I2802" i="4"/>
  <c r="J2802" i="4"/>
  <c r="K2802" i="4"/>
  <c r="L2802" i="4"/>
  <c r="N2802" i="4"/>
  <c r="O2802" i="4"/>
  <c r="Q2802" i="4"/>
  <c r="R2802" i="4"/>
  <c r="S2802" i="4"/>
  <c r="T2802" i="4"/>
  <c r="V2802" i="4"/>
  <c r="W2802" i="4"/>
  <c r="X2802" i="4"/>
  <c r="Z2802" i="4" s="1"/>
  <c r="Y2802" i="4"/>
  <c r="E2803" i="4"/>
  <c r="F2803" i="4"/>
  <c r="G2803" i="4"/>
  <c r="H2803" i="4"/>
  <c r="X2803" i="4" s="1"/>
  <c r="I2803" i="4"/>
  <c r="J2803" i="4"/>
  <c r="K2803" i="4"/>
  <c r="L2803" i="4"/>
  <c r="N2803" i="4"/>
  <c r="O2803" i="4"/>
  <c r="Q2803" i="4"/>
  <c r="R2803" i="4"/>
  <c r="S2803" i="4"/>
  <c r="V2803" i="4"/>
  <c r="W2803" i="4"/>
  <c r="Y2803" i="4"/>
  <c r="E2804" i="4"/>
  <c r="F2804" i="4"/>
  <c r="G2804" i="4"/>
  <c r="H2804" i="4"/>
  <c r="X2804" i="4" s="1"/>
  <c r="Z2804" i="4" s="1"/>
  <c r="I2804" i="4"/>
  <c r="J2804" i="4"/>
  <c r="K2804" i="4"/>
  <c r="L2804" i="4"/>
  <c r="N2804" i="4"/>
  <c r="O2804" i="4"/>
  <c r="Q2804" i="4"/>
  <c r="R2804" i="4"/>
  <c r="S2804" i="4"/>
  <c r="T2804" i="4"/>
  <c r="V2804" i="4"/>
  <c r="W2804" i="4"/>
  <c r="Y2804" i="4"/>
  <c r="E2805" i="4"/>
  <c r="G2805" i="4"/>
  <c r="H2805" i="4"/>
  <c r="X2805" i="4" s="1"/>
  <c r="I2805" i="4"/>
  <c r="J2805" i="4"/>
  <c r="K2805" i="4"/>
  <c r="L2805" i="4"/>
  <c r="N2805" i="4"/>
  <c r="O2805" i="4"/>
  <c r="Q2805" i="4"/>
  <c r="R2805" i="4"/>
  <c r="S2805" i="4"/>
  <c r="T2805" i="4"/>
  <c r="V2805" i="4"/>
  <c r="W2805" i="4"/>
  <c r="Y2805" i="4"/>
  <c r="E2806" i="4"/>
  <c r="G2806" i="4"/>
  <c r="H2806" i="4"/>
  <c r="X2806" i="4" s="1"/>
  <c r="I2806" i="4"/>
  <c r="J2806" i="4"/>
  <c r="K2806" i="4"/>
  <c r="L2806" i="4"/>
  <c r="N2806" i="4"/>
  <c r="O2806" i="4"/>
  <c r="Q2806" i="4"/>
  <c r="R2806" i="4"/>
  <c r="S2806" i="4"/>
  <c r="T2806" i="4"/>
  <c r="V2806" i="4"/>
  <c r="W2806" i="4"/>
  <c r="Y2806" i="4"/>
  <c r="E2807" i="4"/>
  <c r="G2807" i="4"/>
  <c r="H2807" i="4"/>
  <c r="X2807" i="4" s="1"/>
  <c r="I2807" i="4"/>
  <c r="J2807" i="4"/>
  <c r="K2807" i="4"/>
  <c r="L2807" i="4"/>
  <c r="O2807" i="4"/>
  <c r="Q2807" i="4"/>
  <c r="R2807" i="4"/>
  <c r="S2807" i="4"/>
  <c r="T2807" i="4"/>
  <c r="E2808" i="4"/>
  <c r="G2808" i="4"/>
  <c r="H2808" i="4"/>
  <c r="X2808" i="4" s="1"/>
  <c r="Z2808" i="4" s="1"/>
  <c r="I2808" i="4"/>
  <c r="J2808" i="4"/>
  <c r="K2808" i="4"/>
  <c r="L2808" i="4"/>
  <c r="N2808" i="4"/>
  <c r="O2808" i="4"/>
  <c r="Q2808" i="4"/>
  <c r="R2808" i="4"/>
  <c r="S2808" i="4"/>
  <c r="E2809" i="4"/>
  <c r="G2809" i="4"/>
  <c r="H2809" i="4"/>
  <c r="X2809" i="4" s="1"/>
  <c r="I2809" i="4"/>
  <c r="J2809" i="4"/>
  <c r="K2809" i="4"/>
  <c r="L2809" i="4"/>
  <c r="N2809" i="4"/>
  <c r="O2809" i="4"/>
  <c r="Q2809" i="4"/>
  <c r="R2809" i="4"/>
  <c r="S2809" i="4"/>
  <c r="V2809" i="4"/>
  <c r="W2809" i="4"/>
  <c r="Y2809" i="4"/>
  <c r="E2810" i="4"/>
  <c r="H2810" i="4"/>
  <c r="X2810" i="4" s="1"/>
  <c r="E2811" i="4"/>
  <c r="H2811" i="4"/>
  <c r="X2811" i="4" s="1"/>
  <c r="E2812" i="4"/>
  <c r="H2812" i="4"/>
  <c r="X2812" i="4" s="1"/>
  <c r="Z2812" i="4" s="1"/>
  <c r="E2813" i="4"/>
  <c r="H2813" i="4"/>
  <c r="X2813" i="4" s="1"/>
  <c r="E2814" i="4"/>
  <c r="H2814" i="4"/>
  <c r="X2814" i="4" s="1"/>
  <c r="Z2814" i="4" s="1"/>
  <c r="E2815" i="4"/>
  <c r="H2815" i="4"/>
  <c r="X2815" i="4" s="1"/>
  <c r="E2816" i="4"/>
  <c r="H2816" i="4"/>
  <c r="X2816" i="4" s="1"/>
  <c r="Z2816" i="4" s="1"/>
  <c r="X2817" i="4"/>
  <c r="Z2817" i="4" s="1"/>
  <c r="E2818" i="4"/>
  <c r="H2818" i="4"/>
  <c r="X2818" i="4" s="1"/>
  <c r="Z2818" i="4" s="1"/>
  <c r="E2819" i="4"/>
  <c r="F2819" i="4"/>
  <c r="G2819" i="4"/>
  <c r="H2819" i="4"/>
  <c r="X2819" i="4" s="1"/>
  <c r="Z2819" i="4" s="1"/>
  <c r="I2819" i="4"/>
  <c r="J2819" i="4"/>
  <c r="K2819" i="4"/>
  <c r="L2819" i="4"/>
  <c r="N2819" i="4"/>
  <c r="O2819" i="4"/>
  <c r="Q2819" i="4"/>
  <c r="R2819" i="4"/>
  <c r="S2819" i="4"/>
  <c r="T2819" i="4"/>
  <c r="E2820" i="4"/>
  <c r="G2820" i="4"/>
  <c r="H2820" i="4"/>
  <c r="X2820" i="4" s="1"/>
  <c r="I2820" i="4"/>
  <c r="J2820" i="4"/>
  <c r="K2820" i="4"/>
  <c r="L2820" i="4"/>
  <c r="N2820" i="4"/>
  <c r="O2820" i="4"/>
  <c r="Q2820" i="4"/>
  <c r="R2820" i="4"/>
  <c r="S2820" i="4"/>
  <c r="T2820" i="4"/>
  <c r="E2821" i="4"/>
  <c r="G2821" i="4"/>
  <c r="H2821" i="4"/>
  <c r="X2821" i="4" s="1"/>
  <c r="I2821" i="4"/>
  <c r="J2821" i="4"/>
  <c r="K2821" i="4"/>
  <c r="L2821" i="4"/>
  <c r="N2821" i="4"/>
  <c r="O2821" i="4"/>
  <c r="Q2821" i="4"/>
  <c r="R2821" i="4"/>
  <c r="S2821" i="4"/>
  <c r="T2821" i="4"/>
  <c r="V2821" i="4"/>
  <c r="W2821" i="4"/>
  <c r="Y2821" i="4"/>
  <c r="E2822" i="4"/>
  <c r="G2822" i="4"/>
  <c r="H2822" i="4"/>
  <c r="X2822" i="4" s="1"/>
  <c r="I2822" i="4"/>
  <c r="J2822" i="4"/>
  <c r="K2822" i="4"/>
  <c r="L2822" i="4"/>
  <c r="N2822" i="4"/>
  <c r="O2822" i="4"/>
  <c r="Q2822" i="4"/>
  <c r="R2822" i="4"/>
  <c r="S2822" i="4"/>
  <c r="T2822" i="4"/>
  <c r="V2822" i="4"/>
  <c r="W2822" i="4"/>
  <c r="Y2822" i="4"/>
  <c r="X2823" i="4"/>
  <c r="Z2823" i="4" s="1"/>
  <c r="E2824" i="4"/>
  <c r="H2824" i="4"/>
  <c r="X2824" i="4" s="1"/>
  <c r="Z2824" i="4" s="1"/>
  <c r="E2825" i="4"/>
  <c r="H2825" i="4"/>
  <c r="X2825" i="4"/>
  <c r="E2826" i="4"/>
  <c r="H2826" i="4"/>
  <c r="X2826" i="4" s="1"/>
  <c r="X2827" i="4"/>
  <c r="Z2827" i="4" s="1"/>
  <c r="E2828" i="4"/>
  <c r="H2828" i="4"/>
  <c r="X2828" i="4" s="1"/>
  <c r="E2829" i="4"/>
  <c r="H2829" i="4"/>
  <c r="X2829" i="4" s="1"/>
  <c r="E2830" i="4"/>
  <c r="H2830" i="4"/>
  <c r="X2830" i="4" s="1"/>
  <c r="X2831" i="4"/>
  <c r="Z2831" i="4" s="1"/>
  <c r="E2832" i="4"/>
  <c r="H2832" i="4"/>
  <c r="X2832" i="4" s="1"/>
  <c r="Z2832" i="4" s="1"/>
  <c r="X2833" i="4"/>
  <c r="X2834" i="4"/>
  <c r="Z2834" i="4" s="1"/>
  <c r="X2835" i="4"/>
  <c r="Z2835" i="4" s="1"/>
  <c r="X2836" i="4"/>
  <c r="Z2836" i="4" s="1"/>
  <c r="E2837" i="4"/>
  <c r="H2837" i="4"/>
  <c r="X2837" i="4" s="1"/>
  <c r="E2838" i="4"/>
  <c r="H2838" i="4"/>
  <c r="X2838" i="4" s="1"/>
  <c r="Z2838" i="4" s="1"/>
  <c r="X2839" i="4"/>
  <c r="X2840" i="4"/>
  <c r="Z2840" i="4" s="1"/>
  <c r="E2841" i="4"/>
  <c r="H2841" i="4"/>
  <c r="X2841" i="4" s="1"/>
  <c r="E2843" i="4"/>
  <c r="F2843" i="4"/>
  <c r="G2843" i="4"/>
  <c r="H2843" i="4"/>
  <c r="X2843" i="4" s="1"/>
  <c r="I2843" i="4"/>
  <c r="J2843" i="4"/>
  <c r="K2843" i="4"/>
  <c r="L2843" i="4"/>
  <c r="N2843" i="4"/>
  <c r="O2843" i="4"/>
  <c r="Q2843" i="4"/>
  <c r="R2843" i="4"/>
  <c r="S2843" i="4"/>
  <c r="T2843" i="4"/>
  <c r="V2843" i="4"/>
  <c r="W2843" i="4"/>
  <c r="Y2843" i="4"/>
  <c r="E2844" i="4"/>
  <c r="F2844" i="4"/>
  <c r="G2844" i="4"/>
  <c r="H2844" i="4"/>
  <c r="X2844" i="4" s="1"/>
  <c r="L2844" i="4"/>
  <c r="N2844" i="4"/>
  <c r="O2844" i="4"/>
  <c r="S2844" i="4"/>
  <c r="T2844" i="4"/>
  <c r="E2845" i="4"/>
  <c r="F2845" i="4"/>
  <c r="G2845" i="4"/>
  <c r="H2845" i="4"/>
  <c r="X2845" i="4" s="1"/>
  <c r="L2845" i="4"/>
  <c r="N2845" i="4"/>
  <c r="O2845" i="4"/>
  <c r="S2845" i="4"/>
  <c r="T2845" i="4"/>
  <c r="E2846" i="4"/>
  <c r="F2846" i="4"/>
  <c r="G2846" i="4"/>
  <c r="H2846" i="4"/>
  <c r="L2846" i="4"/>
  <c r="N2846" i="4"/>
  <c r="O2846" i="4"/>
  <c r="P2846" i="4"/>
  <c r="T2846" i="4"/>
  <c r="X2846" i="4"/>
  <c r="E2847" i="4"/>
  <c r="F2847" i="4"/>
  <c r="G2847" i="4"/>
  <c r="H2847" i="4"/>
  <c r="L2847" i="4"/>
  <c r="N2847" i="4"/>
  <c r="O2847" i="4"/>
  <c r="P2847" i="4"/>
  <c r="S2847" i="4"/>
  <c r="T2847" i="4"/>
  <c r="X2847" i="4"/>
  <c r="E2848" i="4"/>
  <c r="F2848" i="4"/>
  <c r="G2848" i="4"/>
  <c r="H2848" i="4"/>
  <c r="I2848" i="4"/>
  <c r="J2848" i="4"/>
  <c r="K2848" i="4"/>
  <c r="L2848" i="4"/>
  <c r="N2848" i="4"/>
  <c r="O2848" i="4"/>
  <c r="P2848" i="4"/>
  <c r="Q2848" i="4"/>
  <c r="R2848" i="4"/>
  <c r="S2848" i="4"/>
  <c r="T2848" i="4"/>
  <c r="V2848" i="4"/>
  <c r="W2848" i="4"/>
  <c r="X2848" i="4"/>
  <c r="E2849" i="4"/>
  <c r="F2849" i="4"/>
  <c r="G2849" i="4"/>
  <c r="H2849" i="4"/>
  <c r="L2849" i="4"/>
  <c r="N2849" i="4"/>
  <c r="O2849" i="4"/>
  <c r="P2849" i="4"/>
  <c r="T2849" i="4"/>
  <c r="X2849" i="4"/>
  <c r="E2850" i="4"/>
  <c r="F2850" i="4"/>
  <c r="G2850" i="4"/>
  <c r="H2850" i="4"/>
  <c r="L2850" i="4"/>
  <c r="N2850" i="4"/>
  <c r="O2850" i="4"/>
  <c r="P2850" i="4"/>
  <c r="S2850" i="4"/>
  <c r="T2850" i="4"/>
  <c r="X2850" i="4"/>
  <c r="E2851" i="4"/>
  <c r="F2851" i="4"/>
  <c r="G2851" i="4"/>
  <c r="H2851" i="4"/>
  <c r="X2851" i="4" s="1"/>
  <c r="L2851" i="4"/>
  <c r="N2851" i="4"/>
  <c r="O2851" i="4"/>
  <c r="T2851" i="4"/>
  <c r="E2852" i="4"/>
  <c r="F2852" i="4"/>
  <c r="G2852" i="4"/>
  <c r="H2852" i="4"/>
  <c r="X2852" i="4" s="1"/>
  <c r="L2852" i="4"/>
  <c r="N2852" i="4"/>
  <c r="O2852" i="4"/>
  <c r="S2852" i="4"/>
  <c r="T2852" i="4"/>
  <c r="E2853" i="4"/>
  <c r="F2853" i="4"/>
  <c r="G2853" i="4"/>
  <c r="H2853" i="4"/>
  <c r="X2853" i="4" s="1"/>
  <c r="L2853" i="4"/>
  <c r="N2853" i="4"/>
  <c r="O2853" i="4"/>
  <c r="S2853" i="4"/>
  <c r="T2853" i="4"/>
  <c r="E2854" i="4"/>
  <c r="F2854" i="4"/>
  <c r="G2854" i="4"/>
  <c r="H2854" i="4"/>
  <c r="X2854" i="4" s="1"/>
  <c r="Z2854" i="4" s="1"/>
  <c r="L2854" i="4"/>
  <c r="N2854" i="4"/>
  <c r="O2854" i="4"/>
  <c r="T2854" i="4"/>
  <c r="E2855" i="4"/>
  <c r="F2855" i="4"/>
  <c r="G2855" i="4"/>
  <c r="I2855" i="4"/>
  <c r="J2855" i="4"/>
  <c r="K2855" i="4"/>
  <c r="L2855" i="4"/>
  <c r="N2855" i="4"/>
  <c r="O2855" i="4"/>
  <c r="P2855" i="4"/>
  <c r="Q2855" i="4"/>
  <c r="R2855" i="4"/>
  <c r="S2855" i="4"/>
  <c r="T2855" i="4"/>
  <c r="V2855" i="4"/>
  <c r="W2855" i="4"/>
  <c r="E2856" i="4"/>
  <c r="F2856" i="4"/>
  <c r="G2856" i="4"/>
  <c r="H2856" i="4"/>
  <c r="I2856" i="4"/>
  <c r="J2856" i="4"/>
  <c r="K2856" i="4"/>
  <c r="L2856" i="4"/>
  <c r="N2856" i="4"/>
  <c r="O2856" i="4"/>
  <c r="P2856" i="4"/>
  <c r="Q2856" i="4"/>
  <c r="R2856" i="4"/>
  <c r="S2856" i="4"/>
  <c r="T2856" i="4"/>
  <c r="V2856" i="4"/>
  <c r="W2856" i="4"/>
  <c r="X2856" i="4"/>
  <c r="E2857" i="4"/>
  <c r="F2857" i="4"/>
  <c r="G2857" i="4"/>
  <c r="H2857" i="4"/>
  <c r="X2857" i="4" s="1"/>
  <c r="Z2857" i="4" s="1"/>
  <c r="I2857" i="4"/>
  <c r="J2857" i="4"/>
  <c r="K2857" i="4"/>
  <c r="L2857" i="4"/>
  <c r="N2857" i="4"/>
  <c r="O2857" i="4"/>
  <c r="Q2857" i="4"/>
  <c r="R2857" i="4"/>
  <c r="S2857" i="4"/>
  <c r="T2857" i="4"/>
  <c r="V2857" i="4"/>
  <c r="W2857" i="4"/>
  <c r="E2858" i="4"/>
  <c r="F2858" i="4"/>
  <c r="G2858" i="4"/>
  <c r="H2858" i="4"/>
  <c r="I2858" i="4"/>
  <c r="J2858" i="4"/>
  <c r="K2858" i="4"/>
  <c r="L2858" i="4"/>
  <c r="O2858" i="4"/>
  <c r="P2858" i="4"/>
  <c r="Q2858" i="4"/>
  <c r="R2858" i="4"/>
  <c r="S2858" i="4"/>
  <c r="T2858" i="4"/>
  <c r="V2858" i="4"/>
  <c r="W2858" i="4"/>
  <c r="X2858" i="4"/>
  <c r="Z2858" i="4" s="1"/>
  <c r="E2859" i="4"/>
  <c r="F2859" i="4"/>
  <c r="G2859" i="4"/>
  <c r="H2859" i="4"/>
  <c r="I2859" i="4"/>
  <c r="J2859" i="4"/>
  <c r="K2859" i="4"/>
  <c r="L2859" i="4"/>
  <c r="N2859" i="4"/>
  <c r="O2859" i="4"/>
  <c r="P2859" i="4"/>
  <c r="Q2859" i="4"/>
  <c r="R2859" i="4"/>
  <c r="S2859" i="4"/>
  <c r="T2859" i="4"/>
  <c r="V2859" i="4"/>
  <c r="W2859" i="4"/>
  <c r="X2859" i="4"/>
  <c r="Z2859" i="4" s="1"/>
  <c r="E2860" i="4"/>
  <c r="F2860" i="4"/>
  <c r="G2860" i="4"/>
  <c r="H2860" i="4"/>
  <c r="I2860" i="4"/>
  <c r="J2860" i="4"/>
  <c r="K2860" i="4"/>
  <c r="L2860" i="4"/>
  <c r="N2860" i="4"/>
  <c r="O2860" i="4"/>
  <c r="P2860" i="4"/>
  <c r="Q2860" i="4"/>
  <c r="R2860" i="4"/>
  <c r="S2860" i="4"/>
  <c r="T2860" i="4"/>
  <c r="V2860" i="4"/>
  <c r="W2860" i="4"/>
  <c r="X2860" i="4"/>
  <c r="E2861" i="4"/>
  <c r="F2861" i="4"/>
  <c r="G2861" i="4"/>
  <c r="H2861" i="4"/>
  <c r="I2861" i="4"/>
  <c r="J2861" i="4"/>
  <c r="K2861" i="4"/>
  <c r="L2861" i="4"/>
  <c r="N2861" i="4"/>
  <c r="O2861" i="4"/>
  <c r="P2861" i="4"/>
  <c r="Q2861" i="4"/>
  <c r="R2861" i="4"/>
  <c r="S2861" i="4"/>
  <c r="T2861" i="4"/>
  <c r="V2861" i="4"/>
  <c r="W2861" i="4"/>
  <c r="X2861" i="4"/>
  <c r="E2862" i="4"/>
  <c r="F2862" i="4"/>
  <c r="G2862" i="4"/>
  <c r="H2862" i="4"/>
  <c r="L2862" i="4"/>
  <c r="N2862" i="4"/>
  <c r="O2862" i="4"/>
  <c r="T2862" i="4"/>
  <c r="X2862" i="4"/>
  <c r="Z2862" i="4" s="1"/>
  <c r="E2863" i="4"/>
  <c r="F2863" i="4"/>
  <c r="G2863" i="4"/>
  <c r="H2863" i="4"/>
  <c r="L2863" i="4"/>
  <c r="N2863" i="4"/>
  <c r="O2863" i="4"/>
  <c r="P2863" i="4"/>
  <c r="T2863" i="4"/>
  <c r="X2863" i="4"/>
  <c r="E2864" i="4"/>
  <c r="F2864" i="4"/>
  <c r="G2864" i="4"/>
  <c r="H2864" i="4"/>
  <c r="I2864" i="4"/>
  <c r="J2864" i="4"/>
  <c r="K2864" i="4"/>
  <c r="L2864" i="4"/>
  <c r="N2864" i="4"/>
  <c r="O2864" i="4"/>
  <c r="P2864" i="4"/>
  <c r="Q2864" i="4"/>
  <c r="R2864" i="4"/>
  <c r="S2864" i="4"/>
  <c r="T2864" i="4"/>
  <c r="V2864" i="4"/>
  <c r="W2864" i="4"/>
  <c r="X2864" i="4"/>
  <c r="E2865" i="4"/>
  <c r="F2865" i="4"/>
  <c r="G2865" i="4"/>
  <c r="H2865" i="4"/>
  <c r="L2865" i="4"/>
  <c r="N2865" i="4"/>
  <c r="O2865" i="4"/>
  <c r="T2865" i="4"/>
  <c r="X2865" i="4"/>
  <c r="Z2865" i="4" s="1"/>
  <c r="E2866" i="4"/>
  <c r="F2866" i="4"/>
  <c r="G2866" i="4"/>
  <c r="H2866" i="4"/>
  <c r="X2866" i="4" s="1"/>
  <c r="I2866" i="4"/>
  <c r="J2866" i="4"/>
  <c r="K2866" i="4"/>
  <c r="L2866" i="4"/>
  <c r="N2866" i="4"/>
  <c r="O2866" i="4"/>
  <c r="Q2866" i="4"/>
  <c r="R2866" i="4"/>
  <c r="S2866" i="4"/>
  <c r="T2866" i="4"/>
  <c r="V2866" i="4"/>
  <c r="W2866" i="4"/>
  <c r="Y2866" i="4"/>
  <c r="E2867" i="4"/>
  <c r="F2867" i="4"/>
  <c r="G2867" i="4"/>
  <c r="H2867" i="4"/>
  <c r="X2867" i="4" s="1"/>
  <c r="Z2867" i="4" s="1"/>
  <c r="I2867" i="4"/>
  <c r="J2867" i="4"/>
  <c r="K2867" i="4"/>
  <c r="L2867" i="4"/>
  <c r="N2867" i="4"/>
  <c r="O2867" i="4"/>
  <c r="Q2867" i="4"/>
  <c r="R2867" i="4"/>
  <c r="S2867" i="4"/>
  <c r="T2867" i="4"/>
  <c r="V2867" i="4"/>
  <c r="W2867" i="4"/>
  <c r="E2868" i="4"/>
  <c r="H2868" i="4"/>
  <c r="X2868" i="4" s="1"/>
  <c r="Z2868" i="4" s="1"/>
  <c r="E2869" i="4"/>
  <c r="F2869" i="4"/>
  <c r="G2869" i="4"/>
  <c r="H2869" i="4"/>
  <c r="X2869" i="4" s="1"/>
  <c r="I2869" i="4"/>
  <c r="J2869" i="4"/>
  <c r="K2869" i="4"/>
  <c r="L2869" i="4"/>
  <c r="N2869" i="4"/>
  <c r="O2869" i="4"/>
  <c r="Q2869" i="4"/>
  <c r="R2869" i="4"/>
  <c r="S2869" i="4"/>
  <c r="T2869" i="4"/>
  <c r="V2869" i="4"/>
  <c r="W2869" i="4"/>
  <c r="E2870" i="4"/>
  <c r="G2870" i="4"/>
  <c r="H2870" i="4"/>
  <c r="X2870" i="4" s="1"/>
  <c r="Z2870" i="4" s="1"/>
  <c r="L2870" i="4"/>
  <c r="O2870" i="4"/>
  <c r="T2870" i="4"/>
  <c r="E2871" i="4"/>
  <c r="G2871" i="4"/>
  <c r="H2871" i="4"/>
  <c r="L2871" i="4"/>
  <c r="N2871" i="4"/>
  <c r="O2871" i="4"/>
  <c r="P2871" i="4"/>
  <c r="T2871" i="4"/>
  <c r="X2871" i="4"/>
  <c r="E2872" i="4"/>
  <c r="F2872" i="4"/>
  <c r="G2872" i="4"/>
  <c r="H2872" i="4"/>
  <c r="L2872" i="4"/>
  <c r="N2872" i="4"/>
  <c r="O2872" i="4"/>
  <c r="P2872" i="4"/>
  <c r="T2872" i="4"/>
  <c r="X2872" i="4"/>
  <c r="E2873" i="4"/>
  <c r="F2873" i="4"/>
  <c r="G2873" i="4"/>
  <c r="H2873" i="4"/>
  <c r="L2873" i="4"/>
  <c r="N2873" i="4"/>
  <c r="O2873" i="4"/>
  <c r="P2873" i="4"/>
  <c r="T2873" i="4"/>
  <c r="X2873" i="4"/>
  <c r="Z2873" i="4"/>
  <c r="X2874" i="4"/>
  <c r="E2875" i="4"/>
  <c r="G2875" i="4"/>
  <c r="H2875" i="4"/>
  <c r="X2875" i="4" s="1"/>
  <c r="Z2875" i="4" s="1"/>
  <c r="L2875" i="4"/>
  <c r="N2875" i="4"/>
  <c r="O2875" i="4"/>
  <c r="T2875" i="4"/>
  <c r="E2876" i="4"/>
  <c r="F2876" i="4"/>
  <c r="G2876" i="4"/>
  <c r="H2876" i="4"/>
  <c r="L2876" i="4"/>
  <c r="N2876" i="4"/>
  <c r="O2876" i="4"/>
  <c r="P2876" i="4"/>
  <c r="T2876" i="4"/>
  <c r="X2876" i="4"/>
  <c r="E2877" i="4"/>
  <c r="F2877" i="4"/>
  <c r="G2877" i="4"/>
  <c r="H2877" i="4"/>
  <c r="I2877" i="4"/>
  <c r="J2877" i="4"/>
  <c r="K2877" i="4"/>
  <c r="L2877" i="4"/>
  <c r="N2877" i="4"/>
  <c r="O2877" i="4"/>
  <c r="P2877" i="4"/>
  <c r="Q2877" i="4"/>
  <c r="R2877" i="4"/>
  <c r="S2877" i="4"/>
  <c r="T2877" i="4"/>
  <c r="X2877" i="4"/>
  <c r="E2878" i="4"/>
  <c r="F2878" i="4"/>
  <c r="G2878" i="4"/>
  <c r="H2878" i="4"/>
  <c r="X2878" i="4" s="1"/>
  <c r="I2878" i="4"/>
  <c r="J2878" i="4"/>
  <c r="K2878" i="4"/>
  <c r="L2878" i="4"/>
  <c r="N2878" i="4"/>
  <c r="O2878" i="4"/>
  <c r="Q2878" i="4"/>
  <c r="R2878" i="4"/>
  <c r="S2878" i="4"/>
  <c r="T2878" i="4"/>
  <c r="V2878" i="4"/>
  <c r="W2878" i="4"/>
  <c r="E2879" i="4"/>
  <c r="F2879" i="4"/>
  <c r="G2879" i="4"/>
  <c r="H2879" i="4"/>
  <c r="I2879" i="4"/>
  <c r="J2879" i="4"/>
  <c r="K2879" i="4"/>
  <c r="L2879" i="4"/>
  <c r="N2879" i="4"/>
  <c r="O2879" i="4"/>
  <c r="P2879" i="4"/>
  <c r="Q2879" i="4"/>
  <c r="R2879" i="4"/>
  <c r="S2879" i="4"/>
  <c r="T2879" i="4"/>
  <c r="V2879" i="4"/>
  <c r="W2879" i="4"/>
  <c r="X2879" i="4"/>
  <c r="Z2879" i="4" s="1"/>
  <c r="E2880" i="4"/>
  <c r="F2880" i="4"/>
  <c r="G2880" i="4"/>
  <c r="H2880" i="4"/>
  <c r="X2880" i="4" s="1"/>
  <c r="I2880" i="4"/>
  <c r="J2880" i="4"/>
  <c r="K2880" i="4"/>
  <c r="L2880" i="4"/>
  <c r="N2880" i="4"/>
  <c r="O2880" i="4"/>
  <c r="Q2880" i="4"/>
  <c r="R2880" i="4"/>
  <c r="S2880" i="4"/>
  <c r="T2880" i="4"/>
  <c r="V2880" i="4"/>
  <c r="W2880" i="4"/>
  <c r="F2881" i="4"/>
  <c r="G2881" i="4"/>
  <c r="H2881" i="4"/>
  <c r="I2881" i="4"/>
  <c r="J2881" i="4"/>
  <c r="K2881" i="4"/>
  <c r="L2881" i="4"/>
  <c r="N2881" i="4"/>
  <c r="O2881" i="4"/>
  <c r="P2881" i="4"/>
  <c r="Q2881" i="4"/>
  <c r="R2881" i="4"/>
  <c r="S2881" i="4"/>
  <c r="T2881" i="4"/>
  <c r="X2881" i="4"/>
  <c r="Z2881" i="4" s="1"/>
  <c r="E2882" i="4"/>
  <c r="F2882" i="4"/>
  <c r="G2882" i="4"/>
  <c r="I2882" i="4"/>
  <c r="J2882" i="4"/>
  <c r="K2882" i="4"/>
  <c r="L2882" i="4"/>
  <c r="N2882" i="4"/>
  <c r="O2882" i="4"/>
  <c r="P2882" i="4"/>
  <c r="Q2882" i="4"/>
  <c r="R2882" i="4"/>
  <c r="S2882" i="4"/>
  <c r="T2882" i="4"/>
  <c r="V2882" i="4"/>
  <c r="W2882" i="4"/>
  <c r="X2882" i="4"/>
  <c r="E2883" i="4"/>
  <c r="F2883" i="4"/>
  <c r="G2883" i="4"/>
  <c r="I2883" i="4"/>
  <c r="J2883" i="4"/>
  <c r="K2883" i="4"/>
  <c r="L2883" i="4"/>
  <c r="N2883" i="4"/>
  <c r="O2883" i="4"/>
  <c r="P2883" i="4"/>
  <c r="Q2883" i="4"/>
  <c r="R2883" i="4"/>
  <c r="S2883" i="4"/>
  <c r="T2883" i="4"/>
  <c r="V2883" i="4"/>
  <c r="W2883" i="4"/>
  <c r="X2883" i="4"/>
  <c r="E2884" i="4"/>
  <c r="F2884" i="4"/>
  <c r="G2884" i="4"/>
  <c r="I2884" i="4"/>
  <c r="J2884" i="4"/>
  <c r="K2884" i="4"/>
  <c r="L2884" i="4"/>
  <c r="N2884" i="4"/>
  <c r="O2884" i="4"/>
  <c r="P2884" i="4"/>
  <c r="Q2884" i="4"/>
  <c r="R2884" i="4"/>
  <c r="S2884" i="4"/>
  <c r="T2884" i="4"/>
  <c r="V2884" i="4"/>
  <c r="W2884" i="4"/>
  <c r="X2884" i="4"/>
  <c r="H1033" i="4"/>
  <c r="E1033" i="4"/>
  <c r="H625" i="4"/>
  <c r="E625" i="4"/>
  <c r="H522" i="4"/>
  <c r="E522" i="4"/>
  <c r="H1281" i="4"/>
  <c r="E1281" i="4"/>
  <c r="H1049" i="4"/>
  <c r="E1049" i="4"/>
  <c r="H802" i="4"/>
  <c r="E802" i="4"/>
  <c r="H557" i="4"/>
  <c r="E557" i="4"/>
  <c r="H446" i="4"/>
  <c r="E446" i="4"/>
  <c r="H92" i="4"/>
  <c r="E92" i="4"/>
  <c r="Z2828" i="4" l="1"/>
  <c r="V1969" i="5"/>
  <c r="V2933" i="5" s="1"/>
  <c r="T2294" i="5"/>
  <c r="T2937" i="5" s="1"/>
  <c r="Z2807" i="4"/>
  <c r="Z2803" i="4"/>
  <c r="Z2798" i="4"/>
  <c r="Z2788" i="4"/>
  <c r="Y421" i="5"/>
  <c r="N421" i="5"/>
  <c r="N2921" i="5" s="1"/>
  <c r="Z2851" i="4"/>
  <c r="Z2845" i="4"/>
  <c r="Z2820" i="4"/>
  <c r="Z2811" i="4"/>
  <c r="S132" i="5"/>
  <c r="K640" i="5"/>
  <c r="K2923" i="5" s="1"/>
  <c r="S2567" i="5"/>
  <c r="S2941" i="5" s="1"/>
  <c r="L2448" i="5"/>
  <c r="L2939" i="5" s="1"/>
  <c r="N1969" i="5"/>
  <c r="N2933" i="5" s="1"/>
  <c r="J2752" i="5"/>
  <c r="J2945" i="5" s="1"/>
  <c r="I2448" i="5"/>
  <c r="I2939" i="5" s="1"/>
  <c r="X1739" i="5"/>
  <c r="X2931" i="5" s="1"/>
  <c r="G2294" i="5"/>
  <c r="G2937" i="5" s="1"/>
  <c r="R2081" i="5"/>
  <c r="R2935" i="5" s="1"/>
  <c r="L237" i="5"/>
  <c r="L2919" i="5" s="1"/>
  <c r="W421" i="5"/>
  <c r="W2921" i="5" s="1"/>
  <c r="W2294" i="5"/>
  <c r="W2937" i="5" s="1"/>
  <c r="G2752" i="5"/>
  <c r="G2945" i="5" s="1"/>
  <c r="R2752" i="5"/>
  <c r="R2945" i="5" s="1"/>
  <c r="I2752" i="5"/>
  <c r="I2945" i="5" s="1"/>
  <c r="O2294" i="5"/>
  <c r="O2937" i="5" s="1"/>
  <c r="K2081" i="5"/>
  <c r="K2935" i="5" s="1"/>
  <c r="J2081" i="5"/>
  <c r="J2935" i="5" s="1"/>
  <c r="L2294" i="5"/>
  <c r="L2937" i="5" s="1"/>
  <c r="G1969" i="5"/>
  <c r="G2933" i="5" s="1"/>
  <c r="T1969" i="5"/>
  <c r="T2933" i="5" s="1"/>
  <c r="L1190" i="5"/>
  <c r="L2927" i="5" s="1"/>
  <c r="O421" i="5"/>
  <c r="O2921" i="5" s="1"/>
  <c r="X421" i="5"/>
  <c r="X2921" i="5" s="1"/>
  <c r="Y2660" i="5"/>
  <c r="Y2567" i="5"/>
  <c r="G1739" i="5"/>
  <c r="G2931" i="5" s="1"/>
  <c r="T961" i="5"/>
  <c r="T2925" i="5" s="1"/>
  <c r="T1739" i="5"/>
  <c r="T2931" i="5" s="1"/>
  <c r="S640" i="5"/>
  <c r="S2923" i="5" s="1"/>
  <c r="Z2826" i="4"/>
  <c r="Z2883" i="4"/>
  <c r="Z2880" i="4"/>
  <c r="Z2878" i="4"/>
  <c r="Z2852" i="4"/>
  <c r="Z2777" i="4"/>
  <c r="Z2775" i="4"/>
  <c r="Z2772" i="4"/>
  <c r="Z2830" i="4"/>
  <c r="Z2815" i="4"/>
  <c r="Z2810" i="4"/>
  <c r="E2886" i="4"/>
  <c r="L640" i="5"/>
  <c r="L2923" i="5" s="1"/>
  <c r="O1969" i="5"/>
  <c r="O2933" i="5" s="1"/>
  <c r="Q1739" i="5"/>
  <c r="Q2931" i="5" s="1"/>
  <c r="N961" i="5"/>
  <c r="N2925" i="5" s="1"/>
  <c r="T2081" i="5"/>
  <c r="T2935" i="5" s="1"/>
  <c r="I132" i="5"/>
  <c r="O2752" i="5"/>
  <c r="O2945" i="5" s="1"/>
  <c r="O1739" i="5"/>
  <c r="O2931" i="5" s="1"/>
  <c r="S2660" i="5"/>
  <c r="S2943" i="5" s="1"/>
  <c r="X2081" i="5"/>
  <c r="X2935" i="5" s="1"/>
  <c r="T1543" i="5"/>
  <c r="T2929" i="5" s="1"/>
  <c r="Y1543" i="5"/>
  <c r="J132" i="5"/>
  <c r="K132" i="5"/>
  <c r="K2917" i="5" s="1"/>
  <c r="L132" i="5"/>
  <c r="G640" i="5"/>
  <c r="G2923" i="5" s="1"/>
  <c r="G421" i="5"/>
  <c r="G2921" i="5" s="1"/>
  <c r="R640" i="5"/>
  <c r="R2923" i="5" s="1"/>
  <c r="Z130" i="5"/>
  <c r="Z132" i="5" s="1"/>
  <c r="Z2917" i="5" s="1"/>
  <c r="N2752" i="5"/>
  <c r="N2945" i="5" s="1"/>
  <c r="Y2448" i="5"/>
  <c r="Y1969" i="5"/>
  <c r="L1739" i="5"/>
  <c r="L2931" i="5" s="1"/>
  <c r="W2448" i="5"/>
  <c r="W2939" i="5" s="1"/>
  <c r="L2081" i="5"/>
  <c r="L2935" i="5" s="1"/>
  <c r="R2567" i="5"/>
  <c r="R2941" i="5" s="1"/>
  <c r="T2752" i="5"/>
  <c r="T2945" i="5" s="1"/>
  <c r="I2567" i="5"/>
  <c r="I2941" i="5" s="1"/>
  <c r="V2294" i="5"/>
  <c r="V2937" i="5" s="1"/>
  <c r="X2567" i="5"/>
  <c r="X2941" i="5" s="1"/>
  <c r="J2567" i="5"/>
  <c r="J2941" i="5" s="1"/>
  <c r="G2567" i="5"/>
  <c r="G2941" i="5" s="1"/>
  <c r="O2448" i="5"/>
  <c r="O2939" i="5" s="1"/>
  <c r="Z2079" i="5"/>
  <c r="Z2081" i="5" s="1"/>
  <c r="Z2935" i="5" s="1"/>
  <c r="Q2081" i="5"/>
  <c r="Q2935" i="5" s="1"/>
  <c r="L1969" i="5"/>
  <c r="L2933" i="5" s="1"/>
  <c r="K1739" i="5"/>
  <c r="K2931" i="5" s="1"/>
  <c r="O2660" i="5"/>
  <c r="O2943" i="5" s="1"/>
  <c r="V2448" i="5"/>
  <c r="V2939" i="5" s="1"/>
  <c r="X1969" i="5"/>
  <c r="X2933" i="5" s="1"/>
  <c r="T2448" i="5"/>
  <c r="T2939" i="5" s="1"/>
  <c r="W1969" i="5"/>
  <c r="W2933" i="5" s="1"/>
  <c r="G1190" i="5"/>
  <c r="G2927" i="5" s="1"/>
  <c r="L961" i="5"/>
  <c r="L2925" i="5" s="1"/>
  <c r="Z1767" i="5"/>
  <c r="AB1767" i="5" s="1"/>
  <c r="Y237" i="5"/>
  <c r="L1543" i="5"/>
  <c r="L2929" i="5" s="1"/>
  <c r="O132" i="5"/>
  <c r="O2917" i="5" s="1"/>
  <c r="T132" i="5"/>
  <c r="L421" i="5"/>
  <c r="L2921" i="5" s="1"/>
  <c r="T237" i="5"/>
  <c r="T2919" i="5" s="1"/>
  <c r="Y1190" i="5"/>
  <c r="I640" i="5"/>
  <c r="I2923" i="5" s="1"/>
  <c r="L2752" i="5"/>
  <c r="L2945" i="5" s="1"/>
  <c r="K2567" i="5"/>
  <c r="K2941" i="5" s="1"/>
  <c r="O2081" i="5"/>
  <c r="O2935" i="5" s="1"/>
  <c r="O1543" i="5"/>
  <c r="O2929" i="5" s="1"/>
  <c r="X1190" i="5"/>
  <c r="X2927" i="5" s="1"/>
  <c r="J640" i="5"/>
  <c r="J2923" i="5" s="1"/>
  <c r="S237" i="5"/>
  <c r="S2919" i="5" s="1"/>
  <c r="O2567" i="5"/>
  <c r="O2941" i="5" s="1"/>
  <c r="G2448" i="5"/>
  <c r="G2939" i="5" s="1"/>
  <c r="S2081" i="5"/>
  <c r="S2935" i="5" s="1"/>
  <c r="Y2081" i="5"/>
  <c r="I2081" i="5"/>
  <c r="I2935" i="5" s="1"/>
  <c r="S1739" i="5"/>
  <c r="S2931" i="5" s="1"/>
  <c r="G2660" i="5"/>
  <c r="G2943" i="5" s="1"/>
  <c r="Y1739" i="5"/>
  <c r="I1739" i="5"/>
  <c r="I2931" i="5" s="1"/>
  <c r="Q1190" i="5"/>
  <c r="Q2927" i="5" s="1"/>
  <c r="Y961" i="5"/>
  <c r="G237" i="5"/>
  <c r="G2919" i="5" s="1"/>
  <c r="T640" i="5"/>
  <c r="T2923" i="5" s="1"/>
  <c r="O640" i="5"/>
  <c r="O2923" i="5" s="1"/>
  <c r="T421" i="5"/>
  <c r="T2921" i="5" s="1"/>
  <c r="G132" i="5"/>
  <c r="G2917" i="5" s="1"/>
  <c r="I2917" i="5"/>
  <c r="T2917" i="5"/>
  <c r="Q2917" i="5"/>
  <c r="S2917" i="5"/>
  <c r="J2917" i="5"/>
  <c r="L2917" i="5"/>
  <c r="Z872" i="5"/>
  <c r="Z961" i="5" s="1"/>
  <c r="Z2925" i="5" s="1"/>
  <c r="X961" i="5"/>
  <c r="X2925" i="5" s="1"/>
  <c r="Z986" i="5"/>
  <c r="Z1190" i="5"/>
  <c r="Z2927" i="5" s="1"/>
  <c r="E2755" i="5"/>
  <c r="E2917" i="5"/>
  <c r="X2752" i="5"/>
  <c r="X2945" i="5" s="1"/>
  <c r="Z2750" i="5"/>
  <c r="Z2752" i="5" s="1"/>
  <c r="Z2945" i="5" s="1"/>
  <c r="X2294" i="5"/>
  <c r="X2937" i="5" s="1"/>
  <c r="Z2219" i="5"/>
  <c r="Z2294" i="5" s="1"/>
  <c r="Z2937" i="5" s="1"/>
  <c r="K1190" i="5"/>
  <c r="K2927" i="5" s="1"/>
  <c r="Z640" i="5"/>
  <c r="Z2923" i="5" s="1"/>
  <c r="J1739" i="5"/>
  <c r="J2931" i="5" s="1"/>
  <c r="N2294" i="5"/>
  <c r="N2937" i="5" s="1"/>
  <c r="Z1214" i="5"/>
  <c r="S1190" i="5"/>
  <c r="S2927" i="5" s="1"/>
  <c r="J1190" i="5"/>
  <c r="J2927" i="5" s="1"/>
  <c r="O237" i="5"/>
  <c r="O2919" i="5" s="1"/>
  <c r="Y640" i="5"/>
  <c r="Z261" i="5"/>
  <c r="R2917" i="5"/>
  <c r="Z2313" i="5"/>
  <c r="Z2658" i="5"/>
  <c r="G961" i="5"/>
  <c r="G2925" i="5" s="1"/>
  <c r="Z2567" i="5"/>
  <c r="Z2941" i="5" s="1"/>
  <c r="R1739" i="5"/>
  <c r="R2931" i="5" s="1"/>
  <c r="R1190" i="5"/>
  <c r="R2927" i="5" s="1"/>
  <c r="Z149" i="5"/>
  <c r="Z237" i="5" s="1"/>
  <c r="Z2919" i="5" s="1"/>
  <c r="O1190" i="5"/>
  <c r="O2927" i="5" s="1"/>
  <c r="Y2294" i="5"/>
  <c r="Q640" i="5"/>
  <c r="Q2923" i="5" s="1"/>
  <c r="X986" i="5"/>
  <c r="Z2874" i="4"/>
  <c r="Z2833" i="4"/>
  <c r="Z2884" i="4"/>
  <c r="Z2882" i="4"/>
  <c r="Z2861" i="4"/>
  <c r="Z2843" i="4"/>
  <c r="Z2841" i="4"/>
  <c r="Z2839" i="4"/>
  <c r="Z2837" i="4"/>
  <c r="Z2829" i="4"/>
  <c r="Z2821" i="4"/>
  <c r="Z2809" i="4"/>
  <c r="Z2805" i="4"/>
  <c r="Z2800" i="4"/>
  <c r="Z2796" i="4"/>
  <c r="Z2794" i="4"/>
  <c r="Z2790" i="4"/>
  <c r="Z2786" i="4"/>
  <c r="Z2783" i="4"/>
  <c r="Z2778" i="4"/>
  <c r="Z2869" i="4"/>
  <c r="Z2866" i="4"/>
  <c r="Z2860" i="4"/>
  <c r="Z2853" i="4"/>
  <c r="Z2844" i="4"/>
  <c r="Z2825" i="4"/>
  <c r="Z2822" i="4"/>
  <c r="Z2813" i="4"/>
  <c r="Z2806" i="4"/>
  <c r="Z2795" i="4"/>
  <c r="Z2787" i="4"/>
  <c r="Z2784" i="4"/>
  <c r="Z2850" i="4"/>
  <c r="Z2846" i="4"/>
  <c r="Z2792" i="4"/>
  <c r="Z2871" i="4"/>
  <c r="Z2877" i="4"/>
  <c r="Z2801" i="4"/>
  <c r="Z2876" i="4"/>
  <c r="Z2864" i="4"/>
  <c r="Z2849" i="4"/>
  <c r="Z2791" i="4"/>
  <c r="Z2863" i="4"/>
  <c r="Z2856" i="4"/>
  <c r="Z2848" i="4"/>
  <c r="Z2776" i="4"/>
  <c r="Z2872" i="4"/>
  <c r="Z2847" i="4"/>
  <c r="Z2780" i="4"/>
  <c r="Z2771" i="4"/>
  <c r="H638" i="4"/>
  <c r="E638" i="4"/>
  <c r="H22" i="4"/>
  <c r="E22" i="4"/>
  <c r="H2499" i="4"/>
  <c r="E2499" i="4"/>
  <c r="Z2886" i="4"/>
  <c r="Z1969" i="5" l="1"/>
  <c r="Z2933" i="5" s="1"/>
  <c r="E2948" i="5"/>
  <c r="E2950" i="5" s="1"/>
  <c r="E2756" i="5"/>
  <c r="E2887" i="5"/>
  <c r="O2948" i="5"/>
  <c r="S2948" i="5"/>
  <c r="S2755" i="5"/>
  <c r="P2243" i="4"/>
  <c r="S2950" i="5" l="1"/>
  <c r="N6" i="2"/>
  <c r="E12" i="2"/>
  <c r="F12" i="2"/>
  <c r="G12" i="2"/>
  <c r="I12" i="2"/>
  <c r="J12" i="2"/>
  <c r="K12" i="2"/>
  <c r="L12" i="2"/>
  <c r="O12" i="2"/>
  <c r="Q12" i="2"/>
  <c r="R12" i="2"/>
  <c r="S12" i="2"/>
  <c r="T12" i="2"/>
  <c r="Y12" i="2"/>
  <c r="E13" i="2"/>
  <c r="F13" i="2"/>
  <c r="G13" i="2"/>
  <c r="I13" i="2"/>
  <c r="J13" i="2"/>
  <c r="K13" i="2"/>
  <c r="L13" i="2"/>
  <c r="N13" i="2"/>
  <c r="O13" i="2"/>
  <c r="Q13" i="2"/>
  <c r="R13" i="2"/>
  <c r="S13" i="2"/>
  <c r="T13" i="2"/>
  <c r="Y13" i="2"/>
  <c r="E14" i="2"/>
  <c r="F14" i="2"/>
  <c r="G14" i="2"/>
  <c r="I14" i="2"/>
  <c r="J14" i="2"/>
  <c r="K14" i="2"/>
  <c r="L14" i="2"/>
  <c r="O14" i="2"/>
  <c r="Q14" i="2"/>
  <c r="R14" i="2"/>
  <c r="S14" i="2"/>
  <c r="T14" i="2"/>
  <c r="Y14" i="2"/>
  <c r="E15" i="2"/>
  <c r="F15" i="2"/>
  <c r="G15" i="2"/>
  <c r="I15" i="2"/>
  <c r="J15" i="2"/>
  <c r="K15" i="2"/>
  <c r="L15" i="2"/>
  <c r="N15" i="2"/>
  <c r="O15" i="2"/>
  <c r="Q15" i="2"/>
  <c r="R15" i="2"/>
  <c r="S15" i="2"/>
  <c r="T15" i="2"/>
  <c r="Y15" i="2"/>
  <c r="E16" i="2"/>
  <c r="F16" i="2"/>
  <c r="G16" i="2"/>
  <c r="I16" i="2"/>
  <c r="J16" i="2"/>
  <c r="K16" i="2"/>
  <c r="L16" i="2"/>
  <c r="N16" i="2"/>
  <c r="O16" i="2"/>
  <c r="Q16" i="2"/>
  <c r="R16" i="2"/>
  <c r="S16" i="2"/>
  <c r="T16" i="2"/>
  <c r="Y16" i="2"/>
  <c r="E17" i="2"/>
  <c r="F17" i="2"/>
  <c r="G17" i="2"/>
  <c r="I17" i="2"/>
  <c r="J17" i="2"/>
  <c r="K17" i="2"/>
  <c r="L17" i="2"/>
  <c r="N17" i="2"/>
  <c r="O17" i="2"/>
  <c r="Q17" i="2"/>
  <c r="R17" i="2"/>
  <c r="S17" i="2"/>
  <c r="T17" i="2"/>
  <c r="Y17" i="2"/>
  <c r="E18" i="2"/>
  <c r="F18" i="2"/>
  <c r="G18" i="2"/>
  <c r="I18" i="2"/>
  <c r="J18" i="2"/>
  <c r="K18" i="2"/>
  <c r="L18" i="2"/>
  <c r="N18" i="2"/>
  <c r="O18" i="2"/>
  <c r="Q18" i="2"/>
  <c r="R18" i="2"/>
  <c r="S18" i="2"/>
  <c r="T18" i="2"/>
  <c r="Y18" i="2"/>
  <c r="E19" i="2"/>
  <c r="F19" i="2"/>
  <c r="G19" i="2"/>
  <c r="I19" i="2"/>
  <c r="J19" i="2"/>
  <c r="K19" i="2"/>
  <c r="L19" i="2"/>
  <c r="N19" i="2"/>
  <c r="O19" i="2"/>
  <c r="Q19" i="2"/>
  <c r="R19" i="2"/>
  <c r="S19" i="2"/>
  <c r="T19" i="2"/>
  <c r="Y19" i="2"/>
  <c r="E25" i="2"/>
  <c r="F25" i="2"/>
  <c r="G25" i="2"/>
  <c r="I25" i="2"/>
  <c r="J25" i="2"/>
  <c r="K25" i="2"/>
  <c r="L25" i="2"/>
  <c r="O25" i="2"/>
  <c r="Q25" i="2"/>
  <c r="R25" i="2"/>
  <c r="S25" i="2"/>
  <c r="T25" i="2"/>
  <c r="Y25" i="2"/>
  <c r="E26" i="2"/>
  <c r="F26" i="2"/>
  <c r="G26" i="2"/>
  <c r="I26" i="2"/>
  <c r="J26" i="2"/>
  <c r="K26" i="2"/>
  <c r="L26" i="2"/>
  <c r="N26" i="2"/>
  <c r="O26" i="2"/>
  <c r="Q26" i="2"/>
  <c r="R26" i="2"/>
  <c r="S26" i="2"/>
  <c r="T26" i="2"/>
  <c r="Y26" i="2"/>
  <c r="E27" i="2"/>
  <c r="F27" i="2"/>
  <c r="G27" i="2"/>
  <c r="I27" i="2"/>
  <c r="J27" i="2"/>
  <c r="K27" i="2"/>
  <c r="L27" i="2"/>
  <c r="N27" i="2"/>
  <c r="O27" i="2"/>
  <c r="Q27" i="2"/>
  <c r="R27" i="2"/>
  <c r="S27" i="2"/>
  <c r="T27" i="2"/>
  <c r="Y27" i="2"/>
  <c r="E28" i="2"/>
  <c r="F28" i="2"/>
  <c r="G28" i="2"/>
  <c r="I28" i="2"/>
  <c r="J28" i="2"/>
  <c r="K28" i="2"/>
  <c r="L28" i="2"/>
  <c r="N28" i="2"/>
  <c r="O28" i="2"/>
  <c r="Q28" i="2"/>
  <c r="R28" i="2"/>
  <c r="S28" i="2"/>
  <c r="T28" i="2"/>
  <c r="Y28" i="2"/>
  <c r="E29" i="2"/>
  <c r="F29" i="2"/>
  <c r="G29" i="2"/>
  <c r="I29" i="2"/>
  <c r="J29" i="2"/>
  <c r="K29" i="2"/>
  <c r="L29" i="2"/>
  <c r="N29" i="2"/>
  <c r="O29" i="2"/>
  <c r="Q29" i="2"/>
  <c r="R29" i="2"/>
  <c r="S29" i="2"/>
  <c r="T29" i="2"/>
  <c r="Y29" i="2"/>
  <c r="E30" i="2"/>
  <c r="F30" i="2"/>
  <c r="G30" i="2"/>
  <c r="I30" i="2"/>
  <c r="J30" i="2"/>
  <c r="K30" i="2"/>
  <c r="L30" i="2"/>
  <c r="N30" i="2"/>
  <c r="O30" i="2"/>
  <c r="Q30" i="2"/>
  <c r="R30" i="2"/>
  <c r="S30" i="2"/>
  <c r="T30" i="2"/>
  <c r="Y30" i="2"/>
  <c r="E31" i="2"/>
  <c r="F31" i="2"/>
  <c r="G31" i="2"/>
  <c r="I31" i="2"/>
  <c r="J31" i="2"/>
  <c r="K31" i="2"/>
  <c r="L31" i="2"/>
  <c r="N31" i="2"/>
  <c r="O31" i="2"/>
  <c r="Q31" i="2"/>
  <c r="R31" i="2"/>
  <c r="S31" i="2"/>
  <c r="T31" i="2"/>
  <c r="Y31" i="2"/>
  <c r="E32" i="2"/>
  <c r="F32" i="2"/>
  <c r="G32" i="2"/>
  <c r="I32" i="2"/>
  <c r="J32" i="2"/>
  <c r="K32" i="2"/>
  <c r="L32" i="2"/>
  <c r="N32" i="2"/>
  <c r="O32" i="2"/>
  <c r="Q32" i="2"/>
  <c r="R32" i="2"/>
  <c r="S32" i="2"/>
  <c r="T32" i="2"/>
  <c r="Y32" i="2"/>
  <c r="E33" i="2"/>
  <c r="F33" i="2"/>
  <c r="G33" i="2"/>
  <c r="I33" i="2"/>
  <c r="J33" i="2"/>
  <c r="K33" i="2"/>
  <c r="L33" i="2"/>
  <c r="N33" i="2"/>
  <c r="O33" i="2"/>
  <c r="Q33" i="2"/>
  <c r="R33" i="2"/>
  <c r="S33" i="2"/>
  <c r="T33" i="2"/>
  <c r="Y33" i="2"/>
  <c r="E34" i="2"/>
  <c r="F34" i="2"/>
  <c r="G34" i="2"/>
  <c r="I34" i="2"/>
  <c r="J34" i="2"/>
  <c r="K34" i="2"/>
  <c r="L34" i="2"/>
  <c r="N34" i="2"/>
  <c r="O34" i="2"/>
  <c r="Q34" i="2"/>
  <c r="R34" i="2"/>
  <c r="S34" i="2"/>
  <c r="T34" i="2"/>
  <c r="Y34" i="2"/>
  <c r="E35" i="2"/>
  <c r="F35" i="2"/>
  <c r="G35" i="2"/>
  <c r="I35" i="2"/>
  <c r="J35" i="2"/>
  <c r="K35" i="2"/>
  <c r="L35" i="2"/>
  <c r="N35" i="2"/>
  <c r="O35" i="2"/>
  <c r="Q35" i="2"/>
  <c r="R35" i="2"/>
  <c r="S35" i="2"/>
  <c r="T35" i="2"/>
  <c r="Y35" i="2"/>
  <c r="F36" i="2"/>
  <c r="G36" i="2"/>
  <c r="I36" i="2"/>
  <c r="J36" i="2"/>
  <c r="K36" i="2"/>
  <c r="L36" i="2"/>
  <c r="N36" i="2"/>
  <c r="O36" i="2"/>
  <c r="Q36" i="2"/>
  <c r="R36" i="2"/>
  <c r="S36" i="2"/>
  <c r="T36" i="2"/>
  <c r="Y36" i="2"/>
  <c r="E37" i="2"/>
  <c r="F37" i="2"/>
  <c r="G37" i="2"/>
  <c r="I37" i="2"/>
  <c r="J37" i="2"/>
  <c r="K37" i="2"/>
  <c r="L37" i="2"/>
  <c r="N37" i="2"/>
  <c r="O37" i="2"/>
  <c r="Q37" i="2"/>
  <c r="R37" i="2"/>
  <c r="S37" i="2"/>
  <c r="T37" i="2"/>
  <c r="W37" i="2"/>
  <c r="Y37" i="2"/>
  <c r="E38" i="2"/>
  <c r="F38" i="2"/>
  <c r="G38" i="2"/>
  <c r="I38" i="2"/>
  <c r="J38" i="2"/>
  <c r="K38" i="2"/>
  <c r="L38" i="2"/>
  <c r="N38" i="2"/>
  <c r="O38" i="2"/>
  <c r="Q38" i="2"/>
  <c r="R38" i="2"/>
  <c r="S38" i="2"/>
  <c r="T38" i="2"/>
  <c r="Y38" i="2"/>
  <c r="G39" i="2"/>
  <c r="I39" i="2"/>
  <c r="J39" i="2"/>
  <c r="K39" i="2"/>
  <c r="L39" i="2"/>
  <c r="N39" i="2"/>
  <c r="O39" i="2"/>
  <c r="Q39" i="2"/>
  <c r="R39" i="2"/>
  <c r="S39" i="2"/>
  <c r="T39" i="2"/>
  <c r="Y39" i="2"/>
  <c r="E45" i="2"/>
  <c r="F45" i="2"/>
  <c r="G45" i="2"/>
  <c r="I45" i="2"/>
  <c r="J45" i="2"/>
  <c r="K45" i="2"/>
  <c r="L45" i="2"/>
  <c r="N45" i="2"/>
  <c r="O45" i="2"/>
  <c r="Q45" i="2"/>
  <c r="R45" i="2"/>
  <c r="S45" i="2"/>
  <c r="T45" i="2"/>
  <c r="Y45" i="2"/>
  <c r="E46" i="2"/>
  <c r="F46" i="2"/>
  <c r="G46" i="2"/>
  <c r="I46" i="2"/>
  <c r="J46" i="2"/>
  <c r="K46" i="2"/>
  <c r="L46" i="2"/>
  <c r="N46" i="2"/>
  <c r="O46" i="2"/>
  <c r="Q46" i="2"/>
  <c r="R46" i="2"/>
  <c r="S46" i="2"/>
  <c r="T46" i="2"/>
  <c r="Y46" i="2"/>
  <c r="E47" i="2"/>
  <c r="F47" i="2"/>
  <c r="G47" i="2"/>
  <c r="I47" i="2"/>
  <c r="J47" i="2"/>
  <c r="K47" i="2"/>
  <c r="L47" i="2"/>
  <c r="N47" i="2"/>
  <c r="O47" i="2"/>
  <c r="Q47" i="2"/>
  <c r="R47" i="2"/>
  <c r="S47" i="2"/>
  <c r="T47" i="2"/>
  <c r="Y47" i="2"/>
  <c r="E48" i="2"/>
  <c r="F48" i="2"/>
  <c r="G48" i="2"/>
  <c r="H48" i="2"/>
  <c r="I48" i="2"/>
  <c r="J48" i="2"/>
  <c r="K48" i="2"/>
  <c r="L48" i="2"/>
  <c r="M48" i="2"/>
  <c r="N48" i="2"/>
  <c r="O48" i="2"/>
  <c r="P48" i="2"/>
  <c r="Q48" i="2"/>
  <c r="R48" i="2"/>
  <c r="S48" i="2"/>
  <c r="T48" i="2"/>
  <c r="U48" i="2"/>
  <c r="V48" i="2"/>
  <c r="W48" i="2"/>
  <c r="Y48" i="2"/>
  <c r="E49" i="2"/>
  <c r="F49" i="2"/>
  <c r="G49" i="2"/>
  <c r="I49" i="2"/>
  <c r="J49" i="2"/>
  <c r="K49" i="2"/>
  <c r="L49" i="2"/>
  <c r="N49" i="2"/>
  <c r="O49" i="2"/>
  <c r="Q49" i="2"/>
  <c r="R49" i="2"/>
  <c r="S49" i="2"/>
  <c r="T49" i="2"/>
  <c r="Y49" i="2"/>
  <c r="E50" i="2"/>
  <c r="F50" i="2"/>
  <c r="G50" i="2"/>
  <c r="I50" i="2"/>
  <c r="J50" i="2"/>
  <c r="K50" i="2"/>
  <c r="L50" i="2"/>
  <c r="N50" i="2"/>
  <c r="O50" i="2"/>
  <c r="Q50" i="2"/>
  <c r="R50" i="2"/>
  <c r="S50" i="2"/>
  <c r="T50" i="2"/>
  <c r="Y50" i="2"/>
  <c r="E51" i="2"/>
  <c r="F51" i="2"/>
  <c r="G51" i="2"/>
  <c r="I51" i="2"/>
  <c r="J51" i="2"/>
  <c r="K51" i="2"/>
  <c r="L51" i="2"/>
  <c r="N51" i="2"/>
  <c r="O51" i="2"/>
  <c r="Q51" i="2"/>
  <c r="R51" i="2"/>
  <c r="S51" i="2"/>
  <c r="T51" i="2"/>
  <c r="Y51" i="2"/>
  <c r="E52" i="2"/>
  <c r="F52" i="2"/>
  <c r="G52" i="2"/>
  <c r="I52" i="2"/>
  <c r="J52" i="2"/>
  <c r="K52" i="2"/>
  <c r="L52" i="2"/>
  <c r="N52" i="2"/>
  <c r="O52" i="2"/>
  <c r="Q52" i="2"/>
  <c r="R52" i="2"/>
  <c r="S52" i="2"/>
  <c r="T52" i="2"/>
  <c r="Y52" i="2"/>
  <c r="E53" i="2"/>
  <c r="F53" i="2"/>
  <c r="G53" i="2"/>
  <c r="I53" i="2"/>
  <c r="J53" i="2"/>
  <c r="K53" i="2"/>
  <c r="L53" i="2"/>
  <c r="N53" i="2"/>
  <c r="O53" i="2"/>
  <c r="Q53" i="2"/>
  <c r="R53" i="2"/>
  <c r="S53" i="2"/>
  <c r="T53" i="2"/>
  <c r="Y53" i="2"/>
  <c r="E54" i="2"/>
  <c r="F54" i="2"/>
  <c r="G54" i="2"/>
  <c r="I54" i="2"/>
  <c r="J54" i="2"/>
  <c r="K54" i="2"/>
  <c r="L54" i="2"/>
  <c r="N54" i="2"/>
  <c r="O54" i="2"/>
  <c r="Q54" i="2"/>
  <c r="R54" i="2"/>
  <c r="S54" i="2"/>
  <c r="T54" i="2"/>
  <c r="Y54" i="2"/>
  <c r="E55" i="2"/>
  <c r="F55" i="2"/>
  <c r="G55" i="2"/>
  <c r="I55" i="2"/>
  <c r="J55" i="2"/>
  <c r="K55" i="2"/>
  <c r="L55" i="2"/>
  <c r="N55" i="2"/>
  <c r="O55" i="2"/>
  <c r="Q55" i="2"/>
  <c r="R55" i="2"/>
  <c r="S55" i="2"/>
  <c r="T55" i="2"/>
  <c r="Y55" i="2"/>
  <c r="E56" i="2"/>
  <c r="F56" i="2"/>
  <c r="G56" i="2"/>
  <c r="I56" i="2"/>
  <c r="J56" i="2"/>
  <c r="K56" i="2"/>
  <c r="L56" i="2"/>
  <c r="N56" i="2"/>
  <c r="O56" i="2"/>
  <c r="Q56" i="2"/>
  <c r="R56" i="2"/>
  <c r="S56" i="2"/>
  <c r="T56" i="2"/>
  <c r="Y56" i="2"/>
  <c r="E57" i="2"/>
  <c r="F57" i="2"/>
  <c r="G57" i="2"/>
  <c r="I57" i="2"/>
  <c r="J57" i="2"/>
  <c r="K57" i="2"/>
  <c r="L57" i="2"/>
  <c r="N57" i="2"/>
  <c r="O57" i="2"/>
  <c r="Q57" i="2"/>
  <c r="R57" i="2"/>
  <c r="S57" i="2"/>
  <c r="T57" i="2"/>
  <c r="Y57" i="2"/>
  <c r="E58" i="2"/>
  <c r="F58" i="2"/>
  <c r="G58" i="2"/>
  <c r="I58" i="2"/>
  <c r="J58" i="2"/>
  <c r="K58" i="2"/>
  <c r="L58" i="2"/>
  <c r="N58" i="2"/>
  <c r="O58" i="2"/>
  <c r="Q58" i="2"/>
  <c r="R58" i="2"/>
  <c r="S58" i="2"/>
  <c r="T58" i="2"/>
  <c r="Y58" i="2"/>
  <c r="E59" i="2"/>
  <c r="F59" i="2"/>
  <c r="G59" i="2"/>
  <c r="I59" i="2"/>
  <c r="J59" i="2"/>
  <c r="K59" i="2"/>
  <c r="L59" i="2"/>
  <c r="N59" i="2"/>
  <c r="O59" i="2"/>
  <c r="Q59" i="2"/>
  <c r="R59" i="2"/>
  <c r="S59" i="2"/>
  <c r="T59" i="2"/>
  <c r="Y59" i="2"/>
  <c r="E60" i="2"/>
  <c r="F60" i="2"/>
  <c r="G60" i="2"/>
  <c r="I60" i="2"/>
  <c r="J60" i="2"/>
  <c r="K60" i="2"/>
  <c r="L60" i="2"/>
  <c r="N60" i="2"/>
  <c r="O60" i="2"/>
  <c r="Q60" i="2"/>
  <c r="R60" i="2"/>
  <c r="S60" i="2"/>
  <c r="T60" i="2"/>
  <c r="Y60" i="2"/>
  <c r="G61" i="2"/>
  <c r="I61" i="2"/>
  <c r="J61" i="2"/>
  <c r="K61" i="2"/>
  <c r="L61" i="2"/>
  <c r="N61" i="2"/>
  <c r="O61" i="2"/>
  <c r="Q61" i="2"/>
  <c r="R61" i="2"/>
  <c r="S61" i="2"/>
  <c r="T61" i="2"/>
  <c r="Y61" i="2"/>
  <c r="E62" i="2"/>
  <c r="F62" i="2"/>
  <c r="G62" i="2"/>
  <c r="I62" i="2"/>
  <c r="J62" i="2"/>
  <c r="K62" i="2"/>
  <c r="L62" i="2"/>
  <c r="N62" i="2"/>
  <c r="O62" i="2"/>
  <c r="Q62" i="2"/>
  <c r="R62" i="2"/>
  <c r="S62" i="2"/>
  <c r="T62" i="2"/>
  <c r="Y62" i="2"/>
  <c r="E67" i="2"/>
  <c r="F67" i="2"/>
  <c r="G67" i="2"/>
  <c r="I67" i="2"/>
  <c r="J67" i="2"/>
  <c r="K67" i="2"/>
  <c r="L67" i="2"/>
  <c r="N67" i="2"/>
  <c r="O67" i="2"/>
  <c r="Q67" i="2"/>
  <c r="R67" i="2"/>
  <c r="S67" i="2"/>
  <c r="T67" i="2"/>
  <c r="Y67" i="2"/>
  <c r="E68" i="2"/>
  <c r="F68" i="2"/>
  <c r="G68" i="2"/>
  <c r="I68" i="2"/>
  <c r="J68" i="2"/>
  <c r="K68" i="2"/>
  <c r="L68" i="2"/>
  <c r="N68" i="2"/>
  <c r="O68" i="2"/>
  <c r="Q68" i="2"/>
  <c r="R68" i="2"/>
  <c r="S68" i="2"/>
  <c r="T68" i="2"/>
  <c r="Y68" i="2"/>
  <c r="E69" i="2"/>
  <c r="F69" i="2"/>
  <c r="G69" i="2"/>
  <c r="I69" i="2"/>
  <c r="J69" i="2"/>
  <c r="K69" i="2"/>
  <c r="L69" i="2"/>
  <c r="N69" i="2"/>
  <c r="O69" i="2"/>
  <c r="Q69" i="2"/>
  <c r="R69" i="2"/>
  <c r="S69" i="2"/>
  <c r="T69" i="2"/>
  <c r="Y69" i="2"/>
  <c r="E70" i="2"/>
  <c r="F70" i="2"/>
  <c r="G70" i="2"/>
  <c r="H70" i="2"/>
  <c r="I70" i="2"/>
  <c r="J70" i="2"/>
  <c r="K70" i="2"/>
  <c r="L70" i="2"/>
  <c r="M70" i="2"/>
  <c r="N70" i="2"/>
  <c r="O70" i="2"/>
  <c r="P70" i="2"/>
  <c r="Q70" i="2"/>
  <c r="R70" i="2"/>
  <c r="S70" i="2"/>
  <c r="T70" i="2"/>
  <c r="U70" i="2"/>
  <c r="V70" i="2"/>
  <c r="W70" i="2"/>
  <c r="Y70" i="2"/>
  <c r="E71" i="2"/>
  <c r="F71" i="2"/>
  <c r="G71" i="2"/>
  <c r="I71" i="2"/>
  <c r="J71" i="2"/>
  <c r="K71" i="2"/>
  <c r="L71" i="2"/>
  <c r="N71" i="2"/>
  <c r="O71" i="2"/>
  <c r="Q71" i="2"/>
  <c r="R71" i="2"/>
  <c r="S71" i="2"/>
  <c r="T71" i="2"/>
  <c r="Y71" i="2"/>
  <c r="E72" i="2"/>
  <c r="F72" i="2"/>
  <c r="G72" i="2"/>
  <c r="I72" i="2"/>
  <c r="J72" i="2"/>
  <c r="K72" i="2"/>
  <c r="L72" i="2"/>
  <c r="N72" i="2"/>
  <c r="O72" i="2"/>
  <c r="Q72" i="2"/>
  <c r="R72" i="2"/>
  <c r="S72" i="2"/>
  <c r="T72" i="2"/>
  <c r="Y72" i="2"/>
  <c r="E73" i="2"/>
  <c r="F73" i="2"/>
  <c r="G73" i="2"/>
  <c r="I73" i="2"/>
  <c r="J73" i="2"/>
  <c r="K73" i="2"/>
  <c r="L73" i="2"/>
  <c r="N73" i="2"/>
  <c r="O73" i="2"/>
  <c r="Q73" i="2"/>
  <c r="R73" i="2"/>
  <c r="S73" i="2"/>
  <c r="T73" i="2"/>
  <c r="Y73" i="2"/>
  <c r="F74" i="2"/>
  <c r="G74" i="2"/>
  <c r="I74" i="2"/>
  <c r="J74" i="2"/>
  <c r="K74" i="2"/>
  <c r="L74" i="2"/>
  <c r="N74" i="2"/>
  <c r="O74" i="2"/>
  <c r="Q74" i="2"/>
  <c r="R74" i="2"/>
  <c r="S74" i="2"/>
  <c r="T74" i="2"/>
  <c r="Y74" i="2"/>
  <c r="F75" i="2"/>
  <c r="G75" i="2"/>
  <c r="I75" i="2"/>
  <c r="J75" i="2"/>
  <c r="K75" i="2"/>
  <c r="L75" i="2"/>
  <c r="N75" i="2"/>
  <c r="O75" i="2"/>
  <c r="Q75" i="2"/>
  <c r="R75" i="2"/>
  <c r="S75" i="2"/>
  <c r="T75" i="2"/>
  <c r="Y75" i="2"/>
  <c r="E76" i="2"/>
  <c r="F76" i="2"/>
  <c r="G76" i="2"/>
  <c r="I76" i="2"/>
  <c r="J76" i="2"/>
  <c r="K76" i="2"/>
  <c r="L76" i="2"/>
  <c r="N76" i="2"/>
  <c r="O76" i="2"/>
  <c r="Q76" i="2"/>
  <c r="R76" i="2"/>
  <c r="S76" i="2"/>
  <c r="T76" i="2"/>
  <c r="Y76" i="2"/>
  <c r="E77" i="2"/>
  <c r="F77" i="2"/>
  <c r="G77" i="2"/>
  <c r="I77" i="2"/>
  <c r="J77" i="2"/>
  <c r="K77" i="2"/>
  <c r="L77" i="2"/>
  <c r="N77" i="2"/>
  <c r="O77" i="2"/>
  <c r="Q77" i="2"/>
  <c r="R77" i="2"/>
  <c r="S77" i="2"/>
  <c r="T77" i="2"/>
  <c r="Y77" i="2"/>
  <c r="E78" i="2"/>
  <c r="F78" i="2"/>
  <c r="G78" i="2"/>
  <c r="I78" i="2"/>
  <c r="J78" i="2"/>
  <c r="K78" i="2"/>
  <c r="L78" i="2"/>
  <c r="N78" i="2"/>
  <c r="O78" i="2"/>
  <c r="Q78" i="2"/>
  <c r="R78" i="2"/>
  <c r="S78" i="2"/>
  <c r="T78" i="2"/>
  <c r="Y78" i="2"/>
  <c r="E79" i="2"/>
  <c r="F79" i="2"/>
  <c r="G79" i="2"/>
  <c r="I79" i="2"/>
  <c r="I2618" i="2" s="1"/>
  <c r="J79" i="2"/>
  <c r="J2618" i="2" s="1"/>
  <c r="K79" i="2"/>
  <c r="K2618" i="2" s="1"/>
  <c r="L79" i="2"/>
  <c r="N79" i="2"/>
  <c r="O79" i="2"/>
  <c r="Q79" i="2"/>
  <c r="Q2618" i="2" s="1"/>
  <c r="R79" i="2"/>
  <c r="R2618" i="2" s="1"/>
  <c r="S79" i="2"/>
  <c r="S2618" i="2" s="1"/>
  <c r="T79" i="2"/>
  <c r="Y79" i="2"/>
  <c r="E80" i="2"/>
  <c r="F80" i="2"/>
  <c r="G80" i="2"/>
  <c r="I80" i="2"/>
  <c r="J80" i="2"/>
  <c r="K80" i="2"/>
  <c r="L80" i="2"/>
  <c r="N80" i="2"/>
  <c r="O80" i="2"/>
  <c r="Q80" i="2"/>
  <c r="R80" i="2"/>
  <c r="S80" i="2"/>
  <c r="T80" i="2"/>
  <c r="Y80" i="2"/>
  <c r="E81" i="2"/>
  <c r="F81" i="2"/>
  <c r="G81" i="2"/>
  <c r="I81" i="2"/>
  <c r="J81" i="2"/>
  <c r="K81" i="2"/>
  <c r="L81" i="2"/>
  <c r="N81" i="2"/>
  <c r="O81" i="2"/>
  <c r="Q81" i="2"/>
  <c r="R81" i="2"/>
  <c r="S81" i="2"/>
  <c r="T81" i="2"/>
  <c r="Y81" i="2"/>
  <c r="E82" i="2"/>
  <c r="F82" i="2"/>
  <c r="G82" i="2"/>
  <c r="I82" i="2"/>
  <c r="J82" i="2"/>
  <c r="K82" i="2"/>
  <c r="L82" i="2"/>
  <c r="N82" i="2"/>
  <c r="O82" i="2"/>
  <c r="Q82" i="2"/>
  <c r="R82" i="2"/>
  <c r="S82" i="2"/>
  <c r="T82" i="2"/>
  <c r="Y82" i="2"/>
  <c r="E83" i="2"/>
  <c r="F83" i="2"/>
  <c r="G83" i="2"/>
  <c r="I83" i="2"/>
  <c r="J83" i="2"/>
  <c r="K83" i="2"/>
  <c r="L83" i="2"/>
  <c r="N83" i="2"/>
  <c r="O83" i="2"/>
  <c r="Q83" i="2"/>
  <c r="R83" i="2"/>
  <c r="S83" i="2"/>
  <c r="T83" i="2"/>
  <c r="Y83" i="2"/>
  <c r="E84" i="2"/>
  <c r="F84" i="2"/>
  <c r="G84" i="2"/>
  <c r="I84" i="2"/>
  <c r="J84" i="2"/>
  <c r="K84" i="2"/>
  <c r="L84" i="2"/>
  <c r="N84" i="2"/>
  <c r="O84" i="2"/>
  <c r="Q84" i="2"/>
  <c r="R84" i="2"/>
  <c r="S84" i="2"/>
  <c r="T84" i="2"/>
  <c r="Y84" i="2"/>
  <c r="F85" i="2"/>
  <c r="G85" i="2"/>
  <c r="I85" i="2"/>
  <c r="J85" i="2"/>
  <c r="K85" i="2"/>
  <c r="L85" i="2"/>
  <c r="N85" i="2"/>
  <c r="O85" i="2"/>
  <c r="Q85" i="2"/>
  <c r="R85" i="2"/>
  <c r="S85" i="2"/>
  <c r="T85" i="2"/>
  <c r="Y85" i="2"/>
  <c r="E90" i="2"/>
  <c r="F90" i="2"/>
  <c r="G90" i="2"/>
  <c r="I90" i="2"/>
  <c r="J90" i="2"/>
  <c r="K90" i="2"/>
  <c r="L90" i="2"/>
  <c r="N90" i="2"/>
  <c r="O90" i="2"/>
  <c r="Q90" i="2"/>
  <c r="R90" i="2"/>
  <c r="S90" i="2"/>
  <c r="T90" i="2"/>
  <c r="Y90" i="2"/>
  <c r="E91" i="2"/>
  <c r="F91" i="2"/>
  <c r="G91" i="2"/>
  <c r="I91" i="2"/>
  <c r="J91" i="2"/>
  <c r="K91" i="2"/>
  <c r="L91" i="2"/>
  <c r="N91" i="2"/>
  <c r="O91" i="2"/>
  <c r="Q91" i="2"/>
  <c r="R91" i="2"/>
  <c r="S91" i="2"/>
  <c r="T91" i="2"/>
  <c r="Y91" i="2"/>
  <c r="E92" i="2"/>
  <c r="F92" i="2"/>
  <c r="G92" i="2"/>
  <c r="I92" i="2"/>
  <c r="J92" i="2"/>
  <c r="K92" i="2"/>
  <c r="L92" i="2"/>
  <c r="N92" i="2"/>
  <c r="O92" i="2"/>
  <c r="Q92" i="2"/>
  <c r="R92" i="2"/>
  <c r="S92" i="2"/>
  <c r="T92" i="2"/>
  <c r="Y92" i="2"/>
  <c r="E93" i="2"/>
  <c r="F93" i="2"/>
  <c r="G93" i="2"/>
  <c r="I93" i="2"/>
  <c r="J93" i="2"/>
  <c r="K93" i="2"/>
  <c r="L93" i="2"/>
  <c r="N93" i="2"/>
  <c r="O93" i="2"/>
  <c r="Q93" i="2"/>
  <c r="R93" i="2"/>
  <c r="S93" i="2"/>
  <c r="T93" i="2"/>
  <c r="Y93" i="2"/>
  <c r="E94" i="2"/>
  <c r="F94" i="2"/>
  <c r="G94" i="2"/>
  <c r="I94" i="2"/>
  <c r="J94" i="2"/>
  <c r="K94" i="2"/>
  <c r="L94" i="2"/>
  <c r="N94" i="2"/>
  <c r="O94" i="2"/>
  <c r="Q94" i="2"/>
  <c r="R94" i="2"/>
  <c r="S94" i="2"/>
  <c r="T94" i="2"/>
  <c r="Y94" i="2"/>
  <c r="E95" i="2"/>
  <c r="F95" i="2"/>
  <c r="G95" i="2"/>
  <c r="I95" i="2"/>
  <c r="J95" i="2"/>
  <c r="K95" i="2"/>
  <c r="L95" i="2"/>
  <c r="N95" i="2"/>
  <c r="O95" i="2"/>
  <c r="Q95" i="2"/>
  <c r="R95" i="2"/>
  <c r="S95" i="2"/>
  <c r="T95" i="2"/>
  <c r="Y95" i="2"/>
  <c r="E96" i="2"/>
  <c r="F96" i="2"/>
  <c r="G96" i="2"/>
  <c r="I96" i="2"/>
  <c r="J96" i="2"/>
  <c r="K96" i="2"/>
  <c r="L96" i="2"/>
  <c r="N96" i="2"/>
  <c r="O96" i="2"/>
  <c r="Q96" i="2"/>
  <c r="R96" i="2"/>
  <c r="S96" i="2"/>
  <c r="T96" i="2"/>
  <c r="Y96" i="2"/>
  <c r="E97" i="2"/>
  <c r="F97" i="2"/>
  <c r="G97" i="2"/>
  <c r="I97" i="2"/>
  <c r="J97" i="2"/>
  <c r="K97" i="2"/>
  <c r="L97" i="2"/>
  <c r="N97" i="2"/>
  <c r="O97" i="2"/>
  <c r="Q97" i="2"/>
  <c r="R97" i="2"/>
  <c r="S97" i="2"/>
  <c r="T97" i="2"/>
  <c r="Y97" i="2"/>
  <c r="E98" i="2"/>
  <c r="F98" i="2"/>
  <c r="G98" i="2"/>
  <c r="I98" i="2"/>
  <c r="J98" i="2"/>
  <c r="K98" i="2"/>
  <c r="L98" i="2"/>
  <c r="N98" i="2"/>
  <c r="O98" i="2"/>
  <c r="Q98" i="2"/>
  <c r="R98" i="2"/>
  <c r="S98" i="2"/>
  <c r="T98" i="2"/>
  <c r="V98" i="2"/>
  <c r="W98" i="2"/>
  <c r="Y98" i="2"/>
  <c r="E99" i="2"/>
  <c r="F99" i="2"/>
  <c r="G99" i="2"/>
  <c r="I99" i="2"/>
  <c r="J99" i="2"/>
  <c r="K99" i="2"/>
  <c r="L99" i="2"/>
  <c r="N99" i="2"/>
  <c r="O99" i="2"/>
  <c r="Q99" i="2"/>
  <c r="R99" i="2"/>
  <c r="S99" i="2"/>
  <c r="T99" i="2"/>
  <c r="Y99" i="2"/>
  <c r="E104" i="2"/>
  <c r="F104" i="2"/>
  <c r="G104" i="2"/>
  <c r="I104" i="2"/>
  <c r="J104" i="2"/>
  <c r="K104" i="2"/>
  <c r="L104" i="2"/>
  <c r="N104" i="2"/>
  <c r="O104" i="2"/>
  <c r="Q104" i="2"/>
  <c r="R104" i="2"/>
  <c r="S104" i="2"/>
  <c r="T104" i="2"/>
  <c r="Y104" i="2"/>
  <c r="E105" i="2"/>
  <c r="F105" i="2"/>
  <c r="G105" i="2"/>
  <c r="I105" i="2"/>
  <c r="J105" i="2"/>
  <c r="K105" i="2"/>
  <c r="L105" i="2"/>
  <c r="N105" i="2"/>
  <c r="O105" i="2"/>
  <c r="Q105" i="2"/>
  <c r="R105" i="2"/>
  <c r="S105" i="2"/>
  <c r="T105" i="2"/>
  <c r="Y105" i="2"/>
  <c r="E106" i="2"/>
  <c r="F106" i="2"/>
  <c r="G106" i="2"/>
  <c r="I106" i="2"/>
  <c r="J106" i="2"/>
  <c r="K106" i="2"/>
  <c r="L106" i="2"/>
  <c r="O106" i="2"/>
  <c r="Q106" i="2"/>
  <c r="R106" i="2"/>
  <c r="S106" i="2"/>
  <c r="T106" i="2"/>
  <c r="Y106" i="2"/>
  <c r="E107" i="2"/>
  <c r="F107" i="2"/>
  <c r="G107" i="2"/>
  <c r="H107" i="2"/>
  <c r="I107" i="2"/>
  <c r="J107" i="2"/>
  <c r="K107" i="2"/>
  <c r="L107" i="2"/>
  <c r="M107" i="2"/>
  <c r="N107" i="2"/>
  <c r="O107" i="2"/>
  <c r="P107" i="2"/>
  <c r="Q107" i="2"/>
  <c r="R107" i="2"/>
  <c r="S107" i="2"/>
  <c r="T107" i="2"/>
  <c r="U107" i="2"/>
  <c r="V107" i="2"/>
  <c r="W107" i="2"/>
  <c r="Y107" i="2"/>
  <c r="E108" i="2"/>
  <c r="F108" i="2"/>
  <c r="G108" i="2"/>
  <c r="I108" i="2"/>
  <c r="J108" i="2"/>
  <c r="K108" i="2"/>
  <c r="L108" i="2"/>
  <c r="O108" i="2"/>
  <c r="Q108" i="2"/>
  <c r="R108" i="2"/>
  <c r="S108" i="2"/>
  <c r="T108" i="2"/>
  <c r="Y108" i="2"/>
  <c r="F109" i="2"/>
  <c r="G109" i="2"/>
  <c r="I109" i="2"/>
  <c r="J109" i="2"/>
  <c r="K109" i="2"/>
  <c r="L109" i="2"/>
  <c r="N109" i="2"/>
  <c r="O109" i="2"/>
  <c r="Q109" i="2"/>
  <c r="R109" i="2"/>
  <c r="S109" i="2"/>
  <c r="T109" i="2"/>
  <c r="Y109" i="2"/>
  <c r="E110" i="2"/>
  <c r="F110" i="2"/>
  <c r="G110" i="2"/>
  <c r="I110" i="2"/>
  <c r="J110" i="2"/>
  <c r="K110" i="2"/>
  <c r="L110" i="2"/>
  <c r="N110" i="2"/>
  <c r="O110" i="2"/>
  <c r="Q110" i="2"/>
  <c r="R110" i="2"/>
  <c r="S110" i="2"/>
  <c r="T110" i="2"/>
  <c r="Y110" i="2"/>
  <c r="E111" i="2"/>
  <c r="F111" i="2"/>
  <c r="G111" i="2"/>
  <c r="I111" i="2"/>
  <c r="J111" i="2"/>
  <c r="K111" i="2"/>
  <c r="L111" i="2"/>
  <c r="N111" i="2"/>
  <c r="O111" i="2"/>
  <c r="Q111" i="2"/>
  <c r="R111" i="2"/>
  <c r="S111" i="2"/>
  <c r="T111" i="2"/>
  <c r="Y111" i="2"/>
  <c r="E112" i="2"/>
  <c r="F112" i="2"/>
  <c r="G112" i="2"/>
  <c r="I112" i="2"/>
  <c r="J112" i="2"/>
  <c r="K112" i="2"/>
  <c r="L112" i="2"/>
  <c r="N112" i="2"/>
  <c r="O112" i="2"/>
  <c r="Q112" i="2"/>
  <c r="R112" i="2"/>
  <c r="S112" i="2"/>
  <c r="T112" i="2"/>
  <c r="Y112" i="2"/>
  <c r="F113" i="2"/>
  <c r="G113" i="2"/>
  <c r="I113" i="2"/>
  <c r="J113" i="2"/>
  <c r="K113" i="2"/>
  <c r="L113" i="2"/>
  <c r="N113" i="2"/>
  <c r="O113" i="2"/>
  <c r="Q113" i="2"/>
  <c r="R113" i="2"/>
  <c r="S113" i="2"/>
  <c r="T113" i="2"/>
  <c r="Y113" i="2"/>
  <c r="E114" i="2"/>
  <c r="F114" i="2"/>
  <c r="G114" i="2"/>
  <c r="I114" i="2"/>
  <c r="J114" i="2"/>
  <c r="K114" i="2"/>
  <c r="L114" i="2"/>
  <c r="N114" i="2"/>
  <c r="O114" i="2"/>
  <c r="Q114" i="2"/>
  <c r="R114" i="2"/>
  <c r="S114" i="2"/>
  <c r="T114" i="2"/>
  <c r="Y114" i="2"/>
  <c r="E115" i="2"/>
  <c r="F115" i="2"/>
  <c r="G115" i="2"/>
  <c r="I115" i="2"/>
  <c r="J115" i="2"/>
  <c r="K115" i="2"/>
  <c r="L115" i="2"/>
  <c r="N115" i="2"/>
  <c r="O115" i="2"/>
  <c r="Q115" i="2"/>
  <c r="R115" i="2"/>
  <c r="S115" i="2"/>
  <c r="T115" i="2"/>
  <c r="Y115" i="2"/>
  <c r="E116" i="2"/>
  <c r="F116" i="2"/>
  <c r="G116" i="2"/>
  <c r="I116" i="2"/>
  <c r="J116" i="2"/>
  <c r="K116" i="2"/>
  <c r="L116" i="2"/>
  <c r="N116" i="2"/>
  <c r="O116" i="2"/>
  <c r="Q116" i="2"/>
  <c r="R116" i="2"/>
  <c r="S116" i="2"/>
  <c r="T116" i="2"/>
  <c r="Y116" i="2"/>
  <c r="E117" i="2"/>
  <c r="F117" i="2"/>
  <c r="G117" i="2"/>
  <c r="I117" i="2"/>
  <c r="J117" i="2"/>
  <c r="K117" i="2"/>
  <c r="L117" i="2"/>
  <c r="N117" i="2"/>
  <c r="O117" i="2"/>
  <c r="Q117" i="2"/>
  <c r="R117" i="2"/>
  <c r="S117" i="2"/>
  <c r="T117" i="2"/>
  <c r="Y117" i="2"/>
  <c r="E118" i="2"/>
  <c r="F118" i="2"/>
  <c r="G118" i="2"/>
  <c r="I118" i="2"/>
  <c r="J118" i="2"/>
  <c r="K118" i="2"/>
  <c r="L118" i="2"/>
  <c r="N118" i="2"/>
  <c r="O118" i="2"/>
  <c r="Q118" i="2"/>
  <c r="R118" i="2"/>
  <c r="S118" i="2"/>
  <c r="T118" i="2"/>
  <c r="Y118" i="2"/>
  <c r="E119" i="2"/>
  <c r="F119" i="2"/>
  <c r="G119" i="2"/>
  <c r="I119" i="2"/>
  <c r="J119" i="2"/>
  <c r="K119" i="2"/>
  <c r="L119" i="2"/>
  <c r="N119" i="2"/>
  <c r="O119" i="2"/>
  <c r="Q119" i="2"/>
  <c r="R119" i="2"/>
  <c r="S119" i="2"/>
  <c r="T119" i="2"/>
  <c r="V119" i="2"/>
  <c r="W119" i="2"/>
  <c r="Y119" i="2"/>
  <c r="E120" i="2"/>
  <c r="F120" i="2"/>
  <c r="G120" i="2"/>
  <c r="I120" i="2"/>
  <c r="J120" i="2"/>
  <c r="K120" i="2"/>
  <c r="L120" i="2"/>
  <c r="N120" i="2"/>
  <c r="O120" i="2"/>
  <c r="Q120" i="2"/>
  <c r="R120" i="2"/>
  <c r="S120" i="2"/>
  <c r="T120" i="2"/>
  <c r="V120" i="2"/>
  <c r="W120" i="2"/>
  <c r="Y120" i="2"/>
  <c r="E121" i="2"/>
  <c r="F121" i="2"/>
  <c r="G121" i="2"/>
  <c r="I121" i="2"/>
  <c r="J121" i="2"/>
  <c r="K121" i="2"/>
  <c r="L121" i="2"/>
  <c r="N121" i="2"/>
  <c r="O121" i="2"/>
  <c r="Q121" i="2"/>
  <c r="R121" i="2"/>
  <c r="S121" i="2"/>
  <c r="T121" i="2"/>
  <c r="Y121" i="2"/>
  <c r="E130" i="2"/>
  <c r="F130" i="2"/>
  <c r="G130" i="2"/>
  <c r="I130" i="2"/>
  <c r="J130" i="2"/>
  <c r="K130" i="2"/>
  <c r="L130" i="2"/>
  <c r="N130" i="2"/>
  <c r="O130" i="2"/>
  <c r="Q130" i="2"/>
  <c r="R130" i="2"/>
  <c r="S130" i="2"/>
  <c r="T130" i="2"/>
  <c r="Y130" i="2"/>
  <c r="E131" i="2"/>
  <c r="F131" i="2"/>
  <c r="G131" i="2"/>
  <c r="I131" i="2"/>
  <c r="J131" i="2"/>
  <c r="K131" i="2"/>
  <c r="L131" i="2"/>
  <c r="N131" i="2"/>
  <c r="O131" i="2"/>
  <c r="Q131" i="2"/>
  <c r="R131" i="2"/>
  <c r="S131" i="2"/>
  <c r="T131" i="2"/>
  <c r="Y131" i="2"/>
  <c r="Y2728" i="2" s="1"/>
  <c r="F132" i="2"/>
  <c r="G132" i="2"/>
  <c r="I132" i="2"/>
  <c r="J132" i="2"/>
  <c r="K132" i="2"/>
  <c r="L132" i="2"/>
  <c r="N132" i="2"/>
  <c r="O132" i="2"/>
  <c r="Q132" i="2"/>
  <c r="R132" i="2"/>
  <c r="S132" i="2"/>
  <c r="T132" i="2"/>
  <c r="Y132" i="2"/>
  <c r="E133" i="2"/>
  <c r="F133" i="2"/>
  <c r="G133" i="2"/>
  <c r="I133" i="2"/>
  <c r="J133" i="2"/>
  <c r="K133" i="2"/>
  <c r="L133" i="2"/>
  <c r="N133" i="2"/>
  <c r="O133" i="2"/>
  <c r="Q133" i="2"/>
  <c r="R133" i="2"/>
  <c r="S133" i="2"/>
  <c r="T133" i="2"/>
  <c r="Y133" i="2"/>
  <c r="Y2730" i="2" s="1"/>
  <c r="E134" i="2"/>
  <c r="F134" i="2"/>
  <c r="G134" i="2"/>
  <c r="I134" i="2"/>
  <c r="J134" i="2"/>
  <c r="K134" i="2"/>
  <c r="L134" i="2"/>
  <c r="N134" i="2"/>
  <c r="O134" i="2"/>
  <c r="Q134" i="2"/>
  <c r="R134" i="2"/>
  <c r="S134" i="2"/>
  <c r="T134" i="2"/>
  <c r="Y134" i="2"/>
  <c r="E135" i="2"/>
  <c r="F135" i="2"/>
  <c r="G135" i="2"/>
  <c r="I135" i="2"/>
  <c r="J135" i="2"/>
  <c r="K135" i="2"/>
  <c r="L135" i="2"/>
  <c r="N135" i="2"/>
  <c r="O135" i="2"/>
  <c r="Q135" i="2"/>
  <c r="R135" i="2"/>
  <c r="S135" i="2"/>
  <c r="T135" i="2"/>
  <c r="Y135" i="2"/>
  <c r="Y2732" i="2" s="1"/>
  <c r="E136" i="2"/>
  <c r="F136" i="2"/>
  <c r="G136" i="2"/>
  <c r="I136" i="2"/>
  <c r="J136" i="2"/>
  <c r="K136" i="2"/>
  <c r="L136" i="2"/>
  <c r="N136" i="2"/>
  <c r="O136" i="2"/>
  <c r="Q136" i="2"/>
  <c r="R136" i="2"/>
  <c r="S136" i="2"/>
  <c r="T136" i="2"/>
  <c r="Y136" i="2"/>
  <c r="F137" i="2"/>
  <c r="G137" i="2"/>
  <c r="I137" i="2"/>
  <c r="J137" i="2"/>
  <c r="K137" i="2"/>
  <c r="L137" i="2"/>
  <c r="N137" i="2"/>
  <c r="O137" i="2"/>
  <c r="Q137" i="2"/>
  <c r="R137" i="2"/>
  <c r="S137" i="2"/>
  <c r="T137" i="2"/>
  <c r="Y137" i="2"/>
  <c r="Y2734" i="2" s="1"/>
  <c r="E138" i="2"/>
  <c r="F138" i="2"/>
  <c r="G138" i="2"/>
  <c r="I138" i="2"/>
  <c r="J138" i="2"/>
  <c r="K138" i="2"/>
  <c r="L138" i="2"/>
  <c r="N138" i="2"/>
  <c r="O138" i="2"/>
  <c r="Q138" i="2"/>
  <c r="R138" i="2"/>
  <c r="S138" i="2"/>
  <c r="T138" i="2"/>
  <c r="Y138" i="2"/>
  <c r="E139" i="2"/>
  <c r="F139" i="2"/>
  <c r="G139" i="2"/>
  <c r="I139" i="2"/>
  <c r="J139" i="2"/>
  <c r="K139" i="2"/>
  <c r="L139" i="2"/>
  <c r="N139" i="2"/>
  <c r="O139" i="2"/>
  <c r="Q139" i="2"/>
  <c r="R139" i="2"/>
  <c r="S139" i="2"/>
  <c r="T139" i="2"/>
  <c r="V139" i="2"/>
  <c r="W139" i="2"/>
  <c r="Y139" i="2"/>
  <c r="Y2736" i="2" s="1"/>
  <c r="E140" i="2"/>
  <c r="F140" i="2"/>
  <c r="G140" i="2"/>
  <c r="I140" i="2"/>
  <c r="J140" i="2"/>
  <c r="K140" i="2"/>
  <c r="L140" i="2"/>
  <c r="N140" i="2"/>
  <c r="O140" i="2"/>
  <c r="Q140" i="2"/>
  <c r="R140" i="2"/>
  <c r="S140" i="2"/>
  <c r="T140" i="2"/>
  <c r="Y140" i="2"/>
  <c r="E145" i="2"/>
  <c r="F145" i="2"/>
  <c r="G145" i="2"/>
  <c r="I145" i="2"/>
  <c r="J145" i="2"/>
  <c r="K145" i="2"/>
  <c r="L145" i="2"/>
  <c r="N145" i="2"/>
  <c r="O145" i="2"/>
  <c r="Q145" i="2"/>
  <c r="R145" i="2"/>
  <c r="S145" i="2"/>
  <c r="T145" i="2"/>
  <c r="Y145" i="2"/>
  <c r="Y2742" i="2" s="1"/>
  <c r="E146" i="2"/>
  <c r="F146" i="2"/>
  <c r="G146" i="2"/>
  <c r="H146" i="2"/>
  <c r="I146" i="2"/>
  <c r="J146" i="2"/>
  <c r="K146" i="2"/>
  <c r="L146" i="2"/>
  <c r="M146" i="2"/>
  <c r="N146" i="2"/>
  <c r="O146" i="2"/>
  <c r="P146" i="2"/>
  <c r="Q146" i="2"/>
  <c r="R146" i="2"/>
  <c r="S146" i="2"/>
  <c r="T146" i="2"/>
  <c r="U146" i="2"/>
  <c r="V146" i="2"/>
  <c r="W146" i="2"/>
  <c r="X146" i="2"/>
  <c r="Y146" i="2"/>
  <c r="Z146" i="2"/>
  <c r="AA146" i="2"/>
  <c r="AB146" i="2"/>
  <c r="E147" i="2"/>
  <c r="F147" i="2"/>
  <c r="G147" i="2"/>
  <c r="I147" i="2"/>
  <c r="J147" i="2"/>
  <c r="K147" i="2"/>
  <c r="L147" i="2"/>
  <c r="N147" i="2"/>
  <c r="O147" i="2"/>
  <c r="Q147" i="2"/>
  <c r="R147" i="2"/>
  <c r="S147" i="2"/>
  <c r="T147" i="2"/>
  <c r="Y147" i="2"/>
  <c r="Y2744" i="2" s="1"/>
  <c r="E148" i="2"/>
  <c r="F148" i="2"/>
  <c r="G148" i="2"/>
  <c r="I148" i="2"/>
  <c r="J148" i="2"/>
  <c r="K148" i="2"/>
  <c r="L148" i="2"/>
  <c r="N148" i="2"/>
  <c r="O148" i="2"/>
  <c r="Q148" i="2"/>
  <c r="R148" i="2"/>
  <c r="S148" i="2"/>
  <c r="T148" i="2"/>
  <c r="Y148" i="2"/>
  <c r="E149" i="2"/>
  <c r="F149" i="2"/>
  <c r="G149" i="2"/>
  <c r="I149" i="2"/>
  <c r="J149" i="2"/>
  <c r="K149" i="2"/>
  <c r="L149" i="2"/>
  <c r="N149" i="2"/>
  <c r="O149" i="2"/>
  <c r="Q149" i="2"/>
  <c r="R149" i="2"/>
  <c r="S149" i="2"/>
  <c r="T149" i="2"/>
  <c r="Y149" i="2"/>
  <c r="Y2746" i="2" s="1"/>
  <c r="E150" i="2"/>
  <c r="G150" i="2"/>
  <c r="I150" i="2"/>
  <c r="J150" i="2"/>
  <c r="K150" i="2"/>
  <c r="L150" i="2"/>
  <c r="N150" i="2"/>
  <c r="O150" i="2"/>
  <c r="Q150" i="2"/>
  <c r="R150" i="2"/>
  <c r="S150" i="2"/>
  <c r="T150" i="2"/>
  <c r="Y150" i="2"/>
  <c r="E151" i="2"/>
  <c r="F151" i="2"/>
  <c r="G151" i="2"/>
  <c r="I151" i="2"/>
  <c r="J151" i="2"/>
  <c r="K151" i="2"/>
  <c r="L151" i="2"/>
  <c r="N151" i="2"/>
  <c r="O151" i="2"/>
  <c r="Q151" i="2"/>
  <c r="R151" i="2"/>
  <c r="S151" i="2"/>
  <c r="T151" i="2"/>
  <c r="Y151" i="2"/>
  <c r="E152" i="2"/>
  <c r="F152" i="2"/>
  <c r="G152" i="2"/>
  <c r="I152" i="2"/>
  <c r="J152" i="2"/>
  <c r="K152" i="2"/>
  <c r="L152" i="2"/>
  <c r="N152" i="2"/>
  <c r="O152" i="2"/>
  <c r="Q152" i="2"/>
  <c r="R152" i="2"/>
  <c r="S152" i="2"/>
  <c r="T152" i="2"/>
  <c r="Y152" i="2"/>
  <c r="Y2748" i="2" s="1"/>
  <c r="E153" i="2"/>
  <c r="F153" i="2"/>
  <c r="G153" i="2"/>
  <c r="I153" i="2"/>
  <c r="J153" i="2"/>
  <c r="K153" i="2"/>
  <c r="L153" i="2"/>
  <c r="N153" i="2"/>
  <c r="O153" i="2"/>
  <c r="Q153" i="2"/>
  <c r="R153" i="2"/>
  <c r="S153" i="2"/>
  <c r="T153" i="2"/>
  <c r="Y153" i="2"/>
  <c r="E154" i="2"/>
  <c r="F154" i="2"/>
  <c r="G154" i="2"/>
  <c r="I154" i="2"/>
  <c r="J154" i="2"/>
  <c r="K154" i="2"/>
  <c r="L154" i="2"/>
  <c r="N154" i="2"/>
  <c r="O154" i="2"/>
  <c r="Q154" i="2"/>
  <c r="R154" i="2"/>
  <c r="S154" i="2"/>
  <c r="T154" i="2"/>
  <c r="Y154" i="2"/>
  <c r="Y2750" i="2" s="1"/>
  <c r="E155" i="2"/>
  <c r="F155" i="2"/>
  <c r="G155" i="2"/>
  <c r="I155" i="2"/>
  <c r="J155" i="2"/>
  <c r="K155" i="2"/>
  <c r="L155" i="2"/>
  <c r="N155" i="2"/>
  <c r="O155" i="2"/>
  <c r="Q155" i="2"/>
  <c r="R155" i="2"/>
  <c r="S155" i="2"/>
  <c r="T155" i="2"/>
  <c r="Y155" i="2"/>
  <c r="E156" i="2"/>
  <c r="F156" i="2"/>
  <c r="G156" i="2"/>
  <c r="I156" i="2"/>
  <c r="J156" i="2"/>
  <c r="K156" i="2"/>
  <c r="L156" i="2"/>
  <c r="N156" i="2"/>
  <c r="O156" i="2"/>
  <c r="Q156" i="2"/>
  <c r="R156" i="2"/>
  <c r="S156" i="2"/>
  <c r="T156" i="2"/>
  <c r="Y156" i="2"/>
  <c r="E163" i="2"/>
  <c r="F163" i="2"/>
  <c r="G163" i="2"/>
  <c r="I163" i="2"/>
  <c r="J163" i="2"/>
  <c r="K163" i="2"/>
  <c r="L163" i="2"/>
  <c r="O163" i="2"/>
  <c r="Q163" i="2"/>
  <c r="R163" i="2"/>
  <c r="S163" i="2"/>
  <c r="T163" i="2"/>
  <c r="Y163" i="2"/>
  <c r="E164" i="2"/>
  <c r="F164" i="2"/>
  <c r="G164" i="2"/>
  <c r="I164" i="2"/>
  <c r="J164" i="2"/>
  <c r="K164" i="2"/>
  <c r="L164" i="2"/>
  <c r="N164" i="2"/>
  <c r="O164" i="2"/>
  <c r="Q164" i="2"/>
  <c r="R164" i="2"/>
  <c r="S164" i="2"/>
  <c r="T164" i="2"/>
  <c r="Y164" i="2"/>
  <c r="E165" i="2"/>
  <c r="F165" i="2"/>
  <c r="G165" i="2"/>
  <c r="I165" i="2"/>
  <c r="J165" i="2"/>
  <c r="K165" i="2"/>
  <c r="L165" i="2"/>
  <c r="N165" i="2"/>
  <c r="O165" i="2"/>
  <c r="Q165" i="2"/>
  <c r="R165" i="2"/>
  <c r="S165" i="2"/>
  <c r="T165" i="2"/>
  <c r="Y165" i="2"/>
  <c r="E166" i="2"/>
  <c r="F166" i="2"/>
  <c r="G166" i="2"/>
  <c r="I166" i="2"/>
  <c r="J166" i="2"/>
  <c r="K166" i="2"/>
  <c r="L166" i="2"/>
  <c r="N166" i="2"/>
  <c r="O166" i="2"/>
  <c r="Q166" i="2"/>
  <c r="R166" i="2"/>
  <c r="S166" i="2"/>
  <c r="T166" i="2"/>
  <c r="Y166" i="2"/>
  <c r="E167" i="2"/>
  <c r="F167" i="2"/>
  <c r="G167" i="2"/>
  <c r="I167" i="2"/>
  <c r="J167" i="2"/>
  <c r="K167" i="2"/>
  <c r="L167" i="2"/>
  <c r="N167" i="2"/>
  <c r="O167" i="2"/>
  <c r="Q167" i="2"/>
  <c r="R167" i="2"/>
  <c r="S167" i="2"/>
  <c r="T167" i="2"/>
  <c r="Y167" i="2"/>
  <c r="E168" i="2"/>
  <c r="F168" i="2"/>
  <c r="G168" i="2"/>
  <c r="I168" i="2"/>
  <c r="J168" i="2"/>
  <c r="K168" i="2"/>
  <c r="L168" i="2"/>
  <c r="N168" i="2"/>
  <c r="O168" i="2"/>
  <c r="Q168" i="2"/>
  <c r="R168" i="2"/>
  <c r="S168" i="2"/>
  <c r="T168" i="2"/>
  <c r="Y168" i="2"/>
  <c r="E169" i="2"/>
  <c r="F169" i="2"/>
  <c r="G169" i="2"/>
  <c r="I169" i="2"/>
  <c r="J169" i="2"/>
  <c r="K169" i="2"/>
  <c r="L169" i="2"/>
  <c r="N169" i="2"/>
  <c r="O169" i="2"/>
  <c r="Q169" i="2"/>
  <c r="R169" i="2"/>
  <c r="S169" i="2"/>
  <c r="T169" i="2"/>
  <c r="Y169" i="2"/>
  <c r="E170" i="2"/>
  <c r="F170" i="2"/>
  <c r="G170" i="2"/>
  <c r="I170" i="2"/>
  <c r="J170" i="2"/>
  <c r="K170" i="2"/>
  <c r="L170" i="2"/>
  <c r="N170" i="2"/>
  <c r="O170" i="2"/>
  <c r="Q170" i="2"/>
  <c r="R170" i="2"/>
  <c r="S170" i="2"/>
  <c r="T170" i="2"/>
  <c r="Y170" i="2"/>
  <c r="E171" i="2"/>
  <c r="F171" i="2"/>
  <c r="G171" i="2"/>
  <c r="I171" i="2"/>
  <c r="J171" i="2"/>
  <c r="K171" i="2"/>
  <c r="L171" i="2"/>
  <c r="N171" i="2"/>
  <c r="O171" i="2"/>
  <c r="Q171" i="2"/>
  <c r="R171" i="2"/>
  <c r="S171" i="2"/>
  <c r="T171" i="2"/>
  <c r="Y171" i="2"/>
  <c r="G172" i="2"/>
  <c r="I172" i="2"/>
  <c r="J172" i="2"/>
  <c r="K172" i="2"/>
  <c r="L172" i="2"/>
  <c r="N172" i="2"/>
  <c r="O172" i="2"/>
  <c r="Q172" i="2"/>
  <c r="R172" i="2"/>
  <c r="S172" i="2"/>
  <c r="T172" i="2"/>
  <c r="Y172" i="2"/>
  <c r="E173" i="2"/>
  <c r="F173" i="2"/>
  <c r="G173" i="2"/>
  <c r="I173" i="2"/>
  <c r="J173" i="2"/>
  <c r="K173" i="2"/>
  <c r="L173" i="2"/>
  <c r="N173" i="2"/>
  <c r="O173" i="2"/>
  <c r="Q173" i="2"/>
  <c r="R173" i="2"/>
  <c r="S173" i="2"/>
  <c r="T173" i="2"/>
  <c r="W173" i="2"/>
  <c r="Y173" i="2"/>
  <c r="G174" i="2"/>
  <c r="I174" i="2"/>
  <c r="J174" i="2"/>
  <c r="K174" i="2"/>
  <c r="L174" i="2"/>
  <c r="N174" i="2"/>
  <c r="O174" i="2"/>
  <c r="Q174" i="2"/>
  <c r="R174" i="2"/>
  <c r="S174" i="2"/>
  <c r="T174" i="2"/>
  <c r="Y174" i="2"/>
  <c r="E179" i="2"/>
  <c r="F179" i="2"/>
  <c r="G179" i="2"/>
  <c r="J179" i="2"/>
  <c r="L179" i="2"/>
  <c r="N179" i="2"/>
  <c r="O179" i="2"/>
  <c r="S179" i="2"/>
  <c r="T179" i="2"/>
  <c r="V179" i="2"/>
  <c r="W179" i="2"/>
  <c r="Y179" i="2"/>
  <c r="E180" i="2"/>
  <c r="F180" i="2"/>
  <c r="G180" i="2"/>
  <c r="J180" i="2"/>
  <c r="L180" i="2"/>
  <c r="N180" i="2"/>
  <c r="O180" i="2"/>
  <c r="S180" i="2"/>
  <c r="T180" i="2"/>
  <c r="V180" i="2"/>
  <c r="W180" i="2"/>
  <c r="Y180" i="2"/>
  <c r="E181" i="2"/>
  <c r="F181" i="2"/>
  <c r="G181" i="2"/>
  <c r="J181" i="2"/>
  <c r="L181" i="2"/>
  <c r="N181" i="2"/>
  <c r="O181" i="2"/>
  <c r="S181" i="2"/>
  <c r="T181" i="2"/>
  <c r="V181" i="2"/>
  <c r="W181" i="2"/>
  <c r="Y181" i="2"/>
  <c r="F182" i="2"/>
  <c r="G182" i="2"/>
  <c r="J182" i="2"/>
  <c r="L182" i="2"/>
  <c r="N182" i="2"/>
  <c r="O182" i="2"/>
  <c r="S182" i="2"/>
  <c r="T182" i="2"/>
  <c r="V182" i="2"/>
  <c r="W182" i="2"/>
  <c r="Y182" i="2"/>
  <c r="E183" i="2"/>
  <c r="F183" i="2"/>
  <c r="G183" i="2"/>
  <c r="J183" i="2"/>
  <c r="L183" i="2"/>
  <c r="N183" i="2"/>
  <c r="O183" i="2"/>
  <c r="S183" i="2"/>
  <c r="T183" i="2"/>
  <c r="V183" i="2"/>
  <c r="W183" i="2"/>
  <c r="Y183" i="2"/>
  <c r="E184" i="2"/>
  <c r="F184" i="2"/>
  <c r="G184" i="2"/>
  <c r="J184" i="2"/>
  <c r="L184" i="2"/>
  <c r="N184" i="2"/>
  <c r="O184" i="2"/>
  <c r="S184" i="2"/>
  <c r="T184" i="2"/>
  <c r="V184" i="2"/>
  <c r="W184" i="2"/>
  <c r="Y184" i="2"/>
  <c r="E185" i="2"/>
  <c r="F185" i="2"/>
  <c r="G185" i="2"/>
  <c r="J185" i="2"/>
  <c r="L185" i="2"/>
  <c r="N185" i="2"/>
  <c r="O185" i="2"/>
  <c r="S185" i="2"/>
  <c r="T185" i="2"/>
  <c r="V185" i="2"/>
  <c r="W185" i="2"/>
  <c r="Y185" i="2"/>
  <c r="E186" i="2"/>
  <c r="G186" i="2"/>
  <c r="J186" i="2"/>
  <c r="L186" i="2"/>
  <c r="N186" i="2"/>
  <c r="O186" i="2"/>
  <c r="S186" i="2"/>
  <c r="T186" i="2"/>
  <c r="V186" i="2"/>
  <c r="W186" i="2"/>
  <c r="Y186" i="2"/>
  <c r="E187" i="2"/>
  <c r="F187" i="2"/>
  <c r="G187" i="2"/>
  <c r="J187" i="2"/>
  <c r="L187" i="2"/>
  <c r="N187" i="2"/>
  <c r="O187" i="2"/>
  <c r="S187" i="2"/>
  <c r="T187" i="2"/>
  <c r="V187" i="2"/>
  <c r="W187" i="2"/>
  <c r="Y187" i="2"/>
  <c r="E188" i="2"/>
  <c r="F188" i="2"/>
  <c r="G188" i="2"/>
  <c r="J188" i="2"/>
  <c r="L188" i="2"/>
  <c r="N188" i="2"/>
  <c r="O188" i="2"/>
  <c r="S188" i="2"/>
  <c r="T188" i="2"/>
  <c r="V188" i="2"/>
  <c r="W188" i="2"/>
  <c r="Y188" i="2"/>
  <c r="E189" i="2"/>
  <c r="F189" i="2"/>
  <c r="G189" i="2"/>
  <c r="J189" i="2"/>
  <c r="L189" i="2"/>
  <c r="N189" i="2"/>
  <c r="O189" i="2"/>
  <c r="S189" i="2"/>
  <c r="T189" i="2"/>
  <c r="V189" i="2"/>
  <c r="W189" i="2"/>
  <c r="Y189" i="2"/>
  <c r="G190" i="2"/>
  <c r="J190" i="2"/>
  <c r="L190" i="2"/>
  <c r="N190" i="2"/>
  <c r="O190" i="2"/>
  <c r="S190" i="2"/>
  <c r="T190" i="2"/>
  <c r="V190" i="2"/>
  <c r="W190" i="2"/>
  <c r="Y190" i="2"/>
  <c r="E191" i="2"/>
  <c r="F191" i="2"/>
  <c r="G191" i="2"/>
  <c r="J191" i="2"/>
  <c r="L191" i="2"/>
  <c r="N191" i="2"/>
  <c r="O191" i="2"/>
  <c r="S191" i="2"/>
  <c r="T191" i="2"/>
  <c r="V191" i="2"/>
  <c r="W191" i="2"/>
  <c r="Y191" i="2"/>
  <c r="E192" i="2"/>
  <c r="F192" i="2"/>
  <c r="G192" i="2"/>
  <c r="J192" i="2"/>
  <c r="L192" i="2"/>
  <c r="N192" i="2"/>
  <c r="O192" i="2"/>
  <c r="S192" i="2"/>
  <c r="T192" i="2"/>
  <c r="V192" i="2"/>
  <c r="W192" i="2"/>
  <c r="Y192" i="2"/>
  <c r="F193" i="2"/>
  <c r="G193" i="2"/>
  <c r="I193" i="2"/>
  <c r="J193" i="2"/>
  <c r="K193" i="2"/>
  <c r="L193" i="2"/>
  <c r="N193" i="2"/>
  <c r="O193" i="2"/>
  <c r="Q193" i="2"/>
  <c r="R193" i="2"/>
  <c r="S193" i="2"/>
  <c r="T193" i="2"/>
  <c r="V193" i="2"/>
  <c r="W193" i="2"/>
  <c r="Y193" i="2"/>
  <c r="F194" i="2"/>
  <c r="G194" i="2"/>
  <c r="J194" i="2"/>
  <c r="L194" i="2"/>
  <c r="N194" i="2"/>
  <c r="O194" i="2"/>
  <c r="S194" i="2"/>
  <c r="T194" i="2"/>
  <c r="V194" i="2"/>
  <c r="W194" i="2"/>
  <c r="Y194" i="2"/>
  <c r="F195" i="2"/>
  <c r="G195" i="2"/>
  <c r="J195" i="2"/>
  <c r="L195" i="2"/>
  <c r="N195" i="2"/>
  <c r="O195" i="2"/>
  <c r="S195" i="2"/>
  <c r="T195" i="2"/>
  <c r="V195" i="2"/>
  <c r="W195" i="2"/>
  <c r="Y195" i="2"/>
  <c r="E196" i="2"/>
  <c r="F196" i="2"/>
  <c r="G196" i="2"/>
  <c r="J196" i="2"/>
  <c r="L196" i="2"/>
  <c r="N196" i="2"/>
  <c r="O196" i="2"/>
  <c r="S196" i="2"/>
  <c r="T196" i="2"/>
  <c r="V196" i="2"/>
  <c r="W196" i="2"/>
  <c r="Y196" i="2"/>
  <c r="G197" i="2"/>
  <c r="J197" i="2"/>
  <c r="L197" i="2"/>
  <c r="N197" i="2"/>
  <c r="O197" i="2"/>
  <c r="S197" i="2"/>
  <c r="T197" i="2"/>
  <c r="V197" i="2"/>
  <c r="W197" i="2"/>
  <c r="Y197" i="2"/>
  <c r="E202" i="2"/>
  <c r="F202" i="2"/>
  <c r="G202" i="2"/>
  <c r="J202" i="2"/>
  <c r="L202" i="2"/>
  <c r="N202" i="2"/>
  <c r="O202" i="2"/>
  <c r="S202" i="2"/>
  <c r="T202" i="2"/>
  <c r="V202" i="2"/>
  <c r="W202" i="2"/>
  <c r="Y202" i="2"/>
  <c r="E203" i="2"/>
  <c r="F203" i="2"/>
  <c r="G203" i="2"/>
  <c r="J203" i="2"/>
  <c r="L203" i="2"/>
  <c r="N203" i="2"/>
  <c r="O203" i="2"/>
  <c r="S203" i="2"/>
  <c r="T203" i="2"/>
  <c r="V203" i="2"/>
  <c r="W203" i="2"/>
  <c r="Y203" i="2"/>
  <c r="E204" i="2"/>
  <c r="F204" i="2"/>
  <c r="G204" i="2"/>
  <c r="J204" i="2"/>
  <c r="L204" i="2"/>
  <c r="N204" i="2"/>
  <c r="O204" i="2"/>
  <c r="S204" i="2"/>
  <c r="T204" i="2"/>
  <c r="V204" i="2"/>
  <c r="W204" i="2"/>
  <c r="Y204" i="2"/>
  <c r="F205" i="2"/>
  <c r="G205" i="2"/>
  <c r="J205" i="2"/>
  <c r="L205" i="2"/>
  <c r="N205" i="2"/>
  <c r="O205" i="2"/>
  <c r="S205" i="2"/>
  <c r="T205" i="2"/>
  <c r="V205" i="2"/>
  <c r="W205" i="2"/>
  <c r="Y205" i="2"/>
  <c r="F206" i="2"/>
  <c r="G206" i="2"/>
  <c r="J206" i="2"/>
  <c r="L206" i="2"/>
  <c r="N206" i="2"/>
  <c r="O206" i="2"/>
  <c r="S206" i="2"/>
  <c r="T206" i="2"/>
  <c r="V206" i="2"/>
  <c r="W206" i="2"/>
  <c r="Y206" i="2"/>
  <c r="E207" i="2"/>
  <c r="F207" i="2"/>
  <c r="G207" i="2"/>
  <c r="J207" i="2"/>
  <c r="L207" i="2"/>
  <c r="N207" i="2"/>
  <c r="O207" i="2"/>
  <c r="S207" i="2"/>
  <c r="T207" i="2"/>
  <c r="V207" i="2"/>
  <c r="W207" i="2"/>
  <c r="Y207" i="2"/>
  <c r="E208" i="2"/>
  <c r="F208" i="2"/>
  <c r="G208" i="2"/>
  <c r="J208" i="2"/>
  <c r="L208" i="2"/>
  <c r="N208" i="2"/>
  <c r="O208" i="2"/>
  <c r="S208" i="2"/>
  <c r="T208" i="2"/>
  <c r="V208" i="2"/>
  <c r="W208" i="2"/>
  <c r="Y208" i="2"/>
  <c r="E209" i="2"/>
  <c r="F209" i="2"/>
  <c r="G209" i="2"/>
  <c r="J209" i="2"/>
  <c r="L209" i="2"/>
  <c r="N209" i="2"/>
  <c r="O209" i="2"/>
  <c r="S209" i="2"/>
  <c r="T209" i="2"/>
  <c r="V209" i="2"/>
  <c r="W209" i="2"/>
  <c r="Y209" i="2"/>
  <c r="E210" i="2"/>
  <c r="F210" i="2"/>
  <c r="G210" i="2"/>
  <c r="J210" i="2"/>
  <c r="L210" i="2"/>
  <c r="N210" i="2"/>
  <c r="O210" i="2"/>
  <c r="S210" i="2"/>
  <c r="T210" i="2"/>
  <c r="V210" i="2"/>
  <c r="W210" i="2"/>
  <c r="Y210" i="2"/>
  <c r="E211" i="2"/>
  <c r="F211" i="2"/>
  <c r="G211" i="2"/>
  <c r="J211" i="2"/>
  <c r="L211" i="2"/>
  <c r="N211" i="2"/>
  <c r="O211" i="2"/>
  <c r="S211" i="2"/>
  <c r="T211" i="2"/>
  <c r="V211" i="2"/>
  <c r="W211" i="2"/>
  <c r="Y211" i="2"/>
  <c r="E212" i="2"/>
  <c r="F212" i="2"/>
  <c r="G212" i="2"/>
  <c r="J212" i="2"/>
  <c r="L212" i="2"/>
  <c r="N212" i="2"/>
  <c r="O212" i="2"/>
  <c r="S212" i="2"/>
  <c r="T212" i="2"/>
  <c r="V212" i="2"/>
  <c r="W212" i="2"/>
  <c r="Y212" i="2"/>
  <c r="F213" i="2"/>
  <c r="G213" i="2"/>
  <c r="L213" i="2"/>
  <c r="N213" i="2"/>
  <c r="O213" i="2"/>
  <c r="S213" i="2"/>
  <c r="T213" i="2"/>
  <c r="V213" i="2"/>
  <c r="W213" i="2"/>
  <c r="Y213" i="2"/>
  <c r="E214" i="2"/>
  <c r="F214" i="2"/>
  <c r="G214" i="2"/>
  <c r="J214" i="2"/>
  <c r="L214" i="2"/>
  <c r="N214" i="2"/>
  <c r="O214" i="2"/>
  <c r="S214" i="2"/>
  <c r="T214" i="2"/>
  <c r="V214" i="2"/>
  <c r="W214" i="2"/>
  <c r="Y214" i="2"/>
  <c r="F215" i="2"/>
  <c r="G215" i="2"/>
  <c r="J215" i="2"/>
  <c r="L215" i="2"/>
  <c r="N215" i="2"/>
  <c r="O215" i="2"/>
  <c r="S215" i="2"/>
  <c r="T215" i="2"/>
  <c r="V215" i="2"/>
  <c r="W215" i="2"/>
  <c r="Y215" i="2"/>
  <c r="F216" i="2"/>
  <c r="G216" i="2"/>
  <c r="J216" i="2"/>
  <c r="L216" i="2"/>
  <c r="N216" i="2"/>
  <c r="O216" i="2"/>
  <c r="S216" i="2"/>
  <c r="T216" i="2"/>
  <c r="V216" i="2"/>
  <c r="W216" i="2"/>
  <c r="Y216" i="2"/>
  <c r="F217" i="2"/>
  <c r="G217" i="2"/>
  <c r="J217" i="2"/>
  <c r="L217" i="2"/>
  <c r="N217" i="2"/>
  <c r="O217" i="2"/>
  <c r="S217" i="2"/>
  <c r="T217" i="2"/>
  <c r="V217" i="2"/>
  <c r="W217" i="2"/>
  <c r="Y217" i="2"/>
  <c r="G218" i="2"/>
  <c r="I218" i="2"/>
  <c r="J218" i="2"/>
  <c r="K218" i="2"/>
  <c r="L218" i="2"/>
  <c r="N218" i="2"/>
  <c r="O218" i="2"/>
  <c r="Q218" i="2"/>
  <c r="R218" i="2"/>
  <c r="S218" i="2"/>
  <c r="T218" i="2"/>
  <c r="V218" i="2"/>
  <c r="W218" i="2"/>
  <c r="Y218" i="2"/>
  <c r="E219" i="2"/>
  <c r="F219" i="2"/>
  <c r="G219" i="2"/>
  <c r="J219" i="2"/>
  <c r="L219" i="2"/>
  <c r="N219" i="2"/>
  <c r="O219" i="2"/>
  <c r="S219" i="2"/>
  <c r="T219" i="2"/>
  <c r="V219" i="2"/>
  <c r="W219" i="2"/>
  <c r="Y219" i="2"/>
  <c r="E220" i="2"/>
  <c r="F220" i="2"/>
  <c r="G220" i="2"/>
  <c r="J220" i="2"/>
  <c r="L220" i="2"/>
  <c r="N220" i="2"/>
  <c r="O220" i="2"/>
  <c r="S220" i="2"/>
  <c r="T220" i="2"/>
  <c r="V220" i="2"/>
  <c r="W220" i="2"/>
  <c r="Y220" i="2"/>
  <c r="E221" i="2"/>
  <c r="F221" i="2"/>
  <c r="G221" i="2"/>
  <c r="J221" i="2"/>
  <c r="L221" i="2"/>
  <c r="N221" i="2"/>
  <c r="O221" i="2"/>
  <c r="S221" i="2"/>
  <c r="T221" i="2"/>
  <c r="V221" i="2"/>
  <c r="W221" i="2"/>
  <c r="Y221" i="2"/>
  <c r="F222" i="2"/>
  <c r="G222" i="2"/>
  <c r="J222" i="2"/>
  <c r="L222" i="2"/>
  <c r="N222" i="2"/>
  <c r="O222" i="2"/>
  <c r="S222" i="2"/>
  <c r="T222" i="2"/>
  <c r="V222" i="2"/>
  <c r="W222" i="2"/>
  <c r="Y222" i="2"/>
  <c r="E232" i="2"/>
  <c r="G232" i="2"/>
  <c r="I232" i="2"/>
  <c r="L232" i="2"/>
  <c r="N232" i="2"/>
  <c r="O232" i="2"/>
  <c r="R232" i="2"/>
  <c r="S232" i="2"/>
  <c r="T232" i="2"/>
  <c r="V232" i="2"/>
  <c r="W232" i="2"/>
  <c r="Y232" i="2"/>
  <c r="F233" i="2"/>
  <c r="G233" i="2"/>
  <c r="I233" i="2"/>
  <c r="K233" i="2"/>
  <c r="L233" i="2"/>
  <c r="N233" i="2"/>
  <c r="O233" i="2"/>
  <c r="R233" i="2"/>
  <c r="S233" i="2"/>
  <c r="T233" i="2"/>
  <c r="V233" i="2"/>
  <c r="W233" i="2"/>
  <c r="Y233" i="2"/>
  <c r="E234" i="2"/>
  <c r="F234" i="2"/>
  <c r="G234" i="2"/>
  <c r="I234" i="2"/>
  <c r="K234" i="2"/>
  <c r="L234" i="2"/>
  <c r="N234" i="2"/>
  <c r="O234" i="2"/>
  <c r="R234" i="2"/>
  <c r="S234" i="2"/>
  <c r="T234" i="2"/>
  <c r="V234" i="2"/>
  <c r="W234" i="2"/>
  <c r="Y234" i="2"/>
  <c r="F235" i="2"/>
  <c r="G235" i="2"/>
  <c r="I235" i="2"/>
  <c r="K235" i="2"/>
  <c r="L235" i="2"/>
  <c r="N235" i="2"/>
  <c r="O235" i="2"/>
  <c r="R235" i="2"/>
  <c r="S235" i="2"/>
  <c r="T235" i="2"/>
  <c r="V235" i="2"/>
  <c r="W235" i="2"/>
  <c r="Y235" i="2"/>
  <c r="E236" i="2"/>
  <c r="F236" i="2"/>
  <c r="G236" i="2"/>
  <c r="I236" i="2"/>
  <c r="L236" i="2"/>
  <c r="N236" i="2"/>
  <c r="O236" i="2"/>
  <c r="R236" i="2"/>
  <c r="S236" i="2"/>
  <c r="T236" i="2"/>
  <c r="V236" i="2"/>
  <c r="W236" i="2"/>
  <c r="Y236" i="2"/>
  <c r="E237" i="2"/>
  <c r="F237" i="2"/>
  <c r="G237" i="2"/>
  <c r="I237" i="2"/>
  <c r="K237" i="2"/>
  <c r="L237" i="2"/>
  <c r="N237" i="2"/>
  <c r="O237" i="2"/>
  <c r="R237" i="2"/>
  <c r="S237" i="2"/>
  <c r="T237" i="2"/>
  <c r="V237" i="2"/>
  <c r="W237" i="2"/>
  <c r="Y237" i="2"/>
  <c r="F238" i="2"/>
  <c r="G238" i="2"/>
  <c r="I238" i="2"/>
  <c r="K238" i="2"/>
  <c r="L238" i="2"/>
  <c r="N238" i="2"/>
  <c r="O238" i="2"/>
  <c r="R238" i="2"/>
  <c r="S238" i="2"/>
  <c r="T238" i="2"/>
  <c r="V238" i="2"/>
  <c r="W238" i="2"/>
  <c r="Y238" i="2"/>
  <c r="E239" i="2"/>
  <c r="F239" i="2"/>
  <c r="G239" i="2"/>
  <c r="I239" i="2"/>
  <c r="K239" i="2"/>
  <c r="L239" i="2"/>
  <c r="N239" i="2"/>
  <c r="O239" i="2"/>
  <c r="R239" i="2"/>
  <c r="S239" i="2"/>
  <c r="T239" i="2"/>
  <c r="V239" i="2"/>
  <c r="W239" i="2"/>
  <c r="Y239" i="2"/>
  <c r="G240" i="2"/>
  <c r="I240" i="2"/>
  <c r="K240" i="2"/>
  <c r="L240" i="2"/>
  <c r="N240" i="2"/>
  <c r="O240" i="2"/>
  <c r="R240" i="2"/>
  <c r="S240" i="2"/>
  <c r="T240" i="2"/>
  <c r="V240" i="2"/>
  <c r="W240" i="2"/>
  <c r="Y240" i="2"/>
  <c r="F241" i="2"/>
  <c r="G241" i="2"/>
  <c r="I241" i="2"/>
  <c r="K241" i="2"/>
  <c r="L241" i="2"/>
  <c r="N241" i="2"/>
  <c r="O241" i="2"/>
  <c r="R241" i="2"/>
  <c r="S241" i="2"/>
  <c r="T241" i="2"/>
  <c r="V241" i="2"/>
  <c r="W241" i="2"/>
  <c r="Y241" i="2"/>
  <c r="G242" i="2"/>
  <c r="I242" i="2"/>
  <c r="K242" i="2"/>
  <c r="L242" i="2"/>
  <c r="N242" i="2"/>
  <c r="O242" i="2"/>
  <c r="R242" i="2"/>
  <c r="S242" i="2"/>
  <c r="T242" i="2"/>
  <c r="V242" i="2"/>
  <c r="W242" i="2"/>
  <c r="Y242" i="2"/>
  <c r="E243" i="2"/>
  <c r="F243" i="2"/>
  <c r="G243" i="2"/>
  <c r="I243" i="2"/>
  <c r="K243" i="2"/>
  <c r="L243" i="2"/>
  <c r="N243" i="2"/>
  <c r="O243" i="2"/>
  <c r="R243" i="2"/>
  <c r="S243" i="2"/>
  <c r="T243" i="2"/>
  <c r="V243" i="2"/>
  <c r="W243" i="2"/>
  <c r="Y243" i="2"/>
  <c r="E244" i="2"/>
  <c r="F244" i="2"/>
  <c r="G244" i="2"/>
  <c r="I244" i="2"/>
  <c r="K244" i="2"/>
  <c r="L244" i="2"/>
  <c r="N244" i="2"/>
  <c r="O244" i="2"/>
  <c r="R244" i="2"/>
  <c r="S244" i="2"/>
  <c r="T244" i="2"/>
  <c r="V244" i="2"/>
  <c r="W244" i="2"/>
  <c r="Y244" i="2"/>
  <c r="E245" i="2"/>
  <c r="F245" i="2"/>
  <c r="G245" i="2"/>
  <c r="I245" i="2"/>
  <c r="K245" i="2"/>
  <c r="L245" i="2"/>
  <c r="N245" i="2"/>
  <c r="O245" i="2"/>
  <c r="R245" i="2"/>
  <c r="S245" i="2"/>
  <c r="T245" i="2"/>
  <c r="V245" i="2"/>
  <c r="W245" i="2"/>
  <c r="Y245" i="2"/>
  <c r="E246" i="2"/>
  <c r="F246" i="2"/>
  <c r="G246" i="2"/>
  <c r="I246" i="2"/>
  <c r="K246" i="2"/>
  <c r="L246" i="2"/>
  <c r="N246" i="2"/>
  <c r="O246" i="2"/>
  <c r="R246" i="2"/>
  <c r="S246" i="2"/>
  <c r="T246" i="2"/>
  <c r="V246" i="2"/>
  <c r="W246" i="2"/>
  <c r="Y246" i="2"/>
  <c r="E247" i="2"/>
  <c r="F247" i="2"/>
  <c r="G247" i="2"/>
  <c r="I247" i="2"/>
  <c r="J247" i="2"/>
  <c r="K247" i="2"/>
  <c r="L247" i="2"/>
  <c r="N247" i="2"/>
  <c r="O247" i="2"/>
  <c r="Q247" i="2"/>
  <c r="R247" i="2"/>
  <c r="S247" i="2"/>
  <c r="T247" i="2"/>
  <c r="V247" i="2"/>
  <c r="W247" i="2"/>
  <c r="Y247" i="2"/>
  <c r="E248" i="2"/>
  <c r="F248" i="2"/>
  <c r="G248" i="2"/>
  <c r="I248" i="2"/>
  <c r="K248" i="2"/>
  <c r="L248" i="2"/>
  <c r="N248" i="2"/>
  <c r="O248" i="2"/>
  <c r="R248" i="2"/>
  <c r="S248" i="2"/>
  <c r="T248" i="2"/>
  <c r="V248" i="2"/>
  <c r="W248" i="2"/>
  <c r="Y248" i="2"/>
  <c r="F253" i="2"/>
  <c r="G253" i="2"/>
  <c r="I253" i="2"/>
  <c r="L253" i="2"/>
  <c r="N253" i="2"/>
  <c r="O253" i="2"/>
  <c r="Q253" i="2"/>
  <c r="R253" i="2"/>
  <c r="S253" i="2"/>
  <c r="T253" i="2"/>
  <c r="V253" i="2"/>
  <c r="W253" i="2"/>
  <c r="Y253" i="2"/>
  <c r="F254" i="2"/>
  <c r="G254" i="2"/>
  <c r="I254" i="2"/>
  <c r="K254" i="2"/>
  <c r="L254" i="2"/>
  <c r="N254" i="2"/>
  <c r="O254" i="2"/>
  <c r="Q254" i="2"/>
  <c r="R254" i="2"/>
  <c r="S254" i="2"/>
  <c r="T254" i="2"/>
  <c r="V254" i="2"/>
  <c r="W254" i="2"/>
  <c r="Y254" i="2"/>
  <c r="E255" i="2"/>
  <c r="F255" i="2"/>
  <c r="G255" i="2"/>
  <c r="I255" i="2"/>
  <c r="K255" i="2"/>
  <c r="L255" i="2"/>
  <c r="N255" i="2"/>
  <c r="O255" i="2"/>
  <c r="Q255" i="2"/>
  <c r="R255" i="2"/>
  <c r="S255" i="2"/>
  <c r="T255" i="2"/>
  <c r="V255" i="2"/>
  <c r="W255" i="2"/>
  <c r="Y255" i="2"/>
  <c r="F256" i="2"/>
  <c r="G256" i="2"/>
  <c r="I256" i="2"/>
  <c r="K256" i="2"/>
  <c r="L256" i="2"/>
  <c r="N256" i="2"/>
  <c r="O256" i="2"/>
  <c r="Q256" i="2"/>
  <c r="R256" i="2"/>
  <c r="S256" i="2"/>
  <c r="T256" i="2"/>
  <c r="V256" i="2"/>
  <c r="W256" i="2"/>
  <c r="Y256" i="2"/>
  <c r="F257" i="2"/>
  <c r="G257" i="2"/>
  <c r="I257" i="2"/>
  <c r="K257" i="2"/>
  <c r="L257" i="2"/>
  <c r="N257" i="2"/>
  <c r="O257" i="2"/>
  <c r="Q257" i="2"/>
  <c r="R257" i="2"/>
  <c r="S257" i="2"/>
  <c r="T257" i="2"/>
  <c r="V257" i="2"/>
  <c r="W257" i="2"/>
  <c r="Y257" i="2"/>
  <c r="E258" i="2"/>
  <c r="F258" i="2"/>
  <c r="G258" i="2"/>
  <c r="I258" i="2"/>
  <c r="K258" i="2"/>
  <c r="L258" i="2"/>
  <c r="N258" i="2"/>
  <c r="O258" i="2"/>
  <c r="Q258" i="2"/>
  <c r="R258" i="2"/>
  <c r="S258" i="2"/>
  <c r="T258" i="2"/>
  <c r="V258" i="2"/>
  <c r="W258" i="2"/>
  <c r="Y258" i="2"/>
  <c r="G259" i="2"/>
  <c r="I259" i="2"/>
  <c r="K259" i="2"/>
  <c r="L259" i="2"/>
  <c r="N259" i="2"/>
  <c r="O259" i="2"/>
  <c r="Q259" i="2"/>
  <c r="R259" i="2"/>
  <c r="S259" i="2"/>
  <c r="T259" i="2"/>
  <c r="V259" i="2"/>
  <c r="W259" i="2"/>
  <c r="Y259" i="2"/>
  <c r="F260" i="2"/>
  <c r="G260" i="2"/>
  <c r="I260" i="2"/>
  <c r="K260" i="2"/>
  <c r="L260" i="2"/>
  <c r="N260" i="2"/>
  <c r="O260" i="2"/>
  <c r="Q260" i="2"/>
  <c r="R260" i="2"/>
  <c r="S260" i="2"/>
  <c r="T260" i="2"/>
  <c r="V260" i="2"/>
  <c r="W260" i="2"/>
  <c r="Y260" i="2"/>
  <c r="E261" i="2"/>
  <c r="F261" i="2"/>
  <c r="G261" i="2"/>
  <c r="I261" i="2"/>
  <c r="K261" i="2"/>
  <c r="L261" i="2"/>
  <c r="N261" i="2"/>
  <c r="O261" i="2"/>
  <c r="Q261" i="2"/>
  <c r="R261" i="2"/>
  <c r="S261" i="2"/>
  <c r="T261" i="2"/>
  <c r="V261" i="2"/>
  <c r="W261" i="2"/>
  <c r="Y261" i="2"/>
  <c r="E262" i="2"/>
  <c r="F262" i="2"/>
  <c r="G262" i="2"/>
  <c r="I262" i="2"/>
  <c r="K262" i="2"/>
  <c r="L262" i="2"/>
  <c r="N262" i="2"/>
  <c r="O262" i="2"/>
  <c r="Q262" i="2"/>
  <c r="R262" i="2"/>
  <c r="S262" i="2"/>
  <c r="T262" i="2"/>
  <c r="V262" i="2"/>
  <c r="W262" i="2"/>
  <c r="Y262" i="2"/>
  <c r="E263" i="2"/>
  <c r="F263" i="2"/>
  <c r="G263" i="2"/>
  <c r="I263" i="2"/>
  <c r="K263" i="2"/>
  <c r="L263" i="2"/>
  <c r="N263" i="2"/>
  <c r="O263" i="2"/>
  <c r="Q263" i="2"/>
  <c r="R263" i="2"/>
  <c r="S263" i="2"/>
  <c r="T263" i="2"/>
  <c r="V263" i="2"/>
  <c r="W263" i="2"/>
  <c r="Y263" i="2"/>
  <c r="E264" i="2"/>
  <c r="F264" i="2"/>
  <c r="G264" i="2"/>
  <c r="I264" i="2"/>
  <c r="L264" i="2"/>
  <c r="N264" i="2"/>
  <c r="O264" i="2"/>
  <c r="Q264" i="2"/>
  <c r="R264" i="2"/>
  <c r="S264" i="2"/>
  <c r="T264" i="2"/>
  <c r="V264" i="2"/>
  <c r="W264" i="2"/>
  <c r="Y264" i="2"/>
  <c r="E265" i="2"/>
  <c r="F265" i="2"/>
  <c r="G265" i="2"/>
  <c r="I265" i="2"/>
  <c r="K265" i="2"/>
  <c r="L265" i="2"/>
  <c r="N265" i="2"/>
  <c r="O265" i="2"/>
  <c r="Q265" i="2"/>
  <c r="R265" i="2"/>
  <c r="S265" i="2"/>
  <c r="T265" i="2"/>
  <c r="V265" i="2"/>
  <c r="W265" i="2"/>
  <c r="Y265" i="2"/>
  <c r="E266" i="2"/>
  <c r="F266" i="2"/>
  <c r="G266" i="2"/>
  <c r="I266" i="2"/>
  <c r="K266" i="2"/>
  <c r="L266" i="2"/>
  <c r="N266" i="2"/>
  <c r="O266" i="2"/>
  <c r="Q266" i="2"/>
  <c r="R266" i="2"/>
  <c r="S266" i="2"/>
  <c r="T266" i="2"/>
  <c r="V266" i="2"/>
  <c r="W266" i="2"/>
  <c r="Y266" i="2"/>
  <c r="E271" i="2"/>
  <c r="F271" i="2"/>
  <c r="G271" i="2"/>
  <c r="I271" i="2"/>
  <c r="K271" i="2"/>
  <c r="L271" i="2"/>
  <c r="N271" i="2"/>
  <c r="O271" i="2"/>
  <c r="Q271" i="2"/>
  <c r="R271" i="2"/>
  <c r="S271" i="2"/>
  <c r="T271" i="2"/>
  <c r="V271" i="2"/>
  <c r="W271" i="2"/>
  <c r="Y271" i="2"/>
  <c r="E272" i="2"/>
  <c r="F272" i="2"/>
  <c r="G272" i="2"/>
  <c r="I272" i="2"/>
  <c r="K272" i="2"/>
  <c r="L272" i="2"/>
  <c r="N272" i="2"/>
  <c r="O272" i="2"/>
  <c r="Q272" i="2"/>
  <c r="R272" i="2"/>
  <c r="S272" i="2"/>
  <c r="T272" i="2"/>
  <c r="V272" i="2"/>
  <c r="W272" i="2"/>
  <c r="Y272" i="2"/>
  <c r="F273" i="2"/>
  <c r="G273" i="2"/>
  <c r="I273" i="2"/>
  <c r="K273" i="2"/>
  <c r="L273" i="2"/>
  <c r="N273" i="2"/>
  <c r="O273" i="2"/>
  <c r="Q273" i="2"/>
  <c r="R273" i="2"/>
  <c r="S273" i="2"/>
  <c r="T273" i="2"/>
  <c r="V273" i="2"/>
  <c r="W273" i="2"/>
  <c r="Y273" i="2"/>
  <c r="F274" i="2"/>
  <c r="G274" i="2"/>
  <c r="I274" i="2"/>
  <c r="K274" i="2"/>
  <c r="L274" i="2"/>
  <c r="N274" i="2"/>
  <c r="O274" i="2"/>
  <c r="Q274" i="2"/>
  <c r="R274" i="2"/>
  <c r="S274" i="2"/>
  <c r="T274" i="2"/>
  <c r="V274" i="2"/>
  <c r="W274" i="2"/>
  <c r="Y274" i="2"/>
  <c r="F275" i="2"/>
  <c r="G275" i="2"/>
  <c r="I275" i="2"/>
  <c r="K275" i="2"/>
  <c r="L275" i="2"/>
  <c r="N275" i="2"/>
  <c r="O275" i="2"/>
  <c r="Q275" i="2"/>
  <c r="R275" i="2"/>
  <c r="S275" i="2"/>
  <c r="T275" i="2"/>
  <c r="V275" i="2"/>
  <c r="W275" i="2"/>
  <c r="Y275" i="2"/>
  <c r="F276" i="2"/>
  <c r="G276" i="2"/>
  <c r="I276" i="2"/>
  <c r="L276" i="2"/>
  <c r="N276" i="2"/>
  <c r="O276" i="2"/>
  <c r="Q276" i="2"/>
  <c r="R276" i="2"/>
  <c r="S276" i="2"/>
  <c r="T276" i="2"/>
  <c r="V276" i="2"/>
  <c r="W276" i="2"/>
  <c r="Y276" i="2"/>
  <c r="F277" i="2"/>
  <c r="G277" i="2"/>
  <c r="I277" i="2"/>
  <c r="K277" i="2"/>
  <c r="L277" i="2"/>
  <c r="N277" i="2"/>
  <c r="O277" i="2"/>
  <c r="Q277" i="2"/>
  <c r="R277" i="2"/>
  <c r="S277" i="2"/>
  <c r="T277" i="2"/>
  <c r="V277" i="2"/>
  <c r="W277" i="2"/>
  <c r="Y277" i="2"/>
  <c r="E278" i="2"/>
  <c r="G278" i="2"/>
  <c r="I278" i="2"/>
  <c r="L278" i="2"/>
  <c r="N278" i="2"/>
  <c r="O278" i="2"/>
  <c r="Q278" i="2"/>
  <c r="R278" i="2"/>
  <c r="S278" i="2"/>
  <c r="T278" i="2"/>
  <c r="V278" i="2"/>
  <c r="W278" i="2"/>
  <c r="Y278" i="2"/>
  <c r="E279" i="2"/>
  <c r="G279" i="2"/>
  <c r="I279" i="2"/>
  <c r="K279" i="2"/>
  <c r="L279" i="2"/>
  <c r="N279" i="2"/>
  <c r="O279" i="2"/>
  <c r="Q279" i="2"/>
  <c r="R279" i="2"/>
  <c r="S279" i="2"/>
  <c r="T279" i="2"/>
  <c r="V279" i="2"/>
  <c r="W279" i="2"/>
  <c r="Y279" i="2"/>
  <c r="E280" i="2"/>
  <c r="F280" i="2"/>
  <c r="G280" i="2"/>
  <c r="I280" i="2"/>
  <c r="K280" i="2"/>
  <c r="L280" i="2"/>
  <c r="N280" i="2"/>
  <c r="O280" i="2"/>
  <c r="Q280" i="2"/>
  <c r="R280" i="2"/>
  <c r="S280" i="2"/>
  <c r="T280" i="2"/>
  <c r="V280" i="2"/>
  <c r="W280" i="2"/>
  <c r="Y280" i="2"/>
  <c r="E281" i="2"/>
  <c r="F281" i="2"/>
  <c r="G281" i="2"/>
  <c r="I281" i="2"/>
  <c r="K281" i="2"/>
  <c r="L281" i="2"/>
  <c r="N281" i="2"/>
  <c r="O281" i="2"/>
  <c r="Q281" i="2"/>
  <c r="R281" i="2"/>
  <c r="S281" i="2"/>
  <c r="T281" i="2"/>
  <c r="V281" i="2"/>
  <c r="W281" i="2"/>
  <c r="Y281" i="2"/>
  <c r="E282" i="2"/>
  <c r="F282" i="2"/>
  <c r="G282" i="2"/>
  <c r="I282" i="2"/>
  <c r="K282" i="2"/>
  <c r="L282" i="2"/>
  <c r="N282" i="2"/>
  <c r="O282" i="2"/>
  <c r="Q282" i="2"/>
  <c r="R282" i="2"/>
  <c r="S282" i="2"/>
  <c r="T282" i="2"/>
  <c r="V282" i="2"/>
  <c r="W282" i="2"/>
  <c r="Y282" i="2"/>
  <c r="E283" i="2"/>
  <c r="G283" i="2"/>
  <c r="I283" i="2"/>
  <c r="K283" i="2"/>
  <c r="L283" i="2"/>
  <c r="N283" i="2"/>
  <c r="O283" i="2"/>
  <c r="Q283" i="2"/>
  <c r="R283" i="2"/>
  <c r="S283" i="2"/>
  <c r="T283" i="2"/>
  <c r="V283" i="2"/>
  <c r="W283" i="2"/>
  <c r="Y283" i="2"/>
  <c r="E284" i="2"/>
  <c r="G284" i="2"/>
  <c r="I284" i="2"/>
  <c r="K284" i="2"/>
  <c r="L284" i="2"/>
  <c r="N284" i="2"/>
  <c r="O284" i="2"/>
  <c r="Q284" i="2"/>
  <c r="R284" i="2"/>
  <c r="S284" i="2"/>
  <c r="T284" i="2"/>
  <c r="V284" i="2"/>
  <c r="W284" i="2"/>
  <c r="Y284" i="2"/>
  <c r="E285" i="2"/>
  <c r="F285" i="2"/>
  <c r="G285" i="2"/>
  <c r="I285" i="2"/>
  <c r="K285" i="2"/>
  <c r="L285" i="2"/>
  <c r="N285" i="2"/>
  <c r="O285" i="2"/>
  <c r="Q285" i="2"/>
  <c r="R285" i="2"/>
  <c r="S285" i="2"/>
  <c r="T285" i="2"/>
  <c r="V285" i="2"/>
  <c r="W285" i="2"/>
  <c r="Y285" i="2"/>
  <c r="E286" i="2"/>
  <c r="F286" i="2"/>
  <c r="G286" i="2"/>
  <c r="I286" i="2"/>
  <c r="K286" i="2"/>
  <c r="L286" i="2"/>
  <c r="N286" i="2"/>
  <c r="O286" i="2"/>
  <c r="Q286" i="2"/>
  <c r="R286" i="2"/>
  <c r="S286" i="2"/>
  <c r="T286" i="2"/>
  <c r="V286" i="2"/>
  <c r="W286" i="2"/>
  <c r="Y286" i="2"/>
  <c r="E287" i="2"/>
  <c r="F287" i="2"/>
  <c r="G287" i="2"/>
  <c r="I287" i="2"/>
  <c r="K287" i="2"/>
  <c r="L287" i="2"/>
  <c r="N287" i="2"/>
  <c r="O287" i="2"/>
  <c r="Q287" i="2"/>
  <c r="R287" i="2"/>
  <c r="S287" i="2"/>
  <c r="T287" i="2"/>
  <c r="V287" i="2"/>
  <c r="W287" i="2"/>
  <c r="Y287" i="2"/>
  <c r="F288" i="2"/>
  <c r="G288" i="2"/>
  <c r="K288" i="2"/>
  <c r="L288" i="2"/>
  <c r="N288" i="2"/>
  <c r="O288" i="2"/>
  <c r="Q288" i="2"/>
  <c r="R288" i="2"/>
  <c r="S288" i="2"/>
  <c r="T288" i="2"/>
  <c r="V288" i="2"/>
  <c r="W288" i="2"/>
  <c r="Y288" i="2"/>
  <c r="E289" i="2"/>
  <c r="F289" i="2"/>
  <c r="G289" i="2"/>
  <c r="I289" i="2"/>
  <c r="K289" i="2"/>
  <c r="L289" i="2"/>
  <c r="N289" i="2"/>
  <c r="O289" i="2"/>
  <c r="Q289" i="2"/>
  <c r="R289" i="2"/>
  <c r="S289" i="2"/>
  <c r="T289" i="2"/>
  <c r="V289" i="2"/>
  <c r="W289" i="2"/>
  <c r="Y289" i="2"/>
  <c r="G290" i="2"/>
  <c r="I290" i="2"/>
  <c r="K290" i="2"/>
  <c r="L290" i="2"/>
  <c r="N290" i="2"/>
  <c r="O290" i="2"/>
  <c r="Q290" i="2"/>
  <c r="R290" i="2"/>
  <c r="S290" i="2"/>
  <c r="T290" i="2"/>
  <c r="V290" i="2"/>
  <c r="W290" i="2"/>
  <c r="Y290" i="2"/>
  <c r="G291" i="2"/>
  <c r="I291" i="2"/>
  <c r="K291" i="2"/>
  <c r="L291" i="2"/>
  <c r="N291" i="2"/>
  <c r="O291" i="2"/>
  <c r="Q291" i="2"/>
  <c r="R291" i="2"/>
  <c r="S291" i="2"/>
  <c r="T291" i="2"/>
  <c r="V291" i="2"/>
  <c r="W291" i="2"/>
  <c r="Y291" i="2"/>
  <c r="G292" i="2"/>
  <c r="I292" i="2"/>
  <c r="K292" i="2"/>
  <c r="L292" i="2"/>
  <c r="N292" i="2"/>
  <c r="O292" i="2"/>
  <c r="Q292" i="2"/>
  <c r="R292" i="2"/>
  <c r="S292" i="2"/>
  <c r="T292" i="2"/>
  <c r="V292" i="2"/>
  <c r="W292" i="2"/>
  <c r="Y292" i="2"/>
  <c r="G293" i="2"/>
  <c r="I293" i="2"/>
  <c r="K293" i="2"/>
  <c r="L293" i="2"/>
  <c r="N293" i="2"/>
  <c r="O293" i="2"/>
  <c r="Q293" i="2"/>
  <c r="R293" i="2"/>
  <c r="S293" i="2"/>
  <c r="T293" i="2"/>
  <c r="V293" i="2"/>
  <c r="W293" i="2"/>
  <c r="Y293" i="2"/>
  <c r="G294" i="2"/>
  <c r="I294" i="2"/>
  <c r="J294" i="2"/>
  <c r="K294" i="2"/>
  <c r="L294" i="2"/>
  <c r="N294" i="2"/>
  <c r="O294" i="2"/>
  <c r="Q294" i="2"/>
  <c r="R294" i="2"/>
  <c r="S294" i="2"/>
  <c r="T294" i="2"/>
  <c r="V294" i="2"/>
  <c r="W294" i="2"/>
  <c r="Y294" i="2"/>
  <c r="E295" i="2"/>
  <c r="F295" i="2"/>
  <c r="G295" i="2"/>
  <c r="I295" i="2"/>
  <c r="L295" i="2"/>
  <c r="N295" i="2"/>
  <c r="O295" i="2"/>
  <c r="Q295" i="2"/>
  <c r="R295" i="2"/>
  <c r="S295" i="2"/>
  <c r="T295" i="2"/>
  <c r="V295" i="2"/>
  <c r="W295" i="2"/>
  <c r="Y295" i="2"/>
  <c r="E296" i="2"/>
  <c r="F296" i="2"/>
  <c r="G296" i="2"/>
  <c r="I296" i="2"/>
  <c r="K296" i="2"/>
  <c r="L296" i="2"/>
  <c r="N296" i="2"/>
  <c r="O296" i="2"/>
  <c r="Q296" i="2"/>
  <c r="R296" i="2"/>
  <c r="S296" i="2"/>
  <c r="T296" i="2"/>
  <c r="V296" i="2"/>
  <c r="W296" i="2"/>
  <c r="Y296" i="2"/>
  <c r="G297" i="2"/>
  <c r="I297" i="2"/>
  <c r="K297" i="2"/>
  <c r="L297" i="2"/>
  <c r="N297" i="2"/>
  <c r="O297" i="2"/>
  <c r="Q297" i="2"/>
  <c r="R297" i="2"/>
  <c r="S297" i="2"/>
  <c r="T297" i="2"/>
  <c r="V297" i="2"/>
  <c r="W297" i="2"/>
  <c r="Y297" i="2"/>
  <c r="E302" i="2"/>
  <c r="F302" i="2"/>
  <c r="G302" i="2"/>
  <c r="I302" i="2"/>
  <c r="K302" i="2"/>
  <c r="L302" i="2"/>
  <c r="N302" i="2"/>
  <c r="O302" i="2"/>
  <c r="Q302" i="2"/>
  <c r="R302" i="2"/>
  <c r="S302" i="2"/>
  <c r="T302" i="2"/>
  <c r="V302" i="2"/>
  <c r="W302" i="2"/>
  <c r="Y302" i="2"/>
  <c r="G303" i="2"/>
  <c r="I303" i="2"/>
  <c r="K303" i="2"/>
  <c r="L303" i="2"/>
  <c r="N303" i="2"/>
  <c r="O303" i="2"/>
  <c r="Q303" i="2"/>
  <c r="R303" i="2"/>
  <c r="S303" i="2"/>
  <c r="T303" i="2"/>
  <c r="V303" i="2"/>
  <c r="W303" i="2"/>
  <c r="Y303" i="2"/>
  <c r="F304" i="2"/>
  <c r="G304" i="2"/>
  <c r="I304" i="2"/>
  <c r="L304" i="2"/>
  <c r="N304" i="2"/>
  <c r="O304" i="2"/>
  <c r="Q304" i="2"/>
  <c r="R304" i="2"/>
  <c r="S304" i="2"/>
  <c r="T304" i="2"/>
  <c r="V304" i="2"/>
  <c r="W304" i="2"/>
  <c r="Y304" i="2"/>
  <c r="F305" i="2"/>
  <c r="G305" i="2"/>
  <c r="I305" i="2"/>
  <c r="K305" i="2"/>
  <c r="L305" i="2"/>
  <c r="N305" i="2"/>
  <c r="O305" i="2"/>
  <c r="Q305" i="2"/>
  <c r="R305" i="2"/>
  <c r="S305" i="2"/>
  <c r="T305" i="2"/>
  <c r="V305" i="2"/>
  <c r="W305" i="2"/>
  <c r="Y305" i="2"/>
  <c r="E306" i="2"/>
  <c r="F306" i="2"/>
  <c r="G306" i="2"/>
  <c r="I306" i="2"/>
  <c r="K306" i="2"/>
  <c r="L306" i="2"/>
  <c r="N306" i="2"/>
  <c r="O306" i="2"/>
  <c r="Q306" i="2"/>
  <c r="R306" i="2"/>
  <c r="S306" i="2"/>
  <c r="T306" i="2"/>
  <c r="V306" i="2"/>
  <c r="W306" i="2"/>
  <c r="Y306" i="2"/>
  <c r="E307" i="2"/>
  <c r="G307" i="2"/>
  <c r="I307" i="2"/>
  <c r="K307" i="2"/>
  <c r="L307" i="2"/>
  <c r="N307" i="2"/>
  <c r="O307" i="2"/>
  <c r="Q307" i="2"/>
  <c r="R307" i="2"/>
  <c r="S307" i="2"/>
  <c r="T307" i="2"/>
  <c r="V307" i="2"/>
  <c r="W307" i="2"/>
  <c r="Y307" i="2"/>
  <c r="E308" i="2"/>
  <c r="G308" i="2"/>
  <c r="I308" i="2"/>
  <c r="K308" i="2"/>
  <c r="L308" i="2"/>
  <c r="N308" i="2"/>
  <c r="O308" i="2"/>
  <c r="Q308" i="2"/>
  <c r="R308" i="2"/>
  <c r="S308" i="2"/>
  <c r="T308" i="2"/>
  <c r="V308" i="2"/>
  <c r="W308" i="2"/>
  <c r="Y308" i="2"/>
  <c r="E309" i="2"/>
  <c r="F309" i="2"/>
  <c r="G309" i="2"/>
  <c r="I309" i="2"/>
  <c r="K309" i="2"/>
  <c r="L309" i="2"/>
  <c r="N309" i="2"/>
  <c r="O309" i="2"/>
  <c r="Q309" i="2"/>
  <c r="R309" i="2"/>
  <c r="S309" i="2"/>
  <c r="T309" i="2"/>
  <c r="V309" i="2"/>
  <c r="W309" i="2"/>
  <c r="Y309" i="2"/>
  <c r="E310" i="2"/>
  <c r="F310" i="2"/>
  <c r="G310" i="2"/>
  <c r="I310" i="2"/>
  <c r="K310" i="2"/>
  <c r="L310" i="2"/>
  <c r="N310" i="2"/>
  <c r="O310" i="2"/>
  <c r="Q310" i="2"/>
  <c r="R310" i="2"/>
  <c r="S310" i="2"/>
  <c r="T310" i="2"/>
  <c r="V310" i="2"/>
  <c r="W310" i="2"/>
  <c r="Y310" i="2"/>
  <c r="E311" i="2"/>
  <c r="F311" i="2"/>
  <c r="G311" i="2"/>
  <c r="I311" i="2"/>
  <c r="K311" i="2"/>
  <c r="L311" i="2"/>
  <c r="N311" i="2"/>
  <c r="O311" i="2"/>
  <c r="Q311" i="2"/>
  <c r="R311" i="2"/>
  <c r="S311" i="2"/>
  <c r="T311" i="2"/>
  <c r="V311" i="2"/>
  <c r="W311" i="2"/>
  <c r="Y311" i="2"/>
  <c r="E312" i="2"/>
  <c r="F312" i="2"/>
  <c r="G312" i="2"/>
  <c r="I312" i="2"/>
  <c r="K312" i="2"/>
  <c r="L312" i="2"/>
  <c r="N312" i="2"/>
  <c r="O312" i="2"/>
  <c r="Q312" i="2"/>
  <c r="R312" i="2"/>
  <c r="S312" i="2"/>
  <c r="T312" i="2"/>
  <c r="V312" i="2"/>
  <c r="W312" i="2"/>
  <c r="Y312" i="2"/>
  <c r="F313" i="2"/>
  <c r="G313" i="2"/>
  <c r="I313" i="2"/>
  <c r="K313" i="2"/>
  <c r="L313" i="2"/>
  <c r="N313" i="2"/>
  <c r="O313" i="2"/>
  <c r="Q313" i="2"/>
  <c r="R313" i="2"/>
  <c r="S313" i="2"/>
  <c r="T313" i="2"/>
  <c r="V313" i="2"/>
  <c r="W313" i="2"/>
  <c r="Y313" i="2"/>
  <c r="F314" i="2"/>
  <c r="G314" i="2"/>
  <c r="I314" i="2"/>
  <c r="J314" i="2"/>
  <c r="K314" i="2"/>
  <c r="L314" i="2"/>
  <c r="N314" i="2"/>
  <c r="O314" i="2"/>
  <c r="Q314" i="2"/>
  <c r="R314" i="2"/>
  <c r="S314" i="2"/>
  <c r="T314" i="2"/>
  <c r="V314" i="2"/>
  <c r="W314" i="2"/>
  <c r="Y314" i="2"/>
  <c r="F315" i="2"/>
  <c r="G315" i="2"/>
  <c r="I315" i="2"/>
  <c r="K315" i="2"/>
  <c r="L315" i="2"/>
  <c r="N315" i="2"/>
  <c r="O315" i="2"/>
  <c r="Q315" i="2"/>
  <c r="R315" i="2"/>
  <c r="S315" i="2"/>
  <c r="T315" i="2"/>
  <c r="V315" i="2"/>
  <c r="W315" i="2"/>
  <c r="Y315" i="2"/>
  <c r="E316" i="2"/>
  <c r="F316" i="2"/>
  <c r="G316" i="2"/>
  <c r="I316" i="2"/>
  <c r="K316" i="2"/>
  <c r="L316" i="2"/>
  <c r="N316" i="2"/>
  <c r="O316" i="2"/>
  <c r="Q316" i="2"/>
  <c r="R316" i="2"/>
  <c r="S316" i="2"/>
  <c r="T316" i="2"/>
  <c r="V316" i="2"/>
  <c r="W316" i="2"/>
  <c r="Y316" i="2"/>
  <c r="E317" i="2"/>
  <c r="F317" i="2"/>
  <c r="G317" i="2"/>
  <c r="I317" i="2"/>
  <c r="K317" i="2"/>
  <c r="L317" i="2"/>
  <c r="N317" i="2"/>
  <c r="O317" i="2"/>
  <c r="Q317" i="2"/>
  <c r="R317" i="2"/>
  <c r="S317" i="2"/>
  <c r="T317" i="2"/>
  <c r="V317" i="2"/>
  <c r="W317" i="2"/>
  <c r="Y317" i="2"/>
  <c r="G318" i="2"/>
  <c r="I318" i="2"/>
  <c r="K318" i="2"/>
  <c r="L318" i="2"/>
  <c r="N318" i="2"/>
  <c r="O318" i="2"/>
  <c r="Q318" i="2"/>
  <c r="R318" i="2"/>
  <c r="S318" i="2"/>
  <c r="T318" i="2"/>
  <c r="V318" i="2"/>
  <c r="W318" i="2"/>
  <c r="Y318" i="2"/>
  <c r="F323" i="2"/>
  <c r="G323" i="2"/>
  <c r="I323" i="2"/>
  <c r="L323" i="2"/>
  <c r="N323" i="2"/>
  <c r="O323" i="2"/>
  <c r="Q323" i="2"/>
  <c r="R323" i="2"/>
  <c r="S323" i="2"/>
  <c r="T323" i="2"/>
  <c r="V323" i="2"/>
  <c r="W323" i="2"/>
  <c r="Y323" i="2"/>
  <c r="F324" i="2"/>
  <c r="G324" i="2"/>
  <c r="I324" i="2"/>
  <c r="K324" i="2"/>
  <c r="L324" i="2"/>
  <c r="N324" i="2"/>
  <c r="O324" i="2"/>
  <c r="Q324" i="2"/>
  <c r="R324" i="2"/>
  <c r="S324" i="2"/>
  <c r="T324" i="2"/>
  <c r="V324" i="2"/>
  <c r="W324" i="2"/>
  <c r="Y324" i="2"/>
  <c r="F325" i="2"/>
  <c r="G325" i="2"/>
  <c r="I325" i="2"/>
  <c r="K325" i="2"/>
  <c r="L325" i="2"/>
  <c r="N325" i="2"/>
  <c r="O325" i="2"/>
  <c r="Q325" i="2"/>
  <c r="R325" i="2"/>
  <c r="S325" i="2"/>
  <c r="T325" i="2"/>
  <c r="V325" i="2"/>
  <c r="W325" i="2"/>
  <c r="Y325" i="2"/>
  <c r="F326" i="2"/>
  <c r="G326" i="2"/>
  <c r="I326" i="2"/>
  <c r="K326" i="2"/>
  <c r="L326" i="2"/>
  <c r="N326" i="2"/>
  <c r="O326" i="2"/>
  <c r="Q326" i="2"/>
  <c r="R326" i="2"/>
  <c r="S326" i="2"/>
  <c r="T326" i="2"/>
  <c r="V326" i="2"/>
  <c r="W326" i="2"/>
  <c r="Y326" i="2"/>
  <c r="F327" i="2"/>
  <c r="G327" i="2"/>
  <c r="I327" i="2"/>
  <c r="K327" i="2"/>
  <c r="L327" i="2"/>
  <c r="N327" i="2"/>
  <c r="O327" i="2"/>
  <c r="Q327" i="2"/>
  <c r="R327" i="2"/>
  <c r="S327" i="2"/>
  <c r="T327" i="2"/>
  <c r="V327" i="2"/>
  <c r="W327" i="2"/>
  <c r="Y327" i="2"/>
  <c r="F328" i="2"/>
  <c r="G328" i="2"/>
  <c r="I328" i="2"/>
  <c r="K328" i="2"/>
  <c r="L328" i="2"/>
  <c r="N328" i="2"/>
  <c r="O328" i="2"/>
  <c r="Q328" i="2"/>
  <c r="R328" i="2"/>
  <c r="S328" i="2"/>
  <c r="T328" i="2"/>
  <c r="V328" i="2"/>
  <c r="W328" i="2"/>
  <c r="Y328" i="2"/>
  <c r="E329" i="2"/>
  <c r="F329" i="2"/>
  <c r="G329" i="2"/>
  <c r="I329" i="2"/>
  <c r="K329" i="2"/>
  <c r="L329" i="2"/>
  <c r="N329" i="2"/>
  <c r="O329" i="2"/>
  <c r="Q329" i="2"/>
  <c r="R329" i="2"/>
  <c r="S329" i="2"/>
  <c r="T329" i="2"/>
  <c r="V329" i="2"/>
  <c r="W329" i="2"/>
  <c r="Y329" i="2"/>
  <c r="E330" i="2"/>
  <c r="F330" i="2"/>
  <c r="G330" i="2"/>
  <c r="I330" i="2"/>
  <c r="K330" i="2"/>
  <c r="L330" i="2"/>
  <c r="N330" i="2"/>
  <c r="O330" i="2"/>
  <c r="Q330" i="2"/>
  <c r="R330" i="2"/>
  <c r="S330" i="2"/>
  <c r="T330" i="2"/>
  <c r="V330" i="2"/>
  <c r="W330" i="2"/>
  <c r="Y330" i="2"/>
  <c r="G331" i="2"/>
  <c r="I331" i="2"/>
  <c r="K331" i="2"/>
  <c r="L331" i="2"/>
  <c r="N331" i="2"/>
  <c r="O331" i="2"/>
  <c r="Q331" i="2"/>
  <c r="R331" i="2"/>
  <c r="S331" i="2"/>
  <c r="T331" i="2"/>
  <c r="V331" i="2"/>
  <c r="W331" i="2"/>
  <c r="Y331" i="2"/>
  <c r="F332" i="2"/>
  <c r="G332" i="2"/>
  <c r="I332" i="2"/>
  <c r="K332" i="2"/>
  <c r="L332" i="2"/>
  <c r="N332" i="2"/>
  <c r="O332" i="2"/>
  <c r="Q332" i="2"/>
  <c r="R332" i="2"/>
  <c r="S332" i="2"/>
  <c r="T332" i="2"/>
  <c r="V332" i="2"/>
  <c r="W332" i="2"/>
  <c r="Y332" i="2"/>
  <c r="E333" i="2"/>
  <c r="F333" i="2"/>
  <c r="G333" i="2"/>
  <c r="I333" i="2"/>
  <c r="K333" i="2"/>
  <c r="L333" i="2"/>
  <c r="N333" i="2"/>
  <c r="O333" i="2"/>
  <c r="Q333" i="2"/>
  <c r="R333" i="2"/>
  <c r="S333" i="2"/>
  <c r="T333" i="2"/>
  <c r="V333" i="2"/>
  <c r="W333" i="2"/>
  <c r="Y333" i="2"/>
  <c r="G334" i="2"/>
  <c r="I334" i="2"/>
  <c r="K334" i="2"/>
  <c r="L334" i="2"/>
  <c r="N334" i="2"/>
  <c r="O334" i="2"/>
  <c r="Q334" i="2"/>
  <c r="R334" i="2"/>
  <c r="S334" i="2"/>
  <c r="T334" i="2"/>
  <c r="V334" i="2"/>
  <c r="W334" i="2"/>
  <c r="Y334" i="2"/>
  <c r="E335" i="2"/>
  <c r="F335" i="2"/>
  <c r="G335" i="2"/>
  <c r="I335" i="2"/>
  <c r="K335" i="2"/>
  <c r="L335" i="2"/>
  <c r="N335" i="2"/>
  <c r="O335" i="2"/>
  <c r="Q335" i="2"/>
  <c r="R335" i="2"/>
  <c r="S335" i="2"/>
  <c r="T335" i="2"/>
  <c r="V335" i="2"/>
  <c r="W335" i="2"/>
  <c r="Y335" i="2"/>
  <c r="F336" i="2"/>
  <c r="G336" i="2"/>
  <c r="I336" i="2"/>
  <c r="K336" i="2"/>
  <c r="L336" i="2"/>
  <c r="N336" i="2"/>
  <c r="O336" i="2"/>
  <c r="Q336" i="2"/>
  <c r="R336" i="2"/>
  <c r="S336" i="2"/>
  <c r="T336" i="2"/>
  <c r="V336" i="2"/>
  <c r="W336" i="2"/>
  <c r="Y336" i="2"/>
  <c r="E337" i="2"/>
  <c r="F337" i="2"/>
  <c r="G337" i="2"/>
  <c r="I337" i="2"/>
  <c r="K337" i="2"/>
  <c r="L337" i="2"/>
  <c r="N337" i="2"/>
  <c r="O337" i="2"/>
  <c r="Q337" i="2"/>
  <c r="R337" i="2"/>
  <c r="S337" i="2"/>
  <c r="T337" i="2"/>
  <c r="V337" i="2"/>
  <c r="W337" i="2"/>
  <c r="Y337" i="2"/>
  <c r="E338" i="2"/>
  <c r="F338" i="2"/>
  <c r="G338" i="2"/>
  <c r="I338" i="2"/>
  <c r="K338" i="2"/>
  <c r="L338" i="2"/>
  <c r="N338" i="2"/>
  <c r="O338" i="2"/>
  <c r="Q338" i="2"/>
  <c r="R338" i="2"/>
  <c r="S338" i="2"/>
  <c r="T338" i="2"/>
  <c r="V338" i="2"/>
  <c r="W338" i="2"/>
  <c r="Y338" i="2"/>
  <c r="E339" i="2"/>
  <c r="F339" i="2"/>
  <c r="G339" i="2"/>
  <c r="I339" i="2"/>
  <c r="K339" i="2"/>
  <c r="L339" i="2"/>
  <c r="N339" i="2"/>
  <c r="O339" i="2"/>
  <c r="Q339" i="2"/>
  <c r="R339" i="2"/>
  <c r="S339" i="2"/>
  <c r="T339" i="2"/>
  <c r="V339" i="2"/>
  <c r="W339" i="2"/>
  <c r="Y339" i="2"/>
  <c r="E340" i="2"/>
  <c r="F340" i="2"/>
  <c r="G340" i="2"/>
  <c r="I340" i="2"/>
  <c r="K340" i="2"/>
  <c r="L340" i="2"/>
  <c r="N340" i="2"/>
  <c r="O340" i="2"/>
  <c r="Q340" i="2"/>
  <c r="R340" i="2"/>
  <c r="S340" i="2"/>
  <c r="T340" i="2"/>
  <c r="V340" i="2"/>
  <c r="W340" i="2"/>
  <c r="Y340" i="2"/>
  <c r="G341" i="2"/>
  <c r="I341" i="2"/>
  <c r="J341" i="2"/>
  <c r="K341" i="2"/>
  <c r="L341" i="2"/>
  <c r="N341" i="2"/>
  <c r="O341" i="2"/>
  <c r="Q341" i="2"/>
  <c r="R341" i="2"/>
  <c r="S341" i="2"/>
  <c r="T341" i="2"/>
  <c r="V341" i="2"/>
  <c r="W341" i="2"/>
  <c r="Y341" i="2"/>
  <c r="E342" i="2"/>
  <c r="G342" i="2"/>
  <c r="I342" i="2"/>
  <c r="J342" i="2"/>
  <c r="K342" i="2"/>
  <c r="L342" i="2"/>
  <c r="N342" i="2"/>
  <c r="O342" i="2"/>
  <c r="Q342" i="2"/>
  <c r="R342" i="2"/>
  <c r="S342" i="2"/>
  <c r="T342" i="2"/>
  <c r="V342" i="2"/>
  <c r="W342" i="2"/>
  <c r="Y342" i="2"/>
  <c r="E343" i="2"/>
  <c r="F343" i="2"/>
  <c r="G343" i="2"/>
  <c r="I343" i="2"/>
  <c r="J343" i="2"/>
  <c r="K343" i="2"/>
  <c r="L343" i="2"/>
  <c r="N343" i="2"/>
  <c r="O343" i="2"/>
  <c r="P343" i="2"/>
  <c r="Q343" i="2"/>
  <c r="R343" i="2"/>
  <c r="S343" i="2"/>
  <c r="T343" i="2"/>
  <c r="U343" i="2"/>
  <c r="V343" i="2"/>
  <c r="W343" i="2"/>
  <c r="Y343" i="2"/>
  <c r="E344" i="2"/>
  <c r="F344" i="2"/>
  <c r="G344" i="2"/>
  <c r="I344" i="2"/>
  <c r="J344" i="2"/>
  <c r="K344" i="2"/>
  <c r="L344" i="2"/>
  <c r="N344" i="2"/>
  <c r="O344" i="2"/>
  <c r="Q344" i="2"/>
  <c r="R344" i="2"/>
  <c r="S344" i="2"/>
  <c r="T344" i="2"/>
  <c r="V344" i="2"/>
  <c r="W344" i="2"/>
  <c r="Y344" i="2"/>
  <c r="E345" i="2"/>
  <c r="F345" i="2"/>
  <c r="G345" i="2"/>
  <c r="I345" i="2"/>
  <c r="J345" i="2"/>
  <c r="K345" i="2"/>
  <c r="L345" i="2"/>
  <c r="N345" i="2"/>
  <c r="O345" i="2"/>
  <c r="Q345" i="2"/>
  <c r="R345" i="2"/>
  <c r="S345" i="2"/>
  <c r="T345" i="2"/>
  <c r="V345" i="2"/>
  <c r="W345" i="2"/>
  <c r="Y345" i="2"/>
  <c r="E346" i="2"/>
  <c r="F346" i="2"/>
  <c r="G346" i="2"/>
  <c r="I346" i="2"/>
  <c r="J346" i="2"/>
  <c r="K346" i="2"/>
  <c r="L346" i="2"/>
  <c r="N346" i="2"/>
  <c r="O346" i="2"/>
  <c r="Q346" i="2"/>
  <c r="R346" i="2"/>
  <c r="S346" i="2"/>
  <c r="T346" i="2"/>
  <c r="V346" i="2"/>
  <c r="W346" i="2"/>
  <c r="Y346" i="2"/>
  <c r="E347" i="2"/>
  <c r="F347" i="2"/>
  <c r="G347" i="2"/>
  <c r="I347" i="2"/>
  <c r="K347" i="2"/>
  <c r="L347" i="2"/>
  <c r="N347" i="2"/>
  <c r="O347" i="2"/>
  <c r="Q347" i="2"/>
  <c r="R347" i="2"/>
  <c r="S347" i="2"/>
  <c r="T347" i="2"/>
  <c r="V347" i="2"/>
  <c r="W347" i="2"/>
  <c r="Y347" i="2"/>
  <c r="E348" i="2"/>
  <c r="F348" i="2"/>
  <c r="G348" i="2"/>
  <c r="I348" i="2"/>
  <c r="K348" i="2"/>
  <c r="L348" i="2"/>
  <c r="N348" i="2"/>
  <c r="O348" i="2"/>
  <c r="Q348" i="2"/>
  <c r="R348" i="2"/>
  <c r="S348" i="2"/>
  <c r="T348" i="2"/>
  <c r="V348" i="2"/>
  <c r="W348" i="2"/>
  <c r="Y348" i="2"/>
  <c r="E349" i="2"/>
  <c r="F349" i="2"/>
  <c r="G349" i="2"/>
  <c r="I349" i="2"/>
  <c r="K349" i="2"/>
  <c r="L349" i="2"/>
  <c r="N349" i="2"/>
  <c r="O349" i="2"/>
  <c r="Q349" i="2"/>
  <c r="R349" i="2"/>
  <c r="S349" i="2"/>
  <c r="T349" i="2"/>
  <c r="V349" i="2"/>
  <c r="W349" i="2"/>
  <c r="Y349" i="2"/>
  <c r="E350" i="2"/>
  <c r="F350" i="2"/>
  <c r="G350" i="2"/>
  <c r="I350" i="2"/>
  <c r="K350" i="2"/>
  <c r="L350" i="2"/>
  <c r="N350" i="2"/>
  <c r="O350" i="2"/>
  <c r="Q350" i="2"/>
  <c r="R350" i="2"/>
  <c r="S350" i="2"/>
  <c r="T350" i="2"/>
  <c r="V350" i="2"/>
  <c r="W350" i="2"/>
  <c r="Y350" i="2"/>
  <c r="G351" i="2"/>
  <c r="I351" i="2"/>
  <c r="K351" i="2"/>
  <c r="L351" i="2"/>
  <c r="N351" i="2"/>
  <c r="O351" i="2"/>
  <c r="Q351" i="2"/>
  <c r="R351" i="2"/>
  <c r="S351" i="2"/>
  <c r="T351" i="2"/>
  <c r="V351" i="2"/>
  <c r="W351" i="2"/>
  <c r="Y351" i="2"/>
  <c r="E356" i="2"/>
  <c r="F356" i="2"/>
  <c r="G356" i="2"/>
  <c r="I356" i="2"/>
  <c r="K356" i="2"/>
  <c r="L356" i="2"/>
  <c r="N356" i="2"/>
  <c r="O356" i="2"/>
  <c r="Q356" i="2"/>
  <c r="R356" i="2"/>
  <c r="S356" i="2"/>
  <c r="T356" i="2"/>
  <c r="V356" i="2"/>
  <c r="W356" i="2"/>
  <c r="Y356" i="2"/>
  <c r="E357" i="2"/>
  <c r="F357" i="2"/>
  <c r="G357" i="2"/>
  <c r="I357" i="2"/>
  <c r="L357" i="2"/>
  <c r="N357" i="2"/>
  <c r="O357" i="2"/>
  <c r="Q357" i="2"/>
  <c r="R357" i="2"/>
  <c r="S357" i="2"/>
  <c r="T357" i="2"/>
  <c r="V357" i="2"/>
  <c r="W357" i="2"/>
  <c r="Y357" i="2"/>
  <c r="F358" i="2"/>
  <c r="G358" i="2"/>
  <c r="I358" i="2"/>
  <c r="K358" i="2"/>
  <c r="L358" i="2"/>
  <c r="N358" i="2"/>
  <c r="O358" i="2"/>
  <c r="Q358" i="2"/>
  <c r="R358" i="2"/>
  <c r="S358" i="2"/>
  <c r="T358" i="2"/>
  <c r="V358" i="2"/>
  <c r="W358" i="2"/>
  <c r="Y358" i="2"/>
  <c r="F359" i="2"/>
  <c r="G359" i="2"/>
  <c r="I359" i="2"/>
  <c r="L359" i="2"/>
  <c r="N359" i="2"/>
  <c r="O359" i="2"/>
  <c r="Q359" i="2"/>
  <c r="R359" i="2"/>
  <c r="S359" i="2"/>
  <c r="T359" i="2"/>
  <c r="V359" i="2"/>
  <c r="W359" i="2"/>
  <c r="Y359" i="2"/>
  <c r="F360" i="2"/>
  <c r="G360" i="2"/>
  <c r="I360" i="2"/>
  <c r="K360" i="2"/>
  <c r="L360" i="2"/>
  <c r="N360" i="2"/>
  <c r="O360" i="2"/>
  <c r="Q360" i="2"/>
  <c r="R360" i="2"/>
  <c r="S360" i="2"/>
  <c r="T360" i="2"/>
  <c r="V360" i="2"/>
  <c r="W360" i="2"/>
  <c r="Y360" i="2"/>
  <c r="F361" i="2"/>
  <c r="G361" i="2"/>
  <c r="I361" i="2"/>
  <c r="K361" i="2"/>
  <c r="L361" i="2"/>
  <c r="N361" i="2"/>
  <c r="O361" i="2"/>
  <c r="Q361" i="2"/>
  <c r="R361" i="2"/>
  <c r="S361" i="2"/>
  <c r="T361" i="2"/>
  <c r="V361" i="2"/>
  <c r="W361" i="2"/>
  <c r="Y361" i="2"/>
  <c r="E362" i="2"/>
  <c r="F362" i="2"/>
  <c r="G362" i="2"/>
  <c r="I362" i="2"/>
  <c r="K362" i="2"/>
  <c r="L362" i="2"/>
  <c r="N362" i="2"/>
  <c r="O362" i="2"/>
  <c r="Q362" i="2"/>
  <c r="R362" i="2"/>
  <c r="S362" i="2"/>
  <c r="T362" i="2"/>
  <c r="V362" i="2"/>
  <c r="W362" i="2"/>
  <c r="Y362" i="2"/>
  <c r="G363" i="2"/>
  <c r="I363" i="2"/>
  <c r="L363" i="2"/>
  <c r="N363" i="2"/>
  <c r="O363" i="2"/>
  <c r="Q363" i="2"/>
  <c r="R363" i="2"/>
  <c r="S363" i="2"/>
  <c r="T363" i="2"/>
  <c r="V363" i="2"/>
  <c r="W363" i="2"/>
  <c r="Y363" i="2"/>
  <c r="E364" i="2"/>
  <c r="F364" i="2"/>
  <c r="G364" i="2"/>
  <c r="I364" i="2"/>
  <c r="K364" i="2"/>
  <c r="L364" i="2"/>
  <c r="N364" i="2"/>
  <c r="O364" i="2"/>
  <c r="Q364" i="2"/>
  <c r="R364" i="2"/>
  <c r="S364" i="2"/>
  <c r="T364" i="2"/>
  <c r="V364" i="2"/>
  <c r="W364" i="2"/>
  <c r="Y364" i="2"/>
  <c r="G365" i="2"/>
  <c r="I365" i="2"/>
  <c r="K365" i="2"/>
  <c r="L365" i="2"/>
  <c r="N365" i="2"/>
  <c r="O365" i="2"/>
  <c r="Q365" i="2"/>
  <c r="R365" i="2"/>
  <c r="S365" i="2"/>
  <c r="T365" i="2"/>
  <c r="V365" i="2"/>
  <c r="W365" i="2"/>
  <c r="Y365" i="2"/>
  <c r="E366" i="2"/>
  <c r="F366" i="2"/>
  <c r="G366" i="2"/>
  <c r="I366" i="2"/>
  <c r="K366" i="2"/>
  <c r="L366" i="2"/>
  <c r="N366" i="2"/>
  <c r="O366" i="2"/>
  <c r="Q366" i="2"/>
  <c r="R366" i="2"/>
  <c r="S366" i="2"/>
  <c r="T366" i="2"/>
  <c r="V366" i="2"/>
  <c r="W366" i="2"/>
  <c r="Y366" i="2"/>
  <c r="E367" i="2"/>
  <c r="F367" i="2"/>
  <c r="G367" i="2"/>
  <c r="I367" i="2"/>
  <c r="K367" i="2"/>
  <c r="L367" i="2"/>
  <c r="N367" i="2"/>
  <c r="O367" i="2"/>
  <c r="Q367" i="2"/>
  <c r="R367" i="2"/>
  <c r="S367" i="2"/>
  <c r="T367" i="2"/>
  <c r="V367" i="2"/>
  <c r="W367" i="2"/>
  <c r="Y367" i="2"/>
  <c r="E368" i="2"/>
  <c r="F368" i="2"/>
  <c r="G368" i="2"/>
  <c r="I368" i="2"/>
  <c r="K368" i="2"/>
  <c r="L368" i="2"/>
  <c r="N368" i="2"/>
  <c r="O368" i="2"/>
  <c r="Q368" i="2"/>
  <c r="R368" i="2"/>
  <c r="S368" i="2"/>
  <c r="T368" i="2"/>
  <c r="V368" i="2"/>
  <c r="W368" i="2"/>
  <c r="Y368" i="2"/>
  <c r="G369" i="2"/>
  <c r="I369" i="2"/>
  <c r="K369" i="2"/>
  <c r="L369" i="2"/>
  <c r="N369" i="2"/>
  <c r="O369" i="2"/>
  <c r="Q369" i="2"/>
  <c r="R369" i="2"/>
  <c r="S369" i="2"/>
  <c r="T369" i="2"/>
  <c r="V369" i="2"/>
  <c r="W369" i="2"/>
  <c r="Y369" i="2"/>
  <c r="E370" i="2"/>
  <c r="F370" i="2"/>
  <c r="G370" i="2"/>
  <c r="I370" i="2"/>
  <c r="K370" i="2"/>
  <c r="L370" i="2"/>
  <c r="N370" i="2"/>
  <c r="O370" i="2"/>
  <c r="Q370" i="2"/>
  <c r="R370" i="2"/>
  <c r="S370" i="2"/>
  <c r="T370" i="2"/>
  <c r="V370" i="2"/>
  <c r="W370" i="2"/>
  <c r="Y370" i="2"/>
  <c r="E371" i="2"/>
  <c r="F371" i="2"/>
  <c r="G371" i="2"/>
  <c r="I371" i="2"/>
  <c r="K371" i="2"/>
  <c r="L371" i="2"/>
  <c r="N371" i="2"/>
  <c r="O371" i="2"/>
  <c r="Q371" i="2"/>
  <c r="R371" i="2"/>
  <c r="S371" i="2"/>
  <c r="T371" i="2"/>
  <c r="V371" i="2"/>
  <c r="W371" i="2"/>
  <c r="Y371" i="2"/>
  <c r="E372" i="2"/>
  <c r="F372" i="2"/>
  <c r="G372" i="2"/>
  <c r="I372" i="2"/>
  <c r="K372" i="2"/>
  <c r="L372" i="2"/>
  <c r="N372" i="2"/>
  <c r="O372" i="2"/>
  <c r="Q372" i="2"/>
  <c r="R372" i="2"/>
  <c r="S372" i="2"/>
  <c r="T372" i="2"/>
  <c r="V372" i="2"/>
  <c r="W372" i="2"/>
  <c r="Y372" i="2"/>
  <c r="G373" i="2"/>
  <c r="I373" i="2"/>
  <c r="K373" i="2"/>
  <c r="L373" i="2"/>
  <c r="N373" i="2"/>
  <c r="O373" i="2"/>
  <c r="Q373" i="2"/>
  <c r="R373" i="2"/>
  <c r="S373" i="2"/>
  <c r="T373" i="2"/>
  <c r="V373" i="2"/>
  <c r="W373" i="2"/>
  <c r="Y373" i="2"/>
  <c r="G374" i="2"/>
  <c r="I374" i="2"/>
  <c r="K374" i="2"/>
  <c r="L374" i="2"/>
  <c r="N374" i="2"/>
  <c r="O374" i="2"/>
  <c r="Q374" i="2"/>
  <c r="R374" i="2"/>
  <c r="S374" i="2"/>
  <c r="T374" i="2"/>
  <c r="V374" i="2"/>
  <c r="W374" i="2"/>
  <c r="Y374" i="2"/>
  <c r="G375" i="2"/>
  <c r="I375" i="2"/>
  <c r="K375" i="2"/>
  <c r="L375" i="2"/>
  <c r="N375" i="2"/>
  <c r="O375" i="2"/>
  <c r="Q375" i="2"/>
  <c r="R375" i="2"/>
  <c r="S375" i="2"/>
  <c r="T375" i="2"/>
  <c r="V375" i="2"/>
  <c r="W375" i="2"/>
  <c r="Y375" i="2"/>
  <c r="G376" i="2"/>
  <c r="I376" i="2"/>
  <c r="K376" i="2"/>
  <c r="L376" i="2"/>
  <c r="N376" i="2"/>
  <c r="O376" i="2"/>
  <c r="Q376" i="2"/>
  <c r="R376" i="2"/>
  <c r="S376" i="2"/>
  <c r="T376" i="2"/>
  <c r="V376" i="2"/>
  <c r="W376" i="2"/>
  <c r="Y376" i="2"/>
  <c r="F377" i="2"/>
  <c r="G377" i="2"/>
  <c r="I377" i="2"/>
  <c r="K377" i="2"/>
  <c r="L377" i="2"/>
  <c r="N377" i="2"/>
  <c r="O377" i="2"/>
  <c r="Q377" i="2"/>
  <c r="R377" i="2"/>
  <c r="S377" i="2"/>
  <c r="T377" i="2"/>
  <c r="V377" i="2"/>
  <c r="W377" i="2"/>
  <c r="Y377" i="2"/>
  <c r="E378" i="2"/>
  <c r="F378" i="2"/>
  <c r="G378" i="2"/>
  <c r="I378" i="2"/>
  <c r="K378" i="2"/>
  <c r="L378" i="2"/>
  <c r="N378" i="2"/>
  <c r="O378" i="2"/>
  <c r="Q378" i="2"/>
  <c r="R378" i="2"/>
  <c r="S378" i="2"/>
  <c r="T378" i="2"/>
  <c r="V378" i="2"/>
  <c r="W378" i="2"/>
  <c r="Y378" i="2"/>
  <c r="F383" i="2"/>
  <c r="G383" i="2"/>
  <c r="I383" i="2"/>
  <c r="L383" i="2"/>
  <c r="N383" i="2"/>
  <c r="O383" i="2"/>
  <c r="Q383" i="2"/>
  <c r="R383" i="2"/>
  <c r="S383" i="2"/>
  <c r="T383" i="2"/>
  <c r="V383" i="2"/>
  <c r="W383" i="2"/>
  <c r="Y383" i="2"/>
  <c r="F384" i="2"/>
  <c r="G384" i="2"/>
  <c r="I384" i="2"/>
  <c r="K384" i="2"/>
  <c r="L384" i="2"/>
  <c r="N384" i="2"/>
  <c r="O384" i="2"/>
  <c r="Q384" i="2"/>
  <c r="R384" i="2"/>
  <c r="S384" i="2"/>
  <c r="T384" i="2"/>
  <c r="V384" i="2"/>
  <c r="W384" i="2"/>
  <c r="Y384" i="2"/>
  <c r="E385" i="2"/>
  <c r="F385" i="2"/>
  <c r="G385" i="2"/>
  <c r="I385" i="2"/>
  <c r="K385" i="2"/>
  <c r="L385" i="2"/>
  <c r="N385" i="2"/>
  <c r="O385" i="2"/>
  <c r="Q385" i="2"/>
  <c r="R385" i="2"/>
  <c r="S385" i="2"/>
  <c r="T385" i="2"/>
  <c r="V385" i="2"/>
  <c r="W385" i="2"/>
  <c r="Y385" i="2"/>
  <c r="E386" i="2"/>
  <c r="F386" i="2"/>
  <c r="G386" i="2"/>
  <c r="I386" i="2"/>
  <c r="K386" i="2"/>
  <c r="L386" i="2"/>
  <c r="N386" i="2"/>
  <c r="O386" i="2"/>
  <c r="Q386" i="2"/>
  <c r="R386" i="2"/>
  <c r="S386" i="2"/>
  <c r="T386" i="2"/>
  <c r="V386" i="2"/>
  <c r="W386" i="2"/>
  <c r="Y386" i="2"/>
  <c r="F387" i="2"/>
  <c r="G387" i="2"/>
  <c r="I387" i="2"/>
  <c r="K387" i="2"/>
  <c r="L387" i="2"/>
  <c r="N387" i="2"/>
  <c r="O387" i="2"/>
  <c r="Q387" i="2"/>
  <c r="R387" i="2"/>
  <c r="S387" i="2"/>
  <c r="T387" i="2"/>
  <c r="V387" i="2"/>
  <c r="W387" i="2"/>
  <c r="Y387" i="2"/>
  <c r="E388" i="2"/>
  <c r="F388" i="2"/>
  <c r="G388" i="2"/>
  <c r="I388" i="2"/>
  <c r="K388" i="2"/>
  <c r="L388" i="2"/>
  <c r="N388" i="2"/>
  <c r="O388" i="2"/>
  <c r="Q388" i="2"/>
  <c r="R388" i="2"/>
  <c r="S388" i="2"/>
  <c r="T388" i="2"/>
  <c r="V388" i="2"/>
  <c r="W388" i="2"/>
  <c r="Y388" i="2"/>
  <c r="E389" i="2"/>
  <c r="F389" i="2"/>
  <c r="G389" i="2"/>
  <c r="I389" i="2"/>
  <c r="K389" i="2"/>
  <c r="L389" i="2"/>
  <c r="N389" i="2"/>
  <c r="O389" i="2"/>
  <c r="Q389" i="2"/>
  <c r="R389" i="2"/>
  <c r="S389" i="2"/>
  <c r="T389" i="2"/>
  <c r="V389" i="2"/>
  <c r="W389" i="2"/>
  <c r="Y389" i="2"/>
  <c r="E390" i="2"/>
  <c r="F390" i="2"/>
  <c r="G390" i="2"/>
  <c r="I390" i="2"/>
  <c r="K390" i="2"/>
  <c r="L390" i="2"/>
  <c r="N390" i="2"/>
  <c r="O390" i="2"/>
  <c r="Q390" i="2"/>
  <c r="R390" i="2"/>
  <c r="S390" i="2"/>
  <c r="T390" i="2"/>
  <c r="V390" i="2"/>
  <c r="W390" i="2"/>
  <c r="Y390" i="2"/>
  <c r="E391" i="2"/>
  <c r="F391" i="2"/>
  <c r="G391" i="2"/>
  <c r="I391" i="2"/>
  <c r="K391" i="2"/>
  <c r="L391" i="2"/>
  <c r="N391" i="2"/>
  <c r="O391" i="2"/>
  <c r="Q391" i="2"/>
  <c r="R391" i="2"/>
  <c r="S391" i="2"/>
  <c r="T391" i="2"/>
  <c r="V391" i="2"/>
  <c r="W391" i="2"/>
  <c r="Y391" i="2"/>
  <c r="E392" i="2"/>
  <c r="F392" i="2"/>
  <c r="G392" i="2"/>
  <c r="I392" i="2"/>
  <c r="K392" i="2"/>
  <c r="L392" i="2"/>
  <c r="N392" i="2"/>
  <c r="O392" i="2"/>
  <c r="Q392" i="2"/>
  <c r="R392" i="2"/>
  <c r="S392" i="2"/>
  <c r="T392" i="2"/>
  <c r="V392" i="2"/>
  <c r="W392" i="2"/>
  <c r="Y392" i="2"/>
  <c r="G393" i="2"/>
  <c r="I393" i="2"/>
  <c r="K393" i="2"/>
  <c r="L393" i="2"/>
  <c r="N393" i="2"/>
  <c r="O393" i="2"/>
  <c r="Q393" i="2"/>
  <c r="R393" i="2"/>
  <c r="S393" i="2"/>
  <c r="T393" i="2"/>
  <c r="V393" i="2"/>
  <c r="W393" i="2"/>
  <c r="Y393" i="2"/>
  <c r="E394" i="2"/>
  <c r="F394" i="2"/>
  <c r="G394" i="2"/>
  <c r="I394" i="2"/>
  <c r="K394" i="2"/>
  <c r="L394" i="2"/>
  <c r="N394" i="2"/>
  <c r="O394" i="2"/>
  <c r="Q394" i="2"/>
  <c r="R394" i="2"/>
  <c r="S394" i="2"/>
  <c r="T394" i="2"/>
  <c r="V394" i="2"/>
  <c r="W394" i="2"/>
  <c r="Y394" i="2"/>
  <c r="E395" i="2"/>
  <c r="F395" i="2"/>
  <c r="G395" i="2"/>
  <c r="I395" i="2"/>
  <c r="K395" i="2"/>
  <c r="L395" i="2"/>
  <c r="N395" i="2"/>
  <c r="O395" i="2"/>
  <c r="Q395" i="2"/>
  <c r="R395" i="2"/>
  <c r="S395" i="2"/>
  <c r="T395" i="2"/>
  <c r="V395" i="2"/>
  <c r="W395" i="2"/>
  <c r="Y395" i="2"/>
  <c r="E396" i="2"/>
  <c r="F396" i="2"/>
  <c r="G396" i="2"/>
  <c r="I396" i="2"/>
  <c r="L396" i="2"/>
  <c r="N396" i="2"/>
  <c r="O396" i="2"/>
  <c r="Q396" i="2"/>
  <c r="R396" i="2"/>
  <c r="S396" i="2"/>
  <c r="T396" i="2"/>
  <c r="V396" i="2"/>
  <c r="W396" i="2"/>
  <c r="Y396" i="2"/>
  <c r="E397" i="2"/>
  <c r="F397" i="2"/>
  <c r="G397" i="2"/>
  <c r="I397" i="2"/>
  <c r="K397" i="2"/>
  <c r="L397" i="2"/>
  <c r="N397" i="2"/>
  <c r="O397" i="2"/>
  <c r="Q397" i="2"/>
  <c r="R397" i="2"/>
  <c r="S397" i="2"/>
  <c r="T397" i="2"/>
  <c r="V397" i="2"/>
  <c r="W397" i="2"/>
  <c r="Y397" i="2"/>
  <c r="E398" i="2"/>
  <c r="F398" i="2"/>
  <c r="G398" i="2"/>
  <c r="I398" i="2"/>
  <c r="K398" i="2"/>
  <c r="L398" i="2"/>
  <c r="N398" i="2"/>
  <c r="O398" i="2"/>
  <c r="Q398" i="2"/>
  <c r="R398" i="2"/>
  <c r="S398" i="2"/>
  <c r="T398" i="2"/>
  <c r="V398" i="2"/>
  <c r="W398" i="2"/>
  <c r="Y398" i="2"/>
  <c r="E399" i="2"/>
  <c r="F399" i="2"/>
  <c r="G399" i="2"/>
  <c r="I399" i="2"/>
  <c r="K399" i="2"/>
  <c r="L399" i="2"/>
  <c r="N399" i="2"/>
  <c r="O399" i="2"/>
  <c r="Q399" i="2"/>
  <c r="R399" i="2"/>
  <c r="S399" i="2"/>
  <c r="T399" i="2"/>
  <c r="V399" i="2"/>
  <c r="W399" i="2"/>
  <c r="Y399" i="2"/>
  <c r="G408" i="2"/>
  <c r="I408" i="2"/>
  <c r="J408" i="2"/>
  <c r="K408" i="2"/>
  <c r="L408" i="2"/>
  <c r="O408" i="2"/>
  <c r="Q408" i="2"/>
  <c r="R408" i="2"/>
  <c r="S408" i="2"/>
  <c r="T408" i="2"/>
  <c r="Y408" i="2"/>
  <c r="E409" i="2"/>
  <c r="F409" i="2"/>
  <c r="G409" i="2"/>
  <c r="I409" i="2"/>
  <c r="J409" i="2"/>
  <c r="K409" i="2"/>
  <c r="L409" i="2"/>
  <c r="N409" i="2"/>
  <c r="O409" i="2"/>
  <c r="Q409" i="2"/>
  <c r="R409" i="2"/>
  <c r="S409" i="2"/>
  <c r="T409" i="2"/>
  <c r="Y409" i="2"/>
  <c r="G410" i="2"/>
  <c r="I410" i="2"/>
  <c r="J410" i="2"/>
  <c r="K410" i="2"/>
  <c r="L410" i="2"/>
  <c r="N410" i="2"/>
  <c r="O410" i="2"/>
  <c r="Q410" i="2"/>
  <c r="R410" i="2"/>
  <c r="S410" i="2"/>
  <c r="T410" i="2"/>
  <c r="Y410" i="2"/>
  <c r="E411" i="2"/>
  <c r="F411" i="2"/>
  <c r="G411" i="2"/>
  <c r="I411" i="2"/>
  <c r="J411" i="2"/>
  <c r="K411" i="2"/>
  <c r="L411" i="2"/>
  <c r="N411" i="2"/>
  <c r="O411" i="2"/>
  <c r="Q411" i="2"/>
  <c r="R411" i="2"/>
  <c r="S411" i="2"/>
  <c r="T411" i="2"/>
  <c r="Y411" i="2"/>
  <c r="E412" i="2"/>
  <c r="F412" i="2"/>
  <c r="G412" i="2"/>
  <c r="I412" i="2"/>
  <c r="J412" i="2"/>
  <c r="K412" i="2"/>
  <c r="L412" i="2"/>
  <c r="N412" i="2"/>
  <c r="O412" i="2"/>
  <c r="Q412" i="2"/>
  <c r="R412" i="2"/>
  <c r="S412" i="2"/>
  <c r="T412" i="2"/>
  <c r="Y412" i="2"/>
  <c r="E413" i="2"/>
  <c r="F413" i="2"/>
  <c r="G413" i="2"/>
  <c r="I413" i="2"/>
  <c r="J413" i="2"/>
  <c r="K413" i="2"/>
  <c r="L413" i="2"/>
  <c r="N413" i="2"/>
  <c r="O413" i="2"/>
  <c r="Q413" i="2"/>
  <c r="R413" i="2"/>
  <c r="S413" i="2"/>
  <c r="T413" i="2"/>
  <c r="Y413" i="2"/>
  <c r="E414" i="2"/>
  <c r="F414" i="2"/>
  <c r="G414" i="2"/>
  <c r="I414" i="2"/>
  <c r="J414" i="2"/>
  <c r="K414" i="2"/>
  <c r="L414" i="2"/>
  <c r="N414" i="2"/>
  <c r="O414" i="2"/>
  <c r="Q414" i="2"/>
  <c r="R414" i="2"/>
  <c r="S414" i="2"/>
  <c r="T414" i="2"/>
  <c r="Y414" i="2"/>
  <c r="E415" i="2"/>
  <c r="F415" i="2"/>
  <c r="G415" i="2"/>
  <c r="I415" i="2"/>
  <c r="J415" i="2"/>
  <c r="K415" i="2"/>
  <c r="L415" i="2"/>
  <c r="N415" i="2"/>
  <c r="O415" i="2"/>
  <c r="Q415" i="2"/>
  <c r="R415" i="2"/>
  <c r="S415" i="2"/>
  <c r="T415" i="2"/>
  <c r="Y415" i="2"/>
  <c r="E416" i="2"/>
  <c r="F416" i="2"/>
  <c r="G416" i="2"/>
  <c r="I416" i="2"/>
  <c r="J416" i="2"/>
  <c r="K416" i="2"/>
  <c r="L416" i="2"/>
  <c r="N416" i="2"/>
  <c r="O416" i="2"/>
  <c r="Q416" i="2"/>
  <c r="R416" i="2"/>
  <c r="S416" i="2"/>
  <c r="T416" i="2"/>
  <c r="Y416" i="2"/>
  <c r="E417" i="2"/>
  <c r="F417" i="2"/>
  <c r="G417" i="2"/>
  <c r="I417" i="2"/>
  <c r="J417" i="2"/>
  <c r="K417" i="2"/>
  <c r="L417" i="2"/>
  <c r="N417" i="2"/>
  <c r="O417" i="2"/>
  <c r="Q417" i="2"/>
  <c r="R417" i="2"/>
  <c r="S417" i="2"/>
  <c r="T417" i="2"/>
  <c r="Y417" i="2"/>
  <c r="E418" i="2"/>
  <c r="F418" i="2"/>
  <c r="G418" i="2"/>
  <c r="I418" i="2"/>
  <c r="J418" i="2"/>
  <c r="K418" i="2"/>
  <c r="L418" i="2"/>
  <c r="N418" i="2"/>
  <c r="O418" i="2"/>
  <c r="Q418" i="2"/>
  <c r="R418" i="2"/>
  <c r="S418" i="2"/>
  <c r="T418" i="2"/>
  <c r="Y418" i="2"/>
  <c r="E419" i="2"/>
  <c r="F419" i="2"/>
  <c r="G419" i="2"/>
  <c r="I419" i="2"/>
  <c r="J419" i="2"/>
  <c r="K419" i="2"/>
  <c r="L419" i="2"/>
  <c r="N419" i="2"/>
  <c r="O419" i="2"/>
  <c r="Q419" i="2"/>
  <c r="R419" i="2"/>
  <c r="S419" i="2"/>
  <c r="T419" i="2"/>
  <c r="Y419" i="2"/>
  <c r="E420" i="2"/>
  <c r="F420" i="2"/>
  <c r="G420" i="2"/>
  <c r="I420" i="2"/>
  <c r="J420" i="2"/>
  <c r="K420" i="2"/>
  <c r="L420" i="2"/>
  <c r="N420" i="2"/>
  <c r="O420" i="2"/>
  <c r="Q420" i="2"/>
  <c r="R420" i="2"/>
  <c r="S420" i="2"/>
  <c r="T420" i="2"/>
  <c r="Y420" i="2"/>
  <c r="E421" i="2"/>
  <c r="F421" i="2"/>
  <c r="G421" i="2"/>
  <c r="I421" i="2"/>
  <c r="J421" i="2"/>
  <c r="K421" i="2"/>
  <c r="L421" i="2"/>
  <c r="N421" i="2"/>
  <c r="O421" i="2"/>
  <c r="Q421" i="2"/>
  <c r="R421" i="2"/>
  <c r="S421" i="2"/>
  <c r="T421" i="2"/>
  <c r="Y421" i="2"/>
  <c r="E422" i="2"/>
  <c r="F422" i="2"/>
  <c r="G422" i="2"/>
  <c r="I422" i="2"/>
  <c r="J422" i="2"/>
  <c r="K422" i="2"/>
  <c r="L422" i="2"/>
  <c r="N422" i="2"/>
  <c r="O422" i="2"/>
  <c r="Q422" i="2"/>
  <c r="R422" i="2"/>
  <c r="S422" i="2"/>
  <c r="T422" i="2"/>
  <c r="Y422" i="2"/>
  <c r="E423" i="2"/>
  <c r="F423" i="2"/>
  <c r="G423" i="2"/>
  <c r="I423" i="2"/>
  <c r="J423" i="2"/>
  <c r="K423" i="2"/>
  <c r="L423" i="2"/>
  <c r="N423" i="2"/>
  <c r="O423" i="2"/>
  <c r="Q423" i="2"/>
  <c r="R423" i="2"/>
  <c r="S423" i="2"/>
  <c r="T423" i="2"/>
  <c r="Y423" i="2"/>
  <c r="E424" i="2"/>
  <c r="F424" i="2"/>
  <c r="G424" i="2"/>
  <c r="I424" i="2"/>
  <c r="J424" i="2"/>
  <c r="K424" i="2"/>
  <c r="L424" i="2"/>
  <c r="N424" i="2"/>
  <c r="O424" i="2"/>
  <c r="Q424" i="2"/>
  <c r="R424" i="2"/>
  <c r="S424" i="2"/>
  <c r="T424" i="2"/>
  <c r="Y424" i="2"/>
  <c r="E429" i="2"/>
  <c r="F429" i="2"/>
  <c r="G429" i="2"/>
  <c r="I429" i="2"/>
  <c r="J429" i="2"/>
  <c r="K429" i="2"/>
  <c r="L429" i="2"/>
  <c r="N429" i="2"/>
  <c r="O429" i="2"/>
  <c r="Q429" i="2"/>
  <c r="R429" i="2"/>
  <c r="S429" i="2"/>
  <c r="T429" i="2"/>
  <c r="Y429" i="2"/>
  <c r="E430" i="2"/>
  <c r="F430" i="2"/>
  <c r="G430" i="2"/>
  <c r="I430" i="2"/>
  <c r="J430" i="2"/>
  <c r="K430" i="2"/>
  <c r="L430" i="2"/>
  <c r="N430" i="2"/>
  <c r="O430" i="2"/>
  <c r="Q430" i="2"/>
  <c r="R430" i="2"/>
  <c r="S430" i="2"/>
  <c r="T430" i="2"/>
  <c r="Y430" i="2"/>
  <c r="E431" i="2"/>
  <c r="F431" i="2"/>
  <c r="G431" i="2"/>
  <c r="I431" i="2"/>
  <c r="J431" i="2"/>
  <c r="K431" i="2"/>
  <c r="L431" i="2"/>
  <c r="N431" i="2"/>
  <c r="O431" i="2"/>
  <c r="Q431" i="2"/>
  <c r="R431" i="2"/>
  <c r="S431" i="2"/>
  <c r="T431" i="2"/>
  <c r="Y431" i="2"/>
  <c r="E432" i="2"/>
  <c r="F432" i="2"/>
  <c r="G432" i="2"/>
  <c r="I432" i="2"/>
  <c r="J432" i="2"/>
  <c r="K432" i="2"/>
  <c r="L432" i="2"/>
  <c r="N432" i="2"/>
  <c r="O432" i="2"/>
  <c r="Q432" i="2"/>
  <c r="R432" i="2"/>
  <c r="S432" i="2"/>
  <c r="T432" i="2"/>
  <c r="Y432" i="2"/>
  <c r="E433" i="2"/>
  <c r="F433" i="2"/>
  <c r="G433" i="2"/>
  <c r="I433" i="2"/>
  <c r="J433" i="2"/>
  <c r="K433" i="2"/>
  <c r="L433" i="2"/>
  <c r="N433" i="2"/>
  <c r="O433" i="2"/>
  <c r="Q433" i="2"/>
  <c r="R433" i="2"/>
  <c r="S433" i="2"/>
  <c r="T433" i="2"/>
  <c r="Y433" i="2"/>
  <c r="E434" i="2"/>
  <c r="F434" i="2"/>
  <c r="G434" i="2"/>
  <c r="I434" i="2"/>
  <c r="J434" i="2"/>
  <c r="K434" i="2"/>
  <c r="L434" i="2"/>
  <c r="N434" i="2"/>
  <c r="O434" i="2"/>
  <c r="Q434" i="2"/>
  <c r="R434" i="2"/>
  <c r="S434" i="2"/>
  <c r="T434" i="2"/>
  <c r="Y434" i="2"/>
  <c r="E435" i="2"/>
  <c r="F435" i="2"/>
  <c r="G435" i="2"/>
  <c r="I435" i="2"/>
  <c r="J435" i="2"/>
  <c r="K435" i="2"/>
  <c r="L435" i="2"/>
  <c r="N435" i="2"/>
  <c r="O435" i="2"/>
  <c r="Q435" i="2"/>
  <c r="R435" i="2"/>
  <c r="S435" i="2"/>
  <c r="T435" i="2"/>
  <c r="Y435" i="2"/>
  <c r="E440" i="2"/>
  <c r="F440" i="2"/>
  <c r="G440" i="2"/>
  <c r="I440" i="2"/>
  <c r="J440" i="2"/>
  <c r="K440" i="2"/>
  <c r="L440" i="2"/>
  <c r="N440" i="2"/>
  <c r="O440" i="2"/>
  <c r="Q440" i="2"/>
  <c r="R440" i="2"/>
  <c r="S440" i="2"/>
  <c r="T440" i="2"/>
  <c r="Y440" i="2"/>
  <c r="E441" i="2"/>
  <c r="F441" i="2"/>
  <c r="G441" i="2"/>
  <c r="I441" i="2"/>
  <c r="J441" i="2"/>
  <c r="K441" i="2"/>
  <c r="L441" i="2"/>
  <c r="N441" i="2"/>
  <c r="O441" i="2"/>
  <c r="Q441" i="2"/>
  <c r="R441" i="2"/>
  <c r="S441" i="2"/>
  <c r="T441" i="2"/>
  <c r="Y441" i="2"/>
  <c r="E442" i="2"/>
  <c r="F442" i="2"/>
  <c r="G442" i="2"/>
  <c r="I442" i="2"/>
  <c r="J442" i="2"/>
  <c r="K442" i="2"/>
  <c r="L442" i="2"/>
  <c r="N442" i="2"/>
  <c r="O442" i="2"/>
  <c r="Q442" i="2"/>
  <c r="R442" i="2"/>
  <c r="S442" i="2"/>
  <c r="T442" i="2"/>
  <c r="Y442" i="2"/>
  <c r="E443" i="2"/>
  <c r="F443" i="2"/>
  <c r="G443" i="2"/>
  <c r="I443" i="2"/>
  <c r="J443" i="2"/>
  <c r="K443" i="2"/>
  <c r="L443" i="2"/>
  <c r="N443" i="2"/>
  <c r="O443" i="2"/>
  <c r="Q443" i="2"/>
  <c r="R443" i="2"/>
  <c r="S443" i="2"/>
  <c r="T443" i="2"/>
  <c r="Y443" i="2"/>
  <c r="E444" i="2"/>
  <c r="F444" i="2"/>
  <c r="G444" i="2"/>
  <c r="I444" i="2"/>
  <c r="J444" i="2"/>
  <c r="K444" i="2"/>
  <c r="L444" i="2"/>
  <c r="N444" i="2"/>
  <c r="O444" i="2"/>
  <c r="Q444" i="2"/>
  <c r="R444" i="2"/>
  <c r="S444" i="2"/>
  <c r="T444" i="2"/>
  <c r="Y444" i="2"/>
  <c r="E445" i="2"/>
  <c r="F445" i="2"/>
  <c r="G445" i="2"/>
  <c r="I445" i="2"/>
  <c r="J445" i="2"/>
  <c r="K445" i="2"/>
  <c r="L445" i="2"/>
  <c r="N445" i="2"/>
  <c r="O445" i="2"/>
  <c r="Q445" i="2"/>
  <c r="R445" i="2"/>
  <c r="S445" i="2"/>
  <c r="T445" i="2"/>
  <c r="Y445" i="2"/>
  <c r="E446" i="2"/>
  <c r="F446" i="2"/>
  <c r="G446" i="2"/>
  <c r="I446" i="2"/>
  <c r="J446" i="2"/>
  <c r="K446" i="2"/>
  <c r="L446" i="2"/>
  <c r="N446" i="2"/>
  <c r="O446" i="2"/>
  <c r="Q446" i="2"/>
  <c r="R446" i="2"/>
  <c r="S446" i="2"/>
  <c r="T446" i="2"/>
  <c r="Y446" i="2"/>
  <c r="E447" i="2"/>
  <c r="F447" i="2"/>
  <c r="G447" i="2"/>
  <c r="I447" i="2"/>
  <c r="J447" i="2"/>
  <c r="K447" i="2"/>
  <c r="L447" i="2"/>
  <c r="N447" i="2"/>
  <c r="O447" i="2"/>
  <c r="Q447" i="2"/>
  <c r="R447" i="2"/>
  <c r="S447" i="2"/>
  <c r="T447" i="2"/>
  <c r="Y447" i="2"/>
  <c r="E448" i="2"/>
  <c r="F448" i="2"/>
  <c r="G448" i="2"/>
  <c r="I448" i="2"/>
  <c r="J448" i="2"/>
  <c r="K448" i="2"/>
  <c r="L448" i="2"/>
  <c r="N448" i="2"/>
  <c r="O448" i="2"/>
  <c r="Q448" i="2"/>
  <c r="R448" i="2"/>
  <c r="S448" i="2"/>
  <c r="T448" i="2"/>
  <c r="Y448" i="2"/>
  <c r="E449" i="2"/>
  <c r="F449" i="2"/>
  <c r="G449" i="2"/>
  <c r="I449" i="2"/>
  <c r="J449" i="2"/>
  <c r="K449" i="2"/>
  <c r="L449" i="2"/>
  <c r="N449" i="2"/>
  <c r="O449" i="2"/>
  <c r="Q449" i="2"/>
  <c r="R449" i="2"/>
  <c r="S449" i="2"/>
  <c r="T449" i="2"/>
  <c r="Y449" i="2"/>
  <c r="E450" i="2"/>
  <c r="F450" i="2"/>
  <c r="G450" i="2"/>
  <c r="I450" i="2"/>
  <c r="J450" i="2"/>
  <c r="K450" i="2"/>
  <c r="L450" i="2"/>
  <c r="N450" i="2"/>
  <c r="O450" i="2"/>
  <c r="Q450" i="2"/>
  <c r="R450" i="2"/>
  <c r="S450" i="2"/>
  <c r="T450" i="2"/>
  <c r="Y450" i="2"/>
  <c r="E451" i="2"/>
  <c r="F451" i="2"/>
  <c r="G451" i="2"/>
  <c r="I451" i="2"/>
  <c r="J451" i="2"/>
  <c r="K451" i="2"/>
  <c r="L451" i="2"/>
  <c r="N451" i="2"/>
  <c r="O451" i="2"/>
  <c r="Q451" i="2"/>
  <c r="R451" i="2"/>
  <c r="S451" i="2"/>
  <c r="T451" i="2"/>
  <c r="Y451" i="2"/>
  <c r="E456" i="2"/>
  <c r="F456" i="2"/>
  <c r="G456" i="2"/>
  <c r="I456" i="2"/>
  <c r="J456" i="2"/>
  <c r="K456" i="2"/>
  <c r="L456" i="2"/>
  <c r="N456" i="2"/>
  <c r="O456" i="2"/>
  <c r="Q456" i="2"/>
  <c r="R456" i="2"/>
  <c r="S456" i="2"/>
  <c r="T456" i="2"/>
  <c r="W456" i="2"/>
  <c r="Y456" i="2"/>
  <c r="E457" i="2"/>
  <c r="F457" i="2"/>
  <c r="G457" i="2"/>
  <c r="I457" i="2"/>
  <c r="J457" i="2"/>
  <c r="K457" i="2"/>
  <c r="L457" i="2"/>
  <c r="N457" i="2"/>
  <c r="O457" i="2"/>
  <c r="Q457" i="2"/>
  <c r="R457" i="2"/>
  <c r="S457" i="2"/>
  <c r="T457" i="2"/>
  <c r="W457" i="2"/>
  <c r="Y457" i="2"/>
  <c r="E458" i="2"/>
  <c r="F458" i="2"/>
  <c r="G458" i="2"/>
  <c r="I458" i="2"/>
  <c r="J458" i="2"/>
  <c r="K458" i="2"/>
  <c r="L458" i="2"/>
  <c r="N458" i="2"/>
  <c r="O458" i="2"/>
  <c r="Q458" i="2"/>
  <c r="R458" i="2"/>
  <c r="S458" i="2"/>
  <c r="T458" i="2"/>
  <c r="W458" i="2"/>
  <c r="Y458" i="2"/>
  <c r="E459" i="2"/>
  <c r="F459" i="2"/>
  <c r="G459" i="2"/>
  <c r="I459" i="2"/>
  <c r="J459" i="2"/>
  <c r="K459" i="2"/>
  <c r="L459" i="2"/>
  <c r="N459" i="2"/>
  <c r="O459" i="2"/>
  <c r="Q459" i="2"/>
  <c r="R459" i="2"/>
  <c r="S459" i="2"/>
  <c r="T459" i="2"/>
  <c r="W459" i="2"/>
  <c r="Y459" i="2"/>
  <c r="E460" i="2"/>
  <c r="F460" i="2"/>
  <c r="G460" i="2"/>
  <c r="I460" i="2"/>
  <c r="J460" i="2"/>
  <c r="K460" i="2"/>
  <c r="L460" i="2"/>
  <c r="N460" i="2"/>
  <c r="O460" i="2"/>
  <c r="Q460" i="2"/>
  <c r="R460" i="2"/>
  <c r="S460" i="2"/>
  <c r="T460" i="2"/>
  <c r="Y460" i="2"/>
  <c r="E461" i="2"/>
  <c r="F461" i="2"/>
  <c r="G461" i="2"/>
  <c r="I461" i="2"/>
  <c r="J461" i="2"/>
  <c r="K461" i="2"/>
  <c r="L461" i="2"/>
  <c r="N461" i="2"/>
  <c r="O461" i="2"/>
  <c r="Q461" i="2"/>
  <c r="R461" i="2"/>
  <c r="S461" i="2"/>
  <c r="T461" i="2"/>
  <c r="Y461" i="2"/>
  <c r="E462" i="2"/>
  <c r="G462" i="2"/>
  <c r="I462" i="2"/>
  <c r="J462" i="2"/>
  <c r="K462" i="2"/>
  <c r="L462" i="2"/>
  <c r="N462" i="2"/>
  <c r="O462" i="2"/>
  <c r="Q462" i="2"/>
  <c r="R462" i="2"/>
  <c r="S462" i="2"/>
  <c r="T462" i="2"/>
  <c r="Y462" i="2"/>
  <c r="E463" i="2"/>
  <c r="F463" i="2"/>
  <c r="G463" i="2"/>
  <c r="I463" i="2"/>
  <c r="J463" i="2"/>
  <c r="K463" i="2"/>
  <c r="L463" i="2"/>
  <c r="N463" i="2"/>
  <c r="O463" i="2"/>
  <c r="Q463" i="2"/>
  <c r="R463" i="2"/>
  <c r="S463" i="2"/>
  <c r="T463" i="2"/>
  <c r="Y463" i="2"/>
  <c r="E464" i="2"/>
  <c r="F464" i="2"/>
  <c r="G464" i="2"/>
  <c r="I464" i="2"/>
  <c r="I2616" i="2" s="1"/>
  <c r="J464" i="2"/>
  <c r="J2616" i="2" s="1"/>
  <c r="K464" i="2"/>
  <c r="K2616" i="2" s="1"/>
  <c r="L464" i="2"/>
  <c r="N464" i="2"/>
  <c r="N2616" i="2" s="1"/>
  <c r="P2616" i="2" s="1"/>
  <c r="O464" i="2"/>
  <c r="Q464" i="2"/>
  <c r="Q2616" i="2" s="1"/>
  <c r="R464" i="2"/>
  <c r="R2616" i="2" s="1"/>
  <c r="S464" i="2"/>
  <c r="S2616" i="2" s="1"/>
  <c r="T464" i="2"/>
  <c r="Y464" i="2"/>
  <c r="E465" i="2"/>
  <c r="F465" i="2"/>
  <c r="G465" i="2"/>
  <c r="I465" i="2"/>
  <c r="J465" i="2"/>
  <c r="K465" i="2"/>
  <c r="L465" i="2"/>
  <c r="N465" i="2"/>
  <c r="O465" i="2"/>
  <c r="Q465" i="2"/>
  <c r="R465" i="2"/>
  <c r="S465" i="2"/>
  <c r="T465" i="2"/>
  <c r="Y465" i="2"/>
  <c r="E471" i="2"/>
  <c r="F471" i="2"/>
  <c r="G471" i="2"/>
  <c r="I471" i="2"/>
  <c r="J471" i="2"/>
  <c r="K471" i="2"/>
  <c r="L471" i="2"/>
  <c r="N471" i="2"/>
  <c r="O471" i="2"/>
  <c r="Q471" i="2"/>
  <c r="R471" i="2"/>
  <c r="S471" i="2"/>
  <c r="T471" i="2"/>
  <c r="Y471" i="2"/>
  <c r="E472" i="2"/>
  <c r="F472" i="2"/>
  <c r="G472" i="2"/>
  <c r="I472" i="2"/>
  <c r="J472" i="2"/>
  <c r="K472" i="2"/>
  <c r="L472" i="2"/>
  <c r="N472" i="2"/>
  <c r="O472" i="2"/>
  <c r="Q472" i="2"/>
  <c r="R472" i="2"/>
  <c r="S472" i="2"/>
  <c r="T472" i="2"/>
  <c r="Y472" i="2"/>
  <c r="E473" i="2"/>
  <c r="F473" i="2"/>
  <c r="G473" i="2"/>
  <c r="I473" i="2"/>
  <c r="J473" i="2"/>
  <c r="K473" i="2"/>
  <c r="L473" i="2"/>
  <c r="N473" i="2"/>
  <c r="O473" i="2"/>
  <c r="Q473" i="2"/>
  <c r="R473" i="2"/>
  <c r="S473" i="2"/>
  <c r="T473" i="2"/>
  <c r="Y473" i="2"/>
  <c r="E474" i="2"/>
  <c r="F474" i="2"/>
  <c r="G474" i="2"/>
  <c r="I474" i="2"/>
  <c r="J474" i="2"/>
  <c r="K474" i="2"/>
  <c r="L474" i="2"/>
  <c r="N474" i="2"/>
  <c r="O474" i="2"/>
  <c r="Q474" i="2"/>
  <c r="R474" i="2"/>
  <c r="S474" i="2"/>
  <c r="T474" i="2"/>
  <c r="Y474" i="2"/>
  <c r="E475" i="2"/>
  <c r="F475" i="2"/>
  <c r="G475" i="2"/>
  <c r="I475" i="2"/>
  <c r="J475" i="2"/>
  <c r="K475" i="2"/>
  <c r="L475" i="2"/>
  <c r="N475" i="2"/>
  <c r="O475" i="2"/>
  <c r="Q475" i="2"/>
  <c r="R475" i="2"/>
  <c r="S475" i="2"/>
  <c r="T475" i="2"/>
  <c r="Y475" i="2"/>
  <c r="E476" i="2"/>
  <c r="F476" i="2"/>
  <c r="G476" i="2"/>
  <c r="I476" i="2"/>
  <c r="J476" i="2"/>
  <c r="K476" i="2"/>
  <c r="L476" i="2"/>
  <c r="N476" i="2"/>
  <c r="O476" i="2"/>
  <c r="Q476" i="2"/>
  <c r="R476" i="2"/>
  <c r="S476" i="2"/>
  <c r="T476" i="2"/>
  <c r="Y476" i="2"/>
  <c r="E477" i="2"/>
  <c r="F477" i="2"/>
  <c r="G477" i="2"/>
  <c r="I477" i="2"/>
  <c r="J477" i="2"/>
  <c r="K477" i="2"/>
  <c r="L477" i="2"/>
  <c r="N477" i="2"/>
  <c r="O477" i="2"/>
  <c r="Q477" i="2"/>
  <c r="R477" i="2"/>
  <c r="S477" i="2"/>
  <c r="T477" i="2"/>
  <c r="Y477" i="2"/>
  <c r="E478" i="2"/>
  <c r="F478" i="2"/>
  <c r="G478" i="2"/>
  <c r="I478" i="2"/>
  <c r="J478" i="2"/>
  <c r="K478" i="2"/>
  <c r="L478" i="2"/>
  <c r="N478" i="2"/>
  <c r="O478" i="2"/>
  <c r="Q478" i="2"/>
  <c r="R478" i="2"/>
  <c r="S478" i="2"/>
  <c r="T478" i="2"/>
  <c r="Y478" i="2"/>
  <c r="E483" i="2"/>
  <c r="F483" i="2"/>
  <c r="G483" i="2"/>
  <c r="I483" i="2"/>
  <c r="J483" i="2"/>
  <c r="K483" i="2"/>
  <c r="L483" i="2"/>
  <c r="N483" i="2"/>
  <c r="O483" i="2"/>
  <c r="Q483" i="2"/>
  <c r="R483" i="2"/>
  <c r="S483" i="2"/>
  <c r="T483" i="2"/>
  <c r="Y483" i="2"/>
  <c r="E484" i="2"/>
  <c r="F484" i="2"/>
  <c r="G484" i="2"/>
  <c r="I484" i="2"/>
  <c r="J484" i="2"/>
  <c r="K484" i="2"/>
  <c r="L484" i="2"/>
  <c r="N484" i="2"/>
  <c r="O484" i="2"/>
  <c r="Q484" i="2"/>
  <c r="R484" i="2"/>
  <c r="S484" i="2"/>
  <c r="T484" i="2"/>
  <c r="Y484" i="2"/>
  <c r="E485" i="2"/>
  <c r="F485" i="2"/>
  <c r="G485" i="2"/>
  <c r="I485" i="2"/>
  <c r="J485" i="2"/>
  <c r="K485" i="2"/>
  <c r="L485" i="2"/>
  <c r="N485" i="2"/>
  <c r="O485" i="2"/>
  <c r="Q485" i="2"/>
  <c r="R485" i="2"/>
  <c r="S485" i="2"/>
  <c r="T485" i="2"/>
  <c r="W485" i="2"/>
  <c r="Y485" i="2"/>
  <c r="E486" i="2"/>
  <c r="F486" i="2"/>
  <c r="G486" i="2"/>
  <c r="I486" i="2"/>
  <c r="J486" i="2"/>
  <c r="K486" i="2"/>
  <c r="L486" i="2"/>
  <c r="N486" i="2"/>
  <c r="O486" i="2"/>
  <c r="Q486" i="2"/>
  <c r="R486" i="2"/>
  <c r="S486" i="2"/>
  <c r="T486" i="2"/>
  <c r="Y486" i="2"/>
  <c r="E487" i="2"/>
  <c r="F487" i="2"/>
  <c r="G487" i="2"/>
  <c r="I487" i="2"/>
  <c r="J487" i="2"/>
  <c r="K487" i="2"/>
  <c r="L487" i="2"/>
  <c r="N487" i="2"/>
  <c r="O487" i="2"/>
  <c r="Q487" i="2"/>
  <c r="R487" i="2"/>
  <c r="S487" i="2"/>
  <c r="T487" i="2"/>
  <c r="Y487" i="2"/>
  <c r="E492" i="2"/>
  <c r="F492" i="2"/>
  <c r="G492" i="2"/>
  <c r="I492" i="2"/>
  <c r="J492" i="2"/>
  <c r="K492" i="2"/>
  <c r="L492" i="2"/>
  <c r="N492" i="2"/>
  <c r="O492" i="2"/>
  <c r="Q492" i="2"/>
  <c r="R492" i="2"/>
  <c r="S492" i="2"/>
  <c r="T492" i="2"/>
  <c r="Y492" i="2"/>
  <c r="E493" i="2"/>
  <c r="F493" i="2"/>
  <c r="G493" i="2"/>
  <c r="I493" i="2"/>
  <c r="J493" i="2"/>
  <c r="K493" i="2"/>
  <c r="L493" i="2"/>
  <c r="N493" i="2"/>
  <c r="O493" i="2"/>
  <c r="Q493" i="2"/>
  <c r="R493" i="2"/>
  <c r="S493" i="2"/>
  <c r="T493" i="2"/>
  <c r="Y493" i="2"/>
  <c r="E494" i="2"/>
  <c r="F494" i="2"/>
  <c r="G494" i="2"/>
  <c r="I494" i="2"/>
  <c r="J494" i="2"/>
  <c r="K494" i="2"/>
  <c r="L494" i="2"/>
  <c r="N494" i="2"/>
  <c r="O494" i="2"/>
  <c r="Q494" i="2"/>
  <c r="R494" i="2"/>
  <c r="S494" i="2"/>
  <c r="T494" i="2"/>
  <c r="Y494" i="2"/>
  <c r="E495" i="2"/>
  <c r="F495" i="2"/>
  <c r="G495" i="2"/>
  <c r="I495" i="2"/>
  <c r="J495" i="2"/>
  <c r="K495" i="2"/>
  <c r="L495" i="2"/>
  <c r="N495" i="2"/>
  <c r="O495" i="2"/>
  <c r="Q495" i="2"/>
  <c r="R495" i="2"/>
  <c r="S495" i="2"/>
  <c r="T495" i="2"/>
  <c r="Y495" i="2"/>
  <c r="E496" i="2"/>
  <c r="F496" i="2"/>
  <c r="G496" i="2"/>
  <c r="I496" i="2"/>
  <c r="J496" i="2"/>
  <c r="K496" i="2"/>
  <c r="L496" i="2"/>
  <c r="N496" i="2"/>
  <c r="O496" i="2"/>
  <c r="Q496" i="2"/>
  <c r="R496" i="2"/>
  <c r="S496" i="2"/>
  <c r="T496" i="2"/>
  <c r="Y496" i="2"/>
  <c r="E497" i="2"/>
  <c r="F497" i="2"/>
  <c r="G497" i="2"/>
  <c r="I497" i="2"/>
  <c r="J497" i="2"/>
  <c r="K497" i="2"/>
  <c r="L497" i="2"/>
  <c r="N497" i="2"/>
  <c r="O497" i="2"/>
  <c r="Q497" i="2"/>
  <c r="R497" i="2"/>
  <c r="S497" i="2"/>
  <c r="T497" i="2"/>
  <c r="Y497" i="2"/>
  <c r="E498" i="2"/>
  <c r="F498" i="2"/>
  <c r="G498" i="2"/>
  <c r="I498" i="2"/>
  <c r="J498" i="2"/>
  <c r="K498" i="2"/>
  <c r="L498" i="2"/>
  <c r="N498" i="2"/>
  <c r="O498" i="2"/>
  <c r="Q498" i="2"/>
  <c r="R498" i="2"/>
  <c r="S498" i="2"/>
  <c r="T498" i="2"/>
  <c r="Y498" i="2"/>
  <c r="E499" i="2"/>
  <c r="F499" i="2"/>
  <c r="G499" i="2"/>
  <c r="I499" i="2"/>
  <c r="J499" i="2"/>
  <c r="K499" i="2"/>
  <c r="L499" i="2"/>
  <c r="N499" i="2"/>
  <c r="O499" i="2"/>
  <c r="Q499" i="2"/>
  <c r="R499" i="2"/>
  <c r="S499" i="2"/>
  <c r="T499" i="2"/>
  <c r="Y499" i="2"/>
  <c r="E500" i="2"/>
  <c r="F500" i="2"/>
  <c r="G500" i="2"/>
  <c r="I500" i="2"/>
  <c r="J500" i="2"/>
  <c r="K500" i="2"/>
  <c r="L500" i="2"/>
  <c r="N500" i="2"/>
  <c r="O500" i="2"/>
  <c r="Q500" i="2"/>
  <c r="R500" i="2"/>
  <c r="S500" i="2"/>
  <c r="T500" i="2"/>
  <c r="Y500" i="2"/>
  <c r="E505" i="2"/>
  <c r="F505" i="2"/>
  <c r="G505" i="2"/>
  <c r="I505" i="2"/>
  <c r="J505" i="2"/>
  <c r="K505" i="2"/>
  <c r="L505" i="2"/>
  <c r="N505" i="2"/>
  <c r="O505" i="2"/>
  <c r="Q505" i="2"/>
  <c r="R505" i="2"/>
  <c r="S505" i="2"/>
  <c r="T505" i="2"/>
  <c r="Y505" i="2"/>
  <c r="E506" i="2"/>
  <c r="F506" i="2"/>
  <c r="G506" i="2"/>
  <c r="I506" i="2"/>
  <c r="J506" i="2"/>
  <c r="K506" i="2"/>
  <c r="L506" i="2"/>
  <c r="N506" i="2"/>
  <c r="O506" i="2"/>
  <c r="Q506" i="2"/>
  <c r="R506" i="2"/>
  <c r="S506" i="2"/>
  <c r="T506" i="2"/>
  <c r="Y506" i="2"/>
  <c r="E507" i="2"/>
  <c r="F507" i="2"/>
  <c r="G507" i="2"/>
  <c r="H507" i="2"/>
  <c r="I507" i="2"/>
  <c r="J507" i="2"/>
  <c r="K507" i="2"/>
  <c r="L507" i="2"/>
  <c r="M507" i="2"/>
  <c r="N507" i="2"/>
  <c r="O507" i="2"/>
  <c r="P507" i="2"/>
  <c r="Q507" i="2"/>
  <c r="R507" i="2"/>
  <c r="S507" i="2"/>
  <c r="T507" i="2"/>
  <c r="U507" i="2"/>
  <c r="V507" i="2"/>
  <c r="W507" i="2"/>
  <c r="X507" i="2"/>
  <c r="Y507" i="2"/>
  <c r="Z507" i="2"/>
  <c r="AA507" i="2"/>
  <c r="AB507" i="2"/>
  <c r="E508" i="2"/>
  <c r="F508" i="2"/>
  <c r="G508" i="2"/>
  <c r="I508" i="2"/>
  <c r="J508" i="2"/>
  <c r="K508" i="2"/>
  <c r="L508" i="2"/>
  <c r="N508" i="2"/>
  <c r="O508" i="2"/>
  <c r="Q508" i="2"/>
  <c r="R508" i="2"/>
  <c r="S508" i="2"/>
  <c r="T508" i="2"/>
  <c r="Y508" i="2"/>
  <c r="E509" i="2"/>
  <c r="F509" i="2"/>
  <c r="G509" i="2"/>
  <c r="I509" i="2"/>
  <c r="J509" i="2"/>
  <c r="K509" i="2"/>
  <c r="L509" i="2"/>
  <c r="N509" i="2"/>
  <c r="O509" i="2"/>
  <c r="Q509" i="2"/>
  <c r="R509" i="2"/>
  <c r="S509" i="2"/>
  <c r="T509" i="2"/>
  <c r="Y509" i="2"/>
  <c r="E510" i="2"/>
  <c r="F510" i="2"/>
  <c r="G510" i="2"/>
  <c r="I510" i="2"/>
  <c r="J510" i="2"/>
  <c r="K510" i="2"/>
  <c r="L510" i="2"/>
  <c r="N510" i="2"/>
  <c r="O510" i="2"/>
  <c r="Q510" i="2"/>
  <c r="R510" i="2"/>
  <c r="S510" i="2"/>
  <c r="T510" i="2"/>
  <c r="Y510" i="2"/>
  <c r="E511" i="2"/>
  <c r="F511" i="2"/>
  <c r="G511" i="2"/>
  <c r="I511" i="2"/>
  <c r="J511" i="2"/>
  <c r="K511" i="2"/>
  <c r="L511" i="2"/>
  <c r="N511" i="2"/>
  <c r="O511" i="2"/>
  <c r="Q511" i="2"/>
  <c r="R511" i="2"/>
  <c r="S511" i="2"/>
  <c r="T511" i="2"/>
  <c r="Y511" i="2"/>
  <c r="E512" i="2"/>
  <c r="F512" i="2"/>
  <c r="G512" i="2"/>
  <c r="I512" i="2"/>
  <c r="J512" i="2"/>
  <c r="K512" i="2"/>
  <c r="L512" i="2"/>
  <c r="N512" i="2"/>
  <c r="O512" i="2"/>
  <c r="Q512" i="2"/>
  <c r="R512" i="2"/>
  <c r="S512" i="2"/>
  <c r="T512" i="2"/>
  <c r="Y512" i="2"/>
  <c r="E513" i="2"/>
  <c r="F513" i="2"/>
  <c r="G513" i="2"/>
  <c r="I513" i="2"/>
  <c r="J513" i="2"/>
  <c r="K513" i="2"/>
  <c r="L513" i="2"/>
  <c r="N513" i="2"/>
  <c r="O513" i="2"/>
  <c r="Q513" i="2"/>
  <c r="R513" i="2"/>
  <c r="S513" i="2"/>
  <c r="T513" i="2"/>
  <c r="Y513" i="2"/>
  <c r="E519" i="2"/>
  <c r="F519" i="2"/>
  <c r="G519" i="2"/>
  <c r="I519" i="2"/>
  <c r="J519" i="2"/>
  <c r="K519" i="2"/>
  <c r="L519" i="2"/>
  <c r="N519" i="2"/>
  <c r="O519" i="2"/>
  <c r="Q519" i="2"/>
  <c r="R519" i="2"/>
  <c r="S519" i="2"/>
  <c r="T519" i="2"/>
  <c r="Y519" i="2"/>
  <c r="E520" i="2"/>
  <c r="F520" i="2"/>
  <c r="G520" i="2"/>
  <c r="I520" i="2"/>
  <c r="J520" i="2"/>
  <c r="K520" i="2"/>
  <c r="L520" i="2"/>
  <c r="N520" i="2"/>
  <c r="O520" i="2"/>
  <c r="Q520" i="2"/>
  <c r="R520" i="2"/>
  <c r="S520" i="2"/>
  <c r="T520" i="2"/>
  <c r="V520" i="2"/>
  <c r="W520" i="2"/>
  <c r="Y520" i="2"/>
  <c r="E521" i="2"/>
  <c r="F521" i="2"/>
  <c r="G521" i="2"/>
  <c r="I521" i="2"/>
  <c r="J521" i="2"/>
  <c r="K521" i="2"/>
  <c r="L521" i="2"/>
  <c r="N521" i="2"/>
  <c r="O521" i="2"/>
  <c r="Q521" i="2"/>
  <c r="R521" i="2"/>
  <c r="S521" i="2"/>
  <c r="T521" i="2"/>
  <c r="Y521" i="2"/>
  <c r="E522" i="2"/>
  <c r="F522" i="2"/>
  <c r="G522" i="2"/>
  <c r="I522" i="2"/>
  <c r="J522" i="2"/>
  <c r="K522" i="2"/>
  <c r="L522" i="2"/>
  <c r="O522" i="2"/>
  <c r="Q522" i="2"/>
  <c r="R522" i="2"/>
  <c r="S522" i="2"/>
  <c r="T522" i="2"/>
  <c r="Y522" i="2"/>
  <c r="E523" i="2"/>
  <c r="F523" i="2"/>
  <c r="G523" i="2"/>
  <c r="I523" i="2"/>
  <c r="J523" i="2"/>
  <c r="K523" i="2"/>
  <c r="L523" i="2"/>
  <c r="N523" i="2"/>
  <c r="O523" i="2"/>
  <c r="Q523" i="2"/>
  <c r="R523" i="2"/>
  <c r="S523" i="2"/>
  <c r="T523" i="2"/>
  <c r="Y523" i="2"/>
  <c r="E524" i="2"/>
  <c r="F524" i="2"/>
  <c r="G524" i="2"/>
  <c r="I524" i="2"/>
  <c r="J524" i="2"/>
  <c r="K524" i="2"/>
  <c r="L524" i="2"/>
  <c r="N524" i="2"/>
  <c r="O524" i="2"/>
  <c r="Q524" i="2"/>
  <c r="R524" i="2"/>
  <c r="S524" i="2"/>
  <c r="T524" i="2"/>
  <c r="Y524" i="2"/>
  <c r="E529" i="2"/>
  <c r="F529" i="2"/>
  <c r="G529" i="2"/>
  <c r="I529" i="2"/>
  <c r="J529" i="2"/>
  <c r="K529" i="2"/>
  <c r="L529" i="2"/>
  <c r="N529" i="2"/>
  <c r="O529" i="2"/>
  <c r="Q529" i="2"/>
  <c r="R529" i="2"/>
  <c r="S529" i="2"/>
  <c r="T529" i="2"/>
  <c r="Y529" i="2"/>
  <c r="E530" i="2"/>
  <c r="G530" i="2"/>
  <c r="I530" i="2"/>
  <c r="J530" i="2"/>
  <c r="K530" i="2"/>
  <c r="L530" i="2"/>
  <c r="N530" i="2"/>
  <c r="O530" i="2"/>
  <c r="Q530" i="2"/>
  <c r="R530" i="2"/>
  <c r="S530" i="2"/>
  <c r="T530" i="2"/>
  <c r="Y530" i="2"/>
  <c r="E531" i="2"/>
  <c r="F531" i="2"/>
  <c r="G531" i="2"/>
  <c r="I531" i="2"/>
  <c r="J531" i="2"/>
  <c r="K531" i="2"/>
  <c r="L531" i="2"/>
  <c r="N531" i="2"/>
  <c r="O531" i="2"/>
  <c r="Q531" i="2"/>
  <c r="R531" i="2"/>
  <c r="S531" i="2"/>
  <c r="T531" i="2"/>
  <c r="Y531" i="2"/>
  <c r="E532" i="2"/>
  <c r="F532" i="2"/>
  <c r="G532" i="2"/>
  <c r="I532" i="2"/>
  <c r="J532" i="2"/>
  <c r="K532" i="2"/>
  <c r="L532" i="2"/>
  <c r="N532" i="2"/>
  <c r="O532" i="2"/>
  <c r="Q532" i="2"/>
  <c r="R532" i="2"/>
  <c r="S532" i="2"/>
  <c r="T532" i="2"/>
  <c r="Y532" i="2"/>
  <c r="E533" i="2"/>
  <c r="F533" i="2"/>
  <c r="G533" i="2"/>
  <c r="I533" i="2"/>
  <c r="J533" i="2"/>
  <c r="K533" i="2"/>
  <c r="L533" i="2"/>
  <c r="N533" i="2"/>
  <c r="O533" i="2"/>
  <c r="Q533" i="2"/>
  <c r="R533" i="2"/>
  <c r="S533" i="2"/>
  <c r="T533" i="2"/>
  <c r="Y533" i="2"/>
  <c r="G534" i="2"/>
  <c r="I534" i="2"/>
  <c r="J534" i="2"/>
  <c r="K534" i="2"/>
  <c r="L534" i="2"/>
  <c r="N534" i="2"/>
  <c r="O534" i="2"/>
  <c r="Q534" i="2"/>
  <c r="R534" i="2"/>
  <c r="S534" i="2"/>
  <c r="T534" i="2"/>
  <c r="Y534" i="2"/>
  <c r="E535" i="2"/>
  <c r="F535" i="2"/>
  <c r="G535" i="2"/>
  <c r="I535" i="2"/>
  <c r="J535" i="2"/>
  <c r="K535" i="2"/>
  <c r="L535" i="2"/>
  <c r="N535" i="2"/>
  <c r="O535" i="2"/>
  <c r="Q535" i="2"/>
  <c r="R535" i="2"/>
  <c r="S535" i="2"/>
  <c r="T535" i="2"/>
  <c r="Y535" i="2"/>
  <c r="E540" i="2"/>
  <c r="E542" i="2" s="1"/>
  <c r="F540" i="2"/>
  <c r="F542" i="2" s="1"/>
  <c r="G540" i="2"/>
  <c r="I540" i="2"/>
  <c r="J540" i="2"/>
  <c r="J542" i="2" s="1"/>
  <c r="K540" i="2"/>
  <c r="K542" i="2" s="1"/>
  <c r="L540" i="2"/>
  <c r="L542" i="2" s="1"/>
  <c r="N540" i="2"/>
  <c r="N542" i="2" s="1"/>
  <c r="O540" i="2"/>
  <c r="O542" i="2" s="1"/>
  <c r="Q540" i="2"/>
  <c r="Q542" i="2" s="1"/>
  <c r="R540" i="2"/>
  <c r="R542" i="2" s="1"/>
  <c r="S540" i="2"/>
  <c r="S542" i="2" s="1"/>
  <c r="T540" i="2"/>
  <c r="T542" i="2" s="1"/>
  <c r="Y540" i="2"/>
  <c r="Y542" i="2" s="1"/>
  <c r="G542" i="2"/>
  <c r="I542" i="2"/>
  <c r="E545" i="2"/>
  <c r="F545" i="2"/>
  <c r="G545" i="2"/>
  <c r="I545" i="2"/>
  <c r="J545" i="2"/>
  <c r="K545" i="2"/>
  <c r="L545" i="2"/>
  <c r="N545" i="2"/>
  <c r="O545" i="2"/>
  <c r="Q545" i="2"/>
  <c r="R545" i="2"/>
  <c r="S545" i="2"/>
  <c r="T545" i="2"/>
  <c r="Y545" i="2"/>
  <c r="E546" i="2"/>
  <c r="F546" i="2"/>
  <c r="G546" i="2"/>
  <c r="I546" i="2"/>
  <c r="J546" i="2"/>
  <c r="K546" i="2"/>
  <c r="L546" i="2"/>
  <c r="N546" i="2"/>
  <c r="O546" i="2"/>
  <c r="Q546" i="2"/>
  <c r="R546" i="2"/>
  <c r="S546" i="2"/>
  <c r="T546" i="2"/>
  <c r="Y546" i="2"/>
  <c r="E547" i="2"/>
  <c r="F547" i="2"/>
  <c r="G547" i="2"/>
  <c r="I547" i="2"/>
  <c r="J547" i="2"/>
  <c r="K547" i="2"/>
  <c r="L547" i="2"/>
  <c r="N547" i="2"/>
  <c r="O547" i="2"/>
  <c r="Q547" i="2"/>
  <c r="R547" i="2"/>
  <c r="S547" i="2"/>
  <c r="T547" i="2"/>
  <c r="Y547" i="2"/>
  <c r="E552" i="2"/>
  <c r="F552" i="2"/>
  <c r="G552" i="2"/>
  <c r="I552" i="2"/>
  <c r="J552" i="2"/>
  <c r="K552" i="2"/>
  <c r="L552" i="2"/>
  <c r="N552" i="2"/>
  <c r="O552" i="2"/>
  <c r="Q552" i="2"/>
  <c r="R552" i="2"/>
  <c r="S552" i="2"/>
  <c r="T552" i="2"/>
  <c r="Y552" i="2"/>
  <c r="E553" i="2"/>
  <c r="F553" i="2"/>
  <c r="G553" i="2"/>
  <c r="I553" i="2"/>
  <c r="J553" i="2"/>
  <c r="K553" i="2"/>
  <c r="L553" i="2"/>
  <c r="N553" i="2"/>
  <c r="O553" i="2"/>
  <c r="Q553" i="2"/>
  <c r="R553" i="2"/>
  <c r="S553" i="2"/>
  <c r="T553" i="2"/>
  <c r="Y553" i="2"/>
  <c r="E554" i="2"/>
  <c r="F554" i="2"/>
  <c r="G554" i="2"/>
  <c r="H554" i="2"/>
  <c r="I554" i="2"/>
  <c r="J554" i="2"/>
  <c r="K554" i="2"/>
  <c r="L554" i="2"/>
  <c r="M554" i="2"/>
  <c r="N554" i="2"/>
  <c r="O554" i="2"/>
  <c r="P554" i="2"/>
  <c r="Q554" i="2"/>
  <c r="R554" i="2"/>
  <c r="S554" i="2"/>
  <c r="T554" i="2"/>
  <c r="U554" i="2"/>
  <c r="V554" i="2"/>
  <c r="W554" i="2"/>
  <c r="Y554" i="2"/>
  <c r="E555" i="2"/>
  <c r="G555" i="2"/>
  <c r="I555" i="2"/>
  <c r="J555" i="2"/>
  <c r="K555" i="2"/>
  <c r="L555" i="2"/>
  <c r="O555" i="2"/>
  <c r="Q555" i="2"/>
  <c r="R555" i="2"/>
  <c r="S555" i="2"/>
  <c r="T555" i="2"/>
  <c r="Y555" i="2"/>
  <c r="E556" i="2"/>
  <c r="F556" i="2"/>
  <c r="G556" i="2"/>
  <c r="I556" i="2"/>
  <c r="J556" i="2"/>
  <c r="K556" i="2"/>
  <c r="L556" i="2"/>
  <c r="N556" i="2"/>
  <c r="O556" i="2"/>
  <c r="Q556" i="2"/>
  <c r="R556" i="2"/>
  <c r="S556" i="2"/>
  <c r="T556" i="2"/>
  <c r="Y556" i="2"/>
  <c r="E557" i="2"/>
  <c r="F557" i="2"/>
  <c r="G557" i="2"/>
  <c r="I557" i="2"/>
  <c r="J557" i="2"/>
  <c r="K557" i="2"/>
  <c r="L557" i="2"/>
  <c r="N557" i="2"/>
  <c r="O557" i="2"/>
  <c r="Q557" i="2"/>
  <c r="R557" i="2"/>
  <c r="S557" i="2"/>
  <c r="T557" i="2"/>
  <c r="Y557" i="2"/>
  <c r="E558" i="2"/>
  <c r="F558" i="2"/>
  <c r="G558" i="2"/>
  <c r="I558" i="2"/>
  <c r="J558" i="2"/>
  <c r="K558" i="2"/>
  <c r="L558" i="2"/>
  <c r="N558" i="2"/>
  <c r="O558" i="2"/>
  <c r="Q558" i="2"/>
  <c r="R558" i="2"/>
  <c r="S558" i="2"/>
  <c r="T558" i="2"/>
  <c r="Y558" i="2"/>
  <c r="E559" i="2"/>
  <c r="G559" i="2"/>
  <c r="I559" i="2"/>
  <c r="J559" i="2"/>
  <c r="K559" i="2"/>
  <c r="L559" i="2"/>
  <c r="N559" i="2"/>
  <c r="O559" i="2"/>
  <c r="Q559" i="2"/>
  <c r="R559" i="2"/>
  <c r="S559" i="2"/>
  <c r="T559" i="2"/>
  <c r="Y559" i="2"/>
  <c r="E560" i="2"/>
  <c r="F560" i="2"/>
  <c r="G560" i="2"/>
  <c r="I560" i="2"/>
  <c r="J560" i="2"/>
  <c r="K560" i="2"/>
  <c r="L560" i="2"/>
  <c r="N560" i="2"/>
  <c r="O560" i="2"/>
  <c r="Q560" i="2"/>
  <c r="R560" i="2"/>
  <c r="S560" i="2"/>
  <c r="T560" i="2"/>
  <c r="Y560" i="2"/>
  <c r="F561" i="2"/>
  <c r="G561" i="2"/>
  <c r="I561" i="2"/>
  <c r="J561" i="2"/>
  <c r="K561" i="2"/>
  <c r="L561" i="2"/>
  <c r="N561" i="2"/>
  <c r="O561" i="2"/>
  <c r="Q561" i="2"/>
  <c r="R561" i="2"/>
  <c r="S561" i="2"/>
  <c r="T561" i="2"/>
  <c r="Y561" i="2"/>
  <c r="E562" i="2"/>
  <c r="F562" i="2"/>
  <c r="G562" i="2"/>
  <c r="I562" i="2"/>
  <c r="J562" i="2"/>
  <c r="K562" i="2"/>
  <c r="L562" i="2"/>
  <c r="N562" i="2"/>
  <c r="O562" i="2"/>
  <c r="Q562" i="2"/>
  <c r="R562" i="2"/>
  <c r="S562" i="2"/>
  <c r="T562" i="2"/>
  <c r="W562" i="2"/>
  <c r="Y562" i="2"/>
  <c r="E563" i="2"/>
  <c r="F563" i="2"/>
  <c r="G563" i="2"/>
  <c r="I563" i="2"/>
  <c r="J563" i="2"/>
  <c r="K563" i="2"/>
  <c r="L563" i="2"/>
  <c r="N563" i="2"/>
  <c r="O563" i="2"/>
  <c r="Q563" i="2"/>
  <c r="R563" i="2"/>
  <c r="S563" i="2"/>
  <c r="T563" i="2"/>
  <c r="Y563" i="2"/>
  <c r="E568" i="2"/>
  <c r="F568" i="2"/>
  <c r="G568" i="2"/>
  <c r="I568" i="2"/>
  <c r="J568" i="2"/>
  <c r="K568" i="2"/>
  <c r="L568" i="2"/>
  <c r="N568" i="2"/>
  <c r="O568" i="2"/>
  <c r="Q568" i="2"/>
  <c r="R568" i="2"/>
  <c r="S568" i="2"/>
  <c r="T568" i="2"/>
  <c r="Y568" i="2"/>
  <c r="E569" i="2"/>
  <c r="F569" i="2"/>
  <c r="G569" i="2"/>
  <c r="I569" i="2"/>
  <c r="J569" i="2"/>
  <c r="K569" i="2"/>
  <c r="L569" i="2"/>
  <c r="N569" i="2"/>
  <c r="O569" i="2"/>
  <c r="Q569" i="2"/>
  <c r="R569" i="2"/>
  <c r="S569" i="2"/>
  <c r="T569" i="2"/>
  <c r="Y569" i="2"/>
  <c r="E570" i="2"/>
  <c r="F570" i="2"/>
  <c r="G570" i="2"/>
  <c r="I570" i="2"/>
  <c r="J570" i="2"/>
  <c r="K570" i="2"/>
  <c r="L570" i="2"/>
  <c r="N570" i="2"/>
  <c r="O570" i="2"/>
  <c r="Q570" i="2"/>
  <c r="R570" i="2"/>
  <c r="S570" i="2"/>
  <c r="T570" i="2"/>
  <c r="Y570" i="2"/>
  <c r="E571" i="2"/>
  <c r="F571" i="2"/>
  <c r="G571" i="2"/>
  <c r="H571" i="2"/>
  <c r="I571" i="2"/>
  <c r="J571" i="2"/>
  <c r="K571" i="2"/>
  <c r="L571" i="2"/>
  <c r="M571" i="2"/>
  <c r="N571" i="2"/>
  <c r="O571" i="2"/>
  <c r="P571" i="2"/>
  <c r="Q571" i="2"/>
  <c r="R571" i="2"/>
  <c r="S571" i="2"/>
  <c r="T571" i="2"/>
  <c r="U571" i="2"/>
  <c r="V571" i="2"/>
  <c r="W571" i="2"/>
  <c r="Y571" i="2"/>
  <c r="G572" i="2"/>
  <c r="I572" i="2"/>
  <c r="J572" i="2"/>
  <c r="K572" i="2"/>
  <c r="L572" i="2"/>
  <c r="N572" i="2"/>
  <c r="O572" i="2"/>
  <c r="Q572" i="2"/>
  <c r="R572" i="2"/>
  <c r="S572" i="2"/>
  <c r="T572" i="2"/>
  <c r="Y572" i="2"/>
  <c r="E573" i="2"/>
  <c r="F573" i="2"/>
  <c r="G573" i="2"/>
  <c r="I573" i="2"/>
  <c r="J573" i="2"/>
  <c r="K573" i="2"/>
  <c r="L573" i="2"/>
  <c r="N573" i="2"/>
  <c r="O573" i="2"/>
  <c r="Q573" i="2"/>
  <c r="R573" i="2"/>
  <c r="S573" i="2"/>
  <c r="T573" i="2"/>
  <c r="Y573" i="2"/>
  <c r="E574" i="2"/>
  <c r="F574" i="2"/>
  <c r="G574" i="2"/>
  <c r="I574" i="2"/>
  <c r="J574" i="2"/>
  <c r="K574" i="2"/>
  <c r="L574" i="2"/>
  <c r="N574" i="2"/>
  <c r="O574" i="2"/>
  <c r="Q574" i="2"/>
  <c r="R574" i="2"/>
  <c r="S574" i="2"/>
  <c r="T574" i="2"/>
  <c r="Y574" i="2"/>
  <c r="E575" i="2"/>
  <c r="F575" i="2"/>
  <c r="G575" i="2"/>
  <c r="I575" i="2"/>
  <c r="J575" i="2"/>
  <c r="K575" i="2"/>
  <c r="L575" i="2"/>
  <c r="N575" i="2"/>
  <c r="O575" i="2"/>
  <c r="Q575" i="2"/>
  <c r="R575" i="2"/>
  <c r="S575" i="2"/>
  <c r="T575" i="2"/>
  <c r="Y575" i="2"/>
  <c r="E576" i="2"/>
  <c r="F576" i="2"/>
  <c r="G576" i="2"/>
  <c r="I576" i="2"/>
  <c r="J576" i="2"/>
  <c r="K576" i="2"/>
  <c r="L576" i="2"/>
  <c r="N576" i="2"/>
  <c r="O576" i="2"/>
  <c r="Q576" i="2"/>
  <c r="R576" i="2"/>
  <c r="S576" i="2"/>
  <c r="T576" i="2"/>
  <c r="Y576" i="2"/>
  <c r="E577" i="2"/>
  <c r="F577" i="2"/>
  <c r="G577" i="2"/>
  <c r="I577" i="2"/>
  <c r="J577" i="2"/>
  <c r="K577" i="2"/>
  <c r="L577" i="2"/>
  <c r="N577" i="2"/>
  <c r="O577" i="2"/>
  <c r="Q577" i="2"/>
  <c r="R577" i="2"/>
  <c r="S577" i="2"/>
  <c r="T577" i="2"/>
  <c r="Y577" i="2"/>
  <c r="E578" i="2"/>
  <c r="F578" i="2"/>
  <c r="G578" i="2"/>
  <c r="I578" i="2"/>
  <c r="J578" i="2"/>
  <c r="K578" i="2"/>
  <c r="L578" i="2"/>
  <c r="N578" i="2"/>
  <c r="O578" i="2"/>
  <c r="Q578" i="2"/>
  <c r="R578" i="2"/>
  <c r="S578" i="2"/>
  <c r="T578" i="2"/>
  <c r="Y578" i="2"/>
  <c r="E579" i="2"/>
  <c r="F579" i="2"/>
  <c r="G579" i="2"/>
  <c r="I579" i="2"/>
  <c r="J579" i="2"/>
  <c r="K579" i="2"/>
  <c r="L579" i="2"/>
  <c r="N579" i="2"/>
  <c r="O579" i="2"/>
  <c r="Q579" i="2"/>
  <c r="R579" i="2"/>
  <c r="S579" i="2"/>
  <c r="T579" i="2"/>
  <c r="Y579" i="2"/>
  <c r="F580" i="2"/>
  <c r="G580" i="2"/>
  <c r="I580" i="2"/>
  <c r="J580" i="2"/>
  <c r="K580" i="2"/>
  <c r="L580" i="2"/>
  <c r="N580" i="2"/>
  <c r="O580" i="2"/>
  <c r="Q580" i="2"/>
  <c r="R580" i="2"/>
  <c r="S580" i="2"/>
  <c r="T580" i="2"/>
  <c r="Y580" i="2"/>
  <c r="G581" i="2"/>
  <c r="I581" i="2"/>
  <c r="J581" i="2"/>
  <c r="K581" i="2"/>
  <c r="L581" i="2"/>
  <c r="N581" i="2"/>
  <c r="O581" i="2"/>
  <c r="Q581" i="2"/>
  <c r="R581" i="2"/>
  <c r="S581" i="2"/>
  <c r="T581" i="2"/>
  <c r="Y581" i="2"/>
  <c r="E587" i="2"/>
  <c r="F587" i="2"/>
  <c r="G587" i="2"/>
  <c r="I587" i="2"/>
  <c r="J587" i="2"/>
  <c r="K587" i="2"/>
  <c r="L587" i="2"/>
  <c r="N587" i="2"/>
  <c r="O587" i="2"/>
  <c r="Q587" i="2"/>
  <c r="R587" i="2"/>
  <c r="S587" i="2"/>
  <c r="T587" i="2"/>
  <c r="Y587" i="2"/>
  <c r="E588" i="2"/>
  <c r="F588" i="2"/>
  <c r="G588" i="2"/>
  <c r="I588" i="2"/>
  <c r="J588" i="2"/>
  <c r="K588" i="2"/>
  <c r="L588" i="2"/>
  <c r="N588" i="2"/>
  <c r="O588" i="2"/>
  <c r="Q588" i="2"/>
  <c r="R588" i="2"/>
  <c r="S588" i="2"/>
  <c r="T588" i="2"/>
  <c r="Y588" i="2"/>
  <c r="E589" i="2"/>
  <c r="F589" i="2"/>
  <c r="G589" i="2"/>
  <c r="I589" i="2"/>
  <c r="J589" i="2"/>
  <c r="K589" i="2"/>
  <c r="L589" i="2"/>
  <c r="N589" i="2"/>
  <c r="O589" i="2"/>
  <c r="Q589" i="2"/>
  <c r="R589" i="2"/>
  <c r="S589" i="2"/>
  <c r="T589" i="2"/>
  <c r="Y589" i="2"/>
  <c r="E590" i="2"/>
  <c r="F590" i="2"/>
  <c r="G590" i="2"/>
  <c r="I590" i="2"/>
  <c r="J590" i="2"/>
  <c r="K590" i="2"/>
  <c r="L590" i="2"/>
  <c r="N590" i="2"/>
  <c r="O590" i="2"/>
  <c r="Q590" i="2"/>
  <c r="R590" i="2"/>
  <c r="S590" i="2"/>
  <c r="T590" i="2"/>
  <c r="Y590" i="2"/>
  <c r="E591" i="2"/>
  <c r="F591" i="2"/>
  <c r="G591" i="2"/>
  <c r="I591" i="2"/>
  <c r="J591" i="2"/>
  <c r="K591" i="2"/>
  <c r="L591" i="2"/>
  <c r="N591" i="2"/>
  <c r="O591" i="2"/>
  <c r="Q591" i="2"/>
  <c r="R591" i="2"/>
  <c r="S591" i="2"/>
  <c r="T591" i="2"/>
  <c r="Y591" i="2"/>
  <c r="F592" i="2"/>
  <c r="G592" i="2"/>
  <c r="I592" i="2"/>
  <c r="J592" i="2"/>
  <c r="K592" i="2"/>
  <c r="L592" i="2"/>
  <c r="N592" i="2"/>
  <c r="O592" i="2"/>
  <c r="Q592" i="2"/>
  <c r="R592" i="2"/>
  <c r="S592" i="2"/>
  <c r="T592" i="2"/>
  <c r="Y592" i="2"/>
  <c r="E593" i="2"/>
  <c r="F593" i="2"/>
  <c r="G593" i="2"/>
  <c r="I593" i="2"/>
  <c r="J593" i="2"/>
  <c r="K593" i="2"/>
  <c r="L593" i="2"/>
  <c r="N593" i="2"/>
  <c r="O593" i="2"/>
  <c r="Q593" i="2"/>
  <c r="R593" i="2"/>
  <c r="S593" i="2"/>
  <c r="T593" i="2"/>
  <c r="Y593" i="2"/>
  <c r="E594" i="2"/>
  <c r="F594" i="2"/>
  <c r="G594" i="2"/>
  <c r="I594" i="2"/>
  <c r="J594" i="2"/>
  <c r="K594" i="2"/>
  <c r="L594" i="2"/>
  <c r="N594" i="2"/>
  <c r="O594" i="2"/>
  <c r="Q594" i="2"/>
  <c r="R594" i="2"/>
  <c r="S594" i="2"/>
  <c r="T594" i="2"/>
  <c r="Y594" i="2"/>
  <c r="G595" i="2"/>
  <c r="I595" i="2"/>
  <c r="J595" i="2"/>
  <c r="K595" i="2"/>
  <c r="L595" i="2"/>
  <c r="N595" i="2"/>
  <c r="O595" i="2"/>
  <c r="Q595" i="2"/>
  <c r="R595" i="2"/>
  <c r="S595" i="2"/>
  <c r="T595" i="2"/>
  <c r="Y595" i="2"/>
  <c r="E596" i="2"/>
  <c r="F596" i="2"/>
  <c r="G596" i="2"/>
  <c r="I596" i="2"/>
  <c r="J596" i="2"/>
  <c r="K596" i="2"/>
  <c r="L596" i="2"/>
  <c r="N596" i="2"/>
  <c r="O596" i="2"/>
  <c r="P596" i="2"/>
  <c r="Q596" i="2"/>
  <c r="R596" i="2"/>
  <c r="S596" i="2"/>
  <c r="T596" i="2"/>
  <c r="Y596" i="2"/>
  <c r="E597" i="2"/>
  <c r="F597" i="2"/>
  <c r="G597" i="2"/>
  <c r="I597" i="2"/>
  <c r="J597" i="2"/>
  <c r="K597" i="2"/>
  <c r="L597" i="2"/>
  <c r="N597" i="2"/>
  <c r="O597" i="2"/>
  <c r="Q597" i="2"/>
  <c r="R597" i="2"/>
  <c r="S597" i="2"/>
  <c r="T597" i="2"/>
  <c r="Y597" i="2"/>
  <c r="E598" i="2"/>
  <c r="F598" i="2"/>
  <c r="G598" i="2"/>
  <c r="I598" i="2"/>
  <c r="J598" i="2"/>
  <c r="K598" i="2"/>
  <c r="L598" i="2"/>
  <c r="N598" i="2"/>
  <c r="O598" i="2"/>
  <c r="Q598" i="2"/>
  <c r="R598" i="2"/>
  <c r="S598" i="2"/>
  <c r="T598" i="2"/>
  <c r="Y598" i="2"/>
  <c r="E603" i="2"/>
  <c r="F603" i="2"/>
  <c r="G603" i="2"/>
  <c r="I603" i="2"/>
  <c r="J603" i="2"/>
  <c r="K603" i="2"/>
  <c r="L603" i="2"/>
  <c r="N603" i="2"/>
  <c r="O603" i="2"/>
  <c r="Q603" i="2"/>
  <c r="R603" i="2"/>
  <c r="S603" i="2"/>
  <c r="T603" i="2"/>
  <c r="Y603" i="2"/>
  <c r="E604" i="2"/>
  <c r="F604" i="2"/>
  <c r="G604" i="2"/>
  <c r="I604" i="2"/>
  <c r="J604" i="2"/>
  <c r="K604" i="2"/>
  <c r="L604" i="2"/>
  <c r="N604" i="2"/>
  <c r="O604" i="2"/>
  <c r="Q604" i="2"/>
  <c r="R604" i="2"/>
  <c r="S604" i="2"/>
  <c r="T604" i="2"/>
  <c r="Y604" i="2"/>
  <c r="E605" i="2"/>
  <c r="F605" i="2"/>
  <c r="G605" i="2"/>
  <c r="I605" i="2"/>
  <c r="J605" i="2"/>
  <c r="K605" i="2"/>
  <c r="L605" i="2"/>
  <c r="N605" i="2"/>
  <c r="O605" i="2"/>
  <c r="Q605" i="2"/>
  <c r="R605" i="2"/>
  <c r="S605" i="2"/>
  <c r="T605" i="2"/>
  <c r="Y605" i="2"/>
  <c r="E606" i="2"/>
  <c r="F606" i="2"/>
  <c r="G606" i="2"/>
  <c r="I606" i="2"/>
  <c r="I2676" i="2" s="1"/>
  <c r="J606" i="2"/>
  <c r="J2676" i="2" s="1"/>
  <c r="K606" i="2"/>
  <c r="K2676" i="2" s="1"/>
  <c r="L606" i="2"/>
  <c r="N606" i="2"/>
  <c r="O606" i="2"/>
  <c r="Q606" i="2"/>
  <c r="Q2676" i="2" s="1"/>
  <c r="R606" i="2"/>
  <c r="R2676" i="2" s="1"/>
  <c r="S606" i="2"/>
  <c r="S2676" i="2" s="1"/>
  <c r="T606" i="2"/>
  <c r="Y606" i="2"/>
  <c r="E607" i="2"/>
  <c r="F607" i="2"/>
  <c r="G607" i="2"/>
  <c r="I607" i="2"/>
  <c r="J607" i="2"/>
  <c r="K607" i="2"/>
  <c r="L607" i="2"/>
  <c r="N607" i="2"/>
  <c r="O607" i="2"/>
  <c r="Q607" i="2"/>
  <c r="R607" i="2"/>
  <c r="S607" i="2"/>
  <c r="T607" i="2"/>
  <c r="Y607" i="2"/>
  <c r="E608" i="2"/>
  <c r="F608" i="2"/>
  <c r="G608" i="2"/>
  <c r="I608" i="2"/>
  <c r="J608" i="2"/>
  <c r="K608" i="2"/>
  <c r="L608" i="2"/>
  <c r="N608" i="2"/>
  <c r="O608" i="2"/>
  <c r="Q608" i="2"/>
  <c r="R608" i="2"/>
  <c r="S608" i="2"/>
  <c r="T608" i="2"/>
  <c r="Y608" i="2"/>
  <c r="G609" i="2"/>
  <c r="I609" i="2"/>
  <c r="J609" i="2"/>
  <c r="K609" i="2"/>
  <c r="L609" i="2"/>
  <c r="N609" i="2"/>
  <c r="O609" i="2"/>
  <c r="Q609" i="2"/>
  <c r="R609" i="2"/>
  <c r="S609" i="2"/>
  <c r="T609" i="2"/>
  <c r="Y609" i="2"/>
  <c r="E610" i="2"/>
  <c r="F610" i="2"/>
  <c r="G610" i="2"/>
  <c r="I610" i="2"/>
  <c r="J610" i="2"/>
  <c r="K610" i="2"/>
  <c r="L610" i="2"/>
  <c r="N610" i="2"/>
  <c r="O610" i="2"/>
  <c r="Q610" i="2"/>
  <c r="R610" i="2"/>
  <c r="S610" i="2"/>
  <c r="T610" i="2"/>
  <c r="Y610" i="2"/>
  <c r="E611" i="2"/>
  <c r="F611" i="2"/>
  <c r="G611" i="2"/>
  <c r="I611" i="2"/>
  <c r="J611" i="2"/>
  <c r="K611" i="2"/>
  <c r="L611" i="2"/>
  <c r="N611" i="2"/>
  <c r="O611" i="2"/>
  <c r="Q611" i="2"/>
  <c r="R611" i="2"/>
  <c r="S611" i="2"/>
  <c r="T611" i="2"/>
  <c r="Y611" i="2"/>
  <c r="G621" i="2"/>
  <c r="I621" i="2"/>
  <c r="K621" i="2"/>
  <c r="L621" i="2"/>
  <c r="N621" i="2"/>
  <c r="O621" i="2"/>
  <c r="Q621" i="2"/>
  <c r="R621" i="2"/>
  <c r="S621" i="2"/>
  <c r="T621" i="2"/>
  <c r="Y621" i="2"/>
  <c r="E622" i="2"/>
  <c r="F622" i="2"/>
  <c r="G622" i="2"/>
  <c r="I622" i="2"/>
  <c r="K622" i="2"/>
  <c r="L622" i="2"/>
  <c r="N622" i="2"/>
  <c r="O622" i="2"/>
  <c r="Q622" i="2"/>
  <c r="R622" i="2"/>
  <c r="S622" i="2"/>
  <c r="T622" i="2"/>
  <c r="Y622" i="2"/>
  <c r="F623" i="2"/>
  <c r="G623" i="2"/>
  <c r="I623" i="2"/>
  <c r="K623" i="2"/>
  <c r="L623" i="2"/>
  <c r="N623" i="2"/>
  <c r="O623" i="2"/>
  <c r="Q623" i="2"/>
  <c r="R623" i="2"/>
  <c r="S623" i="2"/>
  <c r="T623" i="2"/>
  <c r="Y623" i="2"/>
  <c r="E624" i="2"/>
  <c r="F624" i="2"/>
  <c r="G624" i="2"/>
  <c r="I624" i="2"/>
  <c r="K624" i="2"/>
  <c r="L624" i="2"/>
  <c r="N624" i="2"/>
  <c r="O624" i="2"/>
  <c r="Q624" i="2"/>
  <c r="R624" i="2"/>
  <c r="S624" i="2"/>
  <c r="T624" i="2"/>
  <c r="Y624" i="2"/>
  <c r="F625" i="2"/>
  <c r="G625" i="2"/>
  <c r="I625" i="2"/>
  <c r="K625" i="2"/>
  <c r="L625" i="2"/>
  <c r="N625" i="2"/>
  <c r="O625" i="2"/>
  <c r="Q625" i="2"/>
  <c r="R625" i="2"/>
  <c r="S625" i="2"/>
  <c r="T625" i="2"/>
  <c r="Y625" i="2"/>
  <c r="F626" i="2"/>
  <c r="G626" i="2"/>
  <c r="I626" i="2"/>
  <c r="K626" i="2"/>
  <c r="L626" i="2"/>
  <c r="N626" i="2"/>
  <c r="O626" i="2"/>
  <c r="Q626" i="2"/>
  <c r="R626" i="2"/>
  <c r="S626" i="2"/>
  <c r="T626" i="2"/>
  <c r="Y626" i="2"/>
  <c r="F627" i="2"/>
  <c r="G627" i="2"/>
  <c r="I627" i="2"/>
  <c r="K627" i="2"/>
  <c r="L627" i="2"/>
  <c r="N627" i="2"/>
  <c r="O627" i="2"/>
  <c r="Q627" i="2"/>
  <c r="R627" i="2"/>
  <c r="S627" i="2"/>
  <c r="T627" i="2"/>
  <c r="Y627" i="2"/>
  <c r="E628" i="2"/>
  <c r="F628" i="2"/>
  <c r="G628" i="2"/>
  <c r="I628" i="2"/>
  <c r="K628" i="2"/>
  <c r="L628" i="2"/>
  <c r="N628" i="2"/>
  <c r="O628" i="2"/>
  <c r="Q628" i="2"/>
  <c r="R628" i="2"/>
  <c r="S628" i="2"/>
  <c r="T628" i="2"/>
  <c r="Y628" i="2"/>
  <c r="E629" i="2"/>
  <c r="F629" i="2"/>
  <c r="G629" i="2"/>
  <c r="I629" i="2"/>
  <c r="K629" i="2"/>
  <c r="L629" i="2"/>
  <c r="N629" i="2"/>
  <c r="O629" i="2"/>
  <c r="Q629" i="2"/>
  <c r="R629" i="2"/>
  <c r="S629" i="2"/>
  <c r="T629" i="2"/>
  <c r="Y629" i="2"/>
  <c r="E630" i="2"/>
  <c r="F630" i="2"/>
  <c r="G630" i="2"/>
  <c r="I630" i="2"/>
  <c r="K630" i="2"/>
  <c r="L630" i="2"/>
  <c r="N630" i="2"/>
  <c r="O630" i="2"/>
  <c r="Q630" i="2"/>
  <c r="R630" i="2"/>
  <c r="S630" i="2"/>
  <c r="T630" i="2"/>
  <c r="Y630" i="2"/>
  <c r="E631" i="2"/>
  <c r="F631" i="2"/>
  <c r="G631" i="2"/>
  <c r="I631" i="2"/>
  <c r="K631" i="2"/>
  <c r="L631" i="2"/>
  <c r="N631" i="2"/>
  <c r="O631" i="2"/>
  <c r="Q631" i="2"/>
  <c r="R631" i="2"/>
  <c r="S631" i="2"/>
  <c r="T631" i="2"/>
  <c r="Y631" i="2"/>
  <c r="E636" i="2"/>
  <c r="F636" i="2"/>
  <c r="G636" i="2"/>
  <c r="I636" i="2"/>
  <c r="K636" i="2"/>
  <c r="L636" i="2"/>
  <c r="N636" i="2"/>
  <c r="O636" i="2"/>
  <c r="Q636" i="2"/>
  <c r="R636" i="2"/>
  <c r="S636" i="2"/>
  <c r="T636" i="2"/>
  <c r="Y636" i="2"/>
  <c r="F637" i="2"/>
  <c r="G637" i="2"/>
  <c r="I637" i="2"/>
  <c r="K637" i="2"/>
  <c r="L637" i="2"/>
  <c r="N637" i="2"/>
  <c r="O637" i="2"/>
  <c r="Q637" i="2"/>
  <c r="R637" i="2"/>
  <c r="S637" i="2"/>
  <c r="T637" i="2"/>
  <c r="Y637" i="2"/>
  <c r="F638" i="2"/>
  <c r="G638" i="2"/>
  <c r="I638" i="2"/>
  <c r="K638" i="2"/>
  <c r="L638" i="2"/>
  <c r="N638" i="2"/>
  <c r="O638" i="2"/>
  <c r="Q638" i="2"/>
  <c r="R638" i="2"/>
  <c r="S638" i="2"/>
  <c r="T638" i="2"/>
  <c r="Y638" i="2"/>
  <c r="E639" i="2"/>
  <c r="F639" i="2"/>
  <c r="G639" i="2"/>
  <c r="I639" i="2"/>
  <c r="K639" i="2"/>
  <c r="L639" i="2"/>
  <c r="N639" i="2"/>
  <c r="O639" i="2"/>
  <c r="Q639" i="2"/>
  <c r="R639" i="2"/>
  <c r="S639" i="2"/>
  <c r="T639" i="2"/>
  <c r="Y639" i="2"/>
  <c r="E640" i="2"/>
  <c r="F640" i="2"/>
  <c r="G640" i="2"/>
  <c r="I640" i="2"/>
  <c r="K640" i="2"/>
  <c r="L640" i="2"/>
  <c r="N640" i="2"/>
  <c r="O640" i="2"/>
  <c r="Q640" i="2"/>
  <c r="R640" i="2"/>
  <c r="S640" i="2"/>
  <c r="T640" i="2"/>
  <c r="Y640" i="2"/>
  <c r="E641" i="2"/>
  <c r="F641" i="2"/>
  <c r="G641" i="2"/>
  <c r="I641" i="2"/>
  <c r="K641" i="2"/>
  <c r="L641" i="2"/>
  <c r="N641" i="2"/>
  <c r="O641" i="2"/>
  <c r="Q641" i="2"/>
  <c r="R641" i="2"/>
  <c r="S641" i="2"/>
  <c r="T641" i="2"/>
  <c r="Y641" i="2"/>
  <c r="F642" i="2"/>
  <c r="G642" i="2"/>
  <c r="I642" i="2"/>
  <c r="K642" i="2"/>
  <c r="L642" i="2"/>
  <c r="N642" i="2"/>
  <c r="O642" i="2"/>
  <c r="Q642" i="2"/>
  <c r="R642" i="2"/>
  <c r="S642" i="2"/>
  <c r="T642" i="2"/>
  <c r="Y642" i="2"/>
  <c r="E643" i="2"/>
  <c r="F643" i="2"/>
  <c r="G643" i="2"/>
  <c r="I643" i="2"/>
  <c r="K643" i="2"/>
  <c r="L643" i="2"/>
  <c r="N643" i="2"/>
  <c r="O643" i="2"/>
  <c r="Q643" i="2"/>
  <c r="R643" i="2"/>
  <c r="S643" i="2"/>
  <c r="T643" i="2"/>
  <c r="Y643" i="2"/>
  <c r="E644" i="2"/>
  <c r="F644" i="2"/>
  <c r="G644" i="2"/>
  <c r="I644" i="2"/>
  <c r="K644" i="2"/>
  <c r="L644" i="2"/>
  <c r="N644" i="2"/>
  <c r="O644" i="2"/>
  <c r="Q644" i="2"/>
  <c r="R644" i="2"/>
  <c r="S644" i="2"/>
  <c r="T644" i="2"/>
  <c r="Y644" i="2"/>
  <c r="E645" i="2"/>
  <c r="F645" i="2"/>
  <c r="G645" i="2"/>
  <c r="I645" i="2"/>
  <c r="K645" i="2"/>
  <c r="L645" i="2"/>
  <c r="N645" i="2"/>
  <c r="O645" i="2"/>
  <c r="Q645" i="2"/>
  <c r="R645" i="2"/>
  <c r="S645" i="2"/>
  <c r="T645" i="2"/>
  <c r="Y645" i="2"/>
  <c r="E646" i="2"/>
  <c r="F646" i="2"/>
  <c r="G646" i="2"/>
  <c r="I646" i="2"/>
  <c r="K646" i="2"/>
  <c r="L646" i="2"/>
  <c r="N646" i="2"/>
  <c r="O646" i="2"/>
  <c r="Q646" i="2"/>
  <c r="R646" i="2"/>
  <c r="S646" i="2"/>
  <c r="T646" i="2"/>
  <c r="Y646" i="2"/>
  <c r="E647" i="2"/>
  <c r="F647" i="2"/>
  <c r="G647" i="2"/>
  <c r="I647" i="2"/>
  <c r="K647" i="2"/>
  <c r="L647" i="2"/>
  <c r="N647" i="2"/>
  <c r="O647" i="2"/>
  <c r="Q647" i="2"/>
  <c r="R647" i="2"/>
  <c r="S647" i="2"/>
  <c r="T647" i="2"/>
  <c r="Y647" i="2"/>
  <c r="E648" i="2"/>
  <c r="F648" i="2"/>
  <c r="G648" i="2"/>
  <c r="I648" i="2"/>
  <c r="K648" i="2"/>
  <c r="L648" i="2"/>
  <c r="N648" i="2"/>
  <c r="O648" i="2"/>
  <c r="Q648" i="2"/>
  <c r="R648" i="2"/>
  <c r="S648" i="2"/>
  <c r="T648" i="2"/>
  <c r="Y648" i="2"/>
  <c r="G649" i="2"/>
  <c r="I649" i="2"/>
  <c r="K649" i="2"/>
  <c r="L649" i="2"/>
  <c r="N649" i="2"/>
  <c r="O649" i="2"/>
  <c r="Q649" i="2"/>
  <c r="R649" i="2"/>
  <c r="S649" i="2"/>
  <c r="T649" i="2"/>
  <c r="Y649" i="2"/>
  <c r="G650" i="2"/>
  <c r="I650" i="2"/>
  <c r="K650" i="2"/>
  <c r="L650" i="2"/>
  <c r="N650" i="2"/>
  <c r="O650" i="2"/>
  <c r="Q650" i="2"/>
  <c r="R650" i="2"/>
  <c r="S650" i="2"/>
  <c r="T650" i="2"/>
  <c r="Y650" i="2"/>
  <c r="F651" i="2"/>
  <c r="G651" i="2"/>
  <c r="K651" i="2"/>
  <c r="L651" i="2"/>
  <c r="N651" i="2"/>
  <c r="O651" i="2"/>
  <c r="Q651" i="2"/>
  <c r="R651" i="2"/>
  <c r="S651" i="2"/>
  <c r="T651" i="2"/>
  <c r="Y651" i="2"/>
  <c r="E652" i="2"/>
  <c r="F652" i="2"/>
  <c r="G652" i="2"/>
  <c r="I652" i="2"/>
  <c r="K652" i="2"/>
  <c r="L652" i="2"/>
  <c r="N652" i="2"/>
  <c r="O652" i="2"/>
  <c r="Q652" i="2"/>
  <c r="R652" i="2"/>
  <c r="S652" i="2"/>
  <c r="T652" i="2"/>
  <c r="Y652" i="2"/>
  <c r="E653" i="2"/>
  <c r="F653" i="2"/>
  <c r="G653" i="2"/>
  <c r="I653" i="2"/>
  <c r="J653" i="2"/>
  <c r="K653" i="2"/>
  <c r="L653" i="2"/>
  <c r="N653" i="2"/>
  <c r="O653" i="2"/>
  <c r="Q653" i="2"/>
  <c r="R653" i="2"/>
  <c r="S653" i="2"/>
  <c r="T653" i="2"/>
  <c r="V653" i="2"/>
  <c r="W653" i="2"/>
  <c r="Y653" i="2"/>
  <c r="E654" i="2"/>
  <c r="F654" i="2"/>
  <c r="G654" i="2"/>
  <c r="I654" i="2"/>
  <c r="J654" i="2"/>
  <c r="K654" i="2"/>
  <c r="L654" i="2"/>
  <c r="N654" i="2"/>
  <c r="O654" i="2"/>
  <c r="Q654" i="2"/>
  <c r="R654" i="2"/>
  <c r="S654" i="2"/>
  <c r="T654" i="2"/>
  <c r="V654" i="2"/>
  <c r="W654" i="2"/>
  <c r="Y654" i="2"/>
  <c r="E655" i="2"/>
  <c r="F655" i="2"/>
  <c r="G655" i="2"/>
  <c r="I655" i="2"/>
  <c r="K655" i="2"/>
  <c r="L655" i="2"/>
  <c r="N655" i="2"/>
  <c r="O655" i="2"/>
  <c r="Q655" i="2"/>
  <c r="R655" i="2"/>
  <c r="S655" i="2"/>
  <c r="T655" i="2"/>
  <c r="Y655" i="2"/>
  <c r="E656" i="2"/>
  <c r="F656" i="2"/>
  <c r="G656" i="2"/>
  <c r="I656" i="2"/>
  <c r="K656" i="2"/>
  <c r="L656" i="2"/>
  <c r="N656" i="2"/>
  <c r="O656" i="2"/>
  <c r="Q656" i="2"/>
  <c r="R656" i="2"/>
  <c r="S656" i="2"/>
  <c r="T656" i="2"/>
  <c r="Y656" i="2"/>
  <c r="E657" i="2"/>
  <c r="F657" i="2"/>
  <c r="G657" i="2"/>
  <c r="I657" i="2"/>
  <c r="K657" i="2"/>
  <c r="L657" i="2"/>
  <c r="N657" i="2"/>
  <c r="O657" i="2"/>
  <c r="Q657" i="2"/>
  <c r="R657" i="2"/>
  <c r="S657" i="2"/>
  <c r="T657" i="2"/>
  <c r="Y657" i="2"/>
  <c r="E658" i="2"/>
  <c r="F658" i="2"/>
  <c r="G658" i="2"/>
  <c r="I658" i="2"/>
  <c r="K658" i="2"/>
  <c r="L658" i="2"/>
  <c r="N658" i="2"/>
  <c r="O658" i="2"/>
  <c r="Q658" i="2"/>
  <c r="R658" i="2"/>
  <c r="S658" i="2"/>
  <c r="T658" i="2"/>
  <c r="Y658" i="2"/>
  <c r="G659" i="2"/>
  <c r="I659" i="2"/>
  <c r="K659" i="2"/>
  <c r="L659" i="2"/>
  <c r="N659" i="2"/>
  <c r="O659" i="2"/>
  <c r="Q659" i="2"/>
  <c r="R659" i="2"/>
  <c r="S659" i="2"/>
  <c r="T659" i="2"/>
  <c r="Y659" i="2"/>
  <c r="E664" i="2"/>
  <c r="G664" i="2"/>
  <c r="I664" i="2"/>
  <c r="L664" i="2"/>
  <c r="N664" i="2"/>
  <c r="O664" i="2"/>
  <c r="R664" i="2"/>
  <c r="S664" i="2"/>
  <c r="T664" i="2"/>
  <c r="Y664" i="2"/>
  <c r="E665" i="2"/>
  <c r="F665" i="2"/>
  <c r="G665" i="2"/>
  <c r="I665" i="2"/>
  <c r="K665" i="2"/>
  <c r="L665" i="2"/>
  <c r="N665" i="2"/>
  <c r="O665" i="2"/>
  <c r="R665" i="2"/>
  <c r="S665" i="2"/>
  <c r="T665" i="2"/>
  <c r="Y665" i="2"/>
  <c r="E666" i="2"/>
  <c r="F666" i="2"/>
  <c r="G666" i="2"/>
  <c r="I666" i="2"/>
  <c r="K666" i="2"/>
  <c r="L666" i="2"/>
  <c r="N666" i="2"/>
  <c r="O666" i="2"/>
  <c r="R666" i="2"/>
  <c r="S666" i="2"/>
  <c r="T666" i="2"/>
  <c r="Y666" i="2"/>
  <c r="E667" i="2"/>
  <c r="F667" i="2"/>
  <c r="G667" i="2"/>
  <c r="I667" i="2"/>
  <c r="K667" i="2"/>
  <c r="L667" i="2"/>
  <c r="N667" i="2"/>
  <c r="O667" i="2"/>
  <c r="R667" i="2"/>
  <c r="S667" i="2"/>
  <c r="T667" i="2"/>
  <c r="Y667" i="2"/>
  <c r="F668" i="2"/>
  <c r="G668" i="2"/>
  <c r="I668" i="2"/>
  <c r="L668" i="2"/>
  <c r="N668" i="2"/>
  <c r="O668" i="2"/>
  <c r="R668" i="2"/>
  <c r="S668" i="2"/>
  <c r="T668" i="2"/>
  <c r="Y668" i="2"/>
  <c r="F669" i="2"/>
  <c r="G669" i="2"/>
  <c r="I669" i="2"/>
  <c r="L669" i="2"/>
  <c r="N669" i="2"/>
  <c r="O669" i="2"/>
  <c r="R669" i="2"/>
  <c r="S669" i="2"/>
  <c r="T669" i="2"/>
  <c r="Y669" i="2"/>
  <c r="E670" i="2"/>
  <c r="F670" i="2"/>
  <c r="G670" i="2"/>
  <c r="I670" i="2"/>
  <c r="K670" i="2"/>
  <c r="L670" i="2"/>
  <c r="N670" i="2"/>
  <c r="O670" i="2"/>
  <c r="R670" i="2"/>
  <c r="S670" i="2"/>
  <c r="T670" i="2"/>
  <c r="Y670" i="2"/>
  <c r="F671" i="2"/>
  <c r="G671" i="2"/>
  <c r="I671" i="2"/>
  <c r="K671" i="2"/>
  <c r="L671" i="2"/>
  <c r="N671" i="2"/>
  <c r="O671" i="2"/>
  <c r="R671" i="2"/>
  <c r="S671" i="2"/>
  <c r="T671" i="2"/>
  <c r="Y671" i="2"/>
  <c r="E672" i="2"/>
  <c r="F672" i="2"/>
  <c r="G672" i="2"/>
  <c r="I672" i="2"/>
  <c r="K672" i="2"/>
  <c r="L672" i="2"/>
  <c r="N672" i="2"/>
  <c r="O672" i="2"/>
  <c r="R672" i="2"/>
  <c r="S672" i="2"/>
  <c r="T672" i="2"/>
  <c r="Y672" i="2"/>
  <c r="F673" i="2"/>
  <c r="G673" i="2"/>
  <c r="I673" i="2"/>
  <c r="K673" i="2"/>
  <c r="L673" i="2"/>
  <c r="N673" i="2"/>
  <c r="O673" i="2"/>
  <c r="R673" i="2"/>
  <c r="S673" i="2"/>
  <c r="T673" i="2"/>
  <c r="Y673" i="2"/>
  <c r="E674" i="2"/>
  <c r="G674" i="2"/>
  <c r="I674" i="2"/>
  <c r="K674" i="2"/>
  <c r="L674" i="2"/>
  <c r="N674" i="2"/>
  <c r="O674" i="2"/>
  <c r="R674" i="2"/>
  <c r="S674" i="2"/>
  <c r="T674" i="2"/>
  <c r="Y674" i="2"/>
  <c r="E675" i="2"/>
  <c r="F675" i="2"/>
  <c r="G675" i="2"/>
  <c r="I675" i="2"/>
  <c r="K675" i="2"/>
  <c r="L675" i="2"/>
  <c r="N675" i="2"/>
  <c r="O675" i="2"/>
  <c r="R675" i="2"/>
  <c r="S675" i="2"/>
  <c r="T675" i="2"/>
  <c r="Y675" i="2"/>
  <c r="E676" i="2"/>
  <c r="F676" i="2"/>
  <c r="G676" i="2"/>
  <c r="I676" i="2"/>
  <c r="K676" i="2"/>
  <c r="L676" i="2"/>
  <c r="N676" i="2"/>
  <c r="O676" i="2"/>
  <c r="R676" i="2"/>
  <c r="S676" i="2"/>
  <c r="T676" i="2"/>
  <c r="Y676" i="2"/>
  <c r="E677" i="2"/>
  <c r="F677" i="2"/>
  <c r="G677" i="2"/>
  <c r="I677" i="2"/>
  <c r="K677" i="2"/>
  <c r="L677" i="2"/>
  <c r="N677" i="2"/>
  <c r="O677" i="2"/>
  <c r="R677" i="2"/>
  <c r="S677" i="2"/>
  <c r="T677" i="2"/>
  <c r="Y677" i="2"/>
  <c r="F678" i="2"/>
  <c r="G678" i="2"/>
  <c r="I678" i="2"/>
  <c r="K678" i="2"/>
  <c r="L678" i="2"/>
  <c r="N678" i="2"/>
  <c r="O678" i="2"/>
  <c r="R678" i="2"/>
  <c r="S678" i="2"/>
  <c r="T678" i="2"/>
  <c r="Y678" i="2"/>
  <c r="F679" i="2"/>
  <c r="G679" i="2"/>
  <c r="I679" i="2"/>
  <c r="K679" i="2"/>
  <c r="L679" i="2"/>
  <c r="N679" i="2"/>
  <c r="O679" i="2"/>
  <c r="R679" i="2"/>
  <c r="S679" i="2"/>
  <c r="T679" i="2"/>
  <c r="Y679" i="2"/>
  <c r="E680" i="2"/>
  <c r="F680" i="2"/>
  <c r="G680" i="2"/>
  <c r="I680" i="2"/>
  <c r="K680" i="2"/>
  <c r="L680" i="2"/>
  <c r="N680" i="2"/>
  <c r="O680" i="2"/>
  <c r="R680" i="2"/>
  <c r="S680" i="2"/>
  <c r="T680" i="2"/>
  <c r="Y680" i="2"/>
  <c r="E681" i="2"/>
  <c r="F681" i="2"/>
  <c r="G681" i="2"/>
  <c r="I681" i="2"/>
  <c r="K681" i="2"/>
  <c r="L681" i="2"/>
  <c r="N681" i="2"/>
  <c r="O681" i="2"/>
  <c r="R681" i="2"/>
  <c r="S681" i="2"/>
  <c r="T681" i="2"/>
  <c r="Y681" i="2"/>
  <c r="E682" i="2"/>
  <c r="F682" i="2"/>
  <c r="G682" i="2"/>
  <c r="I682" i="2"/>
  <c r="K682" i="2"/>
  <c r="L682" i="2"/>
  <c r="N682" i="2"/>
  <c r="O682" i="2"/>
  <c r="R682" i="2"/>
  <c r="S682" i="2"/>
  <c r="T682" i="2"/>
  <c r="Y682" i="2"/>
  <c r="E687" i="2"/>
  <c r="G687" i="2"/>
  <c r="I687" i="2"/>
  <c r="K687" i="2"/>
  <c r="L687" i="2"/>
  <c r="N687" i="2"/>
  <c r="O687" i="2"/>
  <c r="R687" i="2"/>
  <c r="S687" i="2"/>
  <c r="T687" i="2"/>
  <c r="Y687" i="2"/>
  <c r="E688" i="2"/>
  <c r="G688" i="2"/>
  <c r="I688" i="2"/>
  <c r="K688" i="2"/>
  <c r="L688" i="2"/>
  <c r="N688" i="2"/>
  <c r="O688" i="2"/>
  <c r="R688" i="2"/>
  <c r="S688" i="2"/>
  <c r="T688" i="2"/>
  <c r="Y688" i="2"/>
  <c r="G689" i="2"/>
  <c r="I689" i="2"/>
  <c r="K689" i="2"/>
  <c r="L689" i="2"/>
  <c r="N689" i="2"/>
  <c r="O689" i="2"/>
  <c r="R689" i="2"/>
  <c r="S689" i="2"/>
  <c r="T689" i="2"/>
  <c r="Y689" i="2"/>
  <c r="E690" i="2"/>
  <c r="F690" i="2"/>
  <c r="G690" i="2"/>
  <c r="I690" i="2"/>
  <c r="K690" i="2"/>
  <c r="L690" i="2"/>
  <c r="N690" i="2"/>
  <c r="O690" i="2"/>
  <c r="R690" i="2"/>
  <c r="S690" i="2"/>
  <c r="T690" i="2"/>
  <c r="Y690" i="2"/>
  <c r="F691" i="2"/>
  <c r="G691" i="2"/>
  <c r="I691" i="2"/>
  <c r="K691" i="2"/>
  <c r="L691" i="2"/>
  <c r="N691" i="2"/>
  <c r="O691" i="2"/>
  <c r="R691" i="2"/>
  <c r="S691" i="2"/>
  <c r="T691" i="2"/>
  <c r="Y691" i="2"/>
  <c r="F692" i="2"/>
  <c r="G692" i="2"/>
  <c r="I692" i="2"/>
  <c r="L692" i="2"/>
  <c r="N692" i="2"/>
  <c r="O692" i="2"/>
  <c r="R692" i="2"/>
  <c r="S692" i="2"/>
  <c r="T692" i="2"/>
  <c r="Y692" i="2"/>
  <c r="E693" i="2"/>
  <c r="F693" i="2"/>
  <c r="G693" i="2"/>
  <c r="I693" i="2"/>
  <c r="K693" i="2"/>
  <c r="L693" i="2"/>
  <c r="N693" i="2"/>
  <c r="O693" i="2"/>
  <c r="R693" i="2"/>
  <c r="S693" i="2"/>
  <c r="T693" i="2"/>
  <c r="Y693" i="2"/>
  <c r="G694" i="2"/>
  <c r="I694" i="2"/>
  <c r="K694" i="2"/>
  <c r="L694" i="2"/>
  <c r="N694" i="2"/>
  <c r="O694" i="2"/>
  <c r="R694" i="2"/>
  <c r="S694" i="2"/>
  <c r="T694" i="2"/>
  <c r="Y694" i="2"/>
  <c r="G695" i="2"/>
  <c r="I695" i="2"/>
  <c r="K695" i="2"/>
  <c r="L695" i="2"/>
  <c r="N695" i="2"/>
  <c r="O695" i="2"/>
  <c r="R695" i="2"/>
  <c r="S695" i="2"/>
  <c r="T695" i="2"/>
  <c r="Y695" i="2"/>
  <c r="E696" i="2"/>
  <c r="F696" i="2"/>
  <c r="G696" i="2"/>
  <c r="I696" i="2"/>
  <c r="K696" i="2"/>
  <c r="L696" i="2"/>
  <c r="N696" i="2"/>
  <c r="O696" i="2"/>
  <c r="R696" i="2"/>
  <c r="S696" i="2"/>
  <c r="T696" i="2"/>
  <c r="Y696" i="2"/>
  <c r="F697" i="2"/>
  <c r="G697" i="2"/>
  <c r="I697" i="2"/>
  <c r="K697" i="2"/>
  <c r="L697" i="2"/>
  <c r="N697" i="2"/>
  <c r="O697" i="2"/>
  <c r="R697" i="2"/>
  <c r="S697" i="2"/>
  <c r="T697" i="2"/>
  <c r="Y697" i="2"/>
  <c r="E698" i="2"/>
  <c r="F698" i="2"/>
  <c r="G698" i="2"/>
  <c r="I698" i="2"/>
  <c r="K698" i="2"/>
  <c r="L698" i="2"/>
  <c r="N698" i="2"/>
  <c r="O698" i="2"/>
  <c r="R698" i="2"/>
  <c r="S698" i="2"/>
  <c r="T698" i="2"/>
  <c r="Y698" i="2"/>
  <c r="E699" i="2"/>
  <c r="F699" i="2"/>
  <c r="G699" i="2"/>
  <c r="I699" i="2"/>
  <c r="K699" i="2"/>
  <c r="L699" i="2"/>
  <c r="N699" i="2"/>
  <c r="O699" i="2"/>
  <c r="R699" i="2"/>
  <c r="S699" i="2"/>
  <c r="T699" i="2"/>
  <c r="Y699" i="2"/>
  <c r="E700" i="2"/>
  <c r="F700" i="2"/>
  <c r="G700" i="2"/>
  <c r="I700" i="2"/>
  <c r="K700" i="2"/>
  <c r="L700" i="2"/>
  <c r="N700" i="2"/>
  <c r="O700" i="2"/>
  <c r="R700" i="2"/>
  <c r="S700" i="2"/>
  <c r="T700" i="2"/>
  <c r="Y700" i="2"/>
  <c r="G701" i="2"/>
  <c r="K701" i="2"/>
  <c r="L701" i="2"/>
  <c r="N701" i="2"/>
  <c r="O701" i="2"/>
  <c r="R701" i="2"/>
  <c r="S701" i="2"/>
  <c r="T701" i="2"/>
  <c r="Y701" i="2"/>
  <c r="G702" i="2"/>
  <c r="I702" i="2"/>
  <c r="K702" i="2"/>
  <c r="L702" i="2"/>
  <c r="N702" i="2"/>
  <c r="O702" i="2"/>
  <c r="R702" i="2"/>
  <c r="S702" i="2"/>
  <c r="T702" i="2"/>
  <c r="Y702" i="2"/>
  <c r="E703" i="2"/>
  <c r="F703" i="2"/>
  <c r="G703" i="2"/>
  <c r="I703" i="2"/>
  <c r="K703" i="2"/>
  <c r="L703" i="2"/>
  <c r="N703" i="2"/>
  <c r="O703" i="2"/>
  <c r="R703" i="2"/>
  <c r="S703" i="2"/>
  <c r="T703" i="2"/>
  <c r="Y703" i="2"/>
  <c r="E704" i="2"/>
  <c r="F704" i="2"/>
  <c r="G704" i="2"/>
  <c r="I704" i="2"/>
  <c r="K704" i="2"/>
  <c r="L704" i="2"/>
  <c r="N704" i="2"/>
  <c r="O704" i="2"/>
  <c r="R704" i="2"/>
  <c r="S704" i="2"/>
  <c r="T704" i="2"/>
  <c r="Y704" i="2"/>
  <c r="F705" i="2"/>
  <c r="G705" i="2"/>
  <c r="I705" i="2"/>
  <c r="K705" i="2"/>
  <c r="L705" i="2"/>
  <c r="N705" i="2"/>
  <c r="O705" i="2"/>
  <c r="R705" i="2"/>
  <c r="S705" i="2"/>
  <c r="T705" i="2"/>
  <c r="Y705" i="2"/>
  <c r="E706" i="2"/>
  <c r="F706" i="2"/>
  <c r="G706" i="2"/>
  <c r="I706" i="2"/>
  <c r="K706" i="2"/>
  <c r="L706" i="2"/>
  <c r="N706" i="2"/>
  <c r="O706" i="2"/>
  <c r="Q706" i="2"/>
  <c r="R706" i="2"/>
  <c r="S706" i="2"/>
  <c r="T706" i="2"/>
  <c r="Y706" i="2"/>
  <c r="E707" i="2"/>
  <c r="F707" i="2"/>
  <c r="G707" i="2"/>
  <c r="I707" i="2"/>
  <c r="J707" i="2"/>
  <c r="K707" i="2"/>
  <c r="L707" i="2"/>
  <c r="N707" i="2"/>
  <c r="O707" i="2"/>
  <c r="Q707" i="2"/>
  <c r="R707" i="2"/>
  <c r="S707" i="2"/>
  <c r="T707" i="2"/>
  <c r="Y707" i="2"/>
  <c r="E708" i="2"/>
  <c r="G708" i="2"/>
  <c r="I708" i="2"/>
  <c r="K708" i="2"/>
  <c r="L708" i="2"/>
  <c r="N708" i="2"/>
  <c r="O708" i="2"/>
  <c r="R708" i="2"/>
  <c r="S708" i="2"/>
  <c r="T708" i="2"/>
  <c r="Y708" i="2"/>
  <c r="E709" i="2"/>
  <c r="F709" i="2"/>
  <c r="G709" i="2"/>
  <c r="I709" i="2"/>
  <c r="K709" i="2"/>
  <c r="L709" i="2"/>
  <c r="N709" i="2"/>
  <c r="O709" i="2"/>
  <c r="R709" i="2"/>
  <c r="S709" i="2"/>
  <c r="T709" i="2"/>
  <c r="Y709" i="2"/>
  <c r="E710" i="2"/>
  <c r="F710" i="2"/>
  <c r="G710" i="2"/>
  <c r="I710" i="2"/>
  <c r="K710" i="2"/>
  <c r="L710" i="2"/>
  <c r="N710" i="2"/>
  <c r="O710" i="2"/>
  <c r="R710" i="2"/>
  <c r="S710" i="2"/>
  <c r="T710" i="2"/>
  <c r="Y710" i="2"/>
  <c r="E715" i="2"/>
  <c r="G715" i="2"/>
  <c r="I715" i="2"/>
  <c r="K715" i="2"/>
  <c r="L715" i="2"/>
  <c r="N715" i="2"/>
  <c r="O715" i="2"/>
  <c r="R715" i="2"/>
  <c r="S715" i="2"/>
  <c r="T715" i="2"/>
  <c r="Y715" i="2"/>
  <c r="E716" i="2"/>
  <c r="G716" i="2"/>
  <c r="I716" i="2"/>
  <c r="K716" i="2"/>
  <c r="L716" i="2"/>
  <c r="N716" i="2"/>
  <c r="O716" i="2"/>
  <c r="R716" i="2"/>
  <c r="S716" i="2"/>
  <c r="T716" i="2"/>
  <c r="Y716" i="2"/>
  <c r="E717" i="2"/>
  <c r="F717" i="2"/>
  <c r="G717" i="2"/>
  <c r="I717" i="2"/>
  <c r="L717" i="2"/>
  <c r="N717" i="2"/>
  <c r="O717" i="2"/>
  <c r="R717" i="2"/>
  <c r="S717" i="2"/>
  <c r="T717" i="2"/>
  <c r="Y717" i="2"/>
  <c r="F718" i="2"/>
  <c r="G718" i="2"/>
  <c r="I718" i="2"/>
  <c r="L718" i="2"/>
  <c r="N718" i="2"/>
  <c r="O718" i="2"/>
  <c r="R718" i="2"/>
  <c r="S718" i="2"/>
  <c r="T718" i="2"/>
  <c r="Y718" i="2"/>
  <c r="E719" i="2"/>
  <c r="F719" i="2"/>
  <c r="G719" i="2"/>
  <c r="I719" i="2"/>
  <c r="K719" i="2"/>
  <c r="L719" i="2"/>
  <c r="N719" i="2"/>
  <c r="O719" i="2"/>
  <c r="R719" i="2"/>
  <c r="S719" i="2"/>
  <c r="T719" i="2"/>
  <c r="Y719" i="2"/>
  <c r="E720" i="2"/>
  <c r="F720" i="2"/>
  <c r="G720" i="2"/>
  <c r="I720" i="2"/>
  <c r="K720" i="2"/>
  <c r="L720" i="2"/>
  <c r="N720" i="2"/>
  <c r="O720" i="2"/>
  <c r="R720" i="2"/>
  <c r="S720" i="2"/>
  <c r="T720" i="2"/>
  <c r="Y720" i="2"/>
  <c r="E721" i="2"/>
  <c r="F721" i="2"/>
  <c r="G721" i="2"/>
  <c r="I721" i="2"/>
  <c r="K721" i="2"/>
  <c r="L721" i="2"/>
  <c r="N721" i="2"/>
  <c r="O721" i="2"/>
  <c r="R721" i="2"/>
  <c r="S721" i="2"/>
  <c r="T721" i="2"/>
  <c r="Y721" i="2"/>
  <c r="E722" i="2"/>
  <c r="F722" i="2"/>
  <c r="G722" i="2"/>
  <c r="I722" i="2"/>
  <c r="J722" i="2"/>
  <c r="K722" i="2"/>
  <c r="L722" i="2"/>
  <c r="N722" i="2"/>
  <c r="O722" i="2"/>
  <c r="Q722" i="2"/>
  <c r="R722" i="2"/>
  <c r="S722" i="2"/>
  <c r="T722" i="2"/>
  <c r="V722" i="2"/>
  <c r="W722" i="2"/>
  <c r="Y722" i="2"/>
  <c r="F723" i="2"/>
  <c r="G723" i="2"/>
  <c r="I723" i="2"/>
  <c r="K723" i="2"/>
  <c r="L723" i="2"/>
  <c r="N723" i="2"/>
  <c r="O723" i="2"/>
  <c r="R723" i="2"/>
  <c r="S723" i="2"/>
  <c r="T723" i="2"/>
  <c r="Y723" i="2"/>
  <c r="E729" i="2"/>
  <c r="F729" i="2"/>
  <c r="G729" i="2"/>
  <c r="I729" i="2"/>
  <c r="K729" i="2"/>
  <c r="L729" i="2"/>
  <c r="N729" i="2"/>
  <c r="O729" i="2"/>
  <c r="R729" i="2"/>
  <c r="S729" i="2"/>
  <c r="T729" i="2"/>
  <c r="Y729" i="2"/>
  <c r="E730" i="2"/>
  <c r="F730" i="2"/>
  <c r="G730" i="2"/>
  <c r="I730" i="2"/>
  <c r="K730" i="2"/>
  <c r="L730" i="2"/>
  <c r="N730" i="2"/>
  <c r="O730" i="2"/>
  <c r="R730" i="2"/>
  <c r="S730" i="2"/>
  <c r="T730" i="2"/>
  <c r="Y730" i="2"/>
  <c r="F731" i="2"/>
  <c r="G731" i="2"/>
  <c r="I731" i="2"/>
  <c r="L731" i="2"/>
  <c r="N731" i="2"/>
  <c r="O731" i="2"/>
  <c r="R731" i="2"/>
  <c r="S731" i="2"/>
  <c r="T731" i="2"/>
  <c r="Y731" i="2"/>
  <c r="F732" i="2"/>
  <c r="G732" i="2"/>
  <c r="I732" i="2"/>
  <c r="L732" i="2"/>
  <c r="N732" i="2"/>
  <c r="O732" i="2"/>
  <c r="R732" i="2"/>
  <c r="S732" i="2"/>
  <c r="T732" i="2"/>
  <c r="Y732" i="2"/>
  <c r="G733" i="2"/>
  <c r="I733" i="2"/>
  <c r="K733" i="2"/>
  <c r="L733" i="2"/>
  <c r="N733" i="2"/>
  <c r="O733" i="2"/>
  <c r="R733" i="2"/>
  <c r="S733" i="2"/>
  <c r="T733" i="2"/>
  <c r="Y733" i="2"/>
  <c r="E734" i="2"/>
  <c r="F734" i="2"/>
  <c r="G734" i="2"/>
  <c r="I734" i="2"/>
  <c r="K734" i="2"/>
  <c r="L734" i="2"/>
  <c r="N734" i="2"/>
  <c r="O734" i="2"/>
  <c r="R734" i="2"/>
  <c r="S734" i="2"/>
  <c r="T734" i="2"/>
  <c r="Y734" i="2"/>
  <c r="E735" i="2"/>
  <c r="F735" i="2"/>
  <c r="G735" i="2"/>
  <c r="I735" i="2"/>
  <c r="K735" i="2"/>
  <c r="L735" i="2"/>
  <c r="N735" i="2"/>
  <c r="O735" i="2"/>
  <c r="R735" i="2"/>
  <c r="S735" i="2"/>
  <c r="T735" i="2"/>
  <c r="Y735" i="2"/>
  <c r="F736" i="2"/>
  <c r="G736" i="2"/>
  <c r="I736" i="2"/>
  <c r="K736" i="2"/>
  <c r="L736" i="2"/>
  <c r="N736" i="2"/>
  <c r="O736" i="2"/>
  <c r="R736" i="2"/>
  <c r="S736" i="2"/>
  <c r="T736" i="2"/>
  <c r="Y736" i="2"/>
  <c r="G737" i="2"/>
  <c r="I737" i="2"/>
  <c r="K737" i="2"/>
  <c r="L737" i="2"/>
  <c r="N737" i="2"/>
  <c r="O737" i="2"/>
  <c r="R737" i="2"/>
  <c r="S737" i="2"/>
  <c r="T737" i="2"/>
  <c r="Y737" i="2"/>
  <c r="E738" i="2"/>
  <c r="F738" i="2"/>
  <c r="G738" i="2"/>
  <c r="I738" i="2"/>
  <c r="K738" i="2"/>
  <c r="L738" i="2"/>
  <c r="N738" i="2"/>
  <c r="O738" i="2"/>
  <c r="R738" i="2"/>
  <c r="S738" i="2"/>
  <c r="T738" i="2"/>
  <c r="Y738" i="2"/>
  <c r="E739" i="2"/>
  <c r="F739" i="2"/>
  <c r="G739" i="2"/>
  <c r="I739" i="2"/>
  <c r="K739" i="2"/>
  <c r="L739" i="2"/>
  <c r="N739" i="2"/>
  <c r="O739" i="2"/>
  <c r="R739" i="2"/>
  <c r="S739" i="2"/>
  <c r="T739" i="2"/>
  <c r="Y739" i="2"/>
  <c r="E740" i="2"/>
  <c r="F740" i="2"/>
  <c r="G740" i="2"/>
  <c r="I740" i="2"/>
  <c r="K740" i="2"/>
  <c r="L740" i="2"/>
  <c r="N740" i="2"/>
  <c r="O740" i="2"/>
  <c r="R740" i="2"/>
  <c r="S740" i="2"/>
  <c r="T740" i="2"/>
  <c r="Y740" i="2"/>
  <c r="E741" i="2"/>
  <c r="F741" i="2"/>
  <c r="G741" i="2"/>
  <c r="I741" i="2"/>
  <c r="K741" i="2"/>
  <c r="L741" i="2"/>
  <c r="N741" i="2"/>
  <c r="O741" i="2"/>
  <c r="R741" i="2"/>
  <c r="S741" i="2"/>
  <c r="T741" i="2"/>
  <c r="Y741" i="2"/>
  <c r="E742" i="2"/>
  <c r="F742" i="2"/>
  <c r="G742" i="2"/>
  <c r="I742" i="2"/>
  <c r="K742" i="2"/>
  <c r="L742" i="2"/>
  <c r="N742" i="2"/>
  <c r="O742" i="2"/>
  <c r="R742" i="2"/>
  <c r="S742" i="2"/>
  <c r="T742" i="2"/>
  <c r="Y742" i="2"/>
  <c r="E743" i="2"/>
  <c r="F743" i="2"/>
  <c r="G743" i="2"/>
  <c r="I743" i="2"/>
  <c r="K743" i="2"/>
  <c r="L743" i="2"/>
  <c r="N743" i="2"/>
  <c r="O743" i="2"/>
  <c r="R743" i="2"/>
  <c r="S743" i="2"/>
  <c r="T743" i="2"/>
  <c r="Y743" i="2"/>
  <c r="E744" i="2"/>
  <c r="F744" i="2"/>
  <c r="G744" i="2"/>
  <c r="I744" i="2"/>
  <c r="K744" i="2"/>
  <c r="L744" i="2"/>
  <c r="N744" i="2"/>
  <c r="O744" i="2"/>
  <c r="R744" i="2"/>
  <c r="S744" i="2"/>
  <c r="T744" i="2"/>
  <c r="Y744" i="2"/>
  <c r="F745" i="2"/>
  <c r="G745" i="2"/>
  <c r="I745" i="2"/>
  <c r="K745" i="2"/>
  <c r="L745" i="2"/>
  <c r="N745" i="2"/>
  <c r="O745" i="2"/>
  <c r="R745" i="2"/>
  <c r="S745" i="2"/>
  <c r="T745" i="2"/>
  <c r="Y745" i="2"/>
  <c r="E746" i="2"/>
  <c r="F746" i="2"/>
  <c r="G746" i="2"/>
  <c r="K746" i="2"/>
  <c r="L746" i="2"/>
  <c r="N746" i="2"/>
  <c r="O746" i="2"/>
  <c r="R746" i="2"/>
  <c r="S746" i="2"/>
  <c r="T746" i="2"/>
  <c r="Y746" i="2"/>
  <c r="E751" i="2"/>
  <c r="G751" i="2"/>
  <c r="I751" i="2"/>
  <c r="K751" i="2"/>
  <c r="L751" i="2"/>
  <c r="N751" i="2"/>
  <c r="O751" i="2"/>
  <c r="R751" i="2"/>
  <c r="S751" i="2"/>
  <c r="T751" i="2"/>
  <c r="Y751" i="2"/>
  <c r="E752" i="2"/>
  <c r="G752" i="2"/>
  <c r="I752" i="2"/>
  <c r="K752" i="2"/>
  <c r="L752" i="2"/>
  <c r="N752" i="2"/>
  <c r="O752" i="2"/>
  <c r="R752" i="2"/>
  <c r="S752" i="2"/>
  <c r="T752" i="2"/>
  <c r="Y752" i="2"/>
  <c r="E753" i="2"/>
  <c r="F753" i="2"/>
  <c r="G753" i="2"/>
  <c r="I753" i="2"/>
  <c r="K753" i="2"/>
  <c r="L753" i="2"/>
  <c r="N753" i="2"/>
  <c r="O753" i="2"/>
  <c r="R753" i="2"/>
  <c r="S753" i="2"/>
  <c r="T753" i="2"/>
  <c r="Y753" i="2"/>
  <c r="F754" i="2"/>
  <c r="G754" i="2"/>
  <c r="I754" i="2"/>
  <c r="K754" i="2"/>
  <c r="L754" i="2"/>
  <c r="N754" i="2"/>
  <c r="O754" i="2"/>
  <c r="R754" i="2"/>
  <c r="S754" i="2"/>
  <c r="T754" i="2"/>
  <c r="Y754" i="2"/>
  <c r="G755" i="2"/>
  <c r="I755" i="2"/>
  <c r="L755" i="2"/>
  <c r="N755" i="2"/>
  <c r="O755" i="2"/>
  <c r="R755" i="2"/>
  <c r="S755" i="2"/>
  <c r="T755" i="2"/>
  <c r="Y755" i="2"/>
  <c r="E756" i="2"/>
  <c r="F756" i="2"/>
  <c r="G756" i="2"/>
  <c r="I756" i="2"/>
  <c r="K756" i="2"/>
  <c r="L756" i="2"/>
  <c r="N756" i="2"/>
  <c r="O756" i="2"/>
  <c r="R756" i="2"/>
  <c r="S756" i="2"/>
  <c r="T756" i="2"/>
  <c r="Y756" i="2"/>
  <c r="E757" i="2"/>
  <c r="F757" i="2"/>
  <c r="G757" i="2"/>
  <c r="I757" i="2"/>
  <c r="K757" i="2"/>
  <c r="L757" i="2"/>
  <c r="N757" i="2"/>
  <c r="O757" i="2"/>
  <c r="R757" i="2"/>
  <c r="S757" i="2"/>
  <c r="T757" i="2"/>
  <c r="Y757" i="2"/>
  <c r="F758" i="2"/>
  <c r="G758" i="2"/>
  <c r="I758" i="2"/>
  <c r="K758" i="2"/>
  <c r="L758" i="2"/>
  <c r="N758" i="2"/>
  <c r="O758" i="2"/>
  <c r="R758" i="2"/>
  <c r="S758" i="2"/>
  <c r="T758" i="2"/>
  <c r="Y758" i="2"/>
  <c r="E759" i="2"/>
  <c r="F759" i="2"/>
  <c r="G759" i="2"/>
  <c r="I759" i="2"/>
  <c r="K759" i="2"/>
  <c r="L759" i="2"/>
  <c r="N759" i="2"/>
  <c r="O759" i="2"/>
  <c r="R759" i="2"/>
  <c r="S759" i="2"/>
  <c r="T759" i="2"/>
  <c r="Y759" i="2"/>
  <c r="E760" i="2"/>
  <c r="F760" i="2"/>
  <c r="G760" i="2"/>
  <c r="I760" i="2"/>
  <c r="K760" i="2"/>
  <c r="L760" i="2"/>
  <c r="N760" i="2"/>
  <c r="O760" i="2"/>
  <c r="R760" i="2"/>
  <c r="S760" i="2"/>
  <c r="T760" i="2"/>
  <c r="Y760" i="2"/>
  <c r="F761" i="2"/>
  <c r="G761" i="2"/>
  <c r="I761" i="2"/>
  <c r="K761" i="2"/>
  <c r="L761" i="2"/>
  <c r="N761" i="2"/>
  <c r="O761" i="2"/>
  <c r="R761" i="2"/>
  <c r="S761" i="2"/>
  <c r="T761" i="2"/>
  <c r="Y761" i="2"/>
  <c r="G762" i="2"/>
  <c r="I762" i="2"/>
  <c r="K762" i="2"/>
  <c r="L762" i="2"/>
  <c r="N762" i="2"/>
  <c r="O762" i="2"/>
  <c r="R762" i="2"/>
  <c r="S762" i="2"/>
  <c r="T762" i="2"/>
  <c r="Y762" i="2"/>
  <c r="F763" i="2"/>
  <c r="G763" i="2"/>
  <c r="I763" i="2"/>
  <c r="J763" i="2"/>
  <c r="K763" i="2"/>
  <c r="L763" i="2"/>
  <c r="N763" i="2"/>
  <c r="O763" i="2"/>
  <c r="Q763" i="2"/>
  <c r="R763" i="2"/>
  <c r="S763" i="2"/>
  <c r="T763" i="2"/>
  <c r="Y763" i="2"/>
  <c r="E764" i="2"/>
  <c r="F764" i="2"/>
  <c r="G764" i="2"/>
  <c r="I764" i="2"/>
  <c r="J764" i="2"/>
  <c r="K764" i="2"/>
  <c r="L764" i="2"/>
  <c r="N764" i="2"/>
  <c r="O764" i="2"/>
  <c r="Q764" i="2"/>
  <c r="R764" i="2"/>
  <c r="S764" i="2"/>
  <c r="T764" i="2"/>
  <c r="V764" i="2"/>
  <c r="W764" i="2"/>
  <c r="Y764" i="2"/>
  <c r="F765" i="2"/>
  <c r="G765" i="2"/>
  <c r="I765" i="2"/>
  <c r="K765" i="2"/>
  <c r="L765" i="2"/>
  <c r="N765" i="2"/>
  <c r="O765" i="2"/>
  <c r="R765" i="2"/>
  <c r="S765" i="2"/>
  <c r="T765" i="2"/>
  <c r="Y765" i="2"/>
  <c r="E766" i="2"/>
  <c r="F766" i="2"/>
  <c r="G766" i="2"/>
  <c r="I766" i="2"/>
  <c r="K766" i="2"/>
  <c r="L766" i="2"/>
  <c r="N766" i="2"/>
  <c r="O766" i="2"/>
  <c r="R766" i="2"/>
  <c r="S766" i="2"/>
  <c r="T766" i="2"/>
  <c r="Y766" i="2"/>
  <c r="E771" i="2"/>
  <c r="F771" i="2"/>
  <c r="G771" i="2"/>
  <c r="I771" i="2"/>
  <c r="K771" i="2"/>
  <c r="L771" i="2"/>
  <c r="N771" i="2"/>
  <c r="O771" i="2"/>
  <c r="R771" i="2"/>
  <c r="S771" i="2"/>
  <c r="T771" i="2"/>
  <c r="Y771" i="2"/>
  <c r="E772" i="2"/>
  <c r="F772" i="2"/>
  <c r="G772" i="2"/>
  <c r="I772" i="2"/>
  <c r="K772" i="2"/>
  <c r="L772" i="2"/>
  <c r="N772" i="2"/>
  <c r="O772" i="2"/>
  <c r="R772" i="2"/>
  <c r="S772" i="2"/>
  <c r="T772" i="2"/>
  <c r="Y772" i="2"/>
  <c r="F773" i="2"/>
  <c r="G773" i="2"/>
  <c r="I773" i="2"/>
  <c r="L773" i="2"/>
  <c r="N773" i="2"/>
  <c r="O773" i="2"/>
  <c r="R773" i="2"/>
  <c r="S773" i="2"/>
  <c r="T773" i="2"/>
  <c r="Y773" i="2"/>
  <c r="E774" i="2"/>
  <c r="F774" i="2"/>
  <c r="G774" i="2"/>
  <c r="I774" i="2"/>
  <c r="K774" i="2"/>
  <c r="L774" i="2"/>
  <c r="N774" i="2"/>
  <c r="O774" i="2"/>
  <c r="R774" i="2"/>
  <c r="S774" i="2"/>
  <c r="T774" i="2"/>
  <c r="Y774" i="2"/>
  <c r="E775" i="2"/>
  <c r="F775" i="2"/>
  <c r="G775" i="2"/>
  <c r="I775" i="2"/>
  <c r="K775" i="2"/>
  <c r="L775" i="2"/>
  <c r="N775" i="2"/>
  <c r="O775" i="2"/>
  <c r="R775" i="2"/>
  <c r="S775" i="2"/>
  <c r="T775" i="2"/>
  <c r="Y775" i="2"/>
  <c r="E776" i="2"/>
  <c r="G776" i="2"/>
  <c r="I776" i="2"/>
  <c r="K776" i="2"/>
  <c r="L776" i="2"/>
  <c r="N776" i="2"/>
  <c r="O776" i="2"/>
  <c r="R776" i="2"/>
  <c r="S776" i="2"/>
  <c r="T776" i="2"/>
  <c r="Y776" i="2"/>
  <c r="F777" i="2"/>
  <c r="G777" i="2"/>
  <c r="I777" i="2"/>
  <c r="K777" i="2"/>
  <c r="L777" i="2"/>
  <c r="N777" i="2"/>
  <c r="O777" i="2"/>
  <c r="R777" i="2"/>
  <c r="S777" i="2"/>
  <c r="T777" i="2"/>
  <c r="Y777" i="2"/>
  <c r="E778" i="2"/>
  <c r="G778" i="2"/>
  <c r="I778" i="2"/>
  <c r="K778" i="2"/>
  <c r="L778" i="2"/>
  <c r="N778" i="2"/>
  <c r="O778" i="2"/>
  <c r="R778" i="2"/>
  <c r="S778" i="2"/>
  <c r="T778" i="2"/>
  <c r="Y778" i="2"/>
  <c r="E779" i="2"/>
  <c r="F779" i="2"/>
  <c r="G779" i="2"/>
  <c r="I779" i="2"/>
  <c r="K779" i="2"/>
  <c r="L779" i="2"/>
  <c r="N779" i="2"/>
  <c r="O779" i="2"/>
  <c r="R779" i="2"/>
  <c r="S779" i="2"/>
  <c r="T779" i="2"/>
  <c r="Y779" i="2"/>
  <c r="E780" i="2"/>
  <c r="F780" i="2"/>
  <c r="G780" i="2"/>
  <c r="I780" i="2"/>
  <c r="K780" i="2"/>
  <c r="L780" i="2"/>
  <c r="N780" i="2"/>
  <c r="O780" i="2"/>
  <c r="R780" i="2"/>
  <c r="S780" i="2"/>
  <c r="T780" i="2"/>
  <c r="Y780" i="2"/>
  <c r="G781" i="2"/>
  <c r="I781" i="2"/>
  <c r="K781" i="2"/>
  <c r="L781" i="2"/>
  <c r="N781" i="2"/>
  <c r="O781" i="2"/>
  <c r="R781" i="2"/>
  <c r="S781" i="2"/>
  <c r="T781" i="2"/>
  <c r="Y781" i="2"/>
  <c r="E782" i="2"/>
  <c r="F782" i="2"/>
  <c r="G782" i="2"/>
  <c r="I782" i="2"/>
  <c r="K782" i="2"/>
  <c r="L782" i="2"/>
  <c r="N782" i="2"/>
  <c r="O782" i="2"/>
  <c r="R782" i="2"/>
  <c r="S782" i="2"/>
  <c r="T782" i="2"/>
  <c r="Y782" i="2"/>
  <c r="E783" i="2"/>
  <c r="F783" i="2"/>
  <c r="G783" i="2"/>
  <c r="I783" i="2"/>
  <c r="K783" i="2"/>
  <c r="L783" i="2"/>
  <c r="N783" i="2"/>
  <c r="O783" i="2"/>
  <c r="R783" i="2"/>
  <c r="S783" i="2"/>
  <c r="T783" i="2"/>
  <c r="Y783" i="2"/>
  <c r="F784" i="2"/>
  <c r="G784" i="2"/>
  <c r="I784" i="2"/>
  <c r="K784" i="2"/>
  <c r="L784" i="2"/>
  <c r="N784" i="2"/>
  <c r="O784" i="2"/>
  <c r="R784" i="2"/>
  <c r="S784" i="2"/>
  <c r="T784" i="2"/>
  <c r="Y784" i="2"/>
  <c r="E785" i="2"/>
  <c r="F785" i="2"/>
  <c r="G785" i="2"/>
  <c r="I785" i="2"/>
  <c r="K785" i="2"/>
  <c r="L785" i="2"/>
  <c r="N785" i="2"/>
  <c r="O785" i="2"/>
  <c r="R785" i="2"/>
  <c r="S785" i="2"/>
  <c r="T785" i="2"/>
  <c r="Y785" i="2"/>
  <c r="E786" i="2"/>
  <c r="F786" i="2"/>
  <c r="G786" i="2"/>
  <c r="I786" i="2"/>
  <c r="J786" i="2"/>
  <c r="K786" i="2"/>
  <c r="L786" i="2"/>
  <c r="N786" i="2"/>
  <c r="O786" i="2"/>
  <c r="Q786" i="2"/>
  <c r="R786" i="2"/>
  <c r="S786" i="2"/>
  <c r="T786" i="2"/>
  <c r="Y786" i="2"/>
  <c r="E787" i="2"/>
  <c r="F787" i="2"/>
  <c r="G787" i="2"/>
  <c r="I787" i="2"/>
  <c r="K787" i="2"/>
  <c r="L787" i="2"/>
  <c r="N787" i="2"/>
  <c r="O787" i="2"/>
  <c r="R787" i="2"/>
  <c r="S787" i="2"/>
  <c r="T787" i="2"/>
  <c r="Y787" i="2"/>
  <c r="E792" i="2"/>
  <c r="F792" i="2"/>
  <c r="G792" i="2"/>
  <c r="I792" i="2"/>
  <c r="K792" i="2"/>
  <c r="L792" i="2"/>
  <c r="N792" i="2"/>
  <c r="O792" i="2"/>
  <c r="R792" i="2"/>
  <c r="S792" i="2"/>
  <c r="T792" i="2"/>
  <c r="Y792" i="2"/>
  <c r="F793" i="2"/>
  <c r="G793" i="2"/>
  <c r="I793" i="2"/>
  <c r="L793" i="2"/>
  <c r="N793" i="2"/>
  <c r="O793" i="2"/>
  <c r="R793" i="2"/>
  <c r="S793" i="2"/>
  <c r="T793" i="2"/>
  <c r="Y793" i="2"/>
  <c r="E794" i="2"/>
  <c r="F794" i="2"/>
  <c r="G794" i="2"/>
  <c r="I794" i="2"/>
  <c r="K794" i="2"/>
  <c r="L794" i="2"/>
  <c r="N794" i="2"/>
  <c r="O794" i="2"/>
  <c r="R794" i="2"/>
  <c r="S794" i="2"/>
  <c r="T794" i="2"/>
  <c r="Y794" i="2"/>
  <c r="F795" i="2"/>
  <c r="G795" i="2"/>
  <c r="I795" i="2"/>
  <c r="K795" i="2"/>
  <c r="L795" i="2"/>
  <c r="N795" i="2"/>
  <c r="O795" i="2"/>
  <c r="R795" i="2"/>
  <c r="S795" i="2"/>
  <c r="T795" i="2"/>
  <c r="Y795" i="2"/>
  <c r="F796" i="2"/>
  <c r="G796" i="2"/>
  <c r="I796" i="2"/>
  <c r="K796" i="2"/>
  <c r="L796" i="2"/>
  <c r="N796" i="2"/>
  <c r="O796" i="2"/>
  <c r="R796" i="2"/>
  <c r="S796" i="2"/>
  <c r="T796" i="2"/>
  <c r="Y796" i="2"/>
  <c r="E797" i="2"/>
  <c r="F797" i="2"/>
  <c r="G797" i="2"/>
  <c r="I797" i="2"/>
  <c r="K797" i="2"/>
  <c r="L797" i="2"/>
  <c r="N797" i="2"/>
  <c r="O797" i="2"/>
  <c r="R797" i="2"/>
  <c r="S797" i="2"/>
  <c r="T797" i="2"/>
  <c r="Y797" i="2"/>
  <c r="E798" i="2"/>
  <c r="F798" i="2"/>
  <c r="G798" i="2"/>
  <c r="I798" i="2"/>
  <c r="K798" i="2"/>
  <c r="L798" i="2"/>
  <c r="N798" i="2"/>
  <c r="O798" i="2"/>
  <c r="R798" i="2"/>
  <c r="S798" i="2"/>
  <c r="T798" i="2"/>
  <c r="Y798" i="2"/>
  <c r="G799" i="2"/>
  <c r="I799" i="2"/>
  <c r="K799" i="2"/>
  <c r="L799" i="2"/>
  <c r="N799" i="2"/>
  <c r="O799" i="2"/>
  <c r="R799" i="2"/>
  <c r="S799" i="2"/>
  <c r="T799" i="2"/>
  <c r="Y799" i="2"/>
  <c r="F800" i="2"/>
  <c r="G800" i="2"/>
  <c r="I800" i="2"/>
  <c r="K800" i="2"/>
  <c r="L800" i="2"/>
  <c r="N800" i="2"/>
  <c r="O800" i="2"/>
  <c r="R800" i="2"/>
  <c r="S800" i="2"/>
  <c r="T800" i="2"/>
  <c r="Y800" i="2"/>
  <c r="E801" i="2"/>
  <c r="F801" i="2"/>
  <c r="G801" i="2"/>
  <c r="I801" i="2"/>
  <c r="K801" i="2"/>
  <c r="L801" i="2"/>
  <c r="N801" i="2"/>
  <c r="O801" i="2"/>
  <c r="R801" i="2"/>
  <c r="S801" i="2"/>
  <c r="T801" i="2"/>
  <c r="Y801" i="2"/>
  <c r="F802" i="2"/>
  <c r="G802" i="2"/>
  <c r="I802" i="2"/>
  <c r="K802" i="2"/>
  <c r="L802" i="2"/>
  <c r="N802" i="2"/>
  <c r="O802" i="2"/>
  <c r="R802" i="2"/>
  <c r="S802" i="2"/>
  <c r="T802" i="2"/>
  <c r="Y802" i="2"/>
  <c r="G803" i="2"/>
  <c r="I803" i="2"/>
  <c r="K803" i="2"/>
  <c r="L803" i="2"/>
  <c r="N803" i="2"/>
  <c r="O803" i="2"/>
  <c r="Q803" i="2"/>
  <c r="R803" i="2"/>
  <c r="S803" i="2"/>
  <c r="T803" i="2"/>
  <c r="W803" i="2"/>
  <c r="Y803" i="2"/>
  <c r="G804" i="2"/>
  <c r="I804" i="2"/>
  <c r="J804" i="2"/>
  <c r="K804" i="2"/>
  <c r="L804" i="2"/>
  <c r="N804" i="2"/>
  <c r="O804" i="2"/>
  <c r="Q804" i="2"/>
  <c r="R804" i="2"/>
  <c r="S804" i="2"/>
  <c r="T804" i="2"/>
  <c r="V804" i="2"/>
  <c r="W804" i="2"/>
  <c r="Y804" i="2"/>
  <c r="E805" i="2"/>
  <c r="F805" i="2"/>
  <c r="G805" i="2"/>
  <c r="I805" i="2"/>
  <c r="K805" i="2"/>
  <c r="L805" i="2"/>
  <c r="N805" i="2"/>
  <c r="O805" i="2"/>
  <c r="R805" i="2"/>
  <c r="S805" i="2"/>
  <c r="T805" i="2"/>
  <c r="Y805" i="2"/>
  <c r="E806" i="2"/>
  <c r="F806" i="2"/>
  <c r="G806" i="2"/>
  <c r="I806" i="2"/>
  <c r="K806" i="2"/>
  <c r="L806" i="2"/>
  <c r="N806" i="2"/>
  <c r="O806" i="2"/>
  <c r="R806" i="2"/>
  <c r="S806" i="2"/>
  <c r="T806" i="2"/>
  <c r="Y806" i="2"/>
  <c r="E807" i="2"/>
  <c r="F807" i="2"/>
  <c r="G807" i="2"/>
  <c r="I807" i="2"/>
  <c r="K807" i="2"/>
  <c r="L807" i="2"/>
  <c r="N807" i="2"/>
  <c r="O807" i="2"/>
  <c r="R807" i="2"/>
  <c r="S807" i="2"/>
  <c r="T807" i="2"/>
  <c r="Y807" i="2"/>
  <c r="E812" i="2"/>
  <c r="F812" i="2"/>
  <c r="G812" i="2"/>
  <c r="I812" i="2"/>
  <c r="K812" i="2"/>
  <c r="L812" i="2"/>
  <c r="N812" i="2"/>
  <c r="O812" i="2"/>
  <c r="R812" i="2"/>
  <c r="S812" i="2"/>
  <c r="T812" i="2"/>
  <c r="Y812" i="2"/>
  <c r="F813" i="2"/>
  <c r="G813" i="2"/>
  <c r="I813" i="2"/>
  <c r="K813" i="2"/>
  <c r="L813" i="2"/>
  <c r="N813" i="2"/>
  <c r="O813" i="2"/>
  <c r="R813" i="2"/>
  <c r="S813" i="2"/>
  <c r="T813" i="2"/>
  <c r="Y813" i="2"/>
  <c r="F814" i="2"/>
  <c r="G814" i="2"/>
  <c r="I814" i="2"/>
  <c r="K814" i="2"/>
  <c r="L814" i="2"/>
  <c r="N814" i="2"/>
  <c r="O814" i="2"/>
  <c r="R814" i="2"/>
  <c r="S814" i="2"/>
  <c r="T814" i="2"/>
  <c r="Y814" i="2"/>
  <c r="F815" i="2"/>
  <c r="G815" i="2"/>
  <c r="I815" i="2"/>
  <c r="K815" i="2"/>
  <c r="L815" i="2"/>
  <c r="N815" i="2"/>
  <c r="O815" i="2"/>
  <c r="R815" i="2"/>
  <c r="S815" i="2"/>
  <c r="T815" i="2"/>
  <c r="Y815" i="2"/>
  <c r="E816" i="2"/>
  <c r="F816" i="2"/>
  <c r="G816" i="2"/>
  <c r="I816" i="2"/>
  <c r="K816" i="2"/>
  <c r="L816" i="2"/>
  <c r="N816" i="2"/>
  <c r="O816" i="2"/>
  <c r="R816" i="2"/>
  <c r="S816" i="2"/>
  <c r="T816" i="2"/>
  <c r="Y816" i="2"/>
  <c r="E817" i="2"/>
  <c r="F817" i="2"/>
  <c r="G817" i="2"/>
  <c r="I817" i="2"/>
  <c r="K817" i="2"/>
  <c r="L817" i="2"/>
  <c r="N817" i="2"/>
  <c r="O817" i="2"/>
  <c r="R817" i="2"/>
  <c r="S817" i="2"/>
  <c r="T817" i="2"/>
  <c r="Y817" i="2"/>
  <c r="G818" i="2"/>
  <c r="I818" i="2"/>
  <c r="K818" i="2"/>
  <c r="L818" i="2"/>
  <c r="N818" i="2"/>
  <c r="O818" i="2"/>
  <c r="R818" i="2"/>
  <c r="S818" i="2"/>
  <c r="T818" i="2"/>
  <c r="Y818" i="2"/>
  <c r="E819" i="2"/>
  <c r="F819" i="2"/>
  <c r="G819" i="2"/>
  <c r="I819" i="2"/>
  <c r="K819" i="2"/>
  <c r="L819" i="2"/>
  <c r="N819" i="2"/>
  <c r="O819" i="2"/>
  <c r="R819" i="2"/>
  <c r="S819" i="2"/>
  <c r="T819" i="2"/>
  <c r="Y819" i="2"/>
  <c r="E820" i="2"/>
  <c r="G820" i="2"/>
  <c r="I820" i="2"/>
  <c r="K820" i="2"/>
  <c r="L820" i="2"/>
  <c r="N820" i="2"/>
  <c r="O820" i="2"/>
  <c r="R820" i="2"/>
  <c r="S820" i="2"/>
  <c r="T820" i="2"/>
  <c r="Y820" i="2"/>
  <c r="F821" i="2"/>
  <c r="G821" i="2"/>
  <c r="I821" i="2"/>
  <c r="K821" i="2"/>
  <c r="L821" i="2"/>
  <c r="N821" i="2"/>
  <c r="O821" i="2"/>
  <c r="R821" i="2"/>
  <c r="S821" i="2"/>
  <c r="T821" i="2"/>
  <c r="Y821" i="2"/>
  <c r="G822" i="2"/>
  <c r="I822" i="2"/>
  <c r="K822" i="2"/>
  <c r="L822" i="2"/>
  <c r="N822" i="2"/>
  <c r="O822" i="2"/>
  <c r="R822" i="2"/>
  <c r="S822" i="2"/>
  <c r="T822" i="2"/>
  <c r="Y822" i="2"/>
  <c r="G823" i="2"/>
  <c r="I823" i="2"/>
  <c r="K823" i="2"/>
  <c r="L823" i="2"/>
  <c r="N823" i="2"/>
  <c r="O823" i="2"/>
  <c r="R823" i="2"/>
  <c r="S823" i="2"/>
  <c r="T823" i="2"/>
  <c r="Y823" i="2"/>
  <c r="E824" i="2"/>
  <c r="F824" i="2"/>
  <c r="G824" i="2"/>
  <c r="I824" i="2"/>
  <c r="K824" i="2"/>
  <c r="L824" i="2"/>
  <c r="N824" i="2"/>
  <c r="O824" i="2"/>
  <c r="R824" i="2"/>
  <c r="S824" i="2"/>
  <c r="T824" i="2"/>
  <c r="Y824" i="2"/>
  <c r="E825" i="2"/>
  <c r="F825" i="2"/>
  <c r="G825" i="2"/>
  <c r="I825" i="2"/>
  <c r="K825" i="2"/>
  <c r="L825" i="2"/>
  <c r="N825" i="2"/>
  <c r="O825" i="2"/>
  <c r="R825" i="2"/>
  <c r="S825" i="2"/>
  <c r="T825" i="2"/>
  <c r="Y825" i="2"/>
  <c r="E826" i="2"/>
  <c r="F826" i="2"/>
  <c r="G826" i="2"/>
  <c r="I826" i="2"/>
  <c r="K826" i="2"/>
  <c r="L826" i="2"/>
  <c r="N826" i="2"/>
  <c r="O826" i="2"/>
  <c r="R826" i="2"/>
  <c r="S826" i="2"/>
  <c r="T826" i="2"/>
  <c r="Y826" i="2"/>
  <c r="F827" i="2"/>
  <c r="G827" i="2"/>
  <c r="I827" i="2"/>
  <c r="K827" i="2"/>
  <c r="L827" i="2"/>
  <c r="N827" i="2"/>
  <c r="O827" i="2"/>
  <c r="R827" i="2"/>
  <c r="S827" i="2"/>
  <c r="T827" i="2"/>
  <c r="Y827" i="2"/>
  <c r="E828" i="2"/>
  <c r="F828" i="2"/>
  <c r="G828" i="2"/>
  <c r="I828" i="2"/>
  <c r="K828" i="2"/>
  <c r="L828" i="2"/>
  <c r="N828" i="2"/>
  <c r="O828" i="2"/>
  <c r="Q828" i="2"/>
  <c r="R828" i="2"/>
  <c r="S828" i="2"/>
  <c r="T828" i="2"/>
  <c r="W828" i="2"/>
  <c r="Y828" i="2"/>
  <c r="E829" i="2"/>
  <c r="F829" i="2"/>
  <c r="G829" i="2"/>
  <c r="H829" i="2"/>
  <c r="I829" i="2"/>
  <c r="J829" i="2"/>
  <c r="K829" i="2"/>
  <c r="L829" i="2"/>
  <c r="M829" i="2"/>
  <c r="N829" i="2"/>
  <c r="O829" i="2"/>
  <c r="P829" i="2"/>
  <c r="Q829" i="2"/>
  <c r="R829" i="2"/>
  <c r="S829" i="2"/>
  <c r="T829" i="2"/>
  <c r="U829" i="2"/>
  <c r="V829" i="2"/>
  <c r="W829" i="2"/>
  <c r="X829" i="2"/>
  <c r="Y829" i="2"/>
  <c r="Z829" i="2"/>
  <c r="AA829" i="2"/>
  <c r="AB829" i="2"/>
  <c r="E830" i="2"/>
  <c r="F830" i="2"/>
  <c r="G830" i="2"/>
  <c r="I830" i="2"/>
  <c r="K830" i="2"/>
  <c r="L830" i="2"/>
  <c r="N830" i="2"/>
  <c r="O830" i="2"/>
  <c r="Q830" i="2"/>
  <c r="R830" i="2"/>
  <c r="S830" i="2"/>
  <c r="T830" i="2"/>
  <c r="W830" i="2"/>
  <c r="Y830" i="2"/>
  <c r="E831" i="2"/>
  <c r="F831" i="2"/>
  <c r="G831" i="2"/>
  <c r="I831" i="2"/>
  <c r="K831" i="2"/>
  <c r="L831" i="2"/>
  <c r="N831" i="2"/>
  <c r="O831" i="2"/>
  <c r="R831" i="2"/>
  <c r="S831" i="2"/>
  <c r="T831" i="2"/>
  <c r="Y831" i="2"/>
  <c r="F836" i="2"/>
  <c r="G836" i="2"/>
  <c r="I836" i="2"/>
  <c r="K836" i="2"/>
  <c r="L836" i="2"/>
  <c r="N836" i="2"/>
  <c r="O836" i="2"/>
  <c r="R836" i="2"/>
  <c r="S836" i="2"/>
  <c r="T836" i="2"/>
  <c r="Y836" i="2"/>
  <c r="F837" i="2"/>
  <c r="G837" i="2"/>
  <c r="I837" i="2"/>
  <c r="K837" i="2"/>
  <c r="L837" i="2"/>
  <c r="N837" i="2"/>
  <c r="O837" i="2"/>
  <c r="R837" i="2"/>
  <c r="S837" i="2"/>
  <c r="T837" i="2"/>
  <c r="Y837" i="2"/>
  <c r="E838" i="2"/>
  <c r="F838" i="2"/>
  <c r="G838" i="2"/>
  <c r="I838" i="2"/>
  <c r="K838" i="2"/>
  <c r="L838" i="2"/>
  <c r="N838" i="2"/>
  <c r="O838" i="2"/>
  <c r="R838" i="2"/>
  <c r="S838" i="2"/>
  <c r="T838" i="2"/>
  <c r="Y838" i="2"/>
  <c r="G839" i="2"/>
  <c r="I839" i="2"/>
  <c r="K839" i="2"/>
  <c r="L839" i="2"/>
  <c r="N839" i="2"/>
  <c r="O839" i="2"/>
  <c r="R839" i="2"/>
  <c r="S839" i="2"/>
  <c r="T839" i="2"/>
  <c r="Y839" i="2"/>
  <c r="E840" i="2"/>
  <c r="F840" i="2"/>
  <c r="G840" i="2"/>
  <c r="I840" i="2"/>
  <c r="K840" i="2"/>
  <c r="L840" i="2"/>
  <c r="N840" i="2"/>
  <c r="O840" i="2"/>
  <c r="R840" i="2"/>
  <c r="S840" i="2"/>
  <c r="T840" i="2"/>
  <c r="Y840" i="2"/>
  <c r="E841" i="2"/>
  <c r="F841" i="2"/>
  <c r="G841" i="2"/>
  <c r="I841" i="2"/>
  <c r="K841" i="2"/>
  <c r="L841" i="2"/>
  <c r="N841" i="2"/>
  <c r="O841" i="2"/>
  <c r="R841" i="2"/>
  <c r="S841" i="2"/>
  <c r="T841" i="2"/>
  <c r="Y841" i="2"/>
  <c r="F842" i="2"/>
  <c r="G842" i="2"/>
  <c r="I842" i="2"/>
  <c r="K842" i="2"/>
  <c r="L842" i="2"/>
  <c r="N842" i="2"/>
  <c r="O842" i="2"/>
  <c r="R842" i="2"/>
  <c r="S842" i="2"/>
  <c r="T842" i="2"/>
  <c r="Y842" i="2"/>
  <c r="E843" i="2"/>
  <c r="G843" i="2"/>
  <c r="I843" i="2"/>
  <c r="K843" i="2"/>
  <c r="L843" i="2"/>
  <c r="N843" i="2"/>
  <c r="O843" i="2"/>
  <c r="R843" i="2"/>
  <c r="S843" i="2"/>
  <c r="T843" i="2"/>
  <c r="Y843" i="2"/>
  <c r="E844" i="2"/>
  <c r="F844" i="2"/>
  <c r="G844" i="2"/>
  <c r="I844" i="2"/>
  <c r="K844" i="2"/>
  <c r="L844" i="2"/>
  <c r="N844" i="2"/>
  <c r="O844" i="2"/>
  <c r="R844" i="2"/>
  <c r="S844" i="2"/>
  <c r="T844" i="2"/>
  <c r="Y844" i="2"/>
  <c r="E845" i="2"/>
  <c r="F845" i="2"/>
  <c r="G845" i="2"/>
  <c r="I845" i="2"/>
  <c r="K845" i="2"/>
  <c r="L845" i="2"/>
  <c r="N845" i="2"/>
  <c r="O845" i="2"/>
  <c r="R845" i="2"/>
  <c r="S845" i="2"/>
  <c r="T845" i="2"/>
  <c r="Y845" i="2"/>
  <c r="E846" i="2"/>
  <c r="F846" i="2"/>
  <c r="G846" i="2"/>
  <c r="I846" i="2"/>
  <c r="K846" i="2"/>
  <c r="L846" i="2"/>
  <c r="N846" i="2"/>
  <c r="O846" i="2"/>
  <c r="R846" i="2"/>
  <c r="S846" i="2"/>
  <c r="T846" i="2"/>
  <c r="Y846" i="2"/>
  <c r="E847" i="2"/>
  <c r="F847" i="2"/>
  <c r="G847" i="2"/>
  <c r="I847" i="2"/>
  <c r="K847" i="2"/>
  <c r="L847" i="2"/>
  <c r="N847" i="2"/>
  <c r="O847" i="2"/>
  <c r="R847" i="2"/>
  <c r="S847" i="2"/>
  <c r="T847" i="2"/>
  <c r="Y847" i="2"/>
  <c r="E848" i="2"/>
  <c r="F848" i="2"/>
  <c r="G848" i="2"/>
  <c r="I848" i="2"/>
  <c r="K848" i="2"/>
  <c r="L848" i="2"/>
  <c r="N848" i="2"/>
  <c r="O848" i="2"/>
  <c r="R848" i="2"/>
  <c r="S848" i="2"/>
  <c r="T848" i="2"/>
  <c r="Y848" i="2"/>
  <c r="E849" i="2"/>
  <c r="F849" i="2"/>
  <c r="G849" i="2"/>
  <c r="I849" i="2"/>
  <c r="J849" i="2"/>
  <c r="K849" i="2"/>
  <c r="L849" i="2"/>
  <c r="N849" i="2"/>
  <c r="O849" i="2"/>
  <c r="Q849" i="2"/>
  <c r="R849" i="2"/>
  <c r="S849" i="2"/>
  <c r="T849" i="2"/>
  <c r="V849" i="2"/>
  <c r="W849" i="2"/>
  <c r="Y849" i="2"/>
  <c r="F850" i="2"/>
  <c r="G850" i="2"/>
  <c r="I850" i="2"/>
  <c r="J850" i="2"/>
  <c r="K850" i="2"/>
  <c r="L850" i="2"/>
  <c r="N850" i="2"/>
  <c r="O850" i="2"/>
  <c r="Q850" i="2"/>
  <c r="R850" i="2"/>
  <c r="S850" i="2"/>
  <c r="T850" i="2"/>
  <c r="V850" i="2"/>
  <c r="W850" i="2"/>
  <c r="Y850" i="2"/>
  <c r="E851" i="2"/>
  <c r="F851" i="2"/>
  <c r="G851" i="2"/>
  <c r="I851" i="2"/>
  <c r="K851" i="2"/>
  <c r="L851" i="2"/>
  <c r="N851" i="2"/>
  <c r="O851" i="2"/>
  <c r="R851" i="2"/>
  <c r="S851" i="2"/>
  <c r="T851" i="2"/>
  <c r="Y851" i="2"/>
  <c r="G852" i="2"/>
  <c r="I852" i="2"/>
  <c r="K852" i="2"/>
  <c r="L852" i="2"/>
  <c r="N852" i="2"/>
  <c r="O852" i="2"/>
  <c r="R852" i="2"/>
  <c r="S852" i="2"/>
  <c r="T852" i="2"/>
  <c r="Y852" i="2"/>
  <c r="E853" i="2"/>
  <c r="F853" i="2"/>
  <c r="G853" i="2"/>
  <c r="I853" i="2"/>
  <c r="K853" i="2"/>
  <c r="L853" i="2"/>
  <c r="N853" i="2"/>
  <c r="O853" i="2"/>
  <c r="R853" i="2"/>
  <c r="S853" i="2"/>
  <c r="T853" i="2"/>
  <c r="Y853" i="2"/>
  <c r="E858" i="2"/>
  <c r="F858" i="2"/>
  <c r="G858" i="2"/>
  <c r="I858" i="2"/>
  <c r="L858" i="2"/>
  <c r="N858" i="2"/>
  <c r="O858" i="2"/>
  <c r="R858" i="2"/>
  <c r="S858" i="2"/>
  <c r="T858" i="2"/>
  <c r="Y858" i="2"/>
  <c r="F859" i="2"/>
  <c r="G859" i="2"/>
  <c r="I859" i="2"/>
  <c r="L859" i="2"/>
  <c r="N859" i="2"/>
  <c r="O859" i="2"/>
  <c r="R859" i="2"/>
  <c r="S859" i="2"/>
  <c r="T859" i="2"/>
  <c r="Y859" i="2"/>
  <c r="E860" i="2"/>
  <c r="F860" i="2"/>
  <c r="G860" i="2"/>
  <c r="I860" i="2"/>
  <c r="K860" i="2"/>
  <c r="L860" i="2"/>
  <c r="N860" i="2"/>
  <c r="O860" i="2"/>
  <c r="R860" i="2"/>
  <c r="S860" i="2"/>
  <c r="T860" i="2"/>
  <c r="Y860" i="2"/>
  <c r="E861" i="2"/>
  <c r="F861" i="2"/>
  <c r="G861" i="2"/>
  <c r="I861" i="2"/>
  <c r="K861" i="2"/>
  <c r="L861" i="2"/>
  <c r="N861" i="2"/>
  <c r="O861" i="2"/>
  <c r="R861" i="2"/>
  <c r="S861" i="2"/>
  <c r="T861" i="2"/>
  <c r="Y861" i="2"/>
  <c r="E862" i="2"/>
  <c r="G862" i="2"/>
  <c r="I862" i="2"/>
  <c r="K862" i="2"/>
  <c r="L862" i="2"/>
  <c r="N862" i="2"/>
  <c r="O862" i="2"/>
  <c r="R862" i="2"/>
  <c r="S862" i="2"/>
  <c r="T862" i="2"/>
  <c r="Y862" i="2"/>
  <c r="F863" i="2"/>
  <c r="G863" i="2"/>
  <c r="I863" i="2"/>
  <c r="K863" i="2"/>
  <c r="L863" i="2"/>
  <c r="N863" i="2"/>
  <c r="O863" i="2"/>
  <c r="R863" i="2"/>
  <c r="S863" i="2"/>
  <c r="T863" i="2"/>
  <c r="Y863" i="2"/>
  <c r="E864" i="2"/>
  <c r="G864" i="2"/>
  <c r="I864" i="2"/>
  <c r="K864" i="2"/>
  <c r="L864" i="2"/>
  <c r="N864" i="2"/>
  <c r="O864" i="2"/>
  <c r="R864" i="2"/>
  <c r="S864" i="2"/>
  <c r="T864" i="2"/>
  <c r="Y864" i="2"/>
  <c r="E865" i="2"/>
  <c r="F865" i="2"/>
  <c r="G865" i="2"/>
  <c r="I865" i="2"/>
  <c r="K865" i="2"/>
  <c r="L865" i="2"/>
  <c r="N865" i="2"/>
  <c r="O865" i="2"/>
  <c r="R865" i="2"/>
  <c r="S865" i="2"/>
  <c r="T865" i="2"/>
  <c r="Y865" i="2"/>
  <c r="F866" i="2"/>
  <c r="G866" i="2"/>
  <c r="I866" i="2"/>
  <c r="K866" i="2"/>
  <c r="L866" i="2"/>
  <c r="N866" i="2"/>
  <c r="O866" i="2"/>
  <c r="R866" i="2"/>
  <c r="S866" i="2"/>
  <c r="T866" i="2"/>
  <c r="Y866" i="2"/>
  <c r="G867" i="2"/>
  <c r="I867" i="2"/>
  <c r="K867" i="2"/>
  <c r="L867" i="2"/>
  <c r="N867" i="2"/>
  <c r="O867" i="2"/>
  <c r="R867" i="2"/>
  <c r="S867" i="2"/>
  <c r="T867" i="2"/>
  <c r="Y867" i="2"/>
  <c r="F868" i="2"/>
  <c r="G868" i="2"/>
  <c r="I868" i="2"/>
  <c r="K868" i="2"/>
  <c r="L868" i="2"/>
  <c r="N868" i="2"/>
  <c r="O868" i="2"/>
  <c r="R868" i="2"/>
  <c r="S868" i="2"/>
  <c r="T868" i="2"/>
  <c r="Y868" i="2"/>
  <c r="G869" i="2"/>
  <c r="I869" i="2"/>
  <c r="K869" i="2"/>
  <c r="L869" i="2"/>
  <c r="N869" i="2"/>
  <c r="O869" i="2"/>
  <c r="R869" i="2"/>
  <c r="S869" i="2"/>
  <c r="T869" i="2"/>
  <c r="Y869" i="2"/>
  <c r="E870" i="2"/>
  <c r="F870" i="2"/>
  <c r="G870" i="2"/>
  <c r="I870" i="2"/>
  <c r="K870" i="2"/>
  <c r="L870" i="2"/>
  <c r="N870" i="2"/>
  <c r="O870" i="2"/>
  <c r="R870" i="2"/>
  <c r="S870" i="2"/>
  <c r="T870" i="2"/>
  <c r="Y870" i="2"/>
  <c r="E871" i="2"/>
  <c r="F871" i="2"/>
  <c r="G871" i="2"/>
  <c r="I871" i="2"/>
  <c r="K871" i="2"/>
  <c r="L871" i="2"/>
  <c r="N871" i="2"/>
  <c r="O871" i="2"/>
  <c r="R871" i="2"/>
  <c r="S871" i="2"/>
  <c r="T871" i="2"/>
  <c r="Y871" i="2"/>
  <c r="E872" i="2"/>
  <c r="F872" i="2"/>
  <c r="G872" i="2"/>
  <c r="I872" i="2"/>
  <c r="K872" i="2"/>
  <c r="L872" i="2"/>
  <c r="N872" i="2"/>
  <c r="O872" i="2"/>
  <c r="R872" i="2"/>
  <c r="S872" i="2"/>
  <c r="T872" i="2"/>
  <c r="Y872" i="2"/>
  <c r="G873" i="2"/>
  <c r="I873" i="2"/>
  <c r="J873" i="2"/>
  <c r="K873" i="2"/>
  <c r="L873" i="2"/>
  <c r="N873" i="2"/>
  <c r="O873" i="2"/>
  <c r="Q873" i="2"/>
  <c r="R873" i="2"/>
  <c r="S873" i="2"/>
  <c r="T873" i="2"/>
  <c r="Y873" i="2"/>
  <c r="E874" i="2"/>
  <c r="F874" i="2"/>
  <c r="G874" i="2"/>
  <c r="I874" i="2"/>
  <c r="K874" i="2"/>
  <c r="L874" i="2"/>
  <c r="N874" i="2"/>
  <c r="O874" i="2"/>
  <c r="R874" i="2"/>
  <c r="S874" i="2"/>
  <c r="T874" i="2"/>
  <c r="Y874" i="2"/>
  <c r="E875" i="2"/>
  <c r="F875" i="2"/>
  <c r="G875" i="2"/>
  <c r="I875" i="2"/>
  <c r="K875" i="2"/>
  <c r="L875" i="2"/>
  <c r="N875" i="2"/>
  <c r="O875" i="2"/>
  <c r="R875" i="2"/>
  <c r="S875" i="2"/>
  <c r="T875" i="2"/>
  <c r="Y875" i="2"/>
  <c r="E876" i="2"/>
  <c r="F876" i="2"/>
  <c r="G876" i="2"/>
  <c r="I876" i="2"/>
  <c r="K876" i="2"/>
  <c r="L876" i="2"/>
  <c r="N876" i="2"/>
  <c r="O876" i="2"/>
  <c r="R876" i="2"/>
  <c r="S876" i="2"/>
  <c r="T876" i="2"/>
  <c r="Y876" i="2"/>
  <c r="G877" i="2"/>
  <c r="I877" i="2"/>
  <c r="K877" i="2"/>
  <c r="L877" i="2"/>
  <c r="N877" i="2"/>
  <c r="O877" i="2"/>
  <c r="R877" i="2"/>
  <c r="S877" i="2"/>
  <c r="T877" i="2"/>
  <c r="Y877" i="2"/>
  <c r="F882" i="2"/>
  <c r="G882" i="2"/>
  <c r="I882" i="2"/>
  <c r="K882" i="2"/>
  <c r="L882" i="2"/>
  <c r="N882" i="2"/>
  <c r="O882" i="2"/>
  <c r="R882" i="2"/>
  <c r="S882" i="2"/>
  <c r="T882" i="2"/>
  <c r="Y882" i="2"/>
  <c r="E883" i="2"/>
  <c r="G883" i="2"/>
  <c r="I883" i="2"/>
  <c r="K883" i="2"/>
  <c r="L883" i="2"/>
  <c r="N883" i="2"/>
  <c r="O883" i="2"/>
  <c r="R883" i="2"/>
  <c r="S883" i="2"/>
  <c r="T883" i="2"/>
  <c r="Y883" i="2"/>
  <c r="E884" i="2"/>
  <c r="G884" i="2"/>
  <c r="I884" i="2"/>
  <c r="K884" i="2"/>
  <c r="L884" i="2"/>
  <c r="N884" i="2"/>
  <c r="O884" i="2"/>
  <c r="R884" i="2"/>
  <c r="S884" i="2"/>
  <c r="T884" i="2"/>
  <c r="Y884" i="2"/>
  <c r="F885" i="2"/>
  <c r="G885" i="2"/>
  <c r="I885" i="2"/>
  <c r="K885" i="2"/>
  <c r="L885" i="2"/>
  <c r="N885" i="2"/>
  <c r="O885" i="2"/>
  <c r="R885" i="2"/>
  <c r="S885" i="2"/>
  <c r="T885" i="2"/>
  <c r="Y885" i="2"/>
  <c r="E886" i="2"/>
  <c r="F886" i="2"/>
  <c r="G886" i="2"/>
  <c r="I886" i="2"/>
  <c r="K886" i="2"/>
  <c r="L886" i="2"/>
  <c r="N886" i="2"/>
  <c r="O886" i="2"/>
  <c r="R886" i="2"/>
  <c r="S886" i="2"/>
  <c r="T886" i="2"/>
  <c r="Y886" i="2"/>
  <c r="G887" i="2"/>
  <c r="I887" i="2"/>
  <c r="K887" i="2"/>
  <c r="L887" i="2"/>
  <c r="N887" i="2"/>
  <c r="O887" i="2"/>
  <c r="R887" i="2"/>
  <c r="S887" i="2"/>
  <c r="T887" i="2"/>
  <c r="Y887" i="2"/>
  <c r="E888" i="2"/>
  <c r="F888" i="2"/>
  <c r="G888" i="2"/>
  <c r="I888" i="2"/>
  <c r="K888" i="2"/>
  <c r="L888" i="2"/>
  <c r="N888" i="2"/>
  <c r="O888" i="2"/>
  <c r="R888" i="2"/>
  <c r="S888" i="2"/>
  <c r="T888" i="2"/>
  <c r="Y888" i="2"/>
  <c r="E889" i="2"/>
  <c r="F889" i="2"/>
  <c r="G889" i="2"/>
  <c r="I889" i="2"/>
  <c r="K889" i="2"/>
  <c r="L889" i="2"/>
  <c r="N889" i="2"/>
  <c r="O889" i="2"/>
  <c r="R889" i="2"/>
  <c r="S889" i="2"/>
  <c r="T889" i="2"/>
  <c r="Y889" i="2"/>
  <c r="E890" i="2"/>
  <c r="F890" i="2"/>
  <c r="G890" i="2"/>
  <c r="I890" i="2"/>
  <c r="K890" i="2"/>
  <c r="L890" i="2"/>
  <c r="N890" i="2"/>
  <c r="O890" i="2"/>
  <c r="R890" i="2"/>
  <c r="S890" i="2"/>
  <c r="T890" i="2"/>
  <c r="Y890" i="2"/>
  <c r="E891" i="2"/>
  <c r="F891" i="2"/>
  <c r="G891" i="2"/>
  <c r="I891" i="2"/>
  <c r="K891" i="2"/>
  <c r="L891" i="2"/>
  <c r="N891" i="2"/>
  <c r="O891" i="2"/>
  <c r="R891" i="2"/>
  <c r="S891" i="2"/>
  <c r="T891" i="2"/>
  <c r="Y891" i="2"/>
  <c r="E892" i="2"/>
  <c r="F892" i="2"/>
  <c r="G892" i="2"/>
  <c r="I892" i="2"/>
  <c r="K892" i="2"/>
  <c r="L892" i="2"/>
  <c r="N892" i="2"/>
  <c r="O892" i="2"/>
  <c r="R892" i="2"/>
  <c r="S892" i="2"/>
  <c r="T892" i="2"/>
  <c r="Y892" i="2"/>
  <c r="E893" i="2"/>
  <c r="F893" i="2"/>
  <c r="G893" i="2"/>
  <c r="I893" i="2"/>
  <c r="K893" i="2"/>
  <c r="L893" i="2"/>
  <c r="N893" i="2"/>
  <c r="O893" i="2"/>
  <c r="R893" i="2"/>
  <c r="S893" i="2"/>
  <c r="T893" i="2"/>
  <c r="Y893" i="2"/>
  <c r="F894" i="2"/>
  <c r="G894" i="2"/>
  <c r="I894" i="2"/>
  <c r="K894" i="2"/>
  <c r="L894" i="2"/>
  <c r="N894" i="2"/>
  <c r="O894" i="2"/>
  <c r="R894" i="2"/>
  <c r="S894" i="2"/>
  <c r="T894" i="2"/>
  <c r="Y894" i="2"/>
  <c r="G895" i="2"/>
  <c r="I895" i="2"/>
  <c r="K895" i="2"/>
  <c r="L895" i="2"/>
  <c r="N895" i="2"/>
  <c r="O895" i="2"/>
  <c r="R895" i="2"/>
  <c r="S895" i="2"/>
  <c r="T895" i="2"/>
  <c r="Y895" i="2"/>
  <c r="E896" i="2"/>
  <c r="F896" i="2"/>
  <c r="G896" i="2"/>
  <c r="I896" i="2"/>
  <c r="K896" i="2"/>
  <c r="L896" i="2"/>
  <c r="N896" i="2"/>
  <c r="O896" i="2"/>
  <c r="R896" i="2"/>
  <c r="S896" i="2"/>
  <c r="T896" i="2"/>
  <c r="Y896" i="2"/>
  <c r="E901" i="2"/>
  <c r="F901" i="2"/>
  <c r="G901" i="2"/>
  <c r="I901" i="2"/>
  <c r="K901" i="2"/>
  <c r="L901" i="2"/>
  <c r="N901" i="2"/>
  <c r="O901" i="2"/>
  <c r="R901" i="2"/>
  <c r="S901" i="2"/>
  <c r="T901" i="2"/>
  <c r="Y901" i="2"/>
  <c r="E902" i="2"/>
  <c r="E904" i="2" s="1"/>
  <c r="F902" i="2"/>
  <c r="G902" i="2"/>
  <c r="I902" i="2"/>
  <c r="I904" i="2" s="1"/>
  <c r="K902" i="2"/>
  <c r="K904" i="2" s="1"/>
  <c r="L902" i="2"/>
  <c r="N902" i="2"/>
  <c r="N904" i="2" s="1"/>
  <c r="O902" i="2"/>
  <c r="R902" i="2"/>
  <c r="S902" i="2"/>
  <c r="T902" i="2"/>
  <c r="Y902" i="2"/>
  <c r="E907" i="2"/>
  <c r="F907" i="2"/>
  <c r="G907" i="2"/>
  <c r="I907" i="2"/>
  <c r="K907" i="2"/>
  <c r="L907" i="2"/>
  <c r="N907" i="2"/>
  <c r="O907" i="2"/>
  <c r="R907" i="2"/>
  <c r="S907" i="2"/>
  <c r="T907" i="2"/>
  <c r="Y907" i="2"/>
  <c r="E910" i="2"/>
  <c r="F910" i="2"/>
  <c r="G910" i="2"/>
  <c r="I910" i="2"/>
  <c r="K910" i="2"/>
  <c r="L910" i="2"/>
  <c r="N910" i="2"/>
  <c r="O910" i="2"/>
  <c r="R910" i="2"/>
  <c r="S910" i="2"/>
  <c r="T910" i="2"/>
  <c r="Y910" i="2"/>
  <c r="E911" i="2"/>
  <c r="F911" i="2"/>
  <c r="G911" i="2"/>
  <c r="G913" i="2" s="1"/>
  <c r="I911" i="2"/>
  <c r="K911" i="2"/>
  <c r="K913" i="2" s="1"/>
  <c r="L911" i="2"/>
  <c r="L913" i="2" s="1"/>
  <c r="N911" i="2"/>
  <c r="R911" i="2"/>
  <c r="S911" i="2"/>
  <c r="T911" i="2"/>
  <c r="Y911" i="2"/>
  <c r="I913" i="2"/>
  <c r="E916" i="2"/>
  <c r="F916" i="2"/>
  <c r="G916" i="2"/>
  <c r="I916" i="2"/>
  <c r="K916" i="2"/>
  <c r="L916" i="2"/>
  <c r="N916" i="2"/>
  <c r="R916" i="2"/>
  <c r="S916" i="2"/>
  <c r="T916" i="2"/>
  <c r="U916" i="2"/>
  <c r="V916" i="2"/>
  <c r="W916" i="2"/>
  <c r="Y916" i="2"/>
  <c r="E926" i="2"/>
  <c r="F926" i="2"/>
  <c r="G926" i="2"/>
  <c r="I926" i="2"/>
  <c r="J926" i="2"/>
  <c r="K926" i="2"/>
  <c r="L926" i="2"/>
  <c r="N926" i="2"/>
  <c r="O926" i="2"/>
  <c r="Q926" i="2"/>
  <c r="R926" i="2"/>
  <c r="S926" i="2"/>
  <c r="T926" i="2"/>
  <c r="Y926" i="2"/>
  <c r="E927" i="2"/>
  <c r="F927" i="2"/>
  <c r="G927" i="2"/>
  <c r="I927" i="2"/>
  <c r="J927" i="2"/>
  <c r="K927" i="2"/>
  <c r="L927" i="2"/>
  <c r="N927" i="2"/>
  <c r="O927" i="2"/>
  <c r="Q927" i="2"/>
  <c r="R927" i="2"/>
  <c r="S927" i="2"/>
  <c r="T927" i="2"/>
  <c r="Y927" i="2"/>
  <c r="E928" i="2"/>
  <c r="F928" i="2"/>
  <c r="G928" i="2"/>
  <c r="I928" i="2"/>
  <c r="J928" i="2"/>
  <c r="K928" i="2"/>
  <c r="L928" i="2"/>
  <c r="N928" i="2"/>
  <c r="O928" i="2"/>
  <c r="Q928" i="2"/>
  <c r="R928" i="2"/>
  <c r="S928" i="2"/>
  <c r="T928" i="2"/>
  <c r="Y928" i="2"/>
  <c r="E929" i="2"/>
  <c r="F929" i="2"/>
  <c r="G929" i="2"/>
  <c r="I929" i="2"/>
  <c r="J929" i="2"/>
  <c r="K929" i="2"/>
  <c r="L929" i="2"/>
  <c r="O929" i="2"/>
  <c r="Q929" i="2"/>
  <c r="R929" i="2"/>
  <c r="S929" i="2"/>
  <c r="T929" i="2"/>
  <c r="Y929" i="2"/>
  <c r="E930" i="2"/>
  <c r="F930" i="2"/>
  <c r="G930" i="2"/>
  <c r="I930" i="2"/>
  <c r="J930" i="2"/>
  <c r="K930" i="2"/>
  <c r="L930" i="2"/>
  <c r="N930" i="2"/>
  <c r="O930" i="2"/>
  <c r="Q930" i="2"/>
  <c r="R930" i="2"/>
  <c r="S930" i="2"/>
  <c r="T930" i="2"/>
  <c r="Y930" i="2"/>
  <c r="F931" i="2"/>
  <c r="G931" i="2"/>
  <c r="I931" i="2"/>
  <c r="J931" i="2"/>
  <c r="K931" i="2"/>
  <c r="L931" i="2"/>
  <c r="N931" i="2"/>
  <c r="O931" i="2"/>
  <c r="Q931" i="2"/>
  <c r="R931" i="2"/>
  <c r="S931" i="2"/>
  <c r="T931" i="2"/>
  <c r="Y931" i="2"/>
  <c r="F932" i="2"/>
  <c r="G932" i="2"/>
  <c r="I932" i="2"/>
  <c r="J932" i="2"/>
  <c r="K932" i="2"/>
  <c r="L932" i="2"/>
  <c r="N932" i="2"/>
  <c r="O932" i="2"/>
  <c r="Q932" i="2"/>
  <c r="R932" i="2"/>
  <c r="S932" i="2"/>
  <c r="T932" i="2"/>
  <c r="Y932" i="2"/>
  <c r="E933" i="2"/>
  <c r="F933" i="2"/>
  <c r="G933" i="2"/>
  <c r="I933" i="2"/>
  <c r="J933" i="2"/>
  <c r="K933" i="2"/>
  <c r="L933" i="2"/>
  <c r="N933" i="2"/>
  <c r="O933" i="2"/>
  <c r="Q933" i="2"/>
  <c r="R933" i="2"/>
  <c r="S933" i="2"/>
  <c r="T933" i="2"/>
  <c r="Y933" i="2"/>
  <c r="F934" i="2"/>
  <c r="G934" i="2"/>
  <c r="I934" i="2"/>
  <c r="J934" i="2"/>
  <c r="K934" i="2"/>
  <c r="L934" i="2"/>
  <c r="N934" i="2"/>
  <c r="O934" i="2"/>
  <c r="Q934" i="2"/>
  <c r="R934" i="2"/>
  <c r="S934" i="2"/>
  <c r="T934" i="2"/>
  <c r="Y934" i="2"/>
  <c r="F935" i="2"/>
  <c r="G935" i="2"/>
  <c r="I935" i="2"/>
  <c r="J935" i="2"/>
  <c r="K935" i="2"/>
  <c r="L935" i="2"/>
  <c r="N935" i="2"/>
  <c r="O935" i="2"/>
  <c r="Q935" i="2"/>
  <c r="R935" i="2"/>
  <c r="S935" i="2"/>
  <c r="T935" i="2"/>
  <c r="Y935" i="2"/>
  <c r="E936" i="2"/>
  <c r="F936" i="2"/>
  <c r="G936" i="2"/>
  <c r="I936" i="2"/>
  <c r="J936" i="2"/>
  <c r="K936" i="2"/>
  <c r="L936" i="2"/>
  <c r="N936" i="2"/>
  <c r="O936" i="2"/>
  <c r="Q936" i="2"/>
  <c r="R936" i="2"/>
  <c r="S936" i="2"/>
  <c r="T936" i="2"/>
  <c r="Y936" i="2"/>
  <c r="G937" i="2"/>
  <c r="I937" i="2"/>
  <c r="J937" i="2"/>
  <c r="K937" i="2"/>
  <c r="L937" i="2"/>
  <c r="N937" i="2"/>
  <c r="O937" i="2"/>
  <c r="Q937" i="2"/>
  <c r="R937" i="2"/>
  <c r="S937" i="2"/>
  <c r="T937" i="2"/>
  <c r="Y937" i="2"/>
  <c r="E938" i="2"/>
  <c r="F938" i="2"/>
  <c r="G938" i="2"/>
  <c r="I938" i="2"/>
  <c r="J938" i="2"/>
  <c r="K938" i="2"/>
  <c r="L938" i="2"/>
  <c r="N938" i="2"/>
  <c r="O938" i="2"/>
  <c r="Q938" i="2"/>
  <c r="R938" i="2"/>
  <c r="S938" i="2"/>
  <c r="T938" i="2"/>
  <c r="Y938" i="2"/>
  <c r="G939" i="2"/>
  <c r="I939" i="2"/>
  <c r="J939" i="2"/>
  <c r="K939" i="2"/>
  <c r="L939" i="2"/>
  <c r="N939" i="2"/>
  <c r="O939" i="2"/>
  <c r="Q939" i="2"/>
  <c r="R939" i="2"/>
  <c r="S939" i="2"/>
  <c r="T939" i="2"/>
  <c r="Y939" i="2"/>
  <c r="E944" i="2"/>
  <c r="E946" i="2" s="1"/>
  <c r="F944" i="2"/>
  <c r="F946" i="2" s="1"/>
  <c r="G944" i="2"/>
  <c r="G946" i="2" s="1"/>
  <c r="I944" i="2"/>
  <c r="I946" i="2" s="1"/>
  <c r="J944" i="2"/>
  <c r="J946" i="2" s="1"/>
  <c r="K944" i="2"/>
  <c r="K946" i="2" s="1"/>
  <c r="L944" i="2"/>
  <c r="L946" i="2" s="1"/>
  <c r="N944" i="2"/>
  <c r="N946" i="2" s="1"/>
  <c r="O944" i="2"/>
  <c r="O946" i="2" s="1"/>
  <c r="Q944" i="2"/>
  <c r="Q946" i="2" s="1"/>
  <c r="R944" i="2"/>
  <c r="R946" i="2" s="1"/>
  <c r="S944" i="2"/>
  <c r="S946" i="2" s="1"/>
  <c r="Y944" i="2"/>
  <c r="Y946" i="2" s="1"/>
  <c r="E950" i="2"/>
  <c r="F950" i="2"/>
  <c r="G950" i="2"/>
  <c r="I950" i="2"/>
  <c r="J950" i="2"/>
  <c r="K950" i="2"/>
  <c r="L950" i="2"/>
  <c r="O950" i="2"/>
  <c r="Q950" i="2"/>
  <c r="R950" i="2"/>
  <c r="S950" i="2"/>
  <c r="T950" i="2"/>
  <c r="Y950" i="2"/>
  <c r="E951" i="2"/>
  <c r="F951" i="2"/>
  <c r="G951" i="2"/>
  <c r="I951" i="2"/>
  <c r="J951" i="2"/>
  <c r="K951" i="2"/>
  <c r="L951" i="2"/>
  <c r="N951" i="2"/>
  <c r="O951" i="2"/>
  <c r="Q951" i="2"/>
  <c r="R951" i="2"/>
  <c r="S951" i="2"/>
  <c r="T951" i="2"/>
  <c r="Y951" i="2"/>
  <c r="E952" i="2"/>
  <c r="F952" i="2"/>
  <c r="G952" i="2"/>
  <c r="I952" i="2"/>
  <c r="J952" i="2"/>
  <c r="K952" i="2"/>
  <c r="L952" i="2"/>
  <c r="N952" i="2"/>
  <c r="O952" i="2"/>
  <c r="Q952" i="2"/>
  <c r="R952" i="2"/>
  <c r="S952" i="2"/>
  <c r="T952" i="2"/>
  <c r="Y952" i="2"/>
  <c r="E953" i="2"/>
  <c r="F953" i="2"/>
  <c r="G953" i="2"/>
  <c r="H953" i="2"/>
  <c r="I953" i="2"/>
  <c r="J953" i="2"/>
  <c r="K953" i="2"/>
  <c r="L953" i="2"/>
  <c r="M953" i="2"/>
  <c r="N953" i="2"/>
  <c r="O953" i="2"/>
  <c r="P953" i="2"/>
  <c r="Q953" i="2"/>
  <c r="R953" i="2"/>
  <c r="S953" i="2"/>
  <c r="T953" i="2"/>
  <c r="U953" i="2"/>
  <c r="V953" i="2"/>
  <c r="W953" i="2"/>
  <c r="Y953" i="2"/>
  <c r="E954" i="2"/>
  <c r="F954" i="2"/>
  <c r="G954" i="2"/>
  <c r="I954" i="2"/>
  <c r="J954" i="2"/>
  <c r="K954" i="2"/>
  <c r="L954" i="2"/>
  <c r="N954" i="2"/>
  <c r="O954" i="2"/>
  <c r="Q954" i="2"/>
  <c r="R954" i="2"/>
  <c r="S954" i="2"/>
  <c r="T954" i="2"/>
  <c r="Y954" i="2"/>
  <c r="E955" i="2"/>
  <c r="F955" i="2"/>
  <c r="G955" i="2"/>
  <c r="I955" i="2"/>
  <c r="J955" i="2"/>
  <c r="K955" i="2"/>
  <c r="L955" i="2"/>
  <c r="N955" i="2"/>
  <c r="O955" i="2"/>
  <c r="Q955" i="2"/>
  <c r="R955" i="2"/>
  <c r="S955" i="2"/>
  <c r="T955" i="2"/>
  <c r="Y955" i="2"/>
  <c r="E956" i="2"/>
  <c r="F956" i="2"/>
  <c r="G956" i="2"/>
  <c r="I956" i="2"/>
  <c r="J956" i="2"/>
  <c r="K956" i="2"/>
  <c r="L956" i="2"/>
  <c r="O956" i="2"/>
  <c r="Q956" i="2"/>
  <c r="R956" i="2"/>
  <c r="S956" i="2"/>
  <c r="T956" i="2"/>
  <c r="Y956" i="2"/>
  <c r="E957" i="2"/>
  <c r="F957" i="2"/>
  <c r="G957" i="2"/>
  <c r="I957" i="2"/>
  <c r="J957" i="2"/>
  <c r="K957" i="2"/>
  <c r="L957" i="2"/>
  <c r="N957" i="2"/>
  <c r="O957" i="2"/>
  <c r="Q957" i="2"/>
  <c r="R957" i="2"/>
  <c r="S957" i="2"/>
  <c r="T957" i="2"/>
  <c r="Y957" i="2"/>
  <c r="E958" i="2"/>
  <c r="F958" i="2"/>
  <c r="G958" i="2"/>
  <c r="I958" i="2"/>
  <c r="J958" i="2"/>
  <c r="K958" i="2"/>
  <c r="L958" i="2"/>
  <c r="N958" i="2"/>
  <c r="O958" i="2"/>
  <c r="Q958" i="2"/>
  <c r="R958" i="2"/>
  <c r="S958" i="2"/>
  <c r="T958" i="2"/>
  <c r="Y958" i="2"/>
  <c r="E959" i="2"/>
  <c r="F959" i="2"/>
  <c r="G959" i="2"/>
  <c r="I959" i="2"/>
  <c r="J959" i="2"/>
  <c r="K959" i="2"/>
  <c r="L959" i="2"/>
  <c r="N959" i="2"/>
  <c r="O959" i="2"/>
  <c r="Q959" i="2"/>
  <c r="R959" i="2"/>
  <c r="S959" i="2"/>
  <c r="T959" i="2"/>
  <c r="Y959" i="2"/>
  <c r="E960" i="2"/>
  <c r="F960" i="2"/>
  <c r="G960" i="2"/>
  <c r="I960" i="2"/>
  <c r="J960" i="2"/>
  <c r="K960" i="2"/>
  <c r="L960" i="2"/>
  <c r="N960" i="2"/>
  <c r="O960" i="2"/>
  <c r="Q960" i="2"/>
  <c r="R960" i="2"/>
  <c r="S960" i="2"/>
  <c r="T960" i="2"/>
  <c r="Y960" i="2"/>
  <c r="E961" i="2"/>
  <c r="F961" i="2"/>
  <c r="G961" i="2"/>
  <c r="I961" i="2"/>
  <c r="J961" i="2"/>
  <c r="K961" i="2"/>
  <c r="L961" i="2"/>
  <c r="N961" i="2"/>
  <c r="O961" i="2"/>
  <c r="Q961" i="2"/>
  <c r="R961" i="2"/>
  <c r="S961" i="2"/>
  <c r="T961" i="2"/>
  <c r="Y961" i="2"/>
  <c r="G962" i="2"/>
  <c r="I962" i="2"/>
  <c r="J962" i="2"/>
  <c r="K962" i="2"/>
  <c r="L962" i="2"/>
  <c r="N962" i="2"/>
  <c r="O962" i="2"/>
  <c r="Q962" i="2"/>
  <c r="R962" i="2"/>
  <c r="S962" i="2"/>
  <c r="T962" i="2"/>
  <c r="Y962" i="2"/>
  <c r="G963" i="2"/>
  <c r="J963" i="2"/>
  <c r="K963" i="2"/>
  <c r="L963" i="2"/>
  <c r="N963" i="2"/>
  <c r="O963" i="2"/>
  <c r="Q963" i="2"/>
  <c r="R963" i="2"/>
  <c r="S963" i="2"/>
  <c r="T963" i="2"/>
  <c r="Y963" i="2"/>
  <c r="E964" i="2"/>
  <c r="F964" i="2"/>
  <c r="G964" i="2"/>
  <c r="I964" i="2"/>
  <c r="J964" i="2"/>
  <c r="K964" i="2"/>
  <c r="L964" i="2"/>
  <c r="N964" i="2"/>
  <c r="O964" i="2"/>
  <c r="Q964" i="2"/>
  <c r="R964" i="2"/>
  <c r="S964" i="2"/>
  <c r="T964" i="2"/>
  <c r="Y964" i="2"/>
  <c r="E965" i="2"/>
  <c r="F965" i="2"/>
  <c r="G965" i="2"/>
  <c r="I965" i="2"/>
  <c r="J965" i="2"/>
  <c r="K965" i="2"/>
  <c r="L965" i="2"/>
  <c r="N965" i="2"/>
  <c r="O965" i="2"/>
  <c r="Q965" i="2"/>
  <c r="R965" i="2"/>
  <c r="S965" i="2"/>
  <c r="T965" i="2"/>
  <c r="Y965" i="2"/>
  <c r="E966" i="2"/>
  <c r="F966" i="2"/>
  <c r="G966" i="2"/>
  <c r="I966" i="2"/>
  <c r="J966" i="2"/>
  <c r="K966" i="2"/>
  <c r="L966" i="2"/>
  <c r="N966" i="2"/>
  <c r="O966" i="2"/>
  <c r="Q966" i="2"/>
  <c r="R966" i="2"/>
  <c r="S966" i="2"/>
  <c r="T966" i="2"/>
  <c r="Y966" i="2"/>
  <c r="E972" i="2"/>
  <c r="F972" i="2"/>
  <c r="G972" i="2"/>
  <c r="I972" i="2"/>
  <c r="J972" i="2"/>
  <c r="K972" i="2"/>
  <c r="L972" i="2"/>
  <c r="N972" i="2"/>
  <c r="O972" i="2"/>
  <c r="Q972" i="2"/>
  <c r="R972" i="2"/>
  <c r="S972" i="2"/>
  <c r="T972" i="2"/>
  <c r="Y972" i="2"/>
  <c r="E973" i="2"/>
  <c r="F973" i="2"/>
  <c r="G973" i="2"/>
  <c r="I973" i="2"/>
  <c r="J973" i="2"/>
  <c r="K973" i="2"/>
  <c r="L973" i="2"/>
  <c r="N973" i="2"/>
  <c r="O973" i="2"/>
  <c r="Q973" i="2"/>
  <c r="R973" i="2"/>
  <c r="S973" i="2"/>
  <c r="T973" i="2"/>
  <c r="Y973" i="2"/>
  <c r="E974" i="2"/>
  <c r="F974" i="2"/>
  <c r="G974" i="2"/>
  <c r="I974" i="2"/>
  <c r="J974" i="2"/>
  <c r="K974" i="2"/>
  <c r="L974" i="2"/>
  <c r="N974" i="2"/>
  <c r="O974" i="2"/>
  <c r="Q974" i="2"/>
  <c r="R974" i="2"/>
  <c r="S974" i="2"/>
  <c r="T974" i="2"/>
  <c r="Y974" i="2"/>
  <c r="E975" i="2"/>
  <c r="F975" i="2"/>
  <c r="G975" i="2"/>
  <c r="I975" i="2"/>
  <c r="J975" i="2"/>
  <c r="K975" i="2"/>
  <c r="L975" i="2"/>
  <c r="N975" i="2"/>
  <c r="O975" i="2"/>
  <c r="Q975" i="2"/>
  <c r="R975" i="2"/>
  <c r="S975" i="2"/>
  <c r="T975" i="2"/>
  <c r="Y975" i="2"/>
  <c r="E976" i="2"/>
  <c r="F976" i="2"/>
  <c r="G976" i="2"/>
  <c r="I976" i="2"/>
  <c r="J976" i="2"/>
  <c r="K976" i="2"/>
  <c r="L976" i="2"/>
  <c r="N976" i="2"/>
  <c r="O976" i="2"/>
  <c r="Q976" i="2"/>
  <c r="R976" i="2"/>
  <c r="S976" i="2"/>
  <c r="T976" i="2"/>
  <c r="Y976" i="2"/>
  <c r="F977" i="2"/>
  <c r="G977" i="2"/>
  <c r="I977" i="2"/>
  <c r="J977" i="2"/>
  <c r="K977" i="2"/>
  <c r="L977" i="2"/>
  <c r="N977" i="2"/>
  <c r="O977" i="2"/>
  <c r="Q977" i="2"/>
  <c r="R977" i="2"/>
  <c r="S977" i="2"/>
  <c r="T977" i="2"/>
  <c r="Y977" i="2"/>
  <c r="E978" i="2"/>
  <c r="F978" i="2"/>
  <c r="G978" i="2"/>
  <c r="I978" i="2"/>
  <c r="J978" i="2"/>
  <c r="K978" i="2"/>
  <c r="L978" i="2"/>
  <c r="N978" i="2"/>
  <c r="O978" i="2"/>
  <c r="Q978" i="2"/>
  <c r="R978" i="2"/>
  <c r="S978" i="2"/>
  <c r="T978" i="2"/>
  <c r="Y978" i="2"/>
  <c r="F979" i="2"/>
  <c r="G979" i="2"/>
  <c r="I979" i="2"/>
  <c r="J979" i="2"/>
  <c r="K979" i="2"/>
  <c r="L979" i="2"/>
  <c r="N979" i="2"/>
  <c r="O979" i="2"/>
  <c r="Q979" i="2"/>
  <c r="R979" i="2"/>
  <c r="S979" i="2"/>
  <c r="T979" i="2"/>
  <c r="Y979" i="2"/>
  <c r="E980" i="2"/>
  <c r="F980" i="2"/>
  <c r="G980" i="2"/>
  <c r="I980" i="2"/>
  <c r="J980" i="2"/>
  <c r="K980" i="2"/>
  <c r="L980" i="2"/>
  <c r="N980" i="2"/>
  <c r="O980" i="2"/>
  <c r="Q980" i="2"/>
  <c r="R980" i="2"/>
  <c r="S980" i="2"/>
  <c r="T980" i="2"/>
  <c r="Y980" i="2"/>
  <c r="E981" i="2"/>
  <c r="F981" i="2"/>
  <c r="G981" i="2"/>
  <c r="I981" i="2"/>
  <c r="J981" i="2"/>
  <c r="K981" i="2"/>
  <c r="L981" i="2"/>
  <c r="N981" i="2"/>
  <c r="O981" i="2"/>
  <c r="Q981" i="2"/>
  <c r="R981" i="2"/>
  <c r="S981" i="2"/>
  <c r="T981" i="2"/>
  <c r="Y981" i="2"/>
  <c r="G982" i="2"/>
  <c r="I982" i="2"/>
  <c r="J982" i="2"/>
  <c r="K982" i="2"/>
  <c r="L982" i="2"/>
  <c r="N982" i="2"/>
  <c r="O982" i="2"/>
  <c r="Q982" i="2"/>
  <c r="R982" i="2"/>
  <c r="S982" i="2"/>
  <c r="T982" i="2"/>
  <c r="Y982" i="2"/>
  <c r="E983" i="2"/>
  <c r="F983" i="2"/>
  <c r="G983" i="2"/>
  <c r="I983" i="2"/>
  <c r="J983" i="2"/>
  <c r="K983" i="2"/>
  <c r="L983" i="2"/>
  <c r="N983" i="2"/>
  <c r="O983" i="2"/>
  <c r="Q983" i="2"/>
  <c r="R983" i="2"/>
  <c r="S983" i="2"/>
  <c r="T983" i="2"/>
  <c r="W983" i="2"/>
  <c r="Y983" i="2"/>
  <c r="E984" i="2"/>
  <c r="F984" i="2"/>
  <c r="G984" i="2"/>
  <c r="I984" i="2"/>
  <c r="J984" i="2"/>
  <c r="K984" i="2"/>
  <c r="L984" i="2"/>
  <c r="N984" i="2"/>
  <c r="O984" i="2"/>
  <c r="Q984" i="2"/>
  <c r="R984" i="2"/>
  <c r="S984" i="2"/>
  <c r="T984" i="2"/>
  <c r="W984" i="2"/>
  <c r="Y984" i="2"/>
  <c r="E985" i="2"/>
  <c r="F985" i="2"/>
  <c r="G985" i="2"/>
  <c r="H985" i="2"/>
  <c r="I985" i="2"/>
  <c r="J985" i="2"/>
  <c r="K985" i="2"/>
  <c r="L985" i="2"/>
  <c r="M985" i="2"/>
  <c r="N985" i="2"/>
  <c r="O985" i="2"/>
  <c r="Q985" i="2"/>
  <c r="R985" i="2"/>
  <c r="S985" i="2"/>
  <c r="T985" i="2"/>
  <c r="Y985" i="2"/>
  <c r="E986" i="2"/>
  <c r="F986" i="2"/>
  <c r="G986" i="2"/>
  <c r="I986" i="2"/>
  <c r="J986" i="2"/>
  <c r="K986" i="2"/>
  <c r="L986" i="2"/>
  <c r="N986" i="2"/>
  <c r="O986" i="2"/>
  <c r="Q986" i="2"/>
  <c r="R986" i="2"/>
  <c r="S986" i="2"/>
  <c r="T986" i="2"/>
  <c r="Y986" i="2"/>
  <c r="E991" i="2"/>
  <c r="F991" i="2"/>
  <c r="G991" i="2"/>
  <c r="I991" i="2"/>
  <c r="J991" i="2"/>
  <c r="K991" i="2"/>
  <c r="L991" i="2"/>
  <c r="N991" i="2"/>
  <c r="O991" i="2"/>
  <c r="Q991" i="2"/>
  <c r="R991" i="2"/>
  <c r="S991" i="2"/>
  <c r="T991" i="2"/>
  <c r="Y991" i="2"/>
  <c r="E992" i="2"/>
  <c r="F992" i="2"/>
  <c r="G992" i="2"/>
  <c r="I992" i="2"/>
  <c r="J992" i="2"/>
  <c r="K992" i="2"/>
  <c r="L992" i="2"/>
  <c r="N992" i="2"/>
  <c r="O992" i="2"/>
  <c r="Q992" i="2"/>
  <c r="R992" i="2"/>
  <c r="S992" i="2"/>
  <c r="T992" i="2"/>
  <c r="Y992" i="2"/>
  <c r="E993" i="2"/>
  <c r="F993" i="2"/>
  <c r="G993" i="2"/>
  <c r="I993" i="2"/>
  <c r="J993" i="2"/>
  <c r="K993" i="2"/>
  <c r="L993" i="2"/>
  <c r="N993" i="2"/>
  <c r="O993" i="2"/>
  <c r="Q993" i="2"/>
  <c r="R993" i="2"/>
  <c r="S993" i="2"/>
  <c r="T993" i="2"/>
  <c r="Y993" i="2"/>
  <c r="E994" i="2"/>
  <c r="F994" i="2"/>
  <c r="G994" i="2"/>
  <c r="I994" i="2"/>
  <c r="J994" i="2"/>
  <c r="K994" i="2"/>
  <c r="L994" i="2"/>
  <c r="N994" i="2"/>
  <c r="O994" i="2"/>
  <c r="Q994" i="2"/>
  <c r="R994" i="2"/>
  <c r="S994" i="2"/>
  <c r="T994" i="2"/>
  <c r="Y994" i="2"/>
  <c r="E995" i="2"/>
  <c r="F995" i="2"/>
  <c r="G995" i="2"/>
  <c r="I995" i="2"/>
  <c r="J995" i="2"/>
  <c r="K995" i="2"/>
  <c r="L995" i="2"/>
  <c r="N995" i="2"/>
  <c r="O995" i="2"/>
  <c r="Q995" i="2"/>
  <c r="R995" i="2"/>
  <c r="S995" i="2"/>
  <c r="T995" i="2"/>
  <c r="Y995" i="2"/>
  <c r="E996" i="2"/>
  <c r="F996" i="2"/>
  <c r="G996" i="2"/>
  <c r="I996" i="2"/>
  <c r="J996" i="2"/>
  <c r="K996" i="2"/>
  <c r="L996" i="2"/>
  <c r="N996" i="2"/>
  <c r="O996" i="2"/>
  <c r="Q996" i="2"/>
  <c r="R996" i="2"/>
  <c r="S996" i="2"/>
  <c r="T996" i="2"/>
  <c r="Y996" i="2"/>
  <c r="E997" i="2"/>
  <c r="F997" i="2"/>
  <c r="G997" i="2"/>
  <c r="I997" i="2"/>
  <c r="J997" i="2"/>
  <c r="K997" i="2"/>
  <c r="L997" i="2"/>
  <c r="N997" i="2"/>
  <c r="O997" i="2"/>
  <c r="Q997" i="2"/>
  <c r="R997" i="2"/>
  <c r="S997" i="2"/>
  <c r="T997" i="2"/>
  <c r="Y997" i="2"/>
  <c r="E998" i="2"/>
  <c r="F998" i="2"/>
  <c r="G998" i="2"/>
  <c r="I998" i="2"/>
  <c r="J998" i="2"/>
  <c r="K998" i="2"/>
  <c r="L998" i="2"/>
  <c r="N998" i="2"/>
  <c r="O998" i="2"/>
  <c r="Q998" i="2"/>
  <c r="R998" i="2"/>
  <c r="S998" i="2"/>
  <c r="T998" i="2"/>
  <c r="Y998" i="2"/>
  <c r="E999" i="2"/>
  <c r="F999" i="2"/>
  <c r="G999" i="2"/>
  <c r="I999" i="2"/>
  <c r="J999" i="2"/>
  <c r="K999" i="2"/>
  <c r="L999" i="2"/>
  <c r="N999" i="2"/>
  <c r="O999" i="2"/>
  <c r="Q999" i="2"/>
  <c r="R999" i="2"/>
  <c r="S999" i="2"/>
  <c r="T999" i="2"/>
  <c r="Y999" i="2"/>
  <c r="E1000" i="2"/>
  <c r="F1000" i="2"/>
  <c r="G1000" i="2"/>
  <c r="I1000" i="2"/>
  <c r="J1000" i="2"/>
  <c r="K1000" i="2"/>
  <c r="L1000" i="2"/>
  <c r="N1000" i="2"/>
  <c r="O1000" i="2"/>
  <c r="Q1000" i="2"/>
  <c r="R1000" i="2"/>
  <c r="S1000" i="2"/>
  <c r="T1000" i="2"/>
  <c r="Y1000" i="2"/>
  <c r="E1001" i="2"/>
  <c r="F1001" i="2"/>
  <c r="G1001" i="2"/>
  <c r="I1001" i="2"/>
  <c r="J1001" i="2"/>
  <c r="K1001" i="2"/>
  <c r="L1001" i="2"/>
  <c r="N1001" i="2"/>
  <c r="O1001" i="2"/>
  <c r="Q1001" i="2"/>
  <c r="R1001" i="2"/>
  <c r="S1001" i="2"/>
  <c r="T1001" i="2"/>
  <c r="Y1001" i="2"/>
  <c r="E1002" i="2"/>
  <c r="F1002" i="2"/>
  <c r="G1002" i="2"/>
  <c r="I1002" i="2"/>
  <c r="J1002" i="2"/>
  <c r="K1002" i="2"/>
  <c r="L1002" i="2"/>
  <c r="N1002" i="2"/>
  <c r="O1002" i="2"/>
  <c r="Q1002" i="2"/>
  <c r="R1002" i="2"/>
  <c r="S1002" i="2"/>
  <c r="T1002" i="2"/>
  <c r="Y1002" i="2"/>
  <c r="E1007" i="2"/>
  <c r="F1007" i="2"/>
  <c r="G1007" i="2"/>
  <c r="I1007" i="2"/>
  <c r="J1007" i="2"/>
  <c r="K1007" i="2"/>
  <c r="L1007" i="2"/>
  <c r="N1007" i="2"/>
  <c r="O1007" i="2"/>
  <c r="Q1007" i="2"/>
  <c r="R1007" i="2"/>
  <c r="S1007" i="2"/>
  <c r="T1007" i="2"/>
  <c r="Y1007" i="2"/>
  <c r="E1008" i="2"/>
  <c r="F1008" i="2"/>
  <c r="G1008" i="2"/>
  <c r="H1008" i="2"/>
  <c r="I1008" i="2"/>
  <c r="J1008" i="2"/>
  <c r="K1008" i="2"/>
  <c r="L1008" i="2"/>
  <c r="M1008" i="2"/>
  <c r="N1008" i="2"/>
  <c r="O1008" i="2"/>
  <c r="P1008" i="2"/>
  <c r="Q1008" i="2"/>
  <c r="R1008" i="2"/>
  <c r="S1008" i="2"/>
  <c r="T1008" i="2"/>
  <c r="U1008" i="2"/>
  <c r="V1008" i="2"/>
  <c r="W1008" i="2"/>
  <c r="X1008" i="2"/>
  <c r="Y1008" i="2"/>
  <c r="Z1008" i="2"/>
  <c r="AA1008" i="2"/>
  <c r="AB1008" i="2"/>
  <c r="E1009" i="2"/>
  <c r="F1009" i="2"/>
  <c r="G1009" i="2"/>
  <c r="I1009" i="2"/>
  <c r="J1009" i="2"/>
  <c r="K1009" i="2"/>
  <c r="L1009" i="2"/>
  <c r="N1009" i="2"/>
  <c r="O1009" i="2"/>
  <c r="Q1009" i="2"/>
  <c r="R1009" i="2"/>
  <c r="S1009" i="2"/>
  <c r="T1009" i="2"/>
  <c r="Y1009" i="2"/>
  <c r="E1010" i="2"/>
  <c r="F1010" i="2"/>
  <c r="G1010" i="2"/>
  <c r="I1010" i="2"/>
  <c r="J1010" i="2"/>
  <c r="K1010" i="2"/>
  <c r="L1010" i="2"/>
  <c r="N1010" i="2"/>
  <c r="O1010" i="2"/>
  <c r="Q1010" i="2"/>
  <c r="R1010" i="2"/>
  <c r="S1010" i="2"/>
  <c r="T1010" i="2"/>
  <c r="Y1010" i="2"/>
  <c r="E1011" i="2"/>
  <c r="F1011" i="2"/>
  <c r="G1011" i="2"/>
  <c r="I1011" i="2"/>
  <c r="J1011" i="2"/>
  <c r="K1011" i="2"/>
  <c r="L1011" i="2"/>
  <c r="N1011" i="2"/>
  <c r="O1011" i="2"/>
  <c r="Q1011" i="2"/>
  <c r="R1011" i="2"/>
  <c r="S1011" i="2"/>
  <c r="T1011" i="2"/>
  <c r="Y1011" i="2"/>
  <c r="E1012" i="2"/>
  <c r="F1012" i="2"/>
  <c r="G1012" i="2"/>
  <c r="I1012" i="2"/>
  <c r="J1012" i="2"/>
  <c r="K1012" i="2"/>
  <c r="L1012" i="2"/>
  <c r="N1012" i="2"/>
  <c r="O1012" i="2"/>
  <c r="Q1012" i="2"/>
  <c r="R1012" i="2"/>
  <c r="S1012" i="2"/>
  <c r="T1012" i="2"/>
  <c r="Y1012" i="2"/>
  <c r="E1013" i="2"/>
  <c r="F1013" i="2"/>
  <c r="G1013" i="2"/>
  <c r="I1013" i="2"/>
  <c r="J1013" i="2"/>
  <c r="K1013" i="2"/>
  <c r="L1013" i="2"/>
  <c r="N1013" i="2"/>
  <c r="O1013" i="2"/>
  <c r="Q1013" i="2"/>
  <c r="R1013" i="2"/>
  <c r="S1013" i="2"/>
  <c r="T1013" i="2"/>
  <c r="Y1013" i="2"/>
  <c r="E1014" i="2"/>
  <c r="F1014" i="2"/>
  <c r="G1014" i="2"/>
  <c r="I1014" i="2"/>
  <c r="J1014" i="2"/>
  <c r="K1014" i="2"/>
  <c r="L1014" i="2"/>
  <c r="N1014" i="2"/>
  <c r="O1014" i="2"/>
  <c r="Q1014" i="2"/>
  <c r="R1014" i="2"/>
  <c r="S1014" i="2"/>
  <c r="T1014" i="2"/>
  <c r="Y1014" i="2"/>
  <c r="E1015" i="2"/>
  <c r="F1015" i="2"/>
  <c r="G1015" i="2"/>
  <c r="I1015" i="2"/>
  <c r="J1015" i="2"/>
  <c r="K1015" i="2"/>
  <c r="L1015" i="2"/>
  <c r="N1015" i="2"/>
  <c r="O1015" i="2"/>
  <c r="Q1015" i="2"/>
  <c r="R1015" i="2"/>
  <c r="S1015" i="2"/>
  <c r="T1015" i="2"/>
  <c r="Y1015" i="2"/>
  <c r="E1016" i="2"/>
  <c r="F1016" i="2"/>
  <c r="G1016" i="2"/>
  <c r="I1016" i="2"/>
  <c r="J1016" i="2"/>
  <c r="K1016" i="2"/>
  <c r="L1016" i="2"/>
  <c r="N1016" i="2"/>
  <c r="O1016" i="2"/>
  <c r="Q1016" i="2"/>
  <c r="R1016" i="2"/>
  <c r="S1016" i="2"/>
  <c r="T1016" i="2"/>
  <c r="Y1016" i="2"/>
  <c r="E1021" i="2"/>
  <c r="F1021" i="2"/>
  <c r="G1021" i="2"/>
  <c r="I1021" i="2"/>
  <c r="J1021" i="2"/>
  <c r="K1021" i="2"/>
  <c r="L1021" i="2"/>
  <c r="N1021" i="2"/>
  <c r="O1021" i="2"/>
  <c r="Q1021" i="2"/>
  <c r="R1021" i="2"/>
  <c r="S1021" i="2"/>
  <c r="T1021" i="2"/>
  <c r="Y1021" i="2"/>
  <c r="E1022" i="2"/>
  <c r="F1022" i="2"/>
  <c r="G1022" i="2"/>
  <c r="I1022" i="2"/>
  <c r="J1022" i="2"/>
  <c r="K1022" i="2"/>
  <c r="L1022" i="2"/>
  <c r="N1022" i="2"/>
  <c r="O1022" i="2"/>
  <c r="Q1022" i="2"/>
  <c r="R1022" i="2"/>
  <c r="S1022" i="2"/>
  <c r="T1022" i="2"/>
  <c r="Y1022" i="2"/>
  <c r="E1023" i="2"/>
  <c r="F1023" i="2"/>
  <c r="G1023" i="2"/>
  <c r="I1023" i="2"/>
  <c r="J1023" i="2"/>
  <c r="K1023" i="2"/>
  <c r="L1023" i="2"/>
  <c r="N1023" i="2"/>
  <c r="O1023" i="2"/>
  <c r="Q1023" i="2"/>
  <c r="R1023" i="2"/>
  <c r="S1023" i="2"/>
  <c r="T1023" i="2"/>
  <c r="Y1023" i="2"/>
  <c r="E1024" i="2"/>
  <c r="F1024" i="2"/>
  <c r="G1024" i="2"/>
  <c r="I1024" i="2"/>
  <c r="J1024" i="2"/>
  <c r="K1024" i="2"/>
  <c r="L1024" i="2"/>
  <c r="N1024" i="2"/>
  <c r="O1024" i="2"/>
  <c r="Q1024" i="2"/>
  <c r="R1024" i="2"/>
  <c r="S1024" i="2"/>
  <c r="T1024" i="2"/>
  <c r="Y1024" i="2"/>
  <c r="E1025" i="2"/>
  <c r="F1025" i="2"/>
  <c r="G1025" i="2"/>
  <c r="I1025" i="2"/>
  <c r="J1025" i="2"/>
  <c r="K1025" i="2"/>
  <c r="L1025" i="2"/>
  <c r="N1025" i="2"/>
  <c r="O1025" i="2"/>
  <c r="Q1025" i="2"/>
  <c r="R1025" i="2"/>
  <c r="S1025" i="2"/>
  <c r="T1025" i="2"/>
  <c r="Y1025" i="2"/>
  <c r="E1026" i="2"/>
  <c r="F1026" i="2"/>
  <c r="G1026" i="2"/>
  <c r="I1026" i="2"/>
  <c r="J1026" i="2"/>
  <c r="K1026" i="2"/>
  <c r="L1026" i="2"/>
  <c r="O1026" i="2"/>
  <c r="Q1026" i="2"/>
  <c r="R1026" i="2"/>
  <c r="S1026" i="2"/>
  <c r="T1026" i="2"/>
  <c r="Y1026" i="2"/>
  <c r="E1027" i="2"/>
  <c r="F1027" i="2"/>
  <c r="G1027" i="2"/>
  <c r="I1027" i="2"/>
  <c r="J1027" i="2"/>
  <c r="K1027" i="2"/>
  <c r="L1027" i="2"/>
  <c r="N1027" i="2"/>
  <c r="O1027" i="2"/>
  <c r="Q1027" i="2"/>
  <c r="R1027" i="2"/>
  <c r="S1027" i="2"/>
  <c r="T1027" i="2"/>
  <c r="Y1027" i="2"/>
  <c r="E1028" i="2"/>
  <c r="F1028" i="2"/>
  <c r="G1028" i="2"/>
  <c r="I1028" i="2"/>
  <c r="J1028" i="2"/>
  <c r="K1028" i="2"/>
  <c r="L1028" i="2"/>
  <c r="N1028" i="2"/>
  <c r="O1028" i="2"/>
  <c r="Q1028" i="2"/>
  <c r="R1028" i="2"/>
  <c r="S1028" i="2"/>
  <c r="T1028" i="2"/>
  <c r="Y1028" i="2"/>
  <c r="E1029" i="2"/>
  <c r="F1029" i="2"/>
  <c r="G1029" i="2"/>
  <c r="I1029" i="2"/>
  <c r="J1029" i="2"/>
  <c r="K1029" i="2"/>
  <c r="L1029" i="2"/>
  <c r="N1029" i="2"/>
  <c r="O1029" i="2"/>
  <c r="Q1029" i="2"/>
  <c r="R1029" i="2"/>
  <c r="S1029" i="2"/>
  <c r="T1029" i="2"/>
  <c r="Y1029" i="2"/>
  <c r="E1030" i="2"/>
  <c r="F1030" i="2"/>
  <c r="G1030" i="2"/>
  <c r="I1030" i="2"/>
  <c r="J1030" i="2"/>
  <c r="K1030" i="2"/>
  <c r="L1030" i="2"/>
  <c r="N1030" i="2"/>
  <c r="O1030" i="2"/>
  <c r="P1030" i="2"/>
  <c r="Q1030" i="2"/>
  <c r="R1030" i="2"/>
  <c r="S1030" i="2"/>
  <c r="T1030" i="2"/>
  <c r="Y1030" i="2"/>
  <c r="E1031" i="2"/>
  <c r="F1031" i="2"/>
  <c r="G1031" i="2"/>
  <c r="I1031" i="2"/>
  <c r="J1031" i="2"/>
  <c r="K1031" i="2"/>
  <c r="L1031" i="2"/>
  <c r="N1031" i="2"/>
  <c r="O1031" i="2"/>
  <c r="Q1031" i="2"/>
  <c r="R1031" i="2"/>
  <c r="S1031" i="2"/>
  <c r="T1031" i="2"/>
  <c r="V1031" i="2"/>
  <c r="W1031" i="2"/>
  <c r="Y1031" i="2"/>
  <c r="E1032" i="2"/>
  <c r="F1032" i="2"/>
  <c r="G1032" i="2"/>
  <c r="I1032" i="2"/>
  <c r="J1032" i="2"/>
  <c r="K1032" i="2"/>
  <c r="L1032" i="2"/>
  <c r="N1032" i="2"/>
  <c r="O1032" i="2"/>
  <c r="Q1032" i="2"/>
  <c r="R1032" i="2"/>
  <c r="S1032" i="2"/>
  <c r="T1032" i="2"/>
  <c r="V1032" i="2"/>
  <c r="W1032" i="2"/>
  <c r="Y1032" i="2"/>
  <c r="E1033" i="2"/>
  <c r="F1033" i="2"/>
  <c r="G1033" i="2"/>
  <c r="I1033" i="2"/>
  <c r="J1033" i="2"/>
  <c r="K1033" i="2"/>
  <c r="L1033" i="2"/>
  <c r="N1033" i="2"/>
  <c r="O1033" i="2"/>
  <c r="Q1033" i="2"/>
  <c r="R1033" i="2"/>
  <c r="S1033" i="2"/>
  <c r="T1033" i="2"/>
  <c r="Y1033" i="2"/>
  <c r="E1034" i="2"/>
  <c r="F1034" i="2"/>
  <c r="G1034" i="2"/>
  <c r="I1034" i="2"/>
  <c r="J1034" i="2"/>
  <c r="K1034" i="2"/>
  <c r="L1034" i="2"/>
  <c r="N1034" i="2"/>
  <c r="O1034" i="2"/>
  <c r="Q1034" i="2"/>
  <c r="R1034" i="2"/>
  <c r="S1034" i="2"/>
  <c r="T1034" i="2"/>
  <c r="Y1034" i="2"/>
  <c r="F1035" i="2"/>
  <c r="G1035" i="2"/>
  <c r="I1035" i="2"/>
  <c r="J1035" i="2"/>
  <c r="K1035" i="2"/>
  <c r="L1035" i="2"/>
  <c r="N1035" i="2"/>
  <c r="O1035" i="2"/>
  <c r="Q1035" i="2"/>
  <c r="R1035" i="2"/>
  <c r="S1035" i="2"/>
  <c r="T1035" i="2"/>
  <c r="Y1035" i="2"/>
  <c r="E1041" i="2"/>
  <c r="F1041" i="2"/>
  <c r="G1041" i="2"/>
  <c r="I1041" i="2"/>
  <c r="J1041" i="2"/>
  <c r="K1041" i="2"/>
  <c r="L1041" i="2"/>
  <c r="N1041" i="2"/>
  <c r="O1041" i="2"/>
  <c r="Q1041" i="2"/>
  <c r="R1041" i="2"/>
  <c r="S1041" i="2"/>
  <c r="T1041" i="2"/>
  <c r="Y1041" i="2"/>
  <c r="E1042" i="2"/>
  <c r="F1042" i="2"/>
  <c r="G1042" i="2"/>
  <c r="I1042" i="2"/>
  <c r="J1042" i="2"/>
  <c r="K1042" i="2"/>
  <c r="L1042" i="2"/>
  <c r="N1042" i="2"/>
  <c r="O1042" i="2"/>
  <c r="Q1042" i="2"/>
  <c r="R1042" i="2"/>
  <c r="S1042" i="2"/>
  <c r="T1042" i="2"/>
  <c r="Y1042" i="2"/>
  <c r="E1043" i="2"/>
  <c r="F1043" i="2"/>
  <c r="G1043" i="2"/>
  <c r="I1043" i="2"/>
  <c r="J1043" i="2"/>
  <c r="K1043" i="2"/>
  <c r="L1043" i="2"/>
  <c r="N1043" i="2"/>
  <c r="O1043" i="2"/>
  <c r="Q1043" i="2"/>
  <c r="R1043" i="2"/>
  <c r="S1043" i="2"/>
  <c r="T1043" i="2"/>
  <c r="Y1043" i="2"/>
  <c r="E1044" i="2"/>
  <c r="F1044" i="2"/>
  <c r="G1044" i="2"/>
  <c r="I1044" i="2"/>
  <c r="J1044" i="2"/>
  <c r="K1044" i="2"/>
  <c r="L1044" i="2"/>
  <c r="N1044" i="2"/>
  <c r="O1044" i="2"/>
  <c r="Q1044" i="2"/>
  <c r="R1044" i="2"/>
  <c r="S1044" i="2"/>
  <c r="T1044" i="2"/>
  <c r="Y1044" i="2"/>
  <c r="E1045" i="2"/>
  <c r="F1045" i="2"/>
  <c r="G1045" i="2"/>
  <c r="I1045" i="2"/>
  <c r="J1045" i="2"/>
  <c r="K1045" i="2"/>
  <c r="L1045" i="2"/>
  <c r="N1045" i="2"/>
  <c r="O1045" i="2"/>
  <c r="Q1045" i="2"/>
  <c r="R1045" i="2"/>
  <c r="S1045" i="2"/>
  <c r="T1045" i="2"/>
  <c r="Y1045" i="2"/>
  <c r="E1046" i="2"/>
  <c r="F1046" i="2"/>
  <c r="G1046" i="2"/>
  <c r="I1046" i="2"/>
  <c r="J1046" i="2"/>
  <c r="K1046" i="2"/>
  <c r="L1046" i="2"/>
  <c r="N1046" i="2"/>
  <c r="O1046" i="2"/>
  <c r="Q1046" i="2"/>
  <c r="R1046" i="2"/>
  <c r="S1046" i="2"/>
  <c r="T1046" i="2"/>
  <c r="Y1046" i="2"/>
  <c r="E1047" i="2"/>
  <c r="F1047" i="2"/>
  <c r="G1047" i="2"/>
  <c r="I1047" i="2"/>
  <c r="J1047" i="2"/>
  <c r="K1047" i="2"/>
  <c r="L1047" i="2"/>
  <c r="N1047" i="2"/>
  <c r="O1047" i="2"/>
  <c r="Q1047" i="2"/>
  <c r="R1047" i="2"/>
  <c r="S1047" i="2"/>
  <c r="T1047" i="2"/>
  <c r="Y1047" i="2"/>
  <c r="E1048" i="2"/>
  <c r="F1048" i="2"/>
  <c r="G1048" i="2"/>
  <c r="I1048" i="2"/>
  <c r="J1048" i="2"/>
  <c r="K1048" i="2"/>
  <c r="L1048" i="2"/>
  <c r="N1048" i="2"/>
  <c r="O1048" i="2"/>
  <c r="Q1048" i="2"/>
  <c r="R1048" i="2"/>
  <c r="S1048" i="2"/>
  <c r="T1048" i="2"/>
  <c r="Y1048" i="2"/>
  <c r="E1049" i="2"/>
  <c r="F1049" i="2"/>
  <c r="G1049" i="2"/>
  <c r="I1049" i="2"/>
  <c r="J1049" i="2"/>
  <c r="K1049" i="2"/>
  <c r="L1049" i="2"/>
  <c r="N1049" i="2"/>
  <c r="O1049" i="2"/>
  <c r="Q1049" i="2"/>
  <c r="R1049" i="2"/>
  <c r="S1049" i="2"/>
  <c r="T1049" i="2"/>
  <c r="Y1049" i="2"/>
  <c r="E1050" i="2"/>
  <c r="F1050" i="2"/>
  <c r="G1050" i="2"/>
  <c r="I1050" i="2"/>
  <c r="J1050" i="2"/>
  <c r="K1050" i="2"/>
  <c r="L1050" i="2"/>
  <c r="N1050" i="2"/>
  <c r="O1050" i="2"/>
  <c r="Q1050" i="2"/>
  <c r="R1050" i="2"/>
  <c r="S1050" i="2"/>
  <c r="T1050" i="2"/>
  <c r="Y1050" i="2"/>
  <c r="G1051" i="2"/>
  <c r="I1051" i="2"/>
  <c r="J1051" i="2"/>
  <c r="K1051" i="2"/>
  <c r="L1051" i="2"/>
  <c r="N1051" i="2"/>
  <c r="O1051" i="2"/>
  <c r="Q1051" i="2"/>
  <c r="R1051" i="2"/>
  <c r="S1051" i="2"/>
  <c r="T1051" i="2"/>
  <c r="Y1051" i="2"/>
  <c r="E1052" i="2"/>
  <c r="F1052" i="2"/>
  <c r="G1052" i="2"/>
  <c r="I1052" i="2"/>
  <c r="J1052" i="2"/>
  <c r="K1052" i="2"/>
  <c r="L1052" i="2"/>
  <c r="N1052" i="2"/>
  <c r="O1052" i="2"/>
  <c r="Q1052" i="2"/>
  <c r="R1052" i="2"/>
  <c r="S1052" i="2"/>
  <c r="T1052" i="2"/>
  <c r="Y1052" i="2"/>
  <c r="E1053" i="2"/>
  <c r="F1053" i="2"/>
  <c r="G1053" i="2"/>
  <c r="I1053" i="2"/>
  <c r="J1053" i="2"/>
  <c r="K1053" i="2"/>
  <c r="L1053" i="2"/>
  <c r="N1053" i="2"/>
  <c r="O1053" i="2"/>
  <c r="Q1053" i="2"/>
  <c r="R1053" i="2"/>
  <c r="S1053" i="2"/>
  <c r="T1053" i="2"/>
  <c r="Y1053" i="2"/>
  <c r="F1054" i="2"/>
  <c r="G1054" i="2"/>
  <c r="I1054" i="2"/>
  <c r="J1054" i="2"/>
  <c r="K1054" i="2"/>
  <c r="L1054" i="2"/>
  <c r="N1054" i="2"/>
  <c r="O1054" i="2"/>
  <c r="Q1054" i="2"/>
  <c r="R1054" i="2"/>
  <c r="S1054" i="2"/>
  <c r="T1054" i="2"/>
  <c r="Y1054" i="2"/>
  <c r="E1055" i="2"/>
  <c r="F1055" i="2"/>
  <c r="G1055" i="2"/>
  <c r="I1055" i="2"/>
  <c r="J1055" i="2"/>
  <c r="K1055" i="2"/>
  <c r="L1055" i="2"/>
  <c r="N1055" i="2"/>
  <c r="O1055" i="2"/>
  <c r="Q1055" i="2"/>
  <c r="R1055" i="2"/>
  <c r="S1055" i="2"/>
  <c r="T1055" i="2"/>
  <c r="Y1055" i="2"/>
  <c r="E1060" i="2"/>
  <c r="F1060" i="2"/>
  <c r="G1060" i="2"/>
  <c r="I1060" i="2"/>
  <c r="J1060" i="2"/>
  <c r="K1060" i="2"/>
  <c r="L1060" i="2"/>
  <c r="N1060" i="2"/>
  <c r="O1060" i="2"/>
  <c r="Q1060" i="2"/>
  <c r="R1060" i="2"/>
  <c r="S1060" i="2"/>
  <c r="T1060" i="2"/>
  <c r="Y1060" i="2"/>
  <c r="E1061" i="2"/>
  <c r="F1061" i="2"/>
  <c r="G1061" i="2"/>
  <c r="I1061" i="2"/>
  <c r="J1061" i="2"/>
  <c r="K1061" i="2"/>
  <c r="L1061" i="2"/>
  <c r="N1061" i="2"/>
  <c r="O1061" i="2"/>
  <c r="Q1061" i="2"/>
  <c r="R1061" i="2"/>
  <c r="S1061" i="2"/>
  <c r="T1061" i="2"/>
  <c r="Y1061" i="2"/>
  <c r="E1062" i="2"/>
  <c r="F1062" i="2"/>
  <c r="G1062" i="2"/>
  <c r="I1062" i="2"/>
  <c r="J1062" i="2"/>
  <c r="K1062" i="2"/>
  <c r="L1062" i="2"/>
  <c r="N1062" i="2"/>
  <c r="O1062" i="2"/>
  <c r="Q1062" i="2"/>
  <c r="R1062" i="2"/>
  <c r="S1062" i="2"/>
  <c r="T1062" i="2"/>
  <c r="Y1062" i="2"/>
  <c r="E1063" i="2"/>
  <c r="F1063" i="2"/>
  <c r="G1063" i="2"/>
  <c r="H1063" i="2"/>
  <c r="I1063" i="2"/>
  <c r="J1063" i="2"/>
  <c r="K1063" i="2"/>
  <c r="L1063" i="2"/>
  <c r="M1063" i="2"/>
  <c r="N1063" i="2"/>
  <c r="O1063" i="2"/>
  <c r="P1063" i="2"/>
  <c r="Q1063" i="2"/>
  <c r="R1063" i="2"/>
  <c r="S1063" i="2"/>
  <c r="T1063" i="2"/>
  <c r="U1063" i="2"/>
  <c r="V1063" i="2"/>
  <c r="W1063" i="2"/>
  <c r="X1063" i="2"/>
  <c r="Y1063" i="2"/>
  <c r="Z1063" i="2"/>
  <c r="AA1063" i="2"/>
  <c r="AB1063" i="2"/>
  <c r="E1064" i="2"/>
  <c r="F1064" i="2"/>
  <c r="G1064" i="2"/>
  <c r="I1064" i="2"/>
  <c r="J1064" i="2"/>
  <c r="K1064" i="2"/>
  <c r="L1064" i="2"/>
  <c r="N1064" i="2"/>
  <c r="O1064" i="2"/>
  <c r="Q1064" i="2"/>
  <c r="R1064" i="2"/>
  <c r="S1064" i="2"/>
  <c r="T1064" i="2"/>
  <c r="Y1064" i="2"/>
  <c r="E1065" i="2"/>
  <c r="F1065" i="2"/>
  <c r="G1065" i="2"/>
  <c r="I1065" i="2"/>
  <c r="J1065" i="2"/>
  <c r="K1065" i="2"/>
  <c r="L1065" i="2"/>
  <c r="N1065" i="2"/>
  <c r="O1065" i="2"/>
  <c r="Q1065" i="2"/>
  <c r="R1065" i="2"/>
  <c r="S1065" i="2"/>
  <c r="T1065" i="2"/>
  <c r="Y1065" i="2"/>
  <c r="E1066" i="2"/>
  <c r="F1066" i="2"/>
  <c r="G1066" i="2"/>
  <c r="I1066" i="2"/>
  <c r="J1066" i="2"/>
  <c r="K1066" i="2"/>
  <c r="L1066" i="2"/>
  <c r="N1066" i="2"/>
  <c r="O1066" i="2"/>
  <c r="Q1066" i="2"/>
  <c r="R1066" i="2"/>
  <c r="S1066" i="2"/>
  <c r="T1066" i="2"/>
  <c r="Y1066" i="2"/>
  <c r="E1067" i="2"/>
  <c r="F1067" i="2"/>
  <c r="G1067" i="2"/>
  <c r="I1067" i="2"/>
  <c r="J1067" i="2"/>
  <c r="K1067" i="2"/>
  <c r="L1067" i="2"/>
  <c r="N1067" i="2"/>
  <c r="O1067" i="2"/>
  <c r="Q1067" i="2"/>
  <c r="R1067" i="2"/>
  <c r="S1067" i="2"/>
  <c r="T1067" i="2"/>
  <c r="Y1067" i="2"/>
  <c r="E1068" i="2"/>
  <c r="F1068" i="2"/>
  <c r="G1068" i="2"/>
  <c r="I1068" i="2"/>
  <c r="J1068" i="2"/>
  <c r="K1068" i="2"/>
  <c r="L1068" i="2"/>
  <c r="N1068" i="2"/>
  <c r="O1068" i="2"/>
  <c r="Q1068" i="2"/>
  <c r="R1068" i="2"/>
  <c r="S1068" i="2"/>
  <c r="T1068" i="2"/>
  <c r="Y1068" i="2"/>
  <c r="E1069" i="2"/>
  <c r="F1069" i="2"/>
  <c r="G1069" i="2"/>
  <c r="I1069" i="2"/>
  <c r="J1069" i="2"/>
  <c r="K1069" i="2"/>
  <c r="L1069" i="2"/>
  <c r="N1069" i="2"/>
  <c r="O1069" i="2"/>
  <c r="Q1069" i="2"/>
  <c r="R1069" i="2"/>
  <c r="S1069" i="2"/>
  <c r="T1069" i="2"/>
  <c r="Y1069" i="2"/>
  <c r="E1070" i="2"/>
  <c r="F1070" i="2"/>
  <c r="G1070" i="2"/>
  <c r="I1070" i="2"/>
  <c r="J1070" i="2"/>
  <c r="K1070" i="2"/>
  <c r="L1070" i="2"/>
  <c r="N1070" i="2"/>
  <c r="O1070" i="2"/>
  <c r="Q1070" i="2"/>
  <c r="R1070" i="2"/>
  <c r="S1070" i="2"/>
  <c r="T1070" i="2"/>
  <c r="Y1070" i="2"/>
  <c r="F1071" i="2"/>
  <c r="G1071" i="2"/>
  <c r="I1071" i="2"/>
  <c r="J1071" i="2"/>
  <c r="K1071" i="2"/>
  <c r="L1071" i="2"/>
  <c r="N1071" i="2"/>
  <c r="O1071" i="2"/>
  <c r="Q1071" i="2"/>
  <c r="R1071" i="2"/>
  <c r="S1071" i="2"/>
  <c r="T1071" i="2"/>
  <c r="Y1071" i="2"/>
  <c r="G1072" i="2"/>
  <c r="I1072" i="2"/>
  <c r="J1072" i="2"/>
  <c r="K1072" i="2"/>
  <c r="L1072" i="2"/>
  <c r="N1072" i="2"/>
  <c r="O1072" i="2"/>
  <c r="Q1072" i="2"/>
  <c r="R1072" i="2"/>
  <c r="S1072" i="2"/>
  <c r="T1072" i="2"/>
  <c r="Y1072" i="2"/>
  <c r="C1073" i="2"/>
  <c r="F1073" i="2"/>
  <c r="G1073" i="2"/>
  <c r="I1073" i="2"/>
  <c r="J1073" i="2"/>
  <c r="K1073" i="2"/>
  <c r="L1073" i="2"/>
  <c r="N1073" i="2"/>
  <c r="O1073" i="2"/>
  <c r="Q1073" i="2"/>
  <c r="R1073" i="2"/>
  <c r="S1073" i="2"/>
  <c r="T1073" i="2"/>
  <c r="Y1073" i="2"/>
  <c r="E1074" i="2"/>
  <c r="F1074" i="2"/>
  <c r="G1074" i="2"/>
  <c r="I1074" i="2"/>
  <c r="J1074" i="2"/>
  <c r="K1074" i="2"/>
  <c r="L1074" i="2"/>
  <c r="N1074" i="2"/>
  <c r="O1074" i="2"/>
  <c r="Q1074" i="2"/>
  <c r="R1074" i="2"/>
  <c r="S1074" i="2"/>
  <c r="T1074" i="2"/>
  <c r="V1074" i="2"/>
  <c r="W1074" i="2"/>
  <c r="Y1074" i="2"/>
  <c r="E1075" i="2"/>
  <c r="F1075" i="2"/>
  <c r="G1075" i="2"/>
  <c r="I1075" i="2"/>
  <c r="J1075" i="2"/>
  <c r="K1075" i="2"/>
  <c r="L1075" i="2"/>
  <c r="N1075" i="2"/>
  <c r="O1075" i="2"/>
  <c r="Q1075" i="2"/>
  <c r="R1075" i="2"/>
  <c r="S1075" i="2"/>
  <c r="T1075" i="2"/>
  <c r="V1075" i="2"/>
  <c r="W1075" i="2"/>
  <c r="Y1075" i="2"/>
  <c r="G1076" i="2"/>
  <c r="I1076" i="2"/>
  <c r="J1076" i="2"/>
  <c r="K1076" i="2"/>
  <c r="L1076" i="2"/>
  <c r="N1076" i="2"/>
  <c r="O1076" i="2"/>
  <c r="Q1076" i="2"/>
  <c r="R1076" i="2"/>
  <c r="S1076" i="2"/>
  <c r="T1076" i="2"/>
  <c r="V1076" i="2"/>
  <c r="W1076" i="2"/>
  <c r="Y1076" i="2"/>
  <c r="E1077" i="2"/>
  <c r="F1077" i="2"/>
  <c r="G1077" i="2"/>
  <c r="I1077" i="2"/>
  <c r="J1077" i="2"/>
  <c r="K1077" i="2"/>
  <c r="L1077" i="2"/>
  <c r="N1077" i="2"/>
  <c r="O1077" i="2"/>
  <c r="Q1077" i="2"/>
  <c r="R1077" i="2"/>
  <c r="S1077" i="2"/>
  <c r="T1077" i="2"/>
  <c r="Y1077" i="2"/>
  <c r="E1082" i="2"/>
  <c r="F1082" i="2"/>
  <c r="G1082" i="2"/>
  <c r="I1082" i="2"/>
  <c r="J1082" i="2"/>
  <c r="K1082" i="2"/>
  <c r="L1082" i="2"/>
  <c r="N1082" i="2"/>
  <c r="O1082" i="2"/>
  <c r="Q1082" i="2"/>
  <c r="R1082" i="2"/>
  <c r="S1082" i="2"/>
  <c r="T1082" i="2"/>
  <c r="Y1082" i="2"/>
  <c r="E1083" i="2"/>
  <c r="F1083" i="2"/>
  <c r="G1083" i="2"/>
  <c r="I1083" i="2"/>
  <c r="J1083" i="2"/>
  <c r="K1083" i="2"/>
  <c r="L1083" i="2"/>
  <c r="N1083" i="2"/>
  <c r="O1083" i="2"/>
  <c r="Q1083" i="2"/>
  <c r="R1083" i="2"/>
  <c r="S1083" i="2"/>
  <c r="T1083" i="2"/>
  <c r="Y1083" i="2"/>
  <c r="F1084" i="2"/>
  <c r="G1084" i="2"/>
  <c r="I1084" i="2"/>
  <c r="J1084" i="2"/>
  <c r="K1084" i="2"/>
  <c r="L1084" i="2"/>
  <c r="N1084" i="2"/>
  <c r="O1084" i="2"/>
  <c r="Q1084" i="2"/>
  <c r="R1084" i="2"/>
  <c r="S1084" i="2"/>
  <c r="T1084" i="2"/>
  <c r="Y1084" i="2"/>
  <c r="E1085" i="2"/>
  <c r="F1085" i="2"/>
  <c r="G1085" i="2"/>
  <c r="I1085" i="2"/>
  <c r="J1085" i="2"/>
  <c r="K1085" i="2"/>
  <c r="L1085" i="2"/>
  <c r="N1085" i="2"/>
  <c r="O1085" i="2"/>
  <c r="Q1085" i="2"/>
  <c r="R1085" i="2"/>
  <c r="S1085" i="2"/>
  <c r="T1085" i="2"/>
  <c r="Y1085" i="2"/>
  <c r="E1086" i="2"/>
  <c r="F1086" i="2"/>
  <c r="G1086" i="2"/>
  <c r="I1086" i="2"/>
  <c r="J1086" i="2"/>
  <c r="K1086" i="2"/>
  <c r="L1086" i="2"/>
  <c r="N1086" i="2"/>
  <c r="O1086" i="2"/>
  <c r="Q1086" i="2"/>
  <c r="R1086" i="2"/>
  <c r="S1086" i="2"/>
  <c r="T1086" i="2"/>
  <c r="Y1086" i="2"/>
  <c r="E1087" i="2"/>
  <c r="F1087" i="2"/>
  <c r="G1087" i="2"/>
  <c r="I1087" i="2"/>
  <c r="J1087" i="2"/>
  <c r="K1087" i="2"/>
  <c r="L1087" i="2"/>
  <c r="N1087" i="2"/>
  <c r="O1087" i="2"/>
  <c r="Q1087" i="2"/>
  <c r="R1087" i="2"/>
  <c r="S1087" i="2"/>
  <c r="T1087" i="2"/>
  <c r="Y1087" i="2"/>
  <c r="E1088" i="2"/>
  <c r="F1088" i="2"/>
  <c r="G1088" i="2"/>
  <c r="I1088" i="2"/>
  <c r="I2665" i="2" s="1"/>
  <c r="J1088" i="2"/>
  <c r="J2665" i="2" s="1"/>
  <c r="K1088" i="2"/>
  <c r="K2665" i="2" s="1"/>
  <c r="L1088" i="2"/>
  <c r="N1088" i="2"/>
  <c r="O1088" i="2"/>
  <c r="Q1088" i="2"/>
  <c r="Q2665" i="2" s="1"/>
  <c r="R1088" i="2"/>
  <c r="R2665" i="2" s="1"/>
  <c r="S1088" i="2"/>
  <c r="S2665" i="2" s="1"/>
  <c r="T1088" i="2"/>
  <c r="Y1088" i="2"/>
  <c r="E1089" i="2"/>
  <c r="F1089" i="2"/>
  <c r="G1089" i="2"/>
  <c r="I1089" i="2"/>
  <c r="J1089" i="2"/>
  <c r="K1089" i="2"/>
  <c r="L1089" i="2"/>
  <c r="N1089" i="2"/>
  <c r="O1089" i="2"/>
  <c r="Q1089" i="2"/>
  <c r="R1089" i="2"/>
  <c r="S1089" i="2"/>
  <c r="T1089" i="2"/>
  <c r="Y1089" i="2"/>
  <c r="G1090" i="2"/>
  <c r="I1090" i="2"/>
  <c r="J1090" i="2"/>
  <c r="K1090" i="2"/>
  <c r="L1090" i="2"/>
  <c r="N1090" i="2"/>
  <c r="O1090" i="2"/>
  <c r="Q1090" i="2"/>
  <c r="R1090" i="2"/>
  <c r="S1090" i="2"/>
  <c r="T1090" i="2"/>
  <c r="Y1090" i="2"/>
  <c r="F1091" i="2"/>
  <c r="G1091" i="2"/>
  <c r="I1091" i="2"/>
  <c r="J1091" i="2"/>
  <c r="K1091" i="2"/>
  <c r="L1091" i="2"/>
  <c r="N1091" i="2"/>
  <c r="O1091" i="2"/>
  <c r="Q1091" i="2"/>
  <c r="R1091" i="2"/>
  <c r="S1091" i="2"/>
  <c r="T1091" i="2"/>
  <c r="Y1091" i="2"/>
  <c r="E1097" i="2"/>
  <c r="F1097" i="2"/>
  <c r="G1097" i="2"/>
  <c r="I1097" i="2"/>
  <c r="J1097" i="2"/>
  <c r="K1097" i="2"/>
  <c r="L1097" i="2"/>
  <c r="O1097" i="2"/>
  <c r="Q1097" i="2"/>
  <c r="R1097" i="2"/>
  <c r="S1097" i="2"/>
  <c r="T1097" i="2"/>
  <c r="Y1097" i="2"/>
  <c r="E1098" i="2"/>
  <c r="F1098" i="2"/>
  <c r="G1098" i="2"/>
  <c r="I1098" i="2"/>
  <c r="J1098" i="2"/>
  <c r="K1098" i="2"/>
  <c r="L1098" i="2"/>
  <c r="N1098" i="2"/>
  <c r="O1098" i="2"/>
  <c r="Q1098" i="2"/>
  <c r="R1098" i="2"/>
  <c r="S1098" i="2"/>
  <c r="T1098" i="2"/>
  <c r="Y1098" i="2"/>
  <c r="E1099" i="2"/>
  <c r="F1099" i="2"/>
  <c r="G1099" i="2"/>
  <c r="I1099" i="2"/>
  <c r="J1099" i="2"/>
  <c r="K1099" i="2"/>
  <c r="L1099" i="2"/>
  <c r="N1099" i="2"/>
  <c r="O1099" i="2"/>
  <c r="Q1099" i="2"/>
  <c r="R1099" i="2"/>
  <c r="S1099" i="2"/>
  <c r="T1099" i="2"/>
  <c r="Y1099" i="2"/>
  <c r="E1100" i="2"/>
  <c r="F1100" i="2"/>
  <c r="G1100" i="2"/>
  <c r="I1100" i="2"/>
  <c r="J1100" i="2"/>
  <c r="K1100" i="2"/>
  <c r="L1100" i="2"/>
  <c r="N1100" i="2"/>
  <c r="O1100" i="2"/>
  <c r="Q1100" i="2"/>
  <c r="R1100" i="2"/>
  <c r="S1100" i="2"/>
  <c r="T1100" i="2"/>
  <c r="Y1100" i="2"/>
  <c r="E1101" i="2"/>
  <c r="F1101" i="2"/>
  <c r="G1101" i="2"/>
  <c r="I1101" i="2"/>
  <c r="J1101" i="2"/>
  <c r="K1101" i="2"/>
  <c r="L1101" i="2"/>
  <c r="N1101" i="2"/>
  <c r="O1101" i="2"/>
  <c r="Q1101" i="2"/>
  <c r="R1101" i="2"/>
  <c r="S1101" i="2"/>
  <c r="T1101" i="2"/>
  <c r="Y1101" i="2"/>
  <c r="E1102" i="2"/>
  <c r="F1102" i="2"/>
  <c r="G1102" i="2"/>
  <c r="I1102" i="2"/>
  <c r="J1102" i="2"/>
  <c r="K1102" i="2"/>
  <c r="L1102" i="2"/>
  <c r="N1102" i="2"/>
  <c r="O1102" i="2"/>
  <c r="Q1102" i="2"/>
  <c r="R1102" i="2"/>
  <c r="S1102" i="2"/>
  <c r="T1102" i="2"/>
  <c r="Y1102" i="2"/>
  <c r="E1103" i="2"/>
  <c r="F1103" i="2"/>
  <c r="G1103" i="2"/>
  <c r="I1103" i="2"/>
  <c r="J1103" i="2"/>
  <c r="K1103" i="2"/>
  <c r="L1103" i="2"/>
  <c r="N1103" i="2"/>
  <c r="O1103" i="2"/>
  <c r="Q1103" i="2"/>
  <c r="R1103" i="2"/>
  <c r="S1103" i="2"/>
  <c r="T1103" i="2"/>
  <c r="Y1103" i="2"/>
  <c r="E1104" i="2"/>
  <c r="F1104" i="2"/>
  <c r="G1104" i="2"/>
  <c r="I1104" i="2"/>
  <c r="J1104" i="2"/>
  <c r="K1104" i="2"/>
  <c r="L1104" i="2"/>
  <c r="N1104" i="2"/>
  <c r="O1104" i="2"/>
  <c r="Q1104" i="2"/>
  <c r="R1104" i="2"/>
  <c r="S1104" i="2"/>
  <c r="T1104" i="2"/>
  <c r="Y1104" i="2"/>
  <c r="E1105" i="2"/>
  <c r="F1105" i="2"/>
  <c r="G1105" i="2"/>
  <c r="I1105" i="2"/>
  <c r="J1105" i="2"/>
  <c r="K1105" i="2"/>
  <c r="L1105" i="2"/>
  <c r="N1105" i="2"/>
  <c r="O1105" i="2"/>
  <c r="Q1105" i="2"/>
  <c r="R1105" i="2"/>
  <c r="S1105" i="2"/>
  <c r="T1105" i="2"/>
  <c r="Y1105" i="2"/>
  <c r="E1106" i="2"/>
  <c r="F1106" i="2"/>
  <c r="G1106" i="2"/>
  <c r="I1106" i="2"/>
  <c r="J1106" i="2"/>
  <c r="K1106" i="2"/>
  <c r="L1106" i="2"/>
  <c r="N1106" i="2"/>
  <c r="O1106" i="2"/>
  <c r="Q1106" i="2"/>
  <c r="R1106" i="2"/>
  <c r="S1106" i="2"/>
  <c r="T1106" i="2"/>
  <c r="Y1106" i="2"/>
  <c r="E1107" i="2"/>
  <c r="F1107" i="2"/>
  <c r="G1107" i="2"/>
  <c r="I1107" i="2"/>
  <c r="J1107" i="2"/>
  <c r="K1107" i="2"/>
  <c r="L1107" i="2"/>
  <c r="N1107" i="2"/>
  <c r="O1107" i="2"/>
  <c r="Q1107" i="2"/>
  <c r="R1107" i="2"/>
  <c r="S1107" i="2"/>
  <c r="T1107" i="2"/>
  <c r="Y1107" i="2"/>
  <c r="E1108" i="2"/>
  <c r="F1108" i="2"/>
  <c r="G1108" i="2"/>
  <c r="I1108" i="2"/>
  <c r="J1108" i="2"/>
  <c r="K1108" i="2"/>
  <c r="L1108" i="2"/>
  <c r="N1108" i="2"/>
  <c r="O1108" i="2"/>
  <c r="Q1108" i="2"/>
  <c r="R1108" i="2"/>
  <c r="S1108" i="2"/>
  <c r="T1108" i="2"/>
  <c r="Y1108" i="2"/>
  <c r="E1109" i="2"/>
  <c r="F1109" i="2"/>
  <c r="G1109" i="2"/>
  <c r="I1109" i="2"/>
  <c r="J1109" i="2"/>
  <c r="K1109" i="2"/>
  <c r="L1109" i="2"/>
  <c r="N1109" i="2"/>
  <c r="O1109" i="2"/>
  <c r="Q1109" i="2"/>
  <c r="R1109" i="2"/>
  <c r="S1109" i="2"/>
  <c r="T1109" i="2"/>
  <c r="Y1109" i="2"/>
  <c r="E1110" i="2"/>
  <c r="F1110" i="2"/>
  <c r="G1110" i="2"/>
  <c r="I1110" i="2"/>
  <c r="J1110" i="2"/>
  <c r="K1110" i="2"/>
  <c r="L1110" i="2"/>
  <c r="N1110" i="2"/>
  <c r="O1110" i="2"/>
  <c r="Q1110" i="2"/>
  <c r="R1110" i="2"/>
  <c r="S1110" i="2"/>
  <c r="T1110" i="2"/>
  <c r="Y1110" i="2"/>
  <c r="G1111" i="2"/>
  <c r="I1111" i="2"/>
  <c r="J1111" i="2"/>
  <c r="K1111" i="2"/>
  <c r="L1111" i="2"/>
  <c r="N1111" i="2"/>
  <c r="O1111" i="2"/>
  <c r="Q1111" i="2"/>
  <c r="R1111" i="2"/>
  <c r="S1111" i="2"/>
  <c r="T1111" i="2"/>
  <c r="Y1111" i="2"/>
  <c r="E1112" i="2"/>
  <c r="F1112" i="2"/>
  <c r="G1112" i="2"/>
  <c r="I1112" i="2"/>
  <c r="J1112" i="2"/>
  <c r="K1112" i="2"/>
  <c r="L1112" i="2"/>
  <c r="N1112" i="2"/>
  <c r="O1112" i="2"/>
  <c r="Q1112" i="2"/>
  <c r="R1112" i="2"/>
  <c r="S1112" i="2"/>
  <c r="T1112" i="2"/>
  <c r="Y1112" i="2"/>
  <c r="E1113" i="2"/>
  <c r="F1113" i="2"/>
  <c r="G1113" i="2"/>
  <c r="I1113" i="2"/>
  <c r="J1113" i="2"/>
  <c r="K1113" i="2"/>
  <c r="L1113" i="2"/>
  <c r="N1113" i="2"/>
  <c r="O1113" i="2"/>
  <c r="Q1113" i="2"/>
  <c r="R1113" i="2"/>
  <c r="S1113" i="2"/>
  <c r="T1113" i="2"/>
  <c r="Y1113" i="2"/>
  <c r="E1118" i="2"/>
  <c r="F1118" i="2"/>
  <c r="G1118" i="2"/>
  <c r="I1118" i="2"/>
  <c r="J1118" i="2"/>
  <c r="K1118" i="2"/>
  <c r="L1118" i="2"/>
  <c r="O1118" i="2"/>
  <c r="Q1118" i="2"/>
  <c r="R1118" i="2"/>
  <c r="S1118" i="2"/>
  <c r="T1118" i="2"/>
  <c r="Y1118" i="2"/>
  <c r="E1119" i="2"/>
  <c r="F1119" i="2"/>
  <c r="G1119" i="2"/>
  <c r="I1119" i="2"/>
  <c r="J1119" i="2"/>
  <c r="K1119" i="2"/>
  <c r="L1119" i="2"/>
  <c r="N1119" i="2"/>
  <c r="O1119" i="2"/>
  <c r="Q1119" i="2"/>
  <c r="R1119" i="2"/>
  <c r="S1119" i="2"/>
  <c r="T1119" i="2"/>
  <c r="Y1119" i="2"/>
  <c r="E1120" i="2"/>
  <c r="F1120" i="2"/>
  <c r="G1120" i="2"/>
  <c r="I1120" i="2"/>
  <c r="J1120" i="2"/>
  <c r="K1120" i="2"/>
  <c r="L1120" i="2"/>
  <c r="N1120" i="2"/>
  <c r="O1120" i="2"/>
  <c r="Q1120" i="2"/>
  <c r="R1120" i="2"/>
  <c r="S1120" i="2"/>
  <c r="T1120" i="2"/>
  <c r="Y1120" i="2"/>
  <c r="E1121" i="2"/>
  <c r="F1121" i="2"/>
  <c r="G1121" i="2"/>
  <c r="I1121" i="2"/>
  <c r="J1121" i="2"/>
  <c r="K1121" i="2"/>
  <c r="L1121" i="2"/>
  <c r="N1121" i="2"/>
  <c r="O1121" i="2"/>
  <c r="Q1121" i="2"/>
  <c r="R1121" i="2"/>
  <c r="S1121" i="2"/>
  <c r="T1121" i="2"/>
  <c r="Y1121" i="2"/>
  <c r="E1122" i="2"/>
  <c r="F1122" i="2"/>
  <c r="G1122" i="2"/>
  <c r="I1122" i="2"/>
  <c r="J1122" i="2"/>
  <c r="K1122" i="2"/>
  <c r="L1122" i="2"/>
  <c r="N1122" i="2"/>
  <c r="O1122" i="2"/>
  <c r="Q1122" i="2"/>
  <c r="R1122" i="2"/>
  <c r="S1122" i="2"/>
  <c r="T1122" i="2"/>
  <c r="Y1122" i="2"/>
  <c r="F1123" i="2"/>
  <c r="G1123" i="2"/>
  <c r="I1123" i="2"/>
  <c r="J1123" i="2"/>
  <c r="K1123" i="2"/>
  <c r="L1123" i="2"/>
  <c r="N1123" i="2"/>
  <c r="O1123" i="2"/>
  <c r="Q1123" i="2"/>
  <c r="R1123" i="2"/>
  <c r="S1123" i="2"/>
  <c r="T1123" i="2"/>
  <c r="Y1123" i="2"/>
  <c r="F1124" i="2"/>
  <c r="G1124" i="2"/>
  <c r="I1124" i="2"/>
  <c r="J1124" i="2"/>
  <c r="K1124" i="2"/>
  <c r="L1124" i="2"/>
  <c r="N1124" i="2"/>
  <c r="O1124" i="2"/>
  <c r="Q1124" i="2"/>
  <c r="R1124" i="2"/>
  <c r="S1124" i="2"/>
  <c r="T1124" i="2"/>
  <c r="Y1124" i="2"/>
  <c r="E1125" i="2"/>
  <c r="F1125" i="2"/>
  <c r="G1125" i="2"/>
  <c r="I1125" i="2"/>
  <c r="J1125" i="2"/>
  <c r="K1125" i="2"/>
  <c r="L1125" i="2"/>
  <c r="N1125" i="2"/>
  <c r="O1125" i="2"/>
  <c r="Q1125" i="2"/>
  <c r="R1125" i="2"/>
  <c r="S1125" i="2"/>
  <c r="T1125" i="2"/>
  <c r="Y1125" i="2"/>
  <c r="E1126" i="2"/>
  <c r="F1126" i="2"/>
  <c r="G1126" i="2"/>
  <c r="I1126" i="2"/>
  <c r="J1126" i="2"/>
  <c r="K1126" i="2"/>
  <c r="L1126" i="2"/>
  <c r="N1126" i="2"/>
  <c r="O1126" i="2"/>
  <c r="Q1126" i="2"/>
  <c r="R1126" i="2"/>
  <c r="S1126" i="2"/>
  <c r="T1126" i="2"/>
  <c r="Y1126" i="2"/>
  <c r="E1127" i="2"/>
  <c r="F1127" i="2"/>
  <c r="G1127" i="2"/>
  <c r="I1127" i="2"/>
  <c r="J1127" i="2"/>
  <c r="K1127" i="2"/>
  <c r="L1127" i="2"/>
  <c r="N1127" i="2"/>
  <c r="O1127" i="2"/>
  <c r="Q1127" i="2"/>
  <c r="R1127" i="2"/>
  <c r="S1127" i="2"/>
  <c r="T1127" i="2"/>
  <c r="Y1127" i="2"/>
  <c r="E1128" i="2"/>
  <c r="F1128" i="2"/>
  <c r="G1128" i="2"/>
  <c r="I1128" i="2"/>
  <c r="J1128" i="2"/>
  <c r="K1128" i="2"/>
  <c r="L1128" i="2"/>
  <c r="N1128" i="2"/>
  <c r="O1128" i="2"/>
  <c r="Q1128" i="2"/>
  <c r="R1128" i="2"/>
  <c r="S1128" i="2"/>
  <c r="T1128" i="2"/>
  <c r="Y1128" i="2"/>
  <c r="E1129" i="2"/>
  <c r="F1129" i="2"/>
  <c r="G1129" i="2"/>
  <c r="I1129" i="2"/>
  <c r="J1129" i="2"/>
  <c r="K1129" i="2"/>
  <c r="L1129" i="2"/>
  <c r="N1129" i="2"/>
  <c r="O1129" i="2"/>
  <c r="Q1129" i="2"/>
  <c r="R1129" i="2"/>
  <c r="S1129" i="2"/>
  <c r="T1129" i="2"/>
  <c r="Y1129" i="2"/>
  <c r="G1130" i="2"/>
  <c r="I1130" i="2"/>
  <c r="J1130" i="2"/>
  <c r="K1130" i="2"/>
  <c r="L1130" i="2"/>
  <c r="N1130" i="2"/>
  <c r="O1130" i="2"/>
  <c r="Q1130" i="2"/>
  <c r="R1130" i="2"/>
  <c r="S1130" i="2"/>
  <c r="T1130" i="2"/>
  <c r="Y1130" i="2"/>
  <c r="E1131" i="2"/>
  <c r="F1131" i="2"/>
  <c r="G1131" i="2"/>
  <c r="I1131" i="2"/>
  <c r="J1131" i="2"/>
  <c r="K1131" i="2"/>
  <c r="L1131" i="2"/>
  <c r="N1131" i="2"/>
  <c r="O1131" i="2"/>
  <c r="Q1131" i="2"/>
  <c r="R1131" i="2"/>
  <c r="S1131" i="2"/>
  <c r="T1131" i="2"/>
  <c r="Y1131" i="2"/>
  <c r="F1132" i="2"/>
  <c r="G1132" i="2"/>
  <c r="I1132" i="2"/>
  <c r="J1132" i="2"/>
  <c r="K1132" i="2"/>
  <c r="L1132" i="2"/>
  <c r="N1132" i="2"/>
  <c r="O1132" i="2"/>
  <c r="Q1132" i="2"/>
  <c r="R1132" i="2"/>
  <c r="S1132" i="2"/>
  <c r="T1132" i="2"/>
  <c r="Y1132" i="2"/>
  <c r="E1133" i="2"/>
  <c r="F1133" i="2"/>
  <c r="G1133" i="2"/>
  <c r="I1133" i="2"/>
  <c r="J1133" i="2"/>
  <c r="K1133" i="2"/>
  <c r="L1133" i="2"/>
  <c r="N1133" i="2"/>
  <c r="O1133" i="2"/>
  <c r="Q1133" i="2"/>
  <c r="R1133" i="2"/>
  <c r="S1133" i="2"/>
  <c r="T1133" i="2"/>
  <c r="Y1133" i="2"/>
  <c r="E1144" i="2"/>
  <c r="F1144" i="2"/>
  <c r="G1144" i="2"/>
  <c r="I1144" i="2"/>
  <c r="K1144" i="2"/>
  <c r="L1144" i="2"/>
  <c r="N1144" i="2"/>
  <c r="O1144" i="2"/>
  <c r="R1144" i="2"/>
  <c r="S1144" i="2"/>
  <c r="T1144" i="2"/>
  <c r="Y1144" i="2"/>
  <c r="F1145" i="2"/>
  <c r="G1145" i="2"/>
  <c r="I1145" i="2"/>
  <c r="L1145" i="2"/>
  <c r="N1145" i="2"/>
  <c r="O1145" i="2"/>
  <c r="R1145" i="2"/>
  <c r="S1145" i="2"/>
  <c r="T1145" i="2"/>
  <c r="Y1145" i="2"/>
  <c r="F1146" i="2"/>
  <c r="G1146" i="2"/>
  <c r="I1146" i="2"/>
  <c r="L1146" i="2"/>
  <c r="N1146" i="2"/>
  <c r="O1146" i="2"/>
  <c r="R1146" i="2"/>
  <c r="S1146" i="2"/>
  <c r="T1146" i="2"/>
  <c r="Y1146" i="2"/>
  <c r="E1147" i="2"/>
  <c r="F1147" i="2"/>
  <c r="G1147" i="2"/>
  <c r="I1147" i="2"/>
  <c r="K1147" i="2"/>
  <c r="L1147" i="2"/>
  <c r="N1147" i="2"/>
  <c r="O1147" i="2"/>
  <c r="R1147" i="2"/>
  <c r="S1147" i="2"/>
  <c r="T1147" i="2"/>
  <c r="Y1147" i="2"/>
  <c r="E1148" i="2"/>
  <c r="G1148" i="2"/>
  <c r="I1148" i="2"/>
  <c r="K1148" i="2"/>
  <c r="L1148" i="2"/>
  <c r="N1148" i="2"/>
  <c r="O1148" i="2"/>
  <c r="R1148" i="2"/>
  <c r="S1148" i="2"/>
  <c r="T1148" i="2"/>
  <c r="Y1148" i="2"/>
  <c r="F1149" i="2"/>
  <c r="G1149" i="2"/>
  <c r="I1149" i="2"/>
  <c r="K1149" i="2"/>
  <c r="L1149" i="2"/>
  <c r="N1149" i="2"/>
  <c r="O1149" i="2"/>
  <c r="R1149" i="2"/>
  <c r="S1149" i="2"/>
  <c r="T1149" i="2"/>
  <c r="Y1149" i="2"/>
  <c r="E1150" i="2"/>
  <c r="F1150" i="2"/>
  <c r="G1150" i="2"/>
  <c r="H1150" i="2"/>
  <c r="I1150" i="2"/>
  <c r="J1150" i="2"/>
  <c r="K1150" i="2"/>
  <c r="L1150" i="2"/>
  <c r="M1150" i="2"/>
  <c r="N1150" i="2"/>
  <c r="O1150" i="2"/>
  <c r="P1150" i="2"/>
  <c r="Q1150" i="2"/>
  <c r="R1150" i="2"/>
  <c r="S1150" i="2"/>
  <c r="T1150" i="2"/>
  <c r="U1150" i="2"/>
  <c r="V1150" i="2"/>
  <c r="W1150" i="2"/>
  <c r="X1150" i="2"/>
  <c r="Y1150" i="2"/>
  <c r="Z1150" i="2"/>
  <c r="AA1150" i="2"/>
  <c r="AB1150" i="2"/>
  <c r="F1151" i="2"/>
  <c r="G1151" i="2"/>
  <c r="I1151" i="2"/>
  <c r="K1151" i="2"/>
  <c r="L1151" i="2"/>
  <c r="N1151" i="2"/>
  <c r="O1151" i="2"/>
  <c r="R1151" i="2"/>
  <c r="S1151" i="2"/>
  <c r="T1151" i="2"/>
  <c r="Y1151" i="2"/>
  <c r="G1152" i="2"/>
  <c r="I1152" i="2"/>
  <c r="K1152" i="2"/>
  <c r="L1152" i="2"/>
  <c r="N1152" i="2"/>
  <c r="O1152" i="2"/>
  <c r="R1152" i="2"/>
  <c r="S1152" i="2"/>
  <c r="T1152" i="2"/>
  <c r="Y1152" i="2"/>
  <c r="G1153" i="2"/>
  <c r="I1153" i="2"/>
  <c r="K1153" i="2"/>
  <c r="L1153" i="2"/>
  <c r="N1153" i="2"/>
  <c r="O1153" i="2"/>
  <c r="R1153" i="2"/>
  <c r="S1153" i="2"/>
  <c r="T1153" i="2"/>
  <c r="Y1153" i="2"/>
  <c r="G1154" i="2"/>
  <c r="I1154" i="2"/>
  <c r="K1154" i="2"/>
  <c r="L1154" i="2"/>
  <c r="N1154" i="2"/>
  <c r="O1154" i="2"/>
  <c r="R1154" i="2"/>
  <c r="S1154" i="2"/>
  <c r="T1154" i="2"/>
  <c r="Y1154" i="2"/>
  <c r="E1155" i="2"/>
  <c r="F1155" i="2"/>
  <c r="G1155" i="2"/>
  <c r="I1155" i="2"/>
  <c r="K1155" i="2"/>
  <c r="L1155" i="2"/>
  <c r="N1155" i="2"/>
  <c r="O1155" i="2"/>
  <c r="Q1155" i="2"/>
  <c r="R1155" i="2"/>
  <c r="S1155" i="2"/>
  <c r="T1155" i="2"/>
  <c r="W1155" i="2"/>
  <c r="Y1155" i="2"/>
  <c r="E1156" i="2"/>
  <c r="F1156" i="2"/>
  <c r="G1156" i="2"/>
  <c r="I1156" i="2"/>
  <c r="K1156" i="2"/>
  <c r="L1156" i="2"/>
  <c r="N1156" i="2"/>
  <c r="O1156" i="2"/>
  <c r="R1156" i="2"/>
  <c r="S1156" i="2"/>
  <c r="T1156" i="2"/>
  <c r="Y1156" i="2"/>
  <c r="F1157" i="2"/>
  <c r="G1157" i="2"/>
  <c r="I1157" i="2"/>
  <c r="K1157" i="2"/>
  <c r="L1157" i="2"/>
  <c r="N1157" i="2"/>
  <c r="O1157" i="2"/>
  <c r="R1157" i="2"/>
  <c r="S1157" i="2"/>
  <c r="T1157" i="2"/>
  <c r="Y1157" i="2"/>
  <c r="E1158" i="2"/>
  <c r="F1158" i="2"/>
  <c r="G1158" i="2"/>
  <c r="I1158" i="2"/>
  <c r="K1158" i="2"/>
  <c r="L1158" i="2"/>
  <c r="N1158" i="2"/>
  <c r="O1158" i="2"/>
  <c r="R1158" i="2"/>
  <c r="S1158" i="2"/>
  <c r="T1158" i="2"/>
  <c r="Y1158" i="2"/>
  <c r="E1163" i="2"/>
  <c r="F1163" i="2"/>
  <c r="G1163" i="2"/>
  <c r="I1163" i="2"/>
  <c r="K1163" i="2"/>
  <c r="L1163" i="2"/>
  <c r="N1163" i="2"/>
  <c r="O1163" i="2"/>
  <c r="R1163" i="2"/>
  <c r="S1163" i="2"/>
  <c r="T1163" i="2"/>
  <c r="Y1163" i="2"/>
  <c r="F1164" i="2"/>
  <c r="G1164" i="2"/>
  <c r="I1164" i="2"/>
  <c r="L1164" i="2"/>
  <c r="N1164" i="2"/>
  <c r="O1164" i="2"/>
  <c r="R1164" i="2"/>
  <c r="S1164" i="2"/>
  <c r="T1164" i="2"/>
  <c r="Y1164" i="2"/>
  <c r="E1165" i="2"/>
  <c r="F1165" i="2"/>
  <c r="G1165" i="2"/>
  <c r="I1165" i="2"/>
  <c r="K1165" i="2"/>
  <c r="L1165" i="2"/>
  <c r="N1165" i="2"/>
  <c r="O1165" i="2"/>
  <c r="R1165" i="2"/>
  <c r="S1165" i="2"/>
  <c r="T1165" i="2"/>
  <c r="Y1165" i="2"/>
  <c r="F1166" i="2"/>
  <c r="G1166" i="2"/>
  <c r="I1166" i="2"/>
  <c r="L1166" i="2"/>
  <c r="N1166" i="2"/>
  <c r="O1166" i="2"/>
  <c r="R1166" i="2"/>
  <c r="S1166" i="2"/>
  <c r="T1166" i="2"/>
  <c r="Y1166" i="2"/>
  <c r="E1167" i="2"/>
  <c r="F1167" i="2"/>
  <c r="G1167" i="2"/>
  <c r="I1167" i="2"/>
  <c r="K1167" i="2"/>
  <c r="L1167" i="2"/>
  <c r="N1167" i="2"/>
  <c r="O1167" i="2"/>
  <c r="R1167" i="2"/>
  <c r="S1167" i="2"/>
  <c r="T1167" i="2"/>
  <c r="Y1167" i="2"/>
  <c r="F1168" i="2"/>
  <c r="G1168" i="2"/>
  <c r="I1168" i="2"/>
  <c r="K1168" i="2"/>
  <c r="L1168" i="2"/>
  <c r="N1168" i="2"/>
  <c r="O1168" i="2"/>
  <c r="R1168" i="2"/>
  <c r="S1168" i="2"/>
  <c r="T1168" i="2"/>
  <c r="Y1168" i="2"/>
  <c r="E1169" i="2"/>
  <c r="G1169" i="2"/>
  <c r="I1169" i="2"/>
  <c r="K1169" i="2"/>
  <c r="L1169" i="2"/>
  <c r="N1169" i="2"/>
  <c r="O1169" i="2"/>
  <c r="R1169" i="2"/>
  <c r="S1169" i="2"/>
  <c r="T1169" i="2"/>
  <c r="Y1169" i="2"/>
  <c r="E1170" i="2"/>
  <c r="F1170" i="2"/>
  <c r="G1170" i="2"/>
  <c r="I1170" i="2"/>
  <c r="K1170" i="2"/>
  <c r="L1170" i="2"/>
  <c r="N1170" i="2"/>
  <c r="O1170" i="2"/>
  <c r="R1170" i="2"/>
  <c r="S1170" i="2"/>
  <c r="T1170" i="2"/>
  <c r="Y1170" i="2"/>
  <c r="E1171" i="2"/>
  <c r="G1171" i="2"/>
  <c r="I1171" i="2"/>
  <c r="K1171" i="2"/>
  <c r="L1171" i="2"/>
  <c r="N1171" i="2"/>
  <c r="O1171" i="2"/>
  <c r="R1171" i="2"/>
  <c r="S1171" i="2"/>
  <c r="T1171" i="2"/>
  <c r="Y1171" i="2"/>
  <c r="F1172" i="2"/>
  <c r="G1172" i="2"/>
  <c r="I1172" i="2"/>
  <c r="K1172" i="2"/>
  <c r="L1172" i="2"/>
  <c r="N1172" i="2"/>
  <c r="O1172" i="2"/>
  <c r="R1172" i="2"/>
  <c r="S1172" i="2"/>
  <c r="T1172" i="2"/>
  <c r="Y1172" i="2"/>
  <c r="E1173" i="2"/>
  <c r="F1173" i="2"/>
  <c r="G1173" i="2"/>
  <c r="I1173" i="2"/>
  <c r="K1173" i="2"/>
  <c r="L1173" i="2"/>
  <c r="N1173" i="2"/>
  <c r="O1173" i="2"/>
  <c r="R1173" i="2"/>
  <c r="S1173" i="2"/>
  <c r="T1173" i="2"/>
  <c r="Y1173" i="2"/>
  <c r="E1174" i="2"/>
  <c r="F1174" i="2"/>
  <c r="G1174" i="2"/>
  <c r="I1174" i="2"/>
  <c r="K1174" i="2"/>
  <c r="L1174" i="2"/>
  <c r="N1174" i="2"/>
  <c r="O1174" i="2"/>
  <c r="R1174" i="2"/>
  <c r="S1174" i="2"/>
  <c r="T1174" i="2"/>
  <c r="Y1174" i="2"/>
  <c r="E1175" i="2"/>
  <c r="F1175" i="2"/>
  <c r="G1175" i="2"/>
  <c r="I1175" i="2"/>
  <c r="K1175" i="2"/>
  <c r="L1175" i="2"/>
  <c r="N1175" i="2"/>
  <c r="O1175" i="2"/>
  <c r="R1175" i="2"/>
  <c r="S1175" i="2"/>
  <c r="T1175" i="2"/>
  <c r="Y1175" i="2"/>
  <c r="E1176" i="2"/>
  <c r="F1176" i="2"/>
  <c r="G1176" i="2"/>
  <c r="I1176" i="2"/>
  <c r="K1176" i="2"/>
  <c r="L1176" i="2"/>
  <c r="N1176" i="2"/>
  <c r="O1176" i="2"/>
  <c r="R1176" i="2"/>
  <c r="S1176" i="2"/>
  <c r="T1176" i="2"/>
  <c r="Y1176" i="2"/>
  <c r="G1177" i="2"/>
  <c r="I1177" i="2"/>
  <c r="K1177" i="2"/>
  <c r="L1177" i="2"/>
  <c r="N1177" i="2"/>
  <c r="O1177" i="2"/>
  <c r="R1177" i="2"/>
  <c r="S1177" i="2"/>
  <c r="T1177" i="2"/>
  <c r="Y1177" i="2"/>
  <c r="E1178" i="2"/>
  <c r="F1178" i="2"/>
  <c r="G1178" i="2"/>
  <c r="I1178" i="2"/>
  <c r="K1178" i="2"/>
  <c r="L1178" i="2"/>
  <c r="N1178" i="2"/>
  <c r="O1178" i="2"/>
  <c r="R1178" i="2"/>
  <c r="S1178" i="2"/>
  <c r="T1178" i="2"/>
  <c r="Y1178" i="2"/>
  <c r="G1179" i="2"/>
  <c r="I1179" i="2"/>
  <c r="K1179" i="2"/>
  <c r="L1179" i="2"/>
  <c r="N1179" i="2"/>
  <c r="O1179" i="2"/>
  <c r="R1179" i="2"/>
  <c r="S1179" i="2"/>
  <c r="T1179" i="2"/>
  <c r="Y1179" i="2"/>
  <c r="G1180" i="2"/>
  <c r="I1180" i="2"/>
  <c r="K1180" i="2"/>
  <c r="L1180" i="2"/>
  <c r="N1180" i="2"/>
  <c r="O1180" i="2"/>
  <c r="R1180" i="2"/>
  <c r="S1180" i="2"/>
  <c r="T1180" i="2"/>
  <c r="Y1180" i="2"/>
  <c r="E1181" i="2"/>
  <c r="F1181" i="2"/>
  <c r="G1181" i="2"/>
  <c r="I1181" i="2"/>
  <c r="J1181" i="2"/>
  <c r="K1181" i="2"/>
  <c r="L1181" i="2"/>
  <c r="N1181" i="2"/>
  <c r="O1181" i="2"/>
  <c r="Q1181" i="2"/>
  <c r="R1181" i="2"/>
  <c r="S1181" i="2"/>
  <c r="T1181" i="2"/>
  <c r="Y1181" i="2"/>
  <c r="E1182" i="2"/>
  <c r="F1182" i="2"/>
  <c r="G1182" i="2"/>
  <c r="I1182" i="2"/>
  <c r="J1182" i="2"/>
  <c r="K1182" i="2"/>
  <c r="L1182" i="2"/>
  <c r="N1182" i="2"/>
  <c r="O1182" i="2"/>
  <c r="Q1182" i="2"/>
  <c r="R1182" i="2"/>
  <c r="S1182" i="2"/>
  <c r="T1182" i="2"/>
  <c r="V1182" i="2"/>
  <c r="W1182" i="2"/>
  <c r="Y1182" i="2"/>
  <c r="G1183" i="2"/>
  <c r="I1183" i="2"/>
  <c r="K1183" i="2"/>
  <c r="L1183" i="2"/>
  <c r="N1183" i="2"/>
  <c r="O1183" i="2"/>
  <c r="R1183" i="2"/>
  <c r="S1183" i="2"/>
  <c r="T1183" i="2"/>
  <c r="Y1183" i="2"/>
  <c r="F1188" i="2"/>
  <c r="G1188" i="2"/>
  <c r="I1188" i="2"/>
  <c r="L1188" i="2"/>
  <c r="N1188" i="2"/>
  <c r="O1188" i="2"/>
  <c r="R1188" i="2"/>
  <c r="S1188" i="2"/>
  <c r="T1188" i="2"/>
  <c r="Y1188" i="2"/>
  <c r="F1189" i="2"/>
  <c r="G1189" i="2"/>
  <c r="I1189" i="2"/>
  <c r="K1189" i="2"/>
  <c r="L1189" i="2"/>
  <c r="N1189" i="2"/>
  <c r="O1189" i="2"/>
  <c r="R1189" i="2"/>
  <c r="S1189" i="2"/>
  <c r="T1189" i="2"/>
  <c r="Y1189" i="2"/>
  <c r="G1190" i="2"/>
  <c r="I1190" i="2"/>
  <c r="K1190" i="2"/>
  <c r="L1190" i="2"/>
  <c r="N1190" i="2"/>
  <c r="O1190" i="2"/>
  <c r="R1190" i="2"/>
  <c r="S1190" i="2"/>
  <c r="T1190" i="2"/>
  <c r="Y1190" i="2"/>
  <c r="E1191" i="2"/>
  <c r="F1191" i="2"/>
  <c r="G1191" i="2"/>
  <c r="I1191" i="2"/>
  <c r="K1191" i="2"/>
  <c r="L1191" i="2"/>
  <c r="N1191" i="2"/>
  <c r="O1191" i="2"/>
  <c r="R1191" i="2"/>
  <c r="S1191" i="2"/>
  <c r="T1191" i="2"/>
  <c r="Y1191" i="2"/>
  <c r="F1192" i="2"/>
  <c r="G1192" i="2"/>
  <c r="I1192" i="2"/>
  <c r="K1192" i="2"/>
  <c r="L1192" i="2"/>
  <c r="N1192" i="2"/>
  <c r="O1192" i="2"/>
  <c r="R1192" i="2"/>
  <c r="S1192" i="2"/>
  <c r="T1192" i="2"/>
  <c r="Y1192" i="2"/>
  <c r="E1193" i="2"/>
  <c r="F1193" i="2"/>
  <c r="G1193" i="2"/>
  <c r="I1193" i="2"/>
  <c r="K1193" i="2"/>
  <c r="L1193" i="2"/>
  <c r="N1193" i="2"/>
  <c r="O1193" i="2"/>
  <c r="R1193" i="2"/>
  <c r="S1193" i="2"/>
  <c r="T1193" i="2"/>
  <c r="Y1193" i="2"/>
  <c r="E1194" i="2"/>
  <c r="F1194" i="2"/>
  <c r="G1194" i="2"/>
  <c r="I1194" i="2"/>
  <c r="K1194" i="2"/>
  <c r="L1194" i="2"/>
  <c r="N1194" i="2"/>
  <c r="O1194" i="2"/>
  <c r="R1194" i="2"/>
  <c r="S1194" i="2"/>
  <c r="T1194" i="2"/>
  <c r="Y1194" i="2"/>
  <c r="E1195" i="2"/>
  <c r="F1195" i="2"/>
  <c r="G1195" i="2"/>
  <c r="I1195" i="2"/>
  <c r="K1195" i="2"/>
  <c r="L1195" i="2"/>
  <c r="N1195" i="2"/>
  <c r="O1195" i="2"/>
  <c r="R1195" i="2"/>
  <c r="S1195" i="2"/>
  <c r="T1195" i="2"/>
  <c r="Y1195" i="2"/>
  <c r="E1196" i="2"/>
  <c r="F1196" i="2"/>
  <c r="G1196" i="2"/>
  <c r="I1196" i="2"/>
  <c r="K1196" i="2"/>
  <c r="L1196" i="2"/>
  <c r="N1196" i="2"/>
  <c r="O1196" i="2"/>
  <c r="R1196" i="2"/>
  <c r="S1196" i="2"/>
  <c r="T1196" i="2"/>
  <c r="Y1196" i="2"/>
  <c r="F1197" i="2"/>
  <c r="G1197" i="2"/>
  <c r="I1197" i="2"/>
  <c r="K1197" i="2"/>
  <c r="L1197" i="2"/>
  <c r="N1197" i="2"/>
  <c r="O1197" i="2"/>
  <c r="R1197" i="2"/>
  <c r="S1197" i="2"/>
  <c r="T1197" i="2"/>
  <c r="Y1197" i="2"/>
  <c r="E1198" i="2"/>
  <c r="G1198" i="2"/>
  <c r="I1198" i="2"/>
  <c r="K1198" i="2"/>
  <c r="L1198" i="2"/>
  <c r="N1198" i="2"/>
  <c r="O1198" i="2"/>
  <c r="R1198" i="2"/>
  <c r="S1198" i="2"/>
  <c r="T1198" i="2"/>
  <c r="Y1198" i="2"/>
  <c r="E1199" i="2"/>
  <c r="F1199" i="2"/>
  <c r="G1199" i="2"/>
  <c r="I1199" i="2"/>
  <c r="K1199" i="2"/>
  <c r="L1199" i="2"/>
  <c r="N1199" i="2"/>
  <c r="O1199" i="2"/>
  <c r="R1199" i="2"/>
  <c r="S1199" i="2"/>
  <c r="T1199" i="2"/>
  <c r="Y1199" i="2"/>
  <c r="E1200" i="2"/>
  <c r="F1200" i="2"/>
  <c r="G1200" i="2"/>
  <c r="I1200" i="2"/>
  <c r="K1200" i="2"/>
  <c r="L1200" i="2"/>
  <c r="N1200" i="2"/>
  <c r="O1200" i="2"/>
  <c r="R1200" i="2"/>
  <c r="S1200" i="2"/>
  <c r="T1200" i="2"/>
  <c r="Y1200" i="2"/>
  <c r="G1201" i="2"/>
  <c r="I1201" i="2"/>
  <c r="K1201" i="2"/>
  <c r="L1201" i="2"/>
  <c r="N1201" i="2"/>
  <c r="O1201" i="2"/>
  <c r="R1201" i="2"/>
  <c r="S1201" i="2"/>
  <c r="T1201" i="2"/>
  <c r="Y1201" i="2"/>
  <c r="E1202" i="2"/>
  <c r="F1202" i="2"/>
  <c r="G1202" i="2"/>
  <c r="I1202" i="2"/>
  <c r="K1202" i="2"/>
  <c r="L1202" i="2"/>
  <c r="N1202" i="2"/>
  <c r="O1202" i="2"/>
  <c r="R1202" i="2"/>
  <c r="S1202" i="2"/>
  <c r="T1202" i="2"/>
  <c r="Y1202" i="2"/>
  <c r="E1203" i="2"/>
  <c r="F1203" i="2"/>
  <c r="G1203" i="2"/>
  <c r="I1203" i="2"/>
  <c r="K1203" i="2"/>
  <c r="L1203" i="2"/>
  <c r="N1203" i="2"/>
  <c r="O1203" i="2"/>
  <c r="R1203" i="2"/>
  <c r="S1203" i="2"/>
  <c r="T1203" i="2"/>
  <c r="Y1203" i="2"/>
  <c r="G1204" i="2"/>
  <c r="I1204" i="2"/>
  <c r="K1204" i="2"/>
  <c r="L1204" i="2"/>
  <c r="N1204" i="2"/>
  <c r="O1204" i="2"/>
  <c r="R1204" i="2"/>
  <c r="S1204" i="2"/>
  <c r="T1204" i="2"/>
  <c r="Y1204" i="2"/>
  <c r="E1205" i="2"/>
  <c r="F1205" i="2"/>
  <c r="G1205" i="2"/>
  <c r="I1205" i="2"/>
  <c r="K1205" i="2"/>
  <c r="L1205" i="2"/>
  <c r="N1205" i="2"/>
  <c r="O1205" i="2"/>
  <c r="R1205" i="2"/>
  <c r="S1205" i="2"/>
  <c r="T1205" i="2"/>
  <c r="Y1205" i="2"/>
  <c r="E1206" i="2"/>
  <c r="F1206" i="2"/>
  <c r="G1206" i="2"/>
  <c r="I1206" i="2"/>
  <c r="K1206" i="2"/>
  <c r="L1206" i="2"/>
  <c r="N1206" i="2"/>
  <c r="O1206" i="2"/>
  <c r="R1206" i="2"/>
  <c r="S1206" i="2"/>
  <c r="T1206" i="2"/>
  <c r="Y1206" i="2"/>
  <c r="G1207" i="2"/>
  <c r="I1207" i="2"/>
  <c r="K1207" i="2"/>
  <c r="L1207" i="2"/>
  <c r="N1207" i="2"/>
  <c r="O1207" i="2"/>
  <c r="R1207" i="2"/>
  <c r="S1207" i="2"/>
  <c r="T1207" i="2"/>
  <c r="Y1207" i="2"/>
  <c r="G1208" i="2"/>
  <c r="I1208" i="2"/>
  <c r="K1208" i="2"/>
  <c r="L1208" i="2"/>
  <c r="N1208" i="2"/>
  <c r="O1208" i="2"/>
  <c r="R1208" i="2"/>
  <c r="S1208" i="2"/>
  <c r="T1208" i="2"/>
  <c r="Y1208" i="2"/>
  <c r="E1209" i="2"/>
  <c r="F1209" i="2"/>
  <c r="G1209" i="2"/>
  <c r="I1209" i="2"/>
  <c r="K1209" i="2"/>
  <c r="L1209" i="2"/>
  <c r="N1209" i="2"/>
  <c r="O1209" i="2"/>
  <c r="R1209" i="2"/>
  <c r="S1209" i="2"/>
  <c r="T1209" i="2"/>
  <c r="Y1209" i="2"/>
  <c r="E1210" i="2"/>
  <c r="F1210" i="2"/>
  <c r="G1210" i="2"/>
  <c r="I1210" i="2"/>
  <c r="K1210" i="2"/>
  <c r="L1210" i="2"/>
  <c r="N1210" i="2"/>
  <c r="O1210" i="2"/>
  <c r="R1210" i="2"/>
  <c r="S1210" i="2"/>
  <c r="T1210" i="2"/>
  <c r="Y1210" i="2"/>
  <c r="E1211" i="2"/>
  <c r="F1211" i="2"/>
  <c r="G1211" i="2"/>
  <c r="I1211" i="2"/>
  <c r="J1211" i="2"/>
  <c r="K1211" i="2"/>
  <c r="L1211" i="2"/>
  <c r="N1211" i="2"/>
  <c r="O1211" i="2"/>
  <c r="Q1211" i="2"/>
  <c r="R1211" i="2"/>
  <c r="S1211" i="2"/>
  <c r="T1211" i="2"/>
  <c r="Y1211" i="2"/>
  <c r="E1212" i="2"/>
  <c r="F1212" i="2"/>
  <c r="G1212" i="2"/>
  <c r="I1212" i="2"/>
  <c r="K1212" i="2"/>
  <c r="L1212" i="2"/>
  <c r="N1212" i="2"/>
  <c r="O1212" i="2"/>
  <c r="R1212" i="2"/>
  <c r="S1212" i="2"/>
  <c r="T1212" i="2"/>
  <c r="Y1212" i="2"/>
  <c r="E1213" i="2"/>
  <c r="F1213" i="2"/>
  <c r="G1213" i="2"/>
  <c r="I1213" i="2"/>
  <c r="K1213" i="2"/>
  <c r="L1213" i="2"/>
  <c r="N1213" i="2"/>
  <c r="O1213" i="2"/>
  <c r="R1213" i="2"/>
  <c r="S1213" i="2"/>
  <c r="T1213" i="2"/>
  <c r="Y1213" i="2"/>
  <c r="E1214" i="2"/>
  <c r="F1214" i="2"/>
  <c r="G1214" i="2"/>
  <c r="I1214" i="2"/>
  <c r="J1214" i="2"/>
  <c r="K1214" i="2"/>
  <c r="L1214" i="2"/>
  <c r="N1214" i="2"/>
  <c r="O1214" i="2"/>
  <c r="P1214" i="2"/>
  <c r="Q1214" i="2"/>
  <c r="R1214" i="2"/>
  <c r="S1214" i="2"/>
  <c r="T1214" i="2"/>
  <c r="U1214" i="2"/>
  <c r="V1214" i="2"/>
  <c r="W1214" i="2"/>
  <c r="Y1214" i="2"/>
  <c r="E1215" i="2"/>
  <c r="F1215" i="2"/>
  <c r="G1215" i="2"/>
  <c r="I1215" i="2"/>
  <c r="J1215" i="2"/>
  <c r="K1215" i="2"/>
  <c r="L1215" i="2"/>
  <c r="N1215" i="2"/>
  <c r="O1215" i="2"/>
  <c r="Q1215" i="2"/>
  <c r="R1215" i="2"/>
  <c r="S1215" i="2"/>
  <c r="T1215" i="2"/>
  <c r="V1215" i="2"/>
  <c r="W1215" i="2"/>
  <c r="Y1215" i="2"/>
  <c r="G1216" i="2"/>
  <c r="I1216" i="2"/>
  <c r="K1216" i="2"/>
  <c r="L1216" i="2"/>
  <c r="N1216" i="2"/>
  <c r="O1216" i="2"/>
  <c r="R1216" i="2"/>
  <c r="S1216" i="2"/>
  <c r="T1216" i="2"/>
  <c r="Y1216" i="2"/>
  <c r="F1221" i="2"/>
  <c r="G1221" i="2"/>
  <c r="I1221" i="2"/>
  <c r="L1221" i="2"/>
  <c r="N1221" i="2"/>
  <c r="O1221" i="2"/>
  <c r="R1221" i="2"/>
  <c r="S1221" i="2"/>
  <c r="T1221" i="2"/>
  <c r="Y1221" i="2"/>
  <c r="E1222" i="2"/>
  <c r="F1222" i="2"/>
  <c r="G1222" i="2"/>
  <c r="I1222" i="2"/>
  <c r="K1222" i="2"/>
  <c r="L1222" i="2"/>
  <c r="N1222" i="2"/>
  <c r="O1222" i="2"/>
  <c r="R1222" i="2"/>
  <c r="S1222" i="2"/>
  <c r="T1222" i="2"/>
  <c r="Y1222" i="2"/>
  <c r="F1223" i="2"/>
  <c r="G1223" i="2"/>
  <c r="I1223" i="2"/>
  <c r="K1223" i="2"/>
  <c r="L1223" i="2"/>
  <c r="N1223" i="2"/>
  <c r="O1223" i="2"/>
  <c r="R1223" i="2"/>
  <c r="S1223" i="2"/>
  <c r="T1223" i="2"/>
  <c r="Y1223" i="2"/>
  <c r="G1224" i="2"/>
  <c r="I1224" i="2"/>
  <c r="K1224" i="2"/>
  <c r="L1224" i="2"/>
  <c r="N1224" i="2"/>
  <c r="O1224" i="2"/>
  <c r="R1224" i="2"/>
  <c r="S1224" i="2"/>
  <c r="T1224" i="2"/>
  <c r="Y1224" i="2"/>
  <c r="E1225" i="2"/>
  <c r="F1225" i="2"/>
  <c r="G1225" i="2"/>
  <c r="I1225" i="2"/>
  <c r="K1225" i="2"/>
  <c r="L1225" i="2"/>
  <c r="N1225" i="2"/>
  <c r="O1225" i="2"/>
  <c r="R1225" i="2"/>
  <c r="S1225" i="2"/>
  <c r="T1225" i="2"/>
  <c r="Y1225" i="2"/>
  <c r="E1226" i="2"/>
  <c r="F1226" i="2"/>
  <c r="G1226" i="2"/>
  <c r="I1226" i="2"/>
  <c r="K1226" i="2"/>
  <c r="L1226" i="2"/>
  <c r="N1226" i="2"/>
  <c r="O1226" i="2"/>
  <c r="R1226" i="2"/>
  <c r="S1226" i="2"/>
  <c r="T1226" i="2"/>
  <c r="Y1226" i="2"/>
  <c r="E1227" i="2"/>
  <c r="F1227" i="2"/>
  <c r="G1227" i="2"/>
  <c r="I1227" i="2"/>
  <c r="K1227" i="2"/>
  <c r="L1227" i="2"/>
  <c r="N1227" i="2"/>
  <c r="O1227" i="2"/>
  <c r="R1227" i="2"/>
  <c r="S1227" i="2"/>
  <c r="T1227" i="2"/>
  <c r="Y1227" i="2"/>
  <c r="E1228" i="2"/>
  <c r="F1228" i="2"/>
  <c r="G1228" i="2"/>
  <c r="I1228" i="2"/>
  <c r="K1228" i="2"/>
  <c r="L1228" i="2"/>
  <c r="N1228" i="2"/>
  <c r="O1228" i="2"/>
  <c r="R1228" i="2"/>
  <c r="S1228" i="2"/>
  <c r="T1228" i="2"/>
  <c r="Y1228" i="2"/>
  <c r="F1229" i="2"/>
  <c r="G1229" i="2"/>
  <c r="I1229" i="2"/>
  <c r="K1229" i="2"/>
  <c r="L1229" i="2"/>
  <c r="N1229" i="2"/>
  <c r="O1229" i="2"/>
  <c r="R1229" i="2"/>
  <c r="S1229" i="2"/>
  <c r="T1229" i="2"/>
  <c r="Y1229" i="2"/>
  <c r="G1230" i="2"/>
  <c r="I1230" i="2"/>
  <c r="K1230" i="2"/>
  <c r="L1230" i="2"/>
  <c r="N1230" i="2"/>
  <c r="O1230" i="2"/>
  <c r="R1230" i="2"/>
  <c r="S1230" i="2"/>
  <c r="T1230" i="2"/>
  <c r="Y1230" i="2"/>
  <c r="E1231" i="2"/>
  <c r="F1231" i="2"/>
  <c r="G1231" i="2"/>
  <c r="I1231" i="2"/>
  <c r="K1231" i="2"/>
  <c r="L1231" i="2"/>
  <c r="N1231" i="2"/>
  <c r="O1231" i="2"/>
  <c r="R1231" i="2"/>
  <c r="S1231" i="2"/>
  <c r="T1231" i="2"/>
  <c r="Y1231" i="2"/>
  <c r="E1232" i="2"/>
  <c r="F1232" i="2"/>
  <c r="G1232" i="2"/>
  <c r="I1232" i="2"/>
  <c r="K1232" i="2"/>
  <c r="L1232" i="2"/>
  <c r="N1232" i="2"/>
  <c r="O1232" i="2"/>
  <c r="R1232" i="2"/>
  <c r="S1232" i="2"/>
  <c r="T1232" i="2"/>
  <c r="Y1232" i="2"/>
  <c r="G1233" i="2"/>
  <c r="I1233" i="2"/>
  <c r="K1233" i="2"/>
  <c r="L1233" i="2"/>
  <c r="N1233" i="2"/>
  <c r="O1233" i="2"/>
  <c r="R1233" i="2"/>
  <c r="S1233" i="2"/>
  <c r="T1233" i="2"/>
  <c r="Y1233" i="2"/>
  <c r="E1234" i="2"/>
  <c r="F1234" i="2"/>
  <c r="G1234" i="2"/>
  <c r="I1234" i="2"/>
  <c r="K1234" i="2"/>
  <c r="L1234" i="2"/>
  <c r="N1234" i="2"/>
  <c r="O1234" i="2"/>
  <c r="R1234" i="2"/>
  <c r="S1234" i="2"/>
  <c r="T1234" i="2"/>
  <c r="Y1234" i="2"/>
  <c r="F1235" i="2"/>
  <c r="G1235" i="2"/>
  <c r="K1235" i="2"/>
  <c r="L1235" i="2"/>
  <c r="N1235" i="2"/>
  <c r="O1235" i="2"/>
  <c r="R1235" i="2"/>
  <c r="S1235" i="2"/>
  <c r="T1235" i="2"/>
  <c r="Y1235" i="2"/>
  <c r="E1236" i="2"/>
  <c r="F1236" i="2"/>
  <c r="G1236" i="2"/>
  <c r="I1236" i="2"/>
  <c r="K1236" i="2"/>
  <c r="L1236" i="2"/>
  <c r="N1236" i="2"/>
  <c r="O1236" i="2"/>
  <c r="R1236" i="2"/>
  <c r="S1236" i="2"/>
  <c r="T1236" i="2"/>
  <c r="Y1236" i="2"/>
  <c r="E1237" i="2"/>
  <c r="F1237" i="2"/>
  <c r="G1237" i="2"/>
  <c r="I1237" i="2"/>
  <c r="K1237" i="2"/>
  <c r="L1237" i="2"/>
  <c r="N1237" i="2"/>
  <c r="O1237" i="2"/>
  <c r="R1237" i="2"/>
  <c r="S1237" i="2"/>
  <c r="T1237" i="2"/>
  <c r="Y1237" i="2"/>
  <c r="G1238" i="2"/>
  <c r="I1238" i="2"/>
  <c r="K1238" i="2"/>
  <c r="L1238" i="2"/>
  <c r="N1238" i="2"/>
  <c r="O1238" i="2"/>
  <c r="R1238" i="2"/>
  <c r="S1238" i="2"/>
  <c r="T1238" i="2"/>
  <c r="Y1238" i="2"/>
  <c r="G1239" i="2"/>
  <c r="I1239" i="2"/>
  <c r="J1239" i="2"/>
  <c r="K1239" i="2"/>
  <c r="L1239" i="2"/>
  <c r="N1239" i="2"/>
  <c r="O1239" i="2"/>
  <c r="Q1239" i="2"/>
  <c r="R1239" i="2"/>
  <c r="S1239" i="2"/>
  <c r="T1239" i="2"/>
  <c r="Y1239" i="2"/>
  <c r="E1240" i="2"/>
  <c r="F1240" i="2"/>
  <c r="G1240" i="2"/>
  <c r="I1240" i="2"/>
  <c r="K1240" i="2"/>
  <c r="L1240" i="2"/>
  <c r="N1240" i="2"/>
  <c r="O1240" i="2"/>
  <c r="R1240" i="2"/>
  <c r="S1240" i="2"/>
  <c r="T1240" i="2"/>
  <c r="Y1240" i="2"/>
  <c r="E1241" i="2"/>
  <c r="G1241" i="2"/>
  <c r="I1241" i="2"/>
  <c r="K1241" i="2"/>
  <c r="L1241" i="2"/>
  <c r="N1241" i="2"/>
  <c r="O1241" i="2"/>
  <c r="R1241" i="2"/>
  <c r="S1241" i="2"/>
  <c r="T1241" i="2"/>
  <c r="Y1241" i="2"/>
  <c r="F1242" i="2"/>
  <c r="G1242" i="2"/>
  <c r="I1242" i="2"/>
  <c r="K1242" i="2"/>
  <c r="L1242" i="2"/>
  <c r="N1242" i="2"/>
  <c r="O1242" i="2"/>
  <c r="R1242" i="2"/>
  <c r="S1242" i="2"/>
  <c r="T1242" i="2"/>
  <c r="Y1242" i="2"/>
  <c r="E1243" i="2"/>
  <c r="F1243" i="2"/>
  <c r="G1243" i="2"/>
  <c r="I1243" i="2"/>
  <c r="K1243" i="2"/>
  <c r="L1243" i="2"/>
  <c r="N1243" i="2"/>
  <c r="O1243" i="2"/>
  <c r="R1243" i="2"/>
  <c r="S1243" i="2"/>
  <c r="T1243" i="2"/>
  <c r="Y1243" i="2"/>
  <c r="G1244" i="2"/>
  <c r="I1244" i="2"/>
  <c r="K1244" i="2"/>
  <c r="L1244" i="2"/>
  <c r="N1244" i="2"/>
  <c r="O1244" i="2"/>
  <c r="R1244" i="2"/>
  <c r="S1244" i="2"/>
  <c r="T1244" i="2"/>
  <c r="Y1244" i="2"/>
  <c r="F1249" i="2"/>
  <c r="G1249" i="2"/>
  <c r="I1249" i="2"/>
  <c r="L1249" i="2"/>
  <c r="N1249" i="2"/>
  <c r="O1249" i="2"/>
  <c r="R1249" i="2"/>
  <c r="S1249" i="2"/>
  <c r="T1249" i="2"/>
  <c r="Y1249" i="2"/>
  <c r="E1250" i="2"/>
  <c r="F1250" i="2"/>
  <c r="G1250" i="2"/>
  <c r="I1250" i="2"/>
  <c r="K1250" i="2"/>
  <c r="L1250" i="2"/>
  <c r="N1250" i="2"/>
  <c r="O1250" i="2"/>
  <c r="R1250" i="2"/>
  <c r="S1250" i="2"/>
  <c r="T1250" i="2"/>
  <c r="Y1250" i="2"/>
  <c r="F1251" i="2"/>
  <c r="G1251" i="2"/>
  <c r="I1251" i="2"/>
  <c r="K1251" i="2"/>
  <c r="L1251" i="2"/>
  <c r="N1251" i="2"/>
  <c r="O1251" i="2"/>
  <c r="R1251" i="2"/>
  <c r="S1251" i="2"/>
  <c r="T1251" i="2"/>
  <c r="Y1251" i="2"/>
  <c r="F1252" i="2"/>
  <c r="G1252" i="2"/>
  <c r="I1252" i="2"/>
  <c r="K1252" i="2"/>
  <c r="L1252" i="2"/>
  <c r="N1252" i="2"/>
  <c r="O1252" i="2"/>
  <c r="R1252" i="2"/>
  <c r="S1252" i="2"/>
  <c r="T1252" i="2"/>
  <c r="Y1252" i="2"/>
  <c r="E1253" i="2"/>
  <c r="F1253" i="2"/>
  <c r="G1253" i="2"/>
  <c r="I1253" i="2"/>
  <c r="K1253" i="2"/>
  <c r="L1253" i="2"/>
  <c r="N1253" i="2"/>
  <c r="O1253" i="2"/>
  <c r="R1253" i="2"/>
  <c r="S1253" i="2"/>
  <c r="T1253" i="2"/>
  <c r="Y1253" i="2"/>
  <c r="E1254" i="2"/>
  <c r="F1254" i="2"/>
  <c r="G1254" i="2"/>
  <c r="I1254" i="2"/>
  <c r="K1254" i="2"/>
  <c r="L1254" i="2"/>
  <c r="N1254" i="2"/>
  <c r="O1254" i="2"/>
  <c r="R1254" i="2"/>
  <c r="S1254" i="2"/>
  <c r="T1254" i="2"/>
  <c r="Y1254" i="2"/>
  <c r="E1255" i="2"/>
  <c r="F1255" i="2"/>
  <c r="G1255" i="2"/>
  <c r="I1255" i="2"/>
  <c r="K1255" i="2"/>
  <c r="L1255" i="2"/>
  <c r="N1255" i="2"/>
  <c r="O1255" i="2"/>
  <c r="R1255" i="2"/>
  <c r="S1255" i="2"/>
  <c r="T1255" i="2"/>
  <c r="Y1255" i="2"/>
  <c r="G1256" i="2"/>
  <c r="I1256" i="2"/>
  <c r="K1256" i="2"/>
  <c r="L1256" i="2"/>
  <c r="N1256" i="2"/>
  <c r="O1256" i="2"/>
  <c r="R1256" i="2"/>
  <c r="S1256" i="2"/>
  <c r="T1256" i="2"/>
  <c r="Y1256" i="2"/>
  <c r="G1257" i="2"/>
  <c r="I1257" i="2"/>
  <c r="K1257" i="2"/>
  <c r="L1257" i="2"/>
  <c r="N1257" i="2"/>
  <c r="O1257" i="2"/>
  <c r="R1257" i="2"/>
  <c r="S1257" i="2"/>
  <c r="T1257" i="2"/>
  <c r="Y1257" i="2"/>
  <c r="E1258" i="2"/>
  <c r="F1258" i="2"/>
  <c r="G1258" i="2"/>
  <c r="I1258" i="2"/>
  <c r="K1258" i="2"/>
  <c r="L1258" i="2"/>
  <c r="N1258" i="2"/>
  <c r="O1258" i="2"/>
  <c r="R1258" i="2"/>
  <c r="S1258" i="2"/>
  <c r="T1258" i="2"/>
  <c r="Y1258" i="2"/>
  <c r="F1259" i="2"/>
  <c r="G1259" i="2"/>
  <c r="I1259" i="2"/>
  <c r="K1259" i="2"/>
  <c r="L1259" i="2"/>
  <c r="N1259" i="2"/>
  <c r="O1259" i="2"/>
  <c r="R1259" i="2"/>
  <c r="S1259" i="2"/>
  <c r="T1259" i="2"/>
  <c r="Y1259" i="2"/>
  <c r="E1260" i="2"/>
  <c r="F1260" i="2"/>
  <c r="G1260" i="2"/>
  <c r="I1260" i="2"/>
  <c r="K1260" i="2"/>
  <c r="L1260" i="2"/>
  <c r="N1260" i="2"/>
  <c r="O1260" i="2"/>
  <c r="R1260" i="2"/>
  <c r="S1260" i="2"/>
  <c r="T1260" i="2"/>
  <c r="Y1260" i="2"/>
  <c r="F1261" i="2"/>
  <c r="G1261" i="2"/>
  <c r="I1261" i="2"/>
  <c r="K1261" i="2"/>
  <c r="L1261" i="2"/>
  <c r="N1261" i="2"/>
  <c r="O1261" i="2"/>
  <c r="R1261" i="2"/>
  <c r="S1261" i="2"/>
  <c r="T1261" i="2"/>
  <c r="Y1261" i="2"/>
  <c r="F1262" i="2"/>
  <c r="G1262" i="2"/>
  <c r="I1262" i="2"/>
  <c r="K1262" i="2"/>
  <c r="L1262" i="2"/>
  <c r="N1262" i="2"/>
  <c r="O1262" i="2"/>
  <c r="R1262" i="2"/>
  <c r="S1262" i="2"/>
  <c r="T1262" i="2"/>
  <c r="Y1262" i="2"/>
  <c r="E1263" i="2"/>
  <c r="F1263" i="2"/>
  <c r="G1263" i="2"/>
  <c r="I1263" i="2"/>
  <c r="K1263" i="2"/>
  <c r="L1263" i="2"/>
  <c r="N1263" i="2"/>
  <c r="O1263" i="2"/>
  <c r="R1263" i="2"/>
  <c r="S1263" i="2"/>
  <c r="T1263" i="2"/>
  <c r="Y1263" i="2"/>
  <c r="F1264" i="2"/>
  <c r="G1264" i="2"/>
  <c r="I1264" i="2"/>
  <c r="K1264" i="2"/>
  <c r="L1264" i="2"/>
  <c r="N1264" i="2"/>
  <c r="O1264" i="2"/>
  <c r="R1264" i="2"/>
  <c r="S1264" i="2"/>
  <c r="T1264" i="2"/>
  <c r="Y1264" i="2"/>
  <c r="E1265" i="2"/>
  <c r="F1265" i="2"/>
  <c r="G1265" i="2"/>
  <c r="I1265" i="2"/>
  <c r="K1265" i="2"/>
  <c r="L1265" i="2"/>
  <c r="N1265" i="2"/>
  <c r="O1265" i="2"/>
  <c r="R1265" i="2"/>
  <c r="S1265" i="2"/>
  <c r="T1265" i="2"/>
  <c r="Y1265" i="2"/>
  <c r="F1266" i="2"/>
  <c r="G1266" i="2"/>
  <c r="I1266" i="2"/>
  <c r="K1266" i="2"/>
  <c r="L1266" i="2"/>
  <c r="N1266" i="2"/>
  <c r="O1266" i="2"/>
  <c r="R1266" i="2"/>
  <c r="S1266" i="2"/>
  <c r="T1266" i="2"/>
  <c r="Y1266" i="2"/>
  <c r="E1267" i="2"/>
  <c r="F1267" i="2"/>
  <c r="G1267" i="2"/>
  <c r="I1267" i="2"/>
  <c r="J1267" i="2"/>
  <c r="K1267" i="2"/>
  <c r="L1267" i="2"/>
  <c r="N1267" i="2"/>
  <c r="O1267" i="2"/>
  <c r="Q1267" i="2"/>
  <c r="R1267" i="2"/>
  <c r="S1267" i="2"/>
  <c r="T1267" i="2"/>
  <c r="V1267" i="2"/>
  <c r="W1267" i="2"/>
  <c r="Y1267" i="2"/>
  <c r="E1268" i="2"/>
  <c r="F1268" i="2"/>
  <c r="G1268" i="2"/>
  <c r="I1268" i="2"/>
  <c r="K1268" i="2"/>
  <c r="L1268" i="2"/>
  <c r="N1268" i="2"/>
  <c r="O1268" i="2"/>
  <c r="R1268" i="2"/>
  <c r="S1268" i="2"/>
  <c r="T1268" i="2"/>
  <c r="Y1268" i="2"/>
  <c r="E1269" i="2"/>
  <c r="F1269" i="2"/>
  <c r="G1269" i="2"/>
  <c r="I1269" i="2"/>
  <c r="K1269" i="2"/>
  <c r="L1269" i="2"/>
  <c r="N1269" i="2"/>
  <c r="O1269" i="2"/>
  <c r="R1269" i="2"/>
  <c r="S1269" i="2"/>
  <c r="T1269" i="2"/>
  <c r="Y1269" i="2"/>
  <c r="E1270" i="2"/>
  <c r="F1270" i="2"/>
  <c r="G1270" i="2"/>
  <c r="I1270" i="2"/>
  <c r="K1270" i="2"/>
  <c r="L1270" i="2"/>
  <c r="N1270" i="2"/>
  <c r="O1270" i="2"/>
  <c r="R1270" i="2"/>
  <c r="S1270" i="2"/>
  <c r="T1270" i="2"/>
  <c r="Y1270" i="2"/>
  <c r="E1271" i="2"/>
  <c r="F1271" i="2"/>
  <c r="G1271" i="2"/>
  <c r="I1271" i="2"/>
  <c r="K1271" i="2"/>
  <c r="L1271" i="2"/>
  <c r="N1271" i="2"/>
  <c r="O1271" i="2"/>
  <c r="R1271" i="2"/>
  <c r="S1271" i="2"/>
  <c r="T1271" i="2"/>
  <c r="Y1271" i="2"/>
  <c r="F1272" i="2"/>
  <c r="G1272" i="2"/>
  <c r="I1272" i="2"/>
  <c r="K1272" i="2"/>
  <c r="L1272" i="2"/>
  <c r="N1272" i="2"/>
  <c r="O1272" i="2"/>
  <c r="R1272" i="2"/>
  <c r="S1272" i="2"/>
  <c r="T1272" i="2"/>
  <c r="Y1272" i="2"/>
  <c r="F1277" i="2"/>
  <c r="G1277" i="2"/>
  <c r="I1277" i="2"/>
  <c r="K1277" i="2"/>
  <c r="L1277" i="2"/>
  <c r="N1277" i="2"/>
  <c r="O1277" i="2"/>
  <c r="R1277" i="2"/>
  <c r="S1277" i="2"/>
  <c r="T1277" i="2"/>
  <c r="Y1277" i="2"/>
  <c r="F1278" i="2"/>
  <c r="G1278" i="2"/>
  <c r="I1278" i="2"/>
  <c r="L1278" i="2"/>
  <c r="N1278" i="2"/>
  <c r="O1278" i="2"/>
  <c r="R1278" i="2"/>
  <c r="S1278" i="2"/>
  <c r="T1278" i="2"/>
  <c r="Y1278" i="2"/>
  <c r="F1279" i="2"/>
  <c r="G1279" i="2"/>
  <c r="I1279" i="2"/>
  <c r="L1279" i="2"/>
  <c r="N1279" i="2"/>
  <c r="O1279" i="2"/>
  <c r="R1279" i="2"/>
  <c r="S1279" i="2"/>
  <c r="T1279" i="2"/>
  <c r="Y1279" i="2"/>
  <c r="F1280" i="2"/>
  <c r="G1280" i="2"/>
  <c r="I1280" i="2"/>
  <c r="K1280" i="2"/>
  <c r="L1280" i="2"/>
  <c r="N1280" i="2"/>
  <c r="O1280" i="2"/>
  <c r="R1280" i="2"/>
  <c r="S1280" i="2"/>
  <c r="T1280" i="2"/>
  <c r="Y1280" i="2"/>
  <c r="E1281" i="2"/>
  <c r="F1281" i="2"/>
  <c r="G1281" i="2"/>
  <c r="I1281" i="2"/>
  <c r="K1281" i="2"/>
  <c r="L1281" i="2"/>
  <c r="N1281" i="2"/>
  <c r="O1281" i="2"/>
  <c r="R1281" i="2"/>
  <c r="S1281" i="2"/>
  <c r="T1281" i="2"/>
  <c r="Y1281" i="2"/>
  <c r="E1282" i="2"/>
  <c r="F1282" i="2"/>
  <c r="G1282" i="2"/>
  <c r="I1282" i="2"/>
  <c r="K1282" i="2"/>
  <c r="L1282" i="2"/>
  <c r="N1282" i="2"/>
  <c r="O1282" i="2"/>
  <c r="R1282" i="2"/>
  <c r="S1282" i="2"/>
  <c r="T1282" i="2"/>
  <c r="Y1282" i="2"/>
  <c r="F1283" i="2"/>
  <c r="G1283" i="2"/>
  <c r="I1283" i="2"/>
  <c r="K1283" i="2"/>
  <c r="L1283" i="2"/>
  <c r="N1283" i="2"/>
  <c r="O1283" i="2"/>
  <c r="R1283" i="2"/>
  <c r="S1283" i="2"/>
  <c r="T1283" i="2"/>
  <c r="Y1283" i="2"/>
  <c r="F1284" i="2"/>
  <c r="G1284" i="2"/>
  <c r="I1284" i="2"/>
  <c r="K1284" i="2"/>
  <c r="L1284" i="2"/>
  <c r="N1284" i="2"/>
  <c r="O1284" i="2"/>
  <c r="R1284" i="2"/>
  <c r="S1284" i="2"/>
  <c r="T1284" i="2"/>
  <c r="Y1284" i="2"/>
  <c r="E1285" i="2"/>
  <c r="F1285" i="2"/>
  <c r="G1285" i="2"/>
  <c r="I1285" i="2"/>
  <c r="K1285" i="2"/>
  <c r="L1285" i="2"/>
  <c r="N1285" i="2"/>
  <c r="O1285" i="2"/>
  <c r="R1285" i="2"/>
  <c r="S1285" i="2"/>
  <c r="T1285" i="2"/>
  <c r="Y1285" i="2"/>
  <c r="E1286" i="2"/>
  <c r="F1286" i="2"/>
  <c r="G1286" i="2"/>
  <c r="I1286" i="2"/>
  <c r="K1286" i="2"/>
  <c r="L1286" i="2"/>
  <c r="N1286" i="2"/>
  <c r="O1286" i="2"/>
  <c r="R1286" i="2"/>
  <c r="S1286" i="2"/>
  <c r="T1286" i="2"/>
  <c r="Y1286" i="2"/>
  <c r="E1287" i="2"/>
  <c r="F1287" i="2"/>
  <c r="G1287" i="2"/>
  <c r="I1287" i="2"/>
  <c r="K1287" i="2"/>
  <c r="L1287" i="2"/>
  <c r="N1287" i="2"/>
  <c r="O1287" i="2"/>
  <c r="R1287" i="2"/>
  <c r="S1287" i="2"/>
  <c r="T1287" i="2"/>
  <c r="Y1287" i="2"/>
  <c r="F1288" i="2"/>
  <c r="G1288" i="2"/>
  <c r="I1288" i="2"/>
  <c r="K1288" i="2"/>
  <c r="L1288" i="2"/>
  <c r="N1288" i="2"/>
  <c r="O1288" i="2"/>
  <c r="R1288" i="2"/>
  <c r="S1288" i="2"/>
  <c r="T1288" i="2"/>
  <c r="Y1288" i="2"/>
  <c r="E1289" i="2"/>
  <c r="F1289" i="2"/>
  <c r="G1289" i="2"/>
  <c r="I1289" i="2"/>
  <c r="K1289" i="2"/>
  <c r="L1289" i="2"/>
  <c r="N1289" i="2"/>
  <c r="O1289" i="2"/>
  <c r="R1289" i="2"/>
  <c r="S1289" i="2"/>
  <c r="T1289" i="2"/>
  <c r="Y1289" i="2"/>
  <c r="E1290" i="2"/>
  <c r="F1290" i="2"/>
  <c r="G1290" i="2"/>
  <c r="I1290" i="2"/>
  <c r="K1290" i="2"/>
  <c r="L1290" i="2"/>
  <c r="N1290" i="2"/>
  <c r="O1290" i="2"/>
  <c r="R1290" i="2"/>
  <c r="S1290" i="2"/>
  <c r="T1290" i="2"/>
  <c r="Y1290" i="2"/>
  <c r="F1291" i="2"/>
  <c r="G1291" i="2"/>
  <c r="I1291" i="2"/>
  <c r="K1291" i="2"/>
  <c r="L1291" i="2"/>
  <c r="N1291" i="2"/>
  <c r="O1291" i="2"/>
  <c r="R1291" i="2"/>
  <c r="S1291" i="2"/>
  <c r="T1291" i="2"/>
  <c r="Y1291" i="2"/>
  <c r="G1292" i="2"/>
  <c r="I1292" i="2"/>
  <c r="K1292" i="2"/>
  <c r="L1292" i="2"/>
  <c r="N1292" i="2"/>
  <c r="O1292" i="2"/>
  <c r="R1292" i="2"/>
  <c r="S1292" i="2"/>
  <c r="T1292" i="2"/>
  <c r="Y1292" i="2"/>
  <c r="E1293" i="2"/>
  <c r="F1293" i="2"/>
  <c r="G1293" i="2"/>
  <c r="I1293" i="2"/>
  <c r="K1293" i="2"/>
  <c r="L1293" i="2"/>
  <c r="N1293" i="2"/>
  <c r="O1293" i="2"/>
  <c r="R1293" i="2"/>
  <c r="S1293" i="2"/>
  <c r="T1293" i="2"/>
  <c r="Y1293" i="2"/>
  <c r="G1294" i="2"/>
  <c r="I1294" i="2"/>
  <c r="K1294" i="2"/>
  <c r="L1294" i="2"/>
  <c r="N1294" i="2"/>
  <c r="O1294" i="2"/>
  <c r="R1294" i="2"/>
  <c r="S1294" i="2"/>
  <c r="T1294" i="2"/>
  <c r="Y1294" i="2"/>
  <c r="G1295" i="2"/>
  <c r="I1295" i="2"/>
  <c r="K1295" i="2"/>
  <c r="L1295" i="2"/>
  <c r="N1295" i="2"/>
  <c r="O1295" i="2"/>
  <c r="R1295" i="2"/>
  <c r="S1295" i="2"/>
  <c r="T1295" i="2"/>
  <c r="Y1295" i="2"/>
  <c r="E1296" i="2"/>
  <c r="F1296" i="2"/>
  <c r="G1296" i="2"/>
  <c r="I1296" i="2"/>
  <c r="K1296" i="2"/>
  <c r="L1296" i="2"/>
  <c r="N1296" i="2"/>
  <c r="O1296" i="2"/>
  <c r="Q1296" i="2"/>
  <c r="R1296" i="2"/>
  <c r="S1296" i="2"/>
  <c r="T1296" i="2"/>
  <c r="W1296" i="2"/>
  <c r="Y1296" i="2"/>
  <c r="G1297" i="2"/>
  <c r="I1297" i="2"/>
  <c r="K1297" i="2"/>
  <c r="L1297" i="2"/>
  <c r="N1297" i="2"/>
  <c r="O1297" i="2"/>
  <c r="R1297" i="2"/>
  <c r="S1297" i="2"/>
  <c r="T1297" i="2"/>
  <c r="Y1297" i="2"/>
  <c r="E1298" i="2"/>
  <c r="F1298" i="2"/>
  <c r="G1298" i="2"/>
  <c r="I1298" i="2"/>
  <c r="K1298" i="2"/>
  <c r="L1298" i="2"/>
  <c r="N1298" i="2"/>
  <c r="O1298" i="2"/>
  <c r="R1298" i="2"/>
  <c r="S1298" i="2"/>
  <c r="T1298" i="2"/>
  <c r="Y1298" i="2"/>
  <c r="E1299" i="2"/>
  <c r="F1299" i="2"/>
  <c r="G1299" i="2"/>
  <c r="I1299" i="2"/>
  <c r="K1299" i="2"/>
  <c r="L1299" i="2"/>
  <c r="N1299" i="2"/>
  <c r="O1299" i="2"/>
  <c r="R1299" i="2"/>
  <c r="S1299" i="2"/>
  <c r="T1299" i="2"/>
  <c r="Y1299" i="2"/>
  <c r="E1300" i="2"/>
  <c r="F1300" i="2"/>
  <c r="G1300" i="2"/>
  <c r="I1300" i="2"/>
  <c r="K1300" i="2"/>
  <c r="L1300" i="2"/>
  <c r="N1300" i="2"/>
  <c r="O1300" i="2"/>
  <c r="R1300" i="2"/>
  <c r="S1300" i="2"/>
  <c r="T1300" i="2"/>
  <c r="Y1300" i="2"/>
  <c r="E1301" i="2"/>
  <c r="F1301" i="2"/>
  <c r="G1301" i="2"/>
  <c r="I1301" i="2"/>
  <c r="K1301" i="2"/>
  <c r="L1301" i="2"/>
  <c r="N1301" i="2"/>
  <c r="O1301" i="2"/>
  <c r="R1301" i="2"/>
  <c r="S1301" i="2"/>
  <c r="T1301" i="2"/>
  <c r="Y1301" i="2"/>
  <c r="E1302" i="2"/>
  <c r="F1302" i="2"/>
  <c r="G1302" i="2"/>
  <c r="I1302" i="2"/>
  <c r="K1302" i="2"/>
  <c r="L1302" i="2"/>
  <c r="N1302" i="2"/>
  <c r="O1302" i="2"/>
  <c r="R1302" i="2"/>
  <c r="S1302" i="2"/>
  <c r="T1302" i="2"/>
  <c r="Y1302" i="2"/>
  <c r="E1303" i="2"/>
  <c r="F1303" i="2"/>
  <c r="G1303" i="2"/>
  <c r="I1303" i="2"/>
  <c r="K1303" i="2"/>
  <c r="L1303" i="2"/>
  <c r="N1303" i="2"/>
  <c r="O1303" i="2"/>
  <c r="R1303" i="2"/>
  <c r="S1303" i="2"/>
  <c r="T1303" i="2"/>
  <c r="Y1303" i="2"/>
  <c r="F1304" i="2"/>
  <c r="G1304" i="2"/>
  <c r="I1304" i="2"/>
  <c r="K1304" i="2"/>
  <c r="L1304" i="2"/>
  <c r="N1304" i="2"/>
  <c r="O1304" i="2"/>
  <c r="R1304" i="2"/>
  <c r="S1304" i="2"/>
  <c r="T1304" i="2"/>
  <c r="Y1304" i="2"/>
  <c r="F1309" i="2"/>
  <c r="G1309" i="2"/>
  <c r="I1309" i="2"/>
  <c r="K1309" i="2"/>
  <c r="L1309" i="2"/>
  <c r="N1309" i="2"/>
  <c r="O1309" i="2"/>
  <c r="R1309" i="2"/>
  <c r="S1309" i="2"/>
  <c r="T1309" i="2"/>
  <c r="Y1309" i="2"/>
  <c r="G1310" i="2"/>
  <c r="I1310" i="2"/>
  <c r="L1310" i="2"/>
  <c r="N1310" i="2"/>
  <c r="O1310" i="2"/>
  <c r="R1310" i="2"/>
  <c r="S1310" i="2"/>
  <c r="T1310" i="2"/>
  <c r="Y1310" i="2"/>
  <c r="F1311" i="2"/>
  <c r="G1311" i="2"/>
  <c r="I1311" i="2"/>
  <c r="L1311" i="2"/>
  <c r="N1311" i="2"/>
  <c r="O1311" i="2"/>
  <c r="R1311" i="2"/>
  <c r="S1311" i="2"/>
  <c r="T1311" i="2"/>
  <c r="Y1311" i="2"/>
  <c r="F1312" i="2"/>
  <c r="G1312" i="2"/>
  <c r="I1312" i="2"/>
  <c r="K1312" i="2"/>
  <c r="L1312" i="2"/>
  <c r="N1312" i="2"/>
  <c r="O1312" i="2"/>
  <c r="R1312" i="2"/>
  <c r="S1312" i="2"/>
  <c r="T1312" i="2"/>
  <c r="Y1312" i="2"/>
  <c r="E1313" i="2"/>
  <c r="F1313" i="2"/>
  <c r="G1313" i="2"/>
  <c r="I1313" i="2"/>
  <c r="K1313" i="2"/>
  <c r="L1313" i="2"/>
  <c r="N1313" i="2"/>
  <c r="O1313" i="2"/>
  <c r="R1313" i="2"/>
  <c r="S1313" i="2"/>
  <c r="T1313" i="2"/>
  <c r="Y1313" i="2"/>
  <c r="E1314" i="2"/>
  <c r="F1314" i="2"/>
  <c r="G1314" i="2"/>
  <c r="I1314" i="2"/>
  <c r="K1314" i="2"/>
  <c r="L1314" i="2"/>
  <c r="N1314" i="2"/>
  <c r="O1314" i="2"/>
  <c r="R1314" i="2"/>
  <c r="S1314" i="2"/>
  <c r="T1314" i="2"/>
  <c r="Y1314" i="2"/>
  <c r="E1315" i="2"/>
  <c r="F1315" i="2"/>
  <c r="G1315" i="2"/>
  <c r="I1315" i="2"/>
  <c r="K1315" i="2"/>
  <c r="L1315" i="2"/>
  <c r="N1315" i="2"/>
  <c r="O1315" i="2"/>
  <c r="R1315" i="2"/>
  <c r="S1315" i="2"/>
  <c r="T1315" i="2"/>
  <c r="Y1315" i="2"/>
  <c r="E1316" i="2"/>
  <c r="F1316" i="2"/>
  <c r="G1316" i="2"/>
  <c r="I1316" i="2"/>
  <c r="K1316" i="2"/>
  <c r="L1316" i="2"/>
  <c r="N1316" i="2"/>
  <c r="O1316" i="2"/>
  <c r="R1316" i="2"/>
  <c r="S1316" i="2"/>
  <c r="T1316" i="2"/>
  <c r="Y1316" i="2"/>
  <c r="E1317" i="2"/>
  <c r="F1317" i="2"/>
  <c r="G1317" i="2"/>
  <c r="I1317" i="2"/>
  <c r="K1317" i="2"/>
  <c r="L1317" i="2"/>
  <c r="N1317" i="2"/>
  <c r="O1317" i="2"/>
  <c r="R1317" i="2"/>
  <c r="S1317" i="2"/>
  <c r="T1317" i="2"/>
  <c r="Y1317" i="2"/>
  <c r="E1318" i="2"/>
  <c r="F1318" i="2"/>
  <c r="G1318" i="2"/>
  <c r="I1318" i="2"/>
  <c r="K1318" i="2"/>
  <c r="L1318" i="2"/>
  <c r="N1318" i="2"/>
  <c r="O1318" i="2"/>
  <c r="R1318" i="2"/>
  <c r="S1318" i="2"/>
  <c r="T1318" i="2"/>
  <c r="Y1318" i="2"/>
  <c r="F1319" i="2"/>
  <c r="G1319" i="2"/>
  <c r="I1319" i="2"/>
  <c r="K1319" i="2"/>
  <c r="L1319" i="2"/>
  <c r="N1319" i="2"/>
  <c r="O1319" i="2"/>
  <c r="R1319" i="2"/>
  <c r="S1319" i="2"/>
  <c r="T1319" i="2"/>
  <c r="Y1319" i="2"/>
  <c r="G1320" i="2"/>
  <c r="I1320" i="2"/>
  <c r="K1320" i="2"/>
  <c r="L1320" i="2"/>
  <c r="N1320" i="2"/>
  <c r="O1320" i="2"/>
  <c r="R1320" i="2"/>
  <c r="S1320" i="2"/>
  <c r="T1320" i="2"/>
  <c r="Y1320" i="2"/>
  <c r="F1321" i="2"/>
  <c r="G1321" i="2"/>
  <c r="I1321" i="2"/>
  <c r="K1321" i="2"/>
  <c r="L1321" i="2"/>
  <c r="N1321" i="2"/>
  <c r="O1321" i="2"/>
  <c r="R1321" i="2"/>
  <c r="S1321" i="2"/>
  <c r="T1321" i="2"/>
  <c r="Y1321" i="2"/>
  <c r="G1322" i="2"/>
  <c r="I1322" i="2"/>
  <c r="K1322" i="2"/>
  <c r="L1322" i="2"/>
  <c r="N1322" i="2"/>
  <c r="O1322" i="2"/>
  <c r="R1322" i="2"/>
  <c r="S1322" i="2"/>
  <c r="T1322" i="2"/>
  <c r="Y1322" i="2"/>
  <c r="G1323" i="2"/>
  <c r="I1323" i="2"/>
  <c r="K1323" i="2"/>
  <c r="L1323" i="2"/>
  <c r="N1323" i="2"/>
  <c r="O1323" i="2"/>
  <c r="R1323" i="2"/>
  <c r="S1323" i="2"/>
  <c r="T1323" i="2"/>
  <c r="Y1323" i="2"/>
  <c r="E1324" i="2"/>
  <c r="F1324" i="2"/>
  <c r="G1324" i="2"/>
  <c r="I1324" i="2"/>
  <c r="K1324" i="2"/>
  <c r="L1324" i="2"/>
  <c r="N1324" i="2"/>
  <c r="O1324" i="2"/>
  <c r="R1324" i="2"/>
  <c r="S1324" i="2"/>
  <c r="T1324" i="2"/>
  <c r="Y1324" i="2"/>
  <c r="E1325" i="2"/>
  <c r="F1325" i="2"/>
  <c r="G1325" i="2"/>
  <c r="I1325" i="2"/>
  <c r="K1325" i="2"/>
  <c r="L1325" i="2"/>
  <c r="N1325" i="2"/>
  <c r="O1325" i="2"/>
  <c r="R1325" i="2"/>
  <c r="S1325" i="2"/>
  <c r="T1325" i="2"/>
  <c r="Y1325" i="2"/>
  <c r="E1326" i="2"/>
  <c r="F1326" i="2"/>
  <c r="G1326" i="2"/>
  <c r="I1326" i="2"/>
  <c r="K1326" i="2"/>
  <c r="L1326" i="2"/>
  <c r="N1326" i="2"/>
  <c r="O1326" i="2"/>
  <c r="P1326" i="2"/>
  <c r="Q1326" i="2"/>
  <c r="R1326" i="2"/>
  <c r="S1326" i="2"/>
  <c r="T1326" i="2"/>
  <c r="Y1326" i="2"/>
  <c r="E1327" i="2"/>
  <c r="F1327" i="2"/>
  <c r="G1327" i="2"/>
  <c r="I1327" i="2"/>
  <c r="K1327" i="2"/>
  <c r="L1327" i="2"/>
  <c r="N1327" i="2"/>
  <c r="O1327" i="2"/>
  <c r="R1327" i="2"/>
  <c r="S1327" i="2"/>
  <c r="T1327" i="2"/>
  <c r="Y1327" i="2"/>
  <c r="E1328" i="2"/>
  <c r="F1328" i="2"/>
  <c r="G1328" i="2"/>
  <c r="I1328" i="2"/>
  <c r="K1328" i="2"/>
  <c r="L1328" i="2"/>
  <c r="N1328" i="2"/>
  <c r="O1328" i="2"/>
  <c r="R1328" i="2"/>
  <c r="S1328" i="2"/>
  <c r="T1328" i="2"/>
  <c r="Y1328" i="2"/>
  <c r="F1329" i="2"/>
  <c r="G1329" i="2"/>
  <c r="I1329" i="2"/>
  <c r="K1329" i="2"/>
  <c r="L1329" i="2"/>
  <c r="N1329" i="2"/>
  <c r="O1329" i="2"/>
  <c r="R1329" i="2"/>
  <c r="S1329" i="2"/>
  <c r="T1329" i="2"/>
  <c r="Y1329" i="2"/>
  <c r="G1330" i="2"/>
  <c r="K1330" i="2"/>
  <c r="L1330" i="2"/>
  <c r="N1330" i="2"/>
  <c r="O1330" i="2"/>
  <c r="R1330" i="2"/>
  <c r="S1330" i="2"/>
  <c r="T1330" i="2"/>
  <c r="Y1330" i="2"/>
  <c r="F1335" i="2"/>
  <c r="G1335" i="2"/>
  <c r="I1335" i="2"/>
  <c r="K1335" i="2"/>
  <c r="L1335" i="2"/>
  <c r="N1335" i="2"/>
  <c r="O1335" i="2"/>
  <c r="R1335" i="2"/>
  <c r="S1335" i="2"/>
  <c r="T1335" i="2"/>
  <c r="Y1335" i="2"/>
  <c r="F1336" i="2"/>
  <c r="G1336" i="2"/>
  <c r="I1336" i="2"/>
  <c r="K1336" i="2"/>
  <c r="L1336" i="2"/>
  <c r="N1336" i="2"/>
  <c r="O1336" i="2"/>
  <c r="R1336" i="2"/>
  <c r="S1336" i="2"/>
  <c r="T1336" i="2"/>
  <c r="Y1336" i="2"/>
  <c r="F1337" i="2"/>
  <c r="G1337" i="2"/>
  <c r="I1337" i="2"/>
  <c r="L1337" i="2"/>
  <c r="N1337" i="2"/>
  <c r="O1337" i="2"/>
  <c r="R1337" i="2"/>
  <c r="S1337" i="2"/>
  <c r="T1337" i="2"/>
  <c r="Y1337" i="2"/>
  <c r="F1338" i="2"/>
  <c r="G1338" i="2"/>
  <c r="I1338" i="2"/>
  <c r="K1338" i="2"/>
  <c r="L1338" i="2"/>
  <c r="N1338" i="2"/>
  <c r="O1338" i="2"/>
  <c r="R1338" i="2"/>
  <c r="S1338" i="2"/>
  <c r="T1338" i="2"/>
  <c r="Y1338" i="2"/>
  <c r="E1339" i="2"/>
  <c r="F1339" i="2"/>
  <c r="G1339" i="2"/>
  <c r="I1339" i="2"/>
  <c r="K1339" i="2"/>
  <c r="L1339" i="2"/>
  <c r="N1339" i="2"/>
  <c r="O1339" i="2"/>
  <c r="R1339" i="2"/>
  <c r="S1339" i="2"/>
  <c r="T1339" i="2"/>
  <c r="Y1339" i="2"/>
  <c r="E1340" i="2"/>
  <c r="F1340" i="2"/>
  <c r="G1340" i="2"/>
  <c r="I1340" i="2"/>
  <c r="K1340" i="2"/>
  <c r="L1340" i="2"/>
  <c r="N1340" i="2"/>
  <c r="O1340" i="2"/>
  <c r="R1340" i="2"/>
  <c r="S1340" i="2"/>
  <c r="T1340" i="2"/>
  <c r="Y1340" i="2"/>
  <c r="E1341" i="2"/>
  <c r="F1341" i="2"/>
  <c r="G1341" i="2"/>
  <c r="I1341" i="2"/>
  <c r="K1341" i="2"/>
  <c r="L1341" i="2"/>
  <c r="N1341" i="2"/>
  <c r="O1341" i="2"/>
  <c r="R1341" i="2"/>
  <c r="S1341" i="2"/>
  <c r="T1341" i="2"/>
  <c r="Y1341" i="2"/>
  <c r="E1342" i="2"/>
  <c r="G1342" i="2"/>
  <c r="I1342" i="2"/>
  <c r="K1342" i="2"/>
  <c r="L1342" i="2"/>
  <c r="N1342" i="2"/>
  <c r="O1342" i="2"/>
  <c r="R1342" i="2"/>
  <c r="S1342" i="2"/>
  <c r="T1342" i="2"/>
  <c r="Y1342" i="2"/>
  <c r="E1343" i="2"/>
  <c r="F1343" i="2"/>
  <c r="G1343" i="2"/>
  <c r="I1343" i="2"/>
  <c r="K1343" i="2"/>
  <c r="L1343" i="2"/>
  <c r="N1343" i="2"/>
  <c r="O1343" i="2"/>
  <c r="R1343" i="2"/>
  <c r="S1343" i="2"/>
  <c r="T1343" i="2"/>
  <c r="Y1343" i="2"/>
  <c r="G1344" i="2"/>
  <c r="I1344" i="2"/>
  <c r="K1344" i="2"/>
  <c r="L1344" i="2"/>
  <c r="N1344" i="2"/>
  <c r="O1344" i="2"/>
  <c r="R1344" i="2"/>
  <c r="S1344" i="2"/>
  <c r="T1344" i="2"/>
  <c r="Y1344" i="2"/>
  <c r="F1345" i="2"/>
  <c r="G1345" i="2"/>
  <c r="I1345" i="2"/>
  <c r="K1345" i="2"/>
  <c r="L1345" i="2"/>
  <c r="N1345" i="2"/>
  <c r="O1345" i="2"/>
  <c r="R1345" i="2"/>
  <c r="S1345" i="2"/>
  <c r="T1345" i="2"/>
  <c r="Y1345" i="2"/>
  <c r="E1346" i="2"/>
  <c r="F1346" i="2"/>
  <c r="G1346" i="2"/>
  <c r="I1346" i="2"/>
  <c r="K1346" i="2"/>
  <c r="L1346" i="2"/>
  <c r="N1346" i="2"/>
  <c r="O1346" i="2"/>
  <c r="R1346" i="2"/>
  <c r="S1346" i="2"/>
  <c r="T1346" i="2"/>
  <c r="Y1346" i="2"/>
  <c r="G1347" i="2"/>
  <c r="I1347" i="2"/>
  <c r="K1347" i="2"/>
  <c r="L1347" i="2"/>
  <c r="N1347" i="2"/>
  <c r="O1347" i="2"/>
  <c r="R1347" i="2"/>
  <c r="S1347" i="2"/>
  <c r="T1347" i="2"/>
  <c r="Y1347" i="2"/>
  <c r="E1348" i="2"/>
  <c r="F1348" i="2"/>
  <c r="G1348" i="2"/>
  <c r="I1348" i="2"/>
  <c r="K1348" i="2"/>
  <c r="L1348" i="2"/>
  <c r="N1348" i="2"/>
  <c r="O1348" i="2"/>
  <c r="R1348" i="2"/>
  <c r="S1348" i="2"/>
  <c r="T1348" i="2"/>
  <c r="Y1348" i="2"/>
  <c r="E1349" i="2"/>
  <c r="F1349" i="2"/>
  <c r="G1349" i="2"/>
  <c r="I1349" i="2"/>
  <c r="K1349" i="2"/>
  <c r="L1349" i="2"/>
  <c r="N1349" i="2"/>
  <c r="O1349" i="2"/>
  <c r="R1349" i="2"/>
  <c r="S1349" i="2"/>
  <c r="T1349" i="2"/>
  <c r="Y1349" i="2"/>
  <c r="E1350" i="2"/>
  <c r="F1350" i="2"/>
  <c r="G1350" i="2"/>
  <c r="I1350" i="2"/>
  <c r="K1350" i="2"/>
  <c r="L1350" i="2"/>
  <c r="N1350" i="2"/>
  <c r="O1350" i="2"/>
  <c r="R1350" i="2"/>
  <c r="S1350" i="2"/>
  <c r="T1350" i="2"/>
  <c r="Y1350" i="2"/>
  <c r="G1351" i="2"/>
  <c r="I1351" i="2"/>
  <c r="K1351" i="2"/>
  <c r="L1351" i="2"/>
  <c r="N1351" i="2"/>
  <c r="O1351" i="2"/>
  <c r="R1351" i="2"/>
  <c r="S1351" i="2"/>
  <c r="T1351" i="2"/>
  <c r="Y1351" i="2"/>
  <c r="E1352" i="2"/>
  <c r="F1352" i="2"/>
  <c r="G1352" i="2"/>
  <c r="I1352" i="2"/>
  <c r="K1352" i="2"/>
  <c r="L1352" i="2"/>
  <c r="N1352" i="2"/>
  <c r="O1352" i="2"/>
  <c r="R1352" i="2"/>
  <c r="S1352" i="2"/>
  <c r="T1352" i="2"/>
  <c r="Y1352" i="2"/>
  <c r="G1353" i="2"/>
  <c r="I1353" i="2"/>
  <c r="K1353" i="2"/>
  <c r="L1353" i="2"/>
  <c r="N1353" i="2"/>
  <c r="O1353" i="2"/>
  <c r="R1353" i="2"/>
  <c r="S1353" i="2"/>
  <c r="T1353" i="2"/>
  <c r="Y1353" i="2"/>
  <c r="E1354" i="2"/>
  <c r="F1354" i="2"/>
  <c r="G1354" i="2"/>
  <c r="I1354" i="2"/>
  <c r="K1354" i="2"/>
  <c r="L1354" i="2"/>
  <c r="N1354" i="2"/>
  <c r="O1354" i="2"/>
  <c r="R1354" i="2"/>
  <c r="S1354" i="2"/>
  <c r="T1354" i="2"/>
  <c r="Y1354" i="2"/>
  <c r="G1355" i="2"/>
  <c r="I1355" i="2"/>
  <c r="K1355" i="2"/>
  <c r="L1355" i="2"/>
  <c r="N1355" i="2"/>
  <c r="O1355" i="2"/>
  <c r="R1355" i="2"/>
  <c r="S1355" i="2"/>
  <c r="T1355" i="2"/>
  <c r="Y1355" i="2"/>
  <c r="E1356" i="2"/>
  <c r="F1356" i="2"/>
  <c r="G1356" i="2"/>
  <c r="I1356" i="2"/>
  <c r="K1356" i="2"/>
  <c r="L1356" i="2"/>
  <c r="N1356" i="2"/>
  <c r="O1356" i="2"/>
  <c r="R1356" i="2"/>
  <c r="S1356" i="2"/>
  <c r="T1356" i="2"/>
  <c r="Y1356" i="2"/>
  <c r="G1357" i="2"/>
  <c r="I1357" i="2"/>
  <c r="J1357" i="2"/>
  <c r="K1357" i="2"/>
  <c r="L1357" i="2"/>
  <c r="N1357" i="2"/>
  <c r="O1357" i="2"/>
  <c r="Q1357" i="2"/>
  <c r="R1357" i="2"/>
  <c r="S1357" i="2"/>
  <c r="T1357" i="2"/>
  <c r="Y1357" i="2"/>
  <c r="E1358" i="2"/>
  <c r="F1358" i="2"/>
  <c r="G1358" i="2"/>
  <c r="I1358" i="2"/>
  <c r="K1358" i="2"/>
  <c r="L1358" i="2"/>
  <c r="N1358" i="2"/>
  <c r="O1358" i="2"/>
  <c r="R1358" i="2"/>
  <c r="S1358" i="2"/>
  <c r="T1358" i="2"/>
  <c r="Y1358" i="2"/>
  <c r="F1359" i="2"/>
  <c r="G1359" i="2"/>
  <c r="I1359" i="2"/>
  <c r="K1359" i="2"/>
  <c r="L1359" i="2"/>
  <c r="N1359" i="2"/>
  <c r="O1359" i="2"/>
  <c r="R1359" i="2"/>
  <c r="S1359" i="2"/>
  <c r="T1359" i="2"/>
  <c r="Y1359" i="2"/>
  <c r="G1360" i="2"/>
  <c r="I1360" i="2"/>
  <c r="K1360" i="2"/>
  <c r="L1360" i="2"/>
  <c r="N1360" i="2"/>
  <c r="O1360" i="2"/>
  <c r="R1360" i="2"/>
  <c r="S1360" i="2"/>
  <c r="T1360" i="2"/>
  <c r="Y1360" i="2"/>
  <c r="F1365" i="2"/>
  <c r="G1365" i="2"/>
  <c r="I1365" i="2"/>
  <c r="K1365" i="2"/>
  <c r="L1365" i="2"/>
  <c r="N1365" i="2"/>
  <c r="O1365" i="2"/>
  <c r="R1365" i="2"/>
  <c r="S1365" i="2"/>
  <c r="T1365" i="2"/>
  <c r="Y1365" i="2"/>
  <c r="E1366" i="2"/>
  <c r="F1366" i="2"/>
  <c r="G1366" i="2"/>
  <c r="I1366" i="2"/>
  <c r="K1366" i="2"/>
  <c r="L1366" i="2"/>
  <c r="N1366" i="2"/>
  <c r="O1366" i="2"/>
  <c r="R1366" i="2"/>
  <c r="S1366" i="2"/>
  <c r="T1366" i="2"/>
  <c r="Y1366" i="2"/>
  <c r="F1367" i="2"/>
  <c r="G1367" i="2"/>
  <c r="I1367" i="2"/>
  <c r="K1367" i="2"/>
  <c r="L1367" i="2"/>
  <c r="N1367" i="2"/>
  <c r="O1367" i="2"/>
  <c r="R1367" i="2"/>
  <c r="S1367" i="2"/>
  <c r="T1367" i="2"/>
  <c r="Y1367" i="2"/>
  <c r="E1368" i="2"/>
  <c r="F1368" i="2"/>
  <c r="G1368" i="2"/>
  <c r="I1368" i="2"/>
  <c r="K1368" i="2"/>
  <c r="L1368" i="2"/>
  <c r="N1368" i="2"/>
  <c r="O1368" i="2"/>
  <c r="R1368" i="2"/>
  <c r="S1368" i="2"/>
  <c r="T1368" i="2"/>
  <c r="Y1368" i="2"/>
  <c r="F1369" i="2"/>
  <c r="G1369" i="2"/>
  <c r="I1369" i="2"/>
  <c r="K1369" i="2"/>
  <c r="L1369" i="2"/>
  <c r="N1369" i="2"/>
  <c r="O1369" i="2"/>
  <c r="R1369" i="2"/>
  <c r="S1369" i="2"/>
  <c r="T1369" i="2"/>
  <c r="Y1369" i="2"/>
  <c r="F1370" i="2"/>
  <c r="G1370" i="2"/>
  <c r="I1370" i="2"/>
  <c r="K1370" i="2"/>
  <c r="L1370" i="2"/>
  <c r="N1370" i="2"/>
  <c r="O1370" i="2"/>
  <c r="R1370" i="2"/>
  <c r="S1370" i="2"/>
  <c r="T1370" i="2"/>
  <c r="Y1370" i="2"/>
  <c r="E1371" i="2"/>
  <c r="F1371" i="2"/>
  <c r="G1371" i="2"/>
  <c r="I1371" i="2"/>
  <c r="K1371" i="2"/>
  <c r="L1371" i="2"/>
  <c r="N1371" i="2"/>
  <c r="O1371" i="2"/>
  <c r="R1371" i="2"/>
  <c r="S1371" i="2"/>
  <c r="T1371" i="2"/>
  <c r="Y1371" i="2"/>
  <c r="F1372" i="2"/>
  <c r="G1372" i="2"/>
  <c r="I1372" i="2"/>
  <c r="K1372" i="2"/>
  <c r="L1372" i="2"/>
  <c r="N1372" i="2"/>
  <c r="O1372" i="2"/>
  <c r="R1372" i="2"/>
  <c r="S1372" i="2"/>
  <c r="T1372" i="2"/>
  <c r="Y1372" i="2"/>
  <c r="F1373" i="2"/>
  <c r="G1373" i="2"/>
  <c r="I1373" i="2"/>
  <c r="K1373" i="2"/>
  <c r="L1373" i="2"/>
  <c r="N1373" i="2"/>
  <c r="O1373" i="2"/>
  <c r="R1373" i="2"/>
  <c r="S1373" i="2"/>
  <c r="T1373" i="2"/>
  <c r="Y1373" i="2"/>
  <c r="E1374" i="2"/>
  <c r="F1374" i="2"/>
  <c r="G1374" i="2"/>
  <c r="I1374" i="2"/>
  <c r="K1374" i="2"/>
  <c r="L1374" i="2"/>
  <c r="N1374" i="2"/>
  <c r="O1374" i="2"/>
  <c r="R1374" i="2"/>
  <c r="S1374" i="2"/>
  <c r="T1374" i="2"/>
  <c r="Y1374" i="2"/>
  <c r="E1375" i="2"/>
  <c r="F1375" i="2"/>
  <c r="G1375" i="2"/>
  <c r="I1375" i="2"/>
  <c r="K1375" i="2"/>
  <c r="L1375" i="2"/>
  <c r="N1375" i="2"/>
  <c r="O1375" i="2"/>
  <c r="R1375" i="2"/>
  <c r="S1375" i="2"/>
  <c r="T1375" i="2"/>
  <c r="Y1375" i="2"/>
  <c r="F1376" i="2"/>
  <c r="G1376" i="2"/>
  <c r="I1376" i="2"/>
  <c r="K1376" i="2"/>
  <c r="L1376" i="2"/>
  <c r="N1376" i="2"/>
  <c r="O1376" i="2"/>
  <c r="R1376" i="2"/>
  <c r="S1376" i="2"/>
  <c r="T1376" i="2"/>
  <c r="Y1376" i="2"/>
  <c r="E1377" i="2"/>
  <c r="G1377" i="2"/>
  <c r="I1377" i="2"/>
  <c r="K1377" i="2"/>
  <c r="L1377" i="2"/>
  <c r="N1377" i="2"/>
  <c r="O1377" i="2"/>
  <c r="R1377" i="2"/>
  <c r="S1377" i="2"/>
  <c r="T1377" i="2"/>
  <c r="Y1377" i="2"/>
  <c r="G1378" i="2"/>
  <c r="I1378" i="2"/>
  <c r="K1378" i="2"/>
  <c r="L1378" i="2"/>
  <c r="N1378" i="2"/>
  <c r="O1378" i="2"/>
  <c r="R1378" i="2"/>
  <c r="S1378" i="2"/>
  <c r="T1378" i="2"/>
  <c r="Y1378" i="2"/>
  <c r="E1379" i="2"/>
  <c r="G1379" i="2"/>
  <c r="I1379" i="2"/>
  <c r="K1379" i="2"/>
  <c r="L1379" i="2"/>
  <c r="N1379" i="2"/>
  <c r="O1379" i="2"/>
  <c r="R1379" i="2"/>
  <c r="S1379" i="2"/>
  <c r="T1379" i="2"/>
  <c r="Y1379" i="2"/>
  <c r="E1380" i="2"/>
  <c r="F1380" i="2"/>
  <c r="G1380" i="2"/>
  <c r="I1380" i="2"/>
  <c r="K1380" i="2"/>
  <c r="L1380" i="2"/>
  <c r="N1380" i="2"/>
  <c r="O1380" i="2"/>
  <c r="R1380" i="2"/>
  <c r="S1380" i="2"/>
  <c r="T1380" i="2"/>
  <c r="Y1380" i="2"/>
  <c r="E1381" i="2"/>
  <c r="F1381" i="2"/>
  <c r="G1381" i="2"/>
  <c r="I1381" i="2"/>
  <c r="K1381" i="2"/>
  <c r="L1381" i="2"/>
  <c r="N1381" i="2"/>
  <c r="O1381" i="2"/>
  <c r="R1381" i="2"/>
  <c r="S1381" i="2"/>
  <c r="T1381" i="2"/>
  <c r="Y1381" i="2"/>
  <c r="G1382" i="2"/>
  <c r="I1382" i="2"/>
  <c r="K1382" i="2"/>
  <c r="L1382" i="2"/>
  <c r="N1382" i="2"/>
  <c r="O1382" i="2"/>
  <c r="R1382" i="2"/>
  <c r="S1382" i="2"/>
  <c r="T1382" i="2"/>
  <c r="Y1382" i="2"/>
  <c r="E1383" i="2"/>
  <c r="F1383" i="2"/>
  <c r="G1383" i="2"/>
  <c r="I1383" i="2"/>
  <c r="K1383" i="2"/>
  <c r="L1383" i="2"/>
  <c r="N1383" i="2"/>
  <c r="O1383" i="2"/>
  <c r="R1383" i="2"/>
  <c r="S1383" i="2"/>
  <c r="T1383" i="2"/>
  <c r="Y1383" i="2"/>
  <c r="E1384" i="2"/>
  <c r="F1384" i="2"/>
  <c r="G1384" i="2"/>
  <c r="I1384" i="2"/>
  <c r="K1384" i="2"/>
  <c r="L1384" i="2"/>
  <c r="N1384" i="2"/>
  <c r="O1384" i="2"/>
  <c r="R1384" i="2"/>
  <c r="S1384" i="2"/>
  <c r="T1384" i="2"/>
  <c r="Y1384" i="2"/>
  <c r="G1385" i="2"/>
  <c r="I1385" i="2"/>
  <c r="K1385" i="2"/>
  <c r="L1385" i="2"/>
  <c r="N1385" i="2"/>
  <c r="O1385" i="2"/>
  <c r="R1385" i="2"/>
  <c r="S1385" i="2"/>
  <c r="T1385" i="2"/>
  <c r="Y1385" i="2"/>
  <c r="G1386" i="2"/>
  <c r="I1386" i="2"/>
  <c r="K1386" i="2"/>
  <c r="L1386" i="2"/>
  <c r="N1386" i="2"/>
  <c r="O1386" i="2"/>
  <c r="R1386" i="2"/>
  <c r="S1386" i="2"/>
  <c r="T1386" i="2"/>
  <c r="Y1386" i="2"/>
  <c r="E1387" i="2"/>
  <c r="F1387" i="2"/>
  <c r="G1387" i="2"/>
  <c r="I1387" i="2"/>
  <c r="K1387" i="2"/>
  <c r="L1387" i="2"/>
  <c r="N1387" i="2"/>
  <c r="O1387" i="2"/>
  <c r="Q1387" i="2"/>
  <c r="R1387" i="2"/>
  <c r="S1387" i="2"/>
  <c r="T1387" i="2"/>
  <c r="W1387" i="2"/>
  <c r="Y1387" i="2"/>
  <c r="E1388" i="2"/>
  <c r="F1388" i="2"/>
  <c r="G1388" i="2"/>
  <c r="I1388" i="2"/>
  <c r="K1388" i="2"/>
  <c r="L1388" i="2"/>
  <c r="N1388" i="2"/>
  <c r="O1388" i="2"/>
  <c r="R1388" i="2"/>
  <c r="S1388" i="2"/>
  <c r="T1388" i="2"/>
  <c r="Y1388" i="2"/>
  <c r="G1389" i="2"/>
  <c r="I1389" i="2"/>
  <c r="K1389" i="2"/>
  <c r="L1389" i="2"/>
  <c r="N1389" i="2"/>
  <c r="O1389" i="2"/>
  <c r="R1389" i="2"/>
  <c r="S1389" i="2"/>
  <c r="T1389" i="2"/>
  <c r="Y1389" i="2"/>
  <c r="F1390" i="2"/>
  <c r="G1390" i="2"/>
  <c r="I1390" i="2"/>
  <c r="K1390" i="2"/>
  <c r="L1390" i="2"/>
  <c r="N1390" i="2"/>
  <c r="O1390" i="2"/>
  <c r="R1390" i="2"/>
  <c r="S1390" i="2"/>
  <c r="T1390" i="2"/>
  <c r="Y1390" i="2"/>
  <c r="F1391" i="2"/>
  <c r="G1391" i="2"/>
  <c r="I1391" i="2"/>
  <c r="K1391" i="2"/>
  <c r="L1391" i="2"/>
  <c r="N1391" i="2"/>
  <c r="O1391" i="2"/>
  <c r="R1391" i="2"/>
  <c r="S1391" i="2"/>
  <c r="T1391" i="2"/>
  <c r="Y1391" i="2"/>
  <c r="G1392" i="2"/>
  <c r="I1392" i="2"/>
  <c r="K1392" i="2"/>
  <c r="L1392" i="2"/>
  <c r="N1392" i="2"/>
  <c r="O1392" i="2"/>
  <c r="Q1392" i="2"/>
  <c r="R1392" i="2"/>
  <c r="S1392" i="2"/>
  <c r="T1392" i="2"/>
  <c r="W1392" i="2"/>
  <c r="Y1392" i="2"/>
  <c r="F1393" i="2"/>
  <c r="G1393" i="2"/>
  <c r="I1393" i="2"/>
  <c r="K1393" i="2"/>
  <c r="L1393" i="2"/>
  <c r="N1393" i="2"/>
  <c r="O1393" i="2"/>
  <c r="R1393" i="2"/>
  <c r="S1393" i="2"/>
  <c r="T1393" i="2"/>
  <c r="Y1393" i="2"/>
  <c r="F1398" i="2"/>
  <c r="G1398" i="2"/>
  <c r="I1398" i="2"/>
  <c r="L1398" i="2"/>
  <c r="N1398" i="2"/>
  <c r="O1398" i="2"/>
  <c r="R1398" i="2"/>
  <c r="S1398" i="2"/>
  <c r="T1398" i="2"/>
  <c r="Y1398" i="2"/>
  <c r="E1399" i="2"/>
  <c r="F1399" i="2"/>
  <c r="G1399" i="2"/>
  <c r="I1399" i="2"/>
  <c r="L1399" i="2"/>
  <c r="N1399" i="2"/>
  <c r="O1399" i="2"/>
  <c r="R1399" i="2"/>
  <c r="S1399" i="2"/>
  <c r="T1399" i="2"/>
  <c r="Y1399" i="2"/>
  <c r="F1400" i="2"/>
  <c r="G1400" i="2"/>
  <c r="I1400" i="2"/>
  <c r="K1400" i="2"/>
  <c r="L1400" i="2"/>
  <c r="N1400" i="2"/>
  <c r="O1400" i="2"/>
  <c r="R1400" i="2"/>
  <c r="S1400" i="2"/>
  <c r="T1400" i="2"/>
  <c r="Y1400" i="2"/>
  <c r="F1401" i="2"/>
  <c r="G1401" i="2"/>
  <c r="I1401" i="2"/>
  <c r="K1401" i="2"/>
  <c r="L1401" i="2"/>
  <c r="N1401" i="2"/>
  <c r="O1401" i="2"/>
  <c r="R1401" i="2"/>
  <c r="S1401" i="2"/>
  <c r="T1401" i="2"/>
  <c r="Y1401" i="2"/>
  <c r="E1402" i="2"/>
  <c r="F1402" i="2"/>
  <c r="G1402" i="2"/>
  <c r="I1402" i="2"/>
  <c r="K1402" i="2"/>
  <c r="L1402" i="2"/>
  <c r="N1402" i="2"/>
  <c r="O1402" i="2"/>
  <c r="R1402" i="2"/>
  <c r="S1402" i="2"/>
  <c r="T1402" i="2"/>
  <c r="Y1402" i="2"/>
  <c r="E1403" i="2"/>
  <c r="G1403" i="2"/>
  <c r="I1403" i="2"/>
  <c r="K1403" i="2"/>
  <c r="L1403" i="2"/>
  <c r="N1403" i="2"/>
  <c r="O1403" i="2"/>
  <c r="R1403" i="2"/>
  <c r="S1403" i="2"/>
  <c r="T1403" i="2"/>
  <c r="Y1403" i="2"/>
  <c r="E1404" i="2"/>
  <c r="F1404" i="2"/>
  <c r="G1404" i="2"/>
  <c r="I1404" i="2"/>
  <c r="K1404" i="2"/>
  <c r="L1404" i="2"/>
  <c r="N1404" i="2"/>
  <c r="O1404" i="2"/>
  <c r="R1404" i="2"/>
  <c r="S1404" i="2"/>
  <c r="T1404" i="2"/>
  <c r="Y1404" i="2"/>
  <c r="G1405" i="2"/>
  <c r="I1405" i="2"/>
  <c r="K1405" i="2"/>
  <c r="L1405" i="2"/>
  <c r="N1405" i="2"/>
  <c r="O1405" i="2"/>
  <c r="R1405" i="2"/>
  <c r="S1405" i="2"/>
  <c r="T1405" i="2"/>
  <c r="Y1405" i="2"/>
  <c r="G1406" i="2"/>
  <c r="I1406" i="2"/>
  <c r="K1406" i="2"/>
  <c r="L1406" i="2"/>
  <c r="N1406" i="2"/>
  <c r="O1406" i="2"/>
  <c r="R1406" i="2"/>
  <c r="S1406" i="2"/>
  <c r="T1406" i="2"/>
  <c r="Y1406" i="2"/>
  <c r="F1407" i="2"/>
  <c r="G1407" i="2"/>
  <c r="I1407" i="2"/>
  <c r="K1407" i="2"/>
  <c r="L1407" i="2"/>
  <c r="N1407" i="2"/>
  <c r="O1407" i="2"/>
  <c r="R1407" i="2"/>
  <c r="S1407" i="2"/>
  <c r="T1407" i="2"/>
  <c r="Y1407" i="2"/>
  <c r="E1408" i="2"/>
  <c r="F1408" i="2"/>
  <c r="G1408" i="2"/>
  <c r="I1408" i="2"/>
  <c r="K1408" i="2"/>
  <c r="L1408" i="2"/>
  <c r="N1408" i="2"/>
  <c r="O1408" i="2"/>
  <c r="R1408" i="2"/>
  <c r="S1408" i="2"/>
  <c r="T1408" i="2"/>
  <c r="Y1408" i="2"/>
  <c r="F1409" i="2"/>
  <c r="G1409" i="2"/>
  <c r="I1409" i="2"/>
  <c r="K1409" i="2"/>
  <c r="L1409" i="2"/>
  <c r="N1409" i="2"/>
  <c r="O1409" i="2"/>
  <c r="R1409" i="2"/>
  <c r="S1409" i="2"/>
  <c r="T1409" i="2"/>
  <c r="Y1409" i="2"/>
  <c r="E1410" i="2"/>
  <c r="F1410" i="2"/>
  <c r="G1410" i="2"/>
  <c r="I1410" i="2"/>
  <c r="K1410" i="2"/>
  <c r="L1410" i="2"/>
  <c r="N1410" i="2"/>
  <c r="O1410" i="2"/>
  <c r="R1410" i="2"/>
  <c r="S1410" i="2"/>
  <c r="T1410" i="2"/>
  <c r="Y1410" i="2"/>
  <c r="E1411" i="2"/>
  <c r="F1411" i="2"/>
  <c r="G1411" i="2"/>
  <c r="I1411" i="2"/>
  <c r="K1411" i="2"/>
  <c r="L1411" i="2"/>
  <c r="N1411" i="2"/>
  <c r="O1411" i="2"/>
  <c r="R1411" i="2"/>
  <c r="S1411" i="2"/>
  <c r="T1411" i="2"/>
  <c r="Y1411" i="2"/>
  <c r="G1412" i="2"/>
  <c r="I1412" i="2"/>
  <c r="K1412" i="2"/>
  <c r="L1412" i="2"/>
  <c r="N1412" i="2"/>
  <c r="O1412" i="2"/>
  <c r="R1412" i="2"/>
  <c r="S1412" i="2"/>
  <c r="T1412" i="2"/>
  <c r="Y1412" i="2"/>
  <c r="E1413" i="2"/>
  <c r="F1413" i="2"/>
  <c r="G1413" i="2"/>
  <c r="I1413" i="2"/>
  <c r="K1413" i="2"/>
  <c r="L1413" i="2"/>
  <c r="N1413" i="2"/>
  <c r="O1413" i="2"/>
  <c r="R1413" i="2"/>
  <c r="S1413" i="2"/>
  <c r="T1413" i="2"/>
  <c r="Y1413" i="2"/>
  <c r="E1414" i="2"/>
  <c r="F1414" i="2"/>
  <c r="G1414" i="2"/>
  <c r="I1414" i="2"/>
  <c r="K1414" i="2"/>
  <c r="L1414" i="2"/>
  <c r="N1414" i="2"/>
  <c r="O1414" i="2"/>
  <c r="R1414" i="2"/>
  <c r="S1414" i="2"/>
  <c r="T1414" i="2"/>
  <c r="Y1414" i="2"/>
  <c r="E1415" i="2"/>
  <c r="F1415" i="2"/>
  <c r="G1415" i="2"/>
  <c r="I1415" i="2"/>
  <c r="K1415" i="2"/>
  <c r="L1415" i="2"/>
  <c r="N1415" i="2"/>
  <c r="O1415" i="2"/>
  <c r="R1415" i="2"/>
  <c r="S1415" i="2"/>
  <c r="T1415" i="2"/>
  <c r="Y1415" i="2"/>
  <c r="E1416" i="2"/>
  <c r="F1416" i="2"/>
  <c r="G1416" i="2"/>
  <c r="I1416" i="2"/>
  <c r="K1416" i="2"/>
  <c r="L1416" i="2"/>
  <c r="N1416" i="2"/>
  <c r="O1416" i="2"/>
  <c r="R1416" i="2"/>
  <c r="S1416" i="2"/>
  <c r="T1416" i="2"/>
  <c r="Y1416" i="2"/>
  <c r="E1417" i="2"/>
  <c r="F1417" i="2"/>
  <c r="G1417" i="2"/>
  <c r="I1417" i="2"/>
  <c r="K1417" i="2"/>
  <c r="L1417" i="2"/>
  <c r="N1417" i="2"/>
  <c r="O1417" i="2"/>
  <c r="R1417" i="2"/>
  <c r="S1417" i="2"/>
  <c r="T1417" i="2"/>
  <c r="Y1417" i="2"/>
  <c r="E1418" i="2"/>
  <c r="F1418" i="2"/>
  <c r="G1418" i="2"/>
  <c r="I1418" i="2"/>
  <c r="K1418" i="2"/>
  <c r="L1418" i="2"/>
  <c r="N1418" i="2"/>
  <c r="O1418" i="2"/>
  <c r="R1418" i="2"/>
  <c r="S1418" i="2"/>
  <c r="T1418" i="2"/>
  <c r="Y1418" i="2"/>
  <c r="E1423" i="2"/>
  <c r="F1423" i="2"/>
  <c r="G1423" i="2"/>
  <c r="I1423" i="2"/>
  <c r="K1423" i="2"/>
  <c r="L1423" i="2"/>
  <c r="N1423" i="2"/>
  <c r="O1423" i="2"/>
  <c r="R1423" i="2"/>
  <c r="S1423" i="2"/>
  <c r="T1423" i="2"/>
  <c r="Y1423" i="2"/>
  <c r="E1426" i="2"/>
  <c r="F1426" i="2"/>
  <c r="G1426" i="2"/>
  <c r="I1426" i="2"/>
  <c r="K1426" i="2"/>
  <c r="L1426" i="2"/>
  <c r="N1426" i="2"/>
  <c r="O1426" i="2"/>
  <c r="R1426" i="2"/>
  <c r="S1426" i="2"/>
  <c r="T1426" i="2"/>
  <c r="Y1426" i="2"/>
  <c r="E1429" i="2"/>
  <c r="F1429" i="2"/>
  <c r="G1429" i="2"/>
  <c r="I1429" i="2"/>
  <c r="K1429" i="2"/>
  <c r="L1429" i="2"/>
  <c r="N1429" i="2"/>
  <c r="O1429" i="2"/>
  <c r="R1429" i="2"/>
  <c r="S1429" i="2"/>
  <c r="T1429" i="2"/>
  <c r="Y1429" i="2"/>
  <c r="E1432" i="2"/>
  <c r="F1432" i="2"/>
  <c r="G1432" i="2"/>
  <c r="I1432" i="2"/>
  <c r="K1432" i="2"/>
  <c r="L1432" i="2"/>
  <c r="N1432" i="2"/>
  <c r="O1432" i="2"/>
  <c r="R1432" i="2"/>
  <c r="S1432" i="2"/>
  <c r="T1432" i="2"/>
  <c r="Y1432" i="2"/>
  <c r="E1435" i="2"/>
  <c r="F1435" i="2"/>
  <c r="G1435" i="2"/>
  <c r="I1435" i="2"/>
  <c r="K1435" i="2"/>
  <c r="L1435" i="2"/>
  <c r="N1435" i="2"/>
  <c r="O1435" i="2"/>
  <c r="R1435" i="2"/>
  <c r="S1435" i="2"/>
  <c r="T1435" i="2"/>
  <c r="Y1435" i="2"/>
  <c r="E1438" i="2"/>
  <c r="F1438" i="2"/>
  <c r="G1438" i="2"/>
  <c r="I1438" i="2"/>
  <c r="K1438" i="2"/>
  <c r="L1438" i="2"/>
  <c r="N1438" i="2"/>
  <c r="O1438" i="2"/>
  <c r="R1438" i="2"/>
  <c r="S1438" i="2"/>
  <c r="T1438" i="2"/>
  <c r="Y1438" i="2"/>
  <c r="E1441" i="2"/>
  <c r="F1441" i="2"/>
  <c r="G1441" i="2"/>
  <c r="I1441" i="2"/>
  <c r="K1441" i="2"/>
  <c r="L1441" i="2"/>
  <c r="N1441" i="2"/>
  <c r="O1441" i="2"/>
  <c r="R1441" i="2"/>
  <c r="S1441" i="2"/>
  <c r="T1441" i="2"/>
  <c r="Y1441" i="2"/>
  <c r="E1444" i="2"/>
  <c r="F1444" i="2"/>
  <c r="G1444" i="2"/>
  <c r="I1444" i="2"/>
  <c r="K1444" i="2"/>
  <c r="L1444" i="2"/>
  <c r="N1444" i="2"/>
  <c r="O1444" i="2"/>
  <c r="R1444" i="2"/>
  <c r="S1444" i="2"/>
  <c r="T1444" i="2"/>
  <c r="Y1444" i="2"/>
  <c r="E1447" i="2"/>
  <c r="F1447" i="2"/>
  <c r="G1447" i="2"/>
  <c r="I1447" i="2"/>
  <c r="K1447" i="2"/>
  <c r="L1447" i="2"/>
  <c r="N1447" i="2"/>
  <c r="O1447" i="2"/>
  <c r="R1447" i="2"/>
  <c r="S1447" i="2"/>
  <c r="T1447" i="2"/>
  <c r="Y1447" i="2"/>
  <c r="E1450" i="2"/>
  <c r="F1450" i="2"/>
  <c r="G1450" i="2"/>
  <c r="I1450" i="2"/>
  <c r="K1450" i="2"/>
  <c r="L1450" i="2"/>
  <c r="N1450" i="2"/>
  <c r="O1450" i="2"/>
  <c r="R1450" i="2"/>
  <c r="S1450" i="2"/>
  <c r="T1450" i="2"/>
  <c r="Y1450" i="2"/>
  <c r="E1453" i="2"/>
  <c r="F1453" i="2"/>
  <c r="G1453" i="2"/>
  <c r="I1453" i="2"/>
  <c r="K1453" i="2"/>
  <c r="L1453" i="2"/>
  <c r="N1453" i="2"/>
  <c r="O1453" i="2"/>
  <c r="R1453" i="2"/>
  <c r="S1453" i="2"/>
  <c r="T1453" i="2"/>
  <c r="Y1453" i="2"/>
  <c r="E1456" i="2"/>
  <c r="F1456" i="2"/>
  <c r="G1456" i="2"/>
  <c r="I1456" i="2"/>
  <c r="K1456" i="2"/>
  <c r="L1456" i="2"/>
  <c r="N1456" i="2"/>
  <c r="O1456" i="2"/>
  <c r="R1456" i="2"/>
  <c r="S1456" i="2"/>
  <c r="T1456" i="2"/>
  <c r="Y1456" i="2"/>
  <c r="E1459" i="2"/>
  <c r="G1459" i="2"/>
  <c r="I1459" i="2"/>
  <c r="K1459" i="2"/>
  <c r="L1459" i="2"/>
  <c r="N1459" i="2"/>
  <c r="O1459" i="2"/>
  <c r="R1459" i="2"/>
  <c r="S1459" i="2"/>
  <c r="T1459" i="2"/>
  <c r="Y1459" i="2"/>
  <c r="E1462" i="2"/>
  <c r="F1462" i="2"/>
  <c r="G1462" i="2"/>
  <c r="I1462" i="2"/>
  <c r="K1462" i="2"/>
  <c r="L1462" i="2"/>
  <c r="N1462" i="2"/>
  <c r="O1462" i="2"/>
  <c r="R1462" i="2"/>
  <c r="S1462" i="2"/>
  <c r="T1462" i="2"/>
  <c r="Y1462" i="2"/>
  <c r="Y2617" i="2" s="1"/>
  <c r="E1473" i="2"/>
  <c r="F1473" i="2"/>
  <c r="G1473" i="2"/>
  <c r="I1473" i="2"/>
  <c r="J1473" i="2"/>
  <c r="K1473" i="2"/>
  <c r="L1473" i="2"/>
  <c r="N1473" i="2"/>
  <c r="O1473" i="2"/>
  <c r="Q1473" i="2"/>
  <c r="R1473" i="2"/>
  <c r="S1473" i="2"/>
  <c r="T1473" i="2"/>
  <c r="Y1473" i="2"/>
  <c r="E1474" i="2"/>
  <c r="F1474" i="2"/>
  <c r="G1474" i="2"/>
  <c r="I1474" i="2"/>
  <c r="J1474" i="2"/>
  <c r="K1474" i="2"/>
  <c r="L1474" i="2"/>
  <c r="N1474" i="2"/>
  <c r="O1474" i="2"/>
  <c r="Q1474" i="2"/>
  <c r="R1474" i="2"/>
  <c r="S1474" i="2"/>
  <c r="T1474" i="2"/>
  <c r="Y1474" i="2"/>
  <c r="Y2630" i="2" s="1"/>
  <c r="F1475" i="2"/>
  <c r="G1475" i="2"/>
  <c r="I1475" i="2"/>
  <c r="J1475" i="2"/>
  <c r="K1475" i="2"/>
  <c r="L1475" i="2"/>
  <c r="N1475" i="2"/>
  <c r="O1475" i="2"/>
  <c r="Q1475" i="2"/>
  <c r="R1475" i="2"/>
  <c r="S1475" i="2"/>
  <c r="T1475" i="2"/>
  <c r="Y1475" i="2"/>
  <c r="Y2633" i="2" s="1"/>
  <c r="E1476" i="2"/>
  <c r="F1476" i="2"/>
  <c r="G1476" i="2"/>
  <c r="H1476" i="2"/>
  <c r="I1476" i="2"/>
  <c r="J1476" i="2"/>
  <c r="K1476" i="2"/>
  <c r="L1476" i="2"/>
  <c r="M1476" i="2"/>
  <c r="N1476" i="2"/>
  <c r="O1476" i="2"/>
  <c r="Q1476" i="2"/>
  <c r="R1476" i="2"/>
  <c r="S1476" i="2"/>
  <c r="T1476" i="2"/>
  <c r="Y1476" i="2"/>
  <c r="Y2634" i="2" s="1"/>
  <c r="E1477" i="2"/>
  <c r="F1477" i="2"/>
  <c r="G1477" i="2"/>
  <c r="I1477" i="2"/>
  <c r="J1477" i="2"/>
  <c r="K1477" i="2"/>
  <c r="L1477" i="2"/>
  <c r="N1477" i="2"/>
  <c r="O1477" i="2"/>
  <c r="Q1477" i="2"/>
  <c r="R1477" i="2"/>
  <c r="S1477" i="2"/>
  <c r="T1477" i="2"/>
  <c r="Y1477" i="2"/>
  <c r="Y2635" i="2" s="1"/>
  <c r="E1478" i="2"/>
  <c r="F1478" i="2"/>
  <c r="G1478" i="2"/>
  <c r="I1478" i="2"/>
  <c r="J1478" i="2"/>
  <c r="K1478" i="2"/>
  <c r="L1478" i="2"/>
  <c r="N1478" i="2"/>
  <c r="O1478" i="2"/>
  <c r="Q1478" i="2"/>
  <c r="R1478" i="2"/>
  <c r="S1478" i="2"/>
  <c r="T1478" i="2"/>
  <c r="Y1478" i="2"/>
  <c r="Y2636" i="2" s="1"/>
  <c r="E1479" i="2"/>
  <c r="F1479" i="2"/>
  <c r="G1479" i="2"/>
  <c r="I1479" i="2"/>
  <c r="J1479" i="2"/>
  <c r="K1479" i="2"/>
  <c r="L1479" i="2"/>
  <c r="N1479" i="2"/>
  <c r="O1479" i="2"/>
  <c r="Q1479" i="2"/>
  <c r="R1479" i="2"/>
  <c r="S1479" i="2"/>
  <c r="T1479" i="2"/>
  <c r="Y1479" i="2"/>
  <c r="E1480" i="2"/>
  <c r="F1480" i="2"/>
  <c r="G1480" i="2"/>
  <c r="I1480" i="2"/>
  <c r="J1480" i="2"/>
  <c r="K1480" i="2"/>
  <c r="L1480" i="2"/>
  <c r="N1480" i="2"/>
  <c r="O1480" i="2"/>
  <c r="Q1480" i="2"/>
  <c r="R1480" i="2"/>
  <c r="S1480" i="2"/>
  <c r="T1480" i="2"/>
  <c r="Y1480" i="2"/>
  <c r="Y2642" i="2" s="1"/>
  <c r="E1481" i="2"/>
  <c r="F1481" i="2"/>
  <c r="G1481" i="2"/>
  <c r="I1481" i="2"/>
  <c r="J1481" i="2"/>
  <c r="K1481" i="2"/>
  <c r="L1481" i="2"/>
  <c r="N1481" i="2"/>
  <c r="O1481" i="2"/>
  <c r="Q1481" i="2"/>
  <c r="R1481" i="2"/>
  <c r="S1481" i="2"/>
  <c r="T1481" i="2"/>
  <c r="Y1481" i="2"/>
  <c r="Y2643" i="2" s="1"/>
  <c r="E1482" i="2"/>
  <c r="F1482" i="2"/>
  <c r="G1482" i="2"/>
  <c r="I1482" i="2"/>
  <c r="J1482" i="2"/>
  <c r="K1482" i="2"/>
  <c r="L1482" i="2"/>
  <c r="N1482" i="2"/>
  <c r="O1482" i="2"/>
  <c r="Q1482" i="2"/>
  <c r="R1482" i="2"/>
  <c r="S1482" i="2"/>
  <c r="T1482" i="2"/>
  <c r="Y1482" i="2"/>
  <c r="Y2645" i="2" s="1"/>
  <c r="E1483" i="2"/>
  <c r="F1483" i="2"/>
  <c r="G1483" i="2"/>
  <c r="I1483" i="2"/>
  <c r="J1483" i="2"/>
  <c r="K1483" i="2"/>
  <c r="L1483" i="2"/>
  <c r="N1483" i="2"/>
  <c r="O1483" i="2"/>
  <c r="Q1483" i="2"/>
  <c r="R1483" i="2"/>
  <c r="S1483" i="2"/>
  <c r="T1483" i="2"/>
  <c r="Y1483" i="2"/>
  <c r="Y2646" i="2" s="1"/>
  <c r="E1484" i="2"/>
  <c r="F1484" i="2"/>
  <c r="G1484" i="2"/>
  <c r="I1484" i="2"/>
  <c r="J1484" i="2"/>
  <c r="K1484" i="2"/>
  <c r="L1484" i="2"/>
  <c r="N1484" i="2"/>
  <c r="O1484" i="2"/>
  <c r="Q1484" i="2"/>
  <c r="R1484" i="2"/>
  <c r="S1484" i="2"/>
  <c r="T1484" i="2"/>
  <c r="Y1484" i="2"/>
  <c r="Y2648" i="2" s="1"/>
  <c r="E1485" i="2"/>
  <c r="F1485" i="2"/>
  <c r="G1485" i="2"/>
  <c r="I1485" i="2"/>
  <c r="J1485" i="2"/>
  <c r="K1485" i="2"/>
  <c r="L1485" i="2"/>
  <c r="N1485" i="2"/>
  <c r="O1485" i="2"/>
  <c r="Q1485" i="2"/>
  <c r="R1485" i="2"/>
  <c r="S1485" i="2"/>
  <c r="T1485" i="2"/>
  <c r="Y1485" i="2"/>
  <c r="Y2649" i="2" s="1"/>
  <c r="E1486" i="2"/>
  <c r="F1486" i="2"/>
  <c r="G1486" i="2"/>
  <c r="I1486" i="2"/>
  <c r="J1486" i="2"/>
  <c r="K1486" i="2"/>
  <c r="L1486" i="2"/>
  <c r="N1486" i="2"/>
  <c r="O1486" i="2"/>
  <c r="Q1486" i="2"/>
  <c r="R1486" i="2"/>
  <c r="S1486" i="2"/>
  <c r="T1486" i="2"/>
  <c r="Y1486" i="2"/>
  <c r="Y2650" i="2" s="1"/>
  <c r="E1487" i="2"/>
  <c r="F1487" i="2"/>
  <c r="G1487" i="2"/>
  <c r="I1487" i="2"/>
  <c r="J1487" i="2"/>
  <c r="K1487" i="2"/>
  <c r="L1487" i="2"/>
  <c r="N1487" i="2"/>
  <c r="O1487" i="2"/>
  <c r="Q1487" i="2"/>
  <c r="R1487" i="2"/>
  <c r="S1487" i="2"/>
  <c r="T1487" i="2"/>
  <c r="Y1487" i="2"/>
  <c r="Y2651" i="2" s="1"/>
  <c r="E1488" i="2"/>
  <c r="F1488" i="2"/>
  <c r="G1488" i="2"/>
  <c r="I1488" i="2"/>
  <c r="J1488" i="2"/>
  <c r="K1488" i="2"/>
  <c r="L1488" i="2"/>
  <c r="N1488" i="2"/>
  <c r="O1488" i="2"/>
  <c r="Q1488" i="2"/>
  <c r="R1488" i="2"/>
  <c r="S1488" i="2"/>
  <c r="T1488" i="2"/>
  <c r="Y1488" i="2"/>
  <c r="Y2652" i="2" s="1"/>
  <c r="E1489" i="2"/>
  <c r="F1489" i="2"/>
  <c r="G1489" i="2"/>
  <c r="I1489" i="2"/>
  <c r="J1489" i="2"/>
  <c r="K1489" i="2"/>
  <c r="L1489" i="2"/>
  <c r="N1489" i="2"/>
  <c r="O1489" i="2"/>
  <c r="Q1489" i="2"/>
  <c r="R1489" i="2"/>
  <c r="S1489" i="2"/>
  <c r="T1489" i="2"/>
  <c r="Y1489" i="2"/>
  <c r="Y2653" i="2" s="1"/>
  <c r="E1490" i="2"/>
  <c r="F1490" i="2"/>
  <c r="G1490" i="2"/>
  <c r="I1490" i="2"/>
  <c r="J1490" i="2"/>
  <c r="K1490" i="2"/>
  <c r="L1490" i="2"/>
  <c r="N1490" i="2"/>
  <c r="O1490" i="2"/>
  <c r="Q1490" i="2"/>
  <c r="R1490" i="2"/>
  <c r="S1490" i="2"/>
  <c r="T1490" i="2"/>
  <c r="Y1490" i="2"/>
  <c r="Y2654" i="2" s="1"/>
  <c r="E1495" i="2"/>
  <c r="F1495" i="2"/>
  <c r="G1495" i="2"/>
  <c r="I1495" i="2"/>
  <c r="J1495" i="2"/>
  <c r="K1495" i="2"/>
  <c r="L1495" i="2"/>
  <c r="N1495" i="2"/>
  <c r="O1495" i="2"/>
  <c r="Q1495" i="2"/>
  <c r="R1495" i="2"/>
  <c r="S1495" i="2"/>
  <c r="T1495" i="2"/>
  <c r="Y1495" i="2"/>
  <c r="Y2659" i="2" s="1"/>
  <c r="E1496" i="2"/>
  <c r="F1496" i="2"/>
  <c r="G1496" i="2"/>
  <c r="I1496" i="2"/>
  <c r="J1496" i="2"/>
  <c r="K1496" i="2"/>
  <c r="L1496" i="2"/>
  <c r="N1496" i="2"/>
  <c r="O1496" i="2"/>
  <c r="Q1496" i="2"/>
  <c r="R1496" i="2"/>
  <c r="S1496" i="2"/>
  <c r="T1496" i="2"/>
  <c r="Y1496" i="2"/>
  <c r="Y2660" i="2" s="1"/>
  <c r="E1497" i="2"/>
  <c r="F1497" i="2"/>
  <c r="G1497" i="2"/>
  <c r="I1497" i="2"/>
  <c r="J1497" i="2"/>
  <c r="K1497" i="2"/>
  <c r="L1497" i="2"/>
  <c r="N1497" i="2"/>
  <c r="O1497" i="2"/>
  <c r="Q1497" i="2"/>
  <c r="R1497" i="2"/>
  <c r="S1497" i="2"/>
  <c r="T1497" i="2"/>
  <c r="Y1497" i="2"/>
  <c r="Y2661" i="2" s="1"/>
  <c r="E1498" i="2"/>
  <c r="F1498" i="2"/>
  <c r="G1498" i="2"/>
  <c r="I1498" i="2"/>
  <c r="J1498" i="2"/>
  <c r="K1498" i="2"/>
  <c r="L1498" i="2"/>
  <c r="N1498" i="2"/>
  <c r="O1498" i="2"/>
  <c r="Q1498" i="2"/>
  <c r="R1498" i="2"/>
  <c r="S1498" i="2"/>
  <c r="T1498" i="2"/>
  <c r="Y1498" i="2"/>
  <c r="Y2662" i="2" s="1"/>
  <c r="E1499" i="2"/>
  <c r="F1499" i="2"/>
  <c r="G1499" i="2"/>
  <c r="I1499" i="2"/>
  <c r="J1499" i="2"/>
  <c r="K1499" i="2"/>
  <c r="L1499" i="2"/>
  <c r="N1499" i="2"/>
  <c r="O1499" i="2"/>
  <c r="Q1499" i="2"/>
  <c r="R1499" i="2"/>
  <c r="S1499" i="2"/>
  <c r="T1499" i="2"/>
  <c r="Y1499" i="2"/>
  <c r="Y2663" i="2" s="1"/>
  <c r="E1500" i="2"/>
  <c r="F1500" i="2"/>
  <c r="G1500" i="2"/>
  <c r="I1500" i="2"/>
  <c r="J1500" i="2"/>
  <c r="K1500" i="2"/>
  <c r="L1500" i="2"/>
  <c r="N1500" i="2"/>
  <c r="O1500" i="2"/>
  <c r="Q1500" i="2"/>
  <c r="R1500" i="2"/>
  <c r="S1500" i="2"/>
  <c r="T1500" i="2"/>
  <c r="Y1500" i="2"/>
  <c r="Y2664" i="2" s="1"/>
  <c r="E1501" i="2"/>
  <c r="F1501" i="2"/>
  <c r="G1501" i="2"/>
  <c r="I1501" i="2"/>
  <c r="J1501" i="2"/>
  <c r="K1501" i="2"/>
  <c r="L1501" i="2"/>
  <c r="N1501" i="2"/>
  <c r="O1501" i="2"/>
  <c r="Q1501" i="2"/>
  <c r="R1501" i="2"/>
  <c r="S1501" i="2"/>
  <c r="T1501" i="2"/>
  <c r="Y1501" i="2"/>
  <c r="Y2665" i="2" s="1"/>
  <c r="E1502" i="2"/>
  <c r="F1502" i="2"/>
  <c r="G1502" i="2"/>
  <c r="I1502" i="2"/>
  <c r="J1502" i="2"/>
  <c r="K1502" i="2"/>
  <c r="L1502" i="2"/>
  <c r="N1502" i="2"/>
  <c r="O1502" i="2"/>
  <c r="Q1502" i="2"/>
  <c r="R1502" i="2"/>
  <c r="S1502" i="2"/>
  <c r="T1502" i="2"/>
  <c r="Y1502" i="2"/>
  <c r="Y2666" i="2" s="1"/>
  <c r="E1503" i="2"/>
  <c r="F1503" i="2"/>
  <c r="G1503" i="2"/>
  <c r="I1503" i="2"/>
  <c r="J1503" i="2"/>
  <c r="K1503" i="2"/>
  <c r="L1503" i="2"/>
  <c r="N1503" i="2"/>
  <c r="O1503" i="2"/>
  <c r="Q1503" i="2"/>
  <c r="R1503" i="2"/>
  <c r="S1503" i="2"/>
  <c r="T1503" i="2"/>
  <c r="Y1503" i="2"/>
  <c r="Y2667" i="2" s="1"/>
  <c r="E1504" i="2"/>
  <c r="F1504" i="2"/>
  <c r="G1504" i="2"/>
  <c r="I1504" i="2"/>
  <c r="J1504" i="2"/>
  <c r="K1504" i="2"/>
  <c r="L1504" i="2"/>
  <c r="N1504" i="2"/>
  <c r="O1504" i="2"/>
  <c r="Q1504" i="2"/>
  <c r="R1504" i="2"/>
  <c r="S1504" i="2"/>
  <c r="T1504" i="2"/>
  <c r="Y1504" i="2"/>
  <c r="Y2668" i="2" s="1"/>
  <c r="E1505" i="2"/>
  <c r="F1505" i="2"/>
  <c r="G1505" i="2"/>
  <c r="I1505" i="2"/>
  <c r="J1505" i="2"/>
  <c r="K1505" i="2"/>
  <c r="L1505" i="2"/>
  <c r="N1505" i="2"/>
  <c r="O1505" i="2"/>
  <c r="Q1505" i="2"/>
  <c r="R1505" i="2"/>
  <c r="S1505" i="2"/>
  <c r="T1505" i="2"/>
  <c r="Y1505" i="2"/>
  <c r="Y2669" i="2" s="1"/>
  <c r="E1506" i="2"/>
  <c r="F1506" i="2"/>
  <c r="G1506" i="2"/>
  <c r="I1506" i="2"/>
  <c r="J1506" i="2"/>
  <c r="K1506" i="2"/>
  <c r="L1506" i="2"/>
  <c r="N1506" i="2"/>
  <c r="O1506" i="2"/>
  <c r="Q1506" i="2"/>
  <c r="R1506" i="2"/>
  <c r="S1506" i="2"/>
  <c r="T1506" i="2"/>
  <c r="Y1506" i="2"/>
  <c r="Y2670" i="2" s="1"/>
  <c r="E1507" i="2"/>
  <c r="F1507" i="2"/>
  <c r="G1507" i="2"/>
  <c r="I1507" i="2"/>
  <c r="J1507" i="2"/>
  <c r="K1507" i="2"/>
  <c r="L1507" i="2"/>
  <c r="N1507" i="2"/>
  <c r="O1507" i="2"/>
  <c r="Q1507" i="2"/>
  <c r="R1507" i="2"/>
  <c r="S1507" i="2"/>
  <c r="T1507" i="2"/>
  <c r="Y1507" i="2"/>
  <c r="Y2671" i="2" s="1"/>
  <c r="E1508" i="2"/>
  <c r="F1508" i="2"/>
  <c r="G1508" i="2"/>
  <c r="I1508" i="2"/>
  <c r="J1508" i="2"/>
  <c r="K1508" i="2"/>
  <c r="L1508" i="2"/>
  <c r="N1508" i="2"/>
  <c r="O1508" i="2"/>
  <c r="Q1508" i="2"/>
  <c r="R1508" i="2"/>
  <c r="S1508" i="2"/>
  <c r="T1508" i="2"/>
  <c r="Y1508" i="2"/>
  <c r="Y2672" i="2" s="1"/>
  <c r="E1509" i="2"/>
  <c r="F1509" i="2"/>
  <c r="G1509" i="2"/>
  <c r="I1509" i="2"/>
  <c r="J1509" i="2"/>
  <c r="K1509" i="2"/>
  <c r="L1509" i="2"/>
  <c r="N1509" i="2"/>
  <c r="O1509" i="2"/>
  <c r="Q1509" i="2"/>
  <c r="R1509" i="2"/>
  <c r="S1509" i="2"/>
  <c r="T1509" i="2"/>
  <c r="Y1509" i="2"/>
  <c r="Y2673" i="2" s="1"/>
  <c r="E1510" i="2"/>
  <c r="F1510" i="2"/>
  <c r="G1510" i="2"/>
  <c r="I1510" i="2"/>
  <c r="J1510" i="2"/>
  <c r="K1510" i="2"/>
  <c r="L1510" i="2"/>
  <c r="N1510" i="2"/>
  <c r="O1510" i="2"/>
  <c r="Q1510" i="2"/>
  <c r="R1510" i="2"/>
  <c r="S1510" i="2"/>
  <c r="T1510" i="2"/>
  <c r="Y1510" i="2"/>
  <c r="Y2674" i="2" s="1"/>
  <c r="E1511" i="2"/>
  <c r="F1511" i="2"/>
  <c r="G1511" i="2"/>
  <c r="I1511" i="2"/>
  <c r="J1511" i="2"/>
  <c r="K1511" i="2"/>
  <c r="L1511" i="2"/>
  <c r="N1511" i="2"/>
  <c r="O1511" i="2"/>
  <c r="Q1511" i="2"/>
  <c r="R1511" i="2"/>
  <c r="S1511" i="2"/>
  <c r="T1511" i="2"/>
  <c r="Y1511" i="2"/>
  <c r="Y2675" i="2" s="1"/>
  <c r="E1512" i="2"/>
  <c r="F1512" i="2"/>
  <c r="G1512" i="2"/>
  <c r="I1512" i="2"/>
  <c r="J1512" i="2"/>
  <c r="K1512" i="2"/>
  <c r="L1512" i="2"/>
  <c r="N1512" i="2"/>
  <c r="O1512" i="2"/>
  <c r="Q1512" i="2"/>
  <c r="R1512" i="2"/>
  <c r="S1512" i="2"/>
  <c r="T1512" i="2"/>
  <c r="Y1512" i="2"/>
  <c r="Y2676" i="2" s="1"/>
  <c r="E1518" i="2"/>
  <c r="F1518" i="2"/>
  <c r="G1518" i="2"/>
  <c r="I1518" i="2"/>
  <c r="J1518" i="2"/>
  <c r="K1518" i="2"/>
  <c r="L1518" i="2"/>
  <c r="N1518" i="2"/>
  <c r="O1518" i="2"/>
  <c r="Q1518" i="2"/>
  <c r="R1518" i="2"/>
  <c r="S1518" i="2"/>
  <c r="T1518" i="2"/>
  <c r="Y1518" i="2"/>
  <c r="Y2682" i="2" s="1"/>
  <c r="E1519" i="2"/>
  <c r="F1519" i="2"/>
  <c r="G1519" i="2"/>
  <c r="I1519" i="2"/>
  <c r="J1519" i="2"/>
  <c r="K1519" i="2"/>
  <c r="L1519" i="2"/>
  <c r="N1519" i="2"/>
  <c r="O1519" i="2"/>
  <c r="Q1519" i="2"/>
  <c r="R1519" i="2"/>
  <c r="S1519" i="2"/>
  <c r="T1519" i="2"/>
  <c r="Y1519" i="2"/>
  <c r="Y2683" i="2" s="1"/>
  <c r="F1520" i="2"/>
  <c r="G1520" i="2"/>
  <c r="I1520" i="2"/>
  <c r="J1520" i="2"/>
  <c r="K1520" i="2"/>
  <c r="L1520" i="2"/>
  <c r="N1520" i="2"/>
  <c r="O1520" i="2"/>
  <c r="Q1520" i="2"/>
  <c r="R1520" i="2"/>
  <c r="S1520" i="2"/>
  <c r="T1520" i="2"/>
  <c r="Y1520" i="2"/>
  <c r="Y2684" i="2" s="1"/>
  <c r="E1521" i="2"/>
  <c r="F1521" i="2"/>
  <c r="G1521" i="2"/>
  <c r="I1521" i="2"/>
  <c r="J1521" i="2"/>
  <c r="K1521" i="2"/>
  <c r="L1521" i="2"/>
  <c r="N1521" i="2"/>
  <c r="O1521" i="2"/>
  <c r="Q1521" i="2"/>
  <c r="R1521" i="2"/>
  <c r="S1521" i="2"/>
  <c r="T1521" i="2"/>
  <c r="Y1521" i="2"/>
  <c r="E1522" i="2"/>
  <c r="F1522" i="2"/>
  <c r="G1522" i="2"/>
  <c r="I1522" i="2"/>
  <c r="J1522" i="2"/>
  <c r="K1522" i="2"/>
  <c r="L1522" i="2"/>
  <c r="N1522" i="2"/>
  <c r="O1522" i="2"/>
  <c r="Q1522" i="2"/>
  <c r="R1522" i="2"/>
  <c r="S1522" i="2"/>
  <c r="T1522" i="2"/>
  <c r="Y1522" i="2"/>
  <c r="F1523" i="2"/>
  <c r="G1523" i="2"/>
  <c r="I1523" i="2"/>
  <c r="J1523" i="2"/>
  <c r="K1523" i="2"/>
  <c r="L1523" i="2"/>
  <c r="N1523" i="2"/>
  <c r="O1523" i="2"/>
  <c r="Q1523" i="2"/>
  <c r="R1523" i="2"/>
  <c r="S1523" i="2"/>
  <c r="T1523" i="2"/>
  <c r="Y1523" i="2"/>
  <c r="E1524" i="2"/>
  <c r="F1524" i="2"/>
  <c r="G1524" i="2"/>
  <c r="I1524" i="2"/>
  <c r="J1524" i="2"/>
  <c r="K1524" i="2"/>
  <c r="L1524" i="2"/>
  <c r="N1524" i="2"/>
  <c r="O1524" i="2"/>
  <c r="Q1524" i="2"/>
  <c r="R1524" i="2"/>
  <c r="S1524" i="2"/>
  <c r="T1524" i="2"/>
  <c r="Y1524" i="2"/>
  <c r="E1525" i="2"/>
  <c r="F1525" i="2"/>
  <c r="G1525" i="2"/>
  <c r="I1525" i="2"/>
  <c r="J1525" i="2"/>
  <c r="K1525" i="2"/>
  <c r="L1525" i="2"/>
  <c r="N1525" i="2"/>
  <c r="O1525" i="2"/>
  <c r="Q1525" i="2"/>
  <c r="R1525" i="2"/>
  <c r="S1525" i="2"/>
  <c r="T1525" i="2"/>
  <c r="Y1525" i="2"/>
  <c r="E1526" i="2"/>
  <c r="F1526" i="2"/>
  <c r="G1526" i="2"/>
  <c r="H1526" i="2"/>
  <c r="I1526" i="2"/>
  <c r="J1526" i="2"/>
  <c r="K1526" i="2"/>
  <c r="L1526" i="2"/>
  <c r="M1526" i="2"/>
  <c r="N1526" i="2"/>
  <c r="O1526" i="2"/>
  <c r="P1526" i="2"/>
  <c r="Q1526" i="2"/>
  <c r="R1526" i="2"/>
  <c r="S1526" i="2"/>
  <c r="T1526" i="2"/>
  <c r="U1526" i="2"/>
  <c r="V1526" i="2"/>
  <c r="W1526" i="2"/>
  <c r="X1526" i="2"/>
  <c r="Y1526" i="2"/>
  <c r="Z1526" i="2"/>
  <c r="AA1526" i="2"/>
  <c r="AB1526" i="2"/>
  <c r="E1527" i="2"/>
  <c r="F1527" i="2"/>
  <c r="G1527" i="2"/>
  <c r="I1527" i="2"/>
  <c r="J1527" i="2"/>
  <c r="K1527" i="2"/>
  <c r="L1527" i="2"/>
  <c r="N1527" i="2"/>
  <c r="O1527" i="2"/>
  <c r="Q1527" i="2"/>
  <c r="R1527" i="2"/>
  <c r="S1527" i="2"/>
  <c r="T1527" i="2"/>
  <c r="Y1527" i="2"/>
  <c r="E1528" i="2"/>
  <c r="F1528" i="2"/>
  <c r="G1528" i="2"/>
  <c r="I1528" i="2"/>
  <c r="J1528" i="2"/>
  <c r="K1528" i="2"/>
  <c r="L1528" i="2"/>
  <c r="N1528" i="2"/>
  <c r="O1528" i="2"/>
  <c r="Q1528" i="2"/>
  <c r="R1528" i="2"/>
  <c r="S1528" i="2"/>
  <c r="T1528" i="2"/>
  <c r="Y1528" i="2"/>
  <c r="E1529" i="2"/>
  <c r="F1529" i="2"/>
  <c r="G1529" i="2"/>
  <c r="I1529" i="2"/>
  <c r="J1529" i="2"/>
  <c r="K1529" i="2"/>
  <c r="L1529" i="2"/>
  <c r="N1529" i="2"/>
  <c r="O1529" i="2"/>
  <c r="Q1529" i="2"/>
  <c r="R1529" i="2"/>
  <c r="S1529" i="2"/>
  <c r="T1529" i="2"/>
  <c r="Y1529" i="2"/>
  <c r="E1530" i="2"/>
  <c r="G1530" i="2"/>
  <c r="I1530" i="2"/>
  <c r="J1530" i="2"/>
  <c r="K1530" i="2"/>
  <c r="L1530" i="2"/>
  <c r="N1530" i="2"/>
  <c r="O1530" i="2"/>
  <c r="Q1530" i="2"/>
  <c r="R1530" i="2"/>
  <c r="S1530" i="2"/>
  <c r="T1530" i="2"/>
  <c r="Y1530" i="2"/>
  <c r="E1531" i="2"/>
  <c r="F1531" i="2"/>
  <c r="G1531" i="2"/>
  <c r="I1531" i="2"/>
  <c r="J1531" i="2"/>
  <c r="K1531" i="2"/>
  <c r="L1531" i="2"/>
  <c r="N1531" i="2"/>
  <c r="O1531" i="2"/>
  <c r="Q1531" i="2"/>
  <c r="R1531" i="2"/>
  <c r="S1531" i="2"/>
  <c r="T1531" i="2"/>
  <c r="Y1531" i="2"/>
  <c r="E1532" i="2"/>
  <c r="F1532" i="2"/>
  <c r="G1532" i="2"/>
  <c r="I1532" i="2"/>
  <c r="J1532" i="2"/>
  <c r="K1532" i="2"/>
  <c r="L1532" i="2"/>
  <c r="N1532" i="2"/>
  <c r="O1532" i="2"/>
  <c r="Q1532" i="2"/>
  <c r="R1532" i="2"/>
  <c r="S1532" i="2"/>
  <c r="T1532" i="2"/>
  <c r="Y1532" i="2"/>
  <c r="E1533" i="2"/>
  <c r="F1533" i="2"/>
  <c r="G1533" i="2"/>
  <c r="I1533" i="2"/>
  <c r="J1533" i="2"/>
  <c r="K1533" i="2"/>
  <c r="L1533" i="2"/>
  <c r="N1533" i="2"/>
  <c r="O1533" i="2"/>
  <c r="Q1533" i="2"/>
  <c r="R1533" i="2"/>
  <c r="S1533" i="2"/>
  <c r="T1533" i="2"/>
  <c r="Y1533" i="2"/>
  <c r="E1534" i="2"/>
  <c r="F1534" i="2"/>
  <c r="G1534" i="2"/>
  <c r="I1534" i="2"/>
  <c r="J1534" i="2"/>
  <c r="K1534" i="2"/>
  <c r="L1534" i="2"/>
  <c r="N1534" i="2"/>
  <c r="O1534" i="2"/>
  <c r="Q1534" i="2"/>
  <c r="R1534" i="2"/>
  <c r="S1534" i="2"/>
  <c r="T1534" i="2"/>
  <c r="Y1534" i="2"/>
  <c r="E1535" i="2"/>
  <c r="F1535" i="2"/>
  <c r="G1535" i="2"/>
  <c r="I1535" i="2"/>
  <c r="J1535" i="2"/>
  <c r="K1535" i="2"/>
  <c r="L1535" i="2"/>
  <c r="N1535" i="2"/>
  <c r="O1535" i="2"/>
  <c r="Q1535" i="2"/>
  <c r="R1535" i="2"/>
  <c r="S1535" i="2"/>
  <c r="T1535" i="2"/>
  <c r="Y1535" i="2"/>
  <c r="E1540" i="2"/>
  <c r="F1540" i="2"/>
  <c r="G1540" i="2"/>
  <c r="I1540" i="2"/>
  <c r="J1540" i="2"/>
  <c r="K1540" i="2"/>
  <c r="L1540" i="2"/>
  <c r="N1540" i="2"/>
  <c r="O1540" i="2"/>
  <c r="Q1540" i="2"/>
  <c r="R1540" i="2"/>
  <c r="S1540" i="2"/>
  <c r="T1540" i="2"/>
  <c r="Y1540" i="2"/>
  <c r="E1541" i="2"/>
  <c r="F1541" i="2"/>
  <c r="G1541" i="2"/>
  <c r="I1541" i="2"/>
  <c r="J1541" i="2"/>
  <c r="K1541" i="2"/>
  <c r="L1541" i="2"/>
  <c r="N1541" i="2"/>
  <c r="O1541" i="2"/>
  <c r="Q1541" i="2"/>
  <c r="R1541" i="2"/>
  <c r="S1541" i="2"/>
  <c r="T1541" i="2"/>
  <c r="Y1541" i="2"/>
  <c r="E1542" i="2"/>
  <c r="F1542" i="2"/>
  <c r="G1542" i="2"/>
  <c r="I1542" i="2"/>
  <c r="J1542" i="2"/>
  <c r="K1542" i="2"/>
  <c r="L1542" i="2"/>
  <c r="N1542" i="2"/>
  <c r="O1542" i="2"/>
  <c r="Q1542" i="2"/>
  <c r="R1542" i="2"/>
  <c r="S1542" i="2"/>
  <c r="T1542" i="2"/>
  <c r="Y1542" i="2"/>
  <c r="F1543" i="2"/>
  <c r="G1543" i="2"/>
  <c r="I1543" i="2"/>
  <c r="J1543" i="2"/>
  <c r="K1543" i="2"/>
  <c r="L1543" i="2"/>
  <c r="N1543" i="2"/>
  <c r="O1543" i="2"/>
  <c r="Q1543" i="2"/>
  <c r="R1543" i="2"/>
  <c r="S1543" i="2"/>
  <c r="T1543" i="2"/>
  <c r="Y1543" i="2"/>
  <c r="E1544" i="2"/>
  <c r="F1544" i="2"/>
  <c r="G1544" i="2"/>
  <c r="I1544" i="2"/>
  <c r="J1544" i="2"/>
  <c r="K1544" i="2"/>
  <c r="L1544" i="2"/>
  <c r="N1544" i="2"/>
  <c r="O1544" i="2"/>
  <c r="Q1544" i="2"/>
  <c r="R1544" i="2"/>
  <c r="S1544" i="2"/>
  <c r="T1544" i="2"/>
  <c r="Y1544" i="2"/>
  <c r="E1545" i="2"/>
  <c r="F1545" i="2"/>
  <c r="G1545" i="2"/>
  <c r="I1545" i="2"/>
  <c r="J1545" i="2"/>
  <c r="K1545" i="2"/>
  <c r="L1545" i="2"/>
  <c r="N1545" i="2"/>
  <c r="O1545" i="2"/>
  <c r="Q1545" i="2"/>
  <c r="R1545" i="2"/>
  <c r="S1545" i="2"/>
  <c r="T1545" i="2"/>
  <c r="Y1545" i="2"/>
  <c r="E1546" i="2"/>
  <c r="F1546" i="2"/>
  <c r="G1546" i="2"/>
  <c r="I1546" i="2"/>
  <c r="J1546" i="2"/>
  <c r="K1546" i="2"/>
  <c r="L1546" i="2"/>
  <c r="N1546" i="2"/>
  <c r="O1546" i="2"/>
  <c r="Q1546" i="2"/>
  <c r="R1546" i="2"/>
  <c r="S1546" i="2"/>
  <c r="T1546" i="2"/>
  <c r="Y1546" i="2"/>
  <c r="E1547" i="2"/>
  <c r="F1547" i="2"/>
  <c r="G1547" i="2"/>
  <c r="I1547" i="2"/>
  <c r="J1547" i="2"/>
  <c r="K1547" i="2"/>
  <c r="L1547" i="2"/>
  <c r="N1547" i="2"/>
  <c r="O1547" i="2"/>
  <c r="Q1547" i="2"/>
  <c r="R1547" i="2"/>
  <c r="S1547" i="2"/>
  <c r="T1547" i="2"/>
  <c r="Y1547" i="2"/>
  <c r="E1548" i="2"/>
  <c r="F1548" i="2"/>
  <c r="G1548" i="2"/>
  <c r="I1548" i="2"/>
  <c r="J1548" i="2"/>
  <c r="K1548" i="2"/>
  <c r="L1548" i="2"/>
  <c r="N1548" i="2"/>
  <c r="O1548" i="2"/>
  <c r="Q1548" i="2"/>
  <c r="R1548" i="2"/>
  <c r="S1548" i="2"/>
  <c r="T1548" i="2"/>
  <c r="Y1548" i="2"/>
  <c r="E1549" i="2"/>
  <c r="F1549" i="2"/>
  <c r="G1549" i="2"/>
  <c r="I1549" i="2"/>
  <c r="J1549" i="2"/>
  <c r="K1549" i="2"/>
  <c r="L1549" i="2"/>
  <c r="N1549" i="2"/>
  <c r="O1549" i="2"/>
  <c r="Q1549" i="2"/>
  <c r="R1549" i="2"/>
  <c r="S1549" i="2"/>
  <c r="T1549" i="2"/>
  <c r="Y1549" i="2"/>
  <c r="G1550" i="2"/>
  <c r="I1550" i="2"/>
  <c r="J1550" i="2"/>
  <c r="K1550" i="2"/>
  <c r="L1550" i="2"/>
  <c r="N1550" i="2"/>
  <c r="O1550" i="2"/>
  <c r="Q1550" i="2"/>
  <c r="R1550" i="2"/>
  <c r="S1550" i="2"/>
  <c r="T1550" i="2"/>
  <c r="Y1550" i="2"/>
  <c r="E1551" i="2"/>
  <c r="F1551" i="2"/>
  <c r="G1551" i="2"/>
  <c r="I1551" i="2"/>
  <c r="J1551" i="2"/>
  <c r="K1551" i="2"/>
  <c r="L1551" i="2"/>
  <c r="N1551" i="2"/>
  <c r="O1551" i="2"/>
  <c r="Q1551" i="2"/>
  <c r="R1551" i="2"/>
  <c r="S1551" i="2"/>
  <c r="T1551" i="2"/>
  <c r="Y1551" i="2"/>
  <c r="E1552" i="2"/>
  <c r="F1552" i="2"/>
  <c r="G1552" i="2"/>
  <c r="I1552" i="2"/>
  <c r="J1552" i="2"/>
  <c r="K1552" i="2"/>
  <c r="L1552" i="2"/>
  <c r="N1552" i="2"/>
  <c r="O1552" i="2"/>
  <c r="P1552" i="2"/>
  <c r="Q1552" i="2"/>
  <c r="R1552" i="2"/>
  <c r="S1552" i="2"/>
  <c r="T1552" i="2"/>
  <c r="Y1552" i="2"/>
  <c r="E1553" i="2"/>
  <c r="F1553" i="2"/>
  <c r="G1553" i="2"/>
  <c r="I1553" i="2"/>
  <c r="J1553" i="2"/>
  <c r="K1553" i="2"/>
  <c r="L1553" i="2"/>
  <c r="N1553" i="2"/>
  <c r="O1553" i="2"/>
  <c r="Q1553" i="2"/>
  <c r="R1553" i="2"/>
  <c r="S1553" i="2"/>
  <c r="T1553" i="2"/>
  <c r="Y1553" i="2"/>
  <c r="G1554" i="2"/>
  <c r="I1554" i="2"/>
  <c r="J1554" i="2"/>
  <c r="K1554" i="2"/>
  <c r="L1554" i="2"/>
  <c r="N1554" i="2"/>
  <c r="O1554" i="2"/>
  <c r="Q1554" i="2"/>
  <c r="R1554" i="2"/>
  <c r="S1554" i="2"/>
  <c r="T1554" i="2"/>
  <c r="Y1554" i="2"/>
  <c r="F1559" i="2"/>
  <c r="G1559" i="2"/>
  <c r="I1559" i="2"/>
  <c r="J1559" i="2"/>
  <c r="K1559" i="2"/>
  <c r="L1559" i="2"/>
  <c r="N1559" i="2"/>
  <c r="O1559" i="2"/>
  <c r="Q1559" i="2"/>
  <c r="R1559" i="2"/>
  <c r="S1559" i="2"/>
  <c r="T1559" i="2"/>
  <c r="Y1559" i="2"/>
  <c r="E1560" i="2"/>
  <c r="F1560" i="2"/>
  <c r="G1560" i="2"/>
  <c r="I1560" i="2"/>
  <c r="J1560" i="2"/>
  <c r="K1560" i="2"/>
  <c r="L1560" i="2"/>
  <c r="N1560" i="2"/>
  <c r="O1560" i="2"/>
  <c r="Q1560" i="2"/>
  <c r="R1560" i="2"/>
  <c r="S1560" i="2"/>
  <c r="T1560" i="2"/>
  <c r="Y1560" i="2"/>
  <c r="E1561" i="2"/>
  <c r="F1561" i="2"/>
  <c r="G1561" i="2"/>
  <c r="I1561" i="2"/>
  <c r="J1561" i="2"/>
  <c r="K1561" i="2"/>
  <c r="L1561" i="2"/>
  <c r="N1561" i="2"/>
  <c r="O1561" i="2"/>
  <c r="Q1561" i="2"/>
  <c r="R1561" i="2"/>
  <c r="S1561" i="2"/>
  <c r="T1561" i="2"/>
  <c r="Y1561" i="2"/>
  <c r="E1562" i="2"/>
  <c r="F1562" i="2"/>
  <c r="G1562" i="2"/>
  <c r="I1562" i="2"/>
  <c r="J1562" i="2"/>
  <c r="K1562" i="2"/>
  <c r="L1562" i="2"/>
  <c r="N1562" i="2"/>
  <c r="O1562" i="2"/>
  <c r="Q1562" i="2"/>
  <c r="R1562" i="2"/>
  <c r="S1562" i="2"/>
  <c r="T1562" i="2"/>
  <c r="Y1562" i="2"/>
  <c r="E1563" i="2"/>
  <c r="F1563" i="2"/>
  <c r="G1563" i="2"/>
  <c r="I1563" i="2"/>
  <c r="J1563" i="2"/>
  <c r="K1563" i="2"/>
  <c r="L1563" i="2"/>
  <c r="N1563" i="2"/>
  <c r="O1563" i="2"/>
  <c r="Q1563" i="2"/>
  <c r="R1563" i="2"/>
  <c r="S1563" i="2"/>
  <c r="T1563" i="2"/>
  <c r="Y1563" i="2"/>
  <c r="E1564" i="2"/>
  <c r="F1564" i="2"/>
  <c r="G1564" i="2"/>
  <c r="I1564" i="2"/>
  <c r="J1564" i="2"/>
  <c r="K1564" i="2"/>
  <c r="L1564" i="2"/>
  <c r="N1564" i="2"/>
  <c r="O1564" i="2"/>
  <c r="Q1564" i="2"/>
  <c r="R1564" i="2"/>
  <c r="S1564" i="2"/>
  <c r="T1564" i="2"/>
  <c r="Y1564" i="2"/>
  <c r="E1565" i="2"/>
  <c r="F1565" i="2"/>
  <c r="G1565" i="2"/>
  <c r="H1565" i="2"/>
  <c r="I1565" i="2"/>
  <c r="J1565" i="2"/>
  <c r="K1565" i="2"/>
  <c r="L1565" i="2"/>
  <c r="M1565" i="2"/>
  <c r="N1565" i="2"/>
  <c r="O1565" i="2"/>
  <c r="P1565" i="2"/>
  <c r="Q1565" i="2"/>
  <c r="R1565" i="2"/>
  <c r="S1565" i="2"/>
  <c r="T1565" i="2"/>
  <c r="U1565" i="2"/>
  <c r="V1565" i="2"/>
  <c r="W1565" i="2"/>
  <c r="X1565" i="2"/>
  <c r="Y1565" i="2"/>
  <c r="Z1565" i="2"/>
  <c r="AA1565" i="2"/>
  <c r="AB1565" i="2"/>
  <c r="E1566" i="2"/>
  <c r="F1566" i="2"/>
  <c r="G1566" i="2"/>
  <c r="I1566" i="2"/>
  <c r="J1566" i="2"/>
  <c r="K1566" i="2"/>
  <c r="L1566" i="2"/>
  <c r="N1566" i="2"/>
  <c r="O1566" i="2"/>
  <c r="Q1566" i="2"/>
  <c r="R1566" i="2"/>
  <c r="S1566" i="2"/>
  <c r="T1566" i="2"/>
  <c r="Y1566" i="2"/>
  <c r="E1567" i="2"/>
  <c r="F1567" i="2"/>
  <c r="G1567" i="2"/>
  <c r="I1567" i="2"/>
  <c r="J1567" i="2"/>
  <c r="K1567" i="2"/>
  <c r="L1567" i="2"/>
  <c r="N1567" i="2"/>
  <c r="O1567" i="2"/>
  <c r="Q1567" i="2"/>
  <c r="R1567" i="2"/>
  <c r="S1567" i="2"/>
  <c r="T1567" i="2"/>
  <c r="Y1567" i="2"/>
  <c r="E1568" i="2"/>
  <c r="F1568" i="2"/>
  <c r="G1568" i="2"/>
  <c r="I1568" i="2"/>
  <c r="J1568" i="2"/>
  <c r="K1568" i="2"/>
  <c r="L1568" i="2"/>
  <c r="N1568" i="2"/>
  <c r="O1568" i="2"/>
  <c r="Q1568" i="2"/>
  <c r="R1568" i="2"/>
  <c r="S1568" i="2"/>
  <c r="T1568" i="2"/>
  <c r="Y1568" i="2"/>
  <c r="E1569" i="2"/>
  <c r="F1569" i="2"/>
  <c r="G1569" i="2"/>
  <c r="I1569" i="2"/>
  <c r="J1569" i="2"/>
  <c r="K1569" i="2"/>
  <c r="L1569" i="2"/>
  <c r="N1569" i="2"/>
  <c r="O1569" i="2"/>
  <c r="Q1569" i="2"/>
  <c r="R1569" i="2"/>
  <c r="S1569" i="2"/>
  <c r="T1569" i="2"/>
  <c r="Y1569" i="2"/>
  <c r="E1570" i="2"/>
  <c r="F1570" i="2"/>
  <c r="G1570" i="2"/>
  <c r="I1570" i="2"/>
  <c r="J1570" i="2"/>
  <c r="K1570" i="2"/>
  <c r="L1570" i="2"/>
  <c r="N1570" i="2"/>
  <c r="O1570" i="2"/>
  <c r="Q1570" i="2"/>
  <c r="R1570" i="2"/>
  <c r="S1570" i="2"/>
  <c r="T1570" i="2"/>
  <c r="Y1570" i="2"/>
  <c r="G1571" i="2"/>
  <c r="I1571" i="2"/>
  <c r="J1571" i="2"/>
  <c r="K1571" i="2"/>
  <c r="L1571" i="2"/>
  <c r="N1571" i="2"/>
  <c r="O1571" i="2"/>
  <c r="Q1571" i="2"/>
  <c r="R1571" i="2"/>
  <c r="S1571" i="2"/>
  <c r="T1571" i="2"/>
  <c r="Y1571" i="2"/>
  <c r="E1576" i="2"/>
  <c r="F1576" i="2"/>
  <c r="G1576" i="2"/>
  <c r="I1576" i="2"/>
  <c r="J1576" i="2"/>
  <c r="K1576" i="2"/>
  <c r="L1576" i="2"/>
  <c r="N1576" i="2"/>
  <c r="O1576" i="2"/>
  <c r="Q1576" i="2"/>
  <c r="R1576" i="2"/>
  <c r="S1576" i="2"/>
  <c r="T1576" i="2"/>
  <c r="Y1576" i="2"/>
  <c r="E1577" i="2"/>
  <c r="F1577" i="2"/>
  <c r="G1577" i="2"/>
  <c r="I1577" i="2"/>
  <c r="J1577" i="2"/>
  <c r="K1577" i="2"/>
  <c r="L1577" i="2"/>
  <c r="N1577" i="2"/>
  <c r="O1577" i="2"/>
  <c r="Q1577" i="2"/>
  <c r="R1577" i="2"/>
  <c r="S1577" i="2"/>
  <c r="T1577" i="2"/>
  <c r="Y1577" i="2"/>
  <c r="E1578" i="2"/>
  <c r="F1578" i="2"/>
  <c r="G1578" i="2"/>
  <c r="I1578" i="2"/>
  <c r="J1578" i="2"/>
  <c r="K1578" i="2"/>
  <c r="L1578" i="2"/>
  <c r="N1578" i="2"/>
  <c r="O1578" i="2"/>
  <c r="Q1578" i="2"/>
  <c r="R1578" i="2"/>
  <c r="S1578" i="2"/>
  <c r="T1578" i="2"/>
  <c r="Y1578" i="2"/>
  <c r="E1579" i="2"/>
  <c r="F1579" i="2"/>
  <c r="G1579" i="2"/>
  <c r="I1579" i="2"/>
  <c r="J1579" i="2"/>
  <c r="K1579" i="2"/>
  <c r="L1579" i="2"/>
  <c r="N1579" i="2"/>
  <c r="O1579" i="2"/>
  <c r="Q1579" i="2"/>
  <c r="R1579" i="2"/>
  <c r="S1579" i="2"/>
  <c r="T1579" i="2"/>
  <c r="Y1579" i="2"/>
  <c r="E1580" i="2"/>
  <c r="F1580" i="2"/>
  <c r="G1580" i="2"/>
  <c r="I1580" i="2"/>
  <c r="J1580" i="2"/>
  <c r="K1580" i="2"/>
  <c r="L1580" i="2"/>
  <c r="N1580" i="2"/>
  <c r="O1580" i="2"/>
  <c r="Q1580" i="2"/>
  <c r="R1580" i="2"/>
  <c r="S1580" i="2"/>
  <c r="T1580" i="2"/>
  <c r="Y1580" i="2"/>
  <c r="E1581" i="2"/>
  <c r="F1581" i="2"/>
  <c r="G1581" i="2"/>
  <c r="I1581" i="2"/>
  <c r="J1581" i="2"/>
  <c r="K1581" i="2"/>
  <c r="L1581" i="2"/>
  <c r="N1581" i="2"/>
  <c r="O1581" i="2"/>
  <c r="Q1581" i="2"/>
  <c r="R1581" i="2"/>
  <c r="S1581" i="2"/>
  <c r="T1581" i="2"/>
  <c r="Y1581" i="2"/>
  <c r="E1582" i="2"/>
  <c r="F1582" i="2"/>
  <c r="G1582" i="2"/>
  <c r="I1582" i="2"/>
  <c r="J1582" i="2"/>
  <c r="K1582" i="2"/>
  <c r="L1582" i="2"/>
  <c r="N1582" i="2"/>
  <c r="O1582" i="2"/>
  <c r="Q1582" i="2"/>
  <c r="R1582" i="2"/>
  <c r="S1582" i="2"/>
  <c r="T1582" i="2"/>
  <c r="Y1582" i="2"/>
  <c r="E1583" i="2"/>
  <c r="F1583" i="2"/>
  <c r="G1583" i="2"/>
  <c r="I1583" i="2"/>
  <c r="J1583" i="2"/>
  <c r="K1583" i="2"/>
  <c r="L1583" i="2"/>
  <c r="N1583" i="2"/>
  <c r="O1583" i="2"/>
  <c r="Q1583" i="2"/>
  <c r="R1583" i="2"/>
  <c r="S1583" i="2"/>
  <c r="T1583" i="2"/>
  <c r="Y1583" i="2"/>
  <c r="E1584" i="2"/>
  <c r="F1584" i="2"/>
  <c r="G1584" i="2"/>
  <c r="I1584" i="2"/>
  <c r="J1584" i="2"/>
  <c r="K1584" i="2"/>
  <c r="L1584" i="2"/>
  <c r="N1584" i="2"/>
  <c r="O1584" i="2"/>
  <c r="Q1584" i="2"/>
  <c r="R1584" i="2"/>
  <c r="S1584" i="2"/>
  <c r="T1584" i="2"/>
  <c r="Y1584" i="2"/>
  <c r="G1585" i="2"/>
  <c r="I1585" i="2"/>
  <c r="J1585" i="2"/>
  <c r="K1585" i="2"/>
  <c r="L1585" i="2"/>
  <c r="N1585" i="2"/>
  <c r="O1585" i="2"/>
  <c r="Q1585" i="2"/>
  <c r="R1585" i="2"/>
  <c r="S1585" i="2"/>
  <c r="T1585" i="2"/>
  <c r="Y1585" i="2"/>
  <c r="E1586" i="2"/>
  <c r="F1586" i="2"/>
  <c r="G1586" i="2"/>
  <c r="I1586" i="2"/>
  <c r="J1586" i="2"/>
  <c r="K1586" i="2"/>
  <c r="L1586" i="2"/>
  <c r="N1586" i="2"/>
  <c r="O1586" i="2"/>
  <c r="Q1586" i="2"/>
  <c r="R1586" i="2"/>
  <c r="S1586" i="2"/>
  <c r="T1586" i="2"/>
  <c r="Y1586" i="2"/>
  <c r="E1587" i="2"/>
  <c r="F1587" i="2"/>
  <c r="G1587" i="2"/>
  <c r="I1587" i="2"/>
  <c r="J1587" i="2"/>
  <c r="K1587" i="2"/>
  <c r="L1587" i="2"/>
  <c r="N1587" i="2"/>
  <c r="O1587" i="2"/>
  <c r="Q1587" i="2"/>
  <c r="R1587" i="2"/>
  <c r="S1587" i="2"/>
  <c r="T1587" i="2"/>
  <c r="Y1587" i="2"/>
  <c r="E1592" i="2"/>
  <c r="F1592" i="2"/>
  <c r="G1592" i="2"/>
  <c r="I1592" i="2"/>
  <c r="J1592" i="2"/>
  <c r="K1592" i="2"/>
  <c r="L1592" i="2"/>
  <c r="N1592" i="2"/>
  <c r="O1592" i="2"/>
  <c r="Q1592" i="2"/>
  <c r="R1592" i="2"/>
  <c r="S1592" i="2"/>
  <c r="T1592" i="2"/>
  <c r="Y1592" i="2"/>
  <c r="E1593" i="2"/>
  <c r="F1593" i="2"/>
  <c r="G1593" i="2"/>
  <c r="I1593" i="2"/>
  <c r="J1593" i="2"/>
  <c r="K1593" i="2"/>
  <c r="L1593" i="2"/>
  <c r="N1593" i="2"/>
  <c r="O1593" i="2"/>
  <c r="Q1593" i="2"/>
  <c r="R1593" i="2"/>
  <c r="S1593" i="2"/>
  <c r="T1593" i="2"/>
  <c r="Y1593" i="2"/>
  <c r="E1594" i="2"/>
  <c r="F1594" i="2"/>
  <c r="G1594" i="2"/>
  <c r="I1594" i="2"/>
  <c r="J1594" i="2"/>
  <c r="K1594" i="2"/>
  <c r="L1594" i="2"/>
  <c r="N1594" i="2"/>
  <c r="O1594" i="2"/>
  <c r="Q1594" i="2"/>
  <c r="R1594" i="2"/>
  <c r="S1594" i="2"/>
  <c r="T1594" i="2"/>
  <c r="Y1594" i="2"/>
  <c r="E1595" i="2"/>
  <c r="F1595" i="2"/>
  <c r="G1595" i="2"/>
  <c r="I1595" i="2"/>
  <c r="J1595" i="2"/>
  <c r="K1595" i="2"/>
  <c r="L1595" i="2"/>
  <c r="N1595" i="2"/>
  <c r="O1595" i="2"/>
  <c r="Q1595" i="2"/>
  <c r="R1595" i="2"/>
  <c r="S1595" i="2"/>
  <c r="T1595" i="2"/>
  <c r="Y1595" i="2"/>
  <c r="E1596" i="2"/>
  <c r="F1596" i="2"/>
  <c r="G1596" i="2"/>
  <c r="I1596" i="2"/>
  <c r="J1596" i="2"/>
  <c r="K1596" i="2"/>
  <c r="L1596" i="2"/>
  <c r="N1596" i="2"/>
  <c r="O1596" i="2"/>
  <c r="Q1596" i="2"/>
  <c r="R1596" i="2"/>
  <c r="S1596" i="2"/>
  <c r="T1596" i="2"/>
  <c r="Y1596" i="2"/>
  <c r="E1597" i="2"/>
  <c r="F1597" i="2"/>
  <c r="G1597" i="2"/>
  <c r="I1597" i="2"/>
  <c r="J1597" i="2"/>
  <c r="K1597" i="2"/>
  <c r="L1597" i="2"/>
  <c r="N1597" i="2"/>
  <c r="O1597" i="2"/>
  <c r="Q1597" i="2"/>
  <c r="R1597" i="2"/>
  <c r="S1597" i="2"/>
  <c r="T1597" i="2"/>
  <c r="Y1597" i="2"/>
  <c r="E1598" i="2"/>
  <c r="F1598" i="2"/>
  <c r="G1598" i="2"/>
  <c r="I1598" i="2"/>
  <c r="J1598" i="2"/>
  <c r="K1598" i="2"/>
  <c r="L1598" i="2"/>
  <c r="N1598" i="2"/>
  <c r="O1598" i="2"/>
  <c r="Q1598" i="2"/>
  <c r="R1598" i="2"/>
  <c r="S1598" i="2"/>
  <c r="T1598" i="2"/>
  <c r="Y1598" i="2"/>
  <c r="E1599" i="2"/>
  <c r="F1599" i="2"/>
  <c r="G1599" i="2"/>
  <c r="I1599" i="2"/>
  <c r="J1599" i="2"/>
  <c r="K1599" i="2"/>
  <c r="L1599" i="2"/>
  <c r="N1599" i="2"/>
  <c r="O1599" i="2"/>
  <c r="Q1599" i="2"/>
  <c r="R1599" i="2"/>
  <c r="S1599" i="2"/>
  <c r="T1599" i="2"/>
  <c r="Y1599" i="2"/>
  <c r="E1600" i="2"/>
  <c r="F1600" i="2"/>
  <c r="G1600" i="2"/>
  <c r="I1600" i="2"/>
  <c r="I2675" i="2" s="1"/>
  <c r="J1600" i="2"/>
  <c r="J2675" i="2" s="1"/>
  <c r="K1600" i="2"/>
  <c r="K2675" i="2" s="1"/>
  <c r="L1600" i="2"/>
  <c r="N1600" i="2"/>
  <c r="O1600" i="2"/>
  <c r="Q1600" i="2"/>
  <c r="Q2675" i="2" s="1"/>
  <c r="R1600" i="2"/>
  <c r="R2675" i="2" s="1"/>
  <c r="S1600" i="2"/>
  <c r="S2675" i="2" s="1"/>
  <c r="T1600" i="2"/>
  <c r="Y1600" i="2"/>
  <c r="E1601" i="2"/>
  <c r="F1601" i="2"/>
  <c r="G1601" i="2"/>
  <c r="I1601" i="2"/>
  <c r="J1601" i="2"/>
  <c r="K1601" i="2"/>
  <c r="L1601" i="2"/>
  <c r="N1601" i="2"/>
  <c r="O1601" i="2"/>
  <c r="Q1601" i="2"/>
  <c r="R1601" i="2"/>
  <c r="S1601" i="2"/>
  <c r="T1601" i="2"/>
  <c r="Y1601" i="2"/>
  <c r="E1602" i="2"/>
  <c r="F1602" i="2"/>
  <c r="G1602" i="2"/>
  <c r="I1602" i="2"/>
  <c r="J1602" i="2"/>
  <c r="K1602" i="2"/>
  <c r="L1602" i="2"/>
  <c r="N1602" i="2"/>
  <c r="O1602" i="2"/>
  <c r="Q1602" i="2"/>
  <c r="R1602" i="2"/>
  <c r="S1602" i="2"/>
  <c r="T1602" i="2"/>
  <c r="Y1602" i="2"/>
  <c r="F1603" i="2"/>
  <c r="G1603" i="2"/>
  <c r="I1603" i="2"/>
  <c r="J1603" i="2"/>
  <c r="K1603" i="2"/>
  <c r="L1603" i="2"/>
  <c r="N1603" i="2"/>
  <c r="O1603" i="2"/>
  <c r="Q1603" i="2"/>
  <c r="R1603" i="2"/>
  <c r="S1603" i="2"/>
  <c r="T1603" i="2"/>
  <c r="Y1603" i="2"/>
  <c r="E1608" i="2"/>
  <c r="F1608" i="2"/>
  <c r="G1608" i="2"/>
  <c r="I1608" i="2"/>
  <c r="J1608" i="2"/>
  <c r="K1608" i="2"/>
  <c r="L1608" i="2"/>
  <c r="N1608" i="2"/>
  <c r="O1608" i="2"/>
  <c r="Q1608" i="2"/>
  <c r="R1608" i="2"/>
  <c r="S1608" i="2"/>
  <c r="T1608" i="2"/>
  <c r="Y1608" i="2"/>
  <c r="E1609" i="2"/>
  <c r="F1609" i="2"/>
  <c r="G1609" i="2"/>
  <c r="I1609" i="2"/>
  <c r="J1609" i="2"/>
  <c r="K1609" i="2"/>
  <c r="L1609" i="2"/>
  <c r="N1609" i="2"/>
  <c r="O1609" i="2"/>
  <c r="Q1609" i="2"/>
  <c r="R1609" i="2"/>
  <c r="S1609" i="2"/>
  <c r="T1609" i="2"/>
  <c r="Y1609" i="2"/>
  <c r="E1610" i="2"/>
  <c r="F1610" i="2"/>
  <c r="G1610" i="2"/>
  <c r="I1610" i="2"/>
  <c r="J1610" i="2"/>
  <c r="K1610" i="2"/>
  <c r="L1610" i="2"/>
  <c r="N1610" i="2"/>
  <c r="O1610" i="2"/>
  <c r="Q1610" i="2"/>
  <c r="R1610" i="2"/>
  <c r="S1610" i="2"/>
  <c r="T1610" i="2"/>
  <c r="Y1610" i="2"/>
  <c r="E1611" i="2"/>
  <c r="F1611" i="2"/>
  <c r="G1611" i="2"/>
  <c r="I1611" i="2"/>
  <c r="J1611" i="2"/>
  <c r="K1611" i="2"/>
  <c r="L1611" i="2"/>
  <c r="N1611" i="2"/>
  <c r="O1611" i="2"/>
  <c r="Q1611" i="2"/>
  <c r="R1611" i="2"/>
  <c r="S1611" i="2"/>
  <c r="T1611" i="2"/>
  <c r="Y1611" i="2"/>
  <c r="E1612" i="2"/>
  <c r="F1612" i="2"/>
  <c r="G1612" i="2"/>
  <c r="I1612" i="2"/>
  <c r="J1612" i="2"/>
  <c r="K1612" i="2"/>
  <c r="L1612" i="2"/>
  <c r="N1612" i="2"/>
  <c r="O1612" i="2"/>
  <c r="Q1612" i="2"/>
  <c r="R1612" i="2"/>
  <c r="S1612" i="2"/>
  <c r="T1612" i="2"/>
  <c r="Y1612" i="2"/>
  <c r="E1613" i="2"/>
  <c r="F1613" i="2"/>
  <c r="G1613" i="2"/>
  <c r="I1613" i="2"/>
  <c r="J1613" i="2"/>
  <c r="K1613" i="2"/>
  <c r="L1613" i="2"/>
  <c r="N1613" i="2"/>
  <c r="O1613" i="2"/>
  <c r="Q1613" i="2"/>
  <c r="R1613" i="2"/>
  <c r="S1613" i="2"/>
  <c r="T1613" i="2"/>
  <c r="Y1613" i="2"/>
  <c r="E1614" i="2"/>
  <c r="F1614" i="2"/>
  <c r="G1614" i="2"/>
  <c r="I1614" i="2"/>
  <c r="J1614" i="2"/>
  <c r="K1614" i="2"/>
  <c r="L1614" i="2"/>
  <c r="N1614" i="2"/>
  <c r="O1614" i="2"/>
  <c r="Q1614" i="2"/>
  <c r="R1614" i="2"/>
  <c r="S1614" i="2"/>
  <c r="T1614" i="2"/>
  <c r="Y1614" i="2"/>
  <c r="E1615" i="2"/>
  <c r="F1615" i="2"/>
  <c r="G1615" i="2"/>
  <c r="I1615" i="2"/>
  <c r="J1615" i="2"/>
  <c r="K1615" i="2"/>
  <c r="L1615" i="2"/>
  <c r="N1615" i="2"/>
  <c r="O1615" i="2"/>
  <c r="Q1615" i="2"/>
  <c r="R1615" i="2"/>
  <c r="S1615" i="2"/>
  <c r="T1615" i="2"/>
  <c r="Y1615" i="2"/>
  <c r="E1620" i="2"/>
  <c r="F1620" i="2"/>
  <c r="G1620" i="2"/>
  <c r="I1620" i="2"/>
  <c r="J1620" i="2"/>
  <c r="K1620" i="2"/>
  <c r="L1620" i="2"/>
  <c r="N1620" i="2"/>
  <c r="O1620" i="2"/>
  <c r="Q1620" i="2"/>
  <c r="R1620" i="2"/>
  <c r="S1620" i="2"/>
  <c r="T1620" i="2"/>
  <c r="Y1620" i="2"/>
  <c r="E1621" i="2"/>
  <c r="F1621" i="2"/>
  <c r="G1621" i="2"/>
  <c r="I1621" i="2"/>
  <c r="J1621" i="2"/>
  <c r="K1621" i="2"/>
  <c r="L1621" i="2"/>
  <c r="N1621" i="2"/>
  <c r="O1621" i="2"/>
  <c r="Q1621" i="2"/>
  <c r="R1621" i="2"/>
  <c r="S1621" i="2"/>
  <c r="T1621" i="2"/>
  <c r="Y1621" i="2"/>
  <c r="E1622" i="2"/>
  <c r="F1622" i="2"/>
  <c r="G1622" i="2"/>
  <c r="I1622" i="2"/>
  <c r="J1622" i="2"/>
  <c r="K1622" i="2"/>
  <c r="L1622" i="2"/>
  <c r="N1622" i="2"/>
  <c r="O1622" i="2"/>
  <c r="Q1622" i="2"/>
  <c r="R1622" i="2"/>
  <c r="S1622" i="2"/>
  <c r="T1622" i="2"/>
  <c r="Y1622" i="2"/>
  <c r="E1623" i="2"/>
  <c r="F1623" i="2"/>
  <c r="G1623" i="2"/>
  <c r="I1623" i="2"/>
  <c r="J1623" i="2"/>
  <c r="K1623" i="2"/>
  <c r="L1623" i="2"/>
  <c r="N1623" i="2"/>
  <c r="O1623" i="2"/>
  <c r="Q1623" i="2"/>
  <c r="R1623" i="2"/>
  <c r="S1623" i="2"/>
  <c r="T1623" i="2"/>
  <c r="Y1623" i="2"/>
  <c r="E1624" i="2"/>
  <c r="F1624" i="2"/>
  <c r="G1624" i="2"/>
  <c r="I1624" i="2"/>
  <c r="J1624" i="2"/>
  <c r="K1624" i="2"/>
  <c r="L1624" i="2"/>
  <c r="N1624" i="2"/>
  <c r="O1624" i="2"/>
  <c r="Q1624" i="2"/>
  <c r="R1624" i="2"/>
  <c r="S1624" i="2"/>
  <c r="T1624" i="2"/>
  <c r="Y1624" i="2"/>
  <c r="E1625" i="2"/>
  <c r="F1625" i="2"/>
  <c r="G1625" i="2"/>
  <c r="I1625" i="2"/>
  <c r="J1625" i="2"/>
  <c r="K1625" i="2"/>
  <c r="L1625" i="2"/>
  <c r="N1625" i="2"/>
  <c r="O1625" i="2"/>
  <c r="Q1625" i="2"/>
  <c r="R1625" i="2"/>
  <c r="S1625" i="2"/>
  <c r="T1625" i="2"/>
  <c r="Y1625" i="2"/>
  <c r="E1626" i="2"/>
  <c r="F1626" i="2"/>
  <c r="G1626" i="2"/>
  <c r="I1626" i="2"/>
  <c r="J1626" i="2"/>
  <c r="K1626" i="2"/>
  <c r="L1626" i="2"/>
  <c r="N1626" i="2"/>
  <c r="O1626" i="2"/>
  <c r="Q1626" i="2"/>
  <c r="R1626" i="2"/>
  <c r="S1626" i="2"/>
  <c r="T1626" i="2"/>
  <c r="Y1626" i="2"/>
  <c r="E1631" i="2"/>
  <c r="F1631" i="2"/>
  <c r="G1631" i="2"/>
  <c r="I1631" i="2"/>
  <c r="J1631" i="2"/>
  <c r="K1631" i="2"/>
  <c r="L1631" i="2"/>
  <c r="N1631" i="2"/>
  <c r="O1631" i="2"/>
  <c r="Q1631" i="2"/>
  <c r="R1631" i="2"/>
  <c r="S1631" i="2"/>
  <c r="T1631" i="2"/>
  <c r="Y1631" i="2"/>
  <c r="E1632" i="2"/>
  <c r="F1632" i="2"/>
  <c r="G1632" i="2"/>
  <c r="I1632" i="2"/>
  <c r="J1632" i="2"/>
  <c r="K1632" i="2"/>
  <c r="L1632" i="2"/>
  <c r="N1632" i="2"/>
  <c r="O1632" i="2"/>
  <c r="Q1632" i="2"/>
  <c r="R1632" i="2"/>
  <c r="S1632" i="2"/>
  <c r="T1632" i="2"/>
  <c r="Y1632" i="2"/>
  <c r="E1633" i="2"/>
  <c r="F1633" i="2"/>
  <c r="G1633" i="2"/>
  <c r="I1633" i="2"/>
  <c r="J1633" i="2"/>
  <c r="K1633" i="2"/>
  <c r="L1633" i="2"/>
  <c r="N1633" i="2"/>
  <c r="O1633" i="2"/>
  <c r="Q1633" i="2"/>
  <c r="R1633" i="2"/>
  <c r="S1633" i="2"/>
  <c r="T1633" i="2"/>
  <c r="Y1633" i="2"/>
  <c r="E1634" i="2"/>
  <c r="F1634" i="2"/>
  <c r="G1634" i="2"/>
  <c r="I1634" i="2"/>
  <c r="J1634" i="2"/>
  <c r="K1634" i="2"/>
  <c r="L1634" i="2"/>
  <c r="N1634" i="2"/>
  <c r="O1634" i="2"/>
  <c r="Q1634" i="2"/>
  <c r="R1634" i="2"/>
  <c r="S1634" i="2"/>
  <c r="T1634" i="2"/>
  <c r="Y1634" i="2"/>
  <c r="E1635" i="2"/>
  <c r="F1635" i="2"/>
  <c r="G1635" i="2"/>
  <c r="I1635" i="2"/>
  <c r="J1635" i="2"/>
  <c r="K1635" i="2"/>
  <c r="L1635" i="2"/>
  <c r="N1635" i="2"/>
  <c r="O1635" i="2"/>
  <c r="Q1635" i="2"/>
  <c r="R1635" i="2"/>
  <c r="S1635" i="2"/>
  <c r="T1635" i="2"/>
  <c r="Y1635" i="2"/>
  <c r="E1636" i="2"/>
  <c r="F1636" i="2"/>
  <c r="G1636" i="2"/>
  <c r="I1636" i="2"/>
  <c r="J1636" i="2"/>
  <c r="K1636" i="2"/>
  <c r="L1636" i="2"/>
  <c r="N1636" i="2"/>
  <c r="O1636" i="2"/>
  <c r="Q1636" i="2"/>
  <c r="R1636" i="2"/>
  <c r="S1636" i="2"/>
  <c r="T1636" i="2"/>
  <c r="Y1636" i="2"/>
  <c r="E1637" i="2"/>
  <c r="F1637" i="2"/>
  <c r="G1637" i="2"/>
  <c r="I1637" i="2"/>
  <c r="J1637" i="2"/>
  <c r="K1637" i="2"/>
  <c r="L1637" i="2"/>
  <c r="N1637" i="2"/>
  <c r="O1637" i="2"/>
  <c r="Q1637" i="2"/>
  <c r="R1637" i="2"/>
  <c r="S1637" i="2"/>
  <c r="T1637" i="2"/>
  <c r="Y1637" i="2"/>
  <c r="E1638" i="2"/>
  <c r="F1638" i="2"/>
  <c r="G1638" i="2"/>
  <c r="I1638" i="2"/>
  <c r="J1638" i="2"/>
  <c r="K1638" i="2"/>
  <c r="L1638" i="2"/>
  <c r="N1638" i="2"/>
  <c r="O1638" i="2"/>
  <c r="Q1638" i="2"/>
  <c r="R1638" i="2"/>
  <c r="S1638" i="2"/>
  <c r="T1638" i="2"/>
  <c r="Y1638" i="2"/>
  <c r="E1639" i="2"/>
  <c r="F1639" i="2"/>
  <c r="G1639" i="2"/>
  <c r="I1639" i="2"/>
  <c r="J1639" i="2"/>
  <c r="K1639" i="2"/>
  <c r="L1639" i="2"/>
  <c r="N1639" i="2"/>
  <c r="O1639" i="2"/>
  <c r="Q1639" i="2"/>
  <c r="R1639" i="2"/>
  <c r="S1639" i="2"/>
  <c r="T1639" i="2"/>
  <c r="Y1639" i="2"/>
  <c r="E1640" i="2"/>
  <c r="F1640" i="2"/>
  <c r="G1640" i="2"/>
  <c r="I1640" i="2"/>
  <c r="J1640" i="2"/>
  <c r="K1640" i="2"/>
  <c r="L1640" i="2"/>
  <c r="N1640" i="2"/>
  <c r="O1640" i="2"/>
  <c r="Q1640" i="2"/>
  <c r="R1640" i="2"/>
  <c r="S1640" i="2"/>
  <c r="T1640" i="2"/>
  <c r="Y1640" i="2"/>
  <c r="E1641" i="2"/>
  <c r="F1641" i="2"/>
  <c r="G1641" i="2"/>
  <c r="I1641" i="2"/>
  <c r="J1641" i="2"/>
  <c r="K1641" i="2"/>
  <c r="L1641" i="2"/>
  <c r="N1641" i="2"/>
  <c r="O1641" i="2"/>
  <c r="Q1641" i="2"/>
  <c r="R1641" i="2"/>
  <c r="S1641" i="2"/>
  <c r="T1641" i="2"/>
  <c r="Y1641" i="2"/>
  <c r="E1642" i="2"/>
  <c r="F1642" i="2"/>
  <c r="G1642" i="2"/>
  <c r="I1642" i="2"/>
  <c r="J1642" i="2"/>
  <c r="K1642" i="2"/>
  <c r="L1642" i="2"/>
  <c r="N1642" i="2"/>
  <c r="O1642" i="2"/>
  <c r="Q1642" i="2"/>
  <c r="R1642" i="2"/>
  <c r="S1642" i="2"/>
  <c r="T1642" i="2"/>
  <c r="Y1642" i="2"/>
  <c r="F1643" i="2"/>
  <c r="G1643" i="2"/>
  <c r="I1643" i="2"/>
  <c r="J1643" i="2"/>
  <c r="K1643" i="2"/>
  <c r="L1643" i="2"/>
  <c r="N1643" i="2"/>
  <c r="O1643" i="2"/>
  <c r="Q1643" i="2"/>
  <c r="R1643" i="2"/>
  <c r="S1643" i="2"/>
  <c r="T1643" i="2"/>
  <c r="Y1643" i="2"/>
  <c r="F1654" i="2"/>
  <c r="G1654" i="2"/>
  <c r="I1654" i="2"/>
  <c r="K1654" i="2"/>
  <c r="L1654" i="2"/>
  <c r="N1654" i="2"/>
  <c r="O1654" i="2"/>
  <c r="R1654" i="2"/>
  <c r="S1654" i="2"/>
  <c r="T1654" i="2"/>
  <c r="V1654" i="2"/>
  <c r="W1654" i="2"/>
  <c r="Y1654" i="2"/>
  <c r="F1655" i="2"/>
  <c r="G1655" i="2"/>
  <c r="I1655" i="2"/>
  <c r="L1655" i="2"/>
  <c r="N1655" i="2"/>
  <c r="O1655" i="2"/>
  <c r="R1655" i="2"/>
  <c r="S1655" i="2"/>
  <c r="T1655" i="2"/>
  <c r="V1655" i="2"/>
  <c r="W1655" i="2"/>
  <c r="Y1655" i="2"/>
  <c r="F1656" i="2"/>
  <c r="G1656" i="2"/>
  <c r="I1656" i="2"/>
  <c r="K1656" i="2"/>
  <c r="L1656" i="2"/>
  <c r="N1656" i="2"/>
  <c r="O1656" i="2"/>
  <c r="R1656" i="2"/>
  <c r="S1656" i="2"/>
  <c r="T1656" i="2"/>
  <c r="V1656" i="2"/>
  <c r="W1656" i="2"/>
  <c r="Y1656" i="2"/>
  <c r="E1657" i="2"/>
  <c r="F1657" i="2"/>
  <c r="G1657" i="2"/>
  <c r="I1657" i="2"/>
  <c r="K1657" i="2"/>
  <c r="L1657" i="2"/>
  <c r="N1657" i="2"/>
  <c r="O1657" i="2"/>
  <c r="R1657" i="2"/>
  <c r="S1657" i="2"/>
  <c r="T1657" i="2"/>
  <c r="V1657" i="2"/>
  <c r="W1657" i="2"/>
  <c r="Y1657" i="2"/>
  <c r="E1658" i="2"/>
  <c r="F1658" i="2"/>
  <c r="G1658" i="2"/>
  <c r="I1658" i="2"/>
  <c r="K1658" i="2"/>
  <c r="L1658" i="2"/>
  <c r="N1658" i="2"/>
  <c r="O1658" i="2"/>
  <c r="R1658" i="2"/>
  <c r="S1658" i="2"/>
  <c r="T1658" i="2"/>
  <c r="V1658" i="2"/>
  <c r="W1658" i="2"/>
  <c r="Y1658" i="2"/>
  <c r="E1659" i="2"/>
  <c r="F1659" i="2"/>
  <c r="G1659" i="2"/>
  <c r="I1659" i="2"/>
  <c r="K1659" i="2"/>
  <c r="L1659" i="2"/>
  <c r="N1659" i="2"/>
  <c r="O1659" i="2"/>
  <c r="R1659" i="2"/>
  <c r="S1659" i="2"/>
  <c r="T1659" i="2"/>
  <c r="V1659" i="2"/>
  <c r="W1659" i="2"/>
  <c r="Y1659" i="2"/>
  <c r="G1660" i="2"/>
  <c r="I1660" i="2"/>
  <c r="K1660" i="2"/>
  <c r="L1660" i="2"/>
  <c r="N1660" i="2"/>
  <c r="O1660" i="2"/>
  <c r="R1660" i="2"/>
  <c r="S1660" i="2"/>
  <c r="T1660" i="2"/>
  <c r="V1660" i="2"/>
  <c r="W1660" i="2"/>
  <c r="Y1660" i="2"/>
  <c r="G1661" i="2"/>
  <c r="I1661" i="2"/>
  <c r="K1661" i="2"/>
  <c r="L1661" i="2"/>
  <c r="N1661" i="2"/>
  <c r="O1661" i="2"/>
  <c r="R1661" i="2"/>
  <c r="S1661" i="2"/>
  <c r="T1661" i="2"/>
  <c r="V1661" i="2"/>
  <c r="W1661" i="2"/>
  <c r="Y1661" i="2"/>
  <c r="E1662" i="2"/>
  <c r="F1662" i="2"/>
  <c r="G1662" i="2"/>
  <c r="I1662" i="2"/>
  <c r="K1662" i="2"/>
  <c r="L1662" i="2"/>
  <c r="N1662" i="2"/>
  <c r="O1662" i="2"/>
  <c r="R1662" i="2"/>
  <c r="S1662" i="2"/>
  <c r="T1662" i="2"/>
  <c r="V1662" i="2"/>
  <c r="W1662" i="2"/>
  <c r="Y1662" i="2"/>
  <c r="E1663" i="2"/>
  <c r="F1663" i="2"/>
  <c r="G1663" i="2"/>
  <c r="I1663" i="2"/>
  <c r="K1663" i="2"/>
  <c r="L1663" i="2"/>
  <c r="N1663" i="2"/>
  <c r="O1663" i="2"/>
  <c r="R1663" i="2"/>
  <c r="S1663" i="2"/>
  <c r="T1663" i="2"/>
  <c r="V1663" i="2"/>
  <c r="W1663" i="2"/>
  <c r="Y1663" i="2"/>
  <c r="E1664" i="2"/>
  <c r="F1664" i="2"/>
  <c r="G1664" i="2"/>
  <c r="I1664" i="2"/>
  <c r="K1664" i="2"/>
  <c r="L1664" i="2"/>
  <c r="N1664" i="2"/>
  <c r="O1664" i="2"/>
  <c r="P1664" i="2"/>
  <c r="Q1664" i="2"/>
  <c r="R1664" i="2"/>
  <c r="S1664" i="2"/>
  <c r="T1664" i="2"/>
  <c r="V1664" i="2"/>
  <c r="W1664" i="2"/>
  <c r="Y1664" i="2"/>
  <c r="E1665" i="2"/>
  <c r="F1665" i="2"/>
  <c r="G1665" i="2"/>
  <c r="I1665" i="2"/>
  <c r="K1665" i="2"/>
  <c r="L1665" i="2"/>
  <c r="N1665" i="2"/>
  <c r="O1665" i="2"/>
  <c r="R1665" i="2"/>
  <c r="S1665" i="2"/>
  <c r="T1665" i="2"/>
  <c r="V1665" i="2"/>
  <c r="W1665" i="2"/>
  <c r="Y1665" i="2"/>
  <c r="F1670" i="2"/>
  <c r="G1670" i="2"/>
  <c r="I1670" i="2"/>
  <c r="K1670" i="2"/>
  <c r="L1670" i="2"/>
  <c r="N1670" i="2"/>
  <c r="O1670" i="2"/>
  <c r="R1670" i="2"/>
  <c r="S1670" i="2"/>
  <c r="T1670" i="2"/>
  <c r="V1670" i="2"/>
  <c r="W1670" i="2"/>
  <c r="Y1670" i="2"/>
  <c r="E1671" i="2"/>
  <c r="F1671" i="2"/>
  <c r="G1671" i="2"/>
  <c r="I1671" i="2"/>
  <c r="K1671" i="2"/>
  <c r="L1671" i="2"/>
  <c r="N1671" i="2"/>
  <c r="O1671" i="2"/>
  <c r="R1671" i="2"/>
  <c r="S1671" i="2"/>
  <c r="T1671" i="2"/>
  <c r="V1671" i="2"/>
  <c r="W1671" i="2"/>
  <c r="Y1671" i="2"/>
  <c r="E1672" i="2"/>
  <c r="F1672" i="2"/>
  <c r="G1672" i="2"/>
  <c r="I1672" i="2"/>
  <c r="K1672" i="2"/>
  <c r="L1672" i="2"/>
  <c r="N1672" i="2"/>
  <c r="O1672" i="2"/>
  <c r="R1672" i="2"/>
  <c r="S1672" i="2"/>
  <c r="T1672" i="2"/>
  <c r="V1672" i="2"/>
  <c r="W1672" i="2"/>
  <c r="Y1672" i="2"/>
  <c r="E1673" i="2"/>
  <c r="F1673" i="2"/>
  <c r="G1673" i="2"/>
  <c r="I1673" i="2"/>
  <c r="K1673" i="2"/>
  <c r="L1673" i="2"/>
  <c r="N1673" i="2"/>
  <c r="O1673" i="2"/>
  <c r="R1673" i="2"/>
  <c r="S1673" i="2"/>
  <c r="T1673" i="2"/>
  <c r="V1673" i="2"/>
  <c r="W1673" i="2"/>
  <c r="Y1673" i="2"/>
  <c r="E1674" i="2"/>
  <c r="F1674" i="2"/>
  <c r="G1674" i="2"/>
  <c r="I1674" i="2"/>
  <c r="K1674" i="2"/>
  <c r="L1674" i="2"/>
  <c r="N1674" i="2"/>
  <c r="O1674" i="2"/>
  <c r="R1674" i="2"/>
  <c r="S1674" i="2"/>
  <c r="T1674" i="2"/>
  <c r="V1674" i="2"/>
  <c r="W1674" i="2"/>
  <c r="Y1674" i="2"/>
  <c r="F1679" i="2"/>
  <c r="G1679" i="2"/>
  <c r="I1679" i="2"/>
  <c r="L1679" i="2"/>
  <c r="N1679" i="2"/>
  <c r="O1679" i="2"/>
  <c r="R1679" i="2"/>
  <c r="S1679" i="2"/>
  <c r="T1679" i="2"/>
  <c r="V1679" i="2"/>
  <c r="W1679" i="2"/>
  <c r="Y1679" i="2"/>
  <c r="G1680" i="2"/>
  <c r="I1680" i="2"/>
  <c r="K1680" i="2"/>
  <c r="L1680" i="2"/>
  <c r="N1680" i="2"/>
  <c r="O1680" i="2"/>
  <c r="R1680" i="2"/>
  <c r="S1680" i="2"/>
  <c r="T1680" i="2"/>
  <c r="V1680" i="2"/>
  <c r="W1680" i="2"/>
  <c r="Y1680" i="2"/>
  <c r="E1681" i="2"/>
  <c r="F1681" i="2"/>
  <c r="G1681" i="2"/>
  <c r="I1681" i="2"/>
  <c r="K1681" i="2"/>
  <c r="L1681" i="2"/>
  <c r="N1681" i="2"/>
  <c r="O1681" i="2"/>
  <c r="R1681" i="2"/>
  <c r="S1681" i="2"/>
  <c r="T1681" i="2"/>
  <c r="V1681" i="2"/>
  <c r="W1681" i="2"/>
  <c r="Y1681" i="2"/>
  <c r="F1682" i="2"/>
  <c r="G1682" i="2"/>
  <c r="I1682" i="2"/>
  <c r="K1682" i="2"/>
  <c r="L1682" i="2"/>
  <c r="N1682" i="2"/>
  <c r="O1682" i="2"/>
  <c r="R1682" i="2"/>
  <c r="S1682" i="2"/>
  <c r="T1682" i="2"/>
  <c r="V1682" i="2"/>
  <c r="W1682" i="2"/>
  <c r="Y1682" i="2"/>
  <c r="G1683" i="2"/>
  <c r="I1683" i="2"/>
  <c r="K1683" i="2"/>
  <c r="L1683" i="2"/>
  <c r="N1683" i="2"/>
  <c r="O1683" i="2"/>
  <c r="R1683" i="2"/>
  <c r="S1683" i="2"/>
  <c r="T1683" i="2"/>
  <c r="V1683" i="2"/>
  <c r="W1683" i="2"/>
  <c r="Y1683" i="2"/>
  <c r="E1684" i="2"/>
  <c r="F1684" i="2"/>
  <c r="G1684" i="2"/>
  <c r="I1684" i="2"/>
  <c r="K1684" i="2"/>
  <c r="L1684" i="2"/>
  <c r="N1684" i="2"/>
  <c r="O1684" i="2"/>
  <c r="R1684" i="2"/>
  <c r="S1684" i="2"/>
  <c r="T1684" i="2"/>
  <c r="V1684" i="2"/>
  <c r="W1684" i="2"/>
  <c r="Y1684" i="2"/>
  <c r="E1685" i="2"/>
  <c r="G1685" i="2"/>
  <c r="I1685" i="2"/>
  <c r="K1685" i="2"/>
  <c r="L1685" i="2"/>
  <c r="N1685" i="2"/>
  <c r="O1685" i="2"/>
  <c r="R1685" i="2"/>
  <c r="S1685" i="2"/>
  <c r="T1685" i="2"/>
  <c r="V1685" i="2"/>
  <c r="W1685" i="2"/>
  <c r="Y1685" i="2"/>
  <c r="E1686" i="2"/>
  <c r="F1686" i="2"/>
  <c r="G1686" i="2"/>
  <c r="I1686" i="2"/>
  <c r="K1686" i="2"/>
  <c r="L1686" i="2"/>
  <c r="N1686" i="2"/>
  <c r="O1686" i="2"/>
  <c r="R1686" i="2"/>
  <c r="S1686" i="2"/>
  <c r="T1686" i="2"/>
  <c r="V1686" i="2"/>
  <c r="W1686" i="2"/>
  <c r="Y1686" i="2"/>
  <c r="E1687" i="2"/>
  <c r="F1687" i="2"/>
  <c r="G1687" i="2"/>
  <c r="I1687" i="2"/>
  <c r="K1687" i="2"/>
  <c r="L1687" i="2"/>
  <c r="N1687" i="2"/>
  <c r="O1687" i="2"/>
  <c r="R1687" i="2"/>
  <c r="S1687" i="2"/>
  <c r="T1687" i="2"/>
  <c r="V1687" i="2"/>
  <c r="W1687" i="2"/>
  <c r="Y1687" i="2"/>
  <c r="E1688" i="2"/>
  <c r="F1688" i="2"/>
  <c r="G1688" i="2"/>
  <c r="I1688" i="2"/>
  <c r="K1688" i="2"/>
  <c r="L1688" i="2"/>
  <c r="N1688" i="2"/>
  <c r="O1688" i="2"/>
  <c r="R1688" i="2"/>
  <c r="S1688" i="2"/>
  <c r="T1688" i="2"/>
  <c r="V1688" i="2"/>
  <c r="W1688" i="2"/>
  <c r="Y1688" i="2"/>
  <c r="E1689" i="2"/>
  <c r="F1689" i="2"/>
  <c r="G1689" i="2"/>
  <c r="I1689" i="2"/>
  <c r="K1689" i="2"/>
  <c r="L1689" i="2"/>
  <c r="N1689" i="2"/>
  <c r="O1689" i="2"/>
  <c r="R1689" i="2"/>
  <c r="S1689" i="2"/>
  <c r="T1689" i="2"/>
  <c r="V1689" i="2"/>
  <c r="W1689" i="2"/>
  <c r="Y1689" i="2"/>
  <c r="F1690" i="2"/>
  <c r="G1690" i="2"/>
  <c r="I1690" i="2"/>
  <c r="K1690" i="2"/>
  <c r="L1690" i="2"/>
  <c r="N1690" i="2"/>
  <c r="O1690" i="2"/>
  <c r="R1690" i="2"/>
  <c r="S1690" i="2"/>
  <c r="T1690" i="2"/>
  <c r="V1690" i="2"/>
  <c r="W1690" i="2"/>
  <c r="Y1690" i="2"/>
  <c r="E1691" i="2"/>
  <c r="F1691" i="2"/>
  <c r="G1691" i="2"/>
  <c r="I1691" i="2"/>
  <c r="K1691" i="2"/>
  <c r="L1691" i="2"/>
  <c r="N1691" i="2"/>
  <c r="O1691" i="2"/>
  <c r="R1691" i="2"/>
  <c r="S1691" i="2"/>
  <c r="T1691" i="2"/>
  <c r="V1691" i="2"/>
  <c r="W1691" i="2"/>
  <c r="Y1691" i="2"/>
  <c r="F1696" i="2"/>
  <c r="G1696" i="2"/>
  <c r="I1696" i="2"/>
  <c r="K1696" i="2"/>
  <c r="L1696" i="2"/>
  <c r="N1696" i="2"/>
  <c r="O1696" i="2"/>
  <c r="R1696" i="2"/>
  <c r="S1696" i="2"/>
  <c r="T1696" i="2"/>
  <c r="V1696" i="2"/>
  <c r="W1696" i="2"/>
  <c r="Y1696" i="2"/>
  <c r="F1697" i="2"/>
  <c r="G1697" i="2"/>
  <c r="I1697" i="2"/>
  <c r="K1697" i="2"/>
  <c r="L1697" i="2"/>
  <c r="N1697" i="2"/>
  <c r="O1697" i="2"/>
  <c r="R1697" i="2"/>
  <c r="S1697" i="2"/>
  <c r="T1697" i="2"/>
  <c r="V1697" i="2"/>
  <c r="W1697" i="2"/>
  <c r="Y1697" i="2"/>
  <c r="E1698" i="2"/>
  <c r="F1698" i="2"/>
  <c r="G1698" i="2"/>
  <c r="I1698" i="2"/>
  <c r="K1698" i="2"/>
  <c r="L1698" i="2"/>
  <c r="N1698" i="2"/>
  <c r="O1698" i="2"/>
  <c r="R1698" i="2"/>
  <c r="S1698" i="2"/>
  <c r="T1698" i="2"/>
  <c r="V1698" i="2"/>
  <c r="W1698" i="2"/>
  <c r="Y1698" i="2"/>
  <c r="E1699" i="2"/>
  <c r="F1699" i="2"/>
  <c r="G1699" i="2"/>
  <c r="I1699" i="2"/>
  <c r="K1699" i="2"/>
  <c r="L1699" i="2"/>
  <c r="N1699" i="2"/>
  <c r="O1699" i="2"/>
  <c r="R1699" i="2"/>
  <c r="S1699" i="2"/>
  <c r="T1699" i="2"/>
  <c r="V1699" i="2"/>
  <c r="W1699" i="2"/>
  <c r="Y1699" i="2"/>
  <c r="E1700" i="2"/>
  <c r="F1700" i="2"/>
  <c r="G1700" i="2"/>
  <c r="I1700" i="2"/>
  <c r="K1700" i="2"/>
  <c r="L1700" i="2"/>
  <c r="N1700" i="2"/>
  <c r="O1700" i="2"/>
  <c r="R1700" i="2"/>
  <c r="S1700" i="2"/>
  <c r="T1700" i="2"/>
  <c r="V1700" i="2"/>
  <c r="W1700" i="2"/>
  <c r="Y1700" i="2"/>
  <c r="E1701" i="2"/>
  <c r="F1701" i="2"/>
  <c r="G1701" i="2"/>
  <c r="I1701" i="2"/>
  <c r="K1701" i="2"/>
  <c r="L1701" i="2"/>
  <c r="N1701" i="2"/>
  <c r="O1701" i="2"/>
  <c r="R1701" i="2"/>
  <c r="S1701" i="2"/>
  <c r="T1701" i="2"/>
  <c r="V1701" i="2"/>
  <c r="W1701" i="2"/>
  <c r="Y1701" i="2"/>
  <c r="E1702" i="2"/>
  <c r="F1702" i="2"/>
  <c r="G1702" i="2"/>
  <c r="I1702" i="2"/>
  <c r="K1702" i="2"/>
  <c r="L1702" i="2"/>
  <c r="N1702" i="2"/>
  <c r="O1702" i="2"/>
  <c r="R1702" i="2"/>
  <c r="S1702" i="2"/>
  <c r="T1702" i="2"/>
  <c r="V1702" i="2"/>
  <c r="W1702" i="2"/>
  <c r="Y1702" i="2"/>
  <c r="E1703" i="2"/>
  <c r="F1703" i="2"/>
  <c r="G1703" i="2"/>
  <c r="I1703" i="2"/>
  <c r="K1703" i="2"/>
  <c r="L1703" i="2"/>
  <c r="N1703" i="2"/>
  <c r="O1703" i="2"/>
  <c r="R1703" i="2"/>
  <c r="S1703" i="2"/>
  <c r="T1703" i="2"/>
  <c r="V1703" i="2"/>
  <c r="W1703" i="2"/>
  <c r="Y1703" i="2"/>
  <c r="E1704" i="2"/>
  <c r="F1704" i="2"/>
  <c r="G1704" i="2"/>
  <c r="I1704" i="2"/>
  <c r="K1704" i="2"/>
  <c r="L1704" i="2"/>
  <c r="N1704" i="2"/>
  <c r="O1704" i="2"/>
  <c r="R1704" i="2"/>
  <c r="S1704" i="2"/>
  <c r="T1704" i="2"/>
  <c r="V1704" i="2"/>
  <c r="W1704" i="2"/>
  <c r="Y1704" i="2"/>
  <c r="E1705" i="2"/>
  <c r="F1705" i="2"/>
  <c r="G1705" i="2"/>
  <c r="I1705" i="2"/>
  <c r="K1705" i="2"/>
  <c r="L1705" i="2"/>
  <c r="N1705" i="2"/>
  <c r="O1705" i="2"/>
  <c r="R1705" i="2"/>
  <c r="S1705" i="2"/>
  <c r="T1705" i="2"/>
  <c r="V1705" i="2"/>
  <c r="W1705" i="2"/>
  <c r="Y1705" i="2"/>
  <c r="E1706" i="2"/>
  <c r="F1706" i="2"/>
  <c r="G1706" i="2"/>
  <c r="I1706" i="2"/>
  <c r="K1706" i="2"/>
  <c r="L1706" i="2"/>
  <c r="N1706" i="2"/>
  <c r="O1706" i="2"/>
  <c r="R1706" i="2"/>
  <c r="S1706" i="2"/>
  <c r="T1706" i="2"/>
  <c r="V1706" i="2"/>
  <c r="W1706" i="2"/>
  <c r="Y1706" i="2"/>
  <c r="E1707" i="2"/>
  <c r="F1707" i="2"/>
  <c r="G1707" i="2"/>
  <c r="I1707" i="2"/>
  <c r="K1707" i="2"/>
  <c r="L1707" i="2"/>
  <c r="N1707" i="2"/>
  <c r="O1707" i="2"/>
  <c r="R1707" i="2"/>
  <c r="S1707" i="2"/>
  <c r="T1707" i="2"/>
  <c r="V1707" i="2"/>
  <c r="W1707" i="2"/>
  <c r="Y1707" i="2"/>
  <c r="E1708" i="2"/>
  <c r="F1708" i="2"/>
  <c r="G1708" i="2"/>
  <c r="I1708" i="2"/>
  <c r="K1708" i="2"/>
  <c r="L1708" i="2"/>
  <c r="N1708" i="2"/>
  <c r="O1708" i="2"/>
  <c r="R1708" i="2"/>
  <c r="S1708" i="2"/>
  <c r="T1708" i="2"/>
  <c r="V1708" i="2"/>
  <c r="W1708" i="2"/>
  <c r="Y1708" i="2"/>
  <c r="F1713" i="2"/>
  <c r="G1713" i="2"/>
  <c r="I1713" i="2"/>
  <c r="K1713" i="2"/>
  <c r="L1713" i="2"/>
  <c r="N1713" i="2"/>
  <c r="O1713" i="2"/>
  <c r="R1713" i="2"/>
  <c r="S1713" i="2"/>
  <c r="T1713" i="2"/>
  <c r="V1713" i="2"/>
  <c r="W1713" i="2"/>
  <c r="Y1713" i="2"/>
  <c r="E1714" i="2"/>
  <c r="F1714" i="2"/>
  <c r="G1714" i="2"/>
  <c r="I1714" i="2"/>
  <c r="K1714" i="2"/>
  <c r="L1714" i="2"/>
  <c r="N1714" i="2"/>
  <c r="O1714" i="2"/>
  <c r="R1714" i="2"/>
  <c r="S1714" i="2"/>
  <c r="T1714" i="2"/>
  <c r="V1714" i="2"/>
  <c r="W1714" i="2"/>
  <c r="Y1714" i="2"/>
  <c r="E1715" i="2"/>
  <c r="F1715" i="2"/>
  <c r="G1715" i="2"/>
  <c r="I1715" i="2"/>
  <c r="K1715" i="2"/>
  <c r="L1715" i="2"/>
  <c r="N1715" i="2"/>
  <c r="O1715" i="2"/>
  <c r="R1715" i="2"/>
  <c r="S1715" i="2"/>
  <c r="T1715" i="2"/>
  <c r="V1715" i="2"/>
  <c r="W1715" i="2"/>
  <c r="Y1715" i="2"/>
  <c r="E1716" i="2"/>
  <c r="F1716" i="2"/>
  <c r="G1716" i="2"/>
  <c r="I1716" i="2"/>
  <c r="K1716" i="2"/>
  <c r="L1716" i="2"/>
  <c r="N1716" i="2"/>
  <c r="O1716" i="2"/>
  <c r="R1716" i="2"/>
  <c r="S1716" i="2"/>
  <c r="T1716" i="2"/>
  <c r="V1716" i="2"/>
  <c r="W1716" i="2"/>
  <c r="Y1716" i="2"/>
  <c r="E1717" i="2"/>
  <c r="F1717" i="2"/>
  <c r="G1717" i="2"/>
  <c r="I1717" i="2"/>
  <c r="K1717" i="2"/>
  <c r="L1717" i="2"/>
  <c r="N1717" i="2"/>
  <c r="O1717" i="2"/>
  <c r="R1717" i="2"/>
  <c r="S1717" i="2"/>
  <c r="T1717" i="2"/>
  <c r="V1717" i="2"/>
  <c r="W1717" i="2"/>
  <c r="Y1717" i="2"/>
  <c r="E1718" i="2"/>
  <c r="G1718" i="2"/>
  <c r="I1718" i="2"/>
  <c r="K1718" i="2"/>
  <c r="L1718" i="2"/>
  <c r="N1718" i="2"/>
  <c r="O1718" i="2"/>
  <c r="R1718" i="2"/>
  <c r="S1718" i="2"/>
  <c r="T1718" i="2"/>
  <c r="V1718" i="2"/>
  <c r="W1718" i="2"/>
  <c r="Y1718" i="2"/>
  <c r="E1719" i="2"/>
  <c r="F1719" i="2"/>
  <c r="G1719" i="2"/>
  <c r="I1719" i="2"/>
  <c r="K1719" i="2"/>
  <c r="L1719" i="2"/>
  <c r="N1719" i="2"/>
  <c r="O1719" i="2"/>
  <c r="R1719" i="2"/>
  <c r="S1719" i="2"/>
  <c r="T1719" i="2"/>
  <c r="V1719" i="2"/>
  <c r="W1719" i="2"/>
  <c r="Y1719" i="2"/>
  <c r="E1720" i="2"/>
  <c r="F1720" i="2"/>
  <c r="G1720" i="2"/>
  <c r="I1720" i="2"/>
  <c r="K1720" i="2"/>
  <c r="L1720" i="2"/>
  <c r="N1720" i="2"/>
  <c r="O1720" i="2"/>
  <c r="R1720" i="2"/>
  <c r="S1720" i="2"/>
  <c r="T1720" i="2"/>
  <c r="V1720" i="2"/>
  <c r="W1720" i="2"/>
  <c r="Y1720" i="2"/>
  <c r="E1721" i="2"/>
  <c r="F1721" i="2"/>
  <c r="G1721" i="2"/>
  <c r="I1721" i="2"/>
  <c r="K1721" i="2"/>
  <c r="L1721" i="2"/>
  <c r="N1721" i="2"/>
  <c r="O1721" i="2"/>
  <c r="R1721" i="2"/>
  <c r="S1721" i="2"/>
  <c r="T1721" i="2"/>
  <c r="V1721" i="2"/>
  <c r="W1721" i="2"/>
  <c r="Y1721" i="2"/>
  <c r="E1722" i="2"/>
  <c r="F1722" i="2"/>
  <c r="G1722" i="2"/>
  <c r="I1722" i="2"/>
  <c r="K1722" i="2"/>
  <c r="L1722" i="2"/>
  <c r="N1722" i="2"/>
  <c r="O1722" i="2"/>
  <c r="R1722" i="2"/>
  <c r="S1722" i="2"/>
  <c r="T1722" i="2"/>
  <c r="V1722" i="2"/>
  <c r="W1722" i="2"/>
  <c r="Y1722" i="2"/>
  <c r="G1723" i="2"/>
  <c r="I1723" i="2"/>
  <c r="K1723" i="2"/>
  <c r="L1723" i="2"/>
  <c r="N1723" i="2"/>
  <c r="O1723" i="2"/>
  <c r="R1723" i="2"/>
  <c r="S1723" i="2"/>
  <c r="T1723" i="2"/>
  <c r="V1723" i="2"/>
  <c r="W1723" i="2"/>
  <c r="Y1723" i="2"/>
  <c r="G1724" i="2"/>
  <c r="I1724" i="2"/>
  <c r="J1724" i="2"/>
  <c r="K1724" i="2"/>
  <c r="L1724" i="2"/>
  <c r="N1724" i="2"/>
  <c r="O1724" i="2"/>
  <c r="Q1724" i="2"/>
  <c r="R1724" i="2"/>
  <c r="S1724" i="2"/>
  <c r="T1724" i="2"/>
  <c r="V1724" i="2"/>
  <c r="W1724" i="2"/>
  <c r="Y1724" i="2"/>
  <c r="E1725" i="2"/>
  <c r="F1725" i="2"/>
  <c r="G1725" i="2"/>
  <c r="I1725" i="2"/>
  <c r="K1725" i="2"/>
  <c r="L1725" i="2"/>
  <c r="N1725" i="2"/>
  <c r="O1725" i="2"/>
  <c r="R1725" i="2"/>
  <c r="S1725" i="2"/>
  <c r="T1725" i="2"/>
  <c r="V1725" i="2"/>
  <c r="W1725" i="2"/>
  <c r="Y1725" i="2"/>
  <c r="F1726" i="2"/>
  <c r="G1726" i="2"/>
  <c r="K1726" i="2"/>
  <c r="L1726" i="2"/>
  <c r="N1726" i="2"/>
  <c r="O1726" i="2"/>
  <c r="R1726" i="2"/>
  <c r="S1726" i="2"/>
  <c r="T1726" i="2"/>
  <c r="V1726" i="2"/>
  <c r="W1726" i="2"/>
  <c r="Y1726" i="2"/>
  <c r="E1731" i="2"/>
  <c r="F1731" i="2"/>
  <c r="G1731" i="2"/>
  <c r="I1731" i="2"/>
  <c r="K1731" i="2"/>
  <c r="L1731" i="2"/>
  <c r="N1731" i="2"/>
  <c r="O1731" i="2"/>
  <c r="R1731" i="2"/>
  <c r="S1731" i="2"/>
  <c r="T1731" i="2"/>
  <c r="V1731" i="2"/>
  <c r="W1731" i="2"/>
  <c r="Y1731" i="2"/>
  <c r="F1732" i="2"/>
  <c r="G1732" i="2"/>
  <c r="I1732" i="2"/>
  <c r="K1732" i="2"/>
  <c r="L1732" i="2"/>
  <c r="N1732" i="2"/>
  <c r="O1732" i="2"/>
  <c r="R1732" i="2"/>
  <c r="S1732" i="2"/>
  <c r="T1732" i="2"/>
  <c r="V1732" i="2"/>
  <c r="W1732" i="2"/>
  <c r="Y1732" i="2"/>
  <c r="G1733" i="2"/>
  <c r="I1733" i="2"/>
  <c r="K1733" i="2"/>
  <c r="L1733" i="2"/>
  <c r="N1733" i="2"/>
  <c r="O1733" i="2"/>
  <c r="R1733" i="2"/>
  <c r="S1733" i="2"/>
  <c r="T1733" i="2"/>
  <c r="V1733" i="2"/>
  <c r="W1733" i="2"/>
  <c r="Y1733" i="2"/>
  <c r="E1734" i="2"/>
  <c r="F1734" i="2"/>
  <c r="G1734" i="2"/>
  <c r="I1734" i="2"/>
  <c r="K1734" i="2"/>
  <c r="L1734" i="2"/>
  <c r="N1734" i="2"/>
  <c r="O1734" i="2"/>
  <c r="R1734" i="2"/>
  <c r="S1734" i="2"/>
  <c r="T1734" i="2"/>
  <c r="V1734" i="2"/>
  <c r="W1734" i="2"/>
  <c r="Y1734" i="2"/>
  <c r="E1735" i="2"/>
  <c r="F1735" i="2"/>
  <c r="G1735" i="2"/>
  <c r="I1735" i="2"/>
  <c r="K1735" i="2"/>
  <c r="L1735" i="2"/>
  <c r="N1735" i="2"/>
  <c r="O1735" i="2"/>
  <c r="R1735" i="2"/>
  <c r="S1735" i="2"/>
  <c r="T1735" i="2"/>
  <c r="V1735" i="2"/>
  <c r="W1735" i="2"/>
  <c r="Y1735" i="2"/>
  <c r="E1736" i="2"/>
  <c r="G1736" i="2"/>
  <c r="I1736" i="2"/>
  <c r="K1736" i="2"/>
  <c r="L1736" i="2"/>
  <c r="N1736" i="2"/>
  <c r="O1736" i="2"/>
  <c r="R1736" i="2"/>
  <c r="S1736" i="2"/>
  <c r="T1736" i="2"/>
  <c r="V1736" i="2"/>
  <c r="W1736" i="2"/>
  <c r="Y1736" i="2"/>
  <c r="E1737" i="2"/>
  <c r="F1737" i="2"/>
  <c r="G1737" i="2"/>
  <c r="I1737" i="2"/>
  <c r="K1737" i="2"/>
  <c r="L1737" i="2"/>
  <c r="N1737" i="2"/>
  <c r="O1737" i="2"/>
  <c r="R1737" i="2"/>
  <c r="S1737" i="2"/>
  <c r="T1737" i="2"/>
  <c r="V1737" i="2"/>
  <c r="W1737" i="2"/>
  <c r="Y1737" i="2"/>
  <c r="G1738" i="2"/>
  <c r="I1738" i="2"/>
  <c r="K1738" i="2"/>
  <c r="L1738" i="2"/>
  <c r="N1738" i="2"/>
  <c r="O1738" i="2"/>
  <c r="R1738" i="2"/>
  <c r="S1738" i="2"/>
  <c r="T1738" i="2"/>
  <c r="V1738" i="2"/>
  <c r="W1738" i="2"/>
  <c r="Y1738" i="2"/>
  <c r="E1739" i="2"/>
  <c r="F1739" i="2"/>
  <c r="G1739" i="2"/>
  <c r="I1739" i="2"/>
  <c r="K1739" i="2"/>
  <c r="L1739" i="2"/>
  <c r="N1739" i="2"/>
  <c r="O1739" i="2"/>
  <c r="R1739" i="2"/>
  <c r="S1739" i="2"/>
  <c r="T1739" i="2"/>
  <c r="V1739" i="2"/>
  <c r="W1739" i="2"/>
  <c r="Y1739" i="2"/>
  <c r="F1740" i="2"/>
  <c r="G1740" i="2"/>
  <c r="I1740" i="2"/>
  <c r="K1740" i="2"/>
  <c r="L1740" i="2"/>
  <c r="N1740" i="2"/>
  <c r="O1740" i="2"/>
  <c r="R1740" i="2"/>
  <c r="S1740" i="2"/>
  <c r="T1740" i="2"/>
  <c r="V1740" i="2"/>
  <c r="W1740" i="2"/>
  <c r="Y1740" i="2"/>
  <c r="E1741" i="2"/>
  <c r="F1741" i="2"/>
  <c r="G1741" i="2"/>
  <c r="I1741" i="2"/>
  <c r="K1741" i="2"/>
  <c r="L1741" i="2"/>
  <c r="N1741" i="2"/>
  <c r="O1741" i="2"/>
  <c r="R1741" i="2"/>
  <c r="S1741" i="2"/>
  <c r="T1741" i="2"/>
  <c r="V1741" i="2"/>
  <c r="W1741" i="2"/>
  <c r="Y1741" i="2"/>
  <c r="G1742" i="2"/>
  <c r="I1742" i="2"/>
  <c r="K1742" i="2"/>
  <c r="L1742" i="2"/>
  <c r="N1742" i="2"/>
  <c r="O1742" i="2"/>
  <c r="R1742" i="2"/>
  <c r="S1742" i="2"/>
  <c r="T1742" i="2"/>
  <c r="V1742" i="2"/>
  <c r="W1742" i="2"/>
  <c r="Y1742" i="2"/>
  <c r="E1743" i="2"/>
  <c r="F1743" i="2"/>
  <c r="G1743" i="2"/>
  <c r="I1743" i="2"/>
  <c r="K1743" i="2"/>
  <c r="L1743" i="2"/>
  <c r="N1743" i="2"/>
  <c r="O1743" i="2"/>
  <c r="R1743" i="2"/>
  <c r="S1743" i="2"/>
  <c r="T1743" i="2"/>
  <c r="V1743" i="2"/>
  <c r="W1743" i="2"/>
  <c r="Y1743" i="2"/>
  <c r="E1744" i="2"/>
  <c r="F1744" i="2"/>
  <c r="G1744" i="2"/>
  <c r="I1744" i="2"/>
  <c r="J1744" i="2"/>
  <c r="K1744" i="2"/>
  <c r="L1744" i="2"/>
  <c r="N1744" i="2"/>
  <c r="O1744" i="2"/>
  <c r="Q1744" i="2"/>
  <c r="R1744" i="2"/>
  <c r="S1744" i="2"/>
  <c r="T1744" i="2"/>
  <c r="V1744" i="2"/>
  <c r="W1744" i="2"/>
  <c r="Y1744" i="2"/>
  <c r="E1745" i="2"/>
  <c r="F1745" i="2"/>
  <c r="G1745" i="2"/>
  <c r="I1745" i="2"/>
  <c r="K1745" i="2"/>
  <c r="L1745" i="2"/>
  <c r="N1745" i="2"/>
  <c r="O1745" i="2"/>
  <c r="R1745" i="2"/>
  <c r="S1745" i="2"/>
  <c r="T1745" i="2"/>
  <c r="V1745" i="2"/>
  <c r="W1745" i="2"/>
  <c r="Y1745" i="2"/>
  <c r="G1746" i="2"/>
  <c r="I1746" i="2"/>
  <c r="L1746" i="2"/>
  <c r="N1746" i="2"/>
  <c r="O1746" i="2"/>
  <c r="R1746" i="2"/>
  <c r="S1746" i="2"/>
  <c r="T1746" i="2"/>
  <c r="V1746" i="2"/>
  <c r="W1746" i="2"/>
  <c r="Y1746" i="2"/>
  <c r="G1747" i="2"/>
  <c r="I1747" i="2"/>
  <c r="K1747" i="2"/>
  <c r="L1747" i="2"/>
  <c r="N1747" i="2"/>
  <c r="O1747" i="2"/>
  <c r="R1747" i="2"/>
  <c r="S1747" i="2"/>
  <c r="T1747" i="2"/>
  <c r="V1747" i="2"/>
  <c r="W1747" i="2"/>
  <c r="Y1747" i="2"/>
  <c r="E1752" i="2"/>
  <c r="F1752" i="2"/>
  <c r="G1752" i="2"/>
  <c r="I1752" i="2"/>
  <c r="K1752" i="2"/>
  <c r="L1752" i="2"/>
  <c r="N1752" i="2"/>
  <c r="O1752" i="2"/>
  <c r="R1752" i="2"/>
  <c r="S1752" i="2"/>
  <c r="T1752" i="2"/>
  <c r="V1752" i="2"/>
  <c r="W1752" i="2"/>
  <c r="Y1752" i="2"/>
  <c r="E1753" i="2"/>
  <c r="F1753" i="2"/>
  <c r="G1753" i="2"/>
  <c r="I1753" i="2"/>
  <c r="K1753" i="2"/>
  <c r="L1753" i="2"/>
  <c r="N1753" i="2"/>
  <c r="O1753" i="2"/>
  <c r="R1753" i="2"/>
  <c r="S1753" i="2"/>
  <c r="T1753" i="2"/>
  <c r="V1753" i="2"/>
  <c r="W1753" i="2"/>
  <c r="Y1753" i="2"/>
  <c r="F1754" i="2"/>
  <c r="G1754" i="2"/>
  <c r="I1754" i="2"/>
  <c r="K1754" i="2"/>
  <c r="L1754" i="2"/>
  <c r="N1754" i="2"/>
  <c r="O1754" i="2"/>
  <c r="R1754" i="2"/>
  <c r="S1754" i="2"/>
  <c r="T1754" i="2"/>
  <c r="V1754" i="2"/>
  <c r="W1754" i="2"/>
  <c r="Y1754" i="2"/>
  <c r="G1755" i="2"/>
  <c r="I1755" i="2"/>
  <c r="K1755" i="2"/>
  <c r="L1755" i="2"/>
  <c r="N1755" i="2"/>
  <c r="O1755" i="2"/>
  <c r="R1755" i="2"/>
  <c r="S1755" i="2"/>
  <c r="T1755" i="2"/>
  <c r="V1755" i="2"/>
  <c r="W1755" i="2"/>
  <c r="Y1755" i="2"/>
  <c r="F1756" i="2"/>
  <c r="G1756" i="2"/>
  <c r="I1756" i="2"/>
  <c r="K1756" i="2"/>
  <c r="L1756" i="2"/>
  <c r="N1756" i="2"/>
  <c r="O1756" i="2"/>
  <c r="R1756" i="2"/>
  <c r="S1756" i="2"/>
  <c r="T1756" i="2"/>
  <c r="V1756" i="2"/>
  <c r="W1756" i="2"/>
  <c r="Y1756" i="2"/>
  <c r="F1757" i="2"/>
  <c r="G1757" i="2"/>
  <c r="I1757" i="2"/>
  <c r="L1757" i="2"/>
  <c r="N1757" i="2"/>
  <c r="O1757" i="2"/>
  <c r="R1757" i="2"/>
  <c r="S1757" i="2"/>
  <c r="T1757" i="2"/>
  <c r="V1757" i="2"/>
  <c r="W1757" i="2"/>
  <c r="Y1757" i="2"/>
  <c r="E1758" i="2"/>
  <c r="F1758" i="2"/>
  <c r="G1758" i="2"/>
  <c r="I1758" i="2"/>
  <c r="K1758" i="2"/>
  <c r="L1758" i="2"/>
  <c r="N1758" i="2"/>
  <c r="O1758" i="2"/>
  <c r="R1758" i="2"/>
  <c r="S1758" i="2"/>
  <c r="T1758" i="2"/>
  <c r="V1758" i="2"/>
  <c r="W1758" i="2"/>
  <c r="Y1758" i="2"/>
  <c r="G1759" i="2"/>
  <c r="I1759" i="2"/>
  <c r="K1759" i="2"/>
  <c r="L1759" i="2"/>
  <c r="N1759" i="2"/>
  <c r="O1759" i="2"/>
  <c r="R1759" i="2"/>
  <c r="S1759" i="2"/>
  <c r="T1759" i="2"/>
  <c r="V1759" i="2"/>
  <c r="W1759" i="2"/>
  <c r="Y1759" i="2"/>
  <c r="E1760" i="2"/>
  <c r="G1760" i="2"/>
  <c r="I1760" i="2"/>
  <c r="K1760" i="2"/>
  <c r="L1760" i="2"/>
  <c r="N1760" i="2"/>
  <c r="O1760" i="2"/>
  <c r="R1760" i="2"/>
  <c r="S1760" i="2"/>
  <c r="T1760" i="2"/>
  <c r="V1760" i="2"/>
  <c r="W1760" i="2"/>
  <c r="Y1760" i="2"/>
  <c r="E1761" i="2"/>
  <c r="F1761" i="2"/>
  <c r="G1761" i="2"/>
  <c r="I1761" i="2"/>
  <c r="K1761" i="2"/>
  <c r="L1761" i="2"/>
  <c r="N1761" i="2"/>
  <c r="O1761" i="2"/>
  <c r="R1761" i="2"/>
  <c r="S1761" i="2"/>
  <c r="T1761" i="2"/>
  <c r="V1761" i="2"/>
  <c r="W1761" i="2"/>
  <c r="Y1761" i="2"/>
  <c r="E1762" i="2"/>
  <c r="F1762" i="2"/>
  <c r="G1762" i="2"/>
  <c r="I1762" i="2"/>
  <c r="K1762" i="2"/>
  <c r="L1762" i="2"/>
  <c r="N1762" i="2"/>
  <c r="O1762" i="2"/>
  <c r="R1762" i="2"/>
  <c r="S1762" i="2"/>
  <c r="T1762" i="2"/>
  <c r="V1762" i="2"/>
  <c r="W1762" i="2"/>
  <c r="Y1762" i="2"/>
  <c r="G1763" i="2"/>
  <c r="I1763" i="2"/>
  <c r="K1763" i="2"/>
  <c r="L1763" i="2"/>
  <c r="N1763" i="2"/>
  <c r="O1763" i="2"/>
  <c r="R1763" i="2"/>
  <c r="S1763" i="2"/>
  <c r="T1763" i="2"/>
  <c r="V1763" i="2"/>
  <c r="W1763" i="2"/>
  <c r="Y1763" i="2"/>
  <c r="G1764" i="2"/>
  <c r="I1764" i="2"/>
  <c r="K1764" i="2"/>
  <c r="L1764" i="2"/>
  <c r="N1764" i="2"/>
  <c r="O1764" i="2"/>
  <c r="R1764" i="2"/>
  <c r="S1764" i="2"/>
  <c r="T1764" i="2"/>
  <c r="V1764" i="2"/>
  <c r="W1764" i="2"/>
  <c r="Y1764" i="2"/>
  <c r="E1765" i="2"/>
  <c r="F1765" i="2"/>
  <c r="G1765" i="2"/>
  <c r="I1765" i="2"/>
  <c r="K1765" i="2"/>
  <c r="L1765" i="2"/>
  <c r="N1765" i="2"/>
  <c r="O1765" i="2"/>
  <c r="R1765" i="2"/>
  <c r="S1765" i="2"/>
  <c r="T1765" i="2"/>
  <c r="V1765" i="2"/>
  <c r="W1765" i="2"/>
  <c r="Y1765" i="2"/>
  <c r="G1766" i="2"/>
  <c r="I1766" i="2"/>
  <c r="J1766" i="2"/>
  <c r="K1766" i="2"/>
  <c r="L1766" i="2"/>
  <c r="N1766" i="2"/>
  <c r="O1766" i="2"/>
  <c r="Q1766" i="2"/>
  <c r="R1766" i="2"/>
  <c r="S1766" i="2"/>
  <c r="T1766" i="2"/>
  <c r="V1766" i="2"/>
  <c r="W1766" i="2"/>
  <c r="Y1766" i="2"/>
  <c r="F1767" i="2"/>
  <c r="G1767" i="2"/>
  <c r="I1767" i="2"/>
  <c r="K1767" i="2"/>
  <c r="L1767" i="2"/>
  <c r="N1767" i="2"/>
  <c r="O1767" i="2"/>
  <c r="R1767" i="2"/>
  <c r="S1767" i="2"/>
  <c r="T1767" i="2"/>
  <c r="V1767" i="2"/>
  <c r="W1767" i="2"/>
  <c r="Y1767" i="2"/>
  <c r="E1772" i="2"/>
  <c r="F1772" i="2"/>
  <c r="G1772" i="2"/>
  <c r="I1772" i="2"/>
  <c r="K1772" i="2"/>
  <c r="L1772" i="2"/>
  <c r="N1772" i="2"/>
  <c r="O1772" i="2"/>
  <c r="R1772" i="2"/>
  <c r="S1772" i="2"/>
  <c r="T1772" i="2"/>
  <c r="V1772" i="2"/>
  <c r="W1772" i="2"/>
  <c r="Y1772" i="2"/>
  <c r="E1773" i="2"/>
  <c r="F1773" i="2"/>
  <c r="G1773" i="2"/>
  <c r="I1773" i="2"/>
  <c r="K1773" i="2"/>
  <c r="L1773" i="2"/>
  <c r="N1773" i="2"/>
  <c r="O1773" i="2"/>
  <c r="R1773" i="2"/>
  <c r="S1773" i="2"/>
  <c r="T1773" i="2"/>
  <c r="V1773" i="2"/>
  <c r="W1773" i="2"/>
  <c r="Y1773" i="2"/>
  <c r="E1774" i="2"/>
  <c r="F1774" i="2"/>
  <c r="G1774" i="2"/>
  <c r="I1774" i="2"/>
  <c r="L1774" i="2"/>
  <c r="N1774" i="2"/>
  <c r="O1774" i="2"/>
  <c r="R1774" i="2"/>
  <c r="S1774" i="2"/>
  <c r="T1774" i="2"/>
  <c r="V1774" i="2"/>
  <c r="W1774" i="2"/>
  <c r="Y1774" i="2"/>
  <c r="E1775" i="2"/>
  <c r="F1775" i="2"/>
  <c r="G1775" i="2"/>
  <c r="I1775" i="2"/>
  <c r="K1775" i="2"/>
  <c r="L1775" i="2"/>
  <c r="N1775" i="2"/>
  <c r="O1775" i="2"/>
  <c r="R1775" i="2"/>
  <c r="S1775" i="2"/>
  <c r="T1775" i="2"/>
  <c r="V1775" i="2"/>
  <c r="W1775" i="2"/>
  <c r="Y1775" i="2"/>
  <c r="E1776" i="2"/>
  <c r="F1776" i="2"/>
  <c r="G1776" i="2"/>
  <c r="I1776" i="2"/>
  <c r="K1776" i="2"/>
  <c r="L1776" i="2"/>
  <c r="N1776" i="2"/>
  <c r="O1776" i="2"/>
  <c r="R1776" i="2"/>
  <c r="S1776" i="2"/>
  <c r="T1776" i="2"/>
  <c r="V1776" i="2"/>
  <c r="W1776" i="2"/>
  <c r="Y1776" i="2"/>
  <c r="G1777" i="2"/>
  <c r="I1777" i="2"/>
  <c r="K1777" i="2"/>
  <c r="L1777" i="2"/>
  <c r="N1777" i="2"/>
  <c r="O1777" i="2"/>
  <c r="R1777" i="2"/>
  <c r="S1777" i="2"/>
  <c r="T1777" i="2"/>
  <c r="V1777" i="2"/>
  <c r="W1777" i="2"/>
  <c r="Y1777" i="2"/>
  <c r="E1778" i="2"/>
  <c r="F1778" i="2"/>
  <c r="G1778" i="2"/>
  <c r="I1778" i="2"/>
  <c r="K1778" i="2"/>
  <c r="L1778" i="2"/>
  <c r="N1778" i="2"/>
  <c r="O1778" i="2"/>
  <c r="R1778" i="2"/>
  <c r="S1778" i="2"/>
  <c r="T1778" i="2"/>
  <c r="V1778" i="2"/>
  <c r="W1778" i="2"/>
  <c r="Y1778" i="2"/>
  <c r="E1779" i="2"/>
  <c r="G1779" i="2"/>
  <c r="I1779" i="2"/>
  <c r="K1779" i="2"/>
  <c r="L1779" i="2"/>
  <c r="N1779" i="2"/>
  <c r="O1779" i="2"/>
  <c r="R1779" i="2"/>
  <c r="S1779" i="2"/>
  <c r="T1779" i="2"/>
  <c r="V1779" i="2"/>
  <c r="W1779" i="2"/>
  <c r="Y1779" i="2"/>
  <c r="F1780" i="2"/>
  <c r="G1780" i="2"/>
  <c r="I1780" i="2"/>
  <c r="K1780" i="2"/>
  <c r="L1780" i="2"/>
  <c r="N1780" i="2"/>
  <c r="O1780" i="2"/>
  <c r="R1780" i="2"/>
  <c r="S1780" i="2"/>
  <c r="T1780" i="2"/>
  <c r="V1780" i="2"/>
  <c r="W1780" i="2"/>
  <c r="Y1780" i="2"/>
  <c r="E1781" i="2"/>
  <c r="F1781" i="2"/>
  <c r="G1781" i="2"/>
  <c r="I1781" i="2"/>
  <c r="K1781" i="2"/>
  <c r="L1781" i="2"/>
  <c r="N1781" i="2"/>
  <c r="O1781" i="2"/>
  <c r="R1781" i="2"/>
  <c r="S1781" i="2"/>
  <c r="T1781" i="2"/>
  <c r="V1781" i="2"/>
  <c r="W1781" i="2"/>
  <c r="Y1781" i="2"/>
  <c r="E1782" i="2"/>
  <c r="F1782" i="2"/>
  <c r="G1782" i="2"/>
  <c r="I1782" i="2"/>
  <c r="K1782" i="2"/>
  <c r="L1782" i="2"/>
  <c r="N1782" i="2"/>
  <c r="O1782" i="2"/>
  <c r="R1782" i="2"/>
  <c r="S1782" i="2"/>
  <c r="T1782" i="2"/>
  <c r="V1782" i="2"/>
  <c r="W1782" i="2"/>
  <c r="Y1782" i="2"/>
  <c r="E1783" i="2"/>
  <c r="F1783" i="2"/>
  <c r="G1783" i="2"/>
  <c r="I1783" i="2"/>
  <c r="K1783" i="2"/>
  <c r="L1783" i="2"/>
  <c r="N1783" i="2"/>
  <c r="O1783" i="2"/>
  <c r="R1783" i="2"/>
  <c r="S1783" i="2"/>
  <c r="T1783" i="2"/>
  <c r="V1783" i="2"/>
  <c r="W1783" i="2"/>
  <c r="Y1783" i="2"/>
  <c r="E1784" i="2"/>
  <c r="F1784" i="2"/>
  <c r="G1784" i="2"/>
  <c r="I1784" i="2"/>
  <c r="K1784" i="2"/>
  <c r="L1784" i="2"/>
  <c r="N1784" i="2"/>
  <c r="O1784" i="2"/>
  <c r="R1784" i="2"/>
  <c r="S1784" i="2"/>
  <c r="T1784" i="2"/>
  <c r="V1784" i="2"/>
  <c r="W1784" i="2"/>
  <c r="Y1784" i="2"/>
  <c r="E1785" i="2"/>
  <c r="F1785" i="2"/>
  <c r="G1785" i="2"/>
  <c r="I1785" i="2"/>
  <c r="K1785" i="2"/>
  <c r="L1785" i="2"/>
  <c r="N1785" i="2"/>
  <c r="O1785" i="2"/>
  <c r="R1785" i="2"/>
  <c r="S1785" i="2"/>
  <c r="T1785" i="2"/>
  <c r="V1785" i="2"/>
  <c r="W1785" i="2"/>
  <c r="Y1785" i="2"/>
  <c r="E1786" i="2"/>
  <c r="F1786" i="2"/>
  <c r="G1786" i="2"/>
  <c r="I1786" i="2"/>
  <c r="K1786" i="2"/>
  <c r="L1786" i="2"/>
  <c r="N1786" i="2"/>
  <c r="O1786" i="2"/>
  <c r="R1786" i="2"/>
  <c r="S1786" i="2"/>
  <c r="T1786" i="2"/>
  <c r="V1786" i="2"/>
  <c r="W1786" i="2"/>
  <c r="Y1786" i="2"/>
  <c r="G1787" i="2"/>
  <c r="I1787" i="2"/>
  <c r="K1787" i="2"/>
  <c r="L1787" i="2"/>
  <c r="N1787" i="2"/>
  <c r="O1787" i="2"/>
  <c r="R1787" i="2"/>
  <c r="S1787" i="2"/>
  <c r="T1787" i="2"/>
  <c r="V1787" i="2"/>
  <c r="W1787" i="2"/>
  <c r="Y1787" i="2"/>
  <c r="E1788" i="2"/>
  <c r="F1788" i="2"/>
  <c r="G1788" i="2"/>
  <c r="I1788" i="2"/>
  <c r="K1788" i="2"/>
  <c r="L1788" i="2"/>
  <c r="N1788" i="2"/>
  <c r="O1788" i="2"/>
  <c r="R1788" i="2"/>
  <c r="S1788" i="2"/>
  <c r="T1788" i="2"/>
  <c r="V1788" i="2"/>
  <c r="W1788" i="2"/>
  <c r="Y1788" i="2"/>
  <c r="G1789" i="2"/>
  <c r="I1789" i="2"/>
  <c r="K1789" i="2"/>
  <c r="L1789" i="2"/>
  <c r="N1789" i="2"/>
  <c r="O1789" i="2"/>
  <c r="R1789" i="2"/>
  <c r="S1789" i="2"/>
  <c r="T1789" i="2"/>
  <c r="V1789" i="2"/>
  <c r="W1789" i="2"/>
  <c r="Y1789" i="2"/>
  <c r="E1790" i="2"/>
  <c r="F1790" i="2"/>
  <c r="G1790" i="2"/>
  <c r="I1790" i="2"/>
  <c r="K1790" i="2"/>
  <c r="L1790" i="2"/>
  <c r="N1790" i="2"/>
  <c r="O1790" i="2"/>
  <c r="R1790" i="2"/>
  <c r="S1790" i="2"/>
  <c r="T1790" i="2"/>
  <c r="V1790" i="2"/>
  <c r="W1790" i="2"/>
  <c r="Y1790" i="2"/>
  <c r="G1791" i="2"/>
  <c r="I1791" i="2"/>
  <c r="K1791" i="2"/>
  <c r="L1791" i="2"/>
  <c r="N1791" i="2"/>
  <c r="O1791" i="2"/>
  <c r="R1791" i="2"/>
  <c r="S1791" i="2"/>
  <c r="T1791" i="2"/>
  <c r="V1791" i="2"/>
  <c r="W1791" i="2"/>
  <c r="Y1791" i="2"/>
  <c r="F1792" i="2"/>
  <c r="G1792" i="2"/>
  <c r="I1792" i="2"/>
  <c r="K1792" i="2"/>
  <c r="L1792" i="2"/>
  <c r="N1792" i="2"/>
  <c r="O1792" i="2"/>
  <c r="R1792" i="2"/>
  <c r="S1792" i="2"/>
  <c r="T1792" i="2"/>
  <c r="V1792" i="2"/>
  <c r="W1792" i="2"/>
  <c r="Y1792" i="2"/>
  <c r="E1793" i="2"/>
  <c r="F1793" i="2"/>
  <c r="G1793" i="2"/>
  <c r="I1793" i="2"/>
  <c r="K1793" i="2"/>
  <c r="L1793" i="2"/>
  <c r="N1793" i="2"/>
  <c r="O1793" i="2"/>
  <c r="R1793" i="2"/>
  <c r="S1793" i="2"/>
  <c r="T1793" i="2"/>
  <c r="V1793" i="2"/>
  <c r="W1793" i="2"/>
  <c r="Y1793" i="2"/>
  <c r="G1794" i="2"/>
  <c r="I1794" i="2"/>
  <c r="K1794" i="2"/>
  <c r="L1794" i="2"/>
  <c r="N1794" i="2"/>
  <c r="O1794" i="2"/>
  <c r="R1794" i="2"/>
  <c r="S1794" i="2"/>
  <c r="T1794" i="2"/>
  <c r="V1794" i="2"/>
  <c r="W1794" i="2"/>
  <c r="Y1794" i="2"/>
  <c r="E1795" i="2"/>
  <c r="G1795" i="2"/>
  <c r="I1795" i="2"/>
  <c r="K1795" i="2"/>
  <c r="L1795" i="2"/>
  <c r="N1795" i="2"/>
  <c r="O1795" i="2"/>
  <c r="R1795" i="2"/>
  <c r="S1795" i="2"/>
  <c r="T1795" i="2"/>
  <c r="V1795" i="2"/>
  <c r="W1795" i="2"/>
  <c r="Y1795" i="2"/>
  <c r="G1796" i="2"/>
  <c r="I1796" i="2"/>
  <c r="J1796" i="2"/>
  <c r="K1796" i="2"/>
  <c r="L1796" i="2"/>
  <c r="N1796" i="2"/>
  <c r="O1796" i="2"/>
  <c r="Q1796" i="2"/>
  <c r="R1796" i="2"/>
  <c r="S1796" i="2"/>
  <c r="T1796" i="2"/>
  <c r="V1796" i="2"/>
  <c r="W1796" i="2"/>
  <c r="Y1796" i="2"/>
  <c r="E1797" i="2"/>
  <c r="F1797" i="2"/>
  <c r="G1797" i="2"/>
  <c r="I1797" i="2"/>
  <c r="J1797" i="2"/>
  <c r="K1797" i="2"/>
  <c r="L1797" i="2"/>
  <c r="N1797" i="2"/>
  <c r="O1797" i="2"/>
  <c r="Q1797" i="2"/>
  <c r="R1797" i="2"/>
  <c r="S1797" i="2"/>
  <c r="T1797" i="2"/>
  <c r="V1797" i="2"/>
  <c r="W1797" i="2"/>
  <c r="Y1797" i="2"/>
  <c r="G1798" i="2"/>
  <c r="K1798" i="2"/>
  <c r="L1798" i="2"/>
  <c r="N1798" i="2"/>
  <c r="O1798" i="2"/>
  <c r="R1798" i="2"/>
  <c r="S1798" i="2"/>
  <c r="T1798" i="2"/>
  <c r="V1798" i="2"/>
  <c r="W1798" i="2"/>
  <c r="Y1798" i="2"/>
  <c r="H1803" i="2"/>
  <c r="P1803" i="2"/>
  <c r="Q1803" i="2"/>
  <c r="U1803" i="2"/>
  <c r="E1804" i="2"/>
  <c r="F1804" i="2"/>
  <c r="H1804" i="2" s="1"/>
  <c r="P1804" i="2"/>
  <c r="U1804" i="2" s="1"/>
  <c r="E1805" i="2"/>
  <c r="H1805" i="2"/>
  <c r="K1805" i="2"/>
  <c r="P1805" i="2"/>
  <c r="X1805" i="2" s="1"/>
  <c r="H1806" i="2"/>
  <c r="P1806" i="2"/>
  <c r="E1807" i="2"/>
  <c r="F1807" i="2"/>
  <c r="H1807" i="2" s="1"/>
  <c r="P1807" i="2"/>
  <c r="H1808" i="2"/>
  <c r="M1808" i="2" s="1"/>
  <c r="P1808" i="2"/>
  <c r="Q1808" i="2" s="1"/>
  <c r="U1808" i="2"/>
  <c r="X1808" i="2"/>
  <c r="Z1808" i="2" s="1"/>
  <c r="E1809" i="2"/>
  <c r="F1809" i="2"/>
  <c r="H1809" i="2" s="1"/>
  <c r="M1809" i="2" s="1"/>
  <c r="J1809" i="2"/>
  <c r="P1809" i="2"/>
  <c r="E1810" i="2"/>
  <c r="H1810" i="2"/>
  <c r="J1810" i="2" s="1"/>
  <c r="M1810" i="2"/>
  <c r="P1810" i="2"/>
  <c r="U1810" i="2" s="1"/>
  <c r="H1811" i="2"/>
  <c r="P1811" i="2"/>
  <c r="Q1811" i="2"/>
  <c r="U1811" i="2"/>
  <c r="E1812" i="2"/>
  <c r="F1812" i="2"/>
  <c r="H1812" i="2"/>
  <c r="J1812" i="2" s="1"/>
  <c r="P1812" i="2"/>
  <c r="U1812" i="2" s="1"/>
  <c r="H1813" i="2"/>
  <c r="M1813" i="2"/>
  <c r="P1813" i="2"/>
  <c r="E1814" i="2"/>
  <c r="F1814" i="2"/>
  <c r="H1814" i="2" s="1"/>
  <c r="P1814" i="2"/>
  <c r="U1814" i="2" s="1"/>
  <c r="E1815" i="2"/>
  <c r="F1815" i="2"/>
  <c r="H1815" i="2" s="1"/>
  <c r="X1815" i="2" s="1"/>
  <c r="P1815" i="2"/>
  <c r="U1815" i="2" s="1"/>
  <c r="H1816" i="2"/>
  <c r="J1816" i="2"/>
  <c r="P1816" i="2"/>
  <c r="Q1816" i="2" s="1"/>
  <c r="H1817" i="2"/>
  <c r="P1817" i="2"/>
  <c r="H1818" i="2"/>
  <c r="J1818" i="2"/>
  <c r="P1818" i="2"/>
  <c r="G1820" i="2"/>
  <c r="I1820" i="2"/>
  <c r="K1820" i="2"/>
  <c r="L1820" i="2"/>
  <c r="N1820" i="2"/>
  <c r="O1820" i="2"/>
  <c r="T1820" i="2"/>
  <c r="V1820" i="2"/>
  <c r="W1820" i="2"/>
  <c r="Y1820" i="2"/>
  <c r="F1823" i="2"/>
  <c r="H1823" i="2" s="1"/>
  <c r="P1823" i="2"/>
  <c r="F1824" i="2"/>
  <c r="H1824" i="2" s="1"/>
  <c r="J1824" i="2" s="1"/>
  <c r="P1824" i="2"/>
  <c r="F1825" i="2"/>
  <c r="H1825" i="2"/>
  <c r="J1825" i="2" s="1"/>
  <c r="P1825" i="2"/>
  <c r="Q1825" i="2"/>
  <c r="U1825" i="2"/>
  <c r="E1826" i="2"/>
  <c r="H1826" i="2"/>
  <c r="J1826" i="2" s="1"/>
  <c r="P1826" i="2"/>
  <c r="U1826" i="2" s="1"/>
  <c r="F1827" i="2"/>
  <c r="H1827" i="2" s="1"/>
  <c r="P1827" i="2"/>
  <c r="U1827" i="2" s="1"/>
  <c r="Q1827" i="2"/>
  <c r="E1828" i="2"/>
  <c r="Q1828" i="2" s="1"/>
  <c r="H1828" i="2"/>
  <c r="J1828" i="2" s="1"/>
  <c r="P1828" i="2"/>
  <c r="U1828" i="2" s="1"/>
  <c r="E1829" i="2"/>
  <c r="Q1829" i="2" s="1"/>
  <c r="H1829" i="2"/>
  <c r="P1829" i="2"/>
  <c r="U1829" i="2"/>
  <c r="E1830" i="2"/>
  <c r="H1830" i="2"/>
  <c r="P1830" i="2"/>
  <c r="H1831" i="2"/>
  <c r="J1831" i="2" s="1"/>
  <c r="P1831" i="2"/>
  <c r="Q1831" i="2" s="1"/>
  <c r="U1831" i="2"/>
  <c r="H1832" i="2"/>
  <c r="M1832" i="2" s="1"/>
  <c r="P1832" i="2"/>
  <c r="E1833" i="2"/>
  <c r="H1833" i="2"/>
  <c r="P1833" i="2"/>
  <c r="U1833" i="2" s="1"/>
  <c r="E1834" i="2"/>
  <c r="F1834" i="2"/>
  <c r="H1834" i="2" s="1"/>
  <c r="P1834" i="2"/>
  <c r="H1835" i="2"/>
  <c r="J1835" i="2" s="1"/>
  <c r="P1835" i="2"/>
  <c r="U1835" i="2" s="1"/>
  <c r="E1836" i="2"/>
  <c r="F1836" i="2"/>
  <c r="H1836" i="2" s="1"/>
  <c r="P1836" i="2"/>
  <c r="U1836" i="2" s="1"/>
  <c r="H1837" i="2"/>
  <c r="P1837" i="2"/>
  <c r="E1838" i="2"/>
  <c r="F1838" i="2"/>
  <c r="H1838" i="2"/>
  <c r="P1838" i="2"/>
  <c r="U1838" i="2" s="1"/>
  <c r="E1839" i="2"/>
  <c r="F1839" i="2"/>
  <c r="H1839" i="2" s="1"/>
  <c r="P1839" i="2"/>
  <c r="H1840" i="2"/>
  <c r="J1840" i="2"/>
  <c r="P1840" i="2"/>
  <c r="U1840" i="2" s="1"/>
  <c r="H1841" i="2"/>
  <c r="P1841" i="2"/>
  <c r="H1842" i="2"/>
  <c r="J1842" i="2"/>
  <c r="M1842" i="2"/>
  <c r="U1842" i="2"/>
  <c r="X1842" i="2"/>
  <c r="Z1842" i="2"/>
  <c r="AA1842" i="2"/>
  <c r="AB1842" i="2" s="1"/>
  <c r="H1843" i="2"/>
  <c r="J1843" i="2"/>
  <c r="M1843" i="2"/>
  <c r="P1843" i="2"/>
  <c r="U1843" i="2" s="1"/>
  <c r="H1844" i="2"/>
  <c r="P1844" i="2"/>
  <c r="H1845" i="2"/>
  <c r="J1845" i="2" s="1"/>
  <c r="P1845" i="2"/>
  <c r="G1847" i="2"/>
  <c r="I1847" i="2"/>
  <c r="K1847" i="2"/>
  <c r="L1847" i="2"/>
  <c r="N1847" i="2"/>
  <c r="O1847" i="2"/>
  <c r="T1847" i="2"/>
  <c r="V1847" i="2"/>
  <c r="W1847" i="2"/>
  <c r="Y1847" i="2"/>
  <c r="H1850" i="2"/>
  <c r="J1850" i="2" s="1"/>
  <c r="P1850" i="2"/>
  <c r="U1850" i="2" s="1"/>
  <c r="E1851" i="2"/>
  <c r="Z1851" i="2" s="1"/>
  <c r="H1851" i="2"/>
  <c r="J1851" i="2" s="1"/>
  <c r="P1851" i="2"/>
  <c r="X1851" i="2" s="1"/>
  <c r="E1852" i="2"/>
  <c r="Q1852" i="2" s="1"/>
  <c r="H1852" i="2"/>
  <c r="P1852" i="2"/>
  <c r="U1852" i="2" s="1"/>
  <c r="H1853" i="2"/>
  <c r="P1853" i="2"/>
  <c r="H1854" i="2"/>
  <c r="P1854" i="2"/>
  <c r="H1855" i="2"/>
  <c r="J1855" i="2"/>
  <c r="M1855" i="2"/>
  <c r="P1855" i="2"/>
  <c r="H1856" i="2"/>
  <c r="P1856" i="2"/>
  <c r="H1857" i="2"/>
  <c r="J1857" i="2" s="1"/>
  <c r="P1857" i="2"/>
  <c r="H1858" i="2"/>
  <c r="P1858" i="2"/>
  <c r="U1858" i="2" s="1"/>
  <c r="H1859" i="2"/>
  <c r="P1859" i="2"/>
  <c r="H1860" i="2"/>
  <c r="P1860" i="2"/>
  <c r="E1861" i="2"/>
  <c r="F1861" i="2"/>
  <c r="P1861" i="2"/>
  <c r="U1861" i="2" s="1"/>
  <c r="G1863" i="2"/>
  <c r="I1863" i="2"/>
  <c r="K1863" i="2"/>
  <c r="L1863" i="2"/>
  <c r="N1863" i="2"/>
  <c r="O1863" i="2"/>
  <c r="T1863" i="2"/>
  <c r="V1863" i="2"/>
  <c r="W1863" i="2"/>
  <c r="Y1863" i="2"/>
  <c r="R1865" i="2"/>
  <c r="S1865" i="2"/>
  <c r="H1871" i="2"/>
  <c r="P1871" i="2"/>
  <c r="U1871" i="2"/>
  <c r="H1872" i="2"/>
  <c r="M1872" i="2" s="1"/>
  <c r="P1872" i="2"/>
  <c r="H1873" i="2"/>
  <c r="P1873" i="2"/>
  <c r="U1873" i="2" s="1"/>
  <c r="H1874" i="2"/>
  <c r="M1874" i="2" s="1"/>
  <c r="P1874" i="2"/>
  <c r="H1875" i="2"/>
  <c r="P1875" i="2"/>
  <c r="U1875" i="2" s="1"/>
  <c r="H1876" i="2"/>
  <c r="M1876" i="2" s="1"/>
  <c r="P1876" i="2"/>
  <c r="H1877" i="2"/>
  <c r="P1877" i="2"/>
  <c r="U1877" i="2" s="1"/>
  <c r="H1878" i="2"/>
  <c r="M1878" i="2"/>
  <c r="P1878" i="2"/>
  <c r="H1879" i="2"/>
  <c r="P1879" i="2"/>
  <c r="U1879" i="2"/>
  <c r="H1880" i="2"/>
  <c r="M1880" i="2" s="1"/>
  <c r="P1880" i="2"/>
  <c r="E1881" i="2"/>
  <c r="F1881" i="2"/>
  <c r="H1881" i="2" s="1"/>
  <c r="M1881" i="2" s="1"/>
  <c r="P1881" i="2"/>
  <c r="G1883" i="2"/>
  <c r="I1883" i="2"/>
  <c r="J1883" i="2"/>
  <c r="K1883" i="2"/>
  <c r="L1883" i="2"/>
  <c r="N1883" i="2"/>
  <c r="O1883" i="2"/>
  <c r="Q1883" i="2"/>
  <c r="R1883" i="2"/>
  <c r="S1883" i="2"/>
  <c r="T1883" i="2"/>
  <c r="Y1883" i="2"/>
  <c r="E1886" i="2"/>
  <c r="H1886" i="2"/>
  <c r="M1886" i="2" s="1"/>
  <c r="P1886" i="2"/>
  <c r="H1887" i="2"/>
  <c r="M1887" i="2"/>
  <c r="P1887" i="2"/>
  <c r="H1888" i="2"/>
  <c r="M1888" i="2"/>
  <c r="P1888" i="2"/>
  <c r="H1889" i="2"/>
  <c r="P1889" i="2"/>
  <c r="U1889" i="2"/>
  <c r="H1890" i="2"/>
  <c r="M1890" i="2" s="1"/>
  <c r="P1890" i="2"/>
  <c r="U1890" i="2"/>
  <c r="X1890" i="2"/>
  <c r="Z1890" i="2" s="1"/>
  <c r="H1891" i="2"/>
  <c r="P1891" i="2"/>
  <c r="U1891" i="2"/>
  <c r="H1892" i="2"/>
  <c r="M1892" i="2" s="1"/>
  <c r="P1892" i="2"/>
  <c r="H1893" i="2"/>
  <c r="P1893" i="2"/>
  <c r="U1893" i="2" s="1"/>
  <c r="H1894" i="2"/>
  <c r="M1894" i="2" s="1"/>
  <c r="P1894" i="2"/>
  <c r="H1895" i="2"/>
  <c r="M1895" i="2"/>
  <c r="AA1895" i="2" s="1"/>
  <c r="AB1895" i="2" s="1"/>
  <c r="P1895" i="2"/>
  <c r="U1895" i="2" s="1"/>
  <c r="H1896" i="2"/>
  <c r="M1896" i="2"/>
  <c r="P1896" i="2"/>
  <c r="E1897" i="2"/>
  <c r="F1897" i="2"/>
  <c r="H1897" i="2" s="1"/>
  <c r="M1897" i="2" s="1"/>
  <c r="P1897" i="2"/>
  <c r="H1898" i="2"/>
  <c r="M1898" i="2" s="1"/>
  <c r="P1898" i="2"/>
  <c r="V1898" i="2" s="1"/>
  <c r="W1898" i="2" s="1"/>
  <c r="U1898" i="2"/>
  <c r="H1899" i="2"/>
  <c r="M1899" i="2" s="1"/>
  <c r="P1899" i="2"/>
  <c r="P1900" i="2"/>
  <c r="E1901" i="2"/>
  <c r="Z1901" i="2" s="1"/>
  <c r="F1901" i="2"/>
  <c r="H1901" i="2"/>
  <c r="X1901" i="2" s="1"/>
  <c r="M1901" i="2"/>
  <c r="AA1901" i="2" s="1"/>
  <c r="AB1901" i="2" s="1"/>
  <c r="P1901" i="2"/>
  <c r="U1901" i="2" s="1"/>
  <c r="E1902" i="2"/>
  <c r="F1902" i="2"/>
  <c r="H1902" i="2" s="1"/>
  <c r="M1902" i="2" s="1"/>
  <c r="P1902" i="2"/>
  <c r="F1904" i="2"/>
  <c r="G1904" i="2"/>
  <c r="I1904" i="2"/>
  <c r="J1904" i="2"/>
  <c r="K1904" i="2"/>
  <c r="L1904" i="2"/>
  <c r="N1904" i="2"/>
  <c r="O1904" i="2"/>
  <c r="Q1904" i="2"/>
  <c r="R1904" i="2"/>
  <c r="S1904" i="2"/>
  <c r="T1904" i="2"/>
  <c r="Y1904" i="2"/>
  <c r="H1908" i="2"/>
  <c r="P1908" i="2"/>
  <c r="U1908" i="2" s="1"/>
  <c r="H1909" i="2"/>
  <c r="M1909" i="2"/>
  <c r="P1909" i="2"/>
  <c r="H1910" i="2"/>
  <c r="P1910" i="2"/>
  <c r="U1910" i="2" s="1"/>
  <c r="H1911" i="2"/>
  <c r="M1911" i="2" s="1"/>
  <c r="P1911" i="2"/>
  <c r="H1912" i="2"/>
  <c r="N1912" i="2"/>
  <c r="N1927" i="2" s="1"/>
  <c r="E1913" i="2"/>
  <c r="H1913" i="2"/>
  <c r="M1913" i="2" s="1"/>
  <c r="P1913" i="2"/>
  <c r="H1914" i="2"/>
  <c r="M1914" i="2" s="1"/>
  <c r="P1914" i="2"/>
  <c r="H1915" i="2"/>
  <c r="P1915" i="2"/>
  <c r="V1915" i="2" s="1"/>
  <c r="W1915" i="2" s="1"/>
  <c r="U1915" i="2"/>
  <c r="H1916" i="2"/>
  <c r="M1916" i="2"/>
  <c r="P1916" i="2"/>
  <c r="U1916" i="2" s="1"/>
  <c r="H1917" i="2"/>
  <c r="P1917" i="2"/>
  <c r="U1917" i="2" s="1"/>
  <c r="F1918" i="2"/>
  <c r="H1918" i="2" s="1"/>
  <c r="M1918" i="2" s="1"/>
  <c r="P1918" i="2"/>
  <c r="H1919" i="2"/>
  <c r="P1919" i="2"/>
  <c r="U1919" i="2" s="1"/>
  <c r="F1920" i="2"/>
  <c r="P1920" i="2"/>
  <c r="H1921" i="2"/>
  <c r="M1921" i="2" s="1"/>
  <c r="P1921" i="2"/>
  <c r="U1921" i="2" s="1"/>
  <c r="H1922" i="2"/>
  <c r="M1922" i="2"/>
  <c r="P1922" i="2"/>
  <c r="H1923" i="2"/>
  <c r="M1923" i="2"/>
  <c r="P1923" i="2"/>
  <c r="U1923" i="2" s="1"/>
  <c r="E1924" i="2"/>
  <c r="F1924" i="2"/>
  <c r="H1924" i="2" s="1"/>
  <c r="M1924" i="2" s="1"/>
  <c r="P1924" i="2"/>
  <c r="U1924" i="2" s="1"/>
  <c r="E1925" i="2"/>
  <c r="H1925" i="2"/>
  <c r="P1925" i="2"/>
  <c r="U1925" i="2" s="1"/>
  <c r="G1927" i="2"/>
  <c r="I1927" i="2"/>
  <c r="J1927" i="2"/>
  <c r="K1927" i="2"/>
  <c r="L1927" i="2"/>
  <c r="O1927" i="2"/>
  <c r="Q1927" i="2"/>
  <c r="R1927" i="2"/>
  <c r="S1927" i="2"/>
  <c r="T1927" i="2"/>
  <c r="Y1927" i="2"/>
  <c r="H1931" i="2"/>
  <c r="M1931" i="2" s="1"/>
  <c r="N1931" i="2"/>
  <c r="H1932" i="2"/>
  <c r="M1932" i="2" s="1"/>
  <c r="P1932" i="2"/>
  <c r="H1933" i="2"/>
  <c r="M1933" i="2" s="1"/>
  <c r="P1933" i="2"/>
  <c r="H1934" i="2"/>
  <c r="M1934" i="2" s="1"/>
  <c r="P1934" i="2"/>
  <c r="H1935" i="2"/>
  <c r="V1935" i="2" s="1"/>
  <c r="W1935" i="2" s="1"/>
  <c r="P1935" i="2"/>
  <c r="U1935" i="2" s="1"/>
  <c r="H1936" i="2"/>
  <c r="M1936" i="2" s="1"/>
  <c r="P1936" i="2"/>
  <c r="H1937" i="2"/>
  <c r="M1937" i="2"/>
  <c r="P1937" i="2"/>
  <c r="V1937" i="2" s="1"/>
  <c r="W1937" i="2" s="1"/>
  <c r="H1938" i="2"/>
  <c r="M1938" i="2" s="1"/>
  <c r="P1938" i="2"/>
  <c r="H1939" i="2"/>
  <c r="V1939" i="2" s="1"/>
  <c r="W1939" i="2" s="1"/>
  <c r="P1939" i="2"/>
  <c r="U1939" i="2" s="1"/>
  <c r="H1940" i="2"/>
  <c r="M1940" i="2"/>
  <c r="P1940" i="2"/>
  <c r="H1941" i="2"/>
  <c r="M1941" i="2"/>
  <c r="P1941" i="2"/>
  <c r="E1942" i="2"/>
  <c r="F1942" i="2"/>
  <c r="H1942" i="2"/>
  <c r="P1942" i="2"/>
  <c r="U1942" i="2" s="1"/>
  <c r="E1943" i="2"/>
  <c r="E1947" i="2" s="1"/>
  <c r="F1943" i="2"/>
  <c r="P1943" i="2"/>
  <c r="H1944" i="2"/>
  <c r="V1944" i="2" s="1"/>
  <c r="W1944" i="2" s="1"/>
  <c r="U1944" i="2"/>
  <c r="H1945" i="2"/>
  <c r="M1945" i="2" s="1"/>
  <c r="P1945" i="2"/>
  <c r="U1945" i="2" s="1"/>
  <c r="G1947" i="2"/>
  <c r="I1947" i="2"/>
  <c r="J1947" i="2"/>
  <c r="K1947" i="2"/>
  <c r="L1947" i="2"/>
  <c r="O1947" i="2"/>
  <c r="Q1947" i="2"/>
  <c r="R1947" i="2"/>
  <c r="S1947" i="2"/>
  <c r="T1947" i="2"/>
  <c r="Y1947" i="2"/>
  <c r="H1950" i="2"/>
  <c r="M1950" i="2" s="1"/>
  <c r="P1950" i="2"/>
  <c r="U1950" i="2" s="1"/>
  <c r="H1952" i="2"/>
  <c r="M1952" i="2" s="1"/>
  <c r="P1952" i="2"/>
  <c r="X1952" i="2"/>
  <c r="Z1952" i="2" s="1"/>
  <c r="H1953" i="2"/>
  <c r="V1953" i="2" s="1"/>
  <c r="W1953" i="2" s="1"/>
  <c r="P1953" i="2"/>
  <c r="U1953" i="2" s="1"/>
  <c r="H1954" i="2"/>
  <c r="M1954" i="2" s="1"/>
  <c r="P1954" i="2"/>
  <c r="U1954" i="2" s="1"/>
  <c r="H1955" i="2"/>
  <c r="M1955" i="2"/>
  <c r="P1955" i="2"/>
  <c r="H1956" i="2"/>
  <c r="M1956" i="2" s="1"/>
  <c r="P1956" i="2"/>
  <c r="H1957" i="2"/>
  <c r="P1957" i="2"/>
  <c r="U1957" i="2" s="1"/>
  <c r="H1958" i="2"/>
  <c r="M1958" i="2" s="1"/>
  <c r="P1958" i="2"/>
  <c r="U1958" i="2" s="1"/>
  <c r="H1959" i="2"/>
  <c r="P1959" i="2"/>
  <c r="U1959" i="2" s="1"/>
  <c r="H1960" i="2"/>
  <c r="M1960" i="2" s="1"/>
  <c r="P1960" i="2"/>
  <c r="V1960" i="2" s="1"/>
  <c r="W1960" i="2" s="1"/>
  <c r="X1960" i="2"/>
  <c r="Z1960" i="2" s="1"/>
  <c r="H1961" i="2"/>
  <c r="M1961" i="2" s="1"/>
  <c r="AA1961" i="2" s="1"/>
  <c r="AB1961" i="2" s="1"/>
  <c r="P1961" i="2"/>
  <c r="U1961" i="2" s="1"/>
  <c r="V1961" i="2"/>
  <c r="W1961" i="2" s="1"/>
  <c r="H1962" i="2"/>
  <c r="M1962" i="2" s="1"/>
  <c r="P1962" i="2"/>
  <c r="U1962" i="2" s="1"/>
  <c r="H1963" i="2"/>
  <c r="M1963" i="2"/>
  <c r="P1963" i="2"/>
  <c r="E1965" i="2"/>
  <c r="F1965" i="2"/>
  <c r="G1965" i="2"/>
  <c r="I1965" i="2"/>
  <c r="J1965" i="2"/>
  <c r="K1965" i="2"/>
  <c r="L1965" i="2"/>
  <c r="N1965" i="2"/>
  <c r="O1965" i="2"/>
  <c r="Q1965" i="2"/>
  <c r="R1965" i="2"/>
  <c r="S1965" i="2"/>
  <c r="T1965" i="2"/>
  <c r="Y1965" i="2"/>
  <c r="T1967" i="2"/>
  <c r="T2740" i="2" s="1"/>
  <c r="E1972" i="2"/>
  <c r="Q1972" i="2" s="1"/>
  <c r="H1972" i="2"/>
  <c r="M1972" i="2" s="1"/>
  <c r="J1972" i="2"/>
  <c r="K1972" i="2"/>
  <c r="K1995" i="2" s="1"/>
  <c r="P1972" i="2"/>
  <c r="U1972" i="2"/>
  <c r="H1973" i="2"/>
  <c r="P1973" i="2"/>
  <c r="E1974" i="2"/>
  <c r="H1974" i="2"/>
  <c r="P1974" i="2"/>
  <c r="U1974" i="2" s="1"/>
  <c r="H1975" i="2"/>
  <c r="J1975" i="2" s="1"/>
  <c r="P1975" i="2"/>
  <c r="H1976" i="2"/>
  <c r="P1976" i="2"/>
  <c r="U1976" i="2" s="1"/>
  <c r="E1977" i="2"/>
  <c r="Q1977" i="2" s="1"/>
  <c r="H1977" i="2"/>
  <c r="J1977" i="2" s="1"/>
  <c r="P1977" i="2"/>
  <c r="U1977" i="2" s="1"/>
  <c r="H1978" i="2"/>
  <c r="M1978" i="2" s="1"/>
  <c r="J1978" i="2"/>
  <c r="P1978" i="2"/>
  <c r="E1979" i="2"/>
  <c r="H1979" i="2"/>
  <c r="P1979" i="2"/>
  <c r="U1979" i="2" s="1"/>
  <c r="E1980" i="2"/>
  <c r="H1980" i="2"/>
  <c r="J1980" i="2"/>
  <c r="P1980" i="2"/>
  <c r="U1980" i="2" s="1"/>
  <c r="H1981" i="2"/>
  <c r="P1981" i="2"/>
  <c r="H1982" i="2"/>
  <c r="J1982" i="2" s="1"/>
  <c r="P1982" i="2"/>
  <c r="F1983" i="2"/>
  <c r="H1983" i="2" s="1"/>
  <c r="P1983" i="2"/>
  <c r="U1983" i="2" s="1"/>
  <c r="H1984" i="2"/>
  <c r="P1984" i="2"/>
  <c r="H1985" i="2"/>
  <c r="P1985" i="2"/>
  <c r="H1986" i="2"/>
  <c r="J1986" i="2" s="1"/>
  <c r="M1986" i="2"/>
  <c r="P1986" i="2"/>
  <c r="E1987" i="2"/>
  <c r="F1987" i="2"/>
  <c r="H1987" i="2"/>
  <c r="M1987" i="2" s="1"/>
  <c r="P1987" i="2"/>
  <c r="U1987" i="2" s="1"/>
  <c r="E1988" i="2"/>
  <c r="F1988" i="2"/>
  <c r="H1988" i="2" s="1"/>
  <c r="M1988" i="2" s="1"/>
  <c r="P1988" i="2"/>
  <c r="U1988" i="2" s="1"/>
  <c r="H1989" i="2"/>
  <c r="P1989" i="2"/>
  <c r="Q1989" i="2" s="1"/>
  <c r="U1989" i="2"/>
  <c r="E1990" i="2"/>
  <c r="H1990" i="2"/>
  <c r="J1990" i="2" s="1"/>
  <c r="M1990" i="2"/>
  <c r="P1990" i="2"/>
  <c r="U1990" i="2" s="1"/>
  <c r="H1991" i="2"/>
  <c r="J1991" i="2" s="1"/>
  <c r="P1991" i="2"/>
  <c r="H1992" i="2"/>
  <c r="M1992" i="2" s="1"/>
  <c r="P1992" i="2"/>
  <c r="Q1992" i="2" s="1"/>
  <c r="X1992" i="2"/>
  <c r="Z1992" i="2" s="1"/>
  <c r="E1993" i="2"/>
  <c r="F1993" i="2"/>
  <c r="P1993" i="2"/>
  <c r="U1993" i="2"/>
  <c r="G1995" i="2"/>
  <c r="I1995" i="2"/>
  <c r="L1995" i="2"/>
  <c r="N1995" i="2"/>
  <c r="O1995" i="2"/>
  <c r="T1995" i="2"/>
  <c r="V1995" i="2"/>
  <c r="W1995" i="2"/>
  <c r="Y1995" i="2"/>
  <c r="E1998" i="2"/>
  <c r="H1998" i="2"/>
  <c r="P1998" i="2"/>
  <c r="U1998" i="2" s="1"/>
  <c r="H1999" i="2"/>
  <c r="J1999" i="2" s="1"/>
  <c r="P1999" i="2"/>
  <c r="Q1999" i="2" s="1"/>
  <c r="H2000" i="2"/>
  <c r="P2000" i="2"/>
  <c r="U2000" i="2" s="1"/>
  <c r="E2001" i="2"/>
  <c r="H2001" i="2"/>
  <c r="M2001" i="2" s="1"/>
  <c r="P2001" i="2"/>
  <c r="U2001" i="2" s="1"/>
  <c r="F2002" i="2"/>
  <c r="H2002" i="2" s="1"/>
  <c r="J2002" i="2" s="1"/>
  <c r="P2002" i="2"/>
  <c r="U2002" i="2" s="1"/>
  <c r="F2003" i="2"/>
  <c r="H2003" i="2" s="1"/>
  <c r="P2003" i="2"/>
  <c r="Q2003" i="2" s="1"/>
  <c r="E2004" i="2"/>
  <c r="F2004" i="2"/>
  <c r="P2004" i="2"/>
  <c r="U2004" i="2" s="1"/>
  <c r="E2005" i="2"/>
  <c r="F2005" i="2"/>
  <c r="H2005" i="2"/>
  <c r="J2005" i="2"/>
  <c r="P2005" i="2"/>
  <c r="H2006" i="2"/>
  <c r="M2006" i="2"/>
  <c r="P2006" i="2"/>
  <c r="Q2006" i="2" s="1"/>
  <c r="H2007" i="2"/>
  <c r="P2007" i="2"/>
  <c r="Q2007" i="2" s="1"/>
  <c r="U2007" i="2"/>
  <c r="H2008" i="2"/>
  <c r="M2008" i="2" s="1"/>
  <c r="P2008" i="2"/>
  <c r="E2009" i="2"/>
  <c r="H2009" i="2"/>
  <c r="P2009" i="2"/>
  <c r="U2009" i="2" s="1"/>
  <c r="E2010" i="2"/>
  <c r="F2010" i="2"/>
  <c r="H2010" i="2" s="1"/>
  <c r="P2010" i="2"/>
  <c r="H2011" i="2"/>
  <c r="P2011" i="2"/>
  <c r="U2011" i="2" s="1"/>
  <c r="Q2011" i="2"/>
  <c r="H2012" i="2"/>
  <c r="J2012" i="2" s="1"/>
  <c r="P2012" i="2"/>
  <c r="H2013" i="2"/>
  <c r="P2013" i="2"/>
  <c r="Q2013" i="2" s="1"/>
  <c r="E2014" i="2"/>
  <c r="F2014" i="2"/>
  <c r="H2014" i="2" s="1"/>
  <c r="P2014" i="2"/>
  <c r="U2014" i="2" s="1"/>
  <c r="H2015" i="2"/>
  <c r="P2015" i="2"/>
  <c r="U2015" i="2" s="1"/>
  <c r="Q2015" i="2"/>
  <c r="E2016" i="2"/>
  <c r="H2016" i="2"/>
  <c r="P2016" i="2"/>
  <c r="U2016" i="2" s="1"/>
  <c r="H2017" i="2"/>
  <c r="J2017" i="2" s="1"/>
  <c r="M2017" i="2"/>
  <c r="P2017" i="2"/>
  <c r="U2017" i="2" s="1"/>
  <c r="F2018" i="2"/>
  <c r="H2018" i="2" s="1"/>
  <c r="P2018" i="2"/>
  <c r="Q2018" i="2" s="1"/>
  <c r="U2018" i="2"/>
  <c r="E2019" i="2"/>
  <c r="F2019" i="2"/>
  <c r="H2019" i="2" s="1"/>
  <c r="J2019" i="2"/>
  <c r="P2019" i="2"/>
  <c r="G2021" i="2"/>
  <c r="I2021" i="2"/>
  <c r="K2021" i="2"/>
  <c r="L2021" i="2"/>
  <c r="N2021" i="2"/>
  <c r="O2021" i="2"/>
  <c r="T2021" i="2"/>
  <c r="V2021" i="2"/>
  <c r="W2021" i="2"/>
  <c r="Y2021" i="2"/>
  <c r="H2024" i="2"/>
  <c r="P2024" i="2"/>
  <c r="U2024" i="2" s="1"/>
  <c r="E2025" i="2"/>
  <c r="H2025" i="2"/>
  <c r="J2025" i="2"/>
  <c r="K2025" i="2"/>
  <c r="P2025" i="2"/>
  <c r="E2026" i="2"/>
  <c r="Q2026" i="2" s="1"/>
  <c r="H2026" i="2"/>
  <c r="P2026" i="2"/>
  <c r="U2026" i="2" s="1"/>
  <c r="H2027" i="2"/>
  <c r="P2027" i="2"/>
  <c r="U2027" i="2" s="1"/>
  <c r="E2028" i="2"/>
  <c r="F2028" i="2"/>
  <c r="P2028" i="2"/>
  <c r="U2028" i="2" s="1"/>
  <c r="F2029" i="2"/>
  <c r="H2029" i="2" s="1"/>
  <c r="P2029" i="2"/>
  <c r="H2030" i="2"/>
  <c r="J2030" i="2" s="1"/>
  <c r="P2030" i="2"/>
  <c r="E2031" i="2"/>
  <c r="H2031" i="2"/>
  <c r="J2031" i="2" s="1"/>
  <c r="M2031" i="2"/>
  <c r="P2031" i="2"/>
  <c r="E2032" i="2"/>
  <c r="H2032" i="2"/>
  <c r="J2032" i="2"/>
  <c r="P2032" i="2"/>
  <c r="E2033" i="2"/>
  <c r="H2033" i="2"/>
  <c r="P2033" i="2"/>
  <c r="U2033" i="2"/>
  <c r="E2034" i="2"/>
  <c r="H2034" i="2"/>
  <c r="J2034" i="2" s="1"/>
  <c r="P2034" i="2"/>
  <c r="E2035" i="2"/>
  <c r="F2035" i="2"/>
  <c r="H2035" i="2" s="1"/>
  <c r="M2035" i="2" s="1"/>
  <c r="P2035" i="2"/>
  <c r="E2036" i="2"/>
  <c r="H2036" i="2"/>
  <c r="J2036" i="2" s="1"/>
  <c r="P2036" i="2"/>
  <c r="U2036" i="2" s="1"/>
  <c r="Q2036" i="2"/>
  <c r="E2037" i="2"/>
  <c r="Q2037" i="2" s="1"/>
  <c r="F2037" i="2"/>
  <c r="H2037" i="2" s="1"/>
  <c r="P2037" i="2"/>
  <c r="U2037" i="2" s="1"/>
  <c r="E2038" i="2"/>
  <c r="Q2038" i="2" s="1"/>
  <c r="F2038" i="2"/>
  <c r="H2038" i="2" s="1"/>
  <c r="P2038" i="2"/>
  <c r="U2038" i="2" s="1"/>
  <c r="E2039" i="2"/>
  <c r="F2039" i="2"/>
  <c r="H2039" i="2" s="1"/>
  <c r="P2039" i="2"/>
  <c r="H2040" i="2"/>
  <c r="M2040" i="2" s="1"/>
  <c r="AA2040" i="2" s="1"/>
  <c r="AB2040" i="2" s="1"/>
  <c r="P2040" i="2"/>
  <c r="U2040" i="2" s="1"/>
  <c r="Q2040" i="2"/>
  <c r="E2041" i="2"/>
  <c r="H2041" i="2"/>
  <c r="M2041" i="2" s="1"/>
  <c r="P2041" i="2"/>
  <c r="U2041" i="2"/>
  <c r="E2042" i="2"/>
  <c r="F2042" i="2"/>
  <c r="H2042" i="2" s="1"/>
  <c r="X2042" i="2" s="1"/>
  <c r="P2042" i="2"/>
  <c r="U2042" i="2" s="1"/>
  <c r="H2043" i="2"/>
  <c r="P2043" i="2"/>
  <c r="U2043" i="2"/>
  <c r="H2044" i="2"/>
  <c r="J2044" i="2" s="1"/>
  <c r="P2044" i="2"/>
  <c r="Q2044" i="2"/>
  <c r="U2044" i="2"/>
  <c r="H2045" i="2"/>
  <c r="J2045" i="2" s="1"/>
  <c r="M2045" i="2"/>
  <c r="P2045" i="2"/>
  <c r="X2045" i="2" s="1"/>
  <c r="Z2045" i="2" s="1"/>
  <c r="H2046" i="2"/>
  <c r="J2046" i="2"/>
  <c r="P2046" i="2"/>
  <c r="U2046" i="2" s="1"/>
  <c r="E2047" i="2"/>
  <c r="H2047" i="2"/>
  <c r="K2047" i="2"/>
  <c r="P2047" i="2"/>
  <c r="U2047" i="2" s="1"/>
  <c r="Q2047" i="2"/>
  <c r="H2048" i="2"/>
  <c r="M2048" i="2" s="1"/>
  <c r="P2048" i="2"/>
  <c r="E2049" i="2"/>
  <c r="F2049" i="2"/>
  <c r="H2049" i="2" s="1"/>
  <c r="P2049" i="2"/>
  <c r="U2049" i="2"/>
  <c r="E2050" i="2"/>
  <c r="H2050" i="2"/>
  <c r="P2050" i="2"/>
  <c r="X2050" i="2"/>
  <c r="G2052" i="2"/>
  <c r="I2052" i="2"/>
  <c r="L2052" i="2"/>
  <c r="N2052" i="2"/>
  <c r="O2052" i="2"/>
  <c r="T2052" i="2"/>
  <c r="V2052" i="2"/>
  <c r="W2052" i="2"/>
  <c r="Y2052" i="2"/>
  <c r="E2055" i="2"/>
  <c r="H2055" i="2"/>
  <c r="P2055" i="2"/>
  <c r="U2055" i="2"/>
  <c r="E2056" i="2"/>
  <c r="H2056" i="2"/>
  <c r="M2056" i="2"/>
  <c r="P2056" i="2"/>
  <c r="H2057" i="2"/>
  <c r="J2057" i="2" s="1"/>
  <c r="P2057" i="2"/>
  <c r="U2057" i="2" s="1"/>
  <c r="Q2057" i="2"/>
  <c r="E2058" i="2"/>
  <c r="H2058" i="2"/>
  <c r="J2058" i="2" s="1"/>
  <c r="M2058" i="2"/>
  <c r="P2058" i="2"/>
  <c r="H2059" i="2"/>
  <c r="P2059" i="2"/>
  <c r="U2059" i="2" s="1"/>
  <c r="Q2059" i="2"/>
  <c r="H2060" i="2"/>
  <c r="P2060" i="2"/>
  <c r="U2060" i="2"/>
  <c r="H2061" i="2"/>
  <c r="P2061" i="2"/>
  <c r="Q2061" i="2"/>
  <c r="U2061" i="2"/>
  <c r="H2062" i="2"/>
  <c r="J2062" i="2" s="1"/>
  <c r="M2062" i="2"/>
  <c r="P2062" i="2"/>
  <c r="U2062" i="2" s="1"/>
  <c r="H2063" i="2"/>
  <c r="P2063" i="2"/>
  <c r="U2063" i="2" s="1"/>
  <c r="Q2063" i="2"/>
  <c r="H2064" i="2"/>
  <c r="P2064" i="2"/>
  <c r="E2065" i="2"/>
  <c r="H2065" i="2"/>
  <c r="P2065" i="2"/>
  <c r="E2066" i="2"/>
  <c r="F2066" i="2"/>
  <c r="P2066" i="2"/>
  <c r="H2067" i="2"/>
  <c r="X2067" i="2" s="1"/>
  <c r="Z2067" i="2" s="1"/>
  <c r="P2067" i="2"/>
  <c r="H2068" i="2"/>
  <c r="M2068" i="2" s="1"/>
  <c r="P2068" i="2"/>
  <c r="U2068" i="2"/>
  <c r="E2069" i="2"/>
  <c r="F2069" i="2"/>
  <c r="H2069" i="2"/>
  <c r="M2069" i="2" s="1"/>
  <c r="P2069" i="2"/>
  <c r="U2069" i="2" s="1"/>
  <c r="H2070" i="2"/>
  <c r="P2070" i="2"/>
  <c r="Q2070" i="2" s="1"/>
  <c r="U2070" i="2"/>
  <c r="G2072" i="2"/>
  <c r="I2072" i="2"/>
  <c r="K2072" i="2"/>
  <c r="L2072" i="2"/>
  <c r="N2072" i="2"/>
  <c r="O2072" i="2"/>
  <c r="T2072" i="2"/>
  <c r="V2072" i="2"/>
  <c r="W2072" i="2"/>
  <c r="Y2072" i="2"/>
  <c r="E2075" i="2"/>
  <c r="H2075" i="2"/>
  <c r="P2075" i="2"/>
  <c r="U2075" i="2" s="1"/>
  <c r="H2076" i="2"/>
  <c r="P2076" i="2"/>
  <c r="U2076" i="2" s="1"/>
  <c r="E2077" i="2"/>
  <c r="H2077" i="2"/>
  <c r="P2077" i="2"/>
  <c r="E2078" i="2"/>
  <c r="F2078" i="2"/>
  <c r="P2078" i="2"/>
  <c r="E2079" i="2"/>
  <c r="H2079" i="2"/>
  <c r="J2079" i="2" s="1"/>
  <c r="P2079" i="2"/>
  <c r="H2080" i="2"/>
  <c r="M2080" i="2" s="1"/>
  <c r="P2080" i="2"/>
  <c r="Q2080" i="2" s="1"/>
  <c r="U2080" i="2"/>
  <c r="E2081" i="2"/>
  <c r="H2081" i="2"/>
  <c r="P2081" i="2"/>
  <c r="H2082" i="2"/>
  <c r="J2082" i="2" s="1"/>
  <c r="M2082" i="2"/>
  <c r="P2082" i="2"/>
  <c r="Q2082" i="2" s="1"/>
  <c r="E2083" i="2"/>
  <c r="H2083" i="2"/>
  <c r="M2083" i="2" s="1"/>
  <c r="P2083" i="2"/>
  <c r="H2084" i="2"/>
  <c r="P2084" i="2"/>
  <c r="U2084" i="2" s="1"/>
  <c r="E2085" i="2"/>
  <c r="H2085" i="2"/>
  <c r="J2085" i="2"/>
  <c r="P2085" i="2"/>
  <c r="U2085" i="2" s="1"/>
  <c r="E2086" i="2"/>
  <c r="Q2086" i="2" s="1"/>
  <c r="F2086" i="2"/>
  <c r="H2086" i="2" s="1"/>
  <c r="P2086" i="2"/>
  <c r="U2086" i="2"/>
  <c r="E2087" i="2"/>
  <c r="F2087" i="2"/>
  <c r="H2087" i="2" s="1"/>
  <c r="P2087" i="2"/>
  <c r="U2087" i="2" s="1"/>
  <c r="E2088" i="2"/>
  <c r="H2088" i="2"/>
  <c r="M2088" i="2" s="1"/>
  <c r="P2088" i="2"/>
  <c r="P2089" i="2"/>
  <c r="X2089" i="2" s="1"/>
  <c r="Z2089" i="2" s="1"/>
  <c r="H2090" i="2"/>
  <c r="P2090" i="2"/>
  <c r="U2090" i="2" s="1"/>
  <c r="H2091" i="2"/>
  <c r="J2091" i="2" s="1"/>
  <c r="M2091" i="2"/>
  <c r="P2091" i="2"/>
  <c r="U2091" i="2" s="1"/>
  <c r="H2092" i="2"/>
  <c r="P2092" i="2"/>
  <c r="H2093" i="2"/>
  <c r="J2093" i="2"/>
  <c r="M2093" i="2"/>
  <c r="P2093" i="2"/>
  <c r="Q2093" i="2" s="1"/>
  <c r="F2094" i="2"/>
  <c r="H2094" i="2" s="1"/>
  <c r="M2094" i="2"/>
  <c r="P2094" i="2"/>
  <c r="G2096" i="2"/>
  <c r="I2096" i="2"/>
  <c r="K2096" i="2"/>
  <c r="L2096" i="2"/>
  <c r="N2096" i="2"/>
  <c r="O2096" i="2"/>
  <c r="T2096" i="2"/>
  <c r="V2096" i="2"/>
  <c r="W2096" i="2"/>
  <c r="Y2096" i="2"/>
  <c r="E2099" i="2"/>
  <c r="H2099" i="2"/>
  <c r="K2099" i="2"/>
  <c r="K2118" i="2" s="1"/>
  <c r="P2099" i="2"/>
  <c r="E2100" i="2"/>
  <c r="H2100" i="2"/>
  <c r="J2100" i="2" s="1"/>
  <c r="P2100" i="2"/>
  <c r="E2101" i="2"/>
  <c r="H2101" i="2"/>
  <c r="P2101" i="2"/>
  <c r="F2102" i="2"/>
  <c r="H2102" i="2" s="1"/>
  <c r="P2102" i="2"/>
  <c r="E2103" i="2"/>
  <c r="F2103" i="2"/>
  <c r="P2103" i="2"/>
  <c r="H2104" i="2"/>
  <c r="P2104" i="2"/>
  <c r="Q2104" i="2" s="1"/>
  <c r="U2104" i="2"/>
  <c r="E2105" i="2"/>
  <c r="H2105" i="2"/>
  <c r="P2105" i="2"/>
  <c r="U2105" i="2"/>
  <c r="H2106" i="2"/>
  <c r="J2106" i="2" s="1"/>
  <c r="P2106" i="2"/>
  <c r="Q2106" i="2" s="1"/>
  <c r="U2106" i="2"/>
  <c r="H2107" i="2"/>
  <c r="M2107" i="2" s="1"/>
  <c r="P2107" i="2"/>
  <c r="X2107" i="2"/>
  <c r="Z2107" i="2" s="1"/>
  <c r="E2108" i="2"/>
  <c r="F2108" i="2"/>
  <c r="H2108" i="2" s="1"/>
  <c r="P2108" i="2"/>
  <c r="U2108" i="2"/>
  <c r="H2109" i="2"/>
  <c r="P2109" i="2"/>
  <c r="H2110" i="2"/>
  <c r="P2110" i="2"/>
  <c r="U2110" i="2" s="1"/>
  <c r="H2111" i="2"/>
  <c r="P2111" i="2"/>
  <c r="U2111" i="2" s="1"/>
  <c r="Q2111" i="2"/>
  <c r="E2112" i="2"/>
  <c r="F2112" i="2"/>
  <c r="H2112" i="2" s="1"/>
  <c r="P2112" i="2"/>
  <c r="U2112" i="2" s="1"/>
  <c r="H2113" i="2"/>
  <c r="P2113" i="2"/>
  <c r="U2113" i="2" s="1"/>
  <c r="H2114" i="2"/>
  <c r="P2114" i="2"/>
  <c r="U2114" i="2" s="1"/>
  <c r="H2115" i="2"/>
  <c r="P2115" i="2"/>
  <c r="E2116" i="2"/>
  <c r="H2116" i="2"/>
  <c r="P2116" i="2"/>
  <c r="U2116" i="2" s="1"/>
  <c r="G2118" i="2"/>
  <c r="I2118" i="2"/>
  <c r="L2118" i="2"/>
  <c r="N2118" i="2"/>
  <c r="O2118" i="2"/>
  <c r="T2118" i="2"/>
  <c r="V2118" i="2"/>
  <c r="W2118" i="2"/>
  <c r="Y2118" i="2"/>
  <c r="E2121" i="2"/>
  <c r="H2121" i="2"/>
  <c r="J2121" i="2" s="1"/>
  <c r="P2121" i="2"/>
  <c r="U2121" i="2" s="1"/>
  <c r="X2121" i="2"/>
  <c r="H2122" i="2"/>
  <c r="J2122" i="2" s="1"/>
  <c r="P2122" i="2"/>
  <c r="U2122" i="2" s="1"/>
  <c r="Q2122" i="2"/>
  <c r="H2123" i="2"/>
  <c r="P2123" i="2"/>
  <c r="H2124" i="2"/>
  <c r="J2124" i="2" s="1"/>
  <c r="P2124" i="2"/>
  <c r="Q2124" i="2" s="1"/>
  <c r="H2125" i="2"/>
  <c r="M2125" i="2" s="1"/>
  <c r="J2125" i="2"/>
  <c r="P2125" i="2"/>
  <c r="E2126" i="2"/>
  <c r="H2126" i="2"/>
  <c r="P2126" i="2"/>
  <c r="U2126" i="2" s="1"/>
  <c r="H2127" i="2"/>
  <c r="P2127" i="2"/>
  <c r="E2128" i="2"/>
  <c r="F2128" i="2"/>
  <c r="H2128" i="2" s="1"/>
  <c r="J2128" i="2" s="1"/>
  <c r="P2128" i="2"/>
  <c r="U2128" i="2" s="1"/>
  <c r="X2128" i="2"/>
  <c r="H2129" i="2"/>
  <c r="P2129" i="2"/>
  <c r="E2130" i="2"/>
  <c r="Q2130" i="2" s="1"/>
  <c r="F2130" i="2"/>
  <c r="P2130" i="2"/>
  <c r="U2130" i="2" s="1"/>
  <c r="E2131" i="2"/>
  <c r="F2131" i="2"/>
  <c r="H2131" i="2" s="1"/>
  <c r="P2131" i="2"/>
  <c r="E2132" i="2"/>
  <c r="F2132" i="2"/>
  <c r="H2132" i="2" s="1"/>
  <c r="P2132" i="2"/>
  <c r="H2133" i="2"/>
  <c r="J2133" i="2" s="1"/>
  <c r="P2133" i="2"/>
  <c r="U2133" i="2" s="1"/>
  <c r="Q2133" i="2"/>
  <c r="H2134" i="2"/>
  <c r="P2134" i="2"/>
  <c r="U2134" i="2" s="1"/>
  <c r="Q2134" i="2"/>
  <c r="E2135" i="2"/>
  <c r="H2135" i="2"/>
  <c r="J2135" i="2" s="1"/>
  <c r="P2135" i="2"/>
  <c r="G2137" i="2"/>
  <c r="I2137" i="2"/>
  <c r="K2137" i="2"/>
  <c r="L2137" i="2"/>
  <c r="N2137" i="2"/>
  <c r="O2137" i="2"/>
  <c r="T2137" i="2"/>
  <c r="V2137" i="2"/>
  <c r="W2137" i="2"/>
  <c r="Y2137" i="2"/>
  <c r="E2140" i="2"/>
  <c r="H2140" i="2"/>
  <c r="K2140" i="2"/>
  <c r="P2140" i="2"/>
  <c r="E2141" i="2"/>
  <c r="H2141" i="2"/>
  <c r="P2141" i="2"/>
  <c r="U2141" i="2" s="1"/>
  <c r="H2142" i="2"/>
  <c r="J2142" i="2" s="1"/>
  <c r="P2142" i="2"/>
  <c r="U2142" i="2" s="1"/>
  <c r="Q2142" i="2"/>
  <c r="X2142" i="2"/>
  <c r="Z2142" i="2" s="1"/>
  <c r="E2143" i="2"/>
  <c r="F2143" i="2"/>
  <c r="H2143" i="2"/>
  <c r="M2143" i="2" s="1"/>
  <c r="P2143" i="2"/>
  <c r="U2143" i="2" s="1"/>
  <c r="H2144" i="2"/>
  <c r="P2144" i="2"/>
  <c r="H2145" i="2"/>
  <c r="J2145" i="2" s="1"/>
  <c r="P2145" i="2"/>
  <c r="F2146" i="2"/>
  <c r="P2146" i="2"/>
  <c r="F2147" i="2"/>
  <c r="H2147" i="2"/>
  <c r="P2147" i="2"/>
  <c r="U2147" i="2" s="1"/>
  <c r="H2148" i="2"/>
  <c r="J2148" i="2" s="1"/>
  <c r="M2148" i="2"/>
  <c r="P2148" i="2"/>
  <c r="U2148" i="2" s="1"/>
  <c r="E2149" i="2"/>
  <c r="F2149" i="2"/>
  <c r="H2149" i="2" s="1"/>
  <c r="J2149" i="2"/>
  <c r="P2149" i="2"/>
  <c r="U2149" i="2" s="1"/>
  <c r="E2150" i="2"/>
  <c r="H2150" i="2"/>
  <c r="P2150" i="2"/>
  <c r="U2150" i="2" s="1"/>
  <c r="H2151" i="2"/>
  <c r="J2151" i="2" s="1"/>
  <c r="P2151" i="2"/>
  <c r="U2151" i="2" s="1"/>
  <c r="Q2151" i="2"/>
  <c r="E2152" i="2"/>
  <c r="H2152" i="2"/>
  <c r="M2152" i="2" s="1"/>
  <c r="AA2152" i="2" s="1"/>
  <c r="AB2152" i="2" s="1"/>
  <c r="J2152" i="2"/>
  <c r="P2152" i="2"/>
  <c r="U2152" i="2"/>
  <c r="X2152" i="2"/>
  <c r="Z2152" i="2" s="1"/>
  <c r="E2153" i="2"/>
  <c r="F2153" i="2"/>
  <c r="H2153" i="2"/>
  <c r="M2153" i="2" s="1"/>
  <c r="J2153" i="2"/>
  <c r="P2153" i="2"/>
  <c r="U2153" i="2"/>
  <c r="X2153" i="2"/>
  <c r="H2154" i="2"/>
  <c r="P2154" i="2"/>
  <c r="U2154" i="2" s="1"/>
  <c r="Q2154" i="2"/>
  <c r="E2155" i="2"/>
  <c r="H2155" i="2"/>
  <c r="P2155" i="2"/>
  <c r="U2155" i="2"/>
  <c r="X2155" i="2"/>
  <c r="H2156" i="2"/>
  <c r="M2156" i="2" s="1"/>
  <c r="P2156" i="2"/>
  <c r="U2156" i="2"/>
  <c r="H2157" i="2"/>
  <c r="P2157" i="2"/>
  <c r="U2157" i="2" s="1"/>
  <c r="H2158" i="2"/>
  <c r="P2158" i="2"/>
  <c r="U2158" i="2" s="1"/>
  <c r="Q2158" i="2"/>
  <c r="F2159" i="2"/>
  <c r="H2159" i="2" s="1"/>
  <c r="J2159" i="2" s="1"/>
  <c r="P2159" i="2"/>
  <c r="Q2159" i="2" s="1"/>
  <c r="H2160" i="2"/>
  <c r="M2160" i="2" s="1"/>
  <c r="P2160" i="2"/>
  <c r="F2161" i="2"/>
  <c r="H2161" i="2" s="1"/>
  <c r="P2161" i="2"/>
  <c r="U2161" i="2" s="1"/>
  <c r="H2162" i="2"/>
  <c r="P2162" i="2"/>
  <c r="U2162" i="2" s="1"/>
  <c r="E2163" i="2"/>
  <c r="F2163" i="2"/>
  <c r="H2163" i="2" s="1"/>
  <c r="M2163" i="2" s="1"/>
  <c r="I2163" i="2"/>
  <c r="P2163" i="2"/>
  <c r="U2163" i="2" s="1"/>
  <c r="G2165" i="2"/>
  <c r="K2165" i="2"/>
  <c r="L2165" i="2"/>
  <c r="N2165" i="2"/>
  <c r="O2165" i="2"/>
  <c r="T2165" i="2"/>
  <c r="V2165" i="2"/>
  <c r="W2165" i="2"/>
  <c r="Y2165" i="2"/>
  <c r="N2167" i="2"/>
  <c r="N2742" i="2" s="1"/>
  <c r="H2174" i="2"/>
  <c r="J2174" i="2" s="1"/>
  <c r="P2174" i="2"/>
  <c r="E2175" i="2"/>
  <c r="Q2175" i="2" s="1"/>
  <c r="H2175" i="2"/>
  <c r="P2175" i="2"/>
  <c r="U2175" i="2" s="1"/>
  <c r="E2176" i="2"/>
  <c r="Q2176" i="2" s="1"/>
  <c r="H2176" i="2"/>
  <c r="J2176" i="2" s="1"/>
  <c r="P2176" i="2"/>
  <c r="U2176" i="2"/>
  <c r="H2177" i="2"/>
  <c r="M2177" i="2" s="1"/>
  <c r="P2177" i="2"/>
  <c r="H2178" i="2"/>
  <c r="J2178" i="2" s="1"/>
  <c r="P2178" i="2"/>
  <c r="U2178" i="2" s="1"/>
  <c r="E2179" i="2"/>
  <c r="F2179" i="2"/>
  <c r="H2179" i="2" s="1"/>
  <c r="P2179" i="2"/>
  <c r="Q2179" i="2"/>
  <c r="U2179" i="2"/>
  <c r="H2180" i="2"/>
  <c r="P2180" i="2"/>
  <c r="E2181" i="2"/>
  <c r="F2181" i="2"/>
  <c r="H2181" i="2" s="1"/>
  <c r="J2181" i="2" s="1"/>
  <c r="P2181" i="2"/>
  <c r="U2181" i="2" s="1"/>
  <c r="E2182" i="2"/>
  <c r="F2182" i="2"/>
  <c r="H2182" i="2" s="1"/>
  <c r="M2182" i="2" s="1"/>
  <c r="P2182" i="2"/>
  <c r="U2182" i="2" s="1"/>
  <c r="H2183" i="2"/>
  <c r="P2183" i="2"/>
  <c r="Q2183" i="2" s="1"/>
  <c r="H2184" i="2"/>
  <c r="M2184" i="2" s="1"/>
  <c r="J2184" i="2"/>
  <c r="P2184" i="2"/>
  <c r="H2185" i="2"/>
  <c r="J2185" i="2"/>
  <c r="P2185" i="2"/>
  <c r="E2186" i="2"/>
  <c r="H2186" i="2"/>
  <c r="P2186" i="2"/>
  <c r="U2186" i="2" s="1"/>
  <c r="Q2186" i="2"/>
  <c r="G2188" i="2"/>
  <c r="I2188" i="2"/>
  <c r="K2188" i="2"/>
  <c r="L2188" i="2"/>
  <c r="N2188" i="2"/>
  <c r="O2188" i="2"/>
  <c r="T2188" i="2"/>
  <c r="V2188" i="2"/>
  <c r="W2188" i="2"/>
  <c r="Y2188" i="2"/>
  <c r="E2191" i="2"/>
  <c r="H2191" i="2"/>
  <c r="J2191" i="2" s="1"/>
  <c r="P2191" i="2"/>
  <c r="U2191" i="2" s="1"/>
  <c r="Q2191" i="2"/>
  <c r="E2192" i="2"/>
  <c r="H2192" i="2"/>
  <c r="P2192" i="2"/>
  <c r="U2192" i="2"/>
  <c r="H2193" i="2"/>
  <c r="P2193" i="2"/>
  <c r="E2194" i="2"/>
  <c r="H2194" i="2"/>
  <c r="J2194" i="2" s="1"/>
  <c r="P2194" i="2"/>
  <c r="U2194" i="2" s="1"/>
  <c r="E2195" i="2"/>
  <c r="H2195" i="2"/>
  <c r="J2195" i="2" s="1"/>
  <c r="P2195" i="2"/>
  <c r="U2195" i="2" s="1"/>
  <c r="Q2195" i="2"/>
  <c r="H2196" i="2"/>
  <c r="P2196" i="2"/>
  <c r="U2196" i="2" s="1"/>
  <c r="H2197" i="2"/>
  <c r="J2197" i="2"/>
  <c r="M2197" i="2"/>
  <c r="P2197" i="2"/>
  <c r="X2197" i="2" s="1"/>
  <c r="Z2197" i="2" s="1"/>
  <c r="H2198" i="2"/>
  <c r="P2198" i="2"/>
  <c r="E2199" i="2"/>
  <c r="F2199" i="2"/>
  <c r="P2199" i="2"/>
  <c r="U2199" i="2" s="1"/>
  <c r="E2200" i="2"/>
  <c r="H2200" i="2"/>
  <c r="J2200" i="2" s="1"/>
  <c r="P2200" i="2"/>
  <c r="U2200" i="2" s="1"/>
  <c r="Q2200" i="2"/>
  <c r="F2201" i="2"/>
  <c r="H2201" i="2" s="1"/>
  <c r="P2201" i="2"/>
  <c r="Q2201" i="2" s="1"/>
  <c r="U2201" i="2"/>
  <c r="E2202" i="2"/>
  <c r="H2202" i="2"/>
  <c r="J2202" i="2"/>
  <c r="M2202" i="2"/>
  <c r="P2202" i="2"/>
  <c r="U2202" i="2" s="1"/>
  <c r="E2203" i="2"/>
  <c r="F2203" i="2"/>
  <c r="H2203" i="2" s="1"/>
  <c r="P2203" i="2"/>
  <c r="U2203" i="2" s="1"/>
  <c r="E2204" i="2"/>
  <c r="F2204" i="2"/>
  <c r="H2204" i="2" s="1"/>
  <c r="J2204" i="2" s="1"/>
  <c r="M2204" i="2"/>
  <c r="P2204" i="2"/>
  <c r="U2204" i="2" s="1"/>
  <c r="E2205" i="2"/>
  <c r="F2205" i="2"/>
  <c r="H2205" i="2" s="1"/>
  <c r="M2205" i="2" s="1"/>
  <c r="P2205" i="2"/>
  <c r="U2205" i="2" s="1"/>
  <c r="E2206" i="2"/>
  <c r="F2206" i="2"/>
  <c r="H2206" i="2" s="1"/>
  <c r="P2206" i="2"/>
  <c r="U2206" i="2" s="1"/>
  <c r="Q2206" i="2"/>
  <c r="F2207" i="2"/>
  <c r="H2207" i="2" s="1"/>
  <c r="P2207" i="2"/>
  <c r="U2207" i="2" s="1"/>
  <c r="Q2207" i="2"/>
  <c r="H2208" i="2"/>
  <c r="M2208" i="2" s="1"/>
  <c r="P2208" i="2"/>
  <c r="X2208" i="2"/>
  <c r="Z2208" i="2" s="1"/>
  <c r="H2209" i="2"/>
  <c r="P2209" i="2"/>
  <c r="U2209" i="2" s="1"/>
  <c r="Q2209" i="2"/>
  <c r="G2211" i="2"/>
  <c r="I2211" i="2"/>
  <c r="K2211" i="2"/>
  <c r="L2211" i="2"/>
  <c r="N2211" i="2"/>
  <c r="O2211" i="2"/>
  <c r="T2211" i="2"/>
  <c r="V2211" i="2"/>
  <c r="W2211" i="2"/>
  <c r="Y2211" i="2"/>
  <c r="E2214" i="2"/>
  <c r="H2214" i="2"/>
  <c r="K2214" i="2"/>
  <c r="K2235" i="2" s="1"/>
  <c r="P2214" i="2"/>
  <c r="U2214" i="2" s="1"/>
  <c r="E2215" i="2"/>
  <c r="F2215" i="2"/>
  <c r="P2215" i="2"/>
  <c r="U2215" i="2" s="1"/>
  <c r="H2216" i="2"/>
  <c r="J2216" i="2" s="1"/>
  <c r="P2216" i="2"/>
  <c r="U2216" i="2" s="1"/>
  <c r="H2217" i="2"/>
  <c r="M2217" i="2" s="1"/>
  <c r="J2217" i="2"/>
  <c r="P2217" i="2"/>
  <c r="E2218" i="2"/>
  <c r="F2218" i="2"/>
  <c r="H2218" i="2" s="1"/>
  <c r="P2218" i="2"/>
  <c r="U2218" i="2" s="1"/>
  <c r="H2219" i="2"/>
  <c r="J2219" i="2" s="1"/>
  <c r="P2219" i="2"/>
  <c r="H2220" i="2"/>
  <c r="M2220" i="2" s="1"/>
  <c r="P2220" i="2"/>
  <c r="H2221" i="2"/>
  <c r="J2221" i="2" s="1"/>
  <c r="P2221" i="2"/>
  <c r="U2221" i="2" s="1"/>
  <c r="Q2221" i="2"/>
  <c r="E2222" i="2"/>
  <c r="H2222" i="2"/>
  <c r="P2222" i="2"/>
  <c r="U2222" i="2"/>
  <c r="E2223" i="2"/>
  <c r="F2223" i="2"/>
  <c r="H2223" i="2" s="1"/>
  <c r="M2223" i="2" s="1"/>
  <c r="P2223" i="2"/>
  <c r="U2223" i="2"/>
  <c r="E2224" i="2"/>
  <c r="F2224" i="2"/>
  <c r="H2224" i="2" s="1"/>
  <c r="P2224" i="2"/>
  <c r="U2224" i="2"/>
  <c r="H2225" i="2"/>
  <c r="P2225" i="2"/>
  <c r="H2226" i="2"/>
  <c r="P2226" i="2"/>
  <c r="U2226" i="2" s="1"/>
  <c r="H2227" i="2"/>
  <c r="P2227" i="2"/>
  <c r="U2227" i="2" s="1"/>
  <c r="H2228" i="2"/>
  <c r="J2228" i="2" s="1"/>
  <c r="M2228" i="2"/>
  <c r="P2228" i="2"/>
  <c r="F2229" i="2"/>
  <c r="H2229" i="2" s="1"/>
  <c r="J2229" i="2" s="1"/>
  <c r="P2229" i="2"/>
  <c r="Q2229" i="2" s="1"/>
  <c r="H2230" i="2"/>
  <c r="M2230" i="2" s="1"/>
  <c r="J2230" i="2"/>
  <c r="P2230" i="2"/>
  <c r="E2231" i="2"/>
  <c r="H2231" i="2"/>
  <c r="P2231" i="2"/>
  <c r="U2231" i="2" s="1"/>
  <c r="H2232" i="2"/>
  <c r="M2232" i="2" s="1"/>
  <c r="P2232" i="2"/>
  <c r="E2233" i="2"/>
  <c r="H2233" i="2"/>
  <c r="J2233" i="2" s="1"/>
  <c r="P2233" i="2"/>
  <c r="U2233" i="2"/>
  <c r="G2235" i="2"/>
  <c r="I2235" i="2"/>
  <c r="L2235" i="2"/>
  <c r="N2235" i="2"/>
  <c r="O2235" i="2"/>
  <c r="T2235" i="2"/>
  <c r="V2235" i="2"/>
  <c r="W2235" i="2"/>
  <c r="Y2235" i="2"/>
  <c r="E2238" i="2"/>
  <c r="H2238" i="2"/>
  <c r="P2238" i="2"/>
  <c r="E2239" i="2"/>
  <c r="H2239" i="2"/>
  <c r="J2239" i="2" s="1"/>
  <c r="P2239" i="2"/>
  <c r="H2240" i="2"/>
  <c r="M2240" i="2" s="1"/>
  <c r="P2240" i="2"/>
  <c r="H2241" i="2"/>
  <c r="J2241" i="2" s="1"/>
  <c r="P2241" i="2"/>
  <c r="E2242" i="2"/>
  <c r="H2242" i="2"/>
  <c r="J2242" i="2" s="1"/>
  <c r="P2242" i="2"/>
  <c r="U2242" i="2" s="1"/>
  <c r="Q2242" i="2"/>
  <c r="X2242" i="2"/>
  <c r="Z2242" i="2" s="1"/>
  <c r="E2243" i="2"/>
  <c r="H2243" i="2"/>
  <c r="J2243" i="2" s="1"/>
  <c r="M2243" i="2"/>
  <c r="P2243" i="2"/>
  <c r="E2244" i="2"/>
  <c r="H2244" i="2"/>
  <c r="P2244" i="2"/>
  <c r="U2244" i="2" s="1"/>
  <c r="H2245" i="2"/>
  <c r="J2245" i="2" s="1"/>
  <c r="P2245" i="2"/>
  <c r="Q2245" i="2"/>
  <c r="U2245" i="2"/>
  <c r="H2246" i="2"/>
  <c r="P2246" i="2"/>
  <c r="H2247" i="2"/>
  <c r="M2247" i="2" s="1"/>
  <c r="J2247" i="2"/>
  <c r="P2247" i="2"/>
  <c r="Q2247" i="2" s="1"/>
  <c r="U2247" i="2"/>
  <c r="H2248" i="2"/>
  <c r="P2248" i="2"/>
  <c r="U2248" i="2" s="1"/>
  <c r="F2250" i="2"/>
  <c r="G2250" i="2"/>
  <c r="I2250" i="2"/>
  <c r="K2250" i="2"/>
  <c r="L2250" i="2"/>
  <c r="N2250" i="2"/>
  <c r="O2250" i="2"/>
  <c r="T2250" i="2"/>
  <c r="V2250" i="2"/>
  <c r="W2250" i="2"/>
  <c r="Y2250" i="2"/>
  <c r="F2253" i="2"/>
  <c r="H2253" i="2" s="1"/>
  <c r="P2253" i="2"/>
  <c r="H2254" i="2"/>
  <c r="J2254" i="2" s="1"/>
  <c r="P2254" i="2"/>
  <c r="Q2254" i="2" s="1"/>
  <c r="U2254" i="2"/>
  <c r="H2255" i="2"/>
  <c r="J2255" i="2" s="1"/>
  <c r="P2255" i="2"/>
  <c r="H2256" i="2"/>
  <c r="P2256" i="2"/>
  <c r="U2256" i="2" s="1"/>
  <c r="E2257" i="2"/>
  <c r="H2257" i="2"/>
  <c r="M2257" i="2" s="1"/>
  <c r="P2257" i="2"/>
  <c r="E2258" i="2"/>
  <c r="H2258" i="2"/>
  <c r="J2258" i="2" s="1"/>
  <c r="K2258" i="2"/>
  <c r="K2277" i="2" s="1"/>
  <c r="M2258" i="2"/>
  <c r="P2258" i="2"/>
  <c r="U2258" i="2" s="1"/>
  <c r="X2258" i="2"/>
  <c r="H2259" i="2"/>
  <c r="P2259" i="2"/>
  <c r="U2259" i="2" s="1"/>
  <c r="Q2259" i="2"/>
  <c r="E2260" i="2"/>
  <c r="F2260" i="2"/>
  <c r="H2260" i="2" s="1"/>
  <c r="P2260" i="2"/>
  <c r="E2261" i="2"/>
  <c r="H2261" i="2"/>
  <c r="J2261" i="2" s="1"/>
  <c r="P2261" i="2"/>
  <c r="U2261" i="2" s="1"/>
  <c r="Q2261" i="2"/>
  <c r="E2262" i="2"/>
  <c r="F2262" i="2"/>
  <c r="H2262" i="2"/>
  <c r="J2262" i="2" s="1"/>
  <c r="P2262" i="2"/>
  <c r="U2262" i="2" s="1"/>
  <c r="H2263" i="2"/>
  <c r="J2263" i="2"/>
  <c r="M2263" i="2"/>
  <c r="P2263" i="2"/>
  <c r="H2264" i="2"/>
  <c r="P2264" i="2"/>
  <c r="U2264" i="2" s="1"/>
  <c r="Q2264" i="2"/>
  <c r="H2265" i="2"/>
  <c r="J2265" i="2" s="1"/>
  <c r="M2265" i="2"/>
  <c r="P2265" i="2"/>
  <c r="X2265" i="2" s="1"/>
  <c r="Z2265" i="2" s="1"/>
  <c r="H2266" i="2"/>
  <c r="P2266" i="2"/>
  <c r="H2267" i="2"/>
  <c r="M2267" i="2" s="1"/>
  <c r="P2267" i="2"/>
  <c r="H2268" i="2"/>
  <c r="J2268" i="2" s="1"/>
  <c r="P2268" i="2"/>
  <c r="U2268" i="2" s="1"/>
  <c r="H2269" i="2"/>
  <c r="J2269" i="2"/>
  <c r="M2269" i="2"/>
  <c r="P2269" i="2"/>
  <c r="H2270" i="2"/>
  <c r="M2270" i="2"/>
  <c r="P2270" i="2"/>
  <c r="E2271" i="2"/>
  <c r="F2271" i="2"/>
  <c r="H2271" i="2"/>
  <c r="X2271" i="2" s="1"/>
  <c r="M2271" i="2"/>
  <c r="U2271" i="2"/>
  <c r="H2272" i="2"/>
  <c r="J2272" i="2"/>
  <c r="M2272" i="2"/>
  <c r="P2272" i="2"/>
  <c r="X2272" i="2" s="1"/>
  <c r="Z2272" i="2" s="1"/>
  <c r="E2273" i="2"/>
  <c r="F2273" i="2"/>
  <c r="P2273" i="2"/>
  <c r="U2273" i="2" s="1"/>
  <c r="H2274" i="2"/>
  <c r="P2274" i="2"/>
  <c r="Q2274" i="2"/>
  <c r="U2274" i="2"/>
  <c r="H2275" i="2"/>
  <c r="J2275" i="2" s="1"/>
  <c r="M2275" i="2"/>
  <c r="P2275" i="2"/>
  <c r="X2275" i="2" s="1"/>
  <c r="Z2275" i="2" s="1"/>
  <c r="G2277" i="2"/>
  <c r="I2277" i="2"/>
  <c r="L2277" i="2"/>
  <c r="N2277" i="2"/>
  <c r="O2277" i="2"/>
  <c r="T2277" i="2"/>
  <c r="V2277" i="2"/>
  <c r="W2277" i="2"/>
  <c r="Y2277" i="2"/>
  <c r="H2280" i="2"/>
  <c r="J2280" i="2"/>
  <c r="P2280" i="2"/>
  <c r="X2280" i="2" s="1"/>
  <c r="Z2280" i="2" s="1"/>
  <c r="P2281" i="2"/>
  <c r="H2282" i="2"/>
  <c r="M2282" i="2" s="1"/>
  <c r="J2282" i="2"/>
  <c r="P2282" i="2"/>
  <c r="H2283" i="2"/>
  <c r="J2283" i="2"/>
  <c r="P2283" i="2"/>
  <c r="Q2283" i="2" s="1"/>
  <c r="H2284" i="2"/>
  <c r="M2284" i="2" s="1"/>
  <c r="J2284" i="2"/>
  <c r="P2284" i="2"/>
  <c r="H2285" i="2"/>
  <c r="J2285" i="2" s="1"/>
  <c r="P2285" i="2"/>
  <c r="U2285" i="2" s="1"/>
  <c r="Q2285" i="2"/>
  <c r="H2286" i="2"/>
  <c r="J2286" i="2" s="1"/>
  <c r="M2286" i="2"/>
  <c r="P2286" i="2"/>
  <c r="H2287" i="2"/>
  <c r="P2287" i="2"/>
  <c r="H2288" i="2"/>
  <c r="M2288" i="2" s="1"/>
  <c r="J2288" i="2"/>
  <c r="P2288" i="2"/>
  <c r="X2288" i="2"/>
  <c r="Z2288" i="2" s="1"/>
  <c r="E2289" i="2"/>
  <c r="E2294" i="2" s="1"/>
  <c r="H2289" i="2"/>
  <c r="P2289" i="2"/>
  <c r="U2289" i="2" s="1"/>
  <c r="E2290" i="2"/>
  <c r="N2290" i="2"/>
  <c r="H2291" i="2"/>
  <c r="M2291" i="2" s="1"/>
  <c r="P2291" i="2"/>
  <c r="H2292" i="2"/>
  <c r="J2292" i="2"/>
  <c r="P2292" i="2"/>
  <c r="F2294" i="2"/>
  <c r="G2294" i="2"/>
  <c r="I2294" i="2"/>
  <c r="K2294" i="2"/>
  <c r="L2294" i="2"/>
  <c r="O2294" i="2"/>
  <c r="T2294" i="2"/>
  <c r="V2294" i="2"/>
  <c r="W2294" i="2"/>
  <c r="Y2294" i="2"/>
  <c r="H2297" i="2"/>
  <c r="J2297" i="2" s="1"/>
  <c r="M2297" i="2"/>
  <c r="P2297" i="2"/>
  <c r="U2297" i="2" s="1"/>
  <c r="M2298" i="2"/>
  <c r="P2298" i="2"/>
  <c r="U2298" i="2" s="1"/>
  <c r="X2298" i="2"/>
  <c r="Z2298" i="2" s="1"/>
  <c r="H2299" i="2"/>
  <c r="J2299" i="2" s="1"/>
  <c r="P2299" i="2"/>
  <c r="Q2299" i="2" s="1"/>
  <c r="U2299" i="2"/>
  <c r="H2300" i="2"/>
  <c r="M2300" i="2" s="1"/>
  <c r="P2300" i="2"/>
  <c r="H2301" i="2"/>
  <c r="P2301" i="2"/>
  <c r="U2301" i="2" s="1"/>
  <c r="H2302" i="2"/>
  <c r="M2302" i="2" s="1"/>
  <c r="J2302" i="2"/>
  <c r="P2302" i="2"/>
  <c r="H2303" i="2"/>
  <c r="J2303" i="2" s="1"/>
  <c r="P2303" i="2"/>
  <c r="Q2303" i="2"/>
  <c r="U2303" i="2"/>
  <c r="H2304" i="2"/>
  <c r="P2304" i="2"/>
  <c r="H2305" i="2"/>
  <c r="J2305" i="2"/>
  <c r="P2305" i="2"/>
  <c r="U2305" i="2" s="1"/>
  <c r="H2306" i="2"/>
  <c r="P2306" i="2"/>
  <c r="H2307" i="2"/>
  <c r="J2307" i="2" s="1"/>
  <c r="P2307" i="2"/>
  <c r="Q2307" i="2" s="1"/>
  <c r="U2307" i="2"/>
  <c r="H2308" i="2"/>
  <c r="P2308" i="2"/>
  <c r="H2309" i="2"/>
  <c r="M2309" i="2" s="1"/>
  <c r="P2309" i="2"/>
  <c r="U2309" i="2"/>
  <c r="H2310" i="2"/>
  <c r="J2310" i="2" s="1"/>
  <c r="P2310" i="2"/>
  <c r="Q2310" i="2"/>
  <c r="U2310" i="2"/>
  <c r="E2312" i="2"/>
  <c r="F2312" i="2"/>
  <c r="G2312" i="2"/>
  <c r="I2312" i="2"/>
  <c r="K2312" i="2"/>
  <c r="L2312" i="2"/>
  <c r="N2312" i="2"/>
  <c r="O2312" i="2"/>
  <c r="T2312" i="2"/>
  <c r="V2312" i="2"/>
  <c r="W2312" i="2"/>
  <c r="Y2312" i="2"/>
  <c r="R2314" i="2"/>
  <c r="S2314" i="2"/>
  <c r="H2321" i="2"/>
  <c r="P2321" i="2"/>
  <c r="U2321" i="2" s="1"/>
  <c r="H2322" i="2"/>
  <c r="M2322" i="2" s="1"/>
  <c r="P2322" i="2"/>
  <c r="H2323" i="2"/>
  <c r="P2323" i="2"/>
  <c r="H2324" i="2"/>
  <c r="M2324" i="2" s="1"/>
  <c r="P2324" i="2"/>
  <c r="X2324" i="2" s="1"/>
  <c r="Z2324" i="2" s="1"/>
  <c r="U2324" i="2"/>
  <c r="H2325" i="2"/>
  <c r="P2325" i="2"/>
  <c r="H2326" i="2"/>
  <c r="M2326" i="2" s="1"/>
  <c r="P2326" i="2"/>
  <c r="H2327" i="2"/>
  <c r="P2327" i="2"/>
  <c r="U2327" i="2" s="1"/>
  <c r="H2328" i="2"/>
  <c r="M2328" i="2" s="1"/>
  <c r="P2328" i="2"/>
  <c r="V2328" i="2" s="1"/>
  <c r="W2328" i="2" s="1"/>
  <c r="U2328" i="2"/>
  <c r="H2329" i="2"/>
  <c r="M2329" i="2"/>
  <c r="P2329" i="2"/>
  <c r="V2329" i="2" s="1"/>
  <c r="W2329" i="2" s="1"/>
  <c r="H2330" i="2"/>
  <c r="M2330" i="2" s="1"/>
  <c r="P2330" i="2"/>
  <c r="H2331" i="2"/>
  <c r="P2331" i="2"/>
  <c r="U2331" i="2" s="1"/>
  <c r="H2332" i="2"/>
  <c r="M2332" i="2"/>
  <c r="P2332" i="2"/>
  <c r="H2333" i="2"/>
  <c r="P2333" i="2"/>
  <c r="V2333" i="2" s="1"/>
  <c r="W2333" i="2" s="1"/>
  <c r="U2333" i="2"/>
  <c r="H2334" i="2"/>
  <c r="M2334" i="2"/>
  <c r="P2334" i="2"/>
  <c r="H2335" i="2"/>
  <c r="P2335" i="2"/>
  <c r="U2335" i="2"/>
  <c r="H2336" i="2"/>
  <c r="M2336" i="2" s="1"/>
  <c r="P2336" i="2"/>
  <c r="U2336" i="2"/>
  <c r="E2338" i="2"/>
  <c r="F2338" i="2"/>
  <c r="G2338" i="2"/>
  <c r="I2338" i="2"/>
  <c r="J2338" i="2"/>
  <c r="K2338" i="2"/>
  <c r="L2338" i="2"/>
  <c r="N2338" i="2"/>
  <c r="O2338" i="2"/>
  <c r="Q2338" i="2"/>
  <c r="R2338" i="2"/>
  <c r="S2338" i="2"/>
  <c r="T2338" i="2"/>
  <c r="Y2338" i="2"/>
  <c r="H2341" i="2"/>
  <c r="P2341" i="2"/>
  <c r="H2342" i="2"/>
  <c r="M2342" i="2" s="1"/>
  <c r="P2342" i="2"/>
  <c r="H2343" i="2"/>
  <c r="X2343" i="2" s="1"/>
  <c r="Z2343" i="2" s="1"/>
  <c r="M2343" i="2"/>
  <c r="P2343" i="2"/>
  <c r="U2343" i="2" s="1"/>
  <c r="V2343" i="2"/>
  <c r="W2343" i="2"/>
  <c r="H2344" i="2"/>
  <c r="M2344" i="2" s="1"/>
  <c r="P2344" i="2"/>
  <c r="H2345" i="2"/>
  <c r="V2345" i="2" s="1"/>
  <c r="W2345" i="2" s="1"/>
  <c r="P2345" i="2"/>
  <c r="U2345" i="2" s="1"/>
  <c r="F2346" i="2"/>
  <c r="H2346" i="2" s="1"/>
  <c r="M2346" i="2" s="1"/>
  <c r="P2346" i="2"/>
  <c r="H2347" i="2"/>
  <c r="P2347" i="2"/>
  <c r="U2347" i="2" s="1"/>
  <c r="H2348" i="2"/>
  <c r="M2348" i="2" s="1"/>
  <c r="P2348" i="2"/>
  <c r="H2349" i="2"/>
  <c r="P2349" i="2"/>
  <c r="U2349" i="2" s="1"/>
  <c r="H2350" i="2"/>
  <c r="M2350" i="2"/>
  <c r="P2350" i="2"/>
  <c r="H2351" i="2"/>
  <c r="P2351" i="2"/>
  <c r="U2351" i="2"/>
  <c r="H2352" i="2"/>
  <c r="M2352" i="2" s="1"/>
  <c r="P2352" i="2"/>
  <c r="H2353" i="2"/>
  <c r="P2353" i="2"/>
  <c r="U2353" i="2" s="1"/>
  <c r="E2354" i="2"/>
  <c r="E2356" i="2" s="1"/>
  <c r="H2354" i="2"/>
  <c r="M2354" i="2"/>
  <c r="P2354" i="2"/>
  <c r="V2354" i="2" s="1"/>
  <c r="W2354" i="2" s="1"/>
  <c r="F2356" i="2"/>
  <c r="G2356" i="2"/>
  <c r="I2356" i="2"/>
  <c r="J2356" i="2"/>
  <c r="K2356" i="2"/>
  <c r="L2356" i="2"/>
  <c r="N2356" i="2"/>
  <c r="O2356" i="2"/>
  <c r="Q2356" i="2"/>
  <c r="R2356" i="2"/>
  <c r="S2356" i="2"/>
  <c r="T2356" i="2"/>
  <c r="Y2356" i="2"/>
  <c r="H2359" i="2"/>
  <c r="M2359" i="2" s="1"/>
  <c r="P2359" i="2"/>
  <c r="U2359" i="2"/>
  <c r="H2360" i="2"/>
  <c r="P2360" i="2"/>
  <c r="H2361" i="2"/>
  <c r="M2361" i="2"/>
  <c r="P2361" i="2"/>
  <c r="U2361" i="2" s="1"/>
  <c r="X2361" i="2"/>
  <c r="Z2361" i="2"/>
  <c r="H2362" i="2"/>
  <c r="M2362" i="2" s="1"/>
  <c r="P2362" i="2"/>
  <c r="V2362" i="2" s="1"/>
  <c r="W2362" i="2" s="1"/>
  <c r="U2362" i="2"/>
  <c r="H2363" i="2"/>
  <c r="M2363" i="2" s="1"/>
  <c r="P2363" i="2"/>
  <c r="U2363" i="2"/>
  <c r="H2364" i="2"/>
  <c r="P2364" i="2"/>
  <c r="U2364" i="2"/>
  <c r="H2365" i="2"/>
  <c r="M2365" i="2" s="1"/>
  <c r="P2365" i="2"/>
  <c r="U2365" i="2" s="1"/>
  <c r="E2367" i="2"/>
  <c r="F2367" i="2"/>
  <c r="G2367" i="2"/>
  <c r="I2367" i="2"/>
  <c r="J2367" i="2"/>
  <c r="K2367" i="2"/>
  <c r="L2367" i="2"/>
  <c r="N2367" i="2"/>
  <c r="O2367" i="2"/>
  <c r="Q2367" i="2"/>
  <c r="R2367" i="2"/>
  <c r="S2367" i="2"/>
  <c r="T2367" i="2"/>
  <c r="Y2367" i="2"/>
  <c r="H2370" i="2"/>
  <c r="M2370" i="2" s="1"/>
  <c r="P2370" i="2"/>
  <c r="V2370" i="2" s="1"/>
  <c r="W2370" i="2" s="1"/>
  <c r="U2370" i="2"/>
  <c r="H2371" i="2"/>
  <c r="M2371" i="2"/>
  <c r="P2371" i="2"/>
  <c r="H2372" i="2"/>
  <c r="P2372" i="2"/>
  <c r="U2372" i="2"/>
  <c r="H2373" i="2"/>
  <c r="M2373" i="2" s="1"/>
  <c r="P2373" i="2"/>
  <c r="U2373" i="2" s="1"/>
  <c r="H2374" i="2"/>
  <c r="P2374" i="2"/>
  <c r="V2374" i="2" s="1"/>
  <c r="W2374" i="2" s="1"/>
  <c r="E2375" i="2"/>
  <c r="E2382" i="2" s="1"/>
  <c r="F2375" i="2"/>
  <c r="F2382" i="2" s="1"/>
  <c r="P2375" i="2"/>
  <c r="U2375" i="2"/>
  <c r="H2376" i="2"/>
  <c r="M2376" i="2" s="1"/>
  <c r="P2376" i="2"/>
  <c r="U2376" i="2"/>
  <c r="H2377" i="2"/>
  <c r="P2377" i="2"/>
  <c r="U2377" i="2" s="1"/>
  <c r="H2378" i="2"/>
  <c r="M2378" i="2"/>
  <c r="P2378" i="2"/>
  <c r="H2379" i="2"/>
  <c r="P2379" i="2"/>
  <c r="V2379" i="2" s="1"/>
  <c r="W2379" i="2" s="1"/>
  <c r="U2379" i="2"/>
  <c r="H2380" i="2"/>
  <c r="M2380" i="2" s="1"/>
  <c r="P2380" i="2"/>
  <c r="U2380" i="2"/>
  <c r="G2382" i="2"/>
  <c r="I2382" i="2"/>
  <c r="J2382" i="2"/>
  <c r="J2430" i="2" s="1"/>
  <c r="J2746" i="2" s="1"/>
  <c r="K2382" i="2"/>
  <c r="L2382" i="2"/>
  <c r="N2382" i="2"/>
  <c r="O2382" i="2"/>
  <c r="Q2382" i="2"/>
  <c r="R2382" i="2"/>
  <c r="S2382" i="2"/>
  <c r="T2382" i="2"/>
  <c r="Y2382" i="2"/>
  <c r="E2385" i="2"/>
  <c r="F2385" i="2"/>
  <c r="P2385" i="2"/>
  <c r="U2385" i="2" s="1"/>
  <c r="H2386" i="2"/>
  <c r="P2386" i="2"/>
  <c r="U2386" i="2"/>
  <c r="H2387" i="2"/>
  <c r="M2387" i="2" s="1"/>
  <c r="P2387" i="2"/>
  <c r="U2387" i="2"/>
  <c r="H2388" i="2"/>
  <c r="X2388" i="2" s="1"/>
  <c r="Z2388" i="2" s="1"/>
  <c r="P2388" i="2"/>
  <c r="U2388" i="2"/>
  <c r="V2388" i="2"/>
  <c r="W2388" i="2" s="1"/>
  <c r="H2389" i="2"/>
  <c r="M2389" i="2"/>
  <c r="P2389" i="2"/>
  <c r="U2389" i="2" s="1"/>
  <c r="H2390" i="2"/>
  <c r="N2390" i="2"/>
  <c r="Q2390" i="2"/>
  <c r="Q2400" i="2" s="1"/>
  <c r="H2391" i="2"/>
  <c r="V2391" i="2" s="1"/>
  <c r="W2391" i="2" s="1"/>
  <c r="P2391" i="2"/>
  <c r="U2391" i="2"/>
  <c r="H2392" i="2"/>
  <c r="M2392" i="2" s="1"/>
  <c r="P2392" i="2"/>
  <c r="H2393" i="2"/>
  <c r="X2393" i="2" s="1"/>
  <c r="Z2393" i="2" s="1"/>
  <c r="M2393" i="2"/>
  <c r="P2393" i="2"/>
  <c r="U2393" i="2" s="1"/>
  <c r="V2393" i="2"/>
  <c r="W2393" i="2"/>
  <c r="E2394" i="2"/>
  <c r="F2394" i="2"/>
  <c r="H2394" i="2"/>
  <c r="P2394" i="2"/>
  <c r="U2394" i="2" s="1"/>
  <c r="H2395" i="2"/>
  <c r="M2395" i="2"/>
  <c r="P2395" i="2"/>
  <c r="X2395" i="2" s="1"/>
  <c r="Z2395" i="2" s="1"/>
  <c r="H2396" i="2"/>
  <c r="M2396" i="2" s="1"/>
  <c r="P2396" i="2"/>
  <c r="U2396" i="2"/>
  <c r="H2397" i="2"/>
  <c r="M2397" i="2" s="1"/>
  <c r="P2397" i="2"/>
  <c r="U2397" i="2"/>
  <c r="H2398" i="2"/>
  <c r="P2398" i="2"/>
  <c r="U2398" i="2"/>
  <c r="V2398" i="2"/>
  <c r="W2398" i="2" s="1"/>
  <c r="G2400" i="2"/>
  <c r="I2400" i="2"/>
  <c r="J2400" i="2"/>
  <c r="K2400" i="2"/>
  <c r="L2400" i="2"/>
  <c r="O2400" i="2"/>
  <c r="R2400" i="2"/>
  <c r="S2400" i="2"/>
  <c r="T2400" i="2"/>
  <c r="Y2400" i="2"/>
  <c r="H2403" i="2"/>
  <c r="M2403" i="2" s="1"/>
  <c r="L2403" i="2"/>
  <c r="P2403" i="2"/>
  <c r="T2403" i="2"/>
  <c r="E2406" i="2"/>
  <c r="F2406" i="2"/>
  <c r="H2406" i="2" s="1"/>
  <c r="M2406" i="2" s="1"/>
  <c r="P2406" i="2"/>
  <c r="V2406" i="2" s="1"/>
  <c r="U2406" i="2"/>
  <c r="H2407" i="2"/>
  <c r="M2407" i="2"/>
  <c r="P2407" i="2"/>
  <c r="H2408" i="2"/>
  <c r="P2408" i="2"/>
  <c r="U2408" i="2"/>
  <c r="H2409" i="2"/>
  <c r="M2409" i="2" s="1"/>
  <c r="P2409" i="2"/>
  <c r="U2409" i="2" s="1"/>
  <c r="H2410" i="2"/>
  <c r="P2410" i="2"/>
  <c r="V2410" i="2" s="1"/>
  <c r="W2410" i="2" s="1"/>
  <c r="E2411" i="2"/>
  <c r="H2411" i="2"/>
  <c r="X2411" i="2" s="1"/>
  <c r="Z2411" i="2" s="1"/>
  <c r="P2411" i="2"/>
  <c r="H2412" i="2"/>
  <c r="P2412" i="2"/>
  <c r="U2412" i="2" s="1"/>
  <c r="E2413" i="2"/>
  <c r="F2413" i="2"/>
  <c r="H2413" i="2"/>
  <c r="P2413" i="2"/>
  <c r="U2413" i="2" s="1"/>
  <c r="H2414" i="2"/>
  <c r="M2414" i="2"/>
  <c r="P2414" i="2"/>
  <c r="H2415" i="2"/>
  <c r="P2415" i="2"/>
  <c r="U2415" i="2" s="1"/>
  <c r="H2416" i="2"/>
  <c r="M2416" i="2"/>
  <c r="P2416" i="2"/>
  <c r="H2417" i="2"/>
  <c r="P2417" i="2"/>
  <c r="U2417" i="2"/>
  <c r="E2418" i="2"/>
  <c r="F2418" i="2"/>
  <c r="H2418" i="2"/>
  <c r="P2418" i="2"/>
  <c r="U2418" i="2" s="1"/>
  <c r="H2419" i="2"/>
  <c r="P2419" i="2"/>
  <c r="H2420" i="2"/>
  <c r="P2420" i="2"/>
  <c r="U2420" i="2" s="1"/>
  <c r="H2421" i="2"/>
  <c r="X2421" i="2" s="1"/>
  <c r="Z2421" i="2" s="1"/>
  <c r="M2421" i="2"/>
  <c r="P2421" i="2"/>
  <c r="H2422" i="2"/>
  <c r="P2422" i="2"/>
  <c r="U2422" i="2" s="1"/>
  <c r="H2423" i="2"/>
  <c r="P2423" i="2"/>
  <c r="H2424" i="2"/>
  <c r="V2424" i="2" s="1"/>
  <c r="W2424" i="2" s="1"/>
  <c r="P2424" i="2"/>
  <c r="U2424" i="2" s="1"/>
  <c r="H2425" i="2"/>
  <c r="X2425" i="2" s="1"/>
  <c r="Z2425" i="2" s="1"/>
  <c r="M2425" i="2"/>
  <c r="P2425" i="2"/>
  <c r="E2426" i="2"/>
  <c r="H2426" i="2"/>
  <c r="M2426" i="2" s="1"/>
  <c r="P2426" i="2"/>
  <c r="U2426" i="2" s="1"/>
  <c r="F2428" i="2"/>
  <c r="G2428" i="2"/>
  <c r="I2428" i="2"/>
  <c r="J2428" i="2"/>
  <c r="K2428" i="2"/>
  <c r="L2428" i="2"/>
  <c r="N2428" i="2"/>
  <c r="O2428" i="2"/>
  <c r="Q2428" i="2"/>
  <c r="R2428" i="2"/>
  <c r="S2428" i="2"/>
  <c r="T2428" i="2"/>
  <c r="Y2428" i="2"/>
  <c r="H2436" i="2"/>
  <c r="M2436" i="2" s="1"/>
  <c r="P2436" i="2"/>
  <c r="U2436" i="2"/>
  <c r="V2436" i="2"/>
  <c r="W2436" i="2" s="1"/>
  <c r="H2437" i="2"/>
  <c r="M2437" i="2"/>
  <c r="P2437" i="2"/>
  <c r="X2437" i="2" s="1"/>
  <c r="Z2437" i="2" s="1"/>
  <c r="H2438" i="2"/>
  <c r="M2438" i="2"/>
  <c r="P2438" i="2"/>
  <c r="H2439" i="2"/>
  <c r="M2439" i="2" s="1"/>
  <c r="P2439" i="2"/>
  <c r="H2440" i="2"/>
  <c r="V2440" i="2" s="1"/>
  <c r="W2440" i="2" s="1"/>
  <c r="P2440" i="2"/>
  <c r="U2440" i="2" s="1"/>
  <c r="H2441" i="2"/>
  <c r="M2441" i="2" s="1"/>
  <c r="P2441" i="2"/>
  <c r="H2442" i="2"/>
  <c r="X2442" i="2" s="1"/>
  <c r="Z2442" i="2" s="1"/>
  <c r="M2442" i="2"/>
  <c r="P2442" i="2"/>
  <c r="U2442" i="2" s="1"/>
  <c r="V2442" i="2"/>
  <c r="W2442" i="2"/>
  <c r="H2443" i="2"/>
  <c r="M2443" i="2" s="1"/>
  <c r="P2443" i="2"/>
  <c r="H2444" i="2"/>
  <c r="M2444" i="2" s="1"/>
  <c r="P2444" i="2"/>
  <c r="U2444" i="2"/>
  <c r="E2445" i="2"/>
  <c r="H2445" i="2"/>
  <c r="P2445" i="2"/>
  <c r="H2446" i="2"/>
  <c r="P2446" i="2"/>
  <c r="U2446" i="2" s="1"/>
  <c r="H2447" i="2"/>
  <c r="M2447" i="2"/>
  <c r="P2447" i="2"/>
  <c r="H2448" i="2"/>
  <c r="P2448" i="2"/>
  <c r="U2448" i="2" s="1"/>
  <c r="H2449" i="2"/>
  <c r="X2449" i="2" s="1"/>
  <c r="Z2449" i="2" s="1"/>
  <c r="M2449" i="2"/>
  <c r="P2449" i="2"/>
  <c r="H2450" i="2"/>
  <c r="P2450" i="2"/>
  <c r="U2450" i="2"/>
  <c r="H2451" i="2"/>
  <c r="M2451" i="2" s="1"/>
  <c r="P2451" i="2"/>
  <c r="X2451" i="2"/>
  <c r="Z2451" i="2" s="1"/>
  <c r="H2452" i="2"/>
  <c r="P2452" i="2"/>
  <c r="U2452" i="2"/>
  <c r="E2453" i="2"/>
  <c r="F2453" i="2"/>
  <c r="H2453" i="2" s="1"/>
  <c r="P2453" i="2"/>
  <c r="U2453" i="2"/>
  <c r="H2454" i="2"/>
  <c r="M2454" i="2" s="1"/>
  <c r="P2454" i="2"/>
  <c r="X2454" i="2"/>
  <c r="Z2454" i="2" s="1"/>
  <c r="H2455" i="2"/>
  <c r="P2455" i="2"/>
  <c r="U2455" i="2" s="1"/>
  <c r="H2456" i="2"/>
  <c r="P2456" i="2"/>
  <c r="H2457" i="2"/>
  <c r="V2457" i="2" s="1"/>
  <c r="P2457" i="2"/>
  <c r="U2457" i="2"/>
  <c r="E2458" i="2"/>
  <c r="F2458" i="2"/>
  <c r="H2458" i="2" s="1"/>
  <c r="V2458" i="2" s="1"/>
  <c r="P2458" i="2"/>
  <c r="U2458" i="2" s="1"/>
  <c r="H2459" i="2"/>
  <c r="P2459" i="2"/>
  <c r="E2460" i="2"/>
  <c r="F2460" i="2"/>
  <c r="H2460" i="2"/>
  <c r="M2460" i="2" s="1"/>
  <c r="P2460" i="2"/>
  <c r="E2461" i="2"/>
  <c r="F2461" i="2"/>
  <c r="H2461" i="2"/>
  <c r="U2461" i="2"/>
  <c r="E2462" i="2"/>
  <c r="F2462" i="2"/>
  <c r="H2462" i="2" s="1"/>
  <c r="M2462" i="2" s="1"/>
  <c r="P2462" i="2"/>
  <c r="F2464" i="2"/>
  <c r="G2464" i="2"/>
  <c r="I2464" i="2"/>
  <c r="J2464" i="2"/>
  <c r="K2464" i="2"/>
  <c r="L2464" i="2"/>
  <c r="N2464" i="2"/>
  <c r="O2464" i="2"/>
  <c r="Q2464" i="2"/>
  <c r="R2464" i="2"/>
  <c r="S2464" i="2"/>
  <c r="T2464" i="2"/>
  <c r="Y2464" i="2"/>
  <c r="H2466" i="2"/>
  <c r="K2466" i="2"/>
  <c r="P2466" i="2"/>
  <c r="T2466" i="2"/>
  <c r="T2468" i="2" s="1"/>
  <c r="E2468" i="2"/>
  <c r="F2468" i="2"/>
  <c r="G2468" i="2"/>
  <c r="H2468" i="2"/>
  <c r="I2468" i="2"/>
  <c r="J2468" i="2"/>
  <c r="N2468" i="2"/>
  <c r="O2468" i="2"/>
  <c r="Q2468" i="2"/>
  <c r="R2468" i="2"/>
  <c r="S2468" i="2"/>
  <c r="Y2468" i="2"/>
  <c r="H2472" i="2"/>
  <c r="P2472" i="2"/>
  <c r="U2472" i="2" s="1"/>
  <c r="H2473" i="2"/>
  <c r="P2473" i="2"/>
  <c r="E2474" i="2"/>
  <c r="H2474" i="2"/>
  <c r="M2474" i="2" s="1"/>
  <c r="P2474" i="2"/>
  <c r="X2474" i="2"/>
  <c r="H2475" i="2"/>
  <c r="M2475" i="2" s="1"/>
  <c r="P2475" i="2"/>
  <c r="V2475" i="2" s="1"/>
  <c r="W2475" i="2" s="1"/>
  <c r="U2475" i="2"/>
  <c r="H2476" i="2"/>
  <c r="M2476" i="2" s="1"/>
  <c r="P2476" i="2"/>
  <c r="H2477" i="2"/>
  <c r="P2477" i="2"/>
  <c r="U2477" i="2" s="1"/>
  <c r="H2478" i="2"/>
  <c r="M2478" i="2"/>
  <c r="P2478" i="2"/>
  <c r="H2479" i="2"/>
  <c r="M2479" i="2"/>
  <c r="P2479" i="2"/>
  <c r="H2480" i="2"/>
  <c r="M2480" i="2"/>
  <c r="P2480" i="2"/>
  <c r="E2481" i="2"/>
  <c r="H2481" i="2"/>
  <c r="P2481" i="2"/>
  <c r="U2481" i="2" s="1"/>
  <c r="V2481" i="2"/>
  <c r="E2482" i="2"/>
  <c r="H2482" i="2"/>
  <c r="P2482" i="2"/>
  <c r="U2482" i="2"/>
  <c r="H2483" i="2"/>
  <c r="M2483" i="2" s="1"/>
  <c r="AA2483" i="2" s="1"/>
  <c r="AB2483" i="2" s="1"/>
  <c r="P2483" i="2"/>
  <c r="X2483" i="2" s="1"/>
  <c r="Z2483" i="2" s="1"/>
  <c r="U2483" i="2"/>
  <c r="E2484" i="2"/>
  <c r="F2484" i="2"/>
  <c r="F2489" i="2" s="1"/>
  <c r="H2484" i="2"/>
  <c r="I2484" i="2"/>
  <c r="I2489" i="2" s="1"/>
  <c r="P2484" i="2"/>
  <c r="U2484" i="2" s="1"/>
  <c r="H2485" i="2"/>
  <c r="X2485" i="2" s="1"/>
  <c r="Z2485" i="2" s="1"/>
  <c r="M2485" i="2"/>
  <c r="P2485" i="2"/>
  <c r="H2486" i="2"/>
  <c r="P2486" i="2"/>
  <c r="U2486" i="2" s="1"/>
  <c r="H2487" i="2"/>
  <c r="M2487" i="2"/>
  <c r="P2487" i="2"/>
  <c r="X2487" i="2" s="1"/>
  <c r="Z2487" i="2" s="1"/>
  <c r="G2489" i="2"/>
  <c r="J2489" i="2"/>
  <c r="K2489" i="2"/>
  <c r="L2489" i="2"/>
  <c r="N2489" i="2"/>
  <c r="O2489" i="2"/>
  <c r="Q2489" i="2"/>
  <c r="R2489" i="2"/>
  <c r="S2489" i="2"/>
  <c r="T2489" i="2"/>
  <c r="Y2489" i="2"/>
  <c r="H2493" i="2"/>
  <c r="M2493" i="2" s="1"/>
  <c r="N2493" i="2"/>
  <c r="P2493" i="2" s="1"/>
  <c r="U2493" i="2" s="1"/>
  <c r="H2494" i="2"/>
  <c r="X2494" i="2" s="1"/>
  <c r="Z2494" i="2" s="1"/>
  <c r="P2494" i="2"/>
  <c r="U2494" i="2"/>
  <c r="V2494" i="2"/>
  <c r="W2494" i="2" s="1"/>
  <c r="H2495" i="2"/>
  <c r="M2495" i="2"/>
  <c r="P2495" i="2"/>
  <c r="V2495" i="2" s="1"/>
  <c r="W2495" i="2" s="1"/>
  <c r="H2496" i="2"/>
  <c r="M2496" i="2"/>
  <c r="P2496" i="2"/>
  <c r="V2496" i="2" s="1"/>
  <c r="W2496" i="2" s="1"/>
  <c r="H2497" i="2"/>
  <c r="M2497" i="2" s="1"/>
  <c r="P2497" i="2"/>
  <c r="U2497" i="2"/>
  <c r="H2498" i="2"/>
  <c r="X2498" i="2" s="1"/>
  <c r="Z2498" i="2" s="1"/>
  <c r="P2498" i="2"/>
  <c r="U2498" i="2"/>
  <c r="V2498" i="2"/>
  <c r="W2498" i="2" s="1"/>
  <c r="H2499" i="2"/>
  <c r="M2499" i="2"/>
  <c r="P2499" i="2"/>
  <c r="V2499" i="2" s="1"/>
  <c r="W2499" i="2" s="1"/>
  <c r="H2500" i="2"/>
  <c r="M2500" i="2"/>
  <c r="P2500" i="2"/>
  <c r="V2500" i="2" s="1"/>
  <c r="W2500" i="2" s="1"/>
  <c r="H2501" i="2"/>
  <c r="M2501" i="2" s="1"/>
  <c r="P2501" i="2"/>
  <c r="U2501" i="2"/>
  <c r="H2502" i="2"/>
  <c r="X2502" i="2" s="1"/>
  <c r="Z2502" i="2" s="1"/>
  <c r="P2502" i="2"/>
  <c r="U2502" i="2"/>
  <c r="V2502" i="2"/>
  <c r="W2502" i="2" s="1"/>
  <c r="E2503" i="2"/>
  <c r="F2503" i="2"/>
  <c r="H2503" i="2"/>
  <c r="X2503" i="2" s="1"/>
  <c r="Z2503" i="2" s="1"/>
  <c r="P2503" i="2"/>
  <c r="U2503" i="2"/>
  <c r="V2503" i="2"/>
  <c r="W2503" i="2" s="1"/>
  <c r="H2504" i="2"/>
  <c r="M2504" i="2"/>
  <c r="P2504" i="2"/>
  <c r="U2504" i="2" s="1"/>
  <c r="E2505" i="2"/>
  <c r="F2505" i="2"/>
  <c r="P2505" i="2"/>
  <c r="U2505" i="2" s="1"/>
  <c r="E2506" i="2"/>
  <c r="F2506" i="2"/>
  <c r="H2506" i="2" s="1"/>
  <c r="M2506" i="2" s="1"/>
  <c r="P2506" i="2"/>
  <c r="U2506" i="2" s="1"/>
  <c r="H2507" i="2"/>
  <c r="P2507" i="2"/>
  <c r="G2509" i="2"/>
  <c r="G2511" i="2" s="1"/>
  <c r="G2748" i="2" s="1"/>
  <c r="I2509" i="2"/>
  <c r="J2509" i="2"/>
  <c r="K2509" i="2"/>
  <c r="L2509" i="2"/>
  <c r="O2509" i="2"/>
  <c r="Q2509" i="2"/>
  <c r="R2509" i="2"/>
  <c r="S2509" i="2"/>
  <c r="T2509" i="2"/>
  <c r="Y2509" i="2"/>
  <c r="H2516" i="2"/>
  <c r="M2516" i="2" s="1"/>
  <c r="P2516" i="2"/>
  <c r="U2516" i="2" s="1"/>
  <c r="H2517" i="2"/>
  <c r="P2517" i="2"/>
  <c r="U2517" i="2" s="1"/>
  <c r="H2518" i="2"/>
  <c r="P2518" i="2"/>
  <c r="U2518" i="2"/>
  <c r="H2519" i="2"/>
  <c r="M2519" i="2" s="1"/>
  <c r="P2519" i="2"/>
  <c r="H2520" i="2"/>
  <c r="M2520" i="2" s="1"/>
  <c r="P2520" i="2"/>
  <c r="U2520" i="2" s="1"/>
  <c r="H2521" i="2"/>
  <c r="P2521" i="2"/>
  <c r="U2521" i="2" s="1"/>
  <c r="H2522" i="2"/>
  <c r="M2522" i="2"/>
  <c r="P2522" i="2"/>
  <c r="V2522" i="2" s="1"/>
  <c r="W2522" i="2" s="1"/>
  <c r="E2523" i="2"/>
  <c r="F2523" i="2"/>
  <c r="P2523" i="2"/>
  <c r="U2523" i="2" s="1"/>
  <c r="H2524" i="2"/>
  <c r="P2524" i="2"/>
  <c r="H2525" i="2"/>
  <c r="M2525" i="2" s="1"/>
  <c r="P2525" i="2"/>
  <c r="U2525" i="2" s="1"/>
  <c r="E2526" i="2"/>
  <c r="H2526" i="2"/>
  <c r="M2526" i="2"/>
  <c r="P2526" i="2"/>
  <c r="U2526" i="2" s="1"/>
  <c r="X2526" i="2"/>
  <c r="H2527" i="2"/>
  <c r="P2527" i="2"/>
  <c r="U2527" i="2" s="1"/>
  <c r="E2528" i="2"/>
  <c r="F2528" i="2"/>
  <c r="H2528" i="2" s="1"/>
  <c r="M2528" i="2" s="1"/>
  <c r="P2528" i="2"/>
  <c r="U2528" i="2" s="1"/>
  <c r="H2529" i="2"/>
  <c r="M2529" i="2" s="1"/>
  <c r="P2529" i="2"/>
  <c r="G2531" i="2"/>
  <c r="I2531" i="2"/>
  <c r="J2531" i="2"/>
  <c r="K2531" i="2"/>
  <c r="L2531" i="2"/>
  <c r="N2531" i="2"/>
  <c r="O2531" i="2"/>
  <c r="Q2531" i="2"/>
  <c r="R2531" i="2"/>
  <c r="S2531" i="2"/>
  <c r="T2531" i="2"/>
  <c r="Y2531" i="2"/>
  <c r="H2534" i="2"/>
  <c r="P2534" i="2"/>
  <c r="U2534" i="2" s="1"/>
  <c r="H2535" i="2"/>
  <c r="P2535" i="2"/>
  <c r="U2535" i="2"/>
  <c r="H2536" i="2"/>
  <c r="P2536" i="2"/>
  <c r="U2536" i="2" s="1"/>
  <c r="H2537" i="2"/>
  <c r="M2537" i="2"/>
  <c r="P2537" i="2"/>
  <c r="V2537" i="2" s="1"/>
  <c r="W2537" i="2" s="1"/>
  <c r="H2538" i="2"/>
  <c r="M2538" i="2"/>
  <c r="P2538" i="2"/>
  <c r="H2539" i="2"/>
  <c r="M2539" i="2" s="1"/>
  <c r="P2539" i="2"/>
  <c r="H2540" i="2"/>
  <c r="V2540" i="2" s="1"/>
  <c r="W2540" i="2" s="1"/>
  <c r="P2540" i="2"/>
  <c r="U2540" i="2" s="1"/>
  <c r="H2541" i="2"/>
  <c r="M2541" i="2" s="1"/>
  <c r="P2541" i="2"/>
  <c r="U2541" i="2" s="1"/>
  <c r="H2542" i="2"/>
  <c r="M2542" i="2"/>
  <c r="P2542" i="2"/>
  <c r="E2543" i="2"/>
  <c r="E2549" i="2" s="1"/>
  <c r="H2543" i="2"/>
  <c r="P2543" i="2"/>
  <c r="H2544" i="2"/>
  <c r="P2544" i="2"/>
  <c r="U2544" i="2"/>
  <c r="E2545" i="2"/>
  <c r="F2545" i="2"/>
  <c r="P2545" i="2"/>
  <c r="U2545" i="2"/>
  <c r="E2546" i="2"/>
  <c r="F2546" i="2"/>
  <c r="H2546" i="2" s="1"/>
  <c r="M2546" i="2" s="1"/>
  <c r="P2546" i="2"/>
  <c r="X2546" i="2" s="1"/>
  <c r="U2546" i="2"/>
  <c r="H2547" i="2"/>
  <c r="P2547" i="2"/>
  <c r="U2547" i="2"/>
  <c r="G2549" i="2"/>
  <c r="I2549" i="2"/>
  <c r="J2549" i="2"/>
  <c r="K2549" i="2"/>
  <c r="L2549" i="2"/>
  <c r="N2549" i="2"/>
  <c r="O2549" i="2"/>
  <c r="Q2549" i="2"/>
  <c r="R2549" i="2"/>
  <c r="S2549" i="2"/>
  <c r="T2549" i="2"/>
  <c r="Y2549" i="2"/>
  <c r="E2552" i="2"/>
  <c r="F2552" i="2"/>
  <c r="P2552" i="2"/>
  <c r="U2552" i="2" s="1"/>
  <c r="H2553" i="2"/>
  <c r="M2553" i="2"/>
  <c r="P2553" i="2"/>
  <c r="H2554" i="2"/>
  <c r="V2554" i="2" s="1"/>
  <c r="W2554" i="2" s="1"/>
  <c r="P2554" i="2"/>
  <c r="U2554" i="2"/>
  <c r="H2555" i="2"/>
  <c r="M2555" i="2" s="1"/>
  <c r="P2555" i="2"/>
  <c r="H2556" i="2"/>
  <c r="P2556" i="2"/>
  <c r="U2556" i="2" s="1"/>
  <c r="H2557" i="2"/>
  <c r="M2557" i="2" s="1"/>
  <c r="P2557" i="2"/>
  <c r="H2558" i="2"/>
  <c r="P2558" i="2"/>
  <c r="V2558" i="2" s="1"/>
  <c r="W2558" i="2" s="1"/>
  <c r="H2559" i="2"/>
  <c r="M2559" i="2"/>
  <c r="P2559" i="2"/>
  <c r="E2560" i="2"/>
  <c r="F2560" i="2"/>
  <c r="H2560" i="2"/>
  <c r="M2560" i="2" s="1"/>
  <c r="P2560" i="2"/>
  <c r="H2561" i="2"/>
  <c r="P2561" i="2"/>
  <c r="U2561" i="2" s="1"/>
  <c r="H2562" i="2"/>
  <c r="M2562" i="2" s="1"/>
  <c r="P2562" i="2"/>
  <c r="H2563" i="2"/>
  <c r="P2563" i="2"/>
  <c r="U2563" i="2" s="1"/>
  <c r="H2564" i="2"/>
  <c r="M2564" i="2"/>
  <c r="P2564" i="2"/>
  <c r="H2565" i="2"/>
  <c r="P2565" i="2"/>
  <c r="U2565" i="2"/>
  <c r="V2565" i="2"/>
  <c r="W2565" i="2" s="1"/>
  <c r="H2566" i="2"/>
  <c r="M2566" i="2" s="1"/>
  <c r="P2566" i="2"/>
  <c r="E2567" i="2"/>
  <c r="F2567" i="2"/>
  <c r="H2567" i="2" s="1"/>
  <c r="M2567" i="2" s="1"/>
  <c r="P2567" i="2"/>
  <c r="E2568" i="2"/>
  <c r="F2568" i="2"/>
  <c r="H2568" i="2"/>
  <c r="M2568" i="2"/>
  <c r="P2568" i="2"/>
  <c r="E2569" i="2"/>
  <c r="F2569" i="2"/>
  <c r="H2569" i="2" s="1"/>
  <c r="M2569" i="2" s="1"/>
  <c r="P2569" i="2"/>
  <c r="U2569" i="2" s="1"/>
  <c r="H2570" i="2"/>
  <c r="P2570" i="2"/>
  <c r="U2570" i="2" s="1"/>
  <c r="G2572" i="2"/>
  <c r="I2572" i="2"/>
  <c r="J2572" i="2"/>
  <c r="K2572" i="2"/>
  <c r="L2572" i="2"/>
  <c r="N2572" i="2"/>
  <c r="O2572" i="2"/>
  <c r="Q2572" i="2"/>
  <c r="R2572" i="2"/>
  <c r="S2572" i="2"/>
  <c r="T2572" i="2"/>
  <c r="Y2572" i="2"/>
  <c r="E2575" i="2"/>
  <c r="F2575" i="2"/>
  <c r="H2575" i="2" s="1"/>
  <c r="P2575" i="2"/>
  <c r="U2575" i="2"/>
  <c r="E2576" i="2"/>
  <c r="F2576" i="2"/>
  <c r="H2576" i="2" s="1"/>
  <c r="P2576" i="2"/>
  <c r="U2576" i="2"/>
  <c r="H2577" i="2"/>
  <c r="M2577" i="2" s="1"/>
  <c r="P2577" i="2"/>
  <c r="H2578" i="2"/>
  <c r="P2578" i="2"/>
  <c r="U2578" i="2" s="1"/>
  <c r="H2579" i="2"/>
  <c r="M2579" i="2" s="1"/>
  <c r="P2579" i="2"/>
  <c r="H2580" i="2"/>
  <c r="P2580" i="2"/>
  <c r="U2580" i="2" s="1"/>
  <c r="H2581" i="2"/>
  <c r="M2581" i="2" s="1"/>
  <c r="P2581" i="2"/>
  <c r="H2582" i="2"/>
  <c r="P2582" i="2"/>
  <c r="U2582" i="2" s="1"/>
  <c r="H2583" i="2"/>
  <c r="M2583" i="2"/>
  <c r="P2583" i="2"/>
  <c r="E2584" i="2"/>
  <c r="F2584" i="2"/>
  <c r="H2584" i="2"/>
  <c r="M2584" i="2"/>
  <c r="P2584" i="2"/>
  <c r="H2585" i="2"/>
  <c r="P2585" i="2"/>
  <c r="U2585" i="2"/>
  <c r="E2586" i="2"/>
  <c r="F2586" i="2"/>
  <c r="H2586" i="2"/>
  <c r="P2586" i="2"/>
  <c r="U2586" i="2" s="1"/>
  <c r="H2587" i="2"/>
  <c r="M2587" i="2" s="1"/>
  <c r="P2587" i="2"/>
  <c r="H2588" i="2"/>
  <c r="P2588" i="2"/>
  <c r="U2588" i="2" s="1"/>
  <c r="H2589" i="2"/>
  <c r="M2589" i="2" s="1"/>
  <c r="P2589" i="2"/>
  <c r="H2590" i="2"/>
  <c r="P2590" i="2"/>
  <c r="U2590" i="2" s="1"/>
  <c r="G2592" i="2"/>
  <c r="I2592" i="2"/>
  <c r="J2592" i="2"/>
  <c r="K2592" i="2"/>
  <c r="L2592" i="2"/>
  <c r="N2592" i="2"/>
  <c r="N2594" i="2" s="1"/>
  <c r="N2750" i="2" s="1"/>
  <c r="O2592" i="2"/>
  <c r="Q2592" i="2"/>
  <c r="R2592" i="2"/>
  <c r="S2592" i="2"/>
  <c r="T2592" i="2"/>
  <c r="Y2592" i="2"/>
  <c r="C2610" i="2"/>
  <c r="F2612" i="2"/>
  <c r="N2612" i="2" s="1"/>
  <c r="H2615" i="2"/>
  <c r="I2615" i="2"/>
  <c r="J2615" i="2"/>
  <c r="K2615" i="2"/>
  <c r="M2615" i="2"/>
  <c r="P2615" i="2"/>
  <c r="X2615" i="2" s="1"/>
  <c r="Q2615" i="2"/>
  <c r="R2615" i="2"/>
  <c r="S2615" i="2"/>
  <c r="U2615" i="2"/>
  <c r="V2615" i="2"/>
  <c r="W2615" i="2"/>
  <c r="Y2615" i="2"/>
  <c r="H2616" i="2"/>
  <c r="M2616" i="2" s="1"/>
  <c r="Y2616" i="2"/>
  <c r="H2617" i="2"/>
  <c r="M2617" i="2"/>
  <c r="P2617" i="2"/>
  <c r="U2617" i="2" s="1"/>
  <c r="H2618" i="2"/>
  <c r="M2618" i="2"/>
  <c r="P2618" i="2"/>
  <c r="U2618" i="2" s="1"/>
  <c r="Y2618" i="2"/>
  <c r="H2619" i="2"/>
  <c r="X2619" i="2" s="1"/>
  <c r="Z2619" i="2" s="1"/>
  <c r="I2619" i="2"/>
  <c r="J2619" i="2"/>
  <c r="K2619" i="2"/>
  <c r="M2619" i="2"/>
  <c r="AA2619" i="2" s="1"/>
  <c r="AB2619" i="2" s="1"/>
  <c r="P2619" i="2"/>
  <c r="Q2619" i="2"/>
  <c r="R2619" i="2"/>
  <c r="S2619" i="2"/>
  <c r="U2619" i="2"/>
  <c r="H2620" i="2"/>
  <c r="M2620" i="2"/>
  <c r="P2620" i="2"/>
  <c r="Y2620" i="2"/>
  <c r="H2621" i="2"/>
  <c r="X2621" i="2" s="1"/>
  <c r="Z2621" i="2" s="1"/>
  <c r="M2621" i="2"/>
  <c r="P2621" i="2"/>
  <c r="U2621" i="2" s="1"/>
  <c r="H2622" i="2"/>
  <c r="P2622" i="2"/>
  <c r="U2622" i="2" s="1"/>
  <c r="V2622" i="2"/>
  <c r="W2622" i="2"/>
  <c r="Y2622" i="2"/>
  <c r="H2623" i="2"/>
  <c r="P2623" i="2"/>
  <c r="U2623" i="2" s="1"/>
  <c r="V2623" i="2"/>
  <c r="W2623" i="2"/>
  <c r="H2624" i="2"/>
  <c r="M2624" i="2" s="1"/>
  <c r="P2624" i="2"/>
  <c r="U2624" i="2"/>
  <c r="Y2624" i="2"/>
  <c r="H2625" i="2"/>
  <c r="M2625" i="2" s="1"/>
  <c r="P2625" i="2"/>
  <c r="Y2625" i="2"/>
  <c r="H2626" i="2"/>
  <c r="I2626" i="2"/>
  <c r="J2626" i="2"/>
  <c r="K2626" i="2"/>
  <c r="M2626" i="2"/>
  <c r="N2626" i="2"/>
  <c r="P2626" i="2" s="1"/>
  <c r="U2626" i="2" s="1"/>
  <c r="Q2626" i="2"/>
  <c r="R2626" i="2"/>
  <c r="S2626" i="2"/>
  <c r="V2626" i="2"/>
  <c r="W2626" i="2"/>
  <c r="Y2626" i="2"/>
  <c r="H2627" i="2"/>
  <c r="I2627" i="2"/>
  <c r="J2627" i="2"/>
  <c r="K2627" i="2"/>
  <c r="M2627" i="2"/>
  <c r="AA2627" i="2" s="1"/>
  <c r="AB2627" i="2" s="1"/>
  <c r="P2627" i="2"/>
  <c r="Q2627" i="2"/>
  <c r="R2627" i="2"/>
  <c r="S2627" i="2"/>
  <c r="U2627" i="2"/>
  <c r="V2627" i="2"/>
  <c r="W2627" i="2"/>
  <c r="Y2627" i="2"/>
  <c r="H2628" i="2"/>
  <c r="M2628" i="2"/>
  <c r="P2628" i="2"/>
  <c r="Y2628" i="2"/>
  <c r="H2629" i="2"/>
  <c r="I2629" i="2"/>
  <c r="J2629" i="2"/>
  <c r="K2629" i="2"/>
  <c r="M2629" i="2"/>
  <c r="P2629" i="2"/>
  <c r="X2629" i="2" s="1"/>
  <c r="Z2629" i="2" s="1"/>
  <c r="Q2629" i="2"/>
  <c r="R2629" i="2"/>
  <c r="S2629" i="2"/>
  <c r="U2629" i="2"/>
  <c r="AA2629" i="2" s="1"/>
  <c r="AB2629" i="2" s="1"/>
  <c r="V2629" i="2"/>
  <c r="W2629" i="2"/>
  <c r="H2630" i="2"/>
  <c r="I2630" i="2"/>
  <c r="J2630" i="2"/>
  <c r="K2630" i="2"/>
  <c r="M2630" i="2"/>
  <c r="P2630" i="2"/>
  <c r="Q2630" i="2"/>
  <c r="R2630" i="2"/>
  <c r="S2630" i="2"/>
  <c r="U2630" i="2"/>
  <c r="V2630" i="2"/>
  <c r="W2630" i="2"/>
  <c r="H2631" i="2"/>
  <c r="M2631" i="2" s="1"/>
  <c r="P2631" i="2"/>
  <c r="H2632" i="2"/>
  <c r="M2632" i="2" s="1"/>
  <c r="P2632" i="2"/>
  <c r="U2632" i="2" s="1"/>
  <c r="H2633" i="2"/>
  <c r="I2633" i="2"/>
  <c r="J2633" i="2"/>
  <c r="K2633" i="2"/>
  <c r="M2633" i="2"/>
  <c r="P2633" i="2"/>
  <c r="X2633" i="2" s="1"/>
  <c r="Z2633" i="2" s="1"/>
  <c r="Q2633" i="2"/>
  <c r="R2633" i="2"/>
  <c r="S2633" i="2"/>
  <c r="U2633" i="2"/>
  <c r="V2633" i="2"/>
  <c r="W2633" i="2"/>
  <c r="H2634" i="2"/>
  <c r="I2634" i="2"/>
  <c r="J2634" i="2"/>
  <c r="K2634" i="2"/>
  <c r="M2634" i="2"/>
  <c r="P2634" i="2"/>
  <c r="X2634" i="2" s="1"/>
  <c r="Z2634" i="2" s="1"/>
  <c r="Q2634" i="2"/>
  <c r="R2634" i="2"/>
  <c r="S2634" i="2"/>
  <c r="U2634" i="2"/>
  <c r="V2634" i="2"/>
  <c r="W2634" i="2"/>
  <c r="E2635" i="2"/>
  <c r="F2635" i="2"/>
  <c r="H2635" i="2" s="1"/>
  <c r="I2635" i="2"/>
  <c r="J2635" i="2"/>
  <c r="K2635" i="2"/>
  <c r="P2635" i="2"/>
  <c r="Q2635" i="2"/>
  <c r="R2635" i="2"/>
  <c r="S2635" i="2"/>
  <c r="U2635" i="2"/>
  <c r="V2635" i="2"/>
  <c r="W2635" i="2"/>
  <c r="E2636" i="2"/>
  <c r="F2636" i="2"/>
  <c r="H2636" i="2" s="1"/>
  <c r="P2636" i="2"/>
  <c r="U2636" i="2" s="1"/>
  <c r="V2636" i="2"/>
  <c r="W2636" i="2"/>
  <c r="H2637" i="2"/>
  <c r="M2637" i="2"/>
  <c r="P2637" i="2"/>
  <c r="V2637" i="2"/>
  <c r="W2637" i="2"/>
  <c r="E2638" i="2"/>
  <c r="F2638" i="2"/>
  <c r="H2638" i="2" s="1"/>
  <c r="I2638" i="2"/>
  <c r="J2638" i="2"/>
  <c r="K2638" i="2"/>
  <c r="N2638" i="2"/>
  <c r="P2638" i="2" s="1"/>
  <c r="U2638" i="2" s="1"/>
  <c r="Q2638" i="2"/>
  <c r="R2638" i="2"/>
  <c r="S2638" i="2"/>
  <c r="V2638" i="2"/>
  <c r="W2638" i="2"/>
  <c r="H2639" i="2"/>
  <c r="M2639" i="2"/>
  <c r="P2639" i="2"/>
  <c r="E2640" i="2"/>
  <c r="F2640" i="2"/>
  <c r="H2640" i="2"/>
  <c r="M2640" i="2" s="1"/>
  <c r="P2640" i="2"/>
  <c r="U2640" i="2" s="1"/>
  <c r="H2641" i="2"/>
  <c r="P2641" i="2"/>
  <c r="U2641" i="2" s="1"/>
  <c r="E2642" i="2"/>
  <c r="F2642" i="2"/>
  <c r="H2642" i="2" s="1"/>
  <c r="M2642" i="2" s="1"/>
  <c r="P2642" i="2"/>
  <c r="V2642" i="2"/>
  <c r="W2642" i="2"/>
  <c r="H2643" i="2"/>
  <c r="M2643" i="2" s="1"/>
  <c r="P2643" i="2"/>
  <c r="T2643" i="2" s="1"/>
  <c r="V2643" i="2"/>
  <c r="W2643" i="2"/>
  <c r="H2644" i="2"/>
  <c r="M2644" i="2" s="1"/>
  <c r="P2644" i="2"/>
  <c r="V2644" i="2"/>
  <c r="W2644" i="2"/>
  <c r="E2645" i="2"/>
  <c r="F2645" i="2"/>
  <c r="H2645" i="2" s="1"/>
  <c r="P2645" i="2"/>
  <c r="U2645" i="2" s="1"/>
  <c r="H2646" i="2"/>
  <c r="P2646" i="2"/>
  <c r="U2646" i="2"/>
  <c r="H2647" i="2"/>
  <c r="X2647" i="2" s="1"/>
  <c r="Z2647" i="2" s="1"/>
  <c r="I2647" i="2"/>
  <c r="J2647" i="2"/>
  <c r="K2647" i="2"/>
  <c r="M2647" i="2"/>
  <c r="P2647" i="2"/>
  <c r="Q2647" i="2"/>
  <c r="R2647" i="2"/>
  <c r="U2647" i="2"/>
  <c r="H2648" i="2"/>
  <c r="M2648" i="2" s="1"/>
  <c r="P2648" i="2"/>
  <c r="U2648" i="2"/>
  <c r="H2649" i="2"/>
  <c r="P2649" i="2"/>
  <c r="U2649" i="2"/>
  <c r="H2650" i="2"/>
  <c r="M2650" i="2" s="1"/>
  <c r="AA2650" i="2" s="1"/>
  <c r="AB2650" i="2" s="1"/>
  <c r="P2650" i="2"/>
  <c r="X2650" i="2" s="1"/>
  <c r="Z2650" i="2" s="1"/>
  <c r="U2650" i="2"/>
  <c r="H2651" i="2"/>
  <c r="M2651" i="2" s="1"/>
  <c r="P2651" i="2"/>
  <c r="X2651" i="2" s="1"/>
  <c r="Z2651" i="2" s="1"/>
  <c r="U2651" i="2"/>
  <c r="AA2651" i="2" s="1"/>
  <c r="AB2651" i="2" s="1"/>
  <c r="H2652" i="2"/>
  <c r="M2652" i="2" s="1"/>
  <c r="P2652" i="2"/>
  <c r="H2653" i="2"/>
  <c r="M2653" i="2" s="1"/>
  <c r="P2653" i="2"/>
  <c r="U2653" i="2"/>
  <c r="H2654" i="2"/>
  <c r="M2654" i="2" s="1"/>
  <c r="P2654" i="2"/>
  <c r="H2655" i="2"/>
  <c r="M2655" i="2"/>
  <c r="P2655" i="2"/>
  <c r="U2655" i="2" s="1"/>
  <c r="X2655" i="2"/>
  <c r="Z2655" i="2" s="1"/>
  <c r="Y2655" i="2"/>
  <c r="H2656" i="2"/>
  <c r="X2656" i="2" s="1"/>
  <c r="Z2656" i="2" s="1"/>
  <c r="I2656" i="2"/>
  <c r="J2656" i="2"/>
  <c r="K2656" i="2"/>
  <c r="M2656" i="2"/>
  <c r="P2656" i="2"/>
  <c r="U2656" i="2" s="1"/>
  <c r="R2656" i="2"/>
  <c r="V2656" i="2"/>
  <c r="W2656" i="2"/>
  <c r="H2657" i="2"/>
  <c r="P2657" i="2"/>
  <c r="U2657" i="2" s="1"/>
  <c r="Y2657" i="2"/>
  <c r="H2658" i="2"/>
  <c r="M2658" i="2" s="1"/>
  <c r="P2658" i="2"/>
  <c r="Y2658" i="2"/>
  <c r="H2659" i="2"/>
  <c r="M2659" i="2" s="1"/>
  <c r="P2659" i="2"/>
  <c r="H2660" i="2"/>
  <c r="P2660" i="2"/>
  <c r="U2660" i="2" s="1"/>
  <c r="E2661" i="2"/>
  <c r="H2661" i="2"/>
  <c r="N2661" i="2"/>
  <c r="P2661" i="2" s="1"/>
  <c r="U2661" i="2" s="1"/>
  <c r="H2662" i="2"/>
  <c r="M2662" i="2" s="1"/>
  <c r="P2662" i="2"/>
  <c r="U2662" i="2" s="1"/>
  <c r="H2663" i="2"/>
  <c r="M2663" i="2" s="1"/>
  <c r="P2663" i="2"/>
  <c r="H2664" i="2"/>
  <c r="M2664" i="2" s="1"/>
  <c r="P2664" i="2"/>
  <c r="U2664" i="2" s="1"/>
  <c r="AA2664" i="2" s="1"/>
  <c r="AB2664" i="2" s="1"/>
  <c r="H2665" i="2"/>
  <c r="M2665" i="2"/>
  <c r="P2665" i="2"/>
  <c r="X2665" i="2" s="1"/>
  <c r="Z2665" i="2" s="1"/>
  <c r="H2666" i="2"/>
  <c r="M2666" i="2" s="1"/>
  <c r="P2666" i="2"/>
  <c r="H2667" i="2"/>
  <c r="M2667" i="2" s="1"/>
  <c r="P2667" i="2"/>
  <c r="U2667" i="2" s="1"/>
  <c r="H2668" i="2"/>
  <c r="P2668" i="2"/>
  <c r="U2668" i="2" s="1"/>
  <c r="H2669" i="2"/>
  <c r="M2669" i="2" s="1"/>
  <c r="AA2669" i="2" s="1"/>
  <c r="AB2669" i="2" s="1"/>
  <c r="P2669" i="2"/>
  <c r="U2669" i="2"/>
  <c r="H2670" i="2"/>
  <c r="M2670" i="2" s="1"/>
  <c r="P2670" i="2"/>
  <c r="E2671" i="2"/>
  <c r="F2671" i="2"/>
  <c r="H2671" i="2" s="1"/>
  <c r="N2671" i="2"/>
  <c r="P2671" i="2" s="1"/>
  <c r="U2671" i="2" s="1"/>
  <c r="F2672" i="2"/>
  <c r="P2672" i="2"/>
  <c r="U2672" i="2" s="1"/>
  <c r="H2673" i="2"/>
  <c r="M2673" i="2" s="1"/>
  <c r="AA2673" i="2" s="1"/>
  <c r="AB2673" i="2" s="1"/>
  <c r="P2673" i="2"/>
  <c r="U2673" i="2"/>
  <c r="H2674" i="2"/>
  <c r="M2674" i="2" s="1"/>
  <c r="P2674" i="2"/>
  <c r="E2675" i="2"/>
  <c r="F2675" i="2"/>
  <c r="H2675" i="2" s="1"/>
  <c r="P2675" i="2"/>
  <c r="U2675" i="2" s="1"/>
  <c r="H2676" i="2"/>
  <c r="M2676" i="2"/>
  <c r="P2676" i="2"/>
  <c r="U2676" i="2" s="1"/>
  <c r="H2677" i="2"/>
  <c r="X2677" i="2" s="1"/>
  <c r="M2677" i="2"/>
  <c r="P2677" i="2"/>
  <c r="U2677" i="2" s="1"/>
  <c r="Y2677" i="2"/>
  <c r="Z2677" i="2"/>
  <c r="H2678" i="2"/>
  <c r="M2678" i="2" s="1"/>
  <c r="P2678" i="2"/>
  <c r="H2679" i="2"/>
  <c r="P2679" i="2"/>
  <c r="U2679" i="2" s="1"/>
  <c r="Y2679" i="2"/>
  <c r="H2680" i="2"/>
  <c r="M2680" i="2" s="1"/>
  <c r="P2680" i="2"/>
  <c r="U2680" i="2" s="1"/>
  <c r="Y2680" i="2"/>
  <c r="H2681" i="2"/>
  <c r="M2681" i="2"/>
  <c r="P2681" i="2"/>
  <c r="Y2681" i="2"/>
  <c r="H2682" i="2"/>
  <c r="M2682" i="2" s="1"/>
  <c r="P2682" i="2"/>
  <c r="U2682" i="2" s="1"/>
  <c r="H2683" i="2"/>
  <c r="M2683" i="2" s="1"/>
  <c r="P2683" i="2"/>
  <c r="H2684" i="2"/>
  <c r="M2684" i="2"/>
  <c r="P2684" i="2"/>
  <c r="G2686" i="2"/>
  <c r="L2686" i="2"/>
  <c r="O2686" i="2"/>
  <c r="C2707" i="2"/>
  <c r="C2708" i="2"/>
  <c r="C2758" i="2" s="1"/>
  <c r="C2714" i="2"/>
  <c r="F2719" i="2"/>
  <c r="N2719" i="2" s="1"/>
  <c r="Y2724" i="2"/>
  <c r="Y2726" i="2"/>
  <c r="R2738" i="2"/>
  <c r="S2738" i="2"/>
  <c r="Y2738" i="2"/>
  <c r="Y2740" i="2"/>
  <c r="R2742" i="2"/>
  <c r="S2742" i="2"/>
  <c r="R2744" i="2"/>
  <c r="S2744" i="2"/>
  <c r="N7" i="4"/>
  <c r="E12" i="4"/>
  <c r="F12" i="4"/>
  <c r="G12" i="4"/>
  <c r="I12" i="4"/>
  <c r="J12" i="4"/>
  <c r="K12" i="4"/>
  <c r="L12" i="4"/>
  <c r="O12" i="4"/>
  <c r="Q12" i="4"/>
  <c r="R12" i="4"/>
  <c r="S12" i="4"/>
  <c r="T12" i="4"/>
  <c r="Y12" i="4"/>
  <c r="E13" i="4"/>
  <c r="F13" i="4"/>
  <c r="G13" i="4"/>
  <c r="I13" i="4"/>
  <c r="J13" i="4"/>
  <c r="K13" i="4"/>
  <c r="L13" i="4"/>
  <c r="N13" i="4"/>
  <c r="O13" i="4"/>
  <c r="Q13" i="4"/>
  <c r="R13" i="4"/>
  <c r="S13" i="4"/>
  <c r="T13" i="4"/>
  <c r="Y13" i="4"/>
  <c r="E14" i="4"/>
  <c r="F14" i="4"/>
  <c r="G14" i="4"/>
  <c r="I14" i="4"/>
  <c r="J14" i="4"/>
  <c r="K14" i="4"/>
  <c r="L14" i="4"/>
  <c r="O14" i="4"/>
  <c r="Q14" i="4"/>
  <c r="R14" i="4"/>
  <c r="S14" i="4"/>
  <c r="T14" i="4"/>
  <c r="Y14" i="4"/>
  <c r="E15" i="4"/>
  <c r="F15" i="4"/>
  <c r="G15" i="4"/>
  <c r="I15" i="4"/>
  <c r="J15" i="4"/>
  <c r="K15" i="4"/>
  <c r="L15" i="4"/>
  <c r="N15" i="4"/>
  <c r="O15" i="4"/>
  <c r="Q15" i="4"/>
  <c r="R15" i="4"/>
  <c r="S15" i="4"/>
  <c r="T15" i="4"/>
  <c r="Y15" i="4"/>
  <c r="E16" i="4"/>
  <c r="F16" i="4"/>
  <c r="G16" i="4"/>
  <c r="I16" i="4"/>
  <c r="J16" i="4"/>
  <c r="K16" i="4"/>
  <c r="L16" i="4"/>
  <c r="N16" i="4"/>
  <c r="O16" i="4"/>
  <c r="Q16" i="4"/>
  <c r="R16" i="4"/>
  <c r="S16" i="4"/>
  <c r="T16" i="4"/>
  <c r="Y16" i="4"/>
  <c r="E17" i="4"/>
  <c r="F17" i="4"/>
  <c r="G17" i="4"/>
  <c r="I17" i="4"/>
  <c r="J17" i="4"/>
  <c r="K17" i="4"/>
  <c r="L17" i="4"/>
  <c r="N17" i="4"/>
  <c r="O17" i="4"/>
  <c r="Q17" i="4"/>
  <c r="R17" i="4"/>
  <c r="S17" i="4"/>
  <c r="T17" i="4"/>
  <c r="Y17" i="4"/>
  <c r="E18" i="4"/>
  <c r="F18" i="4"/>
  <c r="G18" i="4"/>
  <c r="I18" i="4"/>
  <c r="J18" i="4"/>
  <c r="K18" i="4"/>
  <c r="L18" i="4"/>
  <c r="N18" i="4"/>
  <c r="O18" i="4"/>
  <c r="Q18" i="4"/>
  <c r="R18" i="4"/>
  <c r="S18" i="4"/>
  <c r="T18" i="4"/>
  <c r="Y18" i="4"/>
  <c r="E19" i="4"/>
  <c r="F19" i="4"/>
  <c r="G19" i="4"/>
  <c r="I19" i="4"/>
  <c r="J19" i="4"/>
  <c r="K19" i="4"/>
  <c r="L19" i="4"/>
  <c r="N19" i="4"/>
  <c r="O19" i="4"/>
  <c r="Q19" i="4"/>
  <c r="R19" i="4"/>
  <c r="S19" i="4"/>
  <c r="T19" i="4"/>
  <c r="Y19" i="4"/>
  <c r="E20" i="4"/>
  <c r="F20" i="4"/>
  <c r="G20" i="4"/>
  <c r="I20" i="4"/>
  <c r="J20" i="4"/>
  <c r="K20" i="4"/>
  <c r="L20" i="4"/>
  <c r="N20" i="4"/>
  <c r="O20" i="4"/>
  <c r="Q20" i="4"/>
  <c r="R20" i="4"/>
  <c r="S20" i="4"/>
  <c r="T20" i="4"/>
  <c r="Y20" i="4"/>
  <c r="P22" i="4"/>
  <c r="E26" i="4"/>
  <c r="F26" i="4"/>
  <c r="G26" i="4"/>
  <c r="I26" i="4"/>
  <c r="J26" i="4"/>
  <c r="K26" i="4"/>
  <c r="L26" i="4"/>
  <c r="O26" i="4"/>
  <c r="Q26" i="4"/>
  <c r="R26" i="4"/>
  <c r="S26" i="4"/>
  <c r="T26" i="4"/>
  <c r="Y26" i="4"/>
  <c r="E27" i="4"/>
  <c r="F27" i="4"/>
  <c r="G27" i="4"/>
  <c r="I27" i="4"/>
  <c r="J27" i="4"/>
  <c r="K27" i="4"/>
  <c r="L27" i="4"/>
  <c r="N27" i="4"/>
  <c r="O27" i="4"/>
  <c r="Q27" i="4"/>
  <c r="R27" i="4"/>
  <c r="S27" i="4"/>
  <c r="T27" i="4"/>
  <c r="Y27" i="4"/>
  <c r="E28" i="4"/>
  <c r="F28" i="4"/>
  <c r="G28" i="4"/>
  <c r="I28" i="4"/>
  <c r="J28" i="4"/>
  <c r="K28" i="4"/>
  <c r="L28" i="4"/>
  <c r="N28" i="4"/>
  <c r="O28" i="4"/>
  <c r="Q28" i="4"/>
  <c r="R28" i="4"/>
  <c r="S28" i="4"/>
  <c r="T28" i="4"/>
  <c r="Y28" i="4"/>
  <c r="E29" i="4"/>
  <c r="F29" i="4"/>
  <c r="G29" i="4"/>
  <c r="I29" i="4"/>
  <c r="J29" i="4"/>
  <c r="K29" i="4"/>
  <c r="L29" i="4"/>
  <c r="N29" i="4"/>
  <c r="O29" i="4"/>
  <c r="Q29" i="4"/>
  <c r="R29" i="4"/>
  <c r="S29" i="4"/>
  <c r="T29" i="4"/>
  <c r="Y29" i="4"/>
  <c r="E30" i="4"/>
  <c r="F30" i="4"/>
  <c r="G30" i="4"/>
  <c r="I30" i="4"/>
  <c r="J30" i="4"/>
  <c r="K30" i="4"/>
  <c r="L30" i="4"/>
  <c r="N30" i="4"/>
  <c r="O30" i="4"/>
  <c r="Q30" i="4"/>
  <c r="R30" i="4"/>
  <c r="S30" i="4"/>
  <c r="T30" i="4"/>
  <c r="Y30" i="4"/>
  <c r="E31" i="4"/>
  <c r="F31" i="4"/>
  <c r="G31" i="4"/>
  <c r="I31" i="4"/>
  <c r="J31" i="4"/>
  <c r="K31" i="4"/>
  <c r="L31" i="4"/>
  <c r="N31" i="4"/>
  <c r="O31" i="4"/>
  <c r="Q31" i="4"/>
  <c r="R31" i="4"/>
  <c r="S31" i="4"/>
  <c r="T31" i="4"/>
  <c r="Y31" i="4"/>
  <c r="E32" i="4"/>
  <c r="F32" i="4"/>
  <c r="G32" i="4"/>
  <c r="I32" i="4"/>
  <c r="J32" i="4"/>
  <c r="K32" i="4"/>
  <c r="L32" i="4"/>
  <c r="N32" i="4"/>
  <c r="O32" i="4"/>
  <c r="Q32" i="4"/>
  <c r="R32" i="4"/>
  <c r="S32" i="4"/>
  <c r="T32" i="4"/>
  <c r="Y32" i="4"/>
  <c r="E33" i="4"/>
  <c r="F33" i="4"/>
  <c r="G33" i="4"/>
  <c r="I33" i="4"/>
  <c r="J33" i="4"/>
  <c r="K33" i="4"/>
  <c r="L33" i="4"/>
  <c r="N33" i="4"/>
  <c r="O33" i="4"/>
  <c r="Q33" i="4"/>
  <c r="R33" i="4"/>
  <c r="S33" i="4"/>
  <c r="T33" i="4"/>
  <c r="Y33" i="4"/>
  <c r="E34" i="4"/>
  <c r="F34" i="4"/>
  <c r="G34" i="4"/>
  <c r="I34" i="4"/>
  <c r="J34" i="4"/>
  <c r="K34" i="4"/>
  <c r="L34" i="4"/>
  <c r="N34" i="4"/>
  <c r="O34" i="4"/>
  <c r="Q34" i="4"/>
  <c r="R34" i="4"/>
  <c r="S34" i="4"/>
  <c r="T34" i="4"/>
  <c r="Y34" i="4"/>
  <c r="E35" i="4"/>
  <c r="F35" i="4"/>
  <c r="G35" i="4"/>
  <c r="I35" i="4"/>
  <c r="J35" i="4"/>
  <c r="K35" i="4"/>
  <c r="L35" i="4"/>
  <c r="N35" i="4"/>
  <c r="O35" i="4"/>
  <c r="Q35" i="4"/>
  <c r="R35" i="4"/>
  <c r="S35" i="4"/>
  <c r="T35" i="4"/>
  <c r="Y35" i="4"/>
  <c r="E36" i="4"/>
  <c r="F36" i="4"/>
  <c r="G36" i="4"/>
  <c r="I36" i="4"/>
  <c r="J36" i="4"/>
  <c r="K36" i="4"/>
  <c r="L36" i="4"/>
  <c r="N36" i="4"/>
  <c r="O36" i="4"/>
  <c r="Q36" i="4"/>
  <c r="R36" i="4"/>
  <c r="S36" i="4"/>
  <c r="T36" i="4"/>
  <c r="Y36" i="4"/>
  <c r="E37" i="4"/>
  <c r="F37" i="4"/>
  <c r="G37" i="4"/>
  <c r="I37" i="4"/>
  <c r="J37" i="4"/>
  <c r="K37" i="4"/>
  <c r="L37" i="4"/>
  <c r="N37" i="4"/>
  <c r="O37" i="4"/>
  <c r="Q37" i="4"/>
  <c r="R37" i="4"/>
  <c r="S37" i="4"/>
  <c r="T37" i="4"/>
  <c r="Y37" i="4"/>
  <c r="E38" i="4"/>
  <c r="F38" i="4"/>
  <c r="G38" i="4"/>
  <c r="I38" i="4"/>
  <c r="J38" i="4"/>
  <c r="K38" i="4"/>
  <c r="L38" i="4"/>
  <c r="N38" i="4"/>
  <c r="O38" i="4"/>
  <c r="Q38" i="4"/>
  <c r="R38" i="4"/>
  <c r="S38" i="4"/>
  <c r="T38" i="4"/>
  <c r="Y38" i="4"/>
  <c r="F39" i="4"/>
  <c r="G39" i="4"/>
  <c r="I39" i="4"/>
  <c r="J39" i="4"/>
  <c r="K39" i="4"/>
  <c r="L39" i="4"/>
  <c r="N39" i="4"/>
  <c r="O39" i="4"/>
  <c r="Q39" i="4"/>
  <c r="R39" i="4"/>
  <c r="S39" i="4"/>
  <c r="T39" i="4"/>
  <c r="Y39" i="4"/>
  <c r="E40" i="4"/>
  <c r="F40" i="4"/>
  <c r="G40" i="4"/>
  <c r="I40" i="4"/>
  <c r="J40" i="4"/>
  <c r="K40" i="4"/>
  <c r="L40" i="4"/>
  <c r="N40" i="4"/>
  <c r="O40" i="4"/>
  <c r="Q40" i="4"/>
  <c r="R40" i="4"/>
  <c r="S40" i="4"/>
  <c r="T40" i="4"/>
  <c r="W40" i="4"/>
  <c r="Y40" i="4"/>
  <c r="E41" i="4"/>
  <c r="F41" i="4"/>
  <c r="G41" i="4"/>
  <c r="I41" i="4"/>
  <c r="J41" i="4"/>
  <c r="K41" i="4"/>
  <c r="L41" i="4"/>
  <c r="N41" i="4"/>
  <c r="O41" i="4"/>
  <c r="Q41" i="4"/>
  <c r="R41" i="4"/>
  <c r="S41" i="4"/>
  <c r="T41" i="4"/>
  <c r="W41" i="4"/>
  <c r="Y41" i="4"/>
  <c r="E42" i="4"/>
  <c r="F42" i="4"/>
  <c r="G42" i="4"/>
  <c r="I42" i="4"/>
  <c r="J42" i="4"/>
  <c r="K42" i="4"/>
  <c r="L42" i="4"/>
  <c r="N42" i="4"/>
  <c r="O42" i="4"/>
  <c r="Q42" i="4"/>
  <c r="R42" i="4"/>
  <c r="S42" i="4"/>
  <c r="T42" i="4"/>
  <c r="Y42" i="4"/>
  <c r="G43" i="4"/>
  <c r="I43" i="4"/>
  <c r="J43" i="4"/>
  <c r="K43" i="4"/>
  <c r="L43" i="4"/>
  <c r="N43" i="4"/>
  <c r="O43" i="4"/>
  <c r="Q43" i="4"/>
  <c r="R43" i="4"/>
  <c r="S43" i="4"/>
  <c r="T43" i="4"/>
  <c r="Y43" i="4"/>
  <c r="P45" i="4"/>
  <c r="X46" i="4"/>
  <c r="Z46" i="4" s="1"/>
  <c r="X47" i="4"/>
  <c r="Z47" i="4" s="1"/>
  <c r="X48" i="4"/>
  <c r="Z48" i="4" s="1"/>
  <c r="E49" i="4"/>
  <c r="F49" i="4"/>
  <c r="G49" i="4"/>
  <c r="I49" i="4"/>
  <c r="J49" i="4"/>
  <c r="K49" i="4"/>
  <c r="L49" i="4"/>
  <c r="N49" i="4"/>
  <c r="O49" i="4"/>
  <c r="Q49" i="4"/>
  <c r="R49" i="4"/>
  <c r="S49" i="4"/>
  <c r="T49" i="4"/>
  <c r="Y49" i="4"/>
  <c r="E50" i="4"/>
  <c r="F50" i="4"/>
  <c r="G50" i="4"/>
  <c r="I50" i="4"/>
  <c r="J50" i="4"/>
  <c r="K50" i="4"/>
  <c r="L50" i="4"/>
  <c r="N50" i="4"/>
  <c r="O50" i="4"/>
  <c r="Q50" i="4"/>
  <c r="R50" i="4"/>
  <c r="S50" i="4"/>
  <c r="T50" i="4"/>
  <c r="Y50" i="4"/>
  <c r="E51" i="4"/>
  <c r="F51" i="4"/>
  <c r="G51" i="4"/>
  <c r="I51" i="4"/>
  <c r="J51" i="4"/>
  <c r="K51" i="4"/>
  <c r="L51" i="4"/>
  <c r="N51" i="4"/>
  <c r="O51" i="4"/>
  <c r="Q51" i="4"/>
  <c r="R51" i="4"/>
  <c r="S51" i="4"/>
  <c r="T51" i="4"/>
  <c r="Y51" i="4"/>
  <c r="E52" i="4"/>
  <c r="F52" i="4"/>
  <c r="G52" i="4"/>
  <c r="H52" i="4"/>
  <c r="I52" i="4"/>
  <c r="J52" i="4"/>
  <c r="K52" i="4"/>
  <c r="L52" i="4"/>
  <c r="M52" i="4"/>
  <c r="N52" i="4"/>
  <c r="O52" i="4"/>
  <c r="P52" i="4"/>
  <c r="Q52" i="4"/>
  <c r="R52" i="4"/>
  <c r="S52" i="4"/>
  <c r="T52" i="4"/>
  <c r="U52" i="4"/>
  <c r="V52" i="4"/>
  <c r="W52" i="4"/>
  <c r="X52" i="4"/>
  <c r="Y52" i="4"/>
  <c r="E53" i="4"/>
  <c r="F53" i="4"/>
  <c r="G53" i="4"/>
  <c r="I53" i="4"/>
  <c r="J53" i="4"/>
  <c r="K53" i="4"/>
  <c r="L53" i="4"/>
  <c r="N53" i="4"/>
  <c r="O53" i="4"/>
  <c r="Q53" i="4"/>
  <c r="R53" i="4"/>
  <c r="S53" i="4"/>
  <c r="T53" i="4"/>
  <c r="Y53" i="4"/>
  <c r="E54" i="4"/>
  <c r="F54" i="4"/>
  <c r="G54" i="4"/>
  <c r="I54" i="4"/>
  <c r="J54" i="4"/>
  <c r="K54" i="4"/>
  <c r="L54" i="4"/>
  <c r="N54" i="4"/>
  <c r="O54" i="4"/>
  <c r="Q54" i="4"/>
  <c r="R54" i="4"/>
  <c r="S54" i="4"/>
  <c r="T54" i="4"/>
  <c r="Y54" i="4"/>
  <c r="E55" i="4"/>
  <c r="F55" i="4"/>
  <c r="G55" i="4"/>
  <c r="I55" i="4"/>
  <c r="J55" i="4"/>
  <c r="K55" i="4"/>
  <c r="L55" i="4"/>
  <c r="N55" i="4"/>
  <c r="O55" i="4"/>
  <c r="Q55" i="4"/>
  <c r="R55" i="4"/>
  <c r="S55" i="4"/>
  <c r="T55" i="4"/>
  <c r="Y55" i="4"/>
  <c r="E56" i="4"/>
  <c r="F56" i="4"/>
  <c r="G56" i="4"/>
  <c r="I56" i="4"/>
  <c r="J56" i="4"/>
  <c r="K56" i="4"/>
  <c r="L56" i="4"/>
  <c r="N56" i="4"/>
  <c r="O56" i="4"/>
  <c r="Q56" i="4"/>
  <c r="R56" i="4"/>
  <c r="S56" i="4"/>
  <c r="T56" i="4"/>
  <c r="Y56" i="4"/>
  <c r="E57" i="4"/>
  <c r="F57" i="4"/>
  <c r="G57" i="4"/>
  <c r="I57" i="4"/>
  <c r="J57" i="4"/>
  <c r="K57" i="4"/>
  <c r="L57" i="4"/>
  <c r="N57" i="4"/>
  <c r="O57" i="4"/>
  <c r="Q57" i="4"/>
  <c r="R57" i="4"/>
  <c r="S57" i="4"/>
  <c r="T57" i="4"/>
  <c r="Y57" i="4"/>
  <c r="E58" i="4"/>
  <c r="F58" i="4"/>
  <c r="G58" i="4"/>
  <c r="I58" i="4"/>
  <c r="J58" i="4"/>
  <c r="K58" i="4"/>
  <c r="L58" i="4"/>
  <c r="N58" i="4"/>
  <c r="O58" i="4"/>
  <c r="Q58" i="4"/>
  <c r="R58" i="4"/>
  <c r="S58" i="4"/>
  <c r="T58" i="4"/>
  <c r="Y58" i="4"/>
  <c r="E59" i="4"/>
  <c r="F59" i="4"/>
  <c r="G59" i="4"/>
  <c r="I59" i="4"/>
  <c r="J59" i="4"/>
  <c r="K59" i="4"/>
  <c r="L59" i="4"/>
  <c r="N59" i="4"/>
  <c r="O59" i="4"/>
  <c r="Q59" i="4"/>
  <c r="R59" i="4"/>
  <c r="S59" i="4"/>
  <c r="T59" i="4"/>
  <c r="Y59" i="4"/>
  <c r="E60" i="4"/>
  <c r="F60" i="4"/>
  <c r="G60" i="4"/>
  <c r="I60" i="4"/>
  <c r="J60" i="4"/>
  <c r="K60" i="4"/>
  <c r="L60" i="4"/>
  <c r="N60" i="4"/>
  <c r="O60" i="4"/>
  <c r="Q60" i="4"/>
  <c r="R60" i="4"/>
  <c r="S60" i="4"/>
  <c r="T60" i="4"/>
  <c r="Y60" i="4"/>
  <c r="E61" i="4"/>
  <c r="F61" i="4"/>
  <c r="G61" i="4"/>
  <c r="I61" i="4"/>
  <c r="J61" i="4"/>
  <c r="K61" i="4"/>
  <c r="L61" i="4"/>
  <c r="N61" i="4"/>
  <c r="O61" i="4"/>
  <c r="Q61" i="4"/>
  <c r="R61" i="4"/>
  <c r="S61" i="4"/>
  <c r="T61" i="4"/>
  <c r="Y61" i="4"/>
  <c r="E62" i="4"/>
  <c r="F62" i="4"/>
  <c r="G62" i="4"/>
  <c r="I62" i="4"/>
  <c r="J62" i="4"/>
  <c r="K62" i="4"/>
  <c r="L62" i="4"/>
  <c r="N62" i="4"/>
  <c r="O62" i="4"/>
  <c r="Q62" i="4"/>
  <c r="R62" i="4"/>
  <c r="S62" i="4"/>
  <c r="T62" i="4"/>
  <c r="Y62" i="4"/>
  <c r="E63" i="4"/>
  <c r="F63" i="4"/>
  <c r="G63" i="4"/>
  <c r="I63" i="4"/>
  <c r="J63" i="4"/>
  <c r="K63" i="4"/>
  <c r="L63" i="4"/>
  <c r="N63" i="4"/>
  <c r="O63" i="4"/>
  <c r="Q63" i="4"/>
  <c r="R63" i="4"/>
  <c r="S63" i="4"/>
  <c r="T63" i="4"/>
  <c r="Y63" i="4"/>
  <c r="E64" i="4"/>
  <c r="F64" i="4"/>
  <c r="G64" i="4"/>
  <c r="I64" i="4"/>
  <c r="J64" i="4"/>
  <c r="K64" i="4"/>
  <c r="L64" i="4"/>
  <c r="N64" i="4"/>
  <c r="O64" i="4"/>
  <c r="Q64" i="4"/>
  <c r="R64" i="4"/>
  <c r="S64" i="4"/>
  <c r="T64" i="4"/>
  <c r="Y64" i="4"/>
  <c r="G65" i="4"/>
  <c r="I65" i="4"/>
  <c r="J65" i="4"/>
  <c r="K65" i="4"/>
  <c r="L65" i="4"/>
  <c r="N65" i="4"/>
  <c r="O65" i="4"/>
  <c r="Q65" i="4"/>
  <c r="R65" i="4"/>
  <c r="S65" i="4"/>
  <c r="T65" i="4"/>
  <c r="Y65" i="4"/>
  <c r="E66" i="4"/>
  <c r="F66" i="4"/>
  <c r="G66" i="4"/>
  <c r="I66" i="4"/>
  <c r="J66" i="4"/>
  <c r="K66" i="4"/>
  <c r="L66" i="4"/>
  <c r="N66" i="4"/>
  <c r="O66" i="4"/>
  <c r="Q66" i="4"/>
  <c r="R66" i="4"/>
  <c r="S66" i="4"/>
  <c r="T66" i="4"/>
  <c r="Y66" i="4"/>
  <c r="X67" i="4"/>
  <c r="Z67" i="4" s="1"/>
  <c r="P68" i="4"/>
  <c r="X68" i="4" s="1"/>
  <c r="X69" i="4"/>
  <c r="Z69" i="4" s="1"/>
  <c r="X70" i="4"/>
  <c r="Z70" i="4" s="1"/>
  <c r="E71" i="4"/>
  <c r="F71" i="4"/>
  <c r="G71" i="4"/>
  <c r="I71" i="4"/>
  <c r="J71" i="4"/>
  <c r="K71" i="4"/>
  <c r="L71" i="4"/>
  <c r="N71" i="4"/>
  <c r="O71" i="4"/>
  <c r="Q71" i="4"/>
  <c r="R71" i="4"/>
  <c r="S71" i="4"/>
  <c r="T71" i="4"/>
  <c r="Y71" i="4"/>
  <c r="E72" i="4"/>
  <c r="F72" i="4"/>
  <c r="G72" i="4"/>
  <c r="I72" i="4"/>
  <c r="J72" i="4"/>
  <c r="K72" i="4"/>
  <c r="L72" i="4"/>
  <c r="N72" i="4"/>
  <c r="O72" i="4"/>
  <c r="Q72" i="4"/>
  <c r="R72" i="4"/>
  <c r="S72" i="4"/>
  <c r="T72" i="4"/>
  <c r="Y72" i="4"/>
  <c r="E73" i="4"/>
  <c r="F73" i="4"/>
  <c r="G73" i="4"/>
  <c r="I73" i="4"/>
  <c r="J73" i="4"/>
  <c r="K73" i="4"/>
  <c r="L73" i="4"/>
  <c r="N73" i="4"/>
  <c r="O73" i="4"/>
  <c r="Q73" i="4"/>
  <c r="R73" i="4"/>
  <c r="S73" i="4"/>
  <c r="T73" i="4"/>
  <c r="Y73" i="4"/>
  <c r="E74" i="4"/>
  <c r="F74" i="4"/>
  <c r="G74" i="4"/>
  <c r="H74" i="4"/>
  <c r="I74" i="4"/>
  <c r="J74" i="4"/>
  <c r="K74" i="4"/>
  <c r="L74" i="4"/>
  <c r="M74" i="4"/>
  <c r="N74" i="4"/>
  <c r="O74" i="4"/>
  <c r="P74" i="4"/>
  <c r="Q74" i="4"/>
  <c r="R74" i="4"/>
  <c r="S74" i="4"/>
  <c r="T74" i="4"/>
  <c r="U74" i="4"/>
  <c r="V74" i="4"/>
  <c r="W74" i="4"/>
  <c r="X74" i="4"/>
  <c r="Y74" i="4"/>
  <c r="E75" i="4"/>
  <c r="F75" i="4"/>
  <c r="G75" i="4"/>
  <c r="I75" i="4"/>
  <c r="J75" i="4"/>
  <c r="K75" i="4"/>
  <c r="L75" i="4"/>
  <c r="N75" i="4"/>
  <c r="O75" i="4"/>
  <c r="Q75" i="4"/>
  <c r="R75" i="4"/>
  <c r="S75" i="4"/>
  <c r="T75" i="4"/>
  <c r="Y75" i="4"/>
  <c r="E76" i="4"/>
  <c r="F76" i="4"/>
  <c r="G76" i="4"/>
  <c r="I76" i="4"/>
  <c r="J76" i="4"/>
  <c r="K76" i="4"/>
  <c r="L76" i="4"/>
  <c r="N76" i="4"/>
  <c r="O76" i="4"/>
  <c r="Q76" i="4"/>
  <c r="R76" i="4"/>
  <c r="S76" i="4"/>
  <c r="T76" i="4"/>
  <c r="Y76" i="4"/>
  <c r="E77" i="4"/>
  <c r="F77" i="4"/>
  <c r="G77" i="4"/>
  <c r="I77" i="4"/>
  <c r="J77" i="4"/>
  <c r="K77" i="4"/>
  <c r="L77" i="4"/>
  <c r="N77" i="4"/>
  <c r="O77" i="4"/>
  <c r="Q77" i="4"/>
  <c r="R77" i="4"/>
  <c r="S77" i="4"/>
  <c r="T77" i="4"/>
  <c r="Y77" i="4"/>
  <c r="F78" i="4"/>
  <c r="G78" i="4"/>
  <c r="I78" i="4"/>
  <c r="J78" i="4"/>
  <c r="K78" i="4"/>
  <c r="L78" i="4"/>
  <c r="N78" i="4"/>
  <c r="O78" i="4"/>
  <c r="Q78" i="4"/>
  <c r="R78" i="4"/>
  <c r="S78" i="4"/>
  <c r="T78" i="4"/>
  <c r="Y78" i="4"/>
  <c r="F79" i="4"/>
  <c r="G79" i="4"/>
  <c r="I79" i="4"/>
  <c r="J79" i="4"/>
  <c r="K79" i="4"/>
  <c r="L79" i="4"/>
  <c r="N79" i="4"/>
  <c r="O79" i="4"/>
  <c r="Q79" i="4"/>
  <c r="R79" i="4"/>
  <c r="S79" i="4"/>
  <c r="T79" i="4"/>
  <c r="Y79" i="4"/>
  <c r="E80" i="4"/>
  <c r="F80" i="4"/>
  <c r="G80" i="4"/>
  <c r="I80" i="4"/>
  <c r="J80" i="4"/>
  <c r="K80" i="4"/>
  <c r="L80" i="4"/>
  <c r="N80" i="4"/>
  <c r="O80" i="4"/>
  <c r="Q80" i="4"/>
  <c r="R80" i="4"/>
  <c r="S80" i="4"/>
  <c r="T80" i="4"/>
  <c r="Y80" i="4"/>
  <c r="E81" i="4"/>
  <c r="F81" i="4"/>
  <c r="G81" i="4"/>
  <c r="I81" i="4"/>
  <c r="J81" i="4"/>
  <c r="K81" i="4"/>
  <c r="L81" i="4"/>
  <c r="N81" i="4"/>
  <c r="O81" i="4"/>
  <c r="Q81" i="4"/>
  <c r="R81" i="4"/>
  <c r="S81" i="4"/>
  <c r="T81" i="4"/>
  <c r="Y81" i="4"/>
  <c r="E82" i="4"/>
  <c r="F82" i="4"/>
  <c r="G82" i="4"/>
  <c r="I82" i="4"/>
  <c r="J82" i="4"/>
  <c r="K82" i="4"/>
  <c r="L82" i="4"/>
  <c r="N82" i="4"/>
  <c r="O82" i="4"/>
  <c r="Q82" i="4"/>
  <c r="R82" i="4"/>
  <c r="S82" i="4"/>
  <c r="T82" i="4"/>
  <c r="Y82" i="4"/>
  <c r="E83" i="4"/>
  <c r="F83" i="4"/>
  <c r="G83" i="4"/>
  <c r="I83" i="4"/>
  <c r="J83" i="4"/>
  <c r="K83" i="4"/>
  <c r="L83" i="4"/>
  <c r="N83" i="4"/>
  <c r="O83" i="4"/>
  <c r="Q83" i="4"/>
  <c r="R83" i="4"/>
  <c r="S83" i="4"/>
  <c r="T83" i="4"/>
  <c r="Y83" i="4"/>
  <c r="E84" i="4"/>
  <c r="F84" i="4"/>
  <c r="G84" i="4"/>
  <c r="I84" i="4"/>
  <c r="J84" i="4"/>
  <c r="K84" i="4"/>
  <c r="L84" i="4"/>
  <c r="N84" i="4"/>
  <c r="O84" i="4"/>
  <c r="Q84" i="4"/>
  <c r="R84" i="4"/>
  <c r="S84" i="4"/>
  <c r="T84" i="4"/>
  <c r="Y84" i="4"/>
  <c r="E85" i="4"/>
  <c r="F85" i="4"/>
  <c r="G85" i="4"/>
  <c r="I85" i="4"/>
  <c r="J85" i="4"/>
  <c r="K85" i="4"/>
  <c r="L85" i="4"/>
  <c r="N85" i="4"/>
  <c r="O85" i="4"/>
  <c r="Q85" i="4"/>
  <c r="R85" i="4"/>
  <c r="S85" i="4"/>
  <c r="T85" i="4"/>
  <c r="Y85" i="4"/>
  <c r="E86" i="4"/>
  <c r="F86" i="4"/>
  <c r="G86" i="4"/>
  <c r="I86" i="4"/>
  <c r="J86" i="4"/>
  <c r="K86" i="4"/>
  <c r="L86" i="4"/>
  <c r="N86" i="4"/>
  <c r="O86" i="4"/>
  <c r="Q86" i="4"/>
  <c r="R86" i="4"/>
  <c r="S86" i="4"/>
  <c r="T86" i="4"/>
  <c r="Y86" i="4"/>
  <c r="E87" i="4"/>
  <c r="F87" i="4"/>
  <c r="G87" i="4"/>
  <c r="I87" i="4"/>
  <c r="J87" i="4"/>
  <c r="K87" i="4"/>
  <c r="L87" i="4"/>
  <c r="N87" i="4"/>
  <c r="O87" i="4"/>
  <c r="Q87" i="4"/>
  <c r="R87" i="4"/>
  <c r="S87" i="4"/>
  <c r="T87" i="4"/>
  <c r="Y87" i="4"/>
  <c r="E88" i="4"/>
  <c r="F88" i="4"/>
  <c r="G88" i="4"/>
  <c r="I88" i="4"/>
  <c r="J88" i="4"/>
  <c r="K88" i="4"/>
  <c r="L88" i="4"/>
  <c r="N88" i="4"/>
  <c r="O88" i="4"/>
  <c r="Q88" i="4"/>
  <c r="R88" i="4"/>
  <c r="S88" i="4"/>
  <c r="T88" i="4"/>
  <c r="Y88" i="4"/>
  <c r="E89" i="4"/>
  <c r="F89" i="4"/>
  <c r="G89" i="4"/>
  <c r="I89" i="4"/>
  <c r="J89" i="4"/>
  <c r="K89" i="4"/>
  <c r="L89" i="4"/>
  <c r="N89" i="4"/>
  <c r="O89" i="4"/>
  <c r="Q89" i="4"/>
  <c r="R89" i="4"/>
  <c r="S89" i="4"/>
  <c r="T89" i="4"/>
  <c r="Y89" i="4"/>
  <c r="F90" i="4"/>
  <c r="G90" i="4"/>
  <c r="I90" i="4"/>
  <c r="J90" i="4"/>
  <c r="K90" i="4"/>
  <c r="L90" i="4"/>
  <c r="N90" i="4"/>
  <c r="O90" i="4"/>
  <c r="Q90" i="4"/>
  <c r="R90" i="4"/>
  <c r="S90" i="4"/>
  <c r="T90" i="4"/>
  <c r="Y90" i="4"/>
  <c r="X91" i="4"/>
  <c r="Z91" i="4" s="1"/>
  <c r="P92" i="4"/>
  <c r="X93" i="4"/>
  <c r="Z93" i="4" s="1"/>
  <c r="X94" i="4"/>
  <c r="Z94" i="4" s="1"/>
  <c r="E95" i="4"/>
  <c r="F95" i="4"/>
  <c r="G95" i="4"/>
  <c r="I95" i="4"/>
  <c r="J95" i="4"/>
  <c r="K95" i="4"/>
  <c r="L95" i="4"/>
  <c r="N95" i="4"/>
  <c r="O95" i="4"/>
  <c r="Q95" i="4"/>
  <c r="R95" i="4"/>
  <c r="S95" i="4"/>
  <c r="T95" i="4"/>
  <c r="Y95" i="4"/>
  <c r="E96" i="4"/>
  <c r="F96" i="4"/>
  <c r="G96" i="4"/>
  <c r="I96" i="4"/>
  <c r="J96" i="4"/>
  <c r="K96" i="4"/>
  <c r="L96" i="4"/>
  <c r="N96" i="4"/>
  <c r="O96" i="4"/>
  <c r="Q96" i="4"/>
  <c r="R96" i="4"/>
  <c r="S96" i="4"/>
  <c r="T96" i="4"/>
  <c r="Y96" i="4"/>
  <c r="E97" i="4"/>
  <c r="F97" i="4"/>
  <c r="G97" i="4"/>
  <c r="I97" i="4"/>
  <c r="J97" i="4"/>
  <c r="K97" i="4"/>
  <c r="L97" i="4"/>
  <c r="N97" i="4"/>
  <c r="O97" i="4"/>
  <c r="Q97" i="4"/>
  <c r="R97" i="4"/>
  <c r="S97" i="4"/>
  <c r="T97" i="4"/>
  <c r="Y97" i="4"/>
  <c r="E98" i="4"/>
  <c r="F98" i="4"/>
  <c r="G98" i="4"/>
  <c r="I98" i="4"/>
  <c r="J98" i="4"/>
  <c r="K98" i="4"/>
  <c r="L98" i="4"/>
  <c r="N98" i="4"/>
  <c r="O98" i="4"/>
  <c r="Q98" i="4"/>
  <c r="R98" i="4"/>
  <c r="S98" i="4"/>
  <c r="T98" i="4"/>
  <c r="Y98" i="4"/>
  <c r="E99" i="4"/>
  <c r="F99" i="4"/>
  <c r="G99" i="4"/>
  <c r="I99" i="4"/>
  <c r="J99" i="4"/>
  <c r="K99" i="4"/>
  <c r="L99" i="4"/>
  <c r="N99" i="4"/>
  <c r="O99" i="4"/>
  <c r="Q99" i="4"/>
  <c r="R99" i="4"/>
  <c r="S99" i="4"/>
  <c r="T99" i="4"/>
  <c r="Y99" i="4"/>
  <c r="E100" i="4"/>
  <c r="F100" i="4"/>
  <c r="G100" i="4"/>
  <c r="I100" i="4"/>
  <c r="J100" i="4"/>
  <c r="K100" i="4"/>
  <c r="L100" i="4"/>
  <c r="N100" i="4"/>
  <c r="O100" i="4"/>
  <c r="Q100" i="4"/>
  <c r="R100" i="4"/>
  <c r="S100" i="4"/>
  <c r="T100" i="4"/>
  <c r="Y100" i="4"/>
  <c r="E101" i="4"/>
  <c r="F101" i="4"/>
  <c r="G101" i="4"/>
  <c r="I101" i="4"/>
  <c r="J101" i="4"/>
  <c r="K101" i="4"/>
  <c r="L101" i="4"/>
  <c r="N101" i="4"/>
  <c r="O101" i="4"/>
  <c r="Q101" i="4"/>
  <c r="R101" i="4"/>
  <c r="S101" i="4"/>
  <c r="T101" i="4"/>
  <c r="Y101" i="4"/>
  <c r="E102" i="4"/>
  <c r="F102" i="4"/>
  <c r="G102" i="4"/>
  <c r="I102" i="4"/>
  <c r="J102" i="4"/>
  <c r="K102" i="4"/>
  <c r="L102" i="4"/>
  <c r="N102" i="4"/>
  <c r="O102" i="4"/>
  <c r="Q102" i="4"/>
  <c r="R102" i="4"/>
  <c r="S102" i="4"/>
  <c r="T102" i="4"/>
  <c r="Y102" i="4"/>
  <c r="E103" i="4"/>
  <c r="F103" i="4"/>
  <c r="G103" i="4"/>
  <c r="I103" i="4"/>
  <c r="J103" i="4"/>
  <c r="K103" i="4"/>
  <c r="L103" i="4"/>
  <c r="N103" i="4"/>
  <c r="O103" i="4"/>
  <c r="Q103" i="4"/>
  <c r="R103" i="4"/>
  <c r="S103" i="4"/>
  <c r="T103" i="4"/>
  <c r="V103" i="4"/>
  <c r="W103" i="4"/>
  <c r="Y103" i="4"/>
  <c r="E104" i="4"/>
  <c r="F104" i="4"/>
  <c r="G104" i="4"/>
  <c r="I104" i="4"/>
  <c r="J104" i="4"/>
  <c r="K104" i="4"/>
  <c r="L104" i="4"/>
  <c r="N104" i="4"/>
  <c r="O104" i="4"/>
  <c r="Q104" i="4"/>
  <c r="R104" i="4"/>
  <c r="S104" i="4"/>
  <c r="T104" i="4"/>
  <c r="V104" i="4"/>
  <c r="W104" i="4"/>
  <c r="Y104" i="4"/>
  <c r="E105" i="4"/>
  <c r="F105" i="4"/>
  <c r="G105" i="4"/>
  <c r="I105" i="4"/>
  <c r="J105" i="4"/>
  <c r="K105" i="4"/>
  <c r="L105" i="4"/>
  <c r="N105" i="4"/>
  <c r="O105" i="4"/>
  <c r="Q105" i="4"/>
  <c r="R105" i="4"/>
  <c r="S105" i="4"/>
  <c r="T105" i="4"/>
  <c r="Y105" i="4"/>
  <c r="X106" i="4"/>
  <c r="Z106" i="4" s="1"/>
  <c r="P107" i="4"/>
  <c r="X108" i="4"/>
  <c r="Z108" i="4" s="1"/>
  <c r="X109" i="4"/>
  <c r="Z109" i="4" s="1"/>
  <c r="E110" i="4"/>
  <c r="F110" i="4"/>
  <c r="G110" i="4"/>
  <c r="I110" i="4"/>
  <c r="J110" i="4"/>
  <c r="K110" i="4"/>
  <c r="L110" i="4"/>
  <c r="N110" i="4"/>
  <c r="O110" i="4"/>
  <c r="Q110" i="4"/>
  <c r="R110" i="4"/>
  <c r="S110" i="4"/>
  <c r="T110" i="4"/>
  <c r="Y110" i="4"/>
  <c r="E111" i="4"/>
  <c r="F111" i="4"/>
  <c r="G111" i="4"/>
  <c r="I111" i="4"/>
  <c r="J111" i="4"/>
  <c r="K111" i="4"/>
  <c r="L111" i="4"/>
  <c r="N111" i="4"/>
  <c r="O111" i="4"/>
  <c r="Q111" i="4"/>
  <c r="R111" i="4"/>
  <c r="S111" i="4"/>
  <c r="T111" i="4"/>
  <c r="Y111" i="4"/>
  <c r="E112" i="4"/>
  <c r="F112" i="4"/>
  <c r="G112" i="4"/>
  <c r="I112" i="4"/>
  <c r="J112" i="4"/>
  <c r="K112" i="4"/>
  <c r="L112" i="4"/>
  <c r="O112" i="4"/>
  <c r="Q112" i="4"/>
  <c r="R112" i="4"/>
  <c r="S112" i="4"/>
  <c r="T112" i="4"/>
  <c r="Y112" i="4"/>
  <c r="E113" i="4"/>
  <c r="F113" i="4"/>
  <c r="G113" i="4"/>
  <c r="H113" i="4"/>
  <c r="I113" i="4"/>
  <c r="J113" i="4"/>
  <c r="K113" i="4"/>
  <c r="L113" i="4"/>
  <c r="M113" i="4"/>
  <c r="N113" i="4"/>
  <c r="O113" i="4"/>
  <c r="P113" i="4"/>
  <c r="Q113" i="4"/>
  <c r="R113" i="4"/>
  <c r="S113" i="4"/>
  <c r="T113" i="4"/>
  <c r="U113" i="4"/>
  <c r="V113" i="4"/>
  <c r="W113" i="4"/>
  <c r="X113" i="4"/>
  <c r="Y113" i="4"/>
  <c r="E114" i="4"/>
  <c r="F114" i="4"/>
  <c r="G114" i="4"/>
  <c r="I114" i="4"/>
  <c r="J114" i="4"/>
  <c r="K114" i="4"/>
  <c r="L114" i="4"/>
  <c r="O114" i="4"/>
  <c r="Q114" i="4"/>
  <c r="R114" i="4"/>
  <c r="S114" i="4"/>
  <c r="T114" i="4"/>
  <c r="Y114" i="4"/>
  <c r="F115" i="4"/>
  <c r="G115" i="4"/>
  <c r="I115" i="4"/>
  <c r="J115" i="4"/>
  <c r="K115" i="4"/>
  <c r="L115" i="4"/>
  <c r="N115" i="4"/>
  <c r="O115" i="4"/>
  <c r="Q115" i="4"/>
  <c r="R115" i="4"/>
  <c r="S115" i="4"/>
  <c r="T115" i="4"/>
  <c r="Y115" i="4"/>
  <c r="E116" i="4"/>
  <c r="F116" i="4"/>
  <c r="G116" i="4"/>
  <c r="I116" i="4"/>
  <c r="J116" i="4"/>
  <c r="K116" i="4"/>
  <c r="L116" i="4"/>
  <c r="N116" i="4"/>
  <c r="O116" i="4"/>
  <c r="Q116" i="4"/>
  <c r="R116" i="4"/>
  <c r="S116" i="4"/>
  <c r="T116" i="4"/>
  <c r="Y116" i="4"/>
  <c r="E117" i="4"/>
  <c r="F117" i="4"/>
  <c r="G117" i="4"/>
  <c r="I117" i="4"/>
  <c r="J117" i="4"/>
  <c r="K117" i="4"/>
  <c r="L117" i="4"/>
  <c r="N117" i="4"/>
  <c r="O117" i="4"/>
  <c r="Q117" i="4"/>
  <c r="R117" i="4"/>
  <c r="S117" i="4"/>
  <c r="T117" i="4"/>
  <c r="Y117" i="4"/>
  <c r="E118" i="4"/>
  <c r="F118" i="4"/>
  <c r="G118" i="4"/>
  <c r="I118" i="4"/>
  <c r="J118" i="4"/>
  <c r="K118" i="4"/>
  <c r="L118" i="4"/>
  <c r="N118" i="4"/>
  <c r="O118" i="4"/>
  <c r="Q118" i="4"/>
  <c r="R118" i="4"/>
  <c r="S118" i="4"/>
  <c r="T118" i="4"/>
  <c r="Y118" i="4"/>
  <c r="F119" i="4"/>
  <c r="G119" i="4"/>
  <c r="I119" i="4"/>
  <c r="J119" i="4"/>
  <c r="K119" i="4"/>
  <c r="L119" i="4"/>
  <c r="N119" i="4"/>
  <c r="O119" i="4"/>
  <c r="Q119" i="4"/>
  <c r="R119" i="4"/>
  <c r="S119" i="4"/>
  <c r="T119" i="4"/>
  <c r="Y119" i="4"/>
  <c r="E120" i="4"/>
  <c r="F120" i="4"/>
  <c r="G120" i="4"/>
  <c r="I120" i="4"/>
  <c r="J120" i="4"/>
  <c r="K120" i="4"/>
  <c r="L120" i="4"/>
  <c r="N120" i="4"/>
  <c r="O120" i="4"/>
  <c r="Q120" i="4"/>
  <c r="R120" i="4"/>
  <c r="S120" i="4"/>
  <c r="T120" i="4"/>
  <c r="Y120" i="4"/>
  <c r="E121" i="4"/>
  <c r="F121" i="4"/>
  <c r="G121" i="4"/>
  <c r="I121" i="4"/>
  <c r="J121" i="4"/>
  <c r="K121" i="4"/>
  <c r="L121" i="4"/>
  <c r="N121" i="4"/>
  <c r="O121" i="4"/>
  <c r="Q121" i="4"/>
  <c r="R121" i="4"/>
  <c r="S121" i="4"/>
  <c r="T121" i="4"/>
  <c r="Y121" i="4"/>
  <c r="E122" i="4"/>
  <c r="F122" i="4"/>
  <c r="G122" i="4"/>
  <c r="I122" i="4"/>
  <c r="J122" i="4"/>
  <c r="K122" i="4"/>
  <c r="L122" i="4"/>
  <c r="N122" i="4"/>
  <c r="O122" i="4"/>
  <c r="Q122" i="4"/>
  <c r="R122" i="4"/>
  <c r="S122" i="4"/>
  <c r="T122" i="4"/>
  <c r="Y122" i="4"/>
  <c r="E123" i="4"/>
  <c r="F123" i="4"/>
  <c r="G123" i="4"/>
  <c r="I123" i="4"/>
  <c r="J123" i="4"/>
  <c r="K123" i="4"/>
  <c r="L123" i="4"/>
  <c r="N123" i="4"/>
  <c r="O123" i="4"/>
  <c r="Q123" i="4"/>
  <c r="R123" i="4"/>
  <c r="S123" i="4"/>
  <c r="T123" i="4"/>
  <c r="Y123" i="4"/>
  <c r="E124" i="4"/>
  <c r="F124" i="4"/>
  <c r="G124" i="4"/>
  <c r="I124" i="4"/>
  <c r="J124" i="4"/>
  <c r="K124" i="4"/>
  <c r="L124" i="4"/>
  <c r="N124" i="4"/>
  <c r="O124" i="4"/>
  <c r="Q124" i="4"/>
  <c r="R124" i="4"/>
  <c r="S124" i="4"/>
  <c r="T124" i="4"/>
  <c r="Y124" i="4"/>
  <c r="E125" i="4"/>
  <c r="F125" i="4"/>
  <c r="G125" i="4"/>
  <c r="I125" i="4"/>
  <c r="J125" i="4"/>
  <c r="K125" i="4"/>
  <c r="L125" i="4"/>
  <c r="N125" i="4"/>
  <c r="O125" i="4"/>
  <c r="Q125" i="4"/>
  <c r="R125" i="4"/>
  <c r="S125" i="4"/>
  <c r="T125" i="4"/>
  <c r="V125" i="4"/>
  <c r="W125" i="4"/>
  <c r="Y125" i="4"/>
  <c r="E126" i="4"/>
  <c r="F126" i="4"/>
  <c r="G126" i="4"/>
  <c r="I126" i="4"/>
  <c r="J126" i="4"/>
  <c r="K126" i="4"/>
  <c r="L126" i="4"/>
  <c r="N126" i="4"/>
  <c r="O126" i="4"/>
  <c r="Q126" i="4"/>
  <c r="R126" i="4"/>
  <c r="S126" i="4"/>
  <c r="T126" i="4"/>
  <c r="V126" i="4"/>
  <c r="W126" i="4"/>
  <c r="Y126" i="4"/>
  <c r="E127" i="4"/>
  <c r="F127" i="4"/>
  <c r="G127" i="4"/>
  <c r="I127" i="4"/>
  <c r="J127" i="4"/>
  <c r="K127" i="4"/>
  <c r="L127" i="4"/>
  <c r="N127" i="4"/>
  <c r="O127" i="4"/>
  <c r="Q127" i="4"/>
  <c r="R127" i="4"/>
  <c r="S127" i="4"/>
  <c r="T127" i="4"/>
  <c r="V127" i="4"/>
  <c r="W127" i="4"/>
  <c r="Y127" i="4"/>
  <c r="E128" i="4"/>
  <c r="F128" i="4"/>
  <c r="G128" i="4"/>
  <c r="I128" i="4"/>
  <c r="J128" i="4"/>
  <c r="K128" i="4"/>
  <c r="L128" i="4"/>
  <c r="N128" i="4"/>
  <c r="O128" i="4"/>
  <c r="Q128" i="4"/>
  <c r="R128" i="4"/>
  <c r="S128" i="4"/>
  <c r="T128" i="4"/>
  <c r="Y128" i="4"/>
  <c r="X129" i="4"/>
  <c r="Z129" i="4" s="1"/>
  <c r="P130" i="4"/>
  <c r="E137" i="4"/>
  <c r="F137" i="4"/>
  <c r="G137" i="4"/>
  <c r="I137" i="4"/>
  <c r="J137" i="4"/>
  <c r="K137" i="4"/>
  <c r="L137" i="4"/>
  <c r="N137" i="4"/>
  <c r="O137" i="4"/>
  <c r="Q137" i="4"/>
  <c r="R137" i="4"/>
  <c r="S137" i="4"/>
  <c r="T137" i="4"/>
  <c r="Y137" i="4"/>
  <c r="E138" i="4"/>
  <c r="F138" i="4"/>
  <c r="G138" i="4"/>
  <c r="I138" i="4"/>
  <c r="J138" i="4"/>
  <c r="K138" i="4"/>
  <c r="L138" i="4"/>
  <c r="N138" i="4"/>
  <c r="O138" i="4"/>
  <c r="Q138" i="4"/>
  <c r="R138" i="4"/>
  <c r="S138" i="4"/>
  <c r="T138" i="4"/>
  <c r="Y138" i="4"/>
  <c r="Y2907" i="4" s="1"/>
  <c r="F139" i="4"/>
  <c r="G139" i="4"/>
  <c r="I139" i="4"/>
  <c r="J139" i="4"/>
  <c r="K139" i="4"/>
  <c r="L139" i="4"/>
  <c r="N139" i="4"/>
  <c r="O139" i="4"/>
  <c r="Q139" i="4"/>
  <c r="R139" i="4"/>
  <c r="S139" i="4"/>
  <c r="T139" i="4"/>
  <c r="Y139" i="4"/>
  <c r="E140" i="4"/>
  <c r="F140" i="4"/>
  <c r="G140" i="4"/>
  <c r="I140" i="4"/>
  <c r="J140" i="4"/>
  <c r="K140" i="4"/>
  <c r="L140" i="4"/>
  <c r="N140" i="4"/>
  <c r="O140" i="4"/>
  <c r="Q140" i="4"/>
  <c r="R140" i="4"/>
  <c r="S140" i="4"/>
  <c r="T140" i="4"/>
  <c r="Y140" i="4"/>
  <c r="Y2909" i="4" s="1"/>
  <c r="E141" i="4"/>
  <c r="F141" i="4"/>
  <c r="G141" i="4"/>
  <c r="I141" i="4"/>
  <c r="J141" i="4"/>
  <c r="K141" i="4"/>
  <c r="L141" i="4"/>
  <c r="N141" i="4"/>
  <c r="O141" i="4"/>
  <c r="Q141" i="4"/>
  <c r="R141" i="4"/>
  <c r="S141" i="4"/>
  <c r="T141" i="4"/>
  <c r="Y141" i="4"/>
  <c r="E142" i="4"/>
  <c r="F142" i="4"/>
  <c r="G142" i="4"/>
  <c r="I142" i="4"/>
  <c r="J142" i="4"/>
  <c r="K142" i="4"/>
  <c r="L142" i="4"/>
  <c r="N142" i="4"/>
  <c r="O142" i="4"/>
  <c r="Q142" i="4"/>
  <c r="R142" i="4"/>
  <c r="S142" i="4"/>
  <c r="T142" i="4"/>
  <c r="Y142" i="4"/>
  <c r="E143" i="4"/>
  <c r="F143" i="4"/>
  <c r="G143" i="4"/>
  <c r="I143" i="4"/>
  <c r="J143" i="4"/>
  <c r="K143" i="4"/>
  <c r="L143" i="4"/>
  <c r="N143" i="4"/>
  <c r="O143" i="4"/>
  <c r="Q143" i="4"/>
  <c r="R143" i="4"/>
  <c r="S143" i="4"/>
  <c r="T143" i="4"/>
  <c r="Y143" i="4"/>
  <c r="F144" i="4"/>
  <c r="G144" i="4"/>
  <c r="I144" i="4"/>
  <c r="J144" i="4"/>
  <c r="K144" i="4"/>
  <c r="L144" i="4"/>
  <c r="N144" i="4"/>
  <c r="O144" i="4"/>
  <c r="Q144" i="4"/>
  <c r="R144" i="4"/>
  <c r="S144" i="4"/>
  <c r="T144" i="4"/>
  <c r="Y144" i="4"/>
  <c r="Y2913" i="4" s="1"/>
  <c r="E145" i="4"/>
  <c r="F145" i="4"/>
  <c r="G145" i="4"/>
  <c r="I145" i="4"/>
  <c r="J145" i="4"/>
  <c r="K145" i="4"/>
  <c r="L145" i="4"/>
  <c r="N145" i="4"/>
  <c r="O145" i="4"/>
  <c r="Q145" i="4"/>
  <c r="R145" i="4"/>
  <c r="S145" i="4"/>
  <c r="T145" i="4"/>
  <c r="Y145" i="4"/>
  <c r="E146" i="4"/>
  <c r="F146" i="4"/>
  <c r="G146" i="4"/>
  <c r="I146" i="4"/>
  <c r="J146" i="4"/>
  <c r="K146" i="4"/>
  <c r="L146" i="4"/>
  <c r="N146" i="4"/>
  <c r="O146" i="4"/>
  <c r="Q146" i="4"/>
  <c r="R146" i="4"/>
  <c r="S146" i="4"/>
  <c r="T146" i="4"/>
  <c r="V146" i="4"/>
  <c r="W146" i="4"/>
  <c r="Y146" i="4"/>
  <c r="Y2915" i="4" s="1"/>
  <c r="E147" i="4"/>
  <c r="F147" i="4"/>
  <c r="G147" i="4"/>
  <c r="I147" i="4"/>
  <c r="J147" i="4"/>
  <c r="K147" i="4"/>
  <c r="L147" i="4"/>
  <c r="N147" i="4"/>
  <c r="O147" i="4"/>
  <c r="Q147" i="4"/>
  <c r="R147" i="4"/>
  <c r="S147" i="4"/>
  <c r="T147" i="4"/>
  <c r="Y147" i="4"/>
  <c r="P149" i="4"/>
  <c r="X149" i="4" s="1"/>
  <c r="Z149" i="4" s="1"/>
  <c r="X150" i="4"/>
  <c r="X151" i="4"/>
  <c r="E152" i="4"/>
  <c r="F152" i="4"/>
  <c r="G152" i="4"/>
  <c r="I152" i="4"/>
  <c r="J152" i="4"/>
  <c r="K152" i="4"/>
  <c r="L152" i="4"/>
  <c r="N152" i="4"/>
  <c r="O152" i="4"/>
  <c r="Q152" i="4"/>
  <c r="R152" i="4"/>
  <c r="S152" i="4"/>
  <c r="T152" i="4"/>
  <c r="Y152" i="4"/>
  <c r="E153" i="4"/>
  <c r="F153" i="4"/>
  <c r="G153" i="4"/>
  <c r="H153" i="4"/>
  <c r="I153" i="4"/>
  <c r="J153" i="4"/>
  <c r="K153" i="4"/>
  <c r="L153" i="4"/>
  <c r="M153" i="4"/>
  <c r="N153" i="4"/>
  <c r="O153" i="4"/>
  <c r="P153" i="4"/>
  <c r="Q153" i="4"/>
  <c r="R153" i="4"/>
  <c r="S153" i="4"/>
  <c r="T153" i="4"/>
  <c r="U153" i="4"/>
  <c r="V153" i="4"/>
  <c r="W153" i="4"/>
  <c r="X153" i="4"/>
  <c r="Y153" i="4"/>
  <c r="Z153" i="4"/>
  <c r="AA153" i="4"/>
  <c r="AB153" i="4"/>
  <c r="E154" i="4"/>
  <c r="F154" i="4"/>
  <c r="G154" i="4"/>
  <c r="I154" i="4"/>
  <c r="J154" i="4"/>
  <c r="K154" i="4"/>
  <c r="L154" i="4"/>
  <c r="N154" i="4"/>
  <c r="O154" i="4"/>
  <c r="Q154" i="4"/>
  <c r="R154" i="4"/>
  <c r="S154" i="4"/>
  <c r="T154" i="4"/>
  <c r="Y154" i="4"/>
  <c r="Y2923" i="4" s="1"/>
  <c r="E155" i="4"/>
  <c r="F155" i="4"/>
  <c r="G155" i="4"/>
  <c r="I155" i="4"/>
  <c r="J155" i="4"/>
  <c r="K155" i="4"/>
  <c r="L155" i="4"/>
  <c r="N155" i="4"/>
  <c r="O155" i="4"/>
  <c r="Q155" i="4"/>
  <c r="R155" i="4"/>
  <c r="S155" i="4"/>
  <c r="T155" i="4"/>
  <c r="Y155" i="4"/>
  <c r="E156" i="4"/>
  <c r="F156" i="4"/>
  <c r="G156" i="4"/>
  <c r="I156" i="4"/>
  <c r="J156" i="4"/>
  <c r="K156" i="4"/>
  <c r="L156" i="4"/>
  <c r="N156" i="4"/>
  <c r="O156" i="4"/>
  <c r="Q156" i="4"/>
  <c r="R156" i="4"/>
  <c r="S156" i="4"/>
  <c r="T156" i="4"/>
  <c r="Y156" i="4"/>
  <c r="Y2925" i="4" s="1"/>
  <c r="E157" i="4"/>
  <c r="G157" i="4"/>
  <c r="I157" i="4"/>
  <c r="J157" i="4"/>
  <c r="K157" i="4"/>
  <c r="L157" i="4"/>
  <c r="N157" i="4"/>
  <c r="O157" i="4"/>
  <c r="Q157" i="4"/>
  <c r="R157" i="4"/>
  <c r="S157" i="4"/>
  <c r="T157" i="4"/>
  <c r="Y157" i="4"/>
  <c r="E158" i="4"/>
  <c r="F158" i="4"/>
  <c r="G158" i="4"/>
  <c r="I158" i="4"/>
  <c r="J158" i="4"/>
  <c r="K158" i="4"/>
  <c r="L158" i="4"/>
  <c r="N158" i="4"/>
  <c r="O158" i="4"/>
  <c r="Q158" i="4"/>
  <c r="R158" i="4"/>
  <c r="S158" i="4"/>
  <c r="T158" i="4"/>
  <c r="Y158" i="4"/>
  <c r="E159" i="4"/>
  <c r="F159" i="4"/>
  <c r="G159" i="4"/>
  <c r="I159" i="4"/>
  <c r="J159" i="4"/>
  <c r="K159" i="4"/>
  <c r="L159" i="4"/>
  <c r="N159" i="4"/>
  <c r="O159" i="4"/>
  <c r="Q159" i="4"/>
  <c r="R159" i="4"/>
  <c r="S159" i="4"/>
  <c r="T159" i="4"/>
  <c r="Y159" i="4"/>
  <c r="Y2927" i="4" s="1"/>
  <c r="E160" i="4"/>
  <c r="F160" i="4"/>
  <c r="G160" i="4"/>
  <c r="I160" i="4"/>
  <c r="J160" i="4"/>
  <c r="K160" i="4"/>
  <c r="L160" i="4"/>
  <c r="N160" i="4"/>
  <c r="O160" i="4"/>
  <c r="Q160" i="4"/>
  <c r="R160" i="4"/>
  <c r="S160" i="4"/>
  <c r="T160" i="4"/>
  <c r="Y160" i="4"/>
  <c r="E161" i="4"/>
  <c r="F161" i="4"/>
  <c r="G161" i="4"/>
  <c r="I161" i="4"/>
  <c r="J161" i="4"/>
  <c r="K161" i="4"/>
  <c r="L161" i="4"/>
  <c r="N161" i="4"/>
  <c r="O161" i="4"/>
  <c r="Q161" i="4"/>
  <c r="R161" i="4"/>
  <c r="S161" i="4"/>
  <c r="T161" i="4"/>
  <c r="Y161" i="4"/>
  <c r="E162" i="4"/>
  <c r="F162" i="4"/>
  <c r="G162" i="4"/>
  <c r="I162" i="4"/>
  <c r="J162" i="4"/>
  <c r="K162" i="4"/>
  <c r="L162" i="4"/>
  <c r="N162" i="4"/>
  <c r="O162" i="4"/>
  <c r="Q162" i="4"/>
  <c r="R162" i="4"/>
  <c r="S162" i="4"/>
  <c r="T162" i="4"/>
  <c r="Y162" i="4"/>
  <c r="Y2929" i="4" s="1"/>
  <c r="E163" i="4"/>
  <c r="F163" i="4"/>
  <c r="G163" i="4"/>
  <c r="I163" i="4"/>
  <c r="J163" i="4"/>
  <c r="K163" i="4"/>
  <c r="L163" i="4"/>
  <c r="N163" i="4"/>
  <c r="O163" i="4"/>
  <c r="Q163" i="4"/>
  <c r="R163" i="4"/>
  <c r="S163" i="4"/>
  <c r="T163" i="4"/>
  <c r="Y163" i="4"/>
  <c r="E164" i="4"/>
  <c r="F164" i="4"/>
  <c r="G164" i="4"/>
  <c r="I164" i="4"/>
  <c r="J164" i="4"/>
  <c r="K164" i="4"/>
  <c r="L164" i="4"/>
  <c r="N164" i="4"/>
  <c r="O164" i="4"/>
  <c r="Q164" i="4"/>
  <c r="R164" i="4"/>
  <c r="S164" i="4"/>
  <c r="T164" i="4"/>
  <c r="Y164" i="4"/>
  <c r="X165" i="4"/>
  <c r="P166" i="4"/>
  <c r="X166" i="4" s="1"/>
  <c r="Z166" i="4" s="1"/>
  <c r="X167" i="4"/>
  <c r="Z167" i="4" s="1"/>
  <c r="X168" i="4"/>
  <c r="Z168" i="4" s="1"/>
  <c r="X169" i="4"/>
  <c r="Z169" i="4" s="1"/>
  <c r="X170" i="4"/>
  <c r="Z170" i="4" s="1"/>
  <c r="E171" i="4"/>
  <c r="F171" i="4"/>
  <c r="G171" i="4"/>
  <c r="I171" i="4"/>
  <c r="J171" i="4"/>
  <c r="K171" i="4"/>
  <c r="L171" i="4"/>
  <c r="O171" i="4"/>
  <c r="Q171" i="4"/>
  <c r="R171" i="4"/>
  <c r="S171" i="4"/>
  <c r="T171" i="4"/>
  <c r="Y171" i="4"/>
  <c r="E172" i="4"/>
  <c r="F172" i="4"/>
  <c r="G172" i="4"/>
  <c r="I172" i="4"/>
  <c r="J172" i="4"/>
  <c r="K172" i="4"/>
  <c r="L172" i="4"/>
  <c r="N172" i="4"/>
  <c r="O172" i="4"/>
  <c r="Q172" i="4"/>
  <c r="R172" i="4"/>
  <c r="S172" i="4"/>
  <c r="T172" i="4"/>
  <c r="Y172" i="4"/>
  <c r="E173" i="4"/>
  <c r="F173" i="4"/>
  <c r="G173" i="4"/>
  <c r="I173" i="4"/>
  <c r="J173" i="4"/>
  <c r="K173" i="4"/>
  <c r="L173" i="4"/>
  <c r="N173" i="4"/>
  <c r="O173" i="4"/>
  <c r="Q173" i="4"/>
  <c r="R173" i="4"/>
  <c r="S173" i="4"/>
  <c r="T173" i="4"/>
  <c r="Y173" i="4"/>
  <c r="E174" i="4"/>
  <c r="F174" i="4"/>
  <c r="G174" i="4"/>
  <c r="I174" i="4"/>
  <c r="J174" i="4"/>
  <c r="K174" i="4"/>
  <c r="L174" i="4"/>
  <c r="N174" i="4"/>
  <c r="O174" i="4"/>
  <c r="Q174" i="4"/>
  <c r="R174" i="4"/>
  <c r="S174" i="4"/>
  <c r="T174" i="4"/>
  <c r="Y174" i="4"/>
  <c r="E175" i="4"/>
  <c r="F175" i="4"/>
  <c r="G175" i="4"/>
  <c r="I175" i="4"/>
  <c r="J175" i="4"/>
  <c r="K175" i="4"/>
  <c r="L175" i="4"/>
  <c r="N175" i="4"/>
  <c r="O175" i="4"/>
  <c r="Q175" i="4"/>
  <c r="R175" i="4"/>
  <c r="S175" i="4"/>
  <c r="T175" i="4"/>
  <c r="Y175" i="4"/>
  <c r="E176" i="4"/>
  <c r="F176" i="4"/>
  <c r="G176" i="4"/>
  <c r="I176" i="4"/>
  <c r="J176" i="4"/>
  <c r="K176" i="4"/>
  <c r="L176" i="4"/>
  <c r="N176" i="4"/>
  <c r="O176" i="4"/>
  <c r="Q176" i="4"/>
  <c r="R176" i="4"/>
  <c r="S176" i="4"/>
  <c r="T176" i="4"/>
  <c r="Y176" i="4"/>
  <c r="E177" i="4"/>
  <c r="F177" i="4"/>
  <c r="G177" i="4"/>
  <c r="I177" i="4"/>
  <c r="J177" i="4"/>
  <c r="K177" i="4"/>
  <c r="L177" i="4"/>
  <c r="N177" i="4"/>
  <c r="O177" i="4"/>
  <c r="Q177" i="4"/>
  <c r="R177" i="4"/>
  <c r="S177" i="4"/>
  <c r="T177" i="4"/>
  <c r="Y177" i="4"/>
  <c r="E178" i="4"/>
  <c r="F178" i="4"/>
  <c r="G178" i="4"/>
  <c r="I178" i="4"/>
  <c r="J178" i="4"/>
  <c r="K178" i="4"/>
  <c r="L178" i="4"/>
  <c r="N178" i="4"/>
  <c r="O178" i="4"/>
  <c r="Q178" i="4"/>
  <c r="R178" i="4"/>
  <c r="S178" i="4"/>
  <c r="T178" i="4"/>
  <c r="Y178" i="4"/>
  <c r="E179" i="4"/>
  <c r="F179" i="4"/>
  <c r="G179" i="4"/>
  <c r="I179" i="4"/>
  <c r="J179" i="4"/>
  <c r="K179" i="4"/>
  <c r="L179" i="4"/>
  <c r="N179" i="4"/>
  <c r="O179" i="4"/>
  <c r="Q179" i="4"/>
  <c r="R179" i="4"/>
  <c r="S179" i="4"/>
  <c r="T179" i="4"/>
  <c r="Y179" i="4"/>
  <c r="G180" i="4"/>
  <c r="I180" i="4"/>
  <c r="J180" i="4"/>
  <c r="K180" i="4"/>
  <c r="L180" i="4"/>
  <c r="N180" i="4"/>
  <c r="O180" i="4"/>
  <c r="Q180" i="4"/>
  <c r="R180" i="4"/>
  <c r="S180" i="4"/>
  <c r="T180" i="4"/>
  <c r="Y180" i="4"/>
  <c r="E181" i="4"/>
  <c r="F181" i="4"/>
  <c r="G181" i="4"/>
  <c r="I181" i="4"/>
  <c r="J181" i="4"/>
  <c r="K181" i="4"/>
  <c r="L181" i="4"/>
  <c r="N181" i="4"/>
  <c r="O181" i="4"/>
  <c r="Q181" i="4"/>
  <c r="R181" i="4"/>
  <c r="S181" i="4"/>
  <c r="T181" i="4"/>
  <c r="W181" i="4"/>
  <c r="Y181" i="4"/>
  <c r="G182" i="4"/>
  <c r="I182" i="4"/>
  <c r="J182" i="4"/>
  <c r="K182" i="4"/>
  <c r="L182" i="4"/>
  <c r="N182" i="4"/>
  <c r="O182" i="4"/>
  <c r="Q182" i="4"/>
  <c r="R182" i="4"/>
  <c r="S182" i="4"/>
  <c r="T182" i="4"/>
  <c r="Y182" i="4"/>
  <c r="X183" i="4"/>
  <c r="Z183" i="4" s="1"/>
  <c r="P184" i="4"/>
  <c r="X185" i="4"/>
  <c r="Z185" i="4" s="1"/>
  <c r="X186" i="4"/>
  <c r="Z186" i="4" s="1"/>
  <c r="E187" i="4"/>
  <c r="F187" i="4"/>
  <c r="G187" i="4"/>
  <c r="J187" i="4"/>
  <c r="L187" i="4"/>
  <c r="N187" i="4"/>
  <c r="O187" i="4"/>
  <c r="S187" i="4"/>
  <c r="T187" i="4"/>
  <c r="V187" i="4"/>
  <c r="W187" i="4"/>
  <c r="Y187" i="4"/>
  <c r="E188" i="4"/>
  <c r="F188" i="4"/>
  <c r="G188" i="4"/>
  <c r="J188" i="4"/>
  <c r="L188" i="4"/>
  <c r="N188" i="4"/>
  <c r="O188" i="4"/>
  <c r="S188" i="4"/>
  <c r="T188" i="4"/>
  <c r="V188" i="4"/>
  <c r="W188" i="4"/>
  <c r="Y188" i="4"/>
  <c r="E189" i="4"/>
  <c r="F189" i="4"/>
  <c r="G189" i="4"/>
  <c r="J189" i="4"/>
  <c r="L189" i="4"/>
  <c r="N189" i="4"/>
  <c r="O189" i="4"/>
  <c r="S189" i="4"/>
  <c r="T189" i="4"/>
  <c r="V189" i="4"/>
  <c r="W189" i="4"/>
  <c r="Y189" i="4"/>
  <c r="F190" i="4"/>
  <c r="G190" i="4"/>
  <c r="J190" i="4"/>
  <c r="L190" i="4"/>
  <c r="N190" i="4"/>
  <c r="O190" i="4"/>
  <c r="S190" i="4"/>
  <c r="T190" i="4"/>
  <c r="V190" i="4"/>
  <c r="W190" i="4"/>
  <c r="Y190" i="4"/>
  <c r="E191" i="4"/>
  <c r="F191" i="4"/>
  <c r="G191" i="4"/>
  <c r="J191" i="4"/>
  <c r="L191" i="4"/>
  <c r="N191" i="4"/>
  <c r="O191" i="4"/>
  <c r="S191" i="4"/>
  <c r="T191" i="4"/>
  <c r="V191" i="4"/>
  <c r="W191" i="4"/>
  <c r="Y191" i="4"/>
  <c r="E192" i="4"/>
  <c r="F192" i="4"/>
  <c r="G192" i="4"/>
  <c r="J192" i="4"/>
  <c r="L192" i="4"/>
  <c r="N192" i="4"/>
  <c r="O192" i="4"/>
  <c r="S192" i="4"/>
  <c r="T192" i="4"/>
  <c r="V192" i="4"/>
  <c r="W192" i="4"/>
  <c r="Y192" i="4"/>
  <c r="E193" i="4"/>
  <c r="F193" i="4"/>
  <c r="G193" i="4"/>
  <c r="J193" i="4"/>
  <c r="L193" i="4"/>
  <c r="N193" i="4"/>
  <c r="O193" i="4"/>
  <c r="S193" i="4"/>
  <c r="T193" i="4"/>
  <c r="V193" i="4"/>
  <c r="W193" i="4"/>
  <c r="Y193" i="4"/>
  <c r="E194" i="4"/>
  <c r="G194" i="4"/>
  <c r="J194" i="4"/>
  <c r="L194" i="4"/>
  <c r="N194" i="4"/>
  <c r="O194" i="4"/>
  <c r="S194" i="4"/>
  <c r="T194" i="4"/>
  <c r="V194" i="4"/>
  <c r="W194" i="4"/>
  <c r="Y194" i="4"/>
  <c r="E195" i="4"/>
  <c r="F195" i="4"/>
  <c r="G195" i="4"/>
  <c r="J195" i="4"/>
  <c r="L195" i="4"/>
  <c r="N195" i="4"/>
  <c r="O195" i="4"/>
  <c r="S195" i="4"/>
  <c r="T195" i="4"/>
  <c r="V195" i="4"/>
  <c r="W195" i="4"/>
  <c r="Y195" i="4"/>
  <c r="E196" i="4"/>
  <c r="F196" i="4"/>
  <c r="G196" i="4"/>
  <c r="J196" i="4"/>
  <c r="L196" i="4"/>
  <c r="N196" i="4"/>
  <c r="O196" i="4"/>
  <c r="S196" i="4"/>
  <c r="T196" i="4"/>
  <c r="V196" i="4"/>
  <c r="W196" i="4"/>
  <c r="Y196" i="4"/>
  <c r="E197" i="4"/>
  <c r="F197" i="4"/>
  <c r="G197" i="4"/>
  <c r="J197" i="4"/>
  <c r="L197" i="4"/>
  <c r="N197" i="4"/>
  <c r="O197" i="4"/>
  <c r="S197" i="4"/>
  <c r="T197" i="4"/>
  <c r="V197" i="4"/>
  <c r="W197" i="4"/>
  <c r="Y197" i="4"/>
  <c r="G198" i="4"/>
  <c r="J198" i="4"/>
  <c r="L198" i="4"/>
  <c r="N198" i="4"/>
  <c r="O198" i="4"/>
  <c r="S198" i="4"/>
  <c r="T198" i="4"/>
  <c r="V198" i="4"/>
  <c r="W198" i="4"/>
  <c r="Y198" i="4"/>
  <c r="E199" i="4"/>
  <c r="F199" i="4"/>
  <c r="G199" i="4"/>
  <c r="J199" i="4"/>
  <c r="L199" i="4"/>
  <c r="N199" i="4"/>
  <c r="O199" i="4"/>
  <c r="S199" i="4"/>
  <c r="T199" i="4"/>
  <c r="V199" i="4"/>
  <c r="W199" i="4"/>
  <c r="Y199" i="4"/>
  <c r="E200" i="4"/>
  <c r="F200" i="4"/>
  <c r="G200" i="4"/>
  <c r="J200" i="4"/>
  <c r="L200" i="4"/>
  <c r="N200" i="4"/>
  <c r="O200" i="4"/>
  <c r="S200" i="4"/>
  <c r="T200" i="4"/>
  <c r="V200" i="4"/>
  <c r="W200" i="4"/>
  <c r="Y200" i="4"/>
  <c r="F201" i="4"/>
  <c r="G201" i="4"/>
  <c r="I201" i="4"/>
  <c r="J201" i="4"/>
  <c r="K201" i="4"/>
  <c r="L201" i="4"/>
  <c r="N201" i="4"/>
  <c r="O201" i="4"/>
  <c r="Q201" i="4"/>
  <c r="R201" i="4"/>
  <c r="S201" i="4"/>
  <c r="T201" i="4"/>
  <c r="V201" i="4"/>
  <c r="W201" i="4"/>
  <c r="Y201" i="4"/>
  <c r="E202" i="4"/>
  <c r="F202" i="4"/>
  <c r="G202" i="4"/>
  <c r="I202" i="4"/>
  <c r="J202" i="4"/>
  <c r="K202" i="4"/>
  <c r="L202" i="4"/>
  <c r="N202" i="4"/>
  <c r="O202" i="4"/>
  <c r="Q202" i="4"/>
  <c r="R202" i="4"/>
  <c r="S202" i="4"/>
  <c r="T202" i="4"/>
  <c r="V202" i="4"/>
  <c r="W202" i="4"/>
  <c r="Y202" i="4"/>
  <c r="F203" i="4"/>
  <c r="G203" i="4"/>
  <c r="J203" i="4"/>
  <c r="L203" i="4"/>
  <c r="N203" i="4"/>
  <c r="O203" i="4"/>
  <c r="S203" i="4"/>
  <c r="T203" i="4"/>
  <c r="V203" i="4"/>
  <c r="W203" i="4"/>
  <c r="Y203" i="4"/>
  <c r="F204" i="4"/>
  <c r="G204" i="4"/>
  <c r="J204" i="4"/>
  <c r="L204" i="4"/>
  <c r="N204" i="4"/>
  <c r="O204" i="4"/>
  <c r="S204" i="4"/>
  <c r="T204" i="4"/>
  <c r="V204" i="4"/>
  <c r="W204" i="4"/>
  <c r="Y204" i="4"/>
  <c r="E205" i="4"/>
  <c r="F205" i="4"/>
  <c r="G205" i="4"/>
  <c r="J205" i="4"/>
  <c r="L205" i="4"/>
  <c r="N205" i="4"/>
  <c r="O205" i="4"/>
  <c r="S205" i="4"/>
  <c r="T205" i="4"/>
  <c r="V205" i="4"/>
  <c r="W205" i="4"/>
  <c r="Y205" i="4"/>
  <c r="G206" i="4"/>
  <c r="J206" i="4"/>
  <c r="L206" i="4"/>
  <c r="N206" i="4"/>
  <c r="O206" i="4"/>
  <c r="S206" i="4"/>
  <c r="T206" i="4"/>
  <c r="V206" i="4"/>
  <c r="W206" i="4"/>
  <c r="Y206" i="4"/>
  <c r="X207" i="4"/>
  <c r="Z207" i="4" s="1"/>
  <c r="P208" i="4"/>
  <c r="X208" i="4" s="1"/>
  <c r="Z208" i="4" s="1"/>
  <c r="X209" i="4"/>
  <c r="Z209" i="4" s="1"/>
  <c r="X210" i="4"/>
  <c r="Z210" i="4" s="1"/>
  <c r="E211" i="4"/>
  <c r="F211" i="4"/>
  <c r="G211" i="4"/>
  <c r="J211" i="4"/>
  <c r="L211" i="4"/>
  <c r="N211" i="4"/>
  <c r="O211" i="4"/>
  <c r="S211" i="4"/>
  <c r="T211" i="4"/>
  <c r="V211" i="4"/>
  <c r="W211" i="4"/>
  <c r="Y211" i="4"/>
  <c r="E212" i="4"/>
  <c r="F212" i="4"/>
  <c r="G212" i="4"/>
  <c r="J212" i="4"/>
  <c r="L212" i="4"/>
  <c r="N212" i="4"/>
  <c r="O212" i="4"/>
  <c r="S212" i="4"/>
  <c r="T212" i="4"/>
  <c r="V212" i="4"/>
  <c r="W212" i="4"/>
  <c r="Y212" i="4"/>
  <c r="E213" i="4"/>
  <c r="F213" i="4"/>
  <c r="G213" i="4"/>
  <c r="J213" i="4"/>
  <c r="L213" i="4"/>
  <c r="N213" i="4"/>
  <c r="O213" i="4"/>
  <c r="S213" i="4"/>
  <c r="T213" i="4"/>
  <c r="V213" i="4"/>
  <c r="W213" i="4"/>
  <c r="Y213" i="4"/>
  <c r="F214" i="4"/>
  <c r="G214" i="4"/>
  <c r="J214" i="4"/>
  <c r="L214" i="4"/>
  <c r="N214" i="4"/>
  <c r="O214" i="4"/>
  <c r="S214" i="4"/>
  <c r="T214" i="4"/>
  <c r="V214" i="4"/>
  <c r="W214" i="4"/>
  <c r="Y214" i="4"/>
  <c r="F215" i="4"/>
  <c r="G215" i="4"/>
  <c r="J215" i="4"/>
  <c r="L215" i="4"/>
  <c r="N215" i="4"/>
  <c r="O215" i="4"/>
  <c r="S215" i="4"/>
  <c r="T215" i="4"/>
  <c r="V215" i="4"/>
  <c r="W215" i="4"/>
  <c r="Y215" i="4"/>
  <c r="E216" i="4"/>
  <c r="F216" i="4"/>
  <c r="G216" i="4"/>
  <c r="J216" i="4"/>
  <c r="L216" i="4"/>
  <c r="N216" i="4"/>
  <c r="O216" i="4"/>
  <c r="S216" i="4"/>
  <c r="T216" i="4"/>
  <c r="V216" i="4"/>
  <c r="W216" i="4"/>
  <c r="Y216" i="4"/>
  <c r="E217" i="4"/>
  <c r="F217" i="4"/>
  <c r="G217" i="4"/>
  <c r="J217" i="4"/>
  <c r="L217" i="4"/>
  <c r="N217" i="4"/>
  <c r="O217" i="4"/>
  <c r="S217" i="4"/>
  <c r="T217" i="4"/>
  <c r="V217" i="4"/>
  <c r="W217" i="4"/>
  <c r="Y217" i="4"/>
  <c r="E218" i="4"/>
  <c r="F218" i="4"/>
  <c r="G218" i="4"/>
  <c r="J218" i="4"/>
  <c r="L218" i="4"/>
  <c r="N218" i="4"/>
  <c r="O218" i="4"/>
  <c r="S218" i="4"/>
  <c r="T218" i="4"/>
  <c r="V218" i="4"/>
  <c r="W218" i="4"/>
  <c r="Y218" i="4"/>
  <c r="E219" i="4"/>
  <c r="F219" i="4"/>
  <c r="G219" i="4"/>
  <c r="J219" i="4"/>
  <c r="L219" i="4"/>
  <c r="N219" i="4"/>
  <c r="O219" i="4"/>
  <c r="S219" i="4"/>
  <c r="T219" i="4"/>
  <c r="V219" i="4"/>
  <c r="W219" i="4"/>
  <c r="Y219" i="4"/>
  <c r="E220" i="4"/>
  <c r="F220" i="4"/>
  <c r="G220" i="4"/>
  <c r="J220" i="4"/>
  <c r="L220" i="4"/>
  <c r="N220" i="4"/>
  <c r="O220" i="4"/>
  <c r="S220" i="4"/>
  <c r="T220" i="4"/>
  <c r="V220" i="4"/>
  <c r="W220" i="4"/>
  <c r="Y220" i="4"/>
  <c r="E221" i="4"/>
  <c r="F221" i="4"/>
  <c r="G221" i="4"/>
  <c r="J221" i="4"/>
  <c r="L221" i="4"/>
  <c r="N221" i="4"/>
  <c r="O221" i="4"/>
  <c r="S221" i="4"/>
  <c r="T221" i="4"/>
  <c r="V221" i="4"/>
  <c r="W221" i="4"/>
  <c r="Y221" i="4"/>
  <c r="F222" i="4"/>
  <c r="G222" i="4"/>
  <c r="L222" i="4"/>
  <c r="N222" i="4"/>
  <c r="O222" i="4"/>
  <c r="S222" i="4"/>
  <c r="T222" i="4"/>
  <c r="V222" i="4"/>
  <c r="W222" i="4"/>
  <c r="Y222" i="4"/>
  <c r="E223" i="4"/>
  <c r="F223" i="4"/>
  <c r="G223" i="4"/>
  <c r="J223" i="4"/>
  <c r="L223" i="4"/>
  <c r="N223" i="4"/>
  <c r="O223" i="4"/>
  <c r="S223" i="4"/>
  <c r="T223" i="4"/>
  <c r="V223" i="4"/>
  <c r="W223" i="4"/>
  <c r="Y223" i="4"/>
  <c r="F224" i="4"/>
  <c r="G224" i="4"/>
  <c r="J224" i="4"/>
  <c r="L224" i="4"/>
  <c r="N224" i="4"/>
  <c r="O224" i="4"/>
  <c r="S224" i="4"/>
  <c r="T224" i="4"/>
  <c r="V224" i="4"/>
  <c r="W224" i="4"/>
  <c r="Y224" i="4"/>
  <c r="F225" i="4"/>
  <c r="G225" i="4"/>
  <c r="J225" i="4"/>
  <c r="L225" i="4"/>
  <c r="N225" i="4"/>
  <c r="O225" i="4"/>
  <c r="S225" i="4"/>
  <c r="T225" i="4"/>
  <c r="V225" i="4"/>
  <c r="W225" i="4"/>
  <c r="Y225" i="4"/>
  <c r="F226" i="4"/>
  <c r="G226" i="4"/>
  <c r="J226" i="4"/>
  <c r="L226" i="4"/>
  <c r="N226" i="4"/>
  <c r="O226" i="4"/>
  <c r="S226" i="4"/>
  <c r="T226" i="4"/>
  <c r="V226" i="4"/>
  <c r="W226" i="4"/>
  <c r="Y226" i="4"/>
  <c r="G227" i="4"/>
  <c r="I227" i="4"/>
  <c r="J227" i="4"/>
  <c r="K227" i="4"/>
  <c r="L227" i="4"/>
  <c r="N227" i="4"/>
  <c r="O227" i="4"/>
  <c r="Q227" i="4"/>
  <c r="R227" i="4"/>
  <c r="S227" i="4"/>
  <c r="T227" i="4"/>
  <c r="V227" i="4"/>
  <c r="W227" i="4"/>
  <c r="Y227" i="4"/>
  <c r="G228" i="4"/>
  <c r="I228" i="4"/>
  <c r="J228" i="4"/>
  <c r="K228" i="4"/>
  <c r="L228" i="4"/>
  <c r="N228" i="4"/>
  <c r="O228" i="4"/>
  <c r="Q228" i="4"/>
  <c r="R228" i="4"/>
  <c r="S228" i="4"/>
  <c r="T228" i="4"/>
  <c r="V228" i="4"/>
  <c r="W228" i="4"/>
  <c r="Y228" i="4"/>
  <c r="E229" i="4"/>
  <c r="F229" i="4"/>
  <c r="G229" i="4"/>
  <c r="I229" i="4"/>
  <c r="J229" i="4"/>
  <c r="K229" i="4"/>
  <c r="L229" i="4"/>
  <c r="N229" i="4"/>
  <c r="O229" i="4"/>
  <c r="Q229" i="4"/>
  <c r="R229" i="4"/>
  <c r="S229" i="4"/>
  <c r="T229" i="4"/>
  <c r="V229" i="4"/>
  <c r="W229" i="4"/>
  <c r="Y229" i="4"/>
  <c r="E230" i="4"/>
  <c r="F230" i="4"/>
  <c r="G230" i="4"/>
  <c r="J230" i="4"/>
  <c r="L230" i="4"/>
  <c r="N230" i="4"/>
  <c r="O230" i="4"/>
  <c r="S230" i="4"/>
  <c r="T230" i="4"/>
  <c r="V230" i="4"/>
  <c r="W230" i="4"/>
  <c r="Y230" i="4"/>
  <c r="E231" i="4"/>
  <c r="F231" i="4"/>
  <c r="G231" i="4"/>
  <c r="J231" i="4"/>
  <c r="L231" i="4"/>
  <c r="N231" i="4"/>
  <c r="O231" i="4"/>
  <c r="S231" i="4"/>
  <c r="T231" i="4"/>
  <c r="V231" i="4"/>
  <c r="W231" i="4"/>
  <c r="Y231" i="4"/>
  <c r="E232" i="4"/>
  <c r="F232" i="4"/>
  <c r="G232" i="4"/>
  <c r="J232" i="4"/>
  <c r="L232" i="4"/>
  <c r="N232" i="4"/>
  <c r="O232" i="4"/>
  <c r="S232" i="4"/>
  <c r="T232" i="4"/>
  <c r="V232" i="4"/>
  <c r="W232" i="4"/>
  <c r="Y232" i="4"/>
  <c r="F233" i="4"/>
  <c r="G233" i="4"/>
  <c r="J233" i="4"/>
  <c r="L233" i="4"/>
  <c r="N233" i="4"/>
  <c r="O233" i="4"/>
  <c r="S233" i="4"/>
  <c r="T233" i="4"/>
  <c r="V233" i="4"/>
  <c r="W233" i="4"/>
  <c r="Y233" i="4"/>
  <c r="X234" i="4"/>
  <c r="Z234" i="4" s="1"/>
  <c r="P235" i="4"/>
  <c r="E237" i="4"/>
  <c r="E2903" i="4" s="1"/>
  <c r="E242" i="4"/>
  <c r="G242" i="4"/>
  <c r="I242" i="4"/>
  <c r="L242" i="4"/>
  <c r="N242" i="4"/>
  <c r="O242" i="4"/>
  <c r="R242" i="4"/>
  <c r="S242" i="4"/>
  <c r="T242" i="4"/>
  <c r="V242" i="4"/>
  <c r="W242" i="4"/>
  <c r="Y242" i="4"/>
  <c r="F243" i="4"/>
  <c r="G243" i="4"/>
  <c r="I243" i="4"/>
  <c r="K243" i="4"/>
  <c r="L243" i="4"/>
  <c r="N243" i="4"/>
  <c r="O243" i="4"/>
  <c r="R243" i="4"/>
  <c r="S243" i="4"/>
  <c r="T243" i="4"/>
  <c r="V243" i="4"/>
  <c r="W243" i="4"/>
  <c r="Y243" i="4"/>
  <c r="E244" i="4"/>
  <c r="F244" i="4"/>
  <c r="G244" i="4"/>
  <c r="I244" i="4"/>
  <c r="K244" i="4"/>
  <c r="L244" i="4"/>
  <c r="N244" i="4"/>
  <c r="O244" i="4"/>
  <c r="R244" i="4"/>
  <c r="S244" i="4"/>
  <c r="T244" i="4"/>
  <c r="V244" i="4"/>
  <c r="W244" i="4"/>
  <c r="Y244" i="4"/>
  <c r="F245" i="4"/>
  <c r="G245" i="4"/>
  <c r="I245" i="4"/>
  <c r="K245" i="4"/>
  <c r="L245" i="4"/>
  <c r="N245" i="4"/>
  <c r="O245" i="4"/>
  <c r="R245" i="4"/>
  <c r="S245" i="4"/>
  <c r="T245" i="4"/>
  <c r="V245" i="4"/>
  <c r="W245" i="4"/>
  <c r="Y245" i="4"/>
  <c r="E246" i="4"/>
  <c r="F246" i="4"/>
  <c r="G246" i="4"/>
  <c r="I246" i="4"/>
  <c r="L246" i="4"/>
  <c r="N246" i="4"/>
  <c r="O246" i="4"/>
  <c r="R246" i="4"/>
  <c r="S246" i="4"/>
  <c r="T246" i="4"/>
  <c r="V246" i="4"/>
  <c r="W246" i="4"/>
  <c r="Y246" i="4"/>
  <c r="E247" i="4"/>
  <c r="F247" i="4"/>
  <c r="G247" i="4"/>
  <c r="I247" i="4"/>
  <c r="K247" i="4"/>
  <c r="L247" i="4"/>
  <c r="N247" i="4"/>
  <c r="O247" i="4"/>
  <c r="R247" i="4"/>
  <c r="S247" i="4"/>
  <c r="T247" i="4"/>
  <c r="V247" i="4"/>
  <c r="W247" i="4"/>
  <c r="Y247" i="4"/>
  <c r="F248" i="4"/>
  <c r="G248" i="4"/>
  <c r="I248" i="4"/>
  <c r="K248" i="4"/>
  <c r="L248" i="4"/>
  <c r="N248" i="4"/>
  <c r="O248" i="4"/>
  <c r="R248" i="4"/>
  <c r="S248" i="4"/>
  <c r="T248" i="4"/>
  <c r="V248" i="4"/>
  <c r="W248" i="4"/>
  <c r="Y248" i="4"/>
  <c r="E249" i="4"/>
  <c r="F249" i="4"/>
  <c r="G249" i="4"/>
  <c r="I249" i="4"/>
  <c r="K249" i="4"/>
  <c r="L249" i="4"/>
  <c r="N249" i="4"/>
  <c r="O249" i="4"/>
  <c r="R249" i="4"/>
  <c r="S249" i="4"/>
  <c r="T249" i="4"/>
  <c r="V249" i="4"/>
  <c r="W249" i="4"/>
  <c r="Y249" i="4"/>
  <c r="G250" i="4"/>
  <c r="I250" i="4"/>
  <c r="K250" i="4"/>
  <c r="L250" i="4"/>
  <c r="N250" i="4"/>
  <c r="O250" i="4"/>
  <c r="R250" i="4"/>
  <c r="S250" i="4"/>
  <c r="T250" i="4"/>
  <c r="V250" i="4"/>
  <c r="W250" i="4"/>
  <c r="Y250" i="4"/>
  <c r="F251" i="4"/>
  <c r="G251" i="4"/>
  <c r="I251" i="4"/>
  <c r="K251" i="4"/>
  <c r="L251" i="4"/>
  <c r="N251" i="4"/>
  <c r="O251" i="4"/>
  <c r="R251" i="4"/>
  <c r="S251" i="4"/>
  <c r="T251" i="4"/>
  <c r="V251" i="4"/>
  <c r="W251" i="4"/>
  <c r="Y251" i="4"/>
  <c r="G252" i="4"/>
  <c r="I252" i="4"/>
  <c r="K252" i="4"/>
  <c r="L252" i="4"/>
  <c r="N252" i="4"/>
  <c r="O252" i="4"/>
  <c r="R252" i="4"/>
  <c r="S252" i="4"/>
  <c r="T252" i="4"/>
  <c r="V252" i="4"/>
  <c r="W252" i="4"/>
  <c r="Y252" i="4"/>
  <c r="E253" i="4"/>
  <c r="F253" i="4"/>
  <c r="G253" i="4"/>
  <c r="I253" i="4"/>
  <c r="K253" i="4"/>
  <c r="L253" i="4"/>
  <c r="N253" i="4"/>
  <c r="O253" i="4"/>
  <c r="R253" i="4"/>
  <c r="S253" i="4"/>
  <c r="T253" i="4"/>
  <c r="V253" i="4"/>
  <c r="W253" i="4"/>
  <c r="Y253" i="4"/>
  <c r="E254" i="4"/>
  <c r="F254" i="4"/>
  <c r="G254" i="4"/>
  <c r="I254" i="4"/>
  <c r="K254" i="4"/>
  <c r="L254" i="4"/>
  <c r="N254" i="4"/>
  <c r="O254" i="4"/>
  <c r="R254" i="4"/>
  <c r="S254" i="4"/>
  <c r="T254" i="4"/>
  <c r="V254" i="4"/>
  <c r="W254" i="4"/>
  <c r="Y254" i="4"/>
  <c r="E255" i="4"/>
  <c r="F255" i="4"/>
  <c r="G255" i="4"/>
  <c r="I255" i="4"/>
  <c r="K255" i="4"/>
  <c r="L255" i="4"/>
  <c r="N255" i="4"/>
  <c r="O255" i="4"/>
  <c r="R255" i="4"/>
  <c r="S255" i="4"/>
  <c r="T255" i="4"/>
  <c r="V255" i="4"/>
  <c r="W255" i="4"/>
  <c r="Y255" i="4"/>
  <c r="E256" i="4"/>
  <c r="F256" i="4"/>
  <c r="G256" i="4"/>
  <c r="I256" i="4"/>
  <c r="K256" i="4"/>
  <c r="L256" i="4"/>
  <c r="N256" i="4"/>
  <c r="O256" i="4"/>
  <c r="R256" i="4"/>
  <c r="S256" i="4"/>
  <c r="T256" i="4"/>
  <c r="V256" i="4"/>
  <c r="W256" i="4"/>
  <c r="Y256" i="4"/>
  <c r="E257" i="4"/>
  <c r="F257" i="4"/>
  <c r="G257" i="4"/>
  <c r="I257" i="4"/>
  <c r="K257" i="4"/>
  <c r="L257" i="4"/>
  <c r="N257" i="4"/>
  <c r="O257" i="4"/>
  <c r="P257" i="4"/>
  <c r="Q257" i="4"/>
  <c r="R257" i="4"/>
  <c r="S257" i="4"/>
  <c r="T257" i="4"/>
  <c r="V257" i="4"/>
  <c r="W257" i="4"/>
  <c r="Y257" i="4"/>
  <c r="E258" i="4"/>
  <c r="F258" i="4"/>
  <c r="G258" i="4"/>
  <c r="I258" i="4"/>
  <c r="J258" i="4"/>
  <c r="K258" i="4"/>
  <c r="L258" i="4"/>
  <c r="N258" i="4"/>
  <c r="O258" i="4"/>
  <c r="Q258" i="4"/>
  <c r="R258" i="4"/>
  <c r="S258" i="4"/>
  <c r="T258" i="4"/>
  <c r="V258" i="4"/>
  <c r="W258" i="4"/>
  <c r="Y258" i="4"/>
  <c r="E259" i="4"/>
  <c r="F259" i="4"/>
  <c r="G259" i="4"/>
  <c r="I259" i="4"/>
  <c r="K259" i="4"/>
  <c r="L259" i="4"/>
  <c r="N259" i="4"/>
  <c r="O259" i="4"/>
  <c r="R259" i="4"/>
  <c r="S259" i="4"/>
  <c r="T259" i="4"/>
  <c r="V259" i="4"/>
  <c r="W259" i="4"/>
  <c r="Y259" i="4"/>
  <c r="P261" i="4"/>
  <c r="X262" i="4"/>
  <c r="X263" i="4"/>
  <c r="F264" i="4"/>
  <c r="G264" i="4"/>
  <c r="I264" i="4"/>
  <c r="L264" i="4"/>
  <c r="N264" i="4"/>
  <c r="O264" i="4"/>
  <c r="Q264" i="4"/>
  <c r="R264" i="4"/>
  <c r="S264" i="4"/>
  <c r="T264" i="4"/>
  <c r="V264" i="4"/>
  <c r="W264" i="4"/>
  <c r="Y264" i="4"/>
  <c r="F265" i="4"/>
  <c r="G265" i="4"/>
  <c r="I265" i="4"/>
  <c r="K265" i="4"/>
  <c r="L265" i="4"/>
  <c r="N265" i="4"/>
  <c r="O265" i="4"/>
  <c r="Q265" i="4"/>
  <c r="R265" i="4"/>
  <c r="S265" i="4"/>
  <c r="T265" i="4"/>
  <c r="V265" i="4"/>
  <c r="W265" i="4"/>
  <c r="Y265" i="4"/>
  <c r="E266" i="4"/>
  <c r="F266" i="4"/>
  <c r="G266" i="4"/>
  <c r="I266" i="4"/>
  <c r="K266" i="4"/>
  <c r="L266" i="4"/>
  <c r="N266" i="4"/>
  <c r="O266" i="4"/>
  <c r="Q266" i="4"/>
  <c r="R266" i="4"/>
  <c r="S266" i="4"/>
  <c r="T266" i="4"/>
  <c r="V266" i="4"/>
  <c r="W266" i="4"/>
  <c r="Y266" i="4"/>
  <c r="F267" i="4"/>
  <c r="G267" i="4"/>
  <c r="I267" i="4"/>
  <c r="K267" i="4"/>
  <c r="L267" i="4"/>
  <c r="N267" i="4"/>
  <c r="O267" i="4"/>
  <c r="Q267" i="4"/>
  <c r="R267" i="4"/>
  <c r="S267" i="4"/>
  <c r="T267" i="4"/>
  <c r="V267" i="4"/>
  <c r="W267" i="4"/>
  <c r="Y267" i="4"/>
  <c r="F268" i="4"/>
  <c r="G268" i="4"/>
  <c r="I268" i="4"/>
  <c r="K268" i="4"/>
  <c r="L268" i="4"/>
  <c r="N268" i="4"/>
  <c r="O268" i="4"/>
  <c r="Q268" i="4"/>
  <c r="R268" i="4"/>
  <c r="S268" i="4"/>
  <c r="T268" i="4"/>
  <c r="V268" i="4"/>
  <c r="W268" i="4"/>
  <c r="Y268" i="4"/>
  <c r="E269" i="4"/>
  <c r="F269" i="4"/>
  <c r="G269" i="4"/>
  <c r="I269" i="4"/>
  <c r="K269" i="4"/>
  <c r="L269" i="4"/>
  <c r="N269" i="4"/>
  <c r="O269" i="4"/>
  <c r="Q269" i="4"/>
  <c r="R269" i="4"/>
  <c r="S269" i="4"/>
  <c r="T269" i="4"/>
  <c r="V269" i="4"/>
  <c r="W269" i="4"/>
  <c r="Y269" i="4"/>
  <c r="G270" i="4"/>
  <c r="I270" i="4"/>
  <c r="K270" i="4"/>
  <c r="L270" i="4"/>
  <c r="N270" i="4"/>
  <c r="O270" i="4"/>
  <c r="Q270" i="4"/>
  <c r="R270" i="4"/>
  <c r="S270" i="4"/>
  <c r="T270" i="4"/>
  <c r="V270" i="4"/>
  <c r="W270" i="4"/>
  <c r="Y270" i="4"/>
  <c r="F271" i="4"/>
  <c r="G271" i="4"/>
  <c r="I271" i="4"/>
  <c r="K271" i="4"/>
  <c r="L271" i="4"/>
  <c r="N271" i="4"/>
  <c r="O271" i="4"/>
  <c r="Q271" i="4"/>
  <c r="R271" i="4"/>
  <c r="S271" i="4"/>
  <c r="T271" i="4"/>
  <c r="V271" i="4"/>
  <c r="W271" i="4"/>
  <c r="Y271" i="4"/>
  <c r="E272" i="4"/>
  <c r="F272" i="4"/>
  <c r="G272" i="4"/>
  <c r="I272" i="4"/>
  <c r="K272" i="4"/>
  <c r="L272" i="4"/>
  <c r="N272" i="4"/>
  <c r="O272" i="4"/>
  <c r="Q272" i="4"/>
  <c r="R272" i="4"/>
  <c r="S272" i="4"/>
  <c r="T272" i="4"/>
  <c r="V272" i="4"/>
  <c r="W272" i="4"/>
  <c r="Y272" i="4"/>
  <c r="E273" i="4"/>
  <c r="F273" i="4"/>
  <c r="G273" i="4"/>
  <c r="I273" i="4"/>
  <c r="K273" i="4"/>
  <c r="L273" i="4"/>
  <c r="N273" i="4"/>
  <c r="O273" i="4"/>
  <c r="Q273" i="4"/>
  <c r="R273" i="4"/>
  <c r="S273" i="4"/>
  <c r="T273" i="4"/>
  <c r="V273" i="4"/>
  <c r="W273" i="4"/>
  <c r="Y273" i="4"/>
  <c r="E274" i="4"/>
  <c r="F274" i="4"/>
  <c r="G274" i="4"/>
  <c r="I274" i="4"/>
  <c r="K274" i="4"/>
  <c r="L274" i="4"/>
  <c r="N274" i="4"/>
  <c r="O274" i="4"/>
  <c r="Q274" i="4"/>
  <c r="R274" i="4"/>
  <c r="S274" i="4"/>
  <c r="T274" i="4"/>
  <c r="V274" i="4"/>
  <c r="W274" i="4"/>
  <c r="Y274" i="4"/>
  <c r="E275" i="4"/>
  <c r="F275" i="4"/>
  <c r="G275" i="4"/>
  <c r="I275" i="4"/>
  <c r="K275" i="4"/>
  <c r="L275" i="4"/>
  <c r="N275" i="4"/>
  <c r="O275" i="4"/>
  <c r="Q275" i="4"/>
  <c r="R275" i="4"/>
  <c r="S275" i="4"/>
  <c r="T275" i="4"/>
  <c r="V275" i="4"/>
  <c r="W275" i="4"/>
  <c r="Y275" i="4"/>
  <c r="E276" i="4"/>
  <c r="F276" i="4"/>
  <c r="G276" i="4"/>
  <c r="I276" i="4"/>
  <c r="L276" i="4"/>
  <c r="N276" i="4"/>
  <c r="O276" i="4"/>
  <c r="Q276" i="4"/>
  <c r="R276" i="4"/>
  <c r="S276" i="4"/>
  <c r="T276" i="4"/>
  <c r="V276" i="4"/>
  <c r="W276" i="4"/>
  <c r="Y276" i="4"/>
  <c r="E277" i="4"/>
  <c r="F277" i="4"/>
  <c r="G277" i="4"/>
  <c r="I277" i="4"/>
  <c r="K277" i="4"/>
  <c r="L277" i="4"/>
  <c r="N277" i="4"/>
  <c r="O277" i="4"/>
  <c r="Q277" i="4"/>
  <c r="R277" i="4"/>
  <c r="S277" i="4"/>
  <c r="T277" i="4"/>
  <c r="V277" i="4"/>
  <c r="W277" i="4"/>
  <c r="Y277" i="4"/>
  <c r="E278" i="4"/>
  <c r="F278" i="4"/>
  <c r="G278" i="4"/>
  <c r="I278" i="4"/>
  <c r="K278" i="4"/>
  <c r="L278" i="4"/>
  <c r="N278" i="4"/>
  <c r="O278" i="4"/>
  <c r="Q278" i="4"/>
  <c r="R278" i="4"/>
  <c r="S278" i="4"/>
  <c r="T278" i="4"/>
  <c r="V278" i="4"/>
  <c r="W278" i="4"/>
  <c r="Y278" i="4"/>
  <c r="X279" i="4"/>
  <c r="P280" i="4"/>
  <c r="U280" i="4" s="1"/>
  <c r="X281" i="4"/>
  <c r="Z281" i="4" s="1"/>
  <c r="X282" i="4"/>
  <c r="Z282" i="4" s="1"/>
  <c r="E283" i="4"/>
  <c r="F283" i="4"/>
  <c r="G283" i="4"/>
  <c r="I283" i="4"/>
  <c r="K283" i="4"/>
  <c r="L283" i="4"/>
  <c r="N283" i="4"/>
  <c r="O283" i="4"/>
  <c r="Q283" i="4"/>
  <c r="R283" i="4"/>
  <c r="S283" i="4"/>
  <c r="T283" i="4"/>
  <c r="V283" i="4"/>
  <c r="W283" i="4"/>
  <c r="Y283" i="4"/>
  <c r="E284" i="4"/>
  <c r="F284" i="4"/>
  <c r="G284" i="4"/>
  <c r="I284" i="4"/>
  <c r="K284" i="4"/>
  <c r="L284" i="4"/>
  <c r="N284" i="4"/>
  <c r="O284" i="4"/>
  <c r="Q284" i="4"/>
  <c r="R284" i="4"/>
  <c r="S284" i="4"/>
  <c r="T284" i="4"/>
  <c r="V284" i="4"/>
  <c r="W284" i="4"/>
  <c r="Y284" i="4"/>
  <c r="F285" i="4"/>
  <c r="G285" i="4"/>
  <c r="I285" i="4"/>
  <c r="K285" i="4"/>
  <c r="L285" i="4"/>
  <c r="N285" i="4"/>
  <c r="O285" i="4"/>
  <c r="Q285" i="4"/>
  <c r="R285" i="4"/>
  <c r="S285" i="4"/>
  <c r="T285" i="4"/>
  <c r="V285" i="4"/>
  <c r="W285" i="4"/>
  <c r="Y285" i="4"/>
  <c r="F286" i="4"/>
  <c r="G286" i="4"/>
  <c r="I286" i="4"/>
  <c r="K286" i="4"/>
  <c r="L286" i="4"/>
  <c r="N286" i="4"/>
  <c r="O286" i="4"/>
  <c r="Q286" i="4"/>
  <c r="R286" i="4"/>
  <c r="S286" i="4"/>
  <c r="T286" i="4"/>
  <c r="V286" i="4"/>
  <c r="W286" i="4"/>
  <c r="Y286" i="4"/>
  <c r="F287" i="4"/>
  <c r="G287" i="4"/>
  <c r="I287" i="4"/>
  <c r="K287" i="4"/>
  <c r="L287" i="4"/>
  <c r="N287" i="4"/>
  <c r="O287" i="4"/>
  <c r="Q287" i="4"/>
  <c r="R287" i="4"/>
  <c r="S287" i="4"/>
  <c r="T287" i="4"/>
  <c r="V287" i="4"/>
  <c r="W287" i="4"/>
  <c r="Y287" i="4"/>
  <c r="F288" i="4"/>
  <c r="G288" i="4"/>
  <c r="I288" i="4"/>
  <c r="L288" i="4"/>
  <c r="N288" i="4"/>
  <c r="O288" i="4"/>
  <c r="Q288" i="4"/>
  <c r="R288" i="4"/>
  <c r="S288" i="4"/>
  <c r="T288" i="4"/>
  <c r="V288" i="4"/>
  <c r="W288" i="4"/>
  <c r="Y288" i="4"/>
  <c r="F289" i="4"/>
  <c r="G289" i="4"/>
  <c r="I289" i="4"/>
  <c r="K289" i="4"/>
  <c r="L289" i="4"/>
  <c r="N289" i="4"/>
  <c r="O289" i="4"/>
  <c r="Q289" i="4"/>
  <c r="R289" i="4"/>
  <c r="S289" i="4"/>
  <c r="T289" i="4"/>
  <c r="V289" i="4"/>
  <c r="W289" i="4"/>
  <c r="Y289" i="4"/>
  <c r="E290" i="4"/>
  <c r="G290" i="4"/>
  <c r="I290" i="4"/>
  <c r="L290" i="4"/>
  <c r="N290" i="4"/>
  <c r="O290" i="4"/>
  <c r="Q290" i="4"/>
  <c r="R290" i="4"/>
  <c r="S290" i="4"/>
  <c r="T290" i="4"/>
  <c r="V290" i="4"/>
  <c r="W290" i="4"/>
  <c r="Y290" i="4"/>
  <c r="E291" i="4"/>
  <c r="G291" i="4"/>
  <c r="I291" i="4"/>
  <c r="K291" i="4"/>
  <c r="L291" i="4"/>
  <c r="N291" i="4"/>
  <c r="O291" i="4"/>
  <c r="Q291" i="4"/>
  <c r="R291" i="4"/>
  <c r="S291" i="4"/>
  <c r="T291" i="4"/>
  <c r="V291" i="4"/>
  <c r="W291" i="4"/>
  <c r="Y291" i="4"/>
  <c r="E292" i="4"/>
  <c r="F292" i="4"/>
  <c r="G292" i="4"/>
  <c r="I292" i="4"/>
  <c r="K292" i="4"/>
  <c r="L292" i="4"/>
  <c r="N292" i="4"/>
  <c r="O292" i="4"/>
  <c r="Q292" i="4"/>
  <c r="R292" i="4"/>
  <c r="S292" i="4"/>
  <c r="T292" i="4"/>
  <c r="V292" i="4"/>
  <c r="W292" i="4"/>
  <c r="Y292" i="4"/>
  <c r="E293" i="4"/>
  <c r="F293" i="4"/>
  <c r="G293" i="4"/>
  <c r="I293" i="4"/>
  <c r="K293" i="4"/>
  <c r="L293" i="4"/>
  <c r="N293" i="4"/>
  <c r="O293" i="4"/>
  <c r="Q293" i="4"/>
  <c r="R293" i="4"/>
  <c r="S293" i="4"/>
  <c r="T293" i="4"/>
  <c r="V293" i="4"/>
  <c r="W293" i="4"/>
  <c r="Y293" i="4"/>
  <c r="E294" i="4"/>
  <c r="F294" i="4"/>
  <c r="G294" i="4"/>
  <c r="I294" i="4"/>
  <c r="K294" i="4"/>
  <c r="L294" i="4"/>
  <c r="N294" i="4"/>
  <c r="O294" i="4"/>
  <c r="Q294" i="4"/>
  <c r="R294" i="4"/>
  <c r="S294" i="4"/>
  <c r="T294" i="4"/>
  <c r="V294" i="4"/>
  <c r="W294" i="4"/>
  <c r="Y294" i="4"/>
  <c r="E295" i="4"/>
  <c r="G295" i="4"/>
  <c r="I295" i="4"/>
  <c r="K295" i="4"/>
  <c r="L295" i="4"/>
  <c r="N295" i="4"/>
  <c r="O295" i="4"/>
  <c r="Q295" i="4"/>
  <c r="R295" i="4"/>
  <c r="S295" i="4"/>
  <c r="T295" i="4"/>
  <c r="V295" i="4"/>
  <c r="W295" i="4"/>
  <c r="Y295" i="4"/>
  <c r="E296" i="4"/>
  <c r="G296" i="4"/>
  <c r="I296" i="4"/>
  <c r="K296" i="4"/>
  <c r="L296" i="4"/>
  <c r="N296" i="4"/>
  <c r="O296" i="4"/>
  <c r="Q296" i="4"/>
  <c r="R296" i="4"/>
  <c r="S296" i="4"/>
  <c r="T296" i="4"/>
  <c r="V296" i="4"/>
  <c r="W296" i="4"/>
  <c r="Y296" i="4"/>
  <c r="E297" i="4"/>
  <c r="F297" i="4"/>
  <c r="G297" i="4"/>
  <c r="I297" i="4"/>
  <c r="K297" i="4"/>
  <c r="L297" i="4"/>
  <c r="N297" i="4"/>
  <c r="O297" i="4"/>
  <c r="Q297" i="4"/>
  <c r="R297" i="4"/>
  <c r="S297" i="4"/>
  <c r="T297" i="4"/>
  <c r="V297" i="4"/>
  <c r="W297" i="4"/>
  <c r="Y297" i="4"/>
  <c r="E298" i="4"/>
  <c r="F298" i="4"/>
  <c r="G298" i="4"/>
  <c r="I298" i="4"/>
  <c r="K298" i="4"/>
  <c r="L298" i="4"/>
  <c r="N298" i="4"/>
  <c r="O298" i="4"/>
  <c r="Q298" i="4"/>
  <c r="R298" i="4"/>
  <c r="S298" i="4"/>
  <c r="T298" i="4"/>
  <c r="V298" i="4"/>
  <c r="W298" i="4"/>
  <c r="Y298" i="4"/>
  <c r="E299" i="4"/>
  <c r="F299" i="4"/>
  <c r="G299" i="4"/>
  <c r="I299" i="4"/>
  <c r="K299" i="4"/>
  <c r="L299" i="4"/>
  <c r="N299" i="4"/>
  <c r="O299" i="4"/>
  <c r="Q299" i="4"/>
  <c r="R299" i="4"/>
  <c r="S299" i="4"/>
  <c r="T299" i="4"/>
  <c r="V299" i="4"/>
  <c r="W299" i="4"/>
  <c r="Y299" i="4"/>
  <c r="F300" i="4"/>
  <c r="G300" i="4"/>
  <c r="K300" i="4"/>
  <c r="L300" i="4"/>
  <c r="N300" i="4"/>
  <c r="O300" i="4"/>
  <c r="Q300" i="4"/>
  <c r="R300" i="4"/>
  <c r="S300" i="4"/>
  <c r="T300" i="4"/>
  <c r="V300" i="4"/>
  <c r="W300" i="4"/>
  <c r="Y300" i="4"/>
  <c r="E301" i="4"/>
  <c r="F301" i="4"/>
  <c r="G301" i="4"/>
  <c r="I301" i="4"/>
  <c r="K301" i="4"/>
  <c r="L301" i="4"/>
  <c r="N301" i="4"/>
  <c r="O301" i="4"/>
  <c r="Q301" i="4"/>
  <c r="R301" i="4"/>
  <c r="S301" i="4"/>
  <c r="T301" i="4"/>
  <c r="V301" i="4"/>
  <c r="W301" i="4"/>
  <c r="Y301" i="4"/>
  <c r="G302" i="4"/>
  <c r="I302" i="4"/>
  <c r="K302" i="4"/>
  <c r="L302" i="4"/>
  <c r="N302" i="4"/>
  <c r="O302" i="4"/>
  <c r="Q302" i="4"/>
  <c r="R302" i="4"/>
  <c r="S302" i="4"/>
  <c r="T302" i="4"/>
  <c r="V302" i="4"/>
  <c r="W302" i="4"/>
  <c r="Y302" i="4"/>
  <c r="G303" i="4"/>
  <c r="I303" i="4"/>
  <c r="K303" i="4"/>
  <c r="L303" i="4"/>
  <c r="N303" i="4"/>
  <c r="O303" i="4"/>
  <c r="Q303" i="4"/>
  <c r="R303" i="4"/>
  <c r="S303" i="4"/>
  <c r="T303" i="4"/>
  <c r="V303" i="4"/>
  <c r="W303" i="4"/>
  <c r="Y303" i="4"/>
  <c r="G304" i="4"/>
  <c r="I304" i="4"/>
  <c r="K304" i="4"/>
  <c r="L304" i="4"/>
  <c r="N304" i="4"/>
  <c r="O304" i="4"/>
  <c r="Q304" i="4"/>
  <c r="R304" i="4"/>
  <c r="S304" i="4"/>
  <c r="T304" i="4"/>
  <c r="V304" i="4"/>
  <c r="W304" i="4"/>
  <c r="Y304" i="4"/>
  <c r="G305" i="4"/>
  <c r="I305" i="4"/>
  <c r="K305" i="4"/>
  <c r="L305" i="4"/>
  <c r="N305" i="4"/>
  <c r="O305" i="4"/>
  <c r="Q305" i="4"/>
  <c r="R305" i="4"/>
  <c r="S305" i="4"/>
  <c r="T305" i="4"/>
  <c r="V305" i="4"/>
  <c r="W305" i="4"/>
  <c r="Y305" i="4"/>
  <c r="G306" i="4"/>
  <c r="I306" i="4"/>
  <c r="J306" i="4"/>
  <c r="K306" i="4"/>
  <c r="L306" i="4"/>
  <c r="N306" i="4"/>
  <c r="O306" i="4"/>
  <c r="Q306" i="4"/>
  <c r="R306" i="4"/>
  <c r="S306" i="4"/>
  <c r="T306" i="4"/>
  <c r="V306" i="4"/>
  <c r="W306" i="4"/>
  <c r="Y306" i="4"/>
  <c r="E307" i="4"/>
  <c r="F307" i="4"/>
  <c r="G307" i="4"/>
  <c r="I307" i="4"/>
  <c r="J307" i="4"/>
  <c r="K307" i="4"/>
  <c r="L307" i="4"/>
  <c r="N307" i="4"/>
  <c r="O307" i="4"/>
  <c r="Q307" i="4"/>
  <c r="R307" i="4"/>
  <c r="S307" i="4"/>
  <c r="T307" i="4"/>
  <c r="V307" i="4"/>
  <c r="W307" i="4"/>
  <c r="Y307" i="4"/>
  <c r="E308" i="4"/>
  <c r="F308" i="4"/>
  <c r="G308" i="4"/>
  <c r="I308" i="4"/>
  <c r="L308" i="4"/>
  <c r="N308" i="4"/>
  <c r="O308" i="4"/>
  <c r="Q308" i="4"/>
  <c r="R308" i="4"/>
  <c r="S308" i="4"/>
  <c r="T308" i="4"/>
  <c r="V308" i="4"/>
  <c r="W308" i="4"/>
  <c r="Y308" i="4"/>
  <c r="E309" i="4"/>
  <c r="F309" i="4"/>
  <c r="G309" i="4"/>
  <c r="I309" i="4"/>
  <c r="K309" i="4"/>
  <c r="L309" i="4"/>
  <c r="N309" i="4"/>
  <c r="O309" i="4"/>
  <c r="Q309" i="4"/>
  <c r="R309" i="4"/>
  <c r="S309" i="4"/>
  <c r="T309" i="4"/>
  <c r="V309" i="4"/>
  <c r="W309" i="4"/>
  <c r="Y309" i="4"/>
  <c r="G310" i="4"/>
  <c r="I310" i="4"/>
  <c r="K310" i="4"/>
  <c r="L310" i="4"/>
  <c r="N310" i="4"/>
  <c r="O310" i="4"/>
  <c r="Q310" i="4"/>
  <c r="R310" i="4"/>
  <c r="S310" i="4"/>
  <c r="T310" i="4"/>
  <c r="V310" i="4"/>
  <c r="W310" i="4"/>
  <c r="Y310" i="4"/>
  <c r="X311" i="4"/>
  <c r="Z311" i="4" s="1"/>
  <c r="P312" i="4"/>
  <c r="X313" i="4"/>
  <c r="Z313" i="4" s="1"/>
  <c r="X314" i="4"/>
  <c r="Z314" i="4" s="1"/>
  <c r="E315" i="4"/>
  <c r="F315" i="4"/>
  <c r="G315" i="4"/>
  <c r="I315" i="4"/>
  <c r="K315" i="4"/>
  <c r="L315" i="4"/>
  <c r="N315" i="4"/>
  <c r="O315" i="4"/>
  <c r="Q315" i="4"/>
  <c r="R315" i="4"/>
  <c r="S315" i="4"/>
  <c r="T315" i="4"/>
  <c r="V315" i="4"/>
  <c r="W315" i="4"/>
  <c r="Y315" i="4"/>
  <c r="G316" i="4"/>
  <c r="I316" i="4"/>
  <c r="K316" i="4"/>
  <c r="L316" i="4"/>
  <c r="N316" i="4"/>
  <c r="O316" i="4"/>
  <c r="Q316" i="4"/>
  <c r="R316" i="4"/>
  <c r="S316" i="4"/>
  <c r="T316" i="4"/>
  <c r="V316" i="4"/>
  <c r="W316" i="4"/>
  <c r="Y316" i="4"/>
  <c r="F317" i="4"/>
  <c r="G317" i="4"/>
  <c r="I317" i="4"/>
  <c r="L317" i="4"/>
  <c r="N317" i="4"/>
  <c r="O317" i="4"/>
  <c r="Q317" i="4"/>
  <c r="R317" i="4"/>
  <c r="S317" i="4"/>
  <c r="T317" i="4"/>
  <c r="V317" i="4"/>
  <c r="W317" i="4"/>
  <c r="Y317" i="4"/>
  <c r="F318" i="4"/>
  <c r="G318" i="4"/>
  <c r="I318" i="4"/>
  <c r="K318" i="4"/>
  <c r="L318" i="4"/>
  <c r="N318" i="4"/>
  <c r="O318" i="4"/>
  <c r="Q318" i="4"/>
  <c r="R318" i="4"/>
  <c r="S318" i="4"/>
  <c r="T318" i="4"/>
  <c r="V318" i="4"/>
  <c r="W318" i="4"/>
  <c r="Y318" i="4"/>
  <c r="E319" i="4"/>
  <c r="F319" i="4"/>
  <c r="G319" i="4"/>
  <c r="I319" i="4"/>
  <c r="K319" i="4"/>
  <c r="L319" i="4"/>
  <c r="N319" i="4"/>
  <c r="O319" i="4"/>
  <c r="Q319" i="4"/>
  <c r="R319" i="4"/>
  <c r="S319" i="4"/>
  <c r="T319" i="4"/>
  <c r="V319" i="4"/>
  <c r="W319" i="4"/>
  <c r="Y319" i="4"/>
  <c r="E320" i="4"/>
  <c r="G320" i="4"/>
  <c r="I320" i="4"/>
  <c r="K320" i="4"/>
  <c r="L320" i="4"/>
  <c r="N320" i="4"/>
  <c r="O320" i="4"/>
  <c r="Q320" i="4"/>
  <c r="R320" i="4"/>
  <c r="S320" i="4"/>
  <c r="T320" i="4"/>
  <c r="V320" i="4"/>
  <c r="W320" i="4"/>
  <c r="Y320" i="4"/>
  <c r="E321" i="4"/>
  <c r="G321" i="4"/>
  <c r="I321" i="4"/>
  <c r="K321" i="4"/>
  <c r="L321" i="4"/>
  <c r="N321" i="4"/>
  <c r="O321" i="4"/>
  <c r="Q321" i="4"/>
  <c r="R321" i="4"/>
  <c r="S321" i="4"/>
  <c r="T321" i="4"/>
  <c r="V321" i="4"/>
  <c r="W321" i="4"/>
  <c r="Y321" i="4"/>
  <c r="E322" i="4"/>
  <c r="F322" i="4"/>
  <c r="G322" i="4"/>
  <c r="I322" i="4"/>
  <c r="K322" i="4"/>
  <c r="L322" i="4"/>
  <c r="N322" i="4"/>
  <c r="O322" i="4"/>
  <c r="Q322" i="4"/>
  <c r="R322" i="4"/>
  <c r="S322" i="4"/>
  <c r="T322" i="4"/>
  <c r="V322" i="4"/>
  <c r="W322" i="4"/>
  <c r="Y322" i="4"/>
  <c r="E323" i="4"/>
  <c r="F323" i="4"/>
  <c r="G323" i="4"/>
  <c r="I323" i="4"/>
  <c r="K323" i="4"/>
  <c r="L323" i="4"/>
  <c r="N323" i="4"/>
  <c r="O323" i="4"/>
  <c r="Q323" i="4"/>
  <c r="R323" i="4"/>
  <c r="S323" i="4"/>
  <c r="T323" i="4"/>
  <c r="V323" i="4"/>
  <c r="W323" i="4"/>
  <c r="Y323" i="4"/>
  <c r="E324" i="4"/>
  <c r="F324" i="4"/>
  <c r="G324" i="4"/>
  <c r="I324" i="4"/>
  <c r="K324" i="4"/>
  <c r="L324" i="4"/>
  <c r="N324" i="4"/>
  <c r="O324" i="4"/>
  <c r="Q324" i="4"/>
  <c r="R324" i="4"/>
  <c r="S324" i="4"/>
  <c r="T324" i="4"/>
  <c r="V324" i="4"/>
  <c r="W324" i="4"/>
  <c r="Y324" i="4"/>
  <c r="E325" i="4"/>
  <c r="F325" i="4"/>
  <c r="G325" i="4"/>
  <c r="I325" i="4"/>
  <c r="K325" i="4"/>
  <c r="L325" i="4"/>
  <c r="N325" i="4"/>
  <c r="O325" i="4"/>
  <c r="Q325" i="4"/>
  <c r="R325" i="4"/>
  <c r="S325" i="4"/>
  <c r="T325" i="4"/>
  <c r="V325" i="4"/>
  <c r="W325" i="4"/>
  <c r="Y325" i="4"/>
  <c r="F326" i="4"/>
  <c r="G326" i="4"/>
  <c r="I326" i="4"/>
  <c r="K326" i="4"/>
  <c r="L326" i="4"/>
  <c r="N326" i="4"/>
  <c r="O326" i="4"/>
  <c r="Q326" i="4"/>
  <c r="R326" i="4"/>
  <c r="S326" i="4"/>
  <c r="T326" i="4"/>
  <c r="V326" i="4"/>
  <c r="W326" i="4"/>
  <c r="Y326" i="4"/>
  <c r="F327" i="4"/>
  <c r="G327" i="4"/>
  <c r="I327" i="4"/>
  <c r="J327" i="4"/>
  <c r="K327" i="4"/>
  <c r="L327" i="4"/>
  <c r="N327" i="4"/>
  <c r="O327" i="4"/>
  <c r="Q327" i="4"/>
  <c r="R327" i="4"/>
  <c r="S327" i="4"/>
  <c r="T327" i="4"/>
  <c r="V327" i="4"/>
  <c r="W327" i="4"/>
  <c r="Y327" i="4"/>
  <c r="F328" i="4"/>
  <c r="G328" i="4"/>
  <c r="I328" i="4"/>
  <c r="K328" i="4"/>
  <c r="L328" i="4"/>
  <c r="N328" i="4"/>
  <c r="O328" i="4"/>
  <c r="Q328" i="4"/>
  <c r="R328" i="4"/>
  <c r="S328" i="4"/>
  <c r="T328" i="4"/>
  <c r="V328" i="4"/>
  <c r="W328" i="4"/>
  <c r="Y328" i="4"/>
  <c r="E329" i="4"/>
  <c r="F329" i="4"/>
  <c r="G329" i="4"/>
  <c r="I329" i="4"/>
  <c r="K329" i="4"/>
  <c r="L329" i="4"/>
  <c r="N329" i="4"/>
  <c r="O329" i="4"/>
  <c r="Q329" i="4"/>
  <c r="R329" i="4"/>
  <c r="S329" i="4"/>
  <c r="T329" i="4"/>
  <c r="V329" i="4"/>
  <c r="W329" i="4"/>
  <c r="Y329" i="4"/>
  <c r="E330" i="4"/>
  <c r="F330" i="4"/>
  <c r="G330" i="4"/>
  <c r="I330" i="4"/>
  <c r="K330" i="4"/>
  <c r="L330" i="4"/>
  <c r="N330" i="4"/>
  <c r="O330" i="4"/>
  <c r="Q330" i="4"/>
  <c r="R330" i="4"/>
  <c r="S330" i="4"/>
  <c r="T330" i="4"/>
  <c r="V330" i="4"/>
  <c r="W330" i="4"/>
  <c r="Y330" i="4"/>
  <c r="G331" i="4"/>
  <c r="I331" i="4"/>
  <c r="K331" i="4"/>
  <c r="L331" i="4"/>
  <c r="N331" i="4"/>
  <c r="O331" i="4"/>
  <c r="Q331" i="4"/>
  <c r="R331" i="4"/>
  <c r="S331" i="4"/>
  <c r="T331" i="4"/>
  <c r="V331" i="4"/>
  <c r="W331" i="4"/>
  <c r="Y331" i="4"/>
  <c r="X332" i="4"/>
  <c r="Z332" i="4" s="1"/>
  <c r="P333" i="4"/>
  <c r="X333" i="4" s="1"/>
  <c r="Z333" i="4" s="1"/>
  <c r="X334" i="4"/>
  <c r="Z334" i="4" s="1"/>
  <c r="X335" i="4"/>
  <c r="Z335" i="4" s="1"/>
  <c r="F336" i="4"/>
  <c r="G336" i="4"/>
  <c r="I336" i="4"/>
  <c r="L336" i="4"/>
  <c r="N336" i="4"/>
  <c r="O336" i="4"/>
  <c r="Q336" i="4"/>
  <c r="R336" i="4"/>
  <c r="S336" i="4"/>
  <c r="T336" i="4"/>
  <c r="V336" i="4"/>
  <c r="W336" i="4"/>
  <c r="Y336" i="4"/>
  <c r="F337" i="4"/>
  <c r="G337" i="4"/>
  <c r="I337" i="4"/>
  <c r="K337" i="4"/>
  <c r="L337" i="4"/>
  <c r="N337" i="4"/>
  <c r="O337" i="4"/>
  <c r="Q337" i="4"/>
  <c r="R337" i="4"/>
  <c r="S337" i="4"/>
  <c r="T337" i="4"/>
  <c r="V337" i="4"/>
  <c r="W337" i="4"/>
  <c r="Y337" i="4"/>
  <c r="F338" i="4"/>
  <c r="G338" i="4"/>
  <c r="I338" i="4"/>
  <c r="K338" i="4"/>
  <c r="L338" i="4"/>
  <c r="N338" i="4"/>
  <c r="O338" i="4"/>
  <c r="Q338" i="4"/>
  <c r="R338" i="4"/>
  <c r="S338" i="4"/>
  <c r="T338" i="4"/>
  <c r="V338" i="4"/>
  <c r="W338" i="4"/>
  <c r="Y338" i="4"/>
  <c r="F339" i="4"/>
  <c r="G339" i="4"/>
  <c r="I339" i="4"/>
  <c r="K339" i="4"/>
  <c r="L339" i="4"/>
  <c r="N339" i="4"/>
  <c r="O339" i="4"/>
  <c r="Q339" i="4"/>
  <c r="R339" i="4"/>
  <c r="S339" i="4"/>
  <c r="T339" i="4"/>
  <c r="V339" i="4"/>
  <c r="W339" i="4"/>
  <c r="Y339" i="4"/>
  <c r="F340" i="4"/>
  <c r="G340" i="4"/>
  <c r="I340" i="4"/>
  <c r="K340" i="4"/>
  <c r="L340" i="4"/>
  <c r="N340" i="4"/>
  <c r="O340" i="4"/>
  <c r="Q340" i="4"/>
  <c r="R340" i="4"/>
  <c r="S340" i="4"/>
  <c r="T340" i="4"/>
  <c r="V340" i="4"/>
  <c r="W340" i="4"/>
  <c r="Y340" i="4"/>
  <c r="F341" i="4"/>
  <c r="G341" i="4"/>
  <c r="I341" i="4"/>
  <c r="K341" i="4"/>
  <c r="L341" i="4"/>
  <c r="N341" i="4"/>
  <c r="O341" i="4"/>
  <c r="Q341" i="4"/>
  <c r="R341" i="4"/>
  <c r="S341" i="4"/>
  <c r="T341" i="4"/>
  <c r="V341" i="4"/>
  <c r="W341" i="4"/>
  <c r="Y341" i="4"/>
  <c r="E342" i="4"/>
  <c r="F342" i="4"/>
  <c r="G342" i="4"/>
  <c r="I342" i="4"/>
  <c r="K342" i="4"/>
  <c r="L342" i="4"/>
  <c r="N342" i="4"/>
  <c r="O342" i="4"/>
  <c r="Q342" i="4"/>
  <c r="R342" i="4"/>
  <c r="S342" i="4"/>
  <c r="T342" i="4"/>
  <c r="V342" i="4"/>
  <c r="W342" i="4"/>
  <c r="Y342" i="4"/>
  <c r="E343" i="4"/>
  <c r="F343" i="4"/>
  <c r="G343" i="4"/>
  <c r="I343" i="4"/>
  <c r="K343" i="4"/>
  <c r="L343" i="4"/>
  <c r="N343" i="4"/>
  <c r="O343" i="4"/>
  <c r="Q343" i="4"/>
  <c r="R343" i="4"/>
  <c r="S343" i="4"/>
  <c r="T343" i="4"/>
  <c r="V343" i="4"/>
  <c r="W343" i="4"/>
  <c r="Y343" i="4"/>
  <c r="G344" i="4"/>
  <c r="I344" i="4"/>
  <c r="K344" i="4"/>
  <c r="L344" i="4"/>
  <c r="N344" i="4"/>
  <c r="O344" i="4"/>
  <c r="Q344" i="4"/>
  <c r="R344" i="4"/>
  <c r="S344" i="4"/>
  <c r="T344" i="4"/>
  <c r="V344" i="4"/>
  <c r="W344" i="4"/>
  <c r="Y344" i="4"/>
  <c r="F345" i="4"/>
  <c r="G345" i="4"/>
  <c r="I345" i="4"/>
  <c r="K345" i="4"/>
  <c r="L345" i="4"/>
  <c r="N345" i="4"/>
  <c r="O345" i="4"/>
  <c r="Q345" i="4"/>
  <c r="R345" i="4"/>
  <c r="S345" i="4"/>
  <c r="T345" i="4"/>
  <c r="V345" i="4"/>
  <c r="W345" i="4"/>
  <c r="Y345" i="4"/>
  <c r="E346" i="4"/>
  <c r="F346" i="4"/>
  <c r="G346" i="4"/>
  <c r="I346" i="4"/>
  <c r="K346" i="4"/>
  <c r="L346" i="4"/>
  <c r="N346" i="4"/>
  <c r="O346" i="4"/>
  <c r="Q346" i="4"/>
  <c r="R346" i="4"/>
  <c r="S346" i="4"/>
  <c r="T346" i="4"/>
  <c r="V346" i="4"/>
  <c r="W346" i="4"/>
  <c r="Y346" i="4"/>
  <c r="G347" i="4"/>
  <c r="I347" i="4"/>
  <c r="K347" i="4"/>
  <c r="L347" i="4"/>
  <c r="N347" i="4"/>
  <c r="O347" i="4"/>
  <c r="Q347" i="4"/>
  <c r="R347" i="4"/>
  <c r="S347" i="4"/>
  <c r="T347" i="4"/>
  <c r="V347" i="4"/>
  <c r="W347" i="4"/>
  <c r="Y347" i="4"/>
  <c r="E348" i="4"/>
  <c r="F348" i="4"/>
  <c r="G348" i="4"/>
  <c r="I348" i="4"/>
  <c r="K348" i="4"/>
  <c r="L348" i="4"/>
  <c r="N348" i="4"/>
  <c r="O348" i="4"/>
  <c r="Q348" i="4"/>
  <c r="R348" i="4"/>
  <c r="S348" i="4"/>
  <c r="T348" i="4"/>
  <c r="V348" i="4"/>
  <c r="W348" i="4"/>
  <c r="Y348" i="4"/>
  <c r="F349" i="4"/>
  <c r="G349" i="4"/>
  <c r="I349" i="4"/>
  <c r="K349" i="4"/>
  <c r="L349" i="4"/>
  <c r="N349" i="4"/>
  <c r="O349" i="4"/>
  <c r="Q349" i="4"/>
  <c r="R349" i="4"/>
  <c r="S349" i="4"/>
  <c r="T349" i="4"/>
  <c r="V349" i="4"/>
  <c r="W349" i="4"/>
  <c r="Y349" i="4"/>
  <c r="E350" i="4"/>
  <c r="F350" i="4"/>
  <c r="G350" i="4"/>
  <c r="I350" i="4"/>
  <c r="K350" i="4"/>
  <c r="L350" i="4"/>
  <c r="N350" i="4"/>
  <c r="O350" i="4"/>
  <c r="Q350" i="4"/>
  <c r="R350" i="4"/>
  <c r="S350" i="4"/>
  <c r="T350" i="4"/>
  <c r="V350" i="4"/>
  <c r="W350" i="4"/>
  <c r="Y350" i="4"/>
  <c r="E351" i="4"/>
  <c r="F351" i="4"/>
  <c r="G351" i="4"/>
  <c r="I351" i="4"/>
  <c r="K351" i="4"/>
  <c r="L351" i="4"/>
  <c r="N351" i="4"/>
  <c r="O351" i="4"/>
  <c r="Q351" i="4"/>
  <c r="R351" i="4"/>
  <c r="S351" i="4"/>
  <c r="T351" i="4"/>
  <c r="V351" i="4"/>
  <c r="W351" i="4"/>
  <c r="Y351" i="4"/>
  <c r="E352" i="4"/>
  <c r="F352" i="4"/>
  <c r="G352" i="4"/>
  <c r="I352" i="4"/>
  <c r="K352" i="4"/>
  <c r="L352" i="4"/>
  <c r="N352" i="4"/>
  <c r="O352" i="4"/>
  <c r="Q352" i="4"/>
  <c r="R352" i="4"/>
  <c r="S352" i="4"/>
  <c r="T352" i="4"/>
  <c r="V352" i="4"/>
  <c r="W352" i="4"/>
  <c r="Y352" i="4"/>
  <c r="E353" i="4"/>
  <c r="F353" i="4"/>
  <c r="G353" i="4"/>
  <c r="I353" i="4"/>
  <c r="K353" i="4"/>
  <c r="L353" i="4"/>
  <c r="N353" i="4"/>
  <c r="O353" i="4"/>
  <c r="Q353" i="4"/>
  <c r="R353" i="4"/>
  <c r="S353" i="4"/>
  <c r="T353" i="4"/>
  <c r="V353" i="4"/>
  <c r="W353" i="4"/>
  <c r="Y353" i="4"/>
  <c r="E354" i="4"/>
  <c r="F354" i="4"/>
  <c r="G354" i="4"/>
  <c r="I354" i="4"/>
  <c r="K354" i="4"/>
  <c r="L354" i="4"/>
  <c r="N354" i="4"/>
  <c r="O354" i="4"/>
  <c r="Q354" i="4"/>
  <c r="R354" i="4"/>
  <c r="S354" i="4"/>
  <c r="T354" i="4"/>
  <c r="V354" i="4"/>
  <c r="W354" i="4"/>
  <c r="Y354" i="4"/>
  <c r="G355" i="4"/>
  <c r="I355" i="4"/>
  <c r="J355" i="4"/>
  <c r="K355" i="4"/>
  <c r="L355" i="4"/>
  <c r="N355" i="4"/>
  <c r="O355" i="4"/>
  <c r="Q355" i="4"/>
  <c r="R355" i="4"/>
  <c r="S355" i="4"/>
  <c r="T355" i="4"/>
  <c r="V355" i="4"/>
  <c r="W355" i="4"/>
  <c r="Y355" i="4"/>
  <c r="E356" i="4"/>
  <c r="G356" i="4"/>
  <c r="I356" i="4"/>
  <c r="J356" i="4"/>
  <c r="K356" i="4"/>
  <c r="L356" i="4"/>
  <c r="N356" i="4"/>
  <c r="O356" i="4"/>
  <c r="Q356" i="4"/>
  <c r="R356" i="4"/>
  <c r="S356" i="4"/>
  <c r="T356" i="4"/>
  <c r="V356" i="4"/>
  <c r="W356" i="4"/>
  <c r="Y356" i="4"/>
  <c r="E357" i="4"/>
  <c r="F357" i="4"/>
  <c r="G357" i="4"/>
  <c r="I357" i="4"/>
  <c r="J357" i="4"/>
  <c r="K357" i="4"/>
  <c r="L357" i="4"/>
  <c r="N357" i="4"/>
  <c r="O357" i="4"/>
  <c r="Q357" i="4"/>
  <c r="R357" i="4"/>
  <c r="S357" i="4"/>
  <c r="T357" i="4"/>
  <c r="V357" i="4"/>
  <c r="W357" i="4"/>
  <c r="Y357" i="4"/>
  <c r="E358" i="4"/>
  <c r="F358" i="4"/>
  <c r="G358" i="4"/>
  <c r="I358" i="4"/>
  <c r="J358" i="4"/>
  <c r="K358" i="4"/>
  <c r="L358" i="4"/>
  <c r="N358" i="4"/>
  <c r="O358" i="4"/>
  <c r="Q358" i="4"/>
  <c r="R358" i="4"/>
  <c r="S358" i="4"/>
  <c r="T358" i="4"/>
  <c r="V358" i="4"/>
  <c r="W358" i="4"/>
  <c r="Y358" i="4"/>
  <c r="E359" i="4"/>
  <c r="F359" i="4"/>
  <c r="G359" i="4"/>
  <c r="I359" i="4"/>
  <c r="J359" i="4"/>
  <c r="K359" i="4"/>
  <c r="L359" i="4"/>
  <c r="N359" i="4"/>
  <c r="O359" i="4"/>
  <c r="P359" i="4"/>
  <c r="Q359" i="4"/>
  <c r="R359" i="4"/>
  <c r="S359" i="4"/>
  <c r="T359" i="4"/>
  <c r="U359" i="4"/>
  <c r="V359" i="4"/>
  <c r="W359" i="4"/>
  <c r="Y359" i="4"/>
  <c r="E360" i="4"/>
  <c r="F360" i="4"/>
  <c r="G360" i="4"/>
  <c r="I360" i="4"/>
  <c r="J360" i="4"/>
  <c r="K360" i="4"/>
  <c r="L360" i="4"/>
  <c r="N360" i="4"/>
  <c r="O360" i="4"/>
  <c r="Q360" i="4"/>
  <c r="R360" i="4"/>
  <c r="S360" i="4"/>
  <c r="T360" i="4"/>
  <c r="V360" i="4"/>
  <c r="W360" i="4"/>
  <c r="Y360" i="4"/>
  <c r="E361" i="4"/>
  <c r="F361" i="4"/>
  <c r="G361" i="4"/>
  <c r="I361" i="4"/>
  <c r="J361" i="4"/>
  <c r="K361" i="4"/>
  <c r="L361" i="4"/>
  <c r="N361" i="4"/>
  <c r="O361" i="4"/>
  <c r="Q361" i="4"/>
  <c r="R361" i="4"/>
  <c r="S361" i="4"/>
  <c r="T361" i="4"/>
  <c r="V361" i="4"/>
  <c r="W361" i="4"/>
  <c r="Y361" i="4"/>
  <c r="E362" i="4"/>
  <c r="F362" i="4"/>
  <c r="G362" i="4"/>
  <c r="I362" i="4"/>
  <c r="J362" i="4"/>
  <c r="K362" i="4"/>
  <c r="L362" i="4"/>
  <c r="N362" i="4"/>
  <c r="O362" i="4"/>
  <c r="Q362" i="4"/>
  <c r="R362" i="4"/>
  <c r="S362" i="4"/>
  <c r="T362" i="4"/>
  <c r="V362" i="4"/>
  <c r="W362" i="4"/>
  <c r="Y362" i="4"/>
  <c r="E363" i="4"/>
  <c r="F363" i="4"/>
  <c r="G363" i="4"/>
  <c r="I363" i="4"/>
  <c r="K363" i="4"/>
  <c r="L363" i="4"/>
  <c r="N363" i="4"/>
  <c r="O363" i="4"/>
  <c r="Q363" i="4"/>
  <c r="R363" i="4"/>
  <c r="S363" i="4"/>
  <c r="T363" i="4"/>
  <c r="V363" i="4"/>
  <c r="W363" i="4"/>
  <c r="Y363" i="4"/>
  <c r="E364" i="4"/>
  <c r="F364" i="4"/>
  <c r="G364" i="4"/>
  <c r="I364" i="4"/>
  <c r="K364" i="4"/>
  <c r="L364" i="4"/>
  <c r="N364" i="4"/>
  <c r="O364" i="4"/>
  <c r="Q364" i="4"/>
  <c r="R364" i="4"/>
  <c r="S364" i="4"/>
  <c r="T364" i="4"/>
  <c r="V364" i="4"/>
  <c r="W364" i="4"/>
  <c r="Y364" i="4"/>
  <c r="E365" i="4"/>
  <c r="F365" i="4"/>
  <c r="G365" i="4"/>
  <c r="I365" i="4"/>
  <c r="K365" i="4"/>
  <c r="L365" i="4"/>
  <c r="N365" i="4"/>
  <c r="O365" i="4"/>
  <c r="Q365" i="4"/>
  <c r="R365" i="4"/>
  <c r="S365" i="4"/>
  <c r="T365" i="4"/>
  <c r="V365" i="4"/>
  <c r="W365" i="4"/>
  <c r="Y365" i="4"/>
  <c r="E366" i="4"/>
  <c r="F366" i="4"/>
  <c r="G366" i="4"/>
  <c r="I366" i="4"/>
  <c r="K366" i="4"/>
  <c r="L366" i="4"/>
  <c r="N366" i="4"/>
  <c r="O366" i="4"/>
  <c r="Q366" i="4"/>
  <c r="R366" i="4"/>
  <c r="S366" i="4"/>
  <c r="T366" i="4"/>
  <c r="V366" i="4"/>
  <c r="W366" i="4"/>
  <c r="Y366" i="4"/>
  <c r="G367" i="4"/>
  <c r="I367" i="4"/>
  <c r="K367" i="4"/>
  <c r="L367" i="4"/>
  <c r="N367" i="4"/>
  <c r="O367" i="4"/>
  <c r="Q367" i="4"/>
  <c r="R367" i="4"/>
  <c r="S367" i="4"/>
  <c r="T367" i="4"/>
  <c r="V367" i="4"/>
  <c r="W367" i="4"/>
  <c r="Y367" i="4"/>
  <c r="X368" i="4"/>
  <c r="Z368" i="4" s="1"/>
  <c r="P369" i="4"/>
  <c r="X370" i="4"/>
  <c r="Z370" i="4" s="1"/>
  <c r="X371" i="4"/>
  <c r="Z371" i="4" s="1"/>
  <c r="E372" i="4"/>
  <c r="F372" i="4"/>
  <c r="G372" i="4"/>
  <c r="I372" i="4"/>
  <c r="K372" i="4"/>
  <c r="L372" i="4"/>
  <c r="N372" i="4"/>
  <c r="O372" i="4"/>
  <c r="Q372" i="4"/>
  <c r="R372" i="4"/>
  <c r="S372" i="4"/>
  <c r="T372" i="4"/>
  <c r="V372" i="4"/>
  <c r="W372" i="4"/>
  <c r="Y372" i="4"/>
  <c r="E373" i="4"/>
  <c r="F373" i="4"/>
  <c r="G373" i="4"/>
  <c r="I373" i="4"/>
  <c r="L373" i="4"/>
  <c r="N373" i="4"/>
  <c r="O373" i="4"/>
  <c r="Q373" i="4"/>
  <c r="R373" i="4"/>
  <c r="S373" i="4"/>
  <c r="T373" i="4"/>
  <c r="V373" i="4"/>
  <c r="W373" i="4"/>
  <c r="Y373" i="4"/>
  <c r="F374" i="4"/>
  <c r="G374" i="4"/>
  <c r="I374" i="4"/>
  <c r="K374" i="4"/>
  <c r="L374" i="4"/>
  <c r="N374" i="4"/>
  <c r="O374" i="4"/>
  <c r="Q374" i="4"/>
  <c r="R374" i="4"/>
  <c r="S374" i="4"/>
  <c r="T374" i="4"/>
  <c r="V374" i="4"/>
  <c r="W374" i="4"/>
  <c r="Y374" i="4"/>
  <c r="F375" i="4"/>
  <c r="G375" i="4"/>
  <c r="I375" i="4"/>
  <c r="L375" i="4"/>
  <c r="N375" i="4"/>
  <c r="O375" i="4"/>
  <c r="Q375" i="4"/>
  <c r="R375" i="4"/>
  <c r="S375" i="4"/>
  <c r="T375" i="4"/>
  <c r="V375" i="4"/>
  <c r="W375" i="4"/>
  <c r="Y375" i="4"/>
  <c r="F376" i="4"/>
  <c r="G376" i="4"/>
  <c r="I376" i="4"/>
  <c r="K376" i="4"/>
  <c r="L376" i="4"/>
  <c r="N376" i="4"/>
  <c r="O376" i="4"/>
  <c r="Q376" i="4"/>
  <c r="R376" i="4"/>
  <c r="S376" i="4"/>
  <c r="T376" i="4"/>
  <c r="V376" i="4"/>
  <c r="W376" i="4"/>
  <c r="Y376" i="4"/>
  <c r="F377" i="4"/>
  <c r="G377" i="4"/>
  <c r="I377" i="4"/>
  <c r="K377" i="4"/>
  <c r="L377" i="4"/>
  <c r="N377" i="4"/>
  <c r="O377" i="4"/>
  <c r="Q377" i="4"/>
  <c r="R377" i="4"/>
  <c r="S377" i="4"/>
  <c r="T377" i="4"/>
  <c r="V377" i="4"/>
  <c r="W377" i="4"/>
  <c r="Y377" i="4"/>
  <c r="E378" i="4"/>
  <c r="F378" i="4"/>
  <c r="G378" i="4"/>
  <c r="I378" i="4"/>
  <c r="K378" i="4"/>
  <c r="L378" i="4"/>
  <c r="N378" i="4"/>
  <c r="O378" i="4"/>
  <c r="Q378" i="4"/>
  <c r="R378" i="4"/>
  <c r="S378" i="4"/>
  <c r="T378" i="4"/>
  <c r="V378" i="4"/>
  <c r="W378" i="4"/>
  <c r="Y378" i="4"/>
  <c r="G379" i="4"/>
  <c r="I379" i="4"/>
  <c r="L379" i="4"/>
  <c r="N379" i="4"/>
  <c r="O379" i="4"/>
  <c r="Q379" i="4"/>
  <c r="R379" i="4"/>
  <c r="S379" i="4"/>
  <c r="T379" i="4"/>
  <c r="V379" i="4"/>
  <c r="W379" i="4"/>
  <c r="Y379" i="4"/>
  <c r="E380" i="4"/>
  <c r="F380" i="4"/>
  <c r="G380" i="4"/>
  <c r="I380" i="4"/>
  <c r="K380" i="4"/>
  <c r="L380" i="4"/>
  <c r="N380" i="4"/>
  <c r="O380" i="4"/>
  <c r="Q380" i="4"/>
  <c r="R380" i="4"/>
  <c r="S380" i="4"/>
  <c r="T380" i="4"/>
  <c r="V380" i="4"/>
  <c r="W380" i="4"/>
  <c r="Y380" i="4"/>
  <c r="G381" i="4"/>
  <c r="I381" i="4"/>
  <c r="K381" i="4"/>
  <c r="L381" i="4"/>
  <c r="N381" i="4"/>
  <c r="O381" i="4"/>
  <c r="Q381" i="4"/>
  <c r="R381" i="4"/>
  <c r="S381" i="4"/>
  <c r="T381" i="4"/>
  <c r="V381" i="4"/>
  <c r="W381" i="4"/>
  <c r="Y381" i="4"/>
  <c r="E382" i="4"/>
  <c r="F382" i="4"/>
  <c r="G382" i="4"/>
  <c r="I382" i="4"/>
  <c r="K382" i="4"/>
  <c r="L382" i="4"/>
  <c r="N382" i="4"/>
  <c r="O382" i="4"/>
  <c r="Q382" i="4"/>
  <c r="R382" i="4"/>
  <c r="S382" i="4"/>
  <c r="T382" i="4"/>
  <c r="V382" i="4"/>
  <c r="W382" i="4"/>
  <c r="Y382" i="4"/>
  <c r="E383" i="4"/>
  <c r="F383" i="4"/>
  <c r="G383" i="4"/>
  <c r="I383" i="4"/>
  <c r="K383" i="4"/>
  <c r="L383" i="4"/>
  <c r="N383" i="4"/>
  <c r="O383" i="4"/>
  <c r="Q383" i="4"/>
  <c r="R383" i="4"/>
  <c r="S383" i="4"/>
  <c r="T383" i="4"/>
  <c r="V383" i="4"/>
  <c r="W383" i="4"/>
  <c r="Y383" i="4"/>
  <c r="E384" i="4"/>
  <c r="F384" i="4"/>
  <c r="G384" i="4"/>
  <c r="I384" i="4"/>
  <c r="K384" i="4"/>
  <c r="L384" i="4"/>
  <c r="N384" i="4"/>
  <c r="O384" i="4"/>
  <c r="Q384" i="4"/>
  <c r="R384" i="4"/>
  <c r="S384" i="4"/>
  <c r="T384" i="4"/>
  <c r="V384" i="4"/>
  <c r="W384" i="4"/>
  <c r="Y384" i="4"/>
  <c r="G385" i="4"/>
  <c r="I385" i="4"/>
  <c r="K385" i="4"/>
  <c r="L385" i="4"/>
  <c r="N385" i="4"/>
  <c r="O385" i="4"/>
  <c r="Q385" i="4"/>
  <c r="R385" i="4"/>
  <c r="S385" i="4"/>
  <c r="T385" i="4"/>
  <c r="V385" i="4"/>
  <c r="W385" i="4"/>
  <c r="Y385" i="4"/>
  <c r="E386" i="4"/>
  <c r="F386" i="4"/>
  <c r="G386" i="4"/>
  <c r="I386" i="4"/>
  <c r="K386" i="4"/>
  <c r="L386" i="4"/>
  <c r="N386" i="4"/>
  <c r="O386" i="4"/>
  <c r="Q386" i="4"/>
  <c r="R386" i="4"/>
  <c r="S386" i="4"/>
  <c r="T386" i="4"/>
  <c r="V386" i="4"/>
  <c r="W386" i="4"/>
  <c r="Y386" i="4"/>
  <c r="E387" i="4"/>
  <c r="F387" i="4"/>
  <c r="G387" i="4"/>
  <c r="I387" i="4"/>
  <c r="K387" i="4"/>
  <c r="L387" i="4"/>
  <c r="N387" i="4"/>
  <c r="O387" i="4"/>
  <c r="Q387" i="4"/>
  <c r="R387" i="4"/>
  <c r="S387" i="4"/>
  <c r="T387" i="4"/>
  <c r="V387" i="4"/>
  <c r="W387" i="4"/>
  <c r="Y387" i="4"/>
  <c r="E388" i="4"/>
  <c r="F388" i="4"/>
  <c r="G388" i="4"/>
  <c r="I388" i="4"/>
  <c r="K388" i="4"/>
  <c r="L388" i="4"/>
  <c r="N388" i="4"/>
  <c r="O388" i="4"/>
  <c r="Q388" i="4"/>
  <c r="R388" i="4"/>
  <c r="S388" i="4"/>
  <c r="T388" i="4"/>
  <c r="V388" i="4"/>
  <c r="W388" i="4"/>
  <c r="Y388" i="4"/>
  <c r="G389" i="4"/>
  <c r="I389" i="4"/>
  <c r="K389" i="4"/>
  <c r="L389" i="4"/>
  <c r="N389" i="4"/>
  <c r="O389" i="4"/>
  <c r="Q389" i="4"/>
  <c r="R389" i="4"/>
  <c r="S389" i="4"/>
  <c r="T389" i="4"/>
  <c r="V389" i="4"/>
  <c r="W389" i="4"/>
  <c r="Y389" i="4"/>
  <c r="G390" i="4"/>
  <c r="I390" i="4"/>
  <c r="K390" i="4"/>
  <c r="L390" i="4"/>
  <c r="N390" i="4"/>
  <c r="O390" i="4"/>
  <c r="Q390" i="4"/>
  <c r="R390" i="4"/>
  <c r="S390" i="4"/>
  <c r="T390" i="4"/>
  <c r="V390" i="4"/>
  <c r="W390" i="4"/>
  <c r="Y390" i="4"/>
  <c r="G391" i="4"/>
  <c r="I391" i="4"/>
  <c r="K391" i="4"/>
  <c r="L391" i="4"/>
  <c r="N391" i="4"/>
  <c r="O391" i="4"/>
  <c r="Q391" i="4"/>
  <c r="R391" i="4"/>
  <c r="S391" i="4"/>
  <c r="T391" i="4"/>
  <c r="V391" i="4"/>
  <c r="W391" i="4"/>
  <c r="Y391" i="4"/>
  <c r="G392" i="4"/>
  <c r="I392" i="4"/>
  <c r="K392" i="4"/>
  <c r="L392" i="4"/>
  <c r="N392" i="4"/>
  <c r="O392" i="4"/>
  <c r="Q392" i="4"/>
  <c r="R392" i="4"/>
  <c r="S392" i="4"/>
  <c r="T392" i="4"/>
  <c r="V392" i="4"/>
  <c r="W392" i="4"/>
  <c r="Y392" i="4"/>
  <c r="F393" i="4"/>
  <c r="G393" i="4"/>
  <c r="I393" i="4"/>
  <c r="K393" i="4"/>
  <c r="L393" i="4"/>
  <c r="N393" i="4"/>
  <c r="O393" i="4"/>
  <c r="Q393" i="4"/>
  <c r="R393" i="4"/>
  <c r="S393" i="4"/>
  <c r="T393" i="4"/>
  <c r="V393" i="4"/>
  <c r="W393" i="4"/>
  <c r="Y393" i="4"/>
  <c r="G394" i="4"/>
  <c r="I394" i="4"/>
  <c r="K394" i="4"/>
  <c r="L394" i="4"/>
  <c r="N394" i="4"/>
  <c r="O394" i="4"/>
  <c r="Q394" i="4"/>
  <c r="R394" i="4"/>
  <c r="S394" i="4"/>
  <c r="T394" i="4"/>
  <c r="V394" i="4"/>
  <c r="W394" i="4"/>
  <c r="Y394" i="4"/>
  <c r="E395" i="4"/>
  <c r="F395" i="4"/>
  <c r="G395" i="4"/>
  <c r="I395" i="4"/>
  <c r="J395" i="4"/>
  <c r="K395" i="4"/>
  <c r="L395" i="4"/>
  <c r="N395" i="4"/>
  <c r="O395" i="4"/>
  <c r="Q395" i="4"/>
  <c r="R395" i="4"/>
  <c r="S395" i="4"/>
  <c r="T395" i="4"/>
  <c r="V395" i="4"/>
  <c r="W395" i="4"/>
  <c r="Y395" i="4"/>
  <c r="E396" i="4"/>
  <c r="F396" i="4"/>
  <c r="G396" i="4"/>
  <c r="I396" i="4"/>
  <c r="K396" i="4"/>
  <c r="L396" i="4"/>
  <c r="N396" i="4"/>
  <c r="O396" i="4"/>
  <c r="Q396" i="4"/>
  <c r="R396" i="4"/>
  <c r="S396" i="4"/>
  <c r="T396" i="4"/>
  <c r="V396" i="4"/>
  <c r="W396" i="4"/>
  <c r="Y396" i="4"/>
  <c r="X397" i="4"/>
  <c r="Z397" i="4" s="1"/>
  <c r="P398" i="4"/>
  <c r="X399" i="4"/>
  <c r="X400" i="4"/>
  <c r="F401" i="4"/>
  <c r="G401" i="4"/>
  <c r="I401" i="4"/>
  <c r="L401" i="4"/>
  <c r="N401" i="4"/>
  <c r="O401" i="4"/>
  <c r="Q401" i="4"/>
  <c r="R401" i="4"/>
  <c r="S401" i="4"/>
  <c r="T401" i="4"/>
  <c r="V401" i="4"/>
  <c r="W401" i="4"/>
  <c r="Y401" i="4"/>
  <c r="F402" i="4"/>
  <c r="G402" i="4"/>
  <c r="I402" i="4"/>
  <c r="K402" i="4"/>
  <c r="L402" i="4"/>
  <c r="N402" i="4"/>
  <c r="O402" i="4"/>
  <c r="Q402" i="4"/>
  <c r="R402" i="4"/>
  <c r="S402" i="4"/>
  <c r="T402" i="4"/>
  <c r="V402" i="4"/>
  <c r="W402" i="4"/>
  <c r="Y402" i="4"/>
  <c r="E403" i="4"/>
  <c r="F403" i="4"/>
  <c r="G403" i="4"/>
  <c r="I403" i="4"/>
  <c r="K403" i="4"/>
  <c r="L403" i="4"/>
  <c r="N403" i="4"/>
  <c r="O403" i="4"/>
  <c r="Q403" i="4"/>
  <c r="R403" i="4"/>
  <c r="S403" i="4"/>
  <c r="T403" i="4"/>
  <c r="V403" i="4"/>
  <c r="W403" i="4"/>
  <c r="Y403" i="4"/>
  <c r="E404" i="4"/>
  <c r="F404" i="4"/>
  <c r="G404" i="4"/>
  <c r="I404" i="4"/>
  <c r="K404" i="4"/>
  <c r="L404" i="4"/>
  <c r="N404" i="4"/>
  <c r="O404" i="4"/>
  <c r="Q404" i="4"/>
  <c r="R404" i="4"/>
  <c r="S404" i="4"/>
  <c r="T404" i="4"/>
  <c r="V404" i="4"/>
  <c r="W404" i="4"/>
  <c r="Y404" i="4"/>
  <c r="F405" i="4"/>
  <c r="G405" i="4"/>
  <c r="I405" i="4"/>
  <c r="K405" i="4"/>
  <c r="L405" i="4"/>
  <c r="N405" i="4"/>
  <c r="O405" i="4"/>
  <c r="Q405" i="4"/>
  <c r="R405" i="4"/>
  <c r="S405" i="4"/>
  <c r="T405" i="4"/>
  <c r="V405" i="4"/>
  <c r="W405" i="4"/>
  <c r="Y405" i="4"/>
  <c r="E406" i="4"/>
  <c r="F406" i="4"/>
  <c r="G406" i="4"/>
  <c r="I406" i="4"/>
  <c r="K406" i="4"/>
  <c r="L406" i="4"/>
  <c r="N406" i="4"/>
  <c r="O406" i="4"/>
  <c r="Q406" i="4"/>
  <c r="R406" i="4"/>
  <c r="S406" i="4"/>
  <c r="T406" i="4"/>
  <c r="V406" i="4"/>
  <c r="W406" i="4"/>
  <c r="Y406" i="4"/>
  <c r="E407" i="4"/>
  <c r="F407" i="4"/>
  <c r="G407" i="4"/>
  <c r="I407" i="4"/>
  <c r="K407" i="4"/>
  <c r="L407" i="4"/>
  <c r="N407" i="4"/>
  <c r="O407" i="4"/>
  <c r="Q407" i="4"/>
  <c r="R407" i="4"/>
  <c r="S407" i="4"/>
  <c r="T407" i="4"/>
  <c r="V407" i="4"/>
  <c r="W407" i="4"/>
  <c r="Y407" i="4"/>
  <c r="E408" i="4"/>
  <c r="F408" i="4"/>
  <c r="G408" i="4"/>
  <c r="I408" i="4"/>
  <c r="K408" i="4"/>
  <c r="L408" i="4"/>
  <c r="N408" i="4"/>
  <c r="O408" i="4"/>
  <c r="Q408" i="4"/>
  <c r="R408" i="4"/>
  <c r="S408" i="4"/>
  <c r="T408" i="4"/>
  <c r="V408" i="4"/>
  <c r="W408" i="4"/>
  <c r="Y408" i="4"/>
  <c r="E409" i="4"/>
  <c r="F409" i="4"/>
  <c r="G409" i="4"/>
  <c r="I409" i="4"/>
  <c r="K409" i="4"/>
  <c r="L409" i="4"/>
  <c r="N409" i="4"/>
  <c r="O409" i="4"/>
  <c r="Q409" i="4"/>
  <c r="R409" i="4"/>
  <c r="S409" i="4"/>
  <c r="T409" i="4"/>
  <c r="V409" i="4"/>
  <c r="W409" i="4"/>
  <c r="Y409" i="4"/>
  <c r="E410" i="4"/>
  <c r="F410" i="4"/>
  <c r="G410" i="4"/>
  <c r="I410" i="4"/>
  <c r="K410" i="4"/>
  <c r="L410" i="4"/>
  <c r="N410" i="4"/>
  <c r="O410" i="4"/>
  <c r="Q410" i="4"/>
  <c r="R410" i="4"/>
  <c r="S410" i="4"/>
  <c r="T410" i="4"/>
  <c r="V410" i="4"/>
  <c r="W410" i="4"/>
  <c r="Y410" i="4"/>
  <c r="G411" i="4"/>
  <c r="I411" i="4"/>
  <c r="K411" i="4"/>
  <c r="L411" i="4"/>
  <c r="N411" i="4"/>
  <c r="O411" i="4"/>
  <c r="Q411" i="4"/>
  <c r="R411" i="4"/>
  <c r="S411" i="4"/>
  <c r="T411" i="4"/>
  <c r="V411" i="4"/>
  <c r="W411" i="4"/>
  <c r="Y411" i="4"/>
  <c r="E412" i="4"/>
  <c r="F412" i="4"/>
  <c r="G412" i="4"/>
  <c r="I412" i="4"/>
  <c r="K412" i="4"/>
  <c r="L412" i="4"/>
  <c r="N412" i="4"/>
  <c r="O412" i="4"/>
  <c r="Q412" i="4"/>
  <c r="R412" i="4"/>
  <c r="S412" i="4"/>
  <c r="T412" i="4"/>
  <c r="V412" i="4"/>
  <c r="W412" i="4"/>
  <c r="Y412" i="4"/>
  <c r="E413" i="4"/>
  <c r="F413" i="4"/>
  <c r="G413" i="4"/>
  <c r="I413" i="4"/>
  <c r="K413" i="4"/>
  <c r="L413" i="4"/>
  <c r="N413" i="4"/>
  <c r="O413" i="4"/>
  <c r="Q413" i="4"/>
  <c r="R413" i="4"/>
  <c r="S413" i="4"/>
  <c r="T413" i="4"/>
  <c r="V413" i="4"/>
  <c r="W413" i="4"/>
  <c r="Y413" i="4"/>
  <c r="E414" i="4"/>
  <c r="F414" i="4"/>
  <c r="G414" i="4"/>
  <c r="I414" i="4"/>
  <c r="L414" i="4"/>
  <c r="N414" i="4"/>
  <c r="O414" i="4"/>
  <c r="Q414" i="4"/>
  <c r="R414" i="4"/>
  <c r="S414" i="4"/>
  <c r="T414" i="4"/>
  <c r="V414" i="4"/>
  <c r="W414" i="4"/>
  <c r="Y414" i="4"/>
  <c r="E415" i="4"/>
  <c r="F415" i="4"/>
  <c r="G415" i="4"/>
  <c r="I415" i="4"/>
  <c r="K415" i="4"/>
  <c r="L415" i="4"/>
  <c r="N415" i="4"/>
  <c r="O415" i="4"/>
  <c r="Q415" i="4"/>
  <c r="R415" i="4"/>
  <c r="S415" i="4"/>
  <c r="T415" i="4"/>
  <c r="V415" i="4"/>
  <c r="W415" i="4"/>
  <c r="Y415" i="4"/>
  <c r="E416" i="4"/>
  <c r="F416" i="4"/>
  <c r="G416" i="4"/>
  <c r="I416" i="4"/>
  <c r="K416" i="4"/>
  <c r="L416" i="4"/>
  <c r="N416" i="4"/>
  <c r="O416" i="4"/>
  <c r="Q416" i="4"/>
  <c r="R416" i="4"/>
  <c r="S416" i="4"/>
  <c r="T416" i="4"/>
  <c r="V416" i="4"/>
  <c r="W416" i="4"/>
  <c r="Y416" i="4"/>
  <c r="E417" i="4"/>
  <c r="F417" i="4"/>
  <c r="G417" i="4"/>
  <c r="I417" i="4"/>
  <c r="K417" i="4"/>
  <c r="L417" i="4"/>
  <c r="N417" i="4"/>
  <c r="O417" i="4"/>
  <c r="Q417" i="4"/>
  <c r="R417" i="4"/>
  <c r="S417" i="4"/>
  <c r="T417" i="4"/>
  <c r="V417" i="4"/>
  <c r="W417" i="4"/>
  <c r="Y417" i="4"/>
  <c r="X418" i="4"/>
  <c r="P419" i="4"/>
  <c r="G426" i="4"/>
  <c r="I426" i="4"/>
  <c r="J426" i="4"/>
  <c r="K426" i="4"/>
  <c r="L426" i="4"/>
  <c r="O426" i="4"/>
  <c r="Q426" i="4"/>
  <c r="R426" i="4"/>
  <c r="S426" i="4"/>
  <c r="T426" i="4"/>
  <c r="Y426" i="4"/>
  <c r="E427" i="4"/>
  <c r="F427" i="4"/>
  <c r="G427" i="4"/>
  <c r="I427" i="4"/>
  <c r="J427" i="4"/>
  <c r="K427" i="4"/>
  <c r="L427" i="4"/>
  <c r="N427" i="4"/>
  <c r="O427" i="4"/>
  <c r="Q427" i="4"/>
  <c r="R427" i="4"/>
  <c r="S427" i="4"/>
  <c r="T427" i="4"/>
  <c r="Y427" i="4"/>
  <c r="G428" i="4"/>
  <c r="I428" i="4"/>
  <c r="J428" i="4"/>
  <c r="K428" i="4"/>
  <c r="L428" i="4"/>
  <c r="N428" i="4"/>
  <c r="O428" i="4"/>
  <c r="Q428" i="4"/>
  <c r="R428" i="4"/>
  <c r="S428" i="4"/>
  <c r="T428" i="4"/>
  <c r="Y428" i="4"/>
  <c r="E429" i="4"/>
  <c r="F429" i="4"/>
  <c r="G429" i="4"/>
  <c r="I429" i="4"/>
  <c r="J429" i="4"/>
  <c r="K429" i="4"/>
  <c r="L429" i="4"/>
  <c r="N429" i="4"/>
  <c r="O429" i="4"/>
  <c r="Q429" i="4"/>
  <c r="R429" i="4"/>
  <c r="S429" i="4"/>
  <c r="T429" i="4"/>
  <c r="Y429" i="4"/>
  <c r="E430" i="4"/>
  <c r="F430" i="4"/>
  <c r="G430" i="4"/>
  <c r="I430" i="4"/>
  <c r="J430" i="4"/>
  <c r="K430" i="4"/>
  <c r="L430" i="4"/>
  <c r="N430" i="4"/>
  <c r="O430" i="4"/>
  <c r="Q430" i="4"/>
  <c r="R430" i="4"/>
  <c r="S430" i="4"/>
  <c r="T430" i="4"/>
  <c r="Y430" i="4"/>
  <c r="E431" i="4"/>
  <c r="F431" i="4"/>
  <c r="G431" i="4"/>
  <c r="I431" i="4"/>
  <c r="J431" i="4"/>
  <c r="K431" i="4"/>
  <c r="L431" i="4"/>
  <c r="N431" i="4"/>
  <c r="O431" i="4"/>
  <c r="Q431" i="4"/>
  <c r="R431" i="4"/>
  <c r="S431" i="4"/>
  <c r="T431" i="4"/>
  <c r="Y431" i="4"/>
  <c r="E432" i="4"/>
  <c r="F432" i="4"/>
  <c r="G432" i="4"/>
  <c r="I432" i="4"/>
  <c r="J432" i="4"/>
  <c r="K432" i="4"/>
  <c r="L432" i="4"/>
  <c r="N432" i="4"/>
  <c r="O432" i="4"/>
  <c r="Q432" i="4"/>
  <c r="R432" i="4"/>
  <c r="S432" i="4"/>
  <c r="T432" i="4"/>
  <c r="Y432" i="4"/>
  <c r="E433" i="4"/>
  <c r="F433" i="4"/>
  <c r="G433" i="4"/>
  <c r="I433" i="4"/>
  <c r="J433" i="4"/>
  <c r="K433" i="4"/>
  <c r="L433" i="4"/>
  <c r="N433" i="4"/>
  <c r="O433" i="4"/>
  <c r="Q433" i="4"/>
  <c r="R433" i="4"/>
  <c r="S433" i="4"/>
  <c r="T433" i="4"/>
  <c r="Y433" i="4"/>
  <c r="E434" i="4"/>
  <c r="F434" i="4"/>
  <c r="G434" i="4"/>
  <c r="I434" i="4"/>
  <c r="J434" i="4"/>
  <c r="K434" i="4"/>
  <c r="L434" i="4"/>
  <c r="N434" i="4"/>
  <c r="O434" i="4"/>
  <c r="Q434" i="4"/>
  <c r="R434" i="4"/>
  <c r="S434" i="4"/>
  <c r="T434" i="4"/>
  <c r="Y434" i="4"/>
  <c r="E435" i="4"/>
  <c r="F435" i="4"/>
  <c r="G435" i="4"/>
  <c r="I435" i="4"/>
  <c r="J435" i="4"/>
  <c r="K435" i="4"/>
  <c r="L435" i="4"/>
  <c r="N435" i="4"/>
  <c r="O435" i="4"/>
  <c r="Q435" i="4"/>
  <c r="R435" i="4"/>
  <c r="S435" i="4"/>
  <c r="T435" i="4"/>
  <c r="Y435" i="4"/>
  <c r="E436" i="4"/>
  <c r="F436" i="4"/>
  <c r="G436" i="4"/>
  <c r="I436" i="4"/>
  <c r="J436" i="4"/>
  <c r="K436" i="4"/>
  <c r="L436" i="4"/>
  <c r="N436" i="4"/>
  <c r="O436" i="4"/>
  <c r="Q436" i="4"/>
  <c r="R436" i="4"/>
  <c r="S436" i="4"/>
  <c r="T436" i="4"/>
  <c r="Y436" i="4"/>
  <c r="E437" i="4"/>
  <c r="F437" i="4"/>
  <c r="G437" i="4"/>
  <c r="I437" i="4"/>
  <c r="J437" i="4"/>
  <c r="K437" i="4"/>
  <c r="L437" i="4"/>
  <c r="N437" i="4"/>
  <c r="O437" i="4"/>
  <c r="Q437" i="4"/>
  <c r="R437" i="4"/>
  <c r="S437" i="4"/>
  <c r="T437" i="4"/>
  <c r="Y437" i="4"/>
  <c r="E438" i="4"/>
  <c r="F438" i="4"/>
  <c r="G438" i="4"/>
  <c r="I438" i="4"/>
  <c r="J438" i="4"/>
  <c r="K438" i="4"/>
  <c r="L438" i="4"/>
  <c r="N438" i="4"/>
  <c r="O438" i="4"/>
  <c r="Q438" i="4"/>
  <c r="R438" i="4"/>
  <c r="S438" i="4"/>
  <c r="T438" i="4"/>
  <c r="Y438" i="4"/>
  <c r="E439" i="4"/>
  <c r="F439" i="4"/>
  <c r="G439" i="4"/>
  <c r="I439" i="4"/>
  <c r="J439" i="4"/>
  <c r="K439" i="4"/>
  <c r="L439" i="4"/>
  <c r="N439" i="4"/>
  <c r="O439" i="4"/>
  <c r="Q439" i="4"/>
  <c r="R439" i="4"/>
  <c r="S439" i="4"/>
  <c r="T439" i="4"/>
  <c r="Y439" i="4"/>
  <c r="E440" i="4"/>
  <c r="F440" i="4"/>
  <c r="G440" i="4"/>
  <c r="I440" i="4"/>
  <c r="J440" i="4"/>
  <c r="K440" i="4"/>
  <c r="L440" i="4"/>
  <c r="N440" i="4"/>
  <c r="O440" i="4"/>
  <c r="Q440" i="4"/>
  <c r="R440" i="4"/>
  <c r="S440" i="4"/>
  <c r="T440" i="4"/>
  <c r="Y440" i="4"/>
  <c r="E441" i="4"/>
  <c r="F441" i="4"/>
  <c r="G441" i="4"/>
  <c r="I441" i="4"/>
  <c r="J441" i="4"/>
  <c r="K441" i="4"/>
  <c r="L441" i="4"/>
  <c r="N441" i="4"/>
  <c r="O441" i="4"/>
  <c r="Q441" i="4"/>
  <c r="R441" i="4"/>
  <c r="S441" i="4"/>
  <c r="T441" i="4"/>
  <c r="Y441" i="4"/>
  <c r="E442" i="4"/>
  <c r="F442" i="4"/>
  <c r="G442" i="4"/>
  <c r="I442" i="4"/>
  <c r="J442" i="4"/>
  <c r="K442" i="4"/>
  <c r="L442" i="4"/>
  <c r="N442" i="4"/>
  <c r="O442" i="4"/>
  <c r="Q442" i="4"/>
  <c r="R442" i="4"/>
  <c r="S442" i="4"/>
  <c r="T442" i="4"/>
  <c r="Y442" i="4"/>
  <c r="E443" i="4"/>
  <c r="F443" i="4"/>
  <c r="G443" i="4"/>
  <c r="I443" i="4"/>
  <c r="J443" i="4"/>
  <c r="K443" i="4"/>
  <c r="L443" i="4"/>
  <c r="N443" i="4"/>
  <c r="O443" i="4"/>
  <c r="Q443" i="4"/>
  <c r="R443" i="4"/>
  <c r="S443" i="4"/>
  <c r="T443" i="4"/>
  <c r="Y443" i="4"/>
  <c r="E444" i="4"/>
  <c r="F444" i="4"/>
  <c r="G444" i="4"/>
  <c r="I444" i="4"/>
  <c r="J444" i="4"/>
  <c r="K444" i="4"/>
  <c r="L444" i="4"/>
  <c r="N444" i="4"/>
  <c r="O444" i="4"/>
  <c r="Q444" i="4"/>
  <c r="R444" i="4"/>
  <c r="S444" i="4"/>
  <c r="T444" i="4"/>
  <c r="Y444" i="4"/>
  <c r="P446" i="4"/>
  <c r="X446" i="4" s="1"/>
  <c r="Z446" i="4" s="1"/>
  <c r="X447" i="4"/>
  <c r="X448" i="4"/>
  <c r="E449" i="4"/>
  <c r="F449" i="4"/>
  <c r="G449" i="4"/>
  <c r="I449" i="4"/>
  <c r="J449" i="4"/>
  <c r="K449" i="4"/>
  <c r="L449" i="4"/>
  <c r="N449" i="4"/>
  <c r="O449" i="4"/>
  <c r="Q449" i="4"/>
  <c r="R449" i="4"/>
  <c r="S449" i="4"/>
  <c r="T449" i="4"/>
  <c r="Y449" i="4"/>
  <c r="E450" i="4"/>
  <c r="F450" i="4"/>
  <c r="G450" i="4"/>
  <c r="I450" i="4"/>
  <c r="J450" i="4"/>
  <c r="K450" i="4"/>
  <c r="L450" i="4"/>
  <c r="N450" i="4"/>
  <c r="O450" i="4"/>
  <c r="Q450" i="4"/>
  <c r="R450" i="4"/>
  <c r="S450" i="4"/>
  <c r="T450" i="4"/>
  <c r="Y450" i="4"/>
  <c r="E451" i="4"/>
  <c r="F451" i="4"/>
  <c r="G451" i="4"/>
  <c r="I451" i="4"/>
  <c r="J451" i="4"/>
  <c r="K451" i="4"/>
  <c r="L451" i="4"/>
  <c r="N451" i="4"/>
  <c r="O451" i="4"/>
  <c r="Q451" i="4"/>
  <c r="R451" i="4"/>
  <c r="S451" i="4"/>
  <c r="T451" i="4"/>
  <c r="Y451" i="4"/>
  <c r="E452" i="4"/>
  <c r="F452" i="4"/>
  <c r="G452" i="4"/>
  <c r="I452" i="4"/>
  <c r="J452" i="4"/>
  <c r="K452" i="4"/>
  <c r="L452" i="4"/>
  <c r="N452" i="4"/>
  <c r="O452" i="4"/>
  <c r="Q452" i="4"/>
  <c r="R452" i="4"/>
  <c r="S452" i="4"/>
  <c r="T452" i="4"/>
  <c r="Y452" i="4"/>
  <c r="E453" i="4"/>
  <c r="F453" i="4"/>
  <c r="G453" i="4"/>
  <c r="I453" i="4"/>
  <c r="J453" i="4"/>
  <c r="K453" i="4"/>
  <c r="L453" i="4"/>
  <c r="N453" i="4"/>
  <c r="O453" i="4"/>
  <c r="Q453" i="4"/>
  <c r="R453" i="4"/>
  <c r="S453" i="4"/>
  <c r="T453" i="4"/>
  <c r="Y453" i="4"/>
  <c r="E454" i="4"/>
  <c r="F454" i="4"/>
  <c r="G454" i="4"/>
  <c r="I454" i="4"/>
  <c r="J454" i="4"/>
  <c r="K454" i="4"/>
  <c r="L454" i="4"/>
  <c r="N454" i="4"/>
  <c r="O454" i="4"/>
  <c r="Q454" i="4"/>
  <c r="R454" i="4"/>
  <c r="S454" i="4"/>
  <c r="T454" i="4"/>
  <c r="Y454" i="4"/>
  <c r="E455" i="4"/>
  <c r="F455" i="4"/>
  <c r="G455" i="4"/>
  <c r="I455" i="4"/>
  <c r="J455" i="4"/>
  <c r="K455" i="4"/>
  <c r="L455" i="4"/>
  <c r="N455" i="4"/>
  <c r="O455" i="4"/>
  <c r="Q455" i="4"/>
  <c r="R455" i="4"/>
  <c r="S455" i="4"/>
  <c r="T455" i="4"/>
  <c r="Y455" i="4"/>
  <c r="X456" i="4"/>
  <c r="P457" i="4"/>
  <c r="X458" i="4"/>
  <c r="Z458" i="4" s="1"/>
  <c r="X459" i="4"/>
  <c r="Z459" i="4" s="1"/>
  <c r="E460" i="4"/>
  <c r="F460" i="4"/>
  <c r="G460" i="4"/>
  <c r="I460" i="4"/>
  <c r="J460" i="4"/>
  <c r="K460" i="4"/>
  <c r="L460" i="4"/>
  <c r="N460" i="4"/>
  <c r="O460" i="4"/>
  <c r="Q460" i="4"/>
  <c r="R460" i="4"/>
  <c r="S460" i="4"/>
  <c r="T460" i="4"/>
  <c r="Y460" i="4"/>
  <c r="E461" i="4"/>
  <c r="F461" i="4"/>
  <c r="G461" i="4"/>
  <c r="I461" i="4"/>
  <c r="J461" i="4"/>
  <c r="K461" i="4"/>
  <c r="L461" i="4"/>
  <c r="N461" i="4"/>
  <c r="O461" i="4"/>
  <c r="Q461" i="4"/>
  <c r="R461" i="4"/>
  <c r="S461" i="4"/>
  <c r="T461" i="4"/>
  <c r="Y461" i="4"/>
  <c r="E462" i="4"/>
  <c r="F462" i="4"/>
  <c r="G462" i="4"/>
  <c r="I462" i="4"/>
  <c r="J462" i="4"/>
  <c r="K462" i="4"/>
  <c r="L462" i="4"/>
  <c r="N462" i="4"/>
  <c r="O462" i="4"/>
  <c r="Q462" i="4"/>
  <c r="R462" i="4"/>
  <c r="S462" i="4"/>
  <c r="T462" i="4"/>
  <c r="Y462" i="4"/>
  <c r="E463" i="4"/>
  <c r="F463" i="4"/>
  <c r="G463" i="4"/>
  <c r="I463" i="4"/>
  <c r="J463" i="4"/>
  <c r="K463" i="4"/>
  <c r="L463" i="4"/>
  <c r="N463" i="4"/>
  <c r="O463" i="4"/>
  <c r="Q463" i="4"/>
  <c r="R463" i="4"/>
  <c r="S463" i="4"/>
  <c r="T463" i="4"/>
  <c r="Y463" i="4"/>
  <c r="E464" i="4"/>
  <c r="F464" i="4"/>
  <c r="G464" i="4"/>
  <c r="I464" i="4"/>
  <c r="J464" i="4"/>
  <c r="K464" i="4"/>
  <c r="L464" i="4"/>
  <c r="N464" i="4"/>
  <c r="O464" i="4"/>
  <c r="Q464" i="4"/>
  <c r="R464" i="4"/>
  <c r="S464" i="4"/>
  <c r="T464" i="4"/>
  <c r="Y464" i="4"/>
  <c r="E465" i="4"/>
  <c r="F465" i="4"/>
  <c r="G465" i="4"/>
  <c r="I465" i="4"/>
  <c r="J465" i="4"/>
  <c r="K465" i="4"/>
  <c r="L465" i="4"/>
  <c r="N465" i="4"/>
  <c r="O465" i="4"/>
  <c r="Q465" i="4"/>
  <c r="R465" i="4"/>
  <c r="S465" i="4"/>
  <c r="T465" i="4"/>
  <c r="Y465" i="4"/>
  <c r="E466" i="4"/>
  <c r="F466" i="4"/>
  <c r="G466" i="4"/>
  <c r="I466" i="4"/>
  <c r="J466" i="4"/>
  <c r="K466" i="4"/>
  <c r="L466" i="4"/>
  <c r="N466" i="4"/>
  <c r="O466" i="4"/>
  <c r="Q466" i="4"/>
  <c r="R466" i="4"/>
  <c r="S466" i="4"/>
  <c r="T466" i="4"/>
  <c r="Y466" i="4"/>
  <c r="E467" i="4"/>
  <c r="F467" i="4"/>
  <c r="G467" i="4"/>
  <c r="I467" i="4"/>
  <c r="J467" i="4"/>
  <c r="K467" i="4"/>
  <c r="L467" i="4"/>
  <c r="N467" i="4"/>
  <c r="O467" i="4"/>
  <c r="Q467" i="4"/>
  <c r="R467" i="4"/>
  <c r="S467" i="4"/>
  <c r="T467" i="4"/>
  <c r="Y467" i="4"/>
  <c r="E468" i="4"/>
  <c r="F468" i="4"/>
  <c r="G468" i="4"/>
  <c r="I468" i="4"/>
  <c r="J468" i="4"/>
  <c r="K468" i="4"/>
  <c r="L468" i="4"/>
  <c r="N468" i="4"/>
  <c r="O468" i="4"/>
  <c r="Q468" i="4"/>
  <c r="R468" i="4"/>
  <c r="S468" i="4"/>
  <c r="T468" i="4"/>
  <c r="Y468" i="4"/>
  <c r="E469" i="4"/>
  <c r="F469" i="4"/>
  <c r="G469" i="4"/>
  <c r="I469" i="4"/>
  <c r="J469" i="4"/>
  <c r="K469" i="4"/>
  <c r="L469" i="4"/>
  <c r="N469" i="4"/>
  <c r="O469" i="4"/>
  <c r="Q469" i="4"/>
  <c r="R469" i="4"/>
  <c r="S469" i="4"/>
  <c r="T469" i="4"/>
  <c r="Y469" i="4"/>
  <c r="E470" i="4"/>
  <c r="F470" i="4"/>
  <c r="G470" i="4"/>
  <c r="I470" i="4"/>
  <c r="J470" i="4"/>
  <c r="K470" i="4"/>
  <c r="L470" i="4"/>
  <c r="N470" i="4"/>
  <c r="O470" i="4"/>
  <c r="Q470" i="4"/>
  <c r="R470" i="4"/>
  <c r="S470" i="4"/>
  <c r="T470" i="4"/>
  <c r="Y470" i="4"/>
  <c r="E471" i="4"/>
  <c r="F471" i="4"/>
  <c r="G471" i="4"/>
  <c r="I471" i="4"/>
  <c r="J471" i="4"/>
  <c r="K471" i="4"/>
  <c r="L471" i="4"/>
  <c r="N471" i="4"/>
  <c r="O471" i="4"/>
  <c r="Q471" i="4"/>
  <c r="R471" i="4"/>
  <c r="S471" i="4"/>
  <c r="T471" i="4"/>
  <c r="Y471" i="4"/>
  <c r="X472" i="4"/>
  <c r="Z472" i="4" s="1"/>
  <c r="P473" i="4"/>
  <c r="X474" i="4"/>
  <c r="Z474" i="4" s="1"/>
  <c r="X475" i="4"/>
  <c r="Z475" i="4" s="1"/>
  <c r="E476" i="4"/>
  <c r="F476" i="4"/>
  <c r="G476" i="4"/>
  <c r="I476" i="4"/>
  <c r="J476" i="4"/>
  <c r="K476" i="4"/>
  <c r="L476" i="4"/>
  <c r="N476" i="4"/>
  <c r="O476" i="4"/>
  <c r="Q476" i="4"/>
  <c r="R476" i="4"/>
  <c r="S476" i="4"/>
  <c r="T476" i="4"/>
  <c r="W476" i="4"/>
  <c r="Y476" i="4"/>
  <c r="E477" i="4"/>
  <c r="F477" i="4"/>
  <c r="G477" i="4"/>
  <c r="I477" i="4"/>
  <c r="J477" i="4"/>
  <c r="K477" i="4"/>
  <c r="L477" i="4"/>
  <c r="N477" i="4"/>
  <c r="O477" i="4"/>
  <c r="Q477" i="4"/>
  <c r="R477" i="4"/>
  <c r="S477" i="4"/>
  <c r="T477" i="4"/>
  <c r="W477" i="4"/>
  <c r="Y477" i="4"/>
  <c r="E478" i="4"/>
  <c r="F478" i="4"/>
  <c r="G478" i="4"/>
  <c r="I478" i="4"/>
  <c r="J478" i="4"/>
  <c r="K478" i="4"/>
  <c r="L478" i="4"/>
  <c r="N478" i="4"/>
  <c r="O478" i="4"/>
  <c r="Q478" i="4"/>
  <c r="R478" i="4"/>
  <c r="S478" i="4"/>
  <c r="T478" i="4"/>
  <c r="W478" i="4"/>
  <c r="Y478" i="4"/>
  <c r="E479" i="4"/>
  <c r="F479" i="4"/>
  <c r="G479" i="4"/>
  <c r="I479" i="4"/>
  <c r="J479" i="4"/>
  <c r="K479" i="4"/>
  <c r="L479" i="4"/>
  <c r="N479" i="4"/>
  <c r="O479" i="4"/>
  <c r="Q479" i="4"/>
  <c r="R479" i="4"/>
  <c r="S479" i="4"/>
  <c r="T479" i="4"/>
  <c r="W479" i="4"/>
  <c r="Y479" i="4"/>
  <c r="E480" i="4"/>
  <c r="F480" i="4"/>
  <c r="G480" i="4"/>
  <c r="I480" i="4"/>
  <c r="J480" i="4"/>
  <c r="K480" i="4"/>
  <c r="L480" i="4"/>
  <c r="N480" i="4"/>
  <c r="O480" i="4"/>
  <c r="Q480" i="4"/>
  <c r="R480" i="4"/>
  <c r="S480" i="4"/>
  <c r="T480" i="4"/>
  <c r="Y480" i="4"/>
  <c r="E481" i="4"/>
  <c r="F481" i="4"/>
  <c r="G481" i="4"/>
  <c r="I481" i="4"/>
  <c r="J481" i="4"/>
  <c r="K481" i="4"/>
  <c r="L481" i="4"/>
  <c r="N481" i="4"/>
  <c r="O481" i="4"/>
  <c r="Q481" i="4"/>
  <c r="R481" i="4"/>
  <c r="S481" i="4"/>
  <c r="T481" i="4"/>
  <c r="Y481" i="4"/>
  <c r="E482" i="4"/>
  <c r="G482" i="4"/>
  <c r="I482" i="4"/>
  <c r="J482" i="4"/>
  <c r="K482" i="4"/>
  <c r="L482" i="4"/>
  <c r="N482" i="4"/>
  <c r="O482" i="4"/>
  <c r="Q482" i="4"/>
  <c r="R482" i="4"/>
  <c r="S482" i="4"/>
  <c r="T482" i="4"/>
  <c r="Y482" i="4"/>
  <c r="E483" i="4"/>
  <c r="F483" i="4"/>
  <c r="G483" i="4"/>
  <c r="I483" i="4"/>
  <c r="J483" i="4"/>
  <c r="K483" i="4"/>
  <c r="L483" i="4"/>
  <c r="N483" i="4"/>
  <c r="O483" i="4"/>
  <c r="Q483" i="4"/>
  <c r="R483" i="4"/>
  <c r="S483" i="4"/>
  <c r="T483" i="4"/>
  <c r="Y483" i="4"/>
  <c r="E484" i="4"/>
  <c r="F484" i="4"/>
  <c r="G484" i="4"/>
  <c r="I484" i="4"/>
  <c r="J484" i="4"/>
  <c r="K484" i="4"/>
  <c r="L484" i="4"/>
  <c r="N484" i="4"/>
  <c r="O484" i="4"/>
  <c r="Q484" i="4"/>
  <c r="R484" i="4"/>
  <c r="S484" i="4"/>
  <c r="T484" i="4"/>
  <c r="Y484" i="4"/>
  <c r="E485" i="4"/>
  <c r="F485" i="4"/>
  <c r="G485" i="4"/>
  <c r="I485" i="4"/>
  <c r="J485" i="4"/>
  <c r="K485" i="4"/>
  <c r="L485" i="4"/>
  <c r="N485" i="4"/>
  <c r="O485" i="4"/>
  <c r="Q485" i="4"/>
  <c r="R485" i="4"/>
  <c r="S485" i="4"/>
  <c r="T485" i="4"/>
  <c r="Y485" i="4"/>
  <c r="X486" i="4"/>
  <c r="Z486" i="4" s="1"/>
  <c r="P487" i="4"/>
  <c r="X488" i="4"/>
  <c r="Z488" i="4" s="1"/>
  <c r="X489" i="4"/>
  <c r="Z489" i="4" s="1"/>
  <c r="X490" i="4"/>
  <c r="Z490" i="4" s="1"/>
  <c r="E491" i="4"/>
  <c r="F491" i="4"/>
  <c r="G491" i="4"/>
  <c r="I491" i="4"/>
  <c r="J491" i="4"/>
  <c r="K491" i="4"/>
  <c r="L491" i="4"/>
  <c r="N491" i="4"/>
  <c r="O491" i="4"/>
  <c r="Q491" i="4"/>
  <c r="R491" i="4"/>
  <c r="S491" i="4"/>
  <c r="T491" i="4"/>
  <c r="Y491" i="4"/>
  <c r="E492" i="4"/>
  <c r="F492" i="4"/>
  <c r="G492" i="4"/>
  <c r="I492" i="4"/>
  <c r="J492" i="4"/>
  <c r="K492" i="4"/>
  <c r="L492" i="4"/>
  <c r="N492" i="4"/>
  <c r="O492" i="4"/>
  <c r="Q492" i="4"/>
  <c r="R492" i="4"/>
  <c r="S492" i="4"/>
  <c r="T492" i="4"/>
  <c r="Y492" i="4"/>
  <c r="E493" i="4"/>
  <c r="F493" i="4"/>
  <c r="G493" i="4"/>
  <c r="I493" i="4"/>
  <c r="J493" i="4"/>
  <c r="K493" i="4"/>
  <c r="L493" i="4"/>
  <c r="N493" i="4"/>
  <c r="O493" i="4"/>
  <c r="Q493" i="4"/>
  <c r="R493" i="4"/>
  <c r="S493" i="4"/>
  <c r="T493" i="4"/>
  <c r="Y493" i="4"/>
  <c r="E494" i="4"/>
  <c r="F494" i="4"/>
  <c r="G494" i="4"/>
  <c r="I494" i="4"/>
  <c r="J494" i="4"/>
  <c r="K494" i="4"/>
  <c r="L494" i="4"/>
  <c r="N494" i="4"/>
  <c r="O494" i="4"/>
  <c r="Q494" i="4"/>
  <c r="R494" i="4"/>
  <c r="S494" i="4"/>
  <c r="T494" i="4"/>
  <c r="Y494" i="4"/>
  <c r="E495" i="4"/>
  <c r="F495" i="4"/>
  <c r="G495" i="4"/>
  <c r="I495" i="4"/>
  <c r="J495" i="4"/>
  <c r="K495" i="4"/>
  <c r="L495" i="4"/>
  <c r="N495" i="4"/>
  <c r="O495" i="4"/>
  <c r="Q495" i="4"/>
  <c r="R495" i="4"/>
  <c r="S495" i="4"/>
  <c r="T495" i="4"/>
  <c r="Y495" i="4"/>
  <c r="E496" i="4"/>
  <c r="F496" i="4"/>
  <c r="G496" i="4"/>
  <c r="I496" i="4"/>
  <c r="J496" i="4"/>
  <c r="K496" i="4"/>
  <c r="L496" i="4"/>
  <c r="N496" i="4"/>
  <c r="O496" i="4"/>
  <c r="Q496" i="4"/>
  <c r="R496" i="4"/>
  <c r="S496" i="4"/>
  <c r="T496" i="4"/>
  <c r="Y496" i="4"/>
  <c r="E497" i="4"/>
  <c r="F497" i="4"/>
  <c r="G497" i="4"/>
  <c r="I497" i="4"/>
  <c r="J497" i="4"/>
  <c r="K497" i="4"/>
  <c r="L497" i="4"/>
  <c r="N497" i="4"/>
  <c r="O497" i="4"/>
  <c r="Q497" i="4"/>
  <c r="R497" i="4"/>
  <c r="S497" i="4"/>
  <c r="T497" i="4"/>
  <c r="Y497" i="4"/>
  <c r="E498" i="4"/>
  <c r="F498" i="4"/>
  <c r="G498" i="4"/>
  <c r="I498" i="4"/>
  <c r="J498" i="4"/>
  <c r="K498" i="4"/>
  <c r="L498" i="4"/>
  <c r="N498" i="4"/>
  <c r="O498" i="4"/>
  <c r="Q498" i="4"/>
  <c r="R498" i="4"/>
  <c r="S498" i="4"/>
  <c r="T498" i="4"/>
  <c r="Y498" i="4"/>
  <c r="X499" i="4"/>
  <c r="Z499" i="4" s="1"/>
  <c r="P500" i="4"/>
  <c r="X500" i="4" s="1"/>
  <c r="Z500" i="4" s="1"/>
  <c r="X501" i="4"/>
  <c r="Z501" i="4" s="1"/>
  <c r="X502" i="4"/>
  <c r="Z502" i="4" s="1"/>
  <c r="E503" i="4"/>
  <c r="F503" i="4"/>
  <c r="G503" i="4"/>
  <c r="I503" i="4"/>
  <c r="J503" i="4"/>
  <c r="K503" i="4"/>
  <c r="L503" i="4"/>
  <c r="N503" i="4"/>
  <c r="O503" i="4"/>
  <c r="Q503" i="4"/>
  <c r="R503" i="4"/>
  <c r="S503" i="4"/>
  <c r="T503" i="4"/>
  <c r="Y503" i="4"/>
  <c r="E504" i="4"/>
  <c r="F504" i="4"/>
  <c r="G504" i="4"/>
  <c r="I504" i="4"/>
  <c r="J504" i="4"/>
  <c r="K504" i="4"/>
  <c r="L504" i="4"/>
  <c r="N504" i="4"/>
  <c r="O504" i="4"/>
  <c r="Q504" i="4"/>
  <c r="R504" i="4"/>
  <c r="S504" i="4"/>
  <c r="T504" i="4"/>
  <c r="Y504" i="4"/>
  <c r="E505" i="4"/>
  <c r="F505" i="4"/>
  <c r="G505" i="4"/>
  <c r="I505" i="4"/>
  <c r="J505" i="4"/>
  <c r="K505" i="4"/>
  <c r="L505" i="4"/>
  <c r="N505" i="4"/>
  <c r="O505" i="4"/>
  <c r="Q505" i="4"/>
  <c r="R505" i="4"/>
  <c r="S505" i="4"/>
  <c r="T505" i="4"/>
  <c r="W505" i="4"/>
  <c r="Y505" i="4"/>
  <c r="E506" i="4"/>
  <c r="F506" i="4"/>
  <c r="G506" i="4"/>
  <c r="I506" i="4"/>
  <c r="J506" i="4"/>
  <c r="K506" i="4"/>
  <c r="L506" i="4"/>
  <c r="N506" i="4"/>
  <c r="O506" i="4"/>
  <c r="Q506" i="4"/>
  <c r="R506" i="4"/>
  <c r="S506" i="4"/>
  <c r="T506" i="4"/>
  <c r="Y506" i="4"/>
  <c r="E507" i="4"/>
  <c r="F507" i="4"/>
  <c r="G507" i="4"/>
  <c r="I507" i="4"/>
  <c r="J507" i="4"/>
  <c r="K507" i="4"/>
  <c r="L507" i="4"/>
  <c r="N507" i="4"/>
  <c r="O507" i="4"/>
  <c r="Q507" i="4"/>
  <c r="R507" i="4"/>
  <c r="S507" i="4"/>
  <c r="T507" i="4"/>
  <c r="Y507" i="4"/>
  <c r="X508" i="4"/>
  <c r="Z508" i="4" s="1"/>
  <c r="P509" i="4"/>
  <c r="X510" i="4"/>
  <c r="Z510" i="4" s="1"/>
  <c r="X511" i="4"/>
  <c r="Z511" i="4" s="1"/>
  <c r="E512" i="4"/>
  <c r="F512" i="4"/>
  <c r="G512" i="4"/>
  <c r="I512" i="4"/>
  <c r="J512" i="4"/>
  <c r="K512" i="4"/>
  <c r="L512" i="4"/>
  <c r="N512" i="4"/>
  <c r="O512" i="4"/>
  <c r="Q512" i="4"/>
  <c r="R512" i="4"/>
  <c r="S512" i="4"/>
  <c r="T512" i="4"/>
  <c r="Y512" i="4"/>
  <c r="E513" i="4"/>
  <c r="F513" i="4"/>
  <c r="G513" i="4"/>
  <c r="I513" i="4"/>
  <c r="J513" i="4"/>
  <c r="K513" i="4"/>
  <c r="L513" i="4"/>
  <c r="N513" i="4"/>
  <c r="O513" i="4"/>
  <c r="Q513" i="4"/>
  <c r="R513" i="4"/>
  <c r="S513" i="4"/>
  <c r="T513" i="4"/>
  <c r="Y513" i="4"/>
  <c r="E514" i="4"/>
  <c r="F514" i="4"/>
  <c r="G514" i="4"/>
  <c r="I514" i="4"/>
  <c r="J514" i="4"/>
  <c r="K514" i="4"/>
  <c r="L514" i="4"/>
  <c r="N514" i="4"/>
  <c r="O514" i="4"/>
  <c r="Q514" i="4"/>
  <c r="R514" i="4"/>
  <c r="S514" i="4"/>
  <c r="T514" i="4"/>
  <c r="Y514" i="4"/>
  <c r="E515" i="4"/>
  <c r="F515" i="4"/>
  <c r="G515" i="4"/>
  <c r="I515" i="4"/>
  <c r="J515" i="4"/>
  <c r="K515" i="4"/>
  <c r="L515" i="4"/>
  <c r="N515" i="4"/>
  <c r="O515" i="4"/>
  <c r="Q515" i="4"/>
  <c r="R515" i="4"/>
  <c r="S515" i="4"/>
  <c r="T515" i="4"/>
  <c r="Y515" i="4"/>
  <c r="E516" i="4"/>
  <c r="F516" i="4"/>
  <c r="G516" i="4"/>
  <c r="I516" i="4"/>
  <c r="J516" i="4"/>
  <c r="K516" i="4"/>
  <c r="L516" i="4"/>
  <c r="N516" i="4"/>
  <c r="O516" i="4"/>
  <c r="Q516" i="4"/>
  <c r="R516" i="4"/>
  <c r="S516" i="4"/>
  <c r="T516" i="4"/>
  <c r="Y516" i="4"/>
  <c r="E517" i="4"/>
  <c r="F517" i="4"/>
  <c r="G517" i="4"/>
  <c r="I517" i="4"/>
  <c r="J517" i="4"/>
  <c r="K517" i="4"/>
  <c r="L517" i="4"/>
  <c r="N517" i="4"/>
  <c r="O517" i="4"/>
  <c r="Q517" i="4"/>
  <c r="R517" i="4"/>
  <c r="S517" i="4"/>
  <c r="T517" i="4"/>
  <c r="Y517" i="4"/>
  <c r="E518" i="4"/>
  <c r="F518" i="4"/>
  <c r="G518" i="4"/>
  <c r="I518" i="4"/>
  <c r="J518" i="4"/>
  <c r="K518" i="4"/>
  <c r="L518" i="4"/>
  <c r="N518" i="4"/>
  <c r="O518" i="4"/>
  <c r="Q518" i="4"/>
  <c r="R518" i="4"/>
  <c r="S518" i="4"/>
  <c r="T518" i="4"/>
  <c r="Y518" i="4"/>
  <c r="E519" i="4"/>
  <c r="F519" i="4"/>
  <c r="G519" i="4"/>
  <c r="I519" i="4"/>
  <c r="J519" i="4"/>
  <c r="K519" i="4"/>
  <c r="L519" i="4"/>
  <c r="N519" i="4"/>
  <c r="O519" i="4"/>
  <c r="Q519" i="4"/>
  <c r="R519" i="4"/>
  <c r="S519" i="4"/>
  <c r="T519" i="4"/>
  <c r="Y519" i="4"/>
  <c r="E520" i="4"/>
  <c r="F520" i="4"/>
  <c r="G520" i="4"/>
  <c r="I520" i="4"/>
  <c r="J520" i="4"/>
  <c r="K520" i="4"/>
  <c r="L520" i="4"/>
  <c r="N520" i="4"/>
  <c r="O520" i="4"/>
  <c r="Q520" i="4"/>
  <c r="R520" i="4"/>
  <c r="S520" i="4"/>
  <c r="T520" i="4"/>
  <c r="Y520" i="4"/>
  <c r="X521" i="4"/>
  <c r="Z521" i="4" s="1"/>
  <c r="P522" i="4"/>
  <c r="X522" i="4" s="1"/>
  <c r="X523" i="4"/>
  <c r="Z523" i="4" s="1"/>
  <c r="X524" i="4"/>
  <c r="Z524" i="4" s="1"/>
  <c r="E525" i="4"/>
  <c r="F525" i="4"/>
  <c r="G525" i="4"/>
  <c r="I525" i="4"/>
  <c r="J525" i="4"/>
  <c r="K525" i="4"/>
  <c r="L525" i="4"/>
  <c r="N525" i="4"/>
  <c r="O525" i="4"/>
  <c r="Q525" i="4"/>
  <c r="R525" i="4"/>
  <c r="S525" i="4"/>
  <c r="T525" i="4"/>
  <c r="Y525" i="4"/>
  <c r="E526" i="4"/>
  <c r="F526" i="4"/>
  <c r="G526" i="4"/>
  <c r="I526" i="4"/>
  <c r="J526" i="4"/>
  <c r="K526" i="4"/>
  <c r="L526" i="4"/>
  <c r="N526" i="4"/>
  <c r="O526" i="4"/>
  <c r="Q526" i="4"/>
  <c r="R526" i="4"/>
  <c r="S526" i="4"/>
  <c r="T526" i="4"/>
  <c r="Y526" i="4"/>
  <c r="E527" i="4"/>
  <c r="F527" i="4"/>
  <c r="G527" i="4"/>
  <c r="H527" i="4"/>
  <c r="I527" i="4"/>
  <c r="J527" i="4"/>
  <c r="K527" i="4"/>
  <c r="L527" i="4"/>
  <c r="M527" i="4"/>
  <c r="N527" i="4"/>
  <c r="O527" i="4"/>
  <c r="P527" i="4"/>
  <c r="Q527" i="4"/>
  <c r="R527" i="4"/>
  <c r="S527" i="4"/>
  <c r="T527" i="4"/>
  <c r="U527" i="4"/>
  <c r="V527" i="4"/>
  <c r="W527" i="4"/>
  <c r="X527" i="4"/>
  <c r="Y527" i="4"/>
  <c r="AA527" i="4"/>
  <c r="AB527" i="4"/>
  <c r="E528" i="4"/>
  <c r="F528" i="4"/>
  <c r="G528" i="4"/>
  <c r="I528" i="4"/>
  <c r="J528" i="4"/>
  <c r="K528" i="4"/>
  <c r="L528" i="4"/>
  <c r="N528" i="4"/>
  <c r="O528" i="4"/>
  <c r="Q528" i="4"/>
  <c r="R528" i="4"/>
  <c r="S528" i="4"/>
  <c r="T528" i="4"/>
  <c r="Y528" i="4"/>
  <c r="E529" i="4"/>
  <c r="F529" i="4"/>
  <c r="G529" i="4"/>
  <c r="I529" i="4"/>
  <c r="J529" i="4"/>
  <c r="K529" i="4"/>
  <c r="L529" i="4"/>
  <c r="N529" i="4"/>
  <c r="O529" i="4"/>
  <c r="Q529" i="4"/>
  <c r="R529" i="4"/>
  <c r="S529" i="4"/>
  <c r="T529" i="4"/>
  <c r="Y529" i="4"/>
  <c r="E530" i="4"/>
  <c r="F530" i="4"/>
  <c r="G530" i="4"/>
  <c r="I530" i="4"/>
  <c r="J530" i="4"/>
  <c r="K530" i="4"/>
  <c r="L530" i="4"/>
  <c r="N530" i="4"/>
  <c r="O530" i="4"/>
  <c r="Q530" i="4"/>
  <c r="R530" i="4"/>
  <c r="S530" i="4"/>
  <c r="T530" i="4"/>
  <c r="Y530" i="4"/>
  <c r="E531" i="4"/>
  <c r="F531" i="4"/>
  <c r="G531" i="4"/>
  <c r="I531" i="4"/>
  <c r="J531" i="4"/>
  <c r="K531" i="4"/>
  <c r="L531" i="4"/>
  <c r="N531" i="4"/>
  <c r="O531" i="4"/>
  <c r="Q531" i="4"/>
  <c r="R531" i="4"/>
  <c r="S531" i="4"/>
  <c r="T531" i="4"/>
  <c r="Y531" i="4"/>
  <c r="E532" i="4"/>
  <c r="F532" i="4"/>
  <c r="G532" i="4"/>
  <c r="I532" i="4"/>
  <c r="J532" i="4"/>
  <c r="K532" i="4"/>
  <c r="L532" i="4"/>
  <c r="N532" i="4"/>
  <c r="O532" i="4"/>
  <c r="Q532" i="4"/>
  <c r="R532" i="4"/>
  <c r="S532" i="4"/>
  <c r="T532" i="4"/>
  <c r="Y532" i="4"/>
  <c r="E533" i="4"/>
  <c r="F533" i="4"/>
  <c r="G533" i="4"/>
  <c r="I533" i="4"/>
  <c r="J533" i="4"/>
  <c r="K533" i="4"/>
  <c r="L533" i="4"/>
  <c r="N533" i="4"/>
  <c r="O533" i="4"/>
  <c r="Q533" i="4"/>
  <c r="R533" i="4"/>
  <c r="S533" i="4"/>
  <c r="T533" i="4"/>
  <c r="Y533" i="4"/>
  <c r="X534" i="4"/>
  <c r="Z534" i="4" s="1"/>
  <c r="E535" i="4"/>
  <c r="H535" i="4"/>
  <c r="P535" i="4"/>
  <c r="X536" i="4"/>
  <c r="Z536" i="4" s="1"/>
  <c r="X537" i="4"/>
  <c r="Z537" i="4" s="1"/>
  <c r="E538" i="4"/>
  <c r="F538" i="4"/>
  <c r="G538" i="4"/>
  <c r="I538" i="4"/>
  <c r="J538" i="4"/>
  <c r="K538" i="4"/>
  <c r="L538" i="4"/>
  <c r="N538" i="4"/>
  <c r="O538" i="4"/>
  <c r="Q538" i="4"/>
  <c r="R538" i="4"/>
  <c r="S538" i="4"/>
  <c r="T538" i="4"/>
  <c r="Y538" i="4"/>
  <c r="E539" i="4"/>
  <c r="F539" i="4"/>
  <c r="G539" i="4"/>
  <c r="I539" i="4"/>
  <c r="J539" i="4"/>
  <c r="K539" i="4"/>
  <c r="L539" i="4"/>
  <c r="N539" i="4"/>
  <c r="O539" i="4"/>
  <c r="Q539" i="4"/>
  <c r="R539" i="4"/>
  <c r="S539" i="4"/>
  <c r="T539" i="4"/>
  <c r="V539" i="4"/>
  <c r="W539" i="4"/>
  <c r="Y539" i="4"/>
  <c r="E540" i="4"/>
  <c r="F540" i="4"/>
  <c r="G540" i="4"/>
  <c r="I540" i="4"/>
  <c r="J540" i="4"/>
  <c r="K540" i="4"/>
  <c r="L540" i="4"/>
  <c r="N540" i="4"/>
  <c r="O540" i="4"/>
  <c r="Q540" i="4"/>
  <c r="R540" i="4"/>
  <c r="S540" i="4"/>
  <c r="T540" i="4"/>
  <c r="Y540" i="4"/>
  <c r="E541" i="4"/>
  <c r="F541" i="4"/>
  <c r="G541" i="4"/>
  <c r="I541" i="4"/>
  <c r="J541" i="4"/>
  <c r="K541" i="4"/>
  <c r="L541" i="4"/>
  <c r="O541" i="4"/>
  <c r="Q541" i="4"/>
  <c r="R541" i="4"/>
  <c r="S541" i="4"/>
  <c r="T541" i="4"/>
  <c r="Y541" i="4"/>
  <c r="E542" i="4"/>
  <c r="F542" i="4"/>
  <c r="G542" i="4"/>
  <c r="I542" i="4"/>
  <c r="J542" i="4"/>
  <c r="K542" i="4"/>
  <c r="L542" i="4"/>
  <c r="N542" i="4"/>
  <c r="O542" i="4"/>
  <c r="Q542" i="4"/>
  <c r="R542" i="4"/>
  <c r="S542" i="4"/>
  <c r="T542" i="4"/>
  <c r="Y542" i="4"/>
  <c r="E543" i="4"/>
  <c r="F543" i="4"/>
  <c r="G543" i="4"/>
  <c r="I543" i="4"/>
  <c r="J543" i="4"/>
  <c r="K543" i="4"/>
  <c r="L543" i="4"/>
  <c r="N543" i="4"/>
  <c r="O543" i="4"/>
  <c r="Q543" i="4"/>
  <c r="R543" i="4"/>
  <c r="S543" i="4"/>
  <c r="T543" i="4"/>
  <c r="Y543" i="4"/>
  <c r="X544" i="4"/>
  <c r="Z544" i="4" s="1"/>
  <c r="E545" i="4"/>
  <c r="H545" i="4"/>
  <c r="P545" i="4"/>
  <c r="X546" i="4"/>
  <c r="Z546" i="4" s="1"/>
  <c r="X547" i="4"/>
  <c r="Z547" i="4" s="1"/>
  <c r="E548" i="4"/>
  <c r="F548" i="4"/>
  <c r="G548" i="4"/>
  <c r="I548" i="4"/>
  <c r="J548" i="4"/>
  <c r="K548" i="4"/>
  <c r="L548" i="4"/>
  <c r="N548" i="4"/>
  <c r="O548" i="4"/>
  <c r="Q548" i="4"/>
  <c r="R548" i="4"/>
  <c r="S548" i="4"/>
  <c r="T548" i="4"/>
  <c r="Y548" i="4"/>
  <c r="E549" i="4"/>
  <c r="G549" i="4"/>
  <c r="I549" i="4"/>
  <c r="J549" i="4"/>
  <c r="K549" i="4"/>
  <c r="L549" i="4"/>
  <c r="N549" i="4"/>
  <c r="O549" i="4"/>
  <c r="Q549" i="4"/>
  <c r="R549" i="4"/>
  <c r="S549" i="4"/>
  <c r="T549" i="4"/>
  <c r="Y549" i="4"/>
  <c r="E550" i="4"/>
  <c r="F550" i="4"/>
  <c r="G550" i="4"/>
  <c r="I550" i="4"/>
  <c r="J550" i="4"/>
  <c r="K550" i="4"/>
  <c r="L550" i="4"/>
  <c r="N550" i="4"/>
  <c r="O550" i="4"/>
  <c r="Q550" i="4"/>
  <c r="R550" i="4"/>
  <c r="S550" i="4"/>
  <c r="T550" i="4"/>
  <c r="Y550" i="4"/>
  <c r="E551" i="4"/>
  <c r="F551" i="4"/>
  <c r="G551" i="4"/>
  <c r="I551" i="4"/>
  <c r="J551" i="4"/>
  <c r="K551" i="4"/>
  <c r="L551" i="4"/>
  <c r="N551" i="4"/>
  <c r="O551" i="4"/>
  <c r="Q551" i="4"/>
  <c r="R551" i="4"/>
  <c r="S551" i="4"/>
  <c r="T551" i="4"/>
  <c r="Y551" i="4"/>
  <c r="E552" i="4"/>
  <c r="F552" i="4"/>
  <c r="G552" i="4"/>
  <c r="I552" i="4"/>
  <c r="J552" i="4"/>
  <c r="K552" i="4"/>
  <c r="L552" i="4"/>
  <c r="N552" i="4"/>
  <c r="O552" i="4"/>
  <c r="Q552" i="4"/>
  <c r="R552" i="4"/>
  <c r="S552" i="4"/>
  <c r="T552" i="4"/>
  <c r="Y552" i="4"/>
  <c r="G553" i="4"/>
  <c r="I553" i="4"/>
  <c r="J553" i="4"/>
  <c r="K553" i="4"/>
  <c r="L553" i="4"/>
  <c r="N553" i="4"/>
  <c r="O553" i="4"/>
  <c r="Q553" i="4"/>
  <c r="R553" i="4"/>
  <c r="S553" i="4"/>
  <c r="T553" i="4"/>
  <c r="Y553" i="4"/>
  <c r="E554" i="4"/>
  <c r="F554" i="4"/>
  <c r="G554" i="4"/>
  <c r="I554" i="4"/>
  <c r="J554" i="4"/>
  <c r="K554" i="4"/>
  <c r="L554" i="4"/>
  <c r="N554" i="4"/>
  <c r="O554" i="4"/>
  <c r="Q554" i="4"/>
  <c r="R554" i="4"/>
  <c r="S554" i="4"/>
  <c r="T554" i="4"/>
  <c r="Y554" i="4"/>
  <c r="X555" i="4"/>
  <c r="Z555" i="4" s="1"/>
  <c r="X556" i="4"/>
  <c r="X557" i="4"/>
  <c r="E558" i="4"/>
  <c r="H558" i="4"/>
  <c r="P558" i="4"/>
  <c r="X559" i="4"/>
  <c r="Z559" i="4" s="1"/>
  <c r="X560" i="4"/>
  <c r="Z560" i="4" s="1"/>
  <c r="E561" i="4"/>
  <c r="F561" i="4"/>
  <c r="F563" i="4" s="1"/>
  <c r="G561" i="4"/>
  <c r="G563" i="4" s="1"/>
  <c r="I561" i="4"/>
  <c r="I563" i="4" s="1"/>
  <c r="J561" i="4"/>
  <c r="J563" i="4" s="1"/>
  <c r="K561" i="4"/>
  <c r="K563" i="4" s="1"/>
  <c r="L561" i="4"/>
  <c r="L563" i="4" s="1"/>
  <c r="N561" i="4"/>
  <c r="N563" i="4" s="1"/>
  <c r="O561" i="4"/>
  <c r="O563" i="4" s="1"/>
  <c r="Q561" i="4"/>
  <c r="Q563" i="4" s="1"/>
  <c r="R561" i="4"/>
  <c r="R563" i="4" s="1"/>
  <c r="S561" i="4"/>
  <c r="S563" i="4" s="1"/>
  <c r="T561" i="4"/>
  <c r="T563" i="4" s="1"/>
  <c r="Y561" i="4"/>
  <c r="Y563" i="4" s="1"/>
  <c r="X562" i="4"/>
  <c r="Z562" i="4" s="1"/>
  <c r="E563" i="4"/>
  <c r="H563" i="4"/>
  <c r="X563" i="4" s="1"/>
  <c r="X564" i="4"/>
  <c r="Z564" i="4" s="1"/>
  <c r="X565" i="4"/>
  <c r="Z565" i="4" s="1"/>
  <c r="E566" i="4"/>
  <c r="F566" i="4"/>
  <c r="G566" i="4"/>
  <c r="I566" i="4"/>
  <c r="J566" i="4"/>
  <c r="K566" i="4"/>
  <c r="L566" i="4"/>
  <c r="N566" i="4"/>
  <c r="O566" i="4"/>
  <c r="Q566" i="4"/>
  <c r="R566" i="4"/>
  <c r="S566" i="4"/>
  <c r="T566" i="4"/>
  <c r="Y566" i="4"/>
  <c r="E567" i="4"/>
  <c r="F567" i="4"/>
  <c r="G567" i="4"/>
  <c r="I567" i="4"/>
  <c r="J567" i="4"/>
  <c r="K567" i="4"/>
  <c r="L567" i="4"/>
  <c r="N567" i="4"/>
  <c r="O567" i="4"/>
  <c r="Q567" i="4"/>
  <c r="R567" i="4"/>
  <c r="S567" i="4"/>
  <c r="T567" i="4"/>
  <c r="Y567" i="4"/>
  <c r="E568" i="4"/>
  <c r="F568" i="4"/>
  <c r="G568" i="4"/>
  <c r="I568" i="4"/>
  <c r="J568" i="4"/>
  <c r="K568" i="4"/>
  <c r="L568" i="4"/>
  <c r="N568" i="4"/>
  <c r="O568" i="4"/>
  <c r="Q568" i="4"/>
  <c r="R568" i="4"/>
  <c r="S568" i="4"/>
  <c r="T568" i="4"/>
  <c r="Y568" i="4"/>
  <c r="X569" i="4"/>
  <c r="Z569" i="4" s="1"/>
  <c r="E570" i="4"/>
  <c r="H570" i="4"/>
  <c r="P570" i="4"/>
  <c r="X571" i="4"/>
  <c r="Z571" i="4" s="1"/>
  <c r="X572" i="4"/>
  <c r="Z572" i="4" s="1"/>
  <c r="E573" i="4"/>
  <c r="F573" i="4"/>
  <c r="G573" i="4"/>
  <c r="I573" i="4"/>
  <c r="J573" i="4"/>
  <c r="K573" i="4"/>
  <c r="L573" i="4"/>
  <c r="N573" i="4"/>
  <c r="O573" i="4"/>
  <c r="Q573" i="4"/>
  <c r="R573" i="4"/>
  <c r="S573" i="4"/>
  <c r="T573" i="4"/>
  <c r="Y573" i="4"/>
  <c r="E574" i="4"/>
  <c r="F574" i="4"/>
  <c r="G574" i="4"/>
  <c r="I574" i="4"/>
  <c r="J574" i="4"/>
  <c r="K574" i="4"/>
  <c r="L574" i="4"/>
  <c r="N574" i="4"/>
  <c r="O574" i="4"/>
  <c r="Q574" i="4"/>
  <c r="R574" i="4"/>
  <c r="S574" i="4"/>
  <c r="T574" i="4"/>
  <c r="Y574" i="4"/>
  <c r="E575" i="4"/>
  <c r="F575" i="4"/>
  <c r="G575" i="4"/>
  <c r="H575" i="4"/>
  <c r="I575" i="4"/>
  <c r="J575" i="4"/>
  <c r="K575" i="4"/>
  <c r="L575" i="4"/>
  <c r="M575" i="4"/>
  <c r="N575" i="4"/>
  <c r="O575" i="4"/>
  <c r="P575" i="4"/>
  <c r="Q575" i="4"/>
  <c r="R575" i="4"/>
  <c r="S575" i="4"/>
  <c r="T575" i="4"/>
  <c r="U575" i="4"/>
  <c r="V575" i="4"/>
  <c r="W575" i="4"/>
  <c r="X575" i="4"/>
  <c r="Y575" i="4"/>
  <c r="E576" i="4"/>
  <c r="G576" i="4"/>
  <c r="I576" i="4"/>
  <c r="J576" i="4"/>
  <c r="K576" i="4"/>
  <c r="L576" i="4"/>
  <c r="O576" i="4"/>
  <c r="Q576" i="4"/>
  <c r="R576" i="4"/>
  <c r="S576" i="4"/>
  <c r="T576" i="4"/>
  <c r="Y576" i="4"/>
  <c r="E577" i="4"/>
  <c r="F577" i="4"/>
  <c r="G577" i="4"/>
  <c r="I577" i="4"/>
  <c r="J577" i="4"/>
  <c r="K577" i="4"/>
  <c r="L577" i="4"/>
  <c r="N577" i="4"/>
  <c r="O577" i="4"/>
  <c r="Q577" i="4"/>
  <c r="R577" i="4"/>
  <c r="S577" i="4"/>
  <c r="T577" i="4"/>
  <c r="Y577" i="4"/>
  <c r="E578" i="4"/>
  <c r="F578" i="4"/>
  <c r="G578" i="4"/>
  <c r="I578" i="4"/>
  <c r="J578" i="4"/>
  <c r="K578" i="4"/>
  <c r="L578" i="4"/>
  <c r="N578" i="4"/>
  <c r="O578" i="4"/>
  <c r="Q578" i="4"/>
  <c r="R578" i="4"/>
  <c r="S578" i="4"/>
  <c r="T578" i="4"/>
  <c r="Y578" i="4"/>
  <c r="E579" i="4"/>
  <c r="F579" i="4"/>
  <c r="G579" i="4"/>
  <c r="I579" i="4"/>
  <c r="J579" i="4"/>
  <c r="K579" i="4"/>
  <c r="L579" i="4"/>
  <c r="N579" i="4"/>
  <c r="O579" i="4"/>
  <c r="Q579" i="4"/>
  <c r="R579" i="4"/>
  <c r="S579" i="4"/>
  <c r="T579" i="4"/>
  <c r="Y579" i="4"/>
  <c r="E580" i="4"/>
  <c r="G580" i="4"/>
  <c r="I580" i="4"/>
  <c r="J580" i="4"/>
  <c r="K580" i="4"/>
  <c r="L580" i="4"/>
  <c r="N580" i="4"/>
  <c r="O580" i="4"/>
  <c r="Q580" i="4"/>
  <c r="R580" i="4"/>
  <c r="S580" i="4"/>
  <c r="T580" i="4"/>
  <c r="Y580" i="4"/>
  <c r="E581" i="4"/>
  <c r="F581" i="4"/>
  <c r="G581" i="4"/>
  <c r="I581" i="4"/>
  <c r="J581" i="4"/>
  <c r="K581" i="4"/>
  <c r="L581" i="4"/>
  <c r="N581" i="4"/>
  <c r="O581" i="4"/>
  <c r="Q581" i="4"/>
  <c r="R581" i="4"/>
  <c r="S581" i="4"/>
  <c r="T581" i="4"/>
  <c r="Y581" i="4"/>
  <c r="F582" i="4"/>
  <c r="G582" i="4"/>
  <c r="I582" i="4"/>
  <c r="J582" i="4"/>
  <c r="K582" i="4"/>
  <c r="L582" i="4"/>
  <c r="N582" i="4"/>
  <c r="O582" i="4"/>
  <c r="Q582" i="4"/>
  <c r="R582" i="4"/>
  <c r="S582" i="4"/>
  <c r="T582" i="4"/>
  <c r="Y582" i="4"/>
  <c r="E583" i="4"/>
  <c r="F583" i="4"/>
  <c r="G583" i="4"/>
  <c r="I583" i="4"/>
  <c r="J583" i="4"/>
  <c r="K583" i="4"/>
  <c r="L583" i="4"/>
  <c r="N583" i="4"/>
  <c r="O583" i="4"/>
  <c r="Q583" i="4"/>
  <c r="R583" i="4"/>
  <c r="S583" i="4"/>
  <c r="T583" i="4"/>
  <c r="W583" i="4"/>
  <c r="Y583" i="4"/>
  <c r="E584" i="4"/>
  <c r="F584" i="4"/>
  <c r="G584" i="4"/>
  <c r="I584" i="4"/>
  <c r="J584" i="4"/>
  <c r="K584" i="4"/>
  <c r="L584" i="4"/>
  <c r="N584" i="4"/>
  <c r="O584" i="4"/>
  <c r="Q584" i="4"/>
  <c r="R584" i="4"/>
  <c r="S584" i="4"/>
  <c r="T584" i="4"/>
  <c r="V584" i="4"/>
  <c r="W584" i="4"/>
  <c r="Y584" i="4"/>
  <c r="E585" i="4"/>
  <c r="F585" i="4"/>
  <c r="G585" i="4"/>
  <c r="I585" i="4"/>
  <c r="J585" i="4"/>
  <c r="K585" i="4"/>
  <c r="L585" i="4"/>
  <c r="N585" i="4"/>
  <c r="O585" i="4"/>
  <c r="Q585" i="4"/>
  <c r="R585" i="4"/>
  <c r="S585" i="4"/>
  <c r="T585" i="4"/>
  <c r="V585" i="4"/>
  <c r="W585" i="4"/>
  <c r="Y585" i="4"/>
  <c r="G586" i="4"/>
  <c r="I586" i="4"/>
  <c r="J586" i="4"/>
  <c r="K586" i="4"/>
  <c r="L586" i="4"/>
  <c r="N586" i="4"/>
  <c r="O586" i="4"/>
  <c r="Q586" i="4"/>
  <c r="R586" i="4"/>
  <c r="S586" i="4"/>
  <c r="T586" i="4"/>
  <c r="V586" i="4"/>
  <c r="W586" i="4"/>
  <c r="Y586" i="4"/>
  <c r="E587" i="4"/>
  <c r="F587" i="4"/>
  <c r="G587" i="4"/>
  <c r="I587" i="4"/>
  <c r="J587" i="4"/>
  <c r="K587" i="4"/>
  <c r="L587" i="4"/>
  <c r="N587" i="4"/>
  <c r="O587" i="4"/>
  <c r="Q587" i="4"/>
  <c r="R587" i="4"/>
  <c r="S587" i="4"/>
  <c r="T587" i="4"/>
  <c r="Y587" i="4"/>
  <c r="X588" i="4"/>
  <c r="Z588" i="4" s="1"/>
  <c r="P589" i="4"/>
  <c r="X589" i="4" s="1"/>
  <c r="X590" i="4"/>
  <c r="Z590" i="4" s="1"/>
  <c r="X591" i="4"/>
  <c r="Z591" i="4" s="1"/>
  <c r="E592" i="4"/>
  <c r="F592" i="4"/>
  <c r="G592" i="4"/>
  <c r="I592" i="4"/>
  <c r="J592" i="4"/>
  <c r="K592" i="4"/>
  <c r="L592" i="4"/>
  <c r="N592" i="4"/>
  <c r="O592" i="4"/>
  <c r="Q592" i="4"/>
  <c r="R592" i="4"/>
  <c r="S592" i="4"/>
  <c r="T592" i="4"/>
  <c r="Y592" i="4"/>
  <c r="E593" i="4"/>
  <c r="F593" i="4"/>
  <c r="G593" i="4"/>
  <c r="I593" i="4"/>
  <c r="J593" i="4"/>
  <c r="K593" i="4"/>
  <c r="L593" i="4"/>
  <c r="N593" i="4"/>
  <c r="O593" i="4"/>
  <c r="Q593" i="4"/>
  <c r="R593" i="4"/>
  <c r="S593" i="4"/>
  <c r="T593" i="4"/>
  <c r="Y593" i="4"/>
  <c r="E594" i="4"/>
  <c r="F594" i="4"/>
  <c r="G594" i="4"/>
  <c r="I594" i="4"/>
  <c r="J594" i="4"/>
  <c r="K594" i="4"/>
  <c r="L594" i="4"/>
  <c r="N594" i="4"/>
  <c r="O594" i="4"/>
  <c r="Q594" i="4"/>
  <c r="R594" i="4"/>
  <c r="S594" i="4"/>
  <c r="T594" i="4"/>
  <c r="Y594" i="4"/>
  <c r="E595" i="4"/>
  <c r="F595" i="4"/>
  <c r="G595" i="4"/>
  <c r="H595" i="4"/>
  <c r="I595" i="4"/>
  <c r="J595" i="4"/>
  <c r="K595" i="4"/>
  <c r="L595" i="4"/>
  <c r="M595" i="4"/>
  <c r="N595" i="4"/>
  <c r="O595" i="4"/>
  <c r="P595" i="4"/>
  <c r="Q595" i="4"/>
  <c r="R595" i="4"/>
  <c r="S595" i="4"/>
  <c r="T595" i="4"/>
  <c r="U595" i="4"/>
  <c r="V595" i="4"/>
  <c r="W595" i="4"/>
  <c r="X595" i="4"/>
  <c r="Y595" i="4"/>
  <c r="G596" i="4"/>
  <c r="I596" i="4"/>
  <c r="J596" i="4"/>
  <c r="K596" i="4"/>
  <c r="L596" i="4"/>
  <c r="N596" i="4"/>
  <c r="O596" i="4"/>
  <c r="Q596" i="4"/>
  <c r="R596" i="4"/>
  <c r="S596" i="4"/>
  <c r="T596" i="4"/>
  <c r="Y596" i="4"/>
  <c r="E597" i="4"/>
  <c r="F597" i="4"/>
  <c r="G597" i="4"/>
  <c r="I597" i="4"/>
  <c r="J597" i="4"/>
  <c r="K597" i="4"/>
  <c r="L597" i="4"/>
  <c r="N597" i="4"/>
  <c r="O597" i="4"/>
  <c r="Q597" i="4"/>
  <c r="R597" i="4"/>
  <c r="S597" i="4"/>
  <c r="T597" i="4"/>
  <c r="Y597" i="4"/>
  <c r="E598" i="4"/>
  <c r="F598" i="4"/>
  <c r="G598" i="4"/>
  <c r="I598" i="4"/>
  <c r="J598" i="4"/>
  <c r="K598" i="4"/>
  <c r="L598" i="4"/>
  <c r="N598" i="4"/>
  <c r="O598" i="4"/>
  <c r="Q598" i="4"/>
  <c r="R598" i="4"/>
  <c r="S598" i="4"/>
  <c r="T598" i="4"/>
  <c r="Y598" i="4"/>
  <c r="E599" i="4"/>
  <c r="F599" i="4"/>
  <c r="G599" i="4"/>
  <c r="I599" i="4"/>
  <c r="J599" i="4"/>
  <c r="K599" i="4"/>
  <c r="L599" i="4"/>
  <c r="N599" i="4"/>
  <c r="O599" i="4"/>
  <c r="Q599" i="4"/>
  <c r="R599" i="4"/>
  <c r="S599" i="4"/>
  <c r="T599" i="4"/>
  <c r="Y599" i="4"/>
  <c r="E600" i="4"/>
  <c r="F600" i="4"/>
  <c r="G600" i="4"/>
  <c r="I600" i="4"/>
  <c r="J600" i="4"/>
  <c r="K600" i="4"/>
  <c r="L600" i="4"/>
  <c r="N600" i="4"/>
  <c r="O600" i="4"/>
  <c r="Q600" i="4"/>
  <c r="R600" i="4"/>
  <c r="S600" i="4"/>
  <c r="T600" i="4"/>
  <c r="Y600" i="4"/>
  <c r="E601" i="4"/>
  <c r="F601" i="4"/>
  <c r="G601" i="4"/>
  <c r="I601" i="4"/>
  <c r="J601" i="4"/>
  <c r="K601" i="4"/>
  <c r="L601" i="4"/>
  <c r="N601" i="4"/>
  <c r="O601" i="4"/>
  <c r="Q601" i="4"/>
  <c r="R601" i="4"/>
  <c r="S601" i="4"/>
  <c r="T601" i="4"/>
  <c r="Y601" i="4"/>
  <c r="E602" i="4"/>
  <c r="F602" i="4"/>
  <c r="G602" i="4"/>
  <c r="I602" i="4"/>
  <c r="J602" i="4"/>
  <c r="K602" i="4"/>
  <c r="L602" i="4"/>
  <c r="N602" i="4"/>
  <c r="O602" i="4"/>
  <c r="Q602" i="4"/>
  <c r="R602" i="4"/>
  <c r="S602" i="4"/>
  <c r="T602" i="4"/>
  <c r="Y602" i="4"/>
  <c r="E603" i="4"/>
  <c r="F603" i="4"/>
  <c r="G603" i="4"/>
  <c r="I603" i="4"/>
  <c r="J603" i="4"/>
  <c r="K603" i="4"/>
  <c r="L603" i="4"/>
  <c r="N603" i="4"/>
  <c r="O603" i="4"/>
  <c r="Q603" i="4"/>
  <c r="R603" i="4"/>
  <c r="S603" i="4"/>
  <c r="T603" i="4"/>
  <c r="Y603" i="4"/>
  <c r="F604" i="4"/>
  <c r="G604" i="4"/>
  <c r="I604" i="4"/>
  <c r="J604" i="4"/>
  <c r="K604" i="4"/>
  <c r="L604" i="4"/>
  <c r="N604" i="4"/>
  <c r="O604" i="4"/>
  <c r="Q604" i="4"/>
  <c r="R604" i="4"/>
  <c r="S604" i="4"/>
  <c r="T604" i="4"/>
  <c r="Y604" i="4"/>
  <c r="G605" i="4"/>
  <c r="I605" i="4"/>
  <c r="J605" i="4"/>
  <c r="K605" i="4"/>
  <c r="L605" i="4"/>
  <c r="N605" i="4"/>
  <c r="O605" i="4"/>
  <c r="Q605" i="4"/>
  <c r="R605" i="4"/>
  <c r="S605" i="4"/>
  <c r="T605" i="4"/>
  <c r="Y605" i="4"/>
  <c r="X606" i="4"/>
  <c r="Z606" i="4" s="1"/>
  <c r="P607" i="4"/>
  <c r="X607" i="4" s="1"/>
  <c r="Z607" i="4" s="1"/>
  <c r="X608" i="4"/>
  <c r="Z608" i="4" s="1"/>
  <c r="X609" i="4"/>
  <c r="Z609" i="4" s="1"/>
  <c r="X610" i="4"/>
  <c r="Z610" i="4" s="1"/>
  <c r="E611" i="4"/>
  <c r="F611" i="4"/>
  <c r="G611" i="4"/>
  <c r="I611" i="4"/>
  <c r="J611" i="4"/>
  <c r="K611" i="4"/>
  <c r="L611" i="4"/>
  <c r="N611" i="4"/>
  <c r="O611" i="4"/>
  <c r="Q611" i="4"/>
  <c r="R611" i="4"/>
  <c r="S611" i="4"/>
  <c r="T611" i="4"/>
  <c r="Y611" i="4"/>
  <c r="E612" i="4"/>
  <c r="F612" i="4"/>
  <c r="G612" i="4"/>
  <c r="I612" i="4"/>
  <c r="J612" i="4"/>
  <c r="K612" i="4"/>
  <c r="L612" i="4"/>
  <c r="N612" i="4"/>
  <c r="O612" i="4"/>
  <c r="Q612" i="4"/>
  <c r="R612" i="4"/>
  <c r="S612" i="4"/>
  <c r="T612" i="4"/>
  <c r="Y612" i="4"/>
  <c r="E613" i="4"/>
  <c r="F613" i="4"/>
  <c r="G613" i="4"/>
  <c r="I613" i="4"/>
  <c r="J613" i="4"/>
  <c r="K613" i="4"/>
  <c r="L613" i="4"/>
  <c r="N613" i="4"/>
  <c r="O613" i="4"/>
  <c r="Q613" i="4"/>
  <c r="R613" i="4"/>
  <c r="S613" i="4"/>
  <c r="T613" i="4"/>
  <c r="Y613" i="4"/>
  <c r="E614" i="4"/>
  <c r="F614" i="4"/>
  <c r="G614" i="4"/>
  <c r="I614" i="4"/>
  <c r="J614" i="4"/>
  <c r="K614" i="4"/>
  <c r="L614" i="4"/>
  <c r="N614" i="4"/>
  <c r="O614" i="4"/>
  <c r="Q614" i="4"/>
  <c r="R614" i="4"/>
  <c r="S614" i="4"/>
  <c r="T614" i="4"/>
  <c r="Y614" i="4"/>
  <c r="E615" i="4"/>
  <c r="F615" i="4"/>
  <c r="G615" i="4"/>
  <c r="I615" i="4"/>
  <c r="J615" i="4"/>
  <c r="K615" i="4"/>
  <c r="L615" i="4"/>
  <c r="N615" i="4"/>
  <c r="O615" i="4"/>
  <c r="Q615" i="4"/>
  <c r="R615" i="4"/>
  <c r="S615" i="4"/>
  <c r="T615" i="4"/>
  <c r="Y615" i="4"/>
  <c r="F616" i="4"/>
  <c r="G616" i="4"/>
  <c r="I616" i="4"/>
  <c r="J616" i="4"/>
  <c r="K616" i="4"/>
  <c r="L616" i="4"/>
  <c r="N616" i="4"/>
  <c r="O616" i="4"/>
  <c r="Q616" i="4"/>
  <c r="R616" i="4"/>
  <c r="S616" i="4"/>
  <c r="T616" i="4"/>
  <c r="Y616" i="4"/>
  <c r="E617" i="4"/>
  <c r="F617" i="4"/>
  <c r="G617" i="4"/>
  <c r="I617" i="4"/>
  <c r="J617" i="4"/>
  <c r="K617" i="4"/>
  <c r="L617" i="4"/>
  <c r="N617" i="4"/>
  <c r="O617" i="4"/>
  <c r="Q617" i="4"/>
  <c r="R617" i="4"/>
  <c r="S617" i="4"/>
  <c r="T617" i="4"/>
  <c r="Y617" i="4"/>
  <c r="E618" i="4"/>
  <c r="F618" i="4"/>
  <c r="G618" i="4"/>
  <c r="I618" i="4"/>
  <c r="J618" i="4"/>
  <c r="K618" i="4"/>
  <c r="L618" i="4"/>
  <c r="N618" i="4"/>
  <c r="O618" i="4"/>
  <c r="Q618" i="4"/>
  <c r="R618" i="4"/>
  <c r="S618" i="4"/>
  <c r="T618" i="4"/>
  <c r="Y618" i="4"/>
  <c r="G619" i="4"/>
  <c r="I619" i="4"/>
  <c r="J619" i="4"/>
  <c r="K619" i="4"/>
  <c r="L619" i="4"/>
  <c r="N619" i="4"/>
  <c r="O619" i="4"/>
  <c r="Q619" i="4"/>
  <c r="R619" i="4"/>
  <c r="S619" i="4"/>
  <c r="T619" i="4"/>
  <c r="Y619" i="4"/>
  <c r="E620" i="4"/>
  <c r="F620" i="4"/>
  <c r="G620" i="4"/>
  <c r="I620" i="4"/>
  <c r="J620" i="4"/>
  <c r="K620" i="4"/>
  <c r="L620" i="4"/>
  <c r="N620" i="4"/>
  <c r="O620" i="4"/>
  <c r="P620" i="4"/>
  <c r="Q620" i="4"/>
  <c r="R620" i="4"/>
  <c r="S620" i="4"/>
  <c r="T620" i="4"/>
  <c r="Y620" i="4"/>
  <c r="E621" i="4"/>
  <c r="F621" i="4"/>
  <c r="G621" i="4"/>
  <c r="I621" i="4"/>
  <c r="J621" i="4"/>
  <c r="K621" i="4"/>
  <c r="L621" i="4"/>
  <c r="N621" i="4"/>
  <c r="O621" i="4"/>
  <c r="Q621" i="4"/>
  <c r="R621" i="4"/>
  <c r="S621" i="4"/>
  <c r="T621" i="4"/>
  <c r="Y621" i="4"/>
  <c r="E622" i="4"/>
  <c r="F622" i="4"/>
  <c r="G622" i="4"/>
  <c r="I622" i="4"/>
  <c r="J622" i="4"/>
  <c r="K622" i="4"/>
  <c r="L622" i="4"/>
  <c r="N622" i="4"/>
  <c r="O622" i="4"/>
  <c r="Q622" i="4"/>
  <c r="R622" i="4"/>
  <c r="S622" i="4"/>
  <c r="T622" i="4"/>
  <c r="V622" i="4"/>
  <c r="W622" i="4"/>
  <c r="Y622" i="4"/>
  <c r="E623" i="4"/>
  <c r="F623" i="4"/>
  <c r="G623" i="4"/>
  <c r="I623" i="4"/>
  <c r="J623" i="4"/>
  <c r="K623" i="4"/>
  <c r="L623" i="4"/>
  <c r="N623" i="4"/>
  <c r="O623" i="4"/>
  <c r="Q623" i="4"/>
  <c r="R623" i="4"/>
  <c r="S623" i="4"/>
  <c r="T623" i="4"/>
  <c r="Y623" i="4"/>
  <c r="X624" i="4"/>
  <c r="Z624" i="4" s="1"/>
  <c r="P625" i="4"/>
  <c r="X625" i="4" s="1"/>
  <c r="Z625" i="4" s="1"/>
  <c r="X626" i="4"/>
  <c r="X627" i="4"/>
  <c r="E628" i="4"/>
  <c r="F628" i="4"/>
  <c r="G628" i="4"/>
  <c r="I628" i="4"/>
  <c r="J628" i="4"/>
  <c r="K628" i="4"/>
  <c r="L628" i="4"/>
  <c r="N628" i="4"/>
  <c r="O628" i="4"/>
  <c r="Q628" i="4"/>
  <c r="R628" i="4"/>
  <c r="S628" i="4"/>
  <c r="T628" i="4"/>
  <c r="Y628" i="4"/>
  <c r="E629" i="4"/>
  <c r="F629" i="4"/>
  <c r="G629" i="4"/>
  <c r="I629" i="4"/>
  <c r="J629" i="4"/>
  <c r="K629" i="4"/>
  <c r="L629" i="4"/>
  <c r="N629" i="4"/>
  <c r="O629" i="4"/>
  <c r="Q629" i="4"/>
  <c r="R629" i="4"/>
  <c r="S629" i="4"/>
  <c r="T629" i="4"/>
  <c r="Y629" i="4"/>
  <c r="E630" i="4"/>
  <c r="F630" i="4"/>
  <c r="G630" i="4"/>
  <c r="I630" i="4"/>
  <c r="J630" i="4"/>
  <c r="K630" i="4"/>
  <c r="L630" i="4"/>
  <c r="N630" i="4"/>
  <c r="O630" i="4"/>
  <c r="Q630" i="4"/>
  <c r="R630" i="4"/>
  <c r="S630" i="4"/>
  <c r="T630" i="4"/>
  <c r="Y630" i="4"/>
  <c r="E631" i="4"/>
  <c r="F631" i="4"/>
  <c r="G631" i="4"/>
  <c r="I631" i="4"/>
  <c r="J631" i="4"/>
  <c r="K631" i="4"/>
  <c r="L631" i="4"/>
  <c r="N631" i="4"/>
  <c r="O631" i="4"/>
  <c r="Q631" i="4"/>
  <c r="R631" i="4"/>
  <c r="S631" i="4"/>
  <c r="T631" i="4"/>
  <c r="Y631" i="4"/>
  <c r="E632" i="4"/>
  <c r="F632" i="4"/>
  <c r="G632" i="4"/>
  <c r="I632" i="4"/>
  <c r="J632" i="4"/>
  <c r="K632" i="4"/>
  <c r="L632" i="4"/>
  <c r="N632" i="4"/>
  <c r="O632" i="4"/>
  <c r="Q632" i="4"/>
  <c r="R632" i="4"/>
  <c r="S632" i="4"/>
  <c r="T632" i="4"/>
  <c r="Y632" i="4"/>
  <c r="E633" i="4"/>
  <c r="F633" i="4"/>
  <c r="G633" i="4"/>
  <c r="I633" i="4"/>
  <c r="J633" i="4"/>
  <c r="K633" i="4"/>
  <c r="L633" i="4"/>
  <c r="N633" i="4"/>
  <c r="O633" i="4"/>
  <c r="Q633" i="4"/>
  <c r="R633" i="4"/>
  <c r="S633" i="4"/>
  <c r="T633" i="4"/>
  <c r="Y633" i="4"/>
  <c r="G634" i="4"/>
  <c r="I634" i="4"/>
  <c r="J634" i="4"/>
  <c r="K634" i="4"/>
  <c r="L634" i="4"/>
  <c r="N634" i="4"/>
  <c r="O634" i="4"/>
  <c r="Q634" i="4"/>
  <c r="R634" i="4"/>
  <c r="S634" i="4"/>
  <c r="T634" i="4"/>
  <c r="Y634" i="4"/>
  <c r="E635" i="4"/>
  <c r="F635" i="4"/>
  <c r="G635" i="4"/>
  <c r="I635" i="4"/>
  <c r="J635" i="4"/>
  <c r="K635" i="4"/>
  <c r="L635" i="4"/>
  <c r="N635" i="4"/>
  <c r="O635" i="4"/>
  <c r="Q635" i="4"/>
  <c r="R635" i="4"/>
  <c r="S635" i="4"/>
  <c r="T635" i="4"/>
  <c r="Y635" i="4"/>
  <c r="E636" i="4"/>
  <c r="F636" i="4"/>
  <c r="G636" i="4"/>
  <c r="I636" i="4"/>
  <c r="J636" i="4"/>
  <c r="K636" i="4"/>
  <c r="L636" i="4"/>
  <c r="N636" i="4"/>
  <c r="O636" i="4"/>
  <c r="Q636" i="4"/>
  <c r="R636" i="4"/>
  <c r="S636" i="4"/>
  <c r="T636" i="4"/>
  <c r="Y636" i="4"/>
  <c r="X637" i="4"/>
  <c r="P638" i="4"/>
  <c r="E645" i="4"/>
  <c r="F645" i="4"/>
  <c r="G645" i="4"/>
  <c r="H645" i="4"/>
  <c r="X645" i="4" s="1"/>
  <c r="I645" i="4"/>
  <c r="J645" i="4"/>
  <c r="K645" i="4"/>
  <c r="L645" i="4"/>
  <c r="N645" i="4"/>
  <c r="O645" i="4"/>
  <c r="Q645" i="4"/>
  <c r="R645" i="4"/>
  <c r="S645" i="4"/>
  <c r="T645" i="4"/>
  <c r="Y645" i="4"/>
  <c r="X646" i="4"/>
  <c r="X647" i="4"/>
  <c r="X648" i="4"/>
  <c r="G649" i="4"/>
  <c r="I649" i="4"/>
  <c r="K649" i="4"/>
  <c r="L649" i="4"/>
  <c r="N649" i="4"/>
  <c r="O649" i="4"/>
  <c r="Q649" i="4"/>
  <c r="R649" i="4"/>
  <c r="S649" i="4"/>
  <c r="T649" i="4"/>
  <c r="Y649" i="4"/>
  <c r="E650" i="4"/>
  <c r="F650" i="4"/>
  <c r="G650" i="4"/>
  <c r="I650" i="4"/>
  <c r="K650" i="4"/>
  <c r="L650" i="4"/>
  <c r="N650" i="4"/>
  <c r="O650" i="4"/>
  <c r="Q650" i="4"/>
  <c r="R650" i="4"/>
  <c r="S650" i="4"/>
  <c r="T650" i="4"/>
  <c r="Y650" i="4"/>
  <c r="F651" i="4"/>
  <c r="G651" i="4"/>
  <c r="I651" i="4"/>
  <c r="K651" i="4"/>
  <c r="L651" i="4"/>
  <c r="N651" i="4"/>
  <c r="O651" i="4"/>
  <c r="Q651" i="4"/>
  <c r="R651" i="4"/>
  <c r="S651" i="4"/>
  <c r="T651" i="4"/>
  <c r="Y651" i="4"/>
  <c r="E652" i="4"/>
  <c r="F652" i="4"/>
  <c r="G652" i="4"/>
  <c r="I652" i="4"/>
  <c r="K652" i="4"/>
  <c r="L652" i="4"/>
  <c r="N652" i="4"/>
  <c r="O652" i="4"/>
  <c r="Q652" i="4"/>
  <c r="R652" i="4"/>
  <c r="S652" i="4"/>
  <c r="T652" i="4"/>
  <c r="Y652" i="4"/>
  <c r="F653" i="4"/>
  <c r="G653" i="4"/>
  <c r="I653" i="4"/>
  <c r="K653" i="4"/>
  <c r="L653" i="4"/>
  <c r="N653" i="4"/>
  <c r="O653" i="4"/>
  <c r="Q653" i="4"/>
  <c r="R653" i="4"/>
  <c r="S653" i="4"/>
  <c r="T653" i="4"/>
  <c r="Y653" i="4"/>
  <c r="F654" i="4"/>
  <c r="G654" i="4"/>
  <c r="I654" i="4"/>
  <c r="K654" i="4"/>
  <c r="L654" i="4"/>
  <c r="N654" i="4"/>
  <c r="O654" i="4"/>
  <c r="Q654" i="4"/>
  <c r="R654" i="4"/>
  <c r="S654" i="4"/>
  <c r="T654" i="4"/>
  <c r="Y654" i="4"/>
  <c r="F655" i="4"/>
  <c r="G655" i="4"/>
  <c r="I655" i="4"/>
  <c r="K655" i="4"/>
  <c r="L655" i="4"/>
  <c r="N655" i="4"/>
  <c r="O655" i="4"/>
  <c r="Q655" i="4"/>
  <c r="R655" i="4"/>
  <c r="S655" i="4"/>
  <c r="T655" i="4"/>
  <c r="Y655" i="4"/>
  <c r="E656" i="4"/>
  <c r="F656" i="4"/>
  <c r="G656" i="4"/>
  <c r="I656" i="4"/>
  <c r="K656" i="4"/>
  <c r="L656" i="4"/>
  <c r="N656" i="4"/>
  <c r="O656" i="4"/>
  <c r="Q656" i="4"/>
  <c r="R656" i="4"/>
  <c r="S656" i="4"/>
  <c r="T656" i="4"/>
  <c r="Y656" i="4"/>
  <c r="E657" i="4"/>
  <c r="F657" i="4"/>
  <c r="G657" i="4"/>
  <c r="I657" i="4"/>
  <c r="K657" i="4"/>
  <c r="L657" i="4"/>
  <c r="N657" i="4"/>
  <c r="O657" i="4"/>
  <c r="Q657" i="4"/>
  <c r="R657" i="4"/>
  <c r="S657" i="4"/>
  <c r="T657" i="4"/>
  <c r="Y657" i="4"/>
  <c r="E658" i="4"/>
  <c r="F658" i="4"/>
  <c r="G658" i="4"/>
  <c r="I658" i="4"/>
  <c r="K658" i="4"/>
  <c r="L658" i="4"/>
  <c r="N658" i="4"/>
  <c r="O658" i="4"/>
  <c r="Q658" i="4"/>
  <c r="R658" i="4"/>
  <c r="S658" i="4"/>
  <c r="T658" i="4"/>
  <c r="Y658" i="4"/>
  <c r="E659" i="4"/>
  <c r="F659" i="4"/>
  <c r="G659" i="4"/>
  <c r="I659" i="4"/>
  <c r="K659" i="4"/>
  <c r="L659" i="4"/>
  <c r="N659" i="4"/>
  <c r="O659" i="4"/>
  <c r="Q659" i="4"/>
  <c r="R659" i="4"/>
  <c r="S659" i="4"/>
  <c r="T659" i="4"/>
  <c r="Y659" i="4"/>
  <c r="X660" i="4"/>
  <c r="P661" i="4"/>
  <c r="X662" i="4"/>
  <c r="Z662" i="4" s="1"/>
  <c r="X663" i="4"/>
  <c r="Z663" i="4" s="1"/>
  <c r="E664" i="4"/>
  <c r="F664" i="4"/>
  <c r="G664" i="4"/>
  <c r="I664" i="4"/>
  <c r="K664" i="4"/>
  <c r="L664" i="4"/>
  <c r="N664" i="4"/>
  <c r="O664" i="4"/>
  <c r="Q664" i="4"/>
  <c r="R664" i="4"/>
  <c r="S664" i="4"/>
  <c r="T664" i="4"/>
  <c r="Y664" i="4"/>
  <c r="F665" i="4"/>
  <c r="G665" i="4"/>
  <c r="I665" i="4"/>
  <c r="K665" i="4"/>
  <c r="L665" i="4"/>
  <c r="N665" i="4"/>
  <c r="O665" i="4"/>
  <c r="Q665" i="4"/>
  <c r="R665" i="4"/>
  <c r="S665" i="4"/>
  <c r="T665" i="4"/>
  <c r="Y665" i="4"/>
  <c r="F666" i="4"/>
  <c r="G666" i="4"/>
  <c r="I666" i="4"/>
  <c r="K666" i="4"/>
  <c r="L666" i="4"/>
  <c r="N666" i="4"/>
  <c r="O666" i="4"/>
  <c r="Q666" i="4"/>
  <c r="R666" i="4"/>
  <c r="S666" i="4"/>
  <c r="T666" i="4"/>
  <c r="Y666" i="4"/>
  <c r="E667" i="4"/>
  <c r="F667" i="4"/>
  <c r="G667" i="4"/>
  <c r="I667" i="4"/>
  <c r="K667" i="4"/>
  <c r="L667" i="4"/>
  <c r="N667" i="4"/>
  <c r="O667" i="4"/>
  <c r="Q667" i="4"/>
  <c r="R667" i="4"/>
  <c r="S667" i="4"/>
  <c r="T667" i="4"/>
  <c r="Y667" i="4"/>
  <c r="E668" i="4"/>
  <c r="F668" i="4"/>
  <c r="G668" i="4"/>
  <c r="I668" i="4"/>
  <c r="K668" i="4"/>
  <c r="L668" i="4"/>
  <c r="N668" i="4"/>
  <c r="O668" i="4"/>
  <c r="Q668" i="4"/>
  <c r="R668" i="4"/>
  <c r="S668" i="4"/>
  <c r="T668" i="4"/>
  <c r="Y668" i="4"/>
  <c r="E669" i="4"/>
  <c r="F669" i="4"/>
  <c r="G669" i="4"/>
  <c r="I669" i="4"/>
  <c r="K669" i="4"/>
  <c r="L669" i="4"/>
  <c r="N669" i="4"/>
  <c r="O669" i="4"/>
  <c r="Q669" i="4"/>
  <c r="R669" i="4"/>
  <c r="S669" i="4"/>
  <c r="T669" i="4"/>
  <c r="Y669" i="4"/>
  <c r="F670" i="4"/>
  <c r="G670" i="4"/>
  <c r="I670" i="4"/>
  <c r="K670" i="4"/>
  <c r="L670" i="4"/>
  <c r="N670" i="4"/>
  <c r="O670" i="4"/>
  <c r="Q670" i="4"/>
  <c r="R670" i="4"/>
  <c r="S670" i="4"/>
  <c r="T670" i="4"/>
  <c r="Y670" i="4"/>
  <c r="E671" i="4"/>
  <c r="F671" i="4"/>
  <c r="G671" i="4"/>
  <c r="I671" i="4"/>
  <c r="K671" i="4"/>
  <c r="L671" i="4"/>
  <c r="N671" i="4"/>
  <c r="O671" i="4"/>
  <c r="Q671" i="4"/>
  <c r="R671" i="4"/>
  <c r="S671" i="4"/>
  <c r="T671" i="4"/>
  <c r="Y671" i="4"/>
  <c r="E672" i="4"/>
  <c r="F672" i="4"/>
  <c r="G672" i="4"/>
  <c r="I672" i="4"/>
  <c r="K672" i="4"/>
  <c r="L672" i="4"/>
  <c r="N672" i="4"/>
  <c r="O672" i="4"/>
  <c r="Q672" i="4"/>
  <c r="R672" i="4"/>
  <c r="S672" i="4"/>
  <c r="T672" i="4"/>
  <c r="Y672" i="4"/>
  <c r="E673" i="4"/>
  <c r="F673" i="4"/>
  <c r="G673" i="4"/>
  <c r="I673" i="4"/>
  <c r="K673" i="4"/>
  <c r="L673" i="4"/>
  <c r="N673" i="4"/>
  <c r="O673" i="4"/>
  <c r="Q673" i="4"/>
  <c r="R673" i="4"/>
  <c r="S673" i="4"/>
  <c r="T673" i="4"/>
  <c r="Y673" i="4"/>
  <c r="E674" i="4"/>
  <c r="F674" i="4"/>
  <c r="G674" i="4"/>
  <c r="I674" i="4"/>
  <c r="K674" i="4"/>
  <c r="L674" i="4"/>
  <c r="N674" i="4"/>
  <c r="O674" i="4"/>
  <c r="Q674" i="4"/>
  <c r="R674" i="4"/>
  <c r="S674" i="4"/>
  <c r="T674" i="4"/>
  <c r="Y674" i="4"/>
  <c r="E675" i="4"/>
  <c r="F675" i="4"/>
  <c r="G675" i="4"/>
  <c r="I675" i="4"/>
  <c r="K675" i="4"/>
  <c r="L675" i="4"/>
  <c r="N675" i="4"/>
  <c r="O675" i="4"/>
  <c r="Q675" i="4"/>
  <c r="R675" i="4"/>
  <c r="S675" i="4"/>
  <c r="T675" i="4"/>
  <c r="Y675" i="4"/>
  <c r="E676" i="4"/>
  <c r="F676" i="4"/>
  <c r="G676" i="4"/>
  <c r="I676" i="4"/>
  <c r="K676" i="4"/>
  <c r="L676" i="4"/>
  <c r="N676" i="4"/>
  <c r="O676" i="4"/>
  <c r="Q676" i="4"/>
  <c r="R676" i="4"/>
  <c r="S676" i="4"/>
  <c r="T676" i="4"/>
  <c r="Y676" i="4"/>
  <c r="G677" i="4"/>
  <c r="I677" i="4"/>
  <c r="K677" i="4"/>
  <c r="L677" i="4"/>
  <c r="N677" i="4"/>
  <c r="O677" i="4"/>
  <c r="Q677" i="4"/>
  <c r="R677" i="4"/>
  <c r="S677" i="4"/>
  <c r="T677" i="4"/>
  <c r="Y677" i="4"/>
  <c r="G678" i="4"/>
  <c r="I678" i="4"/>
  <c r="K678" i="4"/>
  <c r="L678" i="4"/>
  <c r="N678" i="4"/>
  <c r="O678" i="4"/>
  <c r="Q678" i="4"/>
  <c r="R678" i="4"/>
  <c r="S678" i="4"/>
  <c r="T678" i="4"/>
  <c r="Y678" i="4"/>
  <c r="F679" i="4"/>
  <c r="G679" i="4"/>
  <c r="K679" i="4"/>
  <c r="L679" i="4"/>
  <c r="N679" i="4"/>
  <c r="O679" i="4"/>
  <c r="Q679" i="4"/>
  <c r="R679" i="4"/>
  <c r="S679" i="4"/>
  <c r="T679" i="4"/>
  <c r="Y679" i="4"/>
  <c r="E680" i="4"/>
  <c r="F680" i="4"/>
  <c r="G680" i="4"/>
  <c r="I680" i="4"/>
  <c r="K680" i="4"/>
  <c r="L680" i="4"/>
  <c r="N680" i="4"/>
  <c r="O680" i="4"/>
  <c r="Q680" i="4"/>
  <c r="R680" i="4"/>
  <c r="S680" i="4"/>
  <c r="T680" i="4"/>
  <c r="Y680" i="4"/>
  <c r="E681" i="4"/>
  <c r="F681" i="4"/>
  <c r="G681" i="4"/>
  <c r="I681" i="4"/>
  <c r="J681" i="4"/>
  <c r="K681" i="4"/>
  <c r="L681" i="4"/>
  <c r="N681" i="4"/>
  <c r="O681" i="4"/>
  <c r="Q681" i="4"/>
  <c r="R681" i="4"/>
  <c r="S681" i="4"/>
  <c r="T681" i="4"/>
  <c r="V681" i="4"/>
  <c r="W681" i="4"/>
  <c r="Y681" i="4"/>
  <c r="E682" i="4"/>
  <c r="F682" i="4"/>
  <c r="G682" i="4"/>
  <c r="I682" i="4"/>
  <c r="J682" i="4"/>
  <c r="K682" i="4"/>
  <c r="L682" i="4"/>
  <c r="N682" i="4"/>
  <c r="O682" i="4"/>
  <c r="Q682" i="4"/>
  <c r="R682" i="4"/>
  <c r="S682" i="4"/>
  <c r="T682" i="4"/>
  <c r="V682" i="4"/>
  <c r="W682" i="4"/>
  <c r="Y682" i="4"/>
  <c r="E683" i="4"/>
  <c r="F683" i="4"/>
  <c r="G683" i="4"/>
  <c r="I683" i="4"/>
  <c r="J683" i="4"/>
  <c r="K683" i="4"/>
  <c r="L683" i="4"/>
  <c r="N683" i="4"/>
  <c r="O683" i="4"/>
  <c r="Q683" i="4"/>
  <c r="R683" i="4"/>
  <c r="S683" i="4"/>
  <c r="T683" i="4"/>
  <c r="V683" i="4"/>
  <c r="W683" i="4"/>
  <c r="Y683" i="4"/>
  <c r="E684" i="4"/>
  <c r="F684" i="4"/>
  <c r="G684" i="4"/>
  <c r="I684" i="4"/>
  <c r="J684" i="4"/>
  <c r="K684" i="4"/>
  <c r="L684" i="4"/>
  <c r="N684" i="4"/>
  <c r="O684" i="4"/>
  <c r="Q684" i="4"/>
  <c r="R684" i="4"/>
  <c r="S684" i="4"/>
  <c r="T684" i="4"/>
  <c r="V684" i="4"/>
  <c r="W684" i="4"/>
  <c r="Y684" i="4"/>
  <c r="E685" i="4"/>
  <c r="F685" i="4"/>
  <c r="G685" i="4"/>
  <c r="I685" i="4"/>
  <c r="K685" i="4"/>
  <c r="L685" i="4"/>
  <c r="N685" i="4"/>
  <c r="O685" i="4"/>
  <c r="Q685" i="4"/>
  <c r="R685" i="4"/>
  <c r="S685" i="4"/>
  <c r="T685" i="4"/>
  <c r="Y685" i="4"/>
  <c r="E686" i="4"/>
  <c r="F686" i="4"/>
  <c r="G686" i="4"/>
  <c r="I686" i="4"/>
  <c r="K686" i="4"/>
  <c r="L686" i="4"/>
  <c r="N686" i="4"/>
  <c r="O686" i="4"/>
  <c r="Q686" i="4"/>
  <c r="R686" i="4"/>
  <c r="S686" i="4"/>
  <c r="T686" i="4"/>
  <c r="Y686" i="4"/>
  <c r="E687" i="4"/>
  <c r="F687" i="4"/>
  <c r="G687" i="4"/>
  <c r="I687" i="4"/>
  <c r="K687" i="4"/>
  <c r="L687" i="4"/>
  <c r="N687" i="4"/>
  <c r="O687" i="4"/>
  <c r="Q687" i="4"/>
  <c r="R687" i="4"/>
  <c r="S687" i="4"/>
  <c r="T687" i="4"/>
  <c r="Y687" i="4"/>
  <c r="E688" i="4"/>
  <c r="F688" i="4"/>
  <c r="G688" i="4"/>
  <c r="I688" i="4"/>
  <c r="K688" i="4"/>
  <c r="L688" i="4"/>
  <c r="N688" i="4"/>
  <c r="O688" i="4"/>
  <c r="Q688" i="4"/>
  <c r="R688" i="4"/>
  <c r="S688" i="4"/>
  <c r="T688" i="4"/>
  <c r="Y688" i="4"/>
  <c r="G689" i="4"/>
  <c r="I689" i="4"/>
  <c r="K689" i="4"/>
  <c r="L689" i="4"/>
  <c r="N689" i="4"/>
  <c r="O689" i="4"/>
  <c r="Q689" i="4"/>
  <c r="R689" i="4"/>
  <c r="S689" i="4"/>
  <c r="T689" i="4"/>
  <c r="Y689" i="4"/>
  <c r="X690" i="4"/>
  <c r="Z690" i="4" s="1"/>
  <c r="P691" i="4"/>
  <c r="X692" i="4"/>
  <c r="Z692" i="4" s="1"/>
  <c r="X693" i="4"/>
  <c r="Z693" i="4" s="1"/>
  <c r="E694" i="4"/>
  <c r="G694" i="4"/>
  <c r="I694" i="4"/>
  <c r="L694" i="4"/>
  <c r="N694" i="4"/>
  <c r="O694" i="4"/>
  <c r="R694" i="4"/>
  <c r="S694" i="4"/>
  <c r="T694" i="4"/>
  <c r="Y694" i="4"/>
  <c r="E695" i="4"/>
  <c r="F695" i="4"/>
  <c r="G695" i="4"/>
  <c r="I695" i="4"/>
  <c r="K695" i="4"/>
  <c r="L695" i="4"/>
  <c r="N695" i="4"/>
  <c r="O695" i="4"/>
  <c r="R695" i="4"/>
  <c r="S695" i="4"/>
  <c r="T695" i="4"/>
  <c r="Y695" i="4"/>
  <c r="E696" i="4"/>
  <c r="F696" i="4"/>
  <c r="G696" i="4"/>
  <c r="I696" i="4"/>
  <c r="K696" i="4"/>
  <c r="L696" i="4"/>
  <c r="N696" i="4"/>
  <c r="O696" i="4"/>
  <c r="R696" i="4"/>
  <c r="S696" i="4"/>
  <c r="T696" i="4"/>
  <c r="Y696" i="4"/>
  <c r="E697" i="4"/>
  <c r="F697" i="4"/>
  <c r="G697" i="4"/>
  <c r="I697" i="4"/>
  <c r="K697" i="4"/>
  <c r="L697" i="4"/>
  <c r="N697" i="4"/>
  <c r="O697" i="4"/>
  <c r="R697" i="4"/>
  <c r="S697" i="4"/>
  <c r="T697" i="4"/>
  <c r="Y697" i="4"/>
  <c r="F698" i="4"/>
  <c r="G698" i="4"/>
  <c r="I698" i="4"/>
  <c r="L698" i="4"/>
  <c r="N698" i="4"/>
  <c r="O698" i="4"/>
  <c r="R698" i="4"/>
  <c r="S698" i="4"/>
  <c r="T698" i="4"/>
  <c r="Y698" i="4"/>
  <c r="F699" i="4"/>
  <c r="G699" i="4"/>
  <c r="I699" i="4"/>
  <c r="L699" i="4"/>
  <c r="N699" i="4"/>
  <c r="O699" i="4"/>
  <c r="R699" i="4"/>
  <c r="S699" i="4"/>
  <c r="T699" i="4"/>
  <c r="Y699" i="4"/>
  <c r="E700" i="4"/>
  <c r="F700" i="4"/>
  <c r="G700" i="4"/>
  <c r="I700" i="4"/>
  <c r="K700" i="4"/>
  <c r="L700" i="4"/>
  <c r="N700" i="4"/>
  <c r="O700" i="4"/>
  <c r="R700" i="4"/>
  <c r="S700" i="4"/>
  <c r="T700" i="4"/>
  <c r="Y700" i="4"/>
  <c r="F701" i="4"/>
  <c r="G701" i="4"/>
  <c r="I701" i="4"/>
  <c r="K701" i="4"/>
  <c r="L701" i="4"/>
  <c r="N701" i="4"/>
  <c r="O701" i="4"/>
  <c r="R701" i="4"/>
  <c r="S701" i="4"/>
  <c r="T701" i="4"/>
  <c r="Y701" i="4"/>
  <c r="E702" i="4"/>
  <c r="F702" i="4"/>
  <c r="G702" i="4"/>
  <c r="I702" i="4"/>
  <c r="K702" i="4"/>
  <c r="L702" i="4"/>
  <c r="N702" i="4"/>
  <c r="O702" i="4"/>
  <c r="R702" i="4"/>
  <c r="S702" i="4"/>
  <c r="T702" i="4"/>
  <c r="Y702" i="4"/>
  <c r="F703" i="4"/>
  <c r="G703" i="4"/>
  <c r="I703" i="4"/>
  <c r="K703" i="4"/>
  <c r="L703" i="4"/>
  <c r="N703" i="4"/>
  <c r="O703" i="4"/>
  <c r="R703" i="4"/>
  <c r="S703" i="4"/>
  <c r="T703" i="4"/>
  <c r="Y703" i="4"/>
  <c r="E704" i="4"/>
  <c r="G704" i="4"/>
  <c r="I704" i="4"/>
  <c r="K704" i="4"/>
  <c r="L704" i="4"/>
  <c r="N704" i="4"/>
  <c r="O704" i="4"/>
  <c r="R704" i="4"/>
  <c r="S704" i="4"/>
  <c r="T704" i="4"/>
  <c r="Y704" i="4"/>
  <c r="E705" i="4"/>
  <c r="F705" i="4"/>
  <c r="G705" i="4"/>
  <c r="I705" i="4"/>
  <c r="K705" i="4"/>
  <c r="L705" i="4"/>
  <c r="N705" i="4"/>
  <c r="O705" i="4"/>
  <c r="R705" i="4"/>
  <c r="S705" i="4"/>
  <c r="T705" i="4"/>
  <c r="Y705" i="4"/>
  <c r="E706" i="4"/>
  <c r="F706" i="4"/>
  <c r="G706" i="4"/>
  <c r="I706" i="4"/>
  <c r="K706" i="4"/>
  <c r="L706" i="4"/>
  <c r="N706" i="4"/>
  <c r="O706" i="4"/>
  <c r="R706" i="4"/>
  <c r="S706" i="4"/>
  <c r="T706" i="4"/>
  <c r="Y706" i="4"/>
  <c r="E707" i="4"/>
  <c r="F707" i="4"/>
  <c r="G707" i="4"/>
  <c r="I707" i="4"/>
  <c r="K707" i="4"/>
  <c r="L707" i="4"/>
  <c r="N707" i="4"/>
  <c r="O707" i="4"/>
  <c r="R707" i="4"/>
  <c r="S707" i="4"/>
  <c r="T707" i="4"/>
  <c r="Y707" i="4"/>
  <c r="F708" i="4"/>
  <c r="G708" i="4"/>
  <c r="I708" i="4"/>
  <c r="K708" i="4"/>
  <c r="L708" i="4"/>
  <c r="N708" i="4"/>
  <c r="O708" i="4"/>
  <c r="R708" i="4"/>
  <c r="S708" i="4"/>
  <c r="T708" i="4"/>
  <c r="Y708" i="4"/>
  <c r="F709" i="4"/>
  <c r="G709" i="4"/>
  <c r="I709" i="4"/>
  <c r="K709" i="4"/>
  <c r="L709" i="4"/>
  <c r="N709" i="4"/>
  <c r="O709" i="4"/>
  <c r="R709" i="4"/>
  <c r="S709" i="4"/>
  <c r="T709" i="4"/>
  <c r="Y709" i="4"/>
  <c r="E710" i="4"/>
  <c r="F710" i="4"/>
  <c r="G710" i="4"/>
  <c r="I710" i="4"/>
  <c r="K710" i="4"/>
  <c r="L710" i="4"/>
  <c r="N710" i="4"/>
  <c r="O710" i="4"/>
  <c r="R710" i="4"/>
  <c r="S710" i="4"/>
  <c r="T710" i="4"/>
  <c r="Y710" i="4"/>
  <c r="E711" i="4"/>
  <c r="F711" i="4"/>
  <c r="G711" i="4"/>
  <c r="I711" i="4"/>
  <c r="K711" i="4"/>
  <c r="L711" i="4"/>
  <c r="N711" i="4"/>
  <c r="O711" i="4"/>
  <c r="R711" i="4"/>
  <c r="S711" i="4"/>
  <c r="T711" i="4"/>
  <c r="Y711" i="4"/>
  <c r="E712" i="4"/>
  <c r="F712" i="4"/>
  <c r="G712" i="4"/>
  <c r="I712" i="4"/>
  <c r="K712" i="4"/>
  <c r="L712" i="4"/>
  <c r="N712" i="4"/>
  <c r="O712" i="4"/>
  <c r="R712" i="4"/>
  <c r="S712" i="4"/>
  <c r="T712" i="4"/>
  <c r="Y712" i="4"/>
  <c r="X713" i="4"/>
  <c r="Z713" i="4" s="1"/>
  <c r="P714" i="4"/>
  <c r="X715" i="4"/>
  <c r="Z715" i="4" s="1"/>
  <c r="X716" i="4"/>
  <c r="Z716" i="4" s="1"/>
  <c r="E717" i="4"/>
  <c r="G717" i="4"/>
  <c r="I717" i="4"/>
  <c r="K717" i="4"/>
  <c r="L717" i="4"/>
  <c r="N717" i="4"/>
  <c r="O717" i="4"/>
  <c r="R717" i="4"/>
  <c r="S717" i="4"/>
  <c r="T717" i="4"/>
  <c r="Y717" i="4"/>
  <c r="E718" i="4"/>
  <c r="G718" i="4"/>
  <c r="I718" i="4"/>
  <c r="K718" i="4"/>
  <c r="L718" i="4"/>
  <c r="N718" i="4"/>
  <c r="O718" i="4"/>
  <c r="R718" i="4"/>
  <c r="S718" i="4"/>
  <c r="T718" i="4"/>
  <c r="Y718" i="4"/>
  <c r="G719" i="4"/>
  <c r="I719" i="4"/>
  <c r="K719" i="4"/>
  <c r="L719" i="4"/>
  <c r="N719" i="4"/>
  <c r="O719" i="4"/>
  <c r="R719" i="4"/>
  <c r="S719" i="4"/>
  <c r="T719" i="4"/>
  <c r="Y719" i="4"/>
  <c r="E720" i="4"/>
  <c r="F720" i="4"/>
  <c r="G720" i="4"/>
  <c r="I720" i="4"/>
  <c r="K720" i="4"/>
  <c r="L720" i="4"/>
  <c r="N720" i="4"/>
  <c r="O720" i="4"/>
  <c r="R720" i="4"/>
  <c r="S720" i="4"/>
  <c r="T720" i="4"/>
  <c r="Y720" i="4"/>
  <c r="F721" i="4"/>
  <c r="G721" i="4"/>
  <c r="I721" i="4"/>
  <c r="K721" i="4"/>
  <c r="L721" i="4"/>
  <c r="N721" i="4"/>
  <c r="O721" i="4"/>
  <c r="R721" i="4"/>
  <c r="S721" i="4"/>
  <c r="T721" i="4"/>
  <c r="Y721" i="4"/>
  <c r="F722" i="4"/>
  <c r="G722" i="4"/>
  <c r="I722" i="4"/>
  <c r="L722" i="4"/>
  <c r="N722" i="4"/>
  <c r="O722" i="4"/>
  <c r="R722" i="4"/>
  <c r="S722" i="4"/>
  <c r="T722" i="4"/>
  <c r="Y722" i="4"/>
  <c r="E723" i="4"/>
  <c r="F723" i="4"/>
  <c r="G723" i="4"/>
  <c r="I723" i="4"/>
  <c r="K723" i="4"/>
  <c r="L723" i="4"/>
  <c r="N723" i="4"/>
  <c r="O723" i="4"/>
  <c r="R723" i="4"/>
  <c r="S723" i="4"/>
  <c r="T723" i="4"/>
  <c r="Y723" i="4"/>
  <c r="G724" i="4"/>
  <c r="I724" i="4"/>
  <c r="K724" i="4"/>
  <c r="L724" i="4"/>
  <c r="N724" i="4"/>
  <c r="O724" i="4"/>
  <c r="R724" i="4"/>
  <c r="S724" i="4"/>
  <c r="T724" i="4"/>
  <c r="Y724" i="4"/>
  <c r="G725" i="4"/>
  <c r="I725" i="4"/>
  <c r="K725" i="4"/>
  <c r="L725" i="4"/>
  <c r="N725" i="4"/>
  <c r="O725" i="4"/>
  <c r="R725" i="4"/>
  <c r="S725" i="4"/>
  <c r="T725" i="4"/>
  <c r="Y725" i="4"/>
  <c r="E726" i="4"/>
  <c r="F726" i="4"/>
  <c r="G726" i="4"/>
  <c r="I726" i="4"/>
  <c r="K726" i="4"/>
  <c r="L726" i="4"/>
  <c r="N726" i="4"/>
  <c r="O726" i="4"/>
  <c r="R726" i="4"/>
  <c r="S726" i="4"/>
  <c r="T726" i="4"/>
  <c r="Y726" i="4"/>
  <c r="F727" i="4"/>
  <c r="G727" i="4"/>
  <c r="I727" i="4"/>
  <c r="K727" i="4"/>
  <c r="L727" i="4"/>
  <c r="N727" i="4"/>
  <c r="O727" i="4"/>
  <c r="R727" i="4"/>
  <c r="S727" i="4"/>
  <c r="T727" i="4"/>
  <c r="Y727" i="4"/>
  <c r="E728" i="4"/>
  <c r="F728" i="4"/>
  <c r="G728" i="4"/>
  <c r="I728" i="4"/>
  <c r="K728" i="4"/>
  <c r="L728" i="4"/>
  <c r="N728" i="4"/>
  <c r="O728" i="4"/>
  <c r="R728" i="4"/>
  <c r="S728" i="4"/>
  <c r="T728" i="4"/>
  <c r="Y728" i="4"/>
  <c r="E729" i="4"/>
  <c r="F729" i="4"/>
  <c r="G729" i="4"/>
  <c r="I729" i="4"/>
  <c r="K729" i="4"/>
  <c r="L729" i="4"/>
  <c r="N729" i="4"/>
  <c r="O729" i="4"/>
  <c r="R729" i="4"/>
  <c r="S729" i="4"/>
  <c r="T729" i="4"/>
  <c r="Y729" i="4"/>
  <c r="E730" i="4"/>
  <c r="F730" i="4"/>
  <c r="G730" i="4"/>
  <c r="I730" i="4"/>
  <c r="K730" i="4"/>
  <c r="L730" i="4"/>
  <c r="N730" i="4"/>
  <c r="O730" i="4"/>
  <c r="R730" i="4"/>
  <c r="S730" i="4"/>
  <c r="T730" i="4"/>
  <c r="Y730" i="4"/>
  <c r="G731" i="4"/>
  <c r="K731" i="4"/>
  <c r="L731" i="4"/>
  <c r="N731" i="4"/>
  <c r="O731" i="4"/>
  <c r="R731" i="4"/>
  <c r="S731" i="4"/>
  <c r="T731" i="4"/>
  <c r="Y731" i="4"/>
  <c r="G732" i="4"/>
  <c r="I732" i="4"/>
  <c r="K732" i="4"/>
  <c r="L732" i="4"/>
  <c r="N732" i="4"/>
  <c r="O732" i="4"/>
  <c r="R732" i="4"/>
  <c r="S732" i="4"/>
  <c r="T732" i="4"/>
  <c r="Y732" i="4"/>
  <c r="E733" i="4"/>
  <c r="F733" i="4"/>
  <c r="G733" i="4"/>
  <c r="I733" i="4"/>
  <c r="K733" i="4"/>
  <c r="L733" i="4"/>
  <c r="N733" i="4"/>
  <c r="O733" i="4"/>
  <c r="R733" i="4"/>
  <c r="S733" i="4"/>
  <c r="T733" i="4"/>
  <c r="Y733" i="4"/>
  <c r="E734" i="4"/>
  <c r="F734" i="4"/>
  <c r="G734" i="4"/>
  <c r="I734" i="4"/>
  <c r="K734" i="4"/>
  <c r="L734" i="4"/>
  <c r="N734" i="4"/>
  <c r="O734" i="4"/>
  <c r="R734" i="4"/>
  <c r="S734" i="4"/>
  <c r="T734" i="4"/>
  <c r="Y734" i="4"/>
  <c r="F735" i="4"/>
  <c r="G735" i="4"/>
  <c r="I735" i="4"/>
  <c r="K735" i="4"/>
  <c r="L735" i="4"/>
  <c r="N735" i="4"/>
  <c r="O735" i="4"/>
  <c r="R735" i="4"/>
  <c r="S735" i="4"/>
  <c r="T735" i="4"/>
  <c r="Y735" i="4"/>
  <c r="E736" i="4"/>
  <c r="F736" i="4"/>
  <c r="G736" i="4"/>
  <c r="I736" i="4"/>
  <c r="K736" i="4"/>
  <c r="L736" i="4"/>
  <c r="N736" i="4"/>
  <c r="O736" i="4"/>
  <c r="Q736" i="4"/>
  <c r="R736" i="4"/>
  <c r="S736" i="4"/>
  <c r="T736" i="4"/>
  <c r="Y736" i="4"/>
  <c r="E737" i="4"/>
  <c r="F737" i="4"/>
  <c r="G737" i="4"/>
  <c r="I737" i="4"/>
  <c r="K737" i="4"/>
  <c r="L737" i="4"/>
  <c r="N737" i="4"/>
  <c r="O737" i="4"/>
  <c r="Q737" i="4"/>
  <c r="R737" i="4"/>
  <c r="S737" i="4"/>
  <c r="T737" i="4"/>
  <c r="Y737" i="4"/>
  <c r="E738" i="4"/>
  <c r="F738" i="4"/>
  <c r="G738" i="4"/>
  <c r="I738" i="4"/>
  <c r="J738" i="4"/>
  <c r="K738" i="4"/>
  <c r="L738" i="4"/>
  <c r="N738" i="4"/>
  <c r="O738" i="4"/>
  <c r="Q738" i="4"/>
  <c r="R738" i="4"/>
  <c r="S738" i="4"/>
  <c r="T738" i="4"/>
  <c r="Y738" i="4"/>
  <c r="E739" i="4"/>
  <c r="G739" i="4"/>
  <c r="I739" i="4"/>
  <c r="K739" i="4"/>
  <c r="L739" i="4"/>
  <c r="N739" i="4"/>
  <c r="O739" i="4"/>
  <c r="R739" i="4"/>
  <c r="S739" i="4"/>
  <c r="T739" i="4"/>
  <c r="Y739" i="4"/>
  <c r="E740" i="4"/>
  <c r="F740" i="4"/>
  <c r="G740" i="4"/>
  <c r="I740" i="4"/>
  <c r="K740" i="4"/>
  <c r="L740" i="4"/>
  <c r="N740" i="4"/>
  <c r="O740" i="4"/>
  <c r="R740" i="4"/>
  <c r="S740" i="4"/>
  <c r="T740" i="4"/>
  <c r="Y740" i="4"/>
  <c r="E741" i="4"/>
  <c r="F741" i="4"/>
  <c r="G741" i="4"/>
  <c r="I741" i="4"/>
  <c r="K741" i="4"/>
  <c r="L741" i="4"/>
  <c r="N741" i="4"/>
  <c r="O741" i="4"/>
  <c r="R741" i="4"/>
  <c r="S741" i="4"/>
  <c r="T741" i="4"/>
  <c r="Y741" i="4"/>
  <c r="X742" i="4"/>
  <c r="Z742" i="4" s="1"/>
  <c r="P743" i="4"/>
  <c r="X744" i="4"/>
  <c r="Z744" i="4" s="1"/>
  <c r="X745" i="4"/>
  <c r="Z745" i="4" s="1"/>
  <c r="E746" i="4"/>
  <c r="G746" i="4"/>
  <c r="I746" i="4"/>
  <c r="K746" i="4"/>
  <c r="L746" i="4"/>
  <c r="N746" i="4"/>
  <c r="O746" i="4"/>
  <c r="R746" i="4"/>
  <c r="S746" i="4"/>
  <c r="T746" i="4"/>
  <c r="Y746" i="4"/>
  <c r="E747" i="4"/>
  <c r="G747" i="4"/>
  <c r="I747" i="4"/>
  <c r="K747" i="4"/>
  <c r="L747" i="4"/>
  <c r="N747" i="4"/>
  <c r="O747" i="4"/>
  <c r="R747" i="4"/>
  <c r="S747" i="4"/>
  <c r="T747" i="4"/>
  <c r="Y747" i="4"/>
  <c r="E748" i="4"/>
  <c r="F748" i="4"/>
  <c r="G748" i="4"/>
  <c r="I748" i="4"/>
  <c r="L748" i="4"/>
  <c r="N748" i="4"/>
  <c r="O748" i="4"/>
  <c r="R748" i="4"/>
  <c r="S748" i="4"/>
  <c r="T748" i="4"/>
  <c r="Y748" i="4"/>
  <c r="F749" i="4"/>
  <c r="G749" i="4"/>
  <c r="I749" i="4"/>
  <c r="L749" i="4"/>
  <c r="N749" i="4"/>
  <c r="O749" i="4"/>
  <c r="R749" i="4"/>
  <c r="S749" i="4"/>
  <c r="T749" i="4"/>
  <c r="Y749" i="4"/>
  <c r="E750" i="4"/>
  <c r="F750" i="4"/>
  <c r="G750" i="4"/>
  <c r="I750" i="4"/>
  <c r="K750" i="4"/>
  <c r="L750" i="4"/>
  <c r="N750" i="4"/>
  <c r="O750" i="4"/>
  <c r="R750" i="4"/>
  <c r="S750" i="4"/>
  <c r="T750" i="4"/>
  <c r="Y750" i="4"/>
  <c r="E751" i="4"/>
  <c r="F751" i="4"/>
  <c r="G751" i="4"/>
  <c r="I751" i="4"/>
  <c r="K751" i="4"/>
  <c r="L751" i="4"/>
  <c r="N751" i="4"/>
  <c r="O751" i="4"/>
  <c r="R751" i="4"/>
  <c r="S751" i="4"/>
  <c r="T751" i="4"/>
  <c r="Y751" i="4"/>
  <c r="E752" i="4"/>
  <c r="F752" i="4"/>
  <c r="G752" i="4"/>
  <c r="I752" i="4"/>
  <c r="K752" i="4"/>
  <c r="L752" i="4"/>
  <c r="N752" i="4"/>
  <c r="O752" i="4"/>
  <c r="R752" i="4"/>
  <c r="S752" i="4"/>
  <c r="T752" i="4"/>
  <c r="Y752" i="4"/>
  <c r="E753" i="4"/>
  <c r="F753" i="4"/>
  <c r="G753" i="4"/>
  <c r="I753" i="4"/>
  <c r="J753" i="4"/>
  <c r="K753" i="4"/>
  <c r="L753" i="4"/>
  <c r="N753" i="4"/>
  <c r="O753" i="4"/>
  <c r="Q753" i="4"/>
  <c r="R753" i="4"/>
  <c r="S753" i="4"/>
  <c r="T753" i="4"/>
  <c r="V753" i="4"/>
  <c r="W753" i="4"/>
  <c r="Y753" i="4"/>
  <c r="F754" i="4"/>
  <c r="G754" i="4"/>
  <c r="I754" i="4"/>
  <c r="K754" i="4"/>
  <c r="L754" i="4"/>
  <c r="N754" i="4"/>
  <c r="O754" i="4"/>
  <c r="R754" i="4"/>
  <c r="S754" i="4"/>
  <c r="T754" i="4"/>
  <c r="Y754" i="4"/>
  <c r="X755" i="4"/>
  <c r="Z755" i="4" s="1"/>
  <c r="P756" i="4"/>
  <c r="X757" i="4"/>
  <c r="Z757" i="4" s="1"/>
  <c r="X758" i="4"/>
  <c r="Z758" i="4" s="1"/>
  <c r="X759" i="4"/>
  <c r="Z759" i="4" s="1"/>
  <c r="E760" i="4"/>
  <c r="F760" i="4"/>
  <c r="G760" i="4"/>
  <c r="I760" i="4"/>
  <c r="K760" i="4"/>
  <c r="L760" i="4"/>
  <c r="N760" i="4"/>
  <c r="O760" i="4"/>
  <c r="R760" i="4"/>
  <c r="S760" i="4"/>
  <c r="T760" i="4"/>
  <c r="Y760" i="4"/>
  <c r="E761" i="4"/>
  <c r="F761" i="4"/>
  <c r="G761" i="4"/>
  <c r="I761" i="4"/>
  <c r="K761" i="4"/>
  <c r="L761" i="4"/>
  <c r="N761" i="4"/>
  <c r="O761" i="4"/>
  <c r="R761" i="4"/>
  <c r="S761" i="4"/>
  <c r="T761" i="4"/>
  <c r="Y761" i="4"/>
  <c r="F762" i="4"/>
  <c r="G762" i="4"/>
  <c r="I762" i="4"/>
  <c r="L762" i="4"/>
  <c r="N762" i="4"/>
  <c r="O762" i="4"/>
  <c r="R762" i="4"/>
  <c r="S762" i="4"/>
  <c r="T762" i="4"/>
  <c r="Y762" i="4"/>
  <c r="F763" i="4"/>
  <c r="G763" i="4"/>
  <c r="I763" i="4"/>
  <c r="L763" i="4"/>
  <c r="N763" i="4"/>
  <c r="O763" i="4"/>
  <c r="R763" i="4"/>
  <c r="S763" i="4"/>
  <c r="T763" i="4"/>
  <c r="Y763" i="4"/>
  <c r="G764" i="4"/>
  <c r="I764" i="4"/>
  <c r="K764" i="4"/>
  <c r="L764" i="4"/>
  <c r="N764" i="4"/>
  <c r="O764" i="4"/>
  <c r="R764" i="4"/>
  <c r="S764" i="4"/>
  <c r="T764" i="4"/>
  <c r="Y764" i="4"/>
  <c r="E765" i="4"/>
  <c r="F765" i="4"/>
  <c r="G765" i="4"/>
  <c r="I765" i="4"/>
  <c r="K765" i="4"/>
  <c r="L765" i="4"/>
  <c r="N765" i="4"/>
  <c r="O765" i="4"/>
  <c r="R765" i="4"/>
  <c r="S765" i="4"/>
  <c r="T765" i="4"/>
  <c r="Y765" i="4"/>
  <c r="E766" i="4"/>
  <c r="F766" i="4"/>
  <c r="G766" i="4"/>
  <c r="I766" i="4"/>
  <c r="K766" i="4"/>
  <c r="L766" i="4"/>
  <c r="N766" i="4"/>
  <c r="O766" i="4"/>
  <c r="R766" i="4"/>
  <c r="S766" i="4"/>
  <c r="T766" i="4"/>
  <c r="Y766" i="4"/>
  <c r="F767" i="4"/>
  <c r="G767" i="4"/>
  <c r="I767" i="4"/>
  <c r="K767" i="4"/>
  <c r="L767" i="4"/>
  <c r="N767" i="4"/>
  <c r="O767" i="4"/>
  <c r="R767" i="4"/>
  <c r="S767" i="4"/>
  <c r="T767" i="4"/>
  <c r="Y767" i="4"/>
  <c r="G768" i="4"/>
  <c r="I768" i="4"/>
  <c r="K768" i="4"/>
  <c r="L768" i="4"/>
  <c r="N768" i="4"/>
  <c r="O768" i="4"/>
  <c r="R768" i="4"/>
  <c r="S768" i="4"/>
  <c r="T768" i="4"/>
  <c r="Y768" i="4"/>
  <c r="E769" i="4"/>
  <c r="F769" i="4"/>
  <c r="G769" i="4"/>
  <c r="I769" i="4"/>
  <c r="K769" i="4"/>
  <c r="L769" i="4"/>
  <c r="N769" i="4"/>
  <c r="O769" i="4"/>
  <c r="R769" i="4"/>
  <c r="S769" i="4"/>
  <c r="T769" i="4"/>
  <c r="Y769" i="4"/>
  <c r="E770" i="4"/>
  <c r="F770" i="4"/>
  <c r="G770" i="4"/>
  <c r="I770" i="4"/>
  <c r="K770" i="4"/>
  <c r="L770" i="4"/>
  <c r="N770" i="4"/>
  <c r="O770" i="4"/>
  <c r="R770" i="4"/>
  <c r="S770" i="4"/>
  <c r="T770" i="4"/>
  <c r="Y770" i="4"/>
  <c r="E771" i="4"/>
  <c r="F771" i="4"/>
  <c r="G771" i="4"/>
  <c r="I771" i="4"/>
  <c r="K771" i="4"/>
  <c r="L771" i="4"/>
  <c r="N771" i="4"/>
  <c r="O771" i="4"/>
  <c r="R771" i="4"/>
  <c r="S771" i="4"/>
  <c r="T771" i="4"/>
  <c r="Y771" i="4"/>
  <c r="E772" i="4"/>
  <c r="F772" i="4"/>
  <c r="G772" i="4"/>
  <c r="I772" i="4"/>
  <c r="K772" i="4"/>
  <c r="L772" i="4"/>
  <c r="N772" i="4"/>
  <c r="O772" i="4"/>
  <c r="R772" i="4"/>
  <c r="S772" i="4"/>
  <c r="T772" i="4"/>
  <c r="Y772" i="4"/>
  <c r="E773" i="4"/>
  <c r="F773" i="4"/>
  <c r="G773" i="4"/>
  <c r="I773" i="4"/>
  <c r="K773" i="4"/>
  <c r="L773" i="4"/>
  <c r="N773" i="4"/>
  <c r="O773" i="4"/>
  <c r="R773" i="4"/>
  <c r="S773" i="4"/>
  <c r="T773" i="4"/>
  <c r="Y773" i="4"/>
  <c r="E774" i="4"/>
  <c r="F774" i="4"/>
  <c r="G774" i="4"/>
  <c r="I774" i="4"/>
  <c r="K774" i="4"/>
  <c r="L774" i="4"/>
  <c r="N774" i="4"/>
  <c r="O774" i="4"/>
  <c r="R774" i="4"/>
  <c r="S774" i="4"/>
  <c r="T774" i="4"/>
  <c r="Y774" i="4"/>
  <c r="E775" i="4"/>
  <c r="F775" i="4"/>
  <c r="G775" i="4"/>
  <c r="I775" i="4"/>
  <c r="K775" i="4"/>
  <c r="L775" i="4"/>
  <c r="N775" i="4"/>
  <c r="O775" i="4"/>
  <c r="Q775" i="4"/>
  <c r="R775" i="4"/>
  <c r="S775" i="4"/>
  <c r="T775" i="4"/>
  <c r="Y775" i="4"/>
  <c r="E776" i="4"/>
  <c r="F776" i="4"/>
  <c r="G776" i="4"/>
  <c r="I776" i="4"/>
  <c r="K776" i="4"/>
  <c r="L776" i="4"/>
  <c r="N776" i="4"/>
  <c r="O776" i="4"/>
  <c r="R776" i="4"/>
  <c r="S776" i="4"/>
  <c r="T776" i="4"/>
  <c r="Y776" i="4"/>
  <c r="E777" i="4"/>
  <c r="F777" i="4"/>
  <c r="G777" i="4"/>
  <c r="I777" i="4"/>
  <c r="K777" i="4"/>
  <c r="L777" i="4"/>
  <c r="N777" i="4"/>
  <c r="O777" i="4"/>
  <c r="R777" i="4"/>
  <c r="S777" i="4"/>
  <c r="T777" i="4"/>
  <c r="Y777" i="4"/>
  <c r="F778" i="4"/>
  <c r="G778" i="4"/>
  <c r="I778" i="4"/>
  <c r="K778" i="4"/>
  <c r="L778" i="4"/>
  <c r="N778" i="4"/>
  <c r="O778" i="4"/>
  <c r="R778" i="4"/>
  <c r="S778" i="4"/>
  <c r="T778" i="4"/>
  <c r="Y778" i="4"/>
  <c r="E779" i="4"/>
  <c r="F779" i="4"/>
  <c r="G779" i="4"/>
  <c r="K779" i="4"/>
  <c r="L779" i="4"/>
  <c r="N779" i="4"/>
  <c r="O779" i="4"/>
  <c r="R779" i="4"/>
  <c r="S779" i="4"/>
  <c r="T779" i="4"/>
  <c r="Y779" i="4"/>
  <c r="X780" i="4"/>
  <c r="Z780" i="4" s="1"/>
  <c r="P781" i="4"/>
  <c r="X782" i="4"/>
  <c r="Z782" i="4" s="1"/>
  <c r="X783" i="4"/>
  <c r="Z783" i="4" s="1"/>
  <c r="E784" i="4"/>
  <c r="G784" i="4"/>
  <c r="I784" i="4"/>
  <c r="K784" i="4"/>
  <c r="L784" i="4"/>
  <c r="N784" i="4"/>
  <c r="O784" i="4"/>
  <c r="R784" i="4"/>
  <c r="S784" i="4"/>
  <c r="T784" i="4"/>
  <c r="Y784" i="4"/>
  <c r="E785" i="4"/>
  <c r="G785" i="4"/>
  <c r="I785" i="4"/>
  <c r="K785" i="4"/>
  <c r="L785" i="4"/>
  <c r="N785" i="4"/>
  <c r="O785" i="4"/>
  <c r="R785" i="4"/>
  <c r="S785" i="4"/>
  <c r="T785" i="4"/>
  <c r="Y785" i="4"/>
  <c r="E786" i="4"/>
  <c r="F786" i="4"/>
  <c r="G786" i="4"/>
  <c r="I786" i="4"/>
  <c r="K786" i="4"/>
  <c r="L786" i="4"/>
  <c r="N786" i="4"/>
  <c r="O786" i="4"/>
  <c r="R786" i="4"/>
  <c r="S786" i="4"/>
  <c r="T786" i="4"/>
  <c r="Y786" i="4"/>
  <c r="F787" i="4"/>
  <c r="G787" i="4"/>
  <c r="I787" i="4"/>
  <c r="K787" i="4"/>
  <c r="L787" i="4"/>
  <c r="N787" i="4"/>
  <c r="O787" i="4"/>
  <c r="R787" i="4"/>
  <c r="S787" i="4"/>
  <c r="T787" i="4"/>
  <c r="Y787" i="4"/>
  <c r="G788" i="4"/>
  <c r="I788" i="4"/>
  <c r="L788" i="4"/>
  <c r="N788" i="4"/>
  <c r="O788" i="4"/>
  <c r="R788" i="4"/>
  <c r="S788" i="4"/>
  <c r="T788" i="4"/>
  <c r="Y788" i="4"/>
  <c r="E789" i="4"/>
  <c r="F789" i="4"/>
  <c r="G789" i="4"/>
  <c r="I789" i="4"/>
  <c r="K789" i="4"/>
  <c r="L789" i="4"/>
  <c r="N789" i="4"/>
  <c r="O789" i="4"/>
  <c r="R789" i="4"/>
  <c r="S789" i="4"/>
  <c r="T789" i="4"/>
  <c r="Y789" i="4"/>
  <c r="E790" i="4"/>
  <c r="F790" i="4"/>
  <c r="G790" i="4"/>
  <c r="I790" i="4"/>
  <c r="K790" i="4"/>
  <c r="L790" i="4"/>
  <c r="N790" i="4"/>
  <c r="O790" i="4"/>
  <c r="R790" i="4"/>
  <c r="S790" i="4"/>
  <c r="T790" i="4"/>
  <c r="Y790" i="4"/>
  <c r="F791" i="4"/>
  <c r="G791" i="4"/>
  <c r="I791" i="4"/>
  <c r="K791" i="4"/>
  <c r="L791" i="4"/>
  <c r="N791" i="4"/>
  <c r="O791" i="4"/>
  <c r="R791" i="4"/>
  <c r="S791" i="4"/>
  <c r="T791" i="4"/>
  <c r="Y791" i="4"/>
  <c r="E792" i="4"/>
  <c r="F792" i="4"/>
  <c r="G792" i="4"/>
  <c r="I792" i="4"/>
  <c r="K792" i="4"/>
  <c r="L792" i="4"/>
  <c r="N792" i="4"/>
  <c r="O792" i="4"/>
  <c r="R792" i="4"/>
  <c r="S792" i="4"/>
  <c r="T792" i="4"/>
  <c r="Y792" i="4"/>
  <c r="E793" i="4"/>
  <c r="F793" i="4"/>
  <c r="G793" i="4"/>
  <c r="I793" i="4"/>
  <c r="K793" i="4"/>
  <c r="L793" i="4"/>
  <c r="N793" i="4"/>
  <c r="O793" i="4"/>
  <c r="R793" i="4"/>
  <c r="S793" i="4"/>
  <c r="T793" i="4"/>
  <c r="Y793" i="4"/>
  <c r="F794" i="4"/>
  <c r="G794" i="4"/>
  <c r="I794" i="4"/>
  <c r="K794" i="4"/>
  <c r="L794" i="4"/>
  <c r="N794" i="4"/>
  <c r="O794" i="4"/>
  <c r="R794" i="4"/>
  <c r="S794" i="4"/>
  <c r="T794" i="4"/>
  <c r="Y794" i="4"/>
  <c r="G795" i="4"/>
  <c r="I795" i="4"/>
  <c r="K795" i="4"/>
  <c r="L795" i="4"/>
  <c r="N795" i="4"/>
  <c r="O795" i="4"/>
  <c r="R795" i="4"/>
  <c r="S795" i="4"/>
  <c r="T795" i="4"/>
  <c r="Y795" i="4"/>
  <c r="F796" i="4"/>
  <c r="G796" i="4"/>
  <c r="I796" i="4"/>
  <c r="J796" i="4"/>
  <c r="K796" i="4"/>
  <c r="L796" i="4"/>
  <c r="N796" i="4"/>
  <c r="O796" i="4"/>
  <c r="Q796" i="4"/>
  <c r="R796" i="4"/>
  <c r="S796" i="4"/>
  <c r="T796" i="4"/>
  <c r="Y796" i="4"/>
  <c r="E797" i="4"/>
  <c r="F797" i="4"/>
  <c r="G797" i="4"/>
  <c r="I797" i="4"/>
  <c r="J797" i="4"/>
  <c r="K797" i="4"/>
  <c r="L797" i="4"/>
  <c r="N797" i="4"/>
  <c r="O797" i="4"/>
  <c r="Q797" i="4"/>
  <c r="R797" i="4"/>
  <c r="S797" i="4"/>
  <c r="T797" i="4"/>
  <c r="V797" i="4"/>
  <c r="W797" i="4"/>
  <c r="Y797" i="4"/>
  <c r="E798" i="4"/>
  <c r="F798" i="4"/>
  <c r="G798" i="4"/>
  <c r="I798" i="4"/>
  <c r="J798" i="4"/>
  <c r="K798" i="4"/>
  <c r="L798" i="4"/>
  <c r="N798" i="4"/>
  <c r="O798" i="4"/>
  <c r="Q798" i="4"/>
  <c r="R798" i="4"/>
  <c r="S798" i="4"/>
  <c r="T798" i="4"/>
  <c r="V798" i="4"/>
  <c r="W798" i="4"/>
  <c r="Y798" i="4"/>
  <c r="F799" i="4"/>
  <c r="G799" i="4"/>
  <c r="I799" i="4"/>
  <c r="K799" i="4"/>
  <c r="L799" i="4"/>
  <c r="N799" i="4"/>
  <c r="O799" i="4"/>
  <c r="R799" i="4"/>
  <c r="S799" i="4"/>
  <c r="T799" i="4"/>
  <c r="Y799" i="4"/>
  <c r="E800" i="4"/>
  <c r="F800" i="4"/>
  <c r="G800" i="4"/>
  <c r="I800" i="4"/>
  <c r="K800" i="4"/>
  <c r="L800" i="4"/>
  <c r="N800" i="4"/>
  <c r="O800" i="4"/>
  <c r="R800" i="4"/>
  <c r="S800" i="4"/>
  <c r="T800" i="4"/>
  <c r="Y800" i="4"/>
  <c r="X801" i="4"/>
  <c r="Z801" i="4" s="1"/>
  <c r="P802" i="4"/>
  <c r="X803" i="4"/>
  <c r="Z803" i="4" s="1"/>
  <c r="X804" i="4"/>
  <c r="Z804" i="4" s="1"/>
  <c r="E805" i="4"/>
  <c r="F805" i="4"/>
  <c r="G805" i="4"/>
  <c r="I805" i="4"/>
  <c r="K805" i="4"/>
  <c r="L805" i="4"/>
  <c r="N805" i="4"/>
  <c r="O805" i="4"/>
  <c r="R805" i="4"/>
  <c r="S805" i="4"/>
  <c r="T805" i="4"/>
  <c r="Y805" i="4"/>
  <c r="E806" i="4"/>
  <c r="F806" i="4"/>
  <c r="G806" i="4"/>
  <c r="I806" i="4"/>
  <c r="K806" i="4"/>
  <c r="L806" i="4"/>
  <c r="N806" i="4"/>
  <c r="O806" i="4"/>
  <c r="R806" i="4"/>
  <c r="S806" i="4"/>
  <c r="T806" i="4"/>
  <c r="Y806" i="4"/>
  <c r="F807" i="4"/>
  <c r="G807" i="4"/>
  <c r="I807" i="4"/>
  <c r="L807" i="4"/>
  <c r="N807" i="4"/>
  <c r="O807" i="4"/>
  <c r="R807" i="4"/>
  <c r="S807" i="4"/>
  <c r="T807" i="4"/>
  <c r="Y807" i="4"/>
  <c r="E808" i="4"/>
  <c r="F808" i="4"/>
  <c r="G808" i="4"/>
  <c r="I808" i="4"/>
  <c r="K808" i="4"/>
  <c r="L808" i="4"/>
  <c r="N808" i="4"/>
  <c r="O808" i="4"/>
  <c r="R808" i="4"/>
  <c r="S808" i="4"/>
  <c r="T808" i="4"/>
  <c r="Y808" i="4"/>
  <c r="E809" i="4"/>
  <c r="F809" i="4"/>
  <c r="G809" i="4"/>
  <c r="I809" i="4"/>
  <c r="K809" i="4"/>
  <c r="L809" i="4"/>
  <c r="N809" i="4"/>
  <c r="O809" i="4"/>
  <c r="R809" i="4"/>
  <c r="S809" i="4"/>
  <c r="T809" i="4"/>
  <c r="Y809" i="4"/>
  <c r="E810" i="4"/>
  <c r="G810" i="4"/>
  <c r="I810" i="4"/>
  <c r="K810" i="4"/>
  <c r="L810" i="4"/>
  <c r="N810" i="4"/>
  <c r="O810" i="4"/>
  <c r="R810" i="4"/>
  <c r="S810" i="4"/>
  <c r="T810" i="4"/>
  <c r="Y810" i="4"/>
  <c r="F811" i="4"/>
  <c r="G811" i="4"/>
  <c r="I811" i="4"/>
  <c r="K811" i="4"/>
  <c r="L811" i="4"/>
  <c r="N811" i="4"/>
  <c r="O811" i="4"/>
  <c r="R811" i="4"/>
  <c r="S811" i="4"/>
  <c r="T811" i="4"/>
  <c r="Y811" i="4"/>
  <c r="E812" i="4"/>
  <c r="G812" i="4"/>
  <c r="I812" i="4"/>
  <c r="K812" i="4"/>
  <c r="L812" i="4"/>
  <c r="N812" i="4"/>
  <c r="O812" i="4"/>
  <c r="R812" i="4"/>
  <c r="S812" i="4"/>
  <c r="T812" i="4"/>
  <c r="Y812" i="4"/>
  <c r="E813" i="4"/>
  <c r="F813" i="4"/>
  <c r="G813" i="4"/>
  <c r="I813" i="4"/>
  <c r="K813" i="4"/>
  <c r="L813" i="4"/>
  <c r="N813" i="4"/>
  <c r="O813" i="4"/>
  <c r="R813" i="4"/>
  <c r="S813" i="4"/>
  <c r="T813" i="4"/>
  <c r="Y813" i="4"/>
  <c r="E814" i="4"/>
  <c r="F814" i="4"/>
  <c r="G814" i="4"/>
  <c r="I814" i="4"/>
  <c r="K814" i="4"/>
  <c r="L814" i="4"/>
  <c r="N814" i="4"/>
  <c r="O814" i="4"/>
  <c r="R814" i="4"/>
  <c r="S814" i="4"/>
  <c r="T814" i="4"/>
  <c r="Y814" i="4"/>
  <c r="G815" i="4"/>
  <c r="I815" i="4"/>
  <c r="K815" i="4"/>
  <c r="L815" i="4"/>
  <c r="N815" i="4"/>
  <c r="O815" i="4"/>
  <c r="R815" i="4"/>
  <c r="S815" i="4"/>
  <c r="T815" i="4"/>
  <c r="Y815" i="4"/>
  <c r="E816" i="4"/>
  <c r="F816" i="4"/>
  <c r="G816" i="4"/>
  <c r="I816" i="4"/>
  <c r="K816" i="4"/>
  <c r="L816" i="4"/>
  <c r="N816" i="4"/>
  <c r="O816" i="4"/>
  <c r="R816" i="4"/>
  <c r="S816" i="4"/>
  <c r="T816" i="4"/>
  <c r="Y816" i="4"/>
  <c r="E817" i="4"/>
  <c r="F817" i="4"/>
  <c r="G817" i="4"/>
  <c r="I817" i="4"/>
  <c r="K817" i="4"/>
  <c r="L817" i="4"/>
  <c r="N817" i="4"/>
  <c r="O817" i="4"/>
  <c r="R817" i="4"/>
  <c r="S817" i="4"/>
  <c r="T817" i="4"/>
  <c r="Y817" i="4"/>
  <c r="F818" i="4"/>
  <c r="G818" i="4"/>
  <c r="I818" i="4"/>
  <c r="K818" i="4"/>
  <c r="L818" i="4"/>
  <c r="N818" i="4"/>
  <c r="O818" i="4"/>
  <c r="R818" i="4"/>
  <c r="S818" i="4"/>
  <c r="T818" i="4"/>
  <c r="Y818" i="4"/>
  <c r="E819" i="4"/>
  <c r="F819" i="4"/>
  <c r="G819" i="4"/>
  <c r="I819" i="4"/>
  <c r="K819" i="4"/>
  <c r="L819" i="4"/>
  <c r="N819" i="4"/>
  <c r="O819" i="4"/>
  <c r="R819" i="4"/>
  <c r="S819" i="4"/>
  <c r="T819" i="4"/>
  <c r="Y819" i="4"/>
  <c r="E820" i="4"/>
  <c r="F820" i="4"/>
  <c r="G820" i="4"/>
  <c r="I820" i="4"/>
  <c r="J820" i="4"/>
  <c r="K820" i="4"/>
  <c r="L820" i="4"/>
  <c r="N820" i="4"/>
  <c r="O820" i="4"/>
  <c r="Q820" i="4"/>
  <c r="R820" i="4"/>
  <c r="S820" i="4"/>
  <c r="T820" i="4"/>
  <c r="Y820" i="4"/>
  <c r="E821" i="4"/>
  <c r="F821" i="4"/>
  <c r="G821" i="4"/>
  <c r="I821" i="4"/>
  <c r="K821" i="4"/>
  <c r="L821" i="4"/>
  <c r="N821" i="4"/>
  <c r="O821" i="4"/>
  <c r="R821" i="4"/>
  <c r="S821" i="4"/>
  <c r="T821" i="4"/>
  <c r="Y821" i="4"/>
  <c r="X822" i="4"/>
  <c r="Z822" i="4" s="1"/>
  <c r="P823" i="4"/>
  <c r="X823" i="4" s="1"/>
  <c r="X824" i="4"/>
  <c r="Z824" i="4" s="1"/>
  <c r="X825" i="4"/>
  <c r="Z825" i="4" s="1"/>
  <c r="E826" i="4"/>
  <c r="F826" i="4"/>
  <c r="G826" i="4"/>
  <c r="I826" i="4"/>
  <c r="K826" i="4"/>
  <c r="L826" i="4"/>
  <c r="N826" i="4"/>
  <c r="O826" i="4"/>
  <c r="R826" i="4"/>
  <c r="S826" i="4"/>
  <c r="T826" i="4"/>
  <c r="Y826" i="4"/>
  <c r="F827" i="4"/>
  <c r="G827" i="4"/>
  <c r="I827" i="4"/>
  <c r="L827" i="4"/>
  <c r="N827" i="4"/>
  <c r="O827" i="4"/>
  <c r="R827" i="4"/>
  <c r="S827" i="4"/>
  <c r="T827" i="4"/>
  <c r="Y827" i="4"/>
  <c r="E828" i="4"/>
  <c r="F828" i="4"/>
  <c r="G828" i="4"/>
  <c r="I828" i="4"/>
  <c r="K828" i="4"/>
  <c r="L828" i="4"/>
  <c r="N828" i="4"/>
  <c r="O828" i="4"/>
  <c r="R828" i="4"/>
  <c r="S828" i="4"/>
  <c r="T828" i="4"/>
  <c r="Y828" i="4"/>
  <c r="F829" i="4"/>
  <c r="G829" i="4"/>
  <c r="I829" i="4"/>
  <c r="K829" i="4"/>
  <c r="L829" i="4"/>
  <c r="N829" i="4"/>
  <c r="O829" i="4"/>
  <c r="R829" i="4"/>
  <c r="S829" i="4"/>
  <c r="T829" i="4"/>
  <c r="Y829" i="4"/>
  <c r="F830" i="4"/>
  <c r="G830" i="4"/>
  <c r="I830" i="4"/>
  <c r="K830" i="4"/>
  <c r="L830" i="4"/>
  <c r="N830" i="4"/>
  <c r="O830" i="4"/>
  <c r="R830" i="4"/>
  <c r="S830" i="4"/>
  <c r="T830" i="4"/>
  <c r="Y830" i="4"/>
  <c r="E831" i="4"/>
  <c r="F831" i="4"/>
  <c r="G831" i="4"/>
  <c r="I831" i="4"/>
  <c r="K831" i="4"/>
  <c r="L831" i="4"/>
  <c r="N831" i="4"/>
  <c r="O831" i="4"/>
  <c r="R831" i="4"/>
  <c r="S831" i="4"/>
  <c r="T831" i="4"/>
  <c r="Y831" i="4"/>
  <c r="E832" i="4"/>
  <c r="F832" i="4"/>
  <c r="G832" i="4"/>
  <c r="I832" i="4"/>
  <c r="K832" i="4"/>
  <c r="L832" i="4"/>
  <c r="N832" i="4"/>
  <c r="O832" i="4"/>
  <c r="R832" i="4"/>
  <c r="S832" i="4"/>
  <c r="T832" i="4"/>
  <c r="Y832" i="4"/>
  <c r="G833" i="4"/>
  <c r="I833" i="4"/>
  <c r="K833" i="4"/>
  <c r="L833" i="4"/>
  <c r="N833" i="4"/>
  <c r="O833" i="4"/>
  <c r="R833" i="4"/>
  <c r="S833" i="4"/>
  <c r="T833" i="4"/>
  <c r="Y833" i="4"/>
  <c r="F834" i="4"/>
  <c r="G834" i="4"/>
  <c r="I834" i="4"/>
  <c r="K834" i="4"/>
  <c r="L834" i="4"/>
  <c r="N834" i="4"/>
  <c r="O834" i="4"/>
  <c r="R834" i="4"/>
  <c r="S834" i="4"/>
  <c r="T834" i="4"/>
  <c r="Y834" i="4"/>
  <c r="E835" i="4"/>
  <c r="F835" i="4"/>
  <c r="G835" i="4"/>
  <c r="I835" i="4"/>
  <c r="K835" i="4"/>
  <c r="L835" i="4"/>
  <c r="N835" i="4"/>
  <c r="O835" i="4"/>
  <c r="R835" i="4"/>
  <c r="S835" i="4"/>
  <c r="T835" i="4"/>
  <c r="Y835" i="4"/>
  <c r="F836" i="4"/>
  <c r="G836" i="4"/>
  <c r="I836" i="4"/>
  <c r="K836" i="4"/>
  <c r="L836" i="4"/>
  <c r="N836" i="4"/>
  <c r="O836" i="4"/>
  <c r="R836" i="4"/>
  <c r="S836" i="4"/>
  <c r="T836" i="4"/>
  <c r="Y836" i="4"/>
  <c r="G837" i="4"/>
  <c r="I837" i="4"/>
  <c r="K837" i="4"/>
  <c r="L837" i="4"/>
  <c r="N837" i="4"/>
  <c r="O837" i="4"/>
  <c r="Q837" i="4"/>
  <c r="R837" i="4"/>
  <c r="S837" i="4"/>
  <c r="T837" i="4"/>
  <c r="W837" i="4"/>
  <c r="Y837" i="4"/>
  <c r="G838" i="4"/>
  <c r="I838" i="4"/>
  <c r="J838" i="4"/>
  <c r="K838" i="4"/>
  <c r="L838" i="4"/>
  <c r="N838" i="4"/>
  <c r="O838" i="4"/>
  <c r="Q838" i="4"/>
  <c r="R838" i="4"/>
  <c r="S838" i="4"/>
  <c r="T838" i="4"/>
  <c r="V838" i="4"/>
  <c r="W838" i="4"/>
  <c r="Y838" i="4"/>
  <c r="E839" i="4"/>
  <c r="F839" i="4"/>
  <c r="G839" i="4"/>
  <c r="I839" i="4"/>
  <c r="J839" i="4"/>
  <c r="K839" i="4"/>
  <c r="L839" i="4"/>
  <c r="N839" i="4"/>
  <c r="O839" i="4"/>
  <c r="Q839" i="4"/>
  <c r="R839" i="4"/>
  <c r="S839" i="4"/>
  <c r="T839" i="4"/>
  <c r="V839" i="4"/>
  <c r="W839" i="4"/>
  <c r="Y839" i="4"/>
  <c r="E840" i="4"/>
  <c r="F840" i="4"/>
  <c r="G840" i="4"/>
  <c r="I840" i="4"/>
  <c r="K840" i="4"/>
  <c r="L840" i="4"/>
  <c r="N840" i="4"/>
  <c r="O840" i="4"/>
  <c r="R840" i="4"/>
  <c r="S840" i="4"/>
  <c r="T840" i="4"/>
  <c r="Y840" i="4"/>
  <c r="E841" i="4"/>
  <c r="F841" i="4"/>
  <c r="G841" i="4"/>
  <c r="I841" i="4"/>
  <c r="K841" i="4"/>
  <c r="L841" i="4"/>
  <c r="N841" i="4"/>
  <c r="O841" i="4"/>
  <c r="R841" i="4"/>
  <c r="S841" i="4"/>
  <c r="T841" i="4"/>
  <c r="Y841" i="4"/>
  <c r="E842" i="4"/>
  <c r="F842" i="4"/>
  <c r="G842" i="4"/>
  <c r="I842" i="4"/>
  <c r="K842" i="4"/>
  <c r="L842" i="4"/>
  <c r="N842" i="4"/>
  <c r="O842" i="4"/>
  <c r="R842" i="4"/>
  <c r="S842" i="4"/>
  <c r="T842" i="4"/>
  <c r="Y842" i="4"/>
  <c r="X843" i="4"/>
  <c r="Z843" i="4" s="1"/>
  <c r="P844" i="4"/>
  <c r="X845" i="4"/>
  <c r="Z845" i="4" s="1"/>
  <c r="X846" i="4"/>
  <c r="Z846" i="4" s="1"/>
  <c r="E847" i="4"/>
  <c r="F847" i="4"/>
  <c r="G847" i="4"/>
  <c r="I847" i="4"/>
  <c r="K847" i="4"/>
  <c r="L847" i="4"/>
  <c r="N847" i="4"/>
  <c r="O847" i="4"/>
  <c r="R847" i="4"/>
  <c r="S847" i="4"/>
  <c r="T847" i="4"/>
  <c r="Y847" i="4"/>
  <c r="F848" i="4"/>
  <c r="G848" i="4"/>
  <c r="I848" i="4"/>
  <c r="K848" i="4"/>
  <c r="L848" i="4"/>
  <c r="N848" i="4"/>
  <c r="O848" i="4"/>
  <c r="R848" i="4"/>
  <c r="S848" i="4"/>
  <c r="T848" i="4"/>
  <c r="Y848" i="4"/>
  <c r="F849" i="4"/>
  <c r="G849" i="4"/>
  <c r="I849" i="4"/>
  <c r="K849" i="4"/>
  <c r="L849" i="4"/>
  <c r="N849" i="4"/>
  <c r="O849" i="4"/>
  <c r="R849" i="4"/>
  <c r="S849" i="4"/>
  <c r="T849" i="4"/>
  <c r="Y849" i="4"/>
  <c r="F850" i="4"/>
  <c r="G850" i="4"/>
  <c r="I850" i="4"/>
  <c r="K850" i="4"/>
  <c r="L850" i="4"/>
  <c r="N850" i="4"/>
  <c r="O850" i="4"/>
  <c r="R850" i="4"/>
  <c r="S850" i="4"/>
  <c r="T850" i="4"/>
  <c r="Y850" i="4"/>
  <c r="E851" i="4"/>
  <c r="F851" i="4"/>
  <c r="G851" i="4"/>
  <c r="I851" i="4"/>
  <c r="K851" i="4"/>
  <c r="L851" i="4"/>
  <c r="N851" i="4"/>
  <c r="O851" i="4"/>
  <c r="R851" i="4"/>
  <c r="S851" i="4"/>
  <c r="T851" i="4"/>
  <c r="Y851" i="4"/>
  <c r="E852" i="4"/>
  <c r="F852" i="4"/>
  <c r="G852" i="4"/>
  <c r="I852" i="4"/>
  <c r="K852" i="4"/>
  <c r="L852" i="4"/>
  <c r="N852" i="4"/>
  <c r="O852" i="4"/>
  <c r="R852" i="4"/>
  <c r="S852" i="4"/>
  <c r="T852" i="4"/>
  <c r="Y852" i="4"/>
  <c r="G853" i="4"/>
  <c r="I853" i="4"/>
  <c r="K853" i="4"/>
  <c r="L853" i="4"/>
  <c r="N853" i="4"/>
  <c r="O853" i="4"/>
  <c r="R853" i="4"/>
  <c r="S853" i="4"/>
  <c r="T853" i="4"/>
  <c r="Y853" i="4"/>
  <c r="E854" i="4"/>
  <c r="F854" i="4"/>
  <c r="G854" i="4"/>
  <c r="I854" i="4"/>
  <c r="K854" i="4"/>
  <c r="L854" i="4"/>
  <c r="N854" i="4"/>
  <c r="O854" i="4"/>
  <c r="R854" i="4"/>
  <c r="S854" i="4"/>
  <c r="T854" i="4"/>
  <c r="Y854" i="4"/>
  <c r="E855" i="4"/>
  <c r="G855" i="4"/>
  <c r="I855" i="4"/>
  <c r="K855" i="4"/>
  <c r="L855" i="4"/>
  <c r="N855" i="4"/>
  <c r="O855" i="4"/>
  <c r="R855" i="4"/>
  <c r="S855" i="4"/>
  <c r="T855" i="4"/>
  <c r="Y855" i="4"/>
  <c r="F856" i="4"/>
  <c r="G856" i="4"/>
  <c r="I856" i="4"/>
  <c r="K856" i="4"/>
  <c r="L856" i="4"/>
  <c r="N856" i="4"/>
  <c r="O856" i="4"/>
  <c r="R856" i="4"/>
  <c r="S856" i="4"/>
  <c r="T856" i="4"/>
  <c r="Y856" i="4"/>
  <c r="G857" i="4"/>
  <c r="I857" i="4"/>
  <c r="K857" i="4"/>
  <c r="L857" i="4"/>
  <c r="N857" i="4"/>
  <c r="O857" i="4"/>
  <c r="R857" i="4"/>
  <c r="S857" i="4"/>
  <c r="T857" i="4"/>
  <c r="Y857" i="4"/>
  <c r="G858" i="4"/>
  <c r="I858" i="4"/>
  <c r="K858" i="4"/>
  <c r="L858" i="4"/>
  <c r="N858" i="4"/>
  <c r="O858" i="4"/>
  <c r="R858" i="4"/>
  <c r="S858" i="4"/>
  <c r="T858" i="4"/>
  <c r="Y858" i="4"/>
  <c r="E859" i="4"/>
  <c r="F859" i="4"/>
  <c r="G859" i="4"/>
  <c r="I859" i="4"/>
  <c r="K859" i="4"/>
  <c r="L859" i="4"/>
  <c r="N859" i="4"/>
  <c r="O859" i="4"/>
  <c r="R859" i="4"/>
  <c r="S859" i="4"/>
  <c r="T859" i="4"/>
  <c r="Y859" i="4"/>
  <c r="E860" i="4"/>
  <c r="F860" i="4"/>
  <c r="G860" i="4"/>
  <c r="I860" i="4"/>
  <c r="K860" i="4"/>
  <c r="L860" i="4"/>
  <c r="N860" i="4"/>
  <c r="O860" i="4"/>
  <c r="R860" i="4"/>
  <c r="S860" i="4"/>
  <c r="T860" i="4"/>
  <c r="Y860" i="4"/>
  <c r="E861" i="4"/>
  <c r="F861" i="4"/>
  <c r="G861" i="4"/>
  <c r="I861" i="4"/>
  <c r="K861" i="4"/>
  <c r="L861" i="4"/>
  <c r="N861" i="4"/>
  <c r="O861" i="4"/>
  <c r="R861" i="4"/>
  <c r="S861" i="4"/>
  <c r="T861" i="4"/>
  <c r="Y861" i="4"/>
  <c r="F862" i="4"/>
  <c r="G862" i="4"/>
  <c r="I862" i="4"/>
  <c r="K862" i="4"/>
  <c r="L862" i="4"/>
  <c r="N862" i="4"/>
  <c r="O862" i="4"/>
  <c r="R862" i="4"/>
  <c r="S862" i="4"/>
  <c r="T862" i="4"/>
  <c r="Y862" i="4"/>
  <c r="E863" i="4"/>
  <c r="F863" i="4"/>
  <c r="G863" i="4"/>
  <c r="I863" i="4"/>
  <c r="K863" i="4"/>
  <c r="L863" i="4"/>
  <c r="N863" i="4"/>
  <c r="O863" i="4"/>
  <c r="Q863" i="4"/>
  <c r="R863" i="4"/>
  <c r="S863" i="4"/>
  <c r="T863" i="4"/>
  <c r="W863" i="4"/>
  <c r="Y863" i="4"/>
  <c r="E864" i="4"/>
  <c r="F864" i="4"/>
  <c r="G864" i="4"/>
  <c r="I864" i="4"/>
  <c r="K864" i="4"/>
  <c r="L864" i="4"/>
  <c r="N864" i="4"/>
  <c r="O864" i="4"/>
  <c r="Q864" i="4"/>
  <c r="R864" i="4"/>
  <c r="S864" i="4"/>
  <c r="T864" i="4"/>
  <c r="W864" i="4"/>
  <c r="Y864" i="4"/>
  <c r="G865" i="4"/>
  <c r="I865" i="4"/>
  <c r="K865" i="4"/>
  <c r="L865" i="4"/>
  <c r="N865" i="4"/>
  <c r="O865" i="4"/>
  <c r="Q865" i="4"/>
  <c r="R865" i="4"/>
  <c r="S865" i="4"/>
  <c r="T865" i="4"/>
  <c r="W865" i="4"/>
  <c r="Y865" i="4"/>
  <c r="E866" i="4"/>
  <c r="F866" i="4"/>
  <c r="G866" i="4"/>
  <c r="I866" i="4"/>
  <c r="K866" i="4"/>
  <c r="L866" i="4"/>
  <c r="N866" i="4"/>
  <c r="O866" i="4"/>
  <c r="Q866" i="4"/>
  <c r="R866" i="4"/>
  <c r="S866" i="4"/>
  <c r="T866" i="4"/>
  <c r="W866" i="4"/>
  <c r="Y866" i="4"/>
  <c r="E867" i="4"/>
  <c r="F867" i="4"/>
  <c r="G867" i="4"/>
  <c r="I867" i="4"/>
  <c r="K867" i="4"/>
  <c r="L867" i="4"/>
  <c r="N867" i="4"/>
  <c r="O867" i="4"/>
  <c r="Q867" i="4"/>
  <c r="R867" i="4"/>
  <c r="S867" i="4"/>
  <c r="T867" i="4"/>
  <c r="W867" i="4"/>
  <c r="Y867" i="4"/>
  <c r="E868" i="4"/>
  <c r="F868" i="4"/>
  <c r="G868" i="4"/>
  <c r="I868" i="4"/>
  <c r="K868" i="4"/>
  <c r="L868" i="4"/>
  <c r="N868" i="4"/>
  <c r="O868" i="4"/>
  <c r="Q868" i="4"/>
  <c r="R868" i="4"/>
  <c r="S868" i="4"/>
  <c r="T868" i="4"/>
  <c r="W868" i="4"/>
  <c r="Y868" i="4"/>
  <c r="E869" i="4"/>
  <c r="F869" i="4"/>
  <c r="G869" i="4"/>
  <c r="I869" i="4"/>
  <c r="K869" i="4"/>
  <c r="L869" i="4"/>
  <c r="N869" i="4"/>
  <c r="O869" i="4"/>
  <c r="Q869" i="4"/>
  <c r="R869" i="4"/>
  <c r="S869" i="4"/>
  <c r="T869" i="4"/>
  <c r="W869" i="4"/>
  <c r="Y869" i="4"/>
  <c r="E870" i="4"/>
  <c r="F870" i="4"/>
  <c r="G870" i="4"/>
  <c r="I870" i="4"/>
  <c r="K870" i="4"/>
  <c r="L870" i="4"/>
  <c r="N870" i="4"/>
  <c r="O870" i="4"/>
  <c r="R870" i="4"/>
  <c r="S870" i="4"/>
  <c r="T870" i="4"/>
  <c r="Y870" i="4"/>
  <c r="X871" i="4"/>
  <c r="Z871" i="4" s="1"/>
  <c r="P872" i="4"/>
  <c r="X872" i="4" s="1"/>
  <c r="Z872" i="4" s="1"/>
  <c r="X873" i="4"/>
  <c r="Z873" i="4" s="1"/>
  <c r="X874" i="4"/>
  <c r="Z874" i="4" s="1"/>
  <c r="F875" i="4"/>
  <c r="G875" i="4"/>
  <c r="I875" i="4"/>
  <c r="K875" i="4"/>
  <c r="L875" i="4"/>
  <c r="N875" i="4"/>
  <c r="O875" i="4"/>
  <c r="R875" i="4"/>
  <c r="S875" i="4"/>
  <c r="T875" i="4"/>
  <c r="Y875" i="4"/>
  <c r="F876" i="4"/>
  <c r="G876" i="4"/>
  <c r="I876" i="4"/>
  <c r="K876" i="4"/>
  <c r="L876" i="4"/>
  <c r="N876" i="4"/>
  <c r="O876" i="4"/>
  <c r="R876" i="4"/>
  <c r="S876" i="4"/>
  <c r="T876" i="4"/>
  <c r="Y876" i="4"/>
  <c r="E877" i="4"/>
  <c r="F877" i="4"/>
  <c r="G877" i="4"/>
  <c r="I877" i="4"/>
  <c r="K877" i="4"/>
  <c r="L877" i="4"/>
  <c r="N877" i="4"/>
  <c r="O877" i="4"/>
  <c r="R877" i="4"/>
  <c r="S877" i="4"/>
  <c r="T877" i="4"/>
  <c r="Y877" i="4"/>
  <c r="G878" i="4"/>
  <c r="I878" i="4"/>
  <c r="K878" i="4"/>
  <c r="L878" i="4"/>
  <c r="N878" i="4"/>
  <c r="O878" i="4"/>
  <c r="R878" i="4"/>
  <c r="S878" i="4"/>
  <c r="T878" i="4"/>
  <c r="Y878" i="4"/>
  <c r="E879" i="4"/>
  <c r="F879" i="4"/>
  <c r="G879" i="4"/>
  <c r="I879" i="4"/>
  <c r="K879" i="4"/>
  <c r="L879" i="4"/>
  <c r="N879" i="4"/>
  <c r="O879" i="4"/>
  <c r="R879" i="4"/>
  <c r="S879" i="4"/>
  <c r="T879" i="4"/>
  <c r="Y879" i="4"/>
  <c r="E880" i="4"/>
  <c r="F880" i="4"/>
  <c r="G880" i="4"/>
  <c r="I880" i="4"/>
  <c r="K880" i="4"/>
  <c r="L880" i="4"/>
  <c r="N880" i="4"/>
  <c r="O880" i="4"/>
  <c r="R880" i="4"/>
  <c r="S880" i="4"/>
  <c r="T880" i="4"/>
  <c r="Y880" i="4"/>
  <c r="F881" i="4"/>
  <c r="G881" i="4"/>
  <c r="I881" i="4"/>
  <c r="K881" i="4"/>
  <c r="L881" i="4"/>
  <c r="N881" i="4"/>
  <c r="O881" i="4"/>
  <c r="R881" i="4"/>
  <c r="S881" i="4"/>
  <c r="T881" i="4"/>
  <c r="Y881" i="4"/>
  <c r="E882" i="4"/>
  <c r="G882" i="4"/>
  <c r="I882" i="4"/>
  <c r="K882" i="4"/>
  <c r="L882" i="4"/>
  <c r="N882" i="4"/>
  <c r="O882" i="4"/>
  <c r="R882" i="4"/>
  <c r="S882" i="4"/>
  <c r="T882" i="4"/>
  <c r="Y882" i="4"/>
  <c r="E883" i="4"/>
  <c r="F883" i="4"/>
  <c r="G883" i="4"/>
  <c r="I883" i="4"/>
  <c r="K883" i="4"/>
  <c r="L883" i="4"/>
  <c r="N883" i="4"/>
  <c r="O883" i="4"/>
  <c r="R883" i="4"/>
  <c r="S883" i="4"/>
  <c r="T883" i="4"/>
  <c r="Y883" i="4"/>
  <c r="E884" i="4"/>
  <c r="F884" i="4"/>
  <c r="G884" i="4"/>
  <c r="I884" i="4"/>
  <c r="K884" i="4"/>
  <c r="L884" i="4"/>
  <c r="N884" i="4"/>
  <c r="O884" i="4"/>
  <c r="R884" i="4"/>
  <c r="S884" i="4"/>
  <c r="T884" i="4"/>
  <c r="Y884" i="4"/>
  <c r="E885" i="4"/>
  <c r="F885" i="4"/>
  <c r="G885" i="4"/>
  <c r="I885" i="4"/>
  <c r="K885" i="4"/>
  <c r="L885" i="4"/>
  <c r="N885" i="4"/>
  <c r="O885" i="4"/>
  <c r="R885" i="4"/>
  <c r="S885" i="4"/>
  <c r="T885" i="4"/>
  <c r="Y885" i="4"/>
  <c r="E886" i="4"/>
  <c r="F886" i="4"/>
  <c r="G886" i="4"/>
  <c r="I886" i="4"/>
  <c r="K886" i="4"/>
  <c r="L886" i="4"/>
  <c r="N886" i="4"/>
  <c r="O886" i="4"/>
  <c r="R886" i="4"/>
  <c r="S886" i="4"/>
  <c r="T886" i="4"/>
  <c r="Y886" i="4"/>
  <c r="E887" i="4"/>
  <c r="F887" i="4"/>
  <c r="G887" i="4"/>
  <c r="I887" i="4"/>
  <c r="K887" i="4"/>
  <c r="L887" i="4"/>
  <c r="N887" i="4"/>
  <c r="O887" i="4"/>
  <c r="R887" i="4"/>
  <c r="S887" i="4"/>
  <c r="T887" i="4"/>
  <c r="Y887" i="4"/>
  <c r="E888" i="4"/>
  <c r="F888" i="4"/>
  <c r="G888" i="4"/>
  <c r="I888" i="4"/>
  <c r="J888" i="4"/>
  <c r="K888" i="4"/>
  <c r="L888" i="4"/>
  <c r="N888" i="4"/>
  <c r="O888" i="4"/>
  <c r="Q888" i="4"/>
  <c r="R888" i="4"/>
  <c r="S888" i="4"/>
  <c r="T888" i="4"/>
  <c r="V888" i="4"/>
  <c r="W888" i="4"/>
  <c r="Y888" i="4"/>
  <c r="F889" i="4"/>
  <c r="G889" i="4"/>
  <c r="I889" i="4"/>
  <c r="J889" i="4"/>
  <c r="K889" i="4"/>
  <c r="L889" i="4"/>
  <c r="N889" i="4"/>
  <c r="O889" i="4"/>
  <c r="Q889" i="4"/>
  <c r="R889" i="4"/>
  <c r="S889" i="4"/>
  <c r="T889" i="4"/>
  <c r="V889" i="4"/>
  <c r="W889" i="4"/>
  <c r="Y889" i="4"/>
  <c r="E890" i="4"/>
  <c r="F890" i="4"/>
  <c r="G890" i="4"/>
  <c r="I890" i="4"/>
  <c r="J890" i="4"/>
  <c r="K890" i="4"/>
  <c r="L890" i="4"/>
  <c r="N890" i="4"/>
  <c r="O890" i="4"/>
  <c r="Q890" i="4"/>
  <c r="R890" i="4"/>
  <c r="S890" i="4"/>
  <c r="T890" i="4"/>
  <c r="V890" i="4"/>
  <c r="W890" i="4"/>
  <c r="Y890" i="4"/>
  <c r="E891" i="4"/>
  <c r="F891" i="4"/>
  <c r="G891" i="4"/>
  <c r="I891" i="4"/>
  <c r="K891" i="4"/>
  <c r="L891" i="4"/>
  <c r="N891" i="4"/>
  <c r="O891" i="4"/>
  <c r="R891" i="4"/>
  <c r="S891" i="4"/>
  <c r="T891" i="4"/>
  <c r="Y891" i="4"/>
  <c r="G892" i="4"/>
  <c r="I892" i="4"/>
  <c r="K892" i="4"/>
  <c r="L892" i="4"/>
  <c r="N892" i="4"/>
  <c r="O892" i="4"/>
  <c r="R892" i="4"/>
  <c r="S892" i="4"/>
  <c r="T892" i="4"/>
  <c r="Y892" i="4"/>
  <c r="E893" i="4"/>
  <c r="F893" i="4"/>
  <c r="G893" i="4"/>
  <c r="I893" i="4"/>
  <c r="K893" i="4"/>
  <c r="L893" i="4"/>
  <c r="N893" i="4"/>
  <c r="O893" i="4"/>
  <c r="R893" i="4"/>
  <c r="S893" i="4"/>
  <c r="T893" i="4"/>
  <c r="Y893" i="4"/>
  <c r="X894" i="4"/>
  <c r="Z894" i="4" s="1"/>
  <c r="P895" i="4"/>
  <c r="X896" i="4"/>
  <c r="Z896" i="4" s="1"/>
  <c r="X897" i="4"/>
  <c r="Z897" i="4" s="1"/>
  <c r="E898" i="4"/>
  <c r="F898" i="4"/>
  <c r="G898" i="4"/>
  <c r="I898" i="4"/>
  <c r="L898" i="4"/>
  <c r="N898" i="4"/>
  <c r="O898" i="4"/>
  <c r="R898" i="4"/>
  <c r="S898" i="4"/>
  <c r="T898" i="4"/>
  <c r="Y898" i="4"/>
  <c r="F899" i="4"/>
  <c r="G899" i="4"/>
  <c r="I899" i="4"/>
  <c r="L899" i="4"/>
  <c r="N899" i="4"/>
  <c r="O899" i="4"/>
  <c r="R899" i="4"/>
  <c r="S899" i="4"/>
  <c r="T899" i="4"/>
  <c r="Y899" i="4"/>
  <c r="E900" i="4"/>
  <c r="F900" i="4"/>
  <c r="G900" i="4"/>
  <c r="I900" i="4"/>
  <c r="K900" i="4"/>
  <c r="L900" i="4"/>
  <c r="N900" i="4"/>
  <c r="O900" i="4"/>
  <c r="R900" i="4"/>
  <c r="S900" i="4"/>
  <c r="T900" i="4"/>
  <c r="Y900" i="4"/>
  <c r="E901" i="4"/>
  <c r="F901" i="4"/>
  <c r="G901" i="4"/>
  <c r="I901" i="4"/>
  <c r="K901" i="4"/>
  <c r="L901" i="4"/>
  <c r="N901" i="4"/>
  <c r="O901" i="4"/>
  <c r="R901" i="4"/>
  <c r="S901" i="4"/>
  <c r="T901" i="4"/>
  <c r="Y901" i="4"/>
  <c r="E902" i="4"/>
  <c r="G902" i="4"/>
  <c r="I902" i="4"/>
  <c r="K902" i="4"/>
  <c r="L902" i="4"/>
  <c r="N902" i="4"/>
  <c r="O902" i="4"/>
  <c r="R902" i="4"/>
  <c r="S902" i="4"/>
  <c r="T902" i="4"/>
  <c r="Y902" i="4"/>
  <c r="F903" i="4"/>
  <c r="G903" i="4"/>
  <c r="I903" i="4"/>
  <c r="K903" i="4"/>
  <c r="L903" i="4"/>
  <c r="N903" i="4"/>
  <c r="O903" i="4"/>
  <c r="R903" i="4"/>
  <c r="S903" i="4"/>
  <c r="T903" i="4"/>
  <c r="Y903" i="4"/>
  <c r="E904" i="4"/>
  <c r="G904" i="4"/>
  <c r="I904" i="4"/>
  <c r="K904" i="4"/>
  <c r="L904" i="4"/>
  <c r="N904" i="4"/>
  <c r="O904" i="4"/>
  <c r="R904" i="4"/>
  <c r="S904" i="4"/>
  <c r="T904" i="4"/>
  <c r="Y904" i="4"/>
  <c r="E905" i="4"/>
  <c r="F905" i="4"/>
  <c r="G905" i="4"/>
  <c r="I905" i="4"/>
  <c r="K905" i="4"/>
  <c r="L905" i="4"/>
  <c r="N905" i="4"/>
  <c r="O905" i="4"/>
  <c r="R905" i="4"/>
  <c r="S905" i="4"/>
  <c r="T905" i="4"/>
  <c r="Y905" i="4"/>
  <c r="F906" i="4"/>
  <c r="G906" i="4"/>
  <c r="I906" i="4"/>
  <c r="K906" i="4"/>
  <c r="L906" i="4"/>
  <c r="N906" i="4"/>
  <c r="O906" i="4"/>
  <c r="R906" i="4"/>
  <c r="S906" i="4"/>
  <c r="T906" i="4"/>
  <c r="Y906" i="4"/>
  <c r="G907" i="4"/>
  <c r="I907" i="4"/>
  <c r="K907" i="4"/>
  <c r="L907" i="4"/>
  <c r="N907" i="4"/>
  <c r="O907" i="4"/>
  <c r="R907" i="4"/>
  <c r="S907" i="4"/>
  <c r="T907" i="4"/>
  <c r="Y907" i="4"/>
  <c r="F908" i="4"/>
  <c r="G908" i="4"/>
  <c r="I908" i="4"/>
  <c r="K908" i="4"/>
  <c r="L908" i="4"/>
  <c r="N908" i="4"/>
  <c r="O908" i="4"/>
  <c r="R908" i="4"/>
  <c r="S908" i="4"/>
  <c r="T908" i="4"/>
  <c r="Y908" i="4"/>
  <c r="G909" i="4"/>
  <c r="I909" i="4"/>
  <c r="K909" i="4"/>
  <c r="L909" i="4"/>
  <c r="N909" i="4"/>
  <c r="O909" i="4"/>
  <c r="R909" i="4"/>
  <c r="S909" i="4"/>
  <c r="T909" i="4"/>
  <c r="Y909" i="4"/>
  <c r="E910" i="4"/>
  <c r="F910" i="4"/>
  <c r="G910" i="4"/>
  <c r="I910" i="4"/>
  <c r="K910" i="4"/>
  <c r="L910" i="4"/>
  <c r="N910" i="4"/>
  <c r="O910" i="4"/>
  <c r="R910" i="4"/>
  <c r="S910" i="4"/>
  <c r="T910" i="4"/>
  <c r="Y910" i="4"/>
  <c r="E911" i="4"/>
  <c r="F911" i="4"/>
  <c r="G911" i="4"/>
  <c r="I911" i="4"/>
  <c r="K911" i="4"/>
  <c r="L911" i="4"/>
  <c r="N911" i="4"/>
  <c r="O911" i="4"/>
  <c r="R911" i="4"/>
  <c r="S911" i="4"/>
  <c r="T911" i="4"/>
  <c r="Y911" i="4"/>
  <c r="E912" i="4"/>
  <c r="F912" i="4"/>
  <c r="G912" i="4"/>
  <c r="I912" i="4"/>
  <c r="K912" i="4"/>
  <c r="L912" i="4"/>
  <c r="N912" i="4"/>
  <c r="O912" i="4"/>
  <c r="R912" i="4"/>
  <c r="S912" i="4"/>
  <c r="T912" i="4"/>
  <c r="Y912" i="4"/>
  <c r="E913" i="4"/>
  <c r="F913" i="4"/>
  <c r="G913" i="4"/>
  <c r="I913" i="4"/>
  <c r="K913" i="4"/>
  <c r="L913" i="4"/>
  <c r="N913" i="4"/>
  <c r="O913" i="4"/>
  <c r="R913" i="4"/>
  <c r="S913" i="4"/>
  <c r="T913" i="4"/>
  <c r="Y913" i="4"/>
  <c r="G914" i="4"/>
  <c r="I914" i="4"/>
  <c r="J914" i="4"/>
  <c r="K914" i="4"/>
  <c r="L914" i="4"/>
  <c r="N914" i="4"/>
  <c r="O914" i="4"/>
  <c r="Q914" i="4"/>
  <c r="R914" i="4"/>
  <c r="S914" i="4"/>
  <c r="T914" i="4"/>
  <c r="Y914" i="4"/>
  <c r="G915" i="4"/>
  <c r="I915" i="4"/>
  <c r="J915" i="4"/>
  <c r="K915" i="4"/>
  <c r="L915" i="4"/>
  <c r="N915" i="4"/>
  <c r="O915" i="4"/>
  <c r="Q915" i="4"/>
  <c r="R915" i="4"/>
  <c r="S915" i="4"/>
  <c r="T915" i="4"/>
  <c r="V915" i="4"/>
  <c r="W915" i="4"/>
  <c r="Y915" i="4"/>
  <c r="E916" i="4"/>
  <c r="F916" i="4"/>
  <c r="G916" i="4"/>
  <c r="I916" i="4"/>
  <c r="J916" i="4"/>
  <c r="K916" i="4"/>
  <c r="L916" i="4"/>
  <c r="N916" i="4"/>
  <c r="O916" i="4"/>
  <c r="Q916" i="4"/>
  <c r="R916" i="4"/>
  <c r="S916" i="4"/>
  <c r="T916" i="4"/>
  <c r="V916" i="4"/>
  <c r="W916" i="4"/>
  <c r="Y916" i="4"/>
  <c r="E917" i="4"/>
  <c r="F917" i="4"/>
  <c r="G917" i="4"/>
  <c r="I917" i="4"/>
  <c r="K917" i="4"/>
  <c r="L917" i="4"/>
  <c r="N917" i="4"/>
  <c r="O917" i="4"/>
  <c r="R917" i="4"/>
  <c r="S917" i="4"/>
  <c r="T917" i="4"/>
  <c r="Y917" i="4"/>
  <c r="E918" i="4"/>
  <c r="F918" i="4"/>
  <c r="G918" i="4"/>
  <c r="I918" i="4"/>
  <c r="K918" i="4"/>
  <c r="L918" i="4"/>
  <c r="N918" i="4"/>
  <c r="O918" i="4"/>
  <c r="R918" i="4"/>
  <c r="S918" i="4"/>
  <c r="T918" i="4"/>
  <c r="Y918" i="4"/>
  <c r="E919" i="4"/>
  <c r="F919" i="4"/>
  <c r="G919" i="4"/>
  <c r="I919" i="4"/>
  <c r="K919" i="4"/>
  <c r="L919" i="4"/>
  <c r="N919" i="4"/>
  <c r="O919" i="4"/>
  <c r="R919" i="4"/>
  <c r="S919" i="4"/>
  <c r="T919" i="4"/>
  <c r="Y919" i="4"/>
  <c r="G920" i="4"/>
  <c r="I920" i="4"/>
  <c r="K920" i="4"/>
  <c r="L920" i="4"/>
  <c r="N920" i="4"/>
  <c r="O920" i="4"/>
  <c r="R920" i="4"/>
  <c r="S920" i="4"/>
  <c r="T920" i="4"/>
  <c r="Y920" i="4"/>
  <c r="X921" i="4"/>
  <c r="Z921" i="4" s="1"/>
  <c r="P922" i="4"/>
  <c r="X923" i="4"/>
  <c r="Z923" i="4" s="1"/>
  <c r="X924" i="4"/>
  <c r="Z924" i="4" s="1"/>
  <c r="F925" i="4"/>
  <c r="G925" i="4"/>
  <c r="I925" i="4"/>
  <c r="K925" i="4"/>
  <c r="L925" i="4"/>
  <c r="N925" i="4"/>
  <c r="O925" i="4"/>
  <c r="R925" i="4"/>
  <c r="S925" i="4"/>
  <c r="T925" i="4"/>
  <c r="Y925" i="4"/>
  <c r="E926" i="4"/>
  <c r="G926" i="4"/>
  <c r="I926" i="4"/>
  <c r="K926" i="4"/>
  <c r="L926" i="4"/>
  <c r="N926" i="4"/>
  <c r="O926" i="4"/>
  <c r="R926" i="4"/>
  <c r="S926" i="4"/>
  <c r="T926" i="4"/>
  <c r="Y926" i="4"/>
  <c r="E927" i="4"/>
  <c r="G927" i="4"/>
  <c r="I927" i="4"/>
  <c r="K927" i="4"/>
  <c r="L927" i="4"/>
  <c r="N927" i="4"/>
  <c r="O927" i="4"/>
  <c r="R927" i="4"/>
  <c r="S927" i="4"/>
  <c r="T927" i="4"/>
  <c r="Y927" i="4"/>
  <c r="F928" i="4"/>
  <c r="G928" i="4"/>
  <c r="I928" i="4"/>
  <c r="K928" i="4"/>
  <c r="L928" i="4"/>
  <c r="N928" i="4"/>
  <c r="O928" i="4"/>
  <c r="R928" i="4"/>
  <c r="S928" i="4"/>
  <c r="T928" i="4"/>
  <c r="Y928" i="4"/>
  <c r="E929" i="4"/>
  <c r="F929" i="4"/>
  <c r="G929" i="4"/>
  <c r="I929" i="4"/>
  <c r="K929" i="4"/>
  <c r="L929" i="4"/>
  <c r="N929" i="4"/>
  <c r="O929" i="4"/>
  <c r="R929" i="4"/>
  <c r="S929" i="4"/>
  <c r="T929" i="4"/>
  <c r="Y929" i="4"/>
  <c r="G930" i="4"/>
  <c r="I930" i="4"/>
  <c r="K930" i="4"/>
  <c r="L930" i="4"/>
  <c r="N930" i="4"/>
  <c r="O930" i="4"/>
  <c r="R930" i="4"/>
  <c r="S930" i="4"/>
  <c r="T930" i="4"/>
  <c r="Y930" i="4"/>
  <c r="E931" i="4"/>
  <c r="F931" i="4"/>
  <c r="G931" i="4"/>
  <c r="I931" i="4"/>
  <c r="K931" i="4"/>
  <c r="L931" i="4"/>
  <c r="N931" i="4"/>
  <c r="O931" i="4"/>
  <c r="R931" i="4"/>
  <c r="S931" i="4"/>
  <c r="T931" i="4"/>
  <c r="Y931" i="4"/>
  <c r="E932" i="4"/>
  <c r="F932" i="4"/>
  <c r="G932" i="4"/>
  <c r="I932" i="4"/>
  <c r="K932" i="4"/>
  <c r="L932" i="4"/>
  <c r="N932" i="4"/>
  <c r="O932" i="4"/>
  <c r="R932" i="4"/>
  <c r="S932" i="4"/>
  <c r="T932" i="4"/>
  <c r="Y932" i="4"/>
  <c r="E933" i="4"/>
  <c r="F933" i="4"/>
  <c r="G933" i="4"/>
  <c r="I933" i="4"/>
  <c r="K933" i="4"/>
  <c r="L933" i="4"/>
  <c r="N933" i="4"/>
  <c r="O933" i="4"/>
  <c r="R933" i="4"/>
  <c r="S933" i="4"/>
  <c r="T933" i="4"/>
  <c r="Y933" i="4"/>
  <c r="E934" i="4"/>
  <c r="F934" i="4"/>
  <c r="G934" i="4"/>
  <c r="I934" i="4"/>
  <c r="K934" i="4"/>
  <c r="L934" i="4"/>
  <c r="N934" i="4"/>
  <c r="O934" i="4"/>
  <c r="R934" i="4"/>
  <c r="S934" i="4"/>
  <c r="T934" i="4"/>
  <c r="Y934" i="4"/>
  <c r="E935" i="4"/>
  <c r="F935" i="4"/>
  <c r="G935" i="4"/>
  <c r="I935" i="4"/>
  <c r="K935" i="4"/>
  <c r="L935" i="4"/>
  <c r="N935" i="4"/>
  <c r="O935" i="4"/>
  <c r="R935" i="4"/>
  <c r="S935" i="4"/>
  <c r="T935" i="4"/>
  <c r="Y935" i="4"/>
  <c r="E936" i="4"/>
  <c r="F936" i="4"/>
  <c r="G936" i="4"/>
  <c r="I936" i="4"/>
  <c r="K936" i="4"/>
  <c r="L936" i="4"/>
  <c r="N936" i="4"/>
  <c r="O936" i="4"/>
  <c r="R936" i="4"/>
  <c r="S936" i="4"/>
  <c r="T936" i="4"/>
  <c r="Y936" i="4"/>
  <c r="F937" i="4"/>
  <c r="G937" i="4"/>
  <c r="I937" i="4"/>
  <c r="K937" i="4"/>
  <c r="L937" i="4"/>
  <c r="N937" i="4"/>
  <c r="O937" i="4"/>
  <c r="R937" i="4"/>
  <c r="S937" i="4"/>
  <c r="T937" i="4"/>
  <c r="Y937" i="4"/>
  <c r="G938" i="4"/>
  <c r="I938" i="4"/>
  <c r="K938" i="4"/>
  <c r="L938" i="4"/>
  <c r="N938" i="4"/>
  <c r="O938" i="4"/>
  <c r="R938" i="4"/>
  <c r="S938" i="4"/>
  <c r="T938" i="4"/>
  <c r="Y938" i="4"/>
  <c r="E939" i="4"/>
  <c r="F939" i="4"/>
  <c r="G939" i="4"/>
  <c r="I939" i="4"/>
  <c r="K939" i="4"/>
  <c r="L939" i="4"/>
  <c r="N939" i="4"/>
  <c r="O939" i="4"/>
  <c r="R939" i="4"/>
  <c r="S939" i="4"/>
  <c r="T939" i="4"/>
  <c r="Y939" i="4"/>
  <c r="X940" i="4"/>
  <c r="Z940" i="4" s="1"/>
  <c r="P941" i="4"/>
  <c r="X942" i="4"/>
  <c r="Z942" i="4" s="1"/>
  <c r="X943" i="4"/>
  <c r="Z943" i="4" s="1"/>
  <c r="E944" i="4"/>
  <c r="F944" i="4"/>
  <c r="G944" i="4"/>
  <c r="I944" i="4"/>
  <c r="K944" i="4"/>
  <c r="L944" i="4"/>
  <c r="N944" i="4"/>
  <c r="O944" i="4"/>
  <c r="R944" i="4"/>
  <c r="S944" i="4"/>
  <c r="T944" i="4"/>
  <c r="Y944" i="4"/>
  <c r="E945" i="4"/>
  <c r="F945" i="4"/>
  <c r="G945" i="4"/>
  <c r="I945" i="4"/>
  <c r="K945" i="4"/>
  <c r="L945" i="4"/>
  <c r="N945" i="4"/>
  <c r="O945" i="4"/>
  <c r="R945" i="4"/>
  <c r="S945" i="4"/>
  <c r="T945" i="4"/>
  <c r="Y945" i="4"/>
  <c r="X946" i="4"/>
  <c r="Z946" i="4" s="1"/>
  <c r="E947" i="4"/>
  <c r="H947" i="4"/>
  <c r="X947" i="4" s="1"/>
  <c r="I947" i="4"/>
  <c r="X948" i="4"/>
  <c r="Z948" i="4" s="1"/>
  <c r="X949" i="4"/>
  <c r="Z949" i="4" s="1"/>
  <c r="E950" i="4"/>
  <c r="F950" i="4"/>
  <c r="G950" i="4"/>
  <c r="H950" i="4"/>
  <c r="X950" i="4" s="1"/>
  <c r="I950" i="4"/>
  <c r="K950" i="4"/>
  <c r="L950" i="4"/>
  <c r="N950" i="4"/>
  <c r="O950" i="4"/>
  <c r="R950" i="4"/>
  <c r="S950" i="4"/>
  <c r="T950" i="4"/>
  <c r="Y950" i="4"/>
  <c r="X951" i="4"/>
  <c r="Z951" i="4" s="1"/>
  <c r="X952" i="4"/>
  <c r="Z952" i="4" s="1"/>
  <c r="E953" i="4"/>
  <c r="F953" i="4"/>
  <c r="G953" i="4"/>
  <c r="I953" i="4"/>
  <c r="K953" i="4"/>
  <c r="L953" i="4"/>
  <c r="N953" i="4"/>
  <c r="O953" i="4"/>
  <c r="R953" i="4"/>
  <c r="S953" i="4"/>
  <c r="T953" i="4"/>
  <c r="Y953" i="4"/>
  <c r="E954" i="4"/>
  <c r="F954" i="4"/>
  <c r="G954" i="4"/>
  <c r="I954" i="4"/>
  <c r="K954" i="4"/>
  <c r="L954" i="4"/>
  <c r="N954" i="4"/>
  <c r="R954" i="4"/>
  <c r="S954" i="4"/>
  <c r="T954" i="4"/>
  <c r="Y954" i="4"/>
  <c r="X955" i="4"/>
  <c r="Z955" i="4" s="1"/>
  <c r="E956" i="4"/>
  <c r="F956" i="4"/>
  <c r="G956" i="4"/>
  <c r="H956" i="4"/>
  <c r="X956" i="4" s="1"/>
  <c r="K956" i="4"/>
  <c r="X957" i="4"/>
  <c r="Z957" i="4" s="1"/>
  <c r="X958" i="4"/>
  <c r="Z958" i="4" s="1"/>
  <c r="E959" i="4"/>
  <c r="F959" i="4"/>
  <c r="G959" i="4"/>
  <c r="I959" i="4"/>
  <c r="K959" i="4"/>
  <c r="L959" i="4"/>
  <c r="N959" i="4"/>
  <c r="R959" i="4"/>
  <c r="S959" i="4"/>
  <c r="T959" i="4"/>
  <c r="U959" i="4"/>
  <c r="V959" i="4"/>
  <c r="W959" i="4"/>
  <c r="X959" i="4"/>
  <c r="Y959" i="4"/>
  <c r="E968" i="4"/>
  <c r="F968" i="4"/>
  <c r="G968" i="4"/>
  <c r="I968" i="4"/>
  <c r="J968" i="4"/>
  <c r="K968" i="4"/>
  <c r="L968" i="4"/>
  <c r="N968" i="4"/>
  <c r="O968" i="4"/>
  <c r="Q968" i="4"/>
  <c r="R968" i="4"/>
  <c r="S968" i="4"/>
  <c r="T968" i="4"/>
  <c r="Y968" i="4"/>
  <c r="E969" i="4"/>
  <c r="F969" i="4"/>
  <c r="G969" i="4"/>
  <c r="I969" i="4"/>
  <c r="J969" i="4"/>
  <c r="K969" i="4"/>
  <c r="L969" i="4"/>
  <c r="N969" i="4"/>
  <c r="O969" i="4"/>
  <c r="Q969" i="4"/>
  <c r="R969" i="4"/>
  <c r="S969" i="4"/>
  <c r="T969" i="4"/>
  <c r="Y969" i="4"/>
  <c r="E970" i="4"/>
  <c r="F970" i="4"/>
  <c r="G970" i="4"/>
  <c r="I970" i="4"/>
  <c r="J970" i="4"/>
  <c r="K970" i="4"/>
  <c r="L970" i="4"/>
  <c r="N970" i="4"/>
  <c r="O970" i="4"/>
  <c r="Q970" i="4"/>
  <c r="R970" i="4"/>
  <c r="S970" i="4"/>
  <c r="T970" i="4"/>
  <c r="Y970" i="4"/>
  <c r="E971" i="4"/>
  <c r="F971" i="4"/>
  <c r="G971" i="4"/>
  <c r="I971" i="4"/>
  <c r="J971" i="4"/>
  <c r="K971" i="4"/>
  <c r="L971" i="4"/>
  <c r="O971" i="4"/>
  <c r="Q971" i="4"/>
  <c r="R971" i="4"/>
  <c r="S971" i="4"/>
  <c r="T971" i="4"/>
  <c r="Y971" i="4"/>
  <c r="E972" i="4"/>
  <c r="F972" i="4"/>
  <c r="G972" i="4"/>
  <c r="I972" i="4"/>
  <c r="J972" i="4"/>
  <c r="K972" i="4"/>
  <c r="L972" i="4"/>
  <c r="N972" i="4"/>
  <c r="O972" i="4"/>
  <c r="Q972" i="4"/>
  <c r="R972" i="4"/>
  <c r="S972" i="4"/>
  <c r="T972" i="4"/>
  <c r="Y972" i="4"/>
  <c r="F973" i="4"/>
  <c r="G973" i="4"/>
  <c r="I973" i="4"/>
  <c r="J973" i="4"/>
  <c r="K973" i="4"/>
  <c r="L973" i="4"/>
  <c r="N973" i="4"/>
  <c r="O973" i="4"/>
  <c r="Q973" i="4"/>
  <c r="R973" i="4"/>
  <c r="S973" i="4"/>
  <c r="T973" i="4"/>
  <c r="Y973" i="4"/>
  <c r="F974" i="4"/>
  <c r="G974" i="4"/>
  <c r="I974" i="4"/>
  <c r="J974" i="4"/>
  <c r="K974" i="4"/>
  <c r="L974" i="4"/>
  <c r="N974" i="4"/>
  <c r="O974" i="4"/>
  <c r="Q974" i="4"/>
  <c r="R974" i="4"/>
  <c r="S974" i="4"/>
  <c r="T974" i="4"/>
  <c r="Y974" i="4"/>
  <c r="E975" i="4"/>
  <c r="F975" i="4"/>
  <c r="G975" i="4"/>
  <c r="I975" i="4"/>
  <c r="J975" i="4"/>
  <c r="K975" i="4"/>
  <c r="L975" i="4"/>
  <c r="N975" i="4"/>
  <c r="O975" i="4"/>
  <c r="Q975" i="4"/>
  <c r="R975" i="4"/>
  <c r="S975" i="4"/>
  <c r="T975" i="4"/>
  <c r="Y975" i="4"/>
  <c r="F976" i="4"/>
  <c r="G976" i="4"/>
  <c r="I976" i="4"/>
  <c r="J976" i="4"/>
  <c r="K976" i="4"/>
  <c r="L976" i="4"/>
  <c r="N976" i="4"/>
  <c r="O976" i="4"/>
  <c r="Q976" i="4"/>
  <c r="R976" i="4"/>
  <c r="S976" i="4"/>
  <c r="T976" i="4"/>
  <c r="Y976" i="4"/>
  <c r="F977" i="4"/>
  <c r="G977" i="4"/>
  <c r="I977" i="4"/>
  <c r="J977" i="4"/>
  <c r="K977" i="4"/>
  <c r="L977" i="4"/>
  <c r="N977" i="4"/>
  <c r="O977" i="4"/>
  <c r="Q977" i="4"/>
  <c r="R977" i="4"/>
  <c r="S977" i="4"/>
  <c r="T977" i="4"/>
  <c r="Y977" i="4"/>
  <c r="E978" i="4"/>
  <c r="F978" i="4"/>
  <c r="G978" i="4"/>
  <c r="I978" i="4"/>
  <c r="J978" i="4"/>
  <c r="K978" i="4"/>
  <c r="L978" i="4"/>
  <c r="N978" i="4"/>
  <c r="O978" i="4"/>
  <c r="Q978" i="4"/>
  <c r="R978" i="4"/>
  <c r="S978" i="4"/>
  <c r="T978" i="4"/>
  <c r="Y978" i="4"/>
  <c r="G979" i="4"/>
  <c r="I979" i="4"/>
  <c r="J979" i="4"/>
  <c r="K979" i="4"/>
  <c r="L979" i="4"/>
  <c r="N979" i="4"/>
  <c r="O979" i="4"/>
  <c r="Q979" i="4"/>
  <c r="R979" i="4"/>
  <c r="S979" i="4"/>
  <c r="T979" i="4"/>
  <c r="Y979" i="4"/>
  <c r="E980" i="4"/>
  <c r="F980" i="4"/>
  <c r="G980" i="4"/>
  <c r="I980" i="4"/>
  <c r="J980" i="4"/>
  <c r="K980" i="4"/>
  <c r="L980" i="4"/>
  <c r="N980" i="4"/>
  <c r="O980" i="4"/>
  <c r="Q980" i="4"/>
  <c r="R980" i="4"/>
  <c r="S980" i="4"/>
  <c r="T980" i="4"/>
  <c r="W980" i="4"/>
  <c r="Y980" i="4"/>
  <c r="E981" i="4"/>
  <c r="F981" i="4"/>
  <c r="G981" i="4"/>
  <c r="I981" i="4"/>
  <c r="J981" i="4"/>
  <c r="K981" i="4"/>
  <c r="L981" i="4"/>
  <c r="N981" i="4"/>
  <c r="O981" i="4"/>
  <c r="Q981" i="4"/>
  <c r="R981" i="4"/>
  <c r="S981" i="4"/>
  <c r="T981" i="4"/>
  <c r="Y981" i="4"/>
  <c r="G982" i="4"/>
  <c r="I982" i="4"/>
  <c r="J982" i="4"/>
  <c r="K982" i="4"/>
  <c r="L982" i="4"/>
  <c r="N982" i="4"/>
  <c r="O982" i="4"/>
  <c r="Q982" i="4"/>
  <c r="R982" i="4"/>
  <c r="S982" i="4"/>
  <c r="T982" i="4"/>
  <c r="Y982" i="4"/>
  <c r="P984" i="4"/>
  <c r="P986" i="4" s="1"/>
  <c r="X985" i="4"/>
  <c r="E987" i="4"/>
  <c r="F987" i="4"/>
  <c r="F989" i="4" s="1"/>
  <c r="G987" i="4"/>
  <c r="G989" i="4" s="1"/>
  <c r="I987" i="4"/>
  <c r="I989" i="4" s="1"/>
  <c r="J987" i="4"/>
  <c r="J989" i="4" s="1"/>
  <c r="K987" i="4"/>
  <c r="K989" i="4" s="1"/>
  <c r="L987" i="4"/>
  <c r="L989" i="4" s="1"/>
  <c r="N987" i="4"/>
  <c r="N989" i="4" s="1"/>
  <c r="O987" i="4"/>
  <c r="Q987" i="4"/>
  <c r="Q989" i="4" s="1"/>
  <c r="R987" i="4"/>
  <c r="R989" i="4" s="1"/>
  <c r="S987" i="4"/>
  <c r="S989" i="4" s="1"/>
  <c r="Y987" i="4"/>
  <c r="Y989" i="4" s="1"/>
  <c r="X988" i="4"/>
  <c r="E989" i="4"/>
  <c r="H989" i="4"/>
  <c r="X989" i="4" s="1"/>
  <c r="O989" i="4"/>
  <c r="X990" i="4"/>
  <c r="Z990" i="4" s="1"/>
  <c r="X991" i="4"/>
  <c r="Z991" i="4" s="1"/>
  <c r="X992" i="4"/>
  <c r="Z992" i="4" s="1"/>
  <c r="E993" i="4"/>
  <c r="F993" i="4"/>
  <c r="G993" i="4"/>
  <c r="I993" i="4"/>
  <c r="J993" i="4"/>
  <c r="K993" i="4"/>
  <c r="L993" i="4"/>
  <c r="O993" i="4"/>
  <c r="Q993" i="4"/>
  <c r="R993" i="4"/>
  <c r="S993" i="4"/>
  <c r="T993" i="4"/>
  <c r="Y993" i="4"/>
  <c r="E994" i="4"/>
  <c r="F994" i="4"/>
  <c r="G994" i="4"/>
  <c r="I994" i="4"/>
  <c r="J994" i="4"/>
  <c r="K994" i="4"/>
  <c r="L994" i="4"/>
  <c r="N994" i="4"/>
  <c r="O994" i="4"/>
  <c r="Q994" i="4"/>
  <c r="R994" i="4"/>
  <c r="S994" i="4"/>
  <c r="T994" i="4"/>
  <c r="Y994" i="4"/>
  <c r="E995" i="4"/>
  <c r="F995" i="4"/>
  <c r="G995" i="4"/>
  <c r="I995" i="4"/>
  <c r="J995" i="4"/>
  <c r="K995" i="4"/>
  <c r="L995" i="4"/>
  <c r="N995" i="4"/>
  <c r="O995" i="4"/>
  <c r="Q995" i="4"/>
  <c r="R995" i="4"/>
  <c r="S995" i="4"/>
  <c r="T995" i="4"/>
  <c r="Y995" i="4"/>
  <c r="E996" i="4"/>
  <c r="F996" i="4"/>
  <c r="G996" i="4"/>
  <c r="H996" i="4"/>
  <c r="I996" i="4"/>
  <c r="J996" i="4"/>
  <c r="K996" i="4"/>
  <c r="L996" i="4"/>
  <c r="M996" i="4"/>
  <c r="N996" i="4"/>
  <c r="O996" i="4"/>
  <c r="P996" i="4"/>
  <c r="Q996" i="4"/>
  <c r="R996" i="4"/>
  <c r="S996" i="4"/>
  <c r="T996" i="4"/>
  <c r="U996" i="4"/>
  <c r="V996" i="4"/>
  <c r="W996" i="4"/>
  <c r="X996" i="4"/>
  <c r="Y996" i="4"/>
  <c r="E997" i="4"/>
  <c r="F997" i="4"/>
  <c r="G997" i="4"/>
  <c r="I997" i="4"/>
  <c r="J997" i="4"/>
  <c r="K997" i="4"/>
  <c r="L997" i="4"/>
  <c r="N997" i="4"/>
  <c r="O997" i="4"/>
  <c r="Q997" i="4"/>
  <c r="R997" i="4"/>
  <c r="S997" i="4"/>
  <c r="T997" i="4"/>
  <c r="Y997" i="4"/>
  <c r="E998" i="4"/>
  <c r="F998" i="4"/>
  <c r="G998" i="4"/>
  <c r="I998" i="4"/>
  <c r="J998" i="4"/>
  <c r="K998" i="4"/>
  <c r="L998" i="4"/>
  <c r="N998" i="4"/>
  <c r="O998" i="4"/>
  <c r="Q998" i="4"/>
  <c r="R998" i="4"/>
  <c r="S998" i="4"/>
  <c r="T998" i="4"/>
  <c r="Y998" i="4"/>
  <c r="E999" i="4"/>
  <c r="F999" i="4"/>
  <c r="G999" i="4"/>
  <c r="I999" i="4"/>
  <c r="J999" i="4"/>
  <c r="K999" i="4"/>
  <c r="L999" i="4"/>
  <c r="O999" i="4"/>
  <c r="Q999" i="4"/>
  <c r="R999" i="4"/>
  <c r="S999" i="4"/>
  <c r="T999" i="4"/>
  <c r="Y999" i="4"/>
  <c r="E1000" i="4"/>
  <c r="F1000" i="4"/>
  <c r="G1000" i="4"/>
  <c r="I1000" i="4"/>
  <c r="J1000" i="4"/>
  <c r="K1000" i="4"/>
  <c r="L1000" i="4"/>
  <c r="N1000" i="4"/>
  <c r="O1000" i="4"/>
  <c r="Q1000" i="4"/>
  <c r="R1000" i="4"/>
  <c r="S1000" i="4"/>
  <c r="T1000" i="4"/>
  <c r="Y1000" i="4"/>
  <c r="E1001" i="4"/>
  <c r="F1001" i="4"/>
  <c r="G1001" i="4"/>
  <c r="I1001" i="4"/>
  <c r="J1001" i="4"/>
  <c r="K1001" i="4"/>
  <c r="L1001" i="4"/>
  <c r="N1001" i="4"/>
  <c r="O1001" i="4"/>
  <c r="Q1001" i="4"/>
  <c r="R1001" i="4"/>
  <c r="S1001" i="4"/>
  <c r="T1001" i="4"/>
  <c r="Y1001" i="4"/>
  <c r="E1002" i="4"/>
  <c r="F1002" i="4"/>
  <c r="G1002" i="4"/>
  <c r="I1002" i="4"/>
  <c r="J1002" i="4"/>
  <c r="K1002" i="4"/>
  <c r="L1002" i="4"/>
  <c r="N1002" i="4"/>
  <c r="O1002" i="4"/>
  <c r="Q1002" i="4"/>
  <c r="R1002" i="4"/>
  <c r="S1002" i="4"/>
  <c r="T1002" i="4"/>
  <c r="Y1002" i="4"/>
  <c r="E1003" i="4"/>
  <c r="F1003" i="4"/>
  <c r="G1003" i="4"/>
  <c r="I1003" i="4"/>
  <c r="J1003" i="4"/>
  <c r="K1003" i="4"/>
  <c r="L1003" i="4"/>
  <c r="N1003" i="4"/>
  <c r="O1003" i="4"/>
  <c r="Q1003" i="4"/>
  <c r="R1003" i="4"/>
  <c r="S1003" i="4"/>
  <c r="T1003" i="4"/>
  <c r="Y1003" i="4"/>
  <c r="E1004" i="4"/>
  <c r="F1004" i="4"/>
  <c r="G1004" i="4"/>
  <c r="I1004" i="4"/>
  <c r="J1004" i="4"/>
  <c r="K1004" i="4"/>
  <c r="L1004" i="4"/>
  <c r="N1004" i="4"/>
  <c r="O1004" i="4"/>
  <c r="Q1004" i="4"/>
  <c r="R1004" i="4"/>
  <c r="S1004" i="4"/>
  <c r="T1004" i="4"/>
  <c r="Y1004" i="4"/>
  <c r="G1005" i="4"/>
  <c r="I1005" i="4"/>
  <c r="J1005" i="4"/>
  <c r="K1005" i="4"/>
  <c r="L1005" i="4"/>
  <c r="N1005" i="4"/>
  <c r="O1005" i="4"/>
  <c r="Q1005" i="4"/>
  <c r="R1005" i="4"/>
  <c r="S1005" i="4"/>
  <c r="T1005" i="4"/>
  <c r="Y1005" i="4"/>
  <c r="G1006" i="4"/>
  <c r="J1006" i="4"/>
  <c r="K1006" i="4"/>
  <c r="L1006" i="4"/>
  <c r="N1006" i="4"/>
  <c r="O1006" i="4"/>
  <c r="Q1006" i="4"/>
  <c r="R1006" i="4"/>
  <c r="S1006" i="4"/>
  <c r="T1006" i="4"/>
  <c r="Y1006" i="4"/>
  <c r="E1007" i="4"/>
  <c r="F1007" i="4"/>
  <c r="G1007" i="4"/>
  <c r="I1007" i="4"/>
  <c r="J1007" i="4"/>
  <c r="K1007" i="4"/>
  <c r="L1007" i="4"/>
  <c r="N1007" i="4"/>
  <c r="O1007" i="4"/>
  <c r="Q1007" i="4"/>
  <c r="R1007" i="4"/>
  <c r="S1007" i="4"/>
  <c r="T1007" i="4"/>
  <c r="Y1007" i="4"/>
  <c r="E1008" i="4"/>
  <c r="F1008" i="4"/>
  <c r="G1008" i="4"/>
  <c r="I1008" i="4"/>
  <c r="J1008" i="4"/>
  <c r="K1008" i="4"/>
  <c r="L1008" i="4"/>
  <c r="N1008" i="4"/>
  <c r="O1008" i="4"/>
  <c r="Q1008" i="4"/>
  <c r="R1008" i="4"/>
  <c r="S1008" i="4"/>
  <c r="T1008" i="4"/>
  <c r="Y1008" i="4"/>
  <c r="G1009" i="4"/>
  <c r="I1009" i="4"/>
  <c r="J1009" i="4"/>
  <c r="K1009" i="4"/>
  <c r="L1009" i="4"/>
  <c r="N1009" i="4"/>
  <c r="O1009" i="4"/>
  <c r="Q1009" i="4"/>
  <c r="R1009" i="4"/>
  <c r="S1009" i="4"/>
  <c r="T1009" i="4"/>
  <c r="Y1009" i="4"/>
  <c r="G1010" i="4"/>
  <c r="I1010" i="4"/>
  <c r="J1010" i="4"/>
  <c r="K1010" i="4"/>
  <c r="L1010" i="4"/>
  <c r="N1010" i="4"/>
  <c r="O1010" i="4"/>
  <c r="Q1010" i="4"/>
  <c r="R1010" i="4"/>
  <c r="S1010" i="4"/>
  <c r="T1010" i="4"/>
  <c r="V1010" i="4"/>
  <c r="W1010" i="4"/>
  <c r="Y1010" i="4"/>
  <c r="E1011" i="4"/>
  <c r="F1011" i="4"/>
  <c r="G1011" i="4"/>
  <c r="I1011" i="4"/>
  <c r="J1011" i="4"/>
  <c r="K1011" i="4"/>
  <c r="L1011" i="4"/>
  <c r="N1011" i="4"/>
  <c r="O1011" i="4"/>
  <c r="Q1011" i="4"/>
  <c r="R1011" i="4"/>
  <c r="S1011" i="4"/>
  <c r="T1011" i="4"/>
  <c r="Y1011" i="4"/>
  <c r="X1012" i="4"/>
  <c r="Z1012" i="4" s="1"/>
  <c r="P1013" i="4"/>
  <c r="X1014" i="4"/>
  <c r="Z1014" i="4" s="1"/>
  <c r="X1015" i="4"/>
  <c r="Z1015" i="4" s="1"/>
  <c r="X1016" i="4"/>
  <c r="Z1016" i="4" s="1"/>
  <c r="E1017" i="4"/>
  <c r="F1017" i="4"/>
  <c r="G1017" i="4"/>
  <c r="I1017" i="4"/>
  <c r="J1017" i="4"/>
  <c r="K1017" i="4"/>
  <c r="L1017" i="4"/>
  <c r="N1017" i="4"/>
  <c r="O1017" i="4"/>
  <c r="Q1017" i="4"/>
  <c r="R1017" i="4"/>
  <c r="S1017" i="4"/>
  <c r="T1017" i="4"/>
  <c r="Y1017" i="4"/>
  <c r="E1018" i="4"/>
  <c r="F1018" i="4"/>
  <c r="G1018" i="4"/>
  <c r="I1018" i="4"/>
  <c r="J1018" i="4"/>
  <c r="K1018" i="4"/>
  <c r="L1018" i="4"/>
  <c r="N1018" i="4"/>
  <c r="O1018" i="4"/>
  <c r="Q1018" i="4"/>
  <c r="R1018" i="4"/>
  <c r="S1018" i="4"/>
  <c r="T1018" i="4"/>
  <c r="Y1018" i="4"/>
  <c r="E1019" i="4"/>
  <c r="F1019" i="4"/>
  <c r="G1019" i="4"/>
  <c r="I1019" i="4"/>
  <c r="J1019" i="4"/>
  <c r="K1019" i="4"/>
  <c r="L1019" i="4"/>
  <c r="N1019" i="4"/>
  <c r="O1019" i="4"/>
  <c r="Q1019" i="4"/>
  <c r="R1019" i="4"/>
  <c r="S1019" i="4"/>
  <c r="T1019" i="4"/>
  <c r="Y1019" i="4"/>
  <c r="E1020" i="4"/>
  <c r="F1020" i="4"/>
  <c r="G1020" i="4"/>
  <c r="I1020" i="4"/>
  <c r="J1020" i="4"/>
  <c r="K1020" i="4"/>
  <c r="L1020" i="4"/>
  <c r="N1020" i="4"/>
  <c r="O1020" i="4"/>
  <c r="Q1020" i="4"/>
  <c r="R1020" i="4"/>
  <c r="S1020" i="4"/>
  <c r="T1020" i="4"/>
  <c r="Y1020" i="4"/>
  <c r="E1021" i="4"/>
  <c r="F1021" i="4"/>
  <c r="G1021" i="4"/>
  <c r="I1021" i="4"/>
  <c r="J1021" i="4"/>
  <c r="K1021" i="4"/>
  <c r="L1021" i="4"/>
  <c r="N1021" i="4"/>
  <c r="O1021" i="4"/>
  <c r="Q1021" i="4"/>
  <c r="R1021" i="4"/>
  <c r="S1021" i="4"/>
  <c r="T1021" i="4"/>
  <c r="Y1021" i="4"/>
  <c r="F1022" i="4"/>
  <c r="G1022" i="4"/>
  <c r="I1022" i="4"/>
  <c r="J1022" i="4"/>
  <c r="K1022" i="4"/>
  <c r="L1022" i="4"/>
  <c r="N1022" i="4"/>
  <c r="O1022" i="4"/>
  <c r="Q1022" i="4"/>
  <c r="R1022" i="4"/>
  <c r="S1022" i="4"/>
  <c r="T1022" i="4"/>
  <c r="Y1022" i="4"/>
  <c r="E1023" i="4"/>
  <c r="F1023" i="4"/>
  <c r="G1023" i="4"/>
  <c r="I1023" i="4"/>
  <c r="J1023" i="4"/>
  <c r="K1023" i="4"/>
  <c r="L1023" i="4"/>
  <c r="N1023" i="4"/>
  <c r="O1023" i="4"/>
  <c r="Q1023" i="4"/>
  <c r="R1023" i="4"/>
  <c r="S1023" i="4"/>
  <c r="T1023" i="4"/>
  <c r="Y1023" i="4"/>
  <c r="F1024" i="4"/>
  <c r="G1024" i="4"/>
  <c r="I1024" i="4"/>
  <c r="J1024" i="4"/>
  <c r="K1024" i="4"/>
  <c r="L1024" i="4"/>
  <c r="N1024" i="4"/>
  <c r="O1024" i="4"/>
  <c r="Q1024" i="4"/>
  <c r="R1024" i="4"/>
  <c r="S1024" i="4"/>
  <c r="T1024" i="4"/>
  <c r="Y1024" i="4"/>
  <c r="E1025" i="4"/>
  <c r="F1025" i="4"/>
  <c r="G1025" i="4"/>
  <c r="I1025" i="4"/>
  <c r="J1025" i="4"/>
  <c r="K1025" i="4"/>
  <c r="L1025" i="4"/>
  <c r="N1025" i="4"/>
  <c r="O1025" i="4"/>
  <c r="Q1025" i="4"/>
  <c r="R1025" i="4"/>
  <c r="S1025" i="4"/>
  <c r="T1025" i="4"/>
  <c r="Y1025" i="4"/>
  <c r="E1026" i="4"/>
  <c r="F1026" i="4"/>
  <c r="G1026" i="4"/>
  <c r="I1026" i="4"/>
  <c r="J1026" i="4"/>
  <c r="K1026" i="4"/>
  <c r="L1026" i="4"/>
  <c r="N1026" i="4"/>
  <c r="O1026" i="4"/>
  <c r="Q1026" i="4"/>
  <c r="R1026" i="4"/>
  <c r="S1026" i="4"/>
  <c r="T1026" i="4"/>
  <c r="Y1026" i="4"/>
  <c r="G1027" i="4"/>
  <c r="I1027" i="4"/>
  <c r="J1027" i="4"/>
  <c r="K1027" i="4"/>
  <c r="L1027" i="4"/>
  <c r="N1027" i="4"/>
  <c r="O1027" i="4"/>
  <c r="Q1027" i="4"/>
  <c r="R1027" i="4"/>
  <c r="S1027" i="4"/>
  <c r="T1027" i="4"/>
  <c r="Y1027" i="4"/>
  <c r="E1028" i="4"/>
  <c r="F1028" i="4"/>
  <c r="G1028" i="4"/>
  <c r="I1028" i="4"/>
  <c r="J1028" i="4"/>
  <c r="K1028" i="4"/>
  <c r="L1028" i="4"/>
  <c r="N1028" i="4"/>
  <c r="O1028" i="4"/>
  <c r="Q1028" i="4"/>
  <c r="R1028" i="4"/>
  <c r="S1028" i="4"/>
  <c r="T1028" i="4"/>
  <c r="W1028" i="4"/>
  <c r="Y1028" i="4"/>
  <c r="E1029" i="4"/>
  <c r="F1029" i="4"/>
  <c r="G1029" i="4"/>
  <c r="I1029" i="4"/>
  <c r="J1029" i="4"/>
  <c r="K1029" i="4"/>
  <c r="L1029" i="4"/>
  <c r="N1029" i="4"/>
  <c r="O1029" i="4"/>
  <c r="Q1029" i="4"/>
  <c r="R1029" i="4"/>
  <c r="S1029" i="4"/>
  <c r="T1029" i="4"/>
  <c r="W1029" i="4"/>
  <c r="Y1029" i="4"/>
  <c r="E1030" i="4"/>
  <c r="F1030" i="4"/>
  <c r="G1030" i="4"/>
  <c r="H1030" i="4"/>
  <c r="I1030" i="4"/>
  <c r="J1030" i="4"/>
  <c r="K1030" i="4"/>
  <c r="L1030" i="4"/>
  <c r="M1030" i="4"/>
  <c r="N1030" i="4"/>
  <c r="O1030" i="4"/>
  <c r="Q1030" i="4"/>
  <c r="R1030" i="4"/>
  <c r="S1030" i="4"/>
  <c r="T1030" i="4"/>
  <c r="Y1030" i="4"/>
  <c r="E1031" i="4"/>
  <c r="F1031" i="4"/>
  <c r="G1031" i="4"/>
  <c r="I1031" i="4"/>
  <c r="J1031" i="4"/>
  <c r="K1031" i="4"/>
  <c r="L1031" i="4"/>
  <c r="N1031" i="4"/>
  <c r="O1031" i="4"/>
  <c r="Q1031" i="4"/>
  <c r="R1031" i="4"/>
  <c r="S1031" i="4"/>
  <c r="T1031" i="4"/>
  <c r="Y1031" i="4"/>
  <c r="X1032" i="4"/>
  <c r="Z1032" i="4" s="1"/>
  <c r="P1033" i="4"/>
  <c r="X1034" i="4"/>
  <c r="Z1034" i="4" s="1"/>
  <c r="X1035" i="4"/>
  <c r="Z1035" i="4" s="1"/>
  <c r="E1036" i="4"/>
  <c r="F1036" i="4"/>
  <c r="G1036" i="4"/>
  <c r="I1036" i="4"/>
  <c r="J1036" i="4"/>
  <c r="K1036" i="4"/>
  <c r="L1036" i="4"/>
  <c r="N1036" i="4"/>
  <c r="O1036" i="4"/>
  <c r="Q1036" i="4"/>
  <c r="R1036" i="4"/>
  <c r="S1036" i="4"/>
  <c r="T1036" i="4"/>
  <c r="Y1036" i="4"/>
  <c r="E1037" i="4"/>
  <c r="F1037" i="4"/>
  <c r="G1037" i="4"/>
  <c r="I1037" i="4"/>
  <c r="J1037" i="4"/>
  <c r="K1037" i="4"/>
  <c r="L1037" i="4"/>
  <c r="N1037" i="4"/>
  <c r="O1037" i="4"/>
  <c r="Q1037" i="4"/>
  <c r="R1037" i="4"/>
  <c r="S1037" i="4"/>
  <c r="T1037" i="4"/>
  <c r="Y1037" i="4"/>
  <c r="E1038" i="4"/>
  <c r="F1038" i="4"/>
  <c r="G1038" i="4"/>
  <c r="I1038" i="4"/>
  <c r="J1038" i="4"/>
  <c r="K1038" i="4"/>
  <c r="L1038" i="4"/>
  <c r="N1038" i="4"/>
  <c r="O1038" i="4"/>
  <c r="Q1038" i="4"/>
  <c r="R1038" i="4"/>
  <c r="S1038" i="4"/>
  <c r="T1038" i="4"/>
  <c r="Y1038" i="4"/>
  <c r="E1039" i="4"/>
  <c r="F1039" i="4"/>
  <c r="G1039" i="4"/>
  <c r="I1039" i="4"/>
  <c r="J1039" i="4"/>
  <c r="K1039" i="4"/>
  <c r="L1039" i="4"/>
  <c r="N1039" i="4"/>
  <c r="O1039" i="4"/>
  <c r="Q1039" i="4"/>
  <c r="R1039" i="4"/>
  <c r="S1039" i="4"/>
  <c r="T1039" i="4"/>
  <c r="Y1039" i="4"/>
  <c r="E1040" i="4"/>
  <c r="F1040" i="4"/>
  <c r="G1040" i="4"/>
  <c r="I1040" i="4"/>
  <c r="J1040" i="4"/>
  <c r="K1040" i="4"/>
  <c r="L1040" i="4"/>
  <c r="N1040" i="4"/>
  <c r="O1040" i="4"/>
  <c r="Q1040" i="4"/>
  <c r="R1040" i="4"/>
  <c r="S1040" i="4"/>
  <c r="T1040" i="4"/>
  <c r="Y1040" i="4"/>
  <c r="E1041" i="4"/>
  <c r="F1041" i="4"/>
  <c r="G1041" i="4"/>
  <c r="I1041" i="4"/>
  <c r="J1041" i="4"/>
  <c r="K1041" i="4"/>
  <c r="L1041" i="4"/>
  <c r="N1041" i="4"/>
  <c r="O1041" i="4"/>
  <c r="Q1041" i="4"/>
  <c r="R1041" i="4"/>
  <c r="S1041" i="4"/>
  <c r="T1041" i="4"/>
  <c r="Y1041" i="4"/>
  <c r="E1042" i="4"/>
  <c r="F1042" i="4"/>
  <c r="G1042" i="4"/>
  <c r="I1042" i="4"/>
  <c r="J1042" i="4"/>
  <c r="K1042" i="4"/>
  <c r="L1042" i="4"/>
  <c r="N1042" i="4"/>
  <c r="O1042" i="4"/>
  <c r="Q1042" i="4"/>
  <c r="R1042" i="4"/>
  <c r="S1042" i="4"/>
  <c r="T1042" i="4"/>
  <c r="Y1042" i="4"/>
  <c r="E1043" i="4"/>
  <c r="F1043" i="4"/>
  <c r="G1043" i="4"/>
  <c r="I1043" i="4"/>
  <c r="J1043" i="4"/>
  <c r="K1043" i="4"/>
  <c r="L1043" i="4"/>
  <c r="N1043" i="4"/>
  <c r="O1043" i="4"/>
  <c r="Q1043" i="4"/>
  <c r="R1043" i="4"/>
  <c r="S1043" i="4"/>
  <c r="T1043" i="4"/>
  <c r="Y1043" i="4"/>
  <c r="E1044" i="4"/>
  <c r="F1044" i="4"/>
  <c r="G1044" i="4"/>
  <c r="I1044" i="4"/>
  <c r="J1044" i="4"/>
  <c r="K1044" i="4"/>
  <c r="L1044" i="4"/>
  <c r="N1044" i="4"/>
  <c r="O1044" i="4"/>
  <c r="Q1044" i="4"/>
  <c r="R1044" i="4"/>
  <c r="S1044" i="4"/>
  <c r="T1044" i="4"/>
  <c r="Y1044" i="4"/>
  <c r="E1045" i="4"/>
  <c r="F1045" i="4"/>
  <c r="G1045" i="4"/>
  <c r="I1045" i="4"/>
  <c r="J1045" i="4"/>
  <c r="K1045" i="4"/>
  <c r="L1045" i="4"/>
  <c r="N1045" i="4"/>
  <c r="O1045" i="4"/>
  <c r="Q1045" i="4"/>
  <c r="R1045" i="4"/>
  <c r="S1045" i="4"/>
  <c r="T1045" i="4"/>
  <c r="Y1045" i="4"/>
  <c r="E1046" i="4"/>
  <c r="F1046" i="4"/>
  <c r="G1046" i="4"/>
  <c r="I1046" i="4"/>
  <c r="J1046" i="4"/>
  <c r="K1046" i="4"/>
  <c r="L1046" i="4"/>
  <c r="N1046" i="4"/>
  <c r="O1046" i="4"/>
  <c r="Q1046" i="4"/>
  <c r="R1046" i="4"/>
  <c r="S1046" i="4"/>
  <c r="T1046" i="4"/>
  <c r="Y1046" i="4"/>
  <c r="E1047" i="4"/>
  <c r="F1047" i="4"/>
  <c r="G1047" i="4"/>
  <c r="I1047" i="4"/>
  <c r="J1047" i="4"/>
  <c r="K1047" i="4"/>
  <c r="L1047" i="4"/>
  <c r="N1047" i="4"/>
  <c r="O1047" i="4"/>
  <c r="Q1047" i="4"/>
  <c r="R1047" i="4"/>
  <c r="S1047" i="4"/>
  <c r="T1047" i="4"/>
  <c r="Y1047" i="4"/>
  <c r="X1048" i="4"/>
  <c r="Z1048" i="4" s="1"/>
  <c r="P1049" i="4"/>
  <c r="X1050" i="4"/>
  <c r="Z1050" i="4" s="1"/>
  <c r="X1051" i="4"/>
  <c r="Z1051" i="4" s="1"/>
  <c r="E1052" i="4"/>
  <c r="F1052" i="4"/>
  <c r="G1052" i="4"/>
  <c r="I1052" i="4"/>
  <c r="J1052" i="4"/>
  <c r="K1052" i="4"/>
  <c r="L1052" i="4"/>
  <c r="N1052" i="4"/>
  <c r="O1052" i="4"/>
  <c r="Q1052" i="4"/>
  <c r="R1052" i="4"/>
  <c r="S1052" i="4"/>
  <c r="T1052" i="4"/>
  <c r="Y1052" i="4"/>
  <c r="E1053" i="4"/>
  <c r="F1053" i="4"/>
  <c r="G1053" i="4"/>
  <c r="H1053" i="4"/>
  <c r="I1053" i="4"/>
  <c r="J1053" i="4"/>
  <c r="K1053" i="4"/>
  <c r="L1053" i="4"/>
  <c r="M1053" i="4"/>
  <c r="N1053" i="4"/>
  <c r="O1053" i="4"/>
  <c r="P1053" i="4"/>
  <c r="Q1053" i="4"/>
  <c r="R1053" i="4"/>
  <c r="S1053" i="4"/>
  <c r="T1053" i="4"/>
  <c r="U1053" i="4"/>
  <c r="V1053" i="4"/>
  <c r="W1053" i="4"/>
  <c r="X1053" i="4"/>
  <c r="Y1053" i="4"/>
  <c r="AA1053" i="4"/>
  <c r="AB1053" i="4"/>
  <c r="E1054" i="4"/>
  <c r="F1054" i="4"/>
  <c r="G1054" i="4"/>
  <c r="I1054" i="4"/>
  <c r="J1054" i="4"/>
  <c r="K1054" i="4"/>
  <c r="L1054" i="4"/>
  <c r="N1054" i="4"/>
  <c r="O1054" i="4"/>
  <c r="Q1054" i="4"/>
  <c r="R1054" i="4"/>
  <c r="S1054" i="4"/>
  <c r="T1054" i="4"/>
  <c r="Y1054" i="4"/>
  <c r="E1055" i="4"/>
  <c r="F1055" i="4"/>
  <c r="G1055" i="4"/>
  <c r="I1055" i="4"/>
  <c r="J1055" i="4"/>
  <c r="K1055" i="4"/>
  <c r="L1055" i="4"/>
  <c r="N1055" i="4"/>
  <c r="O1055" i="4"/>
  <c r="Q1055" i="4"/>
  <c r="R1055" i="4"/>
  <c r="S1055" i="4"/>
  <c r="T1055" i="4"/>
  <c r="Y1055" i="4"/>
  <c r="E1056" i="4"/>
  <c r="F1056" i="4"/>
  <c r="G1056" i="4"/>
  <c r="I1056" i="4"/>
  <c r="J1056" i="4"/>
  <c r="K1056" i="4"/>
  <c r="L1056" i="4"/>
  <c r="N1056" i="4"/>
  <c r="O1056" i="4"/>
  <c r="Q1056" i="4"/>
  <c r="R1056" i="4"/>
  <c r="S1056" i="4"/>
  <c r="T1056" i="4"/>
  <c r="Y1056" i="4"/>
  <c r="E1057" i="4"/>
  <c r="F1057" i="4"/>
  <c r="G1057" i="4"/>
  <c r="I1057" i="4"/>
  <c r="J1057" i="4"/>
  <c r="K1057" i="4"/>
  <c r="L1057" i="4"/>
  <c r="N1057" i="4"/>
  <c r="O1057" i="4"/>
  <c r="Q1057" i="4"/>
  <c r="R1057" i="4"/>
  <c r="S1057" i="4"/>
  <c r="T1057" i="4"/>
  <c r="Y1057" i="4"/>
  <c r="E1058" i="4"/>
  <c r="F1058" i="4"/>
  <c r="G1058" i="4"/>
  <c r="I1058" i="4"/>
  <c r="J1058" i="4"/>
  <c r="K1058" i="4"/>
  <c r="L1058" i="4"/>
  <c r="N1058" i="4"/>
  <c r="O1058" i="4"/>
  <c r="Q1058" i="4"/>
  <c r="R1058" i="4"/>
  <c r="S1058" i="4"/>
  <c r="T1058" i="4"/>
  <c r="Y1058" i="4"/>
  <c r="E1059" i="4"/>
  <c r="F1059" i="4"/>
  <c r="G1059" i="4"/>
  <c r="I1059" i="4"/>
  <c r="J1059" i="4"/>
  <c r="K1059" i="4"/>
  <c r="L1059" i="4"/>
  <c r="N1059" i="4"/>
  <c r="O1059" i="4"/>
  <c r="Q1059" i="4"/>
  <c r="R1059" i="4"/>
  <c r="S1059" i="4"/>
  <c r="T1059" i="4"/>
  <c r="Y1059" i="4"/>
  <c r="E1060" i="4"/>
  <c r="F1060" i="4"/>
  <c r="G1060" i="4"/>
  <c r="I1060" i="4"/>
  <c r="J1060" i="4"/>
  <c r="K1060" i="4"/>
  <c r="L1060" i="4"/>
  <c r="N1060" i="4"/>
  <c r="O1060" i="4"/>
  <c r="Q1060" i="4"/>
  <c r="R1060" i="4"/>
  <c r="S1060" i="4"/>
  <c r="T1060" i="4"/>
  <c r="Y1060" i="4"/>
  <c r="E1061" i="4"/>
  <c r="F1061" i="4"/>
  <c r="G1061" i="4"/>
  <c r="I1061" i="4"/>
  <c r="J1061" i="4"/>
  <c r="K1061" i="4"/>
  <c r="L1061" i="4"/>
  <c r="N1061" i="4"/>
  <c r="O1061" i="4"/>
  <c r="Q1061" i="4"/>
  <c r="R1061" i="4"/>
  <c r="S1061" i="4"/>
  <c r="T1061" i="4"/>
  <c r="Y1061" i="4"/>
  <c r="E1062" i="4"/>
  <c r="F1062" i="4"/>
  <c r="G1062" i="4"/>
  <c r="I1062" i="4"/>
  <c r="J1062" i="4"/>
  <c r="K1062" i="4"/>
  <c r="L1062" i="4"/>
  <c r="N1062" i="4"/>
  <c r="O1062" i="4"/>
  <c r="Q1062" i="4"/>
  <c r="R1062" i="4"/>
  <c r="S1062" i="4"/>
  <c r="T1062" i="4"/>
  <c r="Y1062" i="4"/>
  <c r="E1063" i="4"/>
  <c r="F1063" i="4"/>
  <c r="G1063" i="4"/>
  <c r="I1063" i="4"/>
  <c r="J1063" i="4"/>
  <c r="K1063" i="4"/>
  <c r="L1063" i="4"/>
  <c r="N1063" i="4"/>
  <c r="O1063" i="4"/>
  <c r="Q1063" i="4"/>
  <c r="R1063" i="4"/>
  <c r="S1063" i="4"/>
  <c r="T1063" i="4"/>
  <c r="Y1063" i="4"/>
  <c r="X1064" i="4"/>
  <c r="Z1064" i="4" s="1"/>
  <c r="P1065" i="4"/>
  <c r="X1066" i="4"/>
  <c r="Z1066" i="4" s="1"/>
  <c r="X1067" i="4"/>
  <c r="Z1067" i="4" s="1"/>
  <c r="E1068" i="4"/>
  <c r="F1068" i="4"/>
  <c r="G1068" i="4"/>
  <c r="I1068" i="4"/>
  <c r="J1068" i="4"/>
  <c r="K1068" i="4"/>
  <c r="L1068" i="4"/>
  <c r="N1068" i="4"/>
  <c r="O1068" i="4"/>
  <c r="Q1068" i="4"/>
  <c r="R1068" i="4"/>
  <c r="S1068" i="4"/>
  <c r="T1068" i="4"/>
  <c r="Y1068" i="4"/>
  <c r="E1069" i="4"/>
  <c r="F1069" i="4"/>
  <c r="G1069" i="4"/>
  <c r="I1069" i="4"/>
  <c r="J1069" i="4"/>
  <c r="K1069" i="4"/>
  <c r="L1069" i="4"/>
  <c r="N1069" i="4"/>
  <c r="O1069" i="4"/>
  <c r="Q1069" i="4"/>
  <c r="R1069" i="4"/>
  <c r="S1069" i="4"/>
  <c r="T1069" i="4"/>
  <c r="Y1069" i="4"/>
  <c r="E1070" i="4"/>
  <c r="F1070" i="4"/>
  <c r="G1070" i="4"/>
  <c r="I1070" i="4"/>
  <c r="J1070" i="4"/>
  <c r="K1070" i="4"/>
  <c r="L1070" i="4"/>
  <c r="N1070" i="4"/>
  <c r="O1070" i="4"/>
  <c r="Q1070" i="4"/>
  <c r="R1070" i="4"/>
  <c r="S1070" i="4"/>
  <c r="T1070" i="4"/>
  <c r="Y1070" i="4"/>
  <c r="E1071" i="4"/>
  <c r="F1071" i="4"/>
  <c r="G1071" i="4"/>
  <c r="I1071" i="4"/>
  <c r="J1071" i="4"/>
  <c r="K1071" i="4"/>
  <c r="L1071" i="4"/>
  <c r="N1071" i="4"/>
  <c r="O1071" i="4"/>
  <c r="Q1071" i="4"/>
  <c r="R1071" i="4"/>
  <c r="S1071" i="4"/>
  <c r="T1071" i="4"/>
  <c r="Y1071" i="4"/>
  <c r="E1072" i="4"/>
  <c r="F1072" i="4"/>
  <c r="G1072" i="4"/>
  <c r="I1072" i="4"/>
  <c r="J1072" i="4"/>
  <c r="K1072" i="4"/>
  <c r="L1072" i="4"/>
  <c r="N1072" i="4"/>
  <c r="O1072" i="4"/>
  <c r="Q1072" i="4"/>
  <c r="R1072" i="4"/>
  <c r="S1072" i="4"/>
  <c r="T1072" i="4"/>
  <c r="Y1072" i="4"/>
  <c r="E1073" i="4"/>
  <c r="F1073" i="4"/>
  <c r="G1073" i="4"/>
  <c r="I1073" i="4"/>
  <c r="J1073" i="4"/>
  <c r="K1073" i="4"/>
  <c r="L1073" i="4"/>
  <c r="O1073" i="4"/>
  <c r="Q1073" i="4"/>
  <c r="R1073" i="4"/>
  <c r="S1073" i="4"/>
  <c r="T1073" i="4"/>
  <c r="Y1073" i="4"/>
  <c r="E1074" i="4"/>
  <c r="F1074" i="4"/>
  <c r="G1074" i="4"/>
  <c r="I1074" i="4"/>
  <c r="J1074" i="4"/>
  <c r="K1074" i="4"/>
  <c r="L1074" i="4"/>
  <c r="N1074" i="4"/>
  <c r="O1074" i="4"/>
  <c r="Q1074" i="4"/>
  <c r="R1074" i="4"/>
  <c r="S1074" i="4"/>
  <c r="T1074" i="4"/>
  <c r="Y1074" i="4"/>
  <c r="E1075" i="4"/>
  <c r="F1075" i="4"/>
  <c r="G1075" i="4"/>
  <c r="I1075" i="4"/>
  <c r="J1075" i="4"/>
  <c r="K1075" i="4"/>
  <c r="L1075" i="4"/>
  <c r="N1075" i="4"/>
  <c r="O1075" i="4"/>
  <c r="Q1075" i="4"/>
  <c r="R1075" i="4"/>
  <c r="S1075" i="4"/>
  <c r="T1075" i="4"/>
  <c r="Y1075" i="4"/>
  <c r="E1076" i="4"/>
  <c r="F1076" i="4"/>
  <c r="G1076" i="4"/>
  <c r="I1076" i="4"/>
  <c r="J1076" i="4"/>
  <c r="K1076" i="4"/>
  <c r="L1076" i="4"/>
  <c r="N1076" i="4"/>
  <c r="O1076" i="4"/>
  <c r="Q1076" i="4"/>
  <c r="R1076" i="4"/>
  <c r="S1076" i="4"/>
  <c r="T1076" i="4"/>
  <c r="Y1076" i="4"/>
  <c r="E1077" i="4"/>
  <c r="F1077" i="4"/>
  <c r="G1077" i="4"/>
  <c r="I1077" i="4"/>
  <c r="J1077" i="4"/>
  <c r="K1077" i="4"/>
  <c r="L1077" i="4"/>
  <c r="N1077" i="4"/>
  <c r="O1077" i="4"/>
  <c r="P1077" i="4"/>
  <c r="Q1077" i="4"/>
  <c r="R1077" i="4"/>
  <c r="S1077" i="4"/>
  <c r="T1077" i="4"/>
  <c r="Y1077" i="4"/>
  <c r="E1078" i="4"/>
  <c r="F1078" i="4"/>
  <c r="G1078" i="4"/>
  <c r="I1078" i="4"/>
  <c r="J1078" i="4"/>
  <c r="K1078" i="4"/>
  <c r="L1078" i="4"/>
  <c r="N1078" i="4"/>
  <c r="O1078" i="4"/>
  <c r="Q1078" i="4"/>
  <c r="R1078" i="4"/>
  <c r="S1078" i="4"/>
  <c r="T1078" i="4"/>
  <c r="V1078" i="4"/>
  <c r="W1078" i="4"/>
  <c r="Y1078" i="4"/>
  <c r="E1079" i="4"/>
  <c r="F1079" i="4"/>
  <c r="G1079" i="4"/>
  <c r="I1079" i="4"/>
  <c r="J1079" i="4"/>
  <c r="K1079" i="4"/>
  <c r="L1079" i="4"/>
  <c r="N1079" i="4"/>
  <c r="O1079" i="4"/>
  <c r="Q1079" i="4"/>
  <c r="R1079" i="4"/>
  <c r="S1079" i="4"/>
  <c r="T1079" i="4"/>
  <c r="V1079" i="4"/>
  <c r="W1079" i="4"/>
  <c r="Y1079" i="4"/>
  <c r="E1080" i="4"/>
  <c r="F1080" i="4"/>
  <c r="G1080" i="4"/>
  <c r="I1080" i="4"/>
  <c r="J1080" i="4"/>
  <c r="K1080" i="4"/>
  <c r="L1080" i="4"/>
  <c r="N1080" i="4"/>
  <c r="O1080" i="4"/>
  <c r="Q1080" i="4"/>
  <c r="R1080" i="4"/>
  <c r="S1080" i="4"/>
  <c r="T1080" i="4"/>
  <c r="V1080" i="4"/>
  <c r="W1080" i="4"/>
  <c r="Y1080" i="4"/>
  <c r="E1081" i="4"/>
  <c r="F1081" i="4"/>
  <c r="G1081" i="4"/>
  <c r="I1081" i="4"/>
  <c r="J1081" i="4"/>
  <c r="K1081" i="4"/>
  <c r="L1081" i="4"/>
  <c r="N1081" i="4"/>
  <c r="O1081" i="4"/>
  <c r="Q1081" i="4"/>
  <c r="R1081" i="4"/>
  <c r="S1081" i="4"/>
  <c r="T1081" i="4"/>
  <c r="Y1081" i="4"/>
  <c r="E1082" i="4"/>
  <c r="F1082" i="4"/>
  <c r="G1082" i="4"/>
  <c r="I1082" i="4"/>
  <c r="J1082" i="4"/>
  <c r="K1082" i="4"/>
  <c r="L1082" i="4"/>
  <c r="N1082" i="4"/>
  <c r="O1082" i="4"/>
  <c r="Q1082" i="4"/>
  <c r="R1082" i="4"/>
  <c r="S1082" i="4"/>
  <c r="T1082" i="4"/>
  <c r="Y1082" i="4"/>
  <c r="F1083" i="4"/>
  <c r="G1083" i="4"/>
  <c r="I1083" i="4"/>
  <c r="J1083" i="4"/>
  <c r="K1083" i="4"/>
  <c r="L1083" i="4"/>
  <c r="N1083" i="4"/>
  <c r="O1083" i="4"/>
  <c r="Q1083" i="4"/>
  <c r="R1083" i="4"/>
  <c r="S1083" i="4"/>
  <c r="T1083" i="4"/>
  <c r="Y1083" i="4"/>
  <c r="X1084" i="4"/>
  <c r="Z1084" i="4" s="1"/>
  <c r="P1085" i="4"/>
  <c r="X1086" i="4"/>
  <c r="Z1086" i="4" s="1"/>
  <c r="X1087" i="4"/>
  <c r="Z1087" i="4" s="1"/>
  <c r="X1088" i="4"/>
  <c r="Z1088" i="4" s="1"/>
  <c r="E1089" i="4"/>
  <c r="F1089" i="4"/>
  <c r="G1089" i="4"/>
  <c r="I1089" i="4"/>
  <c r="J1089" i="4"/>
  <c r="K1089" i="4"/>
  <c r="L1089" i="4"/>
  <c r="N1089" i="4"/>
  <c r="O1089" i="4"/>
  <c r="Q1089" i="4"/>
  <c r="R1089" i="4"/>
  <c r="S1089" i="4"/>
  <c r="T1089" i="4"/>
  <c r="Y1089" i="4"/>
  <c r="E1090" i="4"/>
  <c r="F1090" i="4"/>
  <c r="G1090" i="4"/>
  <c r="I1090" i="4"/>
  <c r="J1090" i="4"/>
  <c r="K1090" i="4"/>
  <c r="L1090" i="4"/>
  <c r="N1090" i="4"/>
  <c r="O1090" i="4"/>
  <c r="Q1090" i="4"/>
  <c r="R1090" i="4"/>
  <c r="S1090" i="4"/>
  <c r="T1090" i="4"/>
  <c r="Y1090" i="4"/>
  <c r="E1091" i="4"/>
  <c r="F1091" i="4"/>
  <c r="G1091" i="4"/>
  <c r="I1091" i="4"/>
  <c r="J1091" i="4"/>
  <c r="K1091" i="4"/>
  <c r="L1091" i="4"/>
  <c r="N1091" i="4"/>
  <c r="O1091" i="4"/>
  <c r="Q1091" i="4"/>
  <c r="R1091" i="4"/>
  <c r="S1091" i="4"/>
  <c r="T1091" i="4"/>
  <c r="Y1091" i="4"/>
  <c r="E1092" i="4"/>
  <c r="F1092" i="4"/>
  <c r="G1092" i="4"/>
  <c r="I1092" i="4"/>
  <c r="J1092" i="4"/>
  <c r="K1092" i="4"/>
  <c r="L1092" i="4"/>
  <c r="N1092" i="4"/>
  <c r="O1092" i="4"/>
  <c r="Q1092" i="4"/>
  <c r="R1092" i="4"/>
  <c r="S1092" i="4"/>
  <c r="T1092" i="4"/>
  <c r="Y1092" i="4"/>
  <c r="E1093" i="4"/>
  <c r="F1093" i="4"/>
  <c r="G1093" i="4"/>
  <c r="I1093" i="4"/>
  <c r="J1093" i="4"/>
  <c r="K1093" i="4"/>
  <c r="L1093" i="4"/>
  <c r="N1093" i="4"/>
  <c r="O1093" i="4"/>
  <c r="Q1093" i="4"/>
  <c r="R1093" i="4"/>
  <c r="S1093" i="4"/>
  <c r="T1093" i="4"/>
  <c r="Y1093" i="4"/>
  <c r="E1094" i="4"/>
  <c r="F1094" i="4"/>
  <c r="G1094" i="4"/>
  <c r="I1094" i="4"/>
  <c r="J1094" i="4"/>
  <c r="K1094" i="4"/>
  <c r="L1094" i="4"/>
  <c r="N1094" i="4"/>
  <c r="O1094" i="4"/>
  <c r="Q1094" i="4"/>
  <c r="R1094" i="4"/>
  <c r="S1094" i="4"/>
  <c r="T1094" i="4"/>
  <c r="Y1094" i="4"/>
  <c r="E1095" i="4"/>
  <c r="F1095" i="4"/>
  <c r="G1095" i="4"/>
  <c r="I1095" i="4"/>
  <c r="J1095" i="4"/>
  <c r="K1095" i="4"/>
  <c r="L1095" i="4"/>
  <c r="N1095" i="4"/>
  <c r="O1095" i="4"/>
  <c r="Q1095" i="4"/>
  <c r="R1095" i="4"/>
  <c r="S1095" i="4"/>
  <c r="T1095" i="4"/>
  <c r="Y1095" i="4"/>
  <c r="E1096" i="4"/>
  <c r="F1096" i="4"/>
  <c r="G1096" i="4"/>
  <c r="I1096" i="4"/>
  <c r="J1096" i="4"/>
  <c r="K1096" i="4"/>
  <c r="L1096" i="4"/>
  <c r="N1096" i="4"/>
  <c r="O1096" i="4"/>
  <c r="Q1096" i="4"/>
  <c r="R1096" i="4"/>
  <c r="S1096" i="4"/>
  <c r="T1096" i="4"/>
  <c r="Y1096" i="4"/>
  <c r="E1097" i="4"/>
  <c r="F1097" i="4"/>
  <c r="G1097" i="4"/>
  <c r="I1097" i="4"/>
  <c r="J1097" i="4"/>
  <c r="K1097" i="4"/>
  <c r="L1097" i="4"/>
  <c r="N1097" i="4"/>
  <c r="O1097" i="4"/>
  <c r="Q1097" i="4"/>
  <c r="R1097" i="4"/>
  <c r="S1097" i="4"/>
  <c r="T1097" i="4"/>
  <c r="Y1097" i="4"/>
  <c r="E1098" i="4"/>
  <c r="F1098" i="4"/>
  <c r="G1098" i="4"/>
  <c r="I1098" i="4"/>
  <c r="J1098" i="4"/>
  <c r="K1098" i="4"/>
  <c r="L1098" i="4"/>
  <c r="N1098" i="4"/>
  <c r="O1098" i="4"/>
  <c r="Q1098" i="4"/>
  <c r="R1098" i="4"/>
  <c r="S1098" i="4"/>
  <c r="T1098" i="4"/>
  <c r="Y1098" i="4"/>
  <c r="G1099" i="4"/>
  <c r="I1099" i="4"/>
  <c r="J1099" i="4"/>
  <c r="K1099" i="4"/>
  <c r="L1099" i="4"/>
  <c r="N1099" i="4"/>
  <c r="O1099" i="4"/>
  <c r="Q1099" i="4"/>
  <c r="R1099" i="4"/>
  <c r="S1099" i="4"/>
  <c r="T1099" i="4"/>
  <c r="Y1099" i="4"/>
  <c r="E1100" i="4"/>
  <c r="F1100" i="4"/>
  <c r="G1100" i="4"/>
  <c r="I1100" i="4"/>
  <c r="J1100" i="4"/>
  <c r="K1100" i="4"/>
  <c r="L1100" i="4"/>
  <c r="N1100" i="4"/>
  <c r="O1100" i="4"/>
  <c r="Q1100" i="4"/>
  <c r="R1100" i="4"/>
  <c r="S1100" i="4"/>
  <c r="T1100" i="4"/>
  <c r="Y1100" i="4"/>
  <c r="E1101" i="4"/>
  <c r="F1101" i="4"/>
  <c r="G1101" i="4"/>
  <c r="I1101" i="4"/>
  <c r="J1101" i="4"/>
  <c r="K1101" i="4"/>
  <c r="L1101" i="4"/>
  <c r="N1101" i="4"/>
  <c r="O1101" i="4"/>
  <c r="Q1101" i="4"/>
  <c r="R1101" i="4"/>
  <c r="S1101" i="4"/>
  <c r="T1101" i="4"/>
  <c r="Y1101" i="4"/>
  <c r="F1102" i="4"/>
  <c r="G1102" i="4"/>
  <c r="I1102" i="4"/>
  <c r="J1102" i="4"/>
  <c r="K1102" i="4"/>
  <c r="L1102" i="4"/>
  <c r="N1102" i="4"/>
  <c r="O1102" i="4"/>
  <c r="Q1102" i="4"/>
  <c r="R1102" i="4"/>
  <c r="S1102" i="4"/>
  <c r="T1102" i="4"/>
  <c r="Y1102" i="4"/>
  <c r="E1103" i="4"/>
  <c r="F1103" i="4"/>
  <c r="G1103" i="4"/>
  <c r="I1103" i="4"/>
  <c r="J1103" i="4"/>
  <c r="K1103" i="4"/>
  <c r="L1103" i="4"/>
  <c r="N1103" i="4"/>
  <c r="O1103" i="4"/>
  <c r="Q1103" i="4"/>
  <c r="R1103" i="4"/>
  <c r="S1103" i="4"/>
  <c r="T1103" i="4"/>
  <c r="V1103" i="4"/>
  <c r="W1103" i="4"/>
  <c r="Y1103" i="4"/>
  <c r="E1104" i="4"/>
  <c r="F1104" i="4"/>
  <c r="G1104" i="4"/>
  <c r="I1104" i="4"/>
  <c r="J1104" i="4"/>
  <c r="K1104" i="4"/>
  <c r="L1104" i="4"/>
  <c r="N1104" i="4"/>
  <c r="O1104" i="4"/>
  <c r="Q1104" i="4"/>
  <c r="R1104" i="4"/>
  <c r="S1104" i="4"/>
  <c r="T1104" i="4"/>
  <c r="Y1104" i="4"/>
  <c r="X1105" i="4"/>
  <c r="Z1105" i="4" s="1"/>
  <c r="P1106" i="4"/>
  <c r="X1107" i="4"/>
  <c r="Z1107" i="4" s="1"/>
  <c r="X1108" i="4"/>
  <c r="Z1108" i="4" s="1"/>
  <c r="E1109" i="4"/>
  <c r="F1109" i="4"/>
  <c r="G1109" i="4"/>
  <c r="I1109" i="4"/>
  <c r="J1109" i="4"/>
  <c r="K1109" i="4"/>
  <c r="L1109" i="4"/>
  <c r="N1109" i="4"/>
  <c r="O1109" i="4"/>
  <c r="Q1109" i="4"/>
  <c r="R1109" i="4"/>
  <c r="S1109" i="4"/>
  <c r="T1109" i="4"/>
  <c r="Y1109" i="4"/>
  <c r="E1110" i="4"/>
  <c r="F1110" i="4"/>
  <c r="G1110" i="4"/>
  <c r="I1110" i="4"/>
  <c r="J1110" i="4"/>
  <c r="K1110" i="4"/>
  <c r="L1110" i="4"/>
  <c r="N1110" i="4"/>
  <c r="O1110" i="4"/>
  <c r="Q1110" i="4"/>
  <c r="R1110" i="4"/>
  <c r="S1110" i="4"/>
  <c r="T1110" i="4"/>
  <c r="Y1110" i="4"/>
  <c r="E1111" i="4"/>
  <c r="F1111" i="4"/>
  <c r="G1111" i="4"/>
  <c r="I1111" i="4"/>
  <c r="J1111" i="4"/>
  <c r="K1111" i="4"/>
  <c r="L1111" i="4"/>
  <c r="N1111" i="4"/>
  <c r="O1111" i="4"/>
  <c r="Q1111" i="4"/>
  <c r="R1111" i="4"/>
  <c r="S1111" i="4"/>
  <c r="T1111" i="4"/>
  <c r="Y1111" i="4"/>
  <c r="E1112" i="4"/>
  <c r="F1112" i="4"/>
  <c r="G1112" i="4"/>
  <c r="H1112" i="4"/>
  <c r="I1112" i="4"/>
  <c r="J1112" i="4"/>
  <c r="K1112" i="4"/>
  <c r="L1112" i="4"/>
  <c r="M1112" i="4"/>
  <c r="N1112" i="4"/>
  <c r="O1112" i="4"/>
  <c r="P1112" i="4"/>
  <c r="Q1112" i="4"/>
  <c r="R1112" i="4"/>
  <c r="S1112" i="4"/>
  <c r="T1112" i="4"/>
  <c r="U1112" i="4"/>
  <c r="V1112" i="4"/>
  <c r="W1112" i="4"/>
  <c r="X1112" i="4"/>
  <c r="Y1112" i="4"/>
  <c r="AA1112" i="4"/>
  <c r="AB1112" i="4"/>
  <c r="E1113" i="4"/>
  <c r="F1113" i="4"/>
  <c r="G1113" i="4"/>
  <c r="I1113" i="4"/>
  <c r="J1113" i="4"/>
  <c r="K1113" i="4"/>
  <c r="L1113" i="4"/>
  <c r="N1113" i="4"/>
  <c r="O1113" i="4"/>
  <c r="Q1113" i="4"/>
  <c r="R1113" i="4"/>
  <c r="S1113" i="4"/>
  <c r="T1113" i="4"/>
  <c r="Y1113" i="4"/>
  <c r="E1114" i="4"/>
  <c r="F1114" i="4"/>
  <c r="G1114" i="4"/>
  <c r="I1114" i="4"/>
  <c r="J1114" i="4"/>
  <c r="K1114" i="4"/>
  <c r="L1114" i="4"/>
  <c r="N1114" i="4"/>
  <c r="O1114" i="4"/>
  <c r="Q1114" i="4"/>
  <c r="R1114" i="4"/>
  <c r="S1114" i="4"/>
  <c r="T1114" i="4"/>
  <c r="Y1114" i="4"/>
  <c r="E1115" i="4"/>
  <c r="F1115" i="4"/>
  <c r="G1115" i="4"/>
  <c r="I1115" i="4"/>
  <c r="J1115" i="4"/>
  <c r="K1115" i="4"/>
  <c r="L1115" i="4"/>
  <c r="N1115" i="4"/>
  <c r="O1115" i="4"/>
  <c r="Q1115" i="4"/>
  <c r="R1115" i="4"/>
  <c r="S1115" i="4"/>
  <c r="T1115" i="4"/>
  <c r="Y1115" i="4"/>
  <c r="E1116" i="4"/>
  <c r="F1116" i="4"/>
  <c r="G1116" i="4"/>
  <c r="I1116" i="4"/>
  <c r="J1116" i="4"/>
  <c r="K1116" i="4"/>
  <c r="L1116" i="4"/>
  <c r="N1116" i="4"/>
  <c r="O1116" i="4"/>
  <c r="Q1116" i="4"/>
  <c r="R1116" i="4"/>
  <c r="S1116" i="4"/>
  <c r="T1116" i="4"/>
  <c r="Y1116" i="4"/>
  <c r="E1117" i="4"/>
  <c r="F1117" i="4"/>
  <c r="G1117" i="4"/>
  <c r="I1117" i="4"/>
  <c r="J1117" i="4"/>
  <c r="K1117" i="4"/>
  <c r="L1117" i="4"/>
  <c r="N1117" i="4"/>
  <c r="O1117" i="4"/>
  <c r="Q1117" i="4"/>
  <c r="R1117" i="4"/>
  <c r="S1117" i="4"/>
  <c r="T1117" i="4"/>
  <c r="Y1117" i="4"/>
  <c r="E1118" i="4"/>
  <c r="F1118" i="4"/>
  <c r="G1118" i="4"/>
  <c r="I1118" i="4"/>
  <c r="J1118" i="4"/>
  <c r="K1118" i="4"/>
  <c r="L1118" i="4"/>
  <c r="N1118" i="4"/>
  <c r="O1118" i="4"/>
  <c r="Q1118" i="4"/>
  <c r="R1118" i="4"/>
  <c r="S1118" i="4"/>
  <c r="T1118" i="4"/>
  <c r="Y1118" i="4"/>
  <c r="E1119" i="4"/>
  <c r="F1119" i="4"/>
  <c r="G1119" i="4"/>
  <c r="I1119" i="4"/>
  <c r="J1119" i="4"/>
  <c r="K1119" i="4"/>
  <c r="L1119" i="4"/>
  <c r="N1119" i="4"/>
  <c r="O1119" i="4"/>
  <c r="Q1119" i="4"/>
  <c r="R1119" i="4"/>
  <c r="S1119" i="4"/>
  <c r="T1119" i="4"/>
  <c r="Y1119" i="4"/>
  <c r="F1120" i="4"/>
  <c r="G1120" i="4"/>
  <c r="I1120" i="4"/>
  <c r="J1120" i="4"/>
  <c r="K1120" i="4"/>
  <c r="L1120" i="4"/>
  <c r="N1120" i="4"/>
  <c r="O1120" i="4"/>
  <c r="Q1120" i="4"/>
  <c r="R1120" i="4"/>
  <c r="S1120" i="4"/>
  <c r="T1120" i="4"/>
  <c r="Y1120" i="4"/>
  <c r="G1121" i="4"/>
  <c r="I1121" i="4"/>
  <c r="J1121" i="4"/>
  <c r="K1121" i="4"/>
  <c r="L1121" i="4"/>
  <c r="N1121" i="4"/>
  <c r="O1121" i="4"/>
  <c r="Q1121" i="4"/>
  <c r="R1121" i="4"/>
  <c r="S1121" i="4"/>
  <c r="T1121" i="4"/>
  <c r="Y1121" i="4"/>
  <c r="C1122" i="4"/>
  <c r="F1122" i="4"/>
  <c r="G1122" i="4"/>
  <c r="I1122" i="4"/>
  <c r="J1122" i="4"/>
  <c r="K1122" i="4"/>
  <c r="L1122" i="4"/>
  <c r="N1122" i="4"/>
  <c r="O1122" i="4"/>
  <c r="Q1122" i="4"/>
  <c r="R1122" i="4"/>
  <c r="S1122" i="4"/>
  <c r="T1122" i="4"/>
  <c r="Y1122" i="4"/>
  <c r="E1123" i="4"/>
  <c r="F1123" i="4"/>
  <c r="G1123" i="4"/>
  <c r="I1123" i="4"/>
  <c r="J1123" i="4"/>
  <c r="K1123" i="4"/>
  <c r="L1123" i="4"/>
  <c r="N1123" i="4"/>
  <c r="O1123" i="4"/>
  <c r="Q1123" i="4"/>
  <c r="R1123" i="4"/>
  <c r="S1123" i="4"/>
  <c r="T1123" i="4"/>
  <c r="V1123" i="4"/>
  <c r="W1123" i="4"/>
  <c r="Y1123" i="4"/>
  <c r="E1124" i="4"/>
  <c r="F1124" i="4"/>
  <c r="G1124" i="4"/>
  <c r="I1124" i="4"/>
  <c r="J1124" i="4"/>
  <c r="K1124" i="4"/>
  <c r="L1124" i="4"/>
  <c r="N1124" i="4"/>
  <c r="O1124" i="4"/>
  <c r="Q1124" i="4"/>
  <c r="R1124" i="4"/>
  <c r="S1124" i="4"/>
  <c r="T1124" i="4"/>
  <c r="V1124" i="4"/>
  <c r="W1124" i="4"/>
  <c r="Y1124" i="4"/>
  <c r="G1125" i="4"/>
  <c r="I1125" i="4"/>
  <c r="J1125" i="4"/>
  <c r="K1125" i="4"/>
  <c r="L1125" i="4"/>
  <c r="N1125" i="4"/>
  <c r="O1125" i="4"/>
  <c r="Q1125" i="4"/>
  <c r="R1125" i="4"/>
  <c r="S1125" i="4"/>
  <c r="T1125" i="4"/>
  <c r="V1125" i="4"/>
  <c r="W1125" i="4"/>
  <c r="Y1125" i="4"/>
  <c r="G1126" i="4"/>
  <c r="I1126" i="4"/>
  <c r="J1126" i="4"/>
  <c r="K1126" i="4"/>
  <c r="L1126" i="4"/>
  <c r="N1126" i="4"/>
  <c r="O1126" i="4"/>
  <c r="Q1126" i="4"/>
  <c r="R1126" i="4"/>
  <c r="S1126" i="4"/>
  <c r="T1126" i="4"/>
  <c r="V1126" i="4"/>
  <c r="W1126" i="4"/>
  <c r="Y1126" i="4"/>
  <c r="E1127" i="4"/>
  <c r="F1127" i="4"/>
  <c r="G1127" i="4"/>
  <c r="I1127" i="4"/>
  <c r="J1127" i="4"/>
  <c r="K1127" i="4"/>
  <c r="L1127" i="4"/>
  <c r="N1127" i="4"/>
  <c r="O1127" i="4"/>
  <c r="Q1127" i="4"/>
  <c r="R1127" i="4"/>
  <c r="S1127" i="4"/>
  <c r="T1127" i="4"/>
  <c r="Y1127" i="4"/>
  <c r="X1128" i="4"/>
  <c r="Z1128" i="4" s="1"/>
  <c r="P1129" i="4"/>
  <c r="X1129" i="4" s="1"/>
  <c r="Z1129" i="4" s="1"/>
  <c r="X1130" i="4"/>
  <c r="Z1130" i="4" s="1"/>
  <c r="X1131" i="4"/>
  <c r="Z1131" i="4" s="1"/>
  <c r="E1132" i="4"/>
  <c r="F1132" i="4"/>
  <c r="G1132" i="4"/>
  <c r="I1132" i="4"/>
  <c r="J1132" i="4"/>
  <c r="K1132" i="4"/>
  <c r="L1132" i="4"/>
  <c r="N1132" i="4"/>
  <c r="O1132" i="4"/>
  <c r="Q1132" i="4"/>
  <c r="R1132" i="4"/>
  <c r="S1132" i="4"/>
  <c r="T1132" i="4"/>
  <c r="Y1132" i="4"/>
  <c r="E1133" i="4"/>
  <c r="F1133" i="4"/>
  <c r="G1133" i="4"/>
  <c r="I1133" i="4"/>
  <c r="J1133" i="4"/>
  <c r="K1133" i="4"/>
  <c r="L1133" i="4"/>
  <c r="N1133" i="4"/>
  <c r="O1133" i="4"/>
  <c r="Q1133" i="4"/>
  <c r="R1133" i="4"/>
  <c r="S1133" i="4"/>
  <c r="T1133" i="4"/>
  <c r="Y1133" i="4"/>
  <c r="F1134" i="4"/>
  <c r="G1134" i="4"/>
  <c r="I1134" i="4"/>
  <c r="J1134" i="4"/>
  <c r="K1134" i="4"/>
  <c r="L1134" i="4"/>
  <c r="N1134" i="4"/>
  <c r="O1134" i="4"/>
  <c r="Q1134" i="4"/>
  <c r="R1134" i="4"/>
  <c r="S1134" i="4"/>
  <c r="T1134" i="4"/>
  <c r="Y1134" i="4"/>
  <c r="E1135" i="4"/>
  <c r="F1135" i="4"/>
  <c r="G1135" i="4"/>
  <c r="I1135" i="4"/>
  <c r="J1135" i="4"/>
  <c r="K1135" i="4"/>
  <c r="L1135" i="4"/>
  <c r="N1135" i="4"/>
  <c r="O1135" i="4"/>
  <c r="Q1135" i="4"/>
  <c r="R1135" i="4"/>
  <c r="S1135" i="4"/>
  <c r="T1135" i="4"/>
  <c r="Y1135" i="4"/>
  <c r="E1136" i="4"/>
  <c r="F1136" i="4"/>
  <c r="G1136" i="4"/>
  <c r="I1136" i="4"/>
  <c r="J1136" i="4"/>
  <c r="K1136" i="4"/>
  <c r="L1136" i="4"/>
  <c r="N1136" i="4"/>
  <c r="O1136" i="4"/>
  <c r="Q1136" i="4"/>
  <c r="R1136" i="4"/>
  <c r="S1136" i="4"/>
  <c r="T1136" i="4"/>
  <c r="Y1136" i="4"/>
  <c r="E1137" i="4"/>
  <c r="F1137" i="4"/>
  <c r="G1137" i="4"/>
  <c r="I1137" i="4"/>
  <c r="J1137" i="4"/>
  <c r="K1137" i="4"/>
  <c r="L1137" i="4"/>
  <c r="N1137" i="4"/>
  <c r="O1137" i="4"/>
  <c r="Q1137" i="4"/>
  <c r="R1137" i="4"/>
  <c r="S1137" i="4"/>
  <c r="T1137" i="4"/>
  <c r="Y1137" i="4"/>
  <c r="E1138" i="4"/>
  <c r="F1138" i="4"/>
  <c r="G1138" i="4"/>
  <c r="I1138" i="4"/>
  <c r="J1138" i="4"/>
  <c r="K1138" i="4"/>
  <c r="L1138" i="4"/>
  <c r="N1138" i="4"/>
  <c r="O1138" i="4"/>
  <c r="Q1138" i="4"/>
  <c r="R1138" i="4"/>
  <c r="S1138" i="4"/>
  <c r="T1138" i="4"/>
  <c r="Y1138" i="4"/>
  <c r="E1139" i="4"/>
  <c r="F1139" i="4"/>
  <c r="G1139" i="4"/>
  <c r="I1139" i="4"/>
  <c r="J1139" i="4"/>
  <c r="K1139" i="4"/>
  <c r="L1139" i="4"/>
  <c r="N1139" i="4"/>
  <c r="O1139" i="4"/>
  <c r="Q1139" i="4"/>
  <c r="R1139" i="4"/>
  <c r="S1139" i="4"/>
  <c r="T1139" i="4"/>
  <c r="Y1139" i="4"/>
  <c r="G1140" i="4"/>
  <c r="I1140" i="4"/>
  <c r="J1140" i="4"/>
  <c r="K1140" i="4"/>
  <c r="L1140" i="4"/>
  <c r="N1140" i="4"/>
  <c r="O1140" i="4"/>
  <c r="Q1140" i="4"/>
  <c r="R1140" i="4"/>
  <c r="S1140" i="4"/>
  <c r="T1140" i="4"/>
  <c r="Y1140" i="4"/>
  <c r="F1141" i="4"/>
  <c r="G1141" i="4"/>
  <c r="I1141" i="4"/>
  <c r="J1141" i="4"/>
  <c r="K1141" i="4"/>
  <c r="L1141" i="4"/>
  <c r="N1141" i="4"/>
  <c r="O1141" i="4"/>
  <c r="Q1141" i="4"/>
  <c r="R1141" i="4"/>
  <c r="S1141" i="4"/>
  <c r="T1141" i="4"/>
  <c r="Y1141" i="4"/>
  <c r="X1142" i="4"/>
  <c r="Z1142" i="4" s="1"/>
  <c r="P1143" i="4"/>
  <c r="X1144" i="4"/>
  <c r="Z1144" i="4" s="1"/>
  <c r="X1145" i="4"/>
  <c r="Z1145" i="4" s="1"/>
  <c r="X1146" i="4"/>
  <c r="Z1146" i="4" s="1"/>
  <c r="E1147" i="4"/>
  <c r="F1147" i="4"/>
  <c r="G1147" i="4"/>
  <c r="I1147" i="4"/>
  <c r="J1147" i="4"/>
  <c r="K1147" i="4"/>
  <c r="L1147" i="4"/>
  <c r="O1147" i="4"/>
  <c r="Q1147" i="4"/>
  <c r="R1147" i="4"/>
  <c r="S1147" i="4"/>
  <c r="T1147" i="4"/>
  <c r="Y1147" i="4"/>
  <c r="E1148" i="4"/>
  <c r="F1148" i="4"/>
  <c r="G1148" i="4"/>
  <c r="I1148" i="4"/>
  <c r="J1148" i="4"/>
  <c r="K1148" i="4"/>
  <c r="L1148" i="4"/>
  <c r="N1148" i="4"/>
  <c r="O1148" i="4"/>
  <c r="Q1148" i="4"/>
  <c r="R1148" i="4"/>
  <c r="S1148" i="4"/>
  <c r="T1148" i="4"/>
  <c r="Y1148" i="4"/>
  <c r="E1149" i="4"/>
  <c r="F1149" i="4"/>
  <c r="G1149" i="4"/>
  <c r="I1149" i="4"/>
  <c r="J1149" i="4"/>
  <c r="K1149" i="4"/>
  <c r="L1149" i="4"/>
  <c r="N1149" i="4"/>
  <c r="O1149" i="4"/>
  <c r="Q1149" i="4"/>
  <c r="R1149" i="4"/>
  <c r="S1149" i="4"/>
  <c r="T1149" i="4"/>
  <c r="Y1149" i="4"/>
  <c r="E1150" i="4"/>
  <c r="F1150" i="4"/>
  <c r="G1150" i="4"/>
  <c r="I1150" i="4"/>
  <c r="J1150" i="4"/>
  <c r="K1150" i="4"/>
  <c r="L1150" i="4"/>
  <c r="N1150" i="4"/>
  <c r="O1150" i="4"/>
  <c r="Q1150" i="4"/>
  <c r="R1150" i="4"/>
  <c r="S1150" i="4"/>
  <c r="T1150" i="4"/>
  <c r="Y1150" i="4"/>
  <c r="E1151" i="4"/>
  <c r="F1151" i="4"/>
  <c r="G1151" i="4"/>
  <c r="I1151" i="4"/>
  <c r="J1151" i="4"/>
  <c r="K1151" i="4"/>
  <c r="L1151" i="4"/>
  <c r="N1151" i="4"/>
  <c r="O1151" i="4"/>
  <c r="Q1151" i="4"/>
  <c r="R1151" i="4"/>
  <c r="S1151" i="4"/>
  <c r="T1151" i="4"/>
  <c r="Y1151" i="4"/>
  <c r="E1152" i="4"/>
  <c r="F1152" i="4"/>
  <c r="G1152" i="4"/>
  <c r="I1152" i="4"/>
  <c r="J1152" i="4"/>
  <c r="K1152" i="4"/>
  <c r="L1152" i="4"/>
  <c r="N1152" i="4"/>
  <c r="O1152" i="4"/>
  <c r="Q1152" i="4"/>
  <c r="R1152" i="4"/>
  <c r="S1152" i="4"/>
  <c r="T1152" i="4"/>
  <c r="Y1152" i="4"/>
  <c r="E1153" i="4"/>
  <c r="F1153" i="4"/>
  <c r="G1153" i="4"/>
  <c r="I1153" i="4"/>
  <c r="J1153" i="4"/>
  <c r="K1153" i="4"/>
  <c r="L1153" i="4"/>
  <c r="N1153" i="4"/>
  <c r="O1153" i="4"/>
  <c r="Q1153" i="4"/>
  <c r="R1153" i="4"/>
  <c r="S1153" i="4"/>
  <c r="T1153" i="4"/>
  <c r="Y1153" i="4"/>
  <c r="E1154" i="4"/>
  <c r="F1154" i="4"/>
  <c r="G1154" i="4"/>
  <c r="I1154" i="4"/>
  <c r="J1154" i="4"/>
  <c r="K1154" i="4"/>
  <c r="L1154" i="4"/>
  <c r="N1154" i="4"/>
  <c r="O1154" i="4"/>
  <c r="Q1154" i="4"/>
  <c r="R1154" i="4"/>
  <c r="S1154" i="4"/>
  <c r="T1154" i="4"/>
  <c r="Y1154" i="4"/>
  <c r="E1155" i="4"/>
  <c r="F1155" i="4"/>
  <c r="G1155" i="4"/>
  <c r="I1155" i="4"/>
  <c r="J1155" i="4"/>
  <c r="K1155" i="4"/>
  <c r="L1155" i="4"/>
  <c r="N1155" i="4"/>
  <c r="O1155" i="4"/>
  <c r="Q1155" i="4"/>
  <c r="R1155" i="4"/>
  <c r="S1155" i="4"/>
  <c r="T1155" i="4"/>
  <c r="Y1155" i="4"/>
  <c r="E1156" i="4"/>
  <c r="F1156" i="4"/>
  <c r="G1156" i="4"/>
  <c r="I1156" i="4"/>
  <c r="J1156" i="4"/>
  <c r="K1156" i="4"/>
  <c r="L1156" i="4"/>
  <c r="N1156" i="4"/>
  <c r="O1156" i="4"/>
  <c r="Q1156" i="4"/>
  <c r="R1156" i="4"/>
  <c r="S1156" i="4"/>
  <c r="T1156" i="4"/>
  <c r="Y1156" i="4"/>
  <c r="E1157" i="4"/>
  <c r="F1157" i="4"/>
  <c r="G1157" i="4"/>
  <c r="I1157" i="4"/>
  <c r="J1157" i="4"/>
  <c r="K1157" i="4"/>
  <c r="L1157" i="4"/>
  <c r="N1157" i="4"/>
  <c r="O1157" i="4"/>
  <c r="Q1157" i="4"/>
  <c r="R1157" i="4"/>
  <c r="S1157" i="4"/>
  <c r="T1157" i="4"/>
  <c r="Y1157" i="4"/>
  <c r="E1158" i="4"/>
  <c r="F1158" i="4"/>
  <c r="G1158" i="4"/>
  <c r="I1158" i="4"/>
  <c r="J1158" i="4"/>
  <c r="K1158" i="4"/>
  <c r="L1158" i="4"/>
  <c r="N1158" i="4"/>
  <c r="O1158" i="4"/>
  <c r="Q1158" i="4"/>
  <c r="R1158" i="4"/>
  <c r="S1158" i="4"/>
  <c r="T1158" i="4"/>
  <c r="Y1158" i="4"/>
  <c r="E1159" i="4"/>
  <c r="F1159" i="4"/>
  <c r="G1159" i="4"/>
  <c r="I1159" i="4"/>
  <c r="J1159" i="4"/>
  <c r="K1159" i="4"/>
  <c r="L1159" i="4"/>
  <c r="N1159" i="4"/>
  <c r="O1159" i="4"/>
  <c r="Q1159" i="4"/>
  <c r="R1159" i="4"/>
  <c r="S1159" i="4"/>
  <c r="T1159" i="4"/>
  <c r="Y1159" i="4"/>
  <c r="E1160" i="4"/>
  <c r="F1160" i="4"/>
  <c r="G1160" i="4"/>
  <c r="I1160" i="4"/>
  <c r="J1160" i="4"/>
  <c r="K1160" i="4"/>
  <c r="L1160" i="4"/>
  <c r="N1160" i="4"/>
  <c r="O1160" i="4"/>
  <c r="Q1160" i="4"/>
  <c r="R1160" i="4"/>
  <c r="S1160" i="4"/>
  <c r="T1160" i="4"/>
  <c r="Y1160" i="4"/>
  <c r="E1161" i="4"/>
  <c r="F1161" i="4"/>
  <c r="G1161" i="4"/>
  <c r="I1161" i="4"/>
  <c r="J1161" i="4"/>
  <c r="K1161" i="4"/>
  <c r="L1161" i="4"/>
  <c r="N1161" i="4"/>
  <c r="O1161" i="4"/>
  <c r="Q1161" i="4"/>
  <c r="R1161" i="4"/>
  <c r="S1161" i="4"/>
  <c r="T1161" i="4"/>
  <c r="Y1161" i="4"/>
  <c r="G1162" i="4"/>
  <c r="I1162" i="4"/>
  <c r="J1162" i="4"/>
  <c r="K1162" i="4"/>
  <c r="L1162" i="4"/>
  <c r="N1162" i="4"/>
  <c r="O1162" i="4"/>
  <c r="Q1162" i="4"/>
  <c r="R1162" i="4"/>
  <c r="S1162" i="4"/>
  <c r="T1162" i="4"/>
  <c r="Y1162" i="4"/>
  <c r="E1163" i="4"/>
  <c r="F1163" i="4"/>
  <c r="G1163" i="4"/>
  <c r="I1163" i="4"/>
  <c r="J1163" i="4"/>
  <c r="K1163" i="4"/>
  <c r="L1163" i="4"/>
  <c r="N1163" i="4"/>
  <c r="O1163" i="4"/>
  <c r="Q1163" i="4"/>
  <c r="R1163" i="4"/>
  <c r="S1163" i="4"/>
  <c r="T1163" i="4"/>
  <c r="Y1163" i="4"/>
  <c r="E1164" i="4"/>
  <c r="F1164" i="4"/>
  <c r="G1164" i="4"/>
  <c r="I1164" i="4"/>
  <c r="J1164" i="4"/>
  <c r="K1164" i="4"/>
  <c r="L1164" i="4"/>
  <c r="N1164" i="4"/>
  <c r="O1164" i="4"/>
  <c r="Q1164" i="4"/>
  <c r="R1164" i="4"/>
  <c r="S1164" i="4"/>
  <c r="T1164" i="4"/>
  <c r="Y1164" i="4"/>
  <c r="X1165" i="4"/>
  <c r="Z1165" i="4" s="1"/>
  <c r="X1167" i="4"/>
  <c r="Z1167" i="4" s="1"/>
  <c r="X1168" i="4"/>
  <c r="Z1168" i="4" s="1"/>
  <c r="E1169" i="4"/>
  <c r="F1169" i="4"/>
  <c r="G1169" i="4"/>
  <c r="I1169" i="4"/>
  <c r="J1169" i="4"/>
  <c r="K1169" i="4"/>
  <c r="L1169" i="4"/>
  <c r="O1169" i="4"/>
  <c r="Q1169" i="4"/>
  <c r="R1169" i="4"/>
  <c r="S1169" i="4"/>
  <c r="T1169" i="4"/>
  <c r="Y1169" i="4"/>
  <c r="E1170" i="4"/>
  <c r="F1170" i="4"/>
  <c r="G1170" i="4"/>
  <c r="I1170" i="4"/>
  <c r="J1170" i="4"/>
  <c r="K1170" i="4"/>
  <c r="L1170" i="4"/>
  <c r="N1170" i="4"/>
  <c r="O1170" i="4"/>
  <c r="Q1170" i="4"/>
  <c r="R1170" i="4"/>
  <c r="S1170" i="4"/>
  <c r="T1170" i="4"/>
  <c r="Y1170" i="4"/>
  <c r="E1171" i="4"/>
  <c r="F1171" i="4"/>
  <c r="G1171" i="4"/>
  <c r="I1171" i="4"/>
  <c r="J1171" i="4"/>
  <c r="K1171" i="4"/>
  <c r="L1171" i="4"/>
  <c r="N1171" i="4"/>
  <c r="O1171" i="4"/>
  <c r="Q1171" i="4"/>
  <c r="R1171" i="4"/>
  <c r="S1171" i="4"/>
  <c r="T1171" i="4"/>
  <c r="Y1171" i="4"/>
  <c r="E1172" i="4"/>
  <c r="F1172" i="4"/>
  <c r="G1172" i="4"/>
  <c r="I1172" i="4"/>
  <c r="J1172" i="4"/>
  <c r="K1172" i="4"/>
  <c r="L1172" i="4"/>
  <c r="N1172" i="4"/>
  <c r="O1172" i="4"/>
  <c r="Q1172" i="4"/>
  <c r="R1172" i="4"/>
  <c r="S1172" i="4"/>
  <c r="T1172" i="4"/>
  <c r="Y1172" i="4"/>
  <c r="E1173" i="4"/>
  <c r="F1173" i="4"/>
  <c r="G1173" i="4"/>
  <c r="I1173" i="4"/>
  <c r="J1173" i="4"/>
  <c r="K1173" i="4"/>
  <c r="L1173" i="4"/>
  <c r="N1173" i="4"/>
  <c r="O1173" i="4"/>
  <c r="Q1173" i="4"/>
  <c r="R1173" i="4"/>
  <c r="S1173" i="4"/>
  <c r="T1173" i="4"/>
  <c r="Y1173" i="4"/>
  <c r="F1174" i="4"/>
  <c r="G1174" i="4"/>
  <c r="I1174" i="4"/>
  <c r="J1174" i="4"/>
  <c r="K1174" i="4"/>
  <c r="L1174" i="4"/>
  <c r="N1174" i="4"/>
  <c r="O1174" i="4"/>
  <c r="Q1174" i="4"/>
  <c r="R1174" i="4"/>
  <c r="S1174" i="4"/>
  <c r="T1174" i="4"/>
  <c r="Y1174" i="4"/>
  <c r="F1175" i="4"/>
  <c r="G1175" i="4"/>
  <c r="I1175" i="4"/>
  <c r="J1175" i="4"/>
  <c r="K1175" i="4"/>
  <c r="L1175" i="4"/>
  <c r="N1175" i="4"/>
  <c r="O1175" i="4"/>
  <c r="Q1175" i="4"/>
  <c r="R1175" i="4"/>
  <c r="S1175" i="4"/>
  <c r="T1175" i="4"/>
  <c r="Y1175" i="4"/>
  <c r="E1176" i="4"/>
  <c r="F1176" i="4"/>
  <c r="G1176" i="4"/>
  <c r="I1176" i="4"/>
  <c r="J1176" i="4"/>
  <c r="K1176" i="4"/>
  <c r="L1176" i="4"/>
  <c r="N1176" i="4"/>
  <c r="O1176" i="4"/>
  <c r="Q1176" i="4"/>
  <c r="R1176" i="4"/>
  <c r="S1176" i="4"/>
  <c r="T1176" i="4"/>
  <c r="Y1176" i="4"/>
  <c r="E1177" i="4"/>
  <c r="F1177" i="4"/>
  <c r="G1177" i="4"/>
  <c r="I1177" i="4"/>
  <c r="J1177" i="4"/>
  <c r="K1177" i="4"/>
  <c r="L1177" i="4"/>
  <c r="N1177" i="4"/>
  <c r="O1177" i="4"/>
  <c r="Q1177" i="4"/>
  <c r="R1177" i="4"/>
  <c r="S1177" i="4"/>
  <c r="T1177" i="4"/>
  <c r="Y1177" i="4"/>
  <c r="E1178" i="4"/>
  <c r="F1178" i="4"/>
  <c r="G1178" i="4"/>
  <c r="I1178" i="4"/>
  <c r="J1178" i="4"/>
  <c r="K1178" i="4"/>
  <c r="L1178" i="4"/>
  <c r="N1178" i="4"/>
  <c r="O1178" i="4"/>
  <c r="Q1178" i="4"/>
  <c r="R1178" i="4"/>
  <c r="S1178" i="4"/>
  <c r="T1178" i="4"/>
  <c r="Y1178" i="4"/>
  <c r="E1179" i="4"/>
  <c r="F1179" i="4"/>
  <c r="G1179" i="4"/>
  <c r="I1179" i="4"/>
  <c r="J1179" i="4"/>
  <c r="K1179" i="4"/>
  <c r="L1179" i="4"/>
  <c r="N1179" i="4"/>
  <c r="O1179" i="4"/>
  <c r="Q1179" i="4"/>
  <c r="R1179" i="4"/>
  <c r="S1179" i="4"/>
  <c r="T1179" i="4"/>
  <c r="Y1179" i="4"/>
  <c r="E1180" i="4"/>
  <c r="F1180" i="4"/>
  <c r="G1180" i="4"/>
  <c r="I1180" i="4"/>
  <c r="J1180" i="4"/>
  <c r="K1180" i="4"/>
  <c r="L1180" i="4"/>
  <c r="N1180" i="4"/>
  <c r="O1180" i="4"/>
  <c r="Q1180" i="4"/>
  <c r="R1180" i="4"/>
  <c r="S1180" i="4"/>
  <c r="T1180" i="4"/>
  <c r="Y1180" i="4"/>
  <c r="G1181" i="4"/>
  <c r="I1181" i="4"/>
  <c r="J1181" i="4"/>
  <c r="K1181" i="4"/>
  <c r="L1181" i="4"/>
  <c r="N1181" i="4"/>
  <c r="O1181" i="4"/>
  <c r="Q1181" i="4"/>
  <c r="R1181" i="4"/>
  <c r="S1181" i="4"/>
  <c r="T1181" i="4"/>
  <c r="Y1181" i="4"/>
  <c r="E1182" i="4"/>
  <c r="F1182" i="4"/>
  <c r="G1182" i="4"/>
  <c r="I1182" i="4"/>
  <c r="J1182" i="4"/>
  <c r="K1182" i="4"/>
  <c r="L1182" i="4"/>
  <c r="N1182" i="4"/>
  <c r="O1182" i="4"/>
  <c r="Q1182" i="4"/>
  <c r="R1182" i="4"/>
  <c r="S1182" i="4"/>
  <c r="T1182" i="4"/>
  <c r="Y1182" i="4"/>
  <c r="F1183" i="4"/>
  <c r="G1183" i="4"/>
  <c r="I1183" i="4"/>
  <c r="J1183" i="4"/>
  <c r="K1183" i="4"/>
  <c r="L1183" i="4"/>
  <c r="N1183" i="4"/>
  <c r="O1183" i="4"/>
  <c r="Q1183" i="4"/>
  <c r="R1183" i="4"/>
  <c r="S1183" i="4"/>
  <c r="T1183" i="4"/>
  <c r="Y1183" i="4"/>
  <c r="E1184" i="4"/>
  <c r="F1184" i="4"/>
  <c r="G1184" i="4"/>
  <c r="I1184" i="4"/>
  <c r="J1184" i="4"/>
  <c r="K1184" i="4"/>
  <c r="L1184" i="4"/>
  <c r="N1184" i="4"/>
  <c r="O1184" i="4"/>
  <c r="Q1184" i="4"/>
  <c r="R1184" i="4"/>
  <c r="S1184" i="4"/>
  <c r="T1184" i="4"/>
  <c r="W1184" i="4"/>
  <c r="Y1184" i="4"/>
  <c r="E1185" i="4"/>
  <c r="F1185" i="4"/>
  <c r="G1185" i="4"/>
  <c r="I1185" i="4"/>
  <c r="J1185" i="4"/>
  <c r="K1185" i="4"/>
  <c r="L1185" i="4"/>
  <c r="N1185" i="4"/>
  <c r="O1185" i="4"/>
  <c r="Q1185" i="4"/>
  <c r="R1185" i="4"/>
  <c r="S1185" i="4"/>
  <c r="T1185" i="4"/>
  <c r="Y1185" i="4"/>
  <c r="X1186" i="4"/>
  <c r="Z1186" i="4" s="1"/>
  <c r="E1187" i="4"/>
  <c r="H1187" i="4"/>
  <c r="X1187" i="4" s="1"/>
  <c r="P1188" i="4"/>
  <c r="E1196" i="4"/>
  <c r="F1196" i="4"/>
  <c r="G1196" i="4"/>
  <c r="I1196" i="4"/>
  <c r="K1196" i="4"/>
  <c r="L1196" i="4"/>
  <c r="N1196" i="4"/>
  <c r="O1196" i="4"/>
  <c r="R1196" i="4"/>
  <c r="S1196" i="4"/>
  <c r="T1196" i="4"/>
  <c r="Y1196" i="4"/>
  <c r="F1197" i="4"/>
  <c r="G1197" i="4"/>
  <c r="I1197" i="4"/>
  <c r="L1197" i="4"/>
  <c r="N1197" i="4"/>
  <c r="O1197" i="4"/>
  <c r="R1197" i="4"/>
  <c r="S1197" i="4"/>
  <c r="T1197" i="4"/>
  <c r="Y1197" i="4"/>
  <c r="F1198" i="4"/>
  <c r="G1198" i="4"/>
  <c r="I1198" i="4"/>
  <c r="L1198" i="4"/>
  <c r="N1198" i="4"/>
  <c r="O1198" i="4"/>
  <c r="R1198" i="4"/>
  <c r="S1198" i="4"/>
  <c r="T1198" i="4"/>
  <c r="Y1198" i="4"/>
  <c r="E1199" i="4"/>
  <c r="F1199" i="4"/>
  <c r="G1199" i="4"/>
  <c r="I1199" i="4"/>
  <c r="K1199" i="4"/>
  <c r="L1199" i="4"/>
  <c r="N1199" i="4"/>
  <c r="O1199" i="4"/>
  <c r="R1199" i="4"/>
  <c r="S1199" i="4"/>
  <c r="T1199" i="4"/>
  <c r="Y1199" i="4"/>
  <c r="E1200" i="4"/>
  <c r="G1200" i="4"/>
  <c r="I1200" i="4"/>
  <c r="K1200" i="4"/>
  <c r="L1200" i="4"/>
  <c r="N1200" i="4"/>
  <c r="O1200" i="4"/>
  <c r="R1200" i="4"/>
  <c r="S1200" i="4"/>
  <c r="T1200" i="4"/>
  <c r="Y1200" i="4"/>
  <c r="F1201" i="4"/>
  <c r="G1201" i="4"/>
  <c r="I1201" i="4"/>
  <c r="K1201" i="4"/>
  <c r="L1201" i="4"/>
  <c r="N1201" i="4"/>
  <c r="O1201" i="4"/>
  <c r="R1201" i="4"/>
  <c r="S1201" i="4"/>
  <c r="T1201" i="4"/>
  <c r="Y1201" i="4"/>
  <c r="G1202" i="4"/>
  <c r="I1202" i="4"/>
  <c r="K1202" i="4"/>
  <c r="L1202" i="4"/>
  <c r="N1202" i="4"/>
  <c r="O1202" i="4"/>
  <c r="R1202" i="4"/>
  <c r="S1202" i="4"/>
  <c r="T1202" i="4"/>
  <c r="Y1202" i="4"/>
  <c r="F1203" i="4"/>
  <c r="G1203" i="4"/>
  <c r="I1203" i="4"/>
  <c r="K1203" i="4"/>
  <c r="L1203" i="4"/>
  <c r="N1203" i="4"/>
  <c r="O1203" i="4"/>
  <c r="R1203" i="4"/>
  <c r="S1203" i="4"/>
  <c r="T1203" i="4"/>
  <c r="Y1203" i="4"/>
  <c r="G1204" i="4"/>
  <c r="I1204" i="4"/>
  <c r="K1204" i="4"/>
  <c r="L1204" i="4"/>
  <c r="N1204" i="4"/>
  <c r="O1204" i="4"/>
  <c r="R1204" i="4"/>
  <c r="S1204" i="4"/>
  <c r="T1204" i="4"/>
  <c r="Y1204" i="4"/>
  <c r="G1205" i="4"/>
  <c r="I1205" i="4"/>
  <c r="K1205" i="4"/>
  <c r="L1205" i="4"/>
  <c r="N1205" i="4"/>
  <c r="O1205" i="4"/>
  <c r="R1205" i="4"/>
  <c r="S1205" i="4"/>
  <c r="T1205" i="4"/>
  <c r="Y1205" i="4"/>
  <c r="G1206" i="4"/>
  <c r="I1206" i="4"/>
  <c r="K1206" i="4"/>
  <c r="L1206" i="4"/>
  <c r="N1206" i="4"/>
  <c r="O1206" i="4"/>
  <c r="R1206" i="4"/>
  <c r="S1206" i="4"/>
  <c r="T1206" i="4"/>
  <c r="Y1206" i="4"/>
  <c r="E1207" i="4"/>
  <c r="F1207" i="4"/>
  <c r="G1207" i="4"/>
  <c r="I1207" i="4"/>
  <c r="K1207" i="4"/>
  <c r="L1207" i="4"/>
  <c r="N1207" i="4"/>
  <c r="O1207" i="4"/>
  <c r="Q1207" i="4"/>
  <c r="R1207" i="4"/>
  <c r="S1207" i="4"/>
  <c r="T1207" i="4"/>
  <c r="W1207" i="4"/>
  <c r="Y1207" i="4"/>
  <c r="E1208" i="4"/>
  <c r="F1208" i="4"/>
  <c r="G1208" i="4"/>
  <c r="I1208" i="4"/>
  <c r="K1208" i="4"/>
  <c r="L1208" i="4"/>
  <c r="N1208" i="4"/>
  <c r="O1208" i="4"/>
  <c r="Q1208" i="4"/>
  <c r="R1208" i="4"/>
  <c r="S1208" i="4"/>
  <c r="T1208" i="4"/>
  <c r="W1208" i="4"/>
  <c r="Y1208" i="4"/>
  <c r="E1209" i="4"/>
  <c r="F1209" i="4"/>
  <c r="I1209" i="4"/>
  <c r="J1209" i="4"/>
  <c r="K1209" i="4"/>
  <c r="L1209" i="4"/>
  <c r="N1209" i="4"/>
  <c r="O1209" i="4"/>
  <c r="Q1209" i="4"/>
  <c r="R1209" i="4"/>
  <c r="S1209" i="4"/>
  <c r="T1209" i="4"/>
  <c r="W1209" i="4"/>
  <c r="Y1209" i="4"/>
  <c r="E1210" i="4"/>
  <c r="F1210" i="4"/>
  <c r="G1210" i="4"/>
  <c r="I1210" i="4"/>
  <c r="K1210" i="4"/>
  <c r="L1210" i="4"/>
  <c r="N1210" i="4"/>
  <c r="O1210" i="4"/>
  <c r="R1210" i="4"/>
  <c r="S1210" i="4"/>
  <c r="T1210" i="4"/>
  <c r="Y1210" i="4"/>
  <c r="F1211" i="4"/>
  <c r="G1211" i="4"/>
  <c r="I1211" i="4"/>
  <c r="K1211" i="4"/>
  <c r="L1211" i="4"/>
  <c r="N1211" i="4"/>
  <c r="O1211" i="4"/>
  <c r="R1211" i="4"/>
  <c r="S1211" i="4"/>
  <c r="T1211" i="4"/>
  <c r="Y1211" i="4"/>
  <c r="E1212" i="4"/>
  <c r="F1212" i="4"/>
  <c r="G1212" i="4"/>
  <c r="I1212" i="4"/>
  <c r="K1212" i="4"/>
  <c r="L1212" i="4"/>
  <c r="N1212" i="4"/>
  <c r="O1212" i="4"/>
  <c r="R1212" i="4"/>
  <c r="S1212" i="4"/>
  <c r="T1212" i="4"/>
  <c r="Y1212" i="4"/>
  <c r="P1214" i="4"/>
  <c r="X1215" i="4"/>
  <c r="X1216" i="4"/>
  <c r="E1217" i="4"/>
  <c r="F1217" i="4"/>
  <c r="G1217" i="4"/>
  <c r="I1217" i="4"/>
  <c r="K1217" i="4"/>
  <c r="L1217" i="4"/>
  <c r="N1217" i="4"/>
  <c r="O1217" i="4"/>
  <c r="R1217" i="4"/>
  <c r="S1217" i="4"/>
  <c r="T1217" i="4"/>
  <c r="Y1217" i="4"/>
  <c r="F1218" i="4"/>
  <c r="G1218" i="4"/>
  <c r="I1218" i="4"/>
  <c r="L1218" i="4"/>
  <c r="N1218" i="4"/>
  <c r="O1218" i="4"/>
  <c r="R1218" i="4"/>
  <c r="S1218" i="4"/>
  <c r="T1218" i="4"/>
  <c r="Y1218" i="4"/>
  <c r="E1219" i="4"/>
  <c r="F1219" i="4"/>
  <c r="G1219" i="4"/>
  <c r="I1219" i="4"/>
  <c r="K1219" i="4"/>
  <c r="L1219" i="4"/>
  <c r="N1219" i="4"/>
  <c r="O1219" i="4"/>
  <c r="R1219" i="4"/>
  <c r="S1219" i="4"/>
  <c r="T1219" i="4"/>
  <c r="Y1219" i="4"/>
  <c r="F1220" i="4"/>
  <c r="G1220" i="4"/>
  <c r="I1220" i="4"/>
  <c r="L1220" i="4"/>
  <c r="N1220" i="4"/>
  <c r="O1220" i="4"/>
  <c r="R1220" i="4"/>
  <c r="S1220" i="4"/>
  <c r="T1220" i="4"/>
  <c r="Y1220" i="4"/>
  <c r="E1221" i="4"/>
  <c r="F1221" i="4"/>
  <c r="G1221" i="4"/>
  <c r="I1221" i="4"/>
  <c r="K1221" i="4"/>
  <c r="L1221" i="4"/>
  <c r="N1221" i="4"/>
  <c r="O1221" i="4"/>
  <c r="R1221" i="4"/>
  <c r="S1221" i="4"/>
  <c r="T1221" i="4"/>
  <c r="Y1221" i="4"/>
  <c r="F1222" i="4"/>
  <c r="G1222" i="4"/>
  <c r="I1222" i="4"/>
  <c r="K1222" i="4"/>
  <c r="L1222" i="4"/>
  <c r="N1222" i="4"/>
  <c r="O1222" i="4"/>
  <c r="R1222" i="4"/>
  <c r="S1222" i="4"/>
  <c r="T1222" i="4"/>
  <c r="Y1222" i="4"/>
  <c r="E1223" i="4"/>
  <c r="G1223" i="4"/>
  <c r="I1223" i="4"/>
  <c r="K1223" i="4"/>
  <c r="L1223" i="4"/>
  <c r="N1223" i="4"/>
  <c r="O1223" i="4"/>
  <c r="R1223" i="4"/>
  <c r="S1223" i="4"/>
  <c r="T1223" i="4"/>
  <c r="Y1223" i="4"/>
  <c r="E1224" i="4"/>
  <c r="F1224" i="4"/>
  <c r="G1224" i="4"/>
  <c r="I1224" i="4"/>
  <c r="K1224" i="4"/>
  <c r="L1224" i="4"/>
  <c r="N1224" i="4"/>
  <c r="O1224" i="4"/>
  <c r="R1224" i="4"/>
  <c r="S1224" i="4"/>
  <c r="T1224" i="4"/>
  <c r="Y1224" i="4"/>
  <c r="E1225" i="4"/>
  <c r="G1225" i="4"/>
  <c r="I1225" i="4"/>
  <c r="K1225" i="4"/>
  <c r="L1225" i="4"/>
  <c r="N1225" i="4"/>
  <c r="O1225" i="4"/>
  <c r="R1225" i="4"/>
  <c r="S1225" i="4"/>
  <c r="T1225" i="4"/>
  <c r="Y1225" i="4"/>
  <c r="F1226" i="4"/>
  <c r="G1226" i="4"/>
  <c r="I1226" i="4"/>
  <c r="K1226" i="4"/>
  <c r="L1226" i="4"/>
  <c r="N1226" i="4"/>
  <c r="O1226" i="4"/>
  <c r="R1226" i="4"/>
  <c r="S1226" i="4"/>
  <c r="T1226" i="4"/>
  <c r="Y1226" i="4"/>
  <c r="E1227" i="4"/>
  <c r="F1227" i="4"/>
  <c r="G1227" i="4"/>
  <c r="I1227" i="4"/>
  <c r="K1227" i="4"/>
  <c r="L1227" i="4"/>
  <c r="N1227" i="4"/>
  <c r="O1227" i="4"/>
  <c r="R1227" i="4"/>
  <c r="S1227" i="4"/>
  <c r="T1227" i="4"/>
  <c r="Y1227" i="4"/>
  <c r="E1228" i="4"/>
  <c r="F1228" i="4"/>
  <c r="G1228" i="4"/>
  <c r="I1228" i="4"/>
  <c r="K1228" i="4"/>
  <c r="L1228" i="4"/>
  <c r="N1228" i="4"/>
  <c r="O1228" i="4"/>
  <c r="R1228" i="4"/>
  <c r="S1228" i="4"/>
  <c r="T1228" i="4"/>
  <c r="Y1228" i="4"/>
  <c r="E1229" i="4"/>
  <c r="F1229" i="4"/>
  <c r="G1229" i="4"/>
  <c r="I1229" i="4"/>
  <c r="K1229" i="4"/>
  <c r="L1229" i="4"/>
  <c r="N1229" i="4"/>
  <c r="O1229" i="4"/>
  <c r="R1229" i="4"/>
  <c r="S1229" i="4"/>
  <c r="T1229" i="4"/>
  <c r="Y1229" i="4"/>
  <c r="E1230" i="4"/>
  <c r="F1230" i="4"/>
  <c r="G1230" i="4"/>
  <c r="I1230" i="4"/>
  <c r="K1230" i="4"/>
  <c r="L1230" i="4"/>
  <c r="N1230" i="4"/>
  <c r="O1230" i="4"/>
  <c r="R1230" i="4"/>
  <c r="S1230" i="4"/>
  <c r="T1230" i="4"/>
  <c r="Y1230" i="4"/>
  <c r="G1231" i="4"/>
  <c r="I1231" i="4"/>
  <c r="K1231" i="4"/>
  <c r="L1231" i="4"/>
  <c r="N1231" i="4"/>
  <c r="O1231" i="4"/>
  <c r="R1231" i="4"/>
  <c r="S1231" i="4"/>
  <c r="T1231" i="4"/>
  <c r="Y1231" i="4"/>
  <c r="E1232" i="4"/>
  <c r="F1232" i="4"/>
  <c r="G1232" i="4"/>
  <c r="I1232" i="4"/>
  <c r="K1232" i="4"/>
  <c r="L1232" i="4"/>
  <c r="N1232" i="4"/>
  <c r="O1232" i="4"/>
  <c r="R1232" i="4"/>
  <c r="S1232" i="4"/>
  <c r="T1232" i="4"/>
  <c r="Y1232" i="4"/>
  <c r="G1233" i="4"/>
  <c r="I1233" i="4"/>
  <c r="K1233" i="4"/>
  <c r="L1233" i="4"/>
  <c r="N1233" i="4"/>
  <c r="O1233" i="4"/>
  <c r="R1233" i="4"/>
  <c r="S1233" i="4"/>
  <c r="T1233" i="4"/>
  <c r="Y1233" i="4"/>
  <c r="G1234" i="4"/>
  <c r="I1234" i="4"/>
  <c r="K1234" i="4"/>
  <c r="L1234" i="4"/>
  <c r="N1234" i="4"/>
  <c r="O1234" i="4"/>
  <c r="R1234" i="4"/>
  <c r="S1234" i="4"/>
  <c r="T1234" i="4"/>
  <c r="Y1234" i="4"/>
  <c r="E1235" i="4"/>
  <c r="F1235" i="4"/>
  <c r="G1235" i="4"/>
  <c r="I1235" i="4"/>
  <c r="K1235" i="4"/>
  <c r="L1235" i="4"/>
  <c r="N1235" i="4"/>
  <c r="O1235" i="4"/>
  <c r="P1235" i="4"/>
  <c r="Q1235" i="4"/>
  <c r="R1235" i="4"/>
  <c r="S1235" i="4"/>
  <c r="T1235" i="4"/>
  <c r="V1235" i="4"/>
  <c r="W1235" i="4"/>
  <c r="Y1235" i="4"/>
  <c r="E1236" i="4"/>
  <c r="F1236" i="4"/>
  <c r="G1236" i="4"/>
  <c r="H1236" i="4"/>
  <c r="I1236" i="4"/>
  <c r="J1236" i="4"/>
  <c r="K1236" i="4"/>
  <c r="L1236" i="4"/>
  <c r="M1236" i="4"/>
  <c r="N1236" i="4"/>
  <c r="O1236" i="4"/>
  <c r="Q1236" i="4"/>
  <c r="R1236" i="4"/>
  <c r="S1236" i="4"/>
  <c r="T1236" i="4"/>
  <c r="V1236" i="4"/>
  <c r="W1236" i="4"/>
  <c r="Y1236" i="4"/>
  <c r="E1237" i="4"/>
  <c r="F1237" i="4"/>
  <c r="G1237" i="4"/>
  <c r="I1237" i="4"/>
  <c r="J1237" i="4"/>
  <c r="K1237" i="4"/>
  <c r="L1237" i="4"/>
  <c r="N1237" i="4"/>
  <c r="O1237" i="4"/>
  <c r="Q1237" i="4"/>
  <c r="R1237" i="4"/>
  <c r="S1237" i="4"/>
  <c r="T1237" i="4"/>
  <c r="Y1237" i="4"/>
  <c r="E1238" i="4"/>
  <c r="F1238" i="4"/>
  <c r="G1238" i="4"/>
  <c r="I1238" i="4"/>
  <c r="J1238" i="4"/>
  <c r="K1238" i="4"/>
  <c r="L1238" i="4"/>
  <c r="N1238" i="4"/>
  <c r="O1238" i="4"/>
  <c r="Q1238" i="4"/>
  <c r="R1238" i="4"/>
  <c r="S1238" i="4"/>
  <c r="T1238" i="4"/>
  <c r="Y1238" i="4"/>
  <c r="F1239" i="4"/>
  <c r="G1239" i="4"/>
  <c r="I1239" i="4"/>
  <c r="J1239" i="4"/>
  <c r="K1239" i="4"/>
  <c r="L1239" i="4"/>
  <c r="N1239" i="4"/>
  <c r="O1239" i="4"/>
  <c r="Q1239" i="4"/>
  <c r="R1239" i="4"/>
  <c r="S1239" i="4"/>
  <c r="T1239" i="4"/>
  <c r="Y1239" i="4"/>
  <c r="G1240" i="4"/>
  <c r="I1240" i="4"/>
  <c r="J1240" i="4"/>
  <c r="K1240" i="4"/>
  <c r="L1240" i="4"/>
  <c r="N1240" i="4"/>
  <c r="O1240" i="4"/>
  <c r="Q1240" i="4"/>
  <c r="R1240" i="4"/>
  <c r="S1240" i="4"/>
  <c r="T1240" i="4"/>
  <c r="Y1240" i="4"/>
  <c r="E1241" i="4"/>
  <c r="F1241" i="4"/>
  <c r="G1241" i="4"/>
  <c r="I1241" i="4"/>
  <c r="J1241" i="4"/>
  <c r="K1241" i="4"/>
  <c r="L1241" i="4"/>
  <c r="N1241" i="4"/>
  <c r="O1241" i="4"/>
  <c r="Q1241" i="4"/>
  <c r="R1241" i="4"/>
  <c r="S1241" i="4"/>
  <c r="T1241" i="4"/>
  <c r="V1241" i="4"/>
  <c r="W1241" i="4"/>
  <c r="Y1241" i="4"/>
  <c r="G1242" i="4"/>
  <c r="I1242" i="4"/>
  <c r="K1242" i="4"/>
  <c r="L1242" i="4"/>
  <c r="N1242" i="4"/>
  <c r="O1242" i="4"/>
  <c r="R1242" i="4"/>
  <c r="S1242" i="4"/>
  <c r="T1242" i="4"/>
  <c r="Y1242" i="4"/>
  <c r="X1243" i="4"/>
  <c r="P1244" i="4"/>
  <c r="X1245" i="4"/>
  <c r="Z1245" i="4" s="1"/>
  <c r="X1246" i="4"/>
  <c r="Z1246" i="4" s="1"/>
  <c r="F1247" i="4"/>
  <c r="G1247" i="4"/>
  <c r="I1247" i="4"/>
  <c r="L1247" i="4"/>
  <c r="N1247" i="4"/>
  <c r="O1247" i="4"/>
  <c r="R1247" i="4"/>
  <c r="S1247" i="4"/>
  <c r="T1247" i="4"/>
  <c r="Y1247" i="4"/>
  <c r="F1248" i="4"/>
  <c r="G1248" i="4"/>
  <c r="I1248" i="4"/>
  <c r="K1248" i="4"/>
  <c r="L1248" i="4"/>
  <c r="N1248" i="4"/>
  <c r="O1248" i="4"/>
  <c r="R1248" i="4"/>
  <c r="S1248" i="4"/>
  <c r="T1248" i="4"/>
  <c r="Y1248" i="4"/>
  <c r="G1249" i="4"/>
  <c r="I1249" i="4"/>
  <c r="K1249" i="4"/>
  <c r="L1249" i="4"/>
  <c r="N1249" i="4"/>
  <c r="O1249" i="4"/>
  <c r="R1249" i="4"/>
  <c r="S1249" i="4"/>
  <c r="T1249" i="4"/>
  <c r="Y1249" i="4"/>
  <c r="E1250" i="4"/>
  <c r="F1250" i="4"/>
  <c r="G1250" i="4"/>
  <c r="I1250" i="4"/>
  <c r="K1250" i="4"/>
  <c r="L1250" i="4"/>
  <c r="N1250" i="4"/>
  <c r="O1250" i="4"/>
  <c r="R1250" i="4"/>
  <c r="S1250" i="4"/>
  <c r="T1250" i="4"/>
  <c r="Y1250" i="4"/>
  <c r="F1251" i="4"/>
  <c r="G1251" i="4"/>
  <c r="I1251" i="4"/>
  <c r="K1251" i="4"/>
  <c r="L1251" i="4"/>
  <c r="N1251" i="4"/>
  <c r="O1251" i="4"/>
  <c r="R1251" i="4"/>
  <c r="S1251" i="4"/>
  <c r="T1251" i="4"/>
  <c r="Y1251" i="4"/>
  <c r="E1252" i="4"/>
  <c r="F1252" i="4"/>
  <c r="G1252" i="4"/>
  <c r="I1252" i="4"/>
  <c r="K1252" i="4"/>
  <c r="L1252" i="4"/>
  <c r="N1252" i="4"/>
  <c r="O1252" i="4"/>
  <c r="R1252" i="4"/>
  <c r="S1252" i="4"/>
  <c r="T1252" i="4"/>
  <c r="Y1252" i="4"/>
  <c r="E1253" i="4"/>
  <c r="F1253" i="4"/>
  <c r="G1253" i="4"/>
  <c r="I1253" i="4"/>
  <c r="K1253" i="4"/>
  <c r="L1253" i="4"/>
  <c r="N1253" i="4"/>
  <c r="O1253" i="4"/>
  <c r="R1253" i="4"/>
  <c r="S1253" i="4"/>
  <c r="T1253" i="4"/>
  <c r="Y1253" i="4"/>
  <c r="E1254" i="4"/>
  <c r="F1254" i="4"/>
  <c r="G1254" i="4"/>
  <c r="I1254" i="4"/>
  <c r="K1254" i="4"/>
  <c r="L1254" i="4"/>
  <c r="N1254" i="4"/>
  <c r="O1254" i="4"/>
  <c r="R1254" i="4"/>
  <c r="S1254" i="4"/>
  <c r="T1254" i="4"/>
  <c r="Y1254" i="4"/>
  <c r="E1255" i="4"/>
  <c r="F1255" i="4"/>
  <c r="G1255" i="4"/>
  <c r="I1255" i="4"/>
  <c r="K1255" i="4"/>
  <c r="L1255" i="4"/>
  <c r="N1255" i="4"/>
  <c r="O1255" i="4"/>
  <c r="R1255" i="4"/>
  <c r="S1255" i="4"/>
  <c r="T1255" i="4"/>
  <c r="Y1255" i="4"/>
  <c r="F1256" i="4"/>
  <c r="G1256" i="4"/>
  <c r="I1256" i="4"/>
  <c r="K1256" i="4"/>
  <c r="L1256" i="4"/>
  <c r="N1256" i="4"/>
  <c r="O1256" i="4"/>
  <c r="R1256" i="4"/>
  <c r="S1256" i="4"/>
  <c r="T1256" i="4"/>
  <c r="Y1256" i="4"/>
  <c r="E1257" i="4"/>
  <c r="G1257" i="4"/>
  <c r="I1257" i="4"/>
  <c r="K1257" i="4"/>
  <c r="L1257" i="4"/>
  <c r="N1257" i="4"/>
  <c r="O1257" i="4"/>
  <c r="R1257" i="4"/>
  <c r="S1257" i="4"/>
  <c r="T1257" i="4"/>
  <c r="Y1257" i="4"/>
  <c r="E1258" i="4"/>
  <c r="F1258" i="4"/>
  <c r="G1258" i="4"/>
  <c r="I1258" i="4"/>
  <c r="K1258" i="4"/>
  <c r="L1258" i="4"/>
  <c r="N1258" i="4"/>
  <c r="O1258" i="4"/>
  <c r="R1258" i="4"/>
  <c r="S1258" i="4"/>
  <c r="T1258" i="4"/>
  <c r="Y1258" i="4"/>
  <c r="E1259" i="4"/>
  <c r="F1259" i="4"/>
  <c r="G1259" i="4"/>
  <c r="I1259" i="4"/>
  <c r="K1259" i="4"/>
  <c r="L1259" i="4"/>
  <c r="N1259" i="4"/>
  <c r="O1259" i="4"/>
  <c r="R1259" i="4"/>
  <c r="S1259" i="4"/>
  <c r="T1259" i="4"/>
  <c r="Y1259" i="4"/>
  <c r="G1260" i="4"/>
  <c r="I1260" i="4"/>
  <c r="K1260" i="4"/>
  <c r="L1260" i="4"/>
  <c r="N1260" i="4"/>
  <c r="O1260" i="4"/>
  <c r="R1260" i="4"/>
  <c r="S1260" i="4"/>
  <c r="T1260" i="4"/>
  <c r="Y1260" i="4"/>
  <c r="E1261" i="4"/>
  <c r="F1261" i="4"/>
  <c r="G1261" i="4"/>
  <c r="I1261" i="4"/>
  <c r="K1261" i="4"/>
  <c r="L1261" i="4"/>
  <c r="N1261" i="4"/>
  <c r="O1261" i="4"/>
  <c r="R1261" i="4"/>
  <c r="S1261" i="4"/>
  <c r="T1261" i="4"/>
  <c r="Y1261" i="4"/>
  <c r="E1262" i="4"/>
  <c r="F1262" i="4"/>
  <c r="G1262" i="4"/>
  <c r="I1262" i="4"/>
  <c r="K1262" i="4"/>
  <c r="L1262" i="4"/>
  <c r="N1262" i="4"/>
  <c r="O1262" i="4"/>
  <c r="R1262" i="4"/>
  <c r="S1262" i="4"/>
  <c r="T1262" i="4"/>
  <c r="Y1262" i="4"/>
  <c r="G1263" i="4"/>
  <c r="I1263" i="4"/>
  <c r="K1263" i="4"/>
  <c r="L1263" i="4"/>
  <c r="N1263" i="4"/>
  <c r="O1263" i="4"/>
  <c r="R1263" i="4"/>
  <c r="S1263" i="4"/>
  <c r="T1263" i="4"/>
  <c r="Y1263" i="4"/>
  <c r="E1264" i="4"/>
  <c r="F1264" i="4"/>
  <c r="G1264" i="4"/>
  <c r="I1264" i="4"/>
  <c r="K1264" i="4"/>
  <c r="L1264" i="4"/>
  <c r="N1264" i="4"/>
  <c r="O1264" i="4"/>
  <c r="R1264" i="4"/>
  <c r="S1264" i="4"/>
  <c r="T1264" i="4"/>
  <c r="Y1264" i="4"/>
  <c r="E1265" i="4"/>
  <c r="F1265" i="4"/>
  <c r="G1265" i="4"/>
  <c r="I1265" i="4"/>
  <c r="K1265" i="4"/>
  <c r="L1265" i="4"/>
  <c r="N1265" i="4"/>
  <c r="O1265" i="4"/>
  <c r="R1265" i="4"/>
  <c r="S1265" i="4"/>
  <c r="T1265" i="4"/>
  <c r="Y1265" i="4"/>
  <c r="G1266" i="4"/>
  <c r="I1266" i="4"/>
  <c r="K1266" i="4"/>
  <c r="L1266" i="4"/>
  <c r="N1266" i="4"/>
  <c r="O1266" i="4"/>
  <c r="R1266" i="4"/>
  <c r="S1266" i="4"/>
  <c r="T1266" i="4"/>
  <c r="Y1266" i="4"/>
  <c r="G1267" i="4"/>
  <c r="I1267" i="4"/>
  <c r="K1267" i="4"/>
  <c r="L1267" i="4"/>
  <c r="N1267" i="4"/>
  <c r="O1267" i="4"/>
  <c r="R1267" i="4"/>
  <c r="S1267" i="4"/>
  <c r="T1267" i="4"/>
  <c r="Y1267" i="4"/>
  <c r="E1268" i="4"/>
  <c r="F1268" i="4"/>
  <c r="G1268" i="4"/>
  <c r="I1268" i="4"/>
  <c r="K1268" i="4"/>
  <c r="L1268" i="4"/>
  <c r="N1268" i="4"/>
  <c r="O1268" i="4"/>
  <c r="R1268" i="4"/>
  <c r="S1268" i="4"/>
  <c r="T1268" i="4"/>
  <c r="Y1268" i="4"/>
  <c r="E1269" i="4"/>
  <c r="F1269" i="4"/>
  <c r="G1269" i="4"/>
  <c r="I1269" i="4"/>
  <c r="K1269" i="4"/>
  <c r="L1269" i="4"/>
  <c r="N1269" i="4"/>
  <c r="O1269" i="4"/>
  <c r="R1269" i="4"/>
  <c r="S1269" i="4"/>
  <c r="T1269" i="4"/>
  <c r="Y1269" i="4"/>
  <c r="E1270" i="4"/>
  <c r="F1270" i="4"/>
  <c r="G1270" i="4"/>
  <c r="I1270" i="4"/>
  <c r="J1270" i="4"/>
  <c r="K1270" i="4"/>
  <c r="L1270" i="4"/>
  <c r="N1270" i="4"/>
  <c r="O1270" i="4"/>
  <c r="Q1270" i="4"/>
  <c r="R1270" i="4"/>
  <c r="S1270" i="4"/>
  <c r="T1270" i="4"/>
  <c r="Y1270" i="4"/>
  <c r="E1271" i="4"/>
  <c r="F1271" i="4"/>
  <c r="G1271" i="4"/>
  <c r="I1271" i="4"/>
  <c r="K1271" i="4"/>
  <c r="L1271" i="4"/>
  <c r="N1271" i="4"/>
  <c r="O1271" i="4"/>
  <c r="R1271" i="4"/>
  <c r="S1271" i="4"/>
  <c r="T1271" i="4"/>
  <c r="Y1271" i="4"/>
  <c r="E1272" i="4"/>
  <c r="F1272" i="4"/>
  <c r="G1272" i="4"/>
  <c r="I1272" i="4"/>
  <c r="K1272" i="4"/>
  <c r="L1272" i="4"/>
  <c r="N1272" i="4"/>
  <c r="O1272" i="4"/>
  <c r="R1272" i="4"/>
  <c r="S1272" i="4"/>
  <c r="T1272" i="4"/>
  <c r="Y1272" i="4"/>
  <c r="E1273" i="4"/>
  <c r="F1273" i="4"/>
  <c r="G1273" i="4"/>
  <c r="I1273" i="4"/>
  <c r="K1273" i="4"/>
  <c r="L1273" i="4"/>
  <c r="N1273" i="4"/>
  <c r="O1273" i="4"/>
  <c r="R1273" i="4"/>
  <c r="S1273" i="4"/>
  <c r="T1273" i="4"/>
  <c r="Y1273" i="4"/>
  <c r="E1274" i="4"/>
  <c r="F1274" i="4"/>
  <c r="G1274" i="4"/>
  <c r="I1274" i="4"/>
  <c r="J1274" i="4"/>
  <c r="K1274" i="4"/>
  <c r="L1274" i="4"/>
  <c r="N1274" i="4"/>
  <c r="O1274" i="4"/>
  <c r="P1274" i="4"/>
  <c r="Q1274" i="4"/>
  <c r="R1274" i="4"/>
  <c r="S1274" i="4"/>
  <c r="T1274" i="4"/>
  <c r="U1274" i="4"/>
  <c r="V1274" i="4"/>
  <c r="W1274" i="4"/>
  <c r="Y1274" i="4"/>
  <c r="E1275" i="4"/>
  <c r="F1275" i="4"/>
  <c r="G1275" i="4"/>
  <c r="I1275" i="4"/>
  <c r="J1275" i="4"/>
  <c r="K1275" i="4"/>
  <c r="L1275" i="4"/>
  <c r="N1275" i="4"/>
  <c r="O1275" i="4"/>
  <c r="Q1275" i="4"/>
  <c r="R1275" i="4"/>
  <c r="S1275" i="4"/>
  <c r="T1275" i="4"/>
  <c r="V1275" i="4"/>
  <c r="W1275" i="4"/>
  <c r="Y1275" i="4"/>
  <c r="F1276" i="4"/>
  <c r="I1276" i="4"/>
  <c r="J1276" i="4"/>
  <c r="K1276" i="4"/>
  <c r="L1276" i="4"/>
  <c r="N1276" i="4"/>
  <c r="O1276" i="4"/>
  <c r="Q1276" i="4"/>
  <c r="R1276" i="4"/>
  <c r="S1276" i="4"/>
  <c r="T1276" i="4"/>
  <c r="V1276" i="4"/>
  <c r="W1276" i="4"/>
  <c r="Y1276" i="4"/>
  <c r="E1277" i="4"/>
  <c r="F1277" i="4"/>
  <c r="G1277" i="4"/>
  <c r="I1277" i="4"/>
  <c r="J1277" i="4"/>
  <c r="K1277" i="4"/>
  <c r="L1277" i="4"/>
  <c r="N1277" i="4"/>
  <c r="O1277" i="4"/>
  <c r="Q1277" i="4"/>
  <c r="R1277" i="4"/>
  <c r="S1277" i="4"/>
  <c r="T1277" i="4"/>
  <c r="V1277" i="4"/>
  <c r="W1277" i="4"/>
  <c r="Y1277" i="4"/>
  <c r="G1278" i="4"/>
  <c r="I1278" i="4"/>
  <c r="J1278" i="4"/>
  <c r="K1278" i="4"/>
  <c r="L1278" i="4"/>
  <c r="N1278" i="4"/>
  <c r="O1278" i="4"/>
  <c r="P1278" i="4"/>
  <c r="Q1278" i="4"/>
  <c r="R1278" i="4"/>
  <c r="S1278" i="4"/>
  <c r="T1278" i="4"/>
  <c r="V1278" i="4"/>
  <c r="W1278" i="4"/>
  <c r="Y1278" i="4"/>
  <c r="G1279" i="4"/>
  <c r="I1279" i="4"/>
  <c r="K1279" i="4"/>
  <c r="L1279" i="4"/>
  <c r="N1279" i="4"/>
  <c r="O1279" i="4"/>
  <c r="R1279" i="4"/>
  <c r="S1279" i="4"/>
  <c r="T1279" i="4"/>
  <c r="Y1279" i="4"/>
  <c r="X1280" i="4"/>
  <c r="Z1280" i="4" s="1"/>
  <c r="P1281" i="4"/>
  <c r="X1282" i="4"/>
  <c r="Z1282" i="4" s="1"/>
  <c r="X1283" i="4"/>
  <c r="Z1283" i="4" s="1"/>
  <c r="F1284" i="4"/>
  <c r="G1284" i="4"/>
  <c r="I1284" i="4"/>
  <c r="L1284" i="4"/>
  <c r="N1284" i="4"/>
  <c r="O1284" i="4"/>
  <c r="R1284" i="4"/>
  <c r="S1284" i="4"/>
  <c r="T1284" i="4"/>
  <c r="Y1284" i="4"/>
  <c r="E1285" i="4"/>
  <c r="F1285" i="4"/>
  <c r="G1285" i="4"/>
  <c r="I1285" i="4"/>
  <c r="K1285" i="4"/>
  <c r="L1285" i="4"/>
  <c r="N1285" i="4"/>
  <c r="O1285" i="4"/>
  <c r="R1285" i="4"/>
  <c r="S1285" i="4"/>
  <c r="T1285" i="4"/>
  <c r="Y1285" i="4"/>
  <c r="F1286" i="4"/>
  <c r="G1286" i="4"/>
  <c r="I1286" i="4"/>
  <c r="K1286" i="4"/>
  <c r="L1286" i="4"/>
  <c r="N1286" i="4"/>
  <c r="O1286" i="4"/>
  <c r="R1286" i="4"/>
  <c r="S1286" i="4"/>
  <c r="T1286" i="4"/>
  <c r="Y1286" i="4"/>
  <c r="G1287" i="4"/>
  <c r="I1287" i="4"/>
  <c r="K1287" i="4"/>
  <c r="L1287" i="4"/>
  <c r="N1287" i="4"/>
  <c r="O1287" i="4"/>
  <c r="R1287" i="4"/>
  <c r="S1287" i="4"/>
  <c r="T1287" i="4"/>
  <c r="Y1287" i="4"/>
  <c r="E1288" i="4"/>
  <c r="F1288" i="4"/>
  <c r="G1288" i="4"/>
  <c r="I1288" i="4"/>
  <c r="K1288" i="4"/>
  <c r="L1288" i="4"/>
  <c r="N1288" i="4"/>
  <c r="O1288" i="4"/>
  <c r="R1288" i="4"/>
  <c r="S1288" i="4"/>
  <c r="T1288" i="4"/>
  <c r="Y1288" i="4"/>
  <c r="E1289" i="4"/>
  <c r="F1289" i="4"/>
  <c r="G1289" i="4"/>
  <c r="I1289" i="4"/>
  <c r="K1289" i="4"/>
  <c r="L1289" i="4"/>
  <c r="N1289" i="4"/>
  <c r="O1289" i="4"/>
  <c r="R1289" i="4"/>
  <c r="S1289" i="4"/>
  <c r="T1289" i="4"/>
  <c r="Y1289" i="4"/>
  <c r="E1290" i="4"/>
  <c r="F1290" i="4"/>
  <c r="G1290" i="4"/>
  <c r="I1290" i="4"/>
  <c r="K1290" i="4"/>
  <c r="L1290" i="4"/>
  <c r="N1290" i="4"/>
  <c r="O1290" i="4"/>
  <c r="R1290" i="4"/>
  <c r="S1290" i="4"/>
  <c r="T1290" i="4"/>
  <c r="Y1290" i="4"/>
  <c r="E1291" i="4"/>
  <c r="F1291" i="4"/>
  <c r="G1291" i="4"/>
  <c r="I1291" i="4"/>
  <c r="K1291" i="4"/>
  <c r="L1291" i="4"/>
  <c r="N1291" i="4"/>
  <c r="O1291" i="4"/>
  <c r="R1291" i="4"/>
  <c r="S1291" i="4"/>
  <c r="T1291" i="4"/>
  <c r="Y1291" i="4"/>
  <c r="F1292" i="4"/>
  <c r="G1292" i="4"/>
  <c r="I1292" i="4"/>
  <c r="K1292" i="4"/>
  <c r="L1292" i="4"/>
  <c r="N1292" i="4"/>
  <c r="O1292" i="4"/>
  <c r="R1292" i="4"/>
  <c r="S1292" i="4"/>
  <c r="T1292" i="4"/>
  <c r="Y1292" i="4"/>
  <c r="G1293" i="4"/>
  <c r="I1293" i="4"/>
  <c r="K1293" i="4"/>
  <c r="L1293" i="4"/>
  <c r="N1293" i="4"/>
  <c r="O1293" i="4"/>
  <c r="R1293" i="4"/>
  <c r="S1293" i="4"/>
  <c r="T1293" i="4"/>
  <c r="Y1293" i="4"/>
  <c r="E1294" i="4"/>
  <c r="F1294" i="4"/>
  <c r="G1294" i="4"/>
  <c r="I1294" i="4"/>
  <c r="K1294" i="4"/>
  <c r="L1294" i="4"/>
  <c r="N1294" i="4"/>
  <c r="O1294" i="4"/>
  <c r="R1294" i="4"/>
  <c r="S1294" i="4"/>
  <c r="T1294" i="4"/>
  <c r="Y1294" i="4"/>
  <c r="E1295" i="4"/>
  <c r="F1295" i="4"/>
  <c r="G1295" i="4"/>
  <c r="I1295" i="4"/>
  <c r="K1295" i="4"/>
  <c r="L1295" i="4"/>
  <c r="N1295" i="4"/>
  <c r="O1295" i="4"/>
  <c r="R1295" i="4"/>
  <c r="S1295" i="4"/>
  <c r="T1295" i="4"/>
  <c r="Y1295" i="4"/>
  <c r="G1296" i="4"/>
  <c r="I1296" i="4"/>
  <c r="K1296" i="4"/>
  <c r="L1296" i="4"/>
  <c r="N1296" i="4"/>
  <c r="O1296" i="4"/>
  <c r="R1296" i="4"/>
  <c r="S1296" i="4"/>
  <c r="T1296" i="4"/>
  <c r="Y1296" i="4"/>
  <c r="E1297" i="4"/>
  <c r="F1297" i="4"/>
  <c r="G1297" i="4"/>
  <c r="I1297" i="4"/>
  <c r="K1297" i="4"/>
  <c r="L1297" i="4"/>
  <c r="N1297" i="4"/>
  <c r="O1297" i="4"/>
  <c r="R1297" i="4"/>
  <c r="S1297" i="4"/>
  <c r="T1297" i="4"/>
  <c r="Y1297" i="4"/>
  <c r="F1298" i="4"/>
  <c r="G1298" i="4"/>
  <c r="K1298" i="4"/>
  <c r="L1298" i="4"/>
  <c r="N1298" i="4"/>
  <c r="O1298" i="4"/>
  <c r="R1298" i="4"/>
  <c r="S1298" i="4"/>
  <c r="T1298" i="4"/>
  <c r="Y1298" i="4"/>
  <c r="E1299" i="4"/>
  <c r="F1299" i="4"/>
  <c r="G1299" i="4"/>
  <c r="I1299" i="4"/>
  <c r="K1299" i="4"/>
  <c r="L1299" i="4"/>
  <c r="N1299" i="4"/>
  <c r="O1299" i="4"/>
  <c r="R1299" i="4"/>
  <c r="S1299" i="4"/>
  <c r="T1299" i="4"/>
  <c r="Y1299" i="4"/>
  <c r="E1300" i="4"/>
  <c r="F1300" i="4"/>
  <c r="G1300" i="4"/>
  <c r="I1300" i="4"/>
  <c r="K1300" i="4"/>
  <c r="L1300" i="4"/>
  <c r="N1300" i="4"/>
  <c r="O1300" i="4"/>
  <c r="R1300" i="4"/>
  <c r="S1300" i="4"/>
  <c r="T1300" i="4"/>
  <c r="Y1300" i="4"/>
  <c r="G1301" i="4"/>
  <c r="I1301" i="4"/>
  <c r="K1301" i="4"/>
  <c r="L1301" i="4"/>
  <c r="N1301" i="4"/>
  <c r="O1301" i="4"/>
  <c r="R1301" i="4"/>
  <c r="S1301" i="4"/>
  <c r="T1301" i="4"/>
  <c r="Y1301" i="4"/>
  <c r="G1302" i="4"/>
  <c r="I1302" i="4"/>
  <c r="J1302" i="4"/>
  <c r="K1302" i="4"/>
  <c r="L1302" i="4"/>
  <c r="N1302" i="4"/>
  <c r="O1302" i="4"/>
  <c r="Q1302" i="4"/>
  <c r="R1302" i="4"/>
  <c r="S1302" i="4"/>
  <c r="T1302" i="4"/>
  <c r="Y1302" i="4"/>
  <c r="E1303" i="4"/>
  <c r="F1303" i="4"/>
  <c r="G1303" i="4"/>
  <c r="I1303" i="4"/>
  <c r="K1303" i="4"/>
  <c r="L1303" i="4"/>
  <c r="N1303" i="4"/>
  <c r="O1303" i="4"/>
  <c r="R1303" i="4"/>
  <c r="S1303" i="4"/>
  <c r="T1303" i="4"/>
  <c r="Y1303" i="4"/>
  <c r="E1304" i="4"/>
  <c r="G1304" i="4"/>
  <c r="I1304" i="4"/>
  <c r="K1304" i="4"/>
  <c r="L1304" i="4"/>
  <c r="N1304" i="4"/>
  <c r="O1304" i="4"/>
  <c r="R1304" i="4"/>
  <c r="S1304" i="4"/>
  <c r="T1304" i="4"/>
  <c r="Y1304" i="4"/>
  <c r="F1305" i="4"/>
  <c r="G1305" i="4"/>
  <c r="I1305" i="4"/>
  <c r="K1305" i="4"/>
  <c r="L1305" i="4"/>
  <c r="N1305" i="4"/>
  <c r="O1305" i="4"/>
  <c r="R1305" i="4"/>
  <c r="S1305" i="4"/>
  <c r="T1305" i="4"/>
  <c r="Y1305" i="4"/>
  <c r="E1306" i="4"/>
  <c r="F1306" i="4"/>
  <c r="G1306" i="4"/>
  <c r="I1306" i="4"/>
  <c r="K1306" i="4"/>
  <c r="L1306" i="4"/>
  <c r="N1306" i="4"/>
  <c r="O1306" i="4"/>
  <c r="R1306" i="4"/>
  <c r="S1306" i="4"/>
  <c r="T1306" i="4"/>
  <c r="Y1306" i="4"/>
  <c r="G1307" i="4"/>
  <c r="I1307" i="4"/>
  <c r="K1307" i="4"/>
  <c r="L1307" i="4"/>
  <c r="N1307" i="4"/>
  <c r="O1307" i="4"/>
  <c r="R1307" i="4"/>
  <c r="S1307" i="4"/>
  <c r="T1307" i="4"/>
  <c r="Y1307" i="4"/>
  <c r="X1308" i="4"/>
  <c r="Z1308" i="4" s="1"/>
  <c r="P1309" i="4"/>
  <c r="X1310" i="4"/>
  <c r="Z1310" i="4" s="1"/>
  <c r="X1311" i="4"/>
  <c r="Z1311" i="4" s="1"/>
  <c r="F1312" i="4"/>
  <c r="G1312" i="4"/>
  <c r="I1312" i="4"/>
  <c r="L1312" i="4"/>
  <c r="N1312" i="4"/>
  <c r="O1312" i="4"/>
  <c r="R1312" i="4"/>
  <c r="S1312" i="4"/>
  <c r="T1312" i="4"/>
  <c r="Y1312" i="4"/>
  <c r="E1313" i="4"/>
  <c r="F1313" i="4"/>
  <c r="G1313" i="4"/>
  <c r="I1313" i="4"/>
  <c r="K1313" i="4"/>
  <c r="L1313" i="4"/>
  <c r="N1313" i="4"/>
  <c r="O1313" i="4"/>
  <c r="R1313" i="4"/>
  <c r="S1313" i="4"/>
  <c r="T1313" i="4"/>
  <c r="Y1313" i="4"/>
  <c r="F1314" i="4"/>
  <c r="G1314" i="4"/>
  <c r="I1314" i="4"/>
  <c r="K1314" i="4"/>
  <c r="L1314" i="4"/>
  <c r="N1314" i="4"/>
  <c r="O1314" i="4"/>
  <c r="R1314" i="4"/>
  <c r="S1314" i="4"/>
  <c r="T1314" i="4"/>
  <c r="Y1314" i="4"/>
  <c r="F1315" i="4"/>
  <c r="G1315" i="4"/>
  <c r="I1315" i="4"/>
  <c r="K1315" i="4"/>
  <c r="L1315" i="4"/>
  <c r="N1315" i="4"/>
  <c r="O1315" i="4"/>
  <c r="R1315" i="4"/>
  <c r="S1315" i="4"/>
  <c r="T1315" i="4"/>
  <c r="Y1315" i="4"/>
  <c r="E1316" i="4"/>
  <c r="F1316" i="4"/>
  <c r="G1316" i="4"/>
  <c r="I1316" i="4"/>
  <c r="K1316" i="4"/>
  <c r="L1316" i="4"/>
  <c r="N1316" i="4"/>
  <c r="O1316" i="4"/>
  <c r="R1316" i="4"/>
  <c r="S1316" i="4"/>
  <c r="T1316" i="4"/>
  <c r="Y1316" i="4"/>
  <c r="E1317" i="4"/>
  <c r="F1317" i="4"/>
  <c r="G1317" i="4"/>
  <c r="I1317" i="4"/>
  <c r="K1317" i="4"/>
  <c r="L1317" i="4"/>
  <c r="N1317" i="4"/>
  <c r="O1317" i="4"/>
  <c r="R1317" i="4"/>
  <c r="S1317" i="4"/>
  <c r="T1317" i="4"/>
  <c r="Y1317" i="4"/>
  <c r="E1318" i="4"/>
  <c r="F1318" i="4"/>
  <c r="G1318" i="4"/>
  <c r="I1318" i="4"/>
  <c r="K1318" i="4"/>
  <c r="L1318" i="4"/>
  <c r="N1318" i="4"/>
  <c r="O1318" i="4"/>
  <c r="R1318" i="4"/>
  <c r="S1318" i="4"/>
  <c r="T1318" i="4"/>
  <c r="Y1318" i="4"/>
  <c r="G1319" i="4"/>
  <c r="I1319" i="4"/>
  <c r="K1319" i="4"/>
  <c r="L1319" i="4"/>
  <c r="N1319" i="4"/>
  <c r="O1319" i="4"/>
  <c r="R1319" i="4"/>
  <c r="S1319" i="4"/>
  <c r="T1319" i="4"/>
  <c r="Y1319" i="4"/>
  <c r="G1320" i="4"/>
  <c r="I1320" i="4"/>
  <c r="K1320" i="4"/>
  <c r="L1320" i="4"/>
  <c r="N1320" i="4"/>
  <c r="O1320" i="4"/>
  <c r="R1320" i="4"/>
  <c r="S1320" i="4"/>
  <c r="T1320" i="4"/>
  <c r="Y1320" i="4"/>
  <c r="E1321" i="4"/>
  <c r="F1321" i="4"/>
  <c r="G1321" i="4"/>
  <c r="I1321" i="4"/>
  <c r="K1321" i="4"/>
  <c r="L1321" i="4"/>
  <c r="N1321" i="4"/>
  <c r="O1321" i="4"/>
  <c r="R1321" i="4"/>
  <c r="S1321" i="4"/>
  <c r="T1321" i="4"/>
  <c r="Y1321" i="4"/>
  <c r="F1322" i="4"/>
  <c r="G1322" i="4"/>
  <c r="I1322" i="4"/>
  <c r="K1322" i="4"/>
  <c r="L1322" i="4"/>
  <c r="N1322" i="4"/>
  <c r="O1322" i="4"/>
  <c r="R1322" i="4"/>
  <c r="S1322" i="4"/>
  <c r="T1322" i="4"/>
  <c r="Y1322" i="4"/>
  <c r="E1323" i="4"/>
  <c r="F1323" i="4"/>
  <c r="G1323" i="4"/>
  <c r="I1323" i="4"/>
  <c r="K1323" i="4"/>
  <c r="L1323" i="4"/>
  <c r="N1323" i="4"/>
  <c r="O1323" i="4"/>
  <c r="R1323" i="4"/>
  <c r="S1323" i="4"/>
  <c r="T1323" i="4"/>
  <c r="Y1323" i="4"/>
  <c r="F1324" i="4"/>
  <c r="G1324" i="4"/>
  <c r="I1324" i="4"/>
  <c r="K1324" i="4"/>
  <c r="L1324" i="4"/>
  <c r="N1324" i="4"/>
  <c r="O1324" i="4"/>
  <c r="R1324" i="4"/>
  <c r="S1324" i="4"/>
  <c r="T1324" i="4"/>
  <c r="Y1324" i="4"/>
  <c r="F1325" i="4"/>
  <c r="G1325" i="4"/>
  <c r="I1325" i="4"/>
  <c r="K1325" i="4"/>
  <c r="L1325" i="4"/>
  <c r="N1325" i="4"/>
  <c r="O1325" i="4"/>
  <c r="R1325" i="4"/>
  <c r="S1325" i="4"/>
  <c r="T1325" i="4"/>
  <c r="Y1325" i="4"/>
  <c r="E1326" i="4"/>
  <c r="F1326" i="4"/>
  <c r="G1326" i="4"/>
  <c r="I1326" i="4"/>
  <c r="K1326" i="4"/>
  <c r="L1326" i="4"/>
  <c r="N1326" i="4"/>
  <c r="O1326" i="4"/>
  <c r="R1326" i="4"/>
  <c r="S1326" i="4"/>
  <c r="T1326" i="4"/>
  <c r="Y1326" i="4"/>
  <c r="F1327" i="4"/>
  <c r="G1327" i="4"/>
  <c r="I1327" i="4"/>
  <c r="K1327" i="4"/>
  <c r="L1327" i="4"/>
  <c r="N1327" i="4"/>
  <c r="O1327" i="4"/>
  <c r="R1327" i="4"/>
  <c r="S1327" i="4"/>
  <c r="T1327" i="4"/>
  <c r="Y1327" i="4"/>
  <c r="E1328" i="4"/>
  <c r="F1328" i="4"/>
  <c r="G1328" i="4"/>
  <c r="I1328" i="4"/>
  <c r="K1328" i="4"/>
  <c r="L1328" i="4"/>
  <c r="N1328" i="4"/>
  <c r="O1328" i="4"/>
  <c r="R1328" i="4"/>
  <c r="S1328" i="4"/>
  <c r="T1328" i="4"/>
  <c r="Y1328" i="4"/>
  <c r="F1329" i="4"/>
  <c r="G1329" i="4"/>
  <c r="I1329" i="4"/>
  <c r="K1329" i="4"/>
  <c r="L1329" i="4"/>
  <c r="N1329" i="4"/>
  <c r="O1329" i="4"/>
  <c r="R1329" i="4"/>
  <c r="S1329" i="4"/>
  <c r="T1329" i="4"/>
  <c r="Y1329" i="4"/>
  <c r="E1330" i="4"/>
  <c r="F1330" i="4"/>
  <c r="G1330" i="4"/>
  <c r="I1330" i="4"/>
  <c r="J1330" i="4"/>
  <c r="K1330" i="4"/>
  <c r="L1330" i="4"/>
  <c r="N1330" i="4"/>
  <c r="O1330" i="4"/>
  <c r="Q1330" i="4"/>
  <c r="R1330" i="4"/>
  <c r="S1330" i="4"/>
  <c r="T1330" i="4"/>
  <c r="V1330" i="4"/>
  <c r="W1330" i="4"/>
  <c r="Y1330" i="4"/>
  <c r="E1331" i="4"/>
  <c r="F1331" i="4"/>
  <c r="G1331" i="4"/>
  <c r="I1331" i="4"/>
  <c r="J1331" i="4"/>
  <c r="K1331" i="4"/>
  <c r="L1331" i="4"/>
  <c r="N1331" i="4"/>
  <c r="O1331" i="4"/>
  <c r="Q1331" i="4"/>
  <c r="R1331" i="4"/>
  <c r="S1331" i="4"/>
  <c r="T1331" i="4"/>
  <c r="V1331" i="4"/>
  <c r="W1331" i="4"/>
  <c r="Y1331" i="4"/>
  <c r="E1332" i="4"/>
  <c r="F1332" i="4"/>
  <c r="G1332" i="4"/>
  <c r="I1332" i="4"/>
  <c r="J1332" i="4"/>
  <c r="K1332" i="4"/>
  <c r="L1332" i="4"/>
  <c r="N1332" i="4"/>
  <c r="O1332" i="4"/>
  <c r="Q1332" i="4"/>
  <c r="R1332" i="4"/>
  <c r="S1332" i="4"/>
  <c r="T1332" i="4"/>
  <c r="V1332" i="4"/>
  <c r="W1332" i="4"/>
  <c r="Y1332" i="4"/>
  <c r="E1333" i="4"/>
  <c r="F1333" i="4"/>
  <c r="G1333" i="4"/>
  <c r="I1333" i="4"/>
  <c r="K1333" i="4"/>
  <c r="L1333" i="4"/>
  <c r="N1333" i="4"/>
  <c r="O1333" i="4"/>
  <c r="R1333" i="4"/>
  <c r="S1333" i="4"/>
  <c r="T1333" i="4"/>
  <c r="Y1333" i="4"/>
  <c r="E1334" i="4"/>
  <c r="F1334" i="4"/>
  <c r="G1334" i="4"/>
  <c r="I1334" i="4"/>
  <c r="K1334" i="4"/>
  <c r="L1334" i="4"/>
  <c r="N1334" i="4"/>
  <c r="O1334" i="4"/>
  <c r="R1334" i="4"/>
  <c r="S1334" i="4"/>
  <c r="T1334" i="4"/>
  <c r="Y1334" i="4"/>
  <c r="E1335" i="4"/>
  <c r="F1335" i="4"/>
  <c r="G1335" i="4"/>
  <c r="I1335" i="4"/>
  <c r="K1335" i="4"/>
  <c r="L1335" i="4"/>
  <c r="N1335" i="4"/>
  <c r="O1335" i="4"/>
  <c r="R1335" i="4"/>
  <c r="S1335" i="4"/>
  <c r="T1335" i="4"/>
  <c r="Y1335" i="4"/>
  <c r="E1336" i="4"/>
  <c r="F1336" i="4"/>
  <c r="G1336" i="4"/>
  <c r="I1336" i="4"/>
  <c r="K1336" i="4"/>
  <c r="L1336" i="4"/>
  <c r="N1336" i="4"/>
  <c r="O1336" i="4"/>
  <c r="R1336" i="4"/>
  <c r="S1336" i="4"/>
  <c r="T1336" i="4"/>
  <c r="Y1336" i="4"/>
  <c r="F1337" i="4"/>
  <c r="G1337" i="4"/>
  <c r="I1337" i="4"/>
  <c r="K1337" i="4"/>
  <c r="L1337" i="4"/>
  <c r="N1337" i="4"/>
  <c r="O1337" i="4"/>
  <c r="R1337" i="4"/>
  <c r="S1337" i="4"/>
  <c r="T1337" i="4"/>
  <c r="Y1337" i="4"/>
  <c r="X1338" i="4"/>
  <c r="Z1338" i="4" s="1"/>
  <c r="P1339" i="4"/>
  <c r="X1340" i="4"/>
  <c r="Z1340" i="4" s="1"/>
  <c r="X1341" i="4"/>
  <c r="Z1341" i="4" s="1"/>
  <c r="F1342" i="4"/>
  <c r="G1342" i="4"/>
  <c r="I1342" i="4"/>
  <c r="K1342" i="4"/>
  <c r="L1342" i="4"/>
  <c r="N1342" i="4"/>
  <c r="O1342" i="4"/>
  <c r="R1342" i="4"/>
  <c r="S1342" i="4"/>
  <c r="T1342" i="4"/>
  <c r="Y1342" i="4"/>
  <c r="F1343" i="4"/>
  <c r="G1343" i="4"/>
  <c r="I1343" i="4"/>
  <c r="L1343" i="4"/>
  <c r="N1343" i="4"/>
  <c r="O1343" i="4"/>
  <c r="R1343" i="4"/>
  <c r="S1343" i="4"/>
  <c r="T1343" i="4"/>
  <c r="Y1343" i="4"/>
  <c r="F1344" i="4"/>
  <c r="G1344" i="4"/>
  <c r="I1344" i="4"/>
  <c r="L1344" i="4"/>
  <c r="N1344" i="4"/>
  <c r="O1344" i="4"/>
  <c r="R1344" i="4"/>
  <c r="S1344" i="4"/>
  <c r="T1344" i="4"/>
  <c r="Y1344" i="4"/>
  <c r="F1345" i="4"/>
  <c r="G1345" i="4"/>
  <c r="I1345" i="4"/>
  <c r="K1345" i="4"/>
  <c r="L1345" i="4"/>
  <c r="N1345" i="4"/>
  <c r="O1345" i="4"/>
  <c r="R1345" i="4"/>
  <c r="S1345" i="4"/>
  <c r="T1345" i="4"/>
  <c r="Y1345" i="4"/>
  <c r="E1346" i="4"/>
  <c r="F1346" i="4"/>
  <c r="G1346" i="4"/>
  <c r="I1346" i="4"/>
  <c r="K1346" i="4"/>
  <c r="L1346" i="4"/>
  <c r="N1346" i="4"/>
  <c r="O1346" i="4"/>
  <c r="R1346" i="4"/>
  <c r="S1346" i="4"/>
  <c r="T1346" i="4"/>
  <c r="Y1346" i="4"/>
  <c r="E1347" i="4"/>
  <c r="F1347" i="4"/>
  <c r="G1347" i="4"/>
  <c r="I1347" i="4"/>
  <c r="K1347" i="4"/>
  <c r="L1347" i="4"/>
  <c r="N1347" i="4"/>
  <c r="O1347" i="4"/>
  <c r="R1347" i="4"/>
  <c r="S1347" i="4"/>
  <c r="T1347" i="4"/>
  <c r="Y1347" i="4"/>
  <c r="F1348" i="4"/>
  <c r="G1348" i="4"/>
  <c r="I1348" i="4"/>
  <c r="K1348" i="4"/>
  <c r="L1348" i="4"/>
  <c r="N1348" i="4"/>
  <c r="O1348" i="4"/>
  <c r="R1348" i="4"/>
  <c r="S1348" i="4"/>
  <c r="T1348" i="4"/>
  <c r="Y1348" i="4"/>
  <c r="F1349" i="4"/>
  <c r="G1349" i="4"/>
  <c r="I1349" i="4"/>
  <c r="K1349" i="4"/>
  <c r="L1349" i="4"/>
  <c r="N1349" i="4"/>
  <c r="O1349" i="4"/>
  <c r="R1349" i="4"/>
  <c r="S1349" i="4"/>
  <c r="T1349" i="4"/>
  <c r="Y1349" i="4"/>
  <c r="E1350" i="4"/>
  <c r="F1350" i="4"/>
  <c r="G1350" i="4"/>
  <c r="I1350" i="4"/>
  <c r="K1350" i="4"/>
  <c r="L1350" i="4"/>
  <c r="N1350" i="4"/>
  <c r="O1350" i="4"/>
  <c r="R1350" i="4"/>
  <c r="S1350" i="4"/>
  <c r="T1350" i="4"/>
  <c r="Y1350" i="4"/>
  <c r="E1351" i="4"/>
  <c r="F1351" i="4"/>
  <c r="G1351" i="4"/>
  <c r="I1351" i="4"/>
  <c r="K1351" i="4"/>
  <c r="L1351" i="4"/>
  <c r="N1351" i="4"/>
  <c r="O1351" i="4"/>
  <c r="R1351" i="4"/>
  <c r="S1351" i="4"/>
  <c r="T1351" i="4"/>
  <c r="Y1351" i="4"/>
  <c r="E1352" i="4"/>
  <c r="F1352" i="4"/>
  <c r="G1352" i="4"/>
  <c r="I1352" i="4"/>
  <c r="K1352" i="4"/>
  <c r="L1352" i="4"/>
  <c r="N1352" i="4"/>
  <c r="O1352" i="4"/>
  <c r="R1352" i="4"/>
  <c r="S1352" i="4"/>
  <c r="T1352" i="4"/>
  <c r="Y1352" i="4"/>
  <c r="F1353" i="4"/>
  <c r="G1353" i="4"/>
  <c r="I1353" i="4"/>
  <c r="K1353" i="4"/>
  <c r="L1353" i="4"/>
  <c r="N1353" i="4"/>
  <c r="O1353" i="4"/>
  <c r="R1353" i="4"/>
  <c r="S1353" i="4"/>
  <c r="T1353" i="4"/>
  <c r="Y1353" i="4"/>
  <c r="E1354" i="4"/>
  <c r="F1354" i="4"/>
  <c r="G1354" i="4"/>
  <c r="I1354" i="4"/>
  <c r="K1354" i="4"/>
  <c r="L1354" i="4"/>
  <c r="N1354" i="4"/>
  <c r="O1354" i="4"/>
  <c r="R1354" i="4"/>
  <c r="S1354" i="4"/>
  <c r="T1354" i="4"/>
  <c r="Y1354" i="4"/>
  <c r="E1355" i="4"/>
  <c r="F1355" i="4"/>
  <c r="G1355" i="4"/>
  <c r="I1355" i="4"/>
  <c r="K1355" i="4"/>
  <c r="L1355" i="4"/>
  <c r="N1355" i="4"/>
  <c r="O1355" i="4"/>
  <c r="R1355" i="4"/>
  <c r="S1355" i="4"/>
  <c r="T1355" i="4"/>
  <c r="Y1355" i="4"/>
  <c r="F1356" i="4"/>
  <c r="G1356" i="4"/>
  <c r="I1356" i="4"/>
  <c r="K1356" i="4"/>
  <c r="L1356" i="4"/>
  <c r="N1356" i="4"/>
  <c r="O1356" i="4"/>
  <c r="R1356" i="4"/>
  <c r="S1356" i="4"/>
  <c r="T1356" i="4"/>
  <c r="Y1356" i="4"/>
  <c r="G1357" i="4"/>
  <c r="I1357" i="4"/>
  <c r="K1357" i="4"/>
  <c r="L1357" i="4"/>
  <c r="N1357" i="4"/>
  <c r="O1357" i="4"/>
  <c r="R1357" i="4"/>
  <c r="S1357" i="4"/>
  <c r="T1357" i="4"/>
  <c r="Y1357" i="4"/>
  <c r="E1358" i="4"/>
  <c r="F1358" i="4"/>
  <c r="G1358" i="4"/>
  <c r="I1358" i="4"/>
  <c r="K1358" i="4"/>
  <c r="L1358" i="4"/>
  <c r="N1358" i="4"/>
  <c r="O1358" i="4"/>
  <c r="R1358" i="4"/>
  <c r="S1358" i="4"/>
  <c r="T1358" i="4"/>
  <c r="Y1358" i="4"/>
  <c r="G1359" i="4"/>
  <c r="I1359" i="4"/>
  <c r="K1359" i="4"/>
  <c r="L1359" i="4"/>
  <c r="N1359" i="4"/>
  <c r="O1359" i="4"/>
  <c r="R1359" i="4"/>
  <c r="S1359" i="4"/>
  <c r="T1359" i="4"/>
  <c r="Y1359" i="4"/>
  <c r="G1360" i="4"/>
  <c r="I1360" i="4"/>
  <c r="K1360" i="4"/>
  <c r="L1360" i="4"/>
  <c r="N1360" i="4"/>
  <c r="O1360" i="4"/>
  <c r="R1360" i="4"/>
  <c r="S1360" i="4"/>
  <c r="T1360" i="4"/>
  <c r="Y1360" i="4"/>
  <c r="E1361" i="4"/>
  <c r="F1361" i="4"/>
  <c r="G1361" i="4"/>
  <c r="I1361" i="4"/>
  <c r="K1361" i="4"/>
  <c r="L1361" i="4"/>
  <c r="N1361" i="4"/>
  <c r="O1361" i="4"/>
  <c r="Q1361" i="4"/>
  <c r="R1361" i="4"/>
  <c r="S1361" i="4"/>
  <c r="T1361" i="4"/>
  <c r="W1361" i="4"/>
  <c r="Y1361" i="4"/>
  <c r="E1362" i="4"/>
  <c r="F1362" i="4"/>
  <c r="G1362" i="4"/>
  <c r="I1362" i="4"/>
  <c r="K1362" i="4"/>
  <c r="L1362" i="4"/>
  <c r="N1362" i="4"/>
  <c r="O1362" i="4"/>
  <c r="Q1362" i="4"/>
  <c r="R1362" i="4"/>
  <c r="S1362" i="4"/>
  <c r="T1362" i="4"/>
  <c r="W1362" i="4"/>
  <c r="Y1362" i="4"/>
  <c r="E1363" i="4"/>
  <c r="F1363" i="4"/>
  <c r="G1363" i="4"/>
  <c r="I1363" i="4"/>
  <c r="K1363" i="4"/>
  <c r="L1363" i="4"/>
  <c r="N1363" i="4"/>
  <c r="O1363" i="4"/>
  <c r="Q1363" i="4"/>
  <c r="R1363" i="4"/>
  <c r="S1363" i="4"/>
  <c r="T1363" i="4"/>
  <c r="W1363" i="4"/>
  <c r="Y1363" i="4"/>
  <c r="E1364" i="4"/>
  <c r="F1364" i="4"/>
  <c r="G1364" i="4"/>
  <c r="I1364" i="4"/>
  <c r="K1364" i="4"/>
  <c r="L1364" i="4"/>
  <c r="N1364" i="4"/>
  <c r="O1364" i="4"/>
  <c r="Q1364" i="4"/>
  <c r="R1364" i="4"/>
  <c r="S1364" i="4"/>
  <c r="T1364" i="4"/>
  <c r="W1364" i="4"/>
  <c r="Y1364" i="4"/>
  <c r="E1365" i="4"/>
  <c r="F1365" i="4"/>
  <c r="G1365" i="4"/>
  <c r="I1365" i="4"/>
  <c r="K1365" i="4"/>
  <c r="L1365" i="4"/>
  <c r="N1365" i="4"/>
  <c r="O1365" i="4"/>
  <c r="Q1365" i="4"/>
  <c r="R1365" i="4"/>
  <c r="S1365" i="4"/>
  <c r="T1365" i="4"/>
  <c r="W1365" i="4"/>
  <c r="Y1365" i="4"/>
  <c r="G1366" i="4"/>
  <c r="I1366" i="4"/>
  <c r="K1366" i="4"/>
  <c r="L1366" i="4"/>
  <c r="N1366" i="4"/>
  <c r="O1366" i="4"/>
  <c r="R1366" i="4"/>
  <c r="S1366" i="4"/>
  <c r="T1366" i="4"/>
  <c r="Y1366" i="4"/>
  <c r="E1367" i="4"/>
  <c r="F1367" i="4"/>
  <c r="G1367" i="4"/>
  <c r="I1367" i="4"/>
  <c r="K1367" i="4"/>
  <c r="L1367" i="4"/>
  <c r="N1367" i="4"/>
  <c r="O1367" i="4"/>
  <c r="R1367" i="4"/>
  <c r="S1367" i="4"/>
  <c r="T1367" i="4"/>
  <c r="Y1367" i="4"/>
  <c r="E1368" i="4"/>
  <c r="F1368" i="4"/>
  <c r="G1368" i="4"/>
  <c r="I1368" i="4"/>
  <c r="K1368" i="4"/>
  <c r="L1368" i="4"/>
  <c r="N1368" i="4"/>
  <c r="O1368" i="4"/>
  <c r="R1368" i="4"/>
  <c r="S1368" i="4"/>
  <c r="T1368" i="4"/>
  <c r="Y1368" i="4"/>
  <c r="E1369" i="4"/>
  <c r="F1369" i="4"/>
  <c r="G1369" i="4"/>
  <c r="I1369" i="4"/>
  <c r="K1369" i="4"/>
  <c r="L1369" i="4"/>
  <c r="N1369" i="4"/>
  <c r="O1369" i="4"/>
  <c r="R1369" i="4"/>
  <c r="S1369" i="4"/>
  <c r="T1369" i="4"/>
  <c r="Y1369" i="4"/>
  <c r="E1370" i="4"/>
  <c r="F1370" i="4"/>
  <c r="G1370" i="4"/>
  <c r="I1370" i="4"/>
  <c r="K1370" i="4"/>
  <c r="L1370" i="4"/>
  <c r="N1370" i="4"/>
  <c r="O1370" i="4"/>
  <c r="R1370" i="4"/>
  <c r="S1370" i="4"/>
  <c r="T1370" i="4"/>
  <c r="Y1370" i="4"/>
  <c r="E1371" i="4"/>
  <c r="F1371" i="4"/>
  <c r="G1371" i="4"/>
  <c r="I1371" i="4"/>
  <c r="K1371" i="4"/>
  <c r="L1371" i="4"/>
  <c r="N1371" i="4"/>
  <c r="O1371" i="4"/>
  <c r="R1371" i="4"/>
  <c r="S1371" i="4"/>
  <c r="T1371" i="4"/>
  <c r="Y1371" i="4"/>
  <c r="E1372" i="4"/>
  <c r="F1372" i="4"/>
  <c r="G1372" i="4"/>
  <c r="I1372" i="4"/>
  <c r="K1372" i="4"/>
  <c r="L1372" i="4"/>
  <c r="N1372" i="4"/>
  <c r="O1372" i="4"/>
  <c r="R1372" i="4"/>
  <c r="S1372" i="4"/>
  <c r="T1372" i="4"/>
  <c r="Y1372" i="4"/>
  <c r="F1373" i="4"/>
  <c r="G1373" i="4"/>
  <c r="I1373" i="4"/>
  <c r="K1373" i="4"/>
  <c r="L1373" i="4"/>
  <c r="N1373" i="4"/>
  <c r="O1373" i="4"/>
  <c r="R1373" i="4"/>
  <c r="S1373" i="4"/>
  <c r="T1373" i="4"/>
  <c r="Y1373" i="4"/>
  <c r="X1374" i="4"/>
  <c r="Z1374" i="4" s="1"/>
  <c r="P1375" i="4"/>
  <c r="X1375" i="4" s="1"/>
  <c r="X1376" i="4"/>
  <c r="Z1376" i="4" s="1"/>
  <c r="X1377" i="4"/>
  <c r="Z1377" i="4" s="1"/>
  <c r="F1378" i="4"/>
  <c r="G1378" i="4"/>
  <c r="I1378" i="4"/>
  <c r="K1378" i="4"/>
  <c r="L1378" i="4"/>
  <c r="N1378" i="4"/>
  <c r="O1378" i="4"/>
  <c r="R1378" i="4"/>
  <c r="S1378" i="4"/>
  <c r="T1378" i="4"/>
  <c r="Y1378" i="4"/>
  <c r="G1379" i="4"/>
  <c r="I1379" i="4"/>
  <c r="L1379" i="4"/>
  <c r="N1379" i="4"/>
  <c r="O1379" i="4"/>
  <c r="R1379" i="4"/>
  <c r="S1379" i="4"/>
  <c r="T1379" i="4"/>
  <c r="Y1379" i="4"/>
  <c r="F1380" i="4"/>
  <c r="G1380" i="4"/>
  <c r="I1380" i="4"/>
  <c r="L1380" i="4"/>
  <c r="N1380" i="4"/>
  <c r="O1380" i="4"/>
  <c r="R1380" i="4"/>
  <c r="S1380" i="4"/>
  <c r="T1380" i="4"/>
  <c r="Y1380" i="4"/>
  <c r="F1381" i="4"/>
  <c r="G1381" i="4"/>
  <c r="I1381" i="4"/>
  <c r="K1381" i="4"/>
  <c r="L1381" i="4"/>
  <c r="N1381" i="4"/>
  <c r="O1381" i="4"/>
  <c r="R1381" i="4"/>
  <c r="S1381" i="4"/>
  <c r="T1381" i="4"/>
  <c r="Y1381" i="4"/>
  <c r="E1382" i="4"/>
  <c r="F1382" i="4"/>
  <c r="G1382" i="4"/>
  <c r="I1382" i="4"/>
  <c r="K1382" i="4"/>
  <c r="L1382" i="4"/>
  <c r="N1382" i="4"/>
  <c r="O1382" i="4"/>
  <c r="R1382" i="4"/>
  <c r="S1382" i="4"/>
  <c r="T1382" i="4"/>
  <c r="Y1382" i="4"/>
  <c r="E1383" i="4"/>
  <c r="F1383" i="4"/>
  <c r="G1383" i="4"/>
  <c r="I1383" i="4"/>
  <c r="K1383" i="4"/>
  <c r="L1383" i="4"/>
  <c r="N1383" i="4"/>
  <c r="O1383" i="4"/>
  <c r="R1383" i="4"/>
  <c r="S1383" i="4"/>
  <c r="T1383" i="4"/>
  <c r="Y1383" i="4"/>
  <c r="E1384" i="4"/>
  <c r="F1384" i="4"/>
  <c r="G1384" i="4"/>
  <c r="I1384" i="4"/>
  <c r="K1384" i="4"/>
  <c r="L1384" i="4"/>
  <c r="N1384" i="4"/>
  <c r="O1384" i="4"/>
  <c r="R1384" i="4"/>
  <c r="S1384" i="4"/>
  <c r="T1384" i="4"/>
  <c r="Y1384" i="4"/>
  <c r="E1385" i="4"/>
  <c r="F1385" i="4"/>
  <c r="G1385" i="4"/>
  <c r="I1385" i="4"/>
  <c r="K1385" i="4"/>
  <c r="L1385" i="4"/>
  <c r="N1385" i="4"/>
  <c r="O1385" i="4"/>
  <c r="R1385" i="4"/>
  <c r="S1385" i="4"/>
  <c r="T1385" i="4"/>
  <c r="Y1385" i="4"/>
  <c r="E1386" i="4"/>
  <c r="F1386" i="4"/>
  <c r="G1386" i="4"/>
  <c r="I1386" i="4"/>
  <c r="K1386" i="4"/>
  <c r="L1386" i="4"/>
  <c r="N1386" i="4"/>
  <c r="O1386" i="4"/>
  <c r="R1386" i="4"/>
  <c r="S1386" i="4"/>
  <c r="T1386" i="4"/>
  <c r="Y1386" i="4"/>
  <c r="E1387" i="4"/>
  <c r="F1387" i="4"/>
  <c r="G1387" i="4"/>
  <c r="I1387" i="4"/>
  <c r="K1387" i="4"/>
  <c r="L1387" i="4"/>
  <c r="N1387" i="4"/>
  <c r="O1387" i="4"/>
  <c r="R1387" i="4"/>
  <c r="S1387" i="4"/>
  <c r="T1387" i="4"/>
  <c r="Y1387" i="4"/>
  <c r="F1388" i="4"/>
  <c r="G1388" i="4"/>
  <c r="I1388" i="4"/>
  <c r="K1388" i="4"/>
  <c r="L1388" i="4"/>
  <c r="N1388" i="4"/>
  <c r="O1388" i="4"/>
  <c r="R1388" i="4"/>
  <c r="S1388" i="4"/>
  <c r="T1388" i="4"/>
  <c r="Y1388" i="4"/>
  <c r="G1389" i="4"/>
  <c r="I1389" i="4"/>
  <c r="K1389" i="4"/>
  <c r="L1389" i="4"/>
  <c r="N1389" i="4"/>
  <c r="O1389" i="4"/>
  <c r="R1389" i="4"/>
  <c r="S1389" i="4"/>
  <c r="T1389" i="4"/>
  <c r="Y1389" i="4"/>
  <c r="F1390" i="4"/>
  <c r="G1390" i="4"/>
  <c r="I1390" i="4"/>
  <c r="K1390" i="4"/>
  <c r="L1390" i="4"/>
  <c r="N1390" i="4"/>
  <c r="O1390" i="4"/>
  <c r="R1390" i="4"/>
  <c r="S1390" i="4"/>
  <c r="T1390" i="4"/>
  <c r="Y1390" i="4"/>
  <c r="G1391" i="4"/>
  <c r="I1391" i="4"/>
  <c r="K1391" i="4"/>
  <c r="L1391" i="4"/>
  <c r="N1391" i="4"/>
  <c r="O1391" i="4"/>
  <c r="R1391" i="4"/>
  <c r="S1391" i="4"/>
  <c r="T1391" i="4"/>
  <c r="Y1391" i="4"/>
  <c r="G1392" i="4"/>
  <c r="I1392" i="4"/>
  <c r="K1392" i="4"/>
  <c r="L1392" i="4"/>
  <c r="N1392" i="4"/>
  <c r="O1392" i="4"/>
  <c r="R1392" i="4"/>
  <c r="S1392" i="4"/>
  <c r="T1392" i="4"/>
  <c r="Y1392" i="4"/>
  <c r="E1393" i="4"/>
  <c r="F1393" i="4"/>
  <c r="G1393" i="4"/>
  <c r="I1393" i="4"/>
  <c r="K1393" i="4"/>
  <c r="L1393" i="4"/>
  <c r="N1393" i="4"/>
  <c r="O1393" i="4"/>
  <c r="R1393" i="4"/>
  <c r="S1393" i="4"/>
  <c r="T1393" i="4"/>
  <c r="Y1393" i="4"/>
  <c r="E1394" i="4"/>
  <c r="F1394" i="4"/>
  <c r="G1394" i="4"/>
  <c r="I1394" i="4"/>
  <c r="K1394" i="4"/>
  <c r="L1394" i="4"/>
  <c r="N1394" i="4"/>
  <c r="O1394" i="4"/>
  <c r="R1394" i="4"/>
  <c r="S1394" i="4"/>
  <c r="T1394" i="4"/>
  <c r="Y1394" i="4"/>
  <c r="E1395" i="4"/>
  <c r="F1395" i="4"/>
  <c r="G1395" i="4"/>
  <c r="I1395" i="4"/>
  <c r="K1395" i="4"/>
  <c r="L1395" i="4"/>
  <c r="N1395" i="4"/>
  <c r="O1395" i="4"/>
  <c r="P1395" i="4"/>
  <c r="Q1395" i="4"/>
  <c r="R1395" i="4"/>
  <c r="S1395" i="4"/>
  <c r="T1395" i="4"/>
  <c r="Y1395" i="4"/>
  <c r="E1396" i="4"/>
  <c r="F1396" i="4"/>
  <c r="G1396" i="4"/>
  <c r="I1396" i="4"/>
  <c r="J1396" i="4"/>
  <c r="K1396" i="4"/>
  <c r="L1396" i="4"/>
  <c r="N1396" i="4"/>
  <c r="O1396" i="4"/>
  <c r="Q1396" i="4"/>
  <c r="R1396" i="4"/>
  <c r="S1396" i="4"/>
  <c r="T1396" i="4"/>
  <c r="V1396" i="4"/>
  <c r="W1396" i="4"/>
  <c r="Y1396" i="4"/>
  <c r="E1397" i="4"/>
  <c r="F1397" i="4"/>
  <c r="G1397" i="4"/>
  <c r="I1397" i="4"/>
  <c r="K1397" i="4"/>
  <c r="L1397" i="4"/>
  <c r="N1397" i="4"/>
  <c r="O1397" i="4"/>
  <c r="R1397" i="4"/>
  <c r="S1397" i="4"/>
  <c r="T1397" i="4"/>
  <c r="Y1397" i="4"/>
  <c r="E1398" i="4"/>
  <c r="F1398" i="4"/>
  <c r="G1398" i="4"/>
  <c r="I1398" i="4"/>
  <c r="K1398" i="4"/>
  <c r="L1398" i="4"/>
  <c r="N1398" i="4"/>
  <c r="O1398" i="4"/>
  <c r="R1398" i="4"/>
  <c r="S1398" i="4"/>
  <c r="T1398" i="4"/>
  <c r="Y1398" i="4"/>
  <c r="F1399" i="4"/>
  <c r="G1399" i="4"/>
  <c r="I1399" i="4"/>
  <c r="K1399" i="4"/>
  <c r="L1399" i="4"/>
  <c r="N1399" i="4"/>
  <c r="O1399" i="4"/>
  <c r="R1399" i="4"/>
  <c r="S1399" i="4"/>
  <c r="T1399" i="4"/>
  <c r="Y1399" i="4"/>
  <c r="G1400" i="4"/>
  <c r="K1400" i="4"/>
  <c r="L1400" i="4"/>
  <c r="N1400" i="4"/>
  <c r="O1400" i="4"/>
  <c r="R1400" i="4"/>
  <c r="S1400" i="4"/>
  <c r="T1400" i="4"/>
  <c r="Y1400" i="4"/>
  <c r="X1401" i="4"/>
  <c r="Z1401" i="4" s="1"/>
  <c r="P1402" i="4"/>
  <c r="X1403" i="4"/>
  <c r="Z1403" i="4" s="1"/>
  <c r="X1404" i="4"/>
  <c r="Z1404" i="4" s="1"/>
  <c r="F1405" i="4"/>
  <c r="G1405" i="4"/>
  <c r="I1405" i="4"/>
  <c r="K1405" i="4"/>
  <c r="L1405" i="4"/>
  <c r="N1405" i="4"/>
  <c r="O1405" i="4"/>
  <c r="R1405" i="4"/>
  <c r="S1405" i="4"/>
  <c r="T1405" i="4"/>
  <c r="Y1405" i="4"/>
  <c r="F1406" i="4"/>
  <c r="G1406" i="4"/>
  <c r="I1406" i="4"/>
  <c r="K1406" i="4"/>
  <c r="L1406" i="4"/>
  <c r="N1406" i="4"/>
  <c r="O1406" i="4"/>
  <c r="R1406" i="4"/>
  <c r="S1406" i="4"/>
  <c r="T1406" i="4"/>
  <c r="Y1406" i="4"/>
  <c r="F1407" i="4"/>
  <c r="G1407" i="4"/>
  <c r="I1407" i="4"/>
  <c r="L1407" i="4"/>
  <c r="N1407" i="4"/>
  <c r="O1407" i="4"/>
  <c r="R1407" i="4"/>
  <c r="S1407" i="4"/>
  <c r="T1407" i="4"/>
  <c r="Y1407" i="4"/>
  <c r="F1408" i="4"/>
  <c r="G1408" i="4"/>
  <c r="I1408" i="4"/>
  <c r="K1408" i="4"/>
  <c r="L1408" i="4"/>
  <c r="N1408" i="4"/>
  <c r="O1408" i="4"/>
  <c r="R1408" i="4"/>
  <c r="S1408" i="4"/>
  <c r="T1408" i="4"/>
  <c r="Y1408" i="4"/>
  <c r="E1409" i="4"/>
  <c r="F1409" i="4"/>
  <c r="G1409" i="4"/>
  <c r="I1409" i="4"/>
  <c r="K1409" i="4"/>
  <c r="L1409" i="4"/>
  <c r="N1409" i="4"/>
  <c r="O1409" i="4"/>
  <c r="R1409" i="4"/>
  <c r="S1409" i="4"/>
  <c r="T1409" i="4"/>
  <c r="Y1409" i="4"/>
  <c r="E1410" i="4"/>
  <c r="F1410" i="4"/>
  <c r="G1410" i="4"/>
  <c r="I1410" i="4"/>
  <c r="K1410" i="4"/>
  <c r="L1410" i="4"/>
  <c r="N1410" i="4"/>
  <c r="O1410" i="4"/>
  <c r="R1410" i="4"/>
  <c r="S1410" i="4"/>
  <c r="T1410" i="4"/>
  <c r="Y1410" i="4"/>
  <c r="E1411" i="4"/>
  <c r="F1411" i="4"/>
  <c r="G1411" i="4"/>
  <c r="I1411" i="4"/>
  <c r="K1411" i="4"/>
  <c r="L1411" i="4"/>
  <c r="N1411" i="4"/>
  <c r="O1411" i="4"/>
  <c r="R1411" i="4"/>
  <c r="S1411" i="4"/>
  <c r="T1411" i="4"/>
  <c r="Y1411" i="4"/>
  <c r="E1412" i="4"/>
  <c r="G1412" i="4"/>
  <c r="I1412" i="4"/>
  <c r="K1412" i="4"/>
  <c r="L1412" i="4"/>
  <c r="N1412" i="4"/>
  <c r="O1412" i="4"/>
  <c r="R1412" i="4"/>
  <c r="S1412" i="4"/>
  <c r="T1412" i="4"/>
  <c r="Y1412" i="4"/>
  <c r="E1413" i="4"/>
  <c r="F1413" i="4"/>
  <c r="G1413" i="4"/>
  <c r="I1413" i="4"/>
  <c r="K1413" i="4"/>
  <c r="L1413" i="4"/>
  <c r="N1413" i="4"/>
  <c r="O1413" i="4"/>
  <c r="R1413" i="4"/>
  <c r="S1413" i="4"/>
  <c r="T1413" i="4"/>
  <c r="Y1413" i="4"/>
  <c r="G1414" i="4"/>
  <c r="I1414" i="4"/>
  <c r="K1414" i="4"/>
  <c r="L1414" i="4"/>
  <c r="N1414" i="4"/>
  <c r="O1414" i="4"/>
  <c r="R1414" i="4"/>
  <c r="S1414" i="4"/>
  <c r="T1414" i="4"/>
  <c r="Y1414" i="4"/>
  <c r="F1415" i="4"/>
  <c r="G1415" i="4"/>
  <c r="I1415" i="4"/>
  <c r="K1415" i="4"/>
  <c r="L1415" i="4"/>
  <c r="N1415" i="4"/>
  <c r="O1415" i="4"/>
  <c r="R1415" i="4"/>
  <c r="S1415" i="4"/>
  <c r="T1415" i="4"/>
  <c r="Y1415" i="4"/>
  <c r="E1416" i="4"/>
  <c r="F1416" i="4"/>
  <c r="G1416" i="4"/>
  <c r="I1416" i="4"/>
  <c r="K1416" i="4"/>
  <c r="L1416" i="4"/>
  <c r="N1416" i="4"/>
  <c r="O1416" i="4"/>
  <c r="R1416" i="4"/>
  <c r="S1416" i="4"/>
  <c r="T1416" i="4"/>
  <c r="Y1416" i="4"/>
  <c r="G1417" i="4"/>
  <c r="I1417" i="4"/>
  <c r="K1417" i="4"/>
  <c r="L1417" i="4"/>
  <c r="N1417" i="4"/>
  <c r="O1417" i="4"/>
  <c r="R1417" i="4"/>
  <c r="S1417" i="4"/>
  <c r="T1417" i="4"/>
  <c r="Y1417" i="4"/>
  <c r="E1418" i="4"/>
  <c r="F1418" i="4"/>
  <c r="G1418" i="4"/>
  <c r="I1418" i="4"/>
  <c r="K1418" i="4"/>
  <c r="L1418" i="4"/>
  <c r="N1418" i="4"/>
  <c r="O1418" i="4"/>
  <c r="R1418" i="4"/>
  <c r="S1418" i="4"/>
  <c r="T1418" i="4"/>
  <c r="Y1418" i="4"/>
  <c r="E1419" i="4"/>
  <c r="F1419" i="4"/>
  <c r="G1419" i="4"/>
  <c r="I1419" i="4"/>
  <c r="K1419" i="4"/>
  <c r="L1419" i="4"/>
  <c r="N1419" i="4"/>
  <c r="O1419" i="4"/>
  <c r="R1419" i="4"/>
  <c r="S1419" i="4"/>
  <c r="T1419" i="4"/>
  <c r="Y1419" i="4"/>
  <c r="E1420" i="4"/>
  <c r="F1420" i="4"/>
  <c r="G1420" i="4"/>
  <c r="I1420" i="4"/>
  <c r="K1420" i="4"/>
  <c r="L1420" i="4"/>
  <c r="N1420" i="4"/>
  <c r="O1420" i="4"/>
  <c r="R1420" i="4"/>
  <c r="S1420" i="4"/>
  <c r="T1420" i="4"/>
  <c r="Y1420" i="4"/>
  <c r="G1421" i="4"/>
  <c r="I1421" i="4"/>
  <c r="K1421" i="4"/>
  <c r="L1421" i="4"/>
  <c r="N1421" i="4"/>
  <c r="O1421" i="4"/>
  <c r="R1421" i="4"/>
  <c r="S1421" i="4"/>
  <c r="T1421" i="4"/>
  <c r="Y1421" i="4"/>
  <c r="E1422" i="4"/>
  <c r="F1422" i="4"/>
  <c r="G1422" i="4"/>
  <c r="I1422" i="4"/>
  <c r="K1422" i="4"/>
  <c r="L1422" i="4"/>
  <c r="N1422" i="4"/>
  <c r="O1422" i="4"/>
  <c r="R1422" i="4"/>
  <c r="S1422" i="4"/>
  <c r="T1422" i="4"/>
  <c r="Y1422" i="4"/>
  <c r="G1423" i="4"/>
  <c r="I1423" i="4"/>
  <c r="K1423" i="4"/>
  <c r="L1423" i="4"/>
  <c r="N1423" i="4"/>
  <c r="O1423" i="4"/>
  <c r="R1423" i="4"/>
  <c r="S1423" i="4"/>
  <c r="T1423" i="4"/>
  <c r="Y1423" i="4"/>
  <c r="E1424" i="4"/>
  <c r="F1424" i="4"/>
  <c r="G1424" i="4"/>
  <c r="I1424" i="4"/>
  <c r="K1424" i="4"/>
  <c r="L1424" i="4"/>
  <c r="N1424" i="4"/>
  <c r="O1424" i="4"/>
  <c r="R1424" i="4"/>
  <c r="S1424" i="4"/>
  <c r="T1424" i="4"/>
  <c r="Y1424" i="4"/>
  <c r="G1425" i="4"/>
  <c r="I1425" i="4"/>
  <c r="K1425" i="4"/>
  <c r="L1425" i="4"/>
  <c r="N1425" i="4"/>
  <c r="O1425" i="4"/>
  <c r="R1425" i="4"/>
  <c r="S1425" i="4"/>
  <c r="T1425" i="4"/>
  <c r="Y1425" i="4"/>
  <c r="E1426" i="4"/>
  <c r="F1426" i="4"/>
  <c r="G1426" i="4"/>
  <c r="I1426" i="4"/>
  <c r="K1426" i="4"/>
  <c r="L1426" i="4"/>
  <c r="N1426" i="4"/>
  <c r="O1426" i="4"/>
  <c r="R1426" i="4"/>
  <c r="S1426" i="4"/>
  <c r="T1426" i="4"/>
  <c r="Y1426" i="4"/>
  <c r="G1427" i="4"/>
  <c r="I1427" i="4"/>
  <c r="J1427" i="4"/>
  <c r="K1427" i="4"/>
  <c r="L1427" i="4"/>
  <c r="N1427" i="4"/>
  <c r="O1427" i="4"/>
  <c r="Q1427" i="4"/>
  <c r="R1427" i="4"/>
  <c r="S1427" i="4"/>
  <c r="T1427" i="4"/>
  <c r="Y1427" i="4"/>
  <c r="G1428" i="4"/>
  <c r="I1428" i="4"/>
  <c r="J1428" i="4"/>
  <c r="K1428" i="4"/>
  <c r="L1428" i="4"/>
  <c r="N1428" i="4"/>
  <c r="O1428" i="4"/>
  <c r="Q1428" i="4"/>
  <c r="R1428" i="4"/>
  <c r="S1428" i="4"/>
  <c r="T1428" i="4"/>
  <c r="W1428" i="4"/>
  <c r="Y1428" i="4"/>
  <c r="E1429" i="4"/>
  <c r="F1429" i="4"/>
  <c r="G1429" i="4"/>
  <c r="I1429" i="4"/>
  <c r="K1429" i="4"/>
  <c r="L1429" i="4"/>
  <c r="N1429" i="4"/>
  <c r="O1429" i="4"/>
  <c r="R1429" i="4"/>
  <c r="S1429" i="4"/>
  <c r="T1429" i="4"/>
  <c r="Y1429" i="4"/>
  <c r="F1430" i="4"/>
  <c r="G1430" i="4"/>
  <c r="I1430" i="4"/>
  <c r="K1430" i="4"/>
  <c r="L1430" i="4"/>
  <c r="N1430" i="4"/>
  <c r="O1430" i="4"/>
  <c r="R1430" i="4"/>
  <c r="S1430" i="4"/>
  <c r="T1430" i="4"/>
  <c r="Y1430" i="4"/>
  <c r="G1431" i="4"/>
  <c r="I1431" i="4"/>
  <c r="K1431" i="4"/>
  <c r="L1431" i="4"/>
  <c r="N1431" i="4"/>
  <c r="O1431" i="4"/>
  <c r="R1431" i="4"/>
  <c r="S1431" i="4"/>
  <c r="T1431" i="4"/>
  <c r="Y1431" i="4"/>
  <c r="X1432" i="4"/>
  <c r="Z1432" i="4" s="1"/>
  <c r="P1433" i="4"/>
  <c r="X1434" i="4"/>
  <c r="Z1434" i="4" s="1"/>
  <c r="X1435" i="4"/>
  <c r="Z1435" i="4" s="1"/>
  <c r="F1436" i="4"/>
  <c r="G1436" i="4"/>
  <c r="I1436" i="4"/>
  <c r="K1436" i="4"/>
  <c r="L1436" i="4"/>
  <c r="N1436" i="4"/>
  <c r="O1436" i="4"/>
  <c r="R1436" i="4"/>
  <c r="S1436" i="4"/>
  <c r="T1436" i="4"/>
  <c r="Y1436" i="4"/>
  <c r="E1437" i="4"/>
  <c r="F1437" i="4"/>
  <c r="G1437" i="4"/>
  <c r="I1437" i="4"/>
  <c r="K1437" i="4"/>
  <c r="L1437" i="4"/>
  <c r="N1437" i="4"/>
  <c r="O1437" i="4"/>
  <c r="R1437" i="4"/>
  <c r="S1437" i="4"/>
  <c r="T1437" i="4"/>
  <c r="Y1437" i="4"/>
  <c r="F1438" i="4"/>
  <c r="G1438" i="4"/>
  <c r="I1438" i="4"/>
  <c r="K1438" i="4"/>
  <c r="L1438" i="4"/>
  <c r="N1438" i="4"/>
  <c r="O1438" i="4"/>
  <c r="R1438" i="4"/>
  <c r="S1438" i="4"/>
  <c r="T1438" i="4"/>
  <c r="Y1438" i="4"/>
  <c r="E1439" i="4"/>
  <c r="F1439" i="4"/>
  <c r="G1439" i="4"/>
  <c r="I1439" i="4"/>
  <c r="K1439" i="4"/>
  <c r="L1439" i="4"/>
  <c r="N1439" i="4"/>
  <c r="O1439" i="4"/>
  <c r="R1439" i="4"/>
  <c r="S1439" i="4"/>
  <c r="T1439" i="4"/>
  <c r="Y1439" i="4"/>
  <c r="F1440" i="4"/>
  <c r="G1440" i="4"/>
  <c r="I1440" i="4"/>
  <c r="K1440" i="4"/>
  <c r="L1440" i="4"/>
  <c r="N1440" i="4"/>
  <c r="O1440" i="4"/>
  <c r="R1440" i="4"/>
  <c r="S1440" i="4"/>
  <c r="T1440" i="4"/>
  <c r="Y1440" i="4"/>
  <c r="F1441" i="4"/>
  <c r="G1441" i="4"/>
  <c r="I1441" i="4"/>
  <c r="K1441" i="4"/>
  <c r="L1441" i="4"/>
  <c r="N1441" i="4"/>
  <c r="O1441" i="4"/>
  <c r="R1441" i="4"/>
  <c r="S1441" i="4"/>
  <c r="T1441" i="4"/>
  <c r="Y1441" i="4"/>
  <c r="E1442" i="4"/>
  <c r="F1442" i="4"/>
  <c r="G1442" i="4"/>
  <c r="I1442" i="4"/>
  <c r="K1442" i="4"/>
  <c r="L1442" i="4"/>
  <c r="N1442" i="4"/>
  <c r="O1442" i="4"/>
  <c r="R1442" i="4"/>
  <c r="S1442" i="4"/>
  <c r="T1442" i="4"/>
  <c r="Y1442" i="4"/>
  <c r="F1443" i="4"/>
  <c r="G1443" i="4"/>
  <c r="I1443" i="4"/>
  <c r="K1443" i="4"/>
  <c r="L1443" i="4"/>
  <c r="N1443" i="4"/>
  <c r="O1443" i="4"/>
  <c r="R1443" i="4"/>
  <c r="S1443" i="4"/>
  <c r="T1443" i="4"/>
  <c r="Y1443" i="4"/>
  <c r="F1444" i="4"/>
  <c r="G1444" i="4"/>
  <c r="I1444" i="4"/>
  <c r="K1444" i="4"/>
  <c r="L1444" i="4"/>
  <c r="N1444" i="4"/>
  <c r="O1444" i="4"/>
  <c r="R1444" i="4"/>
  <c r="S1444" i="4"/>
  <c r="T1444" i="4"/>
  <c r="Y1444" i="4"/>
  <c r="E1445" i="4"/>
  <c r="F1445" i="4"/>
  <c r="G1445" i="4"/>
  <c r="I1445" i="4"/>
  <c r="K1445" i="4"/>
  <c r="L1445" i="4"/>
  <c r="N1445" i="4"/>
  <c r="O1445" i="4"/>
  <c r="R1445" i="4"/>
  <c r="S1445" i="4"/>
  <c r="T1445" i="4"/>
  <c r="Y1445" i="4"/>
  <c r="E1446" i="4"/>
  <c r="F1446" i="4"/>
  <c r="G1446" i="4"/>
  <c r="I1446" i="4"/>
  <c r="K1446" i="4"/>
  <c r="L1446" i="4"/>
  <c r="N1446" i="4"/>
  <c r="O1446" i="4"/>
  <c r="R1446" i="4"/>
  <c r="S1446" i="4"/>
  <c r="T1446" i="4"/>
  <c r="Y1446" i="4"/>
  <c r="F1447" i="4"/>
  <c r="G1447" i="4"/>
  <c r="I1447" i="4"/>
  <c r="K1447" i="4"/>
  <c r="L1447" i="4"/>
  <c r="N1447" i="4"/>
  <c r="O1447" i="4"/>
  <c r="R1447" i="4"/>
  <c r="S1447" i="4"/>
  <c r="T1447" i="4"/>
  <c r="Y1447" i="4"/>
  <c r="E1448" i="4"/>
  <c r="G1448" i="4"/>
  <c r="I1448" i="4"/>
  <c r="K1448" i="4"/>
  <c r="L1448" i="4"/>
  <c r="N1448" i="4"/>
  <c r="O1448" i="4"/>
  <c r="R1448" i="4"/>
  <c r="S1448" i="4"/>
  <c r="T1448" i="4"/>
  <c r="Y1448" i="4"/>
  <c r="G1449" i="4"/>
  <c r="I1449" i="4"/>
  <c r="K1449" i="4"/>
  <c r="L1449" i="4"/>
  <c r="N1449" i="4"/>
  <c r="O1449" i="4"/>
  <c r="R1449" i="4"/>
  <c r="S1449" i="4"/>
  <c r="T1449" i="4"/>
  <c r="Y1449" i="4"/>
  <c r="E1450" i="4"/>
  <c r="G1450" i="4"/>
  <c r="I1450" i="4"/>
  <c r="K1450" i="4"/>
  <c r="L1450" i="4"/>
  <c r="N1450" i="4"/>
  <c r="O1450" i="4"/>
  <c r="R1450" i="4"/>
  <c r="S1450" i="4"/>
  <c r="T1450" i="4"/>
  <c r="Y1450" i="4"/>
  <c r="E1451" i="4"/>
  <c r="F1451" i="4"/>
  <c r="G1451" i="4"/>
  <c r="I1451" i="4"/>
  <c r="K1451" i="4"/>
  <c r="L1451" i="4"/>
  <c r="N1451" i="4"/>
  <c r="O1451" i="4"/>
  <c r="R1451" i="4"/>
  <c r="S1451" i="4"/>
  <c r="T1451" i="4"/>
  <c r="Y1451" i="4"/>
  <c r="E1452" i="4"/>
  <c r="F1452" i="4"/>
  <c r="G1452" i="4"/>
  <c r="I1452" i="4"/>
  <c r="K1452" i="4"/>
  <c r="L1452" i="4"/>
  <c r="N1452" i="4"/>
  <c r="O1452" i="4"/>
  <c r="R1452" i="4"/>
  <c r="S1452" i="4"/>
  <c r="T1452" i="4"/>
  <c r="Y1452" i="4"/>
  <c r="G1453" i="4"/>
  <c r="I1453" i="4"/>
  <c r="K1453" i="4"/>
  <c r="L1453" i="4"/>
  <c r="N1453" i="4"/>
  <c r="O1453" i="4"/>
  <c r="R1453" i="4"/>
  <c r="S1453" i="4"/>
  <c r="T1453" i="4"/>
  <c r="Y1453" i="4"/>
  <c r="E1454" i="4"/>
  <c r="F1454" i="4"/>
  <c r="G1454" i="4"/>
  <c r="I1454" i="4"/>
  <c r="K1454" i="4"/>
  <c r="L1454" i="4"/>
  <c r="N1454" i="4"/>
  <c r="O1454" i="4"/>
  <c r="R1454" i="4"/>
  <c r="S1454" i="4"/>
  <c r="T1454" i="4"/>
  <c r="Y1454" i="4"/>
  <c r="E1455" i="4"/>
  <c r="F1455" i="4"/>
  <c r="G1455" i="4"/>
  <c r="I1455" i="4"/>
  <c r="K1455" i="4"/>
  <c r="L1455" i="4"/>
  <c r="N1455" i="4"/>
  <c r="O1455" i="4"/>
  <c r="R1455" i="4"/>
  <c r="S1455" i="4"/>
  <c r="T1455" i="4"/>
  <c r="Y1455" i="4"/>
  <c r="G1456" i="4"/>
  <c r="I1456" i="4"/>
  <c r="K1456" i="4"/>
  <c r="L1456" i="4"/>
  <c r="N1456" i="4"/>
  <c r="O1456" i="4"/>
  <c r="R1456" i="4"/>
  <c r="S1456" i="4"/>
  <c r="T1456" i="4"/>
  <c r="Y1456" i="4"/>
  <c r="G1457" i="4"/>
  <c r="I1457" i="4"/>
  <c r="K1457" i="4"/>
  <c r="L1457" i="4"/>
  <c r="N1457" i="4"/>
  <c r="O1457" i="4"/>
  <c r="R1457" i="4"/>
  <c r="S1457" i="4"/>
  <c r="T1457" i="4"/>
  <c r="Y1457" i="4"/>
  <c r="E1458" i="4"/>
  <c r="F1458" i="4"/>
  <c r="G1458" i="4"/>
  <c r="I1458" i="4"/>
  <c r="K1458" i="4"/>
  <c r="L1458" i="4"/>
  <c r="N1458" i="4"/>
  <c r="O1458" i="4"/>
  <c r="Q1458" i="4"/>
  <c r="R1458" i="4"/>
  <c r="S1458" i="4"/>
  <c r="T1458" i="4"/>
  <c r="W1458" i="4"/>
  <c r="Y1458" i="4"/>
  <c r="E1459" i="4"/>
  <c r="F1459" i="4"/>
  <c r="G1459" i="4"/>
  <c r="I1459" i="4"/>
  <c r="K1459" i="4"/>
  <c r="L1459" i="4"/>
  <c r="N1459" i="4"/>
  <c r="O1459" i="4"/>
  <c r="Q1459" i="4"/>
  <c r="R1459" i="4"/>
  <c r="S1459" i="4"/>
  <c r="T1459" i="4"/>
  <c r="W1459" i="4"/>
  <c r="Y1459" i="4"/>
  <c r="E1460" i="4"/>
  <c r="F1460" i="4"/>
  <c r="G1460" i="4"/>
  <c r="I1460" i="4"/>
  <c r="K1460" i="4"/>
  <c r="L1460" i="4"/>
  <c r="N1460" i="4"/>
  <c r="O1460" i="4"/>
  <c r="R1460" i="4"/>
  <c r="S1460" i="4"/>
  <c r="T1460" i="4"/>
  <c r="Y1460" i="4"/>
  <c r="G1461" i="4"/>
  <c r="I1461" i="4"/>
  <c r="K1461" i="4"/>
  <c r="L1461" i="4"/>
  <c r="N1461" i="4"/>
  <c r="O1461" i="4"/>
  <c r="R1461" i="4"/>
  <c r="S1461" i="4"/>
  <c r="T1461" i="4"/>
  <c r="Y1461" i="4"/>
  <c r="F1462" i="4"/>
  <c r="G1462" i="4"/>
  <c r="I1462" i="4"/>
  <c r="K1462" i="4"/>
  <c r="L1462" i="4"/>
  <c r="N1462" i="4"/>
  <c r="O1462" i="4"/>
  <c r="R1462" i="4"/>
  <c r="S1462" i="4"/>
  <c r="T1462" i="4"/>
  <c r="Y1462" i="4"/>
  <c r="F1463" i="4"/>
  <c r="G1463" i="4"/>
  <c r="I1463" i="4"/>
  <c r="K1463" i="4"/>
  <c r="L1463" i="4"/>
  <c r="N1463" i="4"/>
  <c r="O1463" i="4"/>
  <c r="R1463" i="4"/>
  <c r="S1463" i="4"/>
  <c r="T1463" i="4"/>
  <c r="Y1463" i="4"/>
  <c r="E1464" i="4"/>
  <c r="F1464" i="4"/>
  <c r="G1464" i="4"/>
  <c r="I1464" i="4"/>
  <c r="K1464" i="4"/>
  <c r="L1464" i="4"/>
  <c r="N1464" i="4"/>
  <c r="O1464" i="4"/>
  <c r="Q1464" i="4"/>
  <c r="R1464" i="4"/>
  <c r="S1464" i="4"/>
  <c r="T1464" i="4"/>
  <c r="W1464" i="4"/>
  <c r="Y1464" i="4"/>
  <c r="G1465" i="4"/>
  <c r="I1465" i="4"/>
  <c r="K1465" i="4"/>
  <c r="L1465" i="4"/>
  <c r="N1465" i="4"/>
  <c r="O1465" i="4"/>
  <c r="Q1465" i="4"/>
  <c r="R1465" i="4"/>
  <c r="S1465" i="4"/>
  <c r="T1465" i="4"/>
  <c r="W1465" i="4"/>
  <c r="Y1465" i="4"/>
  <c r="G1466" i="4"/>
  <c r="I1466" i="4"/>
  <c r="J1466" i="4"/>
  <c r="K1466" i="4"/>
  <c r="L1466" i="4"/>
  <c r="N1466" i="4"/>
  <c r="O1466" i="4"/>
  <c r="Q1466" i="4"/>
  <c r="R1466" i="4"/>
  <c r="S1466" i="4"/>
  <c r="T1466" i="4"/>
  <c r="W1466" i="4"/>
  <c r="Y1466" i="4"/>
  <c r="E1467" i="4"/>
  <c r="F1467" i="4"/>
  <c r="G1467" i="4"/>
  <c r="I1467" i="4"/>
  <c r="J1467" i="4"/>
  <c r="K1467" i="4"/>
  <c r="L1467" i="4"/>
  <c r="N1467" i="4"/>
  <c r="O1467" i="4"/>
  <c r="Q1467" i="4"/>
  <c r="R1467" i="4"/>
  <c r="S1467" i="4"/>
  <c r="T1467" i="4"/>
  <c r="V1467" i="4"/>
  <c r="W1467" i="4"/>
  <c r="Y1467" i="4"/>
  <c r="E1468" i="4"/>
  <c r="F1468" i="4"/>
  <c r="G1468" i="4"/>
  <c r="I1468" i="4"/>
  <c r="J1468" i="4"/>
  <c r="K1468" i="4"/>
  <c r="L1468" i="4"/>
  <c r="N1468" i="4"/>
  <c r="O1468" i="4"/>
  <c r="Q1468" i="4"/>
  <c r="R1468" i="4"/>
  <c r="S1468" i="4"/>
  <c r="T1468" i="4"/>
  <c r="V1468" i="4"/>
  <c r="W1468" i="4"/>
  <c r="Y1468" i="4"/>
  <c r="F1469" i="4"/>
  <c r="G1469" i="4"/>
  <c r="I1469" i="4"/>
  <c r="K1469" i="4"/>
  <c r="L1469" i="4"/>
  <c r="N1469" i="4"/>
  <c r="O1469" i="4"/>
  <c r="R1469" i="4"/>
  <c r="S1469" i="4"/>
  <c r="T1469" i="4"/>
  <c r="Y1469" i="4"/>
  <c r="X1470" i="4"/>
  <c r="Z1470" i="4" s="1"/>
  <c r="P1471" i="4"/>
  <c r="X1472" i="4"/>
  <c r="Z1472" i="4" s="1"/>
  <c r="X1473" i="4"/>
  <c r="Z1473" i="4" s="1"/>
  <c r="F1474" i="4"/>
  <c r="G1474" i="4"/>
  <c r="I1474" i="4"/>
  <c r="L1474" i="4"/>
  <c r="N1474" i="4"/>
  <c r="O1474" i="4"/>
  <c r="R1474" i="4"/>
  <c r="S1474" i="4"/>
  <c r="T1474" i="4"/>
  <c r="Y1474" i="4"/>
  <c r="E1475" i="4"/>
  <c r="F1475" i="4"/>
  <c r="G1475" i="4"/>
  <c r="I1475" i="4"/>
  <c r="L1475" i="4"/>
  <c r="N1475" i="4"/>
  <c r="O1475" i="4"/>
  <c r="R1475" i="4"/>
  <c r="S1475" i="4"/>
  <c r="T1475" i="4"/>
  <c r="Y1475" i="4"/>
  <c r="F1476" i="4"/>
  <c r="G1476" i="4"/>
  <c r="I1476" i="4"/>
  <c r="K1476" i="4"/>
  <c r="L1476" i="4"/>
  <c r="N1476" i="4"/>
  <c r="O1476" i="4"/>
  <c r="R1476" i="4"/>
  <c r="S1476" i="4"/>
  <c r="T1476" i="4"/>
  <c r="Y1476" i="4"/>
  <c r="F1477" i="4"/>
  <c r="G1477" i="4"/>
  <c r="I1477" i="4"/>
  <c r="K1477" i="4"/>
  <c r="L1477" i="4"/>
  <c r="N1477" i="4"/>
  <c r="O1477" i="4"/>
  <c r="R1477" i="4"/>
  <c r="S1477" i="4"/>
  <c r="T1477" i="4"/>
  <c r="Y1477" i="4"/>
  <c r="E1478" i="4"/>
  <c r="F1478" i="4"/>
  <c r="G1478" i="4"/>
  <c r="I1478" i="4"/>
  <c r="K1478" i="4"/>
  <c r="L1478" i="4"/>
  <c r="N1478" i="4"/>
  <c r="O1478" i="4"/>
  <c r="R1478" i="4"/>
  <c r="S1478" i="4"/>
  <c r="T1478" i="4"/>
  <c r="Y1478" i="4"/>
  <c r="E1479" i="4"/>
  <c r="G1479" i="4"/>
  <c r="I1479" i="4"/>
  <c r="K1479" i="4"/>
  <c r="L1479" i="4"/>
  <c r="N1479" i="4"/>
  <c r="O1479" i="4"/>
  <c r="R1479" i="4"/>
  <c r="S1479" i="4"/>
  <c r="T1479" i="4"/>
  <c r="Y1479" i="4"/>
  <c r="E1480" i="4"/>
  <c r="F1480" i="4"/>
  <c r="G1480" i="4"/>
  <c r="I1480" i="4"/>
  <c r="K1480" i="4"/>
  <c r="L1480" i="4"/>
  <c r="N1480" i="4"/>
  <c r="O1480" i="4"/>
  <c r="R1480" i="4"/>
  <c r="S1480" i="4"/>
  <c r="T1480" i="4"/>
  <c r="Y1480" i="4"/>
  <c r="G1481" i="4"/>
  <c r="I1481" i="4"/>
  <c r="K1481" i="4"/>
  <c r="L1481" i="4"/>
  <c r="N1481" i="4"/>
  <c r="O1481" i="4"/>
  <c r="R1481" i="4"/>
  <c r="S1481" i="4"/>
  <c r="T1481" i="4"/>
  <c r="Y1481" i="4"/>
  <c r="G1482" i="4"/>
  <c r="I1482" i="4"/>
  <c r="K1482" i="4"/>
  <c r="L1482" i="4"/>
  <c r="N1482" i="4"/>
  <c r="O1482" i="4"/>
  <c r="R1482" i="4"/>
  <c r="S1482" i="4"/>
  <c r="T1482" i="4"/>
  <c r="Y1482" i="4"/>
  <c r="F1483" i="4"/>
  <c r="G1483" i="4"/>
  <c r="I1483" i="4"/>
  <c r="K1483" i="4"/>
  <c r="L1483" i="4"/>
  <c r="N1483" i="4"/>
  <c r="O1483" i="4"/>
  <c r="R1483" i="4"/>
  <c r="S1483" i="4"/>
  <c r="T1483" i="4"/>
  <c r="Y1483" i="4"/>
  <c r="E1484" i="4"/>
  <c r="F1484" i="4"/>
  <c r="G1484" i="4"/>
  <c r="I1484" i="4"/>
  <c r="K1484" i="4"/>
  <c r="L1484" i="4"/>
  <c r="N1484" i="4"/>
  <c r="O1484" i="4"/>
  <c r="R1484" i="4"/>
  <c r="S1484" i="4"/>
  <c r="T1484" i="4"/>
  <c r="Y1484" i="4"/>
  <c r="F1485" i="4"/>
  <c r="G1485" i="4"/>
  <c r="I1485" i="4"/>
  <c r="K1485" i="4"/>
  <c r="L1485" i="4"/>
  <c r="N1485" i="4"/>
  <c r="O1485" i="4"/>
  <c r="R1485" i="4"/>
  <c r="S1485" i="4"/>
  <c r="T1485" i="4"/>
  <c r="Y1485" i="4"/>
  <c r="E1486" i="4"/>
  <c r="F1486" i="4"/>
  <c r="G1486" i="4"/>
  <c r="I1486" i="4"/>
  <c r="K1486" i="4"/>
  <c r="L1486" i="4"/>
  <c r="N1486" i="4"/>
  <c r="O1486" i="4"/>
  <c r="R1486" i="4"/>
  <c r="S1486" i="4"/>
  <c r="T1486" i="4"/>
  <c r="Y1486" i="4"/>
  <c r="E1487" i="4"/>
  <c r="F1487" i="4"/>
  <c r="G1487" i="4"/>
  <c r="I1487" i="4"/>
  <c r="K1487" i="4"/>
  <c r="L1487" i="4"/>
  <c r="N1487" i="4"/>
  <c r="O1487" i="4"/>
  <c r="R1487" i="4"/>
  <c r="S1487" i="4"/>
  <c r="T1487" i="4"/>
  <c r="Y1487" i="4"/>
  <c r="G1488" i="4"/>
  <c r="I1488" i="4"/>
  <c r="K1488" i="4"/>
  <c r="L1488" i="4"/>
  <c r="N1488" i="4"/>
  <c r="O1488" i="4"/>
  <c r="R1488" i="4"/>
  <c r="S1488" i="4"/>
  <c r="T1488" i="4"/>
  <c r="Y1488" i="4"/>
  <c r="E1489" i="4"/>
  <c r="F1489" i="4"/>
  <c r="G1489" i="4"/>
  <c r="I1489" i="4"/>
  <c r="K1489" i="4"/>
  <c r="L1489" i="4"/>
  <c r="N1489" i="4"/>
  <c r="O1489" i="4"/>
  <c r="R1489" i="4"/>
  <c r="S1489" i="4"/>
  <c r="T1489" i="4"/>
  <c r="Y1489" i="4"/>
  <c r="E1490" i="4"/>
  <c r="F1490" i="4"/>
  <c r="G1490" i="4"/>
  <c r="I1490" i="4"/>
  <c r="K1490" i="4"/>
  <c r="L1490" i="4"/>
  <c r="N1490" i="4"/>
  <c r="O1490" i="4"/>
  <c r="R1490" i="4"/>
  <c r="S1490" i="4"/>
  <c r="T1490" i="4"/>
  <c r="Y1490" i="4"/>
  <c r="E1491" i="4"/>
  <c r="F1491" i="4"/>
  <c r="G1491" i="4"/>
  <c r="I1491" i="4"/>
  <c r="K1491" i="4"/>
  <c r="L1491" i="4"/>
  <c r="N1491" i="4"/>
  <c r="O1491" i="4"/>
  <c r="R1491" i="4"/>
  <c r="S1491" i="4"/>
  <c r="T1491" i="4"/>
  <c r="Y1491" i="4"/>
  <c r="E1492" i="4"/>
  <c r="F1492" i="4"/>
  <c r="G1492" i="4"/>
  <c r="I1492" i="4"/>
  <c r="K1492" i="4"/>
  <c r="L1492" i="4"/>
  <c r="N1492" i="4"/>
  <c r="O1492" i="4"/>
  <c r="R1492" i="4"/>
  <c r="S1492" i="4"/>
  <c r="T1492" i="4"/>
  <c r="Y1492" i="4"/>
  <c r="E1493" i="4"/>
  <c r="F1493" i="4"/>
  <c r="G1493" i="4"/>
  <c r="I1493" i="4"/>
  <c r="K1493" i="4"/>
  <c r="L1493" i="4"/>
  <c r="N1493" i="4"/>
  <c r="O1493" i="4"/>
  <c r="R1493" i="4"/>
  <c r="S1493" i="4"/>
  <c r="T1493" i="4"/>
  <c r="Y1493" i="4"/>
  <c r="E1494" i="4"/>
  <c r="F1494" i="4"/>
  <c r="G1494" i="4"/>
  <c r="I1494" i="4"/>
  <c r="K1494" i="4"/>
  <c r="L1494" i="4"/>
  <c r="N1494" i="4"/>
  <c r="O1494" i="4"/>
  <c r="R1494" i="4"/>
  <c r="S1494" i="4"/>
  <c r="T1494" i="4"/>
  <c r="Y1494" i="4"/>
  <c r="E1495" i="4"/>
  <c r="F1495" i="4"/>
  <c r="G1495" i="4"/>
  <c r="I1495" i="4"/>
  <c r="K1495" i="4"/>
  <c r="L1495" i="4"/>
  <c r="N1495" i="4"/>
  <c r="O1495" i="4"/>
  <c r="R1495" i="4"/>
  <c r="S1495" i="4"/>
  <c r="T1495" i="4"/>
  <c r="Y1495" i="4"/>
  <c r="X1496" i="4"/>
  <c r="Z1496" i="4" s="1"/>
  <c r="P1497" i="4"/>
  <c r="X1498" i="4"/>
  <c r="Z1498" i="4" s="1"/>
  <c r="X1499" i="4"/>
  <c r="Z1499" i="4" s="1"/>
  <c r="E1500" i="4"/>
  <c r="F1500" i="4"/>
  <c r="G1500" i="4"/>
  <c r="I1500" i="4"/>
  <c r="K1500" i="4"/>
  <c r="L1500" i="4"/>
  <c r="N1500" i="4"/>
  <c r="O1500" i="4"/>
  <c r="R1500" i="4"/>
  <c r="S1500" i="4"/>
  <c r="T1500" i="4"/>
  <c r="Y1500" i="4"/>
  <c r="X1501" i="4"/>
  <c r="Z1501" i="4" s="1"/>
  <c r="X1502" i="4"/>
  <c r="Z1502" i="4" s="1"/>
  <c r="E1503" i="4"/>
  <c r="F1503" i="4"/>
  <c r="G1503" i="4"/>
  <c r="I1503" i="4"/>
  <c r="K1503" i="4"/>
  <c r="L1503" i="4"/>
  <c r="N1503" i="4"/>
  <c r="O1503" i="4"/>
  <c r="R1503" i="4"/>
  <c r="S1503" i="4"/>
  <c r="T1503" i="4"/>
  <c r="Y1503" i="4"/>
  <c r="X1504" i="4"/>
  <c r="Z1504" i="4" s="1"/>
  <c r="X1505" i="4"/>
  <c r="Z1505" i="4" s="1"/>
  <c r="E1506" i="4"/>
  <c r="F1506" i="4"/>
  <c r="G1506" i="4"/>
  <c r="I1506" i="4"/>
  <c r="K1506" i="4"/>
  <c r="L1506" i="4"/>
  <c r="N1506" i="4"/>
  <c r="O1506" i="4"/>
  <c r="R1506" i="4"/>
  <c r="S1506" i="4"/>
  <c r="T1506" i="4"/>
  <c r="Y1506" i="4"/>
  <c r="X1507" i="4"/>
  <c r="Z1507" i="4" s="1"/>
  <c r="X1508" i="4"/>
  <c r="Z1508" i="4" s="1"/>
  <c r="E1509" i="4"/>
  <c r="F1509" i="4"/>
  <c r="G1509" i="4"/>
  <c r="I1509" i="4"/>
  <c r="K1509" i="4"/>
  <c r="L1509" i="4"/>
  <c r="N1509" i="4"/>
  <c r="O1509" i="4"/>
  <c r="R1509" i="4"/>
  <c r="S1509" i="4"/>
  <c r="T1509" i="4"/>
  <c r="Y1509" i="4"/>
  <c r="X1510" i="4"/>
  <c r="Z1510" i="4" s="1"/>
  <c r="X1511" i="4"/>
  <c r="Z1511" i="4" s="1"/>
  <c r="E1512" i="4"/>
  <c r="F1512" i="4"/>
  <c r="G1512" i="4"/>
  <c r="I1512" i="4"/>
  <c r="K1512" i="4"/>
  <c r="L1512" i="4"/>
  <c r="N1512" i="4"/>
  <c r="O1512" i="4"/>
  <c r="R1512" i="4"/>
  <c r="S1512" i="4"/>
  <c r="T1512" i="4"/>
  <c r="Y1512" i="4"/>
  <c r="X1513" i="4"/>
  <c r="Z1513" i="4" s="1"/>
  <c r="X1514" i="4"/>
  <c r="Z1514" i="4" s="1"/>
  <c r="E1515" i="4"/>
  <c r="F1515" i="4"/>
  <c r="G1515" i="4"/>
  <c r="I1515" i="4"/>
  <c r="K1515" i="4"/>
  <c r="L1515" i="4"/>
  <c r="N1515" i="4"/>
  <c r="O1515" i="4"/>
  <c r="R1515" i="4"/>
  <c r="S1515" i="4"/>
  <c r="T1515" i="4"/>
  <c r="Y1515" i="4"/>
  <c r="X1516" i="4"/>
  <c r="Z1516" i="4" s="1"/>
  <c r="X1517" i="4"/>
  <c r="Z1517" i="4" s="1"/>
  <c r="E1518" i="4"/>
  <c r="F1518" i="4"/>
  <c r="G1518" i="4"/>
  <c r="I1518" i="4"/>
  <c r="K1518" i="4"/>
  <c r="L1518" i="4"/>
  <c r="N1518" i="4"/>
  <c r="O1518" i="4"/>
  <c r="R1518" i="4"/>
  <c r="S1518" i="4"/>
  <c r="T1518" i="4"/>
  <c r="Y1518" i="4"/>
  <c r="X1519" i="4"/>
  <c r="Z1519" i="4" s="1"/>
  <c r="X1520" i="4"/>
  <c r="Z1520" i="4" s="1"/>
  <c r="E1521" i="4"/>
  <c r="F1521" i="4"/>
  <c r="G1521" i="4"/>
  <c r="I1521" i="4"/>
  <c r="K1521" i="4"/>
  <c r="L1521" i="4"/>
  <c r="N1521" i="4"/>
  <c r="O1521" i="4"/>
  <c r="R1521" i="4"/>
  <c r="S1521" i="4"/>
  <c r="T1521" i="4"/>
  <c r="Y1521" i="4"/>
  <c r="X1522" i="4"/>
  <c r="Z1522" i="4" s="1"/>
  <c r="X1523" i="4"/>
  <c r="Z1523" i="4" s="1"/>
  <c r="E1524" i="4"/>
  <c r="F1524" i="4"/>
  <c r="G1524" i="4"/>
  <c r="I1524" i="4"/>
  <c r="K1524" i="4"/>
  <c r="L1524" i="4"/>
  <c r="N1524" i="4"/>
  <c r="O1524" i="4"/>
  <c r="R1524" i="4"/>
  <c r="S1524" i="4"/>
  <c r="T1524" i="4"/>
  <c r="Y1524" i="4"/>
  <c r="X1525" i="4"/>
  <c r="Z1525" i="4" s="1"/>
  <c r="X1526" i="4"/>
  <c r="Z1526" i="4" s="1"/>
  <c r="E1527" i="4"/>
  <c r="F1527" i="4"/>
  <c r="G1527" i="4"/>
  <c r="I1527" i="4"/>
  <c r="K1527" i="4"/>
  <c r="L1527" i="4"/>
  <c r="N1527" i="4"/>
  <c r="O1527" i="4"/>
  <c r="R1527" i="4"/>
  <c r="S1527" i="4"/>
  <c r="T1527" i="4"/>
  <c r="Y1527" i="4"/>
  <c r="X1528" i="4"/>
  <c r="Z1528" i="4" s="1"/>
  <c r="X1529" i="4"/>
  <c r="Z1529" i="4" s="1"/>
  <c r="E1530" i="4"/>
  <c r="F1530" i="4"/>
  <c r="G1530" i="4"/>
  <c r="I1530" i="4"/>
  <c r="K1530" i="4"/>
  <c r="L1530" i="4"/>
  <c r="N1530" i="4"/>
  <c r="O1530" i="4"/>
  <c r="R1530" i="4"/>
  <c r="S1530" i="4"/>
  <c r="T1530" i="4"/>
  <c r="Y1530" i="4"/>
  <c r="X1531" i="4"/>
  <c r="Z1531" i="4" s="1"/>
  <c r="X1532" i="4"/>
  <c r="Z1532" i="4" s="1"/>
  <c r="E1533" i="4"/>
  <c r="F1533" i="4"/>
  <c r="G1533" i="4"/>
  <c r="I1533" i="4"/>
  <c r="K1533" i="4"/>
  <c r="L1533" i="4"/>
  <c r="N1533" i="4"/>
  <c r="O1533" i="4"/>
  <c r="R1533" i="4"/>
  <c r="S1533" i="4"/>
  <c r="T1533" i="4"/>
  <c r="Y1533" i="4"/>
  <c r="X1534" i="4"/>
  <c r="Z1534" i="4" s="1"/>
  <c r="X1535" i="4"/>
  <c r="Z1535" i="4" s="1"/>
  <c r="E1536" i="4"/>
  <c r="G1536" i="4"/>
  <c r="I1536" i="4"/>
  <c r="K1536" i="4"/>
  <c r="L1536" i="4"/>
  <c r="N1536" i="4"/>
  <c r="O1536" i="4"/>
  <c r="R1536" i="4"/>
  <c r="S1536" i="4"/>
  <c r="T1536" i="4"/>
  <c r="Y1536" i="4"/>
  <c r="X1537" i="4"/>
  <c r="Z1537" i="4" s="1"/>
  <c r="X1538" i="4"/>
  <c r="Z1538" i="4" s="1"/>
  <c r="E1539" i="4"/>
  <c r="F1539" i="4"/>
  <c r="G1539" i="4"/>
  <c r="I1539" i="4"/>
  <c r="K1539" i="4"/>
  <c r="L1539" i="4"/>
  <c r="N1539" i="4"/>
  <c r="O1539" i="4"/>
  <c r="R1539" i="4"/>
  <c r="S1539" i="4"/>
  <c r="T1539" i="4"/>
  <c r="Y1539" i="4"/>
  <c r="E1548" i="4"/>
  <c r="F1548" i="4"/>
  <c r="G1548" i="4"/>
  <c r="I1548" i="4"/>
  <c r="J1548" i="4"/>
  <c r="K1548" i="4"/>
  <c r="L1548" i="4"/>
  <c r="N1548" i="4"/>
  <c r="O1548" i="4"/>
  <c r="Q1548" i="4"/>
  <c r="R1548" i="4"/>
  <c r="S1548" i="4"/>
  <c r="T1548" i="4"/>
  <c r="Y1548" i="4"/>
  <c r="E1549" i="4"/>
  <c r="F1549" i="4"/>
  <c r="G1549" i="4"/>
  <c r="I1549" i="4"/>
  <c r="J1549" i="4"/>
  <c r="K1549" i="4"/>
  <c r="L1549" i="4"/>
  <c r="N1549" i="4"/>
  <c r="O1549" i="4"/>
  <c r="Q1549" i="4"/>
  <c r="R1549" i="4"/>
  <c r="S1549" i="4"/>
  <c r="T1549" i="4"/>
  <c r="Y1549" i="4"/>
  <c r="F1550" i="4"/>
  <c r="G1550" i="4"/>
  <c r="I1550" i="4"/>
  <c r="J1550" i="4"/>
  <c r="K1550" i="4"/>
  <c r="L1550" i="4"/>
  <c r="N1550" i="4"/>
  <c r="O1550" i="4"/>
  <c r="Q1550" i="4"/>
  <c r="R1550" i="4"/>
  <c r="S1550" i="4"/>
  <c r="T1550" i="4"/>
  <c r="Y1550" i="4"/>
  <c r="E1551" i="4"/>
  <c r="F1551" i="4"/>
  <c r="G1551" i="4"/>
  <c r="H1551" i="4"/>
  <c r="I1551" i="4"/>
  <c r="J1551" i="4"/>
  <c r="K1551" i="4"/>
  <c r="L1551" i="4"/>
  <c r="M1551" i="4"/>
  <c r="N1551" i="4"/>
  <c r="O1551" i="4"/>
  <c r="Q1551" i="4"/>
  <c r="R1551" i="4"/>
  <c r="S1551" i="4"/>
  <c r="T1551" i="4"/>
  <c r="Y1551" i="4"/>
  <c r="E1552" i="4"/>
  <c r="F1552" i="4"/>
  <c r="G1552" i="4"/>
  <c r="I1552" i="4"/>
  <c r="J1552" i="4"/>
  <c r="K1552" i="4"/>
  <c r="L1552" i="4"/>
  <c r="N1552" i="4"/>
  <c r="O1552" i="4"/>
  <c r="Q1552" i="4"/>
  <c r="R1552" i="4"/>
  <c r="S1552" i="4"/>
  <c r="T1552" i="4"/>
  <c r="Y1552" i="4"/>
  <c r="E1553" i="4"/>
  <c r="F1553" i="4"/>
  <c r="G1553" i="4"/>
  <c r="I1553" i="4"/>
  <c r="J1553" i="4"/>
  <c r="K1553" i="4"/>
  <c r="L1553" i="4"/>
  <c r="N1553" i="4"/>
  <c r="O1553" i="4"/>
  <c r="Q1553" i="4"/>
  <c r="R1553" i="4"/>
  <c r="S1553" i="4"/>
  <c r="T1553" i="4"/>
  <c r="Y1553" i="4"/>
  <c r="E1554" i="4"/>
  <c r="F1554" i="4"/>
  <c r="G1554" i="4"/>
  <c r="I1554" i="4"/>
  <c r="J1554" i="4"/>
  <c r="K1554" i="4"/>
  <c r="L1554" i="4"/>
  <c r="N1554" i="4"/>
  <c r="O1554" i="4"/>
  <c r="Q1554" i="4"/>
  <c r="R1554" i="4"/>
  <c r="S1554" i="4"/>
  <c r="T1554" i="4"/>
  <c r="Y1554" i="4"/>
  <c r="E1555" i="4"/>
  <c r="F1555" i="4"/>
  <c r="G1555" i="4"/>
  <c r="I1555" i="4"/>
  <c r="J1555" i="4"/>
  <c r="K1555" i="4"/>
  <c r="L1555" i="4"/>
  <c r="N1555" i="4"/>
  <c r="O1555" i="4"/>
  <c r="Q1555" i="4"/>
  <c r="R1555" i="4"/>
  <c r="S1555" i="4"/>
  <c r="T1555" i="4"/>
  <c r="Y1555" i="4"/>
  <c r="E1556" i="4"/>
  <c r="F1556" i="4"/>
  <c r="G1556" i="4"/>
  <c r="I1556" i="4"/>
  <c r="J1556" i="4"/>
  <c r="K1556" i="4"/>
  <c r="L1556" i="4"/>
  <c r="N1556" i="4"/>
  <c r="O1556" i="4"/>
  <c r="Q1556" i="4"/>
  <c r="R1556" i="4"/>
  <c r="S1556" i="4"/>
  <c r="T1556" i="4"/>
  <c r="Y1556" i="4"/>
  <c r="E1557" i="4"/>
  <c r="F1557" i="4"/>
  <c r="G1557" i="4"/>
  <c r="I1557" i="4"/>
  <c r="J1557" i="4"/>
  <c r="K1557" i="4"/>
  <c r="L1557" i="4"/>
  <c r="N1557" i="4"/>
  <c r="O1557" i="4"/>
  <c r="Q1557" i="4"/>
  <c r="R1557" i="4"/>
  <c r="S1557" i="4"/>
  <c r="T1557" i="4"/>
  <c r="Y1557" i="4"/>
  <c r="E1558" i="4"/>
  <c r="F1558" i="4"/>
  <c r="G1558" i="4"/>
  <c r="I1558" i="4"/>
  <c r="J1558" i="4"/>
  <c r="K1558" i="4"/>
  <c r="L1558" i="4"/>
  <c r="N1558" i="4"/>
  <c r="O1558" i="4"/>
  <c r="Q1558" i="4"/>
  <c r="R1558" i="4"/>
  <c r="S1558" i="4"/>
  <c r="T1558" i="4"/>
  <c r="Y1558" i="4"/>
  <c r="E1559" i="4"/>
  <c r="F1559" i="4"/>
  <c r="G1559" i="4"/>
  <c r="I1559" i="4"/>
  <c r="J1559" i="4"/>
  <c r="K1559" i="4"/>
  <c r="L1559" i="4"/>
  <c r="N1559" i="4"/>
  <c r="O1559" i="4"/>
  <c r="Q1559" i="4"/>
  <c r="R1559" i="4"/>
  <c r="S1559" i="4"/>
  <c r="T1559" i="4"/>
  <c r="Y1559" i="4"/>
  <c r="E1560" i="4"/>
  <c r="F1560" i="4"/>
  <c r="G1560" i="4"/>
  <c r="I1560" i="4"/>
  <c r="J1560" i="4"/>
  <c r="K1560" i="4"/>
  <c r="L1560" i="4"/>
  <c r="N1560" i="4"/>
  <c r="O1560" i="4"/>
  <c r="Q1560" i="4"/>
  <c r="R1560" i="4"/>
  <c r="S1560" i="4"/>
  <c r="T1560" i="4"/>
  <c r="Y1560" i="4"/>
  <c r="E1561" i="4"/>
  <c r="F1561" i="4"/>
  <c r="G1561" i="4"/>
  <c r="I1561" i="4"/>
  <c r="J1561" i="4"/>
  <c r="K1561" i="4"/>
  <c r="L1561" i="4"/>
  <c r="N1561" i="4"/>
  <c r="O1561" i="4"/>
  <c r="Q1561" i="4"/>
  <c r="R1561" i="4"/>
  <c r="S1561" i="4"/>
  <c r="T1561" i="4"/>
  <c r="Y1561" i="4"/>
  <c r="E1562" i="4"/>
  <c r="F1562" i="4"/>
  <c r="G1562" i="4"/>
  <c r="I1562" i="4"/>
  <c r="J1562" i="4"/>
  <c r="K1562" i="4"/>
  <c r="L1562" i="4"/>
  <c r="N1562" i="4"/>
  <c r="O1562" i="4"/>
  <c r="Q1562" i="4"/>
  <c r="R1562" i="4"/>
  <c r="S1562" i="4"/>
  <c r="T1562" i="4"/>
  <c r="Y1562" i="4"/>
  <c r="E1563" i="4"/>
  <c r="F1563" i="4"/>
  <c r="G1563" i="4"/>
  <c r="I1563" i="4"/>
  <c r="J1563" i="4"/>
  <c r="K1563" i="4"/>
  <c r="L1563" i="4"/>
  <c r="N1563" i="4"/>
  <c r="O1563" i="4"/>
  <c r="Q1563" i="4"/>
  <c r="R1563" i="4"/>
  <c r="S1563" i="4"/>
  <c r="T1563" i="4"/>
  <c r="Y1563" i="4"/>
  <c r="E1564" i="4"/>
  <c r="F1564" i="4"/>
  <c r="G1564" i="4"/>
  <c r="I1564" i="4"/>
  <c r="J1564" i="4"/>
  <c r="K1564" i="4"/>
  <c r="L1564" i="4"/>
  <c r="N1564" i="4"/>
  <c r="O1564" i="4"/>
  <c r="Q1564" i="4"/>
  <c r="R1564" i="4"/>
  <c r="S1564" i="4"/>
  <c r="T1564" i="4"/>
  <c r="Y1564" i="4"/>
  <c r="E1565" i="4"/>
  <c r="F1565" i="4"/>
  <c r="G1565" i="4"/>
  <c r="I1565" i="4"/>
  <c r="J1565" i="4"/>
  <c r="K1565" i="4"/>
  <c r="L1565" i="4"/>
  <c r="N1565" i="4"/>
  <c r="O1565" i="4"/>
  <c r="Q1565" i="4"/>
  <c r="R1565" i="4"/>
  <c r="S1565" i="4"/>
  <c r="T1565" i="4"/>
  <c r="Y1565" i="4"/>
  <c r="E1566" i="4"/>
  <c r="F1566" i="4"/>
  <c r="G1566" i="4"/>
  <c r="I1566" i="4"/>
  <c r="J1566" i="4"/>
  <c r="K1566" i="4"/>
  <c r="L1566" i="4"/>
  <c r="N1566" i="4"/>
  <c r="O1566" i="4"/>
  <c r="Q1566" i="4"/>
  <c r="R1566" i="4"/>
  <c r="S1566" i="4"/>
  <c r="T1566" i="4"/>
  <c r="Y1566" i="4"/>
  <c r="P1568" i="4"/>
  <c r="E1571" i="4"/>
  <c r="F1571" i="4"/>
  <c r="G1571" i="4"/>
  <c r="I1571" i="4"/>
  <c r="J1571" i="4"/>
  <c r="K1571" i="4"/>
  <c r="L1571" i="4"/>
  <c r="N1571" i="4"/>
  <c r="O1571" i="4"/>
  <c r="Q1571" i="4"/>
  <c r="R1571" i="4"/>
  <c r="S1571" i="4"/>
  <c r="T1571" i="4"/>
  <c r="Y1571" i="4"/>
  <c r="E1572" i="4"/>
  <c r="F1572" i="4"/>
  <c r="G1572" i="4"/>
  <c r="I1572" i="4"/>
  <c r="J1572" i="4"/>
  <c r="K1572" i="4"/>
  <c r="L1572" i="4"/>
  <c r="N1572" i="4"/>
  <c r="O1572" i="4"/>
  <c r="Q1572" i="4"/>
  <c r="R1572" i="4"/>
  <c r="S1572" i="4"/>
  <c r="T1572" i="4"/>
  <c r="Y1572" i="4"/>
  <c r="E1573" i="4"/>
  <c r="F1573" i="4"/>
  <c r="G1573" i="4"/>
  <c r="I1573" i="4"/>
  <c r="J1573" i="4"/>
  <c r="K1573" i="4"/>
  <c r="L1573" i="4"/>
  <c r="N1573" i="4"/>
  <c r="O1573" i="4"/>
  <c r="Q1573" i="4"/>
  <c r="R1573" i="4"/>
  <c r="S1573" i="4"/>
  <c r="T1573" i="4"/>
  <c r="Y1573" i="4"/>
  <c r="E1574" i="4"/>
  <c r="F1574" i="4"/>
  <c r="G1574" i="4"/>
  <c r="I1574" i="4"/>
  <c r="J1574" i="4"/>
  <c r="K1574" i="4"/>
  <c r="L1574" i="4"/>
  <c r="N1574" i="4"/>
  <c r="O1574" i="4"/>
  <c r="Q1574" i="4"/>
  <c r="R1574" i="4"/>
  <c r="S1574" i="4"/>
  <c r="T1574" i="4"/>
  <c r="Y1574" i="4"/>
  <c r="E1575" i="4"/>
  <c r="F1575" i="4"/>
  <c r="G1575" i="4"/>
  <c r="I1575" i="4"/>
  <c r="J1575" i="4"/>
  <c r="K1575" i="4"/>
  <c r="L1575" i="4"/>
  <c r="N1575" i="4"/>
  <c r="O1575" i="4"/>
  <c r="Q1575" i="4"/>
  <c r="R1575" i="4"/>
  <c r="S1575" i="4"/>
  <c r="T1575" i="4"/>
  <c r="Y1575" i="4"/>
  <c r="E1576" i="4"/>
  <c r="F1576" i="4"/>
  <c r="G1576" i="4"/>
  <c r="I1576" i="4"/>
  <c r="J1576" i="4"/>
  <c r="K1576" i="4"/>
  <c r="L1576" i="4"/>
  <c r="N1576" i="4"/>
  <c r="O1576" i="4"/>
  <c r="Q1576" i="4"/>
  <c r="R1576" i="4"/>
  <c r="S1576" i="4"/>
  <c r="T1576" i="4"/>
  <c r="Y1576" i="4"/>
  <c r="E1577" i="4"/>
  <c r="F1577" i="4"/>
  <c r="G1577" i="4"/>
  <c r="I1577" i="4"/>
  <c r="J1577" i="4"/>
  <c r="K1577" i="4"/>
  <c r="L1577" i="4"/>
  <c r="N1577" i="4"/>
  <c r="O1577" i="4"/>
  <c r="Q1577" i="4"/>
  <c r="R1577" i="4"/>
  <c r="S1577" i="4"/>
  <c r="T1577" i="4"/>
  <c r="Y1577" i="4"/>
  <c r="E1578" i="4"/>
  <c r="F1578" i="4"/>
  <c r="G1578" i="4"/>
  <c r="I1578" i="4"/>
  <c r="J1578" i="4"/>
  <c r="K1578" i="4"/>
  <c r="L1578" i="4"/>
  <c r="N1578" i="4"/>
  <c r="O1578" i="4"/>
  <c r="Q1578" i="4"/>
  <c r="R1578" i="4"/>
  <c r="S1578" i="4"/>
  <c r="T1578" i="4"/>
  <c r="Y1578" i="4"/>
  <c r="E1579" i="4"/>
  <c r="F1579" i="4"/>
  <c r="G1579" i="4"/>
  <c r="I1579" i="4"/>
  <c r="J1579" i="4"/>
  <c r="K1579" i="4"/>
  <c r="L1579" i="4"/>
  <c r="N1579" i="4"/>
  <c r="O1579" i="4"/>
  <c r="Q1579" i="4"/>
  <c r="R1579" i="4"/>
  <c r="S1579" i="4"/>
  <c r="T1579" i="4"/>
  <c r="Y1579" i="4"/>
  <c r="E1580" i="4"/>
  <c r="F1580" i="4"/>
  <c r="G1580" i="4"/>
  <c r="I1580" i="4"/>
  <c r="J1580" i="4"/>
  <c r="K1580" i="4"/>
  <c r="L1580" i="4"/>
  <c r="N1580" i="4"/>
  <c r="O1580" i="4"/>
  <c r="Q1580" i="4"/>
  <c r="R1580" i="4"/>
  <c r="S1580" i="4"/>
  <c r="T1580" i="4"/>
  <c r="Y1580" i="4"/>
  <c r="E1581" i="4"/>
  <c r="F1581" i="4"/>
  <c r="G1581" i="4"/>
  <c r="I1581" i="4"/>
  <c r="J1581" i="4"/>
  <c r="K1581" i="4"/>
  <c r="L1581" i="4"/>
  <c r="N1581" i="4"/>
  <c r="O1581" i="4"/>
  <c r="Q1581" i="4"/>
  <c r="R1581" i="4"/>
  <c r="S1581" i="4"/>
  <c r="T1581" i="4"/>
  <c r="Y1581" i="4"/>
  <c r="E1582" i="4"/>
  <c r="F1582" i="4"/>
  <c r="G1582" i="4"/>
  <c r="I1582" i="4"/>
  <c r="J1582" i="4"/>
  <c r="K1582" i="4"/>
  <c r="L1582" i="4"/>
  <c r="N1582" i="4"/>
  <c r="O1582" i="4"/>
  <c r="Q1582" i="4"/>
  <c r="R1582" i="4"/>
  <c r="S1582" i="4"/>
  <c r="T1582" i="4"/>
  <c r="Y1582" i="4"/>
  <c r="E1583" i="4"/>
  <c r="F1583" i="4"/>
  <c r="G1583" i="4"/>
  <c r="I1583" i="4"/>
  <c r="J1583" i="4"/>
  <c r="K1583" i="4"/>
  <c r="L1583" i="4"/>
  <c r="N1583" i="4"/>
  <c r="O1583" i="4"/>
  <c r="Q1583" i="4"/>
  <c r="R1583" i="4"/>
  <c r="S1583" i="4"/>
  <c r="T1583" i="4"/>
  <c r="Y1583" i="4"/>
  <c r="E1584" i="4"/>
  <c r="F1584" i="4"/>
  <c r="G1584" i="4"/>
  <c r="I1584" i="4"/>
  <c r="J1584" i="4"/>
  <c r="K1584" i="4"/>
  <c r="L1584" i="4"/>
  <c r="N1584" i="4"/>
  <c r="O1584" i="4"/>
  <c r="Q1584" i="4"/>
  <c r="R1584" i="4"/>
  <c r="S1584" i="4"/>
  <c r="T1584" i="4"/>
  <c r="Y1584" i="4"/>
  <c r="E1585" i="4"/>
  <c r="F1585" i="4"/>
  <c r="G1585" i="4"/>
  <c r="I1585" i="4"/>
  <c r="J1585" i="4"/>
  <c r="K1585" i="4"/>
  <c r="L1585" i="4"/>
  <c r="N1585" i="4"/>
  <c r="O1585" i="4"/>
  <c r="Q1585" i="4"/>
  <c r="R1585" i="4"/>
  <c r="S1585" i="4"/>
  <c r="T1585" i="4"/>
  <c r="Y1585" i="4"/>
  <c r="E1586" i="4"/>
  <c r="F1586" i="4"/>
  <c r="G1586" i="4"/>
  <c r="I1586" i="4"/>
  <c r="J1586" i="4"/>
  <c r="K1586" i="4"/>
  <c r="L1586" i="4"/>
  <c r="N1586" i="4"/>
  <c r="O1586" i="4"/>
  <c r="Q1586" i="4"/>
  <c r="R1586" i="4"/>
  <c r="S1586" i="4"/>
  <c r="T1586" i="4"/>
  <c r="Y1586" i="4"/>
  <c r="E1587" i="4"/>
  <c r="F1587" i="4"/>
  <c r="G1587" i="4"/>
  <c r="I1587" i="4"/>
  <c r="J1587" i="4"/>
  <c r="K1587" i="4"/>
  <c r="L1587" i="4"/>
  <c r="N1587" i="4"/>
  <c r="O1587" i="4"/>
  <c r="Q1587" i="4"/>
  <c r="R1587" i="4"/>
  <c r="S1587" i="4"/>
  <c r="T1587" i="4"/>
  <c r="Y1587" i="4"/>
  <c r="E1588" i="4"/>
  <c r="F1588" i="4"/>
  <c r="G1588" i="4"/>
  <c r="I1588" i="4"/>
  <c r="J1588" i="4"/>
  <c r="K1588" i="4"/>
  <c r="L1588" i="4"/>
  <c r="N1588" i="4"/>
  <c r="O1588" i="4"/>
  <c r="Q1588" i="4"/>
  <c r="R1588" i="4"/>
  <c r="S1588" i="4"/>
  <c r="T1588" i="4"/>
  <c r="Y1588" i="4"/>
  <c r="E1589" i="4"/>
  <c r="F1589" i="4"/>
  <c r="G1589" i="4"/>
  <c r="I1589" i="4"/>
  <c r="J1589" i="4"/>
  <c r="K1589" i="4"/>
  <c r="L1589" i="4"/>
  <c r="N1589" i="4"/>
  <c r="O1589" i="4"/>
  <c r="Q1589" i="4"/>
  <c r="R1589" i="4"/>
  <c r="S1589" i="4"/>
  <c r="T1589" i="4"/>
  <c r="V1589" i="4"/>
  <c r="W1589" i="4"/>
  <c r="Y1589" i="4"/>
  <c r="E1590" i="4"/>
  <c r="F1590" i="4"/>
  <c r="G1590" i="4"/>
  <c r="I1590" i="4"/>
  <c r="J1590" i="4"/>
  <c r="K1590" i="4"/>
  <c r="L1590" i="4"/>
  <c r="N1590" i="4"/>
  <c r="O1590" i="4"/>
  <c r="Q1590" i="4"/>
  <c r="R1590" i="4"/>
  <c r="S1590" i="4"/>
  <c r="T1590" i="4"/>
  <c r="Y1590" i="4"/>
  <c r="P1592" i="4"/>
  <c r="X1592" i="4" s="1"/>
  <c r="X1593" i="4"/>
  <c r="X1594" i="4"/>
  <c r="X1595" i="4"/>
  <c r="E1596" i="4"/>
  <c r="F1596" i="4"/>
  <c r="G1596" i="4"/>
  <c r="I1596" i="4"/>
  <c r="J1596" i="4"/>
  <c r="K1596" i="4"/>
  <c r="L1596" i="4"/>
  <c r="N1596" i="4"/>
  <c r="O1596" i="4"/>
  <c r="Q1596" i="4"/>
  <c r="R1596" i="4"/>
  <c r="S1596" i="4"/>
  <c r="T1596" i="4"/>
  <c r="Y1596" i="4"/>
  <c r="E1597" i="4"/>
  <c r="F1597" i="4"/>
  <c r="G1597" i="4"/>
  <c r="I1597" i="4"/>
  <c r="J1597" i="4"/>
  <c r="K1597" i="4"/>
  <c r="L1597" i="4"/>
  <c r="N1597" i="4"/>
  <c r="O1597" i="4"/>
  <c r="Q1597" i="4"/>
  <c r="R1597" i="4"/>
  <c r="S1597" i="4"/>
  <c r="T1597" i="4"/>
  <c r="Y1597" i="4"/>
  <c r="F1598" i="4"/>
  <c r="G1598" i="4"/>
  <c r="I1598" i="4"/>
  <c r="J1598" i="4"/>
  <c r="K1598" i="4"/>
  <c r="L1598" i="4"/>
  <c r="N1598" i="4"/>
  <c r="O1598" i="4"/>
  <c r="Q1598" i="4"/>
  <c r="R1598" i="4"/>
  <c r="S1598" i="4"/>
  <c r="T1598" i="4"/>
  <c r="Y1598" i="4"/>
  <c r="E1599" i="4"/>
  <c r="F1599" i="4"/>
  <c r="G1599" i="4"/>
  <c r="I1599" i="4"/>
  <c r="J1599" i="4"/>
  <c r="K1599" i="4"/>
  <c r="L1599" i="4"/>
  <c r="N1599" i="4"/>
  <c r="O1599" i="4"/>
  <c r="Q1599" i="4"/>
  <c r="R1599" i="4"/>
  <c r="S1599" i="4"/>
  <c r="T1599" i="4"/>
  <c r="Y1599" i="4"/>
  <c r="E1600" i="4"/>
  <c r="F1600" i="4"/>
  <c r="G1600" i="4"/>
  <c r="I1600" i="4"/>
  <c r="J1600" i="4"/>
  <c r="K1600" i="4"/>
  <c r="L1600" i="4"/>
  <c r="N1600" i="4"/>
  <c r="O1600" i="4"/>
  <c r="Q1600" i="4"/>
  <c r="R1600" i="4"/>
  <c r="S1600" i="4"/>
  <c r="T1600" i="4"/>
  <c r="Y1600" i="4"/>
  <c r="F1601" i="4"/>
  <c r="G1601" i="4"/>
  <c r="I1601" i="4"/>
  <c r="J1601" i="4"/>
  <c r="K1601" i="4"/>
  <c r="L1601" i="4"/>
  <c r="N1601" i="4"/>
  <c r="O1601" i="4"/>
  <c r="Q1601" i="4"/>
  <c r="R1601" i="4"/>
  <c r="S1601" i="4"/>
  <c r="T1601" i="4"/>
  <c r="Y1601" i="4"/>
  <c r="E1602" i="4"/>
  <c r="F1602" i="4"/>
  <c r="G1602" i="4"/>
  <c r="I1602" i="4"/>
  <c r="J1602" i="4"/>
  <c r="K1602" i="4"/>
  <c r="L1602" i="4"/>
  <c r="N1602" i="4"/>
  <c r="O1602" i="4"/>
  <c r="Q1602" i="4"/>
  <c r="R1602" i="4"/>
  <c r="S1602" i="4"/>
  <c r="T1602" i="4"/>
  <c r="Y1602" i="4"/>
  <c r="E1603" i="4"/>
  <c r="F1603" i="4"/>
  <c r="G1603" i="4"/>
  <c r="I1603" i="4"/>
  <c r="J1603" i="4"/>
  <c r="K1603" i="4"/>
  <c r="L1603" i="4"/>
  <c r="N1603" i="4"/>
  <c r="O1603" i="4"/>
  <c r="Q1603" i="4"/>
  <c r="R1603" i="4"/>
  <c r="S1603" i="4"/>
  <c r="T1603" i="4"/>
  <c r="Y1603" i="4"/>
  <c r="E1604" i="4"/>
  <c r="F1604" i="4"/>
  <c r="G1604" i="4"/>
  <c r="H1604" i="4"/>
  <c r="I1604" i="4"/>
  <c r="J1604" i="4"/>
  <c r="K1604" i="4"/>
  <c r="L1604" i="4"/>
  <c r="M1604" i="4"/>
  <c r="N1604" i="4"/>
  <c r="O1604" i="4"/>
  <c r="P1604" i="4"/>
  <c r="Q1604" i="4"/>
  <c r="R1604" i="4"/>
  <c r="S1604" i="4"/>
  <c r="T1604" i="4"/>
  <c r="U1604" i="4"/>
  <c r="V1604" i="4"/>
  <c r="W1604" i="4"/>
  <c r="X1604" i="4"/>
  <c r="Y1604" i="4"/>
  <c r="Z1604" i="4"/>
  <c r="AA1604" i="4"/>
  <c r="AB1604" i="4"/>
  <c r="E1605" i="4"/>
  <c r="F1605" i="4"/>
  <c r="G1605" i="4"/>
  <c r="I1605" i="4"/>
  <c r="J1605" i="4"/>
  <c r="K1605" i="4"/>
  <c r="L1605" i="4"/>
  <c r="N1605" i="4"/>
  <c r="O1605" i="4"/>
  <c r="Q1605" i="4"/>
  <c r="R1605" i="4"/>
  <c r="S1605" i="4"/>
  <c r="T1605" i="4"/>
  <c r="Y1605" i="4"/>
  <c r="E1606" i="4"/>
  <c r="F1606" i="4"/>
  <c r="G1606" i="4"/>
  <c r="I1606" i="4"/>
  <c r="J1606" i="4"/>
  <c r="K1606" i="4"/>
  <c r="L1606" i="4"/>
  <c r="N1606" i="4"/>
  <c r="O1606" i="4"/>
  <c r="Q1606" i="4"/>
  <c r="R1606" i="4"/>
  <c r="S1606" i="4"/>
  <c r="T1606" i="4"/>
  <c r="Y1606" i="4"/>
  <c r="E1607" i="4"/>
  <c r="F1607" i="4"/>
  <c r="G1607" i="4"/>
  <c r="I1607" i="4"/>
  <c r="J1607" i="4"/>
  <c r="K1607" i="4"/>
  <c r="L1607" i="4"/>
  <c r="N1607" i="4"/>
  <c r="O1607" i="4"/>
  <c r="Q1607" i="4"/>
  <c r="R1607" i="4"/>
  <c r="S1607" i="4"/>
  <c r="T1607" i="4"/>
  <c r="Y1607" i="4"/>
  <c r="E1608" i="4"/>
  <c r="G1608" i="4"/>
  <c r="I1608" i="4"/>
  <c r="J1608" i="4"/>
  <c r="K1608" i="4"/>
  <c r="L1608" i="4"/>
  <c r="N1608" i="4"/>
  <c r="O1608" i="4"/>
  <c r="Q1608" i="4"/>
  <c r="R1608" i="4"/>
  <c r="S1608" i="4"/>
  <c r="T1608" i="4"/>
  <c r="Y1608" i="4"/>
  <c r="E1609" i="4"/>
  <c r="F1609" i="4"/>
  <c r="G1609" i="4"/>
  <c r="I1609" i="4"/>
  <c r="J1609" i="4"/>
  <c r="K1609" i="4"/>
  <c r="L1609" i="4"/>
  <c r="N1609" i="4"/>
  <c r="O1609" i="4"/>
  <c r="Q1609" i="4"/>
  <c r="R1609" i="4"/>
  <c r="S1609" i="4"/>
  <c r="T1609" i="4"/>
  <c r="Y1609" i="4"/>
  <c r="E1610" i="4"/>
  <c r="F1610" i="4"/>
  <c r="G1610" i="4"/>
  <c r="I1610" i="4"/>
  <c r="J1610" i="4"/>
  <c r="K1610" i="4"/>
  <c r="L1610" i="4"/>
  <c r="N1610" i="4"/>
  <c r="O1610" i="4"/>
  <c r="Q1610" i="4"/>
  <c r="R1610" i="4"/>
  <c r="S1610" i="4"/>
  <c r="T1610" i="4"/>
  <c r="Y1610" i="4"/>
  <c r="E1611" i="4"/>
  <c r="F1611" i="4"/>
  <c r="G1611" i="4"/>
  <c r="I1611" i="4"/>
  <c r="J1611" i="4"/>
  <c r="K1611" i="4"/>
  <c r="L1611" i="4"/>
  <c r="N1611" i="4"/>
  <c r="O1611" i="4"/>
  <c r="Q1611" i="4"/>
  <c r="R1611" i="4"/>
  <c r="S1611" i="4"/>
  <c r="T1611" i="4"/>
  <c r="Y1611" i="4"/>
  <c r="E1612" i="4"/>
  <c r="F1612" i="4"/>
  <c r="G1612" i="4"/>
  <c r="I1612" i="4"/>
  <c r="J1612" i="4"/>
  <c r="K1612" i="4"/>
  <c r="L1612" i="4"/>
  <c r="N1612" i="4"/>
  <c r="O1612" i="4"/>
  <c r="Q1612" i="4"/>
  <c r="R1612" i="4"/>
  <c r="S1612" i="4"/>
  <c r="T1612" i="4"/>
  <c r="Y1612" i="4"/>
  <c r="E1613" i="4"/>
  <c r="F1613" i="4"/>
  <c r="G1613" i="4"/>
  <c r="I1613" i="4"/>
  <c r="J1613" i="4"/>
  <c r="K1613" i="4"/>
  <c r="L1613" i="4"/>
  <c r="N1613" i="4"/>
  <c r="O1613" i="4"/>
  <c r="Q1613" i="4"/>
  <c r="R1613" i="4"/>
  <c r="S1613" i="4"/>
  <c r="T1613" i="4"/>
  <c r="Y1613" i="4"/>
  <c r="E1614" i="4"/>
  <c r="F1614" i="4"/>
  <c r="G1614" i="4"/>
  <c r="I1614" i="4"/>
  <c r="J1614" i="4"/>
  <c r="K1614" i="4"/>
  <c r="L1614" i="4"/>
  <c r="N1614" i="4"/>
  <c r="O1614" i="4"/>
  <c r="Q1614" i="4"/>
  <c r="R1614" i="4"/>
  <c r="S1614" i="4"/>
  <c r="T1614" i="4"/>
  <c r="Y1614" i="4"/>
  <c r="E1615" i="4"/>
  <c r="F1615" i="4"/>
  <c r="G1615" i="4"/>
  <c r="I1615" i="4"/>
  <c r="J1615" i="4"/>
  <c r="K1615" i="4"/>
  <c r="L1615" i="4"/>
  <c r="N1615" i="4"/>
  <c r="O1615" i="4"/>
  <c r="Q1615" i="4"/>
  <c r="R1615" i="4"/>
  <c r="S1615" i="4"/>
  <c r="T1615" i="4"/>
  <c r="V1615" i="4"/>
  <c r="W1615" i="4"/>
  <c r="Y1615" i="4"/>
  <c r="E1616" i="4"/>
  <c r="F1616" i="4"/>
  <c r="G1616" i="4"/>
  <c r="I1616" i="4"/>
  <c r="J1616" i="4"/>
  <c r="K1616" i="4"/>
  <c r="L1616" i="4"/>
  <c r="N1616" i="4"/>
  <c r="O1616" i="4"/>
  <c r="Q1616" i="4"/>
  <c r="R1616" i="4"/>
  <c r="S1616" i="4"/>
  <c r="T1616" i="4"/>
  <c r="Y1616" i="4"/>
  <c r="X1617" i="4"/>
  <c r="P1618" i="4"/>
  <c r="X1619" i="4"/>
  <c r="X1620" i="4"/>
  <c r="E1621" i="4"/>
  <c r="F1621" i="4"/>
  <c r="G1621" i="4"/>
  <c r="I1621" i="4"/>
  <c r="J1621" i="4"/>
  <c r="K1621" i="4"/>
  <c r="L1621" i="4"/>
  <c r="N1621" i="4"/>
  <c r="O1621" i="4"/>
  <c r="Q1621" i="4"/>
  <c r="R1621" i="4"/>
  <c r="S1621" i="4"/>
  <c r="T1621" i="4"/>
  <c r="Y1621" i="4"/>
  <c r="E1622" i="4"/>
  <c r="F1622" i="4"/>
  <c r="G1622" i="4"/>
  <c r="I1622" i="4"/>
  <c r="J1622" i="4"/>
  <c r="K1622" i="4"/>
  <c r="L1622" i="4"/>
  <c r="N1622" i="4"/>
  <c r="O1622" i="4"/>
  <c r="Q1622" i="4"/>
  <c r="R1622" i="4"/>
  <c r="S1622" i="4"/>
  <c r="T1622" i="4"/>
  <c r="Y1622" i="4"/>
  <c r="E1623" i="4"/>
  <c r="F1623" i="4"/>
  <c r="G1623" i="4"/>
  <c r="I1623" i="4"/>
  <c r="J1623" i="4"/>
  <c r="K1623" i="4"/>
  <c r="L1623" i="4"/>
  <c r="N1623" i="4"/>
  <c r="O1623" i="4"/>
  <c r="Q1623" i="4"/>
  <c r="R1623" i="4"/>
  <c r="S1623" i="4"/>
  <c r="T1623" i="4"/>
  <c r="Y1623" i="4"/>
  <c r="F1624" i="4"/>
  <c r="G1624" i="4"/>
  <c r="I1624" i="4"/>
  <c r="J1624" i="4"/>
  <c r="K1624" i="4"/>
  <c r="L1624" i="4"/>
  <c r="N1624" i="4"/>
  <c r="O1624" i="4"/>
  <c r="Q1624" i="4"/>
  <c r="R1624" i="4"/>
  <c r="S1624" i="4"/>
  <c r="T1624" i="4"/>
  <c r="Y1624" i="4"/>
  <c r="E1625" i="4"/>
  <c r="F1625" i="4"/>
  <c r="G1625" i="4"/>
  <c r="I1625" i="4"/>
  <c r="J1625" i="4"/>
  <c r="K1625" i="4"/>
  <c r="L1625" i="4"/>
  <c r="N1625" i="4"/>
  <c r="O1625" i="4"/>
  <c r="Q1625" i="4"/>
  <c r="R1625" i="4"/>
  <c r="S1625" i="4"/>
  <c r="T1625" i="4"/>
  <c r="Y1625" i="4"/>
  <c r="E1626" i="4"/>
  <c r="F1626" i="4"/>
  <c r="G1626" i="4"/>
  <c r="I1626" i="4"/>
  <c r="J1626" i="4"/>
  <c r="K1626" i="4"/>
  <c r="L1626" i="4"/>
  <c r="N1626" i="4"/>
  <c r="O1626" i="4"/>
  <c r="Q1626" i="4"/>
  <c r="R1626" i="4"/>
  <c r="S1626" i="4"/>
  <c r="T1626" i="4"/>
  <c r="Y1626" i="4"/>
  <c r="E1627" i="4"/>
  <c r="F1627" i="4"/>
  <c r="G1627" i="4"/>
  <c r="I1627" i="4"/>
  <c r="J1627" i="4"/>
  <c r="K1627" i="4"/>
  <c r="L1627" i="4"/>
  <c r="N1627" i="4"/>
  <c r="O1627" i="4"/>
  <c r="Q1627" i="4"/>
  <c r="R1627" i="4"/>
  <c r="S1627" i="4"/>
  <c r="T1627" i="4"/>
  <c r="Y1627" i="4"/>
  <c r="E1628" i="4"/>
  <c r="F1628" i="4"/>
  <c r="G1628" i="4"/>
  <c r="I1628" i="4"/>
  <c r="J1628" i="4"/>
  <c r="K1628" i="4"/>
  <c r="L1628" i="4"/>
  <c r="N1628" i="4"/>
  <c r="O1628" i="4"/>
  <c r="Q1628" i="4"/>
  <c r="R1628" i="4"/>
  <c r="S1628" i="4"/>
  <c r="T1628" i="4"/>
  <c r="Y1628" i="4"/>
  <c r="E1629" i="4"/>
  <c r="F1629" i="4"/>
  <c r="G1629" i="4"/>
  <c r="I1629" i="4"/>
  <c r="J1629" i="4"/>
  <c r="K1629" i="4"/>
  <c r="L1629" i="4"/>
  <c r="N1629" i="4"/>
  <c r="O1629" i="4"/>
  <c r="Q1629" i="4"/>
  <c r="R1629" i="4"/>
  <c r="S1629" i="4"/>
  <c r="T1629" i="4"/>
  <c r="Y1629" i="4"/>
  <c r="E1630" i="4"/>
  <c r="F1630" i="4"/>
  <c r="G1630" i="4"/>
  <c r="I1630" i="4"/>
  <c r="J1630" i="4"/>
  <c r="K1630" i="4"/>
  <c r="L1630" i="4"/>
  <c r="N1630" i="4"/>
  <c r="O1630" i="4"/>
  <c r="Q1630" i="4"/>
  <c r="R1630" i="4"/>
  <c r="S1630" i="4"/>
  <c r="T1630" i="4"/>
  <c r="Y1630" i="4"/>
  <c r="G1631" i="4"/>
  <c r="I1631" i="4"/>
  <c r="J1631" i="4"/>
  <c r="K1631" i="4"/>
  <c r="L1631" i="4"/>
  <c r="N1631" i="4"/>
  <c r="O1631" i="4"/>
  <c r="Q1631" i="4"/>
  <c r="R1631" i="4"/>
  <c r="S1631" i="4"/>
  <c r="T1631" i="4"/>
  <c r="Y1631" i="4"/>
  <c r="E1632" i="4"/>
  <c r="F1632" i="4"/>
  <c r="G1632" i="4"/>
  <c r="I1632" i="4"/>
  <c r="J1632" i="4"/>
  <c r="K1632" i="4"/>
  <c r="L1632" i="4"/>
  <c r="N1632" i="4"/>
  <c r="O1632" i="4"/>
  <c r="Q1632" i="4"/>
  <c r="R1632" i="4"/>
  <c r="S1632" i="4"/>
  <c r="T1632" i="4"/>
  <c r="W1632" i="4"/>
  <c r="Y1632" i="4"/>
  <c r="E1633" i="4"/>
  <c r="F1633" i="4"/>
  <c r="G1633" i="4"/>
  <c r="I1633" i="4"/>
  <c r="J1633" i="4"/>
  <c r="K1633" i="4"/>
  <c r="L1633" i="4"/>
  <c r="N1633" i="4"/>
  <c r="O1633" i="4"/>
  <c r="Q1633" i="4"/>
  <c r="R1633" i="4"/>
  <c r="S1633" i="4"/>
  <c r="T1633" i="4"/>
  <c r="Y1633" i="4"/>
  <c r="E1634" i="4"/>
  <c r="F1634" i="4"/>
  <c r="G1634" i="4"/>
  <c r="I1634" i="4"/>
  <c r="J1634" i="4"/>
  <c r="K1634" i="4"/>
  <c r="L1634" i="4"/>
  <c r="N1634" i="4"/>
  <c r="O1634" i="4"/>
  <c r="P1634" i="4"/>
  <c r="Q1634" i="4"/>
  <c r="R1634" i="4"/>
  <c r="S1634" i="4"/>
  <c r="T1634" i="4"/>
  <c r="Y1634" i="4"/>
  <c r="E1635" i="4"/>
  <c r="F1635" i="4"/>
  <c r="G1635" i="4"/>
  <c r="I1635" i="4"/>
  <c r="J1635" i="4"/>
  <c r="K1635" i="4"/>
  <c r="L1635" i="4"/>
  <c r="N1635" i="4"/>
  <c r="O1635" i="4"/>
  <c r="Q1635" i="4"/>
  <c r="R1635" i="4"/>
  <c r="S1635" i="4"/>
  <c r="T1635" i="4"/>
  <c r="Y1635" i="4"/>
  <c r="E1636" i="4"/>
  <c r="F1636" i="4"/>
  <c r="G1636" i="4"/>
  <c r="I1636" i="4"/>
  <c r="J1636" i="4"/>
  <c r="K1636" i="4"/>
  <c r="L1636" i="4"/>
  <c r="N1636" i="4"/>
  <c r="O1636" i="4"/>
  <c r="Q1636" i="4"/>
  <c r="R1636" i="4"/>
  <c r="S1636" i="4"/>
  <c r="T1636" i="4"/>
  <c r="V1636" i="4"/>
  <c r="W1636" i="4"/>
  <c r="Y1636" i="4"/>
  <c r="G1637" i="4"/>
  <c r="I1637" i="4"/>
  <c r="J1637" i="4"/>
  <c r="K1637" i="4"/>
  <c r="L1637" i="4"/>
  <c r="N1637" i="4"/>
  <c r="O1637" i="4"/>
  <c r="Q1637" i="4"/>
  <c r="R1637" i="4"/>
  <c r="S1637" i="4"/>
  <c r="T1637" i="4"/>
  <c r="Y1637" i="4"/>
  <c r="X1638" i="4"/>
  <c r="P1639" i="4"/>
  <c r="X1640" i="4"/>
  <c r="X1641" i="4"/>
  <c r="F1642" i="4"/>
  <c r="G1642" i="4"/>
  <c r="I1642" i="4"/>
  <c r="J1642" i="4"/>
  <c r="K1642" i="4"/>
  <c r="L1642" i="4"/>
  <c r="N1642" i="4"/>
  <c r="O1642" i="4"/>
  <c r="Q1642" i="4"/>
  <c r="R1642" i="4"/>
  <c r="S1642" i="4"/>
  <c r="T1642" i="4"/>
  <c r="Y1642" i="4"/>
  <c r="E1643" i="4"/>
  <c r="F1643" i="4"/>
  <c r="G1643" i="4"/>
  <c r="I1643" i="4"/>
  <c r="J1643" i="4"/>
  <c r="K1643" i="4"/>
  <c r="L1643" i="4"/>
  <c r="N1643" i="4"/>
  <c r="O1643" i="4"/>
  <c r="Q1643" i="4"/>
  <c r="R1643" i="4"/>
  <c r="S1643" i="4"/>
  <c r="T1643" i="4"/>
  <c r="Y1643" i="4"/>
  <c r="E1644" i="4"/>
  <c r="F1644" i="4"/>
  <c r="G1644" i="4"/>
  <c r="I1644" i="4"/>
  <c r="J1644" i="4"/>
  <c r="K1644" i="4"/>
  <c r="L1644" i="4"/>
  <c r="N1644" i="4"/>
  <c r="O1644" i="4"/>
  <c r="Q1644" i="4"/>
  <c r="R1644" i="4"/>
  <c r="S1644" i="4"/>
  <c r="T1644" i="4"/>
  <c r="Y1644" i="4"/>
  <c r="E1645" i="4"/>
  <c r="F1645" i="4"/>
  <c r="G1645" i="4"/>
  <c r="I1645" i="4"/>
  <c r="J1645" i="4"/>
  <c r="K1645" i="4"/>
  <c r="L1645" i="4"/>
  <c r="N1645" i="4"/>
  <c r="O1645" i="4"/>
  <c r="Q1645" i="4"/>
  <c r="R1645" i="4"/>
  <c r="S1645" i="4"/>
  <c r="T1645" i="4"/>
  <c r="Y1645" i="4"/>
  <c r="E1646" i="4"/>
  <c r="F1646" i="4"/>
  <c r="G1646" i="4"/>
  <c r="I1646" i="4"/>
  <c r="J1646" i="4"/>
  <c r="K1646" i="4"/>
  <c r="L1646" i="4"/>
  <c r="N1646" i="4"/>
  <c r="O1646" i="4"/>
  <c r="Q1646" i="4"/>
  <c r="R1646" i="4"/>
  <c r="S1646" i="4"/>
  <c r="T1646" i="4"/>
  <c r="Y1646" i="4"/>
  <c r="E1647" i="4"/>
  <c r="F1647" i="4"/>
  <c r="G1647" i="4"/>
  <c r="I1647" i="4"/>
  <c r="J1647" i="4"/>
  <c r="K1647" i="4"/>
  <c r="L1647" i="4"/>
  <c r="N1647" i="4"/>
  <c r="O1647" i="4"/>
  <c r="Q1647" i="4"/>
  <c r="R1647" i="4"/>
  <c r="S1647" i="4"/>
  <c r="T1647" i="4"/>
  <c r="Y1647" i="4"/>
  <c r="E1648" i="4"/>
  <c r="F1648" i="4"/>
  <c r="G1648" i="4"/>
  <c r="H1648" i="4"/>
  <c r="I1648" i="4"/>
  <c r="J1648" i="4"/>
  <c r="K1648" i="4"/>
  <c r="L1648" i="4"/>
  <c r="M1648" i="4"/>
  <c r="N1648" i="4"/>
  <c r="O1648" i="4"/>
  <c r="P1648" i="4"/>
  <c r="Q1648" i="4"/>
  <c r="R1648" i="4"/>
  <c r="S1648" i="4"/>
  <c r="T1648" i="4"/>
  <c r="U1648" i="4"/>
  <c r="V1648" i="4"/>
  <c r="W1648" i="4"/>
  <c r="X1648" i="4"/>
  <c r="Y1648" i="4"/>
  <c r="Z1648" i="4"/>
  <c r="AA1648" i="4"/>
  <c r="AB1648" i="4"/>
  <c r="E1649" i="4"/>
  <c r="F1649" i="4"/>
  <c r="G1649" i="4"/>
  <c r="I1649" i="4"/>
  <c r="J1649" i="4"/>
  <c r="K1649" i="4"/>
  <c r="L1649" i="4"/>
  <c r="N1649" i="4"/>
  <c r="O1649" i="4"/>
  <c r="Q1649" i="4"/>
  <c r="R1649" i="4"/>
  <c r="S1649" i="4"/>
  <c r="T1649" i="4"/>
  <c r="Y1649" i="4"/>
  <c r="E1650" i="4"/>
  <c r="F1650" i="4"/>
  <c r="G1650" i="4"/>
  <c r="I1650" i="4"/>
  <c r="J1650" i="4"/>
  <c r="K1650" i="4"/>
  <c r="L1650" i="4"/>
  <c r="N1650" i="4"/>
  <c r="O1650" i="4"/>
  <c r="Q1650" i="4"/>
  <c r="R1650" i="4"/>
  <c r="S1650" i="4"/>
  <c r="T1650" i="4"/>
  <c r="Y1650" i="4"/>
  <c r="E1651" i="4"/>
  <c r="F1651" i="4"/>
  <c r="G1651" i="4"/>
  <c r="I1651" i="4"/>
  <c r="J1651" i="4"/>
  <c r="K1651" i="4"/>
  <c r="L1651" i="4"/>
  <c r="N1651" i="4"/>
  <c r="O1651" i="4"/>
  <c r="Q1651" i="4"/>
  <c r="R1651" i="4"/>
  <c r="S1651" i="4"/>
  <c r="T1651" i="4"/>
  <c r="Y1651" i="4"/>
  <c r="E1652" i="4"/>
  <c r="F1652" i="4"/>
  <c r="G1652" i="4"/>
  <c r="I1652" i="4"/>
  <c r="J1652" i="4"/>
  <c r="K1652" i="4"/>
  <c r="L1652" i="4"/>
  <c r="N1652" i="4"/>
  <c r="O1652" i="4"/>
  <c r="Q1652" i="4"/>
  <c r="R1652" i="4"/>
  <c r="S1652" i="4"/>
  <c r="T1652" i="4"/>
  <c r="Y1652" i="4"/>
  <c r="E1653" i="4"/>
  <c r="F1653" i="4"/>
  <c r="G1653" i="4"/>
  <c r="I1653" i="4"/>
  <c r="J1653" i="4"/>
  <c r="K1653" i="4"/>
  <c r="L1653" i="4"/>
  <c r="N1653" i="4"/>
  <c r="O1653" i="4"/>
  <c r="Q1653" i="4"/>
  <c r="R1653" i="4"/>
  <c r="S1653" i="4"/>
  <c r="T1653" i="4"/>
  <c r="Y1653" i="4"/>
  <c r="E1654" i="4"/>
  <c r="F1654" i="4"/>
  <c r="G1654" i="4"/>
  <c r="I1654" i="4"/>
  <c r="J1654" i="4"/>
  <c r="K1654" i="4"/>
  <c r="L1654" i="4"/>
  <c r="N1654" i="4"/>
  <c r="O1654" i="4"/>
  <c r="Q1654" i="4"/>
  <c r="R1654" i="4"/>
  <c r="S1654" i="4"/>
  <c r="T1654" i="4"/>
  <c r="Y1654" i="4"/>
  <c r="E1655" i="4"/>
  <c r="F1655" i="4"/>
  <c r="G1655" i="4"/>
  <c r="I1655" i="4"/>
  <c r="J1655" i="4"/>
  <c r="K1655" i="4"/>
  <c r="L1655" i="4"/>
  <c r="N1655" i="4"/>
  <c r="O1655" i="4"/>
  <c r="Q1655" i="4"/>
  <c r="R1655" i="4"/>
  <c r="S1655" i="4"/>
  <c r="T1655" i="4"/>
  <c r="Y1655" i="4"/>
  <c r="E1656" i="4"/>
  <c r="F1656" i="4"/>
  <c r="G1656" i="4"/>
  <c r="I1656" i="4"/>
  <c r="J1656" i="4"/>
  <c r="K1656" i="4"/>
  <c r="L1656" i="4"/>
  <c r="N1656" i="4"/>
  <c r="O1656" i="4"/>
  <c r="Q1656" i="4"/>
  <c r="R1656" i="4"/>
  <c r="S1656" i="4"/>
  <c r="T1656" i="4"/>
  <c r="Y1656" i="4"/>
  <c r="G1657" i="4"/>
  <c r="I1657" i="4"/>
  <c r="J1657" i="4"/>
  <c r="K1657" i="4"/>
  <c r="L1657" i="4"/>
  <c r="N1657" i="4"/>
  <c r="O1657" i="4"/>
  <c r="Q1657" i="4"/>
  <c r="R1657" i="4"/>
  <c r="S1657" i="4"/>
  <c r="T1657" i="4"/>
  <c r="Y1657" i="4"/>
  <c r="X1658" i="4"/>
  <c r="P1659" i="4"/>
  <c r="X1660" i="4"/>
  <c r="X1661" i="4"/>
  <c r="E1662" i="4"/>
  <c r="F1662" i="4"/>
  <c r="G1662" i="4"/>
  <c r="I1662" i="4"/>
  <c r="J1662" i="4"/>
  <c r="K1662" i="4"/>
  <c r="L1662" i="4"/>
  <c r="N1662" i="4"/>
  <c r="O1662" i="4"/>
  <c r="Q1662" i="4"/>
  <c r="R1662" i="4"/>
  <c r="S1662" i="4"/>
  <c r="T1662" i="4"/>
  <c r="Y1662" i="4"/>
  <c r="E1663" i="4"/>
  <c r="F1663" i="4"/>
  <c r="G1663" i="4"/>
  <c r="I1663" i="4"/>
  <c r="J1663" i="4"/>
  <c r="K1663" i="4"/>
  <c r="L1663" i="4"/>
  <c r="N1663" i="4"/>
  <c r="O1663" i="4"/>
  <c r="Q1663" i="4"/>
  <c r="R1663" i="4"/>
  <c r="S1663" i="4"/>
  <c r="T1663" i="4"/>
  <c r="Y1663" i="4"/>
  <c r="E1664" i="4"/>
  <c r="F1664" i="4"/>
  <c r="G1664" i="4"/>
  <c r="I1664" i="4"/>
  <c r="J1664" i="4"/>
  <c r="K1664" i="4"/>
  <c r="L1664" i="4"/>
  <c r="N1664" i="4"/>
  <c r="O1664" i="4"/>
  <c r="Q1664" i="4"/>
  <c r="R1664" i="4"/>
  <c r="S1664" i="4"/>
  <c r="T1664" i="4"/>
  <c r="Y1664" i="4"/>
  <c r="E1665" i="4"/>
  <c r="F1665" i="4"/>
  <c r="G1665" i="4"/>
  <c r="I1665" i="4"/>
  <c r="J1665" i="4"/>
  <c r="K1665" i="4"/>
  <c r="L1665" i="4"/>
  <c r="N1665" i="4"/>
  <c r="O1665" i="4"/>
  <c r="Q1665" i="4"/>
  <c r="R1665" i="4"/>
  <c r="S1665" i="4"/>
  <c r="T1665" i="4"/>
  <c r="Y1665" i="4"/>
  <c r="E1666" i="4"/>
  <c r="F1666" i="4"/>
  <c r="G1666" i="4"/>
  <c r="I1666" i="4"/>
  <c r="J1666" i="4"/>
  <c r="K1666" i="4"/>
  <c r="L1666" i="4"/>
  <c r="N1666" i="4"/>
  <c r="O1666" i="4"/>
  <c r="Q1666" i="4"/>
  <c r="R1666" i="4"/>
  <c r="S1666" i="4"/>
  <c r="T1666" i="4"/>
  <c r="Y1666" i="4"/>
  <c r="E1667" i="4"/>
  <c r="F1667" i="4"/>
  <c r="G1667" i="4"/>
  <c r="I1667" i="4"/>
  <c r="J1667" i="4"/>
  <c r="K1667" i="4"/>
  <c r="L1667" i="4"/>
  <c r="N1667" i="4"/>
  <c r="O1667" i="4"/>
  <c r="Q1667" i="4"/>
  <c r="R1667" i="4"/>
  <c r="S1667" i="4"/>
  <c r="T1667" i="4"/>
  <c r="Y1667" i="4"/>
  <c r="E1668" i="4"/>
  <c r="F1668" i="4"/>
  <c r="G1668" i="4"/>
  <c r="I1668" i="4"/>
  <c r="J1668" i="4"/>
  <c r="K1668" i="4"/>
  <c r="L1668" i="4"/>
  <c r="N1668" i="4"/>
  <c r="O1668" i="4"/>
  <c r="Q1668" i="4"/>
  <c r="R1668" i="4"/>
  <c r="S1668" i="4"/>
  <c r="T1668" i="4"/>
  <c r="Y1668" i="4"/>
  <c r="E1669" i="4"/>
  <c r="F1669" i="4"/>
  <c r="G1669" i="4"/>
  <c r="I1669" i="4"/>
  <c r="J1669" i="4"/>
  <c r="K1669" i="4"/>
  <c r="L1669" i="4"/>
  <c r="N1669" i="4"/>
  <c r="O1669" i="4"/>
  <c r="Q1669" i="4"/>
  <c r="R1669" i="4"/>
  <c r="S1669" i="4"/>
  <c r="T1669" i="4"/>
  <c r="Y1669" i="4"/>
  <c r="E1670" i="4"/>
  <c r="F1670" i="4"/>
  <c r="G1670" i="4"/>
  <c r="I1670" i="4"/>
  <c r="J1670" i="4"/>
  <c r="K1670" i="4"/>
  <c r="L1670" i="4"/>
  <c r="N1670" i="4"/>
  <c r="O1670" i="4"/>
  <c r="Q1670" i="4"/>
  <c r="R1670" i="4"/>
  <c r="S1670" i="4"/>
  <c r="T1670" i="4"/>
  <c r="Y1670" i="4"/>
  <c r="E1671" i="4"/>
  <c r="F1671" i="4"/>
  <c r="G1671" i="4"/>
  <c r="I1671" i="4"/>
  <c r="J1671" i="4"/>
  <c r="K1671" i="4"/>
  <c r="L1671" i="4"/>
  <c r="N1671" i="4"/>
  <c r="O1671" i="4"/>
  <c r="Q1671" i="4"/>
  <c r="R1671" i="4"/>
  <c r="S1671" i="4"/>
  <c r="T1671" i="4"/>
  <c r="Y1671" i="4"/>
  <c r="G1672" i="4"/>
  <c r="I1672" i="4"/>
  <c r="J1672" i="4"/>
  <c r="K1672" i="4"/>
  <c r="L1672" i="4"/>
  <c r="N1672" i="4"/>
  <c r="O1672" i="4"/>
  <c r="Q1672" i="4"/>
  <c r="R1672" i="4"/>
  <c r="S1672" i="4"/>
  <c r="T1672" i="4"/>
  <c r="Y1672" i="4"/>
  <c r="E1673" i="4"/>
  <c r="F1673" i="4"/>
  <c r="G1673" i="4"/>
  <c r="I1673" i="4"/>
  <c r="J1673" i="4"/>
  <c r="K1673" i="4"/>
  <c r="L1673" i="4"/>
  <c r="O1673" i="4"/>
  <c r="Q1673" i="4"/>
  <c r="R1673" i="4"/>
  <c r="S1673" i="4"/>
  <c r="T1673" i="4"/>
  <c r="W1673" i="4"/>
  <c r="Y1673" i="4"/>
  <c r="F1674" i="4"/>
  <c r="G1674" i="4"/>
  <c r="I1674" i="4"/>
  <c r="J1674" i="4"/>
  <c r="K1674" i="4"/>
  <c r="L1674" i="4"/>
  <c r="N1674" i="4"/>
  <c r="O1674" i="4"/>
  <c r="Q1674" i="4"/>
  <c r="R1674" i="4"/>
  <c r="S1674" i="4"/>
  <c r="T1674" i="4"/>
  <c r="Y1674" i="4"/>
  <c r="E1675" i="4"/>
  <c r="F1675" i="4"/>
  <c r="G1675" i="4"/>
  <c r="I1675" i="4"/>
  <c r="J1675" i="4"/>
  <c r="K1675" i="4"/>
  <c r="L1675" i="4"/>
  <c r="N1675" i="4"/>
  <c r="O1675" i="4"/>
  <c r="Q1675" i="4"/>
  <c r="R1675" i="4"/>
  <c r="S1675" i="4"/>
  <c r="T1675" i="4"/>
  <c r="Y1675" i="4"/>
  <c r="E1676" i="4"/>
  <c r="F1676" i="4"/>
  <c r="G1676" i="4"/>
  <c r="I1676" i="4"/>
  <c r="J1676" i="4"/>
  <c r="K1676" i="4"/>
  <c r="L1676" i="4"/>
  <c r="N1676" i="4"/>
  <c r="O1676" i="4"/>
  <c r="Q1676" i="4"/>
  <c r="R1676" i="4"/>
  <c r="S1676" i="4"/>
  <c r="T1676" i="4"/>
  <c r="Y1676" i="4"/>
  <c r="X1677" i="4"/>
  <c r="P1678" i="4"/>
  <c r="X1678" i="4" s="1"/>
  <c r="X1679" i="4"/>
  <c r="X1680" i="4"/>
  <c r="E1681" i="4"/>
  <c r="F1681" i="4"/>
  <c r="G1681" i="4"/>
  <c r="I1681" i="4"/>
  <c r="J1681" i="4"/>
  <c r="K1681" i="4"/>
  <c r="L1681" i="4"/>
  <c r="N1681" i="4"/>
  <c r="O1681" i="4"/>
  <c r="Q1681" i="4"/>
  <c r="R1681" i="4"/>
  <c r="S1681" i="4"/>
  <c r="T1681" i="4"/>
  <c r="Y1681" i="4"/>
  <c r="E1682" i="4"/>
  <c r="F1682" i="4"/>
  <c r="G1682" i="4"/>
  <c r="I1682" i="4"/>
  <c r="J1682" i="4"/>
  <c r="K1682" i="4"/>
  <c r="L1682" i="4"/>
  <c r="N1682" i="4"/>
  <c r="O1682" i="4"/>
  <c r="Q1682" i="4"/>
  <c r="R1682" i="4"/>
  <c r="S1682" i="4"/>
  <c r="T1682" i="4"/>
  <c r="Y1682" i="4"/>
  <c r="E1683" i="4"/>
  <c r="F1683" i="4"/>
  <c r="G1683" i="4"/>
  <c r="I1683" i="4"/>
  <c r="J1683" i="4"/>
  <c r="K1683" i="4"/>
  <c r="L1683" i="4"/>
  <c r="N1683" i="4"/>
  <c r="O1683" i="4"/>
  <c r="Q1683" i="4"/>
  <c r="R1683" i="4"/>
  <c r="S1683" i="4"/>
  <c r="T1683" i="4"/>
  <c r="Y1683" i="4"/>
  <c r="E1684" i="4"/>
  <c r="F1684" i="4"/>
  <c r="G1684" i="4"/>
  <c r="I1684" i="4"/>
  <c r="J1684" i="4"/>
  <c r="K1684" i="4"/>
  <c r="L1684" i="4"/>
  <c r="N1684" i="4"/>
  <c r="O1684" i="4"/>
  <c r="Q1684" i="4"/>
  <c r="R1684" i="4"/>
  <c r="S1684" i="4"/>
  <c r="T1684" i="4"/>
  <c r="Y1684" i="4"/>
  <c r="E1685" i="4"/>
  <c r="F1685" i="4"/>
  <c r="G1685" i="4"/>
  <c r="I1685" i="4"/>
  <c r="J1685" i="4"/>
  <c r="K1685" i="4"/>
  <c r="L1685" i="4"/>
  <c r="N1685" i="4"/>
  <c r="O1685" i="4"/>
  <c r="Q1685" i="4"/>
  <c r="R1685" i="4"/>
  <c r="S1685" i="4"/>
  <c r="T1685" i="4"/>
  <c r="Y1685" i="4"/>
  <c r="E1686" i="4"/>
  <c r="F1686" i="4"/>
  <c r="G1686" i="4"/>
  <c r="I1686" i="4"/>
  <c r="J1686" i="4"/>
  <c r="K1686" i="4"/>
  <c r="L1686" i="4"/>
  <c r="N1686" i="4"/>
  <c r="O1686" i="4"/>
  <c r="Q1686" i="4"/>
  <c r="R1686" i="4"/>
  <c r="S1686" i="4"/>
  <c r="T1686" i="4"/>
  <c r="Y1686" i="4"/>
  <c r="E1687" i="4"/>
  <c r="F1687" i="4"/>
  <c r="G1687" i="4"/>
  <c r="I1687" i="4"/>
  <c r="J1687" i="4"/>
  <c r="K1687" i="4"/>
  <c r="L1687" i="4"/>
  <c r="N1687" i="4"/>
  <c r="O1687" i="4"/>
  <c r="Q1687" i="4"/>
  <c r="R1687" i="4"/>
  <c r="S1687" i="4"/>
  <c r="T1687" i="4"/>
  <c r="Y1687" i="4"/>
  <c r="E1688" i="4"/>
  <c r="F1688" i="4"/>
  <c r="G1688" i="4"/>
  <c r="I1688" i="4"/>
  <c r="J1688" i="4"/>
  <c r="K1688" i="4"/>
  <c r="L1688" i="4"/>
  <c r="N1688" i="4"/>
  <c r="O1688" i="4"/>
  <c r="Q1688" i="4"/>
  <c r="R1688" i="4"/>
  <c r="S1688" i="4"/>
  <c r="T1688" i="4"/>
  <c r="Y1688" i="4"/>
  <c r="E1689" i="4"/>
  <c r="F1689" i="4"/>
  <c r="G1689" i="4"/>
  <c r="I1689" i="4"/>
  <c r="J1689" i="4"/>
  <c r="K1689" i="4"/>
  <c r="L1689" i="4"/>
  <c r="N1689" i="4"/>
  <c r="O1689" i="4"/>
  <c r="Q1689" i="4"/>
  <c r="R1689" i="4"/>
  <c r="S1689" i="4"/>
  <c r="T1689" i="4"/>
  <c r="Y1689" i="4"/>
  <c r="E1690" i="4"/>
  <c r="F1690" i="4"/>
  <c r="G1690" i="4"/>
  <c r="I1690" i="4"/>
  <c r="J1690" i="4"/>
  <c r="K1690" i="4"/>
  <c r="L1690" i="4"/>
  <c r="N1690" i="4"/>
  <c r="O1690" i="4"/>
  <c r="Q1690" i="4"/>
  <c r="R1690" i="4"/>
  <c r="S1690" i="4"/>
  <c r="T1690" i="4"/>
  <c r="Y1690" i="4"/>
  <c r="E1691" i="4"/>
  <c r="F1691" i="4"/>
  <c r="G1691" i="4"/>
  <c r="I1691" i="4"/>
  <c r="J1691" i="4"/>
  <c r="K1691" i="4"/>
  <c r="L1691" i="4"/>
  <c r="N1691" i="4"/>
  <c r="O1691" i="4"/>
  <c r="Q1691" i="4"/>
  <c r="R1691" i="4"/>
  <c r="S1691" i="4"/>
  <c r="T1691" i="4"/>
  <c r="Y1691" i="4"/>
  <c r="E1692" i="4"/>
  <c r="F1692" i="4"/>
  <c r="G1692" i="4"/>
  <c r="I1692" i="4"/>
  <c r="J1692" i="4"/>
  <c r="K1692" i="4"/>
  <c r="L1692" i="4"/>
  <c r="N1692" i="4"/>
  <c r="O1692" i="4"/>
  <c r="Q1692" i="4"/>
  <c r="R1692" i="4"/>
  <c r="S1692" i="4"/>
  <c r="T1692" i="4"/>
  <c r="Y1692" i="4"/>
  <c r="E1693" i="4"/>
  <c r="F1693" i="4"/>
  <c r="G1693" i="4"/>
  <c r="I1693" i="4"/>
  <c r="J1693" i="4"/>
  <c r="K1693" i="4"/>
  <c r="L1693" i="4"/>
  <c r="N1693" i="4"/>
  <c r="O1693" i="4"/>
  <c r="Q1693" i="4"/>
  <c r="R1693" i="4"/>
  <c r="S1693" i="4"/>
  <c r="T1693" i="4"/>
  <c r="Y1693" i="4"/>
  <c r="E1694" i="4"/>
  <c r="F1694" i="4"/>
  <c r="G1694" i="4"/>
  <c r="I1694" i="4"/>
  <c r="J1694" i="4"/>
  <c r="K1694" i="4"/>
  <c r="L1694" i="4"/>
  <c r="N1694" i="4"/>
  <c r="O1694" i="4"/>
  <c r="Q1694" i="4"/>
  <c r="R1694" i="4"/>
  <c r="S1694" i="4"/>
  <c r="T1694" i="4"/>
  <c r="Y1694" i="4"/>
  <c r="F1695" i="4"/>
  <c r="G1695" i="4"/>
  <c r="I1695" i="4"/>
  <c r="J1695" i="4"/>
  <c r="K1695" i="4"/>
  <c r="L1695" i="4"/>
  <c r="N1695" i="4"/>
  <c r="O1695" i="4"/>
  <c r="Q1695" i="4"/>
  <c r="R1695" i="4"/>
  <c r="S1695" i="4"/>
  <c r="T1695" i="4"/>
  <c r="Y1695" i="4"/>
  <c r="X1696" i="4"/>
  <c r="P1697" i="4"/>
  <c r="X1698" i="4"/>
  <c r="X1699" i="4"/>
  <c r="E1700" i="4"/>
  <c r="F1700" i="4"/>
  <c r="G1700" i="4"/>
  <c r="I1700" i="4"/>
  <c r="J1700" i="4"/>
  <c r="K1700" i="4"/>
  <c r="L1700" i="4"/>
  <c r="N1700" i="4"/>
  <c r="O1700" i="4"/>
  <c r="Q1700" i="4"/>
  <c r="R1700" i="4"/>
  <c r="S1700" i="4"/>
  <c r="T1700" i="4"/>
  <c r="Y1700" i="4"/>
  <c r="E1701" i="4"/>
  <c r="F1701" i="4"/>
  <c r="G1701" i="4"/>
  <c r="I1701" i="4"/>
  <c r="J1701" i="4"/>
  <c r="K1701" i="4"/>
  <c r="L1701" i="4"/>
  <c r="N1701" i="4"/>
  <c r="O1701" i="4"/>
  <c r="Q1701" i="4"/>
  <c r="R1701" i="4"/>
  <c r="S1701" i="4"/>
  <c r="T1701" i="4"/>
  <c r="Y1701" i="4"/>
  <c r="E1702" i="4"/>
  <c r="F1702" i="4"/>
  <c r="G1702" i="4"/>
  <c r="I1702" i="4"/>
  <c r="J1702" i="4"/>
  <c r="K1702" i="4"/>
  <c r="L1702" i="4"/>
  <c r="N1702" i="4"/>
  <c r="O1702" i="4"/>
  <c r="Q1702" i="4"/>
  <c r="R1702" i="4"/>
  <c r="S1702" i="4"/>
  <c r="T1702" i="4"/>
  <c r="Y1702" i="4"/>
  <c r="E1703" i="4"/>
  <c r="F1703" i="4"/>
  <c r="G1703" i="4"/>
  <c r="I1703" i="4"/>
  <c r="J1703" i="4"/>
  <c r="K1703" i="4"/>
  <c r="L1703" i="4"/>
  <c r="N1703" i="4"/>
  <c r="O1703" i="4"/>
  <c r="Q1703" i="4"/>
  <c r="R1703" i="4"/>
  <c r="S1703" i="4"/>
  <c r="T1703" i="4"/>
  <c r="Y1703" i="4"/>
  <c r="E1704" i="4"/>
  <c r="F1704" i="4"/>
  <c r="G1704" i="4"/>
  <c r="I1704" i="4"/>
  <c r="J1704" i="4"/>
  <c r="K1704" i="4"/>
  <c r="L1704" i="4"/>
  <c r="N1704" i="4"/>
  <c r="O1704" i="4"/>
  <c r="Q1704" i="4"/>
  <c r="R1704" i="4"/>
  <c r="S1704" i="4"/>
  <c r="T1704" i="4"/>
  <c r="Y1704" i="4"/>
  <c r="E1705" i="4"/>
  <c r="F1705" i="4"/>
  <c r="G1705" i="4"/>
  <c r="I1705" i="4"/>
  <c r="J1705" i="4"/>
  <c r="K1705" i="4"/>
  <c r="L1705" i="4"/>
  <c r="N1705" i="4"/>
  <c r="O1705" i="4"/>
  <c r="Q1705" i="4"/>
  <c r="R1705" i="4"/>
  <c r="S1705" i="4"/>
  <c r="T1705" i="4"/>
  <c r="Y1705" i="4"/>
  <c r="E1706" i="4"/>
  <c r="F1706" i="4"/>
  <c r="G1706" i="4"/>
  <c r="I1706" i="4"/>
  <c r="J1706" i="4"/>
  <c r="K1706" i="4"/>
  <c r="L1706" i="4"/>
  <c r="N1706" i="4"/>
  <c r="O1706" i="4"/>
  <c r="Q1706" i="4"/>
  <c r="R1706" i="4"/>
  <c r="S1706" i="4"/>
  <c r="T1706" i="4"/>
  <c r="Y1706" i="4"/>
  <c r="E1707" i="4"/>
  <c r="F1707" i="4"/>
  <c r="G1707" i="4"/>
  <c r="I1707" i="4"/>
  <c r="J1707" i="4"/>
  <c r="K1707" i="4"/>
  <c r="L1707" i="4"/>
  <c r="N1707" i="4"/>
  <c r="O1707" i="4"/>
  <c r="Q1707" i="4"/>
  <c r="R1707" i="4"/>
  <c r="S1707" i="4"/>
  <c r="T1707" i="4"/>
  <c r="Y1707" i="4"/>
  <c r="X1708" i="4"/>
  <c r="P1709" i="4"/>
  <c r="X1710" i="4"/>
  <c r="X1711" i="4"/>
  <c r="E1712" i="4"/>
  <c r="F1712" i="4"/>
  <c r="G1712" i="4"/>
  <c r="I1712" i="4"/>
  <c r="J1712" i="4"/>
  <c r="K1712" i="4"/>
  <c r="L1712" i="4"/>
  <c r="N1712" i="4"/>
  <c r="O1712" i="4"/>
  <c r="Q1712" i="4"/>
  <c r="R1712" i="4"/>
  <c r="S1712" i="4"/>
  <c r="T1712" i="4"/>
  <c r="Y1712" i="4"/>
  <c r="E1713" i="4"/>
  <c r="F1713" i="4"/>
  <c r="G1713" i="4"/>
  <c r="I1713" i="4"/>
  <c r="J1713" i="4"/>
  <c r="K1713" i="4"/>
  <c r="L1713" i="4"/>
  <c r="N1713" i="4"/>
  <c r="O1713" i="4"/>
  <c r="Q1713" i="4"/>
  <c r="R1713" i="4"/>
  <c r="S1713" i="4"/>
  <c r="T1713" i="4"/>
  <c r="Y1713" i="4"/>
  <c r="E1714" i="4"/>
  <c r="F1714" i="4"/>
  <c r="G1714" i="4"/>
  <c r="I1714" i="4"/>
  <c r="J1714" i="4"/>
  <c r="K1714" i="4"/>
  <c r="L1714" i="4"/>
  <c r="N1714" i="4"/>
  <c r="O1714" i="4"/>
  <c r="Q1714" i="4"/>
  <c r="R1714" i="4"/>
  <c r="S1714" i="4"/>
  <c r="T1714" i="4"/>
  <c r="Y1714" i="4"/>
  <c r="E1715" i="4"/>
  <c r="F1715" i="4"/>
  <c r="G1715" i="4"/>
  <c r="I1715" i="4"/>
  <c r="J1715" i="4"/>
  <c r="K1715" i="4"/>
  <c r="L1715" i="4"/>
  <c r="N1715" i="4"/>
  <c r="O1715" i="4"/>
  <c r="Q1715" i="4"/>
  <c r="R1715" i="4"/>
  <c r="S1715" i="4"/>
  <c r="T1715" i="4"/>
  <c r="Y1715" i="4"/>
  <c r="E1716" i="4"/>
  <c r="F1716" i="4"/>
  <c r="G1716" i="4"/>
  <c r="I1716" i="4"/>
  <c r="J1716" i="4"/>
  <c r="K1716" i="4"/>
  <c r="L1716" i="4"/>
  <c r="N1716" i="4"/>
  <c r="O1716" i="4"/>
  <c r="Q1716" i="4"/>
  <c r="R1716" i="4"/>
  <c r="S1716" i="4"/>
  <c r="T1716" i="4"/>
  <c r="Y1716" i="4"/>
  <c r="E1717" i="4"/>
  <c r="F1717" i="4"/>
  <c r="G1717" i="4"/>
  <c r="I1717" i="4"/>
  <c r="J1717" i="4"/>
  <c r="K1717" i="4"/>
  <c r="L1717" i="4"/>
  <c r="N1717" i="4"/>
  <c r="O1717" i="4"/>
  <c r="Q1717" i="4"/>
  <c r="R1717" i="4"/>
  <c r="S1717" i="4"/>
  <c r="T1717" i="4"/>
  <c r="Y1717" i="4"/>
  <c r="E1718" i="4"/>
  <c r="F1718" i="4"/>
  <c r="G1718" i="4"/>
  <c r="I1718" i="4"/>
  <c r="J1718" i="4"/>
  <c r="K1718" i="4"/>
  <c r="L1718" i="4"/>
  <c r="N1718" i="4"/>
  <c r="O1718" i="4"/>
  <c r="Q1718" i="4"/>
  <c r="R1718" i="4"/>
  <c r="S1718" i="4"/>
  <c r="T1718" i="4"/>
  <c r="Y1718" i="4"/>
  <c r="X1719" i="4"/>
  <c r="P1720" i="4"/>
  <c r="X1721" i="4"/>
  <c r="X1722" i="4"/>
  <c r="E1723" i="4"/>
  <c r="F1723" i="4"/>
  <c r="G1723" i="4"/>
  <c r="I1723" i="4"/>
  <c r="J1723" i="4"/>
  <c r="K1723" i="4"/>
  <c r="L1723" i="4"/>
  <c r="N1723" i="4"/>
  <c r="O1723" i="4"/>
  <c r="Q1723" i="4"/>
  <c r="R1723" i="4"/>
  <c r="S1723" i="4"/>
  <c r="T1723" i="4"/>
  <c r="Y1723" i="4"/>
  <c r="E1724" i="4"/>
  <c r="F1724" i="4"/>
  <c r="G1724" i="4"/>
  <c r="I1724" i="4"/>
  <c r="J1724" i="4"/>
  <c r="K1724" i="4"/>
  <c r="L1724" i="4"/>
  <c r="N1724" i="4"/>
  <c r="O1724" i="4"/>
  <c r="Q1724" i="4"/>
  <c r="R1724" i="4"/>
  <c r="S1724" i="4"/>
  <c r="T1724" i="4"/>
  <c r="Y1724" i="4"/>
  <c r="E1725" i="4"/>
  <c r="F1725" i="4"/>
  <c r="G1725" i="4"/>
  <c r="I1725" i="4"/>
  <c r="J1725" i="4"/>
  <c r="K1725" i="4"/>
  <c r="L1725" i="4"/>
  <c r="N1725" i="4"/>
  <c r="O1725" i="4"/>
  <c r="Q1725" i="4"/>
  <c r="R1725" i="4"/>
  <c r="S1725" i="4"/>
  <c r="T1725" i="4"/>
  <c r="Y1725" i="4"/>
  <c r="E1726" i="4"/>
  <c r="F1726" i="4"/>
  <c r="G1726" i="4"/>
  <c r="I1726" i="4"/>
  <c r="J1726" i="4"/>
  <c r="K1726" i="4"/>
  <c r="L1726" i="4"/>
  <c r="N1726" i="4"/>
  <c r="O1726" i="4"/>
  <c r="Q1726" i="4"/>
  <c r="R1726" i="4"/>
  <c r="S1726" i="4"/>
  <c r="T1726" i="4"/>
  <c r="Y1726" i="4"/>
  <c r="E1727" i="4"/>
  <c r="F1727" i="4"/>
  <c r="G1727" i="4"/>
  <c r="I1727" i="4"/>
  <c r="J1727" i="4"/>
  <c r="K1727" i="4"/>
  <c r="L1727" i="4"/>
  <c r="N1727" i="4"/>
  <c r="O1727" i="4"/>
  <c r="Q1727" i="4"/>
  <c r="R1727" i="4"/>
  <c r="S1727" i="4"/>
  <c r="T1727" i="4"/>
  <c r="Y1727" i="4"/>
  <c r="E1728" i="4"/>
  <c r="F1728" i="4"/>
  <c r="G1728" i="4"/>
  <c r="I1728" i="4"/>
  <c r="J1728" i="4"/>
  <c r="K1728" i="4"/>
  <c r="L1728" i="4"/>
  <c r="N1728" i="4"/>
  <c r="O1728" i="4"/>
  <c r="Q1728" i="4"/>
  <c r="R1728" i="4"/>
  <c r="S1728" i="4"/>
  <c r="T1728" i="4"/>
  <c r="Y1728" i="4"/>
  <c r="E1729" i="4"/>
  <c r="F1729" i="4"/>
  <c r="G1729" i="4"/>
  <c r="I1729" i="4"/>
  <c r="J1729" i="4"/>
  <c r="K1729" i="4"/>
  <c r="L1729" i="4"/>
  <c r="N1729" i="4"/>
  <c r="O1729" i="4"/>
  <c r="Q1729" i="4"/>
  <c r="R1729" i="4"/>
  <c r="S1729" i="4"/>
  <c r="T1729" i="4"/>
  <c r="Y1729" i="4"/>
  <c r="E1730" i="4"/>
  <c r="F1730" i="4"/>
  <c r="G1730" i="4"/>
  <c r="I1730" i="4"/>
  <c r="J1730" i="4"/>
  <c r="K1730" i="4"/>
  <c r="L1730" i="4"/>
  <c r="N1730" i="4"/>
  <c r="O1730" i="4"/>
  <c r="Q1730" i="4"/>
  <c r="R1730" i="4"/>
  <c r="S1730" i="4"/>
  <c r="T1730" i="4"/>
  <c r="Y1730" i="4"/>
  <c r="E1731" i="4"/>
  <c r="F1731" i="4"/>
  <c r="G1731" i="4"/>
  <c r="I1731" i="4"/>
  <c r="J1731" i="4"/>
  <c r="K1731" i="4"/>
  <c r="L1731" i="4"/>
  <c r="N1731" i="4"/>
  <c r="O1731" i="4"/>
  <c r="Q1731" i="4"/>
  <c r="R1731" i="4"/>
  <c r="S1731" i="4"/>
  <c r="T1731" i="4"/>
  <c r="Y1731" i="4"/>
  <c r="E1732" i="4"/>
  <c r="F1732" i="4"/>
  <c r="G1732" i="4"/>
  <c r="I1732" i="4"/>
  <c r="J1732" i="4"/>
  <c r="K1732" i="4"/>
  <c r="L1732" i="4"/>
  <c r="N1732" i="4"/>
  <c r="O1732" i="4"/>
  <c r="Q1732" i="4"/>
  <c r="R1732" i="4"/>
  <c r="S1732" i="4"/>
  <c r="T1732" i="4"/>
  <c r="Y1732" i="4"/>
  <c r="E1733" i="4"/>
  <c r="F1733" i="4"/>
  <c r="G1733" i="4"/>
  <c r="I1733" i="4"/>
  <c r="J1733" i="4"/>
  <c r="K1733" i="4"/>
  <c r="L1733" i="4"/>
  <c r="N1733" i="4"/>
  <c r="O1733" i="4"/>
  <c r="Q1733" i="4"/>
  <c r="R1733" i="4"/>
  <c r="S1733" i="4"/>
  <c r="T1733" i="4"/>
  <c r="Y1733" i="4"/>
  <c r="E1734" i="4"/>
  <c r="F1734" i="4"/>
  <c r="G1734" i="4"/>
  <c r="I1734" i="4"/>
  <c r="J1734" i="4"/>
  <c r="K1734" i="4"/>
  <c r="L1734" i="4"/>
  <c r="N1734" i="4"/>
  <c r="O1734" i="4"/>
  <c r="Q1734" i="4"/>
  <c r="R1734" i="4"/>
  <c r="S1734" i="4"/>
  <c r="T1734" i="4"/>
  <c r="Y1734" i="4"/>
  <c r="F1735" i="4"/>
  <c r="G1735" i="4"/>
  <c r="I1735" i="4"/>
  <c r="J1735" i="4"/>
  <c r="K1735" i="4"/>
  <c r="L1735" i="4"/>
  <c r="N1735" i="4"/>
  <c r="O1735" i="4"/>
  <c r="Q1735" i="4"/>
  <c r="R1735" i="4"/>
  <c r="S1735" i="4"/>
  <c r="T1735" i="4"/>
  <c r="Y1735" i="4"/>
  <c r="X1736" i="4"/>
  <c r="P1737" i="4"/>
  <c r="F1745" i="4"/>
  <c r="G1745" i="4"/>
  <c r="I1745" i="4"/>
  <c r="K1745" i="4"/>
  <c r="L1745" i="4"/>
  <c r="N1745" i="4"/>
  <c r="O1745" i="4"/>
  <c r="R1745" i="4"/>
  <c r="S1745" i="4"/>
  <c r="T1745" i="4"/>
  <c r="V1745" i="4"/>
  <c r="W1745" i="4"/>
  <c r="Y1745" i="4"/>
  <c r="F1746" i="4"/>
  <c r="G1746" i="4"/>
  <c r="I1746" i="4"/>
  <c r="L1746" i="4"/>
  <c r="N1746" i="4"/>
  <c r="O1746" i="4"/>
  <c r="R1746" i="4"/>
  <c r="S1746" i="4"/>
  <c r="T1746" i="4"/>
  <c r="V1746" i="4"/>
  <c r="W1746" i="4"/>
  <c r="Y1746" i="4"/>
  <c r="F1747" i="4"/>
  <c r="G1747" i="4"/>
  <c r="I1747" i="4"/>
  <c r="K1747" i="4"/>
  <c r="L1747" i="4"/>
  <c r="N1747" i="4"/>
  <c r="O1747" i="4"/>
  <c r="R1747" i="4"/>
  <c r="S1747" i="4"/>
  <c r="T1747" i="4"/>
  <c r="V1747" i="4"/>
  <c r="W1747" i="4"/>
  <c r="Y1747" i="4"/>
  <c r="E1748" i="4"/>
  <c r="F1748" i="4"/>
  <c r="G1748" i="4"/>
  <c r="I1748" i="4"/>
  <c r="K1748" i="4"/>
  <c r="L1748" i="4"/>
  <c r="N1748" i="4"/>
  <c r="O1748" i="4"/>
  <c r="R1748" i="4"/>
  <c r="S1748" i="4"/>
  <c r="T1748" i="4"/>
  <c r="V1748" i="4"/>
  <c r="W1748" i="4"/>
  <c r="Y1748" i="4"/>
  <c r="E1749" i="4"/>
  <c r="F1749" i="4"/>
  <c r="G1749" i="4"/>
  <c r="I1749" i="4"/>
  <c r="K1749" i="4"/>
  <c r="L1749" i="4"/>
  <c r="N1749" i="4"/>
  <c r="O1749" i="4"/>
  <c r="R1749" i="4"/>
  <c r="S1749" i="4"/>
  <c r="T1749" i="4"/>
  <c r="V1749" i="4"/>
  <c r="W1749" i="4"/>
  <c r="Y1749" i="4"/>
  <c r="E1750" i="4"/>
  <c r="F1750" i="4"/>
  <c r="G1750" i="4"/>
  <c r="I1750" i="4"/>
  <c r="K1750" i="4"/>
  <c r="L1750" i="4"/>
  <c r="N1750" i="4"/>
  <c r="O1750" i="4"/>
  <c r="R1750" i="4"/>
  <c r="S1750" i="4"/>
  <c r="T1750" i="4"/>
  <c r="V1750" i="4"/>
  <c r="W1750" i="4"/>
  <c r="Y1750" i="4"/>
  <c r="G1751" i="4"/>
  <c r="I1751" i="4"/>
  <c r="K1751" i="4"/>
  <c r="L1751" i="4"/>
  <c r="N1751" i="4"/>
  <c r="O1751" i="4"/>
  <c r="R1751" i="4"/>
  <c r="S1751" i="4"/>
  <c r="T1751" i="4"/>
  <c r="V1751" i="4"/>
  <c r="W1751" i="4"/>
  <c r="Y1751" i="4"/>
  <c r="G1752" i="4"/>
  <c r="I1752" i="4"/>
  <c r="K1752" i="4"/>
  <c r="L1752" i="4"/>
  <c r="N1752" i="4"/>
  <c r="O1752" i="4"/>
  <c r="R1752" i="4"/>
  <c r="S1752" i="4"/>
  <c r="T1752" i="4"/>
  <c r="V1752" i="4"/>
  <c r="W1752" i="4"/>
  <c r="Y1752" i="4"/>
  <c r="E1753" i="4"/>
  <c r="F1753" i="4"/>
  <c r="G1753" i="4"/>
  <c r="I1753" i="4"/>
  <c r="K1753" i="4"/>
  <c r="L1753" i="4"/>
  <c r="N1753" i="4"/>
  <c r="O1753" i="4"/>
  <c r="R1753" i="4"/>
  <c r="S1753" i="4"/>
  <c r="T1753" i="4"/>
  <c r="V1753" i="4"/>
  <c r="W1753" i="4"/>
  <c r="Y1753" i="4"/>
  <c r="E1754" i="4"/>
  <c r="F1754" i="4"/>
  <c r="G1754" i="4"/>
  <c r="I1754" i="4"/>
  <c r="K1754" i="4"/>
  <c r="L1754" i="4"/>
  <c r="N1754" i="4"/>
  <c r="O1754" i="4"/>
  <c r="R1754" i="4"/>
  <c r="S1754" i="4"/>
  <c r="T1754" i="4"/>
  <c r="V1754" i="4"/>
  <c r="W1754" i="4"/>
  <c r="Y1754" i="4"/>
  <c r="E1755" i="4"/>
  <c r="F1755" i="4"/>
  <c r="G1755" i="4"/>
  <c r="I1755" i="4"/>
  <c r="K1755" i="4"/>
  <c r="L1755" i="4"/>
  <c r="N1755" i="4"/>
  <c r="O1755" i="4"/>
  <c r="P1755" i="4"/>
  <c r="Q1755" i="4"/>
  <c r="R1755" i="4"/>
  <c r="S1755" i="4"/>
  <c r="T1755" i="4"/>
  <c r="V1755" i="4"/>
  <c r="W1755" i="4"/>
  <c r="Y1755" i="4"/>
  <c r="E1756" i="4"/>
  <c r="F1756" i="4"/>
  <c r="G1756" i="4"/>
  <c r="I1756" i="4"/>
  <c r="K1756" i="4"/>
  <c r="L1756" i="4"/>
  <c r="N1756" i="4"/>
  <c r="O1756" i="4"/>
  <c r="R1756" i="4"/>
  <c r="S1756" i="4"/>
  <c r="T1756" i="4"/>
  <c r="V1756" i="4"/>
  <c r="W1756" i="4"/>
  <c r="Y1756" i="4"/>
  <c r="P1758" i="4"/>
  <c r="X1759" i="4"/>
  <c r="X1760" i="4"/>
  <c r="F1761" i="4"/>
  <c r="G1761" i="4"/>
  <c r="I1761" i="4"/>
  <c r="K1761" i="4"/>
  <c r="L1761" i="4"/>
  <c r="N1761" i="4"/>
  <c r="O1761" i="4"/>
  <c r="R1761" i="4"/>
  <c r="S1761" i="4"/>
  <c r="T1761" i="4"/>
  <c r="V1761" i="4"/>
  <c r="W1761" i="4"/>
  <c r="Y1761" i="4"/>
  <c r="E1762" i="4"/>
  <c r="F1762" i="4"/>
  <c r="G1762" i="4"/>
  <c r="I1762" i="4"/>
  <c r="K1762" i="4"/>
  <c r="L1762" i="4"/>
  <c r="N1762" i="4"/>
  <c r="O1762" i="4"/>
  <c r="R1762" i="4"/>
  <c r="S1762" i="4"/>
  <c r="T1762" i="4"/>
  <c r="V1762" i="4"/>
  <c r="W1762" i="4"/>
  <c r="Y1762" i="4"/>
  <c r="E1763" i="4"/>
  <c r="F1763" i="4"/>
  <c r="G1763" i="4"/>
  <c r="I1763" i="4"/>
  <c r="K1763" i="4"/>
  <c r="L1763" i="4"/>
  <c r="N1763" i="4"/>
  <c r="O1763" i="4"/>
  <c r="R1763" i="4"/>
  <c r="S1763" i="4"/>
  <c r="T1763" i="4"/>
  <c r="V1763" i="4"/>
  <c r="W1763" i="4"/>
  <c r="Y1763" i="4"/>
  <c r="E1764" i="4"/>
  <c r="F1764" i="4"/>
  <c r="G1764" i="4"/>
  <c r="I1764" i="4"/>
  <c r="K1764" i="4"/>
  <c r="L1764" i="4"/>
  <c r="N1764" i="4"/>
  <c r="O1764" i="4"/>
  <c r="R1764" i="4"/>
  <c r="S1764" i="4"/>
  <c r="T1764" i="4"/>
  <c r="V1764" i="4"/>
  <c r="W1764" i="4"/>
  <c r="Y1764" i="4"/>
  <c r="E1765" i="4"/>
  <c r="F1765" i="4"/>
  <c r="G1765" i="4"/>
  <c r="I1765" i="4"/>
  <c r="K1765" i="4"/>
  <c r="L1765" i="4"/>
  <c r="N1765" i="4"/>
  <c r="O1765" i="4"/>
  <c r="R1765" i="4"/>
  <c r="S1765" i="4"/>
  <c r="T1765" i="4"/>
  <c r="V1765" i="4"/>
  <c r="W1765" i="4"/>
  <c r="Y1765" i="4"/>
  <c r="X1766" i="4"/>
  <c r="P1767" i="4"/>
  <c r="X1768" i="4"/>
  <c r="Z1768" i="4" s="1"/>
  <c r="X1769" i="4"/>
  <c r="Z1769" i="4" s="1"/>
  <c r="F1770" i="4"/>
  <c r="G1770" i="4"/>
  <c r="I1770" i="4"/>
  <c r="L1770" i="4"/>
  <c r="N1770" i="4"/>
  <c r="O1770" i="4"/>
  <c r="R1770" i="4"/>
  <c r="S1770" i="4"/>
  <c r="T1770" i="4"/>
  <c r="V1770" i="4"/>
  <c r="W1770" i="4"/>
  <c r="Y1770" i="4"/>
  <c r="G1771" i="4"/>
  <c r="I1771" i="4"/>
  <c r="K1771" i="4"/>
  <c r="L1771" i="4"/>
  <c r="N1771" i="4"/>
  <c r="O1771" i="4"/>
  <c r="R1771" i="4"/>
  <c r="S1771" i="4"/>
  <c r="T1771" i="4"/>
  <c r="V1771" i="4"/>
  <c r="W1771" i="4"/>
  <c r="Y1771" i="4"/>
  <c r="E1772" i="4"/>
  <c r="F1772" i="4"/>
  <c r="G1772" i="4"/>
  <c r="I1772" i="4"/>
  <c r="K1772" i="4"/>
  <c r="L1772" i="4"/>
  <c r="N1772" i="4"/>
  <c r="O1772" i="4"/>
  <c r="R1772" i="4"/>
  <c r="S1772" i="4"/>
  <c r="T1772" i="4"/>
  <c r="V1772" i="4"/>
  <c r="W1772" i="4"/>
  <c r="Y1772" i="4"/>
  <c r="F1773" i="4"/>
  <c r="G1773" i="4"/>
  <c r="I1773" i="4"/>
  <c r="K1773" i="4"/>
  <c r="L1773" i="4"/>
  <c r="N1773" i="4"/>
  <c r="O1773" i="4"/>
  <c r="R1773" i="4"/>
  <c r="S1773" i="4"/>
  <c r="T1773" i="4"/>
  <c r="V1773" i="4"/>
  <c r="W1773" i="4"/>
  <c r="Y1773" i="4"/>
  <c r="G1774" i="4"/>
  <c r="I1774" i="4"/>
  <c r="K1774" i="4"/>
  <c r="L1774" i="4"/>
  <c r="N1774" i="4"/>
  <c r="O1774" i="4"/>
  <c r="R1774" i="4"/>
  <c r="S1774" i="4"/>
  <c r="T1774" i="4"/>
  <c r="V1774" i="4"/>
  <c r="W1774" i="4"/>
  <c r="Y1774" i="4"/>
  <c r="E1775" i="4"/>
  <c r="F1775" i="4"/>
  <c r="G1775" i="4"/>
  <c r="I1775" i="4"/>
  <c r="K1775" i="4"/>
  <c r="L1775" i="4"/>
  <c r="N1775" i="4"/>
  <c r="O1775" i="4"/>
  <c r="R1775" i="4"/>
  <c r="S1775" i="4"/>
  <c r="T1775" i="4"/>
  <c r="V1775" i="4"/>
  <c r="W1775" i="4"/>
  <c r="Y1775" i="4"/>
  <c r="E1776" i="4"/>
  <c r="G1776" i="4"/>
  <c r="I1776" i="4"/>
  <c r="K1776" i="4"/>
  <c r="L1776" i="4"/>
  <c r="N1776" i="4"/>
  <c r="O1776" i="4"/>
  <c r="R1776" i="4"/>
  <c r="S1776" i="4"/>
  <c r="T1776" i="4"/>
  <c r="V1776" i="4"/>
  <c r="W1776" i="4"/>
  <c r="Y1776" i="4"/>
  <c r="E1777" i="4"/>
  <c r="F1777" i="4"/>
  <c r="G1777" i="4"/>
  <c r="I1777" i="4"/>
  <c r="K1777" i="4"/>
  <c r="L1777" i="4"/>
  <c r="N1777" i="4"/>
  <c r="O1777" i="4"/>
  <c r="R1777" i="4"/>
  <c r="S1777" i="4"/>
  <c r="T1777" i="4"/>
  <c r="V1777" i="4"/>
  <c r="W1777" i="4"/>
  <c r="Y1777" i="4"/>
  <c r="E1778" i="4"/>
  <c r="F1778" i="4"/>
  <c r="G1778" i="4"/>
  <c r="I1778" i="4"/>
  <c r="K1778" i="4"/>
  <c r="L1778" i="4"/>
  <c r="N1778" i="4"/>
  <c r="O1778" i="4"/>
  <c r="R1778" i="4"/>
  <c r="S1778" i="4"/>
  <c r="T1778" i="4"/>
  <c r="V1778" i="4"/>
  <c r="W1778" i="4"/>
  <c r="Y1778" i="4"/>
  <c r="E1779" i="4"/>
  <c r="F1779" i="4"/>
  <c r="G1779" i="4"/>
  <c r="I1779" i="4"/>
  <c r="K1779" i="4"/>
  <c r="L1779" i="4"/>
  <c r="N1779" i="4"/>
  <c r="O1779" i="4"/>
  <c r="R1779" i="4"/>
  <c r="S1779" i="4"/>
  <c r="T1779" i="4"/>
  <c r="V1779" i="4"/>
  <c r="W1779" i="4"/>
  <c r="Y1779" i="4"/>
  <c r="E1780" i="4"/>
  <c r="F1780" i="4"/>
  <c r="G1780" i="4"/>
  <c r="I1780" i="4"/>
  <c r="K1780" i="4"/>
  <c r="L1780" i="4"/>
  <c r="N1780" i="4"/>
  <c r="O1780" i="4"/>
  <c r="R1780" i="4"/>
  <c r="S1780" i="4"/>
  <c r="T1780" i="4"/>
  <c r="V1780" i="4"/>
  <c r="W1780" i="4"/>
  <c r="Y1780" i="4"/>
  <c r="F1781" i="4"/>
  <c r="G1781" i="4"/>
  <c r="I1781" i="4"/>
  <c r="K1781" i="4"/>
  <c r="L1781" i="4"/>
  <c r="N1781" i="4"/>
  <c r="O1781" i="4"/>
  <c r="R1781" i="4"/>
  <c r="S1781" i="4"/>
  <c r="T1781" i="4"/>
  <c r="V1781" i="4"/>
  <c r="W1781" i="4"/>
  <c r="Y1781" i="4"/>
  <c r="E1782" i="4"/>
  <c r="F1782" i="4"/>
  <c r="G1782" i="4"/>
  <c r="I1782" i="4"/>
  <c r="K1782" i="4"/>
  <c r="L1782" i="4"/>
  <c r="N1782" i="4"/>
  <c r="O1782" i="4"/>
  <c r="R1782" i="4"/>
  <c r="S1782" i="4"/>
  <c r="T1782" i="4"/>
  <c r="V1782" i="4"/>
  <c r="W1782" i="4"/>
  <c r="Y1782" i="4"/>
  <c r="X1783" i="4"/>
  <c r="Z1783" i="4" s="1"/>
  <c r="P1784" i="4"/>
  <c r="X1785" i="4"/>
  <c r="Z1785" i="4" s="1"/>
  <c r="X1786" i="4"/>
  <c r="Z1786" i="4" s="1"/>
  <c r="F1787" i="4"/>
  <c r="G1787" i="4"/>
  <c r="I1787" i="4"/>
  <c r="K1787" i="4"/>
  <c r="L1787" i="4"/>
  <c r="N1787" i="4"/>
  <c r="O1787" i="4"/>
  <c r="R1787" i="4"/>
  <c r="S1787" i="4"/>
  <c r="T1787" i="4"/>
  <c r="V1787" i="4"/>
  <c r="W1787" i="4"/>
  <c r="Y1787" i="4"/>
  <c r="F1788" i="4"/>
  <c r="G1788" i="4"/>
  <c r="I1788" i="4"/>
  <c r="K1788" i="4"/>
  <c r="L1788" i="4"/>
  <c r="N1788" i="4"/>
  <c r="O1788" i="4"/>
  <c r="R1788" i="4"/>
  <c r="S1788" i="4"/>
  <c r="T1788" i="4"/>
  <c r="V1788" i="4"/>
  <c r="W1788" i="4"/>
  <c r="Y1788" i="4"/>
  <c r="E1789" i="4"/>
  <c r="F1789" i="4"/>
  <c r="G1789" i="4"/>
  <c r="I1789" i="4"/>
  <c r="K1789" i="4"/>
  <c r="L1789" i="4"/>
  <c r="N1789" i="4"/>
  <c r="O1789" i="4"/>
  <c r="R1789" i="4"/>
  <c r="S1789" i="4"/>
  <c r="T1789" i="4"/>
  <c r="V1789" i="4"/>
  <c r="W1789" i="4"/>
  <c r="Y1789" i="4"/>
  <c r="E1790" i="4"/>
  <c r="F1790" i="4"/>
  <c r="G1790" i="4"/>
  <c r="I1790" i="4"/>
  <c r="K1790" i="4"/>
  <c r="L1790" i="4"/>
  <c r="N1790" i="4"/>
  <c r="O1790" i="4"/>
  <c r="R1790" i="4"/>
  <c r="S1790" i="4"/>
  <c r="T1790" i="4"/>
  <c r="V1790" i="4"/>
  <c r="W1790" i="4"/>
  <c r="Y1790" i="4"/>
  <c r="E1791" i="4"/>
  <c r="F1791" i="4"/>
  <c r="G1791" i="4"/>
  <c r="I1791" i="4"/>
  <c r="K1791" i="4"/>
  <c r="L1791" i="4"/>
  <c r="N1791" i="4"/>
  <c r="O1791" i="4"/>
  <c r="R1791" i="4"/>
  <c r="S1791" i="4"/>
  <c r="T1791" i="4"/>
  <c r="V1791" i="4"/>
  <c r="W1791" i="4"/>
  <c r="Y1791" i="4"/>
  <c r="E1792" i="4"/>
  <c r="F1792" i="4"/>
  <c r="G1792" i="4"/>
  <c r="I1792" i="4"/>
  <c r="K1792" i="4"/>
  <c r="L1792" i="4"/>
  <c r="N1792" i="4"/>
  <c r="O1792" i="4"/>
  <c r="R1792" i="4"/>
  <c r="S1792" i="4"/>
  <c r="T1792" i="4"/>
  <c r="V1792" i="4"/>
  <c r="W1792" i="4"/>
  <c r="Y1792" i="4"/>
  <c r="E1793" i="4"/>
  <c r="F1793" i="4"/>
  <c r="G1793" i="4"/>
  <c r="I1793" i="4"/>
  <c r="K1793" i="4"/>
  <c r="L1793" i="4"/>
  <c r="N1793" i="4"/>
  <c r="O1793" i="4"/>
  <c r="R1793" i="4"/>
  <c r="S1793" i="4"/>
  <c r="T1793" i="4"/>
  <c r="V1793" i="4"/>
  <c r="W1793" i="4"/>
  <c r="Y1793" i="4"/>
  <c r="E1794" i="4"/>
  <c r="F1794" i="4"/>
  <c r="G1794" i="4"/>
  <c r="I1794" i="4"/>
  <c r="K1794" i="4"/>
  <c r="L1794" i="4"/>
  <c r="N1794" i="4"/>
  <c r="O1794" i="4"/>
  <c r="R1794" i="4"/>
  <c r="S1794" i="4"/>
  <c r="T1794" i="4"/>
  <c r="V1794" i="4"/>
  <c r="W1794" i="4"/>
  <c r="Y1794" i="4"/>
  <c r="E1795" i="4"/>
  <c r="F1795" i="4"/>
  <c r="G1795" i="4"/>
  <c r="I1795" i="4"/>
  <c r="K1795" i="4"/>
  <c r="L1795" i="4"/>
  <c r="N1795" i="4"/>
  <c r="O1795" i="4"/>
  <c r="R1795" i="4"/>
  <c r="S1795" i="4"/>
  <c r="T1795" i="4"/>
  <c r="V1795" i="4"/>
  <c r="W1795" i="4"/>
  <c r="Y1795" i="4"/>
  <c r="E1796" i="4"/>
  <c r="F1796" i="4"/>
  <c r="G1796" i="4"/>
  <c r="I1796" i="4"/>
  <c r="K1796" i="4"/>
  <c r="L1796" i="4"/>
  <c r="N1796" i="4"/>
  <c r="O1796" i="4"/>
  <c r="R1796" i="4"/>
  <c r="S1796" i="4"/>
  <c r="T1796" i="4"/>
  <c r="V1796" i="4"/>
  <c r="W1796" i="4"/>
  <c r="Y1796" i="4"/>
  <c r="E1797" i="4"/>
  <c r="F1797" i="4"/>
  <c r="G1797" i="4"/>
  <c r="I1797" i="4"/>
  <c r="K1797" i="4"/>
  <c r="L1797" i="4"/>
  <c r="N1797" i="4"/>
  <c r="O1797" i="4"/>
  <c r="R1797" i="4"/>
  <c r="S1797" i="4"/>
  <c r="T1797" i="4"/>
  <c r="V1797" i="4"/>
  <c r="W1797" i="4"/>
  <c r="Y1797" i="4"/>
  <c r="E1798" i="4"/>
  <c r="F1798" i="4"/>
  <c r="G1798" i="4"/>
  <c r="I1798" i="4"/>
  <c r="K1798" i="4"/>
  <c r="L1798" i="4"/>
  <c r="N1798" i="4"/>
  <c r="O1798" i="4"/>
  <c r="R1798" i="4"/>
  <c r="S1798" i="4"/>
  <c r="T1798" i="4"/>
  <c r="V1798" i="4"/>
  <c r="W1798" i="4"/>
  <c r="Y1798" i="4"/>
  <c r="E1799" i="4"/>
  <c r="F1799" i="4"/>
  <c r="G1799" i="4"/>
  <c r="I1799" i="4"/>
  <c r="K1799" i="4"/>
  <c r="L1799" i="4"/>
  <c r="N1799" i="4"/>
  <c r="O1799" i="4"/>
  <c r="R1799" i="4"/>
  <c r="S1799" i="4"/>
  <c r="T1799" i="4"/>
  <c r="V1799" i="4"/>
  <c r="W1799" i="4"/>
  <c r="Y1799" i="4"/>
  <c r="E1800" i="4"/>
  <c r="F1800" i="4"/>
  <c r="G1800" i="4"/>
  <c r="I1800" i="4"/>
  <c r="K1800" i="4"/>
  <c r="L1800" i="4"/>
  <c r="N1800" i="4"/>
  <c r="O1800" i="4"/>
  <c r="R1800" i="4"/>
  <c r="S1800" i="4"/>
  <c r="T1800" i="4"/>
  <c r="V1800" i="4"/>
  <c r="W1800" i="4"/>
  <c r="Y1800" i="4"/>
  <c r="X1801" i="4"/>
  <c r="Z1801" i="4" s="1"/>
  <c r="P1802" i="4"/>
  <c r="X1803" i="4"/>
  <c r="Z1803" i="4" s="1"/>
  <c r="X1804" i="4"/>
  <c r="Z1804" i="4" s="1"/>
  <c r="F1805" i="4"/>
  <c r="G1805" i="4"/>
  <c r="I1805" i="4"/>
  <c r="K1805" i="4"/>
  <c r="L1805" i="4"/>
  <c r="N1805" i="4"/>
  <c r="O1805" i="4"/>
  <c r="R1805" i="4"/>
  <c r="S1805" i="4"/>
  <c r="T1805" i="4"/>
  <c r="V1805" i="4"/>
  <c r="W1805" i="4"/>
  <c r="Y1805" i="4"/>
  <c r="E1806" i="4"/>
  <c r="F1806" i="4"/>
  <c r="G1806" i="4"/>
  <c r="I1806" i="4"/>
  <c r="K1806" i="4"/>
  <c r="L1806" i="4"/>
  <c r="N1806" i="4"/>
  <c r="O1806" i="4"/>
  <c r="R1806" i="4"/>
  <c r="S1806" i="4"/>
  <c r="T1806" i="4"/>
  <c r="V1806" i="4"/>
  <c r="W1806" i="4"/>
  <c r="Y1806" i="4"/>
  <c r="E1807" i="4"/>
  <c r="F1807" i="4"/>
  <c r="G1807" i="4"/>
  <c r="I1807" i="4"/>
  <c r="K1807" i="4"/>
  <c r="L1807" i="4"/>
  <c r="N1807" i="4"/>
  <c r="O1807" i="4"/>
  <c r="R1807" i="4"/>
  <c r="S1807" i="4"/>
  <c r="T1807" i="4"/>
  <c r="V1807" i="4"/>
  <c r="W1807" i="4"/>
  <c r="Y1807" i="4"/>
  <c r="E1808" i="4"/>
  <c r="F1808" i="4"/>
  <c r="G1808" i="4"/>
  <c r="I1808" i="4"/>
  <c r="K1808" i="4"/>
  <c r="L1808" i="4"/>
  <c r="N1808" i="4"/>
  <c r="O1808" i="4"/>
  <c r="R1808" i="4"/>
  <c r="S1808" i="4"/>
  <c r="T1808" i="4"/>
  <c r="V1808" i="4"/>
  <c r="W1808" i="4"/>
  <c r="Y1808" i="4"/>
  <c r="E1809" i="4"/>
  <c r="F1809" i="4"/>
  <c r="G1809" i="4"/>
  <c r="I1809" i="4"/>
  <c r="K1809" i="4"/>
  <c r="L1809" i="4"/>
  <c r="N1809" i="4"/>
  <c r="O1809" i="4"/>
  <c r="R1809" i="4"/>
  <c r="S1809" i="4"/>
  <c r="T1809" i="4"/>
  <c r="V1809" i="4"/>
  <c r="W1809" i="4"/>
  <c r="Y1809" i="4"/>
  <c r="E1810" i="4"/>
  <c r="G1810" i="4"/>
  <c r="I1810" i="4"/>
  <c r="K1810" i="4"/>
  <c r="L1810" i="4"/>
  <c r="N1810" i="4"/>
  <c r="O1810" i="4"/>
  <c r="R1810" i="4"/>
  <c r="S1810" i="4"/>
  <c r="T1810" i="4"/>
  <c r="V1810" i="4"/>
  <c r="W1810" i="4"/>
  <c r="Y1810" i="4"/>
  <c r="E1811" i="4"/>
  <c r="F1811" i="4"/>
  <c r="G1811" i="4"/>
  <c r="I1811" i="4"/>
  <c r="K1811" i="4"/>
  <c r="L1811" i="4"/>
  <c r="N1811" i="4"/>
  <c r="O1811" i="4"/>
  <c r="R1811" i="4"/>
  <c r="S1811" i="4"/>
  <c r="T1811" i="4"/>
  <c r="V1811" i="4"/>
  <c r="W1811" i="4"/>
  <c r="Y1811" i="4"/>
  <c r="E1812" i="4"/>
  <c r="F1812" i="4"/>
  <c r="G1812" i="4"/>
  <c r="I1812" i="4"/>
  <c r="K1812" i="4"/>
  <c r="L1812" i="4"/>
  <c r="N1812" i="4"/>
  <c r="O1812" i="4"/>
  <c r="R1812" i="4"/>
  <c r="S1812" i="4"/>
  <c r="T1812" i="4"/>
  <c r="V1812" i="4"/>
  <c r="W1812" i="4"/>
  <c r="Y1812" i="4"/>
  <c r="E1813" i="4"/>
  <c r="F1813" i="4"/>
  <c r="G1813" i="4"/>
  <c r="I1813" i="4"/>
  <c r="K1813" i="4"/>
  <c r="L1813" i="4"/>
  <c r="N1813" i="4"/>
  <c r="O1813" i="4"/>
  <c r="R1813" i="4"/>
  <c r="S1813" i="4"/>
  <c r="T1813" i="4"/>
  <c r="V1813" i="4"/>
  <c r="W1813" i="4"/>
  <c r="Y1813" i="4"/>
  <c r="E1814" i="4"/>
  <c r="F1814" i="4"/>
  <c r="G1814" i="4"/>
  <c r="I1814" i="4"/>
  <c r="K1814" i="4"/>
  <c r="L1814" i="4"/>
  <c r="N1814" i="4"/>
  <c r="O1814" i="4"/>
  <c r="R1814" i="4"/>
  <c r="S1814" i="4"/>
  <c r="T1814" i="4"/>
  <c r="V1814" i="4"/>
  <c r="W1814" i="4"/>
  <c r="Y1814" i="4"/>
  <c r="G1815" i="4"/>
  <c r="I1815" i="4"/>
  <c r="K1815" i="4"/>
  <c r="L1815" i="4"/>
  <c r="N1815" i="4"/>
  <c r="O1815" i="4"/>
  <c r="R1815" i="4"/>
  <c r="S1815" i="4"/>
  <c r="T1815" i="4"/>
  <c r="V1815" i="4"/>
  <c r="W1815" i="4"/>
  <c r="Y1815" i="4"/>
  <c r="G1816" i="4"/>
  <c r="I1816" i="4"/>
  <c r="J1816" i="4"/>
  <c r="K1816" i="4"/>
  <c r="L1816" i="4"/>
  <c r="N1816" i="4"/>
  <c r="O1816" i="4"/>
  <c r="Q1816" i="4"/>
  <c r="R1816" i="4"/>
  <c r="S1816" i="4"/>
  <c r="T1816" i="4"/>
  <c r="V1816" i="4"/>
  <c r="W1816" i="4"/>
  <c r="Y1816" i="4"/>
  <c r="E1817" i="4"/>
  <c r="F1817" i="4"/>
  <c r="G1817" i="4"/>
  <c r="I1817" i="4"/>
  <c r="K1817" i="4"/>
  <c r="L1817" i="4"/>
  <c r="N1817" i="4"/>
  <c r="O1817" i="4"/>
  <c r="R1817" i="4"/>
  <c r="S1817" i="4"/>
  <c r="T1817" i="4"/>
  <c r="V1817" i="4"/>
  <c r="W1817" i="4"/>
  <c r="Y1817" i="4"/>
  <c r="F1818" i="4"/>
  <c r="G1818" i="4"/>
  <c r="K1818" i="4"/>
  <c r="L1818" i="4"/>
  <c r="N1818" i="4"/>
  <c r="O1818" i="4"/>
  <c r="R1818" i="4"/>
  <c r="S1818" i="4"/>
  <c r="T1818" i="4"/>
  <c r="V1818" i="4"/>
  <c r="W1818" i="4"/>
  <c r="Y1818" i="4"/>
  <c r="X1819" i="4"/>
  <c r="Z1819" i="4" s="1"/>
  <c r="P1820" i="4"/>
  <c r="X1821" i="4"/>
  <c r="Z1821" i="4" s="1"/>
  <c r="X1822" i="4"/>
  <c r="Z1822" i="4" s="1"/>
  <c r="E1823" i="4"/>
  <c r="F1823" i="4"/>
  <c r="G1823" i="4"/>
  <c r="I1823" i="4"/>
  <c r="K1823" i="4"/>
  <c r="L1823" i="4"/>
  <c r="N1823" i="4"/>
  <c r="O1823" i="4"/>
  <c r="R1823" i="4"/>
  <c r="S1823" i="4"/>
  <c r="T1823" i="4"/>
  <c r="V1823" i="4"/>
  <c r="W1823" i="4"/>
  <c r="Y1823" i="4"/>
  <c r="F1824" i="4"/>
  <c r="G1824" i="4"/>
  <c r="I1824" i="4"/>
  <c r="K1824" i="4"/>
  <c r="L1824" i="4"/>
  <c r="N1824" i="4"/>
  <c r="O1824" i="4"/>
  <c r="R1824" i="4"/>
  <c r="S1824" i="4"/>
  <c r="T1824" i="4"/>
  <c r="V1824" i="4"/>
  <c r="W1824" i="4"/>
  <c r="Y1824" i="4"/>
  <c r="G1825" i="4"/>
  <c r="I1825" i="4"/>
  <c r="K1825" i="4"/>
  <c r="L1825" i="4"/>
  <c r="N1825" i="4"/>
  <c r="O1825" i="4"/>
  <c r="R1825" i="4"/>
  <c r="S1825" i="4"/>
  <c r="T1825" i="4"/>
  <c r="V1825" i="4"/>
  <c r="W1825" i="4"/>
  <c r="Y1825" i="4"/>
  <c r="E1826" i="4"/>
  <c r="F1826" i="4"/>
  <c r="G1826" i="4"/>
  <c r="I1826" i="4"/>
  <c r="K1826" i="4"/>
  <c r="L1826" i="4"/>
  <c r="N1826" i="4"/>
  <c r="O1826" i="4"/>
  <c r="R1826" i="4"/>
  <c r="S1826" i="4"/>
  <c r="T1826" i="4"/>
  <c r="V1826" i="4"/>
  <c r="W1826" i="4"/>
  <c r="Y1826" i="4"/>
  <c r="E1827" i="4"/>
  <c r="F1827" i="4"/>
  <c r="G1827" i="4"/>
  <c r="I1827" i="4"/>
  <c r="K1827" i="4"/>
  <c r="L1827" i="4"/>
  <c r="N1827" i="4"/>
  <c r="O1827" i="4"/>
  <c r="R1827" i="4"/>
  <c r="S1827" i="4"/>
  <c r="T1827" i="4"/>
  <c r="V1827" i="4"/>
  <c r="W1827" i="4"/>
  <c r="Y1827" i="4"/>
  <c r="E1828" i="4"/>
  <c r="G1828" i="4"/>
  <c r="I1828" i="4"/>
  <c r="K1828" i="4"/>
  <c r="L1828" i="4"/>
  <c r="N1828" i="4"/>
  <c r="O1828" i="4"/>
  <c r="R1828" i="4"/>
  <c r="S1828" i="4"/>
  <c r="T1828" i="4"/>
  <c r="V1828" i="4"/>
  <c r="W1828" i="4"/>
  <c r="Y1828" i="4"/>
  <c r="E1829" i="4"/>
  <c r="F1829" i="4"/>
  <c r="G1829" i="4"/>
  <c r="I1829" i="4"/>
  <c r="K1829" i="4"/>
  <c r="L1829" i="4"/>
  <c r="N1829" i="4"/>
  <c r="O1829" i="4"/>
  <c r="R1829" i="4"/>
  <c r="S1829" i="4"/>
  <c r="T1829" i="4"/>
  <c r="V1829" i="4"/>
  <c r="W1829" i="4"/>
  <c r="Y1829" i="4"/>
  <c r="G1830" i="4"/>
  <c r="I1830" i="4"/>
  <c r="K1830" i="4"/>
  <c r="L1830" i="4"/>
  <c r="N1830" i="4"/>
  <c r="O1830" i="4"/>
  <c r="R1830" i="4"/>
  <c r="S1830" i="4"/>
  <c r="T1830" i="4"/>
  <c r="V1830" i="4"/>
  <c r="W1830" i="4"/>
  <c r="Y1830" i="4"/>
  <c r="E1831" i="4"/>
  <c r="F1831" i="4"/>
  <c r="G1831" i="4"/>
  <c r="I1831" i="4"/>
  <c r="K1831" i="4"/>
  <c r="L1831" i="4"/>
  <c r="N1831" i="4"/>
  <c r="O1831" i="4"/>
  <c r="R1831" i="4"/>
  <c r="S1831" i="4"/>
  <c r="T1831" i="4"/>
  <c r="V1831" i="4"/>
  <c r="W1831" i="4"/>
  <c r="Y1831" i="4"/>
  <c r="F1832" i="4"/>
  <c r="G1832" i="4"/>
  <c r="I1832" i="4"/>
  <c r="K1832" i="4"/>
  <c r="L1832" i="4"/>
  <c r="N1832" i="4"/>
  <c r="O1832" i="4"/>
  <c r="R1832" i="4"/>
  <c r="S1832" i="4"/>
  <c r="T1832" i="4"/>
  <c r="V1832" i="4"/>
  <c r="W1832" i="4"/>
  <c r="Y1832" i="4"/>
  <c r="E1833" i="4"/>
  <c r="F1833" i="4"/>
  <c r="G1833" i="4"/>
  <c r="I1833" i="4"/>
  <c r="K1833" i="4"/>
  <c r="L1833" i="4"/>
  <c r="N1833" i="4"/>
  <c r="O1833" i="4"/>
  <c r="R1833" i="4"/>
  <c r="S1833" i="4"/>
  <c r="T1833" i="4"/>
  <c r="V1833" i="4"/>
  <c r="W1833" i="4"/>
  <c r="Y1833" i="4"/>
  <c r="G1834" i="4"/>
  <c r="I1834" i="4"/>
  <c r="K1834" i="4"/>
  <c r="L1834" i="4"/>
  <c r="N1834" i="4"/>
  <c r="O1834" i="4"/>
  <c r="R1834" i="4"/>
  <c r="S1834" i="4"/>
  <c r="T1834" i="4"/>
  <c r="V1834" i="4"/>
  <c r="W1834" i="4"/>
  <c r="Y1834" i="4"/>
  <c r="E1835" i="4"/>
  <c r="F1835" i="4"/>
  <c r="G1835" i="4"/>
  <c r="I1835" i="4"/>
  <c r="K1835" i="4"/>
  <c r="L1835" i="4"/>
  <c r="N1835" i="4"/>
  <c r="O1835" i="4"/>
  <c r="R1835" i="4"/>
  <c r="S1835" i="4"/>
  <c r="T1835" i="4"/>
  <c r="V1835" i="4"/>
  <c r="W1835" i="4"/>
  <c r="Y1835" i="4"/>
  <c r="E1836" i="4"/>
  <c r="F1836" i="4"/>
  <c r="G1836" i="4"/>
  <c r="I1836" i="4"/>
  <c r="J1836" i="4"/>
  <c r="K1836" i="4"/>
  <c r="L1836" i="4"/>
  <c r="N1836" i="4"/>
  <c r="O1836" i="4"/>
  <c r="Q1836" i="4"/>
  <c r="R1836" i="4"/>
  <c r="S1836" i="4"/>
  <c r="T1836" i="4"/>
  <c r="V1836" i="4"/>
  <c r="W1836" i="4"/>
  <c r="Y1836" i="4"/>
  <c r="E1837" i="4"/>
  <c r="F1837" i="4"/>
  <c r="G1837" i="4"/>
  <c r="I1837" i="4"/>
  <c r="J1837" i="4"/>
  <c r="K1837" i="4"/>
  <c r="L1837" i="4"/>
  <c r="N1837" i="4"/>
  <c r="O1837" i="4"/>
  <c r="Q1837" i="4"/>
  <c r="R1837" i="4"/>
  <c r="S1837" i="4"/>
  <c r="T1837" i="4"/>
  <c r="V1837" i="4"/>
  <c r="W1837" i="4"/>
  <c r="Y1837" i="4"/>
  <c r="E1838" i="4"/>
  <c r="F1838" i="4"/>
  <c r="G1838" i="4"/>
  <c r="I1838" i="4"/>
  <c r="J1838" i="4"/>
  <c r="K1838" i="4"/>
  <c r="L1838" i="4"/>
  <c r="N1838" i="4"/>
  <c r="O1838" i="4"/>
  <c r="Q1838" i="4"/>
  <c r="R1838" i="4"/>
  <c r="S1838" i="4"/>
  <c r="T1838" i="4"/>
  <c r="V1838" i="4"/>
  <c r="W1838" i="4"/>
  <c r="Y1838" i="4"/>
  <c r="E1839" i="4"/>
  <c r="F1839" i="4"/>
  <c r="G1839" i="4"/>
  <c r="I1839" i="4"/>
  <c r="K1839" i="4"/>
  <c r="L1839" i="4"/>
  <c r="N1839" i="4"/>
  <c r="O1839" i="4"/>
  <c r="R1839" i="4"/>
  <c r="S1839" i="4"/>
  <c r="T1839" i="4"/>
  <c r="V1839" i="4"/>
  <c r="W1839" i="4"/>
  <c r="Y1839" i="4"/>
  <c r="G1840" i="4"/>
  <c r="I1840" i="4"/>
  <c r="L1840" i="4"/>
  <c r="N1840" i="4"/>
  <c r="O1840" i="4"/>
  <c r="R1840" i="4"/>
  <c r="S1840" i="4"/>
  <c r="T1840" i="4"/>
  <c r="V1840" i="4"/>
  <c r="W1840" i="4"/>
  <c r="Y1840" i="4"/>
  <c r="G1841" i="4"/>
  <c r="I1841" i="4"/>
  <c r="K1841" i="4"/>
  <c r="L1841" i="4"/>
  <c r="N1841" i="4"/>
  <c r="O1841" i="4"/>
  <c r="R1841" i="4"/>
  <c r="S1841" i="4"/>
  <c r="T1841" i="4"/>
  <c r="V1841" i="4"/>
  <c r="W1841" i="4"/>
  <c r="Y1841" i="4"/>
  <c r="X1842" i="4"/>
  <c r="Z1842" i="4" s="1"/>
  <c r="P1843" i="4"/>
  <c r="X1844" i="4"/>
  <c r="Z1844" i="4" s="1"/>
  <c r="X1845" i="4"/>
  <c r="Z1845" i="4" s="1"/>
  <c r="E1846" i="4"/>
  <c r="F1846" i="4"/>
  <c r="G1846" i="4"/>
  <c r="I1846" i="4"/>
  <c r="K1846" i="4"/>
  <c r="L1846" i="4"/>
  <c r="N1846" i="4"/>
  <c r="O1846" i="4"/>
  <c r="R1846" i="4"/>
  <c r="S1846" i="4"/>
  <c r="T1846" i="4"/>
  <c r="V1846" i="4"/>
  <c r="W1846" i="4"/>
  <c r="Y1846" i="4"/>
  <c r="E1847" i="4"/>
  <c r="F1847" i="4"/>
  <c r="G1847" i="4"/>
  <c r="I1847" i="4"/>
  <c r="K1847" i="4"/>
  <c r="L1847" i="4"/>
  <c r="N1847" i="4"/>
  <c r="O1847" i="4"/>
  <c r="R1847" i="4"/>
  <c r="S1847" i="4"/>
  <c r="T1847" i="4"/>
  <c r="V1847" i="4"/>
  <c r="W1847" i="4"/>
  <c r="Y1847" i="4"/>
  <c r="F1848" i="4"/>
  <c r="G1848" i="4"/>
  <c r="I1848" i="4"/>
  <c r="K1848" i="4"/>
  <c r="L1848" i="4"/>
  <c r="N1848" i="4"/>
  <c r="O1848" i="4"/>
  <c r="R1848" i="4"/>
  <c r="S1848" i="4"/>
  <c r="T1848" i="4"/>
  <c r="V1848" i="4"/>
  <c r="W1848" i="4"/>
  <c r="Y1848" i="4"/>
  <c r="G1849" i="4"/>
  <c r="I1849" i="4"/>
  <c r="K1849" i="4"/>
  <c r="L1849" i="4"/>
  <c r="N1849" i="4"/>
  <c r="O1849" i="4"/>
  <c r="R1849" i="4"/>
  <c r="S1849" i="4"/>
  <c r="T1849" i="4"/>
  <c r="V1849" i="4"/>
  <c r="W1849" i="4"/>
  <c r="Y1849" i="4"/>
  <c r="F1850" i="4"/>
  <c r="G1850" i="4"/>
  <c r="I1850" i="4"/>
  <c r="K1850" i="4"/>
  <c r="L1850" i="4"/>
  <c r="N1850" i="4"/>
  <c r="O1850" i="4"/>
  <c r="R1850" i="4"/>
  <c r="S1850" i="4"/>
  <c r="T1850" i="4"/>
  <c r="V1850" i="4"/>
  <c r="W1850" i="4"/>
  <c r="Y1850" i="4"/>
  <c r="F1851" i="4"/>
  <c r="G1851" i="4"/>
  <c r="I1851" i="4"/>
  <c r="L1851" i="4"/>
  <c r="N1851" i="4"/>
  <c r="O1851" i="4"/>
  <c r="R1851" i="4"/>
  <c r="S1851" i="4"/>
  <c r="T1851" i="4"/>
  <c r="V1851" i="4"/>
  <c r="W1851" i="4"/>
  <c r="Y1851" i="4"/>
  <c r="E1852" i="4"/>
  <c r="F1852" i="4"/>
  <c r="G1852" i="4"/>
  <c r="I1852" i="4"/>
  <c r="K1852" i="4"/>
  <c r="L1852" i="4"/>
  <c r="N1852" i="4"/>
  <c r="O1852" i="4"/>
  <c r="R1852" i="4"/>
  <c r="S1852" i="4"/>
  <c r="T1852" i="4"/>
  <c r="V1852" i="4"/>
  <c r="W1852" i="4"/>
  <c r="Y1852" i="4"/>
  <c r="G1853" i="4"/>
  <c r="I1853" i="4"/>
  <c r="K1853" i="4"/>
  <c r="L1853" i="4"/>
  <c r="N1853" i="4"/>
  <c r="O1853" i="4"/>
  <c r="R1853" i="4"/>
  <c r="S1853" i="4"/>
  <c r="T1853" i="4"/>
  <c r="V1853" i="4"/>
  <c r="W1853" i="4"/>
  <c r="Y1853" i="4"/>
  <c r="E1854" i="4"/>
  <c r="G1854" i="4"/>
  <c r="I1854" i="4"/>
  <c r="K1854" i="4"/>
  <c r="L1854" i="4"/>
  <c r="N1854" i="4"/>
  <c r="O1854" i="4"/>
  <c r="R1854" i="4"/>
  <c r="S1854" i="4"/>
  <c r="T1854" i="4"/>
  <c r="V1854" i="4"/>
  <c r="W1854" i="4"/>
  <c r="Y1854" i="4"/>
  <c r="E1855" i="4"/>
  <c r="F1855" i="4"/>
  <c r="G1855" i="4"/>
  <c r="I1855" i="4"/>
  <c r="K1855" i="4"/>
  <c r="L1855" i="4"/>
  <c r="N1855" i="4"/>
  <c r="O1855" i="4"/>
  <c r="R1855" i="4"/>
  <c r="S1855" i="4"/>
  <c r="T1855" i="4"/>
  <c r="V1855" i="4"/>
  <c r="W1855" i="4"/>
  <c r="Y1855" i="4"/>
  <c r="E1856" i="4"/>
  <c r="F1856" i="4"/>
  <c r="G1856" i="4"/>
  <c r="I1856" i="4"/>
  <c r="K1856" i="4"/>
  <c r="L1856" i="4"/>
  <c r="N1856" i="4"/>
  <c r="O1856" i="4"/>
  <c r="R1856" i="4"/>
  <c r="S1856" i="4"/>
  <c r="T1856" i="4"/>
  <c r="V1856" i="4"/>
  <c r="W1856" i="4"/>
  <c r="Y1856" i="4"/>
  <c r="G1857" i="4"/>
  <c r="I1857" i="4"/>
  <c r="K1857" i="4"/>
  <c r="L1857" i="4"/>
  <c r="N1857" i="4"/>
  <c r="O1857" i="4"/>
  <c r="R1857" i="4"/>
  <c r="S1857" i="4"/>
  <c r="T1857" i="4"/>
  <c r="V1857" i="4"/>
  <c r="W1857" i="4"/>
  <c r="Y1857" i="4"/>
  <c r="G1858" i="4"/>
  <c r="I1858" i="4"/>
  <c r="K1858" i="4"/>
  <c r="L1858" i="4"/>
  <c r="N1858" i="4"/>
  <c r="O1858" i="4"/>
  <c r="R1858" i="4"/>
  <c r="S1858" i="4"/>
  <c r="T1858" i="4"/>
  <c r="V1858" i="4"/>
  <c r="W1858" i="4"/>
  <c r="Y1858" i="4"/>
  <c r="E1859" i="4"/>
  <c r="F1859" i="4"/>
  <c r="G1859" i="4"/>
  <c r="I1859" i="4"/>
  <c r="K1859" i="4"/>
  <c r="L1859" i="4"/>
  <c r="N1859" i="4"/>
  <c r="O1859" i="4"/>
  <c r="R1859" i="4"/>
  <c r="S1859" i="4"/>
  <c r="T1859" i="4"/>
  <c r="V1859" i="4"/>
  <c r="W1859" i="4"/>
  <c r="Y1859" i="4"/>
  <c r="G1860" i="4"/>
  <c r="I1860" i="4"/>
  <c r="J1860" i="4"/>
  <c r="K1860" i="4"/>
  <c r="L1860" i="4"/>
  <c r="N1860" i="4"/>
  <c r="O1860" i="4"/>
  <c r="Q1860" i="4"/>
  <c r="R1860" i="4"/>
  <c r="S1860" i="4"/>
  <c r="T1860" i="4"/>
  <c r="V1860" i="4"/>
  <c r="W1860" i="4"/>
  <c r="Y1860" i="4"/>
  <c r="G1861" i="4"/>
  <c r="I1861" i="4"/>
  <c r="J1861" i="4"/>
  <c r="K1861" i="4"/>
  <c r="L1861" i="4"/>
  <c r="N1861" i="4"/>
  <c r="O1861" i="4"/>
  <c r="Q1861" i="4"/>
  <c r="R1861" i="4"/>
  <c r="S1861" i="4"/>
  <c r="T1861" i="4"/>
  <c r="V1861" i="4"/>
  <c r="W1861" i="4"/>
  <c r="Y1861" i="4"/>
  <c r="F1862" i="4"/>
  <c r="G1862" i="4"/>
  <c r="I1862" i="4"/>
  <c r="J1862" i="4"/>
  <c r="K1862" i="4"/>
  <c r="L1862" i="4"/>
  <c r="N1862" i="4"/>
  <c r="O1862" i="4"/>
  <c r="Q1862" i="4"/>
  <c r="R1862" i="4"/>
  <c r="S1862" i="4"/>
  <c r="T1862" i="4"/>
  <c r="V1862" i="4"/>
  <c r="W1862" i="4"/>
  <c r="Y1862" i="4"/>
  <c r="AB1862" i="4"/>
  <c r="F1863" i="4"/>
  <c r="G1863" i="4"/>
  <c r="I1863" i="4"/>
  <c r="K1863" i="4"/>
  <c r="L1863" i="4"/>
  <c r="N1863" i="4"/>
  <c r="O1863" i="4"/>
  <c r="R1863" i="4"/>
  <c r="S1863" i="4"/>
  <c r="T1863" i="4"/>
  <c r="V1863" i="4"/>
  <c r="W1863" i="4"/>
  <c r="Y1863" i="4"/>
  <c r="X1864" i="4"/>
  <c r="Z1864" i="4" s="1"/>
  <c r="P1865" i="4"/>
  <c r="X1866" i="4"/>
  <c r="Z1866" i="4" s="1"/>
  <c r="X1867" i="4"/>
  <c r="Z1867" i="4" s="1"/>
  <c r="E1868" i="4"/>
  <c r="F1868" i="4"/>
  <c r="G1868" i="4"/>
  <c r="I1868" i="4"/>
  <c r="K1868" i="4"/>
  <c r="L1868" i="4"/>
  <c r="N1868" i="4"/>
  <c r="O1868" i="4"/>
  <c r="R1868" i="4"/>
  <c r="S1868" i="4"/>
  <c r="T1868" i="4"/>
  <c r="V1868" i="4"/>
  <c r="W1868" i="4"/>
  <c r="Y1868" i="4"/>
  <c r="E1869" i="4"/>
  <c r="F1869" i="4"/>
  <c r="G1869" i="4"/>
  <c r="I1869" i="4"/>
  <c r="K1869" i="4"/>
  <c r="L1869" i="4"/>
  <c r="N1869" i="4"/>
  <c r="O1869" i="4"/>
  <c r="R1869" i="4"/>
  <c r="S1869" i="4"/>
  <c r="T1869" i="4"/>
  <c r="V1869" i="4"/>
  <c r="W1869" i="4"/>
  <c r="Y1869" i="4"/>
  <c r="E1870" i="4"/>
  <c r="F1870" i="4"/>
  <c r="G1870" i="4"/>
  <c r="I1870" i="4"/>
  <c r="L1870" i="4"/>
  <c r="N1870" i="4"/>
  <c r="O1870" i="4"/>
  <c r="R1870" i="4"/>
  <c r="S1870" i="4"/>
  <c r="T1870" i="4"/>
  <c r="V1870" i="4"/>
  <c r="W1870" i="4"/>
  <c r="Y1870" i="4"/>
  <c r="E1871" i="4"/>
  <c r="F1871" i="4"/>
  <c r="G1871" i="4"/>
  <c r="I1871" i="4"/>
  <c r="K1871" i="4"/>
  <c r="L1871" i="4"/>
  <c r="N1871" i="4"/>
  <c r="O1871" i="4"/>
  <c r="R1871" i="4"/>
  <c r="S1871" i="4"/>
  <c r="T1871" i="4"/>
  <c r="V1871" i="4"/>
  <c r="W1871" i="4"/>
  <c r="Y1871" i="4"/>
  <c r="E1872" i="4"/>
  <c r="F1872" i="4"/>
  <c r="G1872" i="4"/>
  <c r="I1872" i="4"/>
  <c r="K1872" i="4"/>
  <c r="L1872" i="4"/>
  <c r="N1872" i="4"/>
  <c r="O1872" i="4"/>
  <c r="R1872" i="4"/>
  <c r="S1872" i="4"/>
  <c r="T1872" i="4"/>
  <c r="V1872" i="4"/>
  <c r="W1872" i="4"/>
  <c r="Y1872" i="4"/>
  <c r="G1873" i="4"/>
  <c r="I1873" i="4"/>
  <c r="K1873" i="4"/>
  <c r="L1873" i="4"/>
  <c r="N1873" i="4"/>
  <c r="O1873" i="4"/>
  <c r="R1873" i="4"/>
  <c r="S1873" i="4"/>
  <c r="T1873" i="4"/>
  <c r="V1873" i="4"/>
  <c r="W1873" i="4"/>
  <c r="Y1873" i="4"/>
  <c r="E1874" i="4"/>
  <c r="F1874" i="4"/>
  <c r="G1874" i="4"/>
  <c r="I1874" i="4"/>
  <c r="K1874" i="4"/>
  <c r="L1874" i="4"/>
  <c r="N1874" i="4"/>
  <c r="O1874" i="4"/>
  <c r="R1874" i="4"/>
  <c r="S1874" i="4"/>
  <c r="T1874" i="4"/>
  <c r="V1874" i="4"/>
  <c r="W1874" i="4"/>
  <c r="Y1874" i="4"/>
  <c r="E1875" i="4"/>
  <c r="G1875" i="4"/>
  <c r="I1875" i="4"/>
  <c r="K1875" i="4"/>
  <c r="L1875" i="4"/>
  <c r="N1875" i="4"/>
  <c r="O1875" i="4"/>
  <c r="R1875" i="4"/>
  <c r="S1875" i="4"/>
  <c r="T1875" i="4"/>
  <c r="V1875" i="4"/>
  <c r="W1875" i="4"/>
  <c r="Y1875" i="4"/>
  <c r="F1876" i="4"/>
  <c r="G1876" i="4"/>
  <c r="I1876" i="4"/>
  <c r="K1876" i="4"/>
  <c r="L1876" i="4"/>
  <c r="N1876" i="4"/>
  <c r="O1876" i="4"/>
  <c r="R1876" i="4"/>
  <c r="S1876" i="4"/>
  <c r="T1876" i="4"/>
  <c r="V1876" i="4"/>
  <c r="W1876" i="4"/>
  <c r="Y1876" i="4"/>
  <c r="E1877" i="4"/>
  <c r="F1877" i="4"/>
  <c r="G1877" i="4"/>
  <c r="I1877" i="4"/>
  <c r="K1877" i="4"/>
  <c r="L1877" i="4"/>
  <c r="N1877" i="4"/>
  <c r="O1877" i="4"/>
  <c r="R1877" i="4"/>
  <c r="S1877" i="4"/>
  <c r="T1877" i="4"/>
  <c r="V1877" i="4"/>
  <c r="W1877" i="4"/>
  <c r="Y1877" i="4"/>
  <c r="E1878" i="4"/>
  <c r="F1878" i="4"/>
  <c r="G1878" i="4"/>
  <c r="I1878" i="4"/>
  <c r="K1878" i="4"/>
  <c r="L1878" i="4"/>
  <c r="N1878" i="4"/>
  <c r="O1878" i="4"/>
  <c r="R1878" i="4"/>
  <c r="S1878" i="4"/>
  <c r="T1878" i="4"/>
  <c r="V1878" i="4"/>
  <c r="W1878" i="4"/>
  <c r="Y1878" i="4"/>
  <c r="E1879" i="4"/>
  <c r="F1879" i="4"/>
  <c r="G1879" i="4"/>
  <c r="I1879" i="4"/>
  <c r="K1879" i="4"/>
  <c r="L1879" i="4"/>
  <c r="N1879" i="4"/>
  <c r="O1879" i="4"/>
  <c r="R1879" i="4"/>
  <c r="S1879" i="4"/>
  <c r="T1879" i="4"/>
  <c r="V1879" i="4"/>
  <c r="W1879" i="4"/>
  <c r="Y1879" i="4"/>
  <c r="E1880" i="4"/>
  <c r="F1880" i="4"/>
  <c r="G1880" i="4"/>
  <c r="I1880" i="4"/>
  <c r="K1880" i="4"/>
  <c r="L1880" i="4"/>
  <c r="N1880" i="4"/>
  <c r="O1880" i="4"/>
  <c r="R1880" i="4"/>
  <c r="S1880" i="4"/>
  <c r="T1880" i="4"/>
  <c r="V1880" i="4"/>
  <c r="W1880" i="4"/>
  <c r="Y1880" i="4"/>
  <c r="E1881" i="4"/>
  <c r="F1881" i="4"/>
  <c r="G1881" i="4"/>
  <c r="I1881" i="4"/>
  <c r="K1881" i="4"/>
  <c r="L1881" i="4"/>
  <c r="N1881" i="4"/>
  <c r="O1881" i="4"/>
  <c r="R1881" i="4"/>
  <c r="S1881" i="4"/>
  <c r="T1881" i="4"/>
  <c r="V1881" i="4"/>
  <c r="W1881" i="4"/>
  <c r="Y1881" i="4"/>
  <c r="E1882" i="4"/>
  <c r="F1882" i="4"/>
  <c r="G1882" i="4"/>
  <c r="I1882" i="4"/>
  <c r="K1882" i="4"/>
  <c r="L1882" i="4"/>
  <c r="N1882" i="4"/>
  <c r="O1882" i="4"/>
  <c r="R1882" i="4"/>
  <c r="S1882" i="4"/>
  <c r="T1882" i="4"/>
  <c r="V1882" i="4"/>
  <c r="W1882" i="4"/>
  <c r="Y1882" i="4"/>
  <c r="G1883" i="4"/>
  <c r="I1883" i="4"/>
  <c r="K1883" i="4"/>
  <c r="L1883" i="4"/>
  <c r="N1883" i="4"/>
  <c r="O1883" i="4"/>
  <c r="R1883" i="4"/>
  <c r="S1883" i="4"/>
  <c r="T1883" i="4"/>
  <c r="V1883" i="4"/>
  <c r="W1883" i="4"/>
  <c r="Y1883" i="4"/>
  <c r="E1884" i="4"/>
  <c r="F1884" i="4"/>
  <c r="G1884" i="4"/>
  <c r="I1884" i="4"/>
  <c r="K1884" i="4"/>
  <c r="L1884" i="4"/>
  <c r="N1884" i="4"/>
  <c r="O1884" i="4"/>
  <c r="R1884" i="4"/>
  <c r="S1884" i="4"/>
  <c r="T1884" i="4"/>
  <c r="V1884" i="4"/>
  <c r="W1884" i="4"/>
  <c r="Y1884" i="4"/>
  <c r="G1885" i="4"/>
  <c r="I1885" i="4"/>
  <c r="K1885" i="4"/>
  <c r="L1885" i="4"/>
  <c r="N1885" i="4"/>
  <c r="O1885" i="4"/>
  <c r="R1885" i="4"/>
  <c r="S1885" i="4"/>
  <c r="T1885" i="4"/>
  <c r="V1885" i="4"/>
  <c r="W1885" i="4"/>
  <c r="Y1885" i="4"/>
  <c r="E1886" i="4"/>
  <c r="F1886" i="4"/>
  <c r="G1886" i="4"/>
  <c r="I1886" i="4"/>
  <c r="K1886" i="4"/>
  <c r="L1886" i="4"/>
  <c r="N1886" i="4"/>
  <c r="O1886" i="4"/>
  <c r="Q1886" i="4"/>
  <c r="R1886" i="4"/>
  <c r="S1886" i="4"/>
  <c r="T1886" i="4"/>
  <c r="V1886" i="4"/>
  <c r="W1886" i="4"/>
  <c r="Y1886" i="4"/>
  <c r="G1887" i="4"/>
  <c r="I1887" i="4"/>
  <c r="K1887" i="4"/>
  <c r="L1887" i="4"/>
  <c r="N1887" i="4"/>
  <c r="O1887" i="4"/>
  <c r="Q1887" i="4"/>
  <c r="R1887" i="4"/>
  <c r="S1887" i="4"/>
  <c r="T1887" i="4"/>
  <c r="V1887" i="4"/>
  <c r="W1887" i="4"/>
  <c r="Y1887" i="4"/>
  <c r="F1888" i="4"/>
  <c r="G1888" i="4"/>
  <c r="I1888" i="4"/>
  <c r="K1888" i="4"/>
  <c r="L1888" i="4"/>
  <c r="N1888" i="4"/>
  <c r="O1888" i="4"/>
  <c r="Q1888" i="4"/>
  <c r="R1888" i="4"/>
  <c r="S1888" i="4"/>
  <c r="T1888" i="4"/>
  <c r="V1888" i="4"/>
  <c r="W1888" i="4"/>
  <c r="Y1888" i="4"/>
  <c r="E1889" i="4"/>
  <c r="F1889" i="4"/>
  <c r="G1889" i="4"/>
  <c r="I1889" i="4"/>
  <c r="K1889" i="4"/>
  <c r="L1889" i="4"/>
  <c r="N1889" i="4"/>
  <c r="O1889" i="4"/>
  <c r="R1889" i="4"/>
  <c r="S1889" i="4"/>
  <c r="T1889" i="4"/>
  <c r="V1889" i="4"/>
  <c r="W1889" i="4"/>
  <c r="Y1889" i="4"/>
  <c r="G1890" i="4"/>
  <c r="I1890" i="4"/>
  <c r="K1890" i="4"/>
  <c r="L1890" i="4"/>
  <c r="N1890" i="4"/>
  <c r="O1890" i="4"/>
  <c r="R1890" i="4"/>
  <c r="S1890" i="4"/>
  <c r="T1890" i="4"/>
  <c r="V1890" i="4"/>
  <c r="W1890" i="4"/>
  <c r="Y1890" i="4"/>
  <c r="F1891" i="4"/>
  <c r="G1891" i="4"/>
  <c r="I1891" i="4"/>
  <c r="K1891" i="4"/>
  <c r="L1891" i="4"/>
  <c r="N1891" i="4"/>
  <c r="O1891" i="4"/>
  <c r="R1891" i="4"/>
  <c r="S1891" i="4"/>
  <c r="T1891" i="4"/>
  <c r="V1891" i="4"/>
  <c r="W1891" i="4"/>
  <c r="Y1891" i="4"/>
  <c r="E1892" i="4"/>
  <c r="F1892" i="4"/>
  <c r="G1892" i="4"/>
  <c r="I1892" i="4"/>
  <c r="K1892" i="4"/>
  <c r="L1892" i="4"/>
  <c r="N1892" i="4"/>
  <c r="O1892" i="4"/>
  <c r="R1892" i="4"/>
  <c r="S1892" i="4"/>
  <c r="T1892" i="4"/>
  <c r="V1892" i="4"/>
  <c r="W1892" i="4"/>
  <c r="Y1892" i="4"/>
  <c r="G1893" i="4"/>
  <c r="I1893" i="4"/>
  <c r="K1893" i="4"/>
  <c r="L1893" i="4"/>
  <c r="N1893" i="4"/>
  <c r="O1893" i="4"/>
  <c r="R1893" i="4"/>
  <c r="S1893" i="4"/>
  <c r="T1893" i="4"/>
  <c r="V1893" i="4"/>
  <c r="W1893" i="4"/>
  <c r="Y1893" i="4"/>
  <c r="E1894" i="4"/>
  <c r="G1894" i="4"/>
  <c r="I1894" i="4"/>
  <c r="K1894" i="4"/>
  <c r="L1894" i="4"/>
  <c r="N1894" i="4"/>
  <c r="O1894" i="4"/>
  <c r="R1894" i="4"/>
  <c r="S1894" i="4"/>
  <c r="T1894" i="4"/>
  <c r="V1894" i="4"/>
  <c r="W1894" i="4"/>
  <c r="Y1894" i="4"/>
  <c r="G1895" i="4"/>
  <c r="I1895" i="4"/>
  <c r="J1895" i="4"/>
  <c r="K1895" i="4"/>
  <c r="L1895" i="4"/>
  <c r="N1895" i="4"/>
  <c r="O1895" i="4"/>
  <c r="Q1895" i="4"/>
  <c r="R1895" i="4"/>
  <c r="S1895" i="4"/>
  <c r="T1895" i="4"/>
  <c r="V1895" i="4"/>
  <c r="W1895" i="4"/>
  <c r="Y1895" i="4"/>
  <c r="E1896" i="4"/>
  <c r="F1896" i="4"/>
  <c r="G1896" i="4"/>
  <c r="I1896" i="4"/>
  <c r="J1896" i="4"/>
  <c r="K1896" i="4"/>
  <c r="L1896" i="4"/>
  <c r="N1896" i="4"/>
  <c r="O1896" i="4"/>
  <c r="Q1896" i="4"/>
  <c r="R1896" i="4"/>
  <c r="S1896" i="4"/>
  <c r="T1896" i="4"/>
  <c r="V1896" i="4"/>
  <c r="W1896" i="4"/>
  <c r="Y1896" i="4"/>
  <c r="G1897" i="4"/>
  <c r="K1897" i="4"/>
  <c r="L1897" i="4"/>
  <c r="N1897" i="4"/>
  <c r="O1897" i="4"/>
  <c r="R1897" i="4"/>
  <c r="S1897" i="4"/>
  <c r="T1897" i="4"/>
  <c r="V1897" i="4"/>
  <c r="W1897" i="4"/>
  <c r="Y1897" i="4"/>
  <c r="X1898" i="4"/>
  <c r="Z1898" i="4" s="1"/>
  <c r="P1899" i="4"/>
  <c r="X1900" i="4"/>
  <c r="Z1900" i="4" s="1"/>
  <c r="X1901" i="4"/>
  <c r="Z1901" i="4" s="1"/>
  <c r="E1902" i="4"/>
  <c r="F1902" i="4"/>
  <c r="G1902" i="4"/>
  <c r="I1902" i="4"/>
  <c r="K1902" i="4"/>
  <c r="L1902" i="4"/>
  <c r="N1902" i="4"/>
  <c r="O1902" i="4"/>
  <c r="R1902" i="4"/>
  <c r="S1902" i="4"/>
  <c r="T1902" i="4"/>
  <c r="V1902" i="4"/>
  <c r="W1902" i="4"/>
  <c r="Y1902" i="4"/>
  <c r="G1903" i="4"/>
  <c r="I1903" i="4"/>
  <c r="K1903" i="4"/>
  <c r="L1903" i="4"/>
  <c r="N1903" i="4"/>
  <c r="O1903" i="4"/>
  <c r="R1903" i="4"/>
  <c r="S1903" i="4"/>
  <c r="T1903" i="4"/>
  <c r="V1903" i="4"/>
  <c r="W1903" i="4"/>
  <c r="Y1903" i="4"/>
  <c r="F1904" i="4"/>
  <c r="G1904" i="4"/>
  <c r="I1904" i="4"/>
  <c r="L1904" i="4"/>
  <c r="N1904" i="4"/>
  <c r="O1904" i="4"/>
  <c r="R1904" i="4"/>
  <c r="S1904" i="4"/>
  <c r="T1904" i="4"/>
  <c r="V1904" i="4"/>
  <c r="W1904" i="4"/>
  <c r="Y1904" i="4"/>
  <c r="E1905" i="4"/>
  <c r="F1905" i="4"/>
  <c r="G1905" i="4"/>
  <c r="I1905" i="4"/>
  <c r="K1905" i="4"/>
  <c r="L1905" i="4"/>
  <c r="N1905" i="4"/>
  <c r="O1905" i="4"/>
  <c r="R1905" i="4"/>
  <c r="S1905" i="4"/>
  <c r="T1905" i="4"/>
  <c r="V1905" i="4"/>
  <c r="W1905" i="4"/>
  <c r="Y1905" i="4"/>
  <c r="G1906" i="4"/>
  <c r="I1906" i="4"/>
  <c r="K1906" i="4"/>
  <c r="L1906" i="4"/>
  <c r="N1906" i="4"/>
  <c r="O1906" i="4"/>
  <c r="R1906" i="4"/>
  <c r="S1906" i="4"/>
  <c r="T1906" i="4"/>
  <c r="V1906" i="4"/>
  <c r="W1906" i="4"/>
  <c r="Y1906" i="4"/>
  <c r="E1907" i="4"/>
  <c r="F1907" i="4"/>
  <c r="G1907" i="4"/>
  <c r="I1907" i="4"/>
  <c r="K1907" i="4"/>
  <c r="L1907" i="4"/>
  <c r="N1907" i="4"/>
  <c r="O1907" i="4"/>
  <c r="R1907" i="4"/>
  <c r="S1907" i="4"/>
  <c r="T1907" i="4"/>
  <c r="V1907" i="4"/>
  <c r="W1907" i="4"/>
  <c r="Y1907" i="4"/>
  <c r="G1908" i="4"/>
  <c r="I1908" i="4"/>
  <c r="K1908" i="4"/>
  <c r="L1908" i="4"/>
  <c r="N1908" i="4"/>
  <c r="O1908" i="4"/>
  <c r="R1908" i="4"/>
  <c r="S1908" i="4"/>
  <c r="T1908" i="4"/>
  <c r="V1908" i="4"/>
  <c r="W1908" i="4"/>
  <c r="Y1908" i="4"/>
  <c r="F1909" i="4"/>
  <c r="G1909" i="4"/>
  <c r="I1909" i="4"/>
  <c r="K1909" i="4"/>
  <c r="L1909" i="4"/>
  <c r="N1909" i="4"/>
  <c r="O1909" i="4"/>
  <c r="R1909" i="4"/>
  <c r="S1909" i="4"/>
  <c r="T1909" i="4"/>
  <c r="V1909" i="4"/>
  <c r="W1909" i="4"/>
  <c r="Y1909" i="4"/>
  <c r="E1910" i="4"/>
  <c r="F1910" i="4"/>
  <c r="G1910" i="4"/>
  <c r="I1910" i="4"/>
  <c r="K1910" i="4"/>
  <c r="L1910" i="4"/>
  <c r="N1910" i="4"/>
  <c r="O1910" i="4"/>
  <c r="Q1910" i="4"/>
  <c r="R1910" i="4"/>
  <c r="S1910" i="4"/>
  <c r="T1910" i="4"/>
  <c r="V1910" i="4"/>
  <c r="W1910" i="4"/>
  <c r="Y1910" i="4"/>
  <c r="G1911" i="4"/>
  <c r="I1911" i="4"/>
  <c r="K1911" i="4"/>
  <c r="L1911" i="4"/>
  <c r="N1911" i="4"/>
  <c r="O1911" i="4"/>
  <c r="Q1911" i="4"/>
  <c r="R1911" i="4"/>
  <c r="S1911" i="4"/>
  <c r="T1911" i="4"/>
  <c r="V1911" i="4"/>
  <c r="W1911" i="4"/>
  <c r="Y1911" i="4"/>
  <c r="E1912" i="4"/>
  <c r="F1912" i="4"/>
  <c r="G1912" i="4"/>
  <c r="I1912" i="4"/>
  <c r="J1912" i="4"/>
  <c r="K1912" i="4"/>
  <c r="L1912" i="4"/>
  <c r="N1912" i="4"/>
  <c r="O1912" i="4"/>
  <c r="Q1912" i="4"/>
  <c r="R1912" i="4"/>
  <c r="S1912" i="4"/>
  <c r="T1912" i="4"/>
  <c r="V1912" i="4"/>
  <c r="W1912" i="4"/>
  <c r="Y1912" i="4"/>
  <c r="E1913" i="4"/>
  <c r="F1913" i="4"/>
  <c r="G1913" i="4"/>
  <c r="I1913" i="4"/>
  <c r="K1913" i="4"/>
  <c r="L1913" i="4"/>
  <c r="N1913" i="4"/>
  <c r="O1913" i="4"/>
  <c r="R1913" i="4"/>
  <c r="S1913" i="4"/>
  <c r="T1913" i="4"/>
  <c r="V1913" i="4"/>
  <c r="W1913" i="4"/>
  <c r="Y1913" i="4"/>
  <c r="G1914" i="4"/>
  <c r="I1914" i="4"/>
  <c r="K1914" i="4"/>
  <c r="L1914" i="4"/>
  <c r="N1914" i="4"/>
  <c r="O1914" i="4"/>
  <c r="R1914" i="4"/>
  <c r="S1914" i="4"/>
  <c r="T1914" i="4"/>
  <c r="V1914" i="4"/>
  <c r="W1914" i="4"/>
  <c r="Y1914" i="4"/>
  <c r="E1915" i="4"/>
  <c r="F1915" i="4"/>
  <c r="G1915" i="4"/>
  <c r="I1915" i="4"/>
  <c r="K1915" i="4"/>
  <c r="L1915" i="4"/>
  <c r="N1915" i="4"/>
  <c r="O1915" i="4"/>
  <c r="R1915" i="4"/>
  <c r="S1915" i="4"/>
  <c r="T1915" i="4"/>
  <c r="V1915" i="4"/>
  <c r="W1915" i="4"/>
  <c r="Y1915" i="4"/>
  <c r="G1916" i="4"/>
  <c r="I1916" i="4"/>
  <c r="K1916" i="4"/>
  <c r="L1916" i="4"/>
  <c r="N1916" i="4"/>
  <c r="O1916" i="4"/>
  <c r="R1916" i="4"/>
  <c r="S1916" i="4"/>
  <c r="T1916" i="4"/>
  <c r="V1916" i="4"/>
  <c r="W1916" i="4"/>
  <c r="Y1916" i="4"/>
  <c r="G1917" i="4"/>
  <c r="I1917" i="4"/>
  <c r="K1917" i="4"/>
  <c r="L1917" i="4"/>
  <c r="N1917" i="4"/>
  <c r="O1917" i="4"/>
  <c r="R1917" i="4"/>
  <c r="S1917" i="4"/>
  <c r="T1917" i="4"/>
  <c r="V1917" i="4"/>
  <c r="W1917" i="4"/>
  <c r="Y1917" i="4"/>
  <c r="E1918" i="4"/>
  <c r="F1918" i="4"/>
  <c r="G1918" i="4"/>
  <c r="I1918" i="4"/>
  <c r="K1918" i="4"/>
  <c r="L1918" i="4"/>
  <c r="N1918" i="4"/>
  <c r="O1918" i="4"/>
  <c r="R1918" i="4"/>
  <c r="S1918" i="4"/>
  <c r="T1918" i="4"/>
  <c r="V1918" i="4"/>
  <c r="W1918" i="4"/>
  <c r="Y1918" i="4"/>
  <c r="E1919" i="4"/>
  <c r="F1919" i="4"/>
  <c r="G1919" i="4"/>
  <c r="I1919" i="4"/>
  <c r="K1919" i="4"/>
  <c r="L1919" i="4"/>
  <c r="N1919" i="4"/>
  <c r="O1919" i="4"/>
  <c r="R1919" i="4"/>
  <c r="S1919" i="4"/>
  <c r="T1919" i="4"/>
  <c r="V1919" i="4"/>
  <c r="W1919" i="4"/>
  <c r="Y1919" i="4"/>
  <c r="E1920" i="4"/>
  <c r="F1920" i="4"/>
  <c r="G1920" i="4"/>
  <c r="I1920" i="4"/>
  <c r="K1920" i="4"/>
  <c r="L1920" i="4"/>
  <c r="N1920" i="4"/>
  <c r="O1920" i="4"/>
  <c r="R1920" i="4"/>
  <c r="S1920" i="4"/>
  <c r="T1920" i="4"/>
  <c r="V1920" i="4"/>
  <c r="W1920" i="4"/>
  <c r="Y1920" i="4"/>
  <c r="X1921" i="4"/>
  <c r="Z1921" i="4" s="1"/>
  <c r="P1922" i="4"/>
  <c r="X1923" i="4"/>
  <c r="Z1923" i="4" s="1"/>
  <c r="X1924" i="4"/>
  <c r="Z1924" i="4" s="1"/>
  <c r="E1925" i="4"/>
  <c r="G1925" i="4"/>
  <c r="I1925" i="4"/>
  <c r="K1925" i="4"/>
  <c r="L1925" i="4"/>
  <c r="N1925" i="4"/>
  <c r="O1925" i="4"/>
  <c r="R1925" i="4"/>
  <c r="S1925" i="4"/>
  <c r="T1925" i="4"/>
  <c r="V1925" i="4"/>
  <c r="W1925" i="4"/>
  <c r="Y1925" i="4"/>
  <c r="E1926" i="4"/>
  <c r="G1926" i="4"/>
  <c r="I1926" i="4"/>
  <c r="K1926" i="4"/>
  <c r="L1926" i="4"/>
  <c r="N1926" i="4"/>
  <c r="O1926" i="4"/>
  <c r="R1926" i="4"/>
  <c r="S1926" i="4"/>
  <c r="T1926" i="4"/>
  <c r="V1926" i="4"/>
  <c r="W1926" i="4"/>
  <c r="Y1926" i="4"/>
  <c r="E1927" i="4"/>
  <c r="G1927" i="4"/>
  <c r="I1927" i="4"/>
  <c r="K1927" i="4"/>
  <c r="L1927" i="4"/>
  <c r="N1927" i="4"/>
  <c r="O1927" i="4"/>
  <c r="R1927" i="4"/>
  <c r="S1927" i="4"/>
  <c r="T1927" i="4"/>
  <c r="V1927" i="4"/>
  <c r="W1927" i="4"/>
  <c r="Y1927" i="4"/>
  <c r="F1928" i="4"/>
  <c r="G1928" i="4"/>
  <c r="I1928" i="4"/>
  <c r="K1928" i="4"/>
  <c r="L1928" i="4"/>
  <c r="N1928" i="4"/>
  <c r="O1928" i="4"/>
  <c r="R1928" i="4"/>
  <c r="S1928" i="4"/>
  <c r="T1928" i="4"/>
  <c r="V1928" i="4"/>
  <c r="W1928" i="4"/>
  <c r="Y1928" i="4"/>
  <c r="E1929" i="4"/>
  <c r="G1929" i="4"/>
  <c r="I1929" i="4"/>
  <c r="K1929" i="4"/>
  <c r="L1929" i="4"/>
  <c r="N1929" i="4"/>
  <c r="O1929" i="4"/>
  <c r="R1929" i="4"/>
  <c r="S1929" i="4"/>
  <c r="T1929" i="4"/>
  <c r="V1929" i="4"/>
  <c r="W1929" i="4"/>
  <c r="Y1929" i="4"/>
  <c r="F1930" i="4"/>
  <c r="G1930" i="4"/>
  <c r="I1930" i="4"/>
  <c r="K1930" i="4"/>
  <c r="L1930" i="4"/>
  <c r="N1930" i="4"/>
  <c r="O1930" i="4"/>
  <c r="R1930" i="4"/>
  <c r="S1930" i="4"/>
  <c r="T1930" i="4"/>
  <c r="V1930" i="4"/>
  <c r="W1930" i="4"/>
  <c r="Y1930" i="4"/>
  <c r="F1931" i="4"/>
  <c r="G1931" i="4"/>
  <c r="I1931" i="4"/>
  <c r="K1931" i="4"/>
  <c r="L1931" i="4"/>
  <c r="N1931" i="4"/>
  <c r="O1931" i="4"/>
  <c r="R1931" i="4"/>
  <c r="S1931" i="4"/>
  <c r="T1931" i="4"/>
  <c r="V1931" i="4"/>
  <c r="W1931" i="4"/>
  <c r="Y1931" i="4"/>
  <c r="F1932" i="4"/>
  <c r="G1932" i="4"/>
  <c r="I1932" i="4"/>
  <c r="K1932" i="4"/>
  <c r="L1932" i="4"/>
  <c r="N1932" i="4"/>
  <c r="O1932" i="4"/>
  <c r="R1932" i="4"/>
  <c r="S1932" i="4"/>
  <c r="T1932" i="4"/>
  <c r="V1932" i="4"/>
  <c r="W1932" i="4"/>
  <c r="Y1932" i="4"/>
  <c r="E1933" i="4"/>
  <c r="F1933" i="4"/>
  <c r="G1933" i="4"/>
  <c r="I1933" i="4"/>
  <c r="K1933" i="4"/>
  <c r="L1933" i="4"/>
  <c r="N1933" i="4"/>
  <c r="O1933" i="4"/>
  <c r="R1933" i="4"/>
  <c r="S1933" i="4"/>
  <c r="T1933" i="4"/>
  <c r="V1933" i="4"/>
  <c r="W1933" i="4"/>
  <c r="Y1933" i="4"/>
  <c r="E1934" i="4"/>
  <c r="F1934" i="4"/>
  <c r="G1934" i="4"/>
  <c r="I1934" i="4"/>
  <c r="K1934" i="4"/>
  <c r="L1934" i="4"/>
  <c r="N1934" i="4"/>
  <c r="O1934" i="4"/>
  <c r="R1934" i="4"/>
  <c r="S1934" i="4"/>
  <c r="T1934" i="4"/>
  <c r="V1934" i="4"/>
  <c r="W1934" i="4"/>
  <c r="Y1934" i="4"/>
  <c r="F1935" i="4"/>
  <c r="G1935" i="4"/>
  <c r="I1935" i="4"/>
  <c r="K1935" i="4"/>
  <c r="L1935" i="4"/>
  <c r="N1935" i="4"/>
  <c r="O1935" i="4"/>
  <c r="R1935" i="4"/>
  <c r="S1935" i="4"/>
  <c r="T1935" i="4"/>
  <c r="V1935" i="4"/>
  <c r="W1935" i="4"/>
  <c r="Y1935" i="4"/>
  <c r="G1936" i="4"/>
  <c r="I1936" i="4"/>
  <c r="K1936" i="4"/>
  <c r="L1936" i="4"/>
  <c r="N1936" i="4"/>
  <c r="O1936" i="4"/>
  <c r="R1936" i="4"/>
  <c r="S1936" i="4"/>
  <c r="T1936" i="4"/>
  <c r="V1936" i="4"/>
  <c r="W1936" i="4"/>
  <c r="Y1936" i="4"/>
  <c r="E1937" i="4"/>
  <c r="F1937" i="4"/>
  <c r="G1937" i="4"/>
  <c r="I1937" i="4"/>
  <c r="K1937" i="4"/>
  <c r="L1937" i="4"/>
  <c r="N1937" i="4"/>
  <c r="O1937" i="4"/>
  <c r="R1937" i="4"/>
  <c r="S1937" i="4"/>
  <c r="T1937" i="4"/>
  <c r="V1937" i="4"/>
  <c r="W1937" i="4"/>
  <c r="Y1937" i="4"/>
  <c r="G1938" i="4"/>
  <c r="I1938" i="4"/>
  <c r="K1938" i="4"/>
  <c r="L1938" i="4"/>
  <c r="N1938" i="4"/>
  <c r="O1938" i="4"/>
  <c r="R1938" i="4"/>
  <c r="S1938" i="4"/>
  <c r="T1938" i="4"/>
  <c r="V1938" i="4"/>
  <c r="W1938" i="4"/>
  <c r="Y1938" i="4"/>
  <c r="E1939" i="4"/>
  <c r="F1939" i="4"/>
  <c r="G1939" i="4"/>
  <c r="I1939" i="4"/>
  <c r="K1939" i="4"/>
  <c r="L1939" i="4"/>
  <c r="N1939" i="4"/>
  <c r="O1939" i="4"/>
  <c r="R1939" i="4"/>
  <c r="S1939" i="4"/>
  <c r="T1939" i="4"/>
  <c r="V1939" i="4"/>
  <c r="W1939" i="4"/>
  <c r="Y1939" i="4"/>
  <c r="G1940" i="4"/>
  <c r="I1940" i="4"/>
  <c r="K1940" i="4"/>
  <c r="L1940" i="4"/>
  <c r="N1940" i="4"/>
  <c r="O1940" i="4"/>
  <c r="R1940" i="4"/>
  <c r="S1940" i="4"/>
  <c r="T1940" i="4"/>
  <c r="V1940" i="4"/>
  <c r="W1940" i="4"/>
  <c r="Y1940" i="4"/>
  <c r="G1941" i="4"/>
  <c r="I1941" i="4"/>
  <c r="K1941" i="4"/>
  <c r="L1941" i="4"/>
  <c r="N1941" i="4"/>
  <c r="O1941" i="4"/>
  <c r="R1941" i="4"/>
  <c r="S1941" i="4"/>
  <c r="T1941" i="4"/>
  <c r="V1941" i="4"/>
  <c r="W1941" i="4"/>
  <c r="Y1941" i="4"/>
  <c r="E1942" i="4"/>
  <c r="F1942" i="4"/>
  <c r="G1942" i="4"/>
  <c r="I1942" i="4"/>
  <c r="K1942" i="4"/>
  <c r="L1942" i="4"/>
  <c r="N1942" i="4"/>
  <c r="O1942" i="4"/>
  <c r="R1942" i="4"/>
  <c r="S1942" i="4"/>
  <c r="T1942" i="4"/>
  <c r="V1942" i="4"/>
  <c r="W1942" i="4"/>
  <c r="Y1942" i="4"/>
  <c r="E1943" i="4"/>
  <c r="F1943" i="4"/>
  <c r="G1943" i="4"/>
  <c r="I1943" i="4"/>
  <c r="K1943" i="4"/>
  <c r="L1943" i="4"/>
  <c r="N1943" i="4"/>
  <c r="O1943" i="4"/>
  <c r="R1943" i="4"/>
  <c r="S1943" i="4"/>
  <c r="T1943" i="4"/>
  <c r="V1943" i="4"/>
  <c r="W1943" i="4"/>
  <c r="Y1943" i="4"/>
  <c r="G1944" i="4"/>
  <c r="I1944" i="4"/>
  <c r="K1944" i="4"/>
  <c r="L1944" i="4"/>
  <c r="N1944" i="4"/>
  <c r="O1944" i="4"/>
  <c r="P1944" i="4"/>
  <c r="Q1944" i="4"/>
  <c r="R1944" i="4"/>
  <c r="S1944" i="4"/>
  <c r="T1944" i="4"/>
  <c r="V1944" i="4"/>
  <c r="W1944" i="4"/>
  <c r="Y1944" i="4"/>
  <c r="E1945" i="4"/>
  <c r="F1945" i="4"/>
  <c r="G1945" i="4"/>
  <c r="I1945" i="4"/>
  <c r="K1945" i="4"/>
  <c r="L1945" i="4"/>
  <c r="N1945" i="4"/>
  <c r="O1945" i="4"/>
  <c r="Q1945" i="4"/>
  <c r="R1945" i="4"/>
  <c r="S1945" i="4"/>
  <c r="T1945" i="4"/>
  <c r="V1945" i="4"/>
  <c r="W1945" i="4"/>
  <c r="Y1945" i="4"/>
  <c r="E1946" i="4"/>
  <c r="F1946" i="4"/>
  <c r="G1946" i="4"/>
  <c r="I1946" i="4"/>
  <c r="J1946" i="4"/>
  <c r="K1946" i="4"/>
  <c r="L1946" i="4"/>
  <c r="N1946" i="4"/>
  <c r="O1946" i="4"/>
  <c r="Q1946" i="4"/>
  <c r="R1946" i="4"/>
  <c r="S1946" i="4"/>
  <c r="T1946" i="4"/>
  <c r="V1946" i="4"/>
  <c r="W1946" i="4"/>
  <c r="Y1946" i="4"/>
  <c r="E1947" i="4"/>
  <c r="F1947" i="4"/>
  <c r="G1947" i="4"/>
  <c r="I1947" i="4"/>
  <c r="K1947" i="4"/>
  <c r="L1947" i="4"/>
  <c r="N1947" i="4"/>
  <c r="O1947" i="4"/>
  <c r="R1947" i="4"/>
  <c r="S1947" i="4"/>
  <c r="T1947" i="4"/>
  <c r="V1947" i="4"/>
  <c r="W1947" i="4"/>
  <c r="Y1947" i="4"/>
  <c r="E1948" i="4"/>
  <c r="F1948" i="4"/>
  <c r="G1948" i="4"/>
  <c r="I1948" i="4"/>
  <c r="K1948" i="4"/>
  <c r="L1948" i="4"/>
  <c r="N1948" i="4"/>
  <c r="O1948" i="4"/>
  <c r="R1948" i="4"/>
  <c r="S1948" i="4"/>
  <c r="T1948" i="4"/>
  <c r="V1948" i="4"/>
  <c r="W1948" i="4"/>
  <c r="Y1948" i="4"/>
  <c r="E1949" i="4"/>
  <c r="F1949" i="4"/>
  <c r="G1949" i="4"/>
  <c r="I1949" i="4"/>
  <c r="K1949" i="4"/>
  <c r="L1949" i="4"/>
  <c r="N1949" i="4"/>
  <c r="O1949" i="4"/>
  <c r="R1949" i="4"/>
  <c r="S1949" i="4"/>
  <c r="T1949" i="4"/>
  <c r="V1949" i="4"/>
  <c r="W1949" i="4"/>
  <c r="Y1949" i="4"/>
  <c r="X1950" i="4"/>
  <c r="Z1950" i="4" s="1"/>
  <c r="P1951" i="4"/>
  <c r="X1952" i="4"/>
  <c r="Z1952" i="4" s="1"/>
  <c r="X1953" i="4"/>
  <c r="Z1953" i="4" s="1"/>
  <c r="E1954" i="4"/>
  <c r="F1954" i="4"/>
  <c r="G1954" i="4"/>
  <c r="I1954" i="4"/>
  <c r="K1954" i="4"/>
  <c r="L1954" i="4"/>
  <c r="N1954" i="4"/>
  <c r="O1954" i="4"/>
  <c r="R1954" i="4"/>
  <c r="S1954" i="4"/>
  <c r="T1954" i="4"/>
  <c r="V1954" i="4"/>
  <c r="W1954" i="4"/>
  <c r="Y1954" i="4"/>
  <c r="F1955" i="4"/>
  <c r="G1955" i="4"/>
  <c r="I1955" i="4"/>
  <c r="K1955" i="4"/>
  <c r="L1955" i="4"/>
  <c r="N1955" i="4"/>
  <c r="O1955" i="4"/>
  <c r="R1955" i="4"/>
  <c r="S1955" i="4"/>
  <c r="T1955" i="4"/>
  <c r="V1955" i="4"/>
  <c r="W1955" i="4"/>
  <c r="Y1955" i="4"/>
  <c r="F1956" i="4"/>
  <c r="G1956" i="4"/>
  <c r="I1956" i="4"/>
  <c r="K1956" i="4"/>
  <c r="L1956" i="4"/>
  <c r="N1956" i="4"/>
  <c r="O1956" i="4"/>
  <c r="R1956" i="4"/>
  <c r="S1956" i="4"/>
  <c r="T1956" i="4"/>
  <c r="V1956" i="4"/>
  <c r="W1956" i="4"/>
  <c r="Y1956" i="4"/>
  <c r="E1957" i="4"/>
  <c r="F1957" i="4"/>
  <c r="G1957" i="4"/>
  <c r="I1957" i="4"/>
  <c r="K1957" i="4"/>
  <c r="L1957" i="4"/>
  <c r="N1957" i="4"/>
  <c r="O1957" i="4"/>
  <c r="R1957" i="4"/>
  <c r="S1957" i="4"/>
  <c r="T1957" i="4"/>
  <c r="V1957" i="4"/>
  <c r="W1957" i="4"/>
  <c r="Y1957" i="4"/>
  <c r="E1958" i="4"/>
  <c r="F1958" i="4"/>
  <c r="G1958" i="4"/>
  <c r="I1958" i="4"/>
  <c r="K1958" i="4"/>
  <c r="L1958" i="4"/>
  <c r="N1958" i="4"/>
  <c r="O1958" i="4"/>
  <c r="R1958" i="4"/>
  <c r="S1958" i="4"/>
  <c r="T1958" i="4"/>
  <c r="V1958" i="4"/>
  <c r="W1958" i="4"/>
  <c r="Y1958" i="4"/>
  <c r="E1959" i="4"/>
  <c r="F1959" i="4"/>
  <c r="G1959" i="4"/>
  <c r="I1959" i="4"/>
  <c r="K1959" i="4"/>
  <c r="L1959" i="4"/>
  <c r="N1959" i="4"/>
  <c r="O1959" i="4"/>
  <c r="R1959" i="4"/>
  <c r="S1959" i="4"/>
  <c r="T1959" i="4"/>
  <c r="V1959" i="4"/>
  <c r="W1959" i="4"/>
  <c r="Y1959" i="4"/>
  <c r="E1960" i="4"/>
  <c r="F1960" i="4"/>
  <c r="G1960" i="4"/>
  <c r="I1960" i="4"/>
  <c r="K1960" i="4"/>
  <c r="L1960" i="4"/>
  <c r="N1960" i="4"/>
  <c r="O1960" i="4"/>
  <c r="R1960" i="4"/>
  <c r="S1960" i="4"/>
  <c r="T1960" i="4"/>
  <c r="V1960" i="4"/>
  <c r="W1960" i="4"/>
  <c r="Y1960" i="4"/>
  <c r="E1961" i="4"/>
  <c r="F1961" i="4"/>
  <c r="G1961" i="4"/>
  <c r="I1961" i="4"/>
  <c r="K1961" i="4"/>
  <c r="L1961" i="4"/>
  <c r="N1961" i="4"/>
  <c r="O1961" i="4"/>
  <c r="R1961" i="4"/>
  <c r="S1961" i="4"/>
  <c r="T1961" i="4"/>
  <c r="V1961" i="4"/>
  <c r="W1961" i="4"/>
  <c r="Y1961" i="4"/>
  <c r="E1962" i="4"/>
  <c r="F1962" i="4"/>
  <c r="G1962" i="4"/>
  <c r="I1962" i="4"/>
  <c r="K1962" i="4"/>
  <c r="L1962" i="4"/>
  <c r="N1962" i="4"/>
  <c r="O1962" i="4"/>
  <c r="R1962" i="4"/>
  <c r="S1962" i="4"/>
  <c r="T1962" i="4"/>
  <c r="V1962" i="4"/>
  <c r="W1962" i="4"/>
  <c r="Y1962" i="4"/>
  <c r="E1963" i="4"/>
  <c r="F1963" i="4"/>
  <c r="G1963" i="4"/>
  <c r="I1963" i="4"/>
  <c r="K1963" i="4"/>
  <c r="L1963" i="4"/>
  <c r="N1963" i="4"/>
  <c r="O1963" i="4"/>
  <c r="R1963" i="4"/>
  <c r="S1963" i="4"/>
  <c r="T1963" i="4"/>
  <c r="V1963" i="4"/>
  <c r="W1963" i="4"/>
  <c r="Y1963" i="4"/>
  <c r="E1964" i="4"/>
  <c r="F1964" i="4"/>
  <c r="G1964" i="4"/>
  <c r="I1964" i="4"/>
  <c r="K1964" i="4"/>
  <c r="L1964" i="4"/>
  <c r="N1964" i="4"/>
  <c r="O1964" i="4"/>
  <c r="R1964" i="4"/>
  <c r="S1964" i="4"/>
  <c r="T1964" i="4"/>
  <c r="V1964" i="4"/>
  <c r="W1964" i="4"/>
  <c r="Y1964" i="4"/>
  <c r="G1965" i="4"/>
  <c r="I1965" i="4"/>
  <c r="K1965" i="4"/>
  <c r="L1965" i="4"/>
  <c r="N1965" i="4"/>
  <c r="O1965" i="4"/>
  <c r="R1965" i="4"/>
  <c r="S1965" i="4"/>
  <c r="T1965" i="4"/>
  <c r="V1965" i="4"/>
  <c r="W1965" i="4"/>
  <c r="Y1965" i="4"/>
  <c r="X1966" i="4"/>
  <c r="Z1966" i="4" s="1"/>
  <c r="P1967" i="4"/>
  <c r="R1969" i="4"/>
  <c r="R2917" i="4" s="1"/>
  <c r="S1969" i="4"/>
  <c r="S2917" i="4" s="1"/>
  <c r="E1975" i="4"/>
  <c r="F1975" i="4"/>
  <c r="G1975" i="4"/>
  <c r="I1975" i="4"/>
  <c r="J1975" i="4"/>
  <c r="K1975" i="4"/>
  <c r="L1975" i="4"/>
  <c r="N1975" i="4"/>
  <c r="O1975" i="4"/>
  <c r="Q1975" i="4"/>
  <c r="R1975" i="4"/>
  <c r="S1975" i="4"/>
  <c r="T1975" i="4"/>
  <c r="Y1975" i="4"/>
  <c r="E1976" i="4"/>
  <c r="F1976" i="4"/>
  <c r="G1976" i="4"/>
  <c r="I1976" i="4"/>
  <c r="J1976" i="4"/>
  <c r="K1976" i="4"/>
  <c r="L1976" i="4"/>
  <c r="N1976" i="4"/>
  <c r="O1976" i="4"/>
  <c r="Q1976" i="4"/>
  <c r="R1976" i="4"/>
  <c r="S1976" i="4"/>
  <c r="T1976" i="4"/>
  <c r="Y1976" i="4"/>
  <c r="E1977" i="4"/>
  <c r="F1977" i="4"/>
  <c r="G1977" i="4"/>
  <c r="I1977" i="4"/>
  <c r="J1977" i="4"/>
  <c r="K1977" i="4"/>
  <c r="L1977" i="4"/>
  <c r="N1977" i="4"/>
  <c r="O1977" i="4"/>
  <c r="Q1977" i="4"/>
  <c r="R1977" i="4"/>
  <c r="S1977" i="4"/>
  <c r="T1977" i="4"/>
  <c r="Y1977" i="4"/>
  <c r="E1978" i="4"/>
  <c r="F1978" i="4"/>
  <c r="G1978" i="4"/>
  <c r="I1978" i="4"/>
  <c r="J1978" i="4"/>
  <c r="K1978" i="4"/>
  <c r="L1978" i="4"/>
  <c r="N1978" i="4"/>
  <c r="O1978" i="4"/>
  <c r="Q1978" i="4"/>
  <c r="R1978" i="4"/>
  <c r="S1978" i="4"/>
  <c r="T1978" i="4"/>
  <c r="Y1978" i="4"/>
  <c r="E1979" i="4"/>
  <c r="F1979" i="4"/>
  <c r="G1979" i="4"/>
  <c r="I1979" i="4"/>
  <c r="J1979" i="4"/>
  <c r="K1979" i="4"/>
  <c r="L1979" i="4"/>
  <c r="N1979" i="4"/>
  <c r="O1979" i="4"/>
  <c r="Q1979" i="4"/>
  <c r="R1979" i="4"/>
  <c r="S1979" i="4"/>
  <c r="T1979" i="4"/>
  <c r="Y1979" i="4"/>
  <c r="E1980" i="4"/>
  <c r="F1980" i="4"/>
  <c r="I1980" i="4"/>
  <c r="J1980" i="4"/>
  <c r="K1980" i="4"/>
  <c r="L1980" i="4"/>
  <c r="N1980" i="4"/>
  <c r="O1980" i="4"/>
  <c r="Q1980" i="4"/>
  <c r="R1980" i="4"/>
  <c r="S1980" i="4"/>
  <c r="T1980" i="4"/>
  <c r="Y1980" i="4"/>
  <c r="E1981" i="4"/>
  <c r="F1981" i="4"/>
  <c r="G1981" i="4"/>
  <c r="I1981" i="4"/>
  <c r="J1981" i="4"/>
  <c r="K1981" i="4"/>
  <c r="L1981" i="4"/>
  <c r="N1981" i="4"/>
  <c r="O1981" i="4"/>
  <c r="Q1981" i="4"/>
  <c r="R1981" i="4"/>
  <c r="S1981" i="4"/>
  <c r="T1981" i="4"/>
  <c r="Y1981" i="4"/>
  <c r="E1982" i="4"/>
  <c r="F1982" i="4"/>
  <c r="G1982" i="4"/>
  <c r="I1982" i="4"/>
  <c r="J1982" i="4"/>
  <c r="K1982" i="4"/>
  <c r="L1982" i="4"/>
  <c r="N1982" i="4"/>
  <c r="O1982" i="4"/>
  <c r="Q1982" i="4"/>
  <c r="R1982" i="4"/>
  <c r="S1982" i="4"/>
  <c r="T1982" i="4"/>
  <c r="Y1982" i="4"/>
  <c r="E1983" i="4"/>
  <c r="F1983" i="4"/>
  <c r="G1983" i="4"/>
  <c r="I1983" i="4"/>
  <c r="J1983" i="4"/>
  <c r="K1983" i="4"/>
  <c r="L1983" i="4"/>
  <c r="N1983" i="4"/>
  <c r="O1983" i="4"/>
  <c r="Q1983" i="4"/>
  <c r="R1983" i="4"/>
  <c r="S1983" i="4"/>
  <c r="T1983" i="4"/>
  <c r="Y1983" i="4"/>
  <c r="E1984" i="4"/>
  <c r="F1984" i="4"/>
  <c r="G1984" i="4"/>
  <c r="I1984" i="4"/>
  <c r="J1984" i="4"/>
  <c r="K1984" i="4"/>
  <c r="L1984" i="4"/>
  <c r="N1984" i="4"/>
  <c r="O1984" i="4"/>
  <c r="Q1984" i="4"/>
  <c r="R1984" i="4"/>
  <c r="S1984" i="4"/>
  <c r="T1984" i="4"/>
  <c r="Y1984" i="4"/>
  <c r="G1985" i="4"/>
  <c r="I1985" i="4"/>
  <c r="J1985" i="4"/>
  <c r="K1985" i="4"/>
  <c r="L1985" i="4"/>
  <c r="N1985" i="4"/>
  <c r="O1985" i="4"/>
  <c r="Q1985" i="4"/>
  <c r="R1985" i="4"/>
  <c r="S1985" i="4"/>
  <c r="T1985" i="4"/>
  <c r="Y1985" i="4"/>
  <c r="P1987" i="4"/>
  <c r="X1988" i="4"/>
  <c r="X1989" i="4"/>
  <c r="F1990" i="4"/>
  <c r="G1990" i="4"/>
  <c r="I1990" i="4"/>
  <c r="J1990" i="4"/>
  <c r="K1990" i="4"/>
  <c r="L1990" i="4"/>
  <c r="N1990" i="4"/>
  <c r="O1990" i="4"/>
  <c r="Q1990" i="4"/>
  <c r="R1990" i="4"/>
  <c r="S1990" i="4"/>
  <c r="T1990" i="4"/>
  <c r="Y1990" i="4"/>
  <c r="E1991" i="4"/>
  <c r="F1991" i="4"/>
  <c r="G1991" i="4"/>
  <c r="I1991" i="4"/>
  <c r="J1991" i="4"/>
  <c r="K1991" i="4"/>
  <c r="L1991" i="4"/>
  <c r="N1991" i="4"/>
  <c r="O1991" i="4"/>
  <c r="Q1991" i="4"/>
  <c r="R1991" i="4"/>
  <c r="S1991" i="4"/>
  <c r="T1991" i="4"/>
  <c r="Y1991" i="4"/>
  <c r="E1992" i="4"/>
  <c r="F1992" i="4"/>
  <c r="G1992" i="4"/>
  <c r="I1992" i="4"/>
  <c r="J1992" i="4"/>
  <c r="K1992" i="4"/>
  <c r="L1992" i="4"/>
  <c r="N1992" i="4"/>
  <c r="O1992" i="4"/>
  <c r="Q1992" i="4"/>
  <c r="R1992" i="4"/>
  <c r="S1992" i="4"/>
  <c r="T1992" i="4"/>
  <c r="Y1992" i="4"/>
  <c r="E1993" i="4"/>
  <c r="F1993" i="4"/>
  <c r="G1993" i="4"/>
  <c r="I1993" i="4"/>
  <c r="J1993" i="4"/>
  <c r="K1993" i="4"/>
  <c r="L1993" i="4"/>
  <c r="N1993" i="4"/>
  <c r="O1993" i="4"/>
  <c r="Q1993" i="4"/>
  <c r="R1993" i="4"/>
  <c r="S1993" i="4"/>
  <c r="T1993" i="4"/>
  <c r="Y1993" i="4"/>
  <c r="E1994" i="4"/>
  <c r="F1994" i="4"/>
  <c r="G1994" i="4"/>
  <c r="I1994" i="4"/>
  <c r="J1994" i="4"/>
  <c r="K1994" i="4"/>
  <c r="L1994" i="4"/>
  <c r="N1994" i="4"/>
  <c r="O1994" i="4"/>
  <c r="Q1994" i="4"/>
  <c r="R1994" i="4"/>
  <c r="S1994" i="4"/>
  <c r="T1994" i="4"/>
  <c r="Y1994" i="4"/>
  <c r="E1995" i="4"/>
  <c r="F1995" i="4"/>
  <c r="G1995" i="4"/>
  <c r="I1995" i="4"/>
  <c r="J1995" i="4"/>
  <c r="K1995" i="4"/>
  <c r="L1995" i="4"/>
  <c r="N1995" i="4"/>
  <c r="O1995" i="4"/>
  <c r="Q1995" i="4"/>
  <c r="R1995" i="4"/>
  <c r="S1995" i="4"/>
  <c r="T1995" i="4"/>
  <c r="Y1995" i="4"/>
  <c r="E1996" i="4"/>
  <c r="F1996" i="4"/>
  <c r="G1996" i="4"/>
  <c r="I1996" i="4"/>
  <c r="J1996" i="4"/>
  <c r="K1996" i="4"/>
  <c r="L1996" i="4"/>
  <c r="N1996" i="4"/>
  <c r="O1996" i="4"/>
  <c r="Q1996" i="4"/>
  <c r="R1996" i="4"/>
  <c r="S1996" i="4"/>
  <c r="T1996" i="4"/>
  <c r="Y1996" i="4"/>
  <c r="E1997" i="4"/>
  <c r="F1997" i="4"/>
  <c r="G1997" i="4"/>
  <c r="I1997" i="4"/>
  <c r="J1997" i="4"/>
  <c r="K1997" i="4"/>
  <c r="L1997" i="4"/>
  <c r="N1997" i="4"/>
  <c r="O1997" i="4"/>
  <c r="Q1997" i="4"/>
  <c r="R1997" i="4"/>
  <c r="S1997" i="4"/>
  <c r="T1997" i="4"/>
  <c r="Y1997" i="4"/>
  <c r="E1998" i="4"/>
  <c r="F1998" i="4"/>
  <c r="G1998" i="4"/>
  <c r="I1998" i="4"/>
  <c r="J1998" i="4"/>
  <c r="K1998" i="4"/>
  <c r="L1998" i="4"/>
  <c r="N1998" i="4"/>
  <c r="O1998" i="4"/>
  <c r="Q1998" i="4"/>
  <c r="R1998" i="4"/>
  <c r="S1998" i="4"/>
  <c r="T1998" i="4"/>
  <c r="Y1998" i="4"/>
  <c r="E1999" i="4"/>
  <c r="F1999" i="4"/>
  <c r="G1999" i="4"/>
  <c r="I1999" i="4"/>
  <c r="J1999" i="4"/>
  <c r="K1999" i="4"/>
  <c r="L1999" i="4"/>
  <c r="N1999" i="4"/>
  <c r="O1999" i="4"/>
  <c r="Q1999" i="4"/>
  <c r="R1999" i="4"/>
  <c r="S1999" i="4"/>
  <c r="T1999" i="4"/>
  <c r="Y1999" i="4"/>
  <c r="E2000" i="4"/>
  <c r="F2000" i="4"/>
  <c r="G2000" i="4"/>
  <c r="I2000" i="4"/>
  <c r="J2000" i="4"/>
  <c r="K2000" i="4"/>
  <c r="L2000" i="4"/>
  <c r="N2000" i="4"/>
  <c r="O2000" i="4"/>
  <c r="Q2000" i="4"/>
  <c r="R2000" i="4"/>
  <c r="S2000" i="4"/>
  <c r="T2000" i="4"/>
  <c r="Y2000" i="4"/>
  <c r="G2001" i="4"/>
  <c r="I2001" i="4"/>
  <c r="J2001" i="4"/>
  <c r="K2001" i="4"/>
  <c r="L2001" i="4"/>
  <c r="N2001" i="4"/>
  <c r="O2001" i="4"/>
  <c r="Q2001" i="4"/>
  <c r="R2001" i="4"/>
  <c r="S2001" i="4"/>
  <c r="T2001" i="4"/>
  <c r="Y2001" i="4"/>
  <c r="E2002" i="4"/>
  <c r="F2002" i="4"/>
  <c r="G2002" i="4"/>
  <c r="I2002" i="4"/>
  <c r="J2002" i="4"/>
  <c r="K2002" i="4"/>
  <c r="L2002" i="4"/>
  <c r="N2002" i="4"/>
  <c r="O2002" i="4"/>
  <c r="Q2002" i="4"/>
  <c r="R2002" i="4"/>
  <c r="S2002" i="4"/>
  <c r="T2002" i="4"/>
  <c r="Y2002" i="4"/>
  <c r="E2003" i="4"/>
  <c r="F2003" i="4"/>
  <c r="G2003" i="4"/>
  <c r="I2003" i="4"/>
  <c r="J2003" i="4"/>
  <c r="K2003" i="4"/>
  <c r="L2003" i="4"/>
  <c r="N2003" i="4"/>
  <c r="O2003" i="4"/>
  <c r="Q2003" i="4"/>
  <c r="R2003" i="4"/>
  <c r="S2003" i="4"/>
  <c r="T2003" i="4"/>
  <c r="Y2003" i="4"/>
  <c r="E2004" i="4"/>
  <c r="F2004" i="4"/>
  <c r="G2004" i="4"/>
  <c r="H2004" i="4"/>
  <c r="I2004" i="4"/>
  <c r="J2004" i="4"/>
  <c r="K2004" i="4"/>
  <c r="L2004" i="4"/>
  <c r="M2004" i="4"/>
  <c r="N2004" i="4"/>
  <c r="O2004" i="4"/>
  <c r="Q2004" i="4"/>
  <c r="R2004" i="4"/>
  <c r="S2004" i="4"/>
  <c r="T2004" i="4"/>
  <c r="V2004" i="4"/>
  <c r="W2004" i="4"/>
  <c r="Y2004" i="4"/>
  <c r="G2005" i="4"/>
  <c r="I2005" i="4"/>
  <c r="J2005" i="4"/>
  <c r="K2005" i="4"/>
  <c r="L2005" i="4"/>
  <c r="N2005" i="4"/>
  <c r="O2005" i="4"/>
  <c r="Q2005" i="4"/>
  <c r="R2005" i="4"/>
  <c r="S2005" i="4"/>
  <c r="T2005" i="4"/>
  <c r="V2005" i="4"/>
  <c r="W2005" i="4"/>
  <c r="Y2005" i="4"/>
  <c r="G2006" i="4"/>
  <c r="I2006" i="4"/>
  <c r="J2006" i="4"/>
  <c r="K2006" i="4"/>
  <c r="L2006" i="4"/>
  <c r="N2006" i="4"/>
  <c r="O2006" i="4"/>
  <c r="Q2006" i="4"/>
  <c r="R2006" i="4"/>
  <c r="S2006" i="4"/>
  <c r="T2006" i="4"/>
  <c r="V2006" i="4"/>
  <c r="W2006" i="4"/>
  <c r="Y2006" i="4"/>
  <c r="F2007" i="4"/>
  <c r="I2007" i="4"/>
  <c r="J2007" i="4"/>
  <c r="K2007" i="4"/>
  <c r="L2007" i="4"/>
  <c r="N2007" i="4"/>
  <c r="O2007" i="4"/>
  <c r="Q2007" i="4"/>
  <c r="R2007" i="4"/>
  <c r="S2007" i="4"/>
  <c r="T2007" i="4"/>
  <c r="V2007" i="4"/>
  <c r="W2007" i="4"/>
  <c r="Y2007" i="4"/>
  <c r="E2008" i="4"/>
  <c r="F2008" i="4"/>
  <c r="G2008" i="4"/>
  <c r="I2008" i="4"/>
  <c r="J2008" i="4"/>
  <c r="K2008" i="4"/>
  <c r="L2008" i="4"/>
  <c r="N2008" i="4"/>
  <c r="O2008" i="4"/>
  <c r="Q2008" i="4"/>
  <c r="R2008" i="4"/>
  <c r="S2008" i="4"/>
  <c r="T2008" i="4"/>
  <c r="V2008" i="4"/>
  <c r="W2008" i="4"/>
  <c r="Y2008" i="4"/>
  <c r="G2009" i="4"/>
  <c r="I2009" i="4"/>
  <c r="J2009" i="4"/>
  <c r="K2009" i="4"/>
  <c r="L2009" i="4"/>
  <c r="N2009" i="4"/>
  <c r="O2009" i="4"/>
  <c r="Q2009" i="4"/>
  <c r="R2009" i="4"/>
  <c r="S2009" i="4"/>
  <c r="T2009" i="4"/>
  <c r="Y2009" i="4"/>
  <c r="X2010" i="4"/>
  <c r="P2011" i="4"/>
  <c r="X2012" i="4"/>
  <c r="Z2012" i="4" s="1"/>
  <c r="X2013" i="4"/>
  <c r="Z2013" i="4" s="1"/>
  <c r="X2014" i="4"/>
  <c r="Z2014" i="4" s="1"/>
  <c r="E2015" i="4"/>
  <c r="F2015" i="4"/>
  <c r="G2015" i="4"/>
  <c r="I2015" i="4"/>
  <c r="J2015" i="4"/>
  <c r="K2015" i="4"/>
  <c r="L2015" i="4"/>
  <c r="N2015" i="4"/>
  <c r="O2015" i="4"/>
  <c r="Q2015" i="4"/>
  <c r="R2015" i="4"/>
  <c r="S2015" i="4"/>
  <c r="T2015" i="4"/>
  <c r="Y2015" i="4"/>
  <c r="E2016" i="4"/>
  <c r="F2016" i="4"/>
  <c r="G2016" i="4"/>
  <c r="I2016" i="4"/>
  <c r="J2016" i="4"/>
  <c r="K2016" i="4"/>
  <c r="L2016" i="4"/>
  <c r="N2016" i="4"/>
  <c r="O2016" i="4"/>
  <c r="Q2016" i="4"/>
  <c r="R2016" i="4"/>
  <c r="S2016" i="4"/>
  <c r="T2016" i="4"/>
  <c r="Y2016" i="4"/>
  <c r="E2017" i="4"/>
  <c r="F2017" i="4"/>
  <c r="G2017" i="4"/>
  <c r="I2017" i="4"/>
  <c r="J2017" i="4"/>
  <c r="K2017" i="4"/>
  <c r="L2017" i="4"/>
  <c r="N2017" i="4"/>
  <c r="O2017" i="4"/>
  <c r="Q2017" i="4"/>
  <c r="R2017" i="4"/>
  <c r="S2017" i="4"/>
  <c r="T2017" i="4"/>
  <c r="Y2017" i="4"/>
  <c r="E2018" i="4"/>
  <c r="F2018" i="4"/>
  <c r="G2018" i="4"/>
  <c r="I2018" i="4"/>
  <c r="J2018" i="4"/>
  <c r="K2018" i="4"/>
  <c r="L2018" i="4"/>
  <c r="N2018" i="4"/>
  <c r="O2018" i="4"/>
  <c r="Q2018" i="4"/>
  <c r="R2018" i="4"/>
  <c r="S2018" i="4"/>
  <c r="T2018" i="4"/>
  <c r="Y2018" i="4"/>
  <c r="E2019" i="4"/>
  <c r="F2019" i="4"/>
  <c r="G2019" i="4"/>
  <c r="I2019" i="4"/>
  <c r="J2019" i="4"/>
  <c r="K2019" i="4"/>
  <c r="L2019" i="4"/>
  <c r="O2019" i="4"/>
  <c r="Q2019" i="4"/>
  <c r="R2019" i="4"/>
  <c r="S2019" i="4"/>
  <c r="T2019" i="4"/>
  <c r="Y2019" i="4"/>
  <c r="F2020" i="4"/>
  <c r="G2020" i="4"/>
  <c r="I2020" i="4"/>
  <c r="J2020" i="4"/>
  <c r="K2020" i="4"/>
  <c r="L2020" i="4"/>
  <c r="N2020" i="4"/>
  <c r="O2020" i="4"/>
  <c r="Q2020" i="4"/>
  <c r="R2020" i="4"/>
  <c r="S2020" i="4"/>
  <c r="T2020" i="4"/>
  <c r="Y2020" i="4"/>
  <c r="E2021" i="4"/>
  <c r="F2021" i="4"/>
  <c r="G2021" i="4"/>
  <c r="I2021" i="4"/>
  <c r="J2021" i="4"/>
  <c r="K2021" i="4"/>
  <c r="L2021" i="4"/>
  <c r="N2021" i="4"/>
  <c r="O2021" i="4"/>
  <c r="Q2021" i="4"/>
  <c r="R2021" i="4"/>
  <c r="S2021" i="4"/>
  <c r="T2021" i="4"/>
  <c r="Y2021" i="4"/>
  <c r="E2022" i="4"/>
  <c r="F2022" i="4"/>
  <c r="G2022" i="4"/>
  <c r="I2022" i="4"/>
  <c r="J2022" i="4"/>
  <c r="K2022" i="4"/>
  <c r="L2022" i="4"/>
  <c r="N2022" i="4"/>
  <c r="O2022" i="4"/>
  <c r="Q2022" i="4"/>
  <c r="R2022" i="4"/>
  <c r="S2022" i="4"/>
  <c r="T2022" i="4"/>
  <c r="Y2022" i="4"/>
  <c r="E2023" i="4"/>
  <c r="F2023" i="4"/>
  <c r="G2023" i="4"/>
  <c r="I2023" i="4"/>
  <c r="J2023" i="4"/>
  <c r="K2023" i="4"/>
  <c r="L2023" i="4"/>
  <c r="N2023" i="4"/>
  <c r="O2023" i="4"/>
  <c r="Q2023" i="4"/>
  <c r="R2023" i="4"/>
  <c r="S2023" i="4"/>
  <c r="T2023" i="4"/>
  <c r="Y2023" i="4"/>
  <c r="E2024" i="4"/>
  <c r="F2024" i="4"/>
  <c r="G2024" i="4"/>
  <c r="I2024" i="4"/>
  <c r="J2024" i="4"/>
  <c r="K2024" i="4"/>
  <c r="L2024" i="4"/>
  <c r="N2024" i="4"/>
  <c r="O2024" i="4"/>
  <c r="Q2024" i="4"/>
  <c r="R2024" i="4"/>
  <c r="S2024" i="4"/>
  <c r="T2024" i="4"/>
  <c r="Y2024" i="4"/>
  <c r="E2025" i="4"/>
  <c r="G2025" i="4"/>
  <c r="I2025" i="4"/>
  <c r="J2025" i="4"/>
  <c r="K2025" i="4"/>
  <c r="L2025" i="4"/>
  <c r="N2025" i="4"/>
  <c r="O2025" i="4"/>
  <c r="Q2025" i="4"/>
  <c r="R2025" i="4"/>
  <c r="S2025" i="4"/>
  <c r="T2025" i="4"/>
  <c r="Y2025" i="4"/>
  <c r="E2026" i="4"/>
  <c r="F2026" i="4"/>
  <c r="G2026" i="4"/>
  <c r="I2026" i="4"/>
  <c r="J2026" i="4"/>
  <c r="K2026" i="4"/>
  <c r="L2026" i="4"/>
  <c r="N2026" i="4"/>
  <c r="O2026" i="4"/>
  <c r="Q2026" i="4"/>
  <c r="R2026" i="4"/>
  <c r="S2026" i="4"/>
  <c r="T2026" i="4"/>
  <c r="Y2026" i="4"/>
  <c r="E2027" i="4"/>
  <c r="G2027" i="4"/>
  <c r="I2027" i="4"/>
  <c r="J2027" i="4"/>
  <c r="K2027" i="4"/>
  <c r="L2027" i="4"/>
  <c r="N2027" i="4"/>
  <c r="O2027" i="4"/>
  <c r="Q2027" i="4"/>
  <c r="R2027" i="4"/>
  <c r="S2027" i="4"/>
  <c r="T2027" i="4"/>
  <c r="Y2027" i="4"/>
  <c r="E2028" i="4"/>
  <c r="F2028" i="4"/>
  <c r="G2028" i="4"/>
  <c r="I2028" i="4"/>
  <c r="J2028" i="4"/>
  <c r="K2028" i="4"/>
  <c r="L2028" i="4"/>
  <c r="N2028" i="4"/>
  <c r="O2028" i="4"/>
  <c r="Q2028" i="4"/>
  <c r="R2028" i="4"/>
  <c r="S2028" i="4"/>
  <c r="T2028" i="4"/>
  <c r="Y2028" i="4"/>
  <c r="E2029" i="4"/>
  <c r="F2029" i="4"/>
  <c r="G2029" i="4"/>
  <c r="I2029" i="4"/>
  <c r="J2029" i="4"/>
  <c r="K2029" i="4"/>
  <c r="L2029" i="4"/>
  <c r="N2029" i="4"/>
  <c r="O2029" i="4"/>
  <c r="Q2029" i="4"/>
  <c r="R2029" i="4"/>
  <c r="S2029" i="4"/>
  <c r="T2029" i="4"/>
  <c r="Y2029" i="4"/>
  <c r="E2030" i="4"/>
  <c r="F2030" i="4"/>
  <c r="G2030" i="4"/>
  <c r="I2030" i="4"/>
  <c r="J2030" i="4"/>
  <c r="K2030" i="4"/>
  <c r="L2030" i="4"/>
  <c r="N2030" i="4"/>
  <c r="O2030" i="4"/>
  <c r="Q2030" i="4"/>
  <c r="R2030" i="4"/>
  <c r="S2030" i="4"/>
  <c r="T2030" i="4"/>
  <c r="Y2030" i="4"/>
  <c r="E2031" i="4"/>
  <c r="F2031" i="4"/>
  <c r="G2031" i="4"/>
  <c r="I2031" i="4"/>
  <c r="J2031" i="4"/>
  <c r="K2031" i="4"/>
  <c r="L2031" i="4"/>
  <c r="N2031" i="4"/>
  <c r="O2031" i="4"/>
  <c r="Q2031" i="4"/>
  <c r="R2031" i="4"/>
  <c r="S2031" i="4"/>
  <c r="T2031" i="4"/>
  <c r="Y2031" i="4"/>
  <c r="G2032" i="4"/>
  <c r="I2032" i="4"/>
  <c r="J2032" i="4"/>
  <c r="K2032" i="4"/>
  <c r="L2032" i="4"/>
  <c r="N2032" i="4"/>
  <c r="O2032" i="4"/>
  <c r="Q2032" i="4"/>
  <c r="R2032" i="4"/>
  <c r="S2032" i="4"/>
  <c r="T2032" i="4"/>
  <c r="Y2032" i="4"/>
  <c r="E2033" i="4"/>
  <c r="F2033" i="4"/>
  <c r="G2033" i="4"/>
  <c r="I2033" i="4"/>
  <c r="J2033" i="4"/>
  <c r="K2033" i="4"/>
  <c r="L2033" i="4"/>
  <c r="N2033" i="4"/>
  <c r="O2033" i="4"/>
  <c r="Q2033" i="4"/>
  <c r="R2033" i="4"/>
  <c r="S2033" i="4"/>
  <c r="T2033" i="4"/>
  <c r="V2033" i="4"/>
  <c r="W2033" i="4"/>
  <c r="Y2033" i="4"/>
  <c r="G2034" i="4"/>
  <c r="I2034" i="4"/>
  <c r="J2034" i="4"/>
  <c r="K2034" i="4"/>
  <c r="L2034" i="4"/>
  <c r="N2034" i="4"/>
  <c r="O2034" i="4"/>
  <c r="Q2034" i="4"/>
  <c r="R2034" i="4"/>
  <c r="S2034" i="4"/>
  <c r="T2034" i="4"/>
  <c r="Y2034" i="4"/>
  <c r="F2035" i="4"/>
  <c r="G2035" i="4"/>
  <c r="I2035" i="4"/>
  <c r="J2035" i="4"/>
  <c r="K2035" i="4"/>
  <c r="L2035" i="4"/>
  <c r="N2035" i="4"/>
  <c r="O2035" i="4"/>
  <c r="Q2035" i="4"/>
  <c r="R2035" i="4"/>
  <c r="S2035" i="4"/>
  <c r="T2035" i="4"/>
  <c r="Y2035" i="4"/>
  <c r="X2036" i="4"/>
  <c r="Z2036" i="4" s="1"/>
  <c r="P2037" i="4"/>
  <c r="X2038" i="4"/>
  <c r="Z2038" i="4" s="1"/>
  <c r="X2039" i="4"/>
  <c r="Z2039" i="4" s="1"/>
  <c r="X2040" i="4"/>
  <c r="Z2040" i="4" s="1"/>
  <c r="E2041" i="4"/>
  <c r="F2041" i="4"/>
  <c r="G2041" i="4"/>
  <c r="I2041" i="4"/>
  <c r="J2041" i="4"/>
  <c r="K2041" i="4"/>
  <c r="L2041" i="4"/>
  <c r="O2041" i="4"/>
  <c r="Q2041" i="4"/>
  <c r="R2041" i="4"/>
  <c r="S2041" i="4"/>
  <c r="T2041" i="4"/>
  <c r="Y2041" i="4"/>
  <c r="E2042" i="4"/>
  <c r="F2042" i="4"/>
  <c r="G2042" i="4"/>
  <c r="I2042" i="4"/>
  <c r="J2042" i="4"/>
  <c r="K2042" i="4"/>
  <c r="L2042" i="4"/>
  <c r="N2042" i="4"/>
  <c r="O2042" i="4"/>
  <c r="Q2042" i="4"/>
  <c r="R2042" i="4"/>
  <c r="S2042" i="4"/>
  <c r="T2042" i="4"/>
  <c r="Y2042" i="4"/>
  <c r="E2043" i="4"/>
  <c r="F2043" i="4"/>
  <c r="G2043" i="4"/>
  <c r="I2043" i="4"/>
  <c r="J2043" i="4"/>
  <c r="K2043" i="4"/>
  <c r="L2043" i="4"/>
  <c r="N2043" i="4"/>
  <c r="O2043" i="4"/>
  <c r="Q2043" i="4"/>
  <c r="R2043" i="4"/>
  <c r="S2043" i="4"/>
  <c r="T2043" i="4"/>
  <c r="Y2043" i="4"/>
  <c r="E2044" i="4"/>
  <c r="F2044" i="4"/>
  <c r="G2044" i="4"/>
  <c r="I2044" i="4"/>
  <c r="J2044" i="4"/>
  <c r="K2044" i="4"/>
  <c r="L2044" i="4"/>
  <c r="N2044" i="4"/>
  <c r="O2044" i="4"/>
  <c r="Q2044" i="4"/>
  <c r="R2044" i="4"/>
  <c r="S2044" i="4"/>
  <c r="T2044" i="4"/>
  <c r="Y2044" i="4"/>
  <c r="E2045" i="4"/>
  <c r="F2045" i="4"/>
  <c r="G2045" i="4"/>
  <c r="I2045" i="4"/>
  <c r="J2045" i="4"/>
  <c r="K2045" i="4"/>
  <c r="L2045" i="4"/>
  <c r="N2045" i="4"/>
  <c r="O2045" i="4"/>
  <c r="Q2045" i="4"/>
  <c r="R2045" i="4"/>
  <c r="S2045" i="4"/>
  <c r="T2045" i="4"/>
  <c r="Y2045" i="4"/>
  <c r="E2046" i="4"/>
  <c r="F2046" i="4"/>
  <c r="G2046" i="4"/>
  <c r="I2046" i="4"/>
  <c r="J2046" i="4"/>
  <c r="K2046" i="4"/>
  <c r="L2046" i="4"/>
  <c r="N2046" i="4"/>
  <c r="O2046" i="4"/>
  <c r="Q2046" i="4"/>
  <c r="R2046" i="4"/>
  <c r="S2046" i="4"/>
  <c r="T2046" i="4"/>
  <c r="Y2046" i="4"/>
  <c r="E2047" i="4"/>
  <c r="F2047" i="4"/>
  <c r="G2047" i="4"/>
  <c r="I2047" i="4"/>
  <c r="J2047" i="4"/>
  <c r="K2047" i="4"/>
  <c r="L2047" i="4"/>
  <c r="N2047" i="4"/>
  <c r="O2047" i="4"/>
  <c r="Q2047" i="4"/>
  <c r="R2047" i="4"/>
  <c r="S2047" i="4"/>
  <c r="T2047" i="4"/>
  <c r="Y2047" i="4"/>
  <c r="E2048" i="4"/>
  <c r="F2048" i="4"/>
  <c r="G2048" i="4"/>
  <c r="I2048" i="4"/>
  <c r="J2048" i="4"/>
  <c r="K2048" i="4"/>
  <c r="L2048" i="4"/>
  <c r="N2048" i="4"/>
  <c r="O2048" i="4"/>
  <c r="Q2048" i="4"/>
  <c r="R2048" i="4"/>
  <c r="S2048" i="4"/>
  <c r="T2048" i="4"/>
  <c r="Y2048" i="4"/>
  <c r="E2049" i="4"/>
  <c r="F2049" i="4"/>
  <c r="G2049" i="4"/>
  <c r="I2049" i="4"/>
  <c r="J2049" i="4"/>
  <c r="K2049" i="4"/>
  <c r="L2049" i="4"/>
  <c r="N2049" i="4"/>
  <c r="O2049" i="4"/>
  <c r="Q2049" i="4"/>
  <c r="R2049" i="4"/>
  <c r="S2049" i="4"/>
  <c r="T2049" i="4"/>
  <c r="Y2049" i="4"/>
  <c r="E2050" i="4"/>
  <c r="F2050" i="4"/>
  <c r="G2050" i="4"/>
  <c r="I2050" i="4"/>
  <c r="J2050" i="4"/>
  <c r="K2050" i="4"/>
  <c r="L2050" i="4"/>
  <c r="N2050" i="4"/>
  <c r="O2050" i="4"/>
  <c r="Q2050" i="4"/>
  <c r="R2050" i="4"/>
  <c r="S2050" i="4"/>
  <c r="T2050" i="4"/>
  <c r="Y2050" i="4"/>
  <c r="E2051" i="4"/>
  <c r="F2051" i="4"/>
  <c r="G2051" i="4"/>
  <c r="I2051" i="4"/>
  <c r="J2051" i="4"/>
  <c r="K2051" i="4"/>
  <c r="L2051" i="4"/>
  <c r="N2051" i="4"/>
  <c r="O2051" i="4"/>
  <c r="Q2051" i="4"/>
  <c r="R2051" i="4"/>
  <c r="S2051" i="4"/>
  <c r="T2051" i="4"/>
  <c r="Y2051" i="4"/>
  <c r="G2052" i="4"/>
  <c r="I2052" i="4"/>
  <c r="J2052" i="4"/>
  <c r="K2052" i="4"/>
  <c r="L2052" i="4"/>
  <c r="N2052" i="4"/>
  <c r="O2052" i="4"/>
  <c r="Q2052" i="4"/>
  <c r="R2052" i="4"/>
  <c r="S2052" i="4"/>
  <c r="T2052" i="4"/>
  <c r="Y2052" i="4"/>
  <c r="G2053" i="4"/>
  <c r="I2053" i="4"/>
  <c r="J2053" i="4"/>
  <c r="K2053" i="4"/>
  <c r="L2053" i="4"/>
  <c r="N2053" i="4"/>
  <c r="O2053" i="4"/>
  <c r="Q2053" i="4"/>
  <c r="R2053" i="4"/>
  <c r="S2053" i="4"/>
  <c r="T2053" i="4"/>
  <c r="W2053" i="4"/>
  <c r="Y2053" i="4"/>
  <c r="E2054" i="4"/>
  <c r="F2054" i="4"/>
  <c r="G2054" i="4"/>
  <c r="I2054" i="4"/>
  <c r="J2054" i="4"/>
  <c r="K2054" i="4"/>
  <c r="L2054" i="4"/>
  <c r="N2054" i="4"/>
  <c r="O2054" i="4"/>
  <c r="Q2054" i="4"/>
  <c r="R2054" i="4"/>
  <c r="S2054" i="4"/>
  <c r="T2054" i="4"/>
  <c r="U2054" i="4"/>
  <c r="V2054" i="4"/>
  <c r="W2054" i="4"/>
  <c r="Y2054" i="4"/>
  <c r="F2055" i="4"/>
  <c r="I2055" i="4"/>
  <c r="J2055" i="4"/>
  <c r="K2055" i="4"/>
  <c r="L2055" i="4"/>
  <c r="N2055" i="4"/>
  <c r="O2055" i="4"/>
  <c r="Q2055" i="4"/>
  <c r="R2055" i="4"/>
  <c r="S2055" i="4"/>
  <c r="T2055" i="4"/>
  <c r="V2055" i="4"/>
  <c r="W2055" i="4"/>
  <c r="Y2055" i="4"/>
  <c r="E2056" i="4"/>
  <c r="F2056" i="4"/>
  <c r="G2056" i="4"/>
  <c r="I2056" i="4"/>
  <c r="J2056" i="4"/>
  <c r="K2056" i="4"/>
  <c r="L2056" i="4"/>
  <c r="N2056" i="4"/>
  <c r="O2056" i="4"/>
  <c r="P2056" i="4"/>
  <c r="Q2056" i="4"/>
  <c r="R2056" i="4"/>
  <c r="S2056" i="4"/>
  <c r="T2056" i="4"/>
  <c r="Y2056" i="4"/>
  <c r="E2057" i="4"/>
  <c r="F2057" i="4"/>
  <c r="G2057" i="4"/>
  <c r="I2057" i="4"/>
  <c r="J2057" i="4"/>
  <c r="K2057" i="4"/>
  <c r="L2057" i="4"/>
  <c r="N2057" i="4"/>
  <c r="O2057" i="4"/>
  <c r="Q2057" i="4"/>
  <c r="R2057" i="4"/>
  <c r="S2057" i="4"/>
  <c r="T2057" i="4"/>
  <c r="Y2057" i="4"/>
  <c r="X2058" i="4"/>
  <c r="Z2058" i="4" s="1"/>
  <c r="P2059" i="4"/>
  <c r="X2060" i="4"/>
  <c r="Z2060" i="4" s="1"/>
  <c r="X2061" i="4"/>
  <c r="Z2061" i="4" s="1"/>
  <c r="E2062" i="4"/>
  <c r="F2062" i="4"/>
  <c r="G2062" i="4"/>
  <c r="I2062" i="4"/>
  <c r="J2062" i="4"/>
  <c r="K2062" i="4"/>
  <c r="L2062" i="4"/>
  <c r="N2062" i="4"/>
  <c r="O2062" i="4"/>
  <c r="Q2062" i="4"/>
  <c r="R2062" i="4"/>
  <c r="S2062" i="4"/>
  <c r="T2062" i="4"/>
  <c r="Y2062" i="4"/>
  <c r="E2063" i="4"/>
  <c r="F2063" i="4"/>
  <c r="G2063" i="4"/>
  <c r="H2063" i="4"/>
  <c r="I2063" i="4"/>
  <c r="J2063" i="4"/>
  <c r="K2063" i="4"/>
  <c r="L2063" i="4"/>
  <c r="M2063" i="4"/>
  <c r="N2063" i="4"/>
  <c r="O2063" i="4"/>
  <c r="P2063" i="4"/>
  <c r="Q2063" i="4"/>
  <c r="R2063" i="4"/>
  <c r="S2063" i="4"/>
  <c r="T2063" i="4"/>
  <c r="U2063" i="4"/>
  <c r="V2063" i="4"/>
  <c r="W2063" i="4"/>
  <c r="X2063" i="4"/>
  <c r="Y2063" i="4"/>
  <c r="AA2063" i="4"/>
  <c r="AB2063" i="4"/>
  <c r="E2064" i="4"/>
  <c r="F2064" i="4"/>
  <c r="G2064" i="4"/>
  <c r="I2064" i="4"/>
  <c r="J2064" i="4"/>
  <c r="K2064" i="4"/>
  <c r="L2064" i="4"/>
  <c r="N2064" i="4"/>
  <c r="O2064" i="4"/>
  <c r="Q2064" i="4"/>
  <c r="R2064" i="4"/>
  <c r="S2064" i="4"/>
  <c r="T2064" i="4"/>
  <c r="Y2064" i="4"/>
  <c r="E2065" i="4"/>
  <c r="F2065" i="4"/>
  <c r="G2065" i="4"/>
  <c r="I2065" i="4"/>
  <c r="J2065" i="4"/>
  <c r="K2065" i="4"/>
  <c r="L2065" i="4"/>
  <c r="N2065" i="4"/>
  <c r="O2065" i="4"/>
  <c r="Q2065" i="4"/>
  <c r="R2065" i="4"/>
  <c r="S2065" i="4"/>
  <c r="T2065" i="4"/>
  <c r="Y2065" i="4"/>
  <c r="E2066" i="4"/>
  <c r="F2066" i="4"/>
  <c r="G2066" i="4"/>
  <c r="I2066" i="4"/>
  <c r="J2066" i="4"/>
  <c r="K2066" i="4"/>
  <c r="L2066" i="4"/>
  <c r="N2066" i="4"/>
  <c r="O2066" i="4"/>
  <c r="Q2066" i="4"/>
  <c r="R2066" i="4"/>
  <c r="S2066" i="4"/>
  <c r="T2066" i="4"/>
  <c r="Y2066" i="4"/>
  <c r="E2067" i="4"/>
  <c r="F2067" i="4"/>
  <c r="G2067" i="4"/>
  <c r="I2067" i="4"/>
  <c r="J2067" i="4"/>
  <c r="K2067" i="4"/>
  <c r="L2067" i="4"/>
  <c r="N2067" i="4"/>
  <c r="O2067" i="4"/>
  <c r="Q2067" i="4"/>
  <c r="R2067" i="4"/>
  <c r="S2067" i="4"/>
  <c r="T2067" i="4"/>
  <c r="Y2067" i="4"/>
  <c r="E2068" i="4"/>
  <c r="F2068" i="4"/>
  <c r="G2068" i="4"/>
  <c r="I2068" i="4"/>
  <c r="J2068" i="4"/>
  <c r="K2068" i="4"/>
  <c r="L2068" i="4"/>
  <c r="N2068" i="4"/>
  <c r="O2068" i="4"/>
  <c r="Q2068" i="4"/>
  <c r="R2068" i="4"/>
  <c r="S2068" i="4"/>
  <c r="T2068" i="4"/>
  <c r="Y2068" i="4"/>
  <c r="E2069" i="4"/>
  <c r="F2069" i="4"/>
  <c r="G2069" i="4"/>
  <c r="I2069" i="4"/>
  <c r="J2069" i="4"/>
  <c r="K2069" i="4"/>
  <c r="L2069" i="4"/>
  <c r="N2069" i="4"/>
  <c r="O2069" i="4"/>
  <c r="Q2069" i="4"/>
  <c r="R2069" i="4"/>
  <c r="S2069" i="4"/>
  <c r="T2069" i="4"/>
  <c r="Y2069" i="4"/>
  <c r="E2070" i="4"/>
  <c r="F2070" i="4"/>
  <c r="G2070" i="4"/>
  <c r="I2070" i="4"/>
  <c r="J2070" i="4"/>
  <c r="K2070" i="4"/>
  <c r="L2070" i="4"/>
  <c r="N2070" i="4"/>
  <c r="O2070" i="4"/>
  <c r="Q2070" i="4"/>
  <c r="R2070" i="4"/>
  <c r="S2070" i="4"/>
  <c r="T2070" i="4"/>
  <c r="Y2070" i="4"/>
  <c r="E2071" i="4"/>
  <c r="F2071" i="4"/>
  <c r="G2071" i="4"/>
  <c r="I2071" i="4"/>
  <c r="J2071" i="4"/>
  <c r="K2071" i="4"/>
  <c r="L2071" i="4"/>
  <c r="N2071" i="4"/>
  <c r="O2071" i="4"/>
  <c r="Q2071" i="4"/>
  <c r="R2071" i="4"/>
  <c r="S2071" i="4"/>
  <c r="T2071" i="4"/>
  <c r="Y2071" i="4"/>
  <c r="E2072" i="4"/>
  <c r="F2072" i="4"/>
  <c r="G2072" i="4"/>
  <c r="I2072" i="4"/>
  <c r="J2072" i="4"/>
  <c r="K2072" i="4"/>
  <c r="L2072" i="4"/>
  <c r="N2072" i="4"/>
  <c r="O2072" i="4"/>
  <c r="Q2072" i="4"/>
  <c r="R2072" i="4"/>
  <c r="S2072" i="4"/>
  <c r="T2072" i="4"/>
  <c r="Y2072" i="4"/>
  <c r="E2073" i="4"/>
  <c r="F2073" i="4"/>
  <c r="G2073" i="4"/>
  <c r="I2073" i="4"/>
  <c r="J2073" i="4"/>
  <c r="K2073" i="4"/>
  <c r="L2073" i="4"/>
  <c r="N2073" i="4"/>
  <c r="O2073" i="4"/>
  <c r="Q2073" i="4"/>
  <c r="R2073" i="4"/>
  <c r="S2073" i="4"/>
  <c r="T2073" i="4"/>
  <c r="Y2073" i="4"/>
  <c r="E2074" i="4"/>
  <c r="F2074" i="4"/>
  <c r="G2074" i="4"/>
  <c r="I2074" i="4"/>
  <c r="J2074" i="4"/>
  <c r="K2074" i="4"/>
  <c r="L2074" i="4"/>
  <c r="N2074" i="4"/>
  <c r="O2074" i="4"/>
  <c r="Q2074" i="4"/>
  <c r="R2074" i="4"/>
  <c r="S2074" i="4"/>
  <c r="T2074" i="4"/>
  <c r="Y2074" i="4"/>
  <c r="G2075" i="4"/>
  <c r="I2075" i="4"/>
  <c r="J2075" i="4"/>
  <c r="K2075" i="4"/>
  <c r="L2075" i="4"/>
  <c r="N2075" i="4"/>
  <c r="O2075" i="4"/>
  <c r="Q2075" i="4"/>
  <c r="R2075" i="4"/>
  <c r="S2075" i="4"/>
  <c r="T2075" i="4"/>
  <c r="Y2075" i="4"/>
  <c r="E2076" i="4"/>
  <c r="F2076" i="4"/>
  <c r="G2076" i="4"/>
  <c r="I2076" i="4"/>
  <c r="J2076" i="4"/>
  <c r="K2076" i="4"/>
  <c r="L2076" i="4"/>
  <c r="N2076" i="4"/>
  <c r="O2076" i="4"/>
  <c r="Q2076" i="4"/>
  <c r="R2076" i="4"/>
  <c r="S2076" i="4"/>
  <c r="T2076" i="4"/>
  <c r="W2076" i="4"/>
  <c r="Y2076" i="4"/>
  <c r="E2077" i="4"/>
  <c r="F2077" i="4"/>
  <c r="G2077" i="4"/>
  <c r="I2077" i="4"/>
  <c r="J2077" i="4"/>
  <c r="K2077" i="4"/>
  <c r="L2077" i="4"/>
  <c r="N2077" i="4"/>
  <c r="O2077" i="4"/>
  <c r="Q2077" i="4"/>
  <c r="R2077" i="4"/>
  <c r="S2077" i="4"/>
  <c r="T2077" i="4"/>
  <c r="Y2077" i="4"/>
  <c r="X2078" i="4"/>
  <c r="Z2078" i="4" s="1"/>
  <c r="P2079" i="4"/>
  <c r="X2079" i="4" s="1"/>
  <c r="Z2079" i="4" s="1"/>
  <c r="F2086" i="4"/>
  <c r="G2086" i="4"/>
  <c r="I2086" i="4"/>
  <c r="L2086" i="4"/>
  <c r="N2086" i="4"/>
  <c r="O2086" i="4"/>
  <c r="R2086" i="4"/>
  <c r="S2086" i="4"/>
  <c r="T2086" i="4"/>
  <c r="V2086" i="4"/>
  <c r="W2086" i="4"/>
  <c r="Y2086" i="4"/>
  <c r="E2087" i="4"/>
  <c r="F2087" i="4"/>
  <c r="G2087" i="4"/>
  <c r="I2087" i="4"/>
  <c r="K2087" i="4"/>
  <c r="L2087" i="4"/>
  <c r="N2087" i="4"/>
  <c r="O2087" i="4"/>
  <c r="R2087" i="4"/>
  <c r="S2087" i="4"/>
  <c r="T2087" i="4"/>
  <c r="V2087" i="4"/>
  <c r="W2087" i="4"/>
  <c r="Y2087" i="4"/>
  <c r="F2088" i="4"/>
  <c r="G2088" i="4"/>
  <c r="I2088" i="4"/>
  <c r="K2088" i="4"/>
  <c r="L2088" i="4"/>
  <c r="N2088" i="4"/>
  <c r="O2088" i="4"/>
  <c r="R2088" i="4"/>
  <c r="S2088" i="4"/>
  <c r="T2088" i="4"/>
  <c r="V2088" i="4"/>
  <c r="W2088" i="4"/>
  <c r="Y2088" i="4"/>
  <c r="E2089" i="4"/>
  <c r="F2089" i="4"/>
  <c r="G2089" i="4"/>
  <c r="I2089" i="4"/>
  <c r="K2089" i="4"/>
  <c r="L2089" i="4"/>
  <c r="N2089" i="4"/>
  <c r="O2089" i="4"/>
  <c r="R2089" i="4"/>
  <c r="S2089" i="4"/>
  <c r="T2089" i="4"/>
  <c r="V2089" i="4"/>
  <c r="W2089" i="4"/>
  <c r="Y2089" i="4"/>
  <c r="E2090" i="4"/>
  <c r="F2090" i="4"/>
  <c r="G2090" i="4"/>
  <c r="I2090" i="4"/>
  <c r="K2090" i="4"/>
  <c r="L2090" i="4"/>
  <c r="N2090" i="4"/>
  <c r="O2090" i="4"/>
  <c r="R2090" i="4"/>
  <c r="S2090" i="4"/>
  <c r="T2090" i="4"/>
  <c r="V2090" i="4"/>
  <c r="W2090" i="4"/>
  <c r="Y2090" i="4"/>
  <c r="F2091" i="4"/>
  <c r="G2091" i="4"/>
  <c r="I2091" i="4"/>
  <c r="K2091" i="4"/>
  <c r="L2091" i="4"/>
  <c r="N2091" i="4"/>
  <c r="O2091" i="4"/>
  <c r="R2091" i="4"/>
  <c r="S2091" i="4"/>
  <c r="T2091" i="4"/>
  <c r="V2091" i="4"/>
  <c r="W2091" i="4"/>
  <c r="Y2091" i="4"/>
  <c r="E2092" i="4"/>
  <c r="F2092" i="4"/>
  <c r="G2092" i="4"/>
  <c r="I2092" i="4"/>
  <c r="K2092" i="4"/>
  <c r="L2092" i="4"/>
  <c r="N2092" i="4"/>
  <c r="O2092" i="4"/>
  <c r="R2092" i="4"/>
  <c r="S2092" i="4"/>
  <c r="T2092" i="4"/>
  <c r="V2092" i="4"/>
  <c r="W2092" i="4"/>
  <c r="Y2092" i="4"/>
  <c r="F2093" i="4"/>
  <c r="G2093" i="4"/>
  <c r="I2093" i="4"/>
  <c r="K2093" i="4"/>
  <c r="L2093" i="4"/>
  <c r="N2093" i="4"/>
  <c r="O2093" i="4"/>
  <c r="R2093" i="4"/>
  <c r="S2093" i="4"/>
  <c r="T2093" i="4"/>
  <c r="V2093" i="4"/>
  <c r="W2093" i="4"/>
  <c r="Y2093" i="4"/>
  <c r="F2094" i="4"/>
  <c r="G2094" i="4"/>
  <c r="I2094" i="4"/>
  <c r="K2094" i="4"/>
  <c r="L2094" i="4"/>
  <c r="N2094" i="4"/>
  <c r="O2094" i="4"/>
  <c r="R2094" i="4"/>
  <c r="S2094" i="4"/>
  <c r="T2094" i="4"/>
  <c r="V2094" i="4"/>
  <c r="W2094" i="4"/>
  <c r="Y2094" i="4"/>
  <c r="E2095" i="4"/>
  <c r="F2095" i="4"/>
  <c r="G2095" i="4"/>
  <c r="I2095" i="4"/>
  <c r="K2095" i="4"/>
  <c r="L2095" i="4"/>
  <c r="N2095" i="4"/>
  <c r="O2095" i="4"/>
  <c r="R2095" i="4"/>
  <c r="S2095" i="4"/>
  <c r="T2095" i="4"/>
  <c r="V2095" i="4"/>
  <c r="W2095" i="4"/>
  <c r="Y2095" i="4"/>
  <c r="E2096" i="4"/>
  <c r="F2096" i="4"/>
  <c r="G2096" i="4"/>
  <c r="I2096" i="4"/>
  <c r="K2096" i="4"/>
  <c r="L2096" i="4"/>
  <c r="N2096" i="4"/>
  <c r="O2096" i="4"/>
  <c r="R2096" i="4"/>
  <c r="S2096" i="4"/>
  <c r="T2096" i="4"/>
  <c r="V2096" i="4"/>
  <c r="W2096" i="4"/>
  <c r="Y2096" i="4"/>
  <c r="E2097" i="4"/>
  <c r="F2097" i="4"/>
  <c r="G2097" i="4"/>
  <c r="I2097" i="4"/>
  <c r="K2097" i="4"/>
  <c r="L2097" i="4"/>
  <c r="N2097" i="4"/>
  <c r="O2097" i="4"/>
  <c r="R2097" i="4"/>
  <c r="S2097" i="4"/>
  <c r="T2097" i="4"/>
  <c r="V2097" i="4"/>
  <c r="W2097" i="4"/>
  <c r="Y2097" i="4"/>
  <c r="E2098" i="4"/>
  <c r="G2098" i="4"/>
  <c r="I2098" i="4"/>
  <c r="K2098" i="4"/>
  <c r="L2098" i="4"/>
  <c r="N2098" i="4"/>
  <c r="O2098" i="4"/>
  <c r="R2098" i="4"/>
  <c r="S2098" i="4"/>
  <c r="T2098" i="4"/>
  <c r="V2098" i="4"/>
  <c r="W2098" i="4"/>
  <c r="Y2098" i="4"/>
  <c r="E2099" i="4"/>
  <c r="F2099" i="4"/>
  <c r="G2099" i="4"/>
  <c r="I2099" i="4"/>
  <c r="K2099" i="4"/>
  <c r="L2099" i="4"/>
  <c r="N2099" i="4"/>
  <c r="O2099" i="4"/>
  <c r="R2099" i="4"/>
  <c r="S2099" i="4"/>
  <c r="T2099" i="4"/>
  <c r="V2099" i="4"/>
  <c r="W2099" i="4"/>
  <c r="Y2099" i="4"/>
  <c r="E2100" i="4"/>
  <c r="F2100" i="4"/>
  <c r="G2100" i="4"/>
  <c r="I2100" i="4"/>
  <c r="K2100" i="4"/>
  <c r="L2100" i="4"/>
  <c r="N2100" i="4"/>
  <c r="O2100" i="4"/>
  <c r="R2100" i="4"/>
  <c r="S2100" i="4"/>
  <c r="T2100" i="4"/>
  <c r="V2100" i="4"/>
  <c r="W2100" i="4"/>
  <c r="Y2100" i="4"/>
  <c r="E2101" i="4"/>
  <c r="F2101" i="4"/>
  <c r="G2101" i="4"/>
  <c r="I2101" i="4"/>
  <c r="K2101" i="4"/>
  <c r="L2101" i="4"/>
  <c r="N2101" i="4"/>
  <c r="O2101" i="4"/>
  <c r="R2101" i="4"/>
  <c r="S2101" i="4"/>
  <c r="T2101" i="4"/>
  <c r="V2101" i="4"/>
  <c r="W2101" i="4"/>
  <c r="Y2101" i="4"/>
  <c r="E2102" i="4"/>
  <c r="F2102" i="4"/>
  <c r="G2102" i="4"/>
  <c r="I2102" i="4"/>
  <c r="K2102" i="4"/>
  <c r="L2102" i="4"/>
  <c r="N2102" i="4"/>
  <c r="O2102" i="4"/>
  <c r="R2102" i="4"/>
  <c r="S2102" i="4"/>
  <c r="T2102" i="4"/>
  <c r="V2102" i="4"/>
  <c r="W2102" i="4"/>
  <c r="Y2102" i="4"/>
  <c r="G2103" i="4"/>
  <c r="I2103" i="4"/>
  <c r="J2103" i="4"/>
  <c r="K2103" i="4"/>
  <c r="L2103" i="4"/>
  <c r="N2103" i="4"/>
  <c r="O2103" i="4"/>
  <c r="Q2103" i="4"/>
  <c r="R2103" i="4"/>
  <c r="S2103" i="4"/>
  <c r="T2103" i="4"/>
  <c r="V2103" i="4"/>
  <c r="W2103" i="4"/>
  <c r="Y2103" i="4"/>
  <c r="G2104" i="4"/>
  <c r="I2104" i="4"/>
  <c r="J2104" i="4"/>
  <c r="K2104" i="4"/>
  <c r="L2104" i="4"/>
  <c r="N2104" i="4"/>
  <c r="O2104" i="4"/>
  <c r="Q2104" i="4"/>
  <c r="R2104" i="4"/>
  <c r="S2104" i="4"/>
  <c r="T2104" i="4"/>
  <c r="V2104" i="4"/>
  <c r="W2104" i="4"/>
  <c r="Y2104" i="4"/>
  <c r="E2105" i="4"/>
  <c r="F2105" i="4"/>
  <c r="G2105" i="4"/>
  <c r="I2105" i="4"/>
  <c r="K2105" i="4"/>
  <c r="L2105" i="4"/>
  <c r="N2105" i="4"/>
  <c r="O2105" i="4"/>
  <c r="R2105" i="4"/>
  <c r="S2105" i="4"/>
  <c r="T2105" i="4"/>
  <c r="V2105" i="4"/>
  <c r="W2105" i="4"/>
  <c r="Y2105" i="4"/>
  <c r="F2106" i="4"/>
  <c r="G2106" i="4"/>
  <c r="I2106" i="4"/>
  <c r="K2106" i="4"/>
  <c r="L2106" i="4"/>
  <c r="N2106" i="4"/>
  <c r="O2106" i="4"/>
  <c r="R2106" i="4"/>
  <c r="S2106" i="4"/>
  <c r="T2106" i="4"/>
  <c r="V2106" i="4"/>
  <c r="W2106" i="4"/>
  <c r="Y2106" i="4"/>
  <c r="E2107" i="4"/>
  <c r="F2107" i="4"/>
  <c r="G2107" i="4"/>
  <c r="I2107" i="4"/>
  <c r="J2107" i="4"/>
  <c r="K2107" i="4"/>
  <c r="L2107" i="4"/>
  <c r="N2107" i="4"/>
  <c r="O2107" i="4"/>
  <c r="Q2107" i="4"/>
  <c r="R2107" i="4"/>
  <c r="S2107" i="4"/>
  <c r="T2107" i="4"/>
  <c r="V2107" i="4"/>
  <c r="W2107" i="4"/>
  <c r="Y2107" i="4"/>
  <c r="E2108" i="4"/>
  <c r="F2108" i="4"/>
  <c r="G2108" i="4"/>
  <c r="I2108" i="4"/>
  <c r="K2108" i="4"/>
  <c r="L2108" i="4"/>
  <c r="N2108" i="4"/>
  <c r="O2108" i="4"/>
  <c r="R2108" i="4"/>
  <c r="S2108" i="4"/>
  <c r="T2108" i="4"/>
  <c r="V2108" i="4"/>
  <c r="W2108" i="4"/>
  <c r="Y2108" i="4"/>
  <c r="E2109" i="4"/>
  <c r="F2109" i="4"/>
  <c r="G2109" i="4"/>
  <c r="I2109" i="4"/>
  <c r="K2109" i="4"/>
  <c r="L2109" i="4"/>
  <c r="N2109" i="4"/>
  <c r="O2109" i="4"/>
  <c r="R2109" i="4"/>
  <c r="S2109" i="4"/>
  <c r="T2109" i="4"/>
  <c r="V2109" i="4"/>
  <c r="W2109" i="4"/>
  <c r="Y2109" i="4"/>
  <c r="G2110" i="4"/>
  <c r="I2110" i="4"/>
  <c r="K2110" i="4"/>
  <c r="L2110" i="4"/>
  <c r="N2110" i="4"/>
  <c r="O2110" i="4"/>
  <c r="R2110" i="4"/>
  <c r="S2110" i="4"/>
  <c r="T2110" i="4"/>
  <c r="V2110" i="4"/>
  <c r="W2110" i="4"/>
  <c r="Y2110" i="4"/>
  <c r="P2112" i="4"/>
  <c r="X2113" i="4"/>
  <c r="X2114" i="4"/>
  <c r="F2115" i="4"/>
  <c r="G2115" i="4"/>
  <c r="I2115" i="4"/>
  <c r="K2115" i="4"/>
  <c r="L2115" i="4"/>
  <c r="N2115" i="4"/>
  <c r="O2115" i="4"/>
  <c r="R2115" i="4"/>
  <c r="S2115" i="4"/>
  <c r="T2115" i="4"/>
  <c r="V2115" i="4"/>
  <c r="W2115" i="4"/>
  <c r="Y2115" i="4"/>
  <c r="E2116" i="4"/>
  <c r="F2116" i="4"/>
  <c r="G2116" i="4"/>
  <c r="I2116" i="4"/>
  <c r="K2116" i="4"/>
  <c r="L2116" i="4"/>
  <c r="N2116" i="4"/>
  <c r="O2116" i="4"/>
  <c r="R2116" i="4"/>
  <c r="S2116" i="4"/>
  <c r="T2116" i="4"/>
  <c r="V2116" i="4"/>
  <c r="W2116" i="4"/>
  <c r="Y2116" i="4"/>
  <c r="E2117" i="4"/>
  <c r="F2117" i="4"/>
  <c r="G2117" i="4"/>
  <c r="I2117" i="4"/>
  <c r="K2117" i="4"/>
  <c r="L2117" i="4"/>
  <c r="N2117" i="4"/>
  <c r="O2117" i="4"/>
  <c r="R2117" i="4"/>
  <c r="S2117" i="4"/>
  <c r="T2117" i="4"/>
  <c r="V2117" i="4"/>
  <c r="W2117" i="4"/>
  <c r="Y2117" i="4"/>
  <c r="F2118" i="4"/>
  <c r="G2118" i="4"/>
  <c r="I2118" i="4"/>
  <c r="K2118" i="4"/>
  <c r="L2118" i="4"/>
  <c r="N2118" i="4"/>
  <c r="O2118" i="4"/>
  <c r="R2118" i="4"/>
  <c r="S2118" i="4"/>
  <c r="T2118" i="4"/>
  <c r="V2118" i="4"/>
  <c r="W2118" i="4"/>
  <c r="Y2118" i="4"/>
  <c r="E2119" i="4"/>
  <c r="G2119" i="4"/>
  <c r="I2119" i="4"/>
  <c r="K2119" i="4"/>
  <c r="L2119" i="4"/>
  <c r="N2119" i="4"/>
  <c r="O2119" i="4"/>
  <c r="R2119" i="4"/>
  <c r="S2119" i="4"/>
  <c r="T2119" i="4"/>
  <c r="V2119" i="4"/>
  <c r="W2119" i="4"/>
  <c r="Y2119" i="4"/>
  <c r="E2120" i="4"/>
  <c r="G2120" i="4"/>
  <c r="I2120" i="4"/>
  <c r="K2120" i="4"/>
  <c r="L2120" i="4"/>
  <c r="N2120" i="4"/>
  <c r="O2120" i="4"/>
  <c r="R2120" i="4"/>
  <c r="S2120" i="4"/>
  <c r="T2120" i="4"/>
  <c r="V2120" i="4"/>
  <c r="W2120" i="4"/>
  <c r="Y2120" i="4"/>
  <c r="G2121" i="4"/>
  <c r="I2121" i="4"/>
  <c r="K2121" i="4"/>
  <c r="L2121" i="4"/>
  <c r="N2121" i="4"/>
  <c r="O2121" i="4"/>
  <c r="R2121" i="4"/>
  <c r="S2121" i="4"/>
  <c r="T2121" i="4"/>
  <c r="V2121" i="4"/>
  <c r="W2121" i="4"/>
  <c r="Y2121" i="4"/>
  <c r="G2122" i="4"/>
  <c r="I2122" i="4"/>
  <c r="K2122" i="4"/>
  <c r="L2122" i="4"/>
  <c r="N2122" i="4"/>
  <c r="O2122" i="4"/>
  <c r="R2122" i="4"/>
  <c r="S2122" i="4"/>
  <c r="T2122" i="4"/>
  <c r="V2122" i="4"/>
  <c r="W2122" i="4"/>
  <c r="Y2122" i="4"/>
  <c r="E2123" i="4"/>
  <c r="F2123" i="4"/>
  <c r="G2123" i="4"/>
  <c r="I2123" i="4"/>
  <c r="K2123" i="4"/>
  <c r="L2123" i="4"/>
  <c r="N2123" i="4"/>
  <c r="O2123" i="4"/>
  <c r="R2123" i="4"/>
  <c r="S2123" i="4"/>
  <c r="T2123" i="4"/>
  <c r="V2123" i="4"/>
  <c r="W2123" i="4"/>
  <c r="Y2123" i="4"/>
  <c r="E2124" i="4"/>
  <c r="F2124" i="4"/>
  <c r="G2124" i="4"/>
  <c r="I2124" i="4"/>
  <c r="K2124" i="4"/>
  <c r="L2124" i="4"/>
  <c r="N2124" i="4"/>
  <c r="O2124" i="4"/>
  <c r="R2124" i="4"/>
  <c r="S2124" i="4"/>
  <c r="T2124" i="4"/>
  <c r="V2124" i="4"/>
  <c r="W2124" i="4"/>
  <c r="Y2124" i="4"/>
  <c r="E2125" i="4"/>
  <c r="F2125" i="4"/>
  <c r="G2125" i="4"/>
  <c r="I2125" i="4"/>
  <c r="K2125" i="4"/>
  <c r="L2125" i="4"/>
  <c r="N2125" i="4"/>
  <c r="O2125" i="4"/>
  <c r="R2125" i="4"/>
  <c r="S2125" i="4"/>
  <c r="T2125" i="4"/>
  <c r="V2125" i="4"/>
  <c r="W2125" i="4"/>
  <c r="Y2125" i="4"/>
  <c r="F2126" i="4"/>
  <c r="G2126" i="4"/>
  <c r="I2126" i="4"/>
  <c r="K2126" i="4"/>
  <c r="L2126" i="4"/>
  <c r="N2126" i="4"/>
  <c r="O2126" i="4"/>
  <c r="R2126" i="4"/>
  <c r="S2126" i="4"/>
  <c r="T2126" i="4"/>
  <c r="V2126" i="4"/>
  <c r="W2126" i="4"/>
  <c r="Y2126" i="4"/>
  <c r="G2127" i="4"/>
  <c r="I2127" i="4"/>
  <c r="K2127" i="4"/>
  <c r="L2127" i="4"/>
  <c r="N2127" i="4"/>
  <c r="O2127" i="4"/>
  <c r="R2127" i="4"/>
  <c r="S2127" i="4"/>
  <c r="T2127" i="4"/>
  <c r="V2127" i="4"/>
  <c r="W2127" i="4"/>
  <c r="Y2127" i="4"/>
  <c r="E2128" i="4"/>
  <c r="F2128" i="4"/>
  <c r="G2128" i="4"/>
  <c r="I2128" i="4"/>
  <c r="K2128" i="4"/>
  <c r="L2128" i="4"/>
  <c r="N2128" i="4"/>
  <c r="O2128" i="4"/>
  <c r="R2128" i="4"/>
  <c r="S2128" i="4"/>
  <c r="T2128" i="4"/>
  <c r="V2128" i="4"/>
  <c r="W2128" i="4"/>
  <c r="Y2128" i="4"/>
  <c r="E2129" i="4"/>
  <c r="F2129" i="4"/>
  <c r="G2129" i="4"/>
  <c r="I2129" i="4"/>
  <c r="K2129" i="4"/>
  <c r="L2129" i="4"/>
  <c r="N2129" i="4"/>
  <c r="O2129" i="4"/>
  <c r="R2129" i="4"/>
  <c r="S2129" i="4"/>
  <c r="T2129" i="4"/>
  <c r="V2129" i="4"/>
  <c r="W2129" i="4"/>
  <c r="Y2129" i="4"/>
  <c r="E2130" i="4"/>
  <c r="F2130" i="4"/>
  <c r="G2130" i="4"/>
  <c r="I2130" i="4"/>
  <c r="K2130" i="4"/>
  <c r="L2130" i="4"/>
  <c r="N2130" i="4"/>
  <c r="O2130" i="4"/>
  <c r="R2130" i="4"/>
  <c r="S2130" i="4"/>
  <c r="T2130" i="4"/>
  <c r="V2130" i="4"/>
  <c r="W2130" i="4"/>
  <c r="Y2130" i="4"/>
  <c r="G2131" i="4"/>
  <c r="I2131" i="4"/>
  <c r="K2131" i="4"/>
  <c r="L2131" i="4"/>
  <c r="N2131" i="4"/>
  <c r="O2131" i="4"/>
  <c r="R2131" i="4"/>
  <c r="S2131" i="4"/>
  <c r="T2131" i="4"/>
  <c r="V2131" i="4"/>
  <c r="W2131" i="4"/>
  <c r="Y2131" i="4"/>
  <c r="E2132" i="4"/>
  <c r="F2132" i="4"/>
  <c r="G2132" i="4"/>
  <c r="I2132" i="4"/>
  <c r="K2132" i="4"/>
  <c r="L2132" i="4"/>
  <c r="N2132" i="4"/>
  <c r="O2132" i="4"/>
  <c r="R2132" i="4"/>
  <c r="S2132" i="4"/>
  <c r="T2132" i="4"/>
  <c r="V2132" i="4"/>
  <c r="W2132" i="4"/>
  <c r="Y2132" i="4"/>
  <c r="F2133" i="4"/>
  <c r="G2133" i="4"/>
  <c r="I2133" i="4"/>
  <c r="K2133" i="4"/>
  <c r="L2133" i="4"/>
  <c r="N2133" i="4"/>
  <c r="O2133" i="4"/>
  <c r="R2133" i="4"/>
  <c r="S2133" i="4"/>
  <c r="T2133" i="4"/>
  <c r="V2133" i="4"/>
  <c r="W2133" i="4"/>
  <c r="Y2133" i="4"/>
  <c r="E2134" i="4"/>
  <c r="F2134" i="4"/>
  <c r="G2134" i="4"/>
  <c r="I2134" i="4"/>
  <c r="K2134" i="4"/>
  <c r="L2134" i="4"/>
  <c r="N2134" i="4"/>
  <c r="O2134" i="4"/>
  <c r="Q2134" i="4"/>
  <c r="R2134" i="4"/>
  <c r="S2134" i="4"/>
  <c r="T2134" i="4"/>
  <c r="V2134" i="4"/>
  <c r="W2134" i="4"/>
  <c r="Y2134" i="4"/>
  <c r="E2135" i="4"/>
  <c r="G2135" i="4"/>
  <c r="I2135" i="4"/>
  <c r="K2135" i="4"/>
  <c r="L2135" i="4"/>
  <c r="N2135" i="4"/>
  <c r="O2135" i="4"/>
  <c r="R2135" i="4"/>
  <c r="S2135" i="4"/>
  <c r="T2135" i="4"/>
  <c r="V2135" i="4"/>
  <c r="W2135" i="4"/>
  <c r="Y2135" i="4"/>
  <c r="G2136" i="4"/>
  <c r="I2136" i="4"/>
  <c r="K2136" i="4"/>
  <c r="L2136" i="4"/>
  <c r="N2136" i="4"/>
  <c r="O2136" i="4"/>
  <c r="R2136" i="4"/>
  <c r="S2136" i="4"/>
  <c r="T2136" i="4"/>
  <c r="V2136" i="4"/>
  <c r="W2136" i="4"/>
  <c r="Y2136" i="4"/>
  <c r="X2137" i="4"/>
  <c r="P2138" i="4"/>
  <c r="X2139" i="4"/>
  <c r="Z2139" i="4" s="1"/>
  <c r="X2140" i="4"/>
  <c r="Z2140" i="4" s="1"/>
  <c r="E2141" i="4"/>
  <c r="F2141" i="4"/>
  <c r="G2141" i="4"/>
  <c r="I2141" i="4"/>
  <c r="K2141" i="4"/>
  <c r="L2141" i="4"/>
  <c r="N2141" i="4"/>
  <c r="O2141" i="4"/>
  <c r="R2141" i="4"/>
  <c r="S2141" i="4"/>
  <c r="T2141" i="4"/>
  <c r="V2141" i="4"/>
  <c r="W2141" i="4"/>
  <c r="Y2141" i="4"/>
  <c r="F2142" i="4"/>
  <c r="G2142" i="4"/>
  <c r="I2142" i="4"/>
  <c r="L2142" i="4"/>
  <c r="N2142" i="4"/>
  <c r="O2142" i="4"/>
  <c r="R2142" i="4"/>
  <c r="S2142" i="4"/>
  <c r="T2142" i="4"/>
  <c r="V2142" i="4"/>
  <c r="W2142" i="4"/>
  <c r="Y2142" i="4"/>
  <c r="F2143" i="4"/>
  <c r="G2143" i="4"/>
  <c r="I2143" i="4"/>
  <c r="K2143" i="4"/>
  <c r="L2143" i="4"/>
  <c r="N2143" i="4"/>
  <c r="O2143" i="4"/>
  <c r="R2143" i="4"/>
  <c r="S2143" i="4"/>
  <c r="T2143" i="4"/>
  <c r="V2143" i="4"/>
  <c r="W2143" i="4"/>
  <c r="Y2143" i="4"/>
  <c r="E2144" i="4"/>
  <c r="F2144" i="4"/>
  <c r="G2144" i="4"/>
  <c r="I2144" i="4"/>
  <c r="K2144" i="4"/>
  <c r="L2144" i="4"/>
  <c r="N2144" i="4"/>
  <c r="O2144" i="4"/>
  <c r="R2144" i="4"/>
  <c r="S2144" i="4"/>
  <c r="T2144" i="4"/>
  <c r="V2144" i="4"/>
  <c r="W2144" i="4"/>
  <c r="Y2144" i="4"/>
  <c r="G2145" i="4"/>
  <c r="I2145" i="4"/>
  <c r="K2145" i="4"/>
  <c r="L2145" i="4"/>
  <c r="N2145" i="4"/>
  <c r="O2145" i="4"/>
  <c r="R2145" i="4"/>
  <c r="S2145" i="4"/>
  <c r="T2145" i="4"/>
  <c r="V2145" i="4"/>
  <c r="W2145" i="4"/>
  <c r="Y2145" i="4"/>
  <c r="E2146" i="4"/>
  <c r="G2146" i="4"/>
  <c r="I2146" i="4"/>
  <c r="K2146" i="4"/>
  <c r="L2146" i="4"/>
  <c r="N2146" i="4"/>
  <c r="O2146" i="4"/>
  <c r="R2146" i="4"/>
  <c r="S2146" i="4"/>
  <c r="T2146" i="4"/>
  <c r="V2146" i="4"/>
  <c r="W2146" i="4"/>
  <c r="Y2146" i="4"/>
  <c r="E2147" i="4"/>
  <c r="F2147" i="4"/>
  <c r="G2147" i="4"/>
  <c r="I2147" i="4"/>
  <c r="K2147" i="4"/>
  <c r="L2147" i="4"/>
  <c r="N2147" i="4"/>
  <c r="O2147" i="4"/>
  <c r="R2147" i="4"/>
  <c r="S2147" i="4"/>
  <c r="T2147" i="4"/>
  <c r="V2147" i="4"/>
  <c r="W2147" i="4"/>
  <c r="Y2147" i="4"/>
  <c r="F2148" i="4"/>
  <c r="G2148" i="4"/>
  <c r="I2148" i="4"/>
  <c r="K2148" i="4"/>
  <c r="L2148" i="4"/>
  <c r="N2148" i="4"/>
  <c r="O2148" i="4"/>
  <c r="R2148" i="4"/>
  <c r="S2148" i="4"/>
  <c r="T2148" i="4"/>
  <c r="V2148" i="4"/>
  <c r="W2148" i="4"/>
  <c r="Y2148" i="4"/>
  <c r="F2149" i="4"/>
  <c r="G2149" i="4"/>
  <c r="I2149" i="4"/>
  <c r="K2149" i="4"/>
  <c r="L2149" i="4"/>
  <c r="N2149" i="4"/>
  <c r="O2149" i="4"/>
  <c r="R2149" i="4"/>
  <c r="S2149" i="4"/>
  <c r="T2149" i="4"/>
  <c r="V2149" i="4"/>
  <c r="W2149" i="4"/>
  <c r="Y2149" i="4"/>
  <c r="F2150" i="4"/>
  <c r="G2150" i="4"/>
  <c r="I2150" i="4"/>
  <c r="K2150" i="4"/>
  <c r="L2150" i="4"/>
  <c r="N2150" i="4"/>
  <c r="O2150" i="4"/>
  <c r="R2150" i="4"/>
  <c r="S2150" i="4"/>
  <c r="T2150" i="4"/>
  <c r="V2150" i="4"/>
  <c r="W2150" i="4"/>
  <c r="Y2150" i="4"/>
  <c r="F2151" i="4"/>
  <c r="G2151" i="4"/>
  <c r="I2151" i="4"/>
  <c r="K2151" i="4"/>
  <c r="L2151" i="4"/>
  <c r="N2151" i="4"/>
  <c r="O2151" i="4"/>
  <c r="R2151" i="4"/>
  <c r="S2151" i="4"/>
  <c r="T2151" i="4"/>
  <c r="V2151" i="4"/>
  <c r="W2151" i="4"/>
  <c r="Y2151" i="4"/>
  <c r="G2152" i="4"/>
  <c r="I2152" i="4"/>
  <c r="K2152" i="4"/>
  <c r="L2152" i="4"/>
  <c r="N2152" i="4"/>
  <c r="O2152" i="4"/>
  <c r="R2152" i="4"/>
  <c r="S2152" i="4"/>
  <c r="T2152" i="4"/>
  <c r="V2152" i="4"/>
  <c r="W2152" i="4"/>
  <c r="Y2152" i="4"/>
  <c r="F2153" i="4"/>
  <c r="G2153" i="4"/>
  <c r="I2153" i="4"/>
  <c r="K2153" i="4"/>
  <c r="L2153" i="4"/>
  <c r="N2153" i="4"/>
  <c r="O2153" i="4"/>
  <c r="R2153" i="4"/>
  <c r="S2153" i="4"/>
  <c r="T2153" i="4"/>
  <c r="V2153" i="4"/>
  <c r="W2153" i="4"/>
  <c r="Y2153" i="4"/>
  <c r="G2154" i="4"/>
  <c r="I2154" i="4"/>
  <c r="K2154" i="4"/>
  <c r="L2154" i="4"/>
  <c r="N2154" i="4"/>
  <c r="O2154" i="4"/>
  <c r="R2154" i="4"/>
  <c r="S2154" i="4"/>
  <c r="T2154" i="4"/>
  <c r="V2154" i="4"/>
  <c r="W2154" i="4"/>
  <c r="Y2154" i="4"/>
  <c r="G2155" i="4"/>
  <c r="I2155" i="4"/>
  <c r="K2155" i="4"/>
  <c r="L2155" i="4"/>
  <c r="N2155" i="4"/>
  <c r="O2155" i="4"/>
  <c r="R2155" i="4"/>
  <c r="S2155" i="4"/>
  <c r="T2155" i="4"/>
  <c r="V2155" i="4"/>
  <c r="W2155" i="4"/>
  <c r="Y2155" i="4"/>
  <c r="G2156" i="4"/>
  <c r="I2156" i="4"/>
  <c r="K2156" i="4"/>
  <c r="L2156" i="4"/>
  <c r="N2156" i="4"/>
  <c r="O2156" i="4"/>
  <c r="R2156" i="4"/>
  <c r="S2156" i="4"/>
  <c r="T2156" i="4"/>
  <c r="V2156" i="4"/>
  <c r="W2156" i="4"/>
  <c r="Y2156" i="4"/>
  <c r="E2157" i="4"/>
  <c r="F2157" i="4"/>
  <c r="G2157" i="4"/>
  <c r="I2157" i="4"/>
  <c r="K2157" i="4"/>
  <c r="L2157" i="4"/>
  <c r="N2157" i="4"/>
  <c r="O2157" i="4"/>
  <c r="R2157" i="4"/>
  <c r="S2157" i="4"/>
  <c r="T2157" i="4"/>
  <c r="V2157" i="4"/>
  <c r="W2157" i="4"/>
  <c r="Y2157" i="4"/>
  <c r="F2158" i="4"/>
  <c r="G2158" i="4"/>
  <c r="I2158" i="4"/>
  <c r="K2158" i="4"/>
  <c r="L2158" i="4"/>
  <c r="N2158" i="4"/>
  <c r="O2158" i="4"/>
  <c r="R2158" i="4"/>
  <c r="S2158" i="4"/>
  <c r="T2158" i="4"/>
  <c r="V2158" i="4"/>
  <c r="W2158" i="4"/>
  <c r="Y2158" i="4"/>
  <c r="G2159" i="4"/>
  <c r="I2159" i="4"/>
  <c r="K2159" i="4"/>
  <c r="L2159" i="4"/>
  <c r="N2159" i="4"/>
  <c r="O2159" i="4"/>
  <c r="Q2159" i="4"/>
  <c r="R2159" i="4"/>
  <c r="S2159" i="4"/>
  <c r="T2159" i="4"/>
  <c r="V2159" i="4"/>
  <c r="W2159" i="4"/>
  <c r="Y2159" i="4"/>
  <c r="E2160" i="4"/>
  <c r="F2160" i="4"/>
  <c r="G2160" i="4"/>
  <c r="I2160" i="4"/>
  <c r="K2160" i="4"/>
  <c r="L2160" i="4"/>
  <c r="N2160" i="4"/>
  <c r="O2160" i="4"/>
  <c r="Q2160" i="4"/>
  <c r="R2160" i="4"/>
  <c r="S2160" i="4"/>
  <c r="T2160" i="4"/>
  <c r="V2160" i="4"/>
  <c r="W2160" i="4"/>
  <c r="Y2160" i="4"/>
  <c r="E2161" i="4"/>
  <c r="F2161" i="4"/>
  <c r="G2161" i="4"/>
  <c r="I2161" i="4"/>
  <c r="K2161" i="4"/>
  <c r="L2161" i="4"/>
  <c r="N2161" i="4"/>
  <c r="O2161" i="4"/>
  <c r="Q2161" i="4"/>
  <c r="R2161" i="4"/>
  <c r="S2161" i="4"/>
  <c r="T2161" i="4"/>
  <c r="V2161" i="4"/>
  <c r="W2161" i="4"/>
  <c r="Y2161" i="4"/>
  <c r="E2162" i="4"/>
  <c r="F2162" i="4"/>
  <c r="G2162" i="4"/>
  <c r="I2162" i="4"/>
  <c r="J2162" i="4"/>
  <c r="K2162" i="4"/>
  <c r="L2162" i="4"/>
  <c r="N2162" i="4"/>
  <c r="O2162" i="4"/>
  <c r="Q2162" i="4"/>
  <c r="R2162" i="4"/>
  <c r="S2162" i="4"/>
  <c r="T2162" i="4"/>
  <c r="V2162" i="4"/>
  <c r="W2162" i="4"/>
  <c r="Y2162" i="4"/>
  <c r="E2163" i="4"/>
  <c r="F2163" i="4"/>
  <c r="G2163" i="4"/>
  <c r="I2163" i="4"/>
  <c r="J2163" i="4"/>
  <c r="K2163" i="4"/>
  <c r="L2163" i="4"/>
  <c r="N2163" i="4"/>
  <c r="O2163" i="4"/>
  <c r="Q2163" i="4"/>
  <c r="R2163" i="4"/>
  <c r="S2163" i="4"/>
  <c r="T2163" i="4"/>
  <c r="V2163" i="4"/>
  <c r="W2163" i="4"/>
  <c r="Y2163" i="4"/>
  <c r="F2164" i="4"/>
  <c r="G2164" i="4"/>
  <c r="I2164" i="4"/>
  <c r="J2164" i="4"/>
  <c r="K2164" i="4"/>
  <c r="L2164" i="4"/>
  <c r="N2164" i="4"/>
  <c r="O2164" i="4"/>
  <c r="Q2164" i="4"/>
  <c r="R2164" i="4"/>
  <c r="S2164" i="4"/>
  <c r="T2164" i="4"/>
  <c r="V2164" i="4"/>
  <c r="W2164" i="4"/>
  <c r="Y2164" i="4"/>
  <c r="E2165" i="4"/>
  <c r="F2165" i="4"/>
  <c r="G2165" i="4"/>
  <c r="I2165" i="4"/>
  <c r="K2165" i="4"/>
  <c r="L2165" i="4"/>
  <c r="N2165" i="4"/>
  <c r="O2165" i="4"/>
  <c r="R2165" i="4"/>
  <c r="S2165" i="4"/>
  <c r="T2165" i="4"/>
  <c r="V2165" i="4"/>
  <c r="W2165" i="4"/>
  <c r="Y2165" i="4"/>
  <c r="E2166" i="4"/>
  <c r="F2166" i="4"/>
  <c r="G2166" i="4"/>
  <c r="I2166" i="4"/>
  <c r="K2166" i="4"/>
  <c r="L2166" i="4"/>
  <c r="N2166" i="4"/>
  <c r="O2166" i="4"/>
  <c r="R2166" i="4"/>
  <c r="S2166" i="4"/>
  <c r="T2166" i="4"/>
  <c r="V2166" i="4"/>
  <c r="W2166" i="4"/>
  <c r="Y2166" i="4"/>
  <c r="E2167" i="4"/>
  <c r="F2167" i="4"/>
  <c r="G2167" i="4"/>
  <c r="I2167" i="4"/>
  <c r="K2167" i="4"/>
  <c r="L2167" i="4"/>
  <c r="N2167" i="4"/>
  <c r="O2167" i="4"/>
  <c r="R2167" i="4"/>
  <c r="S2167" i="4"/>
  <c r="T2167" i="4"/>
  <c r="V2167" i="4"/>
  <c r="W2167" i="4"/>
  <c r="Y2167" i="4"/>
  <c r="F2168" i="4"/>
  <c r="G2168" i="4"/>
  <c r="I2168" i="4"/>
  <c r="L2168" i="4"/>
  <c r="N2168" i="4"/>
  <c r="O2168" i="4"/>
  <c r="R2168" i="4"/>
  <c r="S2168" i="4"/>
  <c r="T2168" i="4"/>
  <c r="V2168" i="4"/>
  <c r="W2168" i="4"/>
  <c r="Y2168" i="4"/>
  <c r="E2169" i="4"/>
  <c r="F2169" i="4"/>
  <c r="G2169" i="4"/>
  <c r="I2169" i="4"/>
  <c r="K2169" i="4"/>
  <c r="L2169" i="4"/>
  <c r="N2169" i="4"/>
  <c r="O2169" i="4"/>
  <c r="R2169" i="4"/>
  <c r="S2169" i="4"/>
  <c r="T2169" i="4"/>
  <c r="V2169" i="4"/>
  <c r="W2169" i="4"/>
  <c r="Y2169" i="4"/>
  <c r="G2170" i="4"/>
  <c r="I2170" i="4"/>
  <c r="K2170" i="4"/>
  <c r="L2170" i="4"/>
  <c r="N2170" i="4"/>
  <c r="O2170" i="4"/>
  <c r="R2170" i="4"/>
  <c r="S2170" i="4"/>
  <c r="T2170" i="4"/>
  <c r="V2170" i="4"/>
  <c r="W2170" i="4"/>
  <c r="Y2170" i="4"/>
  <c r="F2171" i="4"/>
  <c r="G2171" i="4"/>
  <c r="I2171" i="4"/>
  <c r="K2171" i="4"/>
  <c r="L2171" i="4"/>
  <c r="N2171" i="4"/>
  <c r="O2171" i="4"/>
  <c r="R2171" i="4"/>
  <c r="S2171" i="4"/>
  <c r="T2171" i="4"/>
  <c r="V2171" i="4"/>
  <c r="W2171" i="4"/>
  <c r="Y2171" i="4"/>
  <c r="X2172" i="4"/>
  <c r="Z2172" i="4" s="1"/>
  <c r="P2173" i="4"/>
  <c r="X2174" i="4"/>
  <c r="Z2174" i="4" s="1"/>
  <c r="X2175" i="4"/>
  <c r="Z2175" i="4" s="1"/>
  <c r="F2176" i="4"/>
  <c r="G2176" i="4"/>
  <c r="I2176" i="4"/>
  <c r="K2176" i="4"/>
  <c r="L2176" i="4"/>
  <c r="N2176" i="4"/>
  <c r="O2176" i="4"/>
  <c r="R2176" i="4"/>
  <c r="S2176" i="4"/>
  <c r="T2176" i="4"/>
  <c r="V2176" i="4"/>
  <c r="W2176" i="4"/>
  <c r="Y2176" i="4"/>
  <c r="F2177" i="4"/>
  <c r="G2177" i="4"/>
  <c r="I2177" i="4"/>
  <c r="K2177" i="4"/>
  <c r="L2177" i="4"/>
  <c r="N2177" i="4"/>
  <c r="O2177" i="4"/>
  <c r="R2177" i="4"/>
  <c r="S2177" i="4"/>
  <c r="T2177" i="4"/>
  <c r="V2177" i="4"/>
  <c r="W2177" i="4"/>
  <c r="Y2177" i="4"/>
  <c r="E2178" i="4"/>
  <c r="F2178" i="4"/>
  <c r="G2178" i="4"/>
  <c r="I2178" i="4"/>
  <c r="K2178" i="4"/>
  <c r="L2178" i="4"/>
  <c r="N2178" i="4"/>
  <c r="O2178" i="4"/>
  <c r="R2178" i="4"/>
  <c r="S2178" i="4"/>
  <c r="T2178" i="4"/>
  <c r="V2178" i="4"/>
  <c r="W2178" i="4"/>
  <c r="Y2178" i="4"/>
  <c r="F2179" i="4"/>
  <c r="G2179" i="4"/>
  <c r="I2179" i="4"/>
  <c r="K2179" i="4"/>
  <c r="L2179" i="4"/>
  <c r="N2179" i="4"/>
  <c r="O2179" i="4"/>
  <c r="R2179" i="4"/>
  <c r="S2179" i="4"/>
  <c r="T2179" i="4"/>
  <c r="V2179" i="4"/>
  <c r="W2179" i="4"/>
  <c r="Y2179" i="4"/>
  <c r="E2180" i="4"/>
  <c r="F2180" i="4"/>
  <c r="G2180" i="4"/>
  <c r="I2180" i="4"/>
  <c r="K2180" i="4"/>
  <c r="L2180" i="4"/>
  <c r="N2180" i="4"/>
  <c r="O2180" i="4"/>
  <c r="R2180" i="4"/>
  <c r="S2180" i="4"/>
  <c r="T2180" i="4"/>
  <c r="V2180" i="4"/>
  <c r="W2180" i="4"/>
  <c r="Y2180" i="4"/>
  <c r="E2181" i="4"/>
  <c r="F2181" i="4"/>
  <c r="G2181" i="4"/>
  <c r="I2181" i="4"/>
  <c r="K2181" i="4"/>
  <c r="L2181" i="4"/>
  <c r="N2181" i="4"/>
  <c r="O2181" i="4"/>
  <c r="R2181" i="4"/>
  <c r="S2181" i="4"/>
  <c r="T2181" i="4"/>
  <c r="V2181" i="4"/>
  <c r="W2181" i="4"/>
  <c r="Y2181" i="4"/>
  <c r="E2182" i="4"/>
  <c r="F2182" i="4"/>
  <c r="G2182" i="4"/>
  <c r="I2182" i="4"/>
  <c r="K2182" i="4"/>
  <c r="L2182" i="4"/>
  <c r="N2182" i="4"/>
  <c r="O2182" i="4"/>
  <c r="R2182" i="4"/>
  <c r="S2182" i="4"/>
  <c r="T2182" i="4"/>
  <c r="V2182" i="4"/>
  <c r="W2182" i="4"/>
  <c r="Y2182" i="4"/>
  <c r="E2183" i="4"/>
  <c r="F2183" i="4"/>
  <c r="G2183" i="4"/>
  <c r="I2183" i="4"/>
  <c r="K2183" i="4"/>
  <c r="L2183" i="4"/>
  <c r="N2183" i="4"/>
  <c r="O2183" i="4"/>
  <c r="R2183" i="4"/>
  <c r="S2183" i="4"/>
  <c r="T2183" i="4"/>
  <c r="V2183" i="4"/>
  <c r="W2183" i="4"/>
  <c r="Y2183" i="4"/>
  <c r="E2184" i="4"/>
  <c r="F2184" i="4"/>
  <c r="G2184" i="4"/>
  <c r="I2184" i="4"/>
  <c r="K2184" i="4"/>
  <c r="L2184" i="4"/>
  <c r="N2184" i="4"/>
  <c r="O2184" i="4"/>
  <c r="R2184" i="4"/>
  <c r="S2184" i="4"/>
  <c r="T2184" i="4"/>
  <c r="V2184" i="4"/>
  <c r="W2184" i="4"/>
  <c r="Y2184" i="4"/>
  <c r="E2185" i="4"/>
  <c r="F2185" i="4"/>
  <c r="G2185" i="4"/>
  <c r="I2185" i="4"/>
  <c r="K2185" i="4"/>
  <c r="L2185" i="4"/>
  <c r="N2185" i="4"/>
  <c r="O2185" i="4"/>
  <c r="R2185" i="4"/>
  <c r="S2185" i="4"/>
  <c r="T2185" i="4"/>
  <c r="V2185" i="4"/>
  <c r="W2185" i="4"/>
  <c r="Y2185" i="4"/>
  <c r="F2186" i="4"/>
  <c r="G2186" i="4"/>
  <c r="I2186" i="4"/>
  <c r="K2186" i="4"/>
  <c r="L2186" i="4"/>
  <c r="N2186" i="4"/>
  <c r="O2186" i="4"/>
  <c r="R2186" i="4"/>
  <c r="S2186" i="4"/>
  <c r="T2186" i="4"/>
  <c r="V2186" i="4"/>
  <c r="W2186" i="4"/>
  <c r="Y2186" i="4"/>
  <c r="G2187" i="4"/>
  <c r="I2187" i="4"/>
  <c r="K2187" i="4"/>
  <c r="L2187" i="4"/>
  <c r="N2187" i="4"/>
  <c r="O2187" i="4"/>
  <c r="R2187" i="4"/>
  <c r="S2187" i="4"/>
  <c r="T2187" i="4"/>
  <c r="V2187" i="4"/>
  <c r="W2187" i="4"/>
  <c r="Y2187" i="4"/>
  <c r="E2188" i="4"/>
  <c r="F2188" i="4"/>
  <c r="G2188" i="4"/>
  <c r="I2188" i="4"/>
  <c r="K2188" i="4"/>
  <c r="L2188" i="4"/>
  <c r="N2188" i="4"/>
  <c r="O2188" i="4"/>
  <c r="R2188" i="4"/>
  <c r="S2188" i="4"/>
  <c r="T2188" i="4"/>
  <c r="V2188" i="4"/>
  <c r="W2188" i="4"/>
  <c r="Y2188" i="4"/>
  <c r="E2189" i="4"/>
  <c r="F2189" i="4"/>
  <c r="G2189" i="4"/>
  <c r="I2189" i="4"/>
  <c r="J2189" i="4"/>
  <c r="K2189" i="4"/>
  <c r="L2189" i="4"/>
  <c r="N2189" i="4"/>
  <c r="O2189" i="4"/>
  <c r="Q2189" i="4"/>
  <c r="R2189" i="4"/>
  <c r="S2189" i="4"/>
  <c r="T2189" i="4"/>
  <c r="V2189" i="4"/>
  <c r="W2189" i="4"/>
  <c r="Y2189" i="4"/>
  <c r="E2190" i="4"/>
  <c r="F2190" i="4"/>
  <c r="G2190" i="4"/>
  <c r="I2190" i="4"/>
  <c r="J2190" i="4"/>
  <c r="K2190" i="4"/>
  <c r="L2190" i="4"/>
  <c r="N2190" i="4"/>
  <c r="O2190" i="4"/>
  <c r="Q2190" i="4"/>
  <c r="R2190" i="4"/>
  <c r="S2190" i="4"/>
  <c r="T2190" i="4"/>
  <c r="V2190" i="4"/>
  <c r="W2190" i="4"/>
  <c r="Y2190" i="4"/>
  <c r="G2191" i="4"/>
  <c r="I2191" i="4"/>
  <c r="J2191" i="4"/>
  <c r="K2191" i="4"/>
  <c r="L2191" i="4"/>
  <c r="N2191" i="4"/>
  <c r="O2191" i="4"/>
  <c r="Q2191" i="4"/>
  <c r="R2191" i="4"/>
  <c r="S2191" i="4"/>
  <c r="T2191" i="4"/>
  <c r="V2191" i="4"/>
  <c r="W2191" i="4"/>
  <c r="Y2191" i="4"/>
  <c r="E2192" i="4"/>
  <c r="F2192" i="4"/>
  <c r="G2192" i="4"/>
  <c r="I2192" i="4"/>
  <c r="K2192" i="4"/>
  <c r="L2192" i="4"/>
  <c r="N2192" i="4"/>
  <c r="O2192" i="4"/>
  <c r="R2192" i="4"/>
  <c r="S2192" i="4"/>
  <c r="T2192" i="4"/>
  <c r="V2192" i="4"/>
  <c r="W2192" i="4"/>
  <c r="Y2192" i="4"/>
  <c r="X2193" i="4"/>
  <c r="Z2193" i="4" s="1"/>
  <c r="P2194" i="4"/>
  <c r="X2194" i="4" s="1"/>
  <c r="Z2194" i="4" s="1"/>
  <c r="X2195" i="4"/>
  <c r="Z2195" i="4" s="1"/>
  <c r="X2196" i="4"/>
  <c r="Z2196" i="4" s="1"/>
  <c r="F2197" i="4"/>
  <c r="G2197" i="4"/>
  <c r="I2197" i="4"/>
  <c r="K2197" i="4"/>
  <c r="L2197" i="4"/>
  <c r="N2197" i="4"/>
  <c r="O2197" i="4"/>
  <c r="R2197" i="4"/>
  <c r="S2197" i="4"/>
  <c r="T2197" i="4"/>
  <c r="V2197" i="4"/>
  <c r="W2197" i="4"/>
  <c r="Y2197" i="4"/>
  <c r="E2198" i="4"/>
  <c r="F2198" i="4"/>
  <c r="G2198" i="4"/>
  <c r="I2198" i="4"/>
  <c r="K2198" i="4"/>
  <c r="L2198" i="4"/>
  <c r="N2198" i="4"/>
  <c r="O2198" i="4"/>
  <c r="R2198" i="4"/>
  <c r="S2198" i="4"/>
  <c r="T2198" i="4"/>
  <c r="V2198" i="4"/>
  <c r="W2198" i="4"/>
  <c r="Y2198" i="4"/>
  <c r="F2199" i="4"/>
  <c r="G2199" i="4"/>
  <c r="I2199" i="4"/>
  <c r="K2199" i="4"/>
  <c r="L2199" i="4"/>
  <c r="N2199" i="4"/>
  <c r="O2199" i="4"/>
  <c r="R2199" i="4"/>
  <c r="S2199" i="4"/>
  <c r="T2199" i="4"/>
  <c r="V2199" i="4"/>
  <c r="W2199" i="4"/>
  <c r="Y2199" i="4"/>
  <c r="G2200" i="4"/>
  <c r="I2200" i="4"/>
  <c r="K2200" i="4"/>
  <c r="L2200" i="4"/>
  <c r="N2200" i="4"/>
  <c r="O2200" i="4"/>
  <c r="R2200" i="4"/>
  <c r="S2200" i="4"/>
  <c r="T2200" i="4"/>
  <c r="V2200" i="4"/>
  <c r="W2200" i="4"/>
  <c r="Y2200" i="4"/>
  <c r="F2201" i="4"/>
  <c r="G2201" i="4"/>
  <c r="I2201" i="4"/>
  <c r="K2201" i="4"/>
  <c r="L2201" i="4"/>
  <c r="N2201" i="4"/>
  <c r="O2201" i="4"/>
  <c r="R2201" i="4"/>
  <c r="S2201" i="4"/>
  <c r="T2201" i="4"/>
  <c r="V2201" i="4"/>
  <c r="W2201" i="4"/>
  <c r="Y2201" i="4"/>
  <c r="E2202" i="4"/>
  <c r="F2202" i="4"/>
  <c r="G2202" i="4"/>
  <c r="I2202" i="4"/>
  <c r="K2202" i="4"/>
  <c r="L2202" i="4"/>
  <c r="N2202" i="4"/>
  <c r="O2202" i="4"/>
  <c r="R2202" i="4"/>
  <c r="S2202" i="4"/>
  <c r="T2202" i="4"/>
  <c r="V2202" i="4"/>
  <c r="W2202" i="4"/>
  <c r="Y2202" i="4"/>
  <c r="F2203" i="4"/>
  <c r="G2203" i="4"/>
  <c r="I2203" i="4"/>
  <c r="K2203" i="4"/>
  <c r="L2203" i="4"/>
  <c r="N2203" i="4"/>
  <c r="O2203" i="4"/>
  <c r="R2203" i="4"/>
  <c r="S2203" i="4"/>
  <c r="T2203" i="4"/>
  <c r="V2203" i="4"/>
  <c r="W2203" i="4"/>
  <c r="Y2203" i="4"/>
  <c r="E2204" i="4"/>
  <c r="F2204" i="4"/>
  <c r="G2204" i="4"/>
  <c r="I2204" i="4"/>
  <c r="K2204" i="4"/>
  <c r="L2204" i="4"/>
  <c r="N2204" i="4"/>
  <c r="O2204" i="4"/>
  <c r="R2204" i="4"/>
  <c r="S2204" i="4"/>
  <c r="T2204" i="4"/>
  <c r="V2204" i="4"/>
  <c r="W2204" i="4"/>
  <c r="Y2204" i="4"/>
  <c r="F2205" i="4"/>
  <c r="G2205" i="4"/>
  <c r="I2205" i="4"/>
  <c r="K2205" i="4"/>
  <c r="L2205" i="4"/>
  <c r="N2205" i="4"/>
  <c r="O2205" i="4"/>
  <c r="R2205" i="4"/>
  <c r="S2205" i="4"/>
  <c r="T2205" i="4"/>
  <c r="V2205" i="4"/>
  <c r="W2205" i="4"/>
  <c r="Y2205" i="4"/>
  <c r="E2206" i="4"/>
  <c r="F2206" i="4"/>
  <c r="G2206" i="4"/>
  <c r="I2206" i="4"/>
  <c r="K2206" i="4"/>
  <c r="L2206" i="4"/>
  <c r="N2206" i="4"/>
  <c r="O2206" i="4"/>
  <c r="R2206" i="4"/>
  <c r="S2206" i="4"/>
  <c r="T2206" i="4"/>
  <c r="V2206" i="4"/>
  <c r="W2206" i="4"/>
  <c r="Y2206" i="4"/>
  <c r="F2207" i="4"/>
  <c r="G2207" i="4"/>
  <c r="I2207" i="4"/>
  <c r="K2207" i="4"/>
  <c r="L2207" i="4"/>
  <c r="N2207" i="4"/>
  <c r="O2207" i="4"/>
  <c r="R2207" i="4"/>
  <c r="S2207" i="4"/>
  <c r="T2207" i="4"/>
  <c r="V2207" i="4"/>
  <c r="W2207" i="4"/>
  <c r="Y2207" i="4"/>
  <c r="G2208" i="4"/>
  <c r="I2208" i="4"/>
  <c r="K2208" i="4"/>
  <c r="L2208" i="4"/>
  <c r="N2208" i="4"/>
  <c r="O2208" i="4"/>
  <c r="R2208" i="4"/>
  <c r="S2208" i="4"/>
  <c r="T2208" i="4"/>
  <c r="V2208" i="4"/>
  <c r="W2208" i="4"/>
  <c r="Y2208" i="4"/>
  <c r="G2209" i="4"/>
  <c r="I2209" i="4"/>
  <c r="K2209" i="4"/>
  <c r="L2209" i="4"/>
  <c r="N2209" i="4"/>
  <c r="O2209" i="4"/>
  <c r="R2209" i="4"/>
  <c r="S2209" i="4"/>
  <c r="T2209" i="4"/>
  <c r="V2209" i="4"/>
  <c r="W2209" i="4"/>
  <c r="Y2209" i="4"/>
  <c r="F2210" i="4"/>
  <c r="G2210" i="4"/>
  <c r="I2210" i="4"/>
  <c r="K2210" i="4"/>
  <c r="L2210" i="4"/>
  <c r="N2210" i="4"/>
  <c r="O2210" i="4"/>
  <c r="R2210" i="4"/>
  <c r="S2210" i="4"/>
  <c r="T2210" i="4"/>
  <c r="V2210" i="4"/>
  <c r="W2210" i="4"/>
  <c r="Y2210" i="4"/>
  <c r="E2211" i="4"/>
  <c r="F2211" i="4"/>
  <c r="G2211" i="4"/>
  <c r="H2211" i="4"/>
  <c r="I2211" i="4"/>
  <c r="J2211" i="4"/>
  <c r="K2211" i="4"/>
  <c r="L2211" i="4"/>
  <c r="M2211" i="4"/>
  <c r="N2211" i="4"/>
  <c r="O2211" i="4"/>
  <c r="Q2211" i="4"/>
  <c r="R2211" i="4"/>
  <c r="S2211" i="4"/>
  <c r="T2211" i="4"/>
  <c r="V2211" i="4"/>
  <c r="W2211" i="4"/>
  <c r="Y2211" i="4"/>
  <c r="E2212" i="4"/>
  <c r="F2212" i="4"/>
  <c r="G2212" i="4"/>
  <c r="I2212" i="4"/>
  <c r="K2212" i="4"/>
  <c r="L2212" i="4"/>
  <c r="N2212" i="4"/>
  <c r="O2212" i="4"/>
  <c r="Q2212" i="4"/>
  <c r="R2212" i="4"/>
  <c r="S2212" i="4"/>
  <c r="T2212" i="4"/>
  <c r="V2212" i="4"/>
  <c r="W2212" i="4"/>
  <c r="Y2212" i="4"/>
  <c r="G2213" i="4"/>
  <c r="I2213" i="4"/>
  <c r="K2213" i="4"/>
  <c r="L2213" i="4"/>
  <c r="N2213" i="4"/>
  <c r="O2213" i="4"/>
  <c r="Q2213" i="4"/>
  <c r="R2213" i="4"/>
  <c r="S2213" i="4"/>
  <c r="T2213" i="4"/>
  <c r="V2213" i="4"/>
  <c r="W2213" i="4"/>
  <c r="Y2213" i="4"/>
  <c r="E2214" i="4"/>
  <c r="F2214" i="4"/>
  <c r="G2214" i="4"/>
  <c r="I2214" i="4"/>
  <c r="K2214" i="4"/>
  <c r="L2214" i="4"/>
  <c r="N2214" i="4"/>
  <c r="O2214" i="4"/>
  <c r="R2214" i="4"/>
  <c r="S2214" i="4"/>
  <c r="T2214" i="4"/>
  <c r="V2214" i="4"/>
  <c r="W2214" i="4"/>
  <c r="Y2214" i="4"/>
  <c r="E2215" i="4"/>
  <c r="F2215" i="4"/>
  <c r="G2215" i="4"/>
  <c r="I2215" i="4"/>
  <c r="K2215" i="4"/>
  <c r="L2215" i="4"/>
  <c r="N2215" i="4"/>
  <c r="O2215" i="4"/>
  <c r="R2215" i="4"/>
  <c r="S2215" i="4"/>
  <c r="T2215" i="4"/>
  <c r="V2215" i="4"/>
  <c r="W2215" i="4"/>
  <c r="Y2215" i="4"/>
  <c r="E2216" i="4"/>
  <c r="F2216" i="4"/>
  <c r="G2216" i="4"/>
  <c r="I2216" i="4"/>
  <c r="K2216" i="4"/>
  <c r="L2216" i="4"/>
  <c r="N2216" i="4"/>
  <c r="O2216" i="4"/>
  <c r="R2216" i="4"/>
  <c r="S2216" i="4"/>
  <c r="T2216" i="4"/>
  <c r="V2216" i="4"/>
  <c r="W2216" i="4"/>
  <c r="Y2216" i="4"/>
  <c r="E2217" i="4"/>
  <c r="G2217" i="4"/>
  <c r="I2217" i="4"/>
  <c r="K2217" i="4"/>
  <c r="L2217" i="4"/>
  <c r="N2217" i="4"/>
  <c r="O2217" i="4"/>
  <c r="R2217" i="4"/>
  <c r="S2217" i="4"/>
  <c r="T2217" i="4"/>
  <c r="V2217" i="4"/>
  <c r="W2217" i="4"/>
  <c r="Y2217" i="4"/>
  <c r="X2218" i="4"/>
  <c r="Z2218" i="4" s="1"/>
  <c r="P2219" i="4"/>
  <c r="X2219" i="4" s="1"/>
  <c r="X2220" i="4"/>
  <c r="Z2220" i="4" s="1"/>
  <c r="X2221" i="4"/>
  <c r="Z2221" i="4" s="1"/>
  <c r="F2222" i="4"/>
  <c r="G2222" i="4"/>
  <c r="I2222" i="4"/>
  <c r="L2222" i="4"/>
  <c r="N2222" i="4"/>
  <c r="O2222" i="4"/>
  <c r="R2222" i="4"/>
  <c r="S2222" i="4"/>
  <c r="T2222" i="4"/>
  <c r="V2222" i="4"/>
  <c r="W2222" i="4"/>
  <c r="Y2222" i="4"/>
  <c r="F2223" i="4"/>
  <c r="G2223" i="4"/>
  <c r="I2223" i="4"/>
  <c r="K2223" i="4"/>
  <c r="L2223" i="4"/>
  <c r="N2223" i="4"/>
  <c r="O2223" i="4"/>
  <c r="R2223" i="4"/>
  <c r="S2223" i="4"/>
  <c r="T2223" i="4"/>
  <c r="V2223" i="4"/>
  <c r="W2223" i="4"/>
  <c r="Y2223" i="4"/>
  <c r="F2224" i="4"/>
  <c r="G2224" i="4"/>
  <c r="I2224" i="4"/>
  <c r="K2224" i="4"/>
  <c r="L2224" i="4"/>
  <c r="N2224" i="4"/>
  <c r="O2224" i="4"/>
  <c r="R2224" i="4"/>
  <c r="S2224" i="4"/>
  <c r="T2224" i="4"/>
  <c r="V2224" i="4"/>
  <c r="W2224" i="4"/>
  <c r="Y2224" i="4"/>
  <c r="E2225" i="4"/>
  <c r="G2225" i="4"/>
  <c r="I2225" i="4"/>
  <c r="K2225" i="4"/>
  <c r="L2225" i="4"/>
  <c r="N2225" i="4"/>
  <c r="O2225" i="4"/>
  <c r="R2225" i="4"/>
  <c r="S2225" i="4"/>
  <c r="T2225" i="4"/>
  <c r="V2225" i="4"/>
  <c r="W2225" i="4"/>
  <c r="Y2225" i="4"/>
  <c r="G2226" i="4"/>
  <c r="I2226" i="4"/>
  <c r="K2226" i="4"/>
  <c r="L2226" i="4"/>
  <c r="N2226" i="4"/>
  <c r="O2226" i="4"/>
  <c r="R2226" i="4"/>
  <c r="S2226" i="4"/>
  <c r="T2226" i="4"/>
  <c r="V2226" i="4"/>
  <c r="W2226" i="4"/>
  <c r="Y2226" i="4"/>
  <c r="E2227" i="4"/>
  <c r="F2227" i="4"/>
  <c r="G2227" i="4"/>
  <c r="I2227" i="4"/>
  <c r="K2227" i="4"/>
  <c r="L2227" i="4"/>
  <c r="N2227" i="4"/>
  <c r="O2227" i="4"/>
  <c r="R2227" i="4"/>
  <c r="S2227" i="4"/>
  <c r="T2227" i="4"/>
  <c r="V2227" i="4"/>
  <c r="W2227" i="4"/>
  <c r="Y2227" i="4"/>
  <c r="F2228" i="4"/>
  <c r="G2228" i="4"/>
  <c r="I2228" i="4"/>
  <c r="K2228" i="4"/>
  <c r="L2228" i="4"/>
  <c r="N2228" i="4"/>
  <c r="O2228" i="4"/>
  <c r="R2228" i="4"/>
  <c r="S2228" i="4"/>
  <c r="T2228" i="4"/>
  <c r="V2228" i="4"/>
  <c r="W2228" i="4"/>
  <c r="Y2228" i="4"/>
  <c r="E2229" i="4"/>
  <c r="F2229" i="4"/>
  <c r="G2229" i="4"/>
  <c r="I2229" i="4"/>
  <c r="K2229" i="4"/>
  <c r="L2229" i="4"/>
  <c r="N2229" i="4"/>
  <c r="O2229" i="4"/>
  <c r="R2229" i="4"/>
  <c r="S2229" i="4"/>
  <c r="T2229" i="4"/>
  <c r="V2229" i="4"/>
  <c r="W2229" i="4"/>
  <c r="Y2229" i="4"/>
  <c r="E2230" i="4"/>
  <c r="F2230" i="4"/>
  <c r="G2230" i="4"/>
  <c r="I2230" i="4"/>
  <c r="K2230" i="4"/>
  <c r="L2230" i="4"/>
  <c r="N2230" i="4"/>
  <c r="O2230" i="4"/>
  <c r="R2230" i="4"/>
  <c r="S2230" i="4"/>
  <c r="T2230" i="4"/>
  <c r="V2230" i="4"/>
  <c r="W2230" i="4"/>
  <c r="Y2230" i="4"/>
  <c r="G2231" i="4"/>
  <c r="I2231" i="4"/>
  <c r="K2231" i="4"/>
  <c r="L2231" i="4"/>
  <c r="N2231" i="4"/>
  <c r="O2231" i="4"/>
  <c r="R2231" i="4"/>
  <c r="S2231" i="4"/>
  <c r="T2231" i="4"/>
  <c r="V2231" i="4"/>
  <c r="W2231" i="4"/>
  <c r="Y2231" i="4"/>
  <c r="E2232" i="4"/>
  <c r="F2232" i="4"/>
  <c r="G2232" i="4"/>
  <c r="I2232" i="4"/>
  <c r="K2232" i="4"/>
  <c r="L2232" i="4"/>
  <c r="N2232" i="4"/>
  <c r="O2232" i="4"/>
  <c r="R2232" i="4"/>
  <c r="S2232" i="4"/>
  <c r="T2232" i="4"/>
  <c r="V2232" i="4"/>
  <c r="W2232" i="4"/>
  <c r="Y2232" i="4"/>
  <c r="E2233" i="4"/>
  <c r="F2233" i="4"/>
  <c r="G2233" i="4"/>
  <c r="I2233" i="4"/>
  <c r="K2233" i="4"/>
  <c r="L2233" i="4"/>
  <c r="N2233" i="4"/>
  <c r="O2233" i="4"/>
  <c r="R2233" i="4"/>
  <c r="S2233" i="4"/>
  <c r="T2233" i="4"/>
  <c r="V2233" i="4"/>
  <c r="W2233" i="4"/>
  <c r="Y2233" i="4"/>
  <c r="E2234" i="4"/>
  <c r="F2234" i="4"/>
  <c r="G2234" i="4"/>
  <c r="I2234" i="4"/>
  <c r="K2234" i="4"/>
  <c r="L2234" i="4"/>
  <c r="N2234" i="4"/>
  <c r="O2234" i="4"/>
  <c r="R2234" i="4"/>
  <c r="S2234" i="4"/>
  <c r="T2234" i="4"/>
  <c r="V2234" i="4"/>
  <c r="W2234" i="4"/>
  <c r="Y2234" i="4"/>
  <c r="G2235" i="4"/>
  <c r="I2235" i="4"/>
  <c r="K2235" i="4"/>
  <c r="L2235" i="4"/>
  <c r="N2235" i="4"/>
  <c r="O2235" i="4"/>
  <c r="R2235" i="4"/>
  <c r="S2235" i="4"/>
  <c r="T2235" i="4"/>
  <c r="V2235" i="4"/>
  <c r="W2235" i="4"/>
  <c r="Y2235" i="4"/>
  <c r="E2236" i="4"/>
  <c r="F2236" i="4"/>
  <c r="G2236" i="4"/>
  <c r="I2236" i="4"/>
  <c r="K2236" i="4"/>
  <c r="L2236" i="4"/>
  <c r="N2236" i="4"/>
  <c r="O2236" i="4"/>
  <c r="Q2236" i="4"/>
  <c r="R2236" i="4"/>
  <c r="S2236" i="4"/>
  <c r="T2236" i="4"/>
  <c r="V2236" i="4"/>
  <c r="W2236" i="4"/>
  <c r="Y2236" i="4"/>
  <c r="E2237" i="4"/>
  <c r="F2237" i="4"/>
  <c r="G2237" i="4"/>
  <c r="I2237" i="4"/>
  <c r="K2237" i="4"/>
  <c r="L2237" i="4"/>
  <c r="N2237" i="4"/>
  <c r="O2237" i="4"/>
  <c r="Q2237" i="4"/>
  <c r="R2237" i="4"/>
  <c r="S2237" i="4"/>
  <c r="T2237" i="4"/>
  <c r="V2237" i="4"/>
  <c r="W2237" i="4"/>
  <c r="Y2237" i="4"/>
  <c r="E2238" i="4"/>
  <c r="F2238" i="4"/>
  <c r="G2238" i="4"/>
  <c r="I2238" i="4"/>
  <c r="J2238" i="4"/>
  <c r="K2238" i="4"/>
  <c r="L2238" i="4"/>
  <c r="N2238" i="4"/>
  <c r="O2238" i="4"/>
  <c r="Q2238" i="4"/>
  <c r="R2238" i="4"/>
  <c r="S2238" i="4"/>
  <c r="T2238" i="4"/>
  <c r="V2238" i="4"/>
  <c r="W2238" i="4"/>
  <c r="Y2238" i="4"/>
  <c r="E2239" i="4"/>
  <c r="F2239" i="4"/>
  <c r="G2239" i="4"/>
  <c r="I2239" i="4"/>
  <c r="K2239" i="4"/>
  <c r="L2239" i="4"/>
  <c r="N2239" i="4"/>
  <c r="O2239" i="4"/>
  <c r="R2239" i="4"/>
  <c r="S2239" i="4"/>
  <c r="T2239" i="4"/>
  <c r="V2239" i="4"/>
  <c r="W2239" i="4"/>
  <c r="Y2239" i="4"/>
  <c r="E2240" i="4"/>
  <c r="F2240" i="4"/>
  <c r="G2240" i="4"/>
  <c r="I2240" i="4"/>
  <c r="K2240" i="4"/>
  <c r="L2240" i="4"/>
  <c r="N2240" i="4"/>
  <c r="O2240" i="4"/>
  <c r="R2240" i="4"/>
  <c r="S2240" i="4"/>
  <c r="T2240" i="4"/>
  <c r="V2240" i="4"/>
  <c r="W2240" i="4"/>
  <c r="Y2240" i="4"/>
  <c r="F2241" i="4"/>
  <c r="G2241" i="4"/>
  <c r="I2241" i="4"/>
  <c r="K2241" i="4"/>
  <c r="L2241" i="4"/>
  <c r="N2241" i="4"/>
  <c r="O2241" i="4"/>
  <c r="R2241" i="4"/>
  <c r="S2241" i="4"/>
  <c r="T2241" i="4"/>
  <c r="V2241" i="4"/>
  <c r="W2241" i="4"/>
  <c r="Y2241" i="4"/>
  <c r="X2242" i="4"/>
  <c r="Z2242" i="4" s="1"/>
  <c r="X2244" i="4"/>
  <c r="Z2244" i="4" s="1"/>
  <c r="X2245" i="4"/>
  <c r="Z2245" i="4" s="1"/>
  <c r="F2246" i="4"/>
  <c r="G2246" i="4"/>
  <c r="I2246" i="4"/>
  <c r="K2246" i="4"/>
  <c r="L2246" i="4"/>
  <c r="N2246" i="4"/>
  <c r="O2246" i="4"/>
  <c r="R2246" i="4"/>
  <c r="S2246" i="4"/>
  <c r="T2246" i="4"/>
  <c r="V2246" i="4"/>
  <c r="W2246" i="4"/>
  <c r="Y2246" i="4"/>
  <c r="E2247" i="4"/>
  <c r="F2247" i="4"/>
  <c r="G2247" i="4"/>
  <c r="I2247" i="4"/>
  <c r="K2247" i="4"/>
  <c r="L2247" i="4"/>
  <c r="N2247" i="4"/>
  <c r="O2247" i="4"/>
  <c r="R2247" i="4"/>
  <c r="S2247" i="4"/>
  <c r="T2247" i="4"/>
  <c r="V2247" i="4"/>
  <c r="W2247" i="4"/>
  <c r="Y2247" i="4"/>
  <c r="E2248" i="4"/>
  <c r="F2248" i="4"/>
  <c r="G2248" i="4"/>
  <c r="I2248" i="4"/>
  <c r="K2248" i="4"/>
  <c r="L2248" i="4"/>
  <c r="N2248" i="4"/>
  <c r="O2248" i="4"/>
  <c r="R2248" i="4"/>
  <c r="S2248" i="4"/>
  <c r="T2248" i="4"/>
  <c r="V2248" i="4"/>
  <c r="W2248" i="4"/>
  <c r="Y2248" i="4"/>
  <c r="E2249" i="4"/>
  <c r="F2249" i="4"/>
  <c r="G2249" i="4"/>
  <c r="I2249" i="4"/>
  <c r="K2249" i="4"/>
  <c r="L2249" i="4"/>
  <c r="N2249" i="4"/>
  <c r="O2249" i="4"/>
  <c r="R2249" i="4"/>
  <c r="S2249" i="4"/>
  <c r="T2249" i="4"/>
  <c r="V2249" i="4"/>
  <c r="W2249" i="4"/>
  <c r="Y2249" i="4"/>
  <c r="E2250" i="4"/>
  <c r="F2250" i="4"/>
  <c r="G2250" i="4"/>
  <c r="I2250" i="4"/>
  <c r="K2250" i="4"/>
  <c r="L2250" i="4"/>
  <c r="N2250" i="4"/>
  <c r="O2250" i="4"/>
  <c r="R2250" i="4"/>
  <c r="S2250" i="4"/>
  <c r="T2250" i="4"/>
  <c r="V2250" i="4"/>
  <c r="W2250" i="4"/>
  <c r="Y2250" i="4"/>
  <c r="F2251" i="4"/>
  <c r="G2251" i="4"/>
  <c r="I2251" i="4"/>
  <c r="K2251" i="4"/>
  <c r="L2251" i="4"/>
  <c r="N2251" i="4"/>
  <c r="O2251" i="4"/>
  <c r="R2251" i="4"/>
  <c r="S2251" i="4"/>
  <c r="T2251" i="4"/>
  <c r="V2251" i="4"/>
  <c r="W2251" i="4"/>
  <c r="Y2251" i="4"/>
  <c r="E2252" i="4"/>
  <c r="F2252" i="4"/>
  <c r="G2252" i="4"/>
  <c r="I2252" i="4"/>
  <c r="K2252" i="4"/>
  <c r="L2252" i="4"/>
  <c r="N2252" i="4"/>
  <c r="O2252" i="4"/>
  <c r="R2252" i="4"/>
  <c r="S2252" i="4"/>
  <c r="T2252" i="4"/>
  <c r="V2252" i="4"/>
  <c r="W2252" i="4"/>
  <c r="Y2252" i="4"/>
  <c r="G2253" i="4"/>
  <c r="I2253" i="4"/>
  <c r="K2253" i="4"/>
  <c r="L2253" i="4"/>
  <c r="N2253" i="4"/>
  <c r="O2253" i="4"/>
  <c r="R2253" i="4"/>
  <c r="S2253" i="4"/>
  <c r="T2253" i="4"/>
  <c r="V2253" i="4"/>
  <c r="W2253" i="4"/>
  <c r="Y2253" i="4"/>
  <c r="E2254" i="4"/>
  <c r="F2254" i="4"/>
  <c r="G2254" i="4"/>
  <c r="I2254" i="4"/>
  <c r="K2254" i="4"/>
  <c r="L2254" i="4"/>
  <c r="N2254" i="4"/>
  <c r="O2254" i="4"/>
  <c r="R2254" i="4"/>
  <c r="S2254" i="4"/>
  <c r="T2254" i="4"/>
  <c r="V2254" i="4"/>
  <c r="W2254" i="4"/>
  <c r="Y2254" i="4"/>
  <c r="G2255" i="4"/>
  <c r="I2255" i="4"/>
  <c r="K2255" i="4"/>
  <c r="L2255" i="4"/>
  <c r="N2255" i="4"/>
  <c r="O2255" i="4"/>
  <c r="R2255" i="4"/>
  <c r="S2255" i="4"/>
  <c r="T2255" i="4"/>
  <c r="V2255" i="4"/>
  <c r="W2255" i="4"/>
  <c r="Y2255" i="4"/>
  <c r="G2256" i="4"/>
  <c r="I2256" i="4"/>
  <c r="K2256" i="4"/>
  <c r="L2256" i="4"/>
  <c r="N2256" i="4"/>
  <c r="O2256" i="4"/>
  <c r="R2256" i="4"/>
  <c r="S2256" i="4"/>
  <c r="T2256" i="4"/>
  <c r="V2256" i="4"/>
  <c r="W2256" i="4"/>
  <c r="Y2256" i="4"/>
  <c r="G2257" i="4"/>
  <c r="I2257" i="4"/>
  <c r="K2257" i="4"/>
  <c r="L2257" i="4"/>
  <c r="N2257" i="4"/>
  <c r="O2257" i="4"/>
  <c r="R2257" i="4"/>
  <c r="S2257" i="4"/>
  <c r="T2257" i="4"/>
  <c r="V2257" i="4"/>
  <c r="W2257" i="4"/>
  <c r="Y2257" i="4"/>
  <c r="E2258" i="4"/>
  <c r="F2258" i="4"/>
  <c r="G2258" i="4"/>
  <c r="I2258" i="4"/>
  <c r="K2258" i="4"/>
  <c r="L2258" i="4"/>
  <c r="N2258" i="4"/>
  <c r="O2258" i="4"/>
  <c r="R2258" i="4"/>
  <c r="S2258" i="4"/>
  <c r="T2258" i="4"/>
  <c r="V2258" i="4"/>
  <c r="W2258" i="4"/>
  <c r="Y2258" i="4"/>
  <c r="E2259" i="4"/>
  <c r="F2259" i="4"/>
  <c r="G2259" i="4"/>
  <c r="I2259" i="4"/>
  <c r="K2259" i="4"/>
  <c r="L2259" i="4"/>
  <c r="N2259" i="4"/>
  <c r="O2259" i="4"/>
  <c r="R2259" i="4"/>
  <c r="S2259" i="4"/>
  <c r="T2259" i="4"/>
  <c r="V2259" i="4"/>
  <c r="W2259" i="4"/>
  <c r="Y2259" i="4"/>
  <c r="F2260" i="4"/>
  <c r="G2260" i="4"/>
  <c r="I2260" i="4"/>
  <c r="K2260" i="4"/>
  <c r="L2260" i="4"/>
  <c r="N2260" i="4"/>
  <c r="O2260" i="4"/>
  <c r="R2260" i="4"/>
  <c r="S2260" i="4"/>
  <c r="T2260" i="4"/>
  <c r="V2260" i="4"/>
  <c r="W2260" i="4"/>
  <c r="Y2260" i="4"/>
  <c r="X2261" i="4"/>
  <c r="Z2261" i="4" s="1"/>
  <c r="P2262" i="4"/>
  <c r="X2262" i="4" s="1"/>
  <c r="Z2262" i="4" s="1"/>
  <c r="X2263" i="4"/>
  <c r="Z2263" i="4" s="1"/>
  <c r="X2264" i="4"/>
  <c r="Z2264" i="4" s="1"/>
  <c r="F2265" i="4"/>
  <c r="G2265" i="4"/>
  <c r="I2265" i="4"/>
  <c r="L2265" i="4"/>
  <c r="N2265" i="4"/>
  <c r="O2265" i="4"/>
  <c r="R2265" i="4"/>
  <c r="S2265" i="4"/>
  <c r="T2265" i="4"/>
  <c r="V2265" i="4"/>
  <c r="W2265" i="4"/>
  <c r="Y2265" i="4"/>
  <c r="F2266" i="4"/>
  <c r="G2266" i="4"/>
  <c r="I2266" i="4"/>
  <c r="K2266" i="4"/>
  <c r="L2266" i="4"/>
  <c r="N2266" i="4"/>
  <c r="O2266" i="4"/>
  <c r="R2266" i="4"/>
  <c r="S2266" i="4"/>
  <c r="T2266" i="4"/>
  <c r="V2266" i="4"/>
  <c r="W2266" i="4"/>
  <c r="Y2266" i="4"/>
  <c r="E2267" i="4"/>
  <c r="F2267" i="4"/>
  <c r="G2267" i="4"/>
  <c r="I2267" i="4"/>
  <c r="K2267" i="4"/>
  <c r="L2267" i="4"/>
  <c r="N2267" i="4"/>
  <c r="O2267" i="4"/>
  <c r="R2267" i="4"/>
  <c r="S2267" i="4"/>
  <c r="T2267" i="4"/>
  <c r="V2267" i="4"/>
  <c r="W2267" i="4"/>
  <c r="Y2267" i="4"/>
  <c r="G2268" i="4"/>
  <c r="I2268" i="4"/>
  <c r="K2268" i="4"/>
  <c r="L2268" i="4"/>
  <c r="N2268" i="4"/>
  <c r="O2268" i="4"/>
  <c r="R2268" i="4"/>
  <c r="S2268" i="4"/>
  <c r="T2268" i="4"/>
  <c r="V2268" i="4"/>
  <c r="W2268" i="4"/>
  <c r="Y2268" i="4"/>
  <c r="E2269" i="4"/>
  <c r="F2269" i="4"/>
  <c r="G2269" i="4"/>
  <c r="I2269" i="4"/>
  <c r="K2269" i="4"/>
  <c r="L2269" i="4"/>
  <c r="N2269" i="4"/>
  <c r="O2269" i="4"/>
  <c r="R2269" i="4"/>
  <c r="S2269" i="4"/>
  <c r="T2269" i="4"/>
  <c r="V2269" i="4"/>
  <c r="W2269" i="4"/>
  <c r="Y2269" i="4"/>
  <c r="E2270" i="4"/>
  <c r="F2270" i="4"/>
  <c r="G2270" i="4"/>
  <c r="I2270" i="4"/>
  <c r="K2270" i="4"/>
  <c r="L2270" i="4"/>
  <c r="N2270" i="4"/>
  <c r="O2270" i="4"/>
  <c r="R2270" i="4"/>
  <c r="S2270" i="4"/>
  <c r="T2270" i="4"/>
  <c r="V2270" i="4"/>
  <c r="W2270" i="4"/>
  <c r="Y2270" i="4"/>
  <c r="E2271" i="4"/>
  <c r="G2271" i="4"/>
  <c r="I2271" i="4"/>
  <c r="K2271" i="4"/>
  <c r="L2271" i="4"/>
  <c r="N2271" i="4"/>
  <c r="O2271" i="4"/>
  <c r="R2271" i="4"/>
  <c r="S2271" i="4"/>
  <c r="T2271" i="4"/>
  <c r="V2271" i="4"/>
  <c r="W2271" i="4"/>
  <c r="Y2271" i="4"/>
  <c r="E2272" i="4"/>
  <c r="G2272" i="4"/>
  <c r="I2272" i="4"/>
  <c r="K2272" i="4"/>
  <c r="L2272" i="4"/>
  <c r="N2272" i="4"/>
  <c r="O2272" i="4"/>
  <c r="R2272" i="4"/>
  <c r="S2272" i="4"/>
  <c r="T2272" i="4"/>
  <c r="V2272" i="4"/>
  <c r="W2272" i="4"/>
  <c r="Y2272" i="4"/>
  <c r="E2273" i="4"/>
  <c r="F2273" i="4"/>
  <c r="G2273" i="4"/>
  <c r="I2273" i="4"/>
  <c r="K2273" i="4"/>
  <c r="L2273" i="4"/>
  <c r="N2273" i="4"/>
  <c r="O2273" i="4"/>
  <c r="R2273" i="4"/>
  <c r="S2273" i="4"/>
  <c r="T2273" i="4"/>
  <c r="V2273" i="4"/>
  <c r="W2273" i="4"/>
  <c r="Y2273" i="4"/>
  <c r="G2274" i="4"/>
  <c r="I2274" i="4"/>
  <c r="K2274" i="4"/>
  <c r="L2274" i="4"/>
  <c r="N2274" i="4"/>
  <c r="O2274" i="4"/>
  <c r="R2274" i="4"/>
  <c r="S2274" i="4"/>
  <c r="T2274" i="4"/>
  <c r="V2274" i="4"/>
  <c r="W2274" i="4"/>
  <c r="Y2274" i="4"/>
  <c r="F2275" i="4"/>
  <c r="G2275" i="4"/>
  <c r="I2275" i="4"/>
  <c r="K2275" i="4"/>
  <c r="L2275" i="4"/>
  <c r="N2275" i="4"/>
  <c r="O2275" i="4"/>
  <c r="R2275" i="4"/>
  <c r="S2275" i="4"/>
  <c r="T2275" i="4"/>
  <c r="V2275" i="4"/>
  <c r="W2275" i="4"/>
  <c r="Y2275" i="4"/>
  <c r="E2276" i="4"/>
  <c r="F2276" i="4"/>
  <c r="G2276" i="4"/>
  <c r="I2276" i="4"/>
  <c r="K2276" i="4"/>
  <c r="L2276" i="4"/>
  <c r="N2276" i="4"/>
  <c r="O2276" i="4"/>
  <c r="R2276" i="4"/>
  <c r="S2276" i="4"/>
  <c r="T2276" i="4"/>
  <c r="V2276" i="4"/>
  <c r="W2276" i="4"/>
  <c r="Y2276" i="4"/>
  <c r="F2277" i="4"/>
  <c r="G2277" i="4"/>
  <c r="I2277" i="4"/>
  <c r="K2277" i="4"/>
  <c r="L2277" i="4"/>
  <c r="N2277" i="4"/>
  <c r="O2277" i="4"/>
  <c r="R2277" i="4"/>
  <c r="S2277" i="4"/>
  <c r="T2277" i="4"/>
  <c r="V2277" i="4"/>
  <c r="W2277" i="4"/>
  <c r="Y2277" i="4"/>
  <c r="G2278" i="4"/>
  <c r="I2278" i="4"/>
  <c r="K2278" i="4"/>
  <c r="L2278" i="4"/>
  <c r="N2278" i="4"/>
  <c r="O2278" i="4"/>
  <c r="R2278" i="4"/>
  <c r="S2278" i="4"/>
  <c r="T2278" i="4"/>
  <c r="V2278" i="4"/>
  <c r="W2278" i="4"/>
  <c r="Y2278" i="4"/>
  <c r="E2279" i="4"/>
  <c r="F2279" i="4"/>
  <c r="G2279" i="4"/>
  <c r="I2279" i="4"/>
  <c r="K2279" i="4"/>
  <c r="L2279" i="4"/>
  <c r="N2279" i="4"/>
  <c r="O2279" i="4"/>
  <c r="R2279" i="4"/>
  <c r="S2279" i="4"/>
  <c r="T2279" i="4"/>
  <c r="V2279" i="4"/>
  <c r="W2279" i="4"/>
  <c r="Y2279" i="4"/>
  <c r="F2280" i="4"/>
  <c r="G2280" i="4"/>
  <c r="I2280" i="4"/>
  <c r="K2280" i="4"/>
  <c r="L2280" i="4"/>
  <c r="N2280" i="4"/>
  <c r="O2280" i="4"/>
  <c r="Q2280" i="4"/>
  <c r="R2280" i="4"/>
  <c r="S2280" i="4"/>
  <c r="T2280" i="4"/>
  <c r="V2280" i="4"/>
  <c r="W2280" i="4"/>
  <c r="Y2280" i="4"/>
  <c r="E2281" i="4"/>
  <c r="F2281" i="4"/>
  <c r="G2281" i="4"/>
  <c r="I2281" i="4"/>
  <c r="J2281" i="4"/>
  <c r="K2281" i="4"/>
  <c r="L2281" i="4"/>
  <c r="N2281" i="4"/>
  <c r="O2281" i="4"/>
  <c r="Q2281" i="4"/>
  <c r="R2281" i="4"/>
  <c r="S2281" i="4"/>
  <c r="T2281" i="4"/>
  <c r="V2281" i="4"/>
  <c r="W2281" i="4"/>
  <c r="Y2281" i="4"/>
  <c r="E2282" i="4"/>
  <c r="F2282" i="4"/>
  <c r="G2282" i="4"/>
  <c r="I2282" i="4"/>
  <c r="J2282" i="4"/>
  <c r="K2282" i="4"/>
  <c r="L2282" i="4"/>
  <c r="N2282" i="4"/>
  <c r="O2282" i="4"/>
  <c r="Q2282" i="4"/>
  <c r="R2282" i="4"/>
  <c r="S2282" i="4"/>
  <c r="T2282" i="4"/>
  <c r="V2282" i="4"/>
  <c r="W2282" i="4"/>
  <c r="Y2282" i="4"/>
  <c r="F2283" i="4"/>
  <c r="G2283" i="4"/>
  <c r="I2283" i="4"/>
  <c r="J2283" i="4"/>
  <c r="K2283" i="4"/>
  <c r="L2283" i="4"/>
  <c r="N2283" i="4"/>
  <c r="O2283" i="4"/>
  <c r="Q2283" i="4"/>
  <c r="R2283" i="4"/>
  <c r="S2283" i="4"/>
  <c r="T2283" i="4"/>
  <c r="V2283" i="4"/>
  <c r="W2283" i="4"/>
  <c r="Y2283" i="4"/>
  <c r="E2284" i="4"/>
  <c r="F2284" i="4"/>
  <c r="G2284" i="4"/>
  <c r="I2284" i="4"/>
  <c r="J2284" i="4"/>
  <c r="K2284" i="4"/>
  <c r="L2284" i="4"/>
  <c r="N2284" i="4"/>
  <c r="O2284" i="4"/>
  <c r="Q2284" i="4"/>
  <c r="R2284" i="4"/>
  <c r="S2284" i="4"/>
  <c r="T2284" i="4"/>
  <c r="V2284" i="4"/>
  <c r="W2284" i="4"/>
  <c r="Y2284" i="4"/>
  <c r="E2285" i="4"/>
  <c r="F2285" i="4"/>
  <c r="G2285" i="4"/>
  <c r="I2285" i="4"/>
  <c r="K2285" i="4"/>
  <c r="L2285" i="4"/>
  <c r="N2285" i="4"/>
  <c r="O2285" i="4"/>
  <c r="R2285" i="4"/>
  <c r="S2285" i="4"/>
  <c r="T2285" i="4"/>
  <c r="V2285" i="4"/>
  <c r="W2285" i="4"/>
  <c r="Y2285" i="4"/>
  <c r="E2286" i="4"/>
  <c r="G2286" i="4"/>
  <c r="I2286" i="4"/>
  <c r="K2286" i="4"/>
  <c r="L2286" i="4"/>
  <c r="N2286" i="4"/>
  <c r="O2286" i="4"/>
  <c r="R2286" i="4"/>
  <c r="S2286" i="4"/>
  <c r="T2286" i="4"/>
  <c r="V2286" i="4"/>
  <c r="W2286" i="4"/>
  <c r="Y2286" i="4"/>
  <c r="E2287" i="4"/>
  <c r="F2287" i="4"/>
  <c r="G2287" i="4"/>
  <c r="I2287" i="4"/>
  <c r="K2287" i="4"/>
  <c r="L2287" i="4"/>
  <c r="N2287" i="4"/>
  <c r="O2287" i="4"/>
  <c r="R2287" i="4"/>
  <c r="S2287" i="4"/>
  <c r="T2287" i="4"/>
  <c r="V2287" i="4"/>
  <c r="W2287" i="4"/>
  <c r="Y2287" i="4"/>
  <c r="E2288" i="4"/>
  <c r="G2288" i="4"/>
  <c r="I2288" i="4"/>
  <c r="K2288" i="4"/>
  <c r="L2288" i="4"/>
  <c r="N2288" i="4"/>
  <c r="O2288" i="4"/>
  <c r="R2288" i="4"/>
  <c r="S2288" i="4"/>
  <c r="T2288" i="4"/>
  <c r="V2288" i="4"/>
  <c r="W2288" i="4"/>
  <c r="Y2288" i="4"/>
  <c r="E2289" i="4"/>
  <c r="F2289" i="4"/>
  <c r="G2289" i="4"/>
  <c r="I2289" i="4"/>
  <c r="K2289" i="4"/>
  <c r="L2289" i="4"/>
  <c r="N2289" i="4"/>
  <c r="O2289" i="4"/>
  <c r="R2289" i="4"/>
  <c r="S2289" i="4"/>
  <c r="T2289" i="4"/>
  <c r="V2289" i="4"/>
  <c r="W2289" i="4"/>
  <c r="Y2289" i="4"/>
  <c r="G2290" i="4"/>
  <c r="K2290" i="4"/>
  <c r="L2290" i="4"/>
  <c r="N2290" i="4"/>
  <c r="O2290" i="4"/>
  <c r="R2290" i="4"/>
  <c r="S2290" i="4"/>
  <c r="T2290" i="4"/>
  <c r="V2290" i="4"/>
  <c r="W2290" i="4"/>
  <c r="Y2290" i="4"/>
  <c r="X2291" i="4"/>
  <c r="Z2291" i="4" s="1"/>
  <c r="P2292" i="4"/>
  <c r="X2292" i="4" s="1"/>
  <c r="Z2292" i="4" s="1"/>
  <c r="E2299" i="4"/>
  <c r="F2299" i="4"/>
  <c r="G2299" i="4"/>
  <c r="I2299" i="4"/>
  <c r="K2299" i="4"/>
  <c r="L2299" i="4"/>
  <c r="N2299" i="4"/>
  <c r="O2299" i="4"/>
  <c r="R2299" i="4"/>
  <c r="S2299" i="4"/>
  <c r="T2299" i="4"/>
  <c r="V2299" i="4"/>
  <c r="W2299" i="4"/>
  <c r="Y2299" i="4"/>
  <c r="F2300" i="4"/>
  <c r="G2300" i="4"/>
  <c r="I2300" i="4"/>
  <c r="K2300" i="4"/>
  <c r="L2300" i="4"/>
  <c r="N2300" i="4"/>
  <c r="O2300" i="4"/>
  <c r="R2300" i="4"/>
  <c r="S2300" i="4"/>
  <c r="T2300" i="4"/>
  <c r="V2300" i="4"/>
  <c r="W2300" i="4"/>
  <c r="Y2300" i="4"/>
  <c r="F2301" i="4"/>
  <c r="G2301" i="4"/>
  <c r="I2301" i="4"/>
  <c r="K2301" i="4"/>
  <c r="L2301" i="4"/>
  <c r="N2301" i="4"/>
  <c r="O2301" i="4"/>
  <c r="R2301" i="4"/>
  <c r="S2301" i="4"/>
  <c r="T2301" i="4"/>
  <c r="V2301" i="4"/>
  <c r="W2301" i="4"/>
  <c r="Y2301" i="4"/>
  <c r="E2302" i="4"/>
  <c r="F2302" i="4"/>
  <c r="G2302" i="4"/>
  <c r="I2302" i="4"/>
  <c r="K2302" i="4"/>
  <c r="L2302" i="4"/>
  <c r="N2302" i="4"/>
  <c r="O2302" i="4"/>
  <c r="R2302" i="4"/>
  <c r="S2302" i="4"/>
  <c r="T2302" i="4"/>
  <c r="V2302" i="4"/>
  <c r="W2302" i="4"/>
  <c r="Y2302" i="4"/>
  <c r="E2303" i="4"/>
  <c r="F2303" i="4"/>
  <c r="G2303" i="4"/>
  <c r="I2303" i="4"/>
  <c r="K2303" i="4"/>
  <c r="L2303" i="4"/>
  <c r="N2303" i="4"/>
  <c r="O2303" i="4"/>
  <c r="R2303" i="4"/>
  <c r="S2303" i="4"/>
  <c r="T2303" i="4"/>
  <c r="V2303" i="4"/>
  <c r="W2303" i="4"/>
  <c r="Y2303" i="4"/>
  <c r="G2304" i="4"/>
  <c r="I2304" i="4"/>
  <c r="K2304" i="4"/>
  <c r="L2304" i="4"/>
  <c r="N2304" i="4"/>
  <c r="O2304" i="4"/>
  <c r="R2304" i="4"/>
  <c r="S2304" i="4"/>
  <c r="T2304" i="4"/>
  <c r="V2304" i="4"/>
  <c r="W2304" i="4"/>
  <c r="Y2304" i="4"/>
  <c r="E2305" i="4"/>
  <c r="F2305" i="4"/>
  <c r="G2305" i="4"/>
  <c r="I2305" i="4"/>
  <c r="K2305" i="4"/>
  <c r="L2305" i="4"/>
  <c r="N2305" i="4"/>
  <c r="O2305" i="4"/>
  <c r="R2305" i="4"/>
  <c r="S2305" i="4"/>
  <c r="T2305" i="4"/>
  <c r="V2305" i="4"/>
  <c r="W2305" i="4"/>
  <c r="Y2305" i="4"/>
  <c r="G2306" i="4"/>
  <c r="I2306" i="4"/>
  <c r="K2306" i="4"/>
  <c r="L2306" i="4"/>
  <c r="N2306" i="4"/>
  <c r="O2306" i="4"/>
  <c r="R2306" i="4"/>
  <c r="S2306" i="4"/>
  <c r="T2306" i="4"/>
  <c r="V2306" i="4"/>
  <c r="W2306" i="4"/>
  <c r="Y2306" i="4"/>
  <c r="G2307" i="4"/>
  <c r="I2307" i="4"/>
  <c r="K2307" i="4"/>
  <c r="L2307" i="4"/>
  <c r="N2307" i="4"/>
  <c r="O2307" i="4"/>
  <c r="R2307" i="4"/>
  <c r="S2307" i="4"/>
  <c r="T2307" i="4"/>
  <c r="V2307" i="4"/>
  <c r="W2307" i="4"/>
  <c r="Y2307" i="4"/>
  <c r="E2308" i="4"/>
  <c r="F2308" i="4"/>
  <c r="G2308" i="4"/>
  <c r="I2308" i="4"/>
  <c r="K2308" i="4"/>
  <c r="L2308" i="4"/>
  <c r="N2308" i="4"/>
  <c r="O2308" i="4"/>
  <c r="R2308" i="4"/>
  <c r="S2308" i="4"/>
  <c r="T2308" i="4"/>
  <c r="V2308" i="4"/>
  <c r="W2308" i="4"/>
  <c r="Y2308" i="4"/>
  <c r="E2309" i="4"/>
  <c r="F2309" i="4"/>
  <c r="G2309" i="4"/>
  <c r="I2309" i="4"/>
  <c r="K2309" i="4"/>
  <c r="L2309" i="4"/>
  <c r="N2309" i="4"/>
  <c r="O2309" i="4"/>
  <c r="R2309" i="4"/>
  <c r="S2309" i="4"/>
  <c r="T2309" i="4"/>
  <c r="V2309" i="4"/>
  <c r="W2309" i="4"/>
  <c r="Y2309" i="4"/>
  <c r="E2310" i="4"/>
  <c r="F2310" i="4"/>
  <c r="G2310" i="4"/>
  <c r="I2310" i="4"/>
  <c r="K2310" i="4"/>
  <c r="L2310" i="4"/>
  <c r="N2310" i="4"/>
  <c r="O2310" i="4"/>
  <c r="R2310" i="4"/>
  <c r="S2310" i="4"/>
  <c r="T2310" i="4"/>
  <c r="V2310" i="4"/>
  <c r="W2310" i="4"/>
  <c r="Y2310" i="4"/>
  <c r="F2311" i="4"/>
  <c r="G2311" i="4"/>
  <c r="I2311" i="4"/>
  <c r="K2311" i="4"/>
  <c r="L2311" i="4"/>
  <c r="N2311" i="4"/>
  <c r="O2311" i="4"/>
  <c r="R2311" i="4"/>
  <c r="S2311" i="4"/>
  <c r="T2311" i="4"/>
  <c r="V2311" i="4"/>
  <c r="W2311" i="4"/>
  <c r="Y2311" i="4"/>
  <c r="P2313" i="4"/>
  <c r="X2314" i="4"/>
  <c r="X2315" i="4"/>
  <c r="X2316" i="4"/>
  <c r="E2317" i="4"/>
  <c r="E2448" i="4" s="1"/>
  <c r="F2317" i="4"/>
  <c r="G2317" i="4"/>
  <c r="H2317" i="4"/>
  <c r="X2317" i="4" s="1"/>
  <c r="I2317" i="4"/>
  <c r="J2317" i="4"/>
  <c r="K2317" i="4"/>
  <c r="L2317" i="4"/>
  <c r="N2317" i="4"/>
  <c r="O2317" i="4"/>
  <c r="Q2317" i="4"/>
  <c r="R2317" i="4"/>
  <c r="S2317" i="4"/>
  <c r="T2317" i="4"/>
  <c r="V2317" i="4"/>
  <c r="W2317" i="4"/>
  <c r="Y2317" i="4"/>
  <c r="X2318" i="4"/>
  <c r="Z2318" i="4" s="1"/>
  <c r="X2319" i="4"/>
  <c r="Z2319" i="4" s="1"/>
  <c r="X2320" i="4"/>
  <c r="Z2320" i="4" s="1"/>
  <c r="F2321" i="4"/>
  <c r="G2321" i="4"/>
  <c r="I2321" i="4"/>
  <c r="K2321" i="4"/>
  <c r="L2321" i="4"/>
  <c r="N2321" i="4"/>
  <c r="O2321" i="4"/>
  <c r="R2321" i="4"/>
  <c r="S2321" i="4"/>
  <c r="T2321" i="4"/>
  <c r="V2321" i="4"/>
  <c r="W2321" i="4"/>
  <c r="Y2321" i="4"/>
  <c r="F2322" i="4"/>
  <c r="G2322" i="4"/>
  <c r="I2322" i="4"/>
  <c r="K2322" i="4"/>
  <c r="L2322" i="4"/>
  <c r="N2322" i="4"/>
  <c r="O2322" i="4"/>
  <c r="R2322" i="4"/>
  <c r="S2322" i="4"/>
  <c r="T2322" i="4"/>
  <c r="V2322" i="4"/>
  <c r="W2322" i="4"/>
  <c r="Y2322" i="4"/>
  <c r="E2323" i="4"/>
  <c r="F2323" i="4"/>
  <c r="G2323" i="4"/>
  <c r="I2323" i="4"/>
  <c r="K2323" i="4"/>
  <c r="L2323" i="4"/>
  <c r="N2323" i="4"/>
  <c r="O2323" i="4"/>
  <c r="R2323" i="4"/>
  <c r="S2323" i="4"/>
  <c r="T2323" i="4"/>
  <c r="V2323" i="4"/>
  <c r="W2323" i="4"/>
  <c r="Y2323" i="4"/>
  <c r="F2324" i="4"/>
  <c r="G2324" i="4"/>
  <c r="I2324" i="4"/>
  <c r="K2324" i="4"/>
  <c r="L2324" i="4"/>
  <c r="N2324" i="4"/>
  <c r="O2324" i="4"/>
  <c r="R2324" i="4"/>
  <c r="S2324" i="4"/>
  <c r="T2324" i="4"/>
  <c r="V2324" i="4"/>
  <c r="W2324" i="4"/>
  <c r="Y2324" i="4"/>
  <c r="F2325" i="4"/>
  <c r="G2325" i="4"/>
  <c r="I2325" i="4"/>
  <c r="K2325" i="4"/>
  <c r="L2325" i="4"/>
  <c r="N2325" i="4"/>
  <c r="O2325" i="4"/>
  <c r="R2325" i="4"/>
  <c r="S2325" i="4"/>
  <c r="T2325" i="4"/>
  <c r="V2325" i="4"/>
  <c r="W2325" i="4"/>
  <c r="Y2325" i="4"/>
  <c r="E2326" i="4"/>
  <c r="F2326" i="4"/>
  <c r="G2326" i="4"/>
  <c r="I2326" i="4"/>
  <c r="K2326" i="4"/>
  <c r="L2326" i="4"/>
  <c r="N2326" i="4"/>
  <c r="O2326" i="4"/>
  <c r="R2326" i="4"/>
  <c r="S2326" i="4"/>
  <c r="T2326" i="4"/>
  <c r="V2326" i="4"/>
  <c r="W2326" i="4"/>
  <c r="Y2326" i="4"/>
  <c r="E2327" i="4"/>
  <c r="F2327" i="4"/>
  <c r="G2327" i="4"/>
  <c r="I2327" i="4"/>
  <c r="K2327" i="4"/>
  <c r="L2327" i="4"/>
  <c r="N2327" i="4"/>
  <c r="O2327" i="4"/>
  <c r="R2327" i="4"/>
  <c r="S2327" i="4"/>
  <c r="T2327" i="4"/>
  <c r="V2327" i="4"/>
  <c r="W2327" i="4"/>
  <c r="Y2327" i="4"/>
  <c r="E2328" i="4"/>
  <c r="F2328" i="4"/>
  <c r="G2328" i="4"/>
  <c r="I2328" i="4"/>
  <c r="K2328" i="4"/>
  <c r="L2328" i="4"/>
  <c r="N2328" i="4"/>
  <c r="O2328" i="4"/>
  <c r="R2328" i="4"/>
  <c r="S2328" i="4"/>
  <c r="T2328" i="4"/>
  <c r="V2328" i="4"/>
  <c r="W2328" i="4"/>
  <c r="Y2328" i="4"/>
  <c r="G2329" i="4"/>
  <c r="I2329" i="4"/>
  <c r="K2329" i="4"/>
  <c r="L2329" i="4"/>
  <c r="N2329" i="4"/>
  <c r="O2329" i="4"/>
  <c r="R2329" i="4"/>
  <c r="S2329" i="4"/>
  <c r="T2329" i="4"/>
  <c r="V2329" i="4"/>
  <c r="W2329" i="4"/>
  <c r="Y2329" i="4"/>
  <c r="F2330" i="4"/>
  <c r="G2330" i="4"/>
  <c r="I2330" i="4"/>
  <c r="K2330" i="4"/>
  <c r="L2330" i="4"/>
  <c r="N2330" i="4"/>
  <c r="O2330" i="4"/>
  <c r="R2330" i="4"/>
  <c r="S2330" i="4"/>
  <c r="T2330" i="4"/>
  <c r="V2330" i="4"/>
  <c r="W2330" i="4"/>
  <c r="Y2330" i="4"/>
  <c r="E2331" i="4"/>
  <c r="G2331" i="4"/>
  <c r="I2331" i="4"/>
  <c r="K2331" i="4"/>
  <c r="L2331" i="4"/>
  <c r="N2331" i="4"/>
  <c r="O2331" i="4"/>
  <c r="R2331" i="4"/>
  <c r="S2331" i="4"/>
  <c r="T2331" i="4"/>
  <c r="V2331" i="4"/>
  <c r="W2331" i="4"/>
  <c r="Y2331" i="4"/>
  <c r="F2332" i="4"/>
  <c r="G2332" i="4"/>
  <c r="I2332" i="4"/>
  <c r="K2332" i="4"/>
  <c r="L2332" i="4"/>
  <c r="N2332" i="4"/>
  <c r="O2332" i="4"/>
  <c r="R2332" i="4"/>
  <c r="S2332" i="4"/>
  <c r="T2332" i="4"/>
  <c r="V2332" i="4"/>
  <c r="W2332" i="4"/>
  <c r="Y2332" i="4"/>
  <c r="G2333" i="4"/>
  <c r="I2333" i="4"/>
  <c r="K2333" i="4"/>
  <c r="L2333" i="4"/>
  <c r="N2333" i="4"/>
  <c r="O2333" i="4"/>
  <c r="R2333" i="4"/>
  <c r="S2333" i="4"/>
  <c r="T2333" i="4"/>
  <c r="V2333" i="4"/>
  <c r="W2333" i="4"/>
  <c r="Y2333" i="4"/>
  <c r="G2334" i="4"/>
  <c r="I2334" i="4"/>
  <c r="K2334" i="4"/>
  <c r="L2334" i="4"/>
  <c r="N2334" i="4"/>
  <c r="O2334" i="4"/>
  <c r="R2334" i="4"/>
  <c r="S2334" i="4"/>
  <c r="T2334" i="4"/>
  <c r="V2334" i="4"/>
  <c r="W2334" i="4"/>
  <c r="Y2334" i="4"/>
  <c r="G2335" i="4"/>
  <c r="I2335" i="4"/>
  <c r="K2335" i="4"/>
  <c r="L2335" i="4"/>
  <c r="N2335" i="4"/>
  <c r="O2335" i="4"/>
  <c r="R2335" i="4"/>
  <c r="S2335" i="4"/>
  <c r="T2335" i="4"/>
  <c r="V2335" i="4"/>
  <c r="W2335" i="4"/>
  <c r="Y2335" i="4"/>
  <c r="G2336" i="4"/>
  <c r="I2336" i="4"/>
  <c r="J2336" i="4"/>
  <c r="K2336" i="4"/>
  <c r="L2336" i="4"/>
  <c r="N2336" i="4"/>
  <c r="O2336" i="4"/>
  <c r="R2336" i="4"/>
  <c r="S2336" i="4"/>
  <c r="T2336" i="4"/>
  <c r="V2336" i="4"/>
  <c r="W2336" i="4"/>
  <c r="Y2336" i="4"/>
  <c r="E2337" i="4"/>
  <c r="G2337" i="4"/>
  <c r="I2337" i="4"/>
  <c r="K2337" i="4"/>
  <c r="L2337" i="4"/>
  <c r="N2337" i="4"/>
  <c r="O2337" i="4"/>
  <c r="R2337" i="4"/>
  <c r="S2337" i="4"/>
  <c r="T2337" i="4"/>
  <c r="V2337" i="4"/>
  <c r="W2337" i="4"/>
  <c r="Y2337" i="4"/>
  <c r="E2338" i="4"/>
  <c r="F2338" i="4"/>
  <c r="G2338" i="4"/>
  <c r="I2338" i="4"/>
  <c r="K2338" i="4"/>
  <c r="L2338" i="4"/>
  <c r="N2338" i="4"/>
  <c r="O2338" i="4"/>
  <c r="R2338" i="4"/>
  <c r="S2338" i="4"/>
  <c r="T2338" i="4"/>
  <c r="V2338" i="4"/>
  <c r="W2338" i="4"/>
  <c r="Y2338" i="4"/>
  <c r="E2339" i="4"/>
  <c r="F2339" i="4"/>
  <c r="G2339" i="4"/>
  <c r="I2339" i="4"/>
  <c r="K2339" i="4"/>
  <c r="L2339" i="4"/>
  <c r="N2339" i="4"/>
  <c r="O2339" i="4"/>
  <c r="R2339" i="4"/>
  <c r="S2339" i="4"/>
  <c r="T2339" i="4"/>
  <c r="V2339" i="4"/>
  <c r="W2339" i="4"/>
  <c r="Y2339" i="4"/>
  <c r="X2340" i="4"/>
  <c r="Z2340" i="4" s="1"/>
  <c r="P2341" i="4"/>
  <c r="X2342" i="4"/>
  <c r="Z2342" i="4" s="1"/>
  <c r="X2343" i="4"/>
  <c r="Z2343" i="4" s="1"/>
  <c r="F2344" i="4"/>
  <c r="G2344" i="4"/>
  <c r="I2344" i="4"/>
  <c r="L2344" i="4"/>
  <c r="N2344" i="4"/>
  <c r="O2344" i="4"/>
  <c r="R2344" i="4"/>
  <c r="S2344" i="4"/>
  <c r="T2344" i="4"/>
  <c r="V2344" i="4"/>
  <c r="W2344" i="4"/>
  <c r="Y2344" i="4"/>
  <c r="G2345" i="4"/>
  <c r="I2345" i="4"/>
  <c r="K2345" i="4"/>
  <c r="L2345" i="4"/>
  <c r="N2345" i="4"/>
  <c r="O2345" i="4"/>
  <c r="R2345" i="4"/>
  <c r="S2345" i="4"/>
  <c r="T2345" i="4"/>
  <c r="V2345" i="4"/>
  <c r="W2345" i="4"/>
  <c r="Y2345" i="4"/>
  <c r="E2346" i="4"/>
  <c r="F2346" i="4"/>
  <c r="G2346" i="4"/>
  <c r="I2346" i="4"/>
  <c r="K2346" i="4"/>
  <c r="L2346" i="4"/>
  <c r="N2346" i="4"/>
  <c r="O2346" i="4"/>
  <c r="R2346" i="4"/>
  <c r="S2346" i="4"/>
  <c r="T2346" i="4"/>
  <c r="V2346" i="4"/>
  <c r="W2346" i="4"/>
  <c r="Y2346" i="4"/>
  <c r="E2347" i="4"/>
  <c r="F2347" i="4"/>
  <c r="G2347" i="4"/>
  <c r="I2347" i="4"/>
  <c r="K2347" i="4"/>
  <c r="L2347" i="4"/>
  <c r="N2347" i="4"/>
  <c r="O2347" i="4"/>
  <c r="R2347" i="4"/>
  <c r="S2347" i="4"/>
  <c r="T2347" i="4"/>
  <c r="V2347" i="4"/>
  <c r="W2347" i="4"/>
  <c r="Y2347" i="4"/>
  <c r="G2348" i="4"/>
  <c r="I2348" i="4"/>
  <c r="K2348" i="4"/>
  <c r="L2348" i="4"/>
  <c r="N2348" i="4"/>
  <c r="O2348" i="4"/>
  <c r="R2348" i="4"/>
  <c r="S2348" i="4"/>
  <c r="T2348" i="4"/>
  <c r="V2348" i="4"/>
  <c r="W2348" i="4"/>
  <c r="Y2348" i="4"/>
  <c r="E2349" i="4"/>
  <c r="F2349" i="4"/>
  <c r="G2349" i="4"/>
  <c r="I2349" i="4"/>
  <c r="K2349" i="4"/>
  <c r="L2349" i="4"/>
  <c r="N2349" i="4"/>
  <c r="O2349" i="4"/>
  <c r="R2349" i="4"/>
  <c r="S2349" i="4"/>
  <c r="T2349" i="4"/>
  <c r="V2349" i="4"/>
  <c r="W2349" i="4"/>
  <c r="Y2349" i="4"/>
  <c r="E2350" i="4"/>
  <c r="F2350" i="4"/>
  <c r="G2350" i="4"/>
  <c r="I2350" i="4"/>
  <c r="K2350" i="4"/>
  <c r="L2350" i="4"/>
  <c r="N2350" i="4"/>
  <c r="O2350" i="4"/>
  <c r="R2350" i="4"/>
  <c r="S2350" i="4"/>
  <c r="T2350" i="4"/>
  <c r="V2350" i="4"/>
  <c r="W2350" i="4"/>
  <c r="Y2350" i="4"/>
  <c r="E2351" i="4"/>
  <c r="F2351" i="4"/>
  <c r="G2351" i="4"/>
  <c r="I2351" i="4"/>
  <c r="K2351" i="4"/>
  <c r="L2351" i="4"/>
  <c r="N2351" i="4"/>
  <c r="O2351" i="4"/>
  <c r="R2351" i="4"/>
  <c r="S2351" i="4"/>
  <c r="T2351" i="4"/>
  <c r="V2351" i="4"/>
  <c r="W2351" i="4"/>
  <c r="Y2351" i="4"/>
  <c r="F2352" i="4"/>
  <c r="G2352" i="4"/>
  <c r="I2352" i="4"/>
  <c r="K2352" i="4"/>
  <c r="L2352" i="4"/>
  <c r="N2352" i="4"/>
  <c r="O2352" i="4"/>
  <c r="R2352" i="4"/>
  <c r="S2352" i="4"/>
  <c r="T2352" i="4"/>
  <c r="V2352" i="4"/>
  <c r="W2352" i="4"/>
  <c r="Y2352" i="4"/>
  <c r="G2353" i="4"/>
  <c r="I2353" i="4"/>
  <c r="K2353" i="4"/>
  <c r="L2353" i="4"/>
  <c r="N2353" i="4"/>
  <c r="O2353" i="4"/>
  <c r="R2353" i="4"/>
  <c r="S2353" i="4"/>
  <c r="T2353" i="4"/>
  <c r="V2353" i="4"/>
  <c r="W2353" i="4"/>
  <c r="Y2353" i="4"/>
  <c r="G2354" i="4"/>
  <c r="I2354" i="4"/>
  <c r="K2354" i="4"/>
  <c r="L2354" i="4"/>
  <c r="N2354" i="4"/>
  <c r="O2354" i="4"/>
  <c r="R2354" i="4"/>
  <c r="S2354" i="4"/>
  <c r="T2354" i="4"/>
  <c r="V2354" i="4"/>
  <c r="W2354" i="4"/>
  <c r="Y2354" i="4"/>
  <c r="E2355" i="4"/>
  <c r="F2355" i="4"/>
  <c r="G2355" i="4"/>
  <c r="I2355" i="4"/>
  <c r="K2355" i="4"/>
  <c r="L2355" i="4"/>
  <c r="N2355" i="4"/>
  <c r="O2355" i="4"/>
  <c r="R2355" i="4"/>
  <c r="S2355" i="4"/>
  <c r="T2355" i="4"/>
  <c r="V2355" i="4"/>
  <c r="W2355" i="4"/>
  <c r="Y2355" i="4"/>
  <c r="E2356" i="4"/>
  <c r="F2356" i="4"/>
  <c r="G2356" i="4"/>
  <c r="I2356" i="4"/>
  <c r="K2356" i="4"/>
  <c r="L2356" i="4"/>
  <c r="N2356" i="4"/>
  <c r="O2356" i="4"/>
  <c r="R2356" i="4"/>
  <c r="S2356" i="4"/>
  <c r="T2356" i="4"/>
  <c r="V2356" i="4"/>
  <c r="W2356" i="4"/>
  <c r="Y2356" i="4"/>
  <c r="E2357" i="4"/>
  <c r="F2357" i="4"/>
  <c r="G2357" i="4"/>
  <c r="I2357" i="4"/>
  <c r="K2357" i="4"/>
  <c r="L2357" i="4"/>
  <c r="N2357" i="4"/>
  <c r="O2357" i="4"/>
  <c r="Q2357" i="4"/>
  <c r="R2357" i="4"/>
  <c r="S2357" i="4"/>
  <c r="T2357" i="4"/>
  <c r="V2357" i="4"/>
  <c r="W2357" i="4"/>
  <c r="Y2357" i="4"/>
  <c r="E2358" i="4"/>
  <c r="F2358" i="4"/>
  <c r="G2358" i="4"/>
  <c r="I2358" i="4"/>
  <c r="K2358" i="4"/>
  <c r="L2358" i="4"/>
  <c r="N2358" i="4"/>
  <c r="O2358" i="4"/>
  <c r="Q2358" i="4"/>
  <c r="R2358" i="4"/>
  <c r="S2358" i="4"/>
  <c r="T2358" i="4"/>
  <c r="V2358" i="4"/>
  <c r="W2358" i="4"/>
  <c r="Y2358" i="4"/>
  <c r="E2359" i="4"/>
  <c r="F2359" i="4"/>
  <c r="G2359" i="4"/>
  <c r="I2359" i="4"/>
  <c r="K2359" i="4"/>
  <c r="L2359" i="4"/>
  <c r="N2359" i="4"/>
  <c r="O2359" i="4"/>
  <c r="Q2359" i="4"/>
  <c r="R2359" i="4"/>
  <c r="S2359" i="4"/>
  <c r="T2359" i="4"/>
  <c r="V2359" i="4"/>
  <c r="W2359" i="4"/>
  <c r="Y2359" i="4"/>
  <c r="E2360" i="4"/>
  <c r="G2360" i="4"/>
  <c r="I2360" i="4"/>
  <c r="K2360" i="4"/>
  <c r="L2360" i="4"/>
  <c r="N2360" i="4"/>
  <c r="O2360" i="4"/>
  <c r="R2360" i="4"/>
  <c r="S2360" i="4"/>
  <c r="T2360" i="4"/>
  <c r="V2360" i="4"/>
  <c r="W2360" i="4"/>
  <c r="Y2360" i="4"/>
  <c r="E2361" i="4"/>
  <c r="F2361" i="4"/>
  <c r="G2361" i="4"/>
  <c r="I2361" i="4"/>
  <c r="K2361" i="4"/>
  <c r="L2361" i="4"/>
  <c r="N2361" i="4"/>
  <c r="O2361" i="4"/>
  <c r="R2361" i="4"/>
  <c r="S2361" i="4"/>
  <c r="T2361" i="4"/>
  <c r="V2361" i="4"/>
  <c r="W2361" i="4"/>
  <c r="Y2361" i="4"/>
  <c r="F2362" i="4"/>
  <c r="G2362" i="4"/>
  <c r="I2362" i="4"/>
  <c r="K2362" i="4"/>
  <c r="L2362" i="4"/>
  <c r="N2362" i="4"/>
  <c r="O2362" i="4"/>
  <c r="R2362" i="4"/>
  <c r="S2362" i="4"/>
  <c r="T2362" i="4"/>
  <c r="V2362" i="4"/>
  <c r="W2362" i="4"/>
  <c r="Y2362" i="4"/>
  <c r="E2363" i="4"/>
  <c r="F2363" i="4"/>
  <c r="G2363" i="4"/>
  <c r="I2363" i="4"/>
  <c r="J2363" i="4"/>
  <c r="K2363" i="4"/>
  <c r="L2363" i="4"/>
  <c r="N2363" i="4"/>
  <c r="O2363" i="4"/>
  <c r="Q2363" i="4"/>
  <c r="R2363" i="4"/>
  <c r="S2363" i="4"/>
  <c r="T2363" i="4"/>
  <c r="V2363" i="4"/>
  <c r="W2363" i="4"/>
  <c r="Y2363" i="4"/>
  <c r="F2364" i="4"/>
  <c r="G2364" i="4"/>
  <c r="I2364" i="4"/>
  <c r="K2364" i="4"/>
  <c r="L2364" i="4"/>
  <c r="N2364" i="4"/>
  <c r="O2364" i="4"/>
  <c r="R2364" i="4"/>
  <c r="S2364" i="4"/>
  <c r="T2364" i="4"/>
  <c r="V2364" i="4"/>
  <c r="W2364" i="4"/>
  <c r="Y2364" i="4"/>
  <c r="X2365" i="4"/>
  <c r="Z2365" i="4" s="1"/>
  <c r="P2366" i="4"/>
  <c r="X2367" i="4"/>
  <c r="Z2367" i="4" s="1"/>
  <c r="X2368" i="4"/>
  <c r="Z2368" i="4" s="1"/>
  <c r="F2369" i="4"/>
  <c r="G2369" i="4"/>
  <c r="I2369" i="4"/>
  <c r="K2369" i="4"/>
  <c r="L2369" i="4"/>
  <c r="N2369" i="4"/>
  <c r="O2369" i="4"/>
  <c r="R2369" i="4"/>
  <c r="S2369" i="4"/>
  <c r="T2369" i="4"/>
  <c r="V2369" i="4"/>
  <c r="W2369" i="4"/>
  <c r="Y2369" i="4"/>
  <c r="F2370" i="4"/>
  <c r="G2370" i="4"/>
  <c r="I2370" i="4"/>
  <c r="K2370" i="4"/>
  <c r="L2370" i="4"/>
  <c r="N2370" i="4"/>
  <c r="O2370" i="4"/>
  <c r="R2370" i="4"/>
  <c r="S2370" i="4"/>
  <c r="T2370" i="4"/>
  <c r="V2370" i="4"/>
  <c r="W2370" i="4"/>
  <c r="Y2370" i="4"/>
  <c r="E2371" i="4"/>
  <c r="F2371" i="4"/>
  <c r="G2371" i="4"/>
  <c r="I2371" i="4"/>
  <c r="K2371" i="4"/>
  <c r="L2371" i="4"/>
  <c r="N2371" i="4"/>
  <c r="O2371" i="4"/>
  <c r="R2371" i="4"/>
  <c r="S2371" i="4"/>
  <c r="T2371" i="4"/>
  <c r="V2371" i="4"/>
  <c r="W2371" i="4"/>
  <c r="Y2371" i="4"/>
  <c r="E2372" i="4"/>
  <c r="F2372" i="4"/>
  <c r="G2372" i="4"/>
  <c r="I2372" i="4"/>
  <c r="K2372" i="4"/>
  <c r="L2372" i="4"/>
  <c r="N2372" i="4"/>
  <c r="O2372" i="4"/>
  <c r="R2372" i="4"/>
  <c r="S2372" i="4"/>
  <c r="T2372" i="4"/>
  <c r="V2372" i="4"/>
  <c r="W2372" i="4"/>
  <c r="Y2372" i="4"/>
  <c r="F2373" i="4"/>
  <c r="G2373" i="4"/>
  <c r="I2373" i="4"/>
  <c r="K2373" i="4"/>
  <c r="L2373" i="4"/>
  <c r="N2373" i="4"/>
  <c r="O2373" i="4"/>
  <c r="R2373" i="4"/>
  <c r="S2373" i="4"/>
  <c r="T2373" i="4"/>
  <c r="V2373" i="4"/>
  <c r="W2373" i="4"/>
  <c r="Y2373" i="4"/>
  <c r="F2374" i="4"/>
  <c r="G2374" i="4"/>
  <c r="I2374" i="4"/>
  <c r="K2374" i="4"/>
  <c r="L2374" i="4"/>
  <c r="N2374" i="4"/>
  <c r="O2374" i="4"/>
  <c r="R2374" i="4"/>
  <c r="S2374" i="4"/>
  <c r="T2374" i="4"/>
  <c r="V2374" i="4"/>
  <c r="W2374" i="4"/>
  <c r="Y2374" i="4"/>
  <c r="F2375" i="4"/>
  <c r="G2375" i="4"/>
  <c r="I2375" i="4"/>
  <c r="K2375" i="4"/>
  <c r="L2375" i="4"/>
  <c r="N2375" i="4"/>
  <c r="O2375" i="4"/>
  <c r="R2375" i="4"/>
  <c r="S2375" i="4"/>
  <c r="T2375" i="4"/>
  <c r="V2375" i="4"/>
  <c r="W2375" i="4"/>
  <c r="Y2375" i="4"/>
  <c r="E2376" i="4"/>
  <c r="F2376" i="4"/>
  <c r="G2376" i="4"/>
  <c r="I2376" i="4"/>
  <c r="K2376" i="4"/>
  <c r="L2376" i="4"/>
  <c r="N2376" i="4"/>
  <c r="O2376" i="4"/>
  <c r="R2376" i="4"/>
  <c r="S2376" i="4"/>
  <c r="T2376" i="4"/>
  <c r="V2376" i="4"/>
  <c r="W2376" i="4"/>
  <c r="Y2376" i="4"/>
  <c r="E2377" i="4"/>
  <c r="F2377" i="4"/>
  <c r="G2377" i="4"/>
  <c r="I2377" i="4"/>
  <c r="K2377" i="4"/>
  <c r="L2377" i="4"/>
  <c r="N2377" i="4"/>
  <c r="O2377" i="4"/>
  <c r="R2377" i="4"/>
  <c r="S2377" i="4"/>
  <c r="T2377" i="4"/>
  <c r="V2377" i="4"/>
  <c r="W2377" i="4"/>
  <c r="Y2377" i="4"/>
  <c r="E2378" i="4"/>
  <c r="F2378" i="4"/>
  <c r="G2378" i="4"/>
  <c r="I2378" i="4"/>
  <c r="K2378" i="4"/>
  <c r="L2378" i="4"/>
  <c r="N2378" i="4"/>
  <c r="O2378" i="4"/>
  <c r="R2378" i="4"/>
  <c r="S2378" i="4"/>
  <c r="T2378" i="4"/>
  <c r="V2378" i="4"/>
  <c r="W2378" i="4"/>
  <c r="Y2378" i="4"/>
  <c r="E2379" i="4"/>
  <c r="F2379" i="4"/>
  <c r="G2379" i="4"/>
  <c r="I2379" i="4"/>
  <c r="K2379" i="4"/>
  <c r="L2379" i="4"/>
  <c r="N2379" i="4"/>
  <c r="O2379" i="4"/>
  <c r="R2379" i="4"/>
  <c r="S2379" i="4"/>
  <c r="T2379" i="4"/>
  <c r="V2379" i="4"/>
  <c r="W2379" i="4"/>
  <c r="Y2379" i="4"/>
  <c r="E2380" i="4"/>
  <c r="F2380" i="4"/>
  <c r="G2380" i="4"/>
  <c r="I2380" i="4"/>
  <c r="K2380" i="4"/>
  <c r="L2380" i="4"/>
  <c r="N2380" i="4"/>
  <c r="O2380" i="4"/>
  <c r="R2380" i="4"/>
  <c r="S2380" i="4"/>
  <c r="T2380" i="4"/>
  <c r="V2380" i="4"/>
  <c r="W2380" i="4"/>
  <c r="Y2380" i="4"/>
  <c r="X2381" i="4"/>
  <c r="Z2381" i="4" s="1"/>
  <c r="P2382" i="4"/>
  <c r="X2382" i="4" s="1"/>
  <c r="Z2382" i="4" s="1"/>
  <c r="X2383" i="4"/>
  <c r="Z2383" i="4" s="1"/>
  <c r="X2384" i="4"/>
  <c r="Z2384" i="4" s="1"/>
  <c r="E2385" i="4"/>
  <c r="G2385" i="4"/>
  <c r="I2385" i="4"/>
  <c r="K2385" i="4"/>
  <c r="L2385" i="4"/>
  <c r="N2385" i="4"/>
  <c r="O2385" i="4"/>
  <c r="R2385" i="4"/>
  <c r="S2385" i="4"/>
  <c r="T2385" i="4"/>
  <c r="V2385" i="4"/>
  <c r="W2385" i="4"/>
  <c r="Y2385" i="4"/>
  <c r="E2386" i="4"/>
  <c r="F2386" i="4"/>
  <c r="G2386" i="4"/>
  <c r="I2386" i="4"/>
  <c r="K2386" i="4"/>
  <c r="L2386" i="4"/>
  <c r="N2386" i="4"/>
  <c r="O2386" i="4"/>
  <c r="R2386" i="4"/>
  <c r="S2386" i="4"/>
  <c r="T2386" i="4"/>
  <c r="V2386" i="4"/>
  <c r="W2386" i="4"/>
  <c r="Y2386" i="4"/>
  <c r="E2387" i="4"/>
  <c r="F2387" i="4"/>
  <c r="G2387" i="4"/>
  <c r="I2387" i="4"/>
  <c r="K2387" i="4"/>
  <c r="L2387" i="4"/>
  <c r="N2387" i="4"/>
  <c r="O2387" i="4"/>
  <c r="R2387" i="4"/>
  <c r="S2387" i="4"/>
  <c r="T2387" i="4"/>
  <c r="V2387" i="4"/>
  <c r="W2387" i="4"/>
  <c r="Y2387" i="4"/>
  <c r="E2388" i="4"/>
  <c r="F2388" i="4"/>
  <c r="G2388" i="4"/>
  <c r="I2388" i="4"/>
  <c r="K2388" i="4"/>
  <c r="L2388" i="4"/>
  <c r="N2388" i="4"/>
  <c r="O2388" i="4"/>
  <c r="R2388" i="4"/>
  <c r="S2388" i="4"/>
  <c r="T2388" i="4"/>
  <c r="V2388" i="4"/>
  <c r="W2388" i="4"/>
  <c r="Y2388" i="4"/>
  <c r="F2389" i="4"/>
  <c r="G2389" i="4"/>
  <c r="I2389" i="4"/>
  <c r="K2389" i="4"/>
  <c r="L2389" i="4"/>
  <c r="N2389" i="4"/>
  <c r="O2389" i="4"/>
  <c r="R2389" i="4"/>
  <c r="S2389" i="4"/>
  <c r="T2389" i="4"/>
  <c r="V2389" i="4"/>
  <c r="W2389" i="4"/>
  <c r="Y2389" i="4"/>
  <c r="F2390" i="4"/>
  <c r="G2390" i="4"/>
  <c r="I2390" i="4"/>
  <c r="L2390" i="4"/>
  <c r="N2390" i="4"/>
  <c r="O2390" i="4"/>
  <c r="R2390" i="4"/>
  <c r="S2390" i="4"/>
  <c r="T2390" i="4"/>
  <c r="V2390" i="4"/>
  <c r="W2390" i="4"/>
  <c r="Y2390" i="4"/>
  <c r="E2391" i="4"/>
  <c r="F2391" i="4"/>
  <c r="G2391" i="4"/>
  <c r="I2391" i="4"/>
  <c r="K2391" i="4"/>
  <c r="L2391" i="4"/>
  <c r="N2391" i="4"/>
  <c r="O2391" i="4"/>
  <c r="R2391" i="4"/>
  <c r="S2391" i="4"/>
  <c r="T2391" i="4"/>
  <c r="V2391" i="4"/>
  <c r="W2391" i="4"/>
  <c r="Y2391" i="4"/>
  <c r="G2392" i="4"/>
  <c r="I2392" i="4"/>
  <c r="K2392" i="4"/>
  <c r="L2392" i="4"/>
  <c r="N2392" i="4"/>
  <c r="O2392" i="4"/>
  <c r="R2392" i="4"/>
  <c r="S2392" i="4"/>
  <c r="T2392" i="4"/>
  <c r="V2392" i="4"/>
  <c r="W2392" i="4"/>
  <c r="Y2392" i="4"/>
  <c r="F2393" i="4"/>
  <c r="G2393" i="4"/>
  <c r="I2393" i="4"/>
  <c r="K2393" i="4"/>
  <c r="L2393" i="4"/>
  <c r="N2393" i="4"/>
  <c r="O2393" i="4"/>
  <c r="R2393" i="4"/>
  <c r="S2393" i="4"/>
  <c r="T2393" i="4"/>
  <c r="V2393" i="4"/>
  <c r="W2393" i="4"/>
  <c r="Y2393" i="4"/>
  <c r="G2394" i="4"/>
  <c r="I2394" i="4"/>
  <c r="K2394" i="4"/>
  <c r="L2394" i="4"/>
  <c r="N2394" i="4"/>
  <c r="O2394" i="4"/>
  <c r="R2394" i="4"/>
  <c r="S2394" i="4"/>
  <c r="T2394" i="4"/>
  <c r="V2394" i="4"/>
  <c r="W2394" i="4"/>
  <c r="Y2394" i="4"/>
  <c r="E2395" i="4"/>
  <c r="F2395" i="4"/>
  <c r="G2395" i="4"/>
  <c r="I2395" i="4"/>
  <c r="K2395" i="4"/>
  <c r="L2395" i="4"/>
  <c r="N2395" i="4"/>
  <c r="O2395" i="4"/>
  <c r="R2395" i="4"/>
  <c r="S2395" i="4"/>
  <c r="T2395" i="4"/>
  <c r="V2395" i="4"/>
  <c r="W2395" i="4"/>
  <c r="Y2395" i="4"/>
  <c r="E2396" i="4"/>
  <c r="F2396" i="4"/>
  <c r="G2396" i="4"/>
  <c r="I2396" i="4"/>
  <c r="K2396" i="4"/>
  <c r="L2396" i="4"/>
  <c r="N2396" i="4"/>
  <c r="O2396" i="4"/>
  <c r="R2396" i="4"/>
  <c r="S2396" i="4"/>
  <c r="T2396" i="4"/>
  <c r="V2396" i="4"/>
  <c r="W2396" i="4"/>
  <c r="Y2396" i="4"/>
  <c r="E2397" i="4"/>
  <c r="F2397" i="4"/>
  <c r="G2397" i="4"/>
  <c r="I2397" i="4"/>
  <c r="K2397" i="4"/>
  <c r="L2397" i="4"/>
  <c r="N2397" i="4"/>
  <c r="O2397" i="4"/>
  <c r="R2397" i="4"/>
  <c r="S2397" i="4"/>
  <c r="T2397" i="4"/>
  <c r="V2397" i="4"/>
  <c r="W2397" i="4"/>
  <c r="Y2397" i="4"/>
  <c r="E2398" i="4"/>
  <c r="F2398" i="4"/>
  <c r="G2398" i="4"/>
  <c r="I2398" i="4"/>
  <c r="K2398" i="4"/>
  <c r="L2398" i="4"/>
  <c r="N2398" i="4"/>
  <c r="O2398" i="4"/>
  <c r="R2398" i="4"/>
  <c r="S2398" i="4"/>
  <c r="T2398" i="4"/>
  <c r="V2398" i="4"/>
  <c r="W2398" i="4"/>
  <c r="Y2398" i="4"/>
  <c r="E2399" i="4"/>
  <c r="F2399" i="4"/>
  <c r="G2399" i="4"/>
  <c r="I2399" i="4"/>
  <c r="K2399" i="4"/>
  <c r="L2399" i="4"/>
  <c r="N2399" i="4"/>
  <c r="O2399" i="4"/>
  <c r="R2399" i="4"/>
  <c r="S2399" i="4"/>
  <c r="T2399" i="4"/>
  <c r="V2399" i="4"/>
  <c r="W2399" i="4"/>
  <c r="Y2399" i="4"/>
  <c r="E2400" i="4"/>
  <c r="F2400" i="4"/>
  <c r="G2400" i="4"/>
  <c r="I2400" i="4"/>
  <c r="K2400" i="4"/>
  <c r="L2400" i="4"/>
  <c r="N2400" i="4"/>
  <c r="O2400" i="4"/>
  <c r="R2400" i="4"/>
  <c r="S2400" i="4"/>
  <c r="T2400" i="4"/>
  <c r="V2400" i="4"/>
  <c r="W2400" i="4"/>
  <c r="Y2400" i="4"/>
  <c r="E2401" i="4"/>
  <c r="F2401" i="4"/>
  <c r="G2401" i="4"/>
  <c r="I2401" i="4"/>
  <c r="K2401" i="4"/>
  <c r="L2401" i="4"/>
  <c r="N2401" i="4"/>
  <c r="O2401" i="4"/>
  <c r="R2401" i="4"/>
  <c r="S2401" i="4"/>
  <c r="T2401" i="4"/>
  <c r="V2401" i="4"/>
  <c r="W2401" i="4"/>
  <c r="Y2401" i="4"/>
  <c r="E2402" i="4"/>
  <c r="F2402" i="4"/>
  <c r="G2402" i="4"/>
  <c r="I2402" i="4"/>
  <c r="J2402" i="4"/>
  <c r="K2402" i="4"/>
  <c r="L2402" i="4"/>
  <c r="N2402" i="4"/>
  <c r="O2402" i="4"/>
  <c r="R2402" i="4"/>
  <c r="S2402" i="4"/>
  <c r="T2402" i="4"/>
  <c r="V2402" i="4"/>
  <c r="W2402" i="4"/>
  <c r="Y2402" i="4"/>
  <c r="E2403" i="4"/>
  <c r="F2403" i="4"/>
  <c r="G2403" i="4"/>
  <c r="I2403" i="4"/>
  <c r="J2403" i="4"/>
  <c r="K2403" i="4"/>
  <c r="L2403" i="4"/>
  <c r="N2403" i="4"/>
  <c r="O2403" i="4"/>
  <c r="R2403" i="4"/>
  <c r="S2403" i="4"/>
  <c r="T2403" i="4"/>
  <c r="V2403" i="4"/>
  <c r="W2403" i="4"/>
  <c r="Y2403" i="4"/>
  <c r="G2404" i="4"/>
  <c r="I2404" i="4"/>
  <c r="J2404" i="4"/>
  <c r="K2404" i="4"/>
  <c r="L2404" i="4"/>
  <c r="N2404" i="4"/>
  <c r="O2404" i="4"/>
  <c r="P2404" i="4"/>
  <c r="Q2404" i="4"/>
  <c r="R2404" i="4"/>
  <c r="S2404" i="4"/>
  <c r="T2404" i="4"/>
  <c r="V2404" i="4"/>
  <c r="W2404" i="4"/>
  <c r="Y2404" i="4"/>
  <c r="E2405" i="4"/>
  <c r="F2405" i="4"/>
  <c r="G2405" i="4"/>
  <c r="I2405" i="4"/>
  <c r="K2405" i="4"/>
  <c r="L2405" i="4"/>
  <c r="N2405" i="4"/>
  <c r="O2405" i="4"/>
  <c r="R2405" i="4"/>
  <c r="S2405" i="4"/>
  <c r="T2405" i="4"/>
  <c r="V2405" i="4"/>
  <c r="W2405" i="4"/>
  <c r="Y2405" i="4"/>
  <c r="G2406" i="4"/>
  <c r="I2406" i="4"/>
  <c r="K2406" i="4"/>
  <c r="L2406" i="4"/>
  <c r="N2406" i="4"/>
  <c r="O2406" i="4"/>
  <c r="R2406" i="4"/>
  <c r="S2406" i="4"/>
  <c r="T2406" i="4"/>
  <c r="V2406" i="4"/>
  <c r="W2406" i="4"/>
  <c r="Y2406" i="4"/>
  <c r="E2407" i="4"/>
  <c r="F2407" i="4"/>
  <c r="G2407" i="4"/>
  <c r="I2407" i="4"/>
  <c r="K2407" i="4"/>
  <c r="L2407" i="4"/>
  <c r="N2407" i="4"/>
  <c r="O2407" i="4"/>
  <c r="R2407" i="4"/>
  <c r="S2407" i="4"/>
  <c r="T2407" i="4"/>
  <c r="V2407" i="4"/>
  <c r="W2407" i="4"/>
  <c r="Y2407" i="4"/>
  <c r="E2408" i="4"/>
  <c r="F2408" i="4"/>
  <c r="G2408" i="4"/>
  <c r="I2408" i="4"/>
  <c r="K2408" i="4"/>
  <c r="L2408" i="4"/>
  <c r="N2408" i="4"/>
  <c r="O2408" i="4"/>
  <c r="R2408" i="4"/>
  <c r="S2408" i="4"/>
  <c r="T2408" i="4"/>
  <c r="V2408" i="4"/>
  <c r="W2408" i="4"/>
  <c r="Y2408" i="4"/>
  <c r="X2409" i="4"/>
  <c r="Z2409" i="4" s="1"/>
  <c r="P2410" i="4"/>
  <c r="X2410" i="4" s="1"/>
  <c r="Z2410" i="4" s="1"/>
  <c r="X2411" i="4"/>
  <c r="Z2411" i="4" s="1"/>
  <c r="X2412" i="4"/>
  <c r="Z2412" i="4" s="1"/>
  <c r="E2413" i="4"/>
  <c r="F2413" i="4"/>
  <c r="G2413" i="4"/>
  <c r="I2413" i="4"/>
  <c r="K2413" i="4"/>
  <c r="L2413" i="4"/>
  <c r="N2413" i="4"/>
  <c r="O2413" i="4"/>
  <c r="R2413" i="4"/>
  <c r="S2413" i="4"/>
  <c r="T2413" i="4"/>
  <c r="V2413" i="4"/>
  <c r="W2413" i="4"/>
  <c r="Y2413" i="4"/>
  <c r="E2414" i="4"/>
  <c r="F2414" i="4"/>
  <c r="G2414" i="4"/>
  <c r="H2414" i="4"/>
  <c r="I2414" i="4"/>
  <c r="J2414" i="4"/>
  <c r="K2414" i="4"/>
  <c r="L2414" i="4"/>
  <c r="M2414" i="4"/>
  <c r="N2414" i="4"/>
  <c r="O2414" i="4"/>
  <c r="Q2414" i="4"/>
  <c r="R2414" i="4"/>
  <c r="S2414" i="4"/>
  <c r="T2414" i="4"/>
  <c r="V2414" i="4"/>
  <c r="W2414" i="4"/>
  <c r="Y2414" i="4"/>
  <c r="E2415" i="4"/>
  <c r="F2415" i="4"/>
  <c r="G2415" i="4"/>
  <c r="I2415" i="4"/>
  <c r="K2415" i="4"/>
  <c r="L2415" i="4"/>
  <c r="N2415" i="4"/>
  <c r="O2415" i="4"/>
  <c r="R2415" i="4"/>
  <c r="S2415" i="4"/>
  <c r="T2415" i="4"/>
  <c r="V2415" i="4"/>
  <c r="W2415" i="4"/>
  <c r="Y2415" i="4"/>
  <c r="E2416" i="4"/>
  <c r="F2416" i="4"/>
  <c r="G2416" i="4"/>
  <c r="I2416" i="4"/>
  <c r="K2416" i="4"/>
  <c r="L2416" i="4"/>
  <c r="N2416" i="4"/>
  <c r="O2416" i="4"/>
  <c r="R2416" i="4"/>
  <c r="S2416" i="4"/>
  <c r="T2416" i="4"/>
  <c r="V2416" i="4"/>
  <c r="W2416" i="4"/>
  <c r="Y2416" i="4"/>
  <c r="E2417" i="4"/>
  <c r="F2417" i="4"/>
  <c r="G2417" i="4"/>
  <c r="I2417" i="4"/>
  <c r="K2417" i="4"/>
  <c r="L2417" i="4"/>
  <c r="N2417" i="4"/>
  <c r="O2417" i="4"/>
  <c r="R2417" i="4"/>
  <c r="S2417" i="4"/>
  <c r="T2417" i="4"/>
  <c r="V2417" i="4"/>
  <c r="W2417" i="4"/>
  <c r="Y2417" i="4"/>
  <c r="E2418" i="4"/>
  <c r="F2418" i="4"/>
  <c r="G2418" i="4"/>
  <c r="I2418" i="4"/>
  <c r="K2418" i="4"/>
  <c r="L2418" i="4"/>
  <c r="N2418" i="4"/>
  <c r="O2418" i="4"/>
  <c r="R2418" i="4"/>
  <c r="S2418" i="4"/>
  <c r="T2418" i="4"/>
  <c r="V2418" i="4"/>
  <c r="W2418" i="4"/>
  <c r="Y2418" i="4"/>
  <c r="E2419" i="4"/>
  <c r="F2419" i="4"/>
  <c r="G2419" i="4"/>
  <c r="I2419" i="4"/>
  <c r="K2419" i="4"/>
  <c r="L2419" i="4"/>
  <c r="N2419" i="4"/>
  <c r="O2419" i="4"/>
  <c r="R2419" i="4"/>
  <c r="S2419" i="4"/>
  <c r="T2419" i="4"/>
  <c r="V2419" i="4"/>
  <c r="W2419" i="4"/>
  <c r="Y2419" i="4"/>
  <c r="E2420" i="4"/>
  <c r="F2420" i="4"/>
  <c r="G2420" i="4"/>
  <c r="I2420" i="4"/>
  <c r="K2420" i="4"/>
  <c r="L2420" i="4"/>
  <c r="N2420" i="4"/>
  <c r="O2420" i="4"/>
  <c r="R2420" i="4"/>
  <c r="S2420" i="4"/>
  <c r="T2420" i="4"/>
  <c r="V2420" i="4"/>
  <c r="W2420" i="4"/>
  <c r="Y2420" i="4"/>
  <c r="E2421" i="4"/>
  <c r="F2421" i="4"/>
  <c r="G2421" i="4"/>
  <c r="I2421" i="4"/>
  <c r="K2421" i="4"/>
  <c r="L2421" i="4"/>
  <c r="N2421" i="4"/>
  <c r="O2421" i="4"/>
  <c r="R2421" i="4"/>
  <c r="S2421" i="4"/>
  <c r="T2421" i="4"/>
  <c r="V2421" i="4"/>
  <c r="W2421" i="4"/>
  <c r="Y2421" i="4"/>
  <c r="F2422" i="4"/>
  <c r="G2422" i="4"/>
  <c r="I2422" i="4"/>
  <c r="K2422" i="4"/>
  <c r="L2422" i="4"/>
  <c r="N2422" i="4"/>
  <c r="O2422" i="4"/>
  <c r="R2422" i="4"/>
  <c r="S2422" i="4"/>
  <c r="T2422" i="4"/>
  <c r="V2422" i="4"/>
  <c r="W2422" i="4"/>
  <c r="Y2422" i="4"/>
  <c r="F2423" i="4"/>
  <c r="G2423" i="4"/>
  <c r="H2423" i="4"/>
  <c r="I2423" i="4"/>
  <c r="J2423" i="4"/>
  <c r="K2423" i="4"/>
  <c r="L2423" i="4"/>
  <c r="M2423" i="4"/>
  <c r="O2423" i="4"/>
  <c r="Q2423" i="4"/>
  <c r="R2423" i="4"/>
  <c r="S2423" i="4"/>
  <c r="T2423" i="4"/>
  <c r="V2423" i="4"/>
  <c r="W2423" i="4"/>
  <c r="Y2423" i="4"/>
  <c r="E2424" i="4"/>
  <c r="F2424" i="4"/>
  <c r="G2424" i="4"/>
  <c r="I2424" i="4"/>
  <c r="J2424" i="4"/>
  <c r="K2424" i="4"/>
  <c r="L2424" i="4"/>
  <c r="N2424" i="4"/>
  <c r="O2424" i="4"/>
  <c r="Q2424" i="4"/>
  <c r="R2424" i="4"/>
  <c r="S2424" i="4"/>
  <c r="T2424" i="4"/>
  <c r="V2424" i="4"/>
  <c r="W2424" i="4"/>
  <c r="Y2424" i="4"/>
  <c r="E2425" i="4"/>
  <c r="F2425" i="4"/>
  <c r="G2425" i="4"/>
  <c r="I2425" i="4"/>
  <c r="J2425" i="4"/>
  <c r="K2425" i="4"/>
  <c r="L2425" i="4"/>
  <c r="N2425" i="4"/>
  <c r="O2425" i="4"/>
  <c r="Q2425" i="4"/>
  <c r="R2425" i="4"/>
  <c r="S2425" i="4"/>
  <c r="T2425" i="4"/>
  <c r="V2425" i="4"/>
  <c r="W2425" i="4"/>
  <c r="Y2425" i="4"/>
  <c r="E2426" i="4"/>
  <c r="F2426" i="4"/>
  <c r="G2426" i="4"/>
  <c r="I2426" i="4"/>
  <c r="K2426" i="4"/>
  <c r="L2426" i="4"/>
  <c r="N2426" i="4"/>
  <c r="O2426" i="4"/>
  <c r="R2426" i="4"/>
  <c r="S2426" i="4"/>
  <c r="T2426" i="4"/>
  <c r="V2426" i="4"/>
  <c r="W2426" i="4"/>
  <c r="Y2426" i="4"/>
  <c r="X2427" i="4"/>
  <c r="Z2427" i="4" s="1"/>
  <c r="P2428" i="4"/>
  <c r="X2429" i="4"/>
  <c r="Z2429" i="4" s="1"/>
  <c r="X2430" i="4"/>
  <c r="Z2430" i="4" s="1"/>
  <c r="E2431" i="4"/>
  <c r="F2431" i="4"/>
  <c r="G2431" i="4"/>
  <c r="I2431" i="4"/>
  <c r="K2431" i="4"/>
  <c r="L2431" i="4"/>
  <c r="N2431" i="4"/>
  <c r="O2431" i="4"/>
  <c r="R2431" i="4"/>
  <c r="S2431" i="4"/>
  <c r="T2431" i="4"/>
  <c r="V2431" i="4"/>
  <c r="W2431" i="4"/>
  <c r="Y2431" i="4"/>
  <c r="E2432" i="4"/>
  <c r="F2432" i="4"/>
  <c r="G2432" i="4"/>
  <c r="H2432" i="4"/>
  <c r="I2432" i="4"/>
  <c r="J2432" i="4"/>
  <c r="K2432" i="4"/>
  <c r="L2432" i="4"/>
  <c r="N2432" i="4"/>
  <c r="O2432" i="4"/>
  <c r="Q2432" i="4"/>
  <c r="R2432" i="4"/>
  <c r="S2432" i="4"/>
  <c r="T2432" i="4"/>
  <c r="V2432" i="4"/>
  <c r="W2432" i="4"/>
  <c r="Y2432" i="4"/>
  <c r="E2433" i="4"/>
  <c r="F2433" i="4"/>
  <c r="G2433" i="4"/>
  <c r="I2433" i="4"/>
  <c r="K2433" i="4"/>
  <c r="L2433" i="4"/>
  <c r="N2433" i="4"/>
  <c r="O2433" i="4"/>
  <c r="R2433" i="4"/>
  <c r="S2433" i="4"/>
  <c r="T2433" i="4"/>
  <c r="V2433" i="4"/>
  <c r="W2433" i="4"/>
  <c r="Y2433" i="4"/>
  <c r="E2434" i="4"/>
  <c r="F2434" i="4"/>
  <c r="G2434" i="4"/>
  <c r="I2434" i="4"/>
  <c r="K2434" i="4"/>
  <c r="L2434" i="4"/>
  <c r="N2434" i="4"/>
  <c r="O2434" i="4"/>
  <c r="R2434" i="4"/>
  <c r="S2434" i="4"/>
  <c r="T2434" i="4"/>
  <c r="V2434" i="4"/>
  <c r="W2434" i="4"/>
  <c r="Y2434" i="4"/>
  <c r="E2435" i="4"/>
  <c r="F2435" i="4"/>
  <c r="G2435" i="4"/>
  <c r="I2435" i="4"/>
  <c r="K2435" i="4"/>
  <c r="L2435" i="4"/>
  <c r="N2435" i="4"/>
  <c r="O2435" i="4"/>
  <c r="R2435" i="4"/>
  <c r="S2435" i="4"/>
  <c r="T2435" i="4"/>
  <c r="V2435" i="4"/>
  <c r="W2435" i="4"/>
  <c r="Y2435" i="4"/>
  <c r="E2436" i="4"/>
  <c r="F2436" i="4"/>
  <c r="G2436" i="4"/>
  <c r="I2436" i="4"/>
  <c r="K2436" i="4"/>
  <c r="L2436" i="4"/>
  <c r="N2436" i="4"/>
  <c r="O2436" i="4"/>
  <c r="R2436" i="4"/>
  <c r="S2436" i="4"/>
  <c r="T2436" i="4"/>
  <c r="V2436" i="4"/>
  <c r="W2436" i="4"/>
  <c r="Y2436" i="4"/>
  <c r="E2437" i="4"/>
  <c r="F2437" i="4"/>
  <c r="G2437" i="4"/>
  <c r="I2437" i="4"/>
  <c r="K2437" i="4"/>
  <c r="L2437" i="4"/>
  <c r="N2437" i="4"/>
  <c r="O2437" i="4"/>
  <c r="R2437" i="4"/>
  <c r="S2437" i="4"/>
  <c r="T2437" i="4"/>
  <c r="V2437" i="4"/>
  <c r="W2437" i="4"/>
  <c r="Y2437" i="4"/>
  <c r="E2438" i="4"/>
  <c r="F2438" i="4"/>
  <c r="G2438" i="4"/>
  <c r="I2438" i="4"/>
  <c r="K2438" i="4"/>
  <c r="L2438" i="4"/>
  <c r="N2438" i="4"/>
  <c r="O2438" i="4"/>
  <c r="R2438" i="4"/>
  <c r="S2438" i="4"/>
  <c r="T2438" i="4"/>
  <c r="V2438" i="4"/>
  <c r="W2438" i="4"/>
  <c r="Y2438" i="4"/>
  <c r="E2439" i="4"/>
  <c r="F2439" i="4"/>
  <c r="G2439" i="4"/>
  <c r="I2439" i="4"/>
  <c r="K2439" i="4"/>
  <c r="L2439" i="4"/>
  <c r="N2439" i="4"/>
  <c r="O2439" i="4"/>
  <c r="R2439" i="4"/>
  <c r="S2439" i="4"/>
  <c r="T2439" i="4"/>
  <c r="V2439" i="4"/>
  <c r="W2439" i="4"/>
  <c r="Y2439" i="4"/>
  <c r="E2440" i="4"/>
  <c r="F2440" i="4"/>
  <c r="G2440" i="4"/>
  <c r="I2440" i="4"/>
  <c r="K2440" i="4"/>
  <c r="L2440" i="4"/>
  <c r="N2440" i="4"/>
  <c r="O2440" i="4"/>
  <c r="R2440" i="4"/>
  <c r="S2440" i="4"/>
  <c r="T2440" i="4"/>
  <c r="V2440" i="4"/>
  <c r="W2440" i="4"/>
  <c r="Y2440" i="4"/>
  <c r="E2441" i="4"/>
  <c r="F2441" i="4"/>
  <c r="G2441" i="4"/>
  <c r="I2441" i="4"/>
  <c r="K2441" i="4"/>
  <c r="L2441" i="4"/>
  <c r="N2441" i="4"/>
  <c r="O2441" i="4"/>
  <c r="R2441" i="4"/>
  <c r="S2441" i="4"/>
  <c r="T2441" i="4"/>
  <c r="V2441" i="4"/>
  <c r="W2441" i="4"/>
  <c r="Y2441" i="4"/>
  <c r="E2442" i="4"/>
  <c r="F2442" i="4"/>
  <c r="G2442" i="4"/>
  <c r="I2442" i="4"/>
  <c r="K2442" i="4"/>
  <c r="L2442" i="4"/>
  <c r="N2442" i="4"/>
  <c r="O2442" i="4"/>
  <c r="R2442" i="4"/>
  <c r="S2442" i="4"/>
  <c r="T2442" i="4"/>
  <c r="V2442" i="4"/>
  <c r="W2442" i="4"/>
  <c r="Y2442" i="4"/>
  <c r="E2443" i="4"/>
  <c r="F2443" i="4"/>
  <c r="G2443" i="4"/>
  <c r="I2443" i="4"/>
  <c r="J2443" i="4"/>
  <c r="K2443" i="4"/>
  <c r="L2443" i="4"/>
  <c r="N2443" i="4"/>
  <c r="O2443" i="4"/>
  <c r="Q2443" i="4"/>
  <c r="R2443" i="4"/>
  <c r="S2443" i="4"/>
  <c r="T2443" i="4"/>
  <c r="V2443" i="4"/>
  <c r="W2443" i="4"/>
  <c r="Y2443" i="4"/>
  <c r="E2444" i="4"/>
  <c r="F2444" i="4"/>
  <c r="G2444" i="4"/>
  <c r="I2444" i="4"/>
  <c r="K2444" i="4"/>
  <c r="L2444" i="4"/>
  <c r="N2444" i="4"/>
  <c r="O2444" i="4"/>
  <c r="R2444" i="4"/>
  <c r="S2444" i="4"/>
  <c r="T2444" i="4"/>
  <c r="V2444" i="4"/>
  <c r="W2444" i="4"/>
  <c r="Y2444" i="4"/>
  <c r="X2445" i="4"/>
  <c r="Z2445" i="4" s="1"/>
  <c r="R2448" i="4"/>
  <c r="R2923" i="4" s="1"/>
  <c r="S2448" i="4"/>
  <c r="S2923" i="4" s="1"/>
  <c r="E2453" i="4"/>
  <c r="F2453" i="4"/>
  <c r="G2453" i="4"/>
  <c r="I2453" i="4"/>
  <c r="J2453" i="4"/>
  <c r="K2453" i="4"/>
  <c r="L2453" i="4"/>
  <c r="N2453" i="4"/>
  <c r="O2453" i="4"/>
  <c r="Q2453" i="4"/>
  <c r="R2453" i="4"/>
  <c r="S2453" i="4"/>
  <c r="T2453" i="4"/>
  <c r="Y2453" i="4"/>
  <c r="E2454" i="4"/>
  <c r="F2454" i="4"/>
  <c r="G2454" i="4"/>
  <c r="I2454" i="4"/>
  <c r="J2454" i="4"/>
  <c r="K2454" i="4"/>
  <c r="L2454" i="4"/>
  <c r="N2454" i="4"/>
  <c r="O2454" i="4"/>
  <c r="Q2454" i="4"/>
  <c r="R2454" i="4"/>
  <c r="S2454" i="4"/>
  <c r="T2454" i="4"/>
  <c r="Y2454" i="4"/>
  <c r="E2455" i="4"/>
  <c r="F2455" i="4"/>
  <c r="G2455" i="4"/>
  <c r="I2455" i="4"/>
  <c r="J2455" i="4"/>
  <c r="K2455" i="4"/>
  <c r="L2455" i="4"/>
  <c r="N2455" i="4"/>
  <c r="O2455" i="4"/>
  <c r="Q2455" i="4"/>
  <c r="R2455" i="4"/>
  <c r="S2455" i="4"/>
  <c r="T2455" i="4"/>
  <c r="Y2455" i="4"/>
  <c r="E2456" i="4"/>
  <c r="F2456" i="4"/>
  <c r="G2456" i="4"/>
  <c r="I2456" i="4"/>
  <c r="J2456" i="4"/>
  <c r="K2456" i="4"/>
  <c r="L2456" i="4"/>
  <c r="N2456" i="4"/>
  <c r="O2456" i="4"/>
  <c r="Q2456" i="4"/>
  <c r="R2456" i="4"/>
  <c r="S2456" i="4"/>
  <c r="T2456" i="4"/>
  <c r="Y2456" i="4"/>
  <c r="E2457" i="4"/>
  <c r="F2457" i="4"/>
  <c r="G2457" i="4"/>
  <c r="I2457" i="4"/>
  <c r="J2457" i="4"/>
  <c r="K2457" i="4"/>
  <c r="L2457" i="4"/>
  <c r="N2457" i="4"/>
  <c r="O2457" i="4"/>
  <c r="Q2457" i="4"/>
  <c r="R2457" i="4"/>
  <c r="S2457" i="4"/>
  <c r="T2457" i="4"/>
  <c r="Y2457" i="4"/>
  <c r="E2458" i="4"/>
  <c r="F2458" i="4"/>
  <c r="G2458" i="4"/>
  <c r="I2458" i="4"/>
  <c r="J2458" i="4"/>
  <c r="K2458" i="4"/>
  <c r="L2458" i="4"/>
  <c r="N2458" i="4"/>
  <c r="O2458" i="4"/>
  <c r="Q2458" i="4"/>
  <c r="R2458" i="4"/>
  <c r="S2458" i="4"/>
  <c r="T2458" i="4"/>
  <c r="Y2458" i="4"/>
  <c r="E2459" i="4"/>
  <c r="F2459" i="4"/>
  <c r="G2459" i="4"/>
  <c r="I2459" i="4"/>
  <c r="J2459" i="4"/>
  <c r="K2459" i="4"/>
  <c r="L2459" i="4"/>
  <c r="N2459" i="4"/>
  <c r="O2459" i="4"/>
  <c r="Q2459" i="4"/>
  <c r="R2459" i="4"/>
  <c r="S2459" i="4"/>
  <c r="T2459" i="4"/>
  <c r="Y2459" i="4"/>
  <c r="E2460" i="4"/>
  <c r="F2460" i="4"/>
  <c r="G2460" i="4"/>
  <c r="I2460" i="4"/>
  <c r="J2460" i="4"/>
  <c r="K2460" i="4"/>
  <c r="L2460" i="4"/>
  <c r="N2460" i="4"/>
  <c r="O2460" i="4"/>
  <c r="Q2460" i="4"/>
  <c r="R2460" i="4"/>
  <c r="S2460" i="4"/>
  <c r="T2460" i="4"/>
  <c r="Y2460" i="4"/>
  <c r="E2461" i="4"/>
  <c r="F2461" i="4"/>
  <c r="G2461" i="4"/>
  <c r="I2461" i="4"/>
  <c r="J2461" i="4"/>
  <c r="K2461" i="4"/>
  <c r="L2461" i="4"/>
  <c r="N2461" i="4"/>
  <c r="O2461" i="4"/>
  <c r="Q2461" i="4"/>
  <c r="R2461" i="4"/>
  <c r="S2461" i="4"/>
  <c r="T2461" i="4"/>
  <c r="Y2461" i="4"/>
  <c r="E2462" i="4"/>
  <c r="F2462" i="4"/>
  <c r="G2462" i="4"/>
  <c r="I2462" i="4"/>
  <c r="J2462" i="4"/>
  <c r="K2462" i="4"/>
  <c r="L2462" i="4"/>
  <c r="N2462" i="4"/>
  <c r="O2462" i="4"/>
  <c r="Q2462" i="4"/>
  <c r="R2462" i="4"/>
  <c r="S2462" i="4"/>
  <c r="T2462" i="4"/>
  <c r="Y2462" i="4"/>
  <c r="E2463" i="4"/>
  <c r="F2463" i="4"/>
  <c r="G2463" i="4"/>
  <c r="I2463" i="4"/>
  <c r="J2463" i="4"/>
  <c r="K2463" i="4"/>
  <c r="L2463" i="4"/>
  <c r="N2463" i="4"/>
  <c r="O2463" i="4"/>
  <c r="Q2463" i="4"/>
  <c r="R2463" i="4"/>
  <c r="S2463" i="4"/>
  <c r="T2463" i="4"/>
  <c r="Y2463" i="4"/>
  <c r="E2464" i="4"/>
  <c r="F2464" i="4"/>
  <c r="G2464" i="4"/>
  <c r="I2464" i="4"/>
  <c r="J2464" i="4"/>
  <c r="K2464" i="4"/>
  <c r="L2464" i="4"/>
  <c r="N2464" i="4"/>
  <c r="O2464" i="4"/>
  <c r="Q2464" i="4"/>
  <c r="R2464" i="4"/>
  <c r="S2464" i="4"/>
  <c r="T2464" i="4"/>
  <c r="Y2464" i="4"/>
  <c r="E2465" i="4"/>
  <c r="F2465" i="4"/>
  <c r="G2465" i="4"/>
  <c r="I2465" i="4"/>
  <c r="J2465" i="4"/>
  <c r="K2465" i="4"/>
  <c r="L2465" i="4"/>
  <c r="N2465" i="4"/>
  <c r="O2465" i="4"/>
  <c r="Q2465" i="4"/>
  <c r="R2465" i="4"/>
  <c r="S2465" i="4"/>
  <c r="T2465" i="4"/>
  <c r="Y2465" i="4"/>
  <c r="E2466" i="4"/>
  <c r="F2466" i="4"/>
  <c r="G2466" i="4"/>
  <c r="I2466" i="4"/>
  <c r="J2466" i="4"/>
  <c r="K2466" i="4"/>
  <c r="L2466" i="4"/>
  <c r="N2466" i="4"/>
  <c r="O2466" i="4"/>
  <c r="Q2466" i="4"/>
  <c r="R2466" i="4"/>
  <c r="S2466" i="4"/>
  <c r="T2466" i="4"/>
  <c r="Y2466" i="4"/>
  <c r="E2467" i="4"/>
  <c r="F2467" i="4"/>
  <c r="G2467" i="4"/>
  <c r="I2467" i="4"/>
  <c r="J2467" i="4"/>
  <c r="K2467" i="4"/>
  <c r="L2467" i="4"/>
  <c r="N2467" i="4"/>
  <c r="O2467" i="4"/>
  <c r="Q2467" i="4"/>
  <c r="R2467" i="4"/>
  <c r="S2467" i="4"/>
  <c r="T2467" i="4"/>
  <c r="Y2467" i="4"/>
  <c r="E2468" i="4"/>
  <c r="F2468" i="4"/>
  <c r="G2468" i="4"/>
  <c r="I2468" i="4"/>
  <c r="J2468" i="4"/>
  <c r="K2468" i="4"/>
  <c r="L2468" i="4"/>
  <c r="N2468" i="4"/>
  <c r="O2468" i="4"/>
  <c r="Q2468" i="4"/>
  <c r="R2468" i="4"/>
  <c r="S2468" i="4"/>
  <c r="T2468" i="4"/>
  <c r="Y2468" i="4"/>
  <c r="P2470" i="4"/>
  <c r="X2471" i="4"/>
  <c r="X2472" i="4"/>
  <c r="E2473" i="4"/>
  <c r="F2473" i="4"/>
  <c r="G2473" i="4"/>
  <c r="I2473" i="4"/>
  <c r="J2473" i="4"/>
  <c r="K2473" i="4"/>
  <c r="L2473" i="4"/>
  <c r="N2473" i="4"/>
  <c r="O2473" i="4"/>
  <c r="Q2473" i="4"/>
  <c r="R2473" i="4"/>
  <c r="S2473" i="4"/>
  <c r="T2473" i="4"/>
  <c r="Y2473" i="4"/>
  <c r="E2474" i="4"/>
  <c r="F2474" i="4"/>
  <c r="G2474" i="4"/>
  <c r="I2474" i="4"/>
  <c r="J2474" i="4"/>
  <c r="K2474" i="4"/>
  <c r="L2474" i="4"/>
  <c r="N2474" i="4"/>
  <c r="O2474" i="4"/>
  <c r="Q2474" i="4"/>
  <c r="R2474" i="4"/>
  <c r="S2474" i="4"/>
  <c r="T2474" i="4"/>
  <c r="Y2474" i="4"/>
  <c r="E2475" i="4"/>
  <c r="F2475" i="4"/>
  <c r="G2475" i="4"/>
  <c r="I2475" i="4"/>
  <c r="J2475" i="4"/>
  <c r="K2475" i="4"/>
  <c r="L2475" i="4"/>
  <c r="N2475" i="4"/>
  <c r="O2475" i="4"/>
  <c r="Q2475" i="4"/>
  <c r="R2475" i="4"/>
  <c r="S2475" i="4"/>
  <c r="T2475" i="4"/>
  <c r="Y2475" i="4"/>
  <c r="E2476" i="4"/>
  <c r="F2476" i="4"/>
  <c r="G2476" i="4"/>
  <c r="I2476" i="4"/>
  <c r="J2476" i="4"/>
  <c r="K2476" i="4"/>
  <c r="L2476" i="4"/>
  <c r="N2476" i="4"/>
  <c r="O2476" i="4"/>
  <c r="Q2476" i="4"/>
  <c r="R2476" i="4"/>
  <c r="S2476" i="4"/>
  <c r="T2476" i="4"/>
  <c r="Y2476" i="4"/>
  <c r="E2477" i="4"/>
  <c r="F2477" i="4"/>
  <c r="G2477" i="4"/>
  <c r="I2477" i="4"/>
  <c r="J2477" i="4"/>
  <c r="K2477" i="4"/>
  <c r="L2477" i="4"/>
  <c r="N2477" i="4"/>
  <c r="O2477" i="4"/>
  <c r="Q2477" i="4"/>
  <c r="R2477" i="4"/>
  <c r="S2477" i="4"/>
  <c r="T2477" i="4"/>
  <c r="Y2477" i="4"/>
  <c r="E2478" i="4"/>
  <c r="G2478" i="4"/>
  <c r="I2478" i="4"/>
  <c r="J2478" i="4"/>
  <c r="K2478" i="4"/>
  <c r="L2478" i="4"/>
  <c r="N2478" i="4"/>
  <c r="O2478" i="4"/>
  <c r="Q2478" i="4"/>
  <c r="R2478" i="4"/>
  <c r="S2478" i="4"/>
  <c r="T2478" i="4"/>
  <c r="Y2478" i="4"/>
  <c r="E2479" i="4"/>
  <c r="F2479" i="4"/>
  <c r="G2479" i="4"/>
  <c r="I2479" i="4"/>
  <c r="J2479" i="4"/>
  <c r="K2479" i="4"/>
  <c r="L2479" i="4"/>
  <c r="N2479" i="4"/>
  <c r="O2479" i="4"/>
  <c r="Q2479" i="4"/>
  <c r="R2479" i="4"/>
  <c r="S2479" i="4"/>
  <c r="T2479" i="4"/>
  <c r="Y2479" i="4"/>
  <c r="E2480" i="4"/>
  <c r="F2480" i="4"/>
  <c r="G2480" i="4"/>
  <c r="I2480" i="4"/>
  <c r="J2480" i="4"/>
  <c r="K2480" i="4"/>
  <c r="L2480" i="4"/>
  <c r="N2480" i="4"/>
  <c r="O2480" i="4"/>
  <c r="Q2480" i="4"/>
  <c r="R2480" i="4"/>
  <c r="S2480" i="4"/>
  <c r="T2480" i="4"/>
  <c r="Y2480" i="4"/>
  <c r="E2481" i="4"/>
  <c r="F2481" i="4"/>
  <c r="G2481" i="4"/>
  <c r="I2481" i="4"/>
  <c r="J2481" i="4"/>
  <c r="K2481" i="4"/>
  <c r="L2481" i="4"/>
  <c r="N2481" i="4"/>
  <c r="O2481" i="4"/>
  <c r="Q2481" i="4"/>
  <c r="R2481" i="4"/>
  <c r="S2481" i="4"/>
  <c r="T2481" i="4"/>
  <c r="Y2481" i="4"/>
  <c r="E2482" i="4"/>
  <c r="F2482" i="4"/>
  <c r="G2482" i="4"/>
  <c r="I2482" i="4"/>
  <c r="J2482" i="4"/>
  <c r="K2482" i="4"/>
  <c r="L2482" i="4"/>
  <c r="N2482" i="4"/>
  <c r="O2482" i="4"/>
  <c r="Q2482" i="4"/>
  <c r="R2482" i="4"/>
  <c r="S2482" i="4"/>
  <c r="T2482" i="4"/>
  <c r="Y2482" i="4"/>
  <c r="E2483" i="4"/>
  <c r="F2483" i="4"/>
  <c r="G2483" i="4"/>
  <c r="I2483" i="4"/>
  <c r="J2483" i="4"/>
  <c r="K2483" i="4"/>
  <c r="L2483" i="4"/>
  <c r="N2483" i="4"/>
  <c r="O2483" i="4"/>
  <c r="Q2483" i="4"/>
  <c r="R2483" i="4"/>
  <c r="S2483" i="4"/>
  <c r="T2483" i="4"/>
  <c r="Y2483" i="4"/>
  <c r="E2484" i="4"/>
  <c r="F2484" i="4"/>
  <c r="G2484" i="4"/>
  <c r="I2484" i="4"/>
  <c r="J2484" i="4"/>
  <c r="K2484" i="4"/>
  <c r="L2484" i="4"/>
  <c r="N2484" i="4"/>
  <c r="O2484" i="4"/>
  <c r="Q2484" i="4"/>
  <c r="R2484" i="4"/>
  <c r="S2484" i="4"/>
  <c r="T2484" i="4"/>
  <c r="Y2484" i="4"/>
  <c r="E2485" i="4"/>
  <c r="F2485" i="4"/>
  <c r="G2485" i="4"/>
  <c r="I2485" i="4"/>
  <c r="J2485" i="4"/>
  <c r="K2485" i="4"/>
  <c r="L2485" i="4"/>
  <c r="N2485" i="4"/>
  <c r="O2485" i="4"/>
  <c r="Q2485" i="4"/>
  <c r="R2485" i="4"/>
  <c r="S2485" i="4"/>
  <c r="T2485" i="4"/>
  <c r="Y2485" i="4"/>
  <c r="F2486" i="4"/>
  <c r="G2486" i="4"/>
  <c r="I2486" i="4"/>
  <c r="J2486" i="4"/>
  <c r="K2486" i="4"/>
  <c r="L2486" i="4"/>
  <c r="N2486" i="4"/>
  <c r="O2486" i="4"/>
  <c r="Q2486" i="4"/>
  <c r="R2486" i="4"/>
  <c r="S2486" i="4"/>
  <c r="T2486" i="4"/>
  <c r="Y2486" i="4"/>
  <c r="X2487" i="4"/>
  <c r="P2488" i="4"/>
  <c r="X2489" i="4"/>
  <c r="Z2489" i="4" s="1"/>
  <c r="X2490" i="4"/>
  <c r="Z2490" i="4" s="1"/>
  <c r="E2491" i="4"/>
  <c r="F2491" i="4"/>
  <c r="G2491" i="4"/>
  <c r="I2491" i="4"/>
  <c r="J2491" i="4"/>
  <c r="K2491" i="4"/>
  <c r="L2491" i="4"/>
  <c r="N2491" i="4"/>
  <c r="O2491" i="4"/>
  <c r="Q2491" i="4"/>
  <c r="R2491" i="4"/>
  <c r="S2491" i="4"/>
  <c r="T2491" i="4"/>
  <c r="Y2491" i="4"/>
  <c r="E2492" i="4"/>
  <c r="F2492" i="4"/>
  <c r="G2492" i="4"/>
  <c r="I2492" i="4"/>
  <c r="J2492" i="4"/>
  <c r="K2492" i="4"/>
  <c r="L2492" i="4"/>
  <c r="N2492" i="4"/>
  <c r="O2492" i="4"/>
  <c r="Q2492" i="4"/>
  <c r="R2492" i="4"/>
  <c r="S2492" i="4"/>
  <c r="T2492" i="4"/>
  <c r="Y2492" i="4"/>
  <c r="E2493" i="4"/>
  <c r="F2493" i="4"/>
  <c r="G2493" i="4"/>
  <c r="I2493" i="4"/>
  <c r="J2493" i="4"/>
  <c r="K2493" i="4"/>
  <c r="L2493" i="4"/>
  <c r="N2493" i="4"/>
  <c r="O2493" i="4"/>
  <c r="Q2493" i="4"/>
  <c r="R2493" i="4"/>
  <c r="S2493" i="4"/>
  <c r="T2493" i="4"/>
  <c r="Y2493" i="4"/>
  <c r="E2494" i="4"/>
  <c r="F2494" i="4"/>
  <c r="G2494" i="4"/>
  <c r="I2494" i="4"/>
  <c r="J2494" i="4"/>
  <c r="K2494" i="4"/>
  <c r="L2494" i="4"/>
  <c r="N2494" i="4"/>
  <c r="O2494" i="4"/>
  <c r="Q2494" i="4"/>
  <c r="R2494" i="4"/>
  <c r="S2494" i="4"/>
  <c r="T2494" i="4"/>
  <c r="Y2494" i="4"/>
  <c r="E2495" i="4"/>
  <c r="F2495" i="4"/>
  <c r="G2495" i="4"/>
  <c r="I2495" i="4"/>
  <c r="J2495" i="4"/>
  <c r="K2495" i="4"/>
  <c r="L2495" i="4"/>
  <c r="N2495" i="4"/>
  <c r="O2495" i="4"/>
  <c r="Q2495" i="4"/>
  <c r="R2495" i="4"/>
  <c r="S2495" i="4"/>
  <c r="T2495" i="4"/>
  <c r="Y2495" i="4"/>
  <c r="E2496" i="4"/>
  <c r="F2496" i="4"/>
  <c r="G2496" i="4"/>
  <c r="I2496" i="4"/>
  <c r="J2496" i="4"/>
  <c r="K2496" i="4"/>
  <c r="L2496" i="4"/>
  <c r="N2496" i="4"/>
  <c r="O2496" i="4"/>
  <c r="Q2496" i="4"/>
  <c r="R2496" i="4"/>
  <c r="S2496" i="4"/>
  <c r="T2496" i="4"/>
  <c r="Y2496" i="4"/>
  <c r="E2497" i="4"/>
  <c r="F2497" i="4"/>
  <c r="G2497" i="4"/>
  <c r="I2497" i="4"/>
  <c r="J2497" i="4"/>
  <c r="K2497" i="4"/>
  <c r="L2497" i="4"/>
  <c r="N2497" i="4"/>
  <c r="O2497" i="4"/>
  <c r="Q2497" i="4"/>
  <c r="R2497" i="4"/>
  <c r="S2497" i="4"/>
  <c r="T2497" i="4"/>
  <c r="Y2497" i="4"/>
  <c r="X2498" i="4"/>
  <c r="Z2498" i="4" s="1"/>
  <c r="P2499" i="4"/>
  <c r="X2500" i="4"/>
  <c r="Z2500" i="4" s="1"/>
  <c r="X2501" i="4"/>
  <c r="Z2501" i="4" s="1"/>
  <c r="E2502" i="4"/>
  <c r="F2502" i="4"/>
  <c r="G2502" i="4"/>
  <c r="I2502" i="4"/>
  <c r="J2502" i="4"/>
  <c r="K2502" i="4"/>
  <c r="L2502" i="4"/>
  <c r="N2502" i="4"/>
  <c r="O2502" i="4"/>
  <c r="Q2502" i="4"/>
  <c r="R2502" i="4"/>
  <c r="S2502" i="4"/>
  <c r="T2502" i="4"/>
  <c r="Y2502" i="4"/>
  <c r="E2503" i="4"/>
  <c r="F2503" i="4"/>
  <c r="G2503" i="4"/>
  <c r="I2503" i="4"/>
  <c r="J2503" i="4"/>
  <c r="K2503" i="4"/>
  <c r="L2503" i="4"/>
  <c r="N2503" i="4"/>
  <c r="O2503" i="4"/>
  <c r="Q2503" i="4"/>
  <c r="R2503" i="4"/>
  <c r="S2503" i="4"/>
  <c r="T2503" i="4"/>
  <c r="Y2503" i="4"/>
  <c r="E2504" i="4"/>
  <c r="F2504" i="4"/>
  <c r="G2504" i="4"/>
  <c r="I2504" i="4"/>
  <c r="J2504" i="4"/>
  <c r="K2504" i="4"/>
  <c r="L2504" i="4"/>
  <c r="N2504" i="4"/>
  <c r="O2504" i="4"/>
  <c r="Q2504" i="4"/>
  <c r="R2504" i="4"/>
  <c r="S2504" i="4"/>
  <c r="T2504" i="4"/>
  <c r="Y2504" i="4"/>
  <c r="E2505" i="4"/>
  <c r="F2505" i="4"/>
  <c r="G2505" i="4"/>
  <c r="I2505" i="4"/>
  <c r="J2505" i="4"/>
  <c r="K2505" i="4"/>
  <c r="L2505" i="4"/>
  <c r="N2505" i="4"/>
  <c r="O2505" i="4"/>
  <c r="Q2505" i="4"/>
  <c r="R2505" i="4"/>
  <c r="S2505" i="4"/>
  <c r="T2505" i="4"/>
  <c r="Y2505" i="4"/>
  <c r="E2506" i="4"/>
  <c r="F2506" i="4"/>
  <c r="G2506" i="4"/>
  <c r="I2506" i="4"/>
  <c r="J2506" i="4"/>
  <c r="K2506" i="4"/>
  <c r="L2506" i="4"/>
  <c r="N2506" i="4"/>
  <c r="O2506" i="4"/>
  <c r="Q2506" i="4"/>
  <c r="R2506" i="4"/>
  <c r="S2506" i="4"/>
  <c r="T2506" i="4"/>
  <c r="Y2506" i="4"/>
  <c r="G2507" i="4"/>
  <c r="I2507" i="4"/>
  <c r="J2507" i="4"/>
  <c r="K2507" i="4"/>
  <c r="L2507" i="4"/>
  <c r="N2507" i="4"/>
  <c r="O2507" i="4"/>
  <c r="Q2507" i="4"/>
  <c r="R2507" i="4"/>
  <c r="S2507" i="4"/>
  <c r="T2507" i="4"/>
  <c r="Y2507" i="4"/>
  <c r="E2508" i="4"/>
  <c r="F2508" i="4"/>
  <c r="G2508" i="4"/>
  <c r="I2508" i="4"/>
  <c r="J2508" i="4"/>
  <c r="K2508" i="4"/>
  <c r="L2508" i="4"/>
  <c r="N2508" i="4"/>
  <c r="O2508" i="4"/>
  <c r="Q2508" i="4"/>
  <c r="R2508" i="4"/>
  <c r="S2508" i="4"/>
  <c r="T2508" i="4"/>
  <c r="Y2508" i="4"/>
  <c r="E2509" i="4"/>
  <c r="F2509" i="4"/>
  <c r="G2509" i="4"/>
  <c r="I2509" i="4"/>
  <c r="J2509" i="4"/>
  <c r="K2509" i="4"/>
  <c r="L2509" i="4"/>
  <c r="N2509" i="4"/>
  <c r="O2509" i="4"/>
  <c r="Q2509" i="4"/>
  <c r="R2509" i="4"/>
  <c r="S2509" i="4"/>
  <c r="T2509" i="4"/>
  <c r="Y2509" i="4"/>
  <c r="E2510" i="4"/>
  <c r="F2510" i="4"/>
  <c r="G2510" i="4"/>
  <c r="I2510" i="4"/>
  <c r="J2510" i="4"/>
  <c r="K2510" i="4"/>
  <c r="L2510" i="4"/>
  <c r="N2510" i="4"/>
  <c r="O2510" i="4"/>
  <c r="Q2510" i="4"/>
  <c r="R2510" i="4"/>
  <c r="S2510" i="4"/>
  <c r="T2510" i="4"/>
  <c r="Y2510" i="4"/>
  <c r="E2511" i="4"/>
  <c r="F2511" i="4"/>
  <c r="G2511" i="4"/>
  <c r="I2511" i="4"/>
  <c r="J2511" i="4"/>
  <c r="K2511" i="4"/>
  <c r="L2511" i="4"/>
  <c r="N2511" i="4"/>
  <c r="O2511" i="4"/>
  <c r="Q2511" i="4"/>
  <c r="R2511" i="4"/>
  <c r="S2511" i="4"/>
  <c r="T2511" i="4"/>
  <c r="Y2511" i="4"/>
  <c r="G2512" i="4"/>
  <c r="I2512" i="4"/>
  <c r="J2512" i="4"/>
  <c r="K2512" i="4"/>
  <c r="L2512" i="4"/>
  <c r="N2512" i="4"/>
  <c r="O2512" i="4"/>
  <c r="Q2512" i="4"/>
  <c r="R2512" i="4"/>
  <c r="S2512" i="4"/>
  <c r="T2512" i="4"/>
  <c r="V2512" i="4"/>
  <c r="W2512" i="4"/>
  <c r="Y2512" i="4"/>
  <c r="E2513" i="4"/>
  <c r="F2513" i="4"/>
  <c r="G2513" i="4"/>
  <c r="I2513" i="4"/>
  <c r="J2513" i="4"/>
  <c r="K2513" i="4"/>
  <c r="L2513" i="4"/>
  <c r="N2513" i="4"/>
  <c r="O2513" i="4"/>
  <c r="Q2513" i="4"/>
  <c r="R2513" i="4"/>
  <c r="S2513" i="4"/>
  <c r="T2513" i="4"/>
  <c r="Y2513" i="4"/>
  <c r="X2514" i="4"/>
  <c r="Z2514" i="4" s="1"/>
  <c r="P2515" i="4"/>
  <c r="X2516" i="4"/>
  <c r="Z2516" i="4" s="1"/>
  <c r="X2517" i="4"/>
  <c r="Z2517" i="4" s="1"/>
  <c r="G2518" i="4"/>
  <c r="I2518" i="4"/>
  <c r="J2518" i="4"/>
  <c r="K2518" i="4"/>
  <c r="L2518" i="4"/>
  <c r="N2518" i="4"/>
  <c r="O2518" i="4"/>
  <c r="Q2518" i="4"/>
  <c r="R2518" i="4"/>
  <c r="S2518" i="4"/>
  <c r="T2518" i="4"/>
  <c r="Y2518" i="4"/>
  <c r="E2519" i="4"/>
  <c r="F2519" i="4"/>
  <c r="G2519" i="4"/>
  <c r="I2519" i="4"/>
  <c r="J2519" i="4"/>
  <c r="K2519" i="4"/>
  <c r="L2519" i="4"/>
  <c r="N2519" i="4"/>
  <c r="O2519" i="4"/>
  <c r="Q2519" i="4"/>
  <c r="R2519" i="4"/>
  <c r="S2519" i="4"/>
  <c r="T2519" i="4"/>
  <c r="Y2519" i="4"/>
  <c r="E2520" i="4"/>
  <c r="F2520" i="4"/>
  <c r="G2520" i="4"/>
  <c r="I2520" i="4"/>
  <c r="J2520" i="4"/>
  <c r="K2520" i="4"/>
  <c r="L2520" i="4"/>
  <c r="N2520" i="4"/>
  <c r="O2520" i="4"/>
  <c r="Q2520" i="4"/>
  <c r="R2520" i="4"/>
  <c r="S2520" i="4"/>
  <c r="T2520" i="4"/>
  <c r="Y2520" i="4"/>
  <c r="E2521" i="4"/>
  <c r="F2521" i="4"/>
  <c r="G2521" i="4"/>
  <c r="I2521" i="4"/>
  <c r="J2521" i="4"/>
  <c r="K2521" i="4"/>
  <c r="L2521" i="4"/>
  <c r="N2521" i="4"/>
  <c r="O2521" i="4"/>
  <c r="Q2521" i="4"/>
  <c r="R2521" i="4"/>
  <c r="S2521" i="4"/>
  <c r="T2521" i="4"/>
  <c r="Y2521" i="4"/>
  <c r="E2522" i="4"/>
  <c r="F2522" i="4"/>
  <c r="G2522" i="4"/>
  <c r="I2522" i="4"/>
  <c r="J2522" i="4"/>
  <c r="K2522" i="4"/>
  <c r="L2522" i="4"/>
  <c r="N2522" i="4"/>
  <c r="O2522" i="4"/>
  <c r="Q2522" i="4"/>
  <c r="R2522" i="4"/>
  <c r="S2522" i="4"/>
  <c r="T2522" i="4"/>
  <c r="Y2522" i="4"/>
  <c r="E2523" i="4"/>
  <c r="F2523" i="4"/>
  <c r="G2523" i="4"/>
  <c r="I2523" i="4"/>
  <c r="J2523" i="4"/>
  <c r="K2523" i="4"/>
  <c r="L2523" i="4"/>
  <c r="O2523" i="4"/>
  <c r="R2523" i="4"/>
  <c r="S2523" i="4"/>
  <c r="T2523" i="4"/>
  <c r="Y2523" i="4"/>
  <c r="E2524" i="4"/>
  <c r="F2524" i="4"/>
  <c r="G2524" i="4"/>
  <c r="I2524" i="4"/>
  <c r="J2524" i="4"/>
  <c r="K2524" i="4"/>
  <c r="L2524" i="4"/>
  <c r="N2524" i="4"/>
  <c r="O2524" i="4"/>
  <c r="Q2524" i="4"/>
  <c r="R2524" i="4"/>
  <c r="S2524" i="4"/>
  <c r="T2524" i="4"/>
  <c r="Y2524" i="4"/>
  <c r="E2525" i="4"/>
  <c r="F2525" i="4"/>
  <c r="G2525" i="4"/>
  <c r="I2525" i="4"/>
  <c r="J2525" i="4"/>
  <c r="K2525" i="4"/>
  <c r="L2525" i="4"/>
  <c r="N2525" i="4"/>
  <c r="O2525" i="4"/>
  <c r="Q2525" i="4"/>
  <c r="R2525" i="4"/>
  <c r="S2525" i="4"/>
  <c r="T2525" i="4"/>
  <c r="Y2525" i="4"/>
  <c r="E2526" i="4"/>
  <c r="F2526" i="4"/>
  <c r="G2526" i="4"/>
  <c r="I2526" i="4"/>
  <c r="J2526" i="4"/>
  <c r="K2526" i="4"/>
  <c r="L2526" i="4"/>
  <c r="N2526" i="4"/>
  <c r="O2526" i="4"/>
  <c r="Q2526" i="4"/>
  <c r="R2526" i="4"/>
  <c r="S2526" i="4"/>
  <c r="T2526" i="4"/>
  <c r="Y2526" i="4"/>
  <c r="G2527" i="4"/>
  <c r="I2527" i="4"/>
  <c r="J2527" i="4"/>
  <c r="K2527" i="4"/>
  <c r="L2527" i="4"/>
  <c r="N2527" i="4"/>
  <c r="O2527" i="4"/>
  <c r="Q2527" i="4"/>
  <c r="R2527" i="4"/>
  <c r="S2527" i="4"/>
  <c r="T2527" i="4"/>
  <c r="Y2527" i="4"/>
  <c r="G2528" i="4"/>
  <c r="I2528" i="4"/>
  <c r="J2528" i="4"/>
  <c r="K2528" i="4"/>
  <c r="L2528" i="4"/>
  <c r="N2528" i="4"/>
  <c r="O2528" i="4"/>
  <c r="Q2528" i="4"/>
  <c r="R2528" i="4"/>
  <c r="S2528" i="4"/>
  <c r="T2528" i="4"/>
  <c r="W2528" i="4"/>
  <c r="Y2528" i="4"/>
  <c r="E2529" i="4"/>
  <c r="F2529" i="4"/>
  <c r="G2529" i="4"/>
  <c r="I2529" i="4"/>
  <c r="J2529" i="4"/>
  <c r="K2529" i="4"/>
  <c r="L2529" i="4"/>
  <c r="N2529" i="4"/>
  <c r="O2529" i="4"/>
  <c r="Q2529" i="4"/>
  <c r="R2529" i="4"/>
  <c r="S2529" i="4"/>
  <c r="T2529" i="4"/>
  <c r="W2529" i="4"/>
  <c r="Y2529" i="4"/>
  <c r="E2530" i="4"/>
  <c r="F2530" i="4"/>
  <c r="G2530" i="4"/>
  <c r="I2530" i="4"/>
  <c r="J2530" i="4"/>
  <c r="K2530" i="4"/>
  <c r="L2530" i="4"/>
  <c r="N2530" i="4"/>
  <c r="O2530" i="4"/>
  <c r="Q2530" i="4"/>
  <c r="R2530" i="4"/>
  <c r="S2530" i="4"/>
  <c r="T2530" i="4"/>
  <c r="Y2530" i="4"/>
  <c r="E2531" i="4"/>
  <c r="F2531" i="4"/>
  <c r="G2531" i="4"/>
  <c r="I2531" i="4"/>
  <c r="J2531" i="4"/>
  <c r="K2531" i="4"/>
  <c r="L2531" i="4"/>
  <c r="N2531" i="4"/>
  <c r="O2531" i="4"/>
  <c r="Q2531" i="4"/>
  <c r="R2531" i="4"/>
  <c r="S2531" i="4"/>
  <c r="T2531" i="4"/>
  <c r="Y2531" i="4"/>
  <c r="E2532" i="4"/>
  <c r="F2532" i="4"/>
  <c r="G2532" i="4"/>
  <c r="I2532" i="4"/>
  <c r="J2532" i="4"/>
  <c r="K2532" i="4"/>
  <c r="L2532" i="4"/>
  <c r="N2532" i="4"/>
  <c r="O2532" i="4"/>
  <c r="Q2532" i="4"/>
  <c r="R2532" i="4"/>
  <c r="S2532" i="4"/>
  <c r="T2532" i="4"/>
  <c r="Y2532" i="4"/>
  <c r="E2533" i="4"/>
  <c r="F2533" i="4"/>
  <c r="G2533" i="4"/>
  <c r="I2533" i="4"/>
  <c r="J2533" i="4"/>
  <c r="K2533" i="4"/>
  <c r="L2533" i="4"/>
  <c r="N2533" i="4"/>
  <c r="O2533" i="4"/>
  <c r="Q2533" i="4"/>
  <c r="R2533" i="4"/>
  <c r="S2533" i="4"/>
  <c r="T2533" i="4"/>
  <c r="Y2533" i="4"/>
  <c r="X2534" i="4"/>
  <c r="Z2534" i="4" s="1"/>
  <c r="P2535" i="4"/>
  <c r="X2536" i="4"/>
  <c r="Z2536" i="4" s="1"/>
  <c r="X2537" i="4"/>
  <c r="Z2537" i="4" s="1"/>
  <c r="F2538" i="4"/>
  <c r="G2538" i="4"/>
  <c r="I2538" i="4"/>
  <c r="J2538" i="4"/>
  <c r="K2538" i="4"/>
  <c r="N2538" i="4"/>
  <c r="O2538" i="4"/>
  <c r="Q2538" i="4"/>
  <c r="R2538" i="4"/>
  <c r="S2538" i="4"/>
  <c r="X2538" i="4"/>
  <c r="Z2538" i="4" s="1"/>
  <c r="Y2538" i="4"/>
  <c r="X2539" i="4"/>
  <c r="Z2539" i="4" s="1"/>
  <c r="X2540" i="4"/>
  <c r="Z2540" i="4" s="1"/>
  <c r="G2541" i="4"/>
  <c r="I2541" i="4"/>
  <c r="J2541" i="4"/>
  <c r="K2541" i="4"/>
  <c r="L2541" i="4"/>
  <c r="N2541" i="4"/>
  <c r="O2541" i="4"/>
  <c r="Q2541" i="4"/>
  <c r="R2541" i="4"/>
  <c r="S2541" i="4"/>
  <c r="T2541" i="4"/>
  <c r="Y2541" i="4"/>
  <c r="E2542" i="4"/>
  <c r="F2542" i="4"/>
  <c r="G2542" i="4"/>
  <c r="I2542" i="4"/>
  <c r="J2542" i="4"/>
  <c r="K2542" i="4"/>
  <c r="L2542" i="4"/>
  <c r="N2542" i="4"/>
  <c r="O2542" i="4"/>
  <c r="Q2542" i="4"/>
  <c r="R2542" i="4"/>
  <c r="S2542" i="4"/>
  <c r="T2542" i="4"/>
  <c r="Y2542" i="4"/>
  <c r="E2543" i="4"/>
  <c r="F2543" i="4"/>
  <c r="G2543" i="4"/>
  <c r="I2543" i="4"/>
  <c r="J2543" i="4"/>
  <c r="K2543" i="4"/>
  <c r="L2543" i="4"/>
  <c r="N2543" i="4"/>
  <c r="O2543" i="4"/>
  <c r="Q2543" i="4"/>
  <c r="R2543" i="4"/>
  <c r="S2543" i="4"/>
  <c r="T2543" i="4"/>
  <c r="Y2543" i="4"/>
  <c r="E2544" i="4"/>
  <c r="F2544" i="4"/>
  <c r="G2544" i="4"/>
  <c r="I2544" i="4"/>
  <c r="J2544" i="4"/>
  <c r="K2544" i="4"/>
  <c r="L2544" i="4"/>
  <c r="N2544" i="4"/>
  <c r="O2544" i="4"/>
  <c r="Q2544" i="4"/>
  <c r="R2544" i="4"/>
  <c r="S2544" i="4"/>
  <c r="T2544" i="4"/>
  <c r="Y2544" i="4"/>
  <c r="E2545" i="4"/>
  <c r="F2545" i="4"/>
  <c r="G2545" i="4"/>
  <c r="I2545" i="4"/>
  <c r="J2545" i="4"/>
  <c r="K2545" i="4"/>
  <c r="L2545" i="4"/>
  <c r="N2545" i="4"/>
  <c r="O2545" i="4"/>
  <c r="Q2545" i="4"/>
  <c r="R2545" i="4"/>
  <c r="S2545" i="4"/>
  <c r="T2545" i="4"/>
  <c r="Y2545" i="4"/>
  <c r="F2546" i="4"/>
  <c r="G2546" i="4"/>
  <c r="I2546" i="4"/>
  <c r="J2546" i="4"/>
  <c r="K2546" i="4"/>
  <c r="L2546" i="4"/>
  <c r="N2546" i="4"/>
  <c r="O2546" i="4"/>
  <c r="Q2546" i="4"/>
  <c r="R2546" i="4"/>
  <c r="S2546" i="4"/>
  <c r="T2546" i="4"/>
  <c r="Y2546" i="4"/>
  <c r="E2547" i="4"/>
  <c r="F2547" i="4"/>
  <c r="G2547" i="4"/>
  <c r="I2547" i="4"/>
  <c r="J2547" i="4"/>
  <c r="K2547" i="4"/>
  <c r="L2547" i="4"/>
  <c r="N2547" i="4"/>
  <c r="O2547" i="4"/>
  <c r="Q2547" i="4"/>
  <c r="R2547" i="4"/>
  <c r="S2547" i="4"/>
  <c r="T2547" i="4"/>
  <c r="Y2547" i="4"/>
  <c r="G2548" i="4"/>
  <c r="I2548" i="4"/>
  <c r="J2548" i="4"/>
  <c r="K2548" i="4"/>
  <c r="L2548" i="4"/>
  <c r="N2548" i="4"/>
  <c r="O2548" i="4"/>
  <c r="Q2548" i="4"/>
  <c r="R2548" i="4"/>
  <c r="S2548" i="4"/>
  <c r="T2548" i="4"/>
  <c r="Y2548" i="4"/>
  <c r="E2549" i="4"/>
  <c r="F2549" i="4"/>
  <c r="G2549" i="4"/>
  <c r="I2549" i="4"/>
  <c r="J2549" i="4"/>
  <c r="K2549" i="4"/>
  <c r="L2549" i="4"/>
  <c r="N2549" i="4"/>
  <c r="O2549" i="4"/>
  <c r="Q2549" i="4"/>
  <c r="R2549" i="4"/>
  <c r="S2549" i="4"/>
  <c r="T2549" i="4"/>
  <c r="Y2549" i="4"/>
  <c r="E2550" i="4"/>
  <c r="F2550" i="4"/>
  <c r="G2550" i="4"/>
  <c r="I2550" i="4"/>
  <c r="J2550" i="4"/>
  <c r="K2550" i="4"/>
  <c r="L2550" i="4"/>
  <c r="N2550" i="4"/>
  <c r="O2550" i="4"/>
  <c r="Q2550" i="4"/>
  <c r="R2550" i="4"/>
  <c r="S2550" i="4"/>
  <c r="T2550" i="4"/>
  <c r="Y2550" i="4"/>
  <c r="E2551" i="4"/>
  <c r="F2551" i="4"/>
  <c r="G2551" i="4"/>
  <c r="I2551" i="4"/>
  <c r="J2551" i="4"/>
  <c r="K2551" i="4"/>
  <c r="L2551" i="4"/>
  <c r="N2551" i="4"/>
  <c r="O2551" i="4"/>
  <c r="Q2551" i="4"/>
  <c r="R2551" i="4"/>
  <c r="S2551" i="4"/>
  <c r="T2551" i="4"/>
  <c r="Y2551" i="4"/>
  <c r="E2552" i="4"/>
  <c r="F2552" i="4"/>
  <c r="G2552" i="4"/>
  <c r="I2552" i="4"/>
  <c r="J2552" i="4"/>
  <c r="K2552" i="4"/>
  <c r="L2552" i="4"/>
  <c r="N2552" i="4"/>
  <c r="O2552" i="4"/>
  <c r="Q2552" i="4"/>
  <c r="R2552" i="4"/>
  <c r="S2552" i="4"/>
  <c r="T2552" i="4"/>
  <c r="Y2552" i="4"/>
  <c r="G2553" i="4"/>
  <c r="I2553" i="4"/>
  <c r="J2553" i="4"/>
  <c r="K2553" i="4"/>
  <c r="L2553" i="4"/>
  <c r="N2553" i="4"/>
  <c r="O2553" i="4"/>
  <c r="Q2553" i="4"/>
  <c r="R2553" i="4"/>
  <c r="S2553" i="4"/>
  <c r="T2553" i="4"/>
  <c r="Y2553" i="4"/>
  <c r="E2554" i="4"/>
  <c r="F2554" i="4"/>
  <c r="G2554" i="4"/>
  <c r="I2554" i="4"/>
  <c r="J2554" i="4"/>
  <c r="K2554" i="4"/>
  <c r="L2554" i="4"/>
  <c r="N2554" i="4"/>
  <c r="O2554" i="4"/>
  <c r="Q2554" i="4"/>
  <c r="R2554" i="4"/>
  <c r="S2554" i="4"/>
  <c r="T2554" i="4"/>
  <c r="Y2554" i="4"/>
  <c r="E2555" i="4"/>
  <c r="F2555" i="4"/>
  <c r="G2555" i="4"/>
  <c r="I2555" i="4"/>
  <c r="J2555" i="4"/>
  <c r="K2555" i="4"/>
  <c r="L2555" i="4"/>
  <c r="N2555" i="4"/>
  <c r="O2555" i="4"/>
  <c r="Q2555" i="4"/>
  <c r="R2555" i="4"/>
  <c r="S2555" i="4"/>
  <c r="T2555" i="4"/>
  <c r="Y2555" i="4"/>
  <c r="G2556" i="4"/>
  <c r="I2556" i="4"/>
  <c r="J2556" i="4"/>
  <c r="K2556" i="4"/>
  <c r="L2556" i="4"/>
  <c r="N2556" i="4"/>
  <c r="O2556" i="4"/>
  <c r="Q2556" i="4"/>
  <c r="R2556" i="4"/>
  <c r="S2556" i="4"/>
  <c r="T2556" i="4"/>
  <c r="Y2556" i="4"/>
  <c r="G2557" i="4"/>
  <c r="I2557" i="4"/>
  <c r="J2557" i="4"/>
  <c r="K2557" i="4"/>
  <c r="L2557" i="4"/>
  <c r="N2557" i="4"/>
  <c r="O2557" i="4"/>
  <c r="Q2557" i="4"/>
  <c r="R2557" i="4"/>
  <c r="S2557" i="4"/>
  <c r="T2557" i="4"/>
  <c r="Y2557" i="4"/>
  <c r="E2558" i="4"/>
  <c r="F2558" i="4"/>
  <c r="G2558" i="4"/>
  <c r="I2558" i="4"/>
  <c r="J2558" i="4"/>
  <c r="K2558" i="4"/>
  <c r="L2558" i="4"/>
  <c r="N2558" i="4"/>
  <c r="O2558" i="4"/>
  <c r="Q2558" i="4"/>
  <c r="R2558" i="4"/>
  <c r="S2558" i="4"/>
  <c r="T2558" i="4"/>
  <c r="Y2558" i="4"/>
  <c r="E2559" i="4"/>
  <c r="F2559" i="4"/>
  <c r="G2559" i="4"/>
  <c r="I2559" i="4"/>
  <c r="J2559" i="4"/>
  <c r="K2559" i="4"/>
  <c r="L2559" i="4"/>
  <c r="N2559" i="4"/>
  <c r="O2559" i="4"/>
  <c r="Q2559" i="4"/>
  <c r="R2559" i="4"/>
  <c r="S2559" i="4"/>
  <c r="T2559" i="4"/>
  <c r="Y2559" i="4"/>
  <c r="E2560" i="4"/>
  <c r="F2560" i="4"/>
  <c r="G2560" i="4"/>
  <c r="I2560" i="4"/>
  <c r="J2560" i="4"/>
  <c r="K2560" i="4"/>
  <c r="L2560" i="4"/>
  <c r="N2560" i="4"/>
  <c r="O2560" i="4"/>
  <c r="Q2560" i="4"/>
  <c r="R2560" i="4"/>
  <c r="S2560" i="4"/>
  <c r="T2560" i="4"/>
  <c r="Y2560" i="4"/>
  <c r="E2561" i="4"/>
  <c r="F2561" i="4"/>
  <c r="G2561" i="4"/>
  <c r="I2561" i="4"/>
  <c r="J2561" i="4"/>
  <c r="K2561" i="4"/>
  <c r="L2561" i="4"/>
  <c r="N2561" i="4"/>
  <c r="O2561" i="4"/>
  <c r="Q2561" i="4"/>
  <c r="R2561" i="4"/>
  <c r="S2561" i="4"/>
  <c r="T2561" i="4"/>
  <c r="Y2561" i="4"/>
  <c r="E2562" i="4"/>
  <c r="F2562" i="4"/>
  <c r="G2562" i="4"/>
  <c r="I2562" i="4"/>
  <c r="J2562" i="4"/>
  <c r="K2562" i="4"/>
  <c r="L2562" i="4"/>
  <c r="N2562" i="4"/>
  <c r="O2562" i="4"/>
  <c r="Q2562" i="4"/>
  <c r="R2562" i="4"/>
  <c r="S2562" i="4"/>
  <c r="T2562" i="4"/>
  <c r="Y2562" i="4"/>
  <c r="F2563" i="4"/>
  <c r="G2563" i="4"/>
  <c r="I2563" i="4"/>
  <c r="J2563" i="4"/>
  <c r="K2563" i="4"/>
  <c r="L2563" i="4"/>
  <c r="N2563" i="4"/>
  <c r="O2563" i="4"/>
  <c r="Q2563" i="4"/>
  <c r="R2563" i="4"/>
  <c r="S2563" i="4"/>
  <c r="T2563" i="4"/>
  <c r="Y2563" i="4"/>
  <c r="X2564" i="4"/>
  <c r="Z2564" i="4" s="1"/>
  <c r="P2565" i="4"/>
  <c r="E2573" i="4"/>
  <c r="F2573" i="4"/>
  <c r="G2573" i="4"/>
  <c r="I2573" i="4"/>
  <c r="J2573" i="4"/>
  <c r="K2573" i="4"/>
  <c r="L2573" i="4"/>
  <c r="N2573" i="4"/>
  <c r="O2573" i="4"/>
  <c r="Q2573" i="4"/>
  <c r="R2573" i="4"/>
  <c r="S2573" i="4"/>
  <c r="T2573" i="4"/>
  <c r="Y2573" i="4"/>
  <c r="E2574" i="4"/>
  <c r="F2574" i="4"/>
  <c r="G2574" i="4"/>
  <c r="I2574" i="4"/>
  <c r="J2574" i="4"/>
  <c r="K2574" i="4"/>
  <c r="L2574" i="4"/>
  <c r="N2574" i="4"/>
  <c r="O2574" i="4"/>
  <c r="Q2574" i="4"/>
  <c r="R2574" i="4"/>
  <c r="S2574" i="4"/>
  <c r="T2574" i="4"/>
  <c r="Y2574" i="4"/>
  <c r="E2575" i="4"/>
  <c r="F2575" i="4"/>
  <c r="G2575" i="4"/>
  <c r="I2575" i="4"/>
  <c r="J2575" i="4"/>
  <c r="K2575" i="4"/>
  <c r="L2575" i="4"/>
  <c r="N2575" i="4"/>
  <c r="O2575" i="4"/>
  <c r="Q2575" i="4"/>
  <c r="R2575" i="4"/>
  <c r="S2575" i="4"/>
  <c r="T2575" i="4"/>
  <c r="Y2575" i="4"/>
  <c r="E2576" i="4"/>
  <c r="F2576" i="4"/>
  <c r="G2576" i="4"/>
  <c r="I2576" i="4"/>
  <c r="J2576" i="4"/>
  <c r="K2576" i="4"/>
  <c r="L2576" i="4"/>
  <c r="N2576" i="4"/>
  <c r="O2576" i="4"/>
  <c r="Q2576" i="4"/>
  <c r="R2576" i="4"/>
  <c r="S2576" i="4"/>
  <c r="T2576" i="4"/>
  <c r="Y2576" i="4"/>
  <c r="E2577" i="4"/>
  <c r="F2577" i="4"/>
  <c r="G2577" i="4"/>
  <c r="I2577" i="4"/>
  <c r="J2577" i="4"/>
  <c r="K2577" i="4"/>
  <c r="L2577" i="4"/>
  <c r="N2577" i="4"/>
  <c r="O2577" i="4"/>
  <c r="Q2577" i="4"/>
  <c r="R2577" i="4"/>
  <c r="S2577" i="4"/>
  <c r="T2577" i="4"/>
  <c r="Y2577" i="4"/>
  <c r="E2578" i="4"/>
  <c r="F2578" i="4"/>
  <c r="G2578" i="4"/>
  <c r="I2578" i="4"/>
  <c r="J2578" i="4"/>
  <c r="K2578" i="4"/>
  <c r="L2578" i="4"/>
  <c r="N2578" i="4"/>
  <c r="O2578" i="4"/>
  <c r="Q2578" i="4"/>
  <c r="R2578" i="4"/>
  <c r="S2578" i="4"/>
  <c r="T2578" i="4"/>
  <c r="Y2578" i="4"/>
  <c r="E2579" i="4"/>
  <c r="F2579" i="4"/>
  <c r="G2579" i="4"/>
  <c r="I2579" i="4"/>
  <c r="J2579" i="4"/>
  <c r="K2579" i="4"/>
  <c r="L2579" i="4"/>
  <c r="N2579" i="4"/>
  <c r="O2579" i="4"/>
  <c r="Q2579" i="4"/>
  <c r="R2579" i="4"/>
  <c r="S2579" i="4"/>
  <c r="T2579" i="4"/>
  <c r="Y2579" i="4"/>
  <c r="E2580" i="4"/>
  <c r="F2580" i="4"/>
  <c r="G2580" i="4"/>
  <c r="I2580" i="4"/>
  <c r="J2580" i="4"/>
  <c r="K2580" i="4"/>
  <c r="L2580" i="4"/>
  <c r="N2580" i="4"/>
  <c r="O2580" i="4"/>
  <c r="Q2580" i="4"/>
  <c r="R2580" i="4"/>
  <c r="S2580" i="4"/>
  <c r="T2580" i="4"/>
  <c r="Y2580" i="4"/>
  <c r="E2581" i="4"/>
  <c r="F2581" i="4"/>
  <c r="G2581" i="4"/>
  <c r="I2581" i="4"/>
  <c r="J2581" i="4"/>
  <c r="K2581" i="4"/>
  <c r="L2581" i="4"/>
  <c r="N2581" i="4"/>
  <c r="O2581" i="4"/>
  <c r="Q2581" i="4"/>
  <c r="R2581" i="4"/>
  <c r="S2581" i="4"/>
  <c r="T2581" i="4"/>
  <c r="Y2581" i="4"/>
  <c r="F2582" i="4"/>
  <c r="G2582" i="4"/>
  <c r="I2582" i="4"/>
  <c r="J2582" i="4"/>
  <c r="K2582" i="4"/>
  <c r="L2582" i="4"/>
  <c r="N2582" i="4"/>
  <c r="O2582" i="4"/>
  <c r="Q2582" i="4"/>
  <c r="R2582" i="4"/>
  <c r="S2582" i="4"/>
  <c r="T2582" i="4"/>
  <c r="Y2582" i="4"/>
  <c r="E2583" i="4"/>
  <c r="F2583" i="4"/>
  <c r="G2583" i="4"/>
  <c r="I2583" i="4"/>
  <c r="J2583" i="4"/>
  <c r="K2583" i="4"/>
  <c r="L2583" i="4"/>
  <c r="N2583" i="4"/>
  <c r="O2583" i="4"/>
  <c r="Q2583" i="4"/>
  <c r="R2583" i="4"/>
  <c r="S2583" i="4"/>
  <c r="T2583" i="4"/>
  <c r="Y2583" i="4"/>
  <c r="E2584" i="4"/>
  <c r="F2584" i="4"/>
  <c r="G2584" i="4"/>
  <c r="I2584" i="4"/>
  <c r="J2584" i="4"/>
  <c r="K2584" i="4"/>
  <c r="L2584" i="4"/>
  <c r="N2584" i="4"/>
  <c r="O2584" i="4"/>
  <c r="Q2584" i="4"/>
  <c r="R2584" i="4"/>
  <c r="S2584" i="4"/>
  <c r="T2584" i="4"/>
  <c r="Y2584" i="4"/>
  <c r="E2585" i="4"/>
  <c r="F2585" i="4"/>
  <c r="G2585" i="4"/>
  <c r="I2585" i="4"/>
  <c r="J2585" i="4"/>
  <c r="K2585" i="4"/>
  <c r="L2585" i="4"/>
  <c r="N2585" i="4"/>
  <c r="O2585" i="4"/>
  <c r="Q2585" i="4"/>
  <c r="R2585" i="4"/>
  <c r="S2585" i="4"/>
  <c r="T2585" i="4"/>
  <c r="Y2585" i="4"/>
  <c r="E2586" i="4"/>
  <c r="F2586" i="4"/>
  <c r="G2586" i="4"/>
  <c r="I2586" i="4"/>
  <c r="J2586" i="4"/>
  <c r="K2586" i="4"/>
  <c r="L2586" i="4"/>
  <c r="N2586" i="4"/>
  <c r="O2586" i="4"/>
  <c r="Q2586" i="4"/>
  <c r="R2586" i="4"/>
  <c r="S2586" i="4"/>
  <c r="T2586" i="4"/>
  <c r="Y2586" i="4"/>
  <c r="E2587" i="4"/>
  <c r="F2587" i="4"/>
  <c r="G2587" i="4"/>
  <c r="I2587" i="4"/>
  <c r="J2587" i="4"/>
  <c r="K2587" i="4"/>
  <c r="L2587" i="4"/>
  <c r="N2587" i="4"/>
  <c r="O2587" i="4"/>
  <c r="Q2587" i="4"/>
  <c r="R2587" i="4"/>
  <c r="S2587" i="4"/>
  <c r="T2587" i="4"/>
  <c r="Y2587" i="4"/>
  <c r="E2588" i="4"/>
  <c r="F2588" i="4"/>
  <c r="G2588" i="4"/>
  <c r="I2588" i="4"/>
  <c r="J2588" i="4"/>
  <c r="K2588" i="4"/>
  <c r="L2588" i="4"/>
  <c r="N2588" i="4"/>
  <c r="O2588" i="4"/>
  <c r="Q2588" i="4"/>
  <c r="R2588" i="4"/>
  <c r="S2588" i="4"/>
  <c r="T2588" i="4"/>
  <c r="Y2588" i="4"/>
  <c r="E2589" i="4"/>
  <c r="F2589" i="4"/>
  <c r="G2589" i="4"/>
  <c r="I2589" i="4"/>
  <c r="J2589" i="4"/>
  <c r="K2589" i="4"/>
  <c r="L2589" i="4"/>
  <c r="N2589" i="4"/>
  <c r="O2589" i="4"/>
  <c r="Q2589" i="4"/>
  <c r="R2589" i="4"/>
  <c r="S2589" i="4"/>
  <c r="T2589" i="4"/>
  <c r="Y2589" i="4"/>
  <c r="G2590" i="4"/>
  <c r="I2590" i="4"/>
  <c r="J2590" i="4"/>
  <c r="K2590" i="4"/>
  <c r="L2590" i="4"/>
  <c r="N2590" i="4"/>
  <c r="O2590" i="4"/>
  <c r="Q2590" i="4"/>
  <c r="R2590" i="4"/>
  <c r="S2590" i="4"/>
  <c r="T2590" i="4"/>
  <c r="Y2590" i="4"/>
  <c r="E2591" i="4"/>
  <c r="F2591" i="4"/>
  <c r="G2591" i="4"/>
  <c r="I2591" i="4"/>
  <c r="J2591" i="4"/>
  <c r="K2591" i="4"/>
  <c r="L2591" i="4"/>
  <c r="N2591" i="4"/>
  <c r="O2591" i="4"/>
  <c r="Q2591" i="4"/>
  <c r="R2591" i="4"/>
  <c r="S2591" i="4"/>
  <c r="T2591" i="4"/>
  <c r="Y2591" i="4"/>
  <c r="E2592" i="4"/>
  <c r="F2592" i="4"/>
  <c r="G2592" i="4"/>
  <c r="I2592" i="4"/>
  <c r="J2592" i="4"/>
  <c r="K2592" i="4"/>
  <c r="L2592" i="4"/>
  <c r="N2592" i="4"/>
  <c r="O2592" i="4"/>
  <c r="Q2592" i="4"/>
  <c r="R2592" i="4"/>
  <c r="S2592" i="4"/>
  <c r="T2592" i="4"/>
  <c r="Y2592" i="4"/>
  <c r="E2593" i="4"/>
  <c r="F2593" i="4"/>
  <c r="G2593" i="4"/>
  <c r="I2593" i="4"/>
  <c r="J2593" i="4"/>
  <c r="K2593" i="4"/>
  <c r="L2593" i="4"/>
  <c r="N2593" i="4"/>
  <c r="O2593" i="4"/>
  <c r="Q2593" i="4"/>
  <c r="R2593" i="4"/>
  <c r="S2593" i="4"/>
  <c r="T2593" i="4"/>
  <c r="Y2593" i="4"/>
  <c r="E2594" i="4"/>
  <c r="F2594" i="4"/>
  <c r="G2594" i="4"/>
  <c r="I2594" i="4"/>
  <c r="J2594" i="4"/>
  <c r="K2594" i="4"/>
  <c r="L2594" i="4"/>
  <c r="N2594" i="4"/>
  <c r="O2594" i="4"/>
  <c r="Q2594" i="4"/>
  <c r="R2594" i="4"/>
  <c r="S2594" i="4"/>
  <c r="T2594" i="4"/>
  <c r="Y2594" i="4"/>
  <c r="G2595" i="4"/>
  <c r="I2595" i="4"/>
  <c r="J2595" i="4"/>
  <c r="K2595" i="4"/>
  <c r="L2595" i="4"/>
  <c r="N2595" i="4"/>
  <c r="O2595" i="4"/>
  <c r="Q2595" i="4"/>
  <c r="R2595" i="4"/>
  <c r="S2595" i="4"/>
  <c r="T2595" i="4"/>
  <c r="Y2595" i="4"/>
  <c r="E2596" i="4"/>
  <c r="F2596" i="4"/>
  <c r="G2596" i="4"/>
  <c r="I2596" i="4"/>
  <c r="J2596" i="4"/>
  <c r="K2596" i="4"/>
  <c r="L2596" i="4"/>
  <c r="N2596" i="4"/>
  <c r="O2596" i="4"/>
  <c r="Q2596" i="4"/>
  <c r="R2596" i="4"/>
  <c r="S2596" i="4"/>
  <c r="T2596" i="4"/>
  <c r="Y2596" i="4"/>
  <c r="G2597" i="4"/>
  <c r="I2597" i="4"/>
  <c r="J2597" i="4"/>
  <c r="K2597" i="4"/>
  <c r="L2597" i="4"/>
  <c r="N2597" i="4"/>
  <c r="O2597" i="4"/>
  <c r="Q2597" i="4"/>
  <c r="R2597" i="4"/>
  <c r="S2597" i="4"/>
  <c r="T2597" i="4"/>
  <c r="Y2597" i="4"/>
  <c r="G2598" i="4"/>
  <c r="I2598" i="4"/>
  <c r="J2598" i="4"/>
  <c r="K2598" i="4"/>
  <c r="L2598" i="4"/>
  <c r="N2598" i="4"/>
  <c r="O2598" i="4"/>
  <c r="P2598" i="4"/>
  <c r="Q2598" i="4"/>
  <c r="R2598" i="4"/>
  <c r="S2598" i="4"/>
  <c r="T2598" i="4"/>
  <c r="Y2598" i="4"/>
  <c r="E2599" i="4"/>
  <c r="F2599" i="4"/>
  <c r="G2599" i="4"/>
  <c r="I2599" i="4"/>
  <c r="J2599" i="4"/>
  <c r="K2599" i="4"/>
  <c r="L2599" i="4"/>
  <c r="N2599" i="4"/>
  <c r="O2599" i="4"/>
  <c r="Q2599" i="4"/>
  <c r="R2599" i="4"/>
  <c r="S2599" i="4"/>
  <c r="T2599" i="4"/>
  <c r="V2599" i="4"/>
  <c r="W2599" i="4"/>
  <c r="Y2599" i="4"/>
  <c r="E2600" i="4"/>
  <c r="F2600" i="4"/>
  <c r="G2600" i="4"/>
  <c r="I2600" i="4"/>
  <c r="J2600" i="4"/>
  <c r="K2600" i="4"/>
  <c r="L2600" i="4"/>
  <c r="N2600" i="4"/>
  <c r="O2600" i="4"/>
  <c r="Q2600" i="4"/>
  <c r="R2600" i="4"/>
  <c r="S2600" i="4"/>
  <c r="T2600" i="4"/>
  <c r="V2600" i="4"/>
  <c r="W2600" i="4"/>
  <c r="Y2600" i="4"/>
  <c r="E2601" i="4"/>
  <c r="F2601" i="4"/>
  <c r="G2601" i="4"/>
  <c r="I2601" i="4"/>
  <c r="J2601" i="4"/>
  <c r="K2601" i="4"/>
  <c r="L2601" i="4"/>
  <c r="N2601" i="4"/>
  <c r="O2601" i="4"/>
  <c r="P2601" i="4"/>
  <c r="Q2601" i="4"/>
  <c r="R2601" i="4"/>
  <c r="S2601" i="4"/>
  <c r="T2601" i="4"/>
  <c r="V2601" i="4"/>
  <c r="W2601" i="4"/>
  <c r="Y2601" i="4"/>
  <c r="G2602" i="4"/>
  <c r="I2602" i="4"/>
  <c r="J2602" i="4"/>
  <c r="K2602" i="4"/>
  <c r="L2602" i="4"/>
  <c r="N2602" i="4"/>
  <c r="O2602" i="4"/>
  <c r="P2602" i="4"/>
  <c r="Q2602" i="4"/>
  <c r="R2602" i="4"/>
  <c r="S2602" i="4"/>
  <c r="T2602" i="4"/>
  <c r="V2602" i="4"/>
  <c r="W2602" i="4"/>
  <c r="Y2602" i="4"/>
  <c r="G2603" i="4"/>
  <c r="I2603" i="4"/>
  <c r="J2603" i="4"/>
  <c r="K2603" i="4"/>
  <c r="L2603" i="4"/>
  <c r="N2603" i="4"/>
  <c r="O2603" i="4"/>
  <c r="Q2603" i="4"/>
  <c r="R2603" i="4"/>
  <c r="S2603" i="4"/>
  <c r="T2603" i="4"/>
  <c r="V2603" i="4"/>
  <c r="W2603" i="4"/>
  <c r="Y2603" i="4"/>
  <c r="E2604" i="4"/>
  <c r="F2604" i="4"/>
  <c r="G2604" i="4"/>
  <c r="I2604" i="4"/>
  <c r="J2604" i="4"/>
  <c r="K2604" i="4"/>
  <c r="L2604" i="4"/>
  <c r="N2604" i="4"/>
  <c r="O2604" i="4"/>
  <c r="Q2604" i="4"/>
  <c r="R2604" i="4"/>
  <c r="S2604" i="4"/>
  <c r="T2604" i="4"/>
  <c r="V2604" i="4"/>
  <c r="W2604" i="4"/>
  <c r="Y2604" i="4"/>
  <c r="G2605" i="4"/>
  <c r="I2605" i="4"/>
  <c r="J2605" i="4"/>
  <c r="K2605" i="4"/>
  <c r="L2605" i="4"/>
  <c r="N2605" i="4"/>
  <c r="O2605" i="4"/>
  <c r="Q2605" i="4"/>
  <c r="R2605" i="4"/>
  <c r="S2605" i="4"/>
  <c r="T2605" i="4"/>
  <c r="V2605" i="4"/>
  <c r="W2605" i="4"/>
  <c r="Y2605" i="4"/>
  <c r="G2606" i="4"/>
  <c r="I2606" i="4"/>
  <c r="J2606" i="4"/>
  <c r="K2606" i="4"/>
  <c r="L2606" i="4"/>
  <c r="N2606" i="4"/>
  <c r="O2606" i="4"/>
  <c r="Q2606" i="4"/>
  <c r="R2606" i="4"/>
  <c r="S2606" i="4"/>
  <c r="T2606" i="4"/>
  <c r="Y2606" i="4"/>
  <c r="P2608" i="4"/>
  <c r="X2609" i="4"/>
  <c r="E2610" i="4"/>
  <c r="F2610" i="4"/>
  <c r="F2612" i="4" s="1"/>
  <c r="G2610" i="4"/>
  <c r="G2612" i="4" s="1"/>
  <c r="I2610" i="4"/>
  <c r="I2612" i="4" s="1"/>
  <c r="J2610" i="4"/>
  <c r="J2612" i="4" s="1"/>
  <c r="N2610" i="4"/>
  <c r="N2612" i="4" s="1"/>
  <c r="O2610" i="4"/>
  <c r="O2612" i="4" s="1"/>
  <c r="Q2610" i="4"/>
  <c r="Q2612" i="4" s="1"/>
  <c r="R2610" i="4"/>
  <c r="R2612" i="4" s="1"/>
  <c r="S2610" i="4"/>
  <c r="S2612" i="4" s="1"/>
  <c r="Y2610" i="4"/>
  <c r="Y2612" i="4" s="1"/>
  <c r="X2611" i="4"/>
  <c r="E2612" i="4"/>
  <c r="H2612" i="4"/>
  <c r="X2613" i="4"/>
  <c r="X2614" i="4"/>
  <c r="X2615" i="4"/>
  <c r="E2616" i="4"/>
  <c r="F2616" i="4"/>
  <c r="G2616" i="4"/>
  <c r="I2616" i="4"/>
  <c r="J2616" i="4"/>
  <c r="K2616" i="4"/>
  <c r="L2616" i="4"/>
  <c r="N2616" i="4"/>
  <c r="O2616" i="4"/>
  <c r="Q2616" i="4"/>
  <c r="R2616" i="4"/>
  <c r="S2616" i="4"/>
  <c r="T2616" i="4"/>
  <c r="Y2616" i="4"/>
  <c r="E2617" i="4"/>
  <c r="F2617" i="4"/>
  <c r="G2617" i="4"/>
  <c r="I2617" i="4"/>
  <c r="J2617" i="4"/>
  <c r="K2617" i="4"/>
  <c r="L2617" i="4"/>
  <c r="N2617" i="4"/>
  <c r="O2617" i="4"/>
  <c r="Q2617" i="4"/>
  <c r="R2617" i="4"/>
  <c r="S2617" i="4"/>
  <c r="T2617" i="4"/>
  <c r="Y2617" i="4"/>
  <c r="F2618" i="4"/>
  <c r="G2618" i="4"/>
  <c r="I2618" i="4"/>
  <c r="J2618" i="4"/>
  <c r="K2618" i="4"/>
  <c r="L2618" i="4"/>
  <c r="N2618" i="4"/>
  <c r="O2618" i="4"/>
  <c r="Q2618" i="4"/>
  <c r="R2618" i="4"/>
  <c r="S2618" i="4"/>
  <c r="T2618" i="4"/>
  <c r="Y2618" i="4"/>
  <c r="E2619" i="4"/>
  <c r="F2619" i="4"/>
  <c r="G2619" i="4"/>
  <c r="I2619" i="4"/>
  <c r="J2619" i="4"/>
  <c r="K2619" i="4"/>
  <c r="L2619" i="4"/>
  <c r="N2619" i="4"/>
  <c r="O2619" i="4"/>
  <c r="Q2619" i="4"/>
  <c r="R2619" i="4"/>
  <c r="S2619" i="4"/>
  <c r="T2619" i="4"/>
  <c r="Y2619" i="4"/>
  <c r="E2620" i="4"/>
  <c r="F2620" i="4"/>
  <c r="G2620" i="4"/>
  <c r="I2620" i="4"/>
  <c r="J2620" i="4"/>
  <c r="K2620" i="4"/>
  <c r="L2620" i="4"/>
  <c r="N2620" i="4"/>
  <c r="O2620" i="4"/>
  <c r="Q2620" i="4"/>
  <c r="R2620" i="4"/>
  <c r="S2620" i="4"/>
  <c r="T2620" i="4"/>
  <c r="Y2620" i="4"/>
  <c r="E2621" i="4"/>
  <c r="F2621" i="4"/>
  <c r="G2621" i="4"/>
  <c r="I2621" i="4"/>
  <c r="J2621" i="4"/>
  <c r="K2621" i="4"/>
  <c r="L2621" i="4"/>
  <c r="N2621" i="4"/>
  <c r="O2621" i="4"/>
  <c r="Q2621" i="4"/>
  <c r="R2621" i="4"/>
  <c r="S2621" i="4"/>
  <c r="T2621" i="4"/>
  <c r="Y2621" i="4"/>
  <c r="E2622" i="4"/>
  <c r="F2622" i="4"/>
  <c r="G2622" i="4"/>
  <c r="I2622" i="4"/>
  <c r="J2622" i="4"/>
  <c r="K2622" i="4"/>
  <c r="L2622" i="4"/>
  <c r="N2622" i="4"/>
  <c r="O2622" i="4"/>
  <c r="Q2622" i="4"/>
  <c r="R2622" i="4"/>
  <c r="S2622" i="4"/>
  <c r="T2622" i="4"/>
  <c r="Y2622" i="4"/>
  <c r="E2623" i="4"/>
  <c r="F2623" i="4"/>
  <c r="G2623" i="4"/>
  <c r="I2623" i="4"/>
  <c r="J2623" i="4"/>
  <c r="K2623" i="4"/>
  <c r="L2623" i="4"/>
  <c r="N2623" i="4"/>
  <c r="O2623" i="4"/>
  <c r="Q2623" i="4"/>
  <c r="R2623" i="4"/>
  <c r="S2623" i="4"/>
  <c r="T2623" i="4"/>
  <c r="Y2623" i="4"/>
  <c r="E2624" i="4"/>
  <c r="F2624" i="4"/>
  <c r="G2624" i="4"/>
  <c r="I2624" i="4"/>
  <c r="J2624" i="4"/>
  <c r="K2624" i="4"/>
  <c r="L2624" i="4"/>
  <c r="N2624" i="4"/>
  <c r="O2624" i="4"/>
  <c r="Q2624" i="4"/>
  <c r="R2624" i="4"/>
  <c r="S2624" i="4"/>
  <c r="T2624" i="4"/>
  <c r="Y2624" i="4"/>
  <c r="F2625" i="4"/>
  <c r="G2625" i="4"/>
  <c r="I2625" i="4"/>
  <c r="J2625" i="4"/>
  <c r="K2625" i="4"/>
  <c r="L2625" i="4"/>
  <c r="N2625" i="4"/>
  <c r="O2625" i="4"/>
  <c r="Q2625" i="4"/>
  <c r="R2625" i="4"/>
  <c r="S2625" i="4"/>
  <c r="T2625" i="4"/>
  <c r="Y2625" i="4"/>
  <c r="F2626" i="4"/>
  <c r="G2626" i="4"/>
  <c r="I2626" i="4"/>
  <c r="J2626" i="4"/>
  <c r="K2626" i="4"/>
  <c r="L2626" i="4"/>
  <c r="N2626" i="4"/>
  <c r="O2626" i="4"/>
  <c r="Q2626" i="4"/>
  <c r="R2626" i="4"/>
  <c r="S2626" i="4"/>
  <c r="T2626" i="4"/>
  <c r="Y2626" i="4"/>
  <c r="E2627" i="4"/>
  <c r="F2627" i="4"/>
  <c r="G2627" i="4"/>
  <c r="I2627" i="4"/>
  <c r="J2627" i="4"/>
  <c r="K2627" i="4"/>
  <c r="L2627" i="4"/>
  <c r="N2627" i="4"/>
  <c r="O2627" i="4"/>
  <c r="Q2627" i="4"/>
  <c r="R2627" i="4"/>
  <c r="S2627" i="4"/>
  <c r="T2627" i="4"/>
  <c r="Y2627" i="4"/>
  <c r="E2628" i="4"/>
  <c r="F2628" i="4"/>
  <c r="G2628" i="4"/>
  <c r="I2628" i="4"/>
  <c r="J2628" i="4"/>
  <c r="K2628" i="4"/>
  <c r="L2628" i="4"/>
  <c r="N2628" i="4"/>
  <c r="O2628" i="4"/>
  <c r="Q2628" i="4"/>
  <c r="R2628" i="4"/>
  <c r="S2628" i="4"/>
  <c r="T2628" i="4"/>
  <c r="V2628" i="4"/>
  <c r="W2628" i="4"/>
  <c r="Y2628" i="4"/>
  <c r="G2629" i="4"/>
  <c r="J2629" i="4"/>
  <c r="K2629" i="4"/>
  <c r="L2629" i="4"/>
  <c r="N2629" i="4"/>
  <c r="O2629" i="4"/>
  <c r="Q2629" i="4"/>
  <c r="R2629" i="4"/>
  <c r="S2629" i="4"/>
  <c r="T2629" i="4"/>
  <c r="Y2629" i="4"/>
  <c r="E2630" i="4"/>
  <c r="F2630" i="4"/>
  <c r="G2630" i="4"/>
  <c r="I2630" i="4"/>
  <c r="J2630" i="4"/>
  <c r="K2630" i="4"/>
  <c r="L2630" i="4"/>
  <c r="N2630" i="4"/>
  <c r="O2630" i="4"/>
  <c r="Q2630" i="4"/>
  <c r="R2630" i="4"/>
  <c r="S2630" i="4"/>
  <c r="T2630" i="4"/>
  <c r="Y2630" i="4"/>
  <c r="F2631" i="4"/>
  <c r="G2631" i="4"/>
  <c r="I2631" i="4"/>
  <c r="J2631" i="4"/>
  <c r="K2631" i="4"/>
  <c r="L2631" i="4"/>
  <c r="N2631" i="4"/>
  <c r="O2631" i="4"/>
  <c r="Q2631" i="4"/>
  <c r="R2631" i="4"/>
  <c r="S2631" i="4"/>
  <c r="T2631" i="4"/>
  <c r="V2631" i="4"/>
  <c r="W2631" i="4"/>
  <c r="Y2631" i="4"/>
  <c r="E2632" i="4"/>
  <c r="F2632" i="4"/>
  <c r="G2632" i="4"/>
  <c r="I2632" i="4"/>
  <c r="J2632" i="4"/>
  <c r="K2632" i="4"/>
  <c r="L2632" i="4"/>
  <c r="N2632" i="4"/>
  <c r="O2632" i="4"/>
  <c r="Q2632" i="4"/>
  <c r="R2632" i="4"/>
  <c r="S2632" i="4"/>
  <c r="T2632" i="4"/>
  <c r="Y2632" i="4"/>
  <c r="E2633" i="4"/>
  <c r="F2633" i="4"/>
  <c r="G2633" i="4"/>
  <c r="I2633" i="4"/>
  <c r="J2633" i="4"/>
  <c r="K2633" i="4"/>
  <c r="L2633" i="4"/>
  <c r="N2633" i="4"/>
  <c r="O2633" i="4"/>
  <c r="Q2633" i="4"/>
  <c r="R2633" i="4"/>
  <c r="S2633" i="4"/>
  <c r="T2633" i="4"/>
  <c r="Y2633" i="4"/>
  <c r="X2634" i="4"/>
  <c r="P2635" i="4"/>
  <c r="X2636" i="4"/>
  <c r="X2637" i="4"/>
  <c r="X2638" i="4"/>
  <c r="E2639" i="4"/>
  <c r="F2639" i="4"/>
  <c r="G2639" i="4"/>
  <c r="I2639" i="4"/>
  <c r="J2639" i="4"/>
  <c r="K2639" i="4"/>
  <c r="L2639" i="4"/>
  <c r="O2639" i="4"/>
  <c r="Q2639" i="4"/>
  <c r="R2639" i="4"/>
  <c r="S2639" i="4"/>
  <c r="T2639" i="4"/>
  <c r="Y2639" i="4"/>
  <c r="E2640" i="4"/>
  <c r="F2640" i="4"/>
  <c r="G2640" i="4"/>
  <c r="I2640" i="4"/>
  <c r="J2640" i="4"/>
  <c r="K2640" i="4"/>
  <c r="L2640" i="4"/>
  <c r="N2640" i="4"/>
  <c r="O2640" i="4"/>
  <c r="Q2640" i="4"/>
  <c r="R2640" i="4"/>
  <c r="S2640" i="4"/>
  <c r="T2640" i="4"/>
  <c r="Y2640" i="4"/>
  <c r="E2641" i="4"/>
  <c r="F2641" i="4"/>
  <c r="G2641" i="4"/>
  <c r="I2641" i="4"/>
  <c r="J2641" i="4"/>
  <c r="K2641" i="4"/>
  <c r="L2641" i="4"/>
  <c r="N2641" i="4"/>
  <c r="O2641" i="4"/>
  <c r="Q2641" i="4"/>
  <c r="R2641" i="4"/>
  <c r="S2641" i="4"/>
  <c r="T2641" i="4"/>
  <c r="Y2641" i="4"/>
  <c r="E2642" i="4"/>
  <c r="F2642" i="4"/>
  <c r="G2642" i="4"/>
  <c r="I2642" i="4"/>
  <c r="J2642" i="4"/>
  <c r="K2642" i="4"/>
  <c r="L2642" i="4"/>
  <c r="N2642" i="4"/>
  <c r="O2642" i="4"/>
  <c r="Q2642" i="4"/>
  <c r="R2642" i="4"/>
  <c r="S2642" i="4"/>
  <c r="T2642" i="4"/>
  <c r="Y2642" i="4"/>
  <c r="E2643" i="4"/>
  <c r="F2643" i="4"/>
  <c r="G2643" i="4"/>
  <c r="I2643" i="4"/>
  <c r="J2643" i="4"/>
  <c r="K2643" i="4"/>
  <c r="L2643" i="4"/>
  <c r="N2643" i="4"/>
  <c r="O2643" i="4"/>
  <c r="Q2643" i="4"/>
  <c r="R2643" i="4"/>
  <c r="S2643" i="4"/>
  <c r="T2643" i="4"/>
  <c r="Y2643" i="4"/>
  <c r="E2644" i="4"/>
  <c r="F2644" i="4"/>
  <c r="G2644" i="4"/>
  <c r="I2644" i="4"/>
  <c r="J2644" i="4"/>
  <c r="K2644" i="4"/>
  <c r="L2644" i="4"/>
  <c r="N2644" i="4"/>
  <c r="O2644" i="4"/>
  <c r="Q2644" i="4"/>
  <c r="R2644" i="4"/>
  <c r="S2644" i="4"/>
  <c r="T2644" i="4"/>
  <c r="Y2644" i="4"/>
  <c r="E2645" i="4"/>
  <c r="F2645" i="4"/>
  <c r="G2645" i="4"/>
  <c r="I2645" i="4"/>
  <c r="J2645" i="4"/>
  <c r="K2645" i="4"/>
  <c r="L2645" i="4"/>
  <c r="N2645" i="4"/>
  <c r="O2645" i="4"/>
  <c r="Q2645" i="4"/>
  <c r="R2645" i="4"/>
  <c r="S2645" i="4"/>
  <c r="T2645" i="4"/>
  <c r="Y2645" i="4"/>
  <c r="E2646" i="4"/>
  <c r="F2646" i="4"/>
  <c r="G2646" i="4"/>
  <c r="I2646" i="4"/>
  <c r="J2646" i="4"/>
  <c r="K2646" i="4"/>
  <c r="L2646" i="4"/>
  <c r="N2646" i="4"/>
  <c r="O2646" i="4"/>
  <c r="Q2646" i="4"/>
  <c r="R2646" i="4"/>
  <c r="S2646" i="4"/>
  <c r="T2646" i="4"/>
  <c r="Y2646" i="4"/>
  <c r="E2647" i="4"/>
  <c r="F2647" i="4"/>
  <c r="G2647" i="4"/>
  <c r="I2647" i="4"/>
  <c r="J2647" i="4"/>
  <c r="K2647" i="4"/>
  <c r="L2647" i="4"/>
  <c r="N2647" i="4"/>
  <c r="O2647" i="4"/>
  <c r="Q2647" i="4"/>
  <c r="R2647" i="4"/>
  <c r="S2647" i="4"/>
  <c r="T2647" i="4"/>
  <c r="Y2647" i="4"/>
  <c r="E2648" i="4"/>
  <c r="F2648" i="4"/>
  <c r="G2648" i="4"/>
  <c r="I2648" i="4"/>
  <c r="J2648" i="4"/>
  <c r="K2648" i="4"/>
  <c r="L2648" i="4"/>
  <c r="N2648" i="4"/>
  <c r="O2648" i="4"/>
  <c r="Q2648" i="4"/>
  <c r="R2648" i="4"/>
  <c r="S2648" i="4"/>
  <c r="T2648" i="4"/>
  <c r="Y2648" i="4"/>
  <c r="G2649" i="4"/>
  <c r="I2649" i="4"/>
  <c r="J2649" i="4"/>
  <c r="K2649" i="4"/>
  <c r="L2649" i="4"/>
  <c r="N2649" i="4"/>
  <c r="O2649" i="4"/>
  <c r="Q2649" i="4"/>
  <c r="R2649" i="4"/>
  <c r="S2649" i="4"/>
  <c r="T2649" i="4"/>
  <c r="Y2649" i="4"/>
  <c r="E2650" i="4"/>
  <c r="F2650" i="4"/>
  <c r="G2650" i="4"/>
  <c r="I2650" i="4"/>
  <c r="J2650" i="4"/>
  <c r="K2650" i="4"/>
  <c r="L2650" i="4"/>
  <c r="N2650" i="4"/>
  <c r="O2650" i="4"/>
  <c r="Q2650" i="4"/>
  <c r="R2650" i="4"/>
  <c r="S2650" i="4"/>
  <c r="T2650" i="4"/>
  <c r="Y2650" i="4"/>
  <c r="G2651" i="4"/>
  <c r="I2651" i="4"/>
  <c r="J2651" i="4"/>
  <c r="K2651" i="4"/>
  <c r="L2651" i="4"/>
  <c r="N2651" i="4"/>
  <c r="O2651" i="4"/>
  <c r="Q2651" i="4"/>
  <c r="R2651" i="4"/>
  <c r="S2651" i="4"/>
  <c r="T2651" i="4"/>
  <c r="Y2651" i="4"/>
  <c r="G2652" i="4"/>
  <c r="I2652" i="4"/>
  <c r="J2652" i="4"/>
  <c r="K2652" i="4"/>
  <c r="L2652" i="4"/>
  <c r="N2652" i="4"/>
  <c r="O2652" i="4"/>
  <c r="Q2652" i="4"/>
  <c r="R2652" i="4"/>
  <c r="S2652" i="4"/>
  <c r="T2652" i="4"/>
  <c r="Y2652" i="4"/>
  <c r="E2653" i="4"/>
  <c r="F2653" i="4"/>
  <c r="G2653" i="4"/>
  <c r="I2653" i="4"/>
  <c r="J2653" i="4"/>
  <c r="K2653" i="4"/>
  <c r="L2653" i="4"/>
  <c r="N2653" i="4"/>
  <c r="O2653" i="4"/>
  <c r="Q2653" i="4"/>
  <c r="R2653" i="4"/>
  <c r="S2653" i="4"/>
  <c r="T2653" i="4"/>
  <c r="W2653" i="4"/>
  <c r="Y2653" i="4"/>
  <c r="E2654" i="4"/>
  <c r="F2654" i="4"/>
  <c r="G2654" i="4"/>
  <c r="I2654" i="4"/>
  <c r="J2654" i="4"/>
  <c r="K2654" i="4"/>
  <c r="L2654" i="4"/>
  <c r="N2654" i="4"/>
  <c r="O2654" i="4"/>
  <c r="Q2654" i="4"/>
  <c r="R2654" i="4"/>
  <c r="S2654" i="4"/>
  <c r="T2654" i="4"/>
  <c r="W2654" i="4"/>
  <c r="Y2654" i="4"/>
  <c r="E2655" i="4"/>
  <c r="F2655" i="4"/>
  <c r="G2655" i="4"/>
  <c r="I2655" i="4"/>
  <c r="J2655" i="4"/>
  <c r="K2655" i="4"/>
  <c r="L2655" i="4"/>
  <c r="N2655" i="4"/>
  <c r="O2655" i="4"/>
  <c r="Q2655" i="4"/>
  <c r="R2655" i="4"/>
  <c r="S2655" i="4"/>
  <c r="T2655" i="4"/>
  <c r="V2655" i="4"/>
  <c r="W2655" i="4"/>
  <c r="Y2655" i="4"/>
  <c r="E2656" i="4"/>
  <c r="F2656" i="4"/>
  <c r="G2656" i="4"/>
  <c r="I2656" i="4"/>
  <c r="J2656" i="4"/>
  <c r="K2656" i="4"/>
  <c r="L2656" i="4"/>
  <c r="N2656" i="4"/>
  <c r="O2656" i="4"/>
  <c r="Q2656" i="4"/>
  <c r="R2656" i="4"/>
  <c r="S2656" i="4"/>
  <c r="T2656" i="4"/>
  <c r="Y2656" i="4"/>
  <c r="X2657" i="4"/>
  <c r="P2658" i="4"/>
  <c r="X2658" i="4" s="1"/>
  <c r="Z2658" i="4" s="1"/>
  <c r="E2665" i="4"/>
  <c r="F2665" i="4"/>
  <c r="G2665" i="4"/>
  <c r="I2665" i="4"/>
  <c r="J2665" i="4"/>
  <c r="K2665" i="4"/>
  <c r="L2665" i="4"/>
  <c r="N2665" i="4"/>
  <c r="O2665" i="4"/>
  <c r="Q2665" i="4"/>
  <c r="R2665" i="4"/>
  <c r="S2665" i="4"/>
  <c r="T2665" i="4"/>
  <c r="Y2665" i="4"/>
  <c r="E2666" i="4"/>
  <c r="F2666" i="4"/>
  <c r="G2666" i="4"/>
  <c r="I2666" i="4"/>
  <c r="J2666" i="4"/>
  <c r="K2666" i="4"/>
  <c r="L2666" i="4"/>
  <c r="N2666" i="4"/>
  <c r="O2666" i="4"/>
  <c r="Q2666" i="4"/>
  <c r="R2666" i="4"/>
  <c r="S2666" i="4"/>
  <c r="T2666" i="4"/>
  <c r="Y2666" i="4"/>
  <c r="E2667" i="4"/>
  <c r="F2667" i="4"/>
  <c r="G2667" i="4"/>
  <c r="I2667" i="4"/>
  <c r="J2667" i="4"/>
  <c r="K2667" i="4"/>
  <c r="L2667" i="4"/>
  <c r="N2667" i="4"/>
  <c r="O2667" i="4"/>
  <c r="Q2667" i="4"/>
  <c r="R2667" i="4"/>
  <c r="S2667" i="4"/>
  <c r="T2667" i="4"/>
  <c r="Y2667" i="4"/>
  <c r="E2668" i="4"/>
  <c r="F2668" i="4"/>
  <c r="G2668" i="4"/>
  <c r="I2668" i="4"/>
  <c r="J2668" i="4"/>
  <c r="K2668" i="4"/>
  <c r="L2668" i="4"/>
  <c r="N2668" i="4"/>
  <c r="O2668" i="4"/>
  <c r="Q2668" i="4"/>
  <c r="R2668" i="4"/>
  <c r="S2668" i="4"/>
  <c r="T2668" i="4"/>
  <c r="Y2668" i="4"/>
  <c r="E2669" i="4"/>
  <c r="F2669" i="4"/>
  <c r="G2669" i="4"/>
  <c r="I2669" i="4"/>
  <c r="J2669" i="4"/>
  <c r="K2669" i="4"/>
  <c r="L2669" i="4"/>
  <c r="N2669" i="4"/>
  <c r="O2669" i="4"/>
  <c r="Q2669" i="4"/>
  <c r="R2669" i="4"/>
  <c r="S2669" i="4"/>
  <c r="T2669" i="4"/>
  <c r="Y2669" i="4"/>
  <c r="E2670" i="4"/>
  <c r="F2670" i="4"/>
  <c r="G2670" i="4"/>
  <c r="I2670" i="4"/>
  <c r="J2670" i="4"/>
  <c r="K2670" i="4"/>
  <c r="L2670" i="4"/>
  <c r="N2670" i="4"/>
  <c r="O2670" i="4"/>
  <c r="Q2670" i="4"/>
  <c r="R2670" i="4"/>
  <c r="S2670" i="4"/>
  <c r="T2670" i="4"/>
  <c r="Y2670" i="4"/>
  <c r="E2671" i="4"/>
  <c r="F2671" i="4"/>
  <c r="G2671" i="4"/>
  <c r="I2671" i="4"/>
  <c r="J2671" i="4"/>
  <c r="K2671" i="4"/>
  <c r="L2671" i="4"/>
  <c r="N2671" i="4"/>
  <c r="O2671" i="4"/>
  <c r="Q2671" i="4"/>
  <c r="R2671" i="4"/>
  <c r="S2671" i="4"/>
  <c r="T2671" i="4"/>
  <c r="Y2671" i="4"/>
  <c r="G2672" i="4"/>
  <c r="I2672" i="4"/>
  <c r="J2672" i="4"/>
  <c r="K2672" i="4"/>
  <c r="L2672" i="4"/>
  <c r="N2672" i="4"/>
  <c r="O2672" i="4"/>
  <c r="Q2672" i="4"/>
  <c r="R2672" i="4"/>
  <c r="S2672" i="4"/>
  <c r="T2672" i="4"/>
  <c r="Y2672" i="4"/>
  <c r="E2673" i="4"/>
  <c r="F2673" i="4"/>
  <c r="G2673" i="4"/>
  <c r="I2673" i="4"/>
  <c r="J2673" i="4"/>
  <c r="K2673" i="4"/>
  <c r="L2673" i="4"/>
  <c r="N2673" i="4"/>
  <c r="O2673" i="4"/>
  <c r="Q2673" i="4"/>
  <c r="R2673" i="4"/>
  <c r="S2673" i="4"/>
  <c r="T2673" i="4"/>
  <c r="W2673" i="4"/>
  <c r="Y2673" i="4"/>
  <c r="F2674" i="4"/>
  <c r="G2674" i="4"/>
  <c r="I2674" i="4"/>
  <c r="J2674" i="4"/>
  <c r="K2674" i="4"/>
  <c r="L2674" i="4"/>
  <c r="N2674" i="4"/>
  <c r="O2674" i="4"/>
  <c r="Q2674" i="4"/>
  <c r="R2674" i="4"/>
  <c r="S2674" i="4"/>
  <c r="T2674" i="4"/>
  <c r="Y2674" i="4"/>
  <c r="E2675" i="4"/>
  <c r="F2675" i="4"/>
  <c r="G2675" i="4"/>
  <c r="I2675" i="4"/>
  <c r="J2675" i="4"/>
  <c r="K2675" i="4"/>
  <c r="L2675" i="4"/>
  <c r="N2675" i="4"/>
  <c r="O2675" i="4"/>
  <c r="Q2675" i="4"/>
  <c r="R2675" i="4"/>
  <c r="S2675" i="4"/>
  <c r="T2675" i="4"/>
  <c r="V2675" i="4"/>
  <c r="W2675" i="4"/>
  <c r="Y2675" i="4"/>
  <c r="E2676" i="4"/>
  <c r="F2676" i="4"/>
  <c r="G2676" i="4"/>
  <c r="I2676" i="4"/>
  <c r="J2676" i="4"/>
  <c r="K2676" i="4"/>
  <c r="L2676" i="4"/>
  <c r="N2676" i="4"/>
  <c r="O2676" i="4"/>
  <c r="Q2676" i="4"/>
  <c r="R2676" i="4"/>
  <c r="S2676" i="4"/>
  <c r="T2676" i="4"/>
  <c r="V2676" i="4"/>
  <c r="W2676" i="4"/>
  <c r="Y2676" i="4"/>
  <c r="E2677" i="4"/>
  <c r="F2677" i="4"/>
  <c r="G2677" i="4"/>
  <c r="I2677" i="4"/>
  <c r="J2677" i="4"/>
  <c r="K2677" i="4"/>
  <c r="L2677" i="4"/>
  <c r="N2677" i="4"/>
  <c r="O2677" i="4"/>
  <c r="Q2677" i="4"/>
  <c r="R2677" i="4"/>
  <c r="S2677" i="4"/>
  <c r="T2677" i="4"/>
  <c r="W2677" i="4"/>
  <c r="Y2677" i="4"/>
  <c r="E2678" i="4"/>
  <c r="F2678" i="4"/>
  <c r="G2678" i="4"/>
  <c r="I2678" i="4"/>
  <c r="J2678" i="4"/>
  <c r="K2678" i="4"/>
  <c r="L2678" i="4"/>
  <c r="N2678" i="4"/>
  <c r="O2678" i="4"/>
  <c r="Q2678" i="4"/>
  <c r="R2678" i="4"/>
  <c r="S2678" i="4"/>
  <c r="T2678" i="4"/>
  <c r="W2678" i="4"/>
  <c r="Y2678" i="4"/>
  <c r="E2679" i="4"/>
  <c r="F2679" i="4"/>
  <c r="G2679" i="4"/>
  <c r="I2679" i="4"/>
  <c r="J2679" i="4"/>
  <c r="K2679" i="4"/>
  <c r="L2679" i="4"/>
  <c r="N2679" i="4"/>
  <c r="O2679" i="4"/>
  <c r="Q2679" i="4"/>
  <c r="R2679" i="4"/>
  <c r="S2679" i="4"/>
  <c r="T2679" i="4"/>
  <c r="Y2679" i="4"/>
  <c r="G2680" i="4"/>
  <c r="I2680" i="4"/>
  <c r="J2680" i="4"/>
  <c r="K2680" i="4"/>
  <c r="L2680" i="4"/>
  <c r="N2680" i="4"/>
  <c r="O2680" i="4"/>
  <c r="Q2680" i="4"/>
  <c r="R2680" i="4"/>
  <c r="S2680" i="4"/>
  <c r="T2680" i="4"/>
  <c r="Y2680" i="4"/>
  <c r="E2681" i="4"/>
  <c r="F2681" i="4"/>
  <c r="G2681" i="4"/>
  <c r="I2681" i="4"/>
  <c r="J2681" i="4"/>
  <c r="K2681" i="4"/>
  <c r="L2681" i="4"/>
  <c r="N2681" i="4"/>
  <c r="O2681" i="4"/>
  <c r="Q2681" i="4"/>
  <c r="R2681" i="4"/>
  <c r="S2681" i="4"/>
  <c r="T2681" i="4"/>
  <c r="Y2681" i="4"/>
  <c r="P2683" i="4"/>
  <c r="X2684" i="4"/>
  <c r="X2685" i="4"/>
  <c r="E2686" i="4"/>
  <c r="F2686" i="4"/>
  <c r="G2686" i="4"/>
  <c r="I2686" i="4"/>
  <c r="J2686" i="4"/>
  <c r="K2686" i="4"/>
  <c r="L2686" i="4"/>
  <c r="N2686" i="4"/>
  <c r="O2686" i="4"/>
  <c r="Q2686" i="4"/>
  <c r="R2686" i="4"/>
  <c r="S2686" i="4"/>
  <c r="T2686" i="4"/>
  <c r="Y2686" i="4"/>
  <c r="E2687" i="4"/>
  <c r="F2687" i="4"/>
  <c r="G2687" i="4"/>
  <c r="I2687" i="4"/>
  <c r="J2687" i="4"/>
  <c r="K2687" i="4"/>
  <c r="L2687" i="4"/>
  <c r="N2687" i="4"/>
  <c r="O2687" i="4"/>
  <c r="Q2687" i="4"/>
  <c r="R2687" i="4"/>
  <c r="S2687" i="4"/>
  <c r="T2687" i="4"/>
  <c r="Y2687" i="4"/>
  <c r="E2688" i="4"/>
  <c r="F2688" i="4"/>
  <c r="G2688" i="4"/>
  <c r="I2688" i="4"/>
  <c r="J2688" i="4"/>
  <c r="K2688" i="4"/>
  <c r="L2688" i="4"/>
  <c r="N2688" i="4"/>
  <c r="O2688" i="4"/>
  <c r="Q2688" i="4"/>
  <c r="R2688" i="4"/>
  <c r="S2688" i="4"/>
  <c r="T2688" i="4"/>
  <c r="Y2688" i="4"/>
  <c r="E2689" i="4"/>
  <c r="F2689" i="4"/>
  <c r="G2689" i="4"/>
  <c r="I2689" i="4"/>
  <c r="J2689" i="4"/>
  <c r="K2689" i="4"/>
  <c r="L2689" i="4"/>
  <c r="N2689" i="4"/>
  <c r="O2689" i="4"/>
  <c r="Q2689" i="4"/>
  <c r="R2689" i="4"/>
  <c r="S2689" i="4"/>
  <c r="T2689" i="4"/>
  <c r="Y2689" i="4"/>
  <c r="E2690" i="4"/>
  <c r="F2690" i="4"/>
  <c r="G2690" i="4"/>
  <c r="I2690" i="4"/>
  <c r="J2690" i="4"/>
  <c r="K2690" i="4"/>
  <c r="L2690" i="4"/>
  <c r="N2690" i="4"/>
  <c r="O2690" i="4"/>
  <c r="Q2690" i="4"/>
  <c r="R2690" i="4"/>
  <c r="S2690" i="4"/>
  <c r="T2690" i="4"/>
  <c r="Y2690" i="4"/>
  <c r="E2691" i="4"/>
  <c r="F2691" i="4"/>
  <c r="G2691" i="4"/>
  <c r="I2691" i="4"/>
  <c r="J2691" i="4"/>
  <c r="K2691" i="4"/>
  <c r="L2691" i="4"/>
  <c r="N2691" i="4"/>
  <c r="O2691" i="4"/>
  <c r="Q2691" i="4"/>
  <c r="R2691" i="4"/>
  <c r="S2691" i="4"/>
  <c r="T2691" i="4"/>
  <c r="Y2691" i="4"/>
  <c r="E2692" i="4"/>
  <c r="F2692" i="4"/>
  <c r="G2692" i="4"/>
  <c r="I2692" i="4"/>
  <c r="J2692" i="4"/>
  <c r="K2692" i="4"/>
  <c r="L2692" i="4"/>
  <c r="N2692" i="4"/>
  <c r="O2692" i="4"/>
  <c r="Q2692" i="4"/>
  <c r="R2692" i="4"/>
  <c r="S2692" i="4"/>
  <c r="T2692" i="4"/>
  <c r="Y2692" i="4"/>
  <c r="E2693" i="4"/>
  <c r="F2693" i="4"/>
  <c r="G2693" i="4"/>
  <c r="I2693" i="4"/>
  <c r="J2693" i="4"/>
  <c r="K2693" i="4"/>
  <c r="L2693" i="4"/>
  <c r="N2693" i="4"/>
  <c r="O2693" i="4"/>
  <c r="Q2693" i="4"/>
  <c r="R2693" i="4"/>
  <c r="S2693" i="4"/>
  <c r="T2693" i="4"/>
  <c r="Y2693" i="4"/>
  <c r="E2694" i="4"/>
  <c r="F2694" i="4"/>
  <c r="G2694" i="4"/>
  <c r="I2694" i="4"/>
  <c r="J2694" i="4"/>
  <c r="K2694" i="4"/>
  <c r="L2694" i="4"/>
  <c r="N2694" i="4"/>
  <c r="O2694" i="4"/>
  <c r="Q2694" i="4"/>
  <c r="R2694" i="4"/>
  <c r="S2694" i="4"/>
  <c r="T2694" i="4"/>
  <c r="Y2694" i="4"/>
  <c r="F2695" i="4"/>
  <c r="G2695" i="4"/>
  <c r="I2695" i="4"/>
  <c r="J2695" i="4"/>
  <c r="K2695" i="4"/>
  <c r="L2695" i="4"/>
  <c r="N2695" i="4"/>
  <c r="O2695" i="4"/>
  <c r="Q2695" i="4"/>
  <c r="R2695" i="4"/>
  <c r="S2695" i="4"/>
  <c r="T2695" i="4"/>
  <c r="Y2695" i="4"/>
  <c r="E2696" i="4"/>
  <c r="F2696" i="4"/>
  <c r="G2696" i="4"/>
  <c r="I2696" i="4"/>
  <c r="J2696" i="4"/>
  <c r="K2696" i="4"/>
  <c r="L2696" i="4"/>
  <c r="N2696" i="4"/>
  <c r="O2696" i="4"/>
  <c r="Q2696" i="4"/>
  <c r="R2696" i="4"/>
  <c r="S2696" i="4"/>
  <c r="T2696" i="4"/>
  <c r="Y2696" i="4"/>
  <c r="G2697" i="4"/>
  <c r="I2697" i="4"/>
  <c r="J2697" i="4"/>
  <c r="K2697" i="4"/>
  <c r="L2697" i="4"/>
  <c r="N2697" i="4"/>
  <c r="O2697" i="4"/>
  <c r="Q2697" i="4"/>
  <c r="R2697" i="4"/>
  <c r="S2697" i="4"/>
  <c r="T2697" i="4"/>
  <c r="Y2697" i="4"/>
  <c r="E2698" i="4"/>
  <c r="G2698" i="4"/>
  <c r="I2698" i="4"/>
  <c r="J2698" i="4"/>
  <c r="K2698" i="4"/>
  <c r="L2698" i="4"/>
  <c r="N2698" i="4"/>
  <c r="O2698" i="4"/>
  <c r="Q2698" i="4"/>
  <c r="R2698" i="4"/>
  <c r="S2698" i="4"/>
  <c r="T2698" i="4"/>
  <c r="V2698" i="4"/>
  <c r="W2698" i="4"/>
  <c r="Y2698" i="4"/>
  <c r="G2699" i="4"/>
  <c r="I2699" i="4"/>
  <c r="J2699" i="4"/>
  <c r="K2699" i="4"/>
  <c r="L2699" i="4"/>
  <c r="N2699" i="4"/>
  <c r="O2699" i="4"/>
  <c r="Q2699" i="4"/>
  <c r="R2699" i="4"/>
  <c r="S2699" i="4"/>
  <c r="T2699" i="4"/>
  <c r="V2699" i="4"/>
  <c r="W2699" i="4"/>
  <c r="Y2699" i="4"/>
  <c r="E2700" i="4"/>
  <c r="F2700" i="4"/>
  <c r="G2700" i="4"/>
  <c r="I2700" i="4"/>
  <c r="J2700" i="4"/>
  <c r="K2700" i="4"/>
  <c r="L2700" i="4"/>
  <c r="N2700" i="4"/>
  <c r="O2700" i="4"/>
  <c r="Q2700" i="4"/>
  <c r="R2700" i="4"/>
  <c r="S2700" i="4"/>
  <c r="T2700" i="4"/>
  <c r="V2700" i="4"/>
  <c r="W2700" i="4"/>
  <c r="Y2700" i="4"/>
  <c r="E2701" i="4"/>
  <c r="F2701" i="4"/>
  <c r="G2701" i="4"/>
  <c r="I2701" i="4"/>
  <c r="J2701" i="4"/>
  <c r="K2701" i="4"/>
  <c r="L2701" i="4"/>
  <c r="N2701" i="4"/>
  <c r="O2701" i="4"/>
  <c r="Q2701" i="4"/>
  <c r="R2701" i="4"/>
  <c r="S2701" i="4"/>
  <c r="T2701" i="4"/>
  <c r="V2701" i="4"/>
  <c r="W2701" i="4"/>
  <c r="Y2701" i="4"/>
  <c r="E2702" i="4"/>
  <c r="F2702" i="4"/>
  <c r="G2702" i="4"/>
  <c r="I2702" i="4"/>
  <c r="J2702" i="4"/>
  <c r="K2702" i="4"/>
  <c r="L2702" i="4"/>
  <c r="N2702" i="4"/>
  <c r="O2702" i="4"/>
  <c r="Q2702" i="4"/>
  <c r="R2702" i="4"/>
  <c r="S2702" i="4"/>
  <c r="T2702" i="4"/>
  <c r="Y2702" i="4"/>
  <c r="X2703" i="4"/>
  <c r="P2704" i="4"/>
  <c r="X2705" i="4"/>
  <c r="Z2705" i="4" s="1"/>
  <c r="X2706" i="4"/>
  <c r="Z2706" i="4" s="1"/>
  <c r="G2707" i="4"/>
  <c r="I2707" i="4"/>
  <c r="J2707" i="4"/>
  <c r="K2707" i="4"/>
  <c r="L2707" i="4"/>
  <c r="N2707" i="4"/>
  <c r="O2707" i="4"/>
  <c r="Q2707" i="4"/>
  <c r="R2707" i="4"/>
  <c r="S2707" i="4"/>
  <c r="T2707" i="4"/>
  <c r="Y2707" i="4"/>
  <c r="E2708" i="4"/>
  <c r="F2708" i="4"/>
  <c r="G2708" i="4"/>
  <c r="I2708" i="4"/>
  <c r="J2708" i="4"/>
  <c r="K2708" i="4"/>
  <c r="L2708" i="4"/>
  <c r="N2708" i="4"/>
  <c r="O2708" i="4"/>
  <c r="Q2708" i="4"/>
  <c r="R2708" i="4"/>
  <c r="S2708" i="4"/>
  <c r="T2708" i="4"/>
  <c r="Y2708" i="4"/>
  <c r="E2709" i="4"/>
  <c r="F2709" i="4"/>
  <c r="G2709" i="4"/>
  <c r="I2709" i="4"/>
  <c r="J2709" i="4"/>
  <c r="K2709" i="4"/>
  <c r="L2709" i="4"/>
  <c r="N2709" i="4"/>
  <c r="O2709" i="4"/>
  <c r="Q2709" i="4"/>
  <c r="R2709" i="4"/>
  <c r="S2709" i="4"/>
  <c r="T2709" i="4"/>
  <c r="Y2709" i="4"/>
  <c r="E2710" i="4"/>
  <c r="F2710" i="4"/>
  <c r="G2710" i="4"/>
  <c r="I2710" i="4"/>
  <c r="J2710" i="4"/>
  <c r="K2710" i="4"/>
  <c r="L2710" i="4"/>
  <c r="N2710" i="4"/>
  <c r="O2710" i="4"/>
  <c r="Q2710" i="4"/>
  <c r="R2710" i="4"/>
  <c r="S2710" i="4"/>
  <c r="T2710" i="4"/>
  <c r="Y2710" i="4"/>
  <c r="E2711" i="4"/>
  <c r="F2711" i="4"/>
  <c r="G2711" i="4"/>
  <c r="I2711" i="4"/>
  <c r="J2711" i="4"/>
  <c r="K2711" i="4"/>
  <c r="L2711" i="4"/>
  <c r="N2711" i="4"/>
  <c r="O2711" i="4"/>
  <c r="Q2711" i="4"/>
  <c r="R2711" i="4"/>
  <c r="S2711" i="4"/>
  <c r="T2711" i="4"/>
  <c r="Y2711" i="4"/>
  <c r="E2712" i="4"/>
  <c r="F2712" i="4"/>
  <c r="G2712" i="4"/>
  <c r="I2712" i="4"/>
  <c r="J2712" i="4"/>
  <c r="K2712" i="4"/>
  <c r="L2712" i="4"/>
  <c r="N2712" i="4"/>
  <c r="O2712" i="4"/>
  <c r="Q2712" i="4"/>
  <c r="R2712" i="4"/>
  <c r="S2712" i="4"/>
  <c r="T2712" i="4"/>
  <c r="Y2712" i="4"/>
  <c r="E2713" i="4"/>
  <c r="F2713" i="4"/>
  <c r="G2713" i="4"/>
  <c r="I2713" i="4"/>
  <c r="J2713" i="4"/>
  <c r="K2713" i="4"/>
  <c r="L2713" i="4"/>
  <c r="N2713" i="4"/>
  <c r="O2713" i="4"/>
  <c r="Q2713" i="4"/>
  <c r="R2713" i="4"/>
  <c r="S2713" i="4"/>
  <c r="T2713" i="4"/>
  <c r="Y2713" i="4"/>
  <c r="E2714" i="4"/>
  <c r="F2714" i="4"/>
  <c r="G2714" i="4"/>
  <c r="I2714" i="4"/>
  <c r="J2714" i="4"/>
  <c r="K2714" i="4"/>
  <c r="L2714" i="4"/>
  <c r="N2714" i="4"/>
  <c r="O2714" i="4"/>
  <c r="Q2714" i="4"/>
  <c r="R2714" i="4"/>
  <c r="S2714" i="4"/>
  <c r="T2714" i="4"/>
  <c r="Y2714" i="4"/>
  <c r="G2715" i="4"/>
  <c r="I2715" i="4"/>
  <c r="J2715" i="4"/>
  <c r="K2715" i="4"/>
  <c r="L2715" i="4"/>
  <c r="N2715" i="4"/>
  <c r="O2715" i="4"/>
  <c r="Q2715" i="4"/>
  <c r="R2715" i="4"/>
  <c r="S2715" i="4"/>
  <c r="T2715" i="4"/>
  <c r="Y2715" i="4"/>
  <c r="E2716" i="4"/>
  <c r="F2716" i="4"/>
  <c r="G2716" i="4"/>
  <c r="I2716" i="4"/>
  <c r="J2716" i="4"/>
  <c r="K2716" i="4"/>
  <c r="L2716" i="4"/>
  <c r="N2716" i="4"/>
  <c r="O2716" i="4"/>
  <c r="Q2716" i="4"/>
  <c r="R2716" i="4"/>
  <c r="S2716" i="4"/>
  <c r="T2716" i="4"/>
  <c r="Y2716" i="4"/>
  <c r="E2717" i="4"/>
  <c r="F2717" i="4"/>
  <c r="G2717" i="4"/>
  <c r="I2717" i="4"/>
  <c r="J2717" i="4"/>
  <c r="K2717" i="4"/>
  <c r="L2717" i="4"/>
  <c r="N2717" i="4"/>
  <c r="O2717" i="4"/>
  <c r="Q2717" i="4"/>
  <c r="R2717" i="4"/>
  <c r="S2717" i="4"/>
  <c r="T2717" i="4"/>
  <c r="Y2717" i="4"/>
  <c r="E2718" i="4"/>
  <c r="F2718" i="4"/>
  <c r="G2718" i="4"/>
  <c r="I2718" i="4"/>
  <c r="J2718" i="4"/>
  <c r="K2718" i="4"/>
  <c r="L2718" i="4"/>
  <c r="N2718" i="4"/>
  <c r="O2718" i="4"/>
  <c r="Q2718" i="4"/>
  <c r="R2718" i="4"/>
  <c r="S2718" i="4"/>
  <c r="T2718" i="4"/>
  <c r="Y2718" i="4"/>
  <c r="E2719" i="4"/>
  <c r="F2719" i="4"/>
  <c r="G2719" i="4"/>
  <c r="I2719" i="4"/>
  <c r="J2719" i="4"/>
  <c r="K2719" i="4"/>
  <c r="L2719" i="4"/>
  <c r="N2719" i="4"/>
  <c r="O2719" i="4"/>
  <c r="Q2719" i="4"/>
  <c r="R2719" i="4"/>
  <c r="S2719" i="4"/>
  <c r="T2719" i="4"/>
  <c r="Y2719" i="4"/>
  <c r="E2720" i="4"/>
  <c r="F2720" i="4"/>
  <c r="G2720" i="4"/>
  <c r="I2720" i="4"/>
  <c r="J2720" i="4"/>
  <c r="K2720" i="4"/>
  <c r="L2720" i="4"/>
  <c r="N2720" i="4"/>
  <c r="O2720" i="4"/>
  <c r="Q2720" i="4"/>
  <c r="R2720" i="4"/>
  <c r="S2720" i="4"/>
  <c r="T2720" i="4"/>
  <c r="Y2720" i="4"/>
  <c r="E2721" i="4"/>
  <c r="F2721" i="4"/>
  <c r="G2721" i="4"/>
  <c r="I2721" i="4"/>
  <c r="J2721" i="4"/>
  <c r="K2721" i="4"/>
  <c r="L2721" i="4"/>
  <c r="N2721" i="4"/>
  <c r="O2721" i="4"/>
  <c r="Q2721" i="4"/>
  <c r="R2721" i="4"/>
  <c r="S2721" i="4"/>
  <c r="T2721" i="4"/>
  <c r="Y2721" i="4"/>
  <c r="G2722" i="4"/>
  <c r="I2722" i="4"/>
  <c r="J2722" i="4"/>
  <c r="K2722" i="4"/>
  <c r="L2722" i="4"/>
  <c r="N2722" i="4"/>
  <c r="O2722" i="4"/>
  <c r="Q2722" i="4"/>
  <c r="R2722" i="4"/>
  <c r="S2722" i="4"/>
  <c r="T2722" i="4"/>
  <c r="Y2722" i="4"/>
  <c r="G2723" i="4"/>
  <c r="I2723" i="4"/>
  <c r="J2723" i="4"/>
  <c r="K2723" i="4"/>
  <c r="L2723" i="4"/>
  <c r="N2723" i="4"/>
  <c r="O2723" i="4"/>
  <c r="Q2723" i="4"/>
  <c r="R2723" i="4"/>
  <c r="S2723" i="4"/>
  <c r="T2723" i="4"/>
  <c r="V2723" i="4"/>
  <c r="W2723" i="4"/>
  <c r="Y2723" i="4"/>
  <c r="G2724" i="4"/>
  <c r="I2724" i="4"/>
  <c r="J2724" i="4"/>
  <c r="K2724" i="4"/>
  <c r="L2724" i="4"/>
  <c r="N2724" i="4"/>
  <c r="O2724" i="4"/>
  <c r="Q2724" i="4"/>
  <c r="R2724" i="4"/>
  <c r="S2724" i="4"/>
  <c r="T2724" i="4"/>
  <c r="V2724" i="4"/>
  <c r="W2724" i="4"/>
  <c r="Y2724" i="4"/>
  <c r="E2725" i="4"/>
  <c r="F2725" i="4"/>
  <c r="G2725" i="4"/>
  <c r="I2725" i="4"/>
  <c r="J2725" i="4"/>
  <c r="K2725" i="4"/>
  <c r="L2725" i="4"/>
  <c r="N2725" i="4"/>
  <c r="O2725" i="4"/>
  <c r="Q2725" i="4"/>
  <c r="R2725" i="4"/>
  <c r="S2725" i="4"/>
  <c r="T2725" i="4"/>
  <c r="V2725" i="4"/>
  <c r="W2725" i="4"/>
  <c r="Y2725" i="4"/>
  <c r="E2726" i="4"/>
  <c r="F2726" i="4"/>
  <c r="G2726" i="4"/>
  <c r="I2726" i="4"/>
  <c r="J2726" i="4"/>
  <c r="K2726" i="4"/>
  <c r="L2726" i="4"/>
  <c r="N2726" i="4"/>
  <c r="O2726" i="4"/>
  <c r="Q2726" i="4"/>
  <c r="R2726" i="4"/>
  <c r="S2726" i="4"/>
  <c r="T2726" i="4"/>
  <c r="Y2726" i="4"/>
  <c r="X2727" i="4"/>
  <c r="Z2727" i="4" s="1"/>
  <c r="P2728" i="4"/>
  <c r="X2728" i="4" s="1"/>
  <c r="X2729" i="4"/>
  <c r="X2730" i="4"/>
  <c r="G2731" i="4"/>
  <c r="I2731" i="4"/>
  <c r="J2731" i="4"/>
  <c r="K2731" i="4"/>
  <c r="L2731" i="4"/>
  <c r="N2731" i="4"/>
  <c r="O2731" i="4"/>
  <c r="Q2731" i="4"/>
  <c r="R2731" i="4"/>
  <c r="S2731" i="4"/>
  <c r="T2731" i="4"/>
  <c r="Y2731" i="4"/>
  <c r="G2732" i="4"/>
  <c r="I2732" i="4"/>
  <c r="J2732" i="4"/>
  <c r="K2732" i="4"/>
  <c r="L2732" i="4"/>
  <c r="N2732" i="4"/>
  <c r="O2732" i="4"/>
  <c r="Q2732" i="4"/>
  <c r="R2732" i="4"/>
  <c r="S2732" i="4"/>
  <c r="T2732" i="4"/>
  <c r="Y2732" i="4"/>
  <c r="E2733" i="4"/>
  <c r="F2733" i="4"/>
  <c r="G2733" i="4"/>
  <c r="I2733" i="4"/>
  <c r="J2733" i="4"/>
  <c r="K2733" i="4"/>
  <c r="L2733" i="4"/>
  <c r="N2733" i="4"/>
  <c r="O2733" i="4"/>
  <c r="Q2733" i="4"/>
  <c r="R2733" i="4"/>
  <c r="S2733" i="4"/>
  <c r="T2733" i="4"/>
  <c r="Y2733" i="4"/>
  <c r="E2734" i="4"/>
  <c r="F2734" i="4"/>
  <c r="G2734" i="4"/>
  <c r="I2734" i="4"/>
  <c r="J2734" i="4"/>
  <c r="K2734" i="4"/>
  <c r="L2734" i="4"/>
  <c r="N2734" i="4"/>
  <c r="O2734" i="4"/>
  <c r="Q2734" i="4"/>
  <c r="R2734" i="4"/>
  <c r="S2734" i="4"/>
  <c r="T2734" i="4"/>
  <c r="Y2734" i="4"/>
  <c r="E2735" i="4"/>
  <c r="F2735" i="4"/>
  <c r="G2735" i="4"/>
  <c r="I2735" i="4"/>
  <c r="J2735" i="4"/>
  <c r="K2735" i="4"/>
  <c r="L2735" i="4"/>
  <c r="N2735" i="4"/>
  <c r="O2735" i="4"/>
  <c r="Q2735" i="4"/>
  <c r="R2735" i="4"/>
  <c r="S2735" i="4"/>
  <c r="T2735" i="4"/>
  <c r="Y2735" i="4"/>
  <c r="E2736" i="4"/>
  <c r="F2736" i="4"/>
  <c r="G2736" i="4"/>
  <c r="I2736" i="4"/>
  <c r="J2736" i="4"/>
  <c r="K2736" i="4"/>
  <c r="L2736" i="4"/>
  <c r="N2736" i="4"/>
  <c r="O2736" i="4"/>
  <c r="Q2736" i="4"/>
  <c r="R2736" i="4"/>
  <c r="S2736" i="4"/>
  <c r="T2736" i="4"/>
  <c r="Y2736" i="4"/>
  <c r="E2737" i="4"/>
  <c r="F2737" i="4"/>
  <c r="G2737" i="4"/>
  <c r="I2737" i="4"/>
  <c r="J2737" i="4"/>
  <c r="K2737" i="4"/>
  <c r="L2737" i="4"/>
  <c r="N2737" i="4"/>
  <c r="O2737" i="4"/>
  <c r="Q2737" i="4"/>
  <c r="R2737" i="4"/>
  <c r="S2737" i="4"/>
  <c r="T2737" i="4"/>
  <c r="Y2737" i="4"/>
  <c r="E2738" i="4"/>
  <c r="F2738" i="4"/>
  <c r="G2738" i="4"/>
  <c r="I2738" i="4"/>
  <c r="J2738" i="4"/>
  <c r="K2738" i="4"/>
  <c r="L2738" i="4"/>
  <c r="N2738" i="4"/>
  <c r="O2738" i="4"/>
  <c r="Q2738" i="4"/>
  <c r="R2738" i="4"/>
  <c r="S2738" i="4"/>
  <c r="T2738" i="4"/>
  <c r="Y2738" i="4"/>
  <c r="E2739" i="4"/>
  <c r="F2739" i="4"/>
  <c r="G2739" i="4"/>
  <c r="I2739" i="4"/>
  <c r="J2739" i="4"/>
  <c r="K2739" i="4"/>
  <c r="L2739" i="4"/>
  <c r="N2739" i="4"/>
  <c r="O2739" i="4"/>
  <c r="Q2739" i="4"/>
  <c r="R2739" i="4"/>
  <c r="S2739" i="4"/>
  <c r="T2739" i="4"/>
  <c r="Y2739" i="4"/>
  <c r="G2740" i="4"/>
  <c r="I2740" i="4"/>
  <c r="J2740" i="4"/>
  <c r="K2740" i="4"/>
  <c r="L2740" i="4"/>
  <c r="N2740" i="4"/>
  <c r="O2740" i="4"/>
  <c r="Q2740" i="4"/>
  <c r="R2740" i="4"/>
  <c r="S2740" i="4"/>
  <c r="T2740" i="4"/>
  <c r="Y2740" i="4"/>
  <c r="E2741" i="4"/>
  <c r="F2741" i="4"/>
  <c r="G2741" i="4"/>
  <c r="I2741" i="4"/>
  <c r="J2741" i="4"/>
  <c r="K2741" i="4"/>
  <c r="L2741" i="4"/>
  <c r="N2741" i="4"/>
  <c r="O2741" i="4"/>
  <c r="Q2741" i="4"/>
  <c r="R2741" i="4"/>
  <c r="S2741" i="4"/>
  <c r="T2741" i="4"/>
  <c r="Y2741" i="4"/>
  <c r="G2742" i="4"/>
  <c r="I2742" i="4"/>
  <c r="J2742" i="4"/>
  <c r="K2742" i="4"/>
  <c r="L2742" i="4"/>
  <c r="N2742" i="4"/>
  <c r="O2742" i="4"/>
  <c r="Q2742" i="4"/>
  <c r="R2742" i="4"/>
  <c r="S2742" i="4"/>
  <c r="T2742" i="4"/>
  <c r="Y2742" i="4"/>
  <c r="E2743" i="4"/>
  <c r="F2743" i="4"/>
  <c r="G2743" i="4"/>
  <c r="I2743" i="4"/>
  <c r="J2743" i="4"/>
  <c r="K2743" i="4"/>
  <c r="L2743" i="4"/>
  <c r="N2743" i="4"/>
  <c r="O2743" i="4"/>
  <c r="Q2743" i="4"/>
  <c r="R2743" i="4"/>
  <c r="S2743" i="4"/>
  <c r="T2743" i="4"/>
  <c r="V2743" i="4"/>
  <c r="W2743" i="4"/>
  <c r="E2744" i="4"/>
  <c r="F2744" i="4"/>
  <c r="G2744" i="4"/>
  <c r="I2744" i="4"/>
  <c r="J2744" i="4"/>
  <c r="K2744" i="4"/>
  <c r="L2744" i="4"/>
  <c r="N2744" i="4"/>
  <c r="O2744" i="4"/>
  <c r="Q2744" i="4"/>
  <c r="R2744" i="4"/>
  <c r="S2744" i="4"/>
  <c r="T2744" i="4"/>
  <c r="V2744" i="4"/>
  <c r="W2744" i="4"/>
  <c r="E2745" i="4"/>
  <c r="F2745" i="4"/>
  <c r="G2745" i="4"/>
  <c r="I2745" i="4"/>
  <c r="J2745" i="4"/>
  <c r="K2745" i="4"/>
  <c r="L2745" i="4"/>
  <c r="N2745" i="4"/>
  <c r="O2745" i="4"/>
  <c r="Q2745" i="4"/>
  <c r="R2745" i="4"/>
  <c r="S2745" i="4"/>
  <c r="T2745" i="4"/>
  <c r="Y2745" i="4"/>
  <c r="E2746" i="4"/>
  <c r="F2746" i="4"/>
  <c r="G2746" i="4"/>
  <c r="I2746" i="4"/>
  <c r="J2746" i="4"/>
  <c r="K2746" i="4"/>
  <c r="L2746" i="4"/>
  <c r="N2746" i="4"/>
  <c r="O2746" i="4"/>
  <c r="Q2746" i="4"/>
  <c r="R2746" i="4"/>
  <c r="S2746" i="4"/>
  <c r="T2746" i="4"/>
  <c r="Y2746" i="4"/>
  <c r="E2747" i="4"/>
  <c r="F2747" i="4"/>
  <c r="G2747" i="4"/>
  <c r="I2747" i="4"/>
  <c r="J2747" i="4"/>
  <c r="K2747" i="4"/>
  <c r="L2747" i="4"/>
  <c r="N2747" i="4"/>
  <c r="O2747" i="4"/>
  <c r="Q2747" i="4"/>
  <c r="R2747" i="4"/>
  <c r="S2747" i="4"/>
  <c r="T2747" i="4"/>
  <c r="Y2747" i="4"/>
  <c r="E2748" i="4"/>
  <c r="F2748" i="4"/>
  <c r="G2748" i="4"/>
  <c r="I2748" i="4"/>
  <c r="J2748" i="4"/>
  <c r="K2748" i="4"/>
  <c r="L2748" i="4"/>
  <c r="N2748" i="4"/>
  <c r="O2748" i="4"/>
  <c r="Q2748" i="4"/>
  <c r="R2748" i="4"/>
  <c r="S2748" i="4"/>
  <c r="T2748" i="4"/>
  <c r="Y2748" i="4"/>
  <c r="X2749" i="4"/>
  <c r="P2750" i="4"/>
  <c r="B2896" i="4"/>
  <c r="N2899" i="4"/>
  <c r="Y2903" i="4"/>
  <c r="Y2905" i="4"/>
  <c r="Y2917" i="4"/>
  <c r="Y2919" i="4"/>
  <c r="R2921" i="4"/>
  <c r="S2921" i="4"/>
  <c r="N6" i="1"/>
  <c r="H12" i="1"/>
  <c r="H12" i="5" s="1"/>
  <c r="N12" i="1"/>
  <c r="N12" i="5" s="1"/>
  <c r="H13" i="1"/>
  <c r="P13" i="1"/>
  <c r="P13" i="5" s="1"/>
  <c r="H14" i="1"/>
  <c r="H14" i="5" s="1"/>
  <c r="N14" i="1"/>
  <c r="H15" i="1"/>
  <c r="P15" i="1"/>
  <c r="P15" i="5" s="1"/>
  <c r="H16" i="1"/>
  <c r="P16" i="1"/>
  <c r="P16" i="5" s="1"/>
  <c r="U16" i="1"/>
  <c r="U16" i="5" s="1"/>
  <c r="H17" i="1"/>
  <c r="H17" i="5" s="1"/>
  <c r="P17" i="1"/>
  <c r="P17" i="5" s="1"/>
  <c r="H18" i="1"/>
  <c r="P18" i="1"/>
  <c r="H19" i="1"/>
  <c r="P19" i="1"/>
  <c r="P19" i="5" s="1"/>
  <c r="H20" i="1"/>
  <c r="H20" i="5" s="1"/>
  <c r="P20" i="1"/>
  <c r="P20" i="5" s="1"/>
  <c r="E22" i="1"/>
  <c r="F22" i="1"/>
  <c r="G22" i="1"/>
  <c r="I22" i="1"/>
  <c r="J22" i="1"/>
  <c r="K22" i="1"/>
  <c r="L22" i="1"/>
  <c r="O22" i="1"/>
  <c r="Q22" i="1"/>
  <c r="R22" i="1"/>
  <c r="S22" i="1"/>
  <c r="T22" i="1"/>
  <c r="Y22" i="1"/>
  <c r="H26" i="1"/>
  <c r="H26" i="5" s="1"/>
  <c r="N26" i="1"/>
  <c r="N26" i="5" s="1"/>
  <c r="N45" i="5" s="1"/>
  <c r="H27" i="1"/>
  <c r="P27" i="1"/>
  <c r="P27" i="5" s="1"/>
  <c r="H28" i="1"/>
  <c r="H28" i="5" s="1"/>
  <c r="P28" i="1"/>
  <c r="U28" i="1"/>
  <c r="U28" i="5" s="1"/>
  <c r="H29" i="1"/>
  <c r="H29" i="5" s="1"/>
  <c r="P29" i="1"/>
  <c r="P29" i="5" s="1"/>
  <c r="H30" i="1"/>
  <c r="P30" i="1"/>
  <c r="H31" i="1"/>
  <c r="P31" i="1"/>
  <c r="H32" i="1"/>
  <c r="P32" i="1"/>
  <c r="P32" i="5" s="1"/>
  <c r="U32" i="1"/>
  <c r="U32" i="5" s="1"/>
  <c r="H33" i="1"/>
  <c r="H33" i="5" s="1"/>
  <c r="M33" i="1"/>
  <c r="M33" i="5" s="1"/>
  <c r="P33" i="1"/>
  <c r="H34" i="1"/>
  <c r="P34" i="1"/>
  <c r="U34" i="1"/>
  <c r="H35" i="1"/>
  <c r="P35" i="1"/>
  <c r="P35" i="5" s="1"/>
  <c r="H36" i="1"/>
  <c r="H36" i="5" s="1"/>
  <c r="P36" i="1"/>
  <c r="H37" i="1"/>
  <c r="M37" i="1"/>
  <c r="P37" i="1"/>
  <c r="P37" i="5" s="1"/>
  <c r="H38" i="1"/>
  <c r="P38" i="1"/>
  <c r="P38" i="5" s="1"/>
  <c r="E39" i="1"/>
  <c r="E39" i="5" s="1"/>
  <c r="H39" i="1"/>
  <c r="P39" i="1"/>
  <c r="P39" i="5" s="1"/>
  <c r="H40" i="1"/>
  <c r="P40" i="1"/>
  <c r="H41" i="1"/>
  <c r="H41" i="5" s="1"/>
  <c r="M41" i="1"/>
  <c r="M41" i="5" s="1"/>
  <c r="P41" i="1"/>
  <c r="P41" i="5" s="1"/>
  <c r="H42" i="1"/>
  <c r="H42" i="5" s="1"/>
  <c r="P42" i="1"/>
  <c r="P42" i="5" s="1"/>
  <c r="E43" i="1"/>
  <c r="F43" i="1"/>
  <c r="F43" i="5" s="1"/>
  <c r="F45" i="5" s="1"/>
  <c r="P43" i="1"/>
  <c r="P43" i="5" s="1"/>
  <c r="F45" i="1"/>
  <c r="G45" i="1"/>
  <c r="I45" i="1"/>
  <c r="J45" i="1"/>
  <c r="K45" i="1"/>
  <c r="L45" i="1"/>
  <c r="O45" i="1"/>
  <c r="Q45" i="1"/>
  <c r="R45" i="1"/>
  <c r="S45" i="1"/>
  <c r="T45" i="1"/>
  <c r="Y45" i="1"/>
  <c r="H49" i="1"/>
  <c r="H49" i="5" s="1"/>
  <c r="P49" i="1"/>
  <c r="P49" i="5" s="1"/>
  <c r="H50" i="1"/>
  <c r="H50" i="5" s="1"/>
  <c r="P50" i="1"/>
  <c r="H51" i="1"/>
  <c r="H51" i="5" s="1"/>
  <c r="X51" i="5" s="1"/>
  <c r="Z51" i="5" s="1"/>
  <c r="M51" i="1"/>
  <c r="P51" i="1"/>
  <c r="P51" i="5" s="1"/>
  <c r="X52" i="1"/>
  <c r="X48" i="2" s="1"/>
  <c r="Z52" i="1"/>
  <c r="Z48" i="2" s="1"/>
  <c r="AA52" i="1"/>
  <c r="H53" i="1"/>
  <c r="H53" i="5" s="1"/>
  <c r="M53" i="1"/>
  <c r="M53" i="5" s="1"/>
  <c r="P53" i="1"/>
  <c r="H54" i="1"/>
  <c r="P54" i="1"/>
  <c r="P54" i="5" s="1"/>
  <c r="H55" i="1"/>
  <c r="H55" i="5" s="1"/>
  <c r="P55" i="1"/>
  <c r="H56" i="1"/>
  <c r="H56" i="5" s="1"/>
  <c r="M56" i="1"/>
  <c r="M56" i="5" s="1"/>
  <c r="P56" i="1"/>
  <c r="H57" i="1"/>
  <c r="H57" i="5" s="1"/>
  <c r="P57" i="1"/>
  <c r="H58" i="1"/>
  <c r="H58" i="5" s="1"/>
  <c r="M58" i="1"/>
  <c r="M58" i="5" s="1"/>
  <c r="P58" i="1"/>
  <c r="P58" i="5" s="1"/>
  <c r="H59" i="1"/>
  <c r="H59" i="5" s="1"/>
  <c r="X59" i="5" s="1"/>
  <c r="Z59" i="5" s="1"/>
  <c r="P59" i="1"/>
  <c r="P59" i="5" s="1"/>
  <c r="U59" i="1"/>
  <c r="U59" i="5" s="1"/>
  <c r="H60" i="1"/>
  <c r="P60" i="1"/>
  <c r="U60" i="1"/>
  <c r="U60" i="5" s="1"/>
  <c r="H61" i="1"/>
  <c r="P61" i="1"/>
  <c r="P61" i="5" s="1"/>
  <c r="H62" i="1"/>
  <c r="H62" i="5" s="1"/>
  <c r="X62" i="5" s="1"/>
  <c r="Z62" i="5" s="1"/>
  <c r="M62" i="1"/>
  <c r="M62" i="5" s="1"/>
  <c r="P62" i="1"/>
  <c r="P62" i="5" s="1"/>
  <c r="H63" i="1"/>
  <c r="P63" i="1"/>
  <c r="P63" i="5" s="1"/>
  <c r="U63" i="1"/>
  <c r="U63" i="5" s="1"/>
  <c r="H64" i="1"/>
  <c r="H64" i="5" s="1"/>
  <c r="X64" i="5" s="1"/>
  <c r="Z64" i="5" s="1"/>
  <c r="P64" i="1"/>
  <c r="P64" i="5" s="1"/>
  <c r="U64" i="1"/>
  <c r="U64" i="5" s="1"/>
  <c r="E65" i="1"/>
  <c r="E65" i="5" s="1"/>
  <c r="F65" i="1"/>
  <c r="F65" i="5" s="1"/>
  <c r="F68" i="5" s="1"/>
  <c r="F132" i="5" s="1"/>
  <c r="P65" i="1"/>
  <c r="P65" i="5" s="1"/>
  <c r="H66" i="1"/>
  <c r="H66" i="5" s="1"/>
  <c r="P66" i="1"/>
  <c r="G68" i="1"/>
  <c r="I68" i="1"/>
  <c r="J68" i="1"/>
  <c r="K68" i="1"/>
  <c r="L68" i="1"/>
  <c r="N68" i="1"/>
  <c r="O68" i="1"/>
  <c r="O132" i="1" s="1"/>
  <c r="Q68" i="1"/>
  <c r="R68" i="1"/>
  <c r="S68" i="1"/>
  <c r="T68" i="1"/>
  <c r="Y68" i="1"/>
  <c r="H71" i="1"/>
  <c r="P71" i="1"/>
  <c r="P71" i="5" s="1"/>
  <c r="H72" i="1"/>
  <c r="H72" i="5" s="1"/>
  <c r="X72" i="5" s="1"/>
  <c r="Z72" i="5" s="1"/>
  <c r="P72" i="1"/>
  <c r="P72" i="5" s="1"/>
  <c r="H73" i="1"/>
  <c r="H73" i="5" s="1"/>
  <c r="M73" i="1"/>
  <c r="M73" i="5" s="1"/>
  <c r="P73" i="1"/>
  <c r="X74" i="1"/>
  <c r="AA74" i="1"/>
  <c r="H75" i="1"/>
  <c r="P75" i="1"/>
  <c r="P75" i="5" s="1"/>
  <c r="U75" i="1"/>
  <c r="U75" i="5" s="1"/>
  <c r="H76" i="1"/>
  <c r="H76" i="5" s="1"/>
  <c r="M76" i="1"/>
  <c r="M76" i="5" s="1"/>
  <c r="P76" i="1"/>
  <c r="P76" i="5" s="1"/>
  <c r="H77" i="1"/>
  <c r="H77" i="5" s="1"/>
  <c r="P77" i="1"/>
  <c r="U77" i="1"/>
  <c r="U77" i="5" s="1"/>
  <c r="E78" i="1"/>
  <c r="E78" i="5" s="1"/>
  <c r="H78" i="1"/>
  <c r="H78" i="5" s="1"/>
  <c r="P78" i="1"/>
  <c r="E79" i="1"/>
  <c r="E79" i="5" s="1"/>
  <c r="H79" i="1"/>
  <c r="P79" i="1"/>
  <c r="U79" i="1"/>
  <c r="U79" i="5" s="1"/>
  <c r="H80" i="1"/>
  <c r="H80" i="5" s="1"/>
  <c r="P80" i="1"/>
  <c r="P80" i="5" s="1"/>
  <c r="H81" i="1"/>
  <c r="H81" i="5" s="1"/>
  <c r="X81" i="5" s="1"/>
  <c r="Z81" i="5" s="1"/>
  <c r="P81" i="1"/>
  <c r="P81" i="5" s="1"/>
  <c r="H82" i="1"/>
  <c r="H82" i="5" s="1"/>
  <c r="P82" i="1"/>
  <c r="H83" i="1"/>
  <c r="P83" i="1"/>
  <c r="P83" i="5" s="1"/>
  <c r="H84" i="1"/>
  <c r="H84" i="5" s="1"/>
  <c r="X84" i="5" s="1"/>
  <c r="Z84" i="5" s="1"/>
  <c r="M84" i="1"/>
  <c r="P84" i="1"/>
  <c r="P84" i="5" s="1"/>
  <c r="V84" i="1"/>
  <c r="V84" i="5" s="1"/>
  <c r="W84" i="1"/>
  <c r="W84" i="5" s="1"/>
  <c r="H85" i="1"/>
  <c r="P85" i="1"/>
  <c r="P85" i="5" s="1"/>
  <c r="H86" i="1"/>
  <c r="H86" i="5" s="1"/>
  <c r="X86" i="5" s="1"/>
  <c r="Z86" i="5" s="1"/>
  <c r="P86" i="1"/>
  <c r="P86" i="5" s="1"/>
  <c r="H87" i="1"/>
  <c r="H87" i="5" s="1"/>
  <c r="P87" i="1"/>
  <c r="H88" i="1"/>
  <c r="H88" i="5" s="1"/>
  <c r="M88" i="1"/>
  <c r="M88" i="5" s="1"/>
  <c r="P88" i="1"/>
  <c r="H89" i="1"/>
  <c r="H89" i="5" s="1"/>
  <c r="P89" i="1"/>
  <c r="P89" i="5" s="1"/>
  <c r="E90" i="1"/>
  <c r="E90" i="5" s="1"/>
  <c r="H90" i="1"/>
  <c r="P90" i="1"/>
  <c r="P90" i="5" s="1"/>
  <c r="U90" i="1"/>
  <c r="U90" i="5" s="1"/>
  <c r="F92" i="1"/>
  <c r="G92" i="1"/>
  <c r="I92" i="1"/>
  <c r="J92" i="1"/>
  <c r="K92" i="1"/>
  <c r="L92" i="1"/>
  <c r="N92" i="1"/>
  <c r="O92" i="1"/>
  <c r="Q92" i="1"/>
  <c r="R92" i="1"/>
  <c r="S92" i="1"/>
  <c r="T92" i="1"/>
  <c r="Y92" i="1"/>
  <c r="H95" i="1"/>
  <c r="H95" i="5" s="1"/>
  <c r="P95" i="1"/>
  <c r="P95" i="5" s="1"/>
  <c r="X95" i="1"/>
  <c r="H96" i="1"/>
  <c r="H96" i="5" s="1"/>
  <c r="X96" i="5" s="1"/>
  <c r="Z96" i="5" s="1"/>
  <c r="P96" i="1"/>
  <c r="P96" i="5" s="1"/>
  <c r="U96" i="1"/>
  <c r="U96" i="5" s="1"/>
  <c r="V96" i="1"/>
  <c r="V96" i="5" s="1"/>
  <c r="H97" i="1"/>
  <c r="H97" i="5" s="1"/>
  <c r="P97" i="1"/>
  <c r="P97" i="5" s="1"/>
  <c r="X97" i="1"/>
  <c r="H98" i="1"/>
  <c r="H98" i="5" s="1"/>
  <c r="X98" i="5" s="1"/>
  <c r="Z98" i="5" s="1"/>
  <c r="P98" i="1"/>
  <c r="P98" i="5" s="1"/>
  <c r="U98" i="1"/>
  <c r="U98" i="5" s="1"/>
  <c r="V98" i="1"/>
  <c r="V98" i="5" s="1"/>
  <c r="H99" i="1"/>
  <c r="H99" i="5" s="1"/>
  <c r="P99" i="1"/>
  <c r="P99" i="5" s="1"/>
  <c r="X99" i="1"/>
  <c r="H100" i="1"/>
  <c r="H100" i="5" s="1"/>
  <c r="X100" i="5" s="1"/>
  <c r="Z100" i="5" s="1"/>
  <c r="P100" i="1"/>
  <c r="P100" i="5" s="1"/>
  <c r="U100" i="1"/>
  <c r="U100" i="5" s="1"/>
  <c r="V100" i="1"/>
  <c r="V100" i="5" s="1"/>
  <c r="H101" i="1"/>
  <c r="H101" i="5" s="1"/>
  <c r="P101" i="1"/>
  <c r="P101" i="5" s="1"/>
  <c r="X101" i="1"/>
  <c r="H102" i="1"/>
  <c r="H102" i="5" s="1"/>
  <c r="X102" i="5" s="1"/>
  <c r="Z102" i="5" s="1"/>
  <c r="P102" i="1"/>
  <c r="P102" i="5" s="1"/>
  <c r="U102" i="1"/>
  <c r="U102" i="5" s="1"/>
  <c r="V102" i="1"/>
  <c r="V102" i="5" s="1"/>
  <c r="H103" i="1"/>
  <c r="H103" i="5" s="1"/>
  <c r="P103" i="1"/>
  <c r="P103" i="5" s="1"/>
  <c r="H104" i="1"/>
  <c r="H104" i="5" s="1"/>
  <c r="X104" i="5" s="1"/>
  <c r="Z104" i="5" s="1"/>
  <c r="P104" i="1"/>
  <c r="P104" i="5" s="1"/>
  <c r="H105" i="1"/>
  <c r="H105" i="5" s="1"/>
  <c r="M105" i="1"/>
  <c r="M105" i="5" s="1"/>
  <c r="P105" i="1"/>
  <c r="P105" i="5" s="1"/>
  <c r="E107" i="1"/>
  <c r="F107" i="1"/>
  <c r="G107" i="1"/>
  <c r="I107" i="1"/>
  <c r="J107" i="1"/>
  <c r="K107" i="1"/>
  <c r="L107" i="1"/>
  <c r="N107" i="1"/>
  <c r="O107" i="1"/>
  <c r="Q107" i="1"/>
  <c r="R107" i="1"/>
  <c r="S107" i="1"/>
  <c r="T107" i="1"/>
  <c r="Y107" i="1"/>
  <c r="H110" i="1"/>
  <c r="H110" i="5" s="1"/>
  <c r="P110" i="1"/>
  <c r="H111" i="1"/>
  <c r="M111" i="1"/>
  <c r="M111" i="5" s="1"/>
  <c r="P111" i="1"/>
  <c r="P111" i="5" s="1"/>
  <c r="H112" i="1"/>
  <c r="H112" i="5" s="1"/>
  <c r="N112" i="1"/>
  <c r="N112" i="5" s="1"/>
  <c r="P112" i="1"/>
  <c r="X112" i="1"/>
  <c r="X113" i="1"/>
  <c r="X107" i="2" s="1"/>
  <c r="AA113" i="1"/>
  <c r="AA113" i="5" s="1"/>
  <c r="AB113" i="1"/>
  <c r="AB113" i="5" s="1"/>
  <c r="H114" i="1"/>
  <c r="H114" i="5" s="1"/>
  <c r="N114" i="1"/>
  <c r="N114" i="5" s="1"/>
  <c r="P114" i="1"/>
  <c r="P114" i="5" s="1"/>
  <c r="E115" i="1"/>
  <c r="E115" i="5" s="1"/>
  <c r="H115" i="1"/>
  <c r="H115" i="5" s="1"/>
  <c r="P115" i="1"/>
  <c r="P115" i="5" s="1"/>
  <c r="U115" i="1"/>
  <c r="U115" i="5" s="1"/>
  <c r="H116" i="1"/>
  <c r="H116" i="5" s="1"/>
  <c r="P116" i="1"/>
  <c r="X116" i="1"/>
  <c r="X110" i="2" s="1"/>
  <c r="H117" i="1"/>
  <c r="P117" i="1"/>
  <c r="U117" i="1"/>
  <c r="U117" i="5" s="1"/>
  <c r="H118" i="1"/>
  <c r="H118" i="5" s="1"/>
  <c r="X118" i="5" s="1"/>
  <c r="Z118" i="5" s="1"/>
  <c r="P118" i="1"/>
  <c r="P118" i="5" s="1"/>
  <c r="E119" i="1"/>
  <c r="E119" i="5" s="1"/>
  <c r="H119" i="1"/>
  <c r="H119" i="5" s="1"/>
  <c r="P119" i="1"/>
  <c r="H120" i="1"/>
  <c r="H120" i="5" s="1"/>
  <c r="M120" i="1"/>
  <c r="M120" i="5" s="1"/>
  <c r="P120" i="1"/>
  <c r="P120" i="5" s="1"/>
  <c r="H121" i="1"/>
  <c r="H121" i="5" s="1"/>
  <c r="P121" i="1"/>
  <c r="U121" i="1"/>
  <c r="U121" i="5" s="1"/>
  <c r="H122" i="1"/>
  <c r="P122" i="1"/>
  <c r="P122" i="5" s="1"/>
  <c r="H123" i="1"/>
  <c r="H123" i="5" s="1"/>
  <c r="P123" i="1"/>
  <c r="V123" i="1"/>
  <c r="V123" i="5" s="1"/>
  <c r="H124" i="1"/>
  <c r="H124" i="5" s="1"/>
  <c r="P124" i="1"/>
  <c r="P124" i="5" s="1"/>
  <c r="H125" i="1"/>
  <c r="H125" i="5" s="1"/>
  <c r="X125" i="5" s="1"/>
  <c r="Z125" i="5" s="1"/>
  <c r="P125" i="1"/>
  <c r="P125" i="5" s="1"/>
  <c r="H126" i="1"/>
  <c r="P126" i="1"/>
  <c r="P126" i="5" s="1"/>
  <c r="U126" i="1"/>
  <c r="U126" i="5" s="1"/>
  <c r="H127" i="1"/>
  <c r="P127" i="1"/>
  <c r="U127" i="1"/>
  <c r="H128" i="1"/>
  <c r="H128" i="5" s="1"/>
  <c r="P128" i="1"/>
  <c r="F130" i="1"/>
  <c r="G130" i="1"/>
  <c r="I130" i="1"/>
  <c r="J130" i="1"/>
  <c r="K130" i="1"/>
  <c r="L130" i="1"/>
  <c r="N130" i="1"/>
  <c r="O130" i="1"/>
  <c r="Q130" i="1"/>
  <c r="R130" i="1"/>
  <c r="S130" i="1"/>
  <c r="S2843" i="1" s="1"/>
  <c r="T130" i="1"/>
  <c r="Y130" i="1"/>
  <c r="H137" i="1"/>
  <c r="H137" i="5" s="1"/>
  <c r="P137" i="1"/>
  <c r="P137" i="5" s="1"/>
  <c r="H138" i="1"/>
  <c r="H138" i="5" s="1"/>
  <c r="P138" i="1"/>
  <c r="E139" i="1"/>
  <c r="H139" i="1"/>
  <c r="H139" i="5" s="1"/>
  <c r="P139" i="1"/>
  <c r="P139" i="5" s="1"/>
  <c r="U139" i="1"/>
  <c r="U139" i="5" s="1"/>
  <c r="H140" i="1"/>
  <c r="H140" i="5" s="1"/>
  <c r="M140" i="1"/>
  <c r="M140" i="5" s="1"/>
  <c r="P140" i="1"/>
  <c r="H141" i="1"/>
  <c r="P141" i="1"/>
  <c r="P141" i="5" s="1"/>
  <c r="H142" i="1"/>
  <c r="H142" i="5" s="1"/>
  <c r="P142" i="1"/>
  <c r="H143" i="1"/>
  <c r="P143" i="1"/>
  <c r="E144" i="1"/>
  <c r="E144" i="5" s="1"/>
  <c r="H144" i="1"/>
  <c r="P144" i="1"/>
  <c r="P144" i="5" s="1"/>
  <c r="H145" i="1"/>
  <c r="H145" i="5" s="1"/>
  <c r="P145" i="1"/>
  <c r="H146" i="1"/>
  <c r="P146" i="1"/>
  <c r="P146" i="5" s="1"/>
  <c r="AE146" i="1"/>
  <c r="H147" i="1"/>
  <c r="P147" i="1"/>
  <c r="P147" i="5" s="1"/>
  <c r="F149" i="1"/>
  <c r="G149" i="1"/>
  <c r="I149" i="1"/>
  <c r="J149" i="1"/>
  <c r="K149" i="1"/>
  <c r="L149" i="1"/>
  <c r="N149" i="1"/>
  <c r="O149" i="1"/>
  <c r="Q149" i="1"/>
  <c r="R149" i="1"/>
  <c r="S149" i="1"/>
  <c r="T149" i="1"/>
  <c r="Y149" i="1"/>
  <c r="H152" i="1"/>
  <c r="P152" i="1"/>
  <c r="P152" i="5" s="1"/>
  <c r="U152" i="1"/>
  <c r="U152" i="5" s="1"/>
  <c r="H154" i="1"/>
  <c r="H154" i="5" s="1"/>
  <c r="P154" i="1"/>
  <c r="H155" i="1"/>
  <c r="P155" i="1"/>
  <c r="P155" i="5" s="1"/>
  <c r="H156" i="1"/>
  <c r="P156" i="1"/>
  <c r="F157" i="1"/>
  <c r="F157" i="5" s="1"/>
  <c r="F166" i="5" s="1"/>
  <c r="P157" i="1"/>
  <c r="P157" i="5" s="1"/>
  <c r="H158" i="1"/>
  <c r="P158" i="1"/>
  <c r="P158" i="5" s="1"/>
  <c r="U158" i="1"/>
  <c r="U158" i="5" s="1"/>
  <c r="H159" i="1"/>
  <c r="P159" i="1"/>
  <c r="P159" i="5" s="1"/>
  <c r="H160" i="1"/>
  <c r="H160" i="5" s="1"/>
  <c r="P160" i="1"/>
  <c r="P160" i="5" s="1"/>
  <c r="H161" i="1"/>
  <c r="P161" i="1"/>
  <c r="P161" i="5" s="1"/>
  <c r="H162" i="1"/>
  <c r="H162" i="5" s="1"/>
  <c r="P162" i="1"/>
  <c r="H163" i="1"/>
  <c r="P163" i="1"/>
  <c r="P163" i="5" s="1"/>
  <c r="H164" i="1"/>
  <c r="H164" i="5" s="1"/>
  <c r="P164" i="1"/>
  <c r="E166" i="1"/>
  <c r="G166" i="1"/>
  <c r="I166" i="1"/>
  <c r="J166" i="1"/>
  <c r="K166" i="1"/>
  <c r="L166" i="1"/>
  <c r="N166" i="1"/>
  <c r="O166" i="1"/>
  <c r="Q166" i="1"/>
  <c r="R166" i="1"/>
  <c r="S166" i="1"/>
  <c r="T166" i="1"/>
  <c r="Y166" i="1"/>
  <c r="H171" i="1"/>
  <c r="N171" i="1"/>
  <c r="N171" i="5" s="1"/>
  <c r="N184" i="5" s="1"/>
  <c r="N237" i="5" s="1"/>
  <c r="N2919" i="5" s="1"/>
  <c r="H172" i="1"/>
  <c r="H172" i="5" s="1"/>
  <c r="X172" i="5" s="1"/>
  <c r="Z172" i="5" s="1"/>
  <c r="M172" i="1"/>
  <c r="P172" i="1"/>
  <c r="P172" i="5" s="1"/>
  <c r="X172" i="1"/>
  <c r="X164" i="2" s="1"/>
  <c r="Z172" i="1"/>
  <c r="Z164" i="2" s="1"/>
  <c r="H173" i="1"/>
  <c r="H173" i="5" s="1"/>
  <c r="P173" i="1"/>
  <c r="U173" i="1"/>
  <c r="U173" i="5" s="1"/>
  <c r="H174" i="1"/>
  <c r="H174" i="5" s="1"/>
  <c r="P174" i="1"/>
  <c r="P174" i="5" s="1"/>
  <c r="U174" i="1"/>
  <c r="U174" i="5" s="1"/>
  <c r="H175" i="1"/>
  <c r="H175" i="5" s="1"/>
  <c r="P175" i="1"/>
  <c r="U175" i="1"/>
  <c r="U175" i="5" s="1"/>
  <c r="H176" i="1"/>
  <c r="H176" i="5" s="1"/>
  <c r="P176" i="1"/>
  <c r="P176" i="5" s="1"/>
  <c r="U176" i="1"/>
  <c r="U176" i="5" s="1"/>
  <c r="H177" i="1"/>
  <c r="H177" i="5" s="1"/>
  <c r="M177" i="1"/>
  <c r="M177" i="5" s="1"/>
  <c r="P177" i="1"/>
  <c r="H178" i="1"/>
  <c r="H178" i="5" s="1"/>
  <c r="X178" i="5" s="1"/>
  <c r="Z178" i="5" s="1"/>
  <c r="M178" i="1"/>
  <c r="M178" i="5" s="1"/>
  <c r="P178" i="1"/>
  <c r="P178" i="5" s="1"/>
  <c r="H179" i="1"/>
  <c r="H179" i="5" s="1"/>
  <c r="M179" i="1"/>
  <c r="M179" i="5" s="1"/>
  <c r="P179" i="1"/>
  <c r="E180" i="1"/>
  <c r="F180" i="1"/>
  <c r="F180" i="5" s="1"/>
  <c r="P180" i="1"/>
  <c r="P180" i="5" s="1"/>
  <c r="H181" i="1"/>
  <c r="H181" i="5" s="1"/>
  <c r="X181" i="5" s="1"/>
  <c r="Z181" i="5" s="1"/>
  <c r="M181" i="1"/>
  <c r="M181" i="5" s="1"/>
  <c r="P181" i="1"/>
  <c r="P181" i="5" s="1"/>
  <c r="E182" i="1"/>
  <c r="E182" i="5" s="1"/>
  <c r="F182" i="1"/>
  <c r="F182" i="5" s="1"/>
  <c r="P182" i="1"/>
  <c r="P182" i="5" s="1"/>
  <c r="G184" i="1"/>
  <c r="I184" i="1"/>
  <c r="J184" i="1"/>
  <c r="K184" i="1"/>
  <c r="L184" i="1"/>
  <c r="N184" i="1"/>
  <c r="O184" i="1"/>
  <c r="Q184" i="1"/>
  <c r="R184" i="1"/>
  <c r="S184" i="1"/>
  <c r="T184" i="1"/>
  <c r="Y184" i="1"/>
  <c r="H187" i="1"/>
  <c r="I187" i="1"/>
  <c r="I187" i="5" s="1"/>
  <c r="P187" i="1"/>
  <c r="H188" i="1"/>
  <c r="I188" i="1"/>
  <c r="I188" i="5" s="1"/>
  <c r="P188" i="1"/>
  <c r="P188" i="5" s="1"/>
  <c r="H189" i="1"/>
  <c r="P189" i="1"/>
  <c r="X189" i="1"/>
  <c r="X181" i="2" s="1"/>
  <c r="E190" i="1"/>
  <c r="E190" i="5" s="1"/>
  <c r="H190" i="1"/>
  <c r="H190" i="5" s="1"/>
  <c r="I190" i="1"/>
  <c r="I190" i="5" s="1"/>
  <c r="P190" i="1"/>
  <c r="P190" i="5" s="1"/>
  <c r="H191" i="1"/>
  <c r="H191" i="5" s="1"/>
  <c r="X191" i="5" s="1"/>
  <c r="Z191" i="5" s="1"/>
  <c r="P191" i="1"/>
  <c r="P191" i="5" s="1"/>
  <c r="H192" i="1"/>
  <c r="H192" i="5" s="1"/>
  <c r="P192" i="1"/>
  <c r="P192" i="5" s="1"/>
  <c r="H193" i="1"/>
  <c r="P193" i="1"/>
  <c r="P193" i="5" s="1"/>
  <c r="F194" i="1"/>
  <c r="P194" i="1"/>
  <c r="P194" i="5" s="1"/>
  <c r="H195" i="1"/>
  <c r="H195" i="5" s="1"/>
  <c r="P195" i="1"/>
  <c r="P195" i="5" s="1"/>
  <c r="U195" i="1"/>
  <c r="U195" i="5" s="1"/>
  <c r="H196" i="1"/>
  <c r="H196" i="5" s="1"/>
  <c r="P196" i="1"/>
  <c r="P196" i="5" s="1"/>
  <c r="H197" i="1"/>
  <c r="H197" i="5" s="1"/>
  <c r="X197" i="5" s="1"/>
  <c r="Z197" i="5" s="1"/>
  <c r="P197" i="1"/>
  <c r="P197" i="5" s="1"/>
  <c r="E198" i="1"/>
  <c r="E198" i="5" s="1"/>
  <c r="F198" i="1"/>
  <c r="F198" i="5" s="1"/>
  <c r="P198" i="1"/>
  <c r="P198" i="5" s="1"/>
  <c r="H199" i="1"/>
  <c r="H199" i="5" s="1"/>
  <c r="P199" i="1"/>
  <c r="H200" i="1"/>
  <c r="P200" i="1"/>
  <c r="E201" i="1"/>
  <c r="E201" i="5" s="1"/>
  <c r="H201" i="1"/>
  <c r="P201" i="1"/>
  <c r="P201" i="5" s="1"/>
  <c r="U201" i="1"/>
  <c r="U201" i="5" s="1"/>
  <c r="H202" i="1"/>
  <c r="P202" i="1"/>
  <c r="P202" i="5" s="1"/>
  <c r="E203" i="1"/>
  <c r="E203" i="5" s="1"/>
  <c r="H203" i="1"/>
  <c r="H203" i="5" s="1"/>
  <c r="X203" i="5" s="1"/>
  <c r="M203" i="1"/>
  <c r="M203" i="5" s="1"/>
  <c r="P203" i="1"/>
  <c r="P203" i="5" s="1"/>
  <c r="E204" i="1"/>
  <c r="E204" i="5" s="1"/>
  <c r="H204" i="1"/>
  <c r="P204" i="1"/>
  <c r="H205" i="1"/>
  <c r="P205" i="1"/>
  <c r="E206" i="1"/>
  <c r="E206" i="5" s="1"/>
  <c r="F206" i="1"/>
  <c r="F206" i="5" s="1"/>
  <c r="H206" i="1"/>
  <c r="P206" i="1"/>
  <c r="P206" i="5" s="1"/>
  <c r="G208" i="1"/>
  <c r="J208" i="1"/>
  <c r="L208" i="1"/>
  <c r="N208" i="1"/>
  <c r="O208" i="1"/>
  <c r="T208" i="1" s="1"/>
  <c r="Y208" i="1"/>
  <c r="H211" i="1"/>
  <c r="P211" i="1"/>
  <c r="H212" i="1"/>
  <c r="P212" i="1"/>
  <c r="H213" i="1"/>
  <c r="P213" i="1"/>
  <c r="X213" i="1"/>
  <c r="E214" i="1"/>
  <c r="E214" i="5" s="1"/>
  <c r="H214" i="1"/>
  <c r="H214" i="5" s="1"/>
  <c r="X214" i="5" s="1"/>
  <c r="I214" i="1"/>
  <c r="I214" i="5" s="1"/>
  <c r="P214" i="1"/>
  <c r="P214" i="5" s="1"/>
  <c r="E215" i="1"/>
  <c r="E215" i="5" s="1"/>
  <c r="H215" i="1"/>
  <c r="H215" i="5" s="1"/>
  <c r="M215" i="1"/>
  <c r="M215" i="5" s="1"/>
  <c r="P215" i="1"/>
  <c r="H216" i="1"/>
  <c r="P216" i="1"/>
  <c r="P216" i="5" s="1"/>
  <c r="U216" i="1"/>
  <c r="U216" i="5" s="1"/>
  <c r="H217" i="1"/>
  <c r="H217" i="5" s="1"/>
  <c r="P217" i="1"/>
  <c r="P217" i="5" s="1"/>
  <c r="H218" i="1"/>
  <c r="H218" i="5" s="1"/>
  <c r="X218" i="5" s="1"/>
  <c r="Z218" i="5" s="1"/>
  <c r="P218" i="1"/>
  <c r="P218" i="5" s="1"/>
  <c r="H219" i="1"/>
  <c r="P219" i="1"/>
  <c r="P219" i="5" s="1"/>
  <c r="H220" i="1"/>
  <c r="P220" i="1"/>
  <c r="H221" i="1"/>
  <c r="H221" i="5" s="1"/>
  <c r="X221" i="5" s="1"/>
  <c r="Z221" i="5" s="1"/>
  <c r="M221" i="1"/>
  <c r="M221" i="5" s="1"/>
  <c r="P221" i="1"/>
  <c r="P221" i="5" s="1"/>
  <c r="E222" i="1"/>
  <c r="E222" i="5" s="1"/>
  <c r="H222" i="1"/>
  <c r="H222" i="5" s="1"/>
  <c r="I222" i="1"/>
  <c r="J222" i="1"/>
  <c r="J222" i="5" s="1"/>
  <c r="J235" i="5" s="1"/>
  <c r="J237" i="5" s="1"/>
  <c r="P222" i="1"/>
  <c r="H223" i="1"/>
  <c r="P223" i="1"/>
  <c r="E224" i="1"/>
  <c r="E224" i="5" s="1"/>
  <c r="H224" i="1"/>
  <c r="P224" i="1"/>
  <c r="P224" i="5" s="1"/>
  <c r="E225" i="1"/>
  <c r="E225" i="5" s="1"/>
  <c r="H225" i="1"/>
  <c r="P225" i="1"/>
  <c r="P225" i="5" s="1"/>
  <c r="E226" i="1"/>
  <c r="E226" i="5" s="1"/>
  <c r="H226" i="1"/>
  <c r="P226" i="1"/>
  <c r="E227" i="1"/>
  <c r="E227" i="5" s="1"/>
  <c r="F227" i="1"/>
  <c r="P227" i="1"/>
  <c r="P227" i="5" s="1"/>
  <c r="U227" i="1"/>
  <c r="U227" i="5" s="1"/>
  <c r="E228" i="1"/>
  <c r="E228" i="5" s="1"/>
  <c r="F228" i="1"/>
  <c r="F228" i="5" s="1"/>
  <c r="P228" i="1"/>
  <c r="P228" i="5" s="1"/>
  <c r="H229" i="1"/>
  <c r="M229" i="1"/>
  <c r="P229" i="1"/>
  <c r="H230" i="1"/>
  <c r="I230" i="1"/>
  <c r="P230" i="1"/>
  <c r="H231" i="1"/>
  <c r="I231" i="1"/>
  <c r="P231" i="1"/>
  <c r="H232" i="1"/>
  <c r="I232" i="1"/>
  <c r="P232" i="1"/>
  <c r="E233" i="1"/>
  <c r="E233" i="5" s="1"/>
  <c r="H233" i="1"/>
  <c r="H233" i="5" s="1"/>
  <c r="I233" i="1"/>
  <c r="I233" i="5" s="1"/>
  <c r="P233" i="1"/>
  <c r="G235" i="1"/>
  <c r="J235" i="1"/>
  <c r="L235" i="1"/>
  <c r="N235" i="1"/>
  <c r="O235" i="1"/>
  <c r="S235" i="1"/>
  <c r="T235" i="1"/>
  <c r="V235" i="1"/>
  <c r="W235" i="1"/>
  <c r="Y235" i="1"/>
  <c r="Y237" i="1" s="1"/>
  <c r="F243" i="1"/>
  <c r="K243" i="1"/>
  <c r="K242" i="5" s="1"/>
  <c r="P243" i="1"/>
  <c r="P242" i="5" s="1"/>
  <c r="E244" i="1"/>
  <c r="H244" i="1"/>
  <c r="P244" i="1"/>
  <c r="H245" i="1"/>
  <c r="X245" i="1" s="1"/>
  <c r="X244" i="5" s="1"/>
  <c r="P245" i="1"/>
  <c r="P244" i="5" s="1"/>
  <c r="E246" i="1"/>
  <c r="H246" i="1"/>
  <c r="H245" i="5" s="1"/>
  <c r="P246" i="1"/>
  <c r="P245" i="5" s="1"/>
  <c r="H247" i="1"/>
  <c r="K247" i="1"/>
  <c r="P247" i="1"/>
  <c r="P246" i="5" s="1"/>
  <c r="Q247" i="1"/>
  <c r="H248" i="1"/>
  <c r="H247" i="5" s="1"/>
  <c r="P248" i="1"/>
  <c r="P247" i="5" s="1"/>
  <c r="E249" i="1"/>
  <c r="H249" i="1"/>
  <c r="H248" i="5" s="1"/>
  <c r="P249" i="1"/>
  <c r="P248" i="5" s="1"/>
  <c r="H250" i="1"/>
  <c r="H249" i="5" s="1"/>
  <c r="P250" i="1"/>
  <c r="E251" i="1"/>
  <c r="E250" i="5" s="1"/>
  <c r="F251" i="1"/>
  <c r="P251" i="1"/>
  <c r="E252" i="1"/>
  <c r="E251" i="5" s="1"/>
  <c r="H252" i="1"/>
  <c r="H251" i="5" s="1"/>
  <c r="P252" i="1"/>
  <c r="P251" i="5" s="1"/>
  <c r="E253" i="1"/>
  <c r="E252" i="5" s="1"/>
  <c r="F253" i="1"/>
  <c r="F252" i="5" s="1"/>
  <c r="P253" i="1"/>
  <c r="P252" i="5" s="1"/>
  <c r="H254" i="1"/>
  <c r="P254" i="1"/>
  <c r="H255" i="1"/>
  <c r="H254" i="5" s="1"/>
  <c r="J255" i="1"/>
  <c r="J254" i="5" s="1"/>
  <c r="P255" i="1"/>
  <c r="P254" i="5" s="1"/>
  <c r="H256" i="1"/>
  <c r="H255" i="5" s="1"/>
  <c r="P256" i="1"/>
  <c r="H257" i="1"/>
  <c r="H256" i="5" s="1"/>
  <c r="J257" i="1"/>
  <c r="J256" i="5" s="1"/>
  <c r="P257" i="1"/>
  <c r="H258" i="1"/>
  <c r="H257" i="5" s="1"/>
  <c r="U258" i="1"/>
  <c r="H259" i="1"/>
  <c r="H258" i="5" s="1"/>
  <c r="P259" i="1"/>
  <c r="P258" i="5" s="1"/>
  <c r="U259" i="1"/>
  <c r="U258" i="5" s="1"/>
  <c r="H260" i="1"/>
  <c r="P260" i="1"/>
  <c r="P259" i="5" s="1"/>
  <c r="Q260" i="1"/>
  <c r="Q259" i="5" s="1"/>
  <c r="U260" i="1"/>
  <c r="U259" i="5" s="1"/>
  <c r="G262" i="1"/>
  <c r="I262" i="1"/>
  <c r="L262" i="1"/>
  <c r="N262" i="1"/>
  <c r="O262" i="1"/>
  <c r="R262" i="1"/>
  <c r="S262" i="1"/>
  <c r="T262" i="1"/>
  <c r="V262" i="1"/>
  <c r="W262" i="1"/>
  <c r="Y262" i="1"/>
  <c r="E265" i="1"/>
  <c r="E264" i="5" s="1"/>
  <c r="H265" i="1"/>
  <c r="K265" i="1"/>
  <c r="P265" i="1"/>
  <c r="E266" i="1"/>
  <c r="E265" i="5" s="1"/>
  <c r="H266" i="1"/>
  <c r="P266" i="1"/>
  <c r="P265" i="5" s="1"/>
  <c r="H267" i="1"/>
  <c r="P267" i="1"/>
  <c r="P266" i="5" s="1"/>
  <c r="E268" i="1"/>
  <c r="E267" i="5" s="1"/>
  <c r="H268" i="1"/>
  <c r="H267" i="5" s="1"/>
  <c r="X267" i="5" s="1"/>
  <c r="P268" i="1"/>
  <c r="P267" i="5" s="1"/>
  <c r="E269" i="1"/>
  <c r="E268" i="5" s="1"/>
  <c r="H269" i="1"/>
  <c r="P269" i="1"/>
  <c r="P268" i="5" s="1"/>
  <c r="U269" i="1"/>
  <c r="U268" i="5" s="1"/>
  <c r="H270" i="1"/>
  <c r="H269" i="5" s="1"/>
  <c r="X269" i="5" s="1"/>
  <c r="P270" i="1"/>
  <c r="P269" i="5" s="1"/>
  <c r="U270" i="1"/>
  <c r="U269" i="5" s="1"/>
  <c r="X270" i="1"/>
  <c r="E271" i="1"/>
  <c r="E270" i="5" s="1"/>
  <c r="F271" i="1"/>
  <c r="F270" i="5" s="1"/>
  <c r="F280" i="5" s="1"/>
  <c r="H271" i="1"/>
  <c r="J271" i="1"/>
  <c r="J270" i="5" s="1"/>
  <c r="P271" i="1"/>
  <c r="P270" i="5" s="1"/>
  <c r="X271" i="1"/>
  <c r="E272" i="1"/>
  <c r="E271" i="5" s="1"/>
  <c r="H272" i="1"/>
  <c r="H271" i="5" s="1"/>
  <c r="X271" i="5" s="1"/>
  <c r="P272" i="1"/>
  <c r="P271" i="5" s="1"/>
  <c r="H273" i="1"/>
  <c r="H272" i="5" s="1"/>
  <c r="P273" i="1"/>
  <c r="P272" i="5" s="1"/>
  <c r="H274" i="1"/>
  <c r="H273" i="5" s="1"/>
  <c r="X273" i="5" s="1"/>
  <c r="P274" i="1"/>
  <c r="P273" i="5" s="1"/>
  <c r="U274" i="1"/>
  <c r="U273" i="5" s="1"/>
  <c r="H275" i="1"/>
  <c r="P275" i="1"/>
  <c r="P274" i="5" s="1"/>
  <c r="H276" i="1"/>
  <c r="H275" i="5" s="1"/>
  <c r="P276" i="1"/>
  <c r="P275" i="5" s="1"/>
  <c r="H277" i="1"/>
  <c r="H276" i="5" s="1"/>
  <c r="K277" i="1"/>
  <c r="K276" i="5" s="1"/>
  <c r="P277" i="1"/>
  <c r="H278" i="1"/>
  <c r="P278" i="1"/>
  <c r="P277" i="5" s="1"/>
  <c r="H279" i="1"/>
  <c r="H278" i="5" s="1"/>
  <c r="P279" i="1"/>
  <c r="F281" i="1"/>
  <c r="G281" i="1"/>
  <c r="I281" i="1"/>
  <c r="L281" i="1"/>
  <c r="N281" i="1"/>
  <c r="O281" i="1"/>
  <c r="Q281" i="1"/>
  <c r="H284" i="1"/>
  <c r="H283" i="5" s="1"/>
  <c r="P284" i="1"/>
  <c r="P283" i="5" s="1"/>
  <c r="U284" i="1"/>
  <c r="U283" i="5" s="1"/>
  <c r="H285" i="1"/>
  <c r="H284" i="5" s="1"/>
  <c r="P285" i="1"/>
  <c r="P284" i="5" s="1"/>
  <c r="U285" i="1"/>
  <c r="E286" i="1"/>
  <c r="E285" i="5" s="1"/>
  <c r="H286" i="1"/>
  <c r="H285" i="5" s="1"/>
  <c r="P286" i="1"/>
  <c r="P285" i="5" s="1"/>
  <c r="U286" i="1"/>
  <c r="E287" i="1"/>
  <c r="E286" i="5" s="1"/>
  <c r="H287" i="1"/>
  <c r="H286" i="5" s="1"/>
  <c r="P287" i="1"/>
  <c r="P286" i="5" s="1"/>
  <c r="E288" i="1"/>
  <c r="H288" i="1"/>
  <c r="H287" i="5" s="1"/>
  <c r="M288" i="1"/>
  <c r="M287" i="5" s="1"/>
  <c r="P288" i="1"/>
  <c r="E289" i="1"/>
  <c r="E288" i="5" s="1"/>
  <c r="H289" i="1"/>
  <c r="K289" i="1"/>
  <c r="K288" i="5" s="1"/>
  <c r="M289" i="1"/>
  <c r="M288" i="5" s="1"/>
  <c r="P289" i="1"/>
  <c r="P288" i="5" s="1"/>
  <c r="E290" i="1"/>
  <c r="H290" i="1"/>
  <c r="H289" i="5" s="1"/>
  <c r="P290" i="1"/>
  <c r="F291" i="1"/>
  <c r="K291" i="1"/>
  <c r="K290" i="5" s="1"/>
  <c r="P291" i="1"/>
  <c r="P290" i="5" s="1"/>
  <c r="U291" i="1"/>
  <c r="U290" i="5" s="1"/>
  <c r="F292" i="1"/>
  <c r="P292" i="1"/>
  <c r="P291" i="5" s="1"/>
  <c r="U292" i="1"/>
  <c r="U291" i="5" s="1"/>
  <c r="H293" i="1"/>
  <c r="P293" i="1"/>
  <c r="P292" i="5" s="1"/>
  <c r="H294" i="1"/>
  <c r="J294" i="1"/>
  <c r="J293" i="5" s="1"/>
  <c r="P294" i="1"/>
  <c r="P293" i="5" s="1"/>
  <c r="X294" i="1"/>
  <c r="H295" i="1"/>
  <c r="P295" i="1"/>
  <c r="P294" i="5" s="1"/>
  <c r="F296" i="1"/>
  <c r="F295" i="5" s="1"/>
  <c r="P296" i="1"/>
  <c r="P295" i="5" s="1"/>
  <c r="F297" i="1"/>
  <c r="P297" i="1"/>
  <c r="U297" i="1"/>
  <c r="U296" i="5" s="1"/>
  <c r="H298" i="1"/>
  <c r="H297" i="5" s="1"/>
  <c r="X297" i="5" s="1"/>
  <c r="Z297" i="5" s="1"/>
  <c r="P298" i="1"/>
  <c r="P297" i="5" s="1"/>
  <c r="U298" i="1"/>
  <c r="U297" i="5" s="1"/>
  <c r="H299" i="1"/>
  <c r="H298" i="5" s="1"/>
  <c r="X298" i="5" s="1"/>
  <c r="Z298" i="5" s="1"/>
  <c r="P299" i="1"/>
  <c r="P298" i="5" s="1"/>
  <c r="H300" i="1"/>
  <c r="H299" i="5" s="1"/>
  <c r="P300" i="1"/>
  <c r="P299" i="5" s="1"/>
  <c r="U300" i="1"/>
  <c r="E301" i="1"/>
  <c r="E300" i="5" s="1"/>
  <c r="H301" i="1"/>
  <c r="I301" i="1"/>
  <c r="I300" i="5" s="1"/>
  <c r="I312" i="5" s="1"/>
  <c r="I421" i="5" s="1"/>
  <c r="I2921" i="5" s="1"/>
  <c r="P301" i="1"/>
  <c r="P300" i="5" s="1"/>
  <c r="H302" i="1"/>
  <c r="H301" i="5" s="1"/>
  <c r="X301" i="5" s="1"/>
  <c r="Z301" i="5" s="1"/>
  <c r="P302" i="1"/>
  <c r="P301" i="5" s="1"/>
  <c r="U302" i="1"/>
  <c r="U301" i="5" s="1"/>
  <c r="E303" i="1"/>
  <c r="E302" i="5" s="1"/>
  <c r="F303" i="1"/>
  <c r="F302" i="5" s="1"/>
  <c r="P303" i="1"/>
  <c r="P302" i="5" s="1"/>
  <c r="E304" i="1"/>
  <c r="E303" i="5" s="1"/>
  <c r="F304" i="1"/>
  <c r="P304" i="1"/>
  <c r="P303" i="5" s="1"/>
  <c r="E305" i="1"/>
  <c r="E304" i="5" s="1"/>
  <c r="F305" i="1"/>
  <c r="P305" i="1"/>
  <c r="P304" i="5" s="1"/>
  <c r="U305" i="1"/>
  <c r="U304" i="5" s="1"/>
  <c r="E306" i="1"/>
  <c r="E305" i="5" s="1"/>
  <c r="F306" i="1"/>
  <c r="F305" i="5" s="1"/>
  <c r="H306" i="1"/>
  <c r="P306" i="1"/>
  <c r="P305" i="5" s="1"/>
  <c r="U306" i="1"/>
  <c r="U305" i="5" s="1"/>
  <c r="E307" i="1"/>
  <c r="E306" i="5" s="1"/>
  <c r="F307" i="1"/>
  <c r="F306" i="5" s="1"/>
  <c r="P307" i="1"/>
  <c r="P306" i="5" s="1"/>
  <c r="H308" i="1"/>
  <c r="M308" i="1"/>
  <c r="P308" i="1"/>
  <c r="P307" i="5" s="1"/>
  <c r="H309" i="1"/>
  <c r="H308" i="5" s="1"/>
  <c r="K309" i="1"/>
  <c r="K308" i="5" s="1"/>
  <c r="P309" i="1"/>
  <c r="P308" i="5" s="1"/>
  <c r="H310" i="1"/>
  <c r="H309" i="5" s="1"/>
  <c r="X309" i="5" s="1"/>
  <c r="Z309" i="5" s="1"/>
  <c r="P310" i="1"/>
  <c r="P309" i="5" s="1"/>
  <c r="U310" i="1"/>
  <c r="U309" i="5" s="1"/>
  <c r="E311" i="1"/>
  <c r="F311" i="1"/>
  <c r="P311" i="1"/>
  <c r="G313" i="1"/>
  <c r="L313" i="1"/>
  <c r="N313" i="1"/>
  <c r="O313" i="1"/>
  <c r="Q313" i="1"/>
  <c r="T313" i="1"/>
  <c r="V313" i="1"/>
  <c r="W313" i="1"/>
  <c r="Y313" i="1"/>
  <c r="H316" i="1"/>
  <c r="J316" i="1"/>
  <c r="J315" i="5" s="1"/>
  <c r="P316" i="1"/>
  <c r="P315" i="5" s="1"/>
  <c r="E317" i="1"/>
  <c r="E316" i="5" s="1"/>
  <c r="F317" i="1"/>
  <c r="F316" i="5" s="1"/>
  <c r="P317" i="1"/>
  <c r="P316" i="5" s="1"/>
  <c r="U317" i="1"/>
  <c r="U316" i="5" s="1"/>
  <c r="E318" i="1"/>
  <c r="E317" i="5" s="1"/>
  <c r="H318" i="1"/>
  <c r="H317" i="5" s="1"/>
  <c r="K318" i="1"/>
  <c r="K317" i="5" s="1"/>
  <c r="K333" i="5" s="1"/>
  <c r="P318" i="1"/>
  <c r="E319" i="1"/>
  <c r="E318" i="5" s="1"/>
  <c r="H319" i="1"/>
  <c r="J319" i="1"/>
  <c r="J318" i="5" s="1"/>
  <c r="P319" i="1"/>
  <c r="P318" i="5" s="1"/>
  <c r="H320" i="1"/>
  <c r="J320" i="1"/>
  <c r="J319" i="5" s="1"/>
  <c r="P320" i="1"/>
  <c r="F321" i="1"/>
  <c r="F320" i="5" s="1"/>
  <c r="P321" i="1"/>
  <c r="F322" i="1"/>
  <c r="F321" i="5" s="1"/>
  <c r="H322" i="1"/>
  <c r="H321" i="5" s="1"/>
  <c r="J322" i="1"/>
  <c r="J321" i="5" s="1"/>
  <c r="P322" i="1"/>
  <c r="U322" i="1"/>
  <c r="U321" i="5" s="1"/>
  <c r="X322" i="1"/>
  <c r="H323" i="1"/>
  <c r="P323" i="1"/>
  <c r="P322" i="5" s="1"/>
  <c r="U323" i="1"/>
  <c r="U322" i="5" s="1"/>
  <c r="X323" i="1"/>
  <c r="H324" i="1"/>
  <c r="H323" i="5" s="1"/>
  <c r="X323" i="5" s="1"/>
  <c r="Z323" i="5" s="1"/>
  <c r="P324" i="1"/>
  <c r="P323" i="5" s="1"/>
  <c r="H325" i="1"/>
  <c r="P325" i="1"/>
  <c r="P324" i="5" s="1"/>
  <c r="H326" i="1"/>
  <c r="P326" i="1"/>
  <c r="X326" i="1" s="1"/>
  <c r="U326" i="1"/>
  <c r="U325" i="5" s="1"/>
  <c r="E327" i="1"/>
  <c r="E326" i="5" s="1"/>
  <c r="H327" i="1"/>
  <c r="H326" i="5" s="1"/>
  <c r="P327" i="1"/>
  <c r="P326" i="5" s="1"/>
  <c r="E328" i="1"/>
  <c r="H328" i="1"/>
  <c r="H327" i="5" s="1"/>
  <c r="M328" i="1"/>
  <c r="M327" i="5" s="1"/>
  <c r="P328" i="1"/>
  <c r="P327" i="5" s="1"/>
  <c r="E329" i="1"/>
  <c r="E328" i="5" s="1"/>
  <c r="H329" i="1"/>
  <c r="H328" i="5" s="1"/>
  <c r="J329" i="1"/>
  <c r="J328" i="5" s="1"/>
  <c r="P329" i="1"/>
  <c r="H330" i="1"/>
  <c r="H329" i="5" s="1"/>
  <c r="P330" i="1"/>
  <c r="H331" i="1"/>
  <c r="P331" i="1"/>
  <c r="P330" i="5" s="1"/>
  <c r="E332" i="1"/>
  <c r="E331" i="5" s="1"/>
  <c r="F332" i="1"/>
  <c r="F331" i="5" s="1"/>
  <c r="P332" i="1"/>
  <c r="G334" i="1"/>
  <c r="I334" i="1"/>
  <c r="L334" i="1"/>
  <c r="N334" i="1"/>
  <c r="O334" i="1"/>
  <c r="Q334" i="1"/>
  <c r="T334" i="1"/>
  <c r="V334" i="1"/>
  <c r="W334" i="1"/>
  <c r="Y334" i="1"/>
  <c r="E337" i="1"/>
  <c r="E336" i="5" s="1"/>
  <c r="H337" i="1"/>
  <c r="K337" i="1"/>
  <c r="P337" i="1"/>
  <c r="P336" i="5" s="1"/>
  <c r="E338" i="1"/>
  <c r="H338" i="1"/>
  <c r="H337" i="5" s="1"/>
  <c r="J338" i="1"/>
  <c r="J337" i="5" s="1"/>
  <c r="P338" i="1"/>
  <c r="E339" i="1"/>
  <c r="E338" i="5" s="1"/>
  <c r="H339" i="1"/>
  <c r="J339" i="1"/>
  <c r="J338" i="5" s="1"/>
  <c r="P339" i="1"/>
  <c r="P338" i="5" s="1"/>
  <c r="E340" i="1"/>
  <c r="E339" i="5" s="1"/>
  <c r="H340" i="1"/>
  <c r="P340" i="1"/>
  <c r="E341" i="1"/>
  <c r="H341" i="1"/>
  <c r="P341" i="1"/>
  <c r="P340" i="5" s="1"/>
  <c r="E342" i="1"/>
  <c r="E341" i="5" s="1"/>
  <c r="Z341" i="5" s="1"/>
  <c r="H342" i="1"/>
  <c r="H341" i="5" s="1"/>
  <c r="X341" i="5" s="1"/>
  <c r="P342" i="1"/>
  <c r="P341" i="5" s="1"/>
  <c r="U342" i="1"/>
  <c r="U341" i="5" s="1"/>
  <c r="H343" i="1"/>
  <c r="H342" i="5" s="1"/>
  <c r="X342" i="5" s="1"/>
  <c r="Z342" i="5" s="1"/>
  <c r="P343" i="1"/>
  <c r="P342" i="5" s="1"/>
  <c r="H344" i="1"/>
  <c r="H343" i="5" s="1"/>
  <c r="J344" i="1"/>
  <c r="J343" i="5" s="1"/>
  <c r="M344" i="1"/>
  <c r="M343" i="5" s="1"/>
  <c r="P344" i="1"/>
  <c r="P343" i="5" s="1"/>
  <c r="E345" i="1"/>
  <c r="E344" i="5" s="1"/>
  <c r="F345" i="1"/>
  <c r="F344" i="5" s="1"/>
  <c r="P345" i="1"/>
  <c r="E346" i="1"/>
  <c r="E345" i="5" s="1"/>
  <c r="H346" i="1"/>
  <c r="H345" i="5" s="1"/>
  <c r="P346" i="1"/>
  <c r="P345" i="5" s="1"/>
  <c r="U346" i="1"/>
  <c r="U345" i="5" s="1"/>
  <c r="H347" i="1"/>
  <c r="H346" i="5" s="1"/>
  <c r="J347" i="1"/>
  <c r="J346" i="5" s="1"/>
  <c r="P347" i="1"/>
  <c r="E348" i="1"/>
  <c r="E347" i="5" s="1"/>
  <c r="F348" i="1"/>
  <c r="P348" i="1"/>
  <c r="H349" i="1"/>
  <c r="P349" i="1"/>
  <c r="E350" i="1"/>
  <c r="E349" i="5" s="1"/>
  <c r="H350" i="1"/>
  <c r="H349" i="5" s="1"/>
  <c r="X349" i="5" s="1"/>
  <c r="P350" i="1"/>
  <c r="P349" i="5" s="1"/>
  <c r="H351" i="1"/>
  <c r="H350" i="5" s="1"/>
  <c r="P351" i="1"/>
  <c r="H352" i="1"/>
  <c r="P352" i="1"/>
  <c r="P351" i="5" s="1"/>
  <c r="H353" i="1"/>
  <c r="H352" i="5" s="1"/>
  <c r="P353" i="1"/>
  <c r="H354" i="1"/>
  <c r="P354" i="1"/>
  <c r="P353" i="5" s="1"/>
  <c r="H355" i="1"/>
  <c r="P355" i="1"/>
  <c r="P354" i="5" s="1"/>
  <c r="E356" i="1"/>
  <c r="E355" i="5" s="1"/>
  <c r="F356" i="1"/>
  <c r="F355" i="5" s="1"/>
  <c r="P356" i="1"/>
  <c r="P355" i="5" s="1"/>
  <c r="U356" i="1"/>
  <c r="U355" i="5" s="1"/>
  <c r="F357" i="1"/>
  <c r="P357" i="1"/>
  <c r="P356" i="5" s="1"/>
  <c r="H358" i="1"/>
  <c r="H357" i="5" s="1"/>
  <c r="P358" i="1"/>
  <c r="P357" i="5" s="1"/>
  <c r="H359" i="1"/>
  <c r="P359" i="1"/>
  <c r="P358" i="5" s="1"/>
  <c r="H360" i="1"/>
  <c r="H359" i="5" s="1"/>
  <c r="X359" i="5" s="1"/>
  <c r="Z359" i="5" s="1"/>
  <c r="M360" i="1"/>
  <c r="M359" i="5" s="1"/>
  <c r="H361" i="1"/>
  <c r="H360" i="5" s="1"/>
  <c r="P361" i="1"/>
  <c r="P360" i="5" s="1"/>
  <c r="U361" i="1"/>
  <c r="U360" i="5" s="1"/>
  <c r="H362" i="1"/>
  <c r="H361" i="5" s="1"/>
  <c r="X361" i="5" s="1"/>
  <c r="Z361" i="5" s="1"/>
  <c r="P362" i="1"/>
  <c r="P361" i="5" s="1"/>
  <c r="U362" i="1"/>
  <c r="U361" i="5" s="1"/>
  <c r="H363" i="1"/>
  <c r="H362" i="5" s="1"/>
  <c r="P363" i="1"/>
  <c r="H364" i="1"/>
  <c r="H363" i="5" s="1"/>
  <c r="P364" i="1"/>
  <c r="P363" i="5" s="1"/>
  <c r="U364" i="1"/>
  <c r="U363" i="5" s="1"/>
  <c r="H365" i="1"/>
  <c r="H364" i="5" s="1"/>
  <c r="M365" i="1"/>
  <c r="M364" i="5" s="1"/>
  <c r="P365" i="1"/>
  <c r="P364" i="5" s="1"/>
  <c r="H366" i="1"/>
  <c r="H365" i="5" s="1"/>
  <c r="M366" i="1"/>
  <c r="P366" i="1"/>
  <c r="P365" i="5" s="1"/>
  <c r="H367" i="1"/>
  <c r="H366" i="5" s="1"/>
  <c r="X366" i="5" s="1"/>
  <c r="Z366" i="5" s="1"/>
  <c r="P367" i="1"/>
  <c r="P366" i="5" s="1"/>
  <c r="U367" i="1"/>
  <c r="U366" i="5" s="1"/>
  <c r="X367" i="1"/>
  <c r="E368" i="1"/>
  <c r="E367" i="5" s="1"/>
  <c r="F368" i="1"/>
  <c r="F367" i="5" s="1"/>
  <c r="H368" i="1"/>
  <c r="H367" i="5" s="1"/>
  <c r="X367" i="5" s="1"/>
  <c r="J368" i="1"/>
  <c r="J367" i="5" s="1"/>
  <c r="P368" i="1"/>
  <c r="P367" i="5" s="1"/>
  <c r="U368" i="1"/>
  <c r="U367" i="5" s="1"/>
  <c r="X368" i="1"/>
  <c r="G370" i="1"/>
  <c r="I370" i="1"/>
  <c r="N370" i="1"/>
  <c r="O370" i="1"/>
  <c r="Q370" i="1"/>
  <c r="R370" i="1"/>
  <c r="S370" i="1"/>
  <c r="T370" i="1"/>
  <c r="V370" i="1"/>
  <c r="W370" i="1"/>
  <c r="Y370" i="1"/>
  <c r="H373" i="1"/>
  <c r="P373" i="1"/>
  <c r="P372" i="5" s="1"/>
  <c r="H374" i="1"/>
  <c r="K374" i="1"/>
  <c r="K373" i="5" s="1"/>
  <c r="P374" i="1"/>
  <c r="P373" i="5" s="1"/>
  <c r="U374" i="1"/>
  <c r="U373" i="5" s="1"/>
  <c r="E375" i="1"/>
  <c r="E374" i="5" s="1"/>
  <c r="H375" i="1"/>
  <c r="H374" i="5" s="1"/>
  <c r="P375" i="1"/>
  <c r="P374" i="5" s="1"/>
  <c r="U375" i="1"/>
  <c r="U374" i="5" s="1"/>
  <c r="E376" i="1"/>
  <c r="E375" i="5" s="1"/>
  <c r="H376" i="1"/>
  <c r="K376" i="1"/>
  <c r="K375" i="5" s="1"/>
  <c r="P376" i="1"/>
  <c r="P375" i="5" s="1"/>
  <c r="E377" i="1"/>
  <c r="E376" i="5" s="1"/>
  <c r="H377" i="1"/>
  <c r="H376" i="5" s="1"/>
  <c r="J377" i="1"/>
  <c r="J376" i="5" s="1"/>
  <c r="P377" i="1"/>
  <c r="E378" i="1"/>
  <c r="E377" i="5" s="1"/>
  <c r="H378" i="1"/>
  <c r="H377" i="5" s="1"/>
  <c r="J378" i="1"/>
  <c r="J377" i="5" s="1"/>
  <c r="M378" i="1"/>
  <c r="M377" i="5" s="1"/>
  <c r="P378" i="1"/>
  <c r="P377" i="5" s="1"/>
  <c r="H379" i="1"/>
  <c r="P379" i="1"/>
  <c r="P378" i="5" s="1"/>
  <c r="U379" i="1"/>
  <c r="U378" i="5" s="1"/>
  <c r="E380" i="1"/>
  <c r="E379" i="5" s="1"/>
  <c r="F380" i="1"/>
  <c r="F379" i="5" s="1"/>
  <c r="K380" i="1"/>
  <c r="K379" i="5" s="1"/>
  <c r="P380" i="1"/>
  <c r="H381" i="1"/>
  <c r="H380" i="5" s="1"/>
  <c r="P381" i="1"/>
  <c r="P380" i="5" s="1"/>
  <c r="E382" i="1"/>
  <c r="E381" i="5" s="1"/>
  <c r="F382" i="1"/>
  <c r="F381" i="5" s="1"/>
  <c r="P382" i="1"/>
  <c r="H383" i="1"/>
  <c r="P383" i="1"/>
  <c r="P382" i="5" s="1"/>
  <c r="H384" i="1"/>
  <c r="P384" i="1"/>
  <c r="P383" i="5" s="1"/>
  <c r="H385" i="1"/>
  <c r="H384" i="5" s="1"/>
  <c r="M385" i="1"/>
  <c r="M384" i="5" s="1"/>
  <c r="P385" i="1"/>
  <c r="P384" i="5" s="1"/>
  <c r="E386" i="1"/>
  <c r="E385" i="5" s="1"/>
  <c r="F386" i="1"/>
  <c r="F385" i="5" s="1"/>
  <c r="H386" i="1"/>
  <c r="P386" i="1"/>
  <c r="P385" i="5" s="1"/>
  <c r="H387" i="1"/>
  <c r="H386" i="5" s="1"/>
  <c r="X386" i="5" s="1"/>
  <c r="Z386" i="5" s="1"/>
  <c r="P387" i="1"/>
  <c r="P386" i="5" s="1"/>
  <c r="H388" i="1"/>
  <c r="H387" i="5" s="1"/>
  <c r="P388" i="1"/>
  <c r="H389" i="1"/>
  <c r="P389" i="1"/>
  <c r="P388" i="5" s="1"/>
  <c r="U389" i="1"/>
  <c r="U388" i="5" s="1"/>
  <c r="E390" i="1"/>
  <c r="E389" i="5" s="1"/>
  <c r="F390" i="1"/>
  <c r="P390" i="1"/>
  <c r="P389" i="5" s="1"/>
  <c r="U390" i="1"/>
  <c r="U389" i="5" s="1"/>
  <c r="E391" i="1"/>
  <c r="E390" i="5" s="1"/>
  <c r="F391" i="1"/>
  <c r="F390" i="5" s="1"/>
  <c r="P391" i="1"/>
  <c r="P390" i="5" s="1"/>
  <c r="E392" i="1"/>
  <c r="E391" i="5" s="1"/>
  <c r="F392" i="1"/>
  <c r="P392" i="1"/>
  <c r="P391" i="5" s="1"/>
  <c r="E393" i="1"/>
  <c r="E392" i="5" s="1"/>
  <c r="F393" i="1"/>
  <c r="F392" i="5" s="1"/>
  <c r="P393" i="1"/>
  <c r="E394" i="1"/>
  <c r="E393" i="5" s="1"/>
  <c r="H394" i="1"/>
  <c r="H393" i="5" s="1"/>
  <c r="X393" i="5" s="1"/>
  <c r="P394" i="1"/>
  <c r="P393" i="5" s="1"/>
  <c r="E395" i="1"/>
  <c r="E394" i="5" s="1"/>
  <c r="F395" i="1"/>
  <c r="F394" i="5" s="1"/>
  <c r="P395" i="1"/>
  <c r="H396" i="1"/>
  <c r="P396" i="1"/>
  <c r="P395" i="5" s="1"/>
  <c r="U396" i="1"/>
  <c r="U395" i="5" s="1"/>
  <c r="H397" i="1"/>
  <c r="H396" i="5" s="1"/>
  <c r="X396" i="5" s="1"/>
  <c r="Z396" i="5" s="1"/>
  <c r="P397" i="1"/>
  <c r="P396" i="5" s="1"/>
  <c r="G399" i="1"/>
  <c r="I399" i="1"/>
  <c r="L399" i="1"/>
  <c r="N399" i="1"/>
  <c r="O399" i="1"/>
  <c r="Q399" i="1"/>
  <c r="T399" i="1"/>
  <c r="V399" i="1"/>
  <c r="W399" i="1"/>
  <c r="Y399" i="1"/>
  <c r="E402" i="1"/>
  <c r="E401" i="5" s="1"/>
  <c r="H402" i="1"/>
  <c r="H401" i="5" s="1"/>
  <c r="K402" i="1"/>
  <c r="K401" i="5" s="1"/>
  <c r="K419" i="5" s="1"/>
  <c r="P402" i="1"/>
  <c r="E403" i="1"/>
  <c r="E402" i="5" s="1"/>
  <c r="H403" i="1"/>
  <c r="H402" i="5" s="1"/>
  <c r="P403" i="1"/>
  <c r="P402" i="5" s="1"/>
  <c r="U403" i="1"/>
  <c r="U402" i="5" s="1"/>
  <c r="H404" i="1"/>
  <c r="H403" i="5" s="1"/>
  <c r="X403" i="5" s="1"/>
  <c r="P404" i="1"/>
  <c r="P403" i="5" s="1"/>
  <c r="H405" i="1"/>
  <c r="H404" i="5" s="1"/>
  <c r="X404" i="5" s="1"/>
  <c r="J405" i="1"/>
  <c r="P405" i="1"/>
  <c r="P404" i="5" s="1"/>
  <c r="E406" i="1"/>
  <c r="E405" i="5" s="1"/>
  <c r="H406" i="1"/>
  <c r="H405" i="5" s="1"/>
  <c r="X405" i="5" s="1"/>
  <c r="P406" i="1"/>
  <c r="P405" i="5" s="1"/>
  <c r="H407" i="1"/>
  <c r="H406" i="5" s="1"/>
  <c r="P407" i="1"/>
  <c r="P406" i="5" s="1"/>
  <c r="H408" i="1"/>
  <c r="H407" i="5" s="1"/>
  <c r="J408" i="1"/>
  <c r="J407" i="5" s="1"/>
  <c r="M408" i="1"/>
  <c r="M407" i="5" s="1"/>
  <c r="P408" i="1"/>
  <c r="P407" i="5" s="1"/>
  <c r="X408" i="1"/>
  <c r="X389" i="2" s="1"/>
  <c r="H409" i="1"/>
  <c r="P409" i="1"/>
  <c r="H410" i="1"/>
  <c r="H409" i="5" s="1"/>
  <c r="P410" i="1"/>
  <c r="H411" i="1"/>
  <c r="H410" i="5" s="1"/>
  <c r="P411" i="1"/>
  <c r="E412" i="1"/>
  <c r="E411" i="5" s="1"/>
  <c r="F412" i="1"/>
  <c r="F411" i="5" s="1"/>
  <c r="F419" i="5" s="1"/>
  <c r="P412" i="1"/>
  <c r="P411" i="5" s="1"/>
  <c r="U412" i="1"/>
  <c r="U411" i="5" s="1"/>
  <c r="H413" i="1"/>
  <c r="P413" i="1"/>
  <c r="P412" i="5" s="1"/>
  <c r="X413" i="1"/>
  <c r="X394" i="2" s="1"/>
  <c r="H414" i="1"/>
  <c r="H413" i="5" s="1"/>
  <c r="M414" i="1"/>
  <c r="M413" i="5" s="1"/>
  <c r="P414" i="1"/>
  <c r="P413" i="5" s="1"/>
  <c r="H415" i="1"/>
  <c r="K415" i="1"/>
  <c r="K414" i="5" s="1"/>
  <c r="P415" i="1"/>
  <c r="P414" i="5" s="1"/>
  <c r="U415" i="1"/>
  <c r="U414" i="5" s="1"/>
  <c r="H416" i="1"/>
  <c r="H415" i="5" s="1"/>
  <c r="M416" i="1"/>
  <c r="M415" i="5" s="1"/>
  <c r="P416" i="1"/>
  <c r="H417" i="1"/>
  <c r="H416" i="5" s="1"/>
  <c r="X416" i="5" s="1"/>
  <c r="P417" i="1"/>
  <c r="P416" i="5" s="1"/>
  <c r="U417" i="1"/>
  <c r="U416" i="5" s="1"/>
  <c r="X417" i="1"/>
  <c r="H418" i="1"/>
  <c r="H417" i="5" s="1"/>
  <c r="P418" i="1"/>
  <c r="P417" i="5" s="1"/>
  <c r="G420" i="1"/>
  <c r="I420" i="1"/>
  <c r="L420" i="1"/>
  <c r="N420" i="1"/>
  <c r="O420" i="1"/>
  <c r="Q420" i="1"/>
  <c r="T420" i="1"/>
  <c r="V420" i="1"/>
  <c r="W420" i="1"/>
  <c r="Y420" i="1"/>
  <c r="E427" i="1"/>
  <c r="F427" i="1"/>
  <c r="F426" i="5" s="1"/>
  <c r="N427" i="1"/>
  <c r="H428" i="1"/>
  <c r="H427" i="5" s="1"/>
  <c r="P428" i="1"/>
  <c r="P427" i="5" s="1"/>
  <c r="E429" i="1"/>
  <c r="E428" i="5" s="1"/>
  <c r="F429" i="1"/>
  <c r="P429" i="1"/>
  <c r="H430" i="1"/>
  <c r="P430" i="1"/>
  <c r="P429" i="5" s="1"/>
  <c r="U430" i="1"/>
  <c r="U429" i="5" s="1"/>
  <c r="H431" i="1"/>
  <c r="P431" i="1"/>
  <c r="P430" i="5" s="1"/>
  <c r="U431" i="1"/>
  <c r="U430" i="5" s="1"/>
  <c r="H432" i="1"/>
  <c r="H431" i="5" s="1"/>
  <c r="M432" i="1"/>
  <c r="M431" i="5" s="1"/>
  <c r="P432" i="1"/>
  <c r="H433" i="1"/>
  <c r="H432" i="5" s="1"/>
  <c r="P433" i="1"/>
  <c r="P432" i="5" s="1"/>
  <c r="U433" i="1"/>
  <c r="U432" i="5" s="1"/>
  <c r="H434" i="1"/>
  <c r="P434" i="1"/>
  <c r="P433" i="5" s="1"/>
  <c r="H435" i="1"/>
  <c r="H434" i="5" s="1"/>
  <c r="P435" i="1"/>
  <c r="H436" i="1"/>
  <c r="M436" i="1"/>
  <c r="M435" i="5" s="1"/>
  <c r="P436" i="1"/>
  <c r="P435" i="5" s="1"/>
  <c r="H437" i="1"/>
  <c r="H436" i="5" s="1"/>
  <c r="P437" i="1"/>
  <c r="P436" i="5" s="1"/>
  <c r="U437" i="1"/>
  <c r="U436" i="5" s="1"/>
  <c r="H438" i="1"/>
  <c r="H437" i="5" s="1"/>
  <c r="M438" i="1"/>
  <c r="M437" i="5" s="1"/>
  <c r="P438" i="1"/>
  <c r="H439" i="1"/>
  <c r="H438" i="5" s="1"/>
  <c r="P439" i="1"/>
  <c r="H440" i="1"/>
  <c r="P440" i="1"/>
  <c r="P439" i="5" s="1"/>
  <c r="H441" i="1"/>
  <c r="P441" i="1"/>
  <c r="P440" i="5" s="1"/>
  <c r="H442" i="1"/>
  <c r="P442" i="1"/>
  <c r="P441" i="5" s="1"/>
  <c r="H443" i="1"/>
  <c r="P443" i="1"/>
  <c r="P442" i="5" s="1"/>
  <c r="H444" i="1"/>
  <c r="P444" i="1"/>
  <c r="P443" i="5" s="1"/>
  <c r="H445" i="1"/>
  <c r="P445" i="1"/>
  <c r="G447" i="1"/>
  <c r="I447" i="1"/>
  <c r="J447" i="1"/>
  <c r="K447" i="1"/>
  <c r="L447" i="1"/>
  <c r="O447" i="1"/>
  <c r="Q447" i="1"/>
  <c r="R447" i="1"/>
  <c r="S447" i="1"/>
  <c r="T447" i="1"/>
  <c r="Y447" i="1"/>
  <c r="H450" i="1"/>
  <c r="H449" i="5" s="1"/>
  <c r="P450" i="1"/>
  <c r="P449" i="5" s="1"/>
  <c r="H451" i="1"/>
  <c r="P451" i="1"/>
  <c r="P450" i="5" s="1"/>
  <c r="H452" i="1"/>
  <c r="P452" i="1"/>
  <c r="P451" i="5" s="1"/>
  <c r="H453" i="1"/>
  <c r="H452" i="5" s="1"/>
  <c r="P453" i="1"/>
  <c r="H454" i="1"/>
  <c r="X454" i="1" s="1"/>
  <c r="P454" i="1"/>
  <c r="P453" i="5" s="1"/>
  <c r="H455" i="1"/>
  <c r="H454" i="5" s="1"/>
  <c r="P455" i="1"/>
  <c r="P454" i="5" s="1"/>
  <c r="U455" i="1"/>
  <c r="U454" i="5" s="1"/>
  <c r="H456" i="1"/>
  <c r="H455" i="5" s="1"/>
  <c r="P456" i="1"/>
  <c r="P455" i="5" s="1"/>
  <c r="E458" i="1"/>
  <c r="F458" i="1"/>
  <c r="G458" i="1"/>
  <c r="I458" i="1"/>
  <c r="J458" i="1"/>
  <c r="K458" i="1"/>
  <c r="L458" i="1"/>
  <c r="N458" i="1"/>
  <c r="O458" i="1"/>
  <c r="Q458" i="1"/>
  <c r="R458" i="1"/>
  <c r="S458" i="1"/>
  <c r="T458" i="1"/>
  <c r="Y458" i="1"/>
  <c r="H461" i="1"/>
  <c r="P461" i="1"/>
  <c r="H462" i="1"/>
  <c r="H461" i="5" s="1"/>
  <c r="P462" i="1"/>
  <c r="P461" i="5" s="1"/>
  <c r="H463" i="1"/>
  <c r="P463" i="1"/>
  <c r="H464" i="1"/>
  <c r="X464" i="1" s="1"/>
  <c r="P464" i="1"/>
  <c r="P463" i="5" s="1"/>
  <c r="H465" i="1"/>
  <c r="H464" i="5" s="1"/>
  <c r="P465" i="1"/>
  <c r="P464" i="5" s="1"/>
  <c r="U465" i="1"/>
  <c r="U464" i="5" s="1"/>
  <c r="H466" i="1"/>
  <c r="P466" i="1"/>
  <c r="X466" i="1"/>
  <c r="H467" i="1"/>
  <c r="P467" i="1"/>
  <c r="P466" i="5" s="1"/>
  <c r="U467" i="1"/>
  <c r="U466" i="5" s="1"/>
  <c r="H468" i="1"/>
  <c r="H467" i="5" s="1"/>
  <c r="X467" i="5" s="1"/>
  <c r="Z467" i="5" s="1"/>
  <c r="P468" i="1"/>
  <c r="P467" i="5" s="1"/>
  <c r="H469" i="1"/>
  <c r="P469" i="1"/>
  <c r="P468" i="5" s="1"/>
  <c r="U469" i="1"/>
  <c r="U468" i="5" s="1"/>
  <c r="H470" i="1"/>
  <c r="H469" i="5" s="1"/>
  <c r="X469" i="5" s="1"/>
  <c r="Z469" i="5" s="1"/>
  <c r="P470" i="1"/>
  <c r="P469" i="5" s="1"/>
  <c r="H471" i="1"/>
  <c r="P471" i="1"/>
  <c r="H472" i="1"/>
  <c r="P472" i="1"/>
  <c r="P471" i="5" s="1"/>
  <c r="X472" i="1"/>
  <c r="E474" i="1"/>
  <c r="F474" i="1"/>
  <c r="G474" i="1"/>
  <c r="I474" i="1"/>
  <c r="J474" i="1"/>
  <c r="K474" i="1"/>
  <c r="L474" i="1"/>
  <c r="N474" i="1"/>
  <c r="O474" i="1"/>
  <c r="Q474" i="1"/>
  <c r="R474" i="1"/>
  <c r="S474" i="1"/>
  <c r="T474" i="1"/>
  <c r="Y474" i="1"/>
  <c r="H477" i="1"/>
  <c r="P477" i="1"/>
  <c r="P476" i="5" s="1"/>
  <c r="H478" i="1"/>
  <c r="P478" i="1"/>
  <c r="H479" i="1"/>
  <c r="H478" i="5" s="1"/>
  <c r="M479" i="1"/>
  <c r="M478" i="5" s="1"/>
  <c r="P479" i="1"/>
  <c r="P478" i="5" s="1"/>
  <c r="H480" i="1"/>
  <c r="H479" i="5" s="1"/>
  <c r="P480" i="1"/>
  <c r="P479" i="5" s="1"/>
  <c r="H481" i="1"/>
  <c r="P481" i="1"/>
  <c r="P480" i="5" s="1"/>
  <c r="H482" i="1"/>
  <c r="P482" i="1"/>
  <c r="P481" i="5" s="1"/>
  <c r="F483" i="1"/>
  <c r="F482" i="5" s="1"/>
  <c r="F487" i="5" s="1"/>
  <c r="P483" i="1"/>
  <c r="H484" i="1"/>
  <c r="P484" i="1"/>
  <c r="P483" i="5" s="1"/>
  <c r="U484" i="1"/>
  <c r="U483" i="5" s="1"/>
  <c r="H485" i="1"/>
  <c r="H484" i="5" s="1"/>
  <c r="M485" i="1"/>
  <c r="M484" i="5" s="1"/>
  <c r="P485" i="1"/>
  <c r="P484" i="5" s="1"/>
  <c r="H486" i="1"/>
  <c r="H485" i="5" s="1"/>
  <c r="X485" i="5" s="1"/>
  <c r="Z485" i="5" s="1"/>
  <c r="P486" i="1"/>
  <c r="P485" i="5" s="1"/>
  <c r="U486" i="1"/>
  <c r="U485" i="5" s="1"/>
  <c r="V486" i="1"/>
  <c r="V485" i="5" s="1"/>
  <c r="E488" i="1"/>
  <c r="G488" i="1"/>
  <c r="I488" i="1"/>
  <c r="J488" i="1"/>
  <c r="K488" i="1"/>
  <c r="L488" i="1"/>
  <c r="N488" i="1"/>
  <c r="O488" i="1"/>
  <c r="Q488" i="1"/>
  <c r="R488" i="1"/>
  <c r="S488" i="1"/>
  <c r="T488" i="1"/>
  <c r="Y488" i="1"/>
  <c r="H492" i="1"/>
  <c r="H491" i="5" s="1"/>
  <c r="M492" i="1"/>
  <c r="M491" i="5" s="1"/>
  <c r="P492" i="1"/>
  <c r="P491" i="5" s="1"/>
  <c r="H493" i="1"/>
  <c r="P493" i="1"/>
  <c r="P492" i="5" s="1"/>
  <c r="U493" i="1"/>
  <c r="V493" i="1"/>
  <c r="H494" i="1"/>
  <c r="H493" i="5" s="1"/>
  <c r="P494" i="1"/>
  <c r="P493" i="5" s="1"/>
  <c r="H495" i="1"/>
  <c r="P495" i="1"/>
  <c r="P494" i="5" s="1"/>
  <c r="H496" i="1"/>
  <c r="P496" i="1"/>
  <c r="H497" i="1"/>
  <c r="P497" i="1"/>
  <c r="P496" i="5" s="1"/>
  <c r="H498" i="1"/>
  <c r="P498" i="1"/>
  <c r="P497" i="5" s="1"/>
  <c r="H499" i="1"/>
  <c r="H498" i="5" s="1"/>
  <c r="P499" i="1"/>
  <c r="E501" i="1"/>
  <c r="F501" i="1"/>
  <c r="G501" i="1"/>
  <c r="I501" i="1"/>
  <c r="J501" i="1"/>
  <c r="K501" i="1"/>
  <c r="L501" i="1"/>
  <c r="N501" i="1"/>
  <c r="O501" i="1"/>
  <c r="Q501" i="1"/>
  <c r="R501" i="1"/>
  <c r="S501" i="1"/>
  <c r="T501" i="1"/>
  <c r="Y501" i="1"/>
  <c r="H504" i="1"/>
  <c r="X504" i="1" s="1"/>
  <c r="P504" i="1"/>
  <c r="H505" i="1"/>
  <c r="P505" i="1"/>
  <c r="P504" i="5" s="1"/>
  <c r="U505" i="1"/>
  <c r="U504" i="5" s="1"/>
  <c r="H506" i="1"/>
  <c r="H505" i="5" s="1"/>
  <c r="M506" i="1"/>
  <c r="M505" i="5" s="1"/>
  <c r="P506" i="1"/>
  <c r="H507" i="1"/>
  <c r="P507" i="1"/>
  <c r="P506" i="5" s="1"/>
  <c r="H508" i="1"/>
  <c r="H507" i="5" s="1"/>
  <c r="X507" i="5" s="1"/>
  <c r="Z507" i="5" s="1"/>
  <c r="P508" i="1"/>
  <c r="P507" i="5" s="1"/>
  <c r="E510" i="1"/>
  <c r="F510" i="1"/>
  <c r="G510" i="1"/>
  <c r="I510" i="1"/>
  <c r="J510" i="1"/>
  <c r="K510" i="1"/>
  <c r="L510" i="1"/>
  <c r="N510" i="1"/>
  <c r="O510" i="1"/>
  <c r="Q510" i="1"/>
  <c r="R510" i="1"/>
  <c r="S510" i="1"/>
  <c r="T510" i="1"/>
  <c r="Y510" i="1"/>
  <c r="H513" i="1"/>
  <c r="P513" i="1"/>
  <c r="P512" i="5" s="1"/>
  <c r="H514" i="1"/>
  <c r="H513" i="5" s="1"/>
  <c r="P514" i="1"/>
  <c r="H515" i="1"/>
  <c r="P515" i="1"/>
  <c r="P514" i="5" s="1"/>
  <c r="H516" i="1"/>
  <c r="H515" i="5" s="1"/>
  <c r="P516" i="1"/>
  <c r="H517" i="1"/>
  <c r="P517" i="1"/>
  <c r="P516" i="5" s="1"/>
  <c r="H518" i="1"/>
  <c r="H517" i="5" s="1"/>
  <c r="P518" i="1"/>
  <c r="H519" i="1"/>
  <c r="H518" i="5" s="1"/>
  <c r="M519" i="1"/>
  <c r="M518" i="5" s="1"/>
  <c r="P519" i="1"/>
  <c r="P518" i="5" s="1"/>
  <c r="H520" i="1"/>
  <c r="H519" i="5" s="1"/>
  <c r="X519" i="5" s="1"/>
  <c r="Z519" i="5" s="1"/>
  <c r="P520" i="1"/>
  <c r="P519" i="5" s="1"/>
  <c r="U520" i="1"/>
  <c r="U519" i="5" s="1"/>
  <c r="H521" i="1"/>
  <c r="P521" i="1"/>
  <c r="P520" i="5" s="1"/>
  <c r="E523" i="1"/>
  <c r="F523" i="1"/>
  <c r="G523" i="1"/>
  <c r="I523" i="1"/>
  <c r="J523" i="1"/>
  <c r="K523" i="1"/>
  <c r="L523" i="1"/>
  <c r="N523" i="1"/>
  <c r="O523" i="1"/>
  <c r="Q523" i="1"/>
  <c r="R523" i="1"/>
  <c r="S523" i="1"/>
  <c r="T523" i="1"/>
  <c r="Y523" i="1"/>
  <c r="H526" i="1"/>
  <c r="H525" i="5" s="1"/>
  <c r="X525" i="5" s="1"/>
  <c r="Z525" i="5" s="1"/>
  <c r="P526" i="1"/>
  <c r="P525" i="5" s="1"/>
  <c r="H527" i="1"/>
  <c r="P527" i="1"/>
  <c r="P526" i="5" s="1"/>
  <c r="H529" i="1"/>
  <c r="H528" i="5" s="1"/>
  <c r="X528" i="5" s="1"/>
  <c r="Z528" i="5" s="1"/>
  <c r="P529" i="1"/>
  <c r="P528" i="5" s="1"/>
  <c r="H530" i="1"/>
  <c r="H529" i="5" s="1"/>
  <c r="X529" i="5" s="1"/>
  <c r="Z529" i="5" s="1"/>
  <c r="M530" i="1"/>
  <c r="M529" i="5" s="1"/>
  <c r="P530" i="1"/>
  <c r="P529" i="5" s="1"/>
  <c r="H531" i="1"/>
  <c r="H530" i="5" s="1"/>
  <c r="P531" i="1"/>
  <c r="P530" i="5" s="1"/>
  <c r="U531" i="1"/>
  <c r="U530" i="5" s="1"/>
  <c r="H532" i="1"/>
  <c r="P532" i="1"/>
  <c r="P531" i="5" s="1"/>
  <c r="H533" i="1"/>
  <c r="H532" i="5" s="1"/>
  <c r="P533" i="1"/>
  <c r="H534" i="1"/>
  <c r="H533" i="5" s="1"/>
  <c r="P534" i="1"/>
  <c r="P533" i="5" s="1"/>
  <c r="E536" i="1"/>
  <c r="F536" i="1"/>
  <c r="G536" i="1"/>
  <c r="I536" i="1"/>
  <c r="J536" i="1"/>
  <c r="K536" i="1"/>
  <c r="L536" i="1"/>
  <c r="N536" i="1"/>
  <c r="O536" i="1"/>
  <c r="Q536" i="1"/>
  <c r="R536" i="1"/>
  <c r="S536" i="1"/>
  <c r="T536" i="1"/>
  <c r="Y536" i="1"/>
  <c r="H539" i="1"/>
  <c r="H538" i="5" s="1"/>
  <c r="P539" i="1"/>
  <c r="H540" i="1"/>
  <c r="P540" i="1"/>
  <c r="P539" i="5" s="1"/>
  <c r="H541" i="1"/>
  <c r="H540" i="5" s="1"/>
  <c r="X540" i="5" s="1"/>
  <c r="Z540" i="5" s="1"/>
  <c r="M541" i="1"/>
  <c r="M540" i="5" s="1"/>
  <c r="P541" i="1"/>
  <c r="P540" i="5" s="1"/>
  <c r="H542" i="1"/>
  <c r="H541" i="5" s="1"/>
  <c r="N542" i="1"/>
  <c r="N541" i="5" s="1"/>
  <c r="N545" i="5" s="1"/>
  <c r="P542" i="1"/>
  <c r="H543" i="1"/>
  <c r="H542" i="5" s="1"/>
  <c r="M543" i="1"/>
  <c r="M542" i="5" s="1"/>
  <c r="P543" i="1"/>
  <c r="H544" i="1"/>
  <c r="P544" i="1"/>
  <c r="P543" i="5" s="1"/>
  <c r="E546" i="1"/>
  <c r="F546" i="1"/>
  <c r="G546" i="1"/>
  <c r="I546" i="1"/>
  <c r="J546" i="1"/>
  <c r="K546" i="1"/>
  <c r="L546" i="1"/>
  <c r="N546" i="1"/>
  <c r="O546" i="1"/>
  <c r="Q546" i="1"/>
  <c r="R546" i="1"/>
  <c r="S546" i="1"/>
  <c r="T546" i="1"/>
  <c r="Y546" i="1"/>
  <c r="H549" i="1"/>
  <c r="P549" i="1"/>
  <c r="F550" i="1"/>
  <c r="P550" i="1"/>
  <c r="P549" i="5" s="1"/>
  <c r="H551" i="1"/>
  <c r="H550" i="5" s="1"/>
  <c r="P551" i="1"/>
  <c r="P550" i="5" s="1"/>
  <c r="U551" i="1"/>
  <c r="U550" i="5" s="1"/>
  <c r="H552" i="1"/>
  <c r="H551" i="5" s="1"/>
  <c r="P552" i="1"/>
  <c r="P551" i="5" s="1"/>
  <c r="H553" i="1"/>
  <c r="H552" i="5" s="1"/>
  <c r="X552" i="5" s="1"/>
  <c r="Z552" i="5" s="1"/>
  <c r="P553" i="1"/>
  <c r="P552" i="5" s="1"/>
  <c r="E554" i="1"/>
  <c r="F554" i="1"/>
  <c r="F553" i="5" s="1"/>
  <c r="P554" i="1"/>
  <c r="P553" i="5" s="1"/>
  <c r="H555" i="1"/>
  <c r="H554" i="5" s="1"/>
  <c r="P555" i="1"/>
  <c r="P554" i="5" s="1"/>
  <c r="G557" i="1"/>
  <c r="I557" i="1"/>
  <c r="J557" i="1"/>
  <c r="K557" i="1"/>
  <c r="L557" i="1"/>
  <c r="N557" i="1"/>
  <c r="O557" i="1"/>
  <c r="P557" i="1"/>
  <c r="Q557" i="1"/>
  <c r="R557" i="1"/>
  <c r="S557" i="1"/>
  <c r="T557" i="1"/>
  <c r="Y557" i="1"/>
  <c r="H560" i="1"/>
  <c r="H561" i="5" s="1"/>
  <c r="P560" i="1"/>
  <c r="E562" i="1"/>
  <c r="F562" i="1"/>
  <c r="G562" i="1"/>
  <c r="I562" i="1"/>
  <c r="J562" i="1"/>
  <c r="K562" i="1"/>
  <c r="L562" i="1"/>
  <c r="N562" i="1"/>
  <c r="O562" i="1"/>
  <c r="Q562" i="1"/>
  <c r="R562" i="1"/>
  <c r="S562" i="1"/>
  <c r="T562" i="1"/>
  <c r="Y562" i="1"/>
  <c r="H565" i="1"/>
  <c r="P565" i="1"/>
  <c r="P566" i="5" s="1"/>
  <c r="H566" i="1"/>
  <c r="H567" i="5" s="1"/>
  <c r="P566" i="1"/>
  <c r="H567" i="1"/>
  <c r="H568" i="5" s="1"/>
  <c r="M567" i="1"/>
  <c r="M568" i="5" s="1"/>
  <c r="P567" i="1"/>
  <c r="P568" i="5" s="1"/>
  <c r="E569" i="1"/>
  <c r="F569" i="1"/>
  <c r="G569" i="1"/>
  <c r="I569" i="1"/>
  <c r="J569" i="1"/>
  <c r="K569" i="1"/>
  <c r="L569" i="1"/>
  <c r="N569" i="1"/>
  <c r="O569" i="1"/>
  <c r="Q569" i="1"/>
  <c r="R569" i="1"/>
  <c r="S569" i="1"/>
  <c r="T569" i="1"/>
  <c r="Y569" i="1"/>
  <c r="H572" i="1"/>
  <c r="H573" i="5" s="1"/>
  <c r="P572" i="1"/>
  <c r="H573" i="1"/>
  <c r="H574" i="5" s="1"/>
  <c r="P573" i="1"/>
  <c r="P574" i="5" s="1"/>
  <c r="X574" i="1"/>
  <c r="AA574" i="1"/>
  <c r="AA575" i="5" s="1"/>
  <c r="F575" i="1"/>
  <c r="N575" i="1"/>
  <c r="N576" i="5" s="1"/>
  <c r="N589" i="5" s="1"/>
  <c r="H576" i="1"/>
  <c r="H577" i="5" s="1"/>
  <c r="P576" i="1"/>
  <c r="U576" i="1"/>
  <c r="U577" i="5" s="1"/>
  <c r="H577" i="1"/>
  <c r="P577" i="1"/>
  <c r="P578" i="5" s="1"/>
  <c r="H578" i="1"/>
  <c r="H579" i="5" s="1"/>
  <c r="P578" i="1"/>
  <c r="F579" i="1"/>
  <c r="F580" i="5" s="1"/>
  <c r="H579" i="1"/>
  <c r="H580" i="5" s="1"/>
  <c r="P579" i="1"/>
  <c r="H580" i="1"/>
  <c r="H581" i="5" s="1"/>
  <c r="M580" i="1"/>
  <c r="M581" i="5" s="1"/>
  <c r="P580" i="1"/>
  <c r="P581" i="5" s="1"/>
  <c r="E581" i="1"/>
  <c r="E582" i="5" s="1"/>
  <c r="H581" i="1"/>
  <c r="H582" i="5" s="1"/>
  <c r="P581" i="1"/>
  <c r="H582" i="1"/>
  <c r="P582" i="1"/>
  <c r="P583" i="5" s="1"/>
  <c r="H583" i="1"/>
  <c r="M583" i="1"/>
  <c r="M584" i="5" s="1"/>
  <c r="P583" i="1"/>
  <c r="P584" i="5" s="1"/>
  <c r="H584" i="1"/>
  <c r="H585" i="5" s="1"/>
  <c r="P584" i="1"/>
  <c r="X584" i="1" s="1"/>
  <c r="Z584" i="1" s="1"/>
  <c r="U584" i="1"/>
  <c r="E585" i="1"/>
  <c r="E586" i="5" s="1"/>
  <c r="F585" i="1"/>
  <c r="F586" i="5" s="1"/>
  <c r="P585" i="1"/>
  <c r="P586" i="5" s="1"/>
  <c r="H586" i="1"/>
  <c r="P586" i="1"/>
  <c r="P587" i="5" s="1"/>
  <c r="U586" i="1"/>
  <c r="U587" i="5" s="1"/>
  <c r="X586" i="1"/>
  <c r="X563" i="2" s="1"/>
  <c r="E588" i="1"/>
  <c r="G588" i="1"/>
  <c r="I588" i="1"/>
  <c r="J588" i="1"/>
  <c r="K588" i="1"/>
  <c r="L588" i="1"/>
  <c r="O588" i="1"/>
  <c r="Q588" i="1"/>
  <c r="R588" i="1"/>
  <c r="S588" i="1"/>
  <c r="T588" i="1"/>
  <c r="Y588" i="1"/>
  <c r="H591" i="1"/>
  <c r="P591" i="1"/>
  <c r="P592" i="5" s="1"/>
  <c r="U591" i="1"/>
  <c r="U592" i="5" s="1"/>
  <c r="V591" i="1"/>
  <c r="V592" i="5" s="1"/>
  <c r="H592" i="1"/>
  <c r="H593" i="5" s="1"/>
  <c r="P592" i="1"/>
  <c r="X592" i="1"/>
  <c r="H593" i="1"/>
  <c r="P593" i="1"/>
  <c r="P594" i="5" s="1"/>
  <c r="U593" i="1"/>
  <c r="V593" i="1"/>
  <c r="X594" i="1"/>
  <c r="AA594" i="1"/>
  <c r="AA595" i="5" s="1"/>
  <c r="AB594" i="1"/>
  <c r="AB595" i="5" s="1"/>
  <c r="E595" i="1"/>
  <c r="F595" i="1"/>
  <c r="P595" i="1"/>
  <c r="U595" i="1"/>
  <c r="U596" i="5" s="1"/>
  <c r="H596" i="1"/>
  <c r="H597" i="5" s="1"/>
  <c r="P596" i="1"/>
  <c r="H597" i="1"/>
  <c r="P597" i="1"/>
  <c r="P598" i="5" s="1"/>
  <c r="H598" i="1"/>
  <c r="P598" i="1"/>
  <c r="P599" i="5" s="1"/>
  <c r="U598" i="1"/>
  <c r="U599" i="5" s="1"/>
  <c r="H599" i="1"/>
  <c r="P599" i="1"/>
  <c r="P600" i="5" s="1"/>
  <c r="H600" i="1"/>
  <c r="P600" i="1"/>
  <c r="H601" i="1"/>
  <c r="P601" i="1"/>
  <c r="H602" i="1"/>
  <c r="P602" i="1"/>
  <c r="E603" i="1"/>
  <c r="E604" i="5" s="1"/>
  <c r="H603" i="1"/>
  <c r="H604" i="5" s="1"/>
  <c r="P603" i="1"/>
  <c r="E604" i="1"/>
  <c r="E605" i="5" s="1"/>
  <c r="F604" i="1"/>
  <c r="P604" i="1"/>
  <c r="G606" i="1"/>
  <c r="I606" i="1"/>
  <c r="J606" i="1"/>
  <c r="K606" i="1"/>
  <c r="L606" i="1"/>
  <c r="N606" i="1"/>
  <c r="O606" i="1"/>
  <c r="Q606" i="1"/>
  <c r="R606" i="1"/>
  <c r="S606" i="1"/>
  <c r="T606" i="1"/>
  <c r="Y606" i="1"/>
  <c r="H610" i="1"/>
  <c r="H611" i="5" s="1"/>
  <c r="M610" i="1"/>
  <c r="M611" i="5" s="1"/>
  <c r="P610" i="1"/>
  <c r="H611" i="1"/>
  <c r="H612" i="5" s="1"/>
  <c r="P611" i="1"/>
  <c r="V611" i="1" s="1"/>
  <c r="V612" i="5" s="1"/>
  <c r="U611" i="1"/>
  <c r="U612" i="5" s="1"/>
  <c r="H612" i="1"/>
  <c r="H613" i="5" s="1"/>
  <c r="M612" i="1"/>
  <c r="M613" i="5" s="1"/>
  <c r="P612" i="1"/>
  <c r="H613" i="1"/>
  <c r="H614" i="5" s="1"/>
  <c r="X614" i="5" s="1"/>
  <c r="Z614" i="5" s="1"/>
  <c r="P613" i="1"/>
  <c r="P614" i="5" s="1"/>
  <c r="U613" i="1"/>
  <c r="U614" i="5" s="1"/>
  <c r="V613" i="1"/>
  <c r="V614" i="5" s="1"/>
  <c r="H614" i="1"/>
  <c r="H615" i="5" s="1"/>
  <c r="P614" i="1"/>
  <c r="E615" i="1"/>
  <c r="H615" i="1"/>
  <c r="H616" i="5" s="1"/>
  <c r="P615" i="1"/>
  <c r="P616" i="5" s="1"/>
  <c r="H616" i="1"/>
  <c r="H617" i="5" s="1"/>
  <c r="X617" i="5" s="1"/>
  <c r="Z617" i="5" s="1"/>
  <c r="P616" i="1"/>
  <c r="P617" i="5" s="1"/>
  <c r="H617" i="1"/>
  <c r="P617" i="1"/>
  <c r="E618" i="1"/>
  <c r="E619" i="5" s="1"/>
  <c r="F618" i="1"/>
  <c r="F619" i="5" s="1"/>
  <c r="F625" i="5" s="1"/>
  <c r="P618" i="1"/>
  <c r="P619" i="5" s="1"/>
  <c r="H619" i="1"/>
  <c r="U619" i="1"/>
  <c r="U620" i="5" s="1"/>
  <c r="H620" i="1"/>
  <c r="H621" i="5" s="1"/>
  <c r="X621" i="5" s="1"/>
  <c r="Z621" i="5" s="1"/>
  <c r="P620" i="1"/>
  <c r="P621" i="5" s="1"/>
  <c r="H621" i="1"/>
  <c r="H622" i="5" s="1"/>
  <c r="P621" i="1"/>
  <c r="P622" i="5" s="1"/>
  <c r="H622" i="1"/>
  <c r="P622" i="1"/>
  <c r="P623" i="5" s="1"/>
  <c r="G624" i="1"/>
  <c r="I624" i="1"/>
  <c r="J624" i="1"/>
  <c r="K624" i="1"/>
  <c r="L624" i="1"/>
  <c r="N624" i="1"/>
  <c r="O624" i="1"/>
  <c r="Q624" i="1"/>
  <c r="R624" i="1"/>
  <c r="S624" i="1"/>
  <c r="T624" i="1"/>
  <c r="Y624" i="1"/>
  <c r="H627" i="1"/>
  <c r="H628" i="5" s="1"/>
  <c r="X628" i="5" s="1"/>
  <c r="P627" i="1"/>
  <c r="P628" i="5" s="1"/>
  <c r="H628" i="1"/>
  <c r="H629" i="5" s="1"/>
  <c r="M628" i="1"/>
  <c r="M629" i="5" s="1"/>
  <c r="P628" i="1"/>
  <c r="P629" i="5" s="1"/>
  <c r="H629" i="1"/>
  <c r="H630" i="5" s="1"/>
  <c r="P629" i="1"/>
  <c r="H630" i="1"/>
  <c r="M630" i="1"/>
  <c r="M631" i="5" s="1"/>
  <c r="P630" i="1"/>
  <c r="P631" i="5" s="1"/>
  <c r="H631" i="1"/>
  <c r="H632" i="5" s="1"/>
  <c r="P631" i="1"/>
  <c r="U631" i="1"/>
  <c r="U632" i="5" s="1"/>
  <c r="H632" i="1"/>
  <c r="H633" i="5" s="1"/>
  <c r="P632" i="1"/>
  <c r="P633" i="5" s="1"/>
  <c r="E633" i="1"/>
  <c r="F633" i="1"/>
  <c r="P633" i="1"/>
  <c r="P634" i="5" s="1"/>
  <c r="H634" i="1"/>
  <c r="H635" i="5" s="1"/>
  <c r="P634" i="1"/>
  <c r="H635" i="1"/>
  <c r="X635" i="1" s="1"/>
  <c r="P635" i="1"/>
  <c r="P636" i="5" s="1"/>
  <c r="G637" i="1"/>
  <c r="I637" i="1"/>
  <c r="J637" i="1"/>
  <c r="K637" i="1"/>
  <c r="L637" i="1"/>
  <c r="N637" i="1"/>
  <c r="O637" i="1"/>
  <c r="Q637" i="1"/>
  <c r="R637" i="1"/>
  <c r="S637" i="1"/>
  <c r="T637" i="1"/>
  <c r="Y637" i="1"/>
  <c r="H645" i="1"/>
  <c r="P645" i="1"/>
  <c r="E649" i="1"/>
  <c r="E649" i="5" s="1"/>
  <c r="F649" i="1"/>
  <c r="P649" i="1"/>
  <c r="H650" i="1"/>
  <c r="H650" i="5" s="1"/>
  <c r="P650" i="1"/>
  <c r="P650" i="5" s="1"/>
  <c r="U650" i="1"/>
  <c r="U650" i="5" s="1"/>
  <c r="E651" i="1"/>
  <c r="E651" i="5" s="1"/>
  <c r="H651" i="1"/>
  <c r="H651" i="5" s="1"/>
  <c r="X651" i="5" s="1"/>
  <c r="J651" i="1"/>
  <c r="J651" i="5" s="1"/>
  <c r="P651" i="1"/>
  <c r="P651" i="5" s="1"/>
  <c r="H652" i="1"/>
  <c r="H652" i="5" s="1"/>
  <c r="J652" i="1"/>
  <c r="J652" i="5" s="1"/>
  <c r="P652" i="1"/>
  <c r="E653" i="1"/>
  <c r="H653" i="1"/>
  <c r="P653" i="1"/>
  <c r="P653" i="5" s="1"/>
  <c r="E654" i="1"/>
  <c r="E654" i="5" s="1"/>
  <c r="H654" i="1"/>
  <c r="H654" i="5" s="1"/>
  <c r="X654" i="5" s="1"/>
  <c r="P654" i="1"/>
  <c r="P654" i="5" s="1"/>
  <c r="E655" i="1"/>
  <c r="E655" i="5" s="1"/>
  <c r="H655" i="1"/>
  <c r="P655" i="1"/>
  <c r="P655" i="5" s="1"/>
  <c r="H656" i="1"/>
  <c r="H656" i="5" s="1"/>
  <c r="X656" i="5" s="1"/>
  <c r="P656" i="1"/>
  <c r="P656" i="5" s="1"/>
  <c r="H657" i="1"/>
  <c r="P657" i="1"/>
  <c r="P657" i="5" s="1"/>
  <c r="U657" i="1"/>
  <c r="U657" i="5" s="1"/>
  <c r="H658" i="1"/>
  <c r="H658" i="5" s="1"/>
  <c r="X658" i="5" s="1"/>
  <c r="P658" i="1"/>
  <c r="P658" i="5" s="1"/>
  <c r="U658" i="1"/>
  <c r="U658" i="5" s="1"/>
  <c r="H659" i="1"/>
  <c r="P659" i="1"/>
  <c r="P659" i="5" s="1"/>
  <c r="G661" i="1"/>
  <c r="I661" i="1"/>
  <c r="K661" i="1"/>
  <c r="L661" i="1"/>
  <c r="N661" i="1"/>
  <c r="O661" i="1"/>
  <c r="Q661" i="1"/>
  <c r="T661" i="1"/>
  <c r="Y661" i="1"/>
  <c r="H664" i="1"/>
  <c r="P664" i="1"/>
  <c r="P664" i="5" s="1"/>
  <c r="U664" i="1"/>
  <c r="U664" i="5" s="1"/>
  <c r="E665" i="1"/>
  <c r="E665" i="5" s="1"/>
  <c r="H665" i="1"/>
  <c r="H665" i="5" s="1"/>
  <c r="P665" i="1"/>
  <c r="P665" i="5" s="1"/>
  <c r="U665" i="1"/>
  <c r="U665" i="5" s="1"/>
  <c r="E666" i="1"/>
  <c r="E666" i="5" s="1"/>
  <c r="H666" i="1"/>
  <c r="H666" i="5" s="1"/>
  <c r="X666" i="5" s="1"/>
  <c r="J666" i="1"/>
  <c r="J666" i="5" s="1"/>
  <c r="P666" i="1"/>
  <c r="P666" i="5" s="1"/>
  <c r="H667" i="1"/>
  <c r="P667" i="1"/>
  <c r="P667" i="5" s="1"/>
  <c r="U667" i="1"/>
  <c r="U667" i="5" s="1"/>
  <c r="H668" i="1"/>
  <c r="H668" i="5" s="1"/>
  <c r="M668" i="1"/>
  <c r="M668" i="5" s="1"/>
  <c r="P668" i="1"/>
  <c r="H669" i="1"/>
  <c r="H669" i="5" s="1"/>
  <c r="P669" i="1"/>
  <c r="E670" i="1"/>
  <c r="E670" i="5" s="1"/>
  <c r="H670" i="1"/>
  <c r="P670" i="1"/>
  <c r="H671" i="1"/>
  <c r="P671" i="1"/>
  <c r="H672" i="1"/>
  <c r="H672" i="5" s="1"/>
  <c r="P672" i="1"/>
  <c r="H673" i="1"/>
  <c r="H673" i="5" s="1"/>
  <c r="M673" i="1"/>
  <c r="M673" i="5" s="1"/>
  <c r="P673" i="1"/>
  <c r="P673" i="5" s="1"/>
  <c r="H674" i="1"/>
  <c r="H674" i="5" s="1"/>
  <c r="X674" i="5" s="1"/>
  <c r="Z674" i="5" s="1"/>
  <c r="P674" i="1"/>
  <c r="P674" i="5" s="1"/>
  <c r="U674" i="1"/>
  <c r="U674" i="5" s="1"/>
  <c r="H675" i="1"/>
  <c r="P675" i="1"/>
  <c r="P675" i="5" s="1"/>
  <c r="H676" i="1"/>
  <c r="P676" i="1"/>
  <c r="P676" i="5" s="1"/>
  <c r="E677" i="1"/>
  <c r="E677" i="5" s="1"/>
  <c r="F677" i="1"/>
  <c r="F677" i="5" s="1"/>
  <c r="P677" i="1"/>
  <c r="E678" i="1"/>
  <c r="E678" i="5" s="1"/>
  <c r="F678" i="1"/>
  <c r="F678" i="5" s="1"/>
  <c r="P678" i="1"/>
  <c r="E679" i="1"/>
  <c r="E679" i="5" s="1"/>
  <c r="H679" i="1"/>
  <c r="I679" i="1"/>
  <c r="P679" i="1"/>
  <c r="P679" i="5" s="1"/>
  <c r="H680" i="1"/>
  <c r="P680" i="1"/>
  <c r="P680" i="5" s="1"/>
  <c r="H681" i="1"/>
  <c r="P681" i="1"/>
  <c r="P681" i="5" s="1"/>
  <c r="H682" i="1"/>
  <c r="H682" i="5" s="1"/>
  <c r="X682" i="5" s="1"/>
  <c r="Z682" i="5" s="1"/>
  <c r="P682" i="1"/>
  <c r="P682" i="5" s="1"/>
  <c r="H683" i="1"/>
  <c r="M683" i="1"/>
  <c r="M683" i="5" s="1"/>
  <c r="P683" i="1"/>
  <c r="P683" i="5" s="1"/>
  <c r="H684" i="1"/>
  <c r="H684" i="5" s="1"/>
  <c r="P684" i="1"/>
  <c r="X684" i="1" s="1"/>
  <c r="Z684" i="1" s="1"/>
  <c r="U684" i="1"/>
  <c r="H685" i="1"/>
  <c r="P685" i="1"/>
  <c r="P685" i="5" s="1"/>
  <c r="U685" i="1"/>
  <c r="U685" i="5" s="1"/>
  <c r="H686" i="1"/>
  <c r="H686" i="5" s="1"/>
  <c r="J686" i="1"/>
  <c r="J686" i="5" s="1"/>
  <c r="M686" i="1"/>
  <c r="M686" i="5" s="1"/>
  <c r="P686" i="1"/>
  <c r="P686" i="5" s="1"/>
  <c r="H687" i="1"/>
  <c r="H687" i="5" s="1"/>
  <c r="P687" i="1"/>
  <c r="P687" i="5" s="1"/>
  <c r="X687" i="1"/>
  <c r="H688" i="1"/>
  <c r="H688" i="5" s="1"/>
  <c r="X688" i="5" s="1"/>
  <c r="Z688" i="5" s="1"/>
  <c r="P688" i="1"/>
  <c r="P688" i="5" s="1"/>
  <c r="U688" i="1"/>
  <c r="U688" i="5" s="1"/>
  <c r="X688" i="1"/>
  <c r="E689" i="1"/>
  <c r="E689" i="5" s="1"/>
  <c r="F689" i="1"/>
  <c r="F689" i="5" s="1"/>
  <c r="P689" i="1"/>
  <c r="P689" i="5" s="1"/>
  <c r="G691" i="1"/>
  <c r="K691" i="1"/>
  <c r="L691" i="1"/>
  <c r="N691" i="1"/>
  <c r="O691" i="1"/>
  <c r="Q691" i="1"/>
  <c r="T691" i="1"/>
  <c r="Y691" i="1"/>
  <c r="F694" i="1"/>
  <c r="K694" i="1"/>
  <c r="K694" i="5" s="1"/>
  <c r="P694" i="1"/>
  <c r="H695" i="1"/>
  <c r="H695" i="5" s="1"/>
  <c r="X695" i="5" s="1"/>
  <c r="Z695" i="5" s="1"/>
  <c r="P695" i="1"/>
  <c r="P695" i="5" s="1"/>
  <c r="H696" i="1"/>
  <c r="H696" i="5" s="1"/>
  <c r="P696" i="1"/>
  <c r="P696" i="5" s="1"/>
  <c r="Q696" i="1"/>
  <c r="Q696" i="5" s="1"/>
  <c r="H697" i="1"/>
  <c r="P697" i="1"/>
  <c r="P697" i="5" s="1"/>
  <c r="E698" i="1"/>
  <c r="E698" i="5" s="1"/>
  <c r="H698" i="1"/>
  <c r="H698" i="5" s="1"/>
  <c r="K698" i="1"/>
  <c r="K698" i="5" s="1"/>
  <c r="P698" i="1"/>
  <c r="E699" i="1"/>
  <c r="E699" i="5" s="1"/>
  <c r="H699" i="1"/>
  <c r="K699" i="1"/>
  <c r="K699" i="5" s="1"/>
  <c r="P699" i="1"/>
  <c r="P699" i="5" s="1"/>
  <c r="H700" i="1"/>
  <c r="H700" i="5" s="1"/>
  <c r="P700" i="1"/>
  <c r="E701" i="1"/>
  <c r="E701" i="5" s="1"/>
  <c r="H701" i="1"/>
  <c r="H701" i="5" s="1"/>
  <c r="X701" i="5" s="1"/>
  <c r="J701" i="1"/>
  <c r="J701" i="5" s="1"/>
  <c r="P701" i="1"/>
  <c r="P701" i="5" s="1"/>
  <c r="H702" i="1"/>
  <c r="H702" i="5" s="1"/>
  <c r="X702" i="5" s="1"/>
  <c r="Z702" i="5" s="1"/>
  <c r="J702" i="1"/>
  <c r="J702" i="5" s="1"/>
  <c r="P702" i="1"/>
  <c r="P702" i="5" s="1"/>
  <c r="V702" i="1"/>
  <c r="V702" i="5" s="1"/>
  <c r="E703" i="1"/>
  <c r="E703" i="5" s="1"/>
  <c r="Z703" i="5" s="1"/>
  <c r="H703" i="1"/>
  <c r="H703" i="5" s="1"/>
  <c r="X703" i="5" s="1"/>
  <c r="P703" i="1"/>
  <c r="P703" i="5" s="1"/>
  <c r="F704" i="1"/>
  <c r="F704" i="5" s="1"/>
  <c r="H704" i="1"/>
  <c r="H704" i="5" s="1"/>
  <c r="P704" i="1"/>
  <c r="H705" i="1"/>
  <c r="H705" i="5" s="1"/>
  <c r="P705" i="1"/>
  <c r="H706" i="1"/>
  <c r="P706" i="1"/>
  <c r="H707" i="1"/>
  <c r="H707" i="5" s="1"/>
  <c r="P707" i="1"/>
  <c r="E708" i="1"/>
  <c r="E708" i="5" s="1"/>
  <c r="H708" i="1"/>
  <c r="H708" i="5" s="1"/>
  <c r="X708" i="5" s="1"/>
  <c r="P708" i="1"/>
  <c r="P708" i="5" s="1"/>
  <c r="E709" i="1"/>
  <c r="E709" i="5" s="1"/>
  <c r="H709" i="1"/>
  <c r="P709" i="1"/>
  <c r="P709" i="5" s="1"/>
  <c r="H710" i="1"/>
  <c r="P710" i="1"/>
  <c r="H711" i="1"/>
  <c r="H711" i="5" s="1"/>
  <c r="M711" i="1"/>
  <c r="M711" i="5" s="1"/>
  <c r="P711" i="1"/>
  <c r="P711" i="5" s="1"/>
  <c r="H712" i="1"/>
  <c r="H712" i="5" s="1"/>
  <c r="M712" i="1"/>
  <c r="M712" i="5" s="1"/>
  <c r="P712" i="1"/>
  <c r="P712" i="5" s="1"/>
  <c r="G714" i="1"/>
  <c r="I714" i="1"/>
  <c r="K714" i="1"/>
  <c r="L714" i="1"/>
  <c r="N714" i="1"/>
  <c r="O714" i="1"/>
  <c r="T714" i="1"/>
  <c r="Y714" i="1"/>
  <c r="F717" i="1"/>
  <c r="F717" i="5" s="1"/>
  <c r="H717" i="1"/>
  <c r="H717" i="5" s="1"/>
  <c r="P717" i="1"/>
  <c r="P717" i="5" s="1"/>
  <c r="F718" i="1"/>
  <c r="F718" i="5" s="1"/>
  <c r="P718" i="1"/>
  <c r="P718" i="5" s="1"/>
  <c r="E719" i="1"/>
  <c r="F719" i="1"/>
  <c r="F719" i="5" s="1"/>
  <c r="P719" i="1"/>
  <c r="P719" i="5" s="1"/>
  <c r="H720" i="1"/>
  <c r="H720" i="5" s="1"/>
  <c r="J720" i="1"/>
  <c r="J720" i="5" s="1"/>
  <c r="P720" i="1"/>
  <c r="E721" i="1"/>
  <c r="H721" i="1"/>
  <c r="H721" i="5" s="1"/>
  <c r="X721" i="5" s="1"/>
  <c r="P721" i="1"/>
  <c r="P721" i="5" s="1"/>
  <c r="E722" i="1"/>
  <c r="E722" i="5" s="1"/>
  <c r="H722" i="1"/>
  <c r="K722" i="1"/>
  <c r="K722" i="5" s="1"/>
  <c r="K743" i="5" s="1"/>
  <c r="P722" i="1"/>
  <c r="P722" i="5" s="1"/>
  <c r="U722" i="1"/>
  <c r="U722" i="5" s="1"/>
  <c r="H723" i="1"/>
  <c r="P723" i="1"/>
  <c r="P723" i="5" s="1"/>
  <c r="X723" i="1"/>
  <c r="E724" i="1"/>
  <c r="E724" i="5" s="1"/>
  <c r="F724" i="1"/>
  <c r="F724" i="5" s="1"/>
  <c r="H724" i="1"/>
  <c r="H724" i="5" s="1"/>
  <c r="P724" i="1"/>
  <c r="E725" i="1"/>
  <c r="E725" i="5" s="1"/>
  <c r="F725" i="1"/>
  <c r="F725" i="5" s="1"/>
  <c r="H725" i="1"/>
  <c r="P725" i="1"/>
  <c r="P725" i="5" s="1"/>
  <c r="H726" i="1"/>
  <c r="P726" i="1"/>
  <c r="P726" i="5" s="1"/>
  <c r="Q726" i="1"/>
  <c r="Q726" i="5" s="1"/>
  <c r="U726" i="1"/>
  <c r="U726" i="5" s="1"/>
  <c r="E727" i="1"/>
  <c r="E727" i="5" s="1"/>
  <c r="H727" i="1"/>
  <c r="P727" i="1"/>
  <c r="H728" i="1"/>
  <c r="H728" i="5" s="1"/>
  <c r="X728" i="5" s="1"/>
  <c r="Z728" i="5" s="1"/>
  <c r="P728" i="1"/>
  <c r="P728" i="5" s="1"/>
  <c r="U728" i="1"/>
  <c r="U728" i="5" s="1"/>
  <c r="H729" i="1"/>
  <c r="H729" i="5" s="1"/>
  <c r="P729" i="1"/>
  <c r="H730" i="1"/>
  <c r="P730" i="1"/>
  <c r="P730" i="5" s="1"/>
  <c r="Q730" i="1"/>
  <c r="Q730" i="5" s="1"/>
  <c r="E731" i="1"/>
  <c r="E731" i="5" s="1"/>
  <c r="F731" i="1"/>
  <c r="F731" i="5" s="1"/>
  <c r="I731" i="1"/>
  <c r="P731" i="1"/>
  <c r="E732" i="1"/>
  <c r="E732" i="5" s="1"/>
  <c r="F732" i="1"/>
  <c r="P732" i="1"/>
  <c r="H733" i="1"/>
  <c r="P733" i="1"/>
  <c r="H734" i="1"/>
  <c r="H734" i="5" s="1"/>
  <c r="P734" i="1"/>
  <c r="E735" i="1"/>
  <c r="E735" i="5" s="1"/>
  <c r="H735" i="1"/>
  <c r="J735" i="1"/>
  <c r="J735" i="5" s="1"/>
  <c r="P735" i="1"/>
  <c r="P735" i="5" s="1"/>
  <c r="H736" i="1"/>
  <c r="P736" i="1"/>
  <c r="P736" i="5" s="1"/>
  <c r="H737" i="1"/>
  <c r="P737" i="1"/>
  <c r="H738" i="1"/>
  <c r="H738" i="5" s="1"/>
  <c r="M738" i="1"/>
  <c r="P738" i="1"/>
  <c r="F739" i="1"/>
  <c r="P739" i="1"/>
  <c r="P739" i="5" s="1"/>
  <c r="H740" i="1"/>
  <c r="H740" i="5" s="1"/>
  <c r="J740" i="1"/>
  <c r="J740" i="5" s="1"/>
  <c r="P740" i="1"/>
  <c r="V740" i="1"/>
  <c r="V740" i="5" s="1"/>
  <c r="X740" i="1"/>
  <c r="H741" i="1"/>
  <c r="P741" i="1"/>
  <c r="P741" i="5" s="1"/>
  <c r="Q741" i="1"/>
  <c r="Q741" i="5" s="1"/>
  <c r="G743" i="1"/>
  <c r="K743" i="1"/>
  <c r="L743" i="1"/>
  <c r="N743" i="1"/>
  <c r="O743" i="1"/>
  <c r="T743" i="1"/>
  <c r="Y743" i="1"/>
  <c r="F746" i="1"/>
  <c r="F746" i="5" s="1"/>
  <c r="P746" i="1"/>
  <c r="P746" i="5" s="1"/>
  <c r="F747" i="1"/>
  <c r="H747" i="1"/>
  <c r="M747" i="1"/>
  <c r="M747" i="5" s="1"/>
  <c r="P747" i="1"/>
  <c r="P747" i="5" s="1"/>
  <c r="H748" i="1"/>
  <c r="J748" i="1"/>
  <c r="J748" i="5" s="1"/>
  <c r="K748" i="1"/>
  <c r="K748" i="5" s="1"/>
  <c r="P748" i="1"/>
  <c r="P748" i="5" s="1"/>
  <c r="E749" i="1"/>
  <c r="E749" i="5" s="1"/>
  <c r="H749" i="1"/>
  <c r="H749" i="5" s="1"/>
  <c r="X749" i="5" s="1"/>
  <c r="K749" i="1"/>
  <c r="K749" i="5" s="1"/>
  <c r="P749" i="1"/>
  <c r="P749" i="5" s="1"/>
  <c r="U749" i="1"/>
  <c r="U749" i="5" s="1"/>
  <c r="V749" i="1"/>
  <c r="V749" i="5" s="1"/>
  <c r="H750" i="1"/>
  <c r="P750" i="1"/>
  <c r="H751" i="1"/>
  <c r="P751" i="1"/>
  <c r="V751" i="1"/>
  <c r="V751" i="5" s="1"/>
  <c r="H752" i="1"/>
  <c r="H752" i="5" s="1"/>
  <c r="X752" i="5" s="1"/>
  <c r="Z752" i="5" s="1"/>
  <c r="P752" i="1"/>
  <c r="P752" i="5" s="1"/>
  <c r="U752" i="1"/>
  <c r="U752" i="5" s="1"/>
  <c r="H753" i="1"/>
  <c r="P753" i="1"/>
  <c r="P753" i="5" s="1"/>
  <c r="E754" i="1"/>
  <c r="E754" i="5" s="1"/>
  <c r="H754" i="1"/>
  <c r="P754" i="1"/>
  <c r="E756" i="1"/>
  <c r="G756" i="1"/>
  <c r="I756" i="1"/>
  <c r="L756" i="1"/>
  <c r="N756" i="1"/>
  <c r="O756" i="1"/>
  <c r="T756" i="1"/>
  <c r="Y756" i="1"/>
  <c r="H760" i="1"/>
  <c r="H760" i="5" s="1"/>
  <c r="M760" i="1"/>
  <c r="M760" i="5" s="1"/>
  <c r="P760" i="1"/>
  <c r="H761" i="1"/>
  <c r="P761" i="1"/>
  <c r="E762" i="1"/>
  <c r="E762" i="5" s="1"/>
  <c r="H762" i="1"/>
  <c r="K762" i="1"/>
  <c r="K762" i="5" s="1"/>
  <c r="P762" i="1"/>
  <c r="X762" i="1"/>
  <c r="X731" i="2" s="1"/>
  <c r="E763" i="1"/>
  <c r="E763" i="5" s="1"/>
  <c r="H763" i="1"/>
  <c r="K763" i="1"/>
  <c r="K763" i="5" s="1"/>
  <c r="M763" i="1"/>
  <c r="M763" i="5" s="1"/>
  <c r="P763" i="1"/>
  <c r="P763" i="5" s="1"/>
  <c r="E764" i="1"/>
  <c r="E764" i="5" s="1"/>
  <c r="F764" i="1"/>
  <c r="P764" i="1"/>
  <c r="H765" i="1"/>
  <c r="P765" i="1"/>
  <c r="H766" i="1"/>
  <c r="H766" i="5" s="1"/>
  <c r="X766" i="5" s="1"/>
  <c r="Z766" i="5" s="1"/>
  <c r="J766" i="1"/>
  <c r="J766" i="5" s="1"/>
  <c r="P766" i="1"/>
  <c r="P766" i="5" s="1"/>
  <c r="E767" i="1"/>
  <c r="E767" i="5" s="1"/>
  <c r="H767" i="1"/>
  <c r="P767" i="1"/>
  <c r="E768" i="1"/>
  <c r="E768" i="5" s="1"/>
  <c r="F768" i="1"/>
  <c r="F768" i="5" s="1"/>
  <c r="P768" i="1"/>
  <c r="H769" i="1"/>
  <c r="P769" i="1"/>
  <c r="P769" i="5" s="1"/>
  <c r="H770" i="1"/>
  <c r="P770" i="1"/>
  <c r="P770" i="5" s="1"/>
  <c r="H771" i="1"/>
  <c r="P771" i="1"/>
  <c r="P771" i="5" s="1"/>
  <c r="H772" i="1"/>
  <c r="P772" i="1"/>
  <c r="H773" i="1"/>
  <c r="H773" i="5" s="1"/>
  <c r="J773" i="1"/>
  <c r="J773" i="5" s="1"/>
  <c r="P773" i="1"/>
  <c r="H774" i="1"/>
  <c r="H774" i="5" s="1"/>
  <c r="J774" i="1"/>
  <c r="J774" i="5" s="1"/>
  <c r="P774" i="1"/>
  <c r="H775" i="1"/>
  <c r="P775" i="1"/>
  <c r="P775" i="5" s="1"/>
  <c r="H776" i="1"/>
  <c r="H776" i="5" s="1"/>
  <c r="P776" i="1"/>
  <c r="H777" i="1"/>
  <c r="H777" i="5" s="1"/>
  <c r="P777" i="1"/>
  <c r="E778" i="1"/>
  <c r="E778" i="5" s="1"/>
  <c r="H778" i="1"/>
  <c r="P778" i="1"/>
  <c r="P778" i="5" s="1"/>
  <c r="U778" i="1"/>
  <c r="U778" i="5" s="1"/>
  <c r="H779" i="1"/>
  <c r="H779" i="5" s="1"/>
  <c r="I779" i="1"/>
  <c r="I779" i="5" s="1"/>
  <c r="I781" i="5" s="1"/>
  <c r="P779" i="1"/>
  <c r="G781" i="1"/>
  <c r="I781" i="1"/>
  <c r="L781" i="1"/>
  <c r="N781" i="1"/>
  <c r="O781" i="1"/>
  <c r="T781" i="1"/>
  <c r="Y781" i="1"/>
  <c r="F784" i="1"/>
  <c r="P784" i="1"/>
  <c r="U784" i="1"/>
  <c r="U784" i="5" s="1"/>
  <c r="F785" i="1"/>
  <c r="P785" i="1"/>
  <c r="P785" i="5" s="1"/>
  <c r="Q785" i="1"/>
  <c r="Q785" i="5" s="1"/>
  <c r="H786" i="1"/>
  <c r="H786" i="5" s="1"/>
  <c r="X786" i="5" s="1"/>
  <c r="Z786" i="5" s="1"/>
  <c r="P786" i="1"/>
  <c r="P786" i="5" s="1"/>
  <c r="E787" i="1"/>
  <c r="E787" i="5" s="1"/>
  <c r="H787" i="1"/>
  <c r="P787" i="1"/>
  <c r="P787" i="5" s="1"/>
  <c r="E788" i="1"/>
  <c r="F788" i="1"/>
  <c r="K788" i="1"/>
  <c r="P788" i="1"/>
  <c r="P788" i="5" s="1"/>
  <c r="H789" i="1"/>
  <c r="H789" i="5" s="1"/>
  <c r="X789" i="5" s="1"/>
  <c r="Z789" i="5" s="1"/>
  <c r="P789" i="1"/>
  <c r="P789" i="5" s="1"/>
  <c r="H790" i="1"/>
  <c r="H790" i="5" s="1"/>
  <c r="P790" i="1"/>
  <c r="E791" i="1"/>
  <c r="E791" i="5" s="1"/>
  <c r="H791" i="1"/>
  <c r="H791" i="5" s="1"/>
  <c r="X791" i="5" s="1"/>
  <c r="J791" i="1"/>
  <c r="J791" i="5" s="1"/>
  <c r="P791" i="1"/>
  <c r="P791" i="5" s="1"/>
  <c r="H792" i="1"/>
  <c r="H792" i="5" s="1"/>
  <c r="J792" i="1"/>
  <c r="J792" i="5" s="1"/>
  <c r="P792" i="1"/>
  <c r="H793" i="1"/>
  <c r="H793" i="5" s="1"/>
  <c r="X793" i="5" s="1"/>
  <c r="Z793" i="5" s="1"/>
  <c r="J793" i="1"/>
  <c r="J793" i="5" s="1"/>
  <c r="P793" i="1"/>
  <c r="P793" i="5" s="1"/>
  <c r="V793" i="1"/>
  <c r="V793" i="5" s="1"/>
  <c r="E794" i="1"/>
  <c r="E794" i="5" s="1"/>
  <c r="H794" i="1"/>
  <c r="P794" i="1"/>
  <c r="V794" i="1"/>
  <c r="V794" i="5" s="1"/>
  <c r="X794" i="1"/>
  <c r="E795" i="1"/>
  <c r="E795" i="5" s="1"/>
  <c r="F795" i="1"/>
  <c r="F795" i="5" s="1"/>
  <c r="P795" i="1"/>
  <c r="E796" i="1"/>
  <c r="E796" i="5" s="1"/>
  <c r="H796" i="1"/>
  <c r="P796" i="1"/>
  <c r="H797" i="1"/>
  <c r="P797" i="1"/>
  <c r="H798" i="1"/>
  <c r="H798" i="5" s="1"/>
  <c r="P798" i="1"/>
  <c r="E799" i="1"/>
  <c r="E799" i="5" s="1"/>
  <c r="H799" i="1"/>
  <c r="H799" i="5" s="1"/>
  <c r="P799" i="1"/>
  <c r="H800" i="1"/>
  <c r="H800" i="5" s="1"/>
  <c r="P800" i="1"/>
  <c r="P800" i="5" s="1"/>
  <c r="Q800" i="1"/>
  <c r="Q800" i="5" s="1"/>
  <c r="G802" i="1"/>
  <c r="I802" i="1"/>
  <c r="L802" i="1"/>
  <c r="N802" i="1"/>
  <c r="O802" i="1"/>
  <c r="T802" i="1"/>
  <c r="Y802" i="1"/>
  <c r="H805" i="1"/>
  <c r="P805" i="1"/>
  <c r="P805" i="5" s="1"/>
  <c r="H806" i="1"/>
  <c r="M806" i="1"/>
  <c r="M806" i="5" s="1"/>
  <c r="P806" i="1"/>
  <c r="P806" i="5" s="1"/>
  <c r="E807" i="1"/>
  <c r="H807" i="1"/>
  <c r="K807" i="1"/>
  <c r="K807" i="5" s="1"/>
  <c r="K823" i="5" s="1"/>
  <c r="P807" i="1"/>
  <c r="H808" i="1"/>
  <c r="H808" i="5" s="1"/>
  <c r="X808" i="5" s="1"/>
  <c r="Z808" i="5" s="1"/>
  <c r="P808" i="1"/>
  <c r="P808" i="5" s="1"/>
  <c r="H809" i="1"/>
  <c r="H809" i="5" s="1"/>
  <c r="P809" i="1"/>
  <c r="P809" i="5" s="1"/>
  <c r="F810" i="1"/>
  <c r="F810" i="5" s="1"/>
  <c r="P810" i="1"/>
  <c r="P810" i="5" s="1"/>
  <c r="E811" i="1"/>
  <c r="E811" i="5" s="1"/>
  <c r="H811" i="1"/>
  <c r="P811" i="1"/>
  <c r="F812" i="1"/>
  <c r="P812" i="1"/>
  <c r="H813" i="1"/>
  <c r="H813" i="5" s="1"/>
  <c r="P813" i="1"/>
  <c r="H814" i="1"/>
  <c r="H814" i="5" s="1"/>
  <c r="P814" i="1"/>
  <c r="E815" i="1"/>
  <c r="E815" i="5" s="1"/>
  <c r="F815" i="1"/>
  <c r="F815" i="5" s="1"/>
  <c r="P815" i="1"/>
  <c r="P815" i="5" s="1"/>
  <c r="H816" i="1"/>
  <c r="H816" i="5" s="1"/>
  <c r="J816" i="1"/>
  <c r="J816" i="5" s="1"/>
  <c r="M816" i="1"/>
  <c r="M816" i="5" s="1"/>
  <c r="P816" i="1"/>
  <c r="P816" i="5" s="1"/>
  <c r="H817" i="1"/>
  <c r="H817" i="5" s="1"/>
  <c r="J817" i="1"/>
  <c r="J817" i="5" s="1"/>
  <c r="M817" i="1"/>
  <c r="M817" i="5" s="1"/>
  <c r="P817" i="1"/>
  <c r="P817" i="5" s="1"/>
  <c r="E818" i="1"/>
  <c r="E818" i="5" s="1"/>
  <c r="H818" i="1"/>
  <c r="M818" i="1" s="1"/>
  <c r="M818" i="5" s="1"/>
  <c r="J818" i="1"/>
  <c r="J818" i="5" s="1"/>
  <c r="P818" i="1"/>
  <c r="P818" i="5" s="1"/>
  <c r="Q818" i="1"/>
  <c r="Q818" i="5" s="1"/>
  <c r="U818" i="1"/>
  <c r="U818" i="5" s="1"/>
  <c r="H819" i="1"/>
  <c r="J819" i="1"/>
  <c r="J819" i="5" s="1"/>
  <c r="P819" i="1"/>
  <c r="P819" i="5" s="1"/>
  <c r="H820" i="1"/>
  <c r="P820" i="1"/>
  <c r="P820" i="5" s="1"/>
  <c r="H821" i="1"/>
  <c r="P821" i="1"/>
  <c r="G823" i="1"/>
  <c r="I823" i="1"/>
  <c r="K823" i="1"/>
  <c r="L823" i="1"/>
  <c r="N823" i="1"/>
  <c r="O823" i="1"/>
  <c r="T823" i="1"/>
  <c r="Y823" i="1"/>
  <c r="H826" i="1"/>
  <c r="P826" i="1"/>
  <c r="V826" i="1" s="1"/>
  <c r="V826" i="5" s="1"/>
  <c r="Q826" i="1"/>
  <c r="Q826" i="5" s="1"/>
  <c r="E827" i="1"/>
  <c r="E827" i="5" s="1"/>
  <c r="H827" i="1"/>
  <c r="K827" i="1"/>
  <c r="K827" i="5" s="1"/>
  <c r="K844" i="5" s="1"/>
  <c r="P827" i="1"/>
  <c r="P827" i="5" s="1"/>
  <c r="Q827" i="1"/>
  <c r="Q827" i="5" s="1"/>
  <c r="H828" i="1"/>
  <c r="H828" i="5" s="1"/>
  <c r="X828" i="5" s="1"/>
  <c r="Z828" i="5" s="1"/>
  <c r="P828" i="1"/>
  <c r="P828" i="5" s="1"/>
  <c r="E829" i="1"/>
  <c r="E829" i="5" s="1"/>
  <c r="H829" i="1"/>
  <c r="P829" i="1"/>
  <c r="P829" i="5" s="1"/>
  <c r="E830" i="1"/>
  <c r="H830" i="1"/>
  <c r="M830" i="1"/>
  <c r="M830" i="5" s="1"/>
  <c r="P830" i="1"/>
  <c r="H831" i="1"/>
  <c r="P831" i="1"/>
  <c r="P831" i="5" s="1"/>
  <c r="H832" i="1"/>
  <c r="M832" i="1"/>
  <c r="M832" i="5" s="1"/>
  <c r="P832" i="1"/>
  <c r="P832" i="5" s="1"/>
  <c r="E833" i="1"/>
  <c r="E833" i="5" s="1"/>
  <c r="F833" i="1"/>
  <c r="P833" i="1"/>
  <c r="P833" i="5" s="1"/>
  <c r="E834" i="1"/>
  <c r="E834" i="5" s="1"/>
  <c r="H834" i="1"/>
  <c r="P834" i="1"/>
  <c r="P834" i="5" s="1"/>
  <c r="H835" i="1"/>
  <c r="H835" i="5" s="1"/>
  <c r="P835" i="1"/>
  <c r="P835" i="5" s="1"/>
  <c r="E836" i="1"/>
  <c r="E836" i="5" s="1"/>
  <c r="H836" i="1"/>
  <c r="H836" i="5" s="1"/>
  <c r="P836" i="1"/>
  <c r="V836" i="1"/>
  <c r="V836" i="5" s="1"/>
  <c r="E837" i="1"/>
  <c r="E837" i="5" s="1"/>
  <c r="F837" i="1"/>
  <c r="P837" i="1"/>
  <c r="E838" i="1"/>
  <c r="E838" i="5" s="1"/>
  <c r="F838" i="1"/>
  <c r="F838" i="5" s="1"/>
  <c r="P838" i="1"/>
  <c r="H839" i="1"/>
  <c r="H839" i="5" s="1"/>
  <c r="P839" i="1"/>
  <c r="P839" i="5" s="1"/>
  <c r="H840" i="1"/>
  <c r="H840" i="5" s="1"/>
  <c r="X840" i="5" s="1"/>
  <c r="Z840" i="5" s="1"/>
  <c r="P840" i="1"/>
  <c r="P840" i="5" s="1"/>
  <c r="H841" i="1"/>
  <c r="H841" i="5" s="1"/>
  <c r="P841" i="1"/>
  <c r="P841" i="5" s="1"/>
  <c r="H842" i="1"/>
  <c r="H842" i="5" s="1"/>
  <c r="X842" i="5" s="1"/>
  <c r="Z842" i="5" s="1"/>
  <c r="P842" i="1"/>
  <c r="P842" i="5" s="1"/>
  <c r="G844" i="1"/>
  <c r="I844" i="1"/>
  <c r="K844" i="1"/>
  <c r="L844" i="1"/>
  <c r="N844" i="1"/>
  <c r="O844" i="1"/>
  <c r="T844" i="1"/>
  <c r="Y844" i="1"/>
  <c r="H847" i="1"/>
  <c r="H847" i="5" s="1"/>
  <c r="P847" i="1"/>
  <c r="E848" i="1"/>
  <c r="E848" i="5" s="1"/>
  <c r="H848" i="1"/>
  <c r="H848" i="5" s="1"/>
  <c r="J848" i="1"/>
  <c r="J848" i="5" s="1"/>
  <c r="P848" i="1"/>
  <c r="X848" i="1"/>
  <c r="X813" i="2" s="1"/>
  <c r="Z848" i="1"/>
  <c r="Z813" i="2" s="1"/>
  <c r="E849" i="1"/>
  <c r="E849" i="5" s="1"/>
  <c r="H849" i="1"/>
  <c r="H849" i="5" s="1"/>
  <c r="P849" i="1"/>
  <c r="E850" i="1"/>
  <c r="E850" i="5" s="1"/>
  <c r="H850" i="1"/>
  <c r="H850" i="5" s="1"/>
  <c r="M850" i="1"/>
  <c r="M850" i="5" s="1"/>
  <c r="P850" i="1"/>
  <c r="P850" i="5" s="1"/>
  <c r="H851" i="1"/>
  <c r="H851" i="5" s="1"/>
  <c r="M851" i="1"/>
  <c r="M851" i="5" s="1"/>
  <c r="P851" i="1"/>
  <c r="H852" i="1"/>
  <c r="H852" i="5" s="1"/>
  <c r="M852" i="1"/>
  <c r="M852" i="5" s="1"/>
  <c r="P852" i="1"/>
  <c r="E853" i="1"/>
  <c r="E853" i="5" s="1"/>
  <c r="F853" i="1"/>
  <c r="F853" i="5" s="1"/>
  <c r="P853" i="1"/>
  <c r="H854" i="1"/>
  <c r="H854" i="5" s="1"/>
  <c r="P854" i="1"/>
  <c r="P854" i="5" s="1"/>
  <c r="Q854" i="1"/>
  <c r="Q854" i="5" s="1"/>
  <c r="F855" i="1"/>
  <c r="F855" i="5" s="1"/>
  <c r="P855" i="1"/>
  <c r="E856" i="1"/>
  <c r="E856" i="5" s="1"/>
  <c r="H856" i="1"/>
  <c r="H856" i="5" s="1"/>
  <c r="M856" i="1"/>
  <c r="M856" i="5" s="1"/>
  <c r="P856" i="1"/>
  <c r="E857" i="1"/>
  <c r="E857" i="5" s="1"/>
  <c r="F857" i="1"/>
  <c r="P857" i="1"/>
  <c r="E858" i="1"/>
  <c r="E858" i="5" s="1"/>
  <c r="F858" i="1"/>
  <c r="F858" i="5" s="1"/>
  <c r="P858" i="1"/>
  <c r="P858" i="5" s="1"/>
  <c r="H859" i="1"/>
  <c r="H859" i="5" s="1"/>
  <c r="P859" i="1"/>
  <c r="P859" i="5" s="1"/>
  <c r="H860" i="1"/>
  <c r="H860" i="5" s="1"/>
  <c r="X860" i="5" s="1"/>
  <c r="Z860" i="5" s="1"/>
  <c r="P860" i="1"/>
  <c r="P860" i="5" s="1"/>
  <c r="H861" i="1"/>
  <c r="H861" i="5" s="1"/>
  <c r="P861" i="1"/>
  <c r="P861" i="5" s="1"/>
  <c r="E862" i="1"/>
  <c r="E862" i="5" s="1"/>
  <c r="H862" i="1"/>
  <c r="P862" i="1"/>
  <c r="H863" i="1"/>
  <c r="H863" i="5" s="1"/>
  <c r="X863" i="5" s="1"/>
  <c r="Z863" i="5" s="1"/>
  <c r="J863" i="1"/>
  <c r="J863" i="5" s="1"/>
  <c r="P863" i="1"/>
  <c r="P863" i="5" s="1"/>
  <c r="H864" i="1"/>
  <c r="H864" i="5" s="1"/>
  <c r="P864" i="1"/>
  <c r="E865" i="1"/>
  <c r="F865" i="1"/>
  <c r="F865" i="5" s="1"/>
  <c r="P865" i="1"/>
  <c r="P865" i="5" s="1"/>
  <c r="H866" i="1"/>
  <c r="P866" i="1"/>
  <c r="P866" i="5" s="1"/>
  <c r="H867" i="1"/>
  <c r="H867" i="5" s="1"/>
  <c r="P867" i="1"/>
  <c r="H868" i="1"/>
  <c r="J868" i="1"/>
  <c r="M868" i="1"/>
  <c r="M868" i="5" s="1"/>
  <c r="P868" i="1"/>
  <c r="P868" i="5" s="1"/>
  <c r="H869" i="1"/>
  <c r="H869" i="5" s="1"/>
  <c r="P869" i="1"/>
  <c r="P869" i="5" s="1"/>
  <c r="U869" i="1"/>
  <c r="H870" i="1"/>
  <c r="P870" i="1"/>
  <c r="P870" i="5" s="1"/>
  <c r="G872" i="1"/>
  <c r="I872" i="1"/>
  <c r="K872" i="1"/>
  <c r="L872" i="1"/>
  <c r="N872" i="1"/>
  <c r="O872" i="1"/>
  <c r="T872" i="1"/>
  <c r="Y872" i="1"/>
  <c r="E875" i="1"/>
  <c r="E875" i="5" s="1"/>
  <c r="H875" i="1"/>
  <c r="P875" i="1"/>
  <c r="P875" i="5" s="1"/>
  <c r="V875" i="1"/>
  <c r="E876" i="1"/>
  <c r="E876" i="5" s="1"/>
  <c r="H876" i="1"/>
  <c r="H876" i="5" s="1"/>
  <c r="M876" i="1"/>
  <c r="P876" i="1"/>
  <c r="H877" i="1"/>
  <c r="J877" i="1"/>
  <c r="J877" i="5" s="1"/>
  <c r="P877" i="1"/>
  <c r="P877" i="5" s="1"/>
  <c r="E878" i="1"/>
  <c r="E878" i="5" s="1"/>
  <c r="F878" i="1"/>
  <c r="F878" i="5" s="1"/>
  <c r="P878" i="1"/>
  <c r="H879" i="1"/>
  <c r="H879" i="5" s="1"/>
  <c r="X879" i="5" s="1"/>
  <c r="Z879" i="5" s="1"/>
  <c r="P879" i="1"/>
  <c r="P879" i="5" s="1"/>
  <c r="H880" i="1"/>
  <c r="H880" i="5" s="1"/>
  <c r="P880" i="1"/>
  <c r="P880" i="5" s="1"/>
  <c r="E881" i="1"/>
  <c r="H881" i="1"/>
  <c r="H881" i="5" s="1"/>
  <c r="P881" i="1"/>
  <c r="P881" i="5" s="1"/>
  <c r="F882" i="1"/>
  <c r="P882" i="1"/>
  <c r="H883" i="1"/>
  <c r="J883" i="1"/>
  <c r="J883" i="5" s="1"/>
  <c r="M883" i="1"/>
  <c r="M883" i="5" s="1"/>
  <c r="P883" i="1"/>
  <c r="P883" i="5" s="1"/>
  <c r="H884" i="1"/>
  <c r="H884" i="5" s="1"/>
  <c r="P884" i="1"/>
  <c r="H885" i="1"/>
  <c r="P885" i="1"/>
  <c r="H886" i="1"/>
  <c r="M886" i="1" s="1"/>
  <c r="M886" i="5" s="1"/>
  <c r="J886" i="1"/>
  <c r="J886" i="5" s="1"/>
  <c r="P886" i="1"/>
  <c r="P886" i="5" s="1"/>
  <c r="Q886" i="1"/>
  <c r="Q886" i="5" s="1"/>
  <c r="U886" i="1"/>
  <c r="U886" i="5" s="1"/>
  <c r="H887" i="1"/>
  <c r="J887" i="1"/>
  <c r="J887" i="5" s="1"/>
  <c r="P887" i="1"/>
  <c r="H888" i="1"/>
  <c r="H888" i="5" s="1"/>
  <c r="P888" i="1"/>
  <c r="P888" i="5" s="1"/>
  <c r="E889" i="1"/>
  <c r="E889" i="5" s="1"/>
  <c r="H889" i="1"/>
  <c r="H889" i="5" s="1"/>
  <c r="P889" i="1"/>
  <c r="H890" i="1"/>
  <c r="M890" i="1"/>
  <c r="M890" i="5" s="1"/>
  <c r="P890" i="1"/>
  <c r="P890" i="5" s="1"/>
  <c r="H891" i="1"/>
  <c r="H891" i="5" s="1"/>
  <c r="P891" i="1"/>
  <c r="P891" i="5" s="1"/>
  <c r="E892" i="1"/>
  <c r="E892" i="5" s="1"/>
  <c r="F892" i="1"/>
  <c r="F892" i="5" s="1"/>
  <c r="P892" i="1"/>
  <c r="P892" i="5" s="1"/>
  <c r="H893" i="1"/>
  <c r="H893" i="5" s="1"/>
  <c r="X893" i="5" s="1"/>
  <c r="Z893" i="5" s="1"/>
  <c r="J893" i="1"/>
  <c r="J893" i="5" s="1"/>
  <c r="P893" i="1"/>
  <c r="P893" i="5" s="1"/>
  <c r="V893" i="1"/>
  <c r="V893" i="5" s="1"/>
  <c r="W893" i="1"/>
  <c r="W893" i="5" s="1"/>
  <c r="G895" i="1"/>
  <c r="I895" i="1"/>
  <c r="K895" i="1"/>
  <c r="L895" i="1"/>
  <c r="N895" i="1"/>
  <c r="O895" i="1"/>
  <c r="T895" i="1"/>
  <c r="Y895" i="1"/>
  <c r="H898" i="1"/>
  <c r="K898" i="1"/>
  <c r="K898" i="5" s="1"/>
  <c r="P898" i="1"/>
  <c r="E899" i="1"/>
  <c r="E899" i="5" s="1"/>
  <c r="H899" i="1"/>
  <c r="H899" i="5" s="1"/>
  <c r="K899" i="1"/>
  <c r="K899" i="5" s="1"/>
  <c r="P899" i="1"/>
  <c r="P899" i="5" s="1"/>
  <c r="U899" i="1"/>
  <c r="H900" i="1"/>
  <c r="M900" i="1"/>
  <c r="M900" i="5" s="1"/>
  <c r="P900" i="1"/>
  <c r="H901" i="1"/>
  <c r="P901" i="1"/>
  <c r="P901" i="5" s="1"/>
  <c r="F902" i="1"/>
  <c r="P902" i="1"/>
  <c r="P902" i="5" s="1"/>
  <c r="E903" i="1"/>
  <c r="H903" i="1"/>
  <c r="P903" i="1"/>
  <c r="P903" i="5" s="1"/>
  <c r="F904" i="1"/>
  <c r="F904" i="5" s="1"/>
  <c r="P904" i="1"/>
  <c r="P904" i="5" s="1"/>
  <c r="H905" i="1"/>
  <c r="P905" i="1"/>
  <c r="P905" i="5" s="1"/>
  <c r="E906" i="1"/>
  <c r="H906" i="1"/>
  <c r="M906" i="1"/>
  <c r="M906" i="5" s="1"/>
  <c r="P906" i="1"/>
  <c r="E907" i="1"/>
  <c r="E907" i="5" s="1"/>
  <c r="F907" i="1"/>
  <c r="F907" i="5" s="1"/>
  <c r="P907" i="1"/>
  <c r="P907" i="5" s="1"/>
  <c r="Q907" i="1"/>
  <c r="Q907" i="5" s="1"/>
  <c r="E908" i="1"/>
  <c r="E908" i="5" s="1"/>
  <c r="H908" i="1"/>
  <c r="M908" i="1"/>
  <c r="M908" i="5" s="1"/>
  <c r="P908" i="1"/>
  <c r="E909" i="1"/>
  <c r="E909" i="5" s="1"/>
  <c r="F909" i="1"/>
  <c r="P909" i="1"/>
  <c r="P909" i="5" s="1"/>
  <c r="Q909" i="1"/>
  <c r="Q909" i="5" s="1"/>
  <c r="H910" i="1"/>
  <c r="H910" i="5" s="1"/>
  <c r="J910" i="1"/>
  <c r="J910" i="5" s="1"/>
  <c r="P910" i="1"/>
  <c r="P910" i="5" s="1"/>
  <c r="H911" i="1"/>
  <c r="H911" i="5" s="1"/>
  <c r="X911" i="5" s="1"/>
  <c r="Z911" i="5" s="1"/>
  <c r="P911" i="1"/>
  <c r="P911" i="5" s="1"/>
  <c r="Q911" i="1"/>
  <c r="Q911" i="5" s="1"/>
  <c r="U911" i="1"/>
  <c r="U911" i="5" s="1"/>
  <c r="H912" i="1"/>
  <c r="H912" i="5" s="1"/>
  <c r="X912" i="5" s="1"/>
  <c r="Z912" i="5" s="1"/>
  <c r="P912" i="1"/>
  <c r="P912" i="5" s="1"/>
  <c r="Q912" i="1"/>
  <c r="Q912" i="5" s="1"/>
  <c r="U912" i="1"/>
  <c r="U912" i="5" s="1"/>
  <c r="H913" i="1"/>
  <c r="P913" i="1"/>
  <c r="P913" i="5" s="1"/>
  <c r="U913" i="1"/>
  <c r="X913" i="1"/>
  <c r="Z913" i="1" s="1"/>
  <c r="E914" i="1"/>
  <c r="E914" i="5" s="1"/>
  <c r="F914" i="1"/>
  <c r="F914" i="5" s="1"/>
  <c r="P914" i="1"/>
  <c r="P914" i="5" s="1"/>
  <c r="E915" i="1"/>
  <c r="E915" i="5" s="1"/>
  <c r="F915" i="1"/>
  <c r="F915" i="5" s="1"/>
  <c r="P915" i="1"/>
  <c r="U915" i="1"/>
  <c r="H916" i="1"/>
  <c r="H916" i="5" s="1"/>
  <c r="X916" i="5" s="1"/>
  <c r="Z916" i="5" s="1"/>
  <c r="P916" i="1"/>
  <c r="P916" i="5" s="1"/>
  <c r="H917" i="1"/>
  <c r="H917" i="5" s="1"/>
  <c r="P917" i="1"/>
  <c r="H918" i="1"/>
  <c r="H918" i="5" s="1"/>
  <c r="P918" i="1"/>
  <c r="P918" i="5" s="1"/>
  <c r="V918" i="1"/>
  <c r="H919" i="1"/>
  <c r="P919" i="1"/>
  <c r="E920" i="1"/>
  <c r="E920" i="5" s="1"/>
  <c r="F920" i="1"/>
  <c r="P920" i="1"/>
  <c r="P920" i="5" s="1"/>
  <c r="G922" i="1"/>
  <c r="I922" i="1"/>
  <c r="L922" i="1"/>
  <c r="N922" i="1"/>
  <c r="O922" i="1"/>
  <c r="R922" i="1"/>
  <c r="R961" i="1" s="1"/>
  <c r="S922" i="1"/>
  <c r="S961" i="1" s="1"/>
  <c r="T922" i="1"/>
  <c r="Y922" i="1"/>
  <c r="E925" i="1"/>
  <c r="H925" i="1"/>
  <c r="H925" i="5" s="1"/>
  <c r="P925" i="1"/>
  <c r="F926" i="1"/>
  <c r="F926" i="5" s="1"/>
  <c r="P926" i="1"/>
  <c r="P926" i="5" s="1"/>
  <c r="F927" i="1"/>
  <c r="P927" i="1"/>
  <c r="Q927" i="1"/>
  <c r="Q927" i="5" s="1"/>
  <c r="E928" i="1"/>
  <c r="E928" i="5" s="1"/>
  <c r="H928" i="1"/>
  <c r="P928" i="1"/>
  <c r="U928" i="1"/>
  <c r="U928" i="5" s="1"/>
  <c r="X928" i="1"/>
  <c r="H929" i="1"/>
  <c r="H929" i="5" s="1"/>
  <c r="X929" i="5" s="1"/>
  <c r="Z929" i="5" s="1"/>
  <c r="P929" i="1"/>
  <c r="P929" i="5" s="1"/>
  <c r="Q929" i="1"/>
  <c r="Q929" i="5" s="1"/>
  <c r="U929" i="1"/>
  <c r="U929" i="5" s="1"/>
  <c r="E930" i="1"/>
  <c r="E930" i="5" s="1"/>
  <c r="F930" i="1"/>
  <c r="F930" i="5" s="1"/>
  <c r="P930" i="1"/>
  <c r="P930" i="5" s="1"/>
  <c r="H931" i="1"/>
  <c r="P931" i="1"/>
  <c r="P931" i="5" s="1"/>
  <c r="H932" i="1"/>
  <c r="P932" i="1"/>
  <c r="P932" i="5" s="1"/>
  <c r="H933" i="1"/>
  <c r="P933" i="1"/>
  <c r="P933" i="5" s="1"/>
  <c r="H934" i="1"/>
  <c r="P934" i="1"/>
  <c r="P934" i="5" s="1"/>
  <c r="H935" i="1"/>
  <c r="P935" i="1"/>
  <c r="P935" i="5" s="1"/>
  <c r="H936" i="1"/>
  <c r="P936" i="1"/>
  <c r="P936" i="5" s="1"/>
  <c r="E937" i="1"/>
  <c r="E937" i="5" s="1"/>
  <c r="H937" i="1"/>
  <c r="P937" i="1"/>
  <c r="P937" i="5" s="1"/>
  <c r="E938" i="1"/>
  <c r="E938" i="5" s="1"/>
  <c r="F938" i="1"/>
  <c r="F938" i="5" s="1"/>
  <c r="P938" i="1"/>
  <c r="P938" i="5" s="1"/>
  <c r="H939" i="1"/>
  <c r="H939" i="5" s="1"/>
  <c r="X939" i="5" s="1"/>
  <c r="Z939" i="5" s="1"/>
  <c r="P939" i="1"/>
  <c r="P939" i="5" s="1"/>
  <c r="G941" i="1"/>
  <c r="I941" i="1"/>
  <c r="K941" i="1"/>
  <c r="L941" i="1"/>
  <c r="N941" i="1"/>
  <c r="O941" i="1"/>
  <c r="T941" i="1"/>
  <c r="Y941" i="1"/>
  <c r="H944" i="1"/>
  <c r="V944" i="1" s="1"/>
  <c r="V944" i="5" s="1"/>
  <c r="P944" i="1"/>
  <c r="H945" i="1"/>
  <c r="J945" i="1"/>
  <c r="J945" i="5" s="1"/>
  <c r="P945" i="1"/>
  <c r="E947" i="1"/>
  <c r="F947" i="1"/>
  <c r="G947" i="1"/>
  <c r="I947" i="1"/>
  <c r="K947" i="1"/>
  <c r="L947" i="1"/>
  <c r="N947" i="1"/>
  <c r="O947" i="1"/>
  <c r="T947" i="1"/>
  <c r="Y947" i="1"/>
  <c r="H950" i="1"/>
  <c r="P950" i="1"/>
  <c r="H953" i="1"/>
  <c r="H953" i="5" s="1"/>
  <c r="X953" i="5" s="1"/>
  <c r="Z953" i="5" s="1"/>
  <c r="P953" i="1"/>
  <c r="P953" i="5" s="1"/>
  <c r="H954" i="1"/>
  <c r="H954" i="5" s="1"/>
  <c r="E956" i="1"/>
  <c r="F956" i="1"/>
  <c r="G956" i="1"/>
  <c r="I956" i="1"/>
  <c r="K956" i="1"/>
  <c r="L956" i="1"/>
  <c r="N956" i="1"/>
  <c r="T956" i="1"/>
  <c r="Y956" i="1"/>
  <c r="H959" i="1"/>
  <c r="J959" i="1" s="1"/>
  <c r="J959" i="5" s="1"/>
  <c r="M959" i="1"/>
  <c r="M959" i="5" s="1"/>
  <c r="H969" i="1"/>
  <c r="P969" i="1"/>
  <c r="H970" i="1"/>
  <c r="H969" i="5" s="1"/>
  <c r="P970" i="1"/>
  <c r="H971" i="1"/>
  <c r="P971" i="1"/>
  <c r="P970" i="5" s="1"/>
  <c r="H972" i="1"/>
  <c r="H971" i="5" s="1"/>
  <c r="N972" i="1"/>
  <c r="N971" i="5" s="1"/>
  <c r="N984" i="5" s="1"/>
  <c r="N986" i="5" s="1"/>
  <c r="H973" i="1"/>
  <c r="P973" i="1"/>
  <c r="P972" i="5" s="1"/>
  <c r="E974" i="1"/>
  <c r="E973" i="5" s="1"/>
  <c r="H974" i="1"/>
  <c r="P974" i="1"/>
  <c r="P973" i="5" s="1"/>
  <c r="U974" i="1"/>
  <c r="U973" i="5" s="1"/>
  <c r="X974" i="1"/>
  <c r="X973" i="5" s="1"/>
  <c r="E975" i="1"/>
  <c r="E974" i="5" s="1"/>
  <c r="H975" i="1"/>
  <c r="H974" i="5" s="1"/>
  <c r="P975" i="1"/>
  <c r="P974" i="5" s="1"/>
  <c r="U975" i="1"/>
  <c r="U974" i="5" s="1"/>
  <c r="H976" i="1"/>
  <c r="P976" i="1"/>
  <c r="P975" i="5" s="1"/>
  <c r="E977" i="1"/>
  <c r="E976" i="5" s="1"/>
  <c r="H977" i="1"/>
  <c r="P977" i="1"/>
  <c r="E978" i="1"/>
  <c r="E977" i="5" s="1"/>
  <c r="H978" i="1"/>
  <c r="H977" i="5" s="1"/>
  <c r="P978" i="1"/>
  <c r="H979" i="1"/>
  <c r="H978" i="5" s="1"/>
  <c r="P979" i="1"/>
  <c r="P978" i="5" s="1"/>
  <c r="E980" i="1"/>
  <c r="E979" i="5" s="1"/>
  <c r="F980" i="1"/>
  <c r="F979" i="5" s="1"/>
  <c r="F984" i="5" s="1"/>
  <c r="F986" i="5" s="1"/>
  <c r="P980" i="1"/>
  <c r="P979" i="5" s="1"/>
  <c r="H981" i="1"/>
  <c r="H980" i="5" s="1"/>
  <c r="P981" i="1"/>
  <c r="H982" i="1"/>
  <c r="P982" i="1"/>
  <c r="P981" i="5" s="1"/>
  <c r="U982" i="1"/>
  <c r="U981" i="5" s="1"/>
  <c r="E983" i="1"/>
  <c r="E982" i="5" s="1"/>
  <c r="F983" i="1"/>
  <c r="F982" i="5" s="1"/>
  <c r="P983" i="1"/>
  <c r="P982" i="5" s="1"/>
  <c r="U983" i="1"/>
  <c r="U982" i="5" s="1"/>
  <c r="G985" i="1"/>
  <c r="I985" i="1"/>
  <c r="I987" i="1" s="1"/>
  <c r="J985" i="1"/>
  <c r="J987" i="1" s="1"/>
  <c r="K985" i="1"/>
  <c r="K987" i="1" s="1"/>
  <c r="L985" i="1"/>
  <c r="L987" i="1" s="1"/>
  <c r="O985" i="1"/>
  <c r="O987" i="1" s="1"/>
  <c r="Q985" i="1"/>
  <c r="Q987" i="1" s="1"/>
  <c r="R985" i="1"/>
  <c r="R987" i="1" s="1"/>
  <c r="S985" i="1"/>
  <c r="S987" i="1" s="1"/>
  <c r="T985" i="1"/>
  <c r="Y985" i="1"/>
  <c r="G987" i="1"/>
  <c r="T987" i="1"/>
  <c r="Y987" i="1"/>
  <c r="H988" i="1"/>
  <c r="H987" i="5" s="1"/>
  <c r="P988" i="1"/>
  <c r="P987" i="5" s="1"/>
  <c r="T988" i="1"/>
  <c r="E990" i="1"/>
  <c r="F990" i="1"/>
  <c r="G990" i="1"/>
  <c r="H990" i="1"/>
  <c r="I990" i="1"/>
  <c r="J990" i="1"/>
  <c r="K990" i="1"/>
  <c r="L990" i="1"/>
  <c r="N990" i="1"/>
  <c r="O990" i="1"/>
  <c r="P990" i="1"/>
  <c r="Q990" i="1"/>
  <c r="R990" i="1"/>
  <c r="S990" i="1"/>
  <c r="Y990" i="1"/>
  <c r="H994" i="1"/>
  <c r="H993" i="5" s="1"/>
  <c r="N994" i="1"/>
  <c r="H995" i="1"/>
  <c r="H994" i="5" s="1"/>
  <c r="X994" i="5" s="1"/>
  <c r="Z994" i="5" s="1"/>
  <c r="M995" i="1"/>
  <c r="P995" i="1"/>
  <c r="P994" i="5" s="1"/>
  <c r="V995" i="1"/>
  <c r="V994" i="5" s="1"/>
  <c r="W995" i="1"/>
  <c r="W994" i="5" s="1"/>
  <c r="H996" i="1"/>
  <c r="P996" i="1"/>
  <c r="P995" i="5" s="1"/>
  <c r="X997" i="1"/>
  <c r="AA997" i="1"/>
  <c r="H998" i="1"/>
  <c r="H997" i="5" s="1"/>
  <c r="X997" i="5" s="1"/>
  <c r="Z997" i="5" s="1"/>
  <c r="P998" i="1"/>
  <c r="P997" i="5" s="1"/>
  <c r="U998" i="1"/>
  <c r="U997" i="5" s="1"/>
  <c r="H999" i="1"/>
  <c r="P999" i="1"/>
  <c r="P998" i="5" s="1"/>
  <c r="U999" i="1"/>
  <c r="U998" i="5" s="1"/>
  <c r="X999" i="1"/>
  <c r="H1000" i="1"/>
  <c r="N1000" i="1"/>
  <c r="H1001" i="1"/>
  <c r="H1000" i="5" s="1"/>
  <c r="X1000" i="5" s="1"/>
  <c r="Z1000" i="5" s="1"/>
  <c r="M1001" i="1"/>
  <c r="M1000" i="5" s="1"/>
  <c r="P1001" i="1"/>
  <c r="P1000" i="5" s="1"/>
  <c r="H1002" i="1"/>
  <c r="H1001" i="5" s="1"/>
  <c r="P1002" i="1"/>
  <c r="P1001" i="5" s="1"/>
  <c r="U1002" i="1"/>
  <c r="U1001" i="5" s="1"/>
  <c r="H1003" i="1"/>
  <c r="H1002" i="5" s="1"/>
  <c r="M1003" i="1"/>
  <c r="M1002" i="5" s="1"/>
  <c r="P1003" i="1"/>
  <c r="P1002" i="5" s="1"/>
  <c r="H1004" i="1"/>
  <c r="H1003" i="5" s="1"/>
  <c r="X1003" i="5" s="1"/>
  <c r="Z1003" i="5" s="1"/>
  <c r="P1004" i="1"/>
  <c r="P1003" i="5" s="1"/>
  <c r="U1004" i="1"/>
  <c r="U1003" i="5" s="1"/>
  <c r="V1004" i="1"/>
  <c r="V1003" i="5" s="1"/>
  <c r="H1005" i="1"/>
  <c r="P1005" i="1"/>
  <c r="P1004" i="5" s="1"/>
  <c r="E1006" i="1"/>
  <c r="E1005" i="5" s="1"/>
  <c r="F1006" i="1"/>
  <c r="F1005" i="5" s="1"/>
  <c r="P1006" i="1"/>
  <c r="P1005" i="5" s="1"/>
  <c r="E1007" i="1"/>
  <c r="E1006" i="5" s="1"/>
  <c r="F1007" i="1"/>
  <c r="F1006" i="5" s="1"/>
  <c r="H1007" i="1"/>
  <c r="H1006" i="5" s="1"/>
  <c r="X1006" i="5" s="1"/>
  <c r="I1007" i="1"/>
  <c r="I1006" i="5" s="1"/>
  <c r="I1013" i="5" s="1"/>
  <c r="I1190" i="5" s="1"/>
  <c r="I2927" i="5" s="1"/>
  <c r="P1007" i="1"/>
  <c r="P1006" i="5" s="1"/>
  <c r="U1007" i="1"/>
  <c r="U1006" i="5" s="1"/>
  <c r="H1008" i="1"/>
  <c r="P1008" i="1"/>
  <c r="H1009" i="1"/>
  <c r="H1008" i="5" s="1"/>
  <c r="P1009" i="1"/>
  <c r="E1010" i="1"/>
  <c r="F1010" i="1"/>
  <c r="P1010" i="1"/>
  <c r="U1010" i="1"/>
  <c r="E1011" i="1"/>
  <c r="F1011" i="1"/>
  <c r="H1011" i="1"/>
  <c r="H1010" i="5" s="1"/>
  <c r="P1011" i="1"/>
  <c r="H1012" i="1"/>
  <c r="P1012" i="1"/>
  <c r="G1014" i="1"/>
  <c r="J1014" i="1"/>
  <c r="K1014" i="1"/>
  <c r="L1014" i="1"/>
  <c r="N1014" i="1"/>
  <c r="O1014" i="1"/>
  <c r="Q1014" i="1"/>
  <c r="R1014" i="1"/>
  <c r="S1014" i="1"/>
  <c r="T1014" i="1"/>
  <c r="Y1014" i="1"/>
  <c r="H1018" i="1"/>
  <c r="H1017" i="5" s="1"/>
  <c r="X1017" i="5" s="1"/>
  <c r="Z1017" i="5" s="1"/>
  <c r="M1018" i="1"/>
  <c r="M1017" i="5" s="1"/>
  <c r="P1018" i="1"/>
  <c r="P1017" i="5" s="1"/>
  <c r="H1019" i="1"/>
  <c r="H1018" i="5" s="1"/>
  <c r="M1019" i="1"/>
  <c r="M1018" i="5" s="1"/>
  <c r="P1019" i="1"/>
  <c r="P1018" i="5" s="1"/>
  <c r="H1020" i="1"/>
  <c r="P1020" i="1"/>
  <c r="P1019" i="5" s="1"/>
  <c r="H1021" i="1"/>
  <c r="P1021" i="1"/>
  <c r="P1020" i="5" s="1"/>
  <c r="H1022" i="1"/>
  <c r="P1022" i="1"/>
  <c r="P1021" i="5" s="1"/>
  <c r="E1023" i="1"/>
  <c r="E1022" i="5" s="1"/>
  <c r="H1023" i="1"/>
  <c r="H1022" i="5" s="1"/>
  <c r="P1023" i="1"/>
  <c r="H1024" i="1"/>
  <c r="H1023" i="5" s="1"/>
  <c r="M1024" i="1"/>
  <c r="M1023" i="5" s="1"/>
  <c r="P1024" i="1"/>
  <c r="P1023" i="5" s="1"/>
  <c r="E1025" i="1"/>
  <c r="E1024" i="5" s="1"/>
  <c r="H1025" i="1"/>
  <c r="H1024" i="5" s="1"/>
  <c r="M1025" i="1"/>
  <c r="M1024" i="5" s="1"/>
  <c r="P1025" i="1"/>
  <c r="H1026" i="1"/>
  <c r="P1026" i="1"/>
  <c r="V1026" i="1"/>
  <c r="H1027" i="1"/>
  <c r="P1027" i="1"/>
  <c r="E1028" i="1"/>
  <c r="E1027" i="5" s="1"/>
  <c r="F1028" i="1"/>
  <c r="P1028" i="1"/>
  <c r="H1029" i="1"/>
  <c r="H1028" i="5" s="1"/>
  <c r="X1028" i="5" s="1"/>
  <c r="Z1028" i="5" s="1"/>
  <c r="P1029" i="1"/>
  <c r="P1028" i="5" s="1"/>
  <c r="H1030" i="1"/>
  <c r="H1029" i="5" s="1"/>
  <c r="P1030" i="1"/>
  <c r="P1031" i="1"/>
  <c r="X1031" i="1"/>
  <c r="H1032" i="1"/>
  <c r="H1031" i="5" s="1"/>
  <c r="P1032" i="1"/>
  <c r="G1034" i="1"/>
  <c r="I1034" i="1"/>
  <c r="J1034" i="1"/>
  <c r="K1034" i="1"/>
  <c r="L1034" i="1"/>
  <c r="N1034" i="1"/>
  <c r="O1034" i="1"/>
  <c r="Q1034" i="1"/>
  <c r="R1034" i="1"/>
  <c r="S1034" i="1"/>
  <c r="T1034" i="1"/>
  <c r="Y1034" i="1"/>
  <c r="H1037" i="1"/>
  <c r="H1036" i="5" s="1"/>
  <c r="P1037" i="1"/>
  <c r="P1036" i="5" s="1"/>
  <c r="H1038" i="1"/>
  <c r="H1037" i="5" s="1"/>
  <c r="P1038" i="1"/>
  <c r="P1037" i="5" s="1"/>
  <c r="H1039" i="1"/>
  <c r="P1039" i="1"/>
  <c r="P1038" i="5" s="1"/>
  <c r="U1039" i="1"/>
  <c r="U1038" i="5" s="1"/>
  <c r="H1040" i="1"/>
  <c r="P1040" i="1"/>
  <c r="P1039" i="5" s="1"/>
  <c r="H1041" i="1"/>
  <c r="H1040" i="5" s="1"/>
  <c r="P1041" i="1"/>
  <c r="H1042" i="1"/>
  <c r="P1042" i="1"/>
  <c r="U1042" i="1"/>
  <c r="U1041" i="5" s="1"/>
  <c r="H1043" i="1"/>
  <c r="H1042" i="5" s="1"/>
  <c r="P1043" i="1"/>
  <c r="P1042" i="5" s="1"/>
  <c r="H1044" i="1"/>
  <c r="P1044" i="1"/>
  <c r="P1043" i="5" s="1"/>
  <c r="H1045" i="1"/>
  <c r="H1044" i="5" s="1"/>
  <c r="P1045" i="1"/>
  <c r="H1046" i="1"/>
  <c r="P1046" i="1"/>
  <c r="H1047" i="1"/>
  <c r="H1046" i="5" s="1"/>
  <c r="P1047" i="1"/>
  <c r="P1046" i="5" s="1"/>
  <c r="U1047" i="1"/>
  <c r="U1046" i="5" s="1"/>
  <c r="H1048" i="1"/>
  <c r="H1047" i="5" s="1"/>
  <c r="P1048" i="1"/>
  <c r="P1047" i="5" s="1"/>
  <c r="E1050" i="1"/>
  <c r="F1050" i="1"/>
  <c r="G1050" i="1"/>
  <c r="I1050" i="1"/>
  <c r="J1050" i="1"/>
  <c r="K1050" i="1"/>
  <c r="L1050" i="1"/>
  <c r="N1050" i="1"/>
  <c r="O1050" i="1"/>
  <c r="Q1050" i="1"/>
  <c r="R1050" i="1"/>
  <c r="S1050" i="1"/>
  <c r="T1050" i="1"/>
  <c r="Y1050" i="1"/>
  <c r="H1053" i="1"/>
  <c r="P1053" i="1"/>
  <c r="P1052" i="5" s="1"/>
  <c r="U1053" i="1"/>
  <c r="U1052" i="5" s="1"/>
  <c r="H1055" i="1"/>
  <c r="H1054" i="5" s="1"/>
  <c r="M1055" i="1"/>
  <c r="M1054" i="5" s="1"/>
  <c r="P1055" i="1"/>
  <c r="P1054" i="5" s="1"/>
  <c r="H1056" i="1"/>
  <c r="H1055" i="5" s="1"/>
  <c r="X1055" i="5" s="1"/>
  <c r="Z1055" i="5" s="1"/>
  <c r="P1056" i="1"/>
  <c r="P1055" i="5" s="1"/>
  <c r="U1056" i="1"/>
  <c r="U1055" i="5" s="1"/>
  <c r="H1057" i="1"/>
  <c r="H1056" i="5" s="1"/>
  <c r="P1057" i="1"/>
  <c r="H1058" i="1"/>
  <c r="H1057" i="5" s="1"/>
  <c r="M1058" i="1"/>
  <c r="M1057" i="5" s="1"/>
  <c r="P1058" i="1"/>
  <c r="H1059" i="1"/>
  <c r="P1059" i="1"/>
  <c r="P1058" i="5" s="1"/>
  <c r="H1060" i="1"/>
  <c r="H1059" i="5" s="1"/>
  <c r="X1059" i="5" s="1"/>
  <c r="Z1059" i="5" s="1"/>
  <c r="P1060" i="1"/>
  <c r="P1059" i="5" s="1"/>
  <c r="H1061" i="1"/>
  <c r="M1061" i="1"/>
  <c r="P1061" i="1"/>
  <c r="H1062" i="1"/>
  <c r="P1062" i="1"/>
  <c r="P1061" i="5" s="1"/>
  <c r="H1063" i="1"/>
  <c r="H1062" i="5" s="1"/>
  <c r="P1063" i="1"/>
  <c r="P1062" i="5" s="1"/>
  <c r="H1064" i="1"/>
  <c r="H1063" i="5" s="1"/>
  <c r="P1064" i="1"/>
  <c r="E1066" i="1"/>
  <c r="F1066" i="1"/>
  <c r="G1066" i="1"/>
  <c r="I1066" i="1"/>
  <c r="J1066" i="1"/>
  <c r="K1066" i="1"/>
  <c r="L1066" i="1"/>
  <c r="N1066" i="1"/>
  <c r="O1066" i="1"/>
  <c r="Q1066" i="1"/>
  <c r="R1066" i="1"/>
  <c r="S1066" i="1"/>
  <c r="T1066" i="1"/>
  <c r="Y1066" i="1"/>
  <c r="H1069" i="1"/>
  <c r="P1069" i="1"/>
  <c r="P1068" i="5" s="1"/>
  <c r="U1069" i="1"/>
  <c r="U1068" i="5" s="1"/>
  <c r="X1069" i="1"/>
  <c r="H1070" i="1"/>
  <c r="P1070" i="1"/>
  <c r="P1069" i="5" s="1"/>
  <c r="U1070" i="1"/>
  <c r="U1069" i="5" s="1"/>
  <c r="V1070" i="1"/>
  <c r="H1071" i="1"/>
  <c r="P1071" i="1"/>
  <c r="P1070" i="5" s="1"/>
  <c r="H1072" i="1"/>
  <c r="H1071" i="5" s="1"/>
  <c r="P1072" i="1"/>
  <c r="H1073" i="1"/>
  <c r="H1072" i="5" s="1"/>
  <c r="M1073" i="1"/>
  <c r="M1072" i="5" s="1"/>
  <c r="P1073" i="1"/>
  <c r="H1074" i="1"/>
  <c r="H1073" i="5" s="1"/>
  <c r="N1074" i="1"/>
  <c r="H1075" i="1"/>
  <c r="P1075" i="1"/>
  <c r="P1074" i="5" s="1"/>
  <c r="H1076" i="1"/>
  <c r="H1075" i="5" s="1"/>
  <c r="P1076" i="1"/>
  <c r="P1075" i="5" s="1"/>
  <c r="H1077" i="1"/>
  <c r="H1076" i="5" s="1"/>
  <c r="P1077" i="1"/>
  <c r="P1076" i="5" s="1"/>
  <c r="H1078" i="1"/>
  <c r="H1077" i="5" s="1"/>
  <c r="X1077" i="5" s="1"/>
  <c r="Z1077" i="5" s="1"/>
  <c r="U1078" i="1"/>
  <c r="U1077" i="5" s="1"/>
  <c r="H1079" i="1"/>
  <c r="P1079" i="1"/>
  <c r="P1078" i="5" s="1"/>
  <c r="H1080" i="1"/>
  <c r="P1080" i="1"/>
  <c r="P1079" i="5" s="1"/>
  <c r="H1081" i="1"/>
  <c r="H1080" i="5" s="1"/>
  <c r="P1081" i="1"/>
  <c r="P1080" i="5" s="1"/>
  <c r="H1082" i="1"/>
  <c r="H1081" i="5" s="1"/>
  <c r="X1081" i="5" s="1"/>
  <c r="Z1081" i="5" s="1"/>
  <c r="P1082" i="1"/>
  <c r="P1081" i="5" s="1"/>
  <c r="U1082" i="1"/>
  <c r="U1081" i="5" s="1"/>
  <c r="H1083" i="1"/>
  <c r="P1083" i="1"/>
  <c r="P1082" i="5" s="1"/>
  <c r="E1084" i="1"/>
  <c r="H1084" i="1"/>
  <c r="H1083" i="5" s="1"/>
  <c r="X1083" i="5" s="1"/>
  <c r="P1084" i="1"/>
  <c r="P1083" i="5" s="1"/>
  <c r="F1086" i="1"/>
  <c r="G1086" i="1"/>
  <c r="I1086" i="1"/>
  <c r="J1086" i="1"/>
  <c r="K1086" i="1"/>
  <c r="L1086" i="1"/>
  <c r="O1086" i="1"/>
  <c r="Q1086" i="1"/>
  <c r="R1086" i="1"/>
  <c r="S1086" i="1"/>
  <c r="T1086" i="1"/>
  <c r="Y1086" i="1"/>
  <c r="Y1190" i="1" s="1"/>
  <c r="H1090" i="1"/>
  <c r="H1089" i="5" s="1"/>
  <c r="X1089" i="5" s="1"/>
  <c r="Z1089" i="5" s="1"/>
  <c r="P1090" i="1"/>
  <c r="P1089" i="5" s="1"/>
  <c r="U1090" i="1"/>
  <c r="U1089" i="5" s="1"/>
  <c r="H1091" i="1"/>
  <c r="H1090" i="5" s="1"/>
  <c r="X1090" i="5" s="1"/>
  <c r="Z1090" i="5" s="1"/>
  <c r="P1091" i="1"/>
  <c r="P1090" i="5" s="1"/>
  <c r="H1092" i="1"/>
  <c r="H1091" i="5" s="1"/>
  <c r="P1092" i="1"/>
  <c r="P1091" i="5" s="1"/>
  <c r="H1093" i="1"/>
  <c r="P1093" i="1"/>
  <c r="P1092" i="5" s="1"/>
  <c r="H1094" i="1"/>
  <c r="H1093" i="5" s="1"/>
  <c r="P1094" i="1"/>
  <c r="H1095" i="1"/>
  <c r="P1095" i="1"/>
  <c r="P1094" i="5" s="1"/>
  <c r="H1096" i="1"/>
  <c r="H1095" i="5" s="1"/>
  <c r="P1096" i="1"/>
  <c r="H1097" i="1"/>
  <c r="P1097" i="1"/>
  <c r="P1096" i="5" s="1"/>
  <c r="H1098" i="1"/>
  <c r="H1097" i="5" s="1"/>
  <c r="P1098" i="1"/>
  <c r="H1099" i="1"/>
  <c r="P1099" i="1"/>
  <c r="P1098" i="5" s="1"/>
  <c r="E1100" i="1"/>
  <c r="E1099" i="5" s="1"/>
  <c r="F1100" i="1"/>
  <c r="P1100" i="1"/>
  <c r="P1099" i="5" s="1"/>
  <c r="H1101" i="1"/>
  <c r="P1101" i="1"/>
  <c r="P1100" i="5" s="1"/>
  <c r="H1102" i="1"/>
  <c r="H1101" i="5" s="1"/>
  <c r="P1102" i="1"/>
  <c r="P1101" i="5" s="1"/>
  <c r="E1103" i="1"/>
  <c r="E1102" i="5" s="1"/>
  <c r="H1103" i="1"/>
  <c r="H1102" i="5" s="1"/>
  <c r="M1103" i="1"/>
  <c r="M1102" i="5" s="1"/>
  <c r="P1103" i="1"/>
  <c r="P1102" i="5" s="1"/>
  <c r="H1104" i="1"/>
  <c r="H1103" i="5" s="1"/>
  <c r="P1104" i="1"/>
  <c r="U1104" i="1"/>
  <c r="X1104" i="1"/>
  <c r="Z1104" i="1" s="1"/>
  <c r="H1105" i="1"/>
  <c r="H1104" i="5" s="1"/>
  <c r="P1105" i="1"/>
  <c r="P1104" i="5" s="1"/>
  <c r="G1107" i="1"/>
  <c r="I1107" i="1"/>
  <c r="J1107" i="1"/>
  <c r="K1107" i="1"/>
  <c r="L1107" i="1"/>
  <c r="N1107" i="1"/>
  <c r="O1107" i="1"/>
  <c r="Q1107" i="1"/>
  <c r="R1107" i="1"/>
  <c r="S1107" i="1"/>
  <c r="T1107" i="1"/>
  <c r="Y1107" i="1"/>
  <c r="H1110" i="1"/>
  <c r="P1110" i="1"/>
  <c r="P1109" i="5" s="1"/>
  <c r="H1111" i="1"/>
  <c r="H1110" i="5" s="1"/>
  <c r="X1110" i="5" s="1"/>
  <c r="Z1110" i="5" s="1"/>
  <c r="M1111" i="1"/>
  <c r="M1110" i="5" s="1"/>
  <c r="P1111" i="1"/>
  <c r="P1110" i="5" s="1"/>
  <c r="H1112" i="1"/>
  <c r="P1112" i="1"/>
  <c r="P1111" i="5" s="1"/>
  <c r="X1112" i="1"/>
  <c r="H1114" i="1"/>
  <c r="H1113" i="5" s="1"/>
  <c r="X1113" i="5" s="1"/>
  <c r="Z1113" i="5" s="1"/>
  <c r="P1114" i="1"/>
  <c r="P1113" i="5" s="1"/>
  <c r="U1114" i="1"/>
  <c r="U1113" i="5" s="1"/>
  <c r="V1114" i="1"/>
  <c r="V1113" i="5" s="1"/>
  <c r="H1115" i="1"/>
  <c r="H1114" i="5" s="1"/>
  <c r="P1115" i="1"/>
  <c r="P1114" i="5" s="1"/>
  <c r="H1116" i="1"/>
  <c r="P1116" i="1"/>
  <c r="P1115" i="5" s="1"/>
  <c r="H1117" i="1"/>
  <c r="P1117" i="1"/>
  <c r="H1118" i="1"/>
  <c r="H1117" i="5" s="1"/>
  <c r="P1118" i="1"/>
  <c r="H1119" i="1"/>
  <c r="H1118" i="5" s="1"/>
  <c r="P1119" i="1"/>
  <c r="H1120" i="1"/>
  <c r="H1119" i="5" s="1"/>
  <c r="P1120" i="1"/>
  <c r="E1121" i="1"/>
  <c r="E1120" i="5" s="1"/>
  <c r="H1121" i="1"/>
  <c r="P1121" i="1"/>
  <c r="P1120" i="5" s="1"/>
  <c r="E1122" i="1"/>
  <c r="E1121" i="5" s="1"/>
  <c r="F1122" i="1"/>
  <c r="P1122" i="1"/>
  <c r="P1121" i="5" s="1"/>
  <c r="C1123" i="1"/>
  <c r="E1123" i="1"/>
  <c r="E1122" i="5" s="1"/>
  <c r="H1123" i="1"/>
  <c r="P1123" i="1"/>
  <c r="P1122" i="5" s="1"/>
  <c r="H1124" i="1"/>
  <c r="H1123" i="5" s="1"/>
  <c r="P1124" i="1"/>
  <c r="H1125" i="1"/>
  <c r="H1124" i="5" s="1"/>
  <c r="P1125" i="1"/>
  <c r="P1124" i="5" s="1"/>
  <c r="U1125" i="1"/>
  <c r="U1124" i="5" s="1"/>
  <c r="E1126" i="1"/>
  <c r="E1125" i="5" s="1"/>
  <c r="F1126" i="1"/>
  <c r="F1125" i="5" s="1"/>
  <c r="H1126" i="1"/>
  <c r="H1125" i="5" s="1"/>
  <c r="X1125" i="5" s="1"/>
  <c r="M1126" i="1"/>
  <c r="M1125" i="5" s="1"/>
  <c r="P1126" i="1"/>
  <c r="P1125" i="5" s="1"/>
  <c r="E1127" i="1"/>
  <c r="F1127" i="1"/>
  <c r="F1126" i="5" s="1"/>
  <c r="P1127" i="1"/>
  <c r="P1126" i="5" s="1"/>
  <c r="H1128" i="1"/>
  <c r="H1127" i="5" s="1"/>
  <c r="P1128" i="1"/>
  <c r="G1130" i="1"/>
  <c r="I1130" i="1"/>
  <c r="J1130" i="1"/>
  <c r="K1130" i="1"/>
  <c r="L1130" i="1"/>
  <c r="N1130" i="1"/>
  <c r="O1130" i="1"/>
  <c r="Q1130" i="1"/>
  <c r="R1130" i="1"/>
  <c r="S1130" i="1"/>
  <c r="T1130" i="1"/>
  <c r="Y1130" i="1"/>
  <c r="H1133" i="1"/>
  <c r="P1133" i="1"/>
  <c r="P1132" i="5" s="1"/>
  <c r="H1134" i="1"/>
  <c r="H1133" i="5" s="1"/>
  <c r="P1134" i="1"/>
  <c r="E1135" i="1"/>
  <c r="E1134" i="5" s="1"/>
  <c r="H1135" i="1"/>
  <c r="P1135" i="1"/>
  <c r="P1134" i="5" s="1"/>
  <c r="H1136" i="1"/>
  <c r="H1135" i="5" s="1"/>
  <c r="X1135" i="5" s="1"/>
  <c r="Z1135" i="5" s="1"/>
  <c r="M1136" i="1"/>
  <c r="M1135" i="5" s="1"/>
  <c r="P1136" i="1"/>
  <c r="P1135" i="5" s="1"/>
  <c r="H1137" i="1"/>
  <c r="H1136" i="5" s="1"/>
  <c r="P1137" i="1"/>
  <c r="P1136" i="5" s="1"/>
  <c r="U1137" i="1"/>
  <c r="U1136" i="5" s="1"/>
  <c r="H1138" i="1"/>
  <c r="P1138" i="1"/>
  <c r="U1138" i="1"/>
  <c r="U1137" i="5" s="1"/>
  <c r="H1139" i="1"/>
  <c r="P1139" i="1"/>
  <c r="P1138" i="5" s="1"/>
  <c r="H1140" i="1"/>
  <c r="P1140" i="1"/>
  <c r="P1139" i="5" s="1"/>
  <c r="E1141" i="1"/>
  <c r="E1140" i="5" s="1"/>
  <c r="F1141" i="1"/>
  <c r="F1140" i="5" s="1"/>
  <c r="F1143" i="5" s="1"/>
  <c r="P1141" i="1"/>
  <c r="P1140" i="5" s="1"/>
  <c r="U1141" i="1"/>
  <c r="U1140" i="5" s="1"/>
  <c r="E1142" i="1"/>
  <c r="E1141" i="5" s="1"/>
  <c r="H1142" i="1"/>
  <c r="H1141" i="5" s="1"/>
  <c r="P1142" i="1"/>
  <c r="P1141" i="5" s="1"/>
  <c r="U1142" i="1"/>
  <c r="U1141" i="5" s="1"/>
  <c r="F1144" i="1"/>
  <c r="G1144" i="1"/>
  <c r="I1144" i="1"/>
  <c r="J1144" i="1"/>
  <c r="K1144" i="1"/>
  <c r="L1144" i="1"/>
  <c r="N1144" i="1"/>
  <c r="O1144" i="1"/>
  <c r="Q1144" i="1"/>
  <c r="R1144" i="1"/>
  <c r="S1144" i="1"/>
  <c r="T1144" i="1"/>
  <c r="Y1144" i="1"/>
  <c r="H1148" i="1"/>
  <c r="N1148" i="1"/>
  <c r="N1147" i="5" s="1"/>
  <c r="N1166" i="5" s="1"/>
  <c r="H1149" i="1"/>
  <c r="P1149" i="1"/>
  <c r="P1148" i="5" s="1"/>
  <c r="H1150" i="1"/>
  <c r="P1150" i="1"/>
  <c r="H1151" i="1"/>
  <c r="H1150" i="5" s="1"/>
  <c r="X1150" i="5" s="1"/>
  <c r="Z1150" i="5" s="1"/>
  <c r="M1151" i="1"/>
  <c r="M1150" i="5" s="1"/>
  <c r="P1151" i="1"/>
  <c r="P1150" i="5" s="1"/>
  <c r="H1152" i="1"/>
  <c r="H1151" i="5" s="1"/>
  <c r="P1152" i="1"/>
  <c r="H1153" i="1"/>
  <c r="P1153" i="1"/>
  <c r="P1152" i="5" s="1"/>
  <c r="H1154" i="1"/>
  <c r="P1154" i="1"/>
  <c r="H1155" i="1"/>
  <c r="H1154" i="5" s="1"/>
  <c r="M1155" i="1"/>
  <c r="M1154" i="5" s="1"/>
  <c r="P1155" i="1"/>
  <c r="H1156" i="1"/>
  <c r="H1155" i="5" s="1"/>
  <c r="P1156" i="1"/>
  <c r="H1157" i="1"/>
  <c r="P1157" i="1"/>
  <c r="P1156" i="5" s="1"/>
  <c r="H1158" i="1"/>
  <c r="H1157" i="5" s="1"/>
  <c r="P1158" i="1"/>
  <c r="H1159" i="1"/>
  <c r="P1159" i="1"/>
  <c r="U1159" i="1"/>
  <c r="U1158" i="5" s="1"/>
  <c r="H1160" i="1"/>
  <c r="H1159" i="5" s="1"/>
  <c r="P1160" i="1"/>
  <c r="P1159" i="5" s="1"/>
  <c r="H1161" i="1"/>
  <c r="P1161" i="1"/>
  <c r="P1160" i="5" s="1"/>
  <c r="H1162" i="1"/>
  <c r="H1161" i="5" s="1"/>
  <c r="P1162" i="1"/>
  <c r="E1163" i="1"/>
  <c r="E1162" i="5" s="1"/>
  <c r="F1163" i="1"/>
  <c r="F1162" i="5" s="1"/>
  <c r="F1166" i="5" s="1"/>
  <c r="P1163" i="1"/>
  <c r="P1162" i="5" s="1"/>
  <c r="H1164" i="1"/>
  <c r="P1164" i="1"/>
  <c r="P1163" i="5" s="1"/>
  <c r="H1165" i="1"/>
  <c r="P1165" i="1"/>
  <c r="V1165" i="1"/>
  <c r="G1167" i="1"/>
  <c r="I1167" i="1"/>
  <c r="J1167" i="1"/>
  <c r="K1167" i="1"/>
  <c r="L1167" i="1"/>
  <c r="O1167" i="1"/>
  <c r="Q1167" i="1"/>
  <c r="R1167" i="1"/>
  <c r="S1167" i="1"/>
  <c r="T1167" i="1"/>
  <c r="Y1167" i="1"/>
  <c r="H1170" i="1"/>
  <c r="H1169" i="5" s="1"/>
  <c r="M1170" i="1"/>
  <c r="M1169" i="5" s="1"/>
  <c r="N1170" i="1"/>
  <c r="N1169" i="5" s="1"/>
  <c r="N1188" i="5" s="1"/>
  <c r="H1171" i="1"/>
  <c r="H1170" i="5" s="1"/>
  <c r="P1171" i="1"/>
  <c r="P1170" i="5" s="1"/>
  <c r="U1171" i="1"/>
  <c r="U1170" i="5" s="1"/>
  <c r="H1172" i="1"/>
  <c r="H1171" i="5" s="1"/>
  <c r="P1172" i="1"/>
  <c r="P1171" i="5" s="1"/>
  <c r="H1173" i="1"/>
  <c r="H1172" i="5" s="1"/>
  <c r="X1172" i="5" s="1"/>
  <c r="Z1172" i="5" s="1"/>
  <c r="P1173" i="1"/>
  <c r="P1172" i="5" s="1"/>
  <c r="U1173" i="1"/>
  <c r="U1172" i="5" s="1"/>
  <c r="V1173" i="1"/>
  <c r="V1172" i="5" s="1"/>
  <c r="X1173" i="1"/>
  <c r="H1174" i="1"/>
  <c r="H1173" i="5" s="1"/>
  <c r="M1174" i="1"/>
  <c r="M1173" i="5" s="1"/>
  <c r="P1174" i="1"/>
  <c r="E1175" i="1"/>
  <c r="E1174" i="5" s="1"/>
  <c r="H1175" i="1"/>
  <c r="P1175" i="1"/>
  <c r="E1176" i="1"/>
  <c r="E1175" i="5" s="1"/>
  <c r="H1176" i="1"/>
  <c r="P1176" i="1"/>
  <c r="H1177" i="1"/>
  <c r="H1176" i="5" s="1"/>
  <c r="P1177" i="1"/>
  <c r="P1176" i="5" s="1"/>
  <c r="H1178" i="1"/>
  <c r="H1177" i="5" s="1"/>
  <c r="X1177" i="5" s="1"/>
  <c r="Z1177" i="5" s="1"/>
  <c r="P1178" i="1"/>
  <c r="P1177" i="5" s="1"/>
  <c r="U1178" i="1"/>
  <c r="U1177" i="5" s="1"/>
  <c r="H1179" i="1"/>
  <c r="H1178" i="5" s="1"/>
  <c r="X1178" i="5" s="1"/>
  <c r="Z1178" i="5" s="1"/>
  <c r="P1179" i="1"/>
  <c r="P1178" i="5" s="1"/>
  <c r="H1180" i="1"/>
  <c r="H1179" i="5" s="1"/>
  <c r="P1180" i="1"/>
  <c r="P1179" i="5" s="1"/>
  <c r="H1181" i="1"/>
  <c r="P1181" i="1"/>
  <c r="P1180" i="5" s="1"/>
  <c r="E1182" i="1"/>
  <c r="E1181" i="5" s="1"/>
  <c r="F1182" i="1"/>
  <c r="F1181" i="5" s="1"/>
  <c r="F1188" i="5" s="1"/>
  <c r="H1182" i="1"/>
  <c r="H1181" i="5" s="1"/>
  <c r="X1181" i="5" s="1"/>
  <c r="P1182" i="1"/>
  <c r="P1181" i="5" s="1"/>
  <c r="H1183" i="1"/>
  <c r="H1182" i="5" s="1"/>
  <c r="P1183" i="1"/>
  <c r="E1184" i="1"/>
  <c r="E1183" i="5" s="1"/>
  <c r="H1184" i="1"/>
  <c r="H1183" i="5" s="1"/>
  <c r="P1184" i="1"/>
  <c r="H1185" i="1"/>
  <c r="P1185" i="1"/>
  <c r="P1184" i="5" s="1"/>
  <c r="H1186" i="1"/>
  <c r="H1185" i="5" s="1"/>
  <c r="X1185" i="5" s="1"/>
  <c r="Z1185" i="5" s="1"/>
  <c r="P1186" i="1"/>
  <c r="P1185" i="5" s="1"/>
  <c r="F1188" i="1"/>
  <c r="G1188" i="1"/>
  <c r="I1188" i="1"/>
  <c r="J1188" i="1"/>
  <c r="K1188" i="1"/>
  <c r="L1188" i="1"/>
  <c r="O1188" i="1"/>
  <c r="Q1188" i="1"/>
  <c r="R1188" i="1"/>
  <c r="S1188" i="1"/>
  <c r="T1188" i="1"/>
  <c r="Y1188" i="1"/>
  <c r="H1197" i="1"/>
  <c r="H1196" i="5" s="1"/>
  <c r="P1197" i="1"/>
  <c r="E1198" i="1"/>
  <c r="E1197" i="5" s="1"/>
  <c r="H1198" i="1"/>
  <c r="K1198" i="1"/>
  <c r="K1197" i="5" s="1"/>
  <c r="P1198" i="1"/>
  <c r="V1198" i="1"/>
  <c r="V1197" i="5" s="1"/>
  <c r="E1199" i="1"/>
  <c r="E1198" i="5" s="1"/>
  <c r="H1199" i="1"/>
  <c r="H1198" i="5" s="1"/>
  <c r="J1199" i="1"/>
  <c r="J1198" i="5" s="1"/>
  <c r="K1199" i="1"/>
  <c r="P1199" i="1"/>
  <c r="P1198" i="5" s="1"/>
  <c r="V1199" i="1"/>
  <c r="V1198" i="5" s="1"/>
  <c r="H1200" i="1"/>
  <c r="H1199" i="5" s="1"/>
  <c r="P1200" i="1"/>
  <c r="P1199" i="5" s="1"/>
  <c r="Q1200" i="1"/>
  <c r="Q1199" i="5" s="1"/>
  <c r="F1201" i="1"/>
  <c r="F1200" i="5" s="1"/>
  <c r="P1201" i="1"/>
  <c r="P1200" i="5" s="1"/>
  <c r="E1202" i="1"/>
  <c r="E1201" i="5" s="1"/>
  <c r="H1202" i="1"/>
  <c r="H1201" i="5" s="1"/>
  <c r="P1202" i="1"/>
  <c r="P1201" i="5" s="1"/>
  <c r="E1203" i="1"/>
  <c r="E1202" i="5" s="1"/>
  <c r="F1203" i="1"/>
  <c r="P1203" i="1"/>
  <c r="E1204" i="1"/>
  <c r="E1203" i="5" s="1"/>
  <c r="H1204" i="1"/>
  <c r="M1204" i="1"/>
  <c r="M1203" i="5" s="1"/>
  <c r="P1204" i="1"/>
  <c r="P1203" i="5" s="1"/>
  <c r="E1205" i="1"/>
  <c r="E1204" i="5" s="1"/>
  <c r="F1205" i="1"/>
  <c r="P1205" i="1"/>
  <c r="P1204" i="5" s="1"/>
  <c r="E1206" i="1"/>
  <c r="E1205" i="5" s="1"/>
  <c r="F1206" i="1"/>
  <c r="F1205" i="5" s="1"/>
  <c r="P1206" i="1"/>
  <c r="E1207" i="1"/>
  <c r="E1206" i="5" s="1"/>
  <c r="F1207" i="1"/>
  <c r="F1206" i="5" s="1"/>
  <c r="P1207" i="1"/>
  <c r="H1208" i="1"/>
  <c r="H1207" i="5" s="1"/>
  <c r="J1208" i="1"/>
  <c r="J1207" i="5" s="1"/>
  <c r="P1208" i="1"/>
  <c r="P1207" i="5" s="1"/>
  <c r="H1209" i="1"/>
  <c r="M1209" i="1"/>
  <c r="M1208" i="5" s="1"/>
  <c r="P1209" i="1"/>
  <c r="P1208" i="5" s="1"/>
  <c r="G1210" i="1"/>
  <c r="P1210" i="1"/>
  <c r="P1209" i="5" s="1"/>
  <c r="H1211" i="1"/>
  <c r="H1210" i="5" s="1"/>
  <c r="P1211" i="1"/>
  <c r="P1210" i="5" s="1"/>
  <c r="E1212" i="1"/>
  <c r="E1211" i="5" s="1"/>
  <c r="H1212" i="1"/>
  <c r="H1211" i="5" s="1"/>
  <c r="P1212" i="1"/>
  <c r="P1211" i="5" s="1"/>
  <c r="Q1212" i="1"/>
  <c r="Q1211" i="5" s="1"/>
  <c r="H1213" i="1"/>
  <c r="M1213" i="1"/>
  <c r="M1212" i="5" s="1"/>
  <c r="P1213" i="1"/>
  <c r="P1212" i="5" s="1"/>
  <c r="G1215" i="1"/>
  <c r="I1215" i="1"/>
  <c r="L1215" i="1"/>
  <c r="N1215" i="1"/>
  <c r="O1215" i="1"/>
  <c r="T1215" i="1"/>
  <c r="Y1215" i="1"/>
  <c r="H1218" i="1"/>
  <c r="P1218" i="1"/>
  <c r="P1217" i="5" s="1"/>
  <c r="E1219" i="1"/>
  <c r="E1218" i="5" s="1"/>
  <c r="H1219" i="1"/>
  <c r="K1219" i="1"/>
  <c r="P1219" i="1"/>
  <c r="P1218" i="5" s="1"/>
  <c r="H1220" i="1"/>
  <c r="H1219" i="5" s="1"/>
  <c r="P1220" i="1"/>
  <c r="P1219" i="5" s="1"/>
  <c r="E1221" i="1"/>
  <c r="E1220" i="5" s="1"/>
  <c r="H1221" i="1"/>
  <c r="H1220" i="5" s="1"/>
  <c r="K1221" i="1"/>
  <c r="K1220" i="5" s="1"/>
  <c r="P1221" i="1"/>
  <c r="P1220" i="5" s="1"/>
  <c r="Q1221" i="1"/>
  <c r="Q1220" i="5" s="1"/>
  <c r="H1222" i="1"/>
  <c r="P1222" i="1"/>
  <c r="E1223" i="1"/>
  <c r="E1222" i="5" s="1"/>
  <c r="H1223" i="1"/>
  <c r="H1222" i="5" s="1"/>
  <c r="X1222" i="5" s="1"/>
  <c r="P1223" i="1"/>
  <c r="P1222" i="5" s="1"/>
  <c r="F1224" i="1"/>
  <c r="F1223" i="5" s="1"/>
  <c r="H1224" i="1"/>
  <c r="P1224" i="1"/>
  <c r="H1225" i="1"/>
  <c r="H1224" i="5" s="1"/>
  <c r="P1225" i="1"/>
  <c r="F1226" i="1"/>
  <c r="P1226" i="1"/>
  <c r="P1225" i="5" s="1"/>
  <c r="E1227" i="1"/>
  <c r="E1226" i="5" s="1"/>
  <c r="H1227" i="1"/>
  <c r="P1227" i="1"/>
  <c r="X1227" i="1"/>
  <c r="X1172" i="2" s="1"/>
  <c r="H1228" i="1"/>
  <c r="P1228" i="1"/>
  <c r="P1227" i="5" s="1"/>
  <c r="X1228" i="1"/>
  <c r="H1229" i="1"/>
  <c r="X1229" i="1" s="1"/>
  <c r="X1174" i="2" s="1"/>
  <c r="P1229" i="1"/>
  <c r="H1230" i="1"/>
  <c r="H1229" i="5" s="1"/>
  <c r="X1229" i="5" s="1"/>
  <c r="P1230" i="1"/>
  <c r="P1229" i="5" s="1"/>
  <c r="Q1230" i="1"/>
  <c r="Q1229" i="5" s="1"/>
  <c r="U1230" i="1"/>
  <c r="U1229" i="5" s="1"/>
  <c r="H1231" i="1"/>
  <c r="P1231" i="1"/>
  <c r="P1230" i="5" s="1"/>
  <c r="E1232" i="1"/>
  <c r="E1231" i="5" s="1"/>
  <c r="F1232" i="1"/>
  <c r="P1232" i="1"/>
  <c r="P1231" i="5" s="1"/>
  <c r="H1233" i="1"/>
  <c r="H1232" i="5" s="1"/>
  <c r="P1233" i="1"/>
  <c r="P1232" i="5" s="1"/>
  <c r="E1234" i="1"/>
  <c r="E1233" i="5" s="1"/>
  <c r="F1234" i="1"/>
  <c r="P1234" i="1"/>
  <c r="E1235" i="1"/>
  <c r="E1234" i="5" s="1"/>
  <c r="F1235" i="1"/>
  <c r="F1234" i="5" s="1"/>
  <c r="P1235" i="1"/>
  <c r="H1236" i="1"/>
  <c r="H1235" i="5" s="1"/>
  <c r="X1235" i="5" s="1"/>
  <c r="U1236" i="1"/>
  <c r="P1237" i="1"/>
  <c r="P1236" i="5" s="1"/>
  <c r="X1236" i="5" s="1"/>
  <c r="H1238" i="1"/>
  <c r="P1238" i="1"/>
  <c r="P1237" i="5" s="1"/>
  <c r="H1239" i="1"/>
  <c r="H1238" i="5" s="1"/>
  <c r="P1239" i="1"/>
  <c r="E1240" i="1"/>
  <c r="E1239" i="5" s="1"/>
  <c r="H1240" i="1"/>
  <c r="P1240" i="1"/>
  <c r="V1240" i="1" s="1"/>
  <c r="U1240" i="1"/>
  <c r="E1241" i="1"/>
  <c r="F1241" i="1"/>
  <c r="F1240" i="5" s="1"/>
  <c r="P1241" i="1"/>
  <c r="H1242" i="1"/>
  <c r="P1242" i="1"/>
  <c r="P1241" i="5" s="1"/>
  <c r="U1242" i="1"/>
  <c r="U1241" i="5" s="1"/>
  <c r="E1243" i="1"/>
  <c r="E1242" i="5" s="1"/>
  <c r="F1243" i="1"/>
  <c r="P1243" i="1"/>
  <c r="P1242" i="5" s="1"/>
  <c r="G1245" i="1"/>
  <c r="I1245" i="1"/>
  <c r="L1245" i="1"/>
  <c r="N1245" i="1"/>
  <c r="O1245" i="1"/>
  <c r="T1245" i="1"/>
  <c r="Y1245" i="1"/>
  <c r="E1248" i="1"/>
  <c r="E1247" i="5" s="1"/>
  <c r="H1248" i="1"/>
  <c r="K1248" i="1"/>
  <c r="P1248" i="1"/>
  <c r="P1247" i="5" s="1"/>
  <c r="E1249" i="1"/>
  <c r="E1248" i="5" s="1"/>
  <c r="H1249" i="1"/>
  <c r="H1248" i="5" s="1"/>
  <c r="X1248" i="5" s="1"/>
  <c r="P1249" i="1"/>
  <c r="P1248" i="5" s="1"/>
  <c r="E1250" i="1"/>
  <c r="E1249" i="5" s="1"/>
  <c r="F1250" i="1"/>
  <c r="F1249" i="5" s="1"/>
  <c r="P1250" i="1"/>
  <c r="P1249" i="5" s="1"/>
  <c r="H1251" i="1"/>
  <c r="P1251" i="1"/>
  <c r="P1250" i="5" s="1"/>
  <c r="E1252" i="1"/>
  <c r="H1252" i="1"/>
  <c r="H1251" i="5" s="1"/>
  <c r="P1252" i="1"/>
  <c r="H1253" i="1"/>
  <c r="H1252" i="5" s="1"/>
  <c r="P1253" i="1"/>
  <c r="P1252" i="5" s="1"/>
  <c r="Q1253" i="1"/>
  <c r="Q1252" i="5" s="1"/>
  <c r="H1254" i="1"/>
  <c r="H1253" i="5" s="1"/>
  <c r="P1254" i="1"/>
  <c r="P1253" i="5" s="1"/>
  <c r="H1255" i="1"/>
  <c r="H1254" i="5" s="1"/>
  <c r="X1254" i="5" s="1"/>
  <c r="Z1254" i="5" s="1"/>
  <c r="P1255" i="1"/>
  <c r="P1254" i="5" s="1"/>
  <c r="H1256" i="1"/>
  <c r="H1255" i="5" s="1"/>
  <c r="J1256" i="1"/>
  <c r="J1255" i="5" s="1"/>
  <c r="P1256" i="1"/>
  <c r="E1257" i="1"/>
  <c r="E1256" i="5" s="1"/>
  <c r="H1257" i="1"/>
  <c r="P1257" i="1"/>
  <c r="P1256" i="5" s="1"/>
  <c r="F1258" i="1"/>
  <c r="F1257" i="5" s="1"/>
  <c r="P1258" i="1"/>
  <c r="P1257" i="5" s="1"/>
  <c r="H1259" i="1"/>
  <c r="M1259" i="1"/>
  <c r="M1258" i="5" s="1"/>
  <c r="P1259" i="1"/>
  <c r="P1258" i="5" s="1"/>
  <c r="H1260" i="1"/>
  <c r="M1260" i="1"/>
  <c r="M1259" i="5" s="1"/>
  <c r="P1260" i="1"/>
  <c r="E1261" i="1"/>
  <c r="E1260" i="5" s="1"/>
  <c r="F1261" i="1"/>
  <c r="P1261" i="1"/>
  <c r="P1260" i="5" s="1"/>
  <c r="Q1261" i="1"/>
  <c r="Q1260" i="5" s="1"/>
  <c r="H1262" i="1"/>
  <c r="H1261" i="5" s="1"/>
  <c r="P1262" i="1"/>
  <c r="P1261" i="5" s="1"/>
  <c r="H1263" i="1"/>
  <c r="H1262" i="5" s="1"/>
  <c r="X1262" i="5" s="1"/>
  <c r="Z1262" i="5" s="1"/>
  <c r="P1263" i="1"/>
  <c r="P1262" i="5" s="1"/>
  <c r="E1264" i="1"/>
  <c r="E1263" i="5" s="1"/>
  <c r="F1264" i="1"/>
  <c r="F1263" i="5" s="1"/>
  <c r="P1264" i="1"/>
  <c r="P1263" i="5" s="1"/>
  <c r="H1265" i="1"/>
  <c r="P1265" i="1"/>
  <c r="H1266" i="1"/>
  <c r="P1266" i="1"/>
  <c r="E1267" i="1"/>
  <c r="F1267" i="1"/>
  <c r="P1267" i="1"/>
  <c r="E1268" i="1"/>
  <c r="E1267" i="5" s="1"/>
  <c r="F1268" i="1"/>
  <c r="F1267" i="5" s="1"/>
  <c r="P1268" i="1"/>
  <c r="P1267" i="5" s="1"/>
  <c r="H1269" i="1"/>
  <c r="P1269" i="1"/>
  <c r="P1268" i="5" s="1"/>
  <c r="H1270" i="1"/>
  <c r="P1270" i="1"/>
  <c r="H1271" i="1"/>
  <c r="P1271" i="1"/>
  <c r="P1270" i="5" s="1"/>
  <c r="H1272" i="1"/>
  <c r="H1271" i="5" s="1"/>
  <c r="J1272" i="1"/>
  <c r="J1271" i="5" s="1"/>
  <c r="P1272" i="1"/>
  <c r="H1273" i="1"/>
  <c r="P1273" i="1"/>
  <c r="H1274" i="1"/>
  <c r="H1273" i="5" s="1"/>
  <c r="P1274" i="1"/>
  <c r="H1275" i="1"/>
  <c r="H1274" i="5" s="1"/>
  <c r="X1274" i="5" s="1"/>
  <c r="Z1274" i="5" s="1"/>
  <c r="H1276" i="1"/>
  <c r="P1276" i="1"/>
  <c r="P1275" i="5" s="1"/>
  <c r="U1276" i="1"/>
  <c r="U1275" i="5" s="1"/>
  <c r="E1277" i="1"/>
  <c r="G1277" i="1"/>
  <c r="G1276" i="5" s="1"/>
  <c r="G1281" i="5" s="1"/>
  <c r="P1277" i="1"/>
  <c r="U1277" i="1"/>
  <c r="H1278" i="1"/>
  <c r="P1278" i="1"/>
  <c r="E1279" i="1"/>
  <c r="E1278" i="5" s="1"/>
  <c r="F1279" i="1"/>
  <c r="F1278" i="5" s="1"/>
  <c r="U1279" i="1"/>
  <c r="E1280" i="1"/>
  <c r="E1279" i="5" s="1"/>
  <c r="F1280" i="1"/>
  <c r="P1280" i="1"/>
  <c r="P1279" i="5" s="1"/>
  <c r="I1282" i="1"/>
  <c r="L1282" i="1"/>
  <c r="N1282" i="1"/>
  <c r="O1282" i="1"/>
  <c r="T1282" i="1"/>
  <c r="Y1282" i="1"/>
  <c r="E1285" i="1"/>
  <c r="E1284" i="5" s="1"/>
  <c r="H1285" i="1"/>
  <c r="H1284" i="5" s="1"/>
  <c r="J1285" i="1"/>
  <c r="J1284" i="5" s="1"/>
  <c r="K1285" i="1"/>
  <c r="K1284" i="5" s="1"/>
  <c r="K1309" i="5" s="1"/>
  <c r="M1285" i="1"/>
  <c r="M1284" i="5" s="1"/>
  <c r="P1285" i="1"/>
  <c r="P1284" i="5" s="1"/>
  <c r="U1285" i="1"/>
  <c r="U1284" i="5" s="1"/>
  <c r="V1285" i="1"/>
  <c r="V1284" i="5" s="1"/>
  <c r="X1285" i="1"/>
  <c r="X1221" i="2" s="1"/>
  <c r="H1286" i="1"/>
  <c r="H1285" i="5" s="1"/>
  <c r="J1286" i="1"/>
  <c r="J1285" i="5" s="1"/>
  <c r="M1286" i="1"/>
  <c r="P1286" i="1"/>
  <c r="X1286" i="1"/>
  <c r="X1222" i="2" s="1"/>
  <c r="E1287" i="1"/>
  <c r="H1287" i="1"/>
  <c r="P1287" i="1"/>
  <c r="P1286" i="5" s="1"/>
  <c r="U1287" i="1"/>
  <c r="U1286" i="5" s="1"/>
  <c r="E1288" i="1"/>
  <c r="E1287" i="5" s="1"/>
  <c r="F1288" i="1"/>
  <c r="P1288" i="1"/>
  <c r="P1287" i="5" s="1"/>
  <c r="H1289" i="1"/>
  <c r="H1288" i="5" s="1"/>
  <c r="X1288" i="5" s="1"/>
  <c r="Z1288" i="5" s="1"/>
  <c r="J1289" i="1"/>
  <c r="J1288" i="5" s="1"/>
  <c r="P1289" i="1"/>
  <c r="P1288" i="5" s="1"/>
  <c r="H1290" i="1"/>
  <c r="H1289" i="5" s="1"/>
  <c r="X1289" i="5" s="1"/>
  <c r="Z1289" i="5" s="1"/>
  <c r="J1290" i="1"/>
  <c r="J1289" i="5" s="1"/>
  <c r="P1290" i="1"/>
  <c r="P1289" i="5" s="1"/>
  <c r="H1291" i="1"/>
  <c r="H1290" i="5" s="1"/>
  <c r="X1290" i="5" s="1"/>
  <c r="Z1290" i="5" s="1"/>
  <c r="J1291" i="1"/>
  <c r="J1290" i="5" s="1"/>
  <c r="P1291" i="1"/>
  <c r="P1290" i="5" s="1"/>
  <c r="H1292" i="1"/>
  <c r="H1291" i="5" s="1"/>
  <c r="X1291" i="5" s="1"/>
  <c r="Z1291" i="5" s="1"/>
  <c r="J1292" i="1"/>
  <c r="J1291" i="5" s="1"/>
  <c r="P1292" i="1"/>
  <c r="P1291" i="5" s="1"/>
  <c r="E1293" i="1"/>
  <c r="E1292" i="5" s="1"/>
  <c r="H1293" i="1"/>
  <c r="P1293" i="1"/>
  <c r="V1293" i="1" s="1"/>
  <c r="V1292" i="5" s="1"/>
  <c r="U1293" i="1"/>
  <c r="U1292" i="5" s="1"/>
  <c r="E1294" i="1"/>
  <c r="F1294" i="1"/>
  <c r="P1294" i="1"/>
  <c r="P1293" i="5" s="1"/>
  <c r="H1295" i="1"/>
  <c r="H1294" i="5" s="1"/>
  <c r="P1295" i="1"/>
  <c r="H1296" i="1"/>
  <c r="H1295" i="5" s="1"/>
  <c r="P1296" i="1"/>
  <c r="E1297" i="1"/>
  <c r="E1296" i="5" s="1"/>
  <c r="F1297" i="1"/>
  <c r="P1297" i="1"/>
  <c r="P1296" i="5" s="1"/>
  <c r="H1298" i="1"/>
  <c r="H1297" i="5" s="1"/>
  <c r="X1297" i="5" s="1"/>
  <c r="Z1297" i="5" s="1"/>
  <c r="P1298" i="1"/>
  <c r="P1297" i="5" s="1"/>
  <c r="Q1298" i="1"/>
  <c r="Q1297" i="5" s="1"/>
  <c r="U1298" i="1"/>
  <c r="U1297" i="5" s="1"/>
  <c r="E1299" i="1"/>
  <c r="E1298" i="5" s="1"/>
  <c r="H1299" i="1"/>
  <c r="H1298" i="5" s="1"/>
  <c r="I1299" i="1"/>
  <c r="I1298" i="5" s="1"/>
  <c r="I1309" i="5" s="1"/>
  <c r="I1543" i="5" s="1"/>
  <c r="I2929" i="5" s="1"/>
  <c r="P1299" i="1"/>
  <c r="P1298" i="5" s="1"/>
  <c r="H1300" i="1"/>
  <c r="H1299" i="5" s="1"/>
  <c r="X1299" i="5" s="1"/>
  <c r="Z1299" i="5" s="1"/>
  <c r="P1300" i="1"/>
  <c r="P1299" i="5" s="1"/>
  <c r="Q1300" i="1"/>
  <c r="Q1299" i="5" s="1"/>
  <c r="X1300" i="1"/>
  <c r="H1301" i="1"/>
  <c r="H1300" i="5" s="1"/>
  <c r="X1300" i="5" s="1"/>
  <c r="Z1300" i="5" s="1"/>
  <c r="P1301" i="1"/>
  <c r="P1300" i="5" s="1"/>
  <c r="E1302" i="1"/>
  <c r="E1301" i="5" s="1"/>
  <c r="F1302" i="1"/>
  <c r="P1302" i="1"/>
  <c r="P1301" i="5" s="1"/>
  <c r="E1303" i="1"/>
  <c r="E1302" i="5" s="1"/>
  <c r="F1303" i="1"/>
  <c r="F1302" i="5" s="1"/>
  <c r="P1303" i="1"/>
  <c r="P1302" i="5" s="1"/>
  <c r="H1304" i="1"/>
  <c r="M1304" i="1"/>
  <c r="P1304" i="1"/>
  <c r="F1305" i="1"/>
  <c r="P1305" i="1"/>
  <c r="E1306" i="1"/>
  <c r="E1305" i="5" s="1"/>
  <c r="H1306" i="1"/>
  <c r="P1306" i="1"/>
  <c r="P1305" i="5" s="1"/>
  <c r="H1307" i="1"/>
  <c r="H1306" i="5" s="1"/>
  <c r="P1307" i="1"/>
  <c r="P1306" i="5" s="1"/>
  <c r="Q1307" i="1"/>
  <c r="Q1306" i="5" s="1"/>
  <c r="E1308" i="1"/>
  <c r="E1307" i="5" s="1"/>
  <c r="F1308" i="1"/>
  <c r="F1307" i="5" s="1"/>
  <c r="H1308" i="1"/>
  <c r="H1307" i="5" s="1"/>
  <c r="X1307" i="5" s="1"/>
  <c r="P1308" i="1"/>
  <c r="P1307" i="5" s="1"/>
  <c r="G1310" i="1"/>
  <c r="L1310" i="1"/>
  <c r="N1310" i="1"/>
  <c r="O1310" i="1"/>
  <c r="T1310" i="1"/>
  <c r="Y1310" i="1"/>
  <c r="E1313" i="1"/>
  <c r="E1312" i="5" s="1"/>
  <c r="H1313" i="1"/>
  <c r="H1312" i="5" s="1"/>
  <c r="K1313" i="1"/>
  <c r="K1312" i="5" s="1"/>
  <c r="K1339" i="5" s="1"/>
  <c r="P1313" i="1"/>
  <c r="P1312" i="5" s="1"/>
  <c r="H1314" i="1"/>
  <c r="P1314" i="1"/>
  <c r="X1314" i="1" s="1"/>
  <c r="X1250" i="2" s="1"/>
  <c r="V1314" i="1"/>
  <c r="V1313" i="5" s="1"/>
  <c r="E1315" i="1"/>
  <c r="E1314" i="5" s="1"/>
  <c r="H1315" i="1"/>
  <c r="H1314" i="5" s="1"/>
  <c r="P1315" i="1"/>
  <c r="E1316" i="1"/>
  <c r="E1315" i="5" s="1"/>
  <c r="H1316" i="1"/>
  <c r="H1315" i="5" s="1"/>
  <c r="P1316" i="1"/>
  <c r="P1315" i="5" s="1"/>
  <c r="H1317" i="1"/>
  <c r="H1316" i="5" s="1"/>
  <c r="X1316" i="5" s="1"/>
  <c r="Z1316" i="5" s="1"/>
  <c r="P1317" i="1"/>
  <c r="P1316" i="5" s="1"/>
  <c r="H1318" i="1"/>
  <c r="H1317" i="5" s="1"/>
  <c r="P1318" i="1"/>
  <c r="X1318" i="1"/>
  <c r="H1319" i="1"/>
  <c r="H1318" i="5" s="1"/>
  <c r="X1318" i="5" s="1"/>
  <c r="Z1318" i="5" s="1"/>
  <c r="P1319" i="1"/>
  <c r="P1318" i="5" s="1"/>
  <c r="E1320" i="1"/>
  <c r="E1319" i="5" s="1"/>
  <c r="F1320" i="1"/>
  <c r="P1320" i="1"/>
  <c r="P1319" i="5" s="1"/>
  <c r="E1321" i="1"/>
  <c r="F1321" i="1"/>
  <c r="F1320" i="5" s="1"/>
  <c r="P1321" i="1"/>
  <c r="P1320" i="5" s="1"/>
  <c r="H1322" i="1"/>
  <c r="P1322" i="1"/>
  <c r="P1321" i="5" s="1"/>
  <c r="E1323" i="1"/>
  <c r="E1322" i="5" s="1"/>
  <c r="H1323" i="1"/>
  <c r="H1322" i="5" s="1"/>
  <c r="X1322" i="5" s="1"/>
  <c r="P1323" i="1"/>
  <c r="P1322" i="5" s="1"/>
  <c r="H1324" i="1"/>
  <c r="H1323" i="5" s="1"/>
  <c r="P1324" i="1"/>
  <c r="P1323" i="5" s="1"/>
  <c r="E1325" i="1"/>
  <c r="E1324" i="5" s="1"/>
  <c r="H1325" i="1"/>
  <c r="P1325" i="1"/>
  <c r="E1326" i="1"/>
  <c r="E1325" i="5" s="1"/>
  <c r="H1326" i="1"/>
  <c r="H1325" i="5" s="1"/>
  <c r="X1325" i="5" s="1"/>
  <c r="P1326" i="1"/>
  <c r="P1325" i="5" s="1"/>
  <c r="H1327" i="1"/>
  <c r="H1326" i="5" s="1"/>
  <c r="P1327" i="1"/>
  <c r="E1328" i="1"/>
  <c r="E1327" i="5" s="1"/>
  <c r="H1328" i="1"/>
  <c r="H1327" i="5" s="1"/>
  <c r="P1328" i="1"/>
  <c r="H1329" i="1"/>
  <c r="P1329" i="1"/>
  <c r="P1328" i="5" s="1"/>
  <c r="E1330" i="1"/>
  <c r="H1330" i="1"/>
  <c r="P1330" i="1"/>
  <c r="P1329" i="5" s="1"/>
  <c r="H1331" i="1"/>
  <c r="P1331" i="1"/>
  <c r="P1330" i="5" s="1"/>
  <c r="H1332" i="1"/>
  <c r="H1331" i="5" s="1"/>
  <c r="P1332" i="1"/>
  <c r="H1333" i="1"/>
  <c r="P1333" i="1"/>
  <c r="P1332" i="5" s="1"/>
  <c r="H1334" i="1"/>
  <c r="H1333" i="5" s="1"/>
  <c r="X1333" i="5" s="1"/>
  <c r="Z1333" i="5" s="1"/>
  <c r="P1334" i="1"/>
  <c r="P1333" i="5" s="1"/>
  <c r="H1335" i="1"/>
  <c r="H1334" i="5" s="1"/>
  <c r="P1335" i="1"/>
  <c r="H1336" i="1"/>
  <c r="P1336" i="1"/>
  <c r="P1335" i="5" s="1"/>
  <c r="H1337" i="1"/>
  <c r="P1337" i="1"/>
  <c r="E1338" i="1"/>
  <c r="H1338" i="1"/>
  <c r="H1337" i="5" s="1"/>
  <c r="X1337" i="5" s="1"/>
  <c r="J1338" i="1"/>
  <c r="J1337" i="5" s="1"/>
  <c r="P1338" i="1"/>
  <c r="P1337" i="5" s="1"/>
  <c r="U1338" i="1"/>
  <c r="U1337" i="5" s="1"/>
  <c r="V1338" i="1"/>
  <c r="V1337" i="5" s="1"/>
  <c r="G1340" i="1"/>
  <c r="I1340" i="1"/>
  <c r="L1340" i="1"/>
  <c r="N1340" i="1"/>
  <c r="O1340" i="1"/>
  <c r="T1340" i="1"/>
  <c r="Y1340" i="1"/>
  <c r="E1343" i="1"/>
  <c r="E1342" i="5" s="1"/>
  <c r="H1343" i="1"/>
  <c r="P1343" i="1"/>
  <c r="P1342" i="5" s="1"/>
  <c r="E1344" i="1"/>
  <c r="H1344" i="1"/>
  <c r="K1344" i="1"/>
  <c r="K1343" i="5" s="1"/>
  <c r="P1344" i="1"/>
  <c r="U1344" i="1"/>
  <c r="U1343" i="5" s="1"/>
  <c r="E1345" i="1"/>
  <c r="E1344" i="5" s="1"/>
  <c r="H1345" i="1"/>
  <c r="H1344" i="5" s="1"/>
  <c r="K1345" i="1"/>
  <c r="K1344" i="5" s="1"/>
  <c r="P1345" i="1"/>
  <c r="E1346" i="1"/>
  <c r="E1345" i="5" s="1"/>
  <c r="H1346" i="1"/>
  <c r="H1345" i="5" s="1"/>
  <c r="P1346" i="1"/>
  <c r="H1347" i="1"/>
  <c r="M1347" i="1"/>
  <c r="M1346" i="5" s="1"/>
  <c r="P1347" i="1"/>
  <c r="X1347" i="1"/>
  <c r="X1281" i="2" s="1"/>
  <c r="H1348" i="1"/>
  <c r="P1348" i="1"/>
  <c r="U1348" i="1"/>
  <c r="U1347" i="5" s="1"/>
  <c r="E1349" i="1"/>
  <c r="E1348" i="5" s="1"/>
  <c r="H1349" i="1"/>
  <c r="P1349" i="1"/>
  <c r="P1348" i="5" s="1"/>
  <c r="E1350" i="1"/>
  <c r="E1349" i="5" s="1"/>
  <c r="H1350" i="1"/>
  <c r="P1350" i="1"/>
  <c r="P1349" i="5" s="1"/>
  <c r="H1351" i="1"/>
  <c r="P1351" i="1"/>
  <c r="H1352" i="1"/>
  <c r="H1351" i="5" s="1"/>
  <c r="P1352" i="1"/>
  <c r="P1351" i="5" s="1"/>
  <c r="H1353" i="1"/>
  <c r="H1352" i="5" s="1"/>
  <c r="X1352" i="5" s="1"/>
  <c r="Z1352" i="5" s="1"/>
  <c r="P1353" i="1"/>
  <c r="P1352" i="5" s="1"/>
  <c r="Q1353" i="1"/>
  <c r="Q1352" i="5" s="1"/>
  <c r="X1353" i="1"/>
  <c r="E1354" i="1"/>
  <c r="E1353" i="5" s="1"/>
  <c r="H1354" i="1"/>
  <c r="H1353" i="5" s="1"/>
  <c r="J1354" i="1"/>
  <c r="J1353" i="5" s="1"/>
  <c r="M1354" i="1"/>
  <c r="M1353" i="5" s="1"/>
  <c r="P1354" i="1"/>
  <c r="P1353" i="5" s="1"/>
  <c r="H1355" i="1"/>
  <c r="H1354" i="5" s="1"/>
  <c r="J1355" i="1"/>
  <c r="J1354" i="5" s="1"/>
  <c r="M1355" i="1"/>
  <c r="M1354" i="5" s="1"/>
  <c r="P1355" i="1"/>
  <c r="H1356" i="1"/>
  <c r="H1355" i="5" s="1"/>
  <c r="P1356" i="1"/>
  <c r="P1355" i="5" s="1"/>
  <c r="E1357" i="1"/>
  <c r="E1356" i="5" s="1"/>
  <c r="H1357" i="1"/>
  <c r="P1357" i="1"/>
  <c r="P1356" i="5" s="1"/>
  <c r="X1357" i="1"/>
  <c r="X1291" i="2" s="1"/>
  <c r="E1358" i="1"/>
  <c r="E1357" i="5" s="1"/>
  <c r="F1358" i="1"/>
  <c r="F1357" i="5" s="1"/>
  <c r="P1358" i="1"/>
  <c r="H1359" i="1"/>
  <c r="H1358" i="5" s="1"/>
  <c r="P1359" i="1"/>
  <c r="P1358" i="5" s="1"/>
  <c r="E1360" i="1"/>
  <c r="E1359" i="5" s="1"/>
  <c r="F1360" i="1"/>
  <c r="P1360" i="1"/>
  <c r="E1361" i="1"/>
  <c r="E1360" i="5" s="1"/>
  <c r="F1361" i="1"/>
  <c r="P1361" i="1"/>
  <c r="P1360" i="5" s="1"/>
  <c r="H1362" i="1"/>
  <c r="H1361" i="5" s="1"/>
  <c r="P1362" i="1"/>
  <c r="H1363" i="1"/>
  <c r="M1363" i="1" s="1"/>
  <c r="M1362" i="5" s="1"/>
  <c r="J1363" i="1"/>
  <c r="P1363" i="1"/>
  <c r="V1363" i="1"/>
  <c r="X1363" i="1"/>
  <c r="Z1363" i="1" s="1"/>
  <c r="H1364" i="1"/>
  <c r="H1363" i="5" s="1"/>
  <c r="X1363" i="5" s="1"/>
  <c r="Z1363" i="5" s="1"/>
  <c r="P1364" i="1"/>
  <c r="P1363" i="5" s="1"/>
  <c r="U1364" i="1"/>
  <c r="U1363" i="5" s="1"/>
  <c r="H1365" i="1"/>
  <c r="P1365" i="1"/>
  <c r="P1364" i="5" s="1"/>
  <c r="H1366" i="1"/>
  <c r="H1365" i="5" s="1"/>
  <c r="P1366" i="1"/>
  <c r="P1365" i="5" s="1"/>
  <c r="E1367" i="1"/>
  <c r="E1366" i="5" s="1"/>
  <c r="F1367" i="1"/>
  <c r="F1366" i="5" s="1"/>
  <c r="P1367" i="1"/>
  <c r="H1368" i="1"/>
  <c r="H1367" i="5" s="1"/>
  <c r="P1368" i="1"/>
  <c r="P1367" i="5" s="1"/>
  <c r="H1369" i="1"/>
  <c r="P1369" i="1"/>
  <c r="H1370" i="1"/>
  <c r="H1369" i="5" s="1"/>
  <c r="P1370" i="1"/>
  <c r="P1369" i="5" s="1"/>
  <c r="H1371" i="1"/>
  <c r="H1370" i="5" s="1"/>
  <c r="X1370" i="5" s="1"/>
  <c r="Z1370" i="5" s="1"/>
  <c r="P1371" i="1"/>
  <c r="P1370" i="5" s="1"/>
  <c r="Q1371" i="1"/>
  <c r="Q1370" i="5" s="1"/>
  <c r="X1371" i="1"/>
  <c r="H1372" i="1"/>
  <c r="P1372" i="1"/>
  <c r="P1371" i="5" s="1"/>
  <c r="H1373" i="1"/>
  <c r="P1373" i="1"/>
  <c r="E1374" i="1"/>
  <c r="E1373" i="5" s="1"/>
  <c r="H1374" i="1"/>
  <c r="P1374" i="1"/>
  <c r="G1376" i="1"/>
  <c r="I1376" i="1"/>
  <c r="L1376" i="1"/>
  <c r="N1376" i="1"/>
  <c r="O1376" i="1"/>
  <c r="T1376" i="1"/>
  <c r="Y1376" i="1"/>
  <c r="E1379" i="1"/>
  <c r="E1378" i="5" s="1"/>
  <c r="H1379" i="1"/>
  <c r="H1378" i="5" s="1"/>
  <c r="X1378" i="5" s="1"/>
  <c r="P1379" i="1"/>
  <c r="P1378" i="5" s="1"/>
  <c r="E1380" i="1"/>
  <c r="E1379" i="5" s="1"/>
  <c r="F1380" i="1"/>
  <c r="K1380" i="1"/>
  <c r="K1379" i="5" s="1"/>
  <c r="P1380" i="1"/>
  <c r="P1379" i="5" s="1"/>
  <c r="E1381" i="1"/>
  <c r="E1380" i="5" s="1"/>
  <c r="H1381" i="1"/>
  <c r="H1380" i="5" s="1"/>
  <c r="X1380" i="5" s="1"/>
  <c r="K1381" i="1"/>
  <c r="K1380" i="5" s="1"/>
  <c r="P1381" i="1"/>
  <c r="P1380" i="5" s="1"/>
  <c r="E1382" i="1"/>
  <c r="E1381" i="5" s="1"/>
  <c r="H1382" i="1"/>
  <c r="P1382" i="1"/>
  <c r="P1381" i="5" s="1"/>
  <c r="H1383" i="1"/>
  <c r="M1383" i="1"/>
  <c r="P1383" i="1"/>
  <c r="H1384" i="1"/>
  <c r="H1383" i="5" s="1"/>
  <c r="P1384" i="1"/>
  <c r="H1385" i="1"/>
  <c r="H1384" i="5" s="1"/>
  <c r="P1385" i="1"/>
  <c r="H1386" i="1"/>
  <c r="H1385" i="5" s="1"/>
  <c r="P1386" i="1"/>
  <c r="P1385" i="5" s="1"/>
  <c r="H1387" i="1"/>
  <c r="P1387" i="1"/>
  <c r="P1386" i="5" s="1"/>
  <c r="H1388" i="1"/>
  <c r="H1387" i="5" s="1"/>
  <c r="P1388" i="1"/>
  <c r="E1389" i="1"/>
  <c r="E1388" i="5" s="1"/>
  <c r="H1389" i="1"/>
  <c r="H1388" i="5" s="1"/>
  <c r="X1388" i="5" s="1"/>
  <c r="P1389" i="1"/>
  <c r="P1388" i="5" s="1"/>
  <c r="E1390" i="1"/>
  <c r="E1389" i="5" s="1"/>
  <c r="F1390" i="1"/>
  <c r="F1389" i="5" s="1"/>
  <c r="P1390" i="1"/>
  <c r="P1389" i="5" s="1"/>
  <c r="E1391" i="1"/>
  <c r="E1390" i="5" s="1"/>
  <c r="H1391" i="1"/>
  <c r="H1390" i="5" s="1"/>
  <c r="P1391" i="1"/>
  <c r="P1390" i="5" s="1"/>
  <c r="E1392" i="1"/>
  <c r="F1392" i="1"/>
  <c r="F1391" i="5" s="1"/>
  <c r="P1392" i="1"/>
  <c r="P1391" i="5" s="1"/>
  <c r="E1393" i="1"/>
  <c r="E1392" i="5" s="1"/>
  <c r="F1393" i="1"/>
  <c r="P1393" i="1"/>
  <c r="P1392" i="5" s="1"/>
  <c r="U1393" i="1"/>
  <c r="U1392" i="5" s="1"/>
  <c r="H1394" i="1"/>
  <c r="P1394" i="1"/>
  <c r="H1395" i="1"/>
  <c r="H1394" i="5" s="1"/>
  <c r="X1394" i="5" s="1"/>
  <c r="Z1394" i="5" s="1"/>
  <c r="P1395" i="1"/>
  <c r="P1394" i="5" s="1"/>
  <c r="Q1395" i="1"/>
  <c r="Q1394" i="5" s="1"/>
  <c r="U1395" i="1"/>
  <c r="U1394" i="5" s="1"/>
  <c r="H1396" i="1"/>
  <c r="U1396" i="1"/>
  <c r="U1395" i="5" s="1"/>
  <c r="V1396" i="1"/>
  <c r="X1396" i="1"/>
  <c r="H1397" i="1"/>
  <c r="P1397" i="1"/>
  <c r="H1398" i="1"/>
  <c r="H1397" i="5" s="1"/>
  <c r="P1398" i="1"/>
  <c r="H1399" i="1"/>
  <c r="P1399" i="1"/>
  <c r="P1398" i="5" s="1"/>
  <c r="E1400" i="1"/>
  <c r="E1399" i="5" s="1"/>
  <c r="H1400" i="1"/>
  <c r="P1400" i="1"/>
  <c r="E1401" i="1"/>
  <c r="F1401" i="1"/>
  <c r="I1401" i="1"/>
  <c r="I1400" i="5" s="1"/>
  <c r="I1402" i="5" s="1"/>
  <c r="P1401" i="1"/>
  <c r="P1400" i="5" s="1"/>
  <c r="G1403" i="1"/>
  <c r="L1403" i="1"/>
  <c r="N1403" i="1"/>
  <c r="O1403" i="1"/>
  <c r="T1403" i="1"/>
  <c r="Y1403" i="1"/>
  <c r="E1406" i="1"/>
  <c r="E1405" i="5" s="1"/>
  <c r="H1406" i="1"/>
  <c r="H1405" i="5" s="1"/>
  <c r="P1406" i="1"/>
  <c r="P1405" i="5" s="1"/>
  <c r="E1407" i="1"/>
  <c r="E1406" i="5" s="1"/>
  <c r="H1407" i="1"/>
  <c r="H1406" i="5" s="1"/>
  <c r="P1407" i="1"/>
  <c r="P1406" i="5" s="1"/>
  <c r="E1408" i="1"/>
  <c r="E1407" i="5" s="1"/>
  <c r="H1408" i="1"/>
  <c r="K1408" i="1"/>
  <c r="K1407" i="5" s="1"/>
  <c r="K1433" i="5" s="1"/>
  <c r="M1408" i="1"/>
  <c r="M1407" i="5" s="1"/>
  <c r="P1408" i="1"/>
  <c r="E1409" i="1"/>
  <c r="E1408" i="5" s="1"/>
  <c r="H1409" i="1"/>
  <c r="H1408" i="5" s="1"/>
  <c r="P1409" i="1"/>
  <c r="H1410" i="1"/>
  <c r="P1410" i="1"/>
  <c r="P1409" i="5" s="1"/>
  <c r="H1411" i="1"/>
  <c r="P1411" i="1"/>
  <c r="P1410" i="5" s="1"/>
  <c r="X1411" i="1"/>
  <c r="H1412" i="1"/>
  <c r="H1411" i="5" s="1"/>
  <c r="P1412" i="1"/>
  <c r="F1413" i="1"/>
  <c r="F1412" i="5" s="1"/>
  <c r="P1413" i="1"/>
  <c r="P1412" i="5" s="1"/>
  <c r="H1414" i="1"/>
  <c r="H1413" i="5" s="1"/>
  <c r="P1414" i="1"/>
  <c r="E1415" i="1"/>
  <c r="E1414" i="5" s="1"/>
  <c r="F1415" i="1"/>
  <c r="P1415" i="1"/>
  <c r="P1414" i="5" s="1"/>
  <c r="E1416" i="1"/>
  <c r="H1416" i="1"/>
  <c r="H1415" i="5" s="1"/>
  <c r="X1415" i="5" s="1"/>
  <c r="P1416" i="1"/>
  <c r="P1415" i="5" s="1"/>
  <c r="H1417" i="1"/>
  <c r="P1417" i="1"/>
  <c r="P1416" i="5" s="1"/>
  <c r="E1418" i="1"/>
  <c r="E1417" i="5" s="1"/>
  <c r="F1418" i="1"/>
  <c r="F1417" i="5" s="1"/>
  <c r="P1418" i="1"/>
  <c r="P1417" i="5" s="1"/>
  <c r="H1419" i="1"/>
  <c r="P1419" i="1"/>
  <c r="H1420" i="1"/>
  <c r="H1419" i="5" s="1"/>
  <c r="X1419" i="5" s="1"/>
  <c r="Z1419" i="5" s="1"/>
  <c r="P1420" i="1"/>
  <c r="P1419" i="5" s="1"/>
  <c r="H1421" i="1"/>
  <c r="P1421" i="1"/>
  <c r="E1422" i="1"/>
  <c r="E1421" i="5" s="1"/>
  <c r="F1422" i="1"/>
  <c r="F1421" i="5" s="1"/>
  <c r="P1422" i="1"/>
  <c r="H1423" i="1"/>
  <c r="H1422" i="5" s="1"/>
  <c r="X1422" i="5" s="1"/>
  <c r="Z1422" i="5" s="1"/>
  <c r="P1423" i="1"/>
  <c r="P1422" i="5" s="1"/>
  <c r="U1423" i="1"/>
  <c r="U1422" i="5" s="1"/>
  <c r="E1424" i="1"/>
  <c r="E1423" i="5" s="1"/>
  <c r="F1424" i="1"/>
  <c r="F1423" i="5" s="1"/>
  <c r="P1424" i="1"/>
  <c r="P1423" i="5" s="1"/>
  <c r="H1425" i="1"/>
  <c r="P1425" i="1"/>
  <c r="E1426" i="1"/>
  <c r="F1426" i="1"/>
  <c r="F1425" i="5" s="1"/>
  <c r="H1426" i="1"/>
  <c r="H1425" i="5" s="1"/>
  <c r="P1426" i="1"/>
  <c r="H1427" i="1"/>
  <c r="H1426" i="5" s="1"/>
  <c r="P1427" i="1"/>
  <c r="P1426" i="5" s="1"/>
  <c r="E1428" i="1"/>
  <c r="E1427" i="5" s="1"/>
  <c r="F1428" i="1"/>
  <c r="F1427" i="5" s="1"/>
  <c r="P1428" i="1"/>
  <c r="E1429" i="1"/>
  <c r="E1428" i="5" s="1"/>
  <c r="F1429" i="1"/>
  <c r="F1428" i="5" s="1"/>
  <c r="P1429" i="1"/>
  <c r="P1428" i="5" s="1"/>
  <c r="H1430" i="1"/>
  <c r="M1430" i="1"/>
  <c r="P1430" i="1"/>
  <c r="E1431" i="1"/>
  <c r="E1430" i="5" s="1"/>
  <c r="H1431" i="1"/>
  <c r="P1431" i="1"/>
  <c r="P1430" i="5" s="1"/>
  <c r="U1431" i="1"/>
  <c r="U1430" i="5" s="1"/>
  <c r="E1432" i="1"/>
  <c r="E1431" i="5" s="1"/>
  <c r="F1432" i="1"/>
  <c r="F1431" i="5" s="1"/>
  <c r="P1432" i="1"/>
  <c r="P1431" i="5" s="1"/>
  <c r="G1434" i="1"/>
  <c r="I1434" i="1"/>
  <c r="K1434" i="1"/>
  <c r="L1434" i="1"/>
  <c r="N1434" i="1"/>
  <c r="O1434" i="1"/>
  <c r="T1434" i="1"/>
  <c r="Y1434" i="1"/>
  <c r="E1437" i="1"/>
  <c r="E1436" i="5" s="1"/>
  <c r="H1437" i="1"/>
  <c r="H1436" i="5" s="1"/>
  <c r="X1436" i="5" s="1"/>
  <c r="P1437" i="1"/>
  <c r="P1436" i="5" s="1"/>
  <c r="H1438" i="1"/>
  <c r="H1437" i="5" s="1"/>
  <c r="P1438" i="1"/>
  <c r="X1438" i="1"/>
  <c r="E1439" i="1"/>
  <c r="E1438" i="5" s="1"/>
  <c r="H1439" i="1"/>
  <c r="M1439" i="1"/>
  <c r="M1438" i="5" s="1"/>
  <c r="P1439" i="1"/>
  <c r="P1438" i="5" s="1"/>
  <c r="H1440" i="1"/>
  <c r="P1440" i="1"/>
  <c r="P1439" i="5" s="1"/>
  <c r="E1441" i="1"/>
  <c r="H1441" i="1"/>
  <c r="H1440" i="5" s="1"/>
  <c r="M1441" i="1"/>
  <c r="M1440" i="5" s="1"/>
  <c r="P1441" i="1"/>
  <c r="E1442" i="1"/>
  <c r="H1442" i="1"/>
  <c r="H1441" i="5" s="1"/>
  <c r="X1441" i="5" s="1"/>
  <c r="P1442" i="1"/>
  <c r="P1441" i="5" s="1"/>
  <c r="U1442" i="1"/>
  <c r="U1441" i="5" s="1"/>
  <c r="H1443" i="1"/>
  <c r="H1442" i="5" s="1"/>
  <c r="P1443" i="1"/>
  <c r="E1444" i="1"/>
  <c r="E1443" i="5" s="1"/>
  <c r="H1444" i="1"/>
  <c r="P1444" i="1"/>
  <c r="P1443" i="5" s="1"/>
  <c r="E1445" i="1"/>
  <c r="E1444" i="5" s="1"/>
  <c r="H1445" i="1"/>
  <c r="P1445" i="1"/>
  <c r="H1446" i="1"/>
  <c r="H1445" i="5" s="1"/>
  <c r="P1446" i="1"/>
  <c r="P1445" i="5" s="1"/>
  <c r="H1447" i="1"/>
  <c r="H1446" i="5" s="1"/>
  <c r="X1446" i="5" s="1"/>
  <c r="Z1446" i="5" s="1"/>
  <c r="P1447" i="1"/>
  <c r="P1446" i="5" s="1"/>
  <c r="E1448" i="1"/>
  <c r="E1447" i="5" s="1"/>
  <c r="H1448" i="1"/>
  <c r="P1448" i="1"/>
  <c r="P1447" i="5" s="1"/>
  <c r="F1449" i="1"/>
  <c r="F1448" i="5" s="1"/>
  <c r="H1449" i="1"/>
  <c r="H1448" i="5" s="1"/>
  <c r="X1448" i="5" s="1"/>
  <c r="Z1448" i="5" s="1"/>
  <c r="P1449" i="1"/>
  <c r="P1448" i="5" s="1"/>
  <c r="E1450" i="1"/>
  <c r="E1449" i="5" s="1"/>
  <c r="F1450" i="1"/>
  <c r="F1449" i="5" s="1"/>
  <c r="P1450" i="1"/>
  <c r="P1449" i="5" s="1"/>
  <c r="F1451" i="1"/>
  <c r="P1451" i="1"/>
  <c r="H1452" i="1"/>
  <c r="H1451" i="5" s="1"/>
  <c r="X1451" i="5" s="1"/>
  <c r="Z1451" i="5" s="1"/>
  <c r="P1452" i="1"/>
  <c r="P1451" i="5" s="1"/>
  <c r="U1452" i="1"/>
  <c r="U1451" i="5" s="1"/>
  <c r="H1453" i="1"/>
  <c r="P1453" i="1"/>
  <c r="X1453" i="1"/>
  <c r="X1381" i="2" s="1"/>
  <c r="E1454" i="1"/>
  <c r="E1453" i="5" s="1"/>
  <c r="F1454" i="1"/>
  <c r="P1454" i="1"/>
  <c r="P1453" i="5" s="1"/>
  <c r="H1455" i="1"/>
  <c r="H1454" i="5" s="1"/>
  <c r="P1455" i="1"/>
  <c r="H1456" i="1"/>
  <c r="H1455" i="5" s="1"/>
  <c r="P1456" i="1"/>
  <c r="P1455" i="5" s="1"/>
  <c r="E1457" i="1"/>
  <c r="E1456" i="5" s="1"/>
  <c r="F1457" i="1"/>
  <c r="P1457" i="1"/>
  <c r="P1456" i="5" s="1"/>
  <c r="E1458" i="1"/>
  <c r="F1458" i="1"/>
  <c r="F1457" i="5" s="1"/>
  <c r="P1458" i="1"/>
  <c r="P1457" i="5" s="1"/>
  <c r="H1459" i="1"/>
  <c r="H1458" i="5" s="1"/>
  <c r="P1459" i="1"/>
  <c r="P1458" i="5" s="1"/>
  <c r="H1460" i="1"/>
  <c r="P1460" i="1"/>
  <c r="H1461" i="1"/>
  <c r="P1461" i="1"/>
  <c r="E1462" i="1"/>
  <c r="E1461" i="5" s="1"/>
  <c r="F1462" i="1"/>
  <c r="P1462" i="1"/>
  <c r="E1463" i="1"/>
  <c r="E1462" i="5" s="1"/>
  <c r="Z1462" i="5" s="1"/>
  <c r="H1463" i="1"/>
  <c r="H1462" i="5" s="1"/>
  <c r="X1462" i="5" s="1"/>
  <c r="P1463" i="1"/>
  <c r="P1462" i="5" s="1"/>
  <c r="U1463" i="1"/>
  <c r="U1462" i="5" s="1"/>
  <c r="E1464" i="1"/>
  <c r="E1463" i="5" s="1"/>
  <c r="Z1463" i="5" s="1"/>
  <c r="H1464" i="1"/>
  <c r="H1463" i="5" s="1"/>
  <c r="X1463" i="5" s="1"/>
  <c r="P1464" i="1"/>
  <c r="P1463" i="5" s="1"/>
  <c r="H1465" i="1"/>
  <c r="H1464" i="5" s="1"/>
  <c r="P1465" i="1"/>
  <c r="E1466" i="1"/>
  <c r="E1465" i="5" s="1"/>
  <c r="F1466" i="1"/>
  <c r="P1466" i="1"/>
  <c r="P1465" i="5" s="1"/>
  <c r="E1467" i="1"/>
  <c r="F1467" i="1"/>
  <c r="P1467" i="1"/>
  <c r="H1468" i="1"/>
  <c r="M1468" i="1"/>
  <c r="P1468" i="1"/>
  <c r="H1469" i="1"/>
  <c r="M1469" i="1"/>
  <c r="P1469" i="1"/>
  <c r="P1468" i="5" s="1"/>
  <c r="E1470" i="1"/>
  <c r="H1470" i="1"/>
  <c r="H1469" i="5" s="1"/>
  <c r="J1470" i="1"/>
  <c r="J1469" i="5" s="1"/>
  <c r="M1470" i="1"/>
  <c r="M1469" i="5" s="1"/>
  <c r="P1470" i="1"/>
  <c r="P1469" i="5" s="1"/>
  <c r="V1470" i="1"/>
  <c r="V1469" i="5" s="1"/>
  <c r="X1470" i="1"/>
  <c r="X1393" i="2" s="1"/>
  <c r="G1472" i="1"/>
  <c r="I1472" i="1"/>
  <c r="K1472" i="1"/>
  <c r="L1472" i="1"/>
  <c r="N1472" i="1"/>
  <c r="O1472" i="1"/>
  <c r="T1472" i="1"/>
  <c r="Y1472" i="1"/>
  <c r="E1475" i="1"/>
  <c r="E1474" i="5" s="1"/>
  <c r="H1475" i="1"/>
  <c r="M1475" i="1" s="1"/>
  <c r="M1474" i="5" s="1"/>
  <c r="K1475" i="1"/>
  <c r="K1474" i="5" s="1"/>
  <c r="K1497" i="5" s="1"/>
  <c r="P1475" i="1"/>
  <c r="V1475" i="1"/>
  <c r="V1474" i="5" s="1"/>
  <c r="X1475" i="1"/>
  <c r="X1398" i="2" s="1"/>
  <c r="H1476" i="1"/>
  <c r="K1476" i="1"/>
  <c r="K1475" i="5" s="1"/>
  <c r="P1476" i="1"/>
  <c r="X1476" i="1"/>
  <c r="Z1476" i="1" s="1"/>
  <c r="Z1399" i="2" s="1"/>
  <c r="E1477" i="1"/>
  <c r="E1476" i="5" s="1"/>
  <c r="H1477" i="1"/>
  <c r="H1476" i="5" s="1"/>
  <c r="P1477" i="1"/>
  <c r="P1476" i="5" s="1"/>
  <c r="E1478" i="1"/>
  <c r="E1477" i="5" s="1"/>
  <c r="H1478" i="1"/>
  <c r="P1478" i="1"/>
  <c r="H1479" i="1"/>
  <c r="P1479" i="1"/>
  <c r="F1480" i="1"/>
  <c r="F1479" i="5" s="1"/>
  <c r="P1480" i="1"/>
  <c r="P1479" i="5" s="1"/>
  <c r="H1481" i="1"/>
  <c r="H1480" i="5" s="1"/>
  <c r="J1481" i="1"/>
  <c r="J1480" i="5" s="1"/>
  <c r="M1481" i="1"/>
  <c r="M1480" i="5" s="1"/>
  <c r="P1481" i="1"/>
  <c r="V1481" i="1"/>
  <c r="V1480" i="5" s="1"/>
  <c r="X1481" i="1"/>
  <c r="X1404" i="2" s="1"/>
  <c r="E1482" i="1"/>
  <c r="E1481" i="5" s="1"/>
  <c r="F1482" i="1"/>
  <c r="P1482" i="1"/>
  <c r="P1481" i="5" s="1"/>
  <c r="E1483" i="1"/>
  <c r="E1482" i="5" s="1"/>
  <c r="F1483" i="1"/>
  <c r="P1483" i="1"/>
  <c r="E1484" i="1"/>
  <c r="E1483" i="5" s="1"/>
  <c r="H1484" i="1"/>
  <c r="H1483" i="5" s="1"/>
  <c r="X1483" i="5" s="1"/>
  <c r="P1484" i="1"/>
  <c r="P1483" i="5" s="1"/>
  <c r="H1485" i="1"/>
  <c r="H1484" i="5" s="1"/>
  <c r="P1485" i="1"/>
  <c r="P1484" i="5" s="1"/>
  <c r="E1486" i="1"/>
  <c r="E1485" i="5" s="1"/>
  <c r="H1486" i="1"/>
  <c r="P1486" i="1"/>
  <c r="P1485" i="5" s="1"/>
  <c r="H1487" i="1"/>
  <c r="H1486" i="5" s="1"/>
  <c r="P1487" i="1"/>
  <c r="H1488" i="1"/>
  <c r="P1488" i="1"/>
  <c r="P1487" i="5" s="1"/>
  <c r="E1489" i="1"/>
  <c r="F1489" i="1"/>
  <c r="P1489" i="1"/>
  <c r="U1489" i="1"/>
  <c r="U1488" i="5" s="1"/>
  <c r="H1490" i="1"/>
  <c r="H1489" i="5" s="1"/>
  <c r="J1490" i="1"/>
  <c r="J1489" i="5" s="1"/>
  <c r="M1490" i="1"/>
  <c r="M1489" i="5" s="1"/>
  <c r="P1490" i="1"/>
  <c r="X1490" i="1"/>
  <c r="X1413" i="2" s="1"/>
  <c r="H1491" i="1"/>
  <c r="P1491" i="1"/>
  <c r="H1492" i="1"/>
  <c r="P1492" i="1"/>
  <c r="U1492" i="1"/>
  <c r="H1493" i="1"/>
  <c r="J1493" i="1"/>
  <c r="J1492" i="5" s="1"/>
  <c r="P1493" i="1"/>
  <c r="H1494" i="1"/>
  <c r="H1493" i="5" s="1"/>
  <c r="J1494" i="1"/>
  <c r="J1493" i="5" s="1"/>
  <c r="M1494" i="1"/>
  <c r="M1493" i="5" s="1"/>
  <c r="P1494" i="1"/>
  <c r="X1494" i="1"/>
  <c r="X1416" i="2" s="1"/>
  <c r="H1495" i="1"/>
  <c r="P1495" i="1"/>
  <c r="P1494" i="5" s="1"/>
  <c r="X1495" i="1"/>
  <c r="H1496" i="1"/>
  <c r="H1495" i="5" s="1"/>
  <c r="M1496" i="1"/>
  <c r="M1495" i="5" s="1"/>
  <c r="P1496" i="1"/>
  <c r="G1498" i="1"/>
  <c r="I1498" i="1"/>
  <c r="L1498" i="1"/>
  <c r="N1498" i="1"/>
  <c r="T1498" i="1"/>
  <c r="Y1498" i="1"/>
  <c r="H1501" i="1"/>
  <c r="H1500" i="5" s="1"/>
  <c r="P1501" i="1"/>
  <c r="Q1501" i="1"/>
  <c r="Q1500" i="5" s="1"/>
  <c r="H1504" i="1"/>
  <c r="H1503" i="5" s="1"/>
  <c r="X1503" i="5" s="1"/>
  <c r="Z1503" i="5" s="1"/>
  <c r="P1504" i="1"/>
  <c r="P1503" i="5" s="1"/>
  <c r="H1507" i="1"/>
  <c r="P1507" i="1"/>
  <c r="H1510" i="1"/>
  <c r="H1509" i="5" s="1"/>
  <c r="P1510" i="1"/>
  <c r="H1513" i="1"/>
  <c r="H1512" i="5" s="1"/>
  <c r="P1513" i="1"/>
  <c r="H1516" i="1"/>
  <c r="H1515" i="5" s="1"/>
  <c r="P1516" i="1"/>
  <c r="P1515" i="5" s="1"/>
  <c r="U1516" i="1"/>
  <c r="U1515" i="5" s="1"/>
  <c r="H1519" i="1"/>
  <c r="P1519" i="1"/>
  <c r="P1518" i="5" s="1"/>
  <c r="H1522" i="1"/>
  <c r="H1521" i="5" s="1"/>
  <c r="P1522" i="1"/>
  <c r="H1525" i="1"/>
  <c r="H1524" i="5" s="1"/>
  <c r="P1525" i="1"/>
  <c r="U1525" i="1"/>
  <c r="U1524" i="5" s="1"/>
  <c r="H1528" i="1"/>
  <c r="H1527" i="5" s="1"/>
  <c r="P1528" i="1"/>
  <c r="P1527" i="5" s="1"/>
  <c r="Q1528" i="1"/>
  <c r="Q1527" i="5" s="1"/>
  <c r="H1531" i="1"/>
  <c r="H1530" i="5" s="1"/>
  <c r="J1531" i="1"/>
  <c r="J1530" i="5" s="1"/>
  <c r="P1531" i="1"/>
  <c r="X1531" i="1"/>
  <c r="H1534" i="1"/>
  <c r="H1533" i="5" s="1"/>
  <c r="X1533" i="5" s="1"/>
  <c r="Z1533" i="5" s="1"/>
  <c r="P1534" i="1"/>
  <c r="P1533" i="5" s="1"/>
  <c r="U1534" i="1"/>
  <c r="U1533" i="5" s="1"/>
  <c r="F1537" i="1"/>
  <c r="F1536" i="5" s="1"/>
  <c r="F1541" i="5" s="1"/>
  <c r="P1537" i="1"/>
  <c r="H1540" i="1"/>
  <c r="H1539" i="5" s="1"/>
  <c r="P1540" i="1"/>
  <c r="P1539" i="5" s="1"/>
  <c r="E1542" i="1"/>
  <c r="I1542" i="1"/>
  <c r="K1542" i="1"/>
  <c r="L1542" i="1"/>
  <c r="N1542" i="1"/>
  <c r="O1542" i="1"/>
  <c r="R1542" i="1"/>
  <c r="S1542" i="1"/>
  <c r="T1542" i="1"/>
  <c r="Y1542" i="1"/>
  <c r="R1544" i="1"/>
  <c r="S1544" i="1"/>
  <c r="H1551" i="1"/>
  <c r="P1551" i="1"/>
  <c r="P1548" i="5" s="1"/>
  <c r="H1552" i="1"/>
  <c r="H1549" i="5" s="1"/>
  <c r="M1552" i="1"/>
  <c r="M1549" i="5" s="1"/>
  <c r="P1552" i="1"/>
  <c r="P1549" i="5" s="1"/>
  <c r="E1553" i="1"/>
  <c r="E1550" i="5" s="1"/>
  <c r="H1553" i="1"/>
  <c r="H1550" i="5" s="1"/>
  <c r="P1553" i="1"/>
  <c r="P1550" i="5" s="1"/>
  <c r="P1554" i="1"/>
  <c r="P1551" i="5" s="1"/>
  <c r="V1554" i="1"/>
  <c r="V1551" i="5" s="1"/>
  <c r="X1554" i="1"/>
  <c r="H1555" i="1"/>
  <c r="H1552" i="5" s="1"/>
  <c r="P1555" i="1"/>
  <c r="P1552" i="5" s="1"/>
  <c r="X1555" i="1"/>
  <c r="X1552" i="5" s="1"/>
  <c r="H1556" i="1"/>
  <c r="H1553" i="5" s="1"/>
  <c r="P1556" i="1"/>
  <c r="H1557" i="1"/>
  <c r="H1554" i="5" s="1"/>
  <c r="P1557" i="1"/>
  <c r="P1554" i="5" s="1"/>
  <c r="H1558" i="1"/>
  <c r="H1555" i="5" s="1"/>
  <c r="P1558" i="1"/>
  <c r="P1555" i="5" s="1"/>
  <c r="U1558" i="1"/>
  <c r="U1555" i="5" s="1"/>
  <c r="H1559" i="1"/>
  <c r="P1559" i="1"/>
  <c r="P1556" i="5" s="1"/>
  <c r="H1560" i="1"/>
  <c r="H1557" i="5" s="1"/>
  <c r="P1560" i="1"/>
  <c r="P1557" i="5" s="1"/>
  <c r="H1561" i="1"/>
  <c r="H1558" i="5" s="1"/>
  <c r="P1561" i="1"/>
  <c r="P1558" i="5" s="1"/>
  <c r="H1562" i="1"/>
  <c r="H1559" i="5" s="1"/>
  <c r="P1562" i="1"/>
  <c r="P1559" i="5" s="1"/>
  <c r="H1563" i="1"/>
  <c r="H1560" i="5" s="1"/>
  <c r="M1563" i="1"/>
  <c r="M1560" i="5" s="1"/>
  <c r="P1563" i="1"/>
  <c r="P1560" i="5" s="1"/>
  <c r="H1564" i="1"/>
  <c r="H1561" i="5" s="1"/>
  <c r="P1564" i="1"/>
  <c r="H1565" i="1"/>
  <c r="H1562" i="5" s="1"/>
  <c r="P1565" i="1"/>
  <c r="P1562" i="5" s="1"/>
  <c r="H1566" i="1"/>
  <c r="H1563" i="5" s="1"/>
  <c r="P1566" i="1"/>
  <c r="H1567" i="1"/>
  <c r="H1564" i="5" s="1"/>
  <c r="M1567" i="1"/>
  <c r="M1564" i="5" s="1"/>
  <c r="P1567" i="1"/>
  <c r="H1568" i="1"/>
  <c r="H1565" i="5" s="1"/>
  <c r="P1568" i="1"/>
  <c r="P1565" i="5" s="1"/>
  <c r="H1569" i="1"/>
  <c r="H1566" i="5" s="1"/>
  <c r="P1569" i="1"/>
  <c r="P1566" i="5" s="1"/>
  <c r="F1571" i="1"/>
  <c r="G1571" i="1"/>
  <c r="I1571" i="1"/>
  <c r="I2823" i="1" s="1"/>
  <c r="J1571" i="1"/>
  <c r="K1571" i="1"/>
  <c r="L1571" i="1"/>
  <c r="N1571" i="1"/>
  <c r="O1571" i="1"/>
  <c r="Q1571" i="1"/>
  <c r="R1571" i="1"/>
  <c r="S1571" i="1"/>
  <c r="T1571" i="1"/>
  <c r="Y1571" i="1"/>
  <c r="H1574" i="1"/>
  <c r="H1571" i="5" s="1"/>
  <c r="P1574" i="1"/>
  <c r="P1571" i="5" s="1"/>
  <c r="H1575" i="1"/>
  <c r="P1575" i="1"/>
  <c r="P1572" i="5" s="1"/>
  <c r="H1576" i="1"/>
  <c r="H1573" i="5" s="1"/>
  <c r="P1576" i="1"/>
  <c r="H1577" i="1"/>
  <c r="H1574" i="5" s="1"/>
  <c r="M1577" i="1"/>
  <c r="M1574" i="5" s="1"/>
  <c r="P1577" i="1"/>
  <c r="H1578" i="1"/>
  <c r="H1575" i="5" s="1"/>
  <c r="P1578" i="1"/>
  <c r="H1579" i="1"/>
  <c r="H1576" i="5" s="1"/>
  <c r="P1579" i="1"/>
  <c r="P1576" i="5" s="1"/>
  <c r="H1580" i="1"/>
  <c r="H1577" i="5" s="1"/>
  <c r="P1580" i="1"/>
  <c r="P1577" i="5" s="1"/>
  <c r="U1580" i="1"/>
  <c r="U1577" i="5" s="1"/>
  <c r="H1581" i="1"/>
  <c r="H1578" i="5" s="1"/>
  <c r="P1581" i="1"/>
  <c r="P1578" i="5" s="1"/>
  <c r="X1581" i="1"/>
  <c r="X1578" i="5" s="1"/>
  <c r="H1582" i="1"/>
  <c r="H1579" i="5" s="1"/>
  <c r="P1582" i="1"/>
  <c r="H1583" i="1"/>
  <c r="H1580" i="5" s="1"/>
  <c r="P1583" i="1"/>
  <c r="P1580" i="5" s="1"/>
  <c r="H1584" i="1"/>
  <c r="H1581" i="5" s="1"/>
  <c r="P1584" i="1"/>
  <c r="P1581" i="5" s="1"/>
  <c r="U1584" i="1"/>
  <c r="U1581" i="5" s="1"/>
  <c r="H1585" i="1"/>
  <c r="P1585" i="1"/>
  <c r="P1582" i="5" s="1"/>
  <c r="H1586" i="1"/>
  <c r="H1583" i="5" s="1"/>
  <c r="P1586" i="1"/>
  <c r="H1587" i="1"/>
  <c r="H1584" i="5" s="1"/>
  <c r="P1587" i="1"/>
  <c r="P1584" i="5" s="1"/>
  <c r="H1588" i="1"/>
  <c r="H1585" i="5" s="1"/>
  <c r="P1588" i="1"/>
  <c r="P1585" i="5" s="1"/>
  <c r="H1589" i="1"/>
  <c r="H1586" i="5" s="1"/>
  <c r="M1589" i="1"/>
  <c r="M1586" i="5" s="1"/>
  <c r="P1589" i="1"/>
  <c r="H1590" i="1"/>
  <c r="H1587" i="5" s="1"/>
  <c r="P1590" i="1"/>
  <c r="H1591" i="1"/>
  <c r="P1591" i="1"/>
  <c r="P1588" i="5" s="1"/>
  <c r="H1592" i="1"/>
  <c r="H1589" i="5" s="1"/>
  <c r="P1592" i="1"/>
  <c r="H1593" i="1"/>
  <c r="H1590" i="5" s="1"/>
  <c r="P1593" i="1"/>
  <c r="E1595" i="1"/>
  <c r="F1595" i="1"/>
  <c r="G1595" i="1"/>
  <c r="I1595" i="1"/>
  <c r="J1595" i="1"/>
  <c r="J2786" i="1" s="1"/>
  <c r="K1595" i="1"/>
  <c r="L1595" i="1"/>
  <c r="N1595" i="1"/>
  <c r="O1595" i="1"/>
  <c r="Q1595" i="1"/>
  <c r="R1595" i="1"/>
  <c r="S1595" i="1"/>
  <c r="S2786" i="1" s="1"/>
  <c r="T1595" i="1"/>
  <c r="Y1595" i="1"/>
  <c r="H1599" i="1"/>
  <c r="H1596" i="5" s="1"/>
  <c r="P1599" i="1"/>
  <c r="P1596" i="5" s="1"/>
  <c r="H1600" i="1"/>
  <c r="P1600" i="1"/>
  <c r="P1597" i="5" s="1"/>
  <c r="E1601" i="1"/>
  <c r="E1598" i="5" s="1"/>
  <c r="H1601" i="1"/>
  <c r="H1598" i="5" s="1"/>
  <c r="P1601" i="1"/>
  <c r="H1602" i="1"/>
  <c r="P1602" i="1"/>
  <c r="P1599" i="5" s="1"/>
  <c r="H1603" i="1"/>
  <c r="P1603" i="1"/>
  <c r="U1603" i="1"/>
  <c r="U1600" i="5" s="1"/>
  <c r="E1604" i="1"/>
  <c r="E1601" i="5" s="1"/>
  <c r="H1604" i="1"/>
  <c r="P1604" i="1"/>
  <c r="P1601" i="5" s="1"/>
  <c r="H1605" i="1"/>
  <c r="P1605" i="1"/>
  <c r="P1602" i="5" s="1"/>
  <c r="H1606" i="1"/>
  <c r="H1603" i="5" s="1"/>
  <c r="P1606" i="1"/>
  <c r="P1603" i="5" s="1"/>
  <c r="H1608" i="1"/>
  <c r="P1608" i="1"/>
  <c r="P1605" i="5" s="1"/>
  <c r="U1608" i="1"/>
  <c r="U1605" i="5" s="1"/>
  <c r="H1609" i="1"/>
  <c r="H1606" i="5" s="1"/>
  <c r="X1606" i="5" s="1"/>
  <c r="P1609" i="1"/>
  <c r="P1606" i="5" s="1"/>
  <c r="H1610" i="1"/>
  <c r="P1610" i="1"/>
  <c r="P1607" i="5" s="1"/>
  <c r="U1610" i="1"/>
  <c r="U1607" i="5" s="1"/>
  <c r="F1611" i="1"/>
  <c r="P1611" i="1"/>
  <c r="H1612" i="1"/>
  <c r="P1612" i="1"/>
  <c r="P1609" i="5" s="1"/>
  <c r="H1613" i="1"/>
  <c r="H1610" i="5" s="1"/>
  <c r="P1613" i="1"/>
  <c r="U1613" i="1"/>
  <c r="U1610" i="5" s="1"/>
  <c r="H1614" i="1"/>
  <c r="M1614" i="1"/>
  <c r="P1614" i="1"/>
  <c r="P1611" i="5" s="1"/>
  <c r="H1615" i="1"/>
  <c r="P1615" i="1"/>
  <c r="P1612" i="5" s="1"/>
  <c r="U1615" i="1"/>
  <c r="U1612" i="5" s="1"/>
  <c r="H1616" i="1"/>
  <c r="P1616" i="1"/>
  <c r="U1616" i="1"/>
  <c r="U1613" i="5" s="1"/>
  <c r="H1617" i="1"/>
  <c r="P1617" i="1"/>
  <c r="H1618" i="1"/>
  <c r="P1618" i="1"/>
  <c r="P1615" i="5" s="1"/>
  <c r="H1619" i="1"/>
  <c r="P1619" i="1"/>
  <c r="P1616" i="5" s="1"/>
  <c r="U1619" i="1"/>
  <c r="U1616" i="5" s="1"/>
  <c r="G1621" i="1"/>
  <c r="I1621" i="1"/>
  <c r="J1621" i="1"/>
  <c r="K1621" i="1"/>
  <c r="L1621" i="1"/>
  <c r="N1621" i="1"/>
  <c r="O1621" i="1"/>
  <c r="Q1621" i="1"/>
  <c r="R1621" i="1"/>
  <c r="S1621" i="1"/>
  <c r="T1621" i="1"/>
  <c r="Y1621" i="1"/>
  <c r="H1624" i="1"/>
  <c r="H1621" i="5" s="1"/>
  <c r="P1624" i="1"/>
  <c r="U1624" i="1"/>
  <c r="U1621" i="5" s="1"/>
  <c r="H1625" i="1"/>
  <c r="P1625" i="1"/>
  <c r="X1625" i="1"/>
  <c r="X1541" i="2" s="1"/>
  <c r="H1626" i="1"/>
  <c r="P1626" i="1"/>
  <c r="P1623" i="5" s="1"/>
  <c r="U1626" i="1"/>
  <c r="U1623" i="5" s="1"/>
  <c r="E1627" i="1"/>
  <c r="E1624" i="5" s="1"/>
  <c r="H1627" i="1"/>
  <c r="H1624" i="5" s="1"/>
  <c r="P1627" i="1"/>
  <c r="P1624" i="5" s="1"/>
  <c r="H1628" i="1"/>
  <c r="H1625" i="5" s="1"/>
  <c r="P1628" i="1"/>
  <c r="U1628" i="1"/>
  <c r="U1625" i="5" s="1"/>
  <c r="H1629" i="1"/>
  <c r="H1626" i="5" s="1"/>
  <c r="X1626" i="5" s="1"/>
  <c r="P1629" i="1"/>
  <c r="P1626" i="5" s="1"/>
  <c r="H1630" i="1"/>
  <c r="H1627" i="5" s="1"/>
  <c r="P1630" i="1"/>
  <c r="U1630" i="1"/>
  <c r="U1627" i="5" s="1"/>
  <c r="H1631" i="1"/>
  <c r="H1628" i="5" s="1"/>
  <c r="X1628" i="5" s="1"/>
  <c r="P1631" i="1"/>
  <c r="P1628" i="5" s="1"/>
  <c r="H1632" i="1"/>
  <c r="H1629" i="5" s="1"/>
  <c r="P1632" i="1"/>
  <c r="H1633" i="1"/>
  <c r="H1630" i="5" s="1"/>
  <c r="P1633" i="1"/>
  <c r="P1630" i="5" s="1"/>
  <c r="E1634" i="1"/>
  <c r="E1631" i="5" s="1"/>
  <c r="F1634" i="1"/>
  <c r="F1631" i="5" s="1"/>
  <c r="F1639" i="5" s="1"/>
  <c r="P1634" i="1"/>
  <c r="P1631" i="5" s="1"/>
  <c r="H1635" i="1"/>
  <c r="P1635" i="1"/>
  <c r="H1636" i="1"/>
  <c r="P1636" i="1"/>
  <c r="P1633" i="5" s="1"/>
  <c r="H1637" i="1"/>
  <c r="H1634" i="5" s="1"/>
  <c r="X1634" i="5" s="1"/>
  <c r="U1637" i="1"/>
  <c r="U1634" i="5" s="1"/>
  <c r="X1637" i="1"/>
  <c r="H1638" i="1"/>
  <c r="H1635" i="5" s="1"/>
  <c r="P1638" i="1"/>
  <c r="H1639" i="1"/>
  <c r="P1639" i="1"/>
  <c r="P1636" i="5" s="1"/>
  <c r="E1640" i="1"/>
  <c r="E1637" i="5" s="1"/>
  <c r="F1640" i="1"/>
  <c r="F1637" i="5" s="1"/>
  <c r="P1640" i="1"/>
  <c r="P1637" i="5" s="1"/>
  <c r="U1640" i="1"/>
  <c r="U1637" i="5" s="1"/>
  <c r="G1642" i="1"/>
  <c r="I1642" i="1"/>
  <c r="J1642" i="1"/>
  <c r="K1642" i="1"/>
  <c r="L1642" i="1"/>
  <c r="N1642" i="1"/>
  <c r="O1642" i="1"/>
  <c r="Q1642" i="1"/>
  <c r="R1642" i="1"/>
  <c r="S1642" i="1"/>
  <c r="T1642" i="1"/>
  <c r="Y1642" i="1"/>
  <c r="E1645" i="1"/>
  <c r="E1642" i="5" s="1"/>
  <c r="H1645" i="1"/>
  <c r="H1642" i="5" s="1"/>
  <c r="P1645" i="1"/>
  <c r="P1642" i="5" s="1"/>
  <c r="U1645" i="1"/>
  <c r="U1642" i="5" s="1"/>
  <c r="H1646" i="1"/>
  <c r="H1643" i="5" s="1"/>
  <c r="P1646" i="1"/>
  <c r="P1643" i="5" s="1"/>
  <c r="U1646" i="1"/>
  <c r="U1643" i="5" s="1"/>
  <c r="H1647" i="1"/>
  <c r="P1647" i="1"/>
  <c r="P1644" i="5" s="1"/>
  <c r="H1648" i="1"/>
  <c r="P1648" i="1"/>
  <c r="P1645" i="5" s="1"/>
  <c r="H1649" i="1"/>
  <c r="H1646" i="5" s="1"/>
  <c r="P1649" i="1"/>
  <c r="H1650" i="1"/>
  <c r="P1650" i="1"/>
  <c r="P1647" i="5" s="1"/>
  <c r="H1652" i="1"/>
  <c r="H1649" i="5" s="1"/>
  <c r="M1652" i="1"/>
  <c r="M1649" i="5" s="1"/>
  <c r="P1652" i="1"/>
  <c r="H1653" i="1"/>
  <c r="H1650" i="5" s="1"/>
  <c r="M1653" i="1"/>
  <c r="M1650" i="5" s="1"/>
  <c r="P1653" i="1"/>
  <c r="P1650" i="5" s="1"/>
  <c r="H1654" i="1"/>
  <c r="H1651" i="5" s="1"/>
  <c r="P1654" i="1"/>
  <c r="U1654" i="1"/>
  <c r="U1651" i="5" s="1"/>
  <c r="H1655" i="1"/>
  <c r="P1655" i="1"/>
  <c r="H1656" i="1"/>
  <c r="H1653" i="5" s="1"/>
  <c r="X1653" i="5" s="1"/>
  <c r="M1656" i="1"/>
  <c r="M1653" i="5" s="1"/>
  <c r="P1656" i="1"/>
  <c r="P1653" i="5" s="1"/>
  <c r="V1656" i="1"/>
  <c r="V1653" i="5" s="1"/>
  <c r="W1656" i="1"/>
  <c r="W1653" i="5" s="1"/>
  <c r="H1657" i="1"/>
  <c r="P1657" i="1"/>
  <c r="H1658" i="1"/>
  <c r="H1655" i="5" s="1"/>
  <c r="X1655" i="5" s="1"/>
  <c r="P1658" i="1"/>
  <c r="P1655" i="5" s="1"/>
  <c r="H1659" i="1"/>
  <c r="M1659" i="1"/>
  <c r="P1659" i="1"/>
  <c r="E1660" i="1"/>
  <c r="E1657" i="5" s="1"/>
  <c r="F1660" i="1"/>
  <c r="F1657" i="5" s="1"/>
  <c r="F1659" i="5" s="1"/>
  <c r="P1660" i="1"/>
  <c r="P1657" i="5" s="1"/>
  <c r="G1662" i="1"/>
  <c r="I1662" i="1"/>
  <c r="J1662" i="1"/>
  <c r="K1662" i="1"/>
  <c r="L1662" i="1"/>
  <c r="N1662" i="1"/>
  <c r="O1662" i="1"/>
  <c r="Q1662" i="1"/>
  <c r="R1662" i="1"/>
  <c r="S1662" i="1"/>
  <c r="T1662" i="1"/>
  <c r="Y1662" i="1"/>
  <c r="H1665" i="1"/>
  <c r="P1665" i="1"/>
  <c r="H1666" i="1"/>
  <c r="P1666" i="1"/>
  <c r="P1663" i="5" s="1"/>
  <c r="H1667" i="1"/>
  <c r="H1664" i="5" s="1"/>
  <c r="P1667" i="1"/>
  <c r="V1667" i="1"/>
  <c r="V1664" i="5" s="1"/>
  <c r="H1668" i="1"/>
  <c r="H1665" i="5" s="1"/>
  <c r="P1668" i="1"/>
  <c r="P1665" i="5" s="1"/>
  <c r="U1668" i="1"/>
  <c r="U1665" i="5" s="1"/>
  <c r="H1669" i="1"/>
  <c r="P1669" i="1"/>
  <c r="P1666" i="5" s="1"/>
  <c r="H1670" i="1"/>
  <c r="P1670" i="1"/>
  <c r="P1667" i="5" s="1"/>
  <c r="H1671" i="1"/>
  <c r="H1668" i="5" s="1"/>
  <c r="P1671" i="1"/>
  <c r="H1672" i="1"/>
  <c r="P1672" i="1"/>
  <c r="P1669" i="5" s="1"/>
  <c r="H1673" i="1"/>
  <c r="H1670" i="5" s="1"/>
  <c r="M1673" i="1"/>
  <c r="M1670" i="5" s="1"/>
  <c r="P1673" i="1"/>
  <c r="H1674" i="1"/>
  <c r="M1674" i="1"/>
  <c r="P1674" i="1"/>
  <c r="P1671" i="5" s="1"/>
  <c r="E1675" i="1"/>
  <c r="E1672" i="5" s="1"/>
  <c r="F1675" i="1"/>
  <c r="F1672" i="5" s="1"/>
  <c r="F1678" i="5" s="1"/>
  <c r="P1675" i="1"/>
  <c r="H1676" i="1"/>
  <c r="N1676" i="1"/>
  <c r="E1677" i="1"/>
  <c r="H1677" i="1"/>
  <c r="P1677" i="1"/>
  <c r="P1674" i="5" s="1"/>
  <c r="H1678" i="1"/>
  <c r="H1675" i="5" s="1"/>
  <c r="X1675" i="5" s="1"/>
  <c r="P1678" i="1"/>
  <c r="P1675" i="5" s="1"/>
  <c r="H1679" i="1"/>
  <c r="H1676" i="5" s="1"/>
  <c r="M1679" i="1"/>
  <c r="M1676" i="5" s="1"/>
  <c r="P1679" i="1"/>
  <c r="G1681" i="1"/>
  <c r="I1681" i="1"/>
  <c r="J1681" i="1"/>
  <c r="K1681" i="1"/>
  <c r="L1681" i="1"/>
  <c r="N1681" i="1"/>
  <c r="O1681" i="1"/>
  <c r="Q1681" i="1"/>
  <c r="R1681" i="1"/>
  <c r="S1681" i="1"/>
  <c r="T1681" i="1"/>
  <c r="Y1681" i="1"/>
  <c r="H1684" i="1"/>
  <c r="H1681" i="5" s="1"/>
  <c r="P1684" i="1"/>
  <c r="U1684" i="1"/>
  <c r="U1681" i="5" s="1"/>
  <c r="H1685" i="1"/>
  <c r="P1685" i="1"/>
  <c r="P1682" i="5" s="1"/>
  <c r="H1686" i="1"/>
  <c r="H1683" i="5" s="1"/>
  <c r="P1686" i="1"/>
  <c r="P1683" i="5" s="1"/>
  <c r="H1687" i="1"/>
  <c r="H1684" i="5" s="1"/>
  <c r="P1687" i="1"/>
  <c r="P1684" i="5" s="1"/>
  <c r="H1688" i="1"/>
  <c r="P1688" i="1"/>
  <c r="P1685" i="5" s="1"/>
  <c r="H1689" i="1"/>
  <c r="P1689" i="1"/>
  <c r="H1690" i="1"/>
  <c r="H1687" i="5" s="1"/>
  <c r="P1690" i="1"/>
  <c r="V1690" i="1"/>
  <c r="V1687" i="5" s="1"/>
  <c r="H1691" i="1"/>
  <c r="P1691" i="1"/>
  <c r="P1688" i="5" s="1"/>
  <c r="H1692" i="1"/>
  <c r="H1689" i="5" s="1"/>
  <c r="P1692" i="1"/>
  <c r="H1693" i="1"/>
  <c r="P1693" i="1"/>
  <c r="P1690" i="5" s="1"/>
  <c r="H1694" i="1"/>
  <c r="H1691" i="5" s="1"/>
  <c r="X1691" i="5" s="1"/>
  <c r="P1694" i="1"/>
  <c r="P1691" i="5" s="1"/>
  <c r="H1695" i="1"/>
  <c r="M1695" i="1"/>
  <c r="M1692" i="5" s="1"/>
  <c r="P1695" i="1"/>
  <c r="P1692" i="5" s="1"/>
  <c r="H1696" i="1"/>
  <c r="P1696" i="1"/>
  <c r="U1696" i="1"/>
  <c r="H1697" i="1"/>
  <c r="P1697" i="1"/>
  <c r="P1694" i="5" s="1"/>
  <c r="E1698" i="1"/>
  <c r="E1695" i="5" s="1"/>
  <c r="H1698" i="1"/>
  <c r="P1698" i="1"/>
  <c r="P1695" i="5" s="1"/>
  <c r="E1700" i="1"/>
  <c r="F1700" i="1"/>
  <c r="G1700" i="1"/>
  <c r="I1700" i="1"/>
  <c r="J1700" i="1"/>
  <c r="K1700" i="1"/>
  <c r="L1700" i="1"/>
  <c r="N1700" i="1"/>
  <c r="O1700" i="1"/>
  <c r="Q1700" i="1"/>
  <c r="R1700" i="1"/>
  <c r="S1700" i="1"/>
  <c r="T1700" i="1"/>
  <c r="Y1700" i="1"/>
  <c r="H1703" i="1"/>
  <c r="H1700" i="5" s="1"/>
  <c r="M1703" i="1"/>
  <c r="P1703" i="1"/>
  <c r="H1704" i="1"/>
  <c r="P1704" i="1"/>
  <c r="P1701" i="5" s="1"/>
  <c r="H1705" i="1"/>
  <c r="H1702" i="5" s="1"/>
  <c r="P1705" i="1"/>
  <c r="H1706" i="1"/>
  <c r="P1706" i="1"/>
  <c r="H1707" i="1"/>
  <c r="H1704" i="5" s="1"/>
  <c r="P1707" i="1"/>
  <c r="P1704" i="5" s="1"/>
  <c r="U1707" i="1"/>
  <c r="U1704" i="5" s="1"/>
  <c r="H1708" i="1"/>
  <c r="P1708" i="1"/>
  <c r="P1705" i="5" s="1"/>
  <c r="H1709" i="1"/>
  <c r="H1706" i="5" s="1"/>
  <c r="P1709" i="1"/>
  <c r="H1710" i="1"/>
  <c r="P1710" i="1"/>
  <c r="P1707" i="5" s="1"/>
  <c r="E1712" i="1"/>
  <c r="F1712" i="1"/>
  <c r="G1712" i="1"/>
  <c r="I1712" i="1"/>
  <c r="I2790" i="1" s="1"/>
  <c r="J1712" i="1"/>
  <c r="K1712" i="1"/>
  <c r="L1712" i="1"/>
  <c r="N1712" i="1"/>
  <c r="O1712" i="1"/>
  <c r="Q1712" i="1"/>
  <c r="R1712" i="1"/>
  <c r="R2790" i="1" s="1"/>
  <c r="S1712" i="1"/>
  <c r="T1712" i="1"/>
  <c r="Y1712" i="1"/>
  <c r="H1715" i="1"/>
  <c r="H1712" i="5" s="1"/>
  <c r="P1715" i="1"/>
  <c r="H1716" i="1"/>
  <c r="P1716" i="1"/>
  <c r="X1716" i="1"/>
  <c r="H1717" i="1"/>
  <c r="P1717" i="1"/>
  <c r="P1714" i="5" s="1"/>
  <c r="U1717" i="1"/>
  <c r="U1714" i="5" s="1"/>
  <c r="H1718" i="1"/>
  <c r="P1718" i="1"/>
  <c r="P1715" i="5" s="1"/>
  <c r="H1719" i="1"/>
  <c r="H1716" i="5" s="1"/>
  <c r="X1716" i="5" s="1"/>
  <c r="P1719" i="1"/>
  <c r="P1716" i="5" s="1"/>
  <c r="H1720" i="1"/>
  <c r="H1717" i="5" s="1"/>
  <c r="M1720" i="1"/>
  <c r="P1720" i="1"/>
  <c r="H1721" i="1"/>
  <c r="P1721" i="1"/>
  <c r="E1723" i="1"/>
  <c r="F1723" i="1"/>
  <c r="G1723" i="1"/>
  <c r="I1723" i="1"/>
  <c r="J1723" i="1"/>
  <c r="K1723" i="1"/>
  <c r="L1723" i="1"/>
  <c r="N1723" i="1"/>
  <c r="O1723" i="1"/>
  <c r="Q1723" i="1"/>
  <c r="R1723" i="1"/>
  <c r="S1723" i="1"/>
  <c r="T1723" i="1"/>
  <c r="Y1723" i="1"/>
  <c r="H1726" i="1"/>
  <c r="H1723" i="5" s="1"/>
  <c r="M1726" i="1"/>
  <c r="M1723" i="5" s="1"/>
  <c r="P1726" i="1"/>
  <c r="P1723" i="5" s="1"/>
  <c r="H1727" i="1"/>
  <c r="H1724" i="5" s="1"/>
  <c r="P1727" i="1"/>
  <c r="U1727" i="1"/>
  <c r="U1724" i="5" s="1"/>
  <c r="H1728" i="1"/>
  <c r="P1728" i="1"/>
  <c r="H1729" i="1"/>
  <c r="H1726" i="5" s="1"/>
  <c r="X1726" i="5" s="1"/>
  <c r="M1729" i="1"/>
  <c r="M1726" i="5" s="1"/>
  <c r="P1729" i="1"/>
  <c r="P1726" i="5" s="1"/>
  <c r="V1729" i="1"/>
  <c r="V1726" i="5" s="1"/>
  <c r="W1729" i="1"/>
  <c r="W1726" i="5" s="1"/>
  <c r="H1730" i="1"/>
  <c r="P1730" i="1"/>
  <c r="P1727" i="5" s="1"/>
  <c r="H1731" i="1"/>
  <c r="H1728" i="5" s="1"/>
  <c r="P1731" i="1"/>
  <c r="H1732" i="1"/>
  <c r="P1732" i="1"/>
  <c r="P1729" i="5" s="1"/>
  <c r="H1733" i="1"/>
  <c r="H1730" i="5" s="1"/>
  <c r="M1733" i="1"/>
  <c r="P1733" i="1"/>
  <c r="H1734" i="1"/>
  <c r="P1734" i="1"/>
  <c r="P1731" i="5" s="1"/>
  <c r="H1735" i="1"/>
  <c r="H1732" i="5" s="1"/>
  <c r="P1735" i="1"/>
  <c r="H1736" i="1"/>
  <c r="P1736" i="1"/>
  <c r="H1737" i="1"/>
  <c r="H1734" i="5" s="1"/>
  <c r="M1737" i="1"/>
  <c r="M1734" i="5" s="1"/>
  <c r="P1737" i="1"/>
  <c r="E1738" i="1"/>
  <c r="E1735" i="5" s="1"/>
  <c r="H1738" i="1"/>
  <c r="H1735" i="5" s="1"/>
  <c r="P1738" i="1"/>
  <c r="P1735" i="5" s="1"/>
  <c r="F1740" i="1"/>
  <c r="G1740" i="1"/>
  <c r="I1740" i="1"/>
  <c r="J1740" i="1"/>
  <c r="K1740" i="1"/>
  <c r="L1740" i="1"/>
  <c r="N1740" i="1"/>
  <c r="O1740" i="1"/>
  <c r="Q1740" i="1"/>
  <c r="R1740" i="1"/>
  <c r="S1740" i="1"/>
  <c r="T1740" i="1"/>
  <c r="Y1740" i="1"/>
  <c r="E1749" i="1"/>
  <c r="E1745" i="5" s="1"/>
  <c r="H1749" i="1"/>
  <c r="H1745" i="5" s="1"/>
  <c r="P1749" i="1"/>
  <c r="P1745" i="5" s="1"/>
  <c r="E1750" i="1"/>
  <c r="E1746" i="5" s="1"/>
  <c r="H1750" i="1"/>
  <c r="H1746" i="5" s="1"/>
  <c r="K1750" i="1"/>
  <c r="K1746" i="5" s="1"/>
  <c r="K1758" i="5" s="1"/>
  <c r="P1750" i="1"/>
  <c r="P1746" i="5" s="1"/>
  <c r="E1751" i="1"/>
  <c r="E1747" i="5" s="1"/>
  <c r="H1751" i="1"/>
  <c r="H1747" i="5" s="1"/>
  <c r="P1751" i="1"/>
  <c r="P1747" i="5" s="1"/>
  <c r="H1752" i="1"/>
  <c r="P1752" i="1"/>
  <c r="U1752" i="1"/>
  <c r="U1748" i="5" s="1"/>
  <c r="H1753" i="1"/>
  <c r="H1749" i="5" s="1"/>
  <c r="P1753" i="1"/>
  <c r="P1749" i="5" s="1"/>
  <c r="Q1753" i="1"/>
  <c r="Q1749" i="5" s="1"/>
  <c r="H1754" i="1"/>
  <c r="P1754" i="1"/>
  <c r="P1750" i="5" s="1"/>
  <c r="E1755" i="1"/>
  <c r="E1751" i="5" s="1"/>
  <c r="F1755" i="1"/>
  <c r="P1755" i="1"/>
  <c r="P1751" i="5" s="1"/>
  <c r="U1755" i="1"/>
  <c r="U1751" i="5" s="1"/>
  <c r="E1756" i="1"/>
  <c r="E1752" i="5" s="1"/>
  <c r="F1756" i="1"/>
  <c r="F1752" i="5" s="1"/>
  <c r="H1756" i="1"/>
  <c r="M1756" i="1"/>
  <c r="M1752" i="5" s="1"/>
  <c r="P1756" i="1"/>
  <c r="P1752" i="5" s="1"/>
  <c r="H1757" i="1"/>
  <c r="H1753" i="5" s="1"/>
  <c r="P1757" i="1"/>
  <c r="P1753" i="5" s="1"/>
  <c r="H1758" i="1"/>
  <c r="P1758" i="1"/>
  <c r="X1758" i="1" s="1"/>
  <c r="X1754" i="5" s="1"/>
  <c r="Q1758" i="1"/>
  <c r="Q1754" i="5" s="1"/>
  <c r="H1759" i="1"/>
  <c r="U1759" i="1"/>
  <c r="U1755" i="5" s="1"/>
  <c r="H1760" i="1"/>
  <c r="H1756" i="5" s="1"/>
  <c r="P1760" i="1"/>
  <c r="G1762" i="1"/>
  <c r="I1762" i="1"/>
  <c r="L1762" i="1"/>
  <c r="N1762" i="1"/>
  <c r="O1762" i="1"/>
  <c r="T1762" i="1"/>
  <c r="V1762" i="1"/>
  <c r="W1762" i="1"/>
  <c r="E1765" i="1"/>
  <c r="E1761" i="5" s="1"/>
  <c r="H1765" i="1"/>
  <c r="H1761" i="5" s="1"/>
  <c r="X1761" i="5" s="1"/>
  <c r="P1765" i="1"/>
  <c r="P1761" i="5" s="1"/>
  <c r="H1766" i="1"/>
  <c r="H1762" i="5" s="1"/>
  <c r="J1766" i="1"/>
  <c r="J1762" i="5" s="1"/>
  <c r="P1766" i="1"/>
  <c r="U1766" i="1"/>
  <c r="U1762" i="5" s="1"/>
  <c r="H1767" i="1"/>
  <c r="H1763" i="5" s="1"/>
  <c r="X1763" i="5" s="1"/>
  <c r="P1767" i="1"/>
  <c r="P1763" i="5" s="1"/>
  <c r="H1768" i="1"/>
  <c r="J1768" i="1"/>
  <c r="J1764" i="5" s="1"/>
  <c r="P1768" i="1"/>
  <c r="P1764" i="5" s="1"/>
  <c r="H1769" i="1"/>
  <c r="H1765" i="5" s="1"/>
  <c r="P1769" i="1"/>
  <c r="P1765" i="5" s="1"/>
  <c r="F1771" i="1"/>
  <c r="G1771" i="1"/>
  <c r="I1771" i="1"/>
  <c r="K1771" i="1"/>
  <c r="L1771" i="1"/>
  <c r="N1771" i="1"/>
  <c r="O1771" i="1"/>
  <c r="T1771" i="1"/>
  <c r="V1771" i="1"/>
  <c r="W1771" i="1"/>
  <c r="E1774" i="1"/>
  <c r="E1770" i="5" s="1"/>
  <c r="H1774" i="1"/>
  <c r="K1774" i="1"/>
  <c r="P1774" i="1"/>
  <c r="E1775" i="1"/>
  <c r="E1771" i="5" s="1"/>
  <c r="F1775" i="1"/>
  <c r="F1771" i="5" s="1"/>
  <c r="P1775" i="1"/>
  <c r="P1771" i="5" s="1"/>
  <c r="H1776" i="1"/>
  <c r="H1772" i="5" s="1"/>
  <c r="P1776" i="1"/>
  <c r="P1772" i="5" s="1"/>
  <c r="Q1776" i="1"/>
  <c r="Q1772" i="5" s="1"/>
  <c r="E1777" i="1"/>
  <c r="H1777" i="1"/>
  <c r="H1773" i="5" s="1"/>
  <c r="J1777" i="1"/>
  <c r="J1773" i="5" s="1"/>
  <c r="P1777" i="1"/>
  <c r="U1777" i="1"/>
  <c r="U1773" i="5" s="1"/>
  <c r="E1778" i="1"/>
  <c r="E1774" i="5" s="1"/>
  <c r="F1778" i="1"/>
  <c r="F1774" i="5" s="1"/>
  <c r="P1778" i="1"/>
  <c r="P1774" i="5" s="1"/>
  <c r="U1778" i="1"/>
  <c r="U1774" i="5" s="1"/>
  <c r="H1779" i="1"/>
  <c r="H1775" i="5" s="1"/>
  <c r="X1775" i="5" s="1"/>
  <c r="Z1775" i="5" s="1"/>
  <c r="P1779" i="1"/>
  <c r="P1775" i="5" s="1"/>
  <c r="F1780" i="1"/>
  <c r="P1780" i="1"/>
  <c r="H1781" i="1"/>
  <c r="J1781" i="1"/>
  <c r="J1777" i="5" s="1"/>
  <c r="P1781" i="1"/>
  <c r="P1777" i="5" s="1"/>
  <c r="H1782" i="1"/>
  <c r="H1778" i="5" s="1"/>
  <c r="P1782" i="1"/>
  <c r="P1778" i="5" s="1"/>
  <c r="Q1782" i="1"/>
  <c r="Q1778" i="5" s="1"/>
  <c r="H1783" i="1"/>
  <c r="M1783" i="1"/>
  <c r="M1779" i="5" s="1"/>
  <c r="P1783" i="1"/>
  <c r="P1779" i="5" s="1"/>
  <c r="H1784" i="1"/>
  <c r="H1780" i="5" s="1"/>
  <c r="X1780" i="5" s="1"/>
  <c r="Z1780" i="5" s="1"/>
  <c r="P1784" i="1"/>
  <c r="P1780" i="5" s="1"/>
  <c r="Q1784" i="1"/>
  <c r="Q1780" i="5" s="1"/>
  <c r="U1784" i="1"/>
  <c r="U1780" i="5" s="1"/>
  <c r="E1785" i="1"/>
  <c r="H1785" i="1"/>
  <c r="H1781" i="5" s="1"/>
  <c r="J1785" i="1"/>
  <c r="J1781" i="5" s="1"/>
  <c r="M1785" i="1"/>
  <c r="M1781" i="5" s="1"/>
  <c r="P1785" i="1"/>
  <c r="H1786" i="1"/>
  <c r="H1782" i="5" s="1"/>
  <c r="P1786" i="1"/>
  <c r="P1782" i="5" s="1"/>
  <c r="G1788" i="1"/>
  <c r="I1788" i="1"/>
  <c r="L1788" i="1"/>
  <c r="N1788" i="1"/>
  <c r="O1788" i="1"/>
  <c r="T1788" i="1"/>
  <c r="V1788" i="1"/>
  <c r="W1788" i="1"/>
  <c r="Y1788" i="1"/>
  <c r="E1791" i="1"/>
  <c r="E1787" i="5" s="1"/>
  <c r="H1791" i="1"/>
  <c r="H1787" i="5" s="1"/>
  <c r="X1787" i="5" s="1"/>
  <c r="P1791" i="1"/>
  <c r="P1787" i="5" s="1"/>
  <c r="E1792" i="1"/>
  <c r="E1788" i="5" s="1"/>
  <c r="H1792" i="1"/>
  <c r="H1788" i="5" s="1"/>
  <c r="P1792" i="1"/>
  <c r="P1788" i="5" s="1"/>
  <c r="H1793" i="1"/>
  <c r="H1789" i="5" s="1"/>
  <c r="M1793" i="1"/>
  <c r="M1789" i="5" s="1"/>
  <c r="P1793" i="1"/>
  <c r="H1794" i="1"/>
  <c r="H1790" i="5" s="1"/>
  <c r="P1794" i="1"/>
  <c r="H1795" i="1"/>
  <c r="H1791" i="5" s="1"/>
  <c r="X1791" i="5" s="1"/>
  <c r="Z1791" i="5" s="1"/>
  <c r="P1795" i="1"/>
  <c r="P1791" i="5" s="1"/>
  <c r="U1795" i="1"/>
  <c r="U1791" i="5" s="1"/>
  <c r="H1796" i="1"/>
  <c r="H1792" i="5" s="1"/>
  <c r="P1796" i="1"/>
  <c r="H1797" i="1"/>
  <c r="M1797" i="1"/>
  <c r="M1793" i="5" s="1"/>
  <c r="P1797" i="1"/>
  <c r="H1798" i="1"/>
  <c r="H1794" i="5" s="1"/>
  <c r="P1798" i="1"/>
  <c r="P1794" i="5" s="1"/>
  <c r="H1799" i="1"/>
  <c r="H1795" i="5" s="1"/>
  <c r="M1799" i="1"/>
  <c r="M1795" i="5" s="1"/>
  <c r="P1799" i="1"/>
  <c r="H1800" i="1"/>
  <c r="H1796" i="5" s="1"/>
  <c r="P1800" i="1"/>
  <c r="P1796" i="5" s="1"/>
  <c r="H1801" i="1"/>
  <c r="H1797" i="5" s="1"/>
  <c r="P1801" i="1"/>
  <c r="U1801" i="1"/>
  <c r="H1802" i="1"/>
  <c r="H1798" i="5" s="1"/>
  <c r="P1802" i="1"/>
  <c r="H1803" i="1"/>
  <c r="J1803" i="1"/>
  <c r="J1799" i="5" s="1"/>
  <c r="P1803" i="1"/>
  <c r="P1799" i="5" s="1"/>
  <c r="H1804" i="1"/>
  <c r="H1800" i="5" s="1"/>
  <c r="X1800" i="5" s="1"/>
  <c r="Z1800" i="5" s="1"/>
  <c r="P1804" i="1"/>
  <c r="P1800" i="5" s="1"/>
  <c r="Q1804" i="1"/>
  <c r="Q1800" i="5" s="1"/>
  <c r="F1806" i="1"/>
  <c r="G1806" i="1"/>
  <c r="I1806" i="1"/>
  <c r="K1806" i="1"/>
  <c r="L1806" i="1"/>
  <c r="N1806" i="1"/>
  <c r="O1806" i="1"/>
  <c r="V1806" i="1"/>
  <c r="W1806" i="1"/>
  <c r="Y1806" i="1"/>
  <c r="E1809" i="1"/>
  <c r="E1805" i="5" s="1"/>
  <c r="H1809" i="1"/>
  <c r="H1805" i="5" s="1"/>
  <c r="P1809" i="1"/>
  <c r="P1805" i="5" s="1"/>
  <c r="H1810" i="1"/>
  <c r="H1806" i="5" s="1"/>
  <c r="X1806" i="5" s="1"/>
  <c r="Z1806" i="5" s="1"/>
  <c r="P1810" i="1"/>
  <c r="P1806" i="5" s="1"/>
  <c r="Q1810" i="1"/>
  <c r="Q1806" i="5" s="1"/>
  <c r="U1810" i="1"/>
  <c r="U1806" i="5" s="1"/>
  <c r="H1811" i="1"/>
  <c r="H1807" i="5" s="1"/>
  <c r="P1811" i="1"/>
  <c r="H1812" i="1"/>
  <c r="M1812" i="1"/>
  <c r="M1808" i="5" s="1"/>
  <c r="P1812" i="1"/>
  <c r="X1812" i="1"/>
  <c r="H1813" i="1"/>
  <c r="H1809" i="5" s="1"/>
  <c r="X1809" i="5" s="1"/>
  <c r="Z1809" i="5" s="1"/>
  <c r="P1813" i="1"/>
  <c r="P1809" i="5" s="1"/>
  <c r="F1814" i="1"/>
  <c r="F1810" i="5" s="1"/>
  <c r="H1814" i="1"/>
  <c r="H1810" i="5" s="1"/>
  <c r="P1814" i="1"/>
  <c r="H1815" i="1"/>
  <c r="H1811" i="5" s="1"/>
  <c r="P1815" i="1"/>
  <c r="P1811" i="5" s="1"/>
  <c r="X1815" i="1"/>
  <c r="H1816" i="1"/>
  <c r="P1816" i="1"/>
  <c r="U1816" i="1"/>
  <c r="U1812" i="5" s="1"/>
  <c r="H1817" i="1"/>
  <c r="P1817" i="1"/>
  <c r="P1813" i="5" s="1"/>
  <c r="H1818" i="1"/>
  <c r="P1818" i="1"/>
  <c r="P1814" i="5" s="1"/>
  <c r="Q1818" i="1"/>
  <c r="Q1814" i="5" s="1"/>
  <c r="E1819" i="1"/>
  <c r="E1815" i="5" s="1"/>
  <c r="F1819" i="1"/>
  <c r="F1815" i="5" s="1"/>
  <c r="H1819" i="1"/>
  <c r="H1815" i="5" s="1"/>
  <c r="P1819" i="1"/>
  <c r="E1820" i="1"/>
  <c r="E1816" i="5" s="1"/>
  <c r="F1820" i="1"/>
  <c r="P1820" i="1"/>
  <c r="H1821" i="1"/>
  <c r="P1821" i="1"/>
  <c r="P1817" i="5" s="1"/>
  <c r="E1822" i="1"/>
  <c r="E1818" i="5" s="1"/>
  <c r="H1822" i="1"/>
  <c r="I1822" i="1"/>
  <c r="I1818" i="5" s="1"/>
  <c r="I1820" i="5" s="1"/>
  <c r="P1822" i="1"/>
  <c r="U1822" i="1"/>
  <c r="U1818" i="5" s="1"/>
  <c r="G1824" i="1"/>
  <c r="K1824" i="1"/>
  <c r="L1824" i="1"/>
  <c r="N1824" i="1"/>
  <c r="O1824" i="1"/>
  <c r="T1824" i="1"/>
  <c r="V1824" i="1"/>
  <c r="W1824" i="1"/>
  <c r="Y1824" i="1"/>
  <c r="H1827" i="1"/>
  <c r="H1823" i="5" s="1"/>
  <c r="P1827" i="1"/>
  <c r="P1823" i="5" s="1"/>
  <c r="E1828" i="1"/>
  <c r="E1824" i="5" s="1"/>
  <c r="H1828" i="1"/>
  <c r="H1824" i="5" s="1"/>
  <c r="P1828" i="1"/>
  <c r="P1824" i="5" s="1"/>
  <c r="Q1828" i="1"/>
  <c r="Q1824" i="5" s="1"/>
  <c r="E1829" i="1"/>
  <c r="E1825" i="5" s="1"/>
  <c r="F1829" i="1"/>
  <c r="P1829" i="1"/>
  <c r="H1830" i="1"/>
  <c r="H1826" i="5" s="1"/>
  <c r="P1830" i="1"/>
  <c r="H1831" i="1"/>
  <c r="M1831" i="1"/>
  <c r="M1827" i="5" s="1"/>
  <c r="P1831" i="1"/>
  <c r="F1832" i="1"/>
  <c r="F1828" i="5" s="1"/>
  <c r="P1832" i="1"/>
  <c r="P1828" i="5" s="1"/>
  <c r="H1833" i="1"/>
  <c r="H1829" i="5" s="1"/>
  <c r="X1829" i="5" s="1"/>
  <c r="Z1829" i="5" s="1"/>
  <c r="P1833" i="1"/>
  <c r="P1829" i="5" s="1"/>
  <c r="E1834" i="1"/>
  <c r="E1830" i="5" s="1"/>
  <c r="F1834" i="1"/>
  <c r="P1834" i="1"/>
  <c r="H1835" i="1"/>
  <c r="J1835" i="1"/>
  <c r="J1831" i="5" s="1"/>
  <c r="P1835" i="1"/>
  <c r="E1836" i="1"/>
  <c r="E1832" i="5" s="1"/>
  <c r="H1836" i="1"/>
  <c r="H1832" i="5" s="1"/>
  <c r="P1836" i="1"/>
  <c r="P1832" i="5" s="1"/>
  <c r="H1837" i="1"/>
  <c r="P1837" i="1"/>
  <c r="P1833" i="5" s="1"/>
  <c r="E1838" i="1"/>
  <c r="E1834" i="5" s="1"/>
  <c r="F1838" i="1"/>
  <c r="F1834" i="5" s="1"/>
  <c r="P1838" i="1"/>
  <c r="H1839" i="1"/>
  <c r="H1835" i="5" s="1"/>
  <c r="P1839" i="1"/>
  <c r="P1835" i="5" s="1"/>
  <c r="Q1839" i="1"/>
  <c r="Q1835" i="5" s="1"/>
  <c r="H1840" i="1"/>
  <c r="H1836" i="5" s="1"/>
  <c r="P1840" i="1"/>
  <c r="P1836" i="5" s="1"/>
  <c r="H1841" i="1"/>
  <c r="P1841" i="1"/>
  <c r="P1837" i="5" s="1"/>
  <c r="H1842" i="1"/>
  <c r="M1842" i="1"/>
  <c r="P1842" i="1"/>
  <c r="P1838" i="5" s="1"/>
  <c r="H1843" i="1"/>
  <c r="H1839" i="5" s="1"/>
  <c r="X1839" i="5" s="1"/>
  <c r="Z1839" i="5" s="1"/>
  <c r="P1843" i="1"/>
  <c r="P1839" i="5" s="1"/>
  <c r="Q1843" i="1"/>
  <c r="Q1839" i="5" s="1"/>
  <c r="U1843" i="1"/>
  <c r="U1839" i="5" s="1"/>
  <c r="E1844" i="1"/>
  <c r="E1840" i="5" s="1"/>
  <c r="F1844" i="1"/>
  <c r="K1844" i="1"/>
  <c r="K1840" i="5" s="1"/>
  <c r="K1843" i="5" s="1"/>
  <c r="P1844" i="1"/>
  <c r="E1845" i="1"/>
  <c r="E1841" i="5" s="1"/>
  <c r="F1845" i="1"/>
  <c r="F1841" i="5" s="1"/>
  <c r="H1845" i="1"/>
  <c r="H1841" i="5" s="1"/>
  <c r="P1845" i="1"/>
  <c r="G1847" i="1"/>
  <c r="I1847" i="1"/>
  <c r="L1847" i="1"/>
  <c r="N1847" i="1"/>
  <c r="O1847" i="1"/>
  <c r="T1847" i="1"/>
  <c r="V1847" i="1"/>
  <c r="W1847" i="1"/>
  <c r="Y1847" i="1"/>
  <c r="H1850" i="1"/>
  <c r="H1846" i="5" s="1"/>
  <c r="X1846" i="5" s="1"/>
  <c r="Z1846" i="5" s="1"/>
  <c r="J1850" i="1"/>
  <c r="J1846" i="5" s="1"/>
  <c r="P1850" i="1"/>
  <c r="P1846" i="5" s="1"/>
  <c r="U1850" i="1"/>
  <c r="U1846" i="5" s="1"/>
  <c r="H1851" i="1"/>
  <c r="P1851" i="1"/>
  <c r="P1847" i="5" s="1"/>
  <c r="E1852" i="1"/>
  <c r="E1848" i="5" s="1"/>
  <c r="H1852" i="1"/>
  <c r="H1848" i="5" s="1"/>
  <c r="X1848" i="5" s="1"/>
  <c r="P1852" i="1"/>
  <c r="P1848" i="5" s="1"/>
  <c r="E1853" i="1"/>
  <c r="E1849" i="5" s="1"/>
  <c r="F1853" i="1"/>
  <c r="P1853" i="1"/>
  <c r="P1849" i="5" s="1"/>
  <c r="E1854" i="1"/>
  <c r="E1850" i="5" s="1"/>
  <c r="H1854" i="1"/>
  <c r="H1850" i="5" s="1"/>
  <c r="P1854" i="1"/>
  <c r="P1850" i="5" s="1"/>
  <c r="Q1854" i="1"/>
  <c r="Q1850" i="5" s="1"/>
  <c r="E1855" i="1"/>
  <c r="H1855" i="1"/>
  <c r="J1855" i="1"/>
  <c r="J1851" i="5" s="1"/>
  <c r="K1855" i="1"/>
  <c r="K1851" i="5" s="1"/>
  <c r="K1865" i="5" s="1"/>
  <c r="P1855" i="1"/>
  <c r="P1851" i="5" s="1"/>
  <c r="U1855" i="1"/>
  <c r="U1851" i="5" s="1"/>
  <c r="H1856" i="1"/>
  <c r="P1856" i="1"/>
  <c r="P1852" i="5" s="1"/>
  <c r="E1857" i="1"/>
  <c r="E1853" i="5" s="1"/>
  <c r="F1857" i="1"/>
  <c r="F1853" i="5" s="1"/>
  <c r="P1857" i="1"/>
  <c r="P1853" i="5" s="1"/>
  <c r="F1858" i="1"/>
  <c r="F1854" i="5" s="1"/>
  <c r="P1858" i="1"/>
  <c r="P1854" i="5" s="1"/>
  <c r="Q1858" i="1"/>
  <c r="Q1854" i="5" s="1"/>
  <c r="H1859" i="1"/>
  <c r="H1855" i="5" s="1"/>
  <c r="M1859" i="1"/>
  <c r="M1855" i="5" s="1"/>
  <c r="P1859" i="1"/>
  <c r="H1860" i="1"/>
  <c r="H1856" i="5" s="1"/>
  <c r="P1860" i="1"/>
  <c r="P1856" i="5" s="1"/>
  <c r="E1861" i="1"/>
  <c r="F1861" i="1"/>
  <c r="F1857" i="5" s="1"/>
  <c r="P1861" i="1"/>
  <c r="P1857" i="5" s="1"/>
  <c r="E1862" i="1"/>
  <c r="F1862" i="1"/>
  <c r="F1858" i="5" s="1"/>
  <c r="P1862" i="1"/>
  <c r="P1858" i="5" s="1"/>
  <c r="H1863" i="1"/>
  <c r="H1859" i="5" s="1"/>
  <c r="P1863" i="1"/>
  <c r="P1859" i="5" s="1"/>
  <c r="Q1863" i="1"/>
  <c r="Q1859" i="5" s="1"/>
  <c r="E1864" i="1"/>
  <c r="E1860" i="5" s="1"/>
  <c r="F1864" i="1"/>
  <c r="P1864" i="1"/>
  <c r="P1860" i="5" s="1"/>
  <c r="E1865" i="1"/>
  <c r="F1865" i="1"/>
  <c r="H1865" i="1"/>
  <c r="H1861" i="5" s="1"/>
  <c r="P1865" i="1"/>
  <c r="E1866" i="1"/>
  <c r="H1866" i="1"/>
  <c r="P1866" i="1"/>
  <c r="E1867" i="1"/>
  <c r="E1863" i="5" s="1"/>
  <c r="H1867" i="1"/>
  <c r="H1863" i="5" s="1"/>
  <c r="P1867" i="1"/>
  <c r="G1869" i="1"/>
  <c r="I1869" i="1"/>
  <c r="L1869" i="1"/>
  <c r="N1869" i="1"/>
  <c r="O1869" i="1"/>
  <c r="T1869" i="1"/>
  <c r="V1869" i="1"/>
  <c r="W1869" i="1"/>
  <c r="Y1869" i="1"/>
  <c r="H1872" i="1"/>
  <c r="H1868" i="5" s="1"/>
  <c r="P1872" i="1"/>
  <c r="P1868" i="5" s="1"/>
  <c r="Q1872" i="1"/>
  <c r="Q1868" i="5" s="1"/>
  <c r="H1873" i="1"/>
  <c r="H1869" i="5" s="1"/>
  <c r="M1873" i="1"/>
  <c r="M1869" i="5" s="1"/>
  <c r="P1873" i="1"/>
  <c r="H1874" i="1"/>
  <c r="H1870" i="5" s="1"/>
  <c r="K1874" i="1"/>
  <c r="K1870" i="5" s="1"/>
  <c r="K1899" i="5" s="1"/>
  <c r="M1874" i="1"/>
  <c r="M1870" i="5" s="1"/>
  <c r="P1874" i="1"/>
  <c r="P1870" i="5" s="1"/>
  <c r="H1875" i="1"/>
  <c r="H1871" i="5" s="1"/>
  <c r="P1875" i="1"/>
  <c r="H1876" i="1"/>
  <c r="H1872" i="5" s="1"/>
  <c r="P1876" i="1"/>
  <c r="P1872" i="5" s="1"/>
  <c r="X1876" i="1"/>
  <c r="E1877" i="1"/>
  <c r="E1873" i="5" s="1"/>
  <c r="F1877" i="1"/>
  <c r="F1873" i="5" s="1"/>
  <c r="P1877" i="1"/>
  <c r="P1873" i="5" s="1"/>
  <c r="H1878" i="1"/>
  <c r="H1874" i="5" s="1"/>
  <c r="P1878" i="1"/>
  <c r="F1879" i="1"/>
  <c r="P1879" i="1"/>
  <c r="P1875" i="5" s="1"/>
  <c r="E1880" i="1"/>
  <c r="E1876" i="5" s="1"/>
  <c r="H1880" i="1"/>
  <c r="J1880" i="1"/>
  <c r="J1876" i="5" s="1"/>
  <c r="P1880" i="1"/>
  <c r="P1876" i="5" s="1"/>
  <c r="H1881" i="1"/>
  <c r="H1877" i="5" s="1"/>
  <c r="P1881" i="1"/>
  <c r="P1877" i="5" s="1"/>
  <c r="Q1881" i="1"/>
  <c r="Q1877" i="5" s="1"/>
  <c r="H1882" i="1"/>
  <c r="P1882" i="1"/>
  <c r="P1878" i="5" s="1"/>
  <c r="H1883" i="1"/>
  <c r="P1883" i="1"/>
  <c r="P1879" i="5" s="1"/>
  <c r="Q1883" i="1"/>
  <c r="Q1879" i="5" s="1"/>
  <c r="U1883" i="1"/>
  <c r="U1879" i="5" s="1"/>
  <c r="H1884" i="1"/>
  <c r="P1884" i="1"/>
  <c r="P1880" i="5" s="1"/>
  <c r="H1885" i="1"/>
  <c r="H1881" i="5" s="1"/>
  <c r="X1881" i="5" s="1"/>
  <c r="Z1881" i="5" s="1"/>
  <c r="J1885" i="1"/>
  <c r="J1881" i="5" s="1"/>
  <c r="P1885" i="1"/>
  <c r="P1881" i="5" s="1"/>
  <c r="U1885" i="1"/>
  <c r="U1881" i="5" s="1"/>
  <c r="H1886" i="1"/>
  <c r="P1886" i="1"/>
  <c r="P1882" i="5" s="1"/>
  <c r="E1887" i="1"/>
  <c r="E1883" i="5" s="1"/>
  <c r="F1887" i="1"/>
  <c r="F1883" i="5" s="1"/>
  <c r="P1887" i="1"/>
  <c r="P1883" i="5" s="1"/>
  <c r="H1888" i="1"/>
  <c r="H1884" i="5" s="1"/>
  <c r="P1888" i="1"/>
  <c r="Q1888" i="1"/>
  <c r="Q1884" i="5" s="1"/>
  <c r="E1889" i="1"/>
  <c r="F1889" i="1"/>
  <c r="F1885" i="5" s="1"/>
  <c r="P1889" i="1"/>
  <c r="H1890" i="1"/>
  <c r="P1890" i="1"/>
  <c r="P1886" i="5" s="1"/>
  <c r="E1891" i="1"/>
  <c r="F1891" i="1"/>
  <c r="P1891" i="1"/>
  <c r="E1892" i="1"/>
  <c r="H1892" i="1"/>
  <c r="P1892" i="1"/>
  <c r="H1893" i="1"/>
  <c r="H1889" i="5" s="1"/>
  <c r="P1893" i="1"/>
  <c r="E1894" i="1"/>
  <c r="E1890" i="5" s="1"/>
  <c r="F1894" i="1"/>
  <c r="P1894" i="1"/>
  <c r="P1890" i="5" s="1"/>
  <c r="E1895" i="1"/>
  <c r="E1891" i="5" s="1"/>
  <c r="H1895" i="1"/>
  <c r="H1891" i="5" s="1"/>
  <c r="P1895" i="1"/>
  <c r="H1896" i="1"/>
  <c r="H1892" i="5" s="1"/>
  <c r="P1896" i="1"/>
  <c r="P1892" i="5" s="1"/>
  <c r="E1897" i="1"/>
  <c r="E1893" i="5" s="1"/>
  <c r="F1897" i="1"/>
  <c r="F1893" i="5" s="1"/>
  <c r="P1897" i="1"/>
  <c r="P1893" i="5" s="1"/>
  <c r="F1898" i="1"/>
  <c r="P1898" i="1"/>
  <c r="E1899" i="1"/>
  <c r="E1895" i="5" s="1"/>
  <c r="F1899" i="1"/>
  <c r="P1899" i="1"/>
  <c r="P1895" i="5" s="1"/>
  <c r="H1900" i="1"/>
  <c r="H1896" i="5" s="1"/>
  <c r="M1900" i="1"/>
  <c r="M1896" i="5" s="1"/>
  <c r="P1900" i="1"/>
  <c r="P1896" i="5" s="1"/>
  <c r="E1901" i="1"/>
  <c r="E1897" i="5" s="1"/>
  <c r="F1901" i="1"/>
  <c r="F1897" i="5" s="1"/>
  <c r="I1901" i="1"/>
  <c r="I1897" i="5" s="1"/>
  <c r="I1899" i="5" s="1"/>
  <c r="P1901" i="1"/>
  <c r="G1903" i="1"/>
  <c r="I1903" i="1"/>
  <c r="K1903" i="1"/>
  <c r="L1903" i="1"/>
  <c r="N1903" i="1"/>
  <c r="O1903" i="1"/>
  <c r="T1903" i="1"/>
  <c r="V1903" i="1"/>
  <c r="W1903" i="1"/>
  <c r="Y1903" i="1"/>
  <c r="H1906" i="1"/>
  <c r="P1906" i="1"/>
  <c r="P1902" i="5" s="1"/>
  <c r="E1907" i="1"/>
  <c r="E1903" i="5" s="1"/>
  <c r="F1907" i="1"/>
  <c r="P1907" i="1"/>
  <c r="E1908" i="1"/>
  <c r="E1904" i="5" s="1"/>
  <c r="H1908" i="1"/>
  <c r="H1904" i="5" s="1"/>
  <c r="K1908" i="1"/>
  <c r="P1908" i="1"/>
  <c r="H1909" i="1"/>
  <c r="H1905" i="5" s="1"/>
  <c r="P1909" i="1"/>
  <c r="E1910" i="1"/>
  <c r="F1910" i="1"/>
  <c r="P1910" i="1"/>
  <c r="P1906" i="5" s="1"/>
  <c r="H1911" i="1"/>
  <c r="H1907" i="5" s="1"/>
  <c r="P1911" i="1"/>
  <c r="E1912" i="1"/>
  <c r="E1908" i="5" s="1"/>
  <c r="F1912" i="1"/>
  <c r="P1912" i="1"/>
  <c r="P1908" i="5" s="1"/>
  <c r="E1913" i="1"/>
  <c r="E1909" i="5" s="1"/>
  <c r="H1913" i="1"/>
  <c r="M1913" i="1"/>
  <c r="M1909" i="5" s="1"/>
  <c r="P1913" i="1"/>
  <c r="H1914" i="1"/>
  <c r="P1914" i="1"/>
  <c r="P1910" i="5" s="1"/>
  <c r="E1915" i="1"/>
  <c r="E1911" i="5" s="1"/>
  <c r="F1915" i="1"/>
  <c r="P1915" i="1"/>
  <c r="H1916" i="1"/>
  <c r="P1916" i="1"/>
  <c r="P1912" i="5" s="1"/>
  <c r="H1917" i="1"/>
  <c r="H1913" i="5" s="1"/>
  <c r="P1917" i="1"/>
  <c r="Q1917" i="1"/>
  <c r="U1917" i="1"/>
  <c r="E1918" i="1"/>
  <c r="F1918" i="1"/>
  <c r="H1918" i="1"/>
  <c r="H1914" i="5" s="1"/>
  <c r="P1918" i="1"/>
  <c r="H1919" i="1"/>
  <c r="H1915" i="5" s="1"/>
  <c r="P1919" i="1"/>
  <c r="P1915" i="5" s="1"/>
  <c r="E1920" i="1"/>
  <c r="E1916" i="5" s="1"/>
  <c r="F1920" i="1"/>
  <c r="F1916" i="5" s="1"/>
  <c r="P1920" i="1"/>
  <c r="P1916" i="5" s="1"/>
  <c r="E1921" i="1"/>
  <c r="E1917" i="5" s="1"/>
  <c r="F1921" i="1"/>
  <c r="F1917" i="5" s="1"/>
  <c r="P1921" i="1"/>
  <c r="P1917" i="5" s="1"/>
  <c r="H1922" i="1"/>
  <c r="H1918" i="5" s="1"/>
  <c r="P1922" i="1"/>
  <c r="U1922" i="1"/>
  <c r="H1923" i="1"/>
  <c r="P1923" i="1"/>
  <c r="P1919" i="5" s="1"/>
  <c r="H1924" i="1"/>
  <c r="H1920" i="5" s="1"/>
  <c r="P1924" i="1"/>
  <c r="G1926" i="1"/>
  <c r="I1926" i="1"/>
  <c r="L1926" i="1"/>
  <c r="N1926" i="1"/>
  <c r="O1926" i="1"/>
  <c r="T1926" i="1"/>
  <c r="V1926" i="1"/>
  <c r="W1926" i="1"/>
  <c r="Y1926" i="1"/>
  <c r="F1929" i="1"/>
  <c r="P1929" i="1"/>
  <c r="P1925" i="5" s="1"/>
  <c r="F1930" i="1"/>
  <c r="H1930" i="1"/>
  <c r="H1926" i="5" s="1"/>
  <c r="P1930" i="1"/>
  <c r="U1930" i="1"/>
  <c r="F1931" i="1"/>
  <c r="P1931" i="1"/>
  <c r="E1932" i="1"/>
  <c r="E1928" i="5" s="1"/>
  <c r="H1932" i="1"/>
  <c r="P1932" i="1"/>
  <c r="F1933" i="1"/>
  <c r="P1933" i="1"/>
  <c r="E1934" i="1"/>
  <c r="E1930" i="5" s="1"/>
  <c r="H1934" i="1"/>
  <c r="H1930" i="5" s="1"/>
  <c r="P1934" i="1"/>
  <c r="U1934" i="1"/>
  <c r="E1935" i="1"/>
  <c r="H1935" i="1"/>
  <c r="P1935" i="1"/>
  <c r="U1935" i="1"/>
  <c r="E1936" i="1"/>
  <c r="E1932" i="5" s="1"/>
  <c r="H1936" i="1"/>
  <c r="M1936" i="1"/>
  <c r="M1932" i="5" s="1"/>
  <c r="P1936" i="1"/>
  <c r="P1932" i="5" s="1"/>
  <c r="H1937" i="1"/>
  <c r="H1933" i="5" s="1"/>
  <c r="P1937" i="1"/>
  <c r="Q1937" i="1"/>
  <c r="H1938" i="1"/>
  <c r="H1934" i="5" s="1"/>
  <c r="X1934" i="5" s="1"/>
  <c r="Z1934" i="5" s="1"/>
  <c r="P1938" i="1"/>
  <c r="P1934" i="5" s="1"/>
  <c r="E1939" i="1"/>
  <c r="E1935" i="5" s="1"/>
  <c r="H1939" i="1"/>
  <c r="H1935" i="5" s="1"/>
  <c r="P1939" i="1"/>
  <c r="E1940" i="1"/>
  <c r="F1940" i="1"/>
  <c r="F1936" i="5" s="1"/>
  <c r="P1940" i="1"/>
  <c r="H1941" i="1"/>
  <c r="P1941" i="1"/>
  <c r="U1941" i="1"/>
  <c r="E1942" i="1"/>
  <c r="E1938" i="5" s="1"/>
  <c r="F1942" i="1"/>
  <c r="P1942" i="1"/>
  <c r="H1943" i="1"/>
  <c r="H1939" i="5" s="1"/>
  <c r="P1943" i="1"/>
  <c r="E1944" i="1"/>
  <c r="F1944" i="1"/>
  <c r="H1944" i="1"/>
  <c r="H1940" i="5" s="1"/>
  <c r="X1940" i="5" s="1"/>
  <c r="P1944" i="1"/>
  <c r="P1940" i="5" s="1"/>
  <c r="E1945" i="1"/>
  <c r="F1945" i="1"/>
  <c r="P1945" i="1"/>
  <c r="P1941" i="5" s="1"/>
  <c r="H1946" i="1"/>
  <c r="P1946" i="1"/>
  <c r="P1942" i="5" s="1"/>
  <c r="H1947" i="1"/>
  <c r="H1943" i="5" s="1"/>
  <c r="P1947" i="1"/>
  <c r="P1943" i="5" s="1"/>
  <c r="E1948" i="1"/>
  <c r="F1948" i="1"/>
  <c r="U1948" i="1"/>
  <c r="H1949" i="1"/>
  <c r="H1945" i="5" s="1"/>
  <c r="P1949" i="1"/>
  <c r="H1950" i="1"/>
  <c r="P1950" i="1"/>
  <c r="P1946" i="5" s="1"/>
  <c r="H1951" i="1"/>
  <c r="P1951" i="1"/>
  <c r="P1947" i="5" s="1"/>
  <c r="H1952" i="1"/>
  <c r="H1948" i="5" s="1"/>
  <c r="P1952" i="1"/>
  <c r="U1952" i="1"/>
  <c r="H1953" i="1"/>
  <c r="P1953" i="1"/>
  <c r="P1949" i="5" s="1"/>
  <c r="G1955" i="1"/>
  <c r="I1955" i="1"/>
  <c r="K1955" i="1"/>
  <c r="L1955" i="1"/>
  <c r="N1955" i="1"/>
  <c r="O1955" i="1"/>
  <c r="T1955" i="1"/>
  <c r="V1955" i="1"/>
  <c r="W1955" i="1"/>
  <c r="Y1955" i="1"/>
  <c r="H1958" i="1"/>
  <c r="H1954" i="5" s="1"/>
  <c r="X1954" i="5" s="1"/>
  <c r="Z1954" i="5" s="1"/>
  <c r="P1958" i="1"/>
  <c r="P1954" i="5" s="1"/>
  <c r="E1959" i="1"/>
  <c r="E1955" i="5" s="1"/>
  <c r="H1959" i="1"/>
  <c r="H1955" i="5" s="1"/>
  <c r="X1955" i="5" s="1"/>
  <c r="P1959" i="1"/>
  <c r="P1955" i="5" s="1"/>
  <c r="E1960" i="1"/>
  <c r="H1960" i="1"/>
  <c r="H1956" i="5" s="1"/>
  <c r="J1960" i="1"/>
  <c r="P1960" i="1"/>
  <c r="H1961" i="1"/>
  <c r="H1957" i="5" s="1"/>
  <c r="P1961" i="1"/>
  <c r="P1957" i="5" s="1"/>
  <c r="H1962" i="1"/>
  <c r="P1962" i="1"/>
  <c r="H1963" i="1"/>
  <c r="H1959" i="5" s="1"/>
  <c r="P1963" i="1"/>
  <c r="P1959" i="5" s="1"/>
  <c r="H1964" i="1"/>
  <c r="H1960" i="5" s="1"/>
  <c r="P1964" i="1"/>
  <c r="H1965" i="1"/>
  <c r="H1961" i="5" s="1"/>
  <c r="X1961" i="5" s="1"/>
  <c r="Z1961" i="5" s="1"/>
  <c r="P1965" i="1"/>
  <c r="P1961" i="5" s="1"/>
  <c r="H1966" i="1"/>
  <c r="H1962" i="5" s="1"/>
  <c r="J1966" i="1"/>
  <c r="P1966" i="1"/>
  <c r="H1967" i="1"/>
  <c r="H1963" i="5" s="1"/>
  <c r="X1963" i="5" s="1"/>
  <c r="Z1963" i="5" s="1"/>
  <c r="P1967" i="1"/>
  <c r="P1963" i="5" s="1"/>
  <c r="H1968" i="1"/>
  <c r="H1964" i="5" s="1"/>
  <c r="J1968" i="1"/>
  <c r="P1968" i="1"/>
  <c r="E1969" i="1"/>
  <c r="F1969" i="1"/>
  <c r="P1969" i="1"/>
  <c r="G1971" i="1"/>
  <c r="I1971" i="1"/>
  <c r="K1971" i="1"/>
  <c r="L1971" i="1"/>
  <c r="N1971" i="1"/>
  <c r="O1971" i="1"/>
  <c r="T1971" i="1"/>
  <c r="V1971" i="1"/>
  <c r="W1971" i="1"/>
  <c r="Y1971" i="1"/>
  <c r="R1973" i="1"/>
  <c r="R2914" i="1" s="1"/>
  <c r="S1973" i="1"/>
  <c r="H1979" i="1"/>
  <c r="P1979" i="1"/>
  <c r="H1980" i="1"/>
  <c r="P1980" i="1"/>
  <c r="P1976" i="5" s="1"/>
  <c r="H1981" i="1"/>
  <c r="H1977" i="5" s="1"/>
  <c r="M1981" i="1"/>
  <c r="P1981" i="1"/>
  <c r="H1982" i="1"/>
  <c r="P1982" i="1"/>
  <c r="P1978" i="5" s="1"/>
  <c r="U1982" i="1"/>
  <c r="H1983" i="1"/>
  <c r="P1983" i="1"/>
  <c r="H1984" i="1"/>
  <c r="P1984" i="1"/>
  <c r="H1985" i="1"/>
  <c r="P1985" i="1"/>
  <c r="H1986" i="1"/>
  <c r="H1982" i="5" s="1"/>
  <c r="P1986" i="1"/>
  <c r="H1987" i="1"/>
  <c r="P1987" i="1"/>
  <c r="H1988" i="1"/>
  <c r="P1988" i="1"/>
  <c r="P1984" i="5" s="1"/>
  <c r="E1989" i="1"/>
  <c r="E1985" i="5" s="1"/>
  <c r="F1989" i="1"/>
  <c r="F1985" i="5" s="1"/>
  <c r="F1987" i="5" s="1"/>
  <c r="P1989" i="1"/>
  <c r="P1985" i="5" s="1"/>
  <c r="G1991" i="1"/>
  <c r="I1991" i="1"/>
  <c r="J1991" i="1"/>
  <c r="K1991" i="1"/>
  <c r="L1991" i="1"/>
  <c r="N1991" i="1"/>
  <c r="O1991" i="1"/>
  <c r="Q1991" i="1"/>
  <c r="R1991" i="1"/>
  <c r="S1991" i="1"/>
  <c r="T1991" i="1"/>
  <c r="Y1991" i="1"/>
  <c r="E1994" i="1"/>
  <c r="E1990" i="5" s="1"/>
  <c r="H1994" i="1"/>
  <c r="H1990" i="5" s="1"/>
  <c r="P1994" i="1"/>
  <c r="H1995" i="1"/>
  <c r="M1995" i="1"/>
  <c r="M1991" i="5" s="1"/>
  <c r="P1995" i="1"/>
  <c r="P1991" i="5" s="1"/>
  <c r="H1996" i="1"/>
  <c r="H1992" i="5" s="1"/>
  <c r="P1996" i="1"/>
  <c r="U1996" i="1"/>
  <c r="H1997" i="1"/>
  <c r="P1997" i="1"/>
  <c r="P1993" i="5" s="1"/>
  <c r="H1998" i="1"/>
  <c r="H1994" i="5" s="1"/>
  <c r="P1998" i="1"/>
  <c r="H1999" i="1"/>
  <c r="P1999" i="1"/>
  <c r="P1995" i="5" s="1"/>
  <c r="H2000" i="1"/>
  <c r="H1996" i="5" s="1"/>
  <c r="P2000" i="1"/>
  <c r="H2001" i="1"/>
  <c r="P2001" i="1"/>
  <c r="P1997" i="5" s="1"/>
  <c r="H2002" i="1"/>
  <c r="H1998" i="5" s="1"/>
  <c r="P2002" i="1"/>
  <c r="H2003" i="1"/>
  <c r="M2003" i="1"/>
  <c r="M1999" i="5" s="1"/>
  <c r="P2003" i="1"/>
  <c r="P1999" i="5" s="1"/>
  <c r="H2004" i="1"/>
  <c r="H2000" i="5" s="1"/>
  <c r="P2004" i="1"/>
  <c r="U2004" i="1"/>
  <c r="E2005" i="1"/>
  <c r="F2005" i="1"/>
  <c r="P2005" i="1"/>
  <c r="P2001" i="5" s="1"/>
  <c r="H2006" i="1"/>
  <c r="P2006" i="1"/>
  <c r="P2002" i="5" s="1"/>
  <c r="H2007" i="1"/>
  <c r="H2003" i="5" s="1"/>
  <c r="P2007" i="1"/>
  <c r="P2008" i="1"/>
  <c r="P2004" i="5" s="1"/>
  <c r="X2004" i="5" s="1"/>
  <c r="E2009" i="1"/>
  <c r="E2005" i="5" s="1"/>
  <c r="F2009" i="1"/>
  <c r="P2009" i="1"/>
  <c r="P2005" i="5" s="1"/>
  <c r="E2010" i="1"/>
  <c r="F2010" i="1"/>
  <c r="P2010" i="1"/>
  <c r="P2006" i="5" s="1"/>
  <c r="E2011" i="1"/>
  <c r="E2007" i="5" s="1"/>
  <c r="G2011" i="1"/>
  <c r="P2011" i="1"/>
  <c r="P2007" i="5" s="1"/>
  <c r="H2012" i="1"/>
  <c r="P2012" i="1"/>
  <c r="P2008" i="5" s="1"/>
  <c r="E2013" i="1"/>
  <c r="F2013" i="1"/>
  <c r="P2013" i="1"/>
  <c r="G2015" i="1"/>
  <c r="I2015" i="1"/>
  <c r="J2015" i="1"/>
  <c r="K2015" i="1"/>
  <c r="L2015" i="1"/>
  <c r="N2015" i="1"/>
  <c r="O2015" i="1"/>
  <c r="Q2015" i="1"/>
  <c r="R2015" i="1"/>
  <c r="S2015" i="1"/>
  <c r="T2015" i="1"/>
  <c r="Y2015" i="1"/>
  <c r="H2019" i="1"/>
  <c r="P2019" i="1"/>
  <c r="P2015" i="5" s="1"/>
  <c r="H2020" i="1"/>
  <c r="H2016" i="5" s="1"/>
  <c r="P2020" i="1"/>
  <c r="H2021" i="1"/>
  <c r="H2017" i="5" s="1"/>
  <c r="P2021" i="1"/>
  <c r="P2017" i="5" s="1"/>
  <c r="H2022" i="1"/>
  <c r="H2018" i="5" s="1"/>
  <c r="X2018" i="5" s="1"/>
  <c r="Z2018" i="5" s="1"/>
  <c r="P2022" i="1"/>
  <c r="P2018" i="5" s="1"/>
  <c r="H2023" i="1"/>
  <c r="M2023" i="1"/>
  <c r="N2023" i="1"/>
  <c r="E2024" i="1"/>
  <c r="H2024" i="1"/>
  <c r="M2024" i="1"/>
  <c r="M2020" i="5" s="1"/>
  <c r="P2024" i="1"/>
  <c r="P2020" i="5" s="1"/>
  <c r="H2025" i="1"/>
  <c r="H2021" i="5" s="1"/>
  <c r="P2025" i="1"/>
  <c r="V2025" i="1" s="1"/>
  <c r="V2021" i="5" s="1"/>
  <c r="U2025" i="1"/>
  <c r="H2026" i="1"/>
  <c r="P2026" i="1"/>
  <c r="H2027" i="1"/>
  <c r="H2023" i="5" s="1"/>
  <c r="P2027" i="1"/>
  <c r="H2028" i="1"/>
  <c r="P2028" i="1"/>
  <c r="P2024" i="5" s="1"/>
  <c r="F2029" i="1"/>
  <c r="P2029" i="1"/>
  <c r="H2030" i="1"/>
  <c r="H2026" i="5" s="1"/>
  <c r="M2030" i="1"/>
  <c r="P2030" i="1"/>
  <c r="F2031" i="1"/>
  <c r="P2031" i="1"/>
  <c r="P2027" i="5" s="1"/>
  <c r="H2032" i="1"/>
  <c r="H2028" i="5" s="1"/>
  <c r="P2032" i="1"/>
  <c r="H2033" i="1"/>
  <c r="H2029" i="5" s="1"/>
  <c r="P2033" i="1"/>
  <c r="P2029" i="5" s="1"/>
  <c r="H2034" i="1"/>
  <c r="H2030" i="5" s="1"/>
  <c r="P2034" i="1"/>
  <c r="H2035" i="1"/>
  <c r="M2035" i="1"/>
  <c r="M2031" i="5" s="1"/>
  <c r="P2035" i="1"/>
  <c r="E2036" i="1"/>
  <c r="E2032" i="5" s="1"/>
  <c r="F2036" i="1"/>
  <c r="P2036" i="1"/>
  <c r="P2032" i="5" s="1"/>
  <c r="H2037" i="1"/>
  <c r="P2037" i="1"/>
  <c r="E2038" i="1"/>
  <c r="E2034" i="5" s="1"/>
  <c r="F2038" i="1"/>
  <c r="P2038" i="1"/>
  <c r="P2034" i="5" s="1"/>
  <c r="E2039" i="1"/>
  <c r="E2035" i="5" s="1"/>
  <c r="H2039" i="1"/>
  <c r="P2039" i="1"/>
  <c r="P2035" i="5" s="1"/>
  <c r="G2041" i="1"/>
  <c r="I2041" i="1"/>
  <c r="J2041" i="1"/>
  <c r="K2041" i="1"/>
  <c r="L2041" i="1"/>
  <c r="O2041" i="1"/>
  <c r="Q2041" i="1"/>
  <c r="R2041" i="1"/>
  <c r="S2041" i="1"/>
  <c r="T2041" i="1"/>
  <c r="Y2041" i="1"/>
  <c r="H2045" i="1"/>
  <c r="N2045" i="1"/>
  <c r="H2046" i="1"/>
  <c r="P2046" i="1"/>
  <c r="P2042" i="5" s="1"/>
  <c r="H2047" i="1"/>
  <c r="H2043" i="5" s="1"/>
  <c r="P2047" i="1"/>
  <c r="H2048" i="1"/>
  <c r="H2044" i="5" s="1"/>
  <c r="X2044" i="5" s="1"/>
  <c r="Z2044" i="5" s="1"/>
  <c r="P2048" i="1"/>
  <c r="P2044" i="5" s="1"/>
  <c r="H2049" i="1"/>
  <c r="H2045" i="5" s="1"/>
  <c r="P2049" i="1"/>
  <c r="H2050" i="1"/>
  <c r="P2050" i="1"/>
  <c r="H2051" i="1"/>
  <c r="H2047" i="5" s="1"/>
  <c r="X2047" i="5" s="1"/>
  <c r="Z2047" i="5" s="1"/>
  <c r="P2051" i="1"/>
  <c r="P2047" i="5" s="1"/>
  <c r="H2052" i="1"/>
  <c r="P2052" i="1"/>
  <c r="H2053" i="1"/>
  <c r="H2049" i="5" s="1"/>
  <c r="P2053" i="1"/>
  <c r="H2054" i="1"/>
  <c r="P2054" i="1"/>
  <c r="P2050" i="5" s="1"/>
  <c r="H2055" i="1"/>
  <c r="H2051" i="5" s="1"/>
  <c r="P2055" i="1"/>
  <c r="E2056" i="1"/>
  <c r="F2056" i="1"/>
  <c r="P2056" i="1"/>
  <c r="U2056" i="1"/>
  <c r="E2057" i="1"/>
  <c r="F2057" i="1"/>
  <c r="P2057" i="1"/>
  <c r="P2053" i="5" s="1"/>
  <c r="H2058" i="1"/>
  <c r="X2058" i="1" s="1"/>
  <c r="Z2058" i="1" s="1"/>
  <c r="P2058" i="1"/>
  <c r="E2059" i="1"/>
  <c r="E2055" i="5" s="1"/>
  <c r="G2059" i="1"/>
  <c r="P2059" i="1"/>
  <c r="P2055" i="5" s="1"/>
  <c r="H2060" i="1"/>
  <c r="H2056" i="5" s="1"/>
  <c r="X2056" i="5" s="1"/>
  <c r="Z2056" i="5" s="1"/>
  <c r="U2060" i="1"/>
  <c r="H2061" i="1"/>
  <c r="H2057" i="5" s="1"/>
  <c r="P2061" i="1"/>
  <c r="I2063" i="1"/>
  <c r="J2063" i="1"/>
  <c r="K2063" i="1"/>
  <c r="L2063" i="1"/>
  <c r="O2063" i="1"/>
  <c r="Q2063" i="1"/>
  <c r="R2063" i="1"/>
  <c r="S2063" i="1"/>
  <c r="T2063" i="1"/>
  <c r="Y2063" i="1"/>
  <c r="H2066" i="1"/>
  <c r="H2062" i="5" s="1"/>
  <c r="P2066" i="1"/>
  <c r="H2068" i="1"/>
  <c r="P2068" i="1"/>
  <c r="H2069" i="1"/>
  <c r="H2065" i="5" s="1"/>
  <c r="P2069" i="1"/>
  <c r="H2070" i="1"/>
  <c r="P2070" i="1"/>
  <c r="H2071" i="1"/>
  <c r="H2067" i="5" s="1"/>
  <c r="P2071" i="1"/>
  <c r="H2072" i="1"/>
  <c r="P2072" i="1"/>
  <c r="H2073" i="1"/>
  <c r="H2069" i="5" s="1"/>
  <c r="P2073" i="1"/>
  <c r="H2074" i="1"/>
  <c r="P2074" i="1"/>
  <c r="H2075" i="1"/>
  <c r="H2071" i="5" s="1"/>
  <c r="P2075" i="1"/>
  <c r="H2076" i="1"/>
  <c r="P2076" i="1"/>
  <c r="H2077" i="1"/>
  <c r="H2073" i="5" s="1"/>
  <c r="P2077" i="1"/>
  <c r="H2078" i="1"/>
  <c r="P2078" i="1"/>
  <c r="E2079" i="1"/>
  <c r="E2075" i="5" s="1"/>
  <c r="F2079" i="1"/>
  <c r="H2079" i="1"/>
  <c r="P2079" i="1"/>
  <c r="P2075" i="5" s="1"/>
  <c r="H2080" i="1"/>
  <c r="P2080" i="1"/>
  <c r="H2081" i="1"/>
  <c r="H2077" i="5" s="1"/>
  <c r="P2081" i="1"/>
  <c r="P2077" i="5" s="1"/>
  <c r="F2083" i="1"/>
  <c r="G2083" i="1"/>
  <c r="I2083" i="1"/>
  <c r="J2083" i="1"/>
  <c r="K2083" i="1"/>
  <c r="L2083" i="1"/>
  <c r="N2083" i="1"/>
  <c r="O2083" i="1"/>
  <c r="Q2083" i="1"/>
  <c r="R2083" i="1"/>
  <c r="S2083" i="1"/>
  <c r="T2083" i="1"/>
  <c r="Y2083" i="1"/>
  <c r="E2090" i="1"/>
  <c r="E2086" i="5" s="1"/>
  <c r="H2090" i="1"/>
  <c r="M2090" i="1" s="1"/>
  <c r="M2086" i="5" s="1"/>
  <c r="K2090" i="1"/>
  <c r="P2090" i="1"/>
  <c r="U2090" i="1"/>
  <c r="H2091" i="1"/>
  <c r="H2087" i="5" s="1"/>
  <c r="P2091" i="1"/>
  <c r="P2087" i="5" s="1"/>
  <c r="E2092" i="1"/>
  <c r="H2092" i="1"/>
  <c r="P2092" i="1"/>
  <c r="H2093" i="1"/>
  <c r="M2093" i="1"/>
  <c r="M2089" i="5" s="1"/>
  <c r="P2093" i="1"/>
  <c r="P2089" i="5" s="1"/>
  <c r="H2094" i="1"/>
  <c r="P2094" i="1"/>
  <c r="U2094" i="1"/>
  <c r="E2095" i="1"/>
  <c r="H2095" i="1"/>
  <c r="M2095" i="1"/>
  <c r="M2091" i="5" s="1"/>
  <c r="P2095" i="1"/>
  <c r="H2096" i="1"/>
  <c r="H2092" i="5" s="1"/>
  <c r="P2096" i="1"/>
  <c r="P2092" i="5" s="1"/>
  <c r="Q2096" i="1"/>
  <c r="E2097" i="1"/>
  <c r="H2097" i="1"/>
  <c r="H2093" i="5" s="1"/>
  <c r="P2097" i="1"/>
  <c r="Q2097" i="1"/>
  <c r="E2098" i="1"/>
  <c r="H2098" i="1"/>
  <c r="J2098" i="1"/>
  <c r="P2098" i="1"/>
  <c r="P2094" i="5" s="1"/>
  <c r="H2099" i="1"/>
  <c r="H2095" i="5" s="1"/>
  <c r="P2099" i="1"/>
  <c r="P2095" i="5" s="1"/>
  <c r="H2100" i="1"/>
  <c r="J2100" i="1"/>
  <c r="P2100" i="1"/>
  <c r="P2096" i="5" s="1"/>
  <c r="H2101" i="1"/>
  <c r="H2097" i="5" s="1"/>
  <c r="P2101" i="1"/>
  <c r="P2097" i="5" s="1"/>
  <c r="F2102" i="1"/>
  <c r="P2102" i="1"/>
  <c r="Q2102" i="1"/>
  <c r="U2102" i="1"/>
  <c r="H2103" i="1"/>
  <c r="P2103" i="1"/>
  <c r="P2099" i="5" s="1"/>
  <c r="H2104" i="1"/>
  <c r="H2100" i="5" s="1"/>
  <c r="P2104" i="1"/>
  <c r="P2100" i="5" s="1"/>
  <c r="H2105" i="1"/>
  <c r="P2105" i="1"/>
  <c r="P2101" i="5" s="1"/>
  <c r="X2105" i="1"/>
  <c r="H2106" i="1"/>
  <c r="H2102" i="5" s="1"/>
  <c r="P2106" i="1"/>
  <c r="Q2106" i="1"/>
  <c r="E2107" i="1"/>
  <c r="F2107" i="1"/>
  <c r="P2107" i="1"/>
  <c r="E2108" i="1"/>
  <c r="E2104" i="5" s="1"/>
  <c r="F2108" i="1"/>
  <c r="F2104" i="5" s="1"/>
  <c r="P2108" i="1"/>
  <c r="H2109" i="1"/>
  <c r="M2109" i="1"/>
  <c r="M2105" i="5" s="1"/>
  <c r="P2109" i="1"/>
  <c r="P2105" i="5" s="1"/>
  <c r="E2110" i="1"/>
  <c r="E2106" i="5" s="1"/>
  <c r="H2110" i="1"/>
  <c r="H2106" i="5" s="1"/>
  <c r="P2110" i="1"/>
  <c r="P2106" i="5" s="1"/>
  <c r="H2111" i="1"/>
  <c r="H2107" i="5" s="1"/>
  <c r="P2111" i="1"/>
  <c r="P2107" i="5" s="1"/>
  <c r="H2112" i="1"/>
  <c r="P2112" i="1"/>
  <c r="X2112" i="1"/>
  <c r="X2108" i="5" s="1"/>
  <c r="H2113" i="1"/>
  <c r="H2109" i="5" s="1"/>
  <c r="P2113" i="1"/>
  <c r="P2109" i="5" s="1"/>
  <c r="E2114" i="1"/>
  <c r="F2114" i="1"/>
  <c r="F2110" i="5" s="1"/>
  <c r="P2114" i="1"/>
  <c r="P2110" i="5" s="1"/>
  <c r="G2116" i="1"/>
  <c r="I2116" i="1"/>
  <c r="K2116" i="1"/>
  <c r="L2116" i="1"/>
  <c r="N2116" i="1"/>
  <c r="O2116" i="1"/>
  <c r="T2116" i="1"/>
  <c r="V2116" i="1"/>
  <c r="W2116" i="1"/>
  <c r="Y2116" i="1"/>
  <c r="E2119" i="1"/>
  <c r="H2119" i="1"/>
  <c r="P2119" i="1"/>
  <c r="P2115" i="5" s="1"/>
  <c r="X2119" i="1"/>
  <c r="H2120" i="1"/>
  <c r="H2116" i="5" s="1"/>
  <c r="P2120" i="1"/>
  <c r="Q2120" i="1"/>
  <c r="H2121" i="1"/>
  <c r="H2117" i="5" s="1"/>
  <c r="X2117" i="5" s="1"/>
  <c r="P2121" i="1"/>
  <c r="P2117" i="5" s="1"/>
  <c r="E2122" i="1"/>
  <c r="E2118" i="5" s="1"/>
  <c r="H2122" i="1"/>
  <c r="H2118" i="5" s="1"/>
  <c r="P2122" i="1"/>
  <c r="F2123" i="1"/>
  <c r="H2123" i="1"/>
  <c r="H2119" i="5" s="1"/>
  <c r="P2123" i="1"/>
  <c r="F2124" i="1"/>
  <c r="P2124" i="1"/>
  <c r="E2125" i="1"/>
  <c r="E2121" i="5" s="1"/>
  <c r="F2125" i="1"/>
  <c r="P2125" i="1"/>
  <c r="E2126" i="1"/>
  <c r="E2122" i="5" s="1"/>
  <c r="F2126" i="1"/>
  <c r="P2126" i="1"/>
  <c r="H2127" i="1"/>
  <c r="H2123" i="5" s="1"/>
  <c r="P2127" i="1"/>
  <c r="H2128" i="1"/>
  <c r="H2124" i="5" s="1"/>
  <c r="P2128" i="1"/>
  <c r="H2129" i="1"/>
  <c r="H2125" i="5" s="1"/>
  <c r="P2129" i="1"/>
  <c r="E2130" i="1"/>
  <c r="H2130" i="1"/>
  <c r="H2126" i="5" s="1"/>
  <c r="P2130" i="1"/>
  <c r="E2131" i="1"/>
  <c r="F2131" i="1"/>
  <c r="P2131" i="1"/>
  <c r="H2132" i="1"/>
  <c r="H2128" i="5" s="1"/>
  <c r="X2128" i="5" s="1"/>
  <c r="P2132" i="1"/>
  <c r="P2128" i="5" s="1"/>
  <c r="H2133" i="1"/>
  <c r="H2129" i="5" s="1"/>
  <c r="P2133" i="1"/>
  <c r="U2133" i="1"/>
  <c r="H2134" i="1"/>
  <c r="P2134" i="1"/>
  <c r="P2130" i="5" s="1"/>
  <c r="X2134" i="1"/>
  <c r="Z2134" i="1" s="1"/>
  <c r="E2135" i="1"/>
  <c r="E2131" i="5" s="1"/>
  <c r="F2135" i="1"/>
  <c r="F2131" i="5" s="1"/>
  <c r="P2135" i="1"/>
  <c r="P2131" i="5" s="1"/>
  <c r="H2136" i="1"/>
  <c r="P2136" i="1"/>
  <c r="Q2136" i="1"/>
  <c r="U2136" i="1"/>
  <c r="E2137" i="1"/>
  <c r="H2137" i="1"/>
  <c r="J2137" i="1"/>
  <c r="M2137" i="1"/>
  <c r="M2133" i="5" s="1"/>
  <c r="P2137" i="1"/>
  <c r="H2138" i="1"/>
  <c r="H2134" i="5" s="1"/>
  <c r="P2138" i="1"/>
  <c r="F2139" i="1"/>
  <c r="P2139" i="1"/>
  <c r="U2139" i="1"/>
  <c r="E2140" i="1"/>
  <c r="E2136" i="5" s="1"/>
  <c r="F2140" i="1"/>
  <c r="P2140" i="1"/>
  <c r="U2140" i="1"/>
  <c r="G2142" i="1"/>
  <c r="I2142" i="1"/>
  <c r="K2142" i="1"/>
  <c r="L2142" i="1"/>
  <c r="N2142" i="1"/>
  <c r="O2142" i="1"/>
  <c r="T2142" i="1"/>
  <c r="V2142" i="1"/>
  <c r="W2142" i="1"/>
  <c r="Y2142" i="1"/>
  <c r="H2145" i="1"/>
  <c r="J2145" i="1"/>
  <c r="J2141" i="5" s="1"/>
  <c r="P2145" i="1"/>
  <c r="P2141" i="5" s="1"/>
  <c r="E2146" i="1"/>
  <c r="E2142" i="5" s="1"/>
  <c r="H2146" i="1"/>
  <c r="H2142" i="5" s="1"/>
  <c r="K2146" i="1"/>
  <c r="K2142" i="5" s="1"/>
  <c r="P2146" i="1"/>
  <c r="E2147" i="1"/>
  <c r="E2143" i="5" s="1"/>
  <c r="H2147" i="1"/>
  <c r="M2147" i="1"/>
  <c r="M2143" i="5" s="1"/>
  <c r="P2147" i="1"/>
  <c r="P2143" i="5" s="1"/>
  <c r="H2148" i="1"/>
  <c r="H2144" i="5" s="1"/>
  <c r="P2148" i="1"/>
  <c r="U2148" i="1" s="1"/>
  <c r="Q2148" i="1"/>
  <c r="E2149" i="1"/>
  <c r="F2149" i="1"/>
  <c r="H2149" i="1"/>
  <c r="H2145" i="5" s="1"/>
  <c r="P2149" i="1"/>
  <c r="F2150" i="1"/>
  <c r="P2150" i="1"/>
  <c r="H2151" i="1"/>
  <c r="H2147" i="5" s="1"/>
  <c r="P2151" i="1"/>
  <c r="P2147" i="5" s="1"/>
  <c r="E2152" i="1"/>
  <c r="H2152" i="1"/>
  <c r="H2148" i="5" s="1"/>
  <c r="P2152" i="1"/>
  <c r="U2152" i="1"/>
  <c r="E2153" i="1"/>
  <c r="H2153" i="1"/>
  <c r="J2153" i="1"/>
  <c r="M2153" i="1"/>
  <c r="M2149" i="5" s="1"/>
  <c r="P2153" i="1"/>
  <c r="E2154" i="1"/>
  <c r="E2150" i="5" s="1"/>
  <c r="H2154" i="1"/>
  <c r="P2154" i="1"/>
  <c r="P2150" i="5" s="1"/>
  <c r="E2155" i="1"/>
  <c r="E2151" i="5" s="1"/>
  <c r="H2155" i="1"/>
  <c r="H2151" i="5" s="1"/>
  <c r="P2155" i="1"/>
  <c r="P2151" i="5" s="1"/>
  <c r="E2156" i="1"/>
  <c r="F2156" i="1"/>
  <c r="P2156" i="1"/>
  <c r="P2152" i="5" s="1"/>
  <c r="Q2156" i="1"/>
  <c r="E2157" i="1"/>
  <c r="H2157" i="1"/>
  <c r="H2153" i="5" s="1"/>
  <c r="P2157" i="1"/>
  <c r="U2157" i="1" s="1"/>
  <c r="Q2157" i="1"/>
  <c r="E2158" i="1"/>
  <c r="F2158" i="1"/>
  <c r="H2158" i="1"/>
  <c r="H2154" i="5" s="1"/>
  <c r="P2158" i="1"/>
  <c r="E2159" i="1"/>
  <c r="E2155" i="5" s="1"/>
  <c r="F2159" i="1"/>
  <c r="P2159" i="1"/>
  <c r="P2155" i="5" s="1"/>
  <c r="E2160" i="1"/>
  <c r="F2160" i="1"/>
  <c r="F2156" i="5" s="1"/>
  <c r="P2160" i="1"/>
  <c r="U2160" i="1"/>
  <c r="H2161" i="1"/>
  <c r="P2161" i="1"/>
  <c r="P2157" i="5" s="1"/>
  <c r="E2162" i="1"/>
  <c r="E2158" i="5" s="1"/>
  <c r="H2162" i="1"/>
  <c r="H2158" i="5" s="1"/>
  <c r="P2162" i="1"/>
  <c r="P2158" i="5" s="1"/>
  <c r="E2163" i="1"/>
  <c r="F2163" i="1"/>
  <c r="H2163" i="1"/>
  <c r="H2159" i="5" s="1"/>
  <c r="P2163" i="1"/>
  <c r="P2159" i="5" s="1"/>
  <c r="H2164" i="1"/>
  <c r="H2160" i="5" s="1"/>
  <c r="X2160" i="5" s="1"/>
  <c r="Z2160" i="5" s="1"/>
  <c r="P2164" i="1"/>
  <c r="P2160" i="5" s="1"/>
  <c r="H2165" i="1"/>
  <c r="M2165" i="1" s="1"/>
  <c r="M2161" i="5" s="1"/>
  <c r="J2165" i="1"/>
  <c r="P2165" i="1"/>
  <c r="H2166" i="1"/>
  <c r="H2162" i="5" s="1"/>
  <c r="P2166" i="1"/>
  <c r="H2167" i="1"/>
  <c r="H2163" i="5" s="1"/>
  <c r="P2167" i="1"/>
  <c r="E2168" i="1"/>
  <c r="E2164" i="5" s="1"/>
  <c r="H2168" i="1"/>
  <c r="P2168" i="1"/>
  <c r="H2169" i="1"/>
  <c r="H2165" i="5" s="1"/>
  <c r="P2169" i="1"/>
  <c r="P2165" i="5" s="1"/>
  <c r="H2170" i="1"/>
  <c r="H2166" i="5" s="1"/>
  <c r="P2170" i="1"/>
  <c r="U2170" i="1"/>
  <c r="H2171" i="1"/>
  <c r="H2167" i="5" s="1"/>
  <c r="X2167" i="5" s="1"/>
  <c r="Z2167" i="5" s="1"/>
  <c r="P2171" i="1"/>
  <c r="P2167" i="5" s="1"/>
  <c r="E2172" i="1"/>
  <c r="H2172" i="1"/>
  <c r="H2168" i="5" s="1"/>
  <c r="X2168" i="5" s="1"/>
  <c r="K2172" i="1"/>
  <c r="P2172" i="1"/>
  <c r="P2168" i="5" s="1"/>
  <c r="H2173" i="1"/>
  <c r="H2169" i="5" s="1"/>
  <c r="P2173" i="1"/>
  <c r="U2173" i="1"/>
  <c r="E2174" i="1"/>
  <c r="E2170" i="5" s="1"/>
  <c r="F2174" i="1"/>
  <c r="P2174" i="1"/>
  <c r="P2170" i="5" s="1"/>
  <c r="E2175" i="1"/>
  <c r="H2175" i="1"/>
  <c r="P2175" i="1"/>
  <c r="P2171" i="5" s="1"/>
  <c r="X2175" i="1"/>
  <c r="G2177" i="1"/>
  <c r="I2177" i="1"/>
  <c r="L2177" i="1"/>
  <c r="N2177" i="1"/>
  <c r="O2177" i="1"/>
  <c r="T2177" i="1"/>
  <c r="V2177" i="1"/>
  <c r="W2177" i="1"/>
  <c r="Y2177" i="1"/>
  <c r="E2180" i="1"/>
  <c r="H2180" i="1"/>
  <c r="M2180" i="1"/>
  <c r="M2176" i="5" s="1"/>
  <c r="P2180" i="1"/>
  <c r="E2181" i="1"/>
  <c r="E2177" i="5" s="1"/>
  <c r="H2181" i="1"/>
  <c r="P2181" i="1"/>
  <c r="P2177" i="5" s="1"/>
  <c r="H2182" i="1"/>
  <c r="H2178" i="5" s="1"/>
  <c r="P2182" i="1"/>
  <c r="E2183" i="1"/>
  <c r="H2183" i="1"/>
  <c r="J2183" i="1"/>
  <c r="P2183" i="1"/>
  <c r="P2179" i="5" s="1"/>
  <c r="H2184" i="1"/>
  <c r="H2180" i="5" s="1"/>
  <c r="P2184" i="1"/>
  <c r="P2180" i="5" s="1"/>
  <c r="H2185" i="1"/>
  <c r="P2185" i="1"/>
  <c r="P2181" i="5" s="1"/>
  <c r="H2186" i="1"/>
  <c r="H2182" i="5" s="1"/>
  <c r="P2186" i="1"/>
  <c r="P2182" i="5" s="1"/>
  <c r="H2187" i="1"/>
  <c r="P2187" i="1"/>
  <c r="P2183" i="5" s="1"/>
  <c r="H2188" i="1"/>
  <c r="H2184" i="5" s="1"/>
  <c r="X2184" i="5" s="1"/>
  <c r="Z2184" i="5" s="1"/>
  <c r="P2188" i="1"/>
  <c r="P2184" i="5" s="1"/>
  <c r="H2189" i="1"/>
  <c r="J2189" i="1"/>
  <c r="P2189" i="1"/>
  <c r="P2185" i="5" s="1"/>
  <c r="E2190" i="1"/>
  <c r="E2186" i="5" s="1"/>
  <c r="H2190" i="1"/>
  <c r="H2186" i="5" s="1"/>
  <c r="P2190" i="1"/>
  <c r="P2186" i="5" s="1"/>
  <c r="E2191" i="1"/>
  <c r="E2187" i="5" s="1"/>
  <c r="F2191" i="1"/>
  <c r="F2187" i="5" s="1"/>
  <c r="P2191" i="1"/>
  <c r="P2187" i="5" s="1"/>
  <c r="H2192" i="1"/>
  <c r="P2192" i="1"/>
  <c r="H2193" i="1"/>
  <c r="P2193" i="1"/>
  <c r="H2194" i="1"/>
  <c r="P2194" i="1"/>
  <c r="P2190" i="5" s="1"/>
  <c r="E2195" i="1"/>
  <c r="F2195" i="1"/>
  <c r="H2195" i="1"/>
  <c r="H2191" i="5" s="1"/>
  <c r="P2195" i="1"/>
  <c r="H2196" i="1"/>
  <c r="P2196" i="1"/>
  <c r="U2196" i="1"/>
  <c r="G2198" i="1"/>
  <c r="I2198" i="1"/>
  <c r="K2198" i="1"/>
  <c r="L2198" i="1"/>
  <c r="N2198" i="1"/>
  <c r="O2198" i="1"/>
  <c r="T2198" i="1"/>
  <c r="V2198" i="1"/>
  <c r="W2198" i="1"/>
  <c r="Y2198" i="1"/>
  <c r="E2201" i="1"/>
  <c r="E2197" i="5" s="1"/>
  <c r="H2201" i="1"/>
  <c r="H2197" i="5" s="1"/>
  <c r="X2197" i="5" s="1"/>
  <c r="P2201" i="1"/>
  <c r="P2197" i="5" s="1"/>
  <c r="H2202" i="1"/>
  <c r="M2202" i="1"/>
  <c r="M2198" i="5" s="1"/>
  <c r="P2202" i="1"/>
  <c r="E2203" i="1"/>
  <c r="E2199" i="5" s="1"/>
  <c r="H2203" i="1"/>
  <c r="M2203" i="1"/>
  <c r="M2199" i="5" s="1"/>
  <c r="P2203" i="1"/>
  <c r="P2199" i="5" s="1"/>
  <c r="E2204" i="1"/>
  <c r="E2200" i="5" s="1"/>
  <c r="F2204" i="1"/>
  <c r="F2200" i="5" s="1"/>
  <c r="P2204" i="1"/>
  <c r="P2200" i="5" s="1"/>
  <c r="E2205" i="1"/>
  <c r="E2201" i="5" s="1"/>
  <c r="H2205" i="1"/>
  <c r="H2201" i="5" s="1"/>
  <c r="P2205" i="1"/>
  <c r="P2201" i="5" s="1"/>
  <c r="Q2205" i="1"/>
  <c r="H2206" i="1"/>
  <c r="M2206" i="1"/>
  <c r="M2202" i="5" s="1"/>
  <c r="P2206" i="1"/>
  <c r="E2207" i="1"/>
  <c r="E2203" i="5" s="1"/>
  <c r="H2207" i="1"/>
  <c r="P2207" i="1"/>
  <c r="P2203" i="5" s="1"/>
  <c r="H2208" i="1"/>
  <c r="H2204" i="5" s="1"/>
  <c r="P2208" i="1"/>
  <c r="U2208" i="1"/>
  <c r="E2209" i="1"/>
  <c r="H2209" i="1"/>
  <c r="P2209" i="1"/>
  <c r="U2209" i="1"/>
  <c r="H2210" i="1"/>
  <c r="H2206" i="5" s="1"/>
  <c r="X2206" i="5" s="1"/>
  <c r="Z2206" i="5" s="1"/>
  <c r="P2210" i="1"/>
  <c r="P2206" i="5" s="1"/>
  <c r="E2211" i="1"/>
  <c r="H2211" i="1"/>
  <c r="H2207" i="5" s="1"/>
  <c r="X2207" i="5" s="1"/>
  <c r="P2211" i="1"/>
  <c r="P2207" i="5" s="1"/>
  <c r="E2212" i="1"/>
  <c r="F2212" i="1"/>
  <c r="F2208" i="5" s="1"/>
  <c r="P2212" i="1"/>
  <c r="E2213" i="1"/>
  <c r="F2213" i="1"/>
  <c r="P2213" i="1"/>
  <c r="E2214" i="1"/>
  <c r="H2214" i="1"/>
  <c r="J2214" i="1"/>
  <c r="P2214" i="1"/>
  <c r="P2210" i="5" s="1"/>
  <c r="P2215" i="1"/>
  <c r="P2211" i="5" s="1"/>
  <c r="X2211" i="5" s="1"/>
  <c r="Z2211" i="5" s="1"/>
  <c r="H2216" i="1"/>
  <c r="H2212" i="5" s="1"/>
  <c r="P2216" i="1"/>
  <c r="E2217" i="1"/>
  <c r="E2213" i="5" s="1"/>
  <c r="F2217" i="1"/>
  <c r="F2213" i="5" s="1"/>
  <c r="P2217" i="1"/>
  <c r="P2213" i="5" s="1"/>
  <c r="H2218" i="1"/>
  <c r="H2214" i="5" s="1"/>
  <c r="P2218" i="1"/>
  <c r="H2219" i="1"/>
  <c r="H2215" i="5" s="1"/>
  <c r="P2219" i="1"/>
  <c r="P2215" i="5" s="1"/>
  <c r="H2220" i="1"/>
  <c r="H2216" i="5" s="1"/>
  <c r="P2220" i="1"/>
  <c r="U2220" i="1"/>
  <c r="F2221" i="1"/>
  <c r="F2217" i="5" s="1"/>
  <c r="P2221" i="1"/>
  <c r="P2217" i="5" s="1"/>
  <c r="G2223" i="1"/>
  <c r="I2223" i="1"/>
  <c r="K2223" i="1"/>
  <c r="L2223" i="1"/>
  <c r="N2223" i="1"/>
  <c r="O2223" i="1"/>
  <c r="T2223" i="1"/>
  <c r="V2223" i="1"/>
  <c r="W2223" i="1"/>
  <c r="Y2223" i="1"/>
  <c r="E2226" i="1"/>
  <c r="H2226" i="1"/>
  <c r="K2226" i="1"/>
  <c r="M2226" i="1"/>
  <c r="P2226" i="1"/>
  <c r="U2226" i="1"/>
  <c r="X2226" i="1"/>
  <c r="E2227" i="1"/>
  <c r="H2227" i="1"/>
  <c r="J2227" i="1"/>
  <c r="P2227" i="1"/>
  <c r="P2223" i="5" s="1"/>
  <c r="E2228" i="1"/>
  <c r="E2224" i="5" s="1"/>
  <c r="H2228" i="1"/>
  <c r="H2224" i="5" s="1"/>
  <c r="P2228" i="1"/>
  <c r="P2224" i="5" s="1"/>
  <c r="F2229" i="1"/>
  <c r="P2229" i="1"/>
  <c r="E2230" i="1"/>
  <c r="F2230" i="1"/>
  <c r="P2230" i="1"/>
  <c r="P2226" i="5" s="1"/>
  <c r="H2231" i="1"/>
  <c r="P2231" i="1"/>
  <c r="P2227" i="5" s="1"/>
  <c r="E2232" i="1"/>
  <c r="E2228" i="5" s="1"/>
  <c r="Z2228" i="5" s="1"/>
  <c r="H2232" i="1"/>
  <c r="H2228" i="5" s="1"/>
  <c r="X2228" i="5" s="1"/>
  <c r="P2232" i="1"/>
  <c r="P2228" i="5" s="1"/>
  <c r="H2233" i="1"/>
  <c r="P2233" i="1"/>
  <c r="H2234" i="1"/>
  <c r="H2230" i="5" s="1"/>
  <c r="P2234" i="1"/>
  <c r="P2230" i="5" s="1"/>
  <c r="E2235" i="1"/>
  <c r="E2231" i="5" s="1"/>
  <c r="F2235" i="1"/>
  <c r="F2231" i="5" s="1"/>
  <c r="P2235" i="1"/>
  <c r="P2231" i="5" s="1"/>
  <c r="H2236" i="1"/>
  <c r="H2232" i="5" s="1"/>
  <c r="P2236" i="1"/>
  <c r="P2232" i="5" s="1"/>
  <c r="H2237" i="1"/>
  <c r="P2237" i="1"/>
  <c r="P2233" i="5" s="1"/>
  <c r="H2238" i="1"/>
  <c r="H2234" i="5" s="1"/>
  <c r="P2238" i="1"/>
  <c r="U2238" i="1"/>
  <c r="E2239" i="1"/>
  <c r="F2239" i="1"/>
  <c r="P2239" i="1"/>
  <c r="H2240" i="1"/>
  <c r="H2236" i="5" s="1"/>
  <c r="X2236" i="5" s="1"/>
  <c r="Z2236" i="5" s="1"/>
  <c r="P2240" i="1"/>
  <c r="P2236" i="5" s="1"/>
  <c r="AB2240" i="1"/>
  <c r="H2241" i="1"/>
  <c r="P2241" i="1"/>
  <c r="AB2241" i="1"/>
  <c r="H2242" i="1"/>
  <c r="P2242" i="1"/>
  <c r="H2243" i="1"/>
  <c r="P2243" i="1"/>
  <c r="H2244" i="1"/>
  <c r="M2244" i="1"/>
  <c r="M2240" i="5" s="1"/>
  <c r="P2244" i="1"/>
  <c r="E2245" i="1"/>
  <c r="E2241" i="5" s="1"/>
  <c r="H2245" i="1"/>
  <c r="H2241" i="5" s="1"/>
  <c r="P2245" i="1"/>
  <c r="P2241" i="5" s="1"/>
  <c r="G2247" i="1"/>
  <c r="I2247" i="1"/>
  <c r="L2247" i="1"/>
  <c r="N2247" i="1"/>
  <c r="O2247" i="1"/>
  <c r="T2247" i="1"/>
  <c r="V2247" i="1"/>
  <c r="W2247" i="1"/>
  <c r="Y2247" i="1"/>
  <c r="E2250" i="1"/>
  <c r="E2246" i="5" s="1"/>
  <c r="H2250" i="1"/>
  <c r="H2246" i="5" s="1"/>
  <c r="X2246" i="5" s="1"/>
  <c r="P2250" i="1"/>
  <c r="P2246" i="5" s="1"/>
  <c r="H2251" i="1"/>
  <c r="H2247" i="5" s="1"/>
  <c r="P2251" i="1"/>
  <c r="Q2251" i="1"/>
  <c r="H2252" i="1"/>
  <c r="H2248" i="5" s="1"/>
  <c r="X2248" i="5" s="1"/>
  <c r="Z2248" i="5" s="1"/>
  <c r="P2252" i="1"/>
  <c r="P2248" i="5" s="1"/>
  <c r="H2253" i="1"/>
  <c r="H2249" i="5" s="1"/>
  <c r="P2253" i="1"/>
  <c r="H2254" i="1"/>
  <c r="H2250" i="5" s="1"/>
  <c r="P2254" i="1"/>
  <c r="P2250" i="5" s="1"/>
  <c r="E2255" i="1"/>
  <c r="H2255" i="1"/>
  <c r="H2251" i="5" s="1"/>
  <c r="X2251" i="5" s="1"/>
  <c r="P2255" i="1"/>
  <c r="P2251" i="5" s="1"/>
  <c r="H2256" i="1"/>
  <c r="H2252" i="5" s="1"/>
  <c r="P2256" i="1"/>
  <c r="E2257" i="1"/>
  <c r="E2253" i="5" s="1"/>
  <c r="F2257" i="1"/>
  <c r="P2257" i="1"/>
  <c r="P2253" i="5" s="1"/>
  <c r="H2258" i="1"/>
  <c r="H2254" i="5" s="1"/>
  <c r="X2254" i="5" s="1"/>
  <c r="Z2254" i="5" s="1"/>
  <c r="P2258" i="1"/>
  <c r="P2254" i="5" s="1"/>
  <c r="Q2258" i="1"/>
  <c r="E2259" i="1"/>
  <c r="F2259" i="1"/>
  <c r="F2255" i="5" s="1"/>
  <c r="P2259" i="1"/>
  <c r="P2255" i="5" s="1"/>
  <c r="E2260" i="1"/>
  <c r="F2260" i="1"/>
  <c r="P2260" i="1"/>
  <c r="E2261" i="1"/>
  <c r="F2261" i="1"/>
  <c r="P2261" i="1"/>
  <c r="P2257" i="5" s="1"/>
  <c r="H2262" i="1"/>
  <c r="J2262" i="1"/>
  <c r="P2262" i="1"/>
  <c r="P2258" i="5" s="1"/>
  <c r="H2263" i="1"/>
  <c r="H2259" i="5" s="1"/>
  <c r="X2259" i="5" s="1"/>
  <c r="Z2259" i="5" s="1"/>
  <c r="P2263" i="1"/>
  <c r="P2259" i="5" s="1"/>
  <c r="E2264" i="1"/>
  <c r="H2264" i="1"/>
  <c r="H2260" i="5" s="1"/>
  <c r="P2264" i="1"/>
  <c r="U2264" i="1"/>
  <c r="G2266" i="1"/>
  <c r="I2266" i="1"/>
  <c r="K2266" i="1"/>
  <c r="L2266" i="1"/>
  <c r="N2266" i="1"/>
  <c r="O2266" i="1"/>
  <c r="T2266" i="1"/>
  <c r="V2266" i="1"/>
  <c r="W2266" i="1"/>
  <c r="Y2266" i="1"/>
  <c r="E2269" i="1"/>
  <c r="H2269" i="1"/>
  <c r="K2269" i="1"/>
  <c r="P2269" i="1"/>
  <c r="E2270" i="1"/>
  <c r="E2266" i="5" s="1"/>
  <c r="H2270" i="1"/>
  <c r="H2266" i="5" s="1"/>
  <c r="P2270" i="1"/>
  <c r="H2271" i="1"/>
  <c r="J2271" i="1"/>
  <c r="M2271" i="1"/>
  <c r="M2267" i="5" s="1"/>
  <c r="P2271" i="1"/>
  <c r="E2272" i="1"/>
  <c r="E2268" i="5" s="1"/>
  <c r="F2272" i="1"/>
  <c r="P2272" i="1"/>
  <c r="H2273" i="1"/>
  <c r="H2269" i="5" s="1"/>
  <c r="P2273" i="1"/>
  <c r="H2274" i="1"/>
  <c r="H2270" i="5" s="1"/>
  <c r="P2274" i="1"/>
  <c r="U2274" i="1"/>
  <c r="F2275" i="1"/>
  <c r="F2271" i="5" s="1"/>
  <c r="P2275" i="1"/>
  <c r="P2271" i="5" s="1"/>
  <c r="F2276" i="1"/>
  <c r="F2272" i="5" s="1"/>
  <c r="P2276" i="1"/>
  <c r="P2272" i="5" s="1"/>
  <c r="H2277" i="1"/>
  <c r="P2277" i="1"/>
  <c r="E2278" i="1"/>
  <c r="E2274" i="5" s="1"/>
  <c r="F2278" i="1"/>
  <c r="P2278" i="1"/>
  <c r="U2278" i="1"/>
  <c r="E2279" i="1"/>
  <c r="E2275" i="5" s="1"/>
  <c r="H2279" i="1"/>
  <c r="P2279" i="1"/>
  <c r="P2275" i="5" s="1"/>
  <c r="H2280" i="1"/>
  <c r="P2280" i="1"/>
  <c r="P2276" i="5" s="1"/>
  <c r="E2281" i="1"/>
  <c r="E2277" i="5" s="1"/>
  <c r="H2281" i="1"/>
  <c r="H2277" i="5" s="1"/>
  <c r="P2281" i="1"/>
  <c r="E2282" i="1"/>
  <c r="E2278" i="5" s="1"/>
  <c r="F2282" i="1"/>
  <c r="P2282" i="1"/>
  <c r="P2278" i="5" s="1"/>
  <c r="H2283" i="1"/>
  <c r="H2279" i="5" s="1"/>
  <c r="P2283" i="1"/>
  <c r="E2284" i="1"/>
  <c r="H2284" i="1"/>
  <c r="P2284" i="1"/>
  <c r="U2284" i="1"/>
  <c r="X2284" i="1"/>
  <c r="H2285" i="1"/>
  <c r="P2285" i="1"/>
  <c r="U2285" i="1"/>
  <c r="H2286" i="1"/>
  <c r="P2286" i="1"/>
  <c r="E2287" i="1"/>
  <c r="E2283" i="5" s="1"/>
  <c r="H2287" i="1"/>
  <c r="P2287" i="1"/>
  <c r="P2283" i="5" s="1"/>
  <c r="H2288" i="1"/>
  <c r="P2288" i="1"/>
  <c r="H2289" i="1"/>
  <c r="P2289" i="1"/>
  <c r="P2285" i="5" s="1"/>
  <c r="F2290" i="1"/>
  <c r="P2290" i="1"/>
  <c r="P2286" i="5" s="1"/>
  <c r="H2291" i="1"/>
  <c r="P2291" i="1"/>
  <c r="P2287" i="5" s="1"/>
  <c r="F2292" i="1"/>
  <c r="F2288" i="5" s="1"/>
  <c r="P2292" i="1"/>
  <c r="P2288" i="5" s="1"/>
  <c r="H2293" i="1"/>
  <c r="H2289" i="5" s="1"/>
  <c r="P2293" i="1"/>
  <c r="E2294" i="1"/>
  <c r="F2294" i="1"/>
  <c r="I2294" i="1"/>
  <c r="I2290" i="5" s="1"/>
  <c r="I2292" i="5" s="1"/>
  <c r="I2294" i="5" s="1"/>
  <c r="I2937" i="5" s="1"/>
  <c r="P2294" i="1"/>
  <c r="P2290" i="5" s="1"/>
  <c r="G2296" i="1"/>
  <c r="L2296" i="1"/>
  <c r="N2296" i="1"/>
  <c r="O2296" i="1"/>
  <c r="T2296" i="1"/>
  <c r="V2296" i="1"/>
  <c r="W2296" i="1"/>
  <c r="Y2296" i="1"/>
  <c r="H2305" i="1"/>
  <c r="H2299" i="5" s="1"/>
  <c r="P2305" i="1"/>
  <c r="U2305" i="1"/>
  <c r="E2306" i="1"/>
  <c r="E2300" i="5" s="1"/>
  <c r="H2306" i="1"/>
  <c r="M2306" i="1"/>
  <c r="M2300" i="5" s="1"/>
  <c r="P2306" i="1"/>
  <c r="E2307" i="1"/>
  <c r="E2301" i="5" s="1"/>
  <c r="H2307" i="1"/>
  <c r="H2301" i="5" s="1"/>
  <c r="P2307" i="1"/>
  <c r="P2301" i="5" s="1"/>
  <c r="H2308" i="1"/>
  <c r="P2308" i="1"/>
  <c r="U2308" i="1"/>
  <c r="H2309" i="1"/>
  <c r="H2303" i="5" s="1"/>
  <c r="P2309" i="1"/>
  <c r="P2303" i="5" s="1"/>
  <c r="E2310" i="1"/>
  <c r="F2310" i="1"/>
  <c r="F2304" i="5" s="1"/>
  <c r="P2310" i="1"/>
  <c r="P2304" i="5" s="1"/>
  <c r="H2311" i="1"/>
  <c r="M2311" i="1"/>
  <c r="M2305" i="5" s="1"/>
  <c r="P2311" i="1"/>
  <c r="E2312" i="1"/>
  <c r="E2306" i="5" s="1"/>
  <c r="F2312" i="1"/>
  <c r="P2312" i="1"/>
  <c r="E2313" i="1"/>
  <c r="E2307" i="5" s="1"/>
  <c r="F2313" i="1"/>
  <c r="P2313" i="1"/>
  <c r="H2314" i="1"/>
  <c r="H2308" i="5" s="1"/>
  <c r="P2314" i="1"/>
  <c r="P2308" i="5" s="1"/>
  <c r="H2315" i="1"/>
  <c r="J2315" i="1"/>
  <c r="P2315" i="1"/>
  <c r="X2315" i="1"/>
  <c r="X2309" i="5" s="1"/>
  <c r="H2316" i="1"/>
  <c r="H2310" i="5" s="1"/>
  <c r="P2316" i="1"/>
  <c r="E2317" i="1"/>
  <c r="E2311" i="5" s="1"/>
  <c r="H2317" i="1"/>
  <c r="H2311" i="5" s="1"/>
  <c r="P2317" i="1"/>
  <c r="G2319" i="1"/>
  <c r="I2319" i="1"/>
  <c r="K2319" i="1"/>
  <c r="L2319" i="1"/>
  <c r="N2319" i="1"/>
  <c r="O2319" i="1"/>
  <c r="T2319" i="1"/>
  <c r="V2319" i="1"/>
  <c r="W2319" i="1"/>
  <c r="Y2319" i="1"/>
  <c r="H2323" i="1"/>
  <c r="M2323" i="1" s="1"/>
  <c r="M2317" i="5" s="1"/>
  <c r="P2323" i="1"/>
  <c r="E2327" i="1"/>
  <c r="E2321" i="5" s="1"/>
  <c r="H2327" i="1"/>
  <c r="H2321" i="5" s="1"/>
  <c r="P2327" i="1"/>
  <c r="P2321" i="5" s="1"/>
  <c r="E2328" i="1"/>
  <c r="H2328" i="1"/>
  <c r="H2322" i="5" s="1"/>
  <c r="P2328" i="1"/>
  <c r="Q2328" i="1"/>
  <c r="H2329" i="1"/>
  <c r="H2323" i="5" s="1"/>
  <c r="P2329" i="1"/>
  <c r="E2330" i="1"/>
  <c r="E2324" i="5" s="1"/>
  <c r="H2330" i="1"/>
  <c r="H2324" i="5" s="1"/>
  <c r="P2330" i="1"/>
  <c r="Q2330" i="1"/>
  <c r="E2331" i="1"/>
  <c r="H2331" i="1"/>
  <c r="H2325" i="5" s="1"/>
  <c r="P2331" i="1"/>
  <c r="Q2331" i="1"/>
  <c r="U2331" i="1"/>
  <c r="H2332" i="1"/>
  <c r="P2332" i="1"/>
  <c r="P2326" i="5" s="1"/>
  <c r="H2333" i="1"/>
  <c r="H2327" i="5" s="1"/>
  <c r="P2333" i="1"/>
  <c r="H2334" i="1"/>
  <c r="M2334" i="1"/>
  <c r="M2328" i="5" s="1"/>
  <c r="P2334" i="1"/>
  <c r="P2328" i="5" s="1"/>
  <c r="E2335" i="1"/>
  <c r="E2329" i="5" s="1"/>
  <c r="F2335" i="1"/>
  <c r="P2335" i="1"/>
  <c r="P2329" i="5" s="1"/>
  <c r="E2336" i="1"/>
  <c r="E2330" i="5" s="1"/>
  <c r="Z2330" i="5" s="1"/>
  <c r="H2336" i="1"/>
  <c r="H2330" i="5" s="1"/>
  <c r="X2330" i="5" s="1"/>
  <c r="P2336" i="1"/>
  <c r="P2330" i="5" s="1"/>
  <c r="F2337" i="1"/>
  <c r="P2337" i="1"/>
  <c r="P2331" i="5" s="1"/>
  <c r="E2338" i="1"/>
  <c r="H2338" i="1"/>
  <c r="H2332" i="5" s="1"/>
  <c r="P2338" i="1"/>
  <c r="U2338" i="1"/>
  <c r="E2339" i="1"/>
  <c r="E2333" i="5" s="1"/>
  <c r="F2339" i="1"/>
  <c r="P2339" i="1"/>
  <c r="P2333" i="5" s="1"/>
  <c r="E2340" i="1"/>
  <c r="E2334" i="5" s="1"/>
  <c r="F2340" i="1"/>
  <c r="P2340" i="1"/>
  <c r="P2334" i="5" s="1"/>
  <c r="E2341" i="1"/>
  <c r="E2335" i="5" s="1"/>
  <c r="F2341" i="1"/>
  <c r="P2341" i="1"/>
  <c r="P2335" i="5" s="1"/>
  <c r="E2342" i="1"/>
  <c r="E2336" i="5" s="1"/>
  <c r="F2342" i="1"/>
  <c r="P2342" i="1"/>
  <c r="P2336" i="5" s="1"/>
  <c r="F2343" i="1"/>
  <c r="P2343" i="1"/>
  <c r="P2337" i="5" s="1"/>
  <c r="H2344" i="1"/>
  <c r="J2344" i="1"/>
  <c r="P2344" i="1"/>
  <c r="X2344" i="1"/>
  <c r="Z2344" i="1" s="1"/>
  <c r="H2345" i="1"/>
  <c r="H2339" i="5" s="1"/>
  <c r="X2339" i="5" s="1"/>
  <c r="Z2339" i="5" s="1"/>
  <c r="P2345" i="1"/>
  <c r="P2339" i="5" s="1"/>
  <c r="G2347" i="1"/>
  <c r="I2347" i="1"/>
  <c r="K2347" i="1"/>
  <c r="L2347" i="1"/>
  <c r="N2347" i="1"/>
  <c r="O2347" i="1"/>
  <c r="T2347" i="1"/>
  <c r="V2347" i="1"/>
  <c r="W2347" i="1"/>
  <c r="Y2347" i="1"/>
  <c r="E2350" i="1"/>
  <c r="E2344" i="5" s="1"/>
  <c r="H2350" i="1"/>
  <c r="K2350" i="1"/>
  <c r="K2344" i="5" s="1"/>
  <c r="K2366" i="5" s="1"/>
  <c r="M2350" i="1"/>
  <c r="M2344" i="5" s="1"/>
  <c r="P2350" i="1"/>
  <c r="E2351" i="1"/>
  <c r="E2345" i="5" s="1"/>
  <c r="F2351" i="1"/>
  <c r="P2351" i="1"/>
  <c r="H2352" i="1"/>
  <c r="H2346" i="5" s="1"/>
  <c r="P2352" i="1"/>
  <c r="P2346" i="5" s="1"/>
  <c r="H2353" i="1"/>
  <c r="P2353" i="1"/>
  <c r="X2353" i="1" s="1"/>
  <c r="Z2353" i="1" s="1"/>
  <c r="E2354" i="1"/>
  <c r="E2348" i="5" s="1"/>
  <c r="F2354" i="1"/>
  <c r="P2354" i="1"/>
  <c r="U2354" i="1" s="1"/>
  <c r="H2355" i="1"/>
  <c r="P2355" i="1"/>
  <c r="P2349" i="5" s="1"/>
  <c r="H2356" i="1"/>
  <c r="J2356" i="1" s="1"/>
  <c r="P2356" i="1"/>
  <c r="H2357" i="1"/>
  <c r="H2351" i="5" s="1"/>
  <c r="X2351" i="5" s="1"/>
  <c r="Z2351" i="5" s="1"/>
  <c r="P2357" i="1"/>
  <c r="P2351" i="5" s="1"/>
  <c r="E2358" i="1"/>
  <c r="H2358" i="1"/>
  <c r="H2352" i="5" s="1"/>
  <c r="P2358" i="1"/>
  <c r="E2359" i="1"/>
  <c r="F2359" i="1"/>
  <c r="P2359" i="1"/>
  <c r="U2359" i="1"/>
  <c r="E2360" i="1"/>
  <c r="F2360" i="1"/>
  <c r="P2360" i="1"/>
  <c r="U2360" i="1" s="1"/>
  <c r="H2361" i="1"/>
  <c r="P2361" i="1"/>
  <c r="P2355" i="5" s="1"/>
  <c r="H2362" i="1"/>
  <c r="P2362" i="1"/>
  <c r="H2363" i="1"/>
  <c r="P2363" i="1"/>
  <c r="P2357" i="5" s="1"/>
  <c r="H2364" i="1"/>
  <c r="H2358" i="5" s="1"/>
  <c r="P2364" i="1"/>
  <c r="H2365" i="1"/>
  <c r="P2365" i="1"/>
  <c r="F2366" i="1"/>
  <c r="F2360" i="5" s="1"/>
  <c r="P2366" i="1"/>
  <c r="P2360" i="5" s="1"/>
  <c r="H2367" i="1"/>
  <c r="H2361" i="5" s="1"/>
  <c r="X2361" i="5" s="1"/>
  <c r="Z2361" i="5" s="1"/>
  <c r="P2367" i="1"/>
  <c r="P2361" i="5" s="1"/>
  <c r="E2368" i="1"/>
  <c r="H2368" i="1"/>
  <c r="H2362" i="5" s="1"/>
  <c r="P2368" i="1"/>
  <c r="H2369" i="1"/>
  <c r="P2369" i="1"/>
  <c r="E2370" i="1"/>
  <c r="E2364" i="5" s="1"/>
  <c r="H2370" i="1"/>
  <c r="M2370" i="1"/>
  <c r="M2364" i="5" s="1"/>
  <c r="P2370" i="1"/>
  <c r="P2364" i="5" s="1"/>
  <c r="G2372" i="1"/>
  <c r="I2372" i="1"/>
  <c r="L2372" i="1"/>
  <c r="N2372" i="1"/>
  <c r="O2372" i="1"/>
  <c r="T2372" i="1"/>
  <c r="V2372" i="1"/>
  <c r="W2372" i="1"/>
  <c r="Y2372" i="1"/>
  <c r="E2375" i="1"/>
  <c r="H2375" i="1"/>
  <c r="P2375" i="1"/>
  <c r="U2375" i="1"/>
  <c r="U2369" i="5" s="1"/>
  <c r="E2376" i="1"/>
  <c r="E2370" i="5" s="1"/>
  <c r="H2376" i="1"/>
  <c r="M2376" i="1"/>
  <c r="M2370" i="5" s="1"/>
  <c r="P2376" i="1"/>
  <c r="P2370" i="5" s="1"/>
  <c r="H2377" i="1"/>
  <c r="H2371" i="5" s="1"/>
  <c r="P2377" i="1"/>
  <c r="Q2377" i="1"/>
  <c r="H2378" i="1"/>
  <c r="H2372" i="5" s="1"/>
  <c r="P2378" i="1"/>
  <c r="E2379" i="1"/>
  <c r="E2373" i="5" s="1"/>
  <c r="H2379" i="1"/>
  <c r="H2373" i="5" s="1"/>
  <c r="P2379" i="1"/>
  <c r="E2380" i="1"/>
  <c r="H2380" i="1"/>
  <c r="H2374" i="5" s="1"/>
  <c r="P2380" i="1"/>
  <c r="E2381" i="1"/>
  <c r="H2381" i="1"/>
  <c r="J2381" i="1"/>
  <c r="P2381" i="1"/>
  <c r="P2375" i="5" s="1"/>
  <c r="H2382" i="1"/>
  <c r="H2376" i="5" s="1"/>
  <c r="P2382" i="1"/>
  <c r="P2376" i="5" s="1"/>
  <c r="H2383" i="1"/>
  <c r="P2383" i="1"/>
  <c r="P2377" i="5" s="1"/>
  <c r="H2384" i="1"/>
  <c r="H2378" i="5" s="1"/>
  <c r="X2378" i="5" s="1"/>
  <c r="Z2378" i="5" s="1"/>
  <c r="P2384" i="1"/>
  <c r="P2378" i="5" s="1"/>
  <c r="H2385" i="1"/>
  <c r="P2385" i="1"/>
  <c r="P2379" i="5" s="1"/>
  <c r="H2386" i="1"/>
  <c r="H2380" i="5" s="1"/>
  <c r="X2380" i="5" s="1"/>
  <c r="Z2380" i="5" s="1"/>
  <c r="P2386" i="1"/>
  <c r="P2380" i="5" s="1"/>
  <c r="F2388" i="1"/>
  <c r="G2388" i="1"/>
  <c r="I2388" i="1"/>
  <c r="K2388" i="1"/>
  <c r="L2388" i="1"/>
  <c r="N2388" i="1"/>
  <c r="O2388" i="1"/>
  <c r="T2388" i="1"/>
  <c r="V2388" i="1"/>
  <c r="W2388" i="1"/>
  <c r="Y2388" i="1"/>
  <c r="F2391" i="1"/>
  <c r="F2385" i="5" s="1"/>
  <c r="P2391" i="1"/>
  <c r="P2385" i="5" s="1"/>
  <c r="H2392" i="1"/>
  <c r="H2386" i="5" s="1"/>
  <c r="P2392" i="1"/>
  <c r="H2393" i="1"/>
  <c r="P2393" i="1"/>
  <c r="P2387" i="5" s="1"/>
  <c r="H2394" i="1"/>
  <c r="H2388" i="5" s="1"/>
  <c r="P2394" i="1"/>
  <c r="U2394" i="1"/>
  <c r="E2395" i="1"/>
  <c r="H2395" i="1"/>
  <c r="P2395" i="1"/>
  <c r="E2396" i="1"/>
  <c r="H2396" i="1"/>
  <c r="K2396" i="1"/>
  <c r="K2390" i="5" s="1"/>
  <c r="K2410" i="5" s="1"/>
  <c r="P2396" i="1"/>
  <c r="P2390" i="5" s="1"/>
  <c r="H2397" i="1"/>
  <c r="H2391" i="5" s="1"/>
  <c r="X2391" i="5" s="1"/>
  <c r="Z2391" i="5" s="1"/>
  <c r="P2397" i="1"/>
  <c r="P2391" i="5" s="1"/>
  <c r="E2398" i="1"/>
  <c r="F2398" i="1"/>
  <c r="P2398" i="1"/>
  <c r="P2392" i="5" s="1"/>
  <c r="E2399" i="1"/>
  <c r="H2399" i="1"/>
  <c r="H2393" i="5" s="1"/>
  <c r="P2399" i="1"/>
  <c r="U2399" i="1"/>
  <c r="E2400" i="1"/>
  <c r="F2400" i="1"/>
  <c r="P2400" i="1"/>
  <c r="Q2400" i="1"/>
  <c r="H2401" i="1"/>
  <c r="H2395" i="5" s="1"/>
  <c r="X2395" i="5" s="1"/>
  <c r="Z2395" i="5" s="1"/>
  <c r="P2401" i="1"/>
  <c r="P2395" i="5" s="1"/>
  <c r="H2402" i="1"/>
  <c r="H2396" i="5" s="1"/>
  <c r="P2402" i="1"/>
  <c r="H2403" i="1"/>
  <c r="M2403" i="1"/>
  <c r="M2397" i="5" s="1"/>
  <c r="P2403" i="1"/>
  <c r="H2404" i="1"/>
  <c r="H2398" i="5" s="1"/>
  <c r="P2404" i="1"/>
  <c r="Q2404" i="1"/>
  <c r="H2405" i="1"/>
  <c r="P2405" i="1"/>
  <c r="P2399" i="5" s="1"/>
  <c r="H2406" i="1"/>
  <c r="H2400" i="5" s="1"/>
  <c r="X2400" i="5" s="1"/>
  <c r="Z2400" i="5" s="1"/>
  <c r="P2406" i="1"/>
  <c r="P2400" i="5" s="1"/>
  <c r="H2407" i="1"/>
  <c r="M2407" i="1"/>
  <c r="M2401" i="5" s="1"/>
  <c r="P2407" i="1"/>
  <c r="H2408" i="1"/>
  <c r="P2408" i="1"/>
  <c r="U2408" i="1"/>
  <c r="H2409" i="1"/>
  <c r="H2403" i="5" s="1"/>
  <c r="X2403" i="5" s="1"/>
  <c r="Z2403" i="5" s="1"/>
  <c r="P2409" i="1"/>
  <c r="P2403" i="5" s="1"/>
  <c r="E2410" i="1"/>
  <c r="F2410" i="1"/>
  <c r="F2404" i="5" s="1"/>
  <c r="U2410" i="1"/>
  <c r="H2411" i="1"/>
  <c r="H2405" i="5" s="1"/>
  <c r="P2411" i="1"/>
  <c r="U2411" i="1"/>
  <c r="E2412" i="1"/>
  <c r="E2406" i="5" s="1"/>
  <c r="F2412" i="1"/>
  <c r="P2412" i="1"/>
  <c r="P2406" i="5" s="1"/>
  <c r="H2413" i="1"/>
  <c r="H2407" i="5" s="1"/>
  <c r="X2407" i="5" s="1"/>
  <c r="Z2407" i="5" s="1"/>
  <c r="P2413" i="1"/>
  <c r="P2407" i="5" s="1"/>
  <c r="H2414" i="1"/>
  <c r="H2408" i="5" s="1"/>
  <c r="P2414" i="1"/>
  <c r="U2414" i="1"/>
  <c r="G2416" i="1"/>
  <c r="I2416" i="1"/>
  <c r="L2416" i="1"/>
  <c r="N2416" i="1"/>
  <c r="O2416" i="1"/>
  <c r="T2416" i="1"/>
  <c r="V2416" i="1"/>
  <c r="W2416" i="1"/>
  <c r="Y2416" i="1"/>
  <c r="H2419" i="1"/>
  <c r="H2413" i="5" s="1"/>
  <c r="P2419" i="1"/>
  <c r="U2419" i="1"/>
  <c r="P2420" i="1"/>
  <c r="P2414" i="5" s="1"/>
  <c r="X2414" i="5" s="1"/>
  <c r="Z2414" i="5" s="1"/>
  <c r="H2421" i="1"/>
  <c r="J2421" i="1"/>
  <c r="M2421" i="1"/>
  <c r="M2415" i="5" s="1"/>
  <c r="P2421" i="1"/>
  <c r="H2422" i="1"/>
  <c r="H2416" i="5" s="1"/>
  <c r="X2416" i="5" s="1"/>
  <c r="Z2416" i="5" s="1"/>
  <c r="P2422" i="1"/>
  <c r="P2416" i="5" s="1"/>
  <c r="H2423" i="1"/>
  <c r="M2423" i="1"/>
  <c r="M2417" i="5" s="1"/>
  <c r="P2423" i="1"/>
  <c r="H2424" i="1"/>
  <c r="H2418" i="5" s="1"/>
  <c r="P2424" i="1"/>
  <c r="P2418" i="5" s="1"/>
  <c r="H2425" i="1"/>
  <c r="P2425" i="1"/>
  <c r="H2426" i="1"/>
  <c r="H2420" i="5" s="1"/>
  <c r="X2420" i="5" s="1"/>
  <c r="Z2420" i="5" s="1"/>
  <c r="P2426" i="1"/>
  <c r="P2420" i="5" s="1"/>
  <c r="H2427" i="1"/>
  <c r="P2427" i="1"/>
  <c r="E2428" i="1"/>
  <c r="E2422" i="5" s="1"/>
  <c r="H2428" i="1"/>
  <c r="P2428" i="1"/>
  <c r="P2422" i="5" s="1"/>
  <c r="E2429" i="1"/>
  <c r="E2423" i="5" s="1"/>
  <c r="N2429" i="1"/>
  <c r="N2423" i="5" s="1"/>
  <c r="N2428" i="5" s="1"/>
  <c r="N2448" i="5" s="1"/>
  <c r="N2939" i="5" s="1"/>
  <c r="H2430" i="1"/>
  <c r="H2424" i="5" s="1"/>
  <c r="P2430" i="1"/>
  <c r="H2431" i="1"/>
  <c r="M2431" i="1"/>
  <c r="M2425" i="5" s="1"/>
  <c r="P2431" i="1"/>
  <c r="H2432" i="1"/>
  <c r="H2426" i="5" s="1"/>
  <c r="P2432" i="1"/>
  <c r="F2434" i="1"/>
  <c r="G2434" i="1"/>
  <c r="I2434" i="1"/>
  <c r="K2434" i="1"/>
  <c r="L2434" i="1"/>
  <c r="O2434" i="1"/>
  <c r="T2434" i="1"/>
  <c r="V2434" i="1"/>
  <c r="W2434" i="1"/>
  <c r="Y2434" i="1"/>
  <c r="H2437" i="1"/>
  <c r="H2431" i="5" s="1"/>
  <c r="P2437" i="1"/>
  <c r="U2437" i="1"/>
  <c r="M2438" i="1"/>
  <c r="P2438" i="1"/>
  <c r="X2438" i="1"/>
  <c r="Z2438" i="1" s="1"/>
  <c r="H2439" i="1"/>
  <c r="H2433" i="5" s="1"/>
  <c r="X2433" i="5" s="1"/>
  <c r="Z2433" i="5" s="1"/>
  <c r="P2439" i="1"/>
  <c r="P2433" i="5" s="1"/>
  <c r="H2440" i="1"/>
  <c r="J2440" i="1" s="1"/>
  <c r="P2440" i="1"/>
  <c r="P2434" i="5" s="1"/>
  <c r="H2441" i="1"/>
  <c r="H2435" i="5" s="1"/>
  <c r="P2441" i="1"/>
  <c r="H2442" i="1"/>
  <c r="P2442" i="1"/>
  <c r="U2442" i="1"/>
  <c r="H2443" i="1"/>
  <c r="H2437" i="5" s="1"/>
  <c r="X2437" i="5" s="1"/>
  <c r="Z2437" i="5" s="1"/>
  <c r="P2443" i="1"/>
  <c r="P2437" i="5" s="1"/>
  <c r="H2444" i="1"/>
  <c r="P2444" i="1"/>
  <c r="H2445" i="1"/>
  <c r="H2439" i="5" s="1"/>
  <c r="P2445" i="1"/>
  <c r="H2446" i="1"/>
  <c r="H2440" i="5" s="1"/>
  <c r="P2446" i="1"/>
  <c r="U2446" i="1"/>
  <c r="H2447" i="1"/>
  <c r="H2441" i="5" s="1"/>
  <c r="X2441" i="5" s="1"/>
  <c r="Z2441" i="5" s="1"/>
  <c r="P2447" i="1"/>
  <c r="P2441" i="5" s="1"/>
  <c r="Q2447" i="1"/>
  <c r="H2448" i="1"/>
  <c r="P2448" i="1"/>
  <c r="P2442" i="5" s="1"/>
  <c r="H2449" i="1"/>
  <c r="H2443" i="5" s="1"/>
  <c r="X2443" i="5" s="1"/>
  <c r="Z2443" i="5" s="1"/>
  <c r="P2449" i="1"/>
  <c r="P2443" i="5" s="1"/>
  <c r="H2450" i="1"/>
  <c r="H2444" i="5" s="1"/>
  <c r="P2450" i="1"/>
  <c r="E2452" i="1"/>
  <c r="F2452" i="1"/>
  <c r="G2452" i="1"/>
  <c r="I2452" i="1"/>
  <c r="K2452" i="1"/>
  <c r="L2452" i="1"/>
  <c r="N2452" i="1"/>
  <c r="O2452" i="1"/>
  <c r="T2452" i="1"/>
  <c r="V2452" i="1"/>
  <c r="W2452" i="1"/>
  <c r="Y2452" i="1"/>
  <c r="R2454" i="1"/>
  <c r="S2454" i="1"/>
  <c r="H2461" i="1"/>
  <c r="H2453" i="5" s="1"/>
  <c r="P2461" i="1"/>
  <c r="V2461" i="1"/>
  <c r="V2453" i="5" s="1"/>
  <c r="H2462" i="1"/>
  <c r="P2462" i="1"/>
  <c r="P2454" i="5" s="1"/>
  <c r="H2463" i="1"/>
  <c r="H2455" i="5" s="1"/>
  <c r="P2463" i="1"/>
  <c r="H2464" i="1"/>
  <c r="H2456" i="5" s="1"/>
  <c r="P2464" i="1"/>
  <c r="P2456" i="5" s="1"/>
  <c r="H2465" i="1"/>
  <c r="H2457" i="5" s="1"/>
  <c r="P2465" i="1"/>
  <c r="P2457" i="5" s="1"/>
  <c r="H2466" i="1"/>
  <c r="M2466" i="1"/>
  <c r="M2458" i="5" s="1"/>
  <c r="P2466" i="1"/>
  <c r="P2458" i="5" s="1"/>
  <c r="H2467" i="1"/>
  <c r="P2467" i="1"/>
  <c r="U2467" i="1"/>
  <c r="H2468" i="1"/>
  <c r="P2468" i="1"/>
  <c r="P2460" i="5" s="1"/>
  <c r="H2469" i="1"/>
  <c r="H2461" i="5" s="1"/>
  <c r="P2469" i="1"/>
  <c r="H2470" i="1"/>
  <c r="P2470" i="1"/>
  <c r="P2462" i="5" s="1"/>
  <c r="H2471" i="1"/>
  <c r="H2463" i="5" s="1"/>
  <c r="P2471" i="1"/>
  <c r="H2472" i="1"/>
  <c r="M2472" i="1" s="1"/>
  <c r="M2464" i="5" s="1"/>
  <c r="P2472" i="1"/>
  <c r="P2464" i="5" s="1"/>
  <c r="H2473" i="1"/>
  <c r="P2473" i="1"/>
  <c r="U2473" i="1" s="1"/>
  <c r="H2474" i="1"/>
  <c r="P2474" i="1"/>
  <c r="P2466" i="5" s="1"/>
  <c r="H2475" i="1"/>
  <c r="H2467" i="5" s="1"/>
  <c r="P2475" i="1"/>
  <c r="H2476" i="1"/>
  <c r="M2476" i="1"/>
  <c r="M2468" i="5" s="1"/>
  <c r="P2476" i="1"/>
  <c r="P2468" i="5" s="1"/>
  <c r="E2478" i="1"/>
  <c r="F2478" i="1"/>
  <c r="G2478" i="1"/>
  <c r="I2478" i="1"/>
  <c r="J2478" i="1"/>
  <c r="K2478" i="1"/>
  <c r="L2478" i="1"/>
  <c r="N2478" i="1"/>
  <c r="O2478" i="1"/>
  <c r="Q2478" i="1"/>
  <c r="R2478" i="1"/>
  <c r="S2478" i="1"/>
  <c r="T2478" i="1"/>
  <c r="Y2478" i="1"/>
  <c r="H2481" i="1"/>
  <c r="P2481" i="1"/>
  <c r="H2482" i="1"/>
  <c r="P2482" i="1"/>
  <c r="P2474" i="5" s="1"/>
  <c r="H2483" i="1"/>
  <c r="H2475" i="5" s="1"/>
  <c r="P2483" i="1"/>
  <c r="H2484" i="1"/>
  <c r="H2476" i="5" s="1"/>
  <c r="P2484" i="1"/>
  <c r="P2476" i="5" s="1"/>
  <c r="H2485" i="1"/>
  <c r="H2477" i="5" s="1"/>
  <c r="X2477" i="5" s="1"/>
  <c r="P2485" i="1"/>
  <c r="P2477" i="5" s="1"/>
  <c r="F2486" i="1"/>
  <c r="P2486" i="1"/>
  <c r="H2487" i="1"/>
  <c r="P2487" i="1"/>
  <c r="H2488" i="1"/>
  <c r="P2488" i="1"/>
  <c r="H2489" i="1"/>
  <c r="P2489" i="1"/>
  <c r="P2481" i="5" s="1"/>
  <c r="H2490" i="1"/>
  <c r="H2482" i="5" s="1"/>
  <c r="M2490" i="1"/>
  <c r="P2490" i="1"/>
  <c r="H2491" i="1"/>
  <c r="P2491" i="1"/>
  <c r="P2483" i="5" s="1"/>
  <c r="H2492" i="1"/>
  <c r="P2492" i="1"/>
  <c r="H2493" i="1"/>
  <c r="P2493" i="1"/>
  <c r="P2485" i="5" s="1"/>
  <c r="E2494" i="1"/>
  <c r="E2486" i="5" s="1"/>
  <c r="H2494" i="1"/>
  <c r="H2486" i="5" s="1"/>
  <c r="P2494" i="1"/>
  <c r="G2496" i="1"/>
  <c r="I2496" i="1"/>
  <c r="J2496" i="1"/>
  <c r="K2496" i="1"/>
  <c r="L2496" i="1"/>
  <c r="N2496" i="1"/>
  <c r="O2496" i="1"/>
  <c r="Q2496" i="1"/>
  <c r="R2496" i="1"/>
  <c r="S2496" i="1"/>
  <c r="T2496" i="1"/>
  <c r="Y2496" i="1"/>
  <c r="H2499" i="1"/>
  <c r="H2491" i="5" s="1"/>
  <c r="P2499" i="1"/>
  <c r="P2491" i="5" s="1"/>
  <c r="H2500" i="1"/>
  <c r="H2492" i="5" s="1"/>
  <c r="P2500" i="1"/>
  <c r="U2500" i="1"/>
  <c r="H2501" i="1"/>
  <c r="H2493" i="5" s="1"/>
  <c r="X2493" i="5" s="1"/>
  <c r="Z2493" i="5" s="1"/>
  <c r="P2501" i="1"/>
  <c r="P2493" i="5" s="1"/>
  <c r="H2502" i="1"/>
  <c r="H2494" i="5" s="1"/>
  <c r="P2502" i="1"/>
  <c r="U2502" i="1"/>
  <c r="H2503" i="1"/>
  <c r="H2495" i="5" s="1"/>
  <c r="P2503" i="1"/>
  <c r="H2504" i="1"/>
  <c r="H2496" i="5" s="1"/>
  <c r="P2504" i="1"/>
  <c r="H2505" i="1"/>
  <c r="H2497" i="5" s="1"/>
  <c r="P2505" i="1"/>
  <c r="P2497" i="5" s="1"/>
  <c r="E2507" i="1"/>
  <c r="F2507" i="1"/>
  <c r="G2507" i="1"/>
  <c r="I2507" i="1"/>
  <c r="J2507" i="1"/>
  <c r="K2507" i="1"/>
  <c r="L2507" i="1"/>
  <c r="N2507" i="1"/>
  <c r="O2507" i="1"/>
  <c r="Q2507" i="1"/>
  <c r="R2507" i="1"/>
  <c r="S2507" i="1"/>
  <c r="T2507" i="1"/>
  <c r="Y2507" i="1"/>
  <c r="H2510" i="1"/>
  <c r="H2502" i="5" s="1"/>
  <c r="P2510" i="1"/>
  <c r="U2510" i="1" s="1"/>
  <c r="U2502" i="5" s="1"/>
  <c r="H2511" i="1"/>
  <c r="H2503" i="5" s="1"/>
  <c r="X2503" i="5" s="1"/>
  <c r="Z2503" i="5" s="1"/>
  <c r="P2511" i="1"/>
  <c r="P2503" i="5" s="1"/>
  <c r="H2512" i="1"/>
  <c r="H2504" i="5" s="1"/>
  <c r="P2512" i="1"/>
  <c r="H2513" i="1"/>
  <c r="H2505" i="5" s="1"/>
  <c r="P2513" i="1"/>
  <c r="P2505" i="5" s="1"/>
  <c r="H2514" i="1"/>
  <c r="H2506" i="5" s="1"/>
  <c r="P2514" i="1"/>
  <c r="E2515" i="1"/>
  <c r="F2515" i="1"/>
  <c r="F2507" i="5" s="1"/>
  <c r="P2515" i="1"/>
  <c r="P2507" i="5" s="1"/>
  <c r="H2516" i="1"/>
  <c r="H2508" i="5" s="1"/>
  <c r="P2516" i="1"/>
  <c r="P2508" i="5" s="1"/>
  <c r="H2517" i="1"/>
  <c r="H2509" i="5" s="1"/>
  <c r="P2517" i="1"/>
  <c r="H2518" i="1"/>
  <c r="H2510" i="5" s="1"/>
  <c r="P2518" i="1"/>
  <c r="P2510" i="5" s="1"/>
  <c r="H2519" i="1"/>
  <c r="H2511" i="5" s="1"/>
  <c r="P2519" i="1"/>
  <c r="E2520" i="1"/>
  <c r="F2520" i="1"/>
  <c r="F2512" i="5" s="1"/>
  <c r="P2520" i="1"/>
  <c r="P2512" i="5" s="1"/>
  <c r="H2521" i="1"/>
  <c r="H2513" i="5" s="1"/>
  <c r="P2521" i="1"/>
  <c r="P2513" i="5" s="1"/>
  <c r="U2521" i="1"/>
  <c r="G2523" i="1"/>
  <c r="I2523" i="1"/>
  <c r="J2523" i="1"/>
  <c r="K2523" i="1"/>
  <c r="L2523" i="1"/>
  <c r="N2523" i="1"/>
  <c r="O2523" i="1"/>
  <c r="Q2523" i="1"/>
  <c r="R2523" i="1"/>
  <c r="S2523" i="1"/>
  <c r="T2523" i="1"/>
  <c r="Y2523" i="1"/>
  <c r="E2526" i="1"/>
  <c r="E2518" i="5" s="1"/>
  <c r="F2526" i="1"/>
  <c r="F2518" i="5" s="1"/>
  <c r="P2526" i="1"/>
  <c r="H2527" i="1"/>
  <c r="P2527" i="1"/>
  <c r="P2519" i="5" s="1"/>
  <c r="H2528" i="1"/>
  <c r="H2520" i="5" s="1"/>
  <c r="X2520" i="5" s="1"/>
  <c r="Z2520" i="5" s="1"/>
  <c r="P2528" i="1"/>
  <c r="P2520" i="5" s="1"/>
  <c r="H2529" i="1"/>
  <c r="M2529" i="1"/>
  <c r="M2521" i="5" s="1"/>
  <c r="P2529" i="1"/>
  <c r="P2521" i="5" s="1"/>
  <c r="H2530" i="1"/>
  <c r="H2522" i="5" s="1"/>
  <c r="P2530" i="1"/>
  <c r="U2530" i="1"/>
  <c r="H2531" i="1"/>
  <c r="H2523" i="5" s="1"/>
  <c r="N2531" i="1"/>
  <c r="N2523" i="5" s="1"/>
  <c r="N2535" i="5" s="1"/>
  <c r="N2567" i="5" s="1"/>
  <c r="N2941" i="5" s="1"/>
  <c r="Q2531" i="1"/>
  <c r="H2532" i="1"/>
  <c r="H2524" i="5" s="1"/>
  <c r="P2532" i="1"/>
  <c r="P2524" i="5" s="1"/>
  <c r="H2533" i="1"/>
  <c r="H2525" i="5" s="1"/>
  <c r="X2525" i="5" s="1"/>
  <c r="Z2525" i="5" s="1"/>
  <c r="P2533" i="1"/>
  <c r="P2525" i="5" s="1"/>
  <c r="V2533" i="1"/>
  <c r="V2525" i="5" s="1"/>
  <c r="H2534" i="1"/>
  <c r="P2534" i="1"/>
  <c r="P2526" i="5" s="1"/>
  <c r="E2535" i="1"/>
  <c r="E2527" i="5" s="1"/>
  <c r="F2535" i="1"/>
  <c r="P2535" i="1"/>
  <c r="P2527" i="5" s="1"/>
  <c r="E2536" i="1"/>
  <c r="E2528" i="5" s="1"/>
  <c r="F2536" i="1"/>
  <c r="P2536" i="1"/>
  <c r="P2528" i="5" s="1"/>
  <c r="H2537" i="1"/>
  <c r="H2529" i="5" s="1"/>
  <c r="P2537" i="1"/>
  <c r="H2538" i="1"/>
  <c r="H2530" i="5" s="1"/>
  <c r="P2538" i="1"/>
  <c r="H2539" i="1"/>
  <c r="H2531" i="5" s="1"/>
  <c r="P2539" i="1"/>
  <c r="P2531" i="5" s="1"/>
  <c r="H2540" i="1"/>
  <c r="H2532" i="5" s="1"/>
  <c r="X2532" i="5" s="1"/>
  <c r="Z2532" i="5" s="1"/>
  <c r="P2540" i="1"/>
  <c r="P2532" i="5" s="1"/>
  <c r="H2541" i="1"/>
  <c r="P2541" i="1"/>
  <c r="P2533" i="5" s="1"/>
  <c r="G2543" i="1"/>
  <c r="I2543" i="1"/>
  <c r="J2543" i="1"/>
  <c r="K2543" i="1"/>
  <c r="L2543" i="1"/>
  <c r="O2543" i="1"/>
  <c r="R2543" i="1"/>
  <c r="S2543" i="1"/>
  <c r="T2543" i="1"/>
  <c r="Y2543" i="1"/>
  <c r="H2546" i="1"/>
  <c r="L2546" i="1"/>
  <c r="P2546" i="1"/>
  <c r="T2546" i="1"/>
  <c r="E2549" i="1"/>
  <c r="E2541" i="5" s="1"/>
  <c r="F2549" i="1"/>
  <c r="P2549" i="1"/>
  <c r="P2541" i="5" s="1"/>
  <c r="H2550" i="1"/>
  <c r="H2542" i="5" s="1"/>
  <c r="P2550" i="1"/>
  <c r="U2550" i="1"/>
  <c r="H2551" i="1"/>
  <c r="P2551" i="1"/>
  <c r="P2543" i="5" s="1"/>
  <c r="H2552" i="1"/>
  <c r="H2544" i="5" s="1"/>
  <c r="P2552" i="1"/>
  <c r="H2553" i="1"/>
  <c r="P2553" i="1"/>
  <c r="P2545" i="5" s="1"/>
  <c r="E2554" i="1"/>
  <c r="E2546" i="5" s="1"/>
  <c r="H2554" i="1"/>
  <c r="P2554" i="1"/>
  <c r="H2555" i="1"/>
  <c r="P2555" i="1"/>
  <c r="V2555" i="1" s="1"/>
  <c r="V2547" i="5" s="1"/>
  <c r="E2556" i="1"/>
  <c r="F2556" i="1"/>
  <c r="F2548" i="5" s="1"/>
  <c r="P2556" i="1"/>
  <c r="H2557" i="1"/>
  <c r="P2557" i="1"/>
  <c r="P2549" i="5" s="1"/>
  <c r="H2558" i="1"/>
  <c r="P2558" i="1"/>
  <c r="H2559" i="1"/>
  <c r="P2559" i="1"/>
  <c r="H2560" i="1"/>
  <c r="H2552" i="5" s="1"/>
  <c r="P2560" i="1"/>
  <c r="E2561" i="1"/>
  <c r="F2561" i="1"/>
  <c r="H2561" i="1" s="1"/>
  <c r="H2553" i="5" s="1"/>
  <c r="P2561" i="1"/>
  <c r="H2562" i="1"/>
  <c r="P2562" i="1"/>
  <c r="P2554" i="5" s="1"/>
  <c r="H2563" i="1"/>
  <c r="H2555" i="5" s="1"/>
  <c r="P2563" i="1"/>
  <c r="E2564" i="1"/>
  <c r="F2564" i="1"/>
  <c r="P2564" i="1"/>
  <c r="E2565" i="1"/>
  <c r="F2565" i="1"/>
  <c r="F2557" i="5" s="1"/>
  <c r="P2565" i="1"/>
  <c r="H2566" i="1"/>
  <c r="P2566" i="1"/>
  <c r="H2567" i="1"/>
  <c r="P2567" i="1"/>
  <c r="H2568" i="1"/>
  <c r="H2560" i="5" s="1"/>
  <c r="P2568" i="1"/>
  <c r="H2569" i="1"/>
  <c r="P2569" i="1"/>
  <c r="P2561" i="5" s="1"/>
  <c r="H2570" i="1"/>
  <c r="P2570" i="1"/>
  <c r="E2571" i="1"/>
  <c r="E2563" i="5" s="1"/>
  <c r="H2571" i="1"/>
  <c r="H2563" i="5" s="1"/>
  <c r="P2571" i="1"/>
  <c r="P2563" i="5" s="1"/>
  <c r="G2573" i="1"/>
  <c r="I2573" i="1"/>
  <c r="J2573" i="1"/>
  <c r="K2573" i="1"/>
  <c r="L2573" i="1"/>
  <c r="N2573" i="1"/>
  <c r="O2573" i="1"/>
  <c r="Q2573" i="1"/>
  <c r="R2573" i="1"/>
  <c r="S2573" i="1"/>
  <c r="T2573" i="1"/>
  <c r="Y2573" i="1"/>
  <c r="H2581" i="1"/>
  <c r="P2581" i="1"/>
  <c r="P2573" i="5" s="1"/>
  <c r="H2582" i="1"/>
  <c r="H2574" i="5" s="1"/>
  <c r="P2582" i="1"/>
  <c r="H2583" i="1"/>
  <c r="H2575" i="5" s="1"/>
  <c r="P2583" i="1"/>
  <c r="P2575" i="5" s="1"/>
  <c r="H2584" i="1"/>
  <c r="H2576" i="5" s="1"/>
  <c r="P2584" i="1"/>
  <c r="P2576" i="5" s="1"/>
  <c r="H2585" i="1"/>
  <c r="M2585" i="1"/>
  <c r="M2577" i="5" s="1"/>
  <c r="P2585" i="1"/>
  <c r="P2577" i="5" s="1"/>
  <c r="H2586" i="1"/>
  <c r="H2578" i="5" s="1"/>
  <c r="P2586" i="1"/>
  <c r="U2586" i="1"/>
  <c r="H2587" i="1"/>
  <c r="H2579" i="5" s="1"/>
  <c r="P2587" i="1"/>
  <c r="P2579" i="5" s="1"/>
  <c r="H2588" i="1"/>
  <c r="H2580" i="5" s="1"/>
  <c r="P2588" i="1"/>
  <c r="P2580" i="5" s="1"/>
  <c r="H2589" i="1"/>
  <c r="P2589" i="1"/>
  <c r="P2581" i="5" s="1"/>
  <c r="E2590" i="1"/>
  <c r="E2582" i="5" s="1"/>
  <c r="H2590" i="1"/>
  <c r="P2590" i="1"/>
  <c r="H2591" i="1"/>
  <c r="P2591" i="1"/>
  <c r="H2592" i="1"/>
  <c r="P2592" i="1"/>
  <c r="H2593" i="1"/>
  <c r="P2593" i="1"/>
  <c r="P2585" i="5" s="1"/>
  <c r="H2594" i="1"/>
  <c r="P2594" i="1"/>
  <c r="H2595" i="1"/>
  <c r="P2595" i="1"/>
  <c r="H2596" i="1"/>
  <c r="P2596" i="1"/>
  <c r="X2596" i="1"/>
  <c r="H2597" i="1"/>
  <c r="H2589" i="5" s="1"/>
  <c r="P2597" i="1"/>
  <c r="P2589" i="5" s="1"/>
  <c r="E2598" i="1"/>
  <c r="F2598" i="1"/>
  <c r="P2598" i="1"/>
  <c r="H2599" i="1"/>
  <c r="P2599" i="1"/>
  <c r="P2591" i="5" s="1"/>
  <c r="U2599" i="1"/>
  <c r="U2591" i="5" s="1"/>
  <c r="H2600" i="1"/>
  <c r="P2600" i="1"/>
  <c r="H2601" i="1"/>
  <c r="P2601" i="1"/>
  <c r="P2593" i="5" s="1"/>
  <c r="H2602" i="1"/>
  <c r="P2602" i="1"/>
  <c r="E2603" i="1"/>
  <c r="F2603" i="1"/>
  <c r="H2603" i="1"/>
  <c r="P2603" i="1"/>
  <c r="H2604" i="1"/>
  <c r="P2604" i="1"/>
  <c r="P2596" i="5" s="1"/>
  <c r="U2604" i="1"/>
  <c r="E2605" i="1"/>
  <c r="E2597" i="5" s="1"/>
  <c r="F2605" i="1"/>
  <c r="F2597" i="5" s="1"/>
  <c r="P2605" i="1"/>
  <c r="E2606" i="1"/>
  <c r="E2598" i="5" s="1"/>
  <c r="F2606" i="1"/>
  <c r="F2598" i="5" s="1"/>
  <c r="U2606" i="1"/>
  <c r="H2607" i="1"/>
  <c r="M2607" i="1"/>
  <c r="P2607" i="1"/>
  <c r="P2599" i="5" s="1"/>
  <c r="H2608" i="1"/>
  <c r="H2600" i="5" s="1"/>
  <c r="P2608" i="1"/>
  <c r="P2600" i="5" s="1"/>
  <c r="H2609" i="1"/>
  <c r="U2609" i="1"/>
  <c r="U2601" i="5" s="1"/>
  <c r="E2610" i="1"/>
  <c r="F2610" i="1"/>
  <c r="F2602" i="5" s="1"/>
  <c r="U2610" i="1"/>
  <c r="E2611" i="1"/>
  <c r="F2611" i="1"/>
  <c r="P2611" i="1"/>
  <c r="U2611" i="1"/>
  <c r="H2612" i="1"/>
  <c r="H2604" i="5" s="1"/>
  <c r="P2612" i="1"/>
  <c r="E2613" i="1"/>
  <c r="E2605" i="5" s="1"/>
  <c r="F2613" i="1"/>
  <c r="P2613" i="1"/>
  <c r="P2605" i="5" s="1"/>
  <c r="E2614" i="1"/>
  <c r="F2614" i="1"/>
  <c r="P2614" i="1"/>
  <c r="P2606" i="5" s="1"/>
  <c r="G2616" i="1"/>
  <c r="I2616" i="1"/>
  <c r="J2616" i="1"/>
  <c r="K2616" i="1"/>
  <c r="L2616" i="1"/>
  <c r="N2616" i="1"/>
  <c r="O2616" i="1"/>
  <c r="Q2616" i="1"/>
  <c r="R2616" i="1"/>
  <c r="S2616" i="1"/>
  <c r="T2616" i="1"/>
  <c r="Y2616" i="1"/>
  <c r="H2618" i="1"/>
  <c r="H2610" i="5" s="1"/>
  <c r="K2618" i="1"/>
  <c r="P2618" i="1"/>
  <c r="T2618" i="1"/>
  <c r="V2618" i="1"/>
  <c r="E2620" i="1"/>
  <c r="F2620" i="1"/>
  <c r="G2620" i="1"/>
  <c r="I2620" i="1"/>
  <c r="J2620" i="1"/>
  <c r="N2620" i="1"/>
  <c r="O2620" i="1"/>
  <c r="P2620" i="1"/>
  <c r="Q2620" i="1"/>
  <c r="R2620" i="1"/>
  <c r="S2620" i="1"/>
  <c r="Y2620" i="1"/>
  <c r="H2624" i="1"/>
  <c r="H2616" i="5" s="1"/>
  <c r="P2624" i="1"/>
  <c r="H2625" i="1"/>
  <c r="P2625" i="1"/>
  <c r="P2617" i="5" s="1"/>
  <c r="E2626" i="1"/>
  <c r="E2618" i="5" s="1"/>
  <c r="H2626" i="1"/>
  <c r="H2618" i="5" s="1"/>
  <c r="P2626" i="1"/>
  <c r="P2618" i="5" s="1"/>
  <c r="H2627" i="1"/>
  <c r="P2627" i="1"/>
  <c r="P2619" i="5" s="1"/>
  <c r="H2628" i="1"/>
  <c r="H2620" i="5" s="1"/>
  <c r="P2628" i="1"/>
  <c r="H2629" i="1"/>
  <c r="P2629" i="1"/>
  <c r="P2621" i="5" s="1"/>
  <c r="H2630" i="1"/>
  <c r="H2622" i="5" s="1"/>
  <c r="P2630" i="1"/>
  <c r="H2631" i="1"/>
  <c r="H2623" i="5" s="1"/>
  <c r="X2623" i="5" s="1"/>
  <c r="P2631" i="1"/>
  <c r="P2623" i="5" s="1"/>
  <c r="H2632" i="1"/>
  <c r="H2624" i="5" s="1"/>
  <c r="X2624" i="5" s="1"/>
  <c r="P2632" i="1"/>
  <c r="P2624" i="5" s="1"/>
  <c r="E2633" i="1"/>
  <c r="H2633" i="1"/>
  <c r="H2625" i="5" s="1"/>
  <c r="P2633" i="1"/>
  <c r="E2634" i="1"/>
  <c r="H2634" i="1"/>
  <c r="M2634" i="1" s="1"/>
  <c r="M2626" i="5" s="1"/>
  <c r="P2634" i="1"/>
  <c r="P2626" i="5" s="1"/>
  <c r="H2635" i="1"/>
  <c r="H2627" i="5" s="1"/>
  <c r="P2635" i="1"/>
  <c r="P2627" i="5" s="1"/>
  <c r="H2636" i="1"/>
  <c r="M2636" i="1"/>
  <c r="P2636" i="1"/>
  <c r="P2628" i="5" s="1"/>
  <c r="E2637" i="1"/>
  <c r="F2637" i="1"/>
  <c r="H2637" i="1"/>
  <c r="H2629" i="5" s="1"/>
  <c r="X2629" i="5" s="1"/>
  <c r="I2637" i="1"/>
  <c r="P2637" i="1"/>
  <c r="P2629" i="5" s="1"/>
  <c r="H2638" i="1"/>
  <c r="H2630" i="5" s="1"/>
  <c r="P2638" i="1"/>
  <c r="P2630" i="5" s="1"/>
  <c r="E2639" i="1"/>
  <c r="H2639" i="1"/>
  <c r="P2639" i="1"/>
  <c r="P2631" i="5" s="1"/>
  <c r="H2640" i="1"/>
  <c r="P2640" i="1"/>
  <c r="P2632" i="5" s="1"/>
  <c r="H2641" i="1"/>
  <c r="H2633" i="5" s="1"/>
  <c r="P2641" i="1"/>
  <c r="F2643" i="1"/>
  <c r="G2643" i="1"/>
  <c r="J2643" i="1"/>
  <c r="K2643" i="1"/>
  <c r="L2643" i="1"/>
  <c r="N2643" i="1"/>
  <c r="O2643" i="1"/>
  <c r="Q2643" i="1"/>
  <c r="R2643" i="1"/>
  <c r="S2643" i="1"/>
  <c r="T2643" i="1"/>
  <c r="Y2643" i="1"/>
  <c r="H2647" i="1"/>
  <c r="H2639" i="5" s="1"/>
  <c r="N2647" i="1"/>
  <c r="N2639" i="5" s="1"/>
  <c r="N2658" i="5" s="1"/>
  <c r="N2660" i="5" s="1"/>
  <c r="N2943" i="5" s="1"/>
  <c r="H2648" i="1"/>
  <c r="H2640" i="5" s="1"/>
  <c r="P2648" i="1"/>
  <c r="H2649" i="1"/>
  <c r="P2649" i="1"/>
  <c r="P2641" i="5" s="1"/>
  <c r="H2650" i="1"/>
  <c r="P2650" i="1"/>
  <c r="H2651" i="1"/>
  <c r="P2651" i="1"/>
  <c r="H2652" i="1"/>
  <c r="P2652" i="1"/>
  <c r="H2653" i="1"/>
  <c r="P2653" i="1"/>
  <c r="H2654" i="1"/>
  <c r="P2654" i="1"/>
  <c r="X2654" i="1"/>
  <c r="Z2654" i="1" s="1"/>
  <c r="H2655" i="1"/>
  <c r="P2655" i="1"/>
  <c r="V2655" i="1" s="1"/>
  <c r="V2647" i="5" s="1"/>
  <c r="H2656" i="1"/>
  <c r="H2648" i="5" s="1"/>
  <c r="P2656" i="1"/>
  <c r="E2657" i="1"/>
  <c r="E2649" i="5" s="1"/>
  <c r="F2657" i="1"/>
  <c r="F2649" i="5" s="1"/>
  <c r="P2657" i="1"/>
  <c r="H2658" i="1"/>
  <c r="H2650" i="5" s="1"/>
  <c r="P2658" i="1"/>
  <c r="P2650" i="5" s="1"/>
  <c r="E2659" i="1"/>
  <c r="F2659" i="1"/>
  <c r="H2659" i="1"/>
  <c r="H2651" i="5" s="1"/>
  <c r="P2659" i="1"/>
  <c r="E2660" i="1"/>
  <c r="F2660" i="1"/>
  <c r="H2660" i="1"/>
  <c r="P2660" i="1"/>
  <c r="P2652" i="5" s="1"/>
  <c r="H2661" i="1"/>
  <c r="P2661" i="1"/>
  <c r="H2662" i="1"/>
  <c r="H2654" i="5" s="1"/>
  <c r="P2662" i="1"/>
  <c r="P2654" i="5" s="1"/>
  <c r="H2663" i="1"/>
  <c r="P2663" i="1"/>
  <c r="H2664" i="1"/>
  <c r="P2664" i="1"/>
  <c r="G2666" i="1"/>
  <c r="I2666" i="1"/>
  <c r="J2666" i="1"/>
  <c r="K2666" i="1"/>
  <c r="L2666" i="1"/>
  <c r="O2666" i="1"/>
  <c r="Q2666" i="1"/>
  <c r="R2666" i="1"/>
  <c r="S2666" i="1"/>
  <c r="S2668" i="1" s="1"/>
  <c r="S2924" i="1" s="1"/>
  <c r="T2666" i="1"/>
  <c r="Y2666" i="1"/>
  <c r="H2673" i="1"/>
  <c r="P2673" i="1"/>
  <c r="P2665" i="5" s="1"/>
  <c r="H2674" i="1"/>
  <c r="H2666" i="5" s="1"/>
  <c r="P2674" i="1"/>
  <c r="H2675" i="1"/>
  <c r="P2675" i="1"/>
  <c r="P2667" i="5" s="1"/>
  <c r="H2676" i="1"/>
  <c r="H2668" i="5" s="1"/>
  <c r="P2676" i="1"/>
  <c r="H2677" i="1"/>
  <c r="P2677" i="1"/>
  <c r="P2669" i="5" s="1"/>
  <c r="H2678" i="1"/>
  <c r="H2670" i="5" s="1"/>
  <c r="P2678" i="1"/>
  <c r="H2679" i="1"/>
  <c r="P2679" i="1"/>
  <c r="P2671" i="5" s="1"/>
  <c r="E2680" i="1"/>
  <c r="E2672" i="5" s="1"/>
  <c r="F2680" i="1"/>
  <c r="F2672" i="5" s="1"/>
  <c r="P2680" i="1"/>
  <c r="H2681" i="1"/>
  <c r="P2681" i="1"/>
  <c r="E2682" i="1"/>
  <c r="E2674" i="5" s="1"/>
  <c r="H2682" i="1"/>
  <c r="H2674" i="5" s="1"/>
  <c r="P2682" i="1"/>
  <c r="H2683" i="1"/>
  <c r="M2683" i="1"/>
  <c r="M2675" i="5" s="1"/>
  <c r="P2683" i="1"/>
  <c r="H2684" i="1"/>
  <c r="H2676" i="5" s="1"/>
  <c r="P2684" i="1"/>
  <c r="H2685" i="1"/>
  <c r="P2685" i="1"/>
  <c r="H2686" i="1"/>
  <c r="H2678" i="5" s="1"/>
  <c r="P2686" i="1"/>
  <c r="U2686" i="1"/>
  <c r="H2687" i="1"/>
  <c r="P2687" i="1"/>
  <c r="E2688" i="1"/>
  <c r="E2680" i="5" s="1"/>
  <c r="F2688" i="1"/>
  <c r="F2680" i="5" s="1"/>
  <c r="P2688" i="1"/>
  <c r="H2689" i="1"/>
  <c r="H2681" i="5" s="1"/>
  <c r="P2689" i="1"/>
  <c r="G2691" i="1"/>
  <c r="I2691" i="1"/>
  <c r="J2691" i="1"/>
  <c r="K2691" i="1"/>
  <c r="L2691" i="1"/>
  <c r="N2691" i="1"/>
  <c r="O2691" i="1"/>
  <c r="Q2691" i="1"/>
  <c r="R2691" i="1"/>
  <c r="S2691" i="1"/>
  <c r="T2691" i="1"/>
  <c r="Y2691" i="1"/>
  <c r="H2694" i="1"/>
  <c r="P2694" i="1"/>
  <c r="H2695" i="1"/>
  <c r="M2695" i="1" s="1"/>
  <c r="P2695" i="1"/>
  <c r="H2696" i="1"/>
  <c r="P2696" i="1"/>
  <c r="H2697" i="1"/>
  <c r="H2689" i="5" s="1"/>
  <c r="P2697" i="1"/>
  <c r="H2698" i="1"/>
  <c r="P2698" i="1"/>
  <c r="P2690" i="5" s="1"/>
  <c r="X2698" i="1"/>
  <c r="Z2698" i="1" s="1"/>
  <c r="H2699" i="1"/>
  <c r="P2699" i="1"/>
  <c r="V2699" i="1" s="1"/>
  <c r="V2691" i="5" s="1"/>
  <c r="H2700" i="1"/>
  <c r="P2700" i="1"/>
  <c r="P2692" i="5" s="1"/>
  <c r="U2700" i="1"/>
  <c r="H2701" i="1"/>
  <c r="P2701" i="1"/>
  <c r="H2702" i="1"/>
  <c r="P2702" i="1"/>
  <c r="X2702" i="1"/>
  <c r="Z2702" i="1" s="1"/>
  <c r="E2703" i="1"/>
  <c r="E2695" i="5" s="1"/>
  <c r="H2703" i="1"/>
  <c r="H2695" i="5" s="1"/>
  <c r="P2703" i="1"/>
  <c r="H2704" i="1"/>
  <c r="P2704" i="1"/>
  <c r="E2705" i="1"/>
  <c r="E2697" i="5" s="1"/>
  <c r="F2705" i="1"/>
  <c r="P2705" i="1"/>
  <c r="P2697" i="5" s="1"/>
  <c r="F2706" i="1"/>
  <c r="F2698" i="5" s="1"/>
  <c r="P2706" i="1"/>
  <c r="U2706" i="1"/>
  <c r="E2707" i="1"/>
  <c r="F2707" i="1"/>
  <c r="P2707" i="1"/>
  <c r="H2708" i="1"/>
  <c r="P2708" i="1"/>
  <c r="H2709" i="1"/>
  <c r="P2709" i="1"/>
  <c r="H2710" i="1"/>
  <c r="P2710" i="1"/>
  <c r="G2712" i="1"/>
  <c r="I2712" i="1"/>
  <c r="J2712" i="1"/>
  <c r="K2712" i="1"/>
  <c r="L2712" i="1"/>
  <c r="N2712" i="1"/>
  <c r="O2712" i="1"/>
  <c r="Q2712" i="1"/>
  <c r="R2712" i="1"/>
  <c r="S2712" i="1"/>
  <c r="T2712" i="1"/>
  <c r="Y2712" i="1"/>
  <c r="E2715" i="1"/>
  <c r="F2715" i="1"/>
  <c r="P2715" i="1"/>
  <c r="H2716" i="1"/>
  <c r="P2716" i="1"/>
  <c r="H2717" i="1"/>
  <c r="H2709" i="5" s="1"/>
  <c r="M2717" i="1"/>
  <c r="P2717" i="1"/>
  <c r="H2718" i="1"/>
  <c r="P2718" i="1"/>
  <c r="P2710" i="5" s="1"/>
  <c r="U2718" i="1"/>
  <c r="H2719" i="1"/>
  <c r="H2711" i="5" s="1"/>
  <c r="M2719" i="1"/>
  <c r="P2719" i="1"/>
  <c r="H2720" i="1"/>
  <c r="P2720" i="1"/>
  <c r="P2712" i="5" s="1"/>
  <c r="U2720" i="1"/>
  <c r="H2721" i="1"/>
  <c r="P2721" i="1"/>
  <c r="H2722" i="1"/>
  <c r="P2722" i="1"/>
  <c r="E2723" i="1"/>
  <c r="E2715" i="5" s="1"/>
  <c r="F2723" i="1"/>
  <c r="F2715" i="5" s="1"/>
  <c r="P2723" i="1"/>
  <c r="P2715" i="5" s="1"/>
  <c r="H2724" i="1"/>
  <c r="H2716" i="5" s="1"/>
  <c r="P2724" i="1"/>
  <c r="H2725" i="1"/>
  <c r="P2725" i="1"/>
  <c r="P2717" i="5" s="1"/>
  <c r="H2726" i="1"/>
  <c r="H2718" i="5" s="1"/>
  <c r="P2726" i="1"/>
  <c r="H2727" i="1"/>
  <c r="P2727" i="1"/>
  <c r="P2719" i="5" s="1"/>
  <c r="H2728" i="1"/>
  <c r="H2720" i="5" s="1"/>
  <c r="P2728" i="1"/>
  <c r="H2729" i="1"/>
  <c r="P2729" i="1"/>
  <c r="P2721" i="5" s="1"/>
  <c r="E2730" i="1"/>
  <c r="E2722" i="5" s="1"/>
  <c r="F2730" i="1"/>
  <c r="F2722" i="5" s="1"/>
  <c r="P2730" i="1"/>
  <c r="P2722" i="5" s="1"/>
  <c r="U2730" i="1"/>
  <c r="E2731" i="1"/>
  <c r="E2723" i="5" s="1"/>
  <c r="F2731" i="1"/>
  <c r="F2723" i="5" s="1"/>
  <c r="P2731" i="1"/>
  <c r="P2723" i="5" s="1"/>
  <c r="E2732" i="1"/>
  <c r="F2732" i="1"/>
  <c r="P2732" i="1"/>
  <c r="H2733" i="1"/>
  <c r="P2733" i="1"/>
  <c r="H2734" i="1"/>
  <c r="H2726" i="5" s="1"/>
  <c r="P2734" i="1"/>
  <c r="G2736" i="1"/>
  <c r="I2736" i="1"/>
  <c r="J2736" i="1"/>
  <c r="K2736" i="1"/>
  <c r="L2736" i="1"/>
  <c r="N2736" i="1"/>
  <c r="N2760" i="1" s="1"/>
  <c r="N2926" i="1" s="1"/>
  <c r="O2736" i="1"/>
  <c r="Q2736" i="1"/>
  <c r="R2736" i="1"/>
  <c r="S2736" i="1"/>
  <c r="S2760" i="1" s="1"/>
  <c r="S2847" i="1" s="1"/>
  <c r="T2736" i="1"/>
  <c r="Y2736" i="1"/>
  <c r="E2739" i="1"/>
  <c r="F2739" i="1"/>
  <c r="P2739" i="1"/>
  <c r="P2731" i="5" s="1"/>
  <c r="E2740" i="1"/>
  <c r="F2740" i="1"/>
  <c r="P2740" i="1"/>
  <c r="H2741" i="1"/>
  <c r="P2741" i="1"/>
  <c r="P2733" i="5" s="1"/>
  <c r="H2742" i="1"/>
  <c r="H2734" i="5" s="1"/>
  <c r="P2742" i="1"/>
  <c r="H2743" i="1"/>
  <c r="P2743" i="1"/>
  <c r="P2735" i="5" s="1"/>
  <c r="H2744" i="1"/>
  <c r="H2736" i="5" s="1"/>
  <c r="P2744" i="1"/>
  <c r="H2745" i="1"/>
  <c r="P2745" i="1"/>
  <c r="P2737" i="5" s="1"/>
  <c r="H2746" i="1"/>
  <c r="H2738" i="5" s="1"/>
  <c r="P2746" i="1"/>
  <c r="H2747" i="1"/>
  <c r="P2747" i="1"/>
  <c r="P2739" i="5" s="1"/>
  <c r="E2748" i="1"/>
  <c r="E2740" i="5" s="1"/>
  <c r="F2748" i="1"/>
  <c r="F2740" i="5" s="1"/>
  <c r="P2748" i="1"/>
  <c r="P2740" i="5" s="1"/>
  <c r="U2748" i="1"/>
  <c r="H2749" i="1"/>
  <c r="P2749" i="1"/>
  <c r="E2750" i="1"/>
  <c r="F2750" i="1"/>
  <c r="P2750" i="1"/>
  <c r="H2751" i="1"/>
  <c r="P2751" i="1"/>
  <c r="Y2751" i="1"/>
  <c r="H2752" i="1"/>
  <c r="P2752" i="1"/>
  <c r="P2744" i="5" s="1"/>
  <c r="Y2752" i="1"/>
  <c r="Y2744" i="5" s="1"/>
  <c r="H2753" i="1"/>
  <c r="H2745" i="5" s="1"/>
  <c r="P2753" i="1"/>
  <c r="H2754" i="1"/>
  <c r="P2754" i="1"/>
  <c r="H2755" i="1"/>
  <c r="P2755" i="1"/>
  <c r="H2756" i="1"/>
  <c r="P2756" i="1"/>
  <c r="G2758" i="1"/>
  <c r="I2758" i="1"/>
  <c r="J2758" i="1"/>
  <c r="K2758" i="1"/>
  <c r="K2824" i="1" s="1"/>
  <c r="L2758" i="1"/>
  <c r="N2758" i="1"/>
  <c r="O2758" i="1"/>
  <c r="Q2758" i="1"/>
  <c r="R2758" i="1"/>
  <c r="S2758" i="1"/>
  <c r="T2758" i="1"/>
  <c r="C2775" i="1"/>
  <c r="F2777" i="1"/>
  <c r="N2777" i="1" s="1"/>
  <c r="H2780" i="1"/>
  <c r="M2780" i="1" s="1"/>
  <c r="I2780" i="1"/>
  <c r="J2780" i="1"/>
  <c r="K2780" i="1"/>
  <c r="P2780" i="1"/>
  <c r="Q2780" i="1"/>
  <c r="R2780" i="1"/>
  <c r="S2780" i="1"/>
  <c r="U2780" i="1"/>
  <c r="V2780" i="1"/>
  <c r="W2780" i="1"/>
  <c r="Y2780" i="1"/>
  <c r="H2781" i="1"/>
  <c r="M2781" i="1" s="1"/>
  <c r="I2781" i="1"/>
  <c r="J2781" i="1"/>
  <c r="K2781" i="1"/>
  <c r="N2781" i="1"/>
  <c r="Q2781" i="1"/>
  <c r="R2781" i="1"/>
  <c r="S2781" i="1"/>
  <c r="Y2781" i="1"/>
  <c r="H2782" i="1"/>
  <c r="X2782" i="1" s="1"/>
  <c r="Z2782" i="1" s="1"/>
  <c r="P2782" i="1"/>
  <c r="U2782" i="1" s="1"/>
  <c r="Y2782" i="1"/>
  <c r="H2783" i="1"/>
  <c r="I2783" i="1"/>
  <c r="J2783" i="1"/>
  <c r="K2783" i="1"/>
  <c r="M2783" i="1"/>
  <c r="P2783" i="1"/>
  <c r="Q2783" i="1"/>
  <c r="R2783" i="1"/>
  <c r="S2783" i="1"/>
  <c r="U2783" i="1"/>
  <c r="Y2783" i="1"/>
  <c r="AA2783" i="1"/>
  <c r="H2784" i="1"/>
  <c r="I2784" i="1"/>
  <c r="J2784" i="1"/>
  <c r="K2784" i="1"/>
  <c r="M2784" i="1"/>
  <c r="P2784" i="1"/>
  <c r="Q2784" i="1"/>
  <c r="R2784" i="1"/>
  <c r="S2784" i="1"/>
  <c r="U2784" i="1"/>
  <c r="Y2784" i="1"/>
  <c r="H2785" i="1"/>
  <c r="M2785" i="1" s="1"/>
  <c r="P2785" i="1"/>
  <c r="U2785" i="1" s="1"/>
  <c r="Y2785" i="1"/>
  <c r="H2786" i="1"/>
  <c r="M2786" i="1" s="1"/>
  <c r="I2786" i="1"/>
  <c r="K2786" i="1"/>
  <c r="P2786" i="1"/>
  <c r="Q2786" i="1"/>
  <c r="R2786" i="1"/>
  <c r="H2787" i="1"/>
  <c r="M2787" i="1" s="1"/>
  <c r="P2787" i="1"/>
  <c r="U2787" i="1" s="1"/>
  <c r="V2787" i="1"/>
  <c r="W2787" i="1"/>
  <c r="Y2787" i="1"/>
  <c r="H2788" i="1"/>
  <c r="P2788" i="1"/>
  <c r="U2788" i="1" s="1"/>
  <c r="H2789" i="1"/>
  <c r="M2789" i="1" s="1"/>
  <c r="P2789" i="1"/>
  <c r="U2789" i="1" s="1"/>
  <c r="Y2789" i="1"/>
  <c r="H2790" i="1"/>
  <c r="M2790" i="1" s="1"/>
  <c r="J2790" i="1"/>
  <c r="K2790" i="1"/>
  <c r="P2790" i="1"/>
  <c r="U2790" i="1" s="1"/>
  <c r="Q2790" i="1"/>
  <c r="S2790" i="1"/>
  <c r="X2790" i="1"/>
  <c r="Z2790" i="1" s="1"/>
  <c r="Y2790" i="1"/>
  <c r="H2791" i="1"/>
  <c r="I2791" i="1"/>
  <c r="J2791" i="1"/>
  <c r="K2791" i="1"/>
  <c r="M2791" i="1"/>
  <c r="N2791" i="1"/>
  <c r="Q2791" i="1"/>
  <c r="R2791" i="1"/>
  <c r="S2791" i="1"/>
  <c r="V2791" i="1"/>
  <c r="W2791" i="1"/>
  <c r="Y2791" i="1"/>
  <c r="H2792" i="1"/>
  <c r="I2792" i="1"/>
  <c r="J2792" i="1"/>
  <c r="K2792" i="1"/>
  <c r="M2792" i="1"/>
  <c r="P2792" i="1"/>
  <c r="X2792" i="1" s="1"/>
  <c r="Z2792" i="1" s="1"/>
  <c r="Q2792" i="1"/>
  <c r="R2792" i="1"/>
  <c r="S2792" i="1"/>
  <c r="U2792" i="1"/>
  <c r="V2792" i="1"/>
  <c r="W2792" i="1"/>
  <c r="Y2792" i="1"/>
  <c r="H2793" i="1"/>
  <c r="M2793" i="1" s="1"/>
  <c r="I2793" i="1"/>
  <c r="K2793" i="1"/>
  <c r="P2793" i="1"/>
  <c r="U2793" i="1" s="1"/>
  <c r="R2793" i="1"/>
  <c r="Y2793" i="1"/>
  <c r="H2794" i="1"/>
  <c r="I2794" i="1"/>
  <c r="J2794" i="1"/>
  <c r="K2794" i="1"/>
  <c r="M2794" i="1"/>
  <c r="P2794" i="1"/>
  <c r="X2794" i="1" s="1"/>
  <c r="Z2794" i="1" s="1"/>
  <c r="Q2794" i="1"/>
  <c r="R2794" i="1"/>
  <c r="S2794" i="1"/>
  <c r="V2794" i="1"/>
  <c r="W2794" i="1"/>
  <c r="Y2794" i="1"/>
  <c r="H2795" i="1"/>
  <c r="I2795" i="1"/>
  <c r="J2795" i="1"/>
  <c r="K2795" i="1"/>
  <c r="M2795" i="1"/>
  <c r="P2795" i="1"/>
  <c r="X2795" i="1" s="1"/>
  <c r="Q2795" i="1"/>
  <c r="R2795" i="1"/>
  <c r="S2795" i="1"/>
  <c r="U2795" i="1"/>
  <c r="V2795" i="1"/>
  <c r="W2795" i="1"/>
  <c r="Y2795" i="1"/>
  <c r="Z2795" i="1"/>
  <c r="E2796" i="1"/>
  <c r="F2796" i="1"/>
  <c r="P2796" i="1"/>
  <c r="U2796" i="1" s="1"/>
  <c r="E2797" i="1"/>
  <c r="F2797" i="1"/>
  <c r="P2797" i="1"/>
  <c r="U2797" i="1" s="1"/>
  <c r="H2798" i="1"/>
  <c r="P2798" i="1"/>
  <c r="U2798" i="1" s="1"/>
  <c r="H2799" i="1"/>
  <c r="I2799" i="1"/>
  <c r="J2799" i="1"/>
  <c r="K2799" i="1"/>
  <c r="M2799" i="1"/>
  <c r="P2799" i="1"/>
  <c r="U2799" i="1" s="1"/>
  <c r="Q2799" i="1"/>
  <c r="R2799" i="1"/>
  <c r="S2799" i="1"/>
  <c r="V2799" i="1"/>
  <c r="W2799" i="1"/>
  <c r="Y2799" i="1"/>
  <c r="H2800" i="1"/>
  <c r="I2800" i="1"/>
  <c r="J2800" i="1"/>
  <c r="K2800" i="1"/>
  <c r="M2800" i="1"/>
  <c r="P2800" i="1"/>
  <c r="X2800" i="1" s="1"/>
  <c r="Z2800" i="1" s="1"/>
  <c r="Q2800" i="1"/>
  <c r="R2800" i="1"/>
  <c r="S2800" i="1"/>
  <c r="V2800" i="1"/>
  <c r="W2800" i="1"/>
  <c r="Y2800" i="1"/>
  <c r="E2801" i="1"/>
  <c r="F2801" i="1"/>
  <c r="I2801" i="1"/>
  <c r="J2801" i="1"/>
  <c r="K2801" i="1"/>
  <c r="P2801" i="1"/>
  <c r="Q2801" i="1"/>
  <c r="R2801" i="1"/>
  <c r="S2801" i="1"/>
  <c r="U2801" i="1"/>
  <c r="V2801" i="1"/>
  <c r="W2801" i="1"/>
  <c r="Y2801" i="1"/>
  <c r="E2802" i="1"/>
  <c r="F2802" i="1"/>
  <c r="P2802" i="1"/>
  <c r="U2802" i="1" s="1"/>
  <c r="V2802" i="1"/>
  <c r="W2802" i="1"/>
  <c r="Y2802" i="1"/>
  <c r="E2803" i="1"/>
  <c r="F2803" i="1"/>
  <c r="H2803" i="1"/>
  <c r="M2803" i="1" s="1"/>
  <c r="P2803" i="1"/>
  <c r="U2803" i="1" s="1"/>
  <c r="H2805" i="1"/>
  <c r="M2805" i="1" s="1"/>
  <c r="P2805" i="1"/>
  <c r="U2805" i="1" s="1"/>
  <c r="H2806" i="1"/>
  <c r="P2806" i="1"/>
  <c r="U2806" i="1" s="1"/>
  <c r="E2807" i="1"/>
  <c r="F2807" i="1"/>
  <c r="P2807" i="1"/>
  <c r="T2807" i="1" s="1"/>
  <c r="V2807" i="1"/>
  <c r="W2807" i="1"/>
  <c r="Y2807" i="1"/>
  <c r="E2808" i="1"/>
  <c r="F2808" i="1"/>
  <c r="I2808" i="1"/>
  <c r="J2808" i="1"/>
  <c r="K2808" i="1"/>
  <c r="N2808" i="1"/>
  <c r="Q2808" i="1"/>
  <c r="R2808" i="1"/>
  <c r="S2808" i="1"/>
  <c r="V2808" i="1"/>
  <c r="W2808" i="1"/>
  <c r="Y2808" i="1"/>
  <c r="H2809" i="1"/>
  <c r="M2809" i="1" s="1"/>
  <c r="P2809" i="1"/>
  <c r="H2810" i="1"/>
  <c r="M2810" i="1" s="1"/>
  <c r="P2810" i="1"/>
  <c r="H2811" i="1"/>
  <c r="M2811" i="1" s="1"/>
  <c r="P2811" i="1"/>
  <c r="E2812" i="1"/>
  <c r="F2812" i="1"/>
  <c r="P2812" i="1"/>
  <c r="U2812" i="1" s="1"/>
  <c r="F2813" i="1"/>
  <c r="P2813" i="1"/>
  <c r="U2813" i="1" s="1"/>
  <c r="E2814" i="1"/>
  <c r="F2814" i="1"/>
  <c r="N2814" i="1"/>
  <c r="V2814" i="1"/>
  <c r="W2814" i="1"/>
  <c r="Y2814" i="1"/>
  <c r="E2815" i="1"/>
  <c r="F2815" i="1"/>
  <c r="P2815" i="1"/>
  <c r="T2815" i="1" s="1"/>
  <c r="V2815" i="1"/>
  <c r="W2815" i="1"/>
  <c r="Y2815" i="1"/>
  <c r="E2816" i="1"/>
  <c r="F2816" i="1"/>
  <c r="H2816" i="1"/>
  <c r="M2816" i="1" s="1"/>
  <c r="P2816" i="1"/>
  <c r="T2816" i="1" s="1"/>
  <c r="H2817" i="1"/>
  <c r="P2817" i="1"/>
  <c r="U2817" i="1" s="1"/>
  <c r="V2817" i="1"/>
  <c r="W2817" i="1"/>
  <c r="Y2817" i="1"/>
  <c r="E2818" i="1"/>
  <c r="F2818" i="1"/>
  <c r="P2818" i="1"/>
  <c r="U2818" i="1"/>
  <c r="Y2818" i="1"/>
  <c r="E2819" i="1"/>
  <c r="F2819" i="1"/>
  <c r="P2819" i="1"/>
  <c r="U2819" i="1" s="1"/>
  <c r="E2820" i="1"/>
  <c r="F2820" i="1"/>
  <c r="P2820" i="1"/>
  <c r="U2820" i="1"/>
  <c r="H2821" i="1"/>
  <c r="M2821" i="1" s="1"/>
  <c r="P2821" i="1"/>
  <c r="U2821" i="1" s="1"/>
  <c r="H2822" i="1"/>
  <c r="I2822" i="1"/>
  <c r="J2822" i="1"/>
  <c r="K2822" i="1"/>
  <c r="P2822" i="1"/>
  <c r="U2822" i="1" s="1"/>
  <c r="Q2822" i="1"/>
  <c r="R2822" i="1"/>
  <c r="Y2822" i="1"/>
  <c r="H2823" i="1"/>
  <c r="M2823" i="1"/>
  <c r="P2823" i="1"/>
  <c r="U2823" i="1" s="1"/>
  <c r="R2823" i="1"/>
  <c r="Y2823" i="1"/>
  <c r="H2824" i="1"/>
  <c r="M2824" i="1" s="1"/>
  <c r="P2824" i="1"/>
  <c r="U2824" i="1" s="1"/>
  <c r="S2824" i="1"/>
  <c r="Y2824" i="1"/>
  <c r="H2825" i="1"/>
  <c r="M2825" i="1" s="1"/>
  <c r="P2825" i="1"/>
  <c r="U2825" i="1" s="1"/>
  <c r="R2825" i="1"/>
  <c r="Y2825" i="1"/>
  <c r="H2826" i="1"/>
  <c r="M2826" i="1" s="1"/>
  <c r="P2826" i="1"/>
  <c r="Y2826" i="1"/>
  <c r="H2827" i="1"/>
  <c r="M2827" i="1" s="1"/>
  <c r="P2827" i="1"/>
  <c r="U2827" i="1" s="1"/>
  <c r="Y2827" i="1"/>
  <c r="H2828" i="1"/>
  <c r="P2828" i="1"/>
  <c r="U2828" i="1" s="1"/>
  <c r="Y2828" i="1"/>
  <c r="H2829" i="1"/>
  <c r="I2829" i="1"/>
  <c r="J2829" i="1"/>
  <c r="K2829" i="1"/>
  <c r="M2829" i="1"/>
  <c r="P2829" i="1"/>
  <c r="Q2829" i="1"/>
  <c r="R2829" i="1"/>
  <c r="S2829" i="1"/>
  <c r="U2829" i="1"/>
  <c r="Y2829" i="1"/>
  <c r="H2830" i="1"/>
  <c r="P2830" i="1"/>
  <c r="U2830" i="1" s="1"/>
  <c r="R2830" i="1"/>
  <c r="Y2830" i="1"/>
  <c r="H2831" i="1"/>
  <c r="M2831" i="1" s="1"/>
  <c r="I2831" i="1"/>
  <c r="K2831" i="1"/>
  <c r="P2831" i="1"/>
  <c r="U2831" i="1" s="1"/>
  <c r="R2831" i="1"/>
  <c r="V2831" i="1"/>
  <c r="W2831" i="1"/>
  <c r="Y2831" i="1"/>
  <c r="H2832" i="1"/>
  <c r="M2832" i="1" s="1"/>
  <c r="I2832" i="1"/>
  <c r="J2832" i="1"/>
  <c r="K2832" i="1"/>
  <c r="P2832" i="1"/>
  <c r="Q2832" i="1"/>
  <c r="R2832" i="1"/>
  <c r="S2832" i="1"/>
  <c r="U2832" i="1"/>
  <c r="Y2832" i="1"/>
  <c r="H2833" i="1"/>
  <c r="P2833" i="1"/>
  <c r="X2833" i="1" s="1"/>
  <c r="Z2833" i="1" s="1"/>
  <c r="Y2833" i="1"/>
  <c r="H2834" i="1"/>
  <c r="M2834" i="1" s="1"/>
  <c r="P2834" i="1"/>
  <c r="Y2834" i="1"/>
  <c r="H2835" i="1"/>
  <c r="M2835" i="1" s="1"/>
  <c r="P2835" i="1"/>
  <c r="U2835" i="1" s="1"/>
  <c r="Y2835" i="1"/>
  <c r="E2836" i="1"/>
  <c r="H2836" i="1"/>
  <c r="M2836" i="1" s="1"/>
  <c r="N2836" i="1"/>
  <c r="Y2836" i="1"/>
  <c r="H2837" i="1"/>
  <c r="M2837" i="1" s="1"/>
  <c r="P2837" i="1"/>
  <c r="U2837" i="1" s="1"/>
  <c r="Y2837" i="1"/>
  <c r="H2838" i="1"/>
  <c r="M2838" i="1" s="1"/>
  <c r="P2838" i="1"/>
  <c r="U2838" i="1" s="1"/>
  <c r="X2838" i="1"/>
  <c r="Z2838" i="1" s="1"/>
  <c r="Y2838" i="1"/>
  <c r="H2839" i="1"/>
  <c r="M2839" i="1" s="1"/>
  <c r="P2839" i="1"/>
  <c r="Y2839" i="1"/>
  <c r="H2840" i="1"/>
  <c r="I2840" i="1"/>
  <c r="J2840" i="1"/>
  <c r="K2840" i="1"/>
  <c r="M2840" i="1"/>
  <c r="P2840" i="1"/>
  <c r="Q2840" i="1"/>
  <c r="R2840" i="1"/>
  <c r="S2840" i="1"/>
  <c r="U2840" i="1"/>
  <c r="Y2840" i="1"/>
  <c r="H2841" i="1"/>
  <c r="M2841" i="1" s="1"/>
  <c r="I2841" i="1"/>
  <c r="K2841" i="1"/>
  <c r="P2841" i="1"/>
  <c r="U2841" i="1" s="1"/>
  <c r="R2841" i="1"/>
  <c r="S2841" i="1"/>
  <c r="X2841" i="1"/>
  <c r="Z2841" i="1" s="1"/>
  <c r="Y2841" i="1"/>
  <c r="H2842" i="1"/>
  <c r="P2842" i="1"/>
  <c r="U2842" i="1" s="1"/>
  <c r="Y2842" i="1"/>
  <c r="H2843" i="1"/>
  <c r="I2843" i="1"/>
  <c r="J2843" i="1"/>
  <c r="K2843" i="1"/>
  <c r="M2843" i="1"/>
  <c r="P2843" i="1"/>
  <c r="X2843" i="1" s="1"/>
  <c r="Z2843" i="1" s="1"/>
  <c r="Q2843" i="1"/>
  <c r="R2843" i="1"/>
  <c r="Y2843" i="1"/>
  <c r="H2844" i="1"/>
  <c r="M2844" i="1" s="1"/>
  <c r="P2844" i="1"/>
  <c r="H2845" i="1"/>
  <c r="M2845" i="1"/>
  <c r="P2845" i="1"/>
  <c r="Y2845" i="1"/>
  <c r="H2846" i="1"/>
  <c r="M2846" i="1"/>
  <c r="P2846" i="1"/>
  <c r="U2846" i="1" s="1"/>
  <c r="Y2846" i="1"/>
  <c r="E2847" i="1"/>
  <c r="F2847" i="1"/>
  <c r="H2847" i="1" s="1"/>
  <c r="M2847" i="1" s="1"/>
  <c r="N2847" i="1"/>
  <c r="Y2847" i="1"/>
  <c r="F2848" i="1"/>
  <c r="I2848" i="1"/>
  <c r="J2848" i="1"/>
  <c r="K2848" i="1"/>
  <c r="P2848" i="1"/>
  <c r="U2848" i="1" s="1"/>
  <c r="Q2848" i="1"/>
  <c r="R2848" i="1"/>
  <c r="S2848" i="1"/>
  <c r="Y2848" i="1"/>
  <c r="H2849" i="1"/>
  <c r="I2849" i="1"/>
  <c r="K2849" i="1"/>
  <c r="M2849" i="1"/>
  <c r="P2849" i="1"/>
  <c r="X2849" i="1" s="1"/>
  <c r="Q2849" i="1"/>
  <c r="R2849" i="1"/>
  <c r="S2849" i="1"/>
  <c r="U2849" i="1"/>
  <c r="Y2849" i="1"/>
  <c r="Z2849" i="1"/>
  <c r="H2850" i="1"/>
  <c r="M2850" i="1" s="1"/>
  <c r="P2850" i="1"/>
  <c r="U2850" i="1" s="1"/>
  <c r="Y2850" i="1"/>
  <c r="E2851" i="1"/>
  <c r="F2851" i="1"/>
  <c r="I2851" i="1"/>
  <c r="J2851" i="1"/>
  <c r="K2851" i="1"/>
  <c r="P2851" i="1"/>
  <c r="Q2851" i="1"/>
  <c r="R2851" i="1"/>
  <c r="S2851" i="1"/>
  <c r="U2851" i="1"/>
  <c r="Y2851" i="1"/>
  <c r="H2852" i="1"/>
  <c r="X2852" i="1" s="1"/>
  <c r="Z2852" i="1" s="1"/>
  <c r="I2852" i="1"/>
  <c r="J2852" i="1"/>
  <c r="K2852" i="1"/>
  <c r="P2852" i="1"/>
  <c r="Q2852" i="1"/>
  <c r="R2852" i="1"/>
  <c r="S2852" i="1"/>
  <c r="U2852" i="1"/>
  <c r="Y2852" i="1"/>
  <c r="H2853" i="1"/>
  <c r="P2853" i="1"/>
  <c r="U2853" i="1" s="1"/>
  <c r="Y2853" i="1"/>
  <c r="H2854" i="1"/>
  <c r="M2854" i="1" s="1"/>
  <c r="P2854" i="1"/>
  <c r="U2854" i="1" s="1"/>
  <c r="Y2854" i="1"/>
  <c r="H2855" i="1"/>
  <c r="M2855" i="1" s="1"/>
  <c r="P2855" i="1"/>
  <c r="U2855" i="1" s="1"/>
  <c r="Y2855" i="1"/>
  <c r="H2856" i="1"/>
  <c r="M2856" i="1" s="1"/>
  <c r="P2856" i="1"/>
  <c r="U2856" i="1" s="1"/>
  <c r="Y2856" i="1"/>
  <c r="H2857" i="1"/>
  <c r="M2857" i="1" s="1"/>
  <c r="P2857" i="1"/>
  <c r="U2857" i="1" s="1"/>
  <c r="Y2857" i="1"/>
  <c r="H2858" i="1"/>
  <c r="M2858" i="1" s="1"/>
  <c r="P2858" i="1"/>
  <c r="Y2858" i="1"/>
  <c r="H2859" i="1"/>
  <c r="M2859" i="1"/>
  <c r="P2859" i="1"/>
  <c r="Y2859" i="1"/>
  <c r="H2860" i="1"/>
  <c r="M2860" i="1"/>
  <c r="P2860" i="1"/>
  <c r="U2860" i="1" s="1"/>
  <c r="Y2860" i="1"/>
  <c r="G2862" i="1"/>
  <c r="L2862" i="1"/>
  <c r="O2862" i="1"/>
  <c r="AD2865" i="1"/>
  <c r="AE2865" i="1"/>
  <c r="AF2865" i="1"/>
  <c r="AG2865" i="1"/>
  <c r="AH2865" i="1"/>
  <c r="AI2865" i="1"/>
  <c r="AJ2865" i="1"/>
  <c r="AK2865" i="1"/>
  <c r="AM2865" i="1"/>
  <c r="AN2865" i="1"/>
  <c r="AP2865" i="1"/>
  <c r="AQ2865" i="1"/>
  <c r="AR2865" i="1"/>
  <c r="AS2865" i="1"/>
  <c r="AX2865" i="1"/>
  <c r="AD2866" i="1"/>
  <c r="AE2866" i="1"/>
  <c r="AF2866" i="1"/>
  <c r="AH2866" i="1"/>
  <c r="AI2866" i="1"/>
  <c r="AJ2866" i="1"/>
  <c r="AK2866" i="1"/>
  <c r="AM2866" i="1"/>
  <c r="AN2866" i="1"/>
  <c r="AP2866" i="1"/>
  <c r="AQ2866" i="1"/>
  <c r="AR2866" i="1"/>
  <c r="AS2866" i="1"/>
  <c r="AX2866" i="1"/>
  <c r="AD2867" i="1"/>
  <c r="AE2867" i="1"/>
  <c r="AF2867" i="1"/>
  <c r="AH2867" i="1"/>
  <c r="AI2867" i="1"/>
  <c r="AJ2867" i="1"/>
  <c r="AK2867" i="1"/>
  <c r="AM2867" i="1"/>
  <c r="AN2867" i="1"/>
  <c r="AP2867" i="1"/>
  <c r="AQ2867" i="1"/>
  <c r="AR2867" i="1"/>
  <c r="AS2867" i="1"/>
  <c r="AX2867" i="1"/>
  <c r="C2884" i="1"/>
  <c r="C2890" i="1"/>
  <c r="F2895" i="1"/>
  <c r="N2895" i="1" s="1"/>
  <c r="O2898" i="1"/>
  <c r="Y2900" i="1"/>
  <c r="Y2902" i="1"/>
  <c r="Y2904" i="1"/>
  <c r="R2906" i="1"/>
  <c r="S2906" i="1"/>
  <c r="Y2906" i="1"/>
  <c r="Y2908" i="1"/>
  <c r="S2910" i="1"/>
  <c r="Y2910" i="1"/>
  <c r="Y2912" i="1"/>
  <c r="S2914" i="1"/>
  <c r="Y2914" i="1"/>
  <c r="Y2916" i="1"/>
  <c r="R2918" i="1"/>
  <c r="S2918" i="1"/>
  <c r="Y2918" i="1"/>
  <c r="R2920" i="1"/>
  <c r="S2920" i="1"/>
  <c r="Y2920" i="1"/>
  <c r="Y2922" i="1"/>
  <c r="Y2924" i="1"/>
  <c r="Y2926" i="1"/>
  <c r="C2934" i="1"/>
  <c r="M2880" i="5" l="1"/>
  <c r="M2881" i="4"/>
  <c r="M2809" i="5"/>
  <c r="M2809" i="4"/>
  <c r="J2350" i="4"/>
  <c r="J2350" i="5"/>
  <c r="U2819" i="5"/>
  <c r="U2819" i="4"/>
  <c r="J2434" i="4"/>
  <c r="J2434" i="5"/>
  <c r="M2862" i="5"/>
  <c r="M2863" i="4"/>
  <c r="M2852" i="5"/>
  <c r="M2853" i="4"/>
  <c r="M2687" i="4"/>
  <c r="M2687" i="5"/>
  <c r="U2465" i="4"/>
  <c r="U2465" i="5"/>
  <c r="M2869" i="5"/>
  <c r="M2870" i="4"/>
  <c r="U2862" i="5"/>
  <c r="U2863" i="4"/>
  <c r="U2859" i="5"/>
  <c r="U2860" i="4"/>
  <c r="U2773" i="5"/>
  <c r="U2773" i="4"/>
  <c r="U2354" i="4"/>
  <c r="U2354" i="5"/>
  <c r="U2348" i="4"/>
  <c r="U2348" i="5"/>
  <c r="Y2878" i="5"/>
  <c r="Y2879" i="4"/>
  <c r="I2871" i="5"/>
  <c r="I2872" i="4"/>
  <c r="K2864" i="5"/>
  <c r="K2865" i="4"/>
  <c r="Y2860" i="5"/>
  <c r="Y2861" i="4"/>
  <c r="U2856" i="5"/>
  <c r="U2857" i="4"/>
  <c r="K2853" i="5"/>
  <c r="K2854" i="4"/>
  <c r="U2852" i="5"/>
  <c r="U2853" i="4"/>
  <c r="Y2849" i="5"/>
  <c r="Y2850" i="4"/>
  <c r="M2845" i="5"/>
  <c r="M2846" i="4"/>
  <c r="U2822" i="5"/>
  <c r="U2822" i="4"/>
  <c r="M2798" i="5"/>
  <c r="M2798" i="4"/>
  <c r="W2792" i="5"/>
  <c r="W2792" i="4"/>
  <c r="J2792" i="5"/>
  <c r="J2792" i="4"/>
  <c r="U2800" i="1"/>
  <c r="I2791" i="5"/>
  <c r="I2791" i="4"/>
  <c r="U2790" i="5"/>
  <c r="U2790" i="4"/>
  <c r="I2790" i="5"/>
  <c r="I2790" i="4"/>
  <c r="U2788" i="5"/>
  <c r="U2788" i="4"/>
  <c r="F2787" i="5"/>
  <c r="F2787" i="4"/>
  <c r="W2786" i="5"/>
  <c r="W2786" i="4"/>
  <c r="R2786" i="5"/>
  <c r="R2786" i="4"/>
  <c r="K2786" i="5"/>
  <c r="K2786" i="4"/>
  <c r="U2794" i="1"/>
  <c r="U2784" i="5"/>
  <c r="U2784" i="4"/>
  <c r="U2783" i="5"/>
  <c r="U2783" i="4"/>
  <c r="I2783" i="5"/>
  <c r="I2783" i="4"/>
  <c r="V2782" i="5"/>
  <c r="V2782" i="4"/>
  <c r="N2782" i="5"/>
  <c r="N2782" i="4"/>
  <c r="I2782" i="5"/>
  <c r="I2782" i="4"/>
  <c r="S2781" i="5"/>
  <c r="S2781" i="4"/>
  <c r="J2781" i="5"/>
  <c r="J2781" i="4"/>
  <c r="M2780" i="5"/>
  <c r="M2780" i="4"/>
  <c r="W2778" i="5"/>
  <c r="W2778" i="4"/>
  <c r="R2777" i="5"/>
  <c r="R2777" i="4"/>
  <c r="I2777" i="5"/>
  <c r="I2777" i="4"/>
  <c r="M2776" i="5"/>
  <c r="M2776" i="4"/>
  <c r="R2775" i="5"/>
  <c r="R2775" i="4"/>
  <c r="K2775" i="5"/>
  <c r="K2775" i="4"/>
  <c r="AA2774" i="5"/>
  <c r="AA2774" i="4"/>
  <c r="R2774" i="5"/>
  <c r="R2774" i="4"/>
  <c r="K2774" i="5"/>
  <c r="K2774" i="4"/>
  <c r="Y2773" i="5"/>
  <c r="Y2773" i="4"/>
  <c r="Q2772" i="5"/>
  <c r="Q2772" i="4"/>
  <c r="I2772" i="5"/>
  <c r="I2772" i="4"/>
  <c r="W2771" i="5"/>
  <c r="W2885" i="5" s="1"/>
  <c r="W2771" i="4"/>
  <c r="R2771" i="5"/>
  <c r="R2885" i="5" s="1"/>
  <c r="R2771" i="4"/>
  <c r="J2771" i="5"/>
  <c r="J2885" i="5" s="1"/>
  <c r="J2771" i="4"/>
  <c r="U2756" i="1"/>
  <c r="P2748" i="5"/>
  <c r="U2754" i="1"/>
  <c r="P2746" i="5"/>
  <c r="H2744" i="4"/>
  <c r="H2744" i="5"/>
  <c r="X2744" i="5" s="1"/>
  <c r="P2742" i="4"/>
  <c r="P2742" i="5"/>
  <c r="M2749" i="1"/>
  <c r="H2741" i="5"/>
  <c r="P2736" i="4"/>
  <c r="P2736" i="5"/>
  <c r="P2734" i="4"/>
  <c r="P2734" i="5"/>
  <c r="P2732" i="4"/>
  <c r="P2732" i="5"/>
  <c r="F2731" i="4"/>
  <c r="F2731" i="5"/>
  <c r="F2758" i="1"/>
  <c r="S2869" i="5"/>
  <c r="S2870" i="4"/>
  <c r="P2725" i="4"/>
  <c r="P2725" i="5"/>
  <c r="E2724" i="4"/>
  <c r="E2724" i="5"/>
  <c r="U2722" i="4"/>
  <c r="U2722" i="5"/>
  <c r="H2714" i="4"/>
  <c r="H2714" i="5"/>
  <c r="U2712" i="4"/>
  <c r="U2712" i="5"/>
  <c r="M2711" i="4"/>
  <c r="M2711" i="5"/>
  <c r="H2710" i="4"/>
  <c r="H2710" i="5"/>
  <c r="X2710" i="5" s="1"/>
  <c r="Z2710" i="5" s="1"/>
  <c r="X2718" i="1"/>
  <c r="Z2718" i="1" s="1"/>
  <c r="U2716" i="1"/>
  <c r="P2708" i="5"/>
  <c r="F2707" i="4"/>
  <c r="F2707" i="5"/>
  <c r="M2710" i="1"/>
  <c r="M2702" i="5" s="1"/>
  <c r="H2702" i="5"/>
  <c r="H2700" i="4"/>
  <c r="H2700" i="5"/>
  <c r="U2698" i="4"/>
  <c r="U2698" i="5"/>
  <c r="F2697" i="4"/>
  <c r="F2697" i="5"/>
  <c r="H2696" i="4"/>
  <c r="H2696" i="5"/>
  <c r="Z2694" i="4"/>
  <c r="Z2694" i="5"/>
  <c r="H2693" i="5"/>
  <c r="M2701" i="1"/>
  <c r="H2692" i="4"/>
  <c r="H2692" i="5"/>
  <c r="X2692" i="5" s="1"/>
  <c r="Z2690" i="4"/>
  <c r="Z2690" i="5"/>
  <c r="P2689" i="4"/>
  <c r="P2689" i="5"/>
  <c r="P2687" i="4"/>
  <c r="P2687" i="5"/>
  <c r="M2694" i="1"/>
  <c r="M2686" i="5" s="1"/>
  <c r="H2686" i="5"/>
  <c r="H2679" i="4"/>
  <c r="H2679" i="5"/>
  <c r="P2677" i="4"/>
  <c r="P2677" i="5"/>
  <c r="P2675" i="4"/>
  <c r="P2675" i="5"/>
  <c r="H2673" i="4"/>
  <c r="H2673" i="5"/>
  <c r="P2655" i="4"/>
  <c r="P2655" i="5"/>
  <c r="P2649" i="5"/>
  <c r="U2657" i="1"/>
  <c r="Z2646" i="4"/>
  <c r="Z2646" i="5"/>
  <c r="M2653" i="1"/>
  <c r="M2645" i="5" s="1"/>
  <c r="H2645" i="5"/>
  <c r="M2651" i="1"/>
  <c r="M2643" i="5" s="1"/>
  <c r="H2643" i="5"/>
  <c r="M2649" i="1"/>
  <c r="M2641" i="5" s="1"/>
  <c r="H2641" i="5"/>
  <c r="X2641" i="5" s="1"/>
  <c r="H2632" i="4"/>
  <c r="H2632" i="5"/>
  <c r="X2632" i="5" s="1"/>
  <c r="M2628" i="4"/>
  <c r="M2628" i="5"/>
  <c r="P2625" i="4"/>
  <c r="P2625" i="5"/>
  <c r="P2622" i="4"/>
  <c r="P2622" i="5"/>
  <c r="V2630" i="1"/>
  <c r="V2622" i="5" s="1"/>
  <c r="H2621" i="4"/>
  <c r="H2621" i="5"/>
  <c r="X2621" i="5" s="1"/>
  <c r="H2619" i="4"/>
  <c r="H2619" i="5"/>
  <c r="X2619" i="5" s="1"/>
  <c r="L2618" i="1"/>
  <c r="L2610" i="5" s="1"/>
  <c r="L2612" i="5" s="1"/>
  <c r="L2660" i="5" s="1"/>
  <c r="L2943" i="5" s="1"/>
  <c r="K2610" i="5"/>
  <c r="K2612" i="5" s="1"/>
  <c r="K2660" i="5" s="1"/>
  <c r="K2943" i="5" s="1"/>
  <c r="E2606" i="4"/>
  <c r="E2606" i="5"/>
  <c r="X2612" i="1"/>
  <c r="X2604" i="5" s="1"/>
  <c r="P2604" i="5"/>
  <c r="F2603" i="4"/>
  <c r="F2603" i="5"/>
  <c r="E2602" i="4"/>
  <c r="E2602" i="5"/>
  <c r="U2598" i="4"/>
  <c r="U2598" i="5"/>
  <c r="H2596" i="4"/>
  <c r="H2596" i="5"/>
  <c r="E2595" i="4"/>
  <c r="E2595" i="5"/>
  <c r="F2590" i="4"/>
  <c r="F2590" i="5"/>
  <c r="F2616" i="1"/>
  <c r="X2588" i="4"/>
  <c r="X2588" i="5"/>
  <c r="M2595" i="1"/>
  <c r="M2587" i="5" s="1"/>
  <c r="H2587" i="5"/>
  <c r="M2593" i="1"/>
  <c r="M2585" i="5" s="1"/>
  <c r="H2585" i="5"/>
  <c r="H2551" i="4"/>
  <c r="H2551" i="5"/>
  <c r="X2559" i="1"/>
  <c r="Z2559" i="1" s="1"/>
  <c r="H2545" i="4"/>
  <c r="H2545" i="5"/>
  <c r="X2545" i="5" s="1"/>
  <c r="Z2545" i="5" s="1"/>
  <c r="M2553" i="1"/>
  <c r="M2545" i="5" s="1"/>
  <c r="H2543" i="4"/>
  <c r="H2543" i="5"/>
  <c r="X2543" i="5" s="1"/>
  <c r="Z2543" i="5" s="1"/>
  <c r="U2513" i="4"/>
  <c r="U2513" i="5"/>
  <c r="E2507" i="4"/>
  <c r="E2507" i="5"/>
  <c r="E2523" i="1"/>
  <c r="K2575" i="1"/>
  <c r="K2922" i="1" s="1"/>
  <c r="P2496" i="4"/>
  <c r="P2496" i="5"/>
  <c r="U2504" i="1"/>
  <c r="U2494" i="4"/>
  <c r="U2494" i="5"/>
  <c r="M2492" i="1"/>
  <c r="H2484" i="5"/>
  <c r="M2482" i="4"/>
  <c r="M2482" i="5"/>
  <c r="P2480" i="4"/>
  <c r="P2480" i="5"/>
  <c r="P2478" i="4"/>
  <c r="P2478" i="5"/>
  <c r="P2461" i="4"/>
  <c r="P2461" i="5"/>
  <c r="U2459" i="4"/>
  <c r="U2459" i="5"/>
  <c r="H2442" i="4"/>
  <c r="H2442" i="5"/>
  <c r="X2442" i="5" s="1"/>
  <c r="Z2442" i="5" s="1"/>
  <c r="J2448" i="1"/>
  <c r="U2440" i="4"/>
  <c r="U2440" i="5"/>
  <c r="H2438" i="4"/>
  <c r="H2438" i="5"/>
  <c r="M2444" i="1"/>
  <c r="M2438" i="5" s="1"/>
  <c r="U2431" i="4"/>
  <c r="U2431" i="5"/>
  <c r="H2421" i="4"/>
  <c r="H2421" i="5"/>
  <c r="M2427" i="1"/>
  <c r="M2421" i="5" s="1"/>
  <c r="P2419" i="4"/>
  <c r="P2419" i="5"/>
  <c r="P2417" i="4"/>
  <c r="P2417" i="5"/>
  <c r="X2423" i="1"/>
  <c r="Z2423" i="1" s="1"/>
  <c r="Q2398" i="4"/>
  <c r="Q2398" i="5"/>
  <c r="E2392" i="4"/>
  <c r="E2392" i="5"/>
  <c r="Q2398" i="1"/>
  <c r="P2389" i="4"/>
  <c r="P2389" i="5"/>
  <c r="P2386" i="4"/>
  <c r="P2386" i="5"/>
  <c r="U2392" i="1"/>
  <c r="Q2392" i="1"/>
  <c r="P2373" i="5"/>
  <c r="Q2379" i="1"/>
  <c r="P2358" i="4"/>
  <c r="P2358" i="5"/>
  <c r="H2357" i="4"/>
  <c r="H2357" i="5"/>
  <c r="X2357" i="5" s="1"/>
  <c r="Z2357" i="5" s="1"/>
  <c r="E2354" i="4"/>
  <c r="E2354" i="5"/>
  <c r="F2353" i="4"/>
  <c r="F2353" i="5"/>
  <c r="J2338" i="4"/>
  <c r="J2338" i="5"/>
  <c r="F2335" i="4"/>
  <c r="F2335" i="5"/>
  <c r="U2332" i="4"/>
  <c r="U2332" i="5"/>
  <c r="Q2325" i="4"/>
  <c r="Q2325" i="5"/>
  <c r="Q2324" i="4"/>
  <c r="Q2324" i="5"/>
  <c r="X2329" i="1"/>
  <c r="Z2329" i="1" s="1"/>
  <c r="P2323" i="5"/>
  <c r="J2309" i="4"/>
  <c r="J2309" i="5"/>
  <c r="P2307" i="4"/>
  <c r="P2307" i="5"/>
  <c r="F2306" i="4"/>
  <c r="F2306" i="5"/>
  <c r="P2300" i="5"/>
  <c r="X2306" i="1"/>
  <c r="U2299" i="4"/>
  <c r="U2299" i="5"/>
  <c r="P2289" i="4"/>
  <c r="P2289" i="5"/>
  <c r="X2286" i="1"/>
  <c r="Z2286" i="1" s="1"/>
  <c r="H2282" i="5"/>
  <c r="E2280" i="4"/>
  <c r="E2280" i="5"/>
  <c r="F2278" i="4"/>
  <c r="F2278" i="5"/>
  <c r="H2273" i="4"/>
  <c r="H2273" i="5"/>
  <c r="M2277" i="1"/>
  <c r="M2273" i="5" s="1"/>
  <c r="J2277" i="1"/>
  <c r="Q2273" i="1"/>
  <c r="P2269" i="5"/>
  <c r="F2257" i="4"/>
  <c r="F2257" i="5"/>
  <c r="E2256" i="4"/>
  <c r="E2256" i="5"/>
  <c r="E2255" i="4"/>
  <c r="E2255" i="5"/>
  <c r="P2240" i="5"/>
  <c r="X2244" i="1"/>
  <c r="Z2244" i="1" s="1"/>
  <c r="E2235" i="4"/>
  <c r="E2235" i="5"/>
  <c r="F2225" i="5"/>
  <c r="F2247" i="1"/>
  <c r="P2209" i="4"/>
  <c r="P2209" i="5"/>
  <c r="Q2213" i="1"/>
  <c r="Q2201" i="4"/>
  <c r="Q2201" i="5"/>
  <c r="H2181" i="4"/>
  <c r="H2181" i="5"/>
  <c r="X2181" i="5" s="1"/>
  <c r="Z2181" i="5" s="1"/>
  <c r="J2185" i="1"/>
  <c r="J2179" i="4"/>
  <c r="J2179" i="5"/>
  <c r="Z2175" i="1"/>
  <c r="E2171" i="5"/>
  <c r="U2169" i="4"/>
  <c r="U2169" i="5"/>
  <c r="K2168" i="4"/>
  <c r="K2168" i="5"/>
  <c r="F2155" i="4"/>
  <c r="F2155" i="5"/>
  <c r="H2159" i="1"/>
  <c r="E2148" i="4"/>
  <c r="E2148" i="5"/>
  <c r="Q2152" i="1"/>
  <c r="P2142" i="4"/>
  <c r="P2142" i="5"/>
  <c r="U2146" i="1"/>
  <c r="P2134" i="4"/>
  <c r="P2134" i="5"/>
  <c r="P2125" i="5"/>
  <c r="Q2129" i="1"/>
  <c r="P2120" i="4"/>
  <c r="P2120" i="5"/>
  <c r="U2124" i="1"/>
  <c r="Z2119" i="1"/>
  <c r="Z2115" i="5" s="1"/>
  <c r="E2115" i="5"/>
  <c r="E2103" i="4"/>
  <c r="E2103" i="5"/>
  <c r="X2101" i="4"/>
  <c r="X2101" i="5"/>
  <c r="J2092" i="1"/>
  <c r="H2088" i="5"/>
  <c r="P2057" i="4"/>
  <c r="P2057" i="5"/>
  <c r="V2061" i="1"/>
  <c r="V2057" i="5" s="1"/>
  <c r="P2045" i="4"/>
  <c r="P2045" i="5"/>
  <c r="P2043" i="4"/>
  <c r="P2043" i="5"/>
  <c r="H2033" i="5"/>
  <c r="X2037" i="1"/>
  <c r="Z2037" i="1" s="1"/>
  <c r="X2035" i="1"/>
  <c r="Z2035" i="1" s="1"/>
  <c r="P2031" i="5"/>
  <c r="M2026" i="4"/>
  <c r="M2026" i="5"/>
  <c r="P1996" i="4"/>
  <c r="P1996" i="5"/>
  <c r="U2000" i="1"/>
  <c r="U1978" i="4"/>
  <c r="U1978" i="5"/>
  <c r="M1977" i="4"/>
  <c r="M1977" i="5"/>
  <c r="P1975" i="4"/>
  <c r="P1975" i="5"/>
  <c r="H1958" i="5"/>
  <c r="J1962" i="1"/>
  <c r="J1956" i="4"/>
  <c r="J1956" i="5"/>
  <c r="U1948" i="4"/>
  <c r="U1948" i="5"/>
  <c r="H1947" i="4"/>
  <c r="H1947" i="5"/>
  <c r="X1947" i="5" s="1"/>
  <c r="Z1947" i="5" s="1"/>
  <c r="U1937" i="4"/>
  <c r="U1937" i="5"/>
  <c r="F1927" i="4"/>
  <c r="F1927" i="5"/>
  <c r="U1918" i="4"/>
  <c r="U1918" i="5"/>
  <c r="H1902" i="4"/>
  <c r="H1902" i="5"/>
  <c r="X1902" i="5" s="1"/>
  <c r="Z1902" i="5" s="1"/>
  <c r="J1906" i="1"/>
  <c r="J1902" i="5" s="1"/>
  <c r="P1891" i="5"/>
  <c r="U1895" i="1"/>
  <c r="U1891" i="5" s="1"/>
  <c r="H1894" i="1"/>
  <c r="H1890" i="5" s="1"/>
  <c r="X1890" i="5" s="1"/>
  <c r="F1890" i="5"/>
  <c r="F1887" i="4"/>
  <c r="F1887" i="5"/>
  <c r="H1891" i="1"/>
  <c r="H1887" i="5" s="1"/>
  <c r="H1879" i="5"/>
  <c r="X1879" i="5" s="1"/>
  <c r="Z1879" i="5" s="1"/>
  <c r="J1883" i="1"/>
  <c r="J1879" i="5" s="1"/>
  <c r="U1875" i="1"/>
  <c r="U1871" i="5" s="1"/>
  <c r="P1871" i="5"/>
  <c r="Q1875" i="1"/>
  <c r="Q1871" i="5" s="1"/>
  <c r="U1866" i="1"/>
  <c r="U1862" i="5" s="1"/>
  <c r="P1862" i="5"/>
  <c r="U1829" i="1"/>
  <c r="U1825" i="5" s="1"/>
  <c r="P1825" i="5"/>
  <c r="M1817" i="1"/>
  <c r="M1813" i="5" s="1"/>
  <c r="H1813" i="5"/>
  <c r="X1813" i="5" s="1"/>
  <c r="Z1813" i="5" s="1"/>
  <c r="X1799" i="1"/>
  <c r="P1795" i="5"/>
  <c r="U1799" i="1"/>
  <c r="U1795" i="5" s="1"/>
  <c r="F1751" i="5"/>
  <c r="F1758" i="5" s="1"/>
  <c r="F1762" i="1"/>
  <c r="H1755" i="1"/>
  <c r="U1736" i="1"/>
  <c r="U1733" i="5" s="1"/>
  <c r="P1733" i="5"/>
  <c r="X1720" i="1"/>
  <c r="P1717" i="5"/>
  <c r="U1720" i="1"/>
  <c r="U1717" i="5" s="1"/>
  <c r="H1688" i="5"/>
  <c r="X1688" i="5" s="1"/>
  <c r="M1691" i="1"/>
  <c r="M1688" i="5" s="1"/>
  <c r="X1689" i="1"/>
  <c r="P1686" i="5"/>
  <c r="V1632" i="1"/>
  <c r="V1629" i="5" s="1"/>
  <c r="P1629" i="5"/>
  <c r="U1632" i="1"/>
  <c r="U1629" i="5" s="1"/>
  <c r="H1616" i="5"/>
  <c r="X1616" i="5" s="1"/>
  <c r="M1619" i="1"/>
  <c r="M1616" i="5" s="1"/>
  <c r="M1617" i="1"/>
  <c r="M1614" i="5" s="1"/>
  <c r="H1614" i="5"/>
  <c r="V1605" i="1"/>
  <c r="V1602" i="5" s="1"/>
  <c r="H1602" i="5"/>
  <c r="X1602" i="5" s="1"/>
  <c r="P1563" i="5"/>
  <c r="U1566" i="1"/>
  <c r="U1563" i="5" s="1"/>
  <c r="U1564" i="1"/>
  <c r="U1561" i="5" s="1"/>
  <c r="P1561" i="5"/>
  <c r="H1556" i="5"/>
  <c r="X1559" i="1"/>
  <c r="X1556" i="5" s="1"/>
  <c r="M1559" i="1"/>
  <c r="M1556" i="5" s="1"/>
  <c r="H1491" i="4"/>
  <c r="H1491" i="5"/>
  <c r="M1492" i="1"/>
  <c r="X1492" i="1"/>
  <c r="Z1492" i="1" s="1"/>
  <c r="J1492" i="1"/>
  <c r="H1478" i="5"/>
  <c r="M1479" i="1"/>
  <c r="M1478" i="5" s="1"/>
  <c r="J1479" i="1"/>
  <c r="J1478" i="5" s="1"/>
  <c r="M1467" i="4"/>
  <c r="M1467" i="5"/>
  <c r="E1466" i="4"/>
  <c r="E1466" i="5"/>
  <c r="U1465" i="1"/>
  <c r="P1464" i="5"/>
  <c r="H1443" i="5"/>
  <c r="X1443" i="5" s="1"/>
  <c r="X1444" i="1"/>
  <c r="X1372" i="2" s="1"/>
  <c r="P1440" i="5"/>
  <c r="V1441" i="1"/>
  <c r="V1440" i="5" s="1"/>
  <c r="X1441" i="1"/>
  <c r="X1369" i="2" s="1"/>
  <c r="U1441" i="1"/>
  <c r="U1440" i="5" s="1"/>
  <c r="V1408" i="1"/>
  <c r="V1407" i="5" s="1"/>
  <c r="P1407" i="5"/>
  <c r="X1408" i="1"/>
  <c r="X1337" i="2" s="1"/>
  <c r="Q1401" i="1"/>
  <c r="Q1400" i="5" s="1"/>
  <c r="E1400" i="5"/>
  <c r="J1394" i="1"/>
  <c r="J1393" i="5" s="1"/>
  <c r="H1393" i="5"/>
  <c r="V1394" i="1"/>
  <c r="V1393" i="5" s="1"/>
  <c r="M1394" i="1"/>
  <c r="M1393" i="5" s="1"/>
  <c r="J1349" i="1"/>
  <c r="J1348" i="5" s="1"/>
  <c r="H1348" i="5"/>
  <c r="X1348" i="5" s="1"/>
  <c r="H1347" i="5"/>
  <c r="M1348" i="1"/>
  <c r="M1347" i="5" s="1"/>
  <c r="X1348" i="1"/>
  <c r="X1282" i="2" s="1"/>
  <c r="J1348" i="1"/>
  <c r="J1347" i="5" s="1"/>
  <c r="P1304" i="5"/>
  <c r="U1305" i="1"/>
  <c r="U1304" i="5" s="1"/>
  <c r="Q1305" i="1"/>
  <c r="Q1304" i="5" s="1"/>
  <c r="M1285" i="5"/>
  <c r="P1272" i="5"/>
  <c r="U1273" i="1"/>
  <c r="U1272" i="5" s="1"/>
  <c r="Q1273" i="1"/>
  <c r="Q1272" i="5" s="1"/>
  <c r="U1256" i="1"/>
  <c r="U1255" i="5" s="1"/>
  <c r="P1255" i="5"/>
  <c r="X1256" i="1"/>
  <c r="P1182" i="5"/>
  <c r="U1183" i="1"/>
  <c r="U1182" i="5" s="1"/>
  <c r="V1154" i="1"/>
  <c r="P1153" i="5"/>
  <c r="U1154" i="1"/>
  <c r="U1153" i="5" s="1"/>
  <c r="M1149" i="1"/>
  <c r="M1148" i="5" s="1"/>
  <c r="H1148" i="5"/>
  <c r="X1148" i="5" s="1"/>
  <c r="Z1148" i="5" s="1"/>
  <c r="H1122" i="1"/>
  <c r="F1121" i="5"/>
  <c r="F1129" i="5" s="1"/>
  <c r="H1116" i="5"/>
  <c r="M1117" i="1"/>
  <c r="M1116" i="5" s="1"/>
  <c r="H1109" i="5"/>
  <c r="X1109" i="5" s="1"/>
  <c r="Z1109" i="5" s="1"/>
  <c r="M1110" i="1"/>
  <c r="M1109" i="5" s="1"/>
  <c r="U1094" i="1"/>
  <c r="U1093" i="5" s="1"/>
  <c r="P1093" i="5"/>
  <c r="X1073" i="1"/>
  <c r="P1072" i="5"/>
  <c r="U1073" i="1"/>
  <c r="M1046" i="1"/>
  <c r="M1045" i="5" s="1"/>
  <c r="H1045" i="5"/>
  <c r="M1044" i="1"/>
  <c r="M1043" i="5" s="1"/>
  <c r="H1043" i="5"/>
  <c r="X1043" i="5" s="1"/>
  <c r="Z1043" i="5" s="1"/>
  <c r="H1020" i="5"/>
  <c r="X1020" i="5" s="1"/>
  <c r="Z1020" i="5" s="1"/>
  <c r="V1021" i="1"/>
  <c r="V1020" i="5" s="1"/>
  <c r="U978" i="1"/>
  <c r="U977" i="5" s="1"/>
  <c r="P977" i="5"/>
  <c r="M977" i="1"/>
  <c r="M976" i="5" s="1"/>
  <c r="H976" i="5"/>
  <c r="P906" i="5"/>
  <c r="U906" i="1"/>
  <c r="V906" i="1"/>
  <c r="V906" i="5" s="1"/>
  <c r="P900" i="5"/>
  <c r="U900" i="1"/>
  <c r="U900" i="5" s="1"/>
  <c r="V900" i="1"/>
  <c r="V900" i="5" s="1"/>
  <c r="Q900" i="1"/>
  <c r="Q900" i="5" s="1"/>
  <c r="U876" i="1"/>
  <c r="U876" i="5" s="1"/>
  <c r="P876" i="5"/>
  <c r="V876" i="1"/>
  <c r="V876" i="5" s="1"/>
  <c r="P864" i="5"/>
  <c r="U864" i="1"/>
  <c r="P856" i="5"/>
  <c r="V856" i="1"/>
  <c r="V856" i="5" s="1"/>
  <c r="P852" i="5"/>
  <c r="V852" i="1"/>
  <c r="V852" i="5" s="1"/>
  <c r="P830" i="5"/>
  <c r="U830" i="1"/>
  <c r="U830" i="5" s="1"/>
  <c r="V830" i="1"/>
  <c r="V830" i="5" s="1"/>
  <c r="J827" i="1"/>
  <c r="J827" i="5" s="1"/>
  <c r="H827" i="5"/>
  <c r="X827" i="5" s="1"/>
  <c r="J778" i="1"/>
  <c r="J778" i="5" s="1"/>
  <c r="H778" i="5"/>
  <c r="X778" i="5" s="1"/>
  <c r="P776" i="5"/>
  <c r="U776" i="1"/>
  <c r="U776" i="5" s="1"/>
  <c r="Q776" i="1"/>
  <c r="Q776" i="5" s="1"/>
  <c r="P774" i="5"/>
  <c r="U774" i="1"/>
  <c r="U774" i="5" s="1"/>
  <c r="X774" i="1"/>
  <c r="Q774" i="1"/>
  <c r="Q774" i="5" s="1"/>
  <c r="H772" i="5"/>
  <c r="M772" i="1"/>
  <c r="M772" i="5" s="1"/>
  <c r="J772" i="1"/>
  <c r="J772" i="5" s="1"/>
  <c r="M770" i="1"/>
  <c r="M770" i="5" s="1"/>
  <c r="H770" i="5"/>
  <c r="X770" i="5" s="1"/>
  <c r="Z770" i="5" s="1"/>
  <c r="V770" i="1"/>
  <c r="V770" i="5" s="1"/>
  <c r="U754" i="1"/>
  <c r="U754" i="5" s="1"/>
  <c r="P754" i="5"/>
  <c r="V754" i="1"/>
  <c r="V754" i="5" s="1"/>
  <c r="M753" i="1"/>
  <c r="M753" i="5" s="1"/>
  <c r="H753" i="5"/>
  <c r="X753" i="5" s="1"/>
  <c r="Z753" i="5" s="1"/>
  <c r="K756" i="5"/>
  <c r="H725" i="5"/>
  <c r="X725" i="5" s="1"/>
  <c r="V725" i="1"/>
  <c r="V725" i="5" s="1"/>
  <c r="U684" i="4"/>
  <c r="U684" i="5"/>
  <c r="U672" i="1"/>
  <c r="U672" i="5" s="1"/>
  <c r="P672" i="5"/>
  <c r="H659" i="5"/>
  <c r="X659" i="5" s="1"/>
  <c r="M659" i="1"/>
  <c r="M659" i="5" s="1"/>
  <c r="J659" i="1"/>
  <c r="J659" i="5" s="1"/>
  <c r="J653" i="1"/>
  <c r="J653" i="5" s="1"/>
  <c r="H653" i="5"/>
  <c r="X653" i="5" s="1"/>
  <c r="V653" i="1"/>
  <c r="V653" i="5" s="1"/>
  <c r="H623" i="5"/>
  <c r="X623" i="5" s="1"/>
  <c r="Z623" i="5" s="1"/>
  <c r="M622" i="1"/>
  <c r="M623" i="5" s="1"/>
  <c r="E616" i="5"/>
  <c r="E624" i="1"/>
  <c r="P602" i="5"/>
  <c r="V601" i="1"/>
  <c r="U601" i="1"/>
  <c r="H599" i="5"/>
  <c r="X599" i="5" s="1"/>
  <c r="Z599" i="5" s="1"/>
  <c r="M598" i="1"/>
  <c r="M599" i="5" s="1"/>
  <c r="E596" i="5"/>
  <c r="W593" i="1"/>
  <c r="W594" i="5" s="1"/>
  <c r="V594" i="5"/>
  <c r="U572" i="1"/>
  <c r="U573" i="5" s="1"/>
  <c r="P573" i="5"/>
  <c r="M521" i="1"/>
  <c r="M520" i="5" s="1"/>
  <c r="H520" i="5"/>
  <c r="X520" i="5" s="1"/>
  <c r="Z520" i="5" s="1"/>
  <c r="M497" i="1"/>
  <c r="H496" i="5"/>
  <c r="X496" i="5" s="1"/>
  <c r="Z496" i="5" s="1"/>
  <c r="V497" i="1"/>
  <c r="H494" i="5"/>
  <c r="X494" i="5" s="1"/>
  <c r="Z494" i="5" s="1"/>
  <c r="V495" i="1"/>
  <c r="V494" i="5" s="1"/>
  <c r="M482" i="1"/>
  <c r="M481" i="5" s="1"/>
  <c r="H481" i="5"/>
  <c r="X481" i="5" s="1"/>
  <c r="Z481" i="5" s="1"/>
  <c r="X482" i="1"/>
  <c r="P452" i="5"/>
  <c r="V453" i="1"/>
  <c r="V452" i="5" s="1"/>
  <c r="U453" i="1"/>
  <c r="U452" i="5" s="1"/>
  <c r="M443" i="1"/>
  <c r="M442" i="5" s="1"/>
  <c r="H442" i="5"/>
  <c r="V443" i="1"/>
  <c r="M441" i="1"/>
  <c r="M440" i="5" s="1"/>
  <c r="H440" i="5"/>
  <c r="V441" i="1"/>
  <c r="H408" i="5"/>
  <c r="J409" i="1"/>
  <c r="J408" i="5" s="1"/>
  <c r="J386" i="2"/>
  <c r="J404" i="5"/>
  <c r="U402" i="1"/>
  <c r="U401" i="5" s="1"/>
  <c r="P401" i="5"/>
  <c r="H373" i="5"/>
  <c r="X373" i="5" s="1"/>
  <c r="Z373" i="5" s="1"/>
  <c r="J374" i="1"/>
  <c r="J373" i="5" s="1"/>
  <c r="X347" i="1"/>
  <c r="P346" i="5"/>
  <c r="U347" i="1"/>
  <c r="U346" i="5" s="1"/>
  <c r="H317" i="2"/>
  <c r="H330" i="5"/>
  <c r="X330" i="5" s="1"/>
  <c r="Z330" i="5" s="1"/>
  <c r="M331" i="1"/>
  <c r="M330" i="5" s="1"/>
  <c r="J331" i="1"/>
  <c r="J330" i="5" s="1"/>
  <c r="P317" i="5"/>
  <c r="U318" i="1"/>
  <c r="U317" i="5" s="1"/>
  <c r="X295" i="1"/>
  <c r="H294" i="5"/>
  <c r="X294" i="5" s="1"/>
  <c r="Z294" i="5" s="1"/>
  <c r="J275" i="1"/>
  <c r="J274" i="5" s="1"/>
  <c r="H274" i="5"/>
  <c r="X274" i="5" s="1"/>
  <c r="H266" i="5"/>
  <c r="X266" i="5" s="1"/>
  <c r="M267" i="1"/>
  <c r="M266" i="5" s="1"/>
  <c r="J267" i="1"/>
  <c r="J266" i="5" s="1"/>
  <c r="P264" i="5"/>
  <c r="U265" i="1"/>
  <c r="U264" i="5" s="1"/>
  <c r="P253" i="5"/>
  <c r="U254" i="1"/>
  <c r="U253" i="5" s="1"/>
  <c r="Q254" i="1"/>
  <c r="Q253" i="5" s="1"/>
  <c r="U251" i="1"/>
  <c r="U250" i="5" s="1"/>
  <c r="P250" i="5"/>
  <c r="P232" i="5"/>
  <c r="U232" i="1"/>
  <c r="U232" i="5" s="1"/>
  <c r="K222" i="1"/>
  <c r="K222" i="5" s="1"/>
  <c r="I222" i="5"/>
  <c r="H202" i="4"/>
  <c r="H202" i="5"/>
  <c r="X202" i="5" s="1"/>
  <c r="Z202" i="5" s="1"/>
  <c r="H194" i="1"/>
  <c r="F194" i="5"/>
  <c r="F208" i="5" s="1"/>
  <c r="M156" i="1"/>
  <c r="M156" i="5" s="1"/>
  <c r="H156" i="5"/>
  <c r="M143" i="1"/>
  <c r="M143" i="5" s="1"/>
  <c r="H143" i="5"/>
  <c r="P119" i="5"/>
  <c r="U119" i="1"/>
  <c r="U119" i="5" s="1"/>
  <c r="U110" i="1"/>
  <c r="U110" i="5" s="1"/>
  <c r="P110" i="5"/>
  <c r="V110" i="1"/>
  <c r="V110" i="5" s="1"/>
  <c r="AA74" i="5"/>
  <c r="AB74" i="1"/>
  <c r="AB74" i="5" s="1"/>
  <c r="H61" i="5"/>
  <c r="X61" i="5" s="1"/>
  <c r="Z61" i="5" s="1"/>
  <c r="M61" i="1"/>
  <c r="M61" i="5" s="1"/>
  <c r="P56" i="5"/>
  <c r="X56" i="1"/>
  <c r="U56" i="1"/>
  <c r="U56" i="5" s="1"/>
  <c r="P40" i="4"/>
  <c r="P40" i="5"/>
  <c r="V40" i="1"/>
  <c r="U40" i="1"/>
  <c r="M2883" i="5"/>
  <c r="M2884" i="4"/>
  <c r="U2876" i="5"/>
  <c r="U2877" i="4"/>
  <c r="Q2871" i="5"/>
  <c r="Q2872" i="4"/>
  <c r="R2864" i="5"/>
  <c r="R2865" i="4"/>
  <c r="N2857" i="5"/>
  <c r="N2858" i="4"/>
  <c r="R2850" i="5"/>
  <c r="R2851" i="4"/>
  <c r="M2847" i="5"/>
  <c r="M2848" i="4"/>
  <c r="M2844" i="5"/>
  <c r="M2845" i="4"/>
  <c r="U2821" i="5"/>
  <c r="U2821" i="4"/>
  <c r="U2793" i="5"/>
  <c r="U2793" i="4"/>
  <c r="Y2791" i="5"/>
  <c r="Y2791" i="4"/>
  <c r="I2785" i="5"/>
  <c r="I2785" i="4"/>
  <c r="Y2880" i="5"/>
  <c r="Y2881" i="4"/>
  <c r="Y2879" i="5"/>
  <c r="Y2880" i="4"/>
  <c r="U2868" i="5"/>
  <c r="U2869" i="4"/>
  <c r="M2865" i="5"/>
  <c r="M2866" i="4"/>
  <c r="Q2864" i="5"/>
  <c r="Q2865" i="4"/>
  <c r="J2864" i="5"/>
  <c r="J2865" i="4"/>
  <c r="U2863" i="5"/>
  <c r="U2864" i="4"/>
  <c r="Y2861" i="5"/>
  <c r="Y2862" i="4"/>
  <c r="Q2861" i="5"/>
  <c r="Q2862" i="4"/>
  <c r="J2861" i="5"/>
  <c r="J2862" i="4"/>
  <c r="X2839" i="1"/>
  <c r="Z2839" i="1" s="1"/>
  <c r="U2858" i="5"/>
  <c r="U2859" i="4"/>
  <c r="M2857" i="5"/>
  <c r="M2858" i="4"/>
  <c r="M2856" i="5"/>
  <c r="M2857" i="4"/>
  <c r="Y2854" i="5"/>
  <c r="Y2855" i="4"/>
  <c r="R2853" i="5"/>
  <c r="R2854" i="4"/>
  <c r="J2853" i="5"/>
  <c r="J2854" i="4"/>
  <c r="W2852" i="5"/>
  <c r="W2853" i="4"/>
  <c r="Y2851" i="5"/>
  <c r="Y2852" i="4"/>
  <c r="U2849" i="5"/>
  <c r="U2850" i="4"/>
  <c r="M2848" i="5"/>
  <c r="M2849" i="4"/>
  <c r="Y2846" i="5"/>
  <c r="Y2847" i="4"/>
  <c r="Y2845" i="5"/>
  <c r="Y2846" i="4"/>
  <c r="Y2844" i="5"/>
  <c r="Y2845" i="4"/>
  <c r="U2843" i="5"/>
  <c r="U2844" i="4"/>
  <c r="X2822" i="1"/>
  <c r="Z2822" i="1" s="1"/>
  <c r="U2805" i="5"/>
  <c r="U2805" i="4"/>
  <c r="M2804" i="5"/>
  <c r="M2804" i="4"/>
  <c r="M2802" i="5"/>
  <c r="M2802" i="4"/>
  <c r="S2801" i="5"/>
  <c r="S2801" i="4"/>
  <c r="K2801" i="5"/>
  <c r="K2801" i="4"/>
  <c r="T2800" i="5"/>
  <c r="T2800" i="4"/>
  <c r="M2806" i="1"/>
  <c r="X2806" i="1"/>
  <c r="Z2806" i="1" s="1"/>
  <c r="U2794" i="5"/>
  <c r="U2794" i="4"/>
  <c r="Y2793" i="5"/>
  <c r="Y2793" i="4"/>
  <c r="F2793" i="5"/>
  <c r="F2793" i="4"/>
  <c r="V2792" i="5"/>
  <c r="V2792" i="4"/>
  <c r="Q2792" i="5"/>
  <c r="Q2792" i="4"/>
  <c r="I2792" i="5"/>
  <c r="I2792" i="4"/>
  <c r="S2791" i="5"/>
  <c r="S2791" i="4"/>
  <c r="M2791" i="5"/>
  <c r="M2791" i="4"/>
  <c r="S2790" i="5"/>
  <c r="S2790" i="4"/>
  <c r="M2790" i="5"/>
  <c r="M2790" i="4"/>
  <c r="F2788" i="5"/>
  <c r="F2788" i="4"/>
  <c r="E2862" i="1"/>
  <c r="V2786" i="5"/>
  <c r="V2786" i="4"/>
  <c r="Q2786" i="5"/>
  <c r="Q2786" i="4"/>
  <c r="J2786" i="5"/>
  <c r="J2786" i="4"/>
  <c r="Y2785" i="5"/>
  <c r="Y2785" i="4"/>
  <c r="S2785" i="5"/>
  <c r="S2785" i="4"/>
  <c r="M2785" i="5"/>
  <c r="M2785" i="4"/>
  <c r="K2784" i="5"/>
  <c r="K2784" i="4"/>
  <c r="S2783" i="5"/>
  <c r="S2783" i="4"/>
  <c r="M2783" i="5"/>
  <c r="M2783" i="4"/>
  <c r="S2782" i="5"/>
  <c r="S2782" i="4"/>
  <c r="M2782" i="5"/>
  <c r="M2782" i="4"/>
  <c r="Q2781" i="5"/>
  <c r="Q2781" i="4"/>
  <c r="M2781" i="5"/>
  <c r="M2781" i="4"/>
  <c r="U2779" i="5"/>
  <c r="U2779" i="4"/>
  <c r="V2778" i="5"/>
  <c r="V2778" i="4"/>
  <c r="Q2777" i="5"/>
  <c r="Q2777" i="4"/>
  <c r="M2777" i="5"/>
  <c r="M2777" i="4"/>
  <c r="Y2775" i="5"/>
  <c r="Y2775" i="4"/>
  <c r="Q2775" i="5"/>
  <c r="Q2775" i="4"/>
  <c r="J2775" i="5"/>
  <c r="J2775" i="4"/>
  <c r="Y2774" i="5"/>
  <c r="Y2774" i="4"/>
  <c r="Q2774" i="5"/>
  <c r="Q2774" i="4"/>
  <c r="J2774" i="5"/>
  <c r="J2774" i="4"/>
  <c r="J2824" i="1"/>
  <c r="J2760" i="1"/>
  <c r="J2926" i="1" s="1"/>
  <c r="H2748" i="4"/>
  <c r="H2748" i="5"/>
  <c r="X2748" i="5" s="1"/>
  <c r="H2746" i="4"/>
  <c r="H2746" i="5"/>
  <c r="X2746" i="5" s="1"/>
  <c r="Y2743" i="4"/>
  <c r="Y2743" i="5"/>
  <c r="Y2750" i="5" s="1"/>
  <c r="Y2752" i="5" s="1"/>
  <c r="F2742" i="4"/>
  <c r="F2742" i="5"/>
  <c r="U2740" i="4"/>
  <c r="U2740" i="5"/>
  <c r="X2736" i="5"/>
  <c r="X2734" i="5"/>
  <c r="F2732" i="4"/>
  <c r="F2732" i="5"/>
  <c r="E2731" i="4"/>
  <c r="E2731" i="5"/>
  <c r="M2733" i="1"/>
  <c r="M2725" i="5" s="1"/>
  <c r="H2725" i="5"/>
  <c r="X2725" i="5" s="1"/>
  <c r="Z2725" i="5" s="1"/>
  <c r="H2721" i="4"/>
  <c r="H2721" i="5"/>
  <c r="X2721" i="5" s="1"/>
  <c r="Z2721" i="5" s="1"/>
  <c r="H2719" i="4"/>
  <c r="H2719" i="5"/>
  <c r="X2719" i="5" s="1"/>
  <c r="Z2719" i="5" s="1"/>
  <c r="H2717" i="4"/>
  <c r="H2717" i="5"/>
  <c r="X2717" i="5" s="1"/>
  <c r="Z2717" i="5" s="1"/>
  <c r="P2713" i="4"/>
  <c r="P2713" i="5"/>
  <c r="P2694" i="5"/>
  <c r="U2702" i="1"/>
  <c r="X2700" i="1"/>
  <c r="Z2700" i="1" s="1"/>
  <c r="U2698" i="1"/>
  <c r="X2689" i="5"/>
  <c r="P2681" i="4"/>
  <c r="P2681" i="5"/>
  <c r="U2678" i="4"/>
  <c r="U2678" i="5"/>
  <c r="X2685" i="1"/>
  <c r="X2677" i="5" s="1"/>
  <c r="H2677" i="5"/>
  <c r="U2680" i="1"/>
  <c r="P2672" i="5"/>
  <c r="H2671" i="4"/>
  <c r="H2671" i="5"/>
  <c r="H2655" i="4"/>
  <c r="H2655" i="5"/>
  <c r="X2655" i="5" s="1"/>
  <c r="M2663" i="1"/>
  <c r="M2655" i="5" s="1"/>
  <c r="H2653" i="4"/>
  <c r="H2653" i="5"/>
  <c r="E2652" i="4"/>
  <c r="E2652" i="5"/>
  <c r="E2651" i="4"/>
  <c r="E2651" i="5"/>
  <c r="U2654" i="1"/>
  <c r="P2646" i="5"/>
  <c r="U2652" i="1"/>
  <c r="P2644" i="5"/>
  <c r="U2650" i="1"/>
  <c r="P2642" i="5"/>
  <c r="U2648" i="1"/>
  <c r="P2640" i="5"/>
  <c r="P2633" i="4"/>
  <c r="P2633" i="5"/>
  <c r="X2630" i="5"/>
  <c r="F2629" i="4"/>
  <c r="F2629" i="5"/>
  <c r="F2635" i="5" s="1"/>
  <c r="H2628" i="4"/>
  <c r="H2628" i="5"/>
  <c r="X2628" i="5" s="1"/>
  <c r="X2625" i="5"/>
  <c r="X2622" i="5"/>
  <c r="P2620" i="4"/>
  <c r="P2620" i="5"/>
  <c r="H2617" i="4"/>
  <c r="H2617" i="5"/>
  <c r="X2617" i="5" s="1"/>
  <c r="V2610" i="4"/>
  <c r="V2612" i="4" s="1"/>
  <c r="V2610" i="5"/>
  <c r="V2612" i="5" s="1"/>
  <c r="U2592" i="1"/>
  <c r="P2584" i="5"/>
  <c r="U2590" i="1"/>
  <c r="P2582" i="5"/>
  <c r="H2581" i="4"/>
  <c r="H2581" i="5"/>
  <c r="X2563" i="5"/>
  <c r="P2559" i="4"/>
  <c r="P2559" i="5"/>
  <c r="P2557" i="4"/>
  <c r="P2557" i="5"/>
  <c r="F2556" i="4"/>
  <c r="F2556" i="5"/>
  <c r="U2562" i="1"/>
  <c r="M2560" i="1"/>
  <c r="H2549" i="4"/>
  <c r="H2549" i="5"/>
  <c r="X2549" i="5" s="1"/>
  <c r="Z2549" i="5" s="1"/>
  <c r="H2546" i="4"/>
  <c r="H2546" i="5"/>
  <c r="P2544" i="4"/>
  <c r="P2544" i="5"/>
  <c r="U2542" i="4"/>
  <c r="U2542" i="5"/>
  <c r="F2541" i="4"/>
  <c r="F2541" i="5"/>
  <c r="L2538" i="4"/>
  <c r="L2538" i="5"/>
  <c r="L2567" i="5" s="1"/>
  <c r="P2518" i="4"/>
  <c r="P2518" i="5"/>
  <c r="U2526" i="1"/>
  <c r="E2512" i="4"/>
  <c r="E2512" i="5"/>
  <c r="X2510" i="5"/>
  <c r="Z2510" i="5" s="1"/>
  <c r="P2504" i="4"/>
  <c r="P2504" i="5"/>
  <c r="U2512" i="1"/>
  <c r="X2496" i="5"/>
  <c r="Z2496" i="5" s="1"/>
  <c r="P2494" i="4"/>
  <c r="P2494" i="5"/>
  <c r="U2492" i="4"/>
  <c r="U2492" i="5"/>
  <c r="X2491" i="5"/>
  <c r="Z2491" i="5" s="1"/>
  <c r="P2467" i="4"/>
  <c r="P2467" i="5"/>
  <c r="V2475" i="1"/>
  <c r="V2467" i="5" s="1"/>
  <c r="H2454" i="4"/>
  <c r="H2454" i="5"/>
  <c r="M2462" i="1"/>
  <c r="M2454" i="5" s="1"/>
  <c r="Q2441" i="4"/>
  <c r="Q2441" i="5"/>
  <c r="P2440" i="4"/>
  <c r="P2440" i="5"/>
  <c r="X2444" i="1"/>
  <c r="Z2444" i="1" s="1"/>
  <c r="H2436" i="4"/>
  <c r="H2436" i="5"/>
  <c r="M2442" i="1"/>
  <c r="M2436" i="5" s="1"/>
  <c r="P2426" i="4"/>
  <c r="P2426" i="5"/>
  <c r="Q2432" i="1"/>
  <c r="H2425" i="4"/>
  <c r="H2425" i="5"/>
  <c r="X2431" i="1"/>
  <c r="Z2431" i="1" s="1"/>
  <c r="X2427" i="1"/>
  <c r="Z2427" i="1" s="1"/>
  <c r="H2419" i="4"/>
  <c r="H2419" i="5"/>
  <c r="X2419" i="5" s="1"/>
  <c r="Z2419" i="5" s="1"/>
  <c r="M2425" i="1"/>
  <c r="M2419" i="5" s="1"/>
  <c r="J2425" i="1"/>
  <c r="J2419" i="5" s="1"/>
  <c r="P2401" i="5"/>
  <c r="X2407" i="1"/>
  <c r="Z2407" i="1" s="1"/>
  <c r="P2398" i="4"/>
  <c r="P2398" i="5"/>
  <c r="U2404" i="1"/>
  <c r="E2394" i="4"/>
  <c r="E2394" i="5"/>
  <c r="E2393" i="4"/>
  <c r="E2393" i="5"/>
  <c r="Q2399" i="1"/>
  <c r="X2386" i="5"/>
  <c r="Z2386" i="5" s="1"/>
  <c r="P2374" i="4"/>
  <c r="P2374" i="5"/>
  <c r="Q2380" i="1"/>
  <c r="X2373" i="5"/>
  <c r="Q2371" i="4"/>
  <c r="Q2371" i="5"/>
  <c r="P2369" i="4"/>
  <c r="P2369" i="5"/>
  <c r="P2363" i="4"/>
  <c r="P2363" i="5"/>
  <c r="U2369" i="1"/>
  <c r="E2362" i="4"/>
  <c r="E2362" i="5"/>
  <c r="U2353" i="4"/>
  <c r="U2353" i="5"/>
  <c r="P2344" i="4"/>
  <c r="P2344" i="5"/>
  <c r="X2350" i="1"/>
  <c r="H2338" i="4"/>
  <c r="H2338" i="5"/>
  <c r="M2344" i="1"/>
  <c r="M2338" i="5" s="1"/>
  <c r="F2336" i="4"/>
  <c r="F2336" i="5"/>
  <c r="P2332" i="4"/>
  <c r="P2332" i="5"/>
  <c r="F2331" i="4"/>
  <c r="F2331" i="5"/>
  <c r="P2311" i="4"/>
  <c r="P2311" i="5"/>
  <c r="U2317" i="1"/>
  <c r="H2309" i="4"/>
  <c r="H2309" i="5"/>
  <c r="M2315" i="1"/>
  <c r="M2309" i="5" s="1"/>
  <c r="P2299" i="4"/>
  <c r="P2299" i="5"/>
  <c r="H2285" i="4"/>
  <c r="H2285" i="5"/>
  <c r="X2285" i="5" s="1"/>
  <c r="Z2285" i="5" s="1"/>
  <c r="M2289" i="1"/>
  <c r="M2285" i="5" s="1"/>
  <c r="H2283" i="4"/>
  <c r="H2283" i="5"/>
  <c r="X2283" i="5" s="1"/>
  <c r="U2281" i="4"/>
  <c r="U2281" i="5"/>
  <c r="U2280" i="4"/>
  <c r="U2280" i="5"/>
  <c r="U2270" i="4"/>
  <c r="U2270" i="5"/>
  <c r="X2269" i="5"/>
  <c r="Z2269" i="5" s="1"/>
  <c r="P2266" i="5"/>
  <c r="Q2270" i="1"/>
  <c r="K2265" i="4"/>
  <c r="K2265" i="5"/>
  <c r="K2292" i="5" s="1"/>
  <c r="K2296" i="1"/>
  <c r="E2260" i="4"/>
  <c r="E2260" i="5"/>
  <c r="Q2264" i="1"/>
  <c r="J2258" i="4"/>
  <c r="J2258" i="5"/>
  <c r="E2257" i="4"/>
  <c r="E2257" i="5"/>
  <c r="Q2259" i="1"/>
  <c r="Q2254" i="4"/>
  <c r="Q2254" i="5"/>
  <c r="F2253" i="4"/>
  <c r="F2253" i="5"/>
  <c r="H2237" i="5"/>
  <c r="X2241" i="1"/>
  <c r="Z2241" i="1" s="1"/>
  <c r="Q2239" i="1"/>
  <c r="P2229" i="4"/>
  <c r="P2229" i="5"/>
  <c r="Q2233" i="1"/>
  <c r="P2212" i="4"/>
  <c r="P2212" i="5"/>
  <c r="J2210" i="4"/>
  <c r="J2210" i="5"/>
  <c r="P2202" i="4"/>
  <c r="P2202" i="5"/>
  <c r="X2206" i="1"/>
  <c r="Z2206" i="1" s="1"/>
  <c r="U2148" i="4"/>
  <c r="U2148" i="5"/>
  <c r="Q2144" i="4"/>
  <c r="Q2144" i="5"/>
  <c r="U2129" i="4"/>
  <c r="U2129" i="5"/>
  <c r="P2126" i="4"/>
  <c r="P2126" i="5"/>
  <c r="U2130" i="1"/>
  <c r="Q2130" i="1"/>
  <c r="P2121" i="4"/>
  <c r="P2121" i="5"/>
  <c r="U2125" i="1"/>
  <c r="P2118" i="5"/>
  <c r="Q2122" i="1"/>
  <c r="P2091" i="4"/>
  <c r="P2091" i="5"/>
  <c r="U2095" i="1"/>
  <c r="U2090" i="4"/>
  <c r="U2090" i="5"/>
  <c r="F2009" i="4"/>
  <c r="F2009" i="5"/>
  <c r="F2006" i="4"/>
  <c r="F2006" i="5"/>
  <c r="E2001" i="4"/>
  <c r="E2001" i="5"/>
  <c r="H1980" i="4"/>
  <c r="H1980" i="5"/>
  <c r="X1984" i="1"/>
  <c r="E1931" i="4"/>
  <c r="E1931" i="5"/>
  <c r="H1928" i="4"/>
  <c r="H1928" i="5"/>
  <c r="K1904" i="4"/>
  <c r="K1904" i="5"/>
  <c r="K1922" i="5" s="1"/>
  <c r="K1926" i="1"/>
  <c r="F1903" i="4"/>
  <c r="F1903" i="5"/>
  <c r="H1888" i="4"/>
  <c r="H1888" i="5"/>
  <c r="M1892" i="1"/>
  <c r="M1888" i="5" s="1"/>
  <c r="J1892" i="1"/>
  <c r="X1859" i="1"/>
  <c r="P1855" i="5"/>
  <c r="U1859" i="1"/>
  <c r="U1855" i="5" s="1"/>
  <c r="J1851" i="1"/>
  <c r="J1847" i="5" s="1"/>
  <c r="H1847" i="5"/>
  <c r="X1847" i="5" s="1"/>
  <c r="Z1847" i="5" s="1"/>
  <c r="M1851" i="1"/>
  <c r="M1847" i="5" s="1"/>
  <c r="P1834" i="5"/>
  <c r="U1838" i="1"/>
  <c r="U1834" i="5" s="1"/>
  <c r="H1834" i="1"/>
  <c r="H1830" i="5" s="1"/>
  <c r="F1830" i="5"/>
  <c r="P1816" i="5"/>
  <c r="U1820" i="1"/>
  <c r="U1816" i="5" s="1"/>
  <c r="U1797" i="1"/>
  <c r="U1793" i="5" s="1"/>
  <c r="P1793" i="5"/>
  <c r="X1797" i="1"/>
  <c r="Q1797" i="1"/>
  <c r="Q1793" i="5" s="1"/>
  <c r="Q1780" i="1"/>
  <c r="Q1776" i="5" s="1"/>
  <c r="P1776" i="5"/>
  <c r="U1780" i="1"/>
  <c r="U1776" i="5" s="1"/>
  <c r="K1788" i="1"/>
  <c r="K1770" i="5"/>
  <c r="K1784" i="5" s="1"/>
  <c r="H1748" i="5"/>
  <c r="M1752" i="1"/>
  <c r="M1748" i="5" s="1"/>
  <c r="J1752" i="1"/>
  <c r="J1748" i="5" s="1"/>
  <c r="E1740" i="1"/>
  <c r="P1734" i="5"/>
  <c r="V1737" i="1"/>
  <c r="U1737" i="1"/>
  <c r="U1734" i="5" s="1"/>
  <c r="X1736" i="1"/>
  <c r="M1728" i="1"/>
  <c r="M1725" i="5" s="1"/>
  <c r="H1725" i="5"/>
  <c r="X1728" i="1"/>
  <c r="V1692" i="1"/>
  <c r="V1689" i="5" s="1"/>
  <c r="P1689" i="5"/>
  <c r="U1692" i="1"/>
  <c r="U1689" i="5" s="1"/>
  <c r="P1676" i="5"/>
  <c r="X1679" i="1"/>
  <c r="V1673" i="1"/>
  <c r="P1670" i="5"/>
  <c r="U1673" i="1"/>
  <c r="U1670" i="5" s="1"/>
  <c r="M1672" i="1"/>
  <c r="M1669" i="5" s="1"/>
  <c r="H1669" i="5"/>
  <c r="X1669" i="5" s="1"/>
  <c r="M1670" i="1"/>
  <c r="M1667" i="5" s="1"/>
  <c r="H1667" i="5"/>
  <c r="X1667" i="5" s="1"/>
  <c r="X1619" i="1"/>
  <c r="X1535" i="2" s="1"/>
  <c r="P1589" i="4"/>
  <c r="P1589" i="5"/>
  <c r="U1592" i="1"/>
  <c r="U1590" i="1"/>
  <c r="U1587" i="5" s="1"/>
  <c r="P1587" i="5"/>
  <c r="H1582" i="5"/>
  <c r="X1585" i="1"/>
  <c r="X1582" i="5" s="1"/>
  <c r="M1585" i="1"/>
  <c r="M1582" i="5" s="1"/>
  <c r="P1564" i="5"/>
  <c r="X1567" i="1"/>
  <c r="X1564" i="5" s="1"/>
  <c r="M1551" i="1"/>
  <c r="M1548" i="5" s="1"/>
  <c r="H1548" i="5"/>
  <c r="H1460" i="5"/>
  <c r="X1461" i="1"/>
  <c r="J1453" i="1"/>
  <c r="J1452" i="5" s="1"/>
  <c r="H1452" i="5"/>
  <c r="V1453" i="1"/>
  <c r="V1452" i="5" s="1"/>
  <c r="M1453" i="1"/>
  <c r="J1445" i="1"/>
  <c r="J1444" i="5" s="1"/>
  <c r="H1444" i="5"/>
  <c r="M1445" i="1"/>
  <c r="M1444" i="5" s="1"/>
  <c r="J1431" i="1"/>
  <c r="J1430" i="5" s="1"/>
  <c r="H1430" i="5"/>
  <c r="X1430" i="5" s="1"/>
  <c r="P1408" i="5"/>
  <c r="U1409" i="1"/>
  <c r="U1408" i="5" s="1"/>
  <c r="Q1409" i="1"/>
  <c r="Q1408" i="5" s="1"/>
  <c r="Q1388" i="1"/>
  <c r="Q1387" i="5" s="1"/>
  <c r="P1387" i="5"/>
  <c r="U1388" i="1"/>
  <c r="U1387" i="5" s="1"/>
  <c r="P1383" i="5"/>
  <c r="U1384" i="1"/>
  <c r="U1383" i="5" s="1"/>
  <c r="Q1384" i="1"/>
  <c r="Q1383" i="5" s="1"/>
  <c r="J1362" i="4"/>
  <c r="J1362" i="5"/>
  <c r="P1345" i="5"/>
  <c r="U1346" i="1"/>
  <c r="U1345" i="5" s="1"/>
  <c r="Q1346" i="1"/>
  <c r="Q1345" i="5" s="1"/>
  <c r="P1334" i="5"/>
  <c r="V1335" i="1"/>
  <c r="V1334" i="5" s="1"/>
  <c r="E1266" i="2"/>
  <c r="E1329" i="5"/>
  <c r="H1302" i="1"/>
  <c r="F1301" i="5"/>
  <c r="H1294" i="1"/>
  <c r="H1293" i="5" s="1"/>
  <c r="X1293" i="5" s="1"/>
  <c r="F1293" i="5"/>
  <c r="H1292" i="5"/>
  <c r="M1293" i="1"/>
  <c r="M1292" i="5" s="1"/>
  <c r="X1293" i="1"/>
  <c r="X1229" i="2" s="1"/>
  <c r="J1293" i="1"/>
  <c r="J1292" i="5" s="1"/>
  <c r="Q1287" i="1"/>
  <c r="Q1286" i="5" s="1"/>
  <c r="E1286" i="5"/>
  <c r="V1260" i="1"/>
  <c r="V1259" i="5" s="1"/>
  <c r="P1259" i="5"/>
  <c r="U1239" i="4"/>
  <c r="U1239" i="5"/>
  <c r="P1238" i="4"/>
  <c r="P1238" i="5"/>
  <c r="H1232" i="1"/>
  <c r="H1231" i="5" s="1"/>
  <c r="X1231" i="5" s="1"/>
  <c r="F1231" i="5"/>
  <c r="U1225" i="1"/>
  <c r="U1224" i="5" s="1"/>
  <c r="P1224" i="5"/>
  <c r="Q1225" i="1"/>
  <c r="Q1224" i="5" s="1"/>
  <c r="P1202" i="5"/>
  <c r="Q1203" i="1"/>
  <c r="H1145" i="2"/>
  <c r="H1197" i="5"/>
  <c r="M1198" i="1"/>
  <c r="M1197" i="5" s="1"/>
  <c r="X1198" i="1"/>
  <c r="X1197" i="5" s="1"/>
  <c r="P1183" i="5"/>
  <c r="V1184" i="1"/>
  <c r="V1183" i="5" s="1"/>
  <c r="U1184" i="1"/>
  <c r="U1183" i="5" s="1"/>
  <c r="M1161" i="1"/>
  <c r="M1160" i="5" s="1"/>
  <c r="H1160" i="5"/>
  <c r="X1160" i="5" s="1"/>
  <c r="Z1160" i="5" s="1"/>
  <c r="P1154" i="5"/>
  <c r="X1155" i="1"/>
  <c r="X1104" i="2" s="1"/>
  <c r="U1155" i="1"/>
  <c r="U1154" i="5" s="1"/>
  <c r="P1149" i="5"/>
  <c r="V1150" i="1"/>
  <c r="U1150" i="1"/>
  <c r="U1149" i="5" s="1"/>
  <c r="V1118" i="1"/>
  <c r="V1117" i="5" s="1"/>
  <c r="P1117" i="5"/>
  <c r="E1083" i="5"/>
  <c r="Z1083" i="5" s="1"/>
  <c r="E1086" i="1"/>
  <c r="H1038" i="5"/>
  <c r="X1038" i="5" s="1"/>
  <c r="Z1038" i="5" s="1"/>
  <c r="M1039" i="1"/>
  <c r="E1009" i="4"/>
  <c r="E1009" i="5"/>
  <c r="M1008" i="1"/>
  <c r="M1007" i="5" s="1"/>
  <c r="H1007" i="5"/>
  <c r="T987" i="5"/>
  <c r="T989" i="5" s="1"/>
  <c r="T1190" i="5" s="1"/>
  <c r="T990" i="1"/>
  <c r="P968" i="5"/>
  <c r="U969" i="1"/>
  <c r="U968" i="5" s="1"/>
  <c r="J936" i="1"/>
  <c r="J936" i="5" s="1"/>
  <c r="H936" i="5"/>
  <c r="X936" i="5" s="1"/>
  <c r="Z936" i="5" s="1"/>
  <c r="M936" i="1"/>
  <c r="M936" i="5" s="1"/>
  <c r="H934" i="5"/>
  <c r="X934" i="5" s="1"/>
  <c r="Z934" i="5" s="1"/>
  <c r="M934" i="1"/>
  <c r="M934" i="5" s="1"/>
  <c r="J934" i="1"/>
  <c r="J934" i="5" s="1"/>
  <c r="H932" i="5"/>
  <c r="X932" i="5" s="1"/>
  <c r="Z932" i="5" s="1"/>
  <c r="M932" i="1"/>
  <c r="M932" i="5" s="1"/>
  <c r="J932" i="1"/>
  <c r="J932" i="5" s="1"/>
  <c r="P917" i="5"/>
  <c r="V917" i="1"/>
  <c r="V917" i="5" s="1"/>
  <c r="H905" i="5"/>
  <c r="X905" i="5" s="1"/>
  <c r="Z905" i="5" s="1"/>
  <c r="M905" i="1"/>
  <c r="M905" i="5" s="1"/>
  <c r="J905" i="1"/>
  <c r="J905" i="5" s="1"/>
  <c r="X903" i="1"/>
  <c r="X863" i="2" s="1"/>
  <c r="H903" i="5"/>
  <c r="X903" i="5" s="1"/>
  <c r="X887" i="1"/>
  <c r="P887" i="5"/>
  <c r="U885" i="1"/>
  <c r="U885" i="5" s="1"/>
  <c r="P885" i="5"/>
  <c r="V885" i="1"/>
  <c r="V885" i="5" s="1"/>
  <c r="Q885" i="1"/>
  <c r="Q885" i="5" s="1"/>
  <c r="P867" i="5"/>
  <c r="U867" i="1"/>
  <c r="U857" i="1"/>
  <c r="U857" i="5" s="1"/>
  <c r="P857" i="5"/>
  <c r="Q857" i="1"/>
  <c r="Q857" i="5" s="1"/>
  <c r="U853" i="1"/>
  <c r="U853" i="5" s="1"/>
  <c r="P853" i="5"/>
  <c r="Q853" i="1"/>
  <c r="Q853" i="5" s="1"/>
  <c r="F833" i="5"/>
  <c r="H833" i="1"/>
  <c r="H833" i="5" s="1"/>
  <c r="X833" i="5" s="1"/>
  <c r="H829" i="5"/>
  <c r="X829" i="5" s="1"/>
  <c r="M829" i="1"/>
  <c r="M829" i="5" s="1"/>
  <c r="J829" i="1"/>
  <c r="J829" i="5" s="1"/>
  <c r="Q821" i="1"/>
  <c r="Q821" i="5" s="1"/>
  <c r="P821" i="5"/>
  <c r="P814" i="5"/>
  <c r="U814" i="1"/>
  <c r="U814" i="5" s="1"/>
  <c r="Q814" i="1"/>
  <c r="Q814" i="5" s="1"/>
  <c r="H811" i="5"/>
  <c r="M811" i="1"/>
  <c r="M811" i="5" s="1"/>
  <c r="J811" i="1"/>
  <c r="J811" i="5" s="1"/>
  <c r="X811" i="1"/>
  <c r="X777" i="2" s="1"/>
  <c r="M805" i="1"/>
  <c r="M805" i="5" s="1"/>
  <c r="H805" i="5"/>
  <c r="X805" i="5" s="1"/>
  <c r="Z805" i="5" s="1"/>
  <c r="J805" i="1"/>
  <c r="J805" i="5" s="1"/>
  <c r="P797" i="5"/>
  <c r="U797" i="1"/>
  <c r="U797" i="5" s="1"/>
  <c r="X790" i="1"/>
  <c r="P790" i="5"/>
  <c r="Q790" i="1"/>
  <c r="Q790" i="5" s="1"/>
  <c r="J762" i="1"/>
  <c r="J762" i="5" s="1"/>
  <c r="H762" i="5"/>
  <c r="M762" i="1"/>
  <c r="M762" i="5" s="1"/>
  <c r="P781" i="1"/>
  <c r="P760" i="5"/>
  <c r="H739" i="1"/>
  <c r="F739" i="5"/>
  <c r="P732" i="5"/>
  <c r="Q732" i="1"/>
  <c r="Q732" i="5" s="1"/>
  <c r="I731" i="5"/>
  <c r="I743" i="5" s="1"/>
  <c r="I743" i="1"/>
  <c r="H727" i="5"/>
  <c r="X727" i="1"/>
  <c r="X697" i="2" s="1"/>
  <c r="J727" i="1"/>
  <c r="J727" i="5" s="1"/>
  <c r="H722" i="5"/>
  <c r="X722" i="5" s="1"/>
  <c r="J722" i="1"/>
  <c r="J722" i="5" s="1"/>
  <c r="Q721" i="1"/>
  <c r="Q721" i="5" s="1"/>
  <c r="E721" i="5"/>
  <c r="Z721" i="5" s="1"/>
  <c r="M681" i="1"/>
  <c r="M681" i="5" s="1"/>
  <c r="H681" i="5"/>
  <c r="X681" i="5" s="1"/>
  <c r="Z681" i="5" s="1"/>
  <c r="X681" i="1"/>
  <c r="J675" i="1"/>
  <c r="J675" i="5" s="1"/>
  <c r="H675" i="5"/>
  <c r="X675" i="5" s="1"/>
  <c r="Z675" i="5" s="1"/>
  <c r="V675" i="1"/>
  <c r="V675" i="5" s="1"/>
  <c r="P668" i="5"/>
  <c r="X668" i="1"/>
  <c r="H649" i="1"/>
  <c r="H649" i="5" s="1"/>
  <c r="F649" i="5"/>
  <c r="F661" i="5" s="1"/>
  <c r="F605" i="5"/>
  <c r="H604" i="1"/>
  <c r="H605" i="5" s="1"/>
  <c r="H600" i="5"/>
  <c r="X600" i="5" s="1"/>
  <c r="Z600" i="5" s="1"/>
  <c r="V599" i="1"/>
  <c r="V600" i="5" s="1"/>
  <c r="H583" i="5"/>
  <c r="X583" i="5" s="1"/>
  <c r="Z583" i="5" s="1"/>
  <c r="M582" i="1"/>
  <c r="M583" i="5" s="1"/>
  <c r="U533" i="1"/>
  <c r="U532" i="5" s="1"/>
  <c r="P532" i="5"/>
  <c r="U506" i="1"/>
  <c r="U505" i="5" s="1"/>
  <c r="P505" i="5"/>
  <c r="P482" i="5"/>
  <c r="U483" i="1"/>
  <c r="U482" i="5" s="1"/>
  <c r="M478" i="1"/>
  <c r="M477" i="5" s="1"/>
  <c r="H477" i="5"/>
  <c r="P450" i="2"/>
  <c r="P470" i="5"/>
  <c r="U471" i="1"/>
  <c r="U470" i="5" s="1"/>
  <c r="P460" i="5"/>
  <c r="P474" i="1"/>
  <c r="U461" i="1"/>
  <c r="U460" i="5" s="1"/>
  <c r="H450" i="5"/>
  <c r="X450" i="5" s="1"/>
  <c r="V451" i="1"/>
  <c r="V450" i="5" s="1"/>
  <c r="H433" i="5"/>
  <c r="M434" i="1"/>
  <c r="M433" i="5" s="1"/>
  <c r="U432" i="1"/>
  <c r="U431" i="5" s="1"/>
  <c r="P431" i="5"/>
  <c r="P409" i="5"/>
  <c r="U410" i="1"/>
  <c r="U409" i="5" s="1"/>
  <c r="H392" i="1"/>
  <c r="H391" i="5" s="1"/>
  <c r="X391" i="5" s="1"/>
  <c r="F391" i="5"/>
  <c r="U388" i="1"/>
  <c r="U387" i="5" s="1"/>
  <c r="P387" i="5"/>
  <c r="U380" i="1"/>
  <c r="U379" i="5" s="1"/>
  <c r="P379" i="5"/>
  <c r="P376" i="4"/>
  <c r="P376" i="5"/>
  <c r="H358" i="4"/>
  <c r="H358" i="5"/>
  <c r="X358" i="5" s="1"/>
  <c r="Z358" i="5" s="1"/>
  <c r="M359" i="1"/>
  <c r="H357" i="1"/>
  <c r="H356" i="5" s="1"/>
  <c r="X356" i="5" s="1"/>
  <c r="Z356" i="5" s="1"/>
  <c r="F356" i="5"/>
  <c r="H353" i="5"/>
  <c r="X353" i="5" s="1"/>
  <c r="Z353" i="5" s="1"/>
  <c r="M354" i="1"/>
  <c r="M353" i="5" s="1"/>
  <c r="J354" i="1"/>
  <c r="J353" i="5" s="1"/>
  <c r="X352" i="1"/>
  <c r="H351" i="5"/>
  <c r="X351" i="5" s="1"/>
  <c r="Z351" i="5" s="1"/>
  <c r="U348" i="1"/>
  <c r="U347" i="5" s="1"/>
  <c r="P347" i="5"/>
  <c r="H340" i="5"/>
  <c r="X340" i="5" s="1"/>
  <c r="M341" i="1"/>
  <c r="M340" i="5" s="1"/>
  <c r="J341" i="1"/>
  <c r="J340" i="5" s="1"/>
  <c r="P319" i="5"/>
  <c r="X320" i="1"/>
  <c r="U320" i="1"/>
  <c r="U319" i="5" s="1"/>
  <c r="H305" i="5"/>
  <c r="X305" i="5" s="1"/>
  <c r="M306" i="1"/>
  <c r="M305" i="5" s="1"/>
  <c r="J306" i="1"/>
  <c r="J305" i="5" s="1"/>
  <c r="X306" i="1"/>
  <c r="F303" i="5"/>
  <c r="H304" i="1"/>
  <c r="H303" i="5" s="1"/>
  <c r="X303" i="5" s="1"/>
  <c r="U287" i="2"/>
  <c r="U299" i="5"/>
  <c r="F291" i="5"/>
  <c r="H292" i="1"/>
  <c r="H291" i="5" s="1"/>
  <c r="X291" i="5" s="1"/>
  <c r="Z291" i="5" s="1"/>
  <c r="F290" i="5"/>
  <c r="F313" i="1"/>
  <c r="E275" i="2"/>
  <c r="E287" i="5"/>
  <c r="U273" i="2"/>
  <c r="U285" i="5"/>
  <c r="U272" i="2"/>
  <c r="U284" i="5"/>
  <c r="U312" i="5" s="1"/>
  <c r="X278" i="1"/>
  <c r="H277" i="5"/>
  <c r="X277" i="5" s="1"/>
  <c r="M247" i="1"/>
  <c r="M246" i="5" s="1"/>
  <c r="H246" i="5"/>
  <c r="J247" i="1"/>
  <c r="F227" i="5"/>
  <c r="F235" i="5" s="1"/>
  <c r="H227" i="1"/>
  <c r="H227" i="5" s="1"/>
  <c r="X227" i="5" s="1"/>
  <c r="M223" i="1"/>
  <c r="M223" i="5" s="1"/>
  <c r="H223" i="5"/>
  <c r="I223" i="1"/>
  <c r="I223" i="5" s="1"/>
  <c r="X204" i="2"/>
  <c r="Z213" i="1"/>
  <c r="M212" i="1"/>
  <c r="M212" i="5" s="1"/>
  <c r="H212" i="5"/>
  <c r="X212" i="1"/>
  <c r="I212" i="1"/>
  <c r="I212" i="5" s="1"/>
  <c r="I204" i="1"/>
  <c r="H204" i="5"/>
  <c r="X204" i="1"/>
  <c r="X195" i="2" s="1"/>
  <c r="M172" i="5"/>
  <c r="M163" i="1"/>
  <c r="M163" i="5" s="1"/>
  <c r="H163" i="5"/>
  <c r="X163" i="5" s="1"/>
  <c r="M161" i="1"/>
  <c r="M161" i="5" s="1"/>
  <c r="H161" i="5"/>
  <c r="X161" i="5" s="1"/>
  <c r="M159" i="1"/>
  <c r="M159" i="5" s="1"/>
  <c r="H159" i="5"/>
  <c r="X159" i="5" s="1"/>
  <c r="H144" i="5"/>
  <c r="X144" i="1"/>
  <c r="X144" i="5" s="1"/>
  <c r="M144" i="1"/>
  <c r="M144" i="5" s="1"/>
  <c r="M122" i="1"/>
  <c r="M122" i="5" s="1"/>
  <c r="H122" i="5"/>
  <c r="X122" i="5" s="1"/>
  <c r="Z122" i="5" s="1"/>
  <c r="P87" i="5"/>
  <c r="U87" i="1"/>
  <c r="H79" i="2"/>
  <c r="H83" i="5"/>
  <c r="X83" i="5" s="1"/>
  <c r="Z83" i="5" s="1"/>
  <c r="M83" i="1"/>
  <c r="M83" i="5" s="1"/>
  <c r="P66" i="5"/>
  <c r="U66" i="1"/>
  <c r="U66" i="5" s="1"/>
  <c r="M35" i="1"/>
  <c r="M35" i="5" s="1"/>
  <c r="H35" i="5"/>
  <c r="U33" i="1"/>
  <c r="U33" i="5" s="1"/>
  <c r="P33" i="5"/>
  <c r="M27" i="1"/>
  <c r="M27" i="5" s="1"/>
  <c r="H27" i="5"/>
  <c r="P18" i="5"/>
  <c r="U18" i="1"/>
  <c r="U18" i="5" s="1"/>
  <c r="X15" i="1"/>
  <c r="X15" i="5" s="1"/>
  <c r="H13" i="5"/>
  <c r="M13" i="1"/>
  <c r="M13" i="5" s="1"/>
  <c r="M2882" i="5"/>
  <c r="M2883" i="4"/>
  <c r="J2874" i="5"/>
  <c r="J2875" i="4"/>
  <c r="Y2871" i="5"/>
  <c r="Y2872" i="4"/>
  <c r="R2870" i="5"/>
  <c r="R2871" i="4"/>
  <c r="N2869" i="5"/>
  <c r="N2870" i="4"/>
  <c r="Y2863" i="5"/>
  <c r="Y2864" i="4"/>
  <c r="R2861" i="5"/>
  <c r="R2862" i="4"/>
  <c r="M2855" i="5"/>
  <c r="M2856" i="4"/>
  <c r="K2850" i="5"/>
  <c r="K2851" i="4"/>
  <c r="M2846" i="5"/>
  <c r="M2847" i="4"/>
  <c r="I2843" i="5"/>
  <c r="I2844" i="4"/>
  <c r="U2820" i="5"/>
  <c r="U2820" i="4"/>
  <c r="W2808" i="5"/>
  <c r="W2808" i="4"/>
  <c r="N2807" i="5"/>
  <c r="N2807" i="4"/>
  <c r="F2806" i="5"/>
  <c r="F2806" i="4"/>
  <c r="R2792" i="5"/>
  <c r="R2792" i="4"/>
  <c r="V2790" i="5"/>
  <c r="V2790" i="4"/>
  <c r="Y2783" i="5"/>
  <c r="Y2783" i="4"/>
  <c r="U2879" i="5"/>
  <c r="U2880" i="4"/>
  <c r="Y2876" i="5"/>
  <c r="Y2877" i="4"/>
  <c r="Y2875" i="5"/>
  <c r="Y2876" i="4"/>
  <c r="Q2875" i="5"/>
  <c r="Q2876" i="4"/>
  <c r="J2875" i="5"/>
  <c r="J2876" i="4"/>
  <c r="U2874" i="5"/>
  <c r="U2875" i="4"/>
  <c r="F2874" i="5"/>
  <c r="F2875" i="4"/>
  <c r="M2872" i="5"/>
  <c r="M2873" i="4"/>
  <c r="S2871" i="5"/>
  <c r="S2872" i="4"/>
  <c r="M2871" i="5"/>
  <c r="M2872" i="4"/>
  <c r="Y2870" i="5"/>
  <c r="Y2871" i="4"/>
  <c r="U2870" i="5"/>
  <c r="U2871" i="4"/>
  <c r="F2870" i="5"/>
  <c r="F2871" i="4"/>
  <c r="F2869" i="5"/>
  <c r="F2870" i="4"/>
  <c r="M2868" i="5"/>
  <c r="M2869" i="4"/>
  <c r="M2866" i="5"/>
  <c r="M2867" i="4"/>
  <c r="Y2864" i="5"/>
  <c r="Y2865" i="4"/>
  <c r="I2864" i="5"/>
  <c r="I2865" i="4"/>
  <c r="S2862" i="5"/>
  <c r="S2863" i="4"/>
  <c r="K2862" i="5"/>
  <c r="K2863" i="4"/>
  <c r="U2861" i="5"/>
  <c r="U2862" i="4"/>
  <c r="I2861" i="5"/>
  <c r="I2862" i="4"/>
  <c r="M2860" i="5"/>
  <c r="M2861" i="4"/>
  <c r="M2858" i="5"/>
  <c r="M2859" i="4"/>
  <c r="Y2855" i="5"/>
  <c r="Y2856" i="4"/>
  <c r="Q2853" i="5"/>
  <c r="Q2854" i="4"/>
  <c r="I2853" i="5"/>
  <c r="I2854" i="4"/>
  <c r="V2852" i="5"/>
  <c r="V2853" i="4"/>
  <c r="R2851" i="5"/>
  <c r="R2852" i="4"/>
  <c r="U2850" i="5"/>
  <c r="U2851" i="4"/>
  <c r="I2850" i="5"/>
  <c r="I2851" i="4"/>
  <c r="Y2847" i="5"/>
  <c r="Y2848" i="4"/>
  <c r="R2846" i="5"/>
  <c r="R2847" i="4"/>
  <c r="S2845" i="5"/>
  <c r="S2846" i="4"/>
  <c r="R2844" i="5"/>
  <c r="R2845" i="4"/>
  <c r="Y2843" i="5"/>
  <c r="Y2844" i="4"/>
  <c r="U2842" i="5"/>
  <c r="U2843" i="4"/>
  <c r="F2822" i="5"/>
  <c r="F2822" i="4"/>
  <c r="F2820" i="5"/>
  <c r="F2820" i="4"/>
  <c r="V2819" i="5"/>
  <c r="V2819" i="4"/>
  <c r="T2809" i="5"/>
  <c r="T2809" i="4"/>
  <c r="T2808" i="5"/>
  <c r="T2808" i="4"/>
  <c r="W2807" i="5"/>
  <c r="W2807" i="4"/>
  <c r="F2805" i="5"/>
  <c r="F2805" i="4"/>
  <c r="Y2801" i="5"/>
  <c r="Y2801" i="4"/>
  <c r="R2801" i="5"/>
  <c r="R2801" i="4"/>
  <c r="J2801" i="5"/>
  <c r="J2801" i="4"/>
  <c r="Y2800" i="5"/>
  <c r="Y2800" i="4"/>
  <c r="F2800" i="5"/>
  <c r="F2800" i="4"/>
  <c r="X2805" i="1"/>
  <c r="Z2805" i="1" s="1"/>
  <c r="M2794" i="5"/>
  <c r="M2794" i="4"/>
  <c r="W2793" i="5"/>
  <c r="W2793" i="4"/>
  <c r="U2792" i="5"/>
  <c r="U2792" i="4"/>
  <c r="F2792" i="5"/>
  <c r="F2792" i="4"/>
  <c r="W2791" i="5"/>
  <c r="W2791" i="4"/>
  <c r="R2791" i="5"/>
  <c r="R2791" i="4"/>
  <c r="K2791" i="5"/>
  <c r="K2791" i="4"/>
  <c r="Y2790" i="5"/>
  <c r="Y2790" i="4"/>
  <c r="R2790" i="5"/>
  <c r="R2790" i="4"/>
  <c r="K2790" i="5"/>
  <c r="K2790" i="4"/>
  <c r="U2789" i="5"/>
  <c r="U2789" i="4"/>
  <c r="U2786" i="5"/>
  <c r="U2786" i="4"/>
  <c r="I2786" i="5"/>
  <c r="I2786" i="4"/>
  <c r="W2785" i="5"/>
  <c r="W2785" i="4"/>
  <c r="R2785" i="5"/>
  <c r="R2785" i="4"/>
  <c r="K2785" i="5"/>
  <c r="K2785" i="4"/>
  <c r="Y2784" i="5"/>
  <c r="Y2784" i="4"/>
  <c r="S2772" i="5"/>
  <c r="S2772" i="4"/>
  <c r="K2772" i="5"/>
  <c r="K2772" i="4"/>
  <c r="Y2771" i="5"/>
  <c r="Y2885" i="5" s="1"/>
  <c r="Y2771" i="4"/>
  <c r="Y2886" i="4" s="1"/>
  <c r="U2771" i="5"/>
  <c r="U2771" i="4"/>
  <c r="M2771" i="5"/>
  <c r="M2771" i="4"/>
  <c r="P2747" i="4"/>
  <c r="P2747" i="5"/>
  <c r="U2710" i="4"/>
  <c r="U2710" i="5"/>
  <c r="M2709" i="4"/>
  <c r="M2709" i="5"/>
  <c r="P2707" i="4"/>
  <c r="P2707" i="5"/>
  <c r="H2701" i="4"/>
  <c r="H2701" i="5"/>
  <c r="F2699" i="4"/>
  <c r="F2699" i="5"/>
  <c r="X2704" i="1"/>
  <c r="Z2704" i="1" s="1"/>
  <c r="P2696" i="5"/>
  <c r="H2694" i="4"/>
  <c r="H2694" i="5"/>
  <c r="X2694" i="5" s="1"/>
  <c r="U2692" i="4"/>
  <c r="U2692" i="5"/>
  <c r="P2691" i="4"/>
  <c r="P2691" i="5"/>
  <c r="U2696" i="1"/>
  <c r="P2688" i="5"/>
  <c r="V2695" i="1"/>
  <c r="V2687" i="5" s="1"/>
  <c r="H2687" i="5"/>
  <c r="X2687" i="5" s="1"/>
  <c r="X2687" i="1"/>
  <c r="P2670" i="4"/>
  <c r="P2670" i="5"/>
  <c r="V2678" i="1"/>
  <c r="P2668" i="4"/>
  <c r="P2668" i="5"/>
  <c r="P2666" i="4"/>
  <c r="P2666" i="5"/>
  <c r="M2664" i="1"/>
  <c r="H2656" i="5"/>
  <c r="P2651" i="4"/>
  <c r="P2651" i="5"/>
  <c r="P2647" i="4"/>
  <c r="P2647" i="5"/>
  <c r="H2646" i="4"/>
  <c r="H2646" i="5"/>
  <c r="X2646" i="5" s="1"/>
  <c r="H2644" i="4"/>
  <c r="H2644" i="5"/>
  <c r="X2644" i="5" s="1"/>
  <c r="H2642" i="4"/>
  <c r="H2642" i="5"/>
  <c r="X2642" i="5" s="1"/>
  <c r="X2640" i="5"/>
  <c r="X2633" i="5"/>
  <c r="H2631" i="4"/>
  <c r="H2631" i="5"/>
  <c r="X2631" i="5" s="1"/>
  <c r="E2629" i="4"/>
  <c r="E2629" i="5"/>
  <c r="H2626" i="4"/>
  <c r="H2626" i="5"/>
  <c r="X2626" i="5" s="1"/>
  <c r="E2625" i="4"/>
  <c r="E2625" i="5"/>
  <c r="F2605" i="4"/>
  <c r="F2605" i="5"/>
  <c r="U2603" i="4"/>
  <c r="U2603" i="5"/>
  <c r="U2602" i="4"/>
  <c r="U2602" i="5"/>
  <c r="H2601" i="4"/>
  <c r="H2601" i="5"/>
  <c r="M2599" i="4"/>
  <c r="M2599" i="5"/>
  <c r="U2596" i="4"/>
  <c r="U2596" i="5"/>
  <c r="M2603" i="1"/>
  <c r="M2595" i="5" s="1"/>
  <c r="H2595" i="5"/>
  <c r="M2602" i="1"/>
  <c r="H2594" i="5"/>
  <c r="P2592" i="4"/>
  <c r="P2592" i="5"/>
  <c r="H2591" i="4"/>
  <c r="H2591" i="5"/>
  <c r="H2588" i="4"/>
  <c r="H2588" i="5"/>
  <c r="H2586" i="4"/>
  <c r="H2586" i="5"/>
  <c r="H2584" i="4"/>
  <c r="H2584" i="5"/>
  <c r="X2592" i="1"/>
  <c r="H2582" i="4"/>
  <c r="H2582" i="5"/>
  <c r="U2578" i="4"/>
  <c r="U2578" i="5"/>
  <c r="Z2563" i="5"/>
  <c r="M2569" i="1"/>
  <c r="M2561" i="5" s="1"/>
  <c r="H2561" i="5"/>
  <c r="X2561" i="5" s="1"/>
  <c r="Z2561" i="5" s="1"/>
  <c r="M2567" i="1"/>
  <c r="M2559" i="5" s="1"/>
  <c r="H2559" i="5"/>
  <c r="X2559" i="5" s="1"/>
  <c r="Z2559" i="5" s="1"/>
  <c r="E2556" i="4"/>
  <c r="E2556" i="5"/>
  <c r="F2553" i="4"/>
  <c r="F2553" i="5"/>
  <c r="H2550" i="5"/>
  <c r="M2558" i="1"/>
  <c r="P2548" i="4"/>
  <c r="P2548" i="5"/>
  <c r="P2547" i="4"/>
  <c r="P2547" i="5"/>
  <c r="H2526" i="4"/>
  <c r="H2526" i="5"/>
  <c r="X2526" i="5" s="1"/>
  <c r="Z2526" i="5" s="1"/>
  <c r="X2504" i="5"/>
  <c r="Z2504" i="5" s="1"/>
  <c r="P2502" i="4"/>
  <c r="P2502" i="5"/>
  <c r="P2473" i="4"/>
  <c r="P2473" i="5"/>
  <c r="U2481" i="1"/>
  <c r="U2473" i="5" s="1"/>
  <c r="P2465" i="4"/>
  <c r="P2465" i="5"/>
  <c r="H2464" i="4"/>
  <c r="H2464" i="5"/>
  <c r="P2455" i="4"/>
  <c r="P2455" i="5"/>
  <c r="U2463" i="1"/>
  <c r="Q2441" i="1"/>
  <c r="P2435" i="5"/>
  <c r="H2434" i="4"/>
  <c r="H2434" i="5"/>
  <c r="X2434" i="5" s="1"/>
  <c r="Z2434" i="5" s="1"/>
  <c r="X2426" i="5"/>
  <c r="Z2426" i="5" s="1"/>
  <c r="U2413" i="4"/>
  <c r="U2413" i="5"/>
  <c r="U2408" i="4"/>
  <c r="U2408" i="5"/>
  <c r="U2405" i="4"/>
  <c r="U2405" i="5"/>
  <c r="U2402" i="4"/>
  <c r="U2402" i="5"/>
  <c r="P2396" i="4"/>
  <c r="P2396" i="5"/>
  <c r="U2402" i="1"/>
  <c r="Q2394" i="4"/>
  <c r="Q2394" i="5"/>
  <c r="U2393" i="4"/>
  <c r="U2393" i="5"/>
  <c r="E2389" i="4"/>
  <c r="E2389" i="5"/>
  <c r="H2377" i="4"/>
  <c r="H2377" i="5"/>
  <c r="X2377" i="5" s="1"/>
  <c r="Z2377" i="5" s="1"/>
  <c r="J2383" i="1"/>
  <c r="J2375" i="4"/>
  <c r="J2375" i="5"/>
  <c r="X2374" i="5"/>
  <c r="X2369" i="1"/>
  <c r="Z2369" i="1" s="1"/>
  <c r="H2363" i="5"/>
  <c r="X2363" i="5" s="1"/>
  <c r="Z2363" i="5" s="1"/>
  <c r="J2362" i="1"/>
  <c r="H2356" i="5"/>
  <c r="P2354" i="4"/>
  <c r="P2354" i="5"/>
  <c r="P2352" i="4"/>
  <c r="P2352" i="5"/>
  <c r="Q2358" i="1"/>
  <c r="H2350" i="4"/>
  <c r="H2350" i="5"/>
  <c r="M2356" i="1"/>
  <c r="M2350" i="5" s="1"/>
  <c r="P2348" i="4"/>
  <c r="P2348" i="5"/>
  <c r="P2347" i="4"/>
  <c r="P2347" i="5"/>
  <c r="P2345" i="4"/>
  <c r="P2345" i="5"/>
  <c r="U2351" i="1"/>
  <c r="Q2322" i="4"/>
  <c r="Q2322" i="5"/>
  <c r="P2305" i="4"/>
  <c r="P2305" i="5"/>
  <c r="U2311" i="1"/>
  <c r="U2302" i="4"/>
  <c r="U2302" i="5"/>
  <c r="U2288" i="1"/>
  <c r="P2284" i="5"/>
  <c r="Z2283" i="5"/>
  <c r="P2277" i="4"/>
  <c r="P2277" i="5"/>
  <c r="U2281" i="1"/>
  <c r="J2280" i="1"/>
  <c r="H2276" i="5"/>
  <c r="X2276" i="5" s="1"/>
  <c r="Z2276" i="5" s="1"/>
  <c r="U2274" i="4"/>
  <c r="U2274" i="5"/>
  <c r="X2277" i="1"/>
  <c r="Z2277" i="1" s="1"/>
  <c r="X2266" i="5"/>
  <c r="M2269" i="1"/>
  <c r="M2265" i="5" s="1"/>
  <c r="H2265" i="5"/>
  <c r="U2260" i="4"/>
  <c r="U2260" i="5"/>
  <c r="P2249" i="4"/>
  <c r="P2249" i="5"/>
  <c r="Q2253" i="1"/>
  <c r="Q2247" i="4"/>
  <c r="Q2247" i="5"/>
  <c r="H2238" i="4"/>
  <c r="H2238" i="5"/>
  <c r="X2242" i="1"/>
  <c r="Z2242" i="1" s="1"/>
  <c r="E2222" i="4"/>
  <c r="E2222" i="5"/>
  <c r="Q2226" i="1"/>
  <c r="Q2222" i="5" s="1"/>
  <c r="E2205" i="4"/>
  <c r="E2205" i="5"/>
  <c r="P2188" i="4"/>
  <c r="P2188" i="5"/>
  <c r="U2192" i="1"/>
  <c r="H2177" i="4"/>
  <c r="H2177" i="5"/>
  <c r="X2177" i="5" s="1"/>
  <c r="M2181" i="1"/>
  <c r="M2177" i="5" s="1"/>
  <c r="J2161" i="4"/>
  <c r="J2161" i="5"/>
  <c r="H2157" i="4"/>
  <c r="H2157" i="5"/>
  <c r="X2157" i="5" s="1"/>
  <c r="Z2157" i="5" s="1"/>
  <c r="Q2153" i="4"/>
  <c r="Q2153" i="5"/>
  <c r="Q2152" i="4"/>
  <c r="Q2152" i="5"/>
  <c r="H2150" i="4"/>
  <c r="H2150" i="5"/>
  <c r="X2150" i="5" s="1"/>
  <c r="U2144" i="4"/>
  <c r="U2144" i="5"/>
  <c r="H2132" i="5"/>
  <c r="J2136" i="1"/>
  <c r="Z2130" i="4"/>
  <c r="Z2130" i="5"/>
  <c r="P2122" i="4"/>
  <c r="P2122" i="5"/>
  <c r="U2126" i="1"/>
  <c r="P2119" i="4"/>
  <c r="P2119" i="5"/>
  <c r="U2123" i="1"/>
  <c r="Q2123" i="1"/>
  <c r="H2108" i="4"/>
  <c r="H2108" i="5"/>
  <c r="M2112" i="1"/>
  <c r="M2108" i="5" s="1"/>
  <c r="J2112" i="1"/>
  <c r="F2098" i="4"/>
  <c r="F2098" i="5"/>
  <c r="H2102" i="1"/>
  <c r="H2098" i="5" s="1"/>
  <c r="J2096" i="4"/>
  <c r="J2096" i="5"/>
  <c r="Q2093" i="4"/>
  <c r="Q2093" i="5"/>
  <c r="Q2092" i="4"/>
  <c r="Q2092" i="5"/>
  <c r="K2086" i="4"/>
  <c r="K2086" i="5"/>
  <c r="K2112" i="5" s="1"/>
  <c r="P2074" i="4"/>
  <c r="P2074" i="5"/>
  <c r="P2072" i="4"/>
  <c r="P2072" i="5"/>
  <c r="P2070" i="4"/>
  <c r="P2070" i="5"/>
  <c r="P2068" i="4"/>
  <c r="P2068" i="5"/>
  <c r="P2066" i="4"/>
  <c r="P2066" i="5"/>
  <c r="P2064" i="4"/>
  <c r="P2064" i="5"/>
  <c r="H2035" i="4"/>
  <c r="H2035" i="5"/>
  <c r="X2035" i="5" s="1"/>
  <c r="U2021" i="4"/>
  <c r="U2021" i="5"/>
  <c r="M2019" i="4"/>
  <c r="M2019" i="5"/>
  <c r="P1983" i="4"/>
  <c r="P1983" i="5"/>
  <c r="P1981" i="4"/>
  <c r="P1981" i="5"/>
  <c r="P1965" i="4"/>
  <c r="P1965" i="5"/>
  <c r="U1969" i="1"/>
  <c r="Q1969" i="1"/>
  <c r="J1964" i="4"/>
  <c r="J1964" i="5"/>
  <c r="P1962" i="4"/>
  <c r="P1962" i="5"/>
  <c r="P1935" i="5"/>
  <c r="Q1939" i="1"/>
  <c r="U1931" i="4"/>
  <c r="U1931" i="5"/>
  <c r="Q1909" i="1"/>
  <c r="P1905" i="5"/>
  <c r="H1898" i="1"/>
  <c r="H1894" i="5" s="1"/>
  <c r="F1894" i="5"/>
  <c r="Q1889" i="1"/>
  <c r="Q1885" i="5" s="1"/>
  <c r="E1885" i="5"/>
  <c r="M1886" i="1"/>
  <c r="M1882" i="5" s="1"/>
  <c r="H1882" i="5"/>
  <c r="X1882" i="5" s="1"/>
  <c r="Z1882" i="5" s="1"/>
  <c r="X1873" i="1"/>
  <c r="P1869" i="5"/>
  <c r="U1873" i="1"/>
  <c r="U1869" i="5" s="1"/>
  <c r="Q1861" i="1"/>
  <c r="Q1857" i="5" s="1"/>
  <c r="E1857" i="5"/>
  <c r="H1714" i="5"/>
  <c r="X1714" i="5" s="1"/>
  <c r="M1717" i="1"/>
  <c r="M1714" i="5" s="1"/>
  <c r="U1715" i="1"/>
  <c r="U1712" i="5" s="1"/>
  <c r="P1712" i="5"/>
  <c r="I2781" i="5"/>
  <c r="I2781" i="4"/>
  <c r="M1700" i="5"/>
  <c r="M1697" i="1"/>
  <c r="M1694" i="5" s="1"/>
  <c r="H1694" i="5"/>
  <c r="X1694" i="5" s="1"/>
  <c r="M1656" i="4"/>
  <c r="M1656" i="5"/>
  <c r="V1652" i="1"/>
  <c r="P1649" i="5"/>
  <c r="U1652" i="1"/>
  <c r="U1649" i="5" s="1"/>
  <c r="M1650" i="1"/>
  <c r="M1647" i="5" s="1"/>
  <c r="H1647" i="5"/>
  <c r="X1647" i="5" s="1"/>
  <c r="M1648" i="1"/>
  <c r="M1645" i="5" s="1"/>
  <c r="H1645" i="5"/>
  <c r="X1645" i="5" s="1"/>
  <c r="V1635" i="1"/>
  <c r="H1632" i="5"/>
  <c r="H1623" i="5"/>
  <c r="X1623" i="5" s="1"/>
  <c r="M1626" i="1"/>
  <c r="M1623" i="5" s="1"/>
  <c r="V1600" i="1"/>
  <c r="V1597" i="5" s="1"/>
  <c r="H1597" i="5"/>
  <c r="X1597" i="5" s="1"/>
  <c r="J2777" i="5"/>
  <c r="J2777" i="4"/>
  <c r="P1573" i="5"/>
  <c r="U1576" i="1"/>
  <c r="U1573" i="5" s="1"/>
  <c r="I2844" i="5"/>
  <c r="I2845" i="4"/>
  <c r="U1513" i="1"/>
  <c r="U1512" i="5" s="1"/>
  <c r="P1512" i="5"/>
  <c r="Q1513" i="1"/>
  <c r="Q1512" i="5" s="1"/>
  <c r="P1506" i="5"/>
  <c r="U1507" i="1"/>
  <c r="U1506" i="5" s="1"/>
  <c r="X1507" i="1"/>
  <c r="X1429" i="2" s="1"/>
  <c r="Q1507" i="1"/>
  <c r="Q1506" i="5" s="1"/>
  <c r="U1491" i="4"/>
  <c r="U1491" i="5"/>
  <c r="H1462" i="1"/>
  <c r="F1461" i="5"/>
  <c r="M1448" i="1"/>
  <c r="M1447" i="5" s="1"/>
  <c r="H1447" i="5"/>
  <c r="X1447" i="5" s="1"/>
  <c r="X1448" i="1"/>
  <c r="X1376" i="2" s="1"/>
  <c r="P1425" i="5"/>
  <c r="U1426" i="1"/>
  <c r="U1425" i="5" s="1"/>
  <c r="V1425" i="1"/>
  <c r="V1424" i="5" s="1"/>
  <c r="P1424" i="5"/>
  <c r="H1418" i="5"/>
  <c r="M1419" i="1"/>
  <c r="M1418" i="5" s="1"/>
  <c r="J1419" i="1"/>
  <c r="J1418" i="5" s="1"/>
  <c r="X1394" i="1"/>
  <c r="K1402" i="5"/>
  <c r="Q1373" i="1"/>
  <c r="Q1372" i="5" s="1"/>
  <c r="P1372" i="5"/>
  <c r="H1364" i="4"/>
  <c r="H1364" i="5"/>
  <c r="X1364" i="5" s="1"/>
  <c r="Z1364" i="5" s="1"/>
  <c r="J1343" i="1"/>
  <c r="J1342" i="5" s="1"/>
  <c r="H1342" i="5"/>
  <c r="X1342" i="5" s="1"/>
  <c r="M1343" i="1"/>
  <c r="M1342" i="5" s="1"/>
  <c r="M1337" i="1"/>
  <c r="M1336" i="5" s="1"/>
  <c r="H1336" i="5"/>
  <c r="H1320" i="1"/>
  <c r="H1319" i="5" s="1"/>
  <c r="X1319" i="5" s="1"/>
  <c r="F1319" i="5"/>
  <c r="F1339" i="5" s="1"/>
  <c r="F1340" i="1"/>
  <c r="U1315" i="1"/>
  <c r="U1314" i="5" s="1"/>
  <c r="P1314" i="5"/>
  <c r="X1306" i="1"/>
  <c r="X1242" i="2" s="1"/>
  <c r="H1305" i="5"/>
  <c r="X1305" i="5" s="1"/>
  <c r="U1304" i="1"/>
  <c r="U1303" i="5" s="1"/>
  <c r="P1303" i="5"/>
  <c r="X1304" i="1"/>
  <c r="X1240" i="2" s="1"/>
  <c r="V1304" i="1"/>
  <c r="V1303" i="5" s="1"/>
  <c r="U1276" i="4"/>
  <c r="U1276" i="5"/>
  <c r="P1273" i="4"/>
  <c r="P1273" i="5"/>
  <c r="U1267" i="1"/>
  <c r="U1266" i="5" s="1"/>
  <c r="P1266" i="5"/>
  <c r="P1240" i="4"/>
  <c r="P1240" i="5"/>
  <c r="V1239" i="4"/>
  <c r="V1239" i="5"/>
  <c r="M1135" i="1"/>
  <c r="H1134" i="5"/>
  <c r="X1134" i="5" s="1"/>
  <c r="M1116" i="1"/>
  <c r="M1115" i="5" s="1"/>
  <c r="H1115" i="5"/>
  <c r="X1115" i="5" s="1"/>
  <c r="Z1115" i="5" s="1"/>
  <c r="V1116" i="1"/>
  <c r="V1101" i="1"/>
  <c r="V1100" i="5" s="1"/>
  <c r="H1100" i="5"/>
  <c r="X1100" i="5" s="1"/>
  <c r="Z1100" i="5" s="1"/>
  <c r="M1080" i="1"/>
  <c r="M1079" i="5" s="1"/>
  <c r="H1079" i="5"/>
  <c r="X1079" i="5" s="1"/>
  <c r="Z1079" i="5" s="1"/>
  <c r="V1058" i="1"/>
  <c r="P1057" i="5"/>
  <c r="V1039" i="1"/>
  <c r="P1022" i="5"/>
  <c r="U1023" i="1"/>
  <c r="U1022" i="5" s="1"/>
  <c r="M1022" i="1"/>
  <c r="M1021" i="5" s="1"/>
  <c r="H1021" i="5"/>
  <c r="X1021" i="5" s="1"/>
  <c r="Z1021" i="5" s="1"/>
  <c r="P1010" i="4"/>
  <c r="P1010" i="5"/>
  <c r="U1011" i="1"/>
  <c r="U1009" i="4"/>
  <c r="U1009" i="5"/>
  <c r="M994" i="5"/>
  <c r="H972" i="5"/>
  <c r="M973" i="1"/>
  <c r="M972" i="5" s="1"/>
  <c r="X971" i="1"/>
  <c r="X970" i="5" s="1"/>
  <c r="H970" i="5"/>
  <c r="P945" i="5"/>
  <c r="X945" i="1"/>
  <c r="M937" i="1"/>
  <c r="M937" i="5" s="1"/>
  <c r="H937" i="5"/>
  <c r="X937" i="5" s="1"/>
  <c r="X937" i="1"/>
  <c r="J937" i="1"/>
  <c r="J937" i="5" s="1"/>
  <c r="H920" i="1"/>
  <c r="F920" i="5"/>
  <c r="W918" i="1"/>
  <c r="W918" i="5" s="1"/>
  <c r="V918" i="5"/>
  <c r="H882" i="1"/>
  <c r="H882" i="5" s="1"/>
  <c r="F882" i="5"/>
  <c r="Q878" i="1"/>
  <c r="Q878" i="5" s="1"/>
  <c r="P878" i="5"/>
  <c r="U869" i="4"/>
  <c r="U869" i="5"/>
  <c r="M834" i="1"/>
  <c r="M834" i="5" s="1"/>
  <c r="H834" i="5"/>
  <c r="X834" i="5" s="1"/>
  <c r="J834" i="1"/>
  <c r="J834" i="5" s="1"/>
  <c r="J787" i="1"/>
  <c r="J787" i="5" s="1"/>
  <c r="H787" i="5"/>
  <c r="X787" i="5" s="1"/>
  <c r="M787" i="1"/>
  <c r="M787" i="5" s="1"/>
  <c r="P777" i="5"/>
  <c r="V777" i="1"/>
  <c r="V777" i="5" s="1"/>
  <c r="Q777" i="1"/>
  <c r="X772" i="1"/>
  <c r="H771" i="5"/>
  <c r="X771" i="5" s="1"/>
  <c r="Z771" i="5" s="1"/>
  <c r="M771" i="1"/>
  <c r="M771" i="5" s="1"/>
  <c r="J771" i="1"/>
  <c r="J771" i="5" s="1"/>
  <c r="U764" i="1"/>
  <c r="U764" i="5" s="1"/>
  <c r="P764" i="5"/>
  <c r="H751" i="5"/>
  <c r="M751" i="1"/>
  <c r="M751" i="5" s="1"/>
  <c r="J751" i="1"/>
  <c r="J751" i="5" s="1"/>
  <c r="P738" i="5"/>
  <c r="V738" i="1"/>
  <c r="U738" i="1"/>
  <c r="U738" i="5" s="1"/>
  <c r="X737" i="1"/>
  <c r="Z737" i="1" s="1"/>
  <c r="H737" i="5"/>
  <c r="X726" i="1"/>
  <c r="H726" i="5"/>
  <c r="X726" i="5" s="1"/>
  <c r="Z726" i="5" s="1"/>
  <c r="M726" i="1"/>
  <c r="V726" i="1"/>
  <c r="V726" i="5" s="1"/>
  <c r="P720" i="5"/>
  <c r="U720" i="1"/>
  <c r="U720" i="5" s="1"/>
  <c r="X720" i="1"/>
  <c r="Q720" i="1"/>
  <c r="Q720" i="5" s="1"/>
  <c r="J709" i="1"/>
  <c r="J709" i="5" s="1"/>
  <c r="H709" i="5"/>
  <c r="X709" i="5" s="1"/>
  <c r="M709" i="1"/>
  <c r="M709" i="5" s="1"/>
  <c r="F694" i="5"/>
  <c r="F714" i="5" s="1"/>
  <c r="H694" i="1"/>
  <c r="H694" i="5" s="1"/>
  <c r="F714" i="1"/>
  <c r="M679" i="1"/>
  <c r="M679" i="5" s="1"/>
  <c r="H679" i="5"/>
  <c r="X679" i="5" s="1"/>
  <c r="X679" i="1"/>
  <c r="X651" i="2" s="1"/>
  <c r="P671" i="5"/>
  <c r="V671" i="1"/>
  <c r="V671" i="5" s="1"/>
  <c r="U671" i="1"/>
  <c r="U671" i="5" s="1"/>
  <c r="J655" i="1"/>
  <c r="J655" i="5" s="1"/>
  <c r="H655" i="5"/>
  <c r="X655" i="5" s="1"/>
  <c r="V655" i="1"/>
  <c r="V655" i="5" s="1"/>
  <c r="P652" i="5"/>
  <c r="V652" i="1"/>
  <c r="U652" i="1"/>
  <c r="U652" i="5" s="1"/>
  <c r="P618" i="5"/>
  <c r="U617" i="1"/>
  <c r="U618" i="5" s="1"/>
  <c r="P603" i="5"/>
  <c r="U602" i="1"/>
  <c r="U603" i="5" s="1"/>
  <c r="U585" i="4"/>
  <c r="U585" i="5"/>
  <c r="H578" i="5"/>
  <c r="X578" i="5" s="1"/>
  <c r="Z578" i="5" s="1"/>
  <c r="M577" i="1"/>
  <c r="M578" i="5" s="1"/>
  <c r="P548" i="5"/>
  <c r="V549" i="1"/>
  <c r="U549" i="1"/>
  <c r="U548" i="5" s="1"/>
  <c r="H539" i="5"/>
  <c r="X539" i="5" s="1"/>
  <c r="Z539" i="5" s="1"/>
  <c r="M540" i="1"/>
  <c r="M539" i="5" s="1"/>
  <c r="H514" i="5"/>
  <c r="X514" i="5" s="1"/>
  <c r="Z514" i="5" s="1"/>
  <c r="M515" i="1"/>
  <c r="M514" i="5" s="1"/>
  <c r="M513" i="1"/>
  <c r="M512" i="5" s="1"/>
  <c r="H512" i="5"/>
  <c r="X512" i="5" s="1"/>
  <c r="Z512" i="5" s="1"/>
  <c r="M498" i="1"/>
  <c r="M497" i="5" s="1"/>
  <c r="H497" i="5"/>
  <c r="X497" i="5" s="1"/>
  <c r="Z497" i="5" s="1"/>
  <c r="H495" i="5"/>
  <c r="X496" i="1"/>
  <c r="M496" i="1"/>
  <c r="M495" i="5" s="1"/>
  <c r="H480" i="5"/>
  <c r="X480" i="5" s="1"/>
  <c r="Z480" i="5" s="1"/>
  <c r="V481" i="1"/>
  <c r="V480" i="5" s="1"/>
  <c r="V463" i="1"/>
  <c r="V462" i="5" s="1"/>
  <c r="H462" i="5"/>
  <c r="H443" i="5"/>
  <c r="M444" i="1"/>
  <c r="M443" i="5" s="1"/>
  <c r="X442" i="1"/>
  <c r="H441" i="5"/>
  <c r="M442" i="1"/>
  <c r="M441" i="5" s="1"/>
  <c r="P434" i="5"/>
  <c r="U435" i="1"/>
  <c r="U434" i="5" s="1"/>
  <c r="X416" i="1"/>
  <c r="P415" i="5"/>
  <c r="H372" i="5"/>
  <c r="X372" i="5" s="1"/>
  <c r="Z372" i="5" s="1"/>
  <c r="X373" i="1"/>
  <c r="Z373" i="1" s="1"/>
  <c r="O422" i="1"/>
  <c r="O2902" i="1" s="1"/>
  <c r="X338" i="1"/>
  <c r="X324" i="2" s="1"/>
  <c r="P337" i="5"/>
  <c r="U338" i="1"/>
  <c r="U337" i="5" s="1"/>
  <c r="E310" i="4"/>
  <c r="E310" i="5"/>
  <c r="M307" i="4"/>
  <c r="M307" i="5"/>
  <c r="F304" i="5"/>
  <c r="H305" i="1"/>
  <c r="H280" i="2"/>
  <c r="H292" i="5"/>
  <c r="X292" i="5" s="1"/>
  <c r="Z292" i="5" s="1"/>
  <c r="J293" i="1"/>
  <c r="J292" i="5" s="1"/>
  <c r="P287" i="5"/>
  <c r="U288" i="1"/>
  <c r="U287" i="5" s="1"/>
  <c r="P278" i="5"/>
  <c r="U279" i="1"/>
  <c r="U278" i="5" s="1"/>
  <c r="M269" i="1"/>
  <c r="M268" i="5" s="1"/>
  <c r="H268" i="5"/>
  <c r="X268" i="5" s="1"/>
  <c r="J269" i="1"/>
  <c r="J268" i="5" s="1"/>
  <c r="H265" i="5"/>
  <c r="X265" i="5" s="1"/>
  <c r="M266" i="1"/>
  <c r="M265" i="5" s="1"/>
  <c r="J266" i="1"/>
  <c r="J265" i="5" s="1"/>
  <c r="U257" i="4"/>
  <c r="U257" i="5"/>
  <c r="Q236" i="2"/>
  <c r="Q246" i="5"/>
  <c r="E243" i="5"/>
  <c r="Q244" i="1"/>
  <c r="Q243" i="5" s="1"/>
  <c r="P230" i="5"/>
  <c r="U230" i="1"/>
  <c r="U230" i="5" s="1"/>
  <c r="M229" i="4"/>
  <c r="M229" i="5"/>
  <c r="H224" i="4"/>
  <c r="H224" i="5"/>
  <c r="X224" i="5" s="1"/>
  <c r="I224" i="1"/>
  <c r="I224" i="5" s="1"/>
  <c r="U205" i="1"/>
  <c r="U205" i="5" s="1"/>
  <c r="P205" i="5"/>
  <c r="M200" i="1"/>
  <c r="H200" i="5"/>
  <c r="X200" i="1"/>
  <c r="X192" i="2" s="1"/>
  <c r="S2864" i="5"/>
  <c r="S2865" i="4"/>
  <c r="V88" i="1"/>
  <c r="P88" i="5"/>
  <c r="U88" i="1"/>
  <c r="M84" i="5"/>
  <c r="P73" i="5"/>
  <c r="X73" i="1"/>
  <c r="U73" i="1"/>
  <c r="U73" i="5" s="1"/>
  <c r="P57" i="5"/>
  <c r="U57" i="1"/>
  <c r="U57" i="5" s="1"/>
  <c r="H54" i="5"/>
  <c r="X54" i="5" s="1"/>
  <c r="Z54" i="5" s="1"/>
  <c r="M54" i="1"/>
  <c r="M54" i="5" s="1"/>
  <c r="AA52" i="5"/>
  <c r="AB52" i="1"/>
  <c r="AB52" i="5" s="1"/>
  <c r="M47" i="2"/>
  <c r="M51" i="5"/>
  <c r="E45" i="1"/>
  <c r="E43" i="5"/>
  <c r="P35" i="2"/>
  <c r="P36" i="5"/>
  <c r="U36" i="1"/>
  <c r="U36" i="5" s="1"/>
  <c r="M30" i="1"/>
  <c r="M30" i="5" s="1"/>
  <c r="H30" i="5"/>
  <c r="N14" i="5"/>
  <c r="P14" i="1"/>
  <c r="M2881" i="5"/>
  <c r="M2882" i="4"/>
  <c r="U2877" i="5"/>
  <c r="U2878" i="4"/>
  <c r="S2875" i="5"/>
  <c r="S2876" i="4"/>
  <c r="M2852" i="1"/>
  <c r="R2874" i="5"/>
  <c r="R2875" i="4"/>
  <c r="Y2872" i="5"/>
  <c r="Y2873" i="4"/>
  <c r="J2870" i="5"/>
  <c r="J2871" i="4"/>
  <c r="K2861" i="5"/>
  <c r="K2862" i="4"/>
  <c r="Y2858" i="5"/>
  <c r="Y2859" i="4"/>
  <c r="Y2853" i="5"/>
  <c r="Y2854" i="4"/>
  <c r="S2853" i="5"/>
  <c r="S2854" i="4"/>
  <c r="Y2852" i="5"/>
  <c r="Y2853" i="4"/>
  <c r="U2848" i="5"/>
  <c r="U2849" i="4"/>
  <c r="Q2843" i="5"/>
  <c r="Q2844" i="4"/>
  <c r="Y2819" i="5"/>
  <c r="Y2819" i="4"/>
  <c r="U2799" i="5"/>
  <c r="U2799" i="4"/>
  <c r="M2878" i="5"/>
  <c r="M2879" i="4"/>
  <c r="U2883" i="5"/>
  <c r="U2884" i="4"/>
  <c r="M2879" i="5"/>
  <c r="M2880" i="4"/>
  <c r="Y2877" i="5"/>
  <c r="Y2878" i="4"/>
  <c r="U2875" i="5"/>
  <c r="U2876" i="4"/>
  <c r="I2875" i="5"/>
  <c r="I2876" i="4"/>
  <c r="S2874" i="5"/>
  <c r="S2875" i="4"/>
  <c r="K2874" i="5"/>
  <c r="K2875" i="4"/>
  <c r="R2871" i="5"/>
  <c r="R2872" i="4"/>
  <c r="K2871" i="5"/>
  <c r="K2872" i="4"/>
  <c r="S2870" i="5"/>
  <c r="S2871" i="4"/>
  <c r="K2870" i="5"/>
  <c r="K2871" i="4"/>
  <c r="Y2869" i="5"/>
  <c r="Y2870" i="4"/>
  <c r="U2843" i="1"/>
  <c r="R2852" i="5"/>
  <c r="R2853" i="4"/>
  <c r="I2852" i="5"/>
  <c r="I2853" i="4"/>
  <c r="U2851" i="5"/>
  <c r="U2852" i="4"/>
  <c r="S2850" i="5"/>
  <c r="S2851" i="4"/>
  <c r="M2850" i="5"/>
  <c r="M2851" i="4"/>
  <c r="Y2848" i="5"/>
  <c r="Y2849" i="4"/>
  <c r="R2843" i="5"/>
  <c r="R2844" i="4"/>
  <c r="J2843" i="5"/>
  <c r="J2844" i="4"/>
  <c r="M2842" i="5"/>
  <c r="M2843" i="4"/>
  <c r="Y2820" i="5"/>
  <c r="Y2820" i="4"/>
  <c r="Y2808" i="5"/>
  <c r="Y2808" i="4"/>
  <c r="F2808" i="5"/>
  <c r="F2808" i="4"/>
  <c r="V2807" i="5"/>
  <c r="V2807" i="4"/>
  <c r="U2806" i="5"/>
  <c r="U2806" i="4"/>
  <c r="M2803" i="5"/>
  <c r="M2803" i="4"/>
  <c r="W2801" i="5"/>
  <c r="W2801" i="4"/>
  <c r="Q2801" i="5"/>
  <c r="Q2801" i="4"/>
  <c r="I2801" i="5"/>
  <c r="I2801" i="4"/>
  <c r="W2800" i="5"/>
  <c r="W2800" i="4"/>
  <c r="R2784" i="5"/>
  <c r="R2784" i="4"/>
  <c r="M2784" i="5"/>
  <c r="M2784" i="4"/>
  <c r="V2783" i="5"/>
  <c r="V2783" i="4"/>
  <c r="Q2783" i="5"/>
  <c r="Q2783" i="4"/>
  <c r="J2783" i="5"/>
  <c r="J2783" i="4"/>
  <c r="W2782" i="5"/>
  <c r="W2782" i="4"/>
  <c r="Q2782" i="5"/>
  <c r="Q2782" i="4"/>
  <c r="J2782" i="5"/>
  <c r="J2782" i="4"/>
  <c r="K2781" i="5"/>
  <c r="K2781" i="4"/>
  <c r="U2780" i="5"/>
  <c r="U2780" i="4"/>
  <c r="Y2778" i="5"/>
  <c r="Y2778" i="4"/>
  <c r="M2778" i="5"/>
  <c r="M2778" i="4"/>
  <c r="K2777" i="5"/>
  <c r="K2777" i="4"/>
  <c r="U2776" i="5"/>
  <c r="U2776" i="4"/>
  <c r="S2775" i="5"/>
  <c r="S2775" i="4"/>
  <c r="M2775" i="5"/>
  <c r="M2775" i="4"/>
  <c r="S2774" i="5"/>
  <c r="S2774" i="4"/>
  <c r="M2774" i="5"/>
  <c r="M2774" i="4"/>
  <c r="R2772" i="5"/>
  <c r="R2772" i="4"/>
  <c r="J2772" i="5"/>
  <c r="J2772" i="4"/>
  <c r="X2780" i="1"/>
  <c r="Z2780" i="1" s="1"/>
  <c r="S2771" i="5"/>
  <c r="S2885" i="5" s="1"/>
  <c r="S2771" i="4"/>
  <c r="S2886" i="4" s="1"/>
  <c r="K2771" i="5"/>
  <c r="K2885" i="5" s="1"/>
  <c r="K2771" i="4"/>
  <c r="H2747" i="5"/>
  <c r="X2747" i="5" s="1"/>
  <c r="M2755" i="1"/>
  <c r="M2753" i="1"/>
  <c r="M2752" i="1"/>
  <c r="M2744" i="5" s="1"/>
  <c r="H2743" i="4"/>
  <c r="H2743" i="5"/>
  <c r="P2741" i="4"/>
  <c r="P2741" i="5"/>
  <c r="P2738" i="4"/>
  <c r="P2738" i="5"/>
  <c r="X2738" i="5" s="1"/>
  <c r="V2744" i="1"/>
  <c r="H2735" i="4"/>
  <c r="H2735" i="5"/>
  <c r="X2735" i="5" s="1"/>
  <c r="H2733" i="4"/>
  <c r="H2733" i="5"/>
  <c r="X2733" i="5" s="1"/>
  <c r="F2724" i="4"/>
  <c r="F2724" i="5"/>
  <c r="U2722" i="1"/>
  <c r="P2714" i="5"/>
  <c r="X2720" i="1"/>
  <c r="Z2720" i="1" s="1"/>
  <c r="P2711" i="4"/>
  <c r="P2711" i="5"/>
  <c r="X2711" i="5" s="1"/>
  <c r="Z2711" i="5" s="1"/>
  <c r="H2715" i="1"/>
  <c r="P2712" i="1"/>
  <c r="U2710" i="1"/>
  <c r="P2702" i="5"/>
  <c r="P2700" i="4"/>
  <c r="P2700" i="5"/>
  <c r="E2699" i="4"/>
  <c r="E2699" i="5"/>
  <c r="M2704" i="1"/>
  <c r="M2696" i="5" s="1"/>
  <c r="P2693" i="4"/>
  <c r="P2693" i="5"/>
  <c r="P2679" i="5"/>
  <c r="U2687" i="1"/>
  <c r="U2682" i="1"/>
  <c r="P2674" i="5"/>
  <c r="M2681" i="1"/>
  <c r="M2673" i="5" s="1"/>
  <c r="X2663" i="1"/>
  <c r="Z2663" i="1" s="1"/>
  <c r="X2654" i="5"/>
  <c r="M2660" i="1"/>
  <c r="M2652" i="5" s="1"/>
  <c r="H2652" i="5"/>
  <c r="X2652" i="5" s="1"/>
  <c r="X2651" i="5"/>
  <c r="X2650" i="5"/>
  <c r="U2630" i="1"/>
  <c r="M2629" i="1"/>
  <c r="M2621" i="5" s="1"/>
  <c r="M2624" i="1"/>
  <c r="M2616" i="5" s="1"/>
  <c r="P2610" i="4"/>
  <c r="P2612" i="4" s="1"/>
  <c r="P2610" i="5"/>
  <c r="P2612" i="5" s="1"/>
  <c r="F2606" i="4"/>
  <c r="F2606" i="5"/>
  <c r="P2603" i="4"/>
  <c r="P2603" i="5"/>
  <c r="H2599" i="4"/>
  <c r="H2599" i="5"/>
  <c r="U2605" i="1"/>
  <c r="P2597" i="5"/>
  <c r="F2595" i="4"/>
  <c r="F2595" i="5"/>
  <c r="U2601" i="1"/>
  <c r="M2600" i="1"/>
  <c r="H2592" i="5"/>
  <c r="P2590" i="4"/>
  <c r="P2590" i="5"/>
  <c r="P2587" i="4"/>
  <c r="P2587" i="5"/>
  <c r="P2583" i="4"/>
  <c r="P2583" i="5"/>
  <c r="P2578" i="4"/>
  <c r="P2578" i="5"/>
  <c r="H2577" i="4"/>
  <c r="H2577" i="5"/>
  <c r="H2573" i="4"/>
  <c r="H2573" i="5"/>
  <c r="P2551" i="5"/>
  <c r="U2559" i="1"/>
  <c r="X2557" i="1"/>
  <c r="Z2557" i="1" s="1"/>
  <c r="P2530" i="4"/>
  <c r="P2530" i="5"/>
  <c r="X2530" i="5" s="1"/>
  <c r="Z2530" i="5" s="1"/>
  <c r="U2538" i="1"/>
  <c r="F2527" i="4"/>
  <c r="F2527" i="5"/>
  <c r="F2535" i="5" s="1"/>
  <c r="X2524" i="5"/>
  <c r="Z2524" i="5" s="1"/>
  <c r="U2522" i="4"/>
  <c r="U2522" i="5"/>
  <c r="F2515" i="5"/>
  <c r="P2484" i="4"/>
  <c r="P2484" i="5"/>
  <c r="P2482" i="4"/>
  <c r="P2482" i="5"/>
  <c r="H2481" i="4"/>
  <c r="H2481" i="5"/>
  <c r="X2481" i="5" s="1"/>
  <c r="H2479" i="4"/>
  <c r="H2479" i="5"/>
  <c r="V2481" i="1"/>
  <c r="V2473" i="5" s="1"/>
  <c r="H2473" i="5"/>
  <c r="X2473" i="5" s="1"/>
  <c r="V2469" i="1"/>
  <c r="V2461" i="5" s="1"/>
  <c r="H2460" i="4"/>
  <c r="H2460" i="5"/>
  <c r="J2444" i="1"/>
  <c r="U2436" i="4"/>
  <c r="U2436" i="5"/>
  <c r="M2432" i="4"/>
  <c r="M2432" i="5"/>
  <c r="J2427" i="1"/>
  <c r="X2425" i="1"/>
  <c r="Z2425" i="1" s="1"/>
  <c r="J2415" i="4"/>
  <c r="J2415" i="5"/>
  <c r="P2413" i="4"/>
  <c r="P2413" i="5"/>
  <c r="P2408" i="4"/>
  <c r="P2408" i="5"/>
  <c r="P2405" i="4"/>
  <c r="P2405" i="5"/>
  <c r="E2404" i="4"/>
  <c r="E2404" i="5"/>
  <c r="P2402" i="4"/>
  <c r="P2402" i="5"/>
  <c r="P2397" i="5"/>
  <c r="X2403" i="1"/>
  <c r="Z2403" i="1" s="1"/>
  <c r="X2396" i="5"/>
  <c r="Z2396" i="5" s="1"/>
  <c r="P2394" i="4"/>
  <c r="P2394" i="5"/>
  <c r="F2392" i="4"/>
  <c r="F2392" i="5"/>
  <c r="U2395" i="1"/>
  <c r="U2388" i="4"/>
  <c r="U2388" i="5"/>
  <c r="H2387" i="4"/>
  <c r="H2387" i="5"/>
  <c r="X2387" i="5" s="1"/>
  <c r="Z2387" i="5" s="1"/>
  <c r="H2375" i="4"/>
  <c r="H2375" i="5"/>
  <c r="X2375" i="5" s="1"/>
  <c r="E2369" i="4"/>
  <c r="E2369" i="5"/>
  <c r="H2364" i="4"/>
  <c r="H2364" i="5"/>
  <c r="X2364" i="5" s="1"/>
  <c r="X2370" i="1"/>
  <c r="M2365" i="1"/>
  <c r="H2359" i="5"/>
  <c r="M2363" i="1"/>
  <c r="H2359" i="1"/>
  <c r="X2352" i="5"/>
  <c r="X2356" i="1"/>
  <c r="Z2356" i="1" s="1"/>
  <c r="H2347" i="4"/>
  <c r="H2347" i="5"/>
  <c r="X2347" i="5" s="1"/>
  <c r="Z2347" i="5" s="1"/>
  <c r="M2353" i="1"/>
  <c r="M2347" i="5" s="1"/>
  <c r="J2353" i="1"/>
  <c r="F2345" i="4"/>
  <c r="F2345" i="5"/>
  <c r="P2327" i="4"/>
  <c r="P2327" i="5"/>
  <c r="X2327" i="5" s="1"/>
  <c r="Z2327" i="5" s="1"/>
  <c r="U2333" i="1"/>
  <c r="U2325" i="4"/>
  <c r="U2325" i="5"/>
  <c r="E2325" i="4"/>
  <c r="E2325" i="5"/>
  <c r="P2322" i="4"/>
  <c r="P2322" i="5"/>
  <c r="U2328" i="1"/>
  <c r="X2321" i="5"/>
  <c r="P2306" i="4"/>
  <c r="P2306" i="5"/>
  <c r="E2304" i="4"/>
  <c r="E2304" i="5"/>
  <c r="P2302" i="4"/>
  <c r="P2302" i="5"/>
  <c r="U2293" i="1"/>
  <c r="F2286" i="4"/>
  <c r="F2286" i="5"/>
  <c r="H2280" i="5"/>
  <c r="J2284" i="1"/>
  <c r="X2277" i="5"/>
  <c r="P2274" i="4"/>
  <c r="P2274" i="5"/>
  <c r="P2273" i="4"/>
  <c r="P2273" i="5"/>
  <c r="F2268" i="4"/>
  <c r="F2268" i="5"/>
  <c r="J2267" i="4"/>
  <c r="J2267" i="5"/>
  <c r="P2252" i="4"/>
  <c r="P2252" i="5"/>
  <c r="X2252" i="5" s="1"/>
  <c r="Z2252" i="5" s="1"/>
  <c r="U2256" i="1"/>
  <c r="Q2255" i="1"/>
  <c r="E2251" i="5"/>
  <c r="Z2251" i="5" s="1"/>
  <c r="X2249" i="5"/>
  <c r="Z2249" i="5" s="1"/>
  <c r="P2247" i="4"/>
  <c r="P2247" i="5"/>
  <c r="Z2246" i="5"/>
  <c r="P2239" i="4"/>
  <c r="P2239" i="5"/>
  <c r="U2243" i="1"/>
  <c r="M2222" i="4"/>
  <c r="M2222" i="5"/>
  <c r="P2208" i="4"/>
  <c r="P2208" i="5"/>
  <c r="U2212" i="1"/>
  <c r="U2205" i="4"/>
  <c r="U2205" i="5"/>
  <c r="P2198" i="4"/>
  <c r="P2198" i="5"/>
  <c r="U2202" i="1"/>
  <c r="V2298" i="1"/>
  <c r="V2918" i="1" s="1"/>
  <c r="U2192" i="4"/>
  <c r="U2192" i="5"/>
  <c r="H2190" i="4"/>
  <c r="H2190" i="5"/>
  <c r="X2190" i="5" s="1"/>
  <c r="Z2190" i="5" s="1"/>
  <c r="P2178" i="4"/>
  <c r="P2178" i="5"/>
  <c r="Q2182" i="1"/>
  <c r="X2168" i="1"/>
  <c r="H2164" i="5"/>
  <c r="P2162" i="4"/>
  <c r="P2162" i="5"/>
  <c r="U2153" i="4"/>
  <c r="U2153" i="5"/>
  <c r="P2146" i="4"/>
  <c r="P2146" i="5"/>
  <c r="U2150" i="1"/>
  <c r="U2132" i="4"/>
  <c r="U2132" i="5"/>
  <c r="F2127" i="4"/>
  <c r="F2127" i="5"/>
  <c r="H2131" i="1"/>
  <c r="H2127" i="5" s="1"/>
  <c r="U2098" i="4"/>
  <c r="U2098" i="5"/>
  <c r="P2054" i="4"/>
  <c r="P2054" i="5"/>
  <c r="E2053" i="4"/>
  <c r="E2053" i="5"/>
  <c r="E2052" i="4"/>
  <c r="E2052" i="5"/>
  <c r="X2054" i="1"/>
  <c r="Z2054" i="1" s="1"/>
  <c r="H2042" i="4"/>
  <c r="H2042" i="5"/>
  <c r="X2042" i="5" s="1"/>
  <c r="Z2042" i="5" s="1"/>
  <c r="X2046" i="1"/>
  <c r="Z2046" i="1" s="1"/>
  <c r="T2085" i="1"/>
  <c r="T2916" i="1" s="1"/>
  <c r="H1995" i="4"/>
  <c r="H1995" i="5"/>
  <c r="X1995" i="5" s="1"/>
  <c r="M1999" i="1"/>
  <c r="M1995" i="5" s="1"/>
  <c r="H1993" i="4"/>
  <c r="H1993" i="5"/>
  <c r="X1993" i="5" s="1"/>
  <c r="Q1940" i="1"/>
  <c r="P1936" i="5"/>
  <c r="P1914" i="4"/>
  <c r="P1914" i="5"/>
  <c r="Q1918" i="1"/>
  <c r="U1913" i="4"/>
  <c r="U1913" i="5"/>
  <c r="F1908" i="4"/>
  <c r="F1908" i="5"/>
  <c r="P1897" i="5"/>
  <c r="U1901" i="1"/>
  <c r="U1897" i="5" s="1"/>
  <c r="H1899" i="1"/>
  <c r="F1895" i="5"/>
  <c r="H1886" i="4"/>
  <c r="H1886" i="5"/>
  <c r="X1886" i="5" s="1"/>
  <c r="Z1886" i="5" s="1"/>
  <c r="M1890" i="1"/>
  <c r="P1861" i="4"/>
  <c r="P1861" i="5"/>
  <c r="U1865" i="1"/>
  <c r="M1856" i="1"/>
  <c r="M1852" i="5" s="1"/>
  <c r="H1852" i="5"/>
  <c r="X1852" i="5" s="1"/>
  <c r="Z1852" i="5" s="1"/>
  <c r="J1856" i="1"/>
  <c r="J1852" i="5" s="1"/>
  <c r="U1845" i="1"/>
  <c r="U1841" i="5" s="1"/>
  <c r="P1841" i="5"/>
  <c r="Q1845" i="1"/>
  <c r="Q1841" i="5" s="1"/>
  <c r="U1844" i="1"/>
  <c r="U1840" i="5" s="1"/>
  <c r="P1840" i="5"/>
  <c r="H1837" i="4"/>
  <c r="H1837" i="5"/>
  <c r="X1837" i="5" s="1"/>
  <c r="Z1837" i="5" s="1"/>
  <c r="U1814" i="1"/>
  <c r="U1810" i="5" s="1"/>
  <c r="P1810" i="5"/>
  <c r="Q1814" i="1"/>
  <c r="Q1810" i="5" s="1"/>
  <c r="X1793" i="1"/>
  <c r="P1789" i="5"/>
  <c r="U1793" i="1"/>
  <c r="U1789" i="5" s="1"/>
  <c r="M1754" i="1"/>
  <c r="M1750" i="5" s="1"/>
  <c r="H1750" i="5"/>
  <c r="J1754" i="1"/>
  <c r="J1750" i="5" s="1"/>
  <c r="M1730" i="5"/>
  <c r="U1731" i="1"/>
  <c r="U1728" i="5" s="1"/>
  <c r="P1728" i="5"/>
  <c r="V1717" i="1"/>
  <c r="U1706" i="1"/>
  <c r="U1703" i="5" s="1"/>
  <c r="P1703" i="5"/>
  <c r="V1688" i="1"/>
  <c r="V1685" i="5" s="1"/>
  <c r="H1685" i="5"/>
  <c r="X1685" i="5" s="1"/>
  <c r="H1674" i="4"/>
  <c r="H1674" i="5"/>
  <c r="X1674" i="5" s="1"/>
  <c r="X1677" i="1"/>
  <c r="Z1677" i="1" s="1"/>
  <c r="M1677" i="1"/>
  <c r="M1674" i="5" s="1"/>
  <c r="U1675" i="1"/>
  <c r="U1672" i="5" s="1"/>
  <c r="P1672" i="5"/>
  <c r="M1671" i="4"/>
  <c r="M1671" i="5"/>
  <c r="M1666" i="1"/>
  <c r="M1663" i="5" s="1"/>
  <c r="H1663" i="5"/>
  <c r="X1663" i="5" s="1"/>
  <c r="M1655" i="1"/>
  <c r="M1652" i="5" s="1"/>
  <c r="H1652" i="5"/>
  <c r="X1655" i="1"/>
  <c r="X1569" i="2" s="1"/>
  <c r="V1626" i="1"/>
  <c r="H1613" i="5"/>
  <c r="M1616" i="1"/>
  <c r="M1613" i="5" s="1"/>
  <c r="H1600" i="5"/>
  <c r="M1603" i="1"/>
  <c r="M1600" i="5" s="1"/>
  <c r="P1574" i="5"/>
  <c r="X1577" i="1"/>
  <c r="X1574" i="5" s="1"/>
  <c r="Z1554" i="1"/>
  <c r="Z1551" i="5" s="1"/>
  <c r="X1551" i="5"/>
  <c r="Q1522" i="1"/>
  <c r="Q1521" i="5" s="1"/>
  <c r="P1521" i="5"/>
  <c r="U1522" i="1"/>
  <c r="U1521" i="5" s="1"/>
  <c r="V1496" i="1"/>
  <c r="V1495" i="5" s="1"/>
  <c r="P1495" i="5"/>
  <c r="U1496" i="1"/>
  <c r="V1492" i="1"/>
  <c r="V1491" i="5" s="1"/>
  <c r="F1488" i="5"/>
  <c r="H1489" i="1"/>
  <c r="Q1487" i="1"/>
  <c r="Q1486" i="5" s="1"/>
  <c r="P1486" i="5"/>
  <c r="H1459" i="4"/>
  <c r="H1459" i="5"/>
  <c r="X1460" i="1"/>
  <c r="Z1460" i="1" s="1"/>
  <c r="M1460" i="1"/>
  <c r="M1459" i="5" s="1"/>
  <c r="Q1442" i="1"/>
  <c r="Q1441" i="5" s="1"/>
  <c r="E1441" i="5"/>
  <c r="Z1441" i="5" s="1"/>
  <c r="Q1441" i="1"/>
  <c r="Q1440" i="5" s="1"/>
  <c r="E1440" i="5"/>
  <c r="U1430" i="1"/>
  <c r="U1429" i="5" s="1"/>
  <c r="P1429" i="5"/>
  <c r="X1430" i="1"/>
  <c r="X1358" i="2" s="1"/>
  <c r="V1430" i="1"/>
  <c r="V1429" i="5" s="1"/>
  <c r="W1396" i="1"/>
  <c r="W1395" i="5" s="1"/>
  <c r="V1395" i="5"/>
  <c r="H1393" i="1"/>
  <c r="F1392" i="5"/>
  <c r="Q1392" i="1"/>
  <c r="Q1391" i="5" s="1"/>
  <c r="E1391" i="5"/>
  <c r="P1384" i="5"/>
  <c r="U1385" i="1"/>
  <c r="U1384" i="5" s="1"/>
  <c r="Q1385" i="1"/>
  <c r="Q1384" i="5" s="1"/>
  <c r="U1383" i="1"/>
  <c r="U1382" i="5" s="1"/>
  <c r="P1382" i="5"/>
  <c r="X1383" i="1"/>
  <c r="X1313" i="2" s="1"/>
  <c r="V1383" i="1"/>
  <c r="V1382" i="5" s="1"/>
  <c r="X1382" i="1"/>
  <c r="X1312" i="2" s="1"/>
  <c r="V1348" i="1"/>
  <c r="V1347" i="5" s="1"/>
  <c r="M1344" i="1"/>
  <c r="M1343" i="5" s="1"/>
  <c r="H1343" i="5"/>
  <c r="J1344" i="1"/>
  <c r="J1343" i="5" s="1"/>
  <c r="X1344" i="1"/>
  <c r="P1326" i="5"/>
  <c r="U1327" i="1"/>
  <c r="U1326" i="5" s="1"/>
  <c r="Q1327" i="1"/>
  <c r="Q1326" i="5" s="1"/>
  <c r="H1280" i="1"/>
  <c r="F1279" i="5"/>
  <c r="V1270" i="1"/>
  <c r="V1269" i="5" s="1"/>
  <c r="P1269" i="5"/>
  <c r="H1265" i="5"/>
  <c r="M1266" i="1"/>
  <c r="M1265" i="5" s="1"/>
  <c r="J1266" i="1"/>
  <c r="J1265" i="5" s="1"/>
  <c r="M1248" i="1"/>
  <c r="M1247" i="5" s="1"/>
  <c r="H1247" i="5"/>
  <c r="X1247" i="5" s="1"/>
  <c r="J1229" i="1"/>
  <c r="J1228" i="5" s="1"/>
  <c r="H1228" i="5"/>
  <c r="V1229" i="1"/>
  <c r="V1228" i="5" s="1"/>
  <c r="M1229" i="1"/>
  <c r="M1228" i="5" s="1"/>
  <c r="P1223" i="5"/>
  <c r="U1224" i="1"/>
  <c r="U1223" i="5" s="1"/>
  <c r="Q1224" i="1"/>
  <c r="Q1223" i="5" s="1"/>
  <c r="K1218" i="5"/>
  <c r="K1244" i="5" s="1"/>
  <c r="K1245" i="1"/>
  <c r="M1218" i="1"/>
  <c r="M1217" i="5" s="1"/>
  <c r="H1217" i="5"/>
  <c r="X1217" i="5" s="1"/>
  <c r="L1190" i="1"/>
  <c r="L2908" i="1" s="1"/>
  <c r="M1181" i="1"/>
  <c r="M1180" i="5" s="1"/>
  <c r="H1180" i="5"/>
  <c r="X1180" i="5" s="1"/>
  <c r="Z1180" i="5" s="1"/>
  <c r="X1174" i="1"/>
  <c r="P1173" i="5"/>
  <c r="P1155" i="5"/>
  <c r="U1156" i="1"/>
  <c r="U1155" i="5" s="1"/>
  <c r="H1152" i="5"/>
  <c r="X1152" i="5" s="1"/>
  <c r="Z1152" i="5" s="1"/>
  <c r="M1153" i="1"/>
  <c r="M1152" i="5" s="1"/>
  <c r="H1138" i="5"/>
  <c r="X1138" i="5" s="1"/>
  <c r="Z1138" i="5" s="1"/>
  <c r="M1139" i="1"/>
  <c r="M1138" i="5" s="1"/>
  <c r="X1121" i="1"/>
  <c r="H1120" i="5"/>
  <c r="X1120" i="5" s="1"/>
  <c r="M1121" i="1"/>
  <c r="M1120" i="5" s="1"/>
  <c r="H1092" i="5"/>
  <c r="X1092" i="5" s="1"/>
  <c r="Z1092" i="5" s="1"/>
  <c r="M1093" i="1"/>
  <c r="M1092" i="5" s="1"/>
  <c r="M1083" i="1"/>
  <c r="M1082" i="5" s="1"/>
  <c r="H1082" i="5"/>
  <c r="X1082" i="5" s="1"/>
  <c r="Z1082" i="5" s="1"/>
  <c r="V1083" i="1"/>
  <c r="U1072" i="1"/>
  <c r="U1071" i="5" s="1"/>
  <c r="P1071" i="5"/>
  <c r="V1072" i="1"/>
  <c r="V1071" i="5" s="1"/>
  <c r="W1070" i="1"/>
  <c r="W1069" i="5" s="1"/>
  <c r="V1069" i="5"/>
  <c r="P1060" i="5"/>
  <c r="X1061" i="1"/>
  <c r="Z1061" i="1" s="1"/>
  <c r="U1061" i="1"/>
  <c r="P1029" i="5"/>
  <c r="U1030" i="1"/>
  <c r="U1029" i="5" s="1"/>
  <c r="U1028" i="1"/>
  <c r="U1027" i="5" s="1"/>
  <c r="P1027" i="5"/>
  <c r="M1027" i="1"/>
  <c r="M1026" i="5" s="1"/>
  <c r="H1026" i="5"/>
  <c r="U1025" i="1"/>
  <c r="U1024" i="5" s="1"/>
  <c r="P1024" i="5"/>
  <c r="H998" i="5"/>
  <c r="X998" i="5" s="1"/>
  <c r="Z998" i="5" s="1"/>
  <c r="M999" i="1"/>
  <c r="M998" i="5" s="1"/>
  <c r="AB997" i="1"/>
  <c r="AB996" i="5" s="1"/>
  <c r="AA996" i="5"/>
  <c r="H973" i="5"/>
  <c r="M974" i="1"/>
  <c r="M973" i="5" s="1"/>
  <c r="H944" i="5"/>
  <c r="M944" i="1"/>
  <c r="M944" i="5" s="1"/>
  <c r="J944" i="1"/>
  <c r="J944" i="5" s="1"/>
  <c r="J947" i="5" s="1"/>
  <c r="X944" i="1"/>
  <c r="X947" i="1" s="1"/>
  <c r="H935" i="5"/>
  <c r="X935" i="5" s="1"/>
  <c r="Z935" i="5" s="1"/>
  <c r="M935" i="1"/>
  <c r="M935" i="5" s="1"/>
  <c r="J935" i="1"/>
  <c r="J935" i="5" s="1"/>
  <c r="H933" i="5"/>
  <c r="X933" i="5" s="1"/>
  <c r="Z933" i="5" s="1"/>
  <c r="M933" i="1"/>
  <c r="M933" i="5" s="1"/>
  <c r="J933" i="1"/>
  <c r="J933" i="5" s="1"/>
  <c r="H931" i="5"/>
  <c r="X931" i="5" s="1"/>
  <c r="Z931" i="5" s="1"/>
  <c r="M931" i="1"/>
  <c r="M931" i="5" s="1"/>
  <c r="J931" i="1"/>
  <c r="J931" i="5" s="1"/>
  <c r="E925" i="5"/>
  <c r="E941" i="1"/>
  <c r="V908" i="1"/>
  <c r="V908" i="5" s="1"/>
  <c r="P908" i="5"/>
  <c r="E906" i="5"/>
  <c r="Q906" i="1"/>
  <c r="Q906" i="5" s="1"/>
  <c r="M901" i="1"/>
  <c r="M901" i="5" s="1"/>
  <c r="H901" i="5"/>
  <c r="X901" i="5" s="1"/>
  <c r="Z901" i="5" s="1"/>
  <c r="J901" i="1"/>
  <c r="J901" i="5" s="1"/>
  <c r="U859" i="2"/>
  <c r="U899" i="5"/>
  <c r="P884" i="5"/>
  <c r="U884" i="1"/>
  <c r="U884" i="5" s="1"/>
  <c r="Q884" i="1"/>
  <c r="Q884" i="5" s="1"/>
  <c r="V851" i="1"/>
  <c r="V851" i="5" s="1"/>
  <c r="P851" i="5"/>
  <c r="U847" i="1"/>
  <c r="U847" i="5" s="1"/>
  <c r="P847" i="5"/>
  <c r="Q847" i="1"/>
  <c r="Q847" i="5" s="1"/>
  <c r="M831" i="1"/>
  <c r="M831" i="5" s="1"/>
  <c r="H831" i="5"/>
  <c r="X831" i="5" s="1"/>
  <c r="Z831" i="5" s="1"/>
  <c r="J831" i="1"/>
  <c r="J831" i="5" s="1"/>
  <c r="E830" i="5"/>
  <c r="Q830" i="1"/>
  <c r="Q830" i="5" s="1"/>
  <c r="V811" i="1"/>
  <c r="V811" i="5" s="1"/>
  <c r="H807" i="5"/>
  <c r="J807" i="1"/>
  <c r="J807" i="5" s="1"/>
  <c r="P798" i="4"/>
  <c r="P798" i="5"/>
  <c r="U798" i="1"/>
  <c r="F788" i="5"/>
  <c r="H788" i="1"/>
  <c r="J775" i="1"/>
  <c r="H775" i="5"/>
  <c r="X775" i="5" s="1"/>
  <c r="Z775" i="5" s="1"/>
  <c r="P773" i="5"/>
  <c r="Q773" i="1"/>
  <c r="Q773" i="5" s="1"/>
  <c r="U768" i="1"/>
  <c r="U768" i="5" s="1"/>
  <c r="P768" i="5"/>
  <c r="J767" i="1"/>
  <c r="J767" i="5" s="1"/>
  <c r="H767" i="5"/>
  <c r="X693" i="2"/>
  <c r="Z723" i="1"/>
  <c r="Z693" i="2" s="1"/>
  <c r="V710" i="1"/>
  <c r="V710" i="5" s="1"/>
  <c r="P710" i="5"/>
  <c r="U705" i="1"/>
  <c r="U705" i="5" s="1"/>
  <c r="P705" i="5"/>
  <c r="H699" i="5"/>
  <c r="X699" i="5" s="1"/>
  <c r="J699" i="1"/>
  <c r="J699" i="5" s="1"/>
  <c r="H680" i="5"/>
  <c r="X680" i="5" s="1"/>
  <c r="Z680" i="5" s="1"/>
  <c r="X680" i="1"/>
  <c r="H676" i="5"/>
  <c r="X676" i="5" s="1"/>
  <c r="Z676" i="5" s="1"/>
  <c r="M676" i="1"/>
  <c r="M676" i="5" s="1"/>
  <c r="J676" i="1"/>
  <c r="J676" i="5" s="1"/>
  <c r="T961" i="1"/>
  <c r="T2906" i="1" s="1"/>
  <c r="V645" i="1"/>
  <c r="V645" i="5" s="1"/>
  <c r="U645" i="1"/>
  <c r="P635" i="5"/>
  <c r="V634" i="1"/>
  <c r="V635" i="5" s="1"/>
  <c r="U634" i="1"/>
  <c r="U635" i="5" s="1"/>
  <c r="E634" i="5"/>
  <c r="E637" i="1"/>
  <c r="X612" i="1"/>
  <c r="P613" i="5"/>
  <c r="P604" i="5"/>
  <c r="V603" i="1"/>
  <c r="V604" i="5" s="1"/>
  <c r="U603" i="1"/>
  <c r="U604" i="5" s="1"/>
  <c r="H601" i="5"/>
  <c r="M600" i="1"/>
  <c r="M601" i="5" s="1"/>
  <c r="P579" i="5"/>
  <c r="V578" i="1"/>
  <c r="V579" i="5" s="1"/>
  <c r="U578" i="1"/>
  <c r="U579" i="5" s="1"/>
  <c r="P541" i="5"/>
  <c r="X542" i="1"/>
  <c r="U542" i="1"/>
  <c r="U541" i="5" s="1"/>
  <c r="P515" i="5"/>
  <c r="U516" i="1"/>
  <c r="U515" i="5" s="1"/>
  <c r="U504" i="1"/>
  <c r="U503" i="5" s="1"/>
  <c r="P503" i="5"/>
  <c r="U499" i="1"/>
  <c r="U498" i="5" s="1"/>
  <c r="P498" i="5"/>
  <c r="W493" i="1"/>
  <c r="W492" i="5" s="1"/>
  <c r="V492" i="5"/>
  <c r="H476" i="5"/>
  <c r="X476" i="5" s="1"/>
  <c r="Z476" i="5" s="1"/>
  <c r="V477" i="1"/>
  <c r="V476" i="5" s="1"/>
  <c r="M452" i="1"/>
  <c r="M451" i="5" s="1"/>
  <c r="H451" i="5"/>
  <c r="X451" i="5" s="1"/>
  <c r="X452" i="1"/>
  <c r="P444" i="5"/>
  <c r="V445" i="1"/>
  <c r="U445" i="1"/>
  <c r="U444" i="5" s="1"/>
  <c r="P438" i="4"/>
  <c r="P438" i="5"/>
  <c r="H429" i="1"/>
  <c r="F428" i="5"/>
  <c r="N447" i="1"/>
  <c r="N426" i="5"/>
  <c r="N446" i="5" s="1"/>
  <c r="N640" i="5" s="1"/>
  <c r="N2923" i="5" s="1"/>
  <c r="P394" i="4"/>
  <c r="P394" i="5"/>
  <c r="H382" i="5"/>
  <c r="X382" i="5" s="1"/>
  <c r="Z382" i="5" s="1"/>
  <c r="J383" i="1"/>
  <c r="J382" i="5" s="1"/>
  <c r="H354" i="4"/>
  <c r="H354" i="5"/>
  <c r="X354" i="5" s="1"/>
  <c r="Z354" i="5" s="1"/>
  <c r="M355" i="1"/>
  <c r="M354" i="5" s="1"/>
  <c r="J355" i="1"/>
  <c r="U345" i="1"/>
  <c r="U344" i="5" s="1"/>
  <c r="P344" i="5"/>
  <c r="P339" i="5"/>
  <c r="U340" i="1"/>
  <c r="U339" i="5" s="1"/>
  <c r="P328" i="5"/>
  <c r="U329" i="1"/>
  <c r="U328" i="5" s="1"/>
  <c r="P320" i="5"/>
  <c r="U321" i="1"/>
  <c r="U320" i="5" s="1"/>
  <c r="X269" i="1"/>
  <c r="X257" i="2" s="1"/>
  <c r="P255" i="5"/>
  <c r="U256" i="1"/>
  <c r="U255" i="5" s="1"/>
  <c r="Q256" i="1"/>
  <c r="Q255" i="5" s="1"/>
  <c r="U250" i="1"/>
  <c r="U249" i="5" s="1"/>
  <c r="P249" i="5"/>
  <c r="Q250" i="1"/>
  <c r="Q249" i="5" s="1"/>
  <c r="E248" i="4"/>
  <c r="E248" i="5"/>
  <c r="H244" i="5"/>
  <c r="M245" i="1"/>
  <c r="J245" i="1"/>
  <c r="J244" i="5" s="1"/>
  <c r="P220" i="2"/>
  <c r="P231" i="5"/>
  <c r="U231" i="1"/>
  <c r="U231" i="5" s="1"/>
  <c r="P217" i="2"/>
  <c r="P226" i="5"/>
  <c r="U226" i="1"/>
  <c r="U226" i="5" s="1"/>
  <c r="H225" i="5"/>
  <c r="X225" i="5" s="1"/>
  <c r="X225" i="1"/>
  <c r="X216" i="2" s="1"/>
  <c r="H204" i="2"/>
  <c r="H213" i="5"/>
  <c r="I213" i="1"/>
  <c r="M211" i="1"/>
  <c r="H211" i="5"/>
  <c r="I211" i="1"/>
  <c r="I211" i="5" s="1"/>
  <c r="X206" i="1"/>
  <c r="H206" i="5"/>
  <c r="X206" i="5" s="1"/>
  <c r="X205" i="1"/>
  <c r="F184" i="5"/>
  <c r="H152" i="5"/>
  <c r="X152" i="5" s="1"/>
  <c r="M152" i="1"/>
  <c r="M152" i="5" s="1"/>
  <c r="E139" i="5"/>
  <c r="H117" i="5"/>
  <c r="M117" i="1"/>
  <c r="M117" i="5" s="1"/>
  <c r="H60" i="5"/>
  <c r="M60" i="1"/>
  <c r="M60" i="5" s="1"/>
  <c r="P55" i="5"/>
  <c r="U55" i="1"/>
  <c r="U55" i="5" s="1"/>
  <c r="P53" i="5"/>
  <c r="V53" i="1"/>
  <c r="U53" i="1"/>
  <c r="U53" i="5" s="1"/>
  <c r="H36" i="2"/>
  <c r="H39" i="5"/>
  <c r="M39" i="1"/>
  <c r="M39" i="5" s="1"/>
  <c r="P31" i="5"/>
  <c r="U31" i="1"/>
  <c r="U31" i="5" s="1"/>
  <c r="J2039" i="2"/>
  <c r="M2039" i="2"/>
  <c r="H2562" i="4"/>
  <c r="H2562" i="5"/>
  <c r="H2558" i="4"/>
  <c r="H2558" i="5"/>
  <c r="P2556" i="4"/>
  <c r="P2556" i="5"/>
  <c r="P2553" i="4"/>
  <c r="P2553" i="5"/>
  <c r="X2553" i="5" s="1"/>
  <c r="P2552" i="4"/>
  <c r="P2552" i="5"/>
  <c r="X2552" i="5" s="1"/>
  <c r="Z2552" i="5" s="1"/>
  <c r="E2548" i="4"/>
  <c r="E2548" i="5"/>
  <c r="U2554" i="1"/>
  <c r="P2546" i="5"/>
  <c r="T2538" i="4"/>
  <c r="T2538" i="5"/>
  <c r="T2567" i="5" s="1"/>
  <c r="T2941" i="5" s="1"/>
  <c r="P2529" i="4"/>
  <c r="P2529" i="5"/>
  <c r="X2529" i="5" s="1"/>
  <c r="Z2529" i="5" s="1"/>
  <c r="P2509" i="4"/>
  <c r="P2509" i="5"/>
  <c r="X2509" i="5" s="1"/>
  <c r="Z2509" i="5" s="1"/>
  <c r="P2506" i="4"/>
  <c r="P2506" i="5"/>
  <c r="X2506" i="5" s="1"/>
  <c r="Z2506" i="5" s="1"/>
  <c r="P2486" i="4"/>
  <c r="P2486" i="5"/>
  <c r="X2486" i="5" s="1"/>
  <c r="H2485" i="4"/>
  <c r="H2485" i="5"/>
  <c r="X2485" i="5" s="1"/>
  <c r="H2483" i="4"/>
  <c r="H2483" i="5"/>
  <c r="X2483" i="5" s="1"/>
  <c r="U2487" i="1"/>
  <c r="P2479" i="5"/>
  <c r="P2475" i="4"/>
  <c r="P2475" i="5"/>
  <c r="X2475" i="5" s="1"/>
  <c r="H2466" i="4"/>
  <c r="H2466" i="5"/>
  <c r="P2463" i="4"/>
  <c r="P2463" i="5"/>
  <c r="H2462" i="4"/>
  <c r="H2462" i="5"/>
  <c r="V2467" i="1"/>
  <c r="V2459" i="5" s="1"/>
  <c r="H2459" i="5"/>
  <c r="Q2445" i="1"/>
  <c r="P2439" i="5"/>
  <c r="X2439" i="5" s="1"/>
  <c r="Z2439" i="5" s="1"/>
  <c r="P2432" i="4"/>
  <c r="P2432" i="5"/>
  <c r="X2432" i="5" s="1"/>
  <c r="Z2432" i="5" s="1"/>
  <c r="P2431" i="4"/>
  <c r="P2431" i="5"/>
  <c r="X2431" i="5" s="1"/>
  <c r="Z2431" i="5" s="1"/>
  <c r="P2425" i="4"/>
  <c r="P2425" i="5"/>
  <c r="H2422" i="4"/>
  <c r="H2422" i="5"/>
  <c r="X2422" i="5" s="1"/>
  <c r="Z2422" i="5" s="1"/>
  <c r="H2417" i="4"/>
  <c r="H2417" i="5"/>
  <c r="X2417" i="5" s="1"/>
  <c r="Z2417" i="5" s="1"/>
  <c r="P2415" i="4"/>
  <c r="P2415" i="5"/>
  <c r="U2404" i="4"/>
  <c r="U2404" i="5"/>
  <c r="F2394" i="4"/>
  <c r="F2394" i="5"/>
  <c r="P2393" i="4"/>
  <c r="P2393" i="5"/>
  <c r="X2393" i="5" s="1"/>
  <c r="E2416" i="1"/>
  <c r="E2390" i="5"/>
  <c r="H2389" i="4"/>
  <c r="H2389" i="5"/>
  <c r="X2389" i="5" s="1"/>
  <c r="T2454" i="1"/>
  <c r="T2920" i="1" s="1"/>
  <c r="H2379" i="4"/>
  <c r="H2379" i="5"/>
  <c r="X2379" i="5" s="1"/>
  <c r="Z2379" i="5" s="1"/>
  <c r="P2372" i="4"/>
  <c r="P2372" i="5"/>
  <c r="X2372" i="5" s="1"/>
  <c r="Z2372" i="5" s="1"/>
  <c r="H2369" i="4"/>
  <c r="H2369" i="5"/>
  <c r="X2369" i="5" s="1"/>
  <c r="Z2369" i="5" s="1"/>
  <c r="P2362" i="4"/>
  <c r="P2362" i="5"/>
  <c r="X2362" i="5" s="1"/>
  <c r="P2359" i="4"/>
  <c r="P2359" i="5"/>
  <c r="P2356" i="4"/>
  <c r="P2356" i="5"/>
  <c r="H2355" i="4"/>
  <c r="H2355" i="5"/>
  <c r="X2355" i="5" s="1"/>
  <c r="Z2355" i="5" s="1"/>
  <c r="F2354" i="4"/>
  <c r="F2354" i="5"/>
  <c r="P2353" i="4"/>
  <c r="P2353" i="5"/>
  <c r="H2349" i="4"/>
  <c r="H2349" i="5"/>
  <c r="X2349" i="5" s="1"/>
  <c r="Z2349" i="5" s="1"/>
  <c r="H2344" i="4"/>
  <c r="H2344" i="5"/>
  <c r="X2344" i="5" s="1"/>
  <c r="Z2344" i="5" s="1"/>
  <c r="F2337" i="4"/>
  <c r="F2337" i="5"/>
  <c r="F2334" i="4"/>
  <c r="F2334" i="5"/>
  <c r="E2332" i="4"/>
  <c r="E2332" i="5"/>
  <c r="H2326" i="4"/>
  <c r="H2326" i="5"/>
  <c r="X2326" i="5" s="1"/>
  <c r="Z2326" i="5" s="1"/>
  <c r="E2322" i="4"/>
  <c r="E2322" i="5"/>
  <c r="Q2316" i="1"/>
  <c r="P2310" i="5"/>
  <c r="H2302" i="4"/>
  <c r="H2302" i="5"/>
  <c r="E2290" i="4"/>
  <c r="E2290" i="5"/>
  <c r="H2287" i="4"/>
  <c r="H2287" i="5"/>
  <c r="X2287" i="5" s="1"/>
  <c r="Z2287" i="5" s="1"/>
  <c r="P2282" i="4"/>
  <c r="P2282" i="5"/>
  <c r="X2285" i="1"/>
  <c r="Z2285" i="1" s="1"/>
  <c r="H2281" i="5"/>
  <c r="P2268" i="4"/>
  <c r="P2268" i="5"/>
  <c r="P2267" i="4"/>
  <c r="P2267" i="5"/>
  <c r="X2269" i="1"/>
  <c r="P2265" i="5"/>
  <c r="P2260" i="4"/>
  <c r="P2260" i="5"/>
  <c r="X2260" i="5" s="1"/>
  <c r="F2256" i="4"/>
  <c r="F2256" i="5"/>
  <c r="P2238" i="4"/>
  <c r="P2238" i="5"/>
  <c r="P2237" i="4"/>
  <c r="P2237" i="5"/>
  <c r="F2235" i="4"/>
  <c r="F2235" i="5"/>
  <c r="P2234" i="4"/>
  <c r="P2234" i="5"/>
  <c r="X2234" i="5" s="1"/>
  <c r="Z2234" i="5" s="1"/>
  <c r="H2233" i="4"/>
  <c r="H2233" i="5"/>
  <c r="X2233" i="5" s="1"/>
  <c r="Z2233" i="5" s="1"/>
  <c r="H2227" i="4"/>
  <c r="H2227" i="5"/>
  <c r="X2227" i="5" s="1"/>
  <c r="Z2227" i="5" s="1"/>
  <c r="Q2229" i="1"/>
  <c r="P2225" i="5"/>
  <c r="E2223" i="4"/>
  <c r="E2223" i="5"/>
  <c r="P2222" i="4"/>
  <c r="P2222" i="5"/>
  <c r="H2222" i="4"/>
  <c r="H2222" i="5"/>
  <c r="X2222" i="5" s="1"/>
  <c r="P2214" i="4"/>
  <c r="P2214" i="5"/>
  <c r="X2214" i="5" s="1"/>
  <c r="Z2214" i="5" s="1"/>
  <c r="H2205" i="4"/>
  <c r="H2205" i="5"/>
  <c r="H2202" i="4"/>
  <c r="H2202" i="5"/>
  <c r="X2202" i="5" s="1"/>
  <c r="Z2202" i="5" s="1"/>
  <c r="P2191" i="4"/>
  <c r="P2191" i="5"/>
  <c r="X2191" i="5" s="1"/>
  <c r="H2183" i="4"/>
  <c r="H2183" i="5"/>
  <c r="X2183" i="5" s="1"/>
  <c r="Z2183" i="5" s="1"/>
  <c r="P2176" i="4"/>
  <c r="P2176" i="5"/>
  <c r="H2171" i="4"/>
  <c r="H2171" i="5"/>
  <c r="X2171" i="5" s="1"/>
  <c r="P2164" i="4"/>
  <c r="P2164" i="5"/>
  <c r="E2159" i="4"/>
  <c r="E2159" i="5"/>
  <c r="P2156" i="4"/>
  <c r="P2156" i="5"/>
  <c r="P2154" i="4"/>
  <c r="P2154" i="5"/>
  <c r="X2154" i="5" s="1"/>
  <c r="E2153" i="4"/>
  <c r="E2153" i="5"/>
  <c r="E2152" i="4"/>
  <c r="E2152" i="5"/>
  <c r="P2149" i="4"/>
  <c r="P2149" i="5"/>
  <c r="E2149" i="4"/>
  <c r="E2149" i="5"/>
  <c r="P2145" i="4"/>
  <c r="P2145" i="5"/>
  <c r="X2145" i="5" s="1"/>
  <c r="F2136" i="4"/>
  <c r="F2136" i="5"/>
  <c r="F2135" i="4"/>
  <c r="F2135" i="5"/>
  <c r="P2133" i="4"/>
  <c r="P2133" i="5"/>
  <c r="E2133" i="4"/>
  <c r="E2133" i="5"/>
  <c r="H2130" i="4"/>
  <c r="H2130" i="5"/>
  <c r="X2130" i="5" s="1"/>
  <c r="P2124" i="4"/>
  <c r="P2124" i="5"/>
  <c r="X2124" i="5" s="1"/>
  <c r="J2119" i="1"/>
  <c r="J2115" i="5" s="1"/>
  <c r="H2115" i="5"/>
  <c r="X2115" i="5" s="1"/>
  <c r="F2103" i="4"/>
  <c r="F2103" i="5"/>
  <c r="H2101" i="4"/>
  <c r="H2101" i="5"/>
  <c r="H2099" i="4"/>
  <c r="H2099" i="5"/>
  <c r="E2094" i="4"/>
  <c r="E2094" i="5"/>
  <c r="E2093" i="4"/>
  <c r="E2093" i="5"/>
  <c r="E2091" i="4"/>
  <c r="E2091" i="5"/>
  <c r="P2088" i="4"/>
  <c r="P2088" i="5"/>
  <c r="H2076" i="4"/>
  <c r="H2076" i="5"/>
  <c r="K2085" i="1"/>
  <c r="K2916" i="1" s="1"/>
  <c r="F2053" i="4"/>
  <c r="F2053" i="5"/>
  <c r="H2056" i="1"/>
  <c r="H2052" i="5" s="1"/>
  <c r="F2052" i="5"/>
  <c r="P2049" i="4"/>
  <c r="P2049" i="5"/>
  <c r="X2049" i="5" s="1"/>
  <c r="Z2049" i="5" s="1"/>
  <c r="H2046" i="4"/>
  <c r="H2046" i="5"/>
  <c r="F2034" i="4"/>
  <c r="F2034" i="5"/>
  <c r="P2033" i="4"/>
  <c r="P2033" i="5"/>
  <c r="P2030" i="4"/>
  <c r="P2030" i="5"/>
  <c r="X2030" i="5" s="1"/>
  <c r="Z2030" i="5" s="1"/>
  <c r="P2028" i="4"/>
  <c r="P2028" i="5"/>
  <c r="X2028" i="5" s="1"/>
  <c r="Z2028" i="5" s="1"/>
  <c r="P2026" i="4"/>
  <c r="P2026" i="5"/>
  <c r="F2041" i="1"/>
  <c r="F2025" i="5"/>
  <c r="P2023" i="4"/>
  <c r="P2023" i="5"/>
  <c r="X2023" i="5" s="1"/>
  <c r="Z2023" i="5" s="1"/>
  <c r="N2041" i="1"/>
  <c r="N2019" i="5"/>
  <c r="N2037" i="5" s="1"/>
  <c r="P2009" i="4"/>
  <c r="P2009" i="5"/>
  <c r="H2008" i="4"/>
  <c r="H2008" i="5"/>
  <c r="X2008" i="5" s="1"/>
  <c r="F2005" i="4"/>
  <c r="F2005" i="5"/>
  <c r="F2001" i="4"/>
  <c r="F2001" i="5"/>
  <c r="P1998" i="4"/>
  <c r="P1998" i="5"/>
  <c r="X1998" i="5" s="1"/>
  <c r="P1990" i="4"/>
  <c r="P1990" i="5"/>
  <c r="X1990" i="5" s="1"/>
  <c r="H1984" i="4"/>
  <c r="H1984" i="5"/>
  <c r="U1984" i="1"/>
  <c r="P1980" i="5"/>
  <c r="X1982" i="1"/>
  <c r="P1977" i="4"/>
  <c r="P1977" i="5"/>
  <c r="H1976" i="4"/>
  <c r="H1976" i="5"/>
  <c r="P1964" i="4"/>
  <c r="P1964" i="5"/>
  <c r="P1956" i="4"/>
  <c r="P1956" i="5"/>
  <c r="H1949" i="4"/>
  <c r="H1949" i="5"/>
  <c r="X1949" i="5" s="1"/>
  <c r="Z1949" i="5" s="1"/>
  <c r="P1945" i="4"/>
  <c r="P1945" i="5"/>
  <c r="X1945" i="5" s="1"/>
  <c r="Z1945" i="5" s="1"/>
  <c r="E1944" i="4"/>
  <c r="E1944" i="5"/>
  <c r="H1942" i="4"/>
  <c r="H1942" i="5"/>
  <c r="X1942" i="5" s="1"/>
  <c r="Z1942" i="5" s="1"/>
  <c r="Q1943" i="1"/>
  <c r="P1939" i="5"/>
  <c r="X1939" i="5" s="1"/>
  <c r="Z1939" i="5" s="1"/>
  <c r="H1937" i="4"/>
  <c r="H1937" i="5"/>
  <c r="H1931" i="4"/>
  <c r="H1931" i="5"/>
  <c r="X1932" i="1"/>
  <c r="Z1932" i="1" s="1"/>
  <c r="P1928" i="5"/>
  <c r="P1927" i="4"/>
  <c r="P1927" i="5"/>
  <c r="P1926" i="4"/>
  <c r="P1926" i="5"/>
  <c r="X1926" i="5" s="1"/>
  <c r="Z1926" i="5" s="1"/>
  <c r="F1925" i="4"/>
  <c r="F1925" i="5"/>
  <c r="P1920" i="4"/>
  <c r="P1920" i="5"/>
  <c r="X1920" i="5" s="1"/>
  <c r="Z1920" i="5" s="1"/>
  <c r="H1919" i="4"/>
  <c r="H1919" i="5"/>
  <c r="X1919" i="5" s="1"/>
  <c r="Z1919" i="5" s="1"/>
  <c r="E1914" i="4"/>
  <c r="E1914" i="5"/>
  <c r="F1911" i="4"/>
  <c r="F1911" i="5"/>
  <c r="X1913" i="1"/>
  <c r="P1909" i="5"/>
  <c r="P1907" i="4"/>
  <c r="P1907" i="5"/>
  <c r="X1907" i="5" s="1"/>
  <c r="Z1907" i="5" s="1"/>
  <c r="E1906" i="4"/>
  <c r="E1906" i="5"/>
  <c r="P1904" i="4"/>
  <c r="P1904" i="5"/>
  <c r="P1903" i="4"/>
  <c r="P1903" i="5"/>
  <c r="Q1898" i="1"/>
  <c r="Q1894" i="5" s="1"/>
  <c r="P1894" i="5"/>
  <c r="Q1893" i="1"/>
  <c r="Q1889" i="5" s="1"/>
  <c r="P1889" i="5"/>
  <c r="X1889" i="5" s="1"/>
  <c r="Z1889" i="5" s="1"/>
  <c r="M1884" i="1"/>
  <c r="M1880" i="5" s="1"/>
  <c r="H1880" i="5"/>
  <c r="X1880" i="5" s="1"/>
  <c r="Z1880" i="5" s="1"/>
  <c r="U1881" i="1"/>
  <c r="U1877" i="5" s="1"/>
  <c r="X1877" i="5"/>
  <c r="Z1877" i="5" s="1"/>
  <c r="U1878" i="1"/>
  <c r="U1874" i="5" s="1"/>
  <c r="P1874" i="5"/>
  <c r="X1874" i="5" s="1"/>
  <c r="Z1874" i="5" s="1"/>
  <c r="X1869" i="5"/>
  <c r="Z1869" i="5" s="1"/>
  <c r="E1861" i="4"/>
  <c r="E1861" i="5"/>
  <c r="U1863" i="1"/>
  <c r="U1859" i="5" s="1"/>
  <c r="X1855" i="5"/>
  <c r="Z1855" i="5" s="1"/>
  <c r="U1854" i="1"/>
  <c r="U1850" i="5" s="1"/>
  <c r="X1836" i="5"/>
  <c r="Z1836" i="5" s="1"/>
  <c r="M1837" i="1"/>
  <c r="M1833" i="5" s="1"/>
  <c r="H1833" i="5"/>
  <c r="X1833" i="5" s="1"/>
  <c r="Z1833" i="5" s="1"/>
  <c r="X1835" i="1"/>
  <c r="P1831" i="5"/>
  <c r="Q1834" i="1"/>
  <c r="Q1830" i="5" s="1"/>
  <c r="P1830" i="5"/>
  <c r="U1831" i="1"/>
  <c r="U1827" i="5" s="1"/>
  <c r="P1827" i="5"/>
  <c r="U1828" i="1"/>
  <c r="U1824" i="5" s="1"/>
  <c r="F1824" i="1"/>
  <c r="M1822" i="1"/>
  <c r="M1818" i="5" s="1"/>
  <c r="H1818" i="5"/>
  <c r="U1819" i="1"/>
  <c r="U1815" i="5" s="1"/>
  <c r="P1815" i="5"/>
  <c r="X1815" i="5" s="1"/>
  <c r="Z1815" i="5" s="1"/>
  <c r="U1818" i="1"/>
  <c r="U1814" i="5" s="1"/>
  <c r="J1816" i="1"/>
  <c r="J1812" i="5" s="1"/>
  <c r="H1812" i="5"/>
  <c r="U1812" i="1"/>
  <c r="U1808" i="5" s="1"/>
  <c r="P1808" i="5"/>
  <c r="Q1802" i="1"/>
  <c r="Q1798" i="5" s="1"/>
  <c r="P1798" i="5"/>
  <c r="X1798" i="5" s="1"/>
  <c r="Z1798" i="5" s="1"/>
  <c r="P1797" i="4"/>
  <c r="P1797" i="5"/>
  <c r="X1797" i="5" s="1"/>
  <c r="Z1797" i="5" s="1"/>
  <c r="X1795" i="5"/>
  <c r="Z1795" i="5" s="1"/>
  <c r="Q1796" i="1"/>
  <c r="Q1792" i="5" s="1"/>
  <c r="P1792" i="5"/>
  <c r="X1792" i="5" s="1"/>
  <c r="Z1792" i="5" s="1"/>
  <c r="X1789" i="5"/>
  <c r="Z1789" i="5" s="1"/>
  <c r="F1788" i="1"/>
  <c r="X1785" i="1"/>
  <c r="P1781" i="5"/>
  <c r="Q1785" i="1"/>
  <c r="Q1781" i="5" s="1"/>
  <c r="E1781" i="5"/>
  <c r="U1782" i="1"/>
  <c r="U1778" i="5" s="1"/>
  <c r="X1778" i="5"/>
  <c r="Z1778" i="5" s="1"/>
  <c r="M1777" i="1"/>
  <c r="M1773" i="5" s="1"/>
  <c r="U1776" i="1"/>
  <c r="U1772" i="5" s="1"/>
  <c r="X1772" i="5"/>
  <c r="Z1772" i="5" s="1"/>
  <c r="X1774" i="1"/>
  <c r="P1770" i="5"/>
  <c r="M1766" i="1"/>
  <c r="M1762" i="5" s="1"/>
  <c r="K1762" i="1"/>
  <c r="Q1760" i="1"/>
  <c r="Q1756" i="5" s="1"/>
  <c r="P1756" i="5"/>
  <c r="J1758" i="1"/>
  <c r="J1754" i="5" s="1"/>
  <c r="H1754" i="5"/>
  <c r="X1735" i="5"/>
  <c r="V1733" i="1"/>
  <c r="P1730" i="5"/>
  <c r="M1732" i="1"/>
  <c r="M1729" i="5" s="1"/>
  <c r="H1729" i="5"/>
  <c r="X1729" i="5" s="1"/>
  <c r="M1730" i="1"/>
  <c r="M1727" i="5" s="1"/>
  <c r="H1727" i="5"/>
  <c r="X1727" i="5" s="1"/>
  <c r="U1728" i="1"/>
  <c r="U1725" i="5" s="1"/>
  <c r="P1725" i="5"/>
  <c r="M1716" i="1"/>
  <c r="M1713" i="5" s="1"/>
  <c r="H1713" i="5"/>
  <c r="V1707" i="1"/>
  <c r="X1704" i="5"/>
  <c r="V1703" i="1"/>
  <c r="P1700" i="5"/>
  <c r="V1696" i="1"/>
  <c r="V1693" i="5" s="1"/>
  <c r="H1693" i="5"/>
  <c r="X1684" i="5"/>
  <c r="M1685" i="1"/>
  <c r="M1682" i="5" s="1"/>
  <c r="H1682" i="5"/>
  <c r="X1682" i="5" s="1"/>
  <c r="M1676" i="1"/>
  <c r="M1673" i="5" s="1"/>
  <c r="H1673" i="5"/>
  <c r="X1668" i="1"/>
  <c r="X1579" i="2" s="1"/>
  <c r="X1665" i="5"/>
  <c r="X1659" i="1"/>
  <c r="Z1659" i="1" s="1"/>
  <c r="P1656" i="5"/>
  <c r="H1654" i="4"/>
  <c r="H1654" i="5"/>
  <c r="U1655" i="1"/>
  <c r="U1652" i="5" s="1"/>
  <c r="P1652" i="5"/>
  <c r="X1646" i="1"/>
  <c r="X1560" i="2" s="1"/>
  <c r="X1643" i="5"/>
  <c r="P1632" i="4"/>
  <c r="P1632" i="5"/>
  <c r="M1625" i="1"/>
  <c r="M1622" i="5" s="1"/>
  <c r="H1622" i="5"/>
  <c r="E1621" i="1"/>
  <c r="P1614" i="4"/>
  <c r="P1614" i="5"/>
  <c r="V1615" i="1"/>
  <c r="V1612" i="5" s="1"/>
  <c r="H1612" i="5"/>
  <c r="X1612" i="5" s="1"/>
  <c r="H1611" i="1"/>
  <c r="F1608" i="5"/>
  <c r="F1618" i="5" s="1"/>
  <c r="V1608" i="1"/>
  <c r="V1605" i="5" s="1"/>
  <c r="H1605" i="5"/>
  <c r="X1605" i="5" s="1"/>
  <c r="U1601" i="1"/>
  <c r="U1598" i="5" s="1"/>
  <c r="P1598" i="5"/>
  <c r="X1598" i="5" s="1"/>
  <c r="H1588" i="4"/>
  <c r="H1588" i="5"/>
  <c r="P1586" i="4"/>
  <c r="P1586" i="5"/>
  <c r="U1586" i="1"/>
  <c r="U1583" i="5" s="1"/>
  <c r="P1583" i="5"/>
  <c r="X1575" i="1"/>
  <c r="X1572" i="5" s="1"/>
  <c r="H1572" i="5"/>
  <c r="Q1537" i="1"/>
  <c r="Q1536" i="5" s="1"/>
  <c r="P1536" i="5"/>
  <c r="V1531" i="1"/>
  <c r="V1530" i="5" s="1"/>
  <c r="P1530" i="5"/>
  <c r="U1528" i="1"/>
  <c r="U1527" i="5" s="1"/>
  <c r="X1527" i="5"/>
  <c r="Z1527" i="5" s="1"/>
  <c r="J1519" i="1"/>
  <c r="J1518" i="5" s="1"/>
  <c r="H1518" i="5"/>
  <c r="X1518" i="5" s="1"/>
  <c r="Z1518" i="5" s="1"/>
  <c r="U1510" i="1"/>
  <c r="U1509" i="5" s="1"/>
  <c r="P1509" i="5"/>
  <c r="X1509" i="5" s="1"/>
  <c r="Z1509" i="5" s="1"/>
  <c r="X1495" i="5"/>
  <c r="Z1495" i="5" s="1"/>
  <c r="M1495" i="1"/>
  <c r="M1494" i="5" s="1"/>
  <c r="H1494" i="5"/>
  <c r="X1494" i="5" s="1"/>
  <c r="Z1494" i="5" s="1"/>
  <c r="V1494" i="1"/>
  <c r="V1493" i="5" s="1"/>
  <c r="P1493" i="5"/>
  <c r="X1493" i="1"/>
  <c r="P1492" i="5"/>
  <c r="M1491" i="1"/>
  <c r="M1490" i="5" s="1"/>
  <c r="H1490" i="5"/>
  <c r="V1490" i="1"/>
  <c r="V1489" i="5" s="1"/>
  <c r="P1489" i="5"/>
  <c r="X1488" i="1"/>
  <c r="H1487" i="5"/>
  <c r="X1487" i="5" s="1"/>
  <c r="Z1487" i="5" s="1"/>
  <c r="X1486" i="1"/>
  <c r="X1409" i="2" s="1"/>
  <c r="H1485" i="5"/>
  <c r="X1485" i="5" s="1"/>
  <c r="Z1485" i="5" s="1"/>
  <c r="H1483" i="1"/>
  <c r="F1482" i="5"/>
  <c r="Q1481" i="1"/>
  <c r="Q1480" i="5" s="1"/>
  <c r="P1480" i="5"/>
  <c r="J1478" i="1"/>
  <c r="J1477" i="5" s="1"/>
  <c r="H1477" i="5"/>
  <c r="M1476" i="1"/>
  <c r="M1475" i="5" s="1"/>
  <c r="H1475" i="5"/>
  <c r="F1472" i="1"/>
  <c r="Q1470" i="1"/>
  <c r="Q1469" i="5" s="1"/>
  <c r="E1469" i="5"/>
  <c r="U1468" i="1"/>
  <c r="U1467" i="5" s="1"/>
  <c r="P1467" i="5"/>
  <c r="F1466" i="4"/>
  <c r="F1466" i="5"/>
  <c r="Q1461" i="1"/>
  <c r="Q1460" i="5" s="1"/>
  <c r="P1460" i="5"/>
  <c r="H1457" i="1"/>
  <c r="H1456" i="5" s="1"/>
  <c r="X1456" i="5" s="1"/>
  <c r="Z1456" i="5" s="1"/>
  <c r="F1456" i="5"/>
  <c r="Q1455" i="1"/>
  <c r="Q1454" i="5" s="1"/>
  <c r="P1454" i="5"/>
  <c r="X1454" i="5" s="1"/>
  <c r="Z1454" i="5" s="1"/>
  <c r="Q1443" i="1"/>
  <c r="Q1442" i="5" s="1"/>
  <c r="P1442" i="5"/>
  <c r="X1442" i="5" s="1"/>
  <c r="Z1442" i="5" s="1"/>
  <c r="X1440" i="5"/>
  <c r="J1440" i="1"/>
  <c r="J1439" i="5" s="1"/>
  <c r="H1439" i="5"/>
  <c r="X1439" i="5" s="1"/>
  <c r="Z1439" i="5" s="1"/>
  <c r="Q1426" i="1"/>
  <c r="Q1425" i="5" s="1"/>
  <c r="E1425" i="5"/>
  <c r="H1415" i="1"/>
  <c r="H1414" i="5" s="1"/>
  <c r="X1414" i="5" s="1"/>
  <c r="Z1414" i="5" s="1"/>
  <c r="F1414" i="5"/>
  <c r="Q1412" i="1"/>
  <c r="Q1411" i="5" s="1"/>
  <c r="P1411" i="5"/>
  <c r="X1411" i="5" s="1"/>
  <c r="Z1411" i="5" s="1"/>
  <c r="J1411" i="1"/>
  <c r="J1410" i="5" s="1"/>
  <c r="H1410" i="5"/>
  <c r="X1410" i="5" s="1"/>
  <c r="Z1410" i="5" s="1"/>
  <c r="J1408" i="1"/>
  <c r="J1407" i="5" s="1"/>
  <c r="H1407" i="5"/>
  <c r="X1407" i="5" s="1"/>
  <c r="Z1407" i="5" s="1"/>
  <c r="H1401" i="1"/>
  <c r="H1400" i="5" s="1"/>
  <c r="X1400" i="5" s="1"/>
  <c r="F1400" i="5"/>
  <c r="J1400" i="1"/>
  <c r="J1399" i="5" s="1"/>
  <c r="H1399" i="5"/>
  <c r="Q1398" i="1"/>
  <c r="Q1397" i="5" s="1"/>
  <c r="P1397" i="5"/>
  <c r="X1397" i="5" s="1"/>
  <c r="Z1397" i="5" s="1"/>
  <c r="J1396" i="1"/>
  <c r="J1395" i="5" s="1"/>
  <c r="H1395" i="5"/>
  <c r="X1395" i="5" s="1"/>
  <c r="Z1395" i="5" s="1"/>
  <c r="M1387" i="1"/>
  <c r="M1386" i="5" s="1"/>
  <c r="H1386" i="5"/>
  <c r="X1386" i="5" s="1"/>
  <c r="Z1386" i="5" s="1"/>
  <c r="X1372" i="1"/>
  <c r="H1371" i="5"/>
  <c r="X1371" i="5" s="1"/>
  <c r="Z1371" i="5" s="1"/>
  <c r="X1369" i="1"/>
  <c r="H1368" i="5"/>
  <c r="U1360" i="1"/>
  <c r="U1359" i="5" s="1"/>
  <c r="P1359" i="5"/>
  <c r="X1359" i="1"/>
  <c r="M1357" i="1"/>
  <c r="M1356" i="5" s="1"/>
  <c r="H1356" i="5"/>
  <c r="X1356" i="5" s="1"/>
  <c r="Z1356" i="5" s="1"/>
  <c r="V1355" i="1"/>
  <c r="V1354" i="5" s="1"/>
  <c r="P1354" i="5"/>
  <c r="X1351" i="1"/>
  <c r="H1350" i="5"/>
  <c r="U1347" i="1"/>
  <c r="U1346" i="5" s="1"/>
  <c r="P1346" i="5"/>
  <c r="V1345" i="1"/>
  <c r="V1344" i="5" s="1"/>
  <c r="P1344" i="5"/>
  <c r="K1340" i="1"/>
  <c r="X1338" i="1"/>
  <c r="X1272" i="2" s="1"/>
  <c r="M1338" i="1"/>
  <c r="M1337" i="5" s="1"/>
  <c r="V1337" i="1"/>
  <c r="V1336" i="5" s="1"/>
  <c r="P1336" i="5"/>
  <c r="M1330" i="1"/>
  <c r="M1329" i="5" s="1"/>
  <c r="H1329" i="5"/>
  <c r="X1329" i="5" s="1"/>
  <c r="X1328" i="1"/>
  <c r="X1264" i="2" s="1"/>
  <c r="P1327" i="5"/>
  <c r="X1327" i="5" s="1"/>
  <c r="Z1327" i="5" s="1"/>
  <c r="M1325" i="1"/>
  <c r="M1324" i="5" s="1"/>
  <c r="H1324" i="5"/>
  <c r="X1322" i="1"/>
  <c r="H1321" i="5"/>
  <c r="X1321" i="5" s="1"/>
  <c r="Z1321" i="5" s="1"/>
  <c r="J1314" i="1"/>
  <c r="J1313" i="5" s="1"/>
  <c r="H1313" i="5"/>
  <c r="X1307" i="1"/>
  <c r="Q1296" i="1"/>
  <c r="Q1295" i="5" s="1"/>
  <c r="P1295" i="5"/>
  <c r="X1295" i="5" s="1"/>
  <c r="Z1295" i="5" s="1"/>
  <c r="M1292" i="1"/>
  <c r="M1291" i="5" s="1"/>
  <c r="M1291" i="1"/>
  <c r="M1290" i="5" s="1"/>
  <c r="M1290" i="1"/>
  <c r="M1289" i="5" s="1"/>
  <c r="M1289" i="1"/>
  <c r="M1288" i="5" s="1"/>
  <c r="F1310" i="1"/>
  <c r="F1287" i="5"/>
  <c r="J1287" i="1"/>
  <c r="J1286" i="5" s="1"/>
  <c r="H1286" i="5"/>
  <c r="X1286" i="5" s="1"/>
  <c r="U1286" i="1"/>
  <c r="U1285" i="5" s="1"/>
  <c r="P1285" i="5"/>
  <c r="H1277" i="4"/>
  <c r="H1277" i="5"/>
  <c r="E1276" i="4"/>
  <c r="E1276" i="5"/>
  <c r="V1272" i="1"/>
  <c r="V1271" i="5" s="1"/>
  <c r="P1271" i="5"/>
  <c r="M1271" i="1"/>
  <c r="M1270" i="5" s="1"/>
  <c r="H1270" i="5"/>
  <c r="X1270" i="5" s="1"/>
  <c r="Z1270" i="5" s="1"/>
  <c r="M1269" i="1"/>
  <c r="M1268" i="5" s="1"/>
  <c r="H1268" i="5"/>
  <c r="X1268" i="5" s="1"/>
  <c r="Z1268" i="5" s="1"/>
  <c r="Q1267" i="1"/>
  <c r="Q1266" i="5" s="1"/>
  <c r="E1266" i="5"/>
  <c r="J1265" i="1"/>
  <c r="J1264" i="5" s="1"/>
  <c r="H1264" i="5"/>
  <c r="U1261" i="1"/>
  <c r="U1260" i="5" s="1"/>
  <c r="U1253" i="1"/>
  <c r="U1252" i="5" s="1"/>
  <c r="U1252" i="1"/>
  <c r="U1251" i="5" s="1"/>
  <c r="P1251" i="5"/>
  <c r="X1251" i="5" s="1"/>
  <c r="M1251" i="1"/>
  <c r="M1250" i="5" s="1"/>
  <c r="H1250" i="5"/>
  <c r="X1250" i="5" s="1"/>
  <c r="Z1250" i="5" s="1"/>
  <c r="K1282" i="1"/>
  <c r="K1247" i="5"/>
  <c r="K1281" i="5" s="1"/>
  <c r="H1243" i="1"/>
  <c r="H1242" i="5" s="1"/>
  <c r="X1242" i="5" s="1"/>
  <c r="F1242" i="5"/>
  <c r="M1242" i="1"/>
  <c r="M1241" i="5" s="1"/>
  <c r="H1241" i="5"/>
  <c r="X1241" i="5" s="1"/>
  <c r="M1238" i="1"/>
  <c r="M1237" i="5" s="1"/>
  <c r="H1237" i="5"/>
  <c r="X1237" i="5" s="1"/>
  <c r="Q1235" i="1"/>
  <c r="Q1234" i="5" s="1"/>
  <c r="P1234" i="5"/>
  <c r="H1234" i="1"/>
  <c r="F1233" i="5"/>
  <c r="M1231" i="1"/>
  <c r="M1230" i="5" s="1"/>
  <c r="H1230" i="5"/>
  <c r="X1230" i="5" s="1"/>
  <c r="M1228" i="1"/>
  <c r="M1227" i="5" s="1"/>
  <c r="H1227" i="5"/>
  <c r="X1227" i="5" s="1"/>
  <c r="M1222" i="1"/>
  <c r="M1221" i="5" s="1"/>
  <c r="H1221" i="5"/>
  <c r="X1220" i="5"/>
  <c r="U1212" i="1"/>
  <c r="U1211" i="5" s="1"/>
  <c r="G1209" i="4"/>
  <c r="G1209" i="5"/>
  <c r="G1214" i="5" s="1"/>
  <c r="G1543" i="5" s="1"/>
  <c r="X1199" i="1"/>
  <c r="X1198" i="5" s="1"/>
  <c r="K1146" i="2"/>
  <c r="K1198" i="5"/>
  <c r="K1214" i="5" s="1"/>
  <c r="K1543" i="5" s="1"/>
  <c r="K2929" i="5" s="1"/>
  <c r="Q1197" i="1"/>
  <c r="Q1196" i="5" s="1"/>
  <c r="P1196" i="5"/>
  <c r="V1176" i="1"/>
  <c r="V1175" i="5" s="1"/>
  <c r="H1175" i="5"/>
  <c r="V1171" i="1"/>
  <c r="V1170" i="5" s="1"/>
  <c r="M1165" i="1"/>
  <c r="M1164" i="5" s="1"/>
  <c r="H1164" i="5"/>
  <c r="X1159" i="5"/>
  <c r="Z1159" i="5" s="1"/>
  <c r="U1158" i="1"/>
  <c r="U1157" i="5" s="1"/>
  <c r="P1157" i="5"/>
  <c r="X1157" i="5" s="1"/>
  <c r="Z1157" i="5" s="1"/>
  <c r="M1138" i="1"/>
  <c r="M1137" i="5" s="1"/>
  <c r="H1137" i="5"/>
  <c r="Z1125" i="5"/>
  <c r="U1124" i="1"/>
  <c r="U1123" i="5" s="1"/>
  <c r="P1123" i="5"/>
  <c r="X1123" i="5" s="1"/>
  <c r="Z1123" i="5" s="1"/>
  <c r="X1123" i="1"/>
  <c r="H1122" i="5"/>
  <c r="X1122" i="5" s="1"/>
  <c r="Z1122" i="5" s="1"/>
  <c r="V1120" i="1"/>
  <c r="V1119" i="5" s="1"/>
  <c r="P1119" i="5"/>
  <c r="X1119" i="5" s="1"/>
  <c r="Z1119" i="5" s="1"/>
  <c r="X1114" i="5"/>
  <c r="Z1114" i="5" s="1"/>
  <c r="X1104" i="5"/>
  <c r="Z1104" i="5" s="1"/>
  <c r="V1096" i="1"/>
  <c r="V1095" i="5" s="1"/>
  <c r="P1095" i="5"/>
  <c r="X1095" i="5" s="1"/>
  <c r="Z1095" i="5" s="1"/>
  <c r="X1095" i="1"/>
  <c r="H1094" i="5"/>
  <c r="X1094" i="5" s="1"/>
  <c r="Z1094" i="5" s="1"/>
  <c r="X1076" i="5"/>
  <c r="Z1076" i="5" s="1"/>
  <c r="M1075" i="1"/>
  <c r="M1074" i="5" s="1"/>
  <c r="H1074" i="5"/>
  <c r="X1074" i="5" s="1"/>
  <c r="Z1074" i="5" s="1"/>
  <c r="M1071" i="1"/>
  <c r="M1070" i="5" s="1"/>
  <c r="H1070" i="5"/>
  <c r="X1070" i="5" s="1"/>
  <c r="Z1070" i="5" s="1"/>
  <c r="M1070" i="1"/>
  <c r="M1069" i="5" s="1"/>
  <c r="H1069" i="5"/>
  <c r="X1069" i="5" s="1"/>
  <c r="Z1069" i="5" s="1"/>
  <c r="M1069" i="1"/>
  <c r="M1068" i="5" s="1"/>
  <c r="H1068" i="5"/>
  <c r="X1068" i="5" s="1"/>
  <c r="Z1068" i="5" s="1"/>
  <c r="V1064" i="1"/>
  <c r="V1063" i="5" s="1"/>
  <c r="P1063" i="5"/>
  <c r="X1063" i="5" s="1"/>
  <c r="Z1063" i="5" s="1"/>
  <c r="X1062" i="5"/>
  <c r="Z1062" i="5" s="1"/>
  <c r="U1057" i="1"/>
  <c r="U1056" i="5" s="1"/>
  <c r="P1056" i="5"/>
  <c r="X1056" i="5" s="1"/>
  <c r="Z1056" i="5" s="1"/>
  <c r="V1053" i="1"/>
  <c r="X1047" i="5"/>
  <c r="Z1047" i="5" s="1"/>
  <c r="U1046" i="1"/>
  <c r="U1045" i="5" s="1"/>
  <c r="P1045" i="5"/>
  <c r="X1042" i="5"/>
  <c r="Z1042" i="5" s="1"/>
  <c r="U1041" i="1"/>
  <c r="U1040" i="5" s="1"/>
  <c r="P1040" i="5"/>
  <c r="X1040" i="5" s="1"/>
  <c r="Z1040" i="5" s="1"/>
  <c r="X1037" i="5"/>
  <c r="Z1037" i="5" s="1"/>
  <c r="X1027" i="1"/>
  <c r="P1026" i="5"/>
  <c r="M1026" i="1"/>
  <c r="M1025" i="5" s="1"/>
  <c r="H1025" i="5"/>
  <c r="X1020" i="1"/>
  <c r="H1019" i="5"/>
  <c r="X1019" i="5" s="1"/>
  <c r="Z1019" i="5" s="1"/>
  <c r="E1010" i="4"/>
  <c r="E1010" i="5"/>
  <c r="F1009" i="4"/>
  <c r="F1009" i="5"/>
  <c r="F1013" i="5" s="1"/>
  <c r="X1008" i="1"/>
  <c r="P1007" i="5"/>
  <c r="M1005" i="1"/>
  <c r="M1004" i="5" s="1"/>
  <c r="H1004" i="5"/>
  <c r="X1004" i="5" s="1"/>
  <c r="Z1004" i="5" s="1"/>
  <c r="V1002" i="1"/>
  <c r="V1001" i="5" s="1"/>
  <c r="M1000" i="1"/>
  <c r="M999" i="5" s="1"/>
  <c r="H999" i="5"/>
  <c r="M996" i="1"/>
  <c r="M995" i="5" s="1"/>
  <c r="H995" i="5"/>
  <c r="X995" i="5" s="1"/>
  <c r="Z995" i="5" s="1"/>
  <c r="X987" i="5"/>
  <c r="P980" i="4"/>
  <c r="P980" i="5"/>
  <c r="U977" i="1"/>
  <c r="U976" i="5" s="1"/>
  <c r="P976" i="5"/>
  <c r="M976" i="1"/>
  <c r="M975" i="5" s="1"/>
  <c r="H975" i="5"/>
  <c r="J928" i="1"/>
  <c r="J928" i="5" s="1"/>
  <c r="H928" i="5"/>
  <c r="H927" i="1"/>
  <c r="H927" i="5" s="1"/>
  <c r="F927" i="5"/>
  <c r="V919" i="1"/>
  <c r="V919" i="5" s="1"/>
  <c r="H919" i="5"/>
  <c r="J913" i="1"/>
  <c r="H913" i="5"/>
  <c r="X913" i="5" s="1"/>
  <c r="Z913" i="5" s="1"/>
  <c r="U909" i="1"/>
  <c r="U909" i="5" s="1"/>
  <c r="X906" i="1"/>
  <c r="H906" i="5"/>
  <c r="X906" i="5" s="1"/>
  <c r="X900" i="1"/>
  <c r="X860" i="2" s="1"/>
  <c r="H900" i="5"/>
  <c r="X900" i="5" s="1"/>
  <c r="Z900" i="5" s="1"/>
  <c r="X899" i="5"/>
  <c r="Z899" i="5" s="1"/>
  <c r="J898" i="1"/>
  <c r="J898" i="5" s="1"/>
  <c r="H898" i="5"/>
  <c r="M893" i="1"/>
  <c r="M893" i="5" s="1"/>
  <c r="X888" i="5"/>
  <c r="Z888" i="5" s="1"/>
  <c r="V886" i="1"/>
  <c r="V886" i="5" s="1"/>
  <c r="Q882" i="1"/>
  <c r="Q882" i="5" s="1"/>
  <c r="P882" i="5"/>
  <c r="E881" i="4"/>
  <c r="E881" i="5"/>
  <c r="X876" i="5"/>
  <c r="Z876" i="5" s="1"/>
  <c r="M875" i="1"/>
  <c r="M875" i="5" s="1"/>
  <c r="H875" i="5"/>
  <c r="X875" i="5" s="1"/>
  <c r="Z875" i="5" s="1"/>
  <c r="M870" i="1"/>
  <c r="M870" i="5" s="1"/>
  <c r="H870" i="5"/>
  <c r="X870" i="5" s="1"/>
  <c r="Z870" i="5" s="1"/>
  <c r="J866" i="1"/>
  <c r="J866" i="5" s="1"/>
  <c r="H866" i="5"/>
  <c r="X866" i="5" s="1"/>
  <c r="Z866" i="5" s="1"/>
  <c r="M863" i="1"/>
  <c r="M863" i="5" s="1"/>
  <c r="M862" i="1"/>
  <c r="M862" i="5" s="1"/>
  <c r="H862" i="5"/>
  <c r="X856" i="5"/>
  <c r="Z856" i="5" s="1"/>
  <c r="U854" i="1"/>
  <c r="U854" i="5" s="1"/>
  <c r="X852" i="5"/>
  <c r="Z852" i="5" s="1"/>
  <c r="X851" i="5"/>
  <c r="Z851" i="5" s="1"/>
  <c r="X850" i="5"/>
  <c r="Z850" i="5" s="1"/>
  <c r="Q848" i="1"/>
  <c r="Q848" i="5" s="1"/>
  <c r="P848" i="5"/>
  <c r="X830" i="1"/>
  <c r="X796" i="2" s="1"/>
  <c r="H830" i="5"/>
  <c r="X830" i="5" s="1"/>
  <c r="J826" i="1"/>
  <c r="J826" i="5" s="1"/>
  <c r="H826" i="5"/>
  <c r="M820" i="1"/>
  <c r="M820" i="5" s="1"/>
  <c r="H820" i="5"/>
  <c r="X820" i="5" s="1"/>
  <c r="Z820" i="5" s="1"/>
  <c r="V818" i="1"/>
  <c r="V818" i="5" s="1"/>
  <c r="Q813" i="1"/>
  <c r="Q813" i="5" s="1"/>
  <c r="P813" i="5"/>
  <c r="X813" i="5" s="1"/>
  <c r="Z813" i="5" s="1"/>
  <c r="X799" i="1"/>
  <c r="X765" i="2" s="1"/>
  <c r="P799" i="5"/>
  <c r="X799" i="5" s="1"/>
  <c r="Z799" i="5" s="1"/>
  <c r="X796" i="1"/>
  <c r="X763" i="2" s="1"/>
  <c r="H796" i="5"/>
  <c r="J794" i="1"/>
  <c r="J794" i="5" s="1"/>
  <c r="H794" i="5"/>
  <c r="M793" i="1"/>
  <c r="M793" i="5" s="1"/>
  <c r="M792" i="1"/>
  <c r="M792" i="5" s="1"/>
  <c r="M791" i="1"/>
  <c r="M791" i="5" s="1"/>
  <c r="H785" i="1"/>
  <c r="F785" i="5"/>
  <c r="M769" i="1"/>
  <c r="M769" i="5" s="1"/>
  <c r="H769" i="5"/>
  <c r="X769" i="5" s="1"/>
  <c r="Z769" i="5" s="1"/>
  <c r="Q767" i="1"/>
  <c r="Q767" i="5" s="1"/>
  <c r="P767" i="5"/>
  <c r="M766" i="1"/>
  <c r="M766" i="5" s="1"/>
  <c r="X765" i="1"/>
  <c r="H765" i="5"/>
  <c r="K781" i="5"/>
  <c r="M761" i="1"/>
  <c r="M761" i="5" s="1"/>
  <c r="H761" i="5"/>
  <c r="J750" i="1"/>
  <c r="J750" i="5" s="1"/>
  <c r="H750" i="5"/>
  <c r="M749" i="1"/>
  <c r="M749" i="5" s="1"/>
  <c r="U741" i="1"/>
  <c r="U741" i="5" s="1"/>
  <c r="X741" i="1"/>
  <c r="H741" i="5"/>
  <c r="X741" i="5" s="1"/>
  <c r="Z741" i="5" s="1"/>
  <c r="M740" i="1"/>
  <c r="M740" i="5" s="1"/>
  <c r="U737" i="1"/>
  <c r="P737" i="5"/>
  <c r="Q734" i="1"/>
  <c r="Q734" i="5" s="1"/>
  <c r="P734" i="5"/>
  <c r="X734" i="5" s="1"/>
  <c r="Z734" i="5" s="1"/>
  <c r="U731" i="1"/>
  <c r="U731" i="5" s="1"/>
  <c r="P731" i="5"/>
  <c r="U730" i="1"/>
  <c r="U730" i="5" s="1"/>
  <c r="Q729" i="1"/>
  <c r="Q729" i="5" s="1"/>
  <c r="P729" i="5"/>
  <c r="X729" i="5" s="1"/>
  <c r="Z729" i="5" s="1"/>
  <c r="Q724" i="1"/>
  <c r="Q724" i="5" s="1"/>
  <c r="P724" i="5"/>
  <c r="X724" i="5" s="1"/>
  <c r="Z724" i="5" s="1"/>
  <c r="M723" i="1"/>
  <c r="M723" i="5" s="1"/>
  <c r="H723" i="5"/>
  <c r="X723" i="5" s="1"/>
  <c r="Z723" i="5" s="1"/>
  <c r="X712" i="5"/>
  <c r="Z712" i="5" s="1"/>
  <c r="X711" i="5"/>
  <c r="Z711" i="5" s="1"/>
  <c r="Q707" i="1"/>
  <c r="Q707" i="5" s="1"/>
  <c r="P707" i="5"/>
  <c r="X707" i="5" s="1"/>
  <c r="Z707" i="5" s="1"/>
  <c r="X706" i="1"/>
  <c r="H706" i="5"/>
  <c r="U704" i="1"/>
  <c r="U704" i="5" s="1"/>
  <c r="P704" i="5"/>
  <c r="X704" i="5" s="1"/>
  <c r="Z704" i="5" s="1"/>
  <c r="M702" i="1"/>
  <c r="M702" i="5" s="1"/>
  <c r="M701" i="1"/>
  <c r="M701" i="5" s="1"/>
  <c r="Q700" i="1"/>
  <c r="Q700" i="5" s="1"/>
  <c r="P700" i="5"/>
  <c r="X700" i="5" s="1"/>
  <c r="Z700" i="5" s="1"/>
  <c r="X697" i="1"/>
  <c r="H697" i="5"/>
  <c r="X697" i="5" s="1"/>
  <c r="Z697" i="5" s="1"/>
  <c r="V685" i="1"/>
  <c r="V685" i="5" s="1"/>
  <c r="I691" i="1"/>
  <c r="I679" i="5"/>
  <c r="I691" i="5" s="1"/>
  <c r="I961" i="5" s="1"/>
  <c r="I2925" i="5" s="1"/>
  <c r="F691" i="5"/>
  <c r="X673" i="5"/>
  <c r="Z673" i="5" s="1"/>
  <c r="X670" i="1"/>
  <c r="X642" i="2" s="1"/>
  <c r="H670" i="5"/>
  <c r="X668" i="5"/>
  <c r="Z668" i="5" s="1"/>
  <c r="V665" i="1"/>
  <c r="V665" i="5" s="1"/>
  <c r="V650" i="1"/>
  <c r="V650" i="5" s="1"/>
  <c r="U649" i="1"/>
  <c r="U649" i="5" s="1"/>
  <c r="P649" i="5"/>
  <c r="F637" i="1"/>
  <c r="F634" i="5"/>
  <c r="F638" i="5" s="1"/>
  <c r="X633" i="5"/>
  <c r="X616" i="5"/>
  <c r="X610" i="1"/>
  <c r="P611" i="5"/>
  <c r="U596" i="1"/>
  <c r="U597" i="5" s="1"/>
  <c r="P597" i="5"/>
  <c r="X597" i="5" s="1"/>
  <c r="Z597" i="5" s="1"/>
  <c r="H595" i="1"/>
  <c r="F596" i="5"/>
  <c r="F607" i="5" s="1"/>
  <c r="M593" i="1"/>
  <c r="M594" i="5" s="1"/>
  <c r="H594" i="5"/>
  <c r="X594" i="5" s="1"/>
  <c r="Z594" i="5" s="1"/>
  <c r="M591" i="1"/>
  <c r="M592" i="5" s="1"/>
  <c r="H592" i="5"/>
  <c r="X592" i="5" s="1"/>
  <c r="Z592" i="5" s="1"/>
  <c r="M586" i="1"/>
  <c r="H587" i="5"/>
  <c r="X587" i="5" s="1"/>
  <c r="Z587" i="5" s="1"/>
  <c r="U579" i="1"/>
  <c r="U580" i="5" s="1"/>
  <c r="P580" i="5"/>
  <c r="X580" i="5" s="1"/>
  <c r="Z580" i="5" s="1"/>
  <c r="X574" i="5"/>
  <c r="Z574" i="5" s="1"/>
  <c r="U566" i="1"/>
  <c r="U567" i="5" s="1"/>
  <c r="P567" i="5"/>
  <c r="X567" i="5" s="1"/>
  <c r="Z567" i="5" s="1"/>
  <c r="V551" i="1"/>
  <c r="V550" i="5" s="1"/>
  <c r="V543" i="1"/>
  <c r="P542" i="5"/>
  <c r="X533" i="5"/>
  <c r="Z533" i="5" s="1"/>
  <c r="M532" i="1"/>
  <c r="M531" i="5" s="1"/>
  <c r="H531" i="5"/>
  <c r="X531" i="5" s="1"/>
  <c r="Z531" i="5" s="1"/>
  <c r="U518" i="1"/>
  <c r="U517" i="5" s="1"/>
  <c r="P517" i="5"/>
  <c r="X517" i="5" s="1"/>
  <c r="Z517" i="5" s="1"/>
  <c r="X507" i="1"/>
  <c r="H506" i="5"/>
  <c r="X506" i="5" s="1"/>
  <c r="Z506" i="5" s="1"/>
  <c r="X493" i="5"/>
  <c r="Z493" i="5" s="1"/>
  <c r="M493" i="1"/>
  <c r="M492" i="5" s="1"/>
  <c r="H492" i="5"/>
  <c r="X492" i="5" s="1"/>
  <c r="Z492" i="5" s="1"/>
  <c r="V484" i="1"/>
  <c r="X479" i="5"/>
  <c r="Z479" i="5" s="1"/>
  <c r="U478" i="1"/>
  <c r="U477" i="5" s="1"/>
  <c r="P477" i="5"/>
  <c r="V467" i="1"/>
  <c r="V466" i="5" s="1"/>
  <c r="H466" i="5"/>
  <c r="X466" i="5" s="1"/>
  <c r="Z466" i="5" s="1"/>
  <c r="V465" i="1"/>
  <c r="V464" i="5" s="1"/>
  <c r="P442" i="2"/>
  <c r="P462" i="5"/>
  <c r="P458" i="1"/>
  <c r="V455" i="1"/>
  <c r="V454" i="5" s="1"/>
  <c r="H439" i="4"/>
  <c r="H439" i="5"/>
  <c r="X438" i="1"/>
  <c r="X437" i="5" s="1"/>
  <c r="P437" i="5"/>
  <c r="V437" i="1"/>
  <c r="V431" i="1"/>
  <c r="X430" i="1"/>
  <c r="X429" i="5" s="1"/>
  <c r="V429" i="1"/>
  <c r="V428" i="5" s="1"/>
  <c r="P428" i="5"/>
  <c r="X417" i="5"/>
  <c r="X415" i="5"/>
  <c r="J415" i="1"/>
  <c r="J414" i="5" s="1"/>
  <c r="H414" i="5"/>
  <c r="X414" i="5" s="1"/>
  <c r="X413" i="5"/>
  <c r="M413" i="1"/>
  <c r="M412" i="5" s="1"/>
  <c r="H412" i="5"/>
  <c r="X412" i="5" s="1"/>
  <c r="X407" i="1"/>
  <c r="M405" i="1"/>
  <c r="M404" i="5" s="1"/>
  <c r="H395" i="4"/>
  <c r="H395" i="5"/>
  <c r="X395" i="5" s="1"/>
  <c r="Z395" i="5" s="1"/>
  <c r="P376" i="2"/>
  <c r="P392" i="5"/>
  <c r="H390" i="1"/>
  <c r="H389" i="5" s="1"/>
  <c r="X389" i="5" s="1"/>
  <c r="Z389" i="5" s="1"/>
  <c r="F389" i="5"/>
  <c r="X389" i="1"/>
  <c r="H388" i="5"/>
  <c r="X388" i="5" s="1"/>
  <c r="Z388" i="5" s="1"/>
  <c r="X384" i="5"/>
  <c r="Z384" i="5" s="1"/>
  <c r="X380" i="5"/>
  <c r="Z380" i="5" s="1"/>
  <c r="M368" i="1"/>
  <c r="M367" i="5" s="1"/>
  <c r="Z367" i="5"/>
  <c r="X365" i="5"/>
  <c r="Z365" i="5" s="1"/>
  <c r="X364" i="5"/>
  <c r="Z364" i="5" s="1"/>
  <c r="U363" i="1"/>
  <c r="U362" i="5" s="1"/>
  <c r="P362" i="5"/>
  <c r="X362" i="5" s="1"/>
  <c r="Z362" i="5" s="1"/>
  <c r="X360" i="1"/>
  <c r="X349" i="1"/>
  <c r="H348" i="5"/>
  <c r="X346" i="1"/>
  <c r="Z338" i="1"/>
  <c r="Z324" i="2" s="1"/>
  <c r="E337" i="5"/>
  <c r="E314" i="2"/>
  <c r="E327" i="5"/>
  <c r="M326" i="1"/>
  <c r="M325" i="5" s="1"/>
  <c r="H325" i="5"/>
  <c r="J323" i="1"/>
  <c r="J322" i="5" s="1"/>
  <c r="H322" i="5"/>
  <c r="X322" i="5" s="1"/>
  <c r="Z322" i="5" s="1"/>
  <c r="M322" i="1"/>
  <c r="M321" i="5" s="1"/>
  <c r="I313" i="1"/>
  <c r="H311" i="1"/>
  <c r="H310" i="5" s="1"/>
  <c r="F310" i="5"/>
  <c r="H297" i="1"/>
  <c r="F296" i="5"/>
  <c r="E277" i="2"/>
  <c r="E289" i="5"/>
  <c r="H288" i="4"/>
  <c r="H288" i="5"/>
  <c r="X288" i="5" s="1"/>
  <c r="Z288" i="5" s="1"/>
  <c r="X287" i="5"/>
  <c r="X284" i="1"/>
  <c r="X283" i="5"/>
  <c r="Z283" i="5" s="1"/>
  <c r="M265" i="1"/>
  <c r="M264" i="5" s="1"/>
  <c r="H264" i="5"/>
  <c r="X264" i="5" s="1"/>
  <c r="J260" i="1"/>
  <c r="J259" i="5" s="1"/>
  <c r="H259" i="5"/>
  <c r="X258" i="1"/>
  <c r="X257" i="5" s="1"/>
  <c r="M257" i="1"/>
  <c r="M256" i="5" s="1"/>
  <c r="M255" i="1"/>
  <c r="M254" i="5" s="1"/>
  <c r="U247" i="1"/>
  <c r="U246" i="5" s="1"/>
  <c r="E245" i="4"/>
  <c r="E245" i="5"/>
  <c r="J244" i="1"/>
  <c r="J243" i="5" s="1"/>
  <c r="H243" i="5"/>
  <c r="H243" i="1"/>
  <c r="F242" i="5"/>
  <c r="U233" i="1"/>
  <c r="U233" i="5" s="1"/>
  <c r="P233" i="5"/>
  <c r="U229" i="1"/>
  <c r="P229" i="5"/>
  <c r="M226" i="1"/>
  <c r="H226" i="5"/>
  <c r="X226" i="5" s="1"/>
  <c r="Z226" i="5" s="1"/>
  <c r="J2919" i="5"/>
  <c r="X220" i="1"/>
  <c r="H220" i="5"/>
  <c r="X217" i="5"/>
  <c r="Z217" i="5" s="1"/>
  <c r="U215" i="1"/>
  <c r="U215" i="5" s="1"/>
  <c r="P215" i="5"/>
  <c r="U204" i="1"/>
  <c r="U204" i="5" s="1"/>
  <c r="P204" i="5"/>
  <c r="X201" i="1"/>
  <c r="H201" i="5"/>
  <c r="X201" i="5" s="1"/>
  <c r="Z201" i="5" s="1"/>
  <c r="U200" i="1"/>
  <c r="U200" i="5" s="1"/>
  <c r="P200" i="5"/>
  <c r="X196" i="5"/>
  <c r="Z196" i="5" s="1"/>
  <c r="X193" i="1"/>
  <c r="H193" i="5"/>
  <c r="X193" i="5" s="1"/>
  <c r="Z193" i="5" s="1"/>
  <c r="H181" i="2"/>
  <c r="H189" i="5"/>
  <c r="U187" i="1"/>
  <c r="U187" i="5" s="1"/>
  <c r="P187" i="5"/>
  <c r="V179" i="1"/>
  <c r="P179" i="5"/>
  <c r="V177" i="1"/>
  <c r="P177" i="5"/>
  <c r="X176" i="1"/>
  <c r="X176" i="5"/>
  <c r="Z176" i="5" s="1"/>
  <c r="X174" i="5"/>
  <c r="Z174" i="5" s="1"/>
  <c r="M171" i="1"/>
  <c r="M171" i="5" s="1"/>
  <c r="H171" i="5"/>
  <c r="V158" i="1"/>
  <c r="V158" i="5" s="1"/>
  <c r="H158" i="5"/>
  <c r="X158" i="5" s="1"/>
  <c r="U156" i="1"/>
  <c r="U156" i="5" s="1"/>
  <c r="P156" i="5"/>
  <c r="U154" i="1"/>
  <c r="U154" i="5" s="1"/>
  <c r="P154" i="5"/>
  <c r="X154" i="5" s="1"/>
  <c r="M147" i="1"/>
  <c r="M147" i="5" s="1"/>
  <c r="H147" i="5"/>
  <c r="U145" i="1"/>
  <c r="U145" i="5" s="1"/>
  <c r="P145" i="5"/>
  <c r="U143" i="1"/>
  <c r="U143" i="5" s="1"/>
  <c r="P143" i="5"/>
  <c r="X140" i="1"/>
  <c r="P140" i="5"/>
  <c r="V139" i="1"/>
  <c r="V139" i="5" s="1"/>
  <c r="J132" i="1"/>
  <c r="U128" i="1"/>
  <c r="U128" i="5" s="1"/>
  <c r="P128" i="5"/>
  <c r="X128" i="5" s="1"/>
  <c r="Z128" i="5" s="1"/>
  <c r="M127" i="1"/>
  <c r="M127" i="5" s="1"/>
  <c r="H127" i="5"/>
  <c r="X124" i="5"/>
  <c r="Z124" i="5" s="1"/>
  <c r="X114" i="5"/>
  <c r="Z114" i="5" s="1"/>
  <c r="X103" i="5"/>
  <c r="Z103" i="5" s="1"/>
  <c r="X101" i="5"/>
  <c r="Z101" i="5" s="1"/>
  <c r="X99" i="5"/>
  <c r="Z99" i="5" s="1"/>
  <c r="X97" i="5"/>
  <c r="Z97" i="5" s="1"/>
  <c r="X95" i="5"/>
  <c r="Z95" i="5" s="1"/>
  <c r="V90" i="1"/>
  <c r="V90" i="5" s="1"/>
  <c r="H90" i="5"/>
  <c r="X90" i="5" s="1"/>
  <c r="Z90" i="5" s="1"/>
  <c r="H81" i="2"/>
  <c r="H85" i="5"/>
  <c r="X85" i="5" s="1"/>
  <c r="Z85" i="5" s="1"/>
  <c r="X80" i="5"/>
  <c r="Z80" i="5" s="1"/>
  <c r="H75" i="2"/>
  <c r="H79" i="5"/>
  <c r="V75" i="1"/>
  <c r="F2917" i="5"/>
  <c r="V50" i="1"/>
  <c r="V50" i="5" s="1"/>
  <c r="P50" i="5"/>
  <c r="X50" i="5" s="1"/>
  <c r="Z50" i="5" s="1"/>
  <c r="X49" i="5"/>
  <c r="Z49" i="5" s="1"/>
  <c r="M38" i="1"/>
  <c r="H38" i="5"/>
  <c r="M34" i="1"/>
  <c r="M34" i="5" s="1"/>
  <c r="H34" i="5"/>
  <c r="V32" i="1"/>
  <c r="P29" i="2"/>
  <c r="P30" i="5"/>
  <c r="X2681" i="2"/>
  <c r="Z2681" i="2" s="1"/>
  <c r="AA2680" i="2"/>
  <c r="AB2680" i="2" s="1"/>
  <c r="U2665" i="2"/>
  <c r="X2664" i="2"/>
  <c r="Z2664" i="2" s="1"/>
  <c r="X2654" i="2"/>
  <c r="Z2654" i="2" s="1"/>
  <c r="X2649" i="2"/>
  <c r="Z2649" i="2" s="1"/>
  <c r="X2627" i="2"/>
  <c r="Z2627" i="2" s="1"/>
  <c r="X2617" i="2"/>
  <c r="Z2617" i="2" s="1"/>
  <c r="T2594" i="2"/>
  <c r="T2750" i="2" s="1"/>
  <c r="U2558" i="2"/>
  <c r="V2542" i="2"/>
  <c r="W2542" i="2" s="1"/>
  <c r="U2537" i="2"/>
  <c r="U2522" i="2"/>
  <c r="S2511" i="2"/>
  <c r="S2748" i="2" s="1"/>
  <c r="N2509" i="2"/>
  <c r="M2503" i="2"/>
  <c r="AA2503" i="2" s="1"/>
  <c r="AB2503" i="2" s="1"/>
  <c r="M2502" i="2"/>
  <c r="AA2502" i="2" s="1"/>
  <c r="AB2502" i="2" s="1"/>
  <c r="U2500" i="2"/>
  <c r="U2499" i="2"/>
  <c r="M2498" i="2"/>
  <c r="AA2498" i="2" s="1"/>
  <c r="AB2498" i="2" s="1"/>
  <c r="U2496" i="2"/>
  <c r="U2495" i="2"/>
  <c r="M2494" i="2"/>
  <c r="AA2494" i="2" s="1"/>
  <c r="AB2494" i="2" s="1"/>
  <c r="V2486" i="2"/>
  <c r="W2486" i="2" s="1"/>
  <c r="V2478" i="2"/>
  <c r="W2478" i="2" s="1"/>
  <c r="U2437" i="2"/>
  <c r="X2419" i="2"/>
  <c r="Z2419" i="2" s="1"/>
  <c r="M2411" i="2"/>
  <c r="U2410" i="2"/>
  <c r="U2395" i="2"/>
  <c r="M2388" i="2"/>
  <c r="AA2388" i="2" s="1"/>
  <c r="AB2388" i="2" s="1"/>
  <c r="H2375" i="2"/>
  <c r="V2375" i="2" s="1"/>
  <c r="U2374" i="2"/>
  <c r="U2354" i="2"/>
  <c r="X2333" i="2"/>
  <c r="Z2333" i="2" s="1"/>
  <c r="U2329" i="2"/>
  <c r="AA2329" i="2" s="1"/>
  <c r="AB2329" i="2" s="1"/>
  <c r="X2328" i="2"/>
  <c r="Z2328" i="2" s="1"/>
  <c r="J2300" i="2"/>
  <c r="Q2297" i="2"/>
  <c r="U2283" i="2"/>
  <c r="Q2268" i="2"/>
  <c r="J2267" i="2"/>
  <c r="Q2262" i="2"/>
  <c r="J2257" i="2"/>
  <c r="Q2256" i="2"/>
  <c r="M2255" i="2"/>
  <c r="M2242" i="2"/>
  <c r="J2240" i="2"/>
  <c r="I2314" i="2"/>
  <c r="I2744" i="2" s="1"/>
  <c r="U2229" i="2"/>
  <c r="Q2226" i="2"/>
  <c r="J2220" i="2"/>
  <c r="Q2216" i="2"/>
  <c r="V2314" i="2"/>
  <c r="V2744" i="2" s="1"/>
  <c r="X2204" i="2"/>
  <c r="Q2199" i="2"/>
  <c r="Q2192" i="2"/>
  <c r="X2184" i="2"/>
  <c r="Z2184" i="2" s="1"/>
  <c r="J2177" i="2"/>
  <c r="Q2162" i="2"/>
  <c r="Q2114" i="2"/>
  <c r="Q2112" i="2"/>
  <c r="J2107" i="2"/>
  <c r="Q2091" i="2"/>
  <c r="U2089" i="2"/>
  <c r="AA2089" i="2" s="1"/>
  <c r="AB2089" i="2" s="1"/>
  <c r="J2083" i="2"/>
  <c r="U2082" i="2"/>
  <c r="X2080" i="2"/>
  <c r="Z2080" i="2" s="1"/>
  <c r="Q2075" i="2"/>
  <c r="X2057" i="2"/>
  <c r="Z2057" i="2" s="1"/>
  <c r="J2048" i="2"/>
  <c r="Q2046" i="2"/>
  <c r="X2041" i="2"/>
  <c r="J2041" i="2"/>
  <c r="J2040" i="2"/>
  <c r="X2036" i="2"/>
  <c r="Z2036" i="2" s="1"/>
  <c r="Q2027" i="2"/>
  <c r="Q2024" i="2"/>
  <c r="X2017" i="2"/>
  <c r="Z2017" i="2" s="1"/>
  <c r="Q2016" i="2"/>
  <c r="X2015" i="2"/>
  <c r="Z2015" i="2" s="1"/>
  <c r="U2013" i="2"/>
  <c r="U2006" i="2"/>
  <c r="U2003" i="2"/>
  <c r="M2002" i="2"/>
  <c r="J2001" i="2"/>
  <c r="X1990" i="2"/>
  <c r="Z1990" i="2" s="1"/>
  <c r="Q1983" i="2"/>
  <c r="S1967" i="2"/>
  <c r="S2740" i="2" s="1"/>
  <c r="M1953" i="2"/>
  <c r="AA1953" i="2" s="1"/>
  <c r="AB1953" i="2" s="1"/>
  <c r="U1937" i="2"/>
  <c r="X1936" i="2"/>
  <c r="Z1936" i="2" s="1"/>
  <c r="X1915" i="2"/>
  <c r="Z1915" i="2" s="1"/>
  <c r="P1912" i="2"/>
  <c r="U1912" i="2" s="1"/>
  <c r="X1909" i="2"/>
  <c r="Z1909" i="2" s="1"/>
  <c r="V1902" i="2"/>
  <c r="Q1850" i="2"/>
  <c r="Q1835" i="2"/>
  <c r="J1832" i="2"/>
  <c r="X1825" i="2"/>
  <c r="Z1825" i="2" s="1"/>
  <c r="M1825" i="2"/>
  <c r="AA1825" i="2" s="1"/>
  <c r="AB1825" i="2" s="1"/>
  <c r="Z1815" i="2"/>
  <c r="X1810" i="2"/>
  <c r="Z1810" i="2" s="1"/>
  <c r="J1808" i="2"/>
  <c r="U1805" i="2"/>
  <c r="I2686" i="2"/>
  <c r="AA2677" i="2"/>
  <c r="AB2677" i="2" s="1"/>
  <c r="T2511" i="2"/>
  <c r="T2748" i="2" s="1"/>
  <c r="AA2442" i="2"/>
  <c r="AB2442" i="2" s="1"/>
  <c r="AA2393" i="2"/>
  <c r="AB2393" i="2" s="1"/>
  <c r="AA2365" i="2"/>
  <c r="AB2365" i="2" s="1"/>
  <c r="AA2362" i="2"/>
  <c r="AB2362" i="2" s="1"/>
  <c r="AA2361" i="2"/>
  <c r="AB2361" i="2" s="1"/>
  <c r="AA2343" i="2"/>
  <c r="AB2343" i="2" s="1"/>
  <c r="AA2258" i="2"/>
  <c r="AB2258" i="2" s="1"/>
  <c r="AA1921" i="2"/>
  <c r="AB1921" i="2" s="1"/>
  <c r="AA1898" i="2"/>
  <c r="AB1898" i="2" s="1"/>
  <c r="AA1843" i="2"/>
  <c r="AB1843" i="2" s="1"/>
  <c r="R2655" i="2"/>
  <c r="AB2237" i="4"/>
  <c r="AB2237" i="5"/>
  <c r="U2234" i="4"/>
  <c r="U2234" i="5"/>
  <c r="X2232" i="5"/>
  <c r="Z2232" i="5" s="1"/>
  <c r="F2226" i="4"/>
  <c r="F2226" i="5"/>
  <c r="J2223" i="4"/>
  <c r="J2223" i="5"/>
  <c r="X2215" i="5"/>
  <c r="Z2215" i="5" s="1"/>
  <c r="P2205" i="4"/>
  <c r="P2205" i="5"/>
  <c r="H2199" i="4"/>
  <c r="H2199" i="5"/>
  <c r="X2199" i="5" s="1"/>
  <c r="Z2197" i="5"/>
  <c r="F2191" i="4"/>
  <c r="F2191" i="5"/>
  <c r="F2194" i="5" s="1"/>
  <c r="J2192" i="1"/>
  <c r="H2188" i="5"/>
  <c r="X2188" i="5" s="1"/>
  <c r="Z2188" i="5" s="1"/>
  <c r="X2178" i="5"/>
  <c r="Z2178" i="5" s="1"/>
  <c r="U2166" i="4"/>
  <c r="U2166" i="5"/>
  <c r="X2159" i="5"/>
  <c r="Z2150" i="5"/>
  <c r="F2145" i="4"/>
  <c r="F2145" i="5"/>
  <c r="P2144" i="4"/>
  <c r="P2144" i="5"/>
  <c r="H2143" i="4"/>
  <c r="H2143" i="5"/>
  <c r="X2143" i="5" s="1"/>
  <c r="U2136" i="4"/>
  <c r="U2136" i="5"/>
  <c r="U2135" i="4"/>
  <c r="U2135" i="5"/>
  <c r="J2133" i="4"/>
  <c r="J2133" i="5"/>
  <c r="P2129" i="4"/>
  <c r="P2129" i="5"/>
  <c r="E2127" i="4"/>
  <c r="E2127" i="5"/>
  <c r="X2125" i="5"/>
  <c r="F2122" i="4"/>
  <c r="F2122" i="5"/>
  <c r="X2119" i="5"/>
  <c r="P2108" i="4"/>
  <c r="P2108" i="5"/>
  <c r="Q2102" i="4"/>
  <c r="Q2102" i="5"/>
  <c r="Q2098" i="4"/>
  <c r="Q2098" i="5"/>
  <c r="H2096" i="4"/>
  <c r="H2096" i="5"/>
  <c r="P2093" i="4"/>
  <c r="P2093" i="5"/>
  <c r="H2089" i="4"/>
  <c r="H2089" i="5"/>
  <c r="U2086" i="4"/>
  <c r="U2086" i="5"/>
  <c r="H2086" i="4"/>
  <c r="H2086" i="5"/>
  <c r="M2079" i="1"/>
  <c r="H2075" i="5"/>
  <c r="X2075" i="5" s="1"/>
  <c r="Z2075" i="5" s="1"/>
  <c r="M2076" i="1"/>
  <c r="H2072" i="5"/>
  <c r="X2072" i="5" s="1"/>
  <c r="Z2072" i="5" s="1"/>
  <c r="M2072" i="1"/>
  <c r="M2068" i="5" s="1"/>
  <c r="H2068" i="5"/>
  <c r="X2068" i="5" s="1"/>
  <c r="Z2068" i="5" s="1"/>
  <c r="M2068" i="1"/>
  <c r="H2064" i="5"/>
  <c r="X2064" i="5" s="1"/>
  <c r="Z2064" i="5" s="1"/>
  <c r="G2055" i="4"/>
  <c r="G2055" i="5"/>
  <c r="G2059" i="5" s="1"/>
  <c r="U2052" i="4"/>
  <c r="U2052" i="5"/>
  <c r="H2050" i="4"/>
  <c r="H2050" i="5"/>
  <c r="X2050" i="5" s="1"/>
  <c r="Z2050" i="5" s="1"/>
  <c r="X2050" i="1"/>
  <c r="Z2050" i="1" s="1"/>
  <c r="P2046" i="5"/>
  <c r="X2043" i="5"/>
  <c r="Z2043" i="5" s="1"/>
  <c r="N2041" i="4"/>
  <c r="N2041" i="5"/>
  <c r="N2059" i="5" s="1"/>
  <c r="N2081" i="5" s="1"/>
  <c r="N2935" i="5" s="1"/>
  <c r="X2026" i="5"/>
  <c r="Z2026" i="5" s="1"/>
  <c r="P2021" i="4"/>
  <c r="P2021" i="5"/>
  <c r="X2017" i="5"/>
  <c r="Z2017" i="5" s="1"/>
  <c r="E2009" i="4"/>
  <c r="E2009" i="5"/>
  <c r="G2007" i="4"/>
  <c r="G2007" i="5"/>
  <c r="G2011" i="5" s="1"/>
  <c r="E2006" i="4"/>
  <c r="E2006" i="5"/>
  <c r="H2002" i="4"/>
  <c r="H2002" i="5"/>
  <c r="X2002" i="5" s="1"/>
  <c r="U2000" i="4"/>
  <c r="U2000" i="5"/>
  <c r="X1996" i="5"/>
  <c r="M1987" i="1"/>
  <c r="H1983" i="5"/>
  <c r="P1979" i="4"/>
  <c r="P1979" i="5"/>
  <c r="X1964" i="5"/>
  <c r="Z1964" i="5" s="1"/>
  <c r="X1959" i="5"/>
  <c r="Z1959" i="5" s="1"/>
  <c r="X1956" i="5"/>
  <c r="P1948" i="4"/>
  <c r="P1948" i="5"/>
  <c r="X1943" i="5"/>
  <c r="Z1943" i="5" s="1"/>
  <c r="P1938" i="4"/>
  <c r="P1938" i="5"/>
  <c r="X1935" i="5"/>
  <c r="Q1933" i="4"/>
  <c r="Q1933" i="5"/>
  <c r="P1931" i="4"/>
  <c r="P1931" i="5"/>
  <c r="U1930" i="4"/>
  <c r="U1930" i="5"/>
  <c r="Q1933" i="1"/>
  <c r="P1929" i="5"/>
  <c r="U1926" i="4"/>
  <c r="U1926" i="5"/>
  <c r="P1918" i="4"/>
  <c r="P1918" i="5"/>
  <c r="X1914" i="5"/>
  <c r="H1912" i="4"/>
  <c r="H1912" i="5"/>
  <c r="X1912" i="5" s="1"/>
  <c r="Z1912" i="5" s="1"/>
  <c r="X1905" i="5"/>
  <c r="Z1905" i="5" s="1"/>
  <c r="Z1890" i="5"/>
  <c r="E1888" i="4"/>
  <c r="E1888" i="5"/>
  <c r="E1887" i="4"/>
  <c r="E1887" i="5"/>
  <c r="U1889" i="1"/>
  <c r="U1885" i="5" s="1"/>
  <c r="P1885" i="5"/>
  <c r="X1871" i="5"/>
  <c r="Z1871" i="5" s="1"/>
  <c r="X1861" i="5"/>
  <c r="H1864" i="1"/>
  <c r="F1860" i="5"/>
  <c r="M1855" i="1"/>
  <c r="M1851" i="5" s="1"/>
  <c r="H1851" i="5"/>
  <c r="X1851" i="5" s="1"/>
  <c r="Z1848" i="5"/>
  <c r="X1841" i="5"/>
  <c r="Z1841" i="5" s="1"/>
  <c r="M1835" i="1"/>
  <c r="M1831" i="5" s="1"/>
  <c r="H1831" i="5"/>
  <c r="X1831" i="5" s="1"/>
  <c r="Z1831" i="5" s="1"/>
  <c r="X1823" i="5"/>
  <c r="Z1823" i="5" s="1"/>
  <c r="Q1822" i="1"/>
  <c r="Q1818" i="5" s="1"/>
  <c r="P1818" i="5"/>
  <c r="H1820" i="1"/>
  <c r="F1816" i="5"/>
  <c r="X1810" i="5"/>
  <c r="Z1810" i="5" s="1"/>
  <c r="X1805" i="5"/>
  <c r="U1797" i="4"/>
  <c r="U1797" i="5"/>
  <c r="Z1787" i="5"/>
  <c r="M1774" i="1"/>
  <c r="M1770" i="5" s="1"/>
  <c r="H1770" i="5"/>
  <c r="X1770" i="5" s="1"/>
  <c r="M1768" i="1"/>
  <c r="M1764" i="5" s="1"/>
  <c r="H1764" i="5"/>
  <c r="X1764" i="5" s="1"/>
  <c r="X1752" i="1"/>
  <c r="X1748" i="5" s="1"/>
  <c r="P1748" i="5"/>
  <c r="M1736" i="1"/>
  <c r="M1733" i="5" s="1"/>
  <c r="H1733" i="5"/>
  <c r="X1733" i="5" s="1"/>
  <c r="M1734" i="1"/>
  <c r="M1731" i="5" s="1"/>
  <c r="H1731" i="5"/>
  <c r="X1731" i="5" s="1"/>
  <c r="X1730" i="5"/>
  <c r="X1728" i="5"/>
  <c r="U1721" i="1"/>
  <c r="U1718" i="5" s="1"/>
  <c r="P1718" i="5"/>
  <c r="AA1720" i="1"/>
  <c r="AA1717" i="5" s="1"/>
  <c r="M1717" i="5"/>
  <c r="X1712" i="5"/>
  <c r="R2781" i="5"/>
  <c r="R2781" i="4"/>
  <c r="M1710" i="1"/>
  <c r="M1707" i="5" s="1"/>
  <c r="H1707" i="5"/>
  <c r="X1707" i="5" s="1"/>
  <c r="M1708" i="1"/>
  <c r="M1705" i="5" s="1"/>
  <c r="H1705" i="5"/>
  <c r="X1705" i="5" s="1"/>
  <c r="M1706" i="1"/>
  <c r="M1703" i="5" s="1"/>
  <c r="H1703" i="5"/>
  <c r="X1703" i="5" s="1"/>
  <c r="M1704" i="1"/>
  <c r="M1701" i="5" s="1"/>
  <c r="H1701" i="5"/>
  <c r="X1701" i="5" s="1"/>
  <c r="X1700" i="5"/>
  <c r="M1698" i="1"/>
  <c r="M1695" i="5" s="1"/>
  <c r="H1695" i="5"/>
  <c r="X1695" i="5" s="1"/>
  <c r="U1693" i="4"/>
  <c r="U1693" i="5"/>
  <c r="X1689" i="5"/>
  <c r="M1689" i="1"/>
  <c r="M1686" i="5" s="1"/>
  <c r="H1686" i="5"/>
  <c r="X1686" i="5" s="1"/>
  <c r="X1683" i="5"/>
  <c r="V1684" i="1"/>
  <c r="V1681" i="5" s="1"/>
  <c r="P1681" i="5"/>
  <c r="E1674" i="4"/>
  <c r="E1674" i="5"/>
  <c r="F1739" i="5"/>
  <c r="F2931" i="5" s="1"/>
  <c r="H1671" i="4"/>
  <c r="H1671" i="5"/>
  <c r="X1671" i="5" s="1"/>
  <c r="U1667" i="1"/>
  <c r="U1664" i="5" s="1"/>
  <c r="P1664" i="5"/>
  <c r="U1665" i="1"/>
  <c r="U1662" i="5" s="1"/>
  <c r="P1662" i="5"/>
  <c r="H1656" i="4"/>
  <c r="H1656" i="5"/>
  <c r="X1656" i="5" s="1"/>
  <c r="X1657" i="1"/>
  <c r="Z1657" i="1" s="1"/>
  <c r="P1654" i="5"/>
  <c r="U1649" i="1"/>
  <c r="U1646" i="5" s="1"/>
  <c r="P1646" i="5"/>
  <c r="H1636" i="4"/>
  <c r="H1636" i="5"/>
  <c r="X1636" i="5" s="1"/>
  <c r="M1636" i="1"/>
  <c r="M1633" i="5" s="1"/>
  <c r="H1633" i="5"/>
  <c r="X1633" i="5" s="1"/>
  <c r="X1629" i="5"/>
  <c r="V1630" i="1"/>
  <c r="V1627" i="5" s="1"/>
  <c r="P1627" i="5"/>
  <c r="X1624" i="5"/>
  <c r="V1624" i="1"/>
  <c r="V1621" i="5" s="1"/>
  <c r="P1621" i="5"/>
  <c r="M1611" i="4"/>
  <c r="M1611" i="5"/>
  <c r="V1613" i="1"/>
  <c r="P1610" i="5"/>
  <c r="X1610" i="5" s="1"/>
  <c r="M1612" i="1"/>
  <c r="M1609" i="5" s="1"/>
  <c r="H1609" i="5"/>
  <c r="X1609" i="5" s="1"/>
  <c r="X1603" i="5"/>
  <c r="S2777" i="5"/>
  <c r="S2777" i="4"/>
  <c r="U1593" i="1"/>
  <c r="U1590" i="5" s="1"/>
  <c r="P1590" i="5"/>
  <c r="U1578" i="1"/>
  <c r="U1575" i="5" s="1"/>
  <c r="P1575" i="5"/>
  <c r="X1530" i="5"/>
  <c r="Z1530" i="5" s="1"/>
  <c r="Q1525" i="1"/>
  <c r="Q1524" i="5" s="1"/>
  <c r="P1524" i="5"/>
  <c r="X1521" i="5"/>
  <c r="Z1521" i="5" s="1"/>
  <c r="X1512" i="5"/>
  <c r="Z1512" i="5" s="1"/>
  <c r="J1507" i="1"/>
  <c r="J1506" i="5" s="1"/>
  <c r="H1506" i="5"/>
  <c r="X1506" i="5" s="1"/>
  <c r="Z1506" i="5" s="1"/>
  <c r="M1493" i="1"/>
  <c r="M1492" i="5" s="1"/>
  <c r="H1492" i="5"/>
  <c r="X1492" i="5" s="1"/>
  <c r="Z1492" i="5" s="1"/>
  <c r="P1491" i="4"/>
  <c r="P1491" i="5"/>
  <c r="X1491" i="1"/>
  <c r="P1490" i="5"/>
  <c r="V1489" i="1"/>
  <c r="V1488" i="5" s="1"/>
  <c r="P1488" i="5"/>
  <c r="E1488" i="5"/>
  <c r="X1486" i="5"/>
  <c r="Z1486" i="5" s="1"/>
  <c r="Z1483" i="5"/>
  <c r="V1479" i="1"/>
  <c r="V1478" i="5" s="1"/>
  <c r="P1478" i="5"/>
  <c r="V1478" i="1"/>
  <c r="V1477" i="5" s="1"/>
  <c r="P1477" i="5"/>
  <c r="V1476" i="1"/>
  <c r="V1475" i="5" s="1"/>
  <c r="P1475" i="5"/>
  <c r="J1475" i="1"/>
  <c r="J1474" i="5" s="1"/>
  <c r="H1474" i="5"/>
  <c r="M1468" i="4"/>
  <c r="M1468" i="5"/>
  <c r="H1467" i="4"/>
  <c r="H1467" i="5"/>
  <c r="X1467" i="5" s="1"/>
  <c r="Z1467" i="5" s="1"/>
  <c r="X1464" i="5"/>
  <c r="Z1464" i="5" s="1"/>
  <c r="Q1458" i="1"/>
  <c r="Q1457" i="5" s="1"/>
  <c r="E1457" i="5"/>
  <c r="U1451" i="1"/>
  <c r="U1450" i="5" s="1"/>
  <c r="P1450" i="5"/>
  <c r="Z1447" i="5"/>
  <c r="X1445" i="5"/>
  <c r="Z1445" i="5" s="1"/>
  <c r="Z1443" i="5"/>
  <c r="Q1438" i="1"/>
  <c r="Q1437" i="5" s="1"/>
  <c r="P1437" i="5"/>
  <c r="Z1436" i="5"/>
  <c r="Z1430" i="5"/>
  <c r="AA1430" i="1"/>
  <c r="AA1429" i="5" s="1"/>
  <c r="M1429" i="5"/>
  <c r="X1425" i="5"/>
  <c r="M1425" i="1"/>
  <c r="M1424" i="5" s="1"/>
  <c r="H1424" i="5"/>
  <c r="X1424" i="5" s="1"/>
  <c r="Z1424" i="5" s="1"/>
  <c r="U1422" i="1"/>
  <c r="U1421" i="5" s="1"/>
  <c r="P1421" i="5"/>
  <c r="V1421" i="1"/>
  <c r="V1420" i="5" s="1"/>
  <c r="P1420" i="5"/>
  <c r="V1419" i="1"/>
  <c r="V1418" i="5" s="1"/>
  <c r="P1418" i="5"/>
  <c r="J1417" i="1"/>
  <c r="J1416" i="5" s="1"/>
  <c r="H1416" i="5"/>
  <c r="X1416" i="5" s="1"/>
  <c r="Z1416" i="5" s="1"/>
  <c r="Q1416" i="1"/>
  <c r="Q1415" i="5" s="1"/>
  <c r="E1415" i="5"/>
  <c r="Z1415" i="5" s="1"/>
  <c r="X1414" i="1"/>
  <c r="P1413" i="5"/>
  <c r="X1413" i="5" s="1"/>
  <c r="Z1413" i="5" s="1"/>
  <c r="F1433" i="5"/>
  <c r="J1410" i="1"/>
  <c r="J1409" i="5" s="1"/>
  <c r="H1409" i="5"/>
  <c r="X1409" i="5" s="1"/>
  <c r="Z1409" i="5" s="1"/>
  <c r="X1408" i="5"/>
  <c r="X1405" i="5"/>
  <c r="V1400" i="1"/>
  <c r="V1399" i="5" s="1"/>
  <c r="P1399" i="5"/>
  <c r="P1396" i="4"/>
  <c r="P1396" i="5"/>
  <c r="Z1388" i="5"/>
  <c r="X1387" i="5"/>
  <c r="Z1387" i="5" s="1"/>
  <c r="X1385" i="5"/>
  <c r="Z1385" i="5" s="1"/>
  <c r="X1384" i="5"/>
  <c r="Z1384" i="5" s="1"/>
  <c r="X1383" i="5"/>
  <c r="Z1383" i="5" s="1"/>
  <c r="AA1383" i="1"/>
  <c r="AA1382" i="5" s="1"/>
  <c r="M1382" i="5"/>
  <c r="H1312" i="2"/>
  <c r="H1381" i="5"/>
  <c r="X1381" i="5" s="1"/>
  <c r="H1380" i="1"/>
  <c r="H1379" i="5" s="1"/>
  <c r="X1379" i="5" s="1"/>
  <c r="F1379" i="5"/>
  <c r="F1402" i="5" s="1"/>
  <c r="Z1378" i="5"/>
  <c r="V1374" i="1"/>
  <c r="V1373" i="5" s="1"/>
  <c r="P1373" i="5"/>
  <c r="X1373" i="1"/>
  <c r="H1372" i="5"/>
  <c r="X1372" i="5" s="1"/>
  <c r="Z1372" i="5" s="1"/>
  <c r="X1369" i="5"/>
  <c r="Z1369" i="5" s="1"/>
  <c r="X1367" i="5"/>
  <c r="Z1367" i="5" s="1"/>
  <c r="V1362" i="4"/>
  <c r="V1362" i="5"/>
  <c r="H1362" i="4"/>
  <c r="H1362" i="5"/>
  <c r="H1361" i="1"/>
  <c r="H1360" i="5" s="1"/>
  <c r="X1360" i="5" s="1"/>
  <c r="F1360" i="5"/>
  <c r="H1360" i="1"/>
  <c r="F1359" i="5"/>
  <c r="F1375" i="5" s="1"/>
  <c r="X1358" i="5"/>
  <c r="Z1358" i="5" s="1"/>
  <c r="X1351" i="5"/>
  <c r="Z1351" i="5" s="1"/>
  <c r="X1350" i="1"/>
  <c r="X1284" i="2" s="1"/>
  <c r="H1349" i="5"/>
  <c r="X1349" i="5" s="1"/>
  <c r="Z1348" i="5"/>
  <c r="Q1348" i="1"/>
  <c r="Q1347" i="5" s="1"/>
  <c r="P1347" i="5"/>
  <c r="J1347" i="1"/>
  <c r="J1346" i="5" s="1"/>
  <c r="H1346" i="5"/>
  <c r="X1346" i="5" s="1"/>
  <c r="Z1346" i="5" s="1"/>
  <c r="X1345" i="5"/>
  <c r="X1344" i="5"/>
  <c r="V1344" i="1"/>
  <c r="P1343" i="5"/>
  <c r="Q1344" i="1"/>
  <c r="Q1343" i="5" s="1"/>
  <c r="E1343" i="5"/>
  <c r="Z1342" i="5"/>
  <c r="X1334" i="5"/>
  <c r="Z1334" i="5" s="1"/>
  <c r="H1332" i="4"/>
  <c r="H1332" i="5"/>
  <c r="X1332" i="5" s="1"/>
  <c r="Z1332" i="5" s="1"/>
  <c r="M1331" i="1"/>
  <c r="M1330" i="5" s="1"/>
  <c r="H1330" i="5"/>
  <c r="X1330" i="5" s="1"/>
  <c r="Z1330" i="5" s="1"/>
  <c r="X1326" i="5"/>
  <c r="Z1326" i="5" s="1"/>
  <c r="Z1325" i="5"/>
  <c r="Z1322" i="5"/>
  <c r="Z1319" i="5"/>
  <c r="Q1318" i="1"/>
  <c r="Q1317" i="5" s="1"/>
  <c r="P1317" i="5"/>
  <c r="X1314" i="5"/>
  <c r="U1314" i="1"/>
  <c r="U1313" i="5" s="1"/>
  <c r="P1313" i="5"/>
  <c r="Z1305" i="5"/>
  <c r="H1305" i="1"/>
  <c r="H1304" i="5" s="1"/>
  <c r="X1304" i="5" s="1"/>
  <c r="Z1304" i="5" s="1"/>
  <c r="F1304" i="5"/>
  <c r="AA1304" i="1"/>
  <c r="AA1303" i="5" s="1"/>
  <c r="M1303" i="5"/>
  <c r="H1297" i="1"/>
  <c r="H1296" i="5" s="1"/>
  <c r="X1296" i="5" s="1"/>
  <c r="F1296" i="5"/>
  <c r="Q1295" i="1"/>
  <c r="Q1294" i="5" s="1"/>
  <c r="P1294" i="5"/>
  <c r="Q1294" i="1"/>
  <c r="Q1293" i="5" s="1"/>
  <c r="E1293" i="5"/>
  <c r="Z1293" i="5" s="1"/>
  <c r="Q1293" i="1"/>
  <c r="Q1292" i="5" s="1"/>
  <c r="P1292" i="5"/>
  <c r="P1277" i="4"/>
  <c r="P1277" i="5"/>
  <c r="P1276" i="4"/>
  <c r="P1276" i="5"/>
  <c r="X1273" i="5"/>
  <c r="Z1273" i="5" s="1"/>
  <c r="J1273" i="1"/>
  <c r="J1272" i="5" s="1"/>
  <c r="H1272" i="5"/>
  <c r="X1272" i="5" s="1"/>
  <c r="Z1272" i="5" s="1"/>
  <c r="X1271" i="5"/>
  <c r="Z1271" i="5" s="1"/>
  <c r="M1270" i="1"/>
  <c r="M1269" i="5" s="1"/>
  <c r="H1269" i="5"/>
  <c r="X1269" i="5" s="1"/>
  <c r="Z1269" i="5" s="1"/>
  <c r="V1266" i="1"/>
  <c r="P1265" i="5"/>
  <c r="V1265" i="1"/>
  <c r="V1264" i="5" s="1"/>
  <c r="P1264" i="5"/>
  <c r="J1259" i="1"/>
  <c r="J1258" i="5" s="1"/>
  <c r="H1258" i="5"/>
  <c r="X1258" i="5" s="1"/>
  <c r="Z1258" i="5" s="1"/>
  <c r="X1257" i="1"/>
  <c r="X1197" i="2" s="1"/>
  <c r="H1256" i="5"/>
  <c r="X1256" i="5" s="1"/>
  <c r="Q1252" i="1"/>
  <c r="Q1251" i="5" s="1"/>
  <c r="E1251" i="5"/>
  <c r="Z1248" i="5"/>
  <c r="Z1247" i="5"/>
  <c r="P1239" i="4"/>
  <c r="P1239" i="5"/>
  <c r="X1238" i="5"/>
  <c r="U1235" i="4"/>
  <c r="U1235" i="5"/>
  <c r="Q1227" i="1"/>
  <c r="Q1226" i="5" s="1"/>
  <c r="P1226" i="5"/>
  <c r="H1226" i="1"/>
  <c r="H1225" i="5" s="1"/>
  <c r="X1225" i="5" s="1"/>
  <c r="F1225" i="5"/>
  <c r="X1224" i="5"/>
  <c r="J1224" i="1"/>
  <c r="J1223" i="5" s="1"/>
  <c r="H1223" i="5"/>
  <c r="X1223" i="5" s="1"/>
  <c r="J1219" i="1"/>
  <c r="J1218" i="5" s="1"/>
  <c r="H1218" i="5"/>
  <c r="X1218" i="5" s="1"/>
  <c r="U1206" i="1"/>
  <c r="U1205" i="5" s="1"/>
  <c r="P1205" i="5"/>
  <c r="H1205" i="1"/>
  <c r="H1204" i="5" s="1"/>
  <c r="F1204" i="5"/>
  <c r="J1204" i="1"/>
  <c r="J1203" i="5" s="1"/>
  <c r="H1203" i="5"/>
  <c r="H1203" i="1"/>
  <c r="H1202" i="5" s="1"/>
  <c r="F1202" i="5"/>
  <c r="F1214" i="5" s="1"/>
  <c r="U1198" i="1"/>
  <c r="U1197" i="5" s="1"/>
  <c r="P1197" i="5"/>
  <c r="H1184" i="4"/>
  <c r="H1184" i="5"/>
  <c r="X1184" i="5" s="1"/>
  <c r="Z1184" i="5" s="1"/>
  <c r="X1183" i="5"/>
  <c r="X1182" i="5"/>
  <c r="Z1182" i="5" s="1"/>
  <c r="X1176" i="5"/>
  <c r="Z1176" i="5" s="1"/>
  <c r="U1175" i="1"/>
  <c r="U1174" i="5" s="1"/>
  <c r="P1174" i="5"/>
  <c r="X1171" i="5"/>
  <c r="Z1171" i="5" s="1"/>
  <c r="W1165" i="1"/>
  <c r="W1164" i="5" s="1"/>
  <c r="V1164" i="5"/>
  <c r="M1164" i="1"/>
  <c r="M1163" i="5" s="1"/>
  <c r="H1163" i="5"/>
  <c r="X1163" i="5" s="1"/>
  <c r="Z1163" i="5" s="1"/>
  <c r="P1161" i="4"/>
  <c r="P1161" i="5"/>
  <c r="X1159" i="1"/>
  <c r="X1108" i="2" s="1"/>
  <c r="P1158" i="5"/>
  <c r="X1155" i="5"/>
  <c r="Z1155" i="5" s="1"/>
  <c r="M1154" i="1"/>
  <c r="M1153" i="5" s="1"/>
  <c r="H1153" i="5"/>
  <c r="X1153" i="5" s="1"/>
  <c r="Z1153" i="5" s="1"/>
  <c r="U1152" i="1"/>
  <c r="U1151" i="5" s="1"/>
  <c r="P1151" i="5"/>
  <c r="M1150" i="1"/>
  <c r="M1149" i="5" s="1"/>
  <c r="H1149" i="5"/>
  <c r="X1149" i="5" s="1"/>
  <c r="Z1149" i="5" s="1"/>
  <c r="M1140" i="1"/>
  <c r="M1139" i="5" s="1"/>
  <c r="H1139" i="5"/>
  <c r="X1139" i="5" s="1"/>
  <c r="Z1139" i="5" s="1"/>
  <c r="Z1134" i="5"/>
  <c r="M1133" i="1"/>
  <c r="M1132" i="5" s="1"/>
  <c r="H1132" i="5"/>
  <c r="X1132" i="5" s="1"/>
  <c r="Z1132" i="5" s="1"/>
  <c r="Z1120" i="5"/>
  <c r="U1119" i="1"/>
  <c r="U1118" i="5" s="1"/>
  <c r="P1118" i="5"/>
  <c r="X1118" i="5" s="1"/>
  <c r="Z1118" i="5" s="1"/>
  <c r="X1117" i="5"/>
  <c r="Z1117" i="5" s="1"/>
  <c r="U1103" i="4"/>
  <c r="U1103" i="5"/>
  <c r="X1101" i="5"/>
  <c r="Z1101" i="5" s="1"/>
  <c r="X1099" i="1"/>
  <c r="H1098" i="5"/>
  <c r="X1098" i="5" s="1"/>
  <c r="Z1098" i="5" s="1"/>
  <c r="M1097" i="1"/>
  <c r="M1096" i="5" s="1"/>
  <c r="H1096" i="5"/>
  <c r="X1096" i="5" s="1"/>
  <c r="Z1096" i="5" s="1"/>
  <c r="X1093" i="5"/>
  <c r="Z1093" i="5" s="1"/>
  <c r="X1080" i="5"/>
  <c r="Z1080" i="5" s="1"/>
  <c r="X1075" i="5"/>
  <c r="Z1075" i="5" s="1"/>
  <c r="P1074" i="1"/>
  <c r="N1073" i="5"/>
  <c r="N1085" i="5" s="1"/>
  <c r="X1071" i="5"/>
  <c r="Z1071" i="5" s="1"/>
  <c r="M1062" i="1"/>
  <c r="M1061" i="5" s="1"/>
  <c r="H1061" i="5"/>
  <c r="X1061" i="5" s="1"/>
  <c r="Z1061" i="5" s="1"/>
  <c r="M1060" i="4"/>
  <c r="M1060" i="5"/>
  <c r="U1045" i="1"/>
  <c r="U1044" i="5" s="1"/>
  <c r="P1044" i="5"/>
  <c r="X1042" i="1"/>
  <c r="P1041" i="5"/>
  <c r="X1036" i="5"/>
  <c r="Z1036" i="5" s="1"/>
  <c r="X1029" i="5"/>
  <c r="Z1029" i="5" s="1"/>
  <c r="F1034" i="1"/>
  <c r="F1027" i="5"/>
  <c r="F1033" i="5" s="1"/>
  <c r="W1026" i="1"/>
  <c r="W1025" i="5" s="1"/>
  <c r="V1025" i="5"/>
  <c r="X1022" i="5"/>
  <c r="U1012" i="1"/>
  <c r="U1011" i="5" s="1"/>
  <c r="P1011" i="5"/>
  <c r="X1010" i="5"/>
  <c r="P1009" i="4"/>
  <c r="P1009" i="5"/>
  <c r="V1009" i="1"/>
  <c r="V1008" i="5" s="1"/>
  <c r="P1008" i="5"/>
  <c r="U970" i="1"/>
  <c r="U969" i="5" s="1"/>
  <c r="P969" i="5"/>
  <c r="M969" i="1"/>
  <c r="M968" i="5" s="1"/>
  <c r="H968" i="5"/>
  <c r="Q944" i="1"/>
  <c r="Q944" i="5" s="1"/>
  <c r="P944" i="5"/>
  <c r="Z937" i="5"/>
  <c r="F941" i="5"/>
  <c r="X917" i="5"/>
  <c r="Z917" i="5" s="1"/>
  <c r="U915" i="4"/>
  <c r="U915" i="5"/>
  <c r="U913" i="4"/>
  <c r="U913" i="5"/>
  <c r="Q903" i="1"/>
  <c r="Q903" i="5" s="1"/>
  <c r="E903" i="5"/>
  <c r="Z903" i="5" s="1"/>
  <c r="H902" i="1"/>
  <c r="F902" i="5"/>
  <c r="Q898" i="1"/>
  <c r="Q898" i="5" s="1"/>
  <c r="P898" i="5"/>
  <c r="H890" i="4"/>
  <c r="H890" i="5"/>
  <c r="X890" i="5" s="1"/>
  <c r="Z890" i="5" s="1"/>
  <c r="X886" i="1"/>
  <c r="X847" i="2" s="1"/>
  <c r="H886" i="5"/>
  <c r="X886" i="5" s="1"/>
  <c r="Z886" i="5" s="1"/>
  <c r="J885" i="1"/>
  <c r="J885" i="5" s="1"/>
  <c r="H885" i="5"/>
  <c r="X885" i="5" s="1"/>
  <c r="Z885" i="5" s="1"/>
  <c r="X884" i="5"/>
  <c r="Z884" i="5" s="1"/>
  <c r="X880" i="5"/>
  <c r="Z880" i="5" s="1"/>
  <c r="F895" i="5"/>
  <c r="M877" i="1"/>
  <c r="M877" i="5" s="1"/>
  <c r="H877" i="5"/>
  <c r="X877" i="5" s="1"/>
  <c r="Z877" i="5" s="1"/>
  <c r="AA876" i="1"/>
  <c r="AA876" i="5" s="1"/>
  <c r="M876" i="5"/>
  <c r="W875" i="1"/>
  <c r="W875" i="5" s="1"/>
  <c r="V875" i="5"/>
  <c r="J868" i="4"/>
  <c r="J868" i="5"/>
  <c r="X867" i="5"/>
  <c r="Z867" i="5" s="1"/>
  <c r="X864" i="5"/>
  <c r="Z864" i="5" s="1"/>
  <c r="H857" i="1"/>
  <c r="F857" i="5"/>
  <c r="F872" i="5" s="1"/>
  <c r="Q855" i="1"/>
  <c r="Q855" i="5" s="1"/>
  <c r="P855" i="5"/>
  <c r="X849" i="1"/>
  <c r="P849" i="5"/>
  <c r="X848" i="5"/>
  <c r="X847" i="5"/>
  <c r="Z847" i="5" s="1"/>
  <c r="X841" i="5"/>
  <c r="Z841" i="5" s="1"/>
  <c r="X839" i="5"/>
  <c r="Z839" i="5" s="1"/>
  <c r="U837" i="1"/>
  <c r="U837" i="5" s="1"/>
  <c r="P837" i="5"/>
  <c r="U836" i="1"/>
  <c r="U836" i="5" s="1"/>
  <c r="P836" i="5"/>
  <c r="X835" i="5"/>
  <c r="Z835" i="5" s="1"/>
  <c r="Z834" i="5"/>
  <c r="Z833" i="5"/>
  <c r="J832" i="1"/>
  <c r="J832" i="5" s="1"/>
  <c r="H832" i="5"/>
  <c r="X832" i="5" s="1"/>
  <c r="Z832" i="5" s="1"/>
  <c r="Z829" i="5"/>
  <c r="Z827" i="5"/>
  <c r="U826" i="1"/>
  <c r="U826" i="5" s="1"/>
  <c r="P826" i="5"/>
  <c r="X821" i="1"/>
  <c r="H821" i="5"/>
  <c r="X821" i="5" s="1"/>
  <c r="Z821" i="5" s="1"/>
  <c r="X818" i="1"/>
  <c r="X784" i="2" s="1"/>
  <c r="H818" i="5"/>
  <c r="X818" i="5" s="1"/>
  <c r="X814" i="5"/>
  <c r="Z814" i="5" s="1"/>
  <c r="Q812" i="1"/>
  <c r="Q812" i="5" s="1"/>
  <c r="P812" i="5"/>
  <c r="U811" i="1"/>
  <c r="U811" i="5" s="1"/>
  <c r="P811" i="5"/>
  <c r="X809" i="5"/>
  <c r="Z809" i="5" s="1"/>
  <c r="X807" i="1"/>
  <c r="P807" i="5"/>
  <c r="E823" i="1"/>
  <c r="E807" i="5"/>
  <c r="J806" i="1"/>
  <c r="J806" i="5" s="1"/>
  <c r="H806" i="5"/>
  <c r="X806" i="5" s="1"/>
  <c r="Z806" i="5" s="1"/>
  <c r="X798" i="5"/>
  <c r="Z798" i="5" s="1"/>
  <c r="M797" i="1"/>
  <c r="M797" i="5" s="1"/>
  <c r="H797" i="5"/>
  <c r="X797" i="5" s="1"/>
  <c r="Z797" i="5" s="1"/>
  <c r="Q795" i="1"/>
  <c r="Q795" i="5" s="1"/>
  <c r="P795" i="5"/>
  <c r="X790" i="5"/>
  <c r="Z790" i="5" s="1"/>
  <c r="K802" i="1"/>
  <c r="K788" i="5"/>
  <c r="K802" i="5" s="1"/>
  <c r="Q788" i="1"/>
  <c r="Q788" i="5" s="1"/>
  <c r="E788" i="5"/>
  <c r="Z787" i="5"/>
  <c r="Q784" i="1"/>
  <c r="Q784" i="5" s="1"/>
  <c r="P784" i="5"/>
  <c r="Z778" i="5"/>
  <c r="X777" i="5"/>
  <c r="Z777" i="5" s="1"/>
  <c r="X776" i="5"/>
  <c r="Z776" i="5" s="1"/>
  <c r="Q772" i="1"/>
  <c r="Q772" i="5" s="1"/>
  <c r="P772" i="5"/>
  <c r="H764" i="1"/>
  <c r="H764" i="5" s="1"/>
  <c r="X764" i="5" s="1"/>
  <c r="F764" i="5"/>
  <c r="F781" i="5" s="1"/>
  <c r="V762" i="1"/>
  <c r="V762" i="5" s="1"/>
  <c r="P762" i="5"/>
  <c r="J754" i="1"/>
  <c r="J754" i="5" s="1"/>
  <c r="H754" i="5"/>
  <c r="X754" i="5" s="1"/>
  <c r="U751" i="1"/>
  <c r="U751" i="5" s="1"/>
  <c r="P751" i="5"/>
  <c r="U750" i="1"/>
  <c r="U750" i="5" s="1"/>
  <c r="P750" i="5"/>
  <c r="J747" i="1"/>
  <c r="J747" i="5" s="1"/>
  <c r="H747" i="5"/>
  <c r="X747" i="5" s="1"/>
  <c r="Z747" i="5" s="1"/>
  <c r="AA738" i="1"/>
  <c r="AA738" i="5" s="1"/>
  <c r="M738" i="5"/>
  <c r="M735" i="1"/>
  <c r="M735" i="5" s="1"/>
  <c r="H735" i="5"/>
  <c r="X735" i="5" s="1"/>
  <c r="Q733" i="1"/>
  <c r="Q733" i="5" s="1"/>
  <c r="P733" i="5"/>
  <c r="H732" i="1"/>
  <c r="H732" i="5" s="1"/>
  <c r="X732" i="5" s="1"/>
  <c r="F732" i="5"/>
  <c r="Z722" i="5"/>
  <c r="Q719" i="1"/>
  <c r="Q719" i="5" s="1"/>
  <c r="E719" i="5"/>
  <c r="X717" i="5"/>
  <c r="Z717" i="5" s="1"/>
  <c r="J710" i="1"/>
  <c r="J710" i="5" s="1"/>
  <c r="H710" i="5"/>
  <c r="X710" i="5" s="1"/>
  <c r="Z710" i="5" s="1"/>
  <c r="Z709" i="5"/>
  <c r="Z708" i="5"/>
  <c r="U706" i="1"/>
  <c r="U706" i="5" s="1"/>
  <c r="P706" i="5"/>
  <c r="X705" i="5"/>
  <c r="Z705" i="5" s="1"/>
  <c r="Z699" i="5"/>
  <c r="Q694" i="1"/>
  <c r="Q694" i="5" s="1"/>
  <c r="P694" i="5"/>
  <c r="P684" i="4"/>
  <c r="P684" i="5"/>
  <c r="H683" i="4"/>
  <c r="H683" i="5"/>
  <c r="X683" i="5" s="1"/>
  <c r="Z683" i="5" s="1"/>
  <c r="Z679" i="5"/>
  <c r="U677" i="1"/>
  <c r="U677" i="5" s="1"/>
  <c r="P677" i="5"/>
  <c r="X672" i="5"/>
  <c r="Z672" i="5" s="1"/>
  <c r="J671" i="1"/>
  <c r="J671" i="5" s="1"/>
  <c r="H671" i="5"/>
  <c r="X671" i="5" s="1"/>
  <c r="Z671" i="5" s="1"/>
  <c r="U669" i="1"/>
  <c r="U669" i="5" s="1"/>
  <c r="P669" i="5"/>
  <c r="W653" i="1"/>
  <c r="W653" i="5" s="1"/>
  <c r="E653" i="5"/>
  <c r="M635" i="1"/>
  <c r="M636" i="5" s="1"/>
  <c r="H636" i="5"/>
  <c r="X636" i="5" s="1"/>
  <c r="X635" i="5"/>
  <c r="V631" i="1"/>
  <c r="P632" i="5"/>
  <c r="H606" i="2"/>
  <c r="H631" i="5"/>
  <c r="X631" i="5" s="1"/>
  <c r="M617" i="1"/>
  <c r="M618" i="5" s="1"/>
  <c r="H618" i="5"/>
  <c r="X618" i="5" s="1"/>
  <c r="Z618" i="5" s="1"/>
  <c r="X614" i="1"/>
  <c r="P615" i="5"/>
  <c r="X615" i="5" s="1"/>
  <c r="Z615" i="5" s="1"/>
  <c r="P588" i="2"/>
  <c r="P612" i="5"/>
  <c r="X611" i="5"/>
  <c r="Z611" i="5" s="1"/>
  <c r="X604" i="5"/>
  <c r="M602" i="1"/>
  <c r="M603" i="5" s="1"/>
  <c r="H603" i="5"/>
  <c r="X603" i="5" s="1"/>
  <c r="Z603" i="5" s="1"/>
  <c r="M601" i="1"/>
  <c r="M602" i="5" s="1"/>
  <c r="H602" i="5"/>
  <c r="X602" i="5" s="1"/>
  <c r="Z602" i="5" s="1"/>
  <c r="AA593" i="1"/>
  <c r="U594" i="5"/>
  <c r="U592" i="1"/>
  <c r="U593" i="5" s="1"/>
  <c r="P593" i="5"/>
  <c r="X593" i="5" s="1"/>
  <c r="Z593" i="5" s="1"/>
  <c r="P585" i="4"/>
  <c r="P585" i="5"/>
  <c r="H584" i="4"/>
  <c r="H584" i="5"/>
  <c r="X584" i="5" s="1"/>
  <c r="Z584" i="5" s="1"/>
  <c r="U581" i="1"/>
  <c r="U582" i="5" s="1"/>
  <c r="P582" i="5"/>
  <c r="X579" i="5"/>
  <c r="Z579" i="5" s="1"/>
  <c r="F588" i="1"/>
  <c r="F576" i="5"/>
  <c r="F589" i="5" s="1"/>
  <c r="X573" i="5"/>
  <c r="Z573" i="5" s="1"/>
  <c r="P562" i="1"/>
  <c r="P561" i="5"/>
  <c r="X554" i="5"/>
  <c r="Z554" i="5" s="1"/>
  <c r="E557" i="1"/>
  <c r="E553" i="5"/>
  <c r="H550" i="1"/>
  <c r="F549" i="5"/>
  <c r="F558" i="5" s="1"/>
  <c r="M549" i="1"/>
  <c r="H548" i="5"/>
  <c r="X548" i="5" s="1"/>
  <c r="Z548" i="5" s="1"/>
  <c r="M544" i="1"/>
  <c r="M543" i="5" s="1"/>
  <c r="H543" i="5"/>
  <c r="X543" i="5" s="1"/>
  <c r="Z543" i="5" s="1"/>
  <c r="X542" i="5"/>
  <c r="Z542" i="5" s="1"/>
  <c r="U539" i="1"/>
  <c r="U538" i="5" s="1"/>
  <c r="P538" i="5"/>
  <c r="X532" i="5"/>
  <c r="Z532" i="5" s="1"/>
  <c r="M527" i="1"/>
  <c r="M526" i="5" s="1"/>
  <c r="H526" i="5"/>
  <c r="X526" i="5" s="1"/>
  <c r="Z526" i="5" s="1"/>
  <c r="X515" i="5"/>
  <c r="Z515" i="5" s="1"/>
  <c r="U514" i="1"/>
  <c r="U513" i="5" s="1"/>
  <c r="P513" i="5"/>
  <c r="M504" i="1"/>
  <c r="M503" i="5" s="1"/>
  <c r="H503" i="5"/>
  <c r="X503" i="5" s="1"/>
  <c r="Z503" i="5" s="1"/>
  <c r="X498" i="5"/>
  <c r="Z498" i="5" s="1"/>
  <c r="AA493" i="1"/>
  <c r="AA492" i="5" s="1"/>
  <c r="U492" i="5"/>
  <c r="V471" i="1"/>
  <c r="V470" i="5" s="1"/>
  <c r="H470" i="5"/>
  <c r="X470" i="5" s="1"/>
  <c r="Z470" i="5" s="1"/>
  <c r="P465" i="4"/>
  <c r="P465" i="5"/>
  <c r="M464" i="1"/>
  <c r="M463" i="5" s="1"/>
  <c r="H463" i="5"/>
  <c r="X463" i="5" s="1"/>
  <c r="Z463" i="5" s="1"/>
  <c r="V461" i="1"/>
  <c r="V460" i="5" s="1"/>
  <c r="H460" i="5"/>
  <c r="X460" i="5" s="1"/>
  <c r="Z460" i="5" s="1"/>
  <c r="M454" i="1"/>
  <c r="M453" i="5" s="1"/>
  <c r="H453" i="5"/>
  <c r="X453" i="5" s="1"/>
  <c r="X452" i="5"/>
  <c r="M445" i="1"/>
  <c r="M444" i="5" s="1"/>
  <c r="H444" i="5"/>
  <c r="F446" i="5"/>
  <c r="X411" i="1"/>
  <c r="P410" i="5"/>
  <c r="X409" i="5"/>
  <c r="X406" i="5"/>
  <c r="Z393" i="5"/>
  <c r="Z391" i="5"/>
  <c r="X387" i="5"/>
  <c r="Z387" i="5" s="1"/>
  <c r="M386" i="1"/>
  <c r="M385" i="5" s="1"/>
  <c r="H385" i="5"/>
  <c r="X385" i="5" s="1"/>
  <c r="Z385" i="5" s="1"/>
  <c r="M384" i="1"/>
  <c r="M383" i="5" s="1"/>
  <c r="H383" i="5"/>
  <c r="X383" i="5" s="1"/>
  <c r="Z383" i="5" s="1"/>
  <c r="U382" i="1"/>
  <c r="U381" i="5" s="1"/>
  <c r="P381" i="5"/>
  <c r="M365" i="4"/>
  <c r="M365" i="5"/>
  <c r="U353" i="1"/>
  <c r="U352" i="5" s="1"/>
  <c r="P352" i="5"/>
  <c r="U351" i="1"/>
  <c r="U350" i="5" s="1"/>
  <c r="P350" i="5"/>
  <c r="Z349" i="5"/>
  <c r="H348" i="1"/>
  <c r="H347" i="5" s="1"/>
  <c r="X347" i="5" s="1"/>
  <c r="F347" i="5"/>
  <c r="F369" i="5"/>
  <c r="E340" i="4"/>
  <c r="E340" i="5"/>
  <c r="Z340" i="5" s="1"/>
  <c r="J340" i="1"/>
  <c r="J339" i="5" s="1"/>
  <c r="H339" i="5"/>
  <c r="X339" i="5" s="1"/>
  <c r="M339" i="1"/>
  <c r="M338" i="5" s="1"/>
  <c r="H338" i="5"/>
  <c r="X338" i="5" s="1"/>
  <c r="K370" i="1"/>
  <c r="K336" i="5"/>
  <c r="K369" i="5" s="1"/>
  <c r="U330" i="1"/>
  <c r="U329" i="5" s="1"/>
  <c r="P329" i="5"/>
  <c r="X326" i="5"/>
  <c r="P312" i="2"/>
  <c r="P325" i="5"/>
  <c r="M325" i="1"/>
  <c r="M324" i="5" s="1"/>
  <c r="H324" i="5"/>
  <c r="X324" i="5" s="1"/>
  <c r="Z324" i="5" s="1"/>
  <c r="M319" i="1"/>
  <c r="M318" i="5" s="1"/>
  <c r="H318" i="5"/>
  <c r="X318" i="5" s="1"/>
  <c r="H307" i="4"/>
  <c r="H307" i="5"/>
  <c r="X307" i="5" s="1"/>
  <c r="Z307" i="5" s="1"/>
  <c r="Z303" i="5"/>
  <c r="M294" i="1"/>
  <c r="M293" i="5" s="1"/>
  <c r="H293" i="5"/>
  <c r="X293" i="5" s="1"/>
  <c r="Z293" i="5" s="1"/>
  <c r="U290" i="1"/>
  <c r="U289" i="5" s="1"/>
  <c r="P289" i="5"/>
  <c r="X278" i="5"/>
  <c r="U277" i="1"/>
  <c r="U276" i="5" s="1"/>
  <c r="P276" i="5"/>
  <c r="X276" i="5" s="1"/>
  <c r="X275" i="5"/>
  <c r="X272" i="5"/>
  <c r="M271" i="1"/>
  <c r="M270" i="5" s="1"/>
  <c r="H270" i="5"/>
  <c r="X270" i="5" s="1"/>
  <c r="K281" i="1"/>
  <c r="K264" i="5"/>
  <c r="K280" i="5" s="1"/>
  <c r="S422" i="1"/>
  <c r="S2902" i="1" s="1"/>
  <c r="J254" i="1"/>
  <c r="J253" i="5" s="1"/>
  <c r="H253" i="5"/>
  <c r="H251" i="1"/>
  <c r="H250" i="5" s="1"/>
  <c r="F250" i="5"/>
  <c r="X233" i="5"/>
  <c r="K232" i="1"/>
  <c r="K232" i="5" s="1"/>
  <c r="I232" i="5"/>
  <c r="K231" i="1"/>
  <c r="K231" i="5" s="1"/>
  <c r="I231" i="5"/>
  <c r="K230" i="1"/>
  <c r="K230" i="5" s="1"/>
  <c r="I230" i="5"/>
  <c r="H229" i="4"/>
  <c r="H229" i="5"/>
  <c r="X229" i="5" s="1"/>
  <c r="Z229" i="5" s="1"/>
  <c r="Z227" i="5"/>
  <c r="Z225" i="5"/>
  <c r="Z224" i="5"/>
  <c r="P213" i="2"/>
  <c r="P222" i="5"/>
  <c r="X222" i="5" s="1"/>
  <c r="Z222" i="5" s="1"/>
  <c r="M219" i="1"/>
  <c r="M219" i="5" s="1"/>
  <c r="H219" i="5"/>
  <c r="X219" i="5" s="1"/>
  <c r="Z219" i="5" s="1"/>
  <c r="X215" i="5"/>
  <c r="U213" i="1"/>
  <c r="U213" i="5" s="1"/>
  <c r="P213" i="5"/>
  <c r="I205" i="1"/>
  <c r="H205" i="5"/>
  <c r="X205" i="5" s="1"/>
  <c r="Z205" i="5" s="1"/>
  <c r="U199" i="1"/>
  <c r="U199" i="5" s="1"/>
  <c r="P199" i="5"/>
  <c r="X192" i="5"/>
  <c r="Z192" i="5" s="1"/>
  <c r="U189" i="1"/>
  <c r="U189" i="5" s="1"/>
  <c r="P189" i="5"/>
  <c r="M187" i="1"/>
  <c r="M187" i="5" s="1"/>
  <c r="H187" i="5"/>
  <c r="X187" i="5" s="1"/>
  <c r="Z187" i="5" s="1"/>
  <c r="E184" i="1"/>
  <c r="E180" i="5"/>
  <c r="X179" i="5"/>
  <c r="Z179" i="5" s="1"/>
  <c r="X177" i="5"/>
  <c r="Z177" i="5" s="1"/>
  <c r="V175" i="1"/>
  <c r="P175" i="5"/>
  <c r="X175" i="5" s="1"/>
  <c r="Z175" i="5" s="1"/>
  <c r="V173" i="1"/>
  <c r="P173" i="5"/>
  <c r="X173" i="5" s="1"/>
  <c r="Z173" i="5" s="1"/>
  <c r="U164" i="1"/>
  <c r="U164" i="5" s="1"/>
  <c r="P164" i="5"/>
  <c r="U162" i="1"/>
  <c r="U162" i="5" s="1"/>
  <c r="P162" i="5"/>
  <c r="F237" i="5"/>
  <c r="F2919" i="5" s="1"/>
  <c r="U142" i="1"/>
  <c r="U142" i="5" s="1"/>
  <c r="P142" i="5"/>
  <c r="M141" i="1"/>
  <c r="M141" i="5" s="1"/>
  <c r="H141" i="5"/>
  <c r="U138" i="1"/>
  <c r="U138" i="5" s="1"/>
  <c r="P138" i="5"/>
  <c r="U127" i="4"/>
  <c r="U127" i="5"/>
  <c r="U123" i="1"/>
  <c r="U123" i="5" s="1"/>
  <c r="P123" i="5"/>
  <c r="X119" i="5"/>
  <c r="U112" i="1"/>
  <c r="U112" i="5" s="1"/>
  <c r="P112" i="5"/>
  <c r="X112" i="5" s="1"/>
  <c r="Z112" i="5" s="1"/>
  <c r="X110" i="5"/>
  <c r="Z110" i="5" s="1"/>
  <c r="X87" i="5"/>
  <c r="Z87" i="5" s="1"/>
  <c r="U82" i="1"/>
  <c r="U82" i="5" s="1"/>
  <c r="P82" i="5"/>
  <c r="X79" i="1"/>
  <c r="X75" i="2" s="1"/>
  <c r="P79" i="5"/>
  <c r="P78" i="4"/>
  <c r="P78" i="5"/>
  <c r="X78" i="5" s="1"/>
  <c r="Z78" i="5" s="1"/>
  <c r="X66" i="5"/>
  <c r="Z66" i="5" s="1"/>
  <c r="X57" i="5"/>
  <c r="Z57" i="5" s="1"/>
  <c r="X55" i="5"/>
  <c r="Z55" i="5" s="1"/>
  <c r="H40" i="4"/>
  <c r="H40" i="5"/>
  <c r="M37" i="4"/>
  <c r="M37" i="5"/>
  <c r="AA34" i="1"/>
  <c r="U34" i="5"/>
  <c r="M31" i="1"/>
  <c r="M31" i="5" s="1"/>
  <c r="H31" i="5"/>
  <c r="P27" i="2"/>
  <c r="P28" i="5"/>
  <c r="V18" i="1"/>
  <c r="V18" i="5" s="1"/>
  <c r="H18" i="5"/>
  <c r="M15" i="1"/>
  <c r="M15" i="5" s="1"/>
  <c r="H15" i="5"/>
  <c r="N22" i="5"/>
  <c r="P29" i="4"/>
  <c r="AA2665" i="2"/>
  <c r="AB2665" i="2" s="1"/>
  <c r="AA2634" i="2"/>
  <c r="AB2634" i="2" s="1"/>
  <c r="AA2618" i="2"/>
  <c r="AB2618" i="2" s="1"/>
  <c r="L2594" i="2"/>
  <c r="L2750" i="2" s="1"/>
  <c r="G2594" i="2"/>
  <c r="G2750" i="2" s="1"/>
  <c r="AA2528" i="2"/>
  <c r="AB2528" i="2" s="1"/>
  <c r="V2517" i="2"/>
  <c r="W2517" i="2" s="1"/>
  <c r="AA2500" i="2"/>
  <c r="AB2500" i="2" s="1"/>
  <c r="AA2496" i="2"/>
  <c r="AB2496" i="2" s="1"/>
  <c r="V2446" i="2"/>
  <c r="W2446" i="2" s="1"/>
  <c r="AA2426" i="2"/>
  <c r="V2413" i="2"/>
  <c r="AA2396" i="2"/>
  <c r="AB2396" i="2" s="1"/>
  <c r="AA2395" i="2"/>
  <c r="AB2395" i="2" s="1"/>
  <c r="X2365" i="2"/>
  <c r="Z2365" i="2" s="1"/>
  <c r="AA2354" i="2"/>
  <c r="AB2354" i="2" s="1"/>
  <c r="X2300" i="2"/>
  <c r="Z2300" i="2" s="1"/>
  <c r="X2297" i="2"/>
  <c r="AA2205" i="2"/>
  <c r="AA2182" i="2"/>
  <c r="AA2143" i="2"/>
  <c r="AB2143" i="2" s="1"/>
  <c r="Y2167" i="2"/>
  <c r="X2091" i="2"/>
  <c r="Z2091" i="2" s="1"/>
  <c r="AA2069" i="2"/>
  <c r="Z2050" i="2"/>
  <c r="X2027" i="2"/>
  <c r="Z2027" i="2" s="1"/>
  <c r="X2001" i="2"/>
  <c r="Z2001" i="2" s="1"/>
  <c r="AA1990" i="2"/>
  <c r="AB1990" i="2" s="1"/>
  <c r="X1945" i="2"/>
  <c r="Z1945" i="2" s="1"/>
  <c r="V1942" i="2"/>
  <c r="W1942" i="2" s="1"/>
  <c r="V1925" i="2"/>
  <c r="X1902" i="2"/>
  <c r="M1851" i="2"/>
  <c r="X1850" i="2"/>
  <c r="M1850" i="2"/>
  <c r="X1835" i="2"/>
  <c r="Z1835" i="2" s="1"/>
  <c r="M1835" i="2"/>
  <c r="U1816" i="2"/>
  <c r="AA1810" i="2"/>
  <c r="Q2686" i="2"/>
  <c r="X2241" i="5"/>
  <c r="J2243" i="1"/>
  <c r="H2239" i="5"/>
  <c r="X2239" i="5" s="1"/>
  <c r="Z2239" i="5" s="1"/>
  <c r="AB2236" i="4"/>
  <c r="AB2236" i="5"/>
  <c r="P2235" i="4"/>
  <c r="P2235" i="5"/>
  <c r="J2233" i="1"/>
  <c r="H2229" i="5"/>
  <c r="X2229" i="5" s="1"/>
  <c r="Z2229" i="5" s="1"/>
  <c r="U2222" i="4"/>
  <c r="U2222" i="5"/>
  <c r="K2222" i="4"/>
  <c r="K2222" i="5"/>
  <c r="K2243" i="5" s="1"/>
  <c r="U2216" i="4"/>
  <c r="U2216" i="5"/>
  <c r="X2212" i="5"/>
  <c r="Z2212" i="5" s="1"/>
  <c r="H2210" i="4"/>
  <c r="H2210" i="5"/>
  <c r="X2210" i="5" s="1"/>
  <c r="F2209" i="4"/>
  <c r="F2209" i="5"/>
  <c r="E2207" i="4"/>
  <c r="E2207" i="5"/>
  <c r="Z2207" i="5" s="1"/>
  <c r="U2204" i="4"/>
  <c r="U2204" i="5"/>
  <c r="H2203" i="4"/>
  <c r="H2203" i="5"/>
  <c r="X2203" i="5" s="1"/>
  <c r="F2219" i="5"/>
  <c r="P2192" i="4"/>
  <c r="P2192" i="5"/>
  <c r="U2193" i="1"/>
  <c r="P2189" i="5"/>
  <c r="J2185" i="4"/>
  <c r="J2185" i="5"/>
  <c r="X2182" i="5"/>
  <c r="Z2182" i="5" s="1"/>
  <c r="H2179" i="4"/>
  <c r="H2179" i="5"/>
  <c r="X2179" i="5" s="1"/>
  <c r="Z2177" i="5"/>
  <c r="H2176" i="4"/>
  <c r="H2176" i="5"/>
  <c r="X2176" i="5" s="1"/>
  <c r="P2169" i="4"/>
  <c r="P2169" i="5"/>
  <c r="X2165" i="5"/>
  <c r="Z2165" i="5" s="1"/>
  <c r="X2162" i="5"/>
  <c r="Z2162" i="5" s="1"/>
  <c r="H2161" i="4"/>
  <c r="H2161" i="5"/>
  <c r="X2158" i="5"/>
  <c r="U2156" i="4"/>
  <c r="U2156" i="5"/>
  <c r="E2156" i="4"/>
  <c r="E2156" i="5"/>
  <c r="F2154" i="4"/>
  <c r="F2154" i="5"/>
  <c r="P2153" i="4"/>
  <c r="P2153" i="5"/>
  <c r="X2151" i="5"/>
  <c r="J2149" i="4"/>
  <c r="J2149" i="5"/>
  <c r="F2146" i="4"/>
  <c r="F2146" i="5"/>
  <c r="K2173" i="5"/>
  <c r="X2134" i="5"/>
  <c r="Q2132" i="4"/>
  <c r="Q2132" i="5"/>
  <c r="Q2131" i="1"/>
  <c r="X2126" i="5"/>
  <c r="Q2127" i="1"/>
  <c r="P2123" i="5"/>
  <c r="F2121" i="4"/>
  <c r="F2121" i="5"/>
  <c r="F2120" i="4"/>
  <c r="F2120" i="5"/>
  <c r="X2118" i="5"/>
  <c r="Q2116" i="4"/>
  <c r="Q2116" i="5"/>
  <c r="E2110" i="4"/>
  <c r="E2110" i="5"/>
  <c r="H2105" i="4"/>
  <c r="H2105" i="5"/>
  <c r="P2103" i="4"/>
  <c r="P2103" i="5"/>
  <c r="J2094" i="4"/>
  <c r="J2094" i="5"/>
  <c r="P2090" i="4"/>
  <c r="P2090" i="5"/>
  <c r="E2088" i="4"/>
  <c r="E2088" i="5"/>
  <c r="X2077" i="5"/>
  <c r="Z2077" i="5" s="1"/>
  <c r="M2078" i="1"/>
  <c r="H2074" i="5"/>
  <c r="X2074" i="5" s="1"/>
  <c r="Z2074" i="5" s="1"/>
  <c r="M2074" i="1"/>
  <c r="H2070" i="5"/>
  <c r="X2070" i="5" s="1"/>
  <c r="Z2070" i="5" s="1"/>
  <c r="M2070" i="1"/>
  <c r="H2066" i="5"/>
  <c r="X2066" i="5" s="1"/>
  <c r="Z2066" i="5" s="1"/>
  <c r="X2057" i="5"/>
  <c r="Z2057" i="5" s="1"/>
  <c r="H2054" i="4"/>
  <c r="H2054" i="5"/>
  <c r="X2054" i="5" s="1"/>
  <c r="Z2054" i="5" s="1"/>
  <c r="P2051" i="4"/>
  <c r="P2051" i="5"/>
  <c r="X2052" i="1"/>
  <c r="Z2052" i="1" s="1"/>
  <c r="P2048" i="5"/>
  <c r="X2045" i="5"/>
  <c r="Z2045" i="5" s="1"/>
  <c r="Z2035" i="5"/>
  <c r="H2024" i="4"/>
  <c r="H2024" i="5"/>
  <c r="X2024" i="5" s="1"/>
  <c r="Z2024" i="5" s="1"/>
  <c r="X2026" i="1"/>
  <c r="Z2026" i="1" s="1"/>
  <c r="P2022" i="5"/>
  <c r="H2020" i="4"/>
  <c r="H2020" i="5"/>
  <c r="X2020" i="5" s="1"/>
  <c r="H2019" i="4"/>
  <c r="H2019" i="5"/>
  <c r="H2015" i="4"/>
  <c r="H2015" i="5"/>
  <c r="X2015" i="5" s="1"/>
  <c r="Z2015" i="5" s="1"/>
  <c r="P1994" i="4"/>
  <c r="P1994" i="5"/>
  <c r="U1992" i="4"/>
  <c r="U1992" i="5"/>
  <c r="M1985" i="1"/>
  <c r="H1981" i="5"/>
  <c r="M1979" i="1"/>
  <c r="H1975" i="5"/>
  <c r="F1965" i="4"/>
  <c r="F1965" i="5"/>
  <c r="F1967" i="5" s="1"/>
  <c r="J1962" i="4"/>
  <c r="J1962" i="5"/>
  <c r="P1960" i="4"/>
  <c r="P1960" i="5"/>
  <c r="X1960" i="5" s="1"/>
  <c r="Z1960" i="5" s="1"/>
  <c r="Z1955" i="5"/>
  <c r="U1944" i="4"/>
  <c r="U1944" i="5"/>
  <c r="F1941" i="4"/>
  <c r="F1941" i="5"/>
  <c r="F1940" i="4"/>
  <c r="F1940" i="5"/>
  <c r="P1937" i="4"/>
  <c r="P1937" i="5"/>
  <c r="F1926" i="4"/>
  <c r="F1926" i="5"/>
  <c r="Q1913" i="4"/>
  <c r="Q1913" i="5"/>
  <c r="H1909" i="4"/>
  <c r="H1909" i="5"/>
  <c r="X1909" i="5" s="1"/>
  <c r="X1904" i="5"/>
  <c r="X1891" i="5"/>
  <c r="P1888" i="4"/>
  <c r="P1888" i="5"/>
  <c r="H1879" i="1"/>
  <c r="H1875" i="5" s="1"/>
  <c r="X1875" i="5" s="1"/>
  <c r="Z1875" i="5" s="1"/>
  <c r="F1875" i="5"/>
  <c r="Q1867" i="1"/>
  <c r="Q1863" i="5" s="1"/>
  <c r="P1863" i="5"/>
  <c r="H1862" i="4"/>
  <c r="H1862" i="5"/>
  <c r="X1862" i="5" s="1"/>
  <c r="Q1862" i="1"/>
  <c r="Q1858" i="5" s="1"/>
  <c r="E1858" i="5"/>
  <c r="H1853" i="1"/>
  <c r="H1849" i="5" s="1"/>
  <c r="X1849" i="5" s="1"/>
  <c r="F1849" i="5"/>
  <c r="M1838" i="4"/>
  <c r="M1838" i="5"/>
  <c r="X1832" i="5"/>
  <c r="J1831" i="1"/>
  <c r="J1827" i="5" s="1"/>
  <c r="H1827" i="5"/>
  <c r="X1827" i="5" s="1"/>
  <c r="Z1827" i="5" s="1"/>
  <c r="H1829" i="1"/>
  <c r="H1825" i="5" s="1"/>
  <c r="X1825" i="5" s="1"/>
  <c r="F1825" i="5"/>
  <c r="J1812" i="1"/>
  <c r="J1808" i="5" s="1"/>
  <c r="H1808" i="5"/>
  <c r="X1808" i="5" s="1"/>
  <c r="Z1808" i="5" s="1"/>
  <c r="X1794" i="5"/>
  <c r="Z1794" i="5" s="1"/>
  <c r="Q1794" i="1"/>
  <c r="Q1790" i="5" s="1"/>
  <c r="P1790" i="5"/>
  <c r="X1788" i="5"/>
  <c r="X1782" i="5"/>
  <c r="Z1782" i="5" s="1"/>
  <c r="H1780" i="1"/>
  <c r="F1776" i="5"/>
  <c r="F1784" i="5"/>
  <c r="U1758" i="1"/>
  <c r="U1754" i="5" s="1"/>
  <c r="P1754" i="5"/>
  <c r="J1756" i="1"/>
  <c r="J1752" i="5" s="1"/>
  <c r="H1752" i="5"/>
  <c r="K1969" i="5"/>
  <c r="K2933" i="5" s="1"/>
  <c r="U1671" i="1"/>
  <c r="U1668" i="5" s="1"/>
  <c r="P1668" i="5"/>
  <c r="Y2883" i="5"/>
  <c r="Y2884" i="4"/>
  <c r="Y2882" i="5"/>
  <c r="Y2883" i="4"/>
  <c r="Y2881" i="5"/>
  <c r="Y2882" i="4"/>
  <c r="U2880" i="5"/>
  <c r="U2881" i="4"/>
  <c r="U2878" i="5"/>
  <c r="U2879" i="4"/>
  <c r="M2877" i="5"/>
  <c r="M2878" i="4"/>
  <c r="R2875" i="5"/>
  <c r="R2876" i="4"/>
  <c r="K2875" i="5"/>
  <c r="K2876" i="4"/>
  <c r="Y2874" i="5"/>
  <c r="Y2875" i="4"/>
  <c r="Q2874" i="5"/>
  <c r="Q2875" i="4"/>
  <c r="I2874" i="5"/>
  <c r="I2875" i="4"/>
  <c r="U2872" i="5"/>
  <c r="U2873" i="4"/>
  <c r="U2871" i="5"/>
  <c r="U2872" i="4"/>
  <c r="Q2870" i="5"/>
  <c r="Q2871" i="4"/>
  <c r="I2870" i="5"/>
  <c r="I2871" i="4"/>
  <c r="Y2868" i="5"/>
  <c r="Y2869" i="4"/>
  <c r="Y2866" i="5"/>
  <c r="Y2867" i="4"/>
  <c r="M2864" i="5"/>
  <c r="M2865" i="4"/>
  <c r="Y2862" i="5"/>
  <c r="Y2863" i="4"/>
  <c r="R2862" i="5"/>
  <c r="R2863" i="4"/>
  <c r="I2862" i="5"/>
  <c r="I2863" i="4"/>
  <c r="S2861" i="5"/>
  <c r="S2862" i="4"/>
  <c r="M2861" i="5"/>
  <c r="M2862" i="4"/>
  <c r="Y2859" i="5"/>
  <c r="Y2860" i="4"/>
  <c r="M2859" i="5"/>
  <c r="M2860" i="4"/>
  <c r="Y2857" i="5"/>
  <c r="Y2858" i="4"/>
  <c r="Y2856" i="5"/>
  <c r="Y2857" i="4"/>
  <c r="H2854" i="5"/>
  <c r="H2855" i="4"/>
  <c r="U2853" i="5"/>
  <c r="U2854" i="4"/>
  <c r="M2853" i="5"/>
  <c r="M2854" i="4"/>
  <c r="K2852" i="5"/>
  <c r="K2853" i="4"/>
  <c r="Y2850" i="5"/>
  <c r="Y2851" i="4"/>
  <c r="Q2850" i="5"/>
  <c r="Q2851" i="4"/>
  <c r="J2850" i="5"/>
  <c r="J2851" i="4"/>
  <c r="U2846" i="5"/>
  <c r="U2847" i="4"/>
  <c r="U2845" i="5"/>
  <c r="U2846" i="4"/>
  <c r="U2844" i="5"/>
  <c r="U2845" i="4"/>
  <c r="K2843" i="5"/>
  <c r="K2844" i="4"/>
  <c r="F2821" i="5"/>
  <c r="F2821" i="4"/>
  <c r="W2819" i="5"/>
  <c r="W2819" i="4"/>
  <c r="F2809" i="5"/>
  <c r="F2809" i="4"/>
  <c r="V2808" i="5"/>
  <c r="V2808" i="4"/>
  <c r="Y2807" i="5"/>
  <c r="Y2807" i="4"/>
  <c r="F2807" i="5"/>
  <c r="F2807" i="4"/>
  <c r="V2801" i="5"/>
  <c r="V2801" i="4"/>
  <c r="N2801" i="5"/>
  <c r="N2801" i="4"/>
  <c r="F2801" i="5"/>
  <c r="F2801" i="4"/>
  <c r="V2800" i="5"/>
  <c r="V2800" i="4"/>
  <c r="U2798" i="5"/>
  <c r="U2798" i="4"/>
  <c r="F2794" i="5"/>
  <c r="F2794" i="4"/>
  <c r="V2793" i="5"/>
  <c r="V2793" i="4"/>
  <c r="Y2792" i="5"/>
  <c r="Y2792" i="4"/>
  <c r="S2792" i="5"/>
  <c r="S2792" i="4"/>
  <c r="K2792" i="5"/>
  <c r="K2792" i="4"/>
  <c r="V2791" i="5"/>
  <c r="V2791" i="4"/>
  <c r="Q2791" i="5"/>
  <c r="Q2791" i="4"/>
  <c r="J2791" i="5"/>
  <c r="J2791" i="4"/>
  <c r="W2790" i="5"/>
  <c r="W2790" i="4"/>
  <c r="Q2790" i="5"/>
  <c r="Q2790" i="4"/>
  <c r="J2790" i="5"/>
  <c r="J2790" i="4"/>
  <c r="X2798" i="1"/>
  <c r="Z2798" i="1" s="1"/>
  <c r="U2787" i="5"/>
  <c r="U2787" i="4"/>
  <c r="Y2786" i="5"/>
  <c r="Y2786" i="4"/>
  <c r="S2786" i="5"/>
  <c r="S2786" i="4"/>
  <c r="M2786" i="5"/>
  <c r="M2786" i="4"/>
  <c r="V2785" i="5"/>
  <c r="V2785" i="4"/>
  <c r="Q2785" i="5"/>
  <c r="Q2785" i="4"/>
  <c r="J2785" i="5"/>
  <c r="J2785" i="4"/>
  <c r="I2784" i="5"/>
  <c r="I2784" i="4"/>
  <c r="W2783" i="5"/>
  <c r="W2783" i="4"/>
  <c r="R2783" i="5"/>
  <c r="R2783" i="4"/>
  <c r="K2783" i="5"/>
  <c r="K2783" i="4"/>
  <c r="Y2782" i="5"/>
  <c r="Y2782" i="4"/>
  <c r="R2782" i="5"/>
  <c r="R2782" i="4"/>
  <c r="K2782" i="5"/>
  <c r="K2782" i="4"/>
  <c r="Y2781" i="5"/>
  <c r="Y2781" i="4"/>
  <c r="U2781" i="5"/>
  <c r="U2781" i="4"/>
  <c r="Y2780" i="5"/>
  <c r="Y2780" i="4"/>
  <c r="U2778" i="5"/>
  <c r="U2778" i="4"/>
  <c r="X2786" i="1"/>
  <c r="Z2786" i="1" s="1"/>
  <c r="Y2776" i="5"/>
  <c r="Y2776" i="4"/>
  <c r="U2775" i="5"/>
  <c r="U2775" i="4"/>
  <c r="I2775" i="5"/>
  <c r="I2775" i="4"/>
  <c r="U2774" i="5"/>
  <c r="U2774" i="4"/>
  <c r="X2783" i="1"/>
  <c r="Z2783" i="1" s="1"/>
  <c r="I2774" i="5"/>
  <c r="I2774" i="4"/>
  <c r="Y2772" i="5"/>
  <c r="Y2772" i="4"/>
  <c r="P2781" i="1"/>
  <c r="N2772" i="5"/>
  <c r="N2885" i="5" s="1"/>
  <c r="N2772" i="4"/>
  <c r="M2772" i="5"/>
  <c r="M2772" i="4"/>
  <c r="V2771" i="5"/>
  <c r="V2885" i="5" s="1"/>
  <c r="V2771" i="4"/>
  <c r="Q2771" i="5"/>
  <c r="Q2885" i="5" s="1"/>
  <c r="Q2771" i="4"/>
  <c r="Q2886" i="4" s="1"/>
  <c r="I2771" i="5"/>
  <c r="I2885" i="5" s="1"/>
  <c r="I2771" i="4"/>
  <c r="I2886" i="4" s="1"/>
  <c r="K2845" i="5"/>
  <c r="K2846" i="4"/>
  <c r="P2745" i="4"/>
  <c r="P2745" i="5"/>
  <c r="X2745" i="5" s="1"/>
  <c r="U2751" i="1"/>
  <c r="P2743" i="5"/>
  <c r="E2742" i="4"/>
  <c r="E2742" i="5"/>
  <c r="H2739" i="4"/>
  <c r="H2739" i="5"/>
  <c r="X2739" i="5" s="1"/>
  <c r="H2737" i="4"/>
  <c r="H2737" i="5"/>
  <c r="X2737" i="5" s="1"/>
  <c r="E2732" i="4"/>
  <c r="E2732" i="5"/>
  <c r="U2734" i="1"/>
  <c r="P2726" i="5"/>
  <c r="X2726" i="5" s="1"/>
  <c r="Z2726" i="5" s="1"/>
  <c r="P2724" i="4"/>
  <c r="P2724" i="5"/>
  <c r="U2728" i="1"/>
  <c r="P2720" i="5"/>
  <c r="X2720" i="5" s="1"/>
  <c r="Z2720" i="5" s="1"/>
  <c r="P2718" i="4"/>
  <c r="P2718" i="5"/>
  <c r="X2718" i="5" s="1"/>
  <c r="Z2718" i="5" s="1"/>
  <c r="P2716" i="4"/>
  <c r="P2716" i="5"/>
  <c r="X2716" i="5" s="1"/>
  <c r="Z2716" i="5" s="1"/>
  <c r="M2721" i="1"/>
  <c r="H2713" i="5"/>
  <c r="X2713" i="5" s="1"/>
  <c r="Z2713" i="5" s="1"/>
  <c r="H2712" i="4"/>
  <c r="H2712" i="5"/>
  <c r="X2712" i="5" s="1"/>
  <c r="Z2712" i="5" s="1"/>
  <c r="P2709" i="4"/>
  <c r="P2709" i="5"/>
  <c r="X2709" i="5" s="1"/>
  <c r="Z2709" i="5" s="1"/>
  <c r="H2708" i="4"/>
  <c r="H2708" i="5"/>
  <c r="X2708" i="5" s="1"/>
  <c r="Z2708" i="5" s="1"/>
  <c r="E2707" i="4"/>
  <c r="E2707" i="5"/>
  <c r="P2701" i="4"/>
  <c r="P2701" i="5"/>
  <c r="P2699" i="4"/>
  <c r="P2699" i="5"/>
  <c r="P2698" i="4"/>
  <c r="P2698" i="5"/>
  <c r="P2695" i="4"/>
  <c r="P2695" i="5"/>
  <c r="X2695" i="5" s="1"/>
  <c r="M2699" i="1"/>
  <c r="H2691" i="5"/>
  <c r="X2691" i="5" s="1"/>
  <c r="H2690" i="4"/>
  <c r="H2690" i="5"/>
  <c r="X2690" i="5" s="1"/>
  <c r="H2688" i="4"/>
  <c r="H2688" i="5"/>
  <c r="X2688" i="5" s="1"/>
  <c r="U2694" i="1"/>
  <c r="U2686" i="5" s="1"/>
  <c r="P2686" i="5"/>
  <c r="U2688" i="1"/>
  <c r="P2680" i="5"/>
  <c r="P2678" i="4"/>
  <c r="P2678" i="5"/>
  <c r="P2676" i="4"/>
  <c r="P2676" i="5"/>
  <c r="H2675" i="4"/>
  <c r="H2675" i="5"/>
  <c r="P2673" i="4"/>
  <c r="P2673" i="5"/>
  <c r="F2683" i="5"/>
  <c r="H2669" i="4"/>
  <c r="H2669" i="5"/>
  <c r="H2667" i="4"/>
  <c r="H2667" i="5"/>
  <c r="H2665" i="4"/>
  <c r="H2665" i="5"/>
  <c r="P2656" i="4"/>
  <c r="P2656" i="5"/>
  <c r="U2661" i="1"/>
  <c r="P2653" i="5"/>
  <c r="F2652" i="4"/>
  <c r="F2652" i="5"/>
  <c r="F2651" i="4"/>
  <c r="F2651" i="5"/>
  <c r="F2658" i="5" s="1"/>
  <c r="U2656" i="1"/>
  <c r="P2648" i="5"/>
  <c r="X2648" i="5" s="1"/>
  <c r="M2655" i="1"/>
  <c r="M2647" i="5" s="1"/>
  <c r="H2647" i="5"/>
  <c r="X2647" i="5" s="1"/>
  <c r="P2645" i="4"/>
  <c r="P2645" i="5"/>
  <c r="P2643" i="4"/>
  <c r="P2643" i="5"/>
  <c r="E2631" i="4"/>
  <c r="E2631" i="5"/>
  <c r="I2629" i="4"/>
  <c r="I2629" i="5"/>
  <c r="I2635" i="5" s="1"/>
  <c r="I2660" i="5" s="1"/>
  <c r="I2943" i="5" s="1"/>
  <c r="X2627" i="5"/>
  <c r="E2626" i="4"/>
  <c r="E2626" i="5"/>
  <c r="X2620" i="5"/>
  <c r="X2618" i="5"/>
  <c r="P2616" i="4"/>
  <c r="P2616" i="5"/>
  <c r="X2616" i="5" s="1"/>
  <c r="U2618" i="1"/>
  <c r="T2610" i="5"/>
  <c r="T2612" i="5" s="1"/>
  <c r="T2660" i="5" s="1"/>
  <c r="T2943" i="5" s="1"/>
  <c r="K2827" i="1"/>
  <c r="E2603" i="4"/>
  <c r="E2603" i="5"/>
  <c r="P2595" i="4"/>
  <c r="P2595" i="5"/>
  <c r="P2594" i="4"/>
  <c r="P2594" i="5"/>
  <c r="H2593" i="4"/>
  <c r="H2593" i="5"/>
  <c r="E2590" i="4"/>
  <c r="E2590" i="5"/>
  <c r="U2596" i="1"/>
  <c r="P2588" i="5"/>
  <c r="U2594" i="1"/>
  <c r="P2586" i="5"/>
  <c r="M2591" i="1"/>
  <c r="M2583" i="5" s="1"/>
  <c r="H2583" i="5"/>
  <c r="P2574" i="4"/>
  <c r="P2574" i="5"/>
  <c r="U2570" i="1"/>
  <c r="P2562" i="5"/>
  <c r="U2568" i="1"/>
  <c r="P2560" i="5"/>
  <c r="X2560" i="5" s="1"/>
  <c r="Z2560" i="5" s="1"/>
  <c r="U2566" i="1"/>
  <c r="P2558" i="5"/>
  <c r="E2557" i="4"/>
  <c r="E2557" i="5"/>
  <c r="P2555" i="4"/>
  <c r="P2555" i="5"/>
  <c r="X2555" i="5" s="1"/>
  <c r="Z2555" i="5" s="1"/>
  <c r="H2554" i="4"/>
  <c r="H2554" i="5"/>
  <c r="X2554" i="5" s="1"/>
  <c r="Z2554" i="5" s="1"/>
  <c r="E2553" i="4"/>
  <c r="E2553" i="5"/>
  <c r="P2550" i="4"/>
  <c r="P2550" i="5"/>
  <c r="U2557" i="1"/>
  <c r="M2555" i="1"/>
  <c r="M2547" i="5" s="1"/>
  <c r="H2547" i="5"/>
  <c r="X2547" i="5" s="1"/>
  <c r="Z2547" i="5" s="1"/>
  <c r="X2544" i="5"/>
  <c r="Z2544" i="5" s="1"/>
  <c r="P2542" i="4"/>
  <c r="P2542" i="5"/>
  <c r="X2542" i="5" s="1"/>
  <c r="Z2542" i="5" s="1"/>
  <c r="H2533" i="4"/>
  <c r="H2533" i="5"/>
  <c r="X2533" i="5" s="1"/>
  <c r="Z2533" i="5" s="1"/>
  <c r="X2531" i="5"/>
  <c r="Z2531" i="5" s="1"/>
  <c r="V2537" i="1"/>
  <c r="F2528" i="4"/>
  <c r="F2528" i="5"/>
  <c r="Q2523" i="4"/>
  <c r="Q2523" i="5"/>
  <c r="Q2535" i="5" s="1"/>
  <c r="Q2567" i="5" s="1"/>
  <c r="Q2941" i="5" s="1"/>
  <c r="P2522" i="4"/>
  <c r="P2522" i="5"/>
  <c r="X2522" i="5" s="1"/>
  <c r="Z2522" i="5" s="1"/>
  <c r="H2521" i="4"/>
  <c r="H2521" i="5"/>
  <c r="X2521" i="5" s="1"/>
  <c r="Z2521" i="5" s="1"/>
  <c r="H2519" i="4"/>
  <c r="H2519" i="5"/>
  <c r="X2519" i="5" s="1"/>
  <c r="Z2519" i="5" s="1"/>
  <c r="X2513" i="5"/>
  <c r="Z2513" i="5" s="1"/>
  <c r="U2519" i="1"/>
  <c r="P2511" i="5"/>
  <c r="X2511" i="5" s="1"/>
  <c r="Z2511" i="5" s="1"/>
  <c r="U2517" i="1"/>
  <c r="X2508" i="5"/>
  <c r="Z2508" i="5" s="1"/>
  <c r="U2514" i="1"/>
  <c r="X2505" i="5"/>
  <c r="Z2505" i="5" s="1"/>
  <c r="X2502" i="5"/>
  <c r="Z2502" i="5" s="1"/>
  <c r="X2497" i="5"/>
  <c r="Z2497" i="5" s="1"/>
  <c r="P2507" i="1"/>
  <c r="P2495" i="5"/>
  <c r="X2495" i="5" s="1"/>
  <c r="Z2495" i="5" s="1"/>
  <c r="X2494" i="5"/>
  <c r="Z2494" i="5" s="1"/>
  <c r="P2492" i="4"/>
  <c r="P2492" i="5"/>
  <c r="X2492" i="5" s="1"/>
  <c r="Z2492" i="5" s="1"/>
  <c r="U2494" i="1"/>
  <c r="X2482" i="5"/>
  <c r="M2488" i="1"/>
  <c r="H2480" i="5"/>
  <c r="X2480" i="5" s="1"/>
  <c r="F2478" i="4"/>
  <c r="F2478" i="5"/>
  <c r="F2488" i="5" s="1"/>
  <c r="X2476" i="5"/>
  <c r="H2474" i="4"/>
  <c r="H2474" i="5"/>
  <c r="X2474" i="5" s="1"/>
  <c r="H2468" i="4"/>
  <c r="H2468" i="5"/>
  <c r="V2473" i="1"/>
  <c r="V2465" i="5" s="1"/>
  <c r="H2465" i="5"/>
  <c r="U2471" i="1"/>
  <c r="M2470" i="1"/>
  <c r="M2462" i="5" s="1"/>
  <c r="P2459" i="4"/>
  <c r="P2459" i="5"/>
  <c r="H2458" i="4"/>
  <c r="H2458" i="5"/>
  <c r="P2453" i="4"/>
  <c r="P2453" i="5"/>
  <c r="Q2450" i="1"/>
  <c r="P2444" i="5"/>
  <c r="X2444" i="5" s="1"/>
  <c r="Z2444" i="5" s="1"/>
  <c r="X2440" i="5"/>
  <c r="Z2440" i="5" s="1"/>
  <c r="P2438" i="4"/>
  <c r="P2438" i="5"/>
  <c r="Q2443" i="1"/>
  <c r="P2436" i="4"/>
  <c r="P2436" i="5"/>
  <c r="X2435" i="5"/>
  <c r="Z2435" i="5" s="1"/>
  <c r="Q2439" i="1"/>
  <c r="U2438" i="1"/>
  <c r="Q2437" i="1"/>
  <c r="Q2431" i="5" s="1"/>
  <c r="L2454" i="1"/>
  <c r="L2920" i="1" s="1"/>
  <c r="P2424" i="4"/>
  <c r="P2424" i="5"/>
  <c r="X2424" i="5" s="1"/>
  <c r="Z2424" i="5" s="1"/>
  <c r="P2421" i="4"/>
  <c r="P2421" i="5"/>
  <c r="X2418" i="5"/>
  <c r="Z2418" i="5" s="1"/>
  <c r="J2423" i="1"/>
  <c r="X2421" i="1"/>
  <c r="Z2421" i="1" s="1"/>
  <c r="H2415" i="4"/>
  <c r="H2415" i="5"/>
  <c r="X2415" i="5" s="1"/>
  <c r="Z2415" i="5" s="1"/>
  <c r="X2413" i="5"/>
  <c r="Z2413" i="5" s="1"/>
  <c r="I2454" i="1"/>
  <c r="I2920" i="1" s="1"/>
  <c r="X2408" i="5"/>
  <c r="Z2408" i="5" s="1"/>
  <c r="F2406" i="4"/>
  <c r="F2406" i="5"/>
  <c r="F2410" i="5" s="1"/>
  <c r="X2405" i="5"/>
  <c r="Z2405" i="5" s="1"/>
  <c r="H2402" i="4"/>
  <c r="H2402" i="5"/>
  <c r="X2402" i="5" s="1"/>
  <c r="Z2402" i="5" s="1"/>
  <c r="H2401" i="4"/>
  <c r="H2401" i="5"/>
  <c r="X2401" i="5" s="1"/>
  <c r="Z2401" i="5" s="1"/>
  <c r="H2399" i="4"/>
  <c r="H2399" i="5"/>
  <c r="X2399" i="5" s="1"/>
  <c r="Z2399" i="5" s="1"/>
  <c r="X2398" i="5"/>
  <c r="Z2398" i="5" s="1"/>
  <c r="H2397" i="4"/>
  <c r="H2397" i="5"/>
  <c r="X2397" i="5" s="1"/>
  <c r="Z2397" i="5" s="1"/>
  <c r="H2400" i="1"/>
  <c r="H2394" i="5" s="1"/>
  <c r="X2394" i="5" s="1"/>
  <c r="Z2394" i="5" s="1"/>
  <c r="H2390" i="4"/>
  <c r="H2390" i="5"/>
  <c r="X2390" i="5" s="1"/>
  <c r="M2395" i="1"/>
  <c r="M2389" i="5" s="1"/>
  <c r="P2388" i="4"/>
  <c r="P2388" i="5"/>
  <c r="X2388" i="5" s="1"/>
  <c r="Z2388" i="5" s="1"/>
  <c r="J2385" i="1"/>
  <c r="X2376" i="5"/>
  <c r="Z2376" i="5" s="1"/>
  <c r="E2375" i="4"/>
  <c r="E2375" i="5"/>
  <c r="Z2375" i="5" s="1"/>
  <c r="E2374" i="4"/>
  <c r="E2374" i="5"/>
  <c r="Z2374" i="5" s="1"/>
  <c r="Z2373" i="5"/>
  <c r="P2371" i="4"/>
  <c r="P2371" i="5"/>
  <c r="X2371" i="5" s="1"/>
  <c r="Z2371" i="5" s="1"/>
  <c r="H2370" i="4"/>
  <c r="H2370" i="5"/>
  <c r="X2370" i="5" s="1"/>
  <c r="Z2370" i="5" s="1"/>
  <c r="M2375" i="1"/>
  <c r="M2369" i="5" s="1"/>
  <c r="Z2364" i="5"/>
  <c r="U2368" i="1"/>
  <c r="U2365" i="1"/>
  <c r="X2358" i="5"/>
  <c r="Z2358" i="5" s="1"/>
  <c r="U2362" i="1"/>
  <c r="M2361" i="1"/>
  <c r="M2355" i="5" s="1"/>
  <c r="H2360" i="1"/>
  <c r="Q2359" i="1"/>
  <c r="E2353" i="4"/>
  <c r="E2353" i="5"/>
  <c r="E2352" i="4"/>
  <c r="E2352" i="5"/>
  <c r="Z2352" i="5" s="1"/>
  <c r="P2350" i="4"/>
  <c r="P2350" i="5"/>
  <c r="F2348" i="4"/>
  <c r="F2348" i="5"/>
  <c r="X2346" i="5"/>
  <c r="Z2346" i="5" s="1"/>
  <c r="K2448" i="5"/>
  <c r="K2939" i="5" s="1"/>
  <c r="P2338" i="4"/>
  <c r="P2338" i="5"/>
  <c r="F2333" i="4"/>
  <c r="F2333" i="5"/>
  <c r="X2332" i="5"/>
  <c r="F2347" i="1"/>
  <c r="F2329" i="5"/>
  <c r="F2341" i="5" s="1"/>
  <c r="H2328" i="4"/>
  <c r="H2328" i="5"/>
  <c r="X2328" i="5" s="1"/>
  <c r="Z2328" i="5" s="1"/>
  <c r="P2325" i="4"/>
  <c r="P2325" i="5"/>
  <c r="X2325" i="5" s="1"/>
  <c r="U2330" i="1"/>
  <c r="P2324" i="5"/>
  <c r="X2324" i="5" s="1"/>
  <c r="Z2324" i="5" s="1"/>
  <c r="X2323" i="5"/>
  <c r="Z2323" i="5" s="1"/>
  <c r="X2322" i="5"/>
  <c r="Z2321" i="5"/>
  <c r="P2309" i="4"/>
  <c r="P2309" i="5"/>
  <c r="Q2314" i="1"/>
  <c r="F2307" i="4"/>
  <c r="F2307" i="5"/>
  <c r="F2313" i="5" s="1"/>
  <c r="H2305" i="4"/>
  <c r="H2305" i="5"/>
  <c r="M2308" i="1"/>
  <c r="M2302" i="5" s="1"/>
  <c r="H2300" i="4"/>
  <c r="H2300" i="5"/>
  <c r="F2290" i="4"/>
  <c r="F2290" i="5"/>
  <c r="X2289" i="5"/>
  <c r="Z2289" i="5" s="1"/>
  <c r="J2291" i="1"/>
  <c r="H2284" i="4"/>
  <c r="H2284" i="5"/>
  <c r="X2284" i="5" s="1"/>
  <c r="Z2284" i="5" s="1"/>
  <c r="U2286" i="1"/>
  <c r="P2281" i="4"/>
  <c r="P2281" i="5"/>
  <c r="P2280" i="4"/>
  <c r="P2280" i="5"/>
  <c r="Q2283" i="1"/>
  <c r="P2279" i="5"/>
  <c r="X2279" i="5" s="1"/>
  <c r="Z2279" i="5" s="1"/>
  <c r="Z2277" i="5"/>
  <c r="H2275" i="4"/>
  <c r="H2275" i="5"/>
  <c r="X2275" i="5" s="1"/>
  <c r="Z2275" i="5" s="1"/>
  <c r="F2274" i="4"/>
  <c r="F2274" i="5"/>
  <c r="P2270" i="4"/>
  <c r="P2270" i="5"/>
  <c r="X2270" i="5" s="1"/>
  <c r="Z2270" i="5" s="1"/>
  <c r="U2272" i="1"/>
  <c r="X2271" i="1"/>
  <c r="Z2271" i="1" s="1"/>
  <c r="H2267" i="4"/>
  <c r="H2267" i="5"/>
  <c r="X2267" i="5" s="1"/>
  <c r="Z2267" i="5" s="1"/>
  <c r="Z2266" i="5"/>
  <c r="Z2269" i="1"/>
  <c r="E2265" i="5"/>
  <c r="K2825" i="1"/>
  <c r="H2258" i="4"/>
  <c r="H2258" i="5"/>
  <c r="X2258" i="5" s="1"/>
  <c r="Z2258" i="5" s="1"/>
  <c r="P2266" i="1"/>
  <c r="P2256" i="5"/>
  <c r="X2250" i="5"/>
  <c r="Z2250" i="5" s="1"/>
  <c r="X2247" i="5"/>
  <c r="Z2247" i="5" s="1"/>
  <c r="Z2241" i="5"/>
  <c r="H2240" i="4"/>
  <c r="H2240" i="5"/>
  <c r="X2240" i="5" s="1"/>
  <c r="Z2240" i="5" s="1"/>
  <c r="H2239" i="1"/>
  <c r="H2235" i="5" s="1"/>
  <c r="X2235" i="5" s="1"/>
  <c r="Q2238" i="1"/>
  <c r="M2237" i="1"/>
  <c r="M2233" i="5" s="1"/>
  <c r="X2230" i="5"/>
  <c r="Z2230" i="5" s="1"/>
  <c r="J2231" i="1"/>
  <c r="E2226" i="4"/>
  <c r="E2226" i="5"/>
  <c r="X2224" i="5"/>
  <c r="Z2224" i="5" s="1"/>
  <c r="H2223" i="4"/>
  <c r="H2223" i="5"/>
  <c r="X2223" i="5" s="1"/>
  <c r="J2226" i="1"/>
  <c r="P2216" i="4"/>
  <c r="P2216" i="5"/>
  <c r="X2216" i="5" s="1"/>
  <c r="Z2216" i="5" s="1"/>
  <c r="U2218" i="1"/>
  <c r="E2210" i="4"/>
  <c r="E2210" i="5"/>
  <c r="Z2210" i="5" s="1"/>
  <c r="E2209" i="4"/>
  <c r="E2209" i="5"/>
  <c r="E2208" i="4"/>
  <c r="E2208" i="5"/>
  <c r="M2209" i="1"/>
  <c r="M2205" i="5" s="1"/>
  <c r="P2204" i="4"/>
  <c r="P2204" i="5"/>
  <c r="X2204" i="5" s="1"/>
  <c r="Z2204" i="5" s="1"/>
  <c r="Z2203" i="5"/>
  <c r="J2206" i="1"/>
  <c r="X2201" i="5"/>
  <c r="Z2201" i="5" s="1"/>
  <c r="Z2199" i="5"/>
  <c r="H2198" i="4"/>
  <c r="H2198" i="5"/>
  <c r="X2198" i="5" s="1"/>
  <c r="Z2198" i="5" s="1"/>
  <c r="J2196" i="1"/>
  <c r="H2192" i="5"/>
  <c r="X2192" i="5" s="1"/>
  <c r="Z2192" i="5" s="1"/>
  <c r="E2191" i="4"/>
  <c r="E2191" i="5"/>
  <c r="H2189" i="4"/>
  <c r="H2189" i="5"/>
  <c r="X2189" i="5" s="1"/>
  <c r="Z2189" i="5" s="1"/>
  <c r="X2186" i="5"/>
  <c r="Z2186" i="5" s="1"/>
  <c r="H2185" i="4"/>
  <c r="H2185" i="5"/>
  <c r="X2185" i="5" s="1"/>
  <c r="Z2185" i="5" s="1"/>
  <c r="J2187" i="1"/>
  <c r="X2180" i="5"/>
  <c r="Z2180" i="5" s="1"/>
  <c r="E2179" i="4"/>
  <c r="E2179" i="5"/>
  <c r="Z2179" i="5" s="1"/>
  <c r="U2180" i="1"/>
  <c r="E2176" i="4"/>
  <c r="E2176" i="5"/>
  <c r="Z2176" i="5" s="1"/>
  <c r="M2175" i="1"/>
  <c r="M2171" i="5" s="1"/>
  <c r="F2170" i="4"/>
  <c r="F2170" i="5"/>
  <c r="X2169" i="5"/>
  <c r="Z2169" i="5" s="1"/>
  <c r="E2168" i="4"/>
  <c r="E2168" i="5"/>
  <c r="Z2168" i="5" s="1"/>
  <c r="P2166" i="4"/>
  <c r="P2166" i="5"/>
  <c r="X2166" i="5" s="1"/>
  <c r="Z2166" i="5" s="1"/>
  <c r="U2168" i="1"/>
  <c r="P2163" i="4"/>
  <c r="P2163" i="5"/>
  <c r="X2163" i="5" s="1"/>
  <c r="Z2163" i="5" s="1"/>
  <c r="P2161" i="4"/>
  <c r="P2161" i="5"/>
  <c r="F2159" i="4"/>
  <c r="F2159" i="5"/>
  <c r="Z2158" i="5"/>
  <c r="Q2160" i="1"/>
  <c r="Q2158" i="1"/>
  <c r="E2154" i="4"/>
  <c r="E2154" i="5"/>
  <c r="X2153" i="5"/>
  <c r="F2152" i="4"/>
  <c r="F2152" i="5"/>
  <c r="Z2151" i="5"/>
  <c r="X2153" i="1"/>
  <c r="Z2153" i="1" s="1"/>
  <c r="H2149" i="4"/>
  <c r="H2149" i="5"/>
  <c r="X2149" i="5" s="1"/>
  <c r="P2148" i="4"/>
  <c r="P2148" i="5"/>
  <c r="X2148" i="5" s="1"/>
  <c r="X2147" i="5"/>
  <c r="Z2147" i="5" s="1"/>
  <c r="Q2149" i="1"/>
  <c r="E2145" i="4"/>
  <c r="E2145" i="5"/>
  <c r="X2144" i="5"/>
  <c r="Z2144" i="5" s="1"/>
  <c r="Z2143" i="5"/>
  <c r="X2142" i="5"/>
  <c r="Z2142" i="5" s="1"/>
  <c r="H2141" i="4"/>
  <c r="H2141" i="5"/>
  <c r="X2141" i="5" s="1"/>
  <c r="Z2141" i="5" s="1"/>
  <c r="P2136" i="4"/>
  <c r="P2136" i="5"/>
  <c r="P2135" i="4"/>
  <c r="P2135" i="5"/>
  <c r="X2137" i="1"/>
  <c r="Z2137" i="1" s="1"/>
  <c r="H2133" i="4"/>
  <c r="H2133" i="5"/>
  <c r="X2133" i="5" s="1"/>
  <c r="P2132" i="4"/>
  <c r="P2132" i="5"/>
  <c r="M2134" i="1"/>
  <c r="M2130" i="5" s="1"/>
  <c r="X2129" i="5"/>
  <c r="P2127" i="4"/>
  <c r="P2127" i="5"/>
  <c r="E2126" i="4"/>
  <c r="E2126" i="5"/>
  <c r="U2128" i="1"/>
  <c r="X2123" i="5"/>
  <c r="F2119" i="4"/>
  <c r="F2119" i="5"/>
  <c r="F2138" i="5" s="1"/>
  <c r="P2116" i="4"/>
  <c r="P2116" i="5"/>
  <c r="X2116" i="5" s="1"/>
  <c r="M2119" i="1"/>
  <c r="M2115" i="5" s="1"/>
  <c r="X2109" i="1"/>
  <c r="X2105" i="5" s="1"/>
  <c r="P2104" i="4"/>
  <c r="P2104" i="5"/>
  <c r="H2107" i="1"/>
  <c r="P2102" i="4"/>
  <c r="P2102" i="5"/>
  <c r="M2105" i="1"/>
  <c r="M2101" i="5" s="1"/>
  <c r="P2098" i="4"/>
  <c r="P2098" i="5"/>
  <c r="H2094" i="4"/>
  <c r="H2094" i="5"/>
  <c r="H2091" i="4"/>
  <c r="H2091" i="5"/>
  <c r="J2094" i="1"/>
  <c r="H2090" i="5"/>
  <c r="U2092" i="1"/>
  <c r="Q2091" i="1"/>
  <c r="P2086" i="4"/>
  <c r="P2086" i="5"/>
  <c r="L2085" i="1"/>
  <c r="L2916" i="1" s="1"/>
  <c r="U2080" i="1"/>
  <c r="P2076" i="5"/>
  <c r="F2075" i="4"/>
  <c r="F2075" i="5"/>
  <c r="F2079" i="5" s="1"/>
  <c r="U2077" i="1"/>
  <c r="P2073" i="5"/>
  <c r="X2073" i="5" s="1"/>
  <c r="Z2073" i="5" s="1"/>
  <c r="U2075" i="1"/>
  <c r="P2071" i="5"/>
  <c r="X2071" i="5" s="1"/>
  <c r="Z2071" i="5" s="1"/>
  <c r="U2073" i="1"/>
  <c r="P2069" i="5"/>
  <c r="X2069" i="5" s="1"/>
  <c r="Z2069" i="5" s="1"/>
  <c r="U2071" i="1"/>
  <c r="P2067" i="5"/>
  <c r="X2067" i="5" s="1"/>
  <c r="Z2067" i="5" s="1"/>
  <c r="U2069" i="1"/>
  <c r="P2065" i="5"/>
  <c r="X2065" i="5" s="1"/>
  <c r="Z2065" i="5" s="1"/>
  <c r="U2066" i="1"/>
  <c r="P2062" i="5"/>
  <c r="X2062" i="5" s="1"/>
  <c r="Z2062" i="5" s="1"/>
  <c r="G2063" i="1"/>
  <c r="U2056" i="4"/>
  <c r="U2056" i="5"/>
  <c r="P2052" i="4"/>
  <c r="P2052" i="5"/>
  <c r="X2051" i="5"/>
  <c r="Z2051" i="5" s="1"/>
  <c r="U2053" i="1"/>
  <c r="H2048" i="4"/>
  <c r="H2048" i="5"/>
  <c r="X2048" i="5" s="1"/>
  <c r="Z2048" i="5" s="1"/>
  <c r="M2050" i="1"/>
  <c r="M2046" i="5" s="1"/>
  <c r="M2045" i="1"/>
  <c r="M2041" i="5" s="1"/>
  <c r="H2041" i="5"/>
  <c r="E2041" i="1"/>
  <c r="U2037" i="1"/>
  <c r="F2032" i="4"/>
  <c r="F2032" i="5"/>
  <c r="H2031" i="4"/>
  <c r="H2031" i="5"/>
  <c r="X2031" i="5" s="1"/>
  <c r="Z2031" i="5" s="1"/>
  <c r="X2029" i="5"/>
  <c r="Z2029" i="5" s="1"/>
  <c r="F2027" i="4"/>
  <c r="F2027" i="5"/>
  <c r="U2029" i="1"/>
  <c r="P2025" i="5"/>
  <c r="V2027" i="1"/>
  <c r="V2023" i="5" s="1"/>
  <c r="H2022" i="4"/>
  <c r="H2022" i="5"/>
  <c r="X2022" i="5" s="1"/>
  <c r="Z2022" i="5" s="1"/>
  <c r="X2021" i="5"/>
  <c r="Z2021" i="5" s="1"/>
  <c r="E2020" i="4"/>
  <c r="E2020" i="5"/>
  <c r="Z2020" i="5" s="1"/>
  <c r="P2016" i="4"/>
  <c r="P2016" i="5"/>
  <c r="X2016" i="5" s="1"/>
  <c r="Z2016" i="5" s="1"/>
  <c r="U2013" i="1"/>
  <c r="P2003" i="4"/>
  <c r="P2003" i="5"/>
  <c r="X2003" i="5" s="1"/>
  <c r="P2000" i="4"/>
  <c r="P2000" i="5"/>
  <c r="X2000" i="5" s="1"/>
  <c r="H1999" i="4"/>
  <c r="H1999" i="5"/>
  <c r="X1999" i="5" s="1"/>
  <c r="H1997" i="4"/>
  <c r="H1997" i="5"/>
  <c r="X1997" i="5" s="1"/>
  <c r="X1994" i="5"/>
  <c r="P1992" i="4"/>
  <c r="P1992" i="5"/>
  <c r="X1992" i="5" s="1"/>
  <c r="H1991" i="4"/>
  <c r="H1991" i="5"/>
  <c r="X1991" i="5" s="1"/>
  <c r="E1991" i="1"/>
  <c r="U1986" i="1"/>
  <c r="P1982" i="5"/>
  <c r="M1983" i="1"/>
  <c r="H1979" i="5"/>
  <c r="H1978" i="4"/>
  <c r="H1978" i="5"/>
  <c r="E1965" i="4"/>
  <c r="E1965" i="5"/>
  <c r="X1962" i="5"/>
  <c r="Z1962" i="5" s="1"/>
  <c r="J1964" i="1"/>
  <c r="P1958" i="4"/>
  <c r="P1958" i="5"/>
  <c r="X1957" i="5"/>
  <c r="Z1957" i="5" s="1"/>
  <c r="E1956" i="4"/>
  <c r="E1956" i="5"/>
  <c r="Z1956" i="5" s="1"/>
  <c r="X1948" i="5"/>
  <c r="Z1948" i="5" s="1"/>
  <c r="H1946" i="4"/>
  <c r="H1946" i="5"/>
  <c r="X1946" i="5" s="1"/>
  <c r="Z1946" i="5" s="1"/>
  <c r="F1944" i="4"/>
  <c r="F1944" i="5"/>
  <c r="E1941" i="4"/>
  <c r="E1941" i="5"/>
  <c r="E1940" i="4"/>
  <c r="E1940" i="5"/>
  <c r="Z1940" i="5" s="1"/>
  <c r="F1938" i="4"/>
  <c r="F1938" i="5"/>
  <c r="M1941" i="1"/>
  <c r="M1937" i="5" s="1"/>
  <c r="E1936" i="4"/>
  <c r="E1936" i="5"/>
  <c r="Z1935" i="5"/>
  <c r="P1933" i="4"/>
  <c r="P1933" i="5"/>
  <c r="X1933" i="5" s="1"/>
  <c r="Z1933" i="5" s="1"/>
  <c r="H1932" i="4"/>
  <c r="H1932" i="5"/>
  <c r="X1932" i="5" s="1"/>
  <c r="Z1932" i="5" s="1"/>
  <c r="M1935" i="1"/>
  <c r="M1931" i="5" s="1"/>
  <c r="P1930" i="4"/>
  <c r="P1930" i="5"/>
  <c r="X1930" i="5" s="1"/>
  <c r="Z1930" i="5" s="1"/>
  <c r="F1929" i="4"/>
  <c r="F1929" i="5"/>
  <c r="U1931" i="1"/>
  <c r="Q1930" i="1"/>
  <c r="Q1924" i="1"/>
  <c r="M1923" i="1"/>
  <c r="M1919" i="5" s="1"/>
  <c r="X1918" i="5"/>
  <c r="Z1918" i="5" s="1"/>
  <c r="X1915" i="5"/>
  <c r="Z1915" i="5" s="1"/>
  <c r="F1914" i="4"/>
  <c r="F1914" i="5"/>
  <c r="P1913" i="4"/>
  <c r="P1913" i="5"/>
  <c r="X1913" i="5" s="1"/>
  <c r="Z1913" i="5" s="1"/>
  <c r="P1911" i="4"/>
  <c r="P1911" i="5"/>
  <c r="J1914" i="1"/>
  <c r="H1910" i="5"/>
  <c r="X1910" i="5" s="1"/>
  <c r="Z1910" i="5" s="1"/>
  <c r="Z1909" i="5"/>
  <c r="U1911" i="1"/>
  <c r="F1906" i="4"/>
  <c r="F1906" i="5"/>
  <c r="U1908" i="1"/>
  <c r="Z1904" i="5"/>
  <c r="X1896" i="5"/>
  <c r="Z1896" i="5" s="1"/>
  <c r="U1898" i="1"/>
  <c r="U1894" i="5" s="1"/>
  <c r="H1897" i="1"/>
  <c r="H1893" i="5" s="1"/>
  <c r="X1893" i="5" s="1"/>
  <c r="Z1893" i="5" s="1"/>
  <c r="X1892" i="5"/>
  <c r="Z1892" i="5" s="1"/>
  <c r="Z1891" i="5"/>
  <c r="U1893" i="1"/>
  <c r="U1889" i="5" s="1"/>
  <c r="P1887" i="4"/>
  <c r="P1887" i="5"/>
  <c r="H1889" i="1"/>
  <c r="U1888" i="1"/>
  <c r="U1884" i="5" s="1"/>
  <c r="P1884" i="5"/>
  <c r="X1884" i="5" s="1"/>
  <c r="Z1884" i="5" s="1"/>
  <c r="Q1885" i="1"/>
  <c r="Q1881" i="5" s="1"/>
  <c r="M1882" i="1"/>
  <c r="M1878" i="5" s="1"/>
  <c r="H1878" i="5"/>
  <c r="X1878" i="5" s="1"/>
  <c r="Z1878" i="5" s="1"/>
  <c r="J1881" i="1"/>
  <c r="J1877" i="5" s="1"/>
  <c r="M1880" i="1"/>
  <c r="M1876" i="5" s="1"/>
  <c r="H1876" i="5"/>
  <c r="X1876" i="5" s="1"/>
  <c r="Z1876" i="5" s="1"/>
  <c r="Q1878" i="1"/>
  <c r="Q1874" i="5" s="1"/>
  <c r="F1899" i="5"/>
  <c r="X1872" i="5"/>
  <c r="Z1872" i="5" s="1"/>
  <c r="X1874" i="1"/>
  <c r="X1774" i="2" s="1"/>
  <c r="X1870" i="5"/>
  <c r="Z1870" i="5" s="1"/>
  <c r="J1873" i="1"/>
  <c r="J1869" i="5" s="1"/>
  <c r="X1868" i="5"/>
  <c r="Z1868" i="5" s="1"/>
  <c r="K1869" i="1"/>
  <c r="X1863" i="5"/>
  <c r="Z1863" i="5" s="1"/>
  <c r="E1862" i="4"/>
  <c r="E1862" i="5"/>
  <c r="Z1862" i="5" s="1"/>
  <c r="F1861" i="4"/>
  <c r="F1861" i="5"/>
  <c r="X1859" i="5"/>
  <c r="Z1859" i="5" s="1"/>
  <c r="X1856" i="5"/>
  <c r="Z1856" i="5" s="1"/>
  <c r="J1859" i="1"/>
  <c r="J1855" i="5" s="1"/>
  <c r="Q1855" i="1"/>
  <c r="Q1851" i="5" s="1"/>
  <c r="E1851" i="5"/>
  <c r="Z1851" i="5" s="1"/>
  <c r="X1850" i="5"/>
  <c r="Z1850" i="5" s="1"/>
  <c r="Z1849" i="5"/>
  <c r="Q1850" i="1"/>
  <c r="Q1846" i="5" s="1"/>
  <c r="H1844" i="1"/>
  <c r="H1840" i="5" s="1"/>
  <c r="X1840" i="5" s="1"/>
  <c r="Z1840" i="5" s="1"/>
  <c r="F1840" i="5"/>
  <c r="H1838" i="4"/>
  <c r="H1838" i="5"/>
  <c r="X1838" i="5" s="1"/>
  <c r="Z1838" i="5" s="1"/>
  <c r="M1840" i="1"/>
  <c r="M1836" i="5" s="1"/>
  <c r="X1835" i="5"/>
  <c r="Z1835" i="5" s="1"/>
  <c r="H1838" i="1"/>
  <c r="J1837" i="1"/>
  <c r="J1833" i="5" s="1"/>
  <c r="Z1832" i="5"/>
  <c r="U1834" i="1"/>
  <c r="U1830" i="5" s="1"/>
  <c r="X1831" i="1"/>
  <c r="Q1830" i="1"/>
  <c r="Q1826" i="5" s="1"/>
  <c r="P1826" i="5"/>
  <c r="X1826" i="5" s="1"/>
  <c r="Z1826" i="5" s="1"/>
  <c r="Z1825" i="5"/>
  <c r="X1824" i="5"/>
  <c r="Z1824" i="5" s="1"/>
  <c r="I1969" i="5"/>
  <c r="I2933" i="5" s="1"/>
  <c r="J1821" i="1"/>
  <c r="J1817" i="5" s="1"/>
  <c r="H1817" i="5"/>
  <c r="X1817" i="5" s="1"/>
  <c r="Z1817" i="5" s="1"/>
  <c r="J1818" i="1"/>
  <c r="J1814" i="5" s="1"/>
  <c r="H1814" i="5"/>
  <c r="X1814" i="5" s="1"/>
  <c r="Z1814" i="5" s="1"/>
  <c r="Q1816" i="1"/>
  <c r="Q1812" i="5" s="1"/>
  <c r="P1812" i="5"/>
  <c r="X1811" i="5"/>
  <c r="Z1811" i="5" s="1"/>
  <c r="F1820" i="5"/>
  <c r="Q1812" i="1"/>
  <c r="Q1808" i="5" s="1"/>
  <c r="Q1811" i="1"/>
  <c r="Q1807" i="5" s="1"/>
  <c r="P1807" i="5"/>
  <c r="X1807" i="5" s="1"/>
  <c r="Z1807" i="5" s="1"/>
  <c r="Z1805" i="5"/>
  <c r="M1803" i="1"/>
  <c r="M1799" i="5" s="1"/>
  <c r="H1799" i="5"/>
  <c r="X1799" i="5" s="1"/>
  <c r="Z1799" i="5" s="1"/>
  <c r="Q1801" i="1"/>
  <c r="X1796" i="5"/>
  <c r="Z1796" i="5" s="1"/>
  <c r="J1799" i="1"/>
  <c r="J1795" i="5" s="1"/>
  <c r="J1797" i="1"/>
  <c r="J1793" i="5" s="1"/>
  <c r="H1793" i="5"/>
  <c r="X1793" i="5" s="1"/>
  <c r="Z1793" i="5" s="1"/>
  <c r="Q1795" i="1"/>
  <c r="Q1791" i="5" s="1"/>
  <c r="X1790" i="5"/>
  <c r="Z1790" i="5" s="1"/>
  <c r="J1793" i="1"/>
  <c r="J1789" i="5" s="1"/>
  <c r="Z1788" i="5"/>
  <c r="U1785" i="1"/>
  <c r="U1781" i="5" s="1"/>
  <c r="X1781" i="5"/>
  <c r="J1783" i="1"/>
  <c r="J1779" i="5" s="1"/>
  <c r="H1779" i="5"/>
  <c r="X1779" i="5" s="1"/>
  <c r="Z1779" i="5" s="1"/>
  <c r="J1782" i="1"/>
  <c r="J1778" i="5" s="1"/>
  <c r="M1781" i="1"/>
  <c r="M1777" i="5" s="1"/>
  <c r="H1777" i="5"/>
  <c r="X1777" i="5" s="1"/>
  <c r="Z1777" i="5" s="1"/>
  <c r="H1778" i="1"/>
  <c r="H1774" i="5" s="1"/>
  <c r="X1774" i="5" s="1"/>
  <c r="Z1774" i="5" s="1"/>
  <c r="X1777" i="1"/>
  <c r="P1773" i="5"/>
  <c r="X1773" i="5" s="1"/>
  <c r="Q1777" i="1"/>
  <c r="Q1773" i="5" s="1"/>
  <c r="E1773" i="5"/>
  <c r="J1776" i="1"/>
  <c r="J1772" i="5" s="1"/>
  <c r="Z1770" i="5"/>
  <c r="X1765" i="5"/>
  <c r="Q1767" i="1"/>
  <c r="Q1763" i="5" s="1"/>
  <c r="X1766" i="1"/>
  <c r="P1762" i="5"/>
  <c r="X1762" i="5" s="1"/>
  <c r="X1759" i="1"/>
  <c r="X1755" i="5" s="1"/>
  <c r="H1755" i="5"/>
  <c r="M1758" i="1"/>
  <c r="M1754" i="5" s="1"/>
  <c r="U1756" i="1"/>
  <c r="U1752" i="5" s="1"/>
  <c r="M1738" i="1"/>
  <c r="M1735" i="5" s="1"/>
  <c r="X1734" i="5"/>
  <c r="U1735" i="1"/>
  <c r="U1732" i="5" s="1"/>
  <c r="P1732" i="5"/>
  <c r="X1732" i="5" s="1"/>
  <c r="U1733" i="1"/>
  <c r="U1730" i="5" s="1"/>
  <c r="U1729" i="1"/>
  <c r="U1726" i="5" s="1"/>
  <c r="V1727" i="1"/>
  <c r="V1724" i="5" s="1"/>
  <c r="P1724" i="5"/>
  <c r="X1724" i="5" s="1"/>
  <c r="X1723" i="5"/>
  <c r="M1721" i="1"/>
  <c r="M1718" i="5" s="1"/>
  <c r="H1718" i="5"/>
  <c r="X1718" i="5" s="1"/>
  <c r="X1717" i="5"/>
  <c r="M1718" i="1"/>
  <c r="M1715" i="5" s="1"/>
  <c r="H1715" i="5"/>
  <c r="X1715" i="5" s="1"/>
  <c r="U1716" i="1"/>
  <c r="U1713" i="5" s="1"/>
  <c r="P1713" i="5"/>
  <c r="U1709" i="1"/>
  <c r="U1706" i="5" s="1"/>
  <c r="P1706" i="5"/>
  <c r="X1706" i="5" s="1"/>
  <c r="M1707" i="1"/>
  <c r="U1705" i="1"/>
  <c r="U1702" i="5" s="1"/>
  <c r="P1702" i="5"/>
  <c r="X1702" i="5" s="1"/>
  <c r="U1703" i="1"/>
  <c r="U1700" i="5" s="1"/>
  <c r="P1693" i="4"/>
  <c r="P1693" i="5"/>
  <c r="H1692" i="4"/>
  <c r="H1692" i="5"/>
  <c r="X1692" i="5" s="1"/>
  <c r="M1693" i="1"/>
  <c r="M1690" i="5" s="1"/>
  <c r="H1690" i="5"/>
  <c r="X1690" i="5" s="1"/>
  <c r="U1690" i="1"/>
  <c r="U1687" i="5" s="1"/>
  <c r="P1687" i="5"/>
  <c r="X1687" i="5" s="1"/>
  <c r="U1688" i="1"/>
  <c r="U1685" i="5" s="1"/>
  <c r="M1687" i="1"/>
  <c r="M1684" i="5" s="1"/>
  <c r="X1681" i="5"/>
  <c r="X1676" i="5"/>
  <c r="N1673" i="4"/>
  <c r="N1673" i="5"/>
  <c r="N1678" i="5" s="1"/>
  <c r="N1739" i="5" s="1"/>
  <c r="N2931" i="5" s="1"/>
  <c r="X1670" i="5"/>
  <c r="X1668" i="5"/>
  <c r="M1669" i="1"/>
  <c r="M1666" i="5" s="1"/>
  <c r="H1666" i="5"/>
  <c r="X1666" i="5" s="1"/>
  <c r="M1668" i="1"/>
  <c r="M1665" i="5" s="1"/>
  <c r="X1664" i="5"/>
  <c r="M1665" i="1"/>
  <c r="M1662" i="5" s="1"/>
  <c r="H1662" i="5"/>
  <c r="X1662" i="5" s="1"/>
  <c r="L1742" i="1"/>
  <c r="L2912" i="1" s="1"/>
  <c r="U1659" i="1"/>
  <c r="M1657" i="1"/>
  <c r="U1656" i="1"/>
  <c r="U1653" i="5" s="1"/>
  <c r="V1654" i="1"/>
  <c r="V1651" i="5" s="1"/>
  <c r="P1651" i="5"/>
  <c r="X1651" i="5" s="1"/>
  <c r="X1650" i="5"/>
  <c r="X1649" i="5"/>
  <c r="X1646" i="5"/>
  <c r="M1647" i="1"/>
  <c r="M1644" i="5" s="1"/>
  <c r="H1644" i="5"/>
  <c r="X1644" i="5" s="1"/>
  <c r="M1646" i="1"/>
  <c r="M1643" i="5" s="1"/>
  <c r="X1642" i="5"/>
  <c r="U1638" i="1"/>
  <c r="U1635" i="5" s="1"/>
  <c r="P1635" i="5"/>
  <c r="X1635" i="5" s="1"/>
  <c r="M1637" i="1"/>
  <c r="M1634" i="5" s="1"/>
  <c r="U1635" i="1"/>
  <c r="H1634" i="1"/>
  <c r="H1631" i="5" s="1"/>
  <c r="X1631" i="5" s="1"/>
  <c r="X1630" i="5"/>
  <c r="X1627" i="5"/>
  <c r="V1628" i="1"/>
  <c r="V1625" i="5" s="1"/>
  <c r="P1625" i="5"/>
  <c r="X1625" i="5" s="1"/>
  <c r="U1625" i="1"/>
  <c r="U1622" i="5" s="1"/>
  <c r="P1622" i="5"/>
  <c r="X1621" i="5"/>
  <c r="H1615" i="4"/>
  <c r="H1615" i="5"/>
  <c r="X1615" i="5" s="1"/>
  <c r="X1616" i="1"/>
  <c r="X1534" i="2" s="1"/>
  <c r="P1613" i="5"/>
  <c r="H1611" i="4"/>
  <c r="H1611" i="5"/>
  <c r="X1611" i="5" s="1"/>
  <c r="M1613" i="1"/>
  <c r="M1610" i="5" s="1"/>
  <c r="U1611" i="1"/>
  <c r="U1608" i="5" s="1"/>
  <c r="P1608" i="5"/>
  <c r="V1610" i="1"/>
  <c r="V1607" i="5" s="1"/>
  <c r="H1607" i="5"/>
  <c r="X1607" i="5" s="1"/>
  <c r="U1605" i="1"/>
  <c r="U1602" i="5" s="1"/>
  <c r="X1604" i="1"/>
  <c r="H1601" i="5"/>
  <c r="X1601" i="5" s="1"/>
  <c r="V1603" i="1"/>
  <c r="P1600" i="5"/>
  <c r="M1602" i="1"/>
  <c r="M1599" i="5" s="1"/>
  <c r="H1599" i="5"/>
  <c r="X1599" i="5" s="1"/>
  <c r="U1600" i="1"/>
  <c r="U1597" i="5" s="1"/>
  <c r="X1596" i="5"/>
  <c r="X1589" i="1"/>
  <c r="X1586" i="5" s="1"/>
  <c r="U1588" i="1"/>
  <c r="U1585" i="5" s="1"/>
  <c r="U1582" i="1"/>
  <c r="U1579" i="5" s="1"/>
  <c r="P1579" i="5"/>
  <c r="M1581" i="1"/>
  <c r="M1578" i="5" s="1"/>
  <c r="X1563" i="1"/>
  <c r="X1560" i="5" s="1"/>
  <c r="U1562" i="1"/>
  <c r="U1559" i="5" s="1"/>
  <c r="U1556" i="1"/>
  <c r="U1553" i="5" s="1"/>
  <c r="P1553" i="5"/>
  <c r="M1555" i="1"/>
  <c r="M1552" i="5" s="1"/>
  <c r="U1554" i="1"/>
  <c r="U1551" i="1"/>
  <c r="X1539" i="5"/>
  <c r="Z1539" i="5" s="1"/>
  <c r="Q1534" i="1"/>
  <c r="Q1533" i="5" s="1"/>
  <c r="Q1531" i="1"/>
  <c r="Q1530" i="5" s="1"/>
  <c r="X1528" i="1"/>
  <c r="J1528" i="1"/>
  <c r="J1527" i="5" s="1"/>
  <c r="X1524" i="5"/>
  <c r="Z1524" i="5" s="1"/>
  <c r="X1515" i="5"/>
  <c r="Z1515" i="5" s="1"/>
  <c r="Q1510" i="1"/>
  <c r="Q1509" i="5" s="1"/>
  <c r="U1504" i="1"/>
  <c r="U1503" i="5" s="1"/>
  <c r="U1501" i="1"/>
  <c r="U1500" i="5" s="1"/>
  <c r="P1500" i="5"/>
  <c r="P1541" i="5" s="1"/>
  <c r="P1543" i="5" s="1"/>
  <c r="X1496" i="1"/>
  <c r="X1418" i="2" s="1"/>
  <c r="J1496" i="1"/>
  <c r="J1495" i="5" s="1"/>
  <c r="J1495" i="1"/>
  <c r="J1494" i="5" s="1"/>
  <c r="U1494" i="1"/>
  <c r="U1493" i="5" s="1"/>
  <c r="X1493" i="5"/>
  <c r="Z1493" i="5" s="1"/>
  <c r="J1491" i="1"/>
  <c r="J1490" i="5" s="1"/>
  <c r="U1490" i="1"/>
  <c r="X1489" i="5"/>
  <c r="Z1489" i="5" s="1"/>
  <c r="X1484" i="5"/>
  <c r="Z1484" i="5" s="1"/>
  <c r="U1483" i="1"/>
  <c r="U1482" i="5" s="1"/>
  <c r="P1482" i="5"/>
  <c r="H1482" i="1"/>
  <c r="H1481" i="5" s="1"/>
  <c r="X1481" i="5" s="1"/>
  <c r="Z1481" i="5" s="1"/>
  <c r="F1481" i="5"/>
  <c r="F1497" i="5" s="1"/>
  <c r="U1481" i="1"/>
  <c r="X1480" i="5"/>
  <c r="Z1480" i="5" s="1"/>
  <c r="M1478" i="1"/>
  <c r="M1477" i="5" s="1"/>
  <c r="X1476" i="5"/>
  <c r="Z1476" i="5" s="1"/>
  <c r="U1475" i="1"/>
  <c r="U1474" i="5" s="1"/>
  <c r="P1474" i="5"/>
  <c r="U1470" i="1"/>
  <c r="U1469" i="5" s="1"/>
  <c r="X1469" i="5"/>
  <c r="H1468" i="4"/>
  <c r="H1468" i="5"/>
  <c r="X1468" i="5" s="1"/>
  <c r="Z1468" i="5" s="1"/>
  <c r="P1466" i="4"/>
  <c r="P1466" i="5"/>
  <c r="H1466" i="1"/>
  <c r="H1465" i="5" s="1"/>
  <c r="X1465" i="5" s="1"/>
  <c r="Z1465" i="5" s="1"/>
  <c r="F1465" i="5"/>
  <c r="U1462" i="1"/>
  <c r="U1461" i="5" s="1"/>
  <c r="P1461" i="5"/>
  <c r="P1459" i="4"/>
  <c r="P1459" i="5"/>
  <c r="X1458" i="5"/>
  <c r="Z1458" i="5" s="1"/>
  <c r="X1455" i="5"/>
  <c r="Z1455" i="5" s="1"/>
  <c r="H1454" i="1"/>
  <c r="H1453" i="5" s="1"/>
  <c r="X1453" i="5" s="1"/>
  <c r="Z1453" i="5" s="1"/>
  <c r="F1453" i="5"/>
  <c r="U1453" i="1"/>
  <c r="U1452" i="5" s="1"/>
  <c r="P1452" i="5"/>
  <c r="Q1452" i="1"/>
  <c r="Q1451" i="5" s="1"/>
  <c r="H1451" i="1"/>
  <c r="F1450" i="5"/>
  <c r="F1471" i="5" s="1"/>
  <c r="U1449" i="1"/>
  <c r="U1448" i="5" s="1"/>
  <c r="V1445" i="1"/>
  <c r="V1444" i="5" s="1"/>
  <c r="P1444" i="5"/>
  <c r="U1443" i="1"/>
  <c r="U1442" i="5" s="1"/>
  <c r="J1441" i="1"/>
  <c r="J1440" i="5" s="1"/>
  <c r="M1440" i="1"/>
  <c r="M1439" i="5" s="1"/>
  <c r="J1439" i="1"/>
  <c r="J1438" i="5" s="1"/>
  <c r="H1438" i="5"/>
  <c r="X1438" i="5" s="1"/>
  <c r="Z1438" i="5" s="1"/>
  <c r="X1437" i="5"/>
  <c r="Z1437" i="5" s="1"/>
  <c r="Q1431" i="1"/>
  <c r="Q1430" i="5" s="1"/>
  <c r="J1430" i="1"/>
  <c r="J1429" i="5" s="1"/>
  <c r="H1429" i="5"/>
  <c r="X1429" i="5" s="1"/>
  <c r="Z1429" i="5" s="1"/>
  <c r="U1428" i="1"/>
  <c r="U1427" i="5" s="1"/>
  <c r="P1427" i="5"/>
  <c r="X1426" i="5"/>
  <c r="Z1426" i="5" s="1"/>
  <c r="Q1423" i="1"/>
  <c r="Q1422" i="5" s="1"/>
  <c r="H1422" i="1"/>
  <c r="M1421" i="1"/>
  <c r="M1420" i="5" s="1"/>
  <c r="H1420" i="5"/>
  <c r="X1420" i="5" s="1"/>
  <c r="Z1420" i="5" s="1"/>
  <c r="U1416" i="1"/>
  <c r="U1415" i="5" s="1"/>
  <c r="M1414" i="1"/>
  <c r="M1413" i="5" s="1"/>
  <c r="U1412" i="1"/>
  <c r="U1411" i="5" s="1"/>
  <c r="Z1408" i="5"/>
  <c r="X1406" i="5"/>
  <c r="Z1406" i="5" s="1"/>
  <c r="Z1405" i="5"/>
  <c r="M1400" i="1"/>
  <c r="M1399" i="5" s="1"/>
  <c r="M1399" i="1"/>
  <c r="M1398" i="5" s="1"/>
  <c r="H1398" i="5"/>
  <c r="X1398" i="5" s="1"/>
  <c r="Z1398" i="5" s="1"/>
  <c r="X1397" i="1"/>
  <c r="Z1397" i="1" s="1"/>
  <c r="H1396" i="5"/>
  <c r="X1396" i="5" s="1"/>
  <c r="Z1396" i="5" s="1"/>
  <c r="M1396" i="1"/>
  <c r="U1394" i="1"/>
  <c r="U1393" i="5" s="1"/>
  <c r="P1393" i="5"/>
  <c r="Q1393" i="1"/>
  <c r="Q1392" i="5" s="1"/>
  <c r="X1390" i="5"/>
  <c r="Z1390" i="5" s="1"/>
  <c r="X1388" i="1"/>
  <c r="X1318" i="2" s="1"/>
  <c r="J1383" i="1"/>
  <c r="J1382" i="5" s="1"/>
  <c r="H1382" i="5"/>
  <c r="X1382" i="5" s="1"/>
  <c r="Z1382" i="5" s="1"/>
  <c r="Z1381" i="5"/>
  <c r="Z1380" i="5"/>
  <c r="Z1379" i="5"/>
  <c r="M1374" i="1"/>
  <c r="M1373" i="5" s="1"/>
  <c r="H1373" i="5"/>
  <c r="X1373" i="5" s="1"/>
  <c r="Z1373" i="5" s="1"/>
  <c r="Q1369" i="1"/>
  <c r="Q1368" i="5" s="1"/>
  <c r="P1368" i="5"/>
  <c r="Q1367" i="1"/>
  <c r="Q1366" i="5" s="1"/>
  <c r="P1366" i="5"/>
  <c r="X1365" i="5"/>
  <c r="Z1365" i="5" s="1"/>
  <c r="P1362" i="4"/>
  <c r="P1362" i="5"/>
  <c r="U1362" i="1"/>
  <c r="P1361" i="5"/>
  <c r="X1361" i="5" s="1"/>
  <c r="Z1361" i="5" s="1"/>
  <c r="Z1360" i="5"/>
  <c r="Q1358" i="1"/>
  <c r="Q1357" i="5" s="1"/>
  <c r="P1357" i="5"/>
  <c r="X1355" i="5"/>
  <c r="Z1355" i="5" s="1"/>
  <c r="X1354" i="5"/>
  <c r="Z1354" i="5" s="1"/>
  <c r="X1353" i="5"/>
  <c r="Z1353" i="5" s="1"/>
  <c r="Q1351" i="1"/>
  <c r="Q1350" i="5" s="1"/>
  <c r="P1350" i="5"/>
  <c r="Z1349" i="5"/>
  <c r="V1347" i="1"/>
  <c r="V1346" i="5" s="1"/>
  <c r="Z1345" i="5"/>
  <c r="Z1344" i="5"/>
  <c r="K1375" i="5"/>
  <c r="Q1338" i="1"/>
  <c r="Q1337" i="5" s="1"/>
  <c r="E1337" i="5"/>
  <c r="Z1337" i="5" s="1"/>
  <c r="M1336" i="1"/>
  <c r="M1335" i="5" s="1"/>
  <c r="H1335" i="5"/>
  <c r="X1335" i="5" s="1"/>
  <c r="Z1335" i="5" s="1"/>
  <c r="U1332" i="1"/>
  <c r="P1331" i="5"/>
  <c r="X1331" i="5" s="1"/>
  <c r="Z1331" i="5" s="1"/>
  <c r="X1329" i="1"/>
  <c r="H1328" i="5"/>
  <c r="X1328" i="5" s="1"/>
  <c r="Z1328" i="5" s="1"/>
  <c r="U1326" i="1"/>
  <c r="U1325" i="5" s="1"/>
  <c r="X1325" i="1"/>
  <c r="X1261" i="2" s="1"/>
  <c r="P1324" i="5"/>
  <c r="X1323" i="5"/>
  <c r="Z1323" i="5" s="1"/>
  <c r="Q1321" i="1"/>
  <c r="Q1320" i="5" s="1"/>
  <c r="E1320" i="5"/>
  <c r="X1317" i="5"/>
  <c r="Z1317" i="5" s="1"/>
  <c r="X1315" i="5"/>
  <c r="Z1315" i="5" s="1"/>
  <c r="Z1314" i="5"/>
  <c r="M1314" i="1"/>
  <c r="M1313" i="5" s="1"/>
  <c r="X1312" i="5"/>
  <c r="Z1312" i="5" s="1"/>
  <c r="U1308" i="1"/>
  <c r="U1307" i="5" s="1"/>
  <c r="Z1307" i="5"/>
  <c r="X1306" i="5"/>
  <c r="Z1306" i="5" s="1"/>
  <c r="J1304" i="1"/>
  <c r="J1303" i="5" s="1"/>
  <c r="H1303" i="5"/>
  <c r="X1303" i="5" s="1"/>
  <c r="Z1303" i="5" s="1"/>
  <c r="X1298" i="5"/>
  <c r="Z1298" i="5" s="1"/>
  <c r="Z1296" i="5"/>
  <c r="X1294" i="5"/>
  <c r="Z1294" i="5" s="1"/>
  <c r="V1286" i="1"/>
  <c r="V1285" i="5" s="1"/>
  <c r="X1285" i="5"/>
  <c r="Z1285" i="5" s="1"/>
  <c r="X1284" i="5"/>
  <c r="Z1284" i="5" s="1"/>
  <c r="U1278" i="4"/>
  <c r="U1278" i="5"/>
  <c r="M1278" i="1"/>
  <c r="M1277" i="5" s="1"/>
  <c r="M1276" i="1"/>
  <c r="M1275" i="5" s="1"/>
  <c r="H1275" i="5"/>
  <c r="X1275" i="5" s="1"/>
  <c r="Z1275" i="5" s="1"/>
  <c r="X1272" i="1"/>
  <c r="H1267" i="1"/>
  <c r="F1266" i="5"/>
  <c r="M1265" i="1"/>
  <c r="M1264" i="5" s="1"/>
  <c r="X1261" i="5"/>
  <c r="Z1261" i="5" s="1"/>
  <c r="H1261" i="1"/>
  <c r="H1260" i="5" s="1"/>
  <c r="X1260" i="5" s="1"/>
  <c r="Z1260" i="5" s="1"/>
  <c r="F1260" i="5"/>
  <c r="F1281" i="5" s="1"/>
  <c r="J1260" i="1"/>
  <c r="J1259" i="5" s="1"/>
  <c r="H1259" i="5"/>
  <c r="X1259" i="5" s="1"/>
  <c r="Z1259" i="5" s="1"/>
  <c r="Z1256" i="5"/>
  <c r="X1255" i="5"/>
  <c r="Z1255" i="5" s="1"/>
  <c r="X1253" i="5"/>
  <c r="Z1253" i="5" s="1"/>
  <c r="X1252" i="5"/>
  <c r="Z1252" i="5" s="1"/>
  <c r="E1240" i="4"/>
  <c r="E1240" i="5"/>
  <c r="M1240" i="1"/>
  <c r="M1239" i="5" s="1"/>
  <c r="H1239" i="5"/>
  <c r="X1239" i="5" s="1"/>
  <c r="U1234" i="1"/>
  <c r="U1233" i="5" s="1"/>
  <c r="P1233" i="5"/>
  <c r="X1232" i="5"/>
  <c r="U1229" i="1"/>
  <c r="U1228" i="5" s="1"/>
  <c r="P1228" i="5"/>
  <c r="M1227" i="1"/>
  <c r="M1226" i="5" s="1"/>
  <c r="H1226" i="5"/>
  <c r="X1226" i="5" s="1"/>
  <c r="X1225" i="1"/>
  <c r="X1170" i="2" s="1"/>
  <c r="F1244" i="5"/>
  <c r="Q1222" i="1"/>
  <c r="Q1221" i="5" s="1"/>
  <c r="P1221" i="5"/>
  <c r="X1219" i="5"/>
  <c r="J1213" i="1"/>
  <c r="J1212" i="5" s="1"/>
  <c r="H1212" i="5"/>
  <c r="H1208" i="4"/>
  <c r="H1208" i="5"/>
  <c r="U1207" i="1"/>
  <c r="U1206" i="5" s="1"/>
  <c r="P1206" i="5"/>
  <c r="M1199" i="1"/>
  <c r="M1198" i="5" s="1"/>
  <c r="V1197" i="1"/>
  <c r="V1196" i="5" s="1"/>
  <c r="Z1183" i="5"/>
  <c r="V1182" i="1"/>
  <c r="V1181" i="5" s="1"/>
  <c r="Z1181" i="5"/>
  <c r="X1179" i="5"/>
  <c r="Z1179" i="5" s="1"/>
  <c r="U1176" i="1"/>
  <c r="U1175" i="5" s="1"/>
  <c r="P1175" i="5"/>
  <c r="M1175" i="1"/>
  <c r="M1174" i="5" s="1"/>
  <c r="H1174" i="5"/>
  <c r="X1174" i="5" s="1"/>
  <c r="Z1174" i="5" s="1"/>
  <c r="X1173" i="5"/>
  <c r="Z1173" i="5" s="1"/>
  <c r="X1171" i="1"/>
  <c r="X1119" i="2" s="1"/>
  <c r="X1170" i="5"/>
  <c r="Z1170" i="5" s="1"/>
  <c r="U1165" i="1"/>
  <c r="U1164" i="5" s="1"/>
  <c r="P1164" i="5"/>
  <c r="X1161" i="5"/>
  <c r="Z1161" i="5" s="1"/>
  <c r="M1160" i="1"/>
  <c r="M1159" i="5" s="1"/>
  <c r="M1159" i="1"/>
  <c r="M1158" i="5" s="1"/>
  <c r="H1158" i="5"/>
  <c r="X1158" i="5" s="1"/>
  <c r="Z1158" i="5" s="1"/>
  <c r="M1157" i="1"/>
  <c r="M1156" i="5" s="1"/>
  <c r="H1156" i="5"/>
  <c r="X1156" i="5" s="1"/>
  <c r="Z1156" i="5" s="1"/>
  <c r="X1154" i="5"/>
  <c r="Z1154" i="5" s="1"/>
  <c r="X1151" i="5"/>
  <c r="Z1151" i="5" s="1"/>
  <c r="U1149" i="1"/>
  <c r="U1148" i="5" s="1"/>
  <c r="M1148" i="1"/>
  <c r="M1147" i="5" s="1"/>
  <c r="H1147" i="5"/>
  <c r="X1141" i="5"/>
  <c r="Z1141" i="5" s="1"/>
  <c r="X1138" i="1"/>
  <c r="P1137" i="5"/>
  <c r="X1136" i="5"/>
  <c r="Z1136" i="5" s="1"/>
  <c r="U1135" i="1"/>
  <c r="U1134" i="5" s="1"/>
  <c r="U1134" i="1"/>
  <c r="U1133" i="5" s="1"/>
  <c r="P1133" i="5"/>
  <c r="X1133" i="5" s="1"/>
  <c r="Z1133" i="5" s="1"/>
  <c r="U1128" i="1"/>
  <c r="U1127" i="5" s="1"/>
  <c r="P1127" i="5"/>
  <c r="X1127" i="5" s="1"/>
  <c r="Z1127" i="5" s="1"/>
  <c r="E1126" i="4"/>
  <c r="E1126" i="5"/>
  <c r="X1124" i="5"/>
  <c r="Z1124" i="5" s="1"/>
  <c r="M1123" i="1"/>
  <c r="M1122" i="5" s="1"/>
  <c r="U1120" i="1"/>
  <c r="U1119" i="5" s="1"/>
  <c r="M1119" i="1"/>
  <c r="M1118" i="5" s="1"/>
  <c r="X1117" i="1"/>
  <c r="P1116" i="5"/>
  <c r="U1116" i="1"/>
  <c r="U1115" i="5" s="1"/>
  <c r="M1115" i="1"/>
  <c r="M1114" i="5" s="1"/>
  <c r="M1112" i="1"/>
  <c r="M1111" i="5" s="1"/>
  <c r="H1111" i="5"/>
  <c r="X1111" i="5" s="1"/>
  <c r="Z1111" i="5" s="1"/>
  <c r="M1105" i="1"/>
  <c r="M1104" i="5" s="1"/>
  <c r="P1103" i="4"/>
  <c r="P1103" i="5"/>
  <c r="X1103" i="5" s="1"/>
  <c r="Z1103" i="5" s="1"/>
  <c r="X1102" i="5"/>
  <c r="Z1102" i="5" s="1"/>
  <c r="U1101" i="1"/>
  <c r="U1100" i="5" s="1"/>
  <c r="F1107" i="1"/>
  <c r="F1099" i="5"/>
  <c r="F1106" i="5" s="1"/>
  <c r="F1190" i="5" s="1"/>
  <c r="F2927" i="5" s="1"/>
  <c r="U1098" i="1"/>
  <c r="U1097" i="5" s="1"/>
  <c r="P1097" i="5"/>
  <c r="X1097" i="5" s="1"/>
  <c r="Z1097" i="5" s="1"/>
  <c r="U1096" i="1"/>
  <c r="U1095" i="5" s="1"/>
  <c r="M1095" i="1"/>
  <c r="M1094" i="5" s="1"/>
  <c r="X1091" i="5"/>
  <c r="Z1091" i="5" s="1"/>
  <c r="N1086" i="1"/>
  <c r="U1083" i="1"/>
  <c r="U1080" i="1"/>
  <c r="U1079" i="5" s="1"/>
  <c r="M1079" i="1"/>
  <c r="M1078" i="5" s="1"/>
  <c r="H1078" i="5"/>
  <c r="X1078" i="5" s="1"/>
  <c r="Z1078" i="5" s="1"/>
  <c r="M1077" i="1"/>
  <c r="M1076" i="5" s="1"/>
  <c r="X1072" i="5"/>
  <c r="Z1072" i="5" s="1"/>
  <c r="U1064" i="1"/>
  <c r="U1063" i="5" s="1"/>
  <c r="M1063" i="1"/>
  <c r="M1062" i="5" s="1"/>
  <c r="H1060" i="4"/>
  <c r="H1060" i="5"/>
  <c r="X1060" i="5" s="1"/>
  <c r="Z1060" i="5" s="1"/>
  <c r="M1059" i="1"/>
  <c r="M1058" i="5" s="1"/>
  <c r="H1058" i="5"/>
  <c r="X1058" i="5" s="1"/>
  <c r="Z1058" i="5" s="1"/>
  <c r="X1057" i="5"/>
  <c r="Z1057" i="5" s="1"/>
  <c r="X1054" i="5"/>
  <c r="Z1054" i="5" s="1"/>
  <c r="M1053" i="1"/>
  <c r="H1052" i="5"/>
  <c r="X1052" i="5" s="1"/>
  <c r="Z1052" i="5" s="1"/>
  <c r="M1048" i="1"/>
  <c r="M1047" i="5" s="1"/>
  <c r="X1046" i="5"/>
  <c r="Z1046" i="5" s="1"/>
  <c r="X1044" i="5"/>
  <c r="Z1044" i="5" s="1"/>
  <c r="M1043" i="1"/>
  <c r="M1042" i="5" s="1"/>
  <c r="M1042" i="1"/>
  <c r="M1041" i="5" s="1"/>
  <c r="H1041" i="5"/>
  <c r="X1041" i="5" s="1"/>
  <c r="Z1041" i="5" s="1"/>
  <c r="M1040" i="1"/>
  <c r="M1039" i="5" s="1"/>
  <c r="H1039" i="5"/>
  <c r="X1039" i="5" s="1"/>
  <c r="Z1039" i="5" s="1"/>
  <c r="M1038" i="1"/>
  <c r="M1037" i="5" s="1"/>
  <c r="U1032" i="1"/>
  <c r="U1031" i="5" s="1"/>
  <c r="P1031" i="5"/>
  <c r="X1031" i="5" s="1"/>
  <c r="Z1031" i="5" s="1"/>
  <c r="U1031" i="1"/>
  <c r="P1030" i="5"/>
  <c r="X1030" i="5" s="1"/>
  <c r="Z1030" i="5" s="1"/>
  <c r="U1026" i="1"/>
  <c r="U1025" i="5" s="1"/>
  <c r="P1025" i="5"/>
  <c r="X1024" i="5"/>
  <c r="Z1024" i="5" s="1"/>
  <c r="X1023" i="5"/>
  <c r="Z1023" i="5" s="1"/>
  <c r="Z1022" i="5"/>
  <c r="U1021" i="1"/>
  <c r="U1020" i="5" s="1"/>
  <c r="X1018" i="5"/>
  <c r="Z1018" i="5" s="1"/>
  <c r="M1012" i="1"/>
  <c r="M1011" i="5" s="1"/>
  <c r="H1011" i="5"/>
  <c r="X1011" i="5" s="1"/>
  <c r="Z1011" i="5" s="1"/>
  <c r="F1010" i="4"/>
  <c r="F1010" i="5"/>
  <c r="H1010" i="1"/>
  <c r="H1009" i="5" s="1"/>
  <c r="X1009" i="5" s="1"/>
  <c r="Z1009" i="5" s="1"/>
  <c r="X1008" i="5"/>
  <c r="Z1008" i="5" s="1"/>
  <c r="Z1006" i="5"/>
  <c r="X1002" i="5"/>
  <c r="Z1002" i="5" s="1"/>
  <c r="X1001" i="5"/>
  <c r="Z1001" i="5" s="1"/>
  <c r="P1000" i="1"/>
  <c r="P999" i="5" s="1"/>
  <c r="N999" i="5"/>
  <c r="U995" i="1"/>
  <c r="U994" i="5" s="1"/>
  <c r="P994" i="1"/>
  <c r="N993" i="5"/>
  <c r="M988" i="1"/>
  <c r="M982" i="1"/>
  <c r="M981" i="5" s="1"/>
  <c r="H981" i="5"/>
  <c r="H980" i="1"/>
  <c r="M979" i="1"/>
  <c r="M978" i="5" s="1"/>
  <c r="M945" i="1"/>
  <c r="M945" i="5" s="1"/>
  <c r="M947" i="5" s="1"/>
  <c r="H945" i="5"/>
  <c r="X945" i="5" s="1"/>
  <c r="Z945" i="5" s="1"/>
  <c r="Q939" i="1"/>
  <c r="Q939" i="5" s="1"/>
  <c r="H938" i="1"/>
  <c r="H938" i="5" s="1"/>
  <c r="X938" i="5" s="1"/>
  <c r="Z938" i="5" s="1"/>
  <c r="Q928" i="1"/>
  <c r="Q928" i="5" s="1"/>
  <c r="P928" i="5"/>
  <c r="U927" i="1"/>
  <c r="U927" i="5" s="1"/>
  <c r="P927" i="5"/>
  <c r="Q925" i="1"/>
  <c r="Q925" i="5" s="1"/>
  <c r="P925" i="5"/>
  <c r="X925" i="5" s="1"/>
  <c r="P919" i="4"/>
  <c r="P919" i="5"/>
  <c r="X918" i="5"/>
  <c r="Z918" i="5" s="1"/>
  <c r="U916" i="1"/>
  <c r="U916" i="5" s="1"/>
  <c r="P915" i="4"/>
  <c r="P915" i="5"/>
  <c r="X910" i="5"/>
  <c r="Z910" i="5" s="1"/>
  <c r="H909" i="1"/>
  <c r="H909" i="5" s="1"/>
  <c r="X909" i="5" s="1"/>
  <c r="Z909" i="5" s="1"/>
  <c r="F909" i="5"/>
  <c r="J908" i="1"/>
  <c r="J908" i="5" s="1"/>
  <c r="H908" i="5"/>
  <c r="X908" i="5" s="1"/>
  <c r="Z908" i="5" s="1"/>
  <c r="J906" i="1"/>
  <c r="J906" i="5" s="1"/>
  <c r="Q902" i="1"/>
  <c r="Q902" i="5" s="1"/>
  <c r="J900" i="1"/>
  <c r="J900" i="5" s="1"/>
  <c r="K922" i="5"/>
  <c r="X891" i="5"/>
  <c r="Z891" i="5" s="1"/>
  <c r="X889" i="1"/>
  <c r="P889" i="5"/>
  <c r="X889" i="5" s="1"/>
  <c r="Z889" i="5" s="1"/>
  <c r="M888" i="1"/>
  <c r="M888" i="5" s="1"/>
  <c r="M887" i="1"/>
  <c r="M887" i="5" s="1"/>
  <c r="H887" i="5"/>
  <c r="X887" i="5" s="1"/>
  <c r="Z887" i="5" s="1"/>
  <c r="U883" i="1"/>
  <c r="H844" i="2"/>
  <c r="H883" i="5"/>
  <c r="X883" i="5" s="1"/>
  <c r="Z883" i="5" s="1"/>
  <c r="X881" i="5"/>
  <c r="X876" i="1"/>
  <c r="X837" i="2" s="1"/>
  <c r="J876" i="1"/>
  <c r="J876" i="5" s="1"/>
  <c r="J870" i="1"/>
  <c r="J870" i="5" s="1"/>
  <c r="X869" i="5"/>
  <c r="Z869" i="5" s="1"/>
  <c r="H868" i="4"/>
  <c r="H868" i="5"/>
  <c r="X868" i="5" s="1"/>
  <c r="Z868" i="5" s="1"/>
  <c r="E865" i="4"/>
  <c r="E865" i="5"/>
  <c r="Q862" i="1"/>
  <c r="Q862" i="5" s="1"/>
  <c r="P862" i="5"/>
  <c r="X861" i="5"/>
  <c r="Z861" i="5" s="1"/>
  <c r="X859" i="5"/>
  <c r="Z859" i="5" s="1"/>
  <c r="J856" i="1"/>
  <c r="J856" i="5" s="1"/>
  <c r="X854" i="5"/>
  <c r="Z854" i="5" s="1"/>
  <c r="J852" i="1"/>
  <c r="J852" i="5" s="1"/>
  <c r="J851" i="1"/>
  <c r="J851" i="5" s="1"/>
  <c r="J850" i="1"/>
  <c r="J850" i="5" s="1"/>
  <c r="X849" i="5"/>
  <c r="Z849" i="5" s="1"/>
  <c r="U848" i="1"/>
  <c r="U848" i="5" s="1"/>
  <c r="Z848" i="5"/>
  <c r="U838" i="1"/>
  <c r="U838" i="5" s="1"/>
  <c r="P838" i="5"/>
  <c r="H837" i="1"/>
  <c r="H837" i="5" s="1"/>
  <c r="X837" i="5" s="1"/>
  <c r="Z837" i="5" s="1"/>
  <c r="F837" i="5"/>
  <c r="X836" i="5"/>
  <c r="Z836" i="5" s="1"/>
  <c r="Q832" i="1"/>
  <c r="Q832" i="5" s="1"/>
  <c r="J830" i="1"/>
  <c r="J830" i="5" s="1"/>
  <c r="Q828" i="1"/>
  <c r="Q828" i="5" s="1"/>
  <c r="Q844" i="5" s="1"/>
  <c r="X826" i="1"/>
  <c r="M826" i="1"/>
  <c r="M819" i="1"/>
  <c r="M819" i="5" s="1"/>
  <c r="H819" i="5"/>
  <c r="X819" i="5" s="1"/>
  <c r="Z819" i="5" s="1"/>
  <c r="Z818" i="5"/>
  <c r="X817" i="5"/>
  <c r="Z817" i="5" s="1"/>
  <c r="X816" i="5"/>
  <c r="Z816" i="5" s="1"/>
  <c r="U813" i="1"/>
  <c r="U813" i="5" s="1"/>
  <c r="H812" i="1"/>
  <c r="H812" i="5" s="1"/>
  <c r="X812" i="5" s="1"/>
  <c r="Z812" i="5" s="1"/>
  <c r="F812" i="5"/>
  <c r="F823" i="5" s="1"/>
  <c r="Q808" i="1"/>
  <c r="Q808" i="5" s="1"/>
  <c r="Q806" i="1"/>
  <c r="Q806" i="5" s="1"/>
  <c r="X800" i="5"/>
  <c r="Z800" i="5" s="1"/>
  <c r="X798" i="1"/>
  <c r="Z798" i="1" s="1"/>
  <c r="X797" i="1"/>
  <c r="X764" i="2" s="1"/>
  <c r="U796" i="1"/>
  <c r="U796" i="5" s="1"/>
  <c r="P796" i="5"/>
  <c r="U794" i="1"/>
  <c r="U794" i="5" s="1"/>
  <c r="P794" i="5"/>
  <c r="V792" i="1"/>
  <c r="V792" i="5" s="1"/>
  <c r="P792" i="5"/>
  <c r="X792" i="5" s="1"/>
  <c r="Z792" i="5" s="1"/>
  <c r="Z791" i="5"/>
  <c r="Q786" i="1"/>
  <c r="Q786" i="5" s="1"/>
  <c r="H784" i="1"/>
  <c r="H784" i="5" s="1"/>
  <c r="X784" i="5" s="1"/>
  <c r="Z784" i="5" s="1"/>
  <c r="F784" i="5"/>
  <c r="F802" i="5" s="1"/>
  <c r="Q779" i="1"/>
  <c r="Q779" i="5" s="1"/>
  <c r="P779" i="5"/>
  <c r="X779" i="5" s="1"/>
  <c r="Z779" i="5" s="1"/>
  <c r="Q778" i="1"/>
  <c r="Q778" i="5" s="1"/>
  <c r="V775" i="1"/>
  <c r="V775" i="5" s="1"/>
  <c r="X774" i="5"/>
  <c r="Z774" i="5" s="1"/>
  <c r="X773" i="5"/>
  <c r="Z773" i="5" s="1"/>
  <c r="U770" i="1"/>
  <c r="U770" i="5" s="1"/>
  <c r="J769" i="1"/>
  <c r="J769" i="5" s="1"/>
  <c r="Q765" i="1"/>
  <c r="Q765" i="5" s="1"/>
  <c r="P765" i="5"/>
  <c r="Z764" i="5"/>
  <c r="J763" i="1"/>
  <c r="J763" i="5" s="1"/>
  <c r="H763" i="5"/>
  <c r="X763" i="5" s="1"/>
  <c r="Z763" i="5" s="1"/>
  <c r="Q761" i="1"/>
  <c r="Q761" i="5" s="1"/>
  <c r="P761" i="5"/>
  <c r="X760" i="5"/>
  <c r="Z760" i="5" s="1"/>
  <c r="Z754" i="5"/>
  <c r="M750" i="1"/>
  <c r="M750" i="5" s="1"/>
  <c r="Z749" i="5"/>
  <c r="M748" i="1"/>
  <c r="M748" i="5" s="1"/>
  <c r="H748" i="5"/>
  <c r="X748" i="5" s="1"/>
  <c r="Z748" i="5" s="1"/>
  <c r="F756" i="1"/>
  <c r="F747" i="5"/>
  <c r="F756" i="5" s="1"/>
  <c r="V741" i="1"/>
  <c r="V741" i="5" s="1"/>
  <c r="M741" i="1"/>
  <c r="Q740" i="1"/>
  <c r="Q740" i="5" s="1"/>
  <c r="P740" i="5"/>
  <c r="X740" i="5" s="1"/>
  <c r="Z740" i="5" s="1"/>
  <c r="X738" i="5"/>
  <c r="Z738" i="5" s="1"/>
  <c r="M736" i="1"/>
  <c r="M736" i="5" s="1"/>
  <c r="H736" i="5"/>
  <c r="X736" i="5" s="1"/>
  <c r="Z736" i="5" s="1"/>
  <c r="Z735" i="5"/>
  <c r="X733" i="1"/>
  <c r="H733" i="5"/>
  <c r="X733" i="5" s="1"/>
  <c r="Z733" i="5" s="1"/>
  <c r="Z732" i="5"/>
  <c r="J730" i="1"/>
  <c r="J730" i="5" s="1"/>
  <c r="H730" i="5"/>
  <c r="X730" i="5" s="1"/>
  <c r="Z730" i="5" s="1"/>
  <c r="Q728" i="1"/>
  <c r="Q728" i="5" s="1"/>
  <c r="Q727" i="1"/>
  <c r="Q727" i="5" s="1"/>
  <c r="P727" i="5"/>
  <c r="U725" i="1"/>
  <c r="U725" i="5" s="1"/>
  <c r="Z725" i="5"/>
  <c r="J723" i="1"/>
  <c r="J723" i="5" s="1"/>
  <c r="X720" i="5"/>
  <c r="Z720" i="5" s="1"/>
  <c r="F743" i="5"/>
  <c r="J712" i="1"/>
  <c r="J712" i="5" s="1"/>
  <c r="J711" i="1"/>
  <c r="J711" i="5" s="1"/>
  <c r="Q708" i="1"/>
  <c r="Q708" i="5" s="1"/>
  <c r="U707" i="1"/>
  <c r="U707" i="5" s="1"/>
  <c r="J706" i="1"/>
  <c r="J706" i="5" s="1"/>
  <c r="Q704" i="1"/>
  <c r="Q704" i="5" s="1"/>
  <c r="Z701" i="5"/>
  <c r="V698" i="1"/>
  <c r="V698" i="5" s="1"/>
  <c r="P698" i="5"/>
  <c r="X698" i="5" s="1"/>
  <c r="Z698" i="5" s="1"/>
  <c r="X696" i="5"/>
  <c r="Z696" i="5" s="1"/>
  <c r="K714" i="5"/>
  <c r="K961" i="5" s="1"/>
  <c r="K2925" i="5" s="1"/>
  <c r="X687" i="5"/>
  <c r="Z687" i="5" s="1"/>
  <c r="X686" i="5"/>
  <c r="Z686" i="5" s="1"/>
  <c r="J685" i="1"/>
  <c r="J685" i="5" s="1"/>
  <c r="H685" i="5"/>
  <c r="X685" i="5" s="1"/>
  <c r="Z685" i="5" s="1"/>
  <c r="X684" i="5"/>
  <c r="Z684" i="5" s="1"/>
  <c r="U682" i="1"/>
  <c r="U682" i="5" s="1"/>
  <c r="U681" i="1"/>
  <c r="U681" i="5" s="1"/>
  <c r="U680" i="1"/>
  <c r="U680" i="5" s="1"/>
  <c r="U678" i="1"/>
  <c r="U678" i="5" s="1"/>
  <c r="P678" i="5"/>
  <c r="H677" i="1"/>
  <c r="H677" i="5" s="1"/>
  <c r="X677" i="5" s="1"/>
  <c r="Z677" i="5" s="1"/>
  <c r="U675" i="1"/>
  <c r="U675" i="5" s="1"/>
  <c r="J673" i="1"/>
  <c r="J673" i="5" s="1"/>
  <c r="U670" i="1"/>
  <c r="U670" i="5" s="1"/>
  <c r="P670" i="5"/>
  <c r="X669" i="5"/>
  <c r="Z669" i="5" s="1"/>
  <c r="J668" i="1"/>
  <c r="J668" i="5" s="1"/>
  <c r="V667" i="1"/>
  <c r="H667" i="5"/>
  <c r="X667" i="5" s="1"/>
  <c r="Z667" i="5" s="1"/>
  <c r="Z666" i="5"/>
  <c r="X665" i="5"/>
  <c r="Z665" i="5" s="1"/>
  <c r="V664" i="1"/>
  <c r="V664" i="5" s="1"/>
  <c r="H664" i="5"/>
  <c r="X664" i="5" s="1"/>
  <c r="Z664" i="5" s="1"/>
  <c r="P661" i="1"/>
  <c r="X657" i="1"/>
  <c r="H657" i="5"/>
  <c r="X657" i="5" s="1"/>
  <c r="U655" i="1"/>
  <c r="U655" i="5" s="1"/>
  <c r="U653" i="1"/>
  <c r="U653" i="5" s="1"/>
  <c r="X652" i="5"/>
  <c r="X650" i="5"/>
  <c r="M632" i="1"/>
  <c r="M633" i="5" s="1"/>
  <c r="X632" i="5"/>
  <c r="V629" i="1"/>
  <c r="V630" i="5" s="1"/>
  <c r="P630" i="5"/>
  <c r="X630" i="5" s="1"/>
  <c r="X629" i="5"/>
  <c r="X622" i="5"/>
  <c r="Z622" i="5" s="1"/>
  <c r="X619" i="1"/>
  <c r="H620" i="5"/>
  <c r="X620" i="5" s="1"/>
  <c r="Z620" i="5" s="1"/>
  <c r="X617" i="1"/>
  <c r="U616" i="1"/>
  <c r="U617" i="5" s="1"/>
  <c r="M615" i="1"/>
  <c r="M614" i="1"/>
  <c r="M615" i="5" s="1"/>
  <c r="X613" i="5"/>
  <c r="Z613" i="5" s="1"/>
  <c r="X612" i="5"/>
  <c r="Z612" i="5" s="1"/>
  <c r="U604" i="1"/>
  <c r="U605" i="5" s="1"/>
  <c r="P605" i="5"/>
  <c r="Z604" i="5"/>
  <c r="U600" i="1"/>
  <c r="U601" i="5" s="1"/>
  <c r="P601" i="5"/>
  <c r="U599" i="1"/>
  <c r="M597" i="1"/>
  <c r="M598" i="5" s="1"/>
  <c r="H598" i="5"/>
  <c r="X598" i="5" s="1"/>
  <c r="Z598" i="5" s="1"/>
  <c r="V595" i="1"/>
  <c r="V596" i="5" s="1"/>
  <c r="P596" i="5"/>
  <c r="M592" i="1"/>
  <c r="M593" i="5" s="1"/>
  <c r="X585" i="5"/>
  <c r="Z585" i="5" s="1"/>
  <c r="X582" i="5"/>
  <c r="Z582" i="5" s="1"/>
  <c r="X581" i="5"/>
  <c r="Z581" i="5" s="1"/>
  <c r="V576" i="1"/>
  <c r="V577" i="5" s="1"/>
  <c r="P577" i="5"/>
  <c r="X577" i="5" s="1"/>
  <c r="Z577" i="5" s="1"/>
  <c r="AB574" i="1"/>
  <c r="AB575" i="5" s="1"/>
  <c r="M573" i="1"/>
  <c r="M574" i="5" s="1"/>
  <c r="X568" i="5"/>
  <c r="Z568" i="5" s="1"/>
  <c r="M565" i="1"/>
  <c r="M566" i="5" s="1"/>
  <c r="H566" i="5"/>
  <c r="X566" i="5" s="1"/>
  <c r="Z566" i="5" s="1"/>
  <c r="X561" i="5"/>
  <c r="Z561" i="5" s="1"/>
  <c r="U554" i="1"/>
  <c r="U553" i="5" s="1"/>
  <c r="U553" i="1"/>
  <c r="U552" i="5" s="1"/>
  <c r="X551" i="5"/>
  <c r="Z551" i="5" s="1"/>
  <c r="X550" i="5"/>
  <c r="Z550" i="5" s="1"/>
  <c r="U543" i="1"/>
  <c r="U542" i="5" s="1"/>
  <c r="X541" i="5"/>
  <c r="Z541" i="5" s="1"/>
  <c r="X538" i="5"/>
  <c r="Z538" i="5" s="1"/>
  <c r="M534" i="1"/>
  <c r="M533" i="5" s="1"/>
  <c r="X530" i="5"/>
  <c r="Z530" i="5" s="1"/>
  <c r="U526" i="1"/>
  <c r="U525" i="5" s="1"/>
  <c r="X518" i="5"/>
  <c r="Z518" i="5" s="1"/>
  <c r="M517" i="1"/>
  <c r="M516" i="5" s="1"/>
  <c r="H516" i="5"/>
  <c r="X516" i="5" s="1"/>
  <c r="Z516" i="5" s="1"/>
  <c r="X513" i="5"/>
  <c r="Z513" i="5" s="1"/>
  <c r="M507" i="1"/>
  <c r="M506" i="5" s="1"/>
  <c r="X505" i="5"/>
  <c r="Z505" i="5" s="1"/>
  <c r="M505" i="1"/>
  <c r="H504" i="5"/>
  <c r="X504" i="5" s="1"/>
  <c r="Z504" i="5" s="1"/>
  <c r="U498" i="1"/>
  <c r="U497" i="5" s="1"/>
  <c r="U497" i="1"/>
  <c r="U496" i="1"/>
  <c r="U495" i="5" s="1"/>
  <c r="P495" i="5"/>
  <c r="U495" i="1"/>
  <c r="U494" i="5" s="1"/>
  <c r="M494" i="1"/>
  <c r="M493" i="5" s="1"/>
  <c r="X491" i="5"/>
  <c r="Z491" i="5" s="1"/>
  <c r="X484" i="5"/>
  <c r="Z484" i="5" s="1"/>
  <c r="M484" i="1"/>
  <c r="M483" i="5" s="1"/>
  <c r="H483" i="5"/>
  <c r="X483" i="5" s="1"/>
  <c r="Z483" i="5" s="1"/>
  <c r="U481" i="1"/>
  <c r="U480" i="5" s="1"/>
  <c r="M480" i="1"/>
  <c r="M479" i="5" s="1"/>
  <c r="X478" i="5"/>
  <c r="Z478" i="5" s="1"/>
  <c r="U477" i="1"/>
  <c r="U476" i="5" s="1"/>
  <c r="M472" i="1"/>
  <c r="M471" i="5" s="1"/>
  <c r="H471" i="5"/>
  <c r="X471" i="5" s="1"/>
  <c r="Z471" i="5" s="1"/>
  <c r="V469" i="1"/>
  <c r="V468" i="5" s="1"/>
  <c r="H468" i="5"/>
  <c r="X468" i="5" s="1"/>
  <c r="Z468" i="5" s="1"/>
  <c r="M466" i="1"/>
  <c r="M465" i="5" s="1"/>
  <c r="H465" i="5"/>
  <c r="X465" i="5" s="1"/>
  <c r="Z465" i="5" s="1"/>
  <c r="X464" i="5"/>
  <c r="Z464" i="5" s="1"/>
  <c r="U463" i="1"/>
  <c r="U462" i="5" s="1"/>
  <c r="X461" i="5"/>
  <c r="Z461" i="5" s="1"/>
  <c r="X455" i="5"/>
  <c r="X454" i="5"/>
  <c r="U451" i="1"/>
  <c r="U450" i="5" s="1"/>
  <c r="X449" i="5"/>
  <c r="U443" i="1"/>
  <c r="U442" i="5" s="1"/>
  <c r="U441" i="1"/>
  <c r="U440" i="5" s="1"/>
  <c r="M440" i="1"/>
  <c r="M439" i="5" s="1"/>
  <c r="U438" i="1"/>
  <c r="U437" i="5" s="1"/>
  <c r="M437" i="1"/>
  <c r="M436" i="5" s="1"/>
  <c r="X436" i="1"/>
  <c r="H435" i="5"/>
  <c r="M431" i="1"/>
  <c r="M430" i="5" s="1"/>
  <c r="H430" i="5"/>
  <c r="M430" i="1"/>
  <c r="M429" i="5" s="1"/>
  <c r="H429" i="5"/>
  <c r="E447" i="1"/>
  <c r="E426" i="5"/>
  <c r="J418" i="1"/>
  <c r="J417" i="5" s="1"/>
  <c r="J416" i="1"/>
  <c r="J415" i="5" s="1"/>
  <c r="J414" i="1"/>
  <c r="J413" i="5" s="1"/>
  <c r="J413" i="1"/>
  <c r="J412" i="5" s="1"/>
  <c r="H412" i="1"/>
  <c r="H411" i="5" s="1"/>
  <c r="X411" i="5" s="1"/>
  <c r="X410" i="5"/>
  <c r="U409" i="1"/>
  <c r="U408" i="5" s="1"/>
  <c r="P408" i="5"/>
  <c r="U408" i="1"/>
  <c r="U407" i="5" s="1"/>
  <c r="X407" i="5"/>
  <c r="U406" i="1"/>
  <c r="U405" i="5" s="1"/>
  <c r="X402" i="5"/>
  <c r="X401" i="5"/>
  <c r="F399" i="1"/>
  <c r="U393" i="1"/>
  <c r="U392" i="5" s="1"/>
  <c r="U392" i="1"/>
  <c r="U391" i="5" s="1"/>
  <c r="J385" i="1"/>
  <c r="J384" i="5" s="1"/>
  <c r="H382" i="1"/>
  <c r="H381" i="5" s="1"/>
  <c r="X381" i="5" s="1"/>
  <c r="Z381" i="5" s="1"/>
  <c r="J381" i="1"/>
  <c r="J380" i="5" s="1"/>
  <c r="F398" i="5"/>
  <c r="H378" i="4"/>
  <c r="H378" i="5"/>
  <c r="X378" i="5" s="1"/>
  <c r="Z378" i="5" s="1"/>
  <c r="X377" i="5"/>
  <c r="Z377" i="5" s="1"/>
  <c r="X376" i="5"/>
  <c r="Z376" i="5" s="1"/>
  <c r="M376" i="1"/>
  <c r="M375" i="5" s="1"/>
  <c r="H375" i="5"/>
  <c r="X375" i="5" s="1"/>
  <c r="Z375" i="5" s="1"/>
  <c r="X374" i="5"/>
  <c r="Z374" i="5" s="1"/>
  <c r="K398" i="5"/>
  <c r="U373" i="1"/>
  <c r="U372" i="5" s="1"/>
  <c r="J366" i="1"/>
  <c r="J365" i="5" s="1"/>
  <c r="J365" i="1"/>
  <c r="J364" i="5" s="1"/>
  <c r="X363" i="5"/>
  <c r="Z363" i="5" s="1"/>
  <c r="X360" i="5"/>
  <c r="Z360" i="5" s="1"/>
  <c r="X357" i="5"/>
  <c r="Z357" i="5" s="1"/>
  <c r="X352" i="5"/>
  <c r="Z352" i="5" s="1"/>
  <c r="X350" i="5"/>
  <c r="Z350" i="5" s="1"/>
  <c r="U349" i="1"/>
  <c r="U348" i="5" s="1"/>
  <c r="P348" i="5"/>
  <c r="Z347" i="5"/>
  <c r="X346" i="5"/>
  <c r="Z346" i="5" s="1"/>
  <c r="X345" i="5"/>
  <c r="Z345" i="5" s="1"/>
  <c r="X343" i="5"/>
  <c r="Z343" i="5" s="1"/>
  <c r="X340" i="1"/>
  <c r="X326" i="2" s="1"/>
  <c r="Z339" i="5"/>
  <c r="Z338" i="5"/>
  <c r="X337" i="5"/>
  <c r="M337" i="1"/>
  <c r="H336" i="5"/>
  <c r="X336" i="5" s="1"/>
  <c r="Z336" i="5" s="1"/>
  <c r="U332" i="1"/>
  <c r="P331" i="5"/>
  <c r="X329" i="5"/>
  <c r="Z329" i="5" s="1"/>
  <c r="X328" i="5"/>
  <c r="Z328" i="5" s="1"/>
  <c r="X327" i="5"/>
  <c r="Z326" i="5"/>
  <c r="J326" i="1"/>
  <c r="J325" i="5" s="1"/>
  <c r="P308" i="2"/>
  <c r="P321" i="5"/>
  <c r="X321" i="5" s="1"/>
  <c r="Z321" i="5" s="1"/>
  <c r="M320" i="1"/>
  <c r="M319" i="5" s="1"/>
  <c r="H319" i="5"/>
  <c r="X319" i="5" s="1"/>
  <c r="Z319" i="5" s="1"/>
  <c r="Z318" i="5"/>
  <c r="X317" i="5"/>
  <c r="Z317" i="5" s="1"/>
  <c r="F333" i="5"/>
  <c r="M316" i="1"/>
  <c r="M315" i="5" s="1"/>
  <c r="H315" i="5"/>
  <c r="X315" i="5" s="1"/>
  <c r="Z315" i="5" s="1"/>
  <c r="U311" i="1"/>
  <c r="U310" i="5" s="1"/>
  <c r="P310" i="5"/>
  <c r="X308" i="5"/>
  <c r="Z308" i="5" s="1"/>
  <c r="U307" i="1"/>
  <c r="U306" i="5" s="1"/>
  <c r="Z305" i="5"/>
  <c r="M301" i="1"/>
  <c r="M300" i="5" s="1"/>
  <c r="H300" i="5"/>
  <c r="X300" i="5" s="1"/>
  <c r="Z300" i="5" s="1"/>
  <c r="X299" i="5"/>
  <c r="Z299" i="5" s="1"/>
  <c r="P284" i="2"/>
  <c r="P296" i="5"/>
  <c r="U295" i="1"/>
  <c r="U294" i="5" s="1"/>
  <c r="U294" i="1"/>
  <c r="U293" i="5" s="1"/>
  <c r="X289" i="5"/>
  <c r="K312" i="5"/>
  <c r="X288" i="1"/>
  <c r="X275" i="2" s="1"/>
  <c r="J288" i="1"/>
  <c r="J287" i="5" s="1"/>
  <c r="X286" i="5"/>
  <c r="Z286" i="5" s="1"/>
  <c r="X285" i="5"/>
  <c r="Z285" i="5" s="1"/>
  <c r="X284" i="5"/>
  <c r="Z284" i="5" s="1"/>
  <c r="J284" i="1"/>
  <c r="J283" i="5" s="1"/>
  <c r="U278" i="1"/>
  <c r="U277" i="5" s="1"/>
  <c r="U275" i="1"/>
  <c r="U274" i="5" s="1"/>
  <c r="U271" i="1"/>
  <c r="U270" i="5" s="1"/>
  <c r="X265" i="1"/>
  <c r="J265" i="1"/>
  <c r="J264" i="5" s="1"/>
  <c r="R422" i="1"/>
  <c r="R2902" i="1" s="1"/>
  <c r="X257" i="1"/>
  <c r="X256" i="5" s="1"/>
  <c r="P256" i="5"/>
  <c r="K262" i="1"/>
  <c r="K246" i="5"/>
  <c r="U244" i="1"/>
  <c r="U243" i="5" s="1"/>
  <c r="P243" i="5"/>
  <c r="K261" i="5"/>
  <c r="K421" i="5" s="1"/>
  <c r="K2921" i="5" s="1"/>
  <c r="X233" i="1"/>
  <c r="X222" i="2" s="1"/>
  <c r="Z233" i="5"/>
  <c r="M232" i="1"/>
  <c r="M232" i="5" s="1"/>
  <c r="H232" i="5"/>
  <c r="X232" i="5" s="1"/>
  <c r="Z232" i="5" s="1"/>
  <c r="M231" i="1"/>
  <c r="M231" i="5" s="1"/>
  <c r="H231" i="5"/>
  <c r="X231" i="5" s="1"/>
  <c r="Z231" i="5" s="1"/>
  <c r="M230" i="1"/>
  <c r="M230" i="5" s="1"/>
  <c r="H230" i="5"/>
  <c r="X230" i="5" s="1"/>
  <c r="Z230" i="5" s="1"/>
  <c r="X226" i="1"/>
  <c r="X217" i="2" s="1"/>
  <c r="I226" i="1"/>
  <c r="U225" i="1"/>
  <c r="U225" i="5" s="1"/>
  <c r="U223" i="1"/>
  <c r="P223" i="5"/>
  <c r="M222" i="1"/>
  <c r="M222" i="5" s="1"/>
  <c r="U220" i="1"/>
  <c r="U220" i="5" s="1"/>
  <c r="P220" i="5"/>
  <c r="U218" i="1"/>
  <c r="U218" i="5" s="1"/>
  <c r="M217" i="1"/>
  <c r="M217" i="5" s="1"/>
  <c r="X216" i="1"/>
  <c r="H216" i="5"/>
  <c r="X216" i="5" s="1"/>
  <c r="Z216" i="5" s="1"/>
  <c r="Z215" i="5"/>
  <c r="Z214" i="5"/>
  <c r="U212" i="1"/>
  <c r="U212" i="5" s="1"/>
  <c r="P212" i="5"/>
  <c r="U211" i="1"/>
  <c r="U211" i="5" s="1"/>
  <c r="P211" i="5"/>
  <c r="Z206" i="5"/>
  <c r="U203" i="1"/>
  <c r="Z203" i="5"/>
  <c r="X199" i="5"/>
  <c r="Z199" i="5" s="1"/>
  <c r="U197" i="1"/>
  <c r="U197" i="5" s="1"/>
  <c r="M196" i="1"/>
  <c r="M196" i="5" s="1"/>
  <c r="X195" i="5"/>
  <c r="Z195" i="5" s="1"/>
  <c r="I193" i="1"/>
  <c r="I193" i="5" s="1"/>
  <c r="X190" i="5"/>
  <c r="Z190" i="5" s="1"/>
  <c r="I189" i="1"/>
  <c r="I189" i="5" s="1"/>
  <c r="H180" i="2"/>
  <c r="H188" i="5"/>
  <c r="X188" i="5" s="1"/>
  <c r="Z188" i="5" s="1"/>
  <c r="U182" i="1"/>
  <c r="U182" i="5" s="1"/>
  <c r="U181" i="1"/>
  <c r="U181" i="5" s="1"/>
  <c r="U180" i="1"/>
  <c r="U180" i="5" s="1"/>
  <c r="U179" i="1"/>
  <c r="U179" i="5" s="1"/>
  <c r="U178" i="1"/>
  <c r="U178" i="5" s="1"/>
  <c r="U177" i="1"/>
  <c r="U177" i="5" s="1"/>
  <c r="M176" i="1"/>
  <c r="M175" i="1"/>
  <c r="M175" i="5" s="1"/>
  <c r="M174" i="1"/>
  <c r="M174" i="5" s="1"/>
  <c r="M173" i="1"/>
  <c r="U172" i="1"/>
  <c r="U172" i="5" s="1"/>
  <c r="X164" i="5"/>
  <c r="X162" i="5"/>
  <c r="X160" i="5"/>
  <c r="V156" i="1"/>
  <c r="M155" i="1"/>
  <c r="M155" i="5" s="1"/>
  <c r="H155" i="5"/>
  <c r="X155" i="5" s="1"/>
  <c r="M146" i="1"/>
  <c r="H146" i="5"/>
  <c r="V143" i="1"/>
  <c r="M142" i="1"/>
  <c r="U140" i="1"/>
  <c r="U140" i="5" s="1"/>
  <c r="M139" i="1"/>
  <c r="M139" i="5" s="1"/>
  <c r="P127" i="4"/>
  <c r="P127" i="5"/>
  <c r="X126" i="1"/>
  <c r="H126" i="5"/>
  <c r="X126" i="5" s="1"/>
  <c r="Z126" i="5" s="1"/>
  <c r="M124" i="1"/>
  <c r="M124" i="5" s="1"/>
  <c r="X123" i="5"/>
  <c r="Z123" i="5" s="1"/>
  <c r="V121" i="1"/>
  <c r="V121" i="5" s="1"/>
  <c r="P121" i="5"/>
  <c r="X121" i="5" s="1"/>
  <c r="Z121" i="5" s="1"/>
  <c r="X120" i="5"/>
  <c r="Z120" i="5" s="1"/>
  <c r="Z119" i="5"/>
  <c r="V117" i="1"/>
  <c r="P117" i="5"/>
  <c r="U116" i="1"/>
  <c r="U116" i="5" s="1"/>
  <c r="P116" i="5"/>
  <c r="X116" i="5" s="1"/>
  <c r="Z116" i="5" s="1"/>
  <c r="X115" i="5"/>
  <c r="Z115" i="5" s="1"/>
  <c r="M114" i="1"/>
  <c r="M114" i="5" s="1"/>
  <c r="Z113" i="1"/>
  <c r="Z107" i="2" s="1"/>
  <c r="N130" i="5"/>
  <c r="H105" i="2"/>
  <c r="H111" i="5"/>
  <c r="X111" i="5" s="1"/>
  <c r="Z111" i="5" s="1"/>
  <c r="X105" i="5"/>
  <c r="Z105" i="5" s="1"/>
  <c r="M103" i="1"/>
  <c r="M103" i="5" s="1"/>
  <c r="M101" i="1"/>
  <c r="M101" i="5" s="1"/>
  <c r="M99" i="1"/>
  <c r="M99" i="5" s="1"/>
  <c r="M97" i="1"/>
  <c r="M97" i="5" s="1"/>
  <c r="M95" i="1"/>
  <c r="M95" i="5" s="1"/>
  <c r="X89" i="5"/>
  <c r="Z89" i="5" s="1"/>
  <c r="X88" i="5"/>
  <c r="Z88" i="5" s="1"/>
  <c r="U86" i="1"/>
  <c r="U86" i="5" s="1"/>
  <c r="M85" i="1"/>
  <c r="M85" i="5" s="1"/>
  <c r="U84" i="1"/>
  <c r="U84" i="5" s="1"/>
  <c r="X82" i="5"/>
  <c r="Z82" i="5" s="1"/>
  <c r="M80" i="1"/>
  <c r="M80" i="5" s="1"/>
  <c r="M79" i="1"/>
  <c r="M79" i="5" s="1"/>
  <c r="M78" i="1"/>
  <c r="M78" i="5" s="1"/>
  <c r="P73" i="2"/>
  <c r="P77" i="5"/>
  <c r="X77" i="5" s="1"/>
  <c r="Z77" i="5" s="1"/>
  <c r="X76" i="5"/>
  <c r="Z76" i="5" s="1"/>
  <c r="M75" i="1"/>
  <c r="M75" i="5" s="1"/>
  <c r="H75" i="5"/>
  <c r="X75" i="5" s="1"/>
  <c r="Z75" i="5" s="1"/>
  <c r="X73" i="5"/>
  <c r="Z73" i="5" s="1"/>
  <c r="M71" i="1"/>
  <c r="M71" i="5" s="1"/>
  <c r="H71" i="5"/>
  <c r="X71" i="5" s="1"/>
  <c r="Z71" i="5" s="1"/>
  <c r="R132" i="1"/>
  <c r="V63" i="1"/>
  <c r="V63" i="5" s="1"/>
  <c r="H63" i="5"/>
  <c r="X63" i="5" s="1"/>
  <c r="Z63" i="5" s="1"/>
  <c r="X60" i="1"/>
  <c r="P60" i="5"/>
  <c r="X58" i="5"/>
  <c r="Z58" i="5" s="1"/>
  <c r="X56" i="5"/>
  <c r="Z56" i="5" s="1"/>
  <c r="X53" i="5"/>
  <c r="Z53" i="5" s="1"/>
  <c r="U50" i="1"/>
  <c r="U50" i="5" s="1"/>
  <c r="M49" i="1"/>
  <c r="H43" i="1"/>
  <c r="H37" i="4"/>
  <c r="H37" i="5"/>
  <c r="U35" i="1"/>
  <c r="U35" i="5" s="1"/>
  <c r="P33" i="2"/>
  <c r="P34" i="5"/>
  <c r="M32" i="1"/>
  <c r="M32" i="5" s="1"/>
  <c r="H32" i="5"/>
  <c r="U30" i="1"/>
  <c r="M29" i="1"/>
  <c r="M29" i="5" s="1"/>
  <c r="M26" i="1"/>
  <c r="M26" i="5" s="1"/>
  <c r="N22" i="1"/>
  <c r="U20" i="1"/>
  <c r="U20" i="5" s="1"/>
  <c r="X19" i="1"/>
  <c r="X19" i="5" s="1"/>
  <c r="H19" i="5"/>
  <c r="V16" i="1"/>
  <c r="V16" i="5" s="1"/>
  <c r="H16" i="5"/>
  <c r="M12" i="1"/>
  <c r="M12" i="5" s="1"/>
  <c r="U2681" i="2"/>
  <c r="AA2681" i="2" s="1"/>
  <c r="AB2681" i="2" s="1"/>
  <c r="U2654" i="2"/>
  <c r="M2649" i="2"/>
  <c r="AA2649" i="2" s="1"/>
  <c r="AB2649" i="2" s="1"/>
  <c r="X2643" i="2"/>
  <c r="Z2643" i="2" s="1"/>
  <c r="AA2633" i="2"/>
  <c r="AB2633" i="2" s="1"/>
  <c r="V2544" i="2"/>
  <c r="W2544" i="2" s="1"/>
  <c r="U2542" i="2"/>
  <c r="X2541" i="2"/>
  <c r="Z2541" i="2" s="1"/>
  <c r="E2531" i="2"/>
  <c r="X2500" i="2"/>
  <c r="Z2500" i="2" s="1"/>
  <c r="X2496" i="2"/>
  <c r="Z2496" i="2" s="1"/>
  <c r="V2484" i="2"/>
  <c r="W2484" i="2" s="1"/>
  <c r="V2482" i="2"/>
  <c r="W2482" i="2" s="1"/>
  <c r="U2478" i="2"/>
  <c r="X2447" i="2"/>
  <c r="Z2447" i="2" s="1"/>
  <c r="V2444" i="2"/>
  <c r="W2444" i="2" s="1"/>
  <c r="X2426" i="2"/>
  <c r="E2428" i="2"/>
  <c r="M2419" i="2"/>
  <c r="X2414" i="2"/>
  <c r="Z2414" i="2" s="1"/>
  <c r="V2396" i="2"/>
  <c r="W2396" i="2" s="1"/>
  <c r="V2387" i="2"/>
  <c r="W2387" i="2" s="1"/>
  <c r="R2430" i="2"/>
  <c r="R2746" i="2" s="1"/>
  <c r="X2354" i="2"/>
  <c r="Z2354" i="2" s="1"/>
  <c r="V2335" i="2"/>
  <c r="W2335" i="2" s="1"/>
  <c r="M2333" i="2"/>
  <c r="AA2333" i="2" s="1"/>
  <c r="AB2333" i="2" s="1"/>
  <c r="X2332" i="2"/>
  <c r="Z2332" i="2" s="1"/>
  <c r="Q2305" i="2"/>
  <c r="X2302" i="2"/>
  <c r="Z2302" i="2" s="1"/>
  <c r="Q2301" i="2"/>
  <c r="Q2248" i="2"/>
  <c r="Q2233" i="2"/>
  <c r="Q2222" i="2"/>
  <c r="J2208" i="2"/>
  <c r="M2174" i="2"/>
  <c r="Q2163" i="2"/>
  <c r="Q2161" i="2"/>
  <c r="J2160" i="2"/>
  <c r="M2145" i="2"/>
  <c r="X2143" i="2"/>
  <c r="M2128" i="2"/>
  <c r="U2124" i="2"/>
  <c r="M2121" i="2"/>
  <c r="U2093" i="2"/>
  <c r="J2088" i="2"/>
  <c r="Q2085" i="2"/>
  <c r="X2082" i="2"/>
  <c r="Z2082" i="2" s="1"/>
  <c r="AA2080" i="2"/>
  <c r="AB2080" i="2" s="1"/>
  <c r="Q2065" i="2"/>
  <c r="M2057" i="2"/>
  <c r="AA2057" i="2" s="1"/>
  <c r="AB2057" i="2" s="1"/>
  <c r="X2043" i="2"/>
  <c r="Z2043" i="2" s="1"/>
  <c r="X2040" i="2"/>
  <c r="Z2040" i="2" s="1"/>
  <c r="M2036" i="2"/>
  <c r="AA2036" i="2" s="1"/>
  <c r="J2035" i="2"/>
  <c r="Q2014" i="2"/>
  <c r="J2008" i="2"/>
  <c r="Q2004" i="2"/>
  <c r="Q2000" i="2"/>
  <c r="Q1998" i="2"/>
  <c r="J1992" i="2"/>
  <c r="Q1980" i="2"/>
  <c r="Q1976" i="2"/>
  <c r="M1975" i="2"/>
  <c r="V1952" i="2"/>
  <c r="W1952" i="2" s="1"/>
  <c r="L1967" i="2"/>
  <c r="L2740" i="2" s="1"/>
  <c r="G1967" i="2"/>
  <c r="G2740" i="2" s="1"/>
  <c r="M1915" i="2"/>
  <c r="AA1915" i="2" s="1"/>
  <c r="AB1915" i="2" s="1"/>
  <c r="U1902" i="2"/>
  <c r="F1883" i="2"/>
  <c r="Q1858" i="2"/>
  <c r="M1857" i="2"/>
  <c r="Q1838" i="2"/>
  <c r="Z2366" i="4"/>
  <c r="X2366" i="4"/>
  <c r="Z989" i="4"/>
  <c r="Z956" i="4"/>
  <c r="J2657" i="2"/>
  <c r="F904" i="2"/>
  <c r="X1143" i="4"/>
  <c r="Z1143" i="4" s="1"/>
  <c r="Z1053" i="4"/>
  <c r="O101" i="2"/>
  <c r="R2657" i="2"/>
  <c r="K2657" i="2"/>
  <c r="X895" i="4"/>
  <c r="Z895" i="4" s="1"/>
  <c r="X545" i="4"/>
  <c r="Z545" i="4" s="1"/>
  <c r="X457" i="4"/>
  <c r="Z457" i="4" s="1"/>
  <c r="X92" i="4"/>
  <c r="Z92" i="4" s="1"/>
  <c r="Z1187" i="4"/>
  <c r="X535" i="4"/>
  <c r="Z535" i="4" s="1"/>
  <c r="Y1737" i="4"/>
  <c r="Z563" i="4"/>
  <c r="E2567" i="4"/>
  <c r="E2925" i="4" s="1"/>
  <c r="X1720" i="4"/>
  <c r="X487" i="4"/>
  <c r="Z487" i="4" s="1"/>
  <c r="X261" i="4"/>
  <c r="Z261" i="4" s="1"/>
  <c r="X638" i="4"/>
  <c r="Z638" i="4" s="1"/>
  <c r="Z823" i="4"/>
  <c r="X570" i="4"/>
  <c r="Z570" i="4" s="1"/>
  <c r="X509" i="4"/>
  <c r="Z509" i="4" s="1"/>
  <c r="L446" i="4"/>
  <c r="L1464" i="2"/>
  <c r="Q1065" i="4"/>
  <c r="K1018" i="2"/>
  <c r="O87" i="2"/>
  <c r="T502" i="2"/>
  <c r="F87" i="2"/>
  <c r="I1143" i="4"/>
  <c r="L2499" i="4"/>
  <c r="X2402" i="4"/>
  <c r="Z2402" i="4" s="1"/>
  <c r="T1967" i="4"/>
  <c r="X1033" i="4"/>
  <c r="Z1033" i="4" s="1"/>
  <c r="L1820" i="4"/>
  <c r="X2133" i="4"/>
  <c r="J2635" i="4"/>
  <c r="X1767" i="4"/>
  <c r="Z1767" i="4" s="1"/>
  <c r="S489" i="2"/>
  <c r="Y224" i="2"/>
  <c r="Q2672" i="2"/>
  <c r="R2672" i="2"/>
  <c r="Y2313" i="4"/>
  <c r="J2079" i="4"/>
  <c r="Q1143" i="4"/>
  <c r="Y1065" i="4"/>
  <c r="K1628" i="2"/>
  <c r="I1492" i="2"/>
  <c r="I2648" i="2" s="1"/>
  <c r="S2011" i="4"/>
  <c r="O2446" i="4"/>
  <c r="Z527" i="4"/>
  <c r="O107" i="4"/>
  <c r="F1018" i="2"/>
  <c r="N913" i="2"/>
  <c r="N768" i="2"/>
  <c r="G453" i="2"/>
  <c r="O437" i="2"/>
  <c r="J2515" i="4"/>
  <c r="Y1678" i="4"/>
  <c r="T1433" i="4"/>
  <c r="X1085" i="4"/>
  <c r="Z1085" i="4" s="1"/>
  <c r="N570" i="4"/>
  <c r="K545" i="4"/>
  <c r="N208" i="4"/>
  <c r="I92" i="4"/>
  <c r="K1710" i="2"/>
  <c r="J1573" i="2"/>
  <c r="Q1573" i="2"/>
  <c r="Q1057" i="2"/>
  <c r="I833" i="2"/>
  <c r="T537" i="2"/>
  <c r="L437" i="2"/>
  <c r="X1899" i="4"/>
  <c r="Z1899" i="4" s="1"/>
  <c r="H2294" i="4"/>
  <c r="H2921" i="4" s="1"/>
  <c r="K2382" i="4"/>
  <c r="F1617" i="2"/>
  <c r="R1514" i="2"/>
  <c r="R2621" i="2" s="1"/>
  <c r="Q1004" i="2"/>
  <c r="O768" i="2"/>
  <c r="N299" i="2"/>
  <c r="S2608" i="4"/>
  <c r="S2535" i="4"/>
  <c r="N2219" i="4"/>
  <c r="G1802" i="4"/>
  <c r="N1720" i="4"/>
  <c r="I1568" i="4"/>
  <c r="Y1166" i="4"/>
  <c r="R1106" i="4"/>
  <c r="Y589" i="4"/>
  <c r="Z575" i="4"/>
  <c r="F570" i="4"/>
  <c r="R2686" i="2"/>
  <c r="I2654" i="2"/>
  <c r="K1589" i="2"/>
  <c r="Y1362" i="2"/>
  <c r="J158" i="2"/>
  <c r="T2499" i="4"/>
  <c r="S2470" i="4"/>
  <c r="V1767" i="4"/>
  <c r="I1160" i="2"/>
  <c r="Y898" i="2"/>
  <c r="Q515" i="2"/>
  <c r="L2683" i="4"/>
  <c r="X2488" i="4"/>
  <c r="Z2488" i="4" s="1"/>
  <c r="N2470" i="4"/>
  <c r="G2446" i="4"/>
  <c r="K2262" i="4"/>
  <c r="T2011" i="4"/>
  <c r="O1802" i="4"/>
  <c r="O1784" i="4"/>
  <c r="X1737" i="4"/>
  <c r="X1639" i="4"/>
  <c r="Z1639" i="4" s="1"/>
  <c r="X1618" i="4"/>
  <c r="Z1618" i="4" s="1"/>
  <c r="I1166" i="4"/>
  <c r="Z996" i="4"/>
  <c r="K661" i="4"/>
  <c r="S457" i="4"/>
  <c r="T446" i="4"/>
  <c r="G166" i="4"/>
  <c r="N1769" i="2"/>
  <c r="K855" i="2"/>
  <c r="O684" i="2"/>
  <c r="L502" i="2"/>
  <c r="G426" i="2"/>
  <c r="Q2657" i="2"/>
  <c r="J64" i="2"/>
  <c r="K64" i="2"/>
  <c r="F1737" i="4"/>
  <c r="G1433" i="4"/>
  <c r="I984" i="4"/>
  <c r="I986" i="4" s="1"/>
  <c r="T947" i="4"/>
  <c r="O895" i="4"/>
  <c r="N333" i="4"/>
  <c r="Q280" i="4"/>
  <c r="L1676" i="2"/>
  <c r="I1057" i="2"/>
  <c r="R1018" i="2"/>
  <c r="R2652" i="2" s="1"/>
  <c r="F1004" i="2"/>
  <c r="N480" i="2"/>
  <c r="G21" i="2"/>
  <c r="X1402" i="4"/>
  <c r="Z1402" i="4" s="1"/>
  <c r="X2011" i="4"/>
  <c r="Z2011" i="4" s="1"/>
  <c r="J1737" i="4"/>
  <c r="X1244" i="4"/>
  <c r="Z1244" i="4" s="1"/>
  <c r="X1188" i="4"/>
  <c r="Z1188" i="4" s="1"/>
  <c r="N1106" i="4"/>
  <c r="T956" i="4"/>
  <c r="N895" i="4"/>
  <c r="X781" i="4"/>
  <c r="Z781" i="4" s="1"/>
  <c r="S607" i="4"/>
  <c r="N607" i="4"/>
  <c r="R570" i="4"/>
  <c r="J535" i="4"/>
  <c r="I535" i="4"/>
  <c r="Q535" i="4"/>
  <c r="G522" i="4"/>
  <c r="G446" i="4"/>
  <c r="G107" i="4"/>
  <c r="Q1645" i="2"/>
  <c r="R1645" i="2"/>
  <c r="Y1628" i="2"/>
  <c r="S941" i="2"/>
  <c r="S943" i="2" s="1"/>
  <c r="L904" i="2"/>
  <c r="O725" i="2"/>
  <c r="K613" i="2"/>
  <c r="N613" i="2"/>
  <c r="S526" i="2"/>
  <c r="S2649" i="2" s="1"/>
  <c r="O515" i="2"/>
  <c r="G176" i="2"/>
  <c r="O64" i="2"/>
  <c r="X1758" i="4"/>
  <c r="Z1758" i="4" s="1"/>
  <c r="X2565" i="4"/>
  <c r="Z2565" i="4" s="1"/>
  <c r="X2635" i="4"/>
  <c r="Z2635" i="4" s="1"/>
  <c r="X2704" i="4"/>
  <c r="Z2704" i="4" s="1"/>
  <c r="N1678" i="4"/>
  <c r="O2750" i="4"/>
  <c r="N2704" i="4"/>
  <c r="K2535" i="4"/>
  <c r="G2011" i="4"/>
  <c r="V2194" i="4"/>
  <c r="I2037" i="4"/>
  <c r="F1767" i="4"/>
  <c r="T1541" i="4"/>
  <c r="K1541" i="4"/>
  <c r="X1309" i="4"/>
  <c r="Z1309" i="4" s="1"/>
  <c r="X1281" i="4"/>
  <c r="Z1281" i="4" s="1"/>
  <c r="Y691" i="4"/>
  <c r="K570" i="4"/>
  <c r="S570" i="4"/>
  <c r="S500" i="4"/>
  <c r="T419" i="4"/>
  <c r="I280" i="4"/>
  <c r="I184" i="4"/>
  <c r="G149" i="4"/>
  <c r="R45" i="4"/>
  <c r="N2686" i="2"/>
  <c r="G1800" i="2"/>
  <c r="L1628" i="2"/>
  <c r="R549" i="2"/>
  <c r="L549" i="2"/>
  <c r="G549" i="2"/>
  <c r="G526" i="2"/>
  <c r="O526" i="2"/>
  <c r="K502" i="2"/>
  <c r="N268" i="2"/>
  <c r="X1166" i="4"/>
  <c r="Z1166" i="4" s="1"/>
  <c r="Y2470" i="4"/>
  <c r="Q1737" i="4"/>
  <c r="S1106" i="4"/>
  <c r="K1106" i="4"/>
  <c r="J2750" i="4"/>
  <c r="K2292" i="4"/>
  <c r="X2238" i="4"/>
  <c r="Z2238" i="4" s="1"/>
  <c r="X2515" i="4"/>
  <c r="Z2515" i="4" s="1"/>
  <c r="L2470" i="4"/>
  <c r="G2470" i="4"/>
  <c r="L2011" i="4"/>
  <c r="G1697" i="4"/>
  <c r="X1659" i="4"/>
  <c r="Q1568" i="4"/>
  <c r="R1049" i="4"/>
  <c r="Y1013" i="4"/>
  <c r="L947" i="4"/>
  <c r="Y941" i="4"/>
  <c r="L941" i="4"/>
  <c r="X922" i="4"/>
  <c r="Z922" i="4" s="1"/>
  <c r="G895" i="4"/>
  <c r="L756" i="4"/>
  <c r="G570" i="4"/>
  <c r="X398" i="4"/>
  <c r="Z398" i="4" s="1"/>
  <c r="W312" i="4"/>
  <c r="Y1728" i="2"/>
  <c r="W1693" i="2"/>
  <c r="Q1514" i="2"/>
  <c r="Q2621" i="2" s="1"/>
  <c r="Y913" i="2"/>
  <c r="T437" i="2"/>
  <c r="J41" i="2"/>
  <c r="AA2790" i="1"/>
  <c r="X1414" i="2"/>
  <c r="Z1491" i="1"/>
  <c r="Z1414" i="2" s="1"/>
  <c r="AA2825" i="1"/>
  <c r="AA2793" i="1"/>
  <c r="AA2780" i="1"/>
  <c r="X1415" i="2"/>
  <c r="Z1493" i="1"/>
  <c r="Z1415" i="2" s="1"/>
  <c r="AA2855" i="1"/>
  <c r="AA2832" i="1"/>
  <c r="X2781" i="1"/>
  <c r="Z2781" i="1" s="1"/>
  <c r="U2781" i="1"/>
  <c r="H2674" i="4"/>
  <c r="X2682" i="1"/>
  <c r="P2641" i="4"/>
  <c r="V2649" i="1"/>
  <c r="V2641" i="5" s="1"/>
  <c r="P2532" i="4"/>
  <c r="U2540" i="1"/>
  <c r="H2524" i="4"/>
  <c r="M2532" i="1"/>
  <c r="M2524" i="5" s="1"/>
  <c r="P2512" i="4"/>
  <c r="U2520" i="1"/>
  <c r="H2508" i="4"/>
  <c r="M2516" i="1"/>
  <c r="M2508" i="5" s="1"/>
  <c r="X2516" i="1"/>
  <c r="Z2516" i="1" s="1"/>
  <c r="H2505" i="4"/>
  <c r="M2513" i="1"/>
  <c r="M2505" i="5" s="1"/>
  <c r="X2513" i="1"/>
  <c r="Z2513" i="1" s="1"/>
  <c r="P2375" i="4"/>
  <c r="X2375" i="4" s="1"/>
  <c r="Z2375" i="4" s="1"/>
  <c r="U2381" i="1"/>
  <c r="X2381" i="1"/>
  <c r="Z2381" i="1" s="1"/>
  <c r="P2334" i="4"/>
  <c r="U2340" i="1"/>
  <c r="H2299" i="4"/>
  <c r="J2305" i="1"/>
  <c r="J2299" i="5" s="1"/>
  <c r="X2305" i="1"/>
  <c r="X2299" i="5" s="1"/>
  <c r="M2305" i="1"/>
  <c r="M2299" i="5" s="1"/>
  <c r="F2272" i="4"/>
  <c r="H2276" i="1"/>
  <c r="H2272" i="5" s="1"/>
  <c r="X2272" i="5" s="1"/>
  <c r="Z2272" i="5" s="1"/>
  <c r="F2296" i="1"/>
  <c r="H2224" i="4"/>
  <c r="M2228" i="1"/>
  <c r="P2179" i="4"/>
  <c r="X2179" i="4" s="1"/>
  <c r="Z2179" i="4" s="1"/>
  <c r="U2183" i="1"/>
  <c r="X2183" i="1"/>
  <c r="Z2183" i="1" s="1"/>
  <c r="H2166" i="4"/>
  <c r="X2166" i="4" s="1"/>
  <c r="Z2166" i="4" s="1"/>
  <c r="J2170" i="1"/>
  <c r="X2170" i="1"/>
  <c r="Z2170" i="1" s="1"/>
  <c r="M2170" i="1"/>
  <c r="M2166" i="5" s="1"/>
  <c r="P2075" i="4"/>
  <c r="P2083" i="1"/>
  <c r="P2006" i="4"/>
  <c r="U2010" i="1"/>
  <c r="H1954" i="4"/>
  <c r="M1958" i="1"/>
  <c r="M1954" i="5" s="1"/>
  <c r="J1810" i="1"/>
  <c r="J1806" i="5" s="1"/>
  <c r="M1810" i="1"/>
  <c r="M1806" i="5" s="1"/>
  <c r="X1810" i="1"/>
  <c r="X1714" i="2" s="1"/>
  <c r="Q1768" i="1"/>
  <c r="Q1764" i="5" s="1"/>
  <c r="U1768" i="1"/>
  <c r="U1764" i="5" s="1"/>
  <c r="X1417" i="2"/>
  <c r="Z1495" i="1"/>
  <c r="Z1417" i="2" s="1"/>
  <c r="Q1389" i="1"/>
  <c r="Q1388" i="5" s="1"/>
  <c r="U1389" i="1"/>
  <c r="U1388" i="5" s="1"/>
  <c r="X1385" i="1"/>
  <c r="J1385" i="1"/>
  <c r="M1385" i="1"/>
  <c r="M1384" i="5" s="1"/>
  <c r="V1385" i="1"/>
  <c r="V1384" i="5" s="1"/>
  <c r="Q1325" i="1"/>
  <c r="Q1324" i="5" s="1"/>
  <c r="Z1325" i="1"/>
  <c r="Z1261" i="2" s="1"/>
  <c r="U1297" i="1"/>
  <c r="U1296" i="5" s="1"/>
  <c r="V1297" i="1"/>
  <c r="V1296" i="5" s="1"/>
  <c r="X1173" i="2"/>
  <c r="Z1228" i="1"/>
  <c r="V1092" i="1"/>
  <c r="V1091" i="5" s="1"/>
  <c r="U1092" i="1"/>
  <c r="U1091" i="5" s="1"/>
  <c r="J927" i="1"/>
  <c r="J927" i="5" s="1"/>
  <c r="M927" i="1"/>
  <c r="X927" i="1"/>
  <c r="X848" i="2"/>
  <c r="Z887" i="1"/>
  <c r="Z848" i="2" s="1"/>
  <c r="V141" i="1"/>
  <c r="U141" i="1"/>
  <c r="U141" i="5" s="1"/>
  <c r="H77" i="2"/>
  <c r="M81" i="1"/>
  <c r="M81" i="5" s="1"/>
  <c r="U2739" i="1"/>
  <c r="P2731" i="4"/>
  <c r="X2697" i="1"/>
  <c r="Z2697" i="1" s="1"/>
  <c r="H2689" i="4"/>
  <c r="X2689" i="4" s="1"/>
  <c r="M2697" i="1"/>
  <c r="P2630" i="4"/>
  <c r="V2638" i="1"/>
  <c r="P2618" i="4"/>
  <c r="U2626" i="1"/>
  <c r="P2606" i="4"/>
  <c r="U2614" i="1"/>
  <c r="U2593" i="1"/>
  <c r="P2585" i="4"/>
  <c r="V2593" i="1"/>
  <c r="V2585" i="5" s="1"/>
  <c r="H2575" i="4"/>
  <c r="M2583" i="1"/>
  <c r="M2575" i="5" s="1"/>
  <c r="P2561" i="4"/>
  <c r="V2569" i="1"/>
  <c r="V2561" i="5" s="1"/>
  <c r="H2560" i="4"/>
  <c r="X2568" i="1"/>
  <c r="Z2568" i="1" s="1"/>
  <c r="P2525" i="4"/>
  <c r="U2533" i="1"/>
  <c r="P2507" i="4"/>
  <c r="U2515" i="1"/>
  <c r="H2503" i="4"/>
  <c r="M2511" i="1"/>
  <c r="M2503" i="5" s="1"/>
  <c r="X2511" i="1"/>
  <c r="Z2511" i="1" s="1"/>
  <c r="H2497" i="4"/>
  <c r="M2505" i="1"/>
  <c r="X2505" i="1"/>
  <c r="Z2505" i="1" s="1"/>
  <c r="P2406" i="4"/>
  <c r="U2412" i="1"/>
  <c r="P2390" i="4"/>
  <c r="X2390" i="4" s="1"/>
  <c r="U2396" i="1"/>
  <c r="X2396" i="1"/>
  <c r="H2372" i="4"/>
  <c r="X2372" i="4" s="1"/>
  <c r="Z2372" i="4" s="1"/>
  <c r="M2378" i="1"/>
  <c r="H2362" i="4"/>
  <c r="X2362" i="4" s="1"/>
  <c r="Z2362" i="4" s="1"/>
  <c r="J2368" i="1"/>
  <c r="X2368" i="1"/>
  <c r="Z2368" i="1" s="1"/>
  <c r="M2368" i="1"/>
  <c r="P2335" i="4"/>
  <c r="U2341" i="1"/>
  <c r="U2323" i="1"/>
  <c r="X2323" i="1"/>
  <c r="Z2323" i="1" s="1"/>
  <c r="P2276" i="4"/>
  <c r="Q2280" i="1"/>
  <c r="U2280" i="1"/>
  <c r="H2270" i="4"/>
  <c r="X2270" i="4" s="1"/>
  <c r="Z2270" i="4" s="1"/>
  <c r="J2274" i="1"/>
  <c r="X2274" i="1"/>
  <c r="Z2274" i="1" s="1"/>
  <c r="M2274" i="1"/>
  <c r="M2270" i="5" s="1"/>
  <c r="H2248" i="4"/>
  <c r="M2252" i="1"/>
  <c r="M2248" i="5" s="1"/>
  <c r="H2236" i="4"/>
  <c r="M2240" i="1"/>
  <c r="H2228" i="4"/>
  <c r="M2232" i="1"/>
  <c r="M2228" i="5" s="1"/>
  <c r="X2232" i="1"/>
  <c r="H2216" i="4"/>
  <c r="X2216" i="4" s="1"/>
  <c r="Z2216" i="4" s="1"/>
  <c r="J2220" i="1"/>
  <c r="X2220" i="1"/>
  <c r="Z2220" i="1" s="1"/>
  <c r="M2220" i="1"/>
  <c r="M2216" i="5" s="1"/>
  <c r="F2208" i="4"/>
  <c r="H2212" i="1"/>
  <c r="P2185" i="4"/>
  <c r="X2185" i="4" s="1"/>
  <c r="Z2185" i="4" s="1"/>
  <c r="U2189" i="1"/>
  <c r="X2189" i="1"/>
  <c r="Z2189" i="1" s="1"/>
  <c r="F2156" i="4"/>
  <c r="F2173" i="4" s="1"/>
  <c r="H2160" i="1"/>
  <c r="P2141" i="4"/>
  <c r="X2141" i="4" s="1"/>
  <c r="Z2141" i="4" s="1"/>
  <c r="U2145" i="1"/>
  <c r="U2141" i="5" s="1"/>
  <c r="X2145" i="1"/>
  <c r="Z2145" i="1" s="1"/>
  <c r="H2107" i="4"/>
  <c r="M2111" i="1"/>
  <c r="H2077" i="4"/>
  <c r="M2081" i="1"/>
  <c r="H1961" i="4"/>
  <c r="M1965" i="1"/>
  <c r="M1961" i="5" s="1"/>
  <c r="P1942" i="4"/>
  <c r="X1942" i="4" s="1"/>
  <c r="Z1942" i="4" s="1"/>
  <c r="U1946" i="1"/>
  <c r="X1946" i="1"/>
  <c r="Z1946" i="1" s="1"/>
  <c r="H1915" i="4"/>
  <c r="M1919" i="1"/>
  <c r="M1915" i="5" s="1"/>
  <c r="P1902" i="4"/>
  <c r="X1902" i="4" s="1"/>
  <c r="Z1902" i="4" s="1"/>
  <c r="U1906" i="1"/>
  <c r="X1906" i="1"/>
  <c r="J1895" i="1"/>
  <c r="J1891" i="5" s="1"/>
  <c r="X1895" i="1"/>
  <c r="X1792" i="2" s="1"/>
  <c r="M1895" i="1"/>
  <c r="M1891" i="5" s="1"/>
  <c r="Q1879" i="1"/>
  <c r="Q1875" i="5" s="1"/>
  <c r="U1879" i="1"/>
  <c r="U1875" i="5" s="1"/>
  <c r="Q1827" i="1"/>
  <c r="U1827" i="1"/>
  <c r="U1823" i="5" s="1"/>
  <c r="Q1803" i="1"/>
  <c r="Q1799" i="5" s="1"/>
  <c r="U1803" i="1"/>
  <c r="U1799" i="5" s="1"/>
  <c r="H1797" i="4"/>
  <c r="X1797" i="4" s="1"/>
  <c r="Z1797" i="4" s="1"/>
  <c r="J1801" i="1"/>
  <c r="M1801" i="1"/>
  <c r="M1797" i="5" s="1"/>
  <c r="X1801" i="1"/>
  <c r="Z1801" i="1" s="1"/>
  <c r="J1795" i="1"/>
  <c r="M1795" i="1"/>
  <c r="M1791" i="5" s="1"/>
  <c r="X1795" i="1"/>
  <c r="J1791" i="1"/>
  <c r="J1787" i="5" s="1"/>
  <c r="M1791" i="1"/>
  <c r="U1686" i="1"/>
  <c r="U1683" i="5" s="1"/>
  <c r="V1686" i="1"/>
  <c r="V1683" i="5" s="1"/>
  <c r="U1672" i="1"/>
  <c r="U1669" i="5" s="1"/>
  <c r="X1672" i="1"/>
  <c r="X1583" i="2" s="1"/>
  <c r="P1655" i="4"/>
  <c r="U1658" i="1"/>
  <c r="V1658" i="1"/>
  <c r="U1647" i="1"/>
  <c r="V1647" i="1"/>
  <c r="M1627" i="1"/>
  <c r="M1624" i="5" s="1"/>
  <c r="X1627" i="1"/>
  <c r="U1612" i="1"/>
  <c r="X1612" i="1"/>
  <c r="X1531" i="2" s="1"/>
  <c r="M1579" i="1"/>
  <c r="M1576" i="5" s="1"/>
  <c r="X1579" i="1"/>
  <c r="X1576" i="5" s="1"/>
  <c r="P1595" i="1"/>
  <c r="U1574" i="1"/>
  <c r="U1571" i="5" s="1"/>
  <c r="V1519" i="1"/>
  <c r="V1518" i="5" s="1"/>
  <c r="Q1519" i="1"/>
  <c r="Q1518" i="5" s="1"/>
  <c r="U1519" i="1"/>
  <c r="J1516" i="1"/>
  <c r="J1515" i="5" s="1"/>
  <c r="X1516" i="1"/>
  <c r="Q1495" i="1"/>
  <c r="Q1494" i="5" s="1"/>
  <c r="V1495" i="1"/>
  <c r="U1495" i="1"/>
  <c r="U1494" i="5" s="1"/>
  <c r="U1457" i="1"/>
  <c r="U1456" i="5" s="1"/>
  <c r="V1457" i="1"/>
  <c r="V1456" i="5" s="1"/>
  <c r="V1448" i="1"/>
  <c r="U1448" i="1"/>
  <c r="U1447" i="5" s="1"/>
  <c r="J1447" i="1"/>
  <c r="J1446" i="5" s="1"/>
  <c r="M1447" i="1"/>
  <c r="M1446" i="5" s="1"/>
  <c r="Q1382" i="1"/>
  <c r="Z1382" i="1"/>
  <c r="Z1312" i="2" s="1"/>
  <c r="M1360" i="1"/>
  <c r="X1360" i="1"/>
  <c r="U1282" i="2"/>
  <c r="U1347" i="4"/>
  <c r="J1334" i="1"/>
  <c r="J1333" i="5" s="1"/>
  <c r="M1334" i="1"/>
  <c r="M1333" i="5" s="1"/>
  <c r="U1313" i="1"/>
  <c r="V1313" i="1"/>
  <c r="V1312" i="5" s="1"/>
  <c r="P1239" i="2"/>
  <c r="U1303" i="1"/>
  <c r="U1302" i="5" s="1"/>
  <c r="M1297" i="1"/>
  <c r="X1297" i="1"/>
  <c r="X1233" i="2" s="1"/>
  <c r="J1297" i="1"/>
  <c r="J1296" i="5" s="1"/>
  <c r="V1262" i="1"/>
  <c r="V1261" i="5" s="1"/>
  <c r="Q1262" i="1"/>
  <c r="U1262" i="1"/>
  <c r="U1261" i="5" s="1"/>
  <c r="V1254" i="1"/>
  <c r="V1253" i="5" s="1"/>
  <c r="Q1254" i="1"/>
  <c r="Q1253" i="5" s="1"/>
  <c r="U1254" i="1"/>
  <c r="Q1228" i="1"/>
  <c r="Q1227" i="5" s="1"/>
  <c r="V1228" i="1"/>
  <c r="V1227" i="5" s="1"/>
  <c r="U1228" i="1"/>
  <c r="U1227" i="5" s="1"/>
  <c r="U1163" i="1"/>
  <c r="U1162" i="5" s="1"/>
  <c r="M1156" i="1"/>
  <c r="V1156" i="1"/>
  <c r="U1111" i="1"/>
  <c r="V1111" i="1"/>
  <c r="M1074" i="1"/>
  <c r="M1073" i="5" s="1"/>
  <c r="V1074" i="1"/>
  <c r="V1073" i="5" s="1"/>
  <c r="M1047" i="1"/>
  <c r="V1047" i="1"/>
  <c r="X894" i="2"/>
  <c r="Z937" i="1"/>
  <c r="Z894" i="2" s="1"/>
  <c r="J909" i="1"/>
  <c r="X909" i="1"/>
  <c r="J847" i="1"/>
  <c r="J847" i="5" s="1"/>
  <c r="M847" i="1"/>
  <c r="X847" i="1"/>
  <c r="V819" i="1"/>
  <c r="V819" i="5" s="1"/>
  <c r="Q819" i="1"/>
  <c r="Q819" i="5" s="1"/>
  <c r="U819" i="1"/>
  <c r="U819" i="5" s="1"/>
  <c r="X819" i="1"/>
  <c r="V597" i="1"/>
  <c r="U597" i="1"/>
  <c r="V480" i="1"/>
  <c r="V479" i="5" s="1"/>
  <c r="U480" i="1"/>
  <c r="U479" i="5" s="1"/>
  <c r="X480" i="1"/>
  <c r="M468" i="1"/>
  <c r="X468" i="1"/>
  <c r="X397" i="2"/>
  <c r="Z416" i="1"/>
  <c r="Z415" i="5" s="1"/>
  <c r="M348" i="1"/>
  <c r="J348" i="1"/>
  <c r="J347" i="5" s="1"/>
  <c r="X348" i="1"/>
  <c r="G2575" i="1"/>
  <c r="G2922" i="1" s="1"/>
  <c r="J2085" i="1"/>
  <c r="J2916" i="1" s="1"/>
  <c r="X2846" i="1"/>
  <c r="Z2846" i="1" s="1"/>
  <c r="AA2843" i="1"/>
  <c r="X2827" i="1"/>
  <c r="Z2827" i="1" s="1"/>
  <c r="X2825" i="1"/>
  <c r="Z2825" i="1" s="1"/>
  <c r="X2824" i="1"/>
  <c r="Z2824" i="1" s="1"/>
  <c r="X2823" i="1"/>
  <c r="Z2823" i="1" s="1"/>
  <c r="X2816" i="1"/>
  <c r="Z2816" i="1" s="1"/>
  <c r="X2799" i="1"/>
  <c r="Z2799" i="1" s="1"/>
  <c r="U2786" i="1"/>
  <c r="M2782" i="1"/>
  <c r="X2755" i="1"/>
  <c r="Z2755" i="1" s="1"/>
  <c r="L2760" i="1"/>
  <c r="L2926" i="1" s="1"/>
  <c r="G2760" i="1"/>
  <c r="G2926" i="1" s="1"/>
  <c r="X2722" i="1"/>
  <c r="Z2722" i="1" s="1"/>
  <c r="X2708" i="1"/>
  <c r="Z2708" i="1" s="1"/>
  <c r="X2650" i="1"/>
  <c r="Z2650" i="1" s="1"/>
  <c r="Y2668" i="1"/>
  <c r="X2609" i="1"/>
  <c r="X2599" i="1"/>
  <c r="X2591" i="5" s="1"/>
  <c r="X2590" i="1"/>
  <c r="F2573" i="1"/>
  <c r="R2575" i="1"/>
  <c r="R2922" i="1" s="1"/>
  <c r="V1973" i="1"/>
  <c r="V2914" i="1" s="1"/>
  <c r="H1740" i="1"/>
  <c r="K1742" i="1"/>
  <c r="K2912" i="1" s="1"/>
  <c r="AA1721" i="1"/>
  <c r="AA1718" i="5" s="1"/>
  <c r="AA1706" i="1"/>
  <c r="AA1703" i="5" s="1"/>
  <c r="X1609" i="1"/>
  <c r="X1569" i="1"/>
  <c r="X1566" i="5" s="1"/>
  <c r="V1451" i="1"/>
  <c r="V1450" i="5" s="1"/>
  <c r="V1401" i="1"/>
  <c r="V1400" i="5" s="1"/>
  <c r="V1302" i="1"/>
  <c r="V1301" i="5" s="1"/>
  <c r="V1280" i="1"/>
  <c r="V1234" i="1"/>
  <c r="V1233" i="5" s="1"/>
  <c r="V927" i="1"/>
  <c r="V927" i="5" s="1"/>
  <c r="H474" i="1"/>
  <c r="H2654" i="4"/>
  <c r="M2662" i="1"/>
  <c r="M2654" i="5" s="1"/>
  <c r="H2640" i="4"/>
  <c r="X2648" i="1"/>
  <c r="Z2648" i="1" s="1"/>
  <c r="P2627" i="4"/>
  <c r="U2635" i="1"/>
  <c r="H2250" i="4"/>
  <c r="M2254" i="1"/>
  <c r="M2250" i="5" s="1"/>
  <c r="H2230" i="4"/>
  <c r="M2234" i="1"/>
  <c r="M2230" i="5" s="1"/>
  <c r="X2234" i="1"/>
  <c r="Z2234" i="1" s="1"/>
  <c r="H2191" i="4"/>
  <c r="X2191" i="4" s="1"/>
  <c r="Z2191" i="4" s="1"/>
  <c r="M2195" i="1"/>
  <c r="M2191" i="5" s="1"/>
  <c r="X2195" i="1"/>
  <c r="Z2195" i="1" s="1"/>
  <c r="P2047" i="4"/>
  <c r="U2051" i="1"/>
  <c r="H2044" i="4"/>
  <c r="M2048" i="1"/>
  <c r="M2044" i="5" s="1"/>
  <c r="X2048" i="1"/>
  <c r="Z2048" i="1" s="1"/>
  <c r="H1982" i="4"/>
  <c r="X1986" i="1"/>
  <c r="P1691" i="4"/>
  <c r="U1694" i="1"/>
  <c r="V1694" i="1"/>
  <c r="M1629" i="1"/>
  <c r="M1626" i="5" s="1"/>
  <c r="X1629" i="1"/>
  <c r="M1565" i="1"/>
  <c r="M1562" i="5" s="1"/>
  <c r="X1565" i="1"/>
  <c r="P1482" i="2"/>
  <c r="U1560" i="1"/>
  <c r="U1557" i="5" s="1"/>
  <c r="M1483" i="1"/>
  <c r="M1482" i="5" s="1"/>
  <c r="X1483" i="1"/>
  <c r="X1406" i="2" s="1"/>
  <c r="J1452" i="1"/>
  <c r="J1451" i="5" s="1"/>
  <c r="X1452" i="1"/>
  <c r="M1452" i="1"/>
  <c r="V1452" i="1"/>
  <c r="J1420" i="1"/>
  <c r="M1420" i="1"/>
  <c r="M1419" i="5" s="1"/>
  <c r="Q1387" i="1"/>
  <c r="Q1386" i="5" s="1"/>
  <c r="V1387" i="1"/>
  <c r="U1387" i="1"/>
  <c r="Q1357" i="1"/>
  <c r="Q1356" i="5" s="1"/>
  <c r="Z1357" i="1"/>
  <c r="Z1291" i="2" s="1"/>
  <c r="J1323" i="1"/>
  <c r="M1323" i="1"/>
  <c r="M1322" i="5" s="1"/>
  <c r="V1248" i="1"/>
  <c r="V1247" i="5" s="1"/>
  <c r="U1248" i="1"/>
  <c r="U1247" i="5" s="1"/>
  <c r="Q1231" i="1"/>
  <c r="V1231" i="1"/>
  <c r="V1230" i="5" s="1"/>
  <c r="U1231" i="1"/>
  <c r="V1037" i="1"/>
  <c r="V1036" i="5" s="1"/>
  <c r="U1037" i="1"/>
  <c r="V1019" i="1"/>
  <c r="U1019" i="1"/>
  <c r="U1018" i="5" s="1"/>
  <c r="J854" i="1"/>
  <c r="J854" i="5" s="1"/>
  <c r="X854" i="1"/>
  <c r="P839" i="4"/>
  <c r="U839" i="1"/>
  <c r="H733" i="2"/>
  <c r="M764" i="1"/>
  <c r="J764" i="1"/>
  <c r="J764" i="5" s="1"/>
  <c r="V764" i="1"/>
  <c r="V764" i="5" s="1"/>
  <c r="F172" i="2"/>
  <c r="F180" i="4"/>
  <c r="F184" i="1"/>
  <c r="H180" i="1"/>
  <c r="H112" i="2"/>
  <c r="M118" i="1"/>
  <c r="P2652" i="4"/>
  <c r="V2660" i="1"/>
  <c r="V2652" i="5" s="1"/>
  <c r="U2658" i="1"/>
  <c r="P2650" i="4"/>
  <c r="H2648" i="4"/>
  <c r="X2656" i="1"/>
  <c r="Z2656" i="1" s="1"/>
  <c r="P2624" i="4"/>
  <c r="U2632" i="1"/>
  <c r="H2610" i="4"/>
  <c r="X2610" i="4" s="1"/>
  <c r="X2618" i="1"/>
  <c r="H2620" i="1"/>
  <c r="F2602" i="4"/>
  <c r="H2610" i="1"/>
  <c r="X2597" i="1"/>
  <c r="X2589" i="5" s="1"/>
  <c r="H2589" i="4"/>
  <c r="H2579" i="4"/>
  <c r="M2587" i="1"/>
  <c r="M2579" i="5" s="1"/>
  <c r="P2563" i="4"/>
  <c r="U2571" i="1"/>
  <c r="F2557" i="4"/>
  <c r="H2565" i="1"/>
  <c r="H2557" i="5" s="1"/>
  <c r="X2557" i="5" s="1"/>
  <c r="H2531" i="4"/>
  <c r="M2539" i="1"/>
  <c r="M2531" i="5" s="1"/>
  <c r="H2523" i="4"/>
  <c r="M2531" i="1"/>
  <c r="M2523" i="5" s="1"/>
  <c r="P2520" i="4"/>
  <c r="V2528" i="1"/>
  <c r="V2520" i="5" s="1"/>
  <c r="E2518" i="4"/>
  <c r="E2543" i="1"/>
  <c r="H2510" i="4"/>
  <c r="M2518" i="1"/>
  <c r="M2510" i="5" s="1"/>
  <c r="X2518" i="1"/>
  <c r="Z2518" i="1" s="1"/>
  <c r="H2493" i="4"/>
  <c r="M2501" i="1"/>
  <c r="M2493" i="5" s="1"/>
  <c r="X2501" i="1"/>
  <c r="Z2501" i="1" s="1"/>
  <c r="P2477" i="4"/>
  <c r="U2485" i="1"/>
  <c r="P2457" i="4"/>
  <c r="U2465" i="1"/>
  <c r="V2465" i="1"/>
  <c r="P2434" i="4"/>
  <c r="X2434" i="4" s="1"/>
  <c r="Z2434" i="4" s="1"/>
  <c r="U2440" i="1"/>
  <c r="X2440" i="1"/>
  <c r="Z2440" i="1" s="1"/>
  <c r="H2424" i="4"/>
  <c r="X2424" i="4" s="1"/>
  <c r="Z2424" i="4" s="1"/>
  <c r="X2430" i="1"/>
  <c r="Z2430" i="1" s="1"/>
  <c r="P2400" i="4"/>
  <c r="Q2406" i="1"/>
  <c r="U2406" i="1"/>
  <c r="P2377" i="4"/>
  <c r="X2377" i="4" s="1"/>
  <c r="Z2377" i="4" s="1"/>
  <c r="U2383" i="1"/>
  <c r="X2383" i="1"/>
  <c r="Z2383" i="1" s="1"/>
  <c r="P2361" i="4"/>
  <c r="Q2367" i="1"/>
  <c r="U2367" i="1"/>
  <c r="P2333" i="4"/>
  <c r="U2339" i="1"/>
  <c r="P2287" i="4"/>
  <c r="X2287" i="4" s="1"/>
  <c r="Z2287" i="4" s="1"/>
  <c r="U2291" i="1"/>
  <c r="X2291" i="1"/>
  <c r="Z2291" i="1" s="1"/>
  <c r="H2277" i="4"/>
  <c r="X2277" i="4" s="1"/>
  <c r="J2281" i="1"/>
  <c r="X2281" i="1"/>
  <c r="Z2281" i="1" s="1"/>
  <c r="M2281" i="1"/>
  <c r="M2277" i="5" s="1"/>
  <c r="H2252" i="4"/>
  <c r="X2252" i="4" s="1"/>
  <c r="Z2252" i="4" s="1"/>
  <c r="J2256" i="1"/>
  <c r="X2256" i="1"/>
  <c r="Z2256" i="1" s="1"/>
  <c r="M2256" i="1"/>
  <c r="M2252" i="5" s="1"/>
  <c r="P2227" i="4"/>
  <c r="X2227" i="4" s="1"/>
  <c r="Z2227" i="4" s="1"/>
  <c r="U2231" i="1"/>
  <c r="X2231" i="1"/>
  <c r="Z2231" i="1" s="1"/>
  <c r="P2207" i="4"/>
  <c r="U2211" i="1"/>
  <c r="H2186" i="4"/>
  <c r="M2190" i="1"/>
  <c r="M2186" i="5" s="1"/>
  <c r="X2190" i="1"/>
  <c r="Z2190" i="1" s="1"/>
  <c r="P2181" i="4"/>
  <c r="X2181" i="4" s="1"/>
  <c r="Z2181" i="4" s="1"/>
  <c r="U2185" i="1"/>
  <c r="X2185" i="1"/>
  <c r="Z2185" i="1" s="1"/>
  <c r="H2169" i="4"/>
  <c r="X2169" i="4" s="1"/>
  <c r="Z2169" i="4" s="1"/>
  <c r="J2173" i="1"/>
  <c r="X2173" i="1"/>
  <c r="Z2173" i="1" s="1"/>
  <c r="M2173" i="1"/>
  <c r="M2169" i="5" s="1"/>
  <c r="P2155" i="4"/>
  <c r="U2159" i="1"/>
  <c r="H2142" i="4"/>
  <c r="X2142" i="4" s="1"/>
  <c r="X2146" i="1"/>
  <c r="M2146" i="1"/>
  <c r="M2142" i="5" s="1"/>
  <c r="H2117" i="4"/>
  <c r="M2121" i="1"/>
  <c r="M2117" i="5" s="1"/>
  <c r="X2121" i="1"/>
  <c r="Z2121" i="1" s="1"/>
  <c r="F2110" i="4"/>
  <c r="H2114" i="1"/>
  <c r="P2100" i="4"/>
  <c r="Q2104" i="1"/>
  <c r="U2104" i="1"/>
  <c r="P2094" i="4"/>
  <c r="U2098" i="1"/>
  <c r="X2098" i="1"/>
  <c r="X2094" i="5" s="1"/>
  <c r="E2075" i="4"/>
  <c r="E2083" i="1"/>
  <c r="H2073" i="4"/>
  <c r="X2077" i="1"/>
  <c r="Z2077" i="1" s="1"/>
  <c r="H2071" i="4"/>
  <c r="X2075" i="1"/>
  <c r="Z2075" i="1" s="1"/>
  <c r="H2069" i="4"/>
  <c r="X2073" i="1"/>
  <c r="Z2073" i="1" s="1"/>
  <c r="H2067" i="4"/>
  <c r="X2071" i="1"/>
  <c r="Z2071" i="1" s="1"/>
  <c r="H2065" i="4"/>
  <c r="X2069" i="1"/>
  <c r="Z2069" i="1" s="1"/>
  <c r="H2062" i="4"/>
  <c r="X2066" i="1"/>
  <c r="H2083" i="1"/>
  <c r="P2053" i="4"/>
  <c r="U2057" i="1"/>
  <c r="H2029" i="4"/>
  <c r="M2033" i="1"/>
  <c r="M2029" i="5" s="1"/>
  <c r="X2033" i="1"/>
  <c r="Z2033" i="1" s="1"/>
  <c r="P2018" i="4"/>
  <c r="U2022" i="1"/>
  <c r="V2022" i="1"/>
  <c r="V2018" i="5" s="1"/>
  <c r="P2001" i="4"/>
  <c r="U2005" i="1"/>
  <c r="U1988" i="1"/>
  <c r="X1988" i="1"/>
  <c r="U1980" i="1"/>
  <c r="X1980" i="1"/>
  <c r="H1957" i="4"/>
  <c r="M1961" i="1"/>
  <c r="M1957" i="5" s="1"/>
  <c r="H1934" i="4"/>
  <c r="M1938" i="1"/>
  <c r="M1934" i="5" s="1"/>
  <c r="E1930" i="4"/>
  <c r="E1955" i="1"/>
  <c r="Q1934" i="1"/>
  <c r="P1912" i="4"/>
  <c r="X1912" i="4" s="1"/>
  <c r="Z1912" i="4" s="1"/>
  <c r="X1916" i="1"/>
  <c r="Z1916" i="1" s="1"/>
  <c r="H1907" i="4"/>
  <c r="X1907" i="4" s="1"/>
  <c r="Z1907" i="4" s="1"/>
  <c r="J1911" i="1"/>
  <c r="X1911" i="1"/>
  <c r="Z1911" i="1" s="1"/>
  <c r="M1911" i="1"/>
  <c r="Q1894" i="1"/>
  <c r="Q1890" i="5" s="1"/>
  <c r="U1894" i="1"/>
  <c r="U1890" i="5" s="1"/>
  <c r="J1876" i="1"/>
  <c r="J1872" i="5" s="1"/>
  <c r="M1876" i="1"/>
  <c r="J1863" i="1"/>
  <c r="J1859" i="5" s="1"/>
  <c r="M1863" i="1"/>
  <c r="M1859" i="5" s="1"/>
  <c r="X1863" i="1"/>
  <c r="M1844" i="1"/>
  <c r="J1844" i="1"/>
  <c r="J1840" i="5" s="1"/>
  <c r="Q1833" i="1"/>
  <c r="Q1829" i="5" s="1"/>
  <c r="U1833" i="1"/>
  <c r="U1829" i="5" s="1"/>
  <c r="J1828" i="1"/>
  <c r="M1828" i="1"/>
  <c r="M1824" i="5" s="1"/>
  <c r="X1828" i="1"/>
  <c r="J1815" i="1"/>
  <c r="J1811" i="5" s="1"/>
  <c r="M1815" i="1"/>
  <c r="J1778" i="1"/>
  <c r="J1774" i="5" s="1"/>
  <c r="X1778" i="1"/>
  <c r="X1683" i="2" s="1"/>
  <c r="M1778" i="1"/>
  <c r="M1774" i="5" s="1"/>
  <c r="Q1754" i="1"/>
  <c r="U1754" i="1"/>
  <c r="U1750" i="5" s="1"/>
  <c r="U1710" i="1"/>
  <c r="U1707" i="5" s="1"/>
  <c r="X1710" i="1"/>
  <c r="U1669" i="1"/>
  <c r="V1669" i="1"/>
  <c r="U1650" i="1"/>
  <c r="U1647" i="5" s="1"/>
  <c r="X1650" i="1"/>
  <c r="X1564" i="2" s="1"/>
  <c r="M1631" i="1"/>
  <c r="X1631" i="1"/>
  <c r="M1587" i="1"/>
  <c r="M1584" i="5" s="1"/>
  <c r="X1587" i="1"/>
  <c r="X1584" i="5" s="1"/>
  <c r="X1453" i="2"/>
  <c r="Z1531" i="1"/>
  <c r="Z1453" i="2" s="1"/>
  <c r="J1504" i="1"/>
  <c r="J1503" i="5" s="1"/>
  <c r="X1504" i="1"/>
  <c r="H1480" i="1"/>
  <c r="H1479" i="5" s="1"/>
  <c r="X1479" i="5" s="1"/>
  <c r="Z1479" i="5" s="1"/>
  <c r="F1498" i="1"/>
  <c r="M1462" i="1"/>
  <c r="M1461" i="5" s="1"/>
  <c r="X1462" i="1"/>
  <c r="X1389" i="2" s="1"/>
  <c r="Q1448" i="1"/>
  <c r="Z1448" i="1"/>
  <c r="Z1376" i="2" s="1"/>
  <c r="J1446" i="1"/>
  <c r="J1445" i="5" s="1"/>
  <c r="M1446" i="1"/>
  <c r="M1445" i="5" s="1"/>
  <c r="Q1427" i="1"/>
  <c r="U1427" i="1"/>
  <c r="U1426" i="5" s="1"/>
  <c r="J1426" i="1"/>
  <c r="J1425" i="5" s="1"/>
  <c r="X1426" i="1"/>
  <c r="M1415" i="1"/>
  <c r="X1415" i="1"/>
  <c r="X1344" i="2" s="1"/>
  <c r="J1415" i="1"/>
  <c r="J1414" i="5" s="1"/>
  <c r="Q1386" i="1"/>
  <c r="Q1385" i="5" s="1"/>
  <c r="X1386" i="1"/>
  <c r="U1386" i="1"/>
  <c r="U1385" i="5" s="1"/>
  <c r="V1382" i="1"/>
  <c r="V1381" i="5" s="1"/>
  <c r="U1382" i="1"/>
  <c r="U1381" i="5" s="1"/>
  <c r="Q1349" i="1"/>
  <c r="U1349" i="1"/>
  <c r="U1348" i="5" s="1"/>
  <c r="J1346" i="1"/>
  <c r="J1345" i="5" s="1"/>
  <c r="X1346" i="1"/>
  <c r="M1346" i="1"/>
  <c r="V1346" i="1"/>
  <c r="V1345" i="5" s="1"/>
  <c r="J1335" i="1"/>
  <c r="J1334" i="5" s="1"/>
  <c r="M1335" i="1"/>
  <c r="M1334" i="5" s="1"/>
  <c r="J1326" i="1"/>
  <c r="X1326" i="1"/>
  <c r="U1320" i="1"/>
  <c r="U1319" i="5" s="1"/>
  <c r="V1320" i="1"/>
  <c r="V1319" i="5" s="1"/>
  <c r="J1313" i="1"/>
  <c r="M1313" i="1"/>
  <c r="M1312" i="5" s="1"/>
  <c r="X1313" i="1"/>
  <c r="J1305" i="1"/>
  <c r="J1304" i="5" s="1"/>
  <c r="X1305" i="1"/>
  <c r="X1241" i="2" s="1"/>
  <c r="J1298" i="1"/>
  <c r="J1297" i="5" s="1"/>
  <c r="X1298" i="1"/>
  <c r="M1298" i="1"/>
  <c r="V1298" i="1"/>
  <c r="Q1263" i="1"/>
  <c r="Q1262" i="5" s="1"/>
  <c r="U1263" i="1"/>
  <c r="Q1255" i="1"/>
  <c r="Q1254" i="5" s="1"/>
  <c r="U1255" i="1"/>
  <c r="U1254" i="5" s="1"/>
  <c r="Q1251" i="1"/>
  <c r="Q1250" i="5" s="1"/>
  <c r="V1251" i="1"/>
  <c r="U1251" i="1"/>
  <c r="U1250" i="5" s="1"/>
  <c r="H1250" i="1"/>
  <c r="H1249" i="5" s="1"/>
  <c r="X1249" i="5" s="1"/>
  <c r="Z1249" i="5" s="1"/>
  <c r="F1282" i="1"/>
  <c r="Q1226" i="1"/>
  <c r="U1226" i="1"/>
  <c r="U1225" i="5" s="1"/>
  <c r="Q1213" i="1"/>
  <c r="Q1212" i="5" s="1"/>
  <c r="U1213" i="1"/>
  <c r="U1212" i="5" s="1"/>
  <c r="V1213" i="1"/>
  <c r="X1179" i="1"/>
  <c r="M1179" i="1"/>
  <c r="M1178" i="5" s="1"/>
  <c r="M1152" i="1"/>
  <c r="V1152" i="1"/>
  <c r="X1091" i="1"/>
  <c r="M1091" i="1"/>
  <c r="M1090" i="5" s="1"/>
  <c r="X981" i="2"/>
  <c r="Z1027" i="1"/>
  <c r="Z981" i="2" s="1"/>
  <c r="V877" i="1"/>
  <c r="V877" i="5" s="1"/>
  <c r="Q877" i="1"/>
  <c r="Q877" i="5" s="1"/>
  <c r="U877" i="1"/>
  <c r="X877" i="1"/>
  <c r="V866" i="1"/>
  <c r="V866" i="5" s="1"/>
  <c r="U866" i="1"/>
  <c r="U866" i="5" s="1"/>
  <c r="U863" i="1"/>
  <c r="V863" i="1"/>
  <c r="V863" i="5" s="1"/>
  <c r="X863" i="1"/>
  <c r="E802" i="2"/>
  <c r="E836" i="4"/>
  <c r="Q836" i="1"/>
  <c r="Q836" i="5" s="1"/>
  <c r="X792" i="2"/>
  <c r="Z826" i="1"/>
  <c r="Z792" i="2" s="1"/>
  <c r="V676" i="1"/>
  <c r="U676" i="1"/>
  <c r="U676" i="5" s="1"/>
  <c r="J658" i="1"/>
  <c r="J658" i="5" s="1"/>
  <c r="V658" i="1"/>
  <c r="P603" i="2"/>
  <c r="P637" i="1"/>
  <c r="V627" i="1"/>
  <c r="V628" i="5" s="1"/>
  <c r="U627" i="1"/>
  <c r="X444" i="1"/>
  <c r="X443" i="5" s="1"/>
  <c r="U444" i="1"/>
  <c r="U443" i="5" s="1"/>
  <c r="X392" i="2"/>
  <c r="Z411" i="1"/>
  <c r="M373" i="1"/>
  <c r="M372" i="5" s="1"/>
  <c r="J373" i="1"/>
  <c r="J372" i="5" s="1"/>
  <c r="H341" i="4"/>
  <c r="J342" i="1"/>
  <c r="X342" i="1"/>
  <c r="X328" i="2" s="1"/>
  <c r="M2822" i="1"/>
  <c r="AA1710" i="1"/>
  <c r="AA1707" i="5" s="1"/>
  <c r="X2860" i="1"/>
  <c r="Z2860" i="1" s="1"/>
  <c r="X2840" i="1"/>
  <c r="Z2840" i="1" s="1"/>
  <c r="U2839" i="1"/>
  <c r="U2833" i="1"/>
  <c r="H2814" i="1"/>
  <c r="M2814" i="1" s="1"/>
  <c r="H2808" i="1"/>
  <c r="M2808" i="1" s="1"/>
  <c r="X2803" i="1"/>
  <c r="Z2803" i="1" s="1"/>
  <c r="H2801" i="1"/>
  <c r="H2797" i="1"/>
  <c r="H2750" i="1"/>
  <c r="H2742" i="5" s="1"/>
  <c r="X2742" i="5" s="1"/>
  <c r="V2746" i="1"/>
  <c r="H2739" i="1"/>
  <c r="T2760" i="1"/>
  <c r="T2926" i="1" s="1"/>
  <c r="O2760" i="1"/>
  <c r="O2926" i="1" s="1"/>
  <c r="V2726" i="1"/>
  <c r="M2709" i="1"/>
  <c r="M2701" i="5" s="1"/>
  <c r="M2708" i="1"/>
  <c r="U2703" i="1"/>
  <c r="V2701" i="1"/>
  <c r="V2693" i="5" s="1"/>
  <c r="V2697" i="1"/>
  <c r="V2689" i="5" s="1"/>
  <c r="X2696" i="1"/>
  <c r="Z2696" i="1" s="1"/>
  <c r="Z2687" i="1"/>
  <c r="G2668" i="1"/>
  <c r="G2924" i="1" s="1"/>
  <c r="V2653" i="1"/>
  <c r="V2645" i="5" s="1"/>
  <c r="X2652" i="1"/>
  <c r="Z2652" i="1" s="1"/>
  <c r="U2641" i="1"/>
  <c r="M2640" i="1"/>
  <c r="M2632" i="5" s="1"/>
  <c r="V2635" i="1"/>
  <c r="V2627" i="5" s="1"/>
  <c r="U2628" i="1"/>
  <c r="M2627" i="1"/>
  <c r="M2619" i="5" s="1"/>
  <c r="U2620" i="1"/>
  <c r="M2609" i="1"/>
  <c r="V2602" i="1"/>
  <c r="H2598" i="1"/>
  <c r="H2590" i="5" s="1"/>
  <c r="V2595" i="1"/>
  <c r="V2587" i="5" s="1"/>
  <c r="H2564" i="1"/>
  <c r="V2560" i="1"/>
  <c r="V2558" i="1"/>
  <c r="X2554" i="1"/>
  <c r="Z2554" i="1" s="1"/>
  <c r="X2537" i="1"/>
  <c r="Z2537" i="1" s="1"/>
  <c r="M1899" i="1"/>
  <c r="M1895" i="5" s="1"/>
  <c r="Z1774" i="1"/>
  <c r="V1721" i="1"/>
  <c r="X1706" i="1"/>
  <c r="X1611" i="2" s="1"/>
  <c r="V1665" i="1"/>
  <c r="E1662" i="1"/>
  <c r="V1617" i="1"/>
  <c r="V1614" i="5" s="1"/>
  <c r="X1599" i="1"/>
  <c r="X1518" i="2" s="1"/>
  <c r="X1561" i="1"/>
  <c r="X1558" i="5" s="1"/>
  <c r="AA1495" i="1"/>
  <c r="AA1494" i="5" s="1"/>
  <c r="AA1492" i="1"/>
  <c r="AA1491" i="5" s="1"/>
  <c r="J1483" i="1"/>
  <c r="W1445" i="1"/>
  <c r="W1444" i="5" s="1"/>
  <c r="X1422" i="1"/>
  <c r="Q1248" i="1"/>
  <c r="X1231" i="1"/>
  <c r="E1245" i="1"/>
  <c r="T2037" i="4"/>
  <c r="L2037" i="4"/>
  <c r="T1922" i="4"/>
  <c r="W1802" i="4"/>
  <c r="K1802" i="4"/>
  <c r="S1697" i="4"/>
  <c r="N1697" i="4"/>
  <c r="K1697" i="4"/>
  <c r="F1697" i="4"/>
  <c r="G1639" i="4"/>
  <c r="Y947" i="4"/>
  <c r="N558" i="4"/>
  <c r="T261" i="4"/>
  <c r="P2604" i="4"/>
  <c r="U2612" i="1"/>
  <c r="P2580" i="4"/>
  <c r="U2588" i="1"/>
  <c r="P2511" i="4"/>
  <c r="V2519" i="1"/>
  <c r="V2511" i="5" s="1"/>
  <c r="H2491" i="4"/>
  <c r="M2499" i="1"/>
  <c r="M2491" i="5" s="1"/>
  <c r="X2499" i="1"/>
  <c r="Z2499" i="1" s="1"/>
  <c r="H2507" i="1"/>
  <c r="P2443" i="4"/>
  <c r="U2449" i="1"/>
  <c r="X2449" i="1"/>
  <c r="Z2449" i="1" s="1"/>
  <c r="F2404" i="4"/>
  <c r="H2410" i="1"/>
  <c r="H2395" i="4"/>
  <c r="M2401" i="1"/>
  <c r="M2395" i="5" s="1"/>
  <c r="X2401" i="1"/>
  <c r="Z2401" i="1" s="1"/>
  <c r="H2358" i="4"/>
  <c r="X2358" i="4" s="1"/>
  <c r="Z2358" i="4" s="1"/>
  <c r="J2364" i="1"/>
  <c r="M2364" i="1"/>
  <c r="M2358" i="5" s="1"/>
  <c r="H2332" i="4"/>
  <c r="X2332" i="4" s="1"/>
  <c r="Z2332" i="4" s="1"/>
  <c r="J2338" i="1"/>
  <c r="X2338" i="1"/>
  <c r="Z2338" i="1" s="1"/>
  <c r="M2338" i="1"/>
  <c r="E2311" i="4"/>
  <c r="Q2317" i="1"/>
  <c r="H2212" i="4"/>
  <c r="X2212" i="4" s="1"/>
  <c r="Z2212" i="4" s="1"/>
  <c r="J2216" i="1"/>
  <c r="M2216" i="1"/>
  <c r="M2212" i="5" s="1"/>
  <c r="H2160" i="4"/>
  <c r="M2164" i="1"/>
  <c r="H2056" i="4"/>
  <c r="X2056" i="4" s="1"/>
  <c r="Z2056" i="4" s="1"/>
  <c r="M2060" i="1"/>
  <c r="M2056" i="5" s="1"/>
  <c r="V2060" i="1"/>
  <c r="H1963" i="4"/>
  <c r="M1967" i="1"/>
  <c r="P1910" i="4"/>
  <c r="U1914" i="1"/>
  <c r="X1914" i="1"/>
  <c r="Z1914" i="1" s="1"/>
  <c r="H1904" i="4"/>
  <c r="X1904" i="4" s="1"/>
  <c r="X1908" i="1"/>
  <c r="M1908" i="1"/>
  <c r="M1904" i="5" s="1"/>
  <c r="J1843" i="1"/>
  <c r="J1839" i="5" s="1"/>
  <c r="M1843" i="1"/>
  <c r="X1843" i="1"/>
  <c r="U1732" i="1"/>
  <c r="X1732" i="1"/>
  <c r="U1678" i="1"/>
  <c r="V1678" i="1"/>
  <c r="V1675" i="5" s="1"/>
  <c r="U1636" i="1"/>
  <c r="X1636" i="1"/>
  <c r="Q1493" i="1"/>
  <c r="V1493" i="1"/>
  <c r="V1492" i="5" s="1"/>
  <c r="U1493" i="1"/>
  <c r="U1492" i="5" s="1"/>
  <c r="Q1491" i="1"/>
  <c r="Q1490" i="5" s="1"/>
  <c r="V1491" i="1"/>
  <c r="U1491" i="1"/>
  <c r="U1490" i="5" s="1"/>
  <c r="Q1485" i="1"/>
  <c r="Q1484" i="5" s="1"/>
  <c r="U1485" i="1"/>
  <c r="U1484" i="5" s="1"/>
  <c r="X1451" i="1"/>
  <c r="J1451" i="1"/>
  <c r="J1450" i="5" s="1"/>
  <c r="Q1406" i="1"/>
  <c r="Q1405" i="5" s="1"/>
  <c r="U1406" i="1"/>
  <c r="U1405" i="5" s="1"/>
  <c r="J1384" i="1"/>
  <c r="X1384" i="1"/>
  <c r="X1314" i="2" s="1"/>
  <c r="M1384" i="1"/>
  <c r="V1384" i="1"/>
  <c r="V1383" i="5" s="1"/>
  <c r="M1380" i="1"/>
  <c r="J1380" i="1"/>
  <c r="J1379" i="5" s="1"/>
  <c r="X1380" i="1"/>
  <c r="X1310" i="2" s="1"/>
  <c r="M1320" i="1"/>
  <c r="M1319" i="5" s="1"/>
  <c r="X1320" i="1"/>
  <c r="X1256" i="2" s="1"/>
  <c r="J1320" i="1"/>
  <c r="J1319" i="5" s="1"/>
  <c r="V1243" i="1"/>
  <c r="V1242" i="5" s="1"/>
  <c r="Q1243" i="1"/>
  <c r="Q1242" i="5" s="1"/>
  <c r="U1243" i="1"/>
  <c r="F1240" i="4"/>
  <c r="H1241" i="1"/>
  <c r="M1234" i="1"/>
  <c r="M1233" i="5" s="1"/>
  <c r="X1234" i="1"/>
  <c r="X1179" i="2" s="1"/>
  <c r="J1205" i="1"/>
  <c r="J1204" i="5" s="1"/>
  <c r="X1205" i="1"/>
  <c r="X1204" i="5" s="1"/>
  <c r="H1006" i="1"/>
  <c r="F1014" i="1"/>
  <c r="J882" i="1"/>
  <c r="J882" i="5" s="1"/>
  <c r="M882" i="1"/>
  <c r="M882" i="5" s="1"/>
  <c r="X882" i="1"/>
  <c r="P868" i="4"/>
  <c r="X868" i="4" s="1"/>
  <c r="Z868" i="4" s="1"/>
  <c r="U868" i="1"/>
  <c r="V868" i="1"/>
  <c r="X868" i="1"/>
  <c r="Z868" i="1" s="1"/>
  <c r="V686" i="1"/>
  <c r="U686" i="1"/>
  <c r="U686" i="5" s="1"/>
  <c r="I179" i="2"/>
  <c r="I187" i="4"/>
  <c r="K187" i="1"/>
  <c r="H149" i="1"/>
  <c r="M137" i="1"/>
  <c r="M137" i="5" s="1"/>
  <c r="P108" i="2"/>
  <c r="V114" i="1"/>
  <c r="U114" i="1"/>
  <c r="U114" i="5" s="1"/>
  <c r="H104" i="4"/>
  <c r="M104" i="1"/>
  <c r="H107" i="1"/>
  <c r="H2639" i="4"/>
  <c r="M2647" i="1"/>
  <c r="M2639" i="5" s="1"/>
  <c r="H2623" i="4"/>
  <c r="M2631" i="1"/>
  <c r="H2600" i="4"/>
  <c r="M2608" i="1"/>
  <c r="P2589" i="4"/>
  <c r="V2597" i="1"/>
  <c r="P2576" i="4"/>
  <c r="U2584" i="1"/>
  <c r="F2548" i="4"/>
  <c r="H2556" i="1"/>
  <c r="H2529" i="4"/>
  <c r="X2529" i="4" s="1"/>
  <c r="Z2529" i="4" s="1"/>
  <c r="M2537" i="1"/>
  <c r="M2529" i="5" s="1"/>
  <c r="P2513" i="4"/>
  <c r="V2521" i="1"/>
  <c r="H2495" i="4"/>
  <c r="M2503" i="1"/>
  <c r="M2495" i="5" s="1"/>
  <c r="X2503" i="1"/>
  <c r="Z2503" i="1" s="1"/>
  <c r="H2476" i="4"/>
  <c r="M2484" i="1"/>
  <c r="M2476" i="5" s="1"/>
  <c r="H2456" i="4"/>
  <c r="M2464" i="1"/>
  <c r="M2456" i="5" s="1"/>
  <c r="Q2448" i="1"/>
  <c r="P2442" i="4"/>
  <c r="X2442" i="4" s="1"/>
  <c r="Z2442" i="4" s="1"/>
  <c r="U2448" i="1"/>
  <c r="X2448" i="1"/>
  <c r="Z2448" i="1" s="1"/>
  <c r="H2440" i="4"/>
  <c r="X2440" i="4" s="1"/>
  <c r="Z2440" i="4" s="1"/>
  <c r="J2446" i="1"/>
  <c r="X2446" i="1"/>
  <c r="Z2446" i="1" s="1"/>
  <c r="M2446" i="1"/>
  <c r="M2440" i="5" s="1"/>
  <c r="H2413" i="4"/>
  <c r="X2413" i="4" s="1"/>
  <c r="Z2413" i="4" s="1"/>
  <c r="J2419" i="1"/>
  <c r="J2413" i="5" s="1"/>
  <c r="X2419" i="1"/>
  <c r="M2419" i="1"/>
  <c r="M2413" i="5" s="1"/>
  <c r="H2408" i="4"/>
  <c r="X2408" i="4" s="1"/>
  <c r="Z2408" i="4" s="1"/>
  <c r="J2414" i="1"/>
  <c r="X2414" i="1"/>
  <c r="Z2414" i="1" s="1"/>
  <c r="M2414" i="1"/>
  <c r="M2408" i="5" s="1"/>
  <c r="H2405" i="4"/>
  <c r="X2405" i="4" s="1"/>
  <c r="Z2405" i="4" s="1"/>
  <c r="J2411" i="1"/>
  <c r="X2411" i="1"/>
  <c r="Z2411" i="1" s="1"/>
  <c r="M2411" i="1"/>
  <c r="M2405" i="5" s="1"/>
  <c r="P2403" i="4"/>
  <c r="Q2409" i="1"/>
  <c r="U2409" i="1"/>
  <c r="P2379" i="4"/>
  <c r="X2379" i="4" s="1"/>
  <c r="Z2379" i="4" s="1"/>
  <c r="U2385" i="1"/>
  <c r="X2385" i="1"/>
  <c r="Z2385" i="1" s="1"/>
  <c r="P2331" i="4"/>
  <c r="Q2337" i="1"/>
  <c r="U2337" i="1"/>
  <c r="P2278" i="4"/>
  <c r="U2282" i="1"/>
  <c r="P2258" i="4"/>
  <c r="X2258" i="4" s="1"/>
  <c r="Z2258" i="4" s="1"/>
  <c r="U2262" i="1"/>
  <c r="X2262" i="1"/>
  <c r="Z2262" i="1" s="1"/>
  <c r="P2253" i="4"/>
  <c r="U2257" i="1"/>
  <c r="H2246" i="4"/>
  <c r="M2250" i="1"/>
  <c r="M2246" i="5" s="1"/>
  <c r="H2237" i="4"/>
  <c r="X2237" i="4" s="1"/>
  <c r="Z2237" i="4" s="1"/>
  <c r="J2241" i="1"/>
  <c r="M2241" i="1"/>
  <c r="P2232" i="4"/>
  <c r="Q2236" i="1"/>
  <c r="U2236" i="1"/>
  <c r="P2223" i="4"/>
  <c r="X2223" i="4" s="1"/>
  <c r="Z2223" i="4" s="1"/>
  <c r="U2227" i="1"/>
  <c r="X2227" i="1"/>
  <c r="Z2227" i="1" s="1"/>
  <c r="H2214" i="4"/>
  <c r="X2214" i="4" s="1"/>
  <c r="Z2214" i="4" s="1"/>
  <c r="J2218" i="1"/>
  <c r="X2218" i="1"/>
  <c r="Z2218" i="1" s="1"/>
  <c r="M2218" i="1"/>
  <c r="M2214" i="5" s="1"/>
  <c r="P2210" i="4"/>
  <c r="X2210" i="4" s="1"/>
  <c r="Z2210" i="4" s="1"/>
  <c r="U2214" i="1"/>
  <c r="X2214" i="1"/>
  <c r="Z2214" i="1" s="1"/>
  <c r="P2183" i="4"/>
  <c r="X2183" i="4" s="1"/>
  <c r="Z2183" i="4" s="1"/>
  <c r="U2187" i="1"/>
  <c r="X2187" i="1"/>
  <c r="Z2187" i="1" s="1"/>
  <c r="P2170" i="4"/>
  <c r="U2174" i="1"/>
  <c r="H2162" i="4"/>
  <c r="X2162" i="4" s="1"/>
  <c r="Z2162" i="4" s="1"/>
  <c r="M2166" i="1"/>
  <c r="E2155" i="4"/>
  <c r="Q2159" i="1"/>
  <c r="H2128" i="4"/>
  <c r="M2132" i="1"/>
  <c r="X2132" i="1"/>
  <c r="Z2132" i="1" s="1"/>
  <c r="H2124" i="4"/>
  <c r="X2124" i="4" s="1"/>
  <c r="J2128" i="1"/>
  <c r="X2128" i="1"/>
  <c r="Z2128" i="1" s="1"/>
  <c r="M2128" i="1"/>
  <c r="M2124" i="5" s="1"/>
  <c r="P2096" i="4"/>
  <c r="U2100" i="1"/>
  <c r="X2100" i="1"/>
  <c r="H2017" i="4"/>
  <c r="M2021" i="1"/>
  <c r="M2017" i="5" s="1"/>
  <c r="P2004" i="4"/>
  <c r="X2004" i="4" s="1"/>
  <c r="U2008" i="1"/>
  <c r="X2008" i="1"/>
  <c r="Z2008" i="1" s="1"/>
  <c r="H1959" i="4"/>
  <c r="M1963" i="1"/>
  <c r="M1959" i="5" s="1"/>
  <c r="P1908" i="4"/>
  <c r="U1912" i="1"/>
  <c r="M1879" i="1"/>
  <c r="M1875" i="5" s="1"/>
  <c r="X1879" i="1"/>
  <c r="J1879" i="1"/>
  <c r="Q1837" i="1"/>
  <c r="Q1833" i="5" s="1"/>
  <c r="U1837" i="1"/>
  <c r="U1833" i="5" s="1"/>
  <c r="M1829" i="1"/>
  <c r="M1825" i="5" s="1"/>
  <c r="J1829" i="1"/>
  <c r="X1829" i="1"/>
  <c r="X1733" i="2" s="1"/>
  <c r="Q1821" i="1"/>
  <c r="Q1817" i="5" s="1"/>
  <c r="U1821" i="1"/>
  <c r="U1817" i="5" s="1"/>
  <c r="J1749" i="1"/>
  <c r="M1749" i="1"/>
  <c r="M1745" i="5" s="1"/>
  <c r="U1719" i="1"/>
  <c r="U1716" i="5" s="1"/>
  <c r="V1719" i="1"/>
  <c r="V1716" i="5" s="1"/>
  <c r="M1633" i="1"/>
  <c r="X1633" i="1"/>
  <c r="U1602" i="1"/>
  <c r="U1599" i="5" s="1"/>
  <c r="X1602" i="1"/>
  <c r="X1521" i="2" s="1"/>
  <c r="P1565" i="4"/>
  <c r="U1568" i="1"/>
  <c r="M1557" i="1"/>
  <c r="M1554" i="5" s="1"/>
  <c r="X1557" i="1"/>
  <c r="X1554" i="5" s="1"/>
  <c r="U1553" i="1"/>
  <c r="V1553" i="1"/>
  <c r="V1550" i="5" s="1"/>
  <c r="Q1484" i="1"/>
  <c r="Q1483" i="5" s="1"/>
  <c r="U1484" i="1"/>
  <c r="U1483" i="5" s="1"/>
  <c r="Q1480" i="1"/>
  <c r="U1480" i="1"/>
  <c r="U1479" i="5" s="1"/>
  <c r="J1463" i="1"/>
  <c r="J1462" i="5" s="1"/>
  <c r="X1463" i="1"/>
  <c r="X1390" i="2" s="1"/>
  <c r="Q1388" i="2"/>
  <c r="Q1460" i="4"/>
  <c r="M1457" i="1"/>
  <c r="M1456" i="5" s="1"/>
  <c r="X1457" i="1"/>
  <c r="X1385" i="2" s="1"/>
  <c r="J1457" i="1"/>
  <c r="J1456" i="5" s="1"/>
  <c r="J1449" i="1"/>
  <c r="J1448" i="5" s="1"/>
  <c r="X1449" i="1"/>
  <c r="U1415" i="1"/>
  <c r="V1415" i="1"/>
  <c r="V1414" i="5" s="1"/>
  <c r="M1407" i="1"/>
  <c r="M1406" i="5" s="1"/>
  <c r="X1407" i="1"/>
  <c r="X1336" i="2" s="1"/>
  <c r="Q1391" i="1"/>
  <c r="X1391" i="1"/>
  <c r="X1321" i="2" s="1"/>
  <c r="U1391" i="1"/>
  <c r="U1390" i="5" s="1"/>
  <c r="V1380" i="1"/>
  <c r="V1379" i="5" s="1"/>
  <c r="U1380" i="1"/>
  <c r="P1364" i="4"/>
  <c r="X1364" i="4" s="1"/>
  <c r="Z1364" i="4" s="1"/>
  <c r="U1365" i="1"/>
  <c r="V1365" i="1"/>
  <c r="V1357" i="1"/>
  <c r="U1357" i="1"/>
  <c r="U1356" i="5" s="1"/>
  <c r="J1356" i="1"/>
  <c r="J1355" i="5" s="1"/>
  <c r="M1356" i="1"/>
  <c r="M1355" i="5" s="1"/>
  <c r="Q1282" i="2"/>
  <c r="Q1347" i="4"/>
  <c r="H1331" i="4"/>
  <c r="M1332" i="1"/>
  <c r="M1331" i="5" s="1"/>
  <c r="V1325" i="1"/>
  <c r="U1325" i="1"/>
  <c r="J1324" i="1"/>
  <c r="J1323" i="5" s="1"/>
  <c r="M1324" i="1"/>
  <c r="M1323" i="5" s="1"/>
  <c r="J1308" i="1"/>
  <c r="V1308" i="1"/>
  <c r="V1307" i="5" s="1"/>
  <c r="M1308" i="1"/>
  <c r="M1307" i="5" s="1"/>
  <c r="X1308" i="1"/>
  <c r="X1244" i="2" s="1"/>
  <c r="G1276" i="4"/>
  <c r="G1281" i="4" s="1"/>
  <c r="H1277" i="1"/>
  <c r="H1276" i="5" s="1"/>
  <c r="X1276" i="5" s="1"/>
  <c r="G1282" i="1"/>
  <c r="U1271" i="1"/>
  <c r="U1270" i="5" s="1"/>
  <c r="X1271" i="1"/>
  <c r="Z1271" i="1" s="1"/>
  <c r="Z1211" i="2" s="1"/>
  <c r="J1261" i="1"/>
  <c r="J1260" i="5" s="1"/>
  <c r="X1261" i="1"/>
  <c r="J1253" i="1"/>
  <c r="J1252" i="5" s="1"/>
  <c r="X1253" i="1"/>
  <c r="U1250" i="1"/>
  <c r="U1249" i="5" s="1"/>
  <c r="V1250" i="1"/>
  <c r="V1249" i="5" s="1"/>
  <c r="E1239" i="4"/>
  <c r="W1240" i="1"/>
  <c r="J1230" i="1"/>
  <c r="J1229" i="5" s="1"/>
  <c r="X1230" i="1"/>
  <c r="M1230" i="1"/>
  <c r="M1229" i="5" s="1"/>
  <c r="V1230" i="1"/>
  <c r="V1219" i="1"/>
  <c r="V1218" i="5" s="1"/>
  <c r="U1219" i="1"/>
  <c r="U1218" i="5" s="1"/>
  <c r="X1062" i="2"/>
  <c r="Z1112" i="1"/>
  <c r="Z1062" i="2" s="1"/>
  <c r="M1082" i="1"/>
  <c r="M1081" i="5" s="1"/>
  <c r="X1082" i="1"/>
  <c r="V1029" i="1"/>
  <c r="V1028" i="5" s="1"/>
  <c r="U1029" i="1"/>
  <c r="V1000" i="1"/>
  <c r="V999" i="5" s="1"/>
  <c r="U1000" i="1"/>
  <c r="U999" i="5" s="1"/>
  <c r="H916" i="4"/>
  <c r="M916" i="1"/>
  <c r="M881" i="1"/>
  <c r="M881" i="5" s="1"/>
  <c r="J881" i="1"/>
  <c r="J881" i="5" s="1"/>
  <c r="V881" i="1"/>
  <c r="V881" i="5" s="1"/>
  <c r="X734" i="2"/>
  <c r="Z765" i="1"/>
  <c r="Z734" i="2" s="1"/>
  <c r="U747" i="1"/>
  <c r="U747" i="5" s="1"/>
  <c r="Q747" i="1"/>
  <c r="Q747" i="5" s="1"/>
  <c r="V747" i="1"/>
  <c r="X747" i="1"/>
  <c r="H622" i="4"/>
  <c r="M621" i="1"/>
  <c r="H403" i="4"/>
  <c r="M404" i="1"/>
  <c r="M403" i="5" s="1"/>
  <c r="X404" i="1"/>
  <c r="J404" i="1"/>
  <c r="J403" i="5" s="1"/>
  <c r="M28" i="1"/>
  <c r="V28" i="1"/>
  <c r="X2832" i="1"/>
  <c r="Z2832" i="1" s="1"/>
  <c r="Z1308" i="1"/>
  <c r="Z1244" i="2" s="1"/>
  <c r="AA1251" i="1"/>
  <c r="X2857" i="1"/>
  <c r="Z2857" i="1" s="1"/>
  <c r="S2926" i="1"/>
  <c r="X2856" i="1"/>
  <c r="Z2856" i="1" s="1"/>
  <c r="X2855" i="1"/>
  <c r="Z2855" i="1" s="1"/>
  <c r="X2850" i="1"/>
  <c r="Z2850" i="1" s="1"/>
  <c r="X2831" i="1"/>
  <c r="Z2831" i="1" s="1"/>
  <c r="X2829" i="1"/>
  <c r="Z2829" i="1" s="1"/>
  <c r="H2820" i="1"/>
  <c r="X2820" i="1" s="1"/>
  <c r="Z2820" i="1" s="1"/>
  <c r="H2812" i="1"/>
  <c r="X2809" i="1"/>
  <c r="Z2809" i="1" s="1"/>
  <c r="X2793" i="1"/>
  <c r="Z2793" i="1" s="1"/>
  <c r="AA2792" i="1"/>
  <c r="X2789" i="1"/>
  <c r="Z2789" i="1" s="1"/>
  <c r="X2787" i="1"/>
  <c r="Z2787" i="1" s="1"/>
  <c r="X2784" i="1"/>
  <c r="Z2784" i="1" s="1"/>
  <c r="I2760" i="1"/>
  <c r="I2926" i="1" s="1"/>
  <c r="X2756" i="1"/>
  <c r="Z2756" i="1" s="1"/>
  <c r="V2755" i="1"/>
  <c r="V2747" i="5" s="1"/>
  <c r="X2754" i="1"/>
  <c r="Z2754" i="1" s="1"/>
  <c r="V2753" i="1"/>
  <c r="H2740" i="1"/>
  <c r="H2732" i="5" s="1"/>
  <c r="X2732" i="5" s="1"/>
  <c r="K2760" i="1"/>
  <c r="K2926" i="1" s="1"/>
  <c r="V2734" i="1"/>
  <c r="H2732" i="1"/>
  <c r="H2724" i="5" s="1"/>
  <c r="X2724" i="5" s="1"/>
  <c r="V2728" i="1"/>
  <c r="P2736" i="1"/>
  <c r="X2716" i="1"/>
  <c r="Z2716" i="1" s="1"/>
  <c r="H2707" i="1"/>
  <c r="X2694" i="1"/>
  <c r="Z2694" i="1" s="1"/>
  <c r="Z2686" i="5" s="1"/>
  <c r="X2681" i="1"/>
  <c r="X2673" i="5" s="1"/>
  <c r="O2668" i="1"/>
  <c r="O2924" i="1" s="1"/>
  <c r="V2651" i="1"/>
  <c r="M2639" i="1"/>
  <c r="X2634" i="1"/>
  <c r="Z2634" i="1" s="1"/>
  <c r="V2632" i="1"/>
  <c r="V2624" i="5" s="1"/>
  <c r="V2628" i="1"/>
  <c r="V2620" i="1"/>
  <c r="Q2668" i="1"/>
  <c r="Q2924" i="1" s="1"/>
  <c r="X2601" i="1"/>
  <c r="X2593" i="5" s="1"/>
  <c r="V2600" i="1"/>
  <c r="X2594" i="1"/>
  <c r="V2591" i="1"/>
  <c r="V2583" i="5" s="1"/>
  <c r="M2589" i="1"/>
  <c r="M2581" i="5" s="1"/>
  <c r="U2582" i="1"/>
  <c r="M2581" i="1"/>
  <c r="M2573" i="5" s="1"/>
  <c r="V2571" i="1"/>
  <c r="X2570" i="1"/>
  <c r="Z2570" i="1" s="1"/>
  <c r="V2567" i="1"/>
  <c r="X2566" i="1"/>
  <c r="Z2566" i="1" s="1"/>
  <c r="U2552" i="1"/>
  <c r="M2551" i="1"/>
  <c r="M2543" i="5" s="1"/>
  <c r="Q2543" i="1"/>
  <c r="M2541" i="1"/>
  <c r="M2533" i="5" s="1"/>
  <c r="M2534" i="1"/>
  <c r="M2526" i="5" s="1"/>
  <c r="U2528" i="1"/>
  <c r="M2527" i="1"/>
  <c r="S2575" i="1"/>
  <c r="S2922" i="1" s="1"/>
  <c r="X2364" i="1"/>
  <c r="Z2364" i="1" s="1"/>
  <c r="X2216" i="1"/>
  <c r="Z2216" i="1" s="1"/>
  <c r="X2060" i="1"/>
  <c r="Z2060" i="1" s="1"/>
  <c r="AA1737" i="1"/>
  <c r="AA1734" i="5" s="1"/>
  <c r="AA1736" i="1"/>
  <c r="AA1733" i="5" s="1"/>
  <c r="AA1729" i="1"/>
  <c r="AA1726" i="5" s="1"/>
  <c r="AA1728" i="1"/>
  <c r="AA1717" i="1"/>
  <c r="AA1714" i="5" s="1"/>
  <c r="AA1716" i="1"/>
  <c r="AA1713" i="5" s="1"/>
  <c r="X1634" i="1"/>
  <c r="X1550" i="2" s="1"/>
  <c r="X1606" i="1"/>
  <c r="X1525" i="2" s="1"/>
  <c r="X1583" i="1"/>
  <c r="X1580" i="5" s="1"/>
  <c r="AA1493" i="1"/>
  <c r="AA1492" i="5" s="1"/>
  <c r="AA1491" i="1"/>
  <c r="AA1490" i="5" s="1"/>
  <c r="AA1448" i="1"/>
  <c r="V1420" i="1"/>
  <c r="V1419" i="5" s="1"/>
  <c r="V1381" i="1"/>
  <c r="V1380" i="5" s="1"/>
  <c r="V1360" i="1"/>
  <c r="V1359" i="5" s="1"/>
  <c r="AA1348" i="1"/>
  <c r="M1302" i="1"/>
  <c r="M1301" i="5" s="1"/>
  <c r="M1280" i="1"/>
  <c r="M1279" i="5" s="1"/>
  <c r="AA1276" i="1"/>
  <c r="X1251" i="1"/>
  <c r="AA1229" i="1"/>
  <c r="AA1228" i="5" s="1"/>
  <c r="V847" i="1"/>
  <c r="P2726" i="4"/>
  <c r="Q2728" i="4"/>
  <c r="R2658" i="4"/>
  <c r="J2329" i="1"/>
  <c r="H2323" i="4"/>
  <c r="U1204" i="1"/>
  <c r="V1204" i="1"/>
  <c r="V1203" i="5" s="1"/>
  <c r="Q1202" i="1"/>
  <c r="Q1201" i="5" s="1"/>
  <c r="U1202" i="1"/>
  <c r="U1201" i="5" s="1"/>
  <c r="V1178" i="1"/>
  <c r="X1178" i="1"/>
  <c r="E1167" i="1"/>
  <c r="U1139" i="1"/>
  <c r="V1139" i="1"/>
  <c r="V1138" i="5" s="1"/>
  <c r="P1126" i="4"/>
  <c r="U1127" i="1"/>
  <c r="P1061" i="4"/>
  <c r="U1062" i="1"/>
  <c r="V1062" i="1"/>
  <c r="V1061" i="5" s="1"/>
  <c r="M994" i="2"/>
  <c r="M1039" i="4"/>
  <c r="X964" i="2"/>
  <c r="Z1008" i="1"/>
  <c r="Z964" i="2" s="1"/>
  <c r="P972" i="1"/>
  <c r="N985" i="1"/>
  <c r="N987" i="1" s="1"/>
  <c r="V945" i="1"/>
  <c r="V945" i="5" s="1"/>
  <c r="V947" i="5" s="1"/>
  <c r="Q945" i="1"/>
  <c r="Q945" i="5" s="1"/>
  <c r="P947" i="1"/>
  <c r="U945" i="1"/>
  <c r="J918" i="1"/>
  <c r="J918" i="5" s="1"/>
  <c r="M918" i="1"/>
  <c r="M918" i="5" s="1"/>
  <c r="V901" i="1"/>
  <c r="V901" i="5" s="1"/>
  <c r="Q901" i="1"/>
  <c r="U901" i="1"/>
  <c r="U901" i="5" s="1"/>
  <c r="M884" i="1"/>
  <c r="M884" i="5" s="1"/>
  <c r="J884" i="1"/>
  <c r="J884" i="5" s="1"/>
  <c r="X884" i="1"/>
  <c r="X880" i="1"/>
  <c r="Q880" i="1"/>
  <c r="Q880" i="5" s="1"/>
  <c r="V870" i="1"/>
  <c r="V870" i="5" s="1"/>
  <c r="Q870" i="1"/>
  <c r="U870" i="1"/>
  <c r="U870" i="5" s="1"/>
  <c r="M835" i="1"/>
  <c r="M835" i="5" s="1"/>
  <c r="J835" i="1"/>
  <c r="J835" i="5" s="1"/>
  <c r="V831" i="1"/>
  <c r="Q831" i="1"/>
  <c r="Q831" i="5" s="1"/>
  <c r="U831" i="1"/>
  <c r="U831" i="5" s="1"/>
  <c r="V805" i="1"/>
  <c r="V805" i="5" s="1"/>
  <c r="Q805" i="1"/>
  <c r="U805" i="1"/>
  <c r="U805" i="5" s="1"/>
  <c r="H777" i="4"/>
  <c r="J777" i="1"/>
  <c r="M776" i="1"/>
  <c r="J776" i="1"/>
  <c r="J776" i="5" s="1"/>
  <c r="X776" i="1"/>
  <c r="X743" i="2"/>
  <c r="Z774" i="1"/>
  <c r="Z743" i="2" s="1"/>
  <c r="V763" i="1"/>
  <c r="V763" i="5" s="1"/>
  <c r="X763" i="1"/>
  <c r="X732" i="2" s="1"/>
  <c r="Q748" i="1"/>
  <c r="Q748" i="5" s="1"/>
  <c r="U748" i="1"/>
  <c r="X748" i="1"/>
  <c r="V723" i="1"/>
  <c r="V723" i="5" s="1"/>
  <c r="Q723" i="1"/>
  <c r="Q723" i="5" s="1"/>
  <c r="U723" i="1"/>
  <c r="U703" i="1"/>
  <c r="U703" i="5" s="1"/>
  <c r="V703" i="1"/>
  <c r="V703" i="5" s="1"/>
  <c r="X703" i="1"/>
  <c r="X672" i="1"/>
  <c r="X644" i="2" s="1"/>
  <c r="M672" i="1"/>
  <c r="J672" i="1"/>
  <c r="J672" i="5" s="1"/>
  <c r="V666" i="1"/>
  <c r="V666" i="5" s="1"/>
  <c r="U666" i="1"/>
  <c r="X654" i="1"/>
  <c r="M654" i="1"/>
  <c r="M654" i="5" s="1"/>
  <c r="J654" i="1"/>
  <c r="J654" i="5" s="1"/>
  <c r="X571" i="2"/>
  <c r="Z594" i="1"/>
  <c r="Z571" i="2" s="1"/>
  <c r="M555" i="1"/>
  <c r="M554" i="5" s="1"/>
  <c r="X555" i="1"/>
  <c r="H378" i="2"/>
  <c r="H396" i="4"/>
  <c r="M397" i="1"/>
  <c r="M396" i="5" s="1"/>
  <c r="X397" i="1"/>
  <c r="X378" i="2" s="1"/>
  <c r="H373" i="2"/>
  <c r="H389" i="4"/>
  <c r="M390" i="1"/>
  <c r="M389" i="5" s="1"/>
  <c r="J390" i="1"/>
  <c r="J389" i="5" s="1"/>
  <c r="X390" i="1"/>
  <c r="M387" i="1"/>
  <c r="M386" i="5" s="1"/>
  <c r="J387" i="1"/>
  <c r="J386" i="5" s="1"/>
  <c r="P354" i="4"/>
  <c r="X354" i="4" s="1"/>
  <c r="Z354" i="4" s="1"/>
  <c r="X355" i="1"/>
  <c r="Z355" i="1" s="1"/>
  <c r="U355" i="1"/>
  <c r="M350" i="1"/>
  <c r="M349" i="5" s="1"/>
  <c r="J350" i="1"/>
  <c r="J349" i="5" s="1"/>
  <c r="H332" i="2"/>
  <c r="H345" i="4"/>
  <c r="M346" i="1"/>
  <c r="M345" i="5" s="1"/>
  <c r="P295" i="2"/>
  <c r="P308" i="4"/>
  <c r="U309" i="1"/>
  <c r="U308" i="5" s="1"/>
  <c r="H286" i="2"/>
  <c r="H298" i="4"/>
  <c r="M299" i="1"/>
  <c r="M298" i="5" s="1"/>
  <c r="J299" i="1"/>
  <c r="J298" i="5" s="1"/>
  <c r="X196" i="2"/>
  <c r="Z205" i="1"/>
  <c r="Z196" i="2" s="1"/>
  <c r="M199" i="1"/>
  <c r="I199" i="1"/>
  <c r="X199" i="1"/>
  <c r="V147" i="1"/>
  <c r="U147" i="1"/>
  <c r="M57" i="1"/>
  <c r="V57" i="1"/>
  <c r="X2254" i="1"/>
  <c r="Z2254" i="1" s="1"/>
  <c r="X2252" i="1"/>
  <c r="Z2252" i="1" s="1"/>
  <c r="X2250" i="1"/>
  <c r="Z2250" i="1" s="1"/>
  <c r="T2298" i="1"/>
  <c r="T2918" i="1" s="1"/>
  <c r="Q2085" i="1"/>
  <c r="Q2916" i="1" s="1"/>
  <c r="M2054" i="1"/>
  <c r="U2049" i="1"/>
  <c r="M2046" i="1"/>
  <c r="M2042" i="5" s="1"/>
  <c r="U2034" i="1"/>
  <c r="V2030" i="1"/>
  <c r="M2028" i="1"/>
  <c r="M2024" i="5" s="1"/>
  <c r="X2021" i="1"/>
  <c r="Z2021" i="1" s="1"/>
  <c r="U2020" i="1"/>
  <c r="M2019" i="1"/>
  <c r="M2015" i="5" s="1"/>
  <c r="H2013" i="1"/>
  <c r="H2009" i="5" s="1"/>
  <c r="X2009" i="5" s="1"/>
  <c r="M2012" i="1"/>
  <c r="U2002" i="1"/>
  <c r="M2001" i="1"/>
  <c r="U1998" i="1"/>
  <c r="M1997" i="1"/>
  <c r="M1993" i="5" s="1"/>
  <c r="U1994" i="1"/>
  <c r="U1990" i="5" s="1"/>
  <c r="F1971" i="1"/>
  <c r="H1969" i="1"/>
  <c r="H1965" i="5" s="1"/>
  <c r="X1965" i="5" s="1"/>
  <c r="Q1968" i="1"/>
  <c r="Q1966" i="1"/>
  <c r="Q1964" i="1"/>
  <c r="Q1962" i="1"/>
  <c r="Q1960" i="1"/>
  <c r="M1953" i="1"/>
  <c r="M1949" i="5" s="1"/>
  <c r="M1951" i="1"/>
  <c r="U1949" i="1"/>
  <c r="J1946" i="1"/>
  <c r="X1938" i="1"/>
  <c r="Z1938" i="1" s="1"/>
  <c r="X1919" i="1"/>
  <c r="Z1919" i="1" s="1"/>
  <c r="H1910" i="1"/>
  <c r="H1906" i="5" s="1"/>
  <c r="X1906" i="5" s="1"/>
  <c r="U1907" i="1"/>
  <c r="P1847" i="1"/>
  <c r="Q1831" i="1"/>
  <c r="Q1827" i="5" s="1"/>
  <c r="Q1819" i="1"/>
  <c r="Q1815" i="5" s="1"/>
  <c r="J1817" i="1"/>
  <c r="J1813" i="5" s="1"/>
  <c r="Y1742" i="1"/>
  <c r="X1693" i="1"/>
  <c r="X1685" i="1"/>
  <c r="V1516" i="1"/>
  <c r="V1515" i="5" s="1"/>
  <c r="V1504" i="1"/>
  <c r="Q1476" i="1"/>
  <c r="Q1475" i="5" s="1"/>
  <c r="U1467" i="1"/>
  <c r="V1463" i="1"/>
  <c r="V1462" i="5" s="1"/>
  <c r="U1460" i="1"/>
  <c r="X1459" i="4"/>
  <c r="Z1459" i="4" s="1"/>
  <c r="Z1453" i="1"/>
  <c r="Z1381" i="2" s="1"/>
  <c r="Q1453" i="1"/>
  <c r="Q1452" i="5" s="1"/>
  <c r="Q1451" i="1"/>
  <c r="V1449" i="1"/>
  <c r="V1448" i="5" s="1"/>
  <c r="J1448" i="1"/>
  <c r="J1447" i="5" s="1"/>
  <c r="X1431" i="1"/>
  <c r="Z1430" i="1"/>
  <c r="Z1358" i="2" s="1"/>
  <c r="Q1430" i="1"/>
  <c r="Q1429" i="5" s="1"/>
  <c r="V1426" i="1"/>
  <c r="V1425" i="5" s="1"/>
  <c r="J1425" i="1"/>
  <c r="J1424" i="5" s="1"/>
  <c r="Q1422" i="1"/>
  <c r="J1421" i="1"/>
  <c r="J1420" i="5" s="1"/>
  <c r="U1408" i="1"/>
  <c r="U1407" i="5" s="1"/>
  <c r="U1400" i="1"/>
  <c r="Q1394" i="1"/>
  <c r="J1387" i="1"/>
  <c r="J1386" i="5" s="1"/>
  <c r="Z1383" i="1"/>
  <c r="Z1313" i="2" s="1"/>
  <c r="Q1383" i="1"/>
  <c r="Q1382" i="5" s="1"/>
  <c r="J1382" i="1"/>
  <c r="J1374" i="1"/>
  <c r="J1373" i="5" s="1"/>
  <c r="J1365" i="1"/>
  <c r="J1357" i="1"/>
  <c r="J1356" i="5" s="1"/>
  <c r="Z1347" i="1"/>
  <c r="Z1281" i="2" s="1"/>
  <c r="Q1347" i="1"/>
  <c r="Q1346" i="5" s="1"/>
  <c r="J1337" i="1"/>
  <c r="J1336" i="5" s="1"/>
  <c r="J1336" i="1"/>
  <c r="J1335" i="5" s="1"/>
  <c r="M1333" i="1"/>
  <c r="J1330" i="1"/>
  <c r="J1329" i="5" s="1"/>
  <c r="V1326" i="1"/>
  <c r="V1325" i="5" s="1"/>
  <c r="J1325" i="1"/>
  <c r="J1324" i="5" s="1"/>
  <c r="Q1315" i="1"/>
  <c r="Z1314" i="1"/>
  <c r="Z1250" i="2" s="1"/>
  <c r="Q1314" i="1"/>
  <c r="Q1313" i="5" s="1"/>
  <c r="Z1304" i="1"/>
  <c r="Z1240" i="2" s="1"/>
  <c r="Q1304" i="1"/>
  <c r="U1302" i="1"/>
  <c r="U1301" i="5" s="1"/>
  <c r="X1287" i="1"/>
  <c r="Z1286" i="1"/>
  <c r="Z1222" i="2" s="1"/>
  <c r="Q1286" i="1"/>
  <c r="U1280" i="1"/>
  <c r="U1279" i="5" s="1"/>
  <c r="U1278" i="1"/>
  <c r="Q1274" i="1"/>
  <c r="X1273" i="1"/>
  <c r="Q1272" i="1"/>
  <c r="Q1271" i="5" s="1"/>
  <c r="J1270" i="1"/>
  <c r="J1269" i="5" s="1"/>
  <c r="J1269" i="1"/>
  <c r="J1268" i="5" s="1"/>
  <c r="Q1256" i="1"/>
  <c r="V1253" i="1"/>
  <c r="V1252" i="5" s="1"/>
  <c r="J1251" i="1"/>
  <c r="J1250" i="5" s="1"/>
  <c r="J1248" i="1"/>
  <c r="J1247" i="5" s="1"/>
  <c r="U1239" i="1"/>
  <c r="J1231" i="1"/>
  <c r="J1230" i="5" s="1"/>
  <c r="Z1229" i="1"/>
  <c r="Z1228" i="5" s="1"/>
  <c r="Q1229" i="1"/>
  <c r="Q1228" i="5" s="1"/>
  <c r="J1228" i="1"/>
  <c r="V1223" i="1"/>
  <c r="Q1207" i="1"/>
  <c r="Q1206" i="5" s="1"/>
  <c r="V1135" i="1"/>
  <c r="V1134" i="5" s="1"/>
  <c r="X1124" i="1"/>
  <c r="U1118" i="1"/>
  <c r="U1117" i="5" s="1"/>
  <c r="H1100" i="1"/>
  <c r="H1099" i="5" s="1"/>
  <c r="X1099" i="5" s="1"/>
  <c r="Z1099" i="5" s="1"/>
  <c r="M1099" i="1"/>
  <c r="M1020" i="1"/>
  <c r="M1019" i="5" s="1"/>
  <c r="U1009" i="1"/>
  <c r="U1008" i="5" s="1"/>
  <c r="U889" i="1"/>
  <c r="Z797" i="1"/>
  <c r="Z764" i="2" s="1"/>
  <c r="M794" i="1"/>
  <c r="M794" i="5" s="1"/>
  <c r="X778" i="1"/>
  <c r="X745" i="2" s="1"/>
  <c r="AA770" i="1"/>
  <c r="M754" i="1"/>
  <c r="J739" i="1"/>
  <c r="J739" i="5" s="1"/>
  <c r="U729" i="1"/>
  <c r="U729" i="5" s="1"/>
  <c r="V722" i="1"/>
  <c r="U698" i="1"/>
  <c r="U698" i="5" s="1"/>
  <c r="V505" i="1"/>
  <c r="J325" i="1"/>
  <c r="J324" i="5" s="1"/>
  <c r="O237" i="1"/>
  <c r="O2900" i="1" s="1"/>
  <c r="K2499" i="4"/>
  <c r="S2499" i="4"/>
  <c r="V2262" i="4"/>
  <c r="O2262" i="4"/>
  <c r="Q2281" i="1"/>
  <c r="E2277" i="4"/>
  <c r="P1505" i="2"/>
  <c r="P1581" i="4"/>
  <c r="P1323" i="2"/>
  <c r="P1392" i="4"/>
  <c r="Q1220" i="1"/>
  <c r="U1220" i="1"/>
  <c r="U1219" i="5" s="1"/>
  <c r="J1211" i="1"/>
  <c r="J1210" i="5" s="1"/>
  <c r="M1211" i="1"/>
  <c r="M1210" i="5" s="1"/>
  <c r="H1163" i="1"/>
  <c r="F1167" i="1"/>
  <c r="U1160" i="1"/>
  <c r="V1160" i="1"/>
  <c r="U1151" i="1"/>
  <c r="X1151" i="1"/>
  <c r="X1100" i="2" s="1"/>
  <c r="U1105" i="1"/>
  <c r="U1104" i="5" s="1"/>
  <c r="V1105" i="1"/>
  <c r="M1102" i="1"/>
  <c r="X1102" i="1"/>
  <c r="U1076" i="1"/>
  <c r="U1075" i="5" s="1"/>
  <c r="V1076" i="1"/>
  <c r="V1075" i="5" s="1"/>
  <c r="U1060" i="1"/>
  <c r="V1060" i="1"/>
  <c r="V1059" i="5" s="1"/>
  <c r="V1043" i="1"/>
  <c r="U1043" i="1"/>
  <c r="U1038" i="1"/>
  <c r="X1038" i="1"/>
  <c r="X985" i="2"/>
  <c r="Z1031" i="1"/>
  <c r="Z985" i="2" s="1"/>
  <c r="O959" i="1"/>
  <c r="AA959" i="1"/>
  <c r="AA959" i="5" s="1"/>
  <c r="X953" i="1"/>
  <c r="Q953" i="1"/>
  <c r="Q953" i="5" s="1"/>
  <c r="X901" i="2"/>
  <c r="Z944" i="1"/>
  <c r="V937" i="1"/>
  <c r="V937" i="5" s="1"/>
  <c r="Q937" i="1"/>
  <c r="Q937" i="5" s="1"/>
  <c r="U937" i="1"/>
  <c r="U920" i="1"/>
  <c r="U920" i="5" s="1"/>
  <c r="Q920" i="1"/>
  <c r="Q920" i="5" s="1"/>
  <c r="X920" i="1"/>
  <c r="M917" i="1"/>
  <c r="J917" i="1"/>
  <c r="J917" i="5" s="1"/>
  <c r="U910" i="1"/>
  <c r="U910" i="5" s="1"/>
  <c r="Q910" i="1"/>
  <c r="Q910" i="5" s="1"/>
  <c r="X910" i="1"/>
  <c r="U902" i="1"/>
  <c r="U902" i="5" s="1"/>
  <c r="X902" i="1"/>
  <c r="Q891" i="1"/>
  <c r="Q891" i="5" s="1"/>
  <c r="U891" i="1"/>
  <c r="Q883" i="1"/>
  <c r="Q883" i="5" s="1"/>
  <c r="V883" i="1"/>
  <c r="V883" i="5" s="1"/>
  <c r="X883" i="1"/>
  <c r="J860" i="1"/>
  <c r="M860" i="1"/>
  <c r="M860" i="5" s="1"/>
  <c r="H853" i="1"/>
  <c r="H853" i="5" s="1"/>
  <c r="X853" i="5" s="1"/>
  <c r="Z853" i="5" s="1"/>
  <c r="F872" i="1"/>
  <c r="U832" i="1"/>
  <c r="V832" i="1"/>
  <c r="V832" i="5" s="1"/>
  <c r="X832" i="1"/>
  <c r="J814" i="1"/>
  <c r="J814" i="5" s="1"/>
  <c r="X814" i="1"/>
  <c r="U806" i="1"/>
  <c r="U806" i="5" s="1"/>
  <c r="V806" i="1"/>
  <c r="V806" i="5" s="1"/>
  <c r="X806" i="1"/>
  <c r="U773" i="1"/>
  <c r="X773" i="1"/>
  <c r="Q766" i="1"/>
  <c r="Q766" i="5" s="1"/>
  <c r="U766" i="1"/>
  <c r="V766" i="1"/>
  <c r="M752" i="1"/>
  <c r="M752" i="5" s="1"/>
  <c r="J752" i="1"/>
  <c r="J752" i="5" s="1"/>
  <c r="X709" i="2"/>
  <c r="Z740" i="1"/>
  <c r="Z709" i="2" s="1"/>
  <c r="V739" i="1"/>
  <c r="V739" i="5" s="1"/>
  <c r="Q739" i="1"/>
  <c r="Q739" i="5" s="1"/>
  <c r="U739" i="1"/>
  <c r="U739" i="5" s="1"/>
  <c r="M725" i="1"/>
  <c r="X725" i="1"/>
  <c r="X695" i="2" s="1"/>
  <c r="J725" i="1"/>
  <c r="J725" i="5" s="1"/>
  <c r="X722" i="1"/>
  <c r="X692" i="2" s="1"/>
  <c r="M722" i="1"/>
  <c r="J707" i="1"/>
  <c r="J707" i="5" s="1"/>
  <c r="X707" i="1"/>
  <c r="M698" i="1"/>
  <c r="X698" i="1"/>
  <c r="J698" i="1"/>
  <c r="J698" i="5" s="1"/>
  <c r="P683" i="4"/>
  <c r="X683" i="4" s="1"/>
  <c r="Z683" i="4" s="1"/>
  <c r="X683" i="1"/>
  <c r="Z683" i="1" s="1"/>
  <c r="U683" i="1"/>
  <c r="X667" i="1"/>
  <c r="M667" i="1"/>
  <c r="M667" i="5" s="1"/>
  <c r="J667" i="1"/>
  <c r="J667" i="5" s="1"/>
  <c r="V654" i="1"/>
  <c r="U654" i="1"/>
  <c r="U654" i="5" s="1"/>
  <c r="X652" i="1"/>
  <c r="M652" i="1"/>
  <c r="M652" i="5" s="1"/>
  <c r="X580" i="1"/>
  <c r="X560" i="2" s="1"/>
  <c r="U580" i="1"/>
  <c r="U581" i="5" s="1"/>
  <c r="H552" i="4"/>
  <c r="V553" i="1"/>
  <c r="V552" i="5" s="1"/>
  <c r="V508" i="1"/>
  <c r="U508" i="1"/>
  <c r="U507" i="5" s="1"/>
  <c r="V428" i="1"/>
  <c r="V427" i="5" s="1"/>
  <c r="U428" i="1"/>
  <c r="U427" i="5" s="1"/>
  <c r="X388" i="2"/>
  <c r="Z407" i="1"/>
  <c r="Z406" i="5" s="1"/>
  <c r="X405" i="1"/>
  <c r="U405" i="1"/>
  <c r="U404" i="5" s="1"/>
  <c r="X383" i="1"/>
  <c r="Z383" i="1" s="1"/>
  <c r="Z366" i="2" s="1"/>
  <c r="U383" i="1"/>
  <c r="U382" i="5" s="1"/>
  <c r="M248" i="1"/>
  <c r="J248" i="1"/>
  <c r="J247" i="5" s="1"/>
  <c r="X248" i="1"/>
  <c r="H192" i="4"/>
  <c r="I192" i="1"/>
  <c r="P160" i="4"/>
  <c r="U160" i="1"/>
  <c r="F166" i="1"/>
  <c r="H157" i="1"/>
  <c r="X155" i="1"/>
  <c r="U155" i="1"/>
  <c r="M17" i="1"/>
  <c r="M17" i="5" s="1"/>
  <c r="X17" i="1"/>
  <c r="X17" i="5" s="1"/>
  <c r="H2489" i="2"/>
  <c r="M2473" i="2"/>
  <c r="V2461" i="2"/>
  <c r="X2461" i="2"/>
  <c r="Z2461" i="2" s="1"/>
  <c r="M2461" i="2"/>
  <c r="X2459" i="2"/>
  <c r="Z2459" i="2" s="1"/>
  <c r="M2459" i="2"/>
  <c r="X2456" i="2"/>
  <c r="Z2456" i="2" s="1"/>
  <c r="M2456" i="2"/>
  <c r="N2400" i="2"/>
  <c r="N2430" i="2" s="1"/>
  <c r="N2746" i="2" s="1"/>
  <c r="P2390" i="2"/>
  <c r="V2325" i="2"/>
  <c r="W2325" i="2" s="1"/>
  <c r="U2325" i="2"/>
  <c r="U2145" i="2"/>
  <c r="X2145" i="2"/>
  <c r="Z2145" i="2" s="1"/>
  <c r="Q2145" i="2"/>
  <c r="Q2135" i="2"/>
  <c r="U2135" i="2"/>
  <c r="M2546" i="1"/>
  <c r="M2538" i="5" s="1"/>
  <c r="V2530" i="1"/>
  <c r="V2522" i="5" s="1"/>
  <c r="O2575" i="1"/>
  <c r="O2922" i="1" s="1"/>
  <c r="J2575" i="1"/>
  <c r="J2922" i="1" s="1"/>
  <c r="V2517" i="1"/>
  <c r="V2509" i="5" s="1"/>
  <c r="V2514" i="1"/>
  <c r="V2506" i="5" s="1"/>
  <c r="V2512" i="1"/>
  <c r="V2504" i="5" s="1"/>
  <c r="V2510" i="1"/>
  <c r="V2504" i="1"/>
  <c r="V2496" i="5" s="1"/>
  <c r="V2502" i="1"/>
  <c r="V2494" i="5" s="1"/>
  <c r="V2500" i="1"/>
  <c r="V2492" i="5" s="1"/>
  <c r="F2496" i="1"/>
  <c r="H2486" i="1"/>
  <c r="V2485" i="1"/>
  <c r="V2477" i="5" s="1"/>
  <c r="U2483" i="1"/>
  <c r="M2482" i="1"/>
  <c r="I2575" i="1"/>
  <c r="U2475" i="1"/>
  <c r="M2474" i="1"/>
  <c r="M2466" i="5" s="1"/>
  <c r="U2469" i="1"/>
  <c r="M2468" i="1"/>
  <c r="M2460" i="5" s="1"/>
  <c r="V2463" i="1"/>
  <c r="V2455" i="5" s="1"/>
  <c r="U2461" i="1"/>
  <c r="M2448" i="1"/>
  <c r="U2444" i="1"/>
  <c r="X2442" i="1"/>
  <c r="Z2442" i="1" s="1"/>
  <c r="J2442" i="1"/>
  <c r="M2440" i="1"/>
  <c r="U2432" i="1"/>
  <c r="X2425" i="4"/>
  <c r="Z2425" i="4" s="1"/>
  <c r="M2428" i="1"/>
  <c r="M2422" i="5" s="1"/>
  <c r="U2427" i="1"/>
  <c r="U2425" i="1"/>
  <c r="U2423" i="1"/>
  <c r="U2421" i="1"/>
  <c r="M2405" i="1"/>
  <c r="M2399" i="5" s="1"/>
  <c r="Q2402" i="1"/>
  <c r="U2400" i="1"/>
  <c r="M2396" i="1"/>
  <c r="M2390" i="5" s="1"/>
  <c r="X2395" i="1"/>
  <c r="Z2395" i="1" s="1"/>
  <c r="J2395" i="1"/>
  <c r="Q2394" i="1"/>
  <c r="M2393" i="1"/>
  <c r="M2387" i="5" s="1"/>
  <c r="M2385" i="1"/>
  <c r="M2383" i="1"/>
  <c r="M2377" i="5" s="1"/>
  <c r="M2381" i="1"/>
  <c r="M2375" i="5" s="1"/>
  <c r="U2380" i="1"/>
  <c r="U2377" i="1"/>
  <c r="X2376" i="1"/>
  <c r="Z2376" i="1" s="1"/>
  <c r="X2375" i="1"/>
  <c r="Z2375" i="1" s="1"/>
  <c r="J2375" i="1"/>
  <c r="F2372" i="1"/>
  <c r="Q2362" i="1"/>
  <c r="Q2360" i="1"/>
  <c r="U2358" i="1"/>
  <c r="U2356" i="1"/>
  <c r="U2353" i="1"/>
  <c r="U2350" i="1"/>
  <c r="U2344" i="5" s="1"/>
  <c r="U2344" i="1"/>
  <c r="H2337" i="1"/>
  <c r="Q2333" i="1"/>
  <c r="M2332" i="1"/>
  <c r="M2326" i="5" s="1"/>
  <c r="M2329" i="1"/>
  <c r="M2323" i="5" s="1"/>
  <c r="U2315" i="1"/>
  <c r="U2313" i="1"/>
  <c r="U2312" i="1"/>
  <c r="X2311" i="1"/>
  <c r="X2305" i="5" s="1"/>
  <c r="J2311" i="1"/>
  <c r="X2308" i="1"/>
  <c r="X2302" i="5" s="1"/>
  <c r="J2308" i="1"/>
  <c r="H2294" i="1"/>
  <c r="H2290" i="5" s="1"/>
  <c r="X2290" i="5" s="1"/>
  <c r="Q2293" i="1"/>
  <c r="M2291" i="1"/>
  <c r="H2290" i="1"/>
  <c r="H2286" i="5" s="1"/>
  <c r="X2286" i="5" s="1"/>
  <c r="Z2286" i="5" s="1"/>
  <c r="M2279" i="1"/>
  <c r="M2275" i="5" s="1"/>
  <c r="U2277" i="1"/>
  <c r="U2271" i="1"/>
  <c r="M2262" i="1"/>
  <c r="M2258" i="5" s="1"/>
  <c r="H2261" i="1"/>
  <c r="H2257" i="5" s="1"/>
  <c r="X2257" i="5" s="1"/>
  <c r="H2260" i="1"/>
  <c r="U2253" i="1"/>
  <c r="U2251" i="1"/>
  <c r="K2247" i="1"/>
  <c r="Q2243" i="1"/>
  <c r="U2239" i="1"/>
  <c r="U2233" i="1"/>
  <c r="M2231" i="1"/>
  <c r="M2227" i="5" s="1"/>
  <c r="H2230" i="1"/>
  <c r="M2227" i="1"/>
  <c r="M2223" i="5" s="1"/>
  <c r="AA2226" i="1"/>
  <c r="AA2222" i="5" s="1"/>
  <c r="M2214" i="1"/>
  <c r="M2210" i="5" s="1"/>
  <c r="U2213" i="1"/>
  <c r="H2213" i="1"/>
  <c r="Q2212" i="1"/>
  <c r="X2209" i="1"/>
  <c r="Z2209" i="1" s="1"/>
  <c r="J2209" i="1"/>
  <c r="Q2208" i="1"/>
  <c r="M2207" i="1"/>
  <c r="M2203" i="5" s="1"/>
  <c r="U2206" i="1"/>
  <c r="X2202" i="1"/>
  <c r="Z2202" i="1" s="1"/>
  <c r="J2202" i="1"/>
  <c r="Q2196" i="1"/>
  <c r="Q2192" i="1"/>
  <c r="M2189" i="1"/>
  <c r="M2187" i="1"/>
  <c r="M2183" i="5" s="1"/>
  <c r="M2185" i="1"/>
  <c r="M2181" i="5" s="1"/>
  <c r="M2183" i="1"/>
  <c r="M2179" i="5" s="1"/>
  <c r="U2182" i="1"/>
  <c r="X2180" i="1"/>
  <c r="J2180" i="1"/>
  <c r="J2176" i="5" s="1"/>
  <c r="W2298" i="1"/>
  <c r="W2918" i="1" s="1"/>
  <c r="X2165" i="1"/>
  <c r="Z2165" i="1" s="1"/>
  <c r="M2161" i="1"/>
  <c r="M2157" i="5" s="1"/>
  <c r="U2158" i="1"/>
  <c r="M2154" i="1"/>
  <c r="M2150" i="5" s="1"/>
  <c r="U2153" i="1"/>
  <c r="U2149" i="1"/>
  <c r="M2145" i="1"/>
  <c r="M2141" i="5" s="1"/>
  <c r="U2138" i="1"/>
  <c r="U2137" i="1"/>
  <c r="Q2133" i="1"/>
  <c r="U2131" i="1"/>
  <c r="U2120" i="1"/>
  <c r="F2116" i="1"/>
  <c r="U2112" i="1"/>
  <c r="M2107" i="1"/>
  <c r="M2103" i="5" s="1"/>
  <c r="U2106" i="1"/>
  <c r="Z2105" i="1"/>
  <c r="M2103" i="1"/>
  <c r="M2099" i="5" s="1"/>
  <c r="M2100" i="1"/>
  <c r="M2096" i="5" s="1"/>
  <c r="M2098" i="1"/>
  <c r="M2094" i="5" s="1"/>
  <c r="U2097" i="1"/>
  <c r="X2095" i="1"/>
  <c r="X2091" i="5" s="1"/>
  <c r="J2095" i="1"/>
  <c r="Q2094" i="1"/>
  <c r="Q2092" i="1"/>
  <c r="X2090" i="1"/>
  <c r="I2085" i="1"/>
  <c r="I2916" i="1" s="1"/>
  <c r="V2078" i="1"/>
  <c r="V2076" i="1"/>
  <c r="V2074" i="1"/>
  <c r="V2072" i="1"/>
  <c r="V2070" i="1"/>
  <c r="V2066" i="5" s="1"/>
  <c r="V2068" i="1"/>
  <c r="H2057" i="1"/>
  <c r="H2053" i="5" s="1"/>
  <c r="X2053" i="5" s="1"/>
  <c r="U2055" i="1"/>
  <c r="M2052" i="1"/>
  <c r="M2048" i="5" s="1"/>
  <c r="U2047" i="1"/>
  <c r="I2825" i="1"/>
  <c r="U2032" i="1"/>
  <c r="U2027" i="1"/>
  <c r="M2026" i="1"/>
  <c r="V2020" i="1"/>
  <c r="V2016" i="5" s="1"/>
  <c r="U2007" i="1"/>
  <c r="M2006" i="1"/>
  <c r="M2002" i="5" s="1"/>
  <c r="H2005" i="1"/>
  <c r="U1968" i="1"/>
  <c r="U1966" i="1"/>
  <c r="U1964" i="1"/>
  <c r="U1962" i="1"/>
  <c r="U1960" i="1"/>
  <c r="X1953" i="1"/>
  <c r="Z1953" i="1" s="1"/>
  <c r="Q1952" i="1"/>
  <c r="X1951" i="1"/>
  <c r="Z1951" i="1" s="1"/>
  <c r="M1946" i="1"/>
  <c r="M1942" i="5" s="1"/>
  <c r="U1942" i="1"/>
  <c r="X1941" i="1"/>
  <c r="Z1941" i="1" s="1"/>
  <c r="J1941" i="1"/>
  <c r="U1937" i="1"/>
  <c r="X1936" i="1"/>
  <c r="Z1936" i="1" s="1"/>
  <c r="X1935" i="1"/>
  <c r="Z1935" i="1" s="1"/>
  <c r="J1935" i="1"/>
  <c r="M1932" i="1"/>
  <c r="M1928" i="5" s="1"/>
  <c r="H1929" i="1"/>
  <c r="H1925" i="5" s="1"/>
  <c r="X1925" i="5" s="1"/>
  <c r="Z1925" i="5" s="1"/>
  <c r="U1924" i="1"/>
  <c r="X1923" i="1"/>
  <c r="Z1923" i="1" s="1"/>
  <c r="Q1922" i="1"/>
  <c r="U1918" i="1"/>
  <c r="M1916" i="1"/>
  <c r="M1912" i="5" s="1"/>
  <c r="M1906" i="1"/>
  <c r="X1892" i="1"/>
  <c r="Z1892" i="1" s="1"/>
  <c r="Z1874" i="1"/>
  <c r="Z1774" i="2" s="1"/>
  <c r="Q1873" i="1"/>
  <c r="Q1869" i="5" s="1"/>
  <c r="Q1899" i="5" s="1"/>
  <c r="M1866" i="1"/>
  <c r="Q1859" i="1"/>
  <c r="Q1855" i="5" s="1"/>
  <c r="Q1844" i="1"/>
  <c r="Q1840" i="5" s="1"/>
  <c r="M1841" i="1"/>
  <c r="M1837" i="5" s="1"/>
  <c r="X1838" i="1"/>
  <c r="X1742" i="2" s="1"/>
  <c r="X1837" i="1"/>
  <c r="X1803" i="1"/>
  <c r="Q1799" i="1"/>
  <c r="Q1795" i="5" s="1"/>
  <c r="Q1793" i="1"/>
  <c r="X1768" i="1"/>
  <c r="Q1766" i="1"/>
  <c r="Q1762" i="5" s="1"/>
  <c r="N1973" i="1"/>
  <c r="N2914" i="1" s="1"/>
  <c r="X1756" i="1"/>
  <c r="X1755" i="1"/>
  <c r="X1751" i="5" s="1"/>
  <c r="X1754" i="1"/>
  <c r="X1750" i="5" s="1"/>
  <c r="Q1752" i="1"/>
  <c r="Q1748" i="5" s="1"/>
  <c r="I1742" i="1"/>
  <c r="I2912" i="1" s="1"/>
  <c r="X1738" i="1"/>
  <c r="V1731" i="1"/>
  <c r="V1728" i="5" s="1"/>
  <c r="T1742" i="1"/>
  <c r="T2912" i="1" s="1"/>
  <c r="O1742" i="1"/>
  <c r="O2912" i="1" s="1"/>
  <c r="P1676" i="1"/>
  <c r="P1673" i="5" s="1"/>
  <c r="X1674" i="1"/>
  <c r="Z1674" i="1" s="1"/>
  <c r="V1671" i="1"/>
  <c r="V1668" i="5" s="1"/>
  <c r="V1649" i="1"/>
  <c r="M1639" i="1"/>
  <c r="M1634" i="1"/>
  <c r="M1631" i="5" s="1"/>
  <c r="F1621" i="1"/>
  <c r="M1618" i="1"/>
  <c r="U1617" i="1"/>
  <c r="M1609" i="1"/>
  <c r="M1606" i="5" s="1"/>
  <c r="M1606" i="1"/>
  <c r="M1603" i="5" s="1"/>
  <c r="M1604" i="1"/>
  <c r="V1601" i="1"/>
  <c r="V1598" i="5" s="1"/>
  <c r="M1599" i="1"/>
  <c r="M1596" i="5" s="1"/>
  <c r="M1591" i="1"/>
  <c r="M1588" i="5" s="1"/>
  <c r="M1583" i="1"/>
  <c r="M1575" i="1"/>
  <c r="M1572" i="5" s="1"/>
  <c r="M1569" i="1"/>
  <c r="M1566" i="5" s="1"/>
  <c r="M1561" i="1"/>
  <c r="M1558" i="5" s="1"/>
  <c r="U1531" i="1"/>
  <c r="V1528" i="1"/>
  <c r="V1527" i="5" s="1"/>
  <c r="X1519" i="1"/>
  <c r="Q1516" i="1"/>
  <c r="Q1515" i="5" s="1"/>
  <c r="Z1507" i="1"/>
  <c r="Z1429" i="2" s="1"/>
  <c r="V1507" i="1"/>
  <c r="V1506" i="5" s="1"/>
  <c r="Q1504" i="1"/>
  <c r="Q1503" i="5" s="1"/>
  <c r="Q1541" i="5" s="1"/>
  <c r="Z1496" i="1"/>
  <c r="Z1418" i="2" s="1"/>
  <c r="Q1496" i="1"/>
  <c r="Z1494" i="1"/>
  <c r="Z1416" i="2" s="1"/>
  <c r="Q1494" i="1"/>
  <c r="Q1493" i="5" s="1"/>
  <c r="Q1492" i="1"/>
  <c r="Z1490" i="1"/>
  <c r="Z1413" i="2" s="1"/>
  <c r="Q1490" i="1"/>
  <c r="Q1489" i="5" s="1"/>
  <c r="Z1481" i="1"/>
  <c r="Z1404" i="2" s="1"/>
  <c r="X1477" i="1"/>
  <c r="X1400" i="2" s="1"/>
  <c r="U1476" i="1"/>
  <c r="J1476" i="1"/>
  <c r="J1475" i="5" s="1"/>
  <c r="Z1470" i="1"/>
  <c r="Z1393" i="2" s="1"/>
  <c r="Q1463" i="1"/>
  <c r="Q1462" i="5" s="1"/>
  <c r="V1460" i="1"/>
  <c r="J1460" i="1"/>
  <c r="X1455" i="1"/>
  <c r="Q1449" i="1"/>
  <c r="Q1448" i="5" s="1"/>
  <c r="V1447" i="1"/>
  <c r="V1446" i="1"/>
  <c r="Z1441" i="1"/>
  <c r="Z1369" i="2" s="1"/>
  <c r="V1431" i="1"/>
  <c r="V1430" i="5" s="1"/>
  <c r="M1382" i="1"/>
  <c r="L1544" i="1"/>
  <c r="L2910" i="1" s="1"/>
  <c r="X1365" i="1"/>
  <c r="Z1365" i="1" s="1"/>
  <c r="M1365" i="1"/>
  <c r="M1364" i="5" s="1"/>
  <c r="U1363" i="1"/>
  <c r="X1349" i="1"/>
  <c r="Z1348" i="1"/>
  <c r="Z1282" i="2" s="1"/>
  <c r="Z1338" i="1"/>
  <c r="Z1272" i="2" s="1"/>
  <c r="V1327" i="1"/>
  <c r="Q1326" i="1"/>
  <c r="Q1325" i="5" s="1"/>
  <c r="Z1293" i="1"/>
  <c r="Z1229" i="2" s="1"/>
  <c r="V1287" i="1"/>
  <c r="V1286" i="5" s="1"/>
  <c r="X1278" i="1"/>
  <c r="Z1278" i="1" s="1"/>
  <c r="X1277" i="4"/>
  <c r="Z1277" i="4" s="1"/>
  <c r="U1274" i="1"/>
  <c r="V1273" i="1"/>
  <c r="V1272" i="5" s="1"/>
  <c r="U1272" i="1"/>
  <c r="V1261" i="1"/>
  <c r="V1260" i="5" s="1"/>
  <c r="X1248" i="1"/>
  <c r="U1241" i="1"/>
  <c r="V1239" i="1"/>
  <c r="U1223" i="1"/>
  <c r="U1222" i="5" s="1"/>
  <c r="V1221" i="1"/>
  <c r="V1220" i="5" s="1"/>
  <c r="O1190" i="1"/>
  <c r="O2908" i="1" s="1"/>
  <c r="AA1080" i="1"/>
  <c r="X1046" i="1"/>
  <c r="U1008" i="1"/>
  <c r="U1007" i="5" s="1"/>
  <c r="X994" i="1"/>
  <c r="U981" i="1"/>
  <c r="M971" i="1"/>
  <c r="M970" i="5" s="1"/>
  <c r="X901" i="1"/>
  <c r="V899" i="1"/>
  <c r="V899" i="5" s="1"/>
  <c r="X885" i="1"/>
  <c r="M885" i="1"/>
  <c r="J875" i="1"/>
  <c r="J875" i="5" s="1"/>
  <c r="X870" i="1"/>
  <c r="X831" i="1"/>
  <c r="AA830" i="1"/>
  <c r="AA830" i="5" s="1"/>
  <c r="X827" i="1"/>
  <c r="U812" i="1"/>
  <c r="X805" i="1"/>
  <c r="M796" i="1"/>
  <c r="M796" i="5" s="1"/>
  <c r="X777" i="1"/>
  <c r="Z777" i="1" s="1"/>
  <c r="M777" i="1"/>
  <c r="M777" i="5" s="1"/>
  <c r="J770" i="1"/>
  <c r="J770" i="5" s="1"/>
  <c r="V761" i="1"/>
  <c r="Z727" i="1"/>
  <c r="Z697" i="2" s="1"/>
  <c r="Q703" i="1"/>
  <c r="AA676" i="1"/>
  <c r="AA676" i="5" s="1"/>
  <c r="U429" i="1"/>
  <c r="U428" i="5" s="1"/>
  <c r="J397" i="1"/>
  <c r="M396" i="1"/>
  <c r="X382" i="1"/>
  <c r="J346" i="1"/>
  <c r="J345" i="5" s="1"/>
  <c r="Z233" i="1"/>
  <c r="Z222" i="2" s="1"/>
  <c r="AA232" i="1"/>
  <c r="AA232" i="5" s="1"/>
  <c r="AA141" i="1"/>
  <c r="P2324" i="4"/>
  <c r="O2341" i="4"/>
  <c r="G2138" i="4"/>
  <c r="O2138" i="4"/>
  <c r="Y1951" i="4"/>
  <c r="I1951" i="4"/>
  <c r="T1843" i="4"/>
  <c r="T1820" i="4"/>
  <c r="P1250" i="2"/>
  <c r="P1313" i="4"/>
  <c r="X1224" i="1"/>
  <c r="M1224" i="1"/>
  <c r="V1224" i="1"/>
  <c r="V1223" i="5" s="1"/>
  <c r="J1223" i="1"/>
  <c r="M1223" i="1"/>
  <c r="M1222" i="5" s="1"/>
  <c r="M1221" i="1"/>
  <c r="M1220" i="5" s="1"/>
  <c r="J1221" i="1"/>
  <c r="J1220" i="5" s="1"/>
  <c r="X1221" i="1"/>
  <c r="X1166" i="2" s="1"/>
  <c r="M1219" i="1"/>
  <c r="M1218" i="5" s="1"/>
  <c r="X1219" i="1"/>
  <c r="X1164" i="2" s="1"/>
  <c r="M1084" i="1"/>
  <c r="M1083" i="5" s="1"/>
  <c r="X1084" i="1"/>
  <c r="X1035" i="2" s="1"/>
  <c r="M1057" i="1"/>
  <c r="M1056" i="5" s="1"/>
  <c r="X1057" i="1"/>
  <c r="M1032" i="1"/>
  <c r="M1031" i="5" s="1"/>
  <c r="X1032" i="1"/>
  <c r="X986" i="2" s="1"/>
  <c r="M1010" i="1"/>
  <c r="M1009" i="5" s="1"/>
  <c r="V1010" i="1"/>
  <c r="V1007" i="1"/>
  <c r="M1007" i="1"/>
  <c r="J893" i="2"/>
  <c r="J936" i="4"/>
  <c r="J919" i="1"/>
  <c r="J919" i="5" s="1"/>
  <c r="M919" i="1"/>
  <c r="J912" i="1"/>
  <c r="J912" i="5" s="1"/>
  <c r="X912" i="1"/>
  <c r="M899" i="1"/>
  <c r="M899" i="5" s="1"/>
  <c r="X899" i="1"/>
  <c r="X859" i="2" s="1"/>
  <c r="J899" i="1"/>
  <c r="J899" i="5" s="1"/>
  <c r="P890" i="4"/>
  <c r="X890" i="4" s="1"/>
  <c r="Z890" i="4" s="1"/>
  <c r="X890" i="1"/>
  <c r="Z890" i="1" s="1"/>
  <c r="U890" i="1"/>
  <c r="V887" i="1"/>
  <c r="V887" i="5" s="1"/>
  <c r="Q887" i="1"/>
  <c r="Q887" i="5" s="1"/>
  <c r="U887" i="1"/>
  <c r="U887" i="5" s="1"/>
  <c r="U882" i="1"/>
  <c r="V882" i="1"/>
  <c r="V882" i="5" s="1"/>
  <c r="F865" i="4"/>
  <c r="H865" i="1"/>
  <c r="H865" i="5" s="1"/>
  <c r="X865" i="5" s="1"/>
  <c r="V862" i="1"/>
  <c r="U862" i="1"/>
  <c r="J861" i="1"/>
  <c r="J861" i="5" s="1"/>
  <c r="M861" i="1"/>
  <c r="M861" i="5" s="1"/>
  <c r="J859" i="1"/>
  <c r="M859" i="1"/>
  <c r="M859" i="5" s="1"/>
  <c r="X841" i="1"/>
  <c r="Q841" i="1"/>
  <c r="Q841" i="5" s="1"/>
  <c r="J836" i="1"/>
  <c r="M836" i="1"/>
  <c r="M836" i="5" s="1"/>
  <c r="X836" i="1"/>
  <c r="X802" i="2" s="1"/>
  <c r="X761" i="2"/>
  <c r="Z794" i="1"/>
  <c r="Z761" i="2" s="1"/>
  <c r="H719" i="1"/>
  <c r="H719" i="5" s="1"/>
  <c r="X719" i="5" s="1"/>
  <c r="F743" i="1"/>
  <c r="X655" i="1"/>
  <c r="M655" i="1"/>
  <c r="E581" i="2"/>
  <c r="E605" i="4"/>
  <c r="X596" i="1"/>
  <c r="M596" i="1"/>
  <c r="M552" i="1"/>
  <c r="M551" i="5" s="1"/>
  <c r="X552" i="1"/>
  <c r="U492" i="1"/>
  <c r="U491" i="5" s="1"/>
  <c r="X492" i="1"/>
  <c r="X471" i="2" s="1"/>
  <c r="M470" i="1"/>
  <c r="M469" i="5" s="1"/>
  <c r="X470" i="1"/>
  <c r="M462" i="1"/>
  <c r="M461" i="5" s="1"/>
  <c r="X462" i="1"/>
  <c r="X441" i="2" s="1"/>
  <c r="M456" i="1"/>
  <c r="M455" i="5" s="1"/>
  <c r="X456" i="1"/>
  <c r="M450" i="1"/>
  <c r="M449" i="5" s="1"/>
  <c r="X450" i="1"/>
  <c r="Z450" i="1" s="1"/>
  <c r="Z449" i="5" s="1"/>
  <c r="H458" i="1"/>
  <c r="M435" i="1"/>
  <c r="M434" i="5" s="1"/>
  <c r="V435" i="1"/>
  <c r="M417" i="1"/>
  <c r="J417" i="1"/>
  <c r="J416" i="5" s="1"/>
  <c r="X402" i="1"/>
  <c r="J402" i="1"/>
  <c r="J401" i="5" s="1"/>
  <c r="H420" i="1"/>
  <c r="M402" i="1"/>
  <c r="M401" i="5" s="1"/>
  <c r="H357" i="4"/>
  <c r="M358" i="1"/>
  <c r="P334" i="2"/>
  <c r="P347" i="4"/>
  <c r="X281" i="2"/>
  <c r="Z294" i="1"/>
  <c r="Z281" i="2" s="1"/>
  <c r="H261" i="2"/>
  <c r="H272" i="4"/>
  <c r="M273" i="1"/>
  <c r="M272" i="5" s="1"/>
  <c r="J273" i="1"/>
  <c r="J272" i="5" s="1"/>
  <c r="P255" i="2"/>
  <c r="P266" i="4"/>
  <c r="X267" i="1"/>
  <c r="U267" i="1"/>
  <c r="U266" i="5" s="1"/>
  <c r="P190" i="2"/>
  <c r="P198" i="4"/>
  <c r="V72" i="1"/>
  <c r="V72" i="5" s="1"/>
  <c r="U72" i="1"/>
  <c r="U72" i="5" s="1"/>
  <c r="M64" i="1"/>
  <c r="X64" i="1"/>
  <c r="V61" i="1"/>
  <c r="U61" i="1"/>
  <c r="Q2575" i="1"/>
  <c r="Q2922" i="1" s="1"/>
  <c r="X2428" i="1"/>
  <c r="X2405" i="1"/>
  <c r="Z2405" i="1" s="1"/>
  <c r="Y2454" i="1"/>
  <c r="Q2310" i="1"/>
  <c r="Z2284" i="1"/>
  <c r="X2279" i="1"/>
  <c r="L2298" i="1"/>
  <c r="L2918" i="1" s="1"/>
  <c r="Q2211" i="1"/>
  <c r="X2154" i="1"/>
  <c r="X2107" i="1"/>
  <c r="X2103" i="1"/>
  <c r="X2099" i="5" s="1"/>
  <c r="G2085" i="1"/>
  <c r="G2916" i="1" s="1"/>
  <c r="Y2085" i="1"/>
  <c r="G1742" i="1"/>
  <c r="G2912" i="1" s="1"/>
  <c r="X1591" i="1"/>
  <c r="V1551" i="1"/>
  <c r="V1422" i="1"/>
  <c r="V1421" i="5" s="1"/>
  <c r="Y1544" i="1"/>
  <c r="Y2786" i="1" s="1"/>
  <c r="W1400" i="1"/>
  <c r="X1387" i="1"/>
  <c r="V1267" i="1"/>
  <c r="V1266" i="5" s="1"/>
  <c r="S1190" i="1"/>
  <c r="S2908" i="1" s="1"/>
  <c r="AA818" i="1"/>
  <c r="AA818" i="5" s="1"/>
  <c r="Q639" i="1"/>
  <c r="V422" i="1"/>
  <c r="V2902" i="1" s="1"/>
  <c r="N422" i="1"/>
  <c r="N2902" i="1" s="1"/>
  <c r="V180" i="1"/>
  <c r="V180" i="5" s="1"/>
  <c r="Y2658" i="4"/>
  <c r="Q2658" i="4"/>
  <c r="N2608" i="4"/>
  <c r="Y2515" i="4"/>
  <c r="Q2515" i="4"/>
  <c r="N2515" i="4"/>
  <c r="I2515" i="4"/>
  <c r="H1080" i="4"/>
  <c r="M1081" i="1"/>
  <c r="H1002" i="2"/>
  <c r="H1047" i="4"/>
  <c r="P913" i="4"/>
  <c r="Q913" i="1"/>
  <c r="J816" i="4"/>
  <c r="J782" i="2"/>
  <c r="P775" i="4"/>
  <c r="U775" i="1"/>
  <c r="X690" i="2"/>
  <c r="Z720" i="1"/>
  <c r="Z690" i="2" s="1"/>
  <c r="U719" i="1"/>
  <c r="U719" i="5" s="1"/>
  <c r="J681" i="2"/>
  <c r="J711" i="4"/>
  <c r="M703" i="1"/>
  <c r="M703" i="5" s="1"/>
  <c r="J703" i="1"/>
  <c r="J703" i="5" s="1"/>
  <c r="M687" i="1"/>
  <c r="J687" i="1"/>
  <c r="J687" i="5" s="1"/>
  <c r="V659" i="1"/>
  <c r="U659" i="1"/>
  <c r="V651" i="1"/>
  <c r="U651" i="1"/>
  <c r="V620" i="1"/>
  <c r="V621" i="5" s="1"/>
  <c r="U620" i="1"/>
  <c r="U621" i="5" s="1"/>
  <c r="P584" i="4"/>
  <c r="X584" i="4" s="1"/>
  <c r="Z584" i="4" s="1"/>
  <c r="X583" i="1"/>
  <c r="Z583" i="1" s="1"/>
  <c r="U583" i="1"/>
  <c r="P508" i="2"/>
  <c r="P528" i="4"/>
  <c r="U529" i="1"/>
  <c r="U528" i="5" s="1"/>
  <c r="X414" i="1"/>
  <c r="U414" i="1"/>
  <c r="U413" i="5" s="1"/>
  <c r="M411" i="1"/>
  <c r="J411" i="1"/>
  <c r="J410" i="5" s="1"/>
  <c r="M394" i="1"/>
  <c r="M393" i="5" s="1"/>
  <c r="J394" i="1"/>
  <c r="J393" i="5" s="1"/>
  <c r="P349" i="2"/>
  <c r="P365" i="4"/>
  <c r="X366" i="1"/>
  <c r="U366" i="1"/>
  <c r="U365" i="5" s="1"/>
  <c r="H342" i="2"/>
  <c r="M357" i="1"/>
  <c r="M356" i="5" s="1"/>
  <c r="P338" i="2"/>
  <c r="U352" i="1"/>
  <c r="U351" i="5" s="1"/>
  <c r="M351" i="1"/>
  <c r="J351" i="1"/>
  <c r="J350" i="5" s="1"/>
  <c r="X351" i="1"/>
  <c r="U332" i="2"/>
  <c r="U345" i="4"/>
  <c r="X306" i="2"/>
  <c r="Z320" i="1"/>
  <c r="Z306" i="2" s="1"/>
  <c r="M318" i="1"/>
  <c r="M317" i="5" s="1"/>
  <c r="J318" i="1"/>
  <c r="X318" i="1"/>
  <c r="M309" i="1"/>
  <c r="M308" i="5" s="1"/>
  <c r="X309" i="1"/>
  <c r="J309" i="1"/>
  <c r="H287" i="2"/>
  <c r="M300" i="1"/>
  <c r="M299" i="5" s="1"/>
  <c r="J300" i="1"/>
  <c r="J299" i="5" s="1"/>
  <c r="X300" i="1"/>
  <c r="H273" i="2"/>
  <c r="H285" i="4"/>
  <c r="M286" i="1"/>
  <c r="J286" i="1"/>
  <c r="X286" i="1"/>
  <c r="M259" i="1"/>
  <c r="M258" i="5" s="1"/>
  <c r="X259" i="1"/>
  <c r="M251" i="1"/>
  <c r="J251" i="1"/>
  <c r="J250" i="5" s="1"/>
  <c r="X251" i="1"/>
  <c r="X250" i="5" s="1"/>
  <c r="M250" i="1"/>
  <c r="M249" i="5" s="1"/>
  <c r="X250" i="1"/>
  <c r="J250" i="1"/>
  <c r="J249" i="5" s="1"/>
  <c r="F208" i="1"/>
  <c r="H198" i="1"/>
  <c r="X191" i="1"/>
  <c r="I191" i="1"/>
  <c r="I191" i="5" s="1"/>
  <c r="M115" i="1"/>
  <c r="M115" i="5" s="1"/>
  <c r="V115" i="1"/>
  <c r="H84" i="2"/>
  <c r="M89" i="1"/>
  <c r="M89" i="5" s="1"/>
  <c r="H87" i="4"/>
  <c r="M87" i="1"/>
  <c r="V80" i="1"/>
  <c r="U80" i="1"/>
  <c r="U80" i="5" s="1"/>
  <c r="X70" i="2"/>
  <c r="Z74" i="1"/>
  <c r="Z70" i="2" s="1"/>
  <c r="X42" i="1"/>
  <c r="X42" i="5" s="1"/>
  <c r="M42" i="1"/>
  <c r="M42" i="5" s="1"/>
  <c r="U29" i="1"/>
  <c r="U29" i="5" s="1"/>
  <c r="X29" i="1"/>
  <c r="X2408" i="2"/>
  <c r="Z2408" i="2" s="1"/>
  <c r="M2408" i="2"/>
  <c r="AA2408" i="2" s="1"/>
  <c r="AB2408" i="2" s="1"/>
  <c r="V2408" i="2"/>
  <c r="W2408" i="2" s="1"/>
  <c r="X2372" i="2"/>
  <c r="Z2372" i="2" s="1"/>
  <c r="M2372" i="2"/>
  <c r="AA2372" i="2" s="1"/>
  <c r="AB2372" i="2" s="1"/>
  <c r="V2372" i="2"/>
  <c r="W2372" i="2" s="1"/>
  <c r="J2304" i="2"/>
  <c r="X2304" i="2"/>
  <c r="Z2304" i="2" s="1"/>
  <c r="H2312" i="2"/>
  <c r="M2304" i="2"/>
  <c r="U2292" i="2"/>
  <c r="Q2292" i="2"/>
  <c r="Q1982" i="2"/>
  <c r="U1982" i="2"/>
  <c r="V1940" i="2"/>
  <c r="W1940" i="2" s="1"/>
  <c r="X1940" i="2"/>
  <c r="Z1940" i="2" s="1"/>
  <c r="U1940" i="2"/>
  <c r="V1922" i="2"/>
  <c r="W1922" i="2" s="1"/>
  <c r="U1922" i="2"/>
  <c r="AA1922" i="2" s="1"/>
  <c r="AB1922" i="2" s="1"/>
  <c r="H1210" i="1"/>
  <c r="J1209" i="1"/>
  <c r="J1198" i="1"/>
  <c r="J1197" i="5" s="1"/>
  <c r="K1190" i="1"/>
  <c r="K2908" i="1" s="1"/>
  <c r="M1185" i="1"/>
  <c r="Z1171" i="1"/>
  <c r="Z1119" i="2" s="1"/>
  <c r="U1162" i="1"/>
  <c r="V1128" i="1"/>
  <c r="V1127" i="5" s="1"/>
  <c r="G1190" i="1"/>
  <c r="G2908" i="1" s="1"/>
  <c r="T1190" i="1"/>
  <c r="T2908" i="1" s="1"/>
  <c r="U1058" i="1"/>
  <c r="V1031" i="1"/>
  <c r="V970" i="1"/>
  <c r="U944" i="1"/>
  <c r="AA901" i="1"/>
  <c r="AA901" i="5" s="1"/>
  <c r="V884" i="1"/>
  <c r="V884" i="5" s="1"/>
  <c r="AA870" i="1"/>
  <c r="X862" i="1"/>
  <c r="J862" i="1"/>
  <c r="J862" i="5" s="1"/>
  <c r="X839" i="1"/>
  <c r="Z839" i="1" s="1"/>
  <c r="AA832" i="1"/>
  <c r="AA831" i="1"/>
  <c r="AA831" i="5" s="1"/>
  <c r="AA819" i="1"/>
  <c r="AA819" i="5" s="1"/>
  <c r="AA806" i="1"/>
  <c r="AA806" i="5" s="1"/>
  <c r="AA805" i="1"/>
  <c r="Q794" i="1"/>
  <c r="Q794" i="5" s="1"/>
  <c r="L961" i="1"/>
  <c r="L2906" i="1" s="1"/>
  <c r="Z778" i="1"/>
  <c r="Z745" i="2" s="1"/>
  <c r="V776" i="1"/>
  <c r="U772" i="1"/>
  <c r="U772" i="5" s="1"/>
  <c r="U765" i="1"/>
  <c r="U765" i="5" s="1"/>
  <c r="U762" i="1"/>
  <c r="U762" i="5" s="1"/>
  <c r="Q754" i="1"/>
  <c r="J741" i="1"/>
  <c r="J741" i="5" s="1"/>
  <c r="U740" i="1"/>
  <c r="U740" i="5" s="1"/>
  <c r="J736" i="1"/>
  <c r="J736" i="5" s="1"/>
  <c r="X730" i="1"/>
  <c r="X700" i="2" s="1"/>
  <c r="V728" i="1"/>
  <c r="V728" i="5" s="1"/>
  <c r="J726" i="1"/>
  <c r="J726" i="5" s="1"/>
  <c r="M710" i="1"/>
  <c r="M710" i="5" s="1"/>
  <c r="Q705" i="1"/>
  <c r="X682" i="1"/>
  <c r="W655" i="1"/>
  <c r="W655" i="5" s="1"/>
  <c r="H633" i="1"/>
  <c r="H634" i="5" s="1"/>
  <c r="X634" i="5" s="1"/>
  <c r="U629" i="1"/>
  <c r="X600" i="1"/>
  <c r="U560" i="1"/>
  <c r="U561" i="5" s="1"/>
  <c r="U563" i="5" s="1"/>
  <c r="AA441" i="1"/>
  <c r="AA440" i="5" s="1"/>
  <c r="U439" i="1"/>
  <c r="Z413" i="1"/>
  <c r="Z412" i="5" s="1"/>
  <c r="Z408" i="1"/>
  <c r="Z407" i="5" s="1"/>
  <c r="X290" i="1"/>
  <c r="X277" i="2" s="1"/>
  <c r="S237" i="1"/>
  <c r="S2900" i="1" s="1"/>
  <c r="F235" i="1"/>
  <c r="F237" i="1" s="1"/>
  <c r="F2900" i="1" s="1"/>
  <c r="AA177" i="1"/>
  <c r="N237" i="1"/>
  <c r="N2900" i="1" s="1"/>
  <c r="Q132" i="1"/>
  <c r="X43" i="1"/>
  <c r="X43" i="5" s="1"/>
  <c r="I2728" i="4"/>
  <c r="O2704" i="4"/>
  <c r="G2704" i="4"/>
  <c r="G2428" i="4"/>
  <c r="O2410" i="4"/>
  <c r="O2366" i="4"/>
  <c r="N2292" i="4"/>
  <c r="G2292" i="4"/>
  <c r="W2219" i="4"/>
  <c r="G2173" i="4"/>
  <c r="O2173" i="4"/>
  <c r="Q2037" i="4"/>
  <c r="T1987" i="4"/>
  <c r="Q1987" i="4"/>
  <c r="T1865" i="4"/>
  <c r="N1214" i="4"/>
  <c r="R607" i="4"/>
  <c r="G607" i="4"/>
  <c r="K607" i="4"/>
  <c r="E2686" i="2"/>
  <c r="I1420" i="2"/>
  <c r="Q1115" i="2"/>
  <c r="F1037" i="2"/>
  <c r="J21" i="2"/>
  <c r="X2243" i="4"/>
  <c r="Z2243" i="4" s="1"/>
  <c r="M2518" i="2"/>
  <c r="X2518" i="2"/>
  <c r="Z2518" i="2" s="1"/>
  <c r="V2392" i="2"/>
  <c r="W2392" i="2" s="1"/>
  <c r="X2392" i="2"/>
  <c r="Z2392" i="2" s="1"/>
  <c r="U2392" i="2"/>
  <c r="V2360" i="2"/>
  <c r="W2360" i="2" s="1"/>
  <c r="U2360" i="2"/>
  <c r="V2342" i="2"/>
  <c r="W2342" i="2" s="1"/>
  <c r="X2342" i="2"/>
  <c r="Z2342" i="2" s="1"/>
  <c r="U2342" i="2"/>
  <c r="Q2241" i="2"/>
  <c r="U2241" i="2"/>
  <c r="J2224" i="2"/>
  <c r="X2224" i="2"/>
  <c r="M2224" i="2"/>
  <c r="AA2224" i="2" s="1"/>
  <c r="H1010" i="4"/>
  <c r="X1010" i="4" s="1"/>
  <c r="Z1010" i="4" s="1"/>
  <c r="X1011" i="1"/>
  <c r="Z1011" i="1" s="1"/>
  <c r="J929" i="1"/>
  <c r="J929" i="5" s="1"/>
  <c r="X929" i="1"/>
  <c r="Q866" i="2"/>
  <c r="Q906" i="4"/>
  <c r="Q876" i="1"/>
  <c r="Q876" i="5" s="1"/>
  <c r="Z876" i="1"/>
  <c r="Z837" i="2" s="1"/>
  <c r="M866" i="1"/>
  <c r="X866" i="1"/>
  <c r="Q811" i="1"/>
  <c r="Q811" i="5" s="1"/>
  <c r="Z811" i="1"/>
  <c r="Z777" i="2" s="1"/>
  <c r="P777" i="4"/>
  <c r="U777" i="1"/>
  <c r="J728" i="1"/>
  <c r="J728" i="5" s="1"/>
  <c r="X728" i="1"/>
  <c r="V727" i="1"/>
  <c r="U727" i="1"/>
  <c r="U727" i="5" s="1"/>
  <c r="V706" i="1"/>
  <c r="V706" i="5" s="1"/>
  <c r="Q706" i="1"/>
  <c r="Q706" i="5" s="1"/>
  <c r="X653" i="2"/>
  <c r="Z681" i="1"/>
  <c r="Z653" i="2" s="1"/>
  <c r="M656" i="1"/>
  <c r="M656" i="5" s="1"/>
  <c r="J656" i="1"/>
  <c r="J656" i="5" s="1"/>
  <c r="X653" i="1"/>
  <c r="X625" i="2" s="1"/>
  <c r="M653" i="1"/>
  <c r="F447" i="1"/>
  <c r="H427" i="1"/>
  <c r="M407" i="1"/>
  <c r="J407" i="1"/>
  <c r="J406" i="5" s="1"/>
  <c r="E387" i="2"/>
  <c r="E405" i="4"/>
  <c r="E326" i="2"/>
  <c r="E339" i="4"/>
  <c r="P315" i="2"/>
  <c r="X329" i="1"/>
  <c r="X315" i="2" s="1"/>
  <c r="U304" i="2"/>
  <c r="U317" i="4"/>
  <c r="M311" i="1"/>
  <c r="M310" i="5" s="1"/>
  <c r="J311" i="1"/>
  <c r="J310" i="5" s="1"/>
  <c r="X311" i="1"/>
  <c r="M302" i="1"/>
  <c r="M301" i="5" s="1"/>
  <c r="J302" i="1"/>
  <c r="J301" i="5" s="1"/>
  <c r="X302" i="1"/>
  <c r="H264" i="2"/>
  <c r="M277" i="1"/>
  <c r="M276" i="5" s="1"/>
  <c r="X277" i="1"/>
  <c r="J277" i="1"/>
  <c r="J276" i="5" s="1"/>
  <c r="M274" i="1"/>
  <c r="J274" i="1"/>
  <c r="J273" i="5" s="1"/>
  <c r="X274" i="1"/>
  <c r="X262" i="2" s="1"/>
  <c r="M252" i="1"/>
  <c r="J252" i="1"/>
  <c r="X203" i="2"/>
  <c r="Z212" i="1"/>
  <c r="Z203" i="2" s="1"/>
  <c r="P202" i="4"/>
  <c r="X202" i="4" s="1"/>
  <c r="Z202" i="4" s="1"/>
  <c r="X202" i="1"/>
  <c r="Z202" i="1" s="1"/>
  <c r="U202" i="1"/>
  <c r="U188" i="1"/>
  <c r="U188" i="5" s="1"/>
  <c r="X188" i="1"/>
  <c r="H110" i="2"/>
  <c r="M116" i="1"/>
  <c r="X83" i="1"/>
  <c r="U83" i="1"/>
  <c r="U83" i="5" s="1"/>
  <c r="X51" i="1"/>
  <c r="Z51" i="1" s="1"/>
  <c r="Z47" i="2" s="1"/>
  <c r="P68" i="1"/>
  <c r="U51" i="1"/>
  <c r="U51" i="5" s="1"/>
  <c r="P38" i="4"/>
  <c r="V38" i="1"/>
  <c r="U38" i="1"/>
  <c r="U38" i="5" s="1"/>
  <c r="X2683" i="2"/>
  <c r="Z2683" i="2" s="1"/>
  <c r="U2683" i="2"/>
  <c r="AA2683" i="2" s="1"/>
  <c r="AB2683" i="2" s="1"/>
  <c r="M2679" i="2"/>
  <c r="AA2679" i="2" s="1"/>
  <c r="AB2679" i="2" s="1"/>
  <c r="X2679" i="2"/>
  <c r="Z2679" i="2" s="1"/>
  <c r="X2536" i="2"/>
  <c r="Z2536" i="2" s="1"/>
  <c r="V2536" i="2"/>
  <c r="W2536" i="2" s="1"/>
  <c r="M2536" i="2"/>
  <c r="AA2536" i="2" s="1"/>
  <c r="AB2536" i="2" s="1"/>
  <c r="X2527" i="2"/>
  <c r="Z2527" i="2" s="1"/>
  <c r="M2527" i="2"/>
  <c r="AA2527" i="2" s="1"/>
  <c r="AB2527" i="2" s="1"/>
  <c r="V2438" i="2"/>
  <c r="W2438" i="2" s="1"/>
  <c r="U2438" i="2"/>
  <c r="AA2438" i="2" s="1"/>
  <c r="AB2438" i="2" s="1"/>
  <c r="X2377" i="2"/>
  <c r="Z2377" i="2" s="1"/>
  <c r="M2377" i="2"/>
  <c r="AA2377" i="2" s="1"/>
  <c r="AB2377" i="2" s="1"/>
  <c r="V2377" i="2"/>
  <c r="W2377" i="2" s="1"/>
  <c r="M2113" i="2"/>
  <c r="AA2113" i="2" s="1"/>
  <c r="J2113" i="2"/>
  <c r="X2113" i="2"/>
  <c r="Z2113" i="2" s="1"/>
  <c r="AB2113" i="2" s="1"/>
  <c r="M2104" i="2"/>
  <c r="AA2104" i="2" s="1"/>
  <c r="AB2104" i="2" s="1"/>
  <c r="X2104" i="2"/>
  <c r="Z2104" i="2" s="1"/>
  <c r="J2104" i="2"/>
  <c r="M2064" i="2"/>
  <c r="J2064" i="2"/>
  <c r="Q1859" i="2"/>
  <c r="U1859" i="2"/>
  <c r="U1856" i="2"/>
  <c r="Q1856" i="2"/>
  <c r="U1853" i="2"/>
  <c r="X1853" i="2"/>
  <c r="Z1853" i="2" s="1"/>
  <c r="Q1853" i="2"/>
  <c r="X1213" i="1"/>
  <c r="X1212" i="5" s="1"/>
  <c r="Q1190" i="1"/>
  <c r="Q2908" i="1" s="1"/>
  <c r="X1176" i="1"/>
  <c r="X1124" i="2" s="1"/>
  <c r="X1175" i="1"/>
  <c r="X1123" i="2" s="1"/>
  <c r="V1098" i="1"/>
  <c r="V1097" i="5" s="1"/>
  <c r="X1097" i="1"/>
  <c r="Z1097" i="1" s="1"/>
  <c r="Z1048" i="2" s="1"/>
  <c r="V1094" i="1"/>
  <c r="V1093" i="5" s="1"/>
  <c r="X1093" i="1"/>
  <c r="V1090" i="1"/>
  <c r="V1089" i="5" s="1"/>
  <c r="V1012" i="1"/>
  <c r="X977" i="1"/>
  <c r="X976" i="5" s="1"/>
  <c r="Q947" i="1"/>
  <c r="Z900" i="1"/>
  <c r="Z860" i="2" s="1"/>
  <c r="Z886" i="1"/>
  <c r="Z847" i="2" s="1"/>
  <c r="Z830" i="1"/>
  <c r="Z796" i="2" s="1"/>
  <c r="Z818" i="1"/>
  <c r="Z784" i="2" s="1"/>
  <c r="X809" i="1"/>
  <c r="V707" i="1"/>
  <c r="V672" i="1"/>
  <c r="X632" i="1"/>
  <c r="X628" i="1"/>
  <c r="X582" i="1"/>
  <c r="Z582" i="1" s="1"/>
  <c r="Z562" i="2" s="1"/>
  <c r="W429" i="1"/>
  <c r="W428" i="5" s="1"/>
  <c r="X222" i="1"/>
  <c r="X213" i="2" s="1"/>
  <c r="I206" i="1"/>
  <c r="I206" i="5" s="1"/>
  <c r="AA156" i="1"/>
  <c r="P149" i="1"/>
  <c r="AA117" i="1"/>
  <c r="AA117" i="5" s="1"/>
  <c r="X87" i="1"/>
  <c r="Z87" i="1" s="1"/>
  <c r="X33" i="1"/>
  <c r="R2635" i="4"/>
  <c r="G2608" i="4"/>
  <c r="I2488" i="4"/>
  <c r="V2382" i="4"/>
  <c r="O2382" i="4"/>
  <c r="G2382" i="4"/>
  <c r="N2243" i="4"/>
  <c r="K2194" i="4"/>
  <c r="K2011" i="4"/>
  <c r="T1951" i="4"/>
  <c r="Y1899" i="4"/>
  <c r="E1541" i="4"/>
  <c r="E1543" i="4" s="1"/>
  <c r="K1471" i="4"/>
  <c r="T1471" i="4"/>
  <c r="L1471" i="4"/>
  <c r="M49" i="4"/>
  <c r="H587" i="2"/>
  <c r="H611" i="4"/>
  <c r="H349" i="2"/>
  <c r="H365" i="4"/>
  <c r="P328" i="2"/>
  <c r="P341" i="4"/>
  <c r="H314" i="2"/>
  <c r="H327" i="4"/>
  <c r="H222" i="2"/>
  <c r="H233" i="4"/>
  <c r="U192" i="2"/>
  <c r="U200" i="4"/>
  <c r="V37" i="1"/>
  <c r="V37" i="5" s="1"/>
  <c r="P37" i="4"/>
  <c r="H2448" i="4"/>
  <c r="H2923" i="4" s="1"/>
  <c r="X2341" i="4"/>
  <c r="Z2341" i="4" s="1"/>
  <c r="H237" i="4"/>
  <c r="H2903" i="4" s="1"/>
  <c r="X184" i="4"/>
  <c r="Z184" i="4" s="1"/>
  <c r="M2646" i="2"/>
  <c r="AA2646" i="2" s="1"/>
  <c r="AB2646" i="2" s="1"/>
  <c r="X2646" i="2"/>
  <c r="Z2646" i="2" s="1"/>
  <c r="X2631" i="2"/>
  <c r="Z2631" i="2" s="1"/>
  <c r="U2631" i="2"/>
  <c r="AA2631" i="2" s="1"/>
  <c r="AB2631" i="2" s="1"/>
  <c r="V2538" i="2"/>
  <c r="W2538" i="2" s="1"/>
  <c r="U2538" i="2"/>
  <c r="AA2538" i="2" s="1"/>
  <c r="AB2538" i="2" s="1"/>
  <c r="M2535" i="2"/>
  <c r="AA2535" i="2" s="1"/>
  <c r="AB2535" i="2" s="1"/>
  <c r="X2535" i="2"/>
  <c r="Z2535" i="2" s="1"/>
  <c r="V2507" i="2"/>
  <c r="W2507" i="2" s="1"/>
  <c r="U2507" i="2"/>
  <c r="X2440" i="2"/>
  <c r="Z2440" i="2" s="1"/>
  <c r="M2440" i="2"/>
  <c r="AA2440" i="2" s="1"/>
  <c r="AB2440" i="2" s="1"/>
  <c r="X2375" i="2"/>
  <c r="Z2375" i="2" s="1"/>
  <c r="M2375" i="2"/>
  <c r="AA2375" i="2" s="1"/>
  <c r="AB2375" i="2" s="1"/>
  <c r="U2341" i="2"/>
  <c r="P2356" i="2"/>
  <c r="U2323" i="2"/>
  <c r="V2323" i="2"/>
  <c r="W2323" i="2" s="1"/>
  <c r="U2287" i="2"/>
  <c r="Q2287" i="2"/>
  <c r="X2253" i="2"/>
  <c r="M2253" i="2"/>
  <c r="U2239" i="2"/>
  <c r="Q2239" i="2"/>
  <c r="M2226" i="2"/>
  <c r="AA2226" i="2" s="1"/>
  <c r="AB2226" i="2" s="1"/>
  <c r="X2226" i="2"/>
  <c r="Z2226" i="2" s="1"/>
  <c r="J2226" i="2"/>
  <c r="U2219" i="2"/>
  <c r="Q2219" i="2"/>
  <c r="M2150" i="2"/>
  <c r="X2150" i="2"/>
  <c r="Z2150" i="2" s="1"/>
  <c r="J2150" i="2"/>
  <c r="U2144" i="2"/>
  <c r="Q2144" i="2"/>
  <c r="M2105" i="2"/>
  <c r="J2105" i="2"/>
  <c r="X2105" i="2"/>
  <c r="Q2094" i="2"/>
  <c r="U2094" i="2"/>
  <c r="F2096" i="2"/>
  <c r="H2078" i="2"/>
  <c r="U2067" i="2"/>
  <c r="Q2067" i="2"/>
  <c r="M2055" i="2"/>
  <c r="AA2055" i="2" s="1"/>
  <c r="J2055" i="2"/>
  <c r="X2055" i="2"/>
  <c r="X2035" i="2"/>
  <c r="U2035" i="2"/>
  <c r="AA2035" i="2" s="1"/>
  <c r="AB2035" i="2" s="1"/>
  <c r="Q2008" i="2"/>
  <c r="X2008" i="2"/>
  <c r="Z2008" i="2" s="1"/>
  <c r="U2008" i="2"/>
  <c r="J1981" i="2"/>
  <c r="M1981" i="2"/>
  <c r="U1887" i="2"/>
  <c r="AA1887" i="2" s="1"/>
  <c r="AB1887" i="2" s="1"/>
  <c r="V1887" i="2"/>
  <c r="W1887" i="2" s="1"/>
  <c r="M1830" i="2"/>
  <c r="J1830" i="2"/>
  <c r="Q1824" i="2"/>
  <c r="U1824" i="2"/>
  <c r="V1030" i="1"/>
  <c r="G961" i="1"/>
  <c r="G2906" i="1" s="1"/>
  <c r="Q849" i="1"/>
  <c r="Q849" i="5" s="1"/>
  <c r="X808" i="1"/>
  <c r="Z808" i="1" s="1"/>
  <c r="Z774" i="2" s="1"/>
  <c r="X800" i="1"/>
  <c r="V720" i="1"/>
  <c r="V720" i="5" s="1"/>
  <c r="X686" i="1"/>
  <c r="X676" i="1"/>
  <c r="Z676" i="1" s="1"/>
  <c r="Z648" i="2" s="1"/>
  <c r="X674" i="1"/>
  <c r="X659" i="1"/>
  <c r="X630" i="1"/>
  <c r="V616" i="1"/>
  <c r="G639" i="1"/>
  <c r="G2904" i="1" s="1"/>
  <c r="W422" i="1"/>
  <c r="W2902" i="1" s="1"/>
  <c r="M293" i="1"/>
  <c r="X275" i="1"/>
  <c r="T422" i="1"/>
  <c r="T2902" i="1" s="1"/>
  <c r="X232" i="1"/>
  <c r="X231" i="1"/>
  <c r="X230" i="1"/>
  <c r="X223" i="1"/>
  <c r="M205" i="1"/>
  <c r="M205" i="5" s="1"/>
  <c r="M204" i="1"/>
  <c r="J237" i="1"/>
  <c r="J2900" i="1" s="1"/>
  <c r="T237" i="1"/>
  <c r="T2900" i="1" s="1"/>
  <c r="G237" i="1"/>
  <c r="G2900" i="1" s="1"/>
  <c r="L132" i="1"/>
  <c r="L2898" i="1" s="1"/>
  <c r="V34" i="1"/>
  <c r="V30" i="1"/>
  <c r="X2750" i="4"/>
  <c r="Z2750" i="4" s="1"/>
  <c r="K2704" i="4"/>
  <c r="S2704" i="4"/>
  <c r="X2683" i="4"/>
  <c r="Z2683" i="4" s="1"/>
  <c r="L2565" i="4"/>
  <c r="G2499" i="4"/>
  <c r="O2499" i="4"/>
  <c r="N2488" i="4"/>
  <c r="Y2488" i="4"/>
  <c r="Q2488" i="4"/>
  <c r="K2470" i="4"/>
  <c r="F2470" i="4"/>
  <c r="X2428" i="4"/>
  <c r="Z2428" i="4" s="1"/>
  <c r="G2410" i="4"/>
  <c r="V2410" i="4"/>
  <c r="G2313" i="4"/>
  <c r="I2313" i="4"/>
  <c r="L2313" i="4"/>
  <c r="W2173" i="4"/>
  <c r="P2294" i="4"/>
  <c r="P2921" i="4" s="1"/>
  <c r="V2112" i="4"/>
  <c r="R2079" i="4"/>
  <c r="N2079" i="4"/>
  <c r="S2079" i="4"/>
  <c r="K2079" i="4"/>
  <c r="G2079" i="4"/>
  <c r="O2079" i="4"/>
  <c r="I2059" i="4"/>
  <c r="Y2059" i="4"/>
  <c r="Q2059" i="4"/>
  <c r="Y2037" i="4"/>
  <c r="O2011" i="4"/>
  <c r="L1951" i="4"/>
  <c r="Y1922" i="4"/>
  <c r="I1922" i="4"/>
  <c r="L1899" i="4"/>
  <c r="Y1865" i="4"/>
  <c r="L1865" i="4"/>
  <c r="I1865" i="4"/>
  <c r="I1843" i="4"/>
  <c r="Y1843" i="4"/>
  <c r="L1843" i="4"/>
  <c r="Y1820" i="4"/>
  <c r="L1802" i="4"/>
  <c r="N1767" i="4"/>
  <c r="T1758" i="4"/>
  <c r="T1720" i="4"/>
  <c r="L1720" i="4"/>
  <c r="G1709" i="4"/>
  <c r="J1678" i="4"/>
  <c r="T1659" i="4"/>
  <c r="R1568" i="4"/>
  <c r="O1433" i="4"/>
  <c r="L1188" i="4"/>
  <c r="R1143" i="4"/>
  <c r="L1013" i="4"/>
  <c r="R984" i="4"/>
  <c r="R986" i="4" s="1"/>
  <c r="Q984" i="4"/>
  <c r="Q986" i="4" s="1"/>
  <c r="K872" i="4"/>
  <c r="L691" i="4"/>
  <c r="O545" i="4"/>
  <c r="R535" i="4"/>
  <c r="K500" i="4"/>
  <c r="G487" i="4"/>
  <c r="X473" i="4"/>
  <c r="Z473" i="4" s="1"/>
  <c r="Q446" i="4"/>
  <c r="V398" i="4"/>
  <c r="I398" i="4"/>
  <c r="S369" i="4"/>
  <c r="O261" i="4"/>
  <c r="W261" i="4"/>
  <c r="X107" i="4"/>
  <c r="Z107" i="4" s="1"/>
  <c r="AA2676" i="2"/>
  <c r="AB2676" i="2" s="1"/>
  <c r="E2464" i="2"/>
  <c r="X2336" i="2"/>
  <c r="Z2336" i="2" s="1"/>
  <c r="X1921" i="2"/>
  <c r="Z1921" i="2" s="1"/>
  <c r="Q1812" i="2"/>
  <c r="M464" i="2"/>
  <c r="M484" i="4"/>
  <c r="J390" i="2"/>
  <c r="J408" i="4"/>
  <c r="P344" i="2"/>
  <c r="P360" i="4"/>
  <c r="U328" i="2"/>
  <c r="U341" i="4"/>
  <c r="P306" i="2"/>
  <c r="P319" i="4"/>
  <c r="J246" i="2"/>
  <c r="J256" i="4"/>
  <c r="I180" i="2"/>
  <c r="I188" i="4"/>
  <c r="M133" i="2"/>
  <c r="M140" i="4"/>
  <c r="P71" i="2"/>
  <c r="P75" i="4"/>
  <c r="P31" i="2"/>
  <c r="P32" i="4"/>
  <c r="M27" i="4"/>
  <c r="M26" i="2"/>
  <c r="X2663" i="2"/>
  <c r="Z2663" i="2" s="1"/>
  <c r="U2663" i="2"/>
  <c r="AA2663" i="2" s="1"/>
  <c r="AB2663" i="2" s="1"/>
  <c r="U2644" i="2"/>
  <c r="AA2644" i="2" s="1"/>
  <c r="AB2644" i="2" s="1"/>
  <c r="X2644" i="2"/>
  <c r="Z2644" i="2" s="1"/>
  <c r="X2543" i="2"/>
  <c r="Z2543" i="2" s="1"/>
  <c r="M2543" i="2"/>
  <c r="V2519" i="2"/>
  <c r="W2519" i="2" s="1"/>
  <c r="U2519" i="2"/>
  <c r="AA2519" i="2" s="1"/>
  <c r="AB2519" i="2" s="1"/>
  <c r="V2479" i="2"/>
  <c r="W2479" i="2" s="1"/>
  <c r="U2479" i="2"/>
  <c r="AA2479" i="2" s="1"/>
  <c r="AB2479" i="2" s="1"/>
  <c r="X2445" i="2"/>
  <c r="Z2445" i="2" s="1"/>
  <c r="M2445" i="2"/>
  <c r="X2423" i="2"/>
  <c r="Z2423" i="2" s="1"/>
  <c r="M2423" i="2"/>
  <c r="X2391" i="2"/>
  <c r="Z2391" i="2" s="1"/>
  <c r="M2391" i="2"/>
  <c r="AA2391" i="2" s="1"/>
  <c r="AB2391" i="2" s="1"/>
  <c r="V2378" i="2"/>
  <c r="W2378" i="2" s="1"/>
  <c r="X2378" i="2"/>
  <c r="Z2378" i="2" s="1"/>
  <c r="U2378" i="2"/>
  <c r="AA2378" i="2" s="1"/>
  <c r="AB2378" i="2" s="1"/>
  <c r="M2306" i="2"/>
  <c r="J2306" i="2"/>
  <c r="Q2266" i="2"/>
  <c r="U2266" i="2"/>
  <c r="X2257" i="2"/>
  <c r="Z2257" i="2" s="1"/>
  <c r="U2257" i="2"/>
  <c r="J2214" i="2"/>
  <c r="M2214" i="2"/>
  <c r="AA2214" i="2" s="1"/>
  <c r="X2214" i="2"/>
  <c r="Z2214" i="2" s="1"/>
  <c r="Q2109" i="2"/>
  <c r="U2109" i="2"/>
  <c r="F2118" i="2"/>
  <c r="H2103" i="2"/>
  <c r="J2077" i="2"/>
  <c r="M2077" i="2"/>
  <c r="J1973" i="2"/>
  <c r="X1973" i="2"/>
  <c r="Z1973" i="2" s="1"/>
  <c r="M1973" i="2"/>
  <c r="X1957" i="2"/>
  <c r="Z1957" i="2" s="1"/>
  <c r="V1957" i="2"/>
  <c r="W1957" i="2" s="1"/>
  <c r="M1957" i="2"/>
  <c r="AA1957" i="2" s="1"/>
  <c r="AB1957" i="2" s="1"/>
  <c r="H1943" i="2"/>
  <c r="F1947" i="2"/>
  <c r="X1910" i="2"/>
  <c r="Z1910" i="2" s="1"/>
  <c r="M1910" i="2"/>
  <c r="AA1910" i="2" s="1"/>
  <c r="AB1910" i="2" s="1"/>
  <c r="V1910" i="2"/>
  <c r="W1910" i="2" s="1"/>
  <c r="X1886" i="2"/>
  <c r="U1886" i="2"/>
  <c r="Q1855" i="2"/>
  <c r="X1855" i="2"/>
  <c r="Z1855" i="2" s="1"/>
  <c r="U1855" i="2"/>
  <c r="U1845" i="2"/>
  <c r="Q1845" i="2"/>
  <c r="V604" i="1"/>
  <c r="V605" i="5" s="1"/>
  <c r="AA580" i="1"/>
  <c r="AA581" i="5" s="1"/>
  <c r="AA492" i="1"/>
  <c r="AA491" i="5" s="1"/>
  <c r="Z342" i="1"/>
  <c r="Z328" i="2" s="1"/>
  <c r="AA229" i="1"/>
  <c r="X211" i="1"/>
  <c r="L237" i="1"/>
  <c r="L2900" i="1" s="1"/>
  <c r="E149" i="1"/>
  <c r="S132" i="1"/>
  <c r="I132" i="1"/>
  <c r="X37" i="1"/>
  <c r="Q2750" i="4"/>
  <c r="N2750" i="4"/>
  <c r="I2750" i="4"/>
  <c r="Y2728" i="4"/>
  <c r="N2728" i="4"/>
  <c r="R2704" i="4"/>
  <c r="J2704" i="4"/>
  <c r="I2658" i="4"/>
  <c r="R2608" i="4"/>
  <c r="T2608" i="4"/>
  <c r="O2608" i="4"/>
  <c r="J2608" i="4"/>
  <c r="Q2565" i="4"/>
  <c r="P2567" i="4"/>
  <c r="P2925" i="4" s="1"/>
  <c r="L2535" i="4"/>
  <c r="G2535" i="4"/>
  <c r="T2535" i="4"/>
  <c r="O2535" i="4"/>
  <c r="R2470" i="4"/>
  <c r="V2446" i="4"/>
  <c r="K2446" i="4"/>
  <c r="W2446" i="4"/>
  <c r="F2446" i="4"/>
  <c r="V2428" i="4"/>
  <c r="O2428" i="4"/>
  <c r="W2428" i="4"/>
  <c r="K2428" i="4"/>
  <c r="W2366" i="4"/>
  <c r="G2366" i="4"/>
  <c r="N2366" i="4"/>
  <c r="K2341" i="4"/>
  <c r="T2313" i="4"/>
  <c r="G2243" i="4"/>
  <c r="V2243" i="4"/>
  <c r="O2243" i="4"/>
  <c r="W2243" i="4"/>
  <c r="G2219" i="4"/>
  <c r="V2219" i="4"/>
  <c r="O2219" i="4"/>
  <c r="L2059" i="4"/>
  <c r="T2059" i="4"/>
  <c r="L1922" i="4"/>
  <c r="T1899" i="4"/>
  <c r="T1784" i="4"/>
  <c r="G1784" i="4"/>
  <c r="W1784" i="4"/>
  <c r="O1767" i="4"/>
  <c r="R1618" i="4"/>
  <c r="K1618" i="4"/>
  <c r="G1309" i="4"/>
  <c r="Y1281" i="4"/>
  <c r="N1281" i="4"/>
  <c r="L1129" i="4"/>
  <c r="K1049" i="4"/>
  <c r="G823" i="4"/>
  <c r="Y756" i="4"/>
  <c r="I756" i="4"/>
  <c r="T743" i="4"/>
  <c r="T661" i="4"/>
  <c r="Z645" i="4"/>
  <c r="G638" i="4"/>
  <c r="K625" i="4"/>
  <c r="X558" i="4"/>
  <c r="Z558" i="4" s="1"/>
  <c r="I509" i="4"/>
  <c r="G369" i="4"/>
  <c r="V235" i="4"/>
  <c r="R130" i="4"/>
  <c r="F22" i="4"/>
  <c r="Q2257" i="2"/>
  <c r="AA2247" i="2"/>
  <c r="AB2247" i="2" s="1"/>
  <c r="R1628" i="2"/>
  <c r="G1628" i="2"/>
  <c r="P282" i="2"/>
  <c r="P294" i="4"/>
  <c r="U281" i="2"/>
  <c r="U293" i="4"/>
  <c r="H281" i="2"/>
  <c r="H293" i="4"/>
  <c r="H257" i="2"/>
  <c r="H268" i="4"/>
  <c r="U236" i="2"/>
  <c r="U246" i="4"/>
  <c r="H221" i="2"/>
  <c r="H232" i="4"/>
  <c r="H19" i="4"/>
  <c r="M19" i="1"/>
  <c r="M19" i="5" s="1"/>
  <c r="X2657" i="2"/>
  <c r="Z2657" i="2" s="1"/>
  <c r="M2657" i="2"/>
  <c r="AA2657" i="2" s="1"/>
  <c r="AB2657" i="2" s="1"/>
  <c r="V2534" i="2"/>
  <c r="W2534" i="2" s="1"/>
  <c r="M2534" i="2"/>
  <c r="V2524" i="2"/>
  <c r="U2524" i="2"/>
  <c r="H2523" i="2"/>
  <c r="M2523" i="2" s="1"/>
  <c r="AA2523" i="2" s="1"/>
  <c r="AB2523" i="2" s="1"/>
  <c r="F2531" i="2"/>
  <c r="V2441" i="2"/>
  <c r="W2441" i="2" s="1"/>
  <c r="X2441" i="2"/>
  <c r="Z2441" i="2" s="1"/>
  <c r="U2441" i="2"/>
  <c r="AA2441" i="2" s="1"/>
  <c r="AB2441" i="2" s="1"/>
  <c r="X2410" i="2"/>
  <c r="Z2410" i="2" s="1"/>
  <c r="M2410" i="2"/>
  <c r="AA2410" i="2" s="1"/>
  <c r="AB2410" i="2" s="1"/>
  <c r="X2407" i="2"/>
  <c r="Z2407" i="2" s="1"/>
  <c r="U2407" i="2"/>
  <c r="AA2407" i="2" s="1"/>
  <c r="AB2407" i="2" s="1"/>
  <c r="X2379" i="2"/>
  <c r="Z2379" i="2" s="1"/>
  <c r="M2379" i="2"/>
  <c r="AA2379" i="2" s="1"/>
  <c r="AB2379" i="2" s="1"/>
  <c r="X2374" i="2"/>
  <c r="Z2374" i="2" s="1"/>
  <c r="M2374" i="2"/>
  <c r="AA2374" i="2" s="1"/>
  <c r="AB2374" i="2" s="1"/>
  <c r="X2371" i="2"/>
  <c r="Z2371" i="2" s="1"/>
  <c r="U2371" i="2"/>
  <c r="V2321" i="2"/>
  <c r="W2321" i="2" s="1"/>
  <c r="M2321" i="2"/>
  <c r="M2308" i="2"/>
  <c r="X2308" i="2"/>
  <c r="Z2308" i="2" s="1"/>
  <c r="J2308" i="2"/>
  <c r="U2270" i="2"/>
  <c r="AA2270" i="2" s="1"/>
  <c r="AB2270" i="2" s="1"/>
  <c r="X2270" i="2"/>
  <c r="Z2270" i="2" s="1"/>
  <c r="Q2270" i="2"/>
  <c r="J2223" i="2"/>
  <c r="X2223" i="2"/>
  <c r="Z2223" i="2" s="1"/>
  <c r="M2222" i="2"/>
  <c r="X2222" i="2"/>
  <c r="Z2222" i="2" s="1"/>
  <c r="J2222" i="2"/>
  <c r="M2201" i="2"/>
  <c r="J2201" i="2"/>
  <c r="X2201" i="2"/>
  <c r="Z2201" i="2" s="1"/>
  <c r="M2186" i="2"/>
  <c r="AA2186" i="2" s="1"/>
  <c r="AB2186" i="2" s="1"/>
  <c r="X2186" i="2"/>
  <c r="Z2186" i="2" s="1"/>
  <c r="J2186" i="2"/>
  <c r="J2127" i="2"/>
  <c r="X2127" i="2"/>
  <c r="Z2127" i="2" s="1"/>
  <c r="M2127" i="2"/>
  <c r="J2123" i="2"/>
  <c r="M2123" i="2"/>
  <c r="M2115" i="2"/>
  <c r="X2115" i="2"/>
  <c r="Z2115" i="2" s="1"/>
  <c r="J2115" i="2"/>
  <c r="Q2100" i="2"/>
  <c r="U2100" i="2"/>
  <c r="X2083" i="2"/>
  <c r="U2083" i="2"/>
  <c r="J2076" i="2"/>
  <c r="M2076" i="2"/>
  <c r="J2065" i="2"/>
  <c r="M2065" i="2"/>
  <c r="J2049" i="2"/>
  <c r="X2049" i="2"/>
  <c r="Z2049" i="2" s="1"/>
  <c r="M2049" i="2"/>
  <c r="AA2049" i="2" s="1"/>
  <c r="AB2049" i="2" s="1"/>
  <c r="U1933" i="2"/>
  <c r="AA1933" i="2" s="1"/>
  <c r="AB1933" i="2" s="1"/>
  <c r="V1933" i="2"/>
  <c r="W1933" i="2" s="1"/>
  <c r="U1857" i="2"/>
  <c r="X1857" i="2"/>
  <c r="Z1857" i="2" s="1"/>
  <c r="Q1857" i="2"/>
  <c r="J1817" i="2"/>
  <c r="M1817" i="2"/>
  <c r="X1817" i="2"/>
  <c r="Z1817" i="2" s="1"/>
  <c r="X252" i="1"/>
  <c r="M202" i="1"/>
  <c r="M202" i="5" s="1"/>
  <c r="Z200" i="1"/>
  <c r="Z192" i="2" s="1"/>
  <c r="I200" i="1"/>
  <c r="Z189" i="1"/>
  <c r="Z181" i="2" s="1"/>
  <c r="K188" i="1"/>
  <c r="K188" i="5" s="1"/>
  <c r="X187" i="1"/>
  <c r="V160" i="1"/>
  <c r="V82" i="1"/>
  <c r="V82" i="5" s="1"/>
  <c r="G132" i="1"/>
  <c r="G2898" i="1" s="1"/>
  <c r="R2750" i="4"/>
  <c r="G2750" i="4"/>
  <c r="Y2683" i="4"/>
  <c r="Q2683" i="4"/>
  <c r="I2683" i="4"/>
  <c r="J2658" i="4"/>
  <c r="Y2635" i="4"/>
  <c r="Q2635" i="4"/>
  <c r="R2515" i="4"/>
  <c r="N2446" i="4"/>
  <c r="F2428" i="4"/>
  <c r="N2382" i="4"/>
  <c r="W2382" i="4"/>
  <c r="F2382" i="4"/>
  <c r="G2341" i="4"/>
  <c r="V2341" i="4"/>
  <c r="X2313" i="4"/>
  <c r="Z2313" i="4" s="1"/>
  <c r="T2292" i="4"/>
  <c r="V2292" i="4"/>
  <c r="O2292" i="4"/>
  <c r="W2292" i="4"/>
  <c r="K2219" i="4"/>
  <c r="O2194" i="4"/>
  <c r="V2138" i="4"/>
  <c r="W2138" i="4"/>
  <c r="K2138" i="4"/>
  <c r="I1758" i="4"/>
  <c r="R1737" i="4"/>
  <c r="G1737" i="4"/>
  <c r="O1709" i="4"/>
  <c r="L1659" i="4"/>
  <c r="J1166" i="4"/>
  <c r="G1085" i="4"/>
  <c r="O1085" i="4"/>
  <c r="J1049" i="4"/>
  <c r="N802" i="4"/>
  <c r="N781" i="4"/>
  <c r="P470" i="4"/>
  <c r="N473" i="4"/>
  <c r="O333" i="4"/>
  <c r="X312" i="4"/>
  <c r="Z312" i="4" s="1"/>
  <c r="P296" i="4"/>
  <c r="J246" i="4"/>
  <c r="L261" i="4"/>
  <c r="X235" i="4"/>
  <c r="Z235" i="4" s="1"/>
  <c r="H193" i="4"/>
  <c r="J208" i="4"/>
  <c r="K166" i="4"/>
  <c r="M142" i="4"/>
  <c r="Y92" i="4"/>
  <c r="Z68" i="4"/>
  <c r="G68" i="4"/>
  <c r="P36" i="4"/>
  <c r="K2686" i="2"/>
  <c r="X2416" i="2"/>
  <c r="Z2416" i="2" s="1"/>
  <c r="W2406" i="2"/>
  <c r="W2375" i="2"/>
  <c r="AB2224" i="2"/>
  <c r="X2090" i="2"/>
  <c r="Z2090" i="2" s="1"/>
  <c r="R1617" i="2"/>
  <c r="R2625" i="2" s="1"/>
  <c r="L1617" i="2"/>
  <c r="G1617" i="2"/>
  <c r="P16" i="4"/>
  <c r="P16" i="2"/>
  <c r="V2332" i="2"/>
  <c r="W2332" i="2" s="1"/>
  <c r="U2332" i="2"/>
  <c r="AA2332" i="2" s="1"/>
  <c r="AB2332" i="2" s="1"/>
  <c r="M2280" i="2"/>
  <c r="H2294" i="2"/>
  <c r="M2192" i="2"/>
  <c r="X2192" i="2"/>
  <c r="Z2192" i="2" s="1"/>
  <c r="J2192" i="2"/>
  <c r="M2133" i="2"/>
  <c r="AA2133" i="2" s="1"/>
  <c r="AB2133" i="2" s="1"/>
  <c r="X2133" i="2"/>
  <c r="Z2133" i="2" s="1"/>
  <c r="U2131" i="2"/>
  <c r="Q2131" i="2"/>
  <c r="Q2107" i="2"/>
  <c r="U2107" i="2"/>
  <c r="U2081" i="2"/>
  <c r="Q2081" i="2"/>
  <c r="J2056" i="2"/>
  <c r="X2056" i="2"/>
  <c r="Z2056" i="2" s="1"/>
  <c r="Q1985" i="2"/>
  <c r="U1985" i="2"/>
  <c r="U1975" i="2"/>
  <c r="AA1975" i="2" s="1"/>
  <c r="AB1975" i="2" s="1"/>
  <c r="Q1975" i="2"/>
  <c r="X1959" i="2"/>
  <c r="Z1959" i="2" s="1"/>
  <c r="M1959" i="2"/>
  <c r="AA1959" i="2" s="1"/>
  <c r="AB1959" i="2" s="1"/>
  <c r="V1932" i="2"/>
  <c r="W1932" i="2" s="1"/>
  <c r="X1932" i="2"/>
  <c r="Z1932" i="2" s="1"/>
  <c r="U1932" i="2"/>
  <c r="X1917" i="2"/>
  <c r="Z1917" i="2" s="1"/>
  <c r="M1917" i="2"/>
  <c r="AA1917" i="2" s="1"/>
  <c r="AB1917" i="2" s="1"/>
  <c r="U1844" i="2"/>
  <c r="Q1844" i="2"/>
  <c r="Q1843" i="2"/>
  <c r="X1843" i="2"/>
  <c r="Z1843" i="2" s="1"/>
  <c r="U1818" i="2"/>
  <c r="Q1818" i="2"/>
  <c r="J1814" i="2"/>
  <c r="M1814" i="2"/>
  <c r="AA1814" i="2" s="1"/>
  <c r="J1813" i="2"/>
  <c r="X1813" i="2"/>
  <c r="Z1813" i="2" s="1"/>
  <c r="X1809" i="2"/>
  <c r="U1809" i="2"/>
  <c r="J2728" i="4"/>
  <c r="R2728" i="4"/>
  <c r="T2683" i="4"/>
  <c r="N2635" i="4"/>
  <c r="K2608" i="4"/>
  <c r="T2565" i="4"/>
  <c r="Y2565" i="4"/>
  <c r="I2565" i="4"/>
  <c r="X2535" i="4"/>
  <c r="Z2535" i="4" s="1"/>
  <c r="X2499" i="4"/>
  <c r="Z2499" i="4" s="1"/>
  <c r="X2470" i="4"/>
  <c r="Z2470" i="4" s="1"/>
  <c r="T2470" i="4"/>
  <c r="O2470" i="4"/>
  <c r="J2470" i="4"/>
  <c r="N2410" i="4"/>
  <c r="W2410" i="4"/>
  <c r="V2366" i="4"/>
  <c r="W2341" i="4"/>
  <c r="N2341" i="4"/>
  <c r="N2262" i="4"/>
  <c r="G2262" i="4"/>
  <c r="W2262" i="4"/>
  <c r="W2194" i="4"/>
  <c r="N2194" i="4"/>
  <c r="G2194" i="4"/>
  <c r="X2173" i="4"/>
  <c r="Z2173" i="4" s="1"/>
  <c r="X2037" i="4"/>
  <c r="Z2037" i="4" s="1"/>
  <c r="Y1987" i="4"/>
  <c r="I1987" i="4"/>
  <c r="Y1967" i="4"/>
  <c r="L1967" i="4"/>
  <c r="I1967" i="4"/>
  <c r="X1951" i="4"/>
  <c r="Z1951" i="4" s="1"/>
  <c r="L1784" i="4"/>
  <c r="L1758" i="4"/>
  <c r="O1737" i="4"/>
  <c r="K1737" i="4"/>
  <c r="S1737" i="4"/>
  <c r="N1737" i="4"/>
  <c r="I1737" i="4"/>
  <c r="Y1720" i="4"/>
  <c r="Q1720" i="4"/>
  <c r="I1720" i="4"/>
  <c r="L1497" i="4"/>
  <c r="O1339" i="4"/>
  <c r="Y1033" i="4"/>
  <c r="L1033" i="4"/>
  <c r="Z950" i="4"/>
  <c r="I941" i="4"/>
  <c r="G922" i="4"/>
  <c r="R922" i="4"/>
  <c r="R961" i="4" s="1"/>
  <c r="R2909" i="4" s="1"/>
  <c r="X844" i="4"/>
  <c r="Z844" i="4" s="1"/>
  <c r="O781" i="4"/>
  <c r="T714" i="4"/>
  <c r="Q589" i="4"/>
  <c r="Z556" i="4"/>
  <c r="R558" i="4"/>
  <c r="J558" i="4"/>
  <c r="Y558" i="4"/>
  <c r="Q558" i="4"/>
  <c r="F473" i="4"/>
  <c r="P28" i="4"/>
  <c r="X2682" i="2"/>
  <c r="Z2682" i="2" s="1"/>
  <c r="X2676" i="2"/>
  <c r="Z2676" i="2" s="1"/>
  <c r="X2673" i="2"/>
  <c r="Z2673" i="2" s="1"/>
  <c r="X2669" i="2"/>
  <c r="Z2669" i="2" s="1"/>
  <c r="X2667" i="2"/>
  <c r="Z2667" i="2" s="1"/>
  <c r="AA2654" i="2"/>
  <c r="AB2654" i="2" s="1"/>
  <c r="X2653" i="2"/>
  <c r="Z2653" i="2" s="1"/>
  <c r="AA2626" i="2"/>
  <c r="AB2626" i="2" s="1"/>
  <c r="X2624" i="2"/>
  <c r="Z2624" i="2" s="1"/>
  <c r="X2618" i="2"/>
  <c r="Z2618" i="2" s="1"/>
  <c r="AA2615" i="2"/>
  <c r="K2594" i="2"/>
  <c r="K2750" i="2" s="1"/>
  <c r="V2547" i="2"/>
  <c r="W2547" i="2" s="1"/>
  <c r="X2542" i="2"/>
  <c r="Z2542" i="2" s="1"/>
  <c r="X2537" i="2"/>
  <c r="Z2537" i="2" s="1"/>
  <c r="I2594" i="2"/>
  <c r="I2750" i="2" s="1"/>
  <c r="V2526" i="2"/>
  <c r="V2523" i="2"/>
  <c r="X2522" i="2"/>
  <c r="Z2522" i="2" s="1"/>
  <c r="O2511" i="2"/>
  <c r="O2748" i="2" s="1"/>
  <c r="V2506" i="2"/>
  <c r="X2499" i="2"/>
  <c r="Z2499" i="2" s="1"/>
  <c r="X2495" i="2"/>
  <c r="Z2495" i="2" s="1"/>
  <c r="X2478" i="2"/>
  <c r="Z2478" i="2" s="1"/>
  <c r="X2475" i="2"/>
  <c r="Z2475" i="2" s="1"/>
  <c r="R2511" i="2"/>
  <c r="R2748" i="2" s="1"/>
  <c r="X2460" i="2"/>
  <c r="V2455" i="2"/>
  <c r="W2455" i="2" s="1"/>
  <c r="V2452" i="2"/>
  <c r="W2452" i="2" s="1"/>
  <c r="X2444" i="2"/>
  <c r="Z2444" i="2" s="1"/>
  <c r="Z2426" i="2"/>
  <c r="V2422" i="2"/>
  <c r="W2422" i="2" s="1"/>
  <c r="X2396" i="2"/>
  <c r="Z2396" i="2" s="1"/>
  <c r="V2395" i="2"/>
  <c r="W2395" i="2" s="1"/>
  <c r="X2387" i="2"/>
  <c r="Z2387" i="2" s="1"/>
  <c r="Y2430" i="2"/>
  <c r="I2430" i="2"/>
  <c r="I2746" i="2" s="1"/>
  <c r="X2362" i="2"/>
  <c r="Z2362" i="2" s="1"/>
  <c r="V2361" i="2"/>
  <c r="W2361" i="2" s="1"/>
  <c r="T2430" i="2"/>
  <c r="T2746" i="2" s="1"/>
  <c r="K2430" i="2"/>
  <c r="K2746" i="2" s="1"/>
  <c r="X2267" i="2"/>
  <c r="Z2267" i="2" s="1"/>
  <c r="X2247" i="2"/>
  <c r="Z2247" i="2" s="1"/>
  <c r="G2314" i="2"/>
  <c r="G2744" i="2" s="1"/>
  <c r="X2181" i="2"/>
  <c r="X2093" i="2"/>
  <c r="Z2093" i="2" s="1"/>
  <c r="AA2091" i="2"/>
  <c r="AB2091" i="2" s="1"/>
  <c r="AA2068" i="2"/>
  <c r="AB2068" i="2" s="1"/>
  <c r="Z2035" i="2"/>
  <c r="Q2033" i="2"/>
  <c r="AA2002" i="2"/>
  <c r="AB2002" i="2" s="1"/>
  <c r="O1967" i="2"/>
  <c r="O2740" i="2" s="1"/>
  <c r="X1963" i="2"/>
  <c r="Z1963" i="2" s="1"/>
  <c r="X1955" i="2"/>
  <c r="Z1955" i="2" s="1"/>
  <c r="R1967" i="2"/>
  <c r="R2740" i="2" s="1"/>
  <c r="AA1945" i="2"/>
  <c r="AB1945" i="2" s="1"/>
  <c r="X1941" i="2"/>
  <c r="Z1941" i="2" s="1"/>
  <c r="AA1924" i="2"/>
  <c r="X1845" i="2"/>
  <c r="Z1845" i="2" s="1"/>
  <c r="X1826" i="2"/>
  <c r="Z1826" i="2" s="1"/>
  <c r="N1749" i="2"/>
  <c r="O1749" i="2"/>
  <c r="W1710" i="2"/>
  <c r="N1667" i="2"/>
  <c r="I1645" i="2"/>
  <c r="J1605" i="2"/>
  <c r="J968" i="2"/>
  <c r="O941" i="2"/>
  <c r="O943" i="2" s="1"/>
  <c r="G600" i="2"/>
  <c r="M2292" i="2"/>
  <c r="AA2292" i="2" s="1"/>
  <c r="AB2292" i="2" s="1"/>
  <c r="X2292" i="2"/>
  <c r="Z2292" i="2" s="1"/>
  <c r="U2246" i="2"/>
  <c r="Q2246" i="2"/>
  <c r="U2198" i="2"/>
  <c r="Q2198" i="2"/>
  <c r="U2185" i="2"/>
  <c r="Q2185" i="2"/>
  <c r="J2180" i="2"/>
  <c r="X2180" i="2"/>
  <c r="Z2180" i="2" s="1"/>
  <c r="M2162" i="2"/>
  <c r="AA2162" i="2" s="1"/>
  <c r="AB2162" i="2" s="1"/>
  <c r="X2162" i="2"/>
  <c r="Z2162" i="2" s="1"/>
  <c r="J2162" i="2"/>
  <c r="U2127" i="2"/>
  <c r="Q2127" i="2"/>
  <c r="M2110" i="2"/>
  <c r="J2110" i="2"/>
  <c r="M2100" i="2"/>
  <c r="AA2100" i="2" s="1"/>
  <c r="AB2100" i="2" s="1"/>
  <c r="X2100" i="2"/>
  <c r="Z2100" i="2" s="1"/>
  <c r="J2092" i="2"/>
  <c r="M2092" i="2"/>
  <c r="J2060" i="2"/>
  <c r="M2060" i="2"/>
  <c r="AA2060" i="2" s="1"/>
  <c r="AB2060" i="2" s="1"/>
  <c r="J2050" i="2"/>
  <c r="M2050" i="2"/>
  <c r="H2028" i="2"/>
  <c r="F2052" i="2"/>
  <c r="Q2005" i="2"/>
  <c r="U2005" i="2"/>
  <c r="V1956" i="2"/>
  <c r="W1956" i="2" s="1"/>
  <c r="U1956" i="2"/>
  <c r="AA1956" i="2" s="1"/>
  <c r="AB1956" i="2" s="1"/>
  <c r="V1943" i="2"/>
  <c r="U1943" i="2"/>
  <c r="V1913" i="2"/>
  <c r="W1913" i="2" s="1"/>
  <c r="U1913" i="2"/>
  <c r="AA1913" i="2" s="1"/>
  <c r="AB1913" i="2" s="1"/>
  <c r="V1897" i="2"/>
  <c r="U1897" i="2"/>
  <c r="V1894" i="2"/>
  <c r="W1894" i="2" s="1"/>
  <c r="X1894" i="2"/>
  <c r="Z1894" i="2" s="1"/>
  <c r="X1891" i="2"/>
  <c r="Z1891" i="2" s="1"/>
  <c r="M1891" i="2"/>
  <c r="AA1891" i="2" s="1"/>
  <c r="AB1891" i="2" s="1"/>
  <c r="M1859" i="2"/>
  <c r="AA1859" i="2" s="1"/>
  <c r="AB1859" i="2" s="1"/>
  <c r="X1859" i="2"/>
  <c r="Z1859" i="2" s="1"/>
  <c r="U1841" i="2"/>
  <c r="Q1841" i="2"/>
  <c r="J1836" i="2"/>
  <c r="X1836" i="2"/>
  <c r="M1829" i="2"/>
  <c r="X1829" i="2"/>
  <c r="Z1829" i="2" s="1"/>
  <c r="M1803" i="2"/>
  <c r="X1803" i="2"/>
  <c r="Z1803" i="2" s="1"/>
  <c r="T1709" i="4"/>
  <c r="L1709" i="4"/>
  <c r="K1639" i="4"/>
  <c r="S1639" i="4"/>
  <c r="S1618" i="4"/>
  <c r="N1618" i="4"/>
  <c r="F1592" i="4"/>
  <c r="N1592" i="4"/>
  <c r="Y1592" i="4"/>
  <c r="Q1592" i="4"/>
  <c r="J1568" i="4"/>
  <c r="K1188" i="4"/>
  <c r="S1188" i="4"/>
  <c r="X1049" i="4"/>
  <c r="Z1049" i="4" s="1"/>
  <c r="G844" i="4"/>
  <c r="X802" i="4"/>
  <c r="Z802" i="4" s="1"/>
  <c r="R638" i="4"/>
  <c r="O638" i="4"/>
  <c r="T545" i="4"/>
  <c r="R457" i="4"/>
  <c r="L457" i="4"/>
  <c r="J446" i="4"/>
  <c r="L184" i="4"/>
  <c r="I45" i="4"/>
  <c r="O22" i="4"/>
  <c r="J22" i="4"/>
  <c r="R22" i="4"/>
  <c r="AA2682" i="2"/>
  <c r="AB2682" i="2" s="1"/>
  <c r="X2668" i="2"/>
  <c r="Z2668" i="2" s="1"/>
  <c r="AA2667" i="2"/>
  <c r="AB2667" i="2" s="1"/>
  <c r="X2666" i="2"/>
  <c r="Z2666" i="2" s="1"/>
  <c r="AA2656" i="2"/>
  <c r="AB2656" i="2" s="1"/>
  <c r="AA2653" i="2"/>
  <c r="AB2653" i="2" s="1"/>
  <c r="AA2648" i="2"/>
  <c r="AB2648" i="2" s="1"/>
  <c r="AA2624" i="2"/>
  <c r="AB2624" i="2" s="1"/>
  <c r="X2623" i="2"/>
  <c r="Z2623" i="2" s="1"/>
  <c r="AA2617" i="2"/>
  <c r="AB2617" i="2" s="1"/>
  <c r="R2594" i="2"/>
  <c r="X2569" i="2"/>
  <c r="AA2542" i="2"/>
  <c r="AB2542" i="2" s="1"/>
  <c r="V2541" i="2"/>
  <c r="W2541" i="2" s="1"/>
  <c r="X2538" i="2"/>
  <c r="Z2538" i="2" s="1"/>
  <c r="AA2526" i="2"/>
  <c r="AB2526" i="2" s="1"/>
  <c r="AA2522" i="2"/>
  <c r="AB2522" i="2" s="1"/>
  <c r="X2519" i="2"/>
  <c r="Z2519" i="2" s="1"/>
  <c r="V2518" i="2"/>
  <c r="W2518" i="2" s="1"/>
  <c r="AA2499" i="2"/>
  <c r="AB2499" i="2" s="1"/>
  <c r="AA2495" i="2"/>
  <c r="AB2495" i="2" s="1"/>
  <c r="X2479" i="2"/>
  <c r="Z2479" i="2" s="1"/>
  <c r="AA2475" i="2"/>
  <c r="AB2475" i="2" s="1"/>
  <c r="V2474" i="2"/>
  <c r="W2474" i="2" s="1"/>
  <c r="N2511" i="2"/>
  <c r="N2748" i="2" s="1"/>
  <c r="V2453" i="2"/>
  <c r="V2450" i="2"/>
  <c r="AA2444" i="2"/>
  <c r="AB2444" i="2" s="1"/>
  <c r="X2438" i="2"/>
  <c r="Z2438" i="2" s="1"/>
  <c r="AA2437" i="2"/>
  <c r="AB2437" i="2" s="1"/>
  <c r="V2426" i="2"/>
  <c r="V2420" i="2"/>
  <c r="W2420" i="2" s="1"/>
  <c r="V2417" i="2"/>
  <c r="W2417" i="2" s="1"/>
  <c r="W2413" i="2"/>
  <c r="AA2387" i="2"/>
  <c r="AB2387" i="2" s="1"/>
  <c r="V2365" i="2"/>
  <c r="W2365" i="2" s="1"/>
  <c r="U2367" i="2"/>
  <c r="G2430" i="2"/>
  <c r="G2746" i="2" s="1"/>
  <c r="V2336" i="2"/>
  <c r="W2336" i="2" s="1"/>
  <c r="X2286" i="2"/>
  <c r="Z2286" i="2" s="1"/>
  <c r="AA2148" i="2"/>
  <c r="AB2148" i="2" s="1"/>
  <c r="T2167" i="2"/>
  <c r="T2742" i="2" s="1"/>
  <c r="AA1988" i="2"/>
  <c r="X1975" i="2"/>
  <c r="Z1975" i="2" s="1"/>
  <c r="AA1937" i="2"/>
  <c r="AB1937" i="2" s="1"/>
  <c r="T1769" i="2"/>
  <c r="R1589" i="2"/>
  <c r="Y1537" i="2"/>
  <c r="J1537" i="2"/>
  <c r="W320" i="2"/>
  <c r="X2325" i="2"/>
  <c r="Z2325" i="2" s="1"/>
  <c r="M2325" i="2"/>
  <c r="AA2325" i="2" s="1"/>
  <c r="AB2325" i="2" s="1"/>
  <c r="M2245" i="2"/>
  <c r="AA2245" i="2" s="1"/>
  <c r="AB2245" i="2" s="1"/>
  <c r="X2245" i="2"/>
  <c r="Z2245" i="2" s="1"/>
  <c r="U2225" i="2"/>
  <c r="Q2225" i="2"/>
  <c r="Q2197" i="2"/>
  <c r="U2197" i="2"/>
  <c r="M2149" i="2"/>
  <c r="X2149" i="2"/>
  <c r="Q2148" i="2"/>
  <c r="X2148" i="2"/>
  <c r="Z2148" i="2" s="1"/>
  <c r="M2101" i="2"/>
  <c r="J2101" i="2"/>
  <c r="M2090" i="2"/>
  <c r="AA2090" i="2" s="1"/>
  <c r="AB2090" i="2" s="1"/>
  <c r="J2090" i="2"/>
  <c r="J2067" i="2"/>
  <c r="M2067" i="2"/>
  <c r="AA2067" i="2" s="1"/>
  <c r="AB2067" i="2" s="1"/>
  <c r="U2056" i="2"/>
  <c r="AA2056" i="2" s="1"/>
  <c r="AB2056" i="2" s="1"/>
  <c r="Q2056" i="2"/>
  <c r="U2050" i="2"/>
  <c r="Q2050" i="2"/>
  <c r="Q2045" i="2"/>
  <c r="U2045" i="2"/>
  <c r="U2010" i="2"/>
  <c r="Q2010" i="2"/>
  <c r="J2006" i="2"/>
  <c r="X2006" i="2"/>
  <c r="Z2006" i="2" s="1"/>
  <c r="U1963" i="2"/>
  <c r="AA1963" i="2" s="1"/>
  <c r="AB1963" i="2" s="1"/>
  <c r="V1963" i="2"/>
  <c r="W1963" i="2" s="1"/>
  <c r="U1955" i="2"/>
  <c r="AA1955" i="2" s="1"/>
  <c r="AB1955" i="2" s="1"/>
  <c r="V1955" i="2"/>
  <c r="W1955" i="2" s="1"/>
  <c r="U1941" i="2"/>
  <c r="AA1941" i="2" s="1"/>
  <c r="AB1941" i="2" s="1"/>
  <c r="V1941" i="2"/>
  <c r="W1941" i="2" s="1"/>
  <c r="V1936" i="2"/>
  <c r="W1936" i="2" s="1"/>
  <c r="U1936" i="2"/>
  <c r="V1916" i="2"/>
  <c r="W1916" i="2" s="1"/>
  <c r="X1916" i="2"/>
  <c r="Z1916" i="2" s="1"/>
  <c r="J1853" i="2"/>
  <c r="M1853" i="2"/>
  <c r="U1837" i="2"/>
  <c r="Q1837" i="2"/>
  <c r="J1805" i="2"/>
  <c r="M1805" i="2"/>
  <c r="K1709" i="4"/>
  <c r="S1709" i="4"/>
  <c r="R1697" i="4"/>
  <c r="L1697" i="4"/>
  <c r="Z1678" i="4"/>
  <c r="Q1678" i="4"/>
  <c r="I1659" i="4"/>
  <c r="Y1659" i="4"/>
  <c r="O1639" i="4"/>
  <c r="G1618" i="4"/>
  <c r="O1618" i="4"/>
  <c r="X1339" i="4"/>
  <c r="Z1339" i="4" s="1"/>
  <c r="O1281" i="4"/>
  <c r="T1188" i="4"/>
  <c r="T1143" i="4"/>
  <c r="J1143" i="4"/>
  <c r="X1106" i="4"/>
  <c r="Z1106" i="4" s="1"/>
  <c r="G1106" i="4"/>
  <c r="F1049" i="4"/>
  <c r="J984" i="4"/>
  <c r="J986" i="4" s="1"/>
  <c r="N956" i="4"/>
  <c r="J625" i="4"/>
  <c r="R625" i="4"/>
  <c r="Y509" i="4"/>
  <c r="J509" i="4"/>
  <c r="Z52" i="4"/>
  <c r="X45" i="4"/>
  <c r="Z45" i="4" s="1"/>
  <c r="M2668" i="2"/>
  <c r="AA2668" i="2" s="1"/>
  <c r="AB2668" i="2" s="1"/>
  <c r="U2666" i="2"/>
  <c r="AA2666" i="2" s="1"/>
  <c r="AB2666" i="2" s="1"/>
  <c r="X2630" i="2"/>
  <c r="Z2630" i="2" s="1"/>
  <c r="M2623" i="2"/>
  <c r="AA2623" i="2" s="1"/>
  <c r="AB2623" i="2" s="1"/>
  <c r="F2592" i="2"/>
  <c r="V2570" i="2"/>
  <c r="W2570" i="2" s="1"/>
  <c r="O2594" i="2"/>
  <c r="O2750" i="2" s="1"/>
  <c r="J2594" i="2"/>
  <c r="Y2594" i="2"/>
  <c r="Q2594" i="2"/>
  <c r="Q2750" i="2" s="1"/>
  <c r="AA2518" i="2"/>
  <c r="AB2518" i="2" s="1"/>
  <c r="X2507" i="2"/>
  <c r="Z2507" i="2" s="1"/>
  <c r="U2474" i="2"/>
  <c r="J2511" i="2"/>
  <c r="J2748" i="2" s="1"/>
  <c r="V2448" i="2"/>
  <c r="W2448" i="2" s="1"/>
  <c r="V2418" i="2"/>
  <c r="W2418" i="2" s="1"/>
  <c r="V2415" i="2"/>
  <c r="W2415" i="2" s="1"/>
  <c r="V2412" i="2"/>
  <c r="W2412" i="2" s="1"/>
  <c r="AA2392" i="2"/>
  <c r="AB2392" i="2" s="1"/>
  <c r="AA2371" i="2"/>
  <c r="AB2371" i="2" s="1"/>
  <c r="AA2271" i="2"/>
  <c r="AB2271" i="2" s="1"/>
  <c r="Q2196" i="2"/>
  <c r="Q2194" i="2"/>
  <c r="U2183" i="2"/>
  <c r="M2181" i="2"/>
  <c r="M2180" i="2"/>
  <c r="Q2178" i="2"/>
  <c r="U2159" i="2"/>
  <c r="Q2147" i="2"/>
  <c r="J2143" i="2"/>
  <c r="M2142" i="2"/>
  <c r="AA2142" i="2" s="1"/>
  <c r="AB2142" i="2" s="1"/>
  <c r="AA2094" i="2"/>
  <c r="AB2094" i="2" s="1"/>
  <c r="Q2087" i="2"/>
  <c r="Q2084" i="2"/>
  <c r="J2080" i="2"/>
  <c r="M2034" i="2"/>
  <c r="M2030" i="2"/>
  <c r="X2009" i="2"/>
  <c r="E1995" i="2"/>
  <c r="U1960" i="2"/>
  <c r="AA1960" i="2" s="1"/>
  <c r="AB1960" i="2" s="1"/>
  <c r="V1959" i="2"/>
  <c r="W1959" i="2" s="1"/>
  <c r="X1956" i="2"/>
  <c r="Z1956" i="2" s="1"/>
  <c r="U1952" i="2"/>
  <c r="V1950" i="2"/>
  <c r="W1950" i="2" s="1"/>
  <c r="I1967" i="2"/>
  <c r="I2740" i="2" s="1"/>
  <c r="U1920" i="2"/>
  <c r="V1917" i="2"/>
  <c r="W1917" i="2" s="1"/>
  <c r="U1909" i="2"/>
  <c r="AA1909" i="2" s="1"/>
  <c r="AB1909" i="2" s="1"/>
  <c r="X1897" i="2"/>
  <c r="V1895" i="2"/>
  <c r="W1895" i="2" s="1"/>
  <c r="U1894" i="2"/>
  <c r="V1891" i="2"/>
  <c r="W1891" i="2" s="1"/>
  <c r="Q1861" i="2"/>
  <c r="J1859" i="2"/>
  <c r="AA1857" i="2"/>
  <c r="AB1857" i="2" s="1"/>
  <c r="M1845" i="2"/>
  <c r="AA1845" i="2" s="1"/>
  <c r="AB1845" i="2" s="1"/>
  <c r="Q1840" i="2"/>
  <c r="M1836" i="2"/>
  <c r="AA1836" i="2" s="1"/>
  <c r="AB1836" i="2" s="1"/>
  <c r="AA1835" i="2"/>
  <c r="AB1835" i="2" s="1"/>
  <c r="J1829" i="2"/>
  <c r="M1826" i="2"/>
  <c r="AA1826" i="2" s="1"/>
  <c r="J1803" i="2"/>
  <c r="R2650" i="2"/>
  <c r="F1514" i="2"/>
  <c r="N142" i="2"/>
  <c r="K142" i="2"/>
  <c r="F142" i="2"/>
  <c r="R142" i="2"/>
  <c r="J142" i="2"/>
  <c r="M2195" i="2"/>
  <c r="AA2195" i="2" s="1"/>
  <c r="AB2195" i="2" s="1"/>
  <c r="X2195" i="2"/>
  <c r="Z2195" i="2" s="1"/>
  <c r="J2094" i="2"/>
  <c r="X2094" i="2"/>
  <c r="Z2094" i="2" s="1"/>
  <c r="M2085" i="2"/>
  <c r="AA2085" i="2" s="1"/>
  <c r="AB2085" i="2" s="1"/>
  <c r="X2085" i="2"/>
  <c r="Z2085" i="2" s="1"/>
  <c r="F2072" i="2"/>
  <c r="H2066" i="2"/>
  <c r="J1984" i="2"/>
  <c r="M1984" i="2"/>
  <c r="H1920" i="2"/>
  <c r="V1920" i="2" s="1"/>
  <c r="W1920" i="2" s="1"/>
  <c r="F1927" i="2"/>
  <c r="M1840" i="2"/>
  <c r="AA1840" i="2" s="1"/>
  <c r="AB1840" i="2" s="1"/>
  <c r="X1840" i="2"/>
  <c r="Z1840" i="2" s="1"/>
  <c r="X2329" i="2"/>
  <c r="Z2329" i="2" s="1"/>
  <c r="V2324" i="2"/>
  <c r="W2324" i="2" s="1"/>
  <c r="AA2309" i="2"/>
  <c r="AB2309" i="2" s="1"/>
  <c r="AA2298" i="2"/>
  <c r="AB2298" i="2" s="1"/>
  <c r="Y2314" i="2"/>
  <c r="Q2152" i="2"/>
  <c r="AA2093" i="2"/>
  <c r="AB2093" i="2" s="1"/>
  <c r="AA1987" i="2"/>
  <c r="AB1987" i="2" s="1"/>
  <c r="X1961" i="2"/>
  <c r="Z1961" i="2" s="1"/>
  <c r="X1953" i="2"/>
  <c r="Z1953" i="2" s="1"/>
  <c r="AA1952" i="2"/>
  <c r="AB1952" i="2" s="1"/>
  <c r="V1945" i="2"/>
  <c r="W1945" i="2" s="1"/>
  <c r="AA1916" i="2"/>
  <c r="AB1916" i="2" s="1"/>
  <c r="X1895" i="2"/>
  <c r="Z1895" i="2" s="1"/>
  <c r="AA1855" i="2"/>
  <c r="AB1855" i="2" s="1"/>
  <c r="V1800" i="2"/>
  <c r="G1693" i="2"/>
  <c r="I1676" i="2"/>
  <c r="Q1628" i="2"/>
  <c r="F1628" i="2"/>
  <c r="Q1617" i="2"/>
  <c r="Q2625" i="2" s="1"/>
  <c r="Q1605" i="2"/>
  <c r="S1589" i="2"/>
  <c r="N1537" i="2"/>
  <c r="E1514" i="2"/>
  <c r="E1464" i="2"/>
  <c r="T1246" i="2"/>
  <c r="L1093" i="2"/>
  <c r="I1037" i="2"/>
  <c r="Q968" i="2"/>
  <c r="Y833" i="2"/>
  <c r="L833" i="2"/>
  <c r="N809" i="2"/>
  <c r="K633" i="2"/>
  <c r="N633" i="2"/>
  <c r="G515" i="2"/>
  <c r="R489" i="2"/>
  <c r="G480" i="2"/>
  <c r="N380" i="2"/>
  <c r="Q299" i="2"/>
  <c r="O158" i="2"/>
  <c r="R158" i="2"/>
  <c r="G158" i="2"/>
  <c r="F123" i="2"/>
  <c r="K41" i="2"/>
  <c r="G1420" i="2"/>
  <c r="T1395" i="2"/>
  <c r="E1004" i="2"/>
  <c r="R1004" i="2"/>
  <c r="L712" i="2"/>
  <c r="G467" i="2"/>
  <c r="Q426" i="2"/>
  <c r="W250" i="2"/>
  <c r="K101" i="2"/>
  <c r="S2654" i="2"/>
  <c r="Y1556" i="2"/>
  <c r="I2666" i="2"/>
  <c r="R1556" i="2"/>
  <c r="T1464" i="2"/>
  <c r="O1274" i="2"/>
  <c r="N1218" i="2"/>
  <c r="O1218" i="2"/>
  <c r="R1057" i="2"/>
  <c r="T1018" i="2"/>
  <c r="L1018" i="2"/>
  <c r="G1018" i="2"/>
  <c r="G661" i="2"/>
  <c r="T453" i="2"/>
  <c r="O1332" i="2"/>
  <c r="R600" i="2"/>
  <c r="T549" i="2"/>
  <c r="N489" i="2"/>
  <c r="I489" i="2"/>
  <c r="Y489" i="2"/>
  <c r="J2686" i="2"/>
  <c r="L467" i="2"/>
  <c r="O426" i="2"/>
  <c r="V250" i="2"/>
  <c r="T101" i="2"/>
  <c r="R64" i="2"/>
  <c r="X130" i="4"/>
  <c r="Z130" i="4" s="1"/>
  <c r="X280" i="4"/>
  <c r="Z280" i="4" s="1"/>
  <c r="L1246" i="2"/>
  <c r="S583" i="2"/>
  <c r="S549" i="2"/>
  <c r="I549" i="2"/>
  <c r="O480" i="2"/>
  <c r="Q353" i="2"/>
  <c r="J176" i="2"/>
  <c r="E158" i="2"/>
  <c r="L142" i="2"/>
  <c r="S142" i="2"/>
  <c r="G142" i="2"/>
  <c r="Q2141" i="2"/>
  <c r="W2167" i="2"/>
  <c r="W2742" i="2" s="1"/>
  <c r="K2052" i="2"/>
  <c r="AA2017" i="2"/>
  <c r="AB2017" i="2" s="1"/>
  <c r="Q1974" i="2"/>
  <c r="Y1967" i="2"/>
  <c r="X1937" i="2"/>
  <c r="Z1937" i="2" s="1"/>
  <c r="K1967" i="2"/>
  <c r="K2740" i="2" s="1"/>
  <c r="X1922" i="2"/>
  <c r="Z1922" i="2" s="1"/>
  <c r="V1921" i="2"/>
  <c r="W1921" i="2" s="1"/>
  <c r="X1913" i="2"/>
  <c r="Z1913" i="2" s="1"/>
  <c r="X1898" i="2"/>
  <c r="Z1898" i="2" s="1"/>
  <c r="V1890" i="2"/>
  <c r="W1890" i="2" s="1"/>
  <c r="N1710" i="2"/>
  <c r="I1605" i="2"/>
  <c r="F1492" i="2"/>
  <c r="O1492" i="2"/>
  <c r="R1492" i="2"/>
  <c r="R2648" i="2" s="1"/>
  <c r="R2654" i="2"/>
  <c r="J2654" i="2"/>
  <c r="Q1093" i="2"/>
  <c r="K537" i="2"/>
  <c r="L537" i="2"/>
  <c r="G537" i="2"/>
  <c r="O401" i="2"/>
  <c r="N320" i="2"/>
  <c r="S2672" i="2"/>
  <c r="I2672" i="2"/>
  <c r="T41" i="2"/>
  <c r="J101" i="2"/>
  <c r="J2672" i="2"/>
  <c r="K2683" i="4"/>
  <c r="L2488" i="4"/>
  <c r="L2243" i="4"/>
  <c r="V1865" i="4"/>
  <c r="W1758" i="4"/>
  <c r="T1697" i="4"/>
  <c r="J1697" i="4"/>
  <c r="Q1659" i="4"/>
  <c r="R1592" i="4"/>
  <c r="O1471" i="4"/>
  <c r="N1375" i="4"/>
  <c r="N1049" i="4"/>
  <c r="K947" i="4"/>
  <c r="N844" i="4"/>
  <c r="G802" i="4"/>
  <c r="L714" i="4"/>
  <c r="Y714" i="4"/>
  <c r="K638" i="4"/>
  <c r="G457" i="4"/>
  <c r="I166" i="4"/>
  <c r="Q166" i="4"/>
  <c r="S149" i="4"/>
  <c r="Q149" i="4"/>
  <c r="Q92" i="4"/>
  <c r="S1492" i="2"/>
  <c r="J1492" i="2"/>
  <c r="G1395" i="2"/>
  <c r="G1332" i="2"/>
  <c r="R1135" i="2"/>
  <c r="L1115" i="2"/>
  <c r="R1037" i="2"/>
  <c r="Q549" i="2"/>
  <c r="F549" i="2"/>
  <c r="I537" i="2"/>
  <c r="K480" i="2"/>
  <c r="I437" i="2"/>
  <c r="K437" i="2"/>
  <c r="T426" i="2"/>
  <c r="W353" i="2"/>
  <c r="Y250" i="2"/>
  <c r="N250" i="2"/>
  <c r="J123" i="2"/>
  <c r="J2668" i="2" s="1"/>
  <c r="G123" i="2"/>
  <c r="G87" i="2"/>
  <c r="N87" i="2"/>
  <c r="Y87" i="2"/>
  <c r="I2635" i="4"/>
  <c r="K2112" i="4"/>
  <c r="X1491" i="4"/>
  <c r="Z1491" i="4" s="1"/>
  <c r="X1362" i="4"/>
  <c r="Z1362" i="4" s="1"/>
  <c r="K2750" i="4"/>
  <c r="T2704" i="4"/>
  <c r="H2567" i="4"/>
  <c r="H2925" i="4" s="1"/>
  <c r="I2470" i="4"/>
  <c r="N2138" i="4"/>
  <c r="O1987" i="4"/>
  <c r="W1820" i="4"/>
  <c r="P1969" i="4"/>
  <c r="P2917" i="4" s="1"/>
  <c r="T1639" i="4"/>
  <c r="L1541" i="4"/>
  <c r="T1497" i="4"/>
  <c r="Y1214" i="4"/>
  <c r="O1049" i="4"/>
  <c r="Y984" i="4"/>
  <c r="Y986" i="4" s="1"/>
  <c r="N823" i="4"/>
  <c r="O802" i="4"/>
  <c r="N625" i="4"/>
  <c r="Y473" i="4"/>
  <c r="I473" i="4"/>
  <c r="N398" i="4"/>
  <c r="Y184" i="4"/>
  <c r="T149" i="4"/>
  <c r="L149" i="4"/>
  <c r="O68" i="4"/>
  <c r="I22" i="4"/>
  <c r="Q22" i="4"/>
  <c r="S22" i="4"/>
  <c r="Y1573" i="2"/>
  <c r="I1573" i="2"/>
  <c r="O1514" i="2"/>
  <c r="G1514" i="2"/>
  <c r="N1420" i="2"/>
  <c r="S1079" i="2"/>
  <c r="I988" i="2"/>
  <c r="Q988" i="2"/>
  <c r="Y879" i="2"/>
  <c r="G855" i="2"/>
  <c r="Y712" i="2"/>
  <c r="K600" i="2"/>
  <c r="I600" i="2"/>
  <c r="O467" i="2"/>
  <c r="L401" i="2"/>
  <c r="S2657" i="2"/>
  <c r="S21" i="2"/>
  <c r="E21" i="2"/>
  <c r="N2059" i="4"/>
  <c r="P2752" i="4"/>
  <c r="P2929" i="4" s="1"/>
  <c r="L2704" i="4"/>
  <c r="X2612" i="4"/>
  <c r="Z2612" i="4" s="1"/>
  <c r="O2515" i="4"/>
  <c r="T2488" i="4"/>
  <c r="T2428" i="4"/>
  <c r="N2173" i="4"/>
  <c r="G2112" i="4"/>
  <c r="T1767" i="4"/>
  <c r="R1678" i="4"/>
  <c r="J1618" i="4"/>
  <c r="L1433" i="4"/>
  <c r="O1309" i="4"/>
  <c r="I1214" i="4"/>
  <c r="Q1129" i="4"/>
  <c r="S1129" i="4"/>
  <c r="K1129" i="4"/>
  <c r="S1085" i="4"/>
  <c r="K1085" i="4"/>
  <c r="F1085" i="4"/>
  <c r="X1065" i="4"/>
  <c r="Z1065" i="4" s="1"/>
  <c r="I1065" i="4"/>
  <c r="T1065" i="4"/>
  <c r="T1013" i="4"/>
  <c r="K895" i="4"/>
  <c r="N872" i="4"/>
  <c r="G872" i="4"/>
  <c r="O823" i="4"/>
  <c r="T756" i="4"/>
  <c r="T691" i="4"/>
  <c r="L661" i="4"/>
  <c r="G661" i="4"/>
  <c r="O661" i="4"/>
  <c r="O625" i="4"/>
  <c r="O570" i="4"/>
  <c r="J570" i="4"/>
  <c r="N535" i="4"/>
  <c r="Y535" i="4"/>
  <c r="F535" i="4"/>
  <c r="T500" i="4"/>
  <c r="L500" i="4"/>
  <c r="G500" i="4"/>
  <c r="R473" i="4"/>
  <c r="J473" i="4"/>
  <c r="T398" i="4"/>
  <c r="W333" i="4"/>
  <c r="N312" i="4"/>
  <c r="V312" i="4"/>
  <c r="O312" i="4"/>
  <c r="Y235" i="4"/>
  <c r="J130" i="4"/>
  <c r="I130" i="4"/>
  <c r="Y130" i="4"/>
  <c r="Q130" i="4"/>
  <c r="F130" i="4"/>
  <c r="Y45" i="4"/>
  <c r="Q45" i="4"/>
  <c r="Y2644" i="2"/>
  <c r="W1800" i="2"/>
  <c r="N1800" i="2"/>
  <c r="T1728" i="2"/>
  <c r="N1728" i="2"/>
  <c r="T1693" i="2"/>
  <c r="L1693" i="2"/>
  <c r="O1693" i="2"/>
  <c r="S1617" i="2"/>
  <c r="S2625" i="2" s="1"/>
  <c r="N1617" i="2"/>
  <c r="I1617" i="2"/>
  <c r="I2625" i="2" s="1"/>
  <c r="Y1617" i="2"/>
  <c r="K1617" i="2"/>
  <c r="K2625" i="2" s="1"/>
  <c r="R1573" i="2"/>
  <c r="G1573" i="2"/>
  <c r="T1573" i="2"/>
  <c r="N1514" i="2"/>
  <c r="I1514" i="2"/>
  <c r="I2621" i="2" s="1"/>
  <c r="Y1514" i="2"/>
  <c r="Y2678" i="2" s="1"/>
  <c r="K1514" i="2"/>
  <c r="K2621" i="2" s="1"/>
  <c r="N1274" i="2"/>
  <c r="Y1246" i="2"/>
  <c r="L1004" i="2"/>
  <c r="G1004" i="2"/>
  <c r="T1004" i="2"/>
  <c r="O1004" i="2"/>
  <c r="J1004" i="2"/>
  <c r="R941" i="2"/>
  <c r="R943" i="2" s="1"/>
  <c r="L941" i="2"/>
  <c r="L943" i="2" s="1"/>
  <c r="K941" i="2"/>
  <c r="K943" i="2" s="1"/>
  <c r="E913" i="2"/>
  <c r="O904" i="2"/>
  <c r="G809" i="2"/>
  <c r="Y789" i="2"/>
  <c r="T748" i="2"/>
  <c r="T712" i="2"/>
  <c r="O661" i="2"/>
  <c r="Y661" i="2"/>
  <c r="L661" i="2"/>
  <c r="K489" i="2"/>
  <c r="W380" i="2"/>
  <c r="I380" i="2"/>
  <c r="O268" i="2"/>
  <c r="R101" i="2"/>
  <c r="L101" i="2"/>
  <c r="R21" i="2"/>
  <c r="Y2637" i="2"/>
  <c r="Y2638" i="2"/>
  <c r="S467" i="2"/>
  <c r="S2673" i="2"/>
  <c r="I467" i="2"/>
  <c r="I2673" i="2"/>
  <c r="Y1492" i="2"/>
  <c r="Y2656" i="2" s="1"/>
  <c r="Y2629" i="2"/>
  <c r="S2750" i="4"/>
  <c r="O2635" i="4"/>
  <c r="Y2243" i="4"/>
  <c r="I2011" i="4"/>
  <c r="R1720" i="4"/>
  <c r="O1697" i="4"/>
  <c r="L1592" i="4"/>
  <c r="J1592" i="4"/>
  <c r="G1471" i="4"/>
  <c r="N1402" i="4"/>
  <c r="G1339" i="4"/>
  <c r="N1244" i="4"/>
  <c r="G1188" i="4"/>
  <c r="R1166" i="4"/>
  <c r="S1049" i="4"/>
  <c r="T1033" i="4"/>
  <c r="O984" i="4"/>
  <c r="O986" i="4" s="1"/>
  <c r="L984" i="4"/>
  <c r="L986" i="4" s="1"/>
  <c r="N922" i="4"/>
  <c r="L743" i="4"/>
  <c r="I714" i="4"/>
  <c r="S638" i="4"/>
  <c r="G625" i="4"/>
  <c r="I589" i="4"/>
  <c r="R509" i="4"/>
  <c r="O487" i="4"/>
  <c r="L487" i="4"/>
  <c r="S446" i="4"/>
  <c r="Y446" i="4"/>
  <c r="T184" i="4"/>
  <c r="N166" i="4"/>
  <c r="Y166" i="4"/>
  <c r="K149" i="4"/>
  <c r="N92" i="4"/>
  <c r="F92" i="4"/>
  <c r="O1395" i="2"/>
  <c r="K1395" i="2"/>
  <c r="L1332" i="2"/>
  <c r="K1135" i="2"/>
  <c r="T1115" i="2"/>
  <c r="J1037" i="2"/>
  <c r="R988" i="2"/>
  <c r="J988" i="2"/>
  <c r="Y549" i="2"/>
  <c r="K549" i="2"/>
  <c r="S537" i="2"/>
  <c r="S480" i="2"/>
  <c r="F480" i="2"/>
  <c r="S437" i="2"/>
  <c r="Q437" i="2"/>
  <c r="R426" i="2"/>
  <c r="T353" i="2"/>
  <c r="I353" i="2"/>
  <c r="G320" i="2"/>
  <c r="O250" i="2"/>
  <c r="T250" i="2"/>
  <c r="L199" i="2"/>
  <c r="J199" i="2"/>
  <c r="O123" i="2"/>
  <c r="R123" i="2"/>
  <c r="K87" i="2"/>
  <c r="X2432" i="4"/>
  <c r="Z2432" i="4" s="1"/>
  <c r="T2750" i="4"/>
  <c r="H2752" i="4"/>
  <c r="H2929" i="4" s="1"/>
  <c r="S2658" i="4"/>
  <c r="T2173" i="4"/>
  <c r="H2081" i="4"/>
  <c r="H2919" i="4" s="1"/>
  <c r="K1820" i="4"/>
  <c r="X1697" i="4"/>
  <c r="Z1697" i="4" s="1"/>
  <c r="I1678" i="4"/>
  <c r="L1639" i="4"/>
  <c r="G1497" i="4"/>
  <c r="N1309" i="4"/>
  <c r="O1188" i="4"/>
  <c r="R1085" i="4"/>
  <c r="J1085" i="4"/>
  <c r="G1049" i="4"/>
  <c r="S984" i="4"/>
  <c r="S986" i="4" s="1"/>
  <c r="F947" i="4"/>
  <c r="O872" i="4"/>
  <c r="S625" i="4"/>
  <c r="T589" i="4"/>
  <c r="L589" i="4"/>
  <c r="Q509" i="4"/>
  <c r="Q473" i="4"/>
  <c r="I419" i="4"/>
  <c r="Q398" i="4"/>
  <c r="Y398" i="4"/>
  <c r="Y333" i="4"/>
  <c r="G333" i="4"/>
  <c r="Q184" i="4"/>
  <c r="O149" i="4"/>
  <c r="J45" i="4"/>
  <c r="Y22" i="4"/>
  <c r="L22" i="4"/>
  <c r="Y2647" i="2"/>
  <c r="K1573" i="2"/>
  <c r="N1573" i="2"/>
  <c r="L1514" i="2"/>
  <c r="T1514" i="2"/>
  <c r="J1514" i="2"/>
  <c r="J2621" i="2" s="1"/>
  <c r="G1079" i="2"/>
  <c r="N988" i="2"/>
  <c r="Y988" i="2"/>
  <c r="S879" i="2"/>
  <c r="S918" i="2" s="1"/>
  <c r="S2730" i="2" s="1"/>
  <c r="N855" i="2"/>
  <c r="I789" i="2"/>
  <c r="T789" i="2"/>
  <c r="L748" i="2"/>
  <c r="Y748" i="2"/>
  <c r="Q600" i="2"/>
  <c r="J600" i="2"/>
  <c r="T565" i="2"/>
  <c r="L565" i="2"/>
  <c r="K467" i="2"/>
  <c r="T467" i="2"/>
  <c r="Q401" i="2"/>
  <c r="G268" i="2"/>
  <c r="I268" i="2"/>
  <c r="I2657" i="2"/>
  <c r="S64" i="2"/>
  <c r="Q21" i="2"/>
  <c r="X2701" i="4"/>
  <c r="X2700" i="4"/>
  <c r="X2655" i="4"/>
  <c r="F2635" i="4"/>
  <c r="K2243" i="4"/>
  <c r="F2079" i="4"/>
  <c r="Y2921" i="4"/>
  <c r="K2635" i="4"/>
  <c r="S2635" i="4"/>
  <c r="Q2470" i="4"/>
  <c r="Y2428" i="4"/>
  <c r="X2059" i="4"/>
  <c r="Z2059" i="4" s="1"/>
  <c r="L1987" i="4"/>
  <c r="G1899" i="4"/>
  <c r="W1843" i="4"/>
  <c r="X1820" i="4"/>
  <c r="Z1820" i="4" s="1"/>
  <c r="V1820" i="4"/>
  <c r="I1767" i="4"/>
  <c r="S1678" i="4"/>
  <c r="I1592" i="4"/>
  <c r="T1568" i="4"/>
  <c r="Y1568" i="4"/>
  <c r="F1568" i="4"/>
  <c r="N1568" i="4"/>
  <c r="S1541" i="4"/>
  <c r="S1543" i="4" s="1"/>
  <c r="S2913" i="4" s="1"/>
  <c r="Y1244" i="4"/>
  <c r="I1244" i="4"/>
  <c r="Q1166" i="4"/>
  <c r="N1143" i="4"/>
  <c r="Y1143" i="4"/>
  <c r="K1143" i="4"/>
  <c r="Z1112" i="4"/>
  <c r="T1129" i="4"/>
  <c r="O1106" i="4"/>
  <c r="J1106" i="4"/>
  <c r="L1065" i="4"/>
  <c r="Q1033" i="4"/>
  <c r="I1033" i="4"/>
  <c r="Q1013" i="4"/>
  <c r="T941" i="4"/>
  <c r="O922" i="4"/>
  <c r="S922" i="4"/>
  <c r="S961" i="4" s="1"/>
  <c r="S2909" i="4" s="1"/>
  <c r="T895" i="4"/>
  <c r="O844" i="4"/>
  <c r="G781" i="4"/>
  <c r="Y743" i="4"/>
  <c r="Q691" i="4"/>
  <c r="P961" i="4"/>
  <c r="P2909" i="4" s="1"/>
  <c r="I661" i="4"/>
  <c r="O607" i="4"/>
  <c r="J607" i="4"/>
  <c r="I558" i="4"/>
  <c r="S545" i="4"/>
  <c r="L545" i="4"/>
  <c r="G545" i="4"/>
  <c r="L522" i="4"/>
  <c r="T522" i="4"/>
  <c r="O522" i="4"/>
  <c r="K487" i="4"/>
  <c r="N457" i="4"/>
  <c r="K457" i="4"/>
  <c r="F457" i="4"/>
  <c r="N235" i="4"/>
  <c r="S166" i="4"/>
  <c r="R166" i="4"/>
  <c r="J166" i="4"/>
  <c r="S107" i="4"/>
  <c r="K107" i="4"/>
  <c r="G1749" i="2"/>
  <c r="V1749" i="2"/>
  <c r="Y1710" i="2"/>
  <c r="F1710" i="2"/>
  <c r="I1667" i="2"/>
  <c r="G1645" i="2"/>
  <c r="T1645" i="2"/>
  <c r="J1645" i="2"/>
  <c r="R1605" i="2"/>
  <c r="L1605" i="2"/>
  <c r="T1605" i="2"/>
  <c r="N1589" i="2"/>
  <c r="I1589" i="2"/>
  <c r="Y1589" i="2"/>
  <c r="Q1589" i="2"/>
  <c r="S2666" i="2"/>
  <c r="N1556" i="2"/>
  <c r="O1556" i="2"/>
  <c r="J1556" i="2"/>
  <c r="G1492" i="2"/>
  <c r="N1492" i="2"/>
  <c r="Q1492" i="2"/>
  <c r="I1306" i="2"/>
  <c r="Y1306" i="2"/>
  <c r="T1306" i="2"/>
  <c r="I2628" i="2"/>
  <c r="Y1185" i="2"/>
  <c r="O1185" i="2"/>
  <c r="T1135" i="2"/>
  <c r="Q2654" i="2"/>
  <c r="O1135" i="2"/>
  <c r="I1135" i="2"/>
  <c r="Y1135" i="2"/>
  <c r="Q1135" i="2"/>
  <c r="G1037" i="2"/>
  <c r="T1037" i="2"/>
  <c r="Y1037" i="2"/>
  <c r="Q1037" i="2"/>
  <c r="S1004" i="2"/>
  <c r="N1004" i="2"/>
  <c r="I1004" i="2"/>
  <c r="Y1004" i="2"/>
  <c r="K1004" i="2"/>
  <c r="F913" i="2"/>
  <c r="I898" i="2"/>
  <c r="T661" i="2"/>
  <c r="O633" i="2"/>
  <c r="O549" i="2"/>
  <c r="K453" i="2"/>
  <c r="F453" i="2"/>
  <c r="S453" i="2"/>
  <c r="G250" i="2"/>
  <c r="R250" i="2"/>
  <c r="S250" i="2"/>
  <c r="N199" i="2"/>
  <c r="I123" i="2"/>
  <c r="I2668" i="2" s="1"/>
  <c r="K123" i="2"/>
  <c r="Y41" i="2"/>
  <c r="S41" i="2"/>
  <c r="R41" i="2"/>
  <c r="O1214" i="4"/>
  <c r="G1143" i="4"/>
  <c r="Y956" i="4"/>
  <c r="T823" i="4"/>
  <c r="N638" i="4"/>
  <c r="I638" i="4"/>
  <c r="S522" i="4"/>
  <c r="K522" i="4"/>
  <c r="F509" i="4"/>
  <c r="N509" i="4"/>
  <c r="O500" i="4"/>
  <c r="T487" i="4"/>
  <c r="S487" i="4"/>
  <c r="G419" i="4"/>
  <c r="W419" i="4"/>
  <c r="L419" i="4"/>
  <c r="W369" i="4"/>
  <c r="O369" i="4"/>
  <c r="T333" i="4"/>
  <c r="V333" i="4"/>
  <c r="N280" i="4"/>
  <c r="G280" i="4"/>
  <c r="S261" i="4"/>
  <c r="G261" i="4"/>
  <c r="G208" i="4"/>
  <c r="T107" i="4"/>
  <c r="L107" i="4"/>
  <c r="Z74" i="4"/>
  <c r="J92" i="4"/>
  <c r="R92" i="4"/>
  <c r="T68" i="4"/>
  <c r="K68" i="4"/>
  <c r="W1749" i="2"/>
  <c r="N1693" i="2"/>
  <c r="R2666" i="2"/>
  <c r="T1676" i="2"/>
  <c r="N1676" i="2"/>
  <c r="G1676" i="2"/>
  <c r="S1628" i="2"/>
  <c r="N1628" i="2"/>
  <c r="I1628" i="2"/>
  <c r="T1617" i="2"/>
  <c r="O1617" i="2"/>
  <c r="J1617" i="2"/>
  <c r="J2625" i="2" s="1"/>
  <c r="E1617" i="2"/>
  <c r="N1605" i="2"/>
  <c r="Y1605" i="2"/>
  <c r="K1605" i="2"/>
  <c r="F1605" i="2"/>
  <c r="R1537" i="2"/>
  <c r="L1395" i="2"/>
  <c r="O1306" i="2"/>
  <c r="L1306" i="2"/>
  <c r="L1218" i="2"/>
  <c r="L1160" i="2"/>
  <c r="Y1160" i="2"/>
  <c r="O1160" i="2"/>
  <c r="I1093" i="2"/>
  <c r="Y1093" i="2"/>
  <c r="K1093" i="2"/>
  <c r="J1057" i="2"/>
  <c r="S1018" i="2"/>
  <c r="Y1018" i="2"/>
  <c r="Q1018" i="2"/>
  <c r="N1018" i="2"/>
  <c r="I1018" i="2"/>
  <c r="R968" i="2"/>
  <c r="I941" i="2"/>
  <c r="I943" i="2" s="1"/>
  <c r="T941" i="2"/>
  <c r="T943" i="2" s="1"/>
  <c r="G941" i="2"/>
  <c r="G943" i="2" s="1"/>
  <c r="L879" i="2"/>
  <c r="I879" i="2"/>
  <c r="L789" i="2"/>
  <c r="L600" i="2"/>
  <c r="Y600" i="2"/>
  <c r="N600" i="2"/>
  <c r="L526" i="2"/>
  <c r="T526" i="2"/>
  <c r="J526" i="2"/>
  <c r="J2649" i="2" s="1"/>
  <c r="E526" i="2"/>
  <c r="Q2673" i="2"/>
  <c r="K2673" i="2"/>
  <c r="K515" i="2"/>
  <c r="S515" i="2"/>
  <c r="G502" i="2"/>
  <c r="O502" i="2"/>
  <c r="J502" i="2"/>
  <c r="L299" i="2"/>
  <c r="Y199" i="2"/>
  <c r="O176" i="2"/>
  <c r="Y158" i="2"/>
  <c r="O142" i="2"/>
  <c r="S123" i="2"/>
  <c r="S2668" i="2" s="1"/>
  <c r="S101" i="2"/>
  <c r="N101" i="2"/>
  <c r="K2672" i="2"/>
  <c r="F101" i="2"/>
  <c r="I87" i="2"/>
  <c r="J87" i="2"/>
  <c r="R87" i="2"/>
  <c r="L64" i="2"/>
  <c r="G64" i="2"/>
  <c r="O41" i="2"/>
  <c r="G41" i="2"/>
  <c r="O21" i="2"/>
  <c r="K21" i="2"/>
  <c r="F21" i="2"/>
  <c r="X2616" i="2"/>
  <c r="Z2616" i="2" s="1"/>
  <c r="P2686" i="2"/>
  <c r="U2616" i="2"/>
  <c r="O1678" i="4"/>
  <c r="G1568" i="4"/>
  <c r="Y1541" i="4"/>
  <c r="I1541" i="4"/>
  <c r="G1375" i="4"/>
  <c r="T1281" i="4"/>
  <c r="Z959" i="4"/>
  <c r="X941" i="4"/>
  <c r="Z941" i="4" s="1"/>
  <c r="X756" i="4"/>
  <c r="Z756" i="4" s="1"/>
  <c r="J638" i="4"/>
  <c r="T638" i="4"/>
  <c r="O457" i="4"/>
  <c r="J457" i="4"/>
  <c r="O446" i="4"/>
  <c r="I446" i="4"/>
  <c r="N369" i="4"/>
  <c r="G312" i="4"/>
  <c r="O208" i="4"/>
  <c r="T208" i="4" s="1"/>
  <c r="Z113" i="4"/>
  <c r="S68" i="4"/>
  <c r="L68" i="4"/>
  <c r="O1800" i="2"/>
  <c r="I1769" i="2"/>
  <c r="Y1769" i="2"/>
  <c r="L1769" i="2"/>
  <c r="K1728" i="2"/>
  <c r="L1728" i="2"/>
  <c r="V1710" i="2"/>
  <c r="I1710" i="2"/>
  <c r="V1667" i="2"/>
  <c r="O1645" i="2"/>
  <c r="Y1645" i="2"/>
  <c r="K1645" i="2"/>
  <c r="F1645" i="2"/>
  <c r="N1645" i="2"/>
  <c r="T1628" i="2"/>
  <c r="O1628" i="2"/>
  <c r="J1628" i="2"/>
  <c r="E1628" i="2"/>
  <c r="T1589" i="2"/>
  <c r="O1589" i="2"/>
  <c r="J1589" i="2"/>
  <c r="Q1556" i="2"/>
  <c r="I1556" i="2"/>
  <c r="I1537" i="2"/>
  <c r="Q1537" i="2"/>
  <c r="Y1464" i="2"/>
  <c r="Y2619" i="2" s="1"/>
  <c r="I1464" i="2"/>
  <c r="Y1420" i="2"/>
  <c r="N1362" i="2"/>
  <c r="I1362" i="2"/>
  <c r="G1274" i="2"/>
  <c r="I1218" i="2"/>
  <c r="I2650" i="2" s="1"/>
  <c r="G1218" i="2"/>
  <c r="I1115" i="2"/>
  <c r="Y1115" i="2"/>
  <c r="T1093" i="2"/>
  <c r="R1079" i="2"/>
  <c r="Y1079" i="2"/>
  <c r="Q1079" i="2"/>
  <c r="Y1057" i="2"/>
  <c r="N1057" i="2"/>
  <c r="J1018" i="2"/>
  <c r="E1018" i="2"/>
  <c r="Y968" i="2"/>
  <c r="T904" i="2"/>
  <c r="G904" i="2"/>
  <c r="O855" i="2"/>
  <c r="T833" i="2"/>
  <c r="N833" i="2"/>
  <c r="G833" i="2"/>
  <c r="O809" i="2"/>
  <c r="G768" i="2"/>
  <c r="L768" i="2"/>
  <c r="N725" i="2"/>
  <c r="G725" i="2"/>
  <c r="G684" i="2"/>
  <c r="N684" i="2"/>
  <c r="O613" i="2"/>
  <c r="J613" i="2"/>
  <c r="R613" i="2"/>
  <c r="O537" i="2"/>
  <c r="K526" i="2"/>
  <c r="K2649" i="2" s="1"/>
  <c r="L515" i="2"/>
  <c r="T515" i="2"/>
  <c r="N502" i="2"/>
  <c r="S502" i="2"/>
  <c r="L489" i="2"/>
  <c r="G489" i="2"/>
  <c r="T489" i="2"/>
  <c r="O489" i="2"/>
  <c r="L480" i="2"/>
  <c r="T480" i="2"/>
  <c r="Q467" i="2"/>
  <c r="R2673" i="2"/>
  <c r="O453" i="2"/>
  <c r="E453" i="2"/>
  <c r="L453" i="2"/>
  <c r="R437" i="2"/>
  <c r="G437" i="2"/>
  <c r="K426" i="2"/>
  <c r="S426" i="2"/>
  <c r="L426" i="2"/>
  <c r="Y401" i="2"/>
  <c r="N401" i="2"/>
  <c r="V401" i="2"/>
  <c r="I401" i="2"/>
  <c r="I320" i="2"/>
  <c r="O320" i="2"/>
  <c r="V320" i="2"/>
  <c r="T299" i="2"/>
  <c r="Y299" i="2"/>
  <c r="V224" i="2"/>
  <c r="N224" i="2"/>
  <c r="K158" i="2"/>
  <c r="S158" i="2"/>
  <c r="N158" i="2"/>
  <c r="Q142" i="2"/>
  <c r="I142" i="2"/>
  <c r="G101" i="2"/>
  <c r="S87" i="2"/>
  <c r="N64" i="2"/>
  <c r="Z522" i="4"/>
  <c r="K446" i="4"/>
  <c r="R369" i="4"/>
  <c r="Y261" i="4"/>
  <c r="O166" i="4"/>
  <c r="G45" i="4"/>
  <c r="T45" i="4"/>
  <c r="K45" i="4"/>
  <c r="S2686" i="2"/>
  <c r="I1693" i="2"/>
  <c r="O1676" i="2"/>
  <c r="T1667" i="2"/>
  <c r="S1645" i="2"/>
  <c r="L1573" i="2"/>
  <c r="O1537" i="2"/>
  <c r="K1492" i="2"/>
  <c r="L1420" i="2"/>
  <c r="N1246" i="2"/>
  <c r="N1160" i="2"/>
  <c r="T1160" i="2"/>
  <c r="J1135" i="2"/>
  <c r="Y941" i="2"/>
  <c r="Y943" i="2" s="1"/>
  <c r="J941" i="2"/>
  <c r="J943" i="2" s="1"/>
  <c r="R879" i="2"/>
  <c r="R918" i="2" s="1"/>
  <c r="R2730" i="2" s="1"/>
  <c r="G789" i="2"/>
  <c r="O583" i="2"/>
  <c r="O565" i="2"/>
  <c r="Q537" i="2"/>
  <c r="I526" i="2"/>
  <c r="I2649" i="2" s="1"/>
  <c r="Y502" i="2"/>
  <c r="Y453" i="2"/>
  <c r="L250" i="2"/>
  <c r="Y101" i="2"/>
  <c r="T64" i="2"/>
  <c r="T21" i="2"/>
  <c r="I21" i="2"/>
  <c r="O419" i="4"/>
  <c r="V369" i="4"/>
  <c r="P237" i="4"/>
  <c r="P2903" i="4" s="1"/>
  <c r="S92" i="4"/>
  <c r="R68" i="4"/>
  <c r="I68" i="4"/>
  <c r="L1710" i="2"/>
  <c r="G1537" i="2"/>
  <c r="T1492" i="2"/>
  <c r="O1464" i="2"/>
  <c r="I1395" i="2"/>
  <c r="T1332" i="2"/>
  <c r="R2628" i="2"/>
  <c r="K2628" i="2"/>
  <c r="G1185" i="2"/>
  <c r="L1135" i="2"/>
  <c r="K2654" i="2"/>
  <c r="J1079" i="2"/>
  <c r="O1079" i="2"/>
  <c r="I1079" i="2"/>
  <c r="G968" i="2"/>
  <c r="T913" i="2"/>
  <c r="N898" i="2"/>
  <c r="T879" i="2"/>
  <c r="I768" i="2"/>
  <c r="I725" i="2"/>
  <c r="N661" i="2"/>
  <c r="I633" i="2"/>
  <c r="S613" i="2"/>
  <c r="Y613" i="2"/>
  <c r="L583" i="2"/>
  <c r="R526" i="2"/>
  <c r="R2649" i="2" s="1"/>
  <c r="E502" i="2"/>
  <c r="J489" i="2"/>
  <c r="E489" i="2"/>
  <c r="I426" i="2"/>
  <c r="Y353" i="2"/>
  <c r="K176" i="2"/>
  <c r="L176" i="2"/>
  <c r="T142" i="2"/>
  <c r="M2702" i="4"/>
  <c r="AA2710" i="1"/>
  <c r="AA2702" i="5" s="1"/>
  <c r="Z2686" i="4"/>
  <c r="M2595" i="4"/>
  <c r="X2677" i="4"/>
  <c r="Z2685" i="1"/>
  <c r="Y2862" i="1"/>
  <c r="V2522" i="4"/>
  <c r="W2530" i="1"/>
  <c r="V2477" i="4"/>
  <c r="W2485" i="1"/>
  <c r="V1636" i="2"/>
  <c r="V1728" i="4"/>
  <c r="W1731" i="1"/>
  <c r="W1728" i="5" s="1"/>
  <c r="X1411" i="2"/>
  <c r="Z1488" i="1"/>
  <c r="Z1411" i="2" s="1"/>
  <c r="AA2846" i="1"/>
  <c r="M2842" i="1"/>
  <c r="X2842" i="1"/>
  <c r="Z2842" i="1" s="1"/>
  <c r="AA2821" i="1"/>
  <c r="U2810" i="1"/>
  <c r="T2810" i="1"/>
  <c r="P2808" i="1"/>
  <c r="U2808" i="1" s="1"/>
  <c r="AA2787" i="1"/>
  <c r="P2719" i="4"/>
  <c r="X2719" i="4" s="1"/>
  <c r="Z2719" i="4" s="1"/>
  <c r="V2727" i="1"/>
  <c r="V2719" i="5" s="1"/>
  <c r="U2727" i="1"/>
  <c r="X2727" i="1"/>
  <c r="Z2727" i="1" s="1"/>
  <c r="H2676" i="4"/>
  <c r="X2684" i="1"/>
  <c r="X2676" i="5" s="1"/>
  <c r="M2673" i="4"/>
  <c r="H2668" i="4"/>
  <c r="X2676" i="1"/>
  <c r="X2668" i="5" s="1"/>
  <c r="M2676" i="1"/>
  <c r="M2668" i="5" s="1"/>
  <c r="P2654" i="4"/>
  <c r="V2662" i="1"/>
  <c r="U2662" i="1"/>
  <c r="U2654" i="5" s="1"/>
  <c r="H2633" i="4"/>
  <c r="X2633" i="4" s="1"/>
  <c r="X2641" i="1"/>
  <c r="Z2641" i="1" s="1"/>
  <c r="M2641" i="1"/>
  <c r="M2633" i="5" s="1"/>
  <c r="V2641" i="1"/>
  <c r="V2633" i="5" s="1"/>
  <c r="P2629" i="4"/>
  <c r="V2637" i="1"/>
  <c r="V2629" i="5" s="1"/>
  <c r="U2637" i="1"/>
  <c r="X2637" i="1"/>
  <c r="Z2637" i="1" s="1"/>
  <c r="M2626" i="4"/>
  <c r="P2621" i="4"/>
  <c r="X2621" i="4" s="1"/>
  <c r="V2629" i="1"/>
  <c r="V2621" i="5" s="1"/>
  <c r="U2629" i="1"/>
  <c r="U2621" i="5" s="1"/>
  <c r="X2629" i="1"/>
  <c r="Z2629" i="1" s="1"/>
  <c r="W2628" i="1"/>
  <c r="H2618" i="4"/>
  <c r="X2626" i="1"/>
  <c r="Z2626" i="1" s="1"/>
  <c r="M2626" i="1"/>
  <c r="M2618" i="5" s="1"/>
  <c r="M2616" i="4"/>
  <c r="E2597" i="4"/>
  <c r="U2591" i="4"/>
  <c r="V2585" i="4"/>
  <c r="W2593" i="1"/>
  <c r="V2583" i="4"/>
  <c r="W2591" i="1"/>
  <c r="H2580" i="4"/>
  <c r="X2588" i="1"/>
  <c r="X2580" i="5" s="1"/>
  <c r="M2588" i="1"/>
  <c r="M2580" i="5" s="1"/>
  <c r="V2588" i="1"/>
  <c r="V2580" i="5" s="1"/>
  <c r="H2553" i="4"/>
  <c r="X2553" i="4" s="1"/>
  <c r="Z2553" i="4" s="1"/>
  <c r="X2561" i="1"/>
  <c r="V2561" i="1"/>
  <c r="V2553" i="5" s="1"/>
  <c r="H2544" i="4"/>
  <c r="X2544" i="4" s="1"/>
  <c r="Z2544" i="4" s="1"/>
  <c r="X2552" i="1"/>
  <c r="Z2552" i="1" s="1"/>
  <c r="M2552" i="1"/>
  <c r="M2544" i="5" s="1"/>
  <c r="V2552" i="1"/>
  <c r="V2544" i="5" s="1"/>
  <c r="V2546" i="1"/>
  <c r="V2538" i="5" s="1"/>
  <c r="U2546" i="1"/>
  <c r="U2538" i="5" s="1"/>
  <c r="E2527" i="4"/>
  <c r="M2510" i="4"/>
  <c r="V2506" i="4"/>
  <c r="W2514" i="1"/>
  <c r="M2503" i="4"/>
  <c r="P2485" i="4"/>
  <c r="X2485" i="4" s="1"/>
  <c r="V2493" i="1"/>
  <c r="V2485" i="5" s="1"/>
  <c r="X2493" i="1"/>
  <c r="Z2493" i="1" s="1"/>
  <c r="P2483" i="4"/>
  <c r="X2483" i="4" s="1"/>
  <c r="V2491" i="1"/>
  <c r="V2483" i="5" s="1"/>
  <c r="X2491" i="1"/>
  <c r="Z2491" i="1" s="1"/>
  <c r="V2465" i="4"/>
  <c r="W2473" i="1"/>
  <c r="H2463" i="4"/>
  <c r="X2471" i="1"/>
  <c r="X2463" i="5" s="1"/>
  <c r="M2471" i="1"/>
  <c r="M2463" i="5" s="1"/>
  <c r="M2460" i="4"/>
  <c r="W2465" i="1"/>
  <c r="V2455" i="4"/>
  <c r="W2463" i="1"/>
  <c r="V2453" i="4"/>
  <c r="W2461" i="1"/>
  <c r="W2453" i="5" s="1"/>
  <c r="M2436" i="4"/>
  <c r="AA2442" i="1"/>
  <c r="AA2436" i="5" s="1"/>
  <c r="Q2431" i="4"/>
  <c r="H2393" i="4"/>
  <c r="X2393" i="4" s="1"/>
  <c r="Z2393" i="4" s="1"/>
  <c r="M2399" i="1"/>
  <c r="M2393" i="5" s="1"/>
  <c r="X2399" i="1"/>
  <c r="Z2399" i="1" s="1"/>
  <c r="J2399" i="1"/>
  <c r="H2386" i="4"/>
  <c r="X2386" i="4" s="1"/>
  <c r="Z2386" i="4" s="1"/>
  <c r="M2392" i="1"/>
  <c r="M2386" i="5" s="1"/>
  <c r="X2392" i="1"/>
  <c r="Z2392" i="1" s="1"/>
  <c r="J2392" i="1"/>
  <c r="P2380" i="4"/>
  <c r="U2386" i="1"/>
  <c r="Q2386" i="1"/>
  <c r="P2376" i="4"/>
  <c r="U2382" i="1"/>
  <c r="Q2382" i="1"/>
  <c r="U2369" i="4"/>
  <c r="H2361" i="4"/>
  <c r="M2367" i="1"/>
  <c r="M2361" i="5" s="1"/>
  <c r="X2367" i="1"/>
  <c r="Z2367" i="1" s="1"/>
  <c r="J2367" i="1"/>
  <c r="U2344" i="4"/>
  <c r="P2330" i="4"/>
  <c r="U2336" i="1"/>
  <c r="Q2336" i="1"/>
  <c r="H2325" i="4"/>
  <c r="X2325" i="4" s="1"/>
  <c r="Z2325" i="4" s="1"/>
  <c r="M2331" i="1"/>
  <c r="M2325" i="5" s="1"/>
  <c r="X2331" i="1"/>
  <c r="Z2331" i="1" s="1"/>
  <c r="J2331" i="1"/>
  <c r="E2300" i="4"/>
  <c r="Q2306" i="1"/>
  <c r="E2319" i="1"/>
  <c r="Z2306" i="1"/>
  <c r="F2288" i="4"/>
  <c r="H2292" i="1"/>
  <c r="H2288" i="5" s="1"/>
  <c r="X2288" i="5" s="1"/>
  <c r="Z2288" i="5" s="1"/>
  <c r="P2206" i="4"/>
  <c r="U2210" i="1"/>
  <c r="Q2210" i="1"/>
  <c r="H2204" i="4"/>
  <c r="X2204" i="4" s="1"/>
  <c r="Z2204" i="4" s="1"/>
  <c r="M2208" i="1"/>
  <c r="M2204" i="5" s="1"/>
  <c r="X2208" i="1"/>
  <c r="Z2208" i="1" s="1"/>
  <c r="J2208" i="1"/>
  <c r="P2168" i="4"/>
  <c r="U2172" i="1"/>
  <c r="Q2172" i="1"/>
  <c r="P2165" i="4"/>
  <c r="U2169" i="1"/>
  <c r="Q2169" i="1"/>
  <c r="M2143" i="4"/>
  <c r="P2131" i="4"/>
  <c r="U2135" i="1"/>
  <c r="P2142" i="1"/>
  <c r="H2119" i="4"/>
  <c r="X2119" i="4" s="1"/>
  <c r="M2123" i="1"/>
  <c r="M2119" i="5" s="1"/>
  <c r="X2123" i="1"/>
  <c r="Z2123" i="1" s="1"/>
  <c r="J2123" i="1"/>
  <c r="P2089" i="4"/>
  <c r="U2093" i="1"/>
  <c r="Q2093" i="1"/>
  <c r="X2093" i="1"/>
  <c r="X2089" i="5" s="1"/>
  <c r="M2024" i="4"/>
  <c r="P1997" i="4"/>
  <c r="X1997" i="4" s="1"/>
  <c r="V2001" i="1"/>
  <c r="V1997" i="5" s="1"/>
  <c r="U2001" i="1"/>
  <c r="X2001" i="1"/>
  <c r="Z2001" i="1" s="1"/>
  <c r="H1992" i="4"/>
  <c r="X1992" i="4" s="1"/>
  <c r="X1996" i="1"/>
  <c r="Z1996" i="1" s="1"/>
  <c r="M1996" i="1"/>
  <c r="M1992" i="5" s="1"/>
  <c r="V1996" i="1"/>
  <c r="V1992" i="5" s="1"/>
  <c r="E1955" i="4"/>
  <c r="E1971" i="1"/>
  <c r="Q1959" i="1"/>
  <c r="P1946" i="4"/>
  <c r="X1946" i="4" s="1"/>
  <c r="Z1946" i="4" s="1"/>
  <c r="X1950" i="1"/>
  <c r="Z1950" i="1" s="1"/>
  <c r="U1950" i="1"/>
  <c r="H1906" i="4"/>
  <c r="M1910" i="1"/>
  <c r="M1906" i="5" s="1"/>
  <c r="X1910" i="1"/>
  <c r="Z1910" i="1" s="1"/>
  <c r="J1910" i="1"/>
  <c r="Q1788" i="2"/>
  <c r="Q1884" i="4"/>
  <c r="Q1756" i="2"/>
  <c r="Q1850" i="4"/>
  <c r="P1753" i="2"/>
  <c r="P1847" i="4"/>
  <c r="U1851" i="1"/>
  <c r="U1847" i="5" s="1"/>
  <c r="Q1851" i="1"/>
  <c r="Q1847" i="5" s="1"/>
  <c r="X1851" i="1"/>
  <c r="J1735" i="2"/>
  <c r="J1827" i="4"/>
  <c r="U1723" i="2"/>
  <c r="U1815" i="4"/>
  <c r="P1721" i="2"/>
  <c r="P1813" i="4"/>
  <c r="U1817" i="1"/>
  <c r="U1813" i="5" s="1"/>
  <c r="Q1817" i="1"/>
  <c r="Q1813" i="5" s="1"/>
  <c r="X1817" i="1"/>
  <c r="J1812" i="4"/>
  <c r="J1720" i="2"/>
  <c r="Q1701" i="2"/>
  <c r="Q1792" i="4"/>
  <c r="H1689" i="2"/>
  <c r="H1780" i="4"/>
  <c r="M1784" i="1"/>
  <c r="M1780" i="5" s="1"/>
  <c r="X1784" i="1"/>
  <c r="J1784" i="1"/>
  <c r="J1780" i="5" s="1"/>
  <c r="H1610" i="2"/>
  <c r="H1702" i="4"/>
  <c r="X1705" i="1"/>
  <c r="M1705" i="1"/>
  <c r="M1702" i="5" s="1"/>
  <c r="U1569" i="2"/>
  <c r="U1652" i="4"/>
  <c r="F1554" i="2"/>
  <c r="F1637" i="4"/>
  <c r="F1642" i="1"/>
  <c r="H1640" i="1"/>
  <c r="H1637" i="5" s="1"/>
  <c r="X1637" i="5" s="1"/>
  <c r="X1545" i="2"/>
  <c r="Z1629" i="1"/>
  <c r="Z1626" i="5" s="1"/>
  <c r="U1541" i="2"/>
  <c r="U1622" i="4"/>
  <c r="X1528" i="2"/>
  <c r="Z1609" i="1"/>
  <c r="Z1606" i="5" s="1"/>
  <c r="Z1606" i="1"/>
  <c r="Z1603" i="5" s="1"/>
  <c r="V1475" i="2"/>
  <c r="V1550" i="4"/>
  <c r="Q1459" i="2"/>
  <c r="Q1536" i="4"/>
  <c r="Q1444" i="2"/>
  <c r="Q1521" i="4"/>
  <c r="U1423" i="2"/>
  <c r="U1500" i="4"/>
  <c r="Q1410" i="2"/>
  <c r="Q1486" i="4"/>
  <c r="Q1407" i="2"/>
  <c r="Q1483" i="4"/>
  <c r="V1401" i="2"/>
  <c r="V1477" i="4"/>
  <c r="W1478" i="1"/>
  <c r="W1477" i="5" s="1"/>
  <c r="J1390" i="2"/>
  <c r="J1462" i="4"/>
  <c r="J1381" i="2"/>
  <c r="J1452" i="4"/>
  <c r="U1379" i="2"/>
  <c r="U1450" i="4"/>
  <c r="X1377" i="2"/>
  <c r="Z1449" i="1"/>
  <c r="Z1377" i="2" s="1"/>
  <c r="J1377" i="2"/>
  <c r="J1448" i="4"/>
  <c r="W1373" i="2"/>
  <c r="W1444" i="4"/>
  <c r="P1367" i="2"/>
  <c r="P1438" i="4"/>
  <c r="U1439" i="1"/>
  <c r="U1438" i="5" s="1"/>
  <c r="X1439" i="1"/>
  <c r="X1367" i="2" s="1"/>
  <c r="V1439" i="1"/>
  <c r="V1438" i="5" s="1"/>
  <c r="E1367" i="2"/>
  <c r="E1438" i="4"/>
  <c r="Z1439" i="1"/>
  <c r="Z1367" i="2" s="1"/>
  <c r="Q1439" i="1"/>
  <c r="Q1438" i="5" s="1"/>
  <c r="P1428" i="4"/>
  <c r="U1429" i="1"/>
  <c r="V1355" i="2"/>
  <c r="V1425" i="4"/>
  <c r="W1426" i="1"/>
  <c r="W1425" i="5" s="1"/>
  <c r="E1347" i="2"/>
  <c r="E1417" i="4"/>
  <c r="Q1418" i="1"/>
  <c r="Q1417" i="5" s="1"/>
  <c r="H1415" i="4"/>
  <c r="H1345" i="2"/>
  <c r="M1416" i="1"/>
  <c r="M1415" i="5" s="1"/>
  <c r="X1416" i="1"/>
  <c r="J1416" i="1"/>
  <c r="J1415" i="5" s="1"/>
  <c r="Q1335" i="2"/>
  <c r="Q1405" i="4"/>
  <c r="Q1394" i="4"/>
  <c r="Q1325" i="2"/>
  <c r="U1319" i="2"/>
  <c r="U1388" i="4"/>
  <c r="Q1292" i="2"/>
  <c r="Q1357" i="4"/>
  <c r="P1288" i="2"/>
  <c r="P1353" i="4"/>
  <c r="U1354" i="1"/>
  <c r="U1353" i="5" s="1"/>
  <c r="X1354" i="1"/>
  <c r="V1354" i="1"/>
  <c r="V1353" i="5" s="1"/>
  <c r="Q1285" i="2"/>
  <c r="Q1350" i="4"/>
  <c r="H1237" i="2"/>
  <c r="M1301" i="1"/>
  <c r="M1300" i="5" s="1"/>
  <c r="H1300" i="4"/>
  <c r="J1301" i="1"/>
  <c r="J1300" i="5" s="1"/>
  <c r="X1301" i="1"/>
  <c r="Q1232" i="2"/>
  <c r="Q1295" i="4"/>
  <c r="J1212" i="2"/>
  <c r="J1271" i="4"/>
  <c r="V1207" i="2"/>
  <c r="V1266" i="4"/>
  <c r="W1267" i="1"/>
  <c r="W1266" i="5" s="1"/>
  <c r="H1251" i="4"/>
  <c r="H1192" i="2"/>
  <c r="M1252" i="1"/>
  <c r="M1251" i="5" s="1"/>
  <c r="J1252" i="1"/>
  <c r="J1251" i="5" s="1"/>
  <c r="X1252" i="1"/>
  <c r="V1196" i="4"/>
  <c r="V1144" i="2"/>
  <c r="W1197" i="1"/>
  <c r="W1196" i="5" s="1"/>
  <c r="M1129" i="2"/>
  <c r="M1180" i="4"/>
  <c r="U1123" i="2"/>
  <c r="U1174" i="4"/>
  <c r="P1060" i="2"/>
  <c r="P1109" i="4"/>
  <c r="V1110" i="1"/>
  <c r="V1109" i="5" s="1"/>
  <c r="P1130" i="1"/>
  <c r="X1110" i="1"/>
  <c r="U1110" i="1"/>
  <c r="U1109" i="5" s="1"/>
  <c r="M1048" i="2"/>
  <c r="M1096" i="4"/>
  <c r="H995" i="2"/>
  <c r="H1040" i="4"/>
  <c r="X1041" i="1"/>
  <c r="M1041" i="1"/>
  <c r="M1040" i="5" s="1"/>
  <c r="V1041" i="1"/>
  <c r="V1040" i="5" s="1"/>
  <c r="H867" i="4"/>
  <c r="J867" i="1"/>
  <c r="M867" i="1"/>
  <c r="M867" i="5" s="1"/>
  <c r="X867" i="1"/>
  <c r="Z867" i="1" s="1"/>
  <c r="U827" i="2"/>
  <c r="U862" i="4"/>
  <c r="V821" i="2"/>
  <c r="V856" i="4"/>
  <c r="V817" i="2"/>
  <c r="V852" i="4"/>
  <c r="W852" i="1"/>
  <c r="W852" i="5" s="1"/>
  <c r="U792" i="2"/>
  <c r="U826" i="4"/>
  <c r="J792" i="2"/>
  <c r="J826" i="4"/>
  <c r="J733" i="2"/>
  <c r="J764" i="4"/>
  <c r="E732" i="2"/>
  <c r="E763" i="4"/>
  <c r="Z763" i="1"/>
  <c r="Z732" i="2" s="1"/>
  <c r="Q763" i="1"/>
  <c r="Q763" i="5" s="1"/>
  <c r="W763" i="1"/>
  <c r="W763" i="5" s="1"/>
  <c r="E781" i="1"/>
  <c r="V637" i="2"/>
  <c r="V665" i="4"/>
  <c r="M2830" i="1"/>
  <c r="X2830" i="1"/>
  <c r="Z2830" i="1" s="1"/>
  <c r="H2813" i="1"/>
  <c r="AA2785" i="1"/>
  <c r="Q2824" i="1"/>
  <c r="Q2760" i="1"/>
  <c r="E2740" i="4"/>
  <c r="E2758" i="1"/>
  <c r="H2732" i="4"/>
  <c r="X2732" i="4" s="1"/>
  <c r="X2740" i="1"/>
  <c r="M2740" i="1"/>
  <c r="M2732" i="5" s="1"/>
  <c r="F2715" i="4"/>
  <c r="F2736" i="1"/>
  <c r="H2723" i="1"/>
  <c r="H2715" i="5" s="1"/>
  <c r="X2715" i="5" s="1"/>
  <c r="Z2715" i="5" s="1"/>
  <c r="H2666" i="4"/>
  <c r="X2674" i="1"/>
  <c r="X2666" i="5" s="1"/>
  <c r="M2674" i="1"/>
  <c r="M2666" i="5" s="1"/>
  <c r="H2650" i="4"/>
  <c r="X2658" i="1"/>
  <c r="Z2658" i="1" s="1"/>
  <c r="V2658" i="1"/>
  <c r="V2650" i="5" s="1"/>
  <c r="V2622" i="4"/>
  <c r="W2630" i="1"/>
  <c r="W2622" i="5" s="1"/>
  <c r="X2604" i="4"/>
  <c r="Z2612" i="1"/>
  <c r="F2597" i="4"/>
  <c r="H2605" i="1"/>
  <c r="H2597" i="5" s="1"/>
  <c r="P2577" i="4"/>
  <c r="V2585" i="1"/>
  <c r="V2577" i="5" s="1"/>
  <c r="U2585" i="1"/>
  <c r="X2585" i="1"/>
  <c r="X2577" i="5" s="1"/>
  <c r="M2561" i="4"/>
  <c r="E2546" i="4"/>
  <c r="P2541" i="4"/>
  <c r="U2549" i="1"/>
  <c r="U2541" i="5" s="1"/>
  <c r="P2573" i="1"/>
  <c r="P2531" i="4"/>
  <c r="V2539" i="1"/>
  <c r="V2531" i="5" s="1"/>
  <c r="U2539" i="1"/>
  <c r="X2539" i="1"/>
  <c r="Z2539" i="1" s="1"/>
  <c r="P2524" i="4"/>
  <c r="V2532" i="1"/>
  <c r="V2524" i="5" s="1"/>
  <c r="U2532" i="1"/>
  <c r="X2532" i="1"/>
  <c r="Z2532" i="1" s="1"/>
  <c r="M2521" i="4"/>
  <c r="P2519" i="4"/>
  <c r="X2519" i="4" s="1"/>
  <c r="Z2519" i="4" s="1"/>
  <c r="V2527" i="1"/>
  <c r="V2519" i="5" s="1"/>
  <c r="U2527" i="1"/>
  <c r="U2519" i="5" s="1"/>
  <c r="X2527" i="1"/>
  <c r="Z2527" i="1" s="1"/>
  <c r="F2518" i="4"/>
  <c r="F2535" i="4" s="1"/>
  <c r="F2543" i="1"/>
  <c r="F2512" i="4"/>
  <c r="H2520" i="1"/>
  <c r="H2512" i="5" s="1"/>
  <c r="X2512" i="5" s="1"/>
  <c r="V2473" i="4"/>
  <c r="W2481" i="1"/>
  <c r="W2473" i="5" s="1"/>
  <c r="V2467" i="4"/>
  <c r="W2475" i="1"/>
  <c r="M2462" i="4"/>
  <c r="V2459" i="4"/>
  <c r="W2467" i="1"/>
  <c r="H2457" i="4"/>
  <c r="X2465" i="1"/>
  <c r="X2457" i="5" s="1"/>
  <c r="M2465" i="1"/>
  <c r="M2457" i="5" s="1"/>
  <c r="M2442" i="4"/>
  <c r="E2336" i="4"/>
  <c r="Q2342" i="1"/>
  <c r="Q2340" i="1"/>
  <c r="E2334" i="4"/>
  <c r="X2305" i="4"/>
  <c r="Z2311" i="1"/>
  <c r="E2275" i="4"/>
  <c r="Q2279" i="1"/>
  <c r="Z2279" i="1"/>
  <c r="P2257" i="4"/>
  <c r="U2261" i="1"/>
  <c r="Q2261" i="1"/>
  <c r="AA2222" i="4"/>
  <c r="AB2226" i="1"/>
  <c r="AB2222" i="5" s="1"/>
  <c r="M2198" i="4"/>
  <c r="AA2202" i="1"/>
  <c r="AA2198" i="5" s="1"/>
  <c r="Z2180" i="1"/>
  <c r="J2115" i="4"/>
  <c r="X2091" i="4"/>
  <c r="Z2095" i="1"/>
  <c r="H2003" i="4"/>
  <c r="X2003" i="4" s="1"/>
  <c r="X2007" i="1"/>
  <c r="Z2007" i="1" s="1"/>
  <c r="M2007" i="1"/>
  <c r="M2003" i="5" s="1"/>
  <c r="V2007" i="1"/>
  <c r="V2003" i="5" s="1"/>
  <c r="H1998" i="4"/>
  <c r="X1998" i="4" s="1"/>
  <c r="X2002" i="1"/>
  <c r="Z2002" i="1" s="1"/>
  <c r="M2002" i="1"/>
  <c r="M1998" i="5" s="1"/>
  <c r="V2002" i="1"/>
  <c r="V1998" i="5" s="1"/>
  <c r="H1990" i="4"/>
  <c r="X1990" i="4" s="1"/>
  <c r="X1994" i="1"/>
  <c r="M1994" i="1"/>
  <c r="M1990" i="5" s="1"/>
  <c r="V1994" i="1"/>
  <c r="H1965" i="4"/>
  <c r="X1965" i="4" s="1"/>
  <c r="Z1965" i="4" s="1"/>
  <c r="M1969" i="1"/>
  <c r="M1965" i="5" s="1"/>
  <c r="X1969" i="1"/>
  <c r="J1969" i="1"/>
  <c r="H1971" i="1"/>
  <c r="F1936" i="4"/>
  <c r="F1951" i="4" s="1"/>
  <c r="H1940" i="1"/>
  <c r="H1936" i="5" s="1"/>
  <c r="X1936" i="5" s="1"/>
  <c r="P1916" i="4"/>
  <c r="U1920" i="1"/>
  <c r="E1909" i="4"/>
  <c r="Q1913" i="1"/>
  <c r="Z1913" i="1"/>
  <c r="P1893" i="4"/>
  <c r="P1794" i="2"/>
  <c r="U1897" i="1"/>
  <c r="U1893" i="5" s="1"/>
  <c r="Q1897" i="1"/>
  <c r="Q1893" i="5" s="1"/>
  <c r="U1790" i="2"/>
  <c r="U1889" i="4"/>
  <c r="P1786" i="2"/>
  <c r="P1882" i="4"/>
  <c r="U1886" i="1"/>
  <c r="U1882" i="5" s="1"/>
  <c r="Q1886" i="1"/>
  <c r="Q1882" i="5" s="1"/>
  <c r="X1886" i="1"/>
  <c r="J1783" i="2"/>
  <c r="J1879" i="4"/>
  <c r="J1773" i="2"/>
  <c r="J1869" i="4"/>
  <c r="Q1767" i="2"/>
  <c r="Q1863" i="4"/>
  <c r="U1862" i="4"/>
  <c r="X1765" i="2"/>
  <c r="Z1863" i="1"/>
  <c r="Z1765" i="2" s="1"/>
  <c r="P1762" i="2"/>
  <c r="P1856" i="4"/>
  <c r="U1860" i="1"/>
  <c r="U1856" i="5" s="1"/>
  <c r="Q1860" i="1"/>
  <c r="Q1856" i="5" s="1"/>
  <c r="P1836" i="4"/>
  <c r="P1744" i="2"/>
  <c r="X1840" i="1"/>
  <c r="U1840" i="1"/>
  <c r="U1836" i="5" s="1"/>
  <c r="H1737" i="2"/>
  <c r="H1829" i="4"/>
  <c r="M1833" i="1"/>
  <c r="M1829" i="5" s="1"/>
  <c r="X1833" i="1"/>
  <c r="J1833" i="1"/>
  <c r="J1829" i="5" s="1"/>
  <c r="H1723" i="2"/>
  <c r="H1815" i="4"/>
  <c r="M1819" i="1"/>
  <c r="M1815" i="5" s="1"/>
  <c r="X1819" i="1"/>
  <c r="J1819" i="1"/>
  <c r="J1815" i="5" s="1"/>
  <c r="H1824" i="1"/>
  <c r="P1717" i="2"/>
  <c r="P1809" i="4"/>
  <c r="U1813" i="1"/>
  <c r="U1809" i="5" s="1"/>
  <c r="P1824" i="1"/>
  <c r="Q1813" i="1"/>
  <c r="Q1809" i="5" s="1"/>
  <c r="M1707" i="2"/>
  <c r="M1799" i="4"/>
  <c r="AA1803" i="1"/>
  <c r="AA1799" i="5" s="1"/>
  <c r="H1705" i="2"/>
  <c r="H1796" i="4"/>
  <c r="M1800" i="1"/>
  <c r="M1796" i="5" s="1"/>
  <c r="X1800" i="1"/>
  <c r="J1800" i="1"/>
  <c r="J1796" i="5" s="1"/>
  <c r="X1700" i="2"/>
  <c r="Z1795" i="1"/>
  <c r="Z1700" i="2" s="1"/>
  <c r="Q1699" i="2"/>
  <c r="Q1790" i="4"/>
  <c r="X1633" i="2"/>
  <c r="Z1728" i="1"/>
  <c r="Z1725" i="5" s="1"/>
  <c r="AA1626" i="2"/>
  <c r="AA1718" i="4"/>
  <c r="AB1721" i="1"/>
  <c r="AB1718" i="5" s="1"/>
  <c r="P1623" i="2"/>
  <c r="P1715" i="4"/>
  <c r="V1718" i="1"/>
  <c r="V1715" i="5" s="1"/>
  <c r="X1718" i="1"/>
  <c r="U1718" i="1"/>
  <c r="M1602" i="2"/>
  <c r="M1694" i="4"/>
  <c r="M1601" i="2"/>
  <c r="M1690" i="4"/>
  <c r="M1597" i="2"/>
  <c r="M1686" i="4"/>
  <c r="M1593" i="2"/>
  <c r="M1682" i="4"/>
  <c r="U1560" i="2"/>
  <c r="U1643" i="4"/>
  <c r="V1533" i="2"/>
  <c r="V1612" i="4"/>
  <c r="W1615" i="1"/>
  <c r="W1612" i="5" s="1"/>
  <c r="V1520" i="2"/>
  <c r="V1598" i="4"/>
  <c r="W1601" i="1"/>
  <c r="W1598" i="5" s="1"/>
  <c r="H1512" i="2"/>
  <c r="H1590" i="4"/>
  <c r="X1593" i="1"/>
  <c r="X1590" i="5" s="1"/>
  <c r="M1593" i="1"/>
  <c r="M1590" i="5" s="1"/>
  <c r="V1593" i="1"/>
  <c r="V1590" i="5" s="1"/>
  <c r="R2828" i="1"/>
  <c r="R2910" i="1"/>
  <c r="Q1456" i="2"/>
  <c r="Q1533" i="4"/>
  <c r="H1435" i="2"/>
  <c r="H1512" i="4"/>
  <c r="M1513" i="1"/>
  <c r="M1512" i="5" s="1"/>
  <c r="X1513" i="1"/>
  <c r="J1513" i="1"/>
  <c r="J1512" i="5" s="1"/>
  <c r="V1402" i="2"/>
  <c r="V1478" i="4"/>
  <c r="W1479" i="1"/>
  <c r="W1478" i="5" s="1"/>
  <c r="V1398" i="2"/>
  <c r="V1474" i="4"/>
  <c r="K1398" i="2"/>
  <c r="K1474" i="4"/>
  <c r="K1498" i="1"/>
  <c r="V1393" i="2"/>
  <c r="V1469" i="4"/>
  <c r="W1470" i="1"/>
  <c r="W1469" i="5" s="1"/>
  <c r="U1467" i="4"/>
  <c r="AA1468" i="1"/>
  <c r="AA1467" i="5" s="1"/>
  <c r="P1384" i="2"/>
  <c r="P1455" i="4"/>
  <c r="V1456" i="1"/>
  <c r="V1455" i="5" s="1"/>
  <c r="U1456" i="1"/>
  <c r="U1455" i="5" s="1"/>
  <c r="Q1456" i="1"/>
  <c r="Q1455" i="5" s="1"/>
  <c r="X1456" i="1"/>
  <c r="X1383" i="2"/>
  <c r="Z1455" i="1"/>
  <c r="Z1383" i="2" s="1"/>
  <c r="P1368" i="2"/>
  <c r="P1439" i="4"/>
  <c r="U1440" i="1"/>
  <c r="U1439" i="5" s="1"/>
  <c r="Q1440" i="1"/>
  <c r="Q1439" i="5" s="1"/>
  <c r="X1440" i="1"/>
  <c r="V1440" i="1"/>
  <c r="V1439" i="5" s="1"/>
  <c r="H1365" i="2"/>
  <c r="H1436" i="4"/>
  <c r="M1437" i="1"/>
  <c r="M1436" i="5" s="1"/>
  <c r="J1437" i="1"/>
  <c r="J1436" i="5" s="1"/>
  <c r="X1359" i="2"/>
  <c r="Z1431" i="1"/>
  <c r="Z1359" i="2" s="1"/>
  <c r="J1359" i="2"/>
  <c r="J1430" i="4"/>
  <c r="E1357" i="2"/>
  <c r="E1427" i="4"/>
  <c r="V1349" i="2"/>
  <c r="V1419" i="4"/>
  <c r="W1420" i="1"/>
  <c r="W1419" i="5" s="1"/>
  <c r="P1339" i="2"/>
  <c r="P1409" i="4"/>
  <c r="V1410" i="1"/>
  <c r="V1409" i="5" s="1"/>
  <c r="U1410" i="1"/>
  <c r="U1409" i="5" s="1"/>
  <c r="X1410" i="1"/>
  <c r="Q1410" i="1"/>
  <c r="Q1409" i="5" s="1"/>
  <c r="P1434" i="1"/>
  <c r="I1400" i="4"/>
  <c r="I1402" i="4" s="1"/>
  <c r="I1330" i="2"/>
  <c r="I1332" i="2" s="1"/>
  <c r="X1302" i="2"/>
  <c r="Z1372" i="1"/>
  <c r="Z1302" i="2" s="1"/>
  <c r="M1266" i="2"/>
  <c r="M1329" i="4"/>
  <c r="Q1263" i="2"/>
  <c r="Q1326" i="4"/>
  <c r="V1205" i="2"/>
  <c r="V1264" i="4"/>
  <c r="W1265" i="1"/>
  <c r="W1264" i="5" s="1"/>
  <c r="J1201" i="2"/>
  <c r="J1260" i="4"/>
  <c r="Q1195" i="2"/>
  <c r="Q1254" i="4"/>
  <c r="J1151" i="2"/>
  <c r="J1203" i="4"/>
  <c r="H1086" i="2"/>
  <c r="H1136" i="4"/>
  <c r="X1137" i="1"/>
  <c r="M1137" i="1"/>
  <c r="M1136" i="5" s="1"/>
  <c r="V1137" i="1"/>
  <c r="V1136" i="5" s="1"/>
  <c r="W1022" i="2"/>
  <c r="W1069" i="4"/>
  <c r="M1022" i="2"/>
  <c r="M1069" i="4"/>
  <c r="AA1070" i="1"/>
  <c r="AA1069" i="5" s="1"/>
  <c r="M966" i="2"/>
  <c r="M1011" i="4"/>
  <c r="AA1012" i="1"/>
  <c r="AA1011" i="5" s="1"/>
  <c r="V874" i="2"/>
  <c r="V917" i="4"/>
  <c r="W917" i="1"/>
  <c r="W917" i="5" s="1"/>
  <c r="H637" i="2"/>
  <c r="H665" i="4"/>
  <c r="X665" i="1"/>
  <c r="M665" i="1"/>
  <c r="M665" i="5" s="1"/>
  <c r="J665" i="1"/>
  <c r="J665" i="5" s="1"/>
  <c r="X631" i="2"/>
  <c r="Z659" i="1"/>
  <c r="Z659" i="5" s="1"/>
  <c r="AA2860" i="1"/>
  <c r="X2828" i="1"/>
  <c r="Z2828" i="1" s="1"/>
  <c r="M2828" i="1"/>
  <c r="T2862" i="1"/>
  <c r="H2796" i="1"/>
  <c r="F2862" i="1"/>
  <c r="AA2782" i="1"/>
  <c r="N2862" i="1"/>
  <c r="P2743" i="4"/>
  <c r="X2743" i="4" s="1"/>
  <c r="X2751" i="1"/>
  <c r="Z2751" i="1" s="1"/>
  <c r="P2739" i="4"/>
  <c r="X2739" i="4" s="1"/>
  <c r="V2747" i="1"/>
  <c r="V2739" i="5" s="1"/>
  <c r="U2747" i="1"/>
  <c r="X2747" i="1"/>
  <c r="Z2747" i="1" s="1"/>
  <c r="H2736" i="4"/>
  <c r="X2736" i="4" s="1"/>
  <c r="X2744" i="1"/>
  <c r="Z2744" i="1" s="1"/>
  <c r="M2744" i="1"/>
  <c r="M2736" i="5" s="1"/>
  <c r="H2726" i="4"/>
  <c r="X2734" i="1"/>
  <c r="Z2734" i="1" s="1"/>
  <c r="M2734" i="1"/>
  <c r="M2726" i="5" s="1"/>
  <c r="H2725" i="4"/>
  <c r="X2725" i="4" s="1"/>
  <c r="Z2725" i="4" s="1"/>
  <c r="X2733" i="1"/>
  <c r="Z2733" i="1" s="1"/>
  <c r="F2723" i="4"/>
  <c r="H2731" i="1"/>
  <c r="H2723" i="5" s="1"/>
  <c r="X2723" i="5" s="1"/>
  <c r="Z2723" i="5" s="1"/>
  <c r="P2721" i="4"/>
  <c r="X2721" i="4" s="1"/>
  <c r="Z2721" i="4" s="1"/>
  <c r="V2729" i="1"/>
  <c r="V2721" i="5" s="1"/>
  <c r="U2729" i="1"/>
  <c r="X2729" i="1"/>
  <c r="Z2729" i="1" s="1"/>
  <c r="H2718" i="4"/>
  <c r="X2718" i="4" s="1"/>
  <c r="Z2718" i="4" s="1"/>
  <c r="X2726" i="1"/>
  <c r="Z2726" i="1" s="1"/>
  <c r="M2726" i="1"/>
  <c r="M2718" i="5" s="1"/>
  <c r="P2680" i="4"/>
  <c r="H2670" i="4"/>
  <c r="X2678" i="1"/>
  <c r="X2670" i="5" s="1"/>
  <c r="M2678" i="1"/>
  <c r="M2670" i="5" s="1"/>
  <c r="P2665" i="4"/>
  <c r="V2673" i="1"/>
  <c r="V2665" i="5" s="1"/>
  <c r="U2673" i="1"/>
  <c r="U2665" i="5" s="1"/>
  <c r="X2673" i="1"/>
  <c r="X2665" i="5" s="1"/>
  <c r="P2691" i="1"/>
  <c r="M2655" i="4"/>
  <c r="P2649" i="4"/>
  <c r="V2647" i="4"/>
  <c r="W2655" i="1"/>
  <c r="V2645" i="4"/>
  <c r="W2653" i="1"/>
  <c r="V2641" i="4"/>
  <c r="W2649" i="1"/>
  <c r="J2668" i="1"/>
  <c r="J2924" i="1" s="1"/>
  <c r="V2627" i="4"/>
  <c r="W2635" i="1"/>
  <c r="H2624" i="4"/>
  <c r="X2632" i="1"/>
  <c r="Z2632" i="1" s="1"/>
  <c r="M2632" i="1"/>
  <c r="M2624" i="5" s="1"/>
  <c r="M2621" i="4"/>
  <c r="P2619" i="4"/>
  <c r="X2619" i="4" s="1"/>
  <c r="V2627" i="1"/>
  <c r="V2619" i="5" s="1"/>
  <c r="U2627" i="1"/>
  <c r="X2627" i="1"/>
  <c r="Z2627" i="1" s="1"/>
  <c r="E2618" i="4"/>
  <c r="E2643" i="1"/>
  <c r="H2616" i="4"/>
  <c r="X2616" i="4" s="1"/>
  <c r="X2624" i="1"/>
  <c r="H2643" i="1"/>
  <c r="V2624" i="1"/>
  <c r="V2616" i="5" s="1"/>
  <c r="X2593" i="4"/>
  <c r="Z2601" i="1"/>
  <c r="P2581" i="4"/>
  <c r="V2589" i="1"/>
  <c r="V2581" i="5" s="1"/>
  <c r="U2589" i="1"/>
  <c r="X2589" i="1"/>
  <c r="X2581" i="5" s="1"/>
  <c r="H2578" i="4"/>
  <c r="X2586" i="1"/>
  <c r="X2578" i="5" s="1"/>
  <c r="M2586" i="1"/>
  <c r="M2578" i="5" s="1"/>
  <c r="V2586" i="1"/>
  <c r="V2578" i="5" s="1"/>
  <c r="P2573" i="4"/>
  <c r="V2581" i="1"/>
  <c r="V2573" i="5" s="1"/>
  <c r="U2581" i="1"/>
  <c r="U2573" i="5" s="1"/>
  <c r="P2616" i="1"/>
  <c r="X2581" i="1"/>
  <c r="X2573" i="5" s="1"/>
  <c r="V2561" i="4"/>
  <c r="W2569" i="1"/>
  <c r="V2559" i="4"/>
  <c r="H2556" i="4"/>
  <c r="X2556" i="4" s="1"/>
  <c r="Z2556" i="4" s="1"/>
  <c r="X2564" i="1"/>
  <c r="M2564" i="1"/>
  <c r="M2556" i="5" s="1"/>
  <c r="P2545" i="4"/>
  <c r="X2545" i="4" s="1"/>
  <c r="Z2545" i="4" s="1"/>
  <c r="V2553" i="1"/>
  <c r="V2545" i="5" s="1"/>
  <c r="U2553" i="1"/>
  <c r="X2553" i="1"/>
  <c r="Z2553" i="1" s="1"/>
  <c r="H2542" i="4"/>
  <c r="X2542" i="4" s="1"/>
  <c r="Z2542" i="4" s="1"/>
  <c r="X2550" i="1"/>
  <c r="Z2550" i="1" s="1"/>
  <c r="M2550" i="1"/>
  <c r="M2542" i="5" s="1"/>
  <c r="V2550" i="1"/>
  <c r="V2542" i="5" s="1"/>
  <c r="E2541" i="4"/>
  <c r="E2573" i="1"/>
  <c r="H2532" i="4"/>
  <c r="X2540" i="1"/>
  <c r="Z2540" i="1" s="1"/>
  <c r="M2540" i="1"/>
  <c r="M2532" i="5" s="1"/>
  <c r="V2540" i="1"/>
  <c r="V2532" i="5" s="1"/>
  <c r="H2525" i="4"/>
  <c r="X2533" i="1"/>
  <c r="Z2533" i="1" s="1"/>
  <c r="M2533" i="1"/>
  <c r="M2525" i="5" s="1"/>
  <c r="N2523" i="4"/>
  <c r="N2535" i="4" s="1"/>
  <c r="P2531" i="1"/>
  <c r="P2523" i="5" s="1"/>
  <c r="X2523" i="5" s="1"/>
  <c r="Z2523" i="5" s="1"/>
  <c r="N2543" i="1"/>
  <c r="N2575" i="1" s="1"/>
  <c r="N2922" i="1" s="1"/>
  <c r="H2520" i="4"/>
  <c r="X2528" i="1"/>
  <c r="Z2528" i="1" s="1"/>
  <c r="M2528" i="1"/>
  <c r="M2520" i="5" s="1"/>
  <c r="V2511" i="4"/>
  <c r="W2519" i="1"/>
  <c r="M2508" i="4"/>
  <c r="V2504" i="4"/>
  <c r="W2512" i="1"/>
  <c r="V2494" i="4"/>
  <c r="W2502" i="1"/>
  <c r="M2491" i="4"/>
  <c r="H2486" i="4"/>
  <c r="X2486" i="4" s="1"/>
  <c r="X2494" i="1"/>
  <c r="Z2494" i="1" s="1"/>
  <c r="M2494" i="1"/>
  <c r="M2486" i="5" s="1"/>
  <c r="H2475" i="4"/>
  <c r="X2475" i="4" s="1"/>
  <c r="X2483" i="1"/>
  <c r="Z2483" i="1" s="1"/>
  <c r="M2483" i="1"/>
  <c r="M2475" i="5" s="1"/>
  <c r="I2922" i="1"/>
  <c r="I2827" i="1"/>
  <c r="M2466" i="4"/>
  <c r="P2464" i="4"/>
  <c r="V2472" i="1"/>
  <c r="V2464" i="5" s="1"/>
  <c r="U2472" i="1"/>
  <c r="U2464" i="5" s="1"/>
  <c r="X2472" i="1"/>
  <c r="X2464" i="5" s="1"/>
  <c r="H2461" i="4"/>
  <c r="X2469" i="1"/>
  <c r="X2461" i="5" s="1"/>
  <c r="M2469" i="1"/>
  <c r="M2461" i="5" s="1"/>
  <c r="M2458" i="4"/>
  <c r="P2456" i="4"/>
  <c r="V2464" i="1"/>
  <c r="V2456" i="5" s="1"/>
  <c r="U2464" i="1"/>
  <c r="U2456" i="5" s="1"/>
  <c r="X2464" i="1"/>
  <c r="X2456" i="5" s="1"/>
  <c r="M2438" i="4"/>
  <c r="AA2444" i="1"/>
  <c r="AA2438" i="5" s="1"/>
  <c r="H2416" i="4"/>
  <c r="M2422" i="1"/>
  <c r="M2416" i="5" s="1"/>
  <c r="X2422" i="1"/>
  <c r="Z2422" i="1" s="1"/>
  <c r="J2422" i="1"/>
  <c r="H2434" i="1"/>
  <c r="H2388" i="4"/>
  <c r="X2388" i="4" s="1"/>
  <c r="Z2388" i="4" s="1"/>
  <c r="M2394" i="1"/>
  <c r="M2388" i="5" s="1"/>
  <c r="X2394" i="1"/>
  <c r="Z2394" i="1" s="1"/>
  <c r="J2394" i="1"/>
  <c r="E2364" i="4"/>
  <c r="Q2370" i="1"/>
  <c r="E2372" i="1"/>
  <c r="Z2370" i="1"/>
  <c r="P2357" i="4"/>
  <c r="X2357" i="4" s="1"/>
  <c r="Z2357" i="4" s="1"/>
  <c r="U2363" i="1"/>
  <c r="U2357" i="5" s="1"/>
  <c r="P2351" i="4"/>
  <c r="U2357" i="1"/>
  <c r="Q2357" i="1"/>
  <c r="P2349" i="4"/>
  <c r="X2349" i="4" s="1"/>
  <c r="Z2349" i="4" s="1"/>
  <c r="U2355" i="1"/>
  <c r="Q2355" i="1"/>
  <c r="P2346" i="4"/>
  <c r="U2352" i="1"/>
  <c r="Q2352" i="1"/>
  <c r="H2327" i="4"/>
  <c r="X2327" i="4" s="1"/>
  <c r="Z2327" i="4" s="1"/>
  <c r="M2333" i="1"/>
  <c r="M2327" i="5" s="1"/>
  <c r="X2333" i="1"/>
  <c r="Z2333" i="1" s="1"/>
  <c r="J2333" i="1"/>
  <c r="H2311" i="4"/>
  <c r="M2317" i="1"/>
  <c r="M2311" i="5" s="1"/>
  <c r="X2317" i="1"/>
  <c r="X2311" i="5" s="1"/>
  <c r="J2317" i="1"/>
  <c r="P2303" i="4"/>
  <c r="U2309" i="1"/>
  <c r="Q2309" i="1"/>
  <c r="P2301" i="4"/>
  <c r="U2307" i="1"/>
  <c r="P2319" i="1"/>
  <c r="Q2307" i="1"/>
  <c r="P2290" i="4"/>
  <c r="U2294" i="1"/>
  <c r="Q2294" i="1"/>
  <c r="H2286" i="4"/>
  <c r="M2290" i="1"/>
  <c r="M2286" i="5" s="1"/>
  <c r="X2290" i="1"/>
  <c r="Z2290" i="1" s="1"/>
  <c r="J2290" i="1"/>
  <c r="M2277" i="4"/>
  <c r="AA2281" i="1"/>
  <c r="AA2277" i="5" s="1"/>
  <c r="M2260" i="1"/>
  <c r="M2256" i="5" s="1"/>
  <c r="P2241" i="4"/>
  <c r="U2245" i="1"/>
  <c r="Q2245" i="1"/>
  <c r="E2228" i="4"/>
  <c r="Q2232" i="1"/>
  <c r="Z2232" i="1"/>
  <c r="F2200" i="4"/>
  <c r="H2204" i="1"/>
  <c r="H2200" i="5" s="1"/>
  <c r="X2200" i="5" s="1"/>
  <c r="Z2200" i="5" s="1"/>
  <c r="F2223" i="1"/>
  <c r="E2197" i="4"/>
  <c r="E2223" i="1"/>
  <c r="Q2201" i="1"/>
  <c r="Q2197" i="5" s="1"/>
  <c r="H2163" i="4"/>
  <c r="X2163" i="4" s="1"/>
  <c r="Z2163" i="4" s="1"/>
  <c r="X2167" i="1"/>
  <c r="Z2167" i="1" s="1"/>
  <c r="M2167" i="1"/>
  <c r="M2163" i="5" s="1"/>
  <c r="P2110" i="4"/>
  <c r="U2114" i="1"/>
  <c r="Q2114" i="1"/>
  <c r="X2105" i="4"/>
  <c r="Z2109" i="1"/>
  <c r="Z2066" i="1"/>
  <c r="M2056" i="4"/>
  <c r="AA2060" i="1"/>
  <c r="AA2056" i="5" s="1"/>
  <c r="P2035" i="4"/>
  <c r="X2035" i="4" s="1"/>
  <c r="V2039" i="1"/>
  <c r="X2039" i="1"/>
  <c r="Z2039" i="1" s="1"/>
  <c r="U2039" i="1"/>
  <c r="M2017" i="4"/>
  <c r="M2015" i="4"/>
  <c r="P1999" i="4"/>
  <c r="X1999" i="4" s="1"/>
  <c r="V2003" i="1"/>
  <c r="V1999" i="5" s="1"/>
  <c r="U2003" i="1"/>
  <c r="X2003" i="1"/>
  <c r="Z2003" i="1" s="1"/>
  <c r="H1994" i="4"/>
  <c r="X1994" i="4" s="1"/>
  <c r="X1998" i="1"/>
  <c r="Z1998" i="1" s="1"/>
  <c r="M1998" i="1"/>
  <c r="M1994" i="5" s="1"/>
  <c r="V1998" i="1"/>
  <c r="V1994" i="5" s="1"/>
  <c r="P1991" i="4"/>
  <c r="X1991" i="4" s="1"/>
  <c r="V1995" i="1"/>
  <c r="V1991" i="5" s="1"/>
  <c r="U1995" i="1"/>
  <c r="U1991" i="5" s="1"/>
  <c r="P2015" i="1"/>
  <c r="X1995" i="1"/>
  <c r="Z1995" i="1" s="1"/>
  <c r="P1961" i="4"/>
  <c r="U1965" i="1"/>
  <c r="U1961" i="5" s="1"/>
  <c r="Q1965" i="1"/>
  <c r="X1965" i="1"/>
  <c r="Z1965" i="1" s="1"/>
  <c r="P1943" i="4"/>
  <c r="U1947" i="1"/>
  <c r="Q1947" i="1"/>
  <c r="P1941" i="4"/>
  <c r="U1945" i="1"/>
  <c r="Q1945" i="1"/>
  <c r="F1917" i="4"/>
  <c r="H1921" i="1"/>
  <c r="H1917" i="5" s="1"/>
  <c r="X1917" i="5" s="1"/>
  <c r="Z1917" i="5" s="1"/>
  <c r="H1793" i="2"/>
  <c r="H1892" i="4"/>
  <c r="M1896" i="1"/>
  <c r="M1892" i="5" s="1"/>
  <c r="X1896" i="1"/>
  <c r="J1896" i="1"/>
  <c r="J1892" i="5" s="1"/>
  <c r="F1787" i="2"/>
  <c r="F1883" i="4"/>
  <c r="H1887" i="1"/>
  <c r="H1883" i="5" s="1"/>
  <c r="X1883" i="5" s="1"/>
  <c r="Z1883" i="5" s="1"/>
  <c r="P1782" i="2"/>
  <c r="P1878" i="4"/>
  <c r="U1882" i="1"/>
  <c r="Q1882" i="1"/>
  <c r="Q1878" i="5" s="1"/>
  <c r="X1882" i="1"/>
  <c r="Q1775" i="2"/>
  <c r="Q1871" i="4"/>
  <c r="Q1772" i="2"/>
  <c r="Q1868" i="4"/>
  <c r="F1764" i="2"/>
  <c r="F1858" i="4"/>
  <c r="H1862" i="1"/>
  <c r="H1858" i="5" s="1"/>
  <c r="X1858" i="5" s="1"/>
  <c r="F1759" i="2"/>
  <c r="F1853" i="4"/>
  <c r="H1857" i="1"/>
  <c r="H1853" i="5" s="1"/>
  <c r="X1853" i="5" s="1"/>
  <c r="Z1853" i="5" s="1"/>
  <c r="F1869" i="1"/>
  <c r="U1746" i="2"/>
  <c r="U1840" i="4"/>
  <c r="AA1844" i="1"/>
  <c r="M1837" i="4"/>
  <c r="X1739" i="2"/>
  <c r="Z1835" i="1"/>
  <c r="Z1739" i="2" s="1"/>
  <c r="I1726" i="2"/>
  <c r="I1728" i="2" s="1"/>
  <c r="I1818" i="4"/>
  <c r="I1820" i="4" s="1"/>
  <c r="I1824" i="1"/>
  <c r="I1973" i="1" s="1"/>
  <c r="J1822" i="1"/>
  <c r="J1818" i="5" s="1"/>
  <c r="X1719" i="2"/>
  <c r="Z1815" i="1"/>
  <c r="Z1719" i="2" s="1"/>
  <c r="E1713" i="2"/>
  <c r="E1805" i="4"/>
  <c r="E1824" i="1"/>
  <c r="Q1809" i="1"/>
  <c r="Q1805" i="5" s="1"/>
  <c r="P1787" i="4"/>
  <c r="P1696" i="2"/>
  <c r="U1791" i="1"/>
  <c r="U1787" i="5" s="1"/>
  <c r="P1806" i="1"/>
  <c r="X1791" i="1"/>
  <c r="E1696" i="2"/>
  <c r="E1787" i="4"/>
  <c r="E1806" i="1"/>
  <c r="Q1791" i="1"/>
  <c r="Q1787" i="5" s="1"/>
  <c r="U1689" i="2"/>
  <c r="U1780" i="4"/>
  <c r="J1687" i="2"/>
  <c r="J1778" i="4"/>
  <c r="U1682" i="2"/>
  <c r="U1773" i="4"/>
  <c r="J1682" i="2"/>
  <c r="J1773" i="4"/>
  <c r="Z1679" i="2"/>
  <c r="U1673" i="2"/>
  <c r="U1764" i="4"/>
  <c r="J1673" i="2"/>
  <c r="J1764" i="4"/>
  <c r="X1664" i="2"/>
  <c r="X1755" i="4"/>
  <c r="Z1759" i="1"/>
  <c r="Z1755" i="5" s="1"/>
  <c r="X1659" i="2"/>
  <c r="X1750" i="4"/>
  <c r="Z1754" i="1"/>
  <c r="Z1750" i="5" s="1"/>
  <c r="M1659" i="2"/>
  <c r="M1750" i="4"/>
  <c r="AA1754" i="1"/>
  <c r="AA1750" i="5" s="1"/>
  <c r="M1654" i="2"/>
  <c r="M1745" i="4"/>
  <c r="X1641" i="2"/>
  <c r="Z1736" i="1"/>
  <c r="Z1733" i="5" s="1"/>
  <c r="H1640" i="2"/>
  <c r="H1732" i="4"/>
  <c r="X1735" i="1"/>
  <c r="M1735" i="1"/>
  <c r="M1732" i="5" s="1"/>
  <c r="P1635" i="2"/>
  <c r="P1727" i="4"/>
  <c r="V1730" i="1"/>
  <c r="V1727" i="5" s="1"/>
  <c r="X1730" i="1"/>
  <c r="U1730" i="1"/>
  <c r="U1727" i="5" s="1"/>
  <c r="X1621" i="2"/>
  <c r="Z1716" i="1"/>
  <c r="Z1713" i="5" s="1"/>
  <c r="H1620" i="2"/>
  <c r="H1712" i="4"/>
  <c r="X1715" i="1"/>
  <c r="M1715" i="1"/>
  <c r="M1712" i="5" s="1"/>
  <c r="H1723" i="1"/>
  <c r="X1615" i="2"/>
  <c r="Z1710" i="1"/>
  <c r="Z1707" i="5" s="1"/>
  <c r="H1614" i="2"/>
  <c r="H1706" i="4"/>
  <c r="X1709" i="1"/>
  <c r="M1709" i="1"/>
  <c r="M1706" i="5" s="1"/>
  <c r="P1609" i="2"/>
  <c r="P1701" i="4"/>
  <c r="P1712" i="1"/>
  <c r="V1704" i="1"/>
  <c r="V1701" i="5" s="1"/>
  <c r="X1704" i="1"/>
  <c r="U1704" i="1"/>
  <c r="U1701" i="5" s="1"/>
  <c r="P1603" i="2"/>
  <c r="P1695" i="4"/>
  <c r="V1698" i="1"/>
  <c r="X1698" i="1"/>
  <c r="X1603" i="2" s="1"/>
  <c r="U1698" i="1"/>
  <c r="U1695" i="5" s="1"/>
  <c r="V1693" i="4"/>
  <c r="W1696" i="1"/>
  <c r="V1600" i="2"/>
  <c r="V2675" i="2" s="1"/>
  <c r="V1689" i="4"/>
  <c r="W1692" i="1"/>
  <c r="W1689" i="5" s="1"/>
  <c r="V1598" i="2"/>
  <c r="V1687" i="4"/>
  <c r="W1690" i="1"/>
  <c r="W1687" i="5" s="1"/>
  <c r="V1596" i="2"/>
  <c r="V1685" i="4"/>
  <c r="W1688" i="1"/>
  <c r="W1685" i="5" s="1"/>
  <c r="V1594" i="2"/>
  <c r="V1683" i="4"/>
  <c r="W1686" i="1"/>
  <c r="W1683" i="5" s="1"/>
  <c r="V1592" i="2"/>
  <c r="V1681" i="4"/>
  <c r="W1684" i="1"/>
  <c r="W1681" i="5" s="1"/>
  <c r="U1675" i="4"/>
  <c r="M1673" i="4"/>
  <c r="V1582" i="2"/>
  <c r="V1668" i="4"/>
  <c r="W1671" i="1"/>
  <c r="W1668" i="5" s="1"/>
  <c r="U1579" i="2"/>
  <c r="U1665" i="4"/>
  <c r="F1571" i="2"/>
  <c r="F1573" i="2" s="1"/>
  <c r="F1657" i="4"/>
  <c r="F1659" i="4" s="1"/>
  <c r="H1660" i="1"/>
  <c r="H1657" i="5" s="1"/>
  <c r="X1657" i="5" s="1"/>
  <c r="F1662" i="1"/>
  <c r="W1570" i="2"/>
  <c r="W1653" i="4"/>
  <c r="M1570" i="2"/>
  <c r="M1653" i="4"/>
  <c r="AA1656" i="1"/>
  <c r="AA1653" i="5" s="1"/>
  <c r="M1566" i="2"/>
  <c r="M1649" i="4"/>
  <c r="AA1652" i="1"/>
  <c r="AA1649" i="5" s="1"/>
  <c r="X1551" i="2"/>
  <c r="Z1636" i="1"/>
  <c r="Z1633" i="5" s="1"/>
  <c r="U1548" i="2"/>
  <c r="U1629" i="4"/>
  <c r="U1546" i="2"/>
  <c r="U1627" i="4"/>
  <c r="U1544" i="2"/>
  <c r="U1625" i="4"/>
  <c r="M1542" i="2"/>
  <c r="M1623" i="4"/>
  <c r="AA1626" i="1"/>
  <c r="AA1623" i="5" s="1"/>
  <c r="U1535" i="2"/>
  <c r="U1616" i="4"/>
  <c r="M1614" i="4"/>
  <c r="AA1617" i="1"/>
  <c r="AA1614" i="5" s="1"/>
  <c r="U1529" i="2"/>
  <c r="U1607" i="4"/>
  <c r="U1527" i="2"/>
  <c r="U1605" i="4"/>
  <c r="U1524" i="2"/>
  <c r="U1602" i="4"/>
  <c r="M1522" i="2"/>
  <c r="M1600" i="4"/>
  <c r="AA1603" i="1"/>
  <c r="AA1600" i="5" s="1"/>
  <c r="P1474" i="2"/>
  <c r="P1549" i="4"/>
  <c r="V1552" i="1"/>
  <c r="V1549" i="5" s="1"/>
  <c r="X1552" i="1"/>
  <c r="X1549" i="5" s="1"/>
  <c r="P1571" i="1"/>
  <c r="U1552" i="1"/>
  <c r="U1549" i="5" s="1"/>
  <c r="P1462" i="2"/>
  <c r="P1539" i="4"/>
  <c r="V1540" i="1"/>
  <c r="V1539" i="5" s="1"/>
  <c r="U1540" i="1"/>
  <c r="U1539" i="5" s="1"/>
  <c r="Q1540" i="1"/>
  <c r="Q1539" i="5" s="1"/>
  <c r="X1540" i="1"/>
  <c r="F1459" i="2"/>
  <c r="F1464" i="2" s="1"/>
  <c r="F1536" i="4"/>
  <c r="F1541" i="4" s="1"/>
  <c r="F1542" i="1"/>
  <c r="H1537" i="1"/>
  <c r="H1536" i="5" s="1"/>
  <c r="X1536" i="5" s="1"/>
  <c r="Z1536" i="5" s="1"/>
  <c r="X1450" i="2"/>
  <c r="Z1528" i="1"/>
  <c r="Z1450" i="2" s="1"/>
  <c r="J1450" i="2"/>
  <c r="J1527" i="4"/>
  <c r="Q1432" i="2"/>
  <c r="Q1509" i="4"/>
  <c r="Q1542" i="1"/>
  <c r="J1429" i="2"/>
  <c r="J1506" i="4"/>
  <c r="H1409" i="2"/>
  <c r="H1485" i="4"/>
  <c r="M1486" i="1"/>
  <c r="M1485" i="5" s="1"/>
  <c r="J1486" i="1"/>
  <c r="J1485" i="5" s="1"/>
  <c r="E1400" i="2"/>
  <c r="E1476" i="4"/>
  <c r="Z1477" i="1"/>
  <c r="Z1400" i="2" s="1"/>
  <c r="Q1477" i="1"/>
  <c r="Q1476" i="5" s="1"/>
  <c r="Q1399" i="2"/>
  <c r="Q1475" i="4"/>
  <c r="M1399" i="2"/>
  <c r="M1475" i="4"/>
  <c r="P1391" i="2"/>
  <c r="P1463" i="4"/>
  <c r="V1464" i="1"/>
  <c r="V1463" i="5" s="1"/>
  <c r="U1464" i="1"/>
  <c r="U1463" i="5" s="1"/>
  <c r="Q1464" i="1"/>
  <c r="Q1463" i="5" s="1"/>
  <c r="X1464" i="1"/>
  <c r="Q1386" i="2"/>
  <c r="Q1457" i="4"/>
  <c r="P1382" i="2"/>
  <c r="P1453" i="4"/>
  <c r="V1454" i="1"/>
  <c r="V1453" i="5" s="1"/>
  <c r="U1454" i="1"/>
  <c r="U1453" i="5" s="1"/>
  <c r="Q1454" i="1"/>
  <c r="Q1453" i="5" s="1"/>
  <c r="H1372" i="2"/>
  <c r="H1443" i="4"/>
  <c r="M1444" i="1"/>
  <c r="M1443" i="5" s="1"/>
  <c r="J1444" i="1"/>
  <c r="J1443" i="5" s="1"/>
  <c r="V1354" i="2"/>
  <c r="V1424" i="4"/>
  <c r="W1425" i="1"/>
  <c r="W1424" i="5" s="1"/>
  <c r="E1353" i="2"/>
  <c r="E1423" i="4"/>
  <c r="Q1424" i="1"/>
  <c r="Q1423" i="5" s="1"/>
  <c r="P1416" i="4"/>
  <c r="P1346" i="2"/>
  <c r="V1417" i="1"/>
  <c r="V1416" i="5" s="1"/>
  <c r="U1417" i="1"/>
  <c r="U1416" i="5" s="1"/>
  <c r="X1417" i="1"/>
  <c r="Q1417" i="1"/>
  <c r="Q1416" i="5" s="1"/>
  <c r="H1327" i="2"/>
  <c r="H1397" i="4"/>
  <c r="J1398" i="1"/>
  <c r="J1397" i="5" s="1"/>
  <c r="X1398" i="1"/>
  <c r="M1398" i="1"/>
  <c r="M1397" i="5" s="1"/>
  <c r="V1398" i="1"/>
  <c r="V1397" i="5" s="1"/>
  <c r="U1315" i="2"/>
  <c r="U1384" i="4"/>
  <c r="H1300" i="2"/>
  <c r="H1369" i="4"/>
  <c r="M1370" i="1"/>
  <c r="M1369" i="5" s="1"/>
  <c r="J1370" i="1"/>
  <c r="J1369" i="5" s="1"/>
  <c r="X1370" i="1"/>
  <c r="X1293" i="2"/>
  <c r="Z1359" i="1"/>
  <c r="Z1293" i="2" s="1"/>
  <c r="P1286" i="2"/>
  <c r="P1351" i="4"/>
  <c r="V1352" i="1"/>
  <c r="V1351" i="5" s="1"/>
  <c r="U1352" i="1"/>
  <c r="U1351" i="5" s="1"/>
  <c r="Q1352" i="1"/>
  <c r="Q1351" i="5" s="1"/>
  <c r="X1352" i="1"/>
  <c r="P1376" i="1"/>
  <c r="X1278" i="2"/>
  <c r="Z1344" i="1"/>
  <c r="Z1278" i="2" s="1"/>
  <c r="K1278" i="2"/>
  <c r="K1343" i="4"/>
  <c r="K1376" i="1"/>
  <c r="X1265" i="2"/>
  <c r="Z1329" i="1"/>
  <c r="Z1265" i="2" s="1"/>
  <c r="Q1257" i="2"/>
  <c r="Q1320" i="4"/>
  <c r="M1256" i="2"/>
  <c r="M1319" i="4"/>
  <c r="AA1320" i="1"/>
  <c r="E1256" i="2"/>
  <c r="E1319" i="4"/>
  <c r="Q1320" i="1"/>
  <c r="Q1319" i="5" s="1"/>
  <c r="W1320" i="1"/>
  <c r="W1319" i="5" s="1"/>
  <c r="P1235" i="2"/>
  <c r="P1298" i="4"/>
  <c r="V1299" i="1"/>
  <c r="V1298" i="5" s="1"/>
  <c r="U1299" i="1"/>
  <c r="U1298" i="5" s="1"/>
  <c r="Q1299" i="1"/>
  <c r="Q1298" i="5" s="1"/>
  <c r="X1299" i="1"/>
  <c r="X1235" i="2" s="1"/>
  <c r="U1234" i="2"/>
  <c r="U1297" i="4"/>
  <c r="J1234" i="2"/>
  <c r="J1297" i="4"/>
  <c r="M1226" i="2"/>
  <c r="M1289" i="4"/>
  <c r="X1223" i="2"/>
  <c r="Z1287" i="1"/>
  <c r="Z1223" i="2" s="1"/>
  <c r="J1223" i="2"/>
  <c r="J1286" i="4"/>
  <c r="V1213" i="2"/>
  <c r="V1272" i="4"/>
  <c r="W1273" i="1"/>
  <c r="W1272" i="5" s="1"/>
  <c r="F1204" i="2"/>
  <c r="F1263" i="4"/>
  <c r="H1264" i="1"/>
  <c r="H1263" i="5" s="1"/>
  <c r="X1263" i="5" s="1"/>
  <c r="Z1263" i="5" s="1"/>
  <c r="P1199" i="2"/>
  <c r="P1258" i="4"/>
  <c r="U1259" i="1"/>
  <c r="U1258" i="5" s="1"/>
  <c r="Q1259" i="1"/>
  <c r="Q1258" i="5" s="1"/>
  <c r="X1259" i="1"/>
  <c r="V1259" i="1"/>
  <c r="V1258" i="5" s="1"/>
  <c r="U1192" i="2"/>
  <c r="U1251" i="4"/>
  <c r="V1183" i="2"/>
  <c r="V1242" i="4"/>
  <c r="W1243" i="1"/>
  <c r="W1242" i="5" s="1"/>
  <c r="U1182" i="2"/>
  <c r="U1241" i="4"/>
  <c r="AA1242" i="1"/>
  <c r="AA1241" i="5" s="1"/>
  <c r="P1178" i="2"/>
  <c r="P1232" i="4"/>
  <c r="V1233" i="1"/>
  <c r="V1232" i="5" s="1"/>
  <c r="U1233" i="1"/>
  <c r="U1232" i="5" s="1"/>
  <c r="X1233" i="1"/>
  <c r="Q1233" i="1"/>
  <c r="Q1232" i="5" s="1"/>
  <c r="Q1154" i="2"/>
  <c r="Q1206" i="4"/>
  <c r="U1153" i="2"/>
  <c r="U1205" i="4"/>
  <c r="X1152" i="2"/>
  <c r="X1204" i="4"/>
  <c r="Z1205" i="1"/>
  <c r="Z1204" i="5" s="1"/>
  <c r="H1131" i="2"/>
  <c r="H1182" i="4"/>
  <c r="M1183" i="1"/>
  <c r="M1182" i="5" s="1"/>
  <c r="V1183" i="1"/>
  <c r="V1182" i="5" s="1"/>
  <c r="X1183" i="1"/>
  <c r="H1107" i="2"/>
  <c r="H1157" i="4"/>
  <c r="X1158" i="1"/>
  <c r="M1158" i="1"/>
  <c r="M1157" i="5" s="1"/>
  <c r="M1103" i="2"/>
  <c r="M1153" i="4"/>
  <c r="AA1154" i="1"/>
  <c r="AA1153" i="5" s="1"/>
  <c r="M1097" i="2"/>
  <c r="M1147" i="4"/>
  <c r="H1083" i="2"/>
  <c r="M1134" i="1"/>
  <c r="M1133" i="5" s="1"/>
  <c r="H1133" i="4"/>
  <c r="X1134" i="1"/>
  <c r="V1134" i="1"/>
  <c r="V1133" i="5" s="1"/>
  <c r="U1033" i="2"/>
  <c r="U1081" i="4"/>
  <c r="V1026" i="2"/>
  <c r="V1073" i="4"/>
  <c r="W1074" i="1"/>
  <c r="W1073" i="5" s="1"/>
  <c r="M1026" i="2"/>
  <c r="M1073" i="4"/>
  <c r="H1010" i="2"/>
  <c r="H1055" i="4"/>
  <c r="X1056" i="1"/>
  <c r="M1056" i="1"/>
  <c r="M1055" i="5" s="1"/>
  <c r="H1066" i="1"/>
  <c r="V1056" i="1"/>
  <c r="V1055" i="5" s="1"/>
  <c r="X996" i="2"/>
  <c r="Z1042" i="1"/>
  <c r="Z996" i="2" s="1"/>
  <c r="M1009" i="4"/>
  <c r="AA1010" i="1"/>
  <c r="AA1009" i="5" s="1"/>
  <c r="V958" i="2"/>
  <c r="V1001" i="4"/>
  <c r="W1002" i="1"/>
  <c r="W1001" i="5" s="1"/>
  <c r="U955" i="2"/>
  <c r="U998" i="4"/>
  <c r="F883" i="2"/>
  <c r="F926" i="4"/>
  <c r="H926" i="1"/>
  <c r="H926" i="5" s="1"/>
  <c r="X926" i="5" s="1"/>
  <c r="Z926" i="5" s="1"/>
  <c r="F941" i="1"/>
  <c r="P840" i="2"/>
  <c r="P879" i="4"/>
  <c r="U879" i="1"/>
  <c r="U879" i="5" s="1"/>
  <c r="V879" i="1"/>
  <c r="V879" i="5" s="1"/>
  <c r="Q879" i="1"/>
  <c r="Q879" i="5" s="1"/>
  <c r="P895" i="1"/>
  <c r="X879" i="1"/>
  <c r="AA796" i="2"/>
  <c r="AA830" i="4"/>
  <c r="AB830" i="1"/>
  <c r="AB830" i="5" s="1"/>
  <c r="P795" i="2"/>
  <c r="P829" i="4"/>
  <c r="X829" i="1"/>
  <c r="X795" i="2" s="1"/>
  <c r="U829" i="1"/>
  <c r="U829" i="5" s="1"/>
  <c r="V829" i="1"/>
  <c r="V829" i="5" s="1"/>
  <c r="E795" i="2"/>
  <c r="E829" i="4"/>
  <c r="Q829" i="1"/>
  <c r="Q829" i="5" s="1"/>
  <c r="Z829" i="1"/>
  <c r="Z795" i="2" s="1"/>
  <c r="E844" i="1"/>
  <c r="P781" i="2"/>
  <c r="P815" i="4"/>
  <c r="U815" i="1"/>
  <c r="U815" i="5" s="1"/>
  <c r="P823" i="1"/>
  <c r="P758" i="2"/>
  <c r="P791" i="4"/>
  <c r="X791" i="1"/>
  <c r="U791" i="1"/>
  <c r="U791" i="5" s="1"/>
  <c r="V791" i="1"/>
  <c r="V791" i="5" s="1"/>
  <c r="E758" i="2"/>
  <c r="E791" i="4"/>
  <c r="Q791" i="1"/>
  <c r="Q791" i="5" s="1"/>
  <c r="W791" i="1"/>
  <c r="W791" i="5" s="1"/>
  <c r="P756" i="2"/>
  <c r="P789" i="4"/>
  <c r="U789" i="1"/>
  <c r="U789" i="5" s="1"/>
  <c r="V789" i="1"/>
  <c r="V789" i="5" s="1"/>
  <c r="Q789" i="1"/>
  <c r="Q789" i="5" s="1"/>
  <c r="AA739" i="2"/>
  <c r="V680" i="2"/>
  <c r="V710" i="4"/>
  <c r="W710" i="1"/>
  <c r="W710" i="5" s="1"/>
  <c r="AA648" i="2"/>
  <c r="AA676" i="4"/>
  <c r="AB676" i="1"/>
  <c r="AB676" i="5" s="1"/>
  <c r="X646" i="2"/>
  <c r="Z674" i="1"/>
  <c r="Z646" i="2" s="1"/>
  <c r="U641" i="2"/>
  <c r="U669" i="4"/>
  <c r="J638" i="2"/>
  <c r="J666" i="4"/>
  <c r="X435" i="2"/>
  <c r="Z456" i="1"/>
  <c r="Z455" i="5" s="1"/>
  <c r="V454" i="4"/>
  <c r="V434" i="2"/>
  <c r="W455" i="1"/>
  <c r="W454" i="5" s="1"/>
  <c r="U419" i="2"/>
  <c r="U437" i="4"/>
  <c r="Z1698" i="1"/>
  <c r="Z1695" i="5" s="1"/>
  <c r="M2798" i="1"/>
  <c r="W2728" i="1"/>
  <c r="M2684" i="1"/>
  <c r="M2676" i="5" s="1"/>
  <c r="X2662" i="1"/>
  <c r="Z2662" i="1" s="1"/>
  <c r="H2611" i="1"/>
  <c r="H2603" i="5" s="1"/>
  <c r="Z2596" i="1"/>
  <c r="Z2594" i="1"/>
  <c r="Z2592" i="1"/>
  <c r="Z2590" i="1"/>
  <c r="X2837" i="1"/>
  <c r="Z2837" i="1" s="1"/>
  <c r="AA2824" i="1"/>
  <c r="X2821" i="1"/>
  <c r="Z2821" i="1" s="1"/>
  <c r="X2785" i="1"/>
  <c r="Z2785" i="1" s="1"/>
  <c r="V2740" i="1"/>
  <c r="V2732" i="5" s="1"/>
  <c r="V2674" i="1"/>
  <c r="V2666" i="5" s="1"/>
  <c r="V2626" i="1"/>
  <c r="P2543" i="1"/>
  <c r="V2471" i="1"/>
  <c r="V2463" i="5" s="1"/>
  <c r="P2416" i="1"/>
  <c r="Q1742" i="1"/>
  <c r="Q2912" i="1" s="1"/>
  <c r="P1723" i="1"/>
  <c r="V1705" i="1"/>
  <c r="V1702" i="5" s="1"/>
  <c r="X1437" i="1"/>
  <c r="I1403" i="1"/>
  <c r="N1544" i="1"/>
  <c r="N2910" i="1" s="1"/>
  <c r="X2859" i="1"/>
  <c r="Z2859" i="1" s="1"/>
  <c r="U2859" i="1"/>
  <c r="AA2854" i="1"/>
  <c r="AA2835" i="1"/>
  <c r="AA2827" i="1"/>
  <c r="X2826" i="1"/>
  <c r="Z2826" i="1" s="1"/>
  <c r="U2826" i="1"/>
  <c r="AA2799" i="1"/>
  <c r="AA2781" i="1"/>
  <c r="V2886" i="4"/>
  <c r="J2886" i="4"/>
  <c r="P2737" i="4"/>
  <c r="X2737" i="4" s="1"/>
  <c r="V2745" i="1"/>
  <c r="V2737" i="5" s="1"/>
  <c r="U2745" i="1"/>
  <c r="AO2867" i="1"/>
  <c r="X2745" i="1"/>
  <c r="Z2745" i="1" s="1"/>
  <c r="H2734" i="4"/>
  <c r="X2734" i="4" s="1"/>
  <c r="X2742" i="1"/>
  <c r="Z2742" i="1" s="1"/>
  <c r="M2742" i="1"/>
  <c r="M2734" i="5" s="1"/>
  <c r="M2725" i="4"/>
  <c r="P2723" i="4"/>
  <c r="U2731" i="1"/>
  <c r="H2716" i="4"/>
  <c r="X2716" i="4" s="1"/>
  <c r="Z2716" i="4" s="1"/>
  <c r="X2724" i="1"/>
  <c r="Z2724" i="1" s="1"/>
  <c r="M2724" i="1"/>
  <c r="M2716" i="5" s="1"/>
  <c r="H2702" i="4"/>
  <c r="X2710" i="1"/>
  <c r="Z2710" i="1" s="1"/>
  <c r="V2710" i="1"/>
  <c r="V2702" i="5" s="1"/>
  <c r="V2693" i="4"/>
  <c r="W2701" i="1"/>
  <c r="V2689" i="4"/>
  <c r="W2697" i="1"/>
  <c r="H2677" i="4"/>
  <c r="M2685" i="1"/>
  <c r="M2677" i="5" s="1"/>
  <c r="E2674" i="4"/>
  <c r="Z2682" i="1"/>
  <c r="P2671" i="4"/>
  <c r="V2679" i="1"/>
  <c r="V2671" i="5" s="1"/>
  <c r="U2679" i="1"/>
  <c r="X2679" i="1"/>
  <c r="X2671" i="5" s="1"/>
  <c r="V2652" i="4"/>
  <c r="W2660" i="1"/>
  <c r="H2651" i="4"/>
  <c r="X2651" i="4" s="1"/>
  <c r="X2659" i="1"/>
  <c r="Z2659" i="1" s="1"/>
  <c r="M2659" i="1"/>
  <c r="M2651" i="5" s="1"/>
  <c r="U2601" i="4"/>
  <c r="AA2609" i="1"/>
  <c r="AA2601" i="5" s="1"/>
  <c r="H2595" i="4"/>
  <c r="X2603" i="1"/>
  <c r="X2595" i="5" s="1"/>
  <c r="V2603" i="1"/>
  <c r="V2595" i="5" s="1"/>
  <c r="W2597" i="1"/>
  <c r="W2589" i="5" s="1"/>
  <c r="V2587" i="4"/>
  <c r="W2595" i="1"/>
  <c r="W2587" i="5" s="1"/>
  <c r="P2575" i="4"/>
  <c r="V2583" i="1"/>
  <c r="V2575" i="5" s="1"/>
  <c r="U2583" i="1"/>
  <c r="U2575" i="5" s="1"/>
  <c r="X2583" i="1"/>
  <c r="X2575" i="5" s="1"/>
  <c r="H2555" i="4"/>
  <c r="X2555" i="4" s="1"/>
  <c r="Z2555" i="4" s="1"/>
  <c r="X2563" i="1"/>
  <c r="Z2563" i="1" s="1"/>
  <c r="V2563" i="1"/>
  <c r="V2555" i="5" s="1"/>
  <c r="V2547" i="4"/>
  <c r="W2555" i="1"/>
  <c r="E2528" i="4"/>
  <c r="M2524" i="4"/>
  <c r="AA2532" i="1"/>
  <c r="AA2524" i="5" s="1"/>
  <c r="H2522" i="4"/>
  <c r="X2522" i="4" s="1"/>
  <c r="Z2522" i="4" s="1"/>
  <c r="X2530" i="1"/>
  <c r="Z2530" i="1" s="1"/>
  <c r="M2530" i="1"/>
  <c r="M2522" i="5" s="1"/>
  <c r="V2496" i="4"/>
  <c r="W2504" i="1"/>
  <c r="M2493" i="4"/>
  <c r="P2481" i="4"/>
  <c r="X2481" i="4" s="1"/>
  <c r="V2489" i="1"/>
  <c r="V2481" i="5" s="1"/>
  <c r="X2489" i="1"/>
  <c r="Z2489" i="1" s="1"/>
  <c r="P2479" i="4"/>
  <c r="X2479" i="4" s="1"/>
  <c r="V2487" i="1"/>
  <c r="V2479" i="5" s="1"/>
  <c r="X2487" i="1"/>
  <c r="Z2487" i="1" s="1"/>
  <c r="H2477" i="4"/>
  <c r="X2485" i="1"/>
  <c r="Z2485" i="1" s="1"/>
  <c r="M2485" i="1"/>
  <c r="M2477" i="5" s="1"/>
  <c r="M2468" i="4"/>
  <c r="P2466" i="4"/>
  <c r="V2474" i="1"/>
  <c r="V2466" i="5" s="1"/>
  <c r="U2474" i="1"/>
  <c r="X2474" i="1"/>
  <c r="X2466" i="5" s="1"/>
  <c r="P2458" i="4"/>
  <c r="V2466" i="1"/>
  <c r="V2458" i="5" s="1"/>
  <c r="U2466" i="1"/>
  <c r="U2458" i="5" s="1"/>
  <c r="X2466" i="1"/>
  <c r="X2458" i="5" s="1"/>
  <c r="H2418" i="4"/>
  <c r="M2424" i="1"/>
  <c r="M2418" i="5" s="1"/>
  <c r="X2424" i="1"/>
  <c r="Z2424" i="1" s="1"/>
  <c r="J2424" i="1"/>
  <c r="P2378" i="4"/>
  <c r="U2384" i="1"/>
  <c r="Q2384" i="1"/>
  <c r="H2374" i="4"/>
  <c r="X2374" i="4" s="1"/>
  <c r="Z2374" i="4" s="1"/>
  <c r="M2380" i="1"/>
  <c r="M2374" i="5" s="1"/>
  <c r="X2380" i="1"/>
  <c r="Z2380" i="1" s="1"/>
  <c r="J2380" i="1"/>
  <c r="M2328" i="4"/>
  <c r="AA2323" i="1"/>
  <c r="AA2317" i="5" s="1"/>
  <c r="M2317" i="4"/>
  <c r="H2272" i="4"/>
  <c r="M2276" i="1"/>
  <c r="M2272" i="5" s="1"/>
  <c r="X2276" i="1"/>
  <c r="Z2276" i="1" s="1"/>
  <c r="J2276" i="1"/>
  <c r="H2234" i="4"/>
  <c r="X2234" i="4" s="1"/>
  <c r="Z2234" i="4" s="1"/>
  <c r="M2238" i="1"/>
  <c r="M2234" i="5" s="1"/>
  <c r="X2238" i="1"/>
  <c r="Z2238" i="1" s="1"/>
  <c r="J2238" i="1"/>
  <c r="F2213" i="4"/>
  <c r="H2217" i="1"/>
  <c r="H2213" i="5" s="1"/>
  <c r="X2213" i="5" s="1"/>
  <c r="Z2213" i="5" s="1"/>
  <c r="P2190" i="4"/>
  <c r="X2190" i="4" s="1"/>
  <c r="Z2190" i="4" s="1"/>
  <c r="X2194" i="1"/>
  <c r="Z2194" i="1" s="1"/>
  <c r="U2194" i="1"/>
  <c r="M2177" i="4"/>
  <c r="P2167" i="4"/>
  <c r="U2171" i="1"/>
  <c r="Q2171" i="1"/>
  <c r="H2158" i="4"/>
  <c r="M2162" i="1"/>
  <c r="M2158" i="5" s="1"/>
  <c r="X2162" i="1"/>
  <c r="Z2162" i="1" s="1"/>
  <c r="J2162" i="1"/>
  <c r="P2151" i="4"/>
  <c r="U2155" i="1"/>
  <c r="Q2155" i="1"/>
  <c r="P2147" i="4"/>
  <c r="U2151" i="1"/>
  <c r="Q2151" i="1"/>
  <c r="M2020" i="4"/>
  <c r="P2002" i="4"/>
  <c r="X2002" i="4" s="1"/>
  <c r="V2006" i="1"/>
  <c r="V2002" i="5" s="1"/>
  <c r="U2006" i="1"/>
  <c r="X2006" i="1"/>
  <c r="Z2006" i="1" s="1"/>
  <c r="H2000" i="4"/>
  <c r="X2000" i="4" s="1"/>
  <c r="X2004" i="1"/>
  <c r="Z2004" i="1" s="1"/>
  <c r="M2004" i="1"/>
  <c r="M2000" i="5" s="1"/>
  <c r="V2004" i="1"/>
  <c r="V2000" i="5" s="1"/>
  <c r="P1963" i="4"/>
  <c r="U1967" i="1"/>
  <c r="Q1967" i="1"/>
  <c r="X1967" i="1"/>
  <c r="Z1967" i="1" s="1"/>
  <c r="H1930" i="4"/>
  <c r="X1930" i="4" s="1"/>
  <c r="M1934" i="1"/>
  <c r="M1930" i="5" s="1"/>
  <c r="X1934" i="1"/>
  <c r="Z1934" i="1" s="1"/>
  <c r="J1934" i="1"/>
  <c r="E1798" i="2"/>
  <c r="E1897" i="4"/>
  <c r="Q1901" i="1"/>
  <c r="Q1897" i="5" s="1"/>
  <c r="H1887" i="4"/>
  <c r="X1887" i="4" s="1"/>
  <c r="Z1887" i="4" s="1"/>
  <c r="M1891" i="1"/>
  <c r="M1887" i="5" s="1"/>
  <c r="J1891" i="1"/>
  <c r="X1891" i="1"/>
  <c r="Z1891" i="1" s="1"/>
  <c r="P1784" i="2"/>
  <c r="P1880" i="4"/>
  <c r="U1884" i="1"/>
  <c r="Q1884" i="1"/>
  <c r="Q1880" i="5" s="1"/>
  <c r="X1884" i="1"/>
  <c r="J1781" i="2"/>
  <c r="J1877" i="4"/>
  <c r="Q1760" i="2"/>
  <c r="Q1854" i="4"/>
  <c r="P1755" i="2"/>
  <c r="P1849" i="4"/>
  <c r="U1853" i="1"/>
  <c r="U1849" i="5" s="1"/>
  <c r="Q1853" i="1"/>
  <c r="Q1849" i="5" s="1"/>
  <c r="Q1747" i="2"/>
  <c r="Q1841" i="4"/>
  <c r="J1746" i="2"/>
  <c r="J1840" i="4"/>
  <c r="U1737" i="2"/>
  <c r="U1829" i="4"/>
  <c r="U1735" i="2"/>
  <c r="U1827" i="4"/>
  <c r="J1817" i="4"/>
  <c r="J1725" i="2"/>
  <c r="Q1715" i="2"/>
  <c r="Q1807" i="4"/>
  <c r="Q1708" i="2"/>
  <c r="Q1800" i="4"/>
  <c r="H1691" i="2"/>
  <c r="H1782" i="4"/>
  <c r="M1786" i="1"/>
  <c r="M1782" i="5" s="1"/>
  <c r="X1786" i="1"/>
  <c r="J1786" i="1"/>
  <c r="J1782" i="5" s="1"/>
  <c r="J1681" i="2"/>
  <c r="J1772" i="4"/>
  <c r="E1670" i="2"/>
  <c r="E1676" i="2" s="1"/>
  <c r="E1761" i="4"/>
  <c r="E1771" i="1"/>
  <c r="Q1765" i="1"/>
  <c r="Q1761" i="5" s="1"/>
  <c r="H1662" i="2"/>
  <c r="H1753" i="4"/>
  <c r="M1757" i="1"/>
  <c r="M1753" i="5" s="1"/>
  <c r="X1757" i="1"/>
  <c r="X1753" i="5" s="1"/>
  <c r="J1757" i="1"/>
  <c r="J1753" i="5" s="1"/>
  <c r="P1655" i="2"/>
  <c r="P1746" i="4"/>
  <c r="U1750" i="1"/>
  <c r="U1746" i="5" s="1"/>
  <c r="X1750" i="1"/>
  <c r="X1637" i="2"/>
  <c r="Z1732" i="1"/>
  <c r="Z1729" i="5" s="1"/>
  <c r="H1636" i="2"/>
  <c r="H1728" i="4"/>
  <c r="X1731" i="1"/>
  <c r="M1731" i="1"/>
  <c r="M1728" i="5" s="1"/>
  <c r="AA1634" i="2"/>
  <c r="AA1726" i="4"/>
  <c r="AB1729" i="1"/>
  <c r="AB1726" i="5" s="1"/>
  <c r="V1632" i="2"/>
  <c r="V1724" i="4"/>
  <c r="W1727" i="1"/>
  <c r="W1724" i="5" s="1"/>
  <c r="P1631" i="2"/>
  <c r="P1723" i="4"/>
  <c r="V1726" i="1"/>
  <c r="V1723" i="5" s="1"/>
  <c r="X1726" i="1"/>
  <c r="U1726" i="1"/>
  <c r="U1723" i="5" s="1"/>
  <c r="X1587" i="2"/>
  <c r="Z1679" i="1"/>
  <c r="Z1676" i="5" s="1"/>
  <c r="U1564" i="2"/>
  <c r="U1647" i="4"/>
  <c r="M1561" i="2"/>
  <c r="M1644" i="4"/>
  <c r="AA1647" i="1"/>
  <c r="AA1644" i="5" s="1"/>
  <c r="H1553" i="2"/>
  <c r="H1635" i="4"/>
  <c r="X1638" i="1"/>
  <c r="M1638" i="1"/>
  <c r="M1635" i="5" s="1"/>
  <c r="V1638" i="1"/>
  <c r="V1635" i="5" s="1"/>
  <c r="X1549" i="2"/>
  <c r="Z1633" i="1"/>
  <c r="Z1630" i="5" s="1"/>
  <c r="X1547" i="2"/>
  <c r="Z1631" i="1"/>
  <c r="Z1628" i="5" s="1"/>
  <c r="X1543" i="2"/>
  <c r="Z1627" i="1"/>
  <c r="Z1624" i="5" s="1"/>
  <c r="U1534" i="2"/>
  <c r="U1613" i="4"/>
  <c r="M1532" i="2"/>
  <c r="M1610" i="4"/>
  <c r="AA1613" i="1"/>
  <c r="AA1610" i="5" s="1"/>
  <c r="X1523" i="2"/>
  <c r="Z1604" i="1"/>
  <c r="Z1601" i="5" s="1"/>
  <c r="U1521" i="2"/>
  <c r="U1599" i="4"/>
  <c r="E1475" i="2"/>
  <c r="E1492" i="2" s="1"/>
  <c r="E1550" i="4"/>
  <c r="W1553" i="1"/>
  <c r="W1550" i="5" s="1"/>
  <c r="E1571" i="1"/>
  <c r="M1473" i="2"/>
  <c r="M1548" i="4"/>
  <c r="U1435" i="2"/>
  <c r="U1512" i="4"/>
  <c r="V1429" i="2"/>
  <c r="W1507" i="1"/>
  <c r="W1506" i="5" s="1"/>
  <c r="V1506" i="4"/>
  <c r="H1387" i="2"/>
  <c r="H1458" i="4"/>
  <c r="M1459" i="1"/>
  <c r="M1458" i="5" s="1"/>
  <c r="X1459" i="1"/>
  <c r="J1459" i="1"/>
  <c r="J1458" i="5" s="1"/>
  <c r="U1381" i="2"/>
  <c r="U1452" i="4"/>
  <c r="J1379" i="2"/>
  <c r="J1450" i="4"/>
  <c r="V1374" i="2"/>
  <c r="V1445" i="4"/>
  <c r="Q1370" i="2"/>
  <c r="Q1441" i="4"/>
  <c r="V1348" i="2"/>
  <c r="V1418" i="4"/>
  <c r="W1419" i="1"/>
  <c r="W1418" i="5" s="1"/>
  <c r="P1365" i="4"/>
  <c r="V1366" i="1"/>
  <c r="U1366" i="1"/>
  <c r="E1288" i="2"/>
  <c r="E1353" i="4"/>
  <c r="Q1354" i="1"/>
  <c r="Q1353" i="5" s="1"/>
  <c r="P1270" i="2"/>
  <c r="P1335" i="4"/>
  <c r="U1336" i="1"/>
  <c r="U1335" i="5" s="1"/>
  <c r="Q1336" i="1"/>
  <c r="Q1335" i="5" s="1"/>
  <c r="X1336" i="1"/>
  <c r="V1336" i="1"/>
  <c r="V1335" i="5" s="1"/>
  <c r="P1253" i="2"/>
  <c r="P1316" i="4"/>
  <c r="V1317" i="1"/>
  <c r="V1316" i="5" s="1"/>
  <c r="U1317" i="1"/>
  <c r="U1316" i="5" s="1"/>
  <c r="X1317" i="1"/>
  <c r="Q1317" i="1"/>
  <c r="Q1316" i="5" s="1"/>
  <c r="M1228" i="2"/>
  <c r="M1291" i="4"/>
  <c r="X1212" i="2"/>
  <c r="Z1272" i="1"/>
  <c r="Z1212" i="2" s="1"/>
  <c r="M1239" i="4"/>
  <c r="AA1240" i="1"/>
  <c r="AA1239" i="5" s="1"/>
  <c r="E1123" i="2"/>
  <c r="E1174" i="4"/>
  <c r="Z1175" i="1"/>
  <c r="Z1123" i="2" s="1"/>
  <c r="E1188" i="1"/>
  <c r="U1090" i="2"/>
  <c r="U1140" i="4"/>
  <c r="U1087" i="2"/>
  <c r="U1137" i="4"/>
  <c r="X1067" i="2"/>
  <c r="Z1117" i="1"/>
  <c r="Z1067" i="2" s="1"/>
  <c r="M1066" i="2"/>
  <c r="M1115" i="4"/>
  <c r="AA1116" i="1"/>
  <c r="AA1115" i="5" s="1"/>
  <c r="M1098" i="4"/>
  <c r="P1023" i="2"/>
  <c r="P1070" i="4"/>
  <c r="V1071" i="1"/>
  <c r="V1070" i="5" s="1"/>
  <c r="X1071" i="1"/>
  <c r="U1071" i="1"/>
  <c r="U1070" i="5" s="1"/>
  <c r="P1086" i="1"/>
  <c r="U979" i="2"/>
  <c r="U1024" i="4"/>
  <c r="J827" i="2"/>
  <c r="J862" i="4"/>
  <c r="Q751" i="2"/>
  <c r="Q784" i="4"/>
  <c r="V733" i="2"/>
  <c r="V764" i="4"/>
  <c r="M732" i="2"/>
  <c r="M763" i="4"/>
  <c r="AA2857" i="1"/>
  <c r="P2847" i="1"/>
  <c r="X2845" i="1"/>
  <c r="Z2845" i="1" s="1"/>
  <c r="U2845" i="1"/>
  <c r="X2844" i="1"/>
  <c r="Z2844" i="1" s="1"/>
  <c r="U2844" i="1"/>
  <c r="AA2841" i="1"/>
  <c r="AA2837" i="1"/>
  <c r="AA2829" i="1"/>
  <c r="AA2823" i="1"/>
  <c r="M2812" i="1"/>
  <c r="X2812" i="1"/>
  <c r="Z2812" i="1" s="1"/>
  <c r="V2747" i="4"/>
  <c r="W2755" i="1"/>
  <c r="H2742" i="4"/>
  <c r="X2742" i="4" s="1"/>
  <c r="X2750" i="1"/>
  <c r="V2750" i="1"/>
  <c r="V2742" i="5" s="1"/>
  <c r="P2735" i="4"/>
  <c r="X2735" i="4" s="1"/>
  <c r="V2743" i="1"/>
  <c r="V2735" i="5" s="1"/>
  <c r="U2743" i="1"/>
  <c r="X2743" i="1"/>
  <c r="Z2743" i="1" s="1"/>
  <c r="E2722" i="4"/>
  <c r="P2717" i="4"/>
  <c r="X2717" i="4" s="1"/>
  <c r="Z2717" i="4" s="1"/>
  <c r="V2725" i="1"/>
  <c r="V2717" i="5" s="1"/>
  <c r="U2725" i="1"/>
  <c r="X2725" i="1"/>
  <c r="Z2725" i="1" s="1"/>
  <c r="H2681" i="4"/>
  <c r="X2689" i="1"/>
  <c r="X2681" i="5" s="1"/>
  <c r="V2689" i="1"/>
  <c r="V2681" i="5" s="1"/>
  <c r="P2669" i="4"/>
  <c r="V2677" i="1"/>
  <c r="V2669" i="5" s="1"/>
  <c r="U2677" i="1"/>
  <c r="X2677" i="1"/>
  <c r="X2669" i="5" s="1"/>
  <c r="M2647" i="4"/>
  <c r="M2645" i="4"/>
  <c r="M2643" i="4"/>
  <c r="M2641" i="4"/>
  <c r="H2625" i="4"/>
  <c r="X2625" i="4" s="1"/>
  <c r="X2633" i="1"/>
  <c r="Z2633" i="1" s="1"/>
  <c r="V2633" i="1"/>
  <c r="V2625" i="5" s="1"/>
  <c r="P2623" i="4"/>
  <c r="V2631" i="1"/>
  <c r="V2623" i="5" s="1"/>
  <c r="U2631" i="1"/>
  <c r="X2631" i="1"/>
  <c r="Z2631" i="1" s="1"/>
  <c r="H2620" i="4"/>
  <c r="X2620" i="4" s="1"/>
  <c r="X2628" i="1"/>
  <c r="Z2628" i="1" s="1"/>
  <c r="M2628" i="1"/>
  <c r="M2620" i="5" s="1"/>
  <c r="P2617" i="4"/>
  <c r="X2617" i="4" s="1"/>
  <c r="V2625" i="1"/>
  <c r="V2617" i="5" s="1"/>
  <c r="P2643" i="1"/>
  <c r="X2625" i="1"/>
  <c r="Z2625" i="1" s="1"/>
  <c r="X2591" i="4"/>
  <c r="Z2599" i="1"/>
  <c r="E2582" i="4"/>
  <c r="E2616" i="1"/>
  <c r="X2582" i="1"/>
  <c r="X2574" i="5" s="1"/>
  <c r="M2582" i="1"/>
  <c r="M2574" i="5" s="1"/>
  <c r="H2574" i="4"/>
  <c r="V2582" i="1"/>
  <c r="V2574" i="5" s="1"/>
  <c r="M2559" i="4"/>
  <c r="M2526" i="4"/>
  <c r="M2505" i="4"/>
  <c r="U2502" i="4"/>
  <c r="M2495" i="4"/>
  <c r="M2476" i="4"/>
  <c r="P2474" i="4"/>
  <c r="X2474" i="4" s="1"/>
  <c r="V2482" i="1"/>
  <c r="V2474" i="5" s="1"/>
  <c r="U2482" i="1"/>
  <c r="AA2482" i="1" s="1"/>
  <c r="AA2474" i="5" s="1"/>
  <c r="P2496" i="1"/>
  <c r="X2482" i="1"/>
  <c r="Z2482" i="1" s="1"/>
  <c r="P2468" i="4"/>
  <c r="V2476" i="1"/>
  <c r="V2468" i="5" s="1"/>
  <c r="U2476" i="1"/>
  <c r="X2476" i="1"/>
  <c r="X2468" i="5" s="1"/>
  <c r="H2465" i="4"/>
  <c r="X2473" i="1"/>
  <c r="X2465" i="5" s="1"/>
  <c r="M2473" i="1"/>
  <c r="M2465" i="5" s="1"/>
  <c r="P2460" i="4"/>
  <c r="V2468" i="1"/>
  <c r="V2460" i="5" s="1"/>
  <c r="U2468" i="1"/>
  <c r="X2468" i="1"/>
  <c r="X2460" i="5" s="1"/>
  <c r="H2420" i="4"/>
  <c r="M2426" i="1"/>
  <c r="M2420" i="5" s="1"/>
  <c r="X2426" i="1"/>
  <c r="Z2426" i="1" s="1"/>
  <c r="J2426" i="1"/>
  <c r="M2387" i="4"/>
  <c r="E2335" i="4"/>
  <c r="Q2341" i="1"/>
  <c r="E2333" i="4"/>
  <c r="Q2339" i="1"/>
  <c r="M2326" i="4"/>
  <c r="P2321" i="4"/>
  <c r="U2327" i="1"/>
  <c r="U2321" i="5" s="1"/>
  <c r="P2347" i="1"/>
  <c r="Q2327" i="1"/>
  <c r="Q2321" i="5" s="1"/>
  <c r="P2285" i="4"/>
  <c r="X2285" i="4" s="1"/>
  <c r="Z2285" i="4" s="1"/>
  <c r="U2289" i="1"/>
  <c r="Q2289" i="1"/>
  <c r="X2289" i="1"/>
  <c r="Z2289" i="1" s="1"/>
  <c r="E2274" i="4"/>
  <c r="Q2278" i="1"/>
  <c r="P2259" i="4"/>
  <c r="U2263" i="1"/>
  <c r="Q2263" i="1"/>
  <c r="F2255" i="4"/>
  <c r="F2262" i="4" s="1"/>
  <c r="H2259" i="1"/>
  <c r="H2255" i="5" s="1"/>
  <c r="X2255" i="5" s="1"/>
  <c r="H2232" i="4"/>
  <c r="M2236" i="1"/>
  <c r="M2232" i="5" s="1"/>
  <c r="X2236" i="1"/>
  <c r="Z2236" i="1" s="1"/>
  <c r="J2236" i="1"/>
  <c r="F2225" i="4"/>
  <c r="H2229" i="1"/>
  <c r="H2225" i="5" s="1"/>
  <c r="X2225" i="5" s="1"/>
  <c r="Z2225" i="5" s="1"/>
  <c r="H2215" i="4"/>
  <c r="M2219" i="1"/>
  <c r="M2215" i="5" s="1"/>
  <c r="X2219" i="1"/>
  <c r="Z2219" i="1" s="1"/>
  <c r="J2219" i="1"/>
  <c r="P2199" i="4"/>
  <c r="X2199" i="4" s="1"/>
  <c r="U2203" i="1"/>
  <c r="X2203" i="1"/>
  <c r="P2187" i="4"/>
  <c r="U2191" i="1"/>
  <c r="J2176" i="4"/>
  <c r="E2150" i="4"/>
  <c r="Q2154" i="1"/>
  <c r="Z2154" i="1"/>
  <c r="E2177" i="1"/>
  <c r="K2142" i="4"/>
  <c r="K2173" i="4" s="1"/>
  <c r="K2177" i="1"/>
  <c r="K2298" i="1" s="1"/>
  <c r="K2918" i="1" s="1"/>
  <c r="Z2115" i="4"/>
  <c r="H2109" i="4"/>
  <c r="M2113" i="1"/>
  <c r="M2109" i="5" s="1"/>
  <c r="X2113" i="1"/>
  <c r="X2109" i="5" s="1"/>
  <c r="J2113" i="1"/>
  <c r="F2104" i="4"/>
  <c r="H2108" i="1"/>
  <c r="P2055" i="4"/>
  <c r="U2059" i="1"/>
  <c r="V2018" i="4"/>
  <c r="W2022" i="1"/>
  <c r="V2016" i="4"/>
  <c r="W2020" i="1"/>
  <c r="P1995" i="4"/>
  <c r="X1995" i="4" s="1"/>
  <c r="V1999" i="1"/>
  <c r="V1995" i="5" s="1"/>
  <c r="U1999" i="1"/>
  <c r="X1999" i="1"/>
  <c r="Z1999" i="1" s="1"/>
  <c r="P1957" i="4"/>
  <c r="U1961" i="1"/>
  <c r="Q1961" i="1"/>
  <c r="X1961" i="1"/>
  <c r="Z1961" i="1" s="1"/>
  <c r="H1913" i="4"/>
  <c r="X1913" i="4" s="1"/>
  <c r="Z1913" i="4" s="1"/>
  <c r="M1917" i="1"/>
  <c r="M1913" i="5" s="1"/>
  <c r="X1917" i="1"/>
  <c r="Z1917" i="1" s="1"/>
  <c r="J1917" i="1"/>
  <c r="E1908" i="4"/>
  <c r="Q1912" i="1"/>
  <c r="Q1894" i="4"/>
  <c r="Q1795" i="2"/>
  <c r="U1778" i="2"/>
  <c r="U1874" i="4"/>
  <c r="X1776" i="2"/>
  <c r="Z1876" i="1"/>
  <c r="Z1776" i="2" s="1"/>
  <c r="U1773" i="2"/>
  <c r="U1869" i="4"/>
  <c r="M1765" i="2"/>
  <c r="M1859" i="4"/>
  <c r="AA1863" i="1"/>
  <c r="AA1859" i="5" s="1"/>
  <c r="Q1763" i="2"/>
  <c r="Q1857" i="4"/>
  <c r="P1758" i="2"/>
  <c r="P1852" i="4"/>
  <c r="U1856" i="1"/>
  <c r="U1852" i="5" s="1"/>
  <c r="Q1856" i="1"/>
  <c r="Q1852" i="5" s="1"/>
  <c r="X1856" i="1"/>
  <c r="Q1746" i="2"/>
  <c r="Q1840" i="4"/>
  <c r="Q1738" i="2"/>
  <c r="Q1830" i="4"/>
  <c r="Q1731" i="2"/>
  <c r="Q1718" i="2"/>
  <c r="Q1810" i="4"/>
  <c r="M1714" i="2"/>
  <c r="M1806" i="4"/>
  <c r="AA1810" i="1"/>
  <c r="AA1806" i="5" s="1"/>
  <c r="X1707" i="2"/>
  <c r="Z1803" i="1"/>
  <c r="Z1707" i="2" s="1"/>
  <c r="Q1706" i="2"/>
  <c r="Q1798" i="4"/>
  <c r="P1703" i="2"/>
  <c r="P1794" i="4"/>
  <c r="U1798" i="1"/>
  <c r="U1794" i="5" s="1"/>
  <c r="Q1798" i="1"/>
  <c r="Q1794" i="5" s="1"/>
  <c r="M1700" i="2"/>
  <c r="M1791" i="4"/>
  <c r="AA1795" i="1"/>
  <c r="AA1791" i="5" s="1"/>
  <c r="H1697" i="2"/>
  <c r="H1788" i="4"/>
  <c r="M1792" i="1"/>
  <c r="M1788" i="5" s="1"/>
  <c r="X1792" i="1"/>
  <c r="J1792" i="1"/>
  <c r="J1788" i="5" s="1"/>
  <c r="H1806" i="1"/>
  <c r="P1686" i="2"/>
  <c r="P1777" i="4"/>
  <c r="U1781" i="1"/>
  <c r="U1777" i="5" s="1"/>
  <c r="Q1781" i="1"/>
  <c r="Q1777" i="5" s="1"/>
  <c r="X1781" i="1"/>
  <c r="H1684" i="2"/>
  <c r="H1775" i="4"/>
  <c r="M1779" i="1"/>
  <c r="M1775" i="5" s="1"/>
  <c r="X1779" i="1"/>
  <c r="J1779" i="1"/>
  <c r="J1775" i="5" s="1"/>
  <c r="Q1672" i="2"/>
  <c r="Q1763" i="4"/>
  <c r="E1655" i="2"/>
  <c r="E1746" i="4"/>
  <c r="Q1750" i="1"/>
  <c r="Q1746" i="5" s="1"/>
  <c r="M1643" i="2"/>
  <c r="M1735" i="4"/>
  <c r="H1632" i="2"/>
  <c r="H1724" i="4"/>
  <c r="X1727" i="1"/>
  <c r="M1727" i="1"/>
  <c r="M1724" i="5" s="1"/>
  <c r="M1737" i="5" s="1"/>
  <c r="V1624" i="2"/>
  <c r="V1716" i="4"/>
  <c r="W1719" i="1"/>
  <c r="W1716" i="5" s="1"/>
  <c r="M1692" i="4"/>
  <c r="M1599" i="2"/>
  <c r="M1688" i="4"/>
  <c r="M1595" i="2"/>
  <c r="M1684" i="4"/>
  <c r="U1585" i="2"/>
  <c r="U1672" i="4"/>
  <c r="M1584" i="2"/>
  <c r="M1670" i="4"/>
  <c r="AA1673" i="1"/>
  <c r="AA1670" i="5" s="1"/>
  <c r="V1646" i="4"/>
  <c r="U1447" i="2"/>
  <c r="U1524" i="4"/>
  <c r="V1441" i="2"/>
  <c r="V1518" i="4"/>
  <c r="W1519" i="1"/>
  <c r="W1518" i="5" s="1"/>
  <c r="H1423" i="2"/>
  <c r="H1500" i="4"/>
  <c r="H1542" i="1"/>
  <c r="M1501" i="1"/>
  <c r="M1500" i="5" s="1"/>
  <c r="X1501" i="1"/>
  <c r="J1501" i="1"/>
  <c r="J1500" i="5" s="1"/>
  <c r="H1487" i="4"/>
  <c r="H1411" i="2"/>
  <c r="M1488" i="1"/>
  <c r="M1487" i="5" s="1"/>
  <c r="J1488" i="1"/>
  <c r="J1487" i="5" s="1"/>
  <c r="U1408" i="2"/>
  <c r="U1484" i="4"/>
  <c r="M1393" i="2"/>
  <c r="M1469" i="4"/>
  <c r="AA1470" i="1"/>
  <c r="AA1469" i="5" s="1"/>
  <c r="V1375" i="2"/>
  <c r="U1442" i="4"/>
  <c r="U1371" i="2"/>
  <c r="Q1352" i="2"/>
  <c r="Q1422" i="4"/>
  <c r="X1340" i="2"/>
  <c r="Z1411" i="1"/>
  <c r="Z1340" i="2" s="1"/>
  <c r="P1328" i="2"/>
  <c r="P1398" i="4"/>
  <c r="U1399" i="1"/>
  <c r="U1398" i="5" s="1"/>
  <c r="V1399" i="1"/>
  <c r="V1398" i="5" s="1"/>
  <c r="X1399" i="1"/>
  <c r="Q1399" i="1"/>
  <c r="Q1398" i="5" s="1"/>
  <c r="X1324" i="2"/>
  <c r="Z1394" i="1"/>
  <c r="Z1324" i="2" s="1"/>
  <c r="H1319" i="2"/>
  <c r="H1388" i="4"/>
  <c r="M1389" i="1"/>
  <c r="M1388" i="5" s="1"/>
  <c r="X1389" i="1"/>
  <c r="J1389" i="1"/>
  <c r="J1388" i="5" s="1"/>
  <c r="V1311" i="2"/>
  <c r="V1380" i="4"/>
  <c r="W1381" i="1"/>
  <c r="W1380" i="5" s="1"/>
  <c r="K1310" i="2"/>
  <c r="K1379" i="4"/>
  <c r="K1403" i="1"/>
  <c r="E1310" i="2"/>
  <c r="E1379" i="4"/>
  <c r="W1380" i="1"/>
  <c r="W1379" i="5" s="1"/>
  <c r="Q1380" i="1"/>
  <c r="Q1379" i="5" s="1"/>
  <c r="Z1380" i="1"/>
  <c r="Z1310" i="2" s="1"/>
  <c r="E1403" i="1"/>
  <c r="V1304" i="2"/>
  <c r="V1373" i="4"/>
  <c r="X1283" i="2"/>
  <c r="Z1349" i="1"/>
  <c r="Z1283" i="2" s="1"/>
  <c r="J1283" i="2"/>
  <c r="J1348" i="4"/>
  <c r="V1210" i="2"/>
  <c r="V1269" i="4"/>
  <c r="W1270" i="1"/>
  <c r="W1269" i="5" s="1"/>
  <c r="X1201" i="2"/>
  <c r="Z1261" i="1"/>
  <c r="Z1201" i="2" s="1"/>
  <c r="V1238" i="4"/>
  <c r="V1151" i="2"/>
  <c r="V1203" i="4"/>
  <c r="W1204" i="1"/>
  <c r="W1203" i="5" s="1"/>
  <c r="V1077" i="2"/>
  <c r="V1127" i="4"/>
  <c r="W1128" i="1"/>
  <c r="W1127" i="5" s="1"/>
  <c r="U1000" i="2"/>
  <c r="U1045" i="4"/>
  <c r="P961" i="2"/>
  <c r="P1004" i="4"/>
  <c r="U1005" i="1"/>
  <c r="U1004" i="5" s="1"/>
  <c r="V1005" i="1"/>
  <c r="V1004" i="5" s="1"/>
  <c r="X1005" i="1"/>
  <c r="U931" i="2"/>
  <c r="U973" i="4"/>
  <c r="E931" i="2"/>
  <c r="E973" i="4"/>
  <c r="Z974" i="1"/>
  <c r="Z973" i="5" s="1"/>
  <c r="E985" i="1"/>
  <c r="E987" i="1" s="1"/>
  <c r="H896" i="2"/>
  <c r="H939" i="4"/>
  <c r="J939" i="1"/>
  <c r="J939" i="5" s="1"/>
  <c r="M939" i="1"/>
  <c r="M939" i="5" s="1"/>
  <c r="X939" i="1"/>
  <c r="H851" i="2"/>
  <c r="H891" i="4"/>
  <c r="M891" i="1"/>
  <c r="M891" i="5" s="1"/>
  <c r="J891" i="1"/>
  <c r="J891" i="5" s="1"/>
  <c r="X891" i="1"/>
  <c r="P826" i="2"/>
  <c r="P861" i="4"/>
  <c r="Q861" i="1"/>
  <c r="Q861" i="5" s="1"/>
  <c r="X861" i="1"/>
  <c r="U861" i="1"/>
  <c r="U861" i="5" s="1"/>
  <c r="V861" i="1"/>
  <c r="V861" i="5" s="1"/>
  <c r="X787" i="2"/>
  <c r="Z821" i="1"/>
  <c r="Z787" i="2" s="1"/>
  <c r="V760" i="2"/>
  <c r="V793" i="4"/>
  <c r="W793" i="1"/>
  <c r="W793" i="5" s="1"/>
  <c r="X2858" i="1"/>
  <c r="Z2858" i="1" s="1"/>
  <c r="U2858" i="1"/>
  <c r="AA2850" i="1"/>
  <c r="H2848" i="1"/>
  <c r="AB2843" i="1"/>
  <c r="AA2840" i="1"/>
  <c r="P2836" i="1"/>
  <c r="U2836" i="1" s="1"/>
  <c r="AA2831" i="1"/>
  <c r="H2815" i="1"/>
  <c r="H2807" i="1"/>
  <c r="AA2806" i="1"/>
  <c r="AA2805" i="1"/>
  <c r="AA2803" i="1"/>
  <c r="AA2800" i="1"/>
  <c r="AA2789" i="1"/>
  <c r="M2788" i="1"/>
  <c r="X2788" i="1"/>
  <c r="Z2788" i="1" s="1"/>
  <c r="AA2784" i="1"/>
  <c r="R2760" i="1"/>
  <c r="R2926" i="1" s="1"/>
  <c r="R2824" i="1"/>
  <c r="Y2744" i="4"/>
  <c r="Y2750" i="4" s="1"/>
  <c r="Y2758" i="1"/>
  <c r="Y2760" i="1" s="1"/>
  <c r="H2738" i="4"/>
  <c r="X2738" i="4" s="1"/>
  <c r="X2746" i="1"/>
  <c r="Z2746" i="1" s="1"/>
  <c r="M2746" i="1"/>
  <c r="M2738" i="5" s="1"/>
  <c r="P2733" i="4"/>
  <c r="X2733" i="4" s="1"/>
  <c r="V2741" i="1"/>
  <c r="V2733" i="5" s="1"/>
  <c r="U2741" i="1"/>
  <c r="X2741" i="1"/>
  <c r="Z2741" i="1" s="1"/>
  <c r="H2731" i="4"/>
  <c r="X2739" i="1"/>
  <c r="V2739" i="1"/>
  <c r="V2731" i="5" s="1"/>
  <c r="H2720" i="4"/>
  <c r="X2728" i="1"/>
  <c r="Z2728" i="1" s="1"/>
  <c r="M2728" i="1"/>
  <c r="M2720" i="5" s="1"/>
  <c r="P2715" i="4"/>
  <c r="V2723" i="1"/>
  <c r="U2723" i="1"/>
  <c r="M2701" i="4"/>
  <c r="V2691" i="4"/>
  <c r="W2699" i="1"/>
  <c r="V2687" i="4"/>
  <c r="W2695" i="1"/>
  <c r="M2686" i="4"/>
  <c r="AA2694" i="1"/>
  <c r="AA2686" i="5" s="1"/>
  <c r="M2675" i="4"/>
  <c r="E2672" i="4"/>
  <c r="E2691" i="1"/>
  <c r="P2667" i="4"/>
  <c r="V2675" i="1"/>
  <c r="V2667" i="5" s="1"/>
  <c r="U2675" i="1"/>
  <c r="X2675" i="1"/>
  <c r="X2667" i="5" s="1"/>
  <c r="H2656" i="4"/>
  <c r="X2656" i="4" s="1"/>
  <c r="X2664" i="1"/>
  <c r="Z2664" i="1" s="1"/>
  <c r="V2664" i="1"/>
  <c r="V2656" i="5" s="1"/>
  <c r="M2652" i="4"/>
  <c r="N2639" i="4"/>
  <c r="N2658" i="4" s="1"/>
  <c r="N2666" i="1"/>
  <c r="N2668" i="1" s="1"/>
  <c r="N2924" i="1" s="1"/>
  <c r="P2647" i="1"/>
  <c r="P2639" i="5" s="1"/>
  <c r="X2639" i="5" s="1"/>
  <c r="P2632" i="4"/>
  <c r="X2632" i="4" s="1"/>
  <c r="V2640" i="1"/>
  <c r="V2632" i="5" s="1"/>
  <c r="U2640" i="1"/>
  <c r="X2640" i="1"/>
  <c r="Z2640" i="1" s="1"/>
  <c r="H2630" i="4"/>
  <c r="X2638" i="1"/>
  <c r="Z2638" i="1" s="1"/>
  <c r="M2638" i="1"/>
  <c r="M2630" i="5" s="1"/>
  <c r="V2624" i="4"/>
  <c r="W2632" i="1"/>
  <c r="H2622" i="4"/>
  <c r="X2622" i="4" s="1"/>
  <c r="X2630" i="1"/>
  <c r="M2630" i="1"/>
  <c r="M2622" i="5" s="1"/>
  <c r="AG2867" i="1"/>
  <c r="M2619" i="4"/>
  <c r="AA2627" i="1"/>
  <c r="AA2619" i="5" s="1"/>
  <c r="X2620" i="1"/>
  <c r="Z2618" i="1"/>
  <c r="Z2610" i="5" s="1"/>
  <c r="L2610" i="4"/>
  <c r="L2612" i="4" s="1"/>
  <c r="L2620" i="1"/>
  <c r="L2668" i="1" s="1"/>
  <c r="L2924" i="1" s="1"/>
  <c r="M2618" i="1"/>
  <c r="M2610" i="5" s="1"/>
  <c r="M2612" i="5" s="1"/>
  <c r="P2596" i="4"/>
  <c r="V2604" i="1"/>
  <c r="V2596" i="5" s="1"/>
  <c r="X2604" i="1"/>
  <c r="X2596" i="5" s="1"/>
  <c r="M2587" i="4"/>
  <c r="M2585" i="4"/>
  <c r="AA2593" i="1"/>
  <c r="AA2585" i="5" s="1"/>
  <c r="M2583" i="4"/>
  <c r="P2579" i="4"/>
  <c r="V2587" i="1"/>
  <c r="V2579" i="5" s="1"/>
  <c r="U2587" i="1"/>
  <c r="X2587" i="1"/>
  <c r="X2579" i="5" s="1"/>
  <c r="H2576" i="4"/>
  <c r="X2584" i="1"/>
  <c r="X2576" i="5" s="1"/>
  <c r="M2584" i="1"/>
  <c r="M2576" i="5" s="1"/>
  <c r="V2584" i="1"/>
  <c r="V2576" i="5" s="1"/>
  <c r="P2554" i="4"/>
  <c r="X2554" i="4" s="1"/>
  <c r="Z2554" i="4" s="1"/>
  <c r="V2562" i="1"/>
  <c r="V2554" i="5" s="1"/>
  <c r="X2562" i="1"/>
  <c r="Z2562" i="1" s="1"/>
  <c r="M2547" i="4"/>
  <c r="P2543" i="4"/>
  <c r="X2543" i="4" s="1"/>
  <c r="Z2543" i="4" s="1"/>
  <c r="V2551" i="1"/>
  <c r="V2543" i="5" s="1"/>
  <c r="U2551" i="1"/>
  <c r="U2543" i="5" s="1"/>
  <c r="X2551" i="1"/>
  <c r="Z2551" i="1" s="1"/>
  <c r="P2533" i="4"/>
  <c r="X2533" i="4" s="1"/>
  <c r="Z2533" i="4" s="1"/>
  <c r="V2541" i="1"/>
  <c r="V2533" i="5" s="1"/>
  <c r="U2541" i="1"/>
  <c r="X2541" i="1"/>
  <c r="Z2541" i="1" s="1"/>
  <c r="H2530" i="4"/>
  <c r="X2530" i="4" s="1"/>
  <c r="Z2530" i="4" s="1"/>
  <c r="X2538" i="1"/>
  <c r="Z2538" i="1" s="1"/>
  <c r="M2538" i="1"/>
  <c r="M2530" i="5" s="1"/>
  <c r="V2538" i="1"/>
  <c r="V2530" i="5" s="1"/>
  <c r="P2527" i="4"/>
  <c r="U2535" i="1"/>
  <c r="P2526" i="4"/>
  <c r="X2526" i="4" s="1"/>
  <c r="Z2526" i="4" s="1"/>
  <c r="V2534" i="1"/>
  <c r="V2526" i="5" s="1"/>
  <c r="U2534" i="1"/>
  <c r="X2534" i="1"/>
  <c r="Z2534" i="1" s="1"/>
  <c r="V2525" i="4"/>
  <c r="W2533" i="1"/>
  <c r="M2523" i="4"/>
  <c r="P2521" i="4"/>
  <c r="X2521" i="4" s="1"/>
  <c r="Z2521" i="4" s="1"/>
  <c r="V2529" i="1"/>
  <c r="V2521" i="5" s="1"/>
  <c r="U2529" i="1"/>
  <c r="X2529" i="1"/>
  <c r="Z2529" i="1" s="1"/>
  <c r="V2520" i="4"/>
  <c r="W2528" i="1"/>
  <c r="V2509" i="4"/>
  <c r="W2517" i="1"/>
  <c r="F2507" i="4"/>
  <c r="H2515" i="1"/>
  <c r="H2507" i="5" s="1"/>
  <c r="X2507" i="5" s="1"/>
  <c r="F2523" i="1"/>
  <c r="F2575" i="1" s="1"/>
  <c r="F2922" i="1" s="1"/>
  <c r="V2492" i="4"/>
  <c r="W2500" i="1"/>
  <c r="E2486" i="4"/>
  <c r="E2496" i="1"/>
  <c r="E2575" i="1" s="1"/>
  <c r="E2922" i="1" s="1"/>
  <c r="H2484" i="4"/>
  <c r="X2484" i="4" s="1"/>
  <c r="X2492" i="1"/>
  <c r="Z2492" i="1" s="1"/>
  <c r="V2492" i="1"/>
  <c r="V2484" i="5" s="1"/>
  <c r="H2482" i="4"/>
  <c r="X2482" i="4" s="1"/>
  <c r="X2490" i="1"/>
  <c r="Z2490" i="1" s="1"/>
  <c r="V2490" i="1"/>
  <c r="V2482" i="5" s="1"/>
  <c r="H2480" i="4"/>
  <c r="X2480" i="4" s="1"/>
  <c r="X2488" i="1"/>
  <c r="Z2488" i="1" s="1"/>
  <c r="V2488" i="1"/>
  <c r="V2480" i="5" s="1"/>
  <c r="H2478" i="4"/>
  <c r="X2478" i="4" s="1"/>
  <c r="X2486" i="1"/>
  <c r="Z2486" i="1" s="1"/>
  <c r="V2486" i="1"/>
  <c r="V2478" i="5" s="1"/>
  <c r="P2476" i="4"/>
  <c r="V2484" i="1"/>
  <c r="V2476" i="5" s="1"/>
  <c r="U2484" i="1"/>
  <c r="X2484" i="1"/>
  <c r="Z2484" i="1" s="1"/>
  <c r="H2473" i="4"/>
  <c r="X2473" i="4" s="1"/>
  <c r="X2481" i="1"/>
  <c r="M2481" i="1"/>
  <c r="M2473" i="5" s="1"/>
  <c r="H2496" i="1"/>
  <c r="H2467" i="4"/>
  <c r="X2475" i="1"/>
  <c r="X2467" i="5" s="1"/>
  <c r="M2475" i="1"/>
  <c r="M2467" i="5" s="1"/>
  <c r="M2464" i="4"/>
  <c r="P2462" i="4"/>
  <c r="V2470" i="1"/>
  <c r="V2462" i="5" s="1"/>
  <c r="U2470" i="1"/>
  <c r="X2470" i="1"/>
  <c r="X2462" i="5" s="1"/>
  <c r="V2461" i="4"/>
  <c r="W2469" i="1"/>
  <c r="H2459" i="4"/>
  <c r="X2467" i="1"/>
  <c r="X2459" i="5" s="1"/>
  <c r="M2467" i="1"/>
  <c r="M2459" i="5" s="1"/>
  <c r="M2456" i="4"/>
  <c r="M2454" i="4"/>
  <c r="M2440" i="4"/>
  <c r="AA2446" i="1"/>
  <c r="AA2440" i="5" s="1"/>
  <c r="H2426" i="4"/>
  <c r="X2426" i="4" s="1"/>
  <c r="Z2426" i="4" s="1"/>
  <c r="M2432" i="1"/>
  <c r="M2426" i="5" s="1"/>
  <c r="X2432" i="1"/>
  <c r="Z2432" i="1" s="1"/>
  <c r="J2432" i="1"/>
  <c r="M2425" i="4"/>
  <c r="E2422" i="4"/>
  <c r="Q2428" i="1"/>
  <c r="E2434" i="1"/>
  <c r="Z2428" i="1"/>
  <c r="Z2419" i="1"/>
  <c r="J2413" i="4"/>
  <c r="P2407" i="4"/>
  <c r="U2413" i="1"/>
  <c r="Q2413" i="1"/>
  <c r="P2391" i="4"/>
  <c r="U2397" i="1"/>
  <c r="Q2397" i="1"/>
  <c r="P2355" i="4"/>
  <c r="X2355" i="4" s="1"/>
  <c r="Z2355" i="4" s="1"/>
  <c r="U2361" i="1"/>
  <c r="U2355" i="5" s="1"/>
  <c r="Q2361" i="1"/>
  <c r="X2361" i="1"/>
  <c r="Z2361" i="1" s="1"/>
  <c r="U2345" i="1"/>
  <c r="P2339" i="4"/>
  <c r="Q2345" i="1"/>
  <c r="P2337" i="4"/>
  <c r="U2343" i="1"/>
  <c r="Q2343" i="1"/>
  <c r="E2329" i="4"/>
  <c r="Q2335" i="1"/>
  <c r="X2309" i="4"/>
  <c r="Z2315" i="1"/>
  <c r="P2271" i="4"/>
  <c r="U2275" i="1"/>
  <c r="Q2275" i="1"/>
  <c r="M2233" i="4"/>
  <c r="X2230" i="1"/>
  <c r="Z2230" i="1" s="1"/>
  <c r="F2217" i="4"/>
  <c r="H2221" i="1"/>
  <c r="H2217" i="5" s="1"/>
  <c r="X2217" i="5" s="1"/>
  <c r="Z2217" i="5" s="1"/>
  <c r="M2203" i="4"/>
  <c r="P2184" i="4"/>
  <c r="U2188" i="1"/>
  <c r="Q2188" i="1"/>
  <c r="P2182" i="4"/>
  <c r="U2186" i="1"/>
  <c r="Q2186" i="1"/>
  <c r="P2180" i="4"/>
  <c r="U2184" i="1"/>
  <c r="Q2184" i="1"/>
  <c r="P2198" i="1"/>
  <c r="H2178" i="4"/>
  <c r="X2178" i="4" s="1"/>
  <c r="Z2178" i="4" s="1"/>
  <c r="M2182" i="1"/>
  <c r="M2178" i="5" s="1"/>
  <c r="X2182" i="1"/>
  <c r="Z2182" i="1" s="1"/>
  <c r="J2182" i="1"/>
  <c r="P2159" i="4"/>
  <c r="U2163" i="1"/>
  <c r="P2157" i="4"/>
  <c r="X2157" i="4" s="1"/>
  <c r="Z2157" i="4" s="1"/>
  <c r="U2161" i="1"/>
  <c r="Q2161" i="1"/>
  <c r="X2161" i="1"/>
  <c r="Z2161" i="1" s="1"/>
  <c r="H2153" i="4"/>
  <c r="X2153" i="4" s="1"/>
  <c r="Z2153" i="4" s="1"/>
  <c r="M2157" i="1"/>
  <c r="M2153" i="5" s="1"/>
  <c r="X2157" i="1"/>
  <c r="Z2157" i="1" s="1"/>
  <c r="J2157" i="1"/>
  <c r="H2144" i="4"/>
  <c r="X2144" i="4" s="1"/>
  <c r="Z2144" i="4" s="1"/>
  <c r="M2148" i="1"/>
  <c r="M2144" i="5" s="1"/>
  <c r="X2148" i="1"/>
  <c r="Z2148" i="1" s="1"/>
  <c r="J2148" i="1"/>
  <c r="J2141" i="4"/>
  <c r="H2126" i="4"/>
  <c r="X2126" i="4" s="1"/>
  <c r="M2130" i="1"/>
  <c r="M2126" i="5" s="1"/>
  <c r="X2130" i="1"/>
  <c r="Z2130" i="1" s="1"/>
  <c r="J2130" i="1"/>
  <c r="P2106" i="4"/>
  <c r="U2110" i="1"/>
  <c r="Q2110" i="1"/>
  <c r="P2097" i="4"/>
  <c r="U2101" i="1"/>
  <c r="Q2101" i="1"/>
  <c r="P2095" i="4"/>
  <c r="U2099" i="1"/>
  <c r="Q2099" i="1"/>
  <c r="H2093" i="4"/>
  <c r="M2097" i="1"/>
  <c r="M2093" i="5" s="1"/>
  <c r="X2097" i="1"/>
  <c r="X2093" i="5" s="1"/>
  <c r="J2097" i="1"/>
  <c r="M2086" i="4"/>
  <c r="AA2090" i="1"/>
  <c r="AA2086" i="5" s="1"/>
  <c r="V2057" i="4"/>
  <c r="W2061" i="1"/>
  <c r="V2023" i="4"/>
  <c r="W2027" i="1"/>
  <c r="V2021" i="4"/>
  <c r="W2025" i="1"/>
  <c r="H2009" i="4"/>
  <c r="X2009" i="4" s="1"/>
  <c r="X2013" i="1"/>
  <c r="Z2013" i="1" s="1"/>
  <c r="M2013" i="1"/>
  <c r="M2009" i="5" s="1"/>
  <c r="V2013" i="1"/>
  <c r="V2009" i="5" s="1"/>
  <c r="H2001" i="4"/>
  <c r="H1996" i="4"/>
  <c r="X1996" i="4" s="1"/>
  <c r="X2000" i="1"/>
  <c r="Z2000" i="1" s="1"/>
  <c r="M2000" i="1"/>
  <c r="M1996" i="5" s="1"/>
  <c r="V2000" i="1"/>
  <c r="V1996" i="5" s="1"/>
  <c r="P1993" i="4"/>
  <c r="X1993" i="4" s="1"/>
  <c r="V1997" i="1"/>
  <c r="V1993" i="5" s="1"/>
  <c r="U1997" i="1"/>
  <c r="X1997" i="1"/>
  <c r="Z1997" i="1" s="1"/>
  <c r="F1985" i="4"/>
  <c r="F1987" i="4" s="1"/>
  <c r="H1989" i="1"/>
  <c r="H1985" i="5" s="1"/>
  <c r="F1991" i="1"/>
  <c r="P1959" i="4"/>
  <c r="U1963" i="1"/>
  <c r="Q1963" i="1"/>
  <c r="X1963" i="1"/>
  <c r="Z1963" i="1" s="1"/>
  <c r="M1954" i="4"/>
  <c r="H1940" i="4"/>
  <c r="M1944" i="1"/>
  <c r="M1940" i="5" s="1"/>
  <c r="X1944" i="1"/>
  <c r="Z1944" i="1" s="1"/>
  <c r="J1944" i="1"/>
  <c r="M1937" i="4"/>
  <c r="AA1941" i="1"/>
  <c r="AA1937" i="5" s="1"/>
  <c r="P1925" i="4"/>
  <c r="P1955" i="1"/>
  <c r="U1929" i="1"/>
  <c r="U1925" i="5" s="1"/>
  <c r="Q1929" i="1"/>
  <c r="Q1925" i="5" s="1"/>
  <c r="M1912" i="4"/>
  <c r="E1911" i="4"/>
  <c r="M1904" i="4"/>
  <c r="AA1908" i="1"/>
  <c r="AA1904" i="5" s="1"/>
  <c r="M1797" i="2"/>
  <c r="M1896" i="4"/>
  <c r="Q1791" i="2"/>
  <c r="Q1890" i="4"/>
  <c r="H1790" i="2"/>
  <c r="H1889" i="4"/>
  <c r="M1893" i="1"/>
  <c r="M1889" i="5" s="1"/>
  <c r="X1893" i="1"/>
  <c r="J1893" i="1"/>
  <c r="J1889" i="5" s="1"/>
  <c r="M1888" i="4"/>
  <c r="J1785" i="2"/>
  <c r="J1881" i="4"/>
  <c r="P1780" i="2"/>
  <c r="P1876" i="4"/>
  <c r="U1880" i="1"/>
  <c r="U1876" i="5" s="1"/>
  <c r="X1880" i="1"/>
  <c r="X1780" i="2" s="1"/>
  <c r="E1780" i="2"/>
  <c r="E1876" i="4"/>
  <c r="Q1880" i="1"/>
  <c r="Q1876" i="5" s="1"/>
  <c r="Z1880" i="1"/>
  <c r="Z1780" i="2" s="1"/>
  <c r="E1903" i="1"/>
  <c r="H1778" i="2"/>
  <c r="H1874" i="4"/>
  <c r="M1878" i="1"/>
  <c r="M1874" i="5" s="1"/>
  <c r="X1878" i="1"/>
  <c r="J1878" i="1"/>
  <c r="J1874" i="5" s="1"/>
  <c r="U1761" i="2"/>
  <c r="U1855" i="4"/>
  <c r="J1761" i="2"/>
  <c r="J1855" i="4"/>
  <c r="H1754" i="2"/>
  <c r="H1848" i="4"/>
  <c r="M1852" i="1"/>
  <c r="M1848" i="5" s="1"/>
  <c r="X1852" i="1"/>
  <c r="J1852" i="1"/>
  <c r="J1848" i="5" s="1"/>
  <c r="E1834" i="4"/>
  <c r="E1742" i="2"/>
  <c r="Q1838" i="1"/>
  <c r="Q1834" i="5" s="1"/>
  <c r="P1740" i="2"/>
  <c r="P1832" i="4"/>
  <c r="U1836" i="1"/>
  <c r="U1832" i="5" s="1"/>
  <c r="Q1836" i="1"/>
  <c r="Q1832" i="5" s="1"/>
  <c r="Q1734" i="2"/>
  <c r="Q1826" i="4"/>
  <c r="U1726" i="2"/>
  <c r="U1818" i="4"/>
  <c r="AA1822" i="1"/>
  <c r="AA1818" i="5" s="1"/>
  <c r="J1722" i="2"/>
  <c r="J1814" i="4"/>
  <c r="U1716" i="2"/>
  <c r="U1808" i="4"/>
  <c r="J1716" i="2"/>
  <c r="J1808" i="4"/>
  <c r="U1702" i="2"/>
  <c r="U1793" i="4"/>
  <c r="J1702" i="2"/>
  <c r="J1793" i="4"/>
  <c r="M1688" i="2"/>
  <c r="M1779" i="4"/>
  <c r="P1680" i="2"/>
  <c r="P1771" i="4"/>
  <c r="U1775" i="1"/>
  <c r="U1771" i="5" s="1"/>
  <c r="X1679" i="2"/>
  <c r="P1674" i="2"/>
  <c r="P1765" i="4"/>
  <c r="U1769" i="1"/>
  <c r="U1765" i="5" s="1"/>
  <c r="Q1769" i="1"/>
  <c r="Q1765" i="5" s="1"/>
  <c r="X1671" i="2"/>
  <c r="Z1766" i="1"/>
  <c r="Z1762" i="5" s="1"/>
  <c r="M1671" i="2"/>
  <c r="M1762" i="4"/>
  <c r="AA1766" i="1"/>
  <c r="AA1762" i="5" s="1"/>
  <c r="U1660" i="2"/>
  <c r="U1751" i="4"/>
  <c r="H1656" i="2"/>
  <c r="H1747" i="4"/>
  <c r="M1751" i="1"/>
  <c r="M1747" i="5" s="1"/>
  <c r="X1751" i="1"/>
  <c r="X1747" i="5" s="1"/>
  <c r="J1751" i="1"/>
  <c r="J1747" i="5" s="1"/>
  <c r="X1643" i="2"/>
  <c r="Z1738" i="1"/>
  <c r="Z1735" i="5" s="1"/>
  <c r="AA1642" i="2"/>
  <c r="AA1734" i="4"/>
  <c r="AB1737" i="1"/>
  <c r="AB1734" i="5" s="1"/>
  <c r="P1639" i="2"/>
  <c r="P1731" i="4"/>
  <c r="V1734" i="1"/>
  <c r="V1731" i="5" s="1"/>
  <c r="X1734" i="1"/>
  <c r="U1734" i="1"/>
  <c r="U1731" i="5" s="1"/>
  <c r="X1625" i="2"/>
  <c r="Z1720" i="1"/>
  <c r="Z1717" i="5" s="1"/>
  <c r="H1624" i="2"/>
  <c r="H1716" i="4"/>
  <c r="X1719" i="1"/>
  <c r="M1719" i="1"/>
  <c r="M1716" i="5" s="1"/>
  <c r="AA1622" i="2"/>
  <c r="AA1714" i="4"/>
  <c r="AB1717" i="1"/>
  <c r="AB1714" i="5" s="1"/>
  <c r="P1613" i="2"/>
  <c r="P1705" i="4"/>
  <c r="V1708" i="1"/>
  <c r="V1705" i="5" s="1"/>
  <c r="X1708" i="1"/>
  <c r="U1708" i="1"/>
  <c r="U1705" i="5" s="1"/>
  <c r="X1601" i="2"/>
  <c r="Z1693" i="1"/>
  <c r="Z1690" i="5" s="1"/>
  <c r="X1597" i="2"/>
  <c r="Z1689" i="1"/>
  <c r="Z1686" i="5" s="1"/>
  <c r="X1593" i="2"/>
  <c r="Z1685" i="1"/>
  <c r="Z1682" i="5" s="1"/>
  <c r="U1583" i="2"/>
  <c r="U1669" i="4"/>
  <c r="M1580" i="2"/>
  <c r="M1666" i="4"/>
  <c r="M1576" i="2"/>
  <c r="M1662" i="4"/>
  <c r="AA1665" i="1"/>
  <c r="AA1662" i="5" s="1"/>
  <c r="P1636" i="4"/>
  <c r="X1636" i="4" s="1"/>
  <c r="X1639" i="1"/>
  <c r="Z1639" i="1" s="1"/>
  <c r="U1639" i="1"/>
  <c r="U1519" i="2"/>
  <c r="U1597" i="4"/>
  <c r="U1476" i="2"/>
  <c r="U1551" i="4"/>
  <c r="V1453" i="2"/>
  <c r="V1530" i="4"/>
  <c r="W1531" i="1"/>
  <c r="W1530" i="5" s="1"/>
  <c r="H1447" i="2"/>
  <c r="H1524" i="4"/>
  <c r="M1525" i="1"/>
  <c r="M1524" i="5" s="1"/>
  <c r="J1525" i="1"/>
  <c r="J1524" i="5" s="1"/>
  <c r="X1525" i="1"/>
  <c r="X1438" i="2"/>
  <c r="Z1516" i="1"/>
  <c r="Z1438" i="2" s="1"/>
  <c r="J1438" i="2"/>
  <c r="J1515" i="4"/>
  <c r="X1426" i="2"/>
  <c r="Z1504" i="1"/>
  <c r="Z1426" i="2" s="1"/>
  <c r="J1426" i="2"/>
  <c r="J1503" i="4"/>
  <c r="AA1417" i="2"/>
  <c r="AA1494" i="4"/>
  <c r="AB1495" i="1"/>
  <c r="AB1494" i="5" s="1"/>
  <c r="U1417" i="2"/>
  <c r="U1494" i="4"/>
  <c r="J1417" i="2"/>
  <c r="J1494" i="4"/>
  <c r="AA1415" i="2"/>
  <c r="AA1492" i="4"/>
  <c r="AB1493" i="1"/>
  <c r="AB1492" i="5" s="1"/>
  <c r="U1415" i="2"/>
  <c r="U1492" i="4"/>
  <c r="J1415" i="2"/>
  <c r="J1492" i="4"/>
  <c r="AA1414" i="2"/>
  <c r="AA1490" i="4"/>
  <c r="AB1491" i="1"/>
  <c r="AB1490" i="5" s="1"/>
  <c r="U1414" i="2"/>
  <c r="U1490" i="4"/>
  <c r="J1414" i="2"/>
  <c r="J1490" i="4"/>
  <c r="U1412" i="2"/>
  <c r="U1488" i="4"/>
  <c r="H1408" i="2"/>
  <c r="H1484" i="4"/>
  <c r="M1485" i="1"/>
  <c r="M1484" i="5" s="1"/>
  <c r="X1485" i="1"/>
  <c r="J1485" i="1"/>
  <c r="J1484" i="5" s="1"/>
  <c r="P1405" i="2"/>
  <c r="P1481" i="4"/>
  <c r="V1482" i="1"/>
  <c r="V1481" i="5" s="1"/>
  <c r="U1482" i="1"/>
  <c r="U1481" i="5" s="1"/>
  <c r="P1498" i="1"/>
  <c r="X1482" i="1"/>
  <c r="X1405" i="2" s="1"/>
  <c r="Q1482" i="1"/>
  <c r="Q1481" i="5" s="1"/>
  <c r="U1404" i="2"/>
  <c r="U1480" i="4"/>
  <c r="J1404" i="2"/>
  <c r="J1480" i="4"/>
  <c r="H1392" i="2"/>
  <c r="H1465" i="4"/>
  <c r="M1466" i="1"/>
  <c r="M1465" i="5" s="1"/>
  <c r="X1466" i="1"/>
  <c r="J1466" i="1"/>
  <c r="J1465" i="5" s="1"/>
  <c r="V1385" i="2"/>
  <c r="V1456" i="4"/>
  <c r="J1385" i="2"/>
  <c r="J1456" i="4"/>
  <c r="Q1383" i="2"/>
  <c r="Q1454" i="4"/>
  <c r="H1382" i="2"/>
  <c r="H1453" i="4"/>
  <c r="M1454" i="1"/>
  <c r="M1453" i="5" s="1"/>
  <c r="J1454" i="1"/>
  <c r="J1453" i="5" s="1"/>
  <c r="X1454" i="1"/>
  <c r="H1371" i="2"/>
  <c r="H1442" i="4"/>
  <c r="M1443" i="1"/>
  <c r="M1442" i="5" s="1"/>
  <c r="X1443" i="1"/>
  <c r="J1443" i="1"/>
  <c r="J1442" i="5" s="1"/>
  <c r="V1369" i="2"/>
  <c r="V1440" i="4"/>
  <c r="W1441" i="1"/>
  <c r="W1440" i="5" s="1"/>
  <c r="M1369" i="2"/>
  <c r="M1440" i="4"/>
  <c r="AA1441" i="1"/>
  <c r="AA1440" i="5" s="1"/>
  <c r="Q1366" i="2"/>
  <c r="Q1437" i="4"/>
  <c r="V1351" i="2"/>
  <c r="V1421" i="4"/>
  <c r="W1422" i="1"/>
  <c r="W1421" i="5" s="1"/>
  <c r="V1350" i="2"/>
  <c r="V1420" i="4"/>
  <c r="W1421" i="1"/>
  <c r="W1420" i="5" s="1"/>
  <c r="F1342" i="2"/>
  <c r="F1412" i="4"/>
  <c r="F1434" i="1"/>
  <c r="H1413" i="1"/>
  <c r="H1338" i="2"/>
  <c r="H1408" i="4"/>
  <c r="M1409" i="1"/>
  <c r="M1408" i="5" s="1"/>
  <c r="X1409" i="1"/>
  <c r="J1409" i="1"/>
  <c r="J1408" i="5" s="1"/>
  <c r="Q1322" i="2"/>
  <c r="Q1391" i="4"/>
  <c r="P1298" i="2"/>
  <c r="P1367" i="4"/>
  <c r="V1368" i="1"/>
  <c r="V1367" i="5" s="1"/>
  <c r="U1368" i="1"/>
  <c r="U1367" i="5" s="1"/>
  <c r="Q1368" i="1"/>
  <c r="Q1367" i="5" s="1"/>
  <c r="X1368" i="1"/>
  <c r="P1295" i="2"/>
  <c r="P1360" i="4"/>
  <c r="V1361" i="1"/>
  <c r="V1360" i="5" s="1"/>
  <c r="U1361" i="1"/>
  <c r="U1360" i="5" s="1"/>
  <c r="X1361" i="1"/>
  <c r="X1295" i="2" s="1"/>
  <c r="Q1361" i="1"/>
  <c r="Q1360" i="5" s="1"/>
  <c r="U1294" i="2"/>
  <c r="U1359" i="4"/>
  <c r="P1290" i="2"/>
  <c r="P1355" i="4"/>
  <c r="U1356" i="1"/>
  <c r="U1355" i="5" s="1"/>
  <c r="Q1356" i="1"/>
  <c r="Q1355" i="5" s="1"/>
  <c r="X1356" i="1"/>
  <c r="V1356" i="1"/>
  <c r="V1355" i="5" s="1"/>
  <c r="V1281" i="2"/>
  <c r="V1346" i="4"/>
  <c r="W1347" i="1"/>
  <c r="W1346" i="5" s="1"/>
  <c r="M1281" i="2"/>
  <c r="M1346" i="4"/>
  <c r="AA1347" i="1"/>
  <c r="AA1346" i="5" s="1"/>
  <c r="V1272" i="2"/>
  <c r="V1337" i="4"/>
  <c r="W1338" i="1"/>
  <c r="W1337" i="5" s="1"/>
  <c r="M1272" i="2"/>
  <c r="M1337" i="4"/>
  <c r="AA1338" i="1"/>
  <c r="AA1337" i="5" s="1"/>
  <c r="P1268" i="2"/>
  <c r="P1333" i="4"/>
  <c r="U1334" i="1"/>
  <c r="U1333" i="5" s="1"/>
  <c r="Q1334" i="1"/>
  <c r="Q1333" i="5" s="1"/>
  <c r="X1334" i="1"/>
  <c r="V1334" i="1"/>
  <c r="V1333" i="5" s="1"/>
  <c r="X1262" i="2"/>
  <c r="Z1326" i="1"/>
  <c r="Z1262" i="2" s="1"/>
  <c r="X1258" i="2"/>
  <c r="Z1322" i="1"/>
  <c r="Z1258" i="2" s="1"/>
  <c r="F1278" i="4"/>
  <c r="H1279" i="1"/>
  <c r="H1278" i="5" s="1"/>
  <c r="X1278" i="5" s="1"/>
  <c r="Z1278" i="5" s="1"/>
  <c r="V1193" i="2"/>
  <c r="V1252" i="4"/>
  <c r="W1253" i="1"/>
  <c r="W1252" i="5" s="1"/>
  <c r="P1189" i="2"/>
  <c r="P1248" i="4"/>
  <c r="V1249" i="1"/>
  <c r="V1248" i="5" s="1"/>
  <c r="U1249" i="1"/>
  <c r="U1248" i="5" s="1"/>
  <c r="P1282" i="1"/>
  <c r="Q1249" i="1"/>
  <c r="Q1248" i="5" s="1"/>
  <c r="X1249" i="1"/>
  <c r="X1189" i="2" s="1"/>
  <c r="U1188" i="2"/>
  <c r="U1247" i="4"/>
  <c r="J1188" i="2"/>
  <c r="J1247" i="4"/>
  <c r="Q1219" i="4"/>
  <c r="P1163" i="2"/>
  <c r="P1217" i="4"/>
  <c r="U1218" i="1"/>
  <c r="U1217" i="5" s="1"/>
  <c r="V1218" i="1"/>
  <c r="V1217" i="5" s="1"/>
  <c r="P1245" i="1"/>
  <c r="Q1218" i="1"/>
  <c r="Q1217" i="5" s="1"/>
  <c r="X1218" i="1"/>
  <c r="V1158" i="2"/>
  <c r="M1158" i="2"/>
  <c r="M1212" i="4"/>
  <c r="AA1213" i="1"/>
  <c r="AA1212" i="5" s="1"/>
  <c r="H1147" i="2"/>
  <c r="H1199" i="4"/>
  <c r="J1200" i="1"/>
  <c r="J1199" i="5" s="1"/>
  <c r="X1200" i="1"/>
  <c r="X1199" i="5" s="1"/>
  <c r="M1200" i="1"/>
  <c r="M1199" i="5" s="1"/>
  <c r="V1200" i="1"/>
  <c r="V1199" i="5" s="1"/>
  <c r="V1132" i="2"/>
  <c r="V1183" i="4"/>
  <c r="E1132" i="2"/>
  <c r="E1183" i="4"/>
  <c r="W1184" i="1"/>
  <c r="W1183" i="5" s="1"/>
  <c r="H1125" i="2"/>
  <c r="H1176" i="4"/>
  <c r="M1177" i="1"/>
  <c r="M1176" i="5" s="1"/>
  <c r="X1177" i="1"/>
  <c r="V1177" i="1"/>
  <c r="V1176" i="5" s="1"/>
  <c r="H1188" i="1"/>
  <c r="W1113" i="2"/>
  <c r="W1164" i="4"/>
  <c r="M1113" i="2"/>
  <c r="M1164" i="4"/>
  <c r="AA1165" i="1"/>
  <c r="AA1164" i="5" s="1"/>
  <c r="V1014" i="2"/>
  <c r="V1059" i="4"/>
  <c r="W1060" i="1"/>
  <c r="W1059" i="5" s="1"/>
  <c r="U1011" i="2"/>
  <c r="U1056" i="4"/>
  <c r="H999" i="2"/>
  <c r="H1044" i="4"/>
  <c r="X1045" i="1"/>
  <c r="M1045" i="1"/>
  <c r="M1044" i="5" s="1"/>
  <c r="V1045" i="1"/>
  <c r="V1044" i="5" s="1"/>
  <c r="P959" i="2"/>
  <c r="P1002" i="4"/>
  <c r="U1003" i="1"/>
  <c r="U1002" i="5" s="1"/>
  <c r="V1003" i="1"/>
  <c r="V1002" i="5" s="1"/>
  <c r="X1003" i="1"/>
  <c r="P1014" i="1"/>
  <c r="F915" i="4"/>
  <c r="H915" i="1"/>
  <c r="H915" i="5" s="1"/>
  <c r="X915" i="5" s="1"/>
  <c r="Z915" i="5" s="1"/>
  <c r="X869" i="2"/>
  <c r="Z909" i="1"/>
  <c r="Z869" i="2" s="1"/>
  <c r="M859" i="2"/>
  <c r="M899" i="4"/>
  <c r="AA899" i="1"/>
  <c r="AA899" i="5" s="1"/>
  <c r="E859" i="2"/>
  <c r="E899" i="4"/>
  <c r="W899" i="1"/>
  <c r="W899" i="5" s="1"/>
  <c r="AB899" i="1"/>
  <c r="AB899" i="5" s="1"/>
  <c r="Q899" i="1"/>
  <c r="Q899" i="5" s="1"/>
  <c r="Z899" i="1"/>
  <c r="Z859" i="2" s="1"/>
  <c r="E922" i="1"/>
  <c r="Q841" i="2"/>
  <c r="Q880" i="4"/>
  <c r="P815" i="2"/>
  <c r="P850" i="4"/>
  <c r="X850" i="1"/>
  <c r="U850" i="1"/>
  <c r="U850" i="5" s="1"/>
  <c r="V850" i="1"/>
  <c r="V850" i="5" s="1"/>
  <c r="E815" i="2"/>
  <c r="E850" i="4"/>
  <c r="Q850" i="1"/>
  <c r="Q850" i="5" s="1"/>
  <c r="W850" i="1"/>
  <c r="W850" i="5" s="1"/>
  <c r="H805" i="2"/>
  <c r="H840" i="4"/>
  <c r="J840" i="1"/>
  <c r="J840" i="5" s="1"/>
  <c r="M840" i="1"/>
  <c r="M840" i="5" s="1"/>
  <c r="X840" i="1"/>
  <c r="V802" i="2"/>
  <c r="V836" i="4"/>
  <c r="W836" i="1"/>
  <c r="W836" i="5" s="1"/>
  <c r="M802" i="2"/>
  <c r="M836" i="4"/>
  <c r="AA836" i="1"/>
  <c r="AA836" i="5" s="1"/>
  <c r="J623" i="2"/>
  <c r="J651" i="4"/>
  <c r="V580" i="2"/>
  <c r="V604" i="4"/>
  <c r="E580" i="2"/>
  <c r="E604" i="4"/>
  <c r="E606" i="1"/>
  <c r="W603" i="1"/>
  <c r="W604" i="5" s="1"/>
  <c r="U577" i="2"/>
  <c r="U601" i="4"/>
  <c r="P524" i="2"/>
  <c r="P543" i="4"/>
  <c r="V544" i="1"/>
  <c r="V543" i="5" s="1"/>
  <c r="U544" i="1"/>
  <c r="U543" i="5" s="1"/>
  <c r="X544" i="1"/>
  <c r="P511" i="2"/>
  <c r="P531" i="4"/>
  <c r="V532" i="1"/>
  <c r="V531" i="5" s="1"/>
  <c r="U532" i="1"/>
  <c r="U531" i="5" s="1"/>
  <c r="X532" i="1"/>
  <c r="U457" i="2"/>
  <c r="U477" i="4"/>
  <c r="AA478" i="1"/>
  <c r="AA477" i="5" s="1"/>
  <c r="U456" i="2"/>
  <c r="U476" i="4"/>
  <c r="H218" i="2"/>
  <c r="H227" i="4"/>
  <c r="M227" i="1"/>
  <c r="M227" i="5" s="1"/>
  <c r="X227" i="1"/>
  <c r="H209" i="2"/>
  <c r="H218" i="4"/>
  <c r="I218" i="1"/>
  <c r="I218" i="5" s="1"/>
  <c r="M218" i="1"/>
  <c r="M218" i="5" s="1"/>
  <c r="X218" i="1"/>
  <c r="U206" i="2"/>
  <c r="U215" i="4"/>
  <c r="E206" i="2"/>
  <c r="E215" i="4"/>
  <c r="E235" i="1"/>
  <c r="H55" i="2"/>
  <c r="H59" i="4"/>
  <c r="X59" i="1"/>
  <c r="M59" i="1"/>
  <c r="M59" i="5" s="1"/>
  <c r="V59" i="1"/>
  <c r="V59" i="5" s="1"/>
  <c r="W2746" i="1"/>
  <c r="W2638" i="1"/>
  <c r="M2563" i="1"/>
  <c r="M2555" i="5" s="1"/>
  <c r="M2561" i="1"/>
  <c r="M2553" i="5" s="1"/>
  <c r="U2493" i="1"/>
  <c r="U2491" i="1"/>
  <c r="U2489" i="1"/>
  <c r="P1869" i="1"/>
  <c r="AB2855" i="1"/>
  <c r="X2854" i="1"/>
  <c r="Z2854" i="1" s="1"/>
  <c r="AA2838" i="1"/>
  <c r="X2835" i="1"/>
  <c r="Z2835" i="1" s="1"/>
  <c r="U2809" i="1"/>
  <c r="P2791" i="1"/>
  <c r="M2750" i="1"/>
  <c r="M2742" i="5" s="1"/>
  <c r="W2744" i="1"/>
  <c r="V2742" i="1"/>
  <c r="V2734" i="5" s="1"/>
  <c r="W2734" i="1"/>
  <c r="W2726" i="1"/>
  <c r="V2724" i="1"/>
  <c r="V2716" i="5" s="1"/>
  <c r="M2689" i="1"/>
  <c r="M2681" i="5" s="1"/>
  <c r="V2685" i="1"/>
  <c r="W2678" i="1"/>
  <c r="V2676" i="1"/>
  <c r="V2668" i="5" s="1"/>
  <c r="V2659" i="1"/>
  <c r="V2651" i="5" s="1"/>
  <c r="M2658" i="1"/>
  <c r="M2650" i="5" s="1"/>
  <c r="M2633" i="1"/>
  <c r="M2625" i="5" s="1"/>
  <c r="U2625" i="1"/>
  <c r="H2526" i="1"/>
  <c r="H2518" i="5" s="1"/>
  <c r="X2518" i="5" s="1"/>
  <c r="Z2518" i="5" s="1"/>
  <c r="V2494" i="1"/>
  <c r="V2483" i="1"/>
  <c r="V2475" i="5" s="1"/>
  <c r="T2575" i="1"/>
  <c r="T2922" i="1" s="1"/>
  <c r="P2478" i="1"/>
  <c r="L2575" i="1"/>
  <c r="L2922" i="1" s="1"/>
  <c r="H2478" i="1"/>
  <c r="Y1973" i="1"/>
  <c r="P1740" i="1"/>
  <c r="V1735" i="1"/>
  <c r="V1732" i="5" s="1"/>
  <c r="V1715" i="1"/>
  <c r="V1712" i="5" s="1"/>
  <c r="V1709" i="1"/>
  <c r="V1706" i="5" s="1"/>
  <c r="W1447" i="1"/>
  <c r="W1446" i="5" s="1"/>
  <c r="V1158" i="1"/>
  <c r="V1157" i="5" s="1"/>
  <c r="I2824" i="1"/>
  <c r="P2454" i="4"/>
  <c r="V2462" i="1"/>
  <c r="V2454" i="5" s="1"/>
  <c r="U2462" i="1"/>
  <c r="H2443" i="4"/>
  <c r="M2449" i="1"/>
  <c r="M2443" i="5" s="1"/>
  <c r="H2439" i="4"/>
  <c r="M2445" i="1"/>
  <c r="M2439" i="5" s="1"/>
  <c r="X2445" i="1"/>
  <c r="Z2445" i="1" s="1"/>
  <c r="J2445" i="1"/>
  <c r="H2437" i="4"/>
  <c r="M2443" i="1"/>
  <c r="M2437" i="5" s="1"/>
  <c r="X2443" i="1"/>
  <c r="Z2443" i="1" s="1"/>
  <c r="J2443" i="1"/>
  <c r="H2433" i="4"/>
  <c r="M2439" i="1"/>
  <c r="M2433" i="5" s="1"/>
  <c r="X2439" i="1"/>
  <c r="Z2439" i="1" s="1"/>
  <c r="J2439" i="1"/>
  <c r="H2431" i="4"/>
  <c r="X2431" i="4" s="1"/>
  <c r="Z2431" i="4" s="1"/>
  <c r="M2437" i="1"/>
  <c r="M2431" i="5" s="1"/>
  <c r="X2437" i="1"/>
  <c r="H2452" i="1"/>
  <c r="P2416" i="4"/>
  <c r="U2422" i="1"/>
  <c r="M2401" i="4"/>
  <c r="H2400" i="4"/>
  <c r="M2406" i="1"/>
  <c r="M2400" i="5" s="1"/>
  <c r="X2406" i="1"/>
  <c r="Z2406" i="1" s="1"/>
  <c r="M2397" i="4"/>
  <c r="H2396" i="4"/>
  <c r="X2396" i="4" s="1"/>
  <c r="Z2396" i="4" s="1"/>
  <c r="M2402" i="1"/>
  <c r="M2396" i="5" s="1"/>
  <c r="X2402" i="1"/>
  <c r="Z2402" i="1" s="1"/>
  <c r="P2387" i="4"/>
  <c r="X2387" i="4" s="1"/>
  <c r="Z2387" i="4" s="1"/>
  <c r="U2393" i="1"/>
  <c r="Q2393" i="1"/>
  <c r="E2373" i="4"/>
  <c r="M2370" i="4"/>
  <c r="P2360" i="4"/>
  <c r="U2366" i="1"/>
  <c r="Q2366" i="1"/>
  <c r="M2358" i="4"/>
  <c r="H2352" i="4"/>
  <c r="X2352" i="4" s="1"/>
  <c r="Z2352" i="4" s="1"/>
  <c r="M2358" i="1"/>
  <c r="M2352" i="5" s="1"/>
  <c r="X2358" i="1"/>
  <c r="Z2358" i="1" s="1"/>
  <c r="P2328" i="4"/>
  <c r="X2328" i="4" s="1"/>
  <c r="Z2328" i="4" s="1"/>
  <c r="U2334" i="1"/>
  <c r="U2328" i="5" s="1"/>
  <c r="Q2334" i="1"/>
  <c r="P2326" i="4"/>
  <c r="X2326" i="4" s="1"/>
  <c r="Z2326" i="4" s="1"/>
  <c r="U2332" i="1"/>
  <c r="Q2332" i="1"/>
  <c r="E2324" i="4"/>
  <c r="M2305" i="4"/>
  <c r="AA2311" i="1"/>
  <c r="AA2305" i="5" s="1"/>
  <c r="F2304" i="4"/>
  <c r="F2313" i="4" s="1"/>
  <c r="F2319" i="1"/>
  <c r="X2302" i="4"/>
  <c r="Z2308" i="1"/>
  <c r="M2293" i="1"/>
  <c r="M2289" i="5" s="1"/>
  <c r="X2293" i="1"/>
  <c r="Z2293" i="1" s="1"/>
  <c r="H2279" i="4"/>
  <c r="M2283" i="1"/>
  <c r="M2279" i="5" s="1"/>
  <c r="X2283" i="1"/>
  <c r="Z2283" i="1" s="1"/>
  <c r="J2283" i="1"/>
  <c r="E2278" i="4"/>
  <c r="Q2282" i="1"/>
  <c r="M2270" i="4"/>
  <c r="AA2274" i="1"/>
  <c r="AA2270" i="5" s="1"/>
  <c r="M2267" i="4"/>
  <c r="AA2271" i="1"/>
  <c r="AA2267" i="5" s="1"/>
  <c r="M2265" i="4"/>
  <c r="M2210" i="4"/>
  <c r="E2201" i="4"/>
  <c r="E2199" i="4"/>
  <c r="Q2203" i="1"/>
  <c r="E2187" i="4"/>
  <c r="Q2191" i="1"/>
  <c r="M2171" i="4"/>
  <c r="H2168" i="4"/>
  <c r="M2172" i="1"/>
  <c r="M2168" i="5" s="1"/>
  <c r="X2172" i="1"/>
  <c r="Z2172" i="1" s="1"/>
  <c r="H2148" i="4"/>
  <c r="X2148" i="4" s="1"/>
  <c r="Z2148" i="4" s="1"/>
  <c r="M2152" i="1"/>
  <c r="M2148" i="5" s="1"/>
  <c r="X2152" i="1"/>
  <c r="Z2152" i="1" s="1"/>
  <c r="P2143" i="4"/>
  <c r="X2143" i="4" s="1"/>
  <c r="U2147" i="1"/>
  <c r="M2142" i="4"/>
  <c r="AA2146" i="1"/>
  <c r="AA2142" i="5" s="1"/>
  <c r="M2141" i="4"/>
  <c r="AA2145" i="1"/>
  <c r="AA2141" i="5" s="1"/>
  <c r="M2133" i="4"/>
  <c r="AA2137" i="1"/>
  <c r="AA2133" i="5" s="1"/>
  <c r="E2131" i="4"/>
  <c r="Q2135" i="1"/>
  <c r="H2127" i="4"/>
  <c r="X2127" i="4" s="1"/>
  <c r="M2131" i="1"/>
  <c r="M2127" i="5" s="1"/>
  <c r="X2131" i="1"/>
  <c r="M2124" i="4"/>
  <c r="AA2128" i="1"/>
  <c r="AA2124" i="5" s="1"/>
  <c r="M2117" i="4"/>
  <c r="H2116" i="4"/>
  <c r="X2116" i="4" s="1"/>
  <c r="M2120" i="1"/>
  <c r="M2116" i="5" s="1"/>
  <c r="X2120" i="1"/>
  <c r="Z2120" i="1" s="1"/>
  <c r="M2101" i="4"/>
  <c r="H2100" i="4"/>
  <c r="M2104" i="1"/>
  <c r="M2100" i="5" s="1"/>
  <c r="X2104" i="1"/>
  <c r="X2100" i="5" s="1"/>
  <c r="X2094" i="4"/>
  <c r="Z2098" i="1"/>
  <c r="H2087" i="4"/>
  <c r="M2091" i="1"/>
  <c r="M2087" i="5" s="1"/>
  <c r="X2091" i="1"/>
  <c r="X2087" i="5" s="1"/>
  <c r="J2091" i="1"/>
  <c r="E2086" i="4"/>
  <c r="Q2090" i="1"/>
  <c r="Q2086" i="5" s="1"/>
  <c r="E2116" i="1"/>
  <c r="Z2090" i="1"/>
  <c r="Z2086" i="5" s="1"/>
  <c r="P2077" i="4"/>
  <c r="V2081" i="1"/>
  <c r="V2077" i="5" s="1"/>
  <c r="U2081" i="1"/>
  <c r="E2055" i="4"/>
  <c r="E2063" i="1"/>
  <c r="P2024" i="4"/>
  <c r="X2024" i="4" s="1"/>
  <c r="Z2024" i="4" s="1"/>
  <c r="V2028" i="1"/>
  <c r="V2024" i="5" s="1"/>
  <c r="U2028" i="1"/>
  <c r="AO2866" i="1"/>
  <c r="H2023" i="4"/>
  <c r="X2023" i="4" s="1"/>
  <c r="Z2023" i="4" s="1"/>
  <c r="X2027" i="1"/>
  <c r="Z2027" i="1" s="1"/>
  <c r="M2027" i="1"/>
  <c r="M2023" i="5" s="1"/>
  <c r="P2020" i="4"/>
  <c r="X2020" i="4" s="1"/>
  <c r="Z2020" i="4" s="1"/>
  <c r="V2024" i="1"/>
  <c r="V2020" i="5" s="1"/>
  <c r="U2024" i="1"/>
  <c r="N2019" i="4"/>
  <c r="N2037" i="4" s="1"/>
  <c r="P2023" i="1"/>
  <c r="P2019" i="5" s="1"/>
  <c r="H2018" i="4"/>
  <c r="X2022" i="1"/>
  <c r="Z2022" i="1" s="1"/>
  <c r="M2022" i="1"/>
  <c r="M2018" i="5" s="1"/>
  <c r="P2015" i="4"/>
  <c r="X2015" i="4" s="1"/>
  <c r="Z2015" i="4" s="1"/>
  <c r="V2019" i="1"/>
  <c r="V2015" i="5" s="1"/>
  <c r="U2019" i="1"/>
  <c r="P2005" i="4"/>
  <c r="U2009" i="1"/>
  <c r="P1985" i="4"/>
  <c r="V1989" i="1"/>
  <c r="V1985" i="5" s="1"/>
  <c r="P1954" i="4"/>
  <c r="U1958" i="1"/>
  <c r="U1954" i="5" s="1"/>
  <c r="Q1958" i="1"/>
  <c r="Q1954" i="5" s="1"/>
  <c r="M1949" i="4"/>
  <c r="H1948" i="4"/>
  <c r="X1948" i="4" s="1"/>
  <c r="Z1948" i="4" s="1"/>
  <c r="M1952" i="1"/>
  <c r="M1948" i="5" s="1"/>
  <c r="X1952" i="1"/>
  <c r="Z1952" i="1" s="1"/>
  <c r="H1939" i="4"/>
  <c r="M1943" i="1"/>
  <c r="M1939" i="5" s="1"/>
  <c r="X1943" i="1"/>
  <c r="Z1943" i="1" s="1"/>
  <c r="J1943" i="1"/>
  <c r="M1934" i="4"/>
  <c r="H1933" i="4"/>
  <c r="X1933" i="4" s="1"/>
  <c r="Z1933" i="4" s="1"/>
  <c r="M1937" i="1"/>
  <c r="M1933" i="5" s="1"/>
  <c r="X1937" i="1"/>
  <c r="Z1937" i="1" s="1"/>
  <c r="M1928" i="4"/>
  <c r="H1926" i="4"/>
  <c r="X1926" i="4" s="1"/>
  <c r="Z1926" i="4" s="1"/>
  <c r="M1930" i="1"/>
  <c r="M1926" i="5" s="1"/>
  <c r="X1930" i="1"/>
  <c r="Z1930" i="1" s="1"/>
  <c r="H1920" i="4"/>
  <c r="X1920" i="4" s="1"/>
  <c r="Z1920" i="4" s="1"/>
  <c r="M1924" i="1"/>
  <c r="M1920" i="5" s="1"/>
  <c r="X1924" i="1"/>
  <c r="Z1924" i="1" s="1"/>
  <c r="E1916" i="4"/>
  <c r="Q1920" i="1"/>
  <c r="M1915" i="4"/>
  <c r="H1914" i="4"/>
  <c r="X1914" i="4" s="1"/>
  <c r="Z1914" i="4" s="1"/>
  <c r="M1918" i="1"/>
  <c r="M1914" i="5" s="1"/>
  <c r="X1918" i="1"/>
  <c r="Z1918" i="1" s="1"/>
  <c r="P1906" i="4"/>
  <c r="U1910" i="1"/>
  <c r="F1798" i="2"/>
  <c r="F1897" i="4"/>
  <c r="H1901" i="1"/>
  <c r="H1897" i="5" s="1"/>
  <c r="X1897" i="5" s="1"/>
  <c r="Z1897" i="5" s="1"/>
  <c r="U1894" i="4"/>
  <c r="U1795" i="2"/>
  <c r="P1793" i="2"/>
  <c r="P1892" i="4"/>
  <c r="U1896" i="1"/>
  <c r="U1892" i="5" s="1"/>
  <c r="U1791" i="2"/>
  <c r="U1890" i="4"/>
  <c r="Q1789" i="2"/>
  <c r="Q1885" i="4"/>
  <c r="H1788" i="2"/>
  <c r="H1884" i="4"/>
  <c r="M1888" i="1"/>
  <c r="M1884" i="5" s="1"/>
  <c r="X1888" i="1"/>
  <c r="U1779" i="2"/>
  <c r="U1875" i="4"/>
  <c r="P1777" i="2"/>
  <c r="P1873" i="4"/>
  <c r="U1877" i="1"/>
  <c r="U1873" i="5" s="1"/>
  <c r="U1775" i="2"/>
  <c r="U1871" i="4"/>
  <c r="M1774" i="2"/>
  <c r="M1870" i="4"/>
  <c r="M1773" i="2"/>
  <c r="M1869" i="4"/>
  <c r="AA1873" i="1"/>
  <c r="AA1869" i="5" s="1"/>
  <c r="F1763" i="2"/>
  <c r="F1857" i="4"/>
  <c r="X1761" i="2"/>
  <c r="Z1859" i="1"/>
  <c r="Z1761" i="2" s="1"/>
  <c r="F1760" i="2"/>
  <c r="F1854" i="4"/>
  <c r="M1757" i="2"/>
  <c r="M1851" i="4"/>
  <c r="H1756" i="2"/>
  <c r="H1850" i="4"/>
  <c r="M1854" i="1"/>
  <c r="M1850" i="5" s="1"/>
  <c r="X1854" i="1"/>
  <c r="P1754" i="2"/>
  <c r="P1848" i="4"/>
  <c r="U1852" i="1"/>
  <c r="U1848" i="5" s="1"/>
  <c r="Q1752" i="2"/>
  <c r="Q1846" i="4"/>
  <c r="U1747" i="2"/>
  <c r="U1841" i="4"/>
  <c r="K1746" i="2"/>
  <c r="K1749" i="2" s="1"/>
  <c r="K1840" i="4"/>
  <c r="K1843" i="4" s="1"/>
  <c r="J1741" i="2"/>
  <c r="J1833" i="4"/>
  <c r="H1738" i="2"/>
  <c r="H1830" i="4"/>
  <c r="M1834" i="1"/>
  <c r="M1830" i="5" s="1"/>
  <c r="X1834" i="1"/>
  <c r="X1735" i="2"/>
  <c r="Z1831" i="1"/>
  <c r="Z1735" i="2" s="1"/>
  <c r="M1733" i="2"/>
  <c r="M1825" i="4"/>
  <c r="AA1829" i="1"/>
  <c r="AA1825" i="5" s="1"/>
  <c r="U1823" i="4"/>
  <c r="U1731" i="2"/>
  <c r="H1718" i="2"/>
  <c r="H1810" i="4"/>
  <c r="M1814" i="1"/>
  <c r="M1810" i="5" s="1"/>
  <c r="X1814" i="1"/>
  <c r="X1716" i="2"/>
  <c r="Z1812" i="1"/>
  <c r="Z1716" i="2" s="1"/>
  <c r="H1706" i="2"/>
  <c r="H1798" i="4"/>
  <c r="M1802" i="1"/>
  <c r="M1798" i="5" s="1"/>
  <c r="X1802" i="1"/>
  <c r="J1802" i="1"/>
  <c r="J1798" i="5" s="1"/>
  <c r="P1705" i="2"/>
  <c r="P1796" i="4"/>
  <c r="U1800" i="1"/>
  <c r="U1796" i="5" s="1"/>
  <c r="J1704" i="2"/>
  <c r="J1795" i="4"/>
  <c r="X1702" i="2"/>
  <c r="Z1797" i="1"/>
  <c r="Z1702" i="2" s="1"/>
  <c r="H1699" i="2"/>
  <c r="H1790" i="4"/>
  <c r="M1794" i="1"/>
  <c r="M1790" i="5" s="1"/>
  <c r="X1794" i="1"/>
  <c r="J1794" i="1"/>
  <c r="J1790" i="5" s="1"/>
  <c r="P1697" i="2"/>
  <c r="P1788" i="4"/>
  <c r="U1792" i="1"/>
  <c r="U1788" i="5" s="1"/>
  <c r="U1690" i="2"/>
  <c r="U1781" i="4"/>
  <c r="P1688" i="2"/>
  <c r="P1779" i="4"/>
  <c r="U1783" i="1"/>
  <c r="U1779" i="5" s="1"/>
  <c r="Q1783" i="1"/>
  <c r="Q1779" i="5" s="1"/>
  <c r="Q1685" i="2"/>
  <c r="Q1776" i="4"/>
  <c r="U1683" i="2"/>
  <c r="U1774" i="4"/>
  <c r="M1682" i="2"/>
  <c r="M1773" i="4"/>
  <c r="AA1777" i="1"/>
  <c r="AA1773" i="5" s="1"/>
  <c r="E1680" i="2"/>
  <c r="E1771" i="4"/>
  <c r="Q1775" i="1"/>
  <c r="Q1771" i="5" s="1"/>
  <c r="M1673" i="2"/>
  <c r="M1764" i="4"/>
  <c r="AA1768" i="1"/>
  <c r="AA1764" i="5" s="1"/>
  <c r="H1670" i="2"/>
  <c r="H1761" i="4"/>
  <c r="M1765" i="1"/>
  <c r="M1761" i="5" s="1"/>
  <c r="X1765" i="1"/>
  <c r="J1765" i="1"/>
  <c r="J1761" i="5" s="1"/>
  <c r="H1771" i="1"/>
  <c r="H1665" i="2"/>
  <c r="H1756" i="4"/>
  <c r="M1760" i="1"/>
  <c r="M1756" i="5" s="1"/>
  <c r="X1760" i="1"/>
  <c r="X1756" i="5" s="1"/>
  <c r="J1760" i="1"/>
  <c r="J1756" i="5" s="1"/>
  <c r="P1662" i="2"/>
  <c r="P1753" i="4"/>
  <c r="U1757" i="1"/>
  <c r="U1753" i="5" s="1"/>
  <c r="X1660" i="2"/>
  <c r="X1751" i="4"/>
  <c r="P1656" i="2"/>
  <c r="P1747" i="4"/>
  <c r="U1751" i="1"/>
  <c r="U1747" i="5" s="1"/>
  <c r="H1655" i="2"/>
  <c r="H1746" i="4"/>
  <c r="J1750" i="1"/>
  <c r="J1746" i="5" s="1"/>
  <c r="H1762" i="1"/>
  <c r="E1654" i="2"/>
  <c r="E1745" i="4"/>
  <c r="E1762" i="1"/>
  <c r="Q1749" i="1"/>
  <c r="Q1745" i="5" s="1"/>
  <c r="AA1615" i="2"/>
  <c r="AA1707" i="4"/>
  <c r="AB1710" i="1"/>
  <c r="AB1707" i="5" s="1"/>
  <c r="P1602" i="2"/>
  <c r="P1694" i="4"/>
  <c r="V1697" i="1"/>
  <c r="V1694" i="5" s="1"/>
  <c r="U1697" i="1"/>
  <c r="U1694" i="5" s="1"/>
  <c r="P1692" i="4"/>
  <c r="X1692" i="4" s="1"/>
  <c r="V1695" i="1"/>
  <c r="V1692" i="5" s="1"/>
  <c r="U1695" i="1"/>
  <c r="H1691" i="4"/>
  <c r="X1694" i="1"/>
  <c r="Z1694" i="1" s="1"/>
  <c r="M1694" i="1"/>
  <c r="M1691" i="5" s="1"/>
  <c r="P1599" i="2"/>
  <c r="P1688" i="4"/>
  <c r="V1691" i="1"/>
  <c r="V1688" i="5" s="1"/>
  <c r="U1691" i="1"/>
  <c r="U1688" i="5" s="1"/>
  <c r="H1598" i="2"/>
  <c r="H1687" i="4"/>
  <c r="X1690" i="1"/>
  <c r="M1690" i="1"/>
  <c r="M1687" i="5" s="1"/>
  <c r="P1595" i="2"/>
  <c r="P1684" i="4"/>
  <c r="V1687" i="1"/>
  <c r="V1684" i="5" s="1"/>
  <c r="U1687" i="1"/>
  <c r="U1684" i="5" s="1"/>
  <c r="H1594" i="2"/>
  <c r="H1683" i="4"/>
  <c r="X1686" i="1"/>
  <c r="M1686" i="1"/>
  <c r="M1683" i="5" s="1"/>
  <c r="M1587" i="2"/>
  <c r="M1676" i="4"/>
  <c r="M1674" i="4"/>
  <c r="E1585" i="2"/>
  <c r="E1589" i="2" s="1"/>
  <c r="E1672" i="4"/>
  <c r="P1581" i="2"/>
  <c r="P1667" i="4"/>
  <c r="V1670" i="1"/>
  <c r="V1667" i="5" s="1"/>
  <c r="V1578" i="2"/>
  <c r="V1664" i="4"/>
  <c r="P1577" i="2"/>
  <c r="P1663" i="4"/>
  <c r="V1666" i="1"/>
  <c r="V1663" i="5" s="1"/>
  <c r="H1655" i="4"/>
  <c r="X1658" i="1"/>
  <c r="Z1658" i="1" s="1"/>
  <c r="H1568" i="2"/>
  <c r="H1651" i="4"/>
  <c r="X1654" i="1"/>
  <c r="P1567" i="2"/>
  <c r="P1650" i="4"/>
  <c r="V1653" i="1"/>
  <c r="V1650" i="5" s="1"/>
  <c r="P1562" i="2"/>
  <c r="P1645" i="4"/>
  <c r="V1648" i="1"/>
  <c r="V1645" i="5" s="1"/>
  <c r="H1559" i="2"/>
  <c r="H1642" i="4"/>
  <c r="H1662" i="1"/>
  <c r="X1645" i="1"/>
  <c r="M1550" i="2"/>
  <c r="M1631" i="4"/>
  <c r="M1630" i="4"/>
  <c r="V1546" i="2"/>
  <c r="V1627" i="4"/>
  <c r="W1630" i="1"/>
  <c r="W1627" i="5" s="1"/>
  <c r="M1545" i="2"/>
  <c r="M1626" i="4"/>
  <c r="H1540" i="2"/>
  <c r="H1621" i="4"/>
  <c r="X1624" i="1"/>
  <c r="P1611" i="4"/>
  <c r="X1611" i="4" s="1"/>
  <c r="V1614" i="1"/>
  <c r="V1611" i="5" s="1"/>
  <c r="V1529" i="2"/>
  <c r="V1607" i="4"/>
  <c r="W1610" i="1"/>
  <c r="W1607" i="5" s="1"/>
  <c r="M1528" i="2"/>
  <c r="M1606" i="4"/>
  <c r="V1524" i="2"/>
  <c r="V1602" i="4"/>
  <c r="W1605" i="1"/>
  <c r="W1602" i="5" s="1"/>
  <c r="M1601" i="4"/>
  <c r="V1519" i="2"/>
  <c r="V1597" i="4"/>
  <c r="W1600" i="1"/>
  <c r="W1597" i="5" s="1"/>
  <c r="M1518" i="2"/>
  <c r="M1596" i="4"/>
  <c r="X1510" i="2"/>
  <c r="X1586" i="4"/>
  <c r="Z1589" i="1"/>
  <c r="Z1586" i="5" s="1"/>
  <c r="X1508" i="2"/>
  <c r="X1584" i="4"/>
  <c r="Z1587" i="1"/>
  <c r="Z1584" i="5" s="1"/>
  <c r="X1582" i="4"/>
  <c r="X1506" i="2"/>
  <c r="Z1585" i="1"/>
  <c r="Z1582" i="5" s="1"/>
  <c r="X1504" i="2"/>
  <c r="X1580" i="4"/>
  <c r="Z1583" i="1"/>
  <c r="Z1580" i="5" s="1"/>
  <c r="X1502" i="2"/>
  <c r="X1578" i="4"/>
  <c r="Z1581" i="1"/>
  <c r="Z1578" i="5" s="1"/>
  <c r="X1500" i="2"/>
  <c r="X1576" i="4"/>
  <c r="Z1579" i="1"/>
  <c r="Z1576" i="5" s="1"/>
  <c r="X1498" i="2"/>
  <c r="X1574" i="4"/>
  <c r="Z1577" i="1"/>
  <c r="Z1574" i="5" s="1"/>
  <c r="U1497" i="2"/>
  <c r="U1573" i="4"/>
  <c r="U1495" i="2"/>
  <c r="U1571" i="4"/>
  <c r="U1488" i="2"/>
  <c r="U1563" i="4"/>
  <c r="U1486" i="2"/>
  <c r="U1561" i="4"/>
  <c r="U1484" i="2"/>
  <c r="U1559" i="4"/>
  <c r="X1481" i="2"/>
  <c r="X1556" i="4"/>
  <c r="Z1559" i="1"/>
  <c r="Z1556" i="5" s="1"/>
  <c r="X1479" i="2"/>
  <c r="X1554" i="4"/>
  <c r="Z1557" i="1"/>
  <c r="Z1554" i="5" s="1"/>
  <c r="X1477" i="2"/>
  <c r="X1552" i="4"/>
  <c r="Z1555" i="1"/>
  <c r="Z1552" i="5" s="1"/>
  <c r="H1475" i="2"/>
  <c r="H1550" i="4"/>
  <c r="X1553" i="1"/>
  <c r="X1550" i="5" s="1"/>
  <c r="M1553" i="1"/>
  <c r="M1550" i="5" s="1"/>
  <c r="H1456" i="2"/>
  <c r="H1533" i="4"/>
  <c r="M1534" i="1"/>
  <c r="M1533" i="5" s="1"/>
  <c r="U1444" i="2"/>
  <c r="U1521" i="4"/>
  <c r="Q1441" i="2"/>
  <c r="Q1518" i="4"/>
  <c r="V1438" i="2"/>
  <c r="V1515" i="4"/>
  <c r="W1516" i="1"/>
  <c r="W1515" i="5" s="1"/>
  <c r="Q1429" i="2"/>
  <c r="Q1506" i="4"/>
  <c r="V1426" i="2"/>
  <c r="V1415" i="2"/>
  <c r="V1492" i="4"/>
  <c r="W1493" i="1"/>
  <c r="W1492" i="5" s="1"/>
  <c r="P1409" i="2"/>
  <c r="P1485" i="4"/>
  <c r="V1486" i="1"/>
  <c r="V1485" i="5" s="1"/>
  <c r="U1486" i="1"/>
  <c r="U1485" i="5" s="1"/>
  <c r="H1407" i="2"/>
  <c r="H1483" i="4"/>
  <c r="M1484" i="1"/>
  <c r="M1483" i="5" s="1"/>
  <c r="M1406" i="2"/>
  <c r="M1482" i="4"/>
  <c r="V1404" i="2"/>
  <c r="V1480" i="4"/>
  <c r="W1481" i="1"/>
  <c r="W1480" i="5" s="1"/>
  <c r="M1404" i="2"/>
  <c r="M1480" i="4"/>
  <c r="M1398" i="2"/>
  <c r="M1474" i="4"/>
  <c r="E1398" i="2"/>
  <c r="E1474" i="4"/>
  <c r="Q1475" i="1"/>
  <c r="Q1474" i="5" s="1"/>
  <c r="E1498" i="1"/>
  <c r="W1475" i="1"/>
  <c r="W1474" i="5" s="1"/>
  <c r="P1468" i="4"/>
  <c r="X1468" i="4" s="1"/>
  <c r="Z1468" i="4" s="1"/>
  <c r="X1469" i="1"/>
  <c r="Z1469" i="1" s="1"/>
  <c r="P1392" i="2"/>
  <c r="P1465" i="4"/>
  <c r="V1466" i="1"/>
  <c r="V1465" i="5" s="1"/>
  <c r="H1464" i="4"/>
  <c r="M1465" i="1"/>
  <c r="M1464" i="5" s="1"/>
  <c r="X1465" i="1"/>
  <c r="Z1465" i="1" s="1"/>
  <c r="J1465" i="1"/>
  <c r="V1390" i="2"/>
  <c r="V1462" i="4"/>
  <c r="W1463" i="1"/>
  <c r="W1462" i="5" s="1"/>
  <c r="X1388" i="2"/>
  <c r="Z1461" i="1"/>
  <c r="Z1388" i="2" s="1"/>
  <c r="M1385" i="2"/>
  <c r="M1456" i="4"/>
  <c r="E1385" i="2"/>
  <c r="E1456" i="4"/>
  <c r="Q1457" i="1"/>
  <c r="Q1456" i="5" s="1"/>
  <c r="W1457" i="1"/>
  <c r="W1456" i="5" s="1"/>
  <c r="V1379" i="2"/>
  <c r="V1450" i="4"/>
  <c r="W1451" i="1"/>
  <c r="W1450" i="5" s="1"/>
  <c r="V1377" i="2"/>
  <c r="V1448" i="4"/>
  <c r="W1449" i="1"/>
  <c r="W1448" i="5" s="1"/>
  <c r="U1376" i="2"/>
  <c r="U1447" i="4"/>
  <c r="M1373" i="2"/>
  <c r="M1444" i="4"/>
  <c r="P1372" i="2"/>
  <c r="P1443" i="4"/>
  <c r="V1444" i="1"/>
  <c r="V1443" i="5" s="1"/>
  <c r="U1444" i="1"/>
  <c r="U1443" i="5" s="1"/>
  <c r="H1370" i="2"/>
  <c r="H1441" i="4"/>
  <c r="M1442" i="1"/>
  <c r="M1441" i="5" s="1"/>
  <c r="V1359" i="2"/>
  <c r="V1430" i="4"/>
  <c r="W1431" i="1"/>
  <c r="W1430" i="5" s="1"/>
  <c r="U1358" i="2"/>
  <c r="U1429" i="4"/>
  <c r="J1358" i="2"/>
  <c r="J1429" i="4"/>
  <c r="U1356" i="2"/>
  <c r="U1426" i="4"/>
  <c r="Q1355" i="2"/>
  <c r="Q1425" i="4"/>
  <c r="U1352" i="2"/>
  <c r="U1422" i="4"/>
  <c r="X1343" i="2"/>
  <c r="Z1414" i="1"/>
  <c r="Z1343" i="2" s="1"/>
  <c r="P1342" i="2"/>
  <c r="P1412" i="4"/>
  <c r="U1413" i="1"/>
  <c r="U1412" i="5" s="1"/>
  <c r="H1341" i="2"/>
  <c r="H1411" i="4"/>
  <c r="M1412" i="1"/>
  <c r="M1411" i="5" s="1"/>
  <c r="X1412" i="1"/>
  <c r="U1335" i="2"/>
  <c r="U1405" i="4"/>
  <c r="Q1236" i="2"/>
  <c r="Q1299" i="4"/>
  <c r="J1233" i="2"/>
  <c r="J1296" i="4"/>
  <c r="H1231" i="2"/>
  <c r="H1294" i="4"/>
  <c r="M1295" i="1"/>
  <c r="M1294" i="5" s="1"/>
  <c r="J1295" i="1"/>
  <c r="J1294" i="5" s="1"/>
  <c r="P1228" i="2"/>
  <c r="P1291" i="4"/>
  <c r="U1292" i="1"/>
  <c r="U1291" i="5" s="1"/>
  <c r="Q1292" i="1"/>
  <c r="Q1291" i="5" s="1"/>
  <c r="X1292" i="1"/>
  <c r="V1292" i="1"/>
  <c r="V1291" i="5" s="1"/>
  <c r="P1226" i="2"/>
  <c r="P1289" i="4"/>
  <c r="U1290" i="1"/>
  <c r="Q1290" i="1"/>
  <c r="Q1289" i="5" s="1"/>
  <c r="X1290" i="1"/>
  <c r="V1290" i="1"/>
  <c r="V1289" i="5" s="1"/>
  <c r="V1223" i="2"/>
  <c r="V1286" i="4"/>
  <c r="W1287" i="1"/>
  <c r="W1286" i="5" s="1"/>
  <c r="U1222" i="2"/>
  <c r="U1285" i="4"/>
  <c r="J1222" i="2"/>
  <c r="J1285" i="4"/>
  <c r="H1214" i="2"/>
  <c r="H1274" i="4"/>
  <c r="X1274" i="4" s="1"/>
  <c r="Z1274" i="4" s="1"/>
  <c r="X1275" i="1"/>
  <c r="Q1213" i="2"/>
  <c r="Q1272" i="4"/>
  <c r="V1212" i="2"/>
  <c r="V1271" i="4"/>
  <c r="W1272" i="1"/>
  <c r="W1271" i="5" s="1"/>
  <c r="Q1207" i="2"/>
  <c r="Q1266" i="4"/>
  <c r="Q1203" i="2"/>
  <c r="Q1262" i="4"/>
  <c r="V1201" i="2"/>
  <c r="V1260" i="4"/>
  <c r="W1261" i="1"/>
  <c r="W1260" i="5" s="1"/>
  <c r="U1195" i="2"/>
  <c r="U1254" i="4"/>
  <c r="H1238" i="4"/>
  <c r="X1238" i="4" s="1"/>
  <c r="X1239" i="1"/>
  <c r="Z1239" i="1" s="1"/>
  <c r="M1239" i="1"/>
  <c r="M1238" i="5" s="1"/>
  <c r="F1234" i="4"/>
  <c r="F1180" i="2"/>
  <c r="H1235" i="1"/>
  <c r="U1165" i="2"/>
  <c r="U1219" i="4"/>
  <c r="M1218" i="4"/>
  <c r="M1164" i="2"/>
  <c r="AA1219" i="1"/>
  <c r="AA1218" i="5" s="1"/>
  <c r="H1157" i="2"/>
  <c r="H1211" i="4"/>
  <c r="M1212" i="1"/>
  <c r="M1211" i="5" s="1"/>
  <c r="V1212" i="1"/>
  <c r="V1211" i="5" s="1"/>
  <c r="J1212" i="1"/>
  <c r="J1211" i="5" s="1"/>
  <c r="M1208" i="4"/>
  <c r="H1149" i="2"/>
  <c r="H1201" i="4"/>
  <c r="M1202" i="1"/>
  <c r="M1201" i="5" s="1"/>
  <c r="V1202" i="1"/>
  <c r="V1201" i="5" s="1"/>
  <c r="J1202" i="1"/>
  <c r="J1201" i="5" s="1"/>
  <c r="V1146" i="2"/>
  <c r="V1198" i="4"/>
  <c r="M1145" i="2"/>
  <c r="M1197" i="4"/>
  <c r="E1145" i="2"/>
  <c r="E1197" i="4"/>
  <c r="W1198" i="1"/>
  <c r="W1197" i="5" s="1"/>
  <c r="Q1198" i="1"/>
  <c r="Q1197" i="5" s="1"/>
  <c r="Z1198" i="1"/>
  <c r="Z1197" i="5" s="1"/>
  <c r="E1215" i="1"/>
  <c r="H1144" i="2"/>
  <c r="H1196" i="4"/>
  <c r="J1197" i="1"/>
  <c r="J1196" i="5" s="1"/>
  <c r="X1197" i="1"/>
  <c r="X1196" i="5" s="1"/>
  <c r="M1197" i="1"/>
  <c r="M1196" i="5" s="1"/>
  <c r="H1133" i="2"/>
  <c r="H1185" i="4"/>
  <c r="M1186" i="1"/>
  <c r="M1185" i="5" s="1"/>
  <c r="X1186" i="1"/>
  <c r="V1186" i="1"/>
  <c r="V1185" i="5" s="1"/>
  <c r="H1128" i="2"/>
  <c r="H1179" i="4"/>
  <c r="M1180" i="1"/>
  <c r="M1179" i="5" s="1"/>
  <c r="X1180" i="1"/>
  <c r="H1161" i="4"/>
  <c r="X1161" i="4" s="1"/>
  <c r="Z1161" i="4" s="1"/>
  <c r="X1162" i="1"/>
  <c r="Z1162" i="1" s="1"/>
  <c r="N1147" i="4"/>
  <c r="N1166" i="4" s="1"/>
  <c r="N1097" i="2"/>
  <c r="N1115" i="2" s="1"/>
  <c r="P1148" i="1"/>
  <c r="P1147" i="5" s="1"/>
  <c r="N1167" i="1"/>
  <c r="F1126" i="4"/>
  <c r="H1127" i="1"/>
  <c r="H1126" i="5" s="1"/>
  <c r="X1126" i="5" s="1"/>
  <c r="V1070" i="2"/>
  <c r="V1119" i="4"/>
  <c r="W1120" i="1"/>
  <c r="W1119" i="5" s="1"/>
  <c r="U1045" i="2"/>
  <c r="U1093" i="4"/>
  <c r="V1043" i="2"/>
  <c r="V1091" i="4"/>
  <c r="W1092" i="1"/>
  <c r="W1091" i="5" s="1"/>
  <c r="V1024" i="2"/>
  <c r="V1071" i="4"/>
  <c r="W1072" i="1"/>
  <c r="W1071" i="5" s="1"/>
  <c r="U1021" i="2"/>
  <c r="U1068" i="4"/>
  <c r="U984" i="2"/>
  <c r="U1029" i="4"/>
  <c r="P972" i="2"/>
  <c r="P1017" i="4"/>
  <c r="V1018" i="1"/>
  <c r="V1017" i="5" s="1"/>
  <c r="P1034" i="1"/>
  <c r="X1018" i="1"/>
  <c r="H958" i="2"/>
  <c r="H1001" i="4"/>
  <c r="M1002" i="1"/>
  <c r="M1001" i="5" s="1"/>
  <c r="X1002" i="1"/>
  <c r="H954" i="2"/>
  <c r="H997" i="4"/>
  <c r="X998" i="1"/>
  <c r="M998" i="1"/>
  <c r="M997" i="5" s="1"/>
  <c r="V998" i="1"/>
  <c r="V997" i="5" s="1"/>
  <c r="V927" i="2"/>
  <c r="AA916" i="2"/>
  <c r="AA959" i="4"/>
  <c r="M888" i="2"/>
  <c r="M931" i="4"/>
  <c r="Q877" i="2"/>
  <c r="Q920" i="4"/>
  <c r="X850" i="2"/>
  <c r="Z889" i="1"/>
  <c r="Z850" i="2" s="1"/>
  <c r="AA837" i="2"/>
  <c r="AA876" i="4"/>
  <c r="AB876" i="1"/>
  <c r="AB876" i="5" s="1"/>
  <c r="Q814" i="2"/>
  <c r="Q849" i="4"/>
  <c r="AB832" i="1"/>
  <c r="AB832" i="5" s="1"/>
  <c r="J798" i="2"/>
  <c r="J832" i="4"/>
  <c r="H787" i="2"/>
  <c r="H821" i="4"/>
  <c r="J821" i="1"/>
  <c r="J821" i="5" s="1"/>
  <c r="M821" i="1"/>
  <c r="M821" i="5" s="1"/>
  <c r="M783" i="2"/>
  <c r="M817" i="4"/>
  <c r="U779" i="2"/>
  <c r="U813" i="4"/>
  <c r="X775" i="2"/>
  <c r="Z809" i="1"/>
  <c r="Z775" i="2" s="1"/>
  <c r="X773" i="2"/>
  <c r="F737" i="2"/>
  <c r="F768" i="4"/>
  <c r="H768" i="1"/>
  <c r="H768" i="5" s="1"/>
  <c r="X768" i="5" s="1"/>
  <c r="Z768" i="5" s="1"/>
  <c r="F781" i="1"/>
  <c r="V716" i="2"/>
  <c r="J700" i="2"/>
  <c r="J730" i="4"/>
  <c r="J695" i="2"/>
  <c r="J725" i="4"/>
  <c r="M693" i="2"/>
  <c r="M723" i="4"/>
  <c r="AA722" i="1"/>
  <c r="P687" i="2"/>
  <c r="P717" i="4"/>
  <c r="V717" i="1"/>
  <c r="V717" i="5" s="1"/>
  <c r="U717" i="1"/>
  <c r="U717" i="5" s="1"/>
  <c r="P743" i="1"/>
  <c r="Q717" i="1"/>
  <c r="Q717" i="5" s="1"/>
  <c r="Q678" i="2"/>
  <c r="Q708" i="4"/>
  <c r="H675" i="2"/>
  <c r="H705" i="4"/>
  <c r="M705" i="1"/>
  <c r="M705" i="5" s="1"/>
  <c r="J705" i="1"/>
  <c r="J705" i="5" s="1"/>
  <c r="X705" i="1"/>
  <c r="V673" i="2"/>
  <c r="V703" i="4"/>
  <c r="W703" i="1"/>
  <c r="W703" i="5" s="1"/>
  <c r="X667" i="2"/>
  <c r="Z697" i="1"/>
  <c r="Z667" i="2" s="1"/>
  <c r="X652" i="2"/>
  <c r="Z680" i="1"/>
  <c r="Z652" i="2" s="1"/>
  <c r="X640" i="2"/>
  <c r="Z668" i="1"/>
  <c r="Z640" i="2" s="1"/>
  <c r="V622" i="2"/>
  <c r="V650" i="4"/>
  <c r="W650" i="1"/>
  <c r="W650" i="5" s="1"/>
  <c r="V576" i="2"/>
  <c r="V600" i="4"/>
  <c r="W599" i="1"/>
  <c r="W600" i="5" s="1"/>
  <c r="H552" i="2"/>
  <c r="H573" i="4"/>
  <c r="X572" i="1"/>
  <c r="M572" i="1"/>
  <c r="M573" i="5" s="1"/>
  <c r="V572" i="1"/>
  <c r="V573" i="5" s="1"/>
  <c r="U475" i="2"/>
  <c r="U495" i="4"/>
  <c r="P464" i="2"/>
  <c r="P484" i="4"/>
  <c r="V485" i="1"/>
  <c r="V484" i="5" s="1"/>
  <c r="U485" i="1"/>
  <c r="U484" i="5" s="1"/>
  <c r="X485" i="1"/>
  <c r="P310" i="2"/>
  <c r="P323" i="4"/>
  <c r="U324" i="1"/>
  <c r="U323" i="5" s="1"/>
  <c r="F307" i="2"/>
  <c r="F320" i="4"/>
  <c r="H321" i="1"/>
  <c r="H320" i="5" s="1"/>
  <c r="X320" i="5" s="1"/>
  <c r="Z320" i="5" s="1"/>
  <c r="AA2859" i="1"/>
  <c r="X2853" i="1"/>
  <c r="Z2853" i="1" s="1"/>
  <c r="M2853" i="1"/>
  <c r="AA2849" i="1"/>
  <c r="X2811" i="1"/>
  <c r="Z2811" i="1" s="1"/>
  <c r="U2811" i="1"/>
  <c r="AB2783" i="1"/>
  <c r="P2744" i="4"/>
  <c r="X2744" i="4" s="1"/>
  <c r="X2752" i="1"/>
  <c r="Z2752" i="1" s="1"/>
  <c r="U2752" i="1"/>
  <c r="H2741" i="4"/>
  <c r="X2741" i="4" s="1"/>
  <c r="X2749" i="1"/>
  <c r="Z2749" i="1" s="1"/>
  <c r="P2740" i="4"/>
  <c r="E2723" i="4"/>
  <c r="P2722" i="4"/>
  <c r="E2715" i="4"/>
  <c r="W2723" i="1"/>
  <c r="E2736" i="1"/>
  <c r="P2714" i="4"/>
  <c r="X2714" i="4" s="1"/>
  <c r="Z2714" i="4" s="1"/>
  <c r="V2722" i="1"/>
  <c r="V2714" i="5" s="1"/>
  <c r="H2713" i="4"/>
  <c r="X2713" i="4" s="1"/>
  <c r="Z2713" i="4" s="1"/>
  <c r="X2721" i="1"/>
  <c r="Z2721" i="1" s="1"/>
  <c r="P2712" i="4"/>
  <c r="X2712" i="4" s="1"/>
  <c r="Z2712" i="4" s="1"/>
  <c r="V2720" i="1"/>
  <c r="V2712" i="5" s="1"/>
  <c r="H2711" i="4"/>
  <c r="X2711" i="4" s="1"/>
  <c r="Z2711" i="4" s="1"/>
  <c r="X2719" i="1"/>
  <c r="Z2719" i="1" s="1"/>
  <c r="P2710" i="4"/>
  <c r="X2710" i="4" s="1"/>
  <c r="Z2710" i="4" s="1"/>
  <c r="V2718" i="1"/>
  <c r="V2710" i="5" s="1"/>
  <c r="H2709" i="4"/>
  <c r="X2709" i="4" s="1"/>
  <c r="Z2709" i="4" s="1"/>
  <c r="X2717" i="1"/>
  <c r="Z2717" i="1" s="1"/>
  <c r="P2708" i="4"/>
  <c r="X2708" i="4" s="1"/>
  <c r="Z2708" i="4" s="1"/>
  <c r="V2716" i="1"/>
  <c r="V2708" i="5" s="1"/>
  <c r="H2707" i="4"/>
  <c r="X2707" i="4" s="1"/>
  <c r="Z2707" i="4" s="1"/>
  <c r="X2715" i="1"/>
  <c r="E2697" i="4"/>
  <c r="P2696" i="4"/>
  <c r="X2696" i="4" s="1"/>
  <c r="V2704" i="1"/>
  <c r="V2696" i="5" s="1"/>
  <c r="U2704" i="1"/>
  <c r="H2695" i="4"/>
  <c r="X2695" i="4" s="1"/>
  <c r="X2703" i="1"/>
  <c r="Z2703" i="1" s="1"/>
  <c r="M2703" i="1"/>
  <c r="M2695" i="5" s="1"/>
  <c r="U2686" i="4"/>
  <c r="F2680" i="4"/>
  <c r="H2688" i="1"/>
  <c r="H2680" i="5" s="1"/>
  <c r="H2678" i="4"/>
  <c r="M2686" i="1"/>
  <c r="M2678" i="5" s="1"/>
  <c r="X2686" i="1"/>
  <c r="X2678" i="5" s="1"/>
  <c r="P2674" i="4"/>
  <c r="V2682" i="1"/>
  <c r="X2673" i="4"/>
  <c r="Z2681" i="1"/>
  <c r="P2672" i="4"/>
  <c r="M2654" i="4"/>
  <c r="F2649" i="4"/>
  <c r="F2658" i="4" s="1"/>
  <c r="F2666" i="1"/>
  <c r="F2668" i="1" s="1"/>
  <c r="F2924" i="1" s="1"/>
  <c r="H2657" i="1"/>
  <c r="H2649" i="5" s="1"/>
  <c r="X2649" i="5" s="1"/>
  <c r="M2639" i="4"/>
  <c r="M2632" i="4"/>
  <c r="AA2640" i="1"/>
  <c r="AA2632" i="5" s="1"/>
  <c r="P2631" i="4"/>
  <c r="X2631" i="4" s="1"/>
  <c r="X2639" i="1"/>
  <c r="Z2639" i="1" s="1"/>
  <c r="U2639" i="1"/>
  <c r="U2631" i="5" s="1"/>
  <c r="H2629" i="4"/>
  <c r="M2637" i="1"/>
  <c r="M2629" i="5" s="1"/>
  <c r="K2610" i="4"/>
  <c r="K2612" i="4" s="1"/>
  <c r="K2620" i="1"/>
  <c r="K2668" i="1" s="1"/>
  <c r="K2924" i="1" s="1"/>
  <c r="E2605" i="4"/>
  <c r="P2600" i="4"/>
  <c r="X2608" i="1"/>
  <c r="X2600" i="5" s="1"/>
  <c r="U2608" i="1"/>
  <c r="U2600" i="5" s="1"/>
  <c r="F2598" i="4"/>
  <c r="H2606" i="1"/>
  <c r="H2598" i="5" s="1"/>
  <c r="H2594" i="4"/>
  <c r="X2602" i="1"/>
  <c r="X2594" i="5" s="1"/>
  <c r="P2593" i="4"/>
  <c r="V2601" i="1"/>
  <c r="V2593" i="5" s="1"/>
  <c r="H2592" i="4"/>
  <c r="X2600" i="1"/>
  <c r="X2592" i="5" s="1"/>
  <c r="P2591" i="4"/>
  <c r="V2599" i="1"/>
  <c r="V2591" i="5" s="1"/>
  <c r="H2590" i="4"/>
  <c r="X2598" i="1"/>
  <c r="M2581" i="4"/>
  <c r="AA2589" i="1"/>
  <c r="AA2581" i="5" s="1"/>
  <c r="AA2587" i="1"/>
  <c r="AA2579" i="5" s="1"/>
  <c r="M2579" i="4"/>
  <c r="M2577" i="4"/>
  <c r="M2575" i="4"/>
  <c r="M2573" i="4"/>
  <c r="AA2581" i="1"/>
  <c r="AA2573" i="5" s="1"/>
  <c r="H2563" i="4"/>
  <c r="X2571" i="1"/>
  <c r="Z2571" i="1" s="1"/>
  <c r="M2571" i="1"/>
  <c r="M2563" i="5" s="1"/>
  <c r="H2552" i="4"/>
  <c r="X2552" i="4" s="1"/>
  <c r="Z2552" i="4" s="1"/>
  <c r="X2560" i="1"/>
  <c r="Z2560" i="1" s="1"/>
  <c r="P2551" i="4"/>
  <c r="X2551" i="4" s="1"/>
  <c r="Z2551" i="4" s="1"/>
  <c r="V2559" i="1"/>
  <c r="V2551" i="5" s="1"/>
  <c r="H2550" i="4"/>
  <c r="X2550" i="4" s="1"/>
  <c r="Z2550" i="4" s="1"/>
  <c r="X2558" i="1"/>
  <c r="Z2558" i="1" s="1"/>
  <c r="P2549" i="4"/>
  <c r="X2549" i="4" s="1"/>
  <c r="Z2549" i="4" s="1"/>
  <c r="V2557" i="1"/>
  <c r="V2549" i="5" s="1"/>
  <c r="X2556" i="1"/>
  <c r="Z2556" i="1" s="1"/>
  <c r="M2545" i="4"/>
  <c r="AA2553" i="1"/>
  <c r="AA2545" i="5" s="1"/>
  <c r="M2543" i="4"/>
  <c r="M2533" i="4"/>
  <c r="AA2541" i="1"/>
  <c r="AA2533" i="5" s="1"/>
  <c r="M2531" i="4"/>
  <c r="AA2539" i="1"/>
  <c r="AA2531" i="5" s="1"/>
  <c r="M2529" i="4"/>
  <c r="P2528" i="4"/>
  <c r="U2536" i="1"/>
  <c r="H2513" i="4"/>
  <c r="X2521" i="1"/>
  <c r="Z2521" i="1" s="1"/>
  <c r="M2521" i="1"/>
  <c r="M2513" i="5" s="1"/>
  <c r="U2473" i="4"/>
  <c r="P2444" i="4"/>
  <c r="U2450" i="1"/>
  <c r="N2423" i="4"/>
  <c r="N2428" i="4" s="1"/>
  <c r="N2434" i="1"/>
  <c r="N2454" i="1" s="1"/>
  <c r="N2920" i="1" s="1"/>
  <c r="P2429" i="1"/>
  <c r="P2423" i="5" s="1"/>
  <c r="X2423" i="5" s="1"/>
  <c r="Z2423" i="5" s="1"/>
  <c r="P2422" i="4"/>
  <c r="X2422" i="4" s="1"/>
  <c r="U2428" i="1"/>
  <c r="M2421" i="4"/>
  <c r="AA2427" i="1"/>
  <c r="AA2421" i="5" s="1"/>
  <c r="M2419" i="4"/>
  <c r="AA2425" i="1"/>
  <c r="AA2419" i="5" s="1"/>
  <c r="M2417" i="4"/>
  <c r="AA2423" i="1"/>
  <c r="AA2417" i="5" s="1"/>
  <c r="M2415" i="4"/>
  <c r="AA2421" i="1"/>
  <c r="AA2415" i="5" s="1"/>
  <c r="H2407" i="4"/>
  <c r="M2413" i="1"/>
  <c r="M2407" i="5" s="1"/>
  <c r="X2413" i="1"/>
  <c r="Z2413" i="1" s="1"/>
  <c r="J2413" i="1"/>
  <c r="E2406" i="4"/>
  <c r="Q2412" i="1"/>
  <c r="H2404" i="4"/>
  <c r="X2404" i="4" s="1"/>
  <c r="Z2404" i="4" s="1"/>
  <c r="X2410" i="1"/>
  <c r="Z2410" i="1" s="1"/>
  <c r="H2403" i="4"/>
  <c r="M2409" i="1"/>
  <c r="M2403" i="5" s="1"/>
  <c r="X2409" i="1"/>
  <c r="Z2409" i="1" s="1"/>
  <c r="P2392" i="4"/>
  <c r="U2398" i="1"/>
  <c r="H2391" i="4"/>
  <c r="M2397" i="1"/>
  <c r="M2391" i="5" s="1"/>
  <c r="X2397" i="1"/>
  <c r="Z2397" i="1" s="1"/>
  <c r="J2397" i="1"/>
  <c r="E2390" i="4"/>
  <c r="Q2396" i="1"/>
  <c r="Z2396" i="1"/>
  <c r="F2385" i="4"/>
  <c r="H2391" i="1"/>
  <c r="H2385" i="5" s="1"/>
  <c r="X2385" i="5" s="1"/>
  <c r="Z2385" i="5" s="1"/>
  <c r="F2416" i="1"/>
  <c r="H2380" i="4"/>
  <c r="M2386" i="1"/>
  <c r="M2380" i="5" s="1"/>
  <c r="X2386" i="1"/>
  <c r="Z2386" i="1" s="1"/>
  <c r="J2386" i="1"/>
  <c r="H2378" i="4"/>
  <c r="M2384" i="1"/>
  <c r="M2378" i="5" s="1"/>
  <c r="X2384" i="1"/>
  <c r="Z2384" i="1" s="1"/>
  <c r="J2384" i="1"/>
  <c r="H2376" i="4"/>
  <c r="M2382" i="1"/>
  <c r="M2376" i="5" s="1"/>
  <c r="X2382" i="1"/>
  <c r="Z2382" i="1" s="1"/>
  <c r="J2382" i="1"/>
  <c r="P2373" i="4"/>
  <c r="U2379" i="1"/>
  <c r="E2370" i="4"/>
  <c r="Q2376" i="1"/>
  <c r="P2364" i="4"/>
  <c r="X2364" i="4" s="1"/>
  <c r="U2370" i="1"/>
  <c r="H2363" i="4"/>
  <c r="X2363" i="4" s="1"/>
  <c r="Z2363" i="4" s="1"/>
  <c r="M2369" i="1"/>
  <c r="M2363" i="5" s="1"/>
  <c r="F2360" i="4"/>
  <c r="F2366" i="4" s="1"/>
  <c r="H2366" i="1"/>
  <c r="H2360" i="5" s="1"/>
  <c r="X2360" i="5" s="1"/>
  <c r="Z2360" i="5" s="1"/>
  <c r="H2356" i="4"/>
  <c r="X2356" i="4" s="1"/>
  <c r="Z2356" i="4" s="1"/>
  <c r="M2362" i="1"/>
  <c r="M2356" i="5" s="1"/>
  <c r="X2362" i="1"/>
  <c r="Z2362" i="1" s="1"/>
  <c r="M2355" i="4"/>
  <c r="H2354" i="4"/>
  <c r="X2354" i="4" s="1"/>
  <c r="Z2354" i="4" s="1"/>
  <c r="M2360" i="1"/>
  <c r="M2354" i="5" s="1"/>
  <c r="X2360" i="1"/>
  <c r="H2351" i="4"/>
  <c r="M2357" i="1"/>
  <c r="M2351" i="5" s="1"/>
  <c r="X2357" i="1"/>
  <c r="Z2357" i="1" s="1"/>
  <c r="J2357" i="1"/>
  <c r="M2355" i="1"/>
  <c r="M2349" i="5" s="1"/>
  <c r="X2355" i="1"/>
  <c r="Z2355" i="1" s="1"/>
  <c r="J2355" i="1"/>
  <c r="E2348" i="4"/>
  <c r="Q2354" i="1"/>
  <c r="H2346" i="4"/>
  <c r="M2352" i="1"/>
  <c r="M2346" i="5" s="1"/>
  <c r="X2352" i="1"/>
  <c r="Z2352" i="1" s="1"/>
  <c r="J2352" i="1"/>
  <c r="E2345" i="4"/>
  <c r="Q2351" i="1"/>
  <c r="E2344" i="4"/>
  <c r="Q2350" i="1"/>
  <c r="Q2344" i="5" s="1"/>
  <c r="Z2350" i="1"/>
  <c r="H2339" i="4"/>
  <c r="M2345" i="1"/>
  <c r="M2339" i="5" s="1"/>
  <c r="X2345" i="1"/>
  <c r="Z2345" i="1" s="1"/>
  <c r="J2345" i="1"/>
  <c r="P2336" i="4"/>
  <c r="U2342" i="1"/>
  <c r="AA2338" i="1"/>
  <c r="AA2332" i="5" s="1"/>
  <c r="H2330" i="4"/>
  <c r="M2336" i="1"/>
  <c r="M2330" i="5" s="1"/>
  <c r="X2336" i="1"/>
  <c r="Z2336" i="1" s="1"/>
  <c r="J2336" i="1"/>
  <c r="P2329" i="4"/>
  <c r="U2335" i="1"/>
  <c r="H2321" i="4"/>
  <c r="M2327" i="1"/>
  <c r="M2321" i="5" s="1"/>
  <c r="X2327" i="1"/>
  <c r="J2327" i="1"/>
  <c r="J2321" i="5" s="1"/>
  <c r="P2310" i="4"/>
  <c r="U2316" i="1"/>
  <c r="P2308" i="4"/>
  <c r="U2314" i="1"/>
  <c r="P2304" i="4"/>
  <c r="U2310" i="1"/>
  <c r="H2303" i="4"/>
  <c r="M2309" i="1"/>
  <c r="M2303" i="5" s="1"/>
  <c r="X2309" i="1"/>
  <c r="X2303" i="5" s="1"/>
  <c r="J2309" i="1"/>
  <c r="H2301" i="4"/>
  <c r="M2307" i="1"/>
  <c r="M2301" i="5" s="1"/>
  <c r="X2307" i="1"/>
  <c r="X2301" i="5" s="1"/>
  <c r="J2307" i="1"/>
  <c r="P2300" i="4"/>
  <c r="U2306" i="1"/>
  <c r="U2300" i="5" s="1"/>
  <c r="M2299" i="4"/>
  <c r="AA2305" i="1"/>
  <c r="AA2299" i="5" s="1"/>
  <c r="I2290" i="4"/>
  <c r="I2292" i="4" s="1"/>
  <c r="I2296" i="1"/>
  <c r="I2298" i="1" s="1"/>
  <c r="I2918" i="1" s="1"/>
  <c r="M2285" i="4"/>
  <c r="AA2289" i="1"/>
  <c r="AA2285" i="5" s="1"/>
  <c r="E2283" i="4"/>
  <c r="H2280" i="4"/>
  <c r="X2280" i="4" s="1"/>
  <c r="Z2280" i="4" s="1"/>
  <c r="M2284" i="1"/>
  <c r="M2280" i="5" s="1"/>
  <c r="P2275" i="4"/>
  <c r="X2275" i="4" s="1"/>
  <c r="U2279" i="1"/>
  <c r="M2273" i="4"/>
  <c r="P2269" i="4"/>
  <c r="U2273" i="1"/>
  <c r="P2266" i="4"/>
  <c r="U2270" i="1"/>
  <c r="J2269" i="1"/>
  <c r="J2265" i="5" s="1"/>
  <c r="H2259" i="4"/>
  <c r="M2263" i="1"/>
  <c r="M2259" i="5" s="1"/>
  <c r="X2263" i="1"/>
  <c r="Z2263" i="1" s="1"/>
  <c r="J2263" i="1"/>
  <c r="H2257" i="4"/>
  <c r="M2261" i="1"/>
  <c r="M2257" i="5" s="1"/>
  <c r="X2261" i="1"/>
  <c r="Z2261" i="1" s="1"/>
  <c r="J2261" i="1"/>
  <c r="P2254" i="4"/>
  <c r="U2258" i="1"/>
  <c r="P2251" i="4"/>
  <c r="U2255" i="1"/>
  <c r="E2246" i="4"/>
  <c r="Q2250" i="1"/>
  <c r="Q2246" i="5" s="1"/>
  <c r="E2266" i="1"/>
  <c r="H2241" i="4"/>
  <c r="M2245" i="1"/>
  <c r="M2241" i="5" s="1"/>
  <c r="X2245" i="1"/>
  <c r="Z2245" i="1" s="1"/>
  <c r="J2245" i="1"/>
  <c r="P2240" i="4"/>
  <c r="X2240" i="4" s="1"/>
  <c r="Z2240" i="4" s="1"/>
  <c r="U2244" i="1"/>
  <c r="Q2244" i="1"/>
  <c r="F2231" i="4"/>
  <c r="H2235" i="1"/>
  <c r="H2231" i="5" s="1"/>
  <c r="X2231" i="5" s="1"/>
  <c r="Z2231" i="5" s="1"/>
  <c r="P2230" i="4"/>
  <c r="U2234" i="1"/>
  <c r="U2230" i="5" s="1"/>
  <c r="Q2234" i="1"/>
  <c r="P2228" i="4"/>
  <c r="U2232" i="1"/>
  <c r="M2227" i="4"/>
  <c r="AA2231" i="1"/>
  <c r="AA2227" i="5" s="1"/>
  <c r="AA2220" i="1"/>
  <c r="AA2216" i="5" s="1"/>
  <c r="M2216" i="4"/>
  <c r="M2214" i="4"/>
  <c r="AA2218" i="1"/>
  <c r="AA2214" i="5" s="1"/>
  <c r="E2213" i="4"/>
  <c r="M2212" i="4"/>
  <c r="H2209" i="4"/>
  <c r="X2209" i="4" s="1"/>
  <c r="Z2209" i="4" s="1"/>
  <c r="M2213" i="1"/>
  <c r="M2209" i="5" s="1"/>
  <c r="X2213" i="1"/>
  <c r="Z2213" i="1" s="1"/>
  <c r="H2206" i="4"/>
  <c r="M2210" i="1"/>
  <c r="M2206" i="5" s="1"/>
  <c r="X2210" i="1"/>
  <c r="Z2210" i="1" s="1"/>
  <c r="J2210" i="1"/>
  <c r="P2201" i="4"/>
  <c r="U2205" i="1"/>
  <c r="E2200" i="4"/>
  <c r="Q2204" i="1"/>
  <c r="M2199" i="4"/>
  <c r="H2192" i="4"/>
  <c r="X2192" i="4" s="1"/>
  <c r="Z2192" i="4" s="1"/>
  <c r="M2196" i="1"/>
  <c r="M2192" i="5" s="1"/>
  <c r="X2196" i="1"/>
  <c r="Z2196" i="1" s="1"/>
  <c r="M2191" i="4"/>
  <c r="P2189" i="4"/>
  <c r="X2189" i="4" s="1"/>
  <c r="Z2189" i="4" s="1"/>
  <c r="X2193" i="1"/>
  <c r="Z2193" i="1" s="1"/>
  <c r="H2188" i="4"/>
  <c r="X2188" i="4" s="1"/>
  <c r="Z2188" i="4" s="1"/>
  <c r="M2192" i="1"/>
  <c r="M2188" i="5" s="1"/>
  <c r="X2192" i="1"/>
  <c r="Z2192" i="1" s="1"/>
  <c r="E2186" i="4"/>
  <c r="Q2190" i="1"/>
  <c r="H2184" i="4"/>
  <c r="M2188" i="1"/>
  <c r="M2184" i="5" s="1"/>
  <c r="X2188" i="1"/>
  <c r="Z2188" i="1" s="1"/>
  <c r="J2188" i="1"/>
  <c r="H2182" i="4"/>
  <c r="M2186" i="1"/>
  <c r="M2182" i="5" s="1"/>
  <c r="X2186" i="1"/>
  <c r="Z2186" i="1" s="1"/>
  <c r="J2186" i="1"/>
  <c r="H2180" i="4"/>
  <c r="M2184" i="1"/>
  <c r="M2180" i="5" s="1"/>
  <c r="X2184" i="1"/>
  <c r="Z2184" i="1" s="1"/>
  <c r="J2184" i="1"/>
  <c r="E2171" i="4"/>
  <c r="Q2175" i="1"/>
  <c r="Q2174" i="1"/>
  <c r="E2170" i="4"/>
  <c r="H2167" i="4"/>
  <c r="M2171" i="1"/>
  <c r="M2167" i="5" s="1"/>
  <c r="X2171" i="1"/>
  <c r="Z2171" i="1" s="1"/>
  <c r="J2171" i="1"/>
  <c r="H2165" i="4"/>
  <c r="M2169" i="1"/>
  <c r="M2165" i="5" s="1"/>
  <c r="X2169" i="1"/>
  <c r="Z2169" i="1" s="1"/>
  <c r="J2169" i="1"/>
  <c r="M2161" i="4"/>
  <c r="H2159" i="4"/>
  <c r="M2163" i="1"/>
  <c r="M2159" i="5" s="1"/>
  <c r="J2163" i="1"/>
  <c r="X2163" i="1"/>
  <c r="Z2163" i="1" s="1"/>
  <c r="E2158" i="4"/>
  <c r="M2157" i="4"/>
  <c r="AA2161" i="1"/>
  <c r="AA2157" i="5" s="1"/>
  <c r="H2156" i="4"/>
  <c r="X2156" i="4" s="1"/>
  <c r="Z2156" i="4" s="1"/>
  <c r="M2160" i="1"/>
  <c r="M2156" i="5" s="1"/>
  <c r="X2160" i="1"/>
  <c r="Z2160" i="1" s="1"/>
  <c r="P2152" i="4"/>
  <c r="U2156" i="1"/>
  <c r="H2151" i="4"/>
  <c r="M2155" i="1"/>
  <c r="M2151" i="5" s="1"/>
  <c r="X2155" i="1"/>
  <c r="Z2155" i="1" s="1"/>
  <c r="J2155" i="1"/>
  <c r="P2150" i="4"/>
  <c r="X2150" i="4" s="1"/>
  <c r="U2154" i="1"/>
  <c r="M2149" i="4"/>
  <c r="H2147" i="4"/>
  <c r="M2151" i="1"/>
  <c r="M2147" i="5" s="1"/>
  <c r="X2151" i="1"/>
  <c r="Z2151" i="1" s="1"/>
  <c r="J2151" i="1"/>
  <c r="U2141" i="4"/>
  <c r="H2132" i="4"/>
  <c r="X2132" i="4" s="1"/>
  <c r="M2136" i="1"/>
  <c r="M2132" i="5" s="1"/>
  <c r="X2136" i="1"/>
  <c r="Z2136" i="1" s="1"/>
  <c r="P2125" i="4"/>
  <c r="U2129" i="1"/>
  <c r="P2123" i="4"/>
  <c r="U2127" i="1"/>
  <c r="P2118" i="4"/>
  <c r="U2122" i="1"/>
  <c r="E2115" i="4"/>
  <c r="Q2119" i="1"/>
  <c r="Q2115" i="5" s="1"/>
  <c r="M2114" i="1"/>
  <c r="M2110" i="5" s="1"/>
  <c r="M2108" i="4"/>
  <c r="AA2112" i="1"/>
  <c r="AA2108" i="5" s="1"/>
  <c r="H2106" i="4"/>
  <c r="M2110" i="1"/>
  <c r="M2106" i="5" s="1"/>
  <c r="X2110" i="1"/>
  <c r="X2106" i="5" s="1"/>
  <c r="J2110" i="1"/>
  <c r="P2105" i="4"/>
  <c r="U2109" i="1"/>
  <c r="U2105" i="5" s="1"/>
  <c r="Q2109" i="1"/>
  <c r="E2104" i="4"/>
  <c r="M2103" i="4"/>
  <c r="H2097" i="4"/>
  <c r="M2101" i="1"/>
  <c r="M2097" i="5" s="1"/>
  <c r="X2101" i="1"/>
  <c r="X2097" i="5" s="1"/>
  <c r="J2101" i="1"/>
  <c r="H2095" i="4"/>
  <c r="M2099" i="1"/>
  <c r="M2095" i="5" s="1"/>
  <c r="X2099" i="1"/>
  <c r="X2095" i="5" s="1"/>
  <c r="J2099" i="1"/>
  <c r="P2092" i="4"/>
  <c r="U2096" i="1"/>
  <c r="H2090" i="4"/>
  <c r="M2094" i="1"/>
  <c r="M2090" i="5" s="1"/>
  <c r="X2094" i="1"/>
  <c r="X2090" i="5" s="1"/>
  <c r="M2089" i="4"/>
  <c r="AA2093" i="1"/>
  <c r="AA2089" i="5" s="1"/>
  <c r="H2088" i="4"/>
  <c r="M2092" i="1"/>
  <c r="M2088" i="5" s="1"/>
  <c r="X2092" i="1"/>
  <c r="X2088" i="5" s="1"/>
  <c r="P2076" i="4"/>
  <c r="X2076" i="4" s="1"/>
  <c r="Z2076" i="4" s="1"/>
  <c r="V2080" i="1"/>
  <c r="H2075" i="4"/>
  <c r="X2079" i="1"/>
  <c r="Z2079" i="1" s="1"/>
  <c r="M2068" i="4"/>
  <c r="H2053" i="4"/>
  <c r="M2057" i="1"/>
  <c r="M2053" i="5" s="1"/>
  <c r="X2057" i="1"/>
  <c r="Z2057" i="1" s="1"/>
  <c r="H2052" i="4"/>
  <c r="X2052" i="4" s="1"/>
  <c r="Z2052" i="4" s="1"/>
  <c r="X2056" i="1"/>
  <c r="Z2056" i="1" s="1"/>
  <c r="M2056" i="1"/>
  <c r="M2052" i="5" s="1"/>
  <c r="H2051" i="4"/>
  <c r="X2051" i="4" s="1"/>
  <c r="Z2051" i="4" s="1"/>
  <c r="X2055" i="1"/>
  <c r="Z2055" i="1" s="1"/>
  <c r="M2055" i="1"/>
  <c r="M2051" i="5" s="1"/>
  <c r="P2050" i="4"/>
  <c r="X2050" i="4" s="1"/>
  <c r="Z2050" i="4" s="1"/>
  <c r="V2054" i="1"/>
  <c r="V2050" i="5" s="1"/>
  <c r="U2054" i="1"/>
  <c r="H2049" i="4"/>
  <c r="X2049" i="4" s="1"/>
  <c r="Z2049" i="4" s="1"/>
  <c r="X2053" i="1"/>
  <c r="Z2053" i="1" s="1"/>
  <c r="M2053" i="1"/>
  <c r="M2049" i="5" s="1"/>
  <c r="P2048" i="4"/>
  <c r="X2048" i="4" s="1"/>
  <c r="Z2048" i="4" s="1"/>
  <c r="V2052" i="1"/>
  <c r="V2048" i="5" s="1"/>
  <c r="U2052" i="1"/>
  <c r="H2047" i="4"/>
  <c r="X2051" i="1"/>
  <c r="Z2051" i="1" s="1"/>
  <c r="M2051" i="1"/>
  <c r="M2047" i="5" s="1"/>
  <c r="P2046" i="4"/>
  <c r="X2046" i="4" s="1"/>
  <c r="Z2046" i="4" s="1"/>
  <c r="V2050" i="1"/>
  <c r="V2046" i="5" s="1"/>
  <c r="U2050" i="1"/>
  <c r="H2045" i="4"/>
  <c r="X2045" i="4" s="1"/>
  <c r="Z2045" i="4" s="1"/>
  <c r="X2049" i="1"/>
  <c r="Z2049" i="1" s="1"/>
  <c r="M2049" i="1"/>
  <c r="M2045" i="5" s="1"/>
  <c r="P2044" i="4"/>
  <c r="V2048" i="1"/>
  <c r="V2044" i="5" s="1"/>
  <c r="U2048" i="1"/>
  <c r="H2043" i="4"/>
  <c r="X2043" i="4" s="1"/>
  <c r="Z2043" i="4" s="1"/>
  <c r="X2047" i="1"/>
  <c r="Z2047" i="1" s="1"/>
  <c r="M2047" i="1"/>
  <c r="M2043" i="5" s="1"/>
  <c r="P2042" i="4"/>
  <c r="X2042" i="4" s="1"/>
  <c r="Z2042" i="4" s="1"/>
  <c r="V2046" i="1"/>
  <c r="V2042" i="5" s="1"/>
  <c r="U2046" i="1"/>
  <c r="M2041" i="4"/>
  <c r="E2034" i="4"/>
  <c r="E2032" i="4"/>
  <c r="P2031" i="4"/>
  <c r="X2031" i="4" s="1"/>
  <c r="Z2031" i="4" s="1"/>
  <c r="V2035" i="1"/>
  <c r="V2031" i="5" s="1"/>
  <c r="U2035" i="1"/>
  <c r="H2030" i="4"/>
  <c r="X2030" i="4" s="1"/>
  <c r="Z2030" i="4" s="1"/>
  <c r="X2034" i="1"/>
  <c r="Z2034" i="1" s="1"/>
  <c r="M2034" i="1"/>
  <c r="M2030" i="5" s="1"/>
  <c r="P2029" i="4"/>
  <c r="V2033" i="1"/>
  <c r="V2029" i="5" s="1"/>
  <c r="U2033" i="1"/>
  <c r="H2028" i="4"/>
  <c r="X2028" i="4" s="1"/>
  <c r="Z2028" i="4" s="1"/>
  <c r="X2032" i="1"/>
  <c r="Z2032" i="1" s="1"/>
  <c r="M2032" i="1"/>
  <c r="M2028" i="5" s="1"/>
  <c r="P2027" i="4"/>
  <c r="U2031" i="1"/>
  <c r="P2008" i="4"/>
  <c r="X2008" i="4" s="1"/>
  <c r="X2012" i="1"/>
  <c r="Z2012" i="1" s="1"/>
  <c r="U2012" i="1"/>
  <c r="U2008" i="5" s="1"/>
  <c r="E2007" i="4"/>
  <c r="U2004" i="4"/>
  <c r="M2002" i="4"/>
  <c r="AA2006" i="1"/>
  <c r="AA2002" i="5" s="1"/>
  <c r="M1999" i="4"/>
  <c r="M1995" i="4"/>
  <c r="AA1999" i="1"/>
  <c r="AA1995" i="5" s="1"/>
  <c r="M1993" i="4"/>
  <c r="AA1997" i="1"/>
  <c r="AA1993" i="5" s="1"/>
  <c r="M1991" i="4"/>
  <c r="E1990" i="4"/>
  <c r="E2015" i="1"/>
  <c r="E1985" i="4"/>
  <c r="P1984" i="4"/>
  <c r="V1988" i="1"/>
  <c r="V1984" i="5" s="1"/>
  <c r="H1983" i="4"/>
  <c r="X1987" i="1"/>
  <c r="X1983" i="5" s="1"/>
  <c r="P1982" i="4"/>
  <c r="V1986" i="1"/>
  <c r="V1982" i="5" s="1"/>
  <c r="H1981" i="4"/>
  <c r="X1985" i="1"/>
  <c r="X1981" i="5" s="1"/>
  <c r="P1980" i="4"/>
  <c r="V1984" i="1"/>
  <c r="V1980" i="5" s="1"/>
  <c r="H1979" i="4"/>
  <c r="X1983" i="1"/>
  <c r="X1979" i="5" s="1"/>
  <c r="P1978" i="4"/>
  <c r="V1982" i="1"/>
  <c r="V1978" i="5" s="1"/>
  <c r="H1977" i="4"/>
  <c r="X1981" i="1"/>
  <c r="X1977" i="5" s="1"/>
  <c r="P1976" i="4"/>
  <c r="V1980" i="1"/>
  <c r="V1976" i="5" s="1"/>
  <c r="H1975" i="4"/>
  <c r="H1991" i="1"/>
  <c r="X1979" i="1"/>
  <c r="X1975" i="5" s="1"/>
  <c r="H1964" i="4"/>
  <c r="X1964" i="4" s="1"/>
  <c r="Z1964" i="4" s="1"/>
  <c r="M1968" i="1"/>
  <c r="M1964" i="5" s="1"/>
  <c r="X1968" i="1"/>
  <c r="Z1968" i="1" s="1"/>
  <c r="M1963" i="4"/>
  <c r="H1962" i="4"/>
  <c r="X1962" i="4" s="1"/>
  <c r="Z1962" i="4" s="1"/>
  <c r="M1966" i="1"/>
  <c r="M1962" i="5" s="1"/>
  <c r="X1966" i="1"/>
  <c r="Z1966" i="1" s="1"/>
  <c r="M1961" i="4"/>
  <c r="H1960" i="4"/>
  <c r="X1960" i="4" s="1"/>
  <c r="Z1960" i="4" s="1"/>
  <c r="M1964" i="1"/>
  <c r="M1960" i="5" s="1"/>
  <c r="X1964" i="1"/>
  <c r="Z1964" i="1" s="1"/>
  <c r="M1959" i="4"/>
  <c r="H1958" i="4"/>
  <c r="X1958" i="4" s="1"/>
  <c r="Z1958" i="4" s="1"/>
  <c r="M1962" i="1"/>
  <c r="M1958" i="5" s="1"/>
  <c r="X1962" i="1"/>
  <c r="Z1962" i="1" s="1"/>
  <c r="M1957" i="4"/>
  <c r="H1956" i="4"/>
  <c r="X1956" i="4" s="1"/>
  <c r="Z1956" i="4" s="1"/>
  <c r="M1960" i="1"/>
  <c r="M1956" i="5" s="1"/>
  <c r="X1960" i="1"/>
  <c r="Z1960" i="1" s="1"/>
  <c r="H1943" i="4"/>
  <c r="M1947" i="1"/>
  <c r="M1943" i="5" s="1"/>
  <c r="X1947" i="1"/>
  <c r="Z1947" i="1" s="1"/>
  <c r="J1947" i="1"/>
  <c r="P1935" i="4"/>
  <c r="U1939" i="1"/>
  <c r="E1932" i="4"/>
  <c r="Q1936" i="1"/>
  <c r="P1929" i="4"/>
  <c r="U1933" i="1"/>
  <c r="E1928" i="4"/>
  <c r="Q1932" i="1"/>
  <c r="H1925" i="4"/>
  <c r="M1929" i="1"/>
  <c r="M1925" i="5" s="1"/>
  <c r="X1929" i="1"/>
  <c r="J1929" i="1"/>
  <c r="J1925" i="5" s="1"/>
  <c r="E1917" i="4"/>
  <c r="Q1921" i="1"/>
  <c r="P1909" i="4"/>
  <c r="X1909" i="4" s="1"/>
  <c r="U1913" i="1"/>
  <c r="Z1906" i="1"/>
  <c r="J1902" i="4"/>
  <c r="H1797" i="2"/>
  <c r="H1896" i="4"/>
  <c r="M1796" i="2"/>
  <c r="M1895" i="4"/>
  <c r="H1794" i="2"/>
  <c r="H1893" i="4"/>
  <c r="M1897" i="1"/>
  <c r="M1893" i="5" s="1"/>
  <c r="X1897" i="1"/>
  <c r="J1897" i="1"/>
  <c r="J1893" i="5" s="1"/>
  <c r="M1891" i="4"/>
  <c r="M1792" i="2"/>
  <c r="AA1895" i="1"/>
  <c r="AA1891" i="5" s="1"/>
  <c r="Q1790" i="2"/>
  <c r="Q1889" i="4"/>
  <c r="P1886" i="4"/>
  <c r="X1886" i="4" s="1"/>
  <c r="Z1886" i="4" s="1"/>
  <c r="U1890" i="1"/>
  <c r="U1886" i="5" s="1"/>
  <c r="E1787" i="2"/>
  <c r="E1883" i="4"/>
  <c r="Q1887" i="1"/>
  <c r="Q1883" i="5" s="1"/>
  <c r="M1786" i="2"/>
  <c r="M1882" i="4"/>
  <c r="AA1886" i="1"/>
  <c r="AA1882" i="5" s="1"/>
  <c r="U1785" i="2"/>
  <c r="U1881" i="4"/>
  <c r="H1785" i="2"/>
  <c r="H1881" i="4"/>
  <c r="M1885" i="1"/>
  <c r="M1881" i="5" s="1"/>
  <c r="X1885" i="1"/>
  <c r="M1784" i="2"/>
  <c r="M1880" i="4"/>
  <c r="U1783" i="2"/>
  <c r="U1879" i="4"/>
  <c r="H1783" i="2"/>
  <c r="H1879" i="4"/>
  <c r="M1883" i="1"/>
  <c r="M1879" i="5" s="1"/>
  <c r="X1883" i="1"/>
  <c r="M1878" i="4"/>
  <c r="M1782" i="2"/>
  <c r="U1877" i="4"/>
  <c r="U1781" i="2"/>
  <c r="H1781" i="2"/>
  <c r="H1877" i="4"/>
  <c r="M1881" i="1"/>
  <c r="M1877" i="5" s="1"/>
  <c r="X1881" i="1"/>
  <c r="M1780" i="2"/>
  <c r="M1876" i="4"/>
  <c r="AA1880" i="1"/>
  <c r="AA1876" i="5" s="1"/>
  <c r="Q1778" i="2"/>
  <c r="Q1874" i="4"/>
  <c r="F1777" i="2"/>
  <c r="F1873" i="4"/>
  <c r="H1877" i="1"/>
  <c r="H1873" i="5" s="1"/>
  <c r="X1873" i="5" s="1"/>
  <c r="Z1873" i="5" s="1"/>
  <c r="F1903" i="1"/>
  <c r="P1776" i="2"/>
  <c r="P1872" i="4"/>
  <c r="U1876" i="1"/>
  <c r="U1872" i="5" s="1"/>
  <c r="Q1876" i="1"/>
  <c r="Q1872" i="5" s="1"/>
  <c r="H1774" i="2"/>
  <c r="H1870" i="4"/>
  <c r="J1874" i="1"/>
  <c r="J1870" i="5" s="1"/>
  <c r="P1868" i="4"/>
  <c r="P1772" i="2"/>
  <c r="U1872" i="1"/>
  <c r="U1868" i="5" s="1"/>
  <c r="P1767" i="2"/>
  <c r="P1863" i="4"/>
  <c r="U1867" i="1"/>
  <c r="U1863" i="5" s="1"/>
  <c r="P1862" i="4"/>
  <c r="X1862" i="4" s="1"/>
  <c r="Z1862" i="4" s="1"/>
  <c r="X1866" i="1"/>
  <c r="H1861" i="4"/>
  <c r="X1861" i="4" s="1"/>
  <c r="Z1861" i="4" s="1"/>
  <c r="M1865" i="1"/>
  <c r="M1861" i="5" s="1"/>
  <c r="U1765" i="2"/>
  <c r="U1859" i="4"/>
  <c r="J1765" i="2"/>
  <c r="J1859" i="4"/>
  <c r="Q1764" i="2"/>
  <c r="Q1858" i="4"/>
  <c r="P1763" i="2"/>
  <c r="P1857" i="4"/>
  <c r="U1861" i="1"/>
  <c r="U1857" i="5" s="1"/>
  <c r="H1762" i="2"/>
  <c r="H1856" i="4"/>
  <c r="M1860" i="1"/>
  <c r="M1856" i="5" s="1"/>
  <c r="X1860" i="1"/>
  <c r="J1860" i="1"/>
  <c r="J1856" i="5" s="1"/>
  <c r="P1760" i="2"/>
  <c r="P1854" i="4"/>
  <c r="U1858" i="1"/>
  <c r="U1854" i="5" s="1"/>
  <c r="E1759" i="2"/>
  <c r="E1853" i="4"/>
  <c r="Q1857" i="1"/>
  <c r="Q1853" i="5" s="1"/>
  <c r="M1758" i="2"/>
  <c r="M1852" i="4"/>
  <c r="K1757" i="2"/>
  <c r="K1769" i="2" s="1"/>
  <c r="K1851" i="4"/>
  <c r="K1865" i="4" s="1"/>
  <c r="H1755" i="2"/>
  <c r="H1849" i="4"/>
  <c r="M1853" i="1"/>
  <c r="M1849" i="5" s="1"/>
  <c r="X1853" i="1"/>
  <c r="J1853" i="1"/>
  <c r="J1849" i="5" s="1"/>
  <c r="E1754" i="2"/>
  <c r="E1848" i="4"/>
  <c r="E1869" i="1"/>
  <c r="M1753" i="2"/>
  <c r="M1847" i="4"/>
  <c r="AA1851" i="1"/>
  <c r="AA1847" i="5" s="1"/>
  <c r="J1752" i="2"/>
  <c r="J1846" i="4"/>
  <c r="X1745" i="2"/>
  <c r="Z1843" i="1"/>
  <c r="Z1745" i="2" s="1"/>
  <c r="M1744" i="2"/>
  <c r="M1836" i="4"/>
  <c r="Q1835" i="4"/>
  <c r="Q1743" i="2"/>
  <c r="H1740" i="2"/>
  <c r="H1832" i="4"/>
  <c r="M1836" i="1"/>
  <c r="M1832" i="5" s="1"/>
  <c r="X1836" i="1"/>
  <c r="J1836" i="1"/>
  <c r="J1832" i="5" s="1"/>
  <c r="P1831" i="4"/>
  <c r="P1739" i="2"/>
  <c r="U1835" i="1"/>
  <c r="U1831" i="5" s="1"/>
  <c r="Q1835" i="1"/>
  <c r="Q1831" i="5" s="1"/>
  <c r="Q1737" i="2"/>
  <c r="Q1829" i="4"/>
  <c r="F1736" i="2"/>
  <c r="F1828" i="4"/>
  <c r="F1847" i="1"/>
  <c r="H1832" i="1"/>
  <c r="H1828" i="5" s="1"/>
  <c r="X1828" i="5" s="1"/>
  <c r="Z1828" i="5" s="1"/>
  <c r="P1734" i="2"/>
  <c r="P1826" i="4"/>
  <c r="U1830" i="1"/>
  <c r="U1826" i="5" s="1"/>
  <c r="U1733" i="2"/>
  <c r="U1825" i="4"/>
  <c r="X1732" i="2"/>
  <c r="Z1828" i="1"/>
  <c r="Z1732" i="2" s="1"/>
  <c r="M1732" i="2"/>
  <c r="M1824" i="4"/>
  <c r="AA1828" i="1"/>
  <c r="AA1824" i="5" s="1"/>
  <c r="Q1726" i="2"/>
  <c r="Q1818" i="4"/>
  <c r="M1726" i="2"/>
  <c r="M1818" i="4"/>
  <c r="U1725" i="2"/>
  <c r="U1817" i="4"/>
  <c r="H1725" i="2"/>
  <c r="H1817" i="4"/>
  <c r="M1821" i="1"/>
  <c r="M1817" i="5" s="1"/>
  <c r="X1821" i="1"/>
  <c r="Q1723" i="2"/>
  <c r="Q1815" i="4"/>
  <c r="U1722" i="2"/>
  <c r="U1814" i="4"/>
  <c r="H1722" i="2"/>
  <c r="H1814" i="4"/>
  <c r="M1818" i="1"/>
  <c r="M1814" i="5" s="1"/>
  <c r="X1818" i="1"/>
  <c r="M1721" i="2"/>
  <c r="M1813" i="4"/>
  <c r="AA1817" i="1"/>
  <c r="AA1813" i="5" s="1"/>
  <c r="P1719" i="2"/>
  <c r="P1811" i="4"/>
  <c r="U1815" i="1"/>
  <c r="U1811" i="5" s="1"/>
  <c r="Q1815" i="1"/>
  <c r="Q1811" i="5" s="1"/>
  <c r="H1717" i="2"/>
  <c r="H1809" i="4"/>
  <c r="M1813" i="1"/>
  <c r="M1809" i="5" s="1"/>
  <c r="X1813" i="1"/>
  <c r="J1813" i="1"/>
  <c r="J1809" i="5" s="1"/>
  <c r="P1715" i="2"/>
  <c r="P1807" i="4"/>
  <c r="U1811" i="1"/>
  <c r="U1807" i="5" s="1"/>
  <c r="U1714" i="2"/>
  <c r="U1806" i="4"/>
  <c r="J1714" i="2"/>
  <c r="J1806" i="4"/>
  <c r="P1708" i="2"/>
  <c r="P1800" i="4"/>
  <c r="U1804" i="1"/>
  <c r="U1800" i="5" s="1"/>
  <c r="U1707" i="2"/>
  <c r="U1799" i="4"/>
  <c r="J1707" i="2"/>
  <c r="J1799" i="4"/>
  <c r="M1797" i="4"/>
  <c r="AA1801" i="1"/>
  <c r="AA1797" i="5" s="1"/>
  <c r="H1703" i="2"/>
  <c r="H1794" i="4"/>
  <c r="M1798" i="1"/>
  <c r="M1794" i="5" s="1"/>
  <c r="X1798" i="1"/>
  <c r="J1798" i="1"/>
  <c r="J1794" i="5" s="1"/>
  <c r="P1701" i="2"/>
  <c r="P1792" i="4"/>
  <c r="U1796" i="1"/>
  <c r="U1792" i="5" s="1"/>
  <c r="U1700" i="2"/>
  <c r="U1791" i="4"/>
  <c r="J1791" i="4"/>
  <c r="X1698" i="2"/>
  <c r="Z1793" i="1"/>
  <c r="Z1698" i="2" s="1"/>
  <c r="M1698" i="2"/>
  <c r="M1789" i="4"/>
  <c r="AA1793" i="1"/>
  <c r="AA1789" i="5" s="1"/>
  <c r="E1697" i="2"/>
  <c r="E1788" i="4"/>
  <c r="M1696" i="2"/>
  <c r="Q1689" i="2"/>
  <c r="Q1780" i="4"/>
  <c r="U1778" i="4"/>
  <c r="U1687" i="2"/>
  <c r="H1687" i="2"/>
  <c r="H1778" i="4"/>
  <c r="M1782" i="1"/>
  <c r="M1778" i="5" s="1"/>
  <c r="X1782" i="1"/>
  <c r="M1686" i="2"/>
  <c r="M1777" i="4"/>
  <c r="AA1781" i="1"/>
  <c r="AA1777" i="5" s="1"/>
  <c r="M1683" i="2"/>
  <c r="M1774" i="4"/>
  <c r="AA1778" i="1"/>
  <c r="AA1774" i="5" s="1"/>
  <c r="E1683" i="2"/>
  <c r="E1774" i="4"/>
  <c r="Q1778" i="1"/>
  <c r="Q1774" i="5" s="1"/>
  <c r="Z1778" i="1"/>
  <c r="Z1683" i="2" s="1"/>
  <c r="U1681" i="2"/>
  <c r="U1772" i="4"/>
  <c r="H1681" i="2"/>
  <c r="H1772" i="4"/>
  <c r="M1776" i="1"/>
  <c r="M1772" i="5" s="1"/>
  <c r="X1776" i="1"/>
  <c r="H1679" i="2"/>
  <c r="H1770" i="4"/>
  <c r="J1774" i="1"/>
  <c r="J1770" i="5" s="1"/>
  <c r="H1674" i="2"/>
  <c r="H1765" i="4"/>
  <c r="M1769" i="1"/>
  <c r="M1765" i="5" s="1"/>
  <c r="X1769" i="1"/>
  <c r="J1769" i="1"/>
  <c r="J1765" i="5" s="1"/>
  <c r="P1672" i="2"/>
  <c r="P1763" i="4"/>
  <c r="U1767" i="1"/>
  <c r="U1763" i="5" s="1"/>
  <c r="U1671" i="2"/>
  <c r="U1762" i="4"/>
  <c r="J1671" i="2"/>
  <c r="J1762" i="4"/>
  <c r="G1973" i="1"/>
  <c r="G2914" i="1" s="1"/>
  <c r="Q1665" i="2"/>
  <c r="Q1756" i="4"/>
  <c r="X1663" i="2"/>
  <c r="X1754" i="4"/>
  <c r="Z1758" i="1"/>
  <c r="Z1754" i="5" s="1"/>
  <c r="M1663" i="2"/>
  <c r="M1754" i="4"/>
  <c r="AA1758" i="1"/>
  <c r="AA1754" i="5" s="1"/>
  <c r="M1661" i="2"/>
  <c r="M1752" i="4"/>
  <c r="AA1756" i="1"/>
  <c r="AA1752" i="5" s="1"/>
  <c r="E1661" i="2"/>
  <c r="E1752" i="4"/>
  <c r="Q1756" i="1"/>
  <c r="Q1752" i="5" s="1"/>
  <c r="U1659" i="2"/>
  <c r="U1750" i="4"/>
  <c r="J1659" i="2"/>
  <c r="J1750" i="4"/>
  <c r="Q1658" i="2"/>
  <c r="Q1749" i="4"/>
  <c r="X1657" i="2"/>
  <c r="X1748" i="4"/>
  <c r="Z1752" i="1"/>
  <c r="Z1748" i="5" s="1"/>
  <c r="M1657" i="2"/>
  <c r="M1748" i="4"/>
  <c r="AA1752" i="1"/>
  <c r="AA1748" i="5" s="1"/>
  <c r="E1656" i="2"/>
  <c r="E1747" i="4"/>
  <c r="M1642" i="2"/>
  <c r="M1734" i="4"/>
  <c r="U1641" i="2"/>
  <c r="U1733" i="4"/>
  <c r="M1638" i="2"/>
  <c r="M1730" i="4"/>
  <c r="U1637" i="2"/>
  <c r="U1729" i="4"/>
  <c r="W1634" i="2"/>
  <c r="W1726" i="4"/>
  <c r="M1634" i="2"/>
  <c r="M1726" i="4"/>
  <c r="U1633" i="2"/>
  <c r="U1725" i="4"/>
  <c r="M1626" i="2"/>
  <c r="M1718" i="4"/>
  <c r="U1625" i="2"/>
  <c r="U1717" i="4"/>
  <c r="M1622" i="2"/>
  <c r="M1714" i="4"/>
  <c r="U1621" i="2"/>
  <c r="U1713" i="4"/>
  <c r="U1615" i="2"/>
  <c r="U1707" i="4"/>
  <c r="M1612" i="2"/>
  <c r="M1704" i="4"/>
  <c r="U1611" i="2"/>
  <c r="U1703" i="4"/>
  <c r="M1608" i="2"/>
  <c r="M1700" i="4"/>
  <c r="U1600" i="2"/>
  <c r="U1689" i="4"/>
  <c r="U1598" i="2"/>
  <c r="U1687" i="4"/>
  <c r="U1596" i="2"/>
  <c r="U1685" i="4"/>
  <c r="U1594" i="2"/>
  <c r="U1683" i="4"/>
  <c r="U1592" i="2"/>
  <c r="U1681" i="4"/>
  <c r="H1673" i="4"/>
  <c r="X1676" i="1"/>
  <c r="Z1676" i="1" s="1"/>
  <c r="P1585" i="2"/>
  <c r="P1672" i="4"/>
  <c r="V1584" i="2"/>
  <c r="V1670" i="4"/>
  <c r="H1584" i="2"/>
  <c r="H1670" i="4"/>
  <c r="X1673" i="1"/>
  <c r="P1583" i="2"/>
  <c r="P1669" i="4"/>
  <c r="V1672" i="1"/>
  <c r="V1669" i="5" s="1"/>
  <c r="V1580" i="2"/>
  <c r="V1666" i="4"/>
  <c r="H1580" i="2"/>
  <c r="H1666" i="4"/>
  <c r="X1669" i="1"/>
  <c r="P1579" i="2"/>
  <c r="P1665" i="4"/>
  <c r="V1668" i="1"/>
  <c r="V1665" i="5" s="1"/>
  <c r="V1576" i="2"/>
  <c r="V1662" i="4"/>
  <c r="H1576" i="2"/>
  <c r="H1662" i="4"/>
  <c r="X1665" i="1"/>
  <c r="E1571" i="2"/>
  <c r="E1657" i="4"/>
  <c r="P1656" i="4"/>
  <c r="X1656" i="4" s="1"/>
  <c r="V1659" i="1"/>
  <c r="V1656" i="5" s="1"/>
  <c r="V1570" i="2"/>
  <c r="V1653" i="4"/>
  <c r="H1570" i="2"/>
  <c r="H1653" i="4"/>
  <c r="X1656" i="1"/>
  <c r="P1569" i="2"/>
  <c r="P1652" i="4"/>
  <c r="V1655" i="1"/>
  <c r="V1652" i="5" s="1"/>
  <c r="V1566" i="2"/>
  <c r="V1649" i="4"/>
  <c r="H1566" i="2"/>
  <c r="H1649" i="4"/>
  <c r="X1652" i="1"/>
  <c r="P1564" i="2"/>
  <c r="P1647" i="4"/>
  <c r="V1650" i="1"/>
  <c r="V1647" i="5" s="1"/>
  <c r="V1561" i="2"/>
  <c r="V1644" i="4"/>
  <c r="H1561" i="2"/>
  <c r="H1644" i="4"/>
  <c r="X1647" i="1"/>
  <c r="P1560" i="2"/>
  <c r="P1643" i="4"/>
  <c r="P1662" i="1"/>
  <c r="V1646" i="1"/>
  <c r="V1643" i="5" s="1"/>
  <c r="U1554" i="2"/>
  <c r="U1637" i="4"/>
  <c r="M1552" i="2"/>
  <c r="M1634" i="4"/>
  <c r="AA1637" i="1"/>
  <c r="AA1634" i="5" s="1"/>
  <c r="U1551" i="2"/>
  <c r="U1633" i="4"/>
  <c r="V1542" i="2"/>
  <c r="V1623" i="4"/>
  <c r="H1542" i="2"/>
  <c r="H1623" i="4"/>
  <c r="X1626" i="1"/>
  <c r="P1541" i="2"/>
  <c r="P1622" i="4"/>
  <c r="V1625" i="1"/>
  <c r="V1622" i="5" s="1"/>
  <c r="P1642" i="1"/>
  <c r="P1535" i="2"/>
  <c r="P1616" i="4"/>
  <c r="V1619" i="1"/>
  <c r="V1616" i="5" s="1"/>
  <c r="H1614" i="4"/>
  <c r="X1614" i="4" s="1"/>
  <c r="X1617" i="1"/>
  <c r="Z1617" i="1" s="1"/>
  <c r="P1534" i="2"/>
  <c r="P1613" i="4"/>
  <c r="V1616" i="1"/>
  <c r="V1613" i="5" s="1"/>
  <c r="V1532" i="2"/>
  <c r="V1610" i="4"/>
  <c r="H1532" i="2"/>
  <c r="H1610" i="4"/>
  <c r="X1613" i="1"/>
  <c r="P1531" i="2"/>
  <c r="P1609" i="4"/>
  <c r="V1612" i="1"/>
  <c r="V1609" i="5" s="1"/>
  <c r="V1522" i="2"/>
  <c r="V1600" i="4"/>
  <c r="H1522" i="2"/>
  <c r="H1600" i="4"/>
  <c r="X1603" i="1"/>
  <c r="P1521" i="2"/>
  <c r="P1599" i="4"/>
  <c r="V1602" i="1"/>
  <c r="V1599" i="5" s="1"/>
  <c r="H1589" i="4"/>
  <c r="M1592" i="1"/>
  <c r="M1589" i="5" s="1"/>
  <c r="P1588" i="4"/>
  <c r="V1591" i="1"/>
  <c r="V1588" i="5" s="1"/>
  <c r="U1591" i="1"/>
  <c r="H1511" i="2"/>
  <c r="H1587" i="4"/>
  <c r="X1590" i="1"/>
  <c r="X1587" i="5" s="1"/>
  <c r="M1590" i="1"/>
  <c r="M1587" i="5" s="1"/>
  <c r="P1510" i="2"/>
  <c r="V1589" i="1"/>
  <c r="V1586" i="5" s="1"/>
  <c r="U1589" i="1"/>
  <c r="U1586" i="5" s="1"/>
  <c r="H1509" i="2"/>
  <c r="H1585" i="4"/>
  <c r="X1588" i="1"/>
  <c r="X1585" i="5" s="1"/>
  <c r="M1588" i="1"/>
  <c r="M1585" i="5" s="1"/>
  <c r="P1508" i="2"/>
  <c r="P1584" i="4"/>
  <c r="V1587" i="1"/>
  <c r="V1584" i="5" s="1"/>
  <c r="U1587" i="1"/>
  <c r="U1584" i="5" s="1"/>
  <c r="H1507" i="2"/>
  <c r="H1583" i="4"/>
  <c r="X1586" i="1"/>
  <c r="X1583" i="5" s="1"/>
  <c r="M1586" i="1"/>
  <c r="M1583" i="5" s="1"/>
  <c r="P1506" i="2"/>
  <c r="P1582" i="4"/>
  <c r="V1585" i="1"/>
  <c r="V1582" i="5" s="1"/>
  <c r="U1585" i="1"/>
  <c r="U1582" i="5" s="1"/>
  <c r="H1505" i="2"/>
  <c r="H1581" i="4"/>
  <c r="X1584" i="1"/>
  <c r="X1581" i="5" s="1"/>
  <c r="M1584" i="1"/>
  <c r="M1581" i="5" s="1"/>
  <c r="P1504" i="2"/>
  <c r="P1580" i="4"/>
  <c r="V1583" i="1"/>
  <c r="V1580" i="5" s="1"/>
  <c r="U1583" i="1"/>
  <c r="U1580" i="5" s="1"/>
  <c r="H1503" i="2"/>
  <c r="H1579" i="4"/>
  <c r="X1582" i="1"/>
  <c r="X1579" i="5" s="1"/>
  <c r="M1582" i="1"/>
  <c r="M1579" i="5" s="1"/>
  <c r="P1502" i="2"/>
  <c r="P1578" i="4"/>
  <c r="V1581" i="1"/>
  <c r="V1578" i="5" s="1"/>
  <c r="U1581" i="1"/>
  <c r="U1578" i="5" s="1"/>
  <c r="H1501" i="2"/>
  <c r="H1577" i="4"/>
  <c r="X1580" i="1"/>
  <c r="X1577" i="5" s="1"/>
  <c r="M1580" i="1"/>
  <c r="M1577" i="5" s="1"/>
  <c r="P1500" i="2"/>
  <c r="P1576" i="4"/>
  <c r="V1579" i="1"/>
  <c r="V1576" i="5" s="1"/>
  <c r="U1579" i="1"/>
  <c r="U1576" i="5" s="1"/>
  <c r="H1499" i="2"/>
  <c r="H1575" i="4"/>
  <c r="X1578" i="1"/>
  <c r="X1575" i="5" s="1"/>
  <c r="M1578" i="1"/>
  <c r="M1575" i="5" s="1"/>
  <c r="P1498" i="2"/>
  <c r="P1574" i="4"/>
  <c r="V1577" i="1"/>
  <c r="V1574" i="5" s="1"/>
  <c r="U1577" i="1"/>
  <c r="U1574" i="5" s="1"/>
  <c r="H1497" i="2"/>
  <c r="H1573" i="4"/>
  <c r="X1576" i="1"/>
  <c r="X1573" i="5" s="1"/>
  <c r="M1576" i="1"/>
  <c r="M1573" i="5" s="1"/>
  <c r="P1496" i="2"/>
  <c r="P1572" i="4"/>
  <c r="V1575" i="1"/>
  <c r="V1572" i="5" s="1"/>
  <c r="U1575" i="1"/>
  <c r="U1572" i="5" s="1"/>
  <c r="H1495" i="2"/>
  <c r="H1571" i="4"/>
  <c r="X1574" i="1"/>
  <c r="X1571" i="5" s="1"/>
  <c r="M1574" i="1"/>
  <c r="M1571" i="5" s="1"/>
  <c r="H1595" i="1"/>
  <c r="P1490" i="2"/>
  <c r="P1566" i="4"/>
  <c r="V1569" i="1"/>
  <c r="V1566" i="5" s="1"/>
  <c r="U1569" i="1"/>
  <c r="U1566" i="5" s="1"/>
  <c r="H1565" i="4"/>
  <c r="X1568" i="1"/>
  <c r="X1565" i="5" s="1"/>
  <c r="M1568" i="1"/>
  <c r="M1565" i="5" s="1"/>
  <c r="P1489" i="2"/>
  <c r="P1564" i="4"/>
  <c r="V1567" i="1"/>
  <c r="V1564" i="5" s="1"/>
  <c r="U1567" i="1"/>
  <c r="U1564" i="5" s="1"/>
  <c r="H1488" i="2"/>
  <c r="H1563" i="4"/>
  <c r="X1566" i="1"/>
  <c r="X1563" i="5" s="1"/>
  <c r="M1566" i="1"/>
  <c r="M1563" i="5" s="1"/>
  <c r="P1487" i="2"/>
  <c r="P1562" i="4"/>
  <c r="V1565" i="1"/>
  <c r="V1562" i="5" s="1"/>
  <c r="U1565" i="1"/>
  <c r="U1562" i="5" s="1"/>
  <c r="H1486" i="2"/>
  <c r="H1561" i="4"/>
  <c r="X1564" i="1"/>
  <c r="X1561" i="5" s="1"/>
  <c r="M1564" i="1"/>
  <c r="M1561" i="5" s="1"/>
  <c r="P1485" i="2"/>
  <c r="P1560" i="4"/>
  <c r="V1563" i="1"/>
  <c r="V1560" i="5" s="1"/>
  <c r="U1563" i="1"/>
  <c r="U1560" i="5" s="1"/>
  <c r="H1484" i="2"/>
  <c r="H1559" i="4"/>
  <c r="X1562" i="1"/>
  <c r="X1559" i="5" s="1"/>
  <c r="M1562" i="1"/>
  <c r="M1559" i="5" s="1"/>
  <c r="P1483" i="2"/>
  <c r="P1558" i="4"/>
  <c r="V1561" i="1"/>
  <c r="V1558" i="5" s="1"/>
  <c r="U1561" i="1"/>
  <c r="U1558" i="5" s="1"/>
  <c r="H1482" i="2"/>
  <c r="H1557" i="4"/>
  <c r="X1560" i="1"/>
  <c r="X1557" i="5" s="1"/>
  <c r="M1560" i="1"/>
  <c r="M1557" i="5" s="1"/>
  <c r="P1481" i="2"/>
  <c r="P1556" i="4"/>
  <c r="V1559" i="1"/>
  <c r="V1556" i="5" s="1"/>
  <c r="U1559" i="1"/>
  <c r="U1556" i="5" s="1"/>
  <c r="H1480" i="2"/>
  <c r="H1555" i="4"/>
  <c r="X1558" i="1"/>
  <c r="X1555" i="5" s="1"/>
  <c r="M1558" i="1"/>
  <c r="M1555" i="5" s="1"/>
  <c r="P1479" i="2"/>
  <c r="P1554" i="4"/>
  <c r="V1557" i="1"/>
  <c r="V1554" i="5" s="1"/>
  <c r="U1557" i="1"/>
  <c r="U1554" i="5" s="1"/>
  <c r="H1478" i="2"/>
  <c r="H1553" i="4"/>
  <c r="X1556" i="1"/>
  <c r="X1553" i="5" s="1"/>
  <c r="M1556" i="1"/>
  <c r="M1553" i="5" s="1"/>
  <c r="P1477" i="2"/>
  <c r="P1552" i="4"/>
  <c r="V1555" i="1"/>
  <c r="V1552" i="5" s="1"/>
  <c r="U1555" i="1"/>
  <c r="U1552" i="5" s="1"/>
  <c r="Z1476" i="2"/>
  <c r="Z1551" i="4"/>
  <c r="H1462" i="2"/>
  <c r="H1539" i="4"/>
  <c r="M1540" i="1"/>
  <c r="M1539" i="5" s="1"/>
  <c r="J1540" i="1"/>
  <c r="J1539" i="5" s="1"/>
  <c r="J1453" i="2"/>
  <c r="J1530" i="4"/>
  <c r="U1450" i="2"/>
  <c r="U1527" i="4"/>
  <c r="H1450" i="2"/>
  <c r="H1527" i="4"/>
  <c r="M1528" i="1"/>
  <c r="M1527" i="5" s="1"/>
  <c r="Q1447" i="2"/>
  <c r="Q1524" i="4"/>
  <c r="J1441" i="2"/>
  <c r="J1518" i="4"/>
  <c r="U1438" i="2"/>
  <c r="U1515" i="4"/>
  <c r="H1438" i="2"/>
  <c r="H1515" i="4"/>
  <c r="M1516" i="1"/>
  <c r="M1515" i="5" s="1"/>
  <c r="Q1435" i="2"/>
  <c r="Q1512" i="4"/>
  <c r="U1426" i="2"/>
  <c r="U1503" i="4"/>
  <c r="H1426" i="2"/>
  <c r="H1503" i="4"/>
  <c r="M1504" i="1"/>
  <c r="M1503" i="5" s="1"/>
  <c r="Q1423" i="2"/>
  <c r="Q1500" i="4"/>
  <c r="V1418" i="2"/>
  <c r="V1495" i="4"/>
  <c r="W1496" i="1"/>
  <c r="W1495" i="5" s="1"/>
  <c r="M1418" i="2"/>
  <c r="M1495" i="4"/>
  <c r="V1416" i="2"/>
  <c r="V1493" i="4"/>
  <c r="W1494" i="1"/>
  <c r="W1493" i="5" s="1"/>
  <c r="M1416" i="2"/>
  <c r="M1493" i="4"/>
  <c r="V1491" i="4"/>
  <c r="W1492" i="1"/>
  <c r="V1413" i="2"/>
  <c r="V1489" i="4"/>
  <c r="W1490" i="1"/>
  <c r="W1489" i="5" s="1"/>
  <c r="M1413" i="2"/>
  <c r="M1489" i="4"/>
  <c r="P1486" i="4"/>
  <c r="P1410" i="2"/>
  <c r="V1487" i="1"/>
  <c r="V1486" i="5" s="1"/>
  <c r="U1487" i="1"/>
  <c r="U1486" i="5" s="1"/>
  <c r="E1409" i="2"/>
  <c r="E1485" i="4"/>
  <c r="Z1486" i="1"/>
  <c r="Z1409" i="2" s="1"/>
  <c r="Q1408" i="2"/>
  <c r="Q1484" i="4"/>
  <c r="U1406" i="2"/>
  <c r="U1482" i="4"/>
  <c r="H1481" i="4"/>
  <c r="H1405" i="2"/>
  <c r="M1482" i="1"/>
  <c r="M1481" i="5" s="1"/>
  <c r="J1482" i="1"/>
  <c r="J1481" i="5" s="1"/>
  <c r="P1402" i="2"/>
  <c r="P1478" i="4"/>
  <c r="U1479" i="1"/>
  <c r="U1478" i="5" s="1"/>
  <c r="Q1479" i="1"/>
  <c r="Q1478" i="5" s="1"/>
  <c r="X1479" i="1"/>
  <c r="P1401" i="2"/>
  <c r="P1477" i="4"/>
  <c r="U1478" i="1"/>
  <c r="U1477" i="5" s="1"/>
  <c r="X1478" i="1"/>
  <c r="E1401" i="2"/>
  <c r="E1477" i="4"/>
  <c r="Z1478" i="1"/>
  <c r="Z1401" i="2" s="1"/>
  <c r="Q1478" i="1"/>
  <c r="Q1477" i="5" s="1"/>
  <c r="V1399" i="2"/>
  <c r="V1475" i="4"/>
  <c r="W1476" i="1"/>
  <c r="W1475" i="5" s="1"/>
  <c r="U1398" i="2"/>
  <c r="U1474" i="4"/>
  <c r="U1393" i="2"/>
  <c r="U1469" i="4"/>
  <c r="J1393" i="2"/>
  <c r="J1469" i="4"/>
  <c r="P1467" i="4"/>
  <c r="X1467" i="4" s="1"/>
  <c r="Z1467" i="4" s="1"/>
  <c r="X1468" i="1"/>
  <c r="Z1468" i="1" s="1"/>
  <c r="F1392" i="2"/>
  <c r="F1465" i="4"/>
  <c r="H1391" i="2"/>
  <c r="H1463" i="4"/>
  <c r="M1464" i="1"/>
  <c r="M1463" i="5" s="1"/>
  <c r="J1464" i="1"/>
  <c r="J1463" i="5" s="1"/>
  <c r="U1390" i="2"/>
  <c r="U1462" i="4"/>
  <c r="H1390" i="2"/>
  <c r="H1462" i="4"/>
  <c r="M1463" i="1"/>
  <c r="M1462" i="5" s="1"/>
  <c r="M1389" i="2"/>
  <c r="M1461" i="4"/>
  <c r="E1389" i="2"/>
  <c r="E1461" i="4"/>
  <c r="Q1462" i="1"/>
  <c r="Q1461" i="5" s="1"/>
  <c r="M1459" i="4"/>
  <c r="AA1460" i="1"/>
  <c r="AA1459" i="5" s="1"/>
  <c r="P1386" i="2"/>
  <c r="P1457" i="4"/>
  <c r="U1458" i="1"/>
  <c r="U1457" i="5" s="1"/>
  <c r="U1385" i="2"/>
  <c r="U1456" i="4"/>
  <c r="H1384" i="2"/>
  <c r="H1455" i="4"/>
  <c r="M1456" i="1"/>
  <c r="M1455" i="5" s="1"/>
  <c r="J1456" i="1"/>
  <c r="J1455" i="5" s="1"/>
  <c r="W1452" i="1"/>
  <c r="W1451" i="5" s="1"/>
  <c r="M1380" i="2"/>
  <c r="M1451" i="4"/>
  <c r="F1378" i="2"/>
  <c r="F1449" i="4"/>
  <c r="H1450" i="1"/>
  <c r="H1449" i="5" s="1"/>
  <c r="X1449" i="5" s="1"/>
  <c r="Z1449" i="5" s="1"/>
  <c r="U1448" i="4"/>
  <c r="U1377" i="2"/>
  <c r="H1377" i="2"/>
  <c r="H1448" i="4"/>
  <c r="M1449" i="1"/>
  <c r="M1448" i="5" s="1"/>
  <c r="V1373" i="2"/>
  <c r="V1444" i="4"/>
  <c r="E1372" i="2"/>
  <c r="E1443" i="4"/>
  <c r="Z1444" i="1"/>
  <c r="Z1372" i="2" s="1"/>
  <c r="Q1442" i="4"/>
  <c r="Q1371" i="2"/>
  <c r="U1369" i="2"/>
  <c r="U1440" i="4"/>
  <c r="J1369" i="2"/>
  <c r="J1440" i="4"/>
  <c r="M1368" i="2"/>
  <c r="M1439" i="4"/>
  <c r="M1367" i="2"/>
  <c r="M1438" i="4"/>
  <c r="P1366" i="2"/>
  <c r="P1437" i="4"/>
  <c r="V1438" i="1"/>
  <c r="V1437" i="5" s="1"/>
  <c r="U1438" i="1"/>
  <c r="U1437" i="5" s="1"/>
  <c r="E1365" i="2"/>
  <c r="E1436" i="4"/>
  <c r="E1472" i="1"/>
  <c r="Z1437" i="1"/>
  <c r="F1360" i="2"/>
  <c r="F1431" i="4"/>
  <c r="H1432" i="1"/>
  <c r="U1359" i="2"/>
  <c r="U1430" i="4"/>
  <c r="H1359" i="2"/>
  <c r="H1430" i="4"/>
  <c r="M1431" i="1"/>
  <c r="M1430" i="5" s="1"/>
  <c r="F1428" i="4"/>
  <c r="H1429" i="1"/>
  <c r="H1428" i="5" s="1"/>
  <c r="X1428" i="5" s="1"/>
  <c r="Z1428" i="5" s="1"/>
  <c r="U1357" i="2"/>
  <c r="U1427" i="4"/>
  <c r="J1355" i="2"/>
  <c r="J1425" i="4"/>
  <c r="P1354" i="2"/>
  <c r="P1424" i="4"/>
  <c r="U1425" i="1"/>
  <c r="U1424" i="5" s="1"/>
  <c r="Q1425" i="1"/>
  <c r="Q1424" i="5" s="1"/>
  <c r="X1425" i="1"/>
  <c r="P1353" i="2"/>
  <c r="P1423" i="4"/>
  <c r="U1424" i="1"/>
  <c r="U1423" i="5" s="1"/>
  <c r="P1350" i="2"/>
  <c r="P1420" i="4"/>
  <c r="U1421" i="1"/>
  <c r="U1420" i="5" s="1"/>
  <c r="Q1421" i="1"/>
  <c r="Q1420" i="5" s="1"/>
  <c r="X1421" i="1"/>
  <c r="P1419" i="4"/>
  <c r="P1349" i="2"/>
  <c r="U1420" i="1"/>
  <c r="U1419" i="5" s="1"/>
  <c r="Q1420" i="1"/>
  <c r="Q1419" i="5" s="1"/>
  <c r="X1420" i="1"/>
  <c r="P1348" i="2"/>
  <c r="P1418" i="4"/>
  <c r="U1419" i="1"/>
  <c r="U1418" i="5" s="1"/>
  <c r="Q1419" i="1"/>
  <c r="Q1418" i="5" s="1"/>
  <c r="X1419" i="1"/>
  <c r="P1347" i="2"/>
  <c r="P1417" i="4"/>
  <c r="U1418" i="1"/>
  <c r="U1417" i="5" s="1"/>
  <c r="U1345" i="2"/>
  <c r="U1415" i="4"/>
  <c r="E1345" i="2"/>
  <c r="E1415" i="4"/>
  <c r="P1413" i="4"/>
  <c r="P1343" i="2"/>
  <c r="U1414" i="1"/>
  <c r="U1413" i="5" s="1"/>
  <c r="V1414" i="1"/>
  <c r="V1413" i="5" s="1"/>
  <c r="Q1414" i="1"/>
  <c r="Q1413" i="5" s="1"/>
  <c r="U1338" i="2"/>
  <c r="U1408" i="4"/>
  <c r="E1338" i="2"/>
  <c r="E1408" i="4"/>
  <c r="P1336" i="2"/>
  <c r="P1406" i="4"/>
  <c r="U1407" i="1"/>
  <c r="U1406" i="5" s="1"/>
  <c r="V1407" i="1"/>
  <c r="V1406" i="5" s="1"/>
  <c r="Q1407" i="1"/>
  <c r="Q1406" i="5" s="1"/>
  <c r="V1330" i="2"/>
  <c r="V1400" i="4"/>
  <c r="W1401" i="1"/>
  <c r="W1400" i="5" s="1"/>
  <c r="H1330" i="2"/>
  <c r="H1400" i="4"/>
  <c r="J1401" i="1"/>
  <c r="J1400" i="5" s="1"/>
  <c r="X1401" i="1"/>
  <c r="M1401" i="1"/>
  <c r="M1400" i="5" s="1"/>
  <c r="V1324" i="2"/>
  <c r="V1393" i="4"/>
  <c r="W1394" i="1"/>
  <c r="W1393" i="5" s="1"/>
  <c r="M1324" i="2"/>
  <c r="M1393" i="4"/>
  <c r="AA1394" i="1"/>
  <c r="AA1393" i="5" s="1"/>
  <c r="E1320" i="2"/>
  <c r="E1389" i="4"/>
  <c r="Q1390" i="1"/>
  <c r="Q1389" i="5" s="1"/>
  <c r="Q1318" i="2"/>
  <c r="Q1387" i="4"/>
  <c r="V1386" i="4"/>
  <c r="M1317" i="2"/>
  <c r="M1386" i="4"/>
  <c r="H1316" i="2"/>
  <c r="H1385" i="4"/>
  <c r="M1386" i="1"/>
  <c r="M1385" i="5" s="1"/>
  <c r="V1386" i="1"/>
  <c r="V1385" i="5" s="1"/>
  <c r="J1386" i="1"/>
  <c r="J1385" i="5" s="1"/>
  <c r="X1315" i="2"/>
  <c r="Z1385" i="1"/>
  <c r="Z1315" i="2" s="1"/>
  <c r="J1310" i="2"/>
  <c r="J1379" i="4"/>
  <c r="Q1303" i="2"/>
  <c r="Q1372" i="4"/>
  <c r="H1298" i="2"/>
  <c r="H1367" i="4"/>
  <c r="M1368" i="1"/>
  <c r="M1367" i="5" s="1"/>
  <c r="J1368" i="1"/>
  <c r="J1367" i="5" s="1"/>
  <c r="F1297" i="2"/>
  <c r="F1366" i="4"/>
  <c r="H1367" i="1"/>
  <c r="H1366" i="5" s="1"/>
  <c r="X1366" i="5" s="1"/>
  <c r="Z1366" i="5" s="1"/>
  <c r="H1361" i="4"/>
  <c r="M1362" i="1"/>
  <c r="M1361" i="5" s="1"/>
  <c r="X1362" i="1"/>
  <c r="Z1362" i="1" s="1"/>
  <c r="J1362" i="1"/>
  <c r="P1293" i="2"/>
  <c r="P1358" i="4"/>
  <c r="V1359" i="1"/>
  <c r="V1358" i="5" s="1"/>
  <c r="U1359" i="1"/>
  <c r="U1358" i="5" s="1"/>
  <c r="Q1359" i="1"/>
  <c r="Q1358" i="5" s="1"/>
  <c r="V1289" i="2"/>
  <c r="V1354" i="4"/>
  <c r="W1355" i="1"/>
  <c r="W1354" i="5" s="1"/>
  <c r="H1286" i="2"/>
  <c r="H1351" i="4"/>
  <c r="M1352" i="1"/>
  <c r="M1351" i="5" s="1"/>
  <c r="J1352" i="1"/>
  <c r="J1351" i="5" s="1"/>
  <c r="P1284" i="2"/>
  <c r="P1349" i="4"/>
  <c r="V1350" i="1"/>
  <c r="V1349" i="5" s="1"/>
  <c r="U1350" i="1"/>
  <c r="U1349" i="5" s="1"/>
  <c r="Q1350" i="1"/>
  <c r="Q1349" i="5" s="1"/>
  <c r="U1283" i="2"/>
  <c r="U1348" i="4"/>
  <c r="H1283" i="2"/>
  <c r="H1348" i="4"/>
  <c r="M1349" i="1"/>
  <c r="M1348" i="5" s="1"/>
  <c r="U1281" i="2"/>
  <c r="U1346" i="4"/>
  <c r="J1281" i="2"/>
  <c r="J1346" i="4"/>
  <c r="U1278" i="2"/>
  <c r="U1343" i="4"/>
  <c r="J1278" i="2"/>
  <c r="J1343" i="4"/>
  <c r="V1271" i="2"/>
  <c r="V1336" i="4"/>
  <c r="W1337" i="1"/>
  <c r="W1336" i="5" s="1"/>
  <c r="V1269" i="2"/>
  <c r="V1334" i="4"/>
  <c r="W1335" i="1"/>
  <c r="W1334" i="5" s="1"/>
  <c r="P1332" i="4"/>
  <c r="X1332" i="4" s="1"/>
  <c r="Z1332" i="4" s="1"/>
  <c r="X1333" i="1"/>
  <c r="Z1333" i="1" s="1"/>
  <c r="U1333" i="1"/>
  <c r="U1332" i="5" s="1"/>
  <c r="E1264" i="2"/>
  <c r="E1327" i="4"/>
  <c r="Z1328" i="1"/>
  <c r="Z1264" i="2" s="1"/>
  <c r="M1260" i="2"/>
  <c r="M1323" i="4"/>
  <c r="P1258" i="2"/>
  <c r="P1321" i="4"/>
  <c r="V1322" i="1"/>
  <c r="V1321" i="5" s="1"/>
  <c r="U1322" i="1"/>
  <c r="U1321" i="5" s="1"/>
  <c r="Q1322" i="1"/>
  <c r="Q1321" i="5" s="1"/>
  <c r="V1256" i="2"/>
  <c r="V1319" i="4"/>
  <c r="J1256" i="2"/>
  <c r="J1319" i="4"/>
  <c r="X1254" i="2"/>
  <c r="Z1318" i="1"/>
  <c r="Z1254" i="2" s="1"/>
  <c r="H1254" i="2"/>
  <c r="H1317" i="4"/>
  <c r="M1318" i="1"/>
  <c r="M1317" i="5" s="1"/>
  <c r="J1318" i="1"/>
  <c r="J1317" i="5" s="1"/>
  <c r="H1252" i="2"/>
  <c r="H1315" i="4"/>
  <c r="M1316" i="1"/>
  <c r="M1315" i="5" s="1"/>
  <c r="J1316" i="1"/>
  <c r="J1315" i="5" s="1"/>
  <c r="U1312" i="4"/>
  <c r="Q1243" i="2"/>
  <c r="Q1306" i="4"/>
  <c r="Z1305" i="1"/>
  <c r="Z1241" i="2" s="1"/>
  <c r="J1241" i="2"/>
  <c r="J1304" i="4"/>
  <c r="V1238" i="2"/>
  <c r="V1301" i="4"/>
  <c r="I1235" i="2"/>
  <c r="I1246" i="2" s="1"/>
  <c r="I1298" i="4"/>
  <c r="I1309" i="4" s="1"/>
  <c r="I1310" i="1"/>
  <c r="I1544" i="1" s="1"/>
  <c r="P1232" i="2"/>
  <c r="P1295" i="4"/>
  <c r="V1296" i="1"/>
  <c r="V1295" i="5" s="1"/>
  <c r="U1296" i="1"/>
  <c r="U1295" i="5" s="1"/>
  <c r="X1296" i="1"/>
  <c r="Q1230" i="2"/>
  <c r="Q1293" i="4"/>
  <c r="V1229" i="2"/>
  <c r="V1292" i="4"/>
  <c r="W1293" i="1"/>
  <c r="W1292" i="5" s="1"/>
  <c r="M1229" i="2"/>
  <c r="M1292" i="4"/>
  <c r="P1227" i="2"/>
  <c r="P1290" i="4"/>
  <c r="U1291" i="1"/>
  <c r="U1290" i="5" s="1"/>
  <c r="Q1291" i="1"/>
  <c r="Q1290" i="5" s="1"/>
  <c r="X1291" i="1"/>
  <c r="V1291" i="1"/>
  <c r="V1290" i="5" s="1"/>
  <c r="P1225" i="2"/>
  <c r="P1288" i="4"/>
  <c r="U1289" i="1"/>
  <c r="U1288" i="5" s="1"/>
  <c r="Q1289" i="1"/>
  <c r="Q1288" i="5" s="1"/>
  <c r="X1289" i="1"/>
  <c r="V1289" i="1"/>
  <c r="V1288" i="5" s="1"/>
  <c r="M1221" i="2"/>
  <c r="M1284" i="4"/>
  <c r="AA1285" i="1"/>
  <c r="E1221" i="2"/>
  <c r="E1284" i="4"/>
  <c r="Q1285" i="1"/>
  <c r="Q1284" i="5" s="1"/>
  <c r="E1310" i="1"/>
  <c r="W1285" i="1"/>
  <c r="W1284" i="5" s="1"/>
  <c r="Z1285" i="1"/>
  <c r="M1216" i="2"/>
  <c r="M1279" i="4"/>
  <c r="AA1280" i="1"/>
  <c r="AA1279" i="5" s="1"/>
  <c r="E1216" i="2"/>
  <c r="E1279" i="4"/>
  <c r="Q1280" i="1"/>
  <c r="Q1279" i="5" s="1"/>
  <c r="E1278" i="4"/>
  <c r="AA1215" i="2"/>
  <c r="AA1275" i="4"/>
  <c r="P1210" i="2"/>
  <c r="P1269" i="4"/>
  <c r="U1270" i="1"/>
  <c r="U1269" i="5" s="1"/>
  <c r="Q1270" i="1"/>
  <c r="Q1269" i="5" s="1"/>
  <c r="X1270" i="1"/>
  <c r="P1208" i="2"/>
  <c r="P1267" i="4"/>
  <c r="U1268" i="1"/>
  <c r="U1267" i="5" s="1"/>
  <c r="E1204" i="2"/>
  <c r="E1263" i="4"/>
  <c r="Q1264" i="1"/>
  <c r="Q1263" i="5" s="1"/>
  <c r="H1203" i="2"/>
  <c r="H1262" i="4"/>
  <c r="M1263" i="1"/>
  <c r="M1262" i="5" s="1"/>
  <c r="J1263" i="1"/>
  <c r="J1262" i="5" s="1"/>
  <c r="X1263" i="1"/>
  <c r="V1202" i="2"/>
  <c r="V1261" i="4"/>
  <c r="W1262" i="1"/>
  <c r="W1261" i="5" s="1"/>
  <c r="V1200" i="2"/>
  <c r="V1259" i="4"/>
  <c r="W1260" i="1"/>
  <c r="W1259" i="5" s="1"/>
  <c r="X1196" i="2"/>
  <c r="Z1256" i="1"/>
  <c r="Z1196" i="2" s="1"/>
  <c r="J1196" i="2"/>
  <c r="J1255" i="4"/>
  <c r="Q1194" i="2"/>
  <c r="Q1253" i="4"/>
  <c r="J1193" i="2"/>
  <c r="J1252" i="4"/>
  <c r="H1189" i="2"/>
  <c r="H1248" i="4"/>
  <c r="M1249" i="1"/>
  <c r="M1248" i="5" s="1"/>
  <c r="J1249" i="1"/>
  <c r="J1248" i="5" s="1"/>
  <c r="P1182" i="2"/>
  <c r="P1241" i="4"/>
  <c r="X1242" i="1"/>
  <c r="H1239" i="4"/>
  <c r="X1239" i="4" s="1"/>
  <c r="X1240" i="1"/>
  <c r="Z1240" i="1" s="1"/>
  <c r="P1181" i="2"/>
  <c r="P1237" i="4"/>
  <c r="V1238" i="1"/>
  <c r="V1237" i="5" s="1"/>
  <c r="U1238" i="1"/>
  <c r="U1237" i="5" s="1"/>
  <c r="X1238" i="1"/>
  <c r="P1236" i="4"/>
  <c r="X1236" i="4" s="1"/>
  <c r="X1237" i="1"/>
  <c r="Z1237" i="1" s="1"/>
  <c r="U1237" i="1"/>
  <c r="U1236" i="5" s="1"/>
  <c r="Q1180" i="2"/>
  <c r="Q1234" i="4"/>
  <c r="M1179" i="2"/>
  <c r="M1233" i="4"/>
  <c r="AA1234" i="1"/>
  <c r="E1179" i="2"/>
  <c r="E1233" i="4"/>
  <c r="Q1234" i="1"/>
  <c r="Q1233" i="5" s="1"/>
  <c r="W1234" i="1"/>
  <c r="W1233" i="5" s="1"/>
  <c r="H1177" i="2"/>
  <c r="H1231" i="4"/>
  <c r="M1232" i="1"/>
  <c r="M1231" i="5" s="1"/>
  <c r="J1232" i="1"/>
  <c r="J1231" i="5" s="1"/>
  <c r="M1175" i="2"/>
  <c r="M1229" i="4"/>
  <c r="Z1174" i="2"/>
  <c r="Z1228" i="4"/>
  <c r="V1173" i="2"/>
  <c r="V1227" i="4"/>
  <c r="W1228" i="1"/>
  <c r="W1227" i="5" s="1"/>
  <c r="M1173" i="2"/>
  <c r="M1227" i="4"/>
  <c r="Q1172" i="2"/>
  <c r="Q1226" i="4"/>
  <c r="E1172" i="2"/>
  <c r="E1226" i="4"/>
  <c r="Z1227" i="1"/>
  <c r="Z1226" i="5" s="1"/>
  <c r="H1171" i="2"/>
  <c r="H1225" i="4"/>
  <c r="M1226" i="1"/>
  <c r="M1225" i="5" s="1"/>
  <c r="X1226" i="1"/>
  <c r="J1226" i="1"/>
  <c r="J1225" i="5" s="1"/>
  <c r="Q1170" i="2"/>
  <c r="Q1224" i="4"/>
  <c r="V1169" i="2"/>
  <c r="V1223" i="4"/>
  <c r="W1224" i="1"/>
  <c r="W1223" i="5" s="1"/>
  <c r="M1169" i="2"/>
  <c r="M1223" i="4"/>
  <c r="Q1167" i="2"/>
  <c r="Q1221" i="4"/>
  <c r="Q1166" i="2"/>
  <c r="Q1220" i="4"/>
  <c r="M1166" i="2"/>
  <c r="M1220" i="4"/>
  <c r="M1163" i="2"/>
  <c r="M1217" i="4"/>
  <c r="AA1218" i="1"/>
  <c r="AA1217" i="5" s="1"/>
  <c r="U1158" i="2"/>
  <c r="U1212" i="4"/>
  <c r="J1158" i="2"/>
  <c r="J1212" i="4"/>
  <c r="P1156" i="2"/>
  <c r="P1210" i="4"/>
  <c r="Q1211" i="1"/>
  <c r="Q1210" i="5" s="1"/>
  <c r="X1211" i="1"/>
  <c r="X1210" i="5" s="1"/>
  <c r="V1211" i="1"/>
  <c r="V1210" i="5" s="1"/>
  <c r="U1211" i="1"/>
  <c r="U1210" i="5" s="1"/>
  <c r="P1153" i="2"/>
  <c r="P1205" i="4"/>
  <c r="U1132" i="2"/>
  <c r="U1183" i="4"/>
  <c r="V1130" i="2"/>
  <c r="V1181" i="4"/>
  <c r="W1182" i="1"/>
  <c r="W1181" i="5" s="1"/>
  <c r="V1126" i="2"/>
  <c r="H1120" i="2"/>
  <c r="H1171" i="4"/>
  <c r="M1172" i="1"/>
  <c r="M1171" i="5" s="1"/>
  <c r="X1172" i="1"/>
  <c r="V1172" i="1"/>
  <c r="V1171" i="5" s="1"/>
  <c r="V1119" i="2"/>
  <c r="V1170" i="4"/>
  <c r="W1171" i="1"/>
  <c r="W1170" i="5" s="1"/>
  <c r="V1164" i="4"/>
  <c r="V1113" i="2"/>
  <c r="H1113" i="2"/>
  <c r="H1164" i="4"/>
  <c r="X1165" i="1"/>
  <c r="V1103" i="2"/>
  <c r="V1153" i="4"/>
  <c r="H1103" i="2"/>
  <c r="H1153" i="4"/>
  <c r="X1154" i="1"/>
  <c r="M1099" i="2"/>
  <c r="M1149" i="4"/>
  <c r="AA1150" i="1"/>
  <c r="AA1149" i="5" s="1"/>
  <c r="P1089" i="2"/>
  <c r="P1139" i="4"/>
  <c r="V1140" i="1"/>
  <c r="V1139" i="5" s="1"/>
  <c r="X1140" i="1"/>
  <c r="U1140" i="1"/>
  <c r="U1139" i="5" s="1"/>
  <c r="M1088" i="2"/>
  <c r="M1138" i="4"/>
  <c r="V1066" i="2"/>
  <c r="V1115" i="4"/>
  <c r="H1066" i="2"/>
  <c r="H1115" i="4"/>
  <c r="X1116" i="1"/>
  <c r="M1053" i="2"/>
  <c r="H1030" i="2"/>
  <c r="H1077" i="4"/>
  <c r="X1077" i="4" s="1"/>
  <c r="Z1077" i="4" s="1"/>
  <c r="M1078" i="1"/>
  <c r="M1077" i="5" s="1"/>
  <c r="X1078" i="1"/>
  <c r="V1078" i="1"/>
  <c r="V1077" i="5" s="1"/>
  <c r="H1086" i="1"/>
  <c r="P1027" i="2"/>
  <c r="P1074" i="4"/>
  <c r="U1075" i="1"/>
  <c r="V1075" i="1"/>
  <c r="V1074" i="5" s="1"/>
  <c r="X1075" i="1"/>
  <c r="M1061" i="4"/>
  <c r="AA1062" i="1"/>
  <c r="AA1061" i="5" s="1"/>
  <c r="P1013" i="2"/>
  <c r="P1058" i="4"/>
  <c r="V1059" i="1"/>
  <c r="V1058" i="5" s="1"/>
  <c r="X1059" i="1"/>
  <c r="U1059" i="1"/>
  <c r="U1058" i="5" s="1"/>
  <c r="M1012" i="2"/>
  <c r="M1057" i="4"/>
  <c r="P1002" i="2"/>
  <c r="V1048" i="1"/>
  <c r="V1047" i="5" s="1"/>
  <c r="P1047" i="4"/>
  <c r="X1048" i="1"/>
  <c r="U1048" i="1"/>
  <c r="U1047" i="5" s="1"/>
  <c r="M1001" i="2"/>
  <c r="U996" i="2"/>
  <c r="U1041" i="4"/>
  <c r="H1028" i="4"/>
  <c r="H983" i="2"/>
  <c r="M1029" i="1"/>
  <c r="M1028" i="5" s="1"/>
  <c r="X1029" i="1"/>
  <c r="E979" i="2"/>
  <c r="E1024" i="4"/>
  <c r="H977" i="2"/>
  <c r="H1022" i="4"/>
  <c r="M1023" i="1"/>
  <c r="M1022" i="5" s="1"/>
  <c r="X1023" i="1"/>
  <c r="V1023" i="1"/>
  <c r="V1022" i="5" s="1"/>
  <c r="M963" i="2"/>
  <c r="E963" i="2"/>
  <c r="E1006" i="4"/>
  <c r="M961" i="2"/>
  <c r="M1004" i="4"/>
  <c r="AA1005" i="1"/>
  <c r="AA1004" i="5" s="1"/>
  <c r="F982" i="4"/>
  <c r="F939" i="2"/>
  <c r="H983" i="1"/>
  <c r="F985" i="1"/>
  <c r="F987" i="1" s="1"/>
  <c r="U934" i="2"/>
  <c r="U976" i="4"/>
  <c r="E934" i="2"/>
  <c r="E976" i="4"/>
  <c r="Z977" i="1"/>
  <c r="Z976" i="5" s="1"/>
  <c r="H932" i="2"/>
  <c r="H974" i="4"/>
  <c r="M975" i="1"/>
  <c r="M974" i="5" s="1"/>
  <c r="X975" i="1"/>
  <c r="X974" i="5" s="1"/>
  <c r="V975" i="1"/>
  <c r="V974" i="5" s="1"/>
  <c r="U901" i="2"/>
  <c r="U944" i="4"/>
  <c r="J901" i="2"/>
  <c r="J944" i="4"/>
  <c r="J947" i="1"/>
  <c r="P938" i="4"/>
  <c r="P895" i="2"/>
  <c r="U938" i="1"/>
  <c r="U938" i="5" s="1"/>
  <c r="V938" i="1"/>
  <c r="V938" i="5" s="1"/>
  <c r="X938" i="1"/>
  <c r="X895" i="2" s="1"/>
  <c r="Q938" i="1"/>
  <c r="Q938" i="5" s="1"/>
  <c r="U937" i="4"/>
  <c r="J894" i="2"/>
  <c r="J937" i="4"/>
  <c r="P893" i="2"/>
  <c r="P936" i="4"/>
  <c r="Q936" i="1"/>
  <c r="Q936" i="5" s="1"/>
  <c r="X936" i="1"/>
  <c r="U936" i="1"/>
  <c r="U936" i="5" s="1"/>
  <c r="V936" i="1"/>
  <c r="V936" i="5" s="1"/>
  <c r="M890" i="2"/>
  <c r="M933" i="4"/>
  <c r="P889" i="2"/>
  <c r="P932" i="4"/>
  <c r="Q932" i="1"/>
  <c r="Q932" i="5" s="1"/>
  <c r="X932" i="1"/>
  <c r="U932" i="1"/>
  <c r="U932" i="5" s="1"/>
  <c r="V932" i="1"/>
  <c r="V932" i="5" s="1"/>
  <c r="X885" i="2"/>
  <c r="Z928" i="1"/>
  <c r="Z885" i="2" s="1"/>
  <c r="J885" i="2"/>
  <c r="J928" i="4"/>
  <c r="V876" i="2"/>
  <c r="V919" i="4"/>
  <c r="W919" i="1"/>
  <c r="W919" i="5" s="1"/>
  <c r="U916" i="4"/>
  <c r="U871" i="2"/>
  <c r="U911" i="4"/>
  <c r="V868" i="2"/>
  <c r="V908" i="4"/>
  <c r="P865" i="2"/>
  <c r="P905" i="4"/>
  <c r="Q905" i="1"/>
  <c r="Q905" i="5" s="1"/>
  <c r="X905" i="1"/>
  <c r="U905" i="1"/>
  <c r="U905" i="5" s="1"/>
  <c r="V905" i="1"/>
  <c r="V905" i="5" s="1"/>
  <c r="Q863" i="2"/>
  <c r="Q903" i="4"/>
  <c r="V860" i="2"/>
  <c r="V900" i="4"/>
  <c r="W900" i="1"/>
  <c r="W900" i="5" s="1"/>
  <c r="M860" i="2"/>
  <c r="M900" i="4"/>
  <c r="J858" i="2"/>
  <c r="J898" i="4"/>
  <c r="U844" i="2"/>
  <c r="U883" i="4"/>
  <c r="J844" i="2"/>
  <c r="J883" i="4"/>
  <c r="V843" i="2"/>
  <c r="V882" i="4"/>
  <c r="W882" i="1"/>
  <c r="W882" i="5" s="1"/>
  <c r="M843" i="2"/>
  <c r="M882" i="4"/>
  <c r="X841" i="2"/>
  <c r="Z880" i="1"/>
  <c r="Z841" i="2" s="1"/>
  <c r="H865" i="4"/>
  <c r="J865" i="1"/>
  <c r="M865" i="1"/>
  <c r="M865" i="5" s="1"/>
  <c r="X865" i="1"/>
  <c r="Z865" i="1" s="1"/>
  <c r="P817" i="2"/>
  <c r="P852" i="4"/>
  <c r="Q852" i="1"/>
  <c r="Q852" i="5" s="1"/>
  <c r="X852" i="1"/>
  <c r="U852" i="1"/>
  <c r="U852" i="5" s="1"/>
  <c r="X814" i="2"/>
  <c r="H807" i="2"/>
  <c r="H842" i="4"/>
  <c r="J842" i="1"/>
  <c r="J842" i="5" s="1"/>
  <c r="M842" i="1"/>
  <c r="M842" i="5" s="1"/>
  <c r="X842" i="1"/>
  <c r="U804" i="2"/>
  <c r="U838" i="4"/>
  <c r="U803" i="2"/>
  <c r="U837" i="4"/>
  <c r="M795" i="2"/>
  <c r="M829" i="4"/>
  <c r="X793" i="2"/>
  <c r="M786" i="2"/>
  <c r="M820" i="4"/>
  <c r="AA785" i="2"/>
  <c r="AA819" i="4"/>
  <c r="AB819" i="1"/>
  <c r="AB819" i="5" s="1"/>
  <c r="J780" i="2"/>
  <c r="J814" i="4"/>
  <c r="M764" i="2"/>
  <c r="M797" i="4"/>
  <c r="AA797" i="1"/>
  <c r="AA797" i="5" s="1"/>
  <c r="P760" i="2"/>
  <c r="P793" i="4"/>
  <c r="Q793" i="1"/>
  <c r="Q793" i="5" s="1"/>
  <c r="X793" i="1"/>
  <c r="U793" i="1"/>
  <c r="U793" i="5" s="1"/>
  <c r="H756" i="2"/>
  <c r="H789" i="4"/>
  <c r="J789" i="1"/>
  <c r="J789" i="5" s="1"/>
  <c r="M789" i="1"/>
  <c r="M789" i="5" s="1"/>
  <c r="X789" i="1"/>
  <c r="P754" i="2"/>
  <c r="P787" i="4"/>
  <c r="X787" i="1"/>
  <c r="X754" i="2" s="1"/>
  <c r="U787" i="1"/>
  <c r="U787" i="5" s="1"/>
  <c r="V787" i="1"/>
  <c r="P802" i="1"/>
  <c r="E754" i="2"/>
  <c r="E787" i="4"/>
  <c r="Q787" i="1"/>
  <c r="Q787" i="5" s="1"/>
  <c r="Z787" i="1"/>
  <c r="Z754" i="2" s="1"/>
  <c r="E802" i="1"/>
  <c r="H785" i="4"/>
  <c r="H752" i="2"/>
  <c r="J785" i="1"/>
  <c r="J785" i="5" s="1"/>
  <c r="M785" i="1"/>
  <c r="M785" i="5" s="1"/>
  <c r="H746" i="2"/>
  <c r="H779" i="4"/>
  <c r="J779" i="1"/>
  <c r="J779" i="5" s="1"/>
  <c r="M779" i="1"/>
  <c r="M779" i="5" s="1"/>
  <c r="X779" i="1"/>
  <c r="Q745" i="2"/>
  <c r="Q778" i="4"/>
  <c r="V777" i="4"/>
  <c r="W777" i="1"/>
  <c r="M740" i="2"/>
  <c r="M771" i="4"/>
  <c r="U719" i="2"/>
  <c r="U750" i="4"/>
  <c r="AA750" i="1"/>
  <c r="AA750" i="5" s="1"/>
  <c r="M706" i="2"/>
  <c r="M736" i="4"/>
  <c r="P680" i="2"/>
  <c r="P710" i="4"/>
  <c r="U710" i="1"/>
  <c r="U710" i="5" s="1"/>
  <c r="Q710" i="1"/>
  <c r="Q710" i="5" s="1"/>
  <c r="X710" i="1"/>
  <c r="P665" i="2"/>
  <c r="P695" i="4"/>
  <c r="V695" i="1"/>
  <c r="V695" i="5" s="1"/>
  <c r="U695" i="1"/>
  <c r="U695" i="5" s="1"/>
  <c r="Q695" i="1"/>
  <c r="Q695" i="5" s="1"/>
  <c r="P714" i="1"/>
  <c r="X695" i="1"/>
  <c r="F650" i="2"/>
  <c r="F678" i="4"/>
  <c r="H678" i="1"/>
  <c r="H649" i="2"/>
  <c r="H677" i="4"/>
  <c r="X677" i="1"/>
  <c r="M677" i="1"/>
  <c r="M677" i="5" s="1"/>
  <c r="J677" i="1"/>
  <c r="J677" i="5" s="1"/>
  <c r="V677" i="1"/>
  <c r="V677" i="5" s="1"/>
  <c r="P645" i="2"/>
  <c r="P673" i="4"/>
  <c r="V673" i="1"/>
  <c r="V673" i="5" s="1"/>
  <c r="U673" i="1"/>
  <c r="U673" i="5" s="1"/>
  <c r="X673" i="1"/>
  <c r="Z672" i="1"/>
  <c r="Z644" i="2" s="1"/>
  <c r="J626" i="2"/>
  <c r="J654" i="4"/>
  <c r="X596" i="2"/>
  <c r="Z619" i="1"/>
  <c r="Z596" i="2" s="1"/>
  <c r="V581" i="2"/>
  <c r="V605" i="4"/>
  <c r="X573" i="2"/>
  <c r="Z596" i="1"/>
  <c r="Z573" i="2" s="1"/>
  <c r="AB571" i="2"/>
  <c r="AB595" i="4"/>
  <c r="P586" i="4"/>
  <c r="U585" i="1"/>
  <c r="P520" i="2"/>
  <c r="P539" i="4"/>
  <c r="X540" i="1"/>
  <c r="P546" i="1"/>
  <c r="U540" i="1"/>
  <c r="U539" i="5" s="1"/>
  <c r="X486" i="2"/>
  <c r="Z507" i="1"/>
  <c r="Z486" i="2" s="1"/>
  <c r="U485" i="2"/>
  <c r="U505" i="4"/>
  <c r="AA506" i="1"/>
  <c r="AA505" i="5" s="1"/>
  <c r="H474" i="2"/>
  <c r="H494" i="4"/>
  <c r="X495" i="1"/>
  <c r="H501" i="1"/>
  <c r="M495" i="1"/>
  <c r="M494" i="5" s="1"/>
  <c r="P458" i="2"/>
  <c r="P478" i="4"/>
  <c r="V479" i="1"/>
  <c r="V478" i="5" s="1"/>
  <c r="U479" i="1"/>
  <c r="U478" i="5" s="1"/>
  <c r="P488" i="1"/>
  <c r="X479" i="1"/>
  <c r="U440" i="2"/>
  <c r="U460" i="4"/>
  <c r="P439" i="4"/>
  <c r="V440" i="1"/>
  <c r="V439" i="5" s="1"/>
  <c r="X440" i="1"/>
  <c r="X439" i="5" s="1"/>
  <c r="U440" i="1"/>
  <c r="I222" i="2"/>
  <c r="I233" i="4"/>
  <c r="K233" i="1"/>
  <c r="K233" i="5" s="1"/>
  <c r="M220" i="2"/>
  <c r="M231" i="4"/>
  <c r="AA231" i="1"/>
  <c r="AA231" i="5" s="1"/>
  <c r="X2408" i="1"/>
  <c r="Z2408" i="1" s="1"/>
  <c r="X2365" i="1"/>
  <c r="Z2365" i="1" s="1"/>
  <c r="O2454" i="1"/>
  <c r="O2920" i="1" s="1"/>
  <c r="T1544" i="1"/>
  <c r="T2910" i="1" s="1"/>
  <c r="AA2856" i="1"/>
  <c r="AA2839" i="1"/>
  <c r="AB2825" i="1"/>
  <c r="K2823" i="1"/>
  <c r="U2816" i="1"/>
  <c r="AB2803" i="1"/>
  <c r="S2827" i="1"/>
  <c r="H2614" i="1"/>
  <c r="H2606" i="5" s="1"/>
  <c r="M2597" i="1"/>
  <c r="M2589" i="5" s="1"/>
  <c r="W2558" i="1"/>
  <c r="X2546" i="1"/>
  <c r="Z2546" i="1" s="1"/>
  <c r="Y2575" i="1"/>
  <c r="X2462" i="1"/>
  <c r="X2454" i="5" s="1"/>
  <c r="M2430" i="1"/>
  <c r="M2424" i="5" s="1"/>
  <c r="X2378" i="1"/>
  <c r="Z2378" i="1" s="1"/>
  <c r="H2343" i="1"/>
  <c r="H2337" i="5" s="1"/>
  <c r="X2337" i="5" s="1"/>
  <c r="Z2337" i="5" s="1"/>
  <c r="G2454" i="1"/>
  <c r="G2920" i="1" s="1"/>
  <c r="AA2291" i="1"/>
  <c r="AA2287" i="5" s="1"/>
  <c r="O2298" i="1"/>
  <c r="O2918" i="1" s="1"/>
  <c r="X2081" i="1"/>
  <c r="Z2081" i="1" s="1"/>
  <c r="R2085" i="1"/>
  <c r="R2916" i="1" s="1"/>
  <c r="X2028" i="1"/>
  <c r="Z2028" i="1" s="1"/>
  <c r="X2024" i="1"/>
  <c r="Z2024" i="1" s="1"/>
  <c r="X2019" i="1"/>
  <c r="P1971" i="1"/>
  <c r="H1945" i="1"/>
  <c r="H1941" i="5" s="1"/>
  <c r="X1941" i="5" s="1"/>
  <c r="P1926" i="1"/>
  <c r="AA1855" i="1"/>
  <c r="AA1851" i="5" s="1"/>
  <c r="K1847" i="1"/>
  <c r="K1973" i="1" s="1"/>
  <c r="L1973" i="1"/>
  <c r="L2914" i="1" s="1"/>
  <c r="M1750" i="1"/>
  <c r="M1746" i="5" s="1"/>
  <c r="AA1734" i="1"/>
  <c r="AA1731" i="5" s="1"/>
  <c r="S1742" i="1"/>
  <c r="S2912" i="1" s="1"/>
  <c r="J1742" i="1"/>
  <c r="J2912" i="1" s="1"/>
  <c r="AA1708" i="1"/>
  <c r="AA1705" i="5" s="1"/>
  <c r="AA1704" i="1"/>
  <c r="AA1701" i="5" s="1"/>
  <c r="AA1698" i="1"/>
  <c r="AA1695" i="5" s="1"/>
  <c r="X1697" i="1"/>
  <c r="X1695" i="1"/>
  <c r="Z1695" i="1" s="1"/>
  <c r="X1691" i="1"/>
  <c r="X1687" i="1"/>
  <c r="X1670" i="1"/>
  <c r="X1666" i="1"/>
  <c r="X1653" i="1"/>
  <c r="X1648" i="1"/>
  <c r="X1614" i="1"/>
  <c r="Z1614" i="1" s="1"/>
  <c r="AA1552" i="1"/>
  <c r="AA1549" i="5" s="1"/>
  <c r="V1534" i="1"/>
  <c r="V1533" i="5" s="1"/>
  <c r="V1522" i="1"/>
  <c r="V1521" i="5" s="1"/>
  <c r="V1510" i="1"/>
  <c r="V1509" i="5" s="1"/>
  <c r="V1484" i="1"/>
  <c r="V1483" i="5" s="1"/>
  <c r="AA1483" i="1"/>
  <c r="AA1475" i="1"/>
  <c r="AA1474" i="5" s="1"/>
  <c r="H1467" i="1"/>
  <c r="H1466" i="5" s="1"/>
  <c r="X1466" i="5" s="1"/>
  <c r="AA1457" i="1"/>
  <c r="V1442" i="1"/>
  <c r="V1441" i="5" s="1"/>
  <c r="V1427" i="1"/>
  <c r="V1426" i="5" s="1"/>
  <c r="V1423" i="1"/>
  <c r="V1422" i="5" s="1"/>
  <c r="Z1391" i="1"/>
  <c r="Z1321" i="2" s="1"/>
  <c r="F1130" i="1"/>
  <c r="F1190" i="1" s="1"/>
  <c r="F2908" i="1" s="1"/>
  <c r="W1010" i="1"/>
  <c r="Y639" i="1"/>
  <c r="H2359" i="4"/>
  <c r="X2359" i="4" s="1"/>
  <c r="Z2359" i="4" s="1"/>
  <c r="H2455" i="4"/>
  <c r="X2463" i="1"/>
  <c r="X2455" i="5" s="1"/>
  <c r="M2463" i="1"/>
  <c r="M2455" i="5" s="1"/>
  <c r="H2453" i="4"/>
  <c r="X2461" i="1"/>
  <c r="X2453" i="5" s="1"/>
  <c r="M2461" i="1"/>
  <c r="M2453" i="5" s="1"/>
  <c r="M2470" i="5" s="1"/>
  <c r="H2441" i="4"/>
  <c r="M2447" i="1"/>
  <c r="M2441" i="5" s="1"/>
  <c r="X2447" i="1"/>
  <c r="Z2447" i="1" s="1"/>
  <c r="J2447" i="1"/>
  <c r="H2435" i="4"/>
  <c r="M2441" i="1"/>
  <c r="M2435" i="5" s="1"/>
  <c r="X2441" i="1"/>
  <c r="Z2441" i="1" s="1"/>
  <c r="J2441" i="1"/>
  <c r="P2420" i="4"/>
  <c r="U2426" i="1"/>
  <c r="P2418" i="4"/>
  <c r="U2424" i="1"/>
  <c r="M2413" i="4"/>
  <c r="AA2419" i="1"/>
  <c r="AA2413" i="5" s="1"/>
  <c r="M2399" i="4"/>
  <c r="H2398" i="4"/>
  <c r="X2398" i="4" s="1"/>
  <c r="Z2398" i="4" s="1"/>
  <c r="M2404" i="1"/>
  <c r="M2398" i="5" s="1"/>
  <c r="X2404" i="1"/>
  <c r="Z2404" i="1" s="1"/>
  <c r="M2395" i="4"/>
  <c r="H2394" i="4"/>
  <c r="X2394" i="4" s="1"/>
  <c r="Z2394" i="4" s="1"/>
  <c r="M2400" i="1"/>
  <c r="M2394" i="5" s="1"/>
  <c r="X2400" i="1"/>
  <c r="K2390" i="4"/>
  <c r="K2410" i="4" s="1"/>
  <c r="K2416" i="1"/>
  <c r="P2385" i="4"/>
  <c r="U2391" i="1"/>
  <c r="U2385" i="5" s="1"/>
  <c r="Q2391" i="1"/>
  <c r="Q2385" i="5" s="1"/>
  <c r="H2371" i="4"/>
  <c r="X2371" i="4" s="1"/>
  <c r="Z2371" i="4" s="1"/>
  <c r="M2377" i="1"/>
  <c r="X2377" i="1"/>
  <c r="H2388" i="1"/>
  <c r="K2344" i="4"/>
  <c r="K2366" i="4" s="1"/>
  <c r="K2372" i="1"/>
  <c r="F2329" i="4"/>
  <c r="F2341" i="4" s="1"/>
  <c r="H2335" i="1"/>
  <c r="H2329" i="5" s="1"/>
  <c r="X2329" i="5" s="1"/>
  <c r="Z2329" i="5" s="1"/>
  <c r="H2322" i="4"/>
  <c r="X2322" i="4" s="1"/>
  <c r="Z2322" i="4" s="1"/>
  <c r="M2328" i="1"/>
  <c r="M2322" i="5" s="1"/>
  <c r="X2328" i="1"/>
  <c r="Z2328" i="1" s="1"/>
  <c r="M2309" i="4"/>
  <c r="P2286" i="4"/>
  <c r="U2290" i="1"/>
  <c r="P2283" i="4"/>
  <c r="X2283" i="4" s="1"/>
  <c r="X2287" i="1"/>
  <c r="Z2287" i="1" s="1"/>
  <c r="H2281" i="4"/>
  <c r="X2281" i="4" s="1"/>
  <c r="Z2281" i="4" s="1"/>
  <c r="M2285" i="1"/>
  <c r="M2281" i="5" s="1"/>
  <c r="P2272" i="4"/>
  <c r="U2276" i="1"/>
  <c r="E2266" i="4"/>
  <c r="H2260" i="4"/>
  <c r="X2260" i="4" s="1"/>
  <c r="Z2260" i="4" s="1"/>
  <c r="M2264" i="1"/>
  <c r="M2260" i="5" s="1"/>
  <c r="X2264" i="1"/>
  <c r="Z2264" i="1" s="1"/>
  <c r="P2256" i="4"/>
  <c r="U2260" i="1"/>
  <c r="M2252" i="4"/>
  <c r="AA2256" i="1"/>
  <c r="AA2252" i="5" s="1"/>
  <c r="E2251" i="4"/>
  <c r="M2250" i="4"/>
  <c r="H2249" i="4"/>
  <c r="X2249" i="4" s="1"/>
  <c r="Z2249" i="4" s="1"/>
  <c r="M2253" i="1"/>
  <c r="M2249" i="5" s="1"/>
  <c r="X2253" i="1"/>
  <c r="Z2253" i="1" s="1"/>
  <c r="M2248" i="4"/>
  <c r="H2247" i="4"/>
  <c r="X2247" i="4" s="1"/>
  <c r="Z2247" i="4" s="1"/>
  <c r="M2251" i="1"/>
  <c r="M2247" i="5" s="1"/>
  <c r="X2251" i="1"/>
  <c r="Z2251" i="1" s="1"/>
  <c r="M2246" i="4"/>
  <c r="H2235" i="4"/>
  <c r="X2235" i="4" s="1"/>
  <c r="Z2235" i="4" s="1"/>
  <c r="M2239" i="1"/>
  <c r="M2235" i="5" s="1"/>
  <c r="X2239" i="1"/>
  <c r="Z2239" i="1" s="1"/>
  <c r="AB2239" i="1" s="1"/>
  <c r="P2233" i="4"/>
  <c r="X2233" i="4" s="1"/>
  <c r="Z2233" i="4" s="1"/>
  <c r="U2237" i="1"/>
  <c r="Q2237" i="1"/>
  <c r="P2231" i="4"/>
  <c r="U2235" i="1"/>
  <c r="P2226" i="4"/>
  <c r="U2230" i="1"/>
  <c r="P2224" i="4"/>
  <c r="U2228" i="1"/>
  <c r="U2224" i="5" s="1"/>
  <c r="P2247" i="1"/>
  <c r="M2223" i="4"/>
  <c r="AA2227" i="1"/>
  <c r="AA2223" i="5" s="1"/>
  <c r="Q2222" i="4"/>
  <c r="P2215" i="4"/>
  <c r="U2219" i="1"/>
  <c r="H2207" i="4"/>
  <c r="M2211" i="1"/>
  <c r="M2207" i="5" s="1"/>
  <c r="X2211" i="1"/>
  <c r="Z2211" i="1" s="1"/>
  <c r="P2203" i="4"/>
  <c r="X2203" i="4" s="1"/>
  <c r="U2207" i="1"/>
  <c r="M2202" i="4"/>
  <c r="AA2206" i="1"/>
  <c r="AA2202" i="5" s="1"/>
  <c r="H2197" i="4"/>
  <c r="M2201" i="1"/>
  <c r="M2197" i="5" s="1"/>
  <c r="X2201" i="1"/>
  <c r="J2201" i="1"/>
  <c r="J2197" i="5" s="1"/>
  <c r="M2186" i="4"/>
  <c r="P2177" i="4"/>
  <c r="X2177" i="4" s="1"/>
  <c r="U2181" i="1"/>
  <c r="U2177" i="5" s="1"/>
  <c r="M2176" i="4"/>
  <c r="AA2180" i="1"/>
  <c r="AA2176" i="5" s="1"/>
  <c r="E2164" i="4"/>
  <c r="Z2168" i="1"/>
  <c r="P2158" i="4"/>
  <c r="U2162" i="1"/>
  <c r="H2154" i="4"/>
  <c r="X2154" i="4" s="1"/>
  <c r="Z2154" i="4" s="1"/>
  <c r="M2158" i="1"/>
  <c r="M2154" i="5" s="1"/>
  <c r="X2158" i="1"/>
  <c r="H2145" i="4"/>
  <c r="X2145" i="4" s="1"/>
  <c r="Z2145" i="4" s="1"/>
  <c r="M2149" i="1"/>
  <c r="M2145" i="5" s="1"/>
  <c r="X2149" i="1"/>
  <c r="Z2149" i="1" s="1"/>
  <c r="M2130" i="4"/>
  <c r="H2129" i="4"/>
  <c r="X2129" i="4" s="1"/>
  <c r="M2133" i="1"/>
  <c r="M2129" i="5" s="1"/>
  <c r="X2133" i="1"/>
  <c r="Z2133" i="1" s="1"/>
  <c r="E2118" i="4"/>
  <c r="M2115" i="4"/>
  <c r="P2109" i="4"/>
  <c r="U2113" i="1"/>
  <c r="H2102" i="4"/>
  <c r="M2106" i="1"/>
  <c r="M2102" i="5" s="1"/>
  <c r="X2106" i="1"/>
  <c r="X2102" i="5" s="1"/>
  <c r="M2099" i="4"/>
  <c r="H2098" i="4"/>
  <c r="M2102" i="1"/>
  <c r="M2098" i="5" s="1"/>
  <c r="X2102" i="1"/>
  <c r="X2098" i="5" s="1"/>
  <c r="M2091" i="4"/>
  <c r="AA2095" i="1"/>
  <c r="AA2091" i="5" s="1"/>
  <c r="V2066" i="4"/>
  <c r="H2057" i="4"/>
  <c r="X2057" i="4" s="1"/>
  <c r="Z2057" i="4" s="1"/>
  <c r="X2061" i="1"/>
  <c r="Z2061" i="1" s="1"/>
  <c r="F2025" i="4"/>
  <c r="F2037" i="4" s="1"/>
  <c r="H2029" i="1"/>
  <c r="P2022" i="4"/>
  <c r="X2022" i="4" s="1"/>
  <c r="Z2022" i="4" s="1"/>
  <c r="V2026" i="1"/>
  <c r="V2022" i="5" s="1"/>
  <c r="U2026" i="1"/>
  <c r="H2021" i="4"/>
  <c r="X2021" i="4" s="1"/>
  <c r="Z2021" i="4" s="1"/>
  <c r="X2025" i="1"/>
  <c r="Z2025" i="1" s="1"/>
  <c r="M2025" i="1"/>
  <c r="M2021" i="5" s="1"/>
  <c r="P2017" i="4"/>
  <c r="V2021" i="1"/>
  <c r="V2017" i="5" s="1"/>
  <c r="U2021" i="1"/>
  <c r="U2017" i="5" s="1"/>
  <c r="H2016" i="4"/>
  <c r="X2016" i="4" s="1"/>
  <c r="Z2016" i="4" s="1"/>
  <c r="X2020" i="1"/>
  <c r="Z2020" i="1" s="1"/>
  <c r="M2020" i="1"/>
  <c r="M2016" i="5" s="1"/>
  <c r="H1955" i="4"/>
  <c r="M1959" i="1"/>
  <c r="M1955" i="5" s="1"/>
  <c r="X1959" i="1"/>
  <c r="Z1959" i="1" s="1"/>
  <c r="J1959" i="1"/>
  <c r="P1940" i="4"/>
  <c r="U1944" i="1"/>
  <c r="E1938" i="4"/>
  <c r="Q1942" i="1"/>
  <c r="E1935" i="4"/>
  <c r="M1932" i="4"/>
  <c r="M1919" i="4"/>
  <c r="H1918" i="4"/>
  <c r="X1918" i="4" s="1"/>
  <c r="Z1918" i="4" s="1"/>
  <c r="M1922" i="1"/>
  <c r="M1918" i="5" s="1"/>
  <c r="X1922" i="1"/>
  <c r="Z1922" i="1" s="1"/>
  <c r="H1905" i="4"/>
  <c r="M1909" i="1"/>
  <c r="M1905" i="5" s="1"/>
  <c r="X1909" i="1"/>
  <c r="Z1909" i="1" s="1"/>
  <c r="J1909" i="1"/>
  <c r="E1904" i="4"/>
  <c r="Q1908" i="1"/>
  <c r="Z1908" i="1"/>
  <c r="E1903" i="4"/>
  <c r="Q1907" i="1"/>
  <c r="E1926" i="1"/>
  <c r="H1894" i="4"/>
  <c r="H1795" i="2"/>
  <c r="M1898" i="1"/>
  <c r="M1894" i="5" s="1"/>
  <c r="X1898" i="1"/>
  <c r="U1792" i="2"/>
  <c r="U1891" i="4"/>
  <c r="H1791" i="2"/>
  <c r="H1890" i="4"/>
  <c r="M1894" i="1"/>
  <c r="M1890" i="5" s="1"/>
  <c r="X1894" i="1"/>
  <c r="X1791" i="2" s="1"/>
  <c r="U1788" i="2"/>
  <c r="U1884" i="4"/>
  <c r="J1779" i="2"/>
  <c r="H1775" i="2"/>
  <c r="H1871" i="4"/>
  <c r="M1875" i="1"/>
  <c r="M1871" i="5" s="1"/>
  <c r="X1875" i="1"/>
  <c r="X1773" i="2"/>
  <c r="Z1873" i="1"/>
  <c r="Z1773" i="2" s="1"/>
  <c r="E1767" i="2"/>
  <c r="E1863" i="4"/>
  <c r="M1761" i="2"/>
  <c r="M1855" i="4"/>
  <c r="AA1859" i="1"/>
  <c r="AA1855" i="5" s="1"/>
  <c r="Q1757" i="2"/>
  <c r="Q1851" i="4"/>
  <c r="U1756" i="2"/>
  <c r="U1850" i="4"/>
  <c r="H1747" i="2"/>
  <c r="H1841" i="4"/>
  <c r="M1845" i="1"/>
  <c r="M1841" i="5" s="1"/>
  <c r="X1845" i="1"/>
  <c r="E1746" i="2"/>
  <c r="E1840" i="4"/>
  <c r="P1837" i="4"/>
  <c r="X1837" i="4" s="1"/>
  <c r="Z1837" i="4" s="1"/>
  <c r="X1841" i="1"/>
  <c r="Z1841" i="1" s="1"/>
  <c r="U1841" i="1"/>
  <c r="H1743" i="2"/>
  <c r="H1835" i="4"/>
  <c r="M1839" i="1"/>
  <c r="M1835" i="5" s="1"/>
  <c r="X1839" i="1"/>
  <c r="J1839" i="1"/>
  <c r="J1835" i="5" s="1"/>
  <c r="U1741" i="2"/>
  <c r="U1833" i="4"/>
  <c r="U1738" i="2"/>
  <c r="U1830" i="4"/>
  <c r="P1736" i="2"/>
  <c r="P1828" i="4"/>
  <c r="U1832" i="1"/>
  <c r="U1828" i="5" s="1"/>
  <c r="Q1832" i="1"/>
  <c r="Q1828" i="5" s="1"/>
  <c r="M1735" i="2"/>
  <c r="M1827" i="4"/>
  <c r="AA1831" i="1"/>
  <c r="AA1827" i="5" s="1"/>
  <c r="E1733" i="2"/>
  <c r="E1825" i="4"/>
  <c r="Q1829" i="1"/>
  <c r="Q1825" i="5" s="1"/>
  <c r="Z1829" i="1"/>
  <c r="Z1733" i="2" s="1"/>
  <c r="E1847" i="1"/>
  <c r="H1823" i="4"/>
  <c r="H1731" i="2"/>
  <c r="M1827" i="1"/>
  <c r="M1823" i="5" s="1"/>
  <c r="X1827" i="1"/>
  <c r="H1724" i="2"/>
  <c r="H1816" i="4"/>
  <c r="Q1720" i="2"/>
  <c r="Q1812" i="4"/>
  <c r="U1718" i="2"/>
  <c r="U1810" i="4"/>
  <c r="M1716" i="2"/>
  <c r="M1808" i="4"/>
  <c r="AA1812" i="1"/>
  <c r="AA1808" i="5" s="1"/>
  <c r="H1713" i="2"/>
  <c r="H1805" i="4"/>
  <c r="M1809" i="1"/>
  <c r="M1805" i="5" s="1"/>
  <c r="X1809" i="1"/>
  <c r="Z1809" i="1" s="1"/>
  <c r="J1809" i="1"/>
  <c r="J1805" i="5" s="1"/>
  <c r="U1704" i="2"/>
  <c r="U1795" i="4"/>
  <c r="M1702" i="2"/>
  <c r="M1793" i="4"/>
  <c r="AA1797" i="1"/>
  <c r="AA1793" i="5" s="1"/>
  <c r="P1691" i="2"/>
  <c r="P1782" i="4"/>
  <c r="U1786" i="1"/>
  <c r="U1782" i="5" s="1"/>
  <c r="J1690" i="2"/>
  <c r="J1781" i="4"/>
  <c r="P1684" i="2"/>
  <c r="P1775" i="4"/>
  <c r="U1779" i="1"/>
  <c r="U1775" i="5" s="1"/>
  <c r="X1682" i="2"/>
  <c r="Z1777" i="1"/>
  <c r="Z1682" i="2" s="1"/>
  <c r="M1679" i="2"/>
  <c r="M1770" i="4"/>
  <c r="X1673" i="2"/>
  <c r="Z1768" i="1"/>
  <c r="Z1764" i="5" s="1"/>
  <c r="H1664" i="2"/>
  <c r="H1755" i="4"/>
  <c r="M1759" i="1"/>
  <c r="M1755" i="5" s="1"/>
  <c r="J1759" i="1"/>
  <c r="J1755" i="5" s="1"/>
  <c r="U1661" i="2"/>
  <c r="U1752" i="4"/>
  <c r="H1658" i="2"/>
  <c r="H1749" i="4"/>
  <c r="M1753" i="1"/>
  <c r="M1749" i="5" s="1"/>
  <c r="X1753" i="1"/>
  <c r="X1749" i="5" s="1"/>
  <c r="J1753" i="1"/>
  <c r="J1749" i="5" s="1"/>
  <c r="P1654" i="2"/>
  <c r="P1745" i="4"/>
  <c r="U1749" i="1"/>
  <c r="U1745" i="5" s="1"/>
  <c r="P1762" i="1"/>
  <c r="P1643" i="2"/>
  <c r="P1735" i="4"/>
  <c r="V1738" i="1"/>
  <c r="V1735" i="5" s="1"/>
  <c r="U1738" i="1"/>
  <c r="U1735" i="5" s="1"/>
  <c r="AA1641" i="2"/>
  <c r="AA1733" i="4"/>
  <c r="AB1736" i="1"/>
  <c r="AB1733" i="5" s="1"/>
  <c r="AA1625" i="2"/>
  <c r="AA1717" i="4"/>
  <c r="AB1720" i="1"/>
  <c r="AB1717" i="5" s="1"/>
  <c r="AA1621" i="2"/>
  <c r="AA1713" i="4"/>
  <c r="AB1716" i="1"/>
  <c r="AB1713" i="5" s="1"/>
  <c r="AA1611" i="2"/>
  <c r="AA1703" i="4"/>
  <c r="AB1706" i="1"/>
  <c r="AB1703" i="5" s="1"/>
  <c r="E1603" i="2"/>
  <c r="E1605" i="2" s="1"/>
  <c r="E1695" i="4"/>
  <c r="AB1698" i="1"/>
  <c r="AB1695" i="5" s="1"/>
  <c r="H1693" i="4"/>
  <c r="X1693" i="4" s="1"/>
  <c r="X1696" i="1"/>
  <c r="Z1696" i="1" s="1"/>
  <c r="M1696" i="1"/>
  <c r="M1693" i="5" s="1"/>
  <c r="P1601" i="2"/>
  <c r="P1690" i="4"/>
  <c r="V1693" i="1"/>
  <c r="V1690" i="5" s="1"/>
  <c r="U1693" i="1"/>
  <c r="U1690" i="5" s="1"/>
  <c r="H1600" i="2"/>
  <c r="H1689" i="4"/>
  <c r="X1692" i="1"/>
  <c r="M1692" i="1"/>
  <c r="M1689" i="5" s="1"/>
  <c r="P1686" i="4"/>
  <c r="P1597" i="2"/>
  <c r="V1689" i="1"/>
  <c r="V1686" i="5" s="1"/>
  <c r="U1689" i="1"/>
  <c r="H1596" i="2"/>
  <c r="H1685" i="4"/>
  <c r="X1688" i="1"/>
  <c r="M1688" i="1"/>
  <c r="M1685" i="5" s="1"/>
  <c r="P1593" i="2"/>
  <c r="P1682" i="4"/>
  <c r="V1685" i="1"/>
  <c r="V1682" i="5" s="1"/>
  <c r="P1700" i="1"/>
  <c r="U1685" i="1"/>
  <c r="U1682" i="5" s="1"/>
  <c r="H1592" i="2"/>
  <c r="H1681" i="4"/>
  <c r="X1684" i="1"/>
  <c r="H1700" i="1"/>
  <c r="M1684" i="1"/>
  <c r="M1681" i="5" s="1"/>
  <c r="V1586" i="2"/>
  <c r="V1675" i="4"/>
  <c r="W1678" i="1"/>
  <c r="W1675" i="5" s="1"/>
  <c r="P1671" i="4"/>
  <c r="X1671" i="4" s="1"/>
  <c r="V1674" i="1"/>
  <c r="V1671" i="5" s="1"/>
  <c r="H1582" i="2"/>
  <c r="H1668" i="4"/>
  <c r="X1671" i="1"/>
  <c r="H1578" i="2"/>
  <c r="H1664" i="4"/>
  <c r="X1667" i="1"/>
  <c r="P1571" i="2"/>
  <c r="P1657" i="4"/>
  <c r="V1660" i="1"/>
  <c r="V1657" i="5" s="1"/>
  <c r="P1654" i="4"/>
  <c r="X1654" i="4" s="1"/>
  <c r="V1657" i="1"/>
  <c r="V1654" i="5" s="1"/>
  <c r="V1568" i="2"/>
  <c r="V1651" i="4"/>
  <c r="H1563" i="2"/>
  <c r="H1646" i="4"/>
  <c r="X1649" i="1"/>
  <c r="V1548" i="2"/>
  <c r="V1629" i="4"/>
  <c r="W1632" i="1"/>
  <c r="W1629" i="5" s="1"/>
  <c r="M1547" i="2"/>
  <c r="V1544" i="2"/>
  <c r="V1625" i="4"/>
  <c r="W1628" i="1"/>
  <c r="W1625" i="5" s="1"/>
  <c r="M1543" i="2"/>
  <c r="M1624" i="4"/>
  <c r="V1540" i="2"/>
  <c r="V1621" i="4"/>
  <c r="P1615" i="4"/>
  <c r="X1615" i="4" s="1"/>
  <c r="X1618" i="1"/>
  <c r="Z1618" i="1" s="1"/>
  <c r="H1533" i="2"/>
  <c r="H1612" i="4"/>
  <c r="X1615" i="1"/>
  <c r="H1530" i="2"/>
  <c r="H1608" i="4"/>
  <c r="X1611" i="1"/>
  <c r="V1527" i="2"/>
  <c r="V1605" i="4"/>
  <c r="W1608" i="1"/>
  <c r="W1605" i="5" s="1"/>
  <c r="M1525" i="2"/>
  <c r="M1603" i="4"/>
  <c r="H1520" i="2"/>
  <c r="H1598" i="4"/>
  <c r="X1601" i="1"/>
  <c r="U1511" i="2"/>
  <c r="U1587" i="4"/>
  <c r="U1509" i="2"/>
  <c r="U1585" i="4"/>
  <c r="U1507" i="2"/>
  <c r="U1583" i="4"/>
  <c r="U1505" i="2"/>
  <c r="U1581" i="4"/>
  <c r="U1503" i="2"/>
  <c r="U1579" i="4"/>
  <c r="U1501" i="2"/>
  <c r="U1577" i="4"/>
  <c r="U1499" i="2"/>
  <c r="U1575" i="4"/>
  <c r="X1496" i="2"/>
  <c r="X1572" i="4"/>
  <c r="Z1575" i="1"/>
  <c r="Z1572" i="5" s="1"/>
  <c r="X1490" i="2"/>
  <c r="X1566" i="4"/>
  <c r="Z1569" i="1"/>
  <c r="Z1566" i="5" s="1"/>
  <c r="X1489" i="2"/>
  <c r="X1564" i="4"/>
  <c r="Z1567" i="1"/>
  <c r="Z1564" i="5" s="1"/>
  <c r="Z1565" i="1"/>
  <c r="Z1562" i="5" s="1"/>
  <c r="X1485" i="2"/>
  <c r="X1560" i="4"/>
  <c r="Z1563" i="1"/>
  <c r="Z1560" i="5" s="1"/>
  <c r="X1483" i="2"/>
  <c r="X1558" i="4"/>
  <c r="Z1561" i="1"/>
  <c r="Z1558" i="5" s="1"/>
  <c r="U1482" i="2"/>
  <c r="U1557" i="4"/>
  <c r="U1480" i="2"/>
  <c r="U1555" i="4"/>
  <c r="U1478" i="2"/>
  <c r="U1553" i="4"/>
  <c r="V1476" i="2"/>
  <c r="V1551" i="4"/>
  <c r="W1554" i="1"/>
  <c r="W1551" i="5" s="1"/>
  <c r="U1456" i="2"/>
  <c r="U1533" i="4"/>
  <c r="Q1453" i="2"/>
  <c r="Q1530" i="4"/>
  <c r="V1450" i="2"/>
  <c r="V1527" i="4"/>
  <c r="W1528" i="1"/>
  <c r="W1527" i="5" s="1"/>
  <c r="H1444" i="2"/>
  <c r="H1521" i="4"/>
  <c r="M1522" i="1"/>
  <c r="M1521" i="5" s="1"/>
  <c r="U1432" i="2"/>
  <c r="U1509" i="4"/>
  <c r="H1432" i="2"/>
  <c r="H1509" i="4"/>
  <c r="M1510" i="1"/>
  <c r="M1509" i="5" s="1"/>
  <c r="V1494" i="4"/>
  <c r="M1417" i="2"/>
  <c r="M1494" i="4"/>
  <c r="M1415" i="2"/>
  <c r="M1492" i="4"/>
  <c r="W1491" i="1"/>
  <c r="W1490" i="5" s="1"/>
  <c r="M1414" i="2"/>
  <c r="M1490" i="4"/>
  <c r="V1412" i="2"/>
  <c r="V1488" i="4"/>
  <c r="P1411" i="2"/>
  <c r="P1487" i="4"/>
  <c r="V1488" i="1"/>
  <c r="V1487" i="5" s="1"/>
  <c r="U1488" i="1"/>
  <c r="U1487" i="5" s="1"/>
  <c r="U1407" i="2"/>
  <c r="U1483" i="4"/>
  <c r="E1406" i="2"/>
  <c r="E1482" i="4"/>
  <c r="Q1483" i="1"/>
  <c r="Q1482" i="5" s="1"/>
  <c r="H1400" i="2"/>
  <c r="H1476" i="4"/>
  <c r="M1477" i="1"/>
  <c r="M1476" i="5" s="1"/>
  <c r="J1477" i="1"/>
  <c r="J1476" i="5" s="1"/>
  <c r="H1498" i="1"/>
  <c r="J1399" i="2"/>
  <c r="J1475" i="4"/>
  <c r="U1389" i="2"/>
  <c r="U1461" i="4"/>
  <c r="H1388" i="2"/>
  <c r="H1460" i="4"/>
  <c r="M1461" i="1"/>
  <c r="M1460" i="5" s="1"/>
  <c r="J1461" i="1"/>
  <c r="J1460" i="5" s="1"/>
  <c r="P1387" i="2"/>
  <c r="P1458" i="4"/>
  <c r="V1459" i="1"/>
  <c r="V1458" i="5" s="1"/>
  <c r="F1386" i="2"/>
  <c r="F1457" i="4"/>
  <c r="H1383" i="2"/>
  <c r="H1454" i="4"/>
  <c r="M1455" i="1"/>
  <c r="M1454" i="5" s="1"/>
  <c r="J1455" i="1"/>
  <c r="J1454" i="5" s="1"/>
  <c r="V1381" i="2"/>
  <c r="V1452" i="4"/>
  <c r="W1453" i="1"/>
  <c r="W1452" i="5" s="1"/>
  <c r="M1381" i="2"/>
  <c r="M1452" i="4"/>
  <c r="P1378" i="2"/>
  <c r="P1449" i="4"/>
  <c r="U1450" i="1"/>
  <c r="U1449" i="5" s="1"/>
  <c r="AA1376" i="2"/>
  <c r="J1376" i="2"/>
  <c r="J1447" i="4"/>
  <c r="M1375" i="2"/>
  <c r="M1446" i="4"/>
  <c r="M1374" i="2"/>
  <c r="M1445" i="4"/>
  <c r="U1370" i="2"/>
  <c r="U1441" i="4"/>
  <c r="P1365" i="2"/>
  <c r="P1436" i="4"/>
  <c r="V1437" i="1"/>
  <c r="V1436" i="5" s="1"/>
  <c r="U1437" i="1"/>
  <c r="U1436" i="5" s="1"/>
  <c r="P1472" i="1"/>
  <c r="P1431" i="4"/>
  <c r="P1360" i="2"/>
  <c r="U1432" i="1"/>
  <c r="U1431" i="5" s="1"/>
  <c r="AA1358" i="2"/>
  <c r="AA1429" i="4"/>
  <c r="AB1430" i="1"/>
  <c r="AB1429" i="5" s="1"/>
  <c r="F1357" i="2"/>
  <c r="F1427" i="4"/>
  <c r="H1428" i="1"/>
  <c r="H1427" i="5" s="1"/>
  <c r="X1427" i="5" s="1"/>
  <c r="Z1427" i="5" s="1"/>
  <c r="H1356" i="2"/>
  <c r="H1426" i="4"/>
  <c r="M1427" i="1"/>
  <c r="M1426" i="5" s="1"/>
  <c r="F1353" i="2"/>
  <c r="F1423" i="4"/>
  <c r="H1424" i="1"/>
  <c r="H1423" i="5" s="1"/>
  <c r="X1423" i="5" s="1"/>
  <c r="Z1423" i="5" s="1"/>
  <c r="H1352" i="2"/>
  <c r="H1422" i="4"/>
  <c r="M1423" i="1"/>
  <c r="M1422" i="5" s="1"/>
  <c r="F1347" i="2"/>
  <c r="F1417" i="4"/>
  <c r="H1418" i="1"/>
  <c r="H1417" i="5" s="1"/>
  <c r="X1417" i="5" s="1"/>
  <c r="Z1417" i="5" s="1"/>
  <c r="V1344" i="2"/>
  <c r="V1414" i="4"/>
  <c r="U1341" i="2"/>
  <c r="U1411" i="4"/>
  <c r="J1340" i="2"/>
  <c r="J1410" i="4"/>
  <c r="V1337" i="2"/>
  <c r="V1407" i="4"/>
  <c r="E1335" i="2"/>
  <c r="E1405" i="4"/>
  <c r="E1434" i="1"/>
  <c r="U1329" i="2"/>
  <c r="U1399" i="4"/>
  <c r="U1394" i="4"/>
  <c r="U1325" i="2"/>
  <c r="H1325" i="2"/>
  <c r="H1394" i="4"/>
  <c r="X1395" i="1"/>
  <c r="M1395" i="1"/>
  <c r="M1394" i="5" s="1"/>
  <c r="V1395" i="1"/>
  <c r="V1394" i="5" s="1"/>
  <c r="Q1323" i="2"/>
  <c r="Q1392" i="4"/>
  <c r="F1391" i="4"/>
  <c r="F1322" i="2"/>
  <c r="H1318" i="2"/>
  <c r="H1387" i="4"/>
  <c r="M1388" i="1"/>
  <c r="M1387" i="5" s="1"/>
  <c r="V1388" i="1"/>
  <c r="V1387" i="5" s="1"/>
  <c r="J1388" i="1"/>
  <c r="J1387" i="5" s="1"/>
  <c r="X1317" i="2"/>
  <c r="Z1387" i="1"/>
  <c r="Z1317" i="2" s="1"/>
  <c r="Q1316" i="2"/>
  <c r="Q1385" i="4"/>
  <c r="V1315" i="2"/>
  <c r="V1384" i="4"/>
  <c r="W1385" i="1"/>
  <c r="W1384" i="5" s="1"/>
  <c r="M1315" i="2"/>
  <c r="M1384" i="4"/>
  <c r="AA1313" i="2"/>
  <c r="AA1382" i="4"/>
  <c r="AB1383" i="1"/>
  <c r="AB1382" i="5" s="1"/>
  <c r="U1382" i="4"/>
  <c r="U1313" i="2"/>
  <c r="J1313" i="2"/>
  <c r="J1382" i="4"/>
  <c r="H1311" i="2"/>
  <c r="H1380" i="4"/>
  <c r="J1381" i="1"/>
  <c r="J1380" i="5" s="1"/>
  <c r="X1381" i="1"/>
  <c r="X1311" i="2" s="1"/>
  <c r="M1381" i="1"/>
  <c r="M1380" i="5" s="1"/>
  <c r="P1309" i="2"/>
  <c r="P1378" i="4"/>
  <c r="V1379" i="1"/>
  <c r="V1378" i="5" s="1"/>
  <c r="U1379" i="1"/>
  <c r="U1378" i="5" s="1"/>
  <c r="X1379" i="1"/>
  <c r="P1403" i="1"/>
  <c r="H1302" i="2"/>
  <c r="H1371" i="4"/>
  <c r="M1372" i="1"/>
  <c r="M1371" i="5" s="1"/>
  <c r="J1372" i="1"/>
  <c r="J1371" i="5" s="1"/>
  <c r="P1300" i="2"/>
  <c r="P1369" i="4"/>
  <c r="V1370" i="1"/>
  <c r="V1369" i="5" s="1"/>
  <c r="U1370" i="1"/>
  <c r="U1369" i="5" s="1"/>
  <c r="Q1370" i="1"/>
  <c r="Q1369" i="5" s="1"/>
  <c r="Q1299" i="2"/>
  <c r="Q1368" i="4"/>
  <c r="Q1297" i="2"/>
  <c r="Q1366" i="4"/>
  <c r="V1294" i="2"/>
  <c r="V1359" i="4"/>
  <c r="Q1287" i="2"/>
  <c r="Q1352" i="4"/>
  <c r="V1279" i="2"/>
  <c r="V1344" i="4"/>
  <c r="M1277" i="2"/>
  <c r="M1342" i="4"/>
  <c r="H1265" i="2"/>
  <c r="H1328" i="4"/>
  <c r="M1329" i="1"/>
  <c r="M1328" i="5" s="1"/>
  <c r="J1329" i="1"/>
  <c r="J1328" i="5" s="1"/>
  <c r="V1262" i="2"/>
  <c r="V1325" i="4"/>
  <c r="W1326" i="1"/>
  <c r="W1325" i="5" s="1"/>
  <c r="U1261" i="2"/>
  <c r="U1324" i="4"/>
  <c r="J1261" i="2"/>
  <c r="J1324" i="4"/>
  <c r="M1259" i="2"/>
  <c r="M1322" i="4"/>
  <c r="P1255" i="2"/>
  <c r="P1318" i="4"/>
  <c r="V1319" i="1"/>
  <c r="V1318" i="5" s="1"/>
  <c r="U1319" i="1"/>
  <c r="U1318" i="5" s="1"/>
  <c r="X1319" i="1"/>
  <c r="U1251" i="2"/>
  <c r="U1314" i="4"/>
  <c r="H1242" i="2"/>
  <c r="H1305" i="4"/>
  <c r="M1306" i="1"/>
  <c r="M1305" i="5" s="1"/>
  <c r="J1306" i="1"/>
  <c r="J1305" i="5" s="1"/>
  <c r="U1239" i="2"/>
  <c r="U1302" i="4"/>
  <c r="P1237" i="2"/>
  <c r="P1300" i="4"/>
  <c r="V1301" i="1"/>
  <c r="V1300" i="5" s="1"/>
  <c r="U1301" i="1"/>
  <c r="U1300" i="5" s="1"/>
  <c r="Q1301" i="1"/>
  <c r="Q1300" i="5" s="1"/>
  <c r="V1233" i="2"/>
  <c r="V1296" i="4"/>
  <c r="P1224" i="2"/>
  <c r="P1287" i="4"/>
  <c r="U1288" i="1"/>
  <c r="U1287" i="5" s="1"/>
  <c r="H1273" i="4"/>
  <c r="X1273" i="4" s="1"/>
  <c r="Z1273" i="4" s="1"/>
  <c r="M1274" i="1"/>
  <c r="M1273" i="5" s="1"/>
  <c r="J1274" i="1"/>
  <c r="X1274" i="1"/>
  <c r="Z1274" i="1" s="1"/>
  <c r="U1211" i="2"/>
  <c r="U1270" i="4"/>
  <c r="P1209" i="2"/>
  <c r="P1268" i="4"/>
  <c r="U1269" i="1"/>
  <c r="U1268" i="5" s="1"/>
  <c r="Q1269" i="1"/>
  <c r="Q1268" i="5" s="1"/>
  <c r="X1269" i="1"/>
  <c r="E1208" i="2"/>
  <c r="E1267" i="4"/>
  <c r="Q1268" i="1"/>
  <c r="Q1267" i="5" s="1"/>
  <c r="H1197" i="2"/>
  <c r="H1256" i="4"/>
  <c r="M1257" i="1"/>
  <c r="M1256" i="5" s="1"/>
  <c r="J1257" i="1"/>
  <c r="J1256" i="5" s="1"/>
  <c r="U1190" i="2"/>
  <c r="U1249" i="4"/>
  <c r="X1188" i="2"/>
  <c r="Z1248" i="1"/>
  <c r="K1188" i="2"/>
  <c r="K1247" i="4"/>
  <c r="K1281" i="4" s="1"/>
  <c r="Q1183" i="2"/>
  <c r="Q1242" i="4"/>
  <c r="H1235" i="4"/>
  <c r="X1235" i="4" s="1"/>
  <c r="M1236" i="1"/>
  <c r="M1235" i="5" s="1"/>
  <c r="J1236" i="1"/>
  <c r="X1236" i="1"/>
  <c r="Z1236" i="1" s="1"/>
  <c r="U1168" i="2"/>
  <c r="U1222" i="4"/>
  <c r="AA1223" i="1"/>
  <c r="AA1222" i="5" s="1"/>
  <c r="E1164" i="2"/>
  <c r="E1218" i="4"/>
  <c r="W1219" i="1"/>
  <c r="W1218" i="5" s="1"/>
  <c r="Q1219" i="1"/>
  <c r="Q1218" i="5" s="1"/>
  <c r="Z1219" i="1"/>
  <c r="Z1218" i="5" s="1"/>
  <c r="U1154" i="2"/>
  <c r="U1206" i="4"/>
  <c r="M1151" i="2"/>
  <c r="M1203" i="4"/>
  <c r="H1202" i="4"/>
  <c r="J1203" i="1"/>
  <c r="X1203" i="1"/>
  <c r="M1203" i="1"/>
  <c r="M1202" i="5" s="1"/>
  <c r="V1203" i="1"/>
  <c r="M1122" i="2"/>
  <c r="M1173" i="4"/>
  <c r="U1069" i="2"/>
  <c r="U1118" i="4"/>
  <c r="U1047" i="2"/>
  <c r="U1095" i="4"/>
  <c r="X1044" i="2"/>
  <c r="Z1093" i="1"/>
  <c r="Z1044" i="2" s="1"/>
  <c r="X1033" i="2"/>
  <c r="Z1082" i="1"/>
  <c r="Z1033" i="2" s="1"/>
  <c r="M1029" i="2"/>
  <c r="M1076" i="4"/>
  <c r="X992" i="2"/>
  <c r="Z1038" i="1"/>
  <c r="Z992" i="2" s="1"/>
  <c r="P976" i="2"/>
  <c r="P1021" i="4"/>
  <c r="V1022" i="1"/>
  <c r="V1021" i="5" s="1"/>
  <c r="X1022" i="1"/>
  <c r="U1022" i="1"/>
  <c r="U1021" i="5" s="1"/>
  <c r="V960" i="2"/>
  <c r="V1003" i="4"/>
  <c r="W1004" i="1"/>
  <c r="W1003" i="5" s="1"/>
  <c r="X955" i="2"/>
  <c r="Z999" i="1"/>
  <c r="Z955" i="2" s="1"/>
  <c r="H927" i="2"/>
  <c r="H969" i="4"/>
  <c r="X970" i="1"/>
  <c r="X969" i="5" s="1"/>
  <c r="H911" i="2"/>
  <c r="H954" i="4"/>
  <c r="J954" i="1"/>
  <c r="J954" i="5" s="1"/>
  <c r="M954" i="1"/>
  <c r="M954" i="5" s="1"/>
  <c r="H956" i="1"/>
  <c r="M892" i="2"/>
  <c r="M935" i="4"/>
  <c r="P891" i="2"/>
  <c r="P934" i="4"/>
  <c r="Q934" i="1"/>
  <c r="Q934" i="5" s="1"/>
  <c r="X934" i="1"/>
  <c r="U934" i="1"/>
  <c r="U934" i="5" s="1"/>
  <c r="V934" i="1"/>
  <c r="V934" i="5" s="1"/>
  <c r="P887" i="2"/>
  <c r="P930" i="4"/>
  <c r="U930" i="1"/>
  <c r="U930" i="5" s="1"/>
  <c r="P941" i="1"/>
  <c r="Q867" i="2"/>
  <c r="Q907" i="4"/>
  <c r="F852" i="2"/>
  <c r="F892" i="4"/>
  <c r="H892" i="1"/>
  <c r="H892" i="5" s="1"/>
  <c r="X892" i="5" s="1"/>
  <c r="Z892" i="5" s="1"/>
  <c r="U837" i="2"/>
  <c r="U876" i="4"/>
  <c r="J837" i="2"/>
  <c r="J876" i="4"/>
  <c r="W836" i="2"/>
  <c r="W875" i="4"/>
  <c r="P799" i="2"/>
  <c r="U833" i="1"/>
  <c r="U833" i="5" s="1"/>
  <c r="V833" i="1"/>
  <c r="V833" i="5" s="1"/>
  <c r="X833" i="1"/>
  <c r="X799" i="2" s="1"/>
  <c r="P833" i="4"/>
  <c r="Q833" i="1"/>
  <c r="Q833" i="5" s="1"/>
  <c r="U832" i="4"/>
  <c r="AA797" i="2"/>
  <c r="AA831" i="4"/>
  <c r="AB831" i="1"/>
  <c r="AB831" i="5" s="1"/>
  <c r="U778" i="2"/>
  <c r="Q774" i="2"/>
  <c r="Q808" i="4"/>
  <c r="X766" i="2"/>
  <c r="Z800" i="1"/>
  <c r="Z766" i="2" s="1"/>
  <c r="U731" i="2"/>
  <c r="U762" i="4"/>
  <c r="J717" i="2"/>
  <c r="J748" i="4"/>
  <c r="M716" i="2"/>
  <c r="M747" i="4"/>
  <c r="AA747" i="1"/>
  <c r="AA747" i="5" s="1"/>
  <c r="V695" i="2"/>
  <c r="V725" i="4"/>
  <c r="V693" i="2"/>
  <c r="V723" i="4"/>
  <c r="W723" i="1"/>
  <c r="W723" i="5" s="1"/>
  <c r="E692" i="2"/>
  <c r="E722" i="4"/>
  <c r="Q722" i="1"/>
  <c r="Q722" i="5" s="1"/>
  <c r="W722" i="1"/>
  <c r="W722" i="5" s="1"/>
  <c r="W707" i="1"/>
  <c r="W707" i="5" s="1"/>
  <c r="H674" i="2"/>
  <c r="H704" i="4"/>
  <c r="M704" i="1"/>
  <c r="M704" i="5" s="1"/>
  <c r="J704" i="1"/>
  <c r="J704" i="5" s="1"/>
  <c r="X704" i="1"/>
  <c r="M673" i="2"/>
  <c r="M703" i="4"/>
  <c r="AA703" i="1"/>
  <c r="AA703" i="5" s="1"/>
  <c r="M683" i="4"/>
  <c r="E642" i="2"/>
  <c r="E670" i="4"/>
  <c r="E691" i="1"/>
  <c r="Z670" i="1"/>
  <c r="Z642" i="2" s="1"/>
  <c r="P598" i="2"/>
  <c r="P623" i="4"/>
  <c r="V622" i="1"/>
  <c r="V623" i="5" s="1"/>
  <c r="U622" i="1"/>
  <c r="U623" i="5" s="1"/>
  <c r="X622" i="1"/>
  <c r="H585" i="4"/>
  <c r="X585" i="4" s="1"/>
  <c r="Z585" i="4" s="1"/>
  <c r="M584" i="1"/>
  <c r="M585" i="5" s="1"/>
  <c r="M523" i="2"/>
  <c r="M542" i="4"/>
  <c r="AA543" i="1"/>
  <c r="AA542" i="5" s="1"/>
  <c r="H478" i="2"/>
  <c r="H498" i="4"/>
  <c r="X499" i="1"/>
  <c r="M499" i="1"/>
  <c r="M498" i="5" s="1"/>
  <c r="V499" i="1"/>
  <c r="V498" i="5" s="1"/>
  <c r="H2660" i="4"/>
  <c r="H2927" i="4" s="1"/>
  <c r="X2608" i="4"/>
  <c r="AA2852" i="1"/>
  <c r="X2834" i="1"/>
  <c r="Z2834" i="1" s="1"/>
  <c r="U2834" i="1"/>
  <c r="AA2822" i="1"/>
  <c r="H2818" i="1"/>
  <c r="X2817" i="1"/>
  <c r="Z2817" i="1" s="1"/>
  <c r="M2817" i="1"/>
  <c r="AA2795" i="1"/>
  <c r="AB2790" i="1"/>
  <c r="AB2780" i="1"/>
  <c r="W2886" i="4"/>
  <c r="R2886" i="4"/>
  <c r="K2886" i="4"/>
  <c r="P2748" i="4"/>
  <c r="X2748" i="4" s="1"/>
  <c r="V2756" i="1"/>
  <c r="V2748" i="5" s="1"/>
  <c r="P2746" i="4"/>
  <c r="X2746" i="4" s="1"/>
  <c r="V2754" i="1"/>
  <c r="V2746" i="5" s="1"/>
  <c r="H2745" i="4"/>
  <c r="X2745" i="4" s="1"/>
  <c r="X2753" i="1"/>
  <c r="Z2753" i="1" s="1"/>
  <c r="M2744" i="4"/>
  <c r="AA2752" i="1"/>
  <c r="AA2744" i="5" s="1"/>
  <c r="F2740" i="4"/>
  <c r="F2750" i="4" s="1"/>
  <c r="H2748" i="1"/>
  <c r="H2740" i="5" s="1"/>
  <c r="X2740" i="5" s="1"/>
  <c r="F2722" i="4"/>
  <c r="H2730" i="1"/>
  <c r="H2722" i="5" s="1"/>
  <c r="X2722" i="5" s="1"/>
  <c r="Z2722" i="5" s="1"/>
  <c r="F2698" i="4"/>
  <c r="F2704" i="4" s="1"/>
  <c r="H2706" i="1"/>
  <c r="H2698" i="5" s="1"/>
  <c r="X2698" i="5" s="1"/>
  <c r="P2697" i="4"/>
  <c r="U2705" i="1"/>
  <c r="M2696" i="4"/>
  <c r="AA2704" i="1"/>
  <c r="AA2696" i="5" s="1"/>
  <c r="E2695" i="4"/>
  <c r="E2712" i="1"/>
  <c r="P2694" i="4"/>
  <c r="X2694" i="4" s="1"/>
  <c r="V2702" i="1"/>
  <c r="V2694" i="5" s="1"/>
  <c r="H2693" i="4"/>
  <c r="X2693" i="4" s="1"/>
  <c r="X2701" i="1"/>
  <c r="Z2701" i="1" s="1"/>
  <c r="P2692" i="4"/>
  <c r="X2692" i="4" s="1"/>
  <c r="V2700" i="1"/>
  <c r="V2692" i="5" s="1"/>
  <c r="H2691" i="4"/>
  <c r="X2691" i="4" s="1"/>
  <c r="X2699" i="1"/>
  <c r="Z2699" i="1" s="1"/>
  <c r="P2690" i="4"/>
  <c r="X2690" i="4" s="1"/>
  <c r="V2698" i="1"/>
  <c r="V2690" i="5" s="1"/>
  <c r="P2688" i="4"/>
  <c r="X2688" i="4" s="1"/>
  <c r="V2696" i="1"/>
  <c r="V2688" i="5" s="1"/>
  <c r="H2687" i="4"/>
  <c r="X2687" i="4" s="1"/>
  <c r="X2695" i="1"/>
  <c r="Z2695" i="1" s="1"/>
  <c r="P2686" i="4"/>
  <c r="V2694" i="1"/>
  <c r="V2686" i="5" s="1"/>
  <c r="E2680" i="4"/>
  <c r="P2679" i="4"/>
  <c r="V2687" i="1"/>
  <c r="V2679" i="5" s="1"/>
  <c r="F2672" i="4"/>
  <c r="F2691" i="1"/>
  <c r="H2680" i="1"/>
  <c r="P2653" i="4"/>
  <c r="X2653" i="4" s="1"/>
  <c r="V2661" i="1"/>
  <c r="H2652" i="4"/>
  <c r="X2660" i="1"/>
  <c r="Z2660" i="1" s="1"/>
  <c r="E2649" i="4"/>
  <c r="E2666" i="1"/>
  <c r="E2668" i="1" s="1"/>
  <c r="E2924" i="1" s="1"/>
  <c r="P2648" i="4"/>
  <c r="V2656" i="1"/>
  <c r="V2648" i="5" s="1"/>
  <c r="H2647" i="4"/>
  <c r="X2647" i="4" s="1"/>
  <c r="X2655" i="1"/>
  <c r="Z2655" i="1" s="1"/>
  <c r="P2646" i="4"/>
  <c r="X2646" i="4" s="1"/>
  <c r="V2654" i="1"/>
  <c r="V2646" i="5" s="1"/>
  <c r="H2645" i="4"/>
  <c r="X2645" i="4" s="1"/>
  <c r="X2653" i="1"/>
  <c r="Z2653" i="1" s="1"/>
  <c r="P2644" i="4"/>
  <c r="X2644" i="4" s="1"/>
  <c r="V2652" i="1"/>
  <c r="V2644" i="5" s="1"/>
  <c r="H2643" i="4"/>
  <c r="X2643" i="4" s="1"/>
  <c r="X2651" i="1"/>
  <c r="Z2651" i="1" s="1"/>
  <c r="P2642" i="4"/>
  <c r="X2642" i="4" s="1"/>
  <c r="V2650" i="1"/>
  <c r="V2642" i="5" s="1"/>
  <c r="H2641" i="4"/>
  <c r="X2649" i="1"/>
  <c r="Z2649" i="1" s="1"/>
  <c r="P2640" i="4"/>
  <c r="V2648" i="1"/>
  <c r="R2668" i="1"/>
  <c r="R2924" i="1" s="1"/>
  <c r="P2628" i="4"/>
  <c r="X2628" i="4" s="1"/>
  <c r="X2636" i="1"/>
  <c r="Z2636" i="1" s="1"/>
  <c r="U2636" i="1"/>
  <c r="U2628" i="5" s="1"/>
  <c r="H2627" i="4"/>
  <c r="X2635" i="1"/>
  <c r="Z2635" i="1" s="1"/>
  <c r="M2635" i="1"/>
  <c r="M2627" i="5" s="1"/>
  <c r="P2626" i="4"/>
  <c r="X2626" i="4" s="1"/>
  <c r="V2634" i="1"/>
  <c r="V2626" i="5" s="1"/>
  <c r="U2634" i="1"/>
  <c r="T2620" i="1"/>
  <c r="T2668" i="1" s="1"/>
  <c r="T2924" i="1" s="1"/>
  <c r="T2610" i="4"/>
  <c r="T2612" i="4" s="1"/>
  <c r="P2605" i="4"/>
  <c r="U2613" i="1"/>
  <c r="H2604" i="4"/>
  <c r="M2612" i="1"/>
  <c r="M2604" i="5" s="1"/>
  <c r="H2602" i="4"/>
  <c r="X2610" i="1"/>
  <c r="X2602" i="5" s="1"/>
  <c r="P2599" i="4"/>
  <c r="X2607" i="1"/>
  <c r="X2599" i="5" s="1"/>
  <c r="U2607" i="1"/>
  <c r="U2599" i="5" s="1"/>
  <c r="E2598" i="4"/>
  <c r="P2597" i="4"/>
  <c r="V2605" i="1"/>
  <c r="X2589" i="4"/>
  <c r="Z2597" i="1"/>
  <c r="P2588" i="4"/>
  <c r="V2596" i="1"/>
  <c r="V2588" i="5" s="1"/>
  <c r="H2587" i="4"/>
  <c r="X2595" i="1"/>
  <c r="X2587" i="5" s="1"/>
  <c r="P2586" i="4"/>
  <c r="V2594" i="1"/>
  <c r="V2586" i="5" s="1"/>
  <c r="H2585" i="4"/>
  <c r="X2593" i="1"/>
  <c r="X2585" i="5" s="1"/>
  <c r="P2584" i="4"/>
  <c r="V2592" i="1"/>
  <c r="V2584" i="5" s="1"/>
  <c r="H2583" i="4"/>
  <c r="X2591" i="1"/>
  <c r="X2583" i="5" s="1"/>
  <c r="P2582" i="4"/>
  <c r="V2590" i="1"/>
  <c r="E2563" i="4"/>
  <c r="W2571" i="1"/>
  <c r="P2562" i="4"/>
  <c r="X2562" i="4" s="1"/>
  <c r="Z2562" i="4" s="1"/>
  <c r="V2570" i="1"/>
  <c r="V2562" i="5" s="1"/>
  <c r="H2561" i="4"/>
  <c r="X2569" i="1"/>
  <c r="Z2569" i="1" s="1"/>
  <c r="P2560" i="4"/>
  <c r="V2568" i="1"/>
  <c r="V2560" i="5" s="1"/>
  <c r="H2559" i="4"/>
  <c r="X2559" i="4" s="1"/>
  <c r="Z2559" i="4" s="1"/>
  <c r="X2567" i="1"/>
  <c r="Z2567" i="1" s="1"/>
  <c r="P2558" i="4"/>
  <c r="X2558" i="4" s="1"/>
  <c r="Z2558" i="4" s="1"/>
  <c r="V2566" i="1"/>
  <c r="V2558" i="5" s="1"/>
  <c r="H2557" i="4"/>
  <c r="X2557" i="4" s="1"/>
  <c r="Z2557" i="4" s="1"/>
  <c r="X2565" i="1"/>
  <c r="Z2565" i="1" s="1"/>
  <c r="H2547" i="4"/>
  <c r="X2547" i="4" s="1"/>
  <c r="Z2547" i="4" s="1"/>
  <c r="X2555" i="1"/>
  <c r="Z2555" i="1" s="1"/>
  <c r="P2546" i="4"/>
  <c r="X2546" i="4" s="1"/>
  <c r="V2554" i="1"/>
  <c r="V2546" i="5" s="1"/>
  <c r="M2538" i="4"/>
  <c r="V2513" i="4"/>
  <c r="H2511" i="4"/>
  <c r="X2519" i="1"/>
  <c r="Z2519" i="1" s="1"/>
  <c r="M2519" i="1"/>
  <c r="M2511" i="5" s="1"/>
  <c r="P2510" i="4"/>
  <c r="V2518" i="1"/>
  <c r="V2510" i="5" s="1"/>
  <c r="U2518" i="1"/>
  <c r="H2509" i="4"/>
  <c r="X2509" i="4" s="1"/>
  <c r="Z2509" i="4" s="1"/>
  <c r="X2517" i="1"/>
  <c r="Z2517" i="1" s="1"/>
  <c r="M2517" i="1"/>
  <c r="M2509" i="5" s="1"/>
  <c r="P2508" i="4"/>
  <c r="V2516" i="1"/>
  <c r="V2508" i="5" s="1"/>
  <c r="U2516" i="1"/>
  <c r="H2506" i="4"/>
  <c r="X2506" i="4" s="1"/>
  <c r="Z2506" i="4" s="1"/>
  <c r="X2514" i="1"/>
  <c r="Z2514" i="1" s="1"/>
  <c r="M2514" i="1"/>
  <c r="M2506" i="5" s="1"/>
  <c r="P2505" i="4"/>
  <c r="V2513" i="1"/>
  <c r="V2505" i="5" s="1"/>
  <c r="U2513" i="1"/>
  <c r="H2504" i="4"/>
  <c r="X2504" i="4" s="1"/>
  <c r="Z2504" i="4" s="1"/>
  <c r="X2512" i="1"/>
  <c r="Z2512" i="1" s="1"/>
  <c r="M2512" i="1"/>
  <c r="M2504" i="5" s="1"/>
  <c r="P2503" i="4"/>
  <c r="V2511" i="1"/>
  <c r="V2503" i="5" s="1"/>
  <c r="U2511" i="1"/>
  <c r="U2503" i="5" s="1"/>
  <c r="P2523" i="1"/>
  <c r="H2502" i="4"/>
  <c r="X2502" i="4" s="1"/>
  <c r="Z2502" i="4" s="1"/>
  <c r="X2510" i="1"/>
  <c r="M2510" i="1"/>
  <c r="M2502" i="5" s="1"/>
  <c r="P2497" i="4"/>
  <c r="V2505" i="1"/>
  <c r="V2497" i="5" s="1"/>
  <c r="U2505" i="1"/>
  <c r="H2496" i="4"/>
  <c r="X2496" i="4" s="1"/>
  <c r="Z2496" i="4" s="1"/>
  <c r="X2504" i="1"/>
  <c r="Z2504" i="1" s="1"/>
  <c r="M2504" i="1"/>
  <c r="M2496" i="5" s="1"/>
  <c r="P2495" i="4"/>
  <c r="V2503" i="1"/>
  <c r="V2495" i="5" s="1"/>
  <c r="U2503" i="1"/>
  <c r="H2494" i="4"/>
  <c r="X2494" i="4" s="1"/>
  <c r="Z2494" i="4" s="1"/>
  <c r="X2502" i="1"/>
  <c r="Z2502" i="1" s="1"/>
  <c r="M2502" i="1"/>
  <c r="M2494" i="5" s="1"/>
  <c r="P2493" i="4"/>
  <c r="V2501" i="1"/>
  <c r="V2493" i="5" s="1"/>
  <c r="U2501" i="1"/>
  <c r="U2493" i="5" s="1"/>
  <c r="H2492" i="4"/>
  <c r="X2492" i="4" s="1"/>
  <c r="Z2492" i="4" s="1"/>
  <c r="X2500" i="1"/>
  <c r="Z2500" i="1" s="1"/>
  <c r="M2500" i="1"/>
  <c r="M2492" i="5" s="1"/>
  <c r="P2491" i="4"/>
  <c r="V2499" i="1"/>
  <c r="V2491" i="5" s="1"/>
  <c r="U2499" i="1"/>
  <c r="H2444" i="4"/>
  <c r="M2450" i="1"/>
  <c r="M2444" i="5" s="1"/>
  <c r="X2450" i="1"/>
  <c r="Z2450" i="1" s="1"/>
  <c r="J2450" i="1"/>
  <c r="P2441" i="4"/>
  <c r="U2447" i="1"/>
  <c r="P2439" i="4"/>
  <c r="U2445" i="1"/>
  <c r="P2437" i="4"/>
  <c r="U2443" i="1"/>
  <c r="P2435" i="4"/>
  <c r="U2441" i="1"/>
  <c r="P2433" i="4"/>
  <c r="U2439" i="1"/>
  <c r="U2433" i="5" s="1"/>
  <c r="P2452" i="1"/>
  <c r="E2423" i="4"/>
  <c r="M2422" i="4"/>
  <c r="AA2428" i="1"/>
  <c r="J2419" i="4"/>
  <c r="J2831" i="1"/>
  <c r="P2414" i="4"/>
  <c r="X2414" i="4" s="1"/>
  <c r="Z2414" i="4" s="1"/>
  <c r="X2420" i="1"/>
  <c r="Z2420" i="1" s="1"/>
  <c r="U2420" i="1"/>
  <c r="U2414" i="5" s="1"/>
  <c r="M2408" i="4"/>
  <c r="AA2414" i="1"/>
  <c r="AA2408" i="5" s="1"/>
  <c r="M2405" i="4"/>
  <c r="AA2411" i="1"/>
  <c r="AA2405" i="5" s="1"/>
  <c r="P2401" i="4"/>
  <c r="X2401" i="4" s="1"/>
  <c r="Z2401" i="4" s="1"/>
  <c r="U2407" i="1"/>
  <c r="U2401" i="5" s="1"/>
  <c r="Q2407" i="1"/>
  <c r="U2405" i="1"/>
  <c r="Q2405" i="1"/>
  <c r="P2397" i="4"/>
  <c r="X2397" i="4" s="1"/>
  <c r="Z2397" i="4" s="1"/>
  <c r="U2403" i="1"/>
  <c r="Q2403" i="1"/>
  <c r="P2395" i="4"/>
  <c r="U2401" i="1"/>
  <c r="U2395" i="5" s="1"/>
  <c r="Q2401" i="1"/>
  <c r="M2390" i="4"/>
  <c r="AA2396" i="1"/>
  <c r="AA2390" i="5" s="1"/>
  <c r="M2389" i="4"/>
  <c r="AA2395" i="1"/>
  <c r="AA2389" i="5" s="1"/>
  <c r="M2377" i="4"/>
  <c r="AA2383" i="1"/>
  <c r="AA2377" i="5" s="1"/>
  <c r="M2375" i="4"/>
  <c r="H2373" i="4"/>
  <c r="M2379" i="1"/>
  <c r="M2373" i="5" s="1"/>
  <c r="X2379" i="1"/>
  <c r="Z2379" i="1" s="1"/>
  <c r="J2379" i="1"/>
  <c r="U2378" i="1"/>
  <c r="Q2378" i="1"/>
  <c r="P2370" i="4"/>
  <c r="X2370" i="4" s="1"/>
  <c r="U2376" i="1"/>
  <c r="U2370" i="5" s="1"/>
  <c r="P2388" i="1"/>
  <c r="M2369" i="4"/>
  <c r="AA2375" i="1"/>
  <c r="AA2369" i="5" s="1"/>
  <c r="M2364" i="4"/>
  <c r="AA2370" i="1"/>
  <c r="H2353" i="4"/>
  <c r="X2353" i="4" s="1"/>
  <c r="Z2353" i="4" s="1"/>
  <c r="M2359" i="1"/>
  <c r="M2353" i="5" s="1"/>
  <c r="X2359" i="1"/>
  <c r="M2350" i="4"/>
  <c r="M2347" i="4"/>
  <c r="AA2353" i="1"/>
  <c r="AA2347" i="5" s="1"/>
  <c r="M2344" i="4"/>
  <c r="AA2350" i="1"/>
  <c r="AA2344" i="5" s="1"/>
  <c r="M2338" i="4"/>
  <c r="AA2344" i="1"/>
  <c r="AA2338" i="5" s="1"/>
  <c r="E2330" i="4"/>
  <c r="H2324" i="4"/>
  <c r="M2330" i="1"/>
  <c r="M2324" i="5" s="1"/>
  <c r="X2330" i="1"/>
  <c r="Z2330" i="1" s="1"/>
  <c r="J2330" i="1"/>
  <c r="P2323" i="4"/>
  <c r="U2329" i="1"/>
  <c r="Q2329" i="1"/>
  <c r="E2321" i="4"/>
  <c r="E2347" i="1"/>
  <c r="H2310" i="4"/>
  <c r="M2316" i="1"/>
  <c r="M2310" i="5" s="1"/>
  <c r="X2316" i="1"/>
  <c r="X2310" i="5" s="1"/>
  <c r="J2316" i="1"/>
  <c r="H2308" i="4"/>
  <c r="M2314" i="1"/>
  <c r="M2308" i="5" s="1"/>
  <c r="X2314" i="1"/>
  <c r="X2308" i="5" s="1"/>
  <c r="J2314" i="1"/>
  <c r="E2307" i="4"/>
  <c r="Q2313" i="1"/>
  <c r="E2306" i="4"/>
  <c r="Q2312" i="1"/>
  <c r="M2302" i="4"/>
  <c r="AA2308" i="1"/>
  <c r="AA2302" i="5" s="1"/>
  <c r="E2301" i="4"/>
  <c r="M2300" i="4"/>
  <c r="X2299" i="4"/>
  <c r="Z2305" i="1"/>
  <c r="Z2299" i="5" s="1"/>
  <c r="J2299" i="4"/>
  <c r="H2290" i="4"/>
  <c r="M2294" i="1"/>
  <c r="M2290" i="5" s="1"/>
  <c r="X2294" i="1"/>
  <c r="Z2294" i="1" s="1"/>
  <c r="J2294" i="1"/>
  <c r="P2288" i="4"/>
  <c r="U2292" i="1"/>
  <c r="Q2292" i="1"/>
  <c r="P2284" i="4"/>
  <c r="X2284" i="4" s="1"/>
  <c r="Z2284" i="4" s="1"/>
  <c r="X2288" i="1"/>
  <c r="Z2288" i="1" s="1"/>
  <c r="H2282" i="4"/>
  <c r="X2282" i="4" s="1"/>
  <c r="Z2282" i="4" s="1"/>
  <c r="M2286" i="1"/>
  <c r="M2282" i="5" s="1"/>
  <c r="P2279" i="4"/>
  <c r="U2283" i="1"/>
  <c r="H2276" i="4"/>
  <c r="M2280" i="1"/>
  <c r="M2276" i="5" s="1"/>
  <c r="X2280" i="1"/>
  <c r="Z2280" i="1" s="1"/>
  <c r="M2275" i="4"/>
  <c r="AA2279" i="1"/>
  <c r="F2271" i="4"/>
  <c r="H2275" i="1"/>
  <c r="H2271" i="5" s="1"/>
  <c r="X2271" i="5" s="1"/>
  <c r="Z2271" i="5" s="1"/>
  <c r="H2269" i="4"/>
  <c r="M2273" i="1"/>
  <c r="M2269" i="5" s="1"/>
  <c r="X2273" i="1"/>
  <c r="Z2273" i="1" s="1"/>
  <c r="J2273" i="1"/>
  <c r="E2268" i="4"/>
  <c r="Q2272" i="1"/>
  <c r="H2266" i="4"/>
  <c r="M2270" i="1"/>
  <c r="M2266" i="5" s="1"/>
  <c r="X2270" i="1"/>
  <c r="J2270" i="1"/>
  <c r="P2265" i="4"/>
  <c r="U2269" i="1"/>
  <c r="U2265" i="5" s="1"/>
  <c r="P2296" i="1"/>
  <c r="E2265" i="4"/>
  <c r="E2296" i="1"/>
  <c r="Q2269" i="1"/>
  <c r="Q2265" i="5" s="1"/>
  <c r="M2258" i="4"/>
  <c r="AA2262" i="1"/>
  <c r="AA2258" i="5" s="1"/>
  <c r="P2255" i="4"/>
  <c r="U2259" i="1"/>
  <c r="H2254" i="4"/>
  <c r="M2258" i="1"/>
  <c r="M2254" i="5" s="1"/>
  <c r="X2258" i="1"/>
  <c r="Z2258" i="1" s="1"/>
  <c r="J2258" i="1"/>
  <c r="E2253" i="4"/>
  <c r="Q2257" i="1"/>
  <c r="H2251" i="4"/>
  <c r="M2255" i="1"/>
  <c r="M2251" i="5" s="1"/>
  <c r="X2255" i="1"/>
  <c r="Z2255" i="1" s="1"/>
  <c r="J2255" i="1"/>
  <c r="P2250" i="4"/>
  <c r="U2254" i="1"/>
  <c r="Q2254" i="1"/>
  <c r="P2248" i="4"/>
  <c r="U2252" i="1"/>
  <c r="Q2252" i="1"/>
  <c r="P2246" i="4"/>
  <c r="U2250" i="1"/>
  <c r="E2241" i="4"/>
  <c r="M2240" i="4"/>
  <c r="AA2244" i="1"/>
  <c r="AA2240" i="5" s="1"/>
  <c r="H2239" i="4"/>
  <c r="X2239" i="4" s="1"/>
  <c r="Z2239" i="4" s="1"/>
  <c r="M2243" i="1"/>
  <c r="M2239" i="5" s="1"/>
  <c r="X2243" i="1"/>
  <c r="Z2243" i="1" s="1"/>
  <c r="P2236" i="4"/>
  <c r="U2240" i="1"/>
  <c r="U2236" i="5" s="1"/>
  <c r="E2231" i="4"/>
  <c r="Q2235" i="1"/>
  <c r="M2230" i="4"/>
  <c r="H2229" i="4"/>
  <c r="X2229" i="4" s="1"/>
  <c r="Z2229" i="4" s="1"/>
  <c r="M2233" i="1"/>
  <c r="M2229" i="5" s="1"/>
  <c r="X2233" i="1"/>
  <c r="Z2233" i="1" s="1"/>
  <c r="M2228" i="4"/>
  <c r="AA2232" i="1"/>
  <c r="AA2228" i="5" s="1"/>
  <c r="P2225" i="4"/>
  <c r="U2229" i="1"/>
  <c r="E2224" i="4"/>
  <c r="Q2228" i="1"/>
  <c r="P2217" i="4"/>
  <c r="U2221" i="1"/>
  <c r="Q2221" i="1"/>
  <c r="P2213" i="4"/>
  <c r="U2217" i="1"/>
  <c r="P2211" i="4"/>
  <c r="X2211" i="4" s="1"/>
  <c r="Z2211" i="4" s="1"/>
  <c r="X2215" i="1"/>
  <c r="Z2215" i="1" s="1"/>
  <c r="U2215" i="1"/>
  <c r="U2211" i="5" s="1"/>
  <c r="M2205" i="4"/>
  <c r="AA2209" i="1"/>
  <c r="AA2205" i="5" s="1"/>
  <c r="E2203" i="4"/>
  <c r="Q2207" i="1"/>
  <c r="H2201" i="4"/>
  <c r="M2205" i="1"/>
  <c r="M2201" i="5" s="1"/>
  <c r="X2205" i="1"/>
  <c r="J2205" i="1"/>
  <c r="P2200" i="4"/>
  <c r="U2204" i="1"/>
  <c r="P2197" i="4"/>
  <c r="P2223" i="1"/>
  <c r="U2201" i="1"/>
  <c r="U2197" i="5" s="1"/>
  <c r="F2187" i="4"/>
  <c r="F2194" i="4" s="1"/>
  <c r="F2198" i="1"/>
  <c r="H2191" i="1"/>
  <c r="H2187" i="5" s="1"/>
  <c r="X2187" i="5" s="1"/>
  <c r="Z2187" i="5" s="1"/>
  <c r="P2186" i="4"/>
  <c r="U2190" i="1"/>
  <c r="M2183" i="4"/>
  <c r="AA2187" i="1"/>
  <c r="AA2183" i="5" s="1"/>
  <c r="M2181" i="4"/>
  <c r="AA2185" i="1"/>
  <c r="AA2181" i="5" s="1"/>
  <c r="M2179" i="4"/>
  <c r="AA2183" i="1"/>
  <c r="AA2179" i="5" s="1"/>
  <c r="E2177" i="4"/>
  <c r="Q2181" i="1"/>
  <c r="E2198" i="1"/>
  <c r="P2171" i="4"/>
  <c r="X2171" i="4" s="1"/>
  <c r="U2175" i="1"/>
  <c r="M2169" i="4"/>
  <c r="AA2173" i="1"/>
  <c r="AA2169" i="5" s="1"/>
  <c r="M2166" i="4"/>
  <c r="AA2170" i="1"/>
  <c r="AA2166" i="5" s="1"/>
  <c r="H2164" i="4"/>
  <c r="X2164" i="4" s="1"/>
  <c r="M2168" i="1"/>
  <c r="M2164" i="5" s="1"/>
  <c r="P2160" i="4"/>
  <c r="U2164" i="1"/>
  <c r="U2160" i="5" s="1"/>
  <c r="H2155" i="4"/>
  <c r="M2159" i="1"/>
  <c r="M2155" i="5" s="1"/>
  <c r="X2159" i="1"/>
  <c r="Z2159" i="1" s="1"/>
  <c r="E2151" i="4"/>
  <c r="M2150" i="4"/>
  <c r="AA2154" i="1"/>
  <c r="E2143" i="4"/>
  <c r="Q2147" i="1"/>
  <c r="E2142" i="4"/>
  <c r="Q2146" i="1"/>
  <c r="Z2146" i="1"/>
  <c r="E2136" i="4"/>
  <c r="Q2140" i="1"/>
  <c r="H2134" i="4"/>
  <c r="X2134" i="4" s="1"/>
  <c r="M2138" i="1"/>
  <c r="M2134" i="5" s="1"/>
  <c r="J2138" i="1"/>
  <c r="X2138" i="1"/>
  <c r="Z2138" i="1" s="1"/>
  <c r="F2131" i="4"/>
  <c r="F2138" i="4" s="1"/>
  <c r="H2135" i="1"/>
  <c r="H2131" i="5" s="1"/>
  <c r="X2131" i="5" s="1"/>
  <c r="F2142" i="1"/>
  <c r="P2130" i="4"/>
  <c r="X2130" i="4" s="1"/>
  <c r="U2134" i="1"/>
  <c r="Q2134" i="1"/>
  <c r="P2128" i="4"/>
  <c r="U2132" i="1"/>
  <c r="U2128" i="5" s="1"/>
  <c r="Q2132" i="1"/>
  <c r="H2125" i="4"/>
  <c r="M2129" i="1"/>
  <c r="M2125" i="5" s="1"/>
  <c r="X2129" i="1"/>
  <c r="Z2129" i="1" s="1"/>
  <c r="J2129" i="1"/>
  <c r="H2123" i="4"/>
  <c r="M2127" i="1"/>
  <c r="M2123" i="5" s="1"/>
  <c r="X2127" i="1"/>
  <c r="Z2127" i="1" s="1"/>
  <c r="J2127" i="1"/>
  <c r="E2122" i="4"/>
  <c r="Q2126" i="1"/>
  <c r="E2121" i="4"/>
  <c r="Q2125" i="1"/>
  <c r="H2118" i="4"/>
  <c r="M2122" i="1"/>
  <c r="M2118" i="5" s="1"/>
  <c r="X2122" i="1"/>
  <c r="Z2122" i="1" s="1"/>
  <c r="J2122" i="1"/>
  <c r="P2117" i="4"/>
  <c r="U2121" i="1"/>
  <c r="Q2121" i="1"/>
  <c r="P2115" i="4"/>
  <c r="U2119" i="1"/>
  <c r="U2115" i="5" s="1"/>
  <c r="X2108" i="4"/>
  <c r="Z2112" i="1"/>
  <c r="P2107" i="4"/>
  <c r="X2111" i="1"/>
  <c r="X2107" i="5" s="1"/>
  <c r="U2111" i="1"/>
  <c r="U2107" i="5" s="1"/>
  <c r="E2106" i="4"/>
  <c r="M2105" i="4"/>
  <c r="P2101" i="4"/>
  <c r="U2105" i="1"/>
  <c r="U2101" i="5" s="1"/>
  <c r="Q2105" i="1"/>
  <c r="P2099" i="4"/>
  <c r="U2103" i="1"/>
  <c r="Q2103" i="1"/>
  <c r="M2096" i="4"/>
  <c r="AA2100" i="1"/>
  <c r="AA2096" i="5" s="1"/>
  <c r="M2094" i="4"/>
  <c r="AA2098" i="1"/>
  <c r="AA2094" i="5" s="1"/>
  <c r="H2092" i="4"/>
  <c r="M2096" i="1"/>
  <c r="M2092" i="5" s="1"/>
  <c r="X2096" i="1"/>
  <c r="X2092" i="5" s="1"/>
  <c r="J2096" i="1"/>
  <c r="P2087" i="4"/>
  <c r="U2091" i="1"/>
  <c r="U2087" i="5" s="1"/>
  <c r="P2116" i="1"/>
  <c r="H2074" i="4"/>
  <c r="X2074" i="4" s="1"/>
  <c r="Z2074" i="4" s="1"/>
  <c r="X2078" i="1"/>
  <c r="Z2078" i="1" s="1"/>
  <c r="P2073" i="4"/>
  <c r="V2077" i="1"/>
  <c r="V2073" i="5" s="1"/>
  <c r="H2072" i="4"/>
  <c r="X2072" i="4" s="1"/>
  <c r="Z2072" i="4" s="1"/>
  <c r="X2076" i="1"/>
  <c r="Z2076" i="1" s="1"/>
  <c r="P2071" i="4"/>
  <c r="V2075" i="1"/>
  <c r="V2071" i="5" s="1"/>
  <c r="H2070" i="4"/>
  <c r="X2070" i="4" s="1"/>
  <c r="Z2070" i="4" s="1"/>
  <c r="X2074" i="1"/>
  <c r="Z2074" i="1" s="1"/>
  <c r="P2069" i="4"/>
  <c r="V2073" i="1"/>
  <c r="V2069" i="5" s="1"/>
  <c r="H2068" i="4"/>
  <c r="X2068" i="4" s="1"/>
  <c r="Z2068" i="4" s="1"/>
  <c r="X2072" i="1"/>
  <c r="AG2866" i="1"/>
  <c r="P2067" i="4"/>
  <c r="V2071" i="1"/>
  <c r="V2067" i="5" s="1"/>
  <c r="H2066" i="4"/>
  <c r="X2066" i="4" s="1"/>
  <c r="Z2066" i="4" s="1"/>
  <c r="X2070" i="1"/>
  <c r="Z2070" i="1" s="1"/>
  <c r="P2065" i="4"/>
  <c r="V2069" i="1"/>
  <c r="V2065" i="5" s="1"/>
  <c r="H2064" i="4"/>
  <c r="X2064" i="4" s="1"/>
  <c r="Z2064" i="4" s="1"/>
  <c r="X2068" i="1"/>
  <c r="Z2068" i="1" s="1"/>
  <c r="P2062" i="4"/>
  <c r="V2066" i="1"/>
  <c r="V2062" i="5" s="1"/>
  <c r="F2052" i="4"/>
  <c r="F2059" i="4" s="1"/>
  <c r="F2063" i="1"/>
  <c r="M2048" i="4"/>
  <c r="AA2052" i="1"/>
  <c r="AA2048" i="5" s="1"/>
  <c r="M2046" i="4"/>
  <c r="M2044" i="4"/>
  <c r="AA2048" i="1"/>
  <c r="AA2044" i="5" s="1"/>
  <c r="M2042" i="4"/>
  <c r="H2041" i="4"/>
  <c r="E2035" i="4"/>
  <c r="P2034" i="4"/>
  <c r="U2038" i="1"/>
  <c r="H2033" i="4"/>
  <c r="X2033" i="4" s="1"/>
  <c r="Z2033" i="4" s="1"/>
  <c r="M2037" i="1"/>
  <c r="M2033" i="5" s="1"/>
  <c r="P2032" i="4"/>
  <c r="U2036" i="1"/>
  <c r="M2031" i="4"/>
  <c r="AA2035" i="1"/>
  <c r="AA2031" i="5" s="1"/>
  <c r="M2029" i="4"/>
  <c r="AA2033" i="1"/>
  <c r="AA2029" i="5" s="1"/>
  <c r="H2026" i="4"/>
  <c r="X2026" i="4" s="1"/>
  <c r="Z2026" i="4" s="1"/>
  <c r="X2030" i="1"/>
  <c r="Z2030" i="1" s="1"/>
  <c r="P2025" i="4"/>
  <c r="P2007" i="4"/>
  <c r="U2011" i="1"/>
  <c r="E2005" i="4"/>
  <c r="U1990" i="4"/>
  <c r="P1955" i="4"/>
  <c r="U1959" i="1"/>
  <c r="P1949" i="4"/>
  <c r="X1949" i="4" s="1"/>
  <c r="Z1949" i="4" s="1"/>
  <c r="U1953" i="1"/>
  <c r="Q1953" i="1"/>
  <c r="P1947" i="4"/>
  <c r="X1947" i="4" s="1"/>
  <c r="Z1947" i="4" s="1"/>
  <c r="U1951" i="1"/>
  <c r="Q1951" i="1"/>
  <c r="H1945" i="4"/>
  <c r="X1945" i="4" s="1"/>
  <c r="Z1945" i="4" s="1"/>
  <c r="M1949" i="1"/>
  <c r="M1945" i="5" s="1"/>
  <c r="J1949" i="1"/>
  <c r="X1949" i="1"/>
  <c r="Z1949" i="1" s="1"/>
  <c r="M1942" i="4"/>
  <c r="P1939" i="4"/>
  <c r="U1943" i="1"/>
  <c r="P1936" i="4"/>
  <c r="U1940" i="1"/>
  <c r="H1935" i="4"/>
  <c r="M1939" i="1"/>
  <c r="M1935" i="5" s="1"/>
  <c r="X1939" i="1"/>
  <c r="Z1939" i="1" s="1"/>
  <c r="J1939" i="1"/>
  <c r="P1934" i="4"/>
  <c r="U1938" i="1"/>
  <c r="Q1938" i="1"/>
  <c r="P1932" i="4"/>
  <c r="X1932" i="4" s="1"/>
  <c r="U1936" i="1"/>
  <c r="M1931" i="4"/>
  <c r="AA1935" i="1"/>
  <c r="AA1931" i="5" s="1"/>
  <c r="P1928" i="4"/>
  <c r="X1928" i="4" s="1"/>
  <c r="U1932" i="1"/>
  <c r="P1919" i="4"/>
  <c r="X1919" i="4" s="1"/>
  <c r="Z1919" i="4" s="1"/>
  <c r="U1923" i="1"/>
  <c r="U1919" i="5" s="1"/>
  <c r="Q1923" i="1"/>
  <c r="P1917" i="4"/>
  <c r="U1921" i="1"/>
  <c r="F1916" i="4"/>
  <c r="H1920" i="1"/>
  <c r="H1916" i="5" s="1"/>
  <c r="X1916" i="5" s="1"/>
  <c r="Z1916" i="5" s="1"/>
  <c r="P1915" i="4"/>
  <c r="U1919" i="1"/>
  <c r="Q1919" i="1"/>
  <c r="H1910" i="4"/>
  <c r="M1914" i="1"/>
  <c r="M1910" i="5" s="1"/>
  <c r="M1909" i="4"/>
  <c r="AA1913" i="1"/>
  <c r="AA1909" i="5" s="1"/>
  <c r="P1905" i="4"/>
  <c r="U1909" i="1"/>
  <c r="U1905" i="5" s="1"/>
  <c r="U1897" i="4"/>
  <c r="U1798" i="2"/>
  <c r="H1796" i="2"/>
  <c r="H1895" i="4"/>
  <c r="F1794" i="2"/>
  <c r="F1893" i="4"/>
  <c r="Z1895" i="1"/>
  <c r="Z1792" i="2" s="1"/>
  <c r="J1792" i="2"/>
  <c r="J1891" i="4"/>
  <c r="U1789" i="2"/>
  <c r="U1885" i="4"/>
  <c r="H1789" i="2"/>
  <c r="H1885" i="4"/>
  <c r="M1889" i="1"/>
  <c r="M1885" i="5" s="1"/>
  <c r="X1889" i="1"/>
  <c r="X1789" i="2" s="1"/>
  <c r="P1787" i="2"/>
  <c r="P1883" i="4"/>
  <c r="U1887" i="1"/>
  <c r="U1883" i="5" s="1"/>
  <c r="Q1785" i="2"/>
  <c r="Q1881" i="4"/>
  <c r="Q1783" i="2"/>
  <c r="Q1879" i="4"/>
  <c r="Q1877" i="4"/>
  <c r="Q1781" i="2"/>
  <c r="X1779" i="2"/>
  <c r="Z1879" i="1"/>
  <c r="Z1779" i="2" s="1"/>
  <c r="M1779" i="2"/>
  <c r="M1875" i="4"/>
  <c r="AA1879" i="1"/>
  <c r="AA1875" i="5" s="1"/>
  <c r="E1777" i="2"/>
  <c r="E1873" i="4"/>
  <c r="Q1877" i="1"/>
  <c r="Q1873" i="5" s="1"/>
  <c r="P1774" i="2"/>
  <c r="P1870" i="4"/>
  <c r="U1874" i="1"/>
  <c r="Q1874" i="1"/>
  <c r="Q1870" i="5" s="1"/>
  <c r="H1772" i="2"/>
  <c r="H1868" i="4"/>
  <c r="M1872" i="1"/>
  <c r="M1868" i="5" s="1"/>
  <c r="X1872" i="1"/>
  <c r="J1872" i="1"/>
  <c r="J1868" i="5" s="1"/>
  <c r="H1767" i="2"/>
  <c r="H1863" i="4"/>
  <c r="M1867" i="1"/>
  <c r="M1863" i="5" s="1"/>
  <c r="X1867" i="1"/>
  <c r="J1867" i="1"/>
  <c r="J1863" i="5" s="1"/>
  <c r="P1766" i="2"/>
  <c r="P1860" i="4"/>
  <c r="X1864" i="1"/>
  <c r="U1864" i="1"/>
  <c r="U1860" i="5" s="1"/>
  <c r="E1766" i="2"/>
  <c r="E1860" i="4"/>
  <c r="P1764" i="2"/>
  <c r="P1858" i="4"/>
  <c r="U1862" i="1"/>
  <c r="U1858" i="5" s="1"/>
  <c r="P1759" i="2"/>
  <c r="P1853" i="4"/>
  <c r="U1857" i="1"/>
  <c r="U1853" i="5" s="1"/>
  <c r="U1757" i="2"/>
  <c r="U1851" i="4"/>
  <c r="J1757" i="2"/>
  <c r="J1851" i="4"/>
  <c r="F1755" i="2"/>
  <c r="F1849" i="4"/>
  <c r="U1752" i="2"/>
  <c r="U1846" i="4"/>
  <c r="H1752" i="2"/>
  <c r="H1846" i="4"/>
  <c r="M1850" i="1"/>
  <c r="M1846" i="5" s="1"/>
  <c r="X1850" i="1"/>
  <c r="U1745" i="2"/>
  <c r="U1839" i="4"/>
  <c r="J1745" i="2"/>
  <c r="J1839" i="4"/>
  <c r="P1838" i="4"/>
  <c r="X1838" i="4" s="1"/>
  <c r="Z1838" i="4" s="1"/>
  <c r="X1842" i="1"/>
  <c r="Z1842" i="1" s="1"/>
  <c r="U1842" i="1"/>
  <c r="U1838" i="5" s="1"/>
  <c r="P1743" i="2"/>
  <c r="P1835" i="4"/>
  <c r="U1839" i="1"/>
  <c r="U1835" i="5" s="1"/>
  <c r="U1742" i="2"/>
  <c r="U1834" i="4"/>
  <c r="X1741" i="2"/>
  <c r="Z1837" i="1"/>
  <c r="Z1741" i="2" s="1"/>
  <c r="M1741" i="2"/>
  <c r="M1833" i="4"/>
  <c r="AA1837" i="1"/>
  <c r="AA1833" i="5" s="1"/>
  <c r="E1740" i="2"/>
  <c r="E1832" i="4"/>
  <c r="M1739" i="2"/>
  <c r="M1831" i="4"/>
  <c r="AA1835" i="1"/>
  <c r="AA1831" i="5" s="1"/>
  <c r="H1734" i="2"/>
  <c r="H1826" i="4"/>
  <c r="M1830" i="1"/>
  <c r="M1826" i="5" s="1"/>
  <c r="X1830" i="1"/>
  <c r="J1830" i="1"/>
  <c r="J1826" i="5" s="1"/>
  <c r="U1732" i="2"/>
  <c r="U1824" i="4"/>
  <c r="J1824" i="4"/>
  <c r="Q1725" i="2"/>
  <c r="Q1817" i="4"/>
  <c r="Q1722" i="2"/>
  <c r="Q1814" i="4"/>
  <c r="U1720" i="2"/>
  <c r="U1812" i="4"/>
  <c r="H1720" i="2"/>
  <c r="H1812" i="4"/>
  <c r="M1816" i="1"/>
  <c r="M1812" i="5" s="1"/>
  <c r="X1816" i="1"/>
  <c r="M1811" i="4"/>
  <c r="H1715" i="2"/>
  <c r="H1807" i="4"/>
  <c r="M1811" i="1"/>
  <c r="M1807" i="5" s="1"/>
  <c r="X1811" i="1"/>
  <c r="J1811" i="1"/>
  <c r="J1807" i="5" s="1"/>
  <c r="P1713" i="2"/>
  <c r="P1805" i="4"/>
  <c r="U1809" i="1"/>
  <c r="U1805" i="5" s="1"/>
  <c r="U1820" i="5" s="1"/>
  <c r="H1800" i="4"/>
  <c r="H1708" i="2"/>
  <c r="M1804" i="1"/>
  <c r="M1800" i="5" s="1"/>
  <c r="X1804" i="1"/>
  <c r="J1804" i="1"/>
  <c r="J1800" i="5" s="1"/>
  <c r="P1706" i="2"/>
  <c r="P1798" i="4"/>
  <c r="U1802" i="1"/>
  <c r="U1798" i="5" s="1"/>
  <c r="X1704" i="2"/>
  <c r="Z1799" i="1"/>
  <c r="Z1704" i="2" s="1"/>
  <c r="M1704" i="2"/>
  <c r="M1795" i="4"/>
  <c r="AA1799" i="1"/>
  <c r="AA1795" i="5" s="1"/>
  <c r="H1701" i="2"/>
  <c r="H1792" i="4"/>
  <c r="M1796" i="1"/>
  <c r="M1792" i="5" s="1"/>
  <c r="X1796" i="1"/>
  <c r="J1796" i="1"/>
  <c r="J1792" i="5" s="1"/>
  <c r="P1790" i="4"/>
  <c r="P1699" i="2"/>
  <c r="U1794" i="1"/>
  <c r="U1790" i="5" s="1"/>
  <c r="U1698" i="2"/>
  <c r="U1789" i="4"/>
  <c r="J1698" i="2"/>
  <c r="J1789" i="4"/>
  <c r="X1690" i="2"/>
  <c r="Z1785" i="1"/>
  <c r="Z1690" i="2" s="1"/>
  <c r="M1690" i="2"/>
  <c r="M1781" i="4"/>
  <c r="AA1785" i="1"/>
  <c r="AA1781" i="5" s="1"/>
  <c r="Q1778" i="4"/>
  <c r="Q1687" i="2"/>
  <c r="U1685" i="2"/>
  <c r="U1776" i="4"/>
  <c r="H1685" i="2"/>
  <c r="H1776" i="4"/>
  <c r="M1780" i="1"/>
  <c r="M1776" i="5" s="1"/>
  <c r="X1780" i="1"/>
  <c r="J1683" i="2"/>
  <c r="J1774" i="4"/>
  <c r="Q1681" i="2"/>
  <c r="Q1772" i="4"/>
  <c r="F1680" i="2"/>
  <c r="F1771" i="4"/>
  <c r="H1775" i="1"/>
  <c r="H1771" i="5" s="1"/>
  <c r="X1771" i="5" s="1"/>
  <c r="Z1771" i="5" s="1"/>
  <c r="P1679" i="2"/>
  <c r="P1770" i="4"/>
  <c r="U1774" i="1"/>
  <c r="U1770" i="5" s="1"/>
  <c r="U1784" i="5" s="1"/>
  <c r="P1788" i="1"/>
  <c r="E1679" i="2"/>
  <c r="E1770" i="4"/>
  <c r="E1788" i="1"/>
  <c r="Q1774" i="1"/>
  <c r="Q1770" i="5" s="1"/>
  <c r="H1672" i="2"/>
  <c r="H1763" i="4"/>
  <c r="M1767" i="1"/>
  <c r="M1763" i="5" s="1"/>
  <c r="X1767" i="1"/>
  <c r="J1767" i="1"/>
  <c r="J1763" i="5" s="1"/>
  <c r="P1670" i="2"/>
  <c r="P1761" i="4"/>
  <c r="U1765" i="1"/>
  <c r="U1761" i="5" s="1"/>
  <c r="U1767" i="5" s="1"/>
  <c r="P1771" i="1"/>
  <c r="P1665" i="2"/>
  <c r="P1756" i="4"/>
  <c r="U1760" i="1"/>
  <c r="U1756" i="5" s="1"/>
  <c r="U1664" i="2"/>
  <c r="U1755" i="4"/>
  <c r="U1663" i="2"/>
  <c r="U1754" i="4"/>
  <c r="J1663" i="2"/>
  <c r="J1754" i="4"/>
  <c r="J1661" i="2"/>
  <c r="J1752" i="4"/>
  <c r="E1660" i="2"/>
  <c r="E1751" i="4"/>
  <c r="Q1755" i="1"/>
  <c r="Q1751" i="5" s="1"/>
  <c r="Z1755" i="1"/>
  <c r="Z1751" i="5" s="1"/>
  <c r="P1658" i="2"/>
  <c r="P1749" i="4"/>
  <c r="U1753" i="1"/>
  <c r="U1749" i="5" s="1"/>
  <c r="U1657" i="2"/>
  <c r="U1748" i="4"/>
  <c r="J1657" i="2"/>
  <c r="J1748" i="4"/>
  <c r="V1642" i="2"/>
  <c r="V1734" i="4"/>
  <c r="H1642" i="2"/>
  <c r="H1734" i="4"/>
  <c r="X1737" i="1"/>
  <c r="P1641" i="2"/>
  <c r="P1733" i="4"/>
  <c r="V1736" i="1"/>
  <c r="V1733" i="5" s="1"/>
  <c r="V1638" i="2"/>
  <c r="V1730" i="4"/>
  <c r="H1638" i="2"/>
  <c r="H1730" i="4"/>
  <c r="X1733" i="1"/>
  <c r="P1637" i="2"/>
  <c r="P1729" i="4"/>
  <c r="V1732" i="1"/>
  <c r="V1729" i="5" s="1"/>
  <c r="V1634" i="2"/>
  <c r="V1726" i="4"/>
  <c r="H1634" i="2"/>
  <c r="H1726" i="4"/>
  <c r="X1729" i="1"/>
  <c r="P1633" i="2"/>
  <c r="P1725" i="4"/>
  <c r="V1728" i="1"/>
  <c r="V1725" i="5" s="1"/>
  <c r="V1626" i="2"/>
  <c r="V1718" i="4"/>
  <c r="H1626" i="2"/>
  <c r="H1718" i="4"/>
  <c r="X1721" i="1"/>
  <c r="P1625" i="2"/>
  <c r="P1717" i="4"/>
  <c r="V1720" i="1"/>
  <c r="V1717" i="5" s="1"/>
  <c r="V1622" i="2"/>
  <c r="V1714" i="4"/>
  <c r="H1622" i="2"/>
  <c r="H1714" i="4"/>
  <c r="X1717" i="1"/>
  <c r="P1621" i="2"/>
  <c r="P1713" i="4"/>
  <c r="V1716" i="1"/>
  <c r="V1713" i="5" s="1"/>
  <c r="P1615" i="2"/>
  <c r="P1707" i="4"/>
  <c r="V1710" i="1"/>
  <c r="V1707" i="5" s="1"/>
  <c r="V1612" i="2"/>
  <c r="V1704" i="4"/>
  <c r="H1612" i="2"/>
  <c r="H1704" i="4"/>
  <c r="X1707" i="1"/>
  <c r="P1611" i="2"/>
  <c r="P1703" i="4"/>
  <c r="V1706" i="1"/>
  <c r="V1703" i="5" s="1"/>
  <c r="V1608" i="2"/>
  <c r="V1700" i="4"/>
  <c r="H1608" i="2"/>
  <c r="H1700" i="4"/>
  <c r="H1712" i="1"/>
  <c r="X1703" i="1"/>
  <c r="P1587" i="2"/>
  <c r="P1676" i="4"/>
  <c r="V1679" i="1"/>
  <c r="V1676" i="5" s="1"/>
  <c r="U1679" i="1"/>
  <c r="U1676" i="5" s="1"/>
  <c r="H1586" i="2"/>
  <c r="H1675" i="4"/>
  <c r="X1678" i="1"/>
  <c r="M1678" i="1"/>
  <c r="M1675" i="5" s="1"/>
  <c r="P1674" i="4"/>
  <c r="X1674" i="4" s="1"/>
  <c r="V1677" i="1"/>
  <c r="V1674" i="5" s="1"/>
  <c r="U1677" i="1"/>
  <c r="F1585" i="2"/>
  <c r="F1589" i="2" s="1"/>
  <c r="F1672" i="4"/>
  <c r="F1678" i="4" s="1"/>
  <c r="H1675" i="1"/>
  <c r="H1672" i="5" s="1"/>
  <c r="X1672" i="5" s="1"/>
  <c r="F1681" i="1"/>
  <c r="F1742" i="1" s="1"/>
  <c r="F2912" i="1" s="1"/>
  <c r="U1553" i="2"/>
  <c r="U1635" i="4"/>
  <c r="X1552" i="2"/>
  <c r="Z1637" i="1"/>
  <c r="Z1634" i="5" s="1"/>
  <c r="H1552" i="2"/>
  <c r="H1634" i="4"/>
  <c r="X1634" i="4" s="1"/>
  <c r="V1637" i="1"/>
  <c r="V1634" i="5" s="1"/>
  <c r="P1551" i="2"/>
  <c r="P1633" i="4"/>
  <c r="V1636" i="1"/>
  <c r="V1633" i="5" s="1"/>
  <c r="H1632" i="4"/>
  <c r="X1632" i="4" s="1"/>
  <c r="M1635" i="1"/>
  <c r="M1632" i="5" s="1"/>
  <c r="X1635" i="1"/>
  <c r="Z1635" i="1" s="1"/>
  <c r="P1550" i="2"/>
  <c r="P1631" i="4"/>
  <c r="V1634" i="1"/>
  <c r="V1631" i="5" s="1"/>
  <c r="U1634" i="1"/>
  <c r="E1550" i="2"/>
  <c r="E1631" i="4"/>
  <c r="E1642" i="1"/>
  <c r="Z1634" i="1"/>
  <c r="Z1631" i="5" s="1"/>
  <c r="P1630" i="4"/>
  <c r="P1549" i="2"/>
  <c r="V1633" i="1"/>
  <c r="V1630" i="5" s="1"/>
  <c r="U1633" i="1"/>
  <c r="U1630" i="5" s="1"/>
  <c r="H1548" i="2"/>
  <c r="H1629" i="4"/>
  <c r="X1632" i="1"/>
  <c r="M1632" i="1"/>
  <c r="M1629" i="5" s="1"/>
  <c r="P1547" i="2"/>
  <c r="P1628" i="4"/>
  <c r="V1631" i="1"/>
  <c r="V1628" i="5" s="1"/>
  <c r="U1631" i="1"/>
  <c r="U1628" i="5" s="1"/>
  <c r="H1627" i="4"/>
  <c r="H1546" i="2"/>
  <c r="X1630" i="1"/>
  <c r="M1630" i="1"/>
  <c r="M1627" i="5" s="1"/>
  <c r="P1545" i="2"/>
  <c r="P1626" i="4"/>
  <c r="V1629" i="1"/>
  <c r="V1626" i="5" s="1"/>
  <c r="U1629" i="1"/>
  <c r="U1626" i="5" s="1"/>
  <c r="H1544" i="2"/>
  <c r="H1625" i="4"/>
  <c r="X1628" i="1"/>
  <c r="M1628" i="1"/>
  <c r="M1625" i="5" s="1"/>
  <c r="P1543" i="2"/>
  <c r="P1624" i="4"/>
  <c r="V1627" i="1"/>
  <c r="V1624" i="5" s="1"/>
  <c r="U1627" i="1"/>
  <c r="U1624" i="5" s="1"/>
  <c r="H1607" i="4"/>
  <c r="H1529" i="2"/>
  <c r="X1610" i="1"/>
  <c r="M1610" i="1"/>
  <c r="M1607" i="5" s="1"/>
  <c r="P1528" i="2"/>
  <c r="P1606" i="4"/>
  <c r="V1609" i="1"/>
  <c r="V1606" i="5" s="1"/>
  <c r="U1609" i="1"/>
  <c r="U1606" i="5" s="1"/>
  <c r="H1527" i="2"/>
  <c r="H1605" i="4"/>
  <c r="X1608" i="1"/>
  <c r="M1608" i="1"/>
  <c r="M1605" i="5" s="1"/>
  <c r="P1525" i="2"/>
  <c r="P1603" i="4"/>
  <c r="V1606" i="1"/>
  <c r="V1603" i="5" s="1"/>
  <c r="U1606" i="1"/>
  <c r="U1603" i="5" s="1"/>
  <c r="H1524" i="2"/>
  <c r="H1602" i="4"/>
  <c r="X1605" i="1"/>
  <c r="M1605" i="1"/>
  <c r="M1602" i="5" s="1"/>
  <c r="P1601" i="4"/>
  <c r="P1523" i="2"/>
  <c r="V1604" i="1"/>
  <c r="V1601" i="5" s="1"/>
  <c r="U1604" i="1"/>
  <c r="U1601" i="5" s="1"/>
  <c r="H1519" i="2"/>
  <c r="H1597" i="4"/>
  <c r="X1600" i="1"/>
  <c r="H1621" i="1"/>
  <c r="M1600" i="1"/>
  <c r="M1597" i="5" s="1"/>
  <c r="P1518" i="2"/>
  <c r="P1596" i="4"/>
  <c r="V1599" i="1"/>
  <c r="V1596" i="5" s="1"/>
  <c r="P1621" i="1"/>
  <c r="U1599" i="1"/>
  <c r="U1596" i="5" s="1"/>
  <c r="U1512" i="2"/>
  <c r="U1590" i="4"/>
  <c r="M1588" i="4"/>
  <c r="AA1591" i="1"/>
  <c r="AA1588" i="5" s="1"/>
  <c r="M1510" i="2"/>
  <c r="M1586" i="4"/>
  <c r="AA1589" i="1"/>
  <c r="AA1586" i="5" s="1"/>
  <c r="M1508" i="2"/>
  <c r="M1584" i="4"/>
  <c r="AA1587" i="1"/>
  <c r="AA1584" i="5" s="1"/>
  <c r="M1506" i="2"/>
  <c r="M1582" i="4"/>
  <c r="AA1585" i="1"/>
  <c r="AA1582" i="5" s="1"/>
  <c r="M1580" i="4"/>
  <c r="M1502" i="2"/>
  <c r="M1578" i="4"/>
  <c r="AA1581" i="1"/>
  <c r="AA1578" i="5" s="1"/>
  <c r="M1500" i="2"/>
  <c r="M1576" i="4"/>
  <c r="AA1579" i="1"/>
  <c r="AA1576" i="5" s="1"/>
  <c r="M1498" i="2"/>
  <c r="M1574" i="4"/>
  <c r="AA1577" i="1"/>
  <c r="AA1574" i="5" s="1"/>
  <c r="M1496" i="2"/>
  <c r="M1572" i="4"/>
  <c r="AA1575" i="1"/>
  <c r="AA1572" i="5" s="1"/>
  <c r="M1490" i="2"/>
  <c r="M1566" i="4"/>
  <c r="AA1569" i="1"/>
  <c r="AA1566" i="5" s="1"/>
  <c r="M1489" i="2"/>
  <c r="M1564" i="4"/>
  <c r="AA1567" i="1"/>
  <c r="AA1564" i="5" s="1"/>
  <c r="M1487" i="2"/>
  <c r="M1562" i="4"/>
  <c r="AA1565" i="1"/>
  <c r="AA1562" i="5" s="1"/>
  <c r="M1485" i="2"/>
  <c r="M1560" i="4"/>
  <c r="AA1563" i="1"/>
  <c r="AA1560" i="5" s="1"/>
  <c r="M1483" i="2"/>
  <c r="M1558" i="4"/>
  <c r="AA1561" i="1"/>
  <c r="AA1558" i="5" s="1"/>
  <c r="M1481" i="2"/>
  <c r="M1556" i="4"/>
  <c r="AA1559" i="1"/>
  <c r="AA1556" i="5" s="1"/>
  <c r="M1479" i="2"/>
  <c r="M1554" i="4"/>
  <c r="AA1557" i="1"/>
  <c r="AA1554" i="5" s="1"/>
  <c r="M1477" i="2"/>
  <c r="M1552" i="4"/>
  <c r="AA1555" i="1"/>
  <c r="AA1552" i="5" s="1"/>
  <c r="V1473" i="2"/>
  <c r="V1548" i="4"/>
  <c r="H1473" i="2"/>
  <c r="H1548" i="4"/>
  <c r="X1551" i="1"/>
  <c r="X1548" i="5" s="1"/>
  <c r="P1459" i="2"/>
  <c r="P1536" i="4"/>
  <c r="P1542" i="1"/>
  <c r="U1537" i="1"/>
  <c r="U1536" i="5" s="1"/>
  <c r="U1530" i="4"/>
  <c r="H1453" i="2"/>
  <c r="H1530" i="4"/>
  <c r="M1531" i="1"/>
  <c r="M1530" i="5" s="1"/>
  <c r="Q1450" i="2"/>
  <c r="Q1527" i="4"/>
  <c r="H1441" i="2"/>
  <c r="H1518" i="4"/>
  <c r="M1519" i="1"/>
  <c r="M1518" i="5" s="1"/>
  <c r="Q1438" i="2"/>
  <c r="Q1515" i="4"/>
  <c r="U1429" i="2"/>
  <c r="U1506" i="4"/>
  <c r="H1429" i="2"/>
  <c r="H1506" i="4"/>
  <c r="M1507" i="1"/>
  <c r="M1506" i="5" s="1"/>
  <c r="Q1426" i="2"/>
  <c r="Q1503" i="4"/>
  <c r="U1418" i="2"/>
  <c r="U1495" i="4"/>
  <c r="J1418" i="2"/>
  <c r="J1495" i="4"/>
  <c r="U1416" i="2"/>
  <c r="U1493" i="4"/>
  <c r="J1416" i="2"/>
  <c r="J1493" i="4"/>
  <c r="AA1491" i="4"/>
  <c r="AB1492" i="1"/>
  <c r="U1413" i="2"/>
  <c r="U1489" i="4"/>
  <c r="J1413" i="2"/>
  <c r="J1489" i="4"/>
  <c r="E1412" i="2"/>
  <c r="E1488" i="4"/>
  <c r="Q1489" i="1"/>
  <c r="Q1488" i="5" s="1"/>
  <c r="W1489" i="1"/>
  <c r="W1488" i="5" s="1"/>
  <c r="H1410" i="2"/>
  <c r="H1486" i="4"/>
  <c r="M1487" i="1"/>
  <c r="M1486" i="5" s="1"/>
  <c r="J1487" i="1"/>
  <c r="J1486" i="5" s="1"/>
  <c r="F1405" i="2"/>
  <c r="F1481" i="4"/>
  <c r="U1403" i="2"/>
  <c r="U1479" i="4"/>
  <c r="M1402" i="2"/>
  <c r="M1478" i="4"/>
  <c r="M1401" i="2"/>
  <c r="M1477" i="4"/>
  <c r="P1476" i="4"/>
  <c r="P1400" i="2"/>
  <c r="V1477" i="1"/>
  <c r="V1476" i="5" s="1"/>
  <c r="U1477" i="1"/>
  <c r="U1476" i="5" s="1"/>
  <c r="X1399" i="2"/>
  <c r="K1399" i="2"/>
  <c r="K1475" i="4"/>
  <c r="P1464" i="4"/>
  <c r="V1465" i="1"/>
  <c r="E1391" i="2"/>
  <c r="E1463" i="4"/>
  <c r="Q1390" i="2"/>
  <c r="Q1462" i="4"/>
  <c r="P1388" i="2"/>
  <c r="P1460" i="4"/>
  <c r="V1461" i="1"/>
  <c r="V1460" i="5" s="1"/>
  <c r="U1461" i="1"/>
  <c r="U1460" i="5" s="1"/>
  <c r="P1383" i="2"/>
  <c r="P1454" i="4"/>
  <c r="V1455" i="1"/>
  <c r="V1454" i="5" s="1"/>
  <c r="U1455" i="1"/>
  <c r="U1454" i="5" s="1"/>
  <c r="F1382" i="2"/>
  <c r="F1453" i="4"/>
  <c r="U1380" i="2"/>
  <c r="U1451" i="4"/>
  <c r="J1451" i="4"/>
  <c r="J1380" i="2"/>
  <c r="E1378" i="2"/>
  <c r="E1449" i="4"/>
  <c r="Q1450" i="1"/>
  <c r="Q1449" i="5" s="1"/>
  <c r="Q1448" i="4"/>
  <c r="Q1377" i="2"/>
  <c r="W1448" i="1"/>
  <c r="W1447" i="5" s="1"/>
  <c r="M1376" i="2"/>
  <c r="M1447" i="4"/>
  <c r="P1375" i="2"/>
  <c r="P1446" i="4"/>
  <c r="U1447" i="1"/>
  <c r="U1446" i="5" s="1"/>
  <c r="Q1447" i="1"/>
  <c r="Q1446" i="5" s="1"/>
  <c r="X1447" i="1"/>
  <c r="P1374" i="2"/>
  <c r="P1445" i="4"/>
  <c r="U1446" i="1"/>
  <c r="U1445" i="5" s="1"/>
  <c r="Q1446" i="1"/>
  <c r="Q1445" i="5" s="1"/>
  <c r="X1446" i="1"/>
  <c r="P1373" i="2"/>
  <c r="P1444" i="4"/>
  <c r="U1445" i="1"/>
  <c r="U1444" i="5" s="1"/>
  <c r="X1445" i="1"/>
  <c r="X1373" i="2" s="1"/>
  <c r="E1373" i="2"/>
  <c r="E1444" i="4"/>
  <c r="Q1445" i="1"/>
  <c r="Q1444" i="5" s="1"/>
  <c r="X1366" i="2"/>
  <c r="Z1438" i="1"/>
  <c r="Z1366" i="2" s="1"/>
  <c r="H1366" i="2"/>
  <c r="H1437" i="4"/>
  <c r="M1438" i="1"/>
  <c r="M1437" i="5" s="1"/>
  <c r="J1438" i="1"/>
  <c r="J1437" i="5" s="1"/>
  <c r="E1360" i="2"/>
  <c r="E1431" i="4"/>
  <c r="Q1432" i="1"/>
  <c r="Q1431" i="5" s="1"/>
  <c r="Q1359" i="2"/>
  <c r="Q1430" i="4"/>
  <c r="V1358" i="2"/>
  <c r="V1429" i="4"/>
  <c r="W1430" i="1"/>
  <c r="W1429" i="5" s="1"/>
  <c r="M1358" i="2"/>
  <c r="M1429" i="4"/>
  <c r="E1428" i="4"/>
  <c r="P1427" i="4"/>
  <c r="P1357" i="2"/>
  <c r="V1428" i="1"/>
  <c r="V1427" i="5" s="1"/>
  <c r="U1355" i="2"/>
  <c r="U1425" i="4"/>
  <c r="H1355" i="2"/>
  <c r="H1425" i="4"/>
  <c r="M1426" i="1"/>
  <c r="M1425" i="5" s="1"/>
  <c r="M1354" i="2"/>
  <c r="M1424" i="4"/>
  <c r="U1351" i="2"/>
  <c r="U1421" i="4"/>
  <c r="H1351" i="2"/>
  <c r="H1421" i="4"/>
  <c r="M1422" i="1"/>
  <c r="M1421" i="5" s="1"/>
  <c r="M1350" i="2"/>
  <c r="M1420" i="4"/>
  <c r="M1349" i="2"/>
  <c r="M1419" i="4"/>
  <c r="M1348" i="2"/>
  <c r="M1418" i="4"/>
  <c r="Q1345" i="2"/>
  <c r="Q1415" i="4"/>
  <c r="E1344" i="2"/>
  <c r="E1414" i="4"/>
  <c r="W1415" i="1"/>
  <c r="W1414" i="5" s="1"/>
  <c r="Q1415" i="1"/>
  <c r="Q1414" i="5" s="1"/>
  <c r="Z1415" i="1"/>
  <c r="Z1344" i="2" s="1"/>
  <c r="M1343" i="2"/>
  <c r="M1413" i="4"/>
  <c r="AA1414" i="1"/>
  <c r="AA1413" i="5" s="1"/>
  <c r="P1340" i="2"/>
  <c r="P1410" i="4"/>
  <c r="V1411" i="1"/>
  <c r="V1410" i="5" s="1"/>
  <c r="U1411" i="1"/>
  <c r="U1410" i="5" s="1"/>
  <c r="Q1411" i="1"/>
  <c r="Q1410" i="5" s="1"/>
  <c r="Q1338" i="2"/>
  <c r="Q1408" i="4"/>
  <c r="M1337" i="2"/>
  <c r="M1407" i="4"/>
  <c r="AA1408" i="1"/>
  <c r="AA1407" i="5" s="1"/>
  <c r="E1337" i="2"/>
  <c r="E1407" i="4"/>
  <c r="W1408" i="1"/>
  <c r="W1407" i="5" s="1"/>
  <c r="AB1408" i="1"/>
  <c r="AB1407" i="5" s="1"/>
  <c r="Q1408" i="1"/>
  <c r="Q1407" i="5" s="1"/>
  <c r="Z1408" i="1"/>
  <c r="Z1337" i="2" s="1"/>
  <c r="M1336" i="2"/>
  <c r="M1406" i="4"/>
  <c r="H1335" i="2"/>
  <c r="H1405" i="4"/>
  <c r="M1406" i="1"/>
  <c r="M1405" i="5" s="1"/>
  <c r="X1406" i="1"/>
  <c r="J1406" i="1"/>
  <c r="J1405" i="5" s="1"/>
  <c r="Q1330" i="2"/>
  <c r="Q1400" i="4"/>
  <c r="V1329" i="2"/>
  <c r="V1399" i="4"/>
  <c r="J1329" i="2"/>
  <c r="J1399" i="4"/>
  <c r="Q1327" i="2"/>
  <c r="Q1397" i="4"/>
  <c r="X1326" i="2"/>
  <c r="Z1396" i="1"/>
  <c r="Z1326" i="2" s="1"/>
  <c r="M1326" i="2"/>
  <c r="M1395" i="4"/>
  <c r="U1323" i="2"/>
  <c r="U1392" i="4"/>
  <c r="H1323" i="2"/>
  <c r="H1392" i="4"/>
  <c r="X1393" i="1"/>
  <c r="M1393" i="1"/>
  <c r="M1392" i="5" s="1"/>
  <c r="V1393" i="1"/>
  <c r="V1392" i="5" s="1"/>
  <c r="H1321" i="2"/>
  <c r="H1390" i="4"/>
  <c r="M1391" i="1"/>
  <c r="M1390" i="5" s="1"/>
  <c r="V1391" i="1"/>
  <c r="V1390" i="5" s="1"/>
  <c r="J1391" i="1"/>
  <c r="J1390" i="5" s="1"/>
  <c r="P1320" i="2"/>
  <c r="P1389" i="4"/>
  <c r="U1390" i="1"/>
  <c r="U1389" i="5" s="1"/>
  <c r="U1317" i="2"/>
  <c r="U1386" i="4"/>
  <c r="J1317" i="2"/>
  <c r="J1386" i="4"/>
  <c r="Q1314" i="2"/>
  <c r="Q1383" i="4"/>
  <c r="V1382" i="4"/>
  <c r="V1313" i="2"/>
  <c r="W1383" i="1"/>
  <c r="W1382" i="5" s="1"/>
  <c r="M1382" i="4"/>
  <c r="M1313" i="2"/>
  <c r="P1304" i="2"/>
  <c r="P1373" i="4"/>
  <c r="U1374" i="1"/>
  <c r="U1373" i="5" s="1"/>
  <c r="X1374" i="1"/>
  <c r="X1304" i="2" s="1"/>
  <c r="E1304" i="2"/>
  <c r="E1373" i="4"/>
  <c r="Q1374" i="1"/>
  <c r="Q1373" i="5" s="1"/>
  <c r="W1374" i="1"/>
  <c r="W1373" i="5" s="1"/>
  <c r="P1302" i="2"/>
  <c r="P1371" i="4"/>
  <c r="V1372" i="1"/>
  <c r="V1371" i="5" s="1"/>
  <c r="U1372" i="1"/>
  <c r="U1371" i="5" s="1"/>
  <c r="Q1372" i="1"/>
  <c r="Q1371" i="5" s="1"/>
  <c r="Q1301" i="2"/>
  <c r="Q1370" i="4"/>
  <c r="M1364" i="4"/>
  <c r="AA1365" i="1"/>
  <c r="AA1364" i="5" s="1"/>
  <c r="U1296" i="2"/>
  <c r="U1363" i="4"/>
  <c r="M1362" i="4"/>
  <c r="H1293" i="2"/>
  <c r="H1358" i="4"/>
  <c r="M1359" i="1"/>
  <c r="M1358" i="5" s="1"/>
  <c r="J1359" i="1"/>
  <c r="J1358" i="5" s="1"/>
  <c r="F1357" i="4"/>
  <c r="F1292" i="2"/>
  <c r="F1376" i="1"/>
  <c r="H1358" i="1"/>
  <c r="H1357" i="5" s="1"/>
  <c r="X1357" i="5" s="1"/>
  <c r="Z1357" i="5" s="1"/>
  <c r="W1357" i="1"/>
  <c r="W1356" i="5" s="1"/>
  <c r="M1291" i="2"/>
  <c r="M1356" i="4"/>
  <c r="AA1357" i="1"/>
  <c r="AA1356" i="5" s="1"/>
  <c r="P1289" i="2"/>
  <c r="P1354" i="4"/>
  <c r="U1355" i="1"/>
  <c r="U1354" i="5" s="1"/>
  <c r="Q1355" i="1"/>
  <c r="Q1354" i="5" s="1"/>
  <c r="X1355" i="1"/>
  <c r="H1284" i="2"/>
  <c r="H1349" i="4"/>
  <c r="M1350" i="1"/>
  <c r="M1349" i="5" s="1"/>
  <c r="J1350" i="1"/>
  <c r="J1349" i="5" s="1"/>
  <c r="H1279" i="2"/>
  <c r="H1344" i="4"/>
  <c r="J1345" i="1"/>
  <c r="J1344" i="5" s="1"/>
  <c r="X1345" i="1"/>
  <c r="X1279" i="2" s="1"/>
  <c r="M1345" i="1"/>
  <c r="M1344" i="5" s="1"/>
  <c r="P1277" i="2"/>
  <c r="P1342" i="4"/>
  <c r="U1343" i="1"/>
  <c r="X1343" i="1"/>
  <c r="V1343" i="1"/>
  <c r="V1342" i="5" s="1"/>
  <c r="E1277" i="2"/>
  <c r="E1342" i="4"/>
  <c r="Z1343" i="1"/>
  <c r="Q1343" i="1"/>
  <c r="Q1342" i="5" s="1"/>
  <c r="E1376" i="1"/>
  <c r="P1336" i="4"/>
  <c r="P1271" i="2"/>
  <c r="U1337" i="1"/>
  <c r="U1336" i="5" s="1"/>
  <c r="Q1337" i="1"/>
  <c r="Q1336" i="5" s="1"/>
  <c r="X1337" i="1"/>
  <c r="P1269" i="2"/>
  <c r="P1334" i="4"/>
  <c r="U1335" i="1"/>
  <c r="U1334" i="5" s="1"/>
  <c r="Q1335" i="1"/>
  <c r="Q1334" i="5" s="1"/>
  <c r="X1335" i="1"/>
  <c r="P1267" i="2"/>
  <c r="P1330" i="4"/>
  <c r="X1331" i="1"/>
  <c r="U1331" i="1"/>
  <c r="U1330" i="5" s="1"/>
  <c r="P1265" i="2"/>
  <c r="P1328" i="4"/>
  <c r="V1329" i="1"/>
  <c r="V1328" i="5" s="1"/>
  <c r="U1329" i="1"/>
  <c r="U1328" i="5" s="1"/>
  <c r="Q1329" i="1"/>
  <c r="Q1328" i="5" s="1"/>
  <c r="H1258" i="2"/>
  <c r="H1321" i="4"/>
  <c r="M1322" i="1"/>
  <c r="M1321" i="5" s="1"/>
  <c r="J1322" i="1"/>
  <c r="J1321" i="5" s="1"/>
  <c r="F1257" i="2"/>
  <c r="F1320" i="4"/>
  <c r="H1321" i="1"/>
  <c r="E1252" i="2"/>
  <c r="E1315" i="4"/>
  <c r="Q1316" i="1"/>
  <c r="Q1315" i="5" s="1"/>
  <c r="H1251" i="2"/>
  <c r="H1314" i="4"/>
  <c r="M1315" i="1"/>
  <c r="M1314" i="5" s="1"/>
  <c r="J1315" i="1"/>
  <c r="J1314" i="5" s="1"/>
  <c r="X1315" i="1"/>
  <c r="V1250" i="2"/>
  <c r="V1313" i="4"/>
  <c r="W1314" i="1"/>
  <c r="W1313" i="5" s="1"/>
  <c r="M1250" i="2"/>
  <c r="M1313" i="4"/>
  <c r="AA1314" i="1"/>
  <c r="AA1313" i="5" s="1"/>
  <c r="M1244" i="2"/>
  <c r="M1307" i="4"/>
  <c r="AA1308" i="1"/>
  <c r="E1244" i="2"/>
  <c r="E1307" i="4"/>
  <c r="Q1308" i="1"/>
  <c r="Q1307" i="5" s="1"/>
  <c r="W1308" i="1"/>
  <c r="W1307" i="5" s="1"/>
  <c r="P1242" i="2"/>
  <c r="P1305" i="4"/>
  <c r="V1306" i="1"/>
  <c r="V1305" i="5" s="1"/>
  <c r="U1306" i="1"/>
  <c r="U1305" i="5" s="1"/>
  <c r="Q1306" i="1"/>
  <c r="Q1305" i="5" s="1"/>
  <c r="U1241" i="2"/>
  <c r="U1304" i="4"/>
  <c r="H1241" i="2"/>
  <c r="H1304" i="4"/>
  <c r="M1305" i="1"/>
  <c r="M1304" i="5" s="1"/>
  <c r="U1238" i="2"/>
  <c r="U1301" i="4"/>
  <c r="AA1297" i="1"/>
  <c r="E1233" i="2"/>
  <c r="E1296" i="4"/>
  <c r="Q1297" i="1"/>
  <c r="Q1296" i="5" s="1"/>
  <c r="W1297" i="1"/>
  <c r="W1296" i="5" s="1"/>
  <c r="Z1297" i="1"/>
  <c r="Z1233" i="2" s="1"/>
  <c r="P1230" i="2"/>
  <c r="P1293" i="4"/>
  <c r="V1294" i="1"/>
  <c r="V1293" i="5" s="1"/>
  <c r="U1294" i="1"/>
  <c r="U1293" i="5" s="1"/>
  <c r="X1294" i="1"/>
  <c r="X1230" i="2" s="1"/>
  <c r="U1229" i="2"/>
  <c r="U1292" i="4"/>
  <c r="J1229" i="2"/>
  <c r="J1292" i="4"/>
  <c r="M1227" i="2"/>
  <c r="M1290" i="4"/>
  <c r="M1225" i="2"/>
  <c r="M1288" i="4"/>
  <c r="V1221" i="2"/>
  <c r="V1284" i="4"/>
  <c r="K1221" i="2"/>
  <c r="K1246" i="2" s="1"/>
  <c r="K1284" i="4"/>
  <c r="K1309" i="4" s="1"/>
  <c r="K1310" i="1"/>
  <c r="V1206" i="2"/>
  <c r="V1265" i="4"/>
  <c r="P1200" i="2"/>
  <c r="P1259" i="4"/>
  <c r="U1260" i="1"/>
  <c r="U1259" i="5" s="1"/>
  <c r="Q1260" i="1"/>
  <c r="Q1259" i="5" s="1"/>
  <c r="X1260" i="1"/>
  <c r="P1198" i="2"/>
  <c r="P1257" i="4"/>
  <c r="U1258" i="1"/>
  <c r="U1257" i="5" s="1"/>
  <c r="Q1258" i="1"/>
  <c r="Q1257" i="5" s="1"/>
  <c r="P1197" i="2"/>
  <c r="P1256" i="4"/>
  <c r="V1257" i="1"/>
  <c r="V1256" i="5" s="1"/>
  <c r="U1257" i="1"/>
  <c r="U1256" i="5" s="1"/>
  <c r="Q1257" i="1"/>
  <c r="Q1256" i="5" s="1"/>
  <c r="U1196" i="2"/>
  <c r="U1255" i="4"/>
  <c r="H1196" i="2"/>
  <c r="H1255" i="4"/>
  <c r="M1256" i="1"/>
  <c r="M1255" i="5" s="1"/>
  <c r="H1195" i="2"/>
  <c r="H1254" i="4"/>
  <c r="M1255" i="1"/>
  <c r="M1254" i="5" s="1"/>
  <c r="J1255" i="1"/>
  <c r="J1254" i="5" s="1"/>
  <c r="X1255" i="1"/>
  <c r="V1194" i="2"/>
  <c r="V1253" i="4"/>
  <c r="W1254" i="1"/>
  <c r="W1253" i="5" s="1"/>
  <c r="V1190" i="2"/>
  <c r="V1249" i="4"/>
  <c r="M1181" i="2"/>
  <c r="M1237" i="4"/>
  <c r="AA1238" i="1"/>
  <c r="AA1237" i="5" s="1"/>
  <c r="V1179" i="2"/>
  <c r="V1233" i="4"/>
  <c r="F1177" i="2"/>
  <c r="F1231" i="4"/>
  <c r="F1245" i="1"/>
  <c r="U1175" i="2"/>
  <c r="U1229" i="4"/>
  <c r="J1175" i="2"/>
  <c r="J1229" i="4"/>
  <c r="U1173" i="2"/>
  <c r="U1227" i="4"/>
  <c r="U1171" i="2"/>
  <c r="U1225" i="4"/>
  <c r="P1167" i="2"/>
  <c r="P1221" i="4"/>
  <c r="U1222" i="1"/>
  <c r="U1221" i="5" s="1"/>
  <c r="V1222" i="1"/>
  <c r="V1221" i="5" s="1"/>
  <c r="X1222" i="1"/>
  <c r="H1165" i="2"/>
  <c r="H1219" i="4"/>
  <c r="X1220" i="1"/>
  <c r="M1220" i="1"/>
  <c r="M1219" i="5" s="1"/>
  <c r="V1220" i="1"/>
  <c r="V1219" i="5" s="1"/>
  <c r="J1220" i="1"/>
  <c r="J1219" i="5" s="1"/>
  <c r="M1156" i="2"/>
  <c r="M1210" i="4"/>
  <c r="AA1211" i="1"/>
  <c r="AA1210" i="5" s="1"/>
  <c r="P1208" i="4"/>
  <c r="U1209" i="1"/>
  <c r="X1209" i="1"/>
  <c r="X1208" i="5" s="1"/>
  <c r="V1209" i="1"/>
  <c r="F1154" i="2"/>
  <c r="F1206" i="4"/>
  <c r="H1207" i="1"/>
  <c r="H1206" i="5" s="1"/>
  <c r="P1148" i="2"/>
  <c r="P1200" i="4"/>
  <c r="Q1201" i="1"/>
  <c r="Q1200" i="5" s="1"/>
  <c r="U1201" i="1"/>
  <c r="U1200" i="5" s="1"/>
  <c r="P1128" i="2"/>
  <c r="P1179" i="4"/>
  <c r="V1180" i="1"/>
  <c r="V1179" i="5" s="1"/>
  <c r="U1180" i="1"/>
  <c r="U1179" i="5" s="1"/>
  <c r="M1127" i="2"/>
  <c r="M1178" i="4"/>
  <c r="V1121" i="2"/>
  <c r="V1172" i="4"/>
  <c r="W1173" i="1"/>
  <c r="W1172" i="5" s="1"/>
  <c r="U1119" i="2"/>
  <c r="U1170" i="4"/>
  <c r="V1099" i="2"/>
  <c r="V1149" i="4"/>
  <c r="H1099" i="2"/>
  <c r="H1149" i="4"/>
  <c r="X1150" i="1"/>
  <c r="H1167" i="1"/>
  <c r="H1091" i="2"/>
  <c r="H1141" i="4"/>
  <c r="M1142" i="1"/>
  <c r="M1141" i="5" s="1"/>
  <c r="X1142" i="1"/>
  <c r="V1142" i="1"/>
  <c r="V1141" i="5" s="1"/>
  <c r="M1076" i="2"/>
  <c r="M1125" i="4"/>
  <c r="U1074" i="2"/>
  <c r="U1123" i="4"/>
  <c r="X1071" i="2"/>
  <c r="Z1121" i="1"/>
  <c r="Z1071" i="2" s="1"/>
  <c r="H1070" i="2"/>
  <c r="H1119" i="4"/>
  <c r="X1120" i="1"/>
  <c r="M1120" i="1"/>
  <c r="M1119" i="5" s="1"/>
  <c r="M1061" i="2"/>
  <c r="M1110" i="4"/>
  <c r="AA1111" i="1"/>
  <c r="AA1110" i="5" s="1"/>
  <c r="P1054" i="2"/>
  <c r="P1102" i="4"/>
  <c r="V1103" i="1"/>
  <c r="V1102" i="5" s="1"/>
  <c r="X1103" i="1"/>
  <c r="U1103" i="1"/>
  <c r="U1102" i="5" s="1"/>
  <c r="P1107" i="1"/>
  <c r="X1046" i="2"/>
  <c r="Z1095" i="1"/>
  <c r="Z1046" i="2" s="1"/>
  <c r="V1045" i="2"/>
  <c r="V1093" i="4"/>
  <c r="W1094" i="1"/>
  <c r="W1093" i="5" s="1"/>
  <c r="M1042" i="2"/>
  <c r="M1090" i="4"/>
  <c r="M1027" i="2"/>
  <c r="M1074" i="4"/>
  <c r="P1015" i="2"/>
  <c r="P1062" i="4"/>
  <c r="V1063" i="1"/>
  <c r="V1062" i="5" s="1"/>
  <c r="X1063" i="1"/>
  <c r="U1063" i="1"/>
  <c r="V983" i="2"/>
  <c r="V1028" i="4"/>
  <c r="U982" i="2"/>
  <c r="U1027" i="4"/>
  <c r="P979" i="2"/>
  <c r="P1024" i="4"/>
  <c r="V1025" i="1"/>
  <c r="V1024" i="5" s="1"/>
  <c r="X1025" i="1"/>
  <c r="X979" i="2" s="1"/>
  <c r="H966" i="2"/>
  <c r="H1011" i="4"/>
  <c r="X1012" i="1"/>
  <c r="H1009" i="4"/>
  <c r="X1009" i="4" s="1"/>
  <c r="Z1009" i="4" s="1"/>
  <c r="X1010" i="1"/>
  <c r="Z1010" i="1" s="1"/>
  <c r="V963" i="2"/>
  <c r="V1006" i="4"/>
  <c r="I963" i="2"/>
  <c r="I968" i="2" s="1"/>
  <c r="I1006" i="4"/>
  <c r="I1013" i="4" s="1"/>
  <c r="I1014" i="1"/>
  <c r="I1190" i="1" s="1"/>
  <c r="I2908" i="1" s="1"/>
  <c r="X953" i="2"/>
  <c r="Z997" i="1"/>
  <c r="Z953" i="2" s="1"/>
  <c r="X950" i="2"/>
  <c r="Z994" i="1"/>
  <c r="H950" i="2"/>
  <c r="H993" i="4"/>
  <c r="M994" i="1"/>
  <c r="M993" i="5" s="1"/>
  <c r="H1014" i="1"/>
  <c r="T944" i="2"/>
  <c r="T946" i="2" s="1"/>
  <c r="T987" i="4"/>
  <c r="T989" i="4" s="1"/>
  <c r="E939" i="2"/>
  <c r="E982" i="4"/>
  <c r="P937" i="2"/>
  <c r="P979" i="4"/>
  <c r="U980" i="1"/>
  <c r="U979" i="5" s="1"/>
  <c r="V980" i="1"/>
  <c r="V979" i="5" s="1"/>
  <c r="X980" i="1"/>
  <c r="X979" i="5" s="1"/>
  <c r="E937" i="2"/>
  <c r="E979" i="4"/>
  <c r="H935" i="2"/>
  <c r="H977" i="4"/>
  <c r="M978" i="1"/>
  <c r="M977" i="5" s="1"/>
  <c r="X978" i="1"/>
  <c r="X977" i="5" s="1"/>
  <c r="V978" i="1"/>
  <c r="V977" i="5" s="1"/>
  <c r="X928" i="2"/>
  <c r="X970" i="4"/>
  <c r="Z971" i="1"/>
  <c r="Z970" i="5" s="1"/>
  <c r="H907" i="2"/>
  <c r="J950" i="1"/>
  <c r="J950" i="5" s="1"/>
  <c r="M950" i="1"/>
  <c r="M950" i="5" s="1"/>
  <c r="X950" i="1"/>
  <c r="U885" i="2"/>
  <c r="U928" i="4"/>
  <c r="H885" i="2"/>
  <c r="H928" i="4"/>
  <c r="M928" i="1"/>
  <c r="M928" i="5" s="1"/>
  <c r="W875" i="2"/>
  <c r="W918" i="4"/>
  <c r="P873" i="2"/>
  <c r="P914" i="4"/>
  <c r="U914" i="1"/>
  <c r="U914" i="5" s="1"/>
  <c r="Q871" i="2"/>
  <c r="Q911" i="4"/>
  <c r="X862" i="2"/>
  <c r="Z902" i="1"/>
  <c r="Z862" i="2" s="1"/>
  <c r="U860" i="2"/>
  <c r="U900" i="4"/>
  <c r="J860" i="2"/>
  <c r="J900" i="4"/>
  <c r="H850" i="2"/>
  <c r="H889" i="4"/>
  <c r="M889" i="1"/>
  <c r="M889" i="5" s="1"/>
  <c r="U846" i="2"/>
  <c r="U885" i="4"/>
  <c r="J846" i="2"/>
  <c r="J885" i="4"/>
  <c r="V845" i="2"/>
  <c r="V884" i="4"/>
  <c r="W884" i="1"/>
  <c r="W884" i="5" s="1"/>
  <c r="M845" i="2"/>
  <c r="M884" i="4"/>
  <c r="AA884" i="1"/>
  <c r="AA884" i="5" s="1"/>
  <c r="V842" i="2"/>
  <c r="V881" i="4"/>
  <c r="Q839" i="2"/>
  <c r="Q878" i="4"/>
  <c r="M836" i="2"/>
  <c r="M875" i="4"/>
  <c r="AB870" i="1"/>
  <c r="AB870" i="5" s="1"/>
  <c r="M825" i="2"/>
  <c r="M860" i="4"/>
  <c r="P824" i="2"/>
  <c r="P859" i="4"/>
  <c r="Q859" i="1"/>
  <c r="Q859" i="5" s="1"/>
  <c r="X859" i="1"/>
  <c r="U859" i="1"/>
  <c r="U859" i="5" s="1"/>
  <c r="V859" i="1"/>
  <c r="V859" i="5" s="1"/>
  <c r="Q820" i="2"/>
  <c r="Q855" i="4"/>
  <c r="M801" i="2"/>
  <c r="M835" i="4"/>
  <c r="P800" i="2"/>
  <c r="P834" i="4"/>
  <c r="X834" i="1"/>
  <c r="X800" i="2" s="1"/>
  <c r="U834" i="1"/>
  <c r="U834" i="5" s="1"/>
  <c r="V834" i="1"/>
  <c r="V834" i="5" s="1"/>
  <c r="E800" i="2"/>
  <c r="E834" i="4"/>
  <c r="Q834" i="1"/>
  <c r="Q834" i="5" s="1"/>
  <c r="AA784" i="2"/>
  <c r="AA818" i="4"/>
  <c r="AB818" i="1"/>
  <c r="AB818" i="5" s="1"/>
  <c r="P783" i="2"/>
  <c r="P817" i="4"/>
  <c r="Q817" i="1"/>
  <c r="Q817" i="5" s="1"/>
  <c r="X817" i="1"/>
  <c r="U817" i="1"/>
  <c r="U817" i="5" s="1"/>
  <c r="V817" i="1"/>
  <c r="V817" i="5" s="1"/>
  <c r="H779" i="2"/>
  <c r="H813" i="4"/>
  <c r="M813" i="1"/>
  <c r="M813" i="5" s="1"/>
  <c r="J813" i="1"/>
  <c r="J813" i="5" s="1"/>
  <c r="X813" i="1"/>
  <c r="H778" i="2"/>
  <c r="H812" i="4"/>
  <c r="M812" i="1"/>
  <c r="M812" i="5" s="1"/>
  <c r="J812" i="1"/>
  <c r="J812" i="5" s="1"/>
  <c r="X812" i="1"/>
  <c r="V777" i="2"/>
  <c r="V811" i="4"/>
  <c r="W811" i="1"/>
  <c r="W811" i="5" s="1"/>
  <c r="M777" i="2"/>
  <c r="M811" i="4"/>
  <c r="AA811" i="1"/>
  <c r="AA811" i="5" s="1"/>
  <c r="Q766" i="2"/>
  <c r="Q800" i="4"/>
  <c r="P765" i="2"/>
  <c r="P799" i="4"/>
  <c r="U799" i="1"/>
  <c r="U799" i="5" s="1"/>
  <c r="V799" i="1"/>
  <c r="V799" i="5" s="1"/>
  <c r="Q762" i="2"/>
  <c r="Q795" i="4"/>
  <c r="X757" i="2"/>
  <c r="Z790" i="1"/>
  <c r="Z757" i="2" s="1"/>
  <c r="M754" i="2"/>
  <c r="M787" i="4"/>
  <c r="AA787" i="1"/>
  <c r="AA787" i="5" s="1"/>
  <c r="Q746" i="2"/>
  <c r="Q779" i="4"/>
  <c r="X742" i="2"/>
  <c r="Z773" i="1"/>
  <c r="Z742" i="2" s="1"/>
  <c r="J742" i="2"/>
  <c r="J773" i="4"/>
  <c r="U741" i="2"/>
  <c r="U772" i="4"/>
  <c r="AA772" i="1"/>
  <c r="AA772" i="5" s="1"/>
  <c r="J741" i="2"/>
  <c r="J772" i="4"/>
  <c r="M730" i="2"/>
  <c r="M761" i="4"/>
  <c r="X676" i="2"/>
  <c r="Z706" i="1"/>
  <c r="Z676" i="2" s="1"/>
  <c r="J676" i="2"/>
  <c r="J706" i="4"/>
  <c r="Q666" i="2"/>
  <c r="Q696" i="4"/>
  <c r="H664" i="2"/>
  <c r="H694" i="4"/>
  <c r="M694" i="1"/>
  <c r="M694" i="5" s="1"/>
  <c r="X694" i="1"/>
  <c r="H714" i="1"/>
  <c r="J694" i="1"/>
  <c r="J694" i="5" s="1"/>
  <c r="X629" i="2"/>
  <c r="Z657" i="1"/>
  <c r="Z657" i="5" s="1"/>
  <c r="H622" i="2"/>
  <c r="H650" i="4"/>
  <c r="X650" i="1"/>
  <c r="M650" i="1"/>
  <c r="M650" i="5" s="1"/>
  <c r="J650" i="1"/>
  <c r="J650" i="5" s="1"/>
  <c r="U610" i="2"/>
  <c r="U635" i="4"/>
  <c r="X606" i="2"/>
  <c r="Z630" i="1"/>
  <c r="Z631" i="5" s="1"/>
  <c r="H576" i="2"/>
  <c r="H600" i="4"/>
  <c r="X599" i="1"/>
  <c r="M599" i="1"/>
  <c r="M600" i="5" s="1"/>
  <c r="M568" i="2"/>
  <c r="M592" i="4"/>
  <c r="AA591" i="1"/>
  <c r="AA592" i="5" s="1"/>
  <c r="X562" i="2"/>
  <c r="U531" i="2"/>
  <c r="U550" i="4"/>
  <c r="P521" i="2"/>
  <c r="P540" i="4"/>
  <c r="V541" i="1"/>
  <c r="V540" i="5" s="1"/>
  <c r="U541" i="1"/>
  <c r="U540" i="5" s="1"/>
  <c r="X541" i="1"/>
  <c r="P509" i="2"/>
  <c r="P529" i="4"/>
  <c r="V530" i="1"/>
  <c r="V529" i="5" s="1"/>
  <c r="U530" i="1"/>
  <c r="U529" i="5" s="1"/>
  <c r="X530" i="1"/>
  <c r="U487" i="2"/>
  <c r="U507" i="4"/>
  <c r="V474" i="2"/>
  <c r="V494" i="4"/>
  <c r="W495" i="1"/>
  <c r="W494" i="5" s="1"/>
  <c r="M463" i="2"/>
  <c r="M483" i="4"/>
  <c r="AA484" i="1"/>
  <c r="AA483" i="5" s="1"/>
  <c r="U277" i="2"/>
  <c r="U289" i="4"/>
  <c r="P276" i="2"/>
  <c r="P288" i="4"/>
  <c r="X288" i="4" s="1"/>
  <c r="U289" i="1"/>
  <c r="U288" i="5" s="1"/>
  <c r="E276" i="2"/>
  <c r="E288" i="4"/>
  <c r="E313" i="1"/>
  <c r="AA2365" i="1"/>
  <c r="AA2359" i="5" s="1"/>
  <c r="AA2329" i="1"/>
  <c r="AA2323" i="5" s="1"/>
  <c r="V2454" i="1"/>
  <c r="V2920" i="1" s="1"/>
  <c r="Y2298" i="1"/>
  <c r="G2298" i="1"/>
  <c r="G2918" i="1" s="1"/>
  <c r="N2298" i="1"/>
  <c r="N2918" i="1" s="1"/>
  <c r="Z2205" i="1"/>
  <c r="O1973" i="1"/>
  <c r="O2914" i="1" s="1"/>
  <c r="V1645" i="1"/>
  <c r="V1642" i="5" s="1"/>
  <c r="Z1482" i="1"/>
  <c r="Z1405" i="2" s="1"/>
  <c r="Z1361" i="1"/>
  <c r="Z1295" i="2" s="1"/>
  <c r="O1544" i="1"/>
  <c r="O2910" i="1" s="1"/>
  <c r="X1295" i="1"/>
  <c r="G1544" i="1"/>
  <c r="G2910" i="1" s="1"/>
  <c r="X1212" i="1"/>
  <c r="X1211" i="5" s="1"/>
  <c r="X1202" i="1"/>
  <c r="X1201" i="5" s="1"/>
  <c r="V1162" i="1"/>
  <c r="V1161" i="5" s="1"/>
  <c r="M2323" i="4"/>
  <c r="H2289" i="4"/>
  <c r="X2289" i="4" s="1"/>
  <c r="Z2289" i="4" s="1"/>
  <c r="AO2865" i="1"/>
  <c r="U2815" i="1"/>
  <c r="U2807" i="1"/>
  <c r="V2749" i="1"/>
  <c r="V2741" i="5" s="1"/>
  <c r="V2721" i="1"/>
  <c r="V2713" i="5" s="1"/>
  <c r="V2719" i="1"/>
  <c r="V2711" i="5" s="1"/>
  <c r="V2717" i="1"/>
  <c r="V2709" i="5" s="1"/>
  <c r="V2715" i="1"/>
  <c r="V2707" i="5" s="1"/>
  <c r="X2709" i="1"/>
  <c r="Z2709" i="1" s="1"/>
  <c r="V2703" i="1"/>
  <c r="V2686" i="1"/>
  <c r="X2683" i="1"/>
  <c r="X2675" i="5" s="1"/>
  <c r="V2681" i="1"/>
  <c r="R2827" i="1"/>
  <c r="J2437" i="1"/>
  <c r="J2431" i="5" s="1"/>
  <c r="Q2426" i="1"/>
  <c r="Q2424" i="1"/>
  <c r="Q2422" i="1"/>
  <c r="M2408" i="1"/>
  <c r="M2402" i="5" s="1"/>
  <c r="J2406" i="1"/>
  <c r="J2404" i="1"/>
  <c r="J2402" i="1"/>
  <c r="J2400" i="1"/>
  <c r="H2398" i="1"/>
  <c r="H2392" i="5" s="1"/>
  <c r="X2392" i="5" s="1"/>
  <c r="X2393" i="1"/>
  <c r="Z2393" i="1" s="1"/>
  <c r="J2377" i="1"/>
  <c r="W2454" i="1"/>
  <c r="W2920" i="1" s="1"/>
  <c r="J2365" i="1"/>
  <c r="J2358" i="1"/>
  <c r="X2334" i="1"/>
  <c r="Z2334" i="1" s="1"/>
  <c r="X2332" i="1"/>
  <c r="Z2332" i="1" s="1"/>
  <c r="J2328" i="1"/>
  <c r="H2310" i="1"/>
  <c r="H2304" i="5" s="1"/>
  <c r="J2293" i="1"/>
  <c r="Q2290" i="1"/>
  <c r="U2287" i="1"/>
  <c r="Q2276" i="1"/>
  <c r="J2264" i="1"/>
  <c r="Q2260" i="1"/>
  <c r="J2253" i="1"/>
  <c r="J2251" i="1"/>
  <c r="M2242" i="1"/>
  <c r="M2238" i="5" s="1"/>
  <c r="J2239" i="1"/>
  <c r="X2237" i="1"/>
  <c r="Z2237" i="1" s="1"/>
  <c r="Q2230" i="1"/>
  <c r="X2228" i="1"/>
  <c r="Z2228" i="1" s="1"/>
  <c r="Q2219" i="1"/>
  <c r="J2211" i="1"/>
  <c r="X2207" i="1"/>
  <c r="Z2207" i="1" s="1"/>
  <c r="Z2203" i="1"/>
  <c r="X2181" i="1"/>
  <c r="Z2181" i="1" s="1"/>
  <c r="F2177" i="1"/>
  <c r="J2172" i="1"/>
  <c r="X2166" i="1"/>
  <c r="Z2166" i="1" s="1"/>
  <c r="Q2162" i="1"/>
  <c r="J2158" i="1"/>
  <c r="H2156" i="1"/>
  <c r="H2152" i="5" s="1"/>
  <c r="X2152" i="5" s="1"/>
  <c r="J2152" i="1"/>
  <c r="J2149" i="1"/>
  <c r="X2147" i="1"/>
  <c r="E2142" i="1"/>
  <c r="J2133" i="1"/>
  <c r="J2131" i="1"/>
  <c r="J2120" i="1"/>
  <c r="Q2113" i="1"/>
  <c r="U2108" i="1"/>
  <c r="Z2107" i="1"/>
  <c r="J2106" i="1"/>
  <c r="J2104" i="1"/>
  <c r="J2102" i="1"/>
  <c r="V2079" i="1"/>
  <c r="V2075" i="5" s="1"/>
  <c r="W2078" i="1"/>
  <c r="W2074" i="1"/>
  <c r="W2072" i="1"/>
  <c r="W2068" i="5" s="1"/>
  <c r="W2070" i="1"/>
  <c r="W2066" i="5" s="1"/>
  <c r="S2085" i="1"/>
  <c r="S2916" i="1" s="1"/>
  <c r="O2085" i="1"/>
  <c r="O2916" i="1" s="1"/>
  <c r="M2061" i="1"/>
  <c r="M2057" i="5" s="1"/>
  <c r="V2057" i="1"/>
  <c r="V2056" i="1"/>
  <c r="V2052" i="5" s="1"/>
  <c r="V2055" i="1"/>
  <c r="V2051" i="5" s="1"/>
  <c r="V2053" i="1"/>
  <c r="V2049" i="5" s="1"/>
  <c r="V2051" i="1"/>
  <c r="V2047" i="5" s="1"/>
  <c r="V2049" i="1"/>
  <c r="V2045" i="5" s="1"/>
  <c r="V2047" i="1"/>
  <c r="V2043" i="5" s="1"/>
  <c r="V2034" i="1"/>
  <c r="V2030" i="5" s="1"/>
  <c r="V2032" i="1"/>
  <c r="V2028" i="5" s="1"/>
  <c r="F2015" i="1"/>
  <c r="H2010" i="1"/>
  <c r="H2006" i="5" s="1"/>
  <c r="X2006" i="5" s="1"/>
  <c r="U1989" i="1"/>
  <c r="Z1988" i="1"/>
  <c r="V1987" i="1"/>
  <c r="V1983" i="5" s="1"/>
  <c r="Z1986" i="1"/>
  <c r="V1985" i="1"/>
  <c r="V1981" i="5" s="1"/>
  <c r="Z1984" i="1"/>
  <c r="V1983" i="1"/>
  <c r="V1979" i="5" s="1"/>
  <c r="Z1982" i="1"/>
  <c r="V1981" i="1"/>
  <c r="V1977" i="5" s="1"/>
  <c r="Z1980" i="1"/>
  <c r="V1979" i="1"/>
  <c r="V1975" i="5" s="1"/>
  <c r="V1987" i="5" s="1"/>
  <c r="X1958" i="1"/>
  <c r="F1955" i="1"/>
  <c r="J1952" i="1"/>
  <c r="H1948" i="1"/>
  <c r="H1944" i="5" s="1"/>
  <c r="X1944" i="5" s="1"/>
  <c r="Q1944" i="1"/>
  <c r="J1937" i="1"/>
  <c r="H1933" i="1"/>
  <c r="H1929" i="5" s="1"/>
  <c r="X1929" i="5" s="1"/>
  <c r="Z1929" i="5" s="1"/>
  <c r="J1930" i="1"/>
  <c r="J1924" i="1"/>
  <c r="J1922" i="1"/>
  <c r="J1918" i="1"/>
  <c r="Q1910" i="1"/>
  <c r="W1973" i="1"/>
  <c r="W2914" i="1" s="1"/>
  <c r="P1903" i="1"/>
  <c r="X1900" i="1"/>
  <c r="J1898" i="1"/>
  <c r="J1894" i="5" s="1"/>
  <c r="Q1896" i="1"/>
  <c r="Q1892" i="5" s="1"/>
  <c r="J1894" i="1"/>
  <c r="J1890" i="5" s="1"/>
  <c r="U1891" i="1"/>
  <c r="J1888" i="1"/>
  <c r="J1884" i="5" s="1"/>
  <c r="J1875" i="1"/>
  <c r="J1871" i="5" s="1"/>
  <c r="X1865" i="1"/>
  <c r="Z1865" i="1" s="1"/>
  <c r="H1861" i="1"/>
  <c r="H1857" i="5" s="1"/>
  <c r="X1857" i="5" s="1"/>
  <c r="H1858" i="1"/>
  <c r="H1854" i="5" s="1"/>
  <c r="X1854" i="5" s="1"/>
  <c r="Z1854" i="5" s="1"/>
  <c r="J1854" i="1"/>
  <c r="J1850" i="5" s="1"/>
  <c r="Q1852" i="1"/>
  <c r="Q1848" i="5" s="1"/>
  <c r="J1845" i="1"/>
  <c r="J1841" i="5" s="1"/>
  <c r="AA1840" i="1"/>
  <c r="AA1836" i="5" s="1"/>
  <c r="J1834" i="1"/>
  <c r="J1830" i="5" s="1"/>
  <c r="J1827" i="1"/>
  <c r="J1823" i="5" s="1"/>
  <c r="M1820" i="1"/>
  <c r="M1816" i="5" s="1"/>
  <c r="J1814" i="1"/>
  <c r="J1810" i="5" s="1"/>
  <c r="Q1800" i="1"/>
  <c r="Q1796" i="5" s="1"/>
  <c r="Q1792" i="1"/>
  <c r="Q1788" i="5" s="1"/>
  <c r="Q1786" i="1"/>
  <c r="Q1782" i="5" s="1"/>
  <c r="X1783" i="1"/>
  <c r="Q1779" i="1"/>
  <c r="Q1775" i="5" s="1"/>
  <c r="T1973" i="1"/>
  <c r="T2914" i="1" s="1"/>
  <c r="Q1757" i="1"/>
  <c r="Q1753" i="5" s="1"/>
  <c r="Q1751" i="1"/>
  <c r="Q1747" i="5" s="1"/>
  <c r="X1749" i="1"/>
  <c r="R1742" i="1"/>
  <c r="R2912" i="1" s="1"/>
  <c r="N1742" i="1"/>
  <c r="N2912" i="1" s="1"/>
  <c r="E1681" i="1"/>
  <c r="U1674" i="1"/>
  <c r="AA1672" i="1"/>
  <c r="AA1669" i="5" s="1"/>
  <c r="M1671" i="1"/>
  <c r="M1668" i="5" s="1"/>
  <c r="U1670" i="1"/>
  <c r="U1667" i="5" s="1"/>
  <c r="Z1668" i="1"/>
  <c r="Z1665" i="5" s="1"/>
  <c r="AA1668" i="1"/>
  <c r="AA1665" i="5" s="1"/>
  <c r="W1667" i="1"/>
  <c r="W1664" i="5" s="1"/>
  <c r="M1667" i="1"/>
  <c r="M1664" i="5" s="1"/>
  <c r="U1666" i="1"/>
  <c r="U1663" i="5" s="1"/>
  <c r="U1660" i="1"/>
  <c r="U1657" i="5" s="1"/>
  <c r="W1658" i="1"/>
  <c r="M1658" i="1"/>
  <c r="M1655" i="5" s="1"/>
  <c r="U1657" i="1"/>
  <c r="Z1655" i="1"/>
  <c r="Z1652" i="5" s="1"/>
  <c r="AA1655" i="1"/>
  <c r="AA1652" i="5" s="1"/>
  <c r="W1654" i="1"/>
  <c r="W1651" i="5" s="1"/>
  <c r="M1654" i="1"/>
  <c r="M1651" i="5" s="1"/>
  <c r="U1653" i="1"/>
  <c r="U1650" i="5" s="1"/>
  <c r="Z1650" i="1"/>
  <c r="Z1647" i="5" s="1"/>
  <c r="AA1650" i="1"/>
  <c r="AA1647" i="5" s="1"/>
  <c r="M1649" i="1"/>
  <c r="M1646" i="5" s="1"/>
  <c r="U1648" i="1"/>
  <c r="Z1646" i="1"/>
  <c r="Z1643" i="5" s="1"/>
  <c r="AA1646" i="1"/>
  <c r="AA1643" i="5" s="1"/>
  <c r="M1645" i="1"/>
  <c r="M1642" i="5" s="1"/>
  <c r="AA1639" i="1"/>
  <c r="AA1636" i="5" s="1"/>
  <c r="Z1625" i="1"/>
  <c r="Z1622" i="5" s="1"/>
  <c r="AA1625" i="1"/>
  <c r="AA1622" i="5" s="1"/>
  <c r="W1624" i="1"/>
  <c r="W1621" i="5" s="1"/>
  <c r="M1624" i="1"/>
  <c r="M1621" i="5" s="1"/>
  <c r="Z1619" i="1"/>
  <c r="Z1616" i="5" s="1"/>
  <c r="AA1619" i="1"/>
  <c r="AA1616" i="5" s="1"/>
  <c r="U1618" i="1"/>
  <c r="U1615" i="5" s="1"/>
  <c r="Z1616" i="1"/>
  <c r="Z1613" i="5" s="1"/>
  <c r="AA1616" i="1"/>
  <c r="AA1613" i="5" s="1"/>
  <c r="M1615" i="1"/>
  <c r="M1612" i="5" s="1"/>
  <c r="U1614" i="1"/>
  <c r="Z1612" i="1"/>
  <c r="Z1609" i="5" s="1"/>
  <c r="AA1612" i="1"/>
  <c r="AA1609" i="5" s="1"/>
  <c r="M1611" i="1"/>
  <c r="M1608" i="5" s="1"/>
  <c r="Z1602" i="1"/>
  <c r="Z1599" i="5" s="1"/>
  <c r="AA1602" i="1"/>
  <c r="AA1599" i="5" s="1"/>
  <c r="M1601" i="1"/>
  <c r="M1598" i="5" s="1"/>
  <c r="X1592" i="1"/>
  <c r="X1589" i="5" s="1"/>
  <c r="V1590" i="1"/>
  <c r="V1587" i="5" s="1"/>
  <c r="V1588" i="1"/>
  <c r="V1585" i="5" s="1"/>
  <c r="V1586" i="1"/>
  <c r="V1583" i="5" s="1"/>
  <c r="V1584" i="1"/>
  <c r="V1581" i="5" s="1"/>
  <c r="V1582" i="1"/>
  <c r="V1579" i="5" s="1"/>
  <c r="V1580" i="1"/>
  <c r="V1577" i="5" s="1"/>
  <c r="V1578" i="1"/>
  <c r="V1575" i="5" s="1"/>
  <c r="V1576" i="1"/>
  <c r="V1573" i="5" s="1"/>
  <c r="V1574" i="1"/>
  <c r="V1571" i="5" s="1"/>
  <c r="H1571" i="1"/>
  <c r="V1568" i="1"/>
  <c r="V1565" i="5" s="1"/>
  <c r="V1566" i="1"/>
  <c r="V1563" i="5" s="1"/>
  <c r="V1564" i="1"/>
  <c r="V1561" i="5" s="1"/>
  <c r="V1562" i="1"/>
  <c r="V1559" i="5" s="1"/>
  <c r="V1560" i="1"/>
  <c r="V1557" i="5" s="1"/>
  <c r="V1558" i="1"/>
  <c r="V1555" i="5" s="1"/>
  <c r="V1556" i="1"/>
  <c r="V1553" i="5" s="1"/>
  <c r="X1534" i="1"/>
  <c r="J1534" i="1"/>
  <c r="J1533" i="5" s="1"/>
  <c r="V1525" i="1"/>
  <c r="V1524" i="5" s="1"/>
  <c r="X1522" i="1"/>
  <c r="J1522" i="1"/>
  <c r="J1521" i="5" s="1"/>
  <c r="V1513" i="1"/>
  <c r="V1512" i="5" s="1"/>
  <c r="X1510" i="1"/>
  <c r="J1510" i="1"/>
  <c r="J1509" i="5" s="1"/>
  <c r="V1501" i="1"/>
  <c r="V1500" i="5" s="1"/>
  <c r="Q1488" i="1"/>
  <c r="Q1487" i="5" s="1"/>
  <c r="X1487" i="1"/>
  <c r="Q1486" i="1"/>
  <c r="Q1485" i="5" s="1"/>
  <c r="V1485" i="1"/>
  <c r="V1484" i="5" s="1"/>
  <c r="X1484" i="1"/>
  <c r="J1484" i="1"/>
  <c r="J1483" i="5" s="1"/>
  <c r="Z1475" i="1"/>
  <c r="U1469" i="1"/>
  <c r="U1468" i="5" s="1"/>
  <c r="U1466" i="1"/>
  <c r="U1465" i="5" s="1"/>
  <c r="U1459" i="1"/>
  <c r="U1458" i="5" s="1"/>
  <c r="H1458" i="1"/>
  <c r="H1457" i="5" s="1"/>
  <c r="X1457" i="5" s="1"/>
  <c r="Z1457" i="1"/>
  <c r="Z1385" i="2" s="1"/>
  <c r="V1450" i="1"/>
  <c r="Q1444" i="1"/>
  <c r="Q1443" i="5" s="1"/>
  <c r="V1443" i="1"/>
  <c r="V1442" i="5" s="1"/>
  <c r="X1442" i="1"/>
  <c r="J1442" i="1"/>
  <c r="J1441" i="5" s="1"/>
  <c r="Q1437" i="1"/>
  <c r="Q1436" i="5" s="1"/>
  <c r="X1427" i="1"/>
  <c r="J1427" i="1"/>
  <c r="J1426" i="5" s="1"/>
  <c r="X1423" i="1"/>
  <c r="J1423" i="1"/>
  <c r="J1422" i="5" s="1"/>
  <c r="Q1413" i="1"/>
  <c r="Q1412" i="5" s="1"/>
  <c r="J1412" i="1"/>
  <c r="J1411" i="5" s="1"/>
  <c r="Z1406" i="1"/>
  <c r="U1397" i="1"/>
  <c r="J1395" i="1"/>
  <c r="J1394" i="5" s="1"/>
  <c r="H1392" i="1"/>
  <c r="H1391" i="5" s="1"/>
  <c r="X1391" i="5" s="1"/>
  <c r="Z1388" i="1"/>
  <c r="Z1318" i="2" s="1"/>
  <c r="AA1385" i="1"/>
  <c r="AA1384" i="5" s="1"/>
  <c r="Z1384" i="1"/>
  <c r="Z1314" i="2" s="1"/>
  <c r="Q1379" i="1"/>
  <c r="Q1378" i="5" s="1"/>
  <c r="W1345" i="1"/>
  <c r="W1344" i="5" s="1"/>
  <c r="Q1328" i="1"/>
  <c r="Q1327" i="5" s="1"/>
  <c r="Q1319" i="1"/>
  <c r="Q1318" i="5" s="1"/>
  <c r="X1316" i="1"/>
  <c r="X1252" i="2" s="1"/>
  <c r="AA1293" i="1"/>
  <c r="AA1292" i="5" s="1"/>
  <c r="M1275" i="1"/>
  <c r="M1274" i="5" s="1"/>
  <c r="V1269" i="1"/>
  <c r="V1268" i="5" s="1"/>
  <c r="X1232" i="1"/>
  <c r="AA1230" i="1"/>
  <c r="AA1229" i="5" s="1"/>
  <c r="AA1228" i="1"/>
  <c r="AA1227" i="5" s="1"/>
  <c r="W1199" i="1"/>
  <c r="W1198" i="5" s="1"/>
  <c r="AA1198" i="1"/>
  <c r="M1162" i="1"/>
  <c r="M1161" i="5" s="1"/>
  <c r="U1018" i="1"/>
  <c r="U1017" i="5" s="1"/>
  <c r="M970" i="1"/>
  <c r="M969" i="5" s="1"/>
  <c r="AB959" i="1"/>
  <c r="AB959" i="5" s="1"/>
  <c r="AA900" i="1"/>
  <c r="AA900" i="5" s="1"/>
  <c r="Z722" i="1"/>
  <c r="Z692" i="2" s="1"/>
  <c r="X717" i="1"/>
  <c r="Y961" i="1"/>
  <c r="H2747" i="4"/>
  <c r="X2747" i="4" s="1"/>
  <c r="L2608" i="4"/>
  <c r="P2399" i="4"/>
  <c r="X2399" i="4" s="1"/>
  <c r="Z2399" i="4" s="1"/>
  <c r="H2265" i="4"/>
  <c r="V590" i="2"/>
  <c r="V614" i="4"/>
  <c r="W613" i="1"/>
  <c r="W614" i="5" s="1"/>
  <c r="X577" i="2"/>
  <c r="Z600" i="1"/>
  <c r="Z577" i="2" s="1"/>
  <c r="V568" i="2"/>
  <c r="V592" i="4"/>
  <c r="H559" i="2"/>
  <c r="H580" i="4"/>
  <c r="X579" i="1"/>
  <c r="H540" i="2"/>
  <c r="H542" i="2" s="1"/>
  <c r="H561" i="4"/>
  <c r="X560" i="1"/>
  <c r="M560" i="1"/>
  <c r="M561" i="5" s="1"/>
  <c r="M563" i="5" s="1"/>
  <c r="H562" i="1"/>
  <c r="V560" i="1"/>
  <c r="V561" i="5" s="1"/>
  <c r="V563" i="5" s="1"/>
  <c r="H519" i="2"/>
  <c r="H538" i="4"/>
  <c r="X539" i="1"/>
  <c r="H546" i="1"/>
  <c r="M539" i="1"/>
  <c r="M538" i="5" s="1"/>
  <c r="V539" i="1"/>
  <c r="V538" i="5" s="1"/>
  <c r="H508" i="2"/>
  <c r="H528" i="4"/>
  <c r="X529" i="1"/>
  <c r="M529" i="1"/>
  <c r="M528" i="5" s="1"/>
  <c r="V529" i="1"/>
  <c r="V528" i="5" s="1"/>
  <c r="P498" i="2"/>
  <c r="P518" i="4"/>
  <c r="V519" i="1"/>
  <c r="V518" i="5" s="1"/>
  <c r="U519" i="1"/>
  <c r="U518" i="5" s="1"/>
  <c r="X519" i="1"/>
  <c r="V487" i="2"/>
  <c r="U483" i="2"/>
  <c r="U503" i="4"/>
  <c r="V456" i="2"/>
  <c r="V476" i="4"/>
  <c r="M451" i="2"/>
  <c r="M471" i="4"/>
  <c r="M431" i="2"/>
  <c r="M451" i="4"/>
  <c r="P364" i="2"/>
  <c r="P380" i="4"/>
  <c r="U381" i="1"/>
  <c r="U380" i="5" s="1"/>
  <c r="X381" i="1"/>
  <c r="X240" i="2"/>
  <c r="X250" i="4"/>
  <c r="K180" i="2"/>
  <c r="K188" i="4"/>
  <c r="Q188" i="1"/>
  <c r="Q188" i="5" s="1"/>
  <c r="H156" i="2"/>
  <c r="H164" i="4"/>
  <c r="X164" i="1"/>
  <c r="M164" i="1"/>
  <c r="M164" i="5" s="1"/>
  <c r="V164" i="1"/>
  <c r="V164" i="5" s="1"/>
  <c r="H147" i="2"/>
  <c r="H154" i="4"/>
  <c r="X154" i="1"/>
  <c r="H166" i="1"/>
  <c r="M154" i="1"/>
  <c r="M154" i="5" s="1"/>
  <c r="V154" i="1"/>
  <c r="V154" i="5" s="1"/>
  <c r="E2923" i="4"/>
  <c r="Z2317" i="4"/>
  <c r="V2439" i="2"/>
  <c r="W2439" i="2" s="1"/>
  <c r="X2439" i="2"/>
  <c r="Z2439" i="2" s="1"/>
  <c r="U2439" i="2"/>
  <c r="P1798" i="2"/>
  <c r="P1897" i="4"/>
  <c r="P1797" i="2"/>
  <c r="P1896" i="4"/>
  <c r="P1796" i="2"/>
  <c r="P1895" i="4"/>
  <c r="E1796" i="2"/>
  <c r="E1895" i="4"/>
  <c r="P1792" i="2"/>
  <c r="P1891" i="4"/>
  <c r="E1792" i="2"/>
  <c r="E1891" i="4"/>
  <c r="E1791" i="2"/>
  <c r="E1890" i="4"/>
  <c r="E1885" i="4"/>
  <c r="E1789" i="2"/>
  <c r="H1786" i="2"/>
  <c r="H1882" i="4"/>
  <c r="H1784" i="2"/>
  <c r="H1880" i="4"/>
  <c r="H1878" i="4"/>
  <c r="H1782" i="2"/>
  <c r="H1780" i="2"/>
  <c r="H1876" i="4"/>
  <c r="P1779" i="2"/>
  <c r="P1875" i="4"/>
  <c r="F1779" i="2"/>
  <c r="F1875" i="4"/>
  <c r="H1776" i="2"/>
  <c r="H1872" i="4"/>
  <c r="P1773" i="2"/>
  <c r="P1869" i="4"/>
  <c r="F1766" i="2"/>
  <c r="F1860" i="4"/>
  <c r="P1765" i="2"/>
  <c r="P1859" i="4"/>
  <c r="P1761" i="2"/>
  <c r="P1855" i="4"/>
  <c r="H1758" i="2"/>
  <c r="H1852" i="4"/>
  <c r="E1757" i="2"/>
  <c r="E1851" i="4"/>
  <c r="H1753" i="2"/>
  <c r="H1847" i="4"/>
  <c r="E1747" i="2"/>
  <c r="E1841" i="4"/>
  <c r="F1746" i="2"/>
  <c r="F1840" i="4"/>
  <c r="P1745" i="2"/>
  <c r="P1839" i="4"/>
  <c r="P1742" i="2"/>
  <c r="P1834" i="4"/>
  <c r="F1742" i="2"/>
  <c r="F1834" i="4"/>
  <c r="P1741" i="2"/>
  <c r="P1833" i="4"/>
  <c r="H1739" i="2"/>
  <c r="H1831" i="4"/>
  <c r="E1738" i="2"/>
  <c r="E1830" i="4"/>
  <c r="P1735" i="2"/>
  <c r="P1827" i="4"/>
  <c r="P1733" i="2"/>
  <c r="P1825" i="4"/>
  <c r="F1733" i="2"/>
  <c r="F1825" i="4"/>
  <c r="P1732" i="2"/>
  <c r="P1824" i="4"/>
  <c r="E1732" i="2"/>
  <c r="E1824" i="4"/>
  <c r="E1726" i="2"/>
  <c r="E1818" i="4"/>
  <c r="P1724" i="2"/>
  <c r="P1816" i="4"/>
  <c r="E1724" i="2"/>
  <c r="E1816" i="4"/>
  <c r="E1723" i="2"/>
  <c r="E1815" i="4"/>
  <c r="H1721" i="2"/>
  <c r="H1813" i="4"/>
  <c r="H1719" i="2"/>
  <c r="H1811" i="4"/>
  <c r="P1716" i="2"/>
  <c r="P1808" i="4"/>
  <c r="P1714" i="2"/>
  <c r="P1806" i="4"/>
  <c r="P1799" i="4"/>
  <c r="P1707" i="2"/>
  <c r="P1704" i="2"/>
  <c r="P1795" i="4"/>
  <c r="P1702" i="2"/>
  <c r="P1793" i="4"/>
  <c r="P1700" i="2"/>
  <c r="P1791" i="4"/>
  <c r="P1789" i="4"/>
  <c r="P1698" i="2"/>
  <c r="H1696" i="2"/>
  <c r="H1787" i="4"/>
  <c r="P1690" i="2"/>
  <c r="P1781" i="4"/>
  <c r="E1690" i="2"/>
  <c r="E1781" i="4"/>
  <c r="H1688" i="2"/>
  <c r="H1779" i="4"/>
  <c r="H1686" i="2"/>
  <c r="H1777" i="4"/>
  <c r="P1683" i="2"/>
  <c r="P1774" i="4"/>
  <c r="F1683" i="2"/>
  <c r="F1774" i="4"/>
  <c r="P1682" i="2"/>
  <c r="P1773" i="4"/>
  <c r="E1682" i="2"/>
  <c r="E1773" i="4"/>
  <c r="P1673" i="2"/>
  <c r="P1764" i="4"/>
  <c r="P1671" i="2"/>
  <c r="P1762" i="4"/>
  <c r="P1663" i="2"/>
  <c r="P1754" i="4"/>
  <c r="P1661" i="2"/>
  <c r="P1752" i="4"/>
  <c r="F1661" i="2"/>
  <c r="F1752" i="4"/>
  <c r="P1660" i="2"/>
  <c r="P1751" i="4"/>
  <c r="F1660" i="2"/>
  <c r="F1667" i="2" s="1"/>
  <c r="F1751" i="4"/>
  <c r="F1758" i="4" s="1"/>
  <c r="P1659" i="2"/>
  <c r="P1750" i="4"/>
  <c r="P1657" i="2"/>
  <c r="P1748" i="4"/>
  <c r="H1654" i="2"/>
  <c r="H1745" i="4"/>
  <c r="E1643" i="2"/>
  <c r="E1645" i="2" s="1"/>
  <c r="E1735" i="4"/>
  <c r="P1642" i="2"/>
  <c r="P1734" i="4"/>
  <c r="H1641" i="2"/>
  <c r="H1733" i="4"/>
  <c r="P1640" i="2"/>
  <c r="P1732" i="4"/>
  <c r="H1639" i="2"/>
  <c r="H1731" i="4"/>
  <c r="P1638" i="2"/>
  <c r="P1730" i="4"/>
  <c r="H1637" i="2"/>
  <c r="H1729" i="4"/>
  <c r="P1636" i="2"/>
  <c r="P1728" i="4"/>
  <c r="H1635" i="2"/>
  <c r="H1727" i="4"/>
  <c r="P1634" i="2"/>
  <c r="P1726" i="4"/>
  <c r="H1633" i="2"/>
  <c r="H1725" i="4"/>
  <c r="P1632" i="2"/>
  <c r="P1724" i="4"/>
  <c r="H1631" i="2"/>
  <c r="H1723" i="4"/>
  <c r="P1626" i="2"/>
  <c r="P1718" i="4"/>
  <c r="H1625" i="2"/>
  <c r="H1717" i="4"/>
  <c r="P1624" i="2"/>
  <c r="P1716" i="4"/>
  <c r="H1623" i="2"/>
  <c r="H1715" i="4"/>
  <c r="P1622" i="2"/>
  <c r="P1714" i="4"/>
  <c r="H1621" i="2"/>
  <c r="H1713" i="4"/>
  <c r="P1620" i="2"/>
  <c r="P1712" i="4"/>
  <c r="H1615" i="2"/>
  <c r="H1707" i="4"/>
  <c r="P1614" i="2"/>
  <c r="P1706" i="4"/>
  <c r="H1613" i="2"/>
  <c r="H1705" i="4"/>
  <c r="P1612" i="2"/>
  <c r="P1704" i="4"/>
  <c r="H1611" i="2"/>
  <c r="H1703" i="4"/>
  <c r="P1610" i="2"/>
  <c r="P1702" i="4"/>
  <c r="H1609" i="2"/>
  <c r="H1701" i="4"/>
  <c r="X1701" i="4" s="1"/>
  <c r="P1608" i="2"/>
  <c r="P1700" i="4"/>
  <c r="H1603" i="2"/>
  <c r="H1695" i="4"/>
  <c r="P1584" i="2"/>
  <c r="P1670" i="4"/>
  <c r="H1583" i="2"/>
  <c r="H1669" i="4"/>
  <c r="P1582" i="2"/>
  <c r="P1668" i="4"/>
  <c r="H1581" i="2"/>
  <c r="H1667" i="4"/>
  <c r="P1580" i="2"/>
  <c r="P1666" i="4"/>
  <c r="H1579" i="2"/>
  <c r="H1665" i="4"/>
  <c r="P1578" i="2"/>
  <c r="P1664" i="4"/>
  <c r="H1577" i="2"/>
  <c r="H1663" i="4"/>
  <c r="P1576" i="2"/>
  <c r="P1662" i="4"/>
  <c r="P1570" i="2"/>
  <c r="P1653" i="4"/>
  <c r="H1569" i="2"/>
  <c r="H1652" i="4"/>
  <c r="P1568" i="2"/>
  <c r="P1651" i="4"/>
  <c r="H1567" i="2"/>
  <c r="H1650" i="4"/>
  <c r="P1566" i="2"/>
  <c r="P1649" i="4"/>
  <c r="H1564" i="2"/>
  <c r="H1647" i="4"/>
  <c r="P1563" i="2"/>
  <c r="P1646" i="4"/>
  <c r="H1562" i="2"/>
  <c r="H1645" i="4"/>
  <c r="P1561" i="2"/>
  <c r="P1644" i="4"/>
  <c r="H1560" i="2"/>
  <c r="H1643" i="4"/>
  <c r="P1559" i="2"/>
  <c r="P1642" i="4"/>
  <c r="U1552" i="2"/>
  <c r="U1634" i="4"/>
  <c r="H1551" i="2"/>
  <c r="H1633" i="4"/>
  <c r="F1550" i="2"/>
  <c r="F1631" i="4"/>
  <c r="E1543" i="2"/>
  <c r="E1624" i="4"/>
  <c r="P1542" i="2"/>
  <c r="P1623" i="4"/>
  <c r="H1541" i="2"/>
  <c r="H1622" i="4"/>
  <c r="P1540" i="2"/>
  <c r="P1621" i="4"/>
  <c r="H1535" i="2"/>
  <c r="H1616" i="4"/>
  <c r="H1534" i="2"/>
  <c r="H1613" i="4"/>
  <c r="P1533" i="2"/>
  <c r="P1612" i="4"/>
  <c r="P1532" i="2"/>
  <c r="P1610" i="4"/>
  <c r="H1531" i="2"/>
  <c r="H1609" i="4"/>
  <c r="P1530" i="2"/>
  <c r="P1608" i="4"/>
  <c r="E1523" i="2"/>
  <c r="E1601" i="4"/>
  <c r="P1522" i="2"/>
  <c r="P1600" i="4"/>
  <c r="H1521" i="2"/>
  <c r="H1599" i="4"/>
  <c r="P1520" i="2"/>
  <c r="P1598" i="4"/>
  <c r="H1474" i="2"/>
  <c r="H1549" i="4"/>
  <c r="P1473" i="2"/>
  <c r="P1548" i="4"/>
  <c r="P1418" i="2"/>
  <c r="P1495" i="4"/>
  <c r="P1417" i="2"/>
  <c r="P1494" i="4"/>
  <c r="P1416" i="2"/>
  <c r="P1493" i="4"/>
  <c r="P1492" i="4"/>
  <c r="P1415" i="2"/>
  <c r="P1414" i="2"/>
  <c r="P1490" i="4"/>
  <c r="P1413" i="2"/>
  <c r="P1489" i="4"/>
  <c r="P1412" i="2"/>
  <c r="P1488" i="4"/>
  <c r="F1412" i="2"/>
  <c r="F1488" i="4"/>
  <c r="P1406" i="2"/>
  <c r="P1482" i="4"/>
  <c r="F1406" i="2"/>
  <c r="F1482" i="4"/>
  <c r="P1404" i="2"/>
  <c r="P1480" i="4"/>
  <c r="P1403" i="2"/>
  <c r="P1479" i="4"/>
  <c r="F1403" i="2"/>
  <c r="F1479" i="4"/>
  <c r="H1402" i="2"/>
  <c r="H1478" i="4"/>
  <c r="H1401" i="2"/>
  <c r="H1477" i="4"/>
  <c r="P1398" i="2"/>
  <c r="P1474" i="4"/>
  <c r="H1398" i="2"/>
  <c r="H1474" i="4"/>
  <c r="P1393" i="2"/>
  <c r="P1469" i="4"/>
  <c r="E1393" i="2"/>
  <c r="E1469" i="4"/>
  <c r="P1389" i="2"/>
  <c r="P1461" i="4"/>
  <c r="F1389" i="2"/>
  <c r="F1461" i="4"/>
  <c r="P1385" i="2"/>
  <c r="P1456" i="4"/>
  <c r="F1385" i="2"/>
  <c r="F1456" i="4"/>
  <c r="P1381" i="2"/>
  <c r="P1452" i="4"/>
  <c r="P1380" i="2"/>
  <c r="P1451" i="4"/>
  <c r="P1379" i="2"/>
  <c r="P1450" i="4"/>
  <c r="F1379" i="2"/>
  <c r="F1450" i="4"/>
  <c r="P1376" i="2"/>
  <c r="P1447" i="4"/>
  <c r="E1376" i="2"/>
  <c r="E1447" i="4"/>
  <c r="H1375" i="2"/>
  <c r="H1446" i="4"/>
  <c r="H1374" i="2"/>
  <c r="H1445" i="4"/>
  <c r="H1373" i="2"/>
  <c r="H1444" i="4"/>
  <c r="P1369" i="2"/>
  <c r="P1440" i="4"/>
  <c r="E1369" i="2"/>
  <c r="E1440" i="4"/>
  <c r="H1368" i="2"/>
  <c r="H1439" i="4"/>
  <c r="H1367" i="2"/>
  <c r="H1438" i="4"/>
  <c r="P1429" i="4"/>
  <c r="P1358" i="2"/>
  <c r="E1355" i="2"/>
  <c r="E1425" i="4"/>
  <c r="H1354" i="2"/>
  <c r="H1424" i="4"/>
  <c r="E1351" i="2"/>
  <c r="E1421" i="4"/>
  <c r="H1350" i="2"/>
  <c r="H1420" i="4"/>
  <c r="H1349" i="2"/>
  <c r="H1419" i="4"/>
  <c r="H1348" i="2"/>
  <c r="H1418" i="4"/>
  <c r="H1346" i="2"/>
  <c r="H1416" i="4"/>
  <c r="M1417" i="1"/>
  <c r="M1416" i="5" s="1"/>
  <c r="H1344" i="2"/>
  <c r="H1414" i="4"/>
  <c r="P1341" i="2"/>
  <c r="P1411" i="4"/>
  <c r="V1412" i="1"/>
  <c r="V1411" i="5" s="1"/>
  <c r="H1339" i="2"/>
  <c r="H1409" i="4"/>
  <c r="M1410" i="1"/>
  <c r="M1409" i="5" s="1"/>
  <c r="J1337" i="2"/>
  <c r="J1407" i="4"/>
  <c r="E1336" i="2"/>
  <c r="E1406" i="4"/>
  <c r="Z1407" i="1"/>
  <c r="Z1336" i="2" s="1"/>
  <c r="M1329" i="2"/>
  <c r="M1399" i="4"/>
  <c r="H1328" i="2"/>
  <c r="H1398" i="4"/>
  <c r="J1399" i="1"/>
  <c r="J1398" i="5" s="1"/>
  <c r="V1395" i="4"/>
  <c r="V1326" i="2"/>
  <c r="H1326" i="2"/>
  <c r="H1395" i="4"/>
  <c r="X1395" i="4" s="1"/>
  <c r="Z1395" i="4" s="1"/>
  <c r="Q1393" i="4"/>
  <c r="H1324" i="2"/>
  <c r="H1393" i="4"/>
  <c r="E1323" i="2"/>
  <c r="E1392" i="4"/>
  <c r="W1393" i="1"/>
  <c r="W1392" i="5" s="1"/>
  <c r="U1321" i="2"/>
  <c r="U1390" i="4"/>
  <c r="F1389" i="4"/>
  <c r="F1320" i="2"/>
  <c r="H1390" i="1"/>
  <c r="F1403" i="1"/>
  <c r="P1319" i="2"/>
  <c r="P1388" i="4"/>
  <c r="V1389" i="1"/>
  <c r="V1388" i="5" s="1"/>
  <c r="U1318" i="2"/>
  <c r="U1387" i="4"/>
  <c r="U1316" i="2"/>
  <c r="U1385" i="4"/>
  <c r="U1314" i="2"/>
  <c r="U1383" i="4"/>
  <c r="U1312" i="2"/>
  <c r="U1381" i="4"/>
  <c r="V1379" i="4"/>
  <c r="V1310" i="2"/>
  <c r="E1309" i="2"/>
  <c r="E1378" i="4"/>
  <c r="X1303" i="2"/>
  <c r="Z1373" i="1"/>
  <c r="Z1303" i="2" s="1"/>
  <c r="H1303" i="2"/>
  <c r="H1372" i="4"/>
  <c r="M1373" i="1"/>
  <c r="M1372" i="5" s="1"/>
  <c r="J1373" i="1"/>
  <c r="J1372" i="5" s="1"/>
  <c r="X1301" i="2"/>
  <c r="Z1371" i="1"/>
  <c r="Z1301" i="2" s="1"/>
  <c r="H1301" i="2"/>
  <c r="H1370" i="4"/>
  <c r="M1371" i="1"/>
  <c r="M1370" i="5" s="1"/>
  <c r="J1371" i="1"/>
  <c r="J1370" i="5" s="1"/>
  <c r="X1299" i="2"/>
  <c r="Z1369" i="1"/>
  <c r="Z1299" i="2" s="1"/>
  <c r="H1299" i="2"/>
  <c r="H1368" i="4"/>
  <c r="M1369" i="1"/>
  <c r="M1368" i="5" s="1"/>
  <c r="J1369" i="1"/>
  <c r="J1368" i="5" s="1"/>
  <c r="H1296" i="2"/>
  <c r="H1363" i="4"/>
  <c r="M1364" i="1"/>
  <c r="M1363" i="5" s="1"/>
  <c r="X1364" i="1"/>
  <c r="J1364" i="1"/>
  <c r="J1363" i="5" s="1"/>
  <c r="P1361" i="4"/>
  <c r="V1362" i="1"/>
  <c r="F1295" i="2"/>
  <c r="F1360" i="4"/>
  <c r="M1294" i="2"/>
  <c r="M1359" i="4"/>
  <c r="E1294" i="2"/>
  <c r="E1359" i="4"/>
  <c r="Q1360" i="1"/>
  <c r="Q1359" i="5" s="1"/>
  <c r="W1360" i="1"/>
  <c r="W1359" i="5" s="1"/>
  <c r="X1287" i="2"/>
  <c r="Z1353" i="1"/>
  <c r="Z1287" i="2" s="1"/>
  <c r="H1287" i="2"/>
  <c r="H1352" i="4"/>
  <c r="M1353" i="1"/>
  <c r="M1352" i="5" s="1"/>
  <c r="J1353" i="1"/>
  <c r="J1352" i="5" s="1"/>
  <c r="X1285" i="2"/>
  <c r="Z1351" i="1"/>
  <c r="Z1285" i="2" s="1"/>
  <c r="H1285" i="2"/>
  <c r="H1350" i="4"/>
  <c r="M1351" i="1"/>
  <c r="M1350" i="5" s="1"/>
  <c r="J1351" i="1"/>
  <c r="J1350" i="5" s="1"/>
  <c r="J1282" i="2"/>
  <c r="J1347" i="4"/>
  <c r="U1280" i="2"/>
  <c r="U1345" i="4"/>
  <c r="J1280" i="2"/>
  <c r="J1345" i="4"/>
  <c r="V1343" i="4"/>
  <c r="W1344" i="1"/>
  <c r="W1343" i="5" s="1"/>
  <c r="P1266" i="2"/>
  <c r="P1329" i="4"/>
  <c r="U1330" i="1"/>
  <c r="U1329" i="5" s="1"/>
  <c r="X1330" i="1"/>
  <c r="X1266" i="2" s="1"/>
  <c r="E1329" i="4"/>
  <c r="Z1330" i="1"/>
  <c r="Z1266" i="2" s="1"/>
  <c r="Q1330" i="1"/>
  <c r="Q1329" i="5" s="1"/>
  <c r="H1264" i="2"/>
  <c r="H1327" i="4"/>
  <c r="M1328" i="1"/>
  <c r="M1327" i="5" s="1"/>
  <c r="J1328" i="1"/>
  <c r="J1327" i="5" s="1"/>
  <c r="U1263" i="2"/>
  <c r="U1326" i="4"/>
  <c r="H1263" i="2"/>
  <c r="H1326" i="4"/>
  <c r="M1327" i="1"/>
  <c r="M1326" i="5" s="1"/>
  <c r="Q1262" i="2"/>
  <c r="Q1325" i="4"/>
  <c r="M1261" i="2"/>
  <c r="M1324" i="4"/>
  <c r="P1260" i="2"/>
  <c r="P1323" i="4"/>
  <c r="U1324" i="1"/>
  <c r="U1323" i="5" s="1"/>
  <c r="Q1324" i="1"/>
  <c r="Q1323" i="5" s="1"/>
  <c r="X1324" i="1"/>
  <c r="P1259" i="2"/>
  <c r="P1322" i="4"/>
  <c r="U1323" i="1"/>
  <c r="U1322" i="5" s="1"/>
  <c r="X1323" i="1"/>
  <c r="X1259" i="2" s="1"/>
  <c r="E1259" i="2"/>
  <c r="E1322" i="4"/>
  <c r="Z1323" i="1"/>
  <c r="Z1259" i="2" s="1"/>
  <c r="Q1323" i="1"/>
  <c r="Q1322" i="5" s="1"/>
  <c r="P1254" i="2"/>
  <c r="P1317" i="4"/>
  <c r="V1318" i="1"/>
  <c r="V1317" i="5" s="1"/>
  <c r="U1318" i="1"/>
  <c r="U1317" i="5" s="1"/>
  <c r="P1252" i="2"/>
  <c r="P1315" i="4"/>
  <c r="V1316" i="1"/>
  <c r="V1315" i="5" s="1"/>
  <c r="U1316" i="1"/>
  <c r="U1315" i="5" s="1"/>
  <c r="V1249" i="2"/>
  <c r="V1312" i="4"/>
  <c r="K1249" i="2"/>
  <c r="K1274" i="2" s="1"/>
  <c r="K1312" i="4"/>
  <c r="K1339" i="4" s="1"/>
  <c r="U1244" i="2"/>
  <c r="U1307" i="4"/>
  <c r="X1243" i="2"/>
  <c r="Z1307" i="1"/>
  <c r="Z1243" i="2" s="1"/>
  <c r="H1243" i="2"/>
  <c r="H1306" i="4"/>
  <c r="M1307" i="1"/>
  <c r="M1306" i="5" s="1"/>
  <c r="J1307" i="1"/>
  <c r="J1306" i="5" s="1"/>
  <c r="AA1240" i="2"/>
  <c r="AA1303" i="4"/>
  <c r="AB1304" i="1"/>
  <c r="AB1303" i="5" s="1"/>
  <c r="U1240" i="2"/>
  <c r="U1303" i="4"/>
  <c r="J1303" i="4"/>
  <c r="J1240" i="2"/>
  <c r="F1302" i="4"/>
  <c r="F1239" i="2"/>
  <c r="M1238" i="2"/>
  <c r="M1301" i="4"/>
  <c r="E1238" i="2"/>
  <c r="E1301" i="4"/>
  <c r="Q1302" i="1"/>
  <c r="Q1301" i="5" s="1"/>
  <c r="W1302" i="1"/>
  <c r="W1301" i="5" s="1"/>
  <c r="X1236" i="2"/>
  <c r="Z1300" i="1"/>
  <c r="Z1236" i="2" s="1"/>
  <c r="H1236" i="2"/>
  <c r="H1299" i="4"/>
  <c r="M1300" i="1"/>
  <c r="M1299" i="5" s="1"/>
  <c r="J1300" i="1"/>
  <c r="J1299" i="5" s="1"/>
  <c r="M1234" i="2"/>
  <c r="M1297" i="4"/>
  <c r="P1231" i="2"/>
  <c r="P1294" i="4"/>
  <c r="V1295" i="1"/>
  <c r="V1294" i="5" s="1"/>
  <c r="U1295" i="1"/>
  <c r="U1294" i="5" s="1"/>
  <c r="F1230" i="2"/>
  <c r="F1293" i="4"/>
  <c r="E1224" i="2"/>
  <c r="E1287" i="4"/>
  <c r="Q1288" i="1"/>
  <c r="Q1287" i="5" s="1"/>
  <c r="Q1223" i="2"/>
  <c r="Q1286" i="4"/>
  <c r="V1222" i="2"/>
  <c r="V1285" i="4"/>
  <c r="W1286" i="1"/>
  <c r="W1285" i="5" s="1"/>
  <c r="M1222" i="2"/>
  <c r="M1285" i="4"/>
  <c r="P1215" i="2"/>
  <c r="P1275" i="4"/>
  <c r="X1276" i="1"/>
  <c r="U1213" i="2"/>
  <c r="U1272" i="4"/>
  <c r="H1213" i="2"/>
  <c r="H1272" i="4"/>
  <c r="M1273" i="1"/>
  <c r="M1272" i="5" s="1"/>
  <c r="Q1212" i="2"/>
  <c r="Q1271" i="4"/>
  <c r="F1208" i="2"/>
  <c r="F1267" i="4"/>
  <c r="H1268" i="1"/>
  <c r="H1267" i="5" s="1"/>
  <c r="X1267" i="5" s="1"/>
  <c r="Z1267" i="5" s="1"/>
  <c r="U1207" i="2"/>
  <c r="U1266" i="4"/>
  <c r="H1207" i="2"/>
  <c r="H1266" i="4"/>
  <c r="M1267" i="1"/>
  <c r="M1266" i="5" s="1"/>
  <c r="M1206" i="2"/>
  <c r="M1265" i="4"/>
  <c r="M1205" i="2"/>
  <c r="M1264" i="4"/>
  <c r="U1202" i="2"/>
  <c r="U1261" i="4"/>
  <c r="H1202" i="2"/>
  <c r="H1261" i="4"/>
  <c r="M1262" i="1"/>
  <c r="M1261" i="5" s="1"/>
  <c r="Q1201" i="2"/>
  <c r="Q1260" i="4"/>
  <c r="F1198" i="2"/>
  <c r="F1257" i="4"/>
  <c r="H1258" i="1"/>
  <c r="H1257" i="5" s="1"/>
  <c r="X1257" i="5" s="1"/>
  <c r="Z1257" i="5" s="1"/>
  <c r="H1194" i="2"/>
  <c r="H1253" i="4"/>
  <c r="M1254" i="1"/>
  <c r="M1253" i="5" s="1"/>
  <c r="Q1193" i="2"/>
  <c r="Q1252" i="4"/>
  <c r="U1191" i="2"/>
  <c r="U1250" i="4"/>
  <c r="J1191" i="2"/>
  <c r="J1250" i="4"/>
  <c r="E1190" i="2"/>
  <c r="E1249" i="4"/>
  <c r="Q1250" i="1"/>
  <c r="Q1249" i="5" s="1"/>
  <c r="W1250" i="1"/>
  <c r="W1249" i="5" s="1"/>
  <c r="V1188" i="2"/>
  <c r="V1247" i="4"/>
  <c r="W1248" i="1"/>
  <c r="W1247" i="5" s="1"/>
  <c r="H1183" i="2"/>
  <c r="H1242" i="4"/>
  <c r="M1243" i="1"/>
  <c r="M1242" i="5" s="1"/>
  <c r="H1240" i="4"/>
  <c r="X1240" i="4" s="1"/>
  <c r="X1241" i="1"/>
  <c r="Z1241" i="1" s="1"/>
  <c r="P1177" i="2"/>
  <c r="P1231" i="4"/>
  <c r="V1232" i="1"/>
  <c r="V1231" i="5" s="1"/>
  <c r="U1232" i="1"/>
  <c r="U1231" i="5" s="1"/>
  <c r="U1176" i="2"/>
  <c r="U1230" i="4"/>
  <c r="J1176" i="2"/>
  <c r="J1230" i="4"/>
  <c r="AA1174" i="2"/>
  <c r="AA1228" i="4"/>
  <c r="AB1229" i="1"/>
  <c r="AB1228" i="5" s="1"/>
  <c r="U1174" i="2"/>
  <c r="U1228" i="4"/>
  <c r="J1174" i="2"/>
  <c r="J1228" i="4"/>
  <c r="H1170" i="2"/>
  <c r="H1224" i="4"/>
  <c r="M1225" i="1"/>
  <c r="M1224" i="5" s="1"/>
  <c r="V1225" i="1"/>
  <c r="V1224" i="5" s="1"/>
  <c r="J1225" i="1"/>
  <c r="J1224" i="5" s="1"/>
  <c r="X1169" i="2"/>
  <c r="Z1224" i="1"/>
  <c r="Z1223" i="5" s="1"/>
  <c r="V1168" i="2"/>
  <c r="V1222" i="4"/>
  <c r="J1168" i="2"/>
  <c r="V1166" i="2"/>
  <c r="V1220" i="4"/>
  <c r="W1221" i="1"/>
  <c r="W1220" i="5" s="1"/>
  <c r="J1166" i="2"/>
  <c r="J1220" i="4"/>
  <c r="P1209" i="4"/>
  <c r="V1210" i="1"/>
  <c r="P1155" i="2"/>
  <c r="P1207" i="4"/>
  <c r="V1208" i="1"/>
  <c r="V1207" i="5" s="1"/>
  <c r="E1153" i="2"/>
  <c r="E1205" i="4"/>
  <c r="Q1206" i="1"/>
  <c r="Q1205" i="5" s="1"/>
  <c r="J1152" i="2"/>
  <c r="J1204" i="4"/>
  <c r="Q1149" i="2"/>
  <c r="Q1201" i="4"/>
  <c r="Q1147" i="2"/>
  <c r="Q1199" i="4"/>
  <c r="M1146" i="2"/>
  <c r="M1198" i="4"/>
  <c r="E1146" i="2"/>
  <c r="E1198" i="4"/>
  <c r="Z1199" i="1"/>
  <c r="Z1198" i="5" s="1"/>
  <c r="Q1199" i="1"/>
  <c r="Q1198" i="5" s="1"/>
  <c r="U1145" i="2"/>
  <c r="U1197" i="4"/>
  <c r="P1184" i="4"/>
  <c r="X1184" i="4" s="1"/>
  <c r="Z1184" i="4" s="1"/>
  <c r="V1185" i="1"/>
  <c r="X1185" i="1"/>
  <c r="Z1185" i="1" s="1"/>
  <c r="H1132" i="2"/>
  <c r="H1183" i="4"/>
  <c r="X1184" i="1"/>
  <c r="X1132" i="2" s="1"/>
  <c r="M1184" i="1"/>
  <c r="M1183" i="5" s="1"/>
  <c r="P1129" i="2"/>
  <c r="P1180" i="4"/>
  <c r="U1181" i="1"/>
  <c r="U1180" i="5" s="1"/>
  <c r="V1181" i="1"/>
  <c r="V1180" i="5" s="1"/>
  <c r="X1126" i="2"/>
  <c r="Z1178" i="1"/>
  <c r="Z1126" i="2" s="1"/>
  <c r="H1126" i="2"/>
  <c r="H1177" i="4"/>
  <c r="M1178" i="1"/>
  <c r="M1177" i="5" s="1"/>
  <c r="U1124" i="2"/>
  <c r="U1175" i="4"/>
  <c r="X1121" i="2"/>
  <c r="Z1173" i="1"/>
  <c r="Z1121" i="2" s="1"/>
  <c r="H1121" i="2"/>
  <c r="H1172" i="4"/>
  <c r="M1173" i="1"/>
  <c r="M1172" i="5" s="1"/>
  <c r="P1112" i="2"/>
  <c r="P1163" i="4"/>
  <c r="V1164" i="1"/>
  <c r="V1163" i="5" s="1"/>
  <c r="X1164" i="1"/>
  <c r="P1110" i="2"/>
  <c r="P1160" i="4"/>
  <c r="V1161" i="1"/>
  <c r="V1160" i="5" s="1"/>
  <c r="X1161" i="1"/>
  <c r="P1106" i="2"/>
  <c r="P1156" i="4"/>
  <c r="V1157" i="1"/>
  <c r="V1156" i="5" s="1"/>
  <c r="X1157" i="1"/>
  <c r="P1102" i="2"/>
  <c r="P1152" i="4"/>
  <c r="V1153" i="1"/>
  <c r="V1152" i="5" s="1"/>
  <c r="X1153" i="1"/>
  <c r="P1098" i="2"/>
  <c r="P1148" i="4"/>
  <c r="V1149" i="1"/>
  <c r="V1148" i="5" s="1"/>
  <c r="X1149" i="1"/>
  <c r="E1090" i="2"/>
  <c r="E1140" i="4"/>
  <c r="E1144" i="1"/>
  <c r="X1087" i="2"/>
  <c r="Z1138" i="1"/>
  <c r="Z1087" i="2" s="1"/>
  <c r="P1082" i="2"/>
  <c r="P1132" i="4"/>
  <c r="U1133" i="1"/>
  <c r="U1132" i="5" s="1"/>
  <c r="P1144" i="1"/>
  <c r="V1133" i="1"/>
  <c r="V1132" i="5" s="1"/>
  <c r="X1133" i="1"/>
  <c r="U1077" i="2"/>
  <c r="U1127" i="4"/>
  <c r="P1076" i="2"/>
  <c r="P1125" i="4"/>
  <c r="U1126" i="1"/>
  <c r="U1125" i="5" s="1"/>
  <c r="X1126" i="1"/>
  <c r="X1076" i="2" s="1"/>
  <c r="E1076" i="2"/>
  <c r="E1125" i="4"/>
  <c r="H1075" i="2"/>
  <c r="H1124" i="4"/>
  <c r="M1125" i="1"/>
  <c r="M1124" i="5" s="1"/>
  <c r="X1125" i="1"/>
  <c r="X1073" i="2"/>
  <c r="Z1123" i="1"/>
  <c r="Z1073" i="2" s="1"/>
  <c r="P1065" i="2"/>
  <c r="P1114" i="4"/>
  <c r="V1115" i="1"/>
  <c r="V1114" i="5" s="1"/>
  <c r="X1115" i="1"/>
  <c r="H1103" i="4"/>
  <c r="X1103" i="4" s="1"/>
  <c r="Z1103" i="4" s="1"/>
  <c r="M1104" i="1"/>
  <c r="M1103" i="5" s="1"/>
  <c r="U1052" i="2"/>
  <c r="U1100" i="4"/>
  <c r="U1049" i="2"/>
  <c r="U1097" i="4"/>
  <c r="X1048" i="2"/>
  <c r="V1047" i="2"/>
  <c r="V1095" i="4"/>
  <c r="W1096" i="1"/>
  <c r="W1095" i="5" s="1"/>
  <c r="M1044" i="2"/>
  <c r="M1092" i="4"/>
  <c r="U1041" i="2"/>
  <c r="U1089" i="4"/>
  <c r="P1031" i="2"/>
  <c r="P1078" i="4"/>
  <c r="X1079" i="1"/>
  <c r="U1079" i="1"/>
  <c r="U1078" i="5" s="1"/>
  <c r="P1029" i="2"/>
  <c r="P1076" i="4"/>
  <c r="U1077" i="1"/>
  <c r="U1076" i="5" s="1"/>
  <c r="V1077" i="1"/>
  <c r="V1076" i="5" s="1"/>
  <c r="X1077" i="1"/>
  <c r="V1028" i="2"/>
  <c r="V1075" i="4"/>
  <c r="W1076" i="1"/>
  <c r="W1075" i="5" s="1"/>
  <c r="H1024" i="2"/>
  <c r="H1071" i="4"/>
  <c r="X1072" i="1"/>
  <c r="M1072" i="1"/>
  <c r="M1071" i="5" s="1"/>
  <c r="X1021" i="2"/>
  <c r="Z1069" i="1"/>
  <c r="V1016" i="2"/>
  <c r="V1063" i="4"/>
  <c r="W1064" i="1"/>
  <c r="W1063" i="5" s="1"/>
  <c r="H1014" i="2"/>
  <c r="H1059" i="4"/>
  <c r="X1060" i="1"/>
  <c r="M1060" i="1"/>
  <c r="M1059" i="5" s="1"/>
  <c r="X1011" i="2"/>
  <c r="Z1057" i="1"/>
  <c r="Z1011" i="2" s="1"/>
  <c r="X1000" i="2"/>
  <c r="Z1046" i="1"/>
  <c r="Z1000" i="2" s="1"/>
  <c r="P994" i="2"/>
  <c r="P1039" i="4"/>
  <c r="V1040" i="1"/>
  <c r="V1039" i="5" s="1"/>
  <c r="X1040" i="1"/>
  <c r="U1040" i="1"/>
  <c r="U1039" i="5" s="1"/>
  <c r="M993" i="2"/>
  <c r="M1038" i="4"/>
  <c r="V991" i="2"/>
  <c r="V1036" i="4"/>
  <c r="W1037" i="1"/>
  <c r="W1036" i="5" s="1"/>
  <c r="U986" i="2"/>
  <c r="U1031" i="4"/>
  <c r="V980" i="2"/>
  <c r="V1025" i="4"/>
  <c r="H980" i="2"/>
  <c r="H1025" i="4"/>
  <c r="X1026" i="1"/>
  <c r="M978" i="2"/>
  <c r="M1023" i="4"/>
  <c r="V973" i="2"/>
  <c r="V1018" i="4"/>
  <c r="H973" i="2"/>
  <c r="H1018" i="4"/>
  <c r="X1019" i="1"/>
  <c r="H960" i="2"/>
  <c r="H1003" i="4"/>
  <c r="M1004" i="1"/>
  <c r="M1003" i="5" s="1"/>
  <c r="X1004" i="1"/>
  <c r="M957" i="2"/>
  <c r="M1000" i="4"/>
  <c r="P938" i="2"/>
  <c r="P981" i="4"/>
  <c r="V982" i="1"/>
  <c r="V981" i="5" s="1"/>
  <c r="X982" i="1"/>
  <c r="X981" i="5" s="1"/>
  <c r="X934" i="2"/>
  <c r="X976" i="4"/>
  <c r="X931" i="2"/>
  <c r="X973" i="4"/>
  <c r="P926" i="2"/>
  <c r="P968" i="4"/>
  <c r="V969" i="1"/>
  <c r="V968" i="5" s="1"/>
  <c r="P985" i="1"/>
  <c r="P987" i="1" s="1"/>
  <c r="X969" i="1"/>
  <c r="X968" i="5" s="1"/>
  <c r="X910" i="2"/>
  <c r="Z953" i="1"/>
  <c r="P907" i="2"/>
  <c r="U950" i="1"/>
  <c r="U950" i="5" s="1"/>
  <c r="V950" i="1"/>
  <c r="V950" i="5" s="1"/>
  <c r="Q950" i="1"/>
  <c r="Q950" i="5" s="1"/>
  <c r="V894" i="2"/>
  <c r="V937" i="4"/>
  <c r="W937" i="1"/>
  <c r="W937" i="5" s="1"/>
  <c r="M894" i="2"/>
  <c r="M937" i="4"/>
  <c r="P892" i="2"/>
  <c r="P935" i="4"/>
  <c r="Q935" i="1"/>
  <c r="Q935" i="5" s="1"/>
  <c r="X935" i="1"/>
  <c r="U935" i="1"/>
  <c r="V935" i="1"/>
  <c r="V935" i="5" s="1"/>
  <c r="P890" i="2"/>
  <c r="P933" i="4"/>
  <c r="Q933" i="1"/>
  <c r="Q933" i="5" s="1"/>
  <c r="X933" i="1"/>
  <c r="U933" i="1"/>
  <c r="V933" i="1"/>
  <c r="V933" i="5" s="1"/>
  <c r="P888" i="2"/>
  <c r="P931" i="4"/>
  <c r="Q931" i="1"/>
  <c r="Q931" i="5" s="1"/>
  <c r="X931" i="1"/>
  <c r="U931" i="1"/>
  <c r="V931" i="1"/>
  <c r="V931" i="5" s="1"/>
  <c r="P882" i="2"/>
  <c r="P925" i="4"/>
  <c r="U925" i="1"/>
  <c r="U925" i="5" s="1"/>
  <c r="V925" i="1"/>
  <c r="V925" i="5" s="1"/>
  <c r="X925" i="1"/>
  <c r="Z925" i="1" s="1"/>
  <c r="U872" i="2"/>
  <c r="U912" i="4"/>
  <c r="H872" i="2"/>
  <c r="H912" i="4"/>
  <c r="M912" i="1"/>
  <c r="M912" i="5" s="1"/>
  <c r="H871" i="2"/>
  <c r="H911" i="4"/>
  <c r="M911" i="1"/>
  <c r="M911" i="5" s="1"/>
  <c r="J911" i="1"/>
  <c r="J911" i="5" s="1"/>
  <c r="X911" i="1"/>
  <c r="Q870" i="2"/>
  <c r="Q910" i="4"/>
  <c r="H863" i="2"/>
  <c r="H903" i="4"/>
  <c r="J903" i="1"/>
  <c r="J903" i="5" s="1"/>
  <c r="M903" i="1"/>
  <c r="M903" i="5" s="1"/>
  <c r="W853" i="2"/>
  <c r="W893" i="4"/>
  <c r="P849" i="2"/>
  <c r="P888" i="4"/>
  <c r="U888" i="1"/>
  <c r="U888" i="5" s="1"/>
  <c r="X888" i="1"/>
  <c r="U831" i="2"/>
  <c r="U870" i="4"/>
  <c r="J831" i="2"/>
  <c r="J870" i="4"/>
  <c r="P865" i="4"/>
  <c r="V865" i="1"/>
  <c r="U865" i="1"/>
  <c r="H864" i="4"/>
  <c r="J864" i="1"/>
  <c r="M864" i="1"/>
  <c r="M864" i="5" s="1"/>
  <c r="X864" i="1"/>
  <c r="Z864" i="1" s="1"/>
  <c r="W862" i="1"/>
  <c r="W862" i="5" s="1"/>
  <c r="M827" i="2"/>
  <c r="M862" i="4"/>
  <c r="P825" i="2"/>
  <c r="P860" i="4"/>
  <c r="Q860" i="1"/>
  <c r="Q860" i="5" s="1"/>
  <c r="X860" i="1"/>
  <c r="U860" i="1"/>
  <c r="V860" i="1"/>
  <c r="V860" i="5" s="1"/>
  <c r="P823" i="2"/>
  <c r="P858" i="4"/>
  <c r="U858" i="1"/>
  <c r="U858" i="5" s="1"/>
  <c r="P816" i="2"/>
  <c r="P851" i="4"/>
  <c r="Q851" i="1"/>
  <c r="Q851" i="5" s="1"/>
  <c r="X851" i="1"/>
  <c r="U851" i="1"/>
  <c r="U851" i="5" s="1"/>
  <c r="U812" i="2"/>
  <c r="U847" i="4"/>
  <c r="J812" i="2"/>
  <c r="J847" i="4"/>
  <c r="P807" i="2"/>
  <c r="U842" i="1"/>
  <c r="U842" i="5" s="1"/>
  <c r="P842" i="4"/>
  <c r="V842" i="1"/>
  <c r="V842" i="5" s="1"/>
  <c r="Q842" i="1"/>
  <c r="Q842" i="5" s="1"/>
  <c r="X806" i="2"/>
  <c r="Z841" i="1"/>
  <c r="Z806" i="2" s="1"/>
  <c r="P805" i="2"/>
  <c r="P840" i="4"/>
  <c r="U840" i="1"/>
  <c r="U840" i="5" s="1"/>
  <c r="V840" i="1"/>
  <c r="V840" i="5" s="1"/>
  <c r="Q840" i="1"/>
  <c r="Q840" i="5" s="1"/>
  <c r="F804" i="2"/>
  <c r="F838" i="4"/>
  <c r="H838" i="1"/>
  <c r="H838" i="5" s="1"/>
  <c r="X838" i="5" s="1"/>
  <c r="Z838" i="5" s="1"/>
  <c r="P801" i="2"/>
  <c r="P835" i="4"/>
  <c r="Q835" i="1"/>
  <c r="Q835" i="5" s="1"/>
  <c r="X835" i="1"/>
  <c r="U835" i="1"/>
  <c r="U835" i="5" s="1"/>
  <c r="V835" i="1"/>
  <c r="V835" i="5" s="1"/>
  <c r="V798" i="2"/>
  <c r="V832" i="4"/>
  <c r="W832" i="1"/>
  <c r="W832" i="5" s="1"/>
  <c r="M798" i="2"/>
  <c r="M832" i="4"/>
  <c r="U796" i="2"/>
  <c r="U830" i="4"/>
  <c r="J796" i="2"/>
  <c r="J830" i="4"/>
  <c r="P794" i="2"/>
  <c r="P828" i="4"/>
  <c r="U828" i="1"/>
  <c r="U828" i="5" s="1"/>
  <c r="V828" i="1"/>
  <c r="V828" i="5" s="1"/>
  <c r="X828" i="1"/>
  <c r="P844" i="1"/>
  <c r="P786" i="2"/>
  <c r="P820" i="4"/>
  <c r="U820" i="1"/>
  <c r="U820" i="5" s="1"/>
  <c r="V820" i="1"/>
  <c r="V820" i="5" s="1"/>
  <c r="X820" i="1"/>
  <c r="U784" i="2"/>
  <c r="U818" i="4"/>
  <c r="J784" i="2"/>
  <c r="J818" i="4"/>
  <c r="M782" i="2"/>
  <c r="M816" i="4"/>
  <c r="H775" i="2"/>
  <c r="H809" i="4"/>
  <c r="J809" i="1"/>
  <c r="J809" i="5" s="1"/>
  <c r="M809" i="1"/>
  <c r="M809" i="5" s="1"/>
  <c r="AA772" i="2"/>
  <c r="AA806" i="4"/>
  <c r="AB806" i="1"/>
  <c r="AB806" i="5" s="1"/>
  <c r="U772" i="2"/>
  <c r="U806" i="4"/>
  <c r="J772" i="2"/>
  <c r="J806" i="4"/>
  <c r="AB805" i="1"/>
  <c r="AB805" i="5" s="1"/>
  <c r="H798" i="4"/>
  <c r="X798" i="4" s="1"/>
  <c r="Z798" i="4" s="1"/>
  <c r="M798" i="1"/>
  <c r="M798" i="5" s="1"/>
  <c r="U763" i="2"/>
  <c r="U796" i="4"/>
  <c r="E763" i="2"/>
  <c r="E796" i="4"/>
  <c r="Z796" i="1"/>
  <c r="Z763" i="2" s="1"/>
  <c r="F762" i="2"/>
  <c r="F795" i="4"/>
  <c r="H795" i="1"/>
  <c r="H795" i="5" s="1"/>
  <c r="X795" i="5" s="1"/>
  <c r="Z795" i="5" s="1"/>
  <c r="V761" i="2"/>
  <c r="V794" i="4"/>
  <c r="W794" i="1"/>
  <c r="W794" i="5" s="1"/>
  <c r="M761" i="2"/>
  <c r="M794" i="4"/>
  <c r="AA794" i="1"/>
  <c r="AA794" i="5" s="1"/>
  <c r="P759" i="2"/>
  <c r="P792" i="4"/>
  <c r="Q792" i="1"/>
  <c r="Q792" i="5" s="1"/>
  <c r="X792" i="1"/>
  <c r="U792" i="1"/>
  <c r="U792" i="5" s="1"/>
  <c r="Q757" i="2"/>
  <c r="Q790" i="4"/>
  <c r="Q755" i="2"/>
  <c r="Q788" i="4"/>
  <c r="H755" i="2"/>
  <c r="H788" i="4"/>
  <c r="M788" i="1"/>
  <c r="M788" i="5" s="1"/>
  <c r="X788" i="1"/>
  <c r="P753" i="2"/>
  <c r="P786" i="4"/>
  <c r="U786" i="1"/>
  <c r="U786" i="5" s="1"/>
  <c r="V786" i="1"/>
  <c r="V786" i="5" s="1"/>
  <c r="X786" i="1"/>
  <c r="U751" i="2"/>
  <c r="U784" i="4"/>
  <c r="J743" i="2"/>
  <c r="J774" i="4"/>
  <c r="P740" i="2"/>
  <c r="P771" i="4"/>
  <c r="Q771" i="1"/>
  <c r="Q771" i="5" s="1"/>
  <c r="X771" i="1"/>
  <c r="U771" i="1"/>
  <c r="U771" i="5" s="1"/>
  <c r="V771" i="1"/>
  <c r="V771" i="5" s="1"/>
  <c r="P736" i="2"/>
  <c r="P767" i="4"/>
  <c r="V767" i="1"/>
  <c r="V767" i="5" s="1"/>
  <c r="U767" i="1"/>
  <c r="U767" i="5" s="1"/>
  <c r="X767" i="1"/>
  <c r="X736" i="2" s="1"/>
  <c r="V731" i="2"/>
  <c r="V762" i="4"/>
  <c r="K731" i="2"/>
  <c r="K762" i="4"/>
  <c r="K781" i="1"/>
  <c r="P729" i="2"/>
  <c r="P760" i="4"/>
  <c r="U760" i="1"/>
  <c r="Q760" i="1"/>
  <c r="Q760" i="5" s="1"/>
  <c r="V760" i="1"/>
  <c r="V760" i="5" s="1"/>
  <c r="X760" i="1"/>
  <c r="M722" i="2"/>
  <c r="M753" i="4"/>
  <c r="V720" i="2"/>
  <c r="V751" i="4"/>
  <c r="W751" i="1"/>
  <c r="W751" i="5" s="1"/>
  <c r="J720" i="2"/>
  <c r="J751" i="4"/>
  <c r="P706" i="2"/>
  <c r="P736" i="4"/>
  <c r="V736" i="1"/>
  <c r="V736" i="5" s="1"/>
  <c r="U736" i="1"/>
  <c r="U736" i="5" s="1"/>
  <c r="X736" i="1"/>
  <c r="P704" i="2"/>
  <c r="P734" i="4"/>
  <c r="V734" i="1"/>
  <c r="V734" i="5" s="1"/>
  <c r="U734" i="1"/>
  <c r="U734" i="5" s="1"/>
  <c r="X734" i="1"/>
  <c r="Q702" i="2"/>
  <c r="Q732" i="4"/>
  <c r="P682" i="2"/>
  <c r="P712" i="4"/>
  <c r="U712" i="1"/>
  <c r="U712" i="5" s="1"/>
  <c r="Q712" i="1"/>
  <c r="Q712" i="5" s="1"/>
  <c r="X712" i="1"/>
  <c r="E678" i="2"/>
  <c r="E708" i="4"/>
  <c r="Q677" i="2"/>
  <c r="Q707" i="4"/>
  <c r="V676" i="2"/>
  <c r="V706" i="4"/>
  <c r="W706" i="1"/>
  <c r="W706" i="5" s="1"/>
  <c r="P671" i="2"/>
  <c r="P701" i="4"/>
  <c r="U701" i="1"/>
  <c r="U701" i="5" s="1"/>
  <c r="X701" i="1"/>
  <c r="X671" i="2" s="1"/>
  <c r="V701" i="1"/>
  <c r="E671" i="2"/>
  <c r="E701" i="4"/>
  <c r="Z701" i="1"/>
  <c r="Z671" i="2" s="1"/>
  <c r="Q701" i="1"/>
  <c r="Q701" i="5" s="1"/>
  <c r="U658" i="2"/>
  <c r="U688" i="4"/>
  <c r="X657" i="2"/>
  <c r="Z687" i="1"/>
  <c r="Z657" i="2" s="1"/>
  <c r="H684" i="4"/>
  <c r="X684" i="4" s="1"/>
  <c r="Z684" i="4" s="1"/>
  <c r="M684" i="1"/>
  <c r="M684" i="5" s="1"/>
  <c r="M651" i="2"/>
  <c r="M679" i="4"/>
  <c r="V636" i="2"/>
  <c r="V664" i="4"/>
  <c r="W664" i="1"/>
  <c r="W664" i="5" s="1"/>
  <c r="U630" i="2"/>
  <c r="U658" i="4"/>
  <c r="H629" i="2"/>
  <c r="H657" i="4"/>
  <c r="M657" i="1"/>
  <c r="M657" i="5" s="1"/>
  <c r="J657" i="1"/>
  <c r="J657" i="5" s="1"/>
  <c r="M626" i="2"/>
  <c r="M654" i="4"/>
  <c r="AA654" i="1"/>
  <c r="AA654" i="5" s="1"/>
  <c r="Z653" i="1"/>
  <c r="Z653" i="5" s="1"/>
  <c r="H621" i="2"/>
  <c r="H649" i="4"/>
  <c r="M649" i="1"/>
  <c r="M649" i="5" s="1"/>
  <c r="J649" i="1"/>
  <c r="J649" i="5" s="1"/>
  <c r="J661" i="5" s="1"/>
  <c r="X649" i="1"/>
  <c r="H661" i="1"/>
  <c r="X594" i="2"/>
  <c r="Z617" i="1"/>
  <c r="Z594" i="2" s="1"/>
  <c r="P592" i="2"/>
  <c r="P616" i="4"/>
  <c r="V615" i="1"/>
  <c r="V616" i="5" s="1"/>
  <c r="U615" i="1"/>
  <c r="U616" i="5" s="1"/>
  <c r="P624" i="1"/>
  <c r="X615" i="1"/>
  <c r="M589" i="2"/>
  <c r="M613" i="4"/>
  <c r="M587" i="2"/>
  <c r="M611" i="4"/>
  <c r="F581" i="2"/>
  <c r="F605" i="4"/>
  <c r="F606" i="1"/>
  <c r="X569" i="2"/>
  <c r="Z592" i="1"/>
  <c r="Z569" i="2" s="1"/>
  <c r="P557" i="2"/>
  <c r="P578" i="4"/>
  <c r="V577" i="1"/>
  <c r="V578" i="5" s="1"/>
  <c r="U577" i="1"/>
  <c r="X577" i="1"/>
  <c r="V556" i="2"/>
  <c r="V577" i="4"/>
  <c r="W576" i="1"/>
  <c r="W577" i="5" s="1"/>
  <c r="X535" i="2"/>
  <c r="Z555" i="1"/>
  <c r="Z535" i="2" s="1"/>
  <c r="H497" i="2"/>
  <c r="H517" i="4"/>
  <c r="X518" i="1"/>
  <c r="M518" i="1"/>
  <c r="M517" i="5" s="1"/>
  <c r="V518" i="1"/>
  <c r="V517" i="5" s="1"/>
  <c r="H495" i="2"/>
  <c r="H515" i="4"/>
  <c r="X516" i="1"/>
  <c r="M516" i="1"/>
  <c r="M515" i="5" s="1"/>
  <c r="V516" i="1"/>
  <c r="V515" i="5" s="1"/>
  <c r="X483" i="2"/>
  <c r="Z504" i="1"/>
  <c r="U462" i="2"/>
  <c r="U482" i="4"/>
  <c r="U460" i="2"/>
  <c r="U480" i="4"/>
  <c r="X459" i="2"/>
  <c r="Z480" i="1"/>
  <c r="Z459" i="2" s="1"/>
  <c r="M459" i="2"/>
  <c r="M479" i="4"/>
  <c r="AA480" i="1"/>
  <c r="AA479" i="5" s="1"/>
  <c r="U448" i="2"/>
  <c r="U468" i="4"/>
  <c r="U446" i="2"/>
  <c r="U466" i="4"/>
  <c r="X445" i="2"/>
  <c r="Z466" i="1"/>
  <c r="Z445" i="2" s="1"/>
  <c r="V444" i="2"/>
  <c r="V464" i="4"/>
  <c r="W465" i="1"/>
  <c r="W464" i="5" s="1"/>
  <c r="U430" i="2"/>
  <c r="U450" i="4"/>
  <c r="U416" i="2"/>
  <c r="U434" i="4"/>
  <c r="AA435" i="1"/>
  <c r="AA434" i="5" s="1"/>
  <c r="P361" i="2"/>
  <c r="P377" i="4"/>
  <c r="U378" i="1"/>
  <c r="U377" i="5" s="1"/>
  <c r="X378" i="1"/>
  <c r="X361" i="2" s="1"/>
  <c r="E361" i="2"/>
  <c r="E377" i="4"/>
  <c r="Z356" i="2"/>
  <c r="M356" i="2"/>
  <c r="M372" i="4"/>
  <c r="AA373" i="1"/>
  <c r="AA372" i="5" s="1"/>
  <c r="X257" i="4"/>
  <c r="Z258" i="1"/>
  <c r="M246" i="2"/>
  <c r="M256" i="4"/>
  <c r="X234" i="2"/>
  <c r="X244" i="4"/>
  <c r="Z245" i="1"/>
  <c r="Z244" i="5" s="1"/>
  <c r="V115" i="2"/>
  <c r="V121" i="4"/>
  <c r="W121" i="1"/>
  <c r="W121" i="5" s="1"/>
  <c r="P105" i="2"/>
  <c r="P111" i="4"/>
  <c r="V111" i="1"/>
  <c r="V111" i="5" s="1"/>
  <c r="U111" i="1"/>
  <c r="U111" i="5" s="1"/>
  <c r="X111" i="1"/>
  <c r="H51" i="2"/>
  <c r="H55" i="4"/>
  <c r="X55" i="1"/>
  <c r="M55" i="1"/>
  <c r="M55" i="5" s="1"/>
  <c r="V55" i="1"/>
  <c r="V55" i="5" s="1"/>
  <c r="P36" i="2"/>
  <c r="V39" i="1"/>
  <c r="V39" i="5" s="1"/>
  <c r="P39" i="4"/>
  <c r="U39" i="1"/>
  <c r="U39" i="5" s="1"/>
  <c r="X39" i="1"/>
  <c r="X39" i="5" s="1"/>
  <c r="E2294" i="4"/>
  <c r="E2921" i="4" s="1"/>
  <c r="Y2911" i="4"/>
  <c r="Y149" i="4"/>
  <c r="Y2535" i="4"/>
  <c r="X2344" i="4"/>
  <c r="X2054" i="4"/>
  <c r="Z2054" i="4" s="1"/>
  <c r="X1855" i="1"/>
  <c r="X1844" i="1"/>
  <c r="X1746" i="2" s="1"/>
  <c r="X1822" i="1"/>
  <c r="AA1659" i="1"/>
  <c r="AA1656" i="5" s="1"/>
  <c r="AA1657" i="1"/>
  <c r="AA1654" i="5" s="1"/>
  <c r="AA1614" i="1"/>
  <c r="AA1611" i="5" s="1"/>
  <c r="V1349" i="1"/>
  <c r="V1348" i="5" s="1"/>
  <c r="V1305" i="1"/>
  <c r="V1304" i="5" s="1"/>
  <c r="AA1271" i="1"/>
  <c r="AA1270" i="5" s="1"/>
  <c r="V1256" i="1"/>
  <c r="V1255" i="5" s="1"/>
  <c r="V1252" i="1"/>
  <c r="V1251" i="5" s="1"/>
  <c r="W1203" i="1"/>
  <c r="J1190" i="1"/>
  <c r="J2908" i="1" s="1"/>
  <c r="Q799" i="1"/>
  <c r="Q799" i="5" s="1"/>
  <c r="W591" i="1"/>
  <c r="W592" i="5" s="1"/>
  <c r="M579" i="1"/>
  <c r="M580" i="5" s="1"/>
  <c r="T639" i="1"/>
  <c r="T2904" i="1" s="1"/>
  <c r="L639" i="1"/>
  <c r="L2904" i="1" s="1"/>
  <c r="P2720" i="4"/>
  <c r="P2702" i="4"/>
  <c r="H2686" i="4"/>
  <c r="O2658" i="4"/>
  <c r="Y2608" i="4"/>
  <c r="F2488" i="4"/>
  <c r="H2115" i="4"/>
  <c r="P1557" i="4"/>
  <c r="U1072" i="4"/>
  <c r="U331" i="4"/>
  <c r="X591" i="2"/>
  <c r="Z614" i="1"/>
  <c r="Z591" i="2" s="1"/>
  <c r="U569" i="2"/>
  <c r="U593" i="4"/>
  <c r="H568" i="2"/>
  <c r="H592" i="4"/>
  <c r="X591" i="1"/>
  <c r="H606" i="1"/>
  <c r="U522" i="2"/>
  <c r="U541" i="4"/>
  <c r="H505" i="2"/>
  <c r="H525" i="4"/>
  <c r="X526" i="1"/>
  <c r="M526" i="1"/>
  <c r="M525" i="5" s="1"/>
  <c r="V526" i="1"/>
  <c r="V525" i="5" s="1"/>
  <c r="H536" i="1"/>
  <c r="P500" i="2"/>
  <c r="P520" i="4"/>
  <c r="V521" i="1"/>
  <c r="V520" i="5" s="1"/>
  <c r="U521" i="1"/>
  <c r="U520" i="5" s="1"/>
  <c r="X521" i="1"/>
  <c r="X475" i="2"/>
  <c r="Z496" i="1"/>
  <c r="Z475" i="2" s="1"/>
  <c r="V465" i="2"/>
  <c r="V485" i="4"/>
  <c r="W486" i="1"/>
  <c r="W485" i="5" s="1"/>
  <c r="M449" i="2"/>
  <c r="M469" i="4"/>
  <c r="M433" i="2"/>
  <c r="M453" i="4"/>
  <c r="J366" i="2"/>
  <c r="J382" i="4"/>
  <c r="U362" i="2"/>
  <c r="U378" i="4"/>
  <c r="M361" i="2"/>
  <c r="M377" i="4"/>
  <c r="AA378" i="1"/>
  <c r="AA377" i="5" s="1"/>
  <c r="J240" i="2"/>
  <c r="J250" i="4"/>
  <c r="Z248" i="1"/>
  <c r="Z247" i="5" s="1"/>
  <c r="I203" i="2"/>
  <c r="I2671" i="2" s="1"/>
  <c r="I212" i="4"/>
  <c r="K212" i="1"/>
  <c r="K212" i="5" s="1"/>
  <c r="P150" i="2"/>
  <c r="P157" i="4"/>
  <c r="V157" i="1"/>
  <c r="V157" i="5" s="1"/>
  <c r="U157" i="1"/>
  <c r="U157" i="5" s="1"/>
  <c r="X157" i="1"/>
  <c r="X52" i="2"/>
  <c r="Z56" i="1"/>
  <c r="Z52" i="2" s="1"/>
  <c r="W2450" i="2"/>
  <c r="W2628" i="2" s="1"/>
  <c r="V2628" i="2"/>
  <c r="I1798" i="2"/>
  <c r="I1800" i="2" s="1"/>
  <c r="I1897" i="4"/>
  <c r="I1899" i="4" s="1"/>
  <c r="F1796" i="2"/>
  <c r="F1895" i="4"/>
  <c r="P1795" i="2"/>
  <c r="P1894" i="4"/>
  <c r="F1795" i="2"/>
  <c r="F1894" i="4"/>
  <c r="E1794" i="2"/>
  <c r="E1893" i="4"/>
  <c r="H1792" i="2"/>
  <c r="H1891" i="4"/>
  <c r="P1791" i="2"/>
  <c r="P1890" i="4"/>
  <c r="F1791" i="2"/>
  <c r="F1890" i="4"/>
  <c r="P1790" i="2"/>
  <c r="P1889" i="4"/>
  <c r="P1885" i="4"/>
  <c r="P1789" i="2"/>
  <c r="F1789" i="2"/>
  <c r="F1885" i="4"/>
  <c r="P1788" i="2"/>
  <c r="P1884" i="4"/>
  <c r="P1785" i="2"/>
  <c r="P1881" i="4"/>
  <c r="P1879" i="4"/>
  <c r="P1783" i="2"/>
  <c r="P1781" i="2"/>
  <c r="P1877" i="4"/>
  <c r="J1780" i="2"/>
  <c r="J1876" i="4"/>
  <c r="Q1779" i="2"/>
  <c r="Q1875" i="4"/>
  <c r="H1779" i="2"/>
  <c r="H1875" i="4"/>
  <c r="P1874" i="4"/>
  <c r="P1778" i="2"/>
  <c r="J1776" i="2"/>
  <c r="J1872" i="4"/>
  <c r="P1775" i="2"/>
  <c r="P1871" i="4"/>
  <c r="K1774" i="2"/>
  <c r="K1800" i="2" s="1"/>
  <c r="K1870" i="4"/>
  <c r="K1899" i="4" s="1"/>
  <c r="Q1773" i="2"/>
  <c r="Q1869" i="4"/>
  <c r="H1773" i="2"/>
  <c r="H1869" i="4"/>
  <c r="H1766" i="2"/>
  <c r="H1860" i="4"/>
  <c r="Q1765" i="2"/>
  <c r="Q1859" i="4"/>
  <c r="H1765" i="2"/>
  <c r="H1859" i="4"/>
  <c r="E1764" i="2"/>
  <c r="E1858" i="4"/>
  <c r="E1763" i="2"/>
  <c r="E1857" i="4"/>
  <c r="Q1761" i="2"/>
  <c r="Q1855" i="4"/>
  <c r="H1761" i="2"/>
  <c r="H1855" i="4"/>
  <c r="J1758" i="2"/>
  <c r="J1852" i="4"/>
  <c r="P1757" i="2"/>
  <c r="P1851" i="4"/>
  <c r="H1757" i="2"/>
  <c r="H1851" i="4"/>
  <c r="P1756" i="2"/>
  <c r="P1850" i="4"/>
  <c r="E1756" i="2"/>
  <c r="E1850" i="4"/>
  <c r="E1755" i="2"/>
  <c r="E1849" i="4"/>
  <c r="J1753" i="2"/>
  <c r="J1847" i="4"/>
  <c r="P1752" i="2"/>
  <c r="P1846" i="4"/>
  <c r="P1747" i="2"/>
  <c r="P1841" i="4"/>
  <c r="F1747" i="2"/>
  <c r="F1841" i="4"/>
  <c r="P1746" i="2"/>
  <c r="P1840" i="4"/>
  <c r="H1746" i="2"/>
  <c r="H1840" i="4"/>
  <c r="Q1745" i="2"/>
  <c r="Q1839" i="4"/>
  <c r="H1745" i="2"/>
  <c r="H1839" i="4"/>
  <c r="H1744" i="2"/>
  <c r="H1836" i="4"/>
  <c r="H1742" i="2"/>
  <c r="H1834" i="4"/>
  <c r="Q1741" i="2"/>
  <c r="Q1833" i="4"/>
  <c r="H1741" i="2"/>
  <c r="H1833" i="4"/>
  <c r="J1739" i="2"/>
  <c r="J1831" i="4"/>
  <c r="P1738" i="2"/>
  <c r="P1830" i="4"/>
  <c r="F1738" i="2"/>
  <c r="F1830" i="4"/>
  <c r="P1737" i="2"/>
  <c r="P1829" i="4"/>
  <c r="Q1735" i="2"/>
  <c r="Q1827" i="4"/>
  <c r="H1735" i="2"/>
  <c r="H1827" i="4"/>
  <c r="H1733" i="2"/>
  <c r="H1825" i="4"/>
  <c r="Q1732" i="2"/>
  <c r="Q1824" i="4"/>
  <c r="H1732" i="2"/>
  <c r="H1824" i="4"/>
  <c r="P1731" i="2"/>
  <c r="P1823" i="4"/>
  <c r="P1726" i="2"/>
  <c r="P1818" i="4"/>
  <c r="H1726" i="2"/>
  <c r="H1818" i="4"/>
  <c r="P1725" i="2"/>
  <c r="P1817" i="4"/>
  <c r="U1724" i="2"/>
  <c r="U1816" i="4"/>
  <c r="F1724" i="2"/>
  <c r="F1816" i="4"/>
  <c r="P1723" i="2"/>
  <c r="P1815" i="4"/>
  <c r="F1723" i="2"/>
  <c r="F1815" i="4"/>
  <c r="P1722" i="2"/>
  <c r="P1814" i="4"/>
  <c r="J1721" i="2"/>
  <c r="J1813" i="4"/>
  <c r="P1720" i="2"/>
  <c r="P1812" i="4"/>
  <c r="J1719" i="2"/>
  <c r="J1811" i="4"/>
  <c r="P1718" i="2"/>
  <c r="P1810" i="4"/>
  <c r="F1718" i="2"/>
  <c r="F1728" i="2" s="1"/>
  <c r="F1810" i="4"/>
  <c r="F1820" i="4" s="1"/>
  <c r="Q1716" i="2"/>
  <c r="Q1808" i="4"/>
  <c r="H1716" i="2"/>
  <c r="H1808" i="4"/>
  <c r="Q1714" i="2"/>
  <c r="Q1806" i="4"/>
  <c r="H1714" i="2"/>
  <c r="H1806" i="4"/>
  <c r="Q1707" i="2"/>
  <c r="Q1799" i="4"/>
  <c r="H1707" i="2"/>
  <c r="H1799" i="4"/>
  <c r="Q1704" i="2"/>
  <c r="Q1795" i="4"/>
  <c r="H1704" i="2"/>
  <c r="H1795" i="4"/>
  <c r="Q1702" i="2"/>
  <c r="Q1793" i="4"/>
  <c r="H1702" i="2"/>
  <c r="H1793" i="4"/>
  <c r="Q1700" i="2"/>
  <c r="Q1791" i="4"/>
  <c r="H1700" i="2"/>
  <c r="H1791" i="4"/>
  <c r="H1698" i="2"/>
  <c r="H1789" i="4"/>
  <c r="J1696" i="2"/>
  <c r="J1787" i="4"/>
  <c r="Q1690" i="2"/>
  <c r="Q1781" i="4"/>
  <c r="H1690" i="2"/>
  <c r="H1781" i="4"/>
  <c r="P1689" i="2"/>
  <c r="P1780" i="4"/>
  <c r="J1688" i="2"/>
  <c r="J1779" i="4"/>
  <c r="P1687" i="2"/>
  <c r="P1778" i="4"/>
  <c r="J1686" i="2"/>
  <c r="J1777" i="4"/>
  <c r="P1685" i="2"/>
  <c r="P1776" i="4"/>
  <c r="F1685" i="2"/>
  <c r="F1776" i="4"/>
  <c r="H1683" i="2"/>
  <c r="H1774" i="4"/>
  <c r="Q1682" i="2"/>
  <c r="Q1773" i="4"/>
  <c r="H1682" i="2"/>
  <c r="H1773" i="4"/>
  <c r="P1681" i="2"/>
  <c r="P1772" i="4"/>
  <c r="K1679" i="2"/>
  <c r="K1693" i="2" s="1"/>
  <c r="K1770" i="4"/>
  <c r="K1784" i="4" s="1"/>
  <c r="Q1673" i="2"/>
  <c r="Q1764" i="4"/>
  <c r="H1673" i="2"/>
  <c r="H1764" i="4"/>
  <c r="Q1671" i="2"/>
  <c r="Q1762" i="4"/>
  <c r="H1671" i="2"/>
  <c r="H1762" i="4"/>
  <c r="Q1663" i="2"/>
  <c r="Q1754" i="4"/>
  <c r="H1663" i="2"/>
  <c r="H1754" i="4"/>
  <c r="H1661" i="2"/>
  <c r="H1752" i="4"/>
  <c r="H1660" i="2"/>
  <c r="H1751" i="4"/>
  <c r="H1750" i="4"/>
  <c r="H1659" i="2"/>
  <c r="Q1657" i="2"/>
  <c r="Q1748" i="4"/>
  <c r="H1657" i="2"/>
  <c r="H1748" i="4"/>
  <c r="K1655" i="2"/>
  <c r="K1667" i="2" s="1"/>
  <c r="K1746" i="4"/>
  <c r="K1758" i="4" s="1"/>
  <c r="J1654" i="2"/>
  <c r="H1643" i="2"/>
  <c r="H1735" i="4"/>
  <c r="U1642" i="2"/>
  <c r="U1734" i="4"/>
  <c r="M1641" i="2"/>
  <c r="M1733" i="4"/>
  <c r="U1640" i="2"/>
  <c r="U1732" i="4"/>
  <c r="M1639" i="2"/>
  <c r="M1731" i="4"/>
  <c r="U1638" i="2"/>
  <c r="U1730" i="4"/>
  <c r="M1637" i="2"/>
  <c r="M1729" i="4"/>
  <c r="U1636" i="2"/>
  <c r="U1728" i="4"/>
  <c r="M1635" i="2"/>
  <c r="M1727" i="4"/>
  <c r="U1634" i="2"/>
  <c r="U1726" i="4"/>
  <c r="M1633" i="2"/>
  <c r="M1725" i="4"/>
  <c r="U1632" i="2"/>
  <c r="U1724" i="4"/>
  <c r="M1631" i="2"/>
  <c r="M1723" i="4"/>
  <c r="U1626" i="2"/>
  <c r="U1718" i="4"/>
  <c r="M1625" i="2"/>
  <c r="M1717" i="4"/>
  <c r="U1624" i="2"/>
  <c r="U1716" i="4"/>
  <c r="M1623" i="2"/>
  <c r="M1715" i="4"/>
  <c r="U1622" i="2"/>
  <c r="U1714" i="4"/>
  <c r="M1621" i="2"/>
  <c r="M1713" i="4"/>
  <c r="U1620" i="2"/>
  <c r="U1712" i="4"/>
  <c r="M1615" i="2"/>
  <c r="M1707" i="4"/>
  <c r="U1614" i="2"/>
  <c r="U1706" i="4"/>
  <c r="M1613" i="2"/>
  <c r="M1705" i="4"/>
  <c r="U1612" i="2"/>
  <c r="U1704" i="4"/>
  <c r="M1611" i="2"/>
  <c r="M1703" i="4"/>
  <c r="U1610" i="2"/>
  <c r="U1702" i="4"/>
  <c r="M1609" i="2"/>
  <c r="M1701" i="4"/>
  <c r="U1608" i="2"/>
  <c r="U1700" i="4"/>
  <c r="M1603" i="2"/>
  <c r="M1695" i="4"/>
  <c r="H1602" i="2"/>
  <c r="H1694" i="4"/>
  <c r="H1601" i="2"/>
  <c r="H1690" i="4"/>
  <c r="P1689" i="4"/>
  <c r="P1600" i="2"/>
  <c r="H1599" i="2"/>
  <c r="H1688" i="4"/>
  <c r="P1598" i="2"/>
  <c r="P1687" i="4"/>
  <c r="H1597" i="2"/>
  <c r="H1686" i="4"/>
  <c r="P1596" i="2"/>
  <c r="P1685" i="4"/>
  <c r="H1595" i="2"/>
  <c r="H1684" i="4"/>
  <c r="P1594" i="2"/>
  <c r="P1683" i="4"/>
  <c r="H1593" i="2"/>
  <c r="H1682" i="4"/>
  <c r="P1681" i="4"/>
  <c r="P1592" i="2"/>
  <c r="H1587" i="2"/>
  <c r="H1676" i="4"/>
  <c r="P1586" i="2"/>
  <c r="P1675" i="4"/>
  <c r="U1584" i="2"/>
  <c r="U1670" i="4"/>
  <c r="M1583" i="2"/>
  <c r="M1669" i="4"/>
  <c r="U1582" i="2"/>
  <c r="U1668" i="4"/>
  <c r="M1581" i="2"/>
  <c r="M1667" i="4"/>
  <c r="M1579" i="2"/>
  <c r="M1665" i="4"/>
  <c r="U1578" i="2"/>
  <c r="U1664" i="4"/>
  <c r="M1577" i="2"/>
  <c r="M1663" i="4"/>
  <c r="U1576" i="2"/>
  <c r="U1662" i="4"/>
  <c r="U1570" i="2"/>
  <c r="U1653" i="4"/>
  <c r="M1569" i="2"/>
  <c r="M1652" i="4"/>
  <c r="U1568" i="2"/>
  <c r="U1651" i="4"/>
  <c r="M1567" i="2"/>
  <c r="M1650" i="4"/>
  <c r="U1566" i="2"/>
  <c r="U1649" i="4"/>
  <c r="M1564" i="2"/>
  <c r="M1647" i="4"/>
  <c r="U1563" i="2"/>
  <c r="U1646" i="4"/>
  <c r="M1562" i="2"/>
  <c r="M1645" i="4"/>
  <c r="U1561" i="2"/>
  <c r="M1560" i="2"/>
  <c r="M1643" i="4"/>
  <c r="U1559" i="2"/>
  <c r="U1642" i="4"/>
  <c r="E1559" i="2"/>
  <c r="E1642" i="4"/>
  <c r="P1637" i="4"/>
  <c r="P1554" i="2"/>
  <c r="E1554" i="2"/>
  <c r="E1637" i="4"/>
  <c r="P1553" i="2"/>
  <c r="P1635" i="4"/>
  <c r="M1551" i="2"/>
  <c r="M1633" i="4"/>
  <c r="H1550" i="2"/>
  <c r="H1631" i="4"/>
  <c r="H1630" i="4"/>
  <c r="H1549" i="2"/>
  <c r="P1548" i="2"/>
  <c r="P1629" i="4"/>
  <c r="H1547" i="2"/>
  <c r="H1628" i="4"/>
  <c r="P1546" i="2"/>
  <c r="P1627" i="4"/>
  <c r="H1626" i="4"/>
  <c r="H1545" i="2"/>
  <c r="P1625" i="4"/>
  <c r="P1544" i="2"/>
  <c r="H1543" i="2"/>
  <c r="H1624" i="4"/>
  <c r="U1542" i="2"/>
  <c r="U1623" i="4"/>
  <c r="M1541" i="2"/>
  <c r="M1622" i="4"/>
  <c r="U1540" i="2"/>
  <c r="U1621" i="4"/>
  <c r="M1535" i="2"/>
  <c r="M1616" i="4"/>
  <c r="M1534" i="2"/>
  <c r="M1613" i="4"/>
  <c r="U1533" i="2"/>
  <c r="U1612" i="4"/>
  <c r="U1532" i="2"/>
  <c r="U1610" i="4"/>
  <c r="M1531" i="2"/>
  <c r="M1609" i="4"/>
  <c r="U1530" i="2"/>
  <c r="U1608" i="4"/>
  <c r="F1530" i="2"/>
  <c r="F1537" i="2" s="1"/>
  <c r="F1608" i="4"/>
  <c r="F1618" i="4" s="1"/>
  <c r="P1529" i="2"/>
  <c r="P1607" i="4"/>
  <c r="H1528" i="2"/>
  <c r="H1606" i="4"/>
  <c r="P1527" i="2"/>
  <c r="P1605" i="4"/>
  <c r="H1603" i="4"/>
  <c r="H1525" i="2"/>
  <c r="P1524" i="2"/>
  <c r="P1602" i="4"/>
  <c r="H1523" i="2"/>
  <c r="H1601" i="4"/>
  <c r="U1522" i="2"/>
  <c r="U1600" i="4"/>
  <c r="M1521" i="2"/>
  <c r="M1599" i="4"/>
  <c r="U1520" i="2"/>
  <c r="U1598" i="4"/>
  <c r="E1520" i="2"/>
  <c r="E1598" i="4"/>
  <c r="P1519" i="2"/>
  <c r="P1597" i="4"/>
  <c r="H1518" i="2"/>
  <c r="H1596" i="4"/>
  <c r="P1512" i="2"/>
  <c r="P1590" i="4"/>
  <c r="P1511" i="2"/>
  <c r="P1587" i="4"/>
  <c r="H1510" i="2"/>
  <c r="H1586" i="4"/>
  <c r="P1509" i="2"/>
  <c r="P1585" i="4"/>
  <c r="H1508" i="2"/>
  <c r="H1584" i="4"/>
  <c r="P1507" i="2"/>
  <c r="P1583" i="4"/>
  <c r="H1506" i="2"/>
  <c r="H1582" i="4"/>
  <c r="H1504" i="2"/>
  <c r="H1580" i="4"/>
  <c r="P1503" i="2"/>
  <c r="P1579" i="4"/>
  <c r="H1502" i="2"/>
  <c r="H1578" i="4"/>
  <c r="P1501" i="2"/>
  <c r="P1577" i="4"/>
  <c r="H1500" i="2"/>
  <c r="H1576" i="4"/>
  <c r="P1499" i="2"/>
  <c r="P1575" i="4"/>
  <c r="H1498" i="2"/>
  <c r="H1574" i="4"/>
  <c r="P1497" i="2"/>
  <c r="P1573" i="4"/>
  <c r="H1496" i="2"/>
  <c r="H1572" i="4"/>
  <c r="P1495" i="2"/>
  <c r="P1571" i="4"/>
  <c r="H1490" i="2"/>
  <c r="H1566" i="4"/>
  <c r="H1489" i="2"/>
  <c r="H1564" i="4"/>
  <c r="P1488" i="2"/>
  <c r="P1563" i="4"/>
  <c r="H1487" i="2"/>
  <c r="H1562" i="4"/>
  <c r="P1486" i="2"/>
  <c r="P1561" i="4"/>
  <c r="H1485" i="2"/>
  <c r="H1560" i="4"/>
  <c r="P1484" i="2"/>
  <c r="P1559" i="4"/>
  <c r="H1483" i="2"/>
  <c r="H1558" i="4"/>
  <c r="H1481" i="2"/>
  <c r="H1556" i="4"/>
  <c r="P1480" i="2"/>
  <c r="P1555" i="4"/>
  <c r="H1479" i="2"/>
  <c r="H1554" i="4"/>
  <c r="P1478" i="2"/>
  <c r="P1553" i="4"/>
  <c r="H1477" i="2"/>
  <c r="H1552" i="4"/>
  <c r="X1476" i="2"/>
  <c r="X1551" i="4"/>
  <c r="P1476" i="2"/>
  <c r="P1551" i="4"/>
  <c r="P1475" i="2"/>
  <c r="P1550" i="4"/>
  <c r="M1474" i="2"/>
  <c r="M1549" i="4"/>
  <c r="U1473" i="2"/>
  <c r="U1548" i="4"/>
  <c r="P1456" i="2"/>
  <c r="P1533" i="4"/>
  <c r="P1453" i="2"/>
  <c r="P1530" i="4"/>
  <c r="P1450" i="2"/>
  <c r="P1527" i="4"/>
  <c r="P1447" i="2"/>
  <c r="P1524" i="4"/>
  <c r="P1444" i="2"/>
  <c r="P1521" i="4"/>
  <c r="P1441" i="2"/>
  <c r="P1518" i="4"/>
  <c r="P1438" i="2"/>
  <c r="P1515" i="4"/>
  <c r="P1435" i="2"/>
  <c r="P1512" i="4"/>
  <c r="P1432" i="2"/>
  <c r="P1509" i="4"/>
  <c r="P1429" i="2"/>
  <c r="P1506" i="4"/>
  <c r="P1426" i="2"/>
  <c r="P1503" i="4"/>
  <c r="P1423" i="2"/>
  <c r="P1500" i="4"/>
  <c r="H1418" i="2"/>
  <c r="H1495" i="4"/>
  <c r="Q1417" i="2"/>
  <c r="Q1494" i="4"/>
  <c r="H1417" i="2"/>
  <c r="H1494" i="4"/>
  <c r="Q1416" i="2"/>
  <c r="Q1493" i="4"/>
  <c r="H1493" i="4"/>
  <c r="H1416" i="2"/>
  <c r="H1415" i="2"/>
  <c r="H1492" i="4"/>
  <c r="Q1414" i="2"/>
  <c r="Q1490" i="4"/>
  <c r="H1414" i="2"/>
  <c r="H1490" i="4"/>
  <c r="Q1413" i="2"/>
  <c r="Q1489" i="4"/>
  <c r="H1413" i="2"/>
  <c r="H1489" i="4"/>
  <c r="H1488" i="4"/>
  <c r="H1412" i="2"/>
  <c r="P1408" i="2"/>
  <c r="P1484" i="4"/>
  <c r="P1407" i="2"/>
  <c r="P1483" i="4"/>
  <c r="E1407" i="2"/>
  <c r="E1483" i="4"/>
  <c r="H1482" i="4"/>
  <c r="H1406" i="2"/>
  <c r="E1405" i="2"/>
  <c r="E1481" i="4"/>
  <c r="Q1404" i="2"/>
  <c r="Q1480" i="4"/>
  <c r="H1480" i="4"/>
  <c r="H1404" i="2"/>
  <c r="H1403" i="2"/>
  <c r="J1402" i="2"/>
  <c r="J1478" i="4"/>
  <c r="J1401" i="2"/>
  <c r="J1477" i="4"/>
  <c r="P1399" i="2"/>
  <c r="P1475" i="4"/>
  <c r="H1399" i="2"/>
  <c r="H1475" i="4"/>
  <c r="J1398" i="2"/>
  <c r="J1474" i="4"/>
  <c r="Q1393" i="2"/>
  <c r="Q1469" i="4"/>
  <c r="H1393" i="2"/>
  <c r="H1469" i="4"/>
  <c r="E1392" i="2"/>
  <c r="E1465" i="4"/>
  <c r="P1390" i="2"/>
  <c r="P1462" i="4"/>
  <c r="E1390" i="2"/>
  <c r="E1462" i="4"/>
  <c r="H1389" i="2"/>
  <c r="H1461" i="4"/>
  <c r="E1386" i="2"/>
  <c r="E1457" i="4"/>
  <c r="H1385" i="2"/>
  <c r="H1456" i="4"/>
  <c r="E1382" i="2"/>
  <c r="E1453" i="4"/>
  <c r="Q1381" i="2"/>
  <c r="Q1452" i="4"/>
  <c r="H1381" i="2"/>
  <c r="H1452" i="4"/>
  <c r="Q1380" i="2"/>
  <c r="Q1451" i="4"/>
  <c r="H1380" i="2"/>
  <c r="H1451" i="4"/>
  <c r="H1379" i="2"/>
  <c r="H1450" i="4"/>
  <c r="P1377" i="2"/>
  <c r="P1448" i="4"/>
  <c r="F1377" i="2"/>
  <c r="F1448" i="4"/>
  <c r="H1376" i="2"/>
  <c r="H1447" i="4"/>
  <c r="J1375" i="2"/>
  <c r="J1446" i="4"/>
  <c r="J1445" i="4"/>
  <c r="J1374" i="2"/>
  <c r="J1373" i="2"/>
  <c r="J1444" i="4"/>
  <c r="P1371" i="2"/>
  <c r="P1442" i="4"/>
  <c r="P1370" i="2"/>
  <c r="P1441" i="4"/>
  <c r="E1370" i="2"/>
  <c r="E1441" i="4"/>
  <c r="Q1369" i="2"/>
  <c r="Q1440" i="4"/>
  <c r="H1369" i="2"/>
  <c r="H1440" i="4"/>
  <c r="J1368" i="2"/>
  <c r="J1439" i="4"/>
  <c r="J1367" i="2"/>
  <c r="J1438" i="4"/>
  <c r="P1359" i="2"/>
  <c r="P1430" i="4"/>
  <c r="E1359" i="2"/>
  <c r="E1430" i="4"/>
  <c r="Q1358" i="2"/>
  <c r="Q1429" i="4"/>
  <c r="H1358" i="2"/>
  <c r="H1429" i="4"/>
  <c r="P1356" i="2"/>
  <c r="P1426" i="4"/>
  <c r="P1355" i="2"/>
  <c r="P1425" i="4"/>
  <c r="F1355" i="2"/>
  <c r="F1425" i="4"/>
  <c r="J1354" i="2"/>
  <c r="J1424" i="4"/>
  <c r="P1352" i="2"/>
  <c r="P1422" i="4"/>
  <c r="P1351" i="2"/>
  <c r="P1421" i="4"/>
  <c r="F1351" i="2"/>
  <c r="F1421" i="4"/>
  <c r="J1350" i="2"/>
  <c r="J1420" i="4"/>
  <c r="J1348" i="2"/>
  <c r="J1418" i="4"/>
  <c r="J1346" i="2"/>
  <c r="J1416" i="4"/>
  <c r="P1345" i="2"/>
  <c r="P1415" i="4"/>
  <c r="V1416" i="1"/>
  <c r="V1415" i="5" s="1"/>
  <c r="J1344" i="2"/>
  <c r="J1414" i="4"/>
  <c r="H1343" i="2"/>
  <c r="H1413" i="4"/>
  <c r="J1414" i="1"/>
  <c r="J1413" i="5" s="1"/>
  <c r="Q1341" i="2"/>
  <c r="Q1411" i="4"/>
  <c r="H1340" i="2"/>
  <c r="H1410" i="4"/>
  <c r="M1411" i="1"/>
  <c r="M1410" i="5" s="1"/>
  <c r="J1339" i="2"/>
  <c r="J1409" i="4"/>
  <c r="P1338" i="2"/>
  <c r="P1408" i="4"/>
  <c r="V1409" i="1"/>
  <c r="U1337" i="2"/>
  <c r="U1407" i="4"/>
  <c r="K1337" i="2"/>
  <c r="K1362" i="2" s="1"/>
  <c r="K1407" i="4"/>
  <c r="K1433" i="4" s="1"/>
  <c r="H1336" i="2"/>
  <c r="H1406" i="4"/>
  <c r="J1407" i="1"/>
  <c r="J1406" i="5" s="1"/>
  <c r="P1405" i="4"/>
  <c r="P1335" i="2"/>
  <c r="V1406" i="1"/>
  <c r="V1405" i="5" s="1"/>
  <c r="P1330" i="2"/>
  <c r="P1400" i="4"/>
  <c r="U1401" i="1"/>
  <c r="U1400" i="5" s="1"/>
  <c r="F1330" i="2"/>
  <c r="F1400" i="4"/>
  <c r="P1329" i="2"/>
  <c r="P1399" i="4"/>
  <c r="X1400" i="1"/>
  <c r="E1329" i="2"/>
  <c r="E1399" i="4"/>
  <c r="Q1400" i="1"/>
  <c r="Q1399" i="5" s="1"/>
  <c r="M1398" i="4"/>
  <c r="M1328" i="2"/>
  <c r="P1327" i="2"/>
  <c r="P1397" i="4"/>
  <c r="U1398" i="1"/>
  <c r="U1397" i="5" s="1"/>
  <c r="H1396" i="4"/>
  <c r="X1396" i="4" s="1"/>
  <c r="Z1396" i="4" s="1"/>
  <c r="M1397" i="1"/>
  <c r="M1396" i="5" s="1"/>
  <c r="W1326" i="2"/>
  <c r="W1395" i="4"/>
  <c r="J1326" i="2"/>
  <c r="J1395" i="4"/>
  <c r="U1324" i="2"/>
  <c r="U1393" i="4"/>
  <c r="J1393" i="4"/>
  <c r="J1324" i="2"/>
  <c r="P1322" i="2"/>
  <c r="P1391" i="4"/>
  <c r="U1392" i="1"/>
  <c r="U1391" i="5" s="1"/>
  <c r="E1391" i="4"/>
  <c r="E1322" i="2"/>
  <c r="Q1319" i="2"/>
  <c r="Q1388" i="4"/>
  <c r="E1319" i="2"/>
  <c r="E1388" i="4"/>
  <c r="Q1317" i="2"/>
  <c r="Q1386" i="4"/>
  <c r="H1317" i="2"/>
  <c r="H1386" i="4"/>
  <c r="Q1315" i="2"/>
  <c r="Q1384" i="4"/>
  <c r="H1315" i="2"/>
  <c r="H1384" i="4"/>
  <c r="V1314" i="2"/>
  <c r="V1383" i="4"/>
  <c r="W1384" i="1"/>
  <c r="W1383" i="5" s="1"/>
  <c r="M1314" i="2"/>
  <c r="M1383" i="4"/>
  <c r="V1312" i="2"/>
  <c r="V1381" i="4"/>
  <c r="W1382" i="1"/>
  <c r="W1381" i="5" s="1"/>
  <c r="M1381" i="4"/>
  <c r="P1311" i="2"/>
  <c r="P1380" i="4"/>
  <c r="U1381" i="1"/>
  <c r="U1380" i="5" s="1"/>
  <c r="E1311" i="2"/>
  <c r="E1380" i="4"/>
  <c r="Q1381" i="1"/>
  <c r="Q1380" i="5" s="1"/>
  <c r="M1310" i="2"/>
  <c r="H1309" i="2"/>
  <c r="H1378" i="4"/>
  <c r="M1379" i="1"/>
  <c r="M1378" i="5" s="1"/>
  <c r="J1379" i="1"/>
  <c r="J1378" i="5" s="1"/>
  <c r="M1304" i="2"/>
  <c r="M1373" i="4"/>
  <c r="P1303" i="2"/>
  <c r="P1372" i="4"/>
  <c r="V1373" i="1"/>
  <c r="V1372" i="5" s="1"/>
  <c r="U1373" i="1"/>
  <c r="U1372" i="5" s="1"/>
  <c r="P1301" i="2"/>
  <c r="P1370" i="4"/>
  <c r="V1371" i="1"/>
  <c r="V1370" i="5" s="1"/>
  <c r="U1371" i="1"/>
  <c r="U1370" i="5" s="1"/>
  <c r="P1299" i="2"/>
  <c r="P1368" i="4"/>
  <c r="V1369" i="1"/>
  <c r="V1368" i="5" s="1"/>
  <c r="U1369" i="1"/>
  <c r="U1368" i="5" s="1"/>
  <c r="P1297" i="2"/>
  <c r="P1366" i="4"/>
  <c r="U1367" i="1"/>
  <c r="U1366" i="5" s="1"/>
  <c r="H1365" i="4"/>
  <c r="M1366" i="1"/>
  <c r="M1365" i="5" s="1"/>
  <c r="X1366" i="1"/>
  <c r="Z1366" i="1" s="1"/>
  <c r="J1366" i="1"/>
  <c r="P1296" i="2"/>
  <c r="P1363" i="4"/>
  <c r="V1364" i="1"/>
  <c r="V1363" i="5" s="1"/>
  <c r="H1295" i="2"/>
  <c r="H1360" i="4"/>
  <c r="M1361" i="1"/>
  <c r="M1360" i="5" s="1"/>
  <c r="J1361" i="1"/>
  <c r="J1360" i="5" s="1"/>
  <c r="P1292" i="2"/>
  <c r="P1357" i="4"/>
  <c r="V1358" i="1"/>
  <c r="V1357" i="5" s="1"/>
  <c r="U1358" i="1"/>
  <c r="U1357" i="5" s="1"/>
  <c r="U1291" i="2"/>
  <c r="U1356" i="4"/>
  <c r="J1356" i="4"/>
  <c r="J1291" i="2"/>
  <c r="M1290" i="2"/>
  <c r="M1355" i="4"/>
  <c r="M1289" i="2"/>
  <c r="M1354" i="4"/>
  <c r="M1288" i="2"/>
  <c r="M1353" i="4"/>
  <c r="P1287" i="2"/>
  <c r="P1352" i="4"/>
  <c r="V1353" i="1"/>
  <c r="V1352" i="5" s="1"/>
  <c r="U1353" i="1"/>
  <c r="U1352" i="5" s="1"/>
  <c r="P1285" i="2"/>
  <c r="P1350" i="4"/>
  <c r="V1351" i="1"/>
  <c r="V1350" i="5" s="1"/>
  <c r="U1351" i="1"/>
  <c r="U1350" i="5" s="1"/>
  <c r="E1284" i="2"/>
  <c r="E1349" i="4"/>
  <c r="Z1350" i="1"/>
  <c r="Z1284" i="2" s="1"/>
  <c r="Q1283" i="2"/>
  <c r="V1282" i="2"/>
  <c r="V1347" i="4"/>
  <c r="W1348" i="1"/>
  <c r="W1347" i="5" s="1"/>
  <c r="M1282" i="2"/>
  <c r="M1347" i="4"/>
  <c r="V1280" i="2"/>
  <c r="V1345" i="4"/>
  <c r="W1346" i="1"/>
  <c r="W1345" i="5" s="1"/>
  <c r="P1279" i="2"/>
  <c r="P1344" i="4"/>
  <c r="U1345" i="1"/>
  <c r="U1344" i="5" s="1"/>
  <c r="E1279" i="2"/>
  <c r="E1344" i="4"/>
  <c r="Q1345" i="1"/>
  <c r="Q1344" i="5" s="1"/>
  <c r="Q1278" i="2"/>
  <c r="Q1343" i="4"/>
  <c r="M1278" i="2"/>
  <c r="M1343" i="4"/>
  <c r="AA1344" i="1"/>
  <c r="AA1343" i="5" s="1"/>
  <c r="U1272" i="2"/>
  <c r="U1337" i="4"/>
  <c r="J1272" i="2"/>
  <c r="J1337" i="4"/>
  <c r="M1271" i="2"/>
  <c r="M1336" i="4"/>
  <c r="M1270" i="2"/>
  <c r="M1335" i="4"/>
  <c r="M1269" i="2"/>
  <c r="M1334" i="4"/>
  <c r="M1268" i="2"/>
  <c r="M1333" i="4"/>
  <c r="P1331" i="4"/>
  <c r="X1332" i="1"/>
  <c r="Z1332" i="1" s="1"/>
  <c r="P1264" i="2"/>
  <c r="P1327" i="4"/>
  <c r="V1328" i="1"/>
  <c r="V1327" i="5" s="1"/>
  <c r="U1328" i="1"/>
  <c r="U1327" i="5" s="1"/>
  <c r="U1262" i="2"/>
  <c r="U1325" i="4"/>
  <c r="H1262" i="2"/>
  <c r="H1325" i="4"/>
  <c r="M1326" i="1"/>
  <c r="M1325" i="5" s="1"/>
  <c r="P1257" i="2"/>
  <c r="P1320" i="4"/>
  <c r="U1321" i="1"/>
  <c r="U1320" i="5" s="1"/>
  <c r="U1256" i="2"/>
  <c r="U1319" i="4"/>
  <c r="H1255" i="2"/>
  <c r="H1318" i="4"/>
  <c r="M1319" i="1"/>
  <c r="M1318" i="5" s="1"/>
  <c r="J1319" i="1"/>
  <c r="J1318" i="5" s="1"/>
  <c r="Q1254" i="2"/>
  <c r="Q1317" i="4"/>
  <c r="H1253" i="2"/>
  <c r="H1316" i="4"/>
  <c r="M1317" i="1"/>
  <c r="M1316" i="5" s="1"/>
  <c r="J1317" i="1"/>
  <c r="J1316" i="5" s="1"/>
  <c r="U1250" i="2"/>
  <c r="U1313" i="4"/>
  <c r="J1250" i="2"/>
  <c r="J1313" i="4"/>
  <c r="M1249" i="2"/>
  <c r="M1312" i="4"/>
  <c r="E1249" i="2"/>
  <c r="E1312" i="4"/>
  <c r="Q1313" i="1"/>
  <c r="Q1312" i="5" s="1"/>
  <c r="E1340" i="1"/>
  <c r="W1313" i="1"/>
  <c r="W1312" i="5" s="1"/>
  <c r="V1244" i="2"/>
  <c r="V1307" i="4"/>
  <c r="J1244" i="2"/>
  <c r="P1243" i="2"/>
  <c r="P1306" i="4"/>
  <c r="V1307" i="1"/>
  <c r="V1306" i="5" s="1"/>
  <c r="U1307" i="1"/>
  <c r="U1306" i="5" s="1"/>
  <c r="E1242" i="2"/>
  <c r="E1305" i="4"/>
  <c r="Z1306" i="1"/>
  <c r="Z1242" i="2" s="1"/>
  <c r="Q1241" i="2"/>
  <c r="Q1304" i="4"/>
  <c r="V1303" i="4"/>
  <c r="V1240" i="2"/>
  <c r="W1304" i="1"/>
  <c r="W1303" i="5" s="1"/>
  <c r="M1240" i="2"/>
  <c r="M1303" i="4"/>
  <c r="P1236" i="2"/>
  <c r="P1299" i="4"/>
  <c r="V1300" i="1"/>
  <c r="V1299" i="5" s="1"/>
  <c r="U1300" i="1"/>
  <c r="U1299" i="5" s="1"/>
  <c r="H1235" i="2"/>
  <c r="H1298" i="4"/>
  <c r="M1299" i="1"/>
  <c r="M1298" i="5" s="1"/>
  <c r="J1299" i="1"/>
  <c r="J1298" i="5" s="1"/>
  <c r="U1233" i="2"/>
  <c r="U1296" i="4"/>
  <c r="H1232" i="2"/>
  <c r="H1295" i="4"/>
  <c r="M1296" i="1"/>
  <c r="M1295" i="5" s="1"/>
  <c r="J1296" i="1"/>
  <c r="J1295" i="5" s="1"/>
  <c r="Q1231" i="2"/>
  <c r="Q1294" i="4"/>
  <c r="H1230" i="2"/>
  <c r="H1293" i="4"/>
  <c r="M1294" i="1"/>
  <c r="M1293" i="5" s="1"/>
  <c r="J1294" i="1"/>
  <c r="J1293" i="5" s="1"/>
  <c r="F1224" i="2"/>
  <c r="F1287" i="4"/>
  <c r="H1288" i="1"/>
  <c r="H1287" i="5" s="1"/>
  <c r="X1287" i="5" s="1"/>
  <c r="Z1287" i="5" s="1"/>
  <c r="U1223" i="2"/>
  <c r="U1286" i="4"/>
  <c r="H1223" i="2"/>
  <c r="H1286" i="4"/>
  <c r="M1287" i="1"/>
  <c r="M1286" i="5" s="1"/>
  <c r="U1221" i="2"/>
  <c r="U1284" i="4"/>
  <c r="U1216" i="2"/>
  <c r="U1279" i="4"/>
  <c r="M1277" i="4"/>
  <c r="AA1278" i="1"/>
  <c r="AA1277" i="5" s="1"/>
  <c r="U1215" i="2"/>
  <c r="U1275" i="4"/>
  <c r="J1213" i="2"/>
  <c r="J1272" i="4"/>
  <c r="H1212" i="2"/>
  <c r="H1271" i="4"/>
  <c r="M1272" i="1"/>
  <c r="M1271" i="5" s="1"/>
  <c r="P1270" i="4"/>
  <c r="P1211" i="2"/>
  <c r="V1271" i="1"/>
  <c r="V1270" i="5" s="1"/>
  <c r="M1210" i="2"/>
  <c r="M1269" i="4"/>
  <c r="M1209" i="2"/>
  <c r="M1268" i="4"/>
  <c r="P1206" i="2"/>
  <c r="P1265" i="4"/>
  <c r="U1266" i="1"/>
  <c r="U1265" i="5" s="1"/>
  <c r="Q1266" i="1"/>
  <c r="Q1265" i="5" s="1"/>
  <c r="X1266" i="1"/>
  <c r="P1205" i="2"/>
  <c r="P1264" i="4"/>
  <c r="U1265" i="1"/>
  <c r="U1264" i="5" s="1"/>
  <c r="Q1265" i="1"/>
  <c r="Q1264" i="5" s="1"/>
  <c r="X1265" i="1"/>
  <c r="P1204" i="2"/>
  <c r="P1263" i="4"/>
  <c r="U1264" i="1"/>
  <c r="U1263" i="5" s="1"/>
  <c r="U1201" i="2"/>
  <c r="U1260" i="4"/>
  <c r="H1201" i="2"/>
  <c r="H1260" i="4"/>
  <c r="M1261" i="1"/>
  <c r="M1260" i="5" s="1"/>
  <c r="M1200" i="2"/>
  <c r="M1259" i="4"/>
  <c r="M1199" i="2"/>
  <c r="M1258" i="4"/>
  <c r="E1256" i="4"/>
  <c r="E1197" i="2"/>
  <c r="Z1257" i="1"/>
  <c r="Z1197" i="2" s="1"/>
  <c r="U1193" i="2"/>
  <c r="U1252" i="4"/>
  <c r="H1193" i="2"/>
  <c r="H1252" i="4"/>
  <c r="M1253" i="1"/>
  <c r="M1252" i="5" s="1"/>
  <c r="Q1192" i="2"/>
  <c r="Q1251" i="4"/>
  <c r="W1251" i="1"/>
  <c r="W1250" i="5" s="1"/>
  <c r="M1191" i="2"/>
  <c r="M1250" i="4"/>
  <c r="E1189" i="2"/>
  <c r="E1248" i="4"/>
  <c r="E1282" i="1"/>
  <c r="Z1249" i="1"/>
  <c r="Z1189" i="2" s="1"/>
  <c r="Q1247" i="4"/>
  <c r="M1188" i="2"/>
  <c r="M1247" i="4"/>
  <c r="AA1248" i="1"/>
  <c r="AA1247" i="5" s="1"/>
  <c r="P1180" i="2"/>
  <c r="P1234" i="4"/>
  <c r="U1235" i="1"/>
  <c r="U1234" i="5" s="1"/>
  <c r="U1179" i="2"/>
  <c r="U1233" i="4"/>
  <c r="H1178" i="2"/>
  <c r="H1232" i="4"/>
  <c r="M1233" i="1"/>
  <c r="M1232" i="5" s="1"/>
  <c r="J1233" i="1"/>
  <c r="J1232" i="5" s="1"/>
  <c r="V1176" i="2"/>
  <c r="V1230" i="4"/>
  <c r="W1231" i="1"/>
  <c r="W1230" i="5" s="1"/>
  <c r="M1176" i="2"/>
  <c r="M1230" i="4"/>
  <c r="V1174" i="2"/>
  <c r="V1228" i="4"/>
  <c r="W1229" i="1"/>
  <c r="W1228" i="5" s="1"/>
  <c r="M1174" i="2"/>
  <c r="M1228" i="4"/>
  <c r="P1172" i="2"/>
  <c r="P1226" i="4"/>
  <c r="U1227" i="1"/>
  <c r="U1226" i="5" s="1"/>
  <c r="V1227" i="1"/>
  <c r="U1169" i="2"/>
  <c r="U1223" i="4"/>
  <c r="J1169" i="2"/>
  <c r="J1223" i="4"/>
  <c r="V1164" i="2"/>
  <c r="V1218" i="4"/>
  <c r="X1158" i="2"/>
  <c r="X1212" i="4"/>
  <c r="Z1213" i="1"/>
  <c r="Z1212" i="5" s="1"/>
  <c r="Q1157" i="2"/>
  <c r="Q1211" i="4"/>
  <c r="F1153" i="2"/>
  <c r="F1205" i="4"/>
  <c r="H1206" i="1"/>
  <c r="H1205" i="5" s="1"/>
  <c r="P1152" i="2"/>
  <c r="P1204" i="4"/>
  <c r="V1205" i="1"/>
  <c r="V1204" i="5" s="1"/>
  <c r="U1205" i="1"/>
  <c r="U1204" i="5" s="1"/>
  <c r="Q1205" i="1"/>
  <c r="Q1204" i="5" s="1"/>
  <c r="F1202" i="4"/>
  <c r="F1215" i="1"/>
  <c r="F1544" i="1" s="1"/>
  <c r="F2910" i="1" s="1"/>
  <c r="V1145" i="2"/>
  <c r="V1197" i="4"/>
  <c r="K1145" i="2"/>
  <c r="K1160" i="2" s="1"/>
  <c r="K1197" i="4"/>
  <c r="K1215" i="1"/>
  <c r="H1130" i="2"/>
  <c r="H1181" i="4"/>
  <c r="M1182" i="1"/>
  <c r="M1181" i="5" s="1"/>
  <c r="X1182" i="1"/>
  <c r="X1130" i="2" s="1"/>
  <c r="X1127" i="2"/>
  <c r="Z1179" i="1"/>
  <c r="Z1127" i="2" s="1"/>
  <c r="H1127" i="2"/>
  <c r="H1178" i="4"/>
  <c r="V1179" i="1"/>
  <c r="V1178" i="5" s="1"/>
  <c r="V1124" i="2"/>
  <c r="V1175" i="4"/>
  <c r="E1124" i="2"/>
  <c r="E1175" i="4"/>
  <c r="W1176" i="1"/>
  <c r="W1175" i="5" s="1"/>
  <c r="Z1176" i="1"/>
  <c r="Z1124" i="2" s="1"/>
  <c r="X1122" i="2"/>
  <c r="Z1174" i="1"/>
  <c r="Z1122" i="2" s="1"/>
  <c r="H1122" i="2"/>
  <c r="H1173" i="4"/>
  <c r="V1174" i="1"/>
  <c r="V1173" i="5" s="1"/>
  <c r="N1118" i="2"/>
  <c r="N1135" i="2" s="1"/>
  <c r="N1169" i="4"/>
  <c r="N1188" i="4" s="1"/>
  <c r="N1188" i="1"/>
  <c r="N1190" i="1" s="1"/>
  <c r="N2908" i="1" s="1"/>
  <c r="P1170" i="1"/>
  <c r="P1169" i="5" s="1"/>
  <c r="X1169" i="5" s="1"/>
  <c r="Z1169" i="5" s="1"/>
  <c r="U1098" i="2"/>
  <c r="U1148" i="4"/>
  <c r="P1085" i="2"/>
  <c r="P1135" i="4"/>
  <c r="V1136" i="1"/>
  <c r="V1135" i="5" s="1"/>
  <c r="X1136" i="1"/>
  <c r="U1136" i="1"/>
  <c r="M1084" i="2"/>
  <c r="M1134" i="4"/>
  <c r="X1074" i="2"/>
  <c r="Z1124" i="1"/>
  <c r="Z1074" i="2" s="1"/>
  <c r="P1069" i="2"/>
  <c r="P1118" i="4"/>
  <c r="V1119" i="1"/>
  <c r="V1118" i="5" s="1"/>
  <c r="X1119" i="1"/>
  <c r="V1061" i="2"/>
  <c r="V1110" i="4"/>
  <c r="H1061" i="2"/>
  <c r="H1110" i="4"/>
  <c r="X1111" i="1"/>
  <c r="H1130" i="1"/>
  <c r="M1055" i="2"/>
  <c r="M1104" i="4"/>
  <c r="X1053" i="2"/>
  <c r="Z1102" i="1"/>
  <c r="Z1053" i="2" s="1"/>
  <c r="V1052" i="2"/>
  <c r="V1100" i="4"/>
  <c r="W1101" i="1"/>
  <c r="W1100" i="5" s="1"/>
  <c r="X1050" i="2"/>
  <c r="Z1099" i="1"/>
  <c r="Z1050" i="2" s="1"/>
  <c r="V1049" i="2"/>
  <c r="V1097" i="4"/>
  <c r="W1098" i="1"/>
  <c r="W1097" i="5" s="1"/>
  <c r="M1046" i="2"/>
  <c r="M1094" i="4"/>
  <c r="U1043" i="2"/>
  <c r="U1091" i="4"/>
  <c r="X1042" i="2"/>
  <c r="Z1091" i="1"/>
  <c r="Z1042" i="2" s="1"/>
  <c r="V1041" i="2"/>
  <c r="V1089" i="4"/>
  <c r="W1090" i="1"/>
  <c r="W1089" i="5" s="1"/>
  <c r="M1035" i="2"/>
  <c r="M1083" i="4"/>
  <c r="M1034" i="2"/>
  <c r="M1082" i="4"/>
  <c r="P1080" i="4"/>
  <c r="X1081" i="1"/>
  <c r="Z1081" i="1" s="1"/>
  <c r="U1081" i="1"/>
  <c r="U1080" i="5" s="1"/>
  <c r="U1032" i="2"/>
  <c r="U1079" i="4"/>
  <c r="H1028" i="2"/>
  <c r="H1075" i="4"/>
  <c r="M1076" i="1"/>
  <c r="M1075" i="5" s="1"/>
  <c r="X1076" i="1"/>
  <c r="X1025" i="2"/>
  <c r="Z1073" i="1"/>
  <c r="Z1025" i="2" s="1"/>
  <c r="H1016" i="2"/>
  <c r="H1063" i="4"/>
  <c r="X1064" i="1"/>
  <c r="M1064" i="1"/>
  <c r="M1063" i="5" s="1"/>
  <c r="P1009" i="2"/>
  <c r="P1054" i="4"/>
  <c r="V1055" i="1"/>
  <c r="V1054" i="5" s="1"/>
  <c r="X1055" i="1"/>
  <c r="P1066" i="1"/>
  <c r="U1055" i="1"/>
  <c r="U1054" i="5" s="1"/>
  <c r="M1007" i="2"/>
  <c r="M1052" i="4"/>
  <c r="P998" i="2"/>
  <c r="P1043" i="4"/>
  <c r="V1044" i="1"/>
  <c r="V1043" i="5" s="1"/>
  <c r="X1044" i="1"/>
  <c r="U1044" i="1"/>
  <c r="U1043" i="5" s="1"/>
  <c r="M997" i="2"/>
  <c r="M1042" i="4"/>
  <c r="U1037" i="4"/>
  <c r="H991" i="2"/>
  <c r="H1036" i="4"/>
  <c r="X1037" i="1"/>
  <c r="H1050" i="1"/>
  <c r="M1037" i="1"/>
  <c r="M1036" i="5" s="1"/>
  <c r="V984" i="2"/>
  <c r="P982" i="2"/>
  <c r="P1027" i="4"/>
  <c r="W980" i="2"/>
  <c r="W1025" i="4"/>
  <c r="M980" i="2"/>
  <c r="M1025" i="4"/>
  <c r="AA1026" i="1"/>
  <c r="AA1025" i="5" s="1"/>
  <c r="P978" i="2"/>
  <c r="P1023" i="4"/>
  <c r="U1024" i="1"/>
  <c r="V1024" i="1"/>
  <c r="V1023" i="5" s="1"/>
  <c r="X1024" i="1"/>
  <c r="E977" i="2"/>
  <c r="E1022" i="4"/>
  <c r="W1023" i="1"/>
  <c r="W1022" i="5" s="1"/>
  <c r="E1034" i="1"/>
  <c r="M973" i="2"/>
  <c r="M1018" i="4"/>
  <c r="AA1019" i="1"/>
  <c r="AA1018" i="5" s="1"/>
  <c r="P962" i="2"/>
  <c r="P1005" i="4"/>
  <c r="U1006" i="1"/>
  <c r="U1005" i="5" s="1"/>
  <c r="V1006" i="1"/>
  <c r="V1005" i="5" s="1"/>
  <c r="X1006" i="1"/>
  <c r="E962" i="2"/>
  <c r="E1005" i="4"/>
  <c r="E1014" i="1"/>
  <c r="M959" i="2"/>
  <c r="M1002" i="4"/>
  <c r="AA1003" i="1"/>
  <c r="AA1002" i="5" s="1"/>
  <c r="P957" i="2"/>
  <c r="P1000" i="4"/>
  <c r="U1001" i="1"/>
  <c r="V1001" i="1"/>
  <c r="V1000" i="5" s="1"/>
  <c r="X1001" i="1"/>
  <c r="V956" i="2"/>
  <c r="V999" i="4"/>
  <c r="W1000" i="1"/>
  <c r="W999" i="5" s="1"/>
  <c r="M956" i="2"/>
  <c r="M999" i="4"/>
  <c r="AA1000" i="1"/>
  <c r="AA999" i="5" s="1"/>
  <c r="P952" i="2"/>
  <c r="P995" i="4"/>
  <c r="V996" i="1"/>
  <c r="V995" i="5" s="1"/>
  <c r="X996" i="1"/>
  <c r="U996" i="1"/>
  <c r="W951" i="2"/>
  <c r="W994" i="4"/>
  <c r="M951" i="2"/>
  <c r="M994" i="4"/>
  <c r="P944" i="2"/>
  <c r="P946" i="2" s="1"/>
  <c r="P987" i="4"/>
  <c r="U988" i="1"/>
  <c r="U987" i="5" s="1"/>
  <c r="U989" i="5" s="1"/>
  <c r="V988" i="1"/>
  <c r="V987" i="5" s="1"/>
  <c r="V989" i="5" s="1"/>
  <c r="X988" i="1"/>
  <c r="U938" i="2"/>
  <c r="U981" i="4"/>
  <c r="H980" i="4"/>
  <c r="M981" i="1"/>
  <c r="M980" i="5" s="1"/>
  <c r="X981" i="1"/>
  <c r="X980" i="5" s="1"/>
  <c r="V981" i="1"/>
  <c r="P936" i="2"/>
  <c r="P978" i="4"/>
  <c r="U979" i="1"/>
  <c r="V979" i="1"/>
  <c r="V978" i="5" s="1"/>
  <c r="X979" i="1"/>
  <c r="X978" i="5" s="1"/>
  <c r="P933" i="2"/>
  <c r="P975" i="4"/>
  <c r="U976" i="1"/>
  <c r="U975" i="5" s="1"/>
  <c r="V976" i="1"/>
  <c r="V975" i="5" s="1"/>
  <c r="X976" i="1"/>
  <c r="X975" i="5" s="1"/>
  <c r="P930" i="2"/>
  <c r="P972" i="4"/>
  <c r="U973" i="1"/>
  <c r="U972" i="5" s="1"/>
  <c r="V973" i="1"/>
  <c r="V972" i="5" s="1"/>
  <c r="X973" i="1"/>
  <c r="X972" i="5" s="1"/>
  <c r="U926" i="2"/>
  <c r="U968" i="4"/>
  <c r="Q910" i="2"/>
  <c r="Q953" i="4"/>
  <c r="V902" i="2"/>
  <c r="V945" i="4"/>
  <c r="W945" i="1"/>
  <c r="W945" i="5" s="1"/>
  <c r="M945" i="4"/>
  <c r="M902" i="2"/>
  <c r="Z901" i="2"/>
  <c r="M893" i="2"/>
  <c r="M936" i="4"/>
  <c r="M891" i="2"/>
  <c r="M934" i="4"/>
  <c r="M889" i="2"/>
  <c r="M932" i="4"/>
  <c r="J886" i="2"/>
  <c r="J929" i="4"/>
  <c r="Q882" i="2"/>
  <c r="Q925" i="4"/>
  <c r="V875" i="2"/>
  <c r="V918" i="4"/>
  <c r="P916" i="4"/>
  <c r="X916" i="1"/>
  <c r="Z916" i="1" s="1"/>
  <c r="E915" i="4"/>
  <c r="X872" i="2"/>
  <c r="Z912" i="1"/>
  <c r="Z872" i="2" s="1"/>
  <c r="J872" i="2"/>
  <c r="J912" i="4"/>
  <c r="P868" i="2"/>
  <c r="P908" i="4"/>
  <c r="X908" i="1"/>
  <c r="X868" i="2" s="1"/>
  <c r="U908" i="1"/>
  <c r="U908" i="5" s="1"/>
  <c r="E868" i="2"/>
  <c r="E908" i="4"/>
  <c r="Q908" i="1"/>
  <c r="Q908" i="5" s="1"/>
  <c r="Z908" i="1"/>
  <c r="Z868" i="2" s="1"/>
  <c r="W908" i="1"/>
  <c r="W908" i="5" s="1"/>
  <c r="F867" i="2"/>
  <c r="F907" i="4"/>
  <c r="H907" i="1"/>
  <c r="H907" i="5" s="1"/>
  <c r="X907" i="5" s="1"/>
  <c r="Z907" i="5" s="1"/>
  <c r="F922" i="1"/>
  <c r="V866" i="2"/>
  <c r="V906" i="4"/>
  <c r="W906" i="1"/>
  <c r="W906" i="5" s="1"/>
  <c r="M866" i="2"/>
  <c r="M906" i="4"/>
  <c r="AA906" i="1"/>
  <c r="AA906" i="5" s="1"/>
  <c r="P864" i="2"/>
  <c r="P904" i="4"/>
  <c r="Q904" i="1"/>
  <c r="Q904" i="5" s="1"/>
  <c r="U904" i="1"/>
  <c r="U904" i="5" s="1"/>
  <c r="P863" i="2"/>
  <c r="P903" i="4"/>
  <c r="U903" i="1"/>
  <c r="U903" i="5" s="1"/>
  <c r="V903" i="1"/>
  <c r="V903" i="5" s="1"/>
  <c r="U862" i="2"/>
  <c r="U902" i="4"/>
  <c r="H862" i="2"/>
  <c r="H902" i="4"/>
  <c r="M902" i="1"/>
  <c r="M902" i="5" s="1"/>
  <c r="AA861" i="2"/>
  <c r="AA901" i="4"/>
  <c r="AB901" i="1"/>
  <c r="AB901" i="5" s="1"/>
  <c r="Q858" i="2"/>
  <c r="Q898" i="4"/>
  <c r="H858" i="2"/>
  <c r="H898" i="4"/>
  <c r="M898" i="1"/>
  <c r="M898" i="5" s="1"/>
  <c r="X898" i="1"/>
  <c r="M853" i="2"/>
  <c r="M893" i="4"/>
  <c r="U848" i="2"/>
  <c r="U887" i="4"/>
  <c r="J848" i="2"/>
  <c r="J887" i="4"/>
  <c r="V847" i="2"/>
  <c r="V886" i="4"/>
  <c r="W886" i="1"/>
  <c r="W886" i="5" s="1"/>
  <c r="M847" i="2"/>
  <c r="M886" i="4"/>
  <c r="AA886" i="1"/>
  <c r="AA886" i="5" s="1"/>
  <c r="P842" i="2"/>
  <c r="P881" i="4"/>
  <c r="X881" i="1"/>
  <c r="X842" i="2" s="1"/>
  <c r="U881" i="1"/>
  <c r="U881" i="5" s="1"/>
  <c r="E842" i="2"/>
  <c r="Q881" i="1"/>
  <c r="Q881" i="5" s="1"/>
  <c r="Z881" i="1"/>
  <c r="Z842" i="2" s="1"/>
  <c r="W881" i="1"/>
  <c r="W881" i="5" s="1"/>
  <c r="H840" i="2"/>
  <c r="H879" i="4"/>
  <c r="J879" i="1"/>
  <c r="J879" i="5" s="1"/>
  <c r="M879" i="1"/>
  <c r="M879" i="5" s="1"/>
  <c r="F839" i="2"/>
  <c r="F878" i="4"/>
  <c r="F895" i="1"/>
  <c r="H878" i="1"/>
  <c r="H878" i="5" s="1"/>
  <c r="X878" i="5" s="1"/>
  <c r="Z878" i="5" s="1"/>
  <c r="V838" i="2"/>
  <c r="V877" i="4"/>
  <c r="W877" i="1"/>
  <c r="W877" i="5" s="1"/>
  <c r="M838" i="2"/>
  <c r="M877" i="4"/>
  <c r="V831" i="2"/>
  <c r="V870" i="4"/>
  <c r="W870" i="1"/>
  <c r="W870" i="5" s="1"/>
  <c r="M831" i="2"/>
  <c r="M870" i="4"/>
  <c r="M868" i="4"/>
  <c r="AA868" i="1"/>
  <c r="AA868" i="5" s="1"/>
  <c r="M826" i="2"/>
  <c r="M861" i="4"/>
  <c r="M824" i="2"/>
  <c r="M859" i="4"/>
  <c r="P821" i="2"/>
  <c r="P856" i="4"/>
  <c r="X856" i="1"/>
  <c r="U856" i="1"/>
  <c r="U856" i="5" s="1"/>
  <c r="E821" i="2"/>
  <c r="E856" i="4"/>
  <c r="Q856" i="1"/>
  <c r="Q856" i="5" s="1"/>
  <c r="W856" i="1"/>
  <c r="W856" i="5" s="1"/>
  <c r="F820" i="2"/>
  <c r="F855" i="4"/>
  <c r="H855" i="1"/>
  <c r="H855" i="5" s="1"/>
  <c r="X855" i="5" s="1"/>
  <c r="Z855" i="5" s="1"/>
  <c r="Q819" i="2"/>
  <c r="Q854" i="4"/>
  <c r="V816" i="2"/>
  <c r="V851" i="4"/>
  <c r="W851" i="1"/>
  <c r="W851" i="5" s="1"/>
  <c r="E814" i="2"/>
  <c r="E849" i="4"/>
  <c r="Z849" i="1"/>
  <c r="Z814" i="2" s="1"/>
  <c r="E872" i="1"/>
  <c r="Q813" i="2"/>
  <c r="Q848" i="4"/>
  <c r="M812" i="2"/>
  <c r="M847" i="4"/>
  <c r="Q806" i="2"/>
  <c r="Q841" i="4"/>
  <c r="P803" i="2"/>
  <c r="P837" i="4"/>
  <c r="V837" i="1"/>
  <c r="V837" i="5" s="1"/>
  <c r="U802" i="2"/>
  <c r="U836" i="4"/>
  <c r="M800" i="2"/>
  <c r="M834" i="4"/>
  <c r="V796" i="2"/>
  <c r="V830" i="4"/>
  <c r="W830" i="1"/>
  <c r="W830" i="5" s="1"/>
  <c r="M796" i="2"/>
  <c r="M830" i="4"/>
  <c r="Q794" i="2"/>
  <c r="Q828" i="4"/>
  <c r="J793" i="2"/>
  <c r="J827" i="4"/>
  <c r="V784" i="2"/>
  <c r="V818" i="4"/>
  <c r="W818" i="1"/>
  <c r="W818" i="5" s="1"/>
  <c r="M784" i="2"/>
  <c r="M818" i="4"/>
  <c r="P782" i="2"/>
  <c r="P816" i="4"/>
  <c r="Q816" i="1"/>
  <c r="Q816" i="5" s="1"/>
  <c r="X816" i="1"/>
  <c r="U816" i="1"/>
  <c r="U816" i="5" s="1"/>
  <c r="V816" i="1"/>
  <c r="V816" i="5" s="1"/>
  <c r="Q778" i="2"/>
  <c r="Q812" i="4"/>
  <c r="P776" i="2"/>
  <c r="P810" i="4"/>
  <c r="Q810" i="1"/>
  <c r="Q810" i="5" s="1"/>
  <c r="U810" i="1"/>
  <c r="U810" i="5" s="1"/>
  <c r="P775" i="2"/>
  <c r="P809" i="4"/>
  <c r="U809" i="1"/>
  <c r="U809" i="5" s="1"/>
  <c r="V809" i="1"/>
  <c r="V809" i="5" s="1"/>
  <c r="Q809" i="1"/>
  <c r="Q809" i="5" s="1"/>
  <c r="X774" i="2"/>
  <c r="P773" i="2"/>
  <c r="P807" i="4"/>
  <c r="U807" i="1"/>
  <c r="U807" i="5" s="1"/>
  <c r="V807" i="1"/>
  <c r="V807" i="5" s="1"/>
  <c r="Q807" i="1"/>
  <c r="Q807" i="5" s="1"/>
  <c r="V772" i="2"/>
  <c r="V806" i="4"/>
  <c r="W806" i="1"/>
  <c r="W806" i="5" s="1"/>
  <c r="M772" i="2"/>
  <c r="M806" i="4"/>
  <c r="H765" i="2"/>
  <c r="H799" i="4"/>
  <c r="J799" i="1"/>
  <c r="J799" i="5" s="1"/>
  <c r="M799" i="1"/>
  <c r="M799" i="5" s="1"/>
  <c r="V759" i="2"/>
  <c r="V792" i="4"/>
  <c r="W792" i="1"/>
  <c r="W792" i="5" s="1"/>
  <c r="Q753" i="2"/>
  <c r="Q786" i="4"/>
  <c r="F752" i="2"/>
  <c r="F785" i="4"/>
  <c r="F802" i="1"/>
  <c r="H751" i="2"/>
  <c r="H784" i="4"/>
  <c r="M784" i="1"/>
  <c r="M784" i="5" s="1"/>
  <c r="J784" i="1"/>
  <c r="J784" i="5" s="1"/>
  <c r="X784" i="1"/>
  <c r="H802" i="1"/>
  <c r="U742" i="2"/>
  <c r="H742" i="2"/>
  <c r="H773" i="4"/>
  <c r="M773" i="1"/>
  <c r="M773" i="5" s="1"/>
  <c r="Q741" i="2"/>
  <c r="Q772" i="4"/>
  <c r="U737" i="2"/>
  <c r="U768" i="4"/>
  <c r="Q736" i="2"/>
  <c r="Q767" i="4"/>
  <c r="E736" i="2"/>
  <c r="E767" i="4"/>
  <c r="W767" i="1"/>
  <c r="W767" i="5" s="1"/>
  <c r="Z767" i="1"/>
  <c r="Z736" i="2" s="1"/>
  <c r="Q734" i="2"/>
  <c r="Q765" i="4"/>
  <c r="U733" i="2"/>
  <c r="U764" i="4"/>
  <c r="P722" i="2"/>
  <c r="P753" i="4"/>
  <c r="X753" i="1"/>
  <c r="U753" i="1"/>
  <c r="U721" i="2"/>
  <c r="U752" i="4"/>
  <c r="AA752" i="1"/>
  <c r="AA752" i="5" s="1"/>
  <c r="P719" i="2"/>
  <c r="P750" i="4"/>
  <c r="Q750" i="1"/>
  <c r="Q750" i="5" s="1"/>
  <c r="X750" i="1"/>
  <c r="V750" i="1"/>
  <c r="V750" i="5" s="1"/>
  <c r="U710" i="2"/>
  <c r="U741" i="4"/>
  <c r="J710" i="2"/>
  <c r="J741" i="4"/>
  <c r="Q704" i="2"/>
  <c r="Q734" i="4"/>
  <c r="U700" i="2"/>
  <c r="U730" i="4"/>
  <c r="H700" i="2"/>
  <c r="H730" i="4"/>
  <c r="M730" i="1"/>
  <c r="M730" i="5" s="1"/>
  <c r="H699" i="2"/>
  <c r="H729" i="4"/>
  <c r="M729" i="1"/>
  <c r="M729" i="5" s="1"/>
  <c r="J729" i="1"/>
  <c r="J729" i="5" s="1"/>
  <c r="X729" i="1"/>
  <c r="Q698" i="2"/>
  <c r="Q728" i="4"/>
  <c r="U696" i="2"/>
  <c r="U726" i="4"/>
  <c r="J696" i="2"/>
  <c r="J726" i="4"/>
  <c r="Q694" i="2"/>
  <c r="Q724" i="4"/>
  <c r="P688" i="2"/>
  <c r="P718" i="4"/>
  <c r="U718" i="1"/>
  <c r="U718" i="5" s="1"/>
  <c r="Q718" i="1"/>
  <c r="Q718" i="5" s="1"/>
  <c r="U675" i="2"/>
  <c r="U705" i="4"/>
  <c r="U674" i="2"/>
  <c r="U704" i="4"/>
  <c r="V672" i="2"/>
  <c r="V702" i="4"/>
  <c r="W702" i="1"/>
  <c r="W702" i="5" s="1"/>
  <c r="U668" i="2"/>
  <c r="U698" i="4"/>
  <c r="P667" i="2"/>
  <c r="P697" i="4"/>
  <c r="V697" i="1"/>
  <c r="V697" i="5" s="1"/>
  <c r="U697" i="1"/>
  <c r="U697" i="5" s="1"/>
  <c r="Q697" i="1"/>
  <c r="Q697" i="5" s="1"/>
  <c r="Q664" i="2"/>
  <c r="Q694" i="4"/>
  <c r="X658" i="2"/>
  <c r="Z688" i="1"/>
  <c r="Z658" i="2" s="1"/>
  <c r="M645" i="2"/>
  <c r="M673" i="4"/>
  <c r="H636" i="2"/>
  <c r="H664" i="4"/>
  <c r="X664" i="1"/>
  <c r="M664" i="1"/>
  <c r="M664" i="5" s="1"/>
  <c r="J664" i="1"/>
  <c r="J664" i="5" s="1"/>
  <c r="H596" i="2"/>
  <c r="H620" i="4"/>
  <c r="X620" i="4" s="1"/>
  <c r="Z620" i="4" s="1"/>
  <c r="V619" i="1"/>
  <c r="V620" i="5" s="1"/>
  <c r="M619" i="1"/>
  <c r="M620" i="5" s="1"/>
  <c r="V593" i="2"/>
  <c r="H581" i="2"/>
  <c r="H605" i="4"/>
  <c r="X604" i="1"/>
  <c r="M604" i="1"/>
  <c r="M605" i="5" s="1"/>
  <c r="U579" i="2"/>
  <c r="U603" i="4"/>
  <c r="V558" i="2"/>
  <c r="V579" i="4"/>
  <c r="W578" i="1"/>
  <c r="W579" i="5" s="1"/>
  <c r="H556" i="2"/>
  <c r="H577" i="4"/>
  <c r="X576" i="1"/>
  <c r="M576" i="1"/>
  <c r="M577" i="5" s="1"/>
  <c r="P553" i="2"/>
  <c r="P574" i="4"/>
  <c r="V573" i="1"/>
  <c r="V574" i="5" s="1"/>
  <c r="U573" i="1"/>
  <c r="U574" i="5" s="1"/>
  <c r="X573" i="1"/>
  <c r="P545" i="2"/>
  <c r="P566" i="4"/>
  <c r="V565" i="1"/>
  <c r="V566" i="5" s="1"/>
  <c r="U565" i="1"/>
  <c r="U566" i="5" s="1"/>
  <c r="X565" i="1"/>
  <c r="P569" i="1"/>
  <c r="F534" i="2"/>
  <c r="F553" i="4"/>
  <c r="F557" i="1"/>
  <c r="H554" i="1"/>
  <c r="H553" i="5" s="1"/>
  <c r="X553" i="5" s="1"/>
  <c r="M532" i="2"/>
  <c r="M551" i="4"/>
  <c r="P492" i="2"/>
  <c r="P512" i="4"/>
  <c r="V513" i="1"/>
  <c r="V512" i="5" s="1"/>
  <c r="U513" i="1"/>
  <c r="U512" i="5" s="1"/>
  <c r="X513" i="1"/>
  <c r="P523" i="1"/>
  <c r="U477" i="2"/>
  <c r="U497" i="4"/>
  <c r="W472" i="2"/>
  <c r="W492" i="4"/>
  <c r="X461" i="2"/>
  <c r="Z482" i="1"/>
  <c r="Z461" i="2" s="1"/>
  <c r="V460" i="2"/>
  <c r="V480" i="4"/>
  <c r="W481" i="1"/>
  <c r="W480" i="5" s="1"/>
  <c r="X447" i="2"/>
  <c r="Z468" i="1"/>
  <c r="Z447" i="2" s="1"/>
  <c r="V446" i="2"/>
  <c r="V466" i="4"/>
  <c r="W467" i="1"/>
  <c r="W466" i="5" s="1"/>
  <c r="M443" i="2"/>
  <c r="M463" i="4"/>
  <c r="M441" i="2"/>
  <c r="M461" i="4"/>
  <c r="H414" i="2"/>
  <c r="H432" i="4"/>
  <c r="X433" i="1"/>
  <c r="X432" i="5" s="1"/>
  <c r="M433" i="1"/>
  <c r="M432" i="5" s="1"/>
  <c r="V433" i="1"/>
  <c r="V432" i="5" s="1"/>
  <c r="J399" i="2"/>
  <c r="J417" i="4"/>
  <c r="U339" i="2"/>
  <c r="U352" i="4"/>
  <c r="H329" i="2"/>
  <c r="H342" i="4"/>
  <c r="M343" i="1"/>
  <c r="M342" i="5" s="1"/>
  <c r="J343" i="1"/>
  <c r="J342" i="5" s="1"/>
  <c r="X343" i="1"/>
  <c r="P317" i="2"/>
  <c r="P330" i="4"/>
  <c r="X331" i="1"/>
  <c r="U331" i="1"/>
  <c r="U330" i="5" s="1"/>
  <c r="H310" i="2"/>
  <c r="M324" i="1"/>
  <c r="M323" i="5" s="1"/>
  <c r="J324" i="1"/>
  <c r="J323" i="5" s="1"/>
  <c r="X324" i="1"/>
  <c r="H323" i="4"/>
  <c r="P215" i="2"/>
  <c r="P224" i="4"/>
  <c r="X224" i="4" s="1"/>
  <c r="U224" i="1"/>
  <c r="U224" i="5" s="1"/>
  <c r="X224" i="1"/>
  <c r="H189" i="2"/>
  <c r="H197" i="4"/>
  <c r="I197" i="1"/>
  <c r="I197" i="5" s="1"/>
  <c r="M197" i="1"/>
  <c r="M197" i="5" s="1"/>
  <c r="X197" i="1"/>
  <c r="I185" i="2"/>
  <c r="I193" i="4"/>
  <c r="K193" i="1"/>
  <c r="K193" i="5" s="1"/>
  <c r="M130" i="2"/>
  <c r="M137" i="4"/>
  <c r="M118" i="2"/>
  <c r="M124" i="4"/>
  <c r="H113" i="2"/>
  <c r="H119" i="4"/>
  <c r="X119" i="1"/>
  <c r="M119" i="1"/>
  <c r="M119" i="5" s="1"/>
  <c r="V119" i="1"/>
  <c r="V119" i="5" s="1"/>
  <c r="M109" i="2"/>
  <c r="M115" i="4"/>
  <c r="AA115" i="1"/>
  <c r="AA115" i="5" s="1"/>
  <c r="M99" i="2"/>
  <c r="M105" i="4"/>
  <c r="P67" i="2"/>
  <c r="P71" i="4"/>
  <c r="V71" i="1"/>
  <c r="V71" i="5" s="1"/>
  <c r="P92" i="1"/>
  <c r="U71" i="1"/>
  <c r="U71" i="5" s="1"/>
  <c r="X71" i="1"/>
  <c r="V59" i="2"/>
  <c r="V63" i="4"/>
  <c r="W63" i="1"/>
  <c r="W63" i="5" s="1"/>
  <c r="U56" i="2"/>
  <c r="U60" i="4"/>
  <c r="M31" i="2"/>
  <c r="M32" i="4"/>
  <c r="AA32" i="1"/>
  <c r="AA32" i="5" s="1"/>
  <c r="V579" i="1"/>
  <c r="V580" i="5" s="1"/>
  <c r="Y2194" i="4"/>
  <c r="H2851" i="1"/>
  <c r="X2836" i="1"/>
  <c r="Z2836" i="1" s="1"/>
  <c r="M2833" i="1"/>
  <c r="H2819" i="1"/>
  <c r="P2814" i="1"/>
  <c r="U2814" i="1" s="1"/>
  <c r="X2810" i="1"/>
  <c r="Z2810" i="1" s="1"/>
  <c r="H2802" i="1"/>
  <c r="P2758" i="1"/>
  <c r="P2760" i="1" s="1"/>
  <c r="P2926" i="1" s="1"/>
  <c r="M2756" i="1"/>
  <c r="M2748" i="5" s="1"/>
  <c r="U2755" i="1"/>
  <c r="U2747" i="5" s="1"/>
  <c r="M2754" i="1"/>
  <c r="M2746" i="5" s="1"/>
  <c r="U2753" i="1"/>
  <c r="U2745" i="5" s="1"/>
  <c r="M2751" i="1"/>
  <c r="M2743" i="5" s="1"/>
  <c r="Z2750" i="1"/>
  <c r="U2750" i="1"/>
  <c r="U2749" i="1"/>
  <c r="U2741" i="5" s="1"/>
  <c r="M2747" i="1"/>
  <c r="M2739" i="5" s="1"/>
  <c r="U2746" i="1"/>
  <c r="M2745" i="1"/>
  <c r="M2737" i="5" s="1"/>
  <c r="U2744" i="1"/>
  <c r="M2743" i="1"/>
  <c r="M2735" i="5" s="1"/>
  <c r="U2742" i="1"/>
  <c r="M2741" i="1"/>
  <c r="M2733" i="5" s="1"/>
  <c r="Z2740" i="1"/>
  <c r="U2740" i="1"/>
  <c r="U2732" i="5" s="1"/>
  <c r="U2733" i="1"/>
  <c r="U2732" i="1"/>
  <c r="M2729" i="1"/>
  <c r="M2721" i="5" s="1"/>
  <c r="M2727" i="1"/>
  <c r="M2719" i="5" s="1"/>
  <c r="U2726" i="1"/>
  <c r="M2725" i="1"/>
  <c r="M2717" i="5" s="1"/>
  <c r="U2724" i="1"/>
  <c r="M2722" i="1"/>
  <c r="M2714" i="5" s="1"/>
  <c r="U2721" i="1"/>
  <c r="M2720" i="1"/>
  <c r="M2712" i="5" s="1"/>
  <c r="U2719" i="1"/>
  <c r="U2711" i="5" s="1"/>
  <c r="M2718" i="1"/>
  <c r="M2710" i="5" s="1"/>
  <c r="U2717" i="1"/>
  <c r="U2709" i="5" s="1"/>
  <c r="M2716" i="1"/>
  <c r="M2708" i="5" s="1"/>
  <c r="Z2715" i="1"/>
  <c r="U2715" i="1"/>
  <c r="U2707" i="5" s="1"/>
  <c r="F2712" i="1"/>
  <c r="U2709" i="1"/>
  <c r="U2708" i="1"/>
  <c r="U2707" i="1"/>
  <c r="H2705" i="1"/>
  <c r="M2702" i="1"/>
  <c r="M2694" i="5" s="1"/>
  <c r="U2701" i="1"/>
  <c r="U2693" i="5" s="1"/>
  <c r="M2700" i="1"/>
  <c r="M2692" i="5" s="1"/>
  <c r="U2699" i="1"/>
  <c r="U2691" i="5" s="1"/>
  <c r="M2698" i="1"/>
  <c r="M2690" i="5" s="1"/>
  <c r="U2697" i="1"/>
  <c r="U2689" i="5" s="1"/>
  <c r="M2696" i="1"/>
  <c r="M2688" i="5" s="1"/>
  <c r="U2695" i="1"/>
  <c r="U2687" i="5" s="1"/>
  <c r="U2689" i="1"/>
  <c r="M2687" i="1"/>
  <c r="M2679" i="5" s="1"/>
  <c r="U2685" i="1"/>
  <c r="U2684" i="1"/>
  <c r="U2683" i="1"/>
  <c r="U2675" i="5" s="1"/>
  <c r="M2682" i="1"/>
  <c r="M2674" i="5" s="1"/>
  <c r="U2681" i="1"/>
  <c r="M2679" i="1"/>
  <c r="M2671" i="5" s="1"/>
  <c r="U2678" i="1"/>
  <c r="M2677" i="1"/>
  <c r="M2669" i="5" s="1"/>
  <c r="U2676" i="1"/>
  <c r="M2675" i="1"/>
  <c r="M2667" i="5" s="1"/>
  <c r="U2674" i="1"/>
  <c r="M2673" i="1"/>
  <c r="M2665" i="5" s="1"/>
  <c r="U2664" i="1"/>
  <c r="U2663" i="1"/>
  <c r="X2661" i="1"/>
  <c r="Z2661" i="1" s="1"/>
  <c r="M2661" i="1"/>
  <c r="M2653" i="5" s="1"/>
  <c r="U2660" i="1"/>
  <c r="U2659" i="1"/>
  <c r="M2656" i="1"/>
  <c r="M2648" i="5" s="1"/>
  <c r="U2655" i="1"/>
  <c r="U2647" i="5" s="1"/>
  <c r="M2654" i="1"/>
  <c r="M2646" i="5" s="1"/>
  <c r="U2653" i="1"/>
  <c r="M2652" i="1"/>
  <c r="M2644" i="5" s="1"/>
  <c r="U2651" i="1"/>
  <c r="U2643" i="5" s="1"/>
  <c r="M2650" i="1"/>
  <c r="M2642" i="5" s="1"/>
  <c r="U2649" i="1"/>
  <c r="M2648" i="1"/>
  <c r="M2640" i="5" s="1"/>
  <c r="I2643" i="1"/>
  <c r="U2638" i="1"/>
  <c r="U2633" i="1"/>
  <c r="M2625" i="1"/>
  <c r="U2624" i="1"/>
  <c r="W2618" i="1"/>
  <c r="W2610" i="5" s="1"/>
  <c r="W2612" i="5" s="1"/>
  <c r="H2613" i="1"/>
  <c r="H2605" i="5" s="1"/>
  <c r="Z2609" i="1"/>
  <c r="M2604" i="1"/>
  <c r="M2596" i="5" s="1"/>
  <c r="U2603" i="1"/>
  <c r="U2602" i="1"/>
  <c r="U2594" i="5" s="1"/>
  <c r="M2601" i="1"/>
  <c r="M2593" i="5" s="1"/>
  <c r="U2600" i="1"/>
  <c r="M2599" i="1"/>
  <c r="M2591" i="5" s="1"/>
  <c r="Z2598" i="1"/>
  <c r="U2598" i="1"/>
  <c r="U2590" i="5" s="1"/>
  <c r="U2597" i="1"/>
  <c r="M2596" i="1"/>
  <c r="M2588" i="5" s="1"/>
  <c r="U2595" i="1"/>
  <c r="M2594" i="1"/>
  <c r="M2586" i="5" s="1"/>
  <c r="M2592" i="1"/>
  <c r="M2584" i="5" s="1"/>
  <c r="U2591" i="1"/>
  <c r="U2583" i="5" s="1"/>
  <c r="M2590" i="1"/>
  <c r="M2582" i="5" s="1"/>
  <c r="M2570" i="1"/>
  <c r="M2562" i="5" s="1"/>
  <c r="U2569" i="1"/>
  <c r="M2568" i="1"/>
  <c r="M2560" i="5" s="1"/>
  <c r="U2567" i="1"/>
  <c r="U2559" i="5" s="1"/>
  <c r="M2566" i="1"/>
  <c r="M2558" i="5" s="1"/>
  <c r="U2565" i="1"/>
  <c r="Z2564" i="1"/>
  <c r="U2564" i="1"/>
  <c r="U2563" i="1"/>
  <c r="M2562" i="1"/>
  <c r="M2554" i="5" s="1"/>
  <c r="Z2561" i="1"/>
  <c r="U2561" i="1"/>
  <c r="U2560" i="1"/>
  <c r="U2552" i="5" s="1"/>
  <c r="M2559" i="1"/>
  <c r="M2551" i="5" s="1"/>
  <c r="U2558" i="1"/>
  <c r="U2550" i="5" s="1"/>
  <c r="M2557" i="1"/>
  <c r="M2549" i="5" s="1"/>
  <c r="U2556" i="1"/>
  <c r="U2548" i="5" s="1"/>
  <c r="U2555" i="1"/>
  <c r="U2547" i="5" s="1"/>
  <c r="M2554" i="1"/>
  <c r="M2546" i="5" s="1"/>
  <c r="H2549" i="1"/>
  <c r="H2541" i="5" s="1"/>
  <c r="X2541" i="5" s="1"/>
  <c r="Z2541" i="5" s="1"/>
  <c r="U2537" i="1"/>
  <c r="H2536" i="1"/>
  <c r="H2528" i="5" s="1"/>
  <c r="X2528" i="5" s="1"/>
  <c r="Z2528" i="5" s="1"/>
  <c r="H2535" i="1"/>
  <c r="H2527" i="5" s="1"/>
  <c r="X2527" i="5" s="1"/>
  <c r="Z2527" i="5" s="1"/>
  <c r="M2493" i="1"/>
  <c r="M2485" i="5" s="1"/>
  <c r="U2492" i="1"/>
  <c r="M2491" i="1"/>
  <c r="M2483" i="5" s="1"/>
  <c r="U2490" i="1"/>
  <c r="M2489" i="1"/>
  <c r="M2481" i="5" s="1"/>
  <c r="U2488" i="1"/>
  <c r="U2480" i="5" s="1"/>
  <c r="M2487" i="1"/>
  <c r="M2479" i="5" s="1"/>
  <c r="U2486" i="1"/>
  <c r="Q2446" i="1"/>
  <c r="Q2444" i="1"/>
  <c r="X2438" i="4"/>
  <c r="Z2438" i="4" s="1"/>
  <c r="Q2442" i="1"/>
  <c r="X2436" i="4"/>
  <c r="Z2436" i="4" s="1"/>
  <c r="Q2440" i="1"/>
  <c r="AA2438" i="1"/>
  <c r="AA2432" i="5" s="1"/>
  <c r="U2431" i="1"/>
  <c r="U2430" i="1"/>
  <c r="J2428" i="1"/>
  <c r="Q2427" i="1"/>
  <c r="X2421" i="4"/>
  <c r="Z2421" i="4" s="1"/>
  <c r="Q2425" i="1"/>
  <c r="Q2419" i="5" s="1"/>
  <c r="X2419" i="4"/>
  <c r="Z2419" i="4" s="1"/>
  <c r="Q2423" i="1"/>
  <c r="X2417" i="4"/>
  <c r="Z2417" i="4" s="1"/>
  <c r="Q2421" i="1"/>
  <c r="X2415" i="4"/>
  <c r="Z2415" i="4" s="1"/>
  <c r="Q2419" i="1"/>
  <c r="Q2413" i="5" s="1"/>
  <c r="Q2414" i="1"/>
  <c r="H2412" i="1"/>
  <c r="H2406" i="5" s="1"/>
  <c r="X2406" i="5" s="1"/>
  <c r="Z2406" i="5" s="1"/>
  <c r="Q2411" i="1"/>
  <c r="Q2408" i="1"/>
  <c r="J2407" i="1"/>
  <c r="J2405" i="1"/>
  <c r="J2403" i="1"/>
  <c r="J2401" i="1"/>
  <c r="Z2400" i="1"/>
  <c r="J2396" i="1"/>
  <c r="Q2395" i="1"/>
  <c r="X2389" i="4"/>
  <c r="Z2389" i="4" s="1"/>
  <c r="J2393" i="1"/>
  <c r="E2388" i="1"/>
  <c r="Q2385" i="1"/>
  <c r="Q2383" i="1"/>
  <c r="Q2381" i="1"/>
  <c r="J2378" i="1"/>
  <c r="J2376" i="1"/>
  <c r="Q2375" i="1"/>
  <c r="Q2369" i="5" s="1"/>
  <c r="X2369" i="4"/>
  <c r="Z2369" i="4" s="1"/>
  <c r="P2372" i="1"/>
  <c r="J2370" i="1"/>
  <c r="Q2368" i="1"/>
  <c r="U2364" i="1"/>
  <c r="X2363" i="1"/>
  <c r="Z2363" i="1" s="1"/>
  <c r="J2363" i="1"/>
  <c r="J2361" i="1"/>
  <c r="Z2360" i="1"/>
  <c r="Z2359" i="1"/>
  <c r="Q2356" i="1"/>
  <c r="X2350" i="4"/>
  <c r="Z2350" i="4" s="1"/>
  <c r="H2354" i="1"/>
  <c r="H2348" i="5" s="1"/>
  <c r="X2348" i="5" s="1"/>
  <c r="Z2348" i="5" s="1"/>
  <c r="Q2353" i="1"/>
  <c r="X2347" i="4"/>
  <c r="Z2347" i="4" s="1"/>
  <c r="H2351" i="1"/>
  <c r="H2345" i="5" s="1"/>
  <c r="X2345" i="5" s="1"/>
  <c r="Z2345" i="5" s="1"/>
  <c r="J2350" i="1"/>
  <c r="J2344" i="5" s="1"/>
  <c r="Q2344" i="1"/>
  <c r="X2338" i="4"/>
  <c r="Z2338" i="4" s="1"/>
  <c r="H2342" i="1"/>
  <c r="H2336" i="5" s="1"/>
  <c r="X2336" i="5" s="1"/>
  <c r="Z2336" i="5" s="1"/>
  <c r="H2341" i="1"/>
  <c r="H2335" i="5" s="1"/>
  <c r="X2335" i="5" s="1"/>
  <c r="Z2335" i="5" s="1"/>
  <c r="H2340" i="1"/>
  <c r="H2334" i="5" s="1"/>
  <c r="X2334" i="5" s="1"/>
  <c r="Z2334" i="5" s="1"/>
  <c r="H2339" i="1"/>
  <c r="H2333" i="5" s="1"/>
  <c r="X2333" i="5" s="1"/>
  <c r="Z2333" i="5" s="1"/>
  <c r="Q2338" i="1"/>
  <c r="J2334" i="1"/>
  <c r="J2332" i="1"/>
  <c r="Q2315" i="1"/>
  <c r="H2313" i="1"/>
  <c r="H2307" i="5" s="1"/>
  <c r="H2312" i="1"/>
  <c r="H2306" i="5" s="1"/>
  <c r="Q2311" i="1"/>
  <c r="Q2308" i="1"/>
  <c r="J2306" i="1"/>
  <c r="Q2305" i="1"/>
  <c r="Q2299" i="5" s="1"/>
  <c r="Q2291" i="1"/>
  <c r="J2289" i="1"/>
  <c r="M2288" i="1"/>
  <c r="M2284" i="5" s="1"/>
  <c r="M2287" i="1"/>
  <c r="M2283" i="5" s="1"/>
  <c r="H2282" i="1"/>
  <c r="H2278" i="5" s="1"/>
  <c r="X2278" i="5" s="1"/>
  <c r="Z2278" i="5" s="1"/>
  <c r="J2279" i="1"/>
  <c r="H2278" i="1"/>
  <c r="H2274" i="5" s="1"/>
  <c r="X2274" i="5" s="1"/>
  <c r="Z2274" i="5" s="1"/>
  <c r="Q2277" i="1"/>
  <c r="X2273" i="4"/>
  <c r="Z2273" i="4" s="1"/>
  <c r="Q2274" i="1"/>
  <c r="H2272" i="1"/>
  <c r="H2268" i="5" s="1"/>
  <c r="X2268" i="5" s="1"/>
  <c r="Z2268" i="5" s="1"/>
  <c r="Q2271" i="1"/>
  <c r="X2267" i="4"/>
  <c r="Z2267" i="4" s="1"/>
  <c r="F2266" i="1"/>
  <c r="Q2262" i="1"/>
  <c r="H2257" i="1"/>
  <c r="H2253" i="5" s="1"/>
  <c r="X2253" i="5" s="1"/>
  <c r="Z2253" i="5" s="1"/>
  <c r="Q2256" i="1"/>
  <c r="J2254" i="1"/>
  <c r="J2252" i="1"/>
  <c r="J2250" i="1"/>
  <c r="J2246" i="5" s="1"/>
  <c r="E2247" i="1"/>
  <c r="J2244" i="1"/>
  <c r="U2242" i="1"/>
  <c r="U2241" i="1"/>
  <c r="X2240" i="1"/>
  <c r="Z2240" i="1" s="1"/>
  <c r="J2240" i="1"/>
  <c r="J2237" i="1"/>
  <c r="J2234" i="1"/>
  <c r="J2232" i="1"/>
  <c r="Q2231" i="1"/>
  <c r="J2228" i="1"/>
  <c r="Q2227" i="1"/>
  <c r="Z2226" i="1"/>
  <c r="X2222" i="4"/>
  <c r="Z2222" i="4" s="1"/>
  <c r="Q2220" i="1"/>
  <c r="Q2218" i="1"/>
  <c r="U2216" i="1"/>
  <c r="Q2214" i="1"/>
  <c r="Q2209" i="1"/>
  <c r="X2205" i="4"/>
  <c r="Z2205" i="4" s="1"/>
  <c r="J2207" i="1"/>
  <c r="Q2206" i="1"/>
  <c r="X2202" i="4"/>
  <c r="Z2202" i="4" s="1"/>
  <c r="J2203" i="1"/>
  <c r="Q2202" i="1"/>
  <c r="X2198" i="4"/>
  <c r="Z2198" i="4" s="1"/>
  <c r="U2195" i="1"/>
  <c r="U2191" i="5" s="1"/>
  <c r="M2194" i="1"/>
  <c r="M2190" i="5" s="1"/>
  <c r="M2193" i="1"/>
  <c r="M2189" i="5" s="1"/>
  <c r="J2190" i="1"/>
  <c r="Q2189" i="1"/>
  <c r="Q2187" i="1"/>
  <c r="Q2185" i="1"/>
  <c r="Q2183" i="1"/>
  <c r="J2181" i="1"/>
  <c r="J2177" i="5" s="1"/>
  <c r="Q2180" i="1"/>
  <c r="Q2176" i="5" s="1"/>
  <c r="X2176" i="4"/>
  <c r="Z2176" i="4" s="1"/>
  <c r="P2177" i="1"/>
  <c r="J2175" i="1"/>
  <c r="H2174" i="1"/>
  <c r="H2170" i="5" s="1"/>
  <c r="X2170" i="5" s="1"/>
  <c r="Z2170" i="5" s="1"/>
  <c r="Q2173" i="1"/>
  <c r="Q2170" i="1"/>
  <c r="U2167" i="1"/>
  <c r="U2166" i="1"/>
  <c r="U2165" i="1"/>
  <c r="X2161" i="4"/>
  <c r="Z2161" i="4" s="1"/>
  <c r="X2164" i="1"/>
  <c r="Z2164" i="1" s="1"/>
  <c r="J2164" i="1"/>
  <c r="J2161" i="1"/>
  <c r="Z2158" i="1"/>
  <c r="J2154" i="1"/>
  <c r="Q2153" i="1"/>
  <c r="X2149" i="4"/>
  <c r="Z2149" i="4" s="1"/>
  <c r="Q2150" i="1"/>
  <c r="H2150" i="1"/>
  <c r="J2147" i="1"/>
  <c r="J2146" i="1"/>
  <c r="J2142" i="5" s="1"/>
  <c r="Q2145" i="1"/>
  <c r="Q2141" i="5" s="1"/>
  <c r="H2140" i="1"/>
  <c r="H2136" i="5" s="1"/>
  <c r="X2136" i="5" s="1"/>
  <c r="Q2139" i="1"/>
  <c r="H2139" i="1"/>
  <c r="H2135" i="5" s="1"/>
  <c r="X2135" i="5" s="1"/>
  <c r="Q2137" i="1"/>
  <c r="J2134" i="1"/>
  <c r="J2132" i="1"/>
  <c r="Z2131" i="1"/>
  <c r="Q2128" i="1"/>
  <c r="H2126" i="1"/>
  <c r="H2122" i="5" s="1"/>
  <c r="X2122" i="5" s="1"/>
  <c r="H2125" i="1"/>
  <c r="H2121" i="5" s="1"/>
  <c r="X2121" i="5" s="1"/>
  <c r="Q2124" i="1"/>
  <c r="H2124" i="1"/>
  <c r="H2120" i="5" s="1"/>
  <c r="X2120" i="5" s="1"/>
  <c r="J2121" i="1"/>
  <c r="Q2112" i="1"/>
  <c r="J2109" i="1"/>
  <c r="U2107" i="1"/>
  <c r="J2105" i="1"/>
  <c r="J2103" i="1"/>
  <c r="Q2100" i="1"/>
  <c r="Q2098" i="1"/>
  <c r="Q2095" i="1"/>
  <c r="J2093" i="1"/>
  <c r="J2090" i="1"/>
  <c r="J2086" i="5" s="1"/>
  <c r="X2080" i="1"/>
  <c r="Z2080" i="1" s="1"/>
  <c r="M2080" i="1"/>
  <c r="M2076" i="5" s="1"/>
  <c r="U2079" i="1"/>
  <c r="U2078" i="1"/>
  <c r="U2074" i="5" s="1"/>
  <c r="M2077" i="1"/>
  <c r="M2073" i="5" s="1"/>
  <c r="U2076" i="1"/>
  <c r="U2072" i="5" s="1"/>
  <c r="M2075" i="1"/>
  <c r="M2071" i="5" s="1"/>
  <c r="U2074" i="1"/>
  <c r="U2070" i="5" s="1"/>
  <c r="M2073" i="1"/>
  <c r="M2069" i="5" s="1"/>
  <c r="U2072" i="1"/>
  <c r="U2068" i="5" s="1"/>
  <c r="M2071" i="1"/>
  <c r="M2067" i="5" s="1"/>
  <c r="U2070" i="1"/>
  <c r="U2066" i="5" s="1"/>
  <c r="M2069" i="1"/>
  <c r="M2065" i="5" s="1"/>
  <c r="U2068" i="1"/>
  <c r="U2064" i="5" s="1"/>
  <c r="M2066" i="1"/>
  <c r="M2062" i="5" s="1"/>
  <c r="N2063" i="1"/>
  <c r="N2085" i="1" s="1"/>
  <c r="N2916" i="1" s="1"/>
  <c r="U2061" i="1"/>
  <c r="W2060" i="1"/>
  <c r="H2059" i="1"/>
  <c r="H2055" i="5" s="1"/>
  <c r="X2055" i="5" s="1"/>
  <c r="Z2055" i="5" s="1"/>
  <c r="M2058" i="1"/>
  <c r="M2054" i="5" s="1"/>
  <c r="P2045" i="1"/>
  <c r="P2041" i="5" s="1"/>
  <c r="M2039" i="1"/>
  <c r="M2035" i="5" s="1"/>
  <c r="H2038" i="1"/>
  <c r="H2034" i="5" s="1"/>
  <c r="X2034" i="5" s="1"/>
  <c r="Z2034" i="5" s="1"/>
  <c r="H2036" i="1"/>
  <c r="H2032" i="5" s="1"/>
  <c r="X2032" i="5" s="1"/>
  <c r="Z2032" i="5" s="1"/>
  <c r="H2031" i="1"/>
  <c r="U2030" i="1"/>
  <c r="U2026" i="5" s="1"/>
  <c r="H2011" i="1"/>
  <c r="H2007" i="5" s="1"/>
  <c r="X2007" i="5" s="1"/>
  <c r="H2009" i="1"/>
  <c r="H2005" i="5" s="1"/>
  <c r="X2005" i="5" s="1"/>
  <c r="P1991" i="1"/>
  <c r="M1988" i="1"/>
  <c r="M1984" i="5" s="1"/>
  <c r="U1987" i="1"/>
  <c r="U1983" i="5" s="1"/>
  <c r="M1986" i="1"/>
  <c r="M1982" i="5" s="1"/>
  <c r="U1985" i="1"/>
  <c r="U1981" i="5" s="1"/>
  <c r="M1984" i="1"/>
  <c r="M1980" i="5" s="1"/>
  <c r="U1983" i="1"/>
  <c r="U1979" i="5" s="1"/>
  <c r="M1982" i="1"/>
  <c r="M1978" i="5" s="1"/>
  <c r="U1981" i="1"/>
  <c r="U1977" i="5" s="1"/>
  <c r="M1980" i="1"/>
  <c r="M1976" i="5" s="1"/>
  <c r="U1979" i="1"/>
  <c r="U1975" i="5" s="1"/>
  <c r="Z1969" i="1"/>
  <c r="J1967" i="1"/>
  <c r="J1965" i="1"/>
  <c r="J1963" i="1"/>
  <c r="J1961" i="1"/>
  <c r="J1958" i="1"/>
  <c r="J1954" i="5" s="1"/>
  <c r="J1953" i="1"/>
  <c r="J1951" i="1"/>
  <c r="M1950" i="1"/>
  <c r="M1946" i="5" s="1"/>
  <c r="Q1946" i="1"/>
  <c r="H1942" i="1"/>
  <c r="H1938" i="5" s="1"/>
  <c r="X1938" i="5" s="1"/>
  <c r="Z1938" i="5" s="1"/>
  <c r="Q1941" i="1"/>
  <c r="X1937" i="4"/>
  <c r="Z1937" i="4" s="1"/>
  <c r="J1938" i="1"/>
  <c r="J1936" i="1"/>
  <c r="Q1935" i="1"/>
  <c r="X1931" i="4"/>
  <c r="Z1931" i="4" s="1"/>
  <c r="J1932" i="1"/>
  <c r="Q1931" i="1"/>
  <c r="H1931" i="1"/>
  <c r="H1927" i="5" s="1"/>
  <c r="X1927" i="5" s="1"/>
  <c r="Z1927" i="5" s="1"/>
  <c r="F1926" i="1"/>
  <c r="J1923" i="1"/>
  <c r="J1919" i="1"/>
  <c r="U1916" i="1"/>
  <c r="U1912" i="5" s="1"/>
  <c r="U1915" i="1"/>
  <c r="H1915" i="1"/>
  <c r="H1911" i="5" s="1"/>
  <c r="X1911" i="5" s="1"/>
  <c r="Z1911" i="5" s="1"/>
  <c r="J1913" i="1"/>
  <c r="H1912" i="1"/>
  <c r="H1908" i="5" s="1"/>
  <c r="X1908" i="5" s="1"/>
  <c r="Z1908" i="5" s="1"/>
  <c r="Q1911" i="1"/>
  <c r="J1908" i="1"/>
  <c r="H1907" i="1"/>
  <c r="H1903" i="5" s="1"/>
  <c r="X1903" i="5" s="1"/>
  <c r="Z1903" i="5" s="1"/>
  <c r="Q1906" i="1"/>
  <c r="Q1902" i="5" s="1"/>
  <c r="U1900" i="1"/>
  <c r="U1899" i="1"/>
  <c r="U1895" i="5" s="1"/>
  <c r="Q1895" i="1"/>
  <c r="Q1891" i="5" s="1"/>
  <c r="Z1894" i="1"/>
  <c r="Z1791" i="2" s="1"/>
  <c r="U1892" i="1"/>
  <c r="X1888" i="4"/>
  <c r="Z1888" i="4" s="1"/>
  <c r="X1890" i="1"/>
  <c r="Z1890" i="1" s="1"/>
  <c r="J1890" i="1"/>
  <c r="J1886" i="1"/>
  <c r="J1882" i="5" s="1"/>
  <c r="J1884" i="1"/>
  <c r="J1880" i="5" s="1"/>
  <c r="J1882" i="1"/>
  <c r="J1878" i="5" s="1"/>
  <c r="V1330" i="1"/>
  <c r="V1329" i="5" s="1"/>
  <c r="X1327" i="1"/>
  <c r="J1327" i="1"/>
  <c r="J1326" i="5" s="1"/>
  <c r="V1324" i="1"/>
  <c r="V1323" i="5" s="1"/>
  <c r="V1323" i="1"/>
  <c r="V1322" i="5" s="1"/>
  <c r="V1315" i="1"/>
  <c r="V1314" i="5" s="1"/>
  <c r="H1303" i="1"/>
  <c r="H1302" i="5" s="1"/>
  <c r="X1302" i="5" s="1"/>
  <c r="Z1302" i="5" s="1"/>
  <c r="V1263" i="1"/>
  <c r="V1262" i="5" s="1"/>
  <c r="X1262" i="1"/>
  <c r="J1262" i="1"/>
  <c r="J1261" i="5" s="1"/>
  <c r="V1255" i="1"/>
  <c r="V1254" i="5" s="1"/>
  <c r="X1254" i="1"/>
  <c r="J1254" i="1"/>
  <c r="J1253" i="5" s="1"/>
  <c r="X1243" i="1"/>
  <c r="J1243" i="1"/>
  <c r="J1242" i="5" s="1"/>
  <c r="M1241" i="1"/>
  <c r="M1240" i="5" s="1"/>
  <c r="Q1232" i="1"/>
  <c r="Q1231" i="5" s="1"/>
  <c r="Z1225" i="1"/>
  <c r="Z1224" i="5" s="1"/>
  <c r="U1210" i="1"/>
  <c r="U1208" i="1"/>
  <c r="U1207" i="5" s="1"/>
  <c r="U1185" i="1"/>
  <c r="U1184" i="5" s="1"/>
  <c r="X1181" i="1"/>
  <c r="U1164" i="1"/>
  <c r="U1163" i="5" s="1"/>
  <c r="U1161" i="1"/>
  <c r="U1160" i="5" s="1"/>
  <c r="Z1159" i="1"/>
  <c r="Z1108" i="2" s="1"/>
  <c r="U1157" i="1"/>
  <c r="Z1155" i="1"/>
  <c r="Z1104" i="2" s="1"/>
  <c r="U1153" i="1"/>
  <c r="U1152" i="5" s="1"/>
  <c r="Z1151" i="1"/>
  <c r="Z1100" i="2" s="1"/>
  <c r="U1115" i="1"/>
  <c r="U1114" i="5" s="1"/>
  <c r="N961" i="1"/>
  <c r="N2906" i="1" s="1"/>
  <c r="V712" i="1"/>
  <c r="V712" i="5" s="1"/>
  <c r="I639" i="1"/>
  <c r="K2565" i="4"/>
  <c r="Y2446" i="4"/>
  <c r="Y2410" i="4"/>
  <c r="J1419" i="4"/>
  <c r="P1344" i="2"/>
  <c r="P1414" i="4"/>
  <c r="F1344" i="2"/>
  <c r="F1414" i="4"/>
  <c r="P1337" i="2"/>
  <c r="P1407" i="4"/>
  <c r="H1337" i="2"/>
  <c r="H1407" i="4"/>
  <c r="E1330" i="2"/>
  <c r="E1400" i="4"/>
  <c r="H1329" i="2"/>
  <c r="H1399" i="4"/>
  <c r="U1326" i="2"/>
  <c r="U1395" i="4"/>
  <c r="P1325" i="2"/>
  <c r="P1394" i="4"/>
  <c r="P1324" i="2"/>
  <c r="P1393" i="4"/>
  <c r="F1323" i="2"/>
  <c r="F1392" i="4"/>
  <c r="P1321" i="2"/>
  <c r="P1390" i="4"/>
  <c r="E1321" i="2"/>
  <c r="E1390" i="4"/>
  <c r="P1318" i="2"/>
  <c r="P1387" i="4"/>
  <c r="P1317" i="2"/>
  <c r="P1386" i="4"/>
  <c r="P1316" i="2"/>
  <c r="P1385" i="4"/>
  <c r="P1315" i="2"/>
  <c r="P1384" i="4"/>
  <c r="P1314" i="2"/>
  <c r="P1383" i="4"/>
  <c r="P1313" i="2"/>
  <c r="P1382" i="4"/>
  <c r="P1312" i="2"/>
  <c r="P1381" i="4"/>
  <c r="E1312" i="2"/>
  <c r="E1381" i="4"/>
  <c r="F1310" i="2"/>
  <c r="F1379" i="4"/>
  <c r="H1304" i="2"/>
  <c r="H1373" i="4"/>
  <c r="P1294" i="2"/>
  <c r="P1359" i="4"/>
  <c r="F1294" i="2"/>
  <c r="F1359" i="4"/>
  <c r="P1291" i="2"/>
  <c r="P1356" i="4"/>
  <c r="E1291" i="2"/>
  <c r="E1356" i="4"/>
  <c r="H1290" i="2"/>
  <c r="H1355" i="4"/>
  <c r="H1289" i="2"/>
  <c r="H1354" i="4"/>
  <c r="H1288" i="2"/>
  <c r="H1353" i="4"/>
  <c r="P1282" i="2"/>
  <c r="P1347" i="4"/>
  <c r="P1281" i="2"/>
  <c r="P1346" i="4"/>
  <c r="P1280" i="2"/>
  <c r="P1345" i="4"/>
  <c r="E1280" i="2"/>
  <c r="E1345" i="4"/>
  <c r="E1278" i="2"/>
  <c r="E1343" i="4"/>
  <c r="H1277" i="2"/>
  <c r="H1342" i="4"/>
  <c r="P1272" i="2"/>
  <c r="P1337" i="4"/>
  <c r="E1272" i="2"/>
  <c r="E1337" i="4"/>
  <c r="H1271" i="2"/>
  <c r="H1336" i="4"/>
  <c r="H1270" i="2"/>
  <c r="H1335" i="4"/>
  <c r="H1269" i="2"/>
  <c r="H1334" i="4"/>
  <c r="H1268" i="2"/>
  <c r="H1333" i="4"/>
  <c r="H1267" i="2"/>
  <c r="H1330" i="4"/>
  <c r="H1266" i="2"/>
  <c r="H1329" i="4"/>
  <c r="P1261" i="2"/>
  <c r="P1324" i="4"/>
  <c r="E1261" i="2"/>
  <c r="E1324" i="4"/>
  <c r="H1260" i="2"/>
  <c r="H1323" i="4"/>
  <c r="H1259" i="2"/>
  <c r="H1322" i="4"/>
  <c r="P1256" i="2"/>
  <c r="P1319" i="4"/>
  <c r="F1256" i="2"/>
  <c r="F1319" i="4"/>
  <c r="P1249" i="2"/>
  <c r="P1312" i="4"/>
  <c r="H1249" i="2"/>
  <c r="H1312" i="4"/>
  <c r="P1244" i="2"/>
  <c r="P1307" i="4"/>
  <c r="F1307" i="4"/>
  <c r="F1244" i="2"/>
  <c r="P1240" i="2"/>
  <c r="P1303" i="4"/>
  <c r="P1238" i="2"/>
  <c r="P1301" i="4"/>
  <c r="F1238" i="2"/>
  <c r="F1301" i="4"/>
  <c r="P1234" i="2"/>
  <c r="P1297" i="4"/>
  <c r="P1233" i="2"/>
  <c r="P1296" i="4"/>
  <c r="F1233" i="2"/>
  <c r="F1296" i="4"/>
  <c r="P1229" i="2"/>
  <c r="P1292" i="4"/>
  <c r="E1229" i="2"/>
  <c r="E1292" i="4"/>
  <c r="H1228" i="2"/>
  <c r="H1291" i="4"/>
  <c r="H1227" i="2"/>
  <c r="H1290" i="4"/>
  <c r="H1226" i="2"/>
  <c r="H1289" i="4"/>
  <c r="H1225" i="2"/>
  <c r="H1288" i="4"/>
  <c r="P1222" i="2"/>
  <c r="P1285" i="4"/>
  <c r="P1221" i="2"/>
  <c r="P1284" i="4"/>
  <c r="H1221" i="2"/>
  <c r="H1284" i="4"/>
  <c r="P1216" i="2"/>
  <c r="P1279" i="4"/>
  <c r="F1216" i="2"/>
  <c r="F1279" i="4"/>
  <c r="H1215" i="2"/>
  <c r="H1275" i="4"/>
  <c r="H1270" i="4"/>
  <c r="H1211" i="2"/>
  <c r="H1210" i="2"/>
  <c r="H1269" i="4"/>
  <c r="H1209" i="2"/>
  <c r="H1268" i="4"/>
  <c r="E1207" i="2"/>
  <c r="E1266" i="4"/>
  <c r="H1206" i="2"/>
  <c r="H1265" i="4"/>
  <c r="H1205" i="2"/>
  <c r="H1264" i="4"/>
  <c r="E1201" i="2"/>
  <c r="E1260" i="4"/>
  <c r="H1200" i="2"/>
  <c r="H1259" i="4"/>
  <c r="H1199" i="2"/>
  <c r="H1258" i="4"/>
  <c r="P1191" i="2"/>
  <c r="P1250" i="4"/>
  <c r="P1190" i="2"/>
  <c r="P1249" i="4"/>
  <c r="F1190" i="2"/>
  <c r="F1249" i="4"/>
  <c r="E1188" i="2"/>
  <c r="E1247" i="4"/>
  <c r="E1183" i="2"/>
  <c r="E1242" i="4"/>
  <c r="H1182" i="2"/>
  <c r="H1241" i="4"/>
  <c r="P1179" i="2"/>
  <c r="P1233" i="4"/>
  <c r="F1179" i="2"/>
  <c r="F1233" i="4"/>
  <c r="P1176" i="2"/>
  <c r="P1230" i="4"/>
  <c r="P1175" i="2"/>
  <c r="P1229" i="4"/>
  <c r="P1174" i="2"/>
  <c r="P1228" i="4"/>
  <c r="P1173" i="2"/>
  <c r="P1227" i="4"/>
  <c r="H1172" i="2"/>
  <c r="H1226" i="4"/>
  <c r="J1227" i="1"/>
  <c r="J1226" i="5" s="1"/>
  <c r="P1171" i="2"/>
  <c r="P1225" i="4"/>
  <c r="V1226" i="1"/>
  <c r="V1225" i="5" s="1"/>
  <c r="U1170" i="2"/>
  <c r="U1224" i="4"/>
  <c r="M1168" i="2"/>
  <c r="M1222" i="4"/>
  <c r="H1167" i="2"/>
  <c r="H1221" i="4"/>
  <c r="J1222" i="1"/>
  <c r="J1221" i="5" s="1"/>
  <c r="E1166" i="2"/>
  <c r="E1220" i="4"/>
  <c r="J1164" i="2"/>
  <c r="J1218" i="4"/>
  <c r="U1157" i="2"/>
  <c r="U1211" i="4"/>
  <c r="H1155" i="2"/>
  <c r="H1207" i="4"/>
  <c r="M1208" i="1"/>
  <c r="M1207" i="5" s="1"/>
  <c r="X1208" i="1"/>
  <c r="X1207" i="5" s="1"/>
  <c r="F1152" i="2"/>
  <c r="F1204" i="4"/>
  <c r="P1151" i="2"/>
  <c r="P1203" i="4"/>
  <c r="X1204" i="1"/>
  <c r="X1203" i="5" s="1"/>
  <c r="E1151" i="2"/>
  <c r="E1203" i="4"/>
  <c r="Q1204" i="1"/>
  <c r="Q1203" i="5" s="1"/>
  <c r="U1149" i="2"/>
  <c r="U1201" i="4"/>
  <c r="F1148" i="2"/>
  <c r="F1160" i="2" s="1"/>
  <c r="F1200" i="4"/>
  <c r="H1201" i="1"/>
  <c r="H1200" i="5" s="1"/>
  <c r="X1146" i="2"/>
  <c r="X1198" i="4"/>
  <c r="P1146" i="2"/>
  <c r="U1199" i="1"/>
  <c r="U1198" i="5" s="1"/>
  <c r="P1198" i="4"/>
  <c r="H1146" i="2"/>
  <c r="H1198" i="4"/>
  <c r="X1145" i="2"/>
  <c r="X1197" i="4"/>
  <c r="P1144" i="2"/>
  <c r="P1196" i="4"/>
  <c r="U1197" i="1"/>
  <c r="U1196" i="5" s="1"/>
  <c r="P1215" i="1"/>
  <c r="P1131" i="2"/>
  <c r="P1182" i="4"/>
  <c r="P1127" i="2"/>
  <c r="P1178" i="4"/>
  <c r="U1179" i="1"/>
  <c r="U1178" i="5" s="1"/>
  <c r="P1126" i="2"/>
  <c r="P1177" i="4"/>
  <c r="H1124" i="2"/>
  <c r="H1175" i="4"/>
  <c r="M1176" i="1"/>
  <c r="M1175" i="5" s="1"/>
  <c r="M1123" i="2"/>
  <c r="M1174" i="4"/>
  <c r="AA1175" i="1"/>
  <c r="P1122" i="2"/>
  <c r="P1173" i="4"/>
  <c r="U1174" i="1"/>
  <c r="U1173" i="5" s="1"/>
  <c r="P1121" i="2"/>
  <c r="P1172" i="4"/>
  <c r="H1119" i="2"/>
  <c r="H1170" i="4"/>
  <c r="M1171" i="1"/>
  <c r="M1170" i="5" s="1"/>
  <c r="H1162" i="4"/>
  <c r="V1109" i="2"/>
  <c r="V1159" i="4"/>
  <c r="H1109" i="2"/>
  <c r="H1159" i="4"/>
  <c r="X1160" i="1"/>
  <c r="P1108" i="2"/>
  <c r="P1158" i="4"/>
  <c r="V1159" i="1"/>
  <c r="V1158" i="5" s="1"/>
  <c r="V1105" i="2"/>
  <c r="V1155" i="4"/>
  <c r="H1105" i="2"/>
  <c r="H1155" i="4"/>
  <c r="X1156" i="1"/>
  <c r="P1104" i="2"/>
  <c r="P1154" i="4"/>
  <c r="V1155" i="1"/>
  <c r="V1154" i="5" s="1"/>
  <c r="H1101" i="2"/>
  <c r="H1151" i="4"/>
  <c r="X1152" i="1"/>
  <c r="P1100" i="2"/>
  <c r="P1150" i="4"/>
  <c r="V1151" i="1"/>
  <c r="V1150" i="5" s="1"/>
  <c r="U1091" i="2"/>
  <c r="U1141" i="4"/>
  <c r="F1090" i="2"/>
  <c r="F1093" i="2" s="1"/>
  <c r="F1140" i="4"/>
  <c r="F1143" i="4" s="1"/>
  <c r="H1141" i="1"/>
  <c r="H1140" i="5" s="1"/>
  <c r="X1140" i="5" s="1"/>
  <c r="Z1140" i="5" s="1"/>
  <c r="U1083" i="2"/>
  <c r="U1133" i="4"/>
  <c r="U1075" i="2"/>
  <c r="U1124" i="4"/>
  <c r="M1073" i="2"/>
  <c r="M1122" i="4"/>
  <c r="M1071" i="2"/>
  <c r="M1120" i="4"/>
  <c r="V1068" i="2"/>
  <c r="V1117" i="4"/>
  <c r="H1068" i="2"/>
  <c r="H1117" i="4"/>
  <c r="X1118" i="1"/>
  <c r="P1067" i="2"/>
  <c r="P1116" i="4"/>
  <c r="V1117" i="1"/>
  <c r="V1116" i="5" s="1"/>
  <c r="V1064" i="2"/>
  <c r="V1113" i="4"/>
  <c r="H1064" i="2"/>
  <c r="H1113" i="4"/>
  <c r="X1114" i="1"/>
  <c r="P1062" i="2"/>
  <c r="P1111" i="4"/>
  <c r="V1112" i="1"/>
  <c r="V1111" i="5" s="1"/>
  <c r="E1054" i="2"/>
  <c r="E1102" i="4"/>
  <c r="W1103" i="1"/>
  <c r="W1102" i="5" s="1"/>
  <c r="P1053" i="2"/>
  <c r="P1101" i="4"/>
  <c r="U1102" i="1"/>
  <c r="U1101" i="5" s="1"/>
  <c r="V1102" i="1"/>
  <c r="V1101" i="5" s="1"/>
  <c r="H1052" i="2"/>
  <c r="H1100" i="4"/>
  <c r="M1101" i="1"/>
  <c r="M1100" i="5" s="1"/>
  <c r="X1101" i="1"/>
  <c r="P1051" i="2"/>
  <c r="P1099" i="4"/>
  <c r="U1100" i="1"/>
  <c r="U1099" i="5" s="1"/>
  <c r="V1100" i="1"/>
  <c r="E1051" i="2"/>
  <c r="E1099" i="4"/>
  <c r="E1107" i="1"/>
  <c r="P1050" i="2"/>
  <c r="P1098" i="4"/>
  <c r="U1099" i="1"/>
  <c r="U1098" i="5" s="1"/>
  <c r="V1099" i="1"/>
  <c r="V1098" i="5" s="1"/>
  <c r="H1049" i="2"/>
  <c r="H1097" i="4"/>
  <c r="M1098" i="1"/>
  <c r="M1097" i="5" s="1"/>
  <c r="X1098" i="1"/>
  <c r="P1048" i="2"/>
  <c r="P1096" i="4"/>
  <c r="U1097" i="1"/>
  <c r="U1096" i="5" s="1"/>
  <c r="V1097" i="1"/>
  <c r="V1096" i="5" s="1"/>
  <c r="H1047" i="2"/>
  <c r="H1095" i="4"/>
  <c r="M1096" i="1"/>
  <c r="M1095" i="5" s="1"/>
  <c r="X1096" i="1"/>
  <c r="P1046" i="2"/>
  <c r="P1094" i="4"/>
  <c r="U1095" i="1"/>
  <c r="U1094" i="5" s="1"/>
  <c r="V1095" i="1"/>
  <c r="V1094" i="5" s="1"/>
  <c r="H1045" i="2"/>
  <c r="H1093" i="4"/>
  <c r="M1094" i="1"/>
  <c r="M1093" i="5" s="1"/>
  <c r="X1094" i="1"/>
  <c r="P1044" i="2"/>
  <c r="P1092" i="4"/>
  <c r="U1093" i="1"/>
  <c r="U1092" i="5" s="1"/>
  <c r="V1093" i="1"/>
  <c r="V1092" i="5" s="1"/>
  <c r="H1043" i="2"/>
  <c r="H1091" i="4"/>
  <c r="M1092" i="1"/>
  <c r="M1091" i="5" s="1"/>
  <c r="X1092" i="1"/>
  <c r="P1090" i="4"/>
  <c r="P1042" i="2"/>
  <c r="U1091" i="1"/>
  <c r="U1090" i="5" s="1"/>
  <c r="U1106" i="5" s="1"/>
  <c r="V1091" i="1"/>
  <c r="V1090" i="5" s="1"/>
  <c r="H1041" i="2"/>
  <c r="H1089" i="4"/>
  <c r="M1090" i="1"/>
  <c r="M1089" i="5" s="1"/>
  <c r="X1090" i="1"/>
  <c r="P1035" i="2"/>
  <c r="P1083" i="4"/>
  <c r="U1084" i="1"/>
  <c r="U1083" i="5" s="1"/>
  <c r="V1084" i="1"/>
  <c r="V1083" i="5" s="1"/>
  <c r="E982" i="2"/>
  <c r="E1027" i="4"/>
  <c r="P981" i="2"/>
  <c r="P1026" i="4"/>
  <c r="V1027" i="1"/>
  <c r="V1026" i="5" s="1"/>
  <c r="V975" i="2"/>
  <c r="V1020" i="4"/>
  <c r="H975" i="2"/>
  <c r="H1020" i="4"/>
  <c r="X1021" i="1"/>
  <c r="P974" i="2"/>
  <c r="P1019" i="4"/>
  <c r="V1020" i="1"/>
  <c r="V1019" i="5" s="1"/>
  <c r="V965" i="2"/>
  <c r="V1008" i="4"/>
  <c r="H965" i="2"/>
  <c r="H1008" i="4"/>
  <c r="X1009" i="1"/>
  <c r="P964" i="2"/>
  <c r="P1007" i="4"/>
  <c r="V1008" i="1"/>
  <c r="V1007" i="5" s="1"/>
  <c r="P939" i="2"/>
  <c r="P982" i="4"/>
  <c r="V983" i="1"/>
  <c r="V982" i="5" s="1"/>
  <c r="U935" i="2"/>
  <c r="U977" i="4"/>
  <c r="U932" i="2"/>
  <c r="U974" i="4"/>
  <c r="H929" i="2"/>
  <c r="H971" i="4"/>
  <c r="X972" i="1"/>
  <c r="X971" i="5" s="1"/>
  <c r="P928" i="2"/>
  <c r="P970" i="4"/>
  <c r="V971" i="1"/>
  <c r="V970" i="5" s="1"/>
  <c r="H916" i="2"/>
  <c r="H910" i="2"/>
  <c r="H953" i="4"/>
  <c r="J953" i="1"/>
  <c r="J953" i="5" s="1"/>
  <c r="J956" i="5" s="1"/>
  <c r="M953" i="1"/>
  <c r="M953" i="5" s="1"/>
  <c r="M956" i="5" s="1"/>
  <c r="V901" i="2"/>
  <c r="V944" i="4"/>
  <c r="W944" i="1"/>
  <c r="W944" i="5" s="1"/>
  <c r="W947" i="5" s="1"/>
  <c r="V947" i="1"/>
  <c r="M901" i="2"/>
  <c r="M944" i="4"/>
  <c r="M947" i="1"/>
  <c r="P896" i="2"/>
  <c r="P939" i="4"/>
  <c r="U939" i="1"/>
  <c r="U939" i="5" s="1"/>
  <c r="V939" i="1"/>
  <c r="V939" i="5" s="1"/>
  <c r="F895" i="2"/>
  <c r="F938" i="4"/>
  <c r="E887" i="2"/>
  <c r="E930" i="4"/>
  <c r="Q930" i="1"/>
  <c r="Q930" i="5" s="1"/>
  <c r="Q886" i="2"/>
  <c r="Q929" i="4"/>
  <c r="U884" i="2"/>
  <c r="U927" i="4"/>
  <c r="J884" i="2"/>
  <c r="J927" i="4"/>
  <c r="E882" i="2"/>
  <c r="E925" i="4"/>
  <c r="U877" i="2"/>
  <c r="U920" i="4"/>
  <c r="H877" i="2"/>
  <c r="H920" i="4"/>
  <c r="M920" i="1"/>
  <c r="M920" i="5" s="1"/>
  <c r="M875" i="2"/>
  <c r="M918" i="4"/>
  <c r="E873" i="2"/>
  <c r="E914" i="4"/>
  <c r="U870" i="2"/>
  <c r="U910" i="4"/>
  <c r="H870" i="2"/>
  <c r="H910" i="4"/>
  <c r="M910" i="1"/>
  <c r="M910" i="5" s="1"/>
  <c r="Q869" i="2"/>
  <c r="Q909" i="4"/>
  <c r="F864" i="2"/>
  <c r="F904" i="4"/>
  <c r="H904" i="1"/>
  <c r="U861" i="2"/>
  <c r="U901" i="4"/>
  <c r="J861" i="2"/>
  <c r="J901" i="4"/>
  <c r="P853" i="2"/>
  <c r="P893" i="4"/>
  <c r="Q893" i="1"/>
  <c r="Q893" i="5" s="1"/>
  <c r="X893" i="1"/>
  <c r="U893" i="1"/>
  <c r="U893" i="5" s="1"/>
  <c r="P892" i="4"/>
  <c r="P852" i="2"/>
  <c r="U892" i="1"/>
  <c r="U892" i="5" s="1"/>
  <c r="V848" i="2"/>
  <c r="V887" i="4"/>
  <c r="W887" i="1"/>
  <c r="W887" i="5" s="1"/>
  <c r="M848" i="2"/>
  <c r="M887" i="4"/>
  <c r="V846" i="2"/>
  <c r="V885" i="4"/>
  <c r="W885" i="1"/>
  <c r="W885" i="5" s="1"/>
  <c r="M846" i="2"/>
  <c r="M885" i="4"/>
  <c r="V844" i="2"/>
  <c r="V883" i="4"/>
  <c r="W883" i="1"/>
  <c r="W883" i="5" s="1"/>
  <c r="M844" i="2"/>
  <c r="M883" i="4"/>
  <c r="H841" i="2"/>
  <c r="H880" i="4"/>
  <c r="J880" i="1"/>
  <c r="J880" i="5" s="1"/>
  <c r="M880" i="1"/>
  <c r="M880" i="5" s="1"/>
  <c r="V837" i="2"/>
  <c r="V876" i="4"/>
  <c r="W876" i="1"/>
  <c r="W876" i="5" s="1"/>
  <c r="M837" i="2"/>
  <c r="M876" i="4"/>
  <c r="P836" i="2"/>
  <c r="P875" i="4"/>
  <c r="X875" i="1"/>
  <c r="U875" i="1"/>
  <c r="U875" i="5" s="1"/>
  <c r="E836" i="2"/>
  <c r="E875" i="4"/>
  <c r="Q875" i="1"/>
  <c r="Q875" i="5" s="1"/>
  <c r="E895" i="1"/>
  <c r="H869" i="4"/>
  <c r="J869" i="1"/>
  <c r="M869" i="1"/>
  <c r="M869" i="5" s="1"/>
  <c r="X869" i="1"/>
  <c r="Z869" i="1" s="1"/>
  <c r="P867" i="4"/>
  <c r="V867" i="1"/>
  <c r="V830" i="2"/>
  <c r="V866" i="4"/>
  <c r="J830" i="2"/>
  <c r="J866" i="4"/>
  <c r="P864" i="4"/>
  <c r="V864" i="1"/>
  <c r="V828" i="2"/>
  <c r="V863" i="4"/>
  <c r="J828" i="2"/>
  <c r="J863" i="4"/>
  <c r="E823" i="2"/>
  <c r="E858" i="4"/>
  <c r="Q858" i="1"/>
  <c r="Q858" i="5" s="1"/>
  <c r="Q822" i="2"/>
  <c r="Q857" i="4"/>
  <c r="U819" i="2"/>
  <c r="U854" i="4"/>
  <c r="H819" i="2"/>
  <c r="H854" i="4"/>
  <c r="M854" i="1"/>
  <c r="M854" i="5" s="1"/>
  <c r="Q818" i="2"/>
  <c r="Q853" i="4"/>
  <c r="H814" i="2"/>
  <c r="H849" i="4"/>
  <c r="J849" i="1"/>
  <c r="J849" i="5" s="1"/>
  <c r="M849" i="1"/>
  <c r="M849" i="5" s="1"/>
  <c r="U813" i="2"/>
  <c r="U848" i="4"/>
  <c r="H813" i="2"/>
  <c r="H848" i="4"/>
  <c r="M848" i="1"/>
  <c r="M848" i="5" s="1"/>
  <c r="H806" i="2"/>
  <c r="H841" i="4"/>
  <c r="J841" i="1"/>
  <c r="J841" i="5" s="1"/>
  <c r="M841" i="1"/>
  <c r="M841" i="5" s="1"/>
  <c r="F803" i="2"/>
  <c r="F837" i="4"/>
  <c r="F799" i="2"/>
  <c r="F833" i="4"/>
  <c r="F844" i="1"/>
  <c r="J797" i="2"/>
  <c r="J831" i="4"/>
  <c r="P793" i="2"/>
  <c r="P827" i="4"/>
  <c r="U827" i="1"/>
  <c r="U827" i="5" s="1"/>
  <c r="V827" i="1"/>
  <c r="V827" i="5" s="1"/>
  <c r="V792" i="2"/>
  <c r="V826" i="4"/>
  <c r="W826" i="1"/>
  <c r="W826" i="5" s="1"/>
  <c r="M792" i="2"/>
  <c r="M826" i="4"/>
  <c r="P787" i="2"/>
  <c r="P821" i="4"/>
  <c r="U821" i="1"/>
  <c r="U821" i="5" s="1"/>
  <c r="V821" i="1"/>
  <c r="V821" i="5" s="1"/>
  <c r="U785" i="2"/>
  <c r="U819" i="4"/>
  <c r="J785" i="2"/>
  <c r="J819" i="4"/>
  <c r="E781" i="2"/>
  <c r="Q815" i="1"/>
  <c r="Q815" i="5" s="1"/>
  <c r="Q780" i="2"/>
  <c r="Q814" i="4"/>
  <c r="F776" i="2"/>
  <c r="F810" i="4"/>
  <c r="H810" i="1"/>
  <c r="H810" i="5" s="1"/>
  <c r="X810" i="5" s="1"/>
  <c r="Z810" i="5" s="1"/>
  <c r="F823" i="1"/>
  <c r="H774" i="2"/>
  <c r="H808" i="4"/>
  <c r="J808" i="1"/>
  <c r="J808" i="5" s="1"/>
  <c r="M808" i="1"/>
  <c r="M808" i="5" s="1"/>
  <c r="H773" i="2"/>
  <c r="H807" i="4"/>
  <c r="M807" i="1"/>
  <c r="M807" i="5" s="1"/>
  <c r="U771" i="2"/>
  <c r="U805" i="4"/>
  <c r="J771" i="2"/>
  <c r="J805" i="4"/>
  <c r="H766" i="2"/>
  <c r="H800" i="4"/>
  <c r="J800" i="1"/>
  <c r="J800" i="5" s="1"/>
  <c r="M800" i="1"/>
  <c r="M800" i="5" s="1"/>
  <c r="H757" i="2"/>
  <c r="H790" i="4"/>
  <c r="J790" i="1"/>
  <c r="J790" i="5" s="1"/>
  <c r="M790" i="1"/>
  <c r="M790" i="5" s="1"/>
  <c r="P752" i="2"/>
  <c r="P785" i="4"/>
  <c r="U785" i="1"/>
  <c r="U785" i="5" s="1"/>
  <c r="V785" i="1"/>
  <c r="V785" i="5" s="1"/>
  <c r="I746" i="2"/>
  <c r="I748" i="2" s="1"/>
  <c r="I779" i="4"/>
  <c r="I781" i="4" s="1"/>
  <c r="U745" i="2"/>
  <c r="U778" i="4"/>
  <c r="H745" i="2"/>
  <c r="H778" i="4"/>
  <c r="M778" i="1"/>
  <c r="M778" i="5" s="1"/>
  <c r="U744" i="2"/>
  <c r="U776" i="4"/>
  <c r="J744" i="2"/>
  <c r="J776" i="4"/>
  <c r="V775" i="4"/>
  <c r="W775" i="1"/>
  <c r="H775" i="4"/>
  <c r="M775" i="1"/>
  <c r="M775" i="5" s="1"/>
  <c r="X775" i="1"/>
  <c r="Z775" i="1" s="1"/>
  <c r="Q743" i="2"/>
  <c r="Q774" i="4"/>
  <c r="U739" i="2"/>
  <c r="U770" i="4"/>
  <c r="M738" i="2"/>
  <c r="M769" i="4"/>
  <c r="U735" i="2"/>
  <c r="U766" i="4"/>
  <c r="J735" i="2"/>
  <c r="J766" i="4"/>
  <c r="E733" i="2"/>
  <c r="E764" i="4"/>
  <c r="W764" i="1"/>
  <c r="W764" i="5" s="1"/>
  <c r="Q764" i="1"/>
  <c r="Q764" i="5" s="1"/>
  <c r="V732" i="2"/>
  <c r="V763" i="4"/>
  <c r="M731" i="2"/>
  <c r="M762" i="4"/>
  <c r="E731" i="2"/>
  <c r="E762" i="4"/>
  <c r="W762" i="1"/>
  <c r="W762" i="5" s="1"/>
  <c r="Q762" i="1"/>
  <c r="Q762" i="5" s="1"/>
  <c r="Z762" i="1"/>
  <c r="Z731" i="2" s="1"/>
  <c r="U723" i="2"/>
  <c r="U754" i="4"/>
  <c r="J723" i="2"/>
  <c r="J754" i="4"/>
  <c r="M720" i="2"/>
  <c r="M751" i="4"/>
  <c r="AA751" i="1"/>
  <c r="AA751" i="5" s="1"/>
  <c r="V718" i="2"/>
  <c r="V749" i="4"/>
  <c r="K718" i="2"/>
  <c r="K749" i="4"/>
  <c r="K756" i="1"/>
  <c r="P715" i="2"/>
  <c r="P746" i="4"/>
  <c r="U746" i="1"/>
  <c r="U746" i="5" s="1"/>
  <c r="Q746" i="1"/>
  <c r="Q746" i="5" s="1"/>
  <c r="P756" i="1"/>
  <c r="V710" i="2"/>
  <c r="V741" i="4"/>
  <c r="W741" i="1"/>
  <c r="W741" i="5" s="1"/>
  <c r="M710" i="2"/>
  <c r="M741" i="4"/>
  <c r="U708" i="2"/>
  <c r="U739" i="4"/>
  <c r="J708" i="2"/>
  <c r="J739" i="4"/>
  <c r="AA707" i="2"/>
  <c r="AA738" i="4"/>
  <c r="M705" i="2"/>
  <c r="M735" i="4"/>
  <c r="X703" i="2"/>
  <c r="Z733" i="1"/>
  <c r="Z703" i="2" s="1"/>
  <c r="H703" i="2"/>
  <c r="H733" i="4"/>
  <c r="M733" i="1"/>
  <c r="M733" i="5" s="1"/>
  <c r="J733" i="1"/>
  <c r="J733" i="5" s="1"/>
  <c r="U701" i="2"/>
  <c r="U731" i="4"/>
  <c r="Q699" i="2"/>
  <c r="Q729" i="4"/>
  <c r="E695" i="2"/>
  <c r="E725" i="4"/>
  <c r="Q725" i="1"/>
  <c r="Q725" i="5" s="1"/>
  <c r="W725" i="1"/>
  <c r="W725" i="5" s="1"/>
  <c r="Z725" i="1"/>
  <c r="Z695" i="2" s="1"/>
  <c r="Q691" i="2"/>
  <c r="Q721" i="4"/>
  <c r="V690" i="2"/>
  <c r="V720" i="4"/>
  <c r="W720" i="1"/>
  <c r="W720" i="5" s="1"/>
  <c r="P681" i="2"/>
  <c r="P711" i="4"/>
  <c r="U711" i="1"/>
  <c r="U711" i="5" s="1"/>
  <c r="Q711" i="1"/>
  <c r="Q711" i="5" s="1"/>
  <c r="X711" i="1"/>
  <c r="P679" i="2"/>
  <c r="P709" i="4"/>
  <c r="U709" i="1"/>
  <c r="U709" i="5" s="1"/>
  <c r="X709" i="1"/>
  <c r="E679" i="2"/>
  <c r="E709" i="4"/>
  <c r="Q709" i="1"/>
  <c r="Q709" i="5" s="1"/>
  <c r="P699" i="4"/>
  <c r="P669" i="2"/>
  <c r="V699" i="1"/>
  <c r="V699" i="5" s="1"/>
  <c r="U699" i="1"/>
  <c r="U699" i="5" s="1"/>
  <c r="Q699" i="1"/>
  <c r="Q699" i="5" s="1"/>
  <c r="V668" i="2"/>
  <c r="V698" i="4"/>
  <c r="K668" i="2"/>
  <c r="K698" i="4"/>
  <c r="M687" i="4"/>
  <c r="M656" i="2"/>
  <c r="M686" i="4"/>
  <c r="J655" i="2"/>
  <c r="J685" i="4"/>
  <c r="X654" i="2"/>
  <c r="Z682" i="1"/>
  <c r="Z654" i="2" s="1"/>
  <c r="M653" i="2"/>
  <c r="M681" i="4"/>
  <c r="AA681" i="1"/>
  <c r="AA681" i="5" s="1"/>
  <c r="X648" i="2"/>
  <c r="U643" i="2"/>
  <c r="U671" i="4"/>
  <c r="H642" i="2"/>
  <c r="H670" i="4"/>
  <c r="M670" i="1"/>
  <c r="M670" i="5" s="1"/>
  <c r="J670" i="1"/>
  <c r="J670" i="5" s="1"/>
  <c r="V639" i="2"/>
  <c r="V667" i="4"/>
  <c r="J639" i="2"/>
  <c r="J667" i="4"/>
  <c r="M628" i="2"/>
  <c r="M656" i="4"/>
  <c r="V624" i="2"/>
  <c r="V652" i="4"/>
  <c r="J624" i="2"/>
  <c r="J652" i="4"/>
  <c r="P621" i="2"/>
  <c r="P649" i="4"/>
  <c r="V649" i="1"/>
  <c r="V649" i="5" s="1"/>
  <c r="X608" i="2"/>
  <c r="Z632" i="1"/>
  <c r="Z633" i="5" s="1"/>
  <c r="X604" i="2"/>
  <c r="Z628" i="1"/>
  <c r="Z629" i="5" s="1"/>
  <c r="F595" i="2"/>
  <c r="F600" i="2" s="1"/>
  <c r="F619" i="4"/>
  <c r="F625" i="4" s="1"/>
  <c r="H618" i="1"/>
  <c r="H619" i="5" s="1"/>
  <c r="X619" i="5" s="1"/>
  <c r="Z619" i="5" s="1"/>
  <c r="F624" i="1"/>
  <c r="M591" i="2"/>
  <c r="M615" i="4"/>
  <c r="U588" i="2"/>
  <c r="U612" i="4"/>
  <c r="X587" i="2"/>
  <c r="Z610" i="1"/>
  <c r="H580" i="2"/>
  <c r="H604" i="4"/>
  <c r="X603" i="1"/>
  <c r="X580" i="2" s="1"/>
  <c r="M603" i="1"/>
  <c r="M604" i="5" s="1"/>
  <c r="P575" i="2"/>
  <c r="P599" i="4"/>
  <c r="V598" i="1"/>
  <c r="V599" i="5" s="1"/>
  <c r="X598" i="1"/>
  <c r="M574" i="2"/>
  <c r="M598" i="4"/>
  <c r="W570" i="2"/>
  <c r="W594" i="4"/>
  <c r="H558" i="2"/>
  <c r="H579" i="4"/>
  <c r="X578" i="1"/>
  <c r="M578" i="1"/>
  <c r="M579" i="5" s="1"/>
  <c r="N555" i="2"/>
  <c r="N565" i="2" s="1"/>
  <c r="N576" i="4"/>
  <c r="N589" i="4" s="1"/>
  <c r="N588" i="1"/>
  <c r="X554" i="2"/>
  <c r="Z574" i="1"/>
  <c r="Z554" i="2" s="1"/>
  <c r="P547" i="2"/>
  <c r="P568" i="4"/>
  <c r="V567" i="1"/>
  <c r="V568" i="5" s="1"/>
  <c r="U567" i="1"/>
  <c r="U568" i="5" s="1"/>
  <c r="X567" i="1"/>
  <c r="M535" i="2"/>
  <c r="M554" i="4"/>
  <c r="U533" i="2"/>
  <c r="U552" i="4"/>
  <c r="X532" i="2"/>
  <c r="Z552" i="1"/>
  <c r="Z532" i="2" s="1"/>
  <c r="V531" i="2"/>
  <c r="V550" i="4"/>
  <c r="W551" i="1"/>
  <c r="W550" i="5" s="1"/>
  <c r="X522" i="2"/>
  <c r="Z542" i="1"/>
  <c r="Z522" i="2" s="1"/>
  <c r="H522" i="2"/>
  <c r="H541" i="4"/>
  <c r="M542" i="1"/>
  <c r="M541" i="5" s="1"/>
  <c r="P513" i="2"/>
  <c r="P533" i="4"/>
  <c r="V534" i="1"/>
  <c r="V533" i="5" s="1"/>
  <c r="U534" i="1"/>
  <c r="X534" i="1"/>
  <c r="H510" i="2"/>
  <c r="H530" i="4"/>
  <c r="X531" i="1"/>
  <c r="M531" i="1"/>
  <c r="M530" i="5" s="1"/>
  <c r="V531" i="1"/>
  <c r="V530" i="5" s="1"/>
  <c r="H499" i="2"/>
  <c r="H519" i="4"/>
  <c r="X520" i="1"/>
  <c r="M520" i="1"/>
  <c r="M519" i="5" s="1"/>
  <c r="V520" i="1"/>
  <c r="V519" i="5" s="1"/>
  <c r="P494" i="2"/>
  <c r="P514" i="4"/>
  <c r="V515" i="1"/>
  <c r="V514" i="5" s="1"/>
  <c r="U515" i="1"/>
  <c r="U514" i="5" s="1"/>
  <c r="X515" i="1"/>
  <c r="M486" i="2"/>
  <c r="M506" i="4"/>
  <c r="P473" i="2"/>
  <c r="P493" i="4"/>
  <c r="V494" i="1"/>
  <c r="V493" i="5" s="1"/>
  <c r="X494" i="1"/>
  <c r="P501" i="1"/>
  <c r="AA472" i="2"/>
  <c r="AA492" i="4"/>
  <c r="M472" i="2"/>
  <c r="M492" i="4"/>
  <c r="M501" i="1"/>
  <c r="AA471" i="2"/>
  <c r="AA491" i="4"/>
  <c r="AB492" i="1"/>
  <c r="AB491" i="5" s="1"/>
  <c r="H465" i="2"/>
  <c r="H485" i="4"/>
  <c r="X486" i="1"/>
  <c r="M486" i="1"/>
  <c r="M485" i="5" s="1"/>
  <c r="U450" i="2"/>
  <c r="U470" i="4"/>
  <c r="X449" i="2"/>
  <c r="Z470" i="1"/>
  <c r="Z449" i="2" s="1"/>
  <c r="V448" i="2"/>
  <c r="V468" i="4"/>
  <c r="W469" i="1"/>
  <c r="W468" i="5" s="1"/>
  <c r="M445" i="2"/>
  <c r="M465" i="4"/>
  <c r="U442" i="2"/>
  <c r="U462" i="4"/>
  <c r="Z462" i="1"/>
  <c r="Z441" i="2" s="1"/>
  <c r="V440" i="2"/>
  <c r="V460" i="4"/>
  <c r="W461" i="1"/>
  <c r="W460" i="5" s="1"/>
  <c r="M435" i="2"/>
  <c r="M455" i="4"/>
  <c r="U432" i="2"/>
  <c r="U452" i="4"/>
  <c r="X431" i="2"/>
  <c r="Z452" i="1"/>
  <c r="Z451" i="5" s="1"/>
  <c r="V430" i="2"/>
  <c r="V450" i="4"/>
  <c r="W451" i="1"/>
  <c r="W450" i="5" s="1"/>
  <c r="X423" i="2"/>
  <c r="X443" i="4"/>
  <c r="Z444" i="1"/>
  <c r="Z443" i="5" s="1"/>
  <c r="M423" i="2"/>
  <c r="M443" i="4"/>
  <c r="AA444" i="1"/>
  <c r="AA443" i="5" s="1"/>
  <c r="H438" i="4"/>
  <c r="X439" i="1"/>
  <c r="X438" i="5" s="1"/>
  <c r="M439" i="1"/>
  <c r="M438" i="5" s="1"/>
  <c r="V439" i="1"/>
  <c r="V438" i="5" s="1"/>
  <c r="P399" i="2"/>
  <c r="P417" i="4"/>
  <c r="U418" i="1"/>
  <c r="U417" i="5" s="1"/>
  <c r="X418" i="1"/>
  <c r="U391" i="2"/>
  <c r="U409" i="4"/>
  <c r="P390" i="2"/>
  <c r="P408" i="4"/>
  <c r="X409" i="1"/>
  <c r="P420" i="1"/>
  <c r="Z389" i="2"/>
  <c r="Z407" i="4"/>
  <c r="M389" i="2"/>
  <c r="M407" i="4"/>
  <c r="AA408" i="1"/>
  <c r="AA407" i="5" s="1"/>
  <c r="Z388" i="2"/>
  <c r="Z406" i="4"/>
  <c r="J388" i="2"/>
  <c r="J406" i="4"/>
  <c r="U395" i="4"/>
  <c r="AA396" i="1"/>
  <c r="AA395" i="5" s="1"/>
  <c r="F376" i="2"/>
  <c r="F392" i="4"/>
  <c r="H393" i="1"/>
  <c r="H392" i="5" s="1"/>
  <c r="X392" i="5" s="1"/>
  <c r="Z392" i="5" s="1"/>
  <c r="U371" i="2"/>
  <c r="U387" i="4"/>
  <c r="M370" i="2"/>
  <c r="M386" i="4"/>
  <c r="X335" i="2"/>
  <c r="Z349" i="1"/>
  <c r="Z335" i="2" s="1"/>
  <c r="M347" i="4"/>
  <c r="E334" i="2"/>
  <c r="E347" i="4"/>
  <c r="E370" i="1"/>
  <c r="P275" i="4"/>
  <c r="U276" i="1"/>
  <c r="U245" i="2"/>
  <c r="U255" i="4"/>
  <c r="U219" i="2"/>
  <c r="U230" i="4"/>
  <c r="P210" i="2"/>
  <c r="P219" i="4"/>
  <c r="X219" i="1"/>
  <c r="U219" i="1"/>
  <c r="I202" i="2"/>
  <c r="I211" i="4"/>
  <c r="K211" i="1"/>
  <c r="K211" i="5" s="1"/>
  <c r="I197" i="2"/>
  <c r="I206" i="4"/>
  <c r="K206" i="1"/>
  <c r="K206" i="5" s="1"/>
  <c r="H187" i="2"/>
  <c r="H195" i="4"/>
  <c r="I195" i="1"/>
  <c r="I195" i="5" s="1"/>
  <c r="M195" i="1"/>
  <c r="M195" i="5" s="1"/>
  <c r="X195" i="1"/>
  <c r="U174" i="2"/>
  <c r="U182" i="4"/>
  <c r="U173" i="2"/>
  <c r="U181" i="4"/>
  <c r="AA181" i="1"/>
  <c r="AA181" i="5" s="1"/>
  <c r="U170" i="2"/>
  <c r="U178" i="4"/>
  <c r="U166" i="2"/>
  <c r="U174" i="4"/>
  <c r="H154" i="2"/>
  <c r="H162" i="4"/>
  <c r="X162" i="1"/>
  <c r="M162" i="1"/>
  <c r="M162" i="5" s="1"/>
  <c r="V162" i="1"/>
  <c r="V162" i="5" s="1"/>
  <c r="M152" i="2"/>
  <c r="M159" i="4"/>
  <c r="U91" i="2"/>
  <c r="U96" i="4"/>
  <c r="V78" i="2"/>
  <c r="V82" i="4"/>
  <c r="W82" i="1"/>
  <c r="W82" i="5" s="1"/>
  <c r="M76" i="2"/>
  <c r="M80" i="4"/>
  <c r="AA80" i="1"/>
  <c r="AA80" i="5" s="1"/>
  <c r="P26" i="2"/>
  <c r="P27" i="4"/>
  <c r="V27" i="1"/>
  <c r="V27" i="5" s="1"/>
  <c r="X27" i="1"/>
  <c r="X27" i="5" s="1"/>
  <c r="U27" i="1"/>
  <c r="U27" i="5" s="1"/>
  <c r="U16" i="2"/>
  <c r="U16" i="4"/>
  <c r="H14" i="2"/>
  <c r="H14" i="4"/>
  <c r="X14" i="1"/>
  <c r="X14" i="5" s="1"/>
  <c r="M14" i="1"/>
  <c r="M14" i="5" s="1"/>
  <c r="V14" i="1"/>
  <c r="V14" i="5" s="1"/>
  <c r="X2351" i="2"/>
  <c r="Z2351" i="2" s="1"/>
  <c r="M2351" i="2"/>
  <c r="AA2351" i="2" s="1"/>
  <c r="AB2351" i="2" s="1"/>
  <c r="V2351" i="2"/>
  <c r="W2351" i="2" s="1"/>
  <c r="M2131" i="2"/>
  <c r="X2131" i="2"/>
  <c r="Z2131" i="2" s="1"/>
  <c r="J2131" i="2"/>
  <c r="P1340" i="1"/>
  <c r="P1310" i="1"/>
  <c r="V1274" i="1"/>
  <c r="V1273" i="5" s="1"/>
  <c r="I961" i="1"/>
  <c r="I2906" i="1" s="1"/>
  <c r="R639" i="1"/>
  <c r="AA596" i="1"/>
  <c r="AA597" i="5" s="1"/>
  <c r="Y422" i="1"/>
  <c r="Q2704" i="4"/>
  <c r="I2704" i="4"/>
  <c r="N2499" i="4"/>
  <c r="L2410" i="4"/>
  <c r="N1899" i="4"/>
  <c r="I1433" i="4"/>
  <c r="H1381" i="4"/>
  <c r="P1302" i="4"/>
  <c r="U906" i="4"/>
  <c r="U899" i="4"/>
  <c r="E815" i="4"/>
  <c r="M496" i="4"/>
  <c r="H1314" i="2"/>
  <c r="H1383" i="4"/>
  <c r="Q1382" i="4"/>
  <c r="Q1313" i="2"/>
  <c r="H1313" i="2"/>
  <c r="H1382" i="4"/>
  <c r="Q1381" i="4"/>
  <c r="K1311" i="2"/>
  <c r="K1380" i="4"/>
  <c r="P1310" i="2"/>
  <c r="P1379" i="4"/>
  <c r="H1379" i="4"/>
  <c r="H1310" i="2"/>
  <c r="J1304" i="2"/>
  <c r="J1373" i="4"/>
  <c r="E1297" i="2"/>
  <c r="E1366" i="4"/>
  <c r="E1295" i="2"/>
  <c r="E1360" i="4"/>
  <c r="H1294" i="2"/>
  <c r="H1359" i="4"/>
  <c r="E1292" i="2"/>
  <c r="E1357" i="4"/>
  <c r="Q1291" i="2"/>
  <c r="Q1356" i="4"/>
  <c r="H1291" i="2"/>
  <c r="H1356" i="4"/>
  <c r="J1290" i="2"/>
  <c r="J1355" i="4"/>
  <c r="J1289" i="2"/>
  <c r="J1354" i="4"/>
  <c r="J1288" i="2"/>
  <c r="J1353" i="4"/>
  <c r="P1283" i="2"/>
  <c r="P1348" i="4"/>
  <c r="E1283" i="2"/>
  <c r="E1348" i="4"/>
  <c r="H1282" i="2"/>
  <c r="H1347" i="4"/>
  <c r="Q1281" i="2"/>
  <c r="Q1346" i="4"/>
  <c r="H1281" i="2"/>
  <c r="H1346" i="4"/>
  <c r="Q1280" i="2"/>
  <c r="Q1345" i="4"/>
  <c r="H1280" i="2"/>
  <c r="H1345" i="4"/>
  <c r="K1279" i="2"/>
  <c r="K1344" i="4"/>
  <c r="P1278" i="2"/>
  <c r="P1343" i="4"/>
  <c r="H1278" i="2"/>
  <c r="H1343" i="4"/>
  <c r="J1277" i="2"/>
  <c r="J1342" i="4"/>
  <c r="Q1272" i="2"/>
  <c r="Q1337" i="4"/>
  <c r="H1272" i="2"/>
  <c r="H1337" i="4"/>
  <c r="J1271" i="2"/>
  <c r="J1336" i="4"/>
  <c r="J1270" i="2"/>
  <c r="J1335" i="4"/>
  <c r="J1269" i="2"/>
  <c r="J1334" i="4"/>
  <c r="J1268" i="2"/>
  <c r="J1333" i="4"/>
  <c r="M1267" i="2"/>
  <c r="M1330" i="4"/>
  <c r="J1266" i="2"/>
  <c r="J1329" i="4"/>
  <c r="P1263" i="2"/>
  <c r="P1326" i="4"/>
  <c r="P1262" i="2"/>
  <c r="P1325" i="4"/>
  <c r="E1262" i="2"/>
  <c r="E1325" i="4"/>
  <c r="Q1261" i="2"/>
  <c r="Q1324" i="4"/>
  <c r="H1261" i="2"/>
  <c r="H1324" i="4"/>
  <c r="J1260" i="2"/>
  <c r="J1323" i="4"/>
  <c r="E1257" i="2"/>
  <c r="E1320" i="4"/>
  <c r="H1256" i="2"/>
  <c r="H1319" i="4"/>
  <c r="P1251" i="2"/>
  <c r="P1314" i="4"/>
  <c r="E1251" i="2"/>
  <c r="E1314" i="4"/>
  <c r="Q1250" i="2"/>
  <c r="Q1313" i="4"/>
  <c r="H1250" i="2"/>
  <c r="H1313" i="4"/>
  <c r="J1312" i="4"/>
  <c r="H1244" i="2"/>
  <c r="H1307" i="4"/>
  <c r="P1241" i="2"/>
  <c r="P1304" i="4"/>
  <c r="F1241" i="2"/>
  <c r="F1304" i="4"/>
  <c r="Q1303" i="4"/>
  <c r="H1240" i="2"/>
  <c r="H1303" i="4"/>
  <c r="E1239" i="2"/>
  <c r="E1302" i="4"/>
  <c r="H1238" i="2"/>
  <c r="H1301" i="4"/>
  <c r="E1235" i="2"/>
  <c r="E1298" i="4"/>
  <c r="Q1234" i="2"/>
  <c r="Q1297" i="4"/>
  <c r="H1234" i="2"/>
  <c r="H1297" i="4"/>
  <c r="H1233" i="2"/>
  <c r="H1296" i="4"/>
  <c r="E1230" i="2"/>
  <c r="E1293" i="4"/>
  <c r="Q1229" i="2"/>
  <c r="Q1292" i="4"/>
  <c r="H1229" i="2"/>
  <c r="H1292" i="4"/>
  <c r="J1228" i="2"/>
  <c r="J1291" i="4"/>
  <c r="J1227" i="2"/>
  <c r="J1290" i="4"/>
  <c r="J1226" i="2"/>
  <c r="J1289" i="4"/>
  <c r="J1225" i="2"/>
  <c r="J1288" i="4"/>
  <c r="P1223" i="2"/>
  <c r="P1286" i="4"/>
  <c r="E1223" i="2"/>
  <c r="E1286" i="4"/>
  <c r="H1222" i="2"/>
  <c r="H1285" i="4"/>
  <c r="J1221" i="2"/>
  <c r="J1284" i="4"/>
  <c r="H1216" i="2"/>
  <c r="H1279" i="4"/>
  <c r="M1215" i="2"/>
  <c r="M1275" i="4"/>
  <c r="P1213" i="2"/>
  <c r="P1272" i="4"/>
  <c r="P1212" i="2"/>
  <c r="P1271" i="4"/>
  <c r="M1211" i="2"/>
  <c r="M1270" i="4"/>
  <c r="J1210" i="2"/>
  <c r="J1269" i="4"/>
  <c r="J1209" i="2"/>
  <c r="J1268" i="4"/>
  <c r="P1207" i="2"/>
  <c r="P1266" i="4"/>
  <c r="U125" i="1"/>
  <c r="U125" i="5" s="1"/>
  <c r="F1207" i="2"/>
  <c r="F1266" i="4"/>
  <c r="J1206" i="2"/>
  <c r="J1265" i="4"/>
  <c r="J1205" i="2"/>
  <c r="J1264" i="4"/>
  <c r="P1203" i="2"/>
  <c r="P1262" i="4"/>
  <c r="P1202" i="2"/>
  <c r="P1261" i="4"/>
  <c r="P1260" i="4"/>
  <c r="P1201" i="2"/>
  <c r="F1201" i="2"/>
  <c r="F1260" i="4"/>
  <c r="J1200" i="2"/>
  <c r="J1259" i="4"/>
  <c r="J1199" i="2"/>
  <c r="J1258" i="4"/>
  <c r="P1196" i="2"/>
  <c r="P1255" i="4"/>
  <c r="P1195" i="2"/>
  <c r="P1254" i="4"/>
  <c r="P1194" i="2"/>
  <c r="P1253" i="4"/>
  <c r="P1193" i="2"/>
  <c r="P1252" i="4"/>
  <c r="P1192" i="2"/>
  <c r="P1251" i="4"/>
  <c r="E1192" i="2"/>
  <c r="E1251" i="4"/>
  <c r="Q1191" i="2"/>
  <c r="Q1250" i="4"/>
  <c r="H1191" i="2"/>
  <c r="H1250" i="4"/>
  <c r="H1190" i="2"/>
  <c r="H1249" i="4"/>
  <c r="P1188" i="2"/>
  <c r="P1247" i="4"/>
  <c r="H1188" i="2"/>
  <c r="H1247" i="4"/>
  <c r="P1183" i="2"/>
  <c r="P1242" i="4"/>
  <c r="F1242" i="4"/>
  <c r="F1183" i="2"/>
  <c r="M1182" i="2"/>
  <c r="M1241" i="4"/>
  <c r="H1181" i="2"/>
  <c r="H1237" i="4"/>
  <c r="E1180" i="2"/>
  <c r="E1234" i="4"/>
  <c r="H1179" i="2"/>
  <c r="H1233" i="4"/>
  <c r="E1177" i="2"/>
  <c r="E1231" i="4"/>
  <c r="H1176" i="2"/>
  <c r="H1230" i="4"/>
  <c r="Q1175" i="2"/>
  <c r="Q1229" i="4"/>
  <c r="H1175" i="2"/>
  <c r="H1229" i="4"/>
  <c r="Q1174" i="2"/>
  <c r="Q1228" i="4"/>
  <c r="H1174" i="2"/>
  <c r="H1228" i="4"/>
  <c r="Q1173" i="2"/>
  <c r="Q1227" i="4"/>
  <c r="H1173" i="2"/>
  <c r="H1227" i="4"/>
  <c r="M1172" i="2"/>
  <c r="M1226" i="4"/>
  <c r="Q1171" i="2"/>
  <c r="F1171" i="2"/>
  <c r="F1225" i="4"/>
  <c r="Q1169" i="2"/>
  <c r="Q1223" i="4"/>
  <c r="H1169" i="2"/>
  <c r="H1223" i="4"/>
  <c r="P1168" i="2"/>
  <c r="P1222" i="4"/>
  <c r="X1223" i="1"/>
  <c r="E1168" i="2"/>
  <c r="E1222" i="4"/>
  <c r="Q1223" i="1"/>
  <c r="Q1222" i="5" s="1"/>
  <c r="M1167" i="2"/>
  <c r="M1221" i="4"/>
  <c r="P1166" i="2"/>
  <c r="P1220" i="4"/>
  <c r="U1221" i="1"/>
  <c r="H1166" i="2"/>
  <c r="H1220" i="4"/>
  <c r="U1164" i="2"/>
  <c r="U1218" i="4"/>
  <c r="K1164" i="2"/>
  <c r="K1218" i="4"/>
  <c r="H1163" i="2"/>
  <c r="H1217" i="4"/>
  <c r="J1218" i="1"/>
  <c r="Q1158" i="2"/>
  <c r="Q1212" i="4"/>
  <c r="H1158" i="2"/>
  <c r="H1212" i="4"/>
  <c r="J1156" i="2"/>
  <c r="J1210" i="4"/>
  <c r="X1210" i="1"/>
  <c r="X1209" i="5" s="1"/>
  <c r="J1155" i="2"/>
  <c r="J1207" i="4"/>
  <c r="P1154" i="2"/>
  <c r="P1206" i="4"/>
  <c r="V1207" i="1"/>
  <c r="V1206" i="5" s="1"/>
  <c r="H1152" i="2"/>
  <c r="H1204" i="4"/>
  <c r="M1205" i="1"/>
  <c r="M1204" i="5" s="1"/>
  <c r="P1202" i="4"/>
  <c r="U1203" i="1"/>
  <c r="E1202" i="4"/>
  <c r="Z1203" i="1"/>
  <c r="P1147" i="2"/>
  <c r="P1199" i="4"/>
  <c r="U1200" i="1"/>
  <c r="U1199" i="5" s="1"/>
  <c r="J1146" i="2"/>
  <c r="J1198" i="4"/>
  <c r="J1145" i="2"/>
  <c r="J1197" i="4"/>
  <c r="Q1144" i="2"/>
  <c r="Q1196" i="4"/>
  <c r="P1133" i="2"/>
  <c r="P1185" i="4"/>
  <c r="U1186" i="1"/>
  <c r="U1185" i="5" s="1"/>
  <c r="U1131" i="2"/>
  <c r="U1182" i="4"/>
  <c r="P1130" i="2"/>
  <c r="P1181" i="4"/>
  <c r="U1182" i="1"/>
  <c r="U1181" i="5" s="1"/>
  <c r="E1130" i="2"/>
  <c r="E1181" i="4"/>
  <c r="Z1182" i="1"/>
  <c r="Z1130" i="2" s="1"/>
  <c r="H1129" i="2"/>
  <c r="H1180" i="4"/>
  <c r="U1126" i="2"/>
  <c r="U1177" i="4"/>
  <c r="P1125" i="2"/>
  <c r="P1176" i="4"/>
  <c r="U1177" i="1"/>
  <c r="U1176" i="5" s="1"/>
  <c r="P1124" i="2"/>
  <c r="P1175" i="4"/>
  <c r="P1123" i="2"/>
  <c r="P1174" i="4"/>
  <c r="V1175" i="1"/>
  <c r="V1174" i="5" s="1"/>
  <c r="U1121" i="2"/>
  <c r="U1172" i="4"/>
  <c r="P1120" i="2"/>
  <c r="P1171" i="4"/>
  <c r="U1172" i="1"/>
  <c r="U1171" i="5" s="1"/>
  <c r="M1109" i="2"/>
  <c r="M1159" i="4"/>
  <c r="U1108" i="2"/>
  <c r="U1158" i="4"/>
  <c r="M1105" i="2"/>
  <c r="M1155" i="4"/>
  <c r="U1104" i="2"/>
  <c r="U1154" i="4"/>
  <c r="M1101" i="2"/>
  <c r="M1151" i="4"/>
  <c r="U1100" i="2"/>
  <c r="E1091" i="2"/>
  <c r="E1141" i="4"/>
  <c r="W1142" i="1"/>
  <c r="W1141" i="5" s="1"/>
  <c r="P1090" i="2"/>
  <c r="P1140" i="4"/>
  <c r="V1088" i="2"/>
  <c r="V2665" i="2" s="1"/>
  <c r="V1138" i="4"/>
  <c r="H1088" i="2"/>
  <c r="H1138" i="4"/>
  <c r="X1139" i="1"/>
  <c r="P1087" i="2"/>
  <c r="P1137" i="4"/>
  <c r="V1138" i="1"/>
  <c r="V1137" i="5" s="1"/>
  <c r="V1084" i="2"/>
  <c r="V1134" i="4"/>
  <c r="H1084" i="2"/>
  <c r="H1134" i="4"/>
  <c r="X1135" i="1"/>
  <c r="M1082" i="2"/>
  <c r="M1132" i="4"/>
  <c r="H1077" i="2"/>
  <c r="H1127" i="4"/>
  <c r="M1128" i="1"/>
  <c r="M1127" i="5" s="1"/>
  <c r="X1128" i="1"/>
  <c r="H1074" i="2"/>
  <c r="H1123" i="4"/>
  <c r="M1124" i="1"/>
  <c r="M1123" i="5" s="1"/>
  <c r="P1073" i="2"/>
  <c r="P1122" i="4"/>
  <c r="U1123" i="1"/>
  <c r="V1123" i="1"/>
  <c r="V1122" i="5" s="1"/>
  <c r="P1072" i="2"/>
  <c r="P1121" i="4"/>
  <c r="U1122" i="1"/>
  <c r="U1121" i="5" s="1"/>
  <c r="V1122" i="1"/>
  <c r="V1121" i="5" s="1"/>
  <c r="E1072" i="2"/>
  <c r="E1121" i="4"/>
  <c r="E1130" i="1"/>
  <c r="P1071" i="2"/>
  <c r="P1120" i="4"/>
  <c r="U1121" i="1"/>
  <c r="U1120" i="5" s="1"/>
  <c r="V1121" i="1"/>
  <c r="V1120" i="5" s="1"/>
  <c r="V1055" i="2"/>
  <c r="V1104" i="4"/>
  <c r="H1055" i="2"/>
  <c r="H1104" i="4"/>
  <c r="X1105" i="1"/>
  <c r="V1034" i="2"/>
  <c r="V1082" i="4"/>
  <c r="H1034" i="2"/>
  <c r="H1082" i="4"/>
  <c r="X1083" i="1"/>
  <c r="P1033" i="2"/>
  <c r="P1081" i="4"/>
  <c r="V1082" i="1"/>
  <c r="V1081" i="5" s="1"/>
  <c r="P1032" i="2"/>
  <c r="P1079" i="4"/>
  <c r="X1080" i="1"/>
  <c r="U1028" i="2"/>
  <c r="U1075" i="4"/>
  <c r="H1026" i="2"/>
  <c r="H1073" i="4"/>
  <c r="X1074" i="1"/>
  <c r="P1025" i="2"/>
  <c r="P1072" i="4"/>
  <c r="V1073" i="1"/>
  <c r="V1072" i="5" s="1"/>
  <c r="V1022" i="2"/>
  <c r="V1069" i="4"/>
  <c r="H1022" i="2"/>
  <c r="H1069" i="4"/>
  <c r="X1070" i="1"/>
  <c r="P1021" i="2"/>
  <c r="P1068" i="4"/>
  <c r="V1069" i="1"/>
  <c r="V1068" i="5" s="1"/>
  <c r="H1061" i="4"/>
  <c r="X1062" i="1"/>
  <c r="Z1062" i="1" s="1"/>
  <c r="P1060" i="4"/>
  <c r="X1060" i="4" s="1"/>
  <c r="Z1060" i="4" s="1"/>
  <c r="V1061" i="1"/>
  <c r="V1060" i="5" s="1"/>
  <c r="V1012" i="2"/>
  <c r="V1057" i="4"/>
  <c r="H1012" i="2"/>
  <c r="H1057" i="4"/>
  <c r="X1058" i="1"/>
  <c r="P1011" i="2"/>
  <c r="P1056" i="4"/>
  <c r="V1057" i="1"/>
  <c r="V1056" i="5" s="1"/>
  <c r="V1007" i="2"/>
  <c r="V1052" i="4"/>
  <c r="H1007" i="2"/>
  <c r="H1052" i="4"/>
  <c r="X1053" i="1"/>
  <c r="V1001" i="2"/>
  <c r="V1046" i="4"/>
  <c r="H1001" i="2"/>
  <c r="H1046" i="4"/>
  <c r="X1047" i="1"/>
  <c r="P1000" i="2"/>
  <c r="P1045" i="4"/>
  <c r="V1046" i="1"/>
  <c r="V1045" i="5" s="1"/>
  <c r="V997" i="2"/>
  <c r="V1042" i="4"/>
  <c r="H997" i="2"/>
  <c r="H1042" i="4"/>
  <c r="X1043" i="1"/>
  <c r="P996" i="2"/>
  <c r="P1041" i="4"/>
  <c r="V1042" i="1"/>
  <c r="V1041" i="5" s="1"/>
  <c r="V993" i="2"/>
  <c r="V1038" i="4"/>
  <c r="H993" i="2"/>
  <c r="H1038" i="4"/>
  <c r="X1039" i="1"/>
  <c r="P992" i="2"/>
  <c r="P1037" i="4"/>
  <c r="V1038" i="1"/>
  <c r="V1037" i="5" s="1"/>
  <c r="P1050" i="1"/>
  <c r="P986" i="2"/>
  <c r="P1031" i="4"/>
  <c r="V1032" i="1"/>
  <c r="V1031" i="5" s="1"/>
  <c r="V985" i="2"/>
  <c r="V1030" i="4"/>
  <c r="H984" i="2"/>
  <c r="H1029" i="4"/>
  <c r="M1030" i="1"/>
  <c r="M1029" i="5" s="1"/>
  <c r="X1030" i="1"/>
  <c r="F982" i="2"/>
  <c r="F988" i="2" s="1"/>
  <c r="F1027" i="4"/>
  <c r="F1033" i="4" s="1"/>
  <c r="H1028" i="1"/>
  <c r="H1027" i="5" s="1"/>
  <c r="X1027" i="5" s="1"/>
  <c r="Z1027" i="5" s="1"/>
  <c r="U977" i="2"/>
  <c r="U1022" i="4"/>
  <c r="U964" i="2"/>
  <c r="U1007" i="4"/>
  <c r="U960" i="2"/>
  <c r="U1003" i="4"/>
  <c r="U958" i="2"/>
  <c r="U1001" i="4"/>
  <c r="U956" i="2"/>
  <c r="U999" i="4"/>
  <c r="H956" i="2"/>
  <c r="H999" i="4"/>
  <c r="X1000" i="1"/>
  <c r="P955" i="2"/>
  <c r="P998" i="4"/>
  <c r="V999" i="1"/>
  <c r="V998" i="5" s="1"/>
  <c r="V951" i="2"/>
  <c r="V994" i="4"/>
  <c r="H951" i="2"/>
  <c r="H994" i="4"/>
  <c r="X995" i="1"/>
  <c r="P950" i="2"/>
  <c r="P993" i="4"/>
  <c r="V994" i="1"/>
  <c r="V993" i="5" s="1"/>
  <c r="U982" i="4"/>
  <c r="U939" i="2"/>
  <c r="M978" i="4"/>
  <c r="M936" i="2"/>
  <c r="E935" i="2"/>
  <c r="E977" i="4"/>
  <c r="W978" i="1"/>
  <c r="W977" i="5" s="1"/>
  <c r="P934" i="2"/>
  <c r="P976" i="4"/>
  <c r="V977" i="1"/>
  <c r="M933" i="2"/>
  <c r="M975" i="4"/>
  <c r="AA976" i="1"/>
  <c r="AA975" i="5" s="1"/>
  <c r="E932" i="2"/>
  <c r="E974" i="4"/>
  <c r="P931" i="2"/>
  <c r="P973" i="4"/>
  <c r="V974" i="1"/>
  <c r="M930" i="2"/>
  <c r="M972" i="4"/>
  <c r="J916" i="2"/>
  <c r="J959" i="4"/>
  <c r="P910" i="2"/>
  <c r="P953" i="4"/>
  <c r="U953" i="1"/>
  <c r="U953" i="5" s="1"/>
  <c r="V953" i="1"/>
  <c r="V953" i="5" s="1"/>
  <c r="J902" i="2"/>
  <c r="J945" i="4"/>
  <c r="Q896" i="2"/>
  <c r="Q939" i="4"/>
  <c r="H895" i="2"/>
  <c r="H938" i="4"/>
  <c r="J938" i="1"/>
  <c r="J938" i="5" s="1"/>
  <c r="M938" i="1"/>
  <c r="M938" i="5" s="1"/>
  <c r="F887" i="2"/>
  <c r="F930" i="4"/>
  <c r="H930" i="1"/>
  <c r="H930" i="5" s="1"/>
  <c r="X930" i="5" s="1"/>
  <c r="Z930" i="5" s="1"/>
  <c r="U886" i="2"/>
  <c r="U929" i="4"/>
  <c r="H886" i="2"/>
  <c r="H929" i="4"/>
  <c r="M929" i="1"/>
  <c r="M929" i="5" s="1"/>
  <c r="Q885" i="2"/>
  <c r="Q928" i="4"/>
  <c r="V884" i="2"/>
  <c r="V927" i="4"/>
  <c r="W927" i="1"/>
  <c r="W927" i="5" s="1"/>
  <c r="M884" i="2"/>
  <c r="P883" i="2"/>
  <c r="P926" i="4"/>
  <c r="Q926" i="1"/>
  <c r="Q926" i="5" s="1"/>
  <c r="U926" i="1"/>
  <c r="U926" i="5" s="1"/>
  <c r="H882" i="2"/>
  <c r="H925" i="4"/>
  <c r="J925" i="1"/>
  <c r="J925" i="5" s="1"/>
  <c r="M925" i="1"/>
  <c r="M925" i="5" s="1"/>
  <c r="P876" i="2"/>
  <c r="Q919" i="1"/>
  <c r="Q919" i="5" s="1"/>
  <c r="X919" i="1"/>
  <c r="U919" i="1"/>
  <c r="U919" i="5" s="1"/>
  <c r="P875" i="2"/>
  <c r="P918" i="4"/>
  <c r="Q918" i="1"/>
  <c r="Q918" i="5" s="1"/>
  <c r="X918" i="1"/>
  <c r="U918" i="1"/>
  <c r="U918" i="5" s="1"/>
  <c r="P874" i="2"/>
  <c r="P917" i="4"/>
  <c r="Q917" i="1"/>
  <c r="Q917" i="5" s="1"/>
  <c r="X917" i="1"/>
  <c r="U917" i="1"/>
  <c r="U917" i="5" s="1"/>
  <c r="F873" i="2"/>
  <c r="F914" i="4"/>
  <c r="H914" i="1"/>
  <c r="H913" i="4"/>
  <c r="M913" i="1"/>
  <c r="M913" i="5" s="1"/>
  <c r="Q872" i="2"/>
  <c r="Q912" i="4"/>
  <c r="J870" i="2"/>
  <c r="J910" i="4"/>
  <c r="U869" i="2"/>
  <c r="U909" i="4"/>
  <c r="H869" i="2"/>
  <c r="H909" i="4"/>
  <c r="M909" i="1"/>
  <c r="M909" i="5" s="1"/>
  <c r="M868" i="2"/>
  <c r="M908" i="4"/>
  <c r="P867" i="2"/>
  <c r="P907" i="4"/>
  <c r="U907" i="1"/>
  <c r="U907" i="5" s="1"/>
  <c r="V907" i="1"/>
  <c r="V907" i="5" s="1"/>
  <c r="J866" i="2"/>
  <c r="J906" i="4"/>
  <c r="M865" i="2"/>
  <c r="M905" i="4"/>
  <c r="E863" i="2"/>
  <c r="E903" i="4"/>
  <c r="Z903" i="1"/>
  <c r="Z863" i="2" s="1"/>
  <c r="Q862" i="2"/>
  <c r="Q902" i="4"/>
  <c r="V861" i="2"/>
  <c r="V901" i="4"/>
  <c r="W901" i="1"/>
  <c r="W901" i="5" s="1"/>
  <c r="M861" i="2"/>
  <c r="M901" i="4"/>
  <c r="V859" i="2"/>
  <c r="V899" i="4"/>
  <c r="K859" i="2"/>
  <c r="K899" i="4"/>
  <c r="K922" i="1"/>
  <c r="P858" i="2"/>
  <c r="P898" i="4"/>
  <c r="U898" i="1"/>
  <c r="U898" i="5" s="1"/>
  <c r="V898" i="1"/>
  <c r="V898" i="5" s="1"/>
  <c r="P922" i="1"/>
  <c r="V853" i="2"/>
  <c r="V893" i="4"/>
  <c r="E852" i="2"/>
  <c r="E892" i="4"/>
  <c r="Q892" i="1"/>
  <c r="Q892" i="5" s="1"/>
  <c r="Q851" i="2"/>
  <c r="Q891" i="4"/>
  <c r="M890" i="4"/>
  <c r="M849" i="2"/>
  <c r="M888" i="4"/>
  <c r="U847" i="2"/>
  <c r="U886" i="4"/>
  <c r="J847" i="2"/>
  <c r="J886" i="4"/>
  <c r="U845" i="2"/>
  <c r="U884" i="4"/>
  <c r="J845" i="2"/>
  <c r="J884" i="4"/>
  <c r="J843" i="2"/>
  <c r="J882" i="4"/>
  <c r="M842" i="2"/>
  <c r="M881" i="4"/>
  <c r="P841" i="2"/>
  <c r="P880" i="4"/>
  <c r="U880" i="1"/>
  <c r="U880" i="5" s="1"/>
  <c r="V880" i="1"/>
  <c r="V880" i="5" s="1"/>
  <c r="P839" i="2"/>
  <c r="P878" i="4"/>
  <c r="U878" i="1"/>
  <c r="U878" i="5" s="1"/>
  <c r="J838" i="2"/>
  <c r="J877" i="4"/>
  <c r="V836" i="2"/>
  <c r="V875" i="4"/>
  <c r="P869" i="4"/>
  <c r="V869" i="1"/>
  <c r="X830" i="2"/>
  <c r="Z866" i="1"/>
  <c r="Z830" i="2" s="1"/>
  <c r="AA866" i="1"/>
  <c r="AA866" i="5" s="1"/>
  <c r="X828" i="2"/>
  <c r="Z863" i="1"/>
  <c r="Z828" i="2" s="1"/>
  <c r="M828" i="2"/>
  <c r="M863" i="4"/>
  <c r="F823" i="2"/>
  <c r="F858" i="4"/>
  <c r="H858" i="1"/>
  <c r="U822" i="2"/>
  <c r="U857" i="4"/>
  <c r="H822" i="2"/>
  <c r="H857" i="4"/>
  <c r="M857" i="1"/>
  <c r="M857" i="5" s="1"/>
  <c r="M821" i="2"/>
  <c r="M856" i="4"/>
  <c r="P820" i="2"/>
  <c r="P855" i="4"/>
  <c r="U855" i="1"/>
  <c r="U855" i="5" s="1"/>
  <c r="V855" i="1"/>
  <c r="V855" i="5" s="1"/>
  <c r="J819" i="2"/>
  <c r="J854" i="4"/>
  <c r="U818" i="2"/>
  <c r="U853" i="4"/>
  <c r="H818" i="2"/>
  <c r="H853" i="4"/>
  <c r="M853" i="1"/>
  <c r="M853" i="5" s="1"/>
  <c r="M817" i="2"/>
  <c r="M852" i="4"/>
  <c r="M816" i="2"/>
  <c r="M851" i="4"/>
  <c r="M815" i="2"/>
  <c r="M850" i="4"/>
  <c r="P814" i="2"/>
  <c r="P849" i="4"/>
  <c r="U849" i="1"/>
  <c r="U849" i="5" s="1"/>
  <c r="P872" i="1"/>
  <c r="V849" i="1"/>
  <c r="V849" i="5" s="1"/>
  <c r="J813" i="2"/>
  <c r="J848" i="4"/>
  <c r="P806" i="2"/>
  <c r="P841" i="4"/>
  <c r="U841" i="1"/>
  <c r="U841" i="5" s="1"/>
  <c r="V841" i="1"/>
  <c r="V841" i="5" s="1"/>
  <c r="H839" i="4"/>
  <c r="M839" i="1"/>
  <c r="M839" i="5" s="1"/>
  <c r="H803" i="2"/>
  <c r="H837" i="4"/>
  <c r="J837" i="1"/>
  <c r="J837" i="5" s="1"/>
  <c r="M837" i="1"/>
  <c r="M837" i="5" s="1"/>
  <c r="X837" i="1"/>
  <c r="H799" i="2"/>
  <c r="H833" i="4"/>
  <c r="J833" i="1"/>
  <c r="J833" i="5" s="1"/>
  <c r="M833" i="1"/>
  <c r="M833" i="5" s="1"/>
  <c r="V797" i="2"/>
  <c r="M797" i="2"/>
  <c r="M831" i="4"/>
  <c r="H794" i="2"/>
  <c r="H828" i="4"/>
  <c r="J828" i="1"/>
  <c r="J828" i="5" s="1"/>
  <c r="M828" i="1"/>
  <c r="M828" i="5" s="1"/>
  <c r="Q793" i="2"/>
  <c r="Q827" i="4"/>
  <c r="H793" i="2"/>
  <c r="H827" i="4"/>
  <c r="M827" i="1"/>
  <c r="M827" i="5" s="1"/>
  <c r="Q787" i="2"/>
  <c r="Q821" i="4"/>
  <c r="V785" i="2"/>
  <c r="V819" i="4"/>
  <c r="W819" i="1"/>
  <c r="W819" i="5" s="1"/>
  <c r="M785" i="2"/>
  <c r="M819" i="4"/>
  <c r="F781" i="2"/>
  <c r="F815" i="4"/>
  <c r="H815" i="1"/>
  <c r="H815" i="5" s="1"/>
  <c r="X815" i="5" s="1"/>
  <c r="Z815" i="5" s="1"/>
  <c r="U780" i="2"/>
  <c r="U814" i="4"/>
  <c r="H780" i="2"/>
  <c r="H814" i="4"/>
  <c r="M814" i="1"/>
  <c r="M814" i="5" s="1"/>
  <c r="Q779" i="2"/>
  <c r="Q813" i="4"/>
  <c r="U777" i="2"/>
  <c r="U811" i="4"/>
  <c r="J777" i="2"/>
  <c r="J811" i="4"/>
  <c r="P774" i="2"/>
  <c r="P808" i="4"/>
  <c r="U808" i="1"/>
  <c r="U808" i="5" s="1"/>
  <c r="V808" i="1"/>
  <c r="V808" i="5" s="1"/>
  <c r="J773" i="2"/>
  <c r="J807" i="4"/>
  <c r="V771" i="2"/>
  <c r="V805" i="4"/>
  <c r="W805" i="1"/>
  <c r="W805" i="5" s="1"/>
  <c r="M771" i="2"/>
  <c r="M805" i="4"/>
  <c r="P766" i="2"/>
  <c r="P800" i="4"/>
  <c r="U800" i="1"/>
  <c r="U800" i="5" s="1"/>
  <c r="V800" i="1"/>
  <c r="V800" i="5" s="1"/>
  <c r="E765" i="2"/>
  <c r="E799" i="4"/>
  <c r="Z799" i="1"/>
  <c r="Z765" i="2" s="1"/>
  <c r="H764" i="2"/>
  <c r="H797" i="4"/>
  <c r="P763" i="2"/>
  <c r="P796" i="4"/>
  <c r="V796" i="1"/>
  <c r="V796" i="5" s="1"/>
  <c r="P762" i="2"/>
  <c r="P795" i="4"/>
  <c r="U795" i="1"/>
  <c r="U795" i="5" s="1"/>
  <c r="V795" i="1"/>
  <c r="V795" i="5" s="1"/>
  <c r="U761" i="2"/>
  <c r="U794" i="4"/>
  <c r="J761" i="2"/>
  <c r="J794" i="4"/>
  <c r="M760" i="2"/>
  <c r="M793" i="4"/>
  <c r="M759" i="2"/>
  <c r="M792" i="4"/>
  <c r="M758" i="2"/>
  <c r="M791" i="4"/>
  <c r="P757" i="2"/>
  <c r="P790" i="4"/>
  <c r="U790" i="1"/>
  <c r="U790" i="5" s="1"/>
  <c r="V790" i="1"/>
  <c r="V790" i="5" s="1"/>
  <c r="P755" i="2"/>
  <c r="P788" i="4"/>
  <c r="U788" i="1"/>
  <c r="U788" i="5" s="1"/>
  <c r="V788" i="1"/>
  <c r="V788" i="5" s="1"/>
  <c r="H753" i="2"/>
  <c r="H786" i="4"/>
  <c r="J786" i="1"/>
  <c r="J786" i="5" s="1"/>
  <c r="M786" i="1"/>
  <c r="M786" i="5" s="1"/>
  <c r="Q752" i="2"/>
  <c r="Q785" i="4"/>
  <c r="P746" i="2"/>
  <c r="P779" i="4"/>
  <c r="U779" i="1"/>
  <c r="U779" i="5" s="1"/>
  <c r="V779" i="1"/>
  <c r="V779" i="5" s="1"/>
  <c r="J745" i="2"/>
  <c r="J778" i="4"/>
  <c r="V744" i="2"/>
  <c r="M776" i="4"/>
  <c r="U743" i="2"/>
  <c r="U774" i="4"/>
  <c r="H743" i="2"/>
  <c r="H774" i="4"/>
  <c r="M774" i="1"/>
  <c r="M774" i="5" s="1"/>
  <c r="Q742" i="2"/>
  <c r="Q773" i="4"/>
  <c r="V739" i="2"/>
  <c r="V770" i="4"/>
  <c r="W770" i="1"/>
  <c r="W770" i="5" s="1"/>
  <c r="J739" i="2"/>
  <c r="J770" i="4"/>
  <c r="P738" i="2"/>
  <c r="P769" i="4"/>
  <c r="Q769" i="1"/>
  <c r="Q769" i="5" s="1"/>
  <c r="X769" i="1"/>
  <c r="U769" i="1"/>
  <c r="U769" i="5" s="1"/>
  <c r="V769" i="1"/>
  <c r="V769" i="5" s="1"/>
  <c r="V766" i="4"/>
  <c r="M735" i="2"/>
  <c r="M766" i="4"/>
  <c r="H734" i="2"/>
  <c r="H765" i="4"/>
  <c r="J765" i="1"/>
  <c r="J765" i="5" s="1"/>
  <c r="M765" i="1"/>
  <c r="M765" i="5" s="1"/>
  <c r="V765" i="1"/>
  <c r="V765" i="5" s="1"/>
  <c r="V730" i="2"/>
  <c r="V761" i="4"/>
  <c r="H730" i="2"/>
  <c r="H761" i="4"/>
  <c r="J761" i="1"/>
  <c r="J761" i="5" s="1"/>
  <c r="X761" i="1"/>
  <c r="M729" i="2"/>
  <c r="M760" i="4"/>
  <c r="V723" i="2"/>
  <c r="V754" i="4"/>
  <c r="W754" i="1"/>
  <c r="W754" i="5" s="1"/>
  <c r="M723" i="2"/>
  <c r="M754" i="4"/>
  <c r="P721" i="2"/>
  <c r="P752" i="4"/>
  <c r="Q752" i="1"/>
  <c r="Q752" i="5" s="1"/>
  <c r="X752" i="1"/>
  <c r="V752" i="1"/>
  <c r="V752" i="5" s="1"/>
  <c r="M718" i="2"/>
  <c r="M749" i="4"/>
  <c r="AA749" i="1"/>
  <c r="AA749" i="5" s="1"/>
  <c r="Q717" i="2"/>
  <c r="Q748" i="4"/>
  <c r="M717" i="2"/>
  <c r="M748" i="4"/>
  <c r="V708" i="2"/>
  <c r="V739" i="4"/>
  <c r="W739" i="1"/>
  <c r="W739" i="5" s="1"/>
  <c r="H737" i="4"/>
  <c r="M737" i="1"/>
  <c r="M737" i="5" s="1"/>
  <c r="J737" i="1"/>
  <c r="P705" i="2"/>
  <c r="P735" i="4"/>
  <c r="U735" i="1"/>
  <c r="U735" i="5" s="1"/>
  <c r="X735" i="1"/>
  <c r="X705" i="2" s="1"/>
  <c r="V735" i="1"/>
  <c r="E705" i="2"/>
  <c r="E735" i="4"/>
  <c r="Z735" i="1"/>
  <c r="Z705" i="2" s="1"/>
  <c r="Q735" i="1"/>
  <c r="Q735" i="5" s="1"/>
  <c r="P702" i="2"/>
  <c r="P732" i="4"/>
  <c r="V732" i="1"/>
  <c r="V732" i="5" s="1"/>
  <c r="U732" i="1"/>
  <c r="U732" i="5" s="1"/>
  <c r="X732" i="1"/>
  <c r="F701" i="2"/>
  <c r="F731" i="4"/>
  <c r="H731" i="1"/>
  <c r="H731" i="5" s="1"/>
  <c r="X731" i="5" s="1"/>
  <c r="Z731" i="5" s="1"/>
  <c r="U699" i="2"/>
  <c r="U729" i="4"/>
  <c r="V698" i="2"/>
  <c r="V728" i="4"/>
  <c r="W728" i="1"/>
  <c r="W728" i="5" s="1"/>
  <c r="J697" i="2"/>
  <c r="J727" i="4"/>
  <c r="P694" i="2"/>
  <c r="P724" i="4"/>
  <c r="V724" i="1"/>
  <c r="V724" i="5" s="1"/>
  <c r="U724" i="1"/>
  <c r="U724" i="5" s="1"/>
  <c r="X724" i="1"/>
  <c r="J693" i="2"/>
  <c r="J723" i="4"/>
  <c r="E691" i="2"/>
  <c r="E721" i="4"/>
  <c r="E743" i="1"/>
  <c r="Q690" i="2"/>
  <c r="Q720" i="4"/>
  <c r="H687" i="2"/>
  <c r="H717" i="4"/>
  <c r="M717" i="1"/>
  <c r="M717" i="5" s="1"/>
  <c r="J717" i="1"/>
  <c r="J717" i="5" s="1"/>
  <c r="Q674" i="2"/>
  <c r="Q704" i="4"/>
  <c r="P672" i="2"/>
  <c r="P702" i="4"/>
  <c r="U702" i="1"/>
  <c r="U702" i="5" s="1"/>
  <c r="Q702" i="1"/>
  <c r="Q702" i="5" s="1"/>
  <c r="X702" i="1"/>
  <c r="Q670" i="2"/>
  <c r="Q700" i="4"/>
  <c r="H667" i="2"/>
  <c r="H697" i="4"/>
  <c r="M697" i="1"/>
  <c r="M697" i="5" s="1"/>
  <c r="J697" i="1"/>
  <c r="J697" i="5" s="1"/>
  <c r="H665" i="2"/>
  <c r="H695" i="4"/>
  <c r="M695" i="1"/>
  <c r="M695" i="5" s="1"/>
  <c r="J695" i="1"/>
  <c r="J695" i="5" s="1"/>
  <c r="F659" i="2"/>
  <c r="F689" i="4"/>
  <c r="H689" i="1"/>
  <c r="H689" i="5" s="1"/>
  <c r="X689" i="5" s="1"/>
  <c r="Z689" i="5" s="1"/>
  <c r="H654" i="2"/>
  <c r="H682" i="4"/>
  <c r="M682" i="1"/>
  <c r="M682" i="5" s="1"/>
  <c r="U652" i="2"/>
  <c r="U680" i="4"/>
  <c r="U647" i="2"/>
  <c r="U675" i="4"/>
  <c r="H646" i="2"/>
  <c r="H674" i="4"/>
  <c r="M674" i="1"/>
  <c r="M674" i="5" s="1"/>
  <c r="J674" i="1"/>
  <c r="J674" i="5" s="1"/>
  <c r="P641" i="2"/>
  <c r="P669" i="4"/>
  <c r="V669" i="1"/>
  <c r="V669" i="5" s="1"/>
  <c r="P691" i="1"/>
  <c r="M639" i="2"/>
  <c r="M667" i="4"/>
  <c r="AA667" i="1"/>
  <c r="AA667" i="5" s="1"/>
  <c r="V638" i="2"/>
  <c r="V666" i="4"/>
  <c r="H638" i="2"/>
  <c r="H666" i="4"/>
  <c r="X666" i="1"/>
  <c r="M666" i="1"/>
  <c r="M666" i="5" s="1"/>
  <c r="P628" i="2"/>
  <c r="P656" i="4"/>
  <c r="V656" i="1"/>
  <c r="V656" i="5" s="1"/>
  <c r="U656" i="1"/>
  <c r="U656" i="5" s="1"/>
  <c r="X656" i="1"/>
  <c r="X627" i="2"/>
  <c r="Z655" i="1"/>
  <c r="Z655" i="5" s="1"/>
  <c r="M624" i="2"/>
  <c r="M652" i="4"/>
  <c r="AA652" i="1"/>
  <c r="AA652" i="5" s="1"/>
  <c r="H623" i="2"/>
  <c r="H651" i="4"/>
  <c r="X651" i="1"/>
  <c r="M651" i="1"/>
  <c r="M651" i="5" s="1"/>
  <c r="U621" i="2"/>
  <c r="U649" i="4"/>
  <c r="X611" i="2"/>
  <c r="Z635" i="1"/>
  <c r="Z636" i="5" s="1"/>
  <c r="U607" i="2"/>
  <c r="U632" i="4"/>
  <c r="U597" i="2"/>
  <c r="U621" i="4"/>
  <c r="P595" i="2"/>
  <c r="P619" i="4"/>
  <c r="V618" i="1"/>
  <c r="V619" i="5" s="1"/>
  <c r="U618" i="1"/>
  <c r="U619" i="5" s="1"/>
  <c r="U594" i="2"/>
  <c r="U618" i="4"/>
  <c r="H593" i="2"/>
  <c r="H617" i="4"/>
  <c r="X616" i="1"/>
  <c r="M616" i="1"/>
  <c r="M617" i="5" s="1"/>
  <c r="H624" i="1"/>
  <c r="U590" i="2"/>
  <c r="U614" i="4"/>
  <c r="X589" i="2"/>
  <c r="Z612" i="1"/>
  <c r="Z589" i="2" s="1"/>
  <c r="V588" i="2"/>
  <c r="V612" i="4"/>
  <c r="W611" i="1"/>
  <c r="W612" i="5" s="1"/>
  <c r="P579" i="2"/>
  <c r="P603" i="4"/>
  <c r="V602" i="1"/>
  <c r="V603" i="5" s="1"/>
  <c r="X602" i="1"/>
  <c r="M578" i="2"/>
  <c r="M602" i="4"/>
  <c r="U575" i="2"/>
  <c r="U599" i="4"/>
  <c r="U573" i="2"/>
  <c r="U597" i="4"/>
  <c r="V572" i="2"/>
  <c r="V596" i="4"/>
  <c r="H572" i="2"/>
  <c r="H596" i="4"/>
  <c r="X595" i="1"/>
  <c r="AA571" i="2"/>
  <c r="AA595" i="4"/>
  <c r="AA570" i="2"/>
  <c r="AA594" i="4"/>
  <c r="M570" i="2"/>
  <c r="M594" i="4"/>
  <c r="U561" i="2"/>
  <c r="U582" i="4"/>
  <c r="AA560" i="2"/>
  <c r="AA581" i="4"/>
  <c r="AB580" i="1"/>
  <c r="AB581" i="5" s="1"/>
  <c r="M557" i="2"/>
  <c r="M578" i="4"/>
  <c r="H546" i="2"/>
  <c r="H567" i="4"/>
  <c r="X566" i="1"/>
  <c r="M566" i="1"/>
  <c r="M567" i="5" s="1"/>
  <c r="V566" i="1"/>
  <c r="V567" i="5" s="1"/>
  <c r="H569" i="1"/>
  <c r="U534" i="2"/>
  <c r="U553" i="4"/>
  <c r="V533" i="2"/>
  <c r="V552" i="4"/>
  <c r="W553" i="1"/>
  <c r="W552" i="5" s="1"/>
  <c r="M529" i="2"/>
  <c r="M548" i="4"/>
  <c r="M521" i="2"/>
  <c r="M540" i="4"/>
  <c r="H512" i="2"/>
  <c r="H532" i="4"/>
  <c r="X533" i="1"/>
  <c r="M533" i="1"/>
  <c r="M532" i="5" s="1"/>
  <c r="V533" i="1"/>
  <c r="V532" i="5" s="1"/>
  <c r="P506" i="2"/>
  <c r="P526" i="4"/>
  <c r="V527" i="1"/>
  <c r="V526" i="5" s="1"/>
  <c r="U527" i="1"/>
  <c r="U526" i="5" s="1"/>
  <c r="X527" i="1"/>
  <c r="P536" i="1"/>
  <c r="P496" i="2"/>
  <c r="P516" i="4"/>
  <c r="V517" i="1"/>
  <c r="V516" i="5" s="1"/>
  <c r="U517" i="1"/>
  <c r="U516" i="5" s="1"/>
  <c r="X517" i="1"/>
  <c r="H493" i="2"/>
  <c r="H513" i="4"/>
  <c r="X514" i="1"/>
  <c r="M514" i="1"/>
  <c r="M513" i="5" s="1"/>
  <c r="V514" i="1"/>
  <c r="V513" i="5" s="1"/>
  <c r="H523" i="1"/>
  <c r="P485" i="2"/>
  <c r="P505" i="4"/>
  <c r="X506" i="1"/>
  <c r="V506" i="1"/>
  <c r="V505" i="5" s="1"/>
  <c r="M484" i="2"/>
  <c r="M504" i="4"/>
  <c r="P477" i="2"/>
  <c r="P497" i="4"/>
  <c r="V498" i="1"/>
  <c r="V497" i="5" s="1"/>
  <c r="X498" i="1"/>
  <c r="U471" i="2"/>
  <c r="U491" i="4"/>
  <c r="M461" i="2"/>
  <c r="M481" i="4"/>
  <c r="X451" i="2"/>
  <c r="Z472" i="1"/>
  <c r="Z451" i="2" s="1"/>
  <c r="V450" i="2"/>
  <c r="V470" i="4"/>
  <c r="W471" i="1"/>
  <c r="W470" i="5" s="1"/>
  <c r="M467" i="4"/>
  <c r="U444" i="2"/>
  <c r="U464" i="4"/>
  <c r="X443" i="2"/>
  <c r="Z464" i="1"/>
  <c r="Z443" i="2" s="1"/>
  <c r="V442" i="2"/>
  <c r="V462" i="4"/>
  <c r="W463" i="1"/>
  <c r="W462" i="5" s="1"/>
  <c r="U434" i="2"/>
  <c r="U454" i="4"/>
  <c r="X433" i="2"/>
  <c r="Z454" i="1"/>
  <c r="Z453" i="5" s="1"/>
  <c r="V432" i="2"/>
  <c r="V452" i="4"/>
  <c r="W453" i="1"/>
  <c r="W452" i="5" s="1"/>
  <c r="M429" i="2"/>
  <c r="M449" i="4"/>
  <c r="M421" i="2"/>
  <c r="M441" i="4"/>
  <c r="X417" i="2"/>
  <c r="X435" i="4"/>
  <c r="P415" i="2"/>
  <c r="P433" i="4"/>
  <c r="V434" i="1"/>
  <c r="V433" i="5" s="1"/>
  <c r="X434" i="1"/>
  <c r="X433" i="5" s="1"/>
  <c r="U434" i="1"/>
  <c r="U433" i="5" s="1"/>
  <c r="U396" i="2"/>
  <c r="U414" i="4"/>
  <c r="Z394" i="2"/>
  <c r="Z412" i="4"/>
  <c r="J394" i="2"/>
  <c r="J412" i="4"/>
  <c r="U390" i="2"/>
  <c r="U408" i="4"/>
  <c r="M406" i="4"/>
  <c r="U384" i="2"/>
  <c r="U402" i="4"/>
  <c r="X383" i="2"/>
  <c r="Z402" i="1"/>
  <c r="Z401" i="5" s="1"/>
  <c r="K383" i="2"/>
  <c r="K401" i="4"/>
  <c r="K420" i="1"/>
  <c r="P370" i="2"/>
  <c r="U387" i="1"/>
  <c r="U386" i="5" s="1"/>
  <c r="P386" i="4"/>
  <c r="X387" i="1"/>
  <c r="M368" i="2"/>
  <c r="M384" i="4"/>
  <c r="J364" i="2"/>
  <c r="J380" i="4"/>
  <c r="X350" i="2"/>
  <c r="Z367" i="1"/>
  <c r="Z350" i="2" s="1"/>
  <c r="H335" i="2"/>
  <c r="H348" i="4"/>
  <c r="M349" i="1"/>
  <c r="M348" i="5" s="1"/>
  <c r="J349" i="1"/>
  <c r="J348" i="5" s="1"/>
  <c r="F331" i="2"/>
  <c r="F344" i="4"/>
  <c r="H345" i="1"/>
  <c r="F370" i="1"/>
  <c r="H296" i="2"/>
  <c r="H309" i="4"/>
  <c r="M310" i="1"/>
  <c r="M309" i="5" s="1"/>
  <c r="J310" i="1"/>
  <c r="J309" i="5" s="1"/>
  <c r="X310" i="1"/>
  <c r="P291" i="2"/>
  <c r="P303" i="4"/>
  <c r="U304" i="1"/>
  <c r="U303" i="5" s="1"/>
  <c r="X289" i="2"/>
  <c r="Z302" i="1"/>
  <c r="Z289" i="2" s="1"/>
  <c r="J289" i="2"/>
  <c r="J301" i="4"/>
  <c r="X282" i="2"/>
  <c r="Z295" i="1"/>
  <c r="Z282" i="2" s="1"/>
  <c r="M281" i="2"/>
  <c r="AA294" i="1"/>
  <c r="AA293" i="5" s="1"/>
  <c r="M293" i="4"/>
  <c r="U279" i="2"/>
  <c r="U291" i="4"/>
  <c r="P256" i="2"/>
  <c r="P267" i="4"/>
  <c r="U268" i="1"/>
  <c r="U267" i="5" s="1"/>
  <c r="P281" i="1"/>
  <c r="U281" i="1" s="1"/>
  <c r="H245" i="2"/>
  <c r="H255" i="4"/>
  <c r="M256" i="1"/>
  <c r="M255" i="5" s="1"/>
  <c r="X256" i="1"/>
  <c r="X255" i="5" s="1"/>
  <c r="J256" i="1"/>
  <c r="J255" i="5" s="1"/>
  <c r="E242" i="2"/>
  <c r="Q253" i="1"/>
  <c r="Q252" i="5" s="1"/>
  <c r="E252" i="4"/>
  <c r="P238" i="2"/>
  <c r="P248" i="4"/>
  <c r="U249" i="1"/>
  <c r="U248" i="5" s="1"/>
  <c r="Q249" i="1"/>
  <c r="Q248" i="5" s="1"/>
  <c r="P237" i="2"/>
  <c r="P247" i="4"/>
  <c r="U248" i="1"/>
  <c r="U247" i="5" s="1"/>
  <c r="Q248" i="1"/>
  <c r="Q247" i="5" s="1"/>
  <c r="P235" i="2"/>
  <c r="P245" i="4"/>
  <c r="U246" i="1"/>
  <c r="U245" i="5" s="1"/>
  <c r="Q246" i="1"/>
  <c r="Q245" i="5" s="1"/>
  <c r="P234" i="2"/>
  <c r="P244" i="4"/>
  <c r="U245" i="1"/>
  <c r="U244" i="5" s="1"/>
  <c r="Q245" i="1"/>
  <c r="Q244" i="5" s="1"/>
  <c r="J233" i="2"/>
  <c r="J243" i="4"/>
  <c r="P228" i="4"/>
  <c r="U228" i="1"/>
  <c r="P206" i="2"/>
  <c r="P215" i="4"/>
  <c r="X215" i="1"/>
  <c r="U196" i="2"/>
  <c r="U205" i="4"/>
  <c r="AA205" i="1"/>
  <c r="AA205" i="5" s="1"/>
  <c r="X185" i="2"/>
  <c r="Z193" i="1"/>
  <c r="Z185" i="2" s="1"/>
  <c r="X183" i="2"/>
  <c r="Z191" i="1"/>
  <c r="Z183" i="2" s="1"/>
  <c r="P152" i="2"/>
  <c r="P159" i="4"/>
  <c r="V159" i="1"/>
  <c r="V159" i="5" s="1"/>
  <c r="U159" i="1"/>
  <c r="U159" i="5" s="1"/>
  <c r="X159" i="1"/>
  <c r="U135" i="2"/>
  <c r="U142" i="4"/>
  <c r="W114" i="1"/>
  <c r="W114" i="5" s="1"/>
  <c r="M108" i="2"/>
  <c r="M114" i="4"/>
  <c r="AA114" i="1"/>
  <c r="AA114" i="5" s="1"/>
  <c r="M105" i="2"/>
  <c r="M111" i="4"/>
  <c r="AA111" i="1"/>
  <c r="AA111" i="5" s="1"/>
  <c r="X92" i="2"/>
  <c r="Z97" i="1"/>
  <c r="Z92" i="2" s="1"/>
  <c r="U85" i="2"/>
  <c r="U90" i="4"/>
  <c r="H73" i="2"/>
  <c r="H77" i="4"/>
  <c r="X77" i="1"/>
  <c r="M77" i="1"/>
  <c r="M77" i="5" s="1"/>
  <c r="V77" i="1"/>
  <c r="V77" i="5" s="1"/>
  <c r="F61" i="2"/>
  <c r="F64" i="2" s="1"/>
  <c r="F65" i="4"/>
  <c r="F68" i="4" s="1"/>
  <c r="F68" i="1"/>
  <c r="F132" i="1" s="1"/>
  <c r="H65" i="1"/>
  <c r="P58" i="2"/>
  <c r="P62" i="4"/>
  <c r="V62" i="1"/>
  <c r="V62" i="5" s="1"/>
  <c r="U62" i="1"/>
  <c r="X62" i="1"/>
  <c r="M57" i="2"/>
  <c r="M61" i="4"/>
  <c r="U52" i="2"/>
  <c r="U56" i="4"/>
  <c r="N25" i="2"/>
  <c r="N41" i="2" s="1"/>
  <c r="N26" i="4"/>
  <c r="N45" i="4" s="1"/>
  <c r="P26" i="1"/>
  <c r="P26" i="5" s="1"/>
  <c r="N45" i="1"/>
  <c r="N132" i="1" s="1"/>
  <c r="E2752" i="4"/>
  <c r="E2929" i="4" s="1"/>
  <c r="Z2728" i="4"/>
  <c r="Z2219" i="4"/>
  <c r="X2576" i="2"/>
  <c r="Z2576" i="2" s="1"/>
  <c r="M2576" i="2"/>
  <c r="AA2576" i="2" s="1"/>
  <c r="AB2576" i="2" s="1"/>
  <c r="V2576" i="2"/>
  <c r="X2561" i="2"/>
  <c r="Z2561" i="2" s="1"/>
  <c r="M2561" i="2"/>
  <c r="AA2561" i="2" s="1"/>
  <c r="AB2561" i="2" s="1"/>
  <c r="V2561" i="2"/>
  <c r="W2561" i="2" s="1"/>
  <c r="U2129" i="2"/>
  <c r="Q2129" i="2"/>
  <c r="R1190" i="1"/>
  <c r="R2908" i="1" s="1"/>
  <c r="W1118" i="1"/>
  <c r="W1117" i="5" s="1"/>
  <c r="M1118" i="1"/>
  <c r="M1117" i="5" s="1"/>
  <c r="U1117" i="1"/>
  <c r="U1116" i="5" s="1"/>
  <c r="W1114" i="1"/>
  <c r="W1113" i="5" s="1"/>
  <c r="M1114" i="1"/>
  <c r="M1113" i="5" s="1"/>
  <c r="U1112" i="1"/>
  <c r="U1111" i="5" s="1"/>
  <c r="U1027" i="1"/>
  <c r="W1021" i="1"/>
  <c r="W1020" i="5" s="1"/>
  <c r="M1021" i="1"/>
  <c r="M1020" i="5" s="1"/>
  <c r="U1020" i="1"/>
  <c r="U1019" i="5" s="1"/>
  <c r="M1011" i="1"/>
  <c r="M1010" i="5" s="1"/>
  <c r="W1009" i="1"/>
  <c r="W1008" i="5" s="1"/>
  <c r="M1009" i="1"/>
  <c r="M1008" i="5" s="1"/>
  <c r="V972" i="1"/>
  <c r="V971" i="5" s="1"/>
  <c r="M972" i="1"/>
  <c r="M971" i="5" s="1"/>
  <c r="U971" i="1"/>
  <c r="U970" i="5" s="1"/>
  <c r="AA762" i="1"/>
  <c r="AA762" i="5" s="1"/>
  <c r="W749" i="1"/>
  <c r="W749" i="5" s="1"/>
  <c r="AB738" i="1"/>
  <c r="AB738" i="5" s="1"/>
  <c r="V711" i="1"/>
  <c r="V711" i="5" s="1"/>
  <c r="V709" i="1"/>
  <c r="X699" i="1"/>
  <c r="X669" i="2" s="1"/>
  <c r="AA686" i="1"/>
  <c r="AA686" i="5" s="1"/>
  <c r="E639" i="1"/>
  <c r="E2904" i="1" s="1"/>
  <c r="S639" i="1"/>
  <c r="N639" i="1"/>
  <c r="N2904" i="1" s="1"/>
  <c r="AA600" i="1"/>
  <c r="AA601" i="5" s="1"/>
  <c r="AA592" i="1"/>
  <c r="AA593" i="5" s="1"/>
  <c r="Z586" i="1"/>
  <c r="Z563" i="2" s="1"/>
  <c r="Z580" i="1"/>
  <c r="Z560" i="2" s="1"/>
  <c r="P575" i="1"/>
  <c r="P576" i="5" s="1"/>
  <c r="AA504" i="1"/>
  <c r="AA503" i="5" s="1"/>
  <c r="AA496" i="1"/>
  <c r="AA495" i="5" s="1"/>
  <c r="U494" i="1"/>
  <c r="AB493" i="1"/>
  <c r="AB492" i="5" s="1"/>
  <c r="AA71" i="1"/>
  <c r="AA71" i="5" s="1"/>
  <c r="L2366" i="4"/>
  <c r="T2194" i="4"/>
  <c r="Z947" i="4"/>
  <c r="P1119" i="2"/>
  <c r="P1170" i="4"/>
  <c r="M1118" i="2"/>
  <c r="M1169" i="4"/>
  <c r="U1113" i="2"/>
  <c r="U1164" i="4"/>
  <c r="M1112" i="2"/>
  <c r="M1163" i="4"/>
  <c r="U1111" i="2"/>
  <c r="U1162" i="4"/>
  <c r="F1111" i="2"/>
  <c r="F1115" i="2" s="1"/>
  <c r="F1162" i="4"/>
  <c r="F1166" i="4" s="1"/>
  <c r="M1110" i="2"/>
  <c r="M1160" i="4"/>
  <c r="U1109" i="2"/>
  <c r="U1159" i="4"/>
  <c r="M1108" i="2"/>
  <c r="M1158" i="4"/>
  <c r="U1107" i="2"/>
  <c r="U1157" i="4"/>
  <c r="M1106" i="2"/>
  <c r="M1156" i="4"/>
  <c r="U1105" i="2"/>
  <c r="U1155" i="4"/>
  <c r="M1104" i="2"/>
  <c r="M1154" i="4"/>
  <c r="U1103" i="2"/>
  <c r="U1153" i="4"/>
  <c r="M1102" i="2"/>
  <c r="M1152" i="4"/>
  <c r="U1101" i="2"/>
  <c r="U1151" i="4"/>
  <c r="M1100" i="2"/>
  <c r="M1150" i="4"/>
  <c r="U1099" i="2"/>
  <c r="U1149" i="4"/>
  <c r="M1098" i="2"/>
  <c r="M1148" i="4"/>
  <c r="H1097" i="2"/>
  <c r="H1147" i="4"/>
  <c r="P1091" i="2"/>
  <c r="P1141" i="4"/>
  <c r="M1089" i="2"/>
  <c r="M1139" i="4"/>
  <c r="M1087" i="2"/>
  <c r="M1137" i="4"/>
  <c r="U1086" i="2"/>
  <c r="U1136" i="4"/>
  <c r="M1085" i="2"/>
  <c r="M1135" i="4"/>
  <c r="U1084" i="2"/>
  <c r="U1134" i="4"/>
  <c r="E1084" i="2"/>
  <c r="E1134" i="4"/>
  <c r="P1083" i="2"/>
  <c r="P1133" i="4"/>
  <c r="H1082" i="2"/>
  <c r="H1132" i="4"/>
  <c r="P1077" i="2"/>
  <c r="P1127" i="4"/>
  <c r="H1076" i="2"/>
  <c r="H1125" i="4"/>
  <c r="P1075" i="2"/>
  <c r="P1124" i="4"/>
  <c r="P1074" i="2"/>
  <c r="P1123" i="4"/>
  <c r="H1073" i="2"/>
  <c r="H1122" i="4"/>
  <c r="H1121" i="4"/>
  <c r="H1072" i="2"/>
  <c r="H1071" i="2"/>
  <c r="H1120" i="4"/>
  <c r="U1070" i="2"/>
  <c r="U1119" i="4"/>
  <c r="M1069" i="2"/>
  <c r="M1118" i="4"/>
  <c r="U1068" i="2"/>
  <c r="U1117" i="4"/>
  <c r="M1067" i="2"/>
  <c r="M1116" i="4"/>
  <c r="U1066" i="2"/>
  <c r="U1115" i="4"/>
  <c r="M1065" i="2"/>
  <c r="M1114" i="4"/>
  <c r="U1064" i="2"/>
  <c r="U1113" i="4"/>
  <c r="M1062" i="2"/>
  <c r="M1111" i="4"/>
  <c r="U1061" i="2"/>
  <c r="M1060" i="2"/>
  <c r="M1109" i="4"/>
  <c r="M1054" i="2"/>
  <c r="M1102" i="4"/>
  <c r="H1053" i="2"/>
  <c r="H1101" i="4"/>
  <c r="P1052" i="2"/>
  <c r="P1100" i="4"/>
  <c r="H1051" i="2"/>
  <c r="H1099" i="4"/>
  <c r="H1050" i="2"/>
  <c r="H1098" i="4"/>
  <c r="P1049" i="2"/>
  <c r="P1097" i="4"/>
  <c r="H1048" i="2"/>
  <c r="H1096" i="4"/>
  <c r="P1047" i="2"/>
  <c r="P1095" i="4"/>
  <c r="H1094" i="4"/>
  <c r="H1046" i="2"/>
  <c r="P1045" i="2"/>
  <c r="P1093" i="4"/>
  <c r="H1044" i="2"/>
  <c r="H1092" i="4"/>
  <c r="P1043" i="2"/>
  <c r="P1091" i="4"/>
  <c r="H1042" i="2"/>
  <c r="H1090" i="4"/>
  <c r="P1041" i="2"/>
  <c r="P1089" i="4"/>
  <c r="H1035" i="2"/>
  <c r="H1083" i="4"/>
  <c r="U1034" i="2"/>
  <c r="U1082" i="4"/>
  <c r="M1033" i="2"/>
  <c r="M1081" i="4"/>
  <c r="M1032" i="2"/>
  <c r="M1079" i="4"/>
  <c r="M1031" i="2"/>
  <c r="M1078" i="4"/>
  <c r="U1030" i="2"/>
  <c r="U1077" i="4"/>
  <c r="H1029" i="2"/>
  <c r="H1076" i="4"/>
  <c r="P1028" i="2"/>
  <c r="P1075" i="4"/>
  <c r="H1027" i="2"/>
  <c r="H1074" i="4"/>
  <c r="P1026" i="2"/>
  <c r="P1073" i="4"/>
  <c r="M1025" i="2"/>
  <c r="M1072" i="4"/>
  <c r="U1024" i="2"/>
  <c r="U1071" i="4"/>
  <c r="M1023" i="2"/>
  <c r="M1070" i="4"/>
  <c r="U1022" i="2"/>
  <c r="U1069" i="4"/>
  <c r="M1021" i="2"/>
  <c r="M1068" i="4"/>
  <c r="U1016" i="2"/>
  <c r="U1063" i="4"/>
  <c r="M1015" i="2"/>
  <c r="M1062" i="4"/>
  <c r="M1013" i="2"/>
  <c r="M1058" i="4"/>
  <c r="U1012" i="2"/>
  <c r="U1057" i="4"/>
  <c r="M1011" i="2"/>
  <c r="M1056" i="4"/>
  <c r="U1010" i="2"/>
  <c r="U1055" i="4"/>
  <c r="M1009" i="2"/>
  <c r="M1054" i="4"/>
  <c r="U1007" i="2"/>
  <c r="U1052" i="4"/>
  <c r="M1002" i="2"/>
  <c r="M1047" i="4"/>
  <c r="U1001" i="2"/>
  <c r="U1046" i="4"/>
  <c r="M1000" i="2"/>
  <c r="M1045" i="4"/>
  <c r="U999" i="2"/>
  <c r="U1044" i="4"/>
  <c r="M998" i="2"/>
  <c r="M1043" i="4"/>
  <c r="U997" i="2"/>
  <c r="U1042" i="4"/>
  <c r="M996" i="2"/>
  <c r="M1041" i="4"/>
  <c r="U995" i="2"/>
  <c r="U1040" i="4"/>
  <c r="U993" i="2"/>
  <c r="U1038" i="4"/>
  <c r="M992" i="2"/>
  <c r="M1037" i="4"/>
  <c r="U991" i="2"/>
  <c r="M986" i="2"/>
  <c r="M1031" i="4"/>
  <c r="U985" i="2"/>
  <c r="U1030" i="4"/>
  <c r="P984" i="2"/>
  <c r="P1029" i="4"/>
  <c r="U983" i="2"/>
  <c r="M981" i="2"/>
  <c r="M1026" i="4"/>
  <c r="U980" i="2"/>
  <c r="U1025" i="4"/>
  <c r="M979" i="2"/>
  <c r="M1024" i="4"/>
  <c r="H978" i="2"/>
  <c r="H1023" i="4"/>
  <c r="P977" i="2"/>
  <c r="P1022" i="4"/>
  <c r="M976" i="2"/>
  <c r="M1021" i="4"/>
  <c r="U975" i="2"/>
  <c r="U1020" i="4"/>
  <c r="M974" i="2"/>
  <c r="M1019" i="4"/>
  <c r="U973" i="2"/>
  <c r="U1018" i="4"/>
  <c r="M972" i="2"/>
  <c r="M1017" i="4"/>
  <c r="U966" i="2"/>
  <c r="U1011" i="4"/>
  <c r="U965" i="2"/>
  <c r="U1008" i="4"/>
  <c r="M964" i="2"/>
  <c r="M1007" i="4"/>
  <c r="U963" i="2"/>
  <c r="U1006" i="4"/>
  <c r="H963" i="2"/>
  <c r="H1006" i="4"/>
  <c r="H962" i="2"/>
  <c r="H1005" i="4"/>
  <c r="H961" i="2"/>
  <c r="H1004" i="4"/>
  <c r="P960" i="2"/>
  <c r="P1003" i="4"/>
  <c r="H959" i="2"/>
  <c r="H1002" i="4"/>
  <c r="P958" i="2"/>
  <c r="P1001" i="4"/>
  <c r="H957" i="2"/>
  <c r="H1000" i="4"/>
  <c r="P956" i="2"/>
  <c r="P999" i="4"/>
  <c r="M955" i="2"/>
  <c r="M998" i="4"/>
  <c r="U954" i="2"/>
  <c r="U997" i="4"/>
  <c r="AB953" i="2"/>
  <c r="AB996" i="4"/>
  <c r="M952" i="2"/>
  <c r="M995" i="4"/>
  <c r="U951" i="2"/>
  <c r="U994" i="4"/>
  <c r="N950" i="2"/>
  <c r="N993" i="4"/>
  <c r="M944" i="2"/>
  <c r="M946" i="2" s="1"/>
  <c r="M987" i="4"/>
  <c r="M989" i="4" s="1"/>
  <c r="M938" i="2"/>
  <c r="M981" i="4"/>
  <c r="H937" i="2"/>
  <c r="H979" i="4"/>
  <c r="H936" i="2"/>
  <c r="H978" i="4"/>
  <c r="P935" i="2"/>
  <c r="P977" i="4"/>
  <c r="M934" i="2"/>
  <c r="M976" i="4"/>
  <c r="H933" i="2"/>
  <c r="H975" i="4"/>
  <c r="P932" i="2"/>
  <c r="P974" i="4"/>
  <c r="M931" i="2"/>
  <c r="M973" i="4"/>
  <c r="H930" i="2"/>
  <c r="H972" i="4"/>
  <c r="P929" i="2"/>
  <c r="P971" i="4"/>
  <c r="M928" i="2"/>
  <c r="M970" i="4"/>
  <c r="U969" i="4"/>
  <c r="U927" i="2"/>
  <c r="M926" i="2"/>
  <c r="M968" i="4"/>
  <c r="Q902" i="2"/>
  <c r="Q945" i="4"/>
  <c r="H902" i="2"/>
  <c r="H945" i="4"/>
  <c r="Q901" i="2"/>
  <c r="Q904" i="2" s="1"/>
  <c r="Q944" i="4"/>
  <c r="Q947" i="4" s="1"/>
  <c r="H901" i="2"/>
  <c r="H904" i="2" s="1"/>
  <c r="H944" i="4"/>
  <c r="E895" i="2"/>
  <c r="E938" i="4"/>
  <c r="Q894" i="2"/>
  <c r="Q937" i="4"/>
  <c r="H894" i="2"/>
  <c r="H937" i="4"/>
  <c r="J892" i="2"/>
  <c r="J935" i="4"/>
  <c r="J891" i="2"/>
  <c r="J934" i="4"/>
  <c r="J890" i="2"/>
  <c r="J933" i="4"/>
  <c r="J889" i="2"/>
  <c r="J932" i="4"/>
  <c r="J888" i="2"/>
  <c r="J931" i="4"/>
  <c r="P886" i="2"/>
  <c r="P929" i="4"/>
  <c r="P885" i="2"/>
  <c r="P928" i="4"/>
  <c r="E885" i="2"/>
  <c r="E928" i="4"/>
  <c r="Q884" i="2"/>
  <c r="Q927" i="4"/>
  <c r="H884" i="2"/>
  <c r="H927" i="4"/>
  <c r="P877" i="2"/>
  <c r="P920" i="4"/>
  <c r="F877" i="2"/>
  <c r="F920" i="4"/>
  <c r="J876" i="2"/>
  <c r="J919" i="4"/>
  <c r="J875" i="2"/>
  <c r="J918" i="4"/>
  <c r="J874" i="2"/>
  <c r="J917" i="4"/>
  <c r="P872" i="2"/>
  <c r="P912" i="4"/>
  <c r="P871" i="2"/>
  <c r="P911" i="4"/>
  <c r="P870" i="2"/>
  <c r="P910" i="4"/>
  <c r="P869" i="2"/>
  <c r="P909" i="4"/>
  <c r="F869" i="2"/>
  <c r="F909" i="4"/>
  <c r="J868" i="2"/>
  <c r="J908" i="4"/>
  <c r="E867" i="2"/>
  <c r="E907" i="4"/>
  <c r="H866" i="2"/>
  <c r="H906" i="4"/>
  <c r="J865" i="2"/>
  <c r="J905" i="4"/>
  <c r="P862" i="2"/>
  <c r="P902" i="4"/>
  <c r="F862" i="2"/>
  <c r="F902" i="4"/>
  <c r="H861" i="2"/>
  <c r="H901" i="4"/>
  <c r="Q860" i="2"/>
  <c r="Q900" i="4"/>
  <c r="H860" i="2"/>
  <c r="H900" i="4"/>
  <c r="J859" i="2"/>
  <c r="J899" i="4"/>
  <c r="J853" i="2"/>
  <c r="J893" i="4"/>
  <c r="P851" i="2"/>
  <c r="P891" i="4"/>
  <c r="U850" i="2"/>
  <c r="E850" i="2"/>
  <c r="E889" i="4"/>
  <c r="H849" i="2"/>
  <c r="H888" i="4"/>
  <c r="Q848" i="2"/>
  <c r="Q887" i="4"/>
  <c r="H848" i="2"/>
  <c r="H887" i="4"/>
  <c r="Q847" i="2"/>
  <c r="Q886" i="4"/>
  <c r="H847" i="2"/>
  <c r="H886" i="4"/>
  <c r="Q846" i="2"/>
  <c r="Q885" i="4"/>
  <c r="H846" i="2"/>
  <c r="H885" i="4"/>
  <c r="Q845" i="2"/>
  <c r="Q884" i="4"/>
  <c r="H845" i="2"/>
  <c r="H884" i="4"/>
  <c r="Q844" i="2"/>
  <c r="Q883" i="4"/>
  <c r="Q843" i="2"/>
  <c r="Q882" i="4"/>
  <c r="H843" i="2"/>
  <c r="H882" i="4"/>
  <c r="J842" i="2"/>
  <c r="J881" i="4"/>
  <c r="E839" i="2"/>
  <c r="E878" i="4"/>
  <c r="H838" i="2"/>
  <c r="H877" i="4"/>
  <c r="Q837" i="2"/>
  <c r="Q876" i="4"/>
  <c r="H837" i="2"/>
  <c r="H876" i="4"/>
  <c r="J836" i="2"/>
  <c r="J875" i="4"/>
  <c r="Q831" i="2"/>
  <c r="H831" i="2"/>
  <c r="H870" i="4"/>
  <c r="U830" i="2"/>
  <c r="U866" i="4"/>
  <c r="H830" i="2"/>
  <c r="H866" i="4"/>
  <c r="U828" i="2"/>
  <c r="H828" i="2"/>
  <c r="H863" i="4"/>
  <c r="Q827" i="2"/>
  <c r="Q862" i="4"/>
  <c r="H827" i="2"/>
  <c r="H862" i="4"/>
  <c r="J861" i="4"/>
  <c r="J826" i="2"/>
  <c r="J824" i="2"/>
  <c r="P822" i="2"/>
  <c r="P857" i="4"/>
  <c r="F822" i="2"/>
  <c r="F857" i="4"/>
  <c r="J821" i="2"/>
  <c r="J856" i="4"/>
  <c r="P819" i="2"/>
  <c r="P854" i="4"/>
  <c r="P818" i="2"/>
  <c r="P853" i="4"/>
  <c r="F818" i="2"/>
  <c r="F853" i="4"/>
  <c r="J817" i="2"/>
  <c r="J852" i="4"/>
  <c r="J816" i="2"/>
  <c r="J851" i="4"/>
  <c r="J815" i="2"/>
  <c r="J850" i="4"/>
  <c r="P813" i="2"/>
  <c r="P848" i="4"/>
  <c r="E813" i="2"/>
  <c r="E848" i="4"/>
  <c r="Q812" i="2"/>
  <c r="Q847" i="4"/>
  <c r="H812" i="2"/>
  <c r="H847" i="4"/>
  <c r="P804" i="2"/>
  <c r="P838" i="4"/>
  <c r="E804" i="2"/>
  <c r="E838" i="4"/>
  <c r="E803" i="2"/>
  <c r="E837" i="4"/>
  <c r="Q802" i="2"/>
  <c r="Q836" i="4"/>
  <c r="H802" i="2"/>
  <c r="H836" i="4"/>
  <c r="J801" i="2"/>
  <c r="J835" i="4"/>
  <c r="J800" i="2"/>
  <c r="J834" i="4"/>
  <c r="E799" i="2"/>
  <c r="E833" i="4"/>
  <c r="Q798" i="2"/>
  <c r="Q832" i="4"/>
  <c r="H798" i="2"/>
  <c r="H832" i="4"/>
  <c r="H797" i="2"/>
  <c r="H831" i="4"/>
  <c r="Q796" i="2"/>
  <c r="Q830" i="4"/>
  <c r="H796" i="2"/>
  <c r="H830" i="4"/>
  <c r="J795" i="2"/>
  <c r="J829" i="4"/>
  <c r="E793" i="2"/>
  <c r="E827" i="4"/>
  <c r="Q792" i="2"/>
  <c r="Q826" i="4"/>
  <c r="H792" i="2"/>
  <c r="H826" i="4"/>
  <c r="H786" i="2"/>
  <c r="H820" i="4"/>
  <c r="Q785" i="2"/>
  <c r="Q819" i="4"/>
  <c r="H785" i="2"/>
  <c r="H819" i="4"/>
  <c r="Q784" i="2"/>
  <c r="Q818" i="4"/>
  <c r="H784" i="2"/>
  <c r="H818" i="4"/>
  <c r="J783" i="2"/>
  <c r="J817" i="4"/>
  <c r="P780" i="2"/>
  <c r="P814" i="4"/>
  <c r="P779" i="2"/>
  <c r="P813" i="4"/>
  <c r="P778" i="2"/>
  <c r="P812" i="4"/>
  <c r="F778" i="2"/>
  <c r="F812" i="4"/>
  <c r="Q777" i="2"/>
  <c r="Q811" i="4"/>
  <c r="H777" i="2"/>
  <c r="H811" i="4"/>
  <c r="E773" i="2"/>
  <c r="E807" i="4"/>
  <c r="Q772" i="2"/>
  <c r="Q806" i="4"/>
  <c r="H772" i="2"/>
  <c r="H806" i="4"/>
  <c r="Q771" i="2"/>
  <c r="H771" i="2"/>
  <c r="H805" i="4"/>
  <c r="U764" i="2"/>
  <c r="U797" i="4"/>
  <c r="M763" i="2"/>
  <c r="M796" i="4"/>
  <c r="E762" i="2"/>
  <c r="E795" i="4"/>
  <c r="Q761" i="2"/>
  <c r="Q794" i="4"/>
  <c r="H761" i="2"/>
  <c r="H794" i="4"/>
  <c r="J760" i="2"/>
  <c r="J793" i="4"/>
  <c r="J759" i="2"/>
  <c r="J792" i="4"/>
  <c r="J758" i="2"/>
  <c r="J791" i="4"/>
  <c r="F755" i="2"/>
  <c r="F788" i="4"/>
  <c r="J754" i="2"/>
  <c r="J787" i="4"/>
  <c r="P751" i="2"/>
  <c r="P784" i="4"/>
  <c r="F751" i="2"/>
  <c r="F784" i="4"/>
  <c r="P745" i="2"/>
  <c r="P778" i="4"/>
  <c r="E745" i="2"/>
  <c r="E778" i="4"/>
  <c r="Q744" i="2"/>
  <c r="Q776" i="4"/>
  <c r="H744" i="2"/>
  <c r="H776" i="4"/>
  <c r="P743" i="2"/>
  <c r="P774" i="4"/>
  <c r="P742" i="2"/>
  <c r="P773" i="4"/>
  <c r="P741" i="2"/>
  <c r="P772" i="4"/>
  <c r="J740" i="2"/>
  <c r="J771" i="4"/>
  <c r="P739" i="2"/>
  <c r="P770" i="4"/>
  <c r="Q770" i="1"/>
  <c r="Q770" i="5" s="1"/>
  <c r="X770" i="1"/>
  <c r="J738" i="2"/>
  <c r="J769" i="4"/>
  <c r="P737" i="2"/>
  <c r="P768" i="4"/>
  <c r="E737" i="2"/>
  <c r="E768" i="4"/>
  <c r="Q768" i="1"/>
  <c r="Q768" i="5" s="1"/>
  <c r="J736" i="2"/>
  <c r="J767" i="4"/>
  <c r="Q735" i="2"/>
  <c r="Q766" i="4"/>
  <c r="H735" i="2"/>
  <c r="H766" i="4"/>
  <c r="J732" i="2"/>
  <c r="J763" i="4"/>
  <c r="J731" i="2"/>
  <c r="J762" i="4"/>
  <c r="Q730" i="2"/>
  <c r="Q761" i="4"/>
  <c r="H729" i="2"/>
  <c r="J760" i="1"/>
  <c r="J760" i="5" s="1"/>
  <c r="H723" i="2"/>
  <c r="H754" i="4"/>
  <c r="M721" i="2"/>
  <c r="M752" i="4"/>
  <c r="U720" i="2"/>
  <c r="U751" i="4"/>
  <c r="M719" i="2"/>
  <c r="M750" i="4"/>
  <c r="U718" i="2"/>
  <c r="U749" i="4"/>
  <c r="H718" i="2"/>
  <c r="H749" i="4"/>
  <c r="J749" i="1"/>
  <c r="J749" i="5" s="1"/>
  <c r="X749" i="1"/>
  <c r="P717" i="2"/>
  <c r="P748" i="4"/>
  <c r="V748" i="1"/>
  <c r="V748" i="5" s="1"/>
  <c r="U716" i="2"/>
  <c r="U747" i="4"/>
  <c r="J716" i="2"/>
  <c r="J747" i="4"/>
  <c r="V709" i="2"/>
  <c r="V740" i="4"/>
  <c r="W740" i="1"/>
  <c r="W740" i="5" s="1"/>
  <c r="M709" i="2"/>
  <c r="M740" i="4"/>
  <c r="M707" i="2"/>
  <c r="M738" i="4"/>
  <c r="H704" i="2"/>
  <c r="H734" i="4"/>
  <c r="M734" i="1"/>
  <c r="M734" i="5" s="1"/>
  <c r="J734" i="1"/>
  <c r="J734" i="5" s="1"/>
  <c r="Q703" i="2"/>
  <c r="Q733" i="4"/>
  <c r="H702" i="2"/>
  <c r="H732" i="4"/>
  <c r="M732" i="1"/>
  <c r="M732" i="5" s="1"/>
  <c r="J732" i="1"/>
  <c r="J732" i="5" s="1"/>
  <c r="E701" i="2"/>
  <c r="E731" i="4"/>
  <c r="Q731" i="1"/>
  <c r="Q731" i="5" s="1"/>
  <c r="Q700" i="2"/>
  <c r="Q730" i="4"/>
  <c r="J698" i="2"/>
  <c r="J728" i="4"/>
  <c r="U697" i="2"/>
  <c r="U727" i="4"/>
  <c r="H697" i="2"/>
  <c r="H727" i="4"/>
  <c r="M727" i="1"/>
  <c r="M727" i="5" s="1"/>
  <c r="U695" i="2"/>
  <c r="U725" i="4"/>
  <c r="H694" i="2"/>
  <c r="H724" i="4"/>
  <c r="M724" i="1"/>
  <c r="M724" i="5" s="1"/>
  <c r="J724" i="1"/>
  <c r="J724" i="5" s="1"/>
  <c r="K692" i="2"/>
  <c r="K712" i="2" s="1"/>
  <c r="K722" i="4"/>
  <c r="K743" i="4" s="1"/>
  <c r="P691" i="2"/>
  <c r="P721" i="4"/>
  <c r="V721" i="1"/>
  <c r="V721" i="5" s="1"/>
  <c r="U721" i="1"/>
  <c r="U721" i="5" s="1"/>
  <c r="J690" i="2"/>
  <c r="J720" i="4"/>
  <c r="U689" i="2"/>
  <c r="U719" i="4"/>
  <c r="H689" i="2"/>
  <c r="H719" i="4"/>
  <c r="M719" i="1"/>
  <c r="M719" i="5" s="1"/>
  <c r="F687" i="2"/>
  <c r="F717" i="4"/>
  <c r="M682" i="2"/>
  <c r="M712" i="4"/>
  <c r="M681" i="2"/>
  <c r="M711" i="4"/>
  <c r="M680" i="2"/>
  <c r="M710" i="4"/>
  <c r="M679" i="2"/>
  <c r="M709" i="4"/>
  <c r="P678" i="2"/>
  <c r="P708" i="4"/>
  <c r="V708" i="1"/>
  <c r="V708" i="5" s="1"/>
  <c r="U708" i="1"/>
  <c r="U708" i="5" s="1"/>
  <c r="J677" i="2"/>
  <c r="J707" i="4"/>
  <c r="U676" i="2"/>
  <c r="U706" i="4"/>
  <c r="H676" i="2"/>
  <c r="H706" i="4"/>
  <c r="M706" i="1"/>
  <c r="M706" i="5" s="1"/>
  <c r="U673" i="2"/>
  <c r="U703" i="4"/>
  <c r="J673" i="2"/>
  <c r="J703" i="4"/>
  <c r="M672" i="2"/>
  <c r="M702" i="4"/>
  <c r="M671" i="2"/>
  <c r="M701" i="4"/>
  <c r="P670" i="2"/>
  <c r="P700" i="4"/>
  <c r="V700" i="1"/>
  <c r="V700" i="5" s="1"/>
  <c r="U700" i="1"/>
  <c r="U700" i="5" s="1"/>
  <c r="J669" i="2"/>
  <c r="J699" i="4"/>
  <c r="P666" i="2"/>
  <c r="P696" i="4"/>
  <c r="V696" i="1"/>
  <c r="V696" i="5" s="1"/>
  <c r="U696" i="1"/>
  <c r="U696" i="5" s="1"/>
  <c r="P664" i="2"/>
  <c r="P694" i="4"/>
  <c r="V694" i="1"/>
  <c r="V694" i="5" s="1"/>
  <c r="U694" i="1"/>
  <c r="U694" i="5" s="1"/>
  <c r="E659" i="2"/>
  <c r="E689" i="4"/>
  <c r="P658" i="2"/>
  <c r="P688" i="4"/>
  <c r="V688" i="1"/>
  <c r="V688" i="5" s="1"/>
  <c r="J656" i="2"/>
  <c r="J686" i="4"/>
  <c r="V655" i="2"/>
  <c r="V685" i="4"/>
  <c r="W685" i="1"/>
  <c r="W685" i="5" s="1"/>
  <c r="H655" i="2"/>
  <c r="H685" i="4"/>
  <c r="X685" i="1"/>
  <c r="M685" i="1"/>
  <c r="M685" i="5" s="1"/>
  <c r="H653" i="2"/>
  <c r="H681" i="4"/>
  <c r="P652" i="2"/>
  <c r="P680" i="4"/>
  <c r="V680" i="1"/>
  <c r="V680" i="5" s="1"/>
  <c r="H651" i="2"/>
  <c r="H679" i="4"/>
  <c r="J679" i="1"/>
  <c r="J679" i="5" s="1"/>
  <c r="U650" i="2"/>
  <c r="U678" i="4"/>
  <c r="U649" i="2"/>
  <c r="U677" i="4"/>
  <c r="M648" i="2"/>
  <c r="M676" i="4"/>
  <c r="J647" i="2"/>
  <c r="J675" i="4"/>
  <c r="U646" i="2"/>
  <c r="U674" i="4"/>
  <c r="M644" i="2"/>
  <c r="M672" i="4"/>
  <c r="J643" i="2"/>
  <c r="J671" i="4"/>
  <c r="U642" i="2"/>
  <c r="U670" i="4"/>
  <c r="H641" i="2"/>
  <c r="H669" i="4"/>
  <c r="M669" i="1"/>
  <c r="M669" i="5" s="1"/>
  <c r="J669" i="1"/>
  <c r="J669" i="5" s="1"/>
  <c r="P640" i="2"/>
  <c r="P668" i="4"/>
  <c r="V668" i="1"/>
  <c r="V668" i="5" s="1"/>
  <c r="U668" i="1"/>
  <c r="U668" i="5" s="1"/>
  <c r="X639" i="2"/>
  <c r="Z667" i="1"/>
  <c r="Z639" i="2" s="1"/>
  <c r="U666" i="4"/>
  <c r="U665" i="4"/>
  <c r="U637" i="2"/>
  <c r="U636" i="2"/>
  <c r="U664" i="4"/>
  <c r="M631" i="2"/>
  <c r="M659" i="4"/>
  <c r="J630" i="2"/>
  <c r="J658" i="4"/>
  <c r="U629" i="2"/>
  <c r="U657" i="4"/>
  <c r="W627" i="2"/>
  <c r="W655" i="4"/>
  <c r="M655" i="4"/>
  <c r="X626" i="2"/>
  <c r="Z654" i="1"/>
  <c r="Z654" i="5" s="1"/>
  <c r="W625" i="2"/>
  <c r="W653" i="4"/>
  <c r="M625" i="2"/>
  <c r="M653" i="4"/>
  <c r="X624" i="2"/>
  <c r="Z652" i="1"/>
  <c r="Z652" i="5" s="1"/>
  <c r="U622" i="2"/>
  <c r="U650" i="4"/>
  <c r="X645" i="1"/>
  <c r="Z645" i="1" s="1"/>
  <c r="M645" i="1"/>
  <c r="M645" i="5" s="1"/>
  <c r="P611" i="2"/>
  <c r="P636" i="4"/>
  <c r="V635" i="1"/>
  <c r="V636" i="5" s="1"/>
  <c r="U635" i="1"/>
  <c r="H610" i="2"/>
  <c r="H635" i="4"/>
  <c r="X634" i="1"/>
  <c r="M634" i="1"/>
  <c r="M635" i="5" s="1"/>
  <c r="P609" i="2"/>
  <c r="P634" i="4"/>
  <c r="V633" i="1"/>
  <c r="V634" i="5" s="1"/>
  <c r="U633" i="1"/>
  <c r="U634" i="5" s="1"/>
  <c r="E609" i="2"/>
  <c r="E613" i="2" s="1"/>
  <c r="E634" i="4"/>
  <c r="P608" i="2"/>
  <c r="P633" i="4"/>
  <c r="V632" i="1"/>
  <c r="V633" i="5" s="1"/>
  <c r="U632" i="1"/>
  <c r="U633" i="5" s="1"/>
  <c r="H607" i="2"/>
  <c r="H632" i="4"/>
  <c r="X631" i="1"/>
  <c r="M631" i="1"/>
  <c r="M632" i="5" s="1"/>
  <c r="P606" i="2"/>
  <c r="P631" i="4"/>
  <c r="V630" i="1"/>
  <c r="V631" i="5" s="1"/>
  <c r="U630" i="1"/>
  <c r="U631" i="5" s="1"/>
  <c r="H605" i="2"/>
  <c r="H630" i="4"/>
  <c r="X629" i="1"/>
  <c r="M629" i="1"/>
  <c r="M630" i="5" s="1"/>
  <c r="P604" i="2"/>
  <c r="P629" i="4"/>
  <c r="V628" i="1"/>
  <c r="V629" i="5" s="1"/>
  <c r="U628" i="1"/>
  <c r="U629" i="5" s="1"/>
  <c r="H603" i="2"/>
  <c r="X627" i="1"/>
  <c r="H628" i="4"/>
  <c r="M627" i="1"/>
  <c r="M628" i="5" s="1"/>
  <c r="M598" i="2"/>
  <c r="M623" i="4"/>
  <c r="AA622" i="1"/>
  <c r="AA623" i="5" s="1"/>
  <c r="P622" i="4"/>
  <c r="X621" i="1"/>
  <c r="Z621" i="1" s="1"/>
  <c r="U621" i="1"/>
  <c r="U622" i="5" s="1"/>
  <c r="H597" i="2"/>
  <c r="H621" i="4"/>
  <c r="X620" i="1"/>
  <c r="M620" i="1"/>
  <c r="M621" i="5" s="1"/>
  <c r="E595" i="2"/>
  <c r="E619" i="4"/>
  <c r="P594" i="2"/>
  <c r="P618" i="4"/>
  <c r="V617" i="1"/>
  <c r="V618" i="5" s="1"/>
  <c r="U581" i="2"/>
  <c r="U605" i="4"/>
  <c r="U580" i="2"/>
  <c r="U604" i="4"/>
  <c r="U563" i="2"/>
  <c r="U587" i="4"/>
  <c r="F586" i="4"/>
  <c r="H585" i="1"/>
  <c r="H586" i="5" s="1"/>
  <c r="X586" i="5" s="1"/>
  <c r="Z586" i="5" s="1"/>
  <c r="M584" i="4"/>
  <c r="AA583" i="1"/>
  <c r="AA584" i="5" s="1"/>
  <c r="P562" i="2"/>
  <c r="P583" i="4"/>
  <c r="V582" i="1"/>
  <c r="V583" i="5" s="1"/>
  <c r="U582" i="1"/>
  <c r="H561" i="2"/>
  <c r="H582" i="4"/>
  <c r="X581" i="1"/>
  <c r="M581" i="1"/>
  <c r="M582" i="5" s="1"/>
  <c r="U560" i="2"/>
  <c r="U581" i="4"/>
  <c r="U558" i="2"/>
  <c r="U579" i="4"/>
  <c r="U556" i="2"/>
  <c r="U577" i="4"/>
  <c r="F555" i="2"/>
  <c r="F576" i="4"/>
  <c r="H575" i="1"/>
  <c r="H576" i="5" s="1"/>
  <c r="X576" i="5" s="1"/>
  <c r="Z576" i="5" s="1"/>
  <c r="M553" i="2"/>
  <c r="M574" i="4"/>
  <c r="AA573" i="1"/>
  <c r="AA574" i="5" s="1"/>
  <c r="M547" i="2"/>
  <c r="M568" i="4"/>
  <c r="AA567" i="1"/>
  <c r="AA568" i="5" s="1"/>
  <c r="M545" i="2"/>
  <c r="M566" i="4"/>
  <c r="AA565" i="1"/>
  <c r="AA566" i="5" s="1"/>
  <c r="U540" i="2"/>
  <c r="U542" i="2" s="1"/>
  <c r="U561" i="4"/>
  <c r="U563" i="4" s="1"/>
  <c r="U562" i="1"/>
  <c r="V529" i="2"/>
  <c r="V548" i="4"/>
  <c r="H529" i="2"/>
  <c r="H548" i="4"/>
  <c r="X549" i="1"/>
  <c r="V523" i="2"/>
  <c r="V542" i="4"/>
  <c r="H523" i="2"/>
  <c r="H542" i="4"/>
  <c r="X543" i="1"/>
  <c r="P522" i="2"/>
  <c r="P541" i="4"/>
  <c r="V542" i="1"/>
  <c r="V541" i="5" s="1"/>
  <c r="M520" i="2"/>
  <c r="M539" i="4"/>
  <c r="M513" i="2"/>
  <c r="M533" i="4"/>
  <c r="M511" i="2"/>
  <c r="M531" i="4"/>
  <c r="AA532" i="1"/>
  <c r="AA531" i="5" s="1"/>
  <c r="M509" i="2"/>
  <c r="M529" i="4"/>
  <c r="AA530" i="1"/>
  <c r="AA529" i="5" s="1"/>
  <c r="M506" i="2"/>
  <c r="M526" i="4"/>
  <c r="AA527" i="1"/>
  <c r="AA526" i="5" s="1"/>
  <c r="M500" i="2"/>
  <c r="M520" i="4"/>
  <c r="AA521" i="1"/>
  <c r="AA520" i="5" s="1"/>
  <c r="M498" i="2"/>
  <c r="M518" i="4"/>
  <c r="AA519" i="1"/>
  <c r="AA518" i="5" s="1"/>
  <c r="M496" i="2"/>
  <c r="M516" i="4"/>
  <c r="AA517" i="1"/>
  <c r="AA516" i="5" s="1"/>
  <c r="M494" i="2"/>
  <c r="M514" i="4"/>
  <c r="AA515" i="1"/>
  <c r="AA514" i="5" s="1"/>
  <c r="M492" i="2"/>
  <c r="M512" i="4"/>
  <c r="AA513" i="1"/>
  <c r="AA512" i="5" s="1"/>
  <c r="V463" i="2"/>
  <c r="V483" i="4"/>
  <c r="H463" i="2"/>
  <c r="H483" i="4"/>
  <c r="X484" i="1"/>
  <c r="P462" i="2"/>
  <c r="P482" i="4"/>
  <c r="V459" i="2"/>
  <c r="V479" i="4"/>
  <c r="H459" i="2"/>
  <c r="H479" i="4"/>
  <c r="M458" i="2"/>
  <c r="M478" i="4"/>
  <c r="AA479" i="1"/>
  <c r="AA478" i="5" s="1"/>
  <c r="M424" i="2"/>
  <c r="M444" i="4"/>
  <c r="AA445" i="1"/>
  <c r="AA444" i="5" s="1"/>
  <c r="X421" i="2"/>
  <c r="X441" i="4"/>
  <c r="AA420" i="2"/>
  <c r="AA440" i="4"/>
  <c r="AB441" i="1"/>
  <c r="AB440" i="5" s="1"/>
  <c r="U420" i="2"/>
  <c r="U440" i="4"/>
  <c r="M412" i="2"/>
  <c r="M430" i="4"/>
  <c r="AA431" i="1"/>
  <c r="AA430" i="5" s="1"/>
  <c r="W410" i="2"/>
  <c r="W428" i="4"/>
  <c r="U393" i="2"/>
  <c r="U411" i="4"/>
  <c r="H387" i="2"/>
  <c r="H405" i="4"/>
  <c r="J406" i="1"/>
  <c r="J405" i="5" s="1"/>
  <c r="X406" i="1"/>
  <c r="M406" i="1"/>
  <c r="M405" i="5" s="1"/>
  <c r="U383" i="2"/>
  <c r="U401" i="4"/>
  <c r="J383" i="2"/>
  <c r="J401" i="4"/>
  <c r="F394" i="4"/>
  <c r="H395" i="1"/>
  <c r="H394" i="5" s="1"/>
  <c r="X394" i="5" s="1"/>
  <c r="Z394" i="5" s="1"/>
  <c r="U376" i="2"/>
  <c r="U392" i="4"/>
  <c r="U372" i="2"/>
  <c r="U388" i="4"/>
  <c r="K363" i="2"/>
  <c r="K379" i="4"/>
  <c r="K399" i="1"/>
  <c r="P359" i="2"/>
  <c r="P375" i="4"/>
  <c r="U376" i="1"/>
  <c r="U375" i="5" s="1"/>
  <c r="X376" i="1"/>
  <c r="X359" i="2" s="1"/>
  <c r="E359" i="2"/>
  <c r="E375" i="4"/>
  <c r="E399" i="1"/>
  <c r="H358" i="2"/>
  <c r="H374" i="4"/>
  <c r="J375" i="1"/>
  <c r="J374" i="5" s="1"/>
  <c r="X375" i="1"/>
  <c r="M375" i="1"/>
  <c r="M374" i="5" s="1"/>
  <c r="X356" i="2"/>
  <c r="J356" i="2"/>
  <c r="J372" i="4"/>
  <c r="H345" i="2"/>
  <c r="H361" i="4"/>
  <c r="M362" i="1"/>
  <c r="M361" i="5" s="1"/>
  <c r="X362" i="1"/>
  <c r="X343" i="2"/>
  <c r="Z360" i="1"/>
  <c r="Z343" i="2" s="1"/>
  <c r="X359" i="1"/>
  <c r="Z359" i="1" s="1"/>
  <c r="U359" i="1"/>
  <c r="P358" i="4"/>
  <c r="X358" i="4" s="1"/>
  <c r="Z358" i="4" s="1"/>
  <c r="U338" i="2"/>
  <c r="U351" i="4"/>
  <c r="U324" i="2"/>
  <c r="U337" i="4"/>
  <c r="X312" i="2"/>
  <c r="Z326" i="1"/>
  <c r="Z312" i="2" s="1"/>
  <c r="J312" i="2"/>
  <c r="J325" i="4"/>
  <c r="U292" i="2"/>
  <c r="U304" i="4"/>
  <c r="U282" i="2"/>
  <c r="U294" i="4"/>
  <c r="H274" i="2"/>
  <c r="H286" i="4"/>
  <c r="M287" i="1"/>
  <c r="M286" i="5" s="1"/>
  <c r="J287" i="1"/>
  <c r="J286" i="5" s="1"/>
  <c r="X287" i="1"/>
  <c r="X274" i="2" s="1"/>
  <c r="U266" i="2"/>
  <c r="U278" i="4"/>
  <c r="U265" i="2"/>
  <c r="U277" i="4"/>
  <c r="H275" i="4"/>
  <c r="M276" i="1"/>
  <c r="M275" i="5" s="1"/>
  <c r="J276" i="1"/>
  <c r="X276" i="1"/>
  <c r="Z276" i="1" s="1"/>
  <c r="J263" i="2"/>
  <c r="J274" i="4"/>
  <c r="J248" i="2"/>
  <c r="J259" i="4"/>
  <c r="M203" i="2"/>
  <c r="M212" i="4"/>
  <c r="AA212" i="1"/>
  <c r="AA212" i="5" s="1"/>
  <c r="X197" i="2"/>
  <c r="Z206" i="1"/>
  <c r="Z197" i="2" s="1"/>
  <c r="E195" i="2"/>
  <c r="E204" i="4"/>
  <c r="Z204" i="1"/>
  <c r="Z195" i="2" s="1"/>
  <c r="X193" i="2"/>
  <c r="Z201" i="1"/>
  <c r="Z193" i="2" s="1"/>
  <c r="P184" i="2"/>
  <c r="P192" i="4"/>
  <c r="U192" i="1"/>
  <c r="U192" i="5" s="1"/>
  <c r="X192" i="1"/>
  <c r="P182" i="2"/>
  <c r="P190" i="4"/>
  <c r="U190" i="1"/>
  <c r="U190" i="5" s="1"/>
  <c r="P208" i="1"/>
  <c r="X190" i="1"/>
  <c r="P173" i="2"/>
  <c r="P181" i="4"/>
  <c r="X181" i="1"/>
  <c r="V181" i="1"/>
  <c r="V181" i="5" s="1"/>
  <c r="P170" i="2"/>
  <c r="P178" i="4"/>
  <c r="V178" i="1"/>
  <c r="V178" i="5" s="1"/>
  <c r="X178" i="1"/>
  <c r="AA169" i="2"/>
  <c r="AA177" i="4"/>
  <c r="P166" i="2"/>
  <c r="P174" i="4"/>
  <c r="V174" i="1"/>
  <c r="V174" i="5" s="1"/>
  <c r="X174" i="1"/>
  <c r="U145" i="2"/>
  <c r="U152" i="4"/>
  <c r="X137" i="2"/>
  <c r="X144" i="4"/>
  <c r="Z144" i="1"/>
  <c r="Z144" i="5" s="1"/>
  <c r="H131" i="2"/>
  <c r="H138" i="4"/>
  <c r="X138" i="1"/>
  <c r="X138" i="5" s="1"/>
  <c r="M138" i="1"/>
  <c r="M138" i="5" s="1"/>
  <c r="V138" i="1"/>
  <c r="V138" i="5" s="1"/>
  <c r="H119" i="2"/>
  <c r="H125" i="4"/>
  <c r="M125" i="1"/>
  <c r="M125" i="5" s="1"/>
  <c r="X125" i="1"/>
  <c r="P116" i="2"/>
  <c r="P122" i="4"/>
  <c r="V122" i="1"/>
  <c r="V122" i="5" s="1"/>
  <c r="U122" i="1"/>
  <c r="X122" i="1"/>
  <c r="P114" i="2"/>
  <c r="P120" i="4"/>
  <c r="V120" i="1"/>
  <c r="V120" i="5" s="1"/>
  <c r="U120" i="1"/>
  <c r="U120" i="5" s="1"/>
  <c r="X120" i="1"/>
  <c r="E113" i="2"/>
  <c r="E119" i="4"/>
  <c r="E130" i="1"/>
  <c r="W119" i="1"/>
  <c r="W119" i="5" s="1"/>
  <c r="P104" i="4"/>
  <c r="X104" i="1"/>
  <c r="Z104" i="1" s="1"/>
  <c r="U104" i="1"/>
  <c r="U104" i="5" s="1"/>
  <c r="P107" i="1"/>
  <c r="X96" i="2"/>
  <c r="Z101" i="1"/>
  <c r="Z96" i="2" s="1"/>
  <c r="X79" i="2"/>
  <c r="Z83" i="1"/>
  <c r="Z79" i="2" s="1"/>
  <c r="P77" i="2"/>
  <c r="P81" i="4"/>
  <c r="V81" i="1"/>
  <c r="V81" i="5" s="1"/>
  <c r="U81" i="1"/>
  <c r="U81" i="5" s="1"/>
  <c r="X81" i="1"/>
  <c r="P74" i="2"/>
  <c r="V78" i="1"/>
  <c r="V78" i="5" s="1"/>
  <c r="U78" i="1"/>
  <c r="U78" i="5" s="1"/>
  <c r="X78" i="1"/>
  <c r="X47" i="2"/>
  <c r="X38" i="2"/>
  <c r="X42" i="4"/>
  <c r="Z42" i="1"/>
  <c r="Z42" i="5" s="1"/>
  <c r="M36" i="2"/>
  <c r="M39" i="4"/>
  <c r="H35" i="2"/>
  <c r="H36" i="4"/>
  <c r="X36" i="1"/>
  <c r="X36" i="5" s="1"/>
  <c r="M36" i="1"/>
  <c r="M36" i="5" s="1"/>
  <c r="U32" i="2"/>
  <c r="U33" i="4"/>
  <c r="V31" i="2"/>
  <c r="V32" i="4"/>
  <c r="H31" i="2"/>
  <c r="H32" i="4"/>
  <c r="X32" i="1"/>
  <c r="X32" i="5" s="1"/>
  <c r="AA28" i="1"/>
  <c r="AA28" i="5" s="1"/>
  <c r="U19" i="2"/>
  <c r="U20" i="4"/>
  <c r="P1190" i="4"/>
  <c r="P2911" i="4" s="1"/>
  <c r="X1013" i="4"/>
  <c r="Z1013" i="4" s="1"/>
  <c r="H2672" i="2"/>
  <c r="F2686" i="2"/>
  <c r="H2545" i="2"/>
  <c r="F2549" i="2"/>
  <c r="AA2406" i="2"/>
  <c r="V729" i="1"/>
  <c r="V729" i="5" s="1"/>
  <c r="V704" i="1"/>
  <c r="V704" i="5" s="1"/>
  <c r="F691" i="1"/>
  <c r="W666" i="1"/>
  <c r="W666" i="5" s="1"/>
  <c r="W665" i="1"/>
  <c r="W665" i="5" s="1"/>
  <c r="K639" i="1"/>
  <c r="AA602" i="1"/>
  <c r="AA603" i="5" s="1"/>
  <c r="AA598" i="1"/>
  <c r="AA599" i="5" s="1"/>
  <c r="AA498" i="1"/>
  <c r="AA497" i="5" s="1"/>
  <c r="S2728" i="4"/>
  <c r="G2635" i="4"/>
  <c r="S2515" i="4"/>
  <c r="I2366" i="4"/>
  <c r="T2341" i="4"/>
  <c r="L2262" i="4"/>
  <c r="T2243" i="4"/>
  <c r="L2173" i="4"/>
  <c r="W1951" i="4"/>
  <c r="W1899" i="4"/>
  <c r="Q1709" i="4"/>
  <c r="Q1697" i="4"/>
  <c r="R1659" i="4"/>
  <c r="O1659" i="4"/>
  <c r="J1659" i="4"/>
  <c r="N1497" i="4"/>
  <c r="Y1471" i="4"/>
  <c r="K1198" i="4"/>
  <c r="H883" i="4"/>
  <c r="N743" i="4"/>
  <c r="P1170" i="2"/>
  <c r="P1224" i="4"/>
  <c r="P1169" i="2"/>
  <c r="P1223" i="4"/>
  <c r="F1169" i="2"/>
  <c r="F1223" i="4"/>
  <c r="H1168" i="2"/>
  <c r="H1222" i="4"/>
  <c r="K1166" i="2"/>
  <c r="K1220" i="4"/>
  <c r="P1165" i="2"/>
  <c r="P1219" i="4"/>
  <c r="P1164" i="2"/>
  <c r="P1218" i="4"/>
  <c r="H1164" i="2"/>
  <c r="H1218" i="4"/>
  <c r="P1158" i="2"/>
  <c r="P1212" i="4"/>
  <c r="P1157" i="2"/>
  <c r="P1211" i="4"/>
  <c r="E1157" i="2"/>
  <c r="E1211" i="4"/>
  <c r="H1156" i="2"/>
  <c r="H1210" i="4"/>
  <c r="E1154" i="2"/>
  <c r="E1206" i="4"/>
  <c r="E1152" i="2"/>
  <c r="E1204" i="4"/>
  <c r="H1151" i="2"/>
  <c r="H1203" i="4"/>
  <c r="P1149" i="2"/>
  <c r="P1201" i="4"/>
  <c r="E1149" i="2"/>
  <c r="E1201" i="4"/>
  <c r="P1145" i="2"/>
  <c r="P1197" i="4"/>
  <c r="P1132" i="2"/>
  <c r="P1183" i="4"/>
  <c r="F1130" i="2"/>
  <c r="F1135" i="2" s="1"/>
  <c r="F1181" i="4"/>
  <c r="F1188" i="4" s="1"/>
  <c r="H1123" i="2"/>
  <c r="H1174" i="4"/>
  <c r="H1118" i="2"/>
  <c r="H1169" i="4"/>
  <c r="P1113" i="2"/>
  <c r="P1164" i="4"/>
  <c r="H1112" i="2"/>
  <c r="H1163" i="4"/>
  <c r="P1111" i="2"/>
  <c r="P1162" i="4"/>
  <c r="E1111" i="2"/>
  <c r="E1115" i="2" s="1"/>
  <c r="E1162" i="4"/>
  <c r="H1110" i="2"/>
  <c r="H1160" i="4"/>
  <c r="P1109" i="2"/>
  <c r="P1159" i="4"/>
  <c r="H1108" i="2"/>
  <c r="H1158" i="4"/>
  <c r="P1107" i="2"/>
  <c r="P1157" i="4"/>
  <c r="H1106" i="2"/>
  <c r="H1156" i="4"/>
  <c r="P1105" i="2"/>
  <c r="P1155" i="4"/>
  <c r="H1104" i="2"/>
  <c r="H1154" i="4"/>
  <c r="P1103" i="2"/>
  <c r="P1153" i="4"/>
  <c r="H1102" i="2"/>
  <c r="H1152" i="4"/>
  <c r="P1101" i="2"/>
  <c r="P1151" i="4"/>
  <c r="H1100" i="2"/>
  <c r="H1150" i="4"/>
  <c r="P1099" i="2"/>
  <c r="P1149" i="4"/>
  <c r="H1098" i="2"/>
  <c r="H1148" i="4"/>
  <c r="H1089" i="2"/>
  <c r="H1139" i="4"/>
  <c r="P1088" i="2"/>
  <c r="P1138" i="4"/>
  <c r="H1087" i="2"/>
  <c r="H1137" i="4"/>
  <c r="P1086" i="2"/>
  <c r="P1136" i="4"/>
  <c r="H1085" i="2"/>
  <c r="H1135" i="4"/>
  <c r="P1084" i="2"/>
  <c r="P1134" i="4"/>
  <c r="F1076" i="2"/>
  <c r="F1125" i="4"/>
  <c r="E1073" i="2"/>
  <c r="E1122" i="4"/>
  <c r="F1072" i="2"/>
  <c r="F1079" i="2" s="1"/>
  <c r="F1121" i="4"/>
  <c r="E1071" i="2"/>
  <c r="E1120" i="4"/>
  <c r="P1070" i="2"/>
  <c r="P1119" i="4"/>
  <c r="H1118" i="4"/>
  <c r="H1069" i="2"/>
  <c r="P1068" i="2"/>
  <c r="P1117" i="4"/>
  <c r="H1116" i="4"/>
  <c r="H1067" i="2"/>
  <c r="P1066" i="2"/>
  <c r="P1115" i="4"/>
  <c r="H1114" i="4"/>
  <c r="H1065" i="2"/>
  <c r="P1064" i="2"/>
  <c r="P1113" i="4"/>
  <c r="H1111" i="4"/>
  <c r="H1062" i="2"/>
  <c r="P1061" i="2"/>
  <c r="P1110" i="4"/>
  <c r="H1109" i="4"/>
  <c r="H1060" i="2"/>
  <c r="P1104" i="4"/>
  <c r="P1055" i="2"/>
  <c r="H1054" i="2"/>
  <c r="H1102" i="4"/>
  <c r="F1051" i="2"/>
  <c r="F1057" i="2" s="1"/>
  <c r="F1099" i="4"/>
  <c r="F1106" i="4" s="1"/>
  <c r="E1035" i="2"/>
  <c r="E1037" i="2" s="1"/>
  <c r="E1083" i="4"/>
  <c r="P1034" i="2"/>
  <c r="P1082" i="4"/>
  <c r="H1033" i="2"/>
  <c r="H1081" i="4"/>
  <c r="H1032" i="2"/>
  <c r="H1079" i="4"/>
  <c r="H1031" i="2"/>
  <c r="H1078" i="4"/>
  <c r="N1026" i="2"/>
  <c r="N1037" i="2" s="1"/>
  <c r="N1073" i="4"/>
  <c r="N1085" i="4" s="1"/>
  <c r="H1025" i="2"/>
  <c r="H1072" i="4"/>
  <c r="P1024" i="2"/>
  <c r="P1071" i="4"/>
  <c r="H1023" i="2"/>
  <c r="H1070" i="4"/>
  <c r="P1022" i="2"/>
  <c r="P1069" i="4"/>
  <c r="H1021" i="2"/>
  <c r="H1068" i="4"/>
  <c r="P1016" i="2"/>
  <c r="P1063" i="4"/>
  <c r="H1015" i="2"/>
  <c r="H1062" i="4"/>
  <c r="P1014" i="2"/>
  <c r="P1059" i="4"/>
  <c r="H1013" i="2"/>
  <c r="H1058" i="4"/>
  <c r="P1012" i="2"/>
  <c r="P1057" i="4"/>
  <c r="H1011" i="2"/>
  <c r="H1056" i="4"/>
  <c r="P1010" i="2"/>
  <c r="P1055" i="4"/>
  <c r="H1009" i="2"/>
  <c r="H1054" i="4"/>
  <c r="P1007" i="2"/>
  <c r="P1052" i="4"/>
  <c r="P1001" i="2"/>
  <c r="P1046" i="4"/>
  <c r="H1000" i="2"/>
  <c r="H1045" i="4"/>
  <c r="P999" i="2"/>
  <c r="P1044" i="4"/>
  <c r="H998" i="2"/>
  <c r="H1043" i="4"/>
  <c r="P997" i="2"/>
  <c r="P1042" i="4"/>
  <c r="H996" i="2"/>
  <c r="H1041" i="4"/>
  <c r="P995" i="2"/>
  <c r="P1040" i="4"/>
  <c r="H994" i="2"/>
  <c r="H1039" i="4"/>
  <c r="P993" i="2"/>
  <c r="P1038" i="4"/>
  <c r="H992" i="2"/>
  <c r="H1037" i="4"/>
  <c r="P991" i="2"/>
  <c r="P1036" i="4"/>
  <c r="H1031" i="4"/>
  <c r="H986" i="2"/>
  <c r="P985" i="2"/>
  <c r="P1030" i="4"/>
  <c r="X1030" i="4" s="1"/>
  <c r="Z1030" i="4" s="1"/>
  <c r="P983" i="2"/>
  <c r="P1028" i="4"/>
  <c r="H981" i="2"/>
  <c r="H1026" i="4"/>
  <c r="P980" i="2"/>
  <c r="P1025" i="4"/>
  <c r="H979" i="2"/>
  <c r="H1024" i="4"/>
  <c r="H976" i="2"/>
  <c r="H1021" i="4"/>
  <c r="P975" i="2"/>
  <c r="P1020" i="4"/>
  <c r="H974" i="2"/>
  <c r="H1019" i="4"/>
  <c r="P973" i="2"/>
  <c r="P1018" i="4"/>
  <c r="H972" i="2"/>
  <c r="H1017" i="4"/>
  <c r="P966" i="2"/>
  <c r="P1011" i="4"/>
  <c r="P965" i="2"/>
  <c r="P1008" i="4"/>
  <c r="H964" i="2"/>
  <c r="H1007" i="4"/>
  <c r="P963" i="2"/>
  <c r="P1006" i="4"/>
  <c r="F963" i="2"/>
  <c r="F1006" i="4"/>
  <c r="F962" i="2"/>
  <c r="F1005" i="4"/>
  <c r="N956" i="2"/>
  <c r="N999" i="4"/>
  <c r="H955" i="2"/>
  <c r="H998" i="4"/>
  <c r="P954" i="2"/>
  <c r="P997" i="4"/>
  <c r="AA953" i="2"/>
  <c r="AA996" i="4"/>
  <c r="H952" i="2"/>
  <c r="H995" i="4"/>
  <c r="P951" i="2"/>
  <c r="P994" i="4"/>
  <c r="H944" i="2"/>
  <c r="H946" i="2" s="1"/>
  <c r="H987" i="4"/>
  <c r="H938" i="2"/>
  <c r="H981" i="4"/>
  <c r="F979" i="4"/>
  <c r="F937" i="2"/>
  <c r="H934" i="2"/>
  <c r="H976" i="4"/>
  <c r="H931" i="2"/>
  <c r="H973" i="4"/>
  <c r="N929" i="2"/>
  <c r="N941" i="2" s="1"/>
  <c r="N943" i="2" s="1"/>
  <c r="N971" i="4"/>
  <c r="N984" i="4" s="1"/>
  <c r="N986" i="4" s="1"/>
  <c r="H928" i="2"/>
  <c r="H970" i="4"/>
  <c r="P927" i="2"/>
  <c r="P969" i="4"/>
  <c r="H926" i="2"/>
  <c r="H968" i="4"/>
  <c r="M916" i="2"/>
  <c r="M959" i="4"/>
  <c r="P902" i="2"/>
  <c r="P945" i="4"/>
  <c r="P901" i="2"/>
  <c r="P944" i="4"/>
  <c r="P894" i="2"/>
  <c r="P937" i="4"/>
  <c r="E894" i="2"/>
  <c r="E937" i="4"/>
  <c r="H893" i="2"/>
  <c r="H936" i="4"/>
  <c r="H935" i="4"/>
  <c r="H892" i="2"/>
  <c r="H891" i="2"/>
  <c r="H934" i="4"/>
  <c r="H890" i="2"/>
  <c r="H933" i="4"/>
  <c r="H889" i="2"/>
  <c r="H932" i="4"/>
  <c r="H888" i="2"/>
  <c r="H931" i="4"/>
  <c r="P884" i="2"/>
  <c r="P927" i="4"/>
  <c r="F884" i="2"/>
  <c r="F927" i="4"/>
  <c r="E877" i="2"/>
  <c r="E920" i="4"/>
  <c r="H876" i="2"/>
  <c r="H919" i="4"/>
  <c r="X919" i="4" s="1"/>
  <c r="Z919" i="4" s="1"/>
  <c r="H875" i="2"/>
  <c r="H918" i="4"/>
  <c r="H874" i="2"/>
  <c r="H917" i="4"/>
  <c r="E869" i="2"/>
  <c r="E909" i="4"/>
  <c r="H868" i="2"/>
  <c r="H908" i="4"/>
  <c r="P866" i="2"/>
  <c r="P906" i="4"/>
  <c r="E866" i="2"/>
  <c r="E906" i="4"/>
  <c r="H865" i="2"/>
  <c r="H905" i="4"/>
  <c r="P861" i="2"/>
  <c r="P901" i="4"/>
  <c r="P860" i="2"/>
  <c r="P900" i="4"/>
  <c r="P859" i="2"/>
  <c r="P899" i="4"/>
  <c r="H859" i="2"/>
  <c r="H899" i="4"/>
  <c r="K898" i="4"/>
  <c r="K858" i="2"/>
  <c r="H853" i="2"/>
  <c r="H893" i="4"/>
  <c r="P850" i="2"/>
  <c r="P889" i="4"/>
  <c r="P848" i="2"/>
  <c r="P887" i="4"/>
  <c r="P847" i="2"/>
  <c r="P886" i="4"/>
  <c r="P846" i="2"/>
  <c r="P885" i="4"/>
  <c r="P845" i="2"/>
  <c r="P884" i="4"/>
  <c r="P844" i="2"/>
  <c r="P883" i="4"/>
  <c r="P843" i="2"/>
  <c r="P882" i="4"/>
  <c r="F843" i="2"/>
  <c r="F882" i="4"/>
  <c r="H842" i="2"/>
  <c r="H881" i="4"/>
  <c r="P838" i="2"/>
  <c r="P877" i="4"/>
  <c r="P837" i="2"/>
  <c r="P876" i="4"/>
  <c r="E837" i="2"/>
  <c r="E876" i="4"/>
  <c r="H836" i="2"/>
  <c r="H875" i="4"/>
  <c r="P831" i="2"/>
  <c r="P870" i="4"/>
  <c r="P830" i="2"/>
  <c r="P866" i="4"/>
  <c r="P828" i="2"/>
  <c r="P863" i="4"/>
  <c r="P827" i="2"/>
  <c r="P862" i="4"/>
  <c r="E827" i="2"/>
  <c r="E862" i="4"/>
  <c r="H826" i="2"/>
  <c r="H861" i="4"/>
  <c r="H825" i="2"/>
  <c r="H860" i="4"/>
  <c r="H824" i="2"/>
  <c r="H859" i="4"/>
  <c r="E822" i="2"/>
  <c r="E857" i="4"/>
  <c r="H821" i="2"/>
  <c r="H856" i="4"/>
  <c r="E818" i="2"/>
  <c r="E853" i="4"/>
  <c r="H817" i="2"/>
  <c r="H852" i="4"/>
  <c r="H816" i="2"/>
  <c r="H851" i="4"/>
  <c r="H815" i="2"/>
  <c r="H850" i="4"/>
  <c r="P812" i="2"/>
  <c r="P847" i="4"/>
  <c r="P802" i="2"/>
  <c r="P836" i="4"/>
  <c r="H801" i="2"/>
  <c r="H835" i="4"/>
  <c r="H800" i="2"/>
  <c r="H834" i="4"/>
  <c r="P798" i="2"/>
  <c r="P832" i="4"/>
  <c r="P797" i="2"/>
  <c r="P831" i="4"/>
  <c r="P796" i="2"/>
  <c r="P830" i="4"/>
  <c r="E796" i="2"/>
  <c r="E830" i="4"/>
  <c r="H795" i="2"/>
  <c r="H829" i="4"/>
  <c r="K793" i="2"/>
  <c r="K809" i="2" s="1"/>
  <c r="K827" i="4"/>
  <c r="K844" i="4" s="1"/>
  <c r="P792" i="2"/>
  <c r="P826" i="4"/>
  <c r="P785" i="2"/>
  <c r="P819" i="4"/>
  <c r="P784" i="2"/>
  <c r="P818" i="4"/>
  <c r="E784" i="2"/>
  <c r="E818" i="4"/>
  <c r="H783" i="2"/>
  <c r="H817" i="4"/>
  <c r="H782" i="2"/>
  <c r="H816" i="4"/>
  <c r="P777" i="2"/>
  <c r="P811" i="4"/>
  <c r="E777" i="2"/>
  <c r="E811" i="4"/>
  <c r="K773" i="2"/>
  <c r="K789" i="2" s="1"/>
  <c r="K807" i="4"/>
  <c r="K823" i="4" s="1"/>
  <c r="P772" i="2"/>
  <c r="P806" i="4"/>
  <c r="P771" i="2"/>
  <c r="P805" i="4"/>
  <c r="P764" i="2"/>
  <c r="P797" i="4"/>
  <c r="H763" i="2"/>
  <c r="H796" i="4"/>
  <c r="P761" i="2"/>
  <c r="P794" i="4"/>
  <c r="E761" i="2"/>
  <c r="E794" i="4"/>
  <c r="H760" i="2"/>
  <c r="H793" i="4"/>
  <c r="H759" i="2"/>
  <c r="H792" i="4"/>
  <c r="H758" i="2"/>
  <c r="H791" i="4"/>
  <c r="K755" i="2"/>
  <c r="K768" i="2" s="1"/>
  <c r="K788" i="4"/>
  <c r="K802" i="4" s="1"/>
  <c r="E755" i="2"/>
  <c r="E788" i="4"/>
  <c r="H754" i="2"/>
  <c r="H787" i="4"/>
  <c r="P744" i="2"/>
  <c r="P776" i="4"/>
  <c r="M741" i="2"/>
  <c r="M772" i="4"/>
  <c r="M739" i="2"/>
  <c r="M770" i="4"/>
  <c r="H736" i="2"/>
  <c r="H767" i="4"/>
  <c r="M767" i="1"/>
  <c r="M767" i="5" s="1"/>
  <c r="U734" i="2"/>
  <c r="U765" i="4"/>
  <c r="P732" i="2"/>
  <c r="P763" i="4"/>
  <c r="U763" i="1"/>
  <c r="U763" i="5" s="1"/>
  <c r="H732" i="2"/>
  <c r="H763" i="4"/>
  <c r="P730" i="2"/>
  <c r="P761" i="4"/>
  <c r="U761" i="1"/>
  <c r="J721" i="2"/>
  <c r="J752" i="4"/>
  <c r="P720" i="2"/>
  <c r="P751" i="4"/>
  <c r="Q751" i="1"/>
  <c r="Q751" i="5" s="1"/>
  <c r="X751" i="1"/>
  <c r="J719" i="2"/>
  <c r="J750" i="4"/>
  <c r="P718" i="2"/>
  <c r="P749" i="4"/>
  <c r="E718" i="2"/>
  <c r="E749" i="4"/>
  <c r="Q749" i="1"/>
  <c r="Q749" i="5" s="1"/>
  <c r="K717" i="2"/>
  <c r="K748" i="4"/>
  <c r="F715" i="2"/>
  <c r="F746" i="4"/>
  <c r="H746" i="1"/>
  <c r="H746" i="5" s="1"/>
  <c r="X746" i="5" s="1"/>
  <c r="Z746" i="5" s="1"/>
  <c r="U709" i="2"/>
  <c r="U740" i="4"/>
  <c r="J709" i="2"/>
  <c r="J740" i="4"/>
  <c r="V707" i="2"/>
  <c r="V738" i="4"/>
  <c r="H707" i="2"/>
  <c r="H738" i="4"/>
  <c r="X738" i="1"/>
  <c r="P737" i="4"/>
  <c r="V737" i="1"/>
  <c r="V737" i="5" s="1"/>
  <c r="P703" i="2"/>
  <c r="P733" i="4"/>
  <c r="V733" i="1"/>
  <c r="V733" i="5" s="1"/>
  <c r="U733" i="1"/>
  <c r="U733" i="5" s="1"/>
  <c r="F702" i="2"/>
  <c r="F732" i="4"/>
  <c r="U698" i="2"/>
  <c r="U728" i="4"/>
  <c r="H698" i="2"/>
  <c r="H728" i="4"/>
  <c r="M728" i="1"/>
  <c r="M728" i="5" s="1"/>
  <c r="Q697" i="2"/>
  <c r="Q727" i="4"/>
  <c r="V696" i="2"/>
  <c r="V726" i="4"/>
  <c r="W726" i="1"/>
  <c r="W726" i="5" s="1"/>
  <c r="M696" i="2"/>
  <c r="M726" i="4"/>
  <c r="F694" i="2"/>
  <c r="F724" i="4"/>
  <c r="U692" i="2"/>
  <c r="U722" i="4"/>
  <c r="H691" i="2"/>
  <c r="H721" i="4"/>
  <c r="M721" i="1"/>
  <c r="M721" i="5" s="1"/>
  <c r="J721" i="1"/>
  <c r="J721" i="5" s="1"/>
  <c r="U690" i="2"/>
  <c r="U720" i="4"/>
  <c r="H690" i="2"/>
  <c r="H720" i="4"/>
  <c r="M720" i="1"/>
  <c r="M720" i="5" s="1"/>
  <c r="Q689" i="2"/>
  <c r="Q719" i="4"/>
  <c r="F688" i="2"/>
  <c r="F718" i="4"/>
  <c r="H718" i="1"/>
  <c r="H718" i="5" s="1"/>
  <c r="X718" i="5" s="1"/>
  <c r="Z718" i="5" s="1"/>
  <c r="H678" i="2"/>
  <c r="H708" i="4"/>
  <c r="M708" i="1"/>
  <c r="M708" i="5" s="1"/>
  <c r="J708" i="1"/>
  <c r="J708" i="5" s="1"/>
  <c r="U677" i="2"/>
  <c r="U707" i="4"/>
  <c r="H677" i="2"/>
  <c r="H707" i="4"/>
  <c r="M707" i="1"/>
  <c r="M707" i="5" s="1"/>
  <c r="Q676" i="2"/>
  <c r="Q706" i="4"/>
  <c r="H670" i="2"/>
  <c r="H700" i="4"/>
  <c r="M700" i="1"/>
  <c r="M700" i="5" s="1"/>
  <c r="J700" i="1"/>
  <c r="J700" i="5" s="1"/>
  <c r="H669" i="2"/>
  <c r="H699" i="4"/>
  <c r="M699" i="1"/>
  <c r="M699" i="5" s="1"/>
  <c r="M668" i="2"/>
  <c r="M698" i="4"/>
  <c r="E668" i="2"/>
  <c r="E698" i="4"/>
  <c r="Q698" i="1"/>
  <c r="Q698" i="5" s="1"/>
  <c r="W698" i="1"/>
  <c r="W698" i="5" s="1"/>
  <c r="E714" i="1"/>
  <c r="H666" i="2"/>
  <c r="H696" i="4"/>
  <c r="M696" i="1"/>
  <c r="M696" i="5" s="1"/>
  <c r="J696" i="1"/>
  <c r="J696" i="5" s="1"/>
  <c r="P659" i="2"/>
  <c r="P689" i="4"/>
  <c r="V689" i="1"/>
  <c r="V689" i="5" s="1"/>
  <c r="U689" i="1"/>
  <c r="U689" i="5" s="1"/>
  <c r="H658" i="2"/>
  <c r="H688" i="4"/>
  <c r="M688" i="1"/>
  <c r="M688" i="5" s="1"/>
  <c r="J688" i="1"/>
  <c r="J688" i="5" s="1"/>
  <c r="P657" i="2"/>
  <c r="P687" i="4"/>
  <c r="V687" i="1"/>
  <c r="V687" i="5" s="1"/>
  <c r="U687" i="1"/>
  <c r="U687" i="5" s="1"/>
  <c r="X656" i="2"/>
  <c r="Z686" i="1"/>
  <c r="Z656" i="2" s="1"/>
  <c r="U655" i="2"/>
  <c r="U685" i="4"/>
  <c r="H652" i="2"/>
  <c r="H680" i="4"/>
  <c r="M680" i="1"/>
  <c r="M680" i="5" s="1"/>
  <c r="J680" i="1"/>
  <c r="J680" i="5" s="1"/>
  <c r="P651" i="2"/>
  <c r="P679" i="4"/>
  <c r="V679" i="1"/>
  <c r="V679" i="5" s="1"/>
  <c r="U679" i="1"/>
  <c r="U679" i="5" s="1"/>
  <c r="E651" i="2"/>
  <c r="E679" i="4"/>
  <c r="Z679" i="1"/>
  <c r="Z651" i="2" s="1"/>
  <c r="P650" i="2"/>
  <c r="P678" i="4"/>
  <c r="V678" i="1"/>
  <c r="V678" i="5" s="1"/>
  <c r="V648" i="2"/>
  <c r="V676" i="4"/>
  <c r="J648" i="2"/>
  <c r="J676" i="4"/>
  <c r="V647" i="2"/>
  <c r="V675" i="4"/>
  <c r="W675" i="1"/>
  <c r="W675" i="5" s="1"/>
  <c r="H647" i="2"/>
  <c r="H675" i="4"/>
  <c r="X675" i="1"/>
  <c r="M675" i="1"/>
  <c r="M675" i="5" s="1"/>
  <c r="P646" i="2"/>
  <c r="P674" i="4"/>
  <c r="V674" i="1"/>
  <c r="V674" i="5" s="1"/>
  <c r="V644" i="2"/>
  <c r="V672" i="4"/>
  <c r="J644" i="2"/>
  <c r="J672" i="4"/>
  <c r="V643" i="2"/>
  <c r="V671" i="4"/>
  <c r="W671" i="1"/>
  <c r="W671" i="5" s="1"/>
  <c r="H643" i="2"/>
  <c r="H671" i="4"/>
  <c r="X671" i="1"/>
  <c r="M671" i="1"/>
  <c r="M671" i="5" s="1"/>
  <c r="P642" i="2"/>
  <c r="P670" i="4"/>
  <c r="V670" i="1"/>
  <c r="M640" i="2"/>
  <c r="M668" i="4"/>
  <c r="AA668" i="1"/>
  <c r="AA668" i="5" s="1"/>
  <c r="V631" i="2"/>
  <c r="V659" i="4"/>
  <c r="J631" i="2"/>
  <c r="J659" i="4"/>
  <c r="H630" i="2"/>
  <c r="H658" i="4"/>
  <c r="X658" i="1"/>
  <c r="M658" i="1"/>
  <c r="M658" i="5" s="1"/>
  <c r="P629" i="2"/>
  <c r="P657" i="4"/>
  <c r="V657" i="1"/>
  <c r="V657" i="5" s="1"/>
  <c r="V627" i="2"/>
  <c r="V655" i="4"/>
  <c r="J627" i="2"/>
  <c r="J655" i="4"/>
  <c r="V625" i="2"/>
  <c r="V653" i="4"/>
  <c r="J625" i="2"/>
  <c r="J653" i="4"/>
  <c r="F621" i="2"/>
  <c r="F633" i="2" s="1"/>
  <c r="F649" i="4"/>
  <c r="F661" i="4" s="1"/>
  <c r="F661" i="1"/>
  <c r="V645" i="4"/>
  <c r="W645" i="1"/>
  <c r="M611" i="2"/>
  <c r="M636" i="4"/>
  <c r="V610" i="2"/>
  <c r="V635" i="4"/>
  <c r="W634" i="1"/>
  <c r="W635" i="5" s="1"/>
  <c r="M608" i="2"/>
  <c r="M633" i="4"/>
  <c r="AA632" i="1"/>
  <c r="AA633" i="5" s="1"/>
  <c r="V607" i="2"/>
  <c r="V2677" i="2" s="1"/>
  <c r="V632" i="4"/>
  <c r="W631" i="1"/>
  <c r="W632" i="5" s="1"/>
  <c r="M606" i="2"/>
  <c r="M631" i="4"/>
  <c r="AA630" i="1"/>
  <c r="AA631" i="5" s="1"/>
  <c r="V605" i="2"/>
  <c r="V630" i="4"/>
  <c r="W629" i="1"/>
  <c r="W630" i="5" s="1"/>
  <c r="M604" i="2"/>
  <c r="M629" i="4"/>
  <c r="AA628" i="1"/>
  <c r="AA629" i="5" s="1"/>
  <c r="V603" i="2"/>
  <c r="V628" i="4"/>
  <c r="W627" i="1"/>
  <c r="W628" i="5" s="1"/>
  <c r="V637" i="1"/>
  <c r="V597" i="2"/>
  <c r="V621" i="4"/>
  <c r="W620" i="1"/>
  <c r="W621" i="5" s="1"/>
  <c r="E592" i="2"/>
  <c r="E616" i="4"/>
  <c r="P591" i="2"/>
  <c r="P615" i="4"/>
  <c r="V614" i="1"/>
  <c r="V615" i="5" s="1"/>
  <c r="U614" i="1"/>
  <c r="U615" i="5" s="1"/>
  <c r="H590" i="2"/>
  <c r="H614" i="4"/>
  <c r="X613" i="1"/>
  <c r="M613" i="1"/>
  <c r="M614" i="5" s="1"/>
  <c r="P589" i="2"/>
  <c r="P613" i="4"/>
  <c r="V612" i="1"/>
  <c r="V613" i="5" s="1"/>
  <c r="U612" i="1"/>
  <c r="U613" i="5" s="1"/>
  <c r="H588" i="2"/>
  <c r="X611" i="1"/>
  <c r="M611" i="1"/>
  <c r="M612" i="5" s="1"/>
  <c r="P587" i="2"/>
  <c r="P611" i="4"/>
  <c r="V610" i="1"/>
  <c r="V611" i="5" s="1"/>
  <c r="U610" i="1"/>
  <c r="U611" i="5" s="1"/>
  <c r="V578" i="2"/>
  <c r="V602" i="4"/>
  <c r="H602" i="4"/>
  <c r="H578" i="2"/>
  <c r="X601" i="1"/>
  <c r="P577" i="2"/>
  <c r="P601" i="4"/>
  <c r="V600" i="1"/>
  <c r="V601" i="5" s="1"/>
  <c r="V574" i="2"/>
  <c r="V598" i="4"/>
  <c r="H574" i="2"/>
  <c r="H598" i="4"/>
  <c r="X597" i="1"/>
  <c r="P573" i="2"/>
  <c r="P597" i="4"/>
  <c r="V596" i="1"/>
  <c r="V597" i="5" s="1"/>
  <c r="V570" i="2"/>
  <c r="V594" i="4"/>
  <c r="H570" i="2"/>
  <c r="H594" i="4"/>
  <c r="X593" i="1"/>
  <c r="P569" i="2"/>
  <c r="P593" i="4"/>
  <c r="V592" i="1"/>
  <c r="P606" i="1"/>
  <c r="P563" i="2"/>
  <c r="P587" i="4"/>
  <c r="V586" i="1"/>
  <c r="V587" i="5" s="1"/>
  <c r="E586" i="4"/>
  <c r="M562" i="2"/>
  <c r="M583" i="4"/>
  <c r="E561" i="2"/>
  <c r="E565" i="2" s="1"/>
  <c r="E582" i="4"/>
  <c r="P560" i="2"/>
  <c r="P581" i="4"/>
  <c r="V580" i="1"/>
  <c r="V581" i="5" s="1"/>
  <c r="AB554" i="2"/>
  <c r="AB575" i="4"/>
  <c r="U552" i="2"/>
  <c r="U573" i="4"/>
  <c r="U546" i="2"/>
  <c r="U567" i="4"/>
  <c r="P535" i="2"/>
  <c r="P554" i="4"/>
  <c r="V555" i="1"/>
  <c r="V554" i="5" s="1"/>
  <c r="U555" i="1"/>
  <c r="U554" i="5" s="1"/>
  <c r="H533" i="2"/>
  <c r="X553" i="1"/>
  <c r="M553" i="1"/>
  <c r="M552" i="5" s="1"/>
  <c r="P532" i="2"/>
  <c r="P551" i="4"/>
  <c r="V552" i="1"/>
  <c r="V551" i="5" s="1"/>
  <c r="U552" i="1"/>
  <c r="U551" i="5" s="1"/>
  <c r="H531" i="2"/>
  <c r="H550" i="4"/>
  <c r="X551" i="1"/>
  <c r="M551" i="1"/>
  <c r="M550" i="5" s="1"/>
  <c r="P530" i="2"/>
  <c r="P549" i="4"/>
  <c r="V550" i="1"/>
  <c r="V549" i="5" s="1"/>
  <c r="U550" i="1"/>
  <c r="U549" i="5" s="1"/>
  <c r="U519" i="2"/>
  <c r="U538" i="4"/>
  <c r="U512" i="2"/>
  <c r="U532" i="4"/>
  <c r="U510" i="2"/>
  <c r="U530" i="4"/>
  <c r="U508" i="2"/>
  <c r="U528" i="4"/>
  <c r="U505" i="2"/>
  <c r="U525" i="4"/>
  <c r="U499" i="2"/>
  <c r="U519" i="4"/>
  <c r="U497" i="2"/>
  <c r="U517" i="4"/>
  <c r="U495" i="2"/>
  <c r="U515" i="4"/>
  <c r="U493" i="2"/>
  <c r="U513" i="4"/>
  <c r="H487" i="2"/>
  <c r="H507" i="4"/>
  <c r="X508" i="1"/>
  <c r="M508" i="1"/>
  <c r="M507" i="5" s="1"/>
  <c r="P486" i="2"/>
  <c r="P506" i="4"/>
  <c r="V507" i="1"/>
  <c r="V506" i="5" s="1"/>
  <c r="U507" i="1"/>
  <c r="V484" i="2"/>
  <c r="V504" i="4"/>
  <c r="H484" i="2"/>
  <c r="H504" i="4"/>
  <c r="X505" i="1"/>
  <c r="H510" i="1"/>
  <c r="P483" i="2"/>
  <c r="P503" i="4"/>
  <c r="V504" i="1"/>
  <c r="V503" i="5" s="1"/>
  <c r="P510" i="1"/>
  <c r="V476" i="2"/>
  <c r="V496" i="4"/>
  <c r="H476" i="2"/>
  <c r="H496" i="4"/>
  <c r="X497" i="1"/>
  <c r="P475" i="2"/>
  <c r="P495" i="4"/>
  <c r="V496" i="1"/>
  <c r="V495" i="5" s="1"/>
  <c r="V472" i="2"/>
  <c r="V492" i="4"/>
  <c r="H472" i="2"/>
  <c r="H492" i="4"/>
  <c r="X493" i="1"/>
  <c r="P471" i="2"/>
  <c r="P491" i="4"/>
  <c r="V492" i="1"/>
  <c r="V491" i="5" s="1"/>
  <c r="F462" i="2"/>
  <c r="F467" i="2" s="1"/>
  <c r="F482" i="4"/>
  <c r="F487" i="4" s="1"/>
  <c r="F488" i="1"/>
  <c r="H483" i="1"/>
  <c r="P461" i="2"/>
  <c r="P481" i="4"/>
  <c r="V482" i="1"/>
  <c r="V481" i="5" s="1"/>
  <c r="U482" i="1"/>
  <c r="H460" i="2"/>
  <c r="H480" i="4"/>
  <c r="X481" i="1"/>
  <c r="M481" i="1"/>
  <c r="M480" i="5" s="1"/>
  <c r="P457" i="2"/>
  <c r="P477" i="4"/>
  <c r="X478" i="1"/>
  <c r="V478" i="1"/>
  <c r="V477" i="5" s="1"/>
  <c r="H456" i="2"/>
  <c r="H476" i="4"/>
  <c r="M477" i="1"/>
  <c r="M476" i="5" s="1"/>
  <c r="X477" i="1"/>
  <c r="P451" i="2"/>
  <c r="P471" i="4"/>
  <c r="V472" i="1"/>
  <c r="V471" i="5" s="1"/>
  <c r="U472" i="1"/>
  <c r="U471" i="5" s="1"/>
  <c r="H450" i="2"/>
  <c r="H470" i="4"/>
  <c r="X471" i="1"/>
  <c r="M471" i="1"/>
  <c r="M470" i="5" s="1"/>
  <c r="P449" i="2"/>
  <c r="P469" i="4"/>
  <c r="V470" i="1"/>
  <c r="V469" i="5" s="1"/>
  <c r="U470" i="1"/>
  <c r="H448" i="2"/>
  <c r="H468" i="4"/>
  <c r="X469" i="1"/>
  <c r="M469" i="1"/>
  <c r="M468" i="5" s="1"/>
  <c r="P447" i="2"/>
  <c r="P467" i="4"/>
  <c r="V468" i="1"/>
  <c r="V467" i="5" s="1"/>
  <c r="U468" i="1"/>
  <c r="U467" i="5" s="1"/>
  <c r="H446" i="2"/>
  <c r="H466" i="4"/>
  <c r="X467" i="1"/>
  <c r="M467" i="1"/>
  <c r="M466" i="5" s="1"/>
  <c r="P445" i="2"/>
  <c r="V466" i="1"/>
  <c r="V465" i="5" s="1"/>
  <c r="U466" i="1"/>
  <c r="U465" i="5" s="1"/>
  <c r="H444" i="2"/>
  <c r="H464" i="4"/>
  <c r="X465" i="1"/>
  <c r="M465" i="1"/>
  <c r="M464" i="5" s="1"/>
  <c r="P443" i="2"/>
  <c r="P463" i="4"/>
  <c r="V464" i="1"/>
  <c r="V463" i="5" s="1"/>
  <c r="U464" i="1"/>
  <c r="U463" i="5" s="1"/>
  <c r="H442" i="2"/>
  <c r="H462" i="4"/>
  <c r="X463" i="1"/>
  <c r="M463" i="1"/>
  <c r="M462" i="5" s="1"/>
  <c r="P441" i="2"/>
  <c r="P461" i="4"/>
  <c r="V462" i="1"/>
  <c r="V461" i="5" s="1"/>
  <c r="U462" i="1"/>
  <c r="U461" i="5" s="1"/>
  <c r="H440" i="2"/>
  <c r="H460" i="4"/>
  <c r="X461" i="1"/>
  <c r="M461" i="1"/>
  <c r="M460" i="5" s="1"/>
  <c r="P435" i="2"/>
  <c r="P455" i="4"/>
  <c r="V456" i="1"/>
  <c r="V455" i="5" s="1"/>
  <c r="U456" i="1"/>
  <c r="U455" i="5" s="1"/>
  <c r="H434" i="2"/>
  <c r="H454" i="4"/>
  <c r="X455" i="1"/>
  <c r="M455" i="1"/>
  <c r="M454" i="5" s="1"/>
  <c r="P433" i="2"/>
  <c r="P453" i="4"/>
  <c r="V454" i="1"/>
  <c r="V453" i="5" s="1"/>
  <c r="U454" i="1"/>
  <c r="H432" i="2"/>
  <c r="H452" i="4"/>
  <c r="X453" i="1"/>
  <c r="M453" i="1"/>
  <c r="M452" i="5" s="1"/>
  <c r="P431" i="2"/>
  <c r="P451" i="4"/>
  <c r="V452" i="1"/>
  <c r="V451" i="5" s="1"/>
  <c r="U452" i="1"/>
  <c r="U451" i="5" s="1"/>
  <c r="H430" i="2"/>
  <c r="H450" i="4"/>
  <c r="X451" i="1"/>
  <c r="M451" i="1"/>
  <c r="P429" i="2"/>
  <c r="P449" i="4"/>
  <c r="V450" i="1"/>
  <c r="V449" i="5" s="1"/>
  <c r="V457" i="5" s="1"/>
  <c r="U450" i="1"/>
  <c r="U449" i="5" s="1"/>
  <c r="V424" i="2"/>
  <c r="V444" i="4"/>
  <c r="H424" i="2"/>
  <c r="H444" i="4"/>
  <c r="X445" i="1"/>
  <c r="X444" i="5" s="1"/>
  <c r="M422" i="2"/>
  <c r="M442" i="4"/>
  <c r="AA443" i="1"/>
  <c r="AA442" i="5" s="1"/>
  <c r="P421" i="2"/>
  <c r="P441" i="4"/>
  <c r="V442" i="1"/>
  <c r="V441" i="5" s="1"/>
  <c r="U442" i="1"/>
  <c r="U441" i="5" s="1"/>
  <c r="V412" i="2"/>
  <c r="V430" i="4"/>
  <c r="H412" i="2"/>
  <c r="H430" i="4"/>
  <c r="X431" i="1"/>
  <c r="X430" i="5" s="1"/>
  <c r="X398" i="2"/>
  <c r="Z417" i="1"/>
  <c r="Z416" i="5" s="1"/>
  <c r="J398" i="2"/>
  <c r="J416" i="4"/>
  <c r="J396" i="2"/>
  <c r="J414" i="4"/>
  <c r="J392" i="2"/>
  <c r="J410" i="4"/>
  <c r="J385" i="2"/>
  <c r="J403" i="4"/>
  <c r="E394" i="4"/>
  <c r="P368" i="2"/>
  <c r="P384" i="4"/>
  <c r="U385" i="1"/>
  <c r="U384" i="5" s="1"/>
  <c r="X385" i="1"/>
  <c r="U365" i="2"/>
  <c r="U381" i="4"/>
  <c r="M359" i="2"/>
  <c r="M375" i="4"/>
  <c r="AA376" i="1"/>
  <c r="H350" i="2"/>
  <c r="H366" i="4"/>
  <c r="M367" i="1"/>
  <c r="M366" i="5" s="1"/>
  <c r="J367" i="1"/>
  <c r="J366" i="5" s="1"/>
  <c r="H346" i="2"/>
  <c r="H362" i="4"/>
  <c r="M363" i="1"/>
  <c r="M362" i="5" s="1"/>
  <c r="X363" i="1"/>
  <c r="P339" i="2"/>
  <c r="P352" i="4"/>
  <c r="X332" i="2"/>
  <c r="Z346" i="1"/>
  <c r="Z332" i="2" s="1"/>
  <c r="J332" i="2"/>
  <c r="J345" i="4"/>
  <c r="P329" i="2"/>
  <c r="P342" i="4"/>
  <c r="U343" i="1"/>
  <c r="U342" i="5" s="1"/>
  <c r="H316" i="2"/>
  <c r="H329" i="4"/>
  <c r="M330" i="1"/>
  <c r="M329" i="5" s="1"/>
  <c r="J330" i="1"/>
  <c r="J329" i="5" s="1"/>
  <c r="X330" i="1"/>
  <c r="P313" i="2"/>
  <c r="P326" i="4"/>
  <c r="U327" i="1"/>
  <c r="U326" i="5" s="1"/>
  <c r="X308" i="2"/>
  <c r="Z322" i="1"/>
  <c r="Z308" i="2" s="1"/>
  <c r="J308" i="2"/>
  <c r="J321" i="4"/>
  <c r="M288" i="2"/>
  <c r="M300" i="4"/>
  <c r="M287" i="2"/>
  <c r="M299" i="4"/>
  <c r="AA300" i="1"/>
  <c r="AA299" i="5" s="1"/>
  <c r="U285" i="2"/>
  <c r="U297" i="4"/>
  <c r="U284" i="2"/>
  <c r="U296" i="4"/>
  <c r="P283" i="2"/>
  <c r="U296" i="1"/>
  <c r="U295" i="5" s="1"/>
  <c r="P295" i="4"/>
  <c r="J271" i="2"/>
  <c r="J283" i="4"/>
  <c r="P266" i="2"/>
  <c r="P278" i="4"/>
  <c r="H260" i="2"/>
  <c r="H271" i="4"/>
  <c r="M272" i="1"/>
  <c r="M271" i="5" s="1"/>
  <c r="J272" i="1"/>
  <c r="J271" i="5" s="1"/>
  <c r="X272" i="1"/>
  <c r="X260" i="2" s="1"/>
  <c r="X255" i="2"/>
  <c r="Z267" i="1"/>
  <c r="Z266" i="5" s="1"/>
  <c r="J255" i="2"/>
  <c r="J266" i="4"/>
  <c r="U253" i="2"/>
  <c r="U264" i="4"/>
  <c r="M253" i="2"/>
  <c r="M264" i="4"/>
  <c r="AA265" i="1"/>
  <c r="AA264" i="5" s="1"/>
  <c r="X246" i="2"/>
  <c r="X256" i="4"/>
  <c r="Z257" i="1"/>
  <c r="Z256" i="5" s="1"/>
  <c r="P232" i="2"/>
  <c r="P242" i="4"/>
  <c r="U243" i="1"/>
  <c r="U242" i="5" s="1"/>
  <c r="Q243" i="1"/>
  <c r="Q242" i="5" s="1"/>
  <c r="P262" i="1"/>
  <c r="U216" i="2"/>
  <c r="U225" i="4"/>
  <c r="M214" i="2"/>
  <c r="M223" i="4"/>
  <c r="K213" i="2"/>
  <c r="K222" i="4"/>
  <c r="Q222" i="1"/>
  <c r="Q222" i="5" s="1"/>
  <c r="E213" i="2"/>
  <c r="E222" i="4"/>
  <c r="Z222" i="1"/>
  <c r="Z213" i="2" s="1"/>
  <c r="R222" i="1"/>
  <c r="R222" i="5" s="1"/>
  <c r="E194" i="2"/>
  <c r="E203" i="4"/>
  <c r="E208" i="1"/>
  <c r="M153" i="2"/>
  <c r="M161" i="4"/>
  <c r="V151" i="2"/>
  <c r="V158" i="4"/>
  <c r="W158" i="1"/>
  <c r="W158" i="5" s="1"/>
  <c r="M140" i="2"/>
  <c r="M147" i="4"/>
  <c r="U138" i="2"/>
  <c r="U145" i="4"/>
  <c r="P135" i="2"/>
  <c r="P142" i="4"/>
  <c r="V142" i="1"/>
  <c r="V142" i="5" s="1"/>
  <c r="X142" i="1"/>
  <c r="X142" i="5" s="1"/>
  <c r="AA134" i="2"/>
  <c r="AA141" i="4"/>
  <c r="X133" i="2"/>
  <c r="X140" i="4"/>
  <c r="M116" i="2"/>
  <c r="M122" i="4"/>
  <c r="AA122" i="1"/>
  <c r="AA122" i="5" s="1"/>
  <c r="H109" i="2"/>
  <c r="H115" i="4"/>
  <c r="X115" i="1"/>
  <c r="V104" i="2"/>
  <c r="V110" i="4"/>
  <c r="W110" i="1"/>
  <c r="W110" i="5" s="1"/>
  <c r="P99" i="2"/>
  <c r="P105" i="4"/>
  <c r="V105" i="1"/>
  <c r="V105" i="5" s="1"/>
  <c r="U105" i="1"/>
  <c r="U105" i="5" s="1"/>
  <c r="X105" i="1"/>
  <c r="U95" i="2"/>
  <c r="U100" i="4"/>
  <c r="V85" i="2"/>
  <c r="V90" i="4"/>
  <c r="E85" i="2"/>
  <c r="E90" i="4"/>
  <c r="W90" i="1"/>
  <c r="W90" i="5" s="1"/>
  <c r="H82" i="2"/>
  <c r="H86" i="4"/>
  <c r="X86" i="1"/>
  <c r="M86" i="1"/>
  <c r="M86" i="5" s="1"/>
  <c r="V86" i="1"/>
  <c r="V86" i="5" s="1"/>
  <c r="X69" i="2"/>
  <c r="Z73" i="1"/>
  <c r="Z69" i="2" s="1"/>
  <c r="H62" i="2"/>
  <c r="H66" i="4"/>
  <c r="X66" i="1"/>
  <c r="M66" i="1"/>
  <c r="M66" i="5" s="1"/>
  <c r="V66" i="1"/>
  <c r="V66" i="5" s="1"/>
  <c r="P45" i="2"/>
  <c r="P49" i="4"/>
  <c r="V49" i="1"/>
  <c r="V49" i="5" s="1"/>
  <c r="U49" i="1"/>
  <c r="U49" i="5" s="1"/>
  <c r="X49" i="1"/>
  <c r="U34" i="2"/>
  <c r="U35" i="4"/>
  <c r="X17" i="2"/>
  <c r="X17" i="4"/>
  <c r="Z17" i="1"/>
  <c r="Z17" i="5" s="1"/>
  <c r="M12" i="2"/>
  <c r="M12" i="4"/>
  <c r="X2578" i="2"/>
  <c r="Z2578" i="2" s="1"/>
  <c r="M2578" i="2"/>
  <c r="AA2578" i="2" s="1"/>
  <c r="AB2578" i="2" s="1"/>
  <c r="V2578" i="2"/>
  <c r="W2578" i="2" s="1"/>
  <c r="J2750" i="2"/>
  <c r="AA1164" i="1"/>
  <c r="AA1163" i="5" s="1"/>
  <c r="AA1161" i="1"/>
  <c r="AA1160" i="5" s="1"/>
  <c r="AA1159" i="1"/>
  <c r="AA1158" i="5" s="1"/>
  <c r="AA1155" i="1"/>
  <c r="AA1154" i="5" s="1"/>
  <c r="AA1153" i="1"/>
  <c r="AA1152" i="5" s="1"/>
  <c r="AA1149" i="1"/>
  <c r="AA1148" i="5" s="1"/>
  <c r="X1148" i="1"/>
  <c r="H1144" i="1"/>
  <c r="AA1140" i="1"/>
  <c r="AA1139" i="5" s="1"/>
  <c r="AA1138" i="1"/>
  <c r="AA1137" i="5" s="1"/>
  <c r="AA1119" i="1"/>
  <c r="AA1118" i="5" s="1"/>
  <c r="AA1115" i="1"/>
  <c r="AA1114" i="5" s="1"/>
  <c r="AA1112" i="1"/>
  <c r="AA1111" i="5" s="1"/>
  <c r="AA1110" i="1"/>
  <c r="AA1109" i="5" s="1"/>
  <c r="AA1103" i="1"/>
  <c r="AA1102" i="5" s="1"/>
  <c r="AA1082" i="1"/>
  <c r="AA1081" i="5" s="1"/>
  <c r="AA1073" i="1"/>
  <c r="AA1072" i="5" s="1"/>
  <c r="AA1069" i="1"/>
  <c r="AA1068" i="5" s="1"/>
  <c r="U1066" i="1"/>
  <c r="AA1061" i="1"/>
  <c r="AA1060" i="5" s="1"/>
  <c r="AA1059" i="1"/>
  <c r="AA1058" i="5" s="1"/>
  <c r="AA1057" i="1"/>
  <c r="AA1056" i="5" s="1"/>
  <c r="AA1055" i="1"/>
  <c r="AA1054" i="5" s="1"/>
  <c r="AA1048" i="1"/>
  <c r="AA1047" i="5" s="1"/>
  <c r="AA1046" i="1"/>
  <c r="AA1045" i="5" s="1"/>
  <c r="AA1044" i="1"/>
  <c r="AA1043" i="5" s="1"/>
  <c r="AA1042" i="1"/>
  <c r="AA1041" i="5" s="1"/>
  <c r="AA1040" i="1"/>
  <c r="AA1039" i="5" s="1"/>
  <c r="AA1032" i="1"/>
  <c r="AA1031" i="5" s="1"/>
  <c r="AA1025" i="1"/>
  <c r="AA1022" i="1"/>
  <c r="AA1021" i="5" s="1"/>
  <c r="AA1020" i="1"/>
  <c r="AA1019" i="5" s="1"/>
  <c r="AA1018" i="1"/>
  <c r="AA1017" i="5" s="1"/>
  <c r="AA1008" i="1"/>
  <c r="AA1007" i="5" s="1"/>
  <c r="X1007" i="1"/>
  <c r="X963" i="2" s="1"/>
  <c r="AA999" i="1"/>
  <c r="AA998" i="5" s="1"/>
  <c r="AA982" i="1"/>
  <c r="AA981" i="5" s="1"/>
  <c r="AA977" i="1"/>
  <c r="AA976" i="5" s="1"/>
  <c r="AA974" i="1"/>
  <c r="AA973" i="5" s="1"/>
  <c r="AA971" i="1"/>
  <c r="AA970" i="5" s="1"/>
  <c r="AA969" i="1"/>
  <c r="AA968" i="5" s="1"/>
  <c r="H947" i="1"/>
  <c r="Z938" i="1"/>
  <c r="Z895" i="2" s="1"/>
  <c r="V929" i="1"/>
  <c r="V929" i="5" s="1"/>
  <c r="V928" i="1"/>
  <c r="V928" i="5" s="1"/>
  <c r="V920" i="1"/>
  <c r="V920" i="5" s="1"/>
  <c r="V913" i="1"/>
  <c r="V913" i="5" s="1"/>
  <c r="V912" i="1"/>
  <c r="V912" i="5" s="1"/>
  <c r="V911" i="1"/>
  <c r="V911" i="5" s="1"/>
  <c r="V910" i="1"/>
  <c r="V910" i="5" s="1"/>
  <c r="V909" i="1"/>
  <c r="V909" i="5" s="1"/>
  <c r="V902" i="1"/>
  <c r="V902" i="5" s="1"/>
  <c r="V891" i="1"/>
  <c r="V891" i="5" s="1"/>
  <c r="V857" i="1"/>
  <c r="V857" i="5" s="1"/>
  <c r="V854" i="1"/>
  <c r="V854" i="5" s="1"/>
  <c r="V853" i="1"/>
  <c r="V853" i="5" s="1"/>
  <c r="V848" i="1"/>
  <c r="V848" i="5" s="1"/>
  <c r="Z827" i="1"/>
  <c r="V814" i="1"/>
  <c r="V814" i="5" s="1"/>
  <c r="V813" i="1"/>
  <c r="V813" i="5" s="1"/>
  <c r="V812" i="1"/>
  <c r="V812" i="5" s="1"/>
  <c r="Z807" i="1"/>
  <c r="AA796" i="1"/>
  <c r="AA796" i="5" s="1"/>
  <c r="V784" i="1"/>
  <c r="V784" i="5" s="1"/>
  <c r="V778" i="1"/>
  <c r="V778" i="5" s="1"/>
  <c r="V774" i="1"/>
  <c r="V774" i="5" s="1"/>
  <c r="V773" i="1"/>
  <c r="V773" i="5" s="1"/>
  <c r="V772" i="1"/>
  <c r="V772" i="5" s="1"/>
  <c r="X766" i="1"/>
  <c r="X764" i="1"/>
  <c r="X754" i="1"/>
  <c r="AA740" i="1"/>
  <c r="AA740" i="5" s="1"/>
  <c r="V730" i="1"/>
  <c r="V730" i="5" s="1"/>
  <c r="X721" i="1"/>
  <c r="X691" i="2" s="1"/>
  <c r="X708" i="1"/>
  <c r="X678" i="2" s="1"/>
  <c r="V705" i="1"/>
  <c r="V705" i="5" s="1"/>
  <c r="X700" i="1"/>
  <c r="X696" i="1"/>
  <c r="X669" i="1"/>
  <c r="AA617" i="1"/>
  <c r="AA618" i="5" s="1"/>
  <c r="O639" i="1"/>
  <c r="J639" i="1"/>
  <c r="V581" i="1"/>
  <c r="V582" i="5" s="1"/>
  <c r="AA540" i="1"/>
  <c r="AA539" i="5" s="1"/>
  <c r="AA81" i="1"/>
  <c r="AA81" i="5" s="1"/>
  <c r="V36" i="1"/>
  <c r="V36" i="5" s="1"/>
  <c r="L2886" i="4"/>
  <c r="R2683" i="4"/>
  <c r="G2683" i="4"/>
  <c r="R2565" i="4"/>
  <c r="G2565" i="4"/>
  <c r="J2499" i="4"/>
  <c r="I2382" i="4"/>
  <c r="K2313" i="4"/>
  <c r="T2262" i="4"/>
  <c r="Y2262" i="4"/>
  <c r="T2219" i="4"/>
  <c r="N1433" i="4"/>
  <c r="H1197" i="4"/>
  <c r="H764" i="4"/>
  <c r="H760" i="4"/>
  <c r="U651" i="4"/>
  <c r="H612" i="4"/>
  <c r="L625" i="4"/>
  <c r="U203" i="4"/>
  <c r="Z2546" i="2"/>
  <c r="H741" i="2"/>
  <c r="H772" i="4"/>
  <c r="H740" i="2"/>
  <c r="H771" i="4"/>
  <c r="H739" i="2"/>
  <c r="H770" i="4"/>
  <c r="H738" i="2"/>
  <c r="H769" i="4"/>
  <c r="P735" i="2"/>
  <c r="P766" i="4"/>
  <c r="P734" i="2"/>
  <c r="P765" i="4"/>
  <c r="P733" i="2"/>
  <c r="P764" i="4"/>
  <c r="F733" i="2"/>
  <c r="F764" i="4"/>
  <c r="K732" i="2"/>
  <c r="K763" i="4"/>
  <c r="P731" i="2"/>
  <c r="P762" i="4"/>
  <c r="H731" i="2"/>
  <c r="H762" i="4"/>
  <c r="P723" i="2"/>
  <c r="P754" i="4"/>
  <c r="E723" i="2"/>
  <c r="E754" i="4"/>
  <c r="H722" i="2"/>
  <c r="H753" i="4"/>
  <c r="H721" i="2"/>
  <c r="H752" i="4"/>
  <c r="H720" i="2"/>
  <c r="H751" i="4"/>
  <c r="H719" i="2"/>
  <c r="H750" i="4"/>
  <c r="P747" i="4"/>
  <c r="P716" i="2"/>
  <c r="F716" i="2"/>
  <c r="F747" i="4"/>
  <c r="P710" i="2"/>
  <c r="P741" i="4"/>
  <c r="P709" i="2"/>
  <c r="P740" i="4"/>
  <c r="P708" i="2"/>
  <c r="P739" i="4"/>
  <c r="F708" i="2"/>
  <c r="F739" i="4"/>
  <c r="P707" i="2"/>
  <c r="P738" i="4"/>
  <c r="H706" i="2"/>
  <c r="H736" i="4"/>
  <c r="H705" i="2"/>
  <c r="H735" i="4"/>
  <c r="P701" i="2"/>
  <c r="P731" i="4"/>
  <c r="P696" i="2"/>
  <c r="P726" i="4"/>
  <c r="P695" i="2"/>
  <c r="P725" i="4"/>
  <c r="F695" i="2"/>
  <c r="F725" i="4"/>
  <c r="P693" i="2"/>
  <c r="P723" i="4"/>
  <c r="P692" i="2"/>
  <c r="P722" i="4"/>
  <c r="H692" i="2"/>
  <c r="H722" i="4"/>
  <c r="E689" i="2"/>
  <c r="E719" i="4"/>
  <c r="H682" i="2"/>
  <c r="H712" i="4"/>
  <c r="H681" i="2"/>
  <c r="H711" i="4"/>
  <c r="H680" i="2"/>
  <c r="H710" i="4"/>
  <c r="H679" i="2"/>
  <c r="H709" i="4"/>
  <c r="P703" i="4"/>
  <c r="P673" i="2"/>
  <c r="E673" i="2"/>
  <c r="E703" i="4"/>
  <c r="H672" i="2"/>
  <c r="H702" i="4"/>
  <c r="H671" i="2"/>
  <c r="H701" i="4"/>
  <c r="K669" i="2"/>
  <c r="K699" i="4"/>
  <c r="P668" i="2"/>
  <c r="P698" i="4"/>
  <c r="H668" i="2"/>
  <c r="H698" i="4"/>
  <c r="K664" i="2"/>
  <c r="K694" i="4"/>
  <c r="H657" i="2"/>
  <c r="H687" i="4"/>
  <c r="P656" i="2"/>
  <c r="P686" i="4"/>
  <c r="P654" i="2"/>
  <c r="P682" i="4"/>
  <c r="P653" i="2"/>
  <c r="P681" i="4"/>
  <c r="I651" i="2"/>
  <c r="I661" i="2" s="1"/>
  <c r="I679" i="4"/>
  <c r="I691" i="4" s="1"/>
  <c r="E649" i="2"/>
  <c r="E677" i="4"/>
  <c r="P648" i="2"/>
  <c r="P676" i="4"/>
  <c r="H645" i="2"/>
  <c r="H673" i="4"/>
  <c r="P644" i="2"/>
  <c r="P672" i="4"/>
  <c r="H640" i="2"/>
  <c r="H668" i="4"/>
  <c r="P639" i="2"/>
  <c r="P667" i="4"/>
  <c r="P631" i="2"/>
  <c r="P659" i="4"/>
  <c r="H628" i="2"/>
  <c r="H656" i="4"/>
  <c r="P627" i="2"/>
  <c r="P655" i="4"/>
  <c r="E627" i="2"/>
  <c r="E655" i="4"/>
  <c r="P626" i="2"/>
  <c r="P654" i="4"/>
  <c r="E626" i="2"/>
  <c r="E654" i="4"/>
  <c r="P625" i="2"/>
  <c r="P653" i="4"/>
  <c r="E625" i="2"/>
  <c r="E653" i="4"/>
  <c r="P624" i="2"/>
  <c r="P652" i="4"/>
  <c r="F609" i="2"/>
  <c r="F613" i="2" s="1"/>
  <c r="F634" i="4"/>
  <c r="F638" i="4" s="1"/>
  <c r="U596" i="2"/>
  <c r="U620" i="4"/>
  <c r="H594" i="2"/>
  <c r="H618" i="4"/>
  <c r="P593" i="2"/>
  <c r="P617" i="4"/>
  <c r="H592" i="2"/>
  <c r="H616" i="4"/>
  <c r="H579" i="2"/>
  <c r="H603" i="4"/>
  <c r="P578" i="2"/>
  <c r="P602" i="4"/>
  <c r="H577" i="2"/>
  <c r="H601" i="4"/>
  <c r="P576" i="2"/>
  <c r="P600" i="4"/>
  <c r="H575" i="2"/>
  <c r="H599" i="4"/>
  <c r="P574" i="2"/>
  <c r="P598" i="4"/>
  <c r="H573" i="2"/>
  <c r="H597" i="4"/>
  <c r="P572" i="2"/>
  <c r="P596" i="4"/>
  <c r="E572" i="2"/>
  <c r="E596" i="4"/>
  <c r="P570" i="2"/>
  <c r="P594" i="4"/>
  <c r="H569" i="2"/>
  <c r="H593" i="4"/>
  <c r="P568" i="2"/>
  <c r="P592" i="4"/>
  <c r="H563" i="2"/>
  <c r="H587" i="4"/>
  <c r="H560" i="2"/>
  <c r="H581" i="4"/>
  <c r="P559" i="2"/>
  <c r="P580" i="4"/>
  <c r="F530" i="2"/>
  <c r="F549" i="4"/>
  <c r="P529" i="2"/>
  <c r="P548" i="4"/>
  <c r="H524" i="2"/>
  <c r="H543" i="4"/>
  <c r="P523" i="2"/>
  <c r="P542" i="4"/>
  <c r="H485" i="2"/>
  <c r="H505" i="4"/>
  <c r="P484" i="2"/>
  <c r="P504" i="4"/>
  <c r="H483" i="2"/>
  <c r="H503" i="4"/>
  <c r="P478" i="2"/>
  <c r="P498" i="4"/>
  <c r="H477" i="2"/>
  <c r="H497" i="4"/>
  <c r="P476" i="2"/>
  <c r="P496" i="4"/>
  <c r="H475" i="2"/>
  <c r="H495" i="4"/>
  <c r="P474" i="2"/>
  <c r="P494" i="4"/>
  <c r="H473" i="2"/>
  <c r="H493" i="4"/>
  <c r="P472" i="2"/>
  <c r="P492" i="4"/>
  <c r="H471" i="2"/>
  <c r="H491" i="4"/>
  <c r="P465" i="2"/>
  <c r="P485" i="4"/>
  <c r="H464" i="2"/>
  <c r="H484" i="4"/>
  <c r="P463" i="2"/>
  <c r="P483" i="4"/>
  <c r="P459" i="2"/>
  <c r="P479" i="4"/>
  <c r="H457" i="2"/>
  <c r="H477" i="4"/>
  <c r="P423" i="2"/>
  <c r="P443" i="4"/>
  <c r="V444" i="1"/>
  <c r="V443" i="5" s="1"/>
  <c r="U422" i="2"/>
  <c r="U442" i="4"/>
  <c r="V420" i="2"/>
  <c r="V440" i="4"/>
  <c r="H420" i="2"/>
  <c r="H440" i="4"/>
  <c r="X441" i="1"/>
  <c r="X440" i="5" s="1"/>
  <c r="V418" i="2"/>
  <c r="V436" i="4"/>
  <c r="M417" i="2"/>
  <c r="M435" i="4"/>
  <c r="U413" i="2"/>
  <c r="U431" i="4"/>
  <c r="V409" i="2"/>
  <c r="V427" i="4"/>
  <c r="H409" i="2"/>
  <c r="H427" i="4"/>
  <c r="X428" i="1"/>
  <c r="X427" i="5" s="1"/>
  <c r="H408" i="2"/>
  <c r="H426" i="4"/>
  <c r="M427" i="1"/>
  <c r="M426" i="5" s="1"/>
  <c r="J395" i="2"/>
  <c r="J413" i="4"/>
  <c r="F393" i="2"/>
  <c r="F401" i="2" s="1"/>
  <c r="F411" i="4"/>
  <c r="F419" i="4" s="1"/>
  <c r="F420" i="1"/>
  <c r="E384" i="2"/>
  <c r="E402" i="4"/>
  <c r="E420" i="1"/>
  <c r="P377" i="2"/>
  <c r="U394" i="1"/>
  <c r="U393" i="5" s="1"/>
  <c r="P393" i="4"/>
  <c r="E377" i="2"/>
  <c r="E393" i="4"/>
  <c r="H375" i="2"/>
  <c r="J392" i="1"/>
  <c r="J391" i="5" s="1"/>
  <c r="X392" i="1"/>
  <c r="X372" i="2"/>
  <c r="Z389" i="1"/>
  <c r="Z372" i="2" s="1"/>
  <c r="M369" i="2"/>
  <c r="M385" i="4"/>
  <c r="M367" i="2"/>
  <c r="M383" i="4"/>
  <c r="X365" i="2"/>
  <c r="Z382" i="1"/>
  <c r="Z365" i="2" s="1"/>
  <c r="H365" i="2"/>
  <c r="H381" i="4"/>
  <c r="M382" i="1"/>
  <c r="M381" i="5" s="1"/>
  <c r="P360" i="2"/>
  <c r="X377" i="1"/>
  <c r="U357" i="2"/>
  <c r="U373" i="4"/>
  <c r="X351" i="2"/>
  <c r="Z368" i="1"/>
  <c r="Z351" i="2" s="1"/>
  <c r="J351" i="2"/>
  <c r="J367" i="4"/>
  <c r="M342" i="2"/>
  <c r="M356" i="4"/>
  <c r="U341" i="2"/>
  <c r="U355" i="4"/>
  <c r="M354" i="4"/>
  <c r="AA355" i="1"/>
  <c r="AA354" i="5" s="1"/>
  <c r="X338" i="2"/>
  <c r="Z352" i="1"/>
  <c r="Z338" i="2" s="1"/>
  <c r="M337" i="2"/>
  <c r="U333" i="2"/>
  <c r="U346" i="4"/>
  <c r="M332" i="2"/>
  <c r="AA346" i="1"/>
  <c r="AA345" i="5" s="1"/>
  <c r="M345" i="4"/>
  <c r="P330" i="2"/>
  <c r="P343" i="4"/>
  <c r="X344" i="1"/>
  <c r="U344" i="1"/>
  <c r="U343" i="5" s="1"/>
  <c r="H326" i="2"/>
  <c r="H339" i="4"/>
  <c r="M340" i="1"/>
  <c r="M339" i="5" s="1"/>
  <c r="M323" i="2"/>
  <c r="F318" i="2"/>
  <c r="F331" i="4"/>
  <c r="H332" i="1"/>
  <c r="H331" i="5" s="1"/>
  <c r="X331" i="5" s="1"/>
  <c r="Z331" i="5" s="1"/>
  <c r="M312" i="2"/>
  <c r="M325" i="4"/>
  <c r="AA326" i="1"/>
  <c r="AA325" i="5" s="1"/>
  <c r="P311" i="2"/>
  <c r="P324" i="4"/>
  <c r="X325" i="1"/>
  <c r="U325" i="1"/>
  <c r="U324" i="5" s="1"/>
  <c r="U309" i="2"/>
  <c r="U322" i="4"/>
  <c r="M308" i="2"/>
  <c r="M321" i="4"/>
  <c r="AA322" i="1"/>
  <c r="AA321" i="5" s="1"/>
  <c r="X304" i="2"/>
  <c r="Z318" i="1"/>
  <c r="Z304" i="2" s="1"/>
  <c r="F303" i="2"/>
  <c r="F316" i="4"/>
  <c r="F334" i="1"/>
  <c r="U296" i="2"/>
  <c r="U309" i="4"/>
  <c r="X308" i="1"/>
  <c r="Z308" i="1" s="1"/>
  <c r="P307" i="4"/>
  <c r="X307" i="4" s="1"/>
  <c r="Z307" i="4" s="1"/>
  <c r="U308" i="1"/>
  <c r="U307" i="5" s="1"/>
  <c r="U294" i="2"/>
  <c r="U306" i="4"/>
  <c r="M293" i="2"/>
  <c r="M305" i="4"/>
  <c r="AA306" i="1"/>
  <c r="E293" i="2"/>
  <c r="F290" i="2"/>
  <c r="F302" i="4"/>
  <c r="H303" i="1"/>
  <c r="H302" i="5" s="1"/>
  <c r="X302" i="5" s="1"/>
  <c r="Z302" i="5" s="1"/>
  <c r="P288" i="2"/>
  <c r="P300" i="4"/>
  <c r="U301" i="1"/>
  <c r="U300" i="5" s="1"/>
  <c r="E288" i="2"/>
  <c r="E300" i="4"/>
  <c r="H284" i="2"/>
  <c r="H296" i="4"/>
  <c r="M297" i="1"/>
  <c r="M296" i="5" s="1"/>
  <c r="J297" i="1"/>
  <c r="J296" i="5" s="1"/>
  <c r="H282" i="2"/>
  <c r="H294" i="4"/>
  <c r="M295" i="1"/>
  <c r="M294" i="5" s="1"/>
  <c r="J295" i="1"/>
  <c r="J294" i="5" s="1"/>
  <c r="H277" i="2"/>
  <c r="M290" i="1"/>
  <c r="M289" i="5" s="1"/>
  <c r="J290" i="1"/>
  <c r="J289" i="5" s="1"/>
  <c r="H289" i="4"/>
  <c r="P274" i="2"/>
  <c r="P286" i="4"/>
  <c r="U287" i="1"/>
  <c r="U286" i="5" s="1"/>
  <c r="X265" i="2"/>
  <c r="Z278" i="1"/>
  <c r="Z277" i="5" s="1"/>
  <c r="M264" i="2"/>
  <c r="M276" i="4"/>
  <c r="AA277" i="1"/>
  <c r="AA276" i="5" s="1"/>
  <c r="U263" i="2"/>
  <c r="U274" i="4"/>
  <c r="J262" i="2"/>
  <c r="J273" i="4"/>
  <c r="P260" i="2"/>
  <c r="P271" i="4"/>
  <c r="U272" i="1"/>
  <c r="U271" i="5" s="1"/>
  <c r="X258" i="2"/>
  <c r="Z270" i="1"/>
  <c r="Z269" i="5" s="1"/>
  <c r="H258" i="2"/>
  <c r="H269" i="4"/>
  <c r="M270" i="1"/>
  <c r="M269" i="5" s="1"/>
  <c r="H281" i="1"/>
  <c r="M255" i="2"/>
  <c r="M266" i="4"/>
  <c r="AA267" i="1"/>
  <c r="AA266" i="5" s="1"/>
  <c r="P254" i="2"/>
  <c r="P265" i="4"/>
  <c r="X266" i="1"/>
  <c r="U266" i="1"/>
  <c r="U265" i="5" s="1"/>
  <c r="E254" i="2"/>
  <c r="E265" i="4"/>
  <c r="E281" i="1"/>
  <c r="M244" i="2"/>
  <c r="M254" i="4"/>
  <c r="J243" i="2"/>
  <c r="J253" i="4"/>
  <c r="M241" i="2"/>
  <c r="M240" i="2"/>
  <c r="E240" i="2"/>
  <c r="E250" i="4"/>
  <c r="Q251" i="1"/>
  <c r="Q250" i="5" s="1"/>
  <c r="Z251" i="1"/>
  <c r="Z250" i="5" s="1"/>
  <c r="M236" i="2"/>
  <c r="M246" i="4"/>
  <c r="AA247" i="1"/>
  <c r="AA246" i="5" s="1"/>
  <c r="Q233" i="2"/>
  <c r="Q243" i="4"/>
  <c r="AA221" i="2"/>
  <c r="AA232" i="4"/>
  <c r="AB232" i="1"/>
  <c r="AB232" i="5" s="1"/>
  <c r="K219" i="2"/>
  <c r="K230" i="4"/>
  <c r="Q230" i="1"/>
  <c r="Q230" i="5" s="1"/>
  <c r="E216" i="2"/>
  <c r="E225" i="4"/>
  <c r="Z225" i="1"/>
  <c r="Z216" i="2" s="1"/>
  <c r="I214" i="2"/>
  <c r="I223" i="4"/>
  <c r="K223" i="1"/>
  <c r="K223" i="5" s="1"/>
  <c r="P212" i="2"/>
  <c r="P221" i="4"/>
  <c r="X221" i="1"/>
  <c r="X211" i="2"/>
  <c r="Z220" i="1"/>
  <c r="Z211" i="2" s="1"/>
  <c r="H211" i="2"/>
  <c r="H220" i="4"/>
  <c r="I220" i="1"/>
  <c r="I220" i="5" s="1"/>
  <c r="P208" i="2"/>
  <c r="P217" i="4"/>
  <c r="X217" i="1"/>
  <c r="X207" i="2"/>
  <c r="Z216" i="1"/>
  <c r="Z207" i="2" s="1"/>
  <c r="H207" i="2"/>
  <c r="H216" i="4"/>
  <c r="I216" i="1"/>
  <c r="I216" i="5" s="1"/>
  <c r="I205" i="2"/>
  <c r="I214" i="4"/>
  <c r="K214" i="1"/>
  <c r="K214" i="5" s="1"/>
  <c r="Z204" i="2"/>
  <c r="H193" i="2"/>
  <c r="H201" i="4"/>
  <c r="M201" i="1"/>
  <c r="M201" i="5" s="1"/>
  <c r="I200" i="4"/>
  <c r="U191" i="2"/>
  <c r="U199" i="4"/>
  <c r="M188" i="2"/>
  <c r="M196" i="4"/>
  <c r="H183" i="2"/>
  <c r="H191" i="4"/>
  <c r="M191" i="1"/>
  <c r="M191" i="5" s="1"/>
  <c r="I181" i="2"/>
  <c r="I189" i="4"/>
  <c r="K189" i="1"/>
  <c r="K189" i="5" s="1"/>
  <c r="K187" i="4"/>
  <c r="V171" i="2"/>
  <c r="V179" i="4"/>
  <c r="H171" i="2"/>
  <c r="H179" i="4"/>
  <c r="X179" i="1"/>
  <c r="V167" i="2"/>
  <c r="V175" i="4"/>
  <c r="H167" i="2"/>
  <c r="H175" i="4"/>
  <c r="X175" i="1"/>
  <c r="M155" i="2"/>
  <c r="M163" i="4"/>
  <c r="P153" i="2"/>
  <c r="P161" i="4"/>
  <c r="V161" i="1"/>
  <c r="V161" i="5" s="1"/>
  <c r="U161" i="1"/>
  <c r="U161" i="5" s="1"/>
  <c r="X161" i="1"/>
  <c r="H151" i="2"/>
  <c r="H158" i="4"/>
  <c r="X158" i="1"/>
  <c r="M158" i="1"/>
  <c r="M158" i="5" s="1"/>
  <c r="V136" i="2"/>
  <c r="V143" i="4"/>
  <c r="H136" i="2"/>
  <c r="H143" i="4"/>
  <c r="X143" i="1"/>
  <c r="X143" i="5" s="1"/>
  <c r="V132" i="2"/>
  <c r="V139" i="4"/>
  <c r="H132" i="2"/>
  <c r="H139" i="4"/>
  <c r="X139" i="1"/>
  <c r="X139" i="5" s="1"/>
  <c r="P130" i="2"/>
  <c r="P137" i="4"/>
  <c r="V137" i="1"/>
  <c r="V137" i="5" s="1"/>
  <c r="U137" i="1"/>
  <c r="X137" i="1"/>
  <c r="X137" i="5" s="1"/>
  <c r="U120" i="2"/>
  <c r="U126" i="4"/>
  <c r="P118" i="2"/>
  <c r="P124" i="4"/>
  <c r="V124" i="1"/>
  <c r="V124" i="5" s="1"/>
  <c r="U124" i="1"/>
  <c r="X124" i="1"/>
  <c r="V117" i="2"/>
  <c r="V123" i="4"/>
  <c r="W123" i="1"/>
  <c r="W123" i="5" s="1"/>
  <c r="H115" i="2"/>
  <c r="H121" i="4"/>
  <c r="X121" i="1"/>
  <c r="M121" i="1"/>
  <c r="M121" i="5" s="1"/>
  <c r="P112" i="2"/>
  <c r="P118" i="4"/>
  <c r="V118" i="1"/>
  <c r="V118" i="5" s="1"/>
  <c r="X118" i="1"/>
  <c r="AA111" i="2"/>
  <c r="AA117" i="4"/>
  <c r="U106" i="2"/>
  <c r="U112" i="4"/>
  <c r="H104" i="2"/>
  <c r="H110" i="4"/>
  <c r="X110" i="1"/>
  <c r="M110" i="1"/>
  <c r="M110" i="5" s="1"/>
  <c r="H130" i="1"/>
  <c r="X94" i="2"/>
  <c r="Z99" i="1"/>
  <c r="Z94" i="2" s="1"/>
  <c r="X90" i="2"/>
  <c r="Z95" i="1"/>
  <c r="P81" i="2"/>
  <c r="P85" i="4"/>
  <c r="V85" i="1"/>
  <c r="V85" i="5" s="1"/>
  <c r="U85" i="1"/>
  <c r="U85" i="5" s="1"/>
  <c r="X85" i="1"/>
  <c r="W80" i="2"/>
  <c r="W84" i="4"/>
  <c r="M80" i="2"/>
  <c r="M84" i="4"/>
  <c r="U75" i="2"/>
  <c r="U79" i="4"/>
  <c r="E75" i="2"/>
  <c r="E79" i="4"/>
  <c r="E92" i="1"/>
  <c r="Z79" i="1"/>
  <c r="Z75" i="2" s="1"/>
  <c r="P72" i="2"/>
  <c r="P76" i="4"/>
  <c r="V76" i="1"/>
  <c r="V76" i="5" s="1"/>
  <c r="U76" i="1"/>
  <c r="U76" i="5" s="1"/>
  <c r="X76" i="1"/>
  <c r="M71" i="2"/>
  <c r="M75" i="4"/>
  <c r="V68" i="2"/>
  <c r="V72" i="4"/>
  <c r="W72" i="1"/>
  <c r="W72" i="5" s="1"/>
  <c r="P61" i="2"/>
  <c r="P65" i="4"/>
  <c r="V65" i="1"/>
  <c r="V65" i="5" s="1"/>
  <c r="U65" i="1"/>
  <c r="U65" i="5" s="1"/>
  <c r="U60" i="2"/>
  <c r="U64" i="4"/>
  <c r="H59" i="2"/>
  <c r="H63" i="4"/>
  <c r="X63" i="1"/>
  <c r="M63" i="1"/>
  <c r="M63" i="5" s="1"/>
  <c r="X56" i="2"/>
  <c r="Z60" i="1"/>
  <c r="Z56" i="2" s="1"/>
  <c r="P50" i="2"/>
  <c r="P54" i="4"/>
  <c r="V54" i="1"/>
  <c r="V54" i="5" s="1"/>
  <c r="U54" i="1"/>
  <c r="U54" i="5" s="1"/>
  <c r="X54" i="1"/>
  <c r="M49" i="2"/>
  <c r="M53" i="4"/>
  <c r="V46" i="2"/>
  <c r="V50" i="4"/>
  <c r="W50" i="1"/>
  <c r="W50" i="5" s="1"/>
  <c r="P37" i="2"/>
  <c r="P41" i="4"/>
  <c r="X41" i="1"/>
  <c r="X41" i="5" s="1"/>
  <c r="V41" i="1"/>
  <c r="V41" i="5" s="1"/>
  <c r="U41" i="1"/>
  <c r="U41" i="5" s="1"/>
  <c r="P30" i="2"/>
  <c r="P31" i="4"/>
  <c r="V31" i="1"/>
  <c r="V31" i="5" s="1"/>
  <c r="X31" i="1"/>
  <c r="X31" i="5" s="1"/>
  <c r="M29" i="2"/>
  <c r="M30" i="4"/>
  <c r="X19" i="4"/>
  <c r="Z19" i="1"/>
  <c r="X15" i="2"/>
  <c r="X15" i="4"/>
  <c r="Z15" i="1"/>
  <c r="Z15" i="5" s="1"/>
  <c r="H986" i="4"/>
  <c r="X986" i="4" s="1"/>
  <c r="H1190" i="4"/>
  <c r="H2911" i="4" s="1"/>
  <c r="X984" i="4"/>
  <c r="Z984" i="4" s="1"/>
  <c r="P421" i="4"/>
  <c r="P2905" i="4" s="1"/>
  <c r="X369" i="4"/>
  <c r="U2642" i="2"/>
  <c r="AA2642" i="2" s="1"/>
  <c r="AB2642" i="2" s="1"/>
  <c r="X2642" i="2"/>
  <c r="X2331" i="2"/>
  <c r="Z2331" i="2" s="1"/>
  <c r="M2331" i="2"/>
  <c r="AA2331" i="2" s="1"/>
  <c r="AB2331" i="2" s="1"/>
  <c r="V2331" i="2"/>
  <c r="W2331" i="2" s="1"/>
  <c r="U2243" i="2"/>
  <c r="X2243" i="2"/>
  <c r="Z2243" i="2" s="1"/>
  <c r="Q2243" i="2"/>
  <c r="M2179" i="2"/>
  <c r="AA2179" i="2" s="1"/>
  <c r="AB2179" i="2" s="1"/>
  <c r="X2179" i="2"/>
  <c r="Z2179" i="2" s="1"/>
  <c r="J2179" i="2"/>
  <c r="J2102" i="2"/>
  <c r="M2102" i="2"/>
  <c r="X2102" i="2"/>
  <c r="Z2102" i="2" s="1"/>
  <c r="E661" i="1"/>
  <c r="AA615" i="1"/>
  <c r="W604" i="1"/>
  <c r="W605" i="5" s="1"/>
  <c r="AA485" i="1"/>
  <c r="AA484" i="5" s="1"/>
  <c r="I422" i="1"/>
  <c r="I2902" i="1" s="1"/>
  <c r="T132" i="1"/>
  <c r="K132" i="1"/>
  <c r="AA29" i="1"/>
  <c r="AA29" i="5" s="1"/>
  <c r="O2728" i="4"/>
  <c r="S2683" i="4"/>
  <c r="N2683" i="4"/>
  <c r="K2658" i="4"/>
  <c r="G2658" i="4"/>
  <c r="P2660" i="4"/>
  <c r="P2927" i="4" s="1"/>
  <c r="Q2608" i="4"/>
  <c r="I2608" i="4"/>
  <c r="Y2499" i="4"/>
  <c r="F2499" i="4"/>
  <c r="R2488" i="4"/>
  <c r="G2488" i="4"/>
  <c r="I2428" i="4"/>
  <c r="T2410" i="4"/>
  <c r="T2382" i="4"/>
  <c r="Y2382" i="4"/>
  <c r="Y2341" i="4"/>
  <c r="N2313" i="4"/>
  <c r="Y2292" i="4"/>
  <c r="L2219" i="4"/>
  <c r="Y2173" i="4"/>
  <c r="L2112" i="4"/>
  <c r="N1865" i="4"/>
  <c r="Y1709" i="4"/>
  <c r="F1709" i="4"/>
  <c r="S1568" i="4"/>
  <c r="O1375" i="4"/>
  <c r="O1244" i="4"/>
  <c r="T872" i="4"/>
  <c r="O743" i="4"/>
  <c r="H631" i="4"/>
  <c r="P628" i="4"/>
  <c r="L638" i="4"/>
  <c r="M616" i="4"/>
  <c r="U600" i="4"/>
  <c r="P462" i="4"/>
  <c r="H391" i="4"/>
  <c r="E305" i="4"/>
  <c r="U284" i="4"/>
  <c r="Q246" i="4"/>
  <c r="V261" i="4"/>
  <c r="R261" i="4"/>
  <c r="H717" i="2"/>
  <c r="H748" i="4"/>
  <c r="Q716" i="2"/>
  <c r="Q747" i="4"/>
  <c r="H716" i="2"/>
  <c r="H747" i="4"/>
  <c r="Q710" i="2"/>
  <c r="Q741" i="4"/>
  <c r="H710" i="2"/>
  <c r="H741" i="4"/>
  <c r="Q709" i="2"/>
  <c r="Q740" i="4"/>
  <c r="H709" i="2"/>
  <c r="H740" i="4"/>
  <c r="Q708" i="2"/>
  <c r="Q739" i="4"/>
  <c r="H708" i="2"/>
  <c r="H739" i="4"/>
  <c r="U707" i="2"/>
  <c r="U738" i="4"/>
  <c r="J706" i="2"/>
  <c r="J736" i="4"/>
  <c r="J705" i="2"/>
  <c r="J735" i="4"/>
  <c r="E702" i="2"/>
  <c r="E732" i="4"/>
  <c r="I701" i="2"/>
  <c r="I712" i="2" s="1"/>
  <c r="I731" i="4"/>
  <c r="I743" i="4" s="1"/>
  <c r="P700" i="2"/>
  <c r="P730" i="4"/>
  <c r="P699" i="2"/>
  <c r="P729" i="4"/>
  <c r="P698" i="2"/>
  <c r="P728" i="4"/>
  <c r="P697" i="2"/>
  <c r="P727" i="4"/>
  <c r="E697" i="2"/>
  <c r="E727" i="4"/>
  <c r="Q696" i="2"/>
  <c r="Q726" i="4"/>
  <c r="H696" i="2"/>
  <c r="H726" i="4"/>
  <c r="H695" i="2"/>
  <c r="H725" i="4"/>
  <c r="E694" i="2"/>
  <c r="E724" i="4"/>
  <c r="Q693" i="2"/>
  <c r="Q723" i="4"/>
  <c r="H693" i="2"/>
  <c r="H723" i="4"/>
  <c r="J692" i="2"/>
  <c r="J722" i="4"/>
  <c r="P690" i="2"/>
  <c r="P720" i="4"/>
  <c r="P689" i="2"/>
  <c r="P719" i="4"/>
  <c r="F689" i="2"/>
  <c r="F719" i="4"/>
  <c r="J682" i="2"/>
  <c r="J712" i="4"/>
  <c r="J680" i="2"/>
  <c r="J710" i="4"/>
  <c r="J679" i="2"/>
  <c r="J709" i="4"/>
  <c r="P677" i="2"/>
  <c r="P707" i="4"/>
  <c r="P676" i="2"/>
  <c r="P706" i="4"/>
  <c r="P675" i="2"/>
  <c r="P705" i="4"/>
  <c r="P674" i="2"/>
  <c r="P704" i="4"/>
  <c r="F674" i="2"/>
  <c r="F704" i="4"/>
  <c r="Q673" i="2"/>
  <c r="H673" i="2"/>
  <c r="H703" i="4"/>
  <c r="J672" i="2"/>
  <c r="J702" i="4"/>
  <c r="J671" i="2"/>
  <c r="J701" i="4"/>
  <c r="E669" i="2"/>
  <c r="E699" i="4"/>
  <c r="J668" i="2"/>
  <c r="J698" i="4"/>
  <c r="F664" i="2"/>
  <c r="F694" i="4"/>
  <c r="J657" i="2"/>
  <c r="J687" i="4"/>
  <c r="U656" i="2"/>
  <c r="U686" i="4"/>
  <c r="H656" i="2"/>
  <c r="H686" i="4"/>
  <c r="P655" i="2"/>
  <c r="P685" i="4"/>
  <c r="U654" i="2"/>
  <c r="U682" i="4"/>
  <c r="U653" i="2"/>
  <c r="U681" i="4"/>
  <c r="E650" i="2"/>
  <c r="E678" i="4"/>
  <c r="P649" i="2"/>
  <c r="P677" i="4"/>
  <c r="F649" i="2"/>
  <c r="F677" i="4"/>
  <c r="U648" i="2"/>
  <c r="U676" i="4"/>
  <c r="H648" i="2"/>
  <c r="H676" i="4"/>
  <c r="P647" i="2"/>
  <c r="P675" i="4"/>
  <c r="J645" i="2"/>
  <c r="J673" i="4"/>
  <c r="U644" i="2"/>
  <c r="U672" i="4"/>
  <c r="H644" i="2"/>
  <c r="H672" i="4"/>
  <c r="P643" i="2"/>
  <c r="P671" i="4"/>
  <c r="J640" i="2"/>
  <c r="J668" i="4"/>
  <c r="U639" i="2"/>
  <c r="U667" i="4"/>
  <c r="H639" i="2"/>
  <c r="H667" i="4"/>
  <c r="P638" i="2"/>
  <c r="P666" i="4"/>
  <c r="E638" i="2"/>
  <c r="E666" i="4"/>
  <c r="P637" i="2"/>
  <c r="P665" i="4"/>
  <c r="E637" i="2"/>
  <c r="E665" i="4"/>
  <c r="P636" i="2"/>
  <c r="P664" i="4"/>
  <c r="U631" i="2"/>
  <c r="U659" i="4"/>
  <c r="H631" i="2"/>
  <c r="H659" i="4"/>
  <c r="P630" i="2"/>
  <c r="P658" i="4"/>
  <c r="U627" i="2"/>
  <c r="U655" i="4"/>
  <c r="H627" i="2"/>
  <c r="H655" i="4"/>
  <c r="U626" i="2"/>
  <c r="U654" i="4"/>
  <c r="H626" i="2"/>
  <c r="H654" i="4"/>
  <c r="U625" i="2"/>
  <c r="U653" i="4"/>
  <c r="H625" i="2"/>
  <c r="H653" i="4"/>
  <c r="U624" i="2"/>
  <c r="U652" i="4"/>
  <c r="H624" i="2"/>
  <c r="H652" i="4"/>
  <c r="P623" i="2"/>
  <c r="P651" i="4"/>
  <c r="E623" i="2"/>
  <c r="E651" i="4"/>
  <c r="P622" i="2"/>
  <c r="P650" i="4"/>
  <c r="E621" i="2"/>
  <c r="E649" i="4"/>
  <c r="H611" i="2"/>
  <c r="H636" i="4"/>
  <c r="P610" i="2"/>
  <c r="P635" i="4"/>
  <c r="H609" i="2"/>
  <c r="H634" i="4"/>
  <c r="H608" i="2"/>
  <c r="H633" i="4"/>
  <c r="P607" i="2"/>
  <c r="P632" i="4"/>
  <c r="P605" i="2"/>
  <c r="P630" i="4"/>
  <c r="H604" i="2"/>
  <c r="H629" i="4"/>
  <c r="H598" i="2"/>
  <c r="H623" i="4"/>
  <c r="P597" i="2"/>
  <c r="P621" i="4"/>
  <c r="M594" i="2"/>
  <c r="M618" i="4"/>
  <c r="U593" i="2"/>
  <c r="U617" i="4"/>
  <c r="H591" i="2"/>
  <c r="H615" i="4"/>
  <c r="P590" i="2"/>
  <c r="P614" i="4"/>
  <c r="H589" i="2"/>
  <c r="H613" i="4"/>
  <c r="P581" i="2"/>
  <c r="P605" i="4"/>
  <c r="P580" i="2"/>
  <c r="P604" i="4"/>
  <c r="M579" i="2"/>
  <c r="M603" i="4"/>
  <c r="U578" i="2"/>
  <c r="U602" i="4"/>
  <c r="M577" i="2"/>
  <c r="M601" i="4"/>
  <c r="M575" i="2"/>
  <c r="M599" i="4"/>
  <c r="U574" i="2"/>
  <c r="U572" i="2"/>
  <c r="U596" i="4"/>
  <c r="F572" i="2"/>
  <c r="F596" i="4"/>
  <c r="U570" i="2"/>
  <c r="U594" i="4"/>
  <c r="M569" i="2"/>
  <c r="M593" i="4"/>
  <c r="U568" i="2"/>
  <c r="U592" i="4"/>
  <c r="M563" i="2"/>
  <c r="M587" i="4"/>
  <c r="H562" i="2"/>
  <c r="H583" i="4"/>
  <c r="P561" i="2"/>
  <c r="P582" i="4"/>
  <c r="M560" i="2"/>
  <c r="M581" i="4"/>
  <c r="U559" i="2"/>
  <c r="U580" i="4"/>
  <c r="F559" i="2"/>
  <c r="F580" i="4"/>
  <c r="P558" i="2"/>
  <c r="P579" i="4"/>
  <c r="H557" i="2"/>
  <c r="H578" i="4"/>
  <c r="P556" i="2"/>
  <c r="P577" i="4"/>
  <c r="AA554" i="2"/>
  <c r="AA575" i="4"/>
  <c r="H553" i="2"/>
  <c r="H574" i="4"/>
  <c r="P552" i="2"/>
  <c r="P573" i="4"/>
  <c r="H547" i="2"/>
  <c r="H568" i="4"/>
  <c r="P546" i="2"/>
  <c r="P567" i="4"/>
  <c r="H545" i="2"/>
  <c r="H566" i="4"/>
  <c r="P540" i="2"/>
  <c r="P542" i="2" s="1"/>
  <c r="P561" i="4"/>
  <c r="H535" i="2"/>
  <c r="H554" i="4"/>
  <c r="P534" i="2"/>
  <c r="P553" i="4"/>
  <c r="E534" i="2"/>
  <c r="E537" i="2" s="1"/>
  <c r="E553" i="4"/>
  <c r="P533" i="2"/>
  <c r="P552" i="4"/>
  <c r="H532" i="2"/>
  <c r="H551" i="4"/>
  <c r="P531" i="2"/>
  <c r="P550" i="4"/>
  <c r="H530" i="2"/>
  <c r="H549" i="4"/>
  <c r="U529" i="2"/>
  <c r="U548" i="4"/>
  <c r="M524" i="2"/>
  <c r="M543" i="4"/>
  <c r="U523" i="2"/>
  <c r="U542" i="4"/>
  <c r="N522" i="2"/>
  <c r="N526" i="2" s="1"/>
  <c r="N541" i="4"/>
  <c r="N545" i="4" s="1"/>
  <c r="H521" i="2"/>
  <c r="H540" i="4"/>
  <c r="H520" i="2"/>
  <c r="H539" i="4"/>
  <c r="P519" i="2"/>
  <c r="P538" i="4"/>
  <c r="H513" i="2"/>
  <c r="H533" i="4"/>
  <c r="P512" i="2"/>
  <c r="P532" i="4"/>
  <c r="H511" i="2"/>
  <c r="H531" i="4"/>
  <c r="P510" i="2"/>
  <c r="P530" i="4"/>
  <c r="H509" i="2"/>
  <c r="H529" i="4"/>
  <c r="H506" i="2"/>
  <c r="H526" i="4"/>
  <c r="P505" i="2"/>
  <c r="P525" i="4"/>
  <c r="H500" i="2"/>
  <c r="H520" i="4"/>
  <c r="P499" i="2"/>
  <c r="P519" i="4"/>
  <c r="H498" i="2"/>
  <c r="H518" i="4"/>
  <c r="P497" i="2"/>
  <c r="P517" i="4"/>
  <c r="H496" i="2"/>
  <c r="H516" i="4"/>
  <c r="P495" i="2"/>
  <c r="P515" i="4"/>
  <c r="H494" i="2"/>
  <c r="H514" i="4"/>
  <c r="P493" i="2"/>
  <c r="P513" i="4"/>
  <c r="H492" i="2"/>
  <c r="H512" i="4"/>
  <c r="P487" i="2"/>
  <c r="P507" i="4"/>
  <c r="H486" i="2"/>
  <c r="H506" i="4"/>
  <c r="M485" i="2"/>
  <c r="M505" i="4"/>
  <c r="U484" i="2"/>
  <c r="U504" i="4"/>
  <c r="M483" i="2"/>
  <c r="M503" i="4"/>
  <c r="U478" i="2"/>
  <c r="U498" i="4"/>
  <c r="M477" i="2"/>
  <c r="M497" i="4"/>
  <c r="U476" i="2"/>
  <c r="U496" i="4"/>
  <c r="M475" i="2"/>
  <c r="M495" i="4"/>
  <c r="U474" i="2"/>
  <c r="U494" i="4"/>
  <c r="M473" i="2"/>
  <c r="M493" i="4"/>
  <c r="U472" i="2"/>
  <c r="U492" i="4"/>
  <c r="M471" i="2"/>
  <c r="M491" i="4"/>
  <c r="U465" i="2"/>
  <c r="U485" i="4"/>
  <c r="U463" i="2"/>
  <c r="U483" i="4"/>
  <c r="H461" i="2"/>
  <c r="H481" i="4"/>
  <c r="P460" i="2"/>
  <c r="P480" i="4"/>
  <c r="U459" i="2"/>
  <c r="U479" i="4"/>
  <c r="H458" i="2"/>
  <c r="H478" i="4"/>
  <c r="M457" i="2"/>
  <c r="M477" i="4"/>
  <c r="P456" i="2"/>
  <c r="P476" i="4"/>
  <c r="H451" i="2"/>
  <c r="H471" i="4"/>
  <c r="H449" i="2"/>
  <c r="H469" i="4"/>
  <c r="P448" i="2"/>
  <c r="P468" i="4"/>
  <c r="H447" i="2"/>
  <c r="H467" i="4"/>
  <c r="P446" i="2"/>
  <c r="P466" i="4"/>
  <c r="H445" i="2"/>
  <c r="H465" i="4"/>
  <c r="X465" i="4" s="1"/>
  <c r="Z465" i="4" s="1"/>
  <c r="P444" i="2"/>
  <c r="P464" i="4"/>
  <c r="H443" i="2"/>
  <c r="H463" i="4"/>
  <c r="H441" i="2"/>
  <c r="H461" i="4"/>
  <c r="P440" i="2"/>
  <c r="P460" i="4"/>
  <c r="H435" i="2"/>
  <c r="H455" i="4"/>
  <c r="P434" i="2"/>
  <c r="P454" i="4"/>
  <c r="H433" i="2"/>
  <c r="H453" i="4"/>
  <c r="P432" i="2"/>
  <c r="P452" i="4"/>
  <c r="H431" i="2"/>
  <c r="H451" i="4"/>
  <c r="P430" i="2"/>
  <c r="P450" i="4"/>
  <c r="H429" i="2"/>
  <c r="H449" i="4"/>
  <c r="U424" i="2"/>
  <c r="U444" i="4"/>
  <c r="U423" i="2"/>
  <c r="U443" i="4"/>
  <c r="V422" i="2"/>
  <c r="V442" i="4"/>
  <c r="H422" i="2"/>
  <c r="H442" i="4"/>
  <c r="X443" i="1"/>
  <c r="X442" i="5" s="1"/>
  <c r="M420" i="2"/>
  <c r="M440" i="4"/>
  <c r="M439" i="4"/>
  <c r="AA440" i="1"/>
  <c r="AA439" i="5" s="1"/>
  <c r="X419" i="2"/>
  <c r="X437" i="4"/>
  <c r="Z438" i="1"/>
  <c r="Z437" i="5" s="1"/>
  <c r="M419" i="2"/>
  <c r="M437" i="4"/>
  <c r="AA438" i="1"/>
  <c r="AA437" i="5" s="1"/>
  <c r="M418" i="2"/>
  <c r="M436" i="4"/>
  <c r="AA437" i="1"/>
  <c r="AA436" i="5" s="1"/>
  <c r="P417" i="2"/>
  <c r="P435" i="4"/>
  <c r="V436" i="1"/>
  <c r="V435" i="5" s="1"/>
  <c r="U436" i="1"/>
  <c r="U435" i="5" s="1"/>
  <c r="U414" i="2"/>
  <c r="U432" i="4"/>
  <c r="X411" i="2"/>
  <c r="X429" i="4"/>
  <c r="Z430" i="1"/>
  <c r="Z429" i="5" s="1"/>
  <c r="M411" i="2"/>
  <c r="M429" i="4"/>
  <c r="AA430" i="1"/>
  <c r="AA429" i="5" s="1"/>
  <c r="N408" i="2"/>
  <c r="N426" i="2" s="1"/>
  <c r="N426" i="4"/>
  <c r="N446" i="4" s="1"/>
  <c r="P427" i="1"/>
  <c r="P426" i="5" s="1"/>
  <c r="Z397" i="2"/>
  <c r="Z415" i="4"/>
  <c r="J397" i="2"/>
  <c r="J415" i="4"/>
  <c r="M395" i="2"/>
  <c r="M413" i="4"/>
  <c r="AA414" i="1"/>
  <c r="AA413" i="5" s="1"/>
  <c r="H393" i="2"/>
  <c r="H411" i="4"/>
  <c r="J412" i="1"/>
  <c r="J411" i="5" s="1"/>
  <c r="X412" i="1"/>
  <c r="M412" i="1"/>
  <c r="M411" i="5" s="1"/>
  <c r="H391" i="2"/>
  <c r="H409" i="4"/>
  <c r="J410" i="1"/>
  <c r="J409" i="5" s="1"/>
  <c r="X410" i="1"/>
  <c r="M410" i="1"/>
  <c r="M409" i="5" s="1"/>
  <c r="M386" i="2"/>
  <c r="M404" i="4"/>
  <c r="AA405" i="1"/>
  <c r="AA404" i="5" s="1"/>
  <c r="H384" i="2"/>
  <c r="H402" i="4"/>
  <c r="J403" i="1"/>
  <c r="X403" i="1"/>
  <c r="M403" i="1"/>
  <c r="M402" i="5" s="1"/>
  <c r="J378" i="2"/>
  <c r="M373" i="2"/>
  <c r="M389" i="4"/>
  <c r="AA390" i="1"/>
  <c r="AA389" i="5" s="1"/>
  <c r="E373" i="2"/>
  <c r="E389" i="4"/>
  <c r="H372" i="2"/>
  <c r="H388" i="4"/>
  <c r="M389" i="1"/>
  <c r="M388" i="5" s="1"/>
  <c r="J389" i="1"/>
  <c r="J388" i="5" s="1"/>
  <c r="H371" i="2"/>
  <c r="H387" i="4"/>
  <c r="J388" i="1"/>
  <c r="J387" i="5" s="1"/>
  <c r="X388" i="1"/>
  <c r="M388" i="1"/>
  <c r="M387" i="5" s="1"/>
  <c r="P369" i="2"/>
  <c r="P385" i="4"/>
  <c r="U386" i="1"/>
  <c r="U385" i="5" s="1"/>
  <c r="E369" i="2"/>
  <c r="E385" i="4"/>
  <c r="P367" i="2"/>
  <c r="P383" i="4"/>
  <c r="U384" i="1"/>
  <c r="U383" i="5" s="1"/>
  <c r="H366" i="2"/>
  <c r="H382" i="4"/>
  <c r="M383" i="1"/>
  <c r="M382" i="5" s="1"/>
  <c r="E363" i="2"/>
  <c r="E379" i="4"/>
  <c r="H362" i="2"/>
  <c r="J379" i="1"/>
  <c r="J378" i="5" s="1"/>
  <c r="X379" i="1"/>
  <c r="M379" i="1"/>
  <c r="M378" i="5" s="1"/>
  <c r="E360" i="2"/>
  <c r="E376" i="4"/>
  <c r="U358" i="2"/>
  <c r="U374" i="4"/>
  <c r="J357" i="2"/>
  <c r="J373" i="4"/>
  <c r="M348" i="2"/>
  <c r="M364" i="4"/>
  <c r="U347" i="2"/>
  <c r="U363" i="4"/>
  <c r="U344" i="2"/>
  <c r="U360" i="4"/>
  <c r="M343" i="2"/>
  <c r="AA360" i="1"/>
  <c r="AA359" i="5" s="1"/>
  <c r="M359" i="4"/>
  <c r="E341" i="2"/>
  <c r="E355" i="4"/>
  <c r="H338" i="2"/>
  <c r="H351" i="4"/>
  <c r="M352" i="1"/>
  <c r="M351" i="5" s="1"/>
  <c r="J352" i="1"/>
  <c r="J351" i="5" s="1"/>
  <c r="U335" i="2"/>
  <c r="U348" i="4"/>
  <c r="M327" i="2"/>
  <c r="M340" i="4"/>
  <c r="J326" i="2"/>
  <c r="J339" i="4"/>
  <c r="P325" i="2"/>
  <c r="P338" i="4"/>
  <c r="X339" i="1"/>
  <c r="U339" i="1"/>
  <c r="U338" i="5" s="1"/>
  <c r="E325" i="2"/>
  <c r="E338" i="4"/>
  <c r="M317" i="2"/>
  <c r="M330" i="4"/>
  <c r="AA331" i="1"/>
  <c r="AA330" i="5" s="1"/>
  <c r="J315" i="2"/>
  <c r="J328" i="4"/>
  <c r="M305" i="2"/>
  <c r="M318" i="4"/>
  <c r="K304" i="2"/>
  <c r="K320" i="2" s="1"/>
  <c r="K317" i="4"/>
  <c r="K333" i="4" s="1"/>
  <c r="K334" i="1"/>
  <c r="P302" i="2"/>
  <c r="P315" i="4"/>
  <c r="X316" i="1"/>
  <c r="U316" i="1"/>
  <c r="U315" i="5" s="1"/>
  <c r="P334" i="1"/>
  <c r="M295" i="2"/>
  <c r="M308" i="4"/>
  <c r="AA309" i="1"/>
  <c r="AA308" i="5" s="1"/>
  <c r="E294" i="2"/>
  <c r="E306" i="4"/>
  <c r="P285" i="2"/>
  <c r="P297" i="4"/>
  <c r="P279" i="2"/>
  <c r="P291" i="4"/>
  <c r="K278" i="2"/>
  <c r="K290" i="4"/>
  <c r="M276" i="2"/>
  <c r="M288" i="4"/>
  <c r="AA289" i="1"/>
  <c r="AA288" i="5" s="1"/>
  <c r="M275" i="2"/>
  <c r="M287" i="4"/>
  <c r="AA288" i="1"/>
  <c r="AA287" i="5" s="1"/>
  <c r="X273" i="2"/>
  <c r="Z286" i="1"/>
  <c r="Z273" i="2" s="1"/>
  <c r="J273" i="2"/>
  <c r="X271" i="2"/>
  <c r="Z284" i="1"/>
  <c r="H271" i="2"/>
  <c r="H283" i="4"/>
  <c r="M284" i="1"/>
  <c r="M283" i="5" s="1"/>
  <c r="H265" i="2"/>
  <c r="M278" i="1"/>
  <c r="M277" i="5" s="1"/>
  <c r="J278" i="1"/>
  <c r="J277" i="5" s="1"/>
  <c r="H277" i="4"/>
  <c r="M262" i="2"/>
  <c r="P261" i="2"/>
  <c r="P272" i="4"/>
  <c r="X273" i="1"/>
  <c r="U273" i="1"/>
  <c r="U272" i="5" s="1"/>
  <c r="X259" i="2"/>
  <c r="Z271" i="1"/>
  <c r="Z270" i="5" s="1"/>
  <c r="J259" i="2"/>
  <c r="J270" i="4"/>
  <c r="U248" i="2"/>
  <c r="U259" i="4"/>
  <c r="H248" i="2"/>
  <c r="H259" i="4"/>
  <c r="M260" i="1"/>
  <c r="M259" i="5" s="1"/>
  <c r="X260" i="1"/>
  <c r="X259" i="5" s="1"/>
  <c r="M247" i="2"/>
  <c r="M258" i="4"/>
  <c r="AA259" i="1"/>
  <c r="AA258" i="5" s="1"/>
  <c r="H257" i="4"/>
  <c r="M258" i="1"/>
  <c r="M257" i="5" s="1"/>
  <c r="J258" i="1"/>
  <c r="P244" i="2"/>
  <c r="P254" i="4"/>
  <c r="U255" i="1"/>
  <c r="Q255" i="1"/>
  <c r="Q254" i="5" s="1"/>
  <c r="X255" i="1"/>
  <c r="X254" i="5" s="1"/>
  <c r="P242" i="2"/>
  <c r="P252" i="4"/>
  <c r="U253" i="1"/>
  <c r="U252" i="5" s="1"/>
  <c r="X241" i="2"/>
  <c r="X251" i="4"/>
  <c r="H238" i="2"/>
  <c r="H248" i="4"/>
  <c r="M249" i="1"/>
  <c r="M248" i="5" s="1"/>
  <c r="X249" i="1"/>
  <c r="X248" i="5" s="1"/>
  <c r="J249" i="1"/>
  <c r="J248" i="5" s="1"/>
  <c r="H235" i="2"/>
  <c r="H245" i="4"/>
  <c r="M246" i="1"/>
  <c r="M245" i="5" s="1"/>
  <c r="X246" i="1"/>
  <c r="X245" i="5" s="1"/>
  <c r="J246" i="1"/>
  <c r="J245" i="5" s="1"/>
  <c r="M219" i="2"/>
  <c r="M230" i="4"/>
  <c r="AA230" i="1"/>
  <c r="AA230" i="5" s="1"/>
  <c r="H216" i="2"/>
  <c r="H225" i="4"/>
  <c r="I225" i="1"/>
  <c r="I225" i="5" s="1"/>
  <c r="M225" i="1"/>
  <c r="M225" i="5" s="1"/>
  <c r="P205" i="2"/>
  <c r="P214" i="4"/>
  <c r="U214" i="1"/>
  <c r="U214" i="5" s="1"/>
  <c r="X214" i="1"/>
  <c r="U204" i="2"/>
  <c r="U213" i="4"/>
  <c r="H197" i="2"/>
  <c r="H206" i="4"/>
  <c r="M206" i="1"/>
  <c r="M206" i="5" s="1"/>
  <c r="P194" i="2"/>
  <c r="P203" i="4"/>
  <c r="X203" i="1"/>
  <c r="X194" i="2" s="1"/>
  <c r="M202" i="4"/>
  <c r="AA202" i="1"/>
  <c r="AA202" i="5" s="1"/>
  <c r="U189" i="2"/>
  <c r="U197" i="4"/>
  <c r="P188" i="2"/>
  <c r="P196" i="4"/>
  <c r="U196" i="1"/>
  <c r="U196" i="5" s="1"/>
  <c r="X196" i="1"/>
  <c r="U187" i="2"/>
  <c r="U195" i="4"/>
  <c r="P186" i="2"/>
  <c r="P194" i="4"/>
  <c r="U194" i="1"/>
  <c r="U194" i="5" s="1"/>
  <c r="X194" i="1"/>
  <c r="H185" i="2"/>
  <c r="M193" i="1"/>
  <c r="M193" i="5" s="1"/>
  <c r="I183" i="2"/>
  <c r="I191" i="4"/>
  <c r="K191" i="1"/>
  <c r="K191" i="5" s="1"/>
  <c r="U179" i="2"/>
  <c r="U187" i="4"/>
  <c r="AA187" i="1"/>
  <c r="AA187" i="5" s="1"/>
  <c r="F174" i="2"/>
  <c r="F176" i="2" s="1"/>
  <c r="F182" i="4"/>
  <c r="H182" i="1"/>
  <c r="H182" i="5" s="1"/>
  <c r="X182" i="5" s="1"/>
  <c r="Z182" i="5" s="1"/>
  <c r="M171" i="2"/>
  <c r="M179" i="4"/>
  <c r="AA179" i="1"/>
  <c r="AA179" i="5" s="1"/>
  <c r="M167" i="2"/>
  <c r="M175" i="4"/>
  <c r="AA175" i="1"/>
  <c r="AA175" i="5" s="1"/>
  <c r="P155" i="2"/>
  <c r="P163" i="4"/>
  <c r="V163" i="1"/>
  <c r="V163" i="5" s="1"/>
  <c r="U163" i="1"/>
  <c r="X163" i="1"/>
  <c r="H160" i="4"/>
  <c r="X160" i="1"/>
  <c r="Z160" i="1" s="1"/>
  <c r="M160" i="1"/>
  <c r="M160" i="5" s="1"/>
  <c r="P145" i="2"/>
  <c r="P152" i="4"/>
  <c r="V152" i="1"/>
  <c r="V152" i="5" s="1"/>
  <c r="P166" i="1"/>
  <c r="X152" i="1"/>
  <c r="M136" i="2"/>
  <c r="M143" i="4"/>
  <c r="AA143" i="1"/>
  <c r="AA143" i="5" s="1"/>
  <c r="M132" i="2"/>
  <c r="M139" i="4"/>
  <c r="AA139" i="1"/>
  <c r="AA139" i="5" s="1"/>
  <c r="H121" i="2"/>
  <c r="H128" i="4"/>
  <c r="X128" i="1"/>
  <c r="M128" i="1"/>
  <c r="M128" i="5" s="1"/>
  <c r="V128" i="1"/>
  <c r="V128" i="5" s="1"/>
  <c r="X120" i="2"/>
  <c r="Z126" i="1"/>
  <c r="Z120" i="2" s="1"/>
  <c r="H117" i="2"/>
  <c r="H123" i="4"/>
  <c r="X123" i="1"/>
  <c r="M123" i="1"/>
  <c r="M123" i="5" s="1"/>
  <c r="M114" i="2"/>
  <c r="M120" i="4"/>
  <c r="AA120" i="1"/>
  <c r="AA120" i="5" s="1"/>
  <c r="X106" i="2"/>
  <c r="Z112" i="1"/>
  <c r="Z106" i="2" s="1"/>
  <c r="H106" i="2"/>
  <c r="H112" i="4"/>
  <c r="M112" i="1"/>
  <c r="M112" i="5" s="1"/>
  <c r="U97" i="2"/>
  <c r="U102" i="4"/>
  <c r="U93" i="2"/>
  <c r="U98" i="4"/>
  <c r="P84" i="2"/>
  <c r="P89" i="4"/>
  <c r="V89" i="1"/>
  <c r="V89" i="5" s="1"/>
  <c r="U89" i="1"/>
  <c r="U89" i="5" s="1"/>
  <c r="X89" i="1"/>
  <c r="M83" i="2"/>
  <c r="M88" i="4"/>
  <c r="U79" i="2"/>
  <c r="U83" i="4"/>
  <c r="H78" i="2"/>
  <c r="H82" i="4"/>
  <c r="X82" i="1"/>
  <c r="M82" i="1"/>
  <c r="M82" i="5" s="1"/>
  <c r="U69" i="2"/>
  <c r="U73" i="4"/>
  <c r="H68" i="2"/>
  <c r="H72" i="4"/>
  <c r="X72" i="1"/>
  <c r="H92" i="1"/>
  <c r="M72" i="1"/>
  <c r="M72" i="5" s="1"/>
  <c r="X60" i="2"/>
  <c r="Z64" i="1"/>
  <c r="Z60" i="2" s="1"/>
  <c r="P54" i="2"/>
  <c r="P58" i="4"/>
  <c r="V58" i="1"/>
  <c r="V58" i="5" s="1"/>
  <c r="U58" i="1"/>
  <c r="U58" i="5" s="1"/>
  <c r="X58" i="1"/>
  <c r="M53" i="2"/>
  <c r="M57" i="4"/>
  <c r="U47" i="2"/>
  <c r="U51" i="4"/>
  <c r="H46" i="2"/>
  <c r="H50" i="4"/>
  <c r="X50" i="1"/>
  <c r="M50" i="1"/>
  <c r="M50" i="5" s="1"/>
  <c r="X39" i="2"/>
  <c r="X43" i="4"/>
  <c r="M40" i="1"/>
  <c r="M40" i="5" s="1"/>
  <c r="X40" i="1"/>
  <c r="X40" i="5" s="1"/>
  <c r="P34" i="2"/>
  <c r="P35" i="4"/>
  <c r="V35" i="1"/>
  <c r="V35" i="5" s="1"/>
  <c r="X35" i="1"/>
  <c r="X35" i="5" s="1"/>
  <c r="AA33" i="2"/>
  <c r="AA34" i="4"/>
  <c r="M33" i="2"/>
  <c r="M34" i="4"/>
  <c r="U30" i="2"/>
  <c r="U31" i="4"/>
  <c r="U28" i="2"/>
  <c r="U29" i="4"/>
  <c r="V27" i="2"/>
  <c r="V28" i="4"/>
  <c r="H27" i="2"/>
  <c r="H28" i="4"/>
  <c r="X28" i="1"/>
  <c r="X28" i="5" s="1"/>
  <c r="H45" i="1"/>
  <c r="M25" i="2"/>
  <c r="M26" i="4"/>
  <c r="U18" i="2"/>
  <c r="U18" i="4"/>
  <c r="P13" i="2"/>
  <c r="V13" i="1"/>
  <c r="V13" i="5" s="1"/>
  <c r="U13" i="1"/>
  <c r="P13" i="4"/>
  <c r="X13" i="1"/>
  <c r="X13" i="5" s="1"/>
  <c r="V2581" i="2"/>
  <c r="W2581" i="2" s="1"/>
  <c r="U2581" i="2"/>
  <c r="AA2581" i="2" s="1"/>
  <c r="AB2581" i="2" s="1"/>
  <c r="X2581" i="2"/>
  <c r="Z2581" i="2" s="1"/>
  <c r="V2579" i="2"/>
  <c r="W2579" i="2" s="1"/>
  <c r="U2579" i="2"/>
  <c r="X2579" i="2"/>
  <c r="Z2579" i="2" s="1"/>
  <c r="F2572" i="2"/>
  <c r="H2552" i="2"/>
  <c r="M2256" i="2"/>
  <c r="AA2256" i="2" s="1"/>
  <c r="AB2256" i="2" s="1"/>
  <c r="X2256" i="2"/>
  <c r="Z2256" i="2" s="1"/>
  <c r="J2256" i="2"/>
  <c r="V1914" i="2"/>
  <c r="W1914" i="2" s="1"/>
  <c r="X1914" i="2"/>
  <c r="Z1914" i="2" s="1"/>
  <c r="U1914" i="2"/>
  <c r="AA1914" i="2" s="1"/>
  <c r="AB1914" i="2" s="1"/>
  <c r="X1889" i="2"/>
  <c r="Z1889" i="2" s="1"/>
  <c r="M1889" i="2"/>
  <c r="AA1889" i="2" s="1"/>
  <c r="AB1889" i="2" s="1"/>
  <c r="V1889" i="2"/>
  <c r="W1889" i="2" s="1"/>
  <c r="M1875" i="2"/>
  <c r="AA1875" i="2" s="1"/>
  <c r="AB1875" i="2" s="1"/>
  <c r="X1875" i="2"/>
  <c r="Z1875" i="2" s="1"/>
  <c r="V1875" i="2"/>
  <c r="W1875" i="2" s="1"/>
  <c r="W428" i="1"/>
  <c r="W427" i="5" s="1"/>
  <c r="M428" i="1"/>
  <c r="M427" i="5" s="1"/>
  <c r="Z397" i="1"/>
  <c r="Z378" i="2" s="1"/>
  <c r="U395" i="1"/>
  <c r="X394" i="1"/>
  <c r="X377" i="2" s="1"/>
  <c r="M392" i="1"/>
  <c r="M391" i="5" s="1"/>
  <c r="J382" i="1"/>
  <c r="J381" i="5" s="1"/>
  <c r="U377" i="1"/>
  <c r="U376" i="5" s="1"/>
  <c r="H317" i="1"/>
  <c r="H316" i="5" s="1"/>
  <c r="X316" i="5" s="1"/>
  <c r="Z316" i="5" s="1"/>
  <c r="G422" i="1"/>
  <c r="Z274" i="1"/>
  <c r="Z273" i="5" s="1"/>
  <c r="J270" i="1"/>
  <c r="J269" i="5" s="1"/>
  <c r="Z266" i="1"/>
  <c r="Z265" i="5" s="1"/>
  <c r="E262" i="1"/>
  <c r="U221" i="1"/>
  <c r="U221" i="5" s="1"/>
  <c r="M220" i="1"/>
  <c r="M220" i="5" s="1"/>
  <c r="U217" i="1"/>
  <c r="U217" i="5" s="1"/>
  <c r="M216" i="1"/>
  <c r="M216" i="5" s="1"/>
  <c r="U118" i="1"/>
  <c r="U118" i="5" s="1"/>
  <c r="AB117" i="1"/>
  <c r="AB117" i="5" s="1"/>
  <c r="Z116" i="1"/>
  <c r="Z110" i="2" s="1"/>
  <c r="AA75" i="1"/>
  <c r="AA75" i="5" s="1"/>
  <c r="AA53" i="1"/>
  <c r="AA53" i="5" s="1"/>
  <c r="Z37" i="1"/>
  <c r="AA33" i="1"/>
  <c r="AA33" i="5" s="1"/>
  <c r="O2886" i="4"/>
  <c r="O2683" i="4"/>
  <c r="J2683" i="4"/>
  <c r="L2658" i="4"/>
  <c r="J2535" i="4"/>
  <c r="J2488" i="4"/>
  <c r="S2488" i="4"/>
  <c r="T2446" i="4"/>
  <c r="L2446" i="4"/>
  <c r="Y2366" i="4"/>
  <c r="T2366" i="4"/>
  <c r="L2341" i="4"/>
  <c r="O2313" i="4"/>
  <c r="W2313" i="4"/>
  <c r="Y2219" i="4"/>
  <c r="I2194" i="4"/>
  <c r="L2138" i="4"/>
  <c r="Y2138" i="4"/>
  <c r="I2112" i="4"/>
  <c r="W2112" i="4"/>
  <c r="R1987" i="4"/>
  <c r="G1987" i="4"/>
  <c r="V1951" i="4"/>
  <c r="N1784" i="4"/>
  <c r="R1639" i="4"/>
  <c r="I1639" i="4"/>
  <c r="O1568" i="4"/>
  <c r="Y1339" i="4"/>
  <c r="I1339" i="4"/>
  <c r="Q638" i="4"/>
  <c r="P612" i="4"/>
  <c r="Q419" i="4"/>
  <c r="J404" i="4"/>
  <c r="H418" i="2"/>
  <c r="H436" i="4"/>
  <c r="X437" i="1"/>
  <c r="X436" i="5" s="1"/>
  <c r="M416" i="2"/>
  <c r="M434" i="4"/>
  <c r="M415" i="2"/>
  <c r="M433" i="4"/>
  <c r="P413" i="2"/>
  <c r="P431" i="4"/>
  <c r="V432" i="1"/>
  <c r="V431" i="5" s="1"/>
  <c r="U412" i="2"/>
  <c r="U430" i="4"/>
  <c r="U411" i="2"/>
  <c r="U429" i="4"/>
  <c r="V410" i="2"/>
  <c r="V428" i="4"/>
  <c r="H410" i="2"/>
  <c r="H428" i="4"/>
  <c r="X429" i="1"/>
  <c r="X428" i="5" s="1"/>
  <c r="U409" i="2"/>
  <c r="U427" i="4"/>
  <c r="F408" i="2"/>
  <c r="F426" i="4"/>
  <c r="H399" i="2"/>
  <c r="H417" i="4"/>
  <c r="M418" i="1"/>
  <c r="M417" i="5" s="1"/>
  <c r="U398" i="2"/>
  <c r="U416" i="4"/>
  <c r="H398" i="2"/>
  <c r="H416" i="4"/>
  <c r="P397" i="2"/>
  <c r="P415" i="4"/>
  <c r="U416" i="1"/>
  <c r="U415" i="5" s="1"/>
  <c r="P396" i="2"/>
  <c r="P414" i="4"/>
  <c r="H396" i="2"/>
  <c r="H414" i="4"/>
  <c r="X415" i="1"/>
  <c r="U395" i="2"/>
  <c r="U413" i="4"/>
  <c r="H395" i="2"/>
  <c r="H413" i="4"/>
  <c r="P394" i="2"/>
  <c r="P412" i="4"/>
  <c r="U413" i="1"/>
  <c r="U412" i="5" s="1"/>
  <c r="P393" i="2"/>
  <c r="P411" i="4"/>
  <c r="E393" i="2"/>
  <c r="E411" i="4"/>
  <c r="P392" i="2"/>
  <c r="P410" i="4"/>
  <c r="U411" i="1"/>
  <c r="U410" i="5" s="1"/>
  <c r="P391" i="2"/>
  <c r="P409" i="4"/>
  <c r="J389" i="2"/>
  <c r="J407" i="4"/>
  <c r="U387" i="2"/>
  <c r="U405" i="4"/>
  <c r="U386" i="2"/>
  <c r="U404" i="4"/>
  <c r="H386" i="2"/>
  <c r="H404" i="4"/>
  <c r="P385" i="2"/>
  <c r="P403" i="4"/>
  <c r="U404" i="1"/>
  <c r="U403" i="5" s="1"/>
  <c r="P384" i="2"/>
  <c r="P402" i="4"/>
  <c r="P378" i="2"/>
  <c r="P396" i="4"/>
  <c r="U397" i="1"/>
  <c r="U396" i="5" s="1"/>
  <c r="P395" i="4"/>
  <c r="X395" i="4" s="1"/>
  <c r="Z395" i="4" s="1"/>
  <c r="X396" i="1"/>
  <c r="Z396" i="1" s="1"/>
  <c r="M377" i="2"/>
  <c r="M393" i="4"/>
  <c r="U375" i="2"/>
  <c r="U391" i="4"/>
  <c r="F375" i="2"/>
  <c r="F391" i="4"/>
  <c r="F374" i="2"/>
  <c r="F390" i="4"/>
  <c r="H391" i="1"/>
  <c r="H390" i="5" s="1"/>
  <c r="X390" i="5" s="1"/>
  <c r="Z390" i="5" s="1"/>
  <c r="J373" i="2"/>
  <c r="J389" i="4"/>
  <c r="P372" i="2"/>
  <c r="P388" i="4"/>
  <c r="J370" i="2"/>
  <c r="J386" i="4"/>
  <c r="H369" i="2"/>
  <c r="H385" i="4"/>
  <c r="J386" i="1"/>
  <c r="J385" i="5" s="1"/>
  <c r="X386" i="1"/>
  <c r="X369" i="2" s="1"/>
  <c r="J368" i="2"/>
  <c r="J384" i="4"/>
  <c r="H367" i="2"/>
  <c r="J384" i="1"/>
  <c r="J383" i="5" s="1"/>
  <c r="X384" i="1"/>
  <c r="U366" i="2"/>
  <c r="U382" i="4"/>
  <c r="H364" i="2"/>
  <c r="H380" i="4"/>
  <c r="M381" i="1"/>
  <c r="M380" i="5" s="1"/>
  <c r="U363" i="2"/>
  <c r="U379" i="4"/>
  <c r="J361" i="2"/>
  <c r="J377" i="4"/>
  <c r="J360" i="2"/>
  <c r="J376" i="4"/>
  <c r="K359" i="2"/>
  <c r="K375" i="4"/>
  <c r="P357" i="2"/>
  <c r="P373" i="4"/>
  <c r="P399" i="1"/>
  <c r="H357" i="2"/>
  <c r="H373" i="4"/>
  <c r="X374" i="1"/>
  <c r="U356" i="2"/>
  <c r="U372" i="4"/>
  <c r="H356" i="2"/>
  <c r="U350" i="2"/>
  <c r="U366" i="4"/>
  <c r="M349" i="2"/>
  <c r="AA366" i="1"/>
  <c r="AA365" i="5" s="1"/>
  <c r="P347" i="2"/>
  <c r="P363" i="4"/>
  <c r="U346" i="2"/>
  <c r="U362" i="4"/>
  <c r="H344" i="2"/>
  <c r="M361" i="1"/>
  <c r="M360" i="5" s="1"/>
  <c r="P357" i="4"/>
  <c r="X358" i="1"/>
  <c r="Z358" i="1" s="1"/>
  <c r="U358" i="1"/>
  <c r="U357" i="5" s="1"/>
  <c r="P341" i="2"/>
  <c r="P355" i="4"/>
  <c r="P340" i="2"/>
  <c r="P353" i="4"/>
  <c r="X354" i="1"/>
  <c r="U354" i="1"/>
  <c r="U353" i="5" s="1"/>
  <c r="H339" i="2"/>
  <c r="H352" i="4"/>
  <c r="M353" i="1"/>
  <c r="M352" i="5" s="1"/>
  <c r="J353" i="1"/>
  <c r="J352" i="5" s="1"/>
  <c r="X353" i="1"/>
  <c r="J337" i="2"/>
  <c r="J350" i="4"/>
  <c r="P336" i="2"/>
  <c r="P349" i="4"/>
  <c r="X350" i="1"/>
  <c r="U350" i="1"/>
  <c r="U349" i="5" s="1"/>
  <c r="E336" i="2"/>
  <c r="J334" i="2"/>
  <c r="J347" i="4"/>
  <c r="J333" i="2"/>
  <c r="J346" i="4"/>
  <c r="U331" i="2"/>
  <c r="U344" i="4"/>
  <c r="M330" i="2"/>
  <c r="M343" i="4"/>
  <c r="J328" i="2"/>
  <c r="U326" i="2"/>
  <c r="U339" i="4"/>
  <c r="M325" i="2"/>
  <c r="M338" i="4"/>
  <c r="J324" i="2"/>
  <c r="J337" i="4"/>
  <c r="H323" i="2"/>
  <c r="H336" i="4"/>
  <c r="X337" i="1"/>
  <c r="J337" i="1"/>
  <c r="J336" i="5" s="1"/>
  <c r="P318" i="2"/>
  <c r="P331" i="4"/>
  <c r="U316" i="2"/>
  <c r="U329" i="4"/>
  <c r="H315" i="2"/>
  <c r="H328" i="4"/>
  <c r="M329" i="1"/>
  <c r="M328" i="5" s="1"/>
  <c r="P314" i="2"/>
  <c r="X328" i="1"/>
  <c r="U328" i="1"/>
  <c r="U327" i="5" s="1"/>
  <c r="H313" i="2"/>
  <c r="H326" i="4"/>
  <c r="M327" i="1"/>
  <c r="M326" i="5" s="1"/>
  <c r="J327" i="1"/>
  <c r="J326" i="5" s="1"/>
  <c r="X327" i="1"/>
  <c r="X313" i="2" s="1"/>
  <c r="M311" i="2"/>
  <c r="M324" i="4"/>
  <c r="J309" i="2"/>
  <c r="J322" i="4"/>
  <c r="U307" i="2"/>
  <c r="U320" i="4"/>
  <c r="M306" i="2"/>
  <c r="M319" i="4"/>
  <c r="AA320" i="1"/>
  <c r="AA319" i="5" s="1"/>
  <c r="M304" i="2"/>
  <c r="AA318" i="1"/>
  <c r="AA317" i="5" s="1"/>
  <c r="M317" i="4"/>
  <c r="U303" i="2"/>
  <c r="U316" i="4"/>
  <c r="M302" i="2"/>
  <c r="M315" i="4"/>
  <c r="M297" i="2"/>
  <c r="M310" i="4"/>
  <c r="AA311" i="1"/>
  <c r="E297" i="2"/>
  <c r="K295" i="2"/>
  <c r="K308" i="4"/>
  <c r="P294" i="2"/>
  <c r="P306" i="4"/>
  <c r="J293" i="2"/>
  <c r="J305" i="4"/>
  <c r="H291" i="2"/>
  <c r="H303" i="4"/>
  <c r="M304" i="1"/>
  <c r="M303" i="5" s="1"/>
  <c r="J304" i="1"/>
  <c r="J303" i="5" s="1"/>
  <c r="X304" i="1"/>
  <c r="E290" i="2"/>
  <c r="E302" i="4"/>
  <c r="J287" i="2"/>
  <c r="J299" i="4"/>
  <c r="P286" i="2"/>
  <c r="P298" i="4"/>
  <c r="X299" i="1"/>
  <c r="U299" i="1"/>
  <c r="U298" i="5" s="1"/>
  <c r="H285" i="2"/>
  <c r="H297" i="4"/>
  <c r="M298" i="1"/>
  <c r="M297" i="5" s="1"/>
  <c r="J298" i="1"/>
  <c r="J297" i="5" s="1"/>
  <c r="X298" i="1"/>
  <c r="F283" i="2"/>
  <c r="F295" i="4"/>
  <c r="H296" i="1"/>
  <c r="H295" i="5" s="1"/>
  <c r="X295" i="5" s="1"/>
  <c r="Z295" i="5" s="1"/>
  <c r="J281" i="2"/>
  <c r="J293" i="4"/>
  <c r="P280" i="2"/>
  <c r="P292" i="4"/>
  <c r="X293" i="1"/>
  <c r="U293" i="1"/>
  <c r="U292" i="5" s="1"/>
  <c r="H279" i="2"/>
  <c r="H291" i="4"/>
  <c r="M292" i="1"/>
  <c r="M291" i="5" s="1"/>
  <c r="J292" i="1"/>
  <c r="J291" i="5" s="1"/>
  <c r="X292" i="1"/>
  <c r="F278" i="2"/>
  <c r="F290" i="4"/>
  <c r="H291" i="1"/>
  <c r="J275" i="2"/>
  <c r="J287" i="4"/>
  <c r="E274" i="2"/>
  <c r="E286" i="4"/>
  <c r="Z287" i="1"/>
  <c r="Z274" i="2" s="1"/>
  <c r="P272" i="2"/>
  <c r="P284" i="4"/>
  <c r="P313" i="1"/>
  <c r="U271" i="2"/>
  <c r="U283" i="4"/>
  <c r="H266" i="2"/>
  <c r="H278" i="4"/>
  <c r="M279" i="1"/>
  <c r="M278" i="5" s="1"/>
  <c r="J279" i="1"/>
  <c r="J278" i="5" s="1"/>
  <c r="X279" i="1"/>
  <c r="K264" i="2"/>
  <c r="K276" i="4"/>
  <c r="M261" i="2"/>
  <c r="M272" i="4"/>
  <c r="E260" i="2"/>
  <c r="E271" i="4"/>
  <c r="U258" i="2"/>
  <c r="U269" i="4"/>
  <c r="M257" i="2"/>
  <c r="M268" i="4"/>
  <c r="AA269" i="1"/>
  <c r="AA268" i="5" s="1"/>
  <c r="H256" i="2"/>
  <c r="H267" i="4"/>
  <c r="M268" i="1"/>
  <c r="M267" i="5" s="1"/>
  <c r="J268" i="1"/>
  <c r="J267" i="5" s="1"/>
  <c r="X268" i="1"/>
  <c r="X256" i="2" s="1"/>
  <c r="M254" i="2"/>
  <c r="M265" i="4"/>
  <c r="K253" i="2"/>
  <c r="K264" i="4"/>
  <c r="Q248" i="2"/>
  <c r="Q259" i="4"/>
  <c r="Q245" i="2"/>
  <c r="Q255" i="4"/>
  <c r="U243" i="2"/>
  <c r="U253" i="4"/>
  <c r="H243" i="2"/>
  <c r="H253" i="4"/>
  <c r="M254" i="1"/>
  <c r="M253" i="5" s="1"/>
  <c r="X254" i="1"/>
  <c r="X253" i="5" s="1"/>
  <c r="U240" i="2"/>
  <c r="U250" i="4"/>
  <c r="M239" i="2"/>
  <c r="M249" i="4"/>
  <c r="AA250" i="1"/>
  <c r="AA249" i="5" s="1"/>
  <c r="E238" i="2"/>
  <c r="M237" i="2"/>
  <c r="AA248" i="1"/>
  <c r="AA247" i="5" s="1"/>
  <c r="K236" i="2"/>
  <c r="K246" i="4"/>
  <c r="E235" i="2"/>
  <c r="M234" i="2"/>
  <c r="AA245" i="1"/>
  <c r="AA244" i="5" s="1"/>
  <c r="U222" i="2"/>
  <c r="U233" i="4"/>
  <c r="M221" i="2"/>
  <c r="M232" i="4"/>
  <c r="U220" i="2"/>
  <c r="U231" i="4"/>
  <c r="K220" i="2"/>
  <c r="Q231" i="1"/>
  <c r="Q231" i="5" s="1"/>
  <c r="K231" i="4"/>
  <c r="F228" i="4"/>
  <c r="H228" i="1"/>
  <c r="M217" i="2"/>
  <c r="M226" i="4"/>
  <c r="E217" i="2"/>
  <c r="E226" i="4"/>
  <c r="Z226" i="1"/>
  <c r="Z217" i="2" s="1"/>
  <c r="P216" i="2"/>
  <c r="P225" i="4"/>
  <c r="I215" i="2"/>
  <c r="I224" i="4"/>
  <c r="K224" i="1"/>
  <c r="K224" i="5" s="1"/>
  <c r="U214" i="2"/>
  <c r="U223" i="4"/>
  <c r="J213" i="2"/>
  <c r="J224" i="2" s="1"/>
  <c r="J222" i="4"/>
  <c r="J235" i="4" s="1"/>
  <c r="M212" i="2"/>
  <c r="M221" i="4"/>
  <c r="AA221" i="1"/>
  <c r="AA221" i="5" s="1"/>
  <c r="U211" i="2"/>
  <c r="U220" i="4"/>
  <c r="M210" i="2"/>
  <c r="M219" i="4"/>
  <c r="U209" i="2"/>
  <c r="U218" i="4"/>
  <c r="M208" i="2"/>
  <c r="M217" i="4"/>
  <c r="AA217" i="1"/>
  <c r="AA217" i="5" s="1"/>
  <c r="U207" i="2"/>
  <c r="U216" i="4"/>
  <c r="M206" i="2"/>
  <c r="M215" i="4"/>
  <c r="AA215" i="1"/>
  <c r="AA215" i="5" s="1"/>
  <c r="H205" i="2"/>
  <c r="H214" i="4"/>
  <c r="M214" i="1"/>
  <c r="M214" i="5" s="1"/>
  <c r="U203" i="2"/>
  <c r="U212" i="4"/>
  <c r="M202" i="2"/>
  <c r="M211" i="4"/>
  <c r="U195" i="2"/>
  <c r="U204" i="4"/>
  <c r="M194" i="2"/>
  <c r="M203" i="4"/>
  <c r="AA203" i="1"/>
  <c r="M192" i="2"/>
  <c r="M200" i="4"/>
  <c r="I191" i="2"/>
  <c r="I199" i="4"/>
  <c r="E190" i="2"/>
  <c r="E198" i="4"/>
  <c r="P189" i="2"/>
  <c r="P197" i="4"/>
  <c r="H188" i="2"/>
  <c r="H196" i="4"/>
  <c r="I196" i="1"/>
  <c r="I196" i="5" s="1"/>
  <c r="P187" i="2"/>
  <c r="P195" i="4"/>
  <c r="H186" i="2"/>
  <c r="H194" i="4"/>
  <c r="I184" i="2"/>
  <c r="K192" i="1"/>
  <c r="K192" i="5" s="1"/>
  <c r="I182" i="2"/>
  <c r="I190" i="4"/>
  <c r="K190" i="1"/>
  <c r="K190" i="5" s="1"/>
  <c r="U181" i="2"/>
  <c r="U189" i="4"/>
  <c r="M169" i="2"/>
  <c r="M177" i="4"/>
  <c r="U168" i="2"/>
  <c r="U176" i="4"/>
  <c r="M165" i="2"/>
  <c r="M173" i="4"/>
  <c r="U164" i="2"/>
  <c r="U172" i="4"/>
  <c r="N163" i="2"/>
  <c r="N176" i="2" s="1"/>
  <c r="N171" i="4"/>
  <c r="N184" i="4" s="1"/>
  <c r="P171" i="1"/>
  <c r="P171" i="5" s="1"/>
  <c r="U156" i="2"/>
  <c r="U164" i="4"/>
  <c r="U154" i="2"/>
  <c r="U162" i="4"/>
  <c r="U151" i="2"/>
  <c r="U158" i="4"/>
  <c r="M149" i="2"/>
  <c r="M156" i="4"/>
  <c r="U155" i="4"/>
  <c r="V140" i="2"/>
  <c r="V147" i="4"/>
  <c r="H140" i="2"/>
  <c r="H147" i="4"/>
  <c r="X147" i="1"/>
  <c r="X147" i="5" s="1"/>
  <c r="P139" i="2"/>
  <c r="P146" i="4"/>
  <c r="X146" i="1"/>
  <c r="X146" i="5" s="1"/>
  <c r="U146" i="1"/>
  <c r="U146" i="5" s="1"/>
  <c r="H138" i="2"/>
  <c r="H145" i="4"/>
  <c r="X145" i="1"/>
  <c r="X145" i="5" s="1"/>
  <c r="M145" i="1"/>
  <c r="M145" i="5" s="1"/>
  <c r="P137" i="2"/>
  <c r="P144" i="4"/>
  <c r="V144" i="1"/>
  <c r="V144" i="5" s="1"/>
  <c r="U144" i="1"/>
  <c r="U144" i="5" s="1"/>
  <c r="M134" i="2"/>
  <c r="M141" i="4"/>
  <c r="U133" i="2"/>
  <c r="U140" i="4"/>
  <c r="U131" i="2"/>
  <c r="U138" i="4"/>
  <c r="M127" i="4"/>
  <c r="AA127" i="1"/>
  <c r="AA127" i="5" s="1"/>
  <c r="U117" i="2"/>
  <c r="U123" i="4"/>
  <c r="U115" i="2"/>
  <c r="U121" i="4"/>
  <c r="U113" i="2"/>
  <c r="U119" i="4"/>
  <c r="M111" i="2"/>
  <c r="M117" i="4"/>
  <c r="U110" i="2"/>
  <c r="U116" i="4"/>
  <c r="U108" i="2"/>
  <c r="U114" i="4"/>
  <c r="H108" i="2"/>
  <c r="H114" i="4"/>
  <c r="X114" i="1"/>
  <c r="P106" i="2"/>
  <c r="P112" i="4"/>
  <c r="V112" i="1"/>
  <c r="V112" i="5" s="1"/>
  <c r="U104" i="2"/>
  <c r="U110" i="4"/>
  <c r="P98" i="2"/>
  <c r="P103" i="4"/>
  <c r="X103" i="1"/>
  <c r="U103" i="1"/>
  <c r="U103" i="5" s="1"/>
  <c r="H97" i="2"/>
  <c r="H102" i="4"/>
  <c r="X102" i="1"/>
  <c r="M102" i="1"/>
  <c r="M102" i="5" s="1"/>
  <c r="P96" i="2"/>
  <c r="P101" i="4"/>
  <c r="V101" i="1"/>
  <c r="V101" i="5" s="1"/>
  <c r="U101" i="1"/>
  <c r="U101" i="5" s="1"/>
  <c r="H95" i="2"/>
  <c r="H100" i="4"/>
  <c r="X100" i="1"/>
  <c r="M100" i="1"/>
  <c r="M100" i="5" s="1"/>
  <c r="P94" i="2"/>
  <c r="P99" i="4"/>
  <c r="V99" i="1"/>
  <c r="V99" i="5" s="1"/>
  <c r="U99" i="1"/>
  <c r="U99" i="5" s="1"/>
  <c r="H93" i="2"/>
  <c r="H98" i="4"/>
  <c r="X98" i="1"/>
  <c r="M98" i="1"/>
  <c r="M98" i="5" s="1"/>
  <c r="P92" i="2"/>
  <c r="P97" i="4"/>
  <c r="V97" i="1"/>
  <c r="V97" i="5" s="1"/>
  <c r="U97" i="1"/>
  <c r="U97" i="5" s="1"/>
  <c r="H91" i="2"/>
  <c r="H96" i="4"/>
  <c r="X96" i="1"/>
  <c r="X107" i="1" s="1"/>
  <c r="M96" i="1"/>
  <c r="M96" i="5" s="1"/>
  <c r="P90" i="2"/>
  <c r="P95" i="4"/>
  <c r="V95" i="1"/>
  <c r="V95" i="5" s="1"/>
  <c r="V107" i="5" s="1"/>
  <c r="U95" i="1"/>
  <c r="U95" i="5" s="1"/>
  <c r="U107" i="5" s="1"/>
  <c r="V83" i="2"/>
  <c r="V88" i="4"/>
  <c r="H83" i="2"/>
  <c r="H88" i="4"/>
  <c r="X88" i="1"/>
  <c r="P87" i="4"/>
  <c r="V87" i="1"/>
  <c r="V87" i="5" s="1"/>
  <c r="V80" i="2"/>
  <c r="V84" i="4"/>
  <c r="H80" i="2"/>
  <c r="H84" i="4"/>
  <c r="X84" i="1"/>
  <c r="P79" i="2"/>
  <c r="P83" i="4"/>
  <c r="V83" i="1"/>
  <c r="V83" i="5" s="1"/>
  <c r="V76" i="2"/>
  <c r="V80" i="4"/>
  <c r="H76" i="2"/>
  <c r="H80" i="4"/>
  <c r="X80" i="1"/>
  <c r="P75" i="2"/>
  <c r="P79" i="4"/>
  <c r="V79" i="1"/>
  <c r="V79" i="5" s="1"/>
  <c r="M74" i="2"/>
  <c r="M78" i="4"/>
  <c r="V71" i="2"/>
  <c r="V75" i="4"/>
  <c r="H71" i="2"/>
  <c r="H75" i="4"/>
  <c r="X75" i="1"/>
  <c r="P69" i="2"/>
  <c r="P73" i="4"/>
  <c r="V73" i="1"/>
  <c r="V73" i="5" s="1"/>
  <c r="E61" i="2"/>
  <c r="E64" i="2" s="1"/>
  <c r="E65" i="4"/>
  <c r="E68" i="1"/>
  <c r="P60" i="2"/>
  <c r="P64" i="4"/>
  <c r="V64" i="1"/>
  <c r="V64" i="5" s="1"/>
  <c r="V57" i="2"/>
  <c r="V61" i="4"/>
  <c r="H57" i="2"/>
  <c r="H61" i="4"/>
  <c r="X61" i="1"/>
  <c r="P56" i="2"/>
  <c r="P60" i="4"/>
  <c r="V60" i="1"/>
  <c r="V60" i="5" s="1"/>
  <c r="V53" i="2"/>
  <c r="V57" i="4"/>
  <c r="H53" i="2"/>
  <c r="H57" i="4"/>
  <c r="X57" i="1"/>
  <c r="P52" i="2"/>
  <c r="P56" i="4"/>
  <c r="V56" i="1"/>
  <c r="V56" i="5" s="1"/>
  <c r="V49" i="2"/>
  <c r="V53" i="4"/>
  <c r="H49" i="2"/>
  <c r="H53" i="4"/>
  <c r="X53" i="1"/>
  <c r="P47" i="2"/>
  <c r="P51" i="4"/>
  <c r="V51" i="1"/>
  <c r="V51" i="5" s="1"/>
  <c r="P39" i="2"/>
  <c r="P43" i="4"/>
  <c r="V43" i="1"/>
  <c r="V43" i="5" s="1"/>
  <c r="U43" i="1"/>
  <c r="U43" i="5" s="1"/>
  <c r="E39" i="2"/>
  <c r="E43" i="4"/>
  <c r="Z43" i="1"/>
  <c r="Z43" i="5" s="1"/>
  <c r="P38" i="2"/>
  <c r="P42" i="4"/>
  <c r="V42" i="1"/>
  <c r="V42" i="5" s="1"/>
  <c r="U42" i="1"/>
  <c r="U42" i="5" s="1"/>
  <c r="H19" i="2"/>
  <c r="X20" i="1"/>
  <c r="X20" i="5" s="1"/>
  <c r="H20" i="4"/>
  <c r="M20" i="1"/>
  <c r="M20" i="5" s="1"/>
  <c r="P19" i="4"/>
  <c r="V19" i="1"/>
  <c r="V19" i="5" s="1"/>
  <c r="U19" i="1"/>
  <c r="U19" i="5" s="1"/>
  <c r="H18" i="2"/>
  <c r="X18" i="1"/>
  <c r="X18" i="5" s="1"/>
  <c r="H18" i="4"/>
  <c r="M18" i="1"/>
  <c r="M18" i="5" s="1"/>
  <c r="P17" i="2"/>
  <c r="P17" i="4"/>
  <c r="V17" i="1"/>
  <c r="V17" i="5" s="1"/>
  <c r="U17" i="1"/>
  <c r="U17" i="5" s="1"/>
  <c r="H16" i="2"/>
  <c r="X16" i="1"/>
  <c r="X16" i="5" s="1"/>
  <c r="H16" i="4"/>
  <c r="M16" i="1"/>
  <c r="M16" i="5" s="1"/>
  <c r="P15" i="2"/>
  <c r="P15" i="4"/>
  <c r="V15" i="1"/>
  <c r="V15" i="5" s="1"/>
  <c r="U15" i="1"/>
  <c r="U15" i="5" s="1"/>
  <c r="E2660" i="4"/>
  <c r="E2927" i="4" s="1"/>
  <c r="X1497" i="4"/>
  <c r="Z1497" i="4" s="1"/>
  <c r="H132" i="4"/>
  <c r="X22" i="4"/>
  <c r="Z22" i="4" s="1"/>
  <c r="U2284" i="2"/>
  <c r="Q2284" i="2"/>
  <c r="X2284" i="2"/>
  <c r="Z2284" i="2" s="1"/>
  <c r="U2269" i="2"/>
  <c r="Q2269" i="2"/>
  <c r="X2269" i="2"/>
  <c r="Z2269" i="2" s="1"/>
  <c r="M2264" i="2"/>
  <c r="AA2264" i="2" s="1"/>
  <c r="AB2264" i="2" s="1"/>
  <c r="X2264" i="2"/>
  <c r="Z2264" i="2" s="1"/>
  <c r="J2264" i="2"/>
  <c r="M2209" i="2"/>
  <c r="AA2209" i="2" s="1"/>
  <c r="AB2209" i="2" s="1"/>
  <c r="X2209" i="2"/>
  <c r="Z2209" i="2" s="1"/>
  <c r="J2209" i="2"/>
  <c r="Q2204" i="2"/>
  <c r="Z2204" i="2"/>
  <c r="M2193" i="2"/>
  <c r="X2193" i="2"/>
  <c r="Z2193" i="2" s="1"/>
  <c r="J2193" i="2"/>
  <c r="I2165" i="2"/>
  <c r="J2163" i="2"/>
  <c r="M2141" i="2"/>
  <c r="AA2141" i="2" s="1"/>
  <c r="AB2141" i="2" s="1"/>
  <c r="X2141" i="2"/>
  <c r="Z2141" i="2" s="1"/>
  <c r="J2141" i="2"/>
  <c r="J2140" i="2"/>
  <c r="M2140" i="2"/>
  <c r="X2140" i="2"/>
  <c r="Z2140" i="2" s="1"/>
  <c r="M2087" i="2"/>
  <c r="AA2087" i="2" s="1"/>
  <c r="AB2087" i="2" s="1"/>
  <c r="X2087" i="2"/>
  <c r="Z2087" i="2" s="1"/>
  <c r="J2087" i="2"/>
  <c r="U2012" i="2"/>
  <c r="X2012" i="2"/>
  <c r="Z2012" i="2" s="1"/>
  <c r="Q2012" i="2"/>
  <c r="P2021" i="2"/>
  <c r="J1841" i="2"/>
  <c r="M1841" i="2"/>
  <c r="AA1841" i="2" s="1"/>
  <c r="AB1841" i="2" s="1"/>
  <c r="X1841" i="2"/>
  <c r="Z1841" i="2" s="1"/>
  <c r="E334" i="1"/>
  <c r="K313" i="1"/>
  <c r="Z269" i="1"/>
  <c r="Z268" i="5" s="1"/>
  <c r="L422" i="1"/>
  <c r="AA178" i="1"/>
  <c r="AA178" i="5" s="1"/>
  <c r="AA174" i="1"/>
  <c r="AA174" i="5" s="1"/>
  <c r="AA152" i="1"/>
  <c r="AA152" i="5" s="1"/>
  <c r="Y132" i="1"/>
  <c r="Y2898" i="1" s="1"/>
  <c r="Y2929" i="1" s="1"/>
  <c r="U37" i="1"/>
  <c r="AA35" i="1"/>
  <c r="AA35" i="5" s="1"/>
  <c r="AA31" i="1"/>
  <c r="AA31" i="5" s="1"/>
  <c r="X26" i="1"/>
  <c r="X26" i="5" s="1"/>
  <c r="P2886" i="4"/>
  <c r="G2886" i="4"/>
  <c r="L2728" i="4"/>
  <c r="Y2704" i="4"/>
  <c r="L2635" i="4"/>
  <c r="O2565" i="4"/>
  <c r="J2565" i="4"/>
  <c r="R2535" i="4"/>
  <c r="I2535" i="4"/>
  <c r="L2515" i="4"/>
  <c r="R2499" i="4"/>
  <c r="I2499" i="4"/>
  <c r="K2488" i="4"/>
  <c r="L2428" i="4"/>
  <c r="I2410" i="4"/>
  <c r="I2341" i="4"/>
  <c r="V2313" i="4"/>
  <c r="L2292" i="4"/>
  <c r="I2262" i="4"/>
  <c r="I2243" i="4"/>
  <c r="V2173" i="4"/>
  <c r="T2138" i="4"/>
  <c r="S2037" i="4"/>
  <c r="Q2011" i="4"/>
  <c r="Y2011" i="4"/>
  <c r="F2011" i="4"/>
  <c r="G1967" i="4"/>
  <c r="V1899" i="4"/>
  <c r="V1802" i="4"/>
  <c r="K1767" i="4"/>
  <c r="O1758" i="4"/>
  <c r="L1737" i="4"/>
  <c r="G1678" i="4"/>
  <c r="T1592" i="4"/>
  <c r="K1592" i="4"/>
  <c r="Y1402" i="4"/>
  <c r="Y1375" i="4"/>
  <c r="G1244" i="4"/>
  <c r="I1049" i="4"/>
  <c r="Y895" i="4"/>
  <c r="L802" i="4"/>
  <c r="O558" i="4"/>
  <c r="P392" i="4"/>
  <c r="H372" i="4"/>
  <c r="Q369" i="4"/>
  <c r="Y312" i="4"/>
  <c r="M146" i="4"/>
  <c r="P424" i="2"/>
  <c r="P444" i="4"/>
  <c r="H423" i="2"/>
  <c r="H443" i="4"/>
  <c r="P422" i="2"/>
  <c r="P442" i="4"/>
  <c r="H421" i="2"/>
  <c r="H441" i="4"/>
  <c r="P420" i="2"/>
  <c r="P440" i="4"/>
  <c r="P419" i="2"/>
  <c r="P437" i="4"/>
  <c r="V438" i="1"/>
  <c r="V437" i="5" s="1"/>
  <c r="U418" i="2"/>
  <c r="U436" i="4"/>
  <c r="V416" i="2"/>
  <c r="V434" i="4"/>
  <c r="H416" i="2"/>
  <c r="H434" i="4"/>
  <c r="X435" i="1"/>
  <c r="X434" i="5" s="1"/>
  <c r="M413" i="2"/>
  <c r="M431" i="4"/>
  <c r="AA432" i="1"/>
  <c r="AA431" i="5" s="1"/>
  <c r="P411" i="2"/>
  <c r="P429" i="4"/>
  <c r="V430" i="1"/>
  <c r="V429" i="5" s="1"/>
  <c r="U410" i="2"/>
  <c r="U428" i="4"/>
  <c r="F410" i="2"/>
  <c r="F428" i="4"/>
  <c r="E408" i="2"/>
  <c r="E426" i="4"/>
  <c r="M397" i="2"/>
  <c r="M415" i="4"/>
  <c r="M394" i="2"/>
  <c r="M412" i="4"/>
  <c r="H390" i="2"/>
  <c r="H408" i="4"/>
  <c r="M409" i="1"/>
  <c r="M408" i="5" s="1"/>
  <c r="U389" i="2"/>
  <c r="U407" i="4"/>
  <c r="H389" i="2"/>
  <c r="H407" i="4"/>
  <c r="P388" i="2"/>
  <c r="P406" i="4"/>
  <c r="U407" i="1"/>
  <c r="U406" i="5" s="1"/>
  <c r="P387" i="2"/>
  <c r="P405" i="4"/>
  <c r="M385" i="2"/>
  <c r="M403" i="4"/>
  <c r="M383" i="2"/>
  <c r="M401" i="4"/>
  <c r="AA402" i="1"/>
  <c r="AA401" i="5" s="1"/>
  <c r="E383" i="2"/>
  <c r="E401" i="4"/>
  <c r="M378" i="2"/>
  <c r="M396" i="4"/>
  <c r="J377" i="2"/>
  <c r="J393" i="4"/>
  <c r="P375" i="2"/>
  <c r="P391" i="4"/>
  <c r="E375" i="2"/>
  <c r="E391" i="4"/>
  <c r="P374" i="2"/>
  <c r="P390" i="4"/>
  <c r="U391" i="1"/>
  <c r="U390" i="5" s="1"/>
  <c r="E374" i="2"/>
  <c r="E390" i="4"/>
  <c r="U373" i="2"/>
  <c r="U389" i="4"/>
  <c r="F369" i="2"/>
  <c r="F385" i="4"/>
  <c r="P366" i="2"/>
  <c r="P382" i="4"/>
  <c r="E365" i="2"/>
  <c r="E381" i="4"/>
  <c r="F363" i="2"/>
  <c r="F379" i="4"/>
  <c r="H380" i="1"/>
  <c r="H379" i="5" s="1"/>
  <c r="X379" i="5" s="1"/>
  <c r="Z379" i="5" s="1"/>
  <c r="H360" i="2"/>
  <c r="H376" i="4"/>
  <c r="X376" i="4" s="1"/>
  <c r="M377" i="1"/>
  <c r="M376" i="5" s="1"/>
  <c r="H359" i="2"/>
  <c r="H375" i="4"/>
  <c r="J376" i="1"/>
  <c r="J375" i="5" s="1"/>
  <c r="M351" i="2"/>
  <c r="M367" i="4"/>
  <c r="AA368" i="1"/>
  <c r="AA367" i="5" s="1"/>
  <c r="E351" i="2"/>
  <c r="E367" i="4"/>
  <c r="J349" i="2"/>
  <c r="J365" i="4"/>
  <c r="P348" i="2"/>
  <c r="P364" i="4"/>
  <c r="X365" i="1"/>
  <c r="U365" i="1"/>
  <c r="U364" i="5" s="1"/>
  <c r="H347" i="2"/>
  <c r="H363" i="4"/>
  <c r="M364" i="1"/>
  <c r="M363" i="5" s="1"/>
  <c r="J364" i="1"/>
  <c r="J363" i="5" s="1"/>
  <c r="X364" i="1"/>
  <c r="U345" i="2"/>
  <c r="U361" i="4"/>
  <c r="P342" i="2"/>
  <c r="P356" i="4"/>
  <c r="X357" i="1"/>
  <c r="U357" i="1"/>
  <c r="U356" i="5" s="1"/>
  <c r="F341" i="2"/>
  <c r="F355" i="4"/>
  <c r="H356" i="1"/>
  <c r="H355" i="5" s="1"/>
  <c r="X355" i="5" s="1"/>
  <c r="Z355" i="5" s="1"/>
  <c r="M340" i="2"/>
  <c r="M353" i="4"/>
  <c r="M336" i="2"/>
  <c r="M349" i="4"/>
  <c r="X333" i="2"/>
  <c r="Z347" i="1"/>
  <c r="Z333" i="2" s="1"/>
  <c r="H333" i="2"/>
  <c r="M347" i="1"/>
  <c r="M346" i="5" s="1"/>
  <c r="P331" i="2"/>
  <c r="P344" i="4"/>
  <c r="H328" i="2"/>
  <c r="M342" i="1"/>
  <c r="M341" i="5" s="1"/>
  <c r="P327" i="2"/>
  <c r="P340" i="4"/>
  <c r="X341" i="1"/>
  <c r="U341" i="1"/>
  <c r="U340" i="5" s="1"/>
  <c r="E327" i="2"/>
  <c r="H324" i="2"/>
  <c r="H337" i="4"/>
  <c r="M338" i="1"/>
  <c r="M337" i="5" s="1"/>
  <c r="P323" i="2"/>
  <c r="P336" i="4"/>
  <c r="U337" i="1"/>
  <c r="U336" i="5" s="1"/>
  <c r="P370" i="1"/>
  <c r="E323" i="2"/>
  <c r="E336" i="4"/>
  <c r="P316" i="2"/>
  <c r="P329" i="4"/>
  <c r="U315" i="2"/>
  <c r="U328" i="4"/>
  <c r="M314" i="2"/>
  <c r="M327" i="4"/>
  <c r="E313" i="2"/>
  <c r="Z327" i="1"/>
  <c r="Z313" i="2" s="1"/>
  <c r="E326" i="4"/>
  <c r="X309" i="2"/>
  <c r="Z323" i="1"/>
  <c r="Z309" i="2" s="1"/>
  <c r="H309" i="2"/>
  <c r="H322" i="4"/>
  <c r="M323" i="1"/>
  <c r="M322" i="5" s="1"/>
  <c r="P307" i="2"/>
  <c r="P320" i="4"/>
  <c r="J306" i="2"/>
  <c r="J319" i="4"/>
  <c r="P305" i="2"/>
  <c r="P318" i="4"/>
  <c r="X319" i="1"/>
  <c r="U319" i="1"/>
  <c r="U318" i="5" s="1"/>
  <c r="E305" i="2"/>
  <c r="E318" i="4"/>
  <c r="P303" i="2"/>
  <c r="P316" i="4"/>
  <c r="J297" i="2"/>
  <c r="J310" i="4"/>
  <c r="F294" i="2"/>
  <c r="F306" i="4"/>
  <c r="H307" i="1"/>
  <c r="H306" i="5" s="1"/>
  <c r="X306" i="5" s="1"/>
  <c r="Z306" i="5" s="1"/>
  <c r="H292" i="2"/>
  <c r="H304" i="4"/>
  <c r="M305" i="1"/>
  <c r="M304" i="5" s="1"/>
  <c r="F291" i="2"/>
  <c r="F303" i="4"/>
  <c r="P290" i="2"/>
  <c r="P302" i="4"/>
  <c r="U303" i="1"/>
  <c r="U302" i="5" s="1"/>
  <c r="M289" i="2"/>
  <c r="M301" i="4"/>
  <c r="AA302" i="1"/>
  <c r="AA301" i="5" s="1"/>
  <c r="H288" i="2"/>
  <c r="H300" i="4"/>
  <c r="J301" i="1"/>
  <c r="J300" i="5" s="1"/>
  <c r="X301" i="1"/>
  <c r="X288" i="2" s="1"/>
  <c r="M280" i="2"/>
  <c r="F279" i="2"/>
  <c r="F291" i="4"/>
  <c r="H276" i="2"/>
  <c r="X289" i="1"/>
  <c r="J289" i="1"/>
  <c r="J288" i="5" s="1"/>
  <c r="M273" i="2"/>
  <c r="AA286" i="1"/>
  <c r="AA285" i="5" s="1"/>
  <c r="H272" i="2"/>
  <c r="H284" i="4"/>
  <c r="M285" i="1"/>
  <c r="M284" i="5" s="1"/>
  <c r="J285" i="1"/>
  <c r="J284" i="5" s="1"/>
  <c r="X285" i="1"/>
  <c r="X263" i="2"/>
  <c r="Z275" i="1"/>
  <c r="Z274" i="5" s="1"/>
  <c r="H263" i="2"/>
  <c r="H274" i="4"/>
  <c r="M275" i="1"/>
  <c r="M274" i="5" s="1"/>
  <c r="M259" i="2"/>
  <c r="M270" i="4"/>
  <c r="AA271" i="1"/>
  <c r="AA270" i="5" s="1"/>
  <c r="E259" i="2"/>
  <c r="E270" i="4"/>
  <c r="J257" i="2"/>
  <c r="J268" i="4"/>
  <c r="E256" i="2"/>
  <c r="E267" i="4"/>
  <c r="Z268" i="1"/>
  <c r="Z267" i="5" s="1"/>
  <c r="X253" i="2"/>
  <c r="Z265" i="1"/>
  <c r="Z264" i="5" s="1"/>
  <c r="J253" i="2"/>
  <c r="J264" i="4"/>
  <c r="X247" i="2"/>
  <c r="X258" i="4"/>
  <c r="H247" i="2"/>
  <c r="H258" i="4"/>
  <c r="P246" i="2"/>
  <c r="P256" i="4"/>
  <c r="U257" i="1"/>
  <c r="U256" i="5" s="1"/>
  <c r="Q257" i="1"/>
  <c r="Q256" i="5" s="1"/>
  <c r="Q243" i="2"/>
  <c r="Q253" i="4"/>
  <c r="F242" i="2"/>
  <c r="F252" i="4"/>
  <c r="F262" i="1"/>
  <c r="H253" i="1"/>
  <c r="H252" i="5" s="1"/>
  <c r="P241" i="2"/>
  <c r="P251" i="4"/>
  <c r="U252" i="1"/>
  <c r="E241" i="2"/>
  <c r="E251" i="4"/>
  <c r="Q252" i="1"/>
  <c r="Q251" i="5" s="1"/>
  <c r="U239" i="2"/>
  <c r="U249" i="4"/>
  <c r="U233" i="2"/>
  <c r="U243" i="4"/>
  <c r="H233" i="2"/>
  <c r="H243" i="4"/>
  <c r="M244" i="1"/>
  <c r="M243" i="5" s="1"/>
  <c r="X244" i="1"/>
  <c r="X243" i="5" s="1"/>
  <c r="H232" i="2"/>
  <c r="H242" i="4"/>
  <c r="M243" i="1"/>
  <c r="M242" i="5" s="1"/>
  <c r="X243" i="1"/>
  <c r="X242" i="5" s="1"/>
  <c r="U221" i="2"/>
  <c r="U232" i="4"/>
  <c r="K221" i="2"/>
  <c r="K232" i="4"/>
  <c r="Q232" i="1"/>
  <c r="Q232" i="5" s="1"/>
  <c r="P229" i="4"/>
  <c r="X229" i="4" s="1"/>
  <c r="Z229" i="4" s="1"/>
  <c r="X229" i="1"/>
  <c r="Z229" i="1" s="1"/>
  <c r="E228" i="4"/>
  <c r="U217" i="2"/>
  <c r="U226" i="4"/>
  <c r="H215" i="2"/>
  <c r="M224" i="1"/>
  <c r="M224" i="5" s="1"/>
  <c r="H212" i="2"/>
  <c r="H221" i="4"/>
  <c r="I221" i="1"/>
  <c r="I221" i="5" s="1"/>
  <c r="P211" i="2"/>
  <c r="P220" i="4"/>
  <c r="H210" i="2"/>
  <c r="H219" i="4"/>
  <c r="I219" i="1"/>
  <c r="I219" i="5" s="1"/>
  <c r="P209" i="2"/>
  <c r="P218" i="4"/>
  <c r="H208" i="2"/>
  <c r="H217" i="4"/>
  <c r="I217" i="1"/>
  <c r="I217" i="5" s="1"/>
  <c r="P207" i="2"/>
  <c r="P216" i="4"/>
  <c r="H206" i="2"/>
  <c r="H215" i="4"/>
  <c r="I215" i="1"/>
  <c r="I215" i="5" s="1"/>
  <c r="I204" i="2"/>
  <c r="I213" i="4"/>
  <c r="U202" i="2"/>
  <c r="U211" i="4"/>
  <c r="P197" i="2"/>
  <c r="U206" i="1"/>
  <c r="U206" i="5" s="1"/>
  <c r="M196" i="2"/>
  <c r="M205" i="4"/>
  <c r="H194" i="2"/>
  <c r="H203" i="4"/>
  <c r="I203" i="1"/>
  <c r="I203" i="5" s="1"/>
  <c r="F186" i="2"/>
  <c r="F194" i="4"/>
  <c r="I194" i="1"/>
  <c r="I194" i="5" s="1"/>
  <c r="P185" i="2"/>
  <c r="P193" i="4"/>
  <c r="U193" i="1"/>
  <c r="U193" i="5" s="1"/>
  <c r="H184" i="2"/>
  <c r="M192" i="1"/>
  <c r="M192" i="5" s="1"/>
  <c r="P183" i="2"/>
  <c r="P191" i="4"/>
  <c r="U191" i="1"/>
  <c r="U191" i="5" s="1"/>
  <c r="H182" i="2"/>
  <c r="H190" i="4"/>
  <c r="M190" i="1"/>
  <c r="M190" i="5" s="1"/>
  <c r="U180" i="2"/>
  <c r="U188" i="4"/>
  <c r="M179" i="2"/>
  <c r="M187" i="4"/>
  <c r="H172" i="2"/>
  <c r="H180" i="4"/>
  <c r="X180" i="1"/>
  <c r="V169" i="2"/>
  <c r="V177" i="4"/>
  <c r="H169" i="2"/>
  <c r="H177" i="4"/>
  <c r="X177" i="1"/>
  <c r="P168" i="2"/>
  <c r="P176" i="4"/>
  <c r="V176" i="1"/>
  <c r="V176" i="5" s="1"/>
  <c r="V165" i="2"/>
  <c r="V173" i="4"/>
  <c r="H165" i="2"/>
  <c r="H173" i="4"/>
  <c r="X173" i="1"/>
  <c r="P164" i="2"/>
  <c r="P172" i="4"/>
  <c r="V172" i="1"/>
  <c r="V172" i="5" s="1"/>
  <c r="M163" i="2"/>
  <c r="M171" i="4"/>
  <c r="V149" i="2"/>
  <c r="V156" i="4"/>
  <c r="H149" i="2"/>
  <c r="H156" i="4"/>
  <c r="X156" i="1"/>
  <c r="P148" i="2"/>
  <c r="P155" i="4"/>
  <c r="V155" i="1"/>
  <c r="V155" i="5" s="1"/>
  <c r="M137" i="2"/>
  <c r="AA144" i="1"/>
  <c r="AA144" i="5" s="1"/>
  <c r="M144" i="4"/>
  <c r="V134" i="2"/>
  <c r="H134" i="2"/>
  <c r="H141" i="4"/>
  <c r="X141" i="1"/>
  <c r="X141" i="5" s="1"/>
  <c r="P133" i="2"/>
  <c r="P140" i="4"/>
  <c r="V140" i="1"/>
  <c r="V140" i="5" s="1"/>
  <c r="U121" i="2"/>
  <c r="U128" i="4"/>
  <c r="H120" i="2"/>
  <c r="H126" i="4"/>
  <c r="M126" i="1"/>
  <c r="M126" i="5" s="1"/>
  <c r="V111" i="2"/>
  <c r="V117" i="4"/>
  <c r="H111" i="2"/>
  <c r="H117" i="4"/>
  <c r="X117" i="1"/>
  <c r="P110" i="2"/>
  <c r="P116" i="4"/>
  <c r="V116" i="1"/>
  <c r="V116" i="5" s="1"/>
  <c r="M98" i="2"/>
  <c r="M103" i="4"/>
  <c r="V97" i="2"/>
  <c r="V102" i="4"/>
  <c r="W102" i="1"/>
  <c r="W102" i="5" s="1"/>
  <c r="M96" i="2"/>
  <c r="M101" i="4"/>
  <c r="V95" i="2"/>
  <c r="V100" i="4"/>
  <c r="W100" i="1"/>
  <c r="W100" i="5" s="1"/>
  <c r="M94" i="2"/>
  <c r="M99" i="4"/>
  <c r="V93" i="2"/>
  <c r="V98" i="4"/>
  <c r="W98" i="1"/>
  <c r="W98" i="5" s="1"/>
  <c r="M92" i="2"/>
  <c r="M97" i="4"/>
  <c r="V91" i="2"/>
  <c r="V96" i="4"/>
  <c r="W96" i="1"/>
  <c r="W96" i="5" s="1"/>
  <c r="M90" i="2"/>
  <c r="M95" i="4"/>
  <c r="H85" i="2"/>
  <c r="H90" i="4"/>
  <c r="X90" i="1"/>
  <c r="X85" i="2" s="1"/>
  <c r="M90" i="1"/>
  <c r="M90" i="5" s="1"/>
  <c r="M38" i="2"/>
  <c r="M42" i="4"/>
  <c r="AA42" i="1"/>
  <c r="AA42" i="5" s="1"/>
  <c r="H38" i="4"/>
  <c r="X38" i="1"/>
  <c r="X38" i="5" s="1"/>
  <c r="V37" i="4"/>
  <c r="W37" i="1"/>
  <c r="V33" i="2"/>
  <c r="V34" i="4"/>
  <c r="H33" i="2"/>
  <c r="H34" i="4"/>
  <c r="X34" i="1"/>
  <c r="X34" i="5" s="1"/>
  <c r="P32" i="2"/>
  <c r="V33" i="1"/>
  <c r="V33" i="5" s="1"/>
  <c r="V29" i="2"/>
  <c r="V30" i="4"/>
  <c r="H29" i="2"/>
  <c r="H30" i="4"/>
  <c r="X30" i="1"/>
  <c r="X30" i="5" s="1"/>
  <c r="P28" i="2"/>
  <c r="V29" i="1"/>
  <c r="V29" i="5" s="1"/>
  <c r="M19" i="4"/>
  <c r="V18" i="2"/>
  <c r="V18" i="4"/>
  <c r="W18" i="1"/>
  <c r="W18" i="5" s="1"/>
  <c r="M17" i="2"/>
  <c r="M17" i="4"/>
  <c r="V16" i="2"/>
  <c r="V16" i="4"/>
  <c r="W16" i="1"/>
  <c r="W16" i="5" s="1"/>
  <c r="M15" i="2"/>
  <c r="M15" i="4"/>
  <c r="N12" i="2"/>
  <c r="N12" i="4"/>
  <c r="P12" i="1"/>
  <c r="P12" i="5" s="1"/>
  <c r="X1784" i="4"/>
  <c r="Z1784" i="4" s="1"/>
  <c r="H1969" i="4"/>
  <c r="H2917" i="4" s="1"/>
  <c r="X2521" i="2"/>
  <c r="Z2521" i="2" s="1"/>
  <c r="M2521" i="2"/>
  <c r="AA2521" i="2" s="1"/>
  <c r="AB2521" i="2" s="1"/>
  <c r="V2521" i="2"/>
  <c r="W2521" i="2" s="1"/>
  <c r="X2398" i="2"/>
  <c r="Z2398" i="2" s="1"/>
  <c r="M2398" i="2"/>
  <c r="AA2398" i="2" s="1"/>
  <c r="AB2398" i="2" s="1"/>
  <c r="Z2297" i="2"/>
  <c r="AA2297" i="2"/>
  <c r="H2273" i="2"/>
  <c r="H2277" i="2" s="1"/>
  <c r="F2277" i="2"/>
  <c r="U2263" i="2"/>
  <c r="AA2263" i="2" s="1"/>
  <c r="AB2263" i="2" s="1"/>
  <c r="Q2263" i="2"/>
  <c r="X2263" i="2"/>
  <c r="Z2263" i="2" s="1"/>
  <c r="Q2218" i="2"/>
  <c r="Q2215" i="2"/>
  <c r="M2175" i="2"/>
  <c r="X2175" i="2"/>
  <c r="Z2175" i="2" s="1"/>
  <c r="J2175" i="2"/>
  <c r="H2188" i="2"/>
  <c r="M2033" i="2"/>
  <c r="AA2033" i="2" s="1"/>
  <c r="AB2033" i="2" s="1"/>
  <c r="X2033" i="2"/>
  <c r="Z2033" i="2" s="1"/>
  <c r="J2033" i="2"/>
  <c r="M2014" i="2"/>
  <c r="AA2014" i="2" s="1"/>
  <c r="AB2014" i="2" s="1"/>
  <c r="X2014" i="2"/>
  <c r="J2014" i="2"/>
  <c r="M2003" i="2"/>
  <c r="AA2003" i="2" s="1"/>
  <c r="AB2003" i="2" s="1"/>
  <c r="X2003" i="2"/>
  <c r="Z2003" i="2" s="1"/>
  <c r="J2003" i="2"/>
  <c r="H1993" i="2"/>
  <c r="F1995" i="2"/>
  <c r="M1985" i="2"/>
  <c r="AA1985" i="2" s="1"/>
  <c r="AB1985" i="2" s="1"/>
  <c r="X1985" i="2"/>
  <c r="Z1985" i="2" s="1"/>
  <c r="J1985" i="2"/>
  <c r="M1983" i="2"/>
  <c r="AA1983" i="2" s="1"/>
  <c r="AB1983" i="2" s="1"/>
  <c r="X1983" i="2"/>
  <c r="Z1983" i="2" s="1"/>
  <c r="J1983" i="2"/>
  <c r="X432" i="1"/>
  <c r="X431" i="5" s="1"/>
  <c r="M415" i="1"/>
  <c r="M414" i="5" s="1"/>
  <c r="M374" i="1"/>
  <c r="M373" i="5" s="1"/>
  <c r="X361" i="1"/>
  <c r="AA359" i="1"/>
  <c r="AA358" i="5" s="1"/>
  <c r="AA344" i="1"/>
  <c r="AA343" i="5" s="1"/>
  <c r="AA339" i="1"/>
  <c r="Z329" i="1"/>
  <c r="Z315" i="2" s="1"/>
  <c r="AA325" i="1"/>
  <c r="AA324" i="5" s="1"/>
  <c r="AA316" i="1"/>
  <c r="AA315" i="5" s="1"/>
  <c r="V145" i="1"/>
  <c r="V145" i="5" s="1"/>
  <c r="X127" i="1"/>
  <c r="Z127" i="1" s="1"/>
  <c r="P130" i="1"/>
  <c r="AA83" i="1"/>
  <c r="AA83" i="5" s="1"/>
  <c r="AA79" i="1"/>
  <c r="AA73" i="1"/>
  <c r="AA73" i="5" s="1"/>
  <c r="AA60" i="1"/>
  <c r="AA60" i="5" s="1"/>
  <c r="AA56" i="1"/>
  <c r="AA56" i="5" s="1"/>
  <c r="V20" i="1"/>
  <c r="V20" i="5" s="1"/>
  <c r="L2750" i="4"/>
  <c r="T2728" i="4"/>
  <c r="K2728" i="4"/>
  <c r="G2728" i="4"/>
  <c r="T2658" i="4"/>
  <c r="T2635" i="4"/>
  <c r="S2565" i="4"/>
  <c r="N2565" i="4"/>
  <c r="Q2535" i="4"/>
  <c r="T2515" i="4"/>
  <c r="K2515" i="4"/>
  <c r="G2515" i="4"/>
  <c r="Q2499" i="4"/>
  <c r="O2488" i="4"/>
  <c r="I2446" i="4"/>
  <c r="L2382" i="4"/>
  <c r="I2219" i="4"/>
  <c r="L2194" i="4"/>
  <c r="I2173" i="4"/>
  <c r="S2059" i="4"/>
  <c r="F1967" i="4"/>
  <c r="G1922" i="4"/>
  <c r="O1865" i="4"/>
  <c r="V1843" i="4"/>
  <c r="I1802" i="4"/>
  <c r="Y1784" i="4"/>
  <c r="N1758" i="4"/>
  <c r="G1720" i="4"/>
  <c r="I1709" i="4"/>
  <c r="I1697" i="4"/>
  <c r="K1678" i="4"/>
  <c r="Q1639" i="4"/>
  <c r="L1618" i="4"/>
  <c r="T1618" i="4"/>
  <c r="S1592" i="4"/>
  <c r="O1592" i="4"/>
  <c r="K1568" i="4"/>
  <c r="I1497" i="4"/>
  <c r="Y823" i="4"/>
  <c r="S558" i="4"/>
  <c r="H383" i="4"/>
  <c r="H360" i="4"/>
  <c r="E349" i="4"/>
  <c r="H346" i="4"/>
  <c r="P327" i="4"/>
  <c r="T235" i="4"/>
  <c r="P206" i="4"/>
  <c r="V180" i="4"/>
  <c r="H127" i="4"/>
  <c r="X127" i="4" s="1"/>
  <c r="Z127" i="4" s="1"/>
  <c r="P33" i="4"/>
  <c r="AA2284" i="2"/>
  <c r="AB2284" i="2" s="1"/>
  <c r="H419" i="2"/>
  <c r="H437" i="4"/>
  <c r="P418" i="2"/>
  <c r="P436" i="4"/>
  <c r="H417" i="2"/>
  <c r="H435" i="4"/>
  <c r="P416" i="2"/>
  <c r="P434" i="4"/>
  <c r="H415" i="2"/>
  <c r="H433" i="4"/>
  <c r="P414" i="2"/>
  <c r="P432" i="4"/>
  <c r="H413" i="2"/>
  <c r="H431" i="4"/>
  <c r="P412" i="2"/>
  <c r="P430" i="4"/>
  <c r="H411" i="2"/>
  <c r="H429" i="4"/>
  <c r="P410" i="2"/>
  <c r="P428" i="4"/>
  <c r="E410" i="2"/>
  <c r="E428" i="4"/>
  <c r="P409" i="2"/>
  <c r="P427" i="4"/>
  <c r="P398" i="2"/>
  <c r="P416" i="4"/>
  <c r="H397" i="2"/>
  <c r="H415" i="4"/>
  <c r="K396" i="2"/>
  <c r="K414" i="4"/>
  <c r="P413" i="4"/>
  <c r="P395" i="2"/>
  <c r="H394" i="2"/>
  <c r="H412" i="4"/>
  <c r="H392" i="2"/>
  <c r="H410" i="4"/>
  <c r="P389" i="2"/>
  <c r="P407" i="4"/>
  <c r="H388" i="2"/>
  <c r="H406" i="4"/>
  <c r="P386" i="2"/>
  <c r="P404" i="4"/>
  <c r="P383" i="2"/>
  <c r="P401" i="4"/>
  <c r="H383" i="2"/>
  <c r="H401" i="4"/>
  <c r="H377" i="2"/>
  <c r="H393" i="4"/>
  <c r="E376" i="2"/>
  <c r="E392" i="4"/>
  <c r="P373" i="2"/>
  <c r="P389" i="4"/>
  <c r="F373" i="2"/>
  <c r="F389" i="4"/>
  <c r="P371" i="2"/>
  <c r="P387" i="4"/>
  <c r="H370" i="2"/>
  <c r="H386" i="4"/>
  <c r="H368" i="2"/>
  <c r="H384" i="4"/>
  <c r="P365" i="2"/>
  <c r="P381" i="4"/>
  <c r="F365" i="2"/>
  <c r="F381" i="4"/>
  <c r="P363" i="2"/>
  <c r="P379" i="4"/>
  <c r="P362" i="2"/>
  <c r="P378" i="4"/>
  <c r="X378" i="4" s="1"/>
  <c r="Z378" i="4" s="1"/>
  <c r="H361" i="2"/>
  <c r="H377" i="4"/>
  <c r="P358" i="2"/>
  <c r="P374" i="4"/>
  <c r="E358" i="2"/>
  <c r="E374" i="4"/>
  <c r="K357" i="2"/>
  <c r="K373" i="4"/>
  <c r="P356" i="2"/>
  <c r="P372" i="4"/>
  <c r="P351" i="2"/>
  <c r="P367" i="4"/>
  <c r="F351" i="2"/>
  <c r="F367" i="4"/>
  <c r="H348" i="2"/>
  <c r="H364" i="4"/>
  <c r="F342" i="2"/>
  <c r="F356" i="4"/>
  <c r="H340" i="2"/>
  <c r="H353" i="4"/>
  <c r="P337" i="2"/>
  <c r="P350" i="4"/>
  <c r="H336" i="2"/>
  <c r="H349" i="4"/>
  <c r="F334" i="2"/>
  <c r="F347" i="4"/>
  <c r="P332" i="2"/>
  <c r="P345" i="4"/>
  <c r="E332" i="2"/>
  <c r="E345" i="4"/>
  <c r="H330" i="2"/>
  <c r="H343" i="4"/>
  <c r="H327" i="2"/>
  <c r="H340" i="4"/>
  <c r="H325" i="2"/>
  <c r="H338" i="4"/>
  <c r="H311" i="2"/>
  <c r="H324" i="4"/>
  <c r="F308" i="2"/>
  <c r="F321" i="4"/>
  <c r="H305" i="2"/>
  <c r="H318" i="4"/>
  <c r="E304" i="2"/>
  <c r="E317" i="4"/>
  <c r="H302" i="2"/>
  <c r="H315" i="4"/>
  <c r="P297" i="2"/>
  <c r="P310" i="4"/>
  <c r="F297" i="2"/>
  <c r="F310" i="4"/>
  <c r="H295" i="2"/>
  <c r="H308" i="4"/>
  <c r="P293" i="2"/>
  <c r="P305" i="4"/>
  <c r="F293" i="2"/>
  <c r="F305" i="4"/>
  <c r="E292" i="2"/>
  <c r="E304" i="4"/>
  <c r="P289" i="2"/>
  <c r="P301" i="4"/>
  <c r="I288" i="2"/>
  <c r="I299" i="2" s="1"/>
  <c r="I300" i="4"/>
  <c r="I312" i="4" s="1"/>
  <c r="P287" i="2"/>
  <c r="P299" i="4"/>
  <c r="P281" i="2"/>
  <c r="P293" i="4"/>
  <c r="P278" i="2"/>
  <c r="P290" i="4"/>
  <c r="P275" i="2"/>
  <c r="P287" i="4"/>
  <c r="P273" i="2"/>
  <c r="P285" i="4"/>
  <c r="E273" i="2"/>
  <c r="E285" i="4"/>
  <c r="P264" i="2"/>
  <c r="P276" i="4"/>
  <c r="P262" i="2"/>
  <c r="P273" i="4"/>
  <c r="P259" i="2"/>
  <c r="P270" i="4"/>
  <c r="F259" i="2"/>
  <c r="F268" i="2" s="1"/>
  <c r="AA268" i="2" s="1"/>
  <c r="F270" i="4"/>
  <c r="F280" i="4" s="1"/>
  <c r="P257" i="2"/>
  <c r="P268" i="4"/>
  <c r="E257" i="2"/>
  <c r="E268" i="4"/>
  <c r="H254" i="2"/>
  <c r="H265" i="4"/>
  <c r="E253" i="2"/>
  <c r="E264" i="4"/>
  <c r="P247" i="2"/>
  <c r="P258" i="4"/>
  <c r="H246" i="2"/>
  <c r="H256" i="4"/>
  <c r="H244" i="2"/>
  <c r="H254" i="4"/>
  <c r="H241" i="2"/>
  <c r="H251" i="4"/>
  <c r="P240" i="2"/>
  <c r="P250" i="4"/>
  <c r="F240" i="2"/>
  <c r="F250" i="4"/>
  <c r="P239" i="2"/>
  <c r="P249" i="4"/>
  <c r="H237" i="2"/>
  <c r="H247" i="4"/>
  <c r="H234" i="2"/>
  <c r="H244" i="4"/>
  <c r="K232" i="2"/>
  <c r="K242" i="4"/>
  <c r="E222" i="2"/>
  <c r="E233" i="4"/>
  <c r="P221" i="2"/>
  <c r="P232" i="4"/>
  <c r="H220" i="2"/>
  <c r="H231" i="4"/>
  <c r="P219" i="2"/>
  <c r="P230" i="4"/>
  <c r="H219" i="2"/>
  <c r="H230" i="4"/>
  <c r="P218" i="2"/>
  <c r="P227" i="4"/>
  <c r="E218" i="2"/>
  <c r="E227" i="4"/>
  <c r="H217" i="2"/>
  <c r="H226" i="4"/>
  <c r="M213" i="2"/>
  <c r="M222" i="4"/>
  <c r="H213" i="2"/>
  <c r="H222" i="4"/>
  <c r="E197" i="2"/>
  <c r="E206" i="4"/>
  <c r="P196" i="2"/>
  <c r="P205" i="4"/>
  <c r="H196" i="2"/>
  <c r="H205" i="4"/>
  <c r="P195" i="2"/>
  <c r="P204" i="4"/>
  <c r="H195" i="2"/>
  <c r="H204" i="4"/>
  <c r="P193" i="2"/>
  <c r="P201" i="4"/>
  <c r="F190" i="2"/>
  <c r="F198" i="4"/>
  <c r="H173" i="2"/>
  <c r="H181" i="4"/>
  <c r="P172" i="2"/>
  <c r="P180" i="4"/>
  <c r="E172" i="2"/>
  <c r="E180" i="4"/>
  <c r="P171" i="2"/>
  <c r="P179" i="4"/>
  <c r="H170" i="2"/>
  <c r="H178" i="4"/>
  <c r="P169" i="2"/>
  <c r="P177" i="4"/>
  <c r="H168" i="2"/>
  <c r="H176" i="4"/>
  <c r="P167" i="2"/>
  <c r="P175" i="4"/>
  <c r="H166" i="2"/>
  <c r="H174" i="4"/>
  <c r="P165" i="2"/>
  <c r="P173" i="4"/>
  <c r="H164" i="2"/>
  <c r="H172" i="4"/>
  <c r="F150" i="2"/>
  <c r="F158" i="2" s="1"/>
  <c r="F157" i="4"/>
  <c r="F166" i="4" s="1"/>
  <c r="P149" i="2"/>
  <c r="P156" i="4"/>
  <c r="H148" i="2"/>
  <c r="H155" i="4"/>
  <c r="P147" i="2"/>
  <c r="P154" i="4"/>
  <c r="H145" i="2"/>
  <c r="H152" i="4"/>
  <c r="P140" i="2"/>
  <c r="P147" i="4"/>
  <c r="E137" i="2"/>
  <c r="E144" i="4"/>
  <c r="P136" i="2"/>
  <c r="P143" i="4"/>
  <c r="H135" i="2"/>
  <c r="H142" i="4"/>
  <c r="P134" i="2"/>
  <c r="P141" i="4"/>
  <c r="H133" i="2"/>
  <c r="H140" i="4"/>
  <c r="P132" i="2"/>
  <c r="P139" i="4"/>
  <c r="P111" i="2"/>
  <c r="P117" i="4"/>
  <c r="P109" i="2"/>
  <c r="P115" i="4"/>
  <c r="N108" i="2"/>
  <c r="N114" i="4"/>
  <c r="AA107" i="2"/>
  <c r="AA113" i="4"/>
  <c r="P83" i="2"/>
  <c r="P88" i="4"/>
  <c r="P82" i="2"/>
  <c r="P86" i="4"/>
  <c r="P80" i="2"/>
  <c r="P84" i="4"/>
  <c r="P78" i="2"/>
  <c r="P82" i="4"/>
  <c r="P76" i="2"/>
  <c r="P80" i="4"/>
  <c r="E74" i="2"/>
  <c r="E78" i="4"/>
  <c r="H72" i="2"/>
  <c r="H76" i="4"/>
  <c r="AA70" i="2"/>
  <c r="AA74" i="4"/>
  <c r="H69" i="2"/>
  <c r="H73" i="4"/>
  <c r="P68" i="2"/>
  <c r="P72" i="4"/>
  <c r="H67" i="2"/>
  <c r="H71" i="4"/>
  <c r="P62" i="2"/>
  <c r="P66" i="4"/>
  <c r="H60" i="2"/>
  <c r="H64" i="4"/>
  <c r="P59" i="2"/>
  <c r="P63" i="4"/>
  <c r="H58" i="2"/>
  <c r="H62" i="4"/>
  <c r="P57" i="2"/>
  <c r="P61" i="4"/>
  <c r="H56" i="2"/>
  <c r="H60" i="4"/>
  <c r="P55" i="2"/>
  <c r="P59" i="4"/>
  <c r="H54" i="2"/>
  <c r="H58" i="4"/>
  <c r="P53" i="2"/>
  <c r="P57" i="4"/>
  <c r="H52" i="2"/>
  <c r="H56" i="4"/>
  <c r="P51" i="2"/>
  <c r="P55" i="4"/>
  <c r="H50" i="2"/>
  <c r="H54" i="4"/>
  <c r="P49" i="2"/>
  <c r="P53" i="4"/>
  <c r="AA48" i="2"/>
  <c r="AA52" i="4"/>
  <c r="H47" i="2"/>
  <c r="H51" i="4"/>
  <c r="P46" i="2"/>
  <c r="P50" i="4"/>
  <c r="H45" i="2"/>
  <c r="H49" i="4"/>
  <c r="F39" i="2"/>
  <c r="F41" i="2" s="1"/>
  <c r="F43" i="4"/>
  <c r="F45" i="4" s="1"/>
  <c r="H37" i="2"/>
  <c r="H41" i="4"/>
  <c r="E36" i="2"/>
  <c r="E39" i="4"/>
  <c r="H34" i="2"/>
  <c r="H35" i="4"/>
  <c r="H32" i="2"/>
  <c r="H33" i="4"/>
  <c r="H30" i="2"/>
  <c r="H31" i="4"/>
  <c r="H28" i="2"/>
  <c r="H29" i="4"/>
  <c r="H26" i="2"/>
  <c r="H27" i="4"/>
  <c r="N14" i="2"/>
  <c r="N14" i="4"/>
  <c r="H13" i="2"/>
  <c r="H13" i="4"/>
  <c r="E2081" i="4"/>
  <c r="E2919" i="4" s="1"/>
  <c r="E1969" i="4"/>
  <c r="E2917" i="4" s="1"/>
  <c r="X419" i="4"/>
  <c r="H421" i="4"/>
  <c r="H2905" i="4" s="1"/>
  <c r="X2684" i="2"/>
  <c r="Z2684" i="2" s="1"/>
  <c r="U2684" i="2"/>
  <c r="AA2684" i="2" s="1"/>
  <c r="AB2684" i="2" s="1"/>
  <c r="X2636" i="2"/>
  <c r="Z2636" i="2" s="1"/>
  <c r="M2636" i="2"/>
  <c r="AA2636" i="2" s="1"/>
  <c r="AB2636" i="2" s="1"/>
  <c r="V2466" i="2"/>
  <c r="U2466" i="2"/>
  <c r="U2468" i="2" s="1"/>
  <c r="X2466" i="2"/>
  <c r="P2468" i="2"/>
  <c r="V2443" i="2"/>
  <c r="W2443" i="2" s="1"/>
  <c r="X2443" i="2"/>
  <c r="Z2443" i="2" s="1"/>
  <c r="U2443" i="2"/>
  <c r="AA2436" i="2"/>
  <c r="X2386" i="2"/>
  <c r="Z2386" i="2" s="1"/>
  <c r="M2386" i="2"/>
  <c r="AA2386" i="2" s="1"/>
  <c r="AB2386" i="2" s="1"/>
  <c r="V2386" i="2"/>
  <c r="W2386" i="2" s="1"/>
  <c r="H2367" i="2"/>
  <c r="X2360" i="2"/>
  <c r="Z2360" i="2" s="1"/>
  <c r="M2360" i="2"/>
  <c r="X2349" i="2"/>
  <c r="Z2349" i="2" s="1"/>
  <c r="M2349" i="2"/>
  <c r="AA2349" i="2" s="1"/>
  <c r="AB2349" i="2" s="1"/>
  <c r="V2349" i="2"/>
  <c r="W2349" i="2" s="1"/>
  <c r="X2327" i="2"/>
  <c r="Z2327" i="2" s="1"/>
  <c r="M2327" i="2"/>
  <c r="AA2327" i="2" s="1"/>
  <c r="AB2327" i="2" s="1"/>
  <c r="V2327" i="2"/>
  <c r="W2327" i="2" s="1"/>
  <c r="X2281" i="2"/>
  <c r="Z2281" i="2" s="1"/>
  <c r="U2281" i="2"/>
  <c r="AA2281" i="2" s="1"/>
  <c r="AB2281" i="2" s="1"/>
  <c r="M2274" i="2"/>
  <c r="AA2274" i="2" s="1"/>
  <c r="AB2274" i="2" s="1"/>
  <c r="X2274" i="2"/>
  <c r="Z2274" i="2" s="1"/>
  <c r="J2274" i="2"/>
  <c r="U2230" i="2"/>
  <c r="Q2230" i="2"/>
  <c r="P2235" i="2"/>
  <c r="M2086" i="2"/>
  <c r="AA2086" i="2" s="1"/>
  <c r="AB2086" i="2" s="1"/>
  <c r="X2086" i="2"/>
  <c r="J2086" i="2"/>
  <c r="U2077" i="2"/>
  <c r="AA2077" i="2" s="1"/>
  <c r="AB2077" i="2" s="1"/>
  <c r="X2077" i="2"/>
  <c r="Q2077" i="2"/>
  <c r="X1912" i="2"/>
  <c r="Z1912" i="2" s="1"/>
  <c r="M1912" i="2"/>
  <c r="AA1912" i="2" s="1"/>
  <c r="AB1912" i="2" s="1"/>
  <c r="V1912" i="2"/>
  <c r="W1912" i="2" s="1"/>
  <c r="X1908" i="2"/>
  <c r="M1908" i="2"/>
  <c r="V1908" i="2"/>
  <c r="U1830" i="2"/>
  <c r="X1830" i="2"/>
  <c r="Z1830" i="2" s="1"/>
  <c r="Q1830" i="2"/>
  <c r="E1847" i="2"/>
  <c r="Z340" i="1"/>
  <c r="Z326" i="2" s="1"/>
  <c r="Z290" i="1"/>
  <c r="Z277" i="2" s="1"/>
  <c r="X247" i="1"/>
  <c r="X246" i="5" s="1"/>
  <c r="P235" i="1"/>
  <c r="M233" i="1"/>
  <c r="M233" i="5" s="1"/>
  <c r="U222" i="1"/>
  <c r="U222" i="5" s="1"/>
  <c r="M213" i="1"/>
  <c r="M213" i="5" s="1"/>
  <c r="U198" i="1"/>
  <c r="U198" i="5" s="1"/>
  <c r="M189" i="1"/>
  <c r="M189" i="5" s="1"/>
  <c r="M188" i="1"/>
  <c r="M188" i="5" s="1"/>
  <c r="AA142" i="1"/>
  <c r="AA142" i="5" s="1"/>
  <c r="AA140" i="1"/>
  <c r="AA140" i="5" s="1"/>
  <c r="AA51" i="1"/>
  <c r="AA51" i="5" s="1"/>
  <c r="AA49" i="1"/>
  <c r="AA49" i="5" s="1"/>
  <c r="AA37" i="1"/>
  <c r="AA37" i="5" s="1"/>
  <c r="AA27" i="1"/>
  <c r="AA27" i="5" s="1"/>
  <c r="H22" i="1"/>
  <c r="I2138" i="4"/>
  <c r="X2112" i="4"/>
  <c r="Z2112" i="4" s="1"/>
  <c r="T2112" i="4"/>
  <c r="Y2079" i="4"/>
  <c r="O2059" i="4"/>
  <c r="J2059" i="4"/>
  <c r="O2037" i="4"/>
  <c r="J2037" i="4"/>
  <c r="N2011" i="4"/>
  <c r="S1987" i="4"/>
  <c r="N1951" i="4"/>
  <c r="G1951" i="4"/>
  <c r="V1922" i="4"/>
  <c r="W1922" i="4"/>
  <c r="K1922" i="4"/>
  <c r="G1820" i="4"/>
  <c r="X1802" i="4"/>
  <c r="V1784" i="4"/>
  <c r="I1784" i="4"/>
  <c r="J1720" i="4"/>
  <c r="N1709" i="4"/>
  <c r="T1678" i="4"/>
  <c r="G1592" i="4"/>
  <c r="L1568" i="4"/>
  <c r="N1541" i="4"/>
  <c r="Y1497" i="4"/>
  <c r="I1471" i="4"/>
  <c r="L1339" i="4"/>
  <c r="T1309" i="4"/>
  <c r="L1143" i="4"/>
  <c r="R1013" i="4"/>
  <c r="K1013" i="4"/>
  <c r="G941" i="4"/>
  <c r="I872" i="4"/>
  <c r="L823" i="4"/>
  <c r="T802" i="4"/>
  <c r="P640" i="4"/>
  <c r="P2907" i="4" s="1"/>
  <c r="N522" i="4"/>
  <c r="L509" i="4"/>
  <c r="Q487" i="4"/>
  <c r="T473" i="4"/>
  <c r="K473" i="4"/>
  <c r="T457" i="4"/>
  <c r="H356" i="4"/>
  <c r="H330" i="4"/>
  <c r="P328" i="4"/>
  <c r="E327" i="4"/>
  <c r="P325" i="4"/>
  <c r="P321" i="4"/>
  <c r="U299" i="4"/>
  <c r="H292" i="4"/>
  <c r="E289" i="4"/>
  <c r="E287" i="4"/>
  <c r="P231" i="4"/>
  <c r="H213" i="4"/>
  <c r="S184" i="4"/>
  <c r="P114" i="4"/>
  <c r="H111" i="4"/>
  <c r="H89" i="4"/>
  <c r="H85" i="4"/>
  <c r="H83" i="4"/>
  <c r="H81" i="4"/>
  <c r="H79" i="4"/>
  <c r="P77" i="4"/>
  <c r="O92" i="4"/>
  <c r="L1667" i="2"/>
  <c r="R1464" i="2"/>
  <c r="R1466" i="2" s="1"/>
  <c r="K1464" i="2"/>
  <c r="L1362" i="2"/>
  <c r="U351" i="2"/>
  <c r="U367" i="4"/>
  <c r="H351" i="2"/>
  <c r="H367" i="4"/>
  <c r="P350" i="2"/>
  <c r="P366" i="4"/>
  <c r="J348" i="2"/>
  <c r="J364" i="4"/>
  <c r="P346" i="2"/>
  <c r="P362" i="4"/>
  <c r="P345" i="2"/>
  <c r="P361" i="4"/>
  <c r="H343" i="2"/>
  <c r="H359" i="4"/>
  <c r="X359" i="4" s="1"/>
  <c r="Z359" i="4" s="1"/>
  <c r="J340" i="2"/>
  <c r="J353" i="4"/>
  <c r="U337" i="2"/>
  <c r="U350" i="4"/>
  <c r="H337" i="2"/>
  <c r="H350" i="4"/>
  <c r="J336" i="2"/>
  <c r="J349" i="4"/>
  <c r="P335" i="2"/>
  <c r="P348" i="4"/>
  <c r="U334" i="2"/>
  <c r="U347" i="4"/>
  <c r="H334" i="2"/>
  <c r="H347" i="4"/>
  <c r="P333" i="2"/>
  <c r="P346" i="4"/>
  <c r="E331" i="2"/>
  <c r="E344" i="4"/>
  <c r="J330" i="2"/>
  <c r="J343" i="4"/>
  <c r="E328" i="2"/>
  <c r="E341" i="4"/>
  <c r="J327" i="2"/>
  <c r="J340" i="4"/>
  <c r="P326" i="2"/>
  <c r="P339" i="4"/>
  <c r="J325" i="2"/>
  <c r="J338" i="4"/>
  <c r="P324" i="2"/>
  <c r="P337" i="4"/>
  <c r="E324" i="2"/>
  <c r="E337" i="4"/>
  <c r="K323" i="2"/>
  <c r="K353" i="2" s="1"/>
  <c r="K336" i="4"/>
  <c r="K369" i="4" s="1"/>
  <c r="E318" i="2"/>
  <c r="E331" i="4"/>
  <c r="J317" i="2"/>
  <c r="J330" i="4"/>
  <c r="E315" i="2"/>
  <c r="E328" i="4"/>
  <c r="U312" i="2"/>
  <c r="U325" i="4"/>
  <c r="H312" i="2"/>
  <c r="H325" i="4"/>
  <c r="X325" i="4" s="1"/>
  <c r="Z325" i="4" s="1"/>
  <c r="J311" i="2"/>
  <c r="J324" i="4"/>
  <c r="P309" i="2"/>
  <c r="P322" i="4"/>
  <c r="U308" i="2"/>
  <c r="U321" i="4"/>
  <c r="H308" i="2"/>
  <c r="H321" i="4"/>
  <c r="U306" i="2"/>
  <c r="U319" i="4"/>
  <c r="H306" i="2"/>
  <c r="H319" i="4"/>
  <c r="J305" i="2"/>
  <c r="J318" i="4"/>
  <c r="P304" i="2"/>
  <c r="P317" i="4"/>
  <c r="H304" i="2"/>
  <c r="H317" i="4"/>
  <c r="E303" i="2"/>
  <c r="E316" i="4"/>
  <c r="J302" i="2"/>
  <c r="J315" i="4"/>
  <c r="U297" i="2"/>
  <c r="U310" i="4"/>
  <c r="H297" i="2"/>
  <c r="H310" i="4"/>
  <c r="P296" i="2"/>
  <c r="P309" i="4"/>
  <c r="U295" i="2"/>
  <c r="U308" i="4"/>
  <c r="U293" i="2"/>
  <c r="U305" i="4"/>
  <c r="H293" i="2"/>
  <c r="H305" i="4"/>
  <c r="P292" i="2"/>
  <c r="P304" i="4"/>
  <c r="F292" i="2"/>
  <c r="F304" i="4"/>
  <c r="E291" i="2"/>
  <c r="E303" i="4"/>
  <c r="U289" i="2"/>
  <c r="U301" i="4"/>
  <c r="H289" i="2"/>
  <c r="H301" i="4"/>
  <c r="J286" i="2"/>
  <c r="J298" i="4"/>
  <c r="F284" i="2"/>
  <c r="F296" i="4"/>
  <c r="J280" i="2"/>
  <c r="J292" i="4"/>
  <c r="U278" i="2"/>
  <c r="U290" i="4"/>
  <c r="P277" i="2"/>
  <c r="P289" i="4"/>
  <c r="K276" i="2"/>
  <c r="K288" i="4"/>
  <c r="U275" i="2"/>
  <c r="U287" i="4"/>
  <c r="H275" i="2"/>
  <c r="H287" i="4"/>
  <c r="P271" i="2"/>
  <c r="P283" i="4"/>
  <c r="P265" i="2"/>
  <c r="P277" i="4"/>
  <c r="U264" i="2"/>
  <c r="U276" i="4"/>
  <c r="J264" i="2"/>
  <c r="J276" i="4"/>
  <c r="P263" i="2"/>
  <c r="P274" i="4"/>
  <c r="U262" i="2"/>
  <c r="U273" i="4"/>
  <c r="H262" i="2"/>
  <c r="H273" i="4"/>
  <c r="J261" i="2"/>
  <c r="J272" i="4"/>
  <c r="U259" i="2"/>
  <c r="U270" i="4"/>
  <c r="H259" i="2"/>
  <c r="H270" i="4"/>
  <c r="P258" i="2"/>
  <c r="P269" i="4"/>
  <c r="U257" i="2"/>
  <c r="U268" i="4"/>
  <c r="U255" i="2"/>
  <c r="U266" i="4"/>
  <c r="H255" i="2"/>
  <c r="H266" i="4"/>
  <c r="J254" i="2"/>
  <c r="J265" i="4"/>
  <c r="P253" i="2"/>
  <c r="P264" i="4"/>
  <c r="H253" i="2"/>
  <c r="H264" i="4"/>
  <c r="P248" i="2"/>
  <c r="P259" i="4"/>
  <c r="U247" i="2"/>
  <c r="U258" i="4"/>
  <c r="P245" i="2"/>
  <c r="P255" i="4"/>
  <c r="J244" i="2"/>
  <c r="J254" i="4"/>
  <c r="P243" i="2"/>
  <c r="P253" i="4"/>
  <c r="H240" i="2"/>
  <c r="H250" i="4"/>
  <c r="Q239" i="2"/>
  <c r="Q249" i="4"/>
  <c r="H239" i="2"/>
  <c r="H249" i="4"/>
  <c r="J237" i="2"/>
  <c r="J247" i="4"/>
  <c r="P236" i="2"/>
  <c r="P246" i="4"/>
  <c r="H236" i="2"/>
  <c r="H246" i="4"/>
  <c r="J234" i="2"/>
  <c r="J244" i="4"/>
  <c r="P233" i="2"/>
  <c r="P243" i="4"/>
  <c r="E233" i="2"/>
  <c r="E243" i="4"/>
  <c r="F232" i="2"/>
  <c r="F242" i="4"/>
  <c r="P222" i="2"/>
  <c r="P233" i="4"/>
  <c r="I221" i="2"/>
  <c r="I232" i="4"/>
  <c r="I220" i="2"/>
  <c r="I231" i="4"/>
  <c r="I230" i="4"/>
  <c r="I219" i="2"/>
  <c r="U218" i="2"/>
  <c r="U227" i="4"/>
  <c r="F218" i="2"/>
  <c r="F224" i="2" s="1"/>
  <c r="F227" i="4"/>
  <c r="I217" i="2"/>
  <c r="I226" i="4"/>
  <c r="E215" i="2"/>
  <c r="E224" i="4"/>
  <c r="P214" i="2"/>
  <c r="P223" i="4"/>
  <c r="H214" i="2"/>
  <c r="H223" i="4"/>
  <c r="I213" i="2"/>
  <c r="I222" i="4"/>
  <c r="E205" i="2"/>
  <c r="E214" i="4"/>
  <c r="P204" i="2"/>
  <c r="P213" i="4"/>
  <c r="P203" i="2"/>
  <c r="P212" i="4"/>
  <c r="H203" i="2"/>
  <c r="H212" i="4"/>
  <c r="P202" i="2"/>
  <c r="P211" i="4"/>
  <c r="H202" i="2"/>
  <c r="H211" i="4"/>
  <c r="F197" i="2"/>
  <c r="F206" i="4"/>
  <c r="I196" i="2"/>
  <c r="I205" i="4"/>
  <c r="I195" i="2"/>
  <c r="I204" i="4"/>
  <c r="U193" i="2"/>
  <c r="U201" i="4"/>
  <c r="E193" i="2"/>
  <c r="E201" i="4"/>
  <c r="P192" i="2"/>
  <c r="P200" i="4"/>
  <c r="H192" i="2"/>
  <c r="H200" i="4"/>
  <c r="P191" i="2"/>
  <c r="P199" i="4"/>
  <c r="H191" i="2"/>
  <c r="H199" i="4"/>
  <c r="H190" i="2"/>
  <c r="E182" i="2"/>
  <c r="E190" i="4"/>
  <c r="P181" i="2"/>
  <c r="P189" i="4"/>
  <c r="P180" i="2"/>
  <c r="P188" i="4"/>
  <c r="P179" i="2"/>
  <c r="P187" i="4"/>
  <c r="H179" i="2"/>
  <c r="H187" i="4"/>
  <c r="P174" i="2"/>
  <c r="P182" i="4"/>
  <c r="E174" i="2"/>
  <c r="E182" i="4"/>
  <c r="M173" i="2"/>
  <c r="M181" i="4"/>
  <c r="U172" i="2"/>
  <c r="U180" i="4"/>
  <c r="U171" i="2"/>
  <c r="U179" i="4"/>
  <c r="M170" i="2"/>
  <c r="M178" i="4"/>
  <c r="U169" i="2"/>
  <c r="U177" i="4"/>
  <c r="M168" i="2"/>
  <c r="M176" i="4"/>
  <c r="U167" i="2"/>
  <c r="U175" i="4"/>
  <c r="M166" i="2"/>
  <c r="M174" i="4"/>
  <c r="U165" i="2"/>
  <c r="U173" i="4"/>
  <c r="M164" i="2"/>
  <c r="M172" i="4"/>
  <c r="H163" i="2"/>
  <c r="H171" i="4"/>
  <c r="P156" i="2"/>
  <c r="P164" i="4"/>
  <c r="H155" i="2"/>
  <c r="H163" i="4"/>
  <c r="P154" i="2"/>
  <c r="P162" i="4"/>
  <c r="H153" i="2"/>
  <c r="H161" i="4"/>
  <c r="H152" i="2"/>
  <c r="H159" i="4"/>
  <c r="P151" i="2"/>
  <c r="P158" i="4"/>
  <c r="H150" i="2"/>
  <c r="H157" i="4"/>
  <c r="U149" i="2"/>
  <c r="U156" i="4"/>
  <c r="M148" i="2"/>
  <c r="M155" i="4"/>
  <c r="U147" i="2"/>
  <c r="U154" i="4"/>
  <c r="M145" i="2"/>
  <c r="M152" i="4"/>
  <c r="U140" i="2"/>
  <c r="H139" i="2"/>
  <c r="H146" i="4"/>
  <c r="P138" i="2"/>
  <c r="P145" i="4"/>
  <c r="H137" i="2"/>
  <c r="H144" i="4"/>
  <c r="U136" i="2"/>
  <c r="U143" i="4"/>
  <c r="U134" i="2"/>
  <c r="U141" i="4"/>
  <c r="U132" i="2"/>
  <c r="U139" i="4"/>
  <c r="E132" i="2"/>
  <c r="E139" i="4"/>
  <c r="P131" i="2"/>
  <c r="P138" i="4"/>
  <c r="H130" i="2"/>
  <c r="H137" i="4"/>
  <c r="P121" i="2"/>
  <c r="P128" i="4"/>
  <c r="P120" i="2"/>
  <c r="P126" i="4"/>
  <c r="P119" i="2"/>
  <c r="P125" i="4"/>
  <c r="H118" i="2"/>
  <c r="H124" i="4"/>
  <c r="P117" i="2"/>
  <c r="P123" i="4"/>
  <c r="H116" i="2"/>
  <c r="H122" i="4"/>
  <c r="P115" i="2"/>
  <c r="P121" i="4"/>
  <c r="H114" i="2"/>
  <c r="H120" i="4"/>
  <c r="P113" i="2"/>
  <c r="P119" i="4"/>
  <c r="U111" i="2"/>
  <c r="U117" i="4"/>
  <c r="M110" i="2"/>
  <c r="M116" i="4"/>
  <c r="U109" i="2"/>
  <c r="U115" i="4"/>
  <c r="E109" i="2"/>
  <c r="E115" i="4"/>
  <c r="AB107" i="2"/>
  <c r="AB113" i="4"/>
  <c r="N106" i="2"/>
  <c r="N112" i="4"/>
  <c r="P104" i="2"/>
  <c r="P110" i="4"/>
  <c r="H99" i="2"/>
  <c r="H105" i="4"/>
  <c r="H98" i="2"/>
  <c r="H103" i="4"/>
  <c r="P97" i="2"/>
  <c r="P102" i="4"/>
  <c r="H96" i="2"/>
  <c r="H101" i="4"/>
  <c r="P95" i="2"/>
  <c r="P100" i="4"/>
  <c r="H94" i="2"/>
  <c r="H99" i="4"/>
  <c r="P93" i="2"/>
  <c r="P98" i="4"/>
  <c r="H92" i="2"/>
  <c r="H97" i="4"/>
  <c r="P91" i="2"/>
  <c r="P96" i="4"/>
  <c r="H90" i="2"/>
  <c r="H95" i="4"/>
  <c r="P85" i="2"/>
  <c r="P90" i="4"/>
  <c r="M84" i="2"/>
  <c r="M89" i="4"/>
  <c r="U83" i="2"/>
  <c r="U88" i="4"/>
  <c r="U82" i="2"/>
  <c r="U86" i="4"/>
  <c r="M81" i="2"/>
  <c r="M85" i="4"/>
  <c r="U80" i="2"/>
  <c r="U84" i="4"/>
  <c r="M79" i="2"/>
  <c r="M83" i="4"/>
  <c r="U78" i="2"/>
  <c r="U82" i="4"/>
  <c r="M77" i="2"/>
  <c r="M81" i="4"/>
  <c r="U76" i="2"/>
  <c r="U80" i="4"/>
  <c r="M75" i="2"/>
  <c r="M79" i="4"/>
  <c r="H74" i="2"/>
  <c r="H78" i="4"/>
  <c r="X78" i="4" s="1"/>
  <c r="U73" i="2"/>
  <c r="U77" i="4"/>
  <c r="M72" i="2"/>
  <c r="M76" i="4"/>
  <c r="U71" i="2"/>
  <c r="U75" i="4"/>
  <c r="AB70" i="2"/>
  <c r="AB74" i="4"/>
  <c r="M69" i="2"/>
  <c r="M73" i="4"/>
  <c r="U68" i="2"/>
  <c r="U72" i="4"/>
  <c r="M67" i="2"/>
  <c r="M71" i="4"/>
  <c r="U62" i="2"/>
  <c r="U66" i="4"/>
  <c r="U59" i="2"/>
  <c r="U63" i="4"/>
  <c r="M58" i="2"/>
  <c r="M62" i="4"/>
  <c r="U57" i="2"/>
  <c r="U61" i="4"/>
  <c r="M56" i="2"/>
  <c r="M60" i="4"/>
  <c r="U55" i="2"/>
  <c r="U59" i="4"/>
  <c r="M54" i="2"/>
  <c r="M58" i="4"/>
  <c r="U53" i="2"/>
  <c r="U57" i="4"/>
  <c r="M52" i="2"/>
  <c r="M56" i="4"/>
  <c r="U51" i="2"/>
  <c r="U55" i="4"/>
  <c r="M50" i="2"/>
  <c r="M54" i="4"/>
  <c r="U49" i="2"/>
  <c r="U53" i="4"/>
  <c r="AB48" i="2"/>
  <c r="AB52" i="4"/>
  <c r="U46" i="2"/>
  <c r="U50" i="4"/>
  <c r="H39" i="2"/>
  <c r="H43" i="4"/>
  <c r="H38" i="2"/>
  <c r="H42" i="4"/>
  <c r="M37" i="2"/>
  <c r="M41" i="4"/>
  <c r="U35" i="2"/>
  <c r="U36" i="4"/>
  <c r="M34" i="2"/>
  <c r="M35" i="4"/>
  <c r="U33" i="2"/>
  <c r="U34" i="4"/>
  <c r="M32" i="2"/>
  <c r="M33" i="4"/>
  <c r="U31" i="2"/>
  <c r="U32" i="4"/>
  <c r="M30" i="2"/>
  <c r="M31" i="4"/>
  <c r="U29" i="2"/>
  <c r="U30" i="4"/>
  <c r="M28" i="2"/>
  <c r="M29" i="4"/>
  <c r="U27" i="2"/>
  <c r="U28" i="4"/>
  <c r="H25" i="2"/>
  <c r="H26" i="4"/>
  <c r="P19" i="2"/>
  <c r="P20" i="4"/>
  <c r="P18" i="2"/>
  <c r="P18" i="4"/>
  <c r="H17" i="2"/>
  <c r="H17" i="4"/>
  <c r="H15" i="2"/>
  <c r="H15" i="4"/>
  <c r="P14" i="2"/>
  <c r="P14" i="4"/>
  <c r="M13" i="2"/>
  <c r="M13" i="4"/>
  <c r="H12" i="2"/>
  <c r="H12" i="4"/>
  <c r="X661" i="4"/>
  <c r="H961" i="4"/>
  <c r="H2909" i="4" s="1"/>
  <c r="X2563" i="2"/>
  <c r="Z2563" i="2" s="1"/>
  <c r="M2563" i="2"/>
  <c r="AA2563" i="2" s="1"/>
  <c r="AB2563" i="2" s="1"/>
  <c r="V2563" i="2"/>
  <c r="W2563" i="2" s="1"/>
  <c r="V2559" i="2"/>
  <c r="W2559" i="2" s="1"/>
  <c r="U2559" i="2"/>
  <c r="AA2559" i="2" s="1"/>
  <c r="AB2559" i="2" s="1"/>
  <c r="X2559" i="2"/>
  <c r="Z2559" i="2" s="1"/>
  <c r="V2529" i="2"/>
  <c r="W2529" i="2" s="1"/>
  <c r="X2529" i="2"/>
  <c r="Z2529" i="2" s="1"/>
  <c r="U2529" i="2"/>
  <c r="AA2529" i="2" s="1"/>
  <c r="AB2529" i="2" s="1"/>
  <c r="H2428" i="2"/>
  <c r="X2406" i="2"/>
  <c r="V2346" i="2"/>
  <c r="W2346" i="2" s="1"/>
  <c r="U2346" i="2"/>
  <c r="AA2346" i="2" s="1"/>
  <c r="AB2346" i="2" s="1"/>
  <c r="X2346" i="2"/>
  <c r="Z2346" i="2" s="1"/>
  <c r="X2345" i="2"/>
  <c r="Z2345" i="2" s="1"/>
  <c r="M2345" i="2"/>
  <c r="AA2345" i="2" s="1"/>
  <c r="AB2345" i="2" s="1"/>
  <c r="X2341" i="2"/>
  <c r="M2341" i="2"/>
  <c r="V2341" i="2"/>
  <c r="H2356" i="2"/>
  <c r="P2338" i="2"/>
  <c r="V2322" i="2"/>
  <c r="W2322" i="2" s="1"/>
  <c r="X2322" i="2"/>
  <c r="Z2322" i="2" s="1"/>
  <c r="U2322" i="2"/>
  <c r="AA2322" i="2" s="1"/>
  <c r="AB2322" i="2" s="1"/>
  <c r="M2225" i="2"/>
  <c r="AA2225" i="2" s="1"/>
  <c r="AB2225" i="2" s="1"/>
  <c r="X2225" i="2"/>
  <c r="Z2225" i="2" s="1"/>
  <c r="J2225" i="2"/>
  <c r="U2132" i="2"/>
  <c r="Q2132" i="2"/>
  <c r="U2123" i="2"/>
  <c r="Q2123" i="2"/>
  <c r="X2123" i="2"/>
  <c r="Z2123" i="2" s="1"/>
  <c r="P2137" i="2"/>
  <c r="U2078" i="2"/>
  <c r="X2078" i="2"/>
  <c r="Z2078" i="2" s="1"/>
  <c r="Q2078" i="2"/>
  <c r="J1844" i="2"/>
  <c r="M1844" i="2"/>
  <c r="AA1844" i="2" s="1"/>
  <c r="AB1844" i="2" s="1"/>
  <c r="X1844" i="2"/>
  <c r="Z1844" i="2" s="1"/>
  <c r="X2138" i="4"/>
  <c r="Z2138" i="4" s="1"/>
  <c r="Y2112" i="4"/>
  <c r="O2112" i="4"/>
  <c r="N2112" i="4"/>
  <c r="P2081" i="4"/>
  <c r="P2919" i="4" s="1"/>
  <c r="J2011" i="4"/>
  <c r="X1987" i="4"/>
  <c r="K1987" i="4"/>
  <c r="V1967" i="4"/>
  <c r="W1967" i="4"/>
  <c r="K1967" i="4"/>
  <c r="W1865" i="4"/>
  <c r="O1843" i="4"/>
  <c r="G1767" i="4"/>
  <c r="G1758" i="4"/>
  <c r="K1720" i="4"/>
  <c r="F1720" i="4"/>
  <c r="P1739" i="4"/>
  <c r="P2915" i="4" s="1"/>
  <c r="J1709" i="4"/>
  <c r="L1678" i="4"/>
  <c r="S1659" i="4"/>
  <c r="N1659" i="4"/>
  <c r="Y1639" i="4"/>
  <c r="Y1618" i="4"/>
  <c r="X1568" i="4"/>
  <c r="O1541" i="4"/>
  <c r="X1471" i="4"/>
  <c r="Z1471" i="4" s="1"/>
  <c r="N1471" i="4"/>
  <c r="Y1433" i="4"/>
  <c r="T1402" i="4"/>
  <c r="G1402" i="4"/>
  <c r="N1339" i="4"/>
  <c r="T1244" i="4"/>
  <c r="Q1188" i="4"/>
  <c r="Q1085" i="4"/>
  <c r="Q1049" i="4"/>
  <c r="R1033" i="4"/>
  <c r="G1033" i="4"/>
  <c r="G1013" i="4"/>
  <c r="T844" i="4"/>
  <c r="Y802" i="4"/>
  <c r="N714" i="4"/>
  <c r="T625" i="4"/>
  <c r="H640" i="4"/>
  <c r="H2907" i="4" s="1"/>
  <c r="Z557" i="4"/>
  <c r="J522" i="4"/>
  <c r="G473" i="4"/>
  <c r="Y419" i="4"/>
  <c r="N419" i="4"/>
  <c r="P351" i="4"/>
  <c r="I333" i="4"/>
  <c r="H299" i="4"/>
  <c r="U285" i="4"/>
  <c r="H276" i="4"/>
  <c r="I261" i="4"/>
  <c r="P226" i="4"/>
  <c r="P222" i="4"/>
  <c r="H189" i="4"/>
  <c r="H188" i="4"/>
  <c r="F149" i="4"/>
  <c r="H118" i="4"/>
  <c r="H116" i="4"/>
  <c r="M51" i="4"/>
  <c r="L45" i="4"/>
  <c r="H39" i="4"/>
  <c r="P34" i="4"/>
  <c r="P30" i="4"/>
  <c r="G22" i="4"/>
  <c r="X2626" i="2"/>
  <c r="Z2626" i="2" s="1"/>
  <c r="M2507" i="2"/>
  <c r="AA2507" i="2" s="1"/>
  <c r="AB2507" i="2" s="1"/>
  <c r="X2230" i="2"/>
  <c r="Z2230" i="2" s="1"/>
  <c r="O1667" i="2"/>
  <c r="O1573" i="2"/>
  <c r="H385" i="2"/>
  <c r="Z589" i="4"/>
  <c r="E640" i="4"/>
  <c r="E2907" i="4" s="1"/>
  <c r="X2678" i="2"/>
  <c r="Z2678" i="2" s="1"/>
  <c r="U2678" i="2"/>
  <c r="AA2678" i="2" s="1"/>
  <c r="AB2678" i="2" s="1"/>
  <c r="X2658" i="2"/>
  <c r="Z2658" i="2" s="1"/>
  <c r="U2658" i="2"/>
  <c r="AA2658" i="2" s="1"/>
  <c r="AB2658" i="2" s="1"/>
  <c r="M2645" i="2"/>
  <c r="AA2645" i="2" s="1"/>
  <c r="AB2645" i="2" s="1"/>
  <c r="X2645" i="2"/>
  <c r="Z2645" i="2" s="1"/>
  <c r="S2594" i="2"/>
  <c r="X2586" i="2"/>
  <c r="Z2586" i="2" s="1"/>
  <c r="M2586" i="2"/>
  <c r="AA2586" i="2" s="1"/>
  <c r="AB2586" i="2" s="1"/>
  <c r="V2586" i="2"/>
  <c r="V2584" i="2"/>
  <c r="W2584" i="2" s="1"/>
  <c r="U2584" i="2"/>
  <c r="AA2584" i="2" s="1"/>
  <c r="AB2584" i="2" s="1"/>
  <c r="X2584" i="2"/>
  <c r="Z2584" i="2" s="1"/>
  <c r="E2592" i="2"/>
  <c r="V2566" i="2"/>
  <c r="W2566" i="2" s="1"/>
  <c r="U2566" i="2"/>
  <c r="AA2566" i="2" s="1"/>
  <c r="AB2566" i="2" s="1"/>
  <c r="X2566" i="2"/>
  <c r="Z2566" i="2" s="1"/>
  <c r="V2564" i="2"/>
  <c r="W2564" i="2" s="1"/>
  <c r="U2564" i="2"/>
  <c r="X2564" i="2"/>
  <c r="Z2564" i="2" s="1"/>
  <c r="AA2534" i="2"/>
  <c r="X2394" i="2"/>
  <c r="Z2394" i="2" s="1"/>
  <c r="M2394" i="2"/>
  <c r="AA2394" i="2" s="1"/>
  <c r="AB2394" i="2" s="1"/>
  <c r="V2380" i="2"/>
  <c r="W2380" i="2" s="1"/>
  <c r="X2380" i="2"/>
  <c r="Z2380" i="2" s="1"/>
  <c r="V2376" i="2"/>
  <c r="W2376" i="2" s="1"/>
  <c r="X2376" i="2"/>
  <c r="Z2376" i="2" s="1"/>
  <c r="V2373" i="2"/>
  <c r="W2373" i="2" s="1"/>
  <c r="X2373" i="2"/>
  <c r="Z2373" i="2" s="1"/>
  <c r="X2364" i="2"/>
  <c r="Z2364" i="2" s="1"/>
  <c r="M2364" i="2"/>
  <c r="AA2364" i="2" s="1"/>
  <c r="AB2364" i="2" s="1"/>
  <c r="V2352" i="2"/>
  <c r="W2352" i="2" s="1"/>
  <c r="U2352" i="2"/>
  <c r="AA2352" i="2" s="1"/>
  <c r="AB2352" i="2" s="1"/>
  <c r="X2352" i="2"/>
  <c r="Z2352" i="2" s="1"/>
  <c r="V2334" i="2"/>
  <c r="X2334" i="2"/>
  <c r="Z2334" i="2" s="1"/>
  <c r="U2334" i="2"/>
  <c r="AA2334" i="2" s="1"/>
  <c r="AB2334" i="2" s="1"/>
  <c r="M2266" i="2"/>
  <c r="X2266" i="2"/>
  <c r="Z2266" i="2" s="1"/>
  <c r="J2266" i="2"/>
  <c r="M2244" i="2"/>
  <c r="AA2244" i="2" s="1"/>
  <c r="AB2244" i="2" s="1"/>
  <c r="X2244" i="2"/>
  <c r="Z2244" i="2" s="1"/>
  <c r="J2244" i="2"/>
  <c r="M2207" i="2"/>
  <c r="AA2207" i="2" s="1"/>
  <c r="AB2207" i="2" s="1"/>
  <c r="X2207" i="2"/>
  <c r="Z2207" i="2" s="1"/>
  <c r="J2207" i="2"/>
  <c r="Q2181" i="2"/>
  <c r="Z2181" i="2"/>
  <c r="M2147" i="2"/>
  <c r="AA2147" i="2" s="1"/>
  <c r="AB2147" i="2" s="1"/>
  <c r="X2147" i="2"/>
  <c r="Z2147" i="2" s="1"/>
  <c r="J2147" i="2"/>
  <c r="Q2143" i="2"/>
  <c r="Z2143" i="2"/>
  <c r="M2132" i="2"/>
  <c r="X2132" i="2"/>
  <c r="Z2132" i="2" s="1"/>
  <c r="J2132" i="2"/>
  <c r="U2125" i="2"/>
  <c r="Q2125" i="2"/>
  <c r="X2125" i="2"/>
  <c r="Z2125" i="2" s="1"/>
  <c r="X2101" i="2"/>
  <c r="Z2101" i="2" s="1"/>
  <c r="U2101" i="2"/>
  <c r="Q2101" i="2"/>
  <c r="E2118" i="2"/>
  <c r="J2037" i="2"/>
  <c r="M2037" i="2"/>
  <c r="AA2037" i="2" s="1"/>
  <c r="X2037" i="2"/>
  <c r="M2029" i="2"/>
  <c r="X2029" i="2"/>
  <c r="Z2029" i="2" s="1"/>
  <c r="J2029" i="2"/>
  <c r="U2025" i="2"/>
  <c r="Q2025" i="2"/>
  <c r="M2018" i="2"/>
  <c r="AA2018" i="2" s="1"/>
  <c r="AB2018" i="2" s="1"/>
  <c r="X2018" i="2"/>
  <c r="Z2018" i="2" s="1"/>
  <c r="J2018" i="2"/>
  <c r="M2007" i="2"/>
  <c r="AA2007" i="2" s="1"/>
  <c r="AB2007" i="2" s="1"/>
  <c r="X2007" i="2"/>
  <c r="Z2007" i="2" s="1"/>
  <c r="J2007" i="2"/>
  <c r="U1986" i="2"/>
  <c r="AA1986" i="2" s="1"/>
  <c r="AB1986" i="2" s="1"/>
  <c r="X1986" i="2"/>
  <c r="Z1986" i="2" s="1"/>
  <c r="Q1986" i="2"/>
  <c r="U1984" i="2"/>
  <c r="AA1984" i="2" s="1"/>
  <c r="AB1984" i="2" s="1"/>
  <c r="X1984" i="2"/>
  <c r="Z1984" i="2" s="1"/>
  <c r="Q1984" i="2"/>
  <c r="J1974" i="2"/>
  <c r="M1974" i="2"/>
  <c r="AA1974" i="2" s="1"/>
  <c r="X1974" i="2"/>
  <c r="Z1974" i="2" s="1"/>
  <c r="AA1972" i="2"/>
  <c r="V1962" i="2"/>
  <c r="W1962" i="2" s="1"/>
  <c r="X1962" i="2"/>
  <c r="Z1962" i="2" s="1"/>
  <c r="V1958" i="2"/>
  <c r="X1958" i="2"/>
  <c r="Z1958" i="2" s="1"/>
  <c r="V1954" i="2"/>
  <c r="X1954" i="2"/>
  <c r="Z1954" i="2" s="1"/>
  <c r="P1965" i="2"/>
  <c r="F1863" i="2"/>
  <c r="H1861" i="2"/>
  <c r="H1863" i="2" s="1"/>
  <c r="J1854" i="2"/>
  <c r="M1854" i="2"/>
  <c r="X1854" i="2"/>
  <c r="Z1854" i="2" s="1"/>
  <c r="Z1836" i="2"/>
  <c r="Q1836" i="2"/>
  <c r="Z2063" i="4"/>
  <c r="Q2079" i="4"/>
  <c r="I2079" i="4"/>
  <c r="R2059" i="4"/>
  <c r="G2059" i="4"/>
  <c r="R2037" i="4"/>
  <c r="G2037" i="4"/>
  <c r="R2011" i="4"/>
  <c r="J1987" i="4"/>
  <c r="X1967" i="4"/>
  <c r="Z1967" i="4" s="1"/>
  <c r="O1967" i="4"/>
  <c r="K1951" i="4"/>
  <c r="X1922" i="4"/>
  <c r="Z1922" i="4" s="1"/>
  <c r="O1922" i="4"/>
  <c r="X1865" i="4"/>
  <c r="Z1865" i="4" s="1"/>
  <c r="G1865" i="4"/>
  <c r="N1843" i="4"/>
  <c r="O1820" i="4"/>
  <c r="Y1802" i="4"/>
  <c r="F1802" i="4"/>
  <c r="W1767" i="4"/>
  <c r="L1767" i="4"/>
  <c r="V1758" i="4"/>
  <c r="T1737" i="4"/>
  <c r="O1720" i="4"/>
  <c r="H1739" i="4"/>
  <c r="H2915" i="4" s="1"/>
  <c r="R1709" i="4"/>
  <c r="G1659" i="4"/>
  <c r="Q1618" i="4"/>
  <c r="I1618" i="4"/>
  <c r="X1433" i="4"/>
  <c r="Z1433" i="4" s="1"/>
  <c r="O1402" i="4"/>
  <c r="I1375" i="4"/>
  <c r="T1339" i="4"/>
  <c r="G1214" i="4"/>
  <c r="T1214" i="4"/>
  <c r="O1166" i="4"/>
  <c r="O1129" i="4"/>
  <c r="J1129" i="4"/>
  <c r="Y1106" i="4"/>
  <c r="O1065" i="4"/>
  <c r="J1065" i="4"/>
  <c r="T1049" i="4"/>
  <c r="L1049" i="4"/>
  <c r="K1033" i="4"/>
  <c r="G984" i="4"/>
  <c r="G986" i="4" s="1"/>
  <c r="L956" i="4"/>
  <c r="Y922" i="4"/>
  <c r="I922" i="4"/>
  <c r="I895" i="4"/>
  <c r="Y844" i="4"/>
  <c r="O756" i="4"/>
  <c r="K691" i="4"/>
  <c r="Q661" i="4"/>
  <c r="Y607" i="4"/>
  <c r="O589" i="4"/>
  <c r="J589" i="4"/>
  <c r="Q570" i="4"/>
  <c r="I570" i="4"/>
  <c r="G558" i="4"/>
  <c r="O535" i="4"/>
  <c r="S473" i="4"/>
  <c r="O473" i="4"/>
  <c r="W398" i="4"/>
  <c r="L398" i="4"/>
  <c r="G398" i="4"/>
  <c r="Y369" i="4"/>
  <c r="T312" i="4"/>
  <c r="N261" i="4"/>
  <c r="O235" i="4"/>
  <c r="R184" i="4"/>
  <c r="G184" i="4"/>
  <c r="L166" i="4"/>
  <c r="N149" i="4"/>
  <c r="J149" i="4"/>
  <c r="Q68" i="4"/>
  <c r="S45" i="4"/>
  <c r="O45" i="4"/>
  <c r="K22" i="4"/>
  <c r="AA2662" i="2"/>
  <c r="AB2662" i="2" s="1"/>
  <c r="U2509" i="2"/>
  <c r="Q2430" i="2"/>
  <c r="Q2746" i="2" s="1"/>
  <c r="O1769" i="2"/>
  <c r="S1537" i="2"/>
  <c r="O1362" i="2"/>
  <c r="E132" i="4"/>
  <c r="X2674" i="2"/>
  <c r="Z2674" i="2" s="1"/>
  <c r="U2674" i="2"/>
  <c r="AA2674" i="2" s="1"/>
  <c r="AB2674" i="2" s="1"/>
  <c r="X2660" i="2"/>
  <c r="Z2660" i="2" s="1"/>
  <c r="M2660" i="2"/>
  <c r="AA2660" i="2" s="1"/>
  <c r="AB2660" i="2" s="1"/>
  <c r="X2652" i="2"/>
  <c r="Z2652" i="2" s="1"/>
  <c r="U2652" i="2"/>
  <c r="AA2652" i="2" s="1"/>
  <c r="AB2652" i="2" s="1"/>
  <c r="M2635" i="2"/>
  <c r="AA2635" i="2" s="1"/>
  <c r="AB2635" i="2" s="1"/>
  <c r="X2635" i="2"/>
  <c r="Z2635" i="2" s="1"/>
  <c r="R2750" i="2"/>
  <c r="V2589" i="2"/>
  <c r="W2589" i="2" s="1"/>
  <c r="U2589" i="2"/>
  <c r="AA2589" i="2" s="1"/>
  <c r="AB2589" i="2" s="1"/>
  <c r="X2589" i="2"/>
  <c r="Z2589" i="2" s="1"/>
  <c r="V2587" i="2"/>
  <c r="W2587" i="2" s="1"/>
  <c r="U2587" i="2"/>
  <c r="X2587" i="2"/>
  <c r="Z2587" i="2" s="1"/>
  <c r="X2575" i="2"/>
  <c r="M2575" i="2"/>
  <c r="H2592" i="2"/>
  <c r="V2575" i="2"/>
  <c r="W2575" i="2" s="1"/>
  <c r="X2568" i="2"/>
  <c r="Z2568" i="2" s="1"/>
  <c r="U2568" i="2"/>
  <c r="AA2568" i="2" s="1"/>
  <c r="AB2568" i="2" s="1"/>
  <c r="X2558" i="2"/>
  <c r="Z2558" i="2" s="1"/>
  <c r="M2558" i="2"/>
  <c r="AA2558" i="2" s="1"/>
  <c r="AB2558" i="2" s="1"/>
  <c r="X2556" i="2"/>
  <c r="Z2556" i="2" s="1"/>
  <c r="M2556" i="2"/>
  <c r="AA2556" i="2" s="1"/>
  <c r="AB2556" i="2" s="1"/>
  <c r="V2556" i="2"/>
  <c r="W2556" i="2" s="1"/>
  <c r="V2553" i="2"/>
  <c r="W2553" i="2" s="1"/>
  <c r="U2553" i="2"/>
  <c r="AA2553" i="2" s="1"/>
  <c r="AB2553" i="2" s="1"/>
  <c r="P2572" i="2"/>
  <c r="X2553" i="2"/>
  <c r="Z2553" i="2" s="1"/>
  <c r="X2540" i="2"/>
  <c r="Z2540" i="2" s="1"/>
  <c r="M2540" i="2"/>
  <c r="AA2540" i="2" s="1"/>
  <c r="AB2540" i="2" s="1"/>
  <c r="M2524" i="2"/>
  <c r="AA2524" i="2" s="1"/>
  <c r="AB2524" i="2" s="1"/>
  <c r="X2524" i="2"/>
  <c r="Z2524" i="2" s="1"/>
  <c r="H2531" i="2"/>
  <c r="X2517" i="2"/>
  <c r="Z2517" i="2" s="1"/>
  <c r="M2517" i="2"/>
  <c r="V2504" i="2"/>
  <c r="W2504" i="2" s="1"/>
  <c r="X2504" i="2"/>
  <c r="Z2504" i="2" s="1"/>
  <c r="V2501" i="2"/>
  <c r="W2501" i="2" s="1"/>
  <c r="X2501" i="2"/>
  <c r="Z2501" i="2" s="1"/>
  <c r="V2497" i="2"/>
  <c r="W2497" i="2" s="1"/>
  <c r="X2497" i="2"/>
  <c r="Z2497" i="2" s="1"/>
  <c r="V2493" i="2"/>
  <c r="X2493" i="2"/>
  <c r="P2509" i="2"/>
  <c r="W2481" i="2"/>
  <c r="X2477" i="2"/>
  <c r="Z2477" i="2" s="1"/>
  <c r="M2477" i="2"/>
  <c r="AA2477" i="2" s="1"/>
  <c r="AB2477" i="2" s="1"/>
  <c r="V2477" i="2"/>
  <c r="W2477" i="2" s="1"/>
  <c r="V2473" i="2"/>
  <c r="W2473" i="2" s="1"/>
  <c r="U2473" i="2"/>
  <c r="X2473" i="2"/>
  <c r="Z2473" i="2" s="1"/>
  <c r="P2489" i="2"/>
  <c r="V2462" i="2"/>
  <c r="U2462" i="2"/>
  <c r="X2390" i="2"/>
  <c r="Z2390" i="2" s="1"/>
  <c r="M2390" i="2"/>
  <c r="AA2321" i="2"/>
  <c r="N2294" i="2"/>
  <c r="N2314" i="2" s="1"/>
  <c r="N2744" i="2" s="1"/>
  <c r="P2290" i="2"/>
  <c r="P2294" i="2" s="1"/>
  <c r="U2282" i="2"/>
  <c r="Q2282" i="2"/>
  <c r="X2282" i="2"/>
  <c r="Z2253" i="2"/>
  <c r="J2218" i="2"/>
  <c r="M2218" i="2"/>
  <c r="AA2218" i="2" s="1"/>
  <c r="AB2218" i="2" s="1"/>
  <c r="X2218" i="2"/>
  <c r="Z2218" i="2" s="1"/>
  <c r="J2203" i="2"/>
  <c r="X2203" i="2"/>
  <c r="Z2203" i="2" s="1"/>
  <c r="M2203" i="2"/>
  <c r="AA2203" i="2" s="1"/>
  <c r="M2200" i="2"/>
  <c r="AA2200" i="2" s="1"/>
  <c r="AB2200" i="2" s="1"/>
  <c r="X2200" i="2"/>
  <c r="Z2200" i="2" s="1"/>
  <c r="M2161" i="2"/>
  <c r="AA2161" i="2" s="1"/>
  <c r="AB2161" i="2" s="1"/>
  <c r="X2161" i="2"/>
  <c r="Z2161" i="2" s="1"/>
  <c r="J2161" i="2"/>
  <c r="M2112" i="2"/>
  <c r="AA2112" i="2" s="1"/>
  <c r="X2112" i="2"/>
  <c r="Z2112" i="2" s="1"/>
  <c r="AB2112" i="2" s="1"/>
  <c r="J2112" i="2"/>
  <c r="J2081" i="2"/>
  <c r="M2081" i="2"/>
  <c r="X2081" i="2"/>
  <c r="Z2081" i="2" s="1"/>
  <c r="AB2069" i="2"/>
  <c r="Q2064" i="2"/>
  <c r="X2064" i="2"/>
  <c r="Z2064" i="2" s="1"/>
  <c r="U2064" i="2"/>
  <c r="M2063" i="2"/>
  <c r="AA2063" i="2" s="1"/>
  <c r="AB2063" i="2" s="1"/>
  <c r="X2063" i="2"/>
  <c r="Z2063" i="2" s="1"/>
  <c r="J2063" i="2"/>
  <c r="U2032" i="2"/>
  <c r="Q2032" i="2"/>
  <c r="M2024" i="2"/>
  <c r="X2024" i="2"/>
  <c r="H2052" i="2"/>
  <c r="J2024" i="2"/>
  <c r="M2013" i="2"/>
  <c r="AA2013" i="2" s="1"/>
  <c r="AB2013" i="2" s="1"/>
  <c r="X2013" i="2"/>
  <c r="Z2013" i="2" s="1"/>
  <c r="J2013" i="2"/>
  <c r="AB1988" i="2"/>
  <c r="Q1978" i="2"/>
  <c r="U1978" i="2"/>
  <c r="X1978" i="2"/>
  <c r="Z1978" i="2" s="1"/>
  <c r="X1893" i="2"/>
  <c r="Z1893" i="2" s="1"/>
  <c r="M1893" i="2"/>
  <c r="AA1893" i="2" s="1"/>
  <c r="AB1893" i="2" s="1"/>
  <c r="V1893" i="2"/>
  <c r="W1893" i="2" s="1"/>
  <c r="M1873" i="2"/>
  <c r="AA1873" i="2" s="1"/>
  <c r="AB1873" i="2" s="1"/>
  <c r="X1873" i="2"/>
  <c r="Z1873" i="2" s="1"/>
  <c r="V1873" i="2"/>
  <c r="W1873" i="2" s="1"/>
  <c r="Q1832" i="2"/>
  <c r="U1832" i="2"/>
  <c r="AA1832" i="2" s="1"/>
  <c r="AB1832" i="2" s="1"/>
  <c r="X1832" i="2"/>
  <c r="Z1832" i="2" s="1"/>
  <c r="T2079" i="4"/>
  <c r="L2079" i="4"/>
  <c r="K2059" i="4"/>
  <c r="K2037" i="4"/>
  <c r="N1987" i="4"/>
  <c r="N1967" i="4"/>
  <c r="O1951" i="4"/>
  <c r="N1922" i="4"/>
  <c r="O1899" i="4"/>
  <c r="X1843" i="4"/>
  <c r="Z1843" i="4" s="1"/>
  <c r="G1843" i="4"/>
  <c r="N1820" i="4"/>
  <c r="N1802" i="4"/>
  <c r="E1739" i="4"/>
  <c r="E2915" i="4" s="1"/>
  <c r="S1720" i="4"/>
  <c r="X1709" i="4"/>
  <c r="Y1697" i="4"/>
  <c r="K1659" i="4"/>
  <c r="N1639" i="4"/>
  <c r="J1639" i="4"/>
  <c r="R1541" i="4"/>
  <c r="R1543" i="4" s="1"/>
  <c r="R2913" i="4" s="1"/>
  <c r="T1375" i="4"/>
  <c r="Y1309" i="4"/>
  <c r="L1214" i="4"/>
  <c r="S1166" i="4"/>
  <c r="L1166" i="4"/>
  <c r="G1129" i="4"/>
  <c r="I1085" i="4"/>
  <c r="S1065" i="4"/>
  <c r="N1065" i="4"/>
  <c r="T984" i="4"/>
  <c r="T986" i="4" s="1"/>
  <c r="K984" i="4"/>
  <c r="K986" i="4" s="1"/>
  <c r="O947" i="4"/>
  <c r="K941" i="4"/>
  <c r="Y872" i="4"/>
  <c r="I844" i="4"/>
  <c r="T781" i="4"/>
  <c r="Y781" i="4"/>
  <c r="N756" i="4"/>
  <c r="G714" i="4"/>
  <c r="O691" i="4"/>
  <c r="Q625" i="4"/>
  <c r="I625" i="4"/>
  <c r="S589" i="4"/>
  <c r="T570" i="4"/>
  <c r="L570" i="4"/>
  <c r="T558" i="4"/>
  <c r="K558" i="4"/>
  <c r="Q545" i="4"/>
  <c r="F545" i="4"/>
  <c r="S535" i="4"/>
  <c r="Y522" i="4"/>
  <c r="F522" i="4"/>
  <c r="Q500" i="4"/>
  <c r="F500" i="4"/>
  <c r="R487" i="4"/>
  <c r="I487" i="4"/>
  <c r="Y457" i="4"/>
  <c r="R446" i="4"/>
  <c r="V419" i="4"/>
  <c r="T369" i="4"/>
  <c r="Q333" i="4"/>
  <c r="O280" i="4"/>
  <c r="R149" i="4"/>
  <c r="I149" i="4"/>
  <c r="L130" i="4"/>
  <c r="Q107" i="4"/>
  <c r="F107" i="4"/>
  <c r="T22" i="4"/>
  <c r="Y2511" i="2"/>
  <c r="V2394" i="2"/>
  <c r="W2394" i="2" s="1"/>
  <c r="V2364" i="2"/>
  <c r="W2364" i="2" s="1"/>
  <c r="L2430" i="2"/>
  <c r="L2746" i="2" s="1"/>
  <c r="AA2125" i="2"/>
  <c r="AB2125" i="2" s="1"/>
  <c r="G2167" i="2"/>
  <c r="G2742" i="2" s="1"/>
  <c r="T1800" i="2"/>
  <c r="G1728" i="2"/>
  <c r="S1556" i="2"/>
  <c r="T1537" i="2"/>
  <c r="K1537" i="2"/>
  <c r="S1514" i="2"/>
  <c r="S2621" i="2" s="1"/>
  <c r="N1332" i="2"/>
  <c r="K1115" i="2"/>
  <c r="S1115" i="2"/>
  <c r="Z2642" i="2"/>
  <c r="M2641" i="2"/>
  <c r="AA2641" i="2" s="1"/>
  <c r="AB2641" i="2" s="1"/>
  <c r="X2641" i="2"/>
  <c r="Z2641" i="2" s="1"/>
  <c r="X2638" i="2"/>
  <c r="Z2638" i="2" s="1"/>
  <c r="M2638" i="2"/>
  <c r="AA2638" i="2" s="1"/>
  <c r="AB2638" i="2" s="1"/>
  <c r="X2622" i="2"/>
  <c r="Z2622" i="2" s="1"/>
  <c r="M2622" i="2"/>
  <c r="X2620" i="2"/>
  <c r="Z2620" i="2" s="1"/>
  <c r="U2620" i="2"/>
  <c r="AA2620" i="2" s="1"/>
  <c r="AB2620" i="2" s="1"/>
  <c r="Z2615" i="2"/>
  <c r="AB2615" i="2"/>
  <c r="X2588" i="2"/>
  <c r="Z2588" i="2" s="1"/>
  <c r="M2588" i="2"/>
  <c r="AA2588" i="2" s="1"/>
  <c r="AB2588" i="2" s="1"/>
  <c r="V2588" i="2"/>
  <c r="W2588" i="2" s="1"/>
  <c r="X2585" i="2"/>
  <c r="Z2585" i="2" s="1"/>
  <c r="M2585" i="2"/>
  <c r="AA2585" i="2" s="1"/>
  <c r="AB2585" i="2" s="1"/>
  <c r="V2585" i="2"/>
  <c r="W2585" i="2" s="1"/>
  <c r="V2583" i="2"/>
  <c r="W2583" i="2" s="1"/>
  <c r="U2583" i="2"/>
  <c r="AA2583" i="2" s="1"/>
  <c r="AB2583" i="2" s="1"/>
  <c r="X2583" i="2"/>
  <c r="Z2583" i="2" s="1"/>
  <c r="X2580" i="2"/>
  <c r="Z2580" i="2" s="1"/>
  <c r="M2580" i="2"/>
  <c r="AA2580" i="2" s="1"/>
  <c r="AB2580" i="2" s="1"/>
  <c r="V2580" i="2"/>
  <c r="W2580" i="2" s="1"/>
  <c r="X2565" i="2"/>
  <c r="Z2565" i="2" s="1"/>
  <c r="M2565" i="2"/>
  <c r="AA2565" i="2" s="1"/>
  <c r="AB2565" i="2" s="1"/>
  <c r="V2560" i="2"/>
  <c r="U2560" i="2"/>
  <c r="AA2560" i="2" s="1"/>
  <c r="AB2560" i="2" s="1"/>
  <c r="X2560" i="2"/>
  <c r="Z2560" i="2" s="1"/>
  <c r="E2572" i="2"/>
  <c r="W2560" i="2"/>
  <c r="V2555" i="2"/>
  <c r="W2555" i="2" s="1"/>
  <c r="U2555" i="2"/>
  <c r="AA2555" i="2" s="1"/>
  <c r="AB2555" i="2" s="1"/>
  <c r="X2555" i="2"/>
  <c r="Z2555" i="2" s="1"/>
  <c r="W2526" i="2"/>
  <c r="Z2526" i="2"/>
  <c r="E2509" i="2"/>
  <c r="V2476" i="2"/>
  <c r="W2476" i="2" s="1"/>
  <c r="X2476" i="2"/>
  <c r="Z2476" i="2" s="1"/>
  <c r="U2476" i="2"/>
  <c r="AA2476" i="2" s="1"/>
  <c r="AB2476" i="2" s="1"/>
  <c r="X2472" i="2"/>
  <c r="M2472" i="2"/>
  <c r="V2472" i="2"/>
  <c r="W2457" i="2"/>
  <c r="V2409" i="2"/>
  <c r="W2409" i="2" s="1"/>
  <c r="X2409" i="2"/>
  <c r="Z2409" i="2" s="1"/>
  <c r="U2403" i="2"/>
  <c r="AA2403" i="2" s="1"/>
  <c r="AB2403" i="2" s="1"/>
  <c r="X2403" i="2"/>
  <c r="Z2403" i="2" s="1"/>
  <c r="V2403" i="2"/>
  <c r="W2403" i="2" s="1"/>
  <c r="H2382" i="2"/>
  <c r="X2370" i="2"/>
  <c r="X2353" i="2"/>
  <c r="Z2353" i="2" s="1"/>
  <c r="M2353" i="2"/>
  <c r="AA2353" i="2" s="1"/>
  <c r="AB2353" i="2" s="1"/>
  <c r="V2353" i="2"/>
  <c r="W2353" i="2" s="1"/>
  <c r="V2348" i="2"/>
  <c r="W2348" i="2" s="1"/>
  <c r="U2348" i="2"/>
  <c r="X2348" i="2"/>
  <c r="Z2348" i="2" s="1"/>
  <c r="X2335" i="2"/>
  <c r="Z2335" i="2" s="1"/>
  <c r="M2335" i="2"/>
  <c r="AA2335" i="2" s="1"/>
  <c r="AB2335" i="2" s="1"/>
  <c r="V2326" i="2"/>
  <c r="W2326" i="2" s="1"/>
  <c r="X2326" i="2"/>
  <c r="Z2326" i="2" s="1"/>
  <c r="U2326" i="2"/>
  <c r="AA2326" i="2" s="1"/>
  <c r="AB2326" i="2" s="1"/>
  <c r="U2306" i="2"/>
  <c r="AA2306" i="2" s="1"/>
  <c r="AB2306" i="2" s="1"/>
  <c r="Q2306" i="2"/>
  <c r="X2306" i="2"/>
  <c r="Z2306" i="2" s="1"/>
  <c r="U2304" i="2"/>
  <c r="Q2304" i="2"/>
  <c r="P2312" i="2"/>
  <c r="M2287" i="2"/>
  <c r="AA2287" i="2" s="1"/>
  <c r="AB2287" i="2" s="1"/>
  <c r="X2287" i="2"/>
  <c r="Z2287" i="2" s="1"/>
  <c r="J2287" i="2"/>
  <c r="M2285" i="2"/>
  <c r="AA2285" i="2" s="1"/>
  <c r="AB2285" i="2" s="1"/>
  <c r="X2285" i="2"/>
  <c r="Z2285" i="2" s="1"/>
  <c r="U2272" i="2"/>
  <c r="Q2272" i="2"/>
  <c r="M2260" i="2"/>
  <c r="X2260" i="2"/>
  <c r="Z2260" i="2" s="1"/>
  <c r="J2260" i="2"/>
  <c r="Q2258" i="2"/>
  <c r="Z2258" i="2"/>
  <c r="E2277" i="2"/>
  <c r="U2240" i="2"/>
  <c r="AA2240" i="2" s="1"/>
  <c r="AB2240" i="2" s="1"/>
  <c r="Q2240" i="2"/>
  <c r="X2240" i="2"/>
  <c r="Z2240" i="2" s="1"/>
  <c r="E2250" i="2"/>
  <c r="Q2238" i="2"/>
  <c r="U2220" i="2"/>
  <c r="AA2220" i="2" s="1"/>
  <c r="AB2220" i="2" s="1"/>
  <c r="Q2220" i="2"/>
  <c r="Q2202" i="2"/>
  <c r="E2211" i="2"/>
  <c r="U2193" i="2"/>
  <c r="P2211" i="2"/>
  <c r="Q2193" i="2"/>
  <c r="U2177" i="2"/>
  <c r="Q2177" i="2"/>
  <c r="U2174" i="2"/>
  <c r="Q2174" i="2"/>
  <c r="P2188" i="2"/>
  <c r="U2160" i="2"/>
  <c r="AA2160" i="2" s="1"/>
  <c r="AB2160" i="2" s="1"/>
  <c r="Q2160" i="2"/>
  <c r="X2160" i="2"/>
  <c r="Z2160" i="2" s="1"/>
  <c r="M2158" i="2"/>
  <c r="AA2158" i="2" s="1"/>
  <c r="AB2158" i="2" s="1"/>
  <c r="X2158" i="2"/>
  <c r="Z2158" i="2" s="1"/>
  <c r="J2158" i="2"/>
  <c r="M2157" i="2"/>
  <c r="AA2157" i="2" s="1"/>
  <c r="AB2157" i="2" s="1"/>
  <c r="X2157" i="2"/>
  <c r="Z2157" i="2" s="1"/>
  <c r="U2146" i="2"/>
  <c r="Q2146" i="2"/>
  <c r="U2140" i="2"/>
  <c r="U2165" i="2" s="1"/>
  <c r="P2165" i="2"/>
  <c r="Q2126" i="2"/>
  <c r="M2114" i="2"/>
  <c r="AA2114" i="2" s="1"/>
  <c r="AB2114" i="2" s="1"/>
  <c r="X2114" i="2"/>
  <c r="Z2114" i="2" s="1"/>
  <c r="J2114" i="2"/>
  <c r="U2102" i="2"/>
  <c r="Q2102" i="2"/>
  <c r="U2099" i="2"/>
  <c r="P2118" i="2"/>
  <c r="Q2099" i="2"/>
  <c r="M2084" i="2"/>
  <c r="AA2084" i="2" s="1"/>
  <c r="AB2084" i="2" s="1"/>
  <c r="X2084" i="2"/>
  <c r="Z2084" i="2" s="1"/>
  <c r="J2084" i="2"/>
  <c r="P2072" i="2"/>
  <c r="X2058" i="2"/>
  <c r="Q2058" i="2"/>
  <c r="E2072" i="2"/>
  <c r="M2043" i="2"/>
  <c r="AA2043" i="2" s="1"/>
  <c r="AB2043" i="2" s="1"/>
  <c r="J2043" i="2"/>
  <c r="Z2042" i="2"/>
  <c r="U2029" i="2"/>
  <c r="Q2029" i="2"/>
  <c r="Z2009" i="2"/>
  <c r="Q2009" i="2"/>
  <c r="Q1981" i="2"/>
  <c r="U1981" i="2"/>
  <c r="AA1981" i="2" s="1"/>
  <c r="AB1981" i="2" s="1"/>
  <c r="X1981" i="2"/>
  <c r="Z1981" i="2" s="1"/>
  <c r="Q1979" i="2"/>
  <c r="V1938" i="2"/>
  <c r="W1938" i="2" s="1"/>
  <c r="X1938" i="2"/>
  <c r="Z1938" i="2" s="1"/>
  <c r="U1938" i="2"/>
  <c r="AA1938" i="2" s="1"/>
  <c r="AB1938" i="2" s="1"/>
  <c r="V1923" i="2"/>
  <c r="W1923" i="2" s="1"/>
  <c r="X1923" i="2"/>
  <c r="Z1923" i="2" s="1"/>
  <c r="W1902" i="2"/>
  <c r="Z1902" i="2"/>
  <c r="U1881" i="2"/>
  <c r="V1881" i="2"/>
  <c r="W1881" i="2" s="1"/>
  <c r="X1881" i="2"/>
  <c r="Z1881" i="2" s="1"/>
  <c r="E1883" i="2"/>
  <c r="U1860" i="2"/>
  <c r="Q1860" i="2"/>
  <c r="J1856" i="2"/>
  <c r="M1856" i="2"/>
  <c r="AA1856" i="2" s="1"/>
  <c r="AB1856" i="2" s="1"/>
  <c r="X1856" i="2"/>
  <c r="Z1856" i="2" s="1"/>
  <c r="J1823" i="2"/>
  <c r="M1823" i="2"/>
  <c r="X1823" i="2"/>
  <c r="H1847" i="2"/>
  <c r="M1811" i="2"/>
  <c r="AA1811" i="2" s="1"/>
  <c r="AB1811" i="2" s="1"/>
  <c r="X1811" i="2"/>
  <c r="Z1811" i="2" s="1"/>
  <c r="J1811" i="2"/>
  <c r="U1806" i="2"/>
  <c r="Q1806" i="2"/>
  <c r="P1820" i="2"/>
  <c r="Z1805" i="2"/>
  <c r="Q1805" i="2"/>
  <c r="E1820" i="2"/>
  <c r="Q1804" i="2"/>
  <c r="K1676" i="2"/>
  <c r="L1402" i="4"/>
  <c r="Z1375" i="4"/>
  <c r="L1309" i="4"/>
  <c r="I1281" i="4"/>
  <c r="L1244" i="4"/>
  <c r="R1188" i="4"/>
  <c r="I1188" i="4"/>
  <c r="T1166" i="4"/>
  <c r="I1129" i="4"/>
  <c r="R1129" i="4"/>
  <c r="T1106" i="4"/>
  <c r="L1106" i="4"/>
  <c r="Y1085" i="4"/>
  <c r="K1065" i="4"/>
  <c r="F1065" i="4"/>
  <c r="S1033" i="4"/>
  <c r="N1033" i="4"/>
  <c r="S1013" i="4"/>
  <c r="G947" i="4"/>
  <c r="N941" i="4"/>
  <c r="T922" i="4"/>
  <c r="L922" i="4"/>
  <c r="L895" i="4"/>
  <c r="L872" i="4"/>
  <c r="L844" i="4"/>
  <c r="I823" i="4"/>
  <c r="I802" i="4"/>
  <c r="X743" i="4"/>
  <c r="Z743" i="4" s="1"/>
  <c r="X714" i="4"/>
  <c r="Z714" i="4" s="1"/>
  <c r="O714" i="4"/>
  <c r="G691" i="4"/>
  <c r="E961" i="4"/>
  <c r="E2909" i="4" s="1"/>
  <c r="T607" i="4"/>
  <c r="L607" i="4"/>
  <c r="K589" i="4"/>
  <c r="L558" i="4"/>
  <c r="R545" i="4"/>
  <c r="I545" i="4"/>
  <c r="T535" i="4"/>
  <c r="K535" i="4"/>
  <c r="G535" i="4"/>
  <c r="Q522" i="4"/>
  <c r="S509" i="4"/>
  <c r="O509" i="4"/>
  <c r="R500" i="4"/>
  <c r="I500" i="4"/>
  <c r="N487" i="4"/>
  <c r="J487" i="4"/>
  <c r="L473" i="4"/>
  <c r="Q457" i="4"/>
  <c r="I457" i="4"/>
  <c r="O398" i="4"/>
  <c r="I369" i="4"/>
  <c r="L312" i="4"/>
  <c r="L280" i="4"/>
  <c r="E421" i="4"/>
  <c r="E2905" i="4" s="1"/>
  <c r="W235" i="4"/>
  <c r="O184" i="4"/>
  <c r="J184" i="4"/>
  <c r="S130" i="4"/>
  <c r="O130" i="4"/>
  <c r="R107" i="4"/>
  <c r="I107" i="4"/>
  <c r="T92" i="4"/>
  <c r="K92" i="4"/>
  <c r="G92" i="4"/>
  <c r="Y68" i="4"/>
  <c r="N68" i="4"/>
  <c r="J68" i="4"/>
  <c r="P132" i="4"/>
  <c r="X2680" i="2"/>
  <c r="Z2680" i="2" s="1"/>
  <c r="AA2655" i="2"/>
  <c r="AB2655" i="2" s="1"/>
  <c r="P2592" i="2"/>
  <c r="Z2569" i="2"/>
  <c r="AA2546" i="2"/>
  <c r="AB2546" i="2" s="1"/>
  <c r="W2458" i="2"/>
  <c r="W2453" i="2"/>
  <c r="X2309" i="2"/>
  <c r="Z2309" i="2" s="1"/>
  <c r="Q2231" i="2"/>
  <c r="AA2222" i="2"/>
  <c r="AB2222" i="2" s="1"/>
  <c r="AA2197" i="2"/>
  <c r="AB2197" i="2" s="1"/>
  <c r="Z2155" i="2"/>
  <c r="AA2082" i="2"/>
  <c r="AB2082" i="2" s="1"/>
  <c r="Q2028" i="2"/>
  <c r="L1749" i="2"/>
  <c r="O1710" i="2"/>
  <c r="G1605" i="2"/>
  <c r="S1464" i="2"/>
  <c r="S1466" i="2" s="1"/>
  <c r="S2734" i="2" s="1"/>
  <c r="L1274" i="2"/>
  <c r="N1185" i="2"/>
  <c r="L1079" i="2"/>
  <c r="E1190" i="4"/>
  <c r="E2911" i="4" s="1"/>
  <c r="M2675" i="2"/>
  <c r="AA2675" i="2" s="1"/>
  <c r="AB2675" i="2" s="1"/>
  <c r="X2675" i="2"/>
  <c r="Z2675" i="2" s="1"/>
  <c r="X2671" i="2"/>
  <c r="Z2671" i="2" s="1"/>
  <c r="M2671" i="2"/>
  <c r="AA2671" i="2" s="1"/>
  <c r="AB2671" i="2" s="1"/>
  <c r="X2670" i="2"/>
  <c r="Z2670" i="2" s="1"/>
  <c r="U2670" i="2"/>
  <c r="AA2670" i="2" s="1"/>
  <c r="AB2670" i="2" s="1"/>
  <c r="M2661" i="2"/>
  <c r="AA2661" i="2" s="1"/>
  <c r="X2661" i="2"/>
  <c r="Z2661" i="2" s="1"/>
  <c r="X2659" i="2"/>
  <c r="Z2659" i="2" s="1"/>
  <c r="U2659" i="2"/>
  <c r="AA2659" i="2" s="1"/>
  <c r="AB2659" i="2" s="1"/>
  <c r="X2625" i="2"/>
  <c r="Z2625" i="2" s="1"/>
  <c r="U2625" i="2"/>
  <c r="AA2625" i="2" s="1"/>
  <c r="AB2625" i="2" s="1"/>
  <c r="X2590" i="2"/>
  <c r="Z2590" i="2" s="1"/>
  <c r="M2590" i="2"/>
  <c r="AA2590" i="2" s="1"/>
  <c r="AB2590" i="2" s="1"/>
  <c r="V2590" i="2"/>
  <c r="W2590" i="2" s="1"/>
  <c r="X2582" i="2"/>
  <c r="Z2582" i="2" s="1"/>
  <c r="M2582" i="2"/>
  <c r="AA2582" i="2" s="1"/>
  <c r="AB2582" i="2" s="1"/>
  <c r="V2582" i="2"/>
  <c r="W2582" i="2" s="1"/>
  <c r="V2577" i="2"/>
  <c r="W2577" i="2" s="1"/>
  <c r="U2577" i="2"/>
  <c r="X2577" i="2"/>
  <c r="Z2577" i="2" s="1"/>
  <c r="V2567" i="2"/>
  <c r="U2567" i="2"/>
  <c r="AA2567" i="2" s="1"/>
  <c r="AB2567" i="2" s="1"/>
  <c r="X2567" i="2"/>
  <c r="Z2567" i="2" s="1"/>
  <c r="W2567" i="2"/>
  <c r="V2562" i="2"/>
  <c r="W2562" i="2" s="1"/>
  <c r="U2562" i="2"/>
  <c r="AA2562" i="2" s="1"/>
  <c r="AB2562" i="2" s="1"/>
  <c r="X2562" i="2"/>
  <c r="Z2562" i="2" s="1"/>
  <c r="V2557" i="2"/>
  <c r="W2557" i="2" s="1"/>
  <c r="U2557" i="2"/>
  <c r="AA2557" i="2" s="1"/>
  <c r="AB2557" i="2" s="1"/>
  <c r="X2557" i="2"/>
  <c r="Z2557" i="2" s="1"/>
  <c r="X2554" i="2"/>
  <c r="Z2554" i="2" s="1"/>
  <c r="M2554" i="2"/>
  <c r="AA2554" i="2" s="1"/>
  <c r="AB2554" i="2" s="1"/>
  <c r="V2539" i="2"/>
  <c r="W2539" i="2" s="1"/>
  <c r="X2539" i="2"/>
  <c r="Z2539" i="2" s="1"/>
  <c r="U2539" i="2"/>
  <c r="X2528" i="2"/>
  <c r="Z2528" i="2" s="1"/>
  <c r="V2528" i="2"/>
  <c r="W2528" i="2" s="1"/>
  <c r="V2520" i="2"/>
  <c r="W2520" i="2" s="1"/>
  <c r="X2520" i="2"/>
  <c r="Z2520" i="2" s="1"/>
  <c r="P2531" i="2"/>
  <c r="V2516" i="2"/>
  <c r="X2516" i="2"/>
  <c r="F2509" i="2"/>
  <c r="F2511" i="2" s="1"/>
  <c r="F2748" i="2" s="1"/>
  <c r="H2505" i="2"/>
  <c r="X2484" i="2"/>
  <c r="Z2484" i="2" s="1"/>
  <c r="M2484" i="2"/>
  <c r="AA2484" i="2" s="1"/>
  <c r="AB2484" i="2" s="1"/>
  <c r="X2482" i="2"/>
  <c r="Z2482" i="2" s="1"/>
  <c r="M2482" i="2"/>
  <c r="AA2482" i="2" s="1"/>
  <c r="AB2482" i="2" s="1"/>
  <c r="V2480" i="2"/>
  <c r="W2480" i="2" s="1"/>
  <c r="X2480" i="2"/>
  <c r="Z2480" i="2" s="1"/>
  <c r="U2480" i="2"/>
  <c r="AA2480" i="2" s="1"/>
  <c r="AB2480" i="2" s="1"/>
  <c r="Z2474" i="2"/>
  <c r="E2489" i="2"/>
  <c r="H2464" i="2"/>
  <c r="X2436" i="2"/>
  <c r="V2397" i="2"/>
  <c r="W2397" i="2" s="1"/>
  <c r="X2397" i="2"/>
  <c r="Z2397" i="2" s="1"/>
  <c r="V2389" i="2"/>
  <c r="W2389" i="2" s="1"/>
  <c r="X2389" i="2"/>
  <c r="Z2389" i="2" s="1"/>
  <c r="M2382" i="2"/>
  <c r="AA2370" i="2"/>
  <c r="V2363" i="2"/>
  <c r="W2363" i="2" s="1"/>
  <c r="X2363" i="2"/>
  <c r="Z2363" i="2" s="1"/>
  <c r="P2367" i="2"/>
  <c r="V2359" i="2"/>
  <c r="X2359" i="2"/>
  <c r="V2350" i="2"/>
  <c r="W2350" i="2" s="1"/>
  <c r="U2350" i="2"/>
  <c r="AA2350" i="2" s="1"/>
  <c r="AB2350" i="2" s="1"/>
  <c r="X2350" i="2"/>
  <c r="Z2350" i="2" s="1"/>
  <c r="X2347" i="2"/>
  <c r="Z2347" i="2" s="1"/>
  <c r="M2347" i="2"/>
  <c r="AA2347" i="2" s="1"/>
  <c r="AB2347" i="2" s="1"/>
  <c r="V2347" i="2"/>
  <c r="W2347" i="2" s="1"/>
  <c r="V2344" i="2"/>
  <c r="W2344" i="2" s="1"/>
  <c r="X2344" i="2"/>
  <c r="Z2344" i="2" s="1"/>
  <c r="U2344" i="2"/>
  <c r="AA2344" i="2" s="1"/>
  <c r="AB2344" i="2" s="1"/>
  <c r="V2330" i="2"/>
  <c r="W2330" i="2" s="1"/>
  <c r="X2330" i="2"/>
  <c r="Z2330" i="2" s="1"/>
  <c r="U2330" i="2"/>
  <c r="AA2330" i="2" s="1"/>
  <c r="AB2330" i="2" s="1"/>
  <c r="X2323" i="2"/>
  <c r="Z2323" i="2" s="1"/>
  <c r="M2323" i="2"/>
  <c r="AA2323" i="2" s="1"/>
  <c r="AB2323" i="2" s="1"/>
  <c r="M2307" i="2"/>
  <c r="AA2307" i="2" s="1"/>
  <c r="AB2307" i="2" s="1"/>
  <c r="X2307" i="2"/>
  <c r="Z2307" i="2" s="1"/>
  <c r="M2301" i="2"/>
  <c r="AA2301" i="2" s="1"/>
  <c r="AB2301" i="2" s="1"/>
  <c r="X2301" i="2"/>
  <c r="Z2301" i="2" s="1"/>
  <c r="J2301" i="2"/>
  <c r="J2312" i="2" s="1"/>
  <c r="M2299" i="2"/>
  <c r="AA2299" i="2" s="1"/>
  <c r="AB2299" i="2" s="1"/>
  <c r="X2299" i="2"/>
  <c r="Z2299" i="2" s="1"/>
  <c r="U2260" i="2"/>
  <c r="Q2260" i="2"/>
  <c r="M2259" i="2"/>
  <c r="AA2259" i="2" s="1"/>
  <c r="AB2259" i="2" s="1"/>
  <c r="X2259" i="2"/>
  <c r="Z2259" i="2" s="1"/>
  <c r="J2259" i="2"/>
  <c r="U2255" i="2"/>
  <c r="AA2255" i="2" s="1"/>
  <c r="AB2255" i="2" s="1"/>
  <c r="Q2255" i="2"/>
  <c r="X2255" i="2"/>
  <c r="Z2255" i="2" s="1"/>
  <c r="U2253" i="2"/>
  <c r="P2277" i="2"/>
  <c r="Q2253" i="2"/>
  <c r="M2246" i="2"/>
  <c r="X2246" i="2"/>
  <c r="Z2246" i="2" s="1"/>
  <c r="J2246" i="2"/>
  <c r="M2241" i="2"/>
  <c r="X2241" i="2"/>
  <c r="Z2241" i="2" s="1"/>
  <c r="M2238" i="2"/>
  <c r="X2238" i="2"/>
  <c r="J2238" i="2"/>
  <c r="H2250" i="2"/>
  <c r="M2231" i="2"/>
  <c r="AA2231" i="2" s="1"/>
  <c r="AB2231" i="2" s="1"/>
  <c r="X2231" i="2"/>
  <c r="Z2231" i="2" s="1"/>
  <c r="J2231" i="2"/>
  <c r="Q2224" i="2"/>
  <c r="Z2224" i="2"/>
  <c r="U2217" i="2"/>
  <c r="AA2217" i="2" s="1"/>
  <c r="AB2217" i="2" s="1"/>
  <c r="Q2217" i="2"/>
  <c r="X2217" i="2"/>
  <c r="Z2217" i="2" s="1"/>
  <c r="J2205" i="2"/>
  <c r="X2205" i="2"/>
  <c r="Z2205" i="2" s="1"/>
  <c r="F2211" i="2"/>
  <c r="H2199" i="2"/>
  <c r="H2211" i="2" s="1"/>
  <c r="M2191" i="2"/>
  <c r="X2191" i="2"/>
  <c r="M2183" i="2"/>
  <c r="X2183" i="2"/>
  <c r="Z2183" i="2" s="1"/>
  <c r="J2183" i="2"/>
  <c r="J2182" i="2"/>
  <c r="X2182" i="2"/>
  <c r="Z2182" i="2" s="1"/>
  <c r="M2155" i="2"/>
  <c r="AA2155" i="2" s="1"/>
  <c r="AB2155" i="2" s="1"/>
  <c r="J2155" i="2"/>
  <c r="Q2140" i="2"/>
  <c r="E2165" i="2"/>
  <c r="M2134" i="2"/>
  <c r="AA2134" i="2" s="1"/>
  <c r="AB2134" i="2" s="1"/>
  <c r="X2134" i="2"/>
  <c r="Z2134" i="2" s="1"/>
  <c r="J2134" i="2"/>
  <c r="F2137" i="2"/>
  <c r="H2130" i="2"/>
  <c r="M2126" i="2"/>
  <c r="AA2126" i="2" s="1"/>
  <c r="AB2126" i="2" s="1"/>
  <c r="X2126" i="2"/>
  <c r="Z2126" i="2" s="1"/>
  <c r="J2126" i="2"/>
  <c r="H2137" i="2"/>
  <c r="U2103" i="2"/>
  <c r="X2103" i="2"/>
  <c r="Z2103" i="2" s="1"/>
  <c r="Q2103" i="2"/>
  <c r="M2047" i="2"/>
  <c r="AA2047" i="2" s="1"/>
  <c r="AB2047" i="2" s="1"/>
  <c r="X2047" i="2"/>
  <c r="Z2047" i="2" s="1"/>
  <c r="J2047" i="2"/>
  <c r="Q2030" i="2"/>
  <c r="X2030" i="2"/>
  <c r="Z2030" i="2" s="1"/>
  <c r="U2030" i="2"/>
  <c r="J2028" i="2"/>
  <c r="M2028" i="2"/>
  <c r="AA2028" i="2" s="1"/>
  <c r="X2028" i="2"/>
  <c r="Z2028" i="2" s="1"/>
  <c r="M2026" i="2"/>
  <c r="AA2026" i="2" s="1"/>
  <c r="AB2026" i="2" s="1"/>
  <c r="X2026" i="2"/>
  <c r="Z2026" i="2" s="1"/>
  <c r="J2026" i="2"/>
  <c r="J2009" i="2"/>
  <c r="M2009" i="2"/>
  <c r="AA2009" i="2" s="1"/>
  <c r="AB2009" i="2" s="1"/>
  <c r="M2000" i="2"/>
  <c r="AA2000" i="2" s="1"/>
  <c r="AB2000" i="2" s="1"/>
  <c r="X2000" i="2"/>
  <c r="Z2000" i="2" s="1"/>
  <c r="J2000" i="2"/>
  <c r="J1976" i="2"/>
  <c r="M1976" i="2"/>
  <c r="AA1976" i="2" s="1"/>
  <c r="AB1976" i="2" s="1"/>
  <c r="X1976" i="2"/>
  <c r="Z1976" i="2" s="1"/>
  <c r="V1934" i="2"/>
  <c r="W1934" i="2" s="1"/>
  <c r="X1934" i="2"/>
  <c r="Z1934" i="2" s="1"/>
  <c r="U1934" i="2"/>
  <c r="M1919" i="2"/>
  <c r="AA1919" i="2" s="1"/>
  <c r="AB1919" i="2" s="1"/>
  <c r="X1919" i="2"/>
  <c r="Z1919" i="2" s="1"/>
  <c r="V1919" i="2"/>
  <c r="W1919" i="2" s="1"/>
  <c r="V1899" i="2"/>
  <c r="W1899" i="2" s="1"/>
  <c r="X1899" i="2"/>
  <c r="Z1899" i="2" s="1"/>
  <c r="U1899" i="2"/>
  <c r="AA1899" i="2" s="1"/>
  <c r="AB1899" i="2" s="1"/>
  <c r="V1896" i="2"/>
  <c r="W1896" i="2" s="1"/>
  <c r="X1896" i="2"/>
  <c r="Z1896" i="2" s="1"/>
  <c r="U1896" i="2"/>
  <c r="AA1896" i="2" s="1"/>
  <c r="AB1896" i="2" s="1"/>
  <c r="U1878" i="2"/>
  <c r="AA1878" i="2" s="1"/>
  <c r="AB1878" i="2" s="1"/>
  <c r="V1878" i="2"/>
  <c r="W1878" i="2" s="1"/>
  <c r="X1878" i="2"/>
  <c r="Z1878" i="2" s="1"/>
  <c r="U1876" i="2"/>
  <c r="V1876" i="2"/>
  <c r="W1876" i="2" s="1"/>
  <c r="X1876" i="2"/>
  <c r="Z1876" i="2" s="1"/>
  <c r="J1834" i="2"/>
  <c r="M1834" i="2"/>
  <c r="X1834" i="2"/>
  <c r="Z1834" i="2" s="1"/>
  <c r="U1823" i="2"/>
  <c r="P1847" i="2"/>
  <c r="Q1823" i="2"/>
  <c r="U1807" i="2"/>
  <c r="Q1807" i="2"/>
  <c r="M1804" i="2"/>
  <c r="AA1804" i="2" s="1"/>
  <c r="AB1804" i="2" s="1"/>
  <c r="J1804" i="2"/>
  <c r="X1804" i="2"/>
  <c r="H1820" i="2"/>
  <c r="L1375" i="4"/>
  <c r="L1281" i="4"/>
  <c r="X1214" i="4"/>
  <c r="Y1188" i="4"/>
  <c r="J1188" i="4"/>
  <c r="K1166" i="4"/>
  <c r="G1166" i="4"/>
  <c r="S1143" i="4"/>
  <c r="O1143" i="4"/>
  <c r="Y1129" i="4"/>
  <c r="N1129" i="4"/>
  <c r="Q1106" i="4"/>
  <c r="I1106" i="4"/>
  <c r="T1085" i="4"/>
  <c r="L1085" i="4"/>
  <c r="R1065" i="4"/>
  <c r="G1065" i="4"/>
  <c r="Y1049" i="4"/>
  <c r="O1033" i="4"/>
  <c r="J1033" i="4"/>
  <c r="O1013" i="4"/>
  <c r="J1013" i="4"/>
  <c r="I956" i="4"/>
  <c r="N947" i="4"/>
  <c r="O941" i="4"/>
  <c r="L781" i="4"/>
  <c r="G756" i="4"/>
  <c r="G743" i="4"/>
  <c r="X691" i="4"/>
  <c r="Z691" i="4" s="1"/>
  <c r="N691" i="4"/>
  <c r="Y661" i="4"/>
  <c r="N661" i="4"/>
  <c r="Y638" i="4"/>
  <c r="Y625" i="4"/>
  <c r="Z595" i="4"/>
  <c r="Q607" i="4"/>
  <c r="I607" i="4"/>
  <c r="R589" i="4"/>
  <c r="G589" i="4"/>
  <c r="Y570" i="4"/>
  <c r="Y545" i="4"/>
  <c r="J545" i="4"/>
  <c r="L535" i="4"/>
  <c r="R522" i="4"/>
  <c r="I522" i="4"/>
  <c r="T509" i="4"/>
  <c r="K509" i="4"/>
  <c r="G509" i="4"/>
  <c r="Y500" i="4"/>
  <c r="N500" i="4"/>
  <c r="J500" i="4"/>
  <c r="Y487" i="4"/>
  <c r="L333" i="4"/>
  <c r="Q312" i="4"/>
  <c r="S235" i="4"/>
  <c r="L235" i="4"/>
  <c r="G235" i="4"/>
  <c r="Y208" i="4"/>
  <c r="L208" i="4"/>
  <c r="K184" i="4"/>
  <c r="T166" i="4"/>
  <c r="T130" i="4"/>
  <c r="K130" i="4"/>
  <c r="G130" i="4"/>
  <c r="Y107" i="4"/>
  <c r="N107" i="4"/>
  <c r="J107" i="4"/>
  <c r="L92" i="4"/>
  <c r="X2662" i="2"/>
  <c r="Z2662" i="2" s="1"/>
  <c r="U2643" i="2"/>
  <c r="AA2643" i="2" s="1"/>
  <c r="AB2643" i="2" s="1"/>
  <c r="AA2569" i="2"/>
  <c r="AB2569" i="2" s="1"/>
  <c r="AA2564" i="2"/>
  <c r="AB2564" i="2" s="1"/>
  <c r="Q2289" i="2"/>
  <c r="Q2244" i="2"/>
  <c r="X2220" i="2"/>
  <c r="Z2220" i="2" s="1"/>
  <c r="X2202" i="2"/>
  <c r="Z2202" i="2" s="1"/>
  <c r="X2177" i="2"/>
  <c r="Z2177" i="2" s="1"/>
  <c r="X2174" i="2"/>
  <c r="AA2163" i="2"/>
  <c r="AB2163" i="2" s="1"/>
  <c r="AA2145" i="2"/>
  <c r="AB2145" i="2" s="1"/>
  <c r="Z2121" i="2"/>
  <c r="K2167" i="2"/>
  <c r="K2742" i="2" s="1"/>
  <c r="Q2116" i="2"/>
  <c r="U2058" i="2"/>
  <c r="AA2058" i="2" s="1"/>
  <c r="AB2058" i="2" s="1"/>
  <c r="Z2055" i="2"/>
  <c r="Z2037" i="2"/>
  <c r="I2167" i="2"/>
  <c r="I2742" i="2" s="1"/>
  <c r="G1589" i="2"/>
  <c r="S1573" i="2"/>
  <c r="N1306" i="2"/>
  <c r="Q941" i="2"/>
  <c r="Q943" i="2" s="1"/>
  <c r="X2639" i="2"/>
  <c r="Z2639" i="2" s="1"/>
  <c r="U2639" i="2"/>
  <c r="AA2639" i="2" s="1"/>
  <c r="AB2639" i="2" s="1"/>
  <c r="T2637" i="2"/>
  <c r="T2686" i="2" s="1"/>
  <c r="X2637" i="2"/>
  <c r="Z2637" i="2" s="1"/>
  <c r="U2628" i="2"/>
  <c r="AA2628" i="2" s="1"/>
  <c r="AB2628" i="2" s="1"/>
  <c r="X2628" i="2"/>
  <c r="Z2628" i="2" s="1"/>
  <c r="X2544" i="2"/>
  <c r="Z2544" i="2" s="1"/>
  <c r="M2544" i="2"/>
  <c r="AA2544" i="2" s="1"/>
  <c r="AB2544" i="2" s="1"/>
  <c r="V2543" i="2"/>
  <c r="W2543" i="2" s="1"/>
  <c r="U2543" i="2"/>
  <c r="AA2543" i="2" s="1"/>
  <c r="AB2543" i="2" s="1"/>
  <c r="V2535" i="2"/>
  <c r="W2535" i="2" s="1"/>
  <c r="P2549" i="2"/>
  <c r="X2534" i="2"/>
  <c r="H2549" i="2"/>
  <c r="W2523" i="2"/>
  <c r="W2506" i="2"/>
  <c r="AA2493" i="2"/>
  <c r="V2487" i="2"/>
  <c r="W2487" i="2" s="1"/>
  <c r="U2487" i="2"/>
  <c r="AA2487" i="2" s="1"/>
  <c r="AB2487" i="2" s="1"/>
  <c r="X2486" i="2"/>
  <c r="Z2486" i="2" s="1"/>
  <c r="M2486" i="2"/>
  <c r="AA2486" i="2" s="1"/>
  <c r="AB2486" i="2" s="1"/>
  <c r="V2485" i="2"/>
  <c r="W2485" i="2" s="1"/>
  <c r="U2485" i="2"/>
  <c r="AA2485" i="2" s="1"/>
  <c r="AB2485" i="2" s="1"/>
  <c r="X2481" i="2"/>
  <c r="Z2481" i="2" s="1"/>
  <c r="M2481" i="2"/>
  <c r="AA2481" i="2" s="1"/>
  <c r="AB2481" i="2" s="1"/>
  <c r="W2462" i="2"/>
  <c r="P2464" i="2"/>
  <c r="V2437" i="2"/>
  <c r="P2428" i="2"/>
  <c r="V2407" i="2"/>
  <c r="W2407" i="2" s="1"/>
  <c r="E2400" i="2"/>
  <c r="E2430" i="2" s="1"/>
  <c r="E2746" i="2" s="1"/>
  <c r="P2382" i="2"/>
  <c r="V2371" i="2"/>
  <c r="W2371" i="2" s="1"/>
  <c r="W2382" i="2" s="1"/>
  <c r="U2308" i="2"/>
  <c r="AA2308" i="2" s="1"/>
  <c r="AB2308" i="2" s="1"/>
  <c r="Q2308" i="2"/>
  <c r="M2303" i="2"/>
  <c r="AA2303" i="2" s="1"/>
  <c r="AB2303" i="2" s="1"/>
  <c r="X2303" i="2"/>
  <c r="Z2303" i="2" s="1"/>
  <c r="U2300" i="2"/>
  <c r="Q2300" i="2"/>
  <c r="U2286" i="2"/>
  <c r="AA2286" i="2" s="1"/>
  <c r="AB2286" i="2" s="1"/>
  <c r="Q2286" i="2"/>
  <c r="U2280" i="2"/>
  <c r="Q2280" i="2"/>
  <c r="M2268" i="2"/>
  <c r="AA2268" i="2" s="1"/>
  <c r="AB2268" i="2" s="1"/>
  <c r="X2268" i="2"/>
  <c r="Z2268" i="2" s="1"/>
  <c r="U2265" i="2"/>
  <c r="AA2265" i="2" s="1"/>
  <c r="AB2265" i="2" s="1"/>
  <c r="Q2265" i="2"/>
  <c r="M2261" i="2"/>
  <c r="AA2261" i="2" s="1"/>
  <c r="AB2261" i="2" s="1"/>
  <c r="X2261" i="2"/>
  <c r="Z2261" i="2" s="1"/>
  <c r="J2253" i="2"/>
  <c r="M2248" i="2"/>
  <c r="AA2248" i="2" s="1"/>
  <c r="AB2248" i="2" s="1"/>
  <c r="X2248" i="2"/>
  <c r="Z2248" i="2" s="1"/>
  <c r="J2248" i="2"/>
  <c r="U2238" i="2"/>
  <c r="P2250" i="2"/>
  <c r="M2229" i="2"/>
  <c r="AA2229" i="2" s="1"/>
  <c r="AB2229" i="2" s="1"/>
  <c r="X2229" i="2"/>
  <c r="Z2229" i="2" s="1"/>
  <c r="X2228" i="2"/>
  <c r="Z2228" i="2" s="1"/>
  <c r="U2228" i="2"/>
  <c r="AA2228" i="2" s="1"/>
  <c r="AB2228" i="2" s="1"/>
  <c r="M2227" i="2"/>
  <c r="AA2227" i="2" s="1"/>
  <c r="AB2227" i="2" s="1"/>
  <c r="J2227" i="2"/>
  <c r="X2227" i="2"/>
  <c r="Z2227" i="2" s="1"/>
  <c r="M2219" i="2"/>
  <c r="X2219" i="2"/>
  <c r="Z2219" i="2" s="1"/>
  <c r="F2235" i="2"/>
  <c r="H2215" i="2"/>
  <c r="Q2214" i="2"/>
  <c r="E2235" i="2"/>
  <c r="U2208" i="2"/>
  <c r="AA2208" i="2" s="1"/>
  <c r="AB2208" i="2" s="1"/>
  <c r="Q2208" i="2"/>
  <c r="M2206" i="2"/>
  <c r="AA2206" i="2" s="1"/>
  <c r="AB2206" i="2" s="1"/>
  <c r="X2206" i="2"/>
  <c r="Z2206" i="2" s="1"/>
  <c r="M2196" i="2"/>
  <c r="AA2196" i="2" s="1"/>
  <c r="AB2196" i="2" s="1"/>
  <c r="X2196" i="2"/>
  <c r="Z2196" i="2" s="1"/>
  <c r="J2196" i="2"/>
  <c r="M2194" i="2"/>
  <c r="AA2194" i="2" s="1"/>
  <c r="AB2194" i="2" s="1"/>
  <c r="X2194" i="2"/>
  <c r="Z2194" i="2" s="1"/>
  <c r="M2185" i="2"/>
  <c r="X2185" i="2"/>
  <c r="Z2185" i="2" s="1"/>
  <c r="U2180" i="2"/>
  <c r="AA2180" i="2" s="1"/>
  <c r="AB2180" i="2" s="1"/>
  <c r="Q2180" i="2"/>
  <c r="M2176" i="2"/>
  <c r="AA2176" i="2" s="1"/>
  <c r="AB2176" i="2" s="1"/>
  <c r="X2176" i="2"/>
  <c r="Z2176" i="2" s="1"/>
  <c r="Q2153" i="2"/>
  <c r="Z2153" i="2"/>
  <c r="M2151" i="2"/>
  <c r="AA2151" i="2" s="1"/>
  <c r="AB2151" i="2" s="1"/>
  <c r="X2151" i="2"/>
  <c r="Z2151" i="2" s="1"/>
  <c r="Q2149" i="2"/>
  <c r="Z2149" i="2"/>
  <c r="M2144" i="2"/>
  <c r="AA2144" i="2" s="1"/>
  <c r="AB2144" i="2" s="1"/>
  <c r="X2144" i="2"/>
  <c r="Z2144" i="2" s="1"/>
  <c r="J2144" i="2"/>
  <c r="Q2128" i="2"/>
  <c r="Z2128" i="2"/>
  <c r="M2122" i="2"/>
  <c r="AA2122" i="2" s="1"/>
  <c r="AB2122" i="2" s="1"/>
  <c r="X2122" i="2"/>
  <c r="AA2121" i="2"/>
  <c r="AB2121" i="2" s="1"/>
  <c r="M2111" i="2"/>
  <c r="AA2111" i="2" s="1"/>
  <c r="AB2111" i="2" s="1"/>
  <c r="X2111" i="2"/>
  <c r="Z2111" i="2" s="1"/>
  <c r="J2111" i="2"/>
  <c r="Q2108" i="2"/>
  <c r="M2106" i="2"/>
  <c r="AA2106" i="2" s="1"/>
  <c r="AB2106" i="2" s="1"/>
  <c r="X2106" i="2"/>
  <c r="Z2106" i="2" s="1"/>
  <c r="Q2083" i="2"/>
  <c r="Z2083" i="2"/>
  <c r="U2079" i="2"/>
  <c r="Q2079" i="2"/>
  <c r="Z2077" i="2"/>
  <c r="E2096" i="2"/>
  <c r="U2066" i="2"/>
  <c r="X2066" i="2"/>
  <c r="Z2066" i="2" s="1"/>
  <c r="Q2066" i="2"/>
  <c r="Q2062" i="2"/>
  <c r="X2062" i="2"/>
  <c r="Z2062" i="2" s="1"/>
  <c r="M2061" i="2"/>
  <c r="AA2061" i="2" s="1"/>
  <c r="AB2061" i="2" s="1"/>
  <c r="X2061" i="2"/>
  <c r="Z2061" i="2" s="1"/>
  <c r="J2061" i="2"/>
  <c r="Q2048" i="2"/>
  <c r="X2048" i="2"/>
  <c r="Z2048" i="2" s="1"/>
  <c r="U2048" i="2"/>
  <c r="AA2048" i="2" s="1"/>
  <c r="AB2048" i="2" s="1"/>
  <c r="M2046" i="2"/>
  <c r="AA2046" i="2" s="1"/>
  <c r="AB2046" i="2" s="1"/>
  <c r="X2046" i="2"/>
  <c r="Z2046" i="2" s="1"/>
  <c r="M2044" i="2"/>
  <c r="AA2044" i="2" s="1"/>
  <c r="AB2044" i="2" s="1"/>
  <c r="X2044" i="2"/>
  <c r="Z2044" i="2" s="1"/>
  <c r="M2042" i="2"/>
  <c r="AA2042" i="2" s="1"/>
  <c r="AB2042" i="2" s="1"/>
  <c r="J2042" i="2"/>
  <c r="X2034" i="2"/>
  <c r="Z2034" i="2" s="1"/>
  <c r="U2034" i="2"/>
  <c r="U2031" i="2"/>
  <c r="AA2031" i="2" s="1"/>
  <c r="AB2031" i="2" s="1"/>
  <c r="X2031" i="2"/>
  <c r="Z2031" i="2" s="1"/>
  <c r="Q2031" i="2"/>
  <c r="J2015" i="2"/>
  <c r="M2015" i="2"/>
  <c r="AA2015" i="2" s="1"/>
  <c r="AB2015" i="2" s="1"/>
  <c r="M2011" i="2"/>
  <c r="AA2011" i="2" s="1"/>
  <c r="AB2011" i="2" s="1"/>
  <c r="X2011" i="2"/>
  <c r="Z2011" i="2" s="1"/>
  <c r="J2011" i="2"/>
  <c r="J2010" i="2"/>
  <c r="M2010" i="2"/>
  <c r="AA2010" i="2" s="1"/>
  <c r="AB2010" i="2" s="1"/>
  <c r="X2010" i="2"/>
  <c r="Z2010" i="2" s="1"/>
  <c r="M2005" i="2"/>
  <c r="AA2005" i="2" s="1"/>
  <c r="AB2005" i="2" s="1"/>
  <c r="X2005" i="2"/>
  <c r="Z2005" i="2" s="1"/>
  <c r="U1999" i="2"/>
  <c r="X1999" i="2"/>
  <c r="Z1999" i="2" s="1"/>
  <c r="U1991" i="2"/>
  <c r="Q1991" i="2"/>
  <c r="M1982" i="2"/>
  <c r="AA1982" i="2" s="1"/>
  <c r="AB1982" i="2" s="1"/>
  <c r="X1982" i="2"/>
  <c r="Z1982" i="2" s="1"/>
  <c r="J1979" i="2"/>
  <c r="M1979" i="2"/>
  <c r="AA1979" i="2" s="1"/>
  <c r="AB1979" i="2" s="1"/>
  <c r="X1979" i="2"/>
  <c r="Z1979" i="2" s="1"/>
  <c r="Q1973" i="2"/>
  <c r="U1973" i="2"/>
  <c r="P1995" i="2"/>
  <c r="X1950" i="2"/>
  <c r="H1965" i="2"/>
  <c r="X1942" i="2"/>
  <c r="Z1942" i="2" s="1"/>
  <c r="M1942" i="2"/>
  <c r="AA1942" i="2" s="1"/>
  <c r="AB1942" i="2" s="1"/>
  <c r="X1935" i="2"/>
  <c r="Z1935" i="2" s="1"/>
  <c r="M1935" i="2"/>
  <c r="AB1924" i="2"/>
  <c r="E1927" i="2"/>
  <c r="U1918" i="2"/>
  <c r="AA1918" i="2" s="1"/>
  <c r="AB1918" i="2" s="1"/>
  <c r="V1918" i="2"/>
  <c r="W1918" i="2" s="1"/>
  <c r="X1918" i="2"/>
  <c r="Z1918" i="2" s="1"/>
  <c r="X1900" i="2"/>
  <c r="Z1900" i="2" s="1"/>
  <c r="U1900" i="2"/>
  <c r="AA1900" i="2" s="1"/>
  <c r="AB1900" i="2" s="1"/>
  <c r="W1897" i="2"/>
  <c r="Z1897" i="2"/>
  <c r="V1888" i="2"/>
  <c r="W1888" i="2" s="1"/>
  <c r="X1888" i="2"/>
  <c r="Z1888" i="2" s="1"/>
  <c r="U1888" i="2"/>
  <c r="U1880" i="2"/>
  <c r="AA1880" i="2" s="1"/>
  <c r="AB1880" i="2" s="1"/>
  <c r="V1880" i="2"/>
  <c r="W1880" i="2" s="1"/>
  <c r="X1880" i="2"/>
  <c r="Z1880" i="2" s="1"/>
  <c r="M1877" i="2"/>
  <c r="AA1877" i="2" s="1"/>
  <c r="AB1877" i="2" s="1"/>
  <c r="X1877" i="2"/>
  <c r="Z1877" i="2" s="1"/>
  <c r="V1877" i="2"/>
  <c r="W1877" i="2" s="1"/>
  <c r="U1872" i="2"/>
  <c r="V1872" i="2"/>
  <c r="W1872" i="2" s="1"/>
  <c r="P1883" i="2"/>
  <c r="X1872" i="2"/>
  <c r="Z1872" i="2" s="1"/>
  <c r="U1854" i="2"/>
  <c r="Q1854" i="2"/>
  <c r="Z1850" i="2"/>
  <c r="AA1850" i="2"/>
  <c r="J1839" i="2"/>
  <c r="M1839" i="2"/>
  <c r="X1839" i="2"/>
  <c r="Z1839" i="2" s="1"/>
  <c r="U1834" i="2"/>
  <c r="Q1834" i="2"/>
  <c r="Q1833" i="2"/>
  <c r="J1827" i="2"/>
  <c r="M1827" i="2"/>
  <c r="AA1827" i="2" s="1"/>
  <c r="AB1827" i="2" s="1"/>
  <c r="X1827" i="2"/>
  <c r="Z1827" i="2" s="1"/>
  <c r="Q1815" i="2"/>
  <c r="X2648" i="2"/>
  <c r="Z2648" i="2" s="1"/>
  <c r="X2640" i="2"/>
  <c r="Z2640" i="2" s="1"/>
  <c r="X2632" i="2"/>
  <c r="Z2632" i="2" s="1"/>
  <c r="W2586" i="2"/>
  <c r="W2576" i="2"/>
  <c r="AA2541" i="2"/>
  <c r="AB2541" i="2" s="1"/>
  <c r="AA2537" i="2"/>
  <c r="AB2537" i="2" s="1"/>
  <c r="V2527" i="2"/>
  <c r="W2527" i="2" s="1"/>
  <c r="X2525" i="2"/>
  <c r="Z2525" i="2" s="1"/>
  <c r="X2506" i="2"/>
  <c r="Z2506" i="2" s="1"/>
  <c r="Q2511" i="2"/>
  <c r="Q2748" i="2" s="1"/>
  <c r="I2511" i="2"/>
  <c r="I2748" i="2" s="1"/>
  <c r="AA2478" i="2"/>
  <c r="AB2478" i="2" s="1"/>
  <c r="AA2474" i="2"/>
  <c r="AB2474" i="2" s="1"/>
  <c r="X2462" i="2"/>
  <c r="Z2462" i="2" s="1"/>
  <c r="AA2461" i="2"/>
  <c r="AA2342" i="2"/>
  <c r="AB2342" i="2" s="1"/>
  <c r="AA2336" i="2"/>
  <c r="AB2336" i="2" s="1"/>
  <c r="AA2328" i="2"/>
  <c r="AB2328" i="2" s="1"/>
  <c r="AA2324" i="2"/>
  <c r="AB2324" i="2" s="1"/>
  <c r="Z2271" i="2"/>
  <c r="AA2257" i="2"/>
  <c r="AB2257" i="2" s="1"/>
  <c r="AA2242" i="2"/>
  <c r="AB2242" i="2" s="1"/>
  <c r="O2314" i="2"/>
  <c r="O2744" i="2" s="1"/>
  <c r="AA2201" i="2"/>
  <c r="AB2201" i="2" s="1"/>
  <c r="AA2192" i="2"/>
  <c r="AB2192" i="2" s="1"/>
  <c r="E2188" i="2"/>
  <c r="X2156" i="2"/>
  <c r="Z2156" i="2" s="1"/>
  <c r="AA2153" i="2"/>
  <c r="AB2153" i="2" s="1"/>
  <c r="AA2150" i="2"/>
  <c r="AA2149" i="2"/>
  <c r="AB2149" i="2" s="1"/>
  <c r="AA2128" i="2"/>
  <c r="AB2128" i="2" s="1"/>
  <c r="V2167" i="2"/>
  <c r="V2742" i="2" s="1"/>
  <c r="H2072" i="2"/>
  <c r="Z2041" i="2"/>
  <c r="Q2034" i="2"/>
  <c r="L2167" i="2"/>
  <c r="L2742" i="2" s="1"/>
  <c r="X2002" i="2"/>
  <c r="Z2002" i="2" s="1"/>
  <c r="AA2001" i="2"/>
  <c r="AB2001" i="2" s="1"/>
  <c r="X1924" i="2"/>
  <c r="Z1924" i="2" s="1"/>
  <c r="M1904" i="2"/>
  <c r="AA1809" i="2"/>
  <c r="AB1809" i="2" s="1"/>
  <c r="L1800" i="2"/>
  <c r="I1749" i="2"/>
  <c r="G1710" i="2"/>
  <c r="V1693" i="2"/>
  <c r="F1676" i="2"/>
  <c r="AA1676" i="2" s="1"/>
  <c r="G1667" i="2"/>
  <c r="L1645" i="2"/>
  <c r="T1556" i="2"/>
  <c r="K1556" i="2"/>
  <c r="L1537" i="2"/>
  <c r="L1492" i="2"/>
  <c r="N1395" i="2"/>
  <c r="G1362" i="2"/>
  <c r="S1135" i="2"/>
  <c r="G1135" i="2"/>
  <c r="O1115" i="2"/>
  <c r="J1115" i="2"/>
  <c r="O1093" i="2"/>
  <c r="J1093" i="2"/>
  <c r="S968" i="2"/>
  <c r="L968" i="2"/>
  <c r="T898" i="2"/>
  <c r="Y768" i="2"/>
  <c r="X2570" i="2"/>
  <c r="Z2570" i="2" s="1"/>
  <c r="M2570" i="2"/>
  <c r="AA2570" i="2" s="1"/>
  <c r="AB2570" i="2" s="1"/>
  <c r="X2547" i="2"/>
  <c r="Z2547" i="2" s="1"/>
  <c r="M2547" i="2"/>
  <c r="AA2547" i="2" s="1"/>
  <c r="AB2547" i="2" s="1"/>
  <c r="K2468" i="2"/>
  <c r="K2511" i="2" s="1"/>
  <c r="K2748" i="2" s="1"/>
  <c r="L2466" i="2"/>
  <c r="L2468" i="2" s="1"/>
  <c r="L2511" i="2" s="1"/>
  <c r="L2748" i="2" s="1"/>
  <c r="W2461" i="2"/>
  <c r="AB2461" i="2"/>
  <c r="V2460" i="2"/>
  <c r="W2460" i="2" s="1"/>
  <c r="U2460" i="2"/>
  <c r="AA2460" i="2" s="1"/>
  <c r="AB2460" i="2" s="1"/>
  <c r="V2459" i="2"/>
  <c r="W2459" i="2" s="1"/>
  <c r="U2459" i="2"/>
  <c r="AA2459" i="2" s="1"/>
  <c r="AB2459" i="2" s="1"/>
  <c r="X2458" i="2"/>
  <c r="Z2458" i="2" s="1"/>
  <c r="M2458" i="2"/>
  <c r="AA2458" i="2" s="1"/>
  <c r="X2457" i="2"/>
  <c r="Z2457" i="2" s="1"/>
  <c r="M2457" i="2"/>
  <c r="AA2457" i="2" s="1"/>
  <c r="AB2457" i="2" s="1"/>
  <c r="V2456" i="2"/>
  <c r="W2456" i="2" s="1"/>
  <c r="U2456" i="2"/>
  <c r="AA2456" i="2" s="1"/>
  <c r="AB2456" i="2" s="1"/>
  <c r="X2455" i="2"/>
  <c r="Z2455" i="2" s="1"/>
  <c r="M2455" i="2"/>
  <c r="AA2455" i="2" s="1"/>
  <c r="AB2455" i="2" s="1"/>
  <c r="V2454" i="2"/>
  <c r="U2454" i="2"/>
  <c r="AA2454" i="2" s="1"/>
  <c r="AB2454" i="2" s="1"/>
  <c r="X2453" i="2"/>
  <c r="Z2453" i="2" s="1"/>
  <c r="M2453" i="2"/>
  <c r="X2452" i="2"/>
  <c r="Z2452" i="2" s="1"/>
  <c r="M2452" i="2"/>
  <c r="AA2452" i="2" s="1"/>
  <c r="AB2452" i="2" s="1"/>
  <c r="V2451" i="2"/>
  <c r="W2451" i="2" s="1"/>
  <c r="U2451" i="2"/>
  <c r="AA2451" i="2" s="1"/>
  <c r="AB2451" i="2" s="1"/>
  <c r="X2450" i="2"/>
  <c r="Z2450" i="2" s="1"/>
  <c r="M2450" i="2"/>
  <c r="AA2450" i="2" s="1"/>
  <c r="AB2450" i="2" s="1"/>
  <c r="V2449" i="2"/>
  <c r="W2449" i="2" s="1"/>
  <c r="U2449" i="2"/>
  <c r="AA2449" i="2" s="1"/>
  <c r="AB2449" i="2" s="1"/>
  <c r="X2448" i="2"/>
  <c r="Z2448" i="2" s="1"/>
  <c r="M2448" i="2"/>
  <c r="AA2448" i="2" s="1"/>
  <c r="AB2448" i="2" s="1"/>
  <c r="V2447" i="2"/>
  <c r="W2447" i="2" s="1"/>
  <c r="U2447" i="2"/>
  <c r="AA2447" i="2" s="1"/>
  <c r="AB2447" i="2" s="1"/>
  <c r="X2446" i="2"/>
  <c r="Z2446" i="2" s="1"/>
  <c r="M2446" i="2"/>
  <c r="AA2446" i="2" s="1"/>
  <c r="AB2446" i="2" s="1"/>
  <c r="V2445" i="2"/>
  <c r="W2445" i="2" s="1"/>
  <c r="U2445" i="2"/>
  <c r="AA2445" i="2" s="1"/>
  <c r="AB2445" i="2" s="1"/>
  <c r="W2426" i="2"/>
  <c r="AB2426" i="2"/>
  <c r="V2425" i="2"/>
  <c r="W2425" i="2" s="1"/>
  <c r="U2425" i="2"/>
  <c r="AA2425" i="2" s="1"/>
  <c r="AB2425" i="2" s="1"/>
  <c r="X2424" i="2"/>
  <c r="Z2424" i="2" s="1"/>
  <c r="M2424" i="2"/>
  <c r="AA2424" i="2" s="1"/>
  <c r="AB2424" i="2" s="1"/>
  <c r="V2423" i="2"/>
  <c r="W2423" i="2" s="1"/>
  <c r="U2423" i="2"/>
  <c r="AA2423" i="2" s="1"/>
  <c r="AB2423" i="2" s="1"/>
  <c r="X2422" i="2"/>
  <c r="Z2422" i="2" s="1"/>
  <c r="M2422" i="2"/>
  <c r="AA2422" i="2" s="1"/>
  <c r="AB2422" i="2" s="1"/>
  <c r="V2421" i="2"/>
  <c r="W2421" i="2" s="1"/>
  <c r="U2421" i="2"/>
  <c r="AA2421" i="2" s="1"/>
  <c r="AB2421" i="2" s="1"/>
  <c r="X2420" i="2"/>
  <c r="Z2420" i="2" s="1"/>
  <c r="M2420" i="2"/>
  <c r="AA2420" i="2" s="1"/>
  <c r="AB2420" i="2" s="1"/>
  <c r="V2419" i="2"/>
  <c r="W2419" i="2" s="1"/>
  <c r="U2419" i="2"/>
  <c r="AA2419" i="2" s="1"/>
  <c r="AB2419" i="2" s="1"/>
  <c r="X2418" i="2"/>
  <c r="Z2418" i="2" s="1"/>
  <c r="M2418" i="2"/>
  <c r="AA2418" i="2" s="1"/>
  <c r="X2417" i="2"/>
  <c r="Z2417" i="2" s="1"/>
  <c r="M2417" i="2"/>
  <c r="AA2417" i="2" s="1"/>
  <c r="AB2417" i="2" s="1"/>
  <c r="V2416" i="2"/>
  <c r="W2416" i="2" s="1"/>
  <c r="U2416" i="2"/>
  <c r="AA2416" i="2" s="1"/>
  <c r="AB2416" i="2" s="1"/>
  <c r="X2415" i="2"/>
  <c r="Z2415" i="2" s="1"/>
  <c r="M2415" i="2"/>
  <c r="AA2415" i="2" s="1"/>
  <c r="AB2415" i="2" s="1"/>
  <c r="V2414" i="2"/>
  <c r="W2414" i="2" s="1"/>
  <c r="U2414" i="2"/>
  <c r="AA2414" i="2" s="1"/>
  <c r="AB2414" i="2" s="1"/>
  <c r="X2413" i="2"/>
  <c r="Z2413" i="2" s="1"/>
  <c r="M2413" i="2"/>
  <c r="AA2413" i="2" s="1"/>
  <c r="AB2413" i="2" s="1"/>
  <c r="X2412" i="2"/>
  <c r="Z2412" i="2" s="1"/>
  <c r="M2412" i="2"/>
  <c r="AA2412" i="2" s="1"/>
  <c r="AB2412" i="2" s="1"/>
  <c r="V2411" i="2"/>
  <c r="W2411" i="2" s="1"/>
  <c r="U2411" i="2"/>
  <c r="F2400" i="2"/>
  <c r="F2430" i="2" s="1"/>
  <c r="F2746" i="2" s="1"/>
  <c r="H2385" i="2"/>
  <c r="H2338" i="2"/>
  <c r="X2321" i="2"/>
  <c r="M2310" i="2"/>
  <c r="AA2310" i="2" s="1"/>
  <c r="AB2310" i="2" s="1"/>
  <c r="X2310" i="2"/>
  <c r="Z2310" i="2" s="1"/>
  <c r="M2305" i="2"/>
  <c r="AA2305" i="2" s="1"/>
  <c r="AB2305" i="2" s="1"/>
  <c r="X2305" i="2"/>
  <c r="Z2305" i="2" s="1"/>
  <c r="U2302" i="2"/>
  <c r="AA2302" i="2" s="1"/>
  <c r="AB2302" i="2" s="1"/>
  <c r="Q2302" i="2"/>
  <c r="X2291" i="2"/>
  <c r="Z2291" i="2" s="1"/>
  <c r="U2291" i="2"/>
  <c r="AA2291" i="2" s="1"/>
  <c r="AB2291" i="2" s="1"/>
  <c r="M2289" i="2"/>
  <c r="AA2289" i="2" s="1"/>
  <c r="AB2289" i="2" s="1"/>
  <c r="X2289" i="2"/>
  <c r="Z2289" i="2" s="1"/>
  <c r="J2289" i="2"/>
  <c r="U2288" i="2"/>
  <c r="AA2288" i="2" s="1"/>
  <c r="AB2288" i="2" s="1"/>
  <c r="Q2288" i="2"/>
  <c r="M2283" i="2"/>
  <c r="AA2283" i="2" s="1"/>
  <c r="AB2283" i="2" s="1"/>
  <c r="X2283" i="2"/>
  <c r="Z2283" i="2" s="1"/>
  <c r="U2275" i="2"/>
  <c r="AA2275" i="2" s="1"/>
  <c r="AB2275" i="2" s="1"/>
  <c r="Q2275" i="2"/>
  <c r="Q2273" i="2"/>
  <c r="U2267" i="2"/>
  <c r="AA2267" i="2" s="1"/>
  <c r="AB2267" i="2" s="1"/>
  <c r="Q2267" i="2"/>
  <c r="M2262" i="2"/>
  <c r="AA2262" i="2" s="1"/>
  <c r="AB2262" i="2" s="1"/>
  <c r="X2262" i="2"/>
  <c r="Z2262" i="2" s="1"/>
  <c r="M2254" i="2"/>
  <c r="X2254" i="2"/>
  <c r="Z2254" i="2" s="1"/>
  <c r="M2239" i="2"/>
  <c r="AA2239" i="2" s="1"/>
  <c r="AB2239" i="2" s="1"/>
  <c r="X2239" i="2"/>
  <c r="Z2239" i="2" s="1"/>
  <c r="M2233" i="2"/>
  <c r="AA2233" i="2" s="1"/>
  <c r="AB2233" i="2" s="1"/>
  <c r="X2233" i="2"/>
  <c r="Z2233" i="2" s="1"/>
  <c r="X2232" i="2"/>
  <c r="Z2232" i="2" s="1"/>
  <c r="U2232" i="2"/>
  <c r="AA2232" i="2" s="1"/>
  <c r="AB2232" i="2" s="1"/>
  <c r="Q2223" i="2"/>
  <c r="M2221" i="2"/>
  <c r="AA2221" i="2" s="1"/>
  <c r="AB2221" i="2" s="1"/>
  <c r="X2221" i="2"/>
  <c r="Z2221" i="2" s="1"/>
  <c r="M2216" i="2"/>
  <c r="AA2216" i="2" s="1"/>
  <c r="AB2216" i="2" s="1"/>
  <c r="X2216" i="2"/>
  <c r="Z2216" i="2" s="1"/>
  <c r="AB2205" i="2"/>
  <c r="Q2205" i="2"/>
  <c r="AB2203" i="2"/>
  <c r="Q2203" i="2"/>
  <c r="M2198" i="2"/>
  <c r="AA2198" i="2" s="1"/>
  <c r="AB2198" i="2" s="1"/>
  <c r="X2198" i="2"/>
  <c r="Z2198" i="2" s="1"/>
  <c r="J2198" i="2"/>
  <c r="U2184" i="2"/>
  <c r="AA2184" i="2" s="1"/>
  <c r="AB2184" i="2" s="1"/>
  <c r="Q2184" i="2"/>
  <c r="AB2182" i="2"/>
  <c r="Q2182" i="2"/>
  <c r="M2178" i="2"/>
  <c r="AA2178" i="2" s="1"/>
  <c r="AB2178" i="2" s="1"/>
  <c r="X2178" i="2"/>
  <c r="Z2178" i="2" s="1"/>
  <c r="M2159" i="2"/>
  <c r="X2159" i="2"/>
  <c r="Z2159" i="2" s="1"/>
  <c r="M2154" i="2"/>
  <c r="AA2154" i="2" s="1"/>
  <c r="AB2154" i="2" s="1"/>
  <c r="X2154" i="2"/>
  <c r="Z2154" i="2" s="1"/>
  <c r="J2154" i="2"/>
  <c r="AB2150" i="2"/>
  <c r="Q2150" i="2"/>
  <c r="F2165" i="2"/>
  <c r="H2146" i="2"/>
  <c r="M2135" i="2"/>
  <c r="AA2135" i="2" s="1"/>
  <c r="AB2135" i="2" s="1"/>
  <c r="X2135" i="2"/>
  <c r="Z2135" i="2" s="1"/>
  <c r="M2129" i="2"/>
  <c r="AA2129" i="2" s="1"/>
  <c r="AB2129" i="2" s="1"/>
  <c r="X2129" i="2"/>
  <c r="Z2129" i="2" s="1"/>
  <c r="J2129" i="2"/>
  <c r="M2124" i="2"/>
  <c r="AA2124" i="2" s="1"/>
  <c r="AB2124" i="2" s="1"/>
  <c r="X2124" i="2"/>
  <c r="Z2124" i="2" s="1"/>
  <c r="Q2121" i="2"/>
  <c r="E2137" i="2"/>
  <c r="M2116" i="2"/>
  <c r="AA2116" i="2" s="1"/>
  <c r="AB2116" i="2" s="1"/>
  <c r="X2116" i="2"/>
  <c r="Z2116" i="2" s="1"/>
  <c r="J2116" i="2"/>
  <c r="U2115" i="2"/>
  <c r="AA2115" i="2" s="1"/>
  <c r="AB2115" i="2" s="1"/>
  <c r="Q2115" i="2"/>
  <c r="Q2110" i="2"/>
  <c r="X2110" i="2"/>
  <c r="Z2110" i="2" s="1"/>
  <c r="M2109" i="2"/>
  <c r="AA2109" i="2" s="1"/>
  <c r="AB2109" i="2" s="1"/>
  <c r="X2109" i="2"/>
  <c r="Z2109" i="2" s="1"/>
  <c r="J2109" i="2"/>
  <c r="M2108" i="2"/>
  <c r="AA2108" i="2" s="1"/>
  <c r="AB2108" i="2" s="1"/>
  <c r="J2108" i="2"/>
  <c r="X2108" i="2"/>
  <c r="Z2108" i="2" s="1"/>
  <c r="M2099" i="2"/>
  <c r="X2099" i="2"/>
  <c r="J2099" i="2"/>
  <c r="H2118" i="2"/>
  <c r="U2092" i="2"/>
  <c r="AA2092" i="2" s="1"/>
  <c r="AB2092" i="2" s="1"/>
  <c r="X2092" i="2"/>
  <c r="Z2092" i="2" s="1"/>
  <c r="Q2092" i="2"/>
  <c r="X2088" i="2"/>
  <c r="Z2088" i="2" s="1"/>
  <c r="U2088" i="2"/>
  <c r="AA2088" i="2" s="1"/>
  <c r="AB2088" i="2" s="1"/>
  <c r="Q2076" i="2"/>
  <c r="X2076" i="2"/>
  <c r="Z2076" i="2" s="1"/>
  <c r="P2096" i="2"/>
  <c r="M2075" i="2"/>
  <c r="X2075" i="2"/>
  <c r="J2075" i="2"/>
  <c r="H2096" i="2"/>
  <c r="M2070" i="2"/>
  <c r="AA2070" i="2" s="1"/>
  <c r="AB2070" i="2" s="1"/>
  <c r="X2070" i="2"/>
  <c r="Z2070" i="2" s="1"/>
  <c r="J2070" i="2"/>
  <c r="U2065" i="2"/>
  <c r="AA2065" i="2" s="1"/>
  <c r="AB2065" i="2" s="1"/>
  <c r="X2065" i="2"/>
  <c r="Z2065" i="2" s="1"/>
  <c r="Q2060" i="2"/>
  <c r="X2060" i="2"/>
  <c r="Z2060" i="2" s="1"/>
  <c r="M2059" i="2"/>
  <c r="AA2059" i="2" s="1"/>
  <c r="AB2059" i="2" s="1"/>
  <c r="X2059" i="2"/>
  <c r="Z2059" i="2" s="1"/>
  <c r="J2059" i="2"/>
  <c r="U2039" i="2"/>
  <c r="AA2039" i="2" s="1"/>
  <c r="AB2039" i="2" s="1"/>
  <c r="X2039" i="2"/>
  <c r="Z2039" i="2" s="1"/>
  <c r="Q2039" i="2"/>
  <c r="J2038" i="2"/>
  <c r="M2038" i="2"/>
  <c r="AA2038" i="2" s="1"/>
  <c r="AB2038" i="2" s="1"/>
  <c r="X2038" i="2"/>
  <c r="Z2038" i="2" s="1"/>
  <c r="AB2028" i="2"/>
  <c r="E2052" i="2"/>
  <c r="J2027" i="2"/>
  <c r="M2027" i="2"/>
  <c r="AA2027" i="2" s="1"/>
  <c r="AB2027" i="2" s="1"/>
  <c r="U2019" i="2"/>
  <c r="Q2019" i="2"/>
  <c r="M2016" i="2"/>
  <c r="AA2016" i="2" s="1"/>
  <c r="AB2016" i="2" s="1"/>
  <c r="X2016" i="2"/>
  <c r="Z2016" i="2" s="1"/>
  <c r="J2016" i="2"/>
  <c r="F2021" i="2"/>
  <c r="H2004" i="2"/>
  <c r="H2021" i="2" s="1"/>
  <c r="M1998" i="2"/>
  <c r="X1998" i="2"/>
  <c r="J1998" i="2"/>
  <c r="M1989" i="2"/>
  <c r="AA1989" i="2" s="1"/>
  <c r="AB1989" i="2" s="1"/>
  <c r="X1989" i="2"/>
  <c r="Z1989" i="2" s="1"/>
  <c r="J1989" i="2"/>
  <c r="M1965" i="2"/>
  <c r="AA1950" i="2"/>
  <c r="X1939" i="2"/>
  <c r="Z1939" i="2" s="1"/>
  <c r="M1939" i="2"/>
  <c r="AA1939" i="2" s="1"/>
  <c r="AB1939" i="2" s="1"/>
  <c r="P1931" i="2"/>
  <c r="X1931" i="2" s="1"/>
  <c r="N1947" i="2"/>
  <c r="N1967" i="2" s="1"/>
  <c r="N2740" i="2" s="1"/>
  <c r="V1911" i="2"/>
  <c r="W1911" i="2" s="1"/>
  <c r="X1911" i="2"/>
  <c r="Z1911" i="2" s="1"/>
  <c r="U1911" i="2"/>
  <c r="AA1911" i="2" s="1"/>
  <c r="AB1911" i="2" s="1"/>
  <c r="V1892" i="2"/>
  <c r="W1892" i="2" s="1"/>
  <c r="X1892" i="2"/>
  <c r="Z1892" i="2" s="1"/>
  <c r="U1892" i="2"/>
  <c r="AA1892" i="2" s="1"/>
  <c r="AB1892" i="2" s="1"/>
  <c r="E1904" i="2"/>
  <c r="E1967" i="2" s="1"/>
  <c r="E2740" i="2" s="1"/>
  <c r="Z1886" i="2"/>
  <c r="M1879" i="2"/>
  <c r="AA1879" i="2" s="1"/>
  <c r="AB1879" i="2" s="1"/>
  <c r="X1879" i="2"/>
  <c r="Z1879" i="2" s="1"/>
  <c r="V1879" i="2"/>
  <c r="W1879" i="2" s="1"/>
  <c r="U1874" i="2"/>
  <c r="V1874" i="2"/>
  <c r="W1874" i="2" s="1"/>
  <c r="X1874" i="2"/>
  <c r="Z1874" i="2" s="1"/>
  <c r="M1871" i="2"/>
  <c r="X1871" i="2"/>
  <c r="V1871" i="2"/>
  <c r="H1883" i="2"/>
  <c r="U1839" i="2"/>
  <c r="Q1839" i="2"/>
  <c r="J1838" i="2"/>
  <c r="M1838" i="2"/>
  <c r="AA1838" i="2" s="1"/>
  <c r="X1838" i="2"/>
  <c r="Z1838" i="2" s="1"/>
  <c r="J1833" i="2"/>
  <c r="M1833" i="2"/>
  <c r="AA1833" i="2" s="1"/>
  <c r="AB1833" i="2" s="1"/>
  <c r="X1833" i="2"/>
  <c r="Z1833" i="2" s="1"/>
  <c r="M1828" i="2"/>
  <c r="AA1828" i="2" s="1"/>
  <c r="AB1828" i="2" s="1"/>
  <c r="X1828" i="2"/>
  <c r="Z1828" i="2" s="1"/>
  <c r="J1815" i="2"/>
  <c r="M1815" i="2"/>
  <c r="AA1815" i="2" s="1"/>
  <c r="AB1815" i="2" s="1"/>
  <c r="J1806" i="2"/>
  <c r="M1806" i="2"/>
  <c r="X1806" i="2"/>
  <c r="Z1806" i="2" s="1"/>
  <c r="E986" i="4"/>
  <c r="AB2661" i="2"/>
  <c r="AA2647" i="2"/>
  <c r="AB2647" i="2" s="1"/>
  <c r="AA2640" i="2"/>
  <c r="AB2640" i="2" s="1"/>
  <c r="AA2632" i="2"/>
  <c r="AB2632" i="2" s="1"/>
  <c r="AA2630" i="2"/>
  <c r="AB2630" i="2" s="1"/>
  <c r="AA2621" i="2"/>
  <c r="AB2621" i="2" s="1"/>
  <c r="AA2587" i="2"/>
  <c r="AB2587" i="2" s="1"/>
  <c r="AA2579" i="2"/>
  <c r="AB2579" i="2" s="1"/>
  <c r="AA2577" i="2"/>
  <c r="AB2577" i="2" s="1"/>
  <c r="AA2525" i="2"/>
  <c r="AB2525" i="2" s="1"/>
  <c r="AA2520" i="2"/>
  <c r="AB2520" i="2" s="1"/>
  <c r="AA2516" i="2"/>
  <c r="AA2506" i="2"/>
  <c r="AB2506" i="2" s="1"/>
  <c r="AA2504" i="2"/>
  <c r="AB2504" i="2" s="1"/>
  <c r="AA2501" i="2"/>
  <c r="AB2501" i="2" s="1"/>
  <c r="AA2497" i="2"/>
  <c r="AB2497" i="2" s="1"/>
  <c r="AA2462" i="2"/>
  <c r="AB2462" i="2" s="1"/>
  <c r="Z2460" i="2"/>
  <c r="AA2439" i="2"/>
  <c r="AB2439" i="2" s="1"/>
  <c r="AA2409" i="2"/>
  <c r="AB2409" i="2" s="1"/>
  <c r="AA2397" i="2"/>
  <c r="AB2397" i="2" s="1"/>
  <c r="V2390" i="2"/>
  <c r="W2390" i="2" s="1"/>
  <c r="AA2389" i="2"/>
  <c r="AB2389" i="2" s="1"/>
  <c r="AA2380" i="2"/>
  <c r="AB2380" i="2" s="1"/>
  <c r="AA2376" i="2"/>
  <c r="AB2376" i="2" s="1"/>
  <c r="AA2373" i="2"/>
  <c r="AB2373" i="2" s="1"/>
  <c r="AA2363" i="2"/>
  <c r="AB2363" i="2" s="1"/>
  <c r="AA2359" i="2"/>
  <c r="S2430" i="2"/>
  <c r="O2430" i="2"/>
  <c r="O2746" i="2" s="1"/>
  <c r="AA2348" i="2"/>
  <c r="AB2348" i="2" s="1"/>
  <c r="AA2304" i="2"/>
  <c r="AB2304" i="2" s="1"/>
  <c r="AA2282" i="2"/>
  <c r="AB2282" i="2" s="1"/>
  <c r="AA2272" i="2"/>
  <c r="AB2272" i="2" s="1"/>
  <c r="AA2269" i="2"/>
  <c r="AB2269" i="2" s="1"/>
  <c r="AA2253" i="2"/>
  <c r="T2314" i="2"/>
  <c r="T2744" i="2" s="1"/>
  <c r="AA2243" i="2"/>
  <c r="AB2243" i="2" s="1"/>
  <c r="AA2230" i="2"/>
  <c r="AB2230" i="2" s="1"/>
  <c r="AA2223" i="2"/>
  <c r="AB2223" i="2" s="1"/>
  <c r="K2314" i="2"/>
  <c r="K2744" i="2" s="1"/>
  <c r="AA2204" i="2"/>
  <c r="AB2204" i="2" s="1"/>
  <c r="AA2202" i="2"/>
  <c r="AB2202" i="2" s="1"/>
  <c r="W2314" i="2"/>
  <c r="W2744" i="2" s="1"/>
  <c r="L2314" i="2"/>
  <c r="L2744" i="2" s="1"/>
  <c r="AA2181" i="2"/>
  <c r="AB2181" i="2" s="1"/>
  <c r="F2188" i="2"/>
  <c r="AA2177" i="2"/>
  <c r="AB2177" i="2" s="1"/>
  <c r="AA2174" i="2"/>
  <c r="AA2156" i="2"/>
  <c r="AB2156" i="2" s="1"/>
  <c r="AA2123" i="2"/>
  <c r="AB2123" i="2" s="1"/>
  <c r="O2167" i="2"/>
  <c r="O2742" i="2" s="1"/>
  <c r="Z2105" i="2"/>
  <c r="Q2088" i="2"/>
  <c r="Q2096" i="2" s="1"/>
  <c r="X2069" i="2"/>
  <c r="Z2069" i="2" s="1"/>
  <c r="X1988" i="2"/>
  <c r="Z1988" i="2" s="1"/>
  <c r="Q1967" i="2"/>
  <c r="Q2740" i="2" s="1"/>
  <c r="AA1934" i="2"/>
  <c r="AB1934" i="2" s="1"/>
  <c r="G1769" i="2"/>
  <c r="Y1749" i="2"/>
  <c r="O1728" i="2"/>
  <c r="S1605" i="2"/>
  <c r="O1605" i="2"/>
  <c r="L1589" i="2"/>
  <c r="L1556" i="2"/>
  <c r="G1556" i="2"/>
  <c r="T1420" i="2"/>
  <c r="T1362" i="2"/>
  <c r="G1306" i="2"/>
  <c r="Y1274" i="2"/>
  <c r="I1274" i="2"/>
  <c r="G1246" i="2"/>
  <c r="G1057" i="2"/>
  <c r="O1018" i="2"/>
  <c r="O879" i="2"/>
  <c r="M2025" i="2"/>
  <c r="AA2025" i="2" s="1"/>
  <c r="AB2025" i="2" s="1"/>
  <c r="X2025" i="2"/>
  <c r="Z2025" i="2" s="1"/>
  <c r="Q2001" i="2"/>
  <c r="E2021" i="2"/>
  <c r="M1944" i="2"/>
  <c r="AA1944" i="2" s="1"/>
  <c r="AB1944" i="2" s="1"/>
  <c r="X1944" i="2"/>
  <c r="Z1944" i="2" s="1"/>
  <c r="W1925" i="2"/>
  <c r="J1858" i="2"/>
  <c r="M1858" i="2"/>
  <c r="AA1858" i="2" s="1"/>
  <c r="AB1858" i="2" s="1"/>
  <c r="X1858" i="2"/>
  <c r="Z1858" i="2" s="1"/>
  <c r="J1837" i="2"/>
  <c r="M1837" i="2"/>
  <c r="AA1837" i="2" s="1"/>
  <c r="AB1837" i="2" s="1"/>
  <c r="X1837" i="2"/>
  <c r="Z1837" i="2" s="1"/>
  <c r="Q1826" i="2"/>
  <c r="AB1826" i="2"/>
  <c r="M1824" i="2"/>
  <c r="AA1824" i="2" s="1"/>
  <c r="AB1824" i="2" s="1"/>
  <c r="X1824" i="2"/>
  <c r="Z1824" i="2" s="1"/>
  <c r="M1818" i="2"/>
  <c r="AA1818" i="2" s="1"/>
  <c r="AB1818" i="2" s="1"/>
  <c r="X1818" i="2"/>
  <c r="Z1818" i="2" s="1"/>
  <c r="M1816" i="2"/>
  <c r="AA1816" i="2" s="1"/>
  <c r="AB1816" i="2" s="1"/>
  <c r="X1816" i="2"/>
  <c r="Z1816" i="2" s="1"/>
  <c r="Q1814" i="2"/>
  <c r="AB1814" i="2"/>
  <c r="M1812" i="2"/>
  <c r="AA1812" i="2" s="1"/>
  <c r="AB1812" i="2" s="1"/>
  <c r="X1812" i="2"/>
  <c r="Z1812" i="2" s="1"/>
  <c r="AA1803" i="2"/>
  <c r="AB2458" i="2"/>
  <c r="AB2418" i="2"/>
  <c r="X2163" i="2"/>
  <c r="Z2163" i="2" s="1"/>
  <c r="AA2107" i="2"/>
  <c r="AB2107" i="2" s="1"/>
  <c r="AA2105" i="2"/>
  <c r="AB2105" i="2" s="1"/>
  <c r="X2068" i="2"/>
  <c r="Z2068" i="2" s="1"/>
  <c r="Q2055" i="2"/>
  <c r="Q2049" i="2"/>
  <c r="AA2045" i="2"/>
  <c r="AB2045" i="2" s="1"/>
  <c r="AA2041" i="2"/>
  <c r="AB2041" i="2" s="1"/>
  <c r="Q2035" i="2"/>
  <c r="Z2014" i="2"/>
  <c r="AA2008" i="2"/>
  <c r="AB2008" i="2" s="1"/>
  <c r="AA2006" i="2"/>
  <c r="AB2006" i="2" s="1"/>
  <c r="Q1990" i="2"/>
  <c r="X1987" i="2"/>
  <c r="Z1987" i="2" s="1"/>
  <c r="J1967" i="2"/>
  <c r="J2740" i="2" s="1"/>
  <c r="AA1940" i="2"/>
  <c r="AB1940" i="2" s="1"/>
  <c r="AA1936" i="2"/>
  <c r="AB1936" i="2" s="1"/>
  <c r="AA1932" i="2"/>
  <c r="AB1932" i="2" s="1"/>
  <c r="V1924" i="2"/>
  <c r="W1924" i="2" s="1"/>
  <c r="AA1902" i="2"/>
  <c r="AB1902" i="2" s="1"/>
  <c r="AA1897" i="2"/>
  <c r="AB1897" i="2" s="1"/>
  <c r="AA1894" i="2"/>
  <c r="AB1894" i="2" s="1"/>
  <c r="AA1890" i="2"/>
  <c r="AB1890" i="2" s="1"/>
  <c r="AA1886" i="2"/>
  <c r="AA1829" i="2"/>
  <c r="AB1829" i="2" s="1"/>
  <c r="X1814" i="2"/>
  <c r="Z1814" i="2" s="1"/>
  <c r="AA1808" i="2"/>
  <c r="AB1808" i="2" s="1"/>
  <c r="F1820" i="2"/>
  <c r="Y1800" i="2"/>
  <c r="V1769" i="2"/>
  <c r="V1728" i="2"/>
  <c r="V1676" i="2"/>
  <c r="W1667" i="2"/>
  <c r="Y1395" i="2"/>
  <c r="Y1332" i="2"/>
  <c r="T1218" i="2"/>
  <c r="R1093" i="2"/>
  <c r="G1093" i="2"/>
  <c r="N1079" i="2"/>
  <c r="L1057" i="2"/>
  <c r="S988" i="2"/>
  <c r="O988" i="2"/>
  <c r="O968" i="2"/>
  <c r="O898" i="2"/>
  <c r="L809" i="2"/>
  <c r="Y809" i="2"/>
  <c r="G748" i="2"/>
  <c r="K583" i="2"/>
  <c r="M2079" i="2"/>
  <c r="X2079" i="2"/>
  <c r="Z2079" i="2" s="1"/>
  <c r="M2032" i="2"/>
  <c r="X2032" i="2"/>
  <c r="Z2032" i="2" s="1"/>
  <c r="M2019" i="2"/>
  <c r="X2019" i="2"/>
  <c r="Z2019" i="2" s="1"/>
  <c r="M1991" i="2"/>
  <c r="AA1991" i="2" s="1"/>
  <c r="AB1991" i="2" s="1"/>
  <c r="X1991" i="2"/>
  <c r="Z1991" i="2" s="1"/>
  <c r="M1980" i="2"/>
  <c r="AA1980" i="2" s="1"/>
  <c r="AB1980" i="2" s="1"/>
  <c r="X1980" i="2"/>
  <c r="Z1980" i="2" s="1"/>
  <c r="M1977" i="2"/>
  <c r="AA1977" i="2" s="1"/>
  <c r="AB1977" i="2" s="1"/>
  <c r="X1977" i="2"/>
  <c r="Z1977" i="2" s="1"/>
  <c r="X1933" i="2"/>
  <c r="Z1933" i="2" s="1"/>
  <c r="H1947" i="2"/>
  <c r="M1925" i="2"/>
  <c r="AA1925" i="2" s="1"/>
  <c r="AB1925" i="2" s="1"/>
  <c r="X1925" i="2"/>
  <c r="Z1925" i="2" s="1"/>
  <c r="V1909" i="2"/>
  <c r="W1909" i="2" s="1"/>
  <c r="P1927" i="2"/>
  <c r="X1887" i="2"/>
  <c r="Z1887" i="2" s="1"/>
  <c r="H1904" i="2"/>
  <c r="V1886" i="2"/>
  <c r="P1904" i="2"/>
  <c r="J1860" i="2"/>
  <c r="M1860" i="2"/>
  <c r="X1860" i="2"/>
  <c r="Z1860" i="2" s="1"/>
  <c r="J1852" i="2"/>
  <c r="M1852" i="2"/>
  <c r="AA1852" i="2" s="1"/>
  <c r="AB1852" i="2" s="1"/>
  <c r="X1852" i="2"/>
  <c r="Z1852" i="2" s="1"/>
  <c r="P1863" i="2"/>
  <c r="U1851" i="2"/>
  <c r="AA1851" i="2" s="1"/>
  <c r="AB1851" i="2" s="1"/>
  <c r="Q1851" i="2"/>
  <c r="E1863" i="2"/>
  <c r="M1831" i="2"/>
  <c r="AA1831" i="2" s="1"/>
  <c r="AB1831" i="2" s="1"/>
  <c r="X1831" i="2"/>
  <c r="Z1831" i="2" s="1"/>
  <c r="Q1817" i="2"/>
  <c r="U1817" i="2"/>
  <c r="AA1817" i="2" s="1"/>
  <c r="AB1817" i="2" s="1"/>
  <c r="Q1813" i="2"/>
  <c r="U1813" i="2"/>
  <c r="AA1813" i="2" s="1"/>
  <c r="AB1813" i="2" s="1"/>
  <c r="Q1810" i="2"/>
  <c r="AB1810" i="2"/>
  <c r="Z1809" i="2"/>
  <c r="Q1809" i="2"/>
  <c r="J1807" i="2"/>
  <c r="M1807" i="2"/>
  <c r="AA1807" i="2" s="1"/>
  <c r="AB1807" i="2" s="1"/>
  <c r="X1807" i="2"/>
  <c r="Z1807" i="2" s="1"/>
  <c r="AA2110" i="2"/>
  <c r="AB2110" i="2" s="1"/>
  <c r="Q2105" i="2"/>
  <c r="AA2101" i="2"/>
  <c r="AB2101" i="2" s="1"/>
  <c r="Z2086" i="2"/>
  <c r="AA2083" i="2"/>
  <c r="AB2083" i="2" s="1"/>
  <c r="AA2076" i="2"/>
  <c r="AB2076" i="2" s="1"/>
  <c r="AA2062" i="2"/>
  <c r="AB2062" i="2" s="1"/>
  <c r="Q2041" i="2"/>
  <c r="AB2037" i="2"/>
  <c r="AB2036" i="2"/>
  <c r="P2052" i="2"/>
  <c r="M2012" i="2"/>
  <c r="AA2012" i="2" s="1"/>
  <c r="AB2012" i="2" s="1"/>
  <c r="Q2002" i="2"/>
  <c r="M1999" i="2"/>
  <c r="Q1993" i="2"/>
  <c r="U1992" i="2"/>
  <c r="AA1992" i="2" s="1"/>
  <c r="AB1992" i="2" s="1"/>
  <c r="AB1974" i="2"/>
  <c r="AA1973" i="2"/>
  <c r="AB1973" i="2" s="1"/>
  <c r="AA1962" i="2"/>
  <c r="AB1962" i="2" s="1"/>
  <c r="AA1958" i="2"/>
  <c r="AB1958" i="2" s="1"/>
  <c r="AA1954" i="2"/>
  <c r="AB1954" i="2" s="1"/>
  <c r="F1967" i="2"/>
  <c r="F2740" i="2" s="1"/>
  <c r="AA1923" i="2"/>
  <c r="AB1923" i="2" s="1"/>
  <c r="AA1881" i="2"/>
  <c r="AB1881" i="2" s="1"/>
  <c r="AA1876" i="2"/>
  <c r="AB1876" i="2" s="1"/>
  <c r="AA1874" i="2"/>
  <c r="AB1874" i="2" s="1"/>
  <c r="AA1872" i="2"/>
  <c r="AB1872" i="2" s="1"/>
  <c r="AB1838" i="2"/>
  <c r="AA1830" i="2"/>
  <c r="AB1830" i="2" s="1"/>
  <c r="F1847" i="2"/>
  <c r="AA1805" i="2"/>
  <c r="AB1805" i="2" s="1"/>
  <c r="W1769" i="2"/>
  <c r="T1749" i="2"/>
  <c r="W1728" i="2"/>
  <c r="Y1693" i="2"/>
  <c r="W1676" i="2"/>
  <c r="N1464" i="2"/>
  <c r="T1274" i="2"/>
  <c r="O1246" i="2"/>
  <c r="T1185" i="2"/>
  <c r="K1079" i="2"/>
  <c r="T1057" i="2"/>
  <c r="K1057" i="2"/>
  <c r="K1037" i="2"/>
  <c r="S1037" i="2"/>
  <c r="T968" i="2"/>
  <c r="K968" i="2"/>
  <c r="G898" i="2"/>
  <c r="L898" i="2"/>
  <c r="O789" i="2"/>
  <c r="N748" i="2"/>
  <c r="L684" i="2"/>
  <c r="S565" i="2"/>
  <c r="J480" i="2"/>
  <c r="E480" i="2"/>
  <c r="Y1218" i="2"/>
  <c r="S1093" i="2"/>
  <c r="N1093" i="2"/>
  <c r="O1057" i="2"/>
  <c r="L1037" i="2"/>
  <c r="G988" i="2"/>
  <c r="K898" i="2"/>
  <c r="Y855" i="2"/>
  <c r="N789" i="2"/>
  <c r="Q661" i="2"/>
  <c r="L123" i="2"/>
  <c r="X1972" i="2"/>
  <c r="L1185" i="2"/>
  <c r="I1185" i="2"/>
  <c r="G1160" i="2"/>
  <c r="R1115" i="2"/>
  <c r="G1115" i="2"/>
  <c r="S1057" i="2"/>
  <c r="O1037" i="2"/>
  <c r="T988" i="2"/>
  <c r="K988" i="2"/>
  <c r="L988" i="2"/>
  <c r="N879" i="2"/>
  <c r="G879" i="2"/>
  <c r="I855" i="2"/>
  <c r="O748" i="2"/>
  <c r="G712" i="2"/>
  <c r="G633" i="2"/>
  <c r="O600" i="2"/>
  <c r="Q565" i="2"/>
  <c r="K565" i="2"/>
  <c r="Q526" i="2"/>
  <c r="Q2649" i="2" s="1"/>
  <c r="G199" i="2"/>
  <c r="L855" i="2"/>
  <c r="K833" i="2"/>
  <c r="Y725" i="2"/>
  <c r="N712" i="2"/>
  <c r="I684" i="2"/>
  <c r="K661" i="2"/>
  <c r="T633" i="2"/>
  <c r="G613" i="2"/>
  <c r="T600" i="2"/>
  <c r="T583" i="2"/>
  <c r="Y480" i="2"/>
  <c r="G353" i="2"/>
  <c r="S353" i="2"/>
  <c r="N353" i="2"/>
  <c r="T1079" i="2"/>
  <c r="Y904" i="2"/>
  <c r="O833" i="2"/>
  <c r="I809" i="2"/>
  <c r="T768" i="2"/>
  <c r="L725" i="2"/>
  <c r="O712" i="2"/>
  <c r="L633" i="2"/>
  <c r="S600" i="2"/>
  <c r="R583" i="2"/>
  <c r="I583" i="2"/>
  <c r="I565" i="2"/>
  <c r="R467" i="2"/>
  <c r="J453" i="2"/>
  <c r="N437" i="2"/>
  <c r="L320" i="2"/>
  <c r="T684" i="2"/>
  <c r="Y633" i="2"/>
  <c r="Q613" i="2"/>
  <c r="I613" i="2"/>
  <c r="G583" i="2"/>
  <c r="R565" i="2"/>
  <c r="J565" i="2"/>
  <c r="N549" i="2"/>
  <c r="R537" i="2"/>
  <c r="Y537" i="2"/>
  <c r="Y526" i="2"/>
  <c r="Q480" i="2"/>
  <c r="J467" i="2"/>
  <c r="E467" i="2"/>
  <c r="N453" i="2"/>
  <c r="Y426" i="2"/>
  <c r="G401" i="2"/>
  <c r="L224" i="2"/>
  <c r="T855" i="2"/>
  <c r="T809" i="2"/>
  <c r="T725" i="2"/>
  <c r="Y684" i="2"/>
  <c r="Q633" i="2"/>
  <c r="T613" i="2"/>
  <c r="L613" i="2"/>
  <c r="N583" i="2"/>
  <c r="J583" i="2"/>
  <c r="F515" i="2"/>
  <c r="R502" i="2"/>
  <c r="I502" i="2"/>
  <c r="N467" i="2"/>
  <c r="T380" i="2"/>
  <c r="Q583" i="2"/>
  <c r="J537" i="2"/>
  <c r="N515" i="2"/>
  <c r="J515" i="2"/>
  <c r="E515" i="2"/>
  <c r="Y467" i="2"/>
  <c r="R453" i="2"/>
  <c r="I453" i="2"/>
  <c r="Y437" i="2"/>
  <c r="F437" i="2"/>
  <c r="J426" i="2"/>
  <c r="T401" i="2"/>
  <c r="Q380" i="2"/>
  <c r="Q320" i="2"/>
  <c r="G299" i="2"/>
  <c r="R176" i="2"/>
  <c r="Y583" i="2"/>
  <c r="Y565" i="2"/>
  <c r="G565" i="2"/>
  <c r="J549" i="2"/>
  <c r="E549" i="2"/>
  <c r="N537" i="2"/>
  <c r="F526" i="2"/>
  <c r="Y515" i="2"/>
  <c r="R515" i="2"/>
  <c r="I515" i="2"/>
  <c r="Q502" i="2"/>
  <c r="F502" i="2"/>
  <c r="F489" i="2"/>
  <c r="Q489" i="2"/>
  <c r="R480" i="2"/>
  <c r="I480" i="2"/>
  <c r="Q453" i="2"/>
  <c r="J437" i="2"/>
  <c r="E437" i="2"/>
  <c r="Y380" i="2"/>
  <c r="L380" i="2"/>
  <c r="O353" i="2"/>
  <c r="O299" i="2"/>
  <c r="T224" i="2"/>
  <c r="T123" i="2"/>
  <c r="V380" i="2"/>
  <c r="R353" i="2"/>
  <c r="Q268" i="2"/>
  <c r="I250" i="2"/>
  <c r="O199" i="2"/>
  <c r="T199" i="2" s="1"/>
  <c r="Y123" i="2"/>
  <c r="Y64" i="2"/>
  <c r="W401" i="2"/>
  <c r="G380" i="2"/>
  <c r="O380" i="2"/>
  <c r="W299" i="2"/>
  <c r="L268" i="2"/>
  <c r="Y176" i="2"/>
  <c r="Q87" i="2"/>
  <c r="T320" i="2"/>
  <c r="S224" i="2"/>
  <c r="W224" i="2"/>
  <c r="O224" i="2"/>
  <c r="Q176" i="2"/>
  <c r="V353" i="2"/>
  <c r="Y320" i="2"/>
  <c r="V299" i="2"/>
  <c r="G224" i="2"/>
  <c r="S176" i="2"/>
  <c r="T176" i="2"/>
  <c r="Q123" i="2"/>
  <c r="L87" i="2"/>
  <c r="I41" i="2"/>
  <c r="I176" i="2"/>
  <c r="Q101" i="2"/>
  <c r="T87" i="2"/>
  <c r="L21" i="2"/>
  <c r="Q158" i="2"/>
  <c r="I158" i="2"/>
  <c r="E101" i="2"/>
  <c r="I64" i="2"/>
  <c r="L41" i="2"/>
  <c r="T158" i="2"/>
  <c r="L158" i="2"/>
  <c r="Y142" i="2"/>
  <c r="I101" i="2"/>
  <c r="Q64" i="2"/>
  <c r="Q41" i="2"/>
  <c r="Y21" i="2"/>
  <c r="U2096" i="2" l="1"/>
  <c r="AB79" i="1"/>
  <c r="AB79" i="5" s="1"/>
  <c r="AA79" i="5"/>
  <c r="AB339" i="1"/>
  <c r="AB338" i="5" s="1"/>
  <c r="AA338" i="5"/>
  <c r="W37" i="4"/>
  <c r="W37" i="5"/>
  <c r="U37" i="4"/>
  <c r="U37" i="5"/>
  <c r="Z160" i="4"/>
  <c r="Z160" i="5"/>
  <c r="AB306" i="1"/>
  <c r="AB305" i="5" s="1"/>
  <c r="AA305" i="5"/>
  <c r="W735" i="1"/>
  <c r="W735" i="5" s="1"/>
  <c r="V735" i="5"/>
  <c r="V869" i="4"/>
  <c r="V869" i="5"/>
  <c r="V914" i="1"/>
  <c r="V914" i="5" s="1"/>
  <c r="H914" i="5"/>
  <c r="X914" i="5" s="1"/>
  <c r="Z914" i="5" s="1"/>
  <c r="Z1202" i="4"/>
  <c r="Z1202" i="5"/>
  <c r="AA1221" i="1"/>
  <c r="AA1220" i="5" s="1"/>
  <c r="U1220" i="5"/>
  <c r="AA534" i="1"/>
  <c r="AA533" i="5" s="1"/>
  <c r="U533" i="5"/>
  <c r="Q895" i="5"/>
  <c r="J1904" i="4"/>
  <c r="J1904" i="5"/>
  <c r="J1919" i="4"/>
  <c r="J1919" i="5"/>
  <c r="J1928" i="4"/>
  <c r="J1928" i="5"/>
  <c r="J1934" i="4"/>
  <c r="J1934" i="5"/>
  <c r="Q1942" i="4"/>
  <c r="Q1942" i="5"/>
  <c r="J1963" i="4"/>
  <c r="J1963" i="5"/>
  <c r="V2031" i="1"/>
  <c r="V2027" i="5" s="1"/>
  <c r="H2027" i="5"/>
  <c r="X2027" i="5" s="1"/>
  <c r="Z2027" i="5" s="1"/>
  <c r="U2057" i="4"/>
  <c r="U2057" i="5"/>
  <c r="Q2094" i="4"/>
  <c r="Q2094" i="5"/>
  <c r="U2103" i="4"/>
  <c r="U2103" i="5"/>
  <c r="Q2124" i="4"/>
  <c r="Q2124" i="5"/>
  <c r="Q2133" i="4"/>
  <c r="Q2133" i="5"/>
  <c r="Q2146" i="4"/>
  <c r="Q2146" i="5"/>
  <c r="Q2166" i="4"/>
  <c r="Q2166" i="5"/>
  <c r="Q2179" i="4"/>
  <c r="Q2179" i="5"/>
  <c r="J2186" i="4"/>
  <c r="J2186" i="5"/>
  <c r="Q2202" i="4"/>
  <c r="Q2202" i="5"/>
  <c r="Q2210" i="4"/>
  <c r="Q2210" i="5"/>
  <c r="Q2227" i="4"/>
  <c r="Q2227" i="5"/>
  <c r="J2236" i="4"/>
  <c r="J2236" i="5"/>
  <c r="J2240" i="4"/>
  <c r="J2240" i="5"/>
  <c r="J2250" i="4"/>
  <c r="J2250" i="5"/>
  <c r="Q2270" i="4"/>
  <c r="Q2270" i="5"/>
  <c r="J2275" i="4"/>
  <c r="J2275" i="5"/>
  <c r="J2285" i="4"/>
  <c r="J2285" i="5"/>
  <c r="Q2302" i="4"/>
  <c r="Q2302" i="5"/>
  <c r="Q2309" i="4"/>
  <c r="Q2309" i="5"/>
  <c r="Q2350" i="4"/>
  <c r="Q2350" i="5"/>
  <c r="J2357" i="4"/>
  <c r="J2357" i="5"/>
  <c r="J2364" i="4"/>
  <c r="J2364" i="5"/>
  <c r="J2370" i="4"/>
  <c r="J2370" i="5"/>
  <c r="Q2379" i="4"/>
  <c r="Q2379" i="5"/>
  <c r="Q2389" i="4"/>
  <c r="Q2389" i="5"/>
  <c r="J2397" i="4"/>
  <c r="J2397" i="5"/>
  <c r="Q2405" i="4"/>
  <c r="Q2405" i="5"/>
  <c r="J2422" i="4"/>
  <c r="J2422" i="5"/>
  <c r="Q2434" i="4"/>
  <c r="Q2434" i="5"/>
  <c r="Q2438" i="4"/>
  <c r="Q2438" i="5"/>
  <c r="U2484" i="4"/>
  <c r="U2484" i="5"/>
  <c r="U2529" i="4"/>
  <c r="U2529" i="5"/>
  <c r="U2555" i="4"/>
  <c r="U2555" i="5"/>
  <c r="Z2601" i="4"/>
  <c r="Z2601" i="5"/>
  <c r="M2643" i="1"/>
  <c r="M2617" i="5"/>
  <c r="Z2653" i="4"/>
  <c r="Z2653" i="5"/>
  <c r="U2666" i="4"/>
  <c r="U2666" i="5"/>
  <c r="U2670" i="4"/>
  <c r="U2670" i="5"/>
  <c r="U2681" i="4"/>
  <c r="U2681" i="5"/>
  <c r="U2701" i="4"/>
  <c r="U2701" i="5"/>
  <c r="U2724" i="4"/>
  <c r="U2724" i="5"/>
  <c r="U2742" i="4"/>
  <c r="U2742" i="5"/>
  <c r="M2854" i="5"/>
  <c r="M2855" i="4"/>
  <c r="V522" i="5"/>
  <c r="V570" i="5"/>
  <c r="W1006" i="1"/>
  <c r="W1005" i="5" s="1"/>
  <c r="AA1024" i="1"/>
  <c r="AA1023" i="5" s="1"/>
  <c r="U1023" i="5"/>
  <c r="J1365" i="4"/>
  <c r="J1365" i="5"/>
  <c r="AA577" i="1"/>
  <c r="AA578" i="5" s="1"/>
  <c r="U578" i="5"/>
  <c r="W701" i="1"/>
  <c r="W701" i="5" s="1"/>
  <c r="V701" i="5"/>
  <c r="V865" i="4"/>
  <c r="V865" i="5"/>
  <c r="AA933" i="1"/>
  <c r="AA933" i="5" s="1"/>
  <c r="U933" i="5"/>
  <c r="V1361" i="4"/>
  <c r="V1361" i="5"/>
  <c r="AB1198" i="1"/>
  <c r="AB1197" i="5" s="1"/>
  <c r="AA1197" i="5"/>
  <c r="AA1648" i="1"/>
  <c r="AA1645" i="5" s="1"/>
  <c r="U1645" i="5"/>
  <c r="U1887" i="4"/>
  <c r="U1887" i="5"/>
  <c r="Q1906" i="4"/>
  <c r="Q1906" i="5"/>
  <c r="J1926" i="4"/>
  <c r="J1926" i="5"/>
  <c r="W2074" i="4"/>
  <c r="W2074" i="5"/>
  <c r="J2102" i="4"/>
  <c r="J2102" i="5"/>
  <c r="J2116" i="4"/>
  <c r="J2116" i="5"/>
  <c r="J2154" i="4"/>
  <c r="J2154" i="5"/>
  <c r="J2207" i="4"/>
  <c r="J2207" i="5"/>
  <c r="J2249" i="4"/>
  <c r="J2249" i="5"/>
  <c r="U2283" i="4"/>
  <c r="U2283" i="5"/>
  <c r="J2322" i="4"/>
  <c r="J2322" i="5"/>
  <c r="J2359" i="4"/>
  <c r="J2359" i="5"/>
  <c r="J2400" i="4"/>
  <c r="J2400" i="5"/>
  <c r="Q2420" i="4"/>
  <c r="Q2420" i="5"/>
  <c r="AB1308" i="1"/>
  <c r="AB1307" i="5" s="1"/>
  <c r="AA1307" i="5"/>
  <c r="AA1634" i="1"/>
  <c r="AA1631" i="5" s="1"/>
  <c r="U1631" i="5"/>
  <c r="U1639" i="5" s="1"/>
  <c r="Z1632" i="4"/>
  <c r="Z1632" i="5"/>
  <c r="AA1874" i="1"/>
  <c r="AA1870" i="5" s="1"/>
  <c r="U1870" i="5"/>
  <c r="U1899" i="5" s="1"/>
  <c r="Q1919" i="4"/>
  <c r="Q1919" i="5"/>
  <c r="J1935" i="4"/>
  <c r="J1935" i="5"/>
  <c r="U1936" i="4"/>
  <c r="U1936" i="5"/>
  <c r="Q1949" i="4"/>
  <c r="Q1949" i="5"/>
  <c r="U2032" i="4"/>
  <c r="U2032" i="5"/>
  <c r="Q2101" i="4"/>
  <c r="Q2101" i="5"/>
  <c r="Z2108" i="4"/>
  <c r="Z2108" i="5"/>
  <c r="Q2117" i="4"/>
  <c r="Q2117" i="5"/>
  <c r="Z2118" i="4"/>
  <c r="Z2118" i="5"/>
  <c r="Z2123" i="4"/>
  <c r="Z2123" i="5"/>
  <c r="Z2125" i="4"/>
  <c r="Z2125" i="5"/>
  <c r="Z2134" i="4"/>
  <c r="Z2134" i="5"/>
  <c r="Q2136" i="4"/>
  <c r="Q2136" i="5"/>
  <c r="Q2177" i="4"/>
  <c r="Q2177" i="5"/>
  <c r="U2186" i="4"/>
  <c r="U2186" i="5"/>
  <c r="U2200" i="4"/>
  <c r="U2200" i="5"/>
  <c r="U2217" i="4"/>
  <c r="U2217" i="5"/>
  <c r="U2225" i="4"/>
  <c r="U2225" i="5"/>
  <c r="Q2231" i="4"/>
  <c r="Q2231" i="5"/>
  <c r="Q2248" i="4"/>
  <c r="Q2248" i="5"/>
  <c r="U2250" i="4"/>
  <c r="U2250" i="5"/>
  <c r="J2254" i="4"/>
  <c r="J2254" i="5"/>
  <c r="U2255" i="4"/>
  <c r="U2255" i="5"/>
  <c r="J2269" i="4"/>
  <c r="J2269" i="5"/>
  <c r="J2290" i="4"/>
  <c r="J2290" i="5"/>
  <c r="J2324" i="4"/>
  <c r="J2324" i="5"/>
  <c r="J2373" i="4"/>
  <c r="J2373" i="5"/>
  <c r="U2505" i="4"/>
  <c r="U2505" i="5"/>
  <c r="U2510" i="4"/>
  <c r="U2510" i="5"/>
  <c r="W2563" i="4"/>
  <c r="W2563" i="5"/>
  <c r="Z2589" i="4"/>
  <c r="Z2589" i="5"/>
  <c r="U2605" i="4"/>
  <c r="U2605" i="5"/>
  <c r="U2626" i="4"/>
  <c r="U2626" i="5"/>
  <c r="Z2627" i="4"/>
  <c r="Z2627" i="5"/>
  <c r="Z2641" i="4"/>
  <c r="Z2641" i="5"/>
  <c r="Z2643" i="4"/>
  <c r="Z2643" i="5"/>
  <c r="Z2645" i="4"/>
  <c r="Z2645" i="5"/>
  <c r="Z2647" i="4"/>
  <c r="Z2647" i="5"/>
  <c r="V2653" i="4"/>
  <c r="V2653" i="5"/>
  <c r="Z2691" i="4"/>
  <c r="Z2691" i="5"/>
  <c r="Z2693" i="4"/>
  <c r="Z2693" i="5"/>
  <c r="U2697" i="4"/>
  <c r="U2697" i="5"/>
  <c r="AB2771" i="5"/>
  <c r="AB2771" i="4"/>
  <c r="Z1235" i="4"/>
  <c r="Z1235" i="5"/>
  <c r="U1758" i="5"/>
  <c r="U2203" i="4"/>
  <c r="U2203" i="5"/>
  <c r="AB2235" i="4"/>
  <c r="AB2235" i="5"/>
  <c r="U2418" i="4"/>
  <c r="U2418" i="5"/>
  <c r="J2435" i="4"/>
  <c r="J2435" i="5"/>
  <c r="J2441" i="4"/>
  <c r="J2441" i="5"/>
  <c r="W1009" i="4"/>
  <c r="W1009" i="5"/>
  <c r="U2809" i="5"/>
  <c r="U2809" i="4"/>
  <c r="AA2879" i="5"/>
  <c r="AA2880" i="4"/>
  <c r="U586" i="4"/>
  <c r="U586" i="5"/>
  <c r="Z1239" i="4"/>
  <c r="Z1239" i="5"/>
  <c r="J1361" i="4"/>
  <c r="J1361" i="5"/>
  <c r="W1491" i="4"/>
  <c r="W1491" i="5"/>
  <c r="Z1673" i="4"/>
  <c r="Z1673" i="5"/>
  <c r="U2029" i="4"/>
  <c r="U2029" i="5"/>
  <c r="U2042" i="4"/>
  <c r="U2042" i="5"/>
  <c r="U2046" i="4"/>
  <c r="U2046" i="5"/>
  <c r="U2050" i="4"/>
  <c r="U2050" i="5"/>
  <c r="J2106" i="4"/>
  <c r="J2106" i="5"/>
  <c r="U2150" i="4"/>
  <c r="U2150" i="5"/>
  <c r="Q2170" i="4"/>
  <c r="Q2170" i="5"/>
  <c r="Q2230" i="4"/>
  <c r="Q2230" i="5"/>
  <c r="J2241" i="4"/>
  <c r="J2241" i="5"/>
  <c r="U2266" i="4"/>
  <c r="U2266" i="5"/>
  <c r="U2308" i="4"/>
  <c r="U2308" i="5"/>
  <c r="U2329" i="4"/>
  <c r="U2329" i="5"/>
  <c r="Q2345" i="4"/>
  <c r="Q2345" i="5"/>
  <c r="J2349" i="4"/>
  <c r="J2349" i="5"/>
  <c r="Q2370" i="4"/>
  <c r="Q2370" i="5"/>
  <c r="J2376" i="4"/>
  <c r="J2376" i="5"/>
  <c r="J2378" i="4"/>
  <c r="J2378" i="5"/>
  <c r="J2380" i="4"/>
  <c r="J2380" i="5"/>
  <c r="Q2390" i="4"/>
  <c r="Q2390" i="5"/>
  <c r="U2444" i="4"/>
  <c r="U2444" i="5"/>
  <c r="X2590" i="4"/>
  <c r="X2590" i="5"/>
  <c r="U2696" i="4"/>
  <c r="U2696" i="5"/>
  <c r="U2744" i="4"/>
  <c r="U2744" i="5"/>
  <c r="U2804" i="5"/>
  <c r="U2804" i="4"/>
  <c r="J1939" i="4"/>
  <c r="J1939" i="5"/>
  <c r="Z2116" i="4"/>
  <c r="Z2116" i="5"/>
  <c r="Q2199" i="4"/>
  <c r="Q2199" i="5"/>
  <c r="Q2326" i="4"/>
  <c r="Q2326" i="5"/>
  <c r="U2387" i="4"/>
  <c r="U2387" i="5"/>
  <c r="J2433" i="4"/>
  <c r="J2433" i="5"/>
  <c r="J2437" i="4"/>
  <c r="J2437" i="5"/>
  <c r="J2439" i="4"/>
  <c r="J2439" i="5"/>
  <c r="V2677" i="4"/>
  <c r="V2677" i="5"/>
  <c r="W2726" i="4"/>
  <c r="W2726" i="5"/>
  <c r="U2483" i="4"/>
  <c r="U2483" i="5"/>
  <c r="W2630" i="4"/>
  <c r="W2630" i="5"/>
  <c r="Z1184" i="1"/>
  <c r="Z1132" i="2" s="1"/>
  <c r="U1636" i="4"/>
  <c r="U1636" i="5"/>
  <c r="AL2865" i="1"/>
  <c r="U1993" i="4"/>
  <c r="U1993" i="5"/>
  <c r="W2021" i="4"/>
  <c r="W2021" i="5"/>
  <c r="W2057" i="4"/>
  <c r="W2057" i="5"/>
  <c r="J2093" i="4"/>
  <c r="J2093" i="5"/>
  <c r="Q2095" i="4"/>
  <c r="Q2095" i="5"/>
  <c r="U2097" i="4"/>
  <c r="U2097" i="5"/>
  <c r="U2157" i="4"/>
  <c r="U2157" i="5"/>
  <c r="J2178" i="4"/>
  <c r="J2178" i="5"/>
  <c r="Q2182" i="4"/>
  <c r="Q2182" i="5"/>
  <c r="U2184" i="4"/>
  <c r="U2184" i="5"/>
  <c r="U2271" i="4"/>
  <c r="U2271" i="5"/>
  <c r="Q2329" i="4"/>
  <c r="Q2329" i="5"/>
  <c r="Q2391" i="4"/>
  <c r="Q2391" i="5"/>
  <c r="U2407" i="4"/>
  <c r="U2407" i="5"/>
  <c r="U2462" i="4"/>
  <c r="U2462" i="5"/>
  <c r="U2496" i="1"/>
  <c r="U2476" i="5"/>
  <c r="Z2478" i="4"/>
  <c r="Z2478" i="5"/>
  <c r="W2520" i="4"/>
  <c r="W2520" i="5"/>
  <c r="U2533" i="4"/>
  <c r="U2533" i="5"/>
  <c r="U2579" i="4"/>
  <c r="U2579" i="5"/>
  <c r="Z2630" i="4"/>
  <c r="Z2630" i="5"/>
  <c r="W2691" i="4"/>
  <c r="W2691" i="5"/>
  <c r="V2715" i="4"/>
  <c r="V2715" i="5"/>
  <c r="V2728" i="5" s="1"/>
  <c r="Z2733" i="4"/>
  <c r="Z2733" i="5"/>
  <c r="AA2794" i="5"/>
  <c r="AA2794" i="4"/>
  <c r="AB2864" i="5"/>
  <c r="AB2865" i="4"/>
  <c r="Q1908" i="4"/>
  <c r="Q1908" i="5"/>
  <c r="U1957" i="4"/>
  <c r="U1957" i="5"/>
  <c r="W2018" i="4"/>
  <c r="W2018" i="5"/>
  <c r="H2116" i="1"/>
  <c r="H2104" i="5"/>
  <c r="U2259" i="4"/>
  <c r="U2259" i="5"/>
  <c r="Z2617" i="4"/>
  <c r="Z2617" i="5"/>
  <c r="U2623" i="4"/>
  <c r="U2623" i="5"/>
  <c r="Z2625" i="4"/>
  <c r="Z2625" i="5"/>
  <c r="U2669" i="4"/>
  <c r="U2669" i="5"/>
  <c r="U2735" i="4"/>
  <c r="U2735" i="5"/>
  <c r="AA2858" i="5"/>
  <c r="AA2859" i="4"/>
  <c r="U2866" i="5"/>
  <c r="U2867" i="4"/>
  <c r="J1930" i="4"/>
  <c r="J1930" i="5"/>
  <c r="Z2002" i="4"/>
  <c r="Z2002" i="5"/>
  <c r="Q2151" i="4"/>
  <c r="Q2151" i="5"/>
  <c r="U2167" i="4"/>
  <c r="U2167" i="5"/>
  <c r="J2234" i="4"/>
  <c r="J2234" i="5"/>
  <c r="J2272" i="4"/>
  <c r="J2272" i="5"/>
  <c r="U2378" i="4"/>
  <c r="U2378" i="5"/>
  <c r="Z2651" i="4"/>
  <c r="Z2651" i="5"/>
  <c r="Z2674" i="4"/>
  <c r="Z2674" i="5"/>
  <c r="W2689" i="4"/>
  <c r="W2689" i="5"/>
  <c r="Z2737" i="4"/>
  <c r="Z2737" i="5"/>
  <c r="AA2790" i="5"/>
  <c r="AA2790" i="4"/>
  <c r="AA2856" i="5"/>
  <c r="AA2857" i="4"/>
  <c r="Z2588" i="4"/>
  <c r="Z2588" i="5"/>
  <c r="W2720" i="4"/>
  <c r="W2720" i="5"/>
  <c r="AB1320" i="1"/>
  <c r="AB1319" i="5" s="1"/>
  <c r="AA1319" i="5"/>
  <c r="V2648" i="2"/>
  <c r="Q1941" i="4"/>
  <c r="Q1941" i="5"/>
  <c r="U1943" i="4"/>
  <c r="U1943" i="5"/>
  <c r="U1999" i="4"/>
  <c r="U1999" i="5"/>
  <c r="Z2105" i="4"/>
  <c r="Z2105" i="5"/>
  <c r="U2290" i="4"/>
  <c r="U2290" i="5"/>
  <c r="U2301" i="4"/>
  <c r="U2301" i="5"/>
  <c r="Q2349" i="4"/>
  <c r="Q2349" i="5"/>
  <c r="U2351" i="4"/>
  <c r="U2351" i="5"/>
  <c r="J2388" i="4"/>
  <c r="J2388" i="5"/>
  <c r="Z2475" i="4"/>
  <c r="Z2475" i="5"/>
  <c r="W2504" i="4"/>
  <c r="W2504" i="5"/>
  <c r="W2561" i="4"/>
  <c r="W2561" i="5"/>
  <c r="U2581" i="4"/>
  <c r="U2581" i="5"/>
  <c r="Z2619" i="4"/>
  <c r="Z2619" i="5"/>
  <c r="W2627" i="4"/>
  <c r="W2627" i="5"/>
  <c r="U2721" i="4"/>
  <c r="U2721" i="5"/>
  <c r="AA2773" i="5"/>
  <c r="AA2773" i="4"/>
  <c r="U1916" i="4"/>
  <c r="U1916" i="5"/>
  <c r="U2524" i="4"/>
  <c r="U2524" i="5"/>
  <c r="U2531" i="4"/>
  <c r="U2531" i="5"/>
  <c r="Q1955" i="4"/>
  <c r="Q1955" i="5"/>
  <c r="Q1967" i="5" s="1"/>
  <c r="U1997" i="4"/>
  <c r="U1997" i="5"/>
  <c r="Q2168" i="4"/>
  <c r="Q2168" i="5"/>
  <c r="U2206" i="4"/>
  <c r="U2206" i="5"/>
  <c r="Z2300" i="4"/>
  <c r="Z2300" i="5"/>
  <c r="J2325" i="4"/>
  <c r="J2325" i="5"/>
  <c r="Q2330" i="4"/>
  <c r="Q2330" i="5"/>
  <c r="J2361" i="4"/>
  <c r="J2361" i="5"/>
  <c r="Q2380" i="4"/>
  <c r="Q2380" i="5"/>
  <c r="W2455" i="4"/>
  <c r="W2455" i="5"/>
  <c r="AA2511" i="1"/>
  <c r="AA2503" i="5" s="1"/>
  <c r="AA2518" i="1"/>
  <c r="AA2510" i="5" s="1"/>
  <c r="W2583" i="4"/>
  <c r="W2583" i="5"/>
  <c r="W2620" i="4"/>
  <c r="W2620" i="5"/>
  <c r="Z2633" i="4"/>
  <c r="Z2633" i="5"/>
  <c r="U2719" i="4"/>
  <c r="U2719" i="5"/>
  <c r="U2801" i="5"/>
  <c r="U2801" i="4"/>
  <c r="W2522" i="4"/>
  <c r="W2522" i="5"/>
  <c r="X37" i="4"/>
  <c r="X37" i="5"/>
  <c r="AA204" i="1"/>
  <c r="M204" i="5"/>
  <c r="M292" i="4"/>
  <c r="M292" i="5"/>
  <c r="X33" i="4"/>
  <c r="X33" i="5"/>
  <c r="AB156" i="1"/>
  <c r="AA156" i="5"/>
  <c r="V677" i="2"/>
  <c r="V707" i="5"/>
  <c r="W1012" i="1"/>
  <c r="V1011" i="5"/>
  <c r="AA1853" i="2"/>
  <c r="AB1853" i="2" s="1"/>
  <c r="V38" i="4"/>
  <c r="V38" i="5"/>
  <c r="J241" i="2"/>
  <c r="J251" i="5"/>
  <c r="AA274" i="1"/>
  <c r="AA273" i="5" s="1"/>
  <c r="M273" i="5"/>
  <c r="M388" i="2"/>
  <c r="M406" i="5"/>
  <c r="V727" i="4"/>
  <c r="V727" i="5"/>
  <c r="M830" i="2"/>
  <c r="M866" i="5"/>
  <c r="AB177" i="1"/>
  <c r="AA177" i="5"/>
  <c r="AA1058" i="1"/>
  <c r="AA1057" i="5" s="1"/>
  <c r="U1057" i="5"/>
  <c r="U1065" i="5" s="1"/>
  <c r="U1161" i="4"/>
  <c r="U1161" i="5"/>
  <c r="U623" i="2"/>
  <c r="U651" i="5"/>
  <c r="Y2777" i="5"/>
  <c r="Y2777" i="4"/>
  <c r="X2103" i="4"/>
  <c r="X2103" i="5"/>
  <c r="W61" i="1"/>
  <c r="V61" i="5"/>
  <c r="V1009" i="4"/>
  <c r="V1009" i="5"/>
  <c r="AA1224" i="1"/>
  <c r="M1223" i="5"/>
  <c r="AB141" i="1"/>
  <c r="AA141" i="5"/>
  <c r="W1446" i="1"/>
  <c r="V1445" i="5"/>
  <c r="J1459" i="4"/>
  <c r="J1459" i="5"/>
  <c r="U1614" i="4"/>
  <c r="U1614" i="5"/>
  <c r="M1636" i="4"/>
  <c r="M1636" i="5"/>
  <c r="Q1918" i="4"/>
  <c r="Q1918" i="5"/>
  <c r="U1933" i="4"/>
  <c r="U1933" i="5"/>
  <c r="U1956" i="4"/>
  <c r="U1956" i="5"/>
  <c r="U1964" i="4"/>
  <c r="U1964" i="5"/>
  <c r="I2846" i="5"/>
  <c r="I2847" i="4"/>
  <c r="V2070" i="4"/>
  <c r="V2070" i="5"/>
  <c r="X2086" i="4"/>
  <c r="X2086" i="5"/>
  <c r="U2108" i="4"/>
  <c r="U2108" i="5"/>
  <c r="Q2129" i="4"/>
  <c r="Q2129" i="5"/>
  <c r="U2145" i="4"/>
  <c r="U2145" i="5"/>
  <c r="J2198" i="4"/>
  <c r="J2198" i="5"/>
  <c r="Q2204" i="4"/>
  <c r="Q2204" i="5"/>
  <c r="J2213" i="1"/>
  <c r="H2209" i="5"/>
  <c r="X2209" i="5" s="1"/>
  <c r="Z2209" i="5" s="1"/>
  <c r="U2235" i="4"/>
  <c r="U2235" i="5"/>
  <c r="U2249" i="4"/>
  <c r="U2249" i="5"/>
  <c r="U2267" i="4"/>
  <c r="U2267" i="5"/>
  <c r="U2292" i="5" s="1"/>
  <c r="M2287" i="4"/>
  <c r="M2287" i="5"/>
  <c r="U2307" i="4"/>
  <c r="U2307" i="5"/>
  <c r="Q2327" i="4"/>
  <c r="Q2327" i="5"/>
  <c r="U2347" i="4"/>
  <c r="U2347" i="5"/>
  <c r="Q2356" i="4"/>
  <c r="Q2356" i="5"/>
  <c r="J2389" i="4"/>
  <c r="J2389" i="5"/>
  <c r="Q2396" i="4"/>
  <c r="Q2396" i="5"/>
  <c r="U2419" i="4"/>
  <c r="U2419" i="5"/>
  <c r="U2426" i="4"/>
  <c r="U2426" i="5"/>
  <c r="U2438" i="4"/>
  <c r="U2438" i="5"/>
  <c r="M2486" i="1"/>
  <c r="H2478" i="5"/>
  <c r="X2478" i="5" s="1"/>
  <c r="V722" i="4"/>
  <c r="V722" i="5"/>
  <c r="AB770" i="1"/>
  <c r="AB770" i="5" s="1"/>
  <c r="AA770" i="5"/>
  <c r="U889" i="4"/>
  <c r="U889" i="5"/>
  <c r="Q1273" i="4"/>
  <c r="Q1273" i="5"/>
  <c r="AA1400" i="1"/>
  <c r="U1399" i="5"/>
  <c r="U1903" i="4"/>
  <c r="U1903" i="5"/>
  <c r="J1942" i="4"/>
  <c r="J1942" i="5"/>
  <c r="Q1956" i="4"/>
  <c r="Q1956" i="5"/>
  <c r="Q1964" i="4"/>
  <c r="Q1964" i="5"/>
  <c r="M2008" i="4"/>
  <c r="M2008" i="5"/>
  <c r="W57" i="1"/>
  <c r="V57" i="5"/>
  <c r="X2586" i="4"/>
  <c r="X2586" i="5"/>
  <c r="M2631" i="4"/>
  <c r="M2631" i="5"/>
  <c r="V2720" i="4"/>
  <c r="V2720" i="5"/>
  <c r="Z2748" i="4"/>
  <c r="Z2748" i="5"/>
  <c r="W28" i="1"/>
  <c r="V28" i="5"/>
  <c r="AA1325" i="1"/>
  <c r="AA1324" i="5" s="1"/>
  <c r="U1324" i="5"/>
  <c r="Q1403" i="2"/>
  <c r="Q1479" i="5"/>
  <c r="U1550" i="4"/>
  <c r="U1550" i="5"/>
  <c r="M1549" i="2"/>
  <c r="M1630" i="5"/>
  <c r="J1745" i="4"/>
  <c r="J1745" i="5"/>
  <c r="J1825" i="4"/>
  <c r="J1825" i="5"/>
  <c r="J1875" i="4"/>
  <c r="J1875" i="5"/>
  <c r="AA2008" i="1"/>
  <c r="AA2004" i="5" s="1"/>
  <c r="U2004" i="5"/>
  <c r="Z2100" i="1"/>
  <c r="X2096" i="5"/>
  <c r="Z2124" i="4"/>
  <c r="Z2124" i="5"/>
  <c r="M2128" i="4"/>
  <c r="M2128" i="5"/>
  <c r="M2162" i="4"/>
  <c r="M2162" i="5"/>
  <c r="U2210" i="4"/>
  <c r="U2210" i="5"/>
  <c r="J2214" i="4"/>
  <c r="J2214" i="5"/>
  <c r="M2237" i="4"/>
  <c r="M2237" i="5"/>
  <c r="U2258" i="4"/>
  <c r="U2258" i="5"/>
  <c r="U2331" i="4"/>
  <c r="U2331" i="5"/>
  <c r="U2379" i="4"/>
  <c r="U2379" i="5"/>
  <c r="Q2442" i="4"/>
  <c r="Q2442" i="5"/>
  <c r="W2521" i="1"/>
  <c r="V2513" i="5"/>
  <c r="M2556" i="1"/>
  <c r="H2548" i="5"/>
  <c r="X2548" i="5" s="1"/>
  <c r="V2589" i="4"/>
  <c r="V2589" i="5"/>
  <c r="M2623" i="4"/>
  <c r="M2623" i="5"/>
  <c r="V108" i="2"/>
  <c r="V114" i="5"/>
  <c r="Q187" i="1"/>
  <c r="Q187" i="5" s="1"/>
  <c r="K187" i="5"/>
  <c r="W686" i="1"/>
  <c r="V686" i="5"/>
  <c r="U1183" i="2"/>
  <c r="U1242" i="5"/>
  <c r="AA1380" i="1"/>
  <c r="AA1379" i="5" s="1"/>
  <c r="M1379" i="5"/>
  <c r="J1383" i="4"/>
  <c r="J1383" i="5"/>
  <c r="V1414" i="2"/>
  <c r="V1490" i="5"/>
  <c r="Q1415" i="2"/>
  <c r="Q1492" i="5"/>
  <c r="U1586" i="2"/>
  <c r="U1675" i="5"/>
  <c r="M1839" i="4"/>
  <c r="M1839" i="5"/>
  <c r="AA1967" i="1"/>
  <c r="AA1963" i="5" s="1"/>
  <c r="M1963" i="5"/>
  <c r="J2212" i="4"/>
  <c r="J2212" i="5"/>
  <c r="M2332" i="4"/>
  <c r="M2332" i="5"/>
  <c r="Q1188" i="2"/>
  <c r="Q1247" i="5"/>
  <c r="W1721" i="1"/>
  <c r="V1718" i="5"/>
  <c r="V2718" i="4"/>
  <c r="V2718" i="5"/>
  <c r="V2738" i="4"/>
  <c r="V2738" i="5"/>
  <c r="U2860" i="5"/>
  <c r="U2861" i="4"/>
  <c r="M2843" i="5"/>
  <c r="M2844" i="4"/>
  <c r="W1152" i="1"/>
  <c r="V1151" i="5"/>
  <c r="W1213" i="1"/>
  <c r="W1212" i="5" s="1"/>
  <c r="V1212" i="5"/>
  <c r="Q1225" i="4"/>
  <c r="Q1225" i="5"/>
  <c r="V1191" i="2"/>
  <c r="V1250" i="5"/>
  <c r="U1262" i="4"/>
  <c r="U1262" i="5"/>
  <c r="V1297" i="4"/>
  <c r="V1297" i="5"/>
  <c r="J1249" i="2"/>
  <c r="J1312" i="5"/>
  <c r="J1325" i="4"/>
  <c r="J1325" i="5"/>
  <c r="AA1346" i="1"/>
  <c r="M1345" i="5"/>
  <c r="Q1348" i="4"/>
  <c r="Q1348" i="5"/>
  <c r="Q1375" i="5" s="1"/>
  <c r="M1414" i="4"/>
  <c r="M1414" i="5"/>
  <c r="Q1426" i="4"/>
  <c r="Q1426" i="5"/>
  <c r="Q1376" i="2"/>
  <c r="Q1447" i="5"/>
  <c r="M1628" i="4"/>
  <c r="M1628" i="5"/>
  <c r="M1639" i="5" s="1"/>
  <c r="U1580" i="2"/>
  <c r="U1666" i="5"/>
  <c r="Q1659" i="2"/>
  <c r="Q1750" i="5"/>
  <c r="AA1815" i="1"/>
  <c r="AA1811" i="5" s="1"/>
  <c r="M1811" i="5"/>
  <c r="J1732" i="2"/>
  <c r="J1824" i="5"/>
  <c r="M1840" i="4"/>
  <c r="M1840" i="5"/>
  <c r="M1776" i="2"/>
  <c r="M1872" i="5"/>
  <c r="M1907" i="4"/>
  <c r="M1907" i="5"/>
  <c r="U1984" i="4"/>
  <c r="U1984" i="5"/>
  <c r="U2018" i="4"/>
  <c r="U2018" i="5"/>
  <c r="J2114" i="1"/>
  <c r="H2110" i="5"/>
  <c r="U2155" i="4"/>
  <c r="U2155" i="5"/>
  <c r="J2169" i="4"/>
  <c r="J2169" i="5"/>
  <c r="U2207" i="4"/>
  <c r="U2207" i="5"/>
  <c r="U2333" i="4"/>
  <c r="U2333" i="5"/>
  <c r="U2400" i="4"/>
  <c r="U2400" i="5"/>
  <c r="V2457" i="4"/>
  <c r="V2457" i="5"/>
  <c r="V2470" i="5" s="1"/>
  <c r="U2624" i="4"/>
  <c r="U2624" i="5"/>
  <c r="M112" i="2"/>
  <c r="M118" i="5"/>
  <c r="M733" i="2"/>
  <c r="M764" i="5"/>
  <c r="U1036" i="4"/>
  <c r="U1036" i="5"/>
  <c r="Q1176" i="2"/>
  <c r="Q1230" i="5"/>
  <c r="J1322" i="4"/>
  <c r="J1322" i="5"/>
  <c r="W1387" i="1"/>
  <c r="W1386" i="5" s="1"/>
  <c r="V1386" i="5"/>
  <c r="V1380" i="2"/>
  <c r="V1451" i="5"/>
  <c r="X1487" i="2"/>
  <c r="X1562" i="5"/>
  <c r="V1691" i="4"/>
  <c r="V1691" i="5"/>
  <c r="U2047" i="4"/>
  <c r="U2047" i="5"/>
  <c r="Z2640" i="4"/>
  <c r="Z2640" i="5"/>
  <c r="X2601" i="4"/>
  <c r="X2601" i="5"/>
  <c r="M2773" i="5"/>
  <c r="M2773" i="4"/>
  <c r="AA2864" i="5"/>
  <c r="AA2865" i="4"/>
  <c r="AA1156" i="1"/>
  <c r="M1155" i="5"/>
  <c r="W1647" i="1"/>
  <c r="V1644" i="5"/>
  <c r="J1797" i="4"/>
  <c r="J1797" i="5"/>
  <c r="U1902" i="4"/>
  <c r="U1902" i="5"/>
  <c r="J2160" i="1"/>
  <c r="H2156" i="5"/>
  <c r="X2156" i="5" s="1"/>
  <c r="J2270" i="4"/>
  <c r="J2270" i="5"/>
  <c r="U2390" i="4"/>
  <c r="U2390" i="5"/>
  <c r="U2525" i="4"/>
  <c r="U2525" i="5"/>
  <c r="M1967" i="5"/>
  <c r="J2166" i="4"/>
  <c r="J2166" i="5"/>
  <c r="R2782" i="1"/>
  <c r="R2898" i="1"/>
  <c r="W156" i="1"/>
  <c r="V156" i="5"/>
  <c r="AA176" i="1"/>
  <c r="M176" i="5"/>
  <c r="I226" i="5"/>
  <c r="K226" i="1"/>
  <c r="M336" i="4"/>
  <c r="M336" i="5"/>
  <c r="Z436" i="1"/>
  <c r="X435" i="5"/>
  <c r="U576" i="2"/>
  <c r="U600" i="5"/>
  <c r="W667" i="1"/>
  <c r="V667" i="5"/>
  <c r="M990" i="1"/>
  <c r="M987" i="5"/>
  <c r="M989" i="5" s="1"/>
  <c r="U1030" i="5"/>
  <c r="AA1031" i="1"/>
  <c r="AA1083" i="1"/>
  <c r="U1082" i="5"/>
  <c r="Z1126" i="5"/>
  <c r="H1266" i="5"/>
  <c r="X1266" i="5" s="1"/>
  <c r="J1267" i="1"/>
  <c r="X1267" i="1"/>
  <c r="J1422" i="1"/>
  <c r="H1421" i="5"/>
  <c r="X1421" i="5" s="1"/>
  <c r="Z1421" i="5" s="1"/>
  <c r="AA1481" i="1"/>
  <c r="U1480" i="5"/>
  <c r="U1656" i="4"/>
  <c r="U1656" i="5"/>
  <c r="U1709" i="5"/>
  <c r="Q1926" i="4"/>
  <c r="Q1926" i="5"/>
  <c r="Q1951" i="5" s="1"/>
  <c r="Z1936" i="5"/>
  <c r="U1982" i="4"/>
  <c r="U1982" i="5"/>
  <c r="U2049" i="4"/>
  <c r="U2049" i="5"/>
  <c r="U2088" i="4"/>
  <c r="U2088" i="5"/>
  <c r="H2103" i="4"/>
  <c r="H2103" i="5"/>
  <c r="Z2154" i="5"/>
  <c r="Z2191" i="5"/>
  <c r="U2214" i="4"/>
  <c r="U2214" i="5"/>
  <c r="Q2234" i="4"/>
  <c r="Q2234" i="5"/>
  <c r="K2846" i="5"/>
  <c r="K2847" i="4"/>
  <c r="Q2308" i="4"/>
  <c r="Q2308" i="5"/>
  <c r="J2360" i="1"/>
  <c r="H2354" i="5"/>
  <c r="X2354" i="5" s="1"/>
  <c r="U2359" i="4"/>
  <c r="U2359" i="5"/>
  <c r="Q2433" i="4"/>
  <c r="Q2433" i="5"/>
  <c r="Q2437" i="4"/>
  <c r="Q2437" i="5"/>
  <c r="M2480" i="4"/>
  <c r="M2480" i="5"/>
  <c r="Z2557" i="5"/>
  <c r="U2610" i="4"/>
  <c r="U2612" i="4" s="1"/>
  <c r="U2610" i="5"/>
  <c r="U2612" i="5" s="1"/>
  <c r="U2680" i="4"/>
  <c r="U2680" i="5"/>
  <c r="M2691" i="4"/>
  <c r="M2691" i="5"/>
  <c r="X2855" i="4"/>
  <c r="H2886" i="4"/>
  <c r="M1981" i="4"/>
  <c r="M1981" i="5"/>
  <c r="X2161" i="5"/>
  <c r="Z2161" i="5" s="1"/>
  <c r="K2294" i="5"/>
  <c r="K2937" i="5" s="1"/>
  <c r="AB34" i="1"/>
  <c r="AA34" i="5"/>
  <c r="W173" i="1"/>
  <c r="V173" i="5"/>
  <c r="V473" i="5"/>
  <c r="U545" i="5"/>
  <c r="Z553" i="5"/>
  <c r="J857" i="1"/>
  <c r="H857" i="5"/>
  <c r="X857" i="5" s="1"/>
  <c r="Z857" i="5" s="1"/>
  <c r="X857" i="1"/>
  <c r="H902" i="5"/>
  <c r="X902" i="5" s="1"/>
  <c r="Z902" i="5" s="1"/>
  <c r="J902" i="1"/>
  <c r="Q947" i="5"/>
  <c r="Z1251" i="5"/>
  <c r="Z1457" i="5"/>
  <c r="X1474" i="5"/>
  <c r="Z1474" i="5" s="1"/>
  <c r="X1820" i="1"/>
  <c r="H1816" i="5"/>
  <c r="X1816" i="5" s="1"/>
  <c r="Z1816" i="5" s="1"/>
  <c r="M1864" i="1"/>
  <c r="H1860" i="5"/>
  <c r="X1860" i="5" s="1"/>
  <c r="Z1860" i="5" s="1"/>
  <c r="X127" i="5"/>
  <c r="Z127" i="5" s="1"/>
  <c r="J2782" i="1"/>
  <c r="J2898" i="1"/>
  <c r="X171" i="5"/>
  <c r="Z171" i="5" s="1"/>
  <c r="W177" i="1"/>
  <c r="V177" i="5"/>
  <c r="X220" i="5"/>
  <c r="Z220" i="5" s="1"/>
  <c r="Z289" i="5"/>
  <c r="W431" i="1"/>
  <c r="V430" i="5"/>
  <c r="W484" i="1"/>
  <c r="V483" i="5"/>
  <c r="W543" i="1"/>
  <c r="V542" i="5"/>
  <c r="V545" i="5" s="1"/>
  <c r="U737" i="4"/>
  <c r="U737" i="5"/>
  <c r="X761" i="5"/>
  <c r="Z761" i="5" s="1"/>
  <c r="X765" i="5"/>
  <c r="Z765" i="5" s="1"/>
  <c r="X785" i="1"/>
  <c r="H785" i="5"/>
  <c r="X785" i="5" s="1"/>
  <c r="Z785" i="5" s="1"/>
  <c r="X794" i="5"/>
  <c r="Z794" i="5" s="1"/>
  <c r="X928" i="5"/>
  <c r="Z928" i="5" s="1"/>
  <c r="X1264" i="5"/>
  <c r="Z1264" i="5" s="1"/>
  <c r="X1277" i="5"/>
  <c r="Z1277" i="5" s="1"/>
  <c r="F1309" i="5"/>
  <c r="F1543" i="5" s="1"/>
  <c r="F2929" i="5" s="1"/>
  <c r="X1324" i="5"/>
  <c r="Z1324" i="5" s="1"/>
  <c r="X1350" i="5"/>
  <c r="Z1350" i="5" s="1"/>
  <c r="X1368" i="5"/>
  <c r="Z1368" i="5" s="1"/>
  <c r="X1399" i="5"/>
  <c r="Z1399" i="5" s="1"/>
  <c r="H1541" i="5"/>
  <c r="H1543" i="5" s="1"/>
  <c r="V1611" i="1"/>
  <c r="H1608" i="5"/>
  <c r="X1608" i="5" s="1"/>
  <c r="X1673" i="5"/>
  <c r="V1704" i="5"/>
  <c r="W1707" i="1"/>
  <c r="W1733" i="1"/>
  <c r="V1730" i="5"/>
  <c r="Z1781" i="5"/>
  <c r="X1812" i="5"/>
  <c r="Z1812" i="5" s="1"/>
  <c r="Z1906" i="5"/>
  <c r="X1931" i="5"/>
  <c r="X1937" i="5"/>
  <c r="Z1937" i="5" s="1"/>
  <c r="Q1939" i="4"/>
  <c r="Q1939" i="5"/>
  <c r="U1980" i="4"/>
  <c r="U1980" i="5"/>
  <c r="X2046" i="5"/>
  <c r="Z2046" i="5" s="1"/>
  <c r="F2059" i="5"/>
  <c r="F2081" i="5" s="1"/>
  <c r="F2935" i="5" s="1"/>
  <c r="X2076" i="5"/>
  <c r="Z2076" i="5" s="1"/>
  <c r="X2205" i="5"/>
  <c r="Q2310" i="4"/>
  <c r="Q2310" i="5"/>
  <c r="Z2332" i="5"/>
  <c r="Q2439" i="4"/>
  <c r="Q2439" i="5"/>
  <c r="Z2548" i="5"/>
  <c r="X2562" i="5"/>
  <c r="Z2562" i="5" s="1"/>
  <c r="W139" i="1"/>
  <c r="X213" i="5"/>
  <c r="Z213" i="5" s="1"/>
  <c r="U645" i="4"/>
  <c r="U645" i="5"/>
  <c r="U798" i="4"/>
  <c r="U798" i="5"/>
  <c r="U802" i="5" s="1"/>
  <c r="X807" i="5"/>
  <c r="Z830" i="5"/>
  <c r="Z906" i="5"/>
  <c r="Z925" i="5"/>
  <c r="X1026" i="5"/>
  <c r="Z1026" i="5" s="1"/>
  <c r="X1228" i="5"/>
  <c r="J1280" i="1"/>
  <c r="H1279" i="5"/>
  <c r="X1279" i="5" s="1"/>
  <c r="Z1279" i="5" s="1"/>
  <c r="X1280" i="1"/>
  <c r="J1393" i="1"/>
  <c r="H1392" i="5"/>
  <c r="X1392" i="5" s="1"/>
  <c r="Z1392" i="5" s="1"/>
  <c r="X1459" i="5"/>
  <c r="Z1459" i="5" s="1"/>
  <c r="J1489" i="1"/>
  <c r="H1488" i="5"/>
  <c r="X1488" i="5" s="1"/>
  <c r="M1489" i="1"/>
  <c r="X1489" i="1"/>
  <c r="X1652" i="5"/>
  <c r="V1714" i="5"/>
  <c r="W1717" i="1"/>
  <c r="AA1733" i="1"/>
  <c r="M1886" i="4"/>
  <c r="M1886" i="5"/>
  <c r="Q2178" i="4"/>
  <c r="Q2178" i="5"/>
  <c r="U2239" i="4"/>
  <c r="U2239" i="5"/>
  <c r="Q2251" i="4"/>
  <c r="Q2251" i="5"/>
  <c r="F2366" i="5"/>
  <c r="F2448" i="5" s="1"/>
  <c r="F2939" i="5" s="1"/>
  <c r="J2359" i="1"/>
  <c r="H2353" i="5"/>
  <c r="X2353" i="5" s="1"/>
  <c r="J2421" i="4"/>
  <c r="J2421" i="5"/>
  <c r="X2479" i="5"/>
  <c r="U2530" i="4"/>
  <c r="U2530" i="5"/>
  <c r="U2551" i="4"/>
  <c r="U2551" i="5"/>
  <c r="U2593" i="4"/>
  <c r="U2593" i="5"/>
  <c r="U2597" i="4"/>
  <c r="U2597" i="5"/>
  <c r="U2674" i="4"/>
  <c r="U2674" i="5"/>
  <c r="V2736" i="4"/>
  <c r="V2736" i="5"/>
  <c r="M2745" i="4"/>
  <c r="M2745" i="5"/>
  <c r="AA84" i="1"/>
  <c r="H304" i="5"/>
  <c r="X304" i="5" s="1"/>
  <c r="Z304" i="5" s="1"/>
  <c r="J305" i="1"/>
  <c r="X305" i="1"/>
  <c r="X441" i="5"/>
  <c r="Z442" i="1"/>
  <c r="W652" i="1"/>
  <c r="V652" i="5"/>
  <c r="V738" i="5"/>
  <c r="W738" i="1"/>
  <c r="X751" i="5"/>
  <c r="Z751" i="5" s="1"/>
  <c r="H920" i="5"/>
  <c r="X920" i="5" s="1"/>
  <c r="Z920" i="5" s="1"/>
  <c r="J920" i="1"/>
  <c r="AA995" i="1"/>
  <c r="X1336" i="5"/>
  <c r="Z1336" i="5" s="1"/>
  <c r="V1632" i="4"/>
  <c r="V1632" i="5"/>
  <c r="U2119" i="4"/>
  <c r="U2119" i="5"/>
  <c r="J2132" i="4"/>
  <c r="J2132" i="5"/>
  <c r="X2356" i="5"/>
  <c r="Z2356" i="5" s="1"/>
  <c r="U2396" i="4"/>
  <c r="U2396" i="5"/>
  <c r="Q2435" i="4"/>
  <c r="Q2435" i="5"/>
  <c r="K204" i="1"/>
  <c r="I204" i="5"/>
  <c r="X223" i="5"/>
  <c r="Z223" i="5" s="1"/>
  <c r="M739" i="1"/>
  <c r="H739" i="5"/>
  <c r="X739" i="5" s="1"/>
  <c r="Z739" i="5" s="1"/>
  <c r="X739" i="1"/>
  <c r="X762" i="5"/>
  <c r="Z762" i="5" s="1"/>
  <c r="F844" i="5"/>
  <c r="U867" i="4"/>
  <c r="U867" i="5"/>
  <c r="Z1286" i="5"/>
  <c r="V1670" i="5"/>
  <c r="W1673" i="1"/>
  <c r="X1830" i="5"/>
  <c r="Z1830" i="5" s="1"/>
  <c r="F1922" i="5"/>
  <c r="U2091" i="4"/>
  <c r="U2091" i="5"/>
  <c r="Q2126" i="4"/>
  <c r="Q2126" i="5"/>
  <c r="X2237" i="5"/>
  <c r="Z2237" i="5" s="1"/>
  <c r="Q2266" i="4"/>
  <c r="Q2266" i="5"/>
  <c r="Q2292" i="5" s="1"/>
  <c r="U2363" i="4"/>
  <c r="U2363" i="5"/>
  <c r="Q2374" i="4"/>
  <c r="Q2374" i="5"/>
  <c r="Q2393" i="4"/>
  <c r="Q2393" i="5"/>
  <c r="U2518" i="4"/>
  <c r="U2518" i="5"/>
  <c r="U2554" i="4"/>
  <c r="U2554" i="5"/>
  <c r="Z2692" i="4"/>
  <c r="Z2692" i="5"/>
  <c r="X156" i="5"/>
  <c r="X772" i="5"/>
  <c r="Z772" i="5" s="1"/>
  <c r="U864" i="4"/>
  <c r="U864" i="5"/>
  <c r="U1025" i="2"/>
  <c r="U1072" i="5"/>
  <c r="X1116" i="5"/>
  <c r="Z1116" i="5" s="1"/>
  <c r="X1478" i="5"/>
  <c r="Z1478" i="5" s="1"/>
  <c r="X1491" i="5"/>
  <c r="Z1491" i="5" s="1"/>
  <c r="J1755" i="1"/>
  <c r="H1751" i="5"/>
  <c r="M1755" i="1"/>
  <c r="J1958" i="4"/>
  <c r="J1958" i="5"/>
  <c r="U1996" i="4"/>
  <c r="U1996" i="5"/>
  <c r="Q2148" i="4"/>
  <c r="Q2148" i="5"/>
  <c r="Z2235" i="5"/>
  <c r="Q2386" i="4"/>
  <c r="Q2386" i="5"/>
  <c r="X2438" i="5"/>
  <c r="Z2438" i="5" s="1"/>
  <c r="X2645" i="5"/>
  <c r="X2693" i="5"/>
  <c r="U2708" i="4"/>
  <c r="U2708" i="5"/>
  <c r="X2714" i="5"/>
  <c r="Z2714" i="5" s="1"/>
  <c r="Z2724" i="5"/>
  <c r="X2741" i="5"/>
  <c r="U2746" i="4"/>
  <c r="U2746" i="5"/>
  <c r="U2791" i="5"/>
  <c r="U2791" i="4"/>
  <c r="AA252" i="1"/>
  <c r="AA251" i="5" s="1"/>
  <c r="U251" i="5"/>
  <c r="H235" i="1"/>
  <c r="H228" i="5"/>
  <c r="X228" i="5" s="1"/>
  <c r="Z228" i="5" s="1"/>
  <c r="Z37" i="4"/>
  <c r="Z37" i="5"/>
  <c r="U394" i="4"/>
  <c r="U394" i="5"/>
  <c r="V802" i="5"/>
  <c r="Q261" i="5"/>
  <c r="Q421" i="5" s="1"/>
  <c r="Q2921" i="5" s="1"/>
  <c r="AA470" i="1"/>
  <c r="AA469" i="5" s="1"/>
  <c r="U469" i="5"/>
  <c r="U473" i="5" s="1"/>
  <c r="AA482" i="1"/>
  <c r="AA481" i="5" s="1"/>
  <c r="U481" i="5"/>
  <c r="V483" i="1"/>
  <c r="V482" i="5" s="1"/>
  <c r="H482" i="5"/>
  <c r="X482" i="5" s="1"/>
  <c r="Z482" i="5" s="1"/>
  <c r="W670" i="1"/>
  <c r="W670" i="5" s="1"/>
  <c r="V670" i="5"/>
  <c r="V691" i="5" s="1"/>
  <c r="U130" i="1"/>
  <c r="U122" i="5"/>
  <c r="AA1027" i="1"/>
  <c r="AA1026" i="5" s="1"/>
  <c r="U1026" i="5"/>
  <c r="J737" i="4"/>
  <c r="J737" i="5"/>
  <c r="W974" i="1"/>
  <c r="W973" i="5" s="1"/>
  <c r="V973" i="5"/>
  <c r="W977" i="1"/>
  <c r="W976" i="5" s="1"/>
  <c r="V976" i="5"/>
  <c r="AA1123" i="1"/>
  <c r="AA1122" i="5" s="1"/>
  <c r="U1122" i="5"/>
  <c r="U275" i="4"/>
  <c r="U275" i="5"/>
  <c r="V867" i="4"/>
  <c r="V867" i="5"/>
  <c r="J869" i="4"/>
  <c r="J869" i="5"/>
  <c r="U1888" i="4"/>
  <c r="U1888" i="5"/>
  <c r="AA1900" i="1"/>
  <c r="AA1896" i="5" s="1"/>
  <c r="U1896" i="5"/>
  <c r="Q1907" i="4"/>
  <c r="Q1907" i="5"/>
  <c r="U1911" i="4"/>
  <c r="U1911" i="5"/>
  <c r="J1957" i="4"/>
  <c r="J1957" i="5"/>
  <c r="Q2096" i="4"/>
  <c r="Q2096" i="5"/>
  <c r="J2105" i="4"/>
  <c r="J2105" i="5"/>
  <c r="Q2120" i="4"/>
  <c r="Q2120" i="5"/>
  <c r="Z2127" i="4"/>
  <c r="Z2127" i="5"/>
  <c r="J2157" i="4"/>
  <c r="J2157" i="5"/>
  <c r="U2161" i="4"/>
  <c r="U2161" i="5"/>
  <c r="Q2169" i="4"/>
  <c r="Q2169" i="5"/>
  <c r="Q2181" i="4"/>
  <c r="Q2181" i="5"/>
  <c r="Q2198" i="4"/>
  <c r="Q2198" i="5"/>
  <c r="Q2219" i="5" s="1"/>
  <c r="J2203" i="4"/>
  <c r="J2203" i="5"/>
  <c r="U2212" i="4"/>
  <c r="U2212" i="5"/>
  <c r="J2228" i="4"/>
  <c r="J2228" i="5"/>
  <c r="Q2252" i="4"/>
  <c r="Q2252" i="5"/>
  <c r="Q2287" i="4"/>
  <c r="Q2287" i="5"/>
  <c r="Q2305" i="4"/>
  <c r="Q2305" i="5"/>
  <c r="J2326" i="4"/>
  <c r="J2326" i="5"/>
  <c r="Q2338" i="4"/>
  <c r="Q2338" i="5"/>
  <c r="Q2347" i="4"/>
  <c r="Q2347" i="5"/>
  <c r="J2372" i="4"/>
  <c r="J2372" i="5"/>
  <c r="J2390" i="4"/>
  <c r="J2390" i="5"/>
  <c r="J2399" i="4"/>
  <c r="J2399" i="5"/>
  <c r="Q2415" i="4"/>
  <c r="Q2415" i="5"/>
  <c r="U2424" i="4"/>
  <c r="U2424" i="5"/>
  <c r="Q2440" i="4"/>
  <c r="Q2440" i="5"/>
  <c r="U2553" i="4"/>
  <c r="U2553" i="5"/>
  <c r="U2556" i="4"/>
  <c r="U2556" i="5"/>
  <c r="U2587" i="4"/>
  <c r="U2587" i="5"/>
  <c r="Z2590" i="4"/>
  <c r="Z2590" i="5"/>
  <c r="U2625" i="4"/>
  <c r="U2625" i="5"/>
  <c r="U2641" i="4"/>
  <c r="U2641" i="5"/>
  <c r="U2645" i="4"/>
  <c r="U2645" i="5"/>
  <c r="U2651" i="4"/>
  <c r="U2651" i="5"/>
  <c r="U2655" i="4"/>
  <c r="U2655" i="5"/>
  <c r="U2676" i="4"/>
  <c r="U2676" i="5"/>
  <c r="V2705" i="1"/>
  <c r="V2697" i="5" s="1"/>
  <c r="H2697" i="5"/>
  <c r="X2697" i="5" s="1"/>
  <c r="U2713" i="4"/>
  <c r="U2713" i="5"/>
  <c r="U2718" i="4"/>
  <c r="U2718" i="5"/>
  <c r="U2725" i="4"/>
  <c r="U2725" i="5"/>
  <c r="U2734" i="4"/>
  <c r="U2734" i="5"/>
  <c r="U2738" i="4"/>
  <c r="U2738" i="5"/>
  <c r="Z2742" i="4"/>
  <c r="Z2742" i="5"/>
  <c r="AA996" i="1"/>
  <c r="AA995" i="5" s="1"/>
  <c r="U995" i="5"/>
  <c r="AA1136" i="1"/>
  <c r="AA1135" i="5" s="1"/>
  <c r="U1135" i="5"/>
  <c r="U1143" i="5" s="1"/>
  <c r="J864" i="4"/>
  <c r="J864" i="5"/>
  <c r="V1209" i="4"/>
  <c r="V1209" i="5"/>
  <c r="Z1240" i="4"/>
  <c r="Z1240" i="5"/>
  <c r="H1403" i="1"/>
  <c r="H1389" i="5"/>
  <c r="X1389" i="5" s="1"/>
  <c r="Z1389" i="5" s="1"/>
  <c r="M545" i="5"/>
  <c r="V1592" i="5"/>
  <c r="U1611" i="4"/>
  <c r="U1611" i="5"/>
  <c r="U1654" i="4"/>
  <c r="U1654" i="5"/>
  <c r="U1671" i="4"/>
  <c r="U1671" i="5"/>
  <c r="Z1749" i="1"/>
  <c r="Z1745" i="5" s="1"/>
  <c r="X1745" i="5"/>
  <c r="J1914" i="4"/>
  <c r="J1914" i="5"/>
  <c r="J1948" i="4"/>
  <c r="J1948" i="5"/>
  <c r="Z1976" i="4"/>
  <c r="Z1976" i="5"/>
  <c r="Z1980" i="4"/>
  <c r="Z1980" i="5"/>
  <c r="Z1984" i="4"/>
  <c r="Z1984" i="5"/>
  <c r="V2053" i="4"/>
  <c r="V2053" i="5"/>
  <c r="Z2103" i="4"/>
  <c r="Z2103" i="5"/>
  <c r="J2127" i="4"/>
  <c r="J2127" i="5"/>
  <c r="J2145" i="4"/>
  <c r="J2145" i="5"/>
  <c r="Q2158" i="4"/>
  <c r="Q2158" i="5"/>
  <c r="Q2215" i="4"/>
  <c r="Q2215" i="5"/>
  <c r="J2235" i="4"/>
  <c r="J2235" i="5"/>
  <c r="Q2256" i="4"/>
  <c r="Q2256" i="5"/>
  <c r="Q2286" i="4"/>
  <c r="Q2286" i="5"/>
  <c r="J2394" i="4"/>
  <c r="J2394" i="5"/>
  <c r="V2678" i="4"/>
  <c r="V2678" i="5"/>
  <c r="U2800" i="5"/>
  <c r="U2800" i="4"/>
  <c r="Z980" i="1"/>
  <c r="Z979" i="5" s="1"/>
  <c r="U1208" i="4"/>
  <c r="U1208" i="5"/>
  <c r="H1340" i="1"/>
  <c r="H1320" i="5"/>
  <c r="X1320" i="5" s="1"/>
  <c r="Z1320" i="5" s="1"/>
  <c r="AB1491" i="4"/>
  <c r="AB1491" i="5"/>
  <c r="U1674" i="4"/>
  <c r="U1674" i="5"/>
  <c r="Q1915" i="4"/>
  <c r="Q1915" i="5"/>
  <c r="Q1934" i="4"/>
  <c r="Q1934" i="5"/>
  <c r="Q1947" i="4"/>
  <c r="Q1947" i="5"/>
  <c r="U1949" i="4"/>
  <c r="U1949" i="5"/>
  <c r="V2036" i="1"/>
  <c r="V2032" i="5" s="1"/>
  <c r="U2034" i="4"/>
  <c r="U2034" i="5"/>
  <c r="J2092" i="4"/>
  <c r="J2092" i="5"/>
  <c r="Q2099" i="4"/>
  <c r="Q2099" i="5"/>
  <c r="U2117" i="4"/>
  <c r="U2117" i="5"/>
  <c r="Q2122" i="4"/>
  <c r="Q2122" i="5"/>
  <c r="J2134" i="4"/>
  <c r="J2134" i="5"/>
  <c r="Q2143" i="4"/>
  <c r="Q2143" i="5"/>
  <c r="U2171" i="4"/>
  <c r="U2171" i="5"/>
  <c r="U2213" i="4"/>
  <c r="U2213" i="5"/>
  <c r="U2248" i="4"/>
  <c r="U2248" i="5"/>
  <c r="Q2288" i="4"/>
  <c r="Q2288" i="5"/>
  <c r="Q2307" i="4"/>
  <c r="Q2307" i="5"/>
  <c r="Q2323" i="4"/>
  <c r="Q2323" i="5"/>
  <c r="Q2341" i="5" s="1"/>
  <c r="Q2399" i="4"/>
  <c r="Q2399" i="5"/>
  <c r="J2852" i="5"/>
  <c r="J2853" i="4"/>
  <c r="U2435" i="4"/>
  <c r="U2435" i="5"/>
  <c r="U2439" i="4"/>
  <c r="U2439" i="5"/>
  <c r="J2444" i="4"/>
  <c r="J2444" i="5"/>
  <c r="AA2499" i="1"/>
  <c r="AA2491" i="5" s="1"/>
  <c r="U2491" i="5"/>
  <c r="U2495" i="4"/>
  <c r="U2495" i="5"/>
  <c r="AB2781" i="5"/>
  <c r="AB2781" i="4"/>
  <c r="AA2875" i="5"/>
  <c r="AA2876" i="4"/>
  <c r="X1202" i="4"/>
  <c r="X1202" i="5"/>
  <c r="J1235" i="4"/>
  <c r="J1235" i="5"/>
  <c r="Z1615" i="4"/>
  <c r="Z1615" i="5"/>
  <c r="AA1689" i="1"/>
  <c r="AA1686" i="5" s="1"/>
  <c r="U1686" i="5"/>
  <c r="U1697" i="5" s="1"/>
  <c r="M1820" i="5"/>
  <c r="Q1904" i="4"/>
  <c r="Q1904" i="5"/>
  <c r="Q1938" i="4"/>
  <c r="Q1938" i="5"/>
  <c r="J1955" i="4"/>
  <c r="J1955" i="5"/>
  <c r="J1967" i="5" s="1"/>
  <c r="V2029" i="1"/>
  <c r="V2025" i="5" s="1"/>
  <c r="H2025" i="5"/>
  <c r="X2025" i="5" s="1"/>
  <c r="Z2025" i="5" s="1"/>
  <c r="U2158" i="4"/>
  <c r="U2158" i="5"/>
  <c r="U2215" i="4"/>
  <c r="U2215" i="5"/>
  <c r="U2226" i="4"/>
  <c r="U2226" i="5"/>
  <c r="Q2233" i="4"/>
  <c r="Q2233" i="5"/>
  <c r="U2272" i="4"/>
  <c r="U2272" i="5"/>
  <c r="AB1483" i="1"/>
  <c r="AB1482" i="5" s="1"/>
  <c r="AA1482" i="5"/>
  <c r="K2844" i="5"/>
  <c r="K2845" i="4"/>
  <c r="H691" i="1"/>
  <c r="H678" i="5"/>
  <c r="X678" i="5" s="1"/>
  <c r="Z678" i="5" s="1"/>
  <c r="W787" i="1"/>
  <c r="W787" i="5" s="1"/>
  <c r="V787" i="5"/>
  <c r="H985" i="1"/>
  <c r="H987" i="1" s="1"/>
  <c r="H982" i="5"/>
  <c r="Z1236" i="4"/>
  <c r="Z1236" i="5"/>
  <c r="AB1285" i="1"/>
  <c r="AB1284" i="5" s="1"/>
  <c r="AA1284" i="5"/>
  <c r="V1675" i="1"/>
  <c r="V1672" i="5" s="1"/>
  <c r="Q1917" i="4"/>
  <c r="Q1917" i="5"/>
  <c r="U1929" i="4"/>
  <c r="U1929" i="5"/>
  <c r="U1935" i="4"/>
  <c r="U1935" i="5"/>
  <c r="Z2008" i="4"/>
  <c r="Z2008" i="5"/>
  <c r="U2092" i="4"/>
  <c r="U2092" i="5"/>
  <c r="Q2105" i="4"/>
  <c r="Q2105" i="5"/>
  <c r="U2118" i="4"/>
  <c r="U2118" i="5"/>
  <c r="U2125" i="4"/>
  <c r="U2125" i="5"/>
  <c r="Q2171" i="4"/>
  <c r="Q2171" i="5"/>
  <c r="U2201" i="4"/>
  <c r="U2201" i="5"/>
  <c r="Q2240" i="4"/>
  <c r="Q2240" i="5"/>
  <c r="U2254" i="4"/>
  <c r="U2254" i="5"/>
  <c r="U2275" i="4"/>
  <c r="U2275" i="5"/>
  <c r="J2339" i="4"/>
  <c r="J2339" i="5"/>
  <c r="Q2406" i="4"/>
  <c r="Q2406" i="5"/>
  <c r="Z2631" i="4"/>
  <c r="Z2631" i="5"/>
  <c r="V2674" i="4"/>
  <c r="V2674" i="5"/>
  <c r="W2715" i="4"/>
  <c r="W2715" i="5"/>
  <c r="Z2744" i="4"/>
  <c r="Z2744" i="5"/>
  <c r="AA2882" i="5"/>
  <c r="AA2883" i="4"/>
  <c r="Q743" i="5"/>
  <c r="H1245" i="1"/>
  <c r="H1234" i="5"/>
  <c r="X1234" i="5" s="1"/>
  <c r="Z1238" i="4"/>
  <c r="Z1238" i="5"/>
  <c r="AA1290" i="1"/>
  <c r="AA1289" i="5" s="1"/>
  <c r="U1289" i="5"/>
  <c r="U1309" i="5" s="1"/>
  <c r="U1595" i="1"/>
  <c r="U1692" i="4"/>
  <c r="U1692" i="5"/>
  <c r="J1767" i="5"/>
  <c r="U1906" i="4"/>
  <c r="U1906" i="5"/>
  <c r="U2005" i="4"/>
  <c r="U2005" i="5"/>
  <c r="Q2131" i="4"/>
  <c r="Q2131" i="5"/>
  <c r="U2143" i="4"/>
  <c r="U2143" i="5"/>
  <c r="Q2278" i="4"/>
  <c r="Q2278" i="5"/>
  <c r="Z2302" i="4"/>
  <c r="Z2302" i="5"/>
  <c r="U2326" i="4"/>
  <c r="U2326" i="5"/>
  <c r="I2845" i="5"/>
  <c r="I2846" i="4"/>
  <c r="V1720" i="5"/>
  <c r="U2802" i="5"/>
  <c r="U2802" i="4"/>
  <c r="AB2878" i="5"/>
  <c r="AB2879" i="4"/>
  <c r="U2485" i="4"/>
  <c r="U2485" i="5"/>
  <c r="W2738" i="4"/>
  <c r="W2738" i="5"/>
  <c r="Z1636" i="4"/>
  <c r="Z1636" i="5"/>
  <c r="AA1783" i="1"/>
  <c r="AA1779" i="5" s="1"/>
  <c r="Q1959" i="4"/>
  <c r="Q1959" i="5"/>
  <c r="Z1996" i="4"/>
  <c r="Z1996" i="5"/>
  <c r="U2095" i="4"/>
  <c r="U2095" i="5"/>
  <c r="J2126" i="4"/>
  <c r="J2126" i="5"/>
  <c r="Q2180" i="4"/>
  <c r="Q2180" i="5"/>
  <c r="U2182" i="4"/>
  <c r="U2182" i="5"/>
  <c r="Q2339" i="4"/>
  <c r="Q2339" i="5"/>
  <c r="Q2355" i="4"/>
  <c r="Q2355" i="5"/>
  <c r="U2391" i="4"/>
  <c r="U2391" i="5"/>
  <c r="W2461" i="4"/>
  <c r="W2461" i="5"/>
  <c r="Z2484" i="4"/>
  <c r="Z2484" i="5"/>
  <c r="W2492" i="4"/>
  <c r="W2492" i="5"/>
  <c r="U2527" i="4"/>
  <c r="U2527" i="5"/>
  <c r="W2624" i="4"/>
  <c r="W2624" i="5"/>
  <c r="U2733" i="4"/>
  <c r="U2733" i="5"/>
  <c r="Z2738" i="4"/>
  <c r="Z2738" i="5"/>
  <c r="R2845" i="5"/>
  <c r="R2846" i="4"/>
  <c r="M2779" i="5"/>
  <c r="M2779" i="4"/>
  <c r="AA2798" i="5"/>
  <c r="AA2798" i="4"/>
  <c r="AA2852" i="5"/>
  <c r="AA2853" i="4"/>
  <c r="U2199" i="4"/>
  <c r="U2199" i="5"/>
  <c r="J2232" i="4"/>
  <c r="J2232" i="5"/>
  <c r="Q2285" i="4"/>
  <c r="Q2285" i="5"/>
  <c r="Q2333" i="4"/>
  <c r="Q2333" i="5"/>
  <c r="Z2474" i="4"/>
  <c r="Z2474" i="5"/>
  <c r="Z2620" i="4"/>
  <c r="Z2620" i="5"/>
  <c r="M2805" i="5"/>
  <c r="M2805" i="4"/>
  <c r="AA2862" i="5"/>
  <c r="AA2863" i="4"/>
  <c r="U1365" i="4"/>
  <c r="U1365" i="5"/>
  <c r="Q1963" i="4"/>
  <c r="Q1963" i="5"/>
  <c r="U2002" i="4"/>
  <c r="U2002" i="5"/>
  <c r="Q2147" i="4"/>
  <c r="Q2147" i="5"/>
  <c r="U2151" i="4"/>
  <c r="U2151" i="5"/>
  <c r="Z2477" i="4"/>
  <c r="Z2477" i="5"/>
  <c r="U2671" i="4"/>
  <c r="U2671" i="5"/>
  <c r="Z2702" i="4"/>
  <c r="Z2702" i="5"/>
  <c r="U2847" i="5"/>
  <c r="U2848" i="4"/>
  <c r="AA2877" i="5"/>
  <c r="AA2878" i="4"/>
  <c r="Z2582" i="4"/>
  <c r="Z2582" i="5"/>
  <c r="M2789" i="5"/>
  <c r="M2789" i="4"/>
  <c r="M1720" i="5"/>
  <c r="U1941" i="4"/>
  <c r="U1941" i="5"/>
  <c r="Z1994" i="4"/>
  <c r="Z1994" i="5"/>
  <c r="U2035" i="4"/>
  <c r="U2035" i="5"/>
  <c r="Q2241" i="4"/>
  <c r="Q2241" i="5"/>
  <c r="J2311" i="4"/>
  <c r="J2311" i="5"/>
  <c r="J2327" i="4"/>
  <c r="J2327" i="5"/>
  <c r="Q2346" i="4"/>
  <c r="Q2346" i="5"/>
  <c r="U2349" i="4"/>
  <c r="U2349" i="5"/>
  <c r="J2416" i="4"/>
  <c r="J2416" i="5"/>
  <c r="I2848" i="5"/>
  <c r="I2849" i="4"/>
  <c r="U2545" i="4"/>
  <c r="U2545" i="5"/>
  <c r="U2619" i="4"/>
  <c r="U2619" i="5"/>
  <c r="W2645" i="4"/>
  <c r="W2645" i="5"/>
  <c r="Z2739" i="4"/>
  <c r="Z2739" i="5"/>
  <c r="Z2743" i="4"/>
  <c r="Z2743" i="5"/>
  <c r="M2849" i="5"/>
  <c r="M2850" i="4"/>
  <c r="R2849" i="5"/>
  <c r="R2850" i="4"/>
  <c r="U1723" i="1"/>
  <c r="U1715" i="5"/>
  <c r="J1965" i="4"/>
  <c r="J1965" i="5"/>
  <c r="W1994" i="1"/>
  <c r="W1990" i="5" s="1"/>
  <c r="V1990" i="5"/>
  <c r="Z2091" i="4"/>
  <c r="Z2091" i="5"/>
  <c r="Q2257" i="4"/>
  <c r="Q2257" i="5"/>
  <c r="Q2275" i="4"/>
  <c r="Q2275" i="5"/>
  <c r="U2577" i="4"/>
  <c r="U2577" i="5"/>
  <c r="U1428" i="4"/>
  <c r="U1428" i="5"/>
  <c r="J1906" i="4"/>
  <c r="J1906" i="5"/>
  <c r="U1946" i="4"/>
  <c r="U1946" i="5"/>
  <c r="Z1992" i="4"/>
  <c r="Z1992" i="5"/>
  <c r="J2119" i="4"/>
  <c r="J2119" i="5"/>
  <c r="Q2165" i="4"/>
  <c r="Q2165" i="5"/>
  <c r="U2168" i="4"/>
  <c r="U2168" i="5"/>
  <c r="U2330" i="4"/>
  <c r="U2330" i="5"/>
  <c r="Q2376" i="4"/>
  <c r="Q2376" i="5"/>
  <c r="U2380" i="4"/>
  <c r="U2380" i="5"/>
  <c r="Z2485" i="4"/>
  <c r="Z2485" i="5"/>
  <c r="Z2621" i="4"/>
  <c r="Z2621" i="5"/>
  <c r="T2803" i="5"/>
  <c r="T2885" i="5" s="1"/>
  <c r="T2803" i="4"/>
  <c r="M2863" i="5"/>
  <c r="M2864" i="4"/>
  <c r="Z252" i="1"/>
  <c r="X251" i="5"/>
  <c r="M251" i="4"/>
  <c r="M251" i="5"/>
  <c r="H447" i="1"/>
  <c r="H426" i="5"/>
  <c r="AA944" i="1"/>
  <c r="AA944" i="5" s="1"/>
  <c r="U944" i="5"/>
  <c r="J1208" i="4"/>
  <c r="J1208" i="5"/>
  <c r="W80" i="1"/>
  <c r="V80" i="5"/>
  <c r="X249" i="4"/>
  <c r="X249" i="5"/>
  <c r="AA251" i="1"/>
  <c r="AA250" i="5" s="1"/>
  <c r="M250" i="5"/>
  <c r="J285" i="4"/>
  <c r="J285" i="5"/>
  <c r="J295" i="2"/>
  <c r="J308" i="5"/>
  <c r="J317" i="4"/>
  <c r="J317" i="5"/>
  <c r="AA351" i="1"/>
  <c r="AA350" i="5" s="1"/>
  <c r="M350" i="5"/>
  <c r="M392" i="2"/>
  <c r="M410" i="5"/>
  <c r="V651" i="4"/>
  <c r="V651" i="5"/>
  <c r="V661" i="5" s="1"/>
  <c r="M657" i="2"/>
  <c r="M687" i="5"/>
  <c r="U775" i="4"/>
  <c r="U775" i="5"/>
  <c r="Q913" i="4"/>
  <c r="Q913" i="5"/>
  <c r="M1080" i="4"/>
  <c r="M1080" i="5"/>
  <c r="AA862" i="1"/>
  <c r="U862" i="5"/>
  <c r="M395" i="4"/>
  <c r="M395" i="5"/>
  <c r="Q703" i="4"/>
  <c r="Q703" i="5"/>
  <c r="Q714" i="5" s="1"/>
  <c r="U812" i="4"/>
  <c r="U812" i="5"/>
  <c r="AA887" i="1"/>
  <c r="U980" i="4"/>
  <c r="U980" i="5"/>
  <c r="AA1079" i="4"/>
  <c r="AA1079" i="5"/>
  <c r="W1239" i="1"/>
  <c r="V1238" i="5"/>
  <c r="U1212" i="2"/>
  <c r="U1271" i="5"/>
  <c r="V1326" i="4"/>
  <c r="V1326" i="5"/>
  <c r="U1362" i="4"/>
  <c r="U1362" i="5"/>
  <c r="AA1382" i="1"/>
  <c r="M1381" i="5"/>
  <c r="V1446" i="4"/>
  <c r="V1446" i="5"/>
  <c r="V1459" i="4"/>
  <c r="V1459" i="5"/>
  <c r="U1399" i="2"/>
  <c r="U1475" i="5"/>
  <c r="U1497" i="5" s="1"/>
  <c r="Q1418" i="2"/>
  <c r="Q1495" i="5"/>
  <c r="U1453" i="2"/>
  <c r="U1530" i="5"/>
  <c r="AA1583" i="1"/>
  <c r="AA1580" i="5" s="1"/>
  <c r="M1580" i="5"/>
  <c r="AA1604" i="1"/>
  <c r="AA1601" i="5" s="1"/>
  <c r="M1601" i="5"/>
  <c r="M1615" i="4"/>
  <c r="M1615" i="5"/>
  <c r="W1649" i="1"/>
  <c r="W1646" i="5" s="1"/>
  <c r="V1646" i="5"/>
  <c r="X1752" i="4"/>
  <c r="X1752" i="5"/>
  <c r="Q1698" i="2"/>
  <c r="Q1789" i="5"/>
  <c r="Q1802" i="5" s="1"/>
  <c r="M1862" i="4"/>
  <c r="M1862" i="5"/>
  <c r="AA1906" i="1"/>
  <c r="AA1902" i="5" s="1"/>
  <c r="M1902" i="5"/>
  <c r="J1931" i="4"/>
  <c r="J1931" i="5"/>
  <c r="J1937" i="4"/>
  <c r="J1937" i="5"/>
  <c r="U1958" i="4"/>
  <c r="U1958" i="5"/>
  <c r="M2005" i="1"/>
  <c r="M2001" i="5" s="1"/>
  <c r="H2001" i="5"/>
  <c r="X2001" i="5" s="1"/>
  <c r="M2022" i="4"/>
  <c r="M2022" i="5"/>
  <c r="U2043" i="4"/>
  <c r="U2043" i="5"/>
  <c r="V2064" i="4"/>
  <c r="V2064" i="5"/>
  <c r="V2079" i="5" s="1"/>
  <c r="V2072" i="4"/>
  <c r="V2072" i="5"/>
  <c r="Q2088" i="4"/>
  <c r="Q2088" i="5"/>
  <c r="U2093" i="4"/>
  <c r="U2093" i="5"/>
  <c r="Z2101" i="4"/>
  <c r="Z2101" i="5"/>
  <c r="U2133" i="4"/>
  <c r="U2133" i="5"/>
  <c r="U2149" i="4"/>
  <c r="U2149" i="5"/>
  <c r="U2178" i="4"/>
  <c r="U2178" i="5"/>
  <c r="M2185" i="4"/>
  <c r="M2185" i="5"/>
  <c r="M2194" i="5" s="1"/>
  <c r="J2205" i="4"/>
  <c r="J2205" i="5"/>
  <c r="U2209" i="4"/>
  <c r="U2209" i="5"/>
  <c r="H2226" i="4"/>
  <c r="H2226" i="5"/>
  <c r="X2226" i="5" s="1"/>
  <c r="Q2239" i="4"/>
  <c r="Q2239" i="5"/>
  <c r="J2260" i="1"/>
  <c r="H2256" i="5"/>
  <c r="X2256" i="5" s="1"/>
  <c r="U2273" i="4"/>
  <c r="U2273" i="5"/>
  <c r="Q2289" i="4"/>
  <c r="Q2289" i="5"/>
  <c r="J2305" i="4"/>
  <c r="J2305" i="5"/>
  <c r="U2309" i="4"/>
  <c r="U2309" i="5"/>
  <c r="M2337" i="1"/>
  <c r="M2331" i="5" s="1"/>
  <c r="H2331" i="5"/>
  <c r="X2331" i="5" s="1"/>
  <c r="Z2331" i="5" s="1"/>
  <c r="U2350" i="4"/>
  <c r="U2350" i="5"/>
  <c r="U2371" i="4"/>
  <c r="U2371" i="5"/>
  <c r="U2382" i="5" s="1"/>
  <c r="AA2385" i="1"/>
  <c r="AA2379" i="5" s="1"/>
  <c r="M2379" i="5"/>
  <c r="U2421" i="4"/>
  <c r="U2421" i="5"/>
  <c r="M2434" i="4"/>
  <c r="M2434" i="5"/>
  <c r="AA2448" i="1"/>
  <c r="AA2442" i="5" s="1"/>
  <c r="M2442" i="5"/>
  <c r="U2461" i="4"/>
  <c r="U2461" i="5"/>
  <c r="M2474" i="4"/>
  <c r="M2474" i="5"/>
  <c r="W2510" i="1"/>
  <c r="W2502" i="5" s="1"/>
  <c r="V2502" i="5"/>
  <c r="AA2473" i="2"/>
  <c r="AB2473" i="2" s="1"/>
  <c r="AA155" i="1"/>
  <c r="AA155" i="5" s="1"/>
  <c r="U155" i="5"/>
  <c r="U160" i="4"/>
  <c r="U160" i="5"/>
  <c r="X237" i="2"/>
  <c r="X247" i="5"/>
  <c r="W508" i="1"/>
  <c r="W507" i="5" s="1"/>
  <c r="V507" i="5"/>
  <c r="V654" i="4"/>
  <c r="V654" i="5"/>
  <c r="U683" i="4"/>
  <c r="U683" i="5"/>
  <c r="M692" i="2"/>
  <c r="M722" i="5"/>
  <c r="M725" i="4"/>
  <c r="M725" i="5"/>
  <c r="W766" i="1"/>
  <c r="W766" i="5" s="1"/>
  <c r="V766" i="5"/>
  <c r="U773" i="4"/>
  <c r="U773" i="5"/>
  <c r="U798" i="2"/>
  <c r="U832" i="5"/>
  <c r="J825" i="2"/>
  <c r="J860" i="5"/>
  <c r="U891" i="4"/>
  <c r="U891" i="5"/>
  <c r="M917" i="4"/>
  <c r="M917" i="5"/>
  <c r="AA937" i="1"/>
  <c r="U937" i="5"/>
  <c r="O916" i="2"/>
  <c r="O959" i="5"/>
  <c r="U992" i="2"/>
  <c r="U1037" i="5"/>
  <c r="U1014" i="2"/>
  <c r="U1059" i="5"/>
  <c r="M1101" i="4"/>
  <c r="M1101" i="5"/>
  <c r="AA1151" i="1"/>
  <c r="AA1150" i="5" s="1"/>
  <c r="U1150" i="5"/>
  <c r="M1163" i="1"/>
  <c r="H1162" i="5"/>
  <c r="X1162" i="5" s="1"/>
  <c r="Z1162" i="5" s="1"/>
  <c r="Q1165" i="2"/>
  <c r="Q1219" i="5"/>
  <c r="Q1244" i="5" s="1"/>
  <c r="U1277" i="4"/>
  <c r="U1277" i="5"/>
  <c r="J1364" i="4"/>
  <c r="J1364" i="5"/>
  <c r="U1466" i="4"/>
  <c r="U1466" i="5"/>
  <c r="U1945" i="4"/>
  <c r="U1945" i="5"/>
  <c r="Q1958" i="4"/>
  <c r="Q1958" i="5"/>
  <c r="U1994" i="4"/>
  <c r="U1994" i="5"/>
  <c r="U2045" i="4"/>
  <c r="U2045" i="5"/>
  <c r="AA57" i="1"/>
  <c r="M57" i="5"/>
  <c r="K199" i="1"/>
  <c r="I199" i="5"/>
  <c r="U354" i="4"/>
  <c r="U354" i="5"/>
  <c r="U369" i="5" s="1"/>
  <c r="AA672" i="1"/>
  <c r="M672" i="5"/>
  <c r="M691" i="5" s="1"/>
  <c r="U823" i="5"/>
  <c r="U1061" i="4"/>
  <c r="U1061" i="5"/>
  <c r="W1178" i="1"/>
  <c r="W1177" i="5" s="1"/>
  <c r="V1177" i="5"/>
  <c r="AA1204" i="1"/>
  <c r="AA1203" i="5" s="1"/>
  <c r="U1203" i="5"/>
  <c r="AA1347" i="4"/>
  <c r="AA1347" i="5"/>
  <c r="AB1448" i="1"/>
  <c r="AB1447" i="5" s="1"/>
  <c r="AA1447" i="5"/>
  <c r="AA1725" i="4"/>
  <c r="AA1725" i="5"/>
  <c r="M2519" i="4"/>
  <c r="M2519" i="5"/>
  <c r="W2567" i="1"/>
  <c r="V2559" i="5"/>
  <c r="U2574" i="4"/>
  <c r="U2574" i="5"/>
  <c r="U2608" i="5" s="1"/>
  <c r="V2592" i="4"/>
  <c r="V2592" i="5"/>
  <c r="V2620" i="4"/>
  <c r="V2620" i="5"/>
  <c r="W2651" i="1"/>
  <c r="V2643" i="5"/>
  <c r="X2707" i="1"/>
  <c r="Z2707" i="1" s="1"/>
  <c r="H2699" i="5"/>
  <c r="X2699" i="5" s="1"/>
  <c r="W2753" i="1"/>
  <c r="V2745" i="5"/>
  <c r="AB2792" i="1"/>
  <c r="AA2783" i="5"/>
  <c r="AA2783" i="4"/>
  <c r="AA1250" i="4"/>
  <c r="AA1250" i="5"/>
  <c r="M27" i="2"/>
  <c r="M28" i="5"/>
  <c r="W747" i="1"/>
  <c r="W747" i="5" s="1"/>
  <c r="V747" i="5"/>
  <c r="M916" i="4"/>
  <c r="M916" i="5"/>
  <c r="U1028" i="4"/>
  <c r="U1028" i="5"/>
  <c r="V1229" i="4"/>
  <c r="V1229" i="5"/>
  <c r="W1239" i="4"/>
  <c r="W1239" i="5"/>
  <c r="J1307" i="4"/>
  <c r="J1307" i="5"/>
  <c r="V1324" i="4"/>
  <c r="V1324" i="5"/>
  <c r="V1356" i="4"/>
  <c r="V1356" i="5"/>
  <c r="U1310" i="2"/>
  <c r="U1379" i="5"/>
  <c r="Q1390" i="4"/>
  <c r="Q1390" i="5"/>
  <c r="U1414" i="4"/>
  <c r="U1414" i="5"/>
  <c r="U2096" i="4"/>
  <c r="U2096" i="5"/>
  <c r="J2124" i="4"/>
  <c r="J2124" i="5"/>
  <c r="U2183" i="4"/>
  <c r="U2183" i="5"/>
  <c r="U2232" i="4"/>
  <c r="U2232" i="5"/>
  <c r="J2237" i="4"/>
  <c r="J2237" i="5"/>
  <c r="U2253" i="4"/>
  <c r="U2253" i="5"/>
  <c r="Q2331" i="4"/>
  <c r="Q2331" i="5"/>
  <c r="M2428" i="5"/>
  <c r="M104" i="4"/>
  <c r="M104" i="5"/>
  <c r="M1006" i="1"/>
  <c r="H1005" i="5"/>
  <c r="X1005" i="5" s="1"/>
  <c r="Z1005" i="5" s="1"/>
  <c r="U1433" i="5"/>
  <c r="M2160" i="4"/>
  <c r="M2160" i="5"/>
  <c r="J2358" i="4"/>
  <c r="J2358" i="5"/>
  <c r="U2443" i="4"/>
  <c r="U2443" i="5"/>
  <c r="U2580" i="4"/>
  <c r="U2580" i="5"/>
  <c r="V2550" i="4"/>
  <c r="V2550" i="5"/>
  <c r="U2633" i="4"/>
  <c r="U2633" i="5"/>
  <c r="Z2679" i="4"/>
  <c r="Z2679" i="5"/>
  <c r="U2695" i="4"/>
  <c r="U2695" i="5"/>
  <c r="M2801" i="5"/>
  <c r="M2801" i="4"/>
  <c r="W676" i="1"/>
  <c r="V676" i="5"/>
  <c r="AA863" i="1"/>
  <c r="AA863" i="5" s="1"/>
  <c r="U863" i="5"/>
  <c r="AA877" i="1"/>
  <c r="AA877" i="5" s="1"/>
  <c r="U877" i="5"/>
  <c r="AA1152" i="1"/>
  <c r="M1151" i="5"/>
  <c r="AA1298" i="1"/>
  <c r="M1297" i="5"/>
  <c r="X1976" i="4"/>
  <c r="X1976" i="5"/>
  <c r="U2001" i="4"/>
  <c r="U2001" i="5"/>
  <c r="U2053" i="4"/>
  <c r="U2053" i="5"/>
  <c r="U2100" i="4"/>
  <c r="U2100" i="5"/>
  <c r="Q2400" i="4"/>
  <c r="Q2400" i="5"/>
  <c r="U2457" i="4"/>
  <c r="U2457" i="5"/>
  <c r="U2563" i="4"/>
  <c r="U2563" i="5"/>
  <c r="U2650" i="4"/>
  <c r="U2650" i="5"/>
  <c r="AA1452" i="1"/>
  <c r="M1451" i="5"/>
  <c r="U1691" i="4"/>
  <c r="U1691" i="5"/>
  <c r="U2777" i="5"/>
  <c r="U2777" i="4"/>
  <c r="W1047" i="1"/>
  <c r="V1046" i="5"/>
  <c r="W1111" i="1"/>
  <c r="V1110" i="5"/>
  <c r="U1194" i="2"/>
  <c r="U1253" i="5"/>
  <c r="U1281" i="5" s="1"/>
  <c r="Q1202" i="2"/>
  <c r="Q1261" i="5"/>
  <c r="M1233" i="2"/>
  <c r="M1296" i="5"/>
  <c r="U1249" i="2"/>
  <c r="U1312" i="5"/>
  <c r="Q1312" i="2"/>
  <c r="Q1381" i="5"/>
  <c r="Q1402" i="5" s="1"/>
  <c r="V1376" i="2"/>
  <c r="V1447" i="5"/>
  <c r="W1495" i="1"/>
  <c r="W1494" i="5" s="1"/>
  <c r="V1494" i="5"/>
  <c r="U1441" i="2"/>
  <c r="U1518" i="5"/>
  <c r="U1531" i="2"/>
  <c r="U1609" i="5"/>
  <c r="U1662" i="1"/>
  <c r="U1644" i="5"/>
  <c r="AA1791" i="1"/>
  <c r="M1787" i="5"/>
  <c r="M1802" i="5" s="1"/>
  <c r="J1700" i="2"/>
  <c r="J1791" i="5"/>
  <c r="Q1823" i="4"/>
  <c r="Q1823" i="5"/>
  <c r="Q1843" i="5" s="1"/>
  <c r="U1942" i="4"/>
  <c r="U1942" i="5"/>
  <c r="M2077" i="4"/>
  <c r="M2077" i="5"/>
  <c r="J2212" i="1"/>
  <c r="H2208" i="5"/>
  <c r="X2208" i="5" s="1"/>
  <c r="J2216" i="4"/>
  <c r="J2216" i="5"/>
  <c r="AA2368" i="1"/>
  <c r="AA2362" i="5" s="1"/>
  <c r="M2362" i="5"/>
  <c r="AA2378" i="1"/>
  <c r="AA2372" i="5" s="1"/>
  <c r="M2372" i="5"/>
  <c r="M2497" i="4"/>
  <c r="M2497" i="5"/>
  <c r="M2499" i="5" s="1"/>
  <c r="U2618" i="4"/>
  <c r="U2618" i="5"/>
  <c r="M2689" i="4"/>
  <c r="M2689" i="5"/>
  <c r="U2731" i="4"/>
  <c r="U2731" i="5"/>
  <c r="W141" i="1"/>
  <c r="V141" i="5"/>
  <c r="AA927" i="1"/>
  <c r="M927" i="5"/>
  <c r="Z1173" i="2"/>
  <c r="Z1227" i="5"/>
  <c r="J1384" i="4"/>
  <c r="J1384" i="5"/>
  <c r="M2224" i="4"/>
  <c r="M2224" i="5"/>
  <c r="U2375" i="4"/>
  <c r="U2375" i="5"/>
  <c r="U2512" i="4"/>
  <c r="U2512" i="5"/>
  <c r="U2532" i="4"/>
  <c r="U2532" i="5"/>
  <c r="X2674" i="4"/>
  <c r="X2674" i="5"/>
  <c r="AA2853" i="5"/>
  <c r="AA2854" i="4"/>
  <c r="AA2771" i="5"/>
  <c r="AA2771" i="4"/>
  <c r="M22" i="5"/>
  <c r="W117" i="1"/>
  <c r="V117" i="5"/>
  <c r="M139" i="2"/>
  <c r="M146" i="5"/>
  <c r="AA173" i="1"/>
  <c r="M173" i="5"/>
  <c r="U194" i="2"/>
  <c r="U203" i="5"/>
  <c r="U535" i="5"/>
  <c r="M570" i="5"/>
  <c r="M592" i="2"/>
  <c r="M616" i="5"/>
  <c r="M625" i="5" s="1"/>
  <c r="M980" i="1"/>
  <c r="H979" i="5"/>
  <c r="N1013" i="5"/>
  <c r="N1190" i="5" s="1"/>
  <c r="N2927" i="5" s="1"/>
  <c r="AA1053" i="1"/>
  <c r="M1052" i="5"/>
  <c r="M1065" i="5" s="1"/>
  <c r="U1331" i="4"/>
  <c r="U1331" i="5"/>
  <c r="U1361" i="4"/>
  <c r="U1361" i="5"/>
  <c r="AA1551" i="1"/>
  <c r="U1548" i="5"/>
  <c r="U1632" i="4"/>
  <c r="U1632" i="5"/>
  <c r="Z1773" i="5"/>
  <c r="Q1797" i="4"/>
  <c r="Q1797" i="5"/>
  <c r="J1889" i="1"/>
  <c r="H1885" i="5"/>
  <c r="X1885" i="5" s="1"/>
  <c r="J1910" i="4"/>
  <c r="J1910" i="5"/>
  <c r="U1927" i="4"/>
  <c r="U1927" i="5"/>
  <c r="U1951" i="5" s="1"/>
  <c r="Z1965" i="5"/>
  <c r="U2025" i="4"/>
  <c r="U2025" i="5"/>
  <c r="U2033" i="4"/>
  <c r="U2033" i="5"/>
  <c r="U2062" i="4"/>
  <c r="U2062" i="5"/>
  <c r="U2067" i="4"/>
  <c r="U2067" i="5"/>
  <c r="U2071" i="4"/>
  <c r="U2071" i="5"/>
  <c r="Z2133" i="4"/>
  <c r="Z2133" i="5"/>
  <c r="Q2145" i="4"/>
  <c r="Q2145" i="5"/>
  <c r="J2202" i="4"/>
  <c r="J2202" i="5"/>
  <c r="J2227" i="4"/>
  <c r="J2227" i="5"/>
  <c r="Q2279" i="4"/>
  <c r="Q2279" i="5"/>
  <c r="J2287" i="4"/>
  <c r="J2287" i="5"/>
  <c r="Z2353" i="5"/>
  <c r="U2362" i="4"/>
  <c r="U2362" i="5"/>
  <c r="Q2444" i="4"/>
  <c r="Q2444" i="5"/>
  <c r="U2463" i="4"/>
  <c r="U2463" i="5"/>
  <c r="U2509" i="4"/>
  <c r="U2509" i="5"/>
  <c r="V2529" i="4"/>
  <c r="V2529" i="5"/>
  <c r="U2560" i="4"/>
  <c r="U2560" i="5"/>
  <c r="U2586" i="4"/>
  <c r="U2586" i="5"/>
  <c r="U2653" i="4"/>
  <c r="U2653" i="5"/>
  <c r="U2720" i="4"/>
  <c r="U2720" i="5"/>
  <c r="U2726" i="4"/>
  <c r="U2726" i="5"/>
  <c r="X2854" i="5"/>
  <c r="H2885" i="5"/>
  <c r="M2066" i="4"/>
  <c r="M2066" i="5"/>
  <c r="M2074" i="4"/>
  <c r="M2074" i="5"/>
  <c r="Q2127" i="4"/>
  <c r="Q2127" i="5"/>
  <c r="J2229" i="4"/>
  <c r="J2229" i="5"/>
  <c r="AA549" i="1"/>
  <c r="M548" i="5"/>
  <c r="V632" i="5"/>
  <c r="V2853" i="1"/>
  <c r="Q802" i="5"/>
  <c r="Z807" i="5"/>
  <c r="V1265" i="5"/>
  <c r="W1266" i="1"/>
  <c r="M1983" i="4"/>
  <c r="M1983" i="5"/>
  <c r="M2064" i="4"/>
  <c r="M2064" i="5"/>
  <c r="M2072" i="4"/>
  <c r="M2072" i="5"/>
  <c r="J2188" i="4"/>
  <c r="J2188" i="5"/>
  <c r="W32" i="1"/>
  <c r="V32" i="5"/>
  <c r="M38" i="4"/>
  <c r="M38" i="5"/>
  <c r="X189" i="5"/>
  <c r="Z189" i="5" s="1"/>
  <c r="AA226" i="1"/>
  <c r="M226" i="5"/>
  <c r="X325" i="5"/>
  <c r="Z325" i="5" s="1"/>
  <c r="V436" i="5"/>
  <c r="W437" i="1"/>
  <c r="M595" i="1"/>
  <c r="H596" i="5"/>
  <c r="X596" i="5" s="1"/>
  <c r="Z596" i="5" s="1"/>
  <c r="X826" i="5"/>
  <c r="Z826" i="5" s="1"/>
  <c r="Z881" i="5"/>
  <c r="X898" i="5"/>
  <c r="Z898" i="5" s="1"/>
  <c r="J913" i="4"/>
  <c r="J913" i="5"/>
  <c r="X999" i="5"/>
  <c r="Z999" i="5" s="1"/>
  <c r="X974" i="2"/>
  <c r="Z1020" i="1"/>
  <c r="Z974" i="2" s="1"/>
  <c r="X1164" i="5"/>
  <c r="Z1164" i="5" s="1"/>
  <c r="X1477" i="5"/>
  <c r="Z1477" i="5" s="1"/>
  <c r="Z1656" i="4"/>
  <c r="Z1656" i="5"/>
  <c r="W1703" i="1"/>
  <c r="V1700" i="5"/>
  <c r="V1709" i="5" s="1"/>
  <c r="X1818" i="5"/>
  <c r="Z1818" i="5" s="1"/>
  <c r="Z1914" i="5"/>
  <c r="F2011" i="5"/>
  <c r="X2052" i="5"/>
  <c r="Z2153" i="5"/>
  <c r="X2281" i="5"/>
  <c r="Z2281" i="5" s="1"/>
  <c r="Z2322" i="5"/>
  <c r="Z2390" i="5"/>
  <c r="U2479" i="4"/>
  <c r="U2479" i="5"/>
  <c r="X2558" i="5"/>
  <c r="Z2558" i="5" s="1"/>
  <c r="X211" i="5"/>
  <c r="Z211" i="5" s="1"/>
  <c r="X601" i="5"/>
  <c r="Z601" i="5" s="1"/>
  <c r="J775" i="4"/>
  <c r="J775" i="5"/>
  <c r="Z1391" i="5"/>
  <c r="X1613" i="5"/>
  <c r="Z1674" i="4"/>
  <c r="Z1674" i="5"/>
  <c r="U1861" i="4"/>
  <c r="U1861" i="5"/>
  <c r="U1865" i="5" s="1"/>
  <c r="X1899" i="1"/>
  <c r="H1895" i="5"/>
  <c r="X1895" i="5" s="1"/>
  <c r="Z1895" i="5" s="1"/>
  <c r="Q1914" i="4"/>
  <c r="Q1914" i="5"/>
  <c r="Z2053" i="5"/>
  <c r="X2127" i="5"/>
  <c r="U2198" i="4"/>
  <c r="U2198" i="5"/>
  <c r="U2219" i="5" s="1"/>
  <c r="U2252" i="4"/>
  <c r="U2252" i="5"/>
  <c r="J2280" i="4"/>
  <c r="J2280" i="5"/>
  <c r="U2289" i="4"/>
  <c r="U2289" i="5"/>
  <c r="U2322" i="4"/>
  <c r="U2322" i="5"/>
  <c r="Z2325" i="5"/>
  <c r="U2327" i="4"/>
  <c r="U2327" i="5"/>
  <c r="M2357" i="4"/>
  <c r="M2357" i="5"/>
  <c r="J2438" i="4"/>
  <c r="J2438" i="5"/>
  <c r="M2635" i="5"/>
  <c r="Z2655" i="4"/>
  <c r="Z2655" i="5"/>
  <c r="U2679" i="4"/>
  <c r="U2679" i="5"/>
  <c r="M2715" i="1"/>
  <c r="H2707" i="5"/>
  <c r="X2707" i="5" s="1"/>
  <c r="Z2707" i="5" s="1"/>
  <c r="X2743" i="5"/>
  <c r="M2747" i="4"/>
  <c r="M2747" i="5"/>
  <c r="AA88" i="1"/>
  <c r="U88" i="5"/>
  <c r="X200" i="5"/>
  <c r="Z200" i="5" s="1"/>
  <c r="X495" i="5"/>
  <c r="Z495" i="5" s="1"/>
  <c r="M522" i="5"/>
  <c r="AA726" i="1"/>
  <c r="M726" i="5"/>
  <c r="X737" i="5"/>
  <c r="Z737" i="5" s="1"/>
  <c r="X902" i="2"/>
  <c r="X904" i="2" s="1"/>
  <c r="Z945" i="1"/>
  <c r="V1057" i="5"/>
  <c r="W1058" i="1"/>
  <c r="AA1135" i="1"/>
  <c r="M1134" i="5"/>
  <c r="M1143" i="5" s="1"/>
  <c r="H1461" i="5"/>
  <c r="X1461" i="5" s="1"/>
  <c r="Z1461" i="5" s="1"/>
  <c r="V1462" i="1"/>
  <c r="J1462" i="1"/>
  <c r="X1894" i="5"/>
  <c r="Z1894" i="5" s="1"/>
  <c r="Q1965" i="4"/>
  <c r="Q1965" i="5"/>
  <c r="F2112" i="5"/>
  <c r="X2132" i="5"/>
  <c r="Z2222" i="5"/>
  <c r="X2238" i="5"/>
  <c r="Z2238" i="5" s="1"/>
  <c r="Q2249" i="4"/>
  <c r="Q2249" i="5"/>
  <c r="Q2262" i="5" s="1"/>
  <c r="J2276" i="4"/>
  <c r="J2276" i="5"/>
  <c r="U2345" i="4"/>
  <c r="U2345" i="5"/>
  <c r="X2350" i="5"/>
  <c r="Z2350" i="5" s="1"/>
  <c r="J2356" i="4"/>
  <c r="J2356" i="5"/>
  <c r="X2656" i="5"/>
  <c r="Y2887" i="5"/>
  <c r="Y2756" i="5"/>
  <c r="AA172" i="1"/>
  <c r="J236" i="2"/>
  <c r="J246" i="5"/>
  <c r="X1007" i="5"/>
  <c r="Z1007" i="5" s="1"/>
  <c r="AA1039" i="1"/>
  <c r="M1038" i="5"/>
  <c r="Z1329" i="5"/>
  <c r="AA1453" i="1"/>
  <c r="M1452" i="5"/>
  <c r="X1888" i="5"/>
  <c r="Z1931" i="5"/>
  <c r="U2121" i="4"/>
  <c r="U2121" i="5"/>
  <c r="U2126" i="4"/>
  <c r="U2126" i="5"/>
  <c r="F2262" i="5"/>
  <c r="Q2255" i="4"/>
  <c r="Q2255" i="5"/>
  <c r="Z2393" i="5"/>
  <c r="U2398" i="4"/>
  <c r="U2398" i="5"/>
  <c r="X2425" i="5"/>
  <c r="Z2425" i="5" s="1"/>
  <c r="F2565" i="5"/>
  <c r="F2567" i="5" s="1"/>
  <c r="F2941" i="5" s="1"/>
  <c r="U2584" i="4"/>
  <c r="U2584" i="5"/>
  <c r="U2642" i="4"/>
  <c r="U2642" i="5"/>
  <c r="U2646" i="4"/>
  <c r="U2646" i="5"/>
  <c r="U2694" i="4"/>
  <c r="U2694" i="5"/>
  <c r="U40" i="4"/>
  <c r="U40" i="5"/>
  <c r="W497" i="1"/>
  <c r="V496" i="5"/>
  <c r="V500" i="5" s="1"/>
  <c r="W595" i="1"/>
  <c r="AA601" i="1"/>
  <c r="U602" i="5"/>
  <c r="Z616" i="5"/>
  <c r="X1393" i="5"/>
  <c r="Z1393" i="5" s="1"/>
  <c r="U1464" i="4"/>
  <c r="U1464" i="5"/>
  <c r="J1491" i="4"/>
  <c r="J1491" i="5"/>
  <c r="X1958" i="5"/>
  <c r="Z1958" i="5" s="1"/>
  <c r="Q2125" i="4"/>
  <c r="Q2125" i="5"/>
  <c r="U2142" i="4"/>
  <c r="U2142" i="5"/>
  <c r="Z2148" i="5"/>
  <c r="Z2255" i="5"/>
  <c r="X2273" i="5"/>
  <c r="Z2273" i="5" s="1"/>
  <c r="X2300" i="4"/>
  <c r="X2300" i="5"/>
  <c r="Z2354" i="5"/>
  <c r="U2386" i="4"/>
  <c r="U2386" i="5"/>
  <c r="J2442" i="4"/>
  <c r="J2442" i="5"/>
  <c r="U2649" i="4"/>
  <c r="U2649" i="5"/>
  <c r="X2686" i="5"/>
  <c r="F2704" i="5"/>
  <c r="X2700" i="5"/>
  <c r="F2728" i="5"/>
  <c r="M2741" i="4"/>
  <c r="M2741" i="5"/>
  <c r="J1820" i="2"/>
  <c r="P2594" i="2"/>
  <c r="P2750" i="2" s="1"/>
  <c r="J257" i="4"/>
  <c r="J257" i="5"/>
  <c r="J420" i="1"/>
  <c r="J402" i="5"/>
  <c r="AB615" i="1"/>
  <c r="AB616" i="5" s="1"/>
  <c r="AA616" i="5"/>
  <c r="Z19" i="4"/>
  <c r="Z19" i="5"/>
  <c r="AA137" i="1"/>
  <c r="AA137" i="5" s="1"/>
  <c r="U137" i="5"/>
  <c r="M458" i="1"/>
  <c r="M450" i="5"/>
  <c r="AA454" i="1"/>
  <c r="AA453" i="5" s="1"/>
  <c r="U453" i="5"/>
  <c r="U457" i="5" s="1"/>
  <c r="V606" i="1"/>
  <c r="V593" i="5"/>
  <c r="U625" i="5"/>
  <c r="W645" i="4"/>
  <c r="W645" i="5"/>
  <c r="AA761" i="1"/>
  <c r="AA761" i="5" s="1"/>
  <c r="U761" i="5"/>
  <c r="Z275" i="4"/>
  <c r="Z275" i="5"/>
  <c r="U358" i="4"/>
  <c r="U358" i="5"/>
  <c r="AA635" i="1"/>
  <c r="AA636" i="5" s="1"/>
  <c r="U636" i="5"/>
  <c r="U714" i="5"/>
  <c r="AA494" i="1"/>
  <c r="AA493" i="5" s="1"/>
  <c r="U493" i="5"/>
  <c r="AA62" i="1"/>
  <c r="AA62" i="5" s="1"/>
  <c r="U62" i="5"/>
  <c r="H68" i="1"/>
  <c r="H65" i="5"/>
  <c r="X65" i="5" s="1"/>
  <c r="Z65" i="5" s="1"/>
  <c r="U228" i="4"/>
  <c r="U228" i="5"/>
  <c r="H370" i="1"/>
  <c r="H344" i="5"/>
  <c r="X344" i="5" s="1"/>
  <c r="Z344" i="5" s="1"/>
  <c r="V858" i="1"/>
  <c r="V858" i="5" s="1"/>
  <c r="H858" i="5"/>
  <c r="X858" i="5" s="1"/>
  <c r="Z858" i="5" s="1"/>
  <c r="U1202" i="4"/>
  <c r="U1202" i="5"/>
  <c r="U1214" i="5" s="1"/>
  <c r="AA219" i="1"/>
  <c r="AA219" i="5" s="1"/>
  <c r="U219" i="5"/>
  <c r="U235" i="5" s="1"/>
  <c r="W775" i="4"/>
  <c r="W775" i="5"/>
  <c r="W1100" i="1"/>
  <c r="W1099" i="5" s="1"/>
  <c r="V1099" i="5"/>
  <c r="V1106" i="5" s="1"/>
  <c r="AA1157" i="1"/>
  <c r="AA1156" i="5" s="1"/>
  <c r="U1156" i="5"/>
  <c r="U1209" i="4"/>
  <c r="U1209" i="5"/>
  <c r="J1886" i="4"/>
  <c r="J1886" i="5"/>
  <c r="Q1931" i="4"/>
  <c r="Q1931" i="5"/>
  <c r="Q1937" i="4"/>
  <c r="Q1937" i="5"/>
  <c r="J1947" i="4"/>
  <c r="J1947" i="5"/>
  <c r="J1959" i="4"/>
  <c r="J1959" i="5"/>
  <c r="U2075" i="4"/>
  <c r="U2075" i="5"/>
  <c r="J2089" i="4"/>
  <c r="J2089" i="5"/>
  <c r="J2099" i="4"/>
  <c r="J2099" i="5"/>
  <c r="Q2108" i="4"/>
  <c r="Q2108" i="5"/>
  <c r="J2128" i="4"/>
  <c r="J2128" i="5"/>
  <c r="Q2135" i="4"/>
  <c r="Q2135" i="5"/>
  <c r="J2143" i="4"/>
  <c r="J2143" i="5"/>
  <c r="Q2149" i="4"/>
  <c r="Q2149" i="5"/>
  <c r="J2160" i="4"/>
  <c r="J2160" i="5"/>
  <c r="U2162" i="4"/>
  <c r="U2162" i="5"/>
  <c r="Q2183" i="4"/>
  <c r="Q2183" i="5"/>
  <c r="J2199" i="4"/>
  <c r="J2199" i="5"/>
  <c r="Q2214" i="4"/>
  <c r="Q2214" i="5"/>
  <c r="Q2223" i="4"/>
  <c r="Q2223" i="5"/>
  <c r="Q2243" i="5" s="1"/>
  <c r="J2230" i="4"/>
  <c r="J2230" i="5"/>
  <c r="U2237" i="4"/>
  <c r="U2237" i="5"/>
  <c r="Q2267" i="4"/>
  <c r="Q2267" i="5"/>
  <c r="Q2273" i="4"/>
  <c r="Q2273" i="5"/>
  <c r="J2328" i="4"/>
  <c r="J2328" i="5"/>
  <c r="U2358" i="4"/>
  <c r="U2358" i="5"/>
  <c r="Q2375" i="4"/>
  <c r="Q2375" i="5"/>
  <c r="J2387" i="4"/>
  <c r="J2387" i="5"/>
  <c r="J2401" i="4"/>
  <c r="J2401" i="5"/>
  <c r="Q2408" i="4"/>
  <c r="Q2408" i="5"/>
  <c r="U2425" i="4"/>
  <c r="U2425" i="5"/>
  <c r="Q2436" i="4"/>
  <c r="Q2436" i="5"/>
  <c r="U2478" i="4"/>
  <c r="U2478" i="5"/>
  <c r="U2482" i="4"/>
  <c r="U2482" i="5"/>
  <c r="U2595" i="4"/>
  <c r="U2595" i="5"/>
  <c r="U2630" i="4"/>
  <c r="U2630" i="5"/>
  <c r="U2652" i="4"/>
  <c r="U2652" i="5"/>
  <c r="U2656" i="4"/>
  <c r="U2656" i="5"/>
  <c r="U2668" i="4"/>
  <c r="U2668" i="5"/>
  <c r="U2673" i="4"/>
  <c r="U2673" i="5"/>
  <c r="U2677" i="4"/>
  <c r="U2677" i="5"/>
  <c r="U2699" i="4"/>
  <c r="U2699" i="5"/>
  <c r="U2807" i="5"/>
  <c r="U2807" i="4"/>
  <c r="V980" i="4"/>
  <c r="V980" i="5"/>
  <c r="AA1001" i="1"/>
  <c r="AA1000" i="5" s="1"/>
  <c r="U1000" i="5"/>
  <c r="W1227" i="1"/>
  <c r="W1226" i="5" s="1"/>
  <c r="V1226" i="5"/>
  <c r="W1409" i="1"/>
  <c r="W1408" i="5" s="1"/>
  <c r="V1408" i="5"/>
  <c r="V535" i="5"/>
  <c r="AA931" i="1"/>
  <c r="AA931" i="5" s="1"/>
  <c r="U931" i="5"/>
  <c r="AA935" i="1"/>
  <c r="AA935" i="5" s="1"/>
  <c r="U935" i="5"/>
  <c r="U941" i="5" s="1"/>
  <c r="U1033" i="5"/>
  <c r="U1396" i="4"/>
  <c r="U1396" i="5"/>
  <c r="J1918" i="4"/>
  <c r="J1918" i="5"/>
  <c r="J1933" i="4"/>
  <c r="J1933" i="5"/>
  <c r="U1985" i="4"/>
  <c r="U1985" i="5"/>
  <c r="J2098" i="4"/>
  <c r="J2098" i="5"/>
  <c r="U2104" i="4"/>
  <c r="U2104" i="5"/>
  <c r="J2129" i="4"/>
  <c r="J2129" i="5"/>
  <c r="J2148" i="4"/>
  <c r="J2148" i="5"/>
  <c r="J2260" i="4"/>
  <c r="J2260" i="5"/>
  <c r="J2289" i="4"/>
  <c r="J2289" i="5"/>
  <c r="J2371" i="4"/>
  <c r="J2371" i="5"/>
  <c r="J2396" i="4"/>
  <c r="J2396" i="5"/>
  <c r="Q2416" i="4"/>
  <c r="Q2416" i="5"/>
  <c r="R2848" i="5"/>
  <c r="R2849" i="4"/>
  <c r="V2695" i="4"/>
  <c r="V2695" i="5"/>
  <c r="V2704" i="5" s="1"/>
  <c r="U2808" i="5"/>
  <c r="U2808" i="4"/>
  <c r="Z834" i="1"/>
  <c r="Z800" i="2" s="1"/>
  <c r="AA1343" i="1"/>
  <c r="AA1342" i="5" s="1"/>
  <c r="U1342" i="5"/>
  <c r="V1464" i="4"/>
  <c r="V1464" i="5"/>
  <c r="U1618" i="5"/>
  <c r="U1915" i="4"/>
  <c r="U1915" i="5"/>
  <c r="U1917" i="4"/>
  <c r="U1917" i="5"/>
  <c r="U1934" i="4"/>
  <c r="U1934" i="5"/>
  <c r="U1939" i="4"/>
  <c r="U1939" i="5"/>
  <c r="J1945" i="4"/>
  <c r="J1945" i="5"/>
  <c r="U1947" i="4"/>
  <c r="U1947" i="5"/>
  <c r="U2099" i="4"/>
  <c r="U2099" i="5"/>
  <c r="Q2130" i="4"/>
  <c r="Q2130" i="5"/>
  <c r="J2201" i="4"/>
  <c r="J2201" i="5"/>
  <c r="Q2203" i="4"/>
  <c r="Q2203" i="5"/>
  <c r="Q2224" i="4"/>
  <c r="Q2224" i="5"/>
  <c r="AA2250" i="1"/>
  <c r="AA2246" i="5" s="1"/>
  <c r="U2246" i="5"/>
  <c r="J2251" i="4"/>
  <c r="J2251" i="5"/>
  <c r="Q2253" i="4"/>
  <c r="Q2253" i="5"/>
  <c r="J2266" i="4"/>
  <c r="J2266" i="5"/>
  <c r="Q2268" i="4"/>
  <c r="Q2268" i="5"/>
  <c r="AA2275" i="4"/>
  <c r="AA2275" i="5"/>
  <c r="U2288" i="4"/>
  <c r="U2288" i="5"/>
  <c r="U2323" i="4"/>
  <c r="U2323" i="5"/>
  <c r="Q2372" i="4"/>
  <c r="Q2372" i="5"/>
  <c r="Q2397" i="4"/>
  <c r="Q2397" i="5"/>
  <c r="U2399" i="4"/>
  <c r="U2399" i="5"/>
  <c r="V2499" i="5"/>
  <c r="U2508" i="4"/>
  <c r="U2508" i="5"/>
  <c r="V2582" i="4"/>
  <c r="V2582" i="5"/>
  <c r="V2608" i="5" s="1"/>
  <c r="V2597" i="4"/>
  <c r="V2597" i="5"/>
  <c r="V2793" i="1"/>
  <c r="V2640" i="5"/>
  <c r="Z2652" i="4"/>
  <c r="Z2652" i="5"/>
  <c r="H2691" i="1"/>
  <c r="H2672" i="5"/>
  <c r="Z2687" i="4"/>
  <c r="Z2687" i="5"/>
  <c r="Z2745" i="4"/>
  <c r="Z2745" i="5"/>
  <c r="AA2786" i="5"/>
  <c r="AA2786" i="4"/>
  <c r="AA2843" i="5"/>
  <c r="AA2844" i="4"/>
  <c r="J1202" i="4"/>
  <c r="J1202" i="5"/>
  <c r="Z1693" i="4"/>
  <c r="Z1693" i="5"/>
  <c r="U1837" i="4"/>
  <c r="U1837" i="5"/>
  <c r="U1843" i="5" s="1"/>
  <c r="Q1903" i="4"/>
  <c r="Q1903" i="5"/>
  <c r="Q1922" i="5" s="1"/>
  <c r="U2022" i="4"/>
  <c r="U2022" i="5"/>
  <c r="U2233" i="4"/>
  <c r="U2233" i="5"/>
  <c r="U2420" i="4"/>
  <c r="U2420" i="5"/>
  <c r="AB1457" i="1"/>
  <c r="AB1456" i="5" s="1"/>
  <c r="AA1456" i="5"/>
  <c r="Z1692" i="4"/>
  <c r="Z1692" i="5"/>
  <c r="S2848" i="5"/>
  <c r="S2849" i="4"/>
  <c r="AB2846" i="5"/>
  <c r="AB2847" i="4"/>
  <c r="W777" i="4"/>
  <c r="W777" i="5"/>
  <c r="J865" i="4"/>
  <c r="J865" i="5"/>
  <c r="AA1075" i="1"/>
  <c r="AA1074" i="5" s="1"/>
  <c r="U1074" i="5"/>
  <c r="U1588" i="4"/>
  <c r="U1588" i="5"/>
  <c r="U1592" i="5" s="1"/>
  <c r="Z1614" i="4"/>
  <c r="Z1614" i="5"/>
  <c r="U2031" i="4"/>
  <c r="U2031" i="5"/>
  <c r="U2044" i="4"/>
  <c r="U2044" i="5"/>
  <c r="U2048" i="4"/>
  <c r="U2048" i="5"/>
  <c r="J2151" i="4"/>
  <c r="J2151" i="5"/>
  <c r="U2152" i="4"/>
  <c r="U2152" i="5"/>
  <c r="U2228" i="4"/>
  <c r="U2228" i="5"/>
  <c r="U2240" i="4"/>
  <c r="U2240" i="5"/>
  <c r="U2269" i="4"/>
  <c r="U2269" i="5"/>
  <c r="J2301" i="4"/>
  <c r="J2301" i="5"/>
  <c r="J2303" i="4"/>
  <c r="J2303" i="5"/>
  <c r="U2304" i="4"/>
  <c r="U2304" i="5"/>
  <c r="U2310" i="4"/>
  <c r="U2310" i="5"/>
  <c r="J2330" i="4"/>
  <c r="J2330" i="5"/>
  <c r="J2346" i="4"/>
  <c r="J2346" i="5"/>
  <c r="Q2348" i="4"/>
  <c r="Q2348" i="5"/>
  <c r="Q2366" i="5" s="1"/>
  <c r="U2364" i="4"/>
  <c r="U2364" i="5"/>
  <c r="U2373" i="4"/>
  <c r="U2373" i="5"/>
  <c r="J2391" i="4"/>
  <c r="J2391" i="5"/>
  <c r="U2392" i="4"/>
  <c r="U2392" i="5"/>
  <c r="U2528" i="4"/>
  <c r="U2528" i="5"/>
  <c r="Z2695" i="4"/>
  <c r="Z2695" i="5"/>
  <c r="Z2741" i="4"/>
  <c r="Z2741" i="5"/>
  <c r="AA2871" i="5"/>
  <c r="AA2872" i="4"/>
  <c r="J1464" i="4"/>
  <c r="J1464" i="5"/>
  <c r="U2024" i="4"/>
  <c r="U2024" i="5"/>
  <c r="J2087" i="4"/>
  <c r="J2087" i="5"/>
  <c r="Z2094" i="4"/>
  <c r="Z2094" i="5"/>
  <c r="Q2187" i="4"/>
  <c r="Q2187" i="5"/>
  <c r="Q2360" i="4"/>
  <c r="Q2360" i="5"/>
  <c r="U2416" i="4"/>
  <c r="U2416" i="5"/>
  <c r="M2446" i="5"/>
  <c r="AA2462" i="1"/>
  <c r="AA2454" i="5" s="1"/>
  <c r="U2454" i="5"/>
  <c r="AA2490" i="1"/>
  <c r="AA2482" i="5" s="1"/>
  <c r="U2617" i="4"/>
  <c r="U2617" i="5"/>
  <c r="W2736" i="4"/>
  <c r="W2736" i="5"/>
  <c r="AA1666" i="1"/>
  <c r="AA1663" i="5" s="1"/>
  <c r="J1940" i="4"/>
  <c r="J1940" i="5"/>
  <c r="AA1958" i="1"/>
  <c r="AA1954" i="5" s="1"/>
  <c r="U1959" i="4"/>
  <c r="U1959" i="5"/>
  <c r="Z2009" i="4"/>
  <c r="Z2009" i="5"/>
  <c r="W2023" i="4"/>
  <c r="W2023" i="5"/>
  <c r="Q2106" i="4"/>
  <c r="Q2106" i="5"/>
  <c r="Z2126" i="4"/>
  <c r="Z2126" i="5"/>
  <c r="J2144" i="4"/>
  <c r="J2144" i="5"/>
  <c r="J2153" i="4"/>
  <c r="J2153" i="5"/>
  <c r="U2159" i="4"/>
  <c r="U2159" i="5"/>
  <c r="U2180" i="4"/>
  <c r="U2180" i="5"/>
  <c r="Z2309" i="4"/>
  <c r="Z2309" i="5"/>
  <c r="Q2337" i="4"/>
  <c r="Q2337" i="5"/>
  <c r="J2434" i="1"/>
  <c r="J2426" i="4"/>
  <c r="J2426" i="5"/>
  <c r="Z2482" i="4"/>
  <c r="Z2482" i="5"/>
  <c r="W2509" i="4"/>
  <c r="W2509" i="5"/>
  <c r="U2526" i="4"/>
  <c r="U2526" i="5"/>
  <c r="Z2632" i="4"/>
  <c r="Z2632" i="5"/>
  <c r="U2667" i="4"/>
  <c r="U2667" i="5"/>
  <c r="U2683" i="5" s="1"/>
  <c r="W2687" i="4"/>
  <c r="W2687" i="5"/>
  <c r="AA2780" i="5"/>
  <c r="AA2780" i="4"/>
  <c r="AA2799" i="5"/>
  <c r="AA2799" i="4"/>
  <c r="U2857" i="5"/>
  <c r="U2858" i="4"/>
  <c r="AA2872" i="5"/>
  <c r="AA2873" i="4"/>
  <c r="J1913" i="4"/>
  <c r="J1913" i="5"/>
  <c r="Z1995" i="4"/>
  <c r="Z1995" i="5"/>
  <c r="W2016" i="4"/>
  <c r="W2016" i="5"/>
  <c r="U2055" i="4"/>
  <c r="U2055" i="5"/>
  <c r="J2109" i="4"/>
  <c r="J2109" i="5"/>
  <c r="U2187" i="4"/>
  <c r="U2187" i="5"/>
  <c r="Q2274" i="4"/>
  <c r="Q2274" i="5"/>
  <c r="U2285" i="4"/>
  <c r="U2285" i="5"/>
  <c r="J2420" i="4"/>
  <c r="J2420" i="5"/>
  <c r="U2468" i="4"/>
  <c r="U2468" i="5"/>
  <c r="Z2591" i="4"/>
  <c r="Z2591" i="5"/>
  <c r="AA2649" i="1"/>
  <c r="AA2641" i="5" s="1"/>
  <c r="W2747" i="4"/>
  <c r="W2747" i="5"/>
  <c r="AA2844" i="5"/>
  <c r="AA2845" i="4"/>
  <c r="U2865" i="5"/>
  <c r="U2866" i="4"/>
  <c r="V1365" i="4"/>
  <c r="V1365" i="5"/>
  <c r="M1571" i="1"/>
  <c r="Z1553" i="1"/>
  <c r="Z1550" i="5" s="1"/>
  <c r="Z1750" i="1"/>
  <c r="Z1746" i="5" s="1"/>
  <c r="X1746" i="5"/>
  <c r="AA1884" i="1"/>
  <c r="AA1880" i="5" s="1"/>
  <c r="U1880" i="5"/>
  <c r="J1887" i="4"/>
  <c r="J1887" i="5"/>
  <c r="U1963" i="4"/>
  <c r="U1963" i="5"/>
  <c r="Z2000" i="4"/>
  <c r="Z2000" i="5"/>
  <c r="U2147" i="4"/>
  <c r="U2147" i="5"/>
  <c r="J2418" i="4"/>
  <c r="J2418" i="5"/>
  <c r="AA2476" i="1"/>
  <c r="AA2468" i="5" s="1"/>
  <c r="Z2481" i="4"/>
  <c r="Z2481" i="5"/>
  <c r="W2496" i="4"/>
  <c r="W2496" i="5"/>
  <c r="W2547" i="4"/>
  <c r="W2547" i="5"/>
  <c r="W2652" i="4"/>
  <c r="W2652" i="5"/>
  <c r="W2693" i="4"/>
  <c r="W2693" i="5"/>
  <c r="U2723" i="4"/>
  <c r="U2723" i="5"/>
  <c r="Z2734" i="4"/>
  <c r="Z2734" i="5"/>
  <c r="U2737" i="4"/>
  <c r="U2737" i="5"/>
  <c r="U2882" i="5"/>
  <c r="U2883" i="4"/>
  <c r="V2618" i="4"/>
  <c r="V2618" i="5"/>
  <c r="Z2584" i="4"/>
  <c r="Z2584" i="5"/>
  <c r="Z2654" i="4"/>
  <c r="Z2654" i="5"/>
  <c r="V815" i="1"/>
  <c r="V815" i="5" s="1"/>
  <c r="W1693" i="4"/>
  <c r="W1693" i="5"/>
  <c r="W1698" i="1"/>
  <c r="W1695" i="5" s="1"/>
  <c r="V1695" i="5"/>
  <c r="V1697" i="5" s="1"/>
  <c r="Q1820" i="5"/>
  <c r="Z1991" i="4"/>
  <c r="Z1991" i="5"/>
  <c r="Q2110" i="4"/>
  <c r="Q2110" i="5"/>
  <c r="U2241" i="4"/>
  <c r="U2241" i="5"/>
  <c r="Q2301" i="4"/>
  <c r="Q2301" i="5"/>
  <c r="Q2303" i="4"/>
  <c r="Q2303" i="5"/>
  <c r="U2346" i="4"/>
  <c r="U2346" i="5"/>
  <c r="Q2364" i="4"/>
  <c r="Q2364" i="5"/>
  <c r="W2494" i="4"/>
  <c r="W2494" i="5"/>
  <c r="Z2624" i="4"/>
  <c r="Z2624" i="5"/>
  <c r="U2739" i="4"/>
  <c r="U2739" i="5"/>
  <c r="Q1909" i="4"/>
  <c r="Q1909" i="5"/>
  <c r="U2257" i="4"/>
  <c r="U2257" i="5"/>
  <c r="Q2334" i="4"/>
  <c r="Q2334" i="5"/>
  <c r="W2467" i="4"/>
  <c r="W2467" i="5"/>
  <c r="Z2604" i="4"/>
  <c r="Z2604" i="5"/>
  <c r="Q2845" i="5"/>
  <c r="Q2846" i="4"/>
  <c r="M2851" i="5"/>
  <c r="M2852" i="4"/>
  <c r="J867" i="4"/>
  <c r="J867" i="5"/>
  <c r="Q2089" i="4"/>
  <c r="Q2089" i="5"/>
  <c r="Z2119" i="4"/>
  <c r="Z2119" i="5"/>
  <c r="U2131" i="4"/>
  <c r="U2131" i="5"/>
  <c r="U2165" i="4"/>
  <c r="U2165" i="5"/>
  <c r="Q2300" i="4"/>
  <c r="Q2300" i="5"/>
  <c r="Q2313" i="5" s="1"/>
  <c r="U2376" i="4"/>
  <c r="U2376" i="5"/>
  <c r="W2457" i="4"/>
  <c r="W2457" i="5"/>
  <c r="Z2483" i="4"/>
  <c r="Z2483" i="5"/>
  <c r="W2506" i="4"/>
  <c r="W2506" i="5"/>
  <c r="W2585" i="4"/>
  <c r="W2585" i="5"/>
  <c r="Z2618" i="4"/>
  <c r="Z2618" i="5"/>
  <c r="Z2629" i="4"/>
  <c r="Z2629" i="5"/>
  <c r="U2803" i="5"/>
  <c r="U2803" i="4"/>
  <c r="AA2868" i="5"/>
  <c r="AA2869" i="4"/>
  <c r="W2477" i="4"/>
  <c r="W2477" i="5"/>
  <c r="V160" i="4"/>
  <c r="V160" i="5"/>
  <c r="V166" i="5" s="1"/>
  <c r="K200" i="1"/>
  <c r="I200" i="5"/>
  <c r="AA2127" i="2"/>
  <c r="AB2127" i="2" s="1"/>
  <c r="AA229" i="4"/>
  <c r="AA229" i="5"/>
  <c r="W30" i="1"/>
  <c r="V30" i="5"/>
  <c r="V1029" i="4"/>
  <c r="V1029" i="5"/>
  <c r="F2167" i="2"/>
  <c r="F2742" i="2" s="1"/>
  <c r="U438" i="4"/>
  <c r="U438" i="5"/>
  <c r="U605" i="2"/>
  <c r="U630" i="5"/>
  <c r="Q705" i="4"/>
  <c r="Q705" i="5"/>
  <c r="Q754" i="4"/>
  <c r="Q754" i="5"/>
  <c r="Q756" i="5" s="1"/>
  <c r="W776" i="1"/>
  <c r="W776" i="5" s="1"/>
  <c r="V776" i="5"/>
  <c r="AA771" i="2"/>
  <c r="AA805" i="5"/>
  <c r="AA798" i="2"/>
  <c r="AA832" i="5"/>
  <c r="AA831" i="2"/>
  <c r="AA870" i="5"/>
  <c r="V969" i="4"/>
  <c r="V969" i="5"/>
  <c r="V984" i="5" s="1"/>
  <c r="V986" i="5" s="1"/>
  <c r="M1184" i="4"/>
  <c r="M1184" i="5"/>
  <c r="M1188" i="5" s="1"/>
  <c r="H1209" i="4"/>
  <c r="H1209" i="5"/>
  <c r="Z29" i="1"/>
  <c r="X29" i="5"/>
  <c r="M87" i="4"/>
  <c r="M87" i="5"/>
  <c r="W115" i="1"/>
  <c r="V115" i="5"/>
  <c r="V130" i="5" s="1"/>
  <c r="I198" i="1"/>
  <c r="I198" i="5" s="1"/>
  <c r="H198" i="5"/>
  <c r="X198" i="5" s="1"/>
  <c r="Z198" i="5" s="1"/>
  <c r="Z259" i="1"/>
  <c r="X258" i="5"/>
  <c r="M285" i="4"/>
  <c r="M285" i="5"/>
  <c r="AA659" i="1"/>
  <c r="U659" i="5"/>
  <c r="U661" i="5" s="1"/>
  <c r="W1551" i="1"/>
  <c r="V1548" i="5"/>
  <c r="V1568" i="5" s="1"/>
  <c r="Q2207" i="4"/>
  <c r="Q2207" i="5"/>
  <c r="Q2304" i="4"/>
  <c r="Q2304" i="5"/>
  <c r="AA64" i="1"/>
  <c r="AA64" i="5" s="1"/>
  <c r="M64" i="5"/>
  <c r="M416" i="4"/>
  <c r="M416" i="5"/>
  <c r="M419" i="5" s="1"/>
  <c r="M573" i="2"/>
  <c r="M597" i="5"/>
  <c r="AA655" i="1"/>
  <c r="M655" i="5"/>
  <c r="J836" i="4"/>
  <c r="J836" i="5"/>
  <c r="J859" i="4"/>
  <c r="J859" i="5"/>
  <c r="V827" i="2"/>
  <c r="V862" i="5"/>
  <c r="U882" i="4"/>
  <c r="U882" i="5"/>
  <c r="U890" i="4"/>
  <c r="U890" i="5"/>
  <c r="M919" i="4"/>
  <c r="M919" i="5"/>
  <c r="AA1007" i="1"/>
  <c r="M1006" i="5"/>
  <c r="J1222" i="4"/>
  <c r="J1222" i="5"/>
  <c r="J396" i="4"/>
  <c r="J396" i="5"/>
  <c r="U1240" i="4"/>
  <c r="U1240" i="5"/>
  <c r="Q1491" i="4"/>
  <c r="Q1491" i="5"/>
  <c r="Q1497" i="5" s="1"/>
  <c r="U1920" i="4"/>
  <c r="U1920" i="5"/>
  <c r="Q1948" i="4"/>
  <c r="Q1948" i="5"/>
  <c r="U1960" i="4"/>
  <c r="U1960" i="5"/>
  <c r="U2023" i="4"/>
  <c r="U2023" i="5"/>
  <c r="V2074" i="4"/>
  <c r="V2074" i="5"/>
  <c r="Q2090" i="4"/>
  <c r="Q2090" i="5"/>
  <c r="U2102" i="4"/>
  <c r="U2102" i="5"/>
  <c r="U2116" i="4"/>
  <c r="U2116" i="5"/>
  <c r="U2138" i="5" s="1"/>
  <c r="U2134" i="4"/>
  <c r="U2134" i="5"/>
  <c r="Q2188" i="4"/>
  <c r="Q2188" i="5"/>
  <c r="U2202" i="4"/>
  <c r="U2202" i="5"/>
  <c r="U2338" i="4"/>
  <c r="U2338" i="5"/>
  <c r="U2352" i="4"/>
  <c r="U2352" i="5"/>
  <c r="J2369" i="4"/>
  <c r="J2369" i="5"/>
  <c r="U2374" i="4"/>
  <c r="U2374" i="5"/>
  <c r="U2415" i="4"/>
  <c r="U2415" i="5"/>
  <c r="U2428" i="5" s="1"/>
  <c r="J2436" i="4"/>
  <c r="J2436" i="5"/>
  <c r="J2446" i="5" s="1"/>
  <c r="U2453" i="4"/>
  <c r="U2453" i="5"/>
  <c r="U2475" i="4"/>
  <c r="U2475" i="5"/>
  <c r="AA698" i="1"/>
  <c r="M698" i="5"/>
  <c r="M714" i="5" s="1"/>
  <c r="AA766" i="1"/>
  <c r="U766" i="5"/>
  <c r="AA1043" i="1"/>
  <c r="U1042" i="5"/>
  <c r="W1105" i="1"/>
  <c r="V1104" i="5"/>
  <c r="W1160" i="1"/>
  <c r="V1159" i="5"/>
  <c r="W505" i="1"/>
  <c r="V504" i="5"/>
  <c r="V509" i="5" s="1"/>
  <c r="W1223" i="1"/>
  <c r="W1222" i="5" s="1"/>
  <c r="V1222" i="5"/>
  <c r="M1947" i="4"/>
  <c r="M1947" i="5"/>
  <c r="Q1960" i="4"/>
  <c r="Q1960" i="5"/>
  <c r="M1997" i="4"/>
  <c r="M1997" i="5"/>
  <c r="M2011" i="5" s="1"/>
  <c r="V2026" i="4"/>
  <c r="V2026" i="5"/>
  <c r="M2050" i="4"/>
  <c r="M2050" i="5"/>
  <c r="M2059" i="5" s="1"/>
  <c r="U147" i="4"/>
  <c r="U147" i="5"/>
  <c r="M199" i="4"/>
  <c r="M199" i="5"/>
  <c r="U638" i="2"/>
  <c r="U666" i="5"/>
  <c r="U691" i="5" s="1"/>
  <c r="U693" i="2"/>
  <c r="U723" i="5"/>
  <c r="U717" i="2"/>
  <c r="U748" i="5"/>
  <c r="U756" i="5" s="1"/>
  <c r="AA776" i="1"/>
  <c r="M776" i="5"/>
  <c r="Q805" i="4"/>
  <c r="Q805" i="5"/>
  <c r="Q823" i="5" s="1"/>
  <c r="W831" i="1"/>
  <c r="W831" i="5" s="1"/>
  <c r="V831" i="5"/>
  <c r="V844" i="5" s="1"/>
  <c r="Q870" i="4"/>
  <c r="Q870" i="5"/>
  <c r="Q872" i="5" s="1"/>
  <c r="Q861" i="2"/>
  <c r="Q901" i="5"/>
  <c r="U947" i="1"/>
  <c r="U945" i="5"/>
  <c r="AA1139" i="1"/>
  <c r="U1138" i="5"/>
  <c r="AB1276" i="1"/>
  <c r="AA1275" i="5"/>
  <c r="U2520" i="4"/>
  <c r="U2520" i="5"/>
  <c r="V2726" i="4"/>
  <c r="V2726" i="5"/>
  <c r="Z2746" i="4"/>
  <c r="Z2746" i="5"/>
  <c r="M622" i="4"/>
  <c r="M622" i="5"/>
  <c r="V1364" i="4"/>
  <c r="V1364" i="5"/>
  <c r="Q2155" i="4"/>
  <c r="Q2155" i="5"/>
  <c r="U2170" i="4"/>
  <c r="U2170" i="5"/>
  <c r="Q2232" i="4"/>
  <c r="Q2232" i="5"/>
  <c r="U2278" i="4"/>
  <c r="U2278" i="5"/>
  <c r="U2403" i="4"/>
  <c r="U2403" i="5"/>
  <c r="U2442" i="4"/>
  <c r="U2442" i="5"/>
  <c r="U2576" i="4"/>
  <c r="U2576" i="5"/>
  <c r="M2600" i="4"/>
  <c r="M2600" i="5"/>
  <c r="V868" i="4"/>
  <c r="V868" i="5"/>
  <c r="V1241" i="1"/>
  <c r="H1240" i="5"/>
  <c r="X1240" i="5" s="1"/>
  <c r="AA1384" i="1"/>
  <c r="M1383" i="5"/>
  <c r="M1402" i="5" s="1"/>
  <c r="AA1636" i="1"/>
  <c r="AA1633" i="5" s="1"/>
  <c r="U1633" i="5"/>
  <c r="AA1732" i="1"/>
  <c r="AA1729" i="5" s="1"/>
  <c r="U1729" i="5"/>
  <c r="U1737" i="5" s="1"/>
  <c r="U1910" i="4"/>
  <c r="U1910" i="5"/>
  <c r="V2056" i="4"/>
  <c r="V2056" i="5"/>
  <c r="Q2311" i="4"/>
  <c r="Q2311" i="5"/>
  <c r="J2332" i="4"/>
  <c r="J2332" i="5"/>
  <c r="M2410" i="1"/>
  <c r="H2404" i="5"/>
  <c r="X2404" i="5" s="1"/>
  <c r="Z2404" i="5" s="1"/>
  <c r="W1665" i="1"/>
  <c r="V1662" i="5"/>
  <c r="V2552" i="4"/>
  <c r="V2552" i="5"/>
  <c r="W2602" i="1"/>
  <c r="V2594" i="5"/>
  <c r="U2620" i="4"/>
  <c r="U2620" i="5"/>
  <c r="Z2644" i="4"/>
  <c r="Z2644" i="5"/>
  <c r="Z2688" i="4"/>
  <c r="Z2688" i="5"/>
  <c r="M2700" i="4"/>
  <c r="M2700" i="5"/>
  <c r="M2807" i="5"/>
  <c r="M2807" i="4"/>
  <c r="J341" i="4"/>
  <c r="J341" i="5"/>
  <c r="J369" i="5" s="1"/>
  <c r="Z410" i="4"/>
  <c r="Z410" i="5"/>
  <c r="U628" i="4"/>
  <c r="U628" i="5"/>
  <c r="U638" i="5" s="1"/>
  <c r="V658" i="4"/>
  <c r="V658" i="5"/>
  <c r="J1907" i="4"/>
  <c r="J1907" i="5"/>
  <c r="Q1930" i="4"/>
  <c r="Q1930" i="5"/>
  <c r="U1976" i="4"/>
  <c r="U1976" i="5"/>
  <c r="U1987" i="5" s="1"/>
  <c r="Q2100" i="4"/>
  <c r="Q2100" i="5"/>
  <c r="Z2117" i="4"/>
  <c r="Z2117" i="5"/>
  <c r="U2287" i="4"/>
  <c r="U2287" i="5"/>
  <c r="U2361" i="4"/>
  <c r="U2361" i="5"/>
  <c r="U2377" i="4"/>
  <c r="U2377" i="5"/>
  <c r="U2434" i="4"/>
  <c r="U2434" i="5"/>
  <c r="Z2648" i="4"/>
  <c r="Z2648" i="5"/>
  <c r="M180" i="1"/>
  <c r="H180" i="5"/>
  <c r="X180" i="5" s="1"/>
  <c r="Z180" i="5" s="1"/>
  <c r="U839" i="4"/>
  <c r="U839" i="5"/>
  <c r="AA1231" i="1"/>
  <c r="AA1230" i="5" s="1"/>
  <c r="U1230" i="5"/>
  <c r="U2627" i="4"/>
  <c r="U2627" i="5"/>
  <c r="P1681" i="1"/>
  <c r="X2582" i="4"/>
  <c r="X2582" i="5"/>
  <c r="Z2642" i="4"/>
  <c r="Z2642" i="5"/>
  <c r="AA348" i="1"/>
  <c r="M347" i="5"/>
  <c r="AA468" i="1"/>
  <c r="AA467" i="5" s="1"/>
  <c r="M467" i="5"/>
  <c r="M473" i="5" s="1"/>
  <c r="AA597" i="1"/>
  <c r="AA598" i="5" s="1"/>
  <c r="U598" i="5"/>
  <c r="U607" i="5" s="1"/>
  <c r="J869" i="2"/>
  <c r="J909" i="5"/>
  <c r="AA1047" i="1"/>
  <c r="M1046" i="5"/>
  <c r="U1110" i="4"/>
  <c r="U1110" i="5"/>
  <c r="V1655" i="4"/>
  <c r="V1655" i="5"/>
  <c r="J1802" i="5"/>
  <c r="M2236" i="4"/>
  <c r="M2236" i="5"/>
  <c r="U2276" i="4"/>
  <c r="U2276" i="5"/>
  <c r="U2317" i="4"/>
  <c r="U2317" i="5"/>
  <c r="U2406" i="4"/>
  <c r="U2406" i="5"/>
  <c r="U2507" i="4"/>
  <c r="U2507" i="5"/>
  <c r="U2585" i="4"/>
  <c r="U2585" i="5"/>
  <c r="U2006" i="4"/>
  <c r="U2006" i="5"/>
  <c r="U2334" i="4"/>
  <c r="U2334" i="5"/>
  <c r="AA2878" i="5"/>
  <c r="AA2879" i="4"/>
  <c r="AA2784" i="5"/>
  <c r="AA2784" i="4"/>
  <c r="AA2781" i="5"/>
  <c r="AA2781" i="4"/>
  <c r="AA30" i="1"/>
  <c r="U30" i="5"/>
  <c r="H43" i="5"/>
  <c r="M43" i="1"/>
  <c r="M92" i="5"/>
  <c r="M107" i="5"/>
  <c r="M135" i="2"/>
  <c r="M142" i="5"/>
  <c r="M149" i="5" s="1"/>
  <c r="AA223" i="1"/>
  <c r="U223" i="5"/>
  <c r="U318" i="2"/>
  <c r="U331" i="5"/>
  <c r="U333" i="5" s="1"/>
  <c r="M504" i="5"/>
  <c r="M509" i="5" s="1"/>
  <c r="AA505" i="1"/>
  <c r="AA741" i="1"/>
  <c r="M741" i="5"/>
  <c r="Q941" i="5"/>
  <c r="U994" i="1"/>
  <c r="P993" i="5"/>
  <c r="X993" i="5" s="1"/>
  <c r="Z993" i="5" s="1"/>
  <c r="AA1396" i="1"/>
  <c r="M1395" i="5"/>
  <c r="M1451" i="1"/>
  <c r="H1450" i="5"/>
  <c r="X1450" i="5" s="1"/>
  <c r="Z1450" i="5" s="1"/>
  <c r="P2929" i="5"/>
  <c r="AA1554" i="1"/>
  <c r="U1551" i="5"/>
  <c r="V1600" i="5"/>
  <c r="W1603" i="1"/>
  <c r="Q1865" i="5"/>
  <c r="U1907" i="4"/>
  <c r="U1907" i="5"/>
  <c r="M1979" i="4"/>
  <c r="M1979" i="5"/>
  <c r="J2090" i="4"/>
  <c r="J2090" i="5"/>
  <c r="U2124" i="4"/>
  <c r="U2124" i="5"/>
  <c r="Q2154" i="4"/>
  <c r="Q2154" i="5"/>
  <c r="U2176" i="4"/>
  <c r="U2176" i="5"/>
  <c r="J2183" i="4"/>
  <c r="J2183" i="5"/>
  <c r="Z2208" i="5"/>
  <c r="U2282" i="4"/>
  <c r="U2282" i="5"/>
  <c r="U2356" i="4"/>
  <c r="U2356" i="5"/>
  <c r="J2379" i="4"/>
  <c r="J2379" i="5"/>
  <c r="Q2446" i="5"/>
  <c r="U2486" i="4"/>
  <c r="U2486" i="5"/>
  <c r="Z2553" i="5"/>
  <c r="K2848" i="5"/>
  <c r="K2849" i="4"/>
  <c r="M2713" i="4"/>
  <c r="M2713" i="5"/>
  <c r="Z1858" i="5"/>
  <c r="M1975" i="4"/>
  <c r="M1975" i="5"/>
  <c r="N132" i="5"/>
  <c r="W175" i="1"/>
  <c r="V175" i="5"/>
  <c r="K205" i="1"/>
  <c r="I205" i="5"/>
  <c r="U844" i="5"/>
  <c r="Q922" i="5"/>
  <c r="P1073" i="5"/>
  <c r="X1073" i="5" s="1"/>
  <c r="Z1073" i="5" s="1"/>
  <c r="U1074" i="1"/>
  <c r="V1278" i="2"/>
  <c r="V1343" i="5"/>
  <c r="V1375" i="5" s="1"/>
  <c r="X1362" i="5"/>
  <c r="Z1362" i="5" s="1"/>
  <c r="Q1929" i="4"/>
  <c r="Q1929" i="5"/>
  <c r="G2081" i="5"/>
  <c r="G2935" i="5" s="1"/>
  <c r="X79" i="5"/>
  <c r="Z79" i="5" s="1"/>
  <c r="X168" i="2"/>
  <c r="Z176" i="1"/>
  <c r="Z168" i="2" s="1"/>
  <c r="W179" i="1"/>
  <c r="V179" i="5"/>
  <c r="F261" i="5"/>
  <c r="X310" i="5"/>
  <c r="Z310" i="5" s="1"/>
  <c r="AA586" i="1"/>
  <c r="M587" i="5"/>
  <c r="F640" i="5"/>
  <c r="F2923" i="5" s="1"/>
  <c r="X670" i="5"/>
  <c r="Z670" i="5" s="1"/>
  <c r="X706" i="5"/>
  <c r="Z706" i="5" s="1"/>
  <c r="X750" i="5"/>
  <c r="Z750" i="5" s="1"/>
  <c r="J844" i="5"/>
  <c r="Z1010" i="5"/>
  <c r="M1085" i="5"/>
  <c r="X1137" i="5"/>
  <c r="Z1137" i="5" s="1"/>
  <c r="X1175" i="5"/>
  <c r="Z1175" i="5" s="1"/>
  <c r="J1234" i="1"/>
  <c r="H1233" i="5"/>
  <c r="X1233" i="5" s="1"/>
  <c r="Z1266" i="5"/>
  <c r="Z1276" i="5"/>
  <c r="X1475" i="5"/>
  <c r="Z1475" i="5" s="1"/>
  <c r="X1490" i="5"/>
  <c r="Z1490" i="5" s="1"/>
  <c r="X1654" i="5"/>
  <c r="X1693" i="5"/>
  <c r="X1713" i="5"/>
  <c r="Z1861" i="5"/>
  <c r="X1978" i="4"/>
  <c r="X1978" i="5"/>
  <c r="Z2223" i="5"/>
  <c r="Q2225" i="4"/>
  <c r="Q2225" i="5"/>
  <c r="V53" i="5"/>
  <c r="V68" i="5" s="1"/>
  <c r="W53" i="1"/>
  <c r="V2832" i="1"/>
  <c r="M211" i="5"/>
  <c r="AA211" i="1"/>
  <c r="J354" i="4"/>
  <c r="J354" i="5"/>
  <c r="M429" i="1"/>
  <c r="H428" i="5"/>
  <c r="W445" i="1"/>
  <c r="V444" i="5"/>
  <c r="X767" i="5"/>
  <c r="Z767" i="5" s="1"/>
  <c r="H788" i="5"/>
  <c r="X788" i="5" s="1"/>
  <c r="J788" i="1"/>
  <c r="X944" i="5"/>
  <c r="Z944" i="5" s="1"/>
  <c r="X1343" i="5"/>
  <c r="V1623" i="5"/>
  <c r="W1626" i="1"/>
  <c r="Q1936" i="4"/>
  <c r="Q1936" i="5"/>
  <c r="U2146" i="4"/>
  <c r="U2146" i="5"/>
  <c r="U2173" i="5" s="1"/>
  <c r="X2164" i="5"/>
  <c r="Z2164" i="5" s="1"/>
  <c r="U2208" i="4"/>
  <c r="U2208" i="5"/>
  <c r="F2292" i="5"/>
  <c r="X2280" i="5"/>
  <c r="Z2280" i="5" s="1"/>
  <c r="J2347" i="4"/>
  <c r="J2347" i="5"/>
  <c r="X2359" i="5"/>
  <c r="Z2359" i="5" s="1"/>
  <c r="S2756" i="5"/>
  <c r="S2887" i="5"/>
  <c r="M2875" i="5"/>
  <c r="M2876" i="4"/>
  <c r="P14" i="5"/>
  <c r="U14" i="1"/>
  <c r="M200" i="5"/>
  <c r="AA200" i="1"/>
  <c r="U558" i="5"/>
  <c r="X694" i="5"/>
  <c r="Z694" i="5" s="1"/>
  <c r="X741" i="2"/>
  <c r="Z772" i="1"/>
  <c r="Z741" i="2" s="1"/>
  <c r="X882" i="5"/>
  <c r="Z882" i="5" s="1"/>
  <c r="V1038" i="5"/>
  <c r="V1049" i="5" s="1"/>
  <c r="W1039" i="1"/>
  <c r="X1418" i="5"/>
  <c r="Z1418" i="5" s="1"/>
  <c r="AA1703" i="1"/>
  <c r="U1720" i="5"/>
  <c r="Z1885" i="5"/>
  <c r="U1965" i="4"/>
  <c r="U1965" i="5"/>
  <c r="Z2205" i="5"/>
  <c r="X2265" i="5"/>
  <c r="Z2265" i="5" s="1"/>
  <c r="U2277" i="4"/>
  <c r="U2277" i="5"/>
  <c r="Z2389" i="5"/>
  <c r="U2455" i="4"/>
  <c r="U2455" i="5"/>
  <c r="M2550" i="4"/>
  <c r="M2550" i="5"/>
  <c r="X2584" i="4"/>
  <c r="X2584" i="5"/>
  <c r="M2594" i="4"/>
  <c r="M2594" i="5"/>
  <c r="M2656" i="4"/>
  <c r="M2656" i="5"/>
  <c r="X2679" i="4"/>
  <c r="X2679" i="5"/>
  <c r="U2688" i="4"/>
  <c r="U2688" i="5"/>
  <c r="U2704" i="5" s="1"/>
  <c r="X2701" i="5"/>
  <c r="Z288" i="1"/>
  <c r="Z275" i="2" s="1"/>
  <c r="X477" i="5"/>
  <c r="Z477" i="5" s="1"/>
  <c r="X649" i="5"/>
  <c r="X727" i="5"/>
  <c r="Z727" i="5" s="1"/>
  <c r="X811" i="5"/>
  <c r="Z811" i="5" s="1"/>
  <c r="X1292" i="5"/>
  <c r="Z1292" i="5" s="1"/>
  <c r="X1460" i="5"/>
  <c r="Z1460" i="5" s="1"/>
  <c r="M1568" i="5"/>
  <c r="U1589" i="4"/>
  <c r="U1589" i="5"/>
  <c r="X1928" i="5"/>
  <c r="Z1928" i="5" s="1"/>
  <c r="Q2235" i="4"/>
  <c r="Q2235" i="5"/>
  <c r="Z2257" i="5"/>
  <c r="Q2260" i="4"/>
  <c r="Q2260" i="5"/>
  <c r="X2338" i="5"/>
  <c r="Z2338" i="5" s="1"/>
  <c r="Z2362" i="5"/>
  <c r="U2504" i="4"/>
  <c r="U2504" i="5"/>
  <c r="U2515" i="5" s="1"/>
  <c r="Z2512" i="5"/>
  <c r="X2610" i="5"/>
  <c r="M2799" i="5"/>
  <c r="M2799" i="4"/>
  <c r="V40" i="4"/>
  <c r="V40" i="5"/>
  <c r="U419" i="5"/>
  <c r="X408" i="5"/>
  <c r="W443" i="1"/>
  <c r="V442" i="5"/>
  <c r="W601" i="1"/>
  <c r="V602" i="5"/>
  <c r="U866" i="2"/>
  <c r="U906" i="5"/>
  <c r="U922" i="5" s="1"/>
  <c r="X1045" i="5"/>
  <c r="Z1045" i="5" s="1"/>
  <c r="M1122" i="1"/>
  <c r="H1121" i="5"/>
  <c r="X1121" i="5" s="1"/>
  <c r="Z1121" i="5" s="1"/>
  <c r="X1122" i="1"/>
  <c r="X1347" i="5"/>
  <c r="Z1347" i="5" s="1"/>
  <c r="Z1466" i="5"/>
  <c r="X2033" i="5"/>
  <c r="Z2033" i="5" s="1"/>
  <c r="U2120" i="4"/>
  <c r="U2120" i="5"/>
  <c r="Z2171" i="5"/>
  <c r="J2181" i="4"/>
  <c r="J2181" i="5"/>
  <c r="Q2269" i="4"/>
  <c r="Q2269" i="5"/>
  <c r="Q2373" i="4"/>
  <c r="Q2373" i="5"/>
  <c r="Q2392" i="4"/>
  <c r="Q2392" i="5"/>
  <c r="X2421" i="5"/>
  <c r="Z2421" i="5" s="1"/>
  <c r="X2484" i="5"/>
  <c r="U2496" i="4"/>
  <c r="U2496" i="5"/>
  <c r="X2551" i="5"/>
  <c r="Z2551" i="5" s="1"/>
  <c r="X2643" i="5"/>
  <c r="U2748" i="4"/>
  <c r="U2748" i="5"/>
  <c r="AB203" i="1"/>
  <c r="AB203" i="5" s="1"/>
  <c r="AA203" i="5"/>
  <c r="H313" i="1"/>
  <c r="H290" i="5"/>
  <c r="X290" i="5" s="1"/>
  <c r="Z290" i="5" s="1"/>
  <c r="AB311" i="1"/>
  <c r="AB310" i="5" s="1"/>
  <c r="AA310" i="5"/>
  <c r="AA13" i="1"/>
  <c r="AA13" i="5" s="1"/>
  <c r="U13" i="5"/>
  <c r="AA163" i="1"/>
  <c r="AA163" i="5" s="1"/>
  <c r="U163" i="5"/>
  <c r="AA255" i="1"/>
  <c r="AA254" i="5" s="1"/>
  <c r="U254" i="5"/>
  <c r="U261" i="5" s="1"/>
  <c r="U421" i="5" s="1"/>
  <c r="U2921" i="5" s="1"/>
  <c r="AA124" i="1"/>
  <c r="AA124" i="5" s="1"/>
  <c r="U124" i="5"/>
  <c r="U130" i="5" s="1"/>
  <c r="AB1025" i="1"/>
  <c r="AB1024" i="5" s="1"/>
  <c r="AA1024" i="5"/>
  <c r="AB376" i="1"/>
  <c r="AB375" i="5" s="1"/>
  <c r="AA375" i="5"/>
  <c r="U510" i="1"/>
  <c r="U506" i="5"/>
  <c r="U509" i="5" s="1"/>
  <c r="AA54" i="1"/>
  <c r="AA54" i="5" s="1"/>
  <c r="J275" i="4"/>
  <c r="J275" i="5"/>
  <c r="J280" i="5" s="1"/>
  <c r="AA582" i="1"/>
  <c r="AA583" i="5" s="1"/>
  <c r="U583" i="5"/>
  <c r="W709" i="1"/>
  <c r="W709" i="5" s="1"/>
  <c r="V709" i="5"/>
  <c r="V714" i="5" s="1"/>
  <c r="J2847" i="1"/>
  <c r="J1217" i="5"/>
  <c r="V864" i="4"/>
  <c r="V864" i="5"/>
  <c r="H922" i="1"/>
  <c r="H904" i="5"/>
  <c r="X904" i="5" s="1"/>
  <c r="Z904" i="5" s="1"/>
  <c r="AB1175" i="1"/>
  <c r="AB1174" i="5" s="1"/>
  <c r="AA1174" i="5"/>
  <c r="J1909" i="4"/>
  <c r="J1909" i="5"/>
  <c r="J1915" i="4"/>
  <c r="J1915" i="5"/>
  <c r="Q1927" i="4"/>
  <c r="Q1927" i="5"/>
  <c r="J1932" i="4"/>
  <c r="J1932" i="5"/>
  <c r="J1949" i="4"/>
  <c r="J1949" i="5"/>
  <c r="J1961" i="4"/>
  <c r="J1961" i="5"/>
  <c r="W2056" i="4"/>
  <c r="W2056" i="5"/>
  <c r="Q2091" i="4"/>
  <c r="Q2091" i="5"/>
  <c r="J2101" i="4"/>
  <c r="J2101" i="5"/>
  <c r="J2117" i="4"/>
  <c r="J2117" i="5"/>
  <c r="J2130" i="4"/>
  <c r="J2130" i="5"/>
  <c r="H2177" i="1"/>
  <c r="H2146" i="5"/>
  <c r="X2146" i="5" s="1"/>
  <c r="Z2146" i="5" s="1"/>
  <c r="J2150" i="4"/>
  <c r="J2150" i="5"/>
  <c r="U2163" i="4"/>
  <c r="U2163" i="5"/>
  <c r="J2171" i="4"/>
  <c r="J2171" i="5"/>
  <c r="Q2185" i="4"/>
  <c r="Q2185" i="5"/>
  <c r="Q2205" i="4"/>
  <c r="Q2205" i="5"/>
  <c r="Q2216" i="4"/>
  <c r="Q2216" i="5"/>
  <c r="J2224" i="4"/>
  <c r="J2224" i="5"/>
  <c r="J2233" i="4"/>
  <c r="J2233" i="5"/>
  <c r="U2238" i="4"/>
  <c r="U2238" i="5"/>
  <c r="J2248" i="4"/>
  <c r="J2248" i="5"/>
  <c r="Q2258" i="4"/>
  <c r="Q2258" i="5"/>
  <c r="J2300" i="4"/>
  <c r="J2300" i="5"/>
  <c r="Q2332" i="4"/>
  <c r="Q2332" i="5"/>
  <c r="J2355" i="4"/>
  <c r="J2355" i="5"/>
  <c r="Q2362" i="4"/>
  <c r="Q2362" i="5"/>
  <c r="Q2377" i="4"/>
  <c r="Q2377" i="5"/>
  <c r="Q2382" i="5" s="1"/>
  <c r="J2395" i="4"/>
  <c r="J2395" i="5"/>
  <c r="Q2402" i="4"/>
  <c r="Q2402" i="5"/>
  <c r="Q2417" i="4"/>
  <c r="Q2417" i="5"/>
  <c r="Q2421" i="4"/>
  <c r="Q2421" i="5"/>
  <c r="U2557" i="4"/>
  <c r="U2557" i="5"/>
  <c r="U2561" i="4"/>
  <c r="U2561" i="5"/>
  <c r="U2589" i="4"/>
  <c r="U2589" i="5"/>
  <c r="U2592" i="4"/>
  <c r="U2592" i="5"/>
  <c r="AA2624" i="1"/>
  <c r="AA2616" i="5" s="1"/>
  <c r="U2616" i="5"/>
  <c r="U2700" i="4"/>
  <c r="U2700" i="5"/>
  <c r="U2716" i="4"/>
  <c r="U2716" i="5"/>
  <c r="Z2732" i="4"/>
  <c r="Z2732" i="5"/>
  <c r="U2736" i="4"/>
  <c r="U2736" i="5"/>
  <c r="U522" i="5"/>
  <c r="U570" i="5"/>
  <c r="AA753" i="1"/>
  <c r="AA753" i="5" s="1"/>
  <c r="U753" i="5"/>
  <c r="AA979" i="1"/>
  <c r="AA978" i="5" s="1"/>
  <c r="U978" i="5"/>
  <c r="M1049" i="5"/>
  <c r="M535" i="5"/>
  <c r="W1202" i="4"/>
  <c r="W1202" i="5"/>
  <c r="Z257" i="4"/>
  <c r="Z257" i="5"/>
  <c r="AA760" i="1"/>
  <c r="AA760" i="5" s="1"/>
  <c r="U760" i="5"/>
  <c r="AA860" i="1"/>
  <c r="AA860" i="5" s="1"/>
  <c r="U860" i="5"/>
  <c r="U865" i="4"/>
  <c r="U865" i="5"/>
  <c r="V1184" i="4"/>
  <c r="V1184" i="5"/>
  <c r="W1450" i="1"/>
  <c r="W1449" i="5" s="1"/>
  <c r="V1449" i="5"/>
  <c r="W1655" i="4"/>
  <c r="W1655" i="5"/>
  <c r="J1920" i="4"/>
  <c r="J1920" i="5"/>
  <c r="Q1940" i="4"/>
  <c r="Q1940" i="5"/>
  <c r="Z1978" i="4"/>
  <c r="Z1978" i="5"/>
  <c r="Z1982" i="4"/>
  <c r="Z1982" i="5"/>
  <c r="W2070" i="4"/>
  <c r="W2070" i="5"/>
  <c r="J2100" i="4"/>
  <c r="J2100" i="5"/>
  <c r="Q2109" i="4"/>
  <c r="Q2109" i="5"/>
  <c r="J2168" i="4"/>
  <c r="J2168" i="5"/>
  <c r="Q2226" i="4"/>
  <c r="Q2226" i="5"/>
  <c r="J2247" i="4"/>
  <c r="J2247" i="5"/>
  <c r="Q2272" i="4"/>
  <c r="Q2272" i="5"/>
  <c r="J2352" i="4"/>
  <c r="J2352" i="5"/>
  <c r="J2398" i="4"/>
  <c r="J2398" i="5"/>
  <c r="Q2418" i="4"/>
  <c r="Q2418" i="5"/>
  <c r="Q2428" i="5" s="1"/>
  <c r="V2673" i="4"/>
  <c r="V2673" i="5"/>
  <c r="Z2701" i="4"/>
  <c r="Z2701" i="5"/>
  <c r="J714" i="5"/>
  <c r="AA1063" i="1"/>
  <c r="AA1062" i="5" s="1"/>
  <c r="U1062" i="5"/>
  <c r="V1208" i="4"/>
  <c r="V1208" i="5"/>
  <c r="AB1297" i="1"/>
  <c r="AB1296" i="5" s="1"/>
  <c r="AA1296" i="5"/>
  <c r="Q1784" i="5"/>
  <c r="U1928" i="4"/>
  <c r="U1928" i="5"/>
  <c r="U1932" i="4"/>
  <c r="U1932" i="5"/>
  <c r="U1955" i="4"/>
  <c r="U1955" i="5"/>
  <c r="U1967" i="5" s="1"/>
  <c r="U2007" i="4"/>
  <c r="U2007" i="5"/>
  <c r="J2118" i="4"/>
  <c r="J2118" i="5"/>
  <c r="Q2121" i="4"/>
  <c r="Q2121" i="5"/>
  <c r="J2123" i="4"/>
  <c r="J2123" i="5"/>
  <c r="J2125" i="4"/>
  <c r="J2125" i="5"/>
  <c r="Q2128" i="4"/>
  <c r="Q2128" i="5"/>
  <c r="U2130" i="4"/>
  <c r="U2130" i="5"/>
  <c r="Q2142" i="4"/>
  <c r="Q2142" i="5"/>
  <c r="Q2173" i="5" s="1"/>
  <c r="AA2150" i="4"/>
  <c r="AA2150" i="5"/>
  <c r="Q2217" i="4"/>
  <c r="Q2217" i="5"/>
  <c r="Q2250" i="4"/>
  <c r="Q2250" i="5"/>
  <c r="U2279" i="4"/>
  <c r="U2279" i="5"/>
  <c r="Q2306" i="4"/>
  <c r="Q2306" i="5"/>
  <c r="J2308" i="4"/>
  <c r="J2308" i="5"/>
  <c r="J2310" i="4"/>
  <c r="J2310" i="5"/>
  <c r="AA2364" i="4"/>
  <c r="AA2364" i="5"/>
  <c r="U2372" i="4"/>
  <c r="U2372" i="5"/>
  <c r="Q2395" i="4"/>
  <c r="Q2395" i="5"/>
  <c r="U2397" i="4"/>
  <c r="U2397" i="5"/>
  <c r="Q2401" i="4"/>
  <c r="Q2401" i="5"/>
  <c r="AA2422" i="4"/>
  <c r="AA2422" i="5"/>
  <c r="U2437" i="4"/>
  <c r="U2437" i="5"/>
  <c r="U2441" i="4"/>
  <c r="U2441" i="5"/>
  <c r="U2497" i="4"/>
  <c r="U2497" i="5"/>
  <c r="Z2628" i="4"/>
  <c r="Z2628" i="5"/>
  <c r="M2819" i="5"/>
  <c r="M2819" i="4"/>
  <c r="U2855" i="5"/>
  <c r="U2856" i="4"/>
  <c r="V1202" i="4"/>
  <c r="V1202" i="5"/>
  <c r="J1273" i="4"/>
  <c r="J1273" i="5"/>
  <c r="X1621" i="1"/>
  <c r="M1697" i="5"/>
  <c r="J1820" i="5"/>
  <c r="J1905" i="4"/>
  <c r="J1905" i="5"/>
  <c r="U1940" i="4"/>
  <c r="U1940" i="5"/>
  <c r="U2109" i="4"/>
  <c r="U2109" i="5"/>
  <c r="Z2129" i="4"/>
  <c r="Z2129" i="5"/>
  <c r="U2231" i="4"/>
  <c r="U2231" i="5"/>
  <c r="U2256" i="4"/>
  <c r="U2256" i="5"/>
  <c r="U2286" i="4"/>
  <c r="U2286" i="5"/>
  <c r="K2454" i="1"/>
  <c r="K2920" i="1" s="1"/>
  <c r="M2388" i="1"/>
  <c r="M2371" i="5"/>
  <c r="Z1611" i="4"/>
  <c r="Z1611" i="5"/>
  <c r="W2550" i="4"/>
  <c r="W2550" i="5"/>
  <c r="AB2794" i="5"/>
  <c r="AB2794" i="4"/>
  <c r="AA2860" i="5"/>
  <c r="AA2861" i="4"/>
  <c r="U439" i="4"/>
  <c r="U439" i="5"/>
  <c r="AB1234" i="1"/>
  <c r="AB1233" i="5" s="1"/>
  <c r="AA1233" i="5"/>
  <c r="V1432" i="1"/>
  <c r="V1431" i="5" s="1"/>
  <c r="H1431" i="5"/>
  <c r="X1431" i="5" s="1"/>
  <c r="Z1431" i="5" s="1"/>
  <c r="M1592" i="5"/>
  <c r="U1909" i="4"/>
  <c r="U1909" i="5"/>
  <c r="Q1928" i="4"/>
  <c r="Q1928" i="5"/>
  <c r="Q1932" i="4"/>
  <c r="Q1932" i="5"/>
  <c r="J1943" i="4"/>
  <c r="J1943" i="5"/>
  <c r="U2027" i="4"/>
  <c r="U2027" i="5"/>
  <c r="V2076" i="4"/>
  <c r="V2076" i="5"/>
  <c r="J2095" i="4"/>
  <c r="J2095" i="5"/>
  <c r="J2097" i="4"/>
  <c r="J2097" i="5"/>
  <c r="U2123" i="4"/>
  <c r="U2123" i="5"/>
  <c r="Z2132" i="4"/>
  <c r="Z2132" i="5"/>
  <c r="J2147" i="4"/>
  <c r="J2147" i="5"/>
  <c r="J2159" i="4"/>
  <c r="J2159" i="5"/>
  <c r="J2165" i="4"/>
  <c r="J2165" i="5"/>
  <c r="J2167" i="4"/>
  <c r="J2167" i="5"/>
  <c r="J2180" i="4"/>
  <c r="J2180" i="5"/>
  <c r="J2182" i="4"/>
  <c r="J2182" i="5"/>
  <c r="J2184" i="4"/>
  <c r="J2184" i="5"/>
  <c r="Q2186" i="4"/>
  <c r="Q2186" i="5"/>
  <c r="Q2200" i="4"/>
  <c r="Q2200" i="5"/>
  <c r="J2206" i="4"/>
  <c r="J2206" i="5"/>
  <c r="U2251" i="4"/>
  <c r="U2251" i="5"/>
  <c r="J2257" i="4"/>
  <c r="J2257" i="5"/>
  <c r="J2259" i="4"/>
  <c r="J2259" i="5"/>
  <c r="U2336" i="4"/>
  <c r="U2336" i="5"/>
  <c r="J2351" i="4"/>
  <c r="J2351" i="5"/>
  <c r="J2407" i="4"/>
  <c r="J2407" i="5"/>
  <c r="U2422" i="4"/>
  <c r="U2422" i="5"/>
  <c r="Z2673" i="4"/>
  <c r="Z2673" i="5"/>
  <c r="AB2774" i="5"/>
  <c r="AB2774" i="4"/>
  <c r="M2876" i="5"/>
  <c r="M2877" i="4"/>
  <c r="H588" i="1"/>
  <c r="U743" i="5"/>
  <c r="AB722" i="1"/>
  <c r="AB722" i="5" s="1"/>
  <c r="AA722" i="5"/>
  <c r="Z1655" i="4"/>
  <c r="Z1655" i="5"/>
  <c r="Z1691" i="4"/>
  <c r="Z1691" i="5"/>
  <c r="Q1758" i="5"/>
  <c r="M1767" i="5"/>
  <c r="Q1916" i="4"/>
  <c r="Q1916" i="5"/>
  <c r="AA2019" i="1"/>
  <c r="AA2015" i="5" s="1"/>
  <c r="U2015" i="5"/>
  <c r="U2020" i="4"/>
  <c r="U2020" i="5"/>
  <c r="U2077" i="4"/>
  <c r="U2077" i="5"/>
  <c r="J2279" i="4"/>
  <c r="J2279" i="5"/>
  <c r="Q2328" i="4"/>
  <c r="Q2328" i="5"/>
  <c r="U2360" i="4"/>
  <c r="U2360" i="5"/>
  <c r="Q2387" i="4"/>
  <c r="Q2387" i="5"/>
  <c r="Q2410" i="5" s="1"/>
  <c r="V2486" i="4"/>
  <c r="V2486" i="5"/>
  <c r="V2488" i="5" s="1"/>
  <c r="W2670" i="4"/>
  <c r="W2670" i="5"/>
  <c r="W2718" i="4"/>
  <c r="W2718" i="5"/>
  <c r="AA2859" i="5"/>
  <c r="AA2860" i="4"/>
  <c r="U2481" i="4"/>
  <c r="U2481" i="5"/>
  <c r="V1413" i="1"/>
  <c r="V1412" i="5" s="1"/>
  <c r="H1412" i="5"/>
  <c r="X1412" i="5" s="1"/>
  <c r="Z1412" i="5" s="1"/>
  <c r="Z1993" i="4"/>
  <c r="Z1993" i="5"/>
  <c r="Q2097" i="4"/>
  <c r="Q2097" i="5"/>
  <c r="U2106" i="4"/>
  <c r="U2106" i="5"/>
  <c r="Q2157" i="4"/>
  <c r="Q2157" i="5"/>
  <c r="Q2184" i="4"/>
  <c r="Q2184" i="5"/>
  <c r="Q2194" i="5" s="1"/>
  <c r="Q2271" i="4"/>
  <c r="Q2271" i="5"/>
  <c r="U2337" i="4"/>
  <c r="U2337" i="5"/>
  <c r="U2339" i="4"/>
  <c r="U2339" i="5"/>
  <c r="Q2407" i="4"/>
  <c r="Q2407" i="5"/>
  <c r="Q2422" i="4"/>
  <c r="Q2422" i="5"/>
  <c r="Z2476" i="4"/>
  <c r="Z2476" i="5"/>
  <c r="Z2480" i="4"/>
  <c r="Z2480" i="5"/>
  <c r="U2521" i="4"/>
  <c r="U2521" i="5"/>
  <c r="W2525" i="4"/>
  <c r="W2525" i="5"/>
  <c r="U2632" i="4"/>
  <c r="U2632" i="5"/>
  <c r="Z2656" i="4"/>
  <c r="Z2656" i="5"/>
  <c r="U2715" i="4"/>
  <c r="U2715" i="5"/>
  <c r="AA2775" i="5"/>
  <c r="AA2775" i="4"/>
  <c r="AA2791" i="5"/>
  <c r="AA2791" i="4"/>
  <c r="AA2861" i="5"/>
  <c r="AA2862" i="4"/>
  <c r="U2881" i="5"/>
  <c r="U2882" i="4"/>
  <c r="Q1957" i="4"/>
  <c r="Q1957" i="5"/>
  <c r="U1995" i="4"/>
  <c r="U1995" i="5"/>
  <c r="Q2150" i="4"/>
  <c r="Q2150" i="5"/>
  <c r="J2215" i="4"/>
  <c r="J2215" i="5"/>
  <c r="Q2259" i="4"/>
  <c r="Q2259" i="5"/>
  <c r="Q2335" i="4"/>
  <c r="Q2335" i="5"/>
  <c r="U2460" i="4"/>
  <c r="U2460" i="5"/>
  <c r="U2474" i="4"/>
  <c r="U2474" i="5"/>
  <c r="U2488" i="5" s="1"/>
  <c r="Z2623" i="4"/>
  <c r="Z2623" i="5"/>
  <c r="U2717" i="4"/>
  <c r="U2717" i="5"/>
  <c r="Z2735" i="4"/>
  <c r="Z2735" i="5"/>
  <c r="AA2850" i="5"/>
  <c r="AA2851" i="4"/>
  <c r="AA2880" i="5"/>
  <c r="AA2881" i="4"/>
  <c r="Q1767" i="5"/>
  <c r="J2158" i="4"/>
  <c r="J2158" i="5"/>
  <c r="Q2167" i="4"/>
  <c r="Q2167" i="5"/>
  <c r="U2190" i="4"/>
  <c r="U2190" i="5"/>
  <c r="J2374" i="4"/>
  <c r="J2374" i="5"/>
  <c r="Q2378" i="4"/>
  <c r="Q2378" i="5"/>
  <c r="U2466" i="4"/>
  <c r="U2466" i="5"/>
  <c r="Z2479" i="4"/>
  <c r="Z2479" i="5"/>
  <c r="AA2772" i="5"/>
  <c r="AA2772" i="4"/>
  <c r="AA2848" i="5"/>
  <c r="AA2849" i="4"/>
  <c r="AA2845" i="5"/>
  <c r="AA2846" i="4"/>
  <c r="Z2586" i="4"/>
  <c r="Z2586" i="5"/>
  <c r="U1802" i="5"/>
  <c r="AB1844" i="1"/>
  <c r="AB1840" i="5" s="1"/>
  <c r="AA1840" i="5"/>
  <c r="AA1882" i="1"/>
  <c r="AA1878" i="5" s="1"/>
  <c r="U1878" i="5"/>
  <c r="Q1943" i="4"/>
  <c r="Q1943" i="5"/>
  <c r="Q1961" i="4"/>
  <c r="Q1961" i="5"/>
  <c r="Z1999" i="4"/>
  <c r="Z1999" i="5"/>
  <c r="V2035" i="4"/>
  <c r="V2035" i="5"/>
  <c r="U2110" i="4"/>
  <c r="U2110" i="5"/>
  <c r="Q2228" i="4"/>
  <c r="Q2228" i="5"/>
  <c r="J2286" i="4"/>
  <c r="J2286" i="5"/>
  <c r="Q2290" i="4"/>
  <c r="Q2290" i="5"/>
  <c r="U2303" i="4"/>
  <c r="U2303" i="5"/>
  <c r="Q2351" i="4"/>
  <c r="Q2351" i="5"/>
  <c r="AA2474" i="1"/>
  <c r="AA2466" i="5" s="1"/>
  <c r="Z2486" i="4"/>
  <c r="Z2486" i="5"/>
  <c r="W2511" i="4"/>
  <c r="W2511" i="5"/>
  <c r="Z2593" i="4"/>
  <c r="Z2593" i="5"/>
  <c r="W2641" i="4"/>
  <c r="W2641" i="5"/>
  <c r="W2647" i="4"/>
  <c r="W2647" i="5"/>
  <c r="Z2736" i="4"/>
  <c r="Z2736" i="5"/>
  <c r="AA2883" i="5"/>
  <c r="AA2884" i="4"/>
  <c r="Z1998" i="4"/>
  <c r="Z1998" i="5"/>
  <c r="Z2003" i="4"/>
  <c r="Z2003" i="5"/>
  <c r="Z2305" i="4"/>
  <c r="Z2305" i="5"/>
  <c r="Q2336" i="4"/>
  <c r="Q2336" i="5"/>
  <c r="W2459" i="4"/>
  <c r="W2459" i="5"/>
  <c r="Z2650" i="4"/>
  <c r="Z2650" i="5"/>
  <c r="AA2776" i="5"/>
  <c r="AA2776" i="4"/>
  <c r="W1439" i="1"/>
  <c r="W1438" i="5" s="1"/>
  <c r="Z1997" i="4"/>
  <c r="Z1997" i="5"/>
  <c r="AA2028" i="1"/>
  <c r="AA2024" i="5" s="1"/>
  <c r="U2089" i="4"/>
  <c r="U2089" i="5"/>
  <c r="U2112" i="5" s="1"/>
  <c r="J2204" i="4"/>
  <c r="J2204" i="5"/>
  <c r="Q2206" i="4"/>
  <c r="Q2206" i="5"/>
  <c r="J2386" i="4"/>
  <c r="J2386" i="5"/>
  <c r="J2393" i="4"/>
  <c r="J2393" i="5"/>
  <c r="W2465" i="4"/>
  <c r="W2465" i="5"/>
  <c r="U2629" i="4"/>
  <c r="U2629" i="5"/>
  <c r="V2654" i="4"/>
  <c r="V2654" i="5"/>
  <c r="AA2778" i="5"/>
  <c r="AA2778" i="4"/>
  <c r="AA2842" i="5"/>
  <c r="AA2843" i="4"/>
  <c r="Z2677" i="4"/>
  <c r="Z2677" i="5"/>
  <c r="W34" i="1"/>
  <c r="V34" i="5"/>
  <c r="W616" i="1"/>
  <c r="W617" i="5" s="1"/>
  <c r="V617" i="5"/>
  <c r="V625" i="5" s="1"/>
  <c r="W672" i="1"/>
  <c r="V672" i="5"/>
  <c r="AA116" i="1"/>
  <c r="M116" i="5"/>
  <c r="M130" i="5" s="1"/>
  <c r="U202" i="4"/>
  <c r="U202" i="5"/>
  <c r="U208" i="5" s="1"/>
  <c r="AA653" i="1"/>
  <c r="M653" i="5"/>
  <c r="M661" i="5" s="1"/>
  <c r="U777" i="4"/>
  <c r="U777" i="5"/>
  <c r="W1031" i="1"/>
  <c r="V1030" i="5"/>
  <c r="U584" i="4"/>
  <c r="U584" i="5"/>
  <c r="W659" i="1"/>
  <c r="V659" i="5"/>
  <c r="W1329" i="2"/>
  <c r="W1399" i="5"/>
  <c r="Z1591" i="1"/>
  <c r="X1588" i="5"/>
  <c r="AA61" i="1"/>
  <c r="U61" i="5"/>
  <c r="U68" i="5" s="1"/>
  <c r="M357" i="4"/>
  <c r="M357" i="5"/>
  <c r="J419" i="5"/>
  <c r="W435" i="1"/>
  <c r="V434" i="5"/>
  <c r="M457" i="5"/>
  <c r="W1007" i="1"/>
  <c r="V1006" i="5"/>
  <c r="V1013" i="5" s="1"/>
  <c r="W761" i="1"/>
  <c r="V761" i="5"/>
  <c r="AA885" i="1"/>
  <c r="M885" i="5"/>
  <c r="U1273" i="4"/>
  <c r="U1273" i="5"/>
  <c r="M1618" i="5"/>
  <c r="Z1671" i="4"/>
  <c r="Z1671" i="5"/>
  <c r="U1914" i="4"/>
  <c r="U1914" i="5"/>
  <c r="U1938" i="4"/>
  <c r="U1938" i="5"/>
  <c r="U1962" i="4"/>
  <c r="U1962" i="5"/>
  <c r="U2003" i="4"/>
  <c r="U2003" i="5"/>
  <c r="U2028" i="4"/>
  <c r="U2028" i="5"/>
  <c r="U2051" i="4"/>
  <c r="U2051" i="5"/>
  <c r="V2068" i="4"/>
  <c r="V2068" i="5"/>
  <c r="J2091" i="4"/>
  <c r="J2091" i="5"/>
  <c r="U2127" i="4"/>
  <c r="U2127" i="5"/>
  <c r="U2154" i="4"/>
  <c r="U2154" i="5"/>
  <c r="Q2192" i="4"/>
  <c r="Q2192" i="5"/>
  <c r="Q2208" i="4"/>
  <c r="Q2208" i="5"/>
  <c r="U2229" i="4"/>
  <c r="U2229" i="5"/>
  <c r="U2247" i="4"/>
  <c r="U2247" i="5"/>
  <c r="J2302" i="4"/>
  <c r="J2302" i="5"/>
  <c r="U2306" i="4"/>
  <c r="U2306" i="5"/>
  <c r="U2366" i="5"/>
  <c r="Q2354" i="4"/>
  <c r="Q2354" i="5"/>
  <c r="Q2388" i="4"/>
  <c r="Q2388" i="5"/>
  <c r="U2394" i="4"/>
  <c r="U2394" i="5"/>
  <c r="U2417" i="4"/>
  <c r="U2417" i="5"/>
  <c r="U2467" i="4"/>
  <c r="U2467" i="5"/>
  <c r="M157" i="1"/>
  <c r="H157" i="5"/>
  <c r="X157" i="5" s="1"/>
  <c r="I192" i="4"/>
  <c r="I192" i="5"/>
  <c r="I208" i="5" s="1"/>
  <c r="M247" i="4"/>
  <c r="M247" i="5"/>
  <c r="W1043" i="1"/>
  <c r="V1042" i="5"/>
  <c r="AA1160" i="1"/>
  <c r="AA1159" i="5" s="1"/>
  <c r="U1159" i="5"/>
  <c r="Q2277" i="4"/>
  <c r="Q2277" i="5"/>
  <c r="AA754" i="1"/>
  <c r="M754" i="5"/>
  <c r="M1050" i="2"/>
  <c r="M1098" i="5"/>
  <c r="M1106" i="5" s="1"/>
  <c r="W1135" i="1"/>
  <c r="J1173" i="2"/>
  <c r="J1227" i="5"/>
  <c r="U1238" i="4"/>
  <c r="U1238" i="5"/>
  <c r="U1244" i="5" s="1"/>
  <c r="Q1255" i="4"/>
  <c r="Q1255" i="5"/>
  <c r="Q1285" i="4"/>
  <c r="Q1285" i="5"/>
  <c r="Q1309" i="5" s="1"/>
  <c r="Q1240" i="2"/>
  <c r="Q1303" i="5"/>
  <c r="Q1314" i="4"/>
  <c r="Q1314" i="5"/>
  <c r="Q1339" i="5" s="1"/>
  <c r="M1332" i="4"/>
  <c r="M1332" i="5"/>
  <c r="J1312" i="2"/>
  <c r="J1381" i="5"/>
  <c r="Q1324" i="2"/>
  <c r="Q1393" i="5"/>
  <c r="Q1351" i="2"/>
  <c r="Q1421" i="5"/>
  <c r="Q1433" i="5" s="1"/>
  <c r="Q1379" i="2"/>
  <c r="Q1450" i="5"/>
  <c r="Q1471" i="5" s="1"/>
  <c r="U1459" i="4"/>
  <c r="U1459" i="5"/>
  <c r="U1471" i="5" s="1"/>
  <c r="W1504" i="1"/>
  <c r="W1503" i="5" s="1"/>
  <c r="V1503" i="5"/>
  <c r="V1541" i="5" s="1"/>
  <c r="Q1962" i="4"/>
  <c r="Q1962" i="5"/>
  <c r="U1998" i="4"/>
  <c r="U1998" i="5"/>
  <c r="U2016" i="4"/>
  <c r="U2016" i="5"/>
  <c r="U2030" i="4"/>
  <c r="U2030" i="5"/>
  <c r="W147" i="1"/>
  <c r="V147" i="5"/>
  <c r="J777" i="4"/>
  <c r="J777" i="5"/>
  <c r="U972" i="1"/>
  <c r="P971" i="5"/>
  <c r="U1126" i="4"/>
  <c r="U1126" i="5"/>
  <c r="U1129" i="5" s="1"/>
  <c r="J2323" i="4"/>
  <c r="J2323" i="5"/>
  <c r="V847" i="4"/>
  <c r="V847" i="5"/>
  <c r="V872" i="5" s="1"/>
  <c r="U2544" i="4"/>
  <c r="U2544" i="5"/>
  <c r="U2565" i="5" s="1"/>
  <c r="V2563" i="4"/>
  <c r="V2563" i="5"/>
  <c r="Z2626" i="4"/>
  <c r="Z2626" i="5"/>
  <c r="U1364" i="4"/>
  <c r="U1364" i="5"/>
  <c r="U1565" i="4"/>
  <c r="U1565" i="5"/>
  <c r="U1908" i="4"/>
  <c r="U1908" i="5"/>
  <c r="Z2004" i="4"/>
  <c r="Z2004" i="5"/>
  <c r="Z2128" i="4"/>
  <c r="Z2128" i="5"/>
  <c r="U2223" i="4"/>
  <c r="U2223" i="5"/>
  <c r="U2243" i="5" s="1"/>
  <c r="Q2403" i="4"/>
  <c r="Q2403" i="5"/>
  <c r="J2405" i="4"/>
  <c r="J2405" i="5"/>
  <c r="J2408" i="4"/>
  <c r="J2408" i="5"/>
  <c r="J2440" i="4"/>
  <c r="J2440" i="5"/>
  <c r="U868" i="4"/>
  <c r="U868" i="5"/>
  <c r="U2604" i="4"/>
  <c r="U2604" i="5"/>
  <c r="J1482" i="4"/>
  <c r="J1482" i="5"/>
  <c r="V2564" i="1"/>
  <c r="H2556" i="5"/>
  <c r="X2556" i="5" s="1"/>
  <c r="M2601" i="4"/>
  <c r="M2601" i="5"/>
  <c r="M2739" i="1"/>
  <c r="H2731" i="5"/>
  <c r="X2731" i="5" s="1"/>
  <c r="U2854" i="5"/>
  <c r="U2855" i="4"/>
  <c r="V638" i="5"/>
  <c r="W1669" i="1"/>
  <c r="V1666" i="5"/>
  <c r="X1984" i="4"/>
  <c r="X1984" i="5"/>
  <c r="U2094" i="4"/>
  <c r="U2094" i="5"/>
  <c r="U2181" i="4"/>
  <c r="U2181" i="5"/>
  <c r="U2227" i="4"/>
  <c r="U2227" i="5"/>
  <c r="J2252" i="4"/>
  <c r="J2252" i="5"/>
  <c r="J2277" i="4"/>
  <c r="J2277" i="5"/>
  <c r="Q2361" i="4"/>
  <c r="Q2361" i="5"/>
  <c r="U2477" i="4"/>
  <c r="U2477" i="5"/>
  <c r="M2610" i="1"/>
  <c r="H2602" i="5"/>
  <c r="W1019" i="1"/>
  <c r="V1018" i="5"/>
  <c r="V1033" i="5" s="1"/>
  <c r="AA1387" i="1"/>
  <c r="U1386" i="5"/>
  <c r="U1402" i="5" s="1"/>
  <c r="J1349" i="2"/>
  <c r="J1419" i="5"/>
  <c r="X1982" i="4"/>
  <c r="X1982" i="5"/>
  <c r="W1280" i="1"/>
  <c r="W1279" i="5" s="1"/>
  <c r="V1279" i="5"/>
  <c r="AA1462" i="1"/>
  <c r="Z2700" i="4"/>
  <c r="Z2700" i="5"/>
  <c r="Z2747" i="4"/>
  <c r="Z2747" i="5"/>
  <c r="W597" i="1"/>
  <c r="V598" i="5"/>
  <c r="AA847" i="1"/>
  <c r="M847" i="5"/>
  <c r="W1156" i="1"/>
  <c r="V1155" i="5"/>
  <c r="AA1360" i="1"/>
  <c r="M1359" i="5"/>
  <c r="U1655" i="4"/>
  <c r="U1655" i="5"/>
  <c r="M2107" i="4"/>
  <c r="M2107" i="5"/>
  <c r="U2185" i="4"/>
  <c r="U2185" i="5"/>
  <c r="Q2276" i="4"/>
  <c r="Q2276" i="5"/>
  <c r="U2335" i="4"/>
  <c r="U2335" i="5"/>
  <c r="J2362" i="4"/>
  <c r="J2362" i="5"/>
  <c r="U2606" i="4"/>
  <c r="U2606" i="5"/>
  <c r="V2630" i="4"/>
  <c r="V2630" i="5"/>
  <c r="V2635" i="5" s="1"/>
  <c r="Z2689" i="4"/>
  <c r="Z2689" i="5"/>
  <c r="U2179" i="4"/>
  <c r="U2179" i="5"/>
  <c r="U2772" i="5"/>
  <c r="U2772" i="4"/>
  <c r="AA2846" i="5"/>
  <c r="AA2847" i="4"/>
  <c r="M45" i="2"/>
  <c r="M49" i="5"/>
  <c r="W143" i="1"/>
  <c r="V143" i="5"/>
  <c r="V149" i="5" s="1"/>
  <c r="U398" i="5"/>
  <c r="U487" i="5"/>
  <c r="AA497" i="1"/>
  <c r="U496" i="5"/>
  <c r="U500" i="5" s="1"/>
  <c r="AA826" i="1"/>
  <c r="M826" i="5"/>
  <c r="Z865" i="5"/>
  <c r="AA883" i="1"/>
  <c r="U883" i="5"/>
  <c r="U895" i="5" s="1"/>
  <c r="X1147" i="5"/>
  <c r="Z1147" i="5" s="1"/>
  <c r="U1489" i="5"/>
  <c r="AA1490" i="1"/>
  <c r="U1541" i="5"/>
  <c r="M1654" i="4"/>
  <c r="M1654" i="5"/>
  <c r="AA1707" i="1"/>
  <c r="M1704" i="5"/>
  <c r="M1709" i="5" s="1"/>
  <c r="J1838" i="1"/>
  <c r="H1834" i="5"/>
  <c r="X1834" i="5" s="1"/>
  <c r="Z1834" i="5" s="1"/>
  <c r="M1838" i="1"/>
  <c r="U1904" i="4"/>
  <c r="U1904" i="5"/>
  <c r="Q1920" i="4"/>
  <c r="Q1920" i="5"/>
  <c r="Z1941" i="5"/>
  <c r="J1960" i="4"/>
  <c r="J1960" i="5"/>
  <c r="U2009" i="4"/>
  <c r="U2009" i="5"/>
  <c r="U2011" i="5" s="1"/>
  <c r="X2041" i="5"/>
  <c r="Z2041" i="5" s="1"/>
  <c r="U2065" i="4"/>
  <c r="U2065" i="5"/>
  <c r="U2069" i="4"/>
  <c r="U2069" i="5"/>
  <c r="U2073" i="4"/>
  <c r="U2073" i="5"/>
  <c r="U2076" i="4"/>
  <c r="U2076" i="5"/>
  <c r="Q2087" i="4"/>
  <c r="Q2087" i="5"/>
  <c r="Q2112" i="5" s="1"/>
  <c r="Z2145" i="5"/>
  <c r="Q2156" i="4"/>
  <c r="Q2156" i="5"/>
  <c r="U2164" i="4"/>
  <c r="U2164" i="5"/>
  <c r="J2192" i="4"/>
  <c r="J2192" i="5"/>
  <c r="J2222" i="4"/>
  <c r="J2222" i="5"/>
  <c r="Z2226" i="5"/>
  <c r="U2268" i="4"/>
  <c r="U2268" i="5"/>
  <c r="U2324" i="4"/>
  <c r="U2324" i="5"/>
  <c r="U2341" i="5" s="1"/>
  <c r="Q2353" i="4"/>
  <c r="Q2353" i="5"/>
  <c r="M2382" i="5"/>
  <c r="J2417" i="4"/>
  <c r="J2417" i="5"/>
  <c r="J2428" i="5" s="1"/>
  <c r="U2432" i="4"/>
  <c r="U2432" i="5"/>
  <c r="U2446" i="5" s="1"/>
  <c r="U2506" i="4"/>
  <c r="U2506" i="5"/>
  <c r="U2511" i="4"/>
  <c r="U2511" i="5"/>
  <c r="U2549" i="4"/>
  <c r="U2549" i="5"/>
  <c r="U2558" i="4"/>
  <c r="U2558" i="5"/>
  <c r="U2562" i="4"/>
  <c r="U2562" i="5"/>
  <c r="U2588" i="4"/>
  <c r="U2588" i="5"/>
  <c r="U2648" i="4"/>
  <c r="U2648" i="5"/>
  <c r="U2743" i="4"/>
  <c r="U2743" i="5"/>
  <c r="J1780" i="1"/>
  <c r="H1776" i="5"/>
  <c r="X1776" i="5" s="1"/>
  <c r="Z1776" i="5" s="1"/>
  <c r="F1843" i="5"/>
  <c r="F1969" i="5" s="1"/>
  <c r="F2933" i="5" s="1"/>
  <c r="F1865" i="5"/>
  <c r="X2019" i="5"/>
  <c r="Z2019" i="5" s="1"/>
  <c r="M2070" i="4"/>
  <c r="M2070" i="5"/>
  <c r="M2079" i="5" s="1"/>
  <c r="Q2123" i="4"/>
  <c r="Q2123" i="5"/>
  <c r="Z2156" i="5"/>
  <c r="U2189" i="4"/>
  <c r="U2189" i="5"/>
  <c r="J2239" i="4"/>
  <c r="J2239" i="5"/>
  <c r="M550" i="1"/>
  <c r="H549" i="5"/>
  <c r="X549" i="5" s="1"/>
  <c r="Z549" i="5" s="1"/>
  <c r="X550" i="1"/>
  <c r="AB593" i="1"/>
  <c r="AA594" i="5"/>
  <c r="Z719" i="5"/>
  <c r="Z788" i="5"/>
  <c r="F922" i="5"/>
  <c r="F961" i="5" s="1"/>
  <c r="F2925" i="5" s="1"/>
  <c r="Z1343" i="5"/>
  <c r="H1359" i="5"/>
  <c r="X1359" i="5" s="1"/>
  <c r="Z1359" i="5" s="1"/>
  <c r="J1360" i="1"/>
  <c r="Z1488" i="5"/>
  <c r="V1610" i="5"/>
  <c r="W1613" i="1"/>
  <c r="Z1654" i="4"/>
  <c r="Z1654" i="5"/>
  <c r="Z1888" i="5"/>
  <c r="M2075" i="4"/>
  <c r="M2075" i="5"/>
  <c r="F2173" i="5"/>
  <c r="W75" i="1"/>
  <c r="V75" i="5"/>
  <c r="V92" i="5" s="1"/>
  <c r="Z140" i="1"/>
  <c r="X140" i="5"/>
  <c r="U229" i="4"/>
  <c r="U229" i="5"/>
  <c r="J243" i="1"/>
  <c r="H242" i="5"/>
  <c r="M280" i="5"/>
  <c r="H296" i="5"/>
  <c r="X296" i="5" s="1"/>
  <c r="Z296" i="5" s="1"/>
  <c r="X297" i="1"/>
  <c r="Z327" i="5"/>
  <c r="Z337" i="5"/>
  <c r="X348" i="5"/>
  <c r="Z348" i="5" s="1"/>
  <c r="X710" i="2"/>
  <c r="Z741" i="1"/>
  <c r="Z710" i="2" s="1"/>
  <c r="X796" i="5"/>
  <c r="Z796" i="5" s="1"/>
  <c r="X862" i="5"/>
  <c r="Z862" i="5" s="1"/>
  <c r="X866" i="2"/>
  <c r="Z906" i="1"/>
  <c r="Z866" i="2" s="1"/>
  <c r="X919" i="5"/>
  <c r="Z919" i="5" s="1"/>
  <c r="X927" i="5"/>
  <c r="Z927" i="5" s="1"/>
  <c r="X1025" i="5"/>
  <c r="Z1025" i="5" s="1"/>
  <c r="W1053" i="1"/>
  <c r="V1052" i="5"/>
  <c r="V1065" i="5" s="1"/>
  <c r="G2929" i="5"/>
  <c r="G2948" i="5" s="1"/>
  <c r="G2755" i="5"/>
  <c r="X1221" i="5"/>
  <c r="X1313" i="5"/>
  <c r="Z1313" i="5" s="1"/>
  <c r="Z1425" i="5"/>
  <c r="Z1469" i="5"/>
  <c r="V1483" i="1"/>
  <c r="H1482" i="5"/>
  <c r="X1482" i="5" s="1"/>
  <c r="Z1482" i="5" s="1"/>
  <c r="X1500" i="5"/>
  <c r="X1622" i="5"/>
  <c r="F1951" i="5"/>
  <c r="Z1944" i="5"/>
  <c r="F2037" i="5"/>
  <c r="Z2149" i="5"/>
  <c r="Z2152" i="5"/>
  <c r="Z2159" i="5"/>
  <c r="Z2290" i="5"/>
  <c r="P2446" i="5"/>
  <c r="U2546" i="4"/>
  <c r="U2546" i="5"/>
  <c r="X60" i="5"/>
  <c r="Z60" i="5" s="1"/>
  <c r="X117" i="5"/>
  <c r="Z117" i="5" s="1"/>
  <c r="I213" i="5"/>
  <c r="I235" i="5" s="1"/>
  <c r="K213" i="1"/>
  <c r="M244" i="4"/>
  <c r="M244" i="5"/>
  <c r="M261" i="5" s="1"/>
  <c r="V487" i="5"/>
  <c r="U872" i="5"/>
  <c r="U1060" i="4"/>
  <c r="U1060" i="5"/>
  <c r="W1083" i="1"/>
  <c r="V1082" i="5"/>
  <c r="V1085" i="5" s="1"/>
  <c r="X1265" i="5"/>
  <c r="Z1265" i="5" s="1"/>
  <c r="Z1440" i="5"/>
  <c r="AA1496" i="1"/>
  <c r="U1495" i="5"/>
  <c r="X1600" i="5"/>
  <c r="Z2052" i="5"/>
  <c r="M2359" i="4"/>
  <c r="M2359" i="5"/>
  <c r="U2389" i="4"/>
  <c r="U2389" i="5"/>
  <c r="U2410" i="5" s="1"/>
  <c r="M2592" i="4"/>
  <c r="M2592" i="5"/>
  <c r="X2612" i="5"/>
  <c r="P2660" i="5"/>
  <c r="P2943" i="5" s="1"/>
  <c r="U2622" i="4"/>
  <c r="U2622" i="5"/>
  <c r="U2702" i="4"/>
  <c r="U2702" i="5"/>
  <c r="U2714" i="4"/>
  <c r="U2714" i="5"/>
  <c r="U2728" i="5" s="1"/>
  <c r="U2864" i="5"/>
  <c r="U2865" i="4"/>
  <c r="W88" i="1"/>
  <c r="V88" i="5"/>
  <c r="X462" i="5"/>
  <c r="Z462" i="5" s="1"/>
  <c r="W549" i="1"/>
  <c r="V548" i="5"/>
  <c r="X696" i="2"/>
  <c r="Z726" i="1"/>
  <c r="Z696" i="2" s="1"/>
  <c r="Q777" i="4"/>
  <c r="Q777" i="5"/>
  <c r="Q781" i="5" s="1"/>
  <c r="U1010" i="4"/>
  <c r="U1010" i="5"/>
  <c r="W1116" i="1"/>
  <c r="V1115" i="5"/>
  <c r="V1129" i="5" s="1"/>
  <c r="X1632" i="5"/>
  <c r="W1652" i="1"/>
  <c r="V1649" i="5"/>
  <c r="V1659" i="5" s="1"/>
  <c r="Z1857" i="5"/>
  <c r="Q1905" i="4"/>
  <c r="Q1905" i="5"/>
  <c r="Q1935" i="4"/>
  <c r="Q1935" i="5"/>
  <c r="J2108" i="4"/>
  <c r="J2108" i="5"/>
  <c r="Q2119" i="4"/>
  <c r="Q2119" i="5"/>
  <c r="U2122" i="4"/>
  <c r="U2122" i="5"/>
  <c r="U2188" i="4"/>
  <c r="U2188" i="5"/>
  <c r="U2284" i="4"/>
  <c r="U2284" i="5"/>
  <c r="U2305" i="4"/>
  <c r="U2305" i="5"/>
  <c r="Q2352" i="4"/>
  <c r="Q2352" i="5"/>
  <c r="J2377" i="4"/>
  <c r="J2377" i="5"/>
  <c r="X2550" i="5"/>
  <c r="Z2550" i="5" s="1"/>
  <c r="Z2556" i="5"/>
  <c r="V2670" i="4"/>
  <c r="V2670" i="5"/>
  <c r="V2683" i="5" s="1"/>
  <c r="Z2696" i="4"/>
  <c r="Z2696" i="5"/>
  <c r="U87" i="4"/>
  <c r="U87" i="5"/>
  <c r="U92" i="5" s="1"/>
  <c r="X204" i="5"/>
  <c r="Z204" i="5" s="1"/>
  <c r="X212" i="5"/>
  <c r="Z212" i="5" s="1"/>
  <c r="Z287" i="5"/>
  <c r="F312" i="5"/>
  <c r="X293" i="2"/>
  <c r="Z306" i="1"/>
  <c r="Z293" i="2" s="1"/>
  <c r="M358" i="4"/>
  <c r="M358" i="5"/>
  <c r="X605" i="5"/>
  <c r="Z605" i="5" s="1"/>
  <c r="T2927" i="5"/>
  <c r="T2948" i="5" s="1"/>
  <c r="T2755" i="5"/>
  <c r="W1150" i="1"/>
  <c r="V1149" i="5"/>
  <c r="Q1202" i="4"/>
  <c r="Q1202" i="5"/>
  <c r="Q1214" i="5" s="1"/>
  <c r="J1302" i="1"/>
  <c r="H1301" i="5"/>
  <c r="X1301" i="5" s="1"/>
  <c r="Z1301" i="5" s="1"/>
  <c r="X1302" i="1"/>
  <c r="X1444" i="5"/>
  <c r="Z1444" i="5" s="1"/>
  <c r="X1452" i="5"/>
  <c r="Z1452" i="5" s="1"/>
  <c r="AA1494" i="1"/>
  <c r="X1725" i="5"/>
  <c r="V1734" i="5"/>
  <c r="V1737" i="5" s="1"/>
  <c r="W1737" i="1"/>
  <c r="J1888" i="4"/>
  <c r="J1888" i="5"/>
  <c r="X1980" i="4"/>
  <c r="X1980" i="5"/>
  <c r="Q2118" i="4"/>
  <c r="Q2118" i="5"/>
  <c r="Q2138" i="5" s="1"/>
  <c r="Q2229" i="4"/>
  <c r="Q2229" i="5"/>
  <c r="Z2260" i="5"/>
  <c r="U2311" i="4"/>
  <c r="U2311" i="5"/>
  <c r="Q2426" i="4"/>
  <c r="Q2426" i="5"/>
  <c r="X2436" i="5"/>
  <c r="Z2436" i="5" s="1"/>
  <c r="L2941" i="5"/>
  <c r="L2948" i="5" s="1"/>
  <c r="L2755" i="5"/>
  <c r="X2546" i="5"/>
  <c r="Z2546" i="5" s="1"/>
  <c r="M2552" i="4"/>
  <c r="M2552" i="5"/>
  <c r="U2582" i="4"/>
  <c r="U2582" i="5"/>
  <c r="U2640" i="4"/>
  <c r="U2640" i="5"/>
  <c r="U2644" i="4"/>
  <c r="U2644" i="5"/>
  <c r="X2653" i="5"/>
  <c r="U2672" i="4"/>
  <c r="U2672" i="5"/>
  <c r="U2690" i="4"/>
  <c r="U2690" i="5"/>
  <c r="J2845" i="5"/>
  <c r="J2846" i="4"/>
  <c r="M194" i="1"/>
  <c r="H194" i="5"/>
  <c r="X194" i="5" s="1"/>
  <c r="Z194" i="5" s="1"/>
  <c r="W441" i="1"/>
  <c r="V440" i="5"/>
  <c r="M476" i="2"/>
  <c r="M496" i="5"/>
  <c r="M500" i="5" s="1"/>
  <c r="W1154" i="1"/>
  <c r="V1153" i="5"/>
  <c r="AA1286" i="1"/>
  <c r="Z1400" i="5"/>
  <c r="M1491" i="4"/>
  <c r="M1491" i="5"/>
  <c r="X1614" i="5"/>
  <c r="X1887" i="5"/>
  <c r="Z1887" i="5" s="1"/>
  <c r="J2088" i="4"/>
  <c r="J2088" i="5"/>
  <c r="J2159" i="1"/>
  <c r="H2155" i="5"/>
  <c r="X2155" i="5" s="1"/>
  <c r="Z2155" i="5" s="1"/>
  <c r="Q2209" i="4"/>
  <c r="Q2209" i="5"/>
  <c r="F2243" i="5"/>
  <c r="F2294" i="5" s="1"/>
  <c r="F2937" i="5" s="1"/>
  <c r="Z2256" i="5"/>
  <c r="J2273" i="4"/>
  <c r="J2273" i="5"/>
  <c r="X2282" i="5"/>
  <c r="Z2282" i="5" s="1"/>
  <c r="U2313" i="5"/>
  <c r="Z2392" i="5"/>
  <c r="M2484" i="4"/>
  <c r="M2484" i="5"/>
  <c r="Z2507" i="5"/>
  <c r="F2608" i="5"/>
  <c r="F2660" i="5" s="1"/>
  <c r="F2943" i="5" s="1"/>
  <c r="M2693" i="4"/>
  <c r="M2693" i="5"/>
  <c r="M2704" i="5" s="1"/>
  <c r="X2696" i="5"/>
  <c r="X2702" i="5"/>
  <c r="F2750" i="5"/>
  <c r="F2752" i="5" s="1"/>
  <c r="F2945" i="5" s="1"/>
  <c r="U2785" i="5"/>
  <c r="U2785" i="4"/>
  <c r="AA2794" i="1"/>
  <c r="F2885" i="5"/>
  <c r="N123" i="2"/>
  <c r="X1794" i="4"/>
  <c r="Z1794" i="4" s="1"/>
  <c r="E2755" i="4"/>
  <c r="H437" i="2"/>
  <c r="F353" i="2"/>
  <c r="X1398" i="4"/>
  <c r="Z1398" i="4" s="1"/>
  <c r="X1599" i="4"/>
  <c r="X1609" i="4"/>
  <c r="X1723" i="4"/>
  <c r="X1763" i="4"/>
  <c r="X1539" i="4"/>
  <c r="Z1539" i="4" s="1"/>
  <c r="X2206" i="4"/>
  <c r="Z2206" i="4" s="1"/>
  <c r="K299" i="2"/>
  <c r="X828" i="4"/>
  <c r="Z828" i="4" s="1"/>
  <c r="K380" i="2"/>
  <c r="K2666" i="2"/>
  <c r="X2686" i="2"/>
  <c r="X2053" i="4"/>
  <c r="Z2053" i="4" s="1"/>
  <c r="X2563" i="4"/>
  <c r="Z2563" i="4" s="1"/>
  <c r="X1691" i="4"/>
  <c r="X2400" i="4"/>
  <c r="Z2400" i="4" s="1"/>
  <c r="X552" i="4"/>
  <c r="Z552" i="4" s="1"/>
  <c r="X2160" i="4"/>
  <c r="Z2160" i="4" s="1"/>
  <c r="K1647" i="2"/>
  <c r="K2736" i="2" s="1"/>
  <c r="X266" i="4"/>
  <c r="X695" i="4"/>
  <c r="Z695" i="4" s="1"/>
  <c r="X111" i="4"/>
  <c r="Z111" i="4" s="1"/>
  <c r="X578" i="4"/>
  <c r="Z578" i="4" s="1"/>
  <c r="X1228" i="4"/>
  <c r="X1230" i="4"/>
  <c r="X1631" i="4"/>
  <c r="X1856" i="4"/>
  <c r="Z1856" i="4" s="1"/>
  <c r="X104" i="4"/>
  <c r="Z104" i="4" s="1"/>
  <c r="X669" i="4"/>
  <c r="Z669" i="4" s="1"/>
  <c r="X1959" i="4"/>
  <c r="Z1959" i="4" s="1"/>
  <c r="X2001" i="4"/>
  <c r="X2520" i="4"/>
  <c r="Z2520" i="4" s="1"/>
  <c r="X293" i="4"/>
  <c r="Z293" i="4" s="1"/>
  <c r="X193" i="4"/>
  <c r="Z193" i="4" s="1"/>
  <c r="K1402" i="4"/>
  <c r="X1288" i="4"/>
  <c r="Z1288" i="4" s="1"/>
  <c r="X1080" i="4"/>
  <c r="Z1080" i="4" s="1"/>
  <c r="X1811" i="4"/>
  <c r="Z1811" i="4" s="1"/>
  <c r="X1800" i="4"/>
  <c r="Z1800" i="4" s="1"/>
  <c r="X2290" i="4"/>
  <c r="Z2290" i="4" s="1"/>
  <c r="X2407" i="4"/>
  <c r="Z2407" i="4" s="1"/>
  <c r="X2731" i="4"/>
  <c r="X2477" i="4"/>
  <c r="X2650" i="4"/>
  <c r="X711" i="4"/>
  <c r="Z711" i="4" s="1"/>
  <c r="X931" i="4"/>
  <c r="Z931" i="4" s="1"/>
  <c r="X2907" i="4"/>
  <c r="X79" i="4"/>
  <c r="Z79" i="4" s="1"/>
  <c r="X232" i="4"/>
  <c r="Z232" i="4" s="1"/>
  <c r="X396" i="4"/>
  <c r="Z396" i="4" s="1"/>
  <c r="X1058" i="4"/>
  <c r="Z1058" i="4" s="1"/>
  <c r="X1070" i="4"/>
  <c r="Z1070" i="4" s="1"/>
  <c r="X1083" i="4"/>
  <c r="Z1083" i="4" s="1"/>
  <c r="X1092" i="4"/>
  <c r="Z1092" i="4" s="1"/>
  <c r="X1096" i="4"/>
  <c r="Z1096" i="4" s="1"/>
  <c r="X1098" i="4"/>
  <c r="Z1098" i="4" s="1"/>
  <c r="X1307" i="4"/>
  <c r="Z1307" i="4" s="1"/>
  <c r="X1382" i="4"/>
  <c r="Z1382" i="4" s="1"/>
  <c r="X2123" i="4"/>
  <c r="X2276" i="4"/>
  <c r="Z2276" i="4" s="1"/>
  <c r="X157" i="4"/>
  <c r="X294" i="4"/>
  <c r="Z294" i="4" s="1"/>
  <c r="X721" i="4"/>
  <c r="Z721" i="4" s="1"/>
  <c r="X995" i="4"/>
  <c r="Z995" i="4" s="1"/>
  <c r="X1076" i="4"/>
  <c r="Z1076" i="4" s="1"/>
  <c r="X89" i="4"/>
  <c r="Z89" i="4" s="1"/>
  <c r="X194" i="4"/>
  <c r="Z194" i="4" s="1"/>
  <c r="X2186" i="4"/>
  <c r="Z2186" i="4" s="1"/>
  <c r="X2493" i="4"/>
  <c r="Z2493" i="4" s="1"/>
  <c r="X2627" i="4"/>
  <c r="X2224" i="4"/>
  <c r="Z2224" i="4" s="1"/>
  <c r="X2508" i="4"/>
  <c r="Z2508" i="4" s="1"/>
  <c r="K748" i="2"/>
  <c r="F1639" i="4"/>
  <c r="F1739" i="4" s="1"/>
  <c r="F2915" i="4" s="1"/>
  <c r="E142" i="2"/>
  <c r="E250" i="2"/>
  <c r="X285" i="4"/>
  <c r="Z285" i="4" s="1"/>
  <c r="X308" i="4"/>
  <c r="Z308" i="4" s="1"/>
  <c r="X345" i="4"/>
  <c r="Z345" i="4" s="1"/>
  <c r="X384" i="4"/>
  <c r="Z384" i="4" s="1"/>
  <c r="X389" i="4"/>
  <c r="Z389" i="4" s="1"/>
  <c r="X327" i="4"/>
  <c r="Z327" i="4" s="1"/>
  <c r="X160" i="4"/>
  <c r="F583" i="2"/>
  <c r="X491" i="4"/>
  <c r="Z491" i="4" s="1"/>
  <c r="X495" i="4"/>
  <c r="Z495" i="4" s="1"/>
  <c r="X702" i="4"/>
  <c r="Z702" i="4" s="1"/>
  <c r="X934" i="4"/>
  <c r="Z934" i="4" s="1"/>
  <c r="F941" i="2"/>
  <c r="F943" i="2" s="1"/>
  <c r="X1062" i="4"/>
  <c r="Z1062" i="4" s="1"/>
  <c r="X1078" i="4"/>
  <c r="Z1078" i="4" s="1"/>
  <c r="X786" i="4"/>
  <c r="Z786" i="4" s="1"/>
  <c r="X1227" i="4"/>
  <c r="X1229" i="4"/>
  <c r="F1274" i="2"/>
  <c r="X1410" i="4"/>
  <c r="Z1410" i="4" s="1"/>
  <c r="X1603" i="4"/>
  <c r="X1626" i="4"/>
  <c r="X1392" i="4"/>
  <c r="Z1392" i="4" s="1"/>
  <c r="X2201" i="4"/>
  <c r="Z2201" i="4" s="1"/>
  <c r="X2641" i="4"/>
  <c r="X2630" i="4"/>
  <c r="X1961" i="4"/>
  <c r="Z1961" i="4" s="1"/>
  <c r="X2524" i="4"/>
  <c r="Z2524" i="4" s="1"/>
  <c r="X777" i="4"/>
  <c r="Z777" i="4" s="1"/>
  <c r="R2660" i="4"/>
  <c r="R2927" i="4" s="1"/>
  <c r="X2654" i="4"/>
  <c r="R403" i="2"/>
  <c r="R2726" i="2" s="1"/>
  <c r="X1836" i="4"/>
  <c r="Z1836" i="4" s="1"/>
  <c r="X1419" i="4"/>
  <c r="Z1419" i="4" s="1"/>
  <c r="X347" i="4"/>
  <c r="Z347" i="4" s="1"/>
  <c r="E87" i="2"/>
  <c r="X272" i="4"/>
  <c r="X760" i="4"/>
  <c r="Z760" i="4" s="1"/>
  <c r="X699" i="4"/>
  <c r="Z699" i="4" s="1"/>
  <c r="F898" i="2"/>
  <c r="X275" i="4"/>
  <c r="X1094" i="4"/>
  <c r="Z1094" i="4" s="1"/>
  <c r="X1296" i="4"/>
  <c r="Z1296" i="4" s="1"/>
  <c r="X1303" i="4"/>
  <c r="Z1303" i="4" s="1"/>
  <c r="X1324" i="4"/>
  <c r="Z1324" i="4" s="1"/>
  <c r="X1275" i="4"/>
  <c r="Z1275" i="4" s="1"/>
  <c r="X1355" i="4"/>
  <c r="Z1355" i="4" s="1"/>
  <c r="X1445" i="4"/>
  <c r="Z1445" i="4" s="1"/>
  <c r="X1477" i="4"/>
  <c r="Z1477" i="4" s="1"/>
  <c r="X1663" i="4"/>
  <c r="X1713" i="4"/>
  <c r="X1717" i="4"/>
  <c r="X1725" i="4"/>
  <c r="X1727" i="4"/>
  <c r="X1729" i="4"/>
  <c r="X1731" i="4"/>
  <c r="X1733" i="4"/>
  <c r="X1876" i="4"/>
  <c r="Z1876" i="4" s="1"/>
  <c r="X1893" i="4"/>
  <c r="Z1893" i="4" s="1"/>
  <c r="X1655" i="4"/>
  <c r="N2660" i="4"/>
  <c r="N2927" i="4" s="1"/>
  <c r="Z1930" i="4"/>
  <c r="S421" i="4"/>
  <c r="S2905" i="4" s="1"/>
  <c r="X2497" i="4"/>
  <c r="Z2497" i="4" s="1"/>
  <c r="X340" i="4"/>
  <c r="Z340" i="4" s="1"/>
  <c r="X514" i="4"/>
  <c r="Z514" i="4" s="1"/>
  <c r="X49" i="4"/>
  <c r="Z49" i="4" s="1"/>
  <c r="X318" i="4"/>
  <c r="Z318" i="4" s="1"/>
  <c r="X267" i="4"/>
  <c r="X603" i="4"/>
  <c r="Z603" i="4" s="1"/>
  <c r="X881" i="4"/>
  <c r="Z881" i="4" s="1"/>
  <c r="X1021" i="4"/>
  <c r="Z1021" i="4" s="1"/>
  <c r="X833" i="4"/>
  <c r="Z833" i="4" s="1"/>
  <c r="X1250" i="4"/>
  <c r="Z1250" i="4" s="1"/>
  <c r="X1334" i="4"/>
  <c r="Z1334" i="4" s="1"/>
  <c r="X1316" i="4"/>
  <c r="Z1316" i="4" s="1"/>
  <c r="X1420" i="4"/>
  <c r="Z1420" i="4" s="1"/>
  <c r="X1424" i="4"/>
  <c r="Z1424" i="4" s="1"/>
  <c r="X1633" i="4"/>
  <c r="X1665" i="4"/>
  <c r="X1669" i="4"/>
  <c r="X1934" i="4"/>
  <c r="Z1934" i="4" s="1"/>
  <c r="X2254" i="4"/>
  <c r="Z2254" i="4" s="1"/>
  <c r="X2324" i="4"/>
  <c r="Z2324" i="4" s="1"/>
  <c r="X2491" i="4"/>
  <c r="Z2491" i="4" s="1"/>
  <c r="X1367" i="4"/>
  <c r="Z1367" i="4" s="1"/>
  <c r="X365" i="4"/>
  <c r="Z365" i="4" s="1"/>
  <c r="X417" i="4"/>
  <c r="X54" i="4"/>
  <c r="Z54" i="4" s="1"/>
  <c r="X62" i="4"/>
  <c r="Z62" i="4" s="1"/>
  <c r="X76" i="4"/>
  <c r="Z76" i="4" s="1"/>
  <c r="X268" i="4"/>
  <c r="X349" i="4"/>
  <c r="Z349" i="4" s="1"/>
  <c r="X415" i="4"/>
  <c r="X383" i="4"/>
  <c r="Z383" i="4" s="1"/>
  <c r="X574" i="4"/>
  <c r="Z574" i="4" s="1"/>
  <c r="X1114" i="4"/>
  <c r="Z1114" i="4" s="1"/>
  <c r="X1125" i="4"/>
  <c r="Z1125" i="4" s="1"/>
  <c r="X1132" i="4"/>
  <c r="Z1132" i="4" s="1"/>
  <c r="X827" i="4"/>
  <c r="Z827" i="4" s="1"/>
  <c r="X1319" i="4"/>
  <c r="Z1319" i="4" s="1"/>
  <c r="X807" i="4"/>
  <c r="Z807" i="4" s="1"/>
  <c r="X916" i="4"/>
  <c r="Z916" i="4" s="1"/>
  <c r="X1331" i="4"/>
  <c r="Z1331" i="4" s="1"/>
  <c r="X1321" i="4"/>
  <c r="Z1321" i="4" s="1"/>
  <c r="X2118" i="4"/>
  <c r="X2510" i="4"/>
  <c r="Z2510" i="4" s="1"/>
  <c r="X1463" i="4"/>
  <c r="Z1463" i="4" s="1"/>
  <c r="X1809" i="4"/>
  <c r="Z1809" i="4" s="1"/>
  <c r="X2077" i="4"/>
  <c r="Z2077" i="4" s="1"/>
  <c r="X2443" i="4"/>
  <c r="Z2443" i="4" s="1"/>
  <c r="X1453" i="4"/>
  <c r="Z1453" i="4" s="1"/>
  <c r="X2532" i="4"/>
  <c r="Z2532" i="4" s="1"/>
  <c r="X2531" i="4"/>
  <c r="Z2531" i="4" s="1"/>
  <c r="X2618" i="4"/>
  <c r="F1395" i="2"/>
  <c r="X287" i="4"/>
  <c r="Z287" i="4" s="1"/>
  <c r="X319" i="4"/>
  <c r="Z319" i="4" s="1"/>
  <c r="X526" i="4"/>
  <c r="Z526" i="4" s="1"/>
  <c r="X583" i="4"/>
  <c r="Z583" i="4" s="1"/>
  <c r="X470" i="4"/>
  <c r="Z470" i="4" s="1"/>
  <c r="X708" i="4"/>
  <c r="Z708" i="4" s="1"/>
  <c r="X192" i="4"/>
  <c r="Z192" i="4" s="1"/>
  <c r="X622" i="4"/>
  <c r="Z622" i="4" s="1"/>
  <c r="X1090" i="4"/>
  <c r="Z1090" i="4" s="1"/>
  <c r="X839" i="4"/>
  <c r="Z839" i="4" s="1"/>
  <c r="Y2660" i="4"/>
  <c r="X1910" i="4"/>
  <c r="Z1910" i="4" s="1"/>
  <c r="X2230" i="4"/>
  <c r="Z2230" i="4" s="1"/>
  <c r="F2410" i="4"/>
  <c r="F2448" i="4" s="1"/>
  <c r="F2923" i="4" s="1"/>
  <c r="X341" i="4"/>
  <c r="Z341" i="4" s="1"/>
  <c r="L226" i="2"/>
  <c r="L2724" i="2" s="1"/>
  <c r="H101" i="2"/>
  <c r="X406" i="4"/>
  <c r="T2752" i="4"/>
  <c r="T2929" i="4" s="1"/>
  <c r="X132" i="4"/>
  <c r="X2901" i="4" s="1"/>
  <c r="X75" i="4"/>
  <c r="Z75" i="4" s="1"/>
  <c r="N2752" i="4"/>
  <c r="N2929" i="4" s="1"/>
  <c r="X1118" i="4"/>
  <c r="Z1118" i="4" s="1"/>
  <c r="M947" i="4"/>
  <c r="X1489" i="4"/>
  <c r="Z1489" i="4" s="1"/>
  <c r="X1791" i="4"/>
  <c r="Z1791" i="4" s="1"/>
  <c r="X1795" i="4"/>
  <c r="Z1795" i="4" s="1"/>
  <c r="X1806" i="4"/>
  <c r="Z1806" i="4" s="1"/>
  <c r="X1875" i="4"/>
  <c r="Z1875" i="4" s="1"/>
  <c r="X1891" i="4"/>
  <c r="Z1891" i="4" s="1"/>
  <c r="X1915" i="4"/>
  <c r="Z1915" i="4" s="1"/>
  <c r="X2069" i="4"/>
  <c r="Z2069" i="4" s="1"/>
  <c r="X2073" i="4"/>
  <c r="Z2073" i="4" s="1"/>
  <c r="X2236" i="4"/>
  <c r="Z2236" i="4" s="1"/>
  <c r="X2495" i="4"/>
  <c r="Z2495" i="4" s="1"/>
  <c r="X2560" i="4"/>
  <c r="Z2560" i="4" s="1"/>
  <c r="X2648" i="4"/>
  <c r="X2652" i="4"/>
  <c r="X2017" i="4"/>
  <c r="Z2017" i="4" s="1"/>
  <c r="X2232" i="4"/>
  <c r="Z2232" i="4" s="1"/>
  <c r="J2752" i="4"/>
  <c r="J2929" i="4" s="1"/>
  <c r="I2752" i="4"/>
  <c r="I2929" i="4" s="1"/>
  <c r="X1047" i="4"/>
  <c r="Z1047" i="4" s="1"/>
  <c r="X1963" i="4"/>
  <c r="Z1963" i="4" s="1"/>
  <c r="X2067" i="4"/>
  <c r="Z2067" i="4" s="1"/>
  <c r="X2503" i="4"/>
  <c r="Z2503" i="4" s="1"/>
  <c r="X2505" i="4"/>
  <c r="Z2505" i="4" s="1"/>
  <c r="X350" i="4"/>
  <c r="Z350" i="4" s="1"/>
  <c r="X360" i="4"/>
  <c r="Z360" i="4" s="1"/>
  <c r="X533" i="4"/>
  <c r="Z533" i="4" s="1"/>
  <c r="X747" i="4"/>
  <c r="Z747" i="4" s="1"/>
  <c r="X296" i="4"/>
  <c r="Z296" i="4" s="1"/>
  <c r="F558" i="4"/>
  <c r="X712" i="4"/>
  <c r="Z712" i="4" s="1"/>
  <c r="X736" i="4"/>
  <c r="Z736" i="4" s="1"/>
  <c r="X763" i="4"/>
  <c r="Z763" i="4" s="1"/>
  <c r="X1056" i="4"/>
  <c r="Z1056" i="4" s="1"/>
  <c r="X1068" i="4"/>
  <c r="Z1068" i="4" s="1"/>
  <c r="X1072" i="4"/>
  <c r="Z1072" i="4" s="1"/>
  <c r="X2686" i="4"/>
  <c r="X2065" i="4"/>
  <c r="Z2065" i="4" s="1"/>
  <c r="X2044" i="4"/>
  <c r="Z2044" i="4" s="1"/>
  <c r="X237" i="4"/>
  <c r="X2903" i="4" s="1"/>
  <c r="E2913" i="4"/>
  <c r="X403" i="4"/>
  <c r="X2228" i="4"/>
  <c r="Z2228" i="4" s="1"/>
  <c r="X292" i="4"/>
  <c r="Z292" i="4" s="1"/>
  <c r="E41" i="2"/>
  <c r="E401" i="2"/>
  <c r="X725" i="4"/>
  <c r="Z725" i="4" s="1"/>
  <c r="H480" i="2"/>
  <c r="X850" i="4"/>
  <c r="Z850" i="4" s="1"/>
  <c r="X1039" i="4"/>
  <c r="Z1039" i="4" s="1"/>
  <c r="X1079" i="4"/>
  <c r="Z1079" i="4" s="1"/>
  <c r="X1023" i="4"/>
  <c r="Z1023" i="4" s="1"/>
  <c r="X1074" i="4"/>
  <c r="Z1074" i="4" s="1"/>
  <c r="X1291" i="4"/>
  <c r="Z1291" i="4" s="1"/>
  <c r="X1450" i="4"/>
  <c r="Z1450" i="4" s="1"/>
  <c r="X1456" i="4"/>
  <c r="Z1456" i="4" s="1"/>
  <c r="X1461" i="4"/>
  <c r="Z1461" i="4" s="1"/>
  <c r="X1469" i="4"/>
  <c r="Z1469" i="4" s="1"/>
  <c r="X2726" i="4"/>
  <c r="Z2726" i="4" s="1"/>
  <c r="J226" i="2"/>
  <c r="J2724" i="2" s="1"/>
  <c r="T1969" i="4"/>
  <c r="T2917" i="4" s="1"/>
  <c r="O226" i="2"/>
  <c r="O2724" i="2" s="1"/>
  <c r="O237" i="4"/>
  <c r="O2903" i="4" s="1"/>
  <c r="L1969" i="4"/>
  <c r="L2917" i="4" s="1"/>
  <c r="I2081" i="4"/>
  <c r="I2919" i="4" s="1"/>
  <c r="P123" i="2"/>
  <c r="H224" i="2"/>
  <c r="E176" i="2"/>
  <c r="K250" i="2"/>
  <c r="X554" i="4"/>
  <c r="Z554" i="4" s="1"/>
  <c r="E684" i="2"/>
  <c r="X1024" i="4"/>
  <c r="Z1024" i="4" s="1"/>
  <c r="X1102" i="4"/>
  <c r="Z1102" i="4" s="1"/>
  <c r="X1148" i="4"/>
  <c r="Z1148" i="4" s="1"/>
  <c r="X1156" i="4"/>
  <c r="Z1156" i="4" s="1"/>
  <c r="X1160" i="4"/>
  <c r="Z1160" i="4" s="1"/>
  <c r="X1217" i="4"/>
  <c r="X1406" i="4"/>
  <c r="Z1406" i="4" s="1"/>
  <c r="X1447" i="4"/>
  <c r="Z1447" i="4" s="1"/>
  <c r="X1452" i="4"/>
  <c r="Z1452" i="4" s="1"/>
  <c r="X1684" i="4"/>
  <c r="X1686" i="4"/>
  <c r="X1688" i="4"/>
  <c r="N1865" i="2"/>
  <c r="N2738" i="2" s="1"/>
  <c r="X764" i="4"/>
  <c r="Z764" i="4" s="1"/>
  <c r="X412" i="4"/>
  <c r="X221" i="4"/>
  <c r="Z221" i="4" s="1"/>
  <c r="X87" i="4"/>
  <c r="Z87" i="4" s="1"/>
  <c r="X278" i="4"/>
  <c r="P526" i="2"/>
  <c r="F714" i="4"/>
  <c r="X701" i="4"/>
  <c r="Z701" i="4" s="1"/>
  <c r="X751" i="4"/>
  <c r="Z751" i="4" s="1"/>
  <c r="K922" i="4"/>
  <c r="F1306" i="2"/>
  <c r="X1494" i="4"/>
  <c r="Z1494" i="4" s="1"/>
  <c r="X1596" i="4"/>
  <c r="X1762" i="4"/>
  <c r="X1827" i="4"/>
  <c r="Z1827" i="4" s="1"/>
  <c r="X1839" i="4"/>
  <c r="Z1839" i="4" s="1"/>
  <c r="X1855" i="4"/>
  <c r="Z1855" i="4" s="1"/>
  <c r="X1474" i="4"/>
  <c r="Z1474" i="4" s="1"/>
  <c r="F1497" i="4"/>
  <c r="X1813" i="4"/>
  <c r="Z1813" i="4" s="1"/>
  <c r="E1800" i="2"/>
  <c r="F1865" i="4"/>
  <c r="X2071" i="4"/>
  <c r="Z2071" i="4" s="1"/>
  <c r="X2323" i="4"/>
  <c r="Z2323" i="4" s="1"/>
  <c r="X2640" i="4"/>
  <c r="E941" i="2"/>
  <c r="E943" i="2" s="1"/>
  <c r="X2047" i="4"/>
  <c r="Z2047" i="4" s="1"/>
  <c r="X2513" i="4"/>
  <c r="Z2513" i="4" s="1"/>
  <c r="F2886" i="4"/>
  <c r="K2294" i="4"/>
  <c r="K2921" i="4" s="1"/>
  <c r="N2886" i="4"/>
  <c r="O1647" i="2"/>
  <c r="O2736" i="2" s="1"/>
  <c r="T2081" i="4"/>
  <c r="T2919" i="4" s="1"/>
  <c r="S132" i="4"/>
  <c r="S2901" i="4" s="1"/>
  <c r="N237" i="4"/>
  <c r="N2903" i="4" s="1"/>
  <c r="Y421" i="4"/>
  <c r="O1739" i="4"/>
  <c r="O2915" i="4" s="1"/>
  <c r="X189" i="4"/>
  <c r="Z189" i="4" s="1"/>
  <c r="AB1767" i="4"/>
  <c r="X321" i="4"/>
  <c r="Z321" i="4" s="1"/>
  <c r="X353" i="4"/>
  <c r="Z353" i="4" s="1"/>
  <c r="X410" i="4"/>
  <c r="L2567" i="4"/>
  <c r="L2925" i="4" s="1"/>
  <c r="N226" i="2"/>
  <c r="N2724" i="2" s="1"/>
  <c r="X298" i="4"/>
  <c r="Z298" i="4" s="1"/>
  <c r="X373" i="4"/>
  <c r="Z373" i="4" s="1"/>
  <c r="X413" i="4"/>
  <c r="X471" i="4"/>
  <c r="Z471" i="4" s="1"/>
  <c r="X481" i="4"/>
  <c r="Z481" i="4" s="1"/>
  <c r="X673" i="4"/>
  <c r="Z673" i="4" s="1"/>
  <c r="X1031" i="4"/>
  <c r="Z1031" i="4" s="1"/>
  <c r="Q1739" i="4"/>
  <c r="Q2915" i="4" s="1"/>
  <c r="X913" i="4"/>
  <c r="Z913" i="4" s="1"/>
  <c r="F941" i="4"/>
  <c r="X775" i="4"/>
  <c r="Z775" i="4" s="1"/>
  <c r="E1057" i="2"/>
  <c r="X1221" i="4"/>
  <c r="X1258" i="4"/>
  <c r="Z1258" i="4" s="1"/>
  <c r="X1268" i="4"/>
  <c r="Z1268" i="4" s="1"/>
  <c r="X1330" i="4"/>
  <c r="Z1330" i="4" s="1"/>
  <c r="X1694" i="4"/>
  <c r="X2155" i="4"/>
  <c r="Z2155" i="4" s="1"/>
  <c r="X1943" i="4"/>
  <c r="Z1943" i="4" s="1"/>
  <c r="X2167" i="4"/>
  <c r="Z2167" i="4" s="1"/>
  <c r="F2112" i="4"/>
  <c r="X2420" i="4"/>
  <c r="Z2420" i="4" s="1"/>
  <c r="T2886" i="4"/>
  <c r="X2567" i="4"/>
  <c r="X2925" i="4" s="1"/>
  <c r="G1647" i="2"/>
  <c r="G2736" i="2" s="1"/>
  <c r="Z237" i="4"/>
  <c r="Z2903" i="4" s="1"/>
  <c r="L132" i="4"/>
  <c r="L2901" i="4" s="1"/>
  <c r="N2294" i="4"/>
  <c r="N2921" i="4" s="1"/>
  <c r="X324" i="4"/>
  <c r="Z324" i="4" s="1"/>
  <c r="K2752" i="4"/>
  <c r="K2929" i="4" s="1"/>
  <c r="Z2567" i="4"/>
  <c r="Z2925" i="4" s="1"/>
  <c r="X82" i="4"/>
  <c r="Z82" i="4" s="1"/>
  <c r="X128" i="4"/>
  <c r="Z128" i="4" s="1"/>
  <c r="X478" i="4"/>
  <c r="Z478" i="4" s="1"/>
  <c r="P613" i="2"/>
  <c r="F684" i="2"/>
  <c r="T2448" i="4"/>
  <c r="T2923" i="4" s="1"/>
  <c r="E661" i="2"/>
  <c r="X1109" i="4"/>
  <c r="Z1109" i="4" s="1"/>
  <c r="X1342" i="4"/>
  <c r="Z1342" i="4" s="1"/>
  <c r="O2660" i="4"/>
  <c r="O2927" i="4" s="1"/>
  <c r="X1255" i="4"/>
  <c r="Z1255" i="4" s="1"/>
  <c r="X2062" i="4"/>
  <c r="Z2062" i="4" s="1"/>
  <c r="X2248" i="4"/>
  <c r="Z2248" i="4" s="1"/>
  <c r="Z640" i="4"/>
  <c r="Z2907" i="4" s="1"/>
  <c r="J2660" i="4"/>
  <c r="J2927" i="4" s="1"/>
  <c r="X2476" i="4"/>
  <c r="X2029" i="4"/>
  <c r="Z2029" i="4" s="1"/>
  <c r="Z2277" i="4"/>
  <c r="F2565" i="4"/>
  <c r="F184" i="4"/>
  <c r="S2660" i="4"/>
  <c r="S2927" i="4" s="1"/>
  <c r="L403" i="2"/>
  <c r="L2726" i="2" s="1"/>
  <c r="Y615" i="2"/>
  <c r="H21" i="2"/>
  <c r="X213" i="4"/>
  <c r="Z213" i="4" s="1"/>
  <c r="S2081" i="4"/>
  <c r="S2919" i="4" s="1"/>
  <c r="X190" i="4"/>
  <c r="Z190" i="4" s="1"/>
  <c r="K280" i="4"/>
  <c r="X303" i="4"/>
  <c r="Z303" i="4" s="1"/>
  <c r="X357" i="4"/>
  <c r="Z357" i="4" s="1"/>
  <c r="X402" i="4"/>
  <c r="X634" i="4"/>
  <c r="X636" i="4"/>
  <c r="R2752" i="4"/>
  <c r="R2929" i="4" s="1"/>
  <c r="X696" i="4"/>
  <c r="Z696" i="4" s="1"/>
  <c r="X792" i="4"/>
  <c r="Z792" i="4" s="1"/>
  <c r="X1054" i="4"/>
  <c r="Z1054" i="4" s="1"/>
  <c r="X1152" i="4"/>
  <c r="Z1152" i="4" s="1"/>
  <c r="X732" i="4"/>
  <c r="Z732" i="4" s="1"/>
  <c r="F922" i="4"/>
  <c r="X1002" i="4"/>
  <c r="Z1002" i="4" s="1"/>
  <c r="X1099" i="4"/>
  <c r="Z1099" i="4" s="1"/>
  <c r="X1101" i="4"/>
  <c r="Z1101" i="4" s="1"/>
  <c r="F844" i="4"/>
  <c r="X1860" i="4"/>
  <c r="Z1860" i="4" s="1"/>
  <c r="X1352" i="4"/>
  <c r="Z1352" i="4" s="1"/>
  <c r="F1693" i="2"/>
  <c r="X2128" i="4"/>
  <c r="X2250" i="4"/>
  <c r="Z2250" i="4" s="1"/>
  <c r="X2395" i="4"/>
  <c r="Z2395" i="4" s="1"/>
  <c r="Z2164" i="4"/>
  <c r="X2207" i="4"/>
  <c r="Z2207" i="4" s="1"/>
  <c r="X2376" i="4"/>
  <c r="Z2376" i="4" s="1"/>
  <c r="X2378" i="4"/>
  <c r="Z2378" i="4" s="1"/>
  <c r="F2683" i="4"/>
  <c r="X2018" i="4"/>
  <c r="Z2018" i="4" s="1"/>
  <c r="X2623" i="4"/>
  <c r="X1712" i="4"/>
  <c r="X2624" i="4"/>
  <c r="G2448" i="4"/>
  <c r="G2923" i="4" s="1"/>
  <c r="Q2752" i="4"/>
  <c r="Q2929" i="4" s="1"/>
  <c r="AA1261" i="2"/>
  <c r="AA1324" i="4"/>
  <c r="AB1325" i="1"/>
  <c r="AB1324" i="5" s="1"/>
  <c r="K198" i="1"/>
  <c r="K198" i="5" s="1"/>
  <c r="I190" i="2"/>
  <c r="I198" i="4"/>
  <c r="AB1058" i="1"/>
  <c r="AB1057" i="5" s="1"/>
  <c r="AA1012" i="2"/>
  <c r="AA1057" i="4"/>
  <c r="W1222" i="4"/>
  <c r="W1168" i="2"/>
  <c r="AA944" i="4"/>
  <c r="AA901" i="2"/>
  <c r="AB944" i="1"/>
  <c r="AA1109" i="2"/>
  <c r="AB1160" i="1"/>
  <c r="AB1159" i="5" s="1"/>
  <c r="AA1159" i="4"/>
  <c r="AB155" i="1"/>
  <c r="AA155" i="4"/>
  <c r="AA148" i="2"/>
  <c r="AA1551" i="2"/>
  <c r="AB1636" i="1"/>
  <c r="AA1633" i="4"/>
  <c r="AA1637" i="2"/>
  <c r="AB1732" i="1"/>
  <c r="AB1729" i="5" s="1"/>
  <c r="AA1729" i="4"/>
  <c r="AA1230" i="4"/>
  <c r="AA1176" i="2"/>
  <c r="AB1231" i="1"/>
  <c r="AB1230" i="5" s="1"/>
  <c r="AB597" i="1"/>
  <c r="AB598" i="5" s="1"/>
  <c r="AA598" i="4"/>
  <c r="AA574" i="2"/>
  <c r="S2898" i="1"/>
  <c r="S2782" i="1"/>
  <c r="X831" i="2"/>
  <c r="Z870" i="1"/>
  <c r="Z831" i="2" s="1"/>
  <c r="X668" i="2"/>
  <c r="Z698" i="1"/>
  <c r="Z668" i="2" s="1"/>
  <c r="X1191" i="2"/>
  <c r="Z1251" i="1"/>
  <c r="Z1191" i="2" s="1"/>
  <c r="H2724" i="4"/>
  <c r="X2724" i="4" s="1"/>
  <c r="Z2724" i="4" s="1"/>
  <c r="M2732" i="1"/>
  <c r="M2724" i="5" s="1"/>
  <c r="M1480" i="1"/>
  <c r="M1479" i="5" s="1"/>
  <c r="J1480" i="1"/>
  <c r="J1479" i="5" s="1"/>
  <c r="X1480" i="1"/>
  <c r="AB2793" i="1"/>
  <c r="X179" i="2"/>
  <c r="Z187" i="1"/>
  <c r="Z179" i="2" s="1"/>
  <c r="X221" i="2"/>
  <c r="Z232" i="1"/>
  <c r="Z221" i="2" s="1"/>
  <c r="X180" i="2"/>
  <c r="Z188" i="1"/>
  <c r="Z180" i="2" s="1"/>
  <c r="J628" i="2"/>
  <c r="J656" i="4"/>
  <c r="X698" i="2"/>
  <c r="Z728" i="1"/>
  <c r="Z698" i="2" s="1"/>
  <c r="X886" i="2"/>
  <c r="Z929" i="1"/>
  <c r="Z886" i="2" s="1"/>
  <c r="M633" i="1"/>
  <c r="M634" i="5" s="1"/>
  <c r="M638" i="5" s="1"/>
  <c r="H637" i="1"/>
  <c r="X633" i="1"/>
  <c r="X295" i="2"/>
  <c r="Z309" i="1"/>
  <c r="Z295" i="2" s="1"/>
  <c r="U349" i="2"/>
  <c r="U365" i="4"/>
  <c r="Q2904" i="1"/>
  <c r="Q2850" i="1"/>
  <c r="X148" i="2"/>
  <c r="Z155" i="1"/>
  <c r="Z155" i="5" s="1"/>
  <c r="X772" i="2"/>
  <c r="Z806" i="1"/>
  <c r="Z772" i="2" s="1"/>
  <c r="X844" i="2"/>
  <c r="Z883" i="1"/>
  <c r="Z844" i="2" s="1"/>
  <c r="X877" i="2"/>
  <c r="Z920" i="1"/>
  <c r="Z877" i="2" s="1"/>
  <c r="M1100" i="1"/>
  <c r="M1099" i="5" s="1"/>
  <c r="X1100" i="1"/>
  <c r="X673" i="2"/>
  <c r="Z703" i="1"/>
  <c r="Z673" i="2" s="1"/>
  <c r="M1331" i="4"/>
  <c r="AA1332" i="1"/>
  <c r="AA1331" i="5" s="1"/>
  <c r="X843" i="2"/>
  <c r="Z882" i="1"/>
  <c r="Z843" i="2" s="1"/>
  <c r="V1614" i="4"/>
  <c r="W1617" i="1"/>
  <c r="M2801" i="1"/>
  <c r="X2801" i="1"/>
  <c r="Z2801" i="1" s="1"/>
  <c r="Q838" i="2"/>
  <c r="Q877" i="4"/>
  <c r="X1280" i="2"/>
  <c r="Z1346" i="1"/>
  <c r="Z1280" i="2" s="1"/>
  <c r="X1355" i="2"/>
  <c r="Z1426" i="1"/>
  <c r="Z1355" i="2" s="1"/>
  <c r="X1294" i="2"/>
  <c r="Z1360" i="1"/>
  <c r="Z1294" i="2" s="1"/>
  <c r="Z1316" i="1"/>
  <c r="Z1252" i="2" s="1"/>
  <c r="AB2154" i="1"/>
  <c r="AA2241" i="1"/>
  <c r="AA2529" i="1"/>
  <c r="AA2521" i="5" s="1"/>
  <c r="O615" i="2"/>
  <c r="O2728" i="2" s="1"/>
  <c r="Y1466" i="2"/>
  <c r="Y2621" i="2" s="1"/>
  <c r="Y2686" i="2" s="1"/>
  <c r="U1965" i="2"/>
  <c r="AA1999" i="2"/>
  <c r="AB1999" i="2" s="1"/>
  <c r="Q2072" i="2"/>
  <c r="AA2159" i="2"/>
  <c r="AB2159" i="2" s="1"/>
  <c r="X2523" i="2"/>
  <c r="Z2523" i="2" s="1"/>
  <c r="AA2246" i="2"/>
  <c r="AB2246" i="2" s="1"/>
  <c r="V2382" i="2"/>
  <c r="U1863" i="2"/>
  <c r="AA2260" i="2"/>
  <c r="AB2260" i="2" s="1"/>
  <c r="O1190" i="4"/>
  <c r="O2911" i="4" s="1"/>
  <c r="O2294" i="4"/>
  <c r="O2921" i="4" s="1"/>
  <c r="M64" i="4"/>
  <c r="N130" i="4"/>
  <c r="M118" i="4"/>
  <c r="X159" i="4"/>
  <c r="Z224" i="4"/>
  <c r="J251" i="4"/>
  <c r="J308" i="4"/>
  <c r="X81" i="4"/>
  <c r="Z81" i="4" s="1"/>
  <c r="N2081" i="4"/>
  <c r="N2919" i="4" s="1"/>
  <c r="O2081" i="4"/>
  <c r="O2919" i="4" s="1"/>
  <c r="H208" i="1"/>
  <c r="M410" i="4"/>
  <c r="AA118" i="1"/>
  <c r="AA118" i="5" s="1"/>
  <c r="M22" i="1"/>
  <c r="W141" i="4"/>
  <c r="U148" i="2"/>
  <c r="Z250" i="1"/>
  <c r="Z249" i="5" s="1"/>
  <c r="AA156" i="4"/>
  <c r="X539" i="4"/>
  <c r="Z539" i="4" s="1"/>
  <c r="X566" i="4"/>
  <c r="Z566" i="4" s="1"/>
  <c r="M597" i="4"/>
  <c r="G2660" i="4"/>
  <c r="G2927" i="4" s="1"/>
  <c r="O2752" i="4"/>
  <c r="O2929" i="4" s="1"/>
  <c r="K179" i="2"/>
  <c r="AA199" i="1"/>
  <c r="AA199" i="5" s="1"/>
  <c r="I192" i="2"/>
  <c r="AA417" i="1"/>
  <c r="AA416" i="5" s="1"/>
  <c r="Z833" i="1"/>
  <c r="Z799" i="2" s="1"/>
  <c r="AA1038" i="1"/>
  <c r="AA1037" i="5" s="1"/>
  <c r="AA147" i="1"/>
  <c r="W160" i="1"/>
  <c r="W658" i="1"/>
  <c r="W658" i="5" s="1"/>
  <c r="X816" i="4"/>
  <c r="Z816" i="4" s="1"/>
  <c r="X856" i="4"/>
  <c r="Z856" i="4" s="1"/>
  <c r="X1017" i="4"/>
  <c r="Z1017" i="4" s="1"/>
  <c r="X1043" i="4"/>
  <c r="Z1043" i="4" s="1"/>
  <c r="F1129" i="4"/>
  <c r="M28" i="4"/>
  <c r="X29" i="4"/>
  <c r="AA195" i="2"/>
  <c r="U637" i="1"/>
  <c r="M627" i="2"/>
  <c r="V686" i="4"/>
  <c r="J860" i="4"/>
  <c r="Q901" i="4"/>
  <c r="O959" i="4"/>
  <c r="X1000" i="4"/>
  <c r="Z1000" i="4" s="1"/>
  <c r="U1059" i="4"/>
  <c r="U1138" i="4"/>
  <c r="V114" i="4"/>
  <c r="M447" i="2"/>
  <c r="U723" i="4"/>
  <c r="AA748" i="1"/>
  <c r="AA748" i="5" s="1"/>
  <c r="V735" i="2"/>
  <c r="M744" i="2"/>
  <c r="M866" i="4"/>
  <c r="X1061" i="4"/>
  <c r="Z1061" i="4" s="1"/>
  <c r="M1162" i="4"/>
  <c r="M1210" i="1"/>
  <c r="M1209" i="5" s="1"/>
  <c r="Q1230" i="4"/>
  <c r="M334" i="2"/>
  <c r="AA655" i="4"/>
  <c r="AA725" i="1"/>
  <c r="M764" i="4"/>
  <c r="F809" i="2"/>
  <c r="X920" i="4"/>
  <c r="Z920" i="4" s="1"/>
  <c r="V1151" i="4"/>
  <c r="H1111" i="2"/>
  <c r="H1115" i="2" s="1"/>
  <c r="X1335" i="4"/>
  <c r="Z1335" i="4" s="1"/>
  <c r="X1353" i="4"/>
  <c r="Z1353" i="4" s="1"/>
  <c r="Z492" i="1"/>
  <c r="H1955" i="1"/>
  <c r="Z33" i="1"/>
  <c r="Z33" i="5" s="1"/>
  <c r="U630" i="4"/>
  <c r="W727" i="1"/>
  <c r="W727" i="5" s="1"/>
  <c r="AA764" i="1"/>
  <c r="W847" i="1"/>
  <c r="W847" i="5" s="1"/>
  <c r="AB887" i="1"/>
  <c r="Z1032" i="1"/>
  <c r="Z986" i="2" s="1"/>
  <c r="Z1227" i="4"/>
  <c r="V1250" i="4"/>
  <c r="U1271" i="4"/>
  <c r="M1345" i="4"/>
  <c r="M1312" i="2"/>
  <c r="Q1447" i="4"/>
  <c r="Q1450" i="4"/>
  <c r="Q1479" i="4"/>
  <c r="Q1492" i="4"/>
  <c r="Q1495" i="4"/>
  <c r="U1666" i="4"/>
  <c r="Q1750" i="4"/>
  <c r="Q1789" i="4"/>
  <c r="X247" i="4"/>
  <c r="U606" i="1"/>
  <c r="Z378" i="1"/>
  <c r="Z361" i="2" s="1"/>
  <c r="Z708" i="1"/>
  <c r="Z678" i="2" s="1"/>
  <c r="AA805" i="4"/>
  <c r="V862" i="4"/>
  <c r="Z1126" i="1"/>
  <c r="Z1076" i="2" s="1"/>
  <c r="U1242" i="4"/>
  <c r="AB1251" i="1"/>
  <c r="AB1250" i="5" s="1"/>
  <c r="U1253" i="4"/>
  <c r="W1298" i="1"/>
  <c r="W1297" i="5" s="1"/>
  <c r="W1325" i="1"/>
  <c r="W1324" i="5" s="1"/>
  <c r="AA1345" i="4"/>
  <c r="AB1348" i="1"/>
  <c r="X1872" i="4"/>
  <c r="Z1872" i="4" s="1"/>
  <c r="X528" i="4"/>
  <c r="Z528" i="4" s="1"/>
  <c r="W970" i="1"/>
  <c r="W969" i="5" s="1"/>
  <c r="W2030" i="1"/>
  <c r="X2732" i="1"/>
  <c r="Z2732" i="1" s="1"/>
  <c r="AB776" i="1"/>
  <c r="AB776" i="5" s="1"/>
  <c r="AA870" i="4"/>
  <c r="AB927" i="1"/>
  <c r="J1227" i="4"/>
  <c r="M1296" i="4"/>
  <c r="V1291" i="2"/>
  <c r="X1358" i="4"/>
  <c r="Z1358" i="4" s="1"/>
  <c r="U1379" i="4"/>
  <c r="AA1415" i="1"/>
  <c r="Z1445" i="1"/>
  <c r="Z1373" i="2" s="1"/>
  <c r="V1447" i="4"/>
  <c r="U1518" i="4"/>
  <c r="M1504" i="2"/>
  <c r="M1719" i="2"/>
  <c r="M1872" i="4"/>
  <c r="AA1946" i="1"/>
  <c r="AA1942" i="5" s="1"/>
  <c r="AA2189" i="1"/>
  <c r="AA2185" i="5" s="1"/>
  <c r="X2212" i="1"/>
  <c r="Z2212" i="1" s="1"/>
  <c r="X2246" i="4"/>
  <c r="Z2246" i="4" s="1"/>
  <c r="AA2356" i="1"/>
  <c r="AA2350" i="5" s="1"/>
  <c r="X2444" i="4"/>
  <c r="Z2444" i="4" s="1"/>
  <c r="V707" i="4"/>
  <c r="Z730" i="1"/>
  <c r="Z700" i="2" s="1"/>
  <c r="AA1381" i="4"/>
  <c r="J1498" i="1"/>
  <c r="V1490" i="4"/>
  <c r="V1417" i="2"/>
  <c r="X1562" i="4"/>
  <c r="AB1728" i="1"/>
  <c r="AB1725" i="5" s="1"/>
  <c r="X2337" i="1"/>
  <c r="Z2337" i="1" s="1"/>
  <c r="W2560" i="1"/>
  <c r="W654" i="1"/>
  <c r="W654" i="5" s="1"/>
  <c r="AA882" i="1"/>
  <c r="AA882" i="5" s="1"/>
  <c r="U894" i="2"/>
  <c r="J904" i="2"/>
  <c r="W1230" i="1"/>
  <c r="W1229" i="5" s="1"/>
  <c r="W1327" i="1"/>
  <c r="W1326" i="5" s="1"/>
  <c r="H1434" i="1"/>
  <c r="V1451" i="4"/>
  <c r="X1455" i="4"/>
  <c r="Z1455" i="4" s="1"/>
  <c r="F1973" i="1"/>
  <c r="F2914" i="1" s="1"/>
  <c r="AA1843" i="1"/>
  <c r="AA1839" i="5" s="1"/>
  <c r="AA1911" i="1"/>
  <c r="M1971" i="1"/>
  <c r="X2075" i="4"/>
  <c r="Z2075" i="4" s="1"/>
  <c r="H2110" i="4"/>
  <c r="X2151" i="4"/>
  <c r="Z2151" i="4" s="1"/>
  <c r="AA2277" i="1"/>
  <c r="AA2273" i="5" s="1"/>
  <c r="X2403" i="4"/>
  <c r="Z2403" i="4" s="1"/>
  <c r="H2548" i="4"/>
  <c r="X2548" i="4" s="1"/>
  <c r="Z2548" i="4" s="1"/>
  <c r="M722" i="4"/>
  <c r="U748" i="4"/>
  <c r="AA832" i="4"/>
  <c r="Z1084" i="1"/>
  <c r="Z1035" i="2" s="1"/>
  <c r="Q1421" i="4"/>
  <c r="U1475" i="4"/>
  <c r="M1523" i="2"/>
  <c r="X1621" i="4"/>
  <c r="X2168" i="4"/>
  <c r="Z2168" i="4" s="1"/>
  <c r="AA2214" i="1"/>
  <c r="AA2210" i="5" s="1"/>
  <c r="AA2492" i="1"/>
  <c r="AA2484" i="5" s="1"/>
  <c r="AA2600" i="1"/>
  <c r="AA2592" i="5" s="1"/>
  <c r="Z603" i="1"/>
  <c r="Z580" i="2" s="1"/>
  <c r="E583" i="2"/>
  <c r="J909" i="4"/>
  <c r="X1176" i="4"/>
  <c r="Z1176" i="4" s="1"/>
  <c r="W1399" i="4"/>
  <c r="V2005" i="1"/>
  <c r="V2001" i="5" s="1"/>
  <c r="M2230" i="1"/>
  <c r="M2226" i="5" s="1"/>
  <c r="X1487" i="4"/>
  <c r="Z1487" i="4" s="1"/>
  <c r="U1609" i="4"/>
  <c r="V1563" i="2"/>
  <c r="X1957" i="4"/>
  <c r="Z1957" i="4" s="1"/>
  <c r="Z2150" i="4"/>
  <c r="AA2513" i="1"/>
  <c r="M2707" i="1"/>
  <c r="M2699" i="5" s="1"/>
  <c r="AB1139" i="1"/>
  <c r="AB1138" i="5" s="1"/>
  <c r="Z1463" i="1"/>
  <c r="Z1390" i="2" s="1"/>
  <c r="X2272" i="4"/>
  <c r="Z2272" i="4" s="1"/>
  <c r="W2682" i="1"/>
  <c r="AA2733" i="1"/>
  <c r="AA2725" i="5" s="1"/>
  <c r="X2808" i="1"/>
  <c r="Z2808" i="1" s="1"/>
  <c r="AB1080" i="1"/>
  <c r="AA1476" i="1"/>
  <c r="AA1475" i="5" s="1"/>
  <c r="Z1599" i="1"/>
  <c r="Z1596" i="5" s="1"/>
  <c r="W1694" i="1"/>
  <c r="H2256" i="4"/>
  <c r="X2256" i="4" s="1"/>
  <c r="Z2256" i="4" s="1"/>
  <c r="Z1810" i="1"/>
  <c r="Z1714" i="2" s="1"/>
  <c r="AA1866" i="1"/>
  <c r="AA2440" i="1"/>
  <c r="AA2434" i="5" s="1"/>
  <c r="Z2546" i="4"/>
  <c r="F2608" i="4"/>
  <c r="F2660" i="4" s="1"/>
  <c r="F2927" i="4" s="1"/>
  <c r="Q1261" i="4"/>
  <c r="Z1706" i="1"/>
  <c r="Z1703" i="5" s="1"/>
  <c r="F2292" i="4"/>
  <c r="X2361" i="4"/>
  <c r="Z2361" i="4" s="1"/>
  <c r="Q2446" i="4"/>
  <c r="AT2867" i="1"/>
  <c r="P959" i="1"/>
  <c r="H1107" i="1"/>
  <c r="X297" i="2"/>
  <c r="Z311" i="1"/>
  <c r="Z297" i="2" s="1"/>
  <c r="M198" i="1"/>
  <c r="M198" i="5" s="1"/>
  <c r="X198" i="1"/>
  <c r="X2099" i="4"/>
  <c r="Z2103" i="1"/>
  <c r="X780" i="2"/>
  <c r="Z814" i="1"/>
  <c r="Z780" i="2" s="1"/>
  <c r="X845" i="2"/>
  <c r="Z884" i="1"/>
  <c r="Z845" i="2" s="1"/>
  <c r="X1193" i="2"/>
  <c r="Z1253" i="1"/>
  <c r="Z1193" i="2" s="1"/>
  <c r="X1379" i="2"/>
  <c r="Z1451" i="1"/>
  <c r="Z1379" i="2" s="1"/>
  <c r="M2797" i="1"/>
  <c r="X2797" i="1"/>
  <c r="Z2797" i="1" s="1"/>
  <c r="X1316" i="2"/>
  <c r="Z1386" i="1"/>
  <c r="Z1316" i="2" s="1"/>
  <c r="X819" i="2"/>
  <c r="Z854" i="1"/>
  <c r="Z819" i="2" s="1"/>
  <c r="X785" i="2"/>
  <c r="Z819" i="1"/>
  <c r="Z785" i="2" s="1"/>
  <c r="J2066" i="2"/>
  <c r="J2072" i="2" s="1"/>
  <c r="M2066" i="2"/>
  <c r="I2898" i="1"/>
  <c r="I2782" i="1"/>
  <c r="X202" i="2"/>
  <c r="Z211" i="1"/>
  <c r="Z202" i="2" s="1"/>
  <c r="J2103" i="2"/>
  <c r="M2103" i="2"/>
  <c r="X219" i="2"/>
  <c r="Z230" i="1"/>
  <c r="Z219" i="2" s="1"/>
  <c r="J2078" i="2"/>
  <c r="M2078" i="2"/>
  <c r="AA2078" i="2" s="1"/>
  <c r="AB2078" i="2" s="1"/>
  <c r="U38" i="4"/>
  <c r="AA38" i="1"/>
  <c r="AA38" i="5" s="1"/>
  <c r="X827" i="2"/>
  <c r="Z862" i="1"/>
  <c r="Z827" i="2" s="1"/>
  <c r="J239" i="2"/>
  <c r="J249" i="4"/>
  <c r="J719" i="1"/>
  <c r="J719" i="5" s="1"/>
  <c r="X719" i="1"/>
  <c r="X771" i="2"/>
  <c r="Z805" i="1"/>
  <c r="Z771" i="2" s="1"/>
  <c r="X797" i="2"/>
  <c r="Z831" i="1"/>
  <c r="Z797" i="2" s="1"/>
  <c r="X846" i="2"/>
  <c r="Z885" i="1"/>
  <c r="Z846" i="2" s="1"/>
  <c r="P1673" i="4"/>
  <c r="X1673" i="4" s="1"/>
  <c r="V1676" i="1"/>
  <c r="U1676" i="1"/>
  <c r="U1673" i="5" s="1"/>
  <c r="U1678" i="5" s="1"/>
  <c r="U2390" i="2"/>
  <c r="U2400" i="2" s="1"/>
  <c r="P2400" i="2"/>
  <c r="X717" i="2"/>
  <c r="Z748" i="1"/>
  <c r="Z717" i="2" s="1"/>
  <c r="Q797" i="2"/>
  <c r="Q831" i="4"/>
  <c r="W1139" i="1"/>
  <c r="W1138" i="5" s="1"/>
  <c r="V2840" i="1"/>
  <c r="X716" i="2"/>
  <c r="Z747" i="1"/>
  <c r="Z716" i="2" s="1"/>
  <c r="H1276" i="4"/>
  <c r="X1276" i="4" s="1"/>
  <c r="Z1276" i="4" s="1"/>
  <c r="X1277" i="1"/>
  <c r="Z1277" i="1" s="1"/>
  <c r="M1277" i="1"/>
  <c r="M1276" i="5" s="1"/>
  <c r="X1176" i="2"/>
  <c r="Z1231" i="1"/>
  <c r="Z1230" i="5" s="1"/>
  <c r="M2598" i="1"/>
  <c r="V2598" i="1"/>
  <c r="V2590" i="5" s="1"/>
  <c r="X838" i="2"/>
  <c r="Z877" i="1"/>
  <c r="Z838" i="2" s="1"/>
  <c r="M2565" i="1"/>
  <c r="V2565" i="1"/>
  <c r="V2557" i="5" s="1"/>
  <c r="X884" i="2"/>
  <c r="Z927" i="1"/>
  <c r="Z884" i="2" s="1"/>
  <c r="X208" i="1"/>
  <c r="H872" i="1"/>
  <c r="AA2403" i="1"/>
  <c r="AA2397" i="5" s="1"/>
  <c r="AA2505" i="1"/>
  <c r="AA2497" i="5" s="1"/>
  <c r="AA2024" i="1"/>
  <c r="V1163" i="1"/>
  <c r="V1162" i="5" s="1"/>
  <c r="E2167" i="2"/>
  <c r="E2742" i="2" s="1"/>
  <c r="M2466" i="2"/>
  <c r="Q1995" i="2"/>
  <c r="AA2066" i="2"/>
  <c r="AB2066" i="2" s="1"/>
  <c r="AA2185" i="2"/>
  <c r="AB2185" i="2" s="1"/>
  <c r="U2250" i="2"/>
  <c r="Q2312" i="2"/>
  <c r="U2382" i="2"/>
  <c r="W421" i="4"/>
  <c r="W2905" i="4" s="1"/>
  <c r="X161" i="4"/>
  <c r="H198" i="4"/>
  <c r="X198" i="4" s="1"/>
  <c r="Z198" i="4" s="1"/>
  <c r="X233" i="4"/>
  <c r="Z233" i="4" s="1"/>
  <c r="X85" i="4"/>
  <c r="Z85" i="4" s="1"/>
  <c r="AA87" i="1"/>
  <c r="H1927" i="2"/>
  <c r="X640" i="4"/>
  <c r="Q2567" i="4"/>
  <c r="Q2925" i="4" s="1"/>
  <c r="V141" i="4"/>
  <c r="F199" i="2"/>
  <c r="F226" i="2" s="1"/>
  <c r="F2724" i="2" s="1"/>
  <c r="M191" i="2"/>
  <c r="X408" i="4"/>
  <c r="Y1543" i="4"/>
  <c r="V2294" i="4"/>
  <c r="V2921" i="4" s="1"/>
  <c r="W38" i="1"/>
  <c r="K422" i="1"/>
  <c r="K2902" i="1" s="1"/>
  <c r="X239" i="2"/>
  <c r="X328" i="4"/>
  <c r="Z328" i="4" s="1"/>
  <c r="X336" i="4"/>
  <c r="Z336" i="4" s="1"/>
  <c r="Y2294" i="4"/>
  <c r="O2448" i="4"/>
  <c r="O2923" i="4" s="1"/>
  <c r="E422" i="1"/>
  <c r="E2902" i="1" s="1"/>
  <c r="M45" i="1"/>
  <c r="K200" i="4"/>
  <c r="M273" i="4"/>
  <c r="X366" i="2"/>
  <c r="Z386" i="1"/>
  <c r="Z369" i="2" s="1"/>
  <c r="X506" i="4"/>
  <c r="Z506" i="4" s="1"/>
  <c r="X512" i="4"/>
  <c r="Z512" i="4" s="1"/>
  <c r="F589" i="4"/>
  <c r="U598" i="4"/>
  <c r="U607" i="4" s="1"/>
  <c r="Q2660" i="4"/>
  <c r="Q2927" i="4" s="1"/>
  <c r="M250" i="4"/>
  <c r="Z301" i="1"/>
  <c r="Z288" i="2" s="1"/>
  <c r="J304" i="2"/>
  <c r="M350" i="4"/>
  <c r="Z394" i="1"/>
  <c r="Z377" i="2" s="1"/>
  <c r="M398" i="2"/>
  <c r="Z90" i="1"/>
  <c r="Z85" i="2" s="1"/>
  <c r="V109" i="2"/>
  <c r="X329" i="4"/>
  <c r="Z329" i="4" s="1"/>
  <c r="Z392" i="2"/>
  <c r="X450" i="4"/>
  <c r="X452" i="4"/>
  <c r="X454" i="4"/>
  <c r="X460" i="4"/>
  <c r="Z460" i="4" s="1"/>
  <c r="X462" i="4"/>
  <c r="Z462" i="4" s="1"/>
  <c r="X464" i="4"/>
  <c r="Z464" i="4" s="1"/>
  <c r="P489" i="2"/>
  <c r="X611" i="4"/>
  <c r="Z611" i="4" s="1"/>
  <c r="V630" i="2"/>
  <c r="X680" i="4"/>
  <c r="Z680" i="4" s="1"/>
  <c r="X688" i="4"/>
  <c r="Z688" i="4" s="1"/>
  <c r="X796" i="4"/>
  <c r="Z796" i="4" s="1"/>
  <c r="X829" i="4"/>
  <c r="Z829" i="4" s="1"/>
  <c r="X835" i="4"/>
  <c r="Z835" i="4" s="1"/>
  <c r="X851" i="4"/>
  <c r="Z851" i="4" s="1"/>
  <c r="X860" i="4"/>
  <c r="Z860" i="4" s="1"/>
  <c r="X893" i="4"/>
  <c r="Z893" i="4" s="1"/>
  <c r="X932" i="4"/>
  <c r="Z932" i="4" s="1"/>
  <c r="X987" i="4"/>
  <c r="X1007" i="4"/>
  <c r="Z1007" i="4" s="1"/>
  <c r="X1026" i="4"/>
  <c r="Z1026" i="4" s="1"/>
  <c r="X1081" i="4"/>
  <c r="Z1081" i="4" s="1"/>
  <c r="X1150" i="4"/>
  <c r="Z1150" i="4" s="1"/>
  <c r="X1154" i="4"/>
  <c r="Z1154" i="4" s="1"/>
  <c r="X1158" i="4"/>
  <c r="Z1158" i="4" s="1"/>
  <c r="K1244" i="4"/>
  <c r="M195" i="2"/>
  <c r="X630" i="4"/>
  <c r="X632" i="4"/>
  <c r="Q675" i="2"/>
  <c r="V692" i="2"/>
  <c r="Q723" i="2"/>
  <c r="X794" i="4"/>
  <c r="Z794" i="4" s="1"/>
  <c r="X831" i="4"/>
  <c r="Z831" i="4" s="1"/>
  <c r="X836" i="4"/>
  <c r="Z836" i="4" s="1"/>
  <c r="F872" i="4"/>
  <c r="U863" i="4"/>
  <c r="X876" i="4"/>
  <c r="Z876" i="4" s="1"/>
  <c r="X884" i="4"/>
  <c r="Z884" i="4" s="1"/>
  <c r="X886" i="4"/>
  <c r="Z886" i="4" s="1"/>
  <c r="X888" i="4"/>
  <c r="Z888" i="4" s="1"/>
  <c r="X901" i="4"/>
  <c r="Z901" i="4" s="1"/>
  <c r="X1005" i="4"/>
  <c r="Z1005" i="4" s="1"/>
  <c r="U603" i="2"/>
  <c r="V623" i="2"/>
  <c r="F691" i="4"/>
  <c r="Z721" i="1"/>
  <c r="Z691" i="2" s="1"/>
  <c r="X737" i="4"/>
  <c r="Z737" i="4" s="1"/>
  <c r="V776" i="4"/>
  <c r="F789" i="2"/>
  <c r="V831" i="4"/>
  <c r="U843" i="2"/>
  <c r="P879" i="2"/>
  <c r="M927" i="4"/>
  <c r="U902" i="2"/>
  <c r="U904" i="2" s="1"/>
  <c r="E1079" i="2"/>
  <c r="U1150" i="4"/>
  <c r="U1151" i="2"/>
  <c r="Q1222" i="2"/>
  <c r="J1259" i="2"/>
  <c r="X1379" i="4"/>
  <c r="Z1379" i="4" s="1"/>
  <c r="I2652" i="2"/>
  <c r="W656" i="2"/>
  <c r="M695" i="2"/>
  <c r="K961" i="1"/>
  <c r="K2906" i="1" s="1"/>
  <c r="M874" i="2"/>
  <c r="M876" i="2"/>
  <c r="X1163" i="1"/>
  <c r="Z1221" i="1"/>
  <c r="Z1220" i="5" s="1"/>
  <c r="X1241" i="4"/>
  <c r="X32" i="2"/>
  <c r="X429" i="2"/>
  <c r="V617" i="4"/>
  <c r="V697" i="2"/>
  <c r="J802" i="2"/>
  <c r="V812" i="2"/>
  <c r="AA848" i="2"/>
  <c r="Q922" i="1"/>
  <c r="W1084" i="2"/>
  <c r="X1178" i="4"/>
  <c r="Z1178" i="4" s="1"/>
  <c r="Q1196" i="2"/>
  <c r="X1293" i="4"/>
  <c r="Z1293" i="4" s="1"/>
  <c r="X1298" i="4"/>
  <c r="Z1298" i="4" s="1"/>
  <c r="X1318" i="4"/>
  <c r="Z1318" i="4" s="1"/>
  <c r="X1325" i="4"/>
  <c r="Z1325" i="4" s="1"/>
  <c r="Z1345" i="1"/>
  <c r="Z1279" i="2" s="1"/>
  <c r="M1379" i="4"/>
  <c r="U1344" i="2"/>
  <c r="X1429" i="4"/>
  <c r="Z1429" i="4" s="1"/>
  <c r="H1479" i="4"/>
  <c r="X1479" i="4" s="1"/>
  <c r="Z1479" i="4" s="1"/>
  <c r="U1644" i="4"/>
  <c r="X1789" i="4"/>
  <c r="Z1789" i="4" s="1"/>
  <c r="X1799" i="4"/>
  <c r="Z1799" i="4" s="1"/>
  <c r="X1124" i="4"/>
  <c r="Z1124" i="4" s="1"/>
  <c r="AA1191" i="2"/>
  <c r="X1253" i="4"/>
  <c r="Z1253" i="4" s="1"/>
  <c r="V1234" i="2"/>
  <c r="V1261" i="2"/>
  <c r="AA1282" i="2"/>
  <c r="J1381" i="4"/>
  <c r="J1314" i="2"/>
  <c r="X1439" i="4"/>
  <c r="Z1439" i="4" s="1"/>
  <c r="X1616" i="4"/>
  <c r="X1622" i="4"/>
  <c r="X1705" i="4"/>
  <c r="X1715" i="4"/>
  <c r="AB149" i="2"/>
  <c r="V507" i="4"/>
  <c r="J2337" i="1"/>
  <c r="AA744" i="2"/>
  <c r="AA884" i="2"/>
  <c r="V966" i="2"/>
  <c r="U1203" i="2"/>
  <c r="X1211" i="2"/>
  <c r="V1216" i="2"/>
  <c r="AA1363" i="1"/>
  <c r="AA1362" i="5" s="1"/>
  <c r="Q1434" i="1"/>
  <c r="M1344" i="2"/>
  <c r="X1661" i="2"/>
  <c r="X2117" i="4"/>
  <c r="Z2143" i="4"/>
  <c r="H2208" i="4"/>
  <c r="X2208" i="4" s="1"/>
  <c r="Z2208" i="4" s="1"/>
  <c r="M2362" i="4"/>
  <c r="M2379" i="4"/>
  <c r="X2561" i="4"/>
  <c r="Z2561" i="4" s="1"/>
  <c r="V2594" i="4"/>
  <c r="AA1447" i="4"/>
  <c r="X1588" i="4"/>
  <c r="AA1633" i="2"/>
  <c r="X1835" i="4"/>
  <c r="Z1835" i="4" s="1"/>
  <c r="AA1936" i="1"/>
  <c r="H2331" i="4"/>
  <c r="X2331" i="4" s="1"/>
  <c r="Z2331" i="4" s="1"/>
  <c r="M2372" i="4"/>
  <c r="W2600" i="1"/>
  <c r="V626" i="2"/>
  <c r="U851" i="2"/>
  <c r="AA916" i="1"/>
  <c r="AA937" i="4"/>
  <c r="Z1007" i="1"/>
  <c r="Z963" i="2" s="1"/>
  <c r="M1006" i="4"/>
  <c r="M1046" i="4"/>
  <c r="V1177" i="4"/>
  <c r="V1175" i="2"/>
  <c r="V1263" i="2"/>
  <c r="V1317" i="2"/>
  <c r="U1475" i="2"/>
  <c r="Z1756" i="1"/>
  <c r="Z1752" i="5" s="1"/>
  <c r="M1787" i="4"/>
  <c r="M1745" i="2"/>
  <c r="M1746" i="2"/>
  <c r="AA2001" i="1"/>
  <c r="AA1997" i="5" s="1"/>
  <c r="X2114" i="1"/>
  <c r="X2110" i="5" s="1"/>
  <c r="AA723" i="1"/>
  <c r="V747" i="4"/>
  <c r="V1503" i="4"/>
  <c r="AA1953" i="1"/>
  <c r="AA1949" i="5" s="1"/>
  <c r="X1954" i="4"/>
  <c r="Z1954" i="4" s="1"/>
  <c r="X2096" i="4"/>
  <c r="AB2832" i="1"/>
  <c r="V1212" i="4"/>
  <c r="Q1251" i="2"/>
  <c r="J1262" i="2"/>
  <c r="AA1389" i="2"/>
  <c r="AA1669" i="1"/>
  <c r="AA1666" i="5" s="1"/>
  <c r="Z1838" i="1"/>
  <c r="Z1742" i="2" s="1"/>
  <c r="X2005" i="1"/>
  <c r="Z2005" i="1" s="1"/>
  <c r="J2230" i="1"/>
  <c r="AA2237" i="1"/>
  <c r="AA2233" i="5" s="1"/>
  <c r="AA2431" i="1"/>
  <c r="W2494" i="1"/>
  <c r="V2502" i="4"/>
  <c r="AA2709" i="1"/>
  <c r="AA2701" i="5" s="1"/>
  <c r="AA1046" i="4"/>
  <c r="AA1695" i="1"/>
  <c r="AA1692" i="5" s="1"/>
  <c r="AA2393" i="1"/>
  <c r="AA2387" i="5" s="1"/>
  <c r="M2434" i="1"/>
  <c r="AA2653" i="1"/>
  <c r="AA1088" i="2"/>
  <c r="E1742" i="1"/>
  <c r="E2912" i="1" s="1"/>
  <c r="M1902" i="4"/>
  <c r="M2820" i="1"/>
  <c r="AA770" i="4"/>
  <c r="AA1032" i="2"/>
  <c r="J1315" i="2"/>
  <c r="Q1356" i="2"/>
  <c r="J1406" i="2"/>
  <c r="J1733" i="2"/>
  <c r="X2260" i="1"/>
  <c r="Z2260" i="1" s="1"/>
  <c r="AA2516" i="1"/>
  <c r="X2525" i="4"/>
  <c r="Z2525" i="4" s="1"/>
  <c r="V2643" i="4"/>
  <c r="V2745" i="4"/>
  <c r="AB2279" i="1"/>
  <c r="W966" i="2"/>
  <c r="Q1321" i="2"/>
  <c r="W2605" i="1"/>
  <c r="AA2634" i="1"/>
  <c r="R1647" i="2"/>
  <c r="R2736" i="2" s="1"/>
  <c r="AA1302" i="1"/>
  <c r="AA1301" i="5" s="1"/>
  <c r="V1480" i="1"/>
  <c r="V1479" i="5" s="1"/>
  <c r="Z836" i="1"/>
  <c r="Z802" i="2" s="1"/>
  <c r="AA1313" i="1"/>
  <c r="AA1312" i="5" s="1"/>
  <c r="Z1462" i="1"/>
  <c r="Z1389" i="2" s="1"/>
  <c r="X1920" i="2"/>
  <c r="Z1920" i="2" s="1"/>
  <c r="M1920" i="2"/>
  <c r="AA1920" i="2" s="1"/>
  <c r="AB1920" i="2" s="1"/>
  <c r="X220" i="2"/>
  <c r="Z231" i="1"/>
  <c r="Z220" i="2" s="1"/>
  <c r="Q2898" i="1"/>
  <c r="Q2782" i="1"/>
  <c r="X287" i="2"/>
  <c r="Z300" i="1"/>
  <c r="Z287" i="2" s="1"/>
  <c r="M777" i="4"/>
  <c r="AA777" i="1"/>
  <c r="AA777" i="5" s="1"/>
  <c r="X870" i="2"/>
  <c r="Z910" i="1"/>
  <c r="Z870" i="2" s="1"/>
  <c r="X1213" i="2"/>
  <c r="Z1273" i="1"/>
  <c r="Z1213" i="2" s="1"/>
  <c r="M286" i="2"/>
  <c r="M298" i="4"/>
  <c r="X373" i="2"/>
  <c r="Z390" i="1"/>
  <c r="Z373" i="2" s="1"/>
  <c r="U838" i="2"/>
  <c r="U877" i="4"/>
  <c r="X812" i="2"/>
  <c r="Z847" i="1"/>
  <c r="Z812" i="2" s="1"/>
  <c r="X1943" i="2"/>
  <c r="Z1943" i="2" s="1"/>
  <c r="M1943" i="2"/>
  <c r="AA1943" i="2" s="1"/>
  <c r="AB1943" i="2" s="1"/>
  <c r="X214" i="2"/>
  <c r="Z223" i="1"/>
  <c r="Z214" i="2" s="1"/>
  <c r="X264" i="2"/>
  <c r="Z277" i="1"/>
  <c r="Z276" i="5" s="1"/>
  <c r="X337" i="2"/>
  <c r="Z351" i="1"/>
  <c r="Z337" i="2" s="1"/>
  <c r="X349" i="2"/>
  <c r="Z366" i="1"/>
  <c r="Z349" i="2" s="1"/>
  <c r="X395" i="2"/>
  <c r="Z414" i="1"/>
  <c r="Z413" i="5" s="1"/>
  <c r="V172" i="2"/>
  <c r="W180" i="1"/>
  <c r="W180" i="5" s="1"/>
  <c r="X861" i="2"/>
  <c r="Z901" i="1"/>
  <c r="Z861" i="2" s="1"/>
  <c r="X1441" i="2"/>
  <c r="Z1519" i="1"/>
  <c r="Z1441" i="2" s="1"/>
  <c r="X386" i="2"/>
  <c r="Z405" i="1"/>
  <c r="Z404" i="5" s="1"/>
  <c r="X677" i="2"/>
  <c r="Z707" i="1"/>
  <c r="Z677" i="2" s="1"/>
  <c r="X798" i="2"/>
  <c r="Z832" i="1"/>
  <c r="Z798" i="2" s="1"/>
  <c r="X853" i="1"/>
  <c r="J853" i="1"/>
  <c r="J853" i="5" s="1"/>
  <c r="U1055" i="2"/>
  <c r="U1104" i="4"/>
  <c r="AA1105" i="1"/>
  <c r="AA1104" i="5" s="1"/>
  <c r="X191" i="2"/>
  <c r="Z199" i="1"/>
  <c r="Z191" i="2" s="1"/>
  <c r="X744" i="2"/>
  <c r="Z776" i="1"/>
  <c r="Z744" i="2" s="1"/>
  <c r="U797" i="2"/>
  <c r="U831" i="4"/>
  <c r="V1061" i="4"/>
  <c r="W1062" i="1"/>
  <c r="X385" i="2"/>
  <c r="Z404" i="1"/>
  <c r="Z403" i="5" s="1"/>
  <c r="X1175" i="2"/>
  <c r="Z1230" i="1"/>
  <c r="Z1229" i="5" s="1"/>
  <c r="X1351" i="2"/>
  <c r="Z1422" i="1"/>
  <c r="Z1351" i="2" s="1"/>
  <c r="M1250" i="1"/>
  <c r="M1249" i="5" s="1"/>
  <c r="M1281" i="5" s="1"/>
  <c r="X1250" i="1"/>
  <c r="J1250" i="1"/>
  <c r="J1249" i="5" s="1"/>
  <c r="X1234" i="2"/>
  <c r="Z1298" i="1"/>
  <c r="Z1234" i="2" s="1"/>
  <c r="X1249" i="2"/>
  <c r="Z1313" i="1"/>
  <c r="Z1249" i="2" s="1"/>
  <c r="X1380" i="2"/>
  <c r="Z1452" i="1"/>
  <c r="Z1380" i="2" s="1"/>
  <c r="X334" i="2"/>
  <c r="Z348" i="1"/>
  <c r="Z334" i="2" s="1"/>
  <c r="AA2103" i="2"/>
  <c r="AB2103" i="2" s="1"/>
  <c r="Q2211" i="2"/>
  <c r="H2041" i="1"/>
  <c r="Q1647" i="2"/>
  <c r="Q2736" i="2" s="1"/>
  <c r="T226" i="2"/>
  <c r="T2724" i="2" s="1"/>
  <c r="I918" i="2"/>
  <c r="I2730" i="2" s="1"/>
  <c r="T1137" i="2"/>
  <c r="T2732" i="2" s="1"/>
  <c r="O1466" i="2"/>
  <c r="O2734" i="2" s="1"/>
  <c r="Q2021" i="2"/>
  <c r="V1865" i="2"/>
  <c r="V2738" i="2" s="1"/>
  <c r="K2652" i="2"/>
  <c r="W2428" i="2"/>
  <c r="AA2034" i="2"/>
  <c r="AB2034" i="2" s="1"/>
  <c r="AA2219" i="2"/>
  <c r="AB2219" i="2" s="1"/>
  <c r="U2235" i="2"/>
  <c r="AA2183" i="2"/>
  <c r="AB2183" i="2" s="1"/>
  <c r="AA2241" i="2"/>
  <c r="AB2241" i="2" s="1"/>
  <c r="Q1820" i="2"/>
  <c r="J2294" i="2"/>
  <c r="L2081" i="4"/>
  <c r="L2919" i="4" s="1"/>
  <c r="AA2081" i="2"/>
  <c r="AB2081" i="2" s="1"/>
  <c r="S1647" i="2"/>
  <c r="S2736" i="2" s="1"/>
  <c r="AA1854" i="2"/>
  <c r="AB1854" i="2" s="1"/>
  <c r="AA2266" i="2"/>
  <c r="AB2266" i="2" s="1"/>
  <c r="X299" i="4"/>
  <c r="Z299" i="4" s="1"/>
  <c r="M60" i="2"/>
  <c r="E199" i="2"/>
  <c r="X178" i="4"/>
  <c r="Z178" i="4" s="1"/>
  <c r="G2752" i="4"/>
  <c r="G2929" i="4" s="1"/>
  <c r="X219" i="4"/>
  <c r="Z219" i="4" s="1"/>
  <c r="E320" i="2"/>
  <c r="V2448" i="4"/>
  <c r="V2923" i="4" s="1"/>
  <c r="I2567" i="4"/>
  <c r="I2925" i="4" s="1"/>
  <c r="M281" i="1"/>
  <c r="W2294" i="4"/>
  <c r="W2921" i="4" s="1"/>
  <c r="W2448" i="4"/>
  <c r="W2923" i="4" s="1"/>
  <c r="AB229" i="1"/>
  <c r="X2752" i="4"/>
  <c r="X2929" i="4" s="1"/>
  <c r="AA149" i="2"/>
  <c r="X110" i="4"/>
  <c r="Z110" i="4" s="1"/>
  <c r="X121" i="4"/>
  <c r="Z121" i="4" s="1"/>
  <c r="X220" i="4"/>
  <c r="Z220" i="4" s="1"/>
  <c r="X493" i="4"/>
  <c r="Z493" i="4" s="1"/>
  <c r="X497" i="4"/>
  <c r="Z497" i="4" s="1"/>
  <c r="X505" i="4"/>
  <c r="Z505" i="4" s="1"/>
  <c r="X710" i="4"/>
  <c r="Z710" i="4" s="1"/>
  <c r="X750" i="4"/>
  <c r="Z750" i="4" s="1"/>
  <c r="X752" i="4"/>
  <c r="Z752" i="4" s="1"/>
  <c r="V115" i="4"/>
  <c r="X458" i="1"/>
  <c r="X476" i="4"/>
  <c r="Z476" i="4" s="1"/>
  <c r="X480" i="4"/>
  <c r="Z480" i="4" s="1"/>
  <c r="W651" i="1"/>
  <c r="F2594" i="2"/>
  <c r="F2750" i="2" s="1"/>
  <c r="X28" i="2"/>
  <c r="X125" i="4"/>
  <c r="Z125" i="4" s="1"/>
  <c r="M204" i="4"/>
  <c r="X635" i="4"/>
  <c r="V656" i="2"/>
  <c r="U1088" i="2"/>
  <c r="X513" i="4"/>
  <c r="Z513" i="4" s="1"/>
  <c r="F833" i="2"/>
  <c r="AA890" i="1"/>
  <c r="AA890" i="5" s="1"/>
  <c r="U945" i="4"/>
  <c r="U947" i="4" s="1"/>
  <c r="M1111" i="2"/>
  <c r="U1203" i="4"/>
  <c r="X1313" i="4"/>
  <c r="Z1313" i="4" s="1"/>
  <c r="X1343" i="4"/>
  <c r="Z1343" i="4" s="1"/>
  <c r="AA2131" i="2"/>
  <c r="AB2131" i="2" s="1"/>
  <c r="AA627" i="2"/>
  <c r="V1101" i="2"/>
  <c r="Z1889" i="1"/>
  <c r="Z1789" i="2" s="1"/>
  <c r="AA945" i="1"/>
  <c r="E988" i="2"/>
  <c r="V1235" i="1"/>
  <c r="V1234" i="5" s="1"/>
  <c r="M1280" i="2"/>
  <c r="Z1381" i="1"/>
  <c r="Z1311" i="2" s="1"/>
  <c r="X1384" i="4"/>
  <c r="Z1384" i="4" s="1"/>
  <c r="X1386" i="4"/>
  <c r="Z1386" i="4" s="1"/>
  <c r="Z1299" i="1"/>
  <c r="Z1235" i="2" s="1"/>
  <c r="Z1483" i="1"/>
  <c r="Z1406" i="2" s="1"/>
  <c r="Z1672" i="1"/>
  <c r="Z1669" i="5" s="1"/>
  <c r="W2068" i="1"/>
  <c r="W2076" i="1"/>
  <c r="V1011" i="4"/>
  <c r="V1279" i="4"/>
  <c r="X1349" i="4"/>
  <c r="Z1349" i="4" s="1"/>
  <c r="Z1374" i="1"/>
  <c r="Z1304" i="2" s="1"/>
  <c r="W2039" i="1"/>
  <c r="M2212" i="1"/>
  <c r="M2208" i="5" s="1"/>
  <c r="AA2381" i="1"/>
  <c r="AA2375" i="5" s="1"/>
  <c r="X2511" i="4"/>
  <c r="Z2511" i="4" s="1"/>
  <c r="V2823" i="1"/>
  <c r="AA683" i="1"/>
  <c r="AA683" i="5" s="1"/>
  <c r="M1498" i="1"/>
  <c r="Q1847" i="1"/>
  <c r="AA2103" i="1"/>
  <c r="AA2315" i="1"/>
  <c r="AA2309" i="5" s="1"/>
  <c r="Z1025" i="1"/>
  <c r="Z979" i="2" s="1"/>
  <c r="Z1234" i="1"/>
  <c r="Z1233" i="5" s="1"/>
  <c r="X1385" i="4"/>
  <c r="Z1385" i="4" s="1"/>
  <c r="AB1462" i="1"/>
  <c r="AB1461" i="5" s="1"/>
  <c r="Q1903" i="1"/>
  <c r="X1879" i="4"/>
  <c r="Z1879" i="4" s="1"/>
  <c r="AA1961" i="1"/>
  <c r="AA2107" i="1"/>
  <c r="AA2103" i="5" s="1"/>
  <c r="AA2153" i="1"/>
  <c r="AA2149" i="5" s="1"/>
  <c r="AA2165" i="1"/>
  <c r="AA2161" i="5" s="1"/>
  <c r="Z2344" i="4"/>
  <c r="X2380" i="4"/>
  <c r="Z2380" i="4" s="1"/>
  <c r="E2085" i="1"/>
  <c r="E2916" i="1" s="1"/>
  <c r="AA2175" i="1"/>
  <c r="AA2171" i="5" s="1"/>
  <c r="AA2664" i="1"/>
  <c r="AA2656" i="5" s="1"/>
  <c r="AA2739" i="1"/>
  <c r="AA2731" i="5" s="1"/>
  <c r="E237" i="1"/>
  <c r="E2900" i="1" s="1"/>
  <c r="AA2503" i="1"/>
  <c r="H2699" i="4"/>
  <c r="X2699" i="4" s="1"/>
  <c r="X2814" i="1"/>
  <c r="Z2814" i="1" s="1"/>
  <c r="U844" i="1"/>
  <c r="Z1320" i="1"/>
  <c r="Z1256" i="2" s="1"/>
  <c r="AA1841" i="1"/>
  <c r="AA1837" i="5" s="1"/>
  <c r="AA2569" i="1"/>
  <c r="AA2561" i="5" s="1"/>
  <c r="AA2603" i="1"/>
  <c r="AA2595" i="5" s="1"/>
  <c r="O125" i="2"/>
  <c r="O2722" i="2" s="1"/>
  <c r="G2294" i="4"/>
  <c r="G2921" i="4" s="1"/>
  <c r="AA2050" i="2"/>
  <c r="AB2050" i="2" s="1"/>
  <c r="V719" i="1"/>
  <c r="V719" i="5" s="1"/>
  <c r="V2556" i="1"/>
  <c r="V2548" i="5" s="1"/>
  <c r="AA2786" i="1"/>
  <c r="X2660" i="4"/>
  <c r="X2927" i="4" s="1"/>
  <c r="Z2608" i="4"/>
  <c r="Z2660" i="4" s="1"/>
  <c r="Z2927" i="4" s="1"/>
  <c r="X188" i="4"/>
  <c r="Z188" i="4" s="1"/>
  <c r="N918" i="2"/>
  <c r="N2730" i="2" s="1"/>
  <c r="X811" i="4"/>
  <c r="Z811" i="4" s="1"/>
  <c r="X826" i="4"/>
  <c r="Z826" i="4" s="1"/>
  <c r="X830" i="4"/>
  <c r="Z830" i="4" s="1"/>
  <c r="X877" i="4"/>
  <c r="Z877" i="4" s="1"/>
  <c r="X885" i="4"/>
  <c r="Z885" i="4" s="1"/>
  <c r="X887" i="4"/>
  <c r="Z887" i="4" s="1"/>
  <c r="X900" i="4"/>
  <c r="Z900" i="4" s="1"/>
  <c r="X927" i="4"/>
  <c r="Z927" i="4" s="1"/>
  <c r="X937" i="4"/>
  <c r="Z937" i="4" s="1"/>
  <c r="N1013" i="4"/>
  <c r="N1190" i="4" s="1"/>
  <c r="N2911" i="4" s="1"/>
  <c r="X1390" i="4"/>
  <c r="Z1390" i="4" s="1"/>
  <c r="X1405" i="4"/>
  <c r="Z1405" i="4" s="1"/>
  <c r="X1425" i="4"/>
  <c r="Z1425" i="4" s="1"/>
  <c r="X1607" i="4"/>
  <c r="X1627" i="4"/>
  <c r="H1617" i="2"/>
  <c r="P1676" i="2"/>
  <c r="I1647" i="2"/>
  <c r="I2736" i="2" s="1"/>
  <c r="J1647" i="2"/>
  <c r="J2736" i="2" s="1"/>
  <c r="X1817" i="4"/>
  <c r="Z1817" i="4" s="1"/>
  <c r="R2734" i="2"/>
  <c r="R2653" i="2"/>
  <c r="T961" i="4"/>
  <c r="T2909" i="4" s="1"/>
  <c r="T403" i="2"/>
  <c r="T2726" i="2" s="1"/>
  <c r="N615" i="2"/>
  <c r="N2728" i="2" s="1"/>
  <c r="L1137" i="2"/>
  <c r="L2732" i="2" s="1"/>
  <c r="R1137" i="2"/>
  <c r="R2732" i="2" s="1"/>
  <c r="W1865" i="2"/>
  <c r="W2738" i="2" s="1"/>
  <c r="Y1739" i="4"/>
  <c r="X180" i="4"/>
  <c r="Z180" i="4" s="1"/>
  <c r="X274" i="4"/>
  <c r="X50" i="4"/>
  <c r="Z50" i="4" s="1"/>
  <c r="X382" i="4"/>
  <c r="Z382" i="4" s="1"/>
  <c r="X387" i="4"/>
  <c r="Z387" i="4" s="1"/>
  <c r="H502" i="2"/>
  <c r="P661" i="2"/>
  <c r="X289" i="4"/>
  <c r="Z289" i="4" s="1"/>
  <c r="F537" i="2"/>
  <c r="X1848" i="4"/>
  <c r="Z1848" i="4" s="1"/>
  <c r="X1892" i="4"/>
  <c r="Z1892" i="4" s="1"/>
  <c r="X867" i="4"/>
  <c r="Z867" i="4" s="1"/>
  <c r="X1906" i="4"/>
  <c r="Z1906" i="4" s="1"/>
  <c r="Y1137" i="2"/>
  <c r="Q1137" i="2"/>
  <c r="Q2732" i="2" s="1"/>
  <c r="S2752" i="4"/>
  <c r="S2929" i="4" s="1"/>
  <c r="I1137" i="2"/>
  <c r="I2732" i="2" s="1"/>
  <c r="AA2616" i="2"/>
  <c r="U2686" i="2"/>
  <c r="K125" i="2"/>
  <c r="K2722" i="2" s="1"/>
  <c r="K2668" i="2"/>
  <c r="N2567" i="4"/>
  <c r="N2925" i="4" s="1"/>
  <c r="X284" i="4"/>
  <c r="Z284" i="4" s="1"/>
  <c r="I1739" i="4"/>
  <c r="I2915" i="4" s="1"/>
  <c r="X411" i="4"/>
  <c r="X518" i="4"/>
  <c r="Z518" i="4" s="1"/>
  <c r="X618" i="4"/>
  <c r="Z618" i="4" s="1"/>
  <c r="K725" i="2"/>
  <c r="X628" i="4"/>
  <c r="F768" i="2"/>
  <c r="E789" i="2"/>
  <c r="Z2752" i="4"/>
  <c r="Z2929" i="4" s="1"/>
  <c r="X1301" i="4"/>
  <c r="Z1301" i="4" s="1"/>
  <c r="X953" i="4"/>
  <c r="Z953" i="4" s="1"/>
  <c r="X1036" i="4"/>
  <c r="Z1036" i="4" s="1"/>
  <c r="X1413" i="4"/>
  <c r="Z1413" i="4" s="1"/>
  <c r="F1471" i="4"/>
  <c r="X1880" i="4"/>
  <c r="Z1880" i="4" s="1"/>
  <c r="X164" i="4"/>
  <c r="X561" i="4"/>
  <c r="Z561" i="4" s="1"/>
  <c r="J2382" i="4"/>
  <c r="X694" i="4"/>
  <c r="Z694" i="4" s="1"/>
  <c r="X1776" i="4"/>
  <c r="Z1776" i="4" s="1"/>
  <c r="X2266" i="4"/>
  <c r="Z2266" i="4" s="1"/>
  <c r="X1832" i="4"/>
  <c r="Z1832" i="4" s="1"/>
  <c r="X1896" i="4"/>
  <c r="Z1896" i="4" s="1"/>
  <c r="X1411" i="4"/>
  <c r="Z1411" i="4" s="1"/>
  <c r="S125" i="2"/>
  <c r="S2722" i="2" s="1"/>
  <c r="W403" i="2"/>
  <c r="W2726" i="2" s="1"/>
  <c r="L615" i="2"/>
  <c r="L2728" i="2" s="1"/>
  <c r="N403" i="2"/>
  <c r="N2726" i="2" s="1"/>
  <c r="K615" i="2"/>
  <c r="K2674" i="2" s="1"/>
  <c r="G918" i="2"/>
  <c r="G2730" i="2" s="1"/>
  <c r="I1466" i="2"/>
  <c r="I2653" i="2" s="1"/>
  <c r="G1137" i="2"/>
  <c r="G2732" i="2" s="1"/>
  <c r="I1865" i="2"/>
  <c r="I2738" i="2" s="1"/>
  <c r="L961" i="4"/>
  <c r="L2909" i="4" s="1"/>
  <c r="J1190" i="4"/>
  <c r="J2911" i="4" s="1"/>
  <c r="I132" i="4"/>
  <c r="I2901" i="4" s="1"/>
  <c r="Z2686" i="2"/>
  <c r="F132" i="4"/>
  <c r="F2901" i="4" s="1"/>
  <c r="X1739" i="4"/>
  <c r="X2915" i="4" s="1"/>
  <c r="Q132" i="4"/>
  <c r="Q2901" i="4" s="1"/>
  <c r="N421" i="4"/>
  <c r="N2905" i="4" s="1"/>
  <c r="G421" i="4"/>
  <c r="G2905" i="4" s="1"/>
  <c r="T1543" i="4"/>
  <c r="T2913" i="4" s="1"/>
  <c r="R1739" i="4"/>
  <c r="R2915" i="4" s="1"/>
  <c r="X276" i="4"/>
  <c r="N1543" i="4"/>
  <c r="N2913" i="4" s="1"/>
  <c r="X83" i="4"/>
  <c r="Z83" i="4" s="1"/>
  <c r="S1739" i="4"/>
  <c r="S2915" i="4" s="1"/>
  <c r="T2567" i="4"/>
  <c r="T2925" i="4" s="1"/>
  <c r="X90" i="4"/>
  <c r="Z90" i="4" s="1"/>
  <c r="X117" i="4"/>
  <c r="Z117" i="4" s="1"/>
  <c r="H199" i="2"/>
  <c r="F380" i="2"/>
  <c r="X291" i="4"/>
  <c r="Z291" i="4" s="1"/>
  <c r="X326" i="4"/>
  <c r="Z326" i="4" s="1"/>
  <c r="K398" i="4"/>
  <c r="X385" i="4"/>
  <c r="Z385" i="4" s="1"/>
  <c r="X414" i="4"/>
  <c r="X529" i="4"/>
  <c r="Z529" i="4" s="1"/>
  <c r="X531" i="4"/>
  <c r="Z531" i="4" s="1"/>
  <c r="X568" i="4"/>
  <c r="Z568" i="4" s="1"/>
  <c r="F607" i="4"/>
  <c r="X623" i="4"/>
  <c r="Z623" i="4" s="1"/>
  <c r="X667" i="4"/>
  <c r="Z667" i="4" s="1"/>
  <c r="X672" i="4"/>
  <c r="Z672" i="4" s="1"/>
  <c r="X676" i="4"/>
  <c r="Z676" i="4" s="1"/>
  <c r="X723" i="4"/>
  <c r="Z723" i="4" s="1"/>
  <c r="X740" i="4"/>
  <c r="Z740" i="4" s="1"/>
  <c r="R421" i="4"/>
  <c r="R2905" i="4" s="1"/>
  <c r="X631" i="4"/>
  <c r="O1543" i="4"/>
  <c r="O2913" i="4" s="1"/>
  <c r="X477" i="4"/>
  <c r="Z477" i="4" s="1"/>
  <c r="X587" i="4"/>
  <c r="Z587" i="4" s="1"/>
  <c r="X593" i="4"/>
  <c r="Z593" i="4" s="1"/>
  <c r="X597" i="4"/>
  <c r="Z597" i="4" s="1"/>
  <c r="X599" i="4"/>
  <c r="Z599" i="4" s="1"/>
  <c r="X601" i="4"/>
  <c r="Z601" i="4" s="1"/>
  <c r="X668" i="4"/>
  <c r="Z668" i="4" s="1"/>
  <c r="K714" i="4"/>
  <c r="X709" i="4"/>
  <c r="Z709" i="4" s="1"/>
  <c r="X735" i="4"/>
  <c r="Z735" i="4" s="1"/>
  <c r="X753" i="4"/>
  <c r="Z753" i="4" s="1"/>
  <c r="F781" i="4"/>
  <c r="X769" i="4"/>
  <c r="Z769" i="4" s="1"/>
  <c r="X771" i="4"/>
  <c r="Z771" i="4" s="1"/>
  <c r="X612" i="4"/>
  <c r="Z612" i="4" s="1"/>
  <c r="K2448" i="4"/>
  <c r="K2923" i="4" s="1"/>
  <c r="X362" i="4"/>
  <c r="Z362" i="4" s="1"/>
  <c r="X366" i="4"/>
  <c r="Z366" i="4" s="1"/>
  <c r="E768" i="2"/>
  <c r="P789" i="2"/>
  <c r="P833" i="2"/>
  <c r="F984" i="4"/>
  <c r="F986" i="4" s="1"/>
  <c r="P1004" i="2"/>
  <c r="H1037" i="2"/>
  <c r="X1111" i="4"/>
  <c r="Z1111" i="4" s="1"/>
  <c r="X1116" i="4"/>
  <c r="Z1116" i="4" s="1"/>
  <c r="F1185" i="2"/>
  <c r="X286" i="4"/>
  <c r="Z286" i="4" s="1"/>
  <c r="X1121" i="4"/>
  <c r="Z1121" i="4" s="1"/>
  <c r="X651" i="4"/>
  <c r="X682" i="4"/>
  <c r="Z682" i="4" s="1"/>
  <c r="F661" i="2"/>
  <c r="X717" i="4"/>
  <c r="Z717" i="4" s="1"/>
  <c r="X837" i="4"/>
  <c r="Z837" i="4" s="1"/>
  <c r="X938" i="4"/>
  <c r="Z938" i="4" s="1"/>
  <c r="X1279" i="4"/>
  <c r="Z1279" i="4" s="1"/>
  <c r="X1297" i="4"/>
  <c r="Z1297" i="4" s="1"/>
  <c r="X1346" i="4"/>
  <c r="Z1346" i="4" s="1"/>
  <c r="X1356" i="4"/>
  <c r="Z1356" i="4" s="1"/>
  <c r="X808" i="4"/>
  <c r="Z808" i="4" s="1"/>
  <c r="F1218" i="2"/>
  <c r="Y2752" i="4"/>
  <c r="X605" i="4"/>
  <c r="Z605" i="4" s="1"/>
  <c r="E968" i="2"/>
  <c r="X1173" i="4"/>
  <c r="Z1173" i="4" s="1"/>
  <c r="K1214" i="4"/>
  <c r="X517" i="4"/>
  <c r="Z517" i="4" s="1"/>
  <c r="X911" i="4"/>
  <c r="Z911" i="4" s="1"/>
  <c r="X1018" i="4"/>
  <c r="Z1018" i="4" s="1"/>
  <c r="X1327" i="4"/>
  <c r="Z1327" i="4" s="1"/>
  <c r="X1446" i="4"/>
  <c r="Z1446" i="4" s="1"/>
  <c r="X1478" i="4"/>
  <c r="Z1478" i="4" s="1"/>
  <c r="X1650" i="4"/>
  <c r="X1314" i="4"/>
  <c r="Z1314" i="4" s="1"/>
  <c r="F2081" i="4"/>
  <c r="F2919" i="4" s="1"/>
  <c r="Z2142" i="4"/>
  <c r="X2373" i="4"/>
  <c r="Z2373" i="4" s="1"/>
  <c r="P2446" i="4"/>
  <c r="P2448" i="4" s="1"/>
  <c r="P2923" i="4" s="1"/>
  <c r="X1256" i="4"/>
  <c r="Z1256" i="4" s="1"/>
  <c r="X1454" i="4"/>
  <c r="Z1454" i="4" s="1"/>
  <c r="X1598" i="4"/>
  <c r="X1668" i="4"/>
  <c r="X779" i="4"/>
  <c r="Z779" i="4" s="1"/>
  <c r="X1262" i="4"/>
  <c r="Z1262" i="4" s="1"/>
  <c r="X1623" i="4"/>
  <c r="X1849" i="4"/>
  <c r="Z1849" i="4" s="1"/>
  <c r="X2165" i="4"/>
  <c r="Z2165" i="4" s="1"/>
  <c r="X2180" i="4"/>
  <c r="Z2180" i="4" s="1"/>
  <c r="X1683" i="4"/>
  <c r="X1687" i="4"/>
  <c r="X1884" i="4"/>
  <c r="Z1884" i="4" s="1"/>
  <c r="X1939" i="4"/>
  <c r="Z1939" i="4" s="1"/>
  <c r="X2439" i="4"/>
  <c r="Z2439" i="4" s="1"/>
  <c r="X1408" i="4"/>
  <c r="Z1408" i="4" s="1"/>
  <c r="X1484" i="4"/>
  <c r="Z1484" i="4" s="1"/>
  <c r="X1874" i="4"/>
  <c r="Z1874" i="4" s="1"/>
  <c r="X2226" i="4"/>
  <c r="Z2226" i="4" s="1"/>
  <c r="Z2422" i="4"/>
  <c r="X939" i="4"/>
  <c r="Z939" i="4" s="1"/>
  <c r="X1724" i="4"/>
  <c r="F2243" i="4"/>
  <c r="X1635" i="4"/>
  <c r="X1397" i="4"/>
  <c r="Z1397" i="4" s="1"/>
  <c r="F1769" i="2"/>
  <c r="X1436" i="4"/>
  <c r="Z1436" i="4" s="1"/>
  <c r="Y1647" i="2"/>
  <c r="G125" i="2"/>
  <c r="G2722" i="2" s="1"/>
  <c r="R2668" i="2"/>
  <c r="R125" i="2"/>
  <c r="R2722" i="2" s="1"/>
  <c r="E380" i="2"/>
  <c r="H401" i="2"/>
  <c r="I2448" i="4"/>
  <c r="I2923" i="4" s="1"/>
  <c r="L2660" i="4"/>
  <c r="L2927" i="4" s="1"/>
  <c r="X516" i="4"/>
  <c r="Z516" i="4" s="1"/>
  <c r="X520" i="4"/>
  <c r="Z520" i="4" s="1"/>
  <c r="X540" i="4"/>
  <c r="Z540" i="4" s="1"/>
  <c r="Y2448" i="4"/>
  <c r="Y2567" i="4"/>
  <c r="X175" i="4"/>
  <c r="Z175" i="4" s="1"/>
  <c r="X687" i="4"/>
  <c r="Z687" i="4" s="1"/>
  <c r="P480" i="2"/>
  <c r="X602" i="4"/>
  <c r="Z602" i="4" s="1"/>
  <c r="P1018" i="2"/>
  <c r="W1969" i="4"/>
  <c r="W2917" i="4" s="1"/>
  <c r="X685" i="4"/>
  <c r="Z685" i="4" s="1"/>
  <c r="X749" i="4"/>
  <c r="Z749" i="4" s="1"/>
  <c r="E809" i="2"/>
  <c r="X1359" i="4"/>
  <c r="Z1359" i="4" s="1"/>
  <c r="X1383" i="4"/>
  <c r="Z1383" i="4" s="1"/>
  <c r="X197" i="4"/>
  <c r="Z197" i="4" s="1"/>
  <c r="E1537" i="2"/>
  <c r="E1573" i="2"/>
  <c r="X1852" i="4"/>
  <c r="Z1852" i="4" s="1"/>
  <c r="X538" i="4"/>
  <c r="Z538" i="4" s="1"/>
  <c r="X1518" i="4"/>
  <c r="Z1518" i="4" s="1"/>
  <c r="X1826" i="4"/>
  <c r="Z1826" i="4" s="1"/>
  <c r="X2147" i="4"/>
  <c r="Z2147" i="4" s="1"/>
  <c r="X2321" i="4"/>
  <c r="Z2321" i="4" s="1"/>
  <c r="X1179" i="4"/>
  <c r="Z1179" i="4" s="1"/>
  <c r="I125" i="2"/>
  <c r="I2722" i="2" s="1"/>
  <c r="Y403" i="2"/>
  <c r="Y125" i="2"/>
  <c r="Y2722" i="2" s="1"/>
  <c r="Y2753" i="2" s="1"/>
  <c r="S403" i="2"/>
  <c r="S2726" i="2" s="1"/>
  <c r="G226" i="2"/>
  <c r="G2724" i="2" s="1"/>
  <c r="T1865" i="2"/>
  <c r="T2738" i="2" s="1"/>
  <c r="T237" i="4"/>
  <c r="T2903" i="4" s="1"/>
  <c r="G640" i="4"/>
  <c r="G2907" i="4" s="1"/>
  <c r="R640" i="4"/>
  <c r="R2907" i="4" s="1"/>
  <c r="R132" i="4"/>
  <c r="R2901" i="4" s="1"/>
  <c r="I1543" i="4"/>
  <c r="I2913" i="4" s="1"/>
  <c r="T1647" i="2"/>
  <c r="T2736" i="2" s="1"/>
  <c r="K2081" i="4"/>
  <c r="K2919" i="4" s="1"/>
  <c r="O132" i="4"/>
  <c r="O2901" i="4" s="1"/>
  <c r="G1543" i="4"/>
  <c r="G2913" i="4" s="1"/>
  <c r="X95" i="4"/>
  <c r="Z95" i="4" s="1"/>
  <c r="X97" i="4"/>
  <c r="Z97" i="4" s="1"/>
  <c r="X99" i="4"/>
  <c r="Z99" i="4" s="1"/>
  <c r="X101" i="4"/>
  <c r="Z101" i="4" s="1"/>
  <c r="X103" i="4"/>
  <c r="Z103" i="4" s="1"/>
  <c r="X211" i="4"/>
  <c r="Z211" i="4" s="1"/>
  <c r="X212" i="4"/>
  <c r="Z212" i="4" s="1"/>
  <c r="X270" i="4"/>
  <c r="K312" i="4"/>
  <c r="X301" i="4"/>
  <c r="Z301" i="4" s="1"/>
  <c r="X310" i="4"/>
  <c r="Z310" i="4" s="1"/>
  <c r="X317" i="4"/>
  <c r="Z317" i="4" s="1"/>
  <c r="X367" i="4"/>
  <c r="Z367" i="4" s="1"/>
  <c r="S237" i="4"/>
  <c r="S2903" i="4" s="1"/>
  <c r="X330" i="4"/>
  <c r="Z330" i="4" s="1"/>
  <c r="X51" i="4"/>
  <c r="Z51" i="4" s="1"/>
  <c r="X172" i="4"/>
  <c r="Z172" i="4" s="1"/>
  <c r="X174" i="4"/>
  <c r="Z174" i="4" s="1"/>
  <c r="X176" i="4"/>
  <c r="Z176" i="4" s="1"/>
  <c r="X181" i="4"/>
  <c r="Z181" i="4" s="1"/>
  <c r="X222" i="4"/>
  <c r="Z222" i="4" s="1"/>
  <c r="X315" i="4"/>
  <c r="Z315" i="4" s="1"/>
  <c r="X386" i="4"/>
  <c r="Z386" i="4" s="1"/>
  <c r="X401" i="4"/>
  <c r="T2660" i="4"/>
  <c r="T2927" i="4" s="1"/>
  <c r="L2752" i="4"/>
  <c r="L2929" i="4" s="1"/>
  <c r="X126" i="4"/>
  <c r="Z126" i="4" s="1"/>
  <c r="X203" i="4"/>
  <c r="Z203" i="4" s="1"/>
  <c r="X375" i="4"/>
  <c r="Z375" i="4" s="1"/>
  <c r="V2657" i="2"/>
  <c r="X88" i="4"/>
  <c r="Z88" i="4" s="1"/>
  <c r="V421" i="4"/>
  <c r="V2905" i="4" s="1"/>
  <c r="N2448" i="4"/>
  <c r="N2923" i="4" s="1"/>
  <c r="I2660" i="4"/>
  <c r="I2927" i="4" s="1"/>
  <c r="F320" i="2"/>
  <c r="F748" i="2"/>
  <c r="E600" i="2"/>
  <c r="X720" i="4"/>
  <c r="Z720" i="4" s="1"/>
  <c r="X728" i="4"/>
  <c r="Z728" i="4" s="1"/>
  <c r="K756" i="4"/>
  <c r="E725" i="2"/>
  <c r="X791" i="4"/>
  <c r="Z791" i="4" s="1"/>
  <c r="X793" i="4"/>
  <c r="Z793" i="4" s="1"/>
  <c r="X834" i="4"/>
  <c r="Z834" i="4" s="1"/>
  <c r="X852" i="4"/>
  <c r="Z852" i="4" s="1"/>
  <c r="X859" i="4"/>
  <c r="Z859" i="4" s="1"/>
  <c r="X861" i="4"/>
  <c r="Z861" i="4" s="1"/>
  <c r="X875" i="4"/>
  <c r="Z875" i="4" s="1"/>
  <c r="K879" i="2"/>
  <c r="X917" i="4"/>
  <c r="Z917" i="4" s="1"/>
  <c r="X933" i="4"/>
  <c r="Z933" i="4" s="1"/>
  <c r="X998" i="4"/>
  <c r="Z998" i="4" s="1"/>
  <c r="F1013" i="4"/>
  <c r="X1019" i="4"/>
  <c r="Z1019" i="4" s="1"/>
  <c r="X1037" i="4"/>
  <c r="Z1037" i="4" s="1"/>
  <c r="X1041" i="4"/>
  <c r="Z1041" i="4" s="1"/>
  <c r="X1045" i="4"/>
  <c r="Z1045" i="4" s="1"/>
  <c r="X1135" i="4"/>
  <c r="Z1135" i="4" s="1"/>
  <c r="X1137" i="4"/>
  <c r="Z1137" i="4" s="1"/>
  <c r="X1139" i="4"/>
  <c r="Z1139" i="4" s="1"/>
  <c r="X1163" i="4"/>
  <c r="Z1163" i="4" s="1"/>
  <c r="X1218" i="4"/>
  <c r="E123" i="2"/>
  <c r="X479" i="4"/>
  <c r="Z479" i="4" s="1"/>
  <c r="F565" i="2"/>
  <c r="X679" i="4"/>
  <c r="Z679" i="4" s="1"/>
  <c r="X706" i="4"/>
  <c r="Z706" i="4" s="1"/>
  <c r="X820" i="4"/>
  <c r="Z820" i="4" s="1"/>
  <c r="X1120" i="4"/>
  <c r="Z1120" i="4" s="1"/>
  <c r="X1122" i="4"/>
  <c r="Z1122" i="4" s="1"/>
  <c r="X309" i="4"/>
  <c r="Z309" i="4" s="1"/>
  <c r="X348" i="4"/>
  <c r="Z348" i="4" s="1"/>
  <c r="X925" i="4"/>
  <c r="Z925" i="4" s="1"/>
  <c r="X1233" i="4"/>
  <c r="X1381" i="4"/>
  <c r="Z1381" i="4" s="1"/>
  <c r="X162" i="4"/>
  <c r="X800" i="4"/>
  <c r="Z800" i="4" s="1"/>
  <c r="X1265" i="4"/>
  <c r="Z1265" i="4" s="1"/>
  <c r="X1284" i="4"/>
  <c r="Z1284" i="4" s="1"/>
  <c r="X1289" i="4"/>
  <c r="Z1289" i="4" s="1"/>
  <c r="X1354" i="4"/>
  <c r="Z1354" i="4" s="1"/>
  <c r="X1373" i="4"/>
  <c r="Z1373" i="4" s="1"/>
  <c r="X1399" i="4"/>
  <c r="Z1399" i="4" s="1"/>
  <c r="X1407" i="4"/>
  <c r="Z1407" i="4" s="1"/>
  <c r="F1433" i="4"/>
  <c r="X1601" i="4"/>
  <c r="X1606" i="4"/>
  <c r="X1624" i="4"/>
  <c r="X1628" i="4"/>
  <c r="X1676" i="4"/>
  <c r="X1682" i="4"/>
  <c r="X1690" i="4"/>
  <c r="X1735" i="4"/>
  <c r="X1781" i="4"/>
  <c r="Z1781" i="4" s="1"/>
  <c r="X1818" i="4"/>
  <c r="Z1818" i="4" s="1"/>
  <c r="X1833" i="4"/>
  <c r="Z1833" i="4" s="1"/>
  <c r="X1834" i="4"/>
  <c r="Z1834" i="4" s="1"/>
  <c r="X1840" i="4"/>
  <c r="Z1840" i="4" s="1"/>
  <c r="F1843" i="4"/>
  <c r="X1859" i="4"/>
  <c r="Z1859" i="4" s="1"/>
  <c r="F1899" i="4"/>
  <c r="I1969" i="4"/>
  <c r="I2917" i="4" s="1"/>
  <c r="X649" i="4"/>
  <c r="X1266" i="4"/>
  <c r="Z1266" i="4" s="1"/>
  <c r="X1299" i="4"/>
  <c r="Z1299" i="4" s="1"/>
  <c r="X1393" i="4"/>
  <c r="Z1393" i="4" s="1"/>
  <c r="X1414" i="4"/>
  <c r="Z1414" i="4" s="1"/>
  <c r="F1556" i="2"/>
  <c r="F1647" i="2" s="1"/>
  <c r="F2736" i="2" s="1"/>
  <c r="E1749" i="2"/>
  <c r="X993" i="4"/>
  <c r="Z993" i="4" s="1"/>
  <c r="X1141" i="4"/>
  <c r="Z1141" i="4" s="1"/>
  <c r="X1304" i="4"/>
  <c r="Z1304" i="4" s="1"/>
  <c r="X1344" i="4"/>
  <c r="Z1344" i="4" s="1"/>
  <c r="F1375" i="4"/>
  <c r="X1530" i="4"/>
  <c r="Z1530" i="4" s="1"/>
  <c r="X1885" i="4"/>
  <c r="Z1885" i="4" s="1"/>
  <c r="F1922" i="4"/>
  <c r="Z2177" i="4"/>
  <c r="X1387" i="4"/>
  <c r="Z1387" i="4" s="1"/>
  <c r="X1664" i="4"/>
  <c r="X1816" i="4"/>
  <c r="Z1816" i="4" s="1"/>
  <c r="X789" i="4"/>
  <c r="Z789" i="4" s="1"/>
  <c r="J947" i="4"/>
  <c r="X1231" i="4"/>
  <c r="X1351" i="4"/>
  <c r="Z1351" i="4" s="1"/>
  <c r="X1481" i="4"/>
  <c r="Z1481" i="4" s="1"/>
  <c r="X1666" i="4"/>
  <c r="X1670" i="4"/>
  <c r="X1770" i="4"/>
  <c r="Z1770" i="4" s="1"/>
  <c r="X1778" i="4"/>
  <c r="Z1778" i="4" s="1"/>
  <c r="X2241" i="4"/>
  <c r="Z2241" i="4" s="1"/>
  <c r="X2346" i="4"/>
  <c r="Z2346" i="4" s="1"/>
  <c r="X2629" i="4"/>
  <c r="F1362" i="2"/>
  <c r="X1465" i="4"/>
  <c r="Z1465" i="4" s="1"/>
  <c r="X1716" i="4"/>
  <c r="X1458" i="4"/>
  <c r="Z1458" i="4" s="1"/>
  <c r="X2286" i="4"/>
  <c r="Z2286" i="4" s="1"/>
  <c r="N1647" i="2"/>
  <c r="N2736" i="2" s="1"/>
  <c r="J125" i="2"/>
  <c r="J2722" i="2" s="1"/>
  <c r="AB2174" i="2"/>
  <c r="AA2280" i="2"/>
  <c r="V2356" i="2"/>
  <c r="W2341" i="2"/>
  <c r="W2356" i="2" s="1"/>
  <c r="AA47" i="2"/>
  <c r="AA51" i="4"/>
  <c r="AB51" i="1"/>
  <c r="AB51" i="5" s="1"/>
  <c r="X236" i="2"/>
  <c r="X246" i="4"/>
  <c r="Z247" i="1"/>
  <c r="Z246" i="5" s="1"/>
  <c r="AA2360" i="2"/>
  <c r="AB2360" i="2" s="1"/>
  <c r="M2367" i="2"/>
  <c r="W91" i="2"/>
  <c r="W96" i="4"/>
  <c r="J359" i="2"/>
  <c r="J375" i="4"/>
  <c r="AA208" i="2"/>
  <c r="AA217" i="4"/>
  <c r="AB217" i="1"/>
  <c r="AB217" i="5" s="1"/>
  <c r="AA304" i="2"/>
  <c r="AA317" i="4"/>
  <c r="AB318" i="1"/>
  <c r="AB317" i="5" s="1"/>
  <c r="G2763" i="1"/>
  <c r="G2902" i="1"/>
  <c r="G2929" i="1" s="1"/>
  <c r="V72" i="2"/>
  <c r="V76" i="4"/>
  <c r="W76" i="1"/>
  <c r="W76" i="5" s="1"/>
  <c r="U274" i="2"/>
  <c r="U286" i="4"/>
  <c r="U313" i="1"/>
  <c r="M284" i="2"/>
  <c r="M296" i="4"/>
  <c r="AA297" i="1"/>
  <c r="AA296" i="5" s="1"/>
  <c r="AA938" i="2"/>
  <c r="AA981" i="4"/>
  <c r="AB982" i="1"/>
  <c r="AB981" i="5" s="1"/>
  <c r="AA1110" i="2"/>
  <c r="AA1160" i="4"/>
  <c r="AB1161" i="1"/>
  <c r="AB1160" i="5" s="1"/>
  <c r="X316" i="2"/>
  <c r="Z330" i="1"/>
  <c r="Z316" i="2" s="1"/>
  <c r="U368" i="2"/>
  <c r="U384" i="4"/>
  <c r="AA385" i="1"/>
  <c r="AA384" i="5" s="1"/>
  <c r="AA547" i="2"/>
  <c r="AA568" i="4"/>
  <c r="AB567" i="1"/>
  <c r="AB568" i="5" s="1"/>
  <c r="M702" i="2"/>
  <c r="M732" i="4"/>
  <c r="AA732" i="1"/>
  <c r="AA732" i="5" s="1"/>
  <c r="P555" i="2"/>
  <c r="P565" i="2" s="1"/>
  <c r="P576" i="4"/>
  <c r="V575" i="1"/>
  <c r="V576" i="5" s="1"/>
  <c r="V589" i="5" s="1"/>
  <c r="U575" i="1"/>
  <c r="U576" i="5" s="1"/>
  <c r="U589" i="5" s="1"/>
  <c r="P588" i="1"/>
  <c r="AA656" i="2"/>
  <c r="AA686" i="4"/>
  <c r="AB686" i="1"/>
  <c r="AB686" i="5" s="1"/>
  <c r="AA58" i="2"/>
  <c r="AA62" i="4"/>
  <c r="AB62" i="1"/>
  <c r="AB62" i="5" s="1"/>
  <c r="U1147" i="2"/>
  <c r="U1199" i="4"/>
  <c r="AA653" i="2"/>
  <c r="AA681" i="4"/>
  <c r="AB681" i="1"/>
  <c r="AB681" i="5" s="1"/>
  <c r="M2035" i="4"/>
  <c r="AA2039" i="1"/>
  <c r="AA2035" i="5" s="1"/>
  <c r="U2191" i="4"/>
  <c r="AA2195" i="1"/>
  <c r="AA2191" i="5" s="1"/>
  <c r="AA130" i="2"/>
  <c r="AA137" i="4"/>
  <c r="AB137" i="1"/>
  <c r="AB137" i="5" s="1"/>
  <c r="Q821" i="2"/>
  <c r="Q856" i="4"/>
  <c r="H839" i="2"/>
  <c r="H878" i="4"/>
  <c r="X878" i="4" s="1"/>
  <c r="Z878" i="4" s="1"/>
  <c r="J878" i="1"/>
  <c r="J878" i="5" s="1"/>
  <c r="J895" i="5" s="1"/>
  <c r="M878" i="1"/>
  <c r="M878" i="5" s="1"/>
  <c r="M895" i="5" s="1"/>
  <c r="X878" i="1"/>
  <c r="H895" i="1"/>
  <c r="V878" i="1"/>
  <c r="V878" i="5" s="1"/>
  <c r="V895" i="5" s="1"/>
  <c r="AA847" i="2"/>
  <c r="AA886" i="4"/>
  <c r="AB886" i="1"/>
  <c r="AB886" i="5" s="1"/>
  <c r="Q864" i="2"/>
  <c r="Q904" i="4"/>
  <c r="J1309" i="2"/>
  <c r="J1378" i="4"/>
  <c r="X1329" i="2"/>
  <c r="Z1400" i="1"/>
  <c r="Z1329" i="2" s="1"/>
  <c r="J1343" i="2"/>
  <c r="J1413" i="4"/>
  <c r="K203" i="2"/>
  <c r="K2671" i="2" s="1"/>
  <c r="K212" i="4"/>
  <c r="Q212" i="1"/>
  <c r="Q212" i="5" s="1"/>
  <c r="K2847" i="1"/>
  <c r="W568" i="2"/>
  <c r="W592" i="4"/>
  <c r="M1170" i="2"/>
  <c r="M1224" i="4"/>
  <c r="AA1225" i="1"/>
  <c r="AA1224" i="5" s="1"/>
  <c r="AB2253" i="2"/>
  <c r="Z2321" i="2"/>
  <c r="Z2338" i="2" s="1"/>
  <c r="X2338" i="2"/>
  <c r="U2428" i="2"/>
  <c r="AA2411" i="2"/>
  <c r="AB2411" i="2" s="1"/>
  <c r="AA2453" i="2"/>
  <c r="M2464" i="2"/>
  <c r="W2437" i="2"/>
  <c r="V2464" i="2"/>
  <c r="X2188" i="2"/>
  <c r="Z2174" i="2"/>
  <c r="Z2188" i="2" s="1"/>
  <c r="Z2191" i="2"/>
  <c r="X2250" i="2"/>
  <c r="Z2238" i="2"/>
  <c r="Z2250" i="2" s="1"/>
  <c r="W2359" i="2"/>
  <c r="W2367" i="2" s="1"/>
  <c r="V2367" i="2"/>
  <c r="AA2382" i="2"/>
  <c r="AB2370" i="2"/>
  <c r="AB2382" i="2" s="1"/>
  <c r="Z1190" i="4"/>
  <c r="Z2911" i="4" s="1"/>
  <c r="Z986" i="4"/>
  <c r="U190" i="2"/>
  <c r="U198" i="4"/>
  <c r="AA198" i="1"/>
  <c r="AA198" i="5" s="1"/>
  <c r="AA2443" i="2"/>
  <c r="AB2443" i="2" s="1"/>
  <c r="U2464" i="2"/>
  <c r="Z2466" i="2"/>
  <c r="Z2468" i="2" s="1"/>
  <c r="X2468" i="2"/>
  <c r="X344" i="2"/>
  <c r="Z361" i="1"/>
  <c r="Z344" i="2" s="1"/>
  <c r="I206" i="2"/>
  <c r="I215" i="4"/>
  <c r="K215" i="1"/>
  <c r="K215" i="5" s="1"/>
  <c r="I235" i="1"/>
  <c r="AA259" i="2"/>
  <c r="AA270" i="4"/>
  <c r="AB271" i="1"/>
  <c r="AB270" i="5" s="1"/>
  <c r="X272" i="2"/>
  <c r="Z285" i="1"/>
  <c r="Z272" i="2" s="1"/>
  <c r="X276" i="2"/>
  <c r="Z289" i="1"/>
  <c r="Z276" i="2" s="1"/>
  <c r="U374" i="2"/>
  <c r="U390" i="4"/>
  <c r="U388" i="2"/>
  <c r="U406" i="4"/>
  <c r="AA407" i="1"/>
  <c r="AA406" i="5" s="1"/>
  <c r="X416" i="2"/>
  <c r="X434" i="4"/>
  <c r="Z435" i="1"/>
  <c r="Z434" i="5" s="1"/>
  <c r="Z257" i="2"/>
  <c r="Z268" i="4"/>
  <c r="X279" i="2"/>
  <c r="Z292" i="1"/>
  <c r="Z279" i="2" s="1"/>
  <c r="M285" i="2"/>
  <c r="M297" i="4"/>
  <c r="AA298" i="1"/>
  <c r="AA297" i="5" s="1"/>
  <c r="X286" i="2"/>
  <c r="Z299" i="1"/>
  <c r="Z286" i="2" s="1"/>
  <c r="U336" i="2"/>
  <c r="U349" i="4"/>
  <c r="AA350" i="1"/>
  <c r="AA349" i="5" s="1"/>
  <c r="M339" i="2"/>
  <c r="M352" i="4"/>
  <c r="AA353" i="1"/>
  <c r="AA352" i="5" s="1"/>
  <c r="X340" i="2"/>
  <c r="Z354" i="1"/>
  <c r="Z340" i="2" s="1"/>
  <c r="M344" i="2"/>
  <c r="M360" i="4"/>
  <c r="AA361" i="1"/>
  <c r="AA360" i="5" s="1"/>
  <c r="AA317" i="2"/>
  <c r="AA330" i="4"/>
  <c r="AB331" i="1"/>
  <c r="AB330" i="5" s="1"/>
  <c r="J338" i="2"/>
  <c r="J351" i="4"/>
  <c r="U307" i="4"/>
  <c r="AA308" i="1"/>
  <c r="AA307" i="5" s="1"/>
  <c r="AA308" i="2"/>
  <c r="AA321" i="4"/>
  <c r="AB322" i="1"/>
  <c r="AB321" i="5" s="1"/>
  <c r="H318" i="2"/>
  <c r="H331" i="4"/>
  <c r="X331" i="4" s="1"/>
  <c r="Z331" i="4" s="1"/>
  <c r="M332" i="1"/>
  <c r="M331" i="5" s="1"/>
  <c r="J332" i="1"/>
  <c r="J331" i="5" s="1"/>
  <c r="X332" i="1"/>
  <c r="AA964" i="2"/>
  <c r="AA1007" i="4"/>
  <c r="AB1008" i="1"/>
  <c r="AB1007" i="5" s="1"/>
  <c r="AA976" i="2"/>
  <c r="AA1021" i="4"/>
  <c r="AB1022" i="1"/>
  <c r="AB1021" i="5" s="1"/>
  <c r="AA992" i="2"/>
  <c r="AA1037" i="4"/>
  <c r="AB1038" i="1"/>
  <c r="AB1037" i="5" s="1"/>
  <c r="AA1000" i="2"/>
  <c r="AA1045" i="4"/>
  <c r="AB1046" i="1"/>
  <c r="AB1045" i="5" s="1"/>
  <c r="AA1013" i="2"/>
  <c r="AA1058" i="4"/>
  <c r="AB1059" i="1"/>
  <c r="AB1058" i="5" s="1"/>
  <c r="V45" i="2"/>
  <c r="V49" i="4"/>
  <c r="W49" i="1"/>
  <c r="W49" i="5" s="1"/>
  <c r="V68" i="1"/>
  <c r="M62" i="2"/>
  <c r="M66" i="4"/>
  <c r="AA66" i="1"/>
  <c r="AA66" i="5" s="1"/>
  <c r="X82" i="2"/>
  <c r="Z86" i="1"/>
  <c r="Z82" i="2" s="1"/>
  <c r="X99" i="2"/>
  <c r="Z105" i="1"/>
  <c r="Z99" i="2" s="1"/>
  <c r="U421" i="2"/>
  <c r="U441" i="4"/>
  <c r="AA442" i="1"/>
  <c r="AA441" i="5" s="1"/>
  <c r="AA422" i="2"/>
  <c r="AA442" i="4"/>
  <c r="AB443" i="1"/>
  <c r="AB442" i="5" s="1"/>
  <c r="X472" i="2"/>
  <c r="Z493" i="1"/>
  <c r="Z472" i="2" s="1"/>
  <c r="X501" i="1"/>
  <c r="X476" i="2"/>
  <c r="Z497" i="1"/>
  <c r="Z476" i="2" s="1"/>
  <c r="V486" i="2"/>
  <c r="V506" i="4"/>
  <c r="W507" i="1"/>
  <c r="W506" i="5" s="1"/>
  <c r="X487" i="2"/>
  <c r="Z508" i="1"/>
  <c r="Z487" i="2" s="1"/>
  <c r="U535" i="2"/>
  <c r="U554" i="4"/>
  <c r="AA555" i="1"/>
  <c r="AA554" i="5" s="1"/>
  <c r="AA477" i="2"/>
  <c r="AA497" i="4"/>
  <c r="AB498" i="1"/>
  <c r="AB497" i="5" s="1"/>
  <c r="W623" i="2"/>
  <c r="V674" i="2"/>
  <c r="V704" i="4"/>
  <c r="W704" i="1"/>
  <c r="W704" i="5" s="1"/>
  <c r="V74" i="2"/>
  <c r="V78" i="4"/>
  <c r="W78" i="1"/>
  <c r="W78" i="5" s="1"/>
  <c r="V77" i="2"/>
  <c r="V81" i="4"/>
  <c r="W81" i="1"/>
  <c r="W81" i="5" s="1"/>
  <c r="U104" i="4"/>
  <c r="AA104" i="1"/>
  <c r="AA104" i="5" s="1"/>
  <c r="J358" i="2"/>
  <c r="J374" i="4"/>
  <c r="AA562" i="2"/>
  <c r="AA583" i="4"/>
  <c r="AB582" i="1"/>
  <c r="AB583" i="5" s="1"/>
  <c r="M597" i="2"/>
  <c r="M621" i="4"/>
  <c r="AA620" i="1"/>
  <c r="AA621" i="5" s="1"/>
  <c r="U622" i="4"/>
  <c r="AA621" i="1"/>
  <c r="AA622" i="5" s="1"/>
  <c r="X603" i="2"/>
  <c r="Z627" i="1"/>
  <c r="Z628" i="5" s="1"/>
  <c r="AA731" i="2"/>
  <c r="AA762" i="4"/>
  <c r="AB762" i="1"/>
  <c r="AB762" i="5" s="1"/>
  <c r="M965" i="2"/>
  <c r="M1008" i="4"/>
  <c r="AA1009" i="1"/>
  <c r="AA1008" i="5" s="1"/>
  <c r="M975" i="2"/>
  <c r="M1020" i="4"/>
  <c r="AA1021" i="1"/>
  <c r="AA1020" i="5" s="1"/>
  <c r="U1062" i="2"/>
  <c r="U1111" i="4"/>
  <c r="M1068" i="2"/>
  <c r="M1117" i="4"/>
  <c r="AA1118" i="1"/>
  <c r="AA1117" i="5" s="1"/>
  <c r="Z383" i="2"/>
  <c r="Z401" i="4"/>
  <c r="Z433" i="2"/>
  <c r="Z453" i="4"/>
  <c r="W442" i="2"/>
  <c r="W462" i="4"/>
  <c r="AA624" i="2"/>
  <c r="AA652" i="4"/>
  <c r="AB652" i="1"/>
  <c r="AB652" i="5" s="1"/>
  <c r="M638" i="2"/>
  <c r="M666" i="4"/>
  <c r="AA666" i="1"/>
  <c r="AA666" i="5" s="1"/>
  <c r="V641" i="2"/>
  <c r="V669" i="4"/>
  <c r="W669" i="1"/>
  <c r="W669" i="5" s="1"/>
  <c r="M646" i="2"/>
  <c r="M674" i="4"/>
  <c r="AA674" i="1"/>
  <c r="AA674" i="5" s="1"/>
  <c r="Q672" i="2"/>
  <c r="Q702" i="4"/>
  <c r="AA1166" i="2"/>
  <c r="AA1220" i="4"/>
  <c r="AB1221" i="1"/>
  <c r="AB1220" i="5" s="1"/>
  <c r="V669" i="2"/>
  <c r="V699" i="4"/>
  <c r="W699" i="1"/>
  <c r="W699" i="5" s="1"/>
  <c r="Q679" i="2"/>
  <c r="Q709" i="4"/>
  <c r="Q733" i="2"/>
  <c r="Q764" i="4"/>
  <c r="I2904" i="1"/>
  <c r="I2850" i="1"/>
  <c r="H2253" i="4"/>
  <c r="X2253" i="4" s="1"/>
  <c r="Z2253" i="4" s="1"/>
  <c r="M2257" i="1"/>
  <c r="M2253" i="5" s="1"/>
  <c r="M2262" i="5" s="1"/>
  <c r="H2266" i="1"/>
  <c r="X2257" i="1"/>
  <c r="Z2257" i="1" s="1"/>
  <c r="J2257" i="1"/>
  <c r="AA952" i="2"/>
  <c r="AA995" i="4"/>
  <c r="AB996" i="1"/>
  <c r="AB995" i="5" s="1"/>
  <c r="AA449" i="2"/>
  <c r="AA469" i="4"/>
  <c r="AB470" i="1"/>
  <c r="AB469" i="5" s="1"/>
  <c r="X500" i="2"/>
  <c r="Z521" i="1"/>
  <c r="Z500" i="2" s="1"/>
  <c r="X505" i="2"/>
  <c r="Z526" i="1"/>
  <c r="X536" i="1"/>
  <c r="AA459" i="2"/>
  <c r="AA479" i="4"/>
  <c r="AB480" i="1"/>
  <c r="AB479" i="5" s="1"/>
  <c r="X592" i="2"/>
  <c r="Z615" i="1"/>
  <c r="Z592" i="2" s="1"/>
  <c r="AA626" i="2"/>
  <c r="AA654" i="4"/>
  <c r="AB654" i="1"/>
  <c r="AB654" i="5" s="1"/>
  <c r="M629" i="2"/>
  <c r="M657" i="4"/>
  <c r="AA657" i="1"/>
  <c r="AA657" i="5" s="1"/>
  <c r="W671" i="2"/>
  <c r="W701" i="4"/>
  <c r="U682" i="2"/>
  <c r="U712" i="4"/>
  <c r="AA712" i="1"/>
  <c r="AA712" i="5" s="1"/>
  <c r="V706" i="2"/>
  <c r="V736" i="4"/>
  <c r="W736" i="1"/>
  <c r="W736" i="5" s="1"/>
  <c r="AA722" i="2"/>
  <c r="AA753" i="4"/>
  <c r="AB753" i="1"/>
  <c r="AB753" i="5" s="1"/>
  <c r="V729" i="2"/>
  <c r="V760" i="4"/>
  <c r="W760" i="1"/>
  <c r="W760" i="5" s="1"/>
  <c r="X740" i="2"/>
  <c r="Z771" i="1"/>
  <c r="Z740" i="2" s="1"/>
  <c r="AA798" i="1"/>
  <c r="AA798" i="5" s="1"/>
  <c r="M798" i="4"/>
  <c r="M775" i="2"/>
  <c r="M809" i="4"/>
  <c r="AA809" i="1"/>
  <c r="AA809" i="5" s="1"/>
  <c r="U786" i="2"/>
  <c r="U820" i="4"/>
  <c r="AA820" i="1"/>
  <c r="AA820" i="5" s="1"/>
  <c r="X794" i="2"/>
  <c r="Z828" i="1"/>
  <c r="Z794" i="2" s="1"/>
  <c r="X801" i="2"/>
  <c r="Z835" i="1"/>
  <c r="H804" i="2"/>
  <c r="H809" i="2" s="1"/>
  <c r="H838" i="4"/>
  <c r="X838" i="4" s="1"/>
  <c r="Z838" i="4" s="1"/>
  <c r="M838" i="1"/>
  <c r="M838" i="5" s="1"/>
  <c r="H844" i="1"/>
  <c r="X838" i="1"/>
  <c r="X844" i="1" s="1"/>
  <c r="V805" i="2"/>
  <c r="V840" i="4"/>
  <c r="W840" i="1"/>
  <c r="W840" i="5" s="1"/>
  <c r="W1234" i="2"/>
  <c r="W1297" i="4"/>
  <c r="M1236" i="2"/>
  <c r="M1299" i="4"/>
  <c r="AA1300" i="1"/>
  <c r="AA1299" i="5" s="1"/>
  <c r="W1261" i="2"/>
  <c r="W1324" i="4"/>
  <c r="AB1347" i="4"/>
  <c r="M1285" i="2"/>
  <c r="M1350" i="4"/>
  <c r="AA1351" i="1"/>
  <c r="AA1350" i="5" s="1"/>
  <c r="W1294" i="2"/>
  <c r="W1359" i="4"/>
  <c r="M1296" i="2"/>
  <c r="M1363" i="4"/>
  <c r="AA1364" i="1"/>
  <c r="AA1363" i="5" s="1"/>
  <c r="M1299" i="2"/>
  <c r="M1368" i="4"/>
  <c r="AA1369" i="1"/>
  <c r="AA1368" i="5" s="1"/>
  <c r="M1303" i="2"/>
  <c r="M1372" i="4"/>
  <c r="AA1373" i="1"/>
  <c r="AA1372" i="5" s="1"/>
  <c r="W927" i="2"/>
  <c r="W969" i="4"/>
  <c r="W1146" i="2"/>
  <c r="W1198" i="4"/>
  <c r="U1468" i="4"/>
  <c r="AA1469" i="1"/>
  <c r="AA1468" i="5" s="1"/>
  <c r="X1407" i="2"/>
  <c r="Z1484" i="1"/>
  <c r="Z1407" i="2" s="1"/>
  <c r="K2914" i="1"/>
  <c r="K2830" i="1"/>
  <c r="S640" i="4"/>
  <c r="S2907" i="4" s="1"/>
  <c r="F369" i="4"/>
  <c r="K1969" i="4"/>
  <c r="K2917" i="4" s="1"/>
  <c r="T125" i="2"/>
  <c r="T640" i="4"/>
  <c r="T2907" i="4" s="1"/>
  <c r="U1820" i="2"/>
  <c r="Q2250" i="2"/>
  <c r="O421" i="4"/>
  <c r="O2905" i="4" s="1"/>
  <c r="N640" i="4"/>
  <c r="N2907" i="4" s="1"/>
  <c r="X300" i="4"/>
  <c r="Z300" i="4" s="1"/>
  <c r="U2592" i="2"/>
  <c r="P320" i="2"/>
  <c r="X420" i="1"/>
  <c r="M2428" i="2"/>
  <c r="Z376" i="1"/>
  <c r="Z359" i="2" s="1"/>
  <c r="H583" i="2"/>
  <c r="P748" i="2"/>
  <c r="S2746" i="2"/>
  <c r="S2652" i="2"/>
  <c r="U2312" i="2"/>
  <c r="AA2300" i="2"/>
  <c r="AB2300" i="2" s="1"/>
  <c r="U2072" i="2"/>
  <c r="AA2064" i="2"/>
  <c r="AB2064" i="2" s="1"/>
  <c r="AB1972" i="2"/>
  <c r="Z2406" i="2"/>
  <c r="Z2428" i="2" s="1"/>
  <c r="X2428" i="2"/>
  <c r="AA60" i="2"/>
  <c r="AA64" i="4"/>
  <c r="AB64" i="1"/>
  <c r="AB64" i="5" s="1"/>
  <c r="P12" i="2"/>
  <c r="P21" i="2" s="1"/>
  <c r="P12" i="4"/>
  <c r="U12" i="1"/>
  <c r="U12" i="5" s="1"/>
  <c r="P22" i="1"/>
  <c r="V12" i="1"/>
  <c r="V12" i="5" s="1"/>
  <c r="V22" i="5" s="1"/>
  <c r="X12" i="1"/>
  <c r="X12" i="5" s="1"/>
  <c r="X327" i="2"/>
  <c r="Z341" i="1"/>
  <c r="Z327" i="2" s="1"/>
  <c r="AA166" i="2"/>
  <c r="AB174" i="1"/>
  <c r="AB174" i="5" s="1"/>
  <c r="AA174" i="4"/>
  <c r="J313" i="2"/>
  <c r="J326" i="4"/>
  <c r="M409" i="2"/>
  <c r="M427" i="4"/>
  <c r="AA428" i="1"/>
  <c r="AA427" i="5" s="1"/>
  <c r="AA464" i="2"/>
  <c r="AA484" i="4"/>
  <c r="AB485" i="1"/>
  <c r="AB484" i="5" s="1"/>
  <c r="X30" i="2"/>
  <c r="X31" i="4"/>
  <c r="Z31" i="1"/>
  <c r="Z31" i="5" s="1"/>
  <c r="Z258" i="2"/>
  <c r="Z269" i="4"/>
  <c r="M282" i="2"/>
  <c r="M294" i="4"/>
  <c r="AA295" i="1"/>
  <c r="AA294" i="5" s="1"/>
  <c r="Z773" i="2"/>
  <c r="V885" i="2"/>
  <c r="V928" i="4"/>
  <c r="W928" i="1"/>
  <c r="W928" i="5" s="1"/>
  <c r="AA1102" i="2"/>
  <c r="AA1152" i="4"/>
  <c r="AB1153" i="1"/>
  <c r="AB1152" i="5" s="1"/>
  <c r="AA27" i="2"/>
  <c r="AA28" i="4"/>
  <c r="AB28" i="1"/>
  <c r="AB28" i="5" s="1"/>
  <c r="AA203" i="2"/>
  <c r="AA212" i="4"/>
  <c r="AB212" i="1"/>
  <c r="AB212" i="5" s="1"/>
  <c r="V562" i="2"/>
  <c r="V583" i="4"/>
  <c r="AA577" i="2"/>
  <c r="AA601" i="4"/>
  <c r="AB600" i="1"/>
  <c r="AB601" i="5" s="1"/>
  <c r="U256" i="2"/>
  <c r="U267" i="4"/>
  <c r="V595" i="2"/>
  <c r="V619" i="4"/>
  <c r="W618" i="1"/>
  <c r="W619" i="5" s="1"/>
  <c r="Q1168" i="2"/>
  <c r="Q1222" i="4"/>
  <c r="J2086" i="4"/>
  <c r="J2116" i="1"/>
  <c r="J2177" i="4"/>
  <c r="AA2616" i="4"/>
  <c r="AB2624" i="1"/>
  <c r="AB2616" i="5" s="1"/>
  <c r="W842" i="2"/>
  <c r="W881" i="4"/>
  <c r="AA1310" i="2"/>
  <c r="AA1379" i="4"/>
  <c r="AB1380" i="1"/>
  <c r="AB1379" i="5" s="1"/>
  <c r="V1335" i="2"/>
  <c r="V1405" i="4"/>
  <c r="W1406" i="1"/>
  <c r="W1405" i="5" s="1"/>
  <c r="U150" i="2"/>
  <c r="U157" i="4"/>
  <c r="U166" i="1"/>
  <c r="AA157" i="1"/>
  <c r="AA157" i="5" s="1"/>
  <c r="AA361" i="2"/>
  <c r="AA377" i="4"/>
  <c r="AB378" i="1"/>
  <c r="AB377" i="5" s="1"/>
  <c r="H1208" i="2"/>
  <c r="H1267" i="4"/>
  <c r="X1267" i="4" s="1"/>
  <c r="Z1267" i="4" s="1"/>
  <c r="J1268" i="1"/>
  <c r="J1267" i="5" s="1"/>
  <c r="X1268" i="1"/>
  <c r="M1268" i="1"/>
  <c r="M1267" i="5" s="1"/>
  <c r="V1268" i="1"/>
  <c r="V1267" i="5" s="1"/>
  <c r="AB1886" i="2"/>
  <c r="AA1998" i="2"/>
  <c r="AA2466" i="2"/>
  <c r="M2468" i="2"/>
  <c r="U1904" i="2"/>
  <c r="AA1888" i="2"/>
  <c r="Z1804" i="2"/>
  <c r="X1820" i="2"/>
  <c r="AA2030" i="2"/>
  <c r="AB2030" i="2" s="1"/>
  <c r="U2052" i="2"/>
  <c r="AA2539" i="2"/>
  <c r="AB2539" i="2" s="1"/>
  <c r="U2549" i="2"/>
  <c r="Z2370" i="2"/>
  <c r="Z2382" i="2" s="1"/>
  <c r="X2382" i="2"/>
  <c r="Z2282" i="2"/>
  <c r="AB2534" i="2"/>
  <c r="Z1802" i="4"/>
  <c r="Z1969" i="4" s="1"/>
  <c r="Z2917" i="4" s="1"/>
  <c r="X1969" i="4"/>
  <c r="X2917" i="4" s="1"/>
  <c r="M222" i="2"/>
  <c r="M233" i="4"/>
  <c r="AA233" i="1"/>
  <c r="AA233" i="5" s="1"/>
  <c r="AB75" i="2"/>
  <c r="AB79" i="4"/>
  <c r="X413" i="2"/>
  <c r="X431" i="4"/>
  <c r="Z432" i="1"/>
  <c r="Z431" i="5" s="1"/>
  <c r="M1993" i="2"/>
  <c r="AA1993" i="2" s="1"/>
  <c r="AB1993" i="2" s="1"/>
  <c r="X1993" i="2"/>
  <c r="Z1993" i="2" s="1"/>
  <c r="J1993" i="2"/>
  <c r="J1995" i="2" s="1"/>
  <c r="H1995" i="2"/>
  <c r="W18" i="2"/>
  <c r="W18" i="4"/>
  <c r="W95" i="2"/>
  <c r="W100" i="4"/>
  <c r="AA2140" i="2"/>
  <c r="X76" i="2"/>
  <c r="Z80" i="1"/>
  <c r="Z76" i="2" s="1"/>
  <c r="X80" i="2"/>
  <c r="Z84" i="1"/>
  <c r="Z80" i="2" s="1"/>
  <c r="U90" i="2"/>
  <c r="U95" i="4"/>
  <c r="U107" i="1"/>
  <c r="AA95" i="1"/>
  <c r="AA95" i="5" s="1"/>
  <c r="M91" i="2"/>
  <c r="AA96" i="1"/>
  <c r="AA96" i="5" s="1"/>
  <c r="M107" i="1"/>
  <c r="M96" i="4"/>
  <c r="U92" i="2"/>
  <c r="U97" i="4"/>
  <c r="AA97" i="1"/>
  <c r="AA97" i="5" s="1"/>
  <c r="M93" i="2"/>
  <c r="M98" i="4"/>
  <c r="AA98" i="1"/>
  <c r="AA98" i="5" s="1"/>
  <c r="U94" i="2"/>
  <c r="U99" i="4"/>
  <c r="AA99" i="1"/>
  <c r="AA99" i="5" s="1"/>
  <c r="M95" i="2"/>
  <c r="M100" i="4"/>
  <c r="AA100" i="1"/>
  <c r="AA100" i="5" s="1"/>
  <c r="U96" i="2"/>
  <c r="U101" i="4"/>
  <c r="AA101" i="1"/>
  <c r="AA101" i="5" s="1"/>
  <c r="M97" i="2"/>
  <c r="M102" i="4"/>
  <c r="AA102" i="1"/>
  <c r="AA102" i="5" s="1"/>
  <c r="U98" i="2"/>
  <c r="U103" i="4"/>
  <c r="AA103" i="1"/>
  <c r="AA103" i="5" s="1"/>
  <c r="P163" i="2"/>
  <c r="P176" i="2" s="1"/>
  <c r="P171" i="4"/>
  <c r="X171" i="4" s="1"/>
  <c r="Z171" i="4" s="1"/>
  <c r="U171" i="1"/>
  <c r="U171" i="5" s="1"/>
  <c r="U184" i="5" s="1"/>
  <c r="P184" i="1"/>
  <c r="V171" i="1"/>
  <c r="V171" i="5" s="1"/>
  <c r="X171" i="1"/>
  <c r="K184" i="2"/>
  <c r="K192" i="4"/>
  <c r="Q192" i="1"/>
  <c r="Q192" i="5" s="1"/>
  <c r="AA234" i="2"/>
  <c r="AA244" i="4"/>
  <c r="AB245" i="1"/>
  <c r="AB244" i="5" s="1"/>
  <c r="X291" i="2"/>
  <c r="Z304" i="1"/>
  <c r="Z291" i="2" s="1"/>
  <c r="M364" i="2"/>
  <c r="M380" i="4"/>
  <c r="AA381" i="1"/>
  <c r="AA380" i="5" s="1"/>
  <c r="H374" i="2"/>
  <c r="H390" i="4"/>
  <c r="X390" i="4" s="1"/>
  <c r="Z390" i="4" s="1"/>
  <c r="X391" i="1"/>
  <c r="J391" i="1"/>
  <c r="J390" i="5" s="1"/>
  <c r="M391" i="1"/>
  <c r="M390" i="5" s="1"/>
  <c r="U385" i="2"/>
  <c r="U403" i="4"/>
  <c r="AA404" i="1"/>
  <c r="AA403" i="5" s="1"/>
  <c r="U394" i="2"/>
  <c r="U412" i="4"/>
  <c r="AA413" i="1"/>
  <c r="AA412" i="5" s="1"/>
  <c r="U397" i="2"/>
  <c r="U415" i="4"/>
  <c r="AA416" i="1"/>
  <c r="AA415" i="5" s="1"/>
  <c r="AA49" i="2"/>
  <c r="AA53" i="4"/>
  <c r="AB53" i="1"/>
  <c r="AB53" i="5" s="1"/>
  <c r="X54" i="2"/>
  <c r="Z58" i="1"/>
  <c r="Z54" i="2" s="1"/>
  <c r="U84" i="2"/>
  <c r="U89" i="4"/>
  <c r="AA89" i="1"/>
  <c r="AA89" i="5" s="1"/>
  <c r="M106" i="2"/>
  <c r="M112" i="4"/>
  <c r="AA112" i="1"/>
  <c r="AA112" i="5" s="1"/>
  <c r="AA114" i="2"/>
  <c r="AA120" i="4"/>
  <c r="AB120" i="1"/>
  <c r="AB120" i="5" s="1"/>
  <c r="X117" i="2"/>
  <c r="Z123" i="1"/>
  <c r="Z117" i="2" s="1"/>
  <c r="X145" i="2"/>
  <c r="X166" i="1"/>
  <c r="Z152" i="1"/>
  <c r="Z152" i="5" s="1"/>
  <c r="K2782" i="1"/>
  <c r="K2898" i="1"/>
  <c r="AB592" i="2"/>
  <c r="AB616" i="4"/>
  <c r="U81" i="2"/>
  <c r="U85" i="4"/>
  <c r="AA85" i="1"/>
  <c r="AA85" i="5" s="1"/>
  <c r="X130" i="2"/>
  <c r="X137" i="4"/>
  <c r="Z137" i="1"/>
  <c r="Z137" i="5" s="1"/>
  <c r="X149" i="1"/>
  <c r="X151" i="2"/>
  <c r="Z158" i="1"/>
  <c r="Z158" i="5" s="1"/>
  <c r="U153" i="2"/>
  <c r="U161" i="4"/>
  <c r="AA161" i="1"/>
  <c r="AA161" i="5" s="1"/>
  <c r="AA155" i="2"/>
  <c r="AA163" i="4"/>
  <c r="AB163" i="1"/>
  <c r="AB163" i="5" s="1"/>
  <c r="X171" i="2"/>
  <c r="Z179" i="1"/>
  <c r="Z171" i="2" s="1"/>
  <c r="AB293" i="2"/>
  <c r="AB305" i="4"/>
  <c r="AA398" i="2"/>
  <c r="AA416" i="4"/>
  <c r="AB417" i="1"/>
  <c r="AB416" i="5" s="1"/>
  <c r="V813" i="2"/>
  <c r="V848" i="4"/>
  <c r="W848" i="1"/>
  <c r="W848" i="5" s="1"/>
  <c r="V872" i="1"/>
  <c r="AA1062" i="2"/>
  <c r="AA1111" i="4"/>
  <c r="AB1112" i="1"/>
  <c r="AB1111" i="5" s="1"/>
  <c r="W151" i="2"/>
  <c r="W158" i="4"/>
  <c r="AB359" i="2"/>
  <c r="AB375" i="4"/>
  <c r="AA604" i="2"/>
  <c r="AA629" i="4"/>
  <c r="AB628" i="1"/>
  <c r="AB629" i="5" s="1"/>
  <c r="AA608" i="2"/>
  <c r="AA633" i="4"/>
  <c r="AB632" i="1"/>
  <c r="AB633" i="5" s="1"/>
  <c r="M630" i="2"/>
  <c r="M658" i="4"/>
  <c r="AA658" i="1"/>
  <c r="AA658" i="5" s="1"/>
  <c r="W630" i="2"/>
  <c r="W658" i="4"/>
  <c r="V646" i="2"/>
  <c r="V674" i="4"/>
  <c r="W674" i="1"/>
  <c r="W674" i="5" s="1"/>
  <c r="X647" i="2"/>
  <c r="Z675" i="1"/>
  <c r="Z647" i="2" s="1"/>
  <c r="U651" i="2"/>
  <c r="U679" i="4"/>
  <c r="AA679" i="1"/>
  <c r="AA679" i="5" s="1"/>
  <c r="U691" i="1"/>
  <c r="J652" i="2"/>
  <c r="J680" i="4"/>
  <c r="U657" i="2"/>
  <c r="U687" i="4"/>
  <c r="AA687" i="1"/>
  <c r="AA687" i="5" s="1"/>
  <c r="J658" i="2"/>
  <c r="J688" i="4"/>
  <c r="U659" i="2"/>
  <c r="U689" i="4"/>
  <c r="J666" i="2"/>
  <c r="J696" i="4"/>
  <c r="M669" i="2"/>
  <c r="M699" i="4"/>
  <c r="AA699" i="1"/>
  <c r="AA699" i="5" s="1"/>
  <c r="M670" i="2"/>
  <c r="M700" i="4"/>
  <c r="AA700" i="1"/>
  <c r="AA700" i="5" s="1"/>
  <c r="J691" i="2"/>
  <c r="J721" i="4"/>
  <c r="X707" i="2"/>
  <c r="Z738" i="1"/>
  <c r="Z707" i="2" s="1"/>
  <c r="U732" i="2"/>
  <c r="U763" i="4"/>
  <c r="AA763" i="1"/>
  <c r="AA763" i="5" s="1"/>
  <c r="W113" i="2"/>
  <c r="W119" i="4"/>
  <c r="X114" i="2"/>
  <c r="Z120" i="1"/>
  <c r="Z114" i="2" s="1"/>
  <c r="X131" i="2"/>
  <c r="X138" i="4"/>
  <c r="Z138" i="1"/>
  <c r="Z138" i="5" s="1"/>
  <c r="V664" i="2"/>
  <c r="V694" i="4"/>
  <c r="W694" i="1"/>
  <c r="W694" i="5" s="1"/>
  <c r="V714" i="1"/>
  <c r="V666" i="2"/>
  <c r="V696" i="4"/>
  <c r="W696" i="1"/>
  <c r="W696" i="5" s="1"/>
  <c r="M689" i="2"/>
  <c r="M719" i="4"/>
  <c r="AA719" i="1"/>
  <c r="AA719" i="5" s="1"/>
  <c r="V691" i="2"/>
  <c r="V721" i="4"/>
  <c r="W721" i="1"/>
  <c r="W721" i="5" s="1"/>
  <c r="M694" i="2"/>
  <c r="M724" i="4"/>
  <c r="AA724" i="1"/>
  <c r="AA724" i="5" s="1"/>
  <c r="X415" i="2"/>
  <c r="X433" i="4"/>
  <c r="Z434" i="1"/>
  <c r="Z433" i="5" s="1"/>
  <c r="X694" i="2"/>
  <c r="Z724" i="1"/>
  <c r="Z694" i="2" s="1"/>
  <c r="H701" i="2"/>
  <c r="H731" i="4"/>
  <c r="X731" i="4" s="1"/>
  <c r="Z731" i="4" s="1"/>
  <c r="X731" i="1"/>
  <c r="J731" i="1"/>
  <c r="J731" i="5" s="1"/>
  <c r="V731" i="1"/>
  <c r="V731" i="5" s="1"/>
  <c r="M731" i="1"/>
  <c r="M731" i="5" s="1"/>
  <c r="U702" i="2"/>
  <c r="U732" i="4"/>
  <c r="W705" i="2"/>
  <c r="W735" i="4"/>
  <c r="Q721" i="2"/>
  <c r="Q752" i="4"/>
  <c r="AA729" i="2"/>
  <c r="AA760" i="4"/>
  <c r="AB760" i="1"/>
  <c r="AB760" i="5" s="1"/>
  <c r="J730" i="2"/>
  <c r="J761" i="4"/>
  <c r="W766" i="4"/>
  <c r="W735" i="2"/>
  <c r="U738" i="2"/>
  <c r="U769" i="4"/>
  <c r="AA769" i="1"/>
  <c r="AA769" i="5" s="1"/>
  <c r="M743" i="2"/>
  <c r="M774" i="4"/>
  <c r="AA774" i="1"/>
  <c r="AA774" i="5" s="1"/>
  <c r="V746" i="2"/>
  <c r="V779" i="4"/>
  <c r="W779" i="1"/>
  <c r="W779" i="5" s="1"/>
  <c r="V762" i="2"/>
  <c r="V795" i="4"/>
  <c r="W795" i="1"/>
  <c r="W795" i="5" s="1"/>
  <c r="V763" i="2"/>
  <c r="V796" i="4"/>
  <c r="W796" i="1"/>
  <c r="W796" i="5" s="1"/>
  <c r="V766" i="2"/>
  <c r="V800" i="4"/>
  <c r="W800" i="1"/>
  <c r="W800" i="5" s="1"/>
  <c r="U774" i="2"/>
  <c r="U808" i="4"/>
  <c r="M793" i="2"/>
  <c r="M827" i="4"/>
  <c r="AA827" i="1"/>
  <c r="AA827" i="5" s="1"/>
  <c r="M844" i="1"/>
  <c r="J803" i="2"/>
  <c r="J837" i="4"/>
  <c r="W861" i="2"/>
  <c r="W901" i="4"/>
  <c r="V867" i="2"/>
  <c r="V907" i="4"/>
  <c r="W907" i="1"/>
  <c r="W907" i="5" s="1"/>
  <c r="U874" i="2"/>
  <c r="U917" i="4"/>
  <c r="AA917" i="1"/>
  <c r="AA917" i="5" s="1"/>
  <c r="Q876" i="2"/>
  <c r="Q919" i="4"/>
  <c r="M882" i="2"/>
  <c r="M925" i="4"/>
  <c r="AA925" i="1"/>
  <c r="AA925" i="5" s="1"/>
  <c r="U883" i="2"/>
  <c r="U926" i="4"/>
  <c r="H887" i="2"/>
  <c r="H930" i="4"/>
  <c r="X930" i="4" s="1"/>
  <c r="Z930" i="4" s="1"/>
  <c r="X930" i="1"/>
  <c r="J930" i="1"/>
  <c r="J930" i="5" s="1"/>
  <c r="M930" i="1"/>
  <c r="M930" i="5" s="1"/>
  <c r="V930" i="1"/>
  <c r="V930" i="5" s="1"/>
  <c r="J895" i="2"/>
  <c r="J938" i="4"/>
  <c r="X187" i="2"/>
  <c r="Z195" i="1"/>
  <c r="Z187" i="2" s="1"/>
  <c r="K202" i="2"/>
  <c r="K211" i="4"/>
  <c r="Q211" i="1"/>
  <c r="Q211" i="5" s="1"/>
  <c r="J1784" i="2"/>
  <c r="J1880" i="4"/>
  <c r="H2333" i="4"/>
  <c r="X2333" i="4" s="1"/>
  <c r="Z2333" i="4" s="1"/>
  <c r="J2339" i="1"/>
  <c r="X2339" i="1"/>
  <c r="Z2339" i="1" s="1"/>
  <c r="M2339" i="1"/>
  <c r="M2333" i="5" s="1"/>
  <c r="H2347" i="1"/>
  <c r="Q2419" i="4"/>
  <c r="Q2831" i="1"/>
  <c r="U2547" i="4"/>
  <c r="AA2555" i="1"/>
  <c r="AA2547" i="5" s="1"/>
  <c r="U2550" i="4"/>
  <c r="AA2558" i="1"/>
  <c r="AA2550" i="5" s="1"/>
  <c r="M2560" i="4"/>
  <c r="AA2568" i="1"/>
  <c r="AA2560" i="5" s="1"/>
  <c r="U2583" i="4"/>
  <c r="AA2591" i="1"/>
  <c r="AA2583" i="5" s="1"/>
  <c r="M2588" i="4"/>
  <c r="AA2596" i="1"/>
  <c r="AA2588" i="5" s="1"/>
  <c r="V2697" i="4"/>
  <c r="W2705" i="1"/>
  <c r="W1041" i="2"/>
  <c r="W1089" i="4"/>
  <c r="X1061" i="2"/>
  <c r="Z1111" i="1"/>
  <c r="Z1061" i="2" s="1"/>
  <c r="X1085" i="2"/>
  <c r="Z1136" i="1"/>
  <c r="Z1085" i="2" s="1"/>
  <c r="M1130" i="2"/>
  <c r="M1181" i="4"/>
  <c r="AA1182" i="1"/>
  <c r="AA1181" i="5" s="1"/>
  <c r="V1152" i="2"/>
  <c r="V1204" i="4"/>
  <c r="W1205" i="1"/>
  <c r="W1204" i="5" s="1"/>
  <c r="Z1158" i="2"/>
  <c r="Z1212" i="4"/>
  <c r="W1176" i="2"/>
  <c r="W1230" i="4"/>
  <c r="M1178" i="2"/>
  <c r="M1232" i="4"/>
  <c r="AA1233" i="1"/>
  <c r="AA1232" i="5" s="1"/>
  <c r="AA557" i="2"/>
  <c r="AA578" i="4"/>
  <c r="AB577" i="1"/>
  <c r="AB578" i="5" s="1"/>
  <c r="AA825" i="2"/>
  <c r="AA860" i="4"/>
  <c r="AB860" i="1"/>
  <c r="AB860" i="5" s="1"/>
  <c r="AA978" i="2"/>
  <c r="AA1023" i="4"/>
  <c r="AB1024" i="1"/>
  <c r="AB1023" i="5" s="1"/>
  <c r="X1024" i="2"/>
  <c r="Z1072" i="1"/>
  <c r="Z1024" i="2" s="1"/>
  <c r="U1029" i="2"/>
  <c r="U1076" i="4"/>
  <c r="AA1077" i="1"/>
  <c r="AA1076" i="5" s="1"/>
  <c r="X1031" i="2"/>
  <c r="Z1079" i="1"/>
  <c r="Z1031" i="2" s="1"/>
  <c r="X1177" i="2"/>
  <c r="Z1232" i="1"/>
  <c r="Z1231" i="5" s="1"/>
  <c r="Z1713" i="2"/>
  <c r="N1466" i="2"/>
  <c r="N2734" i="2" s="1"/>
  <c r="G237" i="4"/>
  <c r="G2903" i="4" s="1"/>
  <c r="S615" i="2"/>
  <c r="T918" i="2"/>
  <c r="T2730" i="2" s="1"/>
  <c r="O1137" i="2"/>
  <c r="O2732" i="2" s="1"/>
  <c r="I1190" i="4"/>
  <c r="I2911" i="4" s="1"/>
  <c r="Q2118" i="2"/>
  <c r="U2572" i="2"/>
  <c r="J640" i="4"/>
  <c r="J2907" i="4" s="1"/>
  <c r="P199" i="2"/>
  <c r="P268" i="2"/>
  <c r="U268" i="2" s="1"/>
  <c r="F299" i="2"/>
  <c r="J1739" i="4"/>
  <c r="J2915" i="4" s="1"/>
  <c r="E268" i="2"/>
  <c r="E299" i="2"/>
  <c r="P380" i="2"/>
  <c r="U2531" i="2"/>
  <c r="U399" i="1"/>
  <c r="P158" i="2"/>
  <c r="L2294" i="4"/>
  <c r="L2921" i="4" s="1"/>
  <c r="P142" i="2"/>
  <c r="X908" i="4"/>
  <c r="Z908" i="4" s="1"/>
  <c r="X1222" i="4"/>
  <c r="X681" i="4"/>
  <c r="Z681" i="4" s="1"/>
  <c r="X765" i="4"/>
  <c r="Z765" i="4" s="1"/>
  <c r="X929" i="4"/>
  <c r="Z929" i="4" s="1"/>
  <c r="I961" i="4"/>
  <c r="I2909" i="4" s="1"/>
  <c r="X1025" i="4"/>
  <c r="Z1025" i="4" s="1"/>
  <c r="X1059" i="4"/>
  <c r="Z1059" i="4" s="1"/>
  <c r="F1784" i="4"/>
  <c r="AA1871" i="2"/>
  <c r="M1883" i="2"/>
  <c r="AA2254" i="2"/>
  <c r="AB2254" i="2" s="1"/>
  <c r="M2130" i="2"/>
  <c r="AA2130" i="2" s="1"/>
  <c r="X2130" i="2"/>
  <c r="Z2130" i="2" s="1"/>
  <c r="J2130" i="2"/>
  <c r="J2137" i="2" s="1"/>
  <c r="P2901" i="4"/>
  <c r="K1137" i="2"/>
  <c r="K2732" i="2" s="1"/>
  <c r="M184" i="2"/>
  <c r="AA192" i="1"/>
  <c r="AA192" i="5" s="1"/>
  <c r="M192" i="4"/>
  <c r="I194" i="2"/>
  <c r="I203" i="4"/>
  <c r="K203" i="1"/>
  <c r="K203" i="5" s="1"/>
  <c r="Z256" i="2"/>
  <c r="Z267" i="4"/>
  <c r="X347" i="2"/>
  <c r="Z364" i="1"/>
  <c r="Z347" i="2" s="1"/>
  <c r="M205" i="2"/>
  <c r="M214" i="4"/>
  <c r="AA214" i="1"/>
  <c r="AA214" i="5" s="1"/>
  <c r="AB297" i="2"/>
  <c r="AB310" i="4"/>
  <c r="U314" i="2"/>
  <c r="U327" i="4"/>
  <c r="AA328" i="1"/>
  <c r="AA327" i="5" s="1"/>
  <c r="U208" i="2"/>
  <c r="U217" i="4"/>
  <c r="U235" i="1"/>
  <c r="M375" i="2"/>
  <c r="M391" i="4"/>
  <c r="AA392" i="1"/>
  <c r="AA391" i="5" s="1"/>
  <c r="Z369" i="4"/>
  <c r="X421" i="4"/>
  <c r="X2905" i="4" s="1"/>
  <c r="X37" i="2"/>
  <c r="X41" i="4"/>
  <c r="Z41" i="1"/>
  <c r="Z41" i="5" s="1"/>
  <c r="V50" i="2"/>
  <c r="V54" i="4"/>
  <c r="W54" i="1"/>
  <c r="W54" i="5" s="1"/>
  <c r="V61" i="2"/>
  <c r="V65" i="4"/>
  <c r="W65" i="1"/>
  <c r="W65" i="5" s="1"/>
  <c r="J277" i="2"/>
  <c r="J289" i="4"/>
  <c r="X360" i="2"/>
  <c r="Z377" i="1"/>
  <c r="Z360" i="2" s="1"/>
  <c r="Z793" i="2"/>
  <c r="AA926" i="2"/>
  <c r="AA968" i="4"/>
  <c r="AB969" i="1"/>
  <c r="AB968" i="5" s="1"/>
  <c r="X561" i="2"/>
  <c r="Z581" i="1"/>
  <c r="Z561" i="2" s="1"/>
  <c r="Q701" i="2"/>
  <c r="Q731" i="4"/>
  <c r="AB472" i="2"/>
  <c r="AB492" i="4"/>
  <c r="M245" i="2"/>
  <c r="M255" i="4"/>
  <c r="AA256" i="1"/>
  <c r="AA255" i="5" s="1"/>
  <c r="AB560" i="2"/>
  <c r="AB581" i="4"/>
  <c r="U1125" i="2"/>
  <c r="U1176" i="4"/>
  <c r="V1154" i="2"/>
  <c r="V1206" i="4"/>
  <c r="W1207" i="1"/>
  <c r="W1206" i="5" s="1"/>
  <c r="J642" i="2"/>
  <c r="J670" i="4"/>
  <c r="H2122" i="4"/>
  <c r="X2122" i="4" s="1"/>
  <c r="M2126" i="1"/>
  <c r="M2122" i="5" s="1"/>
  <c r="J2126" i="1"/>
  <c r="X2126" i="1"/>
  <c r="Z2126" i="1" s="1"/>
  <c r="H2142" i="1"/>
  <c r="J2142" i="4"/>
  <c r="U2747" i="4"/>
  <c r="AA2755" i="1"/>
  <c r="AA2747" i="5" s="1"/>
  <c r="X821" i="2"/>
  <c r="Z856" i="1"/>
  <c r="Z821" i="2" s="1"/>
  <c r="M840" i="2"/>
  <c r="M879" i="4"/>
  <c r="AA879" i="1"/>
  <c r="AA879" i="5" s="1"/>
  <c r="U842" i="2"/>
  <c r="U881" i="4"/>
  <c r="AA881" i="1"/>
  <c r="AA881" i="5" s="1"/>
  <c r="U863" i="2"/>
  <c r="U903" i="4"/>
  <c r="W1312" i="2"/>
  <c r="W1381" i="4"/>
  <c r="U1327" i="2"/>
  <c r="U1397" i="4"/>
  <c r="Z1169" i="2"/>
  <c r="Z1223" i="4"/>
  <c r="M1194" i="2"/>
  <c r="M1253" i="4"/>
  <c r="AA1254" i="1"/>
  <c r="AA1253" i="5" s="1"/>
  <c r="Q1224" i="2"/>
  <c r="Q1287" i="4"/>
  <c r="X2096" i="2"/>
  <c r="Z2075" i="2"/>
  <c r="Z2096" i="2" s="1"/>
  <c r="Z2099" i="2"/>
  <c r="Z2118" i="2" s="1"/>
  <c r="X2118" i="2"/>
  <c r="Z2122" i="2"/>
  <c r="X2137" i="2"/>
  <c r="AA1978" i="2"/>
  <c r="AB1978" i="2" s="1"/>
  <c r="U1995" i="2"/>
  <c r="M2592" i="2"/>
  <c r="AA2575" i="2"/>
  <c r="W1958" i="2"/>
  <c r="V1965" i="2"/>
  <c r="AB1758" i="4"/>
  <c r="G1969" i="4"/>
  <c r="G2917" i="4" s="1"/>
  <c r="Z1987" i="4"/>
  <c r="Z2081" i="4" s="1"/>
  <c r="Z2919" i="4" s="1"/>
  <c r="X2081" i="4"/>
  <c r="X2919" i="4" s="1"/>
  <c r="AA2312" i="2"/>
  <c r="AB2297" i="2"/>
  <c r="AB2312" i="2" s="1"/>
  <c r="V32" i="2"/>
  <c r="V33" i="4"/>
  <c r="W33" i="1"/>
  <c r="W33" i="5" s="1"/>
  <c r="V133" i="2"/>
  <c r="W140" i="1"/>
  <c r="W140" i="5" s="1"/>
  <c r="V140" i="4"/>
  <c r="U246" i="2"/>
  <c r="U256" i="4"/>
  <c r="AA257" i="1"/>
  <c r="AA256" i="5" s="1"/>
  <c r="AA30" i="2"/>
  <c r="AA31" i="4"/>
  <c r="AB31" i="1"/>
  <c r="AB31" i="5" s="1"/>
  <c r="U15" i="2"/>
  <c r="U15" i="4"/>
  <c r="AA15" i="1"/>
  <c r="AA15" i="5" s="1"/>
  <c r="M16" i="2"/>
  <c r="M16" i="4"/>
  <c r="AA16" i="1"/>
  <c r="AA16" i="5" s="1"/>
  <c r="U17" i="2"/>
  <c r="U17" i="4"/>
  <c r="AA17" i="1"/>
  <c r="AA17" i="5" s="1"/>
  <c r="M18" i="2"/>
  <c r="M18" i="4"/>
  <c r="AA18" i="1"/>
  <c r="AA18" i="5" s="1"/>
  <c r="U19" i="4"/>
  <c r="AA19" i="1"/>
  <c r="AA19" i="5" s="1"/>
  <c r="V38" i="2"/>
  <c r="V42" i="4"/>
  <c r="W42" i="1"/>
  <c r="W42" i="5" s="1"/>
  <c r="AB111" i="2"/>
  <c r="AB117" i="4"/>
  <c r="H174" i="2"/>
  <c r="H176" i="2" s="1"/>
  <c r="H182" i="4"/>
  <c r="X182" i="4" s="1"/>
  <c r="Z182" i="4" s="1"/>
  <c r="X182" i="1"/>
  <c r="M182" i="1"/>
  <c r="M182" i="5" s="1"/>
  <c r="V182" i="1"/>
  <c r="V182" i="5" s="1"/>
  <c r="H184" i="1"/>
  <c r="X186" i="2"/>
  <c r="Z194" i="1"/>
  <c r="Z186" i="2" s="1"/>
  <c r="M197" i="2"/>
  <c r="M206" i="4"/>
  <c r="AA206" i="1"/>
  <c r="AA206" i="5" s="1"/>
  <c r="J235" i="2"/>
  <c r="J245" i="4"/>
  <c r="U242" i="2"/>
  <c r="U252" i="4"/>
  <c r="Q244" i="2"/>
  <c r="Q254" i="4"/>
  <c r="U261" i="2"/>
  <c r="U272" i="4"/>
  <c r="AA273" i="1"/>
  <c r="AA272" i="5" s="1"/>
  <c r="AA262" i="2"/>
  <c r="AA273" i="4"/>
  <c r="AB274" i="1"/>
  <c r="AB273" i="5" s="1"/>
  <c r="J265" i="2"/>
  <c r="J277" i="4"/>
  <c r="AA276" i="2"/>
  <c r="AA288" i="4"/>
  <c r="AB289" i="1"/>
  <c r="AB288" i="5" s="1"/>
  <c r="M362" i="2"/>
  <c r="M378" i="4"/>
  <c r="AA379" i="1"/>
  <c r="AA378" i="5" s="1"/>
  <c r="U367" i="2"/>
  <c r="U383" i="4"/>
  <c r="AA384" i="1"/>
  <c r="AA383" i="5" s="1"/>
  <c r="AA373" i="2"/>
  <c r="AA389" i="4"/>
  <c r="AB390" i="1"/>
  <c r="AB389" i="5" s="1"/>
  <c r="X391" i="2"/>
  <c r="Z410" i="1"/>
  <c r="Z409" i="5" s="1"/>
  <c r="M393" i="2"/>
  <c r="M411" i="4"/>
  <c r="AA412" i="1"/>
  <c r="AA411" i="5" s="1"/>
  <c r="Z411" i="2"/>
  <c r="Z429" i="4"/>
  <c r="AA439" i="4"/>
  <c r="AB440" i="1"/>
  <c r="AA28" i="2"/>
  <c r="AA29" i="4"/>
  <c r="AB29" i="1"/>
  <c r="AB29" i="5" s="1"/>
  <c r="M183" i="2"/>
  <c r="M191" i="4"/>
  <c r="AA191" i="1"/>
  <c r="AA191" i="5" s="1"/>
  <c r="AA241" i="2"/>
  <c r="AA251" i="4"/>
  <c r="AB252" i="1"/>
  <c r="AB251" i="5" s="1"/>
  <c r="AA244" i="2"/>
  <c r="AA254" i="4"/>
  <c r="AB255" i="1"/>
  <c r="AB254" i="5" s="1"/>
  <c r="AA520" i="2"/>
  <c r="AA539" i="4"/>
  <c r="AB540" i="1"/>
  <c r="AB539" i="5" s="1"/>
  <c r="AA594" i="2"/>
  <c r="AA618" i="4"/>
  <c r="AB617" i="1"/>
  <c r="AB618" i="5" s="1"/>
  <c r="V675" i="2"/>
  <c r="V705" i="4"/>
  <c r="W705" i="1"/>
  <c r="W705" i="5" s="1"/>
  <c r="AA709" i="2"/>
  <c r="AA740" i="4"/>
  <c r="AB740" i="1"/>
  <c r="AB740" i="5" s="1"/>
  <c r="V745" i="2"/>
  <c r="V778" i="4"/>
  <c r="W778" i="1"/>
  <c r="W778" i="5" s="1"/>
  <c r="V872" i="2"/>
  <c r="V912" i="4"/>
  <c r="W912" i="1"/>
  <c r="W912" i="5" s="1"/>
  <c r="AB194" i="2"/>
  <c r="AB203" i="4"/>
  <c r="J260" i="2"/>
  <c r="J271" i="4"/>
  <c r="J281" i="1"/>
  <c r="AA433" i="2"/>
  <c r="AA453" i="4"/>
  <c r="AB454" i="1"/>
  <c r="AB453" i="5" s="1"/>
  <c r="AA50" i="2"/>
  <c r="AA54" i="4"/>
  <c r="AB54" i="1"/>
  <c r="AB54" i="5" s="1"/>
  <c r="V166" i="2"/>
  <c r="W174" i="1"/>
  <c r="W174" i="5" s="1"/>
  <c r="V174" i="4"/>
  <c r="X173" i="2"/>
  <c r="Z181" i="1"/>
  <c r="Z173" i="2" s="1"/>
  <c r="X184" i="2"/>
  <c r="Z192" i="1"/>
  <c r="Z184" i="2" s="1"/>
  <c r="X387" i="2"/>
  <c r="Z406" i="1"/>
  <c r="Z405" i="5" s="1"/>
  <c r="AA458" i="2"/>
  <c r="AA478" i="4"/>
  <c r="AB479" i="1"/>
  <c r="AB478" i="5" s="1"/>
  <c r="AA498" i="2"/>
  <c r="AA518" i="4"/>
  <c r="AB519" i="1"/>
  <c r="AB518" i="5" s="1"/>
  <c r="AA511" i="2"/>
  <c r="AA531" i="4"/>
  <c r="AB532" i="1"/>
  <c r="AB531" i="5" s="1"/>
  <c r="V522" i="2"/>
  <c r="V541" i="4"/>
  <c r="W542" i="1"/>
  <c r="W541" i="5" s="1"/>
  <c r="X529" i="2"/>
  <c r="Z549" i="1"/>
  <c r="V58" i="2"/>
  <c r="V62" i="4"/>
  <c r="W62" i="1"/>
  <c r="W62" i="5" s="1"/>
  <c r="F2898" i="1"/>
  <c r="M73" i="2"/>
  <c r="M77" i="4"/>
  <c r="AA77" i="1"/>
  <c r="AA77" i="5" s="1"/>
  <c r="V152" i="2"/>
  <c r="V159" i="4"/>
  <c r="W159" i="1"/>
  <c r="W159" i="5" s="1"/>
  <c r="V546" i="2"/>
  <c r="V567" i="4"/>
  <c r="W566" i="1"/>
  <c r="W567" i="5" s="1"/>
  <c r="AA210" i="2"/>
  <c r="AA219" i="4"/>
  <c r="AB219" i="1"/>
  <c r="AB219" i="5" s="1"/>
  <c r="U836" i="2"/>
  <c r="U875" i="4"/>
  <c r="AA875" i="1"/>
  <c r="AA875" i="5" s="1"/>
  <c r="U895" i="1"/>
  <c r="W846" i="2"/>
  <c r="W885" i="4"/>
  <c r="U852" i="2"/>
  <c r="U892" i="4"/>
  <c r="X853" i="2"/>
  <c r="Z893" i="1"/>
  <c r="Z853" i="2" s="1"/>
  <c r="H864" i="2"/>
  <c r="H904" i="4"/>
  <c r="X904" i="4" s="1"/>
  <c r="Z904" i="4" s="1"/>
  <c r="X904" i="1"/>
  <c r="J904" i="1"/>
  <c r="J904" i="5" s="1"/>
  <c r="M904" i="1"/>
  <c r="M904" i="5" s="1"/>
  <c r="M922" i="5" s="1"/>
  <c r="V904" i="1"/>
  <c r="V904" i="5" s="1"/>
  <c r="V922" i="5" s="1"/>
  <c r="U1035" i="2"/>
  <c r="U1083" i="4"/>
  <c r="AA1084" i="1"/>
  <c r="AA1083" i="5" s="1"/>
  <c r="M1041" i="2"/>
  <c r="M1089" i="4"/>
  <c r="M1107" i="1"/>
  <c r="AA1090" i="1"/>
  <c r="AA1089" i="5" s="1"/>
  <c r="U1042" i="2"/>
  <c r="U1090" i="4"/>
  <c r="U1107" i="1"/>
  <c r="AA1091" i="1"/>
  <c r="AA1090" i="5" s="1"/>
  <c r="M1043" i="2"/>
  <c r="M1091" i="4"/>
  <c r="AA1092" i="1"/>
  <c r="AA1091" i="5" s="1"/>
  <c r="U1044" i="2"/>
  <c r="U1092" i="4"/>
  <c r="AA1093" i="1"/>
  <c r="AA1092" i="5" s="1"/>
  <c r="M1045" i="2"/>
  <c r="M1093" i="4"/>
  <c r="AA1094" i="1"/>
  <c r="AA1093" i="5" s="1"/>
  <c r="U1046" i="2"/>
  <c r="U1094" i="4"/>
  <c r="AA1095" i="1"/>
  <c r="AA1094" i="5" s="1"/>
  <c r="M1047" i="2"/>
  <c r="M1095" i="4"/>
  <c r="AA1096" i="1"/>
  <c r="AA1095" i="5" s="1"/>
  <c r="U1048" i="2"/>
  <c r="U1096" i="4"/>
  <c r="AA1097" i="1"/>
  <c r="AA1096" i="5" s="1"/>
  <c r="M1049" i="2"/>
  <c r="M1097" i="4"/>
  <c r="AA1098" i="1"/>
  <c r="AA1097" i="5" s="1"/>
  <c r="U1050" i="2"/>
  <c r="U1098" i="4"/>
  <c r="AA1099" i="1"/>
  <c r="AA1098" i="5" s="1"/>
  <c r="U1051" i="2"/>
  <c r="U1099" i="4"/>
  <c r="AA1100" i="1"/>
  <c r="AA1099" i="5" s="1"/>
  <c r="M1052" i="2"/>
  <c r="M1100" i="4"/>
  <c r="AA1101" i="1"/>
  <c r="AA1100" i="5" s="1"/>
  <c r="U1053" i="2"/>
  <c r="U1101" i="4"/>
  <c r="AA1102" i="1"/>
  <c r="AA1101" i="5" s="1"/>
  <c r="M1240" i="4"/>
  <c r="AA1241" i="1"/>
  <c r="AA1240" i="5" s="1"/>
  <c r="J1202" i="2"/>
  <c r="J1261" i="4"/>
  <c r="H1239" i="2"/>
  <c r="H1302" i="4"/>
  <c r="X1302" i="4" s="1"/>
  <c r="Z1302" i="4" s="1"/>
  <c r="X1303" i="1"/>
  <c r="M1303" i="1"/>
  <c r="M1302" i="5" s="1"/>
  <c r="V1303" i="1"/>
  <c r="V1302" i="5" s="1"/>
  <c r="J1263" i="2"/>
  <c r="J1326" i="4"/>
  <c r="H1903" i="4"/>
  <c r="X1903" i="4" s="1"/>
  <c r="Z1903" i="4" s="1"/>
  <c r="J1907" i="1"/>
  <c r="J1903" i="5" s="1"/>
  <c r="X1907" i="1"/>
  <c r="H1926" i="1"/>
  <c r="M1907" i="1"/>
  <c r="M1903" i="5" s="1"/>
  <c r="H1908" i="4"/>
  <c r="X1908" i="4" s="1"/>
  <c r="Z1908" i="4" s="1"/>
  <c r="J1912" i="1"/>
  <c r="X1912" i="1"/>
  <c r="Z1912" i="1" s="1"/>
  <c r="M1912" i="1"/>
  <c r="M1908" i="5" s="1"/>
  <c r="U1912" i="4"/>
  <c r="AA1916" i="1"/>
  <c r="AA1912" i="5" s="1"/>
  <c r="J1954" i="4"/>
  <c r="J1967" i="4" s="1"/>
  <c r="J1971" i="1"/>
  <c r="M1976" i="4"/>
  <c r="AA1980" i="1"/>
  <c r="AA1976" i="5" s="1"/>
  <c r="M1980" i="4"/>
  <c r="AA1984" i="1"/>
  <c r="AA1980" i="5" s="1"/>
  <c r="M1984" i="4"/>
  <c r="AA1988" i="1"/>
  <c r="AA1984" i="5" s="1"/>
  <c r="U2741" i="4"/>
  <c r="AA2749" i="1"/>
  <c r="AA2741" i="5" s="1"/>
  <c r="AA31" i="2"/>
  <c r="AA32" i="4"/>
  <c r="AB32" i="1"/>
  <c r="AB32" i="5" s="1"/>
  <c r="X67" i="2"/>
  <c r="X92" i="1"/>
  <c r="Z71" i="1"/>
  <c r="AA109" i="2"/>
  <c r="AA115" i="4"/>
  <c r="AB115" i="1"/>
  <c r="AB115" i="5" s="1"/>
  <c r="M113" i="2"/>
  <c r="M119" i="4"/>
  <c r="AA119" i="1"/>
  <c r="AA119" i="5" s="1"/>
  <c r="AA118" i="2"/>
  <c r="AA124" i="4"/>
  <c r="AB124" i="1"/>
  <c r="AB124" i="5" s="1"/>
  <c r="V553" i="2"/>
  <c r="V574" i="4"/>
  <c r="W573" i="1"/>
  <c r="W574" i="5" s="1"/>
  <c r="X556" i="2"/>
  <c r="Z576" i="1"/>
  <c r="Z556" i="2" s="1"/>
  <c r="M636" i="2"/>
  <c r="M664" i="4"/>
  <c r="AA664" i="1"/>
  <c r="AA664" i="5" s="1"/>
  <c r="U773" i="2"/>
  <c r="U807" i="4"/>
  <c r="U823" i="1"/>
  <c r="V816" i="4"/>
  <c r="W816" i="1"/>
  <c r="W816" i="5" s="1"/>
  <c r="V782" i="2"/>
  <c r="W784" i="2"/>
  <c r="W818" i="4"/>
  <c r="AA1085" i="2"/>
  <c r="AA1135" i="4"/>
  <c r="AB1136" i="1"/>
  <c r="AB1135" i="5" s="1"/>
  <c r="M51" i="2"/>
  <c r="M55" i="4"/>
  <c r="AA55" i="1"/>
  <c r="AA55" i="5" s="1"/>
  <c r="X105" i="2"/>
  <c r="Z111" i="1"/>
  <c r="Z105" i="2" s="1"/>
  <c r="Z234" i="2"/>
  <c r="Z244" i="4"/>
  <c r="AA890" i="2"/>
  <c r="AA933" i="4"/>
  <c r="AB933" i="1"/>
  <c r="AB933" i="5" s="1"/>
  <c r="V498" i="2"/>
  <c r="V518" i="4"/>
  <c r="W519" i="1"/>
  <c r="W518" i="5" s="1"/>
  <c r="M508" i="2"/>
  <c r="M528" i="4"/>
  <c r="AA529" i="1"/>
  <c r="AA528" i="5" s="1"/>
  <c r="V519" i="2"/>
  <c r="V538" i="4"/>
  <c r="W539" i="1"/>
  <c r="W538" i="5" s="1"/>
  <c r="V546" i="1"/>
  <c r="V540" i="2"/>
  <c r="V542" i="2" s="1"/>
  <c r="V561" i="4"/>
  <c r="V563" i="4" s="1"/>
  <c r="W560" i="1"/>
  <c r="W561" i="5" s="1"/>
  <c r="W563" i="5" s="1"/>
  <c r="V562" i="1"/>
  <c r="V1360" i="2"/>
  <c r="V1431" i="4"/>
  <c r="W1432" i="1"/>
  <c r="W1431" i="5" s="1"/>
  <c r="AA2015" i="4"/>
  <c r="AB2019" i="1"/>
  <c r="AB2015" i="5" s="1"/>
  <c r="W1603" i="2"/>
  <c r="W1695" i="4"/>
  <c r="X1242" i="4"/>
  <c r="O403" i="2"/>
  <c r="O2726" i="2" s="1"/>
  <c r="R615" i="2"/>
  <c r="M1820" i="2"/>
  <c r="Q2137" i="2"/>
  <c r="W2592" i="2"/>
  <c r="K640" i="4"/>
  <c r="K2907" i="4" s="1"/>
  <c r="X2072" i="2"/>
  <c r="U2188" i="2"/>
  <c r="I640" i="4"/>
  <c r="I2907" i="4" s="1"/>
  <c r="J237" i="4"/>
  <c r="J2903" i="4" s="1"/>
  <c r="R2081" i="4"/>
  <c r="R2919" i="4" s="1"/>
  <c r="I421" i="4"/>
  <c r="I2905" i="4" s="1"/>
  <c r="X1904" i="2"/>
  <c r="N1739" i="4"/>
  <c r="N2915" i="4" s="1"/>
  <c r="U208" i="1"/>
  <c r="X388" i="4"/>
  <c r="Z388" i="4" s="1"/>
  <c r="U583" i="2"/>
  <c r="U420" i="1"/>
  <c r="X542" i="4"/>
  <c r="Z542" i="4" s="1"/>
  <c r="X1432" i="2"/>
  <c r="Z1510" i="1"/>
  <c r="Z1432" i="2" s="1"/>
  <c r="V1480" i="2"/>
  <c r="V1555" i="4"/>
  <c r="W1558" i="1"/>
  <c r="W1555" i="5" s="1"/>
  <c r="V1505" i="2"/>
  <c r="V1581" i="4"/>
  <c r="W1584" i="1"/>
  <c r="W1581" i="5" s="1"/>
  <c r="M1533" i="2"/>
  <c r="M1612" i="4"/>
  <c r="AA1615" i="1"/>
  <c r="AA1612" i="5" s="1"/>
  <c r="AA1564" i="2"/>
  <c r="AA1647" i="4"/>
  <c r="AB1650" i="1"/>
  <c r="AB1647" i="5" s="1"/>
  <c r="V2052" i="4"/>
  <c r="W2056" i="1"/>
  <c r="V1559" i="2"/>
  <c r="V1642" i="4"/>
  <c r="W1645" i="1"/>
  <c r="W1642" i="5" s="1"/>
  <c r="V1662" i="1"/>
  <c r="M576" i="2"/>
  <c r="M600" i="4"/>
  <c r="AA599" i="1"/>
  <c r="AA600" i="5" s="1"/>
  <c r="M606" i="1"/>
  <c r="J622" i="2"/>
  <c r="J650" i="4"/>
  <c r="V783" i="2"/>
  <c r="V817" i="4"/>
  <c r="W817" i="1"/>
  <c r="W817" i="5" s="1"/>
  <c r="W845" i="2"/>
  <c r="W884" i="4"/>
  <c r="V873" i="2"/>
  <c r="V914" i="4"/>
  <c r="W914" i="1"/>
  <c r="W914" i="5" s="1"/>
  <c r="Z937" i="2"/>
  <c r="Z979" i="4"/>
  <c r="AA1250" i="2"/>
  <c r="AA1313" i="4"/>
  <c r="AB1314" i="1"/>
  <c r="AB1313" i="5" s="1"/>
  <c r="M1251" i="2"/>
  <c r="M1314" i="4"/>
  <c r="AA1315" i="1"/>
  <c r="AA1314" i="5" s="1"/>
  <c r="X1267" i="2"/>
  <c r="Z1331" i="1"/>
  <c r="Z1267" i="2" s="1"/>
  <c r="W1337" i="2"/>
  <c r="W1407" i="4"/>
  <c r="J1366" i="2"/>
  <c r="J1437" i="4"/>
  <c r="U1388" i="2"/>
  <c r="U1460" i="4"/>
  <c r="AA1483" i="2"/>
  <c r="AA1558" i="4"/>
  <c r="AB1561" i="1"/>
  <c r="AB1558" i="5" s="1"/>
  <c r="V1551" i="2"/>
  <c r="V1633" i="4"/>
  <c r="W1636" i="1"/>
  <c r="W1633" i="5" s="1"/>
  <c r="U1770" i="4"/>
  <c r="U1679" i="2"/>
  <c r="U1788" i="1"/>
  <c r="U1713" i="2"/>
  <c r="U1805" i="4"/>
  <c r="U1824" i="1"/>
  <c r="M1720" i="2"/>
  <c r="M1812" i="4"/>
  <c r="AA1816" i="1"/>
  <c r="AA1812" i="5" s="1"/>
  <c r="AA1931" i="4"/>
  <c r="AB1935" i="1"/>
  <c r="Z2072" i="1"/>
  <c r="AW2866" i="1"/>
  <c r="M2254" i="4"/>
  <c r="AA2258" i="1"/>
  <c r="AA2254" i="5" s="1"/>
  <c r="M2308" i="4"/>
  <c r="AA2314" i="1"/>
  <c r="AA2308" i="5" s="1"/>
  <c r="AA2362" i="4"/>
  <c r="AB2368" i="1"/>
  <c r="U2370" i="4"/>
  <c r="U2382" i="4" s="1"/>
  <c r="U2388" i="1"/>
  <c r="AA2376" i="1"/>
  <c r="AA2370" i="5" s="1"/>
  <c r="AA2382" i="5" s="1"/>
  <c r="AA2379" i="4"/>
  <c r="AB2385" i="1"/>
  <c r="U2599" i="4"/>
  <c r="AA2607" i="1"/>
  <c r="AA2599" i="5" s="1"/>
  <c r="X674" i="2"/>
  <c r="Z704" i="1"/>
  <c r="Z674" i="2" s="1"/>
  <c r="U1593" i="2"/>
  <c r="U1682" i="4"/>
  <c r="U1700" i="1"/>
  <c r="M1658" i="2"/>
  <c r="M1749" i="4"/>
  <c r="AA1753" i="1"/>
  <c r="AA1749" i="5" s="1"/>
  <c r="AA1716" i="2"/>
  <c r="AA1808" i="4"/>
  <c r="AB1812" i="1"/>
  <c r="AB1808" i="5" s="1"/>
  <c r="M2145" i="4"/>
  <c r="AA2149" i="1"/>
  <c r="AA2145" i="5" s="1"/>
  <c r="M2197" i="4"/>
  <c r="AA2201" i="1"/>
  <c r="AA2197" i="5" s="1"/>
  <c r="M2331" i="4"/>
  <c r="AA2337" i="1"/>
  <c r="AA2331" i="5" s="1"/>
  <c r="H1466" i="4"/>
  <c r="X1466" i="4" s="1"/>
  <c r="Z1466" i="4" s="1"/>
  <c r="M1467" i="1"/>
  <c r="M1466" i="5" s="1"/>
  <c r="X1467" i="1"/>
  <c r="Z1467" i="1" s="1"/>
  <c r="V1467" i="1"/>
  <c r="X1577" i="2"/>
  <c r="Z1666" i="1"/>
  <c r="Z1663" i="5" s="1"/>
  <c r="X760" i="2"/>
  <c r="Z793" i="1"/>
  <c r="Z760" i="2" s="1"/>
  <c r="V865" i="2"/>
  <c r="V905" i="4"/>
  <c r="W905" i="1"/>
  <c r="W905" i="5" s="1"/>
  <c r="U889" i="2"/>
  <c r="U932" i="4"/>
  <c r="AA932" i="1"/>
  <c r="AA932" i="5" s="1"/>
  <c r="AA961" i="2"/>
  <c r="AA1004" i="4"/>
  <c r="AB1005" i="1"/>
  <c r="AB1004" i="5" s="1"/>
  <c r="M977" i="2"/>
  <c r="M1022" i="4"/>
  <c r="AA1023" i="1"/>
  <c r="AA1022" i="5" s="1"/>
  <c r="X1182" i="2"/>
  <c r="Z1242" i="1"/>
  <c r="Z1241" i="5" s="1"/>
  <c r="J1252" i="2"/>
  <c r="J1315" i="4"/>
  <c r="V1258" i="2"/>
  <c r="V1321" i="4"/>
  <c r="W1322" i="1"/>
  <c r="W1321" i="5" s="1"/>
  <c r="U1332" i="4"/>
  <c r="AA1333" i="1"/>
  <c r="AA1332" i="5" s="1"/>
  <c r="W1289" i="2"/>
  <c r="W1354" i="4"/>
  <c r="H1297" i="2"/>
  <c r="H1366" i="4"/>
  <c r="X1366" i="4" s="1"/>
  <c r="Z1366" i="4" s="1"/>
  <c r="M1367" i="1"/>
  <c r="M1366" i="5" s="1"/>
  <c r="J1367" i="1"/>
  <c r="J1366" i="5" s="1"/>
  <c r="X1367" i="1"/>
  <c r="V1367" i="1"/>
  <c r="V1366" i="5" s="1"/>
  <c r="W1317" i="2"/>
  <c r="W1386" i="4"/>
  <c r="W1330" i="2"/>
  <c r="W1400" i="4"/>
  <c r="U1353" i="2"/>
  <c r="U1423" i="4"/>
  <c r="V1579" i="2"/>
  <c r="V2646" i="2" s="1"/>
  <c r="V1665" i="4"/>
  <c r="W1668" i="1"/>
  <c r="W1665" i="5" s="1"/>
  <c r="V1583" i="2"/>
  <c r="V2650" i="2" s="1"/>
  <c r="V1669" i="4"/>
  <c r="W1672" i="1"/>
  <c r="W1669" i="5" s="1"/>
  <c r="V1585" i="2"/>
  <c r="V1672" i="4"/>
  <c r="W1675" i="1"/>
  <c r="W1672" i="5" s="1"/>
  <c r="M1674" i="2"/>
  <c r="M1765" i="4"/>
  <c r="AA1769" i="1"/>
  <c r="AA1765" i="5" s="1"/>
  <c r="M1785" i="2"/>
  <c r="M1881" i="4"/>
  <c r="AA1885" i="1"/>
  <c r="AA1881" i="5" s="1"/>
  <c r="AA1957" i="4"/>
  <c r="M1962" i="4"/>
  <c r="AA1966" i="1"/>
  <c r="AA1962" i="5" s="1"/>
  <c r="X1977" i="4"/>
  <c r="Z1981" i="1"/>
  <c r="V2042" i="4"/>
  <c r="W2046" i="1"/>
  <c r="M2045" i="4"/>
  <c r="AA2049" i="1"/>
  <c r="AA2045" i="5" s="1"/>
  <c r="AA2089" i="4"/>
  <c r="AB2093" i="1"/>
  <c r="X2097" i="4"/>
  <c r="Z2101" i="1"/>
  <c r="AA2285" i="4"/>
  <c r="AB2289" i="1"/>
  <c r="J2321" i="4"/>
  <c r="M2376" i="4"/>
  <c r="AA2382" i="1"/>
  <c r="AA2376" i="5" s="1"/>
  <c r="M2380" i="4"/>
  <c r="AA2386" i="1"/>
  <c r="AA2380" i="5" s="1"/>
  <c r="W1070" i="2"/>
  <c r="W1119" i="4"/>
  <c r="M1128" i="2"/>
  <c r="M1179" i="4"/>
  <c r="AA1180" i="1"/>
  <c r="AA1179" i="5" s="1"/>
  <c r="AB1145" i="2"/>
  <c r="AB1197" i="4"/>
  <c r="AA1673" i="2"/>
  <c r="AA1764" i="4"/>
  <c r="AB1768" i="1"/>
  <c r="AB1764" i="5" s="1"/>
  <c r="X1699" i="2"/>
  <c r="Z1794" i="1"/>
  <c r="Z1699" i="2" s="1"/>
  <c r="V1985" i="4"/>
  <c r="W1989" i="1"/>
  <c r="AA2809" i="1"/>
  <c r="AA1577" i="2"/>
  <c r="AA1663" i="4"/>
  <c r="AB1666" i="1"/>
  <c r="AB1663" i="5" s="1"/>
  <c r="H1278" i="4"/>
  <c r="X1278" i="4" s="1"/>
  <c r="Z1278" i="4" s="1"/>
  <c r="M1279" i="1"/>
  <c r="M1278" i="5" s="1"/>
  <c r="X1279" i="1"/>
  <c r="Z1279" i="1" s="1"/>
  <c r="X1371" i="2"/>
  <c r="Z1443" i="1"/>
  <c r="Z1371" i="2" s="1"/>
  <c r="U1405" i="2"/>
  <c r="U1481" i="4"/>
  <c r="J1447" i="2"/>
  <c r="J1524" i="4"/>
  <c r="Z1601" i="2"/>
  <c r="Z1690" i="4"/>
  <c r="Z1671" i="2"/>
  <c r="Z1762" i="4"/>
  <c r="AA1797" i="2"/>
  <c r="AA1896" i="4"/>
  <c r="AB1900" i="1"/>
  <c r="AB1896" i="5" s="1"/>
  <c r="M2467" i="4"/>
  <c r="AA2475" i="1"/>
  <c r="AA2467" i="5" s="1"/>
  <c r="V2484" i="4"/>
  <c r="W2492" i="1"/>
  <c r="M2720" i="4"/>
  <c r="AA2728" i="1"/>
  <c r="AA2720" i="5" s="1"/>
  <c r="X2669" i="4"/>
  <c r="Z2677" i="1"/>
  <c r="V1553" i="2"/>
  <c r="V1635" i="4"/>
  <c r="W1638" i="1"/>
  <c r="W1635" i="5" s="1"/>
  <c r="X1636" i="2"/>
  <c r="Z1731" i="1"/>
  <c r="Z1728" i="5" s="1"/>
  <c r="V2702" i="4"/>
  <c r="W2710" i="1"/>
  <c r="AB739" i="2"/>
  <c r="AB770" i="4"/>
  <c r="M1131" i="2"/>
  <c r="M1182" i="4"/>
  <c r="AA1183" i="1"/>
  <c r="AA1182" i="5" s="1"/>
  <c r="V1235" i="2"/>
  <c r="V1298" i="4"/>
  <c r="W1299" i="1"/>
  <c r="W1298" i="5" s="1"/>
  <c r="M1300" i="2"/>
  <c r="M1369" i="4"/>
  <c r="AA1370" i="1"/>
  <c r="AA1369" i="5" s="1"/>
  <c r="Z1518" i="2"/>
  <c r="Z1596" i="4"/>
  <c r="W1596" i="2"/>
  <c r="W1685" i="4"/>
  <c r="M1640" i="2"/>
  <c r="M1732" i="4"/>
  <c r="AA1735" i="1"/>
  <c r="AA1732" i="5" s="1"/>
  <c r="J1726" i="2"/>
  <c r="J1818" i="4"/>
  <c r="Z2472" i="1"/>
  <c r="X2464" i="4"/>
  <c r="M2475" i="4"/>
  <c r="AA2483" i="1"/>
  <c r="AA2475" i="5" s="1"/>
  <c r="X2581" i="4"/>
  <c r="Z2589" i="1"/>
  <c r="Z2624" i="1"/>
  <c r="Z2616" i="5" s="1"/>
  <c r="X2643" i="1"/>
  <c r="M2670" i="4"/>
  <c r="AA2678" i="1"/>
  <c r="AA2670" i="5" s="1"/>
  <c r="M2666" i="4"/>
  <c r="AA2674" i="1"/>
  <c r="AA2666" i="5" s="1"/>
  <c r="X1689" i="2"/>
  <c r="Z1784" i="1"/>
  <c r="Z1689" i="2" s="1"/>
  <c r="M1906" i="4"/>
  <c r="AA1910" i="1"/>
  <c r="AA1906" i="5" s="1"/>
  <c r="AB2821" i="1"/>
  <c r="Z1950" i="2"/>
  <c r="Z1965" i="2" s="1"/>
  <c r="X1965" i="2"/>
  <c r="J2215" i="2"/>
  <c r="J2235" i="2" s="1"/>
  <c r="M2215" i="2"/>
  <c r="H2235" i="2"/>
  <c r="X2215" i="2"/>
  <c r="AA2072" i="2"/>
  <c r="AB2055" i="2"/>
  <c r="AB2072" i="2" s="1"/>
  <c r="M2505" i="2"/>
  <c r="H2509" i="2"/>
  <c r="H2511" i="2" s="1"/>
  <c r="H2748" i="2" s="1"/>
  <c r="X2505" i="2"/>
  <c r="Z2505" i="2" s="1"/>
  <c r="X2489" i="2"/>
  <c r="Z2472" i="2"/>
  <c r="Z2489" i="2" s="1"/>
  <c r="M181" i="2"/>
  <c r="M189" i="4"/>
  <c r="AA189" i="1"/>
  <c r="AA189" i="5" s="1"/>
  <c r="AA1908" i="2"/>
  <c r="AA79" i="2"/>
  <c r="AA83" i="4"/>
  <c r="AB83" i="1"/>
  <c r="AB83" i="5" s="1"/>
  <c r="AA358" i="4"/>
  <c r="AB359" i="1"/>
  <c r="V110" i="2"/>
  <c r="V116" i="4"/>
  <c r="W116" i="1"/>
  <c r="W116" i="5" s="1"/>
  <c r="I212" i="2"/>
  <c r="I221" i="4"/>
  <c r="K221" i="1"/>
  <c r="K221" i="5" s="1"/>
  <c r="M232" i="2"/>
  <c r="M242" i="4"/>
  <c r="AA243" i="1"/>
  <c r="AA242" i="5" s="1"/>
  <c r="Q246" i="2"/>
  <c r="Q256" i="4"/>
  <c r="U323" i="2"/>
  <c r="U336" i="4"/>
  <c r="U370" i="1"/>
  <c r="AA337" i="1"/>
  <c r="AA336" i="5" s="1"/>
  <c r="M328" i="2"/>
  <c r="AA342" i="1"/>
  <c r="AA341" i="5" s="1"/>
  <c r="M341" i="4"/>
  <c r="H341" i="2"/>
  <c r="M356" i="1"/>
  <c r="M355" i="5" s="1"/>
  <c r="H355" i="4"/>
  <c r="X355" i="4" s="1"/>
  <c r="Z355" i="4" s="1"/>
  <c r="X356" i="1"/>
  <c r="M390" i="2"/>
  <c r="M408" i="4"/>
  <c r="AA409" i="1"/>
  <c r="AA408" i="5" s="1"/>
  <c r="V419" i="2"/>
  <c r="V437" i="4"/>
  <c r="W438" i="1"/>
  <c r="W437" i="5" s="1"/>
  <c r="X25" i="2"/>
  <c r="X26" i="4"/>
  <c r="Z26" i="1"/>
  <c r="Z26" i="5" s="1"/>
  <c r="X45" i="1"/>
  <c r="U38" i="2"/>
  <c r="U42" i="4"/>
  <c r="X83" i="2"/>
  <c r="Z88" i="1"/>
  <c r="Z83" i="2" s="1"/>
  <c r="V106" i="2"/>
  <c r="V112" i="4"/>
  <c r="W112" i="1"/>
  <c r="W112" i="5" s="1"/>
  <c r="AB127" i="1"/>
  <c r="AA127" i="4"/>
  <c r="J285" i="2"/>
  <c r="J297" i="4"/>
  <c r="U340" i="2"/>
  <c r="U353" i="4"/>
  <c r="AA354" i="1"/>
  <c r="AA353" i="5" s="1"/>
  <c r="J369" i="2"/>
  <c r="J385" i="4"/>
  <c r="J365" i="2"/>
  <c r="J381" i="4"/>
  <c r="X13" i="2"/>
  <c r="X13" i="4"/>
  <c r="Z13" i="1"/>
  <c r="Z13" i="5" s="1"/>
  <c r="M68" i="2"/>
  <c r="M72" i="4"/>
  <c r="M92" i="1"/>
  <c r="AA72" i="1"/>
  <c r="AA72" i="5" s="1"/>
  <c r="AA171" i="2"/>
  <c r="AA179" i="4"/>
  <c r="AB179" i="1"/>
  <c r="AB179" i="5" s="1"/>
  <c r="AA202" i="4"/>
  <c r="AB202" i="1"/>
  <c r="X244" i="2"/>
  <c r="X254" i="4"/>
  <c r="Z255" i="1"/>
  <c r="Z254" i="5" s="1"/>
  <c r="M248" i="2"/>
  <c r="M259" i="4"/>
  <c r="AA260" i="1"/>
  <c r="AA259" i="5" s="1"/>
  <c r="Z271" i="2"/>
  <c r="AB325" i="2"/>
  <c r="AB338" i="4"/>
  <c r="J371" i="2"/>
  <c r="J387" i="4"/>
  <c r="W46" i="2"/>
  <c r="W50" i="4"/>
  <c r="U50" i="2"/>
  <c r="U54" i="4"/>
  <c r="U61" i="2"/>
  <c r="U65" i="4"/>
  <c r="V112" i="2"/>
  <c r="V118" i="4"/>
  <c r="W118" i="1"/>
  <c r="W118" i="5" s="1"/>
  <c r="M151" i="2"/>
  <c r="M158" i="4"/>
  <c r="AA158" i="1"/>
  <c r="AA158" i="5" s="1"/>
  <c r="X167" i="2"/>
  <c r="Z175" i="1"/>
  <c r="Z167" i="2" s="1"/>
  <c r="K205" i="2"/>
  <c r="K214" i="4"/>
  <c r="Q214" i="1"/>
  <c r="Q214" i="5" s="1"/>
  <c r="X208" i="2"/>
  <c r="Z217" i="1"/>
  <c r="Z208" i="2" s="1"/>
  <c r="AA354" i="4"/>
  <c r="AB355" i="1"/>
  <c r="M408" i="2"/>
  <c r="M426" i="4"/>
  <c r="M447" i="1"/>
  <c r="U45" i="2"/>
  <c r="U49" i="4"/>
  <c r="U68" i="1"/>
  <c r="M350" i="2"/>
  <c r="M366" i="4"/>
  <c r="AA367" i="1"/>
  <c r="AA366" i="5" s="1"/>
  <c r="X432" i="2"/>
  <c r="Z453" i="1"/>
  <c r="Z452" i="5" s="1"/>
  <c r="V435" i="2"/>
  <c r="V455" i="4"/>
  <c r="W456" i="1"/>
  <c r="W455" i="5" s="1"/>
  <c r="X442" i="2"/>
  <c r="Z463" i="1"/>
  <c r="Z442" i="2" s="1"/>
  <c r="V445" i="2"/>
  <c r="V465" i="4"/>
  <c r="W466" i="1"/>
  <c r="W465" i="5" s="1"/>
  <c r="M647" i="2"/>
  <c r="M675" i="4"/>
  <c r="AA675" i="1"/>
  <c r="AA675" i="5" s="1"/>
  <c r="Q668" i="2"/>
  <c r="Q698" i="4"/>
  <c r="Q714" i="1"/>
  <c r="M678" i="2"/>
  <c r="M708" i="4"/>
  <c r="AA708" i="1"/>
  <c r="AA708" i="5" s="1"/>
  <c r="M698" i="2"/>
  <c r="M728" i="4"/>
  <c r="AA728" i="1"/>
  <c r="AA728" i="5" s="1"/>
  <c r="U730" i="2"/>
  <c r="U761" i="4"/>
  <c r="K2850" i="1"/>
  <c r="K2904" i="1"/>
  <c r="M2672" i="2"/>
  <c r="AA2672" i="2" s="1"/>
  <c r="AB2672" i="2" s="1"/>
  <c r="X2672" i="2"/>
  <c r="Z2672" i="2" s="1"/>
  <c r="X31" i="2"/>
  <c r="X32" i="4"/>
  <c r="Z32" i="1"/>
  <c r="Z32" i="5" s="1"/>
  <c r="X35" i="2"/>
  <c r="X36" i="4"/>
  <c r="Z36" i="1"/>
  <c r="Z36" i="5" s="1"/>
  <c r="U77" i="2"/>
  <c r="U81" i="4"/>
  <c r="M119" i="2"/>
  <c r="M125" i="4"/>
  <c r="AA125" i="1"/>
  <c r="AA125" i="5" s="1"/>
  <c r="V173" i="2"/>
  <c r="V181" i="4"/>
  <c r="M275" i="4"/>
  <c r="AA276" i="1"/>
  <c r="AA275" i="5" s="1"/>
  <c r="M274" i="2"/>
  <c r="M286" i="4"/>
  <c r="AA287" i="1"/>
  <c r="AA286" i="5" s="1"/>
  <c r="X358" i="2"/>
  <c r="Z375" i="1"/>
  <c r="Z358" i="2" s="1"/>
  <c r="AA2695" i="1"/>
  <c r="AA2687" i="5" s="1"/>
  <c r="U2687" i="4"/>
  <c r="U2712" i="1"/>
  <c r="AB2359" i="2"/>
  <c r="AB2367" i="2" s="1"/>
  <c r="AA2367" i="2"/>
  <c r="AB1950" i="2"/>
  <c r="AB1965" i="2" s="1"/>
  <c r="AA1965" i="2"/>
  <c r="M2004" i="2"/>
  <c r="AA2004" i="2" s="1"/>
  <c r="AB2004" i="2" s="1"/>
  <c r="X2004" i="2"/>
  <c r="Z2004" i="2" s="1"/>
  <c r="J2004" i="2"/>
  <c r="J2021" i="2" s="1"/>
  <c r="AA2075" i="2"/>
  <c r="M2096" i="2"/>
  <c r="M2118" i="2"/>
  <c r="AA2099" i="2"/>
  <c r="J2146" i="2"/>
  <c r="X2146" i="2"/>
  <c r="Z2146" i="2" s="1"/>
  <c r="Z2165" i="2" s="1"/>
  <c r="M2146" i="2"/>
  <c r="AA2146" i="2" s="1"/>
  <c r="AB2146" i="2" s="1"/>
  <c r="G1865" i="2"/>
  <c r="G2738" i="2" s="1"/>
  <c r="AB1850" i="2"/>
  <c r="AB2493" i="2"/>
  <c r="AA2191" i="2"/>
  <c r="M2250" i="2"/>
  <c r="AA2238" i="2"/>
  <c r="X2531" i="2"/>
  <c r="Z2516" i="2"/>
  <c r="Z2531" i="2" s="1"/>
  <c r="X1847" i="2"/>
  <c r="Z1823" i="2"/>
  <c r="Z1847" i="2" s="1"/>
  <c r="W2472" i="2"/>
  <c r="W2489" i="2" s="1"/>
  <c r="V2489" i="2"/>
  <c r="Z2024" i="2"/>
  <c r="Z2052" i="2" s="1"/>
  <c r="X2052" i="2"/>
  <c r="AA2338" i="2"/>
  <c r="AB2321" i="2"/>
  <c r="AB2338" i="2" s="1"/>
  <c r="X2592" i="2"/>
  <c r="Z2575" i="2"/>
  <c r="Z2592" i="2" s="1"/>
  <c r="M2356" i="2"/>
  <c r="AA2341" i="2"/>
  <c r="AA26" i="2"/>
  <c r="AA27" i="4"/>
  <c r="AB27" i="1"/>
  <c r="AB27" i="5" s="1"/>
  <c r="AB87" i="1"/>
  <c r="X1927" i="2"/>
  <c r="Z1908" i="2"/>
  <c r="Z1927" i="2" s="1"/>
  <c r="V19" i="2"/>
  <c r="V20" i="4"/>
  <c r="W20" i="1"/>
  <c r="W20" i="5" s="1"/>
  <c r="AA69" i="2"/>
  <c r="AA73" i="4"/>
  <c r="AB73" i="1"/>
  <c r="AB73" i="5" s="1"/>
  <c r="AA325" i="2"/>
  <c r="AA338" i="4"/>
  <c r="M357" i="2"/>
  <c r="M373" i="4"/>
  <c r="AA374" i="1"/>
  <c r="AA373" i="5" s="1"/>
  <c r="AA2175" i="2"/>
  <c r="AB2175" i="2" s="1"/>
  <c r="M2188" i="2"/>
  <c r="V28" i="2"/>
  <c r="V29" i="4"/>
  <c r="W29" i="1"/>
  <c r="W29" i="5" s="1"/>
  <c r="X38" i="4"/>
  <c r="Z38" i="1"/>
  <c r="M85" i="2"/>
  <c r="M90" i="4"/>
  <c r="AA90" i="1"/>
  <c r="AA90" i="5" s="1"/>
  <c r="AA137" i="2"/>
  <c r="AA144" i="4"/>
  <c r="AB144" i="1"/>
  <c r="AB144" i="5" s="1"/>
  <c r="X165" i="2"/>
  <c r="Z173" i="1"/>
  <c r="Z165" i="2" s="1"/>
  <c r="X169" i="2"/>
  <c r="Z177" i="1"/>
  <c r="Z169" i="2" s="1"/>
  <c r="U183" i="2"/>
  <c r="U191" i="4"/>
  <c r="I186" i="2"/>
  <c r="K194" i="1"/>
  <c r="K194" i="5" s="1"/>
  <c r="I194" i="4"/>
  <c r="I208" i="1"/>
  <c r="I237" i="1" s="1"/>
  <c r="U197" i="2"/>
  <c r="U206" i="4"/>
  <c r="I208" i="2"/>
  <c r="I217" i="4"/>
  <c r="K217" i="1"/>
  <c r="K217" i="5" s="1"/>
  <c r="Q221" i="2"/>
  <c r="Q232" i="4"/>
  <c r="R232" i="1"/>
  <c r="R232" i="5" s="1"/>
  <c r="H242" i="2"/>
  <c r="H250" i="2" s="1"/>
  <c r="H252" i="4"/>
  <c r="J253" i="1"/>
  <c r="M253" i="1"/>
  <c r="M252" i="5" s="1"/>
  <c r="H262" i="1"/>
  <c r="X253" i="1"/>
  <c r="X252" i="5" s="1"/>
  <c r="J272" i="2"/>
  <c r="J284" i="4"/>
  <c r="AA273" i="2"/>
  <c r="AA285" i="4"/>
  <c r="AB286" i="1"/>
  <c r="AB285" i="5" s="1"/>
  <c r="U290" i="2"/>
  <c r="U302" i="4"/>
  <c r="U305" i="2"/>
  <c r="U318" i="4"/>
  <c r="AA319" i="1"/>
  <c r="AA318" i="5" s="1"/>
  <c r="M309" i="2"/>
  <c r="M322" i="4"/>
  <c r="AA323" i="1"/>
  <c r="AA322" i="5" s="1"/>
  <c r="J347" i="2"/>
  <c r="J363" i="4"/>
  <c r="U348" i="2"/>
  <c r="U364" i="4"/>
  <c r="AA365" i="1"/>
  <c r="AA364" i="5" s="1"/>
  <c r="AA351" i="2"/>
  <c r="AA367" i="4"/>
  <c r="AB368" i="1"/>
  <c r="AB367" i="5" s="1"/>
  <c r="AA383" i="2"/>
  <c r="AA401" i="4"/>
  <c r="AB402" i="1"/>
  <c r="AB401" i="5" s="1"/>
  <c r="AA413" i="2"/>
  <c r="AA431" i="4"/>
  <c r="AB432" i="1"/>
  <c r="AB431" i="5" s="1"/>
  <c r="AA34" i="2"/>
  <c r="AA35" i="4"/>
  <c r="AB35" i="1"/>
  <c r="AB35" i="5" s="1"/>
  <c r="AA112" i="2"/>
  <c r="AA118" i="4"/>
  <c r="AB118" i="1"/>
  <c r="AB118" i="5" s="1"/>
  <c r="AA170" i="2"/>
  <c r="AB178" i="1"/>
  <c r="AB178" i="5" s="1"/>
  <c r="AA178" i="4"/>
  <c r="V15" i="2"/>
  <c r="V15" i="4"/>
  <c r="W15" i="1"/>
  <c r="W15" i="5" s="1"/>
  <c r="V17" i="2"/>
  <c r="V17" i="4"/>
  <c r="W17" i="1"/>
  <c r="W17" i="5" s="1"/>
  <c r="V19" i="4"/>
  <c r="W19" i="1"/>
  <c r="X19" i="2"/>
  <c r="X20" i="4"/>
  <c r="Z20" i="1"/>
  <c r="Z20" i="5" s="1"/>
  <c r="X49" i="2"/>
  <c r="Z53" i="1"/>
  <c r="Z49" i="2" s="1"/>
  <c r="X53" i="2"/>
  <c r="Z57" i="1"/>
  <c r="Z53" i="2" s="1"/>
  <c r="X57" i="2"/>
  <c r="Z61" i="1"/>
  <c r="Z57" i="2" s="1"/>
  <c r="X71" i="2"/>
  <c r="Z75" i="1"/>
  <c r="Z71" i="2" s="1"/>
  <c r="V75" i="2"/>
  <c r="V79" i="4"/>
  <c r="V79" i="2"/>
  <c r="V2618" i="2" s="1"/>
  <c r="V83" i="4"/>
  <c r="W83" i="1"/>
  <c r="W83" i="5" s="1"/>
  <c r="V2783" i="1"/>
  <c r="V87" i="4"/>
  <c r="W87" i="1"/>
  <c r="V90" i="2"/>
  <c r="V95" i="4"/>
  <c r="V107" i="1"/>
  <c r="W95" i="1"/>
  <c r="W95" i="5" s="1"/>
  <c r="V2848" i="1"/>
  <c r="X91" i="2"/>
  <c r="Z96" i="1"/>
  <c r="Z91" i="2" s="1"/>
  <c r="V92" i="2"/>
  <c r="V97" i="4"/>
  <c r="W97" i="1"/>
  <c r="W97" i="5" s="1"/>
  <c r="X93" i="2"/>
  <c r="Z98" i="1"/>
  <c r="Z93" i="2" s="1"/>
  <c r="V94" i="2"/>
  <c r="V99" i="4"/>
  <c r="W99" i="1"/>
  <c r="W99" i="5" s="1"/>
  <c r="X95" i="2"/>
  <c r="Z100" i="1"/>
  <c r="Z95" i="2" s="1"/>
  <c r="V96" i="2"/>
  <c r="V101" i="4"/>
  <c r="W101" i="1"/>
  <c r="W101" i="5" s="1"/>
  <c r="X97" i="2"/>
  <c r="Z102" i="1"/>
  <c r="Z97" i="2" s="1"/>
  <c r="X98" i="2"/>
  <c r="Z103" i="1"/>
  <c r="Z98" i="2" s="1"/>
  <c r="U137" i="2"/>
  <c r="U144" i="4"/>
  <c r="M138" i="2"/>
  <c r="M145" i="4"/>
  <c r="AA145" i="1"/>
  <c r="AA145" i="5" s="1"/>
  <c r="U139" i="2"/>
  <c r="U146" i="4"/>
  <c r="AA146" i="1"/>
  <c r="AA146" i="5" s="1"/>
  <c r="X140" i="2"/>
  <c r="X147" i="4"/>
  <c r="Z147" i="1"/>
  <c r="Z147" i="5" s="1"/>
  <c r="K182" i="2"/>
  <c r="K190" i="4"/>
  <c r="Q190" i="1"/>
  <c r="Q190" i="5" s="1"/>
  <c r="K215" i="2"/>
  <c r="K224" i="4"/>
  <c r="Q224" i="1"/>
  <c r="Q224" i="5" s="1"/>
  <c r="Z239" i="2"/>
  <c r="Z249" i="4"/>
  <c r="J256" i="2"/>
  <c r="J267" i="4"/>
  <c r="AA257" i="2"/>
  <c r="AA268" i="4"/>
  <c r="AB269" i="1"/>
  <c r="AB268" i="5" s="1"/>
  <c r="X266" i="2"/>
  <c r="Z279" i="1"/>
  <c r="Z278" i="5" s="1"/>
  <c r="H278" i="2"/>
  <c r="H290" i="4"/>
  <c r="X290" i="4" s="1"/>
  <c r="Z290" i="4" s="1"/>
  <c r="J291" i="1"/>
  <c r="J290" i="5" s="1"/>
  <c r="X291" i="1"/>
  <c r="M291" i="1"/>
  <c r="M290" i="5" s="1"/>
  <c r="M312" i="5" s="1"/>
  <c r="J279" i="2"/>
  <c r="J291" i="4"/>
  <c r="U280" i="2"/>
  <c r="U292" i="4"/>
  <c r="AA293" i="1"/>
  <c r="AA292" i="5" s="1"/>
  <c r="J291" i="2"/>
  <c r="J303" i="4"/>
  <c r="M313" i="2"/>
  <c r="M326" i="4"/>
  <c r="AA327" i="1"/>
  <c r="AA326" i="5" s="1"/>
  <c r="X314" i="2"/>
  <c r="Z328" i="1"/>
  <c r="Z314" i="2" s="1"/>
  <c r="X336" i="2"/>
  <c r="Z350" i="1"/>
  <c r="Z336" i="2" s="1"/>
  <c r="U357" i="4"/>
  <c r="AA358" i="1"/>
  <c r="AA357" i="5" s="1"/>
  <c r="X367" i="2"/>
  <c r="Z384" i="1"/>
  <c r="Z367" i="2" s="1"/>
  <c r="U392" i="2"/>
  <c r="AA411" i="1"/>
  <c r="AA410" i="5" s="1"/>
  <c r="U410" i="4"/>
  <c r="X418" i="2"/>
  <c r="X436" i="4"/>
  <c r="Z437" i="1"/>
  <c r="Z436" i="5" s="1"/>
  <c r="U112" i="2"/>
  <c r="U118" i="4"/>
  <c r="M211" i="2"/>
  <c r="M220" i="4"/>
  <c r="AA220" i="1"/>
  <c r="AA220" i="5" s="1"/>
  <c r="Z254" i="2"/>
  <c r="Z265" i="4"/>
  <c r="H303" i="2"/>
  <c r="M317" i="1"/>
  <c r="M316" i="5" s="1"/>
  <c r="M333" i="5" s="1"/>
  <c r="J317" i="1"/>
  <c r="J316" i="5" s="1"/>
  <c r="X317" i="1"/>
  <c r="H334" i="1"/>
  <c r="H316" i="4"/>
  <c r="X316" i="4" s="1"/>
  <c r="Z316" i="4" s="1"/>
  <c r="W409" i="2"/>
  <c r="W427" i="4"/>
  <c r="X2552" i="2"/>
  <c r="M2552" i="2"/>
  <c r="H2572" i="2"/>
  <c r="H2594" i="2" s="1"/>
  <c r="H2750" i="2" s="1"/>
  <c r="X2750" i="2" s="1"/>
  <c r="V2552" i="2"/>
  <c r="U13" i="2"/>
  <c r="U13" i="4"/>
  <c r="X34" i="2"/>
  <c r="X35" i="4"/>
  <c r="Z35" i="1"/>
  <c r="Z35" i="5" s="1"/>
  <c r="X40" i="4"/>
  <c r="Z40" i="1"/>
  <c r="U54" i="2"/>
  <c r="U58" i="4"/>
  <c r="X68" i="2"/>
  <c r="Z72" i="1"/>
  <c r="Z68" i="2" s="1"/>
  <c r="V84" i="2"/>
  <c r="V89" i="4"/>
  <c r="W89" i="1"/>
  <c r="W89" i="5" s="1"/>
  <c r="V121" i="2"/>
  <c r="V128" i="4"/>
  <c r="W128" i="1"/>
  <c r="W128" i="5" s="1"/>
  <c r="X155" i="2"/>
  <c r="Z163" i="1"/>
  <c r="Z163" i="5" s="1"/>
  <c r="U186" i="2"/>
  <c r="U194" i="4"/>
  <c r="X205" i="2"/>
  <c r="Z214" i="1"/>
  <c r="M216" i="2"/>
  <c r="M225" i="4"/>
  <c r="AA225" i="1"/>
  <c r="AA225" i="5" s="1"/>
  <c r="AA219" i="2"/>
  <c r="AA230" i="4"/>
  <c r="AB230" i="1"/>
  <c r="AB230" i="5" s="1"/>
  <c r="X235" i="2"/>
  <c r="X245" i="4"/>
  <c r="Z246" i="1"/>
  <c r="Z245" i="5" s="1"/>
  <c r="J238" i="2"/>
  <c r="J248" i="4"/>
  <c r="U244" i="2"/>
  <c r="U254" i="4"/>
  <c r="M257" i="4"/>
  <c r="AA258" i="1"/>
  <c r="AA257" i="5" s="1"/>
  <c r="X261" i="2"/>
  <c r="Z273" i="1"/>
  <c r="Z272" i="5" s="1"/>
  <c r="M265" i="2"/>
  <c r="M277" i="4"/>
  <c r="AA278" i="1"/>
  <c r="AA277" i="5" s="1"/>
  <c r="AA275" i="2"/>
  <c r="AA287" i="4"/>
  <c r="AB288" i="1"/>
  <c r="AB287" i="5" s="1"/>
  <c r="AA295" i="2"/>
  <c r="AA308" i="4"/>
  <c r="AB309" i="1"/>
  <c r="AB308" i="5" s="1"/>
  <c r="U302" i="2"/>
  <c r="U315" i="4"/>
  <c r="U334" i="1"/>
  <c r="M338" i="2"/>
  <c r="M351" i="4"/>
  <c r="AA352" i="1"/>
  <c r="AA351" i="5" s="1"/>
  <c r="AA343" i="2"/>
  <c r="AA359" i="4"/>
  <c r="AB360" i="1"/>
  <c r="AB359" i="5" s="1"/>
  <c r="X362" i="2"/>
  <c r="Z379" i="1"/>
  <c r="Z362" i="2" s="1"/>
  <c r="M371" i="2"/>
  <c r="M387" i="4"/>
  <c r="AA388" i="1"/>
  <c r="AA387" i="5" s="1"/>
  <c r="M384" i="2"/>
  <c r="M402" i="4"/>
  <c r="AA403" i="1"/>
  <c r="M420" i="1"/>
  <c r="J391" i="2"/>
  <c r="J409" i="4"/>
  <c r="X393" i="2"/>
  <c r="Z412" i="1"/>
  <c r="Z411" i="5" s="1"/>
  <c r="AA395" i="2"/>
  <c r="AA413" i="4"/>
  <c r="AB414" i="1"/>
  <c r="AB413" i="5" s="1"/>
  <c r="AA411" i="2"/>
  <c r="AA429" i="4"/>
  <c r="AB430" i="1"/>
  <c r="AB429" i="5" s="1"/>
  <c r="U417" i="2"/>
  <c r="U435" i="4"/>
  <c r="AA418" i="2"/>
  <c r="AA436" i="4"/>
  <c r="AB437" i="1"/>
  <c r="AB436" i="5" s="1"/>
  <c r="Z419" i="2"/>
  <c r="Z437" i="4"/>
  <c r="T2763" i="1"/>
  <c r="T2898" i="1"/>
  <c r="T2929" i="1" s="1"/>
  <c r="W581" i="2"/>
  <c r="W605" i="4"/>
  <c r="V30" i="2"/>
  <c r="V31" i="4"/>
  <c r="W31" i="1"/>
  <c r="W31" i="5" s="1"/>
  <c r="M59" i="2"/>
  <c r="M63" i="4"/>
  <c r="AA63" i="1"/>
  <c r="AA63" i="5" s="1"/>
  <c r="V81" i="2"/>
  <c r="V85" i="4"/>
  <c r="W85" i="1"/>
  <c r="W85" i="5" s="1"/>
  <c r="Z90" i="2"/>
  <c r="X118" i="2"/>
  <c r="Z124" i="1"/>
  <c r="Z118" i="2" s="1"/>
  <c r="U130" i="2"/>
  <c r="U137" i="4"/>
  <c r="U149" i="1"/>
  <c r="X132" i="2"/>
  <c r="X139" i="4"/>
  <c r="Z139" i="1"/>
  <c r="Z139" i="5" s="1"/>
  <c r="V153" i="2"/>
  <c r="V161" i="4"/>
  <c r="W161" i="1"/>
  <c r="W161" i="5" s="1"/>
  <c r="Q179" i="2"/>
  <c r="Q187" i="4"/>
  <c r="R187" i="1"/>
  <c r="R187" i="5" s="1"/>
  <c r="K181" i="2"/>
  <c r="K189" i="4"/>
  <c r="Q189" i="1"/>
  <c r="Q189" i="5" s="1"/>
  <c r="AA191" i="2"/>
  <c r="AA199" i="4"/>
  <c r="AB199" i="1"/>
  <c r="AB199" i="5" s="1"/>
  <c r="AB221" i="2"/>
  <c r="AB232" i="4"/>
  <c r="Z240" i="2"/>
  <c r="Z250" i="4"/>
  <c r="AA240" i="2"/>
  <c r="AA250" i="4"/>
  <c r="AB251" i="1"/>
  <c r="AB250" i="5" s="1"/>
  <c r="U254" i="2"/>
  <c r="U265" i="4"/>
  <c r="AA266" i="1"/>
  <c r="AA265" i="5" s="1"/>
  <c r="AA255" i="2"/>
  <c r="AB267" i="1"/>
  <c r="AB266" i="5" s="1"/>
  <c r="AA266" i="4"/>
  <c r="M258" i="2"/>
  <c r="M269" i="4"/>
  <c r="AA270" i="1"/>
  <c r="AA264" i="2"/>
  <c r="AA276" i="4"/>
  <c r="AB277" i="1"/>
  <c r="AB276" i="5" s="1"/>
  <c r="M277" i="2"/>
  <c r="AA290" i="1"/>
  <c r="AA289" i="5" s="1"/>
  <c r="M289" i="4"/>
  <c r="U311" i="2"/>
  <c r="U324" i="4"/>
  <c r="AA312" i="2"/>
  <c r="AA325" i="4"/>
  <c r="AB326" i="1"/>
  <c r="AB325" i="5" s="1"/>
  <c r="U330" i="2"/>
  <c r="U343" i="4"/>
  <c r="X375" i="2"/>
  <c r="Z392" i="1"/>
  <c r="Z375" i="2" s="1"/>
  <c r="U377" i="2"/>
  <c r="U393" i="4"/>
  <c r="AA394" i="1"/>
  <c r="AA393" i="5" s="1"/>
  <c r="V423" i="2"/>
  <c r="V443" i="4"/>
  <c r="W444" i="1"/>
  <c r="W443" i="5" s="1"/>
  <c r="V35" i="2"/>
  <c r="V36" i="4"/>
  <c r="W36" i="1"/>
  <c r="W36" i="5" s="1"/>
  <c r="V561" i="2"/>
  <c r="V582" i="4"/>
  <c r="X641" i="2"/>
  <c r="Z669" i="1"/>
  <c r="Z641" i="2" s="1"/>
  <c r="X723" i="2"/>
  <c r="Z754" i="1"/>
  <c r="Z723" i="2" s="1"/>
  <c r="V741" i="2"/>
  <c r="V772" i="4"/>
  <c r="W772" i="1"/>
  <c r="W772" i="5" s="1"/>
  <c r="V751" i="2"/>
  <c r="V784" i="4"/>
  <c r="W784" i="1"/>
  <c r="W784" i="5" s="1"/>
  <c r="V802" i="1"/>
  <c r="V778" i="2"/>
  <c r="V812" i="4"/>
  <c r="W812" i="1"/>
  <c r="W812" i="5" s="1"/>
  <c r="V818" i="2"/>
  <c r="V853" i="4"/>
  <c r="W853" i="1"/>
  <c r="W853" i="5" s="1"/>
  <c r="V869" i="2"/>
  <c r="V909" i="4"/>
  <c r="W909" i="1"/>
  <c r="W909" i="5" s="1"/>
  <c r="V913" i="4"/>
  <c r="W913" i="1"/>
  <c r="V886" i="2"/>
  <c r="V929" i="4"/>
  <c r="W929" i="1"/>
  <c r="W929" i="5" s="1"/>
  <c r="AA928" i="2"/>
  <c r="AA970" i="4"/>
  <c r="AB971" i="1"/>
  <c r="AB970" i="5" s="1"/>
  <c r="AA979" i="2"/>
  <c r="AA1024" i="4"/>
  <c r="AA994" i="2"/>
  <c r="AA1039" i="4"/>
  <c r="AB1040" i="1"/>
  <c r="AB1039" i="5" s="1"/>
  <c r="AA1002" i="2"/>
  <c r="AA1047" i="4"/>
  <c r="AB1048" i="1"/>
  <c r="AB1047" i="5" s="1"/>
  <c r="AA1021" i="2"/>
  <c r="AA1068" i="4"/>
  <c r="AB1069" i="1"/>
  <c r="AB1068" i="5" s="1"/>
  <c r="AA1033" i="2"/>
  <c r="AA1081" i="4"/>
  <c r="AB1082" i="1"/>
  <c r="AB1081" i="5" s="1"/>
  <c r="AA1065" i="2"/>
  <c r="AA1114" i="4"/>
  <c r="AB1115" i="1"/>
  <c r="AB1114" i="5" s="1"/>
  <c r="X1097" i="2"/>
  <c r="Z1148" i="1"/>
  <c r="X1167" i="1"/>
  <c r="AA1104" i="2"/>
  <c r="AA1154" i="4"/>
  <c r="AB1155" i="1"/>
  <c r="AB1154" i="5" s="1"/>
  <c r="AA1112" i="2"/>
  <c r="AA1163" i="4"/>
  <c r="AB1164" i="1"/>
  <c r="AB1163" i="5" s="1"/>
  <c r="X62" i="2"/>
  <c r="Z66" i="1"/>
  <c r="Z62" i="2" s="1"/>
  <c r="W85" i="2"/>
  <c r="W90" i="4"/>
  <c r="U99" i="2"/>
  <c r="U105" i="4"/>
  <c r="AA105" i="1"/>
  <c r="AA105" i="5" s="1"/>
  <c r="X109" i="2"/>
  <c r="Z115" i="1"/>
  <c r="Z109" i="2" s="1"/>
  <c r="X135" i="2"/>
  <c r="X142" i="4"/>
  <c r="Z142" i="1"/>
  <c r="Z142" i="5" s="1"/>
  <c r="R213" i="2"/>
  <c r="R222" i="4"/>
  <c r="Z255" i="2"/>
  <c r="Z266" i="4"/>
  <c r="M260" i="2"/>
  <c r="M271" i="4"/>
  <c r="AA272" i="1"/>
  <c r="AA271" i="5" s="1"/>
  <c r="U283" i="2"/>
  <c r="U295" i="4"/>
  <c r="U313" i="2"/>
  <c r="U326" i="4"/>
  <c r="J316" i="2"/>
  <c r="J329" i="4"/>
  <c r="U329" i="2"/>
  <c r="U342" i="4"/>
  <c r="Z398" i="2"/>
  <c r="Z416" i="4"/>
  <c r="V421" i="2"/>
  <c r="V441" i="4"/>
  <c r="W442" i="1"/>
  <c r="W441" i="5" s="1"/>
  <c r="X424" i="2"/>
  <c r="X444" i="4"/>
  <c r="Z445" i="1"/>
  <c r="Z444" i="5" s="1"/>
  <c r="M446" i="2"/>
  <c r="M466" i="4"/>
  <c r="AA467" i="1"/>
  <c r="AA466" i="5" s="1"/>
  <c r="U447" i="2"/>
  <c r="U467" i="4"/>
  <c r="M448" i="2"/>
  <c r="M468" i="4"/>
  <c r="AA469" i="1"/>
  <c r="AA468" i="5" s="1"/>
  <c r="U449" i="2"/>
  <c r="U469" i="4"/>
  <c r="M450" i="2"/>
  <c r="M470" i="4"/>
  <c r="AA471" i="1"/>
  <c r="AA470" i="5" s="1"/>
  <c r="U451" i="2"/>
  <c r="U471" i="4"/>
  <c r="AA472" i="1"/>
  <c r="AA471" i="5" s="1"/>
  <c r="X456" i="2"/>
  <c r="Z477" i="1"/>
  <c r="V457" i="2"/>
  <c r="V477" i="4"/>
  <c r="M460" i="2"/>
  <c r="M480" i="4"/>
  <c r="AA481" i="1"/>
  <c r="AA480" i="5" s="1"/>
  <c r="U461" i="2"/>
  <c r="U481" i="4"/>
  <c r="H462" i="2"/>
  <c r="H467" i="2" s="1"/>
  <c r="H482" i="4"/>
  <c r="X482" i="4" s="1"/>
  <c r="Z482" i="4" s="1"/>
  <c r="M483" i="1"/>
  <c r="M482" i="5" s="1"/>
  <c r="M487" i="5" s="1"/>
  <c r="H488" i="1"/>
  <c r="X483" i="1"/>
  <c r="X488" i="1" s="1"/>
  <c r="V471" i="2"/>
  <c r="V491" i="4"/>
  <c r="W492" i="1"/>
  <c r="W491" i="5" s="1"/>
  <c r="V501" i="1"/>
  <c r="V475" i="2"/>
  <c r="V495" i="4"/>
  <c r="W496" i="1"/>
  <c r="W495" i="5" s="1"/>
  <c r="U530" i="2"/>
  <c r="U549" i="4"/>
  <c r="U557" i="1"/>
  <c r="AA550" i="1"/>
  <c r="AA549" i="5" s="1"/>
  <c r="M531" i="2"/>
  <c r="M550" i="4"/>
  <c r="AA551" i="1"/>
  <c r="AA550" i="5" s="1"/>
  <c r="U532" i="2"/>
  <c r="U551" i="4"/>
  <c r="M533" i="2"/>
  <c r="M552" i="4"/>
  <c r="AA553" i="1"/>
  <c r="AA552" i="5" s="1"/>
  <c r="V535" i="2"/>
  <c r="V554" i="4"/>
  <c r="W555" i="1"/>
  <c r="W554" i="5" s="1"/>
  <c r="X570" i="2"/>
  <c r="Z593" i="1"/>
  <c r="Z570" i="2" s="1"/>
  <c r="X574" i="2"/>
  <c r="Z597" i="1"/>
  <c r="Z574" i="2" s="1"/>
  <c r="X578" i="2"/>
  <c r="Z601" i="1"/>
  <c r="Z578" i="2" s="1"/>
  <c r="U589" i="2"/>
  <c r="U613" i="4"/>
  <c r="AA612" i="1"/>
  <c r="AA613" i="5" s="1"/>
  <c r="M590" i="2"/>
  <c r="M614" i="4"/>
  <c r="AA613" i="1"/>
  <c r="AA614" i="5" s="1"/>
  <c r="U591" i="2"/>
  <c r="U615" i="4"/>
  <c r="AA614" i="1"/>
  <c r="AA615" i="5" s="1"/>
  <c r="W597" i="2"/>
  <c r="W621" i="4"/>
  <c r="W603" i="2"/>
  <c r="W628" i="4"/>
  <c r="W607" i="2"/>
  <c r="W2677" i="2" s="1"/>
  <c r="W632" i="4"/>
  <c r="W2853" i="1"/>
  <c r="AA611" i="2"/>
  <c r="AA636" i="4"/>
  <c r="AB635" i="1"/>
  <c r="AB636" i="5" s="1"/>
  <c r="V629" i="2"/>
  <c r="V657" i="4"/>
  <c r="W657" i="1"/>
  <c r="W657" i="5" s="1"/>
  <c r="X630" i="2"/>
  <c r="Z658" i="1"/>
  <c r="Z658" i="5" s="1"/>
  <c r="M643" i="2"/>
  <c r="M671" i="4"/>
  <c r="AA671" i="1"/>
  <c r="AA671" i="5" s="1"/>
  <c r="W643" i="2"/>
  <c r="W671" i="4"/>
  <c r="V651" i="2"/>
  <c r="V679" i="4"/>
  <c r="W679" i="1"/>
  <c r="W679" i="5" s="1"/>
  <c r="M652" i="2"/>
  <c r="M680" i="4"/>
  <c r="AA680" i="1"/>
  <c r="AA680" i="5" s="1"/>
  <c r="V657" i="2"/>
  <c r="V687" i="4"/>
  <c r="W687" i="1"/>
  <c r="W687" i="5" s="1"/>
  <c r="M658" i="2"/>
  <c r="M688" i="4"/>
  <c r="AA688" i="1"/>
  <c r="AA688" i="5" s="1"/>
  <c r="V659" i="2"/>
  <c r="V689" i="4"/>
  <c r="W689" i="1"/>
  <c r="W689" i="5" s="1"/>
  <c r="M666" i="2"/>
  <c r="M696" i="4"/>
  <c r="AA696" i="1"/>
  <c r="AA696" i="5" s="1"/>
  <c r="M677" i="2"/>
  <c r="M707" i="4"/>
  <c r="AA707" i="1"/>
  <c r="AA707" i="5" s="1"/>
  <c r="M691" i="2"/>
  <c r="M721" i="4"/>
  <c r="AA721" i="1"/>
  <c r="AA721" i="5" s="1"/>
  <c r="H715" i="2"/>
  <c r="H725" i="2" s="1"/>
  <c r="H746" i="4"/>
  <c r="X746" i="4" s="1"/>
  <c r="Z746" i="4" s="1"/>
  <c r="J746" i="1"/>
  <c r="J746" i="5" s="1"/>
  <c r="J756" i="5" s="1"/>
  <c r="X746" i="1"/>
  <c r="H756" i="1"/>
  <c r="M746" i="1"/>
  <c r="M746" i="5" s="1"/>
  <c r="M756" i="5" s="1"/>
  <c r="X720" i="2"/>
  <c r="Z751" i="1"/>
  <c r="Z720" i="2" s="1"/>
  <c r="M736" i="2"/>
  <c r="M767" i="4"/>
  <c r="AA767" i="1"/>
  <c r="AA767" i="5" s="1"/>
  <c r="AA575" i="2"/>
  <c r="AA599" i="4"/>
  <c r="AB598" i="1"/>
  <c r="AB599" i="5" s="1"/>
  <c r="W637" i="2"/>
  <c r="W665" i="4"/>
  <c r="V699" i="2"/>
  <c r="V729" i="4"/>
  <c r="W729" i="1"/>
  <c r="W729" i="5" s="1"/>
  <c r="AA2428" i="2"/>
  <c r="AB2406" i="2"/>
  <c r="AB2428" i="2" s="1"/>
  <c r="X2545" i="2"/>
  <c r="Z2545" i="2" s="1"/>
  <c r="M2545" i="2"/>
  <c r="V2545" i="2"/>
  <c r="Z38" i="2"/>
  <c r="Z42" i="4"/>
  <c r="U114" i="2"/>
  <c r="U120" i="4"/>
  <c r="X116" i="2"/>
  <c r="Z122" i="1"/>
  <c r="Z116" i="2" s="1"/>
  <c r="X170" i="2"/>
  <c r="Z178" i="1"/>
  <c r="Z170" i="2" s="1"/>
  <c r="U182" i="2"/>
  <c r="U190" i="4"/>
  <c r="U184" i="2"/>
  <c r="U192" i="4"/>
  <c r="X345" i="2"/>
  <c r="Z362" i="1"/>
  <c r="Z345" i="2" s="1"/>
  <c r="U359" i="2"/>
  <c r="U375" i="4"/>
  <c r="J387" i="2"/>
  <c r="J405" i="4"/>
  <c r="AA496" i="2"/>
  <c r="AA516" i="4"/>
  <c r="AB517" i="1"/>
  <c r="AB516" i="5" s="1"/>
  <c r="AA509" i="2"/>
  <c r="AA529" i="4"/>
  <c r="AB530" i="1"/>
  <c r="AB529" i="5" s="1"/>
  <c r="AA545" i="2"/>
  <c r="AA566" i="4"/>
  <c r="AB565" i="1"/>
  <c r="AB566" i="5" s="1"/>
  <c r="H586" i="4"/>
  <c r="X586" i="4" s="1"/>
  <c r="Z586" i="4" s="1"/>
  <c r="M585" i="1"/>
  <c r="M586" i="5" s="1"/>
  <c r="X585" i="1"/>
  <c r="Z585" i="1" s="1"/>
  <c r="V594" i="2"/>
  <c r="V618" i="4"/>
  <c r="W617" i="1"/>
  <c r="W618" i="5" s="1"/>
  <c r="X597" i="2"/>
  <c r="Z620" i="1"/>
  <c r="Z597" i="2" s="1"/>
  <c r="U609" i="2"/>
  <c r="U634" i="4"/>
  <c r="M610" i="2"/>
  <c r="M635" i="4"/>
  <c r="AA634" i="1"/>
  <c r="AA635" i="5" s="1"/>
  <c r="U611" i="2"/>
  <c r="U636" i="4"/>
  <c r="M645" i="4"/>
  <c r="AA645" i="1"/>
  <c r="AA645" i="5" s="1"/>
  <c r="Z624" i="2"/>
  <c r="Z652" i="4"/>
  <c r="V652" i="2"/>
  <c r="V680" i="4"/>
  <c r="W680" i="1"/>
  <c r="W680" i="5" s="1"/>
  <c r="V658" i="2"/>
  <c r="V688" i="4"/>
  <c r="W688" i="1"/>
  <c r="W688" i="5" s="1"/>
  <c r="U670" i="2"/>
  <c r="U700" i="4"/>
  <c r="M697" i="2"/>
  <c r="M727" i="4"/>
  <c r="AA727" i="1"/>
  <c r="AA727" i="5" s="1"/>
  <c r="J704" i="2"/>
  <c r="J734" i="4"/>
  <c r="X718" i="2"/>
  <c r="Z749" i="1"/>
  <c r="Z718" i="2" s="1"/>
  <c r="J729" i="2"/>
  <c r="J760" i="4"/>
  <c r="U473" i="2"/>
  <c r="U480" i="2" s="1"/>
  <c r="U493" i="4"/>
  <c r="U500" i="4" s="1"/>
  <c r="U501" i="1"/>
  <c r="AB707" i="2"/>
  <c r="AB738" i="4"/>
  <c r="U928" i="2"/>
  <c r="U970" i="4"/>
  <c r="U985" i="1"/>
  <c r="U987" i="1" s="1"/>
  <c r="W965" i="2"/>
  <c r="W1008" i="4"/>
  <c r="W975" i="2"/>
  <c r="W1020" i="4"/>
  <c r="M1064" i="2"/>
  <c r="M1113" i="4"/>
  <c r="AA1114" i="1"/>
  <c r="AA1113" i="5" s="1"/>
  <c r="W1068" i="2"/>
  <c r="W1117" i="4"/>
  <c r="X73" i="2"/>
  <c r="Z77" i="1"/>
  <c r="Z73" i="2" s="1"/>
  <c r="W108" i="2"/>
  <c r="W114" i="4"/>
  <c r="Q234" i="2"/>
  <c r="Q244" i="4"/>
  <c r="Q235" i="2"/>
  <c r="Q245" i="4"/>
  <c r="Q237" i="2"/>
  <c r="Q247" i="4"/>
  <c r="Q238" i="2"/>
  <c r="Q248" i="4"/>
  <c r="X296" i="2"/>
  <c r="Z310" i="1"/>
  <c r="Z296" i="2" s="1"/>
  <c r="X370" i="2"/>
  <c r="Z387" i="1"/>
  <c r="Z370" i="2" s="1"/>
  <c r="V415" i="2"/>
  <c r="V433" i="4"/>
  <c r="W434" i="1"/>
  <c r="W433" i="5" s="1"/>
  <c r="W432" i="2"/>
  <c r="W452" i="4"/>
  <c r="M546" i="2"/>
  <c r="M549" i="2" s="1"/>
  <c r="M567" i="4"/>
  <c r="M570" i="4" s="1"/>
  <c r="AA566" i="1"/>
  <c r="AA567" i="5" s="1"/>
  <c r="AA570" i="5" s="1"/>
  <c r="M569" i="1"/>
  <c r="X579" i="2"/>
  <c r="Z602" i="1"/>
  <c r="Z579" i="2" s="1"/>
  <c r="W588" i="2"/>
  <c r="W612" i="4"/>
  <c r="M593" i="2"/>
  <c r="AA616" i="1"/>
  <c r="AA617" i="5" s="1"/>
  <c r="M617" i="4"/>
  <c r="Z627" i="2"/>
  <c r="Z655" i="4"/>
  <c r="X628" i="2"/>
  <c r="Z656" i="1"/>
  <c r="Z656" i="5" s="1"/>
  <c r="X638" i="2"/>
  <c r="Z666" i="1"/>
  <c r="Z638" i="2" s="1"/>
  <c r="J665" i="2"/>
  <c r="J695" i="4"/>
  <c r="J667" i="2"/>
  <c r="J697" i="4"/>
  <c r="U672" i="2"/>
  <c r="U702" i="4"/>
  <c r="AA702" i="1"/>
  <c r="AA702" i="5" s="1"/>
  <c r="V858" i="2"/>
  <c r="V898" i="4"/>
  <c r="V922" i="1"/>
  <c r="W898" i="1"/>
  <c r="W898" i="5" s="1"/>
  <c r="U867" i="2"/>
  <c r="U907" i="4"/>
  <c r="H873" i="2"/>
  <c r="H914" i="4"/>
  <c r="X914" i="4" s="1"/>
  <c r="Z914" i="4" s="1"/>
  <c r="M914" i="1"/>
  <c r="M914" i="5" s="1"/>
  <c r="X914" i="1"/>
  <c r="X874" i="2"/>
  <c r="Z917" i="1"/>
  <c r="Z874" i="2" s="1"/>
  <c r="U875" i="2"/>
  <c r="U918" i="4"/>
  <c r="AA918" i="1"/>
  <c r="AA918" i="5" s="1"/>
  <c r="J882" i="2"/>
  <c r="J925" i="4"/>
  <c r="Q883" i="2"/>
  <c r="Q926" i="4"/>
  <c r="Q941" i="1"/>
  <c r="V910" i="2"/>
  <c r="V953" i="4"/>
  <c r="W953" i="1"/>
  <c r="W953" i="5" s="1"/>
  <c r="W935" i="2"/>
  <c r="W977" i="4"/>
  <c r="V1011" i="2"/>
  <c r="V1056" i="4"/>
  <c r="W1057" i="1"/>
  <c r="W1056" i="5" s="1"/>
  <c r="V1060" i="4"/>
  <c r="W1061" i="1"/>
  <c r="V1021" i="2"/>
  <c r="V1068" i="4"/>
  <c r="V1086" i="1"/>
  <c r="W1069" i="1"/>
  <c r="W1068" i="5" s="1"/>
  <c r="V1025" i="2"/>
  <c r="V1072" i="4"/>
  <c r="W1073" i="1"/>
  <c r="W1072" i="5" s="1"/>
  <c r="X1034" i="2"/>
  <c r="Z1083" i="1"/>
  <c r="Z1034" i="2" s="1"/>
  <c r="X1084" i="2"/>
  <c r="Z1135" i="1"/>
  <c r="Z1084" i="2" s="1"/>
  <c r="X1088" i="2"/>
  <c r="Z1139" i="1"/>
  <c r="Z1088" i="2" s="1"/>
  <c r="V14" i="2"/>
  <c r="V14" i="4"/>
  <c r="W14" i="1"/>
  <c r="W14" i="5" s="1"/>
  <c r="X26" i="2"/>
  <c r="X27" i="4"/>
  <c r="Z27" i="1"/>
  <c r="Z27" i="5" s="1"/>
  <c r="AA76" i="2"/>
  <c r="AA80" i="4"/>
  <c r="AB80" i="1"/>
  <c r="AB80" i="5" s="1"/>
  <c r="V154" i="2"/>
  <c r="V162" i="4"/>
  <c r="W162" i="1"/>
  <c r="W162" i="5" s="1"/>
  <c r="H376" i="2"/>
  <c r="H392" i="4"/>
  <c r="X392" i="4" s="1"/>
  <c r="Z392" i="4" s="1"/>
  <c r="M393" i="1"/>
  <c r="M392" i="5" s="1"/>
  <c r="J393" i="1"/>
  <c r="J392" i="5" s="1"/>
  <c r="X393" i="1"/>
  <c r="X399" i="2"/>
  <c r="Z418" i="1"/>
  <c r="Z417" i="5" s="1"/>
  <c r="V438" i="4"/>
  <c r="W439" i="1"/>
  <c r="W430" i="2"/>
  <c r="W450" i="4"/>
  <c r="X499" i="2"/>
  <c r="Z520" i="1"/>
  <c r="Z499" i="2" s="1"/>
  <c r="M510" i="2"/>
  <c r="M530" i="4"/>
  <c r="AA531" i="1"/>
  <c r="AA530" i="5" s="1"/>
  <c r="X513" i="2"/>
  <c r="Z534" i="1"/>
  <c r="Z513" i="2" s="1"/>
  <c r="X547" i="2"/>
  <c r="Z567" i="1"/>
  <c r="Z547" i="2" s="1"/>
  <c r="X575" i="2"/>
  <c r="Z598" i="1"/>
  <c r="Z575" i="2" s="1"/>
  <c r="Z604" i="2"/>
  <c r="Z629" i="4"/>
  <c r="V621" i="2"/>
  <c r="V649" i="4"/>
  <c r="W649" i="1"/>
  <c r="W649" i="5" s="1"/>
  <c r="V661" i="1"/>
  <c r="W731" i="2"/>
  <c r="W762" i="4"/>
  <c r="Q823" i="2"/>
  <c r="Q858" i="4"/>
  <c r="M869" i="4"/>
  <c r="AA869" i="1"/>
  <c r="AA869" i="5" s="1"/>
  <c r="Q836" i="2"/>
  <c r="Q875" i="4"/>
  <c r="Q895" i="1"/>
  <c r="X836" i="2"/>
  <c r="Z875" i="1"/>
  <c r="M841" i="2"/>
  <c r="M880" i="4"/>
  <c r="AA880" i="1"/>
  <c r="AA880" i="5" s="1"/>
  <c r="W848" i="2"/>
  <c r="W887" i="4"/>
  <c r="Q853" i="2"/>
  <c r="Q893" i="4"/>
  <c r="M870" i="2"/>
  <c r="M910" i="4"/>
  <c r="AA910" i="1"/>
  <c r="AA910" i="5" s="1"/>
  <c r="V896" i="2"/>
  <c r="V939" i="4"/>
  <c r="W939" i="1"/>
  <c r="W939" i="5" s="1"/>
  <c r="W901" i="2"/>
  <c r="W944" i="4"/>
  <c r="W947" i="1"/>
  <c r="J910" i="2"/>
  <c r="J953" i="4"/>
  <c r="J956" i="1"/>
  <c r="X929" i="2"/>
  <c r="X971" i="4"/>
  <c r="Z972" i="1"/>
  <c r="Z971" i="5" s="1"/>
  <c r="V964" i="2"/>
  <c r="V1007" i="4"/>
  <c r="W1008" i="1"/>
  <c r="W1007" i="5" s="1"/>
  <c r="V974" i="2"/>
  <c r="V1019" i="4"/>
  <c r="W1020" i="1"/>
  <c r="W1019" i="5" s="1"/>
  <c r="V981" i="2"/>
  <c r="V1026" i="4"/>
  <c r="W1027" i="1"/>
  <c r="W1026" i="5" s="1"/>
  <c r="H1090" i="2"/>
  <c r="H1093" i="2" s="1"/>
  <c r="H1140" i="4"/>
  <c r="X1140" i="4" s="1"/>
  <c r="Z1140" i="4" s="1"/>
  <c r="M1141" i="1"/>
  <c r="M1140" i="5" s="1"/>
  <c r="X1141" i="1"/>
  <c r="X1144" i="1" s="1"/>
  <c r="V1141" i="1"/>
  <c r="V1140" i="5" s="1"/>
  <c r="V1143" i="5" s="1"/>
  <c r="X1101" i="2"/>
  <c r="Z1152" i="1"/>
  <c r="Z1101" i="2" s="1"/>
  <c r="X1105" i="2"/>
  <c r="Z1156" i="1"/>
  <c r="Z1105" i="2" s="1"/>
  <c r="X1109" i="2"/>
  <c r="Z1160" i="1"/>
  <c r="Z1109" i="2" s="1"/>
  <c r="U1144" i="2"/>
  <c r="U1196" i="4"/>
  <c r="U1215" i="1"/>
  <c r="U1146" i="2"/>
  <c r="U1198" i="4"/>
  <c r="H1148" i="2"/>
  <c r="H1160" i="2" s="1"/>
  <c r="H1200" i="4"/>
  <c r="X1201" i="1"/>
  <c r="X1200" i="5" s="1"/>
  <c r="J1201" i="1"/>
  <c r="J1200" i="5" s="1"/>
  <c r="J1214" i="5" s="1"/>
  <c r="M1201" i="1"/>
  <c r="M1200" i="5" s="1"/>
  <c r="H1215" i="1"/>
  <c r="V1201" i="1"/>
  <c r="V1200" i="5" s="1"/>
  <c r="X1151" i="2"/>
  <c r="X1203" i="4"/>
  <c r="Z1204" i="1"/>
  <c r="Z1203" i="5" s="1"/>
  <c r="J1167" i="2"/>
  <c r="J1221" i="4"/>
  <c r="U1065" i="2"/>
  <c r="U1114" i="4"/>
  <c r="AB1109" i="2"/>
  <c r="AB1159" i="4"/>
  <c r="J1194" i="2"/>
  <c r="J1253" i="4"/>
  <c r="X1202" i="2"/>
  <c r="Z1262" i="1"/>
  <c r="Z1202" i="2" s="1"/>
  <c r="V1251" i="2"/>
  <c r="V1314" i="4"/>
  <c r="W1315" i="1"/>
  <c r="W1314" i="5" s="1"/>
  <c r="X1263" i="2"/>
  <c r="Z1327" i="1"/>
  <c r="Z1263" i="2" s="1"/>
  <c r="J1786" i="2"/>
  <c r="J1882" i="4"/>
  <c r="U1896" i="4"/>
  <c r="U1797" i="2"/>
  <c r="P2041" i="4"/>
  <c r="X2041" i="4" s="1"/>
  <c r="Z2041" i="4" s="1"/>
  <c r="V2045" i="1"/>
  <c r="V2041" i="5" s="1"/>
  <c r="V2059" i="5" s="1"/>
  <c r="U2045" i="1"/>
  <c r="U2041" i="5" s="1"/>
  <c r="U2059" i="5" s="1"/>
  <c r="P2063" i="1"/>
  <c r="X2045" i="1"/>
  <c r="H2120" i="4"/>
  <c r="X2120" i="4" s="1"/>
  <c r="M2124" i="1"/>
  <c r="M2120" i="5" s="1"/>
  <c r="M2138" i="5" s="1"/>
  <c r="J2124" i="1"/>
  <c r="X2124" i="1"/>
  <c r="H2136" i="4"/>
  <c r="X2136" i="4" s="1"/>
  <c r="M2140" i="1"/>
  <c r="M2136" i="5" s="1"/>
  <c r="X2140" i="1"/>
  <c r="Z2140" i="1" s="1"/>
  <c r="J2140" i="1"/>
  <c r="H2334" i="4"/>
  <c r="X2334" i="4" s="1"/>
  <c r="Z2334" i="4" s="1"/>
  <c r="J2340" i="1"/>
  <c r="X2340" i="1"/>
  <c r="Z2340" i="1" s="1"/>
  <c r="M2340" i="1"/>
  <c r="M2334" i="5" s="1"/>
  <c r="H2541" i="4"/>
  <c r="X2541" i="4" s="1"/>
  <c r="Z2541" i="4" s="1"/>
  <c r="H2573" i="1"/>
  <c r="X2549" i="1"/>
  <c r="M2549" i="1"/>
  <c r="M2541" i="5" s="1"/>
  <c r="U2548" i="4"/>
  <c r="AA2556" i="1"/>
  <c r="AA2548" i="5" s="1"/>
  <c r="M2551" i="4"/>
  <c r="AA2559" i="1"/>
  <c r="AA2551" i="5" s="1"/>
  <c r="M2554" i="4"/>
  <c r="AA2562" i="1"/>
  <c r="AA2554" i="5" s="1"/>
  <c r="M2596" i="4"/>
  <c r="AA2604" i="1"/>
  <c r="AA2596" i="5" s="1"/>
  <c r="W2610" i="4"/>
  <c r="W2612" i="4" s="1"/>
  <c r="W2620" i="1"/>
  <c r="M2733" i="4"/>
  <c r="AA2741" i="1"/>
  <c r="AA2733" i="5" s="1"/>
  <c r="M2737" i="4"/>
  <c r="AA2745" i="1"/>
  <c r="AA2737" i="5" s="1"/>
  <c r="M2748" i="4"/>
  <c r="AA2756" i="1"/>
  <c r="AA2748" i="5" s="1"/>
  <c r="Z32" i="2"/>
  <c r="Z33" i="4"/>
  <c r="W59" i="2"/>
  <c r="W63" i="4"/>
  <c r="U67" i="2"/>
  <c r="U71" i="4"/>
  <c r="U92" i="1"/>
  <c r="U492" i="2"/>
  <c r="U512" i="4"/>
  <c r="U523" i="1"/>
  <c r="X545" i="2"/>
  <c r="Z565" i="1"/>
  <c r="X569" i="1"/>
  <c r="M596" i="2"/>
  <c r="M620" i="4"/>
  <c r="AA619" i="1"/>
  <c r="AA620" i="5" s="1"/>
  <c r="X636" i="2"/>
  <c r="Z664" i="1"/>
  <c r="M765" i="2"/>
  <c r="M799" i="4"/>
  <c r="AA799" i="1"/>
  <c r="AA799" i="5" s="1"/>
  <c r="Q775" i="2"/>
  <c r="Q809" i="4"/>
  <c r="U782" i="2"/>
  <c r="U816" i="4"/>
  <c r="AA816" i="1"/>
  <c r="AA816" i="5" s="1"/>
  <c r="W796" i="2"/>
  <c r="W830" i="4"/>
  <c r="W838" i="2"/>
  <c r="W877" i="4"/>
  <c r="J840" i="2"/>
  <c r="J879" i="4"/>
  <c r="M858" i="2"/>
  <c r="M898" i="4"/>
  <c r="AA898" i="1"/>
  <c r="AA898" i="5" s="1"/>
  <c r="W868" i="2"/>
  <c r="W908" i="4"/>
  <c r="X978" i="2"/>
  <c r="Z1024" i="1"/>
  <c r="Z978" i="2" s="1"/>
  <c r="M1028" i="2"/>
  <c r="M1075" i="4"/>
  <c r="AA1076" i="1"/>
  <c r="AA1075" i="5" s="1"/>
  <c r="W1172" i="2"/>
  <c r="W1226" i="4"/>
  <c r="M1193" i="2"/>
  <c r="M1252" i="4"/>
  <c r="AA1253" i="1"/>
  <c r="AA1252" i="5" s="1"/>
  <c r="U1205" i="2"/>
  <c r="U1264" i="4"/>
  <c r="AA1265" i="1"/>
  <c r="AA1264" i="5" s="1"/>
  <c r="Q1206" i="2"/>
  <c r="Q1265" i="4"/>
  <c r="M1223" i="2"/>
  <c r="M1286" i="4"/>
  <c r="AA1287" i="1"/>
  <c r="AA1286" i="5" s="1"/>
  <c r="J1230" i="2"/>
  <c r="J1293" i="4"/>
  <c r="J2793" i="1"/>
  <c r="J1235" i="2"/>
  <c r="J1298" i="4"/>
  <c r="U1236" i="2"/>
  <c r="U1299" i="4"/>
  <c r="M1253" i="2"/>
  <c r="M1316" i="4"/>
  <c r="AA1317" i="1"/>
  <c r="AA1316" i="5" s="1"/>
  <c r="U1264" i="2"/>
  <c r="U1327" i="4"/>
  <c r="W1280" i="2"/>
  <c r="W1345" i="4"/>
  <c r="V1357" i="4"/>
  <c r="V1292" i="2"/>
  <c r="W1358" i="1"/>
  <c r="W1357" i="5" s="1"/>
  <c r="M1295" i="2"/>
  <c r="M1360" i="4"/>
  <c r="AA1361" i="1"/>
  <c r="AA1360" i="5" s="1"/>
  <c r="M1365" i="4"/>
  <c r="AA1366" i="1"/>
  <c r="AA1365" i="5" s="1"/>
  <c r="M1309" i="2"/>
  <c r="M1378" i="4"/>
  <c r="AA1379" i="1"/>
  <c r="AA1378" i="5" s="1"/>
  <c r="W1314" i="2"/>
  <c r="W1383" i="4"/>
  <c r="Q1329" i="2"/>
  <c r="Q1399" i="4"/>
  <c r="U1330" i="2"/>
  <c r="U1400" i="4"/>
  <c r="V150" i="2"/>
  <c r="V157" i="4"/>
  <c r="W157" i="1"/>
  <c r="W157" i="5" s="1"/>
  <c r="U500" i="2"/>
  <c r="U520" i="4"/>
  <c r="Q765" i="2"/>
  <c r="Q799" i="4"/>
  <c r="V1196" i="2"/>
  <c r="V1255" i="4"/>
  <c r="W1256" i="1"/>
  <c r="W1255" i="5" s="1"/>
  <c r="AA1611" i="4"/>
  <c r="AB1614" i="1"/>
  <c r="X1757" i="2"/>
  <c r="Z1855" i="1"/>
  <c r="Z1757" i="2" s="1"/>
  <c r="Q671" i="2"/>
  <c r="Q701" i="4"/>
  <c r="V671" i="2"/>
  <c r="V701" i="4"/>
  <c r="U994" i="2"/>
  <c r="U1039" i="4"/>
  <c r="U1050" i="1"/>
  <c r="Z1021" i="2"/>
  <c r="V1148" i="4"/>
  <c r="V1098" i="2"/>
  <c r="W1149" i="1"/>
  <c r="W1148" i="5" s="1"/>
  <c r="V1156" i="4"/>
  <c r="V1106" i="2"/>
  <c r="W1157" i="1"/>
  <c r="W1156" i="5" s="1"/>
  <c r="V1112" i="2"/>
  <c r="V1163" i="4"/>
  <c r="W1164" i="1"/>
  <c r="W1163" i="5" s="1"/>
  <c r="U1129" i="2"/>
  <c r="U1180" i="4"/>
  <c r="AA1181" i="1"/>
  <c r="AA1180" i="5" s="1"/>
  <c r="Q1146" i="2"/>
  <c r="Q1198" i="4"/>
  <c r="W1166" i="2"/>
  <c r="W1220" i="4"/>
  <c r="U1177" i="2"/>
  <c r="U1231" i="4"/>
  <c r="W1188" i="2"/>
  <c r="W1247" i="4"/>
  <c r="W1190" i="2"/>
  <c r="W1249" i="4"/>
  <c r="H1198" i="2"/>
  <c r="H1257" i="4"/>
  <c r="X1257" i="4" s="1"/>
  <c r="Z1257" i="4" s="1"/>
  <c r="J1258" i="1"/>
  <c r="J1257" i="5" s="1"/>
  <c r="X1258" i="1"/>
  <c r="M1258" i="1"/>
  <c r="M1257" i="5" s="1"/>
  <c r="V1258" i="1"/>
  <c r="V1257" i="5" s="1"/>
  <c r="V1281" i="5" s="1"/>
  <c r="H1282" i="1"/>
  <c r="M1213" i="2"/>
  <c r="M1272" i="4"/>
  <c r="AA1273" i="1"/>
  <c r="AA1272" i="5" s="1"/>
  <c r="J1243" i="2"/>
  <c r="J1306" i="4"/>
  <c r="X508" i="2"/>
  <c r="Z529" i="1"/>
  <c r="Z508" i="2" s="1"/>
  <c r="M519" i="2"/>
  <c r="M538" i="4"/>
  <c r="AA539" i="1"/>
  <c r="AA538" i="5" s="1"/>
  <c r="M546" i="1"/>
  <c r="AA860" i="2"/>
  <c r="AA900" i="4"/>
  <c r="AB900" i="1"/>
  <c r="AB900" i="5" s="1"/>
  <c r="U972" i="2"/>
  <c r="U1017" i="4"/>
  <c r="U1034" i="1"/>
  <c r="AA1229" i="2"/>
  <c r="AA1292" i="4"/>
  <c r="AB1293" i="1"/>
  <c r="AB1292" i="5" s="1"/>
  <c r="W1279" i="2"/>
  <c r="W1344" i="4"/>
  <c r="AA1315" i="2"/>
  <c r="AA1384" i="4"/>
  <c r="AB1385" i="1"/>
  <c r="AB1384" i="5" s="1"/>
  <c r="J1352" i="2"/>
  <c r="J1422" i="4"/>
  <c r="V1371" i="2"/>
  <c r="W1443" i="1"/>
  <c r="W1442" i="5" s="1"/>
  <c r="V1442" i="4"/>
  <c r="H1386" i="2"/>
  <c r="H1457" i="4"/>
  <c r="X1457" i="4" s="1"/>
  <c r="Z1457" i="4" s="1"/>
  <c r="M1458" i="1"/>
  <c r="M1457" i="5" s="1"/>
  <c r="J1458" i="1"/>
  <c r="J1457" i="5" s="1"/>
  <c r="X1458" i="1"/>
  <c r="V1458" i="1"/>
  <c r="V1457" i="5" s="1"/>
  <c r="Z1398" i="2"/>
  <c r="V1408" i="2"/>
  <c r="V1484" i="4"/>
  <c r="W1485" i="1"/>
  <c r="W1484" i="5" s="1"/>
  <c r="V1435" i="2"/>
  <c r="V1512" i="4"/>
  <c r="W1513" i="1"/>
  <c r="W1512" i="5" s="1"/>
  <c r="J1456" i="2"/>
  <c r="J1533" i="4"/>
  <c r="V1482" i="2"/>
  <c r="V1557" i="4"/>
  <c r="W1560" i="1"/>
  <c r="W1557" i="5" s="1"/>
  <c r="V1565" i="4"/>
  <c r="W1568" i="1"/>
  <c r="V1499" i="2"/>
  <c r="V1575" i="4"/>
  <c r="W1578" i="1"/>
  <c r="W1575" i="5" s="1"/>
  <c r="V1507" i="2"/>
  <c r="V1583" i="4"/>
  <c r="W1586" i="1"/>
  <c r="W1583" i="5" s="1"/>
  <c r="M1520" i="2"/>
  <c r="M1598" i="4"/>
  <c r="AA1601" i="1"/>
  <c r="AA1598" i="5" s="1"/>
  <c r="AA1531" i="2"/>
  <c r="AA1609" i="4"/>
  <c r="AB1612" i="1"/>
  <c r="AB1609" i="5" s="1"/>
  <c r="AA1534" i="2"/>
  <c r="AA1613" i="4"/>
  <c r="AB1616" i="1"/>
  <c r="AB1613" i="5" s="1"/>
  <c r="Z1535" i="2"/>
  <c r="Z1616" i="4"/>
  <c r="Q1684" i="2"/>
  <c r="Q1775" i="4"/>
  <c r="Q1705" i="2"/>
  <c r="Q1796" i="4"/>
  <c r="J1731" i="2"/>
  <c r="J1823" i="4"/>
  <c r="J1747" i="2"/>
  <c r="J1841" i="4"/>
  <c r="H1763" i="2"/>
  <c r="H1857" i="4"/>
  <c r="X1857" i="4" s="1"/>
  <c r="Z1857" i="4" s="1"/>
  <c r="M1861" i="1"/>
  <c r="M1857" i="5" s="1"/>
  <c r="X1861" i="1"/>
  <c r="J1861" i="1"/>
  <c r="J1857" i="5" s="1"/>
  <c r="V1977" i="4"/>
  <c r="W1981" i="1"/>
  <c r="V1981" i="4"/>
  <c r="W1985" i="1"/>
  <c r="V2028" i="4"/>
  <c r="W2032" i="1"/>
  <c r="V2047" i="4"/>
  <c r="W2051" i="1"/>
  <c r="V2713" i="4"/>
  <c r="W2721" i="1"/>
  <c r="U276" i="2"/>
  <c r="U288" i="4"/>
  <c r="U509" i="2"/>
  <c r="U529" i="4"/>
  <c r="X521" i="2"/>
  <c r="Z541" i="1"/>
  <c r="Z521" i="2" s="1"/>
  <c r="AA568" i="2"/>
  <c r="AA592" i="4"/>
  <c r="AB591" i="1"/>
  <c r="AB592" i="5" s="1"/>
  <c r="V800" i="2"/>
  <c r="V834" i="4"/>
  <c r="W834" i="1"/>
  <c r="W834" i="5" s="1"/>
  <c r="X824" i="2"/>
  <c r="Z859" i="1"/>
  <c r="Z824" i="2" s="1"/>
  <c r="AA845" i="2"/>
  <c r="AA884" i="4"/>
  <c r="AB884" i="1"/>
  <c r="AB884" i="5" s="1"/>
  <c r="X907" i="2"/>
  <c r="Z950" i="1"/>
  <c r="Z907" i="2" s="1"/>
  <c r="Z950" i="2"/>
  <c r="U1015" i="2"/>
  <c r="U1062" i="4"/>
  <c r="J1165" i="2"/>
  <c r="J2666" i="2" s="1"/>
  <c r="J1219" i="4"/>
  <c r="J2841" i="1"/>
  <c r="X1165" i="2"/>
  <c r="Z1220" i="1"/>
  <c r="Z1219" i="5" s="1"/>
  <c r="V1167" i="2"/>
  <c r="V1221" i="4"/>
  <c r="W1222" i="1"/>
  <c r="W1221" i="5" s="1"/>
  <c r="W1194" i="2"/>
  <c r="W1253" i="4"/>
  <c r="J1195" i="2"/>
  <c r="J1254" i="4"/>
  <c r="M1196" i="2"/>
  <c r="M1255" i="4"/>
  <c r="AA1256" i="1"/>
  <c r="AA1255" i="5" s="1"/>
  <c r="U1200" i="2"/>
  <c r="U1259" i="4"/>
  <c r="AA1260" i="1"/>
  <c r="AA1259" i="5" s="1"/>
  <c r="Q1233" i="2"/>
  <c r="Q1296" i="4"/>
  <c r="M1241" i="2"/>
  <c r="M1304" i="4"/>
  <c r="AA1305" i="1"/>
  <c r="AA1304" i="5" s="1"/>
  <c r="Q1244" i="2"/>
  <c r="Q1307" i="4"/>
  <c r="X1323" i="2"/>
  <c r="Z1393" i="1"/>
  <c r="Z1323" i="2" s="1"/>
  <c r="U1340" i="2"/>
  <c r="U1410" i="4"/>
  <c r="AA1343" i="2"/>
  <c r="AA1413" i="4"/>
  <c r="AB1414" i="1"/>
  <c r="AB1413" i="5" s="1"/>
  <c r="Q1344" i="2"/>
  <c r="Q1414" i="4"/>
  <c r="M1351" i="2"/>
  <c r="M1421" i="4"/>
  <c r="AA1422" i="1"/>
  <c r="AA1421" i="5" s="1"/>
  <c r="V1357" i="2"/>
  <c r="V1427" i="4"/>
  <c r="W1428" i="1"/>
  <c r="W1427" i="5" s="1"/>
  <c r="Q1360" i="2"/>
  <c r="Q1431" i="4"/>
  <c r="U1400" i="2"/>
  <c r="U1476" i="4"/>
  <c r="U1498" i="1"/>
  <c r="M1441" i="2"/>
  <c r="M1518" i="4"/>
  <c r="AA1519" i="1"/>
  <c r="AA1518" i="5" s="1"/>
  <c r="U1459" i="2"/>
  <c r="U1536" i="4"/>
  <c r="X1473" i="2"/>
  <c r="X1548" i="4"/>
  <c r="Z1551" i="1"/>
  <c r="Z1548" i="5" s="1"/>
  <c r="X1571" i="1"/>
  <c r="AA1481" i="2"/>
  <c r="AA1556" i="4"/>
  <c r="AB1559" i="1"/>
  <c r="AB1556" i="5" s="1"/>
  <c r="AA1489" i="2"/>
  <c r="AA1564" i="4"/>
  <c r="AB1567" i="1"/>
  <c r="AB1564" i="5" s="1"/>
  <c r="AA1500" i="2"/>
  <c r="AA1576" i="4"/>
  <c r="AB1579" i="1"/>
  <c r="AB1576" i="5" s="1"/>
  <c r="AA1508" i="2"/>
  <c r="AA1584" i="4"/>
  <c r="AB1587" i="1"/>
  <c r="AB1584" i="5" s="1"/>
  <c r="V1518" i="2"/>
  <c r="V1596" i="4"/>
  <c r="V1621" i="1"/>
  <c r="W1599" i="1"/>
  <c r="W1596" i="5" s="1"/>
  <c r="U1523" i="2"/>
  <c r="U1601" i="4"/>
  <c r="M1524" i="2"/>
  <c r="M1602" i="4"/>
  <c r="AA1605" i="1"/>
  <c r="AA1602" i="5" s="1"/>
  <c r="U1525" i="2"/>
  <c r="U1603" i="4"/>
  <c r="AA1606" i="1"/>
  <c r="AA1603" i="5" s="1"/>
  <c r="M1527" i="2"/>
  <c r="M1605" i="4"/>
  <c r="AA1608" i="1"/>
  <c r="AA1605" i="5" s="1"/>
  <c r="U1528" i="2"/>
  <c r="U1606" i="4"/>
  <c r="AA1609" i="1"/>
  <c r="AA1606" i="5" s="1"/>
  <c r="M1529" i="2"/>
  <c r="M1607" i="4"/>
  <c r="AA1610" i="1"/>
  <c r="AA1607" i="5" s="1"/>
  <c r="U1543" i="2"/>
  <c r="U1624" i="4"/>
  <c r="AA1627" i="1"/>
  <c r="AA1624" i="5" s="1"/>
  <c r="M1544" i="2"/>
  <c r="M1625" i="4"/>
  <c r="AA1628" i="1"/>
  <c r="AA1625" i="5" s="1"/>
  <c r="U1545" i="2"/>
  <c r="U1626" i="4"/>
  <c r="AA1629" i="1"/>
  <c r="AA1626" i="5" s="1"/>
  <c r="M1546" i="2"/>
  <c r="M1627" i="4"/>
  <c r="AA1630" i="1"/>
  <c r="AA1627" i="5" s="1"/>
  <c r="U1547" i="2"/>
  <c r="U1628" i="4"/>
  <c r="M1548" i="2"/>
  <c r="M1629" i="4"/>
  <c r="AA1632" i="1"/>
  <c r="AA1629" i="5" s="1"/>
  <c r="U1549" i="2"/>
  <c r="U1630" i="4"/>
  <c r="Z1550" i="2"/>
  <c r="Z1631" i="4"/>
  <c r="U1550" i="2"/>
  <c r="U1631" i="4"/>
  <c r="M1586" i="2"/>
  <c r="M1675" i="4"/>
  <c r="AA1678" i="1"/>
  <c r="AA1675" i="5" s="1"/>
  <c r="U1587" i="2"/>
  <c r="U1676" i="4"/>
  <c r="X1608" i="2"/>
  <c r="Z1703" i="1"/>
  <c r="Z1700" i="5" s="1"/>
  <c r="X1712" i="1"/>
  <c r="X1622" i="2"/>
  <c r="Z1717" i="1"/>
  <c r="Z1714" i="5" s="1"/>
  <c r="X1626" i="2"/>
  <c r="Z1721" i="1"/>
  <c r="Z1718" i="5" s="1"/>
  <c r="X1634" i="2"/>
  <c r="Z1729" i="1"/>
  <c r="Z1726" i="5" s="1"/>
  <c r="X1638" i="2"/>
  <c r="Z1733" i="1"/>
  <c r="Z1730" i="5" s="1"/>
  <c r="X1642" i="2"/>
  <c r="Z1737" i="1"/>
  <c r="Z1734" i="5" s="1"/>
  <c r="M1752" i="2"/>
  <c r="M1846" i="4"/>
  <c r="AA1850" i="1"/>
  <c r="AA1846" i="5" s="1"/>
  <c r="U1766" i="2"/>
  <c r="U1860" i="4"/>
  <c r="AA1864" i="1"/>
  <c r="AA1860" i="5" s="1"/>
  <c r="J1767" i="2"/>
  <c r="J1863" i="4"/>
  <c r="Q1777" i="2"/>
  <c r="Q1873" i="4"/>
  <c r="V2062" i="4"/>
  <c r="W2066" i="1"/>
  <c r="W2062" i="5" s="1"/>
  <c r="V2083" i="1"/>
  <c r="V2065" i="4"/>
  <c r="W2069" i="1"/>
  <c r="V2067" i="4"/>
  <c r="W2071" i="1"/>
  <c r="AA2094" i="4"/>
  <c r="AB2098" i="1"/>
  <c r="U2101" i="4"/>
  <c r="AA2105" i="1"/>
  <c r="AA2101" i="5" s="1"/>
  <c r="U2160" i="4"/>
  <c r="U2173" i="4" s="1"/>
  <c r="AA2164" i="1"/>
  <c r="AA2160" i="5" s="1"/>
  <c r="AA2166" i="4"/>
  <c r="AB2170" i="1"/>
  <c r="AA2181" i="4"/>
  <c r="AB2185" i="1"/>
  <c r="AA2185" i="4"/>
  <c r="AB2189" i="1"/>
  <c r="J2191" i="1"/>
  <c r="X2191" i="1"/>
  <c r="Z2191" i="1" s="1"/>
  <c r="M2191" i="1"/>
  <c r="M2187" i="5" s="1"/>
  <c r="H2187" i="4"/>
  <c r="X2187" i="4" s="1"/>
  <c r="Z2187" i="4" s="1"/>
  <c r="H2198" i="1"/>
  <c r="U2211" i="4"/>
  <c r="AA2215" i="1"/>
  <c r="AA2211" i="5" s="1"/>
  <c r="M2229" i="4"/>
  <c r="AA2233" i="1"/>
  <c r="AA2229" i="5" s="1"/>
  <c r="AA2491" i="4"/>
  <c r="AB2499" i="1"/>
  <c r="AB2491" i="5" s="1"/>
  <c r="V2546" i="4"/>
  <c r="W2554" i="1"/>
  <c r="X2599" i="4"/>
  <c r="Z2607" i="1"/>
  <c r="M2604" i="4"/>
  <c r="AA2612" i="1"/>
  <c r="AA2604" i="5" s="1"/>
  <c r="U2628" i="4"/>
  <c r="AA2636" i="1"/>
  <c r="AA2628" i="5" s="1"/>
  <c r="AA2696" i="4"/>
  <c r="AB2704" i="1"/>
  <c r="H2698" i="4"/>
  <c r="X2698" i="4" s="1"/>
  <c r="M2706" i="1"/>
  <c r="M2698" i="5" s="1"/>
  <c r="X2706" i="1"/>
  <c r="Z2706" i="1" s="1"/>
  <c r="H2740" i="4"/>
  <c r="X2740" i="4" s="1"/>
  <c r="M2748" i="1"/>
  <c r="M2740" i="5" s="1"/>
  <c r="X2748" i="1"/>
  <c r="Z2748" i="1" s="1"/>
  <c r="H2758" i="1"/>
  <c r="V2748" i="1"/>
  <c r="V2740" i="5" s="1"/>
  <c r="V2750" i="5" s="1"/>
  <c r="V2752" i="5" s="1"/>
  <c r="V2945" i="5" s="1"/>
  <c r="V2748" i="4"/>
  <c r="W2756" i="1"/>
  <c r="M2818" i="1"/>
  <c r="X2818" i="1"/>
  <c r="Z2818" i="1" s="1"/>
  <c r="AA2834" i="1"/>
  <c r="X478" i="2"/>
  <c r="Z499" i="1"/>
  <c r="Z478" i="2" s="1"/>
  <c r="X598" i="2"/>
  <c r="Z622" i="1"/>
  <c r="Z598" i="2" s="1"/>
  <c r="AA673" i="2"/>
  <c r="AA703" i="4"/>
  <c r="AB703" i="1"/>
  <c r="AB703" i="5" s="1"/>
  <c r="J674" i="2"/>
  <c r="J704" i="4"/>
  <c r="W677" i="2"/>
  <c r="W707" i="4"/>
  <c r="W692" i="2"/>
  <c r="W722" i="4"/>
  <c r="W693" i="2"/>
  <c r="W723" i="4"/>
  <c r="Z1164" i="2"/>
  <c r="Z1218" i="4"/>
  <c r="X1533" i="2"/>
  <c r="Z1615" i="1"/>
  <c r="Z1612" i="5" s="1"/>
  <c r="V1571" i="2"/>
  <c r="V1657" i="4"/>
  <c r="W1660" i="1"/>
  <c r="W1657" i="5" s="1"/>
  <c r="X1592" i="2"/>
  <c r="X1700" i="1"/>
  <c r="Z1684" i="1"/>
  <c r="Z1681" i="5" s="1"/>
  <c r="M1596" i="2"/>
  <c r="M1685" i="4"/>
  <c r="AA1688" i="1"/>
  <c r="AA1685" i="5" s="1"/>
  <c r="U1597" i="2"/>
  <c r="U1686" i="4"/>
  <c r="AT2865" i="1"/>
  <c r="M1600" i="2"/>
  <c r="M1689" i="4"/>
  <c r="AA1692" i="1"/>
  <c r="AA1689" i="5" s="1"/>
  <c r="U1601" i="2"/>
  <c r="U1690" i="4"/>
  <c r="AA1693" i="1"/>
  <c r="AA1690" i="5" s="1"/>
  <c r="M1693" i="4"/>
  <c r="AA1696" i="1"/>
  <c r="AA1693" i="5" s="1"/>
  <c r="AB1633" i="2"/>
  <c r="AB1725" i="4"/>
  <c r="M1775" i="2"/>
  <c r="M1871" i="4"/>
  <c r="AA1875" i="1"/>
  <c r="AA1871" i="5" s="1"/>
  <c r="M1791" i="2"/>
  <c r="M1890" i="4"/>
  <c r="AA1894" i="1"/>
  <c r="AA1890" i="5" s="1"/>
  <c r="M1918" i="4"/>
  <c r="AA1922" i="1"/>
  <c r="AA1918" i="5" s="1"/>
  <c r="M2016" i="4"/>
  <c r="AA2020" i="1"/>
  <c r="AA2016" i="5" s="1"/>
  <c r="U2017" i="4"/>
  <c r="AA2021" i="1"/>
  <c r="AA2017" i="5" s="1"/>
  <c r="AB2103" i="1"/>
  <c r="M2260" i="4"/>
  <c r="AA2264" i="1"/>
  <c r="AA2260" i="5" s="1"/>
  <c r="H2329" i="4"/>
  <c r="X2329" i="4" s="1"/>
  <c r="Z2329" i="4" s="1"/>
  <c r="J2335" i="1"/>
  <c r="M2335" i="1"/>
  <c r="M2329" i="5" s="1"/>
  <c r="X2335" i="1"/>
  <c r="Z2335" i="1" s="1"/>
  <c r="Z2377" i="1"/>
  <c r="Z2388" i="1" s="1"/>
  <c r="X2388" i="1"/>
  <c r="AA1474" i="4"/>
  <c r="AA1398" i="2"/>
  <c r="V1444" i="2"/>
  <c r="V1521" i="4"/>
  <c r="W1522" i="1"/>
  <c r="W1521" i="5" s="1"/>
  <c r="X1581" i="2"/>
  <c r="Z1670" i="1"/>
  <c r="Z1667" i="5" s="1"/>
  <c r="X1602" i="2"/>
  <c r="Z1697" i="1"/>
  <c r="Z1694" i="5" s="1"/>
  <c r="Z1654" i="2"/>
  <c r="Z1745" i="4"/>
  <c r="AA1757" i="2"/>
  <c r="AA1851" i="4"/>
  <c r="AB1855" i="1"/>
  <c r="AB1851" i="5" s="1"/>
  <c r="U458" i="2"/>
  <c r="U478" i="4"/>
  <c r="U488" i="1"/>
  <c r="M474" i="2"/>
  <c r="M494" i="4"/>
  <c r="AA495" i="1"/>
  <c r="AA494" i="5" s="1"/>
  <c r="U520" i="2"/>
  <c r="U539" i="4"/>
  <c r="U546" i="1"/>
  <c r="W626" i="2"/>
  <c r="W654" i="4"/>
  <c r="U645" i="2"/>
  <c r="U673" i="4"/>
  <c r="AA673" i="1"/>
  <c r="AA673" i="5" s="1"/>
  <c r="V649" i="2"/>
  <c r="V677" i="4"/>
  <c r="W677" i="1"/>
  <c r="W677" i="5" s="1"/>
  <c r="U665" i="2"/>
  <c r="U695" i="4"/>
  <c r="X680" i="2"/>
  <c r="Z710" i="1"/>
  <c r="Z680" i="2" s="1"/>
  <c r="AA719" i="2"/>
  <c r="AA750" i="4"/>
  <c r="AB750" i="1"/>
  <c r="AB750" i="5" s="1"/>
  <c r="X746" i="2"/>
  <c r="Z779" i="1"/>
  <c r="Z746" i="2" s="1"/>
  <c r="U817" i="2"/>
  <c r="U852" i="4"/>
  <c r="AA852" i="1"/>
  <c r="AA852" i="5" s="1"/>
  <c r="U865" i="2"/>
  <c r="U905" i="4"/>
  <c r="AA905" i="1"/>
  <c r="AA905" i="5" s="1"/>
  <c r="X889" i="2"/>
  <c r="Z932" i="1"/>
  <c r="Z889" i="2" s="1"/>
  <c r="U893" i="2"/>
  <c r="U936" i="4"/>
  <c r="AA936" i="1"/>
  <c r="AA936" i="5" s="1"/>
  <c r="Q895" i="2"/>
  <c r="Q938" i="4"/>
  <c r="V974" i="4"/>
  <c r="V932" i="2"/>
  <c r="W975" i="1"/>
  <c r="W974" i="5" s="1"/>
  <c r="W1179" i="2"/>
  <c r="W1233" i="4"/>
  <c r="AA1179" i="2"/>
  <c r="AA1233" i="4"/>
  <c r="X1181" i="2"/>
  <c r="Z1238" i="1"/>
  <c r="Z1237" i="5" s="1"/>
  <c r="W1216" i="2"/>
  <c r="W1279" i="4"/>
  <c r="AA1216" i="2"/>
  <c r="AA1279" i="4"/>
  <c r="AB1280" i="1"/>
  <c r="AB1279" i="5" s="1"/>
  <c r="AB1221" i="2"/>
  <c r="AB1284" i="4"/>
  <c r="U1225" i="2"/>
  <c r="U1288" i="4"/>
  <c r="AA1289" i="1"/>
  <c r="AA1288" i="5" s="1"/>
  <c r="X1227" i="2"/>
  <c r="Z1291" i="1"/>
  <c r="Z1227" i="2" s="1"/>
  <c r="X1232" i="2"/>
  <c r="Z1296" i="1"/>
  <c r="Z1232" i="2" s="1"/>
  <c r="M1252" i="2"/>
  <c r="M1315" i="4"/>
  <c r="AA1316" i="1"/>
  <c r="AA1315" i="5" s="1"/>
  <c r="M1254" i="2"/>
  <c r="M1317" i="4"/>
  <c r="AA1318" i="1"/>
  <c r="AA1317" i="5" s="1"/>
  <c r="W1263" i="2"/>
  <c r="W1326" i="4"/>
  <c r="V1284" i="2"/>
  <c r="V1349" i="4"/>
  <c r="W1350" i="1"/>
  <c r="W1349" i="5" s="1"/>
  <c r="M1286" i="2"/>
  <c r="M1351" i="4"/>
  <c r="AA1352" i="1"/>
  <c r="AA1351" i="5" s="1"/>
  <c r="V1293" i="2"/>
  <c r="V1358" i="4"/>
  <c r="W1359" i="1"/>
  <c r="W1358" i="5" s="1"/>
  <c r="J1385" i="4"/>
  <c r="J1316" i="2"/>
  <c r="AA1324" i="2"/>
  <c r="AA1393" i="4"/>
  <c r="AB1394" i="1"/>
  <c r="AB1393" i="5" s="1"/>
  <c r="J1400" i="4"/>
  <c r="J1330" i="2"/>
  <c r="U1336" i="2"/>
  <c r="U1406" i="4"/>
  <c r="AA1407" i="1"/>
  <c r="AA1406" i="5" s="1"/>
  <c r="Q1343" i="2"/>
  <c r="Q1413" i="4"/>
  <c r="Z1663" i="2"/>
  <c r="Z1754" i="4"/>
  <c r="J1762" i="2"/>
  <c r="J1856" i="4"/>
  <c r="J1774" i="2"/>
  <c r="J1870" i="4"/>
  <c r="U1776" i="2"/>
  <c r="U1872" i="4"/>
  <c r="AA1876" i="1"/>
  <c r="AA1872" i="5" s="1"/>
  <c r="H1777" i="2"/>
  <c r="H1873" i="4"/>
  <c r="X1873" i="4" s="1"/>
  <c r="Z1873" i="4" s="1"/>
  <c r="J1877" i="1"/>
  <c r="J1873" i="5" s="1"/>
  <c r="X1877" i="1"/>
  <c r="M1877" i="1"/>
  <c r="M1873" i="5" s="1"/>
  <c r="H1903" i="1"/>
  <c r="X1781" i="2"/>
  <c r="Z1881" i="1"/>
  <c r="Z1781" i="2" s="1"/>
  <c r="AA1786" i="2"/>
  <c r="AA1882" i="4"/>
  <c r="AB1886" i="1"/>
  <c r="AB1882" i="5" s="1"/>
  <c r="J1794" i="2"/>
  <c r="J1893" i="4"/>
  <c r="M1925" i="4"/>
  <c r="AA1929" i="1"/>
  <c r="AA1925" i="5" s="1"/>
  <c r="U2008" i="4"/>
  <c r="AA2012" i="1"/>
  <c r="AA2008" i="5" s="1"/>
  <c r="V2027" i="4"/>
  <c r="W2031" i="1"/>
  <c r="M2030" i="4"/>
  <c r="AA2034" i="1"/>
  <c r="AA2030" i="5" s="1"/>
  <c r="V2031" i="4"/>
  <c r="W2035" i="1"/>
  <c r="AA2157" i="4"/>
  <c r="AB2161" i="1"/>
  <c r="U2230" i="4"/>
  <c r="AA2234" i="1"/>
  <c r="AA2230" i="5" s="1"/>
  <c r="Q2246" i="4"/>
  <c r="Q2262" i="4" s="1"/>
  <c r="Q2266" i="1"/>
  <c r="AA2273" i="4"/>
  <c r="AB2277" i="1"/>
  <c r="M2280" i="4"/>
  <c r="AA2284" i="1"/>
  <c r="AA2280" i="5" s="1"/>
  <c r="AA2581" i="4"/>
  <c r="AB2589" i="1"/>
  <c r="V2591" i="4"/>
  <c r="W2599" i="1"/>
  <c r="W2591" i="5" s="1"/>
  <c r="V2822" i="1"/>
  <c r="AU2867" i="1"/>
  <c r="V2593" i="4"/>
  <c r="W2601" i="1"/>
  <c r="H2598" i="4"/>
  <c r="M2606" i="1"/>
  <c r="M2598" i="5" s="1"/>
  <c r="X2606" i="1"/>
  <c r="X2598" i="5" s="1"/>
  <c r="V2606" i="1"/>
  <c r="V2598" i="5" s="1"/>
  <c r="H2616" i="1"/>
  <c r="V2708" i="4"/>
  <c r="W2716" i="1"/>
  <c r="V2710" i="4"/>
  <c r="W2718" i="1"/>
  <c r="V2712" i="4"/>
  <c r="W2720" i="1"/>
  <c r="V2714" i="4"/>
  <c r="W2722" i="1"/>
  <c r="M954" i="2"/>
  <c r="M997" i="4"/>
  <c r="AA998" i="1"/>
  <c r="AA997" i="5" s="1"/>
  <c r="X958" i="2"/>
  <c r="Z1002" i="1"/>
  <c r="Z958" i="2" s="1"/>
  <c r="X972" i="2"/>
  <c r="Z1018" i="1"/>
  <c r="M1133" i="2"/>
  <c r="M1185" i="4"/>
  <c r="AA1186" i="1"/>
  <c r="AA1185" i="5" s="1"/>
  <c r="X1144" i="2"/>
  <c r="X1196" i="4"/>
  <c r="Z1197" i="1"/>
  <c r="Z1196" i="5" s="1"/>
  <c r="V1226" i="2"/>
  <c r="V1289" i="4"/>
  <c r="W1290" i="1"/>
  <c r="W1289" i="5" s="1"/>
  <c r="Q1228" i="2"/>
  <c r="Q1291" i="4"/>
  <c r="J1294" i="4"/>
  <c r="J1231" i="2"/>
  <c r="W1359" i="2"/>
  <c r="W1430" i="4"/>
  <c r="AB1385" i="2"/>
  <c r="AB1456" i="4"/>
  <c r="V1392" i="2"/>
  <c r="V1465" i="4"/>
  <c r="Q1398" i="2"/>
  <c r="Q1474" i="4"/>
  <c r="Q1498" i="1"/>
  <c r="Z1479" i="2"/>
  <c r="Z1554" i="4"/>
  <c r="Z1500" i="2"/>
  <c r="Z1576" i="4"/>
  <c r="Z1508" i="2"/>
  <c r="Z1584" i="4"/>
  <c r="X1540" i="2"/>
  <c r="Z1624" i="1"/>
  <c r="Z1621" i="5" s="1"/>
  <c r="X1568" i="2"/>
  <c r="Z1654" i="1"/>
  <c r="Z1651" i="5" s="1"/>
  <c r="X1594" i="2"/>
  <c r="Z1686" i="1"/>
  <c r="Z1683" i="5" s="1"/>
  <c r="V1595" i="2"/>
  <c r="V1684" i="4"/>
  <c r="W1687" i="1"/>
  <c r="W1684" i="5" s="1"/>
  <c r="X1598" i="2"/>
  <c r="Z1690" i="1"/>
  <c r="Z1687" i="5" s="1"/>
  <c r="V1599" i="2"/>
  <c r="V1688" i="4"/>
  <c r="W1691" i="1"/>
  <c r="W1688" i="5" s="1"/>
  <c r="Q1654" i="2"/>
  <c r="Q1745" i="4"/>
  <c r="Q1762" i="1"/>
  <c r="X1762" i="1"/>
  <c r="U1656" i="2"/>
  <c r="U1747" i="4"/>
  <c r="J1665" i="2"/>
  <c r="J1756" i="4"/>
  <c r="M1670" i="2"/>
  <c r="M1761" i="4"/>
  <c r="M1771" i="1"/>
  <c r="AA1765" i="1"/>
  <c r="AA1761" i="5" s="1"/>
  <c r="M1699" i="2"/>
  <c r="M1790" i="4"/>
  <c r="AA1794" i="1"/>
  <c r="AA1790" i="5" s="1"/>
  <c r="M1706" i="2"/>
  <c r="M1798" i="4"/>
  <c r="AA1802" i="1"/>
  <c r="AA1798" i="5" s="1"/>
  <c r="X1738" i="2"/>
  <c r="Z1834" i="1"/>
  <c r="Z1738" i="2" s="1"/>
  <c r="M1926" i="4"/>
  <c r="AA1930" i="1"/>
  <c r="AA1926" i="5" s="1"/>
  <c r="M1933" i="4"/>
  <c r="AA1937" i="1"/>
  <c r="AA1933" i="5" s="1"/>
  <c r="AA2124" i="4"/>
  <c r="AB2128" i="1"/>
  <c r="AA2267" i="4"/>
  <c r="AB2271" i="1"/>
  <c r="AA2293" i="1"/>
  <c r="AA2289" i="5" s="1"/>
  <c r="M2289" i="4"/>
  <c r="U2328" i="4"/>
  <c r="AA2334" i="1"/>
  <c r="AA2328" i="5" s="1"/>
  <c r="M2431" i="4"/>
  <c r="M2452" i="1"/>
  <c r="AA2437" i="1"/>
  <c r="AA2431" i="5" s="1"/>
  <c r="M2433" i="4"/>
  <c r="AA2439" i="1"/>
  <c r="AA2433" i="5" s="1"/>
  <c r="M2437" i="4"/>
  <c r="AA2443" i="1"/>
  <c r="AA2437" i="5" s="1"/>
  <c r="M2439" i="4"/>
  <c r="AA2445" i="1"/>
  <c r="AA2439" i="5" s="1"/>
  <c r="U2454" i="4"/>
  <c r="U2478" i="1"/>
  <c r="V1107" i="2"/>
  <c r="V1157" i="4"/>
  <c r="W1158" i="1"/>
  <c r="W1157" i="5" s="1"/>
  <c r="V1614" i="2"/>
  <c r="V1706" i="4"/>
  <c r="W1709" i="1"/>
  <c r="W1706" i="5" s="1"/>
  <c r="AA2592" i="4"/>
  <c r="AB2600" i="1"/>
  <c r="V2651" i="4"/>
  <c r="W2659" i="1"/>
  <c r="M2742" i="4"/>
  <c r="AA2750" i="1"/>
  <c r="AA2742" i="5" s="1"/>
  <c r="Q815" i="2"/>
  <c r="Q850" i="4"/>
  <c r="Q872" i="1"/>
  <c r="U815" i="2"/>
  <c r="U850" i="4"/>
  <c r="AA850" i="1"/>
  <c r="AA850" i="5" s="1"/>
  <c r="Q859" i="2"/>
  <c r="Q899" i="4"/>
  <c r="H915" i="4"/>
  <c r="X915" i="4" s="1"/>
  <c r="Z915" i="4" s="1"/>
  <c r="X915" i="1"/>
  <c r="Z915" i="1" s="1"/>
  <c r="M915" i="1"/>
  <c r="M915" i="5" s="1"/>
  <c r="V959" i="2"/>
  <c r="V1002" i="4"/>
  <c r="W1003" i="1"/>
  <c r="W1002" i="5" s="1"/>
  <c r="X999" i="2"/>
  <c r="Z1045" i="1"/>
  <c r="Z999" i="2" s="1"/>
  <c r="W1014" i="2"/>
  <c r="W1059" i="4"/>
  <c r="V1147" i="2"/>
  <c r="V1199" i="4"/>
  <c r="W1200" i="1"/>
  <c r="W1199" i="5" s="1"/>
  <c r="X1163" i="2"/>
  <c r="Z1218" i="1"/>
  <c r="Z1217" i="5" s="1"/>
  <c r="U1163" i="2"/>
  <c r="U1217" i="4"/>
  <c r="U1245" i="1"/>
  <c r="J1790" i="2"/>
  <c r="J1889" i="4"/>
  <c r="V2462" i="4"/>
  <c r="W2470" i="1"/>
  <c r="X2467" i="4"/>
  <c r="Z2475" i="1"/>
  <c r="X2496" i="1"/>
  <c r="Z2481" i="1"/>
  <c r="Z2473" i="5" s="1"/>
  <c r="V2476" i="4"/>
  <c r="W2484" i="1"/>
  <c r="V2482" i="4"/>
  <c r="W2490" i="1"/>
  <c r="V2530" i="4"/>
  <c r="W2538" i="1"/>
  <c r="V2596" i="4"/>
  <c r="W2604" i="1"/>
  <c r="V2632" i="4"/>
  <c r="W2640" i="1"/>
  <c r="V2667" i="4"/>
  <c r="W2675" i="1"/>
  <c r="J1319" i="2"/>
  <c r="J1388" i="4"/>
  <c r="X1328" i="2"/>
  <c r="Z1399" i="1"/>
  <c r="Z1328" i="2" s="1"/>
  <c r="M1423" i="2"/>
  <c r="M1500" i="4"/>
  <c r="AA1501" i="1"/>
  <c r="AA1500" i="5" s="1"/>
  <c r="W1441" i="2"/>
  <c r="W1518" i="4"/>
  <c r="J1684" i="2"/>
  <c r="J1775" i="4"/>
  <c r="X1697" i="2"/>
  <c r="Z1792" i="1"/>
  <c r="Z1697" i="2" s="1"/>
  <c r="AA1700" i="2"/>
  <c r="AA1791" i="4"/>
  <c r="AB1795" i="1"/>
  <c r="AB1791" i="5" s="1"/>
  <c r="U1703" i="2"/>
  <c r="U1794" i="4"/>
  <c r="Q1758" i="2"/>
  <c r="Q1852" i="4"/>
  <c r="U2321" i="4"/>
  <c r="U2347" i="1"/>
  <c r="X2468" i="4"/>
  <c r="Z2476" i="1"/>
  <c r="V2623" i="4"/>
  <c r="W2631" i="1"/>
  <c r="AB2653" i="1"/>
  <c r="V2735" i="4"/>
  <c r="W2743" i="1"/>
  <c r="AB2837" i="1"/>
  <c r="AA2844" i="1"/>
  <c r="U2847" i="1"/>
  <c r="X2847" i="1"/>
  <c r="Z2847" i="1" s="1"/>
  <c r="Q1253" i="2"/>
  <c r="Q1316" i="4"/>
  <c r="Q1270" i="2"/>
  <c r="Q1335" i="4"/>
  <c r="J1387" i="2"/>
  <c r="J1458" i="4"/>
  <c r="W1429" i="2"/>
  <c r="W1506" i="4"/>
  <c r="Z1475" i="2"/>
  <c r="Z1550" i="4"/>
  <c r="M2158" i="4"/>
  <c r="AA2162" i="1"/>
  <c r="AA2158" i="5" s="1"/>
  <c r="V2555" i="4"/>
  <c r="W2563" i="1"/>
  <c r="U2575" i="4"/>
  <c r="AA2583" i="1"/>
  <c r="AA2575" i="5" s="1"/>
  <c r="V2595" i="4"/>
  <c r="V2825" i="1"/>
  <c r="W2603" i="1"/>
  <c r="W2595" i="5" s="1"/>
  <c r="V2671" i="4"/>
  <c r="W2679" i="1"/>
  <c r="AB2835" i="1"/>
  <c r="M2676" i="4"/>
  <c r="AA2684" i="1"/>
  <c r="AA2676" i="5" s="1"/>
  <c r="V795" i="2"/>
  <c r="V829" i="4"/>
  <c r="W829" i="1"/>
  <c r="W829" i="5" s="1"/>
  <c r="X840" i="2"/>
  <c r="Z879" i="1"/>
  <c r="Z840" i="2" s="1"/>
  <c r="U840" i="2"/>
  <c r="U879" i="4"/>
  <c r="H883" i="2"/>
  <c r="H926" i="4"/>
  <c r="X926" i="4" s="1"/>
  <c r="Z926" i="4" s="1"/>
  <c r="X926" i="1"/>
  <c r="J926" i="1"/>
  <c r="J926" i="5" s="1"/>
  <c r="J941" i="5" s="1"/>
  <c r="M926" i="1"/>
  <c r="M926" i="5" s="1"/>
  <c r="M941" i="5" s="1"/>
  <c r="V926" i="1"/>
  <c r="H941" i="1"/>
  <c r="AA1009" i="4"/>
  <c r="AB1010" i="1"/>
  <c r="V1010" i="2"/>
  <c r="V1055" i="4"/>
  <c r="W1056" i="1"/>
  <c r="W1055" i="5" s="1"/>
  <c r="AB1079" i="4"/>
  <c r="V1083" i="2"/>
  <c r="V1133" i="4"/>
  <c r="W1134" i="1"/>
  <c r="W1133" i="5" s="1"/>
  <c r="AA1103" i="2"/>
  <c r="AA1153" i="4"/>
  <c r="AB1154" i="1"/>
  <c r="AB1153" i="5" s="1"/>
  <c r="Q1178" i="2"/>
  <c r="Q1232" i="4"/>
  <c r="Q1258" i="4"/>
  <c r="Q1199" i="2"/>
  <c r="H1204" i="2"/>
  <c r="H1263" i="4"/>
  <c r="X1263" i="4" s="1"/>
  <c r="Z1263" i="4" s="1"/>
  <c r="J1264" i="1"/>
  <c r="J1263" i="5" s="1"/>
  <c r="X1264" i="1"/>
  <c r="M1264" i="1"/>
  <c r="M1263" i="5" s="1"/>
  <c r="V1264" i="1"/>
  <c r="V1263" i="5" s="1"/>
  <c r="Q1353" i="2"/>
  <c r="Q1423" i="4"/>
  <c r="W1354" i="2"/>
  <c r="W1424" i="4"/>
  <c r="X1391" i="2"/>
  <c r="Z1464" i="1"/>
  <c r="Z1391" i="2" s="1"/>
  <c r="J1409" i="2"/>
  <c r="J1485" i="4"/>
  <c r="V1462" i="2"/>
  <c r="V1539" i="4"/>
  <c r="W1540" i="1"/>
  <c r="W1539" i="5" s="1"/>
  <c r="V1474" i="2"/>
  <c r="V1549" i="4"/>
  <c r="W1552" i="1"/>
  <c r="W1549" i="5" s="1"/>
  <c r="Z1551" i="2"/>
  <c r="Z1633" i="4"/>
  <c r="X1696" i="2"/>
  <c r="X1806" i="1"/>
  <c r="Z1791" i="1"/>
  <c r="I2830" i="1"/>
  <c r="I2914" i="1"/>
  <c r="H1764" i="2"/>
  <c r="H1858" i="4"/>
  <c r="X1858" i="4" s="1"/>
  <c r="Z1858" i="4" s="1"/>
  <c r="M1862" i="1"/>
  <c r="M1858" i="5" s="1"/>
  <c r="X1862" i="1"/>
  <c r="J1862" i="1"/>
  <c r="J1858" i="5" s="1"/>
  <c r="X1782" i="2"/>
  <c r="Z1882" i="1"/>
  <c r="Z1782" i="2" s="1"/>
  <c r="J1793" i="2"/>
  <c r="J1892" i="4"/>
  <c r="V1991" i="4"/>
  <c r="W1995" i="1"/>
  <c r="V1999" i="4"/>
  <c r="W2003" i="1"/>
  <c r="Q2197" i="4"/>
  <c r="Q2219" i="4" s="1"/>
  <c r="Q2223" i="1"/>
  <c r="H2200" i="4"/>
  <c r="X2200" i="4" s="1"/>
  <c r="Z2200" i="4" s="1"/>
  <c r="J2204" i="1"/>
  <c r="X2204" i="1"/>
  <c r="Z2204" i="1" s="1"/>
  <c r="M2204" i="1"/>
  <c r="M2200" i="5" s="1"/>
  <c r="M2219" i="5" s="1"/>
  <c r="H2223" i="1"/>
  <c r="U2456" i="4"/>
  <c r="AA2464" i="1"/>
  <c r="AA2456" i="5" s="1"/>
  <c r="M2461" i="4"/>
  <c r="AA2469" i="1"/>
  <c r="AA2461" i="5" s="1"/>
  <c r="U2464" i="4"/>
  <c r="AA2472" i="1"/>
  <c r="AA2464" i="5" s="1"/>
  <c r="U2573" i="4"/>
  <c r="U2616" i="1"/>
  <c r="M2578" i="4"/>
  <c r="AA2586" i="1"/>
  <c r="AA2578" i="5" s="1"/>
  <c r="M2624" i="4"/>
  <c r="AA2632" i="1"/>
  <c r="AA2624" i="5" s="1"/>
  <c r="U2665" i="4"/>
  <c r="U2691" i="1"/>
  <c r="X2670" i="4"/>
  <c r="Z2678" i="1"/>
  <c r="Q1339" i="2"/>
  <c r="Q1409" i="4"/>
  <c r="W1402" i="2"/>
  <c r="W1478" i="4"/>
  <c r="X1435" i="2"/>
  <c r="Z1513" i="1"/>
  <c r="Z1435" i="2" s="1"/>
  <c r="V1512" i="2"/>
  <c r="V1590" i="4"/>
  <c r="W1593" i="1"/>
  <c r="W1590" i="5" s="1"/>
  <c r="W1612" i="4"/>
  <c r="W1533" i="2"/>
  <c r="AA2442" i="4"/>
  <c r="AB2448" i="1"/>
  <c r="AA2561" i="4"/>
  <c r="AB2569" i="1"/>
  <c r="V2577" i="4"/>
  <c r="W2585" i="1"/>
  <c r="V995" i="2"/>
  <c r="V1040" i="4"/>
  <c r="W1041" i="1"/>
  <c r="W1040" i="5" s="1"/>
  <c r="U1060" i="2"/>
  <c r="U1109" i="4"/>
  <c r="U1130" i="1"/>
  <c r="W1144" i="2"/>
  <c r="W1196" i="4"/>
  <c r="U1438" i="4"/>
  <c r="U1367" i="2"/>
  <c r="AA1439" i="1"/>
  <c r="AA1438" i="5" s="1"/>
  <c r="Z1528" i="2"/>
  <c r="Z1606" i="4"/>
  <c r="M1610" i="2"/>
  <c r="M1702" i="4"/>
  <c r="AA1705" i="1"/>
  <c r="AA1702" i="5" s="1"/>
  <c r="M1712" i="1"/>
  <c r="Z1611" i="2"/>
  <c r="Z1703" i="4"/>
  <c r="M1689" i="2"/>
  <c r="M1780" i="4"/>
  <c r="AA1784" i="1"/>
  <c r="AA1780" i="5" s="1"/>
  <c r="Q1721" i="2"/>
  <c r="Q1813" i="4"/>
  <c r="X1753" i="2"/>
  <c r="Z1851" i="1"/>
  <c r="Z1753" i="2" s="1"/>
  <c r="AA2436" i="4"/>
  <c r="AB2442" i="1"/>
  <c r="V2538" i="4"/>
  <c r="W2546" i="1"/>
  <c r="V2580" i="4"/>
  <c r="W2588" i="1"/>
  <c r="M2668" i="4"/>
  <c r="AA2676" i="1"/>
  <c r="AA2668" i="5" s="1"/>
  <c r="X2676" i="4"/>
  <c r="Z2684" i="1"/>
  <c r="V2719" i="4"/>
  <c r="W2727" i="1"/>
  <c r="AA2808" i="1"/>
  <c r="AA2595" i="4"/>
  <c r="AB2603" i="1"/>
  <c r="V1571" i="1"/>
  <c r="X1483" i="4"/>
  <c r="Z1483" i="4" s="1"/>
  <c r="E1667" i="2"/>
  <c r="X1810" i="4"/>
  <c r="Z1810" i="4" s="1"/>
  <c r="P1742" i="1"/>
  <c r="P2912" i="1" s="1"/>
  <c r="X1782" i="4"/>
  <c r="Z1782" i="4" s="1"/>
  <c r="F2298" i="1"/>
  <c r="F2918" i="1" s="1"/>
  <c r="Y226" i="2"/>
  <c r="L125" i="2"/>
  <c r="F2314" i="2"/>
  <c r="F2744" i="2" s="1"/>
  <c r="AA1806" i="2"/>
  <c r="AB1806" i="2" s="1"/>
  <c r="Y961" i="4"/>
  <c r="K1190" i="4"/>
  <c r="K2911" i="4" s="1"/>
  <c r="J2250" i="2"/>
  <c r="T1190" i="4"/>
  <c r="T2911" i="4" s="1"/>
  <c r="Z132" i="4"/>
  <c r="Z2901" i="4" s="1"/>
  <c r="Q2081" i="4"/>
  <c r="Q2919" i="4" s="1"/>
  <c r="M1995" i="2"/>
  <c r="Z78" i="4"/>
  <c r="K261" i="4"/>
  <c r="X377" i="4"/>
  <c r="Z377" i="4" s="1"/>
  <c r="X304" i="4"/>
  <c r="Z304" i="4" s="1"/>
  <c r="X404" i="4"/>
  <c r="X449" i="4"/>
  <c r="X455" i="4"/>
  <c r="X629" i="4"/>
  <c r="K2660" i="4"/>
  <c r="K2927" i="4" s="1"/>
  <c r="X381" i="4"/>
  <c r="Z381" i="4" s="1"/>
  <c r="X504" i="4"/>
  <c r="Z504" i="4" s="1"/>
  <c r="X614" i="4"/>
  <c r="Z614" i="4" s="1"/>
  <c r="P809" i="2"/>
  <c r="V403" i="2"/>
  <c r="V2726" i="2" s="1"/>
  <c r="G403" i="2"/>
  <c r="G2726" i="2" s="1"/>
  <c r="I615" i="2"/>
  <c r="L1466" i="2"/>
  <c r="L2734" i="2" s="1"/>
  <c r="T1466" i="2"/>
  <c r="T2734" i="2" s="1"/>
  <c r="V1904" i="2"/>
  <c r="AA2019" i="2"/>
  <c r="AB2019" i="2" s="1"/>
  <c r="AA2079" i="2"/>
  <c r="AB2079" i="2" s="1"/>
  <c r="E2314" i="2"/>
  <c r="E2744" i="2" s="1"/>
  <c r="V2505" i="2"/>
  <c r="W2505" i="2" s="1"/>
  <c r="U1883" i="2"/>
  <c r="Q2235" i="2"/>
  <c r="Q2656" i="2"/>
  <c r="Z2137" i="2"/>
  <c r="G132" i="4"/>
  <c r="Y640" i="4"/>
  <c r="Y1190" i="4"/>
  <c r="Q1847" i="2"/>
  <c r="AA1834" i="2"/>
  <c r="AB1834" i="2" s="1"/>
  <c r="U2277" i="2"/>
  <c r="K1865" i="2"/>
  <c r="K2738" i="2" s="1"/>
  <c r="H2686" i="2"/>
  <c r="J132" i="4"/>
  <c r="L421" i="4"/>
  <c r="L2905" i="4" s="1"/>
  <c r="R1190" i="4"/>
  <c r="R2911" i="4" s="1"/>
  <c r="Z2058" i="2"/>
  <c r="Z2072" i="2" s="1"/>
  <c r="U2211" i="2"/>
  <c r="L1190" i="4"/>
  <c r="L2911" i="4" s="1"/>
  <c r="U2489" i="2"/>
  <c r="P2511" i="2"/>
  <c r="P2748" i="2" s="1"/>
  <c r="V2645" i="2"/>
  <c r="O640" i="4"/>
  <c r="O2907" i="4" s="1"/>
  <c r="T1739" i="4"/>
  <c r="T2915" i="4" s="1"/>
  <c r="Q2052" i="2"/>
  <c r="AA2029" i="2"/>
  <c r="AB2029" i="2" s="1"/>
  <c r="X116" i="4"/>
  <c r="Z116" i="4" s="1"/>
  <c r="Q1190" i="4"/>
  <c r="Q2911" i="4" s="1"/>
  <c r="U2137" i="2"/>
  <c r="X105" i="4"/>
  <c r="Z105" i="4" s="1"/>
  <c r="X120" i="4"/>
  <c r="Z120" i="4" s="1"/>
  <c r="X122" i="4"/>
  <c r="Z122" i="4" s="1"/>
  <c r="X124" i="4"/>
  <c r="Z124" i="4" s="1"/>
  <c r="X187" i="4"/>
  <c r="Z187" i="4" s="1"/>
  <c r="X199" i="4"/>
  <c r="Z199" i="4" s="1"/>
  <c r="X200" i="4"/>
  <c r="Z200" i="4" s="1"/>
  <c r="X223" i="4"/>
  <c r="Z223" i="4" s="1"/>
  <c r="F235" i="4"/>
  <c r="F261" i="4"/>
  <c r="X264" i="4"/>
  <c r="X273" i="4"/>
  <c r="X305" i="4"/>
  <c r="Z305" i="4" s="1"/>
  <c r="U2356" i="2"/>
  <c r="Y2081" i="4"/>
  <c r="M2294" i="2"/>
  <c r="X56" i="4"/>
  <c r="Z56" i="4" s="1"/>
  <c r="X58" i="4"/>
  <c r="Z58" i="4" s="1"/>
  <c r="X60" i="4"/>
  <c r="Z60" i="4" s="1"/>
  <c r="X64" i="4"/>
  <c r="Z64" i="4" s="1"/>
  <c r="X71" i="4"/>
  <c r="Z71" i="4" s="1"/>
  <c r="X73" i="4"/>
  <c r="Z73" i="4" s="1"/>
  <c r="X152" i="4"/>
  <c r="X155" i="4"/>
  <c r="X204" i="4"/>
  <c r="Z204" i="4" s="1"/>
  <c r="X205" i="4"/>
  <c r="Z205" i="4" s="1"/>
  <c r="X230" i="4"/>
  <c r="Z230" i="4" s="1"/>
  <c r="X231" i="4"/>
  <c r="Z231" i="4" s="1"/>
  <c r="X265" i="4"/>
  <c r="X338" i="4"/>
  <c r="Z338" i="4" s="1"/>
  <c r="X343" i="4"/>
  <c r="Z343" i="4" s="1"/>
  <c r="X364" i="4"/>
  <c r="Z364" i="4" s="1"/>
  <c r="X393" i="4"/>
  <c r="Z393" i="4" s="1"/>
  <c r="N1969" i="4"/>
  <c r="N2917" i="4" s="1"/>
  <c r="Z2312" i="2"/>
  <c r="N22" i="4"/>
  <c r="X215" i="4"/>
  <c r="Z215" i="4" s="1"/>
  <c r="E353" i="2"/>
  <c r="P353" i="2"/>
  <c r="E426" i="2"/>
  <c r="L1739" i="4"/>
  <c r="L2915" i="4" s="1"/>
  <c r="K2567" i="4"/>
  <c r="K2925" i="4" s="1"/>
  <c r="J2165" i="2"/>
  <c r="X80" i="4"/>
  <c r="Z80" i="4" s="1"/>
  <c r="X84" i="4"/>
  <c r="Z84" i="4" s="1"/>
  <c r="X214" i="4"/>
  <c r="Z214" i="4" s="1"/>
  <c r="K268" i="2"/>
  <c r="X297" i="4"/>
  <c r="Z297" i="4" s="1"/>
  <c r="X352" i="4"/>
  <c r="Z352" i="4" s="1"/>
  <c r="X380" i="4"/>
  <c r="Z380" i="4" s="1"/>
  <c r="X112" i="4"/>
  <c r="Z112" i="4" s="1"/>
  <c r="X123" i="4"/>
  <c r="Z123" i="4" s="1"/>
  <c r="P237" i="1"/>
  <c r="P2900" i="1" s="1"/>
  <c r="X206" i="4"/>
  <c r="Z206" i="4" s="1"/>
  <c r="X283" i="4"/>
  <c r="Z283" i="4" s="1"/>
  <c r="X463" i="4"/>
  <c r="Z463" i="4" s="1"/>
  <c r="X467" i="4"/>
  <c r="Z467" i="4" s="1"/>
  <c r="X469" i="4"/>
  <c r="Z469" i="4" s="1"/>
  <c r="X549" i="4"/>
  <c r="Z549" i="4" s="1"/>
  <c r="X551" i="4"/>
  <c r="Z551" i="4" s="1"/>
  <c r="X613" i="4"/>
  <c r="Z613" i="4" s="1"/>
  <c r="X615" i="4"/>
  <c r="Z615" i="4" s="1"/>
  <c r="X633" i="4"/>
  <c r="X652" i="4"/>
  <c r="X653" i="4"/>
  <c r="X654" i="4"/>
  <c r="X655" i="4"/>
  <c r="X686" i="4"/>
  <c r="Z686" i="4" s="1"/>
  <c r="X703" i="4"/>
  <c r="Z703" i="4" s="1"/>
  <c r="X726" i="4"/>
  <c r="Z726" i="4" s="1"/>
  <c r="X739" i="4"/>
  <c r="Z739" i="4" s="1"/>
  <c r="X741" i="4"/>
  <c r="Z741" i="4" s="1"/>
  <c r="X748" i="4"/>
  <c r="Z748" i="4" s="1"/>
  <c r="L640" i="4"/>
  <c r="L2907" i="4" s="1"/>
  <c r="G2567" i="4"/>
  <c r="G2925" i="4" s="1"/>
  <c r="AA58" i="1"/>
  <c r="AA58" i="5" s="1"/>
  <c r="E961" i="1"/>
  <c r="E2906" i="1" s="1"/>
  <c r="AA2102" i="2"/>
  <c r="AB2102" i="2" s="1"/>
  <c r="H132" i="1"/>
  <c r="H123" i="2"/>
  <c r="X158" i="4"/>
  <c r="X179" i="4"/>
  <c r="Z179" i="4" s="1"/>
  <c r="X191" i="4"/>
  <c r="Z191" i="4" s="1"/>
  <c r="H426" i="2"/>
  <c r="AA436" i="1"/>
  <c r="AA435" i="5" s="1"/>
  <c r="P537" i="2"/>
  <c r="K684" i="2"/>
  <c r="E712" i="2"/>
  <c r="X86" i="4"/>
  <c r="Z86" i="4" s="1"/>
  <c r="V130" i="1"/>
  <c r="P422" i="1"/>
  <c r="P2902" i="1" s="1"/>
  <c r="P250" i="2"/>
  <c r="P437" i="2"/>
  <c r="H453" i="2"/>
  <c r="X492" i="4"/>
  <c r="Z492" i="4" s="1"/>
  <c r="X496" i="4"/>
  <c r="Z496" i="4" s="1"/>
  <c r="X507" i="4"/>
  <c r="Z507" i="4" s="1"/>
  <c r="P600" i="2"/>
  <c r="X675" i="4"/>
  <c r="Z675" i="4" s="1"/>
  <c r="X700" i="4"/>
  <c r="Z700" i="4" s="1"/>
  <c r="X738" i="4"/>
  <c r="Z738" i="4" s="1"/>
  <c r="X935" i="4"/>
  <c r="Z935" i="4" s="1"/>
  <c r="P904" i="2"/>
  <c r="F968" i="2"/>
  <c r="H1135" i="2"/>
  <c r="E132" i="1"/>
  <c r="X374" i="4"/>
  <c r="Z374" i="4" s="1"/>
  <c r="X548" i="4"/>
  <c r="Z548" i="4" s="1"/>
  <c r="X582" i="4"/>
  <c r="Z582" i="4" s="1"/>
  <c r="H613" i="2"/>
  <c r="X719" i="4"/>
  <c r="Z719" i="4" s="1"/>
  <c r="X724" i="4"/>
  <c r="Z724" i="4" s="1"/>
  <c r="X754" i="4"/>
  <c r="Z754" i="4" s="1"/>
  <c r="X766" i="4"/>
  <c r="Z766" i="4" s="1"/>
  <c r="P768" i="2"/>
  <c r="F879" i="2"/>
  <c r="N968" i="2"/>
  <c r="N1137" i="2" s="1"/>
  <c r="N2732" i="2" s="1"/>
  <c r="E1093" i="2"/>
  <c r="X2294" i="4"/>
  <c r="X2921" i="4" s="1"/>
  <c r="X674" i="4"/>
  <c r="Z674" i="4" s="1"/>
  <c r="X1029" i="4"/>
  <c r="Z1029" i="4" s="1"/>
  <c r="H1018" i="2"/>
  <c r="X1057" i="4"/>
  <c r="Z1057" i="4" s="1"/>
  <c r="X1069" i="4"/>
  <c r="Z1069" i="4" s="1"/>
  <c r="X1073" i="4"/>
  <c r="Z1073" i="4" s="1"/>
  <c r="X579" i="4"/>
  <c r="Z579" i="4" s="1"/>
  <c r="X604" i="4"/>
  <c r="Z604" i="4" s="1"/>
  <c r="F639" i="1"/>
  <c r="F2904" i="1" s="1"/>
  <c r="X1008" i="4"/>
  <c r="Z1008" i="4" s="1"/>
  <c r="X1020" i="4"/>
  <c r="Z1020" i="4" s="1"/>
  <c r="X1089" i="4"/>
  <c r="Z1089" i="4" s="1"/>
  <c r="X1091" i="4"/>
  <c r="Z1091" i="4" s="1"/>
  <c r="X1093" i="4"/>
  <c r="Z1093" i="4" s="1"/>
  <c r="X1095" i="4"/>
  <c r="Z1095" i="4" s="1"/>
  <c r="X1097" i="4"/>
  <c r="Z1097" i="4" s="1"/>
  <c r="X1100" i="4"/>
  <c r="Z1100" i="4" s="1"/>
  <c r="P1246" i="2"/>
  <c r="F1332" i="2"/>
  <c r="P87" i="2"/>
  <c r="AA552" i="1"/>
  <c r="AA551" i="5" s="1"/>
  <c r="P549" i="2"/>
  <c r="X577" i="4"/>
  <c r="Z577" i="4" s="1"/>
  <c r="X773" i="4"/>
  <c r="Z773" i="4" s="1"/>
  <c r="X784" i="4"/>
  <c r="Z784" i="4" s="1"/>
  <c r="X1295" i="4"/>
  <c r="Z1295" i="4" s="1"/>
  <c r="V1321" i="1"/>
  <c r="V1320" i="5" s="1"/>
  <c r="V1339" i="5" s="1"/>
  <c r="P1362" i="2"/>
  <c r="X1482" i="4"/>
  <c r="Z1482" i="4" s="1"/>
  <c r="X1488" i="4"/>
  <c r="Z1488" i="4" s="1"/>
  <c r="H1537" i="2"/>
  <c r="X1630" i="4"/>
  <c r="P1749" i="2"/>
  <c r="P1769" i="2"/>
  <c r="X525" i="4"/>
  <c r="Z525" i="4" s="1"/>
  <c r="X1172" i="4"/>
  <c r="Z1172" i="4" s="1"/>
  <c r="AA1199" i="1"/>
  <c r="AA1198" i="5" s="1"/>
  <c r="X1224" i="4"/>
  <c r="V488" i="1"/>
  <c r="H526" i="2"/>
  <c r="X2265" i="4"/>
  <c r="Z2265" i="4" s="1"/>
  <c r="X928" i="4"/>
  <c r="Z928" i="4" s="1"/>
  <c r="X1011" i="4"/>
  <c r="Z1011" i="4" s="1"/>
  <c r="X1119" i="4"/>
  <c r="Z1119" i="4" s="1"/>
  <c r="X1868" i="4"/>
  <c r="Z1868" i="4" s="1"/>
  <c r="AA2046" i="1"/>
  <c r="AA2042" i="5" s="1"/>
  <c r="AA2050" i="1"/>
  <c r="AA2046" i="5" s="1"/>
  <c r="AA2054" i="1"/>
  <c r="AA2050" i="5" s="1"/>
  <c r="P2298" i="1"/>
  <c r="P2918" i="1" s="1"/>
  <c r="E1185" i="2"/>
  <c r="AA1631" i="1"/>
  <c r="AA1628" i="5" s="1"/>
  <c r="P1667" i="2"/>
  <c r="AA1774" i="1"/>
  <c r="AA1770" i="5" s="1"/>
  <c r="X1894" i="4"/>
  <c r="Z1894" i="4" s="1"/>
  <c r="X2197" i="4"/>
  <c r="Z2197" i="4" s="1"/>
  <c r="Z1294" i="1"/>
  <c r="Z1230" i="2" s="1"/>
  <c r="U1434" i="1"/>
  <c r="X677" i="4"/>
  <c r="Z677" i="4" s="1"/>
  <c r="X785" i="4"/>
  <c r="Z785" i="4" s="1"/>
  <c r="X865" i="4"/>
  <c r="Z865" i="4" s="1"/>
  <c r="V1681" i="1"/>
  <c r="X1765" i="4"/>
  <c r="X1881" i="4"/>
  <c r="Z1881" i="4" s="1"/>
  <c r="Z1928" i="4"/>
  <c r="AB1936" i="1"/>
  <c r="AA1963" i="1"/>
  <c r="AA1959" i="5" s="1"/>
  <c r="AA2585" i="1"/>
  <c r="AA2577" i="5" s="1"/>
  <c r="AA2708" i="1"/>
  <c r="AA2700" i="5" s="1"/>
  <c r="P988" i="2"/>
  <c r="X1441" i="4"/>
  <c r="Z1441" i="4" s="1"/>
  <c r="AA1633" i="1"/>
  <c r="AA1630" i="5" s="1"/>
  <c r="X1642" i="4"/>
  <c r="AA1679" i="1"/>
  <c r="AA1676" i="5" s="1"/>
  <c r="X218" i="4"/>
  <c r="Z218" i="4" s="1"/>
  <c r="X227" i="4"/>
  <c r="Z227" i="4" s="1"/>
  <c r="E879" i="2"/>
  <c r="J2428" i="4"/>
  <c r="K1332" i="2"/>
  <c r="AA2565" i="1"/>
  <c r="AA2557" i="5" s="1"/>
  <c r="X1055" i="4"/>
  <c r="Z1055" i="4" s="1"/>
  <c r="X1182" i="4"/>
  <c r="Z1182" i="4" s="1"/>
  <c r="E1728" i="2"/>
  <c r="X2416" i="4"/>
  <c r="Z2416" i="4" s="1"/>
  <c r="AA2663" i="1"/>
  <c r="AA2655" i="5" s="1"/>
  <c r="K1497" i="4"/>
  <c r="AA1685" i="1"/>
  <c r="AA1682" i="5" s="1"/>
  <c r="U1642" i="1"/>
  <c r="AA2816" i="1"/>
  <c r="Q1411" i="2"/>
  <c r="Q1487" i="4"/>
  <c r="V1488" i="2"/>
  <c r="V1563" i="4"/>
  <c r="W1566" i="1"/>
  <c r="W1563" i="5" s="1"/>
  <c r="X1589" i="4"/>
  <c r="Z1592" i="1"/>
  <c r="AA1541" i="2"/>
  <c r="AA1622" i="4"/>
  <c r="AB1625" i="1"/>
  <c r="AB1622" i="5" s="1"/>
  <c r="W1568" i="2"/>
  <c r="W1651" i="4"/>
  <c r="M1578" i="2"/>
  <c r="M1664" i="4"/>
  <c r="AA1667" i="1"/>
  <c r="AA1664" i="5" s="1"/>
  <c r="X1149" i="2"/>
  <c r="X1201" i="4"/>
  <c r="Z1202" i="1"/>
  <c r="Z1201" i="5" s="1"/>
  <c r="Z606" i="2"/>
  <c r="Z631" i="4"/>
  <c r="M778" i="2"/>
  <c r="M812" i="4"/>
  <c r="AA812" i="1"/>
  <c r="AA812" i="5" s="1"/>
  <c r="M885" i="2"/>
  <c r="M928" i="4"/>
  <c r="AA928" i="1"/>
  <c r="AA928" i="5" s="1"/>
  <c r="V937" i="2"/>
  <c r="V979" i="4"/>
  <c r="W980" i="1"/>
  <c r="W979" i="5" s="1"/>
  <c r="X1070" i="2"/>
  <c r="Z1120" i="1"/>
  <c r="Z1070" i="2" s="1"/>
  <c r="X1271" i="2"/>
  <c r="Z1337" i="1"/>
  <c r="Z1271" i="2" s="1"/>
  <c r="Q1375" i="2"/>
  <c r="Q1446" i="4"/>
  <c r="AA1510" i="2"/>
  <c r="AA1586" i="4"/>
  <c r="AB1589" i="1"/>
  <c r="AB1586" i="5" s="1"/>
  <c r="M1519" i="2"/>
  <c r="M1597" i="4"/>
  <c r="AA1600" i="1"/>
  <c r="AA1597" i="5" s="1"/>
  <c r="M1621" i="1"/>
  <c r="M1701" i="2"/>
  <c r="M1792" i="4"/>
  <c r="AA1796" i="1"/>
  <c r="U1706" i="2"/>
  <c r="U1798" i="4"/>
  <c r="X1715" i="2"/>
  <c r="Z1811" i="1"/>
  <c r="Z1715" i="2" s="1"/>
  <c r="M2123" i="4"/>
  <c r="AA2127" i="1"/>
  <c r="AA2123" i="5" s="1"/>
  <c r="M2125" i="4"/>
  <c r="AA2129" i="1"/>
  <c r="AA2125" i="5" s="1"/>
  <c r="M2310" i="4"/>
  <c r="AA2316" i="1"/>
  <c r="AA2310" i="5" s="1"/>
  <c r="V2493" i="4"/>
  <c r="W2501" i="1"/>
  <c r="V2497" i="4"/>
  <c r="W2505" i="1"/>
  <c r="V2626" i="4"/>
  <c r="W2634" i="1"/>
  <c r="W642" i="2"/>
  <c r="W670" i="4"/>
  <c r="AA716" i="2"/>
  <c r="AA747" i="4"/>
  <c r="AB747" i="1"/>
  <c r="AB747" i="5" s="1"/>
  <c r="U799" i="2"/>
  <c r="U833" i="4"/>
  <c r="W1548" i="2"/>
  <c r="W1629" i="4"/>
  <c r="X1578" i="2"/>
  <c r="Z1667" i="1"/>
  <c r="Z1664" i="5" s="1"/>
  <c r="W1586" i="2"/>
  <c r="W1675" i="4"/>
  <c r="AB1695" i="4"/>
  <c r="AB1603" i="2"/>
  <c r="M1664" i="2"/>
  <c r="M1755" i="4"/>
  <c r="AA1759" i="1"/>
  <c r="AA1755" i="5" s="1"/>
  <c r="X1713" i="2"/>
  <c r="X1824" i="1"/>
  <c r="AA2246" i="4"/>
  <c r="M2394" i="4"/>
  <c r="AA2400" i="1"/>
  <c r="AA2394" i="5" s="1"/>
  <c r="AA1613" i="2"/>
  <c r="AA1705" i="4"/>
  <c r="AB1708" i="1"/>
  <c r="AB1705" i="5" s="1"/>
  <c r="H2337" i="4"/>
  <c r="X2337" i="4" s="1"/>
  <c r="Z2337" i="4" s="1"/>
  <c r="M2343" i="1"/>
  <c r="M2337" i="5" s="1"/>
  <c r="X2343" i="1"/>
  <c r="Z2343" i="1" s="1"/>
  <c r="J2343" i="1"/>
  <c r="AB2839" i="1"/>
  <c r="AA764" i="2"/>
  <c r="AA797" i="4"/>
  <c r="AB797" i="1"/>
  <c r="AB797" i="5" s="1"/>
  <c r="W876" i="2"/>
  <c r="W919" i="4"/>
  <c r="AB979" i="2"/>
  <c r="AB1024" i="4"/>
  <c r="M1177" i="2"/>
  <c r="M1231" i="4"/>
  <c r="AA1232" i="1"/>
  <c r="AA1231" i="5" s="1"/>
  <c r="Q1225" i="2"/>
  <c r="Q1288" i="4"/>
  <c r="W1229" i="2"/>
  <c r="W1292" i="4"/>
  <c r="J1351" i="4"/>
  <c r="J1286" i="2"/>
  <c r="U1293" i="2"/>
  <c r="U1358" i="4"/>
  <c r="M1298" i="2"/>
  <c r="M1367" i="4"/>
  <c r="AA1368" i="1"/>
  <c r="AA1367" i="5" s="1"/>
  <c r="X1330" i="2"/>
  <c r="Z1401" i="1"/>
  <c r="Z1330" i="2" s="1"/>
  <c r="W1338" i="2"/>
  <c r="W1408" i="4"/>
  <c r="Q1350" i="2"/>
  <c r="Q1420" i="4"/>
  <c r="U1386" i="2"/>
  <c r="U1457" i="4"/>
  <c r="Q1787" i="2"/>
  <c r="Q1883" i="4"/>
  <c r="X1983" i="4"/>
  <c r="Z1987" i="1"/>
  <c r="V2050" i="4"/>
  <c r="W2054" i="1"/>
  <c r="X2095" i="4"/>
  <c r="Z2099" i="1"/>
  <c r="M2165" i="4"/>
  <c r="AA2169" i="1"/>
  <c r="AA2165" i="5" s="1"/>
  <c r="J2265" i="4"/>
  <c r="M2330" i="4"/>
  <c r="AA2336" i="1"/>
  <c r="AA2330" i="5" s="1"/>
  <c r="M2339" i="4"/>
  <c r="AA2345" i="1"/>
  <c r="AA2339" i="5" s="1"/>
  <c r="M2378" i="4"/>
  <c r="AA2384" i="1"/>
  <c r="AA2378" i="5" s="1"/>
  <c r="X2600" i="4"/>
  <c r="Z2608" i="1"/>
  <c r="X1133" i="2"/>
  <c r="Z1186" i="1"/>
  <c r="Z1133" i="2" s="1"/>
  <c r="M1144" i="2"/>
  <c r="M1196" i="4"/>
  <c r="AA1197" i="1"/>
  <c r="AA1196" i="5" s="1"/>
  <c r="J1149" i="2"/>
  <c r="J1201" i="4"/>
  <c r="W1438" i="2"/>
  <c r="W1515" i="4"/>
  <c r="Z1502" i="2"/>
  <c r="Z1578" i="4"/>
  <c r="AA1601" i="4"/>
  <c r="AA1523" i="2"/>
  <c r="AB1604" i="1"/>
  <c r="AB1601" i="5" s="1"/>
  <c r="AA1550" i="2"/>
  <c r="AA1631" i="4"/>
  <c r="AB1634" i="1"/>
  <c r="AB1631" i="5" s="1"/>
  <c r="U1705" i="2"/>
  <c r="U1796" i="4"/>
  <c r="U1777" i="2"/>
  <c r="U1873" i="4"/>
  <c r="AA2171" i="4"/>
  <c r="AB2175" i="1"/>
  <c r="M2352" i="4"/>
  <c r="AA2358" i="1"/>
  <c r="AA2352" i="5" s="1"/>
  <c r="AA1562" i="2"/>
  <c r="AA1645" i="4"/>
  <c r="AB1648" i="1"/>
  <c r="AB1645" i="5" s="1"/>
  <c r="M218" i="2"/>
  <c r="M227" i="4"/>
  <c r="AA227" i="1"/>
  <c r="AA227" i="5" s="1"/>
  <c r="V1163" i="2"/>
  <c r="V1217" i="4"/>
  <c r="V1245" i="1"/>
  <c r="W1218" i="1"/>
  <c r="W1217" i="5" s="1"/>
  <c r="J1338" i="2"/>
  <c r="J1408" i="4"/>
  <c r="W1369" i="2"/>
  <c r="W1440" i="4"/>
  <c r="J1408" i="2"/>
  <c r="J1484" i="4"/>
  <c r="AB1417" i="2"/>
  <c r="AB1494" i="4"/>
  <c r="M1656" i="2"/>
  <c r="M1747" i="4"/>
  <c r="AA1751" i="1"/>
  <c r="AA1747" i="5" s="1"/>
  <c r="AA1954" i="4"/>
  <c r="AB1958" i="1"/>
  <c r="AB1954" i="5" s="1"/>
  <c r="M2093" i="4"/>
  <c r="AA2097" i="1"/>
  <c r="AA2093" i="5" s="1"/>
  <c r="H2255" i="4"/>
  <c r="X2255" i="4" s="1"/>
  <c r="Z2255" i="4" s="1"/>
  <c r="M2259" i="1"/>
  <c r="M2255" i="5" s="1"/>
  <c r="X2259" i="1"/>
  <c r="J2259" i="1"/>
  <c r="AA2387" i="4"/>
  <c r="AB2393" i="1"/>
  <c r="V2460" i="4"/>
  <c r="W2468" i="1"/>
  <c r="V2474" i="4"/>
  <c r="W2482" i="1"/>
  <c r="V2496" i="1"/>
  <c r="V2574" i="4"/>
  <c r="W2582" i="1"/>
  <c r="V2681" i="4"/>
  <c r="W2689" i="1"/>
  <c r="Q1755" i="2"/>
  <c r="Q1849" i="4"/>
  <c r="X1784" i="2"/>
  <c r="Z1884" i="1"/>
  <c r="Z1784" i="2" s="1"/>
  <c r="AA2725" i="4"/>
  <c r="AB2733" i="1"/>
  <c r="V2737" i="4"/>
  <c r="W2745" i="1"/>
  <c r="AB2854" i="1"/>
  <c r="V756" i="2"/>
  <c r="V789" i="4"/>
  <c r="W789" i="1"/>
  <c r="W789" i="5" s="1"/>
  <c r="W1213" i="2"/>
  <c r="W1272" i="4"/>
  <c r="AB1256" i="2"/>
  <c r="AB1319" i="4"/>
  <c r="X1346" i="2"/>
  <c r="Z1417" i="1"/>
  <c r="Z1346" i="2" s="1"/>
  <c r="AA1653" i="4"/>
  <c r="AA1570" i="2"/>
  <c r="AB1656" i="1"/>
  <c r="AB1653" i="5" s="1"/>
  <c r="Z1641" i="2"/>
  <c r="Z1733" i="4"/>
  <c r="U1961" i="4"/>
  <c r="AA1965" i="1"/>
  <c r="AA1961" i="5" s="1"/>
  <c r="M2718" i="4"/>
  <c r="AA2726" i="1"/>
  <c r="AA2718" i="5" s="1"/>
  <c r="J1435" i="2"/>
  <c r="J1512" i="4"/>
  <c r="AA1597" i="2"/>
  <c r="AA1686" i="4"/>
  <c r="AB1689" i="1"/>
  <c r="AB1686" i="5" s="1"/>
  <c r="Z1994" i="1"/>
  <c r="Z1990" i="5" s="1"/>
  <c r="M1251" i="4"/>
  <c r="M1192" i="2"/>
  <c r="AA1252" i="1"/>
  <c r="AA1251" i="5" s="1"/>
  <c r="X1237" i="2"/>
  <c r="Z1301" i="1"/>
  <c r="Z1237" i="2" s="1"/>
  <c r="X1345" i="2"/>
  <c r="Z1416" i="1"/>
  <c r="Z1345" i="2" s="1"/>
  <c r="X1721" i="2"/>
  <c r="Z1817" i="1"/>
  <c r="Z1721" i="2" s="1"/>
  <c r="V1992" i="4"/>
  <c r="W1996" i="1"/>
  <c r="U2538" i="4"/>
  <c r="AA2546" i="1"/>
  <c r="AA2538" i="5" s="1"/>
  <c r="AA1820" i="2"/>
  <c r="AB1803" i="2"/>
  <c r="W2454" i="2"/>
  <c r="X2290" i="2"/>
  <c r="Z2290" i="2" s="1"/>
  <c r="Z2294" i="2" s="1"/>
  <c r="U2290" i="2"/>
  <c r="AA2290" i="2" s="1"/>
  <c r="AB2290" i="2" s="1"/>
  <c r="AA45" i="2"/>
  <c r="AA49" i="4"/>
  <c r="AB49" i="1"/>
  <c r="AB49" i="5" s="1"/>
  <c r="AA56" i="2"/>
  <c r="AA60" i="4"/>
  <c r="AB60" i="1"/>
  <c r="AB60" i="5" s="1"/>
  <c r="AA311" i="2"/>
  <c r="AA324" i="4"/>
  <c r="AB325" i="1"/>
  <c r="AB324" i="5" s="1"/>
  <c r="M396" i="2"/>
  <c r="AA415" i="1"/>
  <c r="AA414" i="5" s="1"/>
  <c r="M414" i="4"/>
  <c r="AA38" i="2"/>
  <c r="AB42" i="1"/>
  <c r="AB42" i="5" s="1"/>
  <c r="AA42" i="4"/>
  <c r="M120" i="2"/>
  <c r="M126" i="4"/>
  <c r="AA126" i="1"/>
  <c r="AA126" i="5" s="1"/>
  <c r="M233" i="2"/>
  <c r="M243" i="4"/>
  <c r="AA244" i="1"/>
  <c r="AA243" i="5" s="1"/>
  <c r="M263" i="2"/>
  <c r="M274" i="4"/>
  <c r="AA275" i="1"/>
  <c r="AA274" i="5" s="1"/>
  <c r="J276" i="2"/>
  <c r="J288" i="4"/>
  <c r="M333" i="2"/>
  <c r="AA347" i="1"/>
  <c r="AA346" i="5" s="1"/>
  <c r="M346" i="4"/>
  <c r="X342" i="2"/>
  <c r="Z357" i="1"/>
  <c r="Z342" i="2" s="1"/>
  <c r="M360" i="2"/>
  <c r="M376" i="4"/>
  <c r="AA377" i="1"/>
  <c r="AA376" i="5" s="1"/>
  <c r="L2763" i="1"/>
  <c r="L2902" i="1"/>
  <c r="L2929" i="1" s="1"/>
  <c r="V39" i="2"/>
  <c r="V43" i="4"/>
  <c r="W43" i="1"/>
  <c r="W43" i="5" s="1"/>
  <c r="AA206" i="2"/>
  <c r="AA215" i="4"/>
  <c r="AB215" i="1"/>
  <c r="AB215" i="5" s="1"/>
  <c r="H228" i="4"/>
  <c r="X228" i="4" s="1"/>
  <c r="Z228" i="4" s="1"/>
  <c r="M228" i="1"/>
  <c r="M228" i="5" s="1"/>
  <c r="X228" i="1"/>
  <c r="M243" i="2"/>
  <c r="M253" i="4"/>
  <c r="AA254" i="1"/>
  <c r="AA253" i="5" s="1"/>
  <c r="M266" i="2"/>
  <c r="M278" i="4"/>
  <c r="AA279" i="1"/>
  <c r="AA278" i="5" s="1"/>
  <c r="U286" i="2"/>
  <c r="U298" i="4"/>
  <c r="AA299" i="1"/>
  <c r="AA298" i="5" s="1"/>
  <c r="X323" i="2"/>
  <c r="Z337" i="1"/>
  <c r="M207" i="2"/>
  <c r="M216" i="4"/>
  <c r="AA216" i="1"/>
  <c r="AA216" i="5" s="1"/>
  <c r="X78" i="2"/>
  <c r="Z82" i="1"/>
  <c r="Z78" i="2" s="1"/>
  <c r="M117" i="2"/>
  <c r="M123" i="4"/>
  <c r="AA123" i="1"/>
  <c r="AA123" i="5" s="1"/>
  <c r="AA136" i="2"/>
  <c r="AA143" i="4"/>
  <c r="AB143" i="1"/>
  <c r="AB143" i="5" s="1"/>
  <c r="AA179" i="2"/>
  <c r="AA187" i="4"/>
  <c r="AB187" i="1"/>
  <c r="AB187" i="5" s="1"/>
  <c r="M238" i="2"/>
  <c r="M248" i="4"/>
  <c r="AA249" i="1"/>
  <c r="AA248" i="5" s="1"/>
  <c r="AA247" i="2"/>
  <c r="AA258" i="4"/>
  <c r="AB259" i="1"/>
  <c r="AB258" i="5" s="1"/>
  <c r="M271" i="2"/>
  <c r="M283" i="4"/>
  <c r="AA284" i="1"/>
  <c r="AA283" i="5" s="1"/>
  <c r="X325" i="2"/>
  <c r="Z339" i="1"/>
  <c r="Z325" i="2" s="1"/>
  <c r="M372" i="2"/>
  <c r="M388" i="4"/>
  <c r="AA389" i="1"/>
  <c r="AA388" i="5" s="1"/>
  <c r="J384" i="2"/>
  <c r="J402" i="4"/>
  <c r="M391" i="2"/>
  <c r="M409" i="4"/>
  <c r="AA410" i="1"/>
  <c r="AA409" i="5" s="1"/>
  <c r="V37" i="2"/>
  <c r="V41" i="4"/>
  <c r="W68" i="2"/>
  <c r="W72" i="4"/>
  <c r="U72" i="2"/>
  <c r="U76" i="4"/>
  <c r="V118" i="2"/>
  <c r="V124" i="4"/>
  <c r="W124" i="1"/>
  <c r="W124" i="5" s="1"/>
  <c r="X212" i="2"/>
  <c r="Z221" i="1"/>
  <c r="Z212" i="2" s="1"/>
  <c r="O2904" i="1"/>
  <c r="O2929" i="1" s="1"/>
  <c r="V700" i="2"/>
  <c r="V730" i="4"/>
  <c r="W730" i="1"/>
  <c r="W730" i="5" s="1"/>
  <c r="V743" i="2"/>
  <c r="V774" i="4"/>
  <c r="W774" i="1"/>
  <c r="W774" i="5" s="1"/>
  <c r="V862" i="2"/>
  <c r="V902" i="4"/>
  <c r="W902" i="1"/>
  <c r="W902" i="5" s="1"/>
  <c r="V877" i="2"/>
  <c r="V920" i="4"/>
  <c r="W920" i="1"/>
  <c r="W920" i="5" s="1"/>
  <c r="AA934" i="2"/>
  <c r="AA976" i="4"/>
  <c r="AB977" i="1"/>
  <c r="AB976" i="5" s="1"/>
  <c r="AA974" i="2"/>
  <c r="AA1019" i="4"/>
  <c r="AB1020" i="1"/>
  <c r="AB1019" i="5" s="1"/>
  <c r="AA1011" i="2"/>
  <c r="AA1056" i="4"/>
  <c r="AB1057" i="1"/>
  <c r="AB1056" i="5" s="1"/>
  <c r="AA1060" i="2"/>
  <c r="AA1109" i="4"/>
  <c r="AB1110" i="1"/>
  <c r="AB1109" i="5" s="1"/>
  <c r="AA1089" i="2"/>
  <c r="AA1139" i="4"/>
  <c r="AB1140" i="1"/>
  <c r="AB1139" i="5" s="1"/>
  <c r="AA1108" i="2"/>
  <c r="AA1158" i="4"/>
  <c r="AB1159" i="1"/>
  <c r="AB1158" i="5" s="1"/>
  <c r="Z17" i="2"/>
  <c r="Z17" i="4"/>
  <c r="V62" i="2"/>
  <c r="V66" i="4"/>
  <c r="W66" i="1"/>
  <c r="W66" i="5" s="1"/>
  <c r="M346" i="2"/>
  <c r="M362" i="4"/>
  <c r="AA363" i="1"/>
  <c r="AA362" i="5" s="1"/>
  <c r="X368" i="2"/>
  <c r="Z385" i="1"/>
  <c r="Z368" i="2" s="1"/>
  <c r="V429" i="2"/>
  <c r="V449" i="4"/>
  <c r="V458" i="1"/>
  <c r="W450" i="1"/>
  <c r="W449" i="5" s="1"/>
  <c r="V431" i="2"/>
  <c r="V451" i="4"/>
  <c r="W452" i="1"/>
  <c r="W451" i="5" s="1"/>
  <c r="X434" i="2"/>
  <c r="Z455" i="1"/>
  <c r="Z454" i="5" s="1"/>
  <c r="V441" i="2"/>
  <c r="V461" i="4"/>
  <c r="W462" i="1"/>
  <c r="W461" i="5" s="1"/>
  <c r="W473" i="5" s="1"/>
  <c r="V474" i="1"/>
  <c r="X444" i="2"/>
  <c r="Z465" i="1"/>
  <c r="Z444" i="2" s="1"/>
  <c r="M487" i="2"/>
  <c r="M489" i="2" s="1"/>
  <c r="M507" i="4"/>
  <c r="M509" i="4" s="1"/>
  <c r="AA508" i="1"/>
  <c r="AA507" i="5" s="1"/>
  <c r="V587" i="2"/>
  <c r="V611" i="4"/>
  <c r="V624" i="1"/>
  <c r="W610" i="1"/>
  <c r="W611" i="5" s="1"/>
  <c r="M690" i="2"/>
  <c r="M720" i="4"/>
  <c r="AA720" i="1"/>
  <c r="AA720" i="5" s="1"/>
  <c r="AA473" i="2"/>
  <c r="AA493" i="4"/>
  <c r="AB494" i="1"/>
  <c r="AB493" i="5" s="1"/>
  <c r="U74" i="2"/>
  <c r="U78" i="4"/>
  <c r="V116" i="2"/>
  <c r="V122" i="4"/>
  <c r="W122" i="1"/>
  <c r="W122" i="5" s="1"/>
  <c r="M131" i="2"/>
  <c r="M138" i="4"/>
  <c r="AA138" i="1"/>
  <c r="AA138" i="5" s="1"/>
  <c r="Z137" i="2"/>
  <c r="Z144" i="4"/>
  <c r="X166" i="2"/>
  <c r="Z174" i="1"/>
  <c r="Z166" i="2" s="1"/>
  <c r="X182" i="2"/>
  <c r="Z190" i="1"/>
  <c r="H394" i="4"/>
  <c r="X394" i="4" s="1"/>
  <c r="Z394" i="4" s="1"/>
  <c r="J395" i="1"/>
  <c r="X395" i="1"/>
  <c r="Z395" i="1" s="1"/>
  <c r="M395" i="1"/>
  <c r="M394" i="5" s="1"/>
  <c r="M387" i="2"/>
  <c r="M405" i="4"/>
  <c r="AA406" i="1"/>
  <c r="AA405" i="5" s="1"/>
  <c r="AA412" i="2"/>
  <c r="AA430" i="4"/>
  <c r="AB431" i="1"/>
  <c r="AB430" i="5" s="1"/>
  <c r="AA424" i="2"/>
  <c r="AA444" i="4"/>
  <c r="AB445" i="1"/>
  <c r="AB444" i="5" s="1"/>
  <c r="V462" i="2"/>
  <c r="W483" i="1"/>
  <c r="W482" i="5" s="1"/>
  <c r="V482" i="4"/>
  <c r="AA492" i="2"/>
  <c r="AA512" i="4"/>
  <c r="AB513" i="1"/>
  <c r="AB512" i="5" s="1"/>
  <c r="AA500" i="2"/>
  <c r="AA520" i="4"/>
  <c r="AB521" i="1"/>
  <c r="AB520" i="5" s="1"/>
  <c r="AA513" i="2"/>
  <c r="AA533" i="4"/>
  <c r="AB534" i="1"/>
  <c r="AB533" i="5" s="1"/>
  <c r="X523" i="2"/>
  <c r="Z543" i="1"/>
  <c r="Z523" i="2" s="1"/>
  <c r="AA553" i="2"/>
  <c r="AA574" i="4"/>
  <c r="AB573" i="1"/>
  <c r="AB574" i="5" s="1"/>
  <c r="U562" i="2"/>
  <c r="U583" i="4"/>
  <c r="AA584" i="4"/>
  <c r="AB583" i="1"/>
  <c r="AA598" i="2"/>
  <c r="AA623" i="4"/>
  <c r="AB622" i="1"/>
  <c r="AB623" i="5" s="1"/>
  <c r="V604" i="2"/>
  <c r="V629" i="4"/>
  <c r="W628" i="1"/>
  <c r="W629" i="5" s="1"/>
  <c r="W638" i="5" s="1"/>
  <c r="X605" i="2"/>
  <c r="Z629" i="1"/>
  <c r="Z630" i="5" s="1"/>
  <c r="V606" i="2"/>
  <c r="V2676" i="2" s="1"/>
  <c r="V631" i="4"/>
  <c r="W630" i="1"/>
  <c r="W631" i="5" s="1"/>
  <c r="V2852" i="1"/>
  <c r="X607" i="2"/>
  <c r="Z631" i="1"/>
  <c r="Z632" i="5" s="1"/>
  <c r="V608" i="2"/>
  <c r="V633" i="4"/>
  <c r="W632" i="1"/>
  <c r="W633" i="5" s="1"/>
  <c r="Z626" i="2"/>
  <c r="Z654" i="4"/>
  <c r="V640" i="2"/>
  <c r="V668" i="4"/>
  <c r="W668" i="1"/>
  <c r="W668" i="5" s="1"/>
  <c r="V691" i="1"/>
  <c r="M641" i="2"/>
  <c r="M669" i="4"/>
  <c r="AA669" i="1"/>
  <c r="AA669" i="5" s="1"/>
  <c r="X655" i="2"/>
  <c r="Z685" i="1"/>
  <c r="Z655" i="2" s="1"/>
  <c r="U664" i="2"/>
  <c r="U694" i="4"/>
  <c r="U714" i="1"/>
  <c r="U666" i="2"/>
  <c r="U696" i="4"/>
  <c r="M676" i="2"/>
  <c r="M706" i="4"/>
  <c r="AA706" i="1"/>
  <c r="AA706" i="5" s="1"/>
  <c r="V678" i="2"/>
  <c r="V708" i="4"/>
  <c r="W708" i="1"/>
  <c r="W708" i="5" s="1"/>
  <c r="U691" i="2"/>
  <c r="U721" i="4"/>
  <c r="J694" i="2"/>
  <c r="J724" i="4"/>
  <c r="J702" i="2"/>
  <c r="J732" i="4"/>
  <c r="W709" i="2"/>
  <c r="W740" i="4"/>
  <c r="Q737" i="2"/>
  <c r="Q768" i="4"/>
  <c r="Q739" i="2"/>
  <c r="Q770" i="4"/>
  <c r="AA483" i="2"/>
  <c r="AA503" i="4"/>
  <c r="AB504" i="1"/>
  <c r="AB503" i="5" s="1"/>
  <c r="AA569" i="2"/>
  <c r="AA593" i="4"/>
  <c r="AB592" i="1"/>
  <c r="AB593" i="5" s="1"/>
  <c r="V681" i="2"/>
  <c r="W711" i="1"/>
  <c r="W711" i="5" s="1"/>
  <c r="V711" i="4"/>
  <c r="W718" i="2"/>
  <c r="W749" i="4"/>
  <c r="V929" i="2"/>
  <c r="V971" i="4"/>
  <c r="W972" i="1"/>
  <c r="W971" i="5" s="1"/>
  <c r="U974" i="2"/>
  <c r="U1019" i="4"/>
  <c r="W1051" i="2"/>
  <c r="W1099" i="4"/>
  <c r="U1067" i="2"/>
  <c r="U1116" i="4"/>
  <c r="U58" i="2"/>
  <c r="U62" i="4"/>
  <c r="H61" i="2"/>
  <c r="H64" i="2" s="1"/>
  <c r="H65" i="4"/>
  <c r="X65" i="4" s="1"/>
  <c r="Z65" i="4" s="1"/>
  <c r="M65" i="1"/>
  <c r="M65" i="5" s="1"/>
  <c r="X65" i="1"/>
  <c r="V73" i="2"/>
  <c r="V77" i="4"/>
  <c r="W77" i="1"/>
  <c r="W77" i="5" s="1"/>
  <c r="AA105" i="2"/>
  <c r="AA111" i="4"/>
  <c r="AB111" i="1"/>
  <c r="AB111" i="5" s="1"/>
  <c r="U152" i="2"/>
  <c r="U159" i="4"/>
  <c r="AA159" i="1"/>
  <c r="AA159" i="5" s="1"/>
  <c r="AA196" i="2"/>
  <c r="AA205" i="4"/>
  <c r="AB205" i="1"/>
  <c r="AB205" i="5" s="1"/>
  <c r="Q242" i="2"/>
  <c r="Q252" i="4"/>
  <c r="X245" i="2"/>
  <c r="X255" i="4"/>
  <c r="Z256" i="1"/>
  <c r="Z255" i="5" s="1"/>
  <c r="M296" i="2"/>
  <c r="M309" i="4"/>
  <c r="AA310" i="1"/>
  <c r="AA309" i="5" s="1"/>
  <c r="H331" i="2"/>
  <c r="H344" i="4"/>
  <c r="X344" i="4" s="1"/>
  <c r="Z344" i="4" s="1"/>
  <c r="M345" i="1"/>
  <c r="M344" i="5" s="1"/>
  <c r="J345" i="1"/>
  <c r="J344" i="5" s="1"/>
  <c r="X345" i="1"/>
  <c r="M335" i="2"/>
  <c r="M348" i="4"/>
  <c r="AA349" i="1"/>
  <c r="AA348" i="5" s="1"/>
  <c r="U370" i="2"/>
  <c r="U386" i="4"/>
  <c r="AA387" i="1"/>
  <c r="AA386" i="5" s="1"/>
  <c r="U415" i="2"/>
  <c r="U433" i="4"/>
  <c r="AA447" i="2"/>
  <c r="AA467" i="4"/>
  <c r="AB468" i="1"/>
  <c r="AB467" i="5" s="1"/>
  <c r="AA461" i="2"/>
  <c r="AA481" i="4"/>
  <c r="AB482" i="1"/>
  <c r="AB481" i="5" s="1"/>
  <c r="V477" i="2"/>
  <c r="V497" i="4"/>
  <c r="W498" i="1"/>
  <c r="W497" i="5" s="1"/>
  <c r="V485" i="2"/>
  <c r="V505" i="4"/>
  <c r="V496" i="2"/>
  <c r="V516" i="4"/>
  <c r="W517" i="1"/>
  <c r="W516" i="5" s="1"/>
  <c r="X506" i="2"/>
  <c r="Z527" i="1"/>
  <c r="Z506" i="2" s="1"/>
  <c r="M687" i="2"/>
  <c r="M717" i="4"/>
  <c r="AA717" i="1"/>
  <c r="AA717" i="5" s="1"/>
  <c r="W698" i="2"/>
  <c r="W728" i="4"/>
  <c r="X702" i="2"/>
  <c r="Z732" i="1"/>
  <c r="Z702" i="2" s="1"/>
  <c r="U705" i="2"/>
  <c r="U735" i="4"/>
  <c r="AA735" i="1"/>
  <c r="AA735" i="5" s="1"/>
  <c r="M737" i="4"/>
  <c r="AA737" i="1"/>
  <c r="AA737" i="5" s="1"/>
  <c r="W708" i="2"/>
  <c r="W739" i="4"/>
  <c r="AA718" i="2"/>
  <c r="AA749" i="4"/>
  <c r="AB749" i="1"/>
  <c r="AB749" i="5" s="1"/>
  <c r="X721" i="2"/>
  <c r="Z752" i="1"/>
  <c r="Z721" i="2" s="1"/>
  <c r="X730" i="2"/>
  <c r="Z761" i="1"/>
  <c r="Z730" i="2" s="1"/>
  <c r="J734" i="2"/>
  <c r="J765" i="4"/>
  <c r="V738" i="2"/>
  <c r="V769" i="4"/>
  <c r="W769" i="1"/>
  <c r="W769" i="5" s="1"/>
  <c r="W739" i="2"/>
  <c r="W770" i="4"/>
  <c r="W744" i="2"/>
  <c r="W776" i="4"/>
  <c r="J753" i="2"/>
  <c r="J786" i="4"/>
  <c r="U755" i="2"/>
  <c r="U788" i="4"/>
  <c r="U757" i="2"/>
  <c r="U790" i="4"/>
  <c r="V774" i="2"/>
  <c r="V808" i="4"/>
  <c r="W808" i="1"/>
  <c r="W808" i="5" s="1"/>
  <c r="W785" i="2"/>
  <c r="W819" i="4"/>
  <c r="W797" i="2"/>
  <c r="W831" i="4"/>
  <c r="J799" i="2"/>
  <c r="J833" i="4"/>
  <c r="M803" i="2"/>
  <c r="M837" i="4"/>
  <c r="AA837" i="1"/>
  <c r="AA837" i="5" s="1"/>
  <c r="M839" i="4"/>
  <c r="AA839" i="1"/>
  <c r="AA839" i="5" s="1"/>
  <c r="M818" i="2"/>
  <c r="M853" i="4"/>
  <c r="AA853" i="1"/>
  <c r="AA853" i="5" s="1"/>
  <c r="U820" i="2"/>
  <c r="U855" i="4"/>
  <c r="AA933" i="2"/>
  <c r="AA975" i="4"/>
  <c r="AB976" i="1"/>
  <c r="AB975" i="5" s="1"/>
  <c r="V1123" i="2"/>
  <c r="V1174" i="4"/>
  <c r="U1133" i="2"/>
  <c r="U1185" i="4"/>
  <c r="U1166" i="2"/>
  <c r="U1220" i="4"/>
  <c r="X1168" i="2"/>
  <c r="Z1223" i="1"/>
  <c r="Z1222" i="5" s="1"/>
  <c r="AA573" i="2"/>
  <c r="AA597" i="4"/>
  <c r="AB596" i="1"/>
  <c r="AB597" i="5" s="1"/>
  <c r="V1273" i="4"/>
  <c r="W1274" i="1"/>
  <c r="U210" i="2"/>
  <c r="U219" i="4"/>
  <c r="W448" i="2"/>
  <c r="W468" i="4"/>
  <c r="X465" i="2"/>
  <c r="Z486" i="1"/>
  <c r="Z465" i="2" s="1"/>
  <c r="AB471" i="2"/>
  <c r="AB491" i="4"/>
  <c r="U669" i="2"/>
  <c r="U699" i="4"/>
  <c r="W679" i="2"/>
  <c r="W709" i="4"/>
  <c r="X679" i="2"/>
  <c r="Z709" i="1"/>
  <c r="Z679" i="2" s="1"/>
  <c r="X681" i="2"/>
  <c r="Z711" i="1"/>
  <c r="Z681" i="2" s="1"/>
  <c r="W710" i="2"/>
  <c r="W741" i="4"/>
  <c r="Q715" i="2"/>
  <c r="Q746" i="4"/>
  <c r="Q756" i="1"/>
  <c r="U787" i="2"/>
  <c r="U821" i="4"/>
  <c r="V793" i="2"/>
  <c r="V827" i="4"/>
  <c r="V844" i="1"/>
  <c r="W827" i="1"/>
  <c r="W827" i="5" s="1"/>
  <c r="W844" i="5" s="1"/>
  <c r="J806" i="2"/>
  <c r="J841" i="4"/>
  <c r="M813" i="2"/>
  <c r="M848" i="4"/>
  <c r="AA848" i="1"/>
  <c r="AA848" i="5" s="1"/>
  <c r="Z882" i="2"/>
  <c r="W1054" i="2"/>
  <c r="W1102" i="4"/>
  <c r="AB1123" i="2"/>
  <c r="AB1174" i="4"/>
  <c r="Z471" i="2"/>
  <c r="U1975" i="4"/>
  <c r="U1991" i="1"/>
  <c r="AA1979" i="1"/>
  <c r="AA1975" i="5" s="1"/>
  <c r="U1979" i="4"/>
  <c r="AA1983" i="1"/>
  <c r="AA1979" i="5" s="1"/>
  <c r="U1983" i="4"/>
  <c r="AA1987" i="1"/>
  <c r="AA1983" i="5" s="1"/>
  <c r="H2005" i="4"/>
  <c r="X2005" i="4" s="1"/>
  <c r="X2009" i="1"/>
  <c r="M2009" i="1"/>
  <c r="M2005" i="5" s="1"/>
  <c r="H2015" i="1"/>
  <c r="M2054" i="4"/>
  <c r="AA2058" i="1"/>
  <c r="AA2054" i="5" s="1"/>
  <c r="U2066" i="4"/>
  <c r="AA2070" i="1"/>
  <c r="AA2066" i="5" s="1"/>
  <c r="U2070" i="4"/>
  <c r="AA2074" i="1"/>
  <c r="AA2070" i="5" s="1"/>
  <c r="U2074" i="4"/>
  <c r="AA2078" i="1"/>
  <c r="AA2074" i="5" s="1"/>
  <c r="H2268" i="4"/>
  <c r="X2268" i="4" s="1"/>
  <c r="Z2268" i="4" s="1"/>
  <c r="M2272" i="1"/>
  <c r="M2268" i="5" s="1"/>
  <c r="X2272" i="1"/>
  <c r="Z2272" i="1" s="1"/>
  <c r="J2272" i="1"/>
  <c r="H2296" i="1"/>
  <c r="H2278" i="4"/>
  <c r="X2278" i="4" s="1"/>
  <c r="Z2278" i="4" s="1"/>
  <c r="J2282" i="1"/>
  <c r="X2282" i="1"/>
  <c r="Z2282" i="1" s="1"/>
  <c r="M2282" i="1"/>
  <c r="M2278" i="5" s="1"/>
  <c r="U2480" i="4"/>
  <c r="AA2488" i="1"/>
  <c r="AA2480" i="5" s="1"/>
  <c r="U2559" i="4"/>
  <c r="AA2567" i="1"/>
  <c r="AA2559" i="5" s="1"/>
  <c r="M2582" i="4"/>
  <c r="AA2590" i="1"/>
  <c r="AA2582" i="5" s="1"/>
  <c r="U2594" i="4"/>
  <c r="AA2602" i="1"/>
  <c r="AA2594" i="5" s="1"/>
  <c r="M2640" i="4"/>
  <c r="AA2648" i="1"/>
  <c r="AA2640" i="5" s="1"/>
  <c r="M2644" i="4"/>
  <c r="AA2652" i="1"/>
  <c r="AA2644" i="5" s="1"/>
  <c r="M2648" i="4"/>
  <c r="AA2656" i="1"/>
  <c r="AA2648" i="5" s="1"/>
  <c r="M2667" i="4"/>
  <c r="AA2675" i="1"/>
  <c r="AA2667" i="5" s="1"/>
  <c r="M2671" i="4"/>
  <c r="AA2679" i="1"/>
  <c r="AA2671" i="5" s="1"/>
  <c r="U2691" i="4"/>
  <c r="AA2699" i="1"/>
  <c r="AA2691" i="5" s="1"/>
  <c r="U2711" i="4"/>
  <c r="AA2719" i="1"/>
  <c r="AA2711" i="5" s="1"/>
  <c r="M2721" i="4"/>
  <c r="AA2729" i="1"/>
  <c r="AA2721" i="5" s="1"/>
  <c r="M2802" i="1"/>
  <c r="X2802" i="1"/>
  <c r="Z2802" i="1" s="1"/>
  <c r="AA2833" i="1"/>
  <c r="V113" i="2"/>
  <c r="V119" i="4"/>
  <c r="M310" i="2"/>
  <c r="M323" i="4"/>
  <c r="AA324" i="1"/>
  <c r="AA323" i="5" s="1"/>
  <c r="M329" i="2"/>
  <c r="M342" i="4"/>
  <c r="AA343" i="1"/>
  <c r="AA342" i="5" s="1"/>
  <c r="M414" i="2"/>
  <c r="M432" i="4"/>
  <c r="AA433" i="1"/>
  <c r="AA432" i="5" s="1"/>
  <c r="J699" i="2"/>
  <c r="J729" i="4"/>
  <c r="M700" i="2"/>
  <c r="M730" i="4"/>
  <c r="AA730" i="1"/>
  <c r="AA730" i="5" s="1"/>
  <c r="Q719" i="2"/>
  <c r="Q750" i="4"/>
  <c r="W736" i="2"/>
  <c r="W767" i="4"/>
  <c r="AA945" i="4"/>
  <c r="U930" i="2"/>
  <c r="U972" i="4"/>
  <c r="AA973" i="1"/>
  <c r="AA972" i="5" s="1"/>
  <c r="V933" i="2"/>
  <c r="V975" i="4"/>
  <c r="W976" i="1"/>
  <c r="W975" i="5" s="1"/>
  <c r="X936" i="2"/>
  <c r="X978" i="4"/>
  <c r="Z979" i="1"/>
  <c r="Z978" i="5" s="1"/>
  <c r="V944" i="2"/>
  <c r="V946" i="2" s="1"/>
  <c r="V987" i="4"/>
  <c r="V989" i="4" s="1"/>
  <c r="V990" i="1"/>
  <c r="W988" i="1"/>
  <c r="W987" i="5" s="1"/>
  <c r="W989" i="5" s="1"/>
  <c r="U952" i="2"/>
  <c r="U995" i="4"/>
  <c r="W956" i="2"/>
  <c r="W999" i="4"/>
  <c r="V957" i="2"/>
  <c r="V1000" i="4"/>
  <c r="W1001" i="1"/>
  <c r="W1000" i="5" s="1"/>
  <c r="AA959" i="2"/>
  <c r="AA1002" i="4"/>
  <c r="AB1003" i="1"/>
  <c r="AB1002" i="5" s="1"/>
  <c r="X991" i="2"/>
  <c r="Z1037" i="1"/>
  <c r="X1050" i="1"/>
  <c r="U998" i="2"/>
  <c r="U1043" i="4"/>
  <c r="U1085" i="2"/>
  <c r="U1135" i="4"/>
  <c r="U1152" i="2"/>
  <c r="U1204" i="4"/>
  <c r="H1153" i="2"/>
  <c r="H1205" i="4"/>
  <c r="X1206" i="1"/>
  <c r="X1205" i="5" s="1"/>
  <c r="M1206" i="1"/>
  <c r="J1206" i="1"/>
  <c r="J1205" i="5" s="1"/>
  <c r="J1178" i="2"/>
  <c r="J1232" i="4"/>
  <c r="M559" i="2"/>
  <c r="M580" i="4"/>
  <c r="AA579" i="1"/>
  <c r="AA580" i="5" s="1"/>
  <c r="AA1654" i="4"/>
  <c r="AB1657" i="1"/>
  <c r="U36" i="2"/>
  <c r="U39" i="4"/>
  <c r="V51" i="2"/>
  <c r="V55" i="4"/>
  <c r="W55" i="1"/>
  <c r="W55" i="5" s="1"/>
  <c r="W115" i="2"/>
  <c r="W121" i="4"/>
  <c r="U361" i="2"/>
  <c r="U377" i="4"/>
  <c r="W444" i="2"/>
  <c r="W464" i="4"/>
  <c r="V495" i="2"/>
  <c r="V515" i="4"/>
  <c r="W516" i="1"/>
  <c r="W515" i="5" s="1"/>
  <c r="W556" i="2"/>
  <c r="W577" i="4"/>
  <c r="U557" i="2"/>
  <c r="U578" i="4"/>
  <c r="V592" i="2"/>
  <c r="V616" i="4"/>
  <c r="M621" i="2"/>
  <c r="M649" i="4"/>
  <c r="AA649" i="1"/>
  <c r="AA649" i="5" s="1"/>
  <c r="M661" i="1"/>
  <c r="J629" i="2"/>
  <c r="J2673" i="2" s="1"/>
  <c r="J657" i="4"/>
  <c r="J2849" i="1"/>
  <c r="Q682" i="2"/>
  <c r="Q712" i="4"/>
  <c r="V704" i="2"/>
  <c r="V734" i="4"/>
  <c r="W734" i="1"/>
  <c r="W734" i="5" s="1"/>
  <c r="U706" i="2"/>
  <c r="U736" i="4"/>
  <c r="X729" i="2"/>
  <c r="Z760" i="1"/>
  <c r="V736" i="2"/>
  <c r="V767" i="4"/>
  <c r="U740" i="2"/>
  <c r="U771" i="4"/>
  <c r="AA771" i="1"/>
  <c r="AA771" i="5" s="1"/>
  <c r="Q759" i="2"/>
  <c r="Q792" i="4"/>
  <c r="V786" i="2"/>
  <c r="V820" i="4"/>
  <c r="W820" i="1"/>
  <c r="W820" i="5" s="1"/>
  <c r="W798" i="2"/>
  <c r="W832" i="4"/>
  <c r="U801" i="2"/>
  <c r="U835" i="4"/>
  <c r="Q805" i="2"/>
  <c r="Q840" i="4"/>
  <c r="V807" i="2"/>
  <c r="V842" i="4"/>
  <c r="W842" i="1"/>
  <c r="W842" i="5" s="1"/>
  <c r="U816" i="2"/>
  <c r="U851" i="4"/>
  <c r="AA851" i="1"/>
  <c r="AA851" i="5" s="1"/>
  <c r="U823" i="2"/>
  <c r="U858" i="4"/>
  <c r="U825" i="2"/>
  <c r="U860" i="4"/>
  <c r="J863" i="2"/>
  <c r="J903" i="4"/>
  <c r="V882" i="2"/>
  <c r="V925" i="4"/>
  <c r="W925" i="1"/>
  <c r="W925" i="5" s="1"/>
  <c r="V888" i="2"/>
  <c r="V931" i="4"/>
  <c r="W931" i="1"/>
  <c r="W931" i="5" s="1"/>
  <c r="X890" i="2"/>
  <c r="Z933" i="1"/>
  <c r="Z890" i="2" s="1"/>
  <c r="V892" i="2"/>
  <c r="V935" i="4"/>
  <c r="W935" i="1"/>
  <c r="W935" i="5" s="1"/>
  <c r="W894" i="2"/>
  <c r="W937" i="4"/>
  <c r="V907" i="2"/>
  <c r="V950" i="4"/>
  <c r="W950" i="1"/>
  <c r="W950" i="5" s="1"/>
  <c r="Z910" i="2"/>
  <c r="V926" i="2"/>
  <c r="V968" i="4"/>
  <c r="W969" i="1"/>
  <c r="W968" i="5" s="1"/>
  <c r="V985" i="1"/>
  <c r="V987" i="1" s="1"/>
  <c r="V938" i="2"/>
  <c r="V981" i="4"/>
  <c r="W982" i="1"/>
  <c r="W981" i="5" s="1"/>
  <c r="M1024" i="2"/>
  <c r="M1071" i="4"/>
  <c r="AA1072" i="1"/>
  <c r="AA1071" i="5" s="1"/>
  <c r="W1028" i="2"/>
  <c r="W1075" i="4"/>
  <c r="V1029" i="2"/>
  <c r="V1076" i="4"/>
  <c r="W1077" i="1"/>
  <c r="W1076" i="5" s="1"/>
  <c r="U1031" i="2"/>
  <c r="U1078" i="4"/>
  <c r="AA1079" i="1"/>
  <c r="AA1078" i="5" s="1"/>
  <c r="X1065" i="2"/>
  <c r="Z1115" i="1"/>
  <c r="Z1065" i="2" s="1"/>
  <c r="X1082" i="2"/>
  <c r="Z1133" i="1"/>
  <c r="U1323" i="4"/>
  <c r="U1260" i="2"/>
  <c r="AA1324" i="1"/>
  <c r="AA1323" i="5" s="1"/>
  <c r="M1264" i="2"/>
  <c r="M1327" i="4"/>
  <c r="AA1328" i="1"/>
  <c r="AA1327" i="5" s="1"/>
  <c r="J1285" i="2"/>
  <c r="J1350" i="4"/>
  <c r="X1296" i="2"/>
  <c r="Z1364" i="1"/>
  <c r="Z1296" i="2" s="1"/>
  <c r="J1299" i="2"/>
  <c r="J1368" i="4"/>
  <c r="J1372" i="4"/>
  <c r="J1303" i="2"/>
  <c r="W1323" i="2"/>
  <c r="W1392" i="4"/>
  <c r="V1341" i="2"/>
  <c r="V1411" i="4"/>
  <c r="W1412" i="1"/>
  <c r="W1411" i="5" s="1"/>
  <c r="X147" i="2"/>
  <c r="Z154" i="1"/>
  <c r="Z154" i="5" s="1"/>
  <c r="Q1255" i="2"/>
  <c r="Q1318" i="4"/>
  <c r="W1540" i="2"/>
  <c r="W1621" i="4"/>
  <c r="M1559" i="2"/>
  <c r="M1642" i="4"/>
  <c r="AA1645" i="1"/>
  <c r="AA1642" i="5" s="1"/>
  <c r="M1563" i="2"/>
  <c r="M1646" i="4"/>
  <c r="AA1649" i="1"/>
  <c r="AA1646" i="5" s="1"/>
  <c r="M1568" i="2"/>
  <c r="M1651" i="4"/>
  <c r="AA1654" i="1"/>
  <c r="AA1651" i="5" s="1"/>
  <c r="U1577" i="2"/>
  <c r="U1663" i="4"/>
  <c r="Z1579" i="2"/>
  <c r="Z1665" i="4"/>
  <c r="Z1583" i="2"/>
  <c r="Z1669" i="4"/>
  <c r="Z2147" i="1"/>
  <c r="J2431" i="4"/>
  <c r="J2446" i="4" s="1"/>
  <c r="J2452" i="1"/>
  <c r="V1161" i="4"/>
  <c r="W1162" i="1"/>
  <c r="X1231" i="2"/>
  <c r="Z1295" i="1"/>
  <c r="Z1231" i="2" s="1"/>
  <c r="J664" i="2"/>
  <c r="J694" i="4"/>
  <c r="J714" i="1"/>
  <c r="AA741" i="2"/>
  <c r="AA772" i="4"/>
  <c r="AB772" i="1"/>
  <c r="AB772" i="5" s="1"/>
  <c r="AA754" i="2"/>
  <c r="AA787" i="4"/>
  <c r="AB787" i="1"/>
  <c r="AB787" i="5" s="1"/>
  <c r="U765" i="2"/>
  <c r="U799" i="4"/>
  <c r="W777" i="2"/>
  <c r="W811" i="4"/>
  <c r="J778" i="2"/>
  <c r="J812" i="4"/>
  <c r="X779" i="2"/>
  <c r="Z813" i="1"/>
  <c r="Z779" i="2" s="1"/>
  <c r="Q783" i="2"/>
  <c r="Q817" i="4"/>
  <c r="X937" i="2"/>
  <c r="X979" i="4"/>
  <c r="M1091" i="2"/>
  <c r="M1141" i="4"/>
  <c r="AA1142" i="1"/>
  <c r="AA1141" i="5" s="1"/>
  <c r="X1099" i="2"/>
  <c r="Z1150" i="1"/>
  <c r="Z1099" i="2" s="1"/>
  <c r="U1128" i="2"/>
  <c r="U1179" i="4"/>
  <c r="U1148" i="2"/>
  <c r="U1200" i="4"/>
  <c r="Q1252" i="2"/>
  <c r="Q1315" i="4"/>
  <c r="H1257" i="2"/>
  <c r="H1274" i="2" s="1"/>
  <c r="H1320" i="4"/>
  <c r="X1320" i="4" s="1"/>
  <c r="Z1320" i="4" s="1"/>
  <c r="M1321" i="1"/>
  <c r="J1321" i="1"/>
  <c r="J1320" i="5" s="1"/>
  <c r="X1321" i="1"/>
  <c r="X1340" i="1" s="1"/>
  <c r="M1258" i="2"/>
  <c r="M1321" i="4"/>
  <c r="AA1322" i="1"/>
  <c r="AA1321" i="5" s="1"/>
  <c r="U1265" i="2"/>
  <c r="U1328" i="4"/>
  <c r="U1267" i="2"/>
  <c r="U1330" i="4"/>
  <c r="AA1331" i="1"/>
  <c r="AA1330" i="5" s="1"/>
  <c r="X1269" i="2"/>
  <c r="Z1335" i="1"/>
  <c r="Z1269" i="2" s="1"/>
  <c r="Z1277" i="2"/>
  <c r="X1277" i="2"/>
  <c r="U1289" i="2"/>
  <c r="U1354" i="4"/>
  <c r="AA1355" i="1"/>
  <c r="AA1354" i="5" s="1"/>
  <c r="U1304" i="2"/>
  <c r="U1373" i="4"/>
  <c r="AA1374" i="1"/>
  <c r="AA1373" i="5" s="1"/>
  <c r="U1320" i="2"/>
  <c r="U1389" i="4"/>
  <c r="U1373" i="2"/>
  <c r="U1444" i="4"/>
  <c r="Q1374" i="2"/>
  <c r="Q1445" i="4"/>
  <c r="X1375" i="2"/>
  <c r="Z1447" i="1"/>
  <c r="Z1375" i="2" s="1"/>
  <c r="Q1378" i="2"/>
  <c r="Q1449" i="4"/>
  <c r="M1672" i="2"/>
  <c r="M1763" i="4"/>
  <c r="AA1767" i="1"/>
  <c r="AA1763" i="5" s="1"/>
  <c r="H1680" i="2"/>
  <c r="H1693" i="2" s="1"/>
  <c r="H1771" i="4"/>
  <c r="X1771" i="4" s="1"/>
  <c r="Z1771" i="4" s="1"/>
  <c r="J1775" i="1"/>
  <c r="X1775" i="1"/>
  <c r="M1775" i="1"/>
  <c r="M1771" i="5" s="1"/>
  <c r="M1784" i="5" s="1"/>
  <c r="H1788" i="1"/>
  <c r="M1685" i="2"/>
  <c r="M1776" i="4"/>
  <c r="AA1780" i="1"/>
  <c r="AA1776" i="5" s="1"/>
  <c r="U1699" i="2"/>
  <c r="U1790" i="4"/>
  <c r="X1701" i="2"/>
  <c r="Z1796" i="1"/>
  <c r="Z1701" i="2" s="1"/>
  <c r="AA1704" i="2"/>
  <c r="AA1795" i="4"/>
  <c r="AB1799" i="1"/>
  <c r="AB1795" i="5" s="1"/>
  <c r="J1708" i="2"/>
  <c r="J1800" i="4"/>
  <c r="J1715" i="2"/>
  <c r="J1807" i="4"/>
  <c r="X1720" i="2"/>
  <c r="Z1816" i="1"/>
  <c r="Z1720" i="2" s="1"/>
  <c r="M1734" i="2"/>
  <c r="M1826" i="4"/>
  <c r="AA1830" i="1"/>
  <c r="AA1826" i="5" s="1"/>
  <c r="AA1741" i="2"/>
  <c r="AA1833" i="4"/>
  <c r="AB1837" i="1"/>
  <c r="AB1833" i="5" s="1"/>
  <c r="U1787" i="2"/>
  <c r="U1883" i="4"/>
  <c r="M1789" i="2"/>
  <c r="M1885" i="4"/>
  <c r="AA1889" i="1"/>
  <c r="AA1885" i="5" s="1"/>
  <c r="H1916" i="4"/>
  <c r="X1916" i="4" s="1"/>
  <c r="Z1916" i="4" s="1"/>
  <c r="J1920" i="1"/>
  <c r="X1920" i="1"/>
  <c r="Z1920" i="1" s="1"/>
  <c r="M1920" i="1"/>
  <c r="M1916" i="5" s="1"/>
  <c r="AA1942" i="4"/>
  <c r="AB1946" i="1"/>
  <c r="M1945" i="4"/>
  <c r="AA1949" i="1"/>
  <c r="AA1945" i="5" s="1"/>
  <c r="V2032" i="4"/>
  <c r="W2036" i="1"/>
  <c r="X2107" i="4"/>
  <c r="Z2111" i="1"/>
  <c r="U2115" i="4"/>
  <c r="U2142" i="1"/>
  <c r="AA2119" i="1"/>
  <c r="AA2115" i="5" s="1"/>
  <c r="U2128" i="4"/>
  <c r="AA2132" i="1"/>
  <c r="AA2128" i="5" s="1"/>
  <c r="U2246" i="4"/>
  <c r="U2262" i="4" s="1"/>
  <c r="U2266" i="1"/>
  <c r="U2265" i="4"/>
  <c r="U2292" i="4" s="1"/>
  <c r="U2296" i="1"/>
  <c r="M2266" i="4"/>
  <c r="AA2270" i="1"/>
  <c r="AA2266" i="5" s="1"/>
  <c r="H2271" i="4"/>
  <c r="X2271" i="4" s="1"/>
  <c r="Z2271" i="4" s="1"/>
  <c r="J2275" i="1"/>
  <c r="M2275" i="1"/>
  <c r="M2271" i="5" s="1"/>
  <c r="X2275" i="1"/>
  <c r="AA2344" i="4"/>
  <c r="AB2350" i="1"/>
  <c r="AB2344" i="5" s="1"/>
  <c r="AA2350" i="4"/>
  <c r="AB2356" i="1"/>
  <c r="U2395" i="4"/>
  <c r="AA2401" i="1"/>
  <c r="AA2395" i="5" s="1"/>
  <c r="U2401" i="4"/>
  <c r="AA2407" i="1"/>
  <c r="AA2401" i="5" s="1"/>
  <c r="AA2408" i="4"/>
  <c r="AB2414" i="1"/>
  <c r="U2433" i="4"/>
  <c r="U2446" i="4" s="1"/>
  <c r="U2452" i="1"/>
  <c r="M2444" i="4"/>
  <c r="AA2450" i="1"/>
  <c r="AA2444" i="5" s="1"/>
  <c r="U2493" i="4"/>
  <c r="AA2501" i="1"/>
  <c r="AA2493" i="5" s="1"/>
  <c r="Z2510" i="1"/>
  <c r="V2503" i="4"/>
  <c r="W2511" i="1"/>
  <c r="W2503" i="5" s="1"/>
  <c r="M2506" i="4"/>
  <c r="AA2514" i="1"/>
  <c r="AA2506" i="5" s="1"/>
  <c r="V2508" i="4"/>
  <c r="W2516" i="1"/>
  <c r="M2511" i="4"/>
  <c r="AA2519" i="1"/>
  <c r="AA2511" i="5" s="1"/>
  <c r="H2672" i="4"/>
  <c r="M2680" i="1"/>
  <c r="M2672" i="5" s="1"/>
  <c r="M2683" i="5" s="1"/>
  <c r="X2680" i="1"/>
  <c r="X2672" i="5" s="1"/>
  <c r="H852" i="2"/>
  <c r="H892" i="4"/>
  <c r="X892" i="4" s="1"/>
  <c r="Z892" i="4" s="1"/>
  <c r="X892" i="1"/>
  <c r="J892" i="1"/>
  <c r="J892" i="5" s="1"/>
  <c r="V892" i="1"/>
  <c r="V892" i="5" s="1"/>
  <c r="M892" i="1"/>
  <c r="M892" i="5" s="1"/>
  <c r="Q891" i="2"/>
  <c r="Q934" i="4"/>
  <c r="U976" i="2"/>
  <c r="U1021" i="4"/>
  <c r="Q1209" i="2"/>
  <c r="Q1268" i="4"/>
  <c r="M1273" i="4"/>
  <c r="AA1274" i="1"/>
  <c r="AA1273" i="5" s="1"/>
  <c r="U1237" i="2"/>
  <c r="U1300" i="4"/>
  <c r="J1242" i="2"/>
  <c r="J1305" i="4"/>
  <c r="V1255" i="2"/>
  <c r="V1318" i="4"/>
  <c r="W1319" i="1"/>
  <c r="W1318" i="5" s="1"/>
  <c r="W1262" i="2"/>
  <c r="W1325" i="4"/>
  <c r="M1265" i="2"/>
  <c r="M1328" i="4"/>
  <c r="AA1329" i="1"/>
  <c r="AA1328" i="5" s="1"/>
  <c r="V1300" i="2"/>
  <c r="V1369" i="4"/>
  <c r="W1370" i="1"/>
  <c r="W1369" i="5" s="1"/>
  <c r="M1302" i="2"/>
  <c r="M1371" i="4"/>
  <c r="AA1372" i="1"/>
  <c r="AA1371" i="5" s="1"/>
  <c r="X1309" i="2"/>
  <c r="Z1379" i="1"/>
  <c r="X1325" i="2"/>
  <c r="Z1395" i="1"/>
  <c r="Z1325" i="2" s="1"/>
  <c r="M1356" i="2"/>
  <c r="M1426" i="4"/>
  <c r="AA1427" i="1"/>
  <c r="AA1426" i="5" s="1"/>
  <c r="U1378" i="2"/>
  <c r="U1449" i="4"/>
  <c r="V1387" i="2"/>
  <c r="V1458" i="4"/>
  <c r="M1388" i="2"/>
  <c r="M1460" i="4"/>
  <c r="AA1461" i="1"/>
  <c r="AA1460" i="5" s="1"/>
  <c r="J1400" i="2"/>
  <c r="J1476" i="4"/>
  <c r="AB1406" i="2"/>
  <c r="AB1482" i="4"/>
  <c r="V1411" i="2"/>
  <c r="V1487" i="4"/>
  <c r="W1488" i="1"/>
  <c r="W1487" i="5" s="1"/>
  <c r="W1476" i="2"/>
  <c r="W1551" i="4"/>
  <c r="Z1485" i="2"/>
  <c r="Z1560" i="4"/>
  <c r="Z1496" i="2"/>
  <c r="Z1572" i="4"/>
  <c r="U1691" i="2"/>
  <c r="U1782" i="4"/>
  <c r="J1713" i="2"/>
  <c r="J1805" i="4"/>
  <c r="J1824" i="1"/>
  <c r="Q1733" i="2"/>
  <c r="Q1825" i="4"/>
  <c r="M1743" i="2"/>
  <c r="M1835" i="4"/>
  <c r="AA1839" i="1"/>
  <c r="AA1835" i="5" s="1"/>
  <c r="X1747" i="2"/>
  <c r="Z1845" i="1"/>
  <c r="Z1747" i="2" s="1"/>
  <c r="AA1761" i="2"/>
  <c r="AA1855" i="4"/>
  <c r="AB1859" i="1"/>
  <c r="AB1855" i="5" s="1"/>
  <c r="M2154" i="4"/>
  <c r="AA2158" i="1"/>
  <c r="AA2154" i="5" s="1"/>
  <c r="U2177" i="4"/>
  <c r="U2198" i="1"/>
  <c r="AA2181" i="1"/>
  <c r="AA2177" i="5" s="1"/>
  <c r="U2224" i="4"/>
  <c r="U2247" i="1"/>
  <c r="AA2228" i="1"/>
  <c r="AA2224" i="5" s="1"/>
  <c r="M2247" i="4"/>
  <c r="AA2251" i="1"/>
  <c r="AA2247" i="5" s="1"/>
  <c r="M2249" i="4"/>
  <c r="AA2253" i="1"/>
  <c r="AA2249" i="5" s="1"/>
  <c r="X2453" i="4"/>
  <c r="X2478" i="1"/>
  <c r="Z2461" i="1"/>
  <c r="Z2453" i="5" s="1"/>
  <c r="H1941" i="4"/>
  <c r="X1941" i="4" s="1"/>
  <c r="Z1941" i="4" s="1"/>
  <c r="M1945" i="1"/>
  <c r="M1941" i="5" s="1"/>
  <c r="X1945" i="1"/>
  <c r="Z1945" i="1" s="1"/>
  <c r="J1945" i="1"/>
  <c r="J1941" i="5" s="1"/>
  <c r="M2589" i="4"/>
  <c r="AA2597" i="1"/>
  <c r="AA2589" i="5" s="1"/>
  <c r="AA220" i="2"/>
  <c r="AA231" i="4"/>
  <c r="AB231" i="1"/>
  <c r="AB231" i="5" s="1"/>
  <c r="V439" i="4"/>
  <c r="W440" i="1"/>
  <c r="W754" i="2"/>
  <c r="W787" i="4"/>
  <c r="M756" i="2"/>
  <c r="M789" i="4"/>
  <c r="AA789" i="1"/>
  <c r="AA789" i="5" s="1"/>
  <c r="U760" i="2"/>
  <c r="U793" i="4"/>
  <c r="AA793" i="1"/>
  <c r="AA793" i="5" s="1"/>
  <c r="X807" i="2"/>
  <c r="Z842" i="1"/>
  <c r="Z807" i="2" s="1"/>
  <c r="W934" i="2"/>
  <c r="W976" i="4"/>
  <c r="AA963" i="2"/>
  <c r="AA1006" i="4"/>
  <c r="X977" i="2"/>
  <c r="Z1023" i="1"/>
  <c r="Z977" i="2" s="1"/>
  <c r="X983" i="2"/>
  <c r="Z1029" i="1"/>
  <c r="Z983" i="2" s="1"/>
  <c r="V1002" i="2"/>
  <c r="V1047" i="4"/>
  <c r="W1048" i="1"/>
  <c r="W1047" i="5" s="1"/>
  <c r="V1013" i="2"/>
  <c r="V1058" i="4"/>
  <c r="W1059" i="1"/>
  <c r="W1058" i="5" s="1"/>
  <c r="X1030" i="2"/>
  <c r="Z1078" i="1"/>
  <c r="Z1030" i="2" s="1"/>
  <c r="X1089" i="2"/>
  <c r="Z1140" i="1"/>
  <c r="Z1089" i="2" s="1"/>
  <c r="AA1099" i="2"/>
  <c r="AA1149" i="4"/>
  <c r="AB1150" i="1"/>
  <c r="AB1149" i="5" s="1"/>
  <c r="M1120" i="2"/>
  <c r="M1171" i="4"/>
  <c r="AA1172" i="1"/>
  <c r="AA1171" i="5" s="1"/>
  <c r="X1156" i="2"/>
  <c r="X1210" i="4"/>
  <c r="Z1211" i="1"/>
  <c r="Z1210" i="5" s="1"/>
  <c r="AA1163" i="2"/>
  <c r="AA1217" i="4"/>
  <c r="AB1218" i="1"/>
  <c r="AB1217" i="5" s="1"/>
  <c r="J1171" i="2"/>
  <c r="J1225" i="4"/>
  <c r="J1189" i="2"/>
  <c r="J1248" i="4"/>
  <c r="W1200" i="2"/>
  <c r="W1259" i="4"/>
  <c r="M1203" i="2"/>
  <c r="M1262" i="4"/>
  <c r="AA1263" i="1"/>
  <c r="AA1262" i="5" s="1"/>
  <c r="X1210" i="2"/>
  <c r="Z1270" i="1"/>
  <c r="Z1210" i="2" s="1"/>
  <c r="U1348" i="2"/>
  <c r="U1418" i="4"/>
  <c r="AA1419" i="1"/>
  <c r="AA1418" i="5" s="1"/>
  <c r="Q1349" i="2"/>
  <c r="Q1419" i="4"/>
  <c r="X1350" i="2"/>
  <c r="Z1421" i="1"/>
  <c r="Z1350" i="2" s="1"/>
  <c r="X1354" i="2"/>
  <c r="Z1425" i="1"/>
  <c r="Z1354" i="2" s="1"/>
  <c r="H1360" i="2"/>
  <c r="H1431" i="4"/>
  <c r="X1431" i="4" s="1"/>
  <c r="Z1431" i="4" s="1"/>
  <c r="J1432" i="1"/>
  <c r="J1431" i="5" s="1"/>
  <c r="X1432" i="1"/>
  <c r="M1432" i="1"/>
  <c r="M1431" i="5" s="1"/>
  <c r="V1366" i="2"/>
  <c r="V1437" i="4"/>
  <c r="W1438" i="1"/>
  <c r="W1437" i="5" s="1"/>
  <c r="W1380" i="2"/>
  <c r="W1451" i="4"/>
  <c r="M1384" i="2"/>
  <c r="M1455" i="4"/>
  <c r="AA1456" i="1"/>
  <c r="AA1455" i="5" s="1"/>
  <c r="AA1459" i="4"/>
  <c r="AB1460" i="1"/>
  <c r="Q1389" i="2"/>
  <c r="Q1461" i="4"/>
  <c r="W1399" i="2"/>
  <c r="W1475" i="4"/>
  <c r="U1401" i="2"/>
  <c r="U1477" i="4"/>
  <c r="AA1478" i="1"/>
  <c r="AA1477" i="5" s="1"/>
  <c r="Q1402" i="2"/>
  <c r="Q1478" i="4"/>
  <c r="U1410" i="2"/>
  <c r="U1486" i="4"/>
  <c r="M1589" i="4"/>
  <c r="AA1592" i="1"/>
  <c r="AA1589" i="5" s="1"/>
  <c r="X1584" i="2"/>
  <c r="Z1673" i="1"/>
  <c r="Z1670" i="5" s="1"/>
  <c r="J1679" i="2"/>
  <c r="J1770" i="4"/>
  <c r="M1681" i="2"/>
  <c r="M1772" i="4"/>
  <c r="AA1776" i="1"/>
  <c r="AA1772" i="5" s="1"/>
  <c r="AA1686" i="2"/>
  <c r="AA1777" i="4"/>
  <c r="AB1781" i="1"/>
  <c r="AB1777" i="5" s="1"/>
  <c r="M1687" i="2"/>
  <c r="M1778" i="4"/>
  <c r="AA1782" i="1"/>
  <c r="AA1778" i="5" s="1"/>
  <c r="U1708" i="2"/>
  <c r="U1800" i="4"/>
  <c r="M1717" i="2"/>
  <c r="M1809" i="4"/>
  <c r="AA1813" i="1"/>
  <c r="AA1809" i="5" s="1"/>
  <c r="U1719" i="2"/>
  <c r="U1811" i="4"/>
  <c r="AA1732" i="2"/>
  <c r="AA1824" i="4"/>
  <c r="AB1828" i="1"/>
  <c r="AB1824" i="5" s="1"/>
  <c r="Q1739" i="2"/>
  <c r="Q1831" i="4"/>
  <c r="J1740" i="2"/>
  <c r="J1832" i="4"/>
  <c r="AA1753" i="2"/>
  <c r="AA1847" i="4"/>
  <c r="AB1851" i="1"/>
  <c r="AB1847" i="5" s="1"/>
  <c r="X1755" i="2"/>
  <c r="Z1853" i="1"/>
  <c r="Z1755" i="2" s="1"/>
  <c r="X1975" i="4"/>
  <c r="Z1979" i="1"/>
  <c r="Z1975" i="5" s="1"/>
  <c r="W1990" i="4"/>
  <c r="M2090" i="4"/>
  <c r="AA2094" i="1"/>
  <c r="AA2090" i="5" s="1"/>
  <c r="U2105" i="4"/>
  <c r="AA2109" i="1"/>
  <c r="AA2105" i="5" s="1"/>
  <c r="M2106" i="4"/>
  <c r="AA2110" i="1"/>
  <c r="AA2106" i="5" s="1"/>
  <c r="Q2115" i="4"/>
  <c r="Q2138" i="4" s="1"/>
  <c r="Q2142" i="1"/>
  <c r="M2209" i="4"/>
  <c r="AA2213" i="1"/>
  <c r="AA2209" i="5" s="1"/>
  <c r="U2300" i="4"/>
  <c r="U2313" i="4" s="1"/>
  <c r="U2319" i="1"/>
  <c r="AA2306" i="1"/>
  <c r="AA2300" i="5" s="1"/>
  <c r="M2301" i="4"/>
  <c r="AA2307" i="1"/>
  <c r="AA2301" i="5" s="1"/>
  <c r="M2303" i="4"/>
  <c r="AA2309" i="1"/>
  <c r="AA2303" i="5" s="1"/>
  <c r="Q2344" i="4"/>
  <c r="Q2366" i="4" s="1"/>
  <c r="Q2372" i="1"/>
  <c r="M2351" i="4"/>
  <c r="AA2357" i="1"/>
  <c r="AA2351" i="5" s="1"/>
  <c r="M2407" i="4"/>
  <c r="AA2413" i="1"/>
  <c r="AA2407" i="5" s="1"/>
  <c r="AA2417" i="4"/>
  <c r="AB2423" i="1"/>
  <c r="AA2421" i="4"/>
  <c r="AB2427" i="1"/>
  <c r="P2423" i="4"/>
  <c r="X2423" i="4" s="1"/>
  <c r="Z2423" i="4" s="1"/>
  <c r="U2429" i="1"/>
  <c r="U2423" i="5" s="1"/>
  <c r="X2429" i="1"/>
  <c r="Z2429" i="1" s="1"/>
  <c r="AA2533" i="4"/>
  <c r="AB2541" i="1"/>
  <c r="U2631" i="4"/>
  <c r="AA2639" i="1"/>
  <c r="AA2631" i="5" s="1"/>
  <c r="H2680" i="4"/>
  <c r="M2688" i="1"/>
  <c r="M2680" i="5" s="1"/>
  <c r="X2688" i="1"/>
  <c r="X2680" i="5" s="1"/>
  <c r="V2688" i="1"/>
  <c r="V2680" i="5" s="1"/>
  <c r="W576" i="2"/>
  <c r="W600" i="4"/>
  <c r="W673" i="2"/>
  <c r="W703" i="4"/>
  <c r="J675" i="2"/>
  <c r="J705" i="4"/>
  <c r="U687" i="2"/>
  <c r="U717" i="4"/>
  <c r="U743" i="1"/>
  <c r="AA692" i="2"/>
  <c r="AA722" i="4"/>
  <c r="H737" i="2"/>
  <c r="H748" i="2" s="1"/>
  <c r="H768" i="4"/>
  <c r="X768" i="4" s="1"/>
  <c r="Z768" i="4" s="1"/>
  <c r="X768" i="1"/>
  <c r="M768" i="1"/>
  <c r="M768" i="5" s="1"/>
  <c r="J768" i="1"/>
  <c r="J768" i="5" s="1"/>
  <c r="J781" i="5" s="1"/>
  <c r="H781" i="1"/>
  <c r="V768" i="1"/>
  <c r="Q1145" i="2"/>
  <c r="Q1197" i="4"/>
  <c r="Q1215" i="1"/>
  <c r="Q2841" i="1"/>
  <c r="V1157" i="2"/>
  <c r="V1211" i="4"/>
  <c r="W1212" i="1"/>
  <c r="W1211" i="5" s="1"/>
  <c r="AA1164" i="2"/>
  <c r="AA1218" i="4"/>
  <c r="AB1219" i="1"/>
  <c r="AB1218" i="5" s="1"/>
  <c r="M1238" i="4"/>
  <c r="AA1239" i="1"/>
  <c r="AA1238" i="5" s="1"/>
  <c r="W1212" i="2"/>
  <c r="W1271" i="4"/>
  <c r="W1524" i="2"/>
  <c r="W1602" i="4"/>
  <c r="V1611" i="4"/>
  <c r="W1614" i="1"/>
  <c r="AA1774" i="2"/>
  <c r="AA1870" i="4"/>
  <c r="AB1874" i="1"/>
  <c r="AB1870" i="5" s="1"/>
  <c r="AA1949" i="4"/>
  <c r="AB1953" i="1"/>
  <c r="M2018" i="4"/>
  <c r="AA2022" i="1"/>
  <c r="AA2018" i="5" s="1"/>
  <c r="M2023" i="4"/>
  <c r="AA2027" i="1"/>
  <c r="AA2023" i="5" s="1"/>
  <c r="M2087" i="4"/>
  <c r="AA2091" i="1"/>
  <c r="AA2087" i="5" s="1"/>
  <c r="M2148" i="4"/>
  <c r="AA2152" i="1"/>
  <c r="AA2148" i="5" s="1"/>
  <c r="AA2397" i="4"/>
  <c r="AB2403" i="1"/>
  <c r="AA2482" i="4"/>
  <c r="AB2490" i="1"/>
  <c r="AA1277" i="2"/>
  <c r="AA1342" i="4"/>
  <c r="AB1343" i="1"/>
  <c r="AB1342" i="5" s="1"/>
  <c r="M2555" i="4"/>
  <c r="AA2563" i="1"/>
  <c r="AA2555" i="5" s="1"/>
  <c r="V55" i="2"/>
  <c r="V59" i="4"/>
  <c r="W59" i="1"/>
  <c r="W59" i="5" s="1"/>
  <c r="V524" i="2"/>
  <c r="V543" i="4"/>
  <c r="W544" i="1"/>
  <c r="W543" i="5" s="1"/>
  <c r="W802" i="2"/>
  <c r="W836" i="4"/>
  <c r="M805" i="2"/>
  <c r="M840" i="4"/>
  <c r="AA840" i="1"/>
  <c r="AA840" i="5" s="1"/>
  <c r="Q1248" i="4"/>
  <c r="Q1189" i="2"/>
  <c r="Q1282" i="1"/>
  <c r="Q2825" i="1" s="1"/>
  <c r="U1333" i="4"/>
  <c r="AA1334" i="1"/>
  <c r="AA1333" i="5" s="1"/>
  <c r="U1268" i="2"/>
  <c r="W1281" i="2"/>
  <c r="W1346" i="4"/>
  <c r="X1290" i="2"/>
  <c r="Z1356" i="1"/>
  <c r="Z1290" i="2" s="1"/>
  <c r="V1295" i="2"/>
  <c r="V1360" i="4"/>
  <c r="W1361" i="1"/>
  <c r="W1360" i="5" s="1"/>
  <c r="Q1298" i="2"/>
  <c r="Q1367" i="4"/>
  <c r="J1371" i="2"/>
  <c r="J1442" i="4"/>
  <c r="M1392" i="2"/>
  <c r="M1465" i="4"/>
  <c r="AA1466" i="1"/>
  <c r="AA1465" i="5" s="1"/>
  <c r="X1447" i="2"/>
  <c r="Z1525" i="1"/>
  <c r="Z1447" i="2" s="1"/>
  <c r="AA1580" i="2"/>
  <c r="AA1666" i="4"/>
  <c r="AB1669" i="1"/>
  <c r="AB1666" i="5" s="1"/>
  <c r="X1613" i="2"/>
  <c r="Z1708" i="1"/>
  <c r="Z1705" i="5" s="1"/>
  <c r="AB1622" i="2"/>
  <c r="AB1714" i="4"/>
  <c r="X1624" i="2"/>
  <c r="Z1719" i="1"/>
  <c r="Z1716" i="5" s="1"/>
  <c r="X1656" i="2"/>
  <c r="X1747" i="4"/>
  <c r="Z1751" i="1"/>
  <c r="Z1747" i="5" s="1"/>
  <c r="U1674" i="2"/>
  <c r="U1765" i="4"/>
  <c r="U1680" i="2"/>
  <c r="U1771" i="4"/>
  <c r="AA1726" i="2"/>
  <c r="AA1818" i="4"/>
  <c r="AB1822" i="1"/>
  <c r="AB1818" i="5" s="1"/>
  <c r="J1754" i="2"/>
  <c r="J1848" i="4"/>
  <c r="Q1780" i="2"/>
  <c r="Q1876" i="4"/>
  <c r="H1985" i="4"/>
  <c r="M1989" i="1"/>
  <c r="M1985" i="5" s="1"/>
  <c r="X1989" i="1"/>
  <c r="X1985" i="5" s="1"/>
  <c r="V1993" i="4"/>
  <c r="W1997" i="1"/>
  <c r="X2093" i="4"/>
  <c r="Z2097" i="1"/>
  <c r="M2426" i="4"/>
  <c r="AA2432" i="1"/>
  <c r="AA2426" i="5" s="1"/>
  <c r="AA2454" i="4"/>
  <c r="AB2462" i="1"/>
  <c r="AA2701" i="4"/>
  <c r="AB2709" i="1"/>
  <c r="V2731" i="4"/>
  <c r="V2758" i="1"/>
  <c r="W2739" i="1"/>
  <c r="W2731" i="5" s="1"/>
  <c r="AB2800" i="1"/>
  <c r="AB2805" i="1"/>
  <c r="M2807" i="1"/>
  <c r="X2807" i="1"/>
  <c r="Z2807" i="1" s="1"/>
  <c r="AB2831" i="1"/>
  <c r="AB2840" i="1"/>
  <c r="M2848" i="1"/>
  <c r="X2848" i="1"/>
  <c r="Z2848" i="1" s="1"/>
  <c r="AA2858" i="1"/>
  <c r="W760" i="2"/>
  <c r="W793" i="4"/>
  <c r="Q826" i="2"/>
  <c r="Q861" i="4"/>
  <c r="J851" i="2"/>
  <c r="J891" i="4"/>
  <c r="X896" i="2"/>
  <c r="Z939" i="1"/>
  <c r="Z896" i="2" s="1"/>
  <c r="W931" i="2"/>
  <c r="W973" i="4"/>
  <c r="Q1310" i="2"/>
  <c r="Q1379" i="4"/>
  <c r="Z1655" i="2"/>
  <c r="Z1746" i="4"/>
  <c r="X2574" i="4"/>
  <c r="Z2582" i="1"/>
  <c r="M2699" i="4"/>
  <c r="AA2707" i="1"/>
  <c r="AA2699" i="5" s="1"/>
  <c r="V2717" i="4"/>
  <c r="W2725" i="1"/>
  <c r="AA1066" i="2"/>
  <c r="AA1115" i="4"/>
  <c r="AB1116" i="1"/>
  <c r="AB1115" i="5" s="1"/>
  <c r="Z1523" i="2"/>
  <c r="Z1601" i="4"/>
  <c r="M1636" i="2"/>
  <c r="M1728" i="4"/>
  <c r="AA1731" i="1"/>
  <c r="AA1728" i="5" s="1"/>
  <c r="Z1637" i="2"/>
  <c r="Z1729" i="4"/>
  <c r="M1662" i="2"/>
  <c r="M1753" i="4"/>
  <c r="AA1757" i="1"/>
  <c r="AA1753" i="5" s="1"/>
  <c r="M1691" i="2"/>
  <c r="M1782" i="4"/>
  <c r="AA1786" i="1"/>
  <c r="AA1782" i="5" s="1"/>
  <c r="M1887" i="4"/>
  <c r="AA1891" i="1"/>
  <c r="AA1887" i="5" s="1"/>
  <c r="U2458" i="4"/>
  <c r="AA2466" i="1"/>
  <c r="AA2458" i="5" s="1"/>
  <c r="V2481" i="4"/>
  <c r="W2489" i="1"/>
  <c r="AB2799" i="1"/>
  <c r="V1610" i="2"/>
  <c r="V1702" i="4"/>
  <c r="W1705" i="1"/>
  <c r="W1702" i="5" s="1"/>
  <c r="V2463" i="4"/>
  <c r="W2471" i="1"/>
  <c r="V2666" i="4"/>
  <c r="W2674" i="1"/>
  <c r="W1378" i="2"/>
  <c r="W1449" i="4"/>
  <c r="H2603" i="4"/>
  <c r="M2611" i="1"/>
  <c r="M2603" i="5" s="1"/>
  <c r="X2611" i="1"/>
  <c r="X2603" i="5" s="1"/>
  <c r="W434" i="2"/>
  <c r="W454" i="4"/>
  <c r="Q756" i="2"/>
  <c r="Q789" i="4"/>
  <c r="X758" i="2"/>
  <c r="Z791" i="1"/>
  <c r="Z758" i="2" s="1"/>
  <c r="V781" i="2"/>
  <c r="V815" i="4"/>
  <c r="W815" i="1"/>
  <c r="W815" i="5" s="1"/>
  <c r="AA1226" i="2"/>
  <c r="AA1289" i="4"/>
  <c r="AB1290" i="1"/>
  <c r="AB1289" i="5" s="1"/>
  <c r="U1235" i="2"/>
  <c r="U1298" i="4"/>
  <c r="Q1286" i="2"/>
  <c r="Q1351" i="4"/>
  <c r="J1300" i="2"/>
  <c r="J1369" i="4"/>
  <c r="V1327" i="2"/>
  <c r="V1397" i="4"/>
  <c r="W1398" i="1"/>
  <c r="W1397" i="5" s="1"/>
  <c r="Q1346" i="2"/>
  <c r="Q1416" i="4"/>
  <c r="W1598" i="2"/>
  <c r="W1687" i="4"/>
  <c r="V1603" i="2"/>
  <c r="V1695" i="4"/>
  <c r="X1609" i="2"/>
  <c r="Z1704" i="1"/>
  <c r="Z1701" i="5" s="1"/>
  <c r="M1614" i="2"/>
  <c r="M1706" i="4"/>
  <c r="AA1709" i="1"/>
  <c r="AA1706" i="5" s="1"/>
  <c r="Z1615" i="2"/>
  <c r="Z1707" i="4"/>
  <c r="X1620" i="2"/>
  <c r="Z1715" i="1"/>
  <c r="Z1712" i="5" s="1"/>
  <c r="X1723" i="1"/>
  <c r="Z1664" i="2"/>
  <c r="Z1755" i="4"/>
  <c r="X2311" i="4"/>
  <c r="Z2317" i="1"/>
  <c r="U2357" i="4"/>
  <c r="AA2363" i="1"/>
  <c r="AA2357" i="5" s="1"/>
  <c r="M2520" i="4"/>
  <c r="AA2528" i="1"/>
  <c r="AA2520" i="5" s="1"/>
  <c r="P2523" i="4"/>
  <c r="X2523" i="4" s="1"/>
  <c r="Z2523" i="4" s="1"/>
  <c r="X2531" i="1"/>
  <c r="Z2531" i="1" s="1"/>
  <c r="U2531" i="1"/>
  <c r="U2523" i="5" s="1"/>
  <c r="V2531" i="1"/>
  <c r="V2523" i="5" s="1"/>
  <c r="H2723" i="4"/>
  <c r="X2723" i="4" s="1"/>
  <c r="Z2723" i="4" s="1"/>
  <c r="M2731" i="1"/>
  <c r="M2723" i="5" s="1"/>
  <c r="X2731" i="1"/>
  <c r="Z2731" i="1" s="1"/>
  <c r="M2726" i="4"/>
  <c r="AA2734" i="1"/>
  <c r="AA2726" i="5" s="1"/>
  <c r="V2739" i="4"/>
  <c r="W2747" i="1"/>
  <c r="J637" i="2"/>
  <c r="J665" i="4"/>
  <c r="AA966" i="2"/>
  <c r="AA1011" i="4"/>
  <c r="AB1012" i="1"/>
  <c r="AB1011" i="5" s="1"/>
  <c r="W1205" i="2"/>
  <c r="W1264" i="4"/>
  <c r="Q1368" i="2"/>
  <c r="Q1439" i="4"/>
  <c r="U1384" i="2"/>
  <c r="U1455" i="4"/>
  <c r="AA1467" i="4"/>
  <c r="AB1468" i="1"/>
  <c r="U1623" i="2"/>
  <c r="U1628" i="2" s="1"/>
  <c r="U1715" i="4"/>
  <c r="U1720" i="4" s="1"/>
  <c r="AA1718" i="1"/>
  <c r="AA1715" i="5" s="1"/>
  <c r="Z1633" i="2"/>
  <c r="Z1725" i="4"/>
  <c r="J1705" i="2"/>
  <c r="J1796" i="4"/>
  <c r="U1717" i="2"/>
  <c r="U1809" i="4"/>
  <c r="J1723" i="2"/>
  <c r="J1815" i="4"/>
  <c r="X1786" i="2"/>
  <c r="Z1886" i="1"/>
  <c r="Z1786" i="2" s="1"/>
  <c r="U1893" i="4"/>
  <c r="U1794" i="2"/>
  <c r="AA2198" i="4"/>
  <c r="AB2202" i="1"/>
  <c r="W2473" i="4"/>
  <c r="U2519" i="4"/>
  <c r="AA2527" i="1"/>
  <c r="AA2519" i="5" s="1"/>
  <c r="W2622" i="4"/>
  <c r="AB2785" i="1"/>
  <c r="J1192" i="2"/>
  <c r="J1251" i="4"/>
  <c r="M1237" i="2"/>
  <c r="AA1301" i="1"/>
  <c r="AA1300" i="5" s="1"/>
  <c r="M1300" i="4"/>
  <c r="V1288" i="2"/>
  <c r="V1353" i="4"/>
  <c r="J1345" i="2"/>
  <c r="J1415" i="4"/>
  <c r="X2089" i="4"/>
  <c r="Z2093" i="1"/>
  <c r="M2361" i="4"/>
  <c r="AA2367" i="1"/>
  <c r="AA2361" i="5" s="1"/>
  <c r="W2453" i="4"/>
  <c r="X2463" i="4"/>
  <c r="Z2471" i="1"/>
  <c r="AA2474" i="4"/>
  <c r="AB2482" i="1"/>
  <c r="AA2503" i="4"/>
  <c r="AB2511" i="1"/>
  <c r="AA2510" i="4"/>
  <c r="AB2518" i="1"/>
  <c r="U2621" i="4"/>
  <c r="AA2629" i="1"/>
  <c r="AA2621" i="5" s="1"/>
  <c r="AA2626" i="4"/>
  <c r="V2629" i="4"/>
  <c r="W2637" i="1"/>
  <c r="H684" i="2"/>
  <c r="X1823" i="4"/>
  <c r="Z1823" i="4" s="1"/>
  <c r="X1772" i="4"/>
  <c r="Z1772" i="4" s="1"/>
  <c r="X1889" i="4"/>
  <c r="Z1889" i="4" s="1"/>
  <c r="P1645" i="2"/>
  <c r="I403" i="2"/>
  <c r="I2726" i="2" s="1"/>
  <c r="Y918" i="2"/>
  <c r="AA2032" i="2"/>
  <c r="AB2032" i="2" s="1"/>
  <c r="Z1904" i="2"/>
  <c r="J2096" i="2"/>
  <c r="L1647" i="2"/>
  <c r="L2736" i="2" s="1"/>
  <c r="Q2188" i="2"/>
  <c r="E2511" i="2"/>
  <c r="E2748" i="2" s="1"/>
  <c r="T132" i="4"/>
  <c r="J2052" i="2"/>
  <c r="L1865" i="2"/>
  <c r="L2738" i="2" s="1"/>
  <c r="J2081" i="4"/>
  <c r="J2919" i="4" s="1"/>
  <c r="X226" i="4"/>
  <c r="Z226" i="4" s="1"/>
  <c r="X156" i="4"/>
  <c r="X337" i="4"/>
  <c r="Z337" i="4" s="1"/>
  <c r="X407" i="4"/>
  <c r="X2165" i="2"/>
  <c r="P101" i="2"/>
  <c r="F426" i="2"/>
  <c r="J2567" i="4"/>
  <c r="J2925" i="4" s="1"/>
  <c r="X453" i="4"/>
  <c r="X216" i="4"/>
  <c r="Z216" i="4" s="1"/>
  <c r="H489" i="2"/>
  <c r="P583" i="2"/>
  <c r="X671" i="4"/>
  <c r="Z671" i="4" s="1"/>
  <c r="F725" i="2"/>
  <c r="X361" i="4"/>
  <c r="Z361" i="4" s="1"/>
  <c r="X483" i="4"/>
  <c r="Z483" i="4" s="1"/>
  <c r="F712" i="2"/>
  <c r="X734" i="4"/>
  <c r="Z734" i="4" s="1"/>
  <c r="E833" i="2"/>
  <c r="P1057" i="2"/>
  <c r="K401" i="2"/>
  <c r="X532" i="4"/>
  <c r="Z532" i="4" s="1"/>
  <c r="X797" i="4"/>
  <c r="Z797" i="4" s="1"/>
  <c r="X1014" i="1"/>
  <c r="X195" i="4"/>
  <c r="Z195" i="4" s="1"/>
  <c r="X778" i="4"/>
  <c r="Z778" i="4" s="1"/>
  <c r="X790" i="4"/>
  <c r="Z790" i="4" s="1"/>
  <c r="F823" i="4"/>
  <c r="X854" i="4"/>
  <c r="Z854" i="4" s="1"/>
  <c r="M149" i="1"/>
  <c r="K1544" i="1"/>
  <c r="X2115" i="4"/>
  <c r="X788" i="4"/>
  <c r="Z788" i="4" s="1"/>
  <c r="X1003" i="4"/>
  <c r="Z1003" i="4" s="1"/>
  <c r="X1370" i="4"/>
  <c r="Z1370" i="4" s="1"/>
  <c r="X1418" i="4"/>
  <c r="Z1418" i="4" s="1"/>
  <c r="X1667" i="4"/>
  <c r="X1695" i="4"/>
  <c r="X1703" i="4"/>
  <c r="X1707" i="4"/>
  <c r="X1779" i="4"/>
  <c r="Z1779" i="4" s="1"/>
  <c r="X1847" i="4"/>
  <c r="Z1847" i="4" s="1"/>
  <c r="X650" i="4"/>
  <c r="H1376" i="1"/>
  <c r="U1014" i="1"/>
  <c r="P1332" i="2"/>
  <c r="X1380" i="4"/>
  <c r="Z1380" i="4" s="1"/>
  <c r="P1395" i="2"/>
  <c r="H1728" i="2"/>
  <c r="Q2243" i="4"/>
  <c r="X1430" i="4"/>
  <c r="Z1430" i="4" s="1"/>
  <c r="X1503" i="4"/>
  <c r="Z1503" i="4" s="1"/>
  <c r="X1527" i="4"/>
  <c r="Z1527" i="4" s="1"/>
  <c r="M1806" i="1"/>
  <c r="X1814" i="4"/>
  <c r="Z1814" i="4" s="1"/>
  <c r="AL2866" i="1"/>
  <c r="AA2203" i="1"/>
  <c r="AA2199" i="5" s="1"/>
  <c r="Z2283" i="4"/>
  <c r="AA2537" i="1"/>
  <c r="AA2529" i="5" s="1"/>
  <c r="E1160" i="2"/>
  <c r="AA2269" i="1"/>
  <c r="AA2265" i="5" s="1"/>
  <c r="W1175" i="1"/>
  <c r="W1174" i="5" s="1"/>
  <c r="M1086" i="1"/>
  <c r="X1136" i="4"/>
  <c r="Z1136" i="4" s="1"/>
  <c r="X1829" i="4"/>
  <c r="Z1829" i="4" s="1"/>
  <c r="Z2275" i="4"/>
  <c r="F2728" i="4"/>
  <c r="X1415" i="4"/>
  <c r="Z1415" i="4" s="1"/>
  <c r="U2372" i="1"/>
  <c r="V1447" i="2"/>
  <c r="V1524" i="4"/>
  <c r="W1525" i="1"/>
  <c r="W1524" i="5" s="1"/>
  <c r="V1497" i="2"/>
  <c r="V1573" i="4"/>
  <c r="W1576" i="1"/>
  <c r="W1573" i="5" s="1"/>
  <c r="M1530" i="2"/>
  <c r="M1608" i="4"/>
  <c r="AA1611" i="1"/>
  <c r="AA1608" i="5" s="1"/>
  <c r="AA1535" i="2"/>
  <c r="AA1616" i="4"/>
  <c r="AB1619" i="1"/>
  <c r="AB1616" i="5" s="1"/>
  <c r="AA1560" i="2"/>
  <c r="AA1643" i="4"/>
  <c r="AB1646" i="1"/>
  <c r="AB1643" i="5" s="1"/>
  <c r="M1655" i="4"/>
  <c r="AA1658" i="1"/>
  <c r="AA1655" i="5" s="1"/>
  <c r="U1581" i="2"/>
  <c r="U1667" i="4"/>
  <c r="AA1670" i="1"/>
  <c r="AA1667" i="5" s="1"/>
  <c r="H1929" i="4"/>
  <c r="X1929" i="4" s="1"/>
  <c r="Z1929" i="4" s="1"/>
  <c r="M1933" i="1"/>
  <c r="X1933" i="1"/>
  <c r="Z1933" i="1" s="1"/>
  <c r="J1933" i="1"/>
  <c r="V2045" i="4"/>
  <c r="W2049" i="1"/>
  <c r="AU2866" i="1"/>
  <c r="AA730" i="2"/>
  <c r="AA761" i="4"/>
  <c r="AB761" i="1"/>
  <c r="AB761" i="5" s="1"/>
  <c r="AA777" i="2"/>
  <c r="AA811" i="4"/>
  <c r="AB811" i="1"/>
  <c r="AB811" i="5" s="1"/>
  <c r="J779" i="2"/>
  <c r="J813" i="4"/>
  <c r="M935" i="2"/>
  <c r="M977" i="4"/>
  <c r="AA978" i="1"/>
  <c r="AA977" i="5" s="1"/>
  <c r="V1265" i="2"/>
  <c r="V1328" i="4"/>
  <c r="W1329" i="1"/>
  <c r="W1328" i="5" s="1"/>
  <c r="Q1269" i="2"/>
  <c r="Q1334" i="4"/>
  <c r="Q1340" i="2"/>
  <c r="Q1410" i="4"/>
  <c r="M1355" i="2"/>
  <c r="M1425" i="4"/>
  <c r="AA1426" i="1"/>
  <c r="AA1425" i="5" s="1"/>
  <c r="W1429" i="4"/>
  <c r="W1358" i="2"/>
  <c r="U1374" i="2"/>
  <c r="U1445" i="4"/>
  <c r="AA1446" i="1"/>
  <c r="AA1445" i="5" s="1"/>
  <c r="U1383" i="2"/>
  <c r="U1454" i="4"/>
  <c r="AA1490" i="2"/>
  <c r="AA1566" i="4"/>
  <c r="AB1569" i="1"/>
  <c r="AB1566" i="5" s="1"/>
  <c r="AA1502" i="2"/>
  <c r="AA1578" i="4"/>
  <c r="AB1581" i="1"/>
  <c r="AB1578" i="5" s="1"/>
  <c r="X1708" i="2"/>
  <c r="Z1804" i="1"/>
  <c r="Z1708" i="2" s="1"/>
  <c r="AA1719" i="2"/>
  <c r="AA1811" i="4"/>
  <c r="AB1815" i="1"/>
  <c r="AB1811" i="5" s="1"/>
  <c r="AA1779" i="2"/>
  <c r="AA1875" i="4"/>
  <c r="AB1879" i="1"/>
  <c r="AB1875" i="5" s="1"/>
  <c r="AA1909" i="4"/>
  <c r="AB1913" i="1"/>
  <c r="U1919" i="4"/>
  <c r="AA1923" i="1"/>
  <c r="AA1919" i="5" s="1"/>
  <c r="AA2240" i="4"/>
  <c r="AB2244" i="1"/>
  <c r="AA2258" i="4"/>
  <c r="AB2262" i="1"/>
  <c r="AA2375" i="4"/>
  <c r="AB2381" i="1"/>
  <c r="AA2390" i="4"/>
  <c r="AB2396" i="1"/>
  <c r="M2492" i="4"/>
  <c r="AA2500" i="1"/>
  <c r="AA2492" i="5" s="1"/>
  <c r="M2507" i="1"/>
  <c r="M2496" i="4"/>
  <c r="AA2504" i="1"/>
  <c r="AA2496" i="5" s="1"/>
  <c r="AB692" i="2"/>
  <c r="AB722" i="4"/>
  <c r="Q799" i="2"/>
  <c r="Q833" i="4"/>
  <c r="K1218" i="2"/>
  <c r="K2650" i="2" s="1"/>
  <c r="K2648" i="2"/>
  <c r="U1209" i="2"/>
  <c r="U1268" i="4"/>
  <c r="AA1269" i="1"/>
  <c r="AA1268" i="5" s="1"/>
  <c r="AB1611" i="2"/>
  <c r="AB1703" i="4"/>
  <c r="AB1637" i="2"/>
  <c r="AB1729" i="4"/>
  <c r="M2129" i="4"/>
  <c r="AA2133" i="1"/>
  <c r="AA2129" i="5" s="1"/>
  <c r="AA2223" i="4"/>
  <c r="AB2227" i="1"/>
  <c r="AA2309" i="4"/>
  <c r="AB2315" i="1"/>
  <c r="AA2372" i="4"/>
  <c r="AB2378" i="1"/>
  <c r="M2398" i="4"/>
  <c r="AA2404" i="1"/>
  <c r="AA2398" i="5" s="1"/>
  <c r="V1356" i="2"/>
  <c r="V1426" i="4"/>
  <c r="W1427" i="1"/>
  <c r="W1426" i="5" s="1"/>
  <c r="V1432" i="2"/>
  <c r="V1509" i="4"/>
  <c r="W1510" i="1"/>
  <c r="W1509" i="5" s="1"/>
  <c r="AA1639" i="2"/>
  <c r="AA1731" i="4"/>
  <c r="AB1734" i="1"/>
  <c r="AB1731" i="5" s="1"/>
  <c r="J756" i="2"/>
  <c r="J789" i="4"/>
  <c r="V893" i="2"/>
  <c r="W936" i="1"/>
  <c r="W936" i="5" s="1"/>
  <c r="V936" i="4"/>
  <c r="U895" i="2"/>
  <c r="U938" i="4"/>
  <c r="Z1226" i="4"/>
  <c r="Z1172" i="2"/>
  <c r="AB1179" i="2"/>
  <c r="AB1233" i="4"/>
  <c r="M1189" i="2"/>
  <c r="M1248" i="4"/>
  <c r="AA1249" i="1"/>
  <c r="AA1248" i="5" s="1"/>
  <c r="V1227" i="2"/>
  <c r="V1290" i="4"/>
  <c r="W1291" i="1"/>
  <c r="W1290" i="5" s="1"/>
  <c r="J1254" i="2"/>
  <c r="J1317" i="4"/>
  <c r="U1284" i="2"/>
  <c r="U1349" i="4"/>
  <c r="W1324" i="2"/>
  <c r="W1393" i="4"/>
  <c r="V1336" i="2"/>
  <c r="V1406" i="4"/>
  <c r="W1407" i="1"/>
  <c r="W1406" i="5" s="1"/>
  <c r="U1349" i="2"/>
  <c r="U1419" i="4"/>
  <c r="AA1420" i="1"/>
  <c r="AA1419" i="5" s="1"/>
  <c r="Q1354" i="2"/>
  <c r="Q1424" i="4"/>
  <c r="H1428" i="4"/>
  <c r="X1428" i="4" s="1"/>
  <c r="Z1428" i="4" s="1"/>
  <c r="M1429" i="1"/>
  <c r="M1428" i="5" s="1"/>
  <c r="X1429" i="1"/>
  <c r="Z1429" i="1" s="1"/>
  <c r="V1429" i="1"/>
  <c r="AA1683" i="2"/>
  <c r="AA1774" i="4"/>
  <c r="AB1778" i="1"/>
  <c r="AB1774" i="5" s="1"/>
  <c r="Q1776" i="2"/>
  <c r="Q1872" i="4"/>
  <c r="AA1784" i="2"/>
  <c r="AA1880" i="4"/>
  <c r="AB1884" i="1"/>
  <c r="AB1880" i="5" s="1"/>
  <c r="Z1929" i="1"/>
  <c r="M1960" i="4"/>
  <c r="AA1964" i="1"/>
  <c r="AA1960" i="5" s="1"/>
  <c r="X1979" i="4"/>
  <c r="Z1983" i="1"/>
  <c r="X1981" i="4"/>
  <c r="Z1985" i="1"/>
  <c r="V2046" i="4"/>
  <c r="W2050" i="1"/>
  <c r="M2049" i="4"/>
  <c r="AA2053" i="1"/>
  <c r="AA2049" i="5" s="1"/>
  <c r="AA2161" i="4"/>
  <c r="AB2165" i="1"/>
  <c r="M2167" i="4"/>
  <c r="AA2171" i="1"/>
  <c r="AA2167" i="5" s="1"/>
  <c r="AA2579" i="4"/>
  <c r="AB2587" i="1"/>
  <c r="W1415" i="2"/>
  <c r="W1492" i="4"/>
  <c r="Z1481" i="2"/>
  <c r="Z1556" i="4"/>
  <c r="Z1510" i="2"/>
  <c r="Z1586" i="4"/>
  <c r="X1670" i="2"/>
  <c r="Z1765" i="1"/>
  <c r="Z1761" i="5" s="1"/>
  <c r="U1697" i="2"/>
  <c r="U1788" i="4"/>
  <c r="X1706" i="2"/>
  <c r="Z1802" i="1"/>
  <c r="Z1706" i="2" s="1"/>
  <c r="AA1733" i="2"/>
  <c r="AB1829" i="1"/>
  <c r="AB1825" i="5" s="1"/>
  <c r="AA1825" i="4"/>
  <c r="X1756" i="2"/>
  <c r="Z1854" i="1"/>
  <c r="Z1756" i="2" s="1"/>
  <c r="AA1773" i="2"/>
  <c r="AA1869" i="4"/>
  <c r="AB1873" i="1"/>
  <c r="AB1869" i="5" s="1"/>
  <c r="M1914" i="4"/>
  <c r="AA1918" i="1"/>
  <c r="AA1914" i="5" s="1"/>
  <c r="U2015" i="4"/>
  <c r="M2127" i="4"/>
  <c r="AA2131" i="1"/>
  <c r="AA2127" i="5" s="1"/>
  <c r="AA2141" i="4"/>
  <c r="AB2145" i="1"/>
  <c r="AB2141" i="5" s="1"/>
  <c r="AA2484" i="4"/>
  <c r="AB2492" i="1"/>
  <c r="I209" i="2"/>
  <c r="I218" i="4"/>
  <c r="K218" i="1"/>
  <c r="K218" i="5" s="1"/>
  <c r="X511" i="2"/>
  <c r="Z532" i="1"/>
  <c r="Z511" i="2" s="1"/>
  <c r="J1147" i="2"/>
  <c r="J1199" i="4"/>
  <c r="V1268" i="2"/>
  <c r="V1333" i="4"/>
  <c r="W1334" i="1"/>
  <c r="W1333" i="5" s="1"/>
  <c r="AA1281" i="2"/>
  <c r="AA1346" i="4"/>
  <c r="AB1347" i="1"/>
  <c r="AB1346" i="5" s="1"/>
  <c r="Q1290" i="2"/>
  <c r="Q1355" i="4"/>
  <c r="Q1295" i="2"/>
  <c r="Q1360" i="4"/>
  <c r="U1298" i="2"/>
  <c r="U1367" i="4"/>
  <c r="W1351" i="2"/>
  <c r="W1421" i="4"/>
  <c r="X1382" i="2"/>
  <c r="Z1454" i="1"/>
  <c r="Z1382" i="2" s="1"/>
  <c r="AB1492" i="4"/>
  <c r="AB1415" i="2"/>
  <c r="W1453" i="2"/>
  <c r="W1530" i="4"/>
  <c r="Z1593" i="2"/>
  <c r="Z1682" i="4"/>
  <c r="V1613" i="2"/>
  <c r="V1705" i="4"/>
  <c r="W1708" i="1"/>
  <c r="W1705" i="5" s="1"/>
  <c r="U1639" i="2"/>
  <c r="U1731" i="4"/>
  <c r="Z1643" i="2"/>
  <c r="Z1735" i="4"/>
  <c r="AA2086" i="4"/>
  <c r="AB2090" i="1"/>
  <c r="AB2086" i="5" s="1"/>
  <c r="U2355" i="4"/>
  <c r="AA2361" i="1"/>
  <c r="AA2355" i="5" s="1"/>
  <c r="M2473" i="4"/>
  <c r="M2496" i="1"/>
  <c r="AA2481" i="1"/>
  <c r="AA2473" i="5" s="1"/>
  <c r="U2476" i="4"/>
  <c r="AA2484" i="1"/>
  <c r="AA2476" i="5" s="1"/>
  <c r="AA2497" i="4"/>
  <c r="AB2505" i="1"/>
  <c r="X2758" i="1"/>
  <c r="Z2739" i="1"/>
  <c r="Z2731" i="5" s="1"/>
  <c r="AA1692" i="4"/>
  <c r="AB1695" i="1"/>
  <c r="M2215" i="4"/>
  <c r="AA2219" i="1"/>
  <c r="AA2215" i="5" s="1"/>
  <c r="M2420" i="4"/>
  <c r="AA2426" i="1"/>
  <c r="AA2420" i="5" s="1"/>
  <c r="U1023" i="2"/>
  <c r="U1070" i="4"/>
  <c r="U1086" i="1"/>
  <c r="Z1547" i="2"/>
  <c r="Z1628" i="4"/>
  <c r="U1631" i="2"/>
  <c r="U1723" i="4"/>
  <c r="U1740" i="1"/>
  <c r="AA1726" i="1"/>
  <c r="AA1723" i="5" s="1"/>
  <c r="AB1634" i="2"/>
  <c r="AB1726" i="4"/>
  <c r="V1178" i="2"/>
  <c r="V1232" i="4"/>
  <c r="W1233" i="1"/>
  <c r="W1232" i="5" s="1"/>
  <c r="X1199" i="2"/>
  <c r="Z1259" i="1"/>
  <c r="Z1199" i="2" s="1"/>
  <c r="U1286" i="2"/>
  <c r="U1351" i="4"/>
  <c r="M1327" i="2"/>
  <c r="M1397" i="4"/>
  <c r="AA1398" i="1"/>
  <c r="AA1397" i="5" s="1"/>
  <c r="X1474" i="2"/>
  <c r="X1549" i="4"/>
  <c r="Z1552" i="1"/>
  <c r="Z1549" i="5" s="1"/>
  <c r="V1609" i="2"/>
  <c r="V1701" i="4"/>
  <c r="W1704" i="1"/>
  <c r="W1701" i="5" s="1"/>
  <c r="V1712" i="1"/>
  <c r="V2790" i="1" s="1"/>
  <c r="X1614" i="2"/>
  <c r="Z1709" i="1"/>
  <c r="Z1706" i="5" s="1"/>
  <c r="U1635" i="2"/>
  <c r="U1727" i="4"/>
  <c r="AA1730" i="1"/>
  <c r="AA1727" i="5" s="1"/>
  <c r="AA1837" i="4"/>
  <c r="AB1841" i="1"/>
  <c r="U1991" i="4"/>
  <c r="U2015" i="1"/>
  <c r="M1994" i="4"/>
  <c r="AA1998" i="1"/>
  <c r="AA1994" i="5" s="1"/>
  <c r="AA2466" i="4"/>
  <c r="AB2474" i="1"/>
  <c r="V2545" i="4"/>
  <c r="W2553" i="1"/>
  <c r="V2578" i="4"/>
  <c r="W2586" i="1"/>
  <c r="X2665" i="4"/>
  <c r="X2691" i="1"/>
  <c r="Z2673" i="1"/>
  <c r="Z2665" i="5" s="1"/>
  <c r="X1288" i="2"/>
  <c r="Z1354" i="1"/>
  <c r="Z1288" i="2" s="1"/>
  <c r="AA2024" i="4"/>
  <c r="AB2028" i="1"/>
  <c r="V2621" i="4"/>
  <c r="W2629" i="1"/>
  <c r="AA2810" i="1"/>
  <c r="AA2702" i="4"/>
  <c r="AB2710" i="1"/>
  <c r="Z1931" i="2"/>
  <c r="Z1947" i="2" s="1"/>
  <c r="X1947" i="2"/>
  <c r="AB2516" i="2"/>
  <c r="Z1871" i="2"/>
  <c r="Z1883" i="2" s="1"/>
  <c r="X1883" i="2"/>
  <c r="Z1998" i="2"/>
  <c r="Z2021" i="2" s="1"/>
  <c r="X2021" i="2"/>
  <c r="Z2534" i="2"/>
  <c r="Z2549" i="2" s="1"/>
  <c r="X2549" i="2"/>
  <c r="X2367" i="2"/>
  <c r="Z2359" i="2"/>
  <c r="Z2367" i="2" s="1"/>
  <c r="W2493" i="2"/>
  <c r="V2509" i="2"/>
  <c r="AA135" i="2"/>
  <c r="AA142" i="4"/>
  <c r="AB142" i="1"/>
  <c r="AB142" i="5" s="1"/>
  <c r="U213" i="2"/>
  <c r="U222" i="4"/>
  <c r="AA222" i="1"/>
  <c r="AA222" i="5" s="1"/>
  <c r="X29" i="2"/>
  <c r="X30" i="4"/>
  <c r="Z30" i="1"/>
  <c r="Z30" i="5" s="1"/>
  <c r="X134" i="2"/>
  <c r="X141" i="4"/>
  <c r="Z141" i="1"/>
  <c r="Z141" i="5" s="1"/>
  <c r="V148" i="2"/>
  <c r="V155" i="4"/>
  <c r="W155" i="1"/>
  <c r="W155" i="5" s="1"/>
  <c r="J288" i="2"/>
  <c r="J300" i="4"/>
  <c r="H294" i="2"/>
  <c r="H306" i="4"/>
  <c r="X306" i="4" s="1"/>
  <c r="Z306" i="4" s="1"/>
  <c r="M307" i="1"/>
  <c r="M306" i="5" s="1"/>
  <c r="X307" i="1"/>
  <c r="U327" i="2"/>
  <c r="U340" i="4"/>
  <c r="AA341" i="1"/>
  <c r="AA340" i="5" s="1"/>
  <c r="AA145" i="2"/>
  <c r="AA152" i="4"/>
  <c r="AB152" i="1"/>
  <c r="AB152" i="5" s="1"/>
  <c r="H2901" i="4"/>
  <c r="M19" i="2"/>
  <c r="M20" i="4"/>
  <c r="AA20" i="1"/>
  <c r="AA20" i="5" s="1"/>
  <c r="Z39" i="2"/>
  <c r="Z43" i="4"/>
  <c r="AA194" i="2"/>
  <c r="AA203" i="4"/>
  <c r="H283" i="2"/>
  <c r="H295" i="4"/>
  <c r="X295" i="4" s="1"/>
  <c r="Z295" i="4" s="1"/>
  <c r="J296" i="1"/>
  <c r="J295" i="5" s="1"/>
  <c r="X296" i="1"/>
  <c r="M296" i="1"/>
  <c r="M295" i="5" s="1"/>
  <c r="AA297" i="2"/>
  <c r="AA310" i="4"/>
  <c r="M315" i="2"/>
  <c r="M328" i="4"/>
  <c r="AA329" i="1"/>
  <c r="AA328" i="5" s="1"/>
  <c r="J339" i="2"/>
  <c r="J352" i="4"/>
  <c r="U378" i="2"/>
  <c r="U396" i="4"/>
  <c r="AA397" i="1"/>
  <c r="AA396" i="5" s="1"/>
  <c r="X396" i="2"/>
  <c r="Z415" i="1"/>
  <c r="Z414" i="5" s="1"/>
  <c r="M399" i="2"/>
  <c r="M417" i="4"/>
  <c r="AA418" i="1"/>
  <c r="AA417" i="5" s="1"/>
  <c r="V413" i="2"/>
  <c r="V431" i="4"/>
  <c r="W432" i="1"/>
  <c r="W431" i="5" s="1"/>
  <c r="Z262" i="2"/>
  <c r="Z273" i="4"/>
  <c r="X46" i="2"/>
  <c r="Z50" i="1"/>
  <c r="Z46" i="2" s="1"/>
  <c r="X84" i="2"/>
  <c r="Z89" i="1"/>
  <c r="Z84" i="2" s="1"/>
  <c r="X121" i="2"/>
  <c r="Z128" i="1"/>
  <c r="Z121" i="2" s="1"/>
  <c r="V155" i="2"/>
  <c r="V163" i="4"/>
  <c r="W163" i="1"/>
  <c r="W163" i="5" s="1"/>
  <c r="K183" i="2"/>
  <c r="K191" i="4"/>
  <c r="Q191" i="1"/>
  <c r="Q191" i="5" s="1"/>
  <c r="U188" i="2"/>
  <c r="U196" i="4"/>
  <c r="M366" i="2"/>
  <c r="M382" i="4"/>
  <c r="AA383" i="1"/>
  <c r="AA382" i="5" s="1"/>
  <c r="AA13" i="2"/>
  <c r="AB13" i="1"/>
  <c r="AB13" i="5" s="1"/>
  <c r="AA13" i="4"/>
  <c r="AA592" i="2"/>
  <c r="AA616" i="4"/>
  <c r="Z15" i="2"/>
  <c r="Z15" i="4"/>
  <c r="X81" i="2"/>
  <c r="Z85" i="1"/>
  <c r="Z81" i="2" s="1"/>
  <c r="X104" i="2"/>
  <c r="X130" i="1"/>
  <c r="Z110" i="1"/>
  <c r="X115" i="2"/>
  <c r="Z121" i="1"/>
  <c r="Z115" i="2" s="1"/>
  <c r="X153" i="2"/>
  <c r="Z161" i="1"/>
  <c r="Z161" i="5" s="1"/>
  <c r="J282" i="2"/>
  <c r="J294" i="4"/>
  <c r="J284" i="2"/>
  <c r="J296" i="4"/>
  <c r="U288" i="2"/>
  <c r="U300" i="4"/>
  <c r="AA293" i="2"/>
  <c r="AA305" i="4"/>
  <c r="AA77" i="2"/>
  <c r="AA81" i="4"/>
  <c r="AB81" i="1"/>
  <c r="AB81" i="5" s="1"/>
  <c r="X670" i="2"/>
  <c r="Z700" i="1"/>
  <c r="Z670" i="2" s="1"/>
  <c r="X735" i="2"/>
  <c r="Z766" i="1"/>
  <c r="Z735" i="2" s="1"/>
  <c r="AA763" i="2"/>
  <c r="AA796" i="4"/>
  <c r="AB796" i="1"/>
  <c r="AB796" i="5" s="1"/>
  <c r="V780" i="2"/>
  <c r="V814" i="4"/>
  <c r="W814" i="1"/>
  <c r="W814" i="5" s="1"/>
  <c r="V822" i="2"/>
  <c r="V857" i="4"/>
  <c r="W857" i="1"/>
  <c r="W857" i="5" s="1"/>
  <c r="V871" i="2"/>
  <c r="V911" i="4"/>
  <c r="W911" i="1"/>
  <c r="W911" i="5" s="1"/>
  <c r="AA986" i="2"/>
  <c r="AA1031" i="4"/>
  <c r="AB1032" i="1"/>
  <c r="AB1031" i="5" s="1"/>
  <c r="AA998" i="2"/>
  <c r="AA1043" i="4"/>
  <c r="AB1044" i="1"/>
  <c r="AB1043" i="5" s="1"/>
  <c r="AA1015" i="2"/>
  <c r="AA1062" i="4"/>
  <c r="AB1063" i="1"/>
  <c r="AB1062" i="5" s="1"/>
  <c r="AA1025" i="2"/>
  <c r="AA1072" i="4"/>
  <c r="AB1073" i="1"/>
  <c r="AB1072" i="5" s="1"/>
  <c r="AA1069" i="2"/>
  <c r="AA1118" i="4"/>
  <c r="AB1119" i="1"/>
  <c r="AB1118" i="5" s="1"/>
  <c r="AA1100" i="2"/>
  <c r="AA1150" i="4"/>
  <c r="AB1151" i="1"/>
  <c r="AB1150" i="5" s="1"/>
  <c r="M82" i="2"/>
  <c r="M86" i="4"/>
  <c r="AA86" i="1"/>
  <c r="AA86" i="5" s="1"/>
  <c r="AA140" i="2"/>
  <c r="U232" i="2"/>
  <c r="U242" i="4"/>
  <c r="U262" i="1"/>
  <c r="U422" i="1" s="1"/>
  <c r="U2902" i="1" s="1"/>
  <c r="AA287" i="2"/>
  <c r="AA299" i="4"/>
  <c r="AB300" i="1"/>
  <c r="AB299" i="5" s="1"/>
  <c r="X412" i="2"/>
  <c r="X430" i="4"/>
  <c r="Z431" i="1"/>
  <c r="Z430" i="5" s="1"/>
  <c r="X430" i="2"/>
  <c r="Z451" i="1"/>
  <c r="Z450" i="5" s="1"/>
  <c r="V433" i="2"/>
  <c r="V453" i="4"/>
  <c r="W454" i="1"/>
  <c r="W453" i="5" s="1"/>
  <c r="X440" i="2"/>
  <c r="Z461" i="1"/>
  <c r="X474" i="1"/>
  <c r="V443" i="2"/>
  <c r="V463" i="4"/>
  <c r="W464" i="1"/>
  <c r="W463" i="5" s="1"/>
  <c r="U486" i="2"/>
  <c r="U489" i="2" s="1"/>
  <c r="U506" i="4"/>
  <c r="U509" i="4" s="1"/>
  <c r="AA507" i="1"/>
  <c r="AA506" i="5" s="1"/>
  <c r="X588" i="2"/>
  <c r="Z611" i="1"/>
  <c r="Z588" i="2" s="1"/>
  <c r="W605" i="2"/>
  <c r="W630" i="4"/>
  <c r="AA640" i="2"/>
  <c r="AA668" i="4"/>
  <c r="AB668" i="1"/>
  <c r="AB668" i="5" s="1"/>
  <c r="W647" i="2"/>
  <c r="W675" i="4"/>
  <c r="J670" i="2"/>
  <c r="J700" i="4"/>
  <c r="V703" i="2"/>
  <c r="V733" i="4"/>
  <c r="W733" i="1"/>
  <c r="W733" i="5" s="1"/>
  <c r="M561" i="2"/>
  <c r="M582" i="4"/>
  <c r="AA581" i="1"/>
  <c r="AA582" i="5" s="1"/>
  <c r="Q125" i="2"/>
  <c r="Q2668" i="2"/>
  <c r="Z1972" i="2"/>
  <c r="Z1995" i="2" s="1"/>
  <c r="W1871" i="2"/>
  <c r="W1883" i="2" s="1"/>
  <c r="V1883" i="2"/>
  <c r="U1931" i="2"/>
  <c r="P1947" i="2"/>
  <c r="P1967" i="2" s="1"/>
  <c r="P2740" i="2" s="1"/>
  <c r="V1931" i="2"/>
  <c r="M2385" i="2"/>
  <c r="X2385" i="2"/>
  <c r="H2400" i="2"/>
  <c r="H2430" i="2" s="1"/>
  <c r="H2746" i="2" s="1"/>
  <c r="AA1935" i="2"/>
  <c r="AB1935" i="2" s="1"/>
  <c r="M1947" i="2"/>
  <c r="Z1214" i="4"/>
  <c r="M2199" i="2"/>
  <c r="AA2199" i="2" s="1"/>
  <c r="AB2199" i="2" s="1"/>
  <c r="X2199" i="2"/>
  <c r="Z2199" i="2" s="1"/>
  <c r="J2199" i="2"/>
  <c r="J2211" i="2" s="1"/>
  <c r="Z2436" i="2"/>
  <c r="Z2464" i="2" s="1"/>
  <c r="X2464" i="2"/>
  <c r="W2516" i="2"/>
  <c r="W2531" i="2" s="1"/>
  <c r="V2531" i="2"/>
  <c r="M1847" i="2"/>
  <c r="AA1823" i="2"/>
  <c r="M2489" i="2"/>
  <c r="AA2472" i="2"/>
  <c r="AA2622" i="2"/>
  <c r="AB2622" i="2" s="1"/>
  <c r="AA2024" i="2"/>
  <c r="M2052" i="2"/>
  <c r="Z2493" i="2"/>
  <c r="Z2509" i="2" s="1"/>
  <c r="Z2511" i="2" s="1"/>
  <c r="X2509" i="2"/>
  <c r="M2531" i="2"/>
  <c r="AA2517" i="2"/>
  <c r="E2901" i="4"/>
  <c r="J1861" i="2"/>
  <c r="J1863" i="2" s="1"/>
  <c r="M1861" i="2"/>
  <c r="X1861" i="2"/>
  <c r="W1954" i="2"/>
  <c r="W2334" i="2"/>
  <c r="V2619" i="2"/>
  <c r="S2671" i="2"/>
  <c r="S2750" i="2"/>
  <c r="Z2341" i="2"/>
  <c r="Z2356" i="2" s="1"/>
  <c r="X2356" i="2"/>
  <c r="Z661" i="4"/>
  <c r="Z961" i="4" s="1"/>
  <c r="Z2909" i="4" s="1"/>
  <c r="X961" i="4"/>
  <c r="X2909" i="4" s="1"/>
  <c r="AA37" i="4"/>
  <c r="AB37" i="1"/>
  <c r="AA133" i="2"/>
  <c r="AA140" i="4"/>
  <c r="AB140" i="1"/>
  <c r="AB140" i="5" s="1"/>
  <c r="M180" i="2"/>
  <c r="M188" i="4"/>
  <c r="AA188" i="1"/>
  <c r="AA188" i="5" s="1"/>
  <c r="M204" i="2"/>
  <c r="M213" i="4"/>
  <c r="AA213" i="1"/>
  <c r="AA213" i="5" s="1"/>
  <c r="W1908" i="2"/>
  <c r="W1927" i="2" s="1"/>
  <c r="V1927" i="2"/>
  <c r="AB2436" i="2"/>
  <c r="V2468" i="2"/>
  <c r="W2466" i="2"/>
  <c r="W2468" i="2" s="1"/>
  <c r="AA52" i="2"/>
  <c r="AA56" i="4"/>
  <c r="AB56" i="1"/>
  <c r="AB56" i="5" s="1"/>
  <c r="AA75" i="2"/>
  <c r="AA79" i="4"/>
  <c r="V138" i="2"/>
  <c r="V145" i="4"/>
  <c r="W145" i="1"/>
  <c r="W145" i="5" s="1"/>
  <c r="AA302" i="2"/>
  <c r="AA315" i="4"/>
  <c r="AB316" i="1"/>
  <c r="AB315" i="5" s="1"/>
  <c r="AA330" i="2"/>
  <c r="AA343" i="4"/>
  <c r="AB344" i="1"/>
  <c r="AB343" i="5" s="1"/>
  <c r="J2273" i="2"/>
  <c r="J2277" i="2" s="1"/>
  <c r="X2273" i="2"/>
  <c r="Z2273" i="2" s="1"/>
  <c r="M2273" i="2"/>
  <c r="AA2273" i="2" s="1"/>
  <c r="AB2273" i="2" s="1"/>
  <c r="W16" i="2"/>
  <c r="W16" i="4"/>
  <c r="X33" i="2"/>
  <c r="X34" i="4"/>
  <c r="Z34" i="1"/>
  <c r="Z34" i="5" s="1"/>
  <c r="W93" i="2"/>
  <c r="W98" i="4"/>
  <c r="W97" i="2"/>
  <c r="W102" i="4"/>
  <c r="X111" i="2"/>
  <c r="Z117" i="1"/>
  <c r="Z111" i="2" s="1"/>
  <c r="X149" i="2"/>
  <c r="Z156" i="1"/>
  <c r="Z156" i="5" s="1"/>
  <c r="V164" i="2"/>
  <c r="W172" i="1"/>
  <c r="W172" i="5" s="1"/>
  <c r="V172" i="4"/>
  <c r="V168" i="2"/>
  <c r="W176" i="1"/>
  <c r="W176" i="5" s="1"/>
  <c r="V176" i="4"/>
  <c r="X172" i="2"/>
  <c r="Z180" i="1"/>
  <c r="Z172" i="2" s="1"/>
  <c r="M182" i="2"/>
  <c r="M190" i="4"/>
  <c r="AA190" i="1"/>
  <c r="AA190" i="5" s="1"/>
  <c r="U185" i="2"/>
  <c r="U193" i="4"/>
  <c r="I210" i="2"/>
  <c r="I219" i="4"/>
  <c r="K219" i="1"/>
  <c r="K219" i="5" s="1"/>
  <c r="M215" i="2"/>
  <c r="M224" i="4"/>
  <c r="AA224" i="1"/>
  <c r="AA224" i="5" s="1"/>
  <c r="X232" i="2"/>
  <c r="X242" i="4"/>
  <c r="Z243" i="1"/>
  <c r="Z242" i="5" s="1"/>
  <c r="X262" i="1"/>
  <c r="X233" i="2"/>
  <c r="X243" i="4"/>
  <c r="Z244" i="1"/>
  <c r="Z243" i="5" s="1"/>
  <c r="Q241" i="2"/>
  <c r="Q251" i="4"/>
  <c r="U241" i="2"/>
  <c r="U251" i="4"/>
  <c r="Z253" i="2"/>
  <c r="Z264" i="4"/>
  <c r="Z263" i="2"/>
  <c r="Z274" i="4"/>
  <c r="M272" i="2"/>
  <c r="M284" i="4"/>
  <c r="AA285" i="1"/>
  <c r="AA284" i="5" s="1"/>
  <c r="AA289" i="2"/>
  <c r="AA301" i="4"/>
  <c r="AB302" i="1"/>
  <c r="AB301" i="5" s="1"/>
  <c r="M292" i="2"/>
  <c r="M304" i="4"/>
  <c r="AA305" i="1"/>
  <c r="AA304" i="5" s="1"/>
  <c r="X305" i="2"/>
  <c r="Z319" i="1"/>
  <c r="Z305" i="2" s="1"/>
  <c r="M324" i="2"/>
  <c r="M337" i="4"/>
  <c r="AA338" i="1"/>
  <c r="AA337" i="5" s="1"/>
  <c r="U342" i="2"/>
  <c r="U356" i="4"/>
  <c r="AA357" i="1"/>
  <c r="AA356" i="5" s="1"/>
  <c r="M347" i="2"/>
  <c r="M363" i="4"/>
  <c r="AA364" i="1"/>
  <c r="AA363" i="5" s="1"/>
  <c r="X348" i="2"/>
  <c r="Z365" i="1"/>
  <c r="Z348" i="2" s="1"/>
  <c r="H363" i="2"/>
  <c r="H379" i="4"/>
  <c r="X379" i="4" s="1"/>
  <c r="Z379" i="4" s="1"/>
  <c r="J380" i="1"/>
  <c r="J379" i="5" s="1"/>
  <c r="M380" i="1"/>
  <c r="M379" i="5" s="1"/>
  <c r="M398" i="5" s="1"/>
  <c r="X380" i="1"/>
  <c r="X399" i="1" s="1"/>
  <c r="V411" i="2"/>
  <c r="V429" i="4"/>
  <c r="W430" i="1"/>
  <c r="W429" i="5" s="1"/>
  <c r="X16" i="2"/>
  <c r="X16" i="4"/>
  <c r="Z16" i="1"/>
  <c r="Z16" i="5" s="1"/>
  <c r="X18" i="2"/>
  <c r="Z18" i="1"/>
  <c r="Z18" i="5" s="1"/>
  <c r="X18" i="4"/>
  <c r="U39" i="2"/>
  <c r="U43" i="4"/>
  <c r="V47" i="2"/>
  <c r="W51" i="1"/>
  <c r="W51" i="5" s="1"/>
  <c r="V51" i="4"/>
  <c r="V52" i="2"/>
  <c r="V56" i="4"/>
  <c r="W56" i="1"/>
  <c r="W56" i="5" s="1"/>
  <c r="V56" i="2"/>
  <c r="V60" i="4"/>
  <c r="W60" i="1"/>
  <c r="W60" i="5" s="1"/>
  <c r="V60" i="2"/>
  <c r="V64" i="4"/>
  <c r="W64" i="1"/>
  <c r="W64" i="5" s="1"/>
  <c r="V69" i="2"/>
  <c r="V73" i="4"/>
  <c r="W73" i="1"/>
  <c r="W73" i="5" s="1"/>
  <c r="X108" i="2"/>
  <c r="Z114" i="1"/>
  <c r="Z108" i="2" s="1"/>
  <c r="V137" i="2"/>
  <c r="V144" i="4"/>
  <c r="W144" i="1"/>
  <c r="W144" i="5" s="1"/>
  <c r="X138" i="2"/>
  <c r="X145" i="4"/>
  <c r="Z145" i="1"/>
  <c r="Z145" i="5" s="1"/>
  <c r="X139" i="2"/>
  <c r="X146" i="4"/>
  <c r="Z146" i="1"/>
  <c r="Z146" i="5" s="1"/>
  <c r="I188" i="2"/>
  <c r="K196" i="1"/>
  <c r="K196" i="5" s="1"/>
  <c r="I196" i="4"/>
  <c r="AA212" i="2"/>
  <c r="AA221" i="4"/>
  <c r="AB221" i="1"/>
  <c r="AB221" i="5" s="1"/>
  <c r="Q220" i="2"/>
  <c r="Q231" i="4"/>
  <c r="R231" i="1"/>
  <c r="R231" i="5" s="1"/>
  <c r="AA237" i="2"/>
  <c r="AA247" i="4"/>
  <c r="AB248" i="1"/>
  <c r="AB247" i="5" s="1"/>
  <c r="AA239" i="2"/>
  <c r="AA249" i="4"/>
  <c r="AB250" i="1"/>
  <c r="AB249" i="5" s="1"/>
  <c r="X243" i="2"/>
  <c r="X253" i="4"/>
  <c r="Z254" i="1"/>
  <c r="Z253" i="5" s="1"/>
  <c r="M256" i="2"/>
  <c r="M267" i="4"/>
  <c r="AA268" i="1"/>
  <c r="AA267" i="5" s="1"/>
  <c r="J266" i="2"/>
  <c r="J278" i="4"/>
  <c r="M279" i="2"/>
  <c r="M291" i="4"/>
  <c r="AA292" i="1"/>
  <c r="AA291" i="5" s="1"/>
  <c r="X280" i="2"/>
  <c r="Z293" i="1"/>
  <c r="Z280" i="2" s="1"/>
  <c r="X285" i="2"/>
  <c r="Z298" i="1"/>
  <c r="Z285" i="2" s="1"/>
  <c r="M291" i="2"/>
  <c r="M303" i="4"/>
  <c r="AA304" i="1"/>
  <c r="AA303" i="5" s="1"/>
  <c r="AA306" i="2"/>
  <c r="AA319" i="4"/>
  <c r="AB320" i="1"/>
  <c r="AB319" i="5" s="1"/>
  <c r="J323" i="2"/>
  <c r="J336" i="4"/>
  <c r="J370" i="1"/>
  <c r="X339" i="2"/>
  <c r="Z353" i="1"/>
  <c r="Z339" i="2" s="1"/>
  <c r="AA349" i="2"/>
  <c r="AA365" i="4"/>
  <c r="AB366" i="1"/>
  <c r="AB365" i="5" s="1"/>
  <c r="X357" i="2"/>
  <c r="Z374" i="1"/>
  <c r="J367" i="2"/>
  <c r="J383" i="4"/>
  <c r="X410" i="2"/>
  <c r="X428" i="4"/>
  <c r="Z429" i="1"/>
  <c r="Z428" i="5" s="1"/>
  <c r="AA32" i="2"/>
  <c r="AA33" i="4"/>
  <c r="AB33" i="1"/>
  <c r="AB33" i="5" s="1"/>
  <c r="AA71" i="2"/>
  <c r="AA75" i="4"/>
  <c r="AB75" i="1"/>
  <c r="AB75" i="5" s="1"/>
  <c r="U212" i="2"/>
  <c r="U221" i="4"/>
  <c r="J258" i="2"/>
  <c r="J269" i="4"/>
  <c r="U360" i="2"/>
  <c r="U376" i="4"/>
  <c r="V13" i="2"/>
  <c r="V13" i="4"/>
  <c r="W13" i="1"/>
  <c r="W13" i="5" s="1"/>
  <c r="X27" i="2"/>
  <c r="X28" i="4"/>
  <c r="Z28" i="1"/>
  <c r="Z28" i="5" s="1"/>
  <c r="V34" i="2"/>
  <c r="V35" i="4"/>
  <c r="W35" i="1"/>
  <c r="W35" i="5" s="1"/>
  <c r="M40" i="4"/>
  <c r="AA40" i="1"/>
  <c r="AA40" i="5" s="1"/>
  <c r="M46" i="2"/>
  <c r="M50" i="4"/>
  <c r="AA50" i="1"/>
  <c r="AA50" i="5" s="1"/>
  <c r="V54" i="2"/>
  <c r="V58" i="4"/>
  <c r="W58" i="1"/>
  <c r="W58" i="5" s="1"/>
  <c r="M78" i="2"/>
  <c r="M82" i="4"/>
  <c r="AA82" i="1"/>
  <c r="AA82" i="5" s="1"/>
  <c r="M121" i="2"/>
  <c r="M128" i="4"/>
  <c r="AA128" i="1"/>
  <c r="AA128" i="5" s="1"/>
  <c r="AA132" i="2"/>
  <c r="AA139" i="4"/>
  <c r="AB139" i="1"/>
  <c r="AB139" i="5" s="1"/>
  <c r="V145" i="2"/>
  <c r="V152" i="4"/>
  <c r="W152" i="1"/>
  <c r="W152" i="5" s="1"/>
  <c r="V166" i="1"/>
  <c r="M160" i="4"/>
  <c r="AA160" i="1"/>
  <c r="AA160" i="5" s="1"/>
  <c r="U155" i="2"/>
  <c r="U163" i="4"/>
  <c r="AA167" i="2"/>
  <c r="AA175" i="4"/>
  <c r="AB175" i="1"/>
  <c r="AB175" i="5" s="1"/>
  <c r="M185" i="2"/>
  <c r="M193" i="4"/>
  <c r="AA193" i="1"/>
  <c r="AA193" i="5" s="1"/>
  <c r="X188" i="2"/>
  <c r="Z196" i="1"/>
  <c r="Z188" i="2" s="1"/>
  <c r="U205" i="2"/>
  <c r="U214" i="4"/>
  <c r="I216" i="2"/>
  <c r="I225" i="4"/>
  <c r="K225" i="1"/>
  <c r="K225" i="5" s="1"/>
  <c r="M235" i="2"/>
  <c r="M245" i="4"/>
  <c r="AA246" i="1"/>
  <c r="AA245" i="5" s="1"/>
  <c r="X238" i="2"/>
  <c r="X248" i="4"/>
  <c r="Z249" i="1"/>
  <c r="Z248" i="5" s="1"/>
  <c r="X248" i="2"/>
  <c r="X259" i="4"/>
  <c r="Z260" i="1"/>
  <c r="Z259" i="5" s="1"/>
  <c r="Z259" i="2"/>
  <c r="Z270" i="4"/>
  <c r="X302" i="2"/>
  <c r="Z316" i="1"/>
  <c r="U325" i="2"/>
  <c r="U338" i="4"/>
  <c r="J362" i="2"/>
  <c r="J378" i="4"/>
  <c r="U369" i="2"/>
  <c r="U385" i="4"/>
  <c r="AA386" i="1"/>
  <c r="AA385" i="5" s="1"/>
  <c r="X371" i="2"/>
  <c r="Z388" i="1"/>
  <c r="Z371" i="2" s="1"/>
  <c r="J372" i="2"/>
  <c r="J388" i="4"/>
  <c r="X384" i="2"/>
  <c r="Z403" i="1"/>
  <c r="Z402" i="5" s="1"/>
  <c r="Z419" i="5" s="1"/>
  <c r="Z421" i="5" s="1"/>
  <c r="Z2921" i="5" s="1"/>
  <c r="AA386" i="2"/>
  <c r="AA404" i="4"/>
  <c r="AB405" i="1"/>
  <c r="AB404" i="5" s="1"/>
  <c r="J393" i="2"/>
  <c r="J411" i="4"/>
  <c r="P408" i="2"/>
  <c r="P426" i="2" s="1"/>
  <c r="P426" i="4"/>
  <c r="V427" i="1"/>
  <c r="V426" i="5" s="1"/>
  <c r="V446" i="5" s="1"/>
  <c r="U427" i="1"/>
  <c r="P447" i="1"/>
  <c r="P639" i="1" s="1"/>
  <c r="P2904" i="1" s="1"/>
  <c r="X427" i="1"/>
  <c r="X426" i="5" s="1"/>
  <c r="V417" i="2"/>
  <c r="V435" i="4"/>
  <c r="W436" i="1"/>
  <c r="W435" i="5" s="1"/>
  <c r="AA419" i="2"/>
  <c r="AA437" i="4"/>
  <c r="AB438" i="1"/>
  <c r="AB437" i="5" s="1"/>
  <c r="X422" i="2"/>
  <c r="X442" i="4"/>
  <c r="Z443" i="1"/>
  <c r="Z442" i="5" s="1"/>
  <c r="N2898" i="1"/>
  <c r="N2929" i="1" s="1"/>
  <c r="N2763" i="1"/>
  <c r="U37" i="2"/>
  <c r="U41" i="4"/>
  <c r="AA41" i="1"/>
  <c r="AA41" i="5" s="1"/>
  <c r="X50" i="2"/>
  <c r="Z54" i="1"/>
  <c r="Z50" i="2" s="1"/>
  <c r="X59" i="2"/>
  <c r="Z63" i="1"/>
  <c r="Z59" i="2" s="1"/>
  <c r="X72" i="2"/>
  <c r="Z76" i="1"/>
  <c r="Z72" i="2" s="1"/>
  <c r="M104" i="2"/>
  <c r="M110" i="4"/>
  <c r="M130" i="1"/>
  <c r="AA110" i="1"/>
  <c r="AA110" i="5" s="1"/>
  <c r="X112" i="2"/>
  <c r="Z118" i="1"/>
  <c r="Z112" i="2" s="1"/>
  <c r="M115" i="2"/>
  <c r="M121" i="4"/>
  <c r="AA121" i="1"/>
  <c r="AA121" i="5" s="1"/>
  <c r="W117" i="2"/>
  <c r="W123" i="4"/>
  <c r="U118" i="2"/>
  <c r="U124" i="4"/>
  <c r="V130" i="2"/>
  <c r="V137" i="4"/>
  <c r="V149" i="1"/>
  <c r="W137" i="1"/>
  <c r="W137" i="5" s="1"/>
  <c r="X136" i="2"/>
  <c r="X143" i="4"/>
  <c r="Z143" i="1"/>
  <c r="Z143" i="5" s="1"/>
  <c r="M193" i="2"/>
  <c r="M201" i="4"/>
  <c r="AA201" i="1"/>
  <c r="AA201" i="5" s="1"/>
  <c r="I207" i="2"/>
  <c r="I216" i="4"/>
  <c r="K216" i="1"/>
  <c r="K216" i="5" s="1"/>
  <c r="I211" i="2"/>
  <c r="I220" i="4"/>
  <c r="K220" i="1"/>
  <c r="K220" i="5" s="1"/>
  <c r="K214" i="2"/>
  <c r="K223" i="4"/>
  <c r="Q223" i="1"/>
  <c r="Q223" i="5" s="1"/>
  <c r="Q219" i="2"/>
  <c r="Q230" i="4"/>
  <c r="R230" i="1"/>
  <c r="R230" i="5" s="1"/>
  <c r="AA236" i="2"/>
  <c r="AA246" i="4"/>
  <c r="AB247" i="1"/>
  <c r="AB246" i="5" s="1"/>
  <c r="Q240" i="2"/>
  <c r="Q250" i="4"/>
  <c r="X254" i="2"/>
  <c r="X281" i="1"/>
  <c r="Z281" i="1" s="1"/>
  <c r="U260" i="2"/>
  <c r="U271" i="4"/>
  <c r="Z265" i="2"/>
  <c r="Z277" i="4"/>
  <c r="H290" i="2"/>
  <c r="H302" i="4"/>
  <c r="X302" i="4" s="1"/>
  <c r="Z302" i="4" s="1"/>
  <c r="J303" i="1"/>
  <c r="J302" i="5" s="1"/>
  <c r="X303" i="1"/>
  <c r="M303" i="1"/>
  <c r="M302" i="5" s="1"/>
  <c r="X311" i="2"/>
  <c r="Z325" i="1"/>
  <c r="Z311" i="2" s="1"/>
  <c r="M326" i="2"/>
  <c r="M339" i="4"/>
  <c r="AA340" i="1"/>
  <c r="AA339" i="5" s="1"/>
  <c r="X330" i="2"/>
  <c r="Z344" i="1"/>
  <c r="Z330" i="2" s="1"/>
  <c r="AA332" i="2"/>
  <c r="AA345" i="4"/>
  <c r="AB346" i="1"/>
  <c r="AB345" i="5" s="1"/>
  <c r="AA337" i="2"/>
  <c r="AA350" i="4"/>
  <c r="AB351" i="1"/>
  <c r="AB350" i="5" s="1"/>
  <c r="M365" i="2"/>
  <c r="M381" i="4"/>
  <c r="AA382" i="1"/>
  <c r="AA381" i="5" s="1"/>
  <c r="J375" i="2"/>
  <c r="J391" i="4"/>
  <c r="X409" i="2"/>
  <c r="X427" i="4"/>
  <c r="Z428" i="1"/>
  <c r="Z427" i="5" s="1"/>
  <c r="X420" i="2"/>
  <c r="X440" i="4"/>
  <c r="Z441" i="1"/>
  <c r="Z440" i="5" s="1"/>
  <c r="J2850" i="1"/>
  <c r="J2904" i="1"/>
  <c r="X666" i="2"/>
  <c r="Z696" i="1"/>
  <c r="Z666" i="2" s="1"/>
  <c r="X733" i="2"/>
  <c r="Z764" i="1"/>
  <c r="Z733" i="2" s="1"/>
  <c r="V742" i="2"/>
  <c r="V773" i="4"/>
  <c r="W773" i="1"/>
  <c r="W773" i="5" s="1"/>
  <c r="V779" i="2"/>
  <c r="V813" i="4"/>
  <c r="W813" i="1"/>
  <c r="W813" i="5" s="1"/>
  <c r="V819" i="2"/>
  <c r="V854" i="4"/>
  <c r="W854" i="1"/>
  <c r="W854" i="5" s="1"/>
  <c r="V851" i="2"/>
  <c r="V891" i="4"/>
  <c r="W891" i="1"/>
  <c r="W891" i="5" s="1"/>
  <c r="V870" i="2"/>
  <c r="V910" i="4"/>
  <c r="W910" i="1"/>
  <c r="W910" i="5" s="1"/>
  <c r="AA931" i="2"/>
  <c r="AA973" i="4"/>
  <c r="AA955" i="2"/>
  <c r="AA998" i="4"/>
  <c r="AB999" i="1"/>
  <c r="AB998" i="5" s="1"/>
  <c r="AA972" i="2"/>
  <c r="AA1017" i="4"/>
  <c r="AB1018" i="1"/>
  <c r="AB1017" i="5" s="1"/>
  <c r="AA981" i="2"/>
  <c r="AA1026" i="4"/>
  <c r="AB1027" i="1"/>
  <c r="AB1026" i="5" s="1"/>
  <c r="AA996" i="2"/>
  <c r="AA1041" i="4"/>
  <c r="AB1042" i="1"/>
  <c r="AB1041" i="5" s="1"/>
  <c r="AA1009" i="2"/>
  <c r="AA1054" i="4"/>
  <c r="AB1055" i="1"/>
  <c r="AB1054" i="5" s="1"/>
  <c r="AA1060" i="4"/>
  <c r="AB1061" i="1"/>
  <c r="AA1054" i="2"/>
  <c r="AA1102" i="4"/>
  <c r="AB1103" i="1"/>
  <c r="AB1102" i="5" s="1"/>
  <c r="AA1137" i="4"/>
  <c r="AA1087" i="2"/>
  <c r="AB1138" i="1"/>
  <c r="AB1137" i="5" s="1"/>
  <c r="AA1098" i="2"/>
  <c r="AA1148" i="4"/>
  <c r="AB1149" i="1"/>
  <c r="AB1148" i="5" s="1"/>
  <c r="AA1106" i="2"/>
  <c r="AA1156" i="4"/>
  <c r="AB1157" i="1"/>
  <c r="AB1156" i="5" s="1"/>
  <c r="X45" i="2"/>
  <c r="Z49" i="1"/>
  <c r="V82" i="2"/>
  <c r="V86" i="4"/>
  <c r="W86" i="1"/>
  <c r="W86" i="5" s="1"/>
  <c r="V2843" i="1"/>
  <c r="V99" i="2"/>
  <c r="V105" i="4"/>
  <c r="W105" i="1"/>
  <c r="W105" i="5" s="1"/>
  <c r="W104" i="2"/>
  <c r="W110" i="4"/>
  <c r="AA116" i="2"/>
  <c r="AA122" i="4"/>
  <c r="AB122" i="1"/>
  <c r="AB122" i="5" s="1"/>
  <c r="V135" i="2"/>
  <c r="V142" i="4"/>
  <c r="W142" i="1"/>
  <c r="W142" i="5" s="1"/>
  <c r="Q213" i="2"/>
  <c r="Q222" i="4"/>
  <c r="Q232" i="2"/>
  <c r="Q242" i="4"/>
  <c r="Q262" i="1"/>
  <c r="Q422" i="1" s="1"/>
  <c r="Q2902" i="1" s="1"/>
  <c r="Z246" i="2"/>
  <c r="Z256" i="4"/>
  <c r="AA253" i="2"/>
  <c r="AA264" i="4"/>
  <c r="AB265" i="1"/>
  <c r="AB264" i="5" s="1"/>
  <c r="M316" i="2"/>
  <c r="M329" i="4"/>
  <c r="AA330" i="1"/>
  <c r="AA329" i="5" s="1"/>
  <c r="X346" i="2"/>
  <c r="Z363" i="1"/>
  <c r="Z346" i="2" s="1"/>
  <c r="J350" i="2"/>
  <c r="J366" i="4"/>
  <c r="AA359" i="2"/>
  <c r="AA375" i="4"/>
  <c r="U429" i="2"/>
  <c r="U449" i="4"/>
  <c r="U458" i="1"/>
  <c r="M430" i="2"/>
  <c r="M450" i="4"/>
  <c r="AA451" i="1"/>
  <c r="AA450" i="5" s="1"/>
  <c r="U431" i="2"/>
  <c r="U451" i="4"/>
  <c r="AA452" i="1"/>
  <c r="AA451" i="5" s="1"/>
  <c r="M432" i="2"/>
  <c r="M452" i="4"/>
  <c r="AA453" i="1"/>
  <c r="AA452" i="5" s="1"/>
  <c r="U433" i="2"/>
  <c r="U453" i="4"/>
  <c r="M434" i="2"/>
  <c r="M454" i="4"/>
  <c r="AA455" i="1"/>
  <c r="AA454" i="5" s="1"/>
  <c r="U435" i="2"/>
  <c r="U455" i="4"/>
  <c r="AA456" i="1"/>
  <c r="AA455" i="5" s="1"/>
  <c r="M440" i="2"/>
  <c r="M460" i="4"/>
  <c r="M474" i="1"/>
  <c r="AA461" i="1"/>
  <c r="AA460" i="5" s="1"/>
  <c r="U441" i="2"/>
  <c r="U461" i="4"/>
  <c r="U474" i="1"/>
  <c r="M442" i="2"/>
  <c r="M462" i="4"/>
  <c r="AA463" i="1"/>
  <c r="AA462" i="5" s="1"/>
  <c r="U443" i="2"/>
  <c r="U463" i="4"/>
  <c r="AA464" i="1"/>
  <c r="AA463" i="5" s="1"/>
  <c r="M444" i="2"/>
  <c r="M464" i="4"/>
  <c r="AA465" i="1"/>
  <c r="AA464" i="5" s="1"/>
  <c r="U445" i="2"/>
  <c r="U465" i="4"/>
  <c r="AA466" i="1"/>
  <c r="AA465" i="5" s="1"/>
  <c r="X446" i="2"/>
  <c r="Z467" i="1"/>
  <c r="Z446" i="2" s="1"/>
  <c r="V447" i="2"/>
  <c r="V467" i="4"/>
  <c r="W468" i="1"/>
  <c r="W467" i="5" s="1"/>
  <c r="X448" i="2"/>
  <c r="Z469" i="1"/>
  <c r="Z448" i="2" s="1"/>
  <c r="V449" i="2"/>
  <c r="V469" i="4"/>
  <c r="W470" i="1"/>
  <c r="W469" i="5" s="1"/>
  <c r="X450" i="2"/>
  <c r="Z471" i="1"/>
  <c r="Z450" i="2" s="1"/>
  <c r="V451" i="2"/>
  <c r="V471" i="4"/>
  <c r="W472" i="1"/>
  <c r="W471" i="5" s="1"/>
  <c r="M456" i="2"/>
  <c r="M476" i="4"/>
  <c r="M488" i="1"/>
  <c r="AA477" i="1"/>
  <c r="AA476" i="5" s="1"/>
  <c r="X457" i="2"/>
  <c r="Z478" i="1"/>
  <c r="Z457" i="2" s="1"/>
  <c r="X460" i="2"/>
  <c r="Z481" i="1"/>
  <c r="Z460" i="2" s="1"/>
  <c r="V461" i="2"/>
  <c r="V481" i="4"/>
  <c r="W482" i="1"/>
  <c r="W481" i="5" s="1"/>
  <c r="V483" i="2"/>
  <c r="V503" i="4"/>
  <c r="W504" i="1"/>
  <c r="W503" i="5" s="1"/>
  <c r="V510" i="1"/>
  <c r="X484" i="2"/>
  <c r="Z505" i="1"/>
  <c r="Z484" i="2" s="1"/>
  <c r="X510" i="1"/>
  <c r="V530" i="2"/>
  <c r="V549" i="4"/>
  <c r="W550" i="1"/>
  <c r="W549" i="5" s="1"/>
  <c r="X531" i="2"/>
  <c r="Z551" i="1"/>
  <c r="Z531" i="2" s="1"/>
  <c r="V532" i="2"/>
  <c r="V551" i="4"/>
  <c r="W552" i="1"/>
  <c r="W551" i="5" s="1"/>
  <c r="X533" i="2"/>
  <c r="Z553" i="1"/>
  <c r="Z533" i="2" s="1"/>
  <c r="V560" i="2"/>
  <c r="V581" i="4"/>
  <c r="W580" i="1"/>
  <c r="W581" i="5" s="1"/>
  <c r="V563" i="2"/>
  <c r="V587" i="4"/>
  <c r="W586" i="1"/>
  <c r="W587" i="5" s="1"/>
  <c r="V569" i="2"/>
  <c r="V593" i="4"/>
  <c r="W592" i="1"/>
  <c r="W593" i="5" s="1"/>
  <c r="V573" i="2"/>
  <c r="V597" i="4"/>
  <c r="W596" i="1"/>
  <c r="W597" i="5" s="1"/>
  <c r="V577" i="2"/>
  <c r="V601" i="4"/>
  <c r="W600" i="1"/>
  <c r="W601" i="5" s="1"/>
  <c r="U587" i="2"/>
  <c r="U611" i="4"/>
  <c r="U624" i="1"/>
  <c r="AA610" i="1"/>
  <c r="AA611" i="5" s="1"/>
  <c r="M588" i="2"/>
  <c r="M612" i="4"/>
  <c r="AA611" i="1"/>
  <c r="AA612" i="5" s="1"/>
  <c r="V589" i="2"/>
  <c r="V613" i="4"/>
  <c r="W612" i="1"/>
  <c r="W613" i="5" s="1"/>
  <c r="X590" i="2"/>
  <c r="Z613" i="1"/>
  <c r="Z590" i="2" s="1"/>
  <c r="V591" i="2"/>
  <c r="V615" i="4"/>
  <c r="W614" i="1"/>
  <c r="W615" i="5" s="1"/>
  <c r="AA606" i="2"/>
  <c r="AA631" i="4"/>
  <c r="AB630" i="1"/>
  <c r="AB631" i="5" s="1"/>
  <c r="W610" i="2"/>
  <c r="W635" i="4"/>
  <c r="V642" i="2"/>
  <c r="V670" i="4"/>
  <c r="X643" i="2"/>
  <c r="Z671" i="1"/>
  <c r="Z643" i="2" s="1"/>
  <c r="V650" i="2"/>
  <c r="W678" i="1"/>
  <c r="W678" i="5" s="1"/>
  <c r="V678" i="4"/>
  <c r="W668" i="2"/>
  <c r="W698" i="4"/>
  <c r="J678" i="2"/>
  <c r="J708" i="4"/>
  <c r="H688" i="2"/>
  <c r="H718" i="4"/>
  <c r="X718" i="4" s="1"/>
  <c r="Z718" i="4" s="1"/>
  <c r="J718" i="1"/>
  <c r="J718" i="5" s="1"/>
  <c r="J743" i="5" s="1"/>
  <c r="X718" i="1"/>
  <c r="X743" i="1" s="1"/>
  <c r="M718" i="1"/>
  <c r="M718" i="5" s="1"/>
  <c r="V718" i="1"/>
  <c r="V718" i="5" s="1"/>
  <c r="V743" i="5" s="1"/>
  <c r="H743" i="1"/>
  <c r="W696" i="2"/>
  <c r="W726" i="4"/>
  <c r="U703" i="2"/>
  <c r="U733" i="4"/>
  <c r="W737" i="1"/>
  <c r="V737" i="4"/>
  <c r="Q718" i="2"/>
  <c r="Q749" i="4"/>
  <c r="Q720" i="2"/>
  <c r="Q751" i="4"/>
  <c r="AA579" i="2"/>
  <c r="AA603" i="4"/>
  <c r="AB602" i="1"/>
  <c r="AB603" i="5" s="1"/>
  <c r="W638" i="2"/>
  <c r="W666" i="4"/>
  <c r="M35" i="2"/>
  <c r="M36" i="4"/>
  <c r="AA36" i="1"/>
  <c r="AA36" i="5" s="1"/>
  <c r="X74" i="2"/>
  <c r="Z78" i="1"/>
  <c r="Z74" i="2" s="1"/>
  <c r="X77" i="2"/>
  <c r="Z81" i="1"/>
  <c r="Z77" i="2" s="1"/>
  <c r="V114" i="2"/>
  <c r="V120" i="4"/>
  <c r="W120" i="1"/>
  <c r="W120" i="5" s="1"/>
  <c r="U116" i="2"/>
  <c r="U122" i="4"/>
  <c r="X119" i="2"/>
  <c r="Z125" i="1"/>
  <c r="Z119" i="2" s="1"/>
  <c r="V131" i="2"/>
  <c r="V138" i="4"/>
  <c r="W138" i="1"/>
  <c r="W138" i="5" s="1"/>
  <c r="V170" i="2"/>
  <c r="W178" i="1"/>
  <c r="W178" i="5" s="1"/>
  <c r="V178" i="4"/>
  <c r="J274" i="2"/>
  <c r="J286" i="4"/>
  <c r="M345" i="2"/>
  <c r="M361" i="4"/>
  <c r="AA362" i="1"/>
  <c r="AA361" i="5" s="1"/>
  <c r="M358" i="2"/>
  <c r="M374" i="4"/>
  <c r="AA375" i="1"/>
  <c r="AA374" i="5" s="1"/>
  <c r="AB420" i="2"/>
  <c r="AB440" i="4"/>
  <c r="X463" i="2"/>
  <c r="Z484" i="1"/>
  <c r="Z463" i="2" s="1"/>
  <c r="AA494" i="2"/>
  <c r="AA514" i="4"/>
  <c r="AB515" i="1"/>
  <c r="AB514" i="5" s="1"/>
  <c r="AA506" i="2"/>
  <c r="AA526" i="4"/>
  <c r="AB527" i="1"/>
  <c r="AB526" i="5" s="1"/>
  <c r="H555" i="2"/>
  <c r="H565" i="2" s="1"/>
  <c r="H576" i="4"/>
  <c r="M575" i="1"/>
  <c r="M576" i="5" s="1"/>
  <c r="M589" i="5" s="1"/>
  <c r="X575" i="1"/>
  <c r="M603" i="2"/>
  <c r="M628" i="4"/>
  <c r="M637" i="1"/>
  <c r="AA627" i="1"/>
  <c r="AA628" i="5" s="1"/>
  <c r="U604" i="2"/>
  <c r="U629" i="4"/>
  <c r="M605" i="2"/>
  <c r="M630" i="4"/>
  <c r="AA629" i="1"/>
  <c r="AA630" i="5" s="1"/>
  <c r="U606" i="2"/>
  <c r="U631" i="4"/>
  <c r="M607" i="2"/>
  <c r="M632" i="4"/>
  <c r="AA631" i="1"/>
  <c r="AA632" i="5" s="1"/>
  <c r="U608" i="2"/>
  <c r="U633" i="4"/>
  <c r="V609" i="2"/>
  <c r="V634" i="4"/>
  <c r="W633" i="1"/>
  <c r="W634" i="5" s="1"/>
  <c r="X610" i="2"/>
  <c r="Z634" i="1"/>
  <c r="Z635" i="5" s="1"/>
  <c r="V611" i="2"/>
  <c r="V636" i="4"/>
  <c r="W635" i="1"/>
  <c r="W636" i="5" s="1"/>
  <c r="U640" i="2"/>
  <c r="U668" i="4"/>
  <c r="J641" i="2"/>
  <c r="J669" i="4"/>
  <c r="J651" i="2"/>
  <c r="J679" i="4"/>
  <c r="M655" i="2"/>
  <c r="M685" i="4"/>
  <c r="AA685" i="1"/>
  <c r="AA685" i="5" s="1"/>
  <c r="W655" i="2"/>
  <c r="W685" i="4"/>
  <c r="V670" i="2"/>
  <c r="V700" i="4"/>
  <c r="W700" i="1"/>
  <c r="W700" i="5" s="1"/>
  <c r="U678" i="2"/>
  <c r="U708" i="4"/>
  <c r="M704" i="2"/>
  <c r="M734" i="4"/>
  <c r="AA734" i="1"/>
  <c r="AA734" i="5" s="1"/>
  <c r="V717" i="2"/>
  <c r="V748" i="4"/>
  <c r="W748" i="1"/>
  <c r="W748" i="5" s="1"/>
  <c r="J718" i="2"/>
  <c r="J749" i="4"/>
  <c r="X739" i="2"/>
  <c r="Z770" i="1"/>
  <c r="Z739" i="2" s="1"/>
  <c r="AA67" i="2"/>
  <c r="AA71" i="4"/>
  <c r="AB71" i="1"/>
  <c r="AB71" i="5" s="1"/>
  <c r="AA475" i="2"/>
  <c r="AA495" i="4"/>
  <c r="AB496" i="1"/>
  <c r="AB495" i="5" s="1"/>
  <c r="S2763" i="1"/>
  <c r="S2850" i="1"/>
  <c r="S2904" i="1"/>
  <c r="S2929" i="1" s="1"/>
  <c r="V679" i="2"/>
  <c r="V709" i="4"/>
  <c r="M929" i="2"/>
  <c r="M971" i="4"/>
  <c r="AA972" i="1"/>
  <c r="AA971" i="5" s="1"/>
  <c r="M1010" i="4"/>
  <c r="AA1011" i="1"/>
  <c r="AA1010" i="5" s="1"/>
  <c r="U981" i="2"/>
  <c r="U1026" i="4"/>
  <c r="W1064" i="2"/>
  <c r="W1113" i="4"/>
  <c r="P25" i="2"/>
  <c r="P41" i="2" s="1"/>
  <c r="P26" i="4"/>
  <c r="U26" i="1"/>
  <c r="U26" i="5" s="1"/>
  <c r="U45" i="5" s="1"/>
  <c r="V26" i="1"/>
  <c r="V26" i="5" s="1"/>
  <c r="V45" i="5" s="1"/>
  <c r="P45" i="1"/>
  <c r="X58" i="2"/>
  <c r="Z62" i="1"/>
  <c r="Z58" i="2" s="1"/>
  <c r="AA108" i="2"/>
  <c r="AA114" i="4"/>
  <c r="AB114" i="1"/>
  <c r="AB114" i="5" s="1"/>
  <c r="X152" i="2"/>
  <c r="Z159" i="1"/>
  <c r="Z159" i="5" s="1"/>
  <c r="X206" i="2"/>
  <c r="Z215" i="1"/>
  <c r="Z206" i="2" s="1"/>
  <c r="U234" i="2"/>
  <c r="U244" i="4"/>
  <c r="U235" i="2"/>
  <c r="U245" i="4"/>
  <c r="U237" i="2"/>
  <c r="U247" i="4"/>
  <c r="U238" i="2"/>
  <c r="U248" i="4"/>
  <c r="J245" i="2"/>
  <c r="J255" i="4"/>
  <c r="AA281" i="2"/>
  <c r="AA293" i="4"/>
  <c r="AB294" i="1"/>
  <c r="AB293" i="5" s="1"/>
  <c r="U291" i="2"/>
  <c r="U303" i="4"/>
  <c r="J296" i="2"/>
  <c r="J309" i="4"/>
  <c r="J335" i="2"/>
  <c r="J348" i="4"/>
  <c r="X477" i="2"/>
  <c r="Z498" i="1"/>
  <c r="Z477" i="2" s="1"/>
  <c r="X493" i="2"/>
  <c r="Z514" i="1"/>
  <c r="Z493" i="2" s="1"/>
  <c r="U496" i="2"/>
  <c r="U516" i="4"/>
  <c r="X512" i="2"/>
  <c r="Z533" i="1"/>
  <c r="Z512" i="2" s="1"/>
  <c r="U814" i="2"/>
  <c r="U849" i="4"/>
  <c r="U872" i="1"/>
  <c r="V820" i="2"/>
  <c r="V855" i="4"/>
  <c r="W855" i="1"/>
  <c r="W855" i="5" s="1"/>
  <c r="V934" i="2"/>
  <c r="V976" i="4"/>
  <c r="X993" i="2"/>
  <c r="Z1039" i="1"/>
  <c r="Z993" i="2" s="1"/>
  <c r="X997" i="2"/>
  <c r="Z1043" i="1"/>
  <c r="Z997" i="2" s="1"/>
  <c r="X1001" i="2"/>
  <c r="Z1047" i="1"/>
  <c r="Z1001" i="2" s="1"/>
  <c r="V1033" i="2"/>
  <c r="V1081" i="4"/>
  <c r="W1082" i="1"/>
  <c r="W1081" i="5" s="1"/>
  <c r="X1055" i="2"/>
  <c r="Z1105" i="1"/>
  <c r="Z1055" i="2" s="1"/>
  <c r="X1077" i="2"/>
  <c r="Z1128" i="1"/>
  <c r="Z1077" i="2" s="1"/>
  <c r="M14" i="2"/>
  <c r="M14" i="4"/>
  <c r="AA14" i="1"/>
  <c r="AA14" i="5" s="1"/>
  <c r="V26" i="2"/>
  <c r="V27" i="4"/>
  <c r="W27" i="1"/>
  <c r="W27" i="5" s="1"/>
  <c r="W78" i="2"/>
  <c r="W82" i="4"/>
  <c r="AA389" i="2"/>
  <c r="AA407" i="4"/>
  <c r="AB408" i="1"/>
  <c r="AB407" i="5" s="1"/>
  <c r="U399" i="2"/>
  <c r="U417" i="4"/>
  <c r="M438" i="4"/>
  <c r="AA439" i="1"/>
  <c r="AA438" i="5" s="1"/>
  <c r="Z423" i="2"/>
  <c r="Z443" i="4"/>
  <c r="M465" i="2"/>
  <c r="M485" i="4"/>
  <c r="AA486" i="1"/>
  <c r="AA485" i="5" s="1"/>
  <c r="X494" i="2"/>
  <c r="Z515" i="1"/>
  <c r="Z494" i="2" s="1"/>
  <c r="X510" i="2"/>
  <c r="Z531" i="1"/>
  <c r="Z510" i="2" s="1"/>
  <c r="U513" i="2"/>
  <c r="U533" i="4"/>
  <c r="M522" i="2"/>
  <c r="M541" i="4"/>
  <c r="AA542" i="1"/>
  <c r="AA541" i="5" s="1"/>
  <c r="U547" i="2"/>
  <c r="U568" i="4"/>
  <c r="V575" i="2"/>
  <c r="V599" i="4"/>
  <c r="W598" i="1"/>
  <c r="W599" i="5" s="1"/>
  <c r="W690" i="2"/>
  <c r="W720" i="4"/>
  <c r="Q695" i="2"/>
  <c r="Q725" i="4"/>
  <c r="M773" i="2"/>
  <c r="M807" i="4"/>
  <c r="AA807" i="1"/>
  <c r="AA807" i="5" s="1"/>
  <c r="J774" i="2"/>
  <c r="J808" i="4"/>
  <c r="H776" i="2"/>
  <c r="H810" i="4"/>
  <c r="X810" i="4" s="1"/>
  <c r="Z810" i="4" s="1"/>
  <c r="X810" i="1"/>
  <c r="J810" i="1"/>
  <c r="J810" i="5" s="1"/>
  <c r="J823" i="5" s="1"/>
  <c r="M810" i="1"/>
  <c r="H823" i="1"/>
  <c r="V810" i="1"/>
  <c r="V810" i="5" s="1"/>
  <c r="V823" i="5" s="1"/>
  <c r="V787" i="2"/>
  <c r="V821" i="4"/>
  <c r="W821" i="1"/>
  <c r="W821" i="5" s="1"/>
  <c r="M806" i="2"/>
  <c r="M841" i="4"/>
  <c r="AA841" i="1"/>
  <c r="AA841" i="5" s="1"/>
  <c r="M819" i="2"/>
  <c r="M854" i="4"/>
  <c r="AA854" i="1"/>
  <c r="AA854" i="5" s="1"/>
  <c r="M877" i="2"/>
  <c r="M920" i="4"/>
  <c r="AA920" i="1"/>
  <c r="AA920" i="5" s="1"/>
  <c r="U896" i="2"/>
  <c r="U939" i="4"/>
  <c r="V928" i="2"/>
  <c r="V970" i="4"/>
  <c r="W971" i="1"/>
  <c r="W970" i="5" s="1"/>
  <c r="V939" i="2"/>
  <c r="V982" i="4"/>
  <c r="W983" i="1"/>
  <c r="W982" i="5" s="1"/>
  <c r="AA1073" i="2"/>
  <c r="AA1122" i="4"/>
  <c r="AB1123" i="1"/>
  <c r="AB1122" i="5" s="1"/>
  <c r="V1100" i="2"/>
  <c r="V1150" i="4"/>
  <c r="W1151" i="1"/>
  <c r="W1150" i="5" s="1"/>
  <c r="V1104" i="2"/>
  <c r="V1154" i="4"/>
  <c r="W1155" i="1"/>
  <c r="W1154" i="5" s="1"/>
  <c r="V1108" i="2"/>
  <c r="V1158" i="4"/>
  <c r="W1159" i="1"/>
  <c r="W1158" i="5" s="1"/>
  <c r="X1111" i="2"/>
  <c r="Z1163" i="1"/>
  <c r="Z1111" i="2" s="1"/>
  <c r="M1124" i="2"/>
  <c r="M1175" i="4"/>
  <c r="AA1176" i="1"/>
  <c r="AA1175" i="5" s="1"/>
  <c r="Q1151" i="2"/>
  <c r="Q1203" i="4"/>
  <c r="X1155" i="2"/>
  <c r="X1207" i="4"/>
  <c r="Z1208" i="1"/>
  <c r="Z1207" i="5" s="1"/>
  <c r="Z1166" i="2"/>
  <c r="Z1220" i="4"/>
  <c r="U1110" i="2"/>
  <c r="U1160" i="4"/>
  <c r="X1129" i="2"/>
  <c r="Z1181" i="1"/>
  <c r="Z1129" i="2" s="1"/>
  <c r="Z1224" i="4"/>
  <c r="Z1170" i="2"/>
  <c r="H1938" i="4"/>
  <c r="X1938" i="4" s="1"/>
  <c r="Z1938" i="4" s="1"/>
  <c r="J1942" i="1"/>
  <c r="X1942" i="1"/>
  <c r="Z1942" i="1" s="1"/>
  <c r="M1942" i="1"/>
  <c r="M1938" i="5" s="1"/>
  <c r="M2065" i="4"/>
  <c r="AA2069" i="1"/>
  <c r="AA2065" i="5" s="1"/>
  <c r="M2069" i="4"/>
  <c r="AA2073" i="1"/>
  <c r="AA2069" i="5" s="1"/>
  <c r="M2073" i="4"/>
  <c r="AA2077" i="1"/>
  <c r="AA2073" i="5" s="1"/>
  <c r="M2076" i="4"/>
  <c r="AA2080" i="1"/>
  <c r="AA2076" i="5" s="1"/>
  <c r="M2284" i="4"/>
  <c r="AA2288" i="1"/>
  <c r="AA2284" i="5" s="1"/>
  <c r="H2307" i="4"/>
  <c r="M2313" i="1"/>
  <c r="M2307" i="5" s="1"/>
  <c r="J2313" i="1"/>
  <c r="X2313" i="1"/>
  <c r="X2307" i="5" s="1"/>
  <c r="AA2432" i="4"/>
  <c r="AB2438" i="1"/>
  <c r="M2479" i="4"/>
  <c r="AA2487" i="1"/>
  <c r="AA2479" i="5" s="1"/>
  <c r="M2483" i="4"/>
  <c r="AA2491" i="1"/>
  <c r="AA2483" i="5" s="1"/>
  <c r="H2528" i="4"/>
  <c r="X2528" i="4" s="1"/>
  <c r="Z2528" i="4" s="1"/>
  <c r="M2536" i="1"/>
  <c r="M2528" i="5" s="1"/>
  <c r="X2536" i="1"/>
  <c r="Z2536" i="1" s="1"/>
  <c r="V2536" i="1"/>
  <c r="U2590" i="4"/>
  <c r="AA2598" i="1"/>
  <c r="AA2590" i="5" s="1"/>
  <c r="M2593" i="4"/>
  <c r="AA2601" i="1"/>
  <c r="AA2593" i="5" s="1"/>
  <c r="U2616" i="4"/>
  <c r="U2643" i="1"/>
  <c r="I2668" i="1"/>
  <c r="I2924" i="1" s="1"/>
  <c r="I2847" i="1"/>
  <c r="U2643" i="4"/>
  <c r="AA2651" i="1"/>
  <c r="AA2643" i="5" s="1"/>
  <c r="U2647" i="4"/>
  <c r="AA2655" i="1"/>
  <c r="AA2647" i="5" s="1"/>
  <c r="U2675" i="4"/>
  <c r="AA2683" i="1"/>
  <c r="AA2675" i="5" s="1"/>
  <c r="M2690" i="4"/>
  <c r="AA2698" i="1"/>
  <c r="AA2690" i="5" s="1"/>
  <c r="AA2702" i="1"/>
  <c r="AA2694" i="5" s="1"/>
  <c r="M2694" i="4"/>
  <c r="U2707" i="4"/>
  <c r="U2736" i="1"/>
  <c r="AA2715" i="1"/>
  <c r="AA2707" i="5" s="1"/>
  <c r="M2710" i="4"/>
  <c r="AA2718" i="1"/>
  <c r="AA2710" i="5" s="1"/>
  <c r="M2714" i="4"/>
  <c r="AA2722" i="1"/>
  <c r="AA2714" i="5" s="1"/>
  <c r="M2719" i="4"/>
  <c r="AA2727" i="1"/>
  <c r="AA2719" i="5" s="1"/>
  <c r="I189" i="2"/>
  <c r="I197" i="4"/>
  <c r="K197" i="1"/>
  <c r="K197" i="5" s="1"/>
  <c r="J310" i="2"/>
  <c r="J323" i="4"/>
  <c r="X317" i="2"/>
  <c r="Z331" i="1"/>
  <c r="Z317" i="2" s="1"/>
  <c r="J329" i="2"/>
  <c r="J342" i="4"/>
  <c r="V414" i="2"/>
  <c r="V432" i="4"/>
  <c r="W433" i="1"/>
  <c r="W432" i="5" s="1"/>
  <c r="V492" i="2"/>
  <c r="V512" i="4"/>
  <c r="V523" i="1"/>
  <c r="W513" i="1"/>
  <c r="W512" i="5" s="1"/>
  <c r="U545" i="2"/>
  <c r="U566" i="4"/>
  <c r="U569" i="1"/>
  <c r="X553" i="2"/>
  <c r="Z573" i="1"/>
  <c r="Z553" i="2" s="1"/>
  <c r="V667" i="2"/>
  <c r="V697" i="4"/>
  <c r="W697" i="1"/>
  <c r="W697" i="5" s="1"/>
  <c r="X699" i="2"/>
  <c r="Z729" i="1"/>
  <c r="Z699" i="2" s="1"/>
  <c r="X719" i="2"/>
  <c r="Z750" i="1"/>
  <c r="Z719" i="2" s="1"/>
  <c r="AA721" i="2"/>
  <c r="AA752" i="4"/>
  <c r="AB752" i="1"/>
  <c r="AB752" i="5" s="1"/>
  <c r="X722" i="2"/>
  <c r="Z753" i="1"/>
  <c r="Z722" i="2" s="1"/>
  <c r="X751" i="2"/>
  <c r="Z784" i="1"/>
  <c r="W759" i="2"/>
  <c r="W792" i="4"/>
  <c r="J765" i="2"/>
  <c r="J799" i="4"/>
  <c r="V930" i="2"/>
  <c r="V972" i="4"/>
  <c r="W973" i="1"/>
  <c r="W972" i="5" s="1"/>
  <c r="X933" i="2"/>
  <c r="X975" i="4"/>
  <c r="Z976" i="1"/>
  <c r="Z975" i="5" s="1"/>
  <c r="M980" i="4"/>
  <c r="AA981" i="1"/>
  <c r="AA980" i="5" s="1"/>
  <c r="X944" i="2"/>
  <c r="X946" i="2" s="1"/>
  <c r="Z988" i="1"/>
  <c r="Z987" i="5" s="1"/>
  <c r="X990" i="1"/>
  <c r="X957" i="2"/>
  <c r="Z1001" i="1"/>
  <c r="Z957" i="2" s="1"/>
  <c r="W962" i="2"/>
  <c r="W1005" i="4"/>
  <c r="X962" i="2"/>
  <c r="Z1006" i="1"/>
  <c r="Z962" i="2" s="1"/>
  <c r="X1009" i="2"/>
  <c r="Z1055" i="1"/>
  <c r="Z1009" i="2" s="1"/>
  <c r="M1016" i="2"/>
  <c r="M1063" i="4"/>
  <c r="AA1064" i="1"/>
  <c r="AA1063" i="5" s="1"/>
  <c r="M1066" i="1"/>
  <c r="U1080" i="4"/>
  <c r="AA1081" i="1"/>
  <c r="AA1080" i="5" s="1"/>
  <c r="U1206" i="2"/>
  <c r="U1265" i="4"/>
  <c r="AA1266" i="1"/>
  <c r="AA1265" i="5" s="1"/>
  <c r="M1212" i="2"/>
  <c r="M1271" i="4"/>
  <c r="AA1272" i="1"/>
  <c r="AA1271" i="5" s="1"/>
  <c r="H1224" i="2"/>
  <c r="H1287" i="4"/>
  <c r="X1287" i="4" s="1"/>
  <c r="Z1287" i="4" s="1"/>
  <c r="J1288" i="1"/>
  <c r="J1287" i="5" s="1"/>
  <c r="X1288" i="1"/>
  <c r="M1288" i="1"/>
  <c r="M1287" i="5" s="1"/>
  <c r="M1309" i="5" s="1"/>
  <c r="V1288" i="1"/>
  <c r="V1287" i="5" s="1"/>
  <c r="V1309" i="5" s="1"/>
  <c r="H1310" i="1"/>
  <c r="M1230" i="2"/>
  <c r="M1293" i="4"/>
  <c r="AA1294" i="1"/>
  <c r="AA1293" i="5" s="1"/>
  <c r="M1235" i="2"/>
  <c r="M1298" i="4"/>
  <c r="AA1299" i="1"/>
  <c r="AA1298" i="5" s="1"/>
  <c r="V1236" i="2"/>
  <c r="V1299" i="4"/>
  <c r="W1300" i="1"/>
  <c r="W1299" i="5" s="1"/>
  <c r="Q1249" i="2"/>
  <c r="Q1312" i="4"/>
  <c r="Q1340" i="1"/>
  <c r="J1255" i="2"/>
  <c r="J1318" i="4"/>
  <c r="V1264" i="2"/>
  <c r="V1327" i="4"/>
  <c r="W1328" i="1"/>
  <c r="W1327" i="5" s="1"/>
  <c r="W1282" i="2"/>
  <c r="W1347" i="4"/>
  <c r="U1285" i="2"/>
  <c r="U1350" i="4"/>
  <c r="U1287" i="2"/>
  <c r="U1352" i="4"/>
  <c r="AA1211" i="2"/>
  <c r="AA1270" i="4"/>
  <c r="AB1271" i="1"/>
  <c r="AB1270" i="5" s="1"/>
  <c r="V1283" i="2"/>
  <c r="V1348" i="4"/>
  <c r="W1349" i="1"/>
  <c r="W1348" i="5" s="1"/>
  <c r="X497" i="2"/>
  <c r="Z518" i="1"/>
  <c r="Z497" i="2" s="1"/>
  <c r="X557" i="2"/>
  <c r="Z577" i="1"/>
  <c r="Z557" i="2" s="1"/>
  <c r="M684" i="4"/>
  <c r="AA684" i="1"/>
  <c r="AA684" i="5" s="1"/>
  <c r="U753" i="2"/>
  <c r="U786" i="4"/>
  <c r="M755" i="2"/>
  <c r="M788" i="4"/>
  <c r="AA788" i="1"/>
  <c r="AA788" i="5" s="1"/>
  <c r="X759" i="2"/>
  <c r="Z792" i="1"/>
  <c r="Z759" i="2" s="1"/>
  <c r="AA761" i="2"/>
  <c r="AA794" i="4"/>
  <c r="AB794" i="1"/>
  <c r="AB794" i="5" s="1"/>
  <c r="V823" i="2"/>
  <c r="V858" i="4"/>
  <c r="W858" i="1"/>
  <c r="W858" i="5" s="1"/>
  <c r="V825" i="2"/>
  <c r="V860" i="4"/>
  <c r="W860" i="1"/>
  <c r="W860" i="5" s="1"/>
  <c r="W827" i="2"/>
  <c r="W862" i="4"/>
  <c r="M864" i="4"/>
  <c r="AA864" i="1"/>
  <c r="AA864" i="5" s="1"/>
  <c r="M863" i="2"/>
  <c r="M903" i="4"/>
  <c r="AA903" i="1"/>
  <c r="AA903" i="5" s="1"/>
  <c r="M871" i="2"/>
  <c r="M911" i="4"/>
  <c r="AA911" i="1"/>
  <c r="AA911" i="5" s="1"/>
  <c r="X882" i="2"/>
  <c r="Q888" i="2"/>
  <c r="Q931" i="4"/>
  <c r="U890" i="2"/>
  <c r="U933" i="4"/>
  <c r="Q892" i="2"/>
  <c r="Q935" i="4"/>
  <c r="Q907" i="2"/>
  <c r="Q950" i="4"/>
  <c r="X938" i="2"/>
  <c r="X981" i="4"/>
  <c r="Z982" i="1"/>
  <c r="Z981" i="5" s="1"/>
  <c r="AA957" i="2"/>
  <c r="AA1000" i="4"/>
  <c r="AB1001" i="1"/>
  <c r="AB1000" i="5" s="1"/>
  <c r="M960" i="2"/>
  <c r="M1003" i="4"/>
  <c r="AA1004" i="1"/>
  <c r="AA1003" i="5" s="1"/>
  <c r="M1075" i="2"/>
  <c r="M1124" i="4"/>
  <c r="AA1125" i="1"/>
  <c r="AA1124" i="5" s="1"/>
  <c r="U1076" i="2"/>
  <c r="U1125" i="4"/>
  <c r="AA1126" i="1"/>
  <c r="AA1125" i="5" s="1"/>
  <c r="U1082" i="2"/>
  <c r="U1132" i="4"/>
  <c r="U1144" i="1"/>
  <c r="AA1133" i="1"/>
  <c r="AA1132" i="5" s="1"/>
  <c r="X1102" i="2"/>
  <c r="Z1153" i="1"/>
  <c r="Z1102" i="2" s="1"/>
  <c r="X1110" i="2"/>
  <c r="Z1161" i="1"/>
  <c r="Z1110" i="2" s="1"/>
  <c r="Z1146" i="2"/>
  <c r="Z1198" i="4"/>
  <c r="J1398" i="4"/>
  <c r="J1328" i="2"/>
  <c r="X156" i="2"/>
  <c r="Z164" i="1"/>
  <c r="Z164" i="5" s="1"/>
  <c r="U364" i="2"/>
  <c r="U380" i="4"/>
  <c r="Z1335" i="2"/>
  <c r="X1352" i="2"/>
  <c r="Z1423" i="1"/>
  <c r="Z1352" i="2" s="1"/>
  <c r="Q1365" i="2"/>
  <c r="Q1436" i="4"/>
  <c r="Q1472" i="1"/>
  <c r="Q1372" i="2"/>
  <c r="Q1443" i="4"/>
  <c r="U1387" i="2"/>
  <c r="U1458" i="4"/>
  <c r="Q1662" i="2"/>
  <c r="Q2628" i="2" s="1"/>
  <c r="Q1753" i="4"/>
  <c r="Q2793" i="1"/>
  <c r="X1688" i="2"/>
  <c r="Z1783" i="1"/>
  <c r="Z1688" i="2" s="1"/>
  <c r="J1718" i="2"/>
  <c r="J1810" i="4"/>
  <c r="J1738" i="2"/>
  <c r="J1830" i="4"/>
  <c r="Q1754" i="2"/>
  <c r="Q1848" i="4"/>
  <c r="Q1869" i="1"/>
  <c r="J1791" i="2"/>
  <c r="J1890" i="4"/>
  <c r="X1797" i="2"/>
  <c r="Z1900" i="1"/>
  <c r="Z1797" i="2" s="1"/>
  <c r="M2402" i="4"/>
  <c r="AA2408" i="1"/>
  <c r="AA2402" i="5" s="1"/>
  <c r="X2675" i="4"/>
  <c r="Z2683" i="1"/>
  <c r="V2707" i="4"/>
  <c r="W2715" i="1"/>
  <c r="W2707" i="5" s="1"/>
  <c r="AA2359" i="4"/>
  <c r="AB2365" i="1"/>
  <c r="AA463" i="2"/>
  <c r="AA483" i="4"/>
  <c r="AB484" i="1"/>
  <c r="AB483" i="5" s="1"/>
  <c r="V509" i="2"/>
  <c r="V529" i="4"/>
  <c r="W530" i="1"/>
  <c r="W529" i="5" s="1"/>
  <c r="V2849" i="1"/>
  <c r="U521" i="2"/>
  <c r="U540" i="4"/>
  <c r="AA541" i="1"/>
  <c r="AA540" i="5" s="1"/>
  <c r="Q800" i="2"/>
  <c r="Q834" i="4"/>
  <c r="U800" i="2"/>
  <c r="U834" i="4"/>
  <c r="AA834" i="1"/>
  <c r="AA834" i="5" s="1"/>
  <c r="Q824" i="2"/>
  <c r="Q859" i="4"/>
  <c r="M950" i="2"/>
  <c r="M993" i="4"/>
  <c r="AA994" i="1"/>
  <c r="AA993" i="5" s="1"/>
  <c r="M1014" i="1"/>
  <c r="V979" i="2"/>
  <c r="V1024" i="4"/>
  <c r="W1025" i="1"/>
  <c r="W1024" i="5" s="1"/>
  <c r="X1015" i="2"/>
  <c r="Z1063" i="1"/>
  <c r="Z1015" i="2" s="1"/>
  <c r="AA1027" i="2"/>
  <c r="AA1074" i="4"/>
  <c r="AB1075" i="1"/>
  <c r="AB1074" i="5" s="1"/>
  <c r="U1054" i="2"/>
  <c r="U1102" i="4"/>
  <c r="AA1061" i="2"/>
  <c r="AA1110" i="4"/>
  <c r="AB1111" i="1"/>
  <c r="AB1110" i="5" s="1"/>
  <c r="AA1156" i="2"/>
  <c r="AA1210" i="4"/>
  <c r="AB1211" i="1"/>
  <c r="AB1210" i="5" s="1"/>
  <c r="V1165" i="2"/>
  <c r="V1219" i="4"/>
  <c r="W1220" i="1"/>
  <c r="W1219" i="5" s="1"/>
  <c r="U1167" i="2"/>
  <c r="U1221" i="4"/>
  <c r="AA1222" i="1"/>
  <c r="AA1221" i="5" s="1"/>
  <c r="AA1181" i="2"/>
  <c r="AA1237" i="4"/>
  <c r="AB1238" i="1"/>
  <c r="AB1237" i="5" s="1"/>
  <c r="M1195" i="2"/>
  <c r="M1254" i="4"/>
  <c r="AA1255" i="1"/>
  <c r="AA1254" i="5" s="1"/>
  <c r="Q1197" i="2"/>
  <c r="Q1256" i="4"/>
  <c r="U1230" i="2"/>
  <c r="U1293" i="4"/>
  <c r="Q1242" i="2"/>
  <c r="Q1305" i="4"/>
  <c r="Q1277" i="2"/>
  <c r="Q1342" i="4"/>
  <c r="Q1376" i="1"/>
  <c r="V1277" i="2"/>
  <c r="V1342" i="4"/>
  <c r="V1376" i="1"/>
  <c r="W1343" i="1"/>
  <c r="W1342" i="5" s="1"/>
  <c r="J1279" i="2"/>
  <c r="J1344" i="4"/>
  <c r="M1284" i="2"/>
  <c r="M1349" i="4"/>
  <c r="AA1350" i="1"/>
  <c r="AA1349" i="5" s="1"/>
  <c r="Q1289" i="2"/>
  <c r="Q1354" i="4"/>
  <c r="AA1356" i="4"/>
  <c r="AB1357" i="1"/>
  <c r="AB1356" i="5" s="1"/>
  <c r="AA1291" i="2"/>
  <c r="V1371" i="4"/>
  <c r="V1302" i="2"/>
  <c r="W1372" i="1"/>
  <c r="W1371" i="5" s="1"/>
  <c r="Q1304" i="2"/>
  <c r="Q1373" i="4"/>
  <c r="W1313" i="2"/>
  <c r="W1382" i="4"/>
  <c r="J1321" i="2"/>
  <c r="J1390" i="4"/>
  <c r="J1335" i="2"/>
  <c r="J1405" i="4"/>
  <c r="V1400" i="2"/>
  <c r="V1476" i="4"/>
  <c r="V1498" i="1"/>
  <c r="W1477" i="1"/>
  <c r="W1476" i="5" s="1"/>
  <c r="J1410" i="2"/>
  <c r="J1486" i="4"/>
  <c r="M1429" i="2"/>
  <c r="M1506" i="4"/>
  <c r="AA1507" i="1"/>
  <c r="AA1506" i="5" s="1"/>
  <c r="U1835" i="4"/>
  <c r="U1743" i="2"/>
  <c r="X1766" i="2"/>
  <c r="Z1864" i="1"/>
  <c r="Z1766" i="2" s="1"/>
  <c r="X1767" i="2"/>
  <c r="Z1867" i="1"/>
  <c r="Z1767" i="2" s="1"/>
  <c r="J1772" i="2"/>
  <c r="J1868" i="4"/>
  <c r="V2025" i="4"/>
  <c r="W2029" i="1"/>
  <c r="AA2029" i="4"/>
  <c r="AB2033" i="1"/>
  <c r="AA2228" i="4"/>
  <c r="AB2232" i="1"/>
  <c r="M2502" i="4"/>
  <c r="AA2510" i="1"/>
  <c r="AA2502" i="5" s="1"/>
  <c r="U2503" i="4"/>
  <c r="U2515" i="4" s="1"/>
  <c r="U2523" i="1"/>
  <c r="X2583" i="4"/>
  <c r="Z2591" i="1"/>
  <c r="X2585" i="4"/>
  <c r="Z2593" i="1"/>
  <c r="X2587" i="4"/>
  <c r="Z2595" i="1"/>
  <c r="V2686" i="4"/>
  <c r="W2694" i="1"/>
  <c r="W2686" i="5" s="1"/>
  <c r="V2712" i="1"/>
  <c r="V2688" i="4"/>
  <c r="W2696" i="1"/>
  <c r="U598" i="2"/>
  <c r="U623" i="4"/>
  <c r="X891" i="2"/>
  <c r="Z934" i="1"/>
  <c r="Z891" i="2" s="1"/>
  <c r="AA892" i="2"/>
  <c r="AA935" i="4"/>
  <c r="AB935" i="1"/>
  <c r="AB935" i="5" s="1"/>
  <c r="M911" i="2"/>
  <c r="M954" i="4"/>
  <c r="O954" i="1"/>
  <c r="O954" i="5" s="1"/>
  <c r="O956" i="5" s="1"/>
  <c r="O961" i="5" s="1"/>
  <c r="O2755" i="5" s="1"/>
  <c r="Q1164" i="2"/>
  <c r="Q1218" i="4"/>
  <c r="Q1237" i="2"/>
  <c r="Q1300" i="4"/>
  <c r="U1255" i="2"/>
  <c r="U1318" i="4"/>
  <c r="J1265" i="2"/>
  <c r="J1328" i="4"/>
  <c r="U1300" i="2"/>
  <c r="U1369" i="4"/>
  <c r="J1371" i="4"/>
  <c r="J1302" i="2"/>
  <c r="J1311" i="2"/>
  <c r="J1380" i="4"/>
  <c r="M1318" i="2"/>
  <c r="M1387" i="4"/>
  <c r="AA1388" i="1"/>
  <c r="AA1387" i="5" s="1"/>
  <c r="M1394" i="4"/>
  <c r="M1325" i="2"/>
  <c r="AA1395" i="1"/>
  <c r="AA1394" i="5" s="1"/>
  <c r="H1347" i="2"/>
  <c r="H1417" i="4"/>
  <c r="X1417" i="4" s="1"/>
  <c r="Z1417" i="4" s="1"/>
  <c r="J1418" i="1"/>
  <c r="J1417" i="5" s="1"/>
  <c r="X1418" i="1"/>
  <c r="M1418" i="1"/>
  <c r="M1417" i="5" s="1"/>
  <c r="V1418" i="1"/>
  <c r="V1417" i="5" s="1"/>
  <c r="H1357" i="2"/>
  <c r="H1427" i="4"/>
  <c r="X1427" i="4" s="1"/>
  <c r="Z1427" i="4" s="1"/>
  <c r="M1428" i="1"/>
  <c r="M1427" i="5" s="1"/>
  <c r="X1428" i="1"/>
  <c r="W1381" i="2"/>
  <c r="W1452" i="4"/>
  <c r="M1383" i="2"/>
  <c r="M1454" i="4"/>
  <c r="AA1455" i="1"/>
  <c r="AA1454" i="5" s="1"/>
  <c r="J1460" i="4"/>
  <c r="J1388" i="2"/>
  <c r="U1411" i="2"/>
  <c r="U1487" i="4"/>
  <c r="W1414" i="2"/>
  <c r="W1490" i="4"/>
  <c r="Z1487" i="2"/>
  <c r="Z1562" i="4"/>
  <c r="X1520" i="2"/>
  <c r="Z1601" i="1"/>
  <c r="Z1598" i="5" s="1"/>
  <c r="X1530" i="2"/>
  <c r="Z1611" i="1"/>
  <c r="Z1608" i="5" s="1"/>
  <c r="X1795" i="2"/>
  <c r="Z1898" i="1"/>
  <c r="Z1795" i="2" s="1"/>
  <c r="V2017" i="4"/>
  <c r="W2021" i="1"/>
  <c r="H2025" i="4"/>
  <c r="X2025" i="4" s="1"/>
  <c r="Z2025" i="4" s="1"/>
  <c r="M2029" i="1"/>
  <c r="M2025" i="5" s="1"/>
  <c r="M2037" i="5" s="1"/>
  <c r="X2029" i="1"/>
  <c r="Z2029" i="1" s="1"/>
  <c r="X2098" i="4"/>
  <c r="Z2102" i="1"/>
  <c r="J2197" i="4"/>
  <c r="M2453" i="4"/>
  <c r="AA2461" i="1"/>
  <c r="AA2453" i="5" s="1"/>
  <c r="M2478" i="1"/>
  <c r="X2455" i="4"/>
  <c r="Z2463" i="1"/>
  <c r="M2424" i="4"/>
  <c r="AA2430" i="1"/>
  <c r="AA2424" i="5" s="1"/>
  <c r="K222" i="2"/>
  <c r="K233" i="4"/>
  <c r="Q233" i="1"/>
  <c r="Q233" i="5" s="1"/>
  <c r="X439" i="4"/>
  <c r="Z440" i="1"/>
  <c r="V458" i="2"/>
  <c r="V478" i="4"/>
  <c r="V645" i="2"/>
  <c r="V673" i="4"/>
  <c r="W673" i="1"/>
  <c r="W673" i="5" s="1"/>
  <c r="J649" i="2"/>
  <c r="J677" i="4"/>
  <c r="X665" i="2"/>
  <c r="Z695" i="1"/>
  <c r="Z665" i="2" s="1"/>
  <c r="V665" i="2"/>
  <c r="V695" i="4"/>
  <c r="W695" i="1"/>
  <c r="W695" i="5" s="1"/>
  <c r="Q680" i="2"/>
  <c r="Q710" i="4"/>
  <c r="X817" i="2"/>
  <c r="Z852" i="1"/>
  <c r="Z817" i="2" s="1"/>
  <c r="X1013" i="2"/>
  <c r="Z1059" i="1"/>
  <c r="Z1013" i="2" s="1"/>
  <c r="AA1061" i="4"/>
  <c r="AB1062" i="1"/>
  <c r="U1027" i="2"/>
  <c r="U1074" i="4"/>
  <c r="V1030" i="2"/>
  <c r="V1077" i="4"/>
  <c r="W1078" i="1"/>
  <c r="W1077" i="5" s="1"/>
  <c r="U1089" i="2"/>
  <c r="U1139" i="4"/>
  <c r="W1119" i="2"/>
  <c r="W1170" i="4"/>
  <c r="X1120" i="2"/>
  <c r="Z1172" i="1"/>
  <c r="Z1120" i="2" s="1"/>
  <c r="W1126" i="2"/>
  <c r="W1177" i="4"/>
  <c r="V1156" i="2"/>
  <c r="V1210" i="4"/>
  <c r="W1211" i="1"/>
  <c r="W1210" i="5" s="1"/>
  <c r="W1169" i="2"/>
  <c r="W1223" i="4"/>
  <c r="Q1204" i="2"/>
  <c r="Q1263" i="4"/>
  <c r="Q1216" i="2"/>
  <c r="Q2648" i="2" s="1"/>
  <c r="Q1279" i="4"/>
  <c r="Q2823" i="1"/>
  <c r="W1221" i="2"/>
  <c r="W1284" i="4"/>
  <c r="M1391" i="2"/>
  <c r="M1463" i="4"/>
  <c r="AA1464" i="1"/>
  <c r="AA1463" i="5" s="1"/>
  <c r="Q1401" i="2"/>
  <c r="Q1477" i="4"/>
  <c r="X1401" i="2"/>
  <c r="X1498" i="1"/>
  <c r="X1402" i="2"/>
  <c r="Z1479" i="1"/>
  <c r="Z1402" i="2" s="1"/>
  <c r="M1426" i="2"/>
  <c r="M1503" i="4"/>
  <c r="AA1504" i="1"/>
  <c r="AA1503" i="5" s="1"/>
  <c r="M1450" i="2"/>
  <c r="M1527" i="4"/>
  <c r="AA1528" i="1"/>
  <c r="AA1527" i="5" s="1"/>
  <c r="M1462" i="2"/>
  <c r="M1539" i="4"/>
  <c r="AA1540" i="1"/>
  <c r="AA1539" i="5" s="1"/>
  <c r="V1477" i="2"/>
  <c r="V1552" i="4"/>
  <c r="W1555" i="1"/>
  <c r="W1552" i="5" s="1"/>
  <c r="X1478" i="2"/>
  <c r="X1553" i="4"/>
  <c r="Z1556" i="1"/>
  <c r="Z1553" i="5" s="1"/>
  <c r="V1479" i="2"/>
  <c r="V1554" i="4"/>
  <c r="W1557" i="1"/>
  <c r="W1554" i="5" s="1"/>
  <c r="X1480" i="2"/>
  <c r="X1555" i="4"/>
  <c r="Z1558" i="1"/>
  <c r="Z1555" i="5" s="1"/>
  <c r="V1481" i="2"/>
  <c r="V1556" i="4"/>
  <c r="W1559" i="1"/>
  <c r="W1556" i="5" s="1"/>
  <c r="X1482" i="2"/>
  <c r="X1557" i="4"/>
  <c r="Z1560" i="1"/>
  <c r="Z1557" i="5" s="1"/>
  <c r="V1483" i="2"/>
  <c r="V1558" i="4"/>
  <c r="W1561" i="1"/>
  <c r="W1558" i="5" s="1"/>
  <c r="X1484" i="2"/>
  <c r="X1559" i="4"/>
  <c r="Z1562" i="1"/>
  <c r="Z1559" i="5" s="1"/>
  <c r="V1485" i="2"/>
  <c r="V1560" i="4"/>
  <c r="W1563" i="1"/>
  <c r="W1560" i="5" s="1"/>
  <c r="X1486" i="2"/>
  <c r="X1561" i="4"/>
  <c r="Z1564" i="1"/>
  <c r="Z1561" i="5" s="1"/>
  <c r="V1487" i="2"/>
  <c r="V1562" i="4"/>
  <c r="W1565" i="1"/>
  <c r="W1562" i="5" s="1"/>
  <c r="X1488" i="2"/>
  <c r="X1563" i="4"/>
  <c r="Z1566" i="1"/>
  <c r="Z1563" i="5" s="1"/>
  <c r="V1489" i="2"/>
  <c r="V1564" i="4"/>
  <c r="W1567" i="1"/>
  <c r="W1564" i="5" s="1"/>
  <c r="X1565" i="4"/>
  <c r="Z1568" i="1"/>
  <c r="X1495" i="2"/>
  <c r="X1571" i="4"/>
  <c r="X1595" i="1"/>
  <c r="Z1574" i="1"/>
  <c r="Z1571" i="5" s="1"/>
  <c r="V1496" i="2"/>
  <c r="V1572" i="4"/>
  <c r="W1575" i="1"/>
  <c r="W1572" i="5" s="1"/>
  <c r="X1497" i="2"/>
  <c r="X1573" i="4"/>
  <c r="Z1576" i="1"/>
  <c r="Z1573" i="5" s="1"/>
  <c r="V1498" i="2"/>
  <c r="V1574" i="4"/>
  <c r="W1577" i="1"/>
  <c r="W1574" i="5" s="1"/>
  <c r="X1499" i="2"/>
  <c r="X1575" i="4"/>
  <c r="Z1578" i="1"/>
  <c r="Z1575" i="5" s="1"/>
  <c r="V1500" i="2"/>
  <c r="V1576" i="4"/>
  <c r="W1579" i="1"/>
  <c r="W1576" i="5" s="1"/>
  <c r="X1577" i="4"/>
  <c r="X1501" i="2"/>
  <c r="Z1580" i="1"/>
  <c r="Z1577" i="5" s="1"/>
  <c r="V1502" i="2"/>
  <c r="V1578" i="4"/>
  <c r="W1581" i="1"/>
  <c r="W1578" i="5" s="1"/>
  <c r="X1503" i="2"/>
  <c r="X1579" i="4"/>
  <c r="Z1582" i="1"/>
  <c r="Z1579" i="5" s="1"/>
  <c r="V1504" i="2"/>
  <c r="V1580" i="4"/>
  <c r="W1583" i="1"/>
  <c r="W1580" i="5" s="1"/>
  <c r="X1505" i="2"/>
  <c r="X1581" i="4"/>
  <c r="Z1584" i="1"/>
  <c r="Z1581" i="5" s="1"/>
  <c r="V1506" i="2"/>
  <c r="V1582" i="4"/>
  <c r="W1585" i="1"/>
  <c r="W1582" i="5" s="1"/>
  <c r="X1507" i="2"/>
  <c r="X1583" i="4"/>
  <c r="Z1586" i="1"/>
  <c r="Z1583" i="5" s="1"/>
  <c r="V1508" i="2"/>
  <c r="V1584" i="4"/>
  <c r="W1587" i="1"/>
  <c r="W1584" i="5" s="1"/>
  <c r="X1509" i="2"/>
  <c r="X1585" i="4"/>
  <c r="Z1588" i="1"/>
  <c r="Z1585" i="5" s="1"/>
  <c r="V1510" i="2"/>
  <c r="V1586" i="4"/>
  <c r="W1589" i="1"/>
  <c r="W1586" i="5" s="1"/>
  <c r="V1535" i="2"/>
  <c r="V1616" i="4"/>
  <c r="W1619" i="1"/>
  <c r="W1616" i="5" s="1"/>
  <c r="V1541" i="2"/>
  <c r="V1622" i="4"/>
  <c r="W1625" i="1"/>
  <c r="W1622" i="5" s="1"/>
  <c r="V1564" i="2"/>
  <c r="V1647" i="4"/>
  <c r="W1650" i="1"/>
  <c r="W1647" i="5" s="1"/>
  <c r="V1569" i="2"/>
  <c r="V1652" i="4"/>
  <c r="W1655" i="1"/>
  <c r="W1652" i="5" s="1"/>
  <c r="W1659" i="1"/>
  <c r="V1656" i="4"/>
  <c r="Z1657" i="2"/>
  <c r="Z1748" i="4"/>
  <c r="AA1663" i="2"/>
  <c r="AA1754" i="4"/>
  <c r="AB1758" i="1"/>
  <c r="AB1754" i="5" s="1"/>
  <c r="M1703" i="2"/>
  <c r="M1794" i="4"/>
  <c r="AA1798" i="1"/>
  <c r="AA1794" i="5" s="1"/>
  <c r="U1715" i="2"/>
  <c r="U1807" i="4"/>
  <c r="X1717" i="2"/>
  <c r="Z1813" i="1"/>
  <c r="Z1717" i="2" s="1"/>
  <c r="Q1719" i="2"/>
  <c r="Q1811" i="4"/>
  <c r="AA1721" i="2"/>
  <c r="AA1813" i="4"/>
  <c r="AB1817" i="1"/>
  <c r="AB1813" i="5" s="1"/>
  <c r="M1722" i="2"/>
  <c r="M1814" i="4"/>
  <c r="AA1818" i="1"/>
  <c r="AA1814" i="5" s="1"/>
  <c r="M1725" i="2"/>
  <c r="M1817" i="4"/>
  <c r="AA1821" i="1"/>
  <c r="AA1817" i="5" s="1"/>
  <c r="U1734" i="2"/>
  <c r="U1826" i="4"/>
  <c r="U1847" i="1"/>
  <c r="AA1745" i="2"/>
  <c r="AA1839" i="4"/>
  <c r="AB1843" i="1"/>
  <c r="AB1839" i="5" s="1"/>
  <c r="J1755" i="2"/>
  <c r="J1849" i="4"/>
  <c r="AA1995" i="4"/>
  <c r="AB1999" i="1"/>
  <c r="AA2004" i="4"/>
  <c r="AB2008" i="1"/>
  <c r="X2106" i="4"/>
  <c r="Z2110" i="1"/>
  <c r="M2147" i="4"/>
  <c r="AA2151" i="1"/>
  <c r="AA2147" i="5" s="1"/>
  <c r="M2151" i="4"/>
  <c r="AA2155" i="1"/>
  <c r="AA2151" i="5" s="1"/>
  <c r="M2188" i="4"/>
  <c r="AA2192" i="1"/>
  <c r="AA2188" i="5" s="1"/>
  <c r="M2241" i="4"/>
  <c r="AA2245" i="1"/>
  <c r="AA2241" i="5" s="1"/>
  <c r="M2257" i="4"/>
  <c r="AA2261" i="1"/>
  <c r="AA2257" i="5" s="1"/>
  <c r="M2259" i="4"/>
  <c r="AA2263" i="1"/>
  <c r="AA2259" i="5" s="1"/>
  <c r="M2354" i="4"/>
  <c r="AA2360" i="1"/>
  <c r="AA2354" i="5" s="1"/>
  <c r="M2356" i="4"/>
  <c r="AA2362" i="1"/>
  <c r="AA2356" i="5" s="1"/>
  <c r="M2363" i="4"/>
  <c r="AA2369" i="1"/>
  <c r="AA2363" i="5" s="1"/>
  <c r="AA2545" i="4"/>
  <c r="AB2553" i="1"/>
  <c r="V2549" i="4"/>
  <c r="W2557" i="1"/>
  <c r="V2551" i="4"/>
  <c r="W2559" i="1"/>
  <c r="M2563" i="4"/>
  <c r="AA2571" i="1"/>
  <c r="AA2563" i="5" s="1"/>
  <c r="AA2573" i="4"/>
  <c r="AB2581" i="1"/>
  <c r="AB2573" i="5" s="1"/>
  <c r="M2695" i="4"/>
  <c r="AA2703" i="1"/>
  <c r="AA2695" i="5" s="1"/>
  <c r="V2696" i="4"/>
  <c r="W2704" i="1"/>
  <c r="AA2811" i="1"/>
  <c r="AA2853" i="1"/>
  <c r="H307" i="2"/>
  <c r="H320" i="4"/>
  <c r="X320" i="4" s="1"/>
  <c r="Z320" i="4" s="1"/>
  <c r="M321" i="1"/>
  <c r="M320" i="5" s="1"/>
  <c r="J321" i="1"/>
  <c r="J320" i="5" s="1"/>
  <c r="X321" i="1"/>
  <c r="V464" i="2"/>
  <c r="V2616" i="2" s="1"/>
  <c r="V2686" i="2" s="1"/>
  <c r="V484" i="4"/>
  <c r="W485" i="1"/>
  <c r="W484" i="5" s="1"/>
  <c r="V2781" i="1"/>
  <c r="M552" i="2"/>
  <c r="M573" i="4"/>
  <c r="AA572" i="1"/>
  <c r="AA573" i="5" s="1"/>
  <c r="W622" i="2"/>
  <c r="W650" i="4"/>
  <c r="X675" i="2"/>
  <c r="Z705" i="1"/>
  <c r="Z675" i="2" s="1"/>
  <c r="M787" i="2"/>
  <c r="M821" i="4"/>
  <c r="AA821" i="1"/>
  <c r="AA821" i="5" s="1"/>
  <c r="AA888" i="2"/>
  <c r="AA931" i="4"/>
  <c r="AB931" i="1"/>
  <c r="AB931" i="5" s="1"/>
  <c r="X954" i="2"/>
  <c r="Z998" i="1"/>
  <c r="Z954" i="2" s="1"/>
  <c r="M958" i="2"/>
  <c r="M1001" i="4"/>
  <c r="AA1002" i="1"/>
  <c r="AA1001" i="5" s="1"/>
  <c r="J1157" i="2"/>
  <c r="J1211" i="4"/>
  <c r="W1286" i="4"/>
  <c r="W1223" i="2"/>
  <c r="X1226" i="2"/>
  <c r="Z1290" i="1"/>
  <c r="Z1226" i="2" s="1"/>
  <c r="U1228" i="2"/>
  <c r="U1291" i="4"/>
  <c r="M1231" i="2"/>
  <c r="M1294" i="4"/>
  <c r="AA1295" i="1"/>
  <c r="AA1294" i="5" s="1"/>
  <c r="W1379" i="2"/>
  <c r="W1450" i="4"/>
  <c r="W1385" i="2"/>
  <c r="W1456" i="4"/>
  <c r="W1390" i="2"/>
  <c r="W1462" i="4"/>
  <c r="U1602" i="2"/>
  <c r="U1694" i="4"/>
  <c r="AA1697" i="1"/>
  <c r="AA1694" i="5" s="1"/>
  <c r="AB1615" i="2"/>
  <c r="AB1707" i="4"/>
  <c r="E1973" i="1"/>
  <c r="E2914" i="1" s="1"/>
  <c r="Z1762" i="1"/>
  <c r="M1920" i="4"/>
  <c r="AA1924" i="1"/>
  <c r="AA1920" i="5" s="1"/>
  <c r="P2019" i="4"/>
  <c r="X2019" i="4" s="1"/>
  <c r="Z2019" i="4" s="1"/>
  <c r="U2023" i="1"/>
  <c r="U2019" i="5" s="1"/>
  <c r="X2023" i="1"/>
  <c r="Z2023" i="1" s="1"/>
  <c r="V2023" i="1"/>
  <c r="P2041" i="1"/>
  <c r="V2077" i="4"/>
  <c r="W2081" i="1"/>
  <c r="Q2086" i="4"/>
  <c r="Q2112" i="4" s="1"/>
  <c r="Q2116" i="1"/>
  <c r="X2087" i="4"/>
  <c r="Z2091" i="1"/>
  <c r="M2100" i="4"/>
  <c r="AA2104" i="1"/>
  <c r="AA2100" i="5" s="1"/>
  <c r="M2116" i="4"/>
  <c r="AA2120" i="1"/>
  <c r="AA2116" i="5" s="1"/>
  <c r="M2279" i="4"/>
  <c r="AA2283" i="1"/>
  <c r="AA2279" i="5" s="1"/>
  <c r="AA2305" i="4"/>
  <c r="AB2311" i="1"/>
  <c r="M2400" i="4"/>
  <c r="AA2406" i="1"/>
  <c r="AA2400" i="5" s="1"/>
  <c r="V2454" i="4"/>
  <c r="W2462" i="1"/>
  <c r="W2454" i="5" s="1"/>
  <c r="V2478" i="1"/>
  <c r="V2475" i="4"/>
  <c r="W2483" i="1"/>
  <c r="H2518" i="4"/>
  <c r="X2518" i="4" s="1"/>
  <c r="Z2518" i="4" s="1"/>
  <c r="X2526" i="1"/>
  <c r="M2526" i="1"/>
  <c r="M2518" i="5" s="1"/>
  <c r="H2543" i="1"/>
  <c r="V2526" i="1"/>
  <c r="V2518" i="5" s="1"/>
  <c r="AA2656" i="4"/>
  <c r="AB2664" i="1"/>
  <c r="M2681" i="4"/>
  <c r="AA2689" i="1"/>
  <c r="AA2681" i="5" s="1"/>
  <c r="X805" i="2"/>
  <c r="Z840" i="1"/>
  <c r="Z805" i="2" s="1"/>
  <c r="X815" i="2"/>
  <c r="Z850" i="1"/>
  <c r="AB859" i="2"/>
  <c r="AB899" i="4"/>
  <c r="AA859" i="2"/>
  <c r="AA899" i="4"/>
  <c r="U959" i="2"/>
  <c r="U1002" i="4"/>
  <c r="AB1012" i="2"/>
  <c r="AB1057" i="4"/>
  <c r="V1125" i="2"/>
  <c r="V1176" i="4"/>
  <c r="W1177" i="1"/>
  <c r="W1176" i="5" s="1"/>
  <c r="AA1688" i="2"/>
  <c r="AA1779" i="4"/>
  <c r="AB1783" i="1"/>
  <c r="AB1779" i="5" s="1"/>
  <c r="M1778" i="2"/>
  <c r="M1874" i="4"/>
  <c r="AA1878" i="1"/>
  <c r="AA1874" i="5" s="1"/>
  <c r="M2178" i="4"/>
  <c r="AA2182" i="1"/>
  <c r="AA2178" i="5" s="1"/>
  <c r="M2198" i="1"/>
  <c r="AA2233" i="4"/>
  <c r="AB2237" i="1"/>
  <c r="M2459" i="4"/>
  <c r="AA2467" i="1"/>
  <c r="AA2459" i="5" s="1"/>
  <c r="W2502" i="4"/>
  <c r="M2530" i="4"/>
  <c r="AA2538" i="1"/>
  <c r="AA2530" i="5" s="1"/>
  <c r="U2543" i="4"/>
  <c r="AA2551" i="1"/>
  <c r="AA2543" i="5" s="1"/>
  <c r="V2576" i="4"/>
  <c r="W2584" i="1"/>
  <c r="X2579" i="4"/>
  <c r="Z2587" i="1"/>
  <c r="Z2610" i="4"/>
  <c r="Z2620" i="1"/>
  <c r="M2738" i="4"/>
  <c r="AA2746" i="1"/>
  <c r="AA2738" i="5" s="1"/>
  <c r="X826" i="2"/>
  <c r="Z861" i="1"/>
  <c r="Z826" i="2" s="1"/>
  <c r="X851" i="2"/>
  <c r="Z891" i="1"/>
  <c r="Z851" i="2" s="1"/>
  <c r="U961" i="2"/>
  <c r="U1004" i="4"/>
  <c r="W1077" i="2"/>
  <c r="W1127" i="4"/>
  <c r="W1311" i="2"/>
  <c r="W1380" i="4"/>
  <c r="X1319" i="2"/>
  <c r="Z1389" i="1"/>
  <c r="Z1319" i="2" s="1"/>
  <c r="V1328" i="2"/>
  <c r="V1398" i="4"/>
  <c r="W1399" i="1"/>
  <c r="W1398" i="5" s="1"/>
  <c r="AA1393" i="2"/>
  <c r="AA1469" i="4"/>
  <c r="AB1470" i="1"/>
  <c r="AB1469" i="5" s="1"/>
  <c r="X1684" i="2"/>
  <c r="Z1779" i="1"/>
  <c r="Z1684" i="2" s="1"/>
  <c r="X1686" i="2"/>
  <c r="Z1781" i="1"/>
  <c r="Z1686" i="2" s="1"/>
  <c r="M1697" i="2"/>
  <c r="M1788" i="4"/>
  <c r="AA1792" i="1"/>
  <c r="AA1788" i="5" s="1"/>
  <c r="U1758" i="2"/>
  <c r="U1852" i="4"/>
  <c r="AA1856" i="1"/>
  <c r="AA1852" i="5" s="1"/>
  <c r="V2617" i="4"/>
  <c r="W2625" i="1"/>
  <c r="AA2641" i="4"/>
  <c r="AB2649" i="1"/>
  <c r="AB2829" i="1"/>
  <c r="AB1088" i="2"/>
  <c r="AB1138" i="4"/>
  <c r="X1253" i="2"/>
  <c r="Z1317" i="1"/>
  <c r="Z1253" i="2" s="1"/>
  <c r="U1270" i="2"/>
  <c r="U1335" i="4"/>
  <c r="AA1336" i="1"/>
  <c r="AA1335" i="5" s="1"/>
  <c r="V2000" i="4"/>
  <c r="W2004" i="1"/>
  <c r="X2458" i="4"/>
  <c r="Z2466" i="1"/>
  <c r="X2466" i="4"/>
  <c r="Z2474" i="1"/>
  <c r="AA2468" i="4"/>
  <c r="AB2476" i="1"/>
  <c r="V2575" i="4"/>
  <c r="W2583" i="1"/>
  <c r="X2595" i="4"/>
  <c r="Z2603" i="1"/>
  <c r="M2651" i="4"/>
  <c r="AA2659" i="1"/>
  <c r="AA2651" i="5" s="1"/>
  <c r="AB2827" i="1"/>
  <c r="V2732" i="4"/>
  <c r="W2740" i="1"/>
  <c r="Q758" i="2"/>
  <c r="Q791" i="4"/>
  <c r="U758" i="2"/>
  <c r="U791" i="4"/>
  <c r="AA791" i="1"/>
  <c r="AA791" i="5" s="1"/>
  <c r="Q795" i="2"/>
  <c r="Q829" i="4"/>
  <c r="Q844" i="1"/>
  <c r="U795" i="2"/>
  <c r="U829" i="4"/>
  <c r="AA829" i="1"/>
  <c r="AA829" i="5" s="1"/>
  <c r="AB796" i="2"/>
  <c r="AB830" i="4"/>
  <c r="W958" i="2"/>
  <c r="W1001" i="4"/>
  <c r="W1026" i="2"/>
  <c r="W1073" i="4"/>
  <c r="X1083" i="2"/>
  <c r="Z1134" i="1"/>
  <c r="Z1083" i="2" s="1"/>
  <c r="J1372" i="2"/>
  <c r="J1443" i="4"/>
  <c r="Q1382" i="2"/>
  <c r="Q1453" i="4"/>
  <c r="Q1391" i="2"/>
  <c r="Q1463" i="4"/>
  <c r="M1409" i="2"/>
  <c r="M1485" i="4"/>
  <c r="AA1486" i="1"/>
  <c r="AA1485" i="5" s="1"/>
  <c r="H1459" i="2"/>
  <c r="H1464" i="2" s="1"/>
  <c r="H1536" i="4"/>
  <c r="X1536" i="4" s="1"/>
  <c r="Z1536" i="4" s="1"/>
  <c r="M1537" i="1"/>
  <c r="J1537" i="1"/>
  <c r="J1536" i="5" s="1"/>
  <c r="J1541" i="5" s="1"/>
  <c r="X1537" i="1"/>
  <c r="V1537" i="1"/>
  <c r="V1536" i="5" s="1"/>
  <c r="X1462" i="2"/>
  <c r="Z1540" i="1"/>
  <c r="Z1462" i="2" s="1"/>
  <c r="Q1713" i="2"/>
  <c r="Q1805" i="4"/>
  <c r="Q1824" i="1"/>
  <c r="AA2056" i="4"/>
  <c r="AB2060" i="1"/>
  <c r="M2163" i="4"/>
  <c r="AA2167" i="1"/>
  <c r="AA2163" i="5" s="1"/>
  <c r="AA2277" i="4"/>
  <c r="AB2281" i="1"/>
  <c r="M2286" i="4"/>
  <c r="AA2290" i="1"/>
  <c r="AA2286" i="5" s="1"/>
  <c r="AA2438" i="4"/>
  <c r="AB2444" i="1"/>
  <c r="V2456" i="4"/>
  <c r="W2464" i="1"/>
  <c r="V2619" i="4"/>
  <c r="W2627" i="1"/>
  <c r="W2619" i="5" s="1"/>
  <c r="V2851" i="1"/>
  <c r="M2796" i="1"/>
  <c r="X2796" i="1"/>
  <c r="Z2796" i="1" s="1"/>
  <c r="H2862" i="1"/>
  <c r="AB2860" i="1"/>
  <c r="AA1022" i="2"/>
  <c r="AA1069" i="4"/>
  <c r="AB1070" i="1"/>
  <c r="AB1069" i="5" s="1"/>
  <c r="X1086" i="2"/>
  <c r="Z1137" i="1"/>
  <c r="Z1086" i="2" s="1"/>
  <c r="X1339" i="2"/>
  <c r="Z1410" i="1"/>
  <c r="Z1339" i="2" s="1"/>
  <c r="M1365" i="2"/>
  <c r="M1436" i="4"/>
  <c r="AA1437" i="1"/>
  <c r="AA1436" i="5" s="1"/>
  <c r="X1368" i="2"/>
  <c r="Z1440" i="1"/>
  <c r="Z1368" i="2" s="1"/>
  <c r="Q1384" i="2"/>
  <c r="Q1455" i="4"/>
  <c r="K1420" i="2"/>
  <c r="M1737" i="2"/>
  <c r="M1829" i="4"/>
  <c r="AA1833" i="1"/>
  <c r="AA1829" i="5" s="1"/>
  <c r="X1744" i="2"/>
  <c r="Z1840" i="1"/>
  <c r="Z1744" i="2" s="1"/>
  <c r="U1762" i="2"/>
  <c r="U1856" i="4"/>
  <c r="Q1893" i="4"/>
  <c r="Q1794" i="2"/>
  <c r="V1990" i="4"/>
  <c r="V2015" i="1"/>
  <c r="H2512" i="4"/>
  <c r="X2512" i="4" s="1"/>
  <c r="Z2512" i="4" s="1"/>
  <c r="M2520" i="1"/>
  <c r="M2512" i="5" s="1"/>
  <c r="X2520" i="1"/>
  <c r="Z2520" i="1" s="1"/>
  <c r="H2523" i="1"/>
  <c r="H2575" i="1" s="1"/>
  <c r="H2922" i="1" s="1"/>
  <c r="AA2521" i="4"/>
  <c r="AB2529" i="1"/>
  <c r="V2524" i="4"/>
  <c r="W2532" i="1"/>
  <c r="V2531" i="4"/>
  <c r="W2539" i="1"/>
  <c r="M995" i="2"/>
  <c r="M1040" i="4"/>
  <c r="AA1041" i="1"/>
  <c r="AA1040" i="5" s="1"/>
  <c r="X1060" i="2"/>
  <c r="Z1110" i="1"/>
  <c r="W1367" i="2"/>
  <c r="W1438" i="4"/>
  <c r="H1637" i="4"/>
  <c r="X1637" i="4" s="1"/>
  <c r="H1554" i="2"/>
  <c r="H1556" i="2" s="1"/>
  <c r="X1640" i="1"/>
  <c r="M1640" i="1"/>
  <c r="M1637" i="5" s="1"/>
  <c r="V1640" i="1"/>
  <c r="H1642" i="1"/>
  <c r="M2325" i="4"/>
  <c r="AA2331" i="1"/>
  <c r="AA2325" i="5" s="1"/>
  <c r="M2386" i="4"/>
  <c r="AA2392" i="1"/>
  <c r="AA2386" i="5" s="1"/>
  <c r="M2393" i="4"/>
  <c r="AA2399" i="1"/>
  <c r="AA2393" i="5" s="1"/>
  <c r="M2463" i="4"/>
  <c r="AA2471" i="1"/>
  <c r="AA2463" i="5" s="1"/>
  <c r="V2483" i="4"/>
  <c r="W2491" i="1"/>
  <c r="M2633" i="4"/>
  <c r="AA2641" i="1"/>
  <c r="AA2633" i="5" s="1"/>
  <c r="U2654" i="4"/>
  <c r="AA2662" i="1"/>
  <c r="AA2654" i="5" s="1"/>
  <c r="X2668" i="4"/>
  <c r="Z2676" i="1"/>
  <c r="W1636" i="2"/>
  <c r="W1728" i="4"/>
  <c r="X1149" i="4"/>
  <c r="Z1149" i="4" s="1"/>
  <c r="X1533" i="4"/>
  <c r="Z1533" i="4" s="1"/>
  <c r="X1157" i="4"/>
  <c r="Z1157" i="4" s="1"/>
  <c r="J615" i="2"/>
  <c r="G1466" i="2"/>
  <c r="G2734" i="2" s="1"/>
  <c r="J2118" i="2"/>
  <c r="U2021" i="2"/>
  <c r="Q2294" i="2"/>
  <c r="U1847" i="2"/>
  <c r="Q2165" i="2"/>
  <c r="Q2277" i="2"/>
  <c r="Y132" i="4"/>
  <c r="Y2901" i="4" s="1"/>
  <c r="Y2932" i="4" s="1"/>
  <c r="J1847" i="2"/>
  <c r="G2081" i="4"/>
  <c r="G2919" i="4" s="1"/>
  <c r="O1865" i="2"/>
  <c r="O2738" i="2" s="1"/>
  <c r="U2338" i="2"/>
  <c r="V2428" i="2"/>
  <c r="X163" i="4"/>
  <c r="G1739" i="4"/>
  <c r="G2915" i="4" s="1"/>
  <c r="J2188" i="2"/>
  <c r="M2312" i="2"/>
  <c r="X363" i="4"/>
  <c r="Z363" i="4" s="1"/>
  <c r="F398" i="4"/>
  <c r="X114" i="4"/>
  <c r="Z114" i="4" s="1"/>
  <c r="X196" i="4"/>
  <c r="Z196" i="4" s="1"/>
  <c r="X416" i="4"/>
  <c r="Q640" i="4"/>
  <c r="Q2907" i="4" s="1"/>
  <c r="X225" i="4"/>
  <c r="Z225" i="4" s="1"/>
  <c r="X277" i="4"/>
  <c r="X451" i="4"/>
  <c r="X461" i="4"/>
  <c r="Z461" i="4" s="1"/>
  <c r="X659" i="4"/>
  <c r="X63" i="4"/>
  <c r="Z63" i="4" s="1"/>
  <c r="X201" i="4"/>
  <c r="Z201" i="4" s="1"/>
  <c r="X339" i="4"/>
  <c r="Z339" i="4" s="1"/>
  <c r="T2294" i="4"/>
  <c r="T2921" i="4" s="1"/>
  <c r="X466" i="4"/>
  <c r="Z466" i="4" s="1"/>
  <c r="X468" i="4"/>
  <c r="Z468" i="4" s="1"/>
  <c r="X550" i="4"/>
  <c r="Z550" i="4" s="1"/>
  <c r="S226" i="2"/>
  <c r="T615" i="2"/>
  <c r="T2728" i="2" s="1"/>
  <c r="Q615" i="2"/>
  <c r="L918" i="2"/>
  <c r="L2730" i="2" s="1"/>
  <c r="G615" i="2"/>
  <c r="G2728" i="2" s="1"/>
  <c r="Y1865" i="2"/>
  <c r="Q1863" i="2"/>
  <c r="AA1860" i="2"/>
  <c r="Z1820" i="2"/>
  <c r="W1886" i="2"/>
  <c r="W1904" i="2" s="1"/>
  <c r="U1927" i="2"/>
  <c r="P2167" i="2"/>
  <c r="P2742" i="2" s="1"/>
  <c r="S1137" i="2"/>
  <c r="S2732" i="2" s="1"/>
  <c r="AA1839" i="2"/>
  <c r="AB1839" i="2" s="1"/>
  <c r="H1967" i="2"/>
  <c r="H2740" i="2" s="1"/>
  <c r="M2137" i="2"/>
  <c r="AB2214" i="2"/>
  <c r="U2637" i="2"/>
  <c r="AA2637" i="2" s="1"/>
  <c r="AB2637" i="2" s="1"/>
  <c r="J1137" i="2"/>
  <c r="J2732" i="2" s="1"/>
  <c r="V2385" i="2"/>
  <c r="N961" i="4"/>
  <c r="N2909" i="4" s="1"/>
  <c r="G1190" i="4"/>
  <c r="G2911" i="4" s="1"/>
  <c r="M2072" i="2"/>
  <c r="G961" i="4"/>
  <c r="G2909" i="4" s="1"/>
  <c r="U2118" i="2"/>
  <c r="P2314" i="2"/>
  <c r="P2744" i="2" s="1"/>
  <c r="S1190" i="4"/>
  <c r="S2911" i="4" s="1"/>
  <c r="L1543" i="4"/>
  <c r="L2913" i="4" s="1"/>
  <c r="Z2277" i="2"/>
  <c r="M2338" i="2"/>
  <c r="V2592" i="2"/>
  <c r="U2511" i="2"/>
  <c r="U2748" i="2" s="1"/>
  <c r="K132" i="4"/>
  <c r="L237" i="4"/>
  <c r="L2903" i="4" s="1"/>
  <c r="T421" i="4"/>
  <c r="T2905" i="4" s="1"/>
  <c r="V1969" i="4"/>
  <c r="V2917" i="4" s="1"/>
  <c r="AA2132" i="2"/>
  <c r="AB2132" i="2" s="1"/>
  <c r="E2594" i="2"/>
  <c r="E2750" i="2" s="1"/>
  <c r="V2338" i="2"/>
  <c r="X118" i="4"/>
  <c r="Z118" i="4" s="1"/>
  <c r="K1739" i="4"/>
  <c r="K2915" i="4" s="1"/>
  <c r="P2430" i="2"/>
  <c r="P2746" i="2" s="1"/>
  <c r="H41" i="2"/>
  <c r="H142" i="2"/>
  <c r="P224" i="2"/>
  <c r="E224" i="2"/>
  <c r="F250" i="2"/>
  <c r="H268" i="2"/>
  <c r="P299" i="2"/>
  <c r="X356" i="4"/>
  <c r="Z356" i="4" s="1"/>
  <c r="H87" i="2"/>
  <c r="H158" i="2"/>
  <c r="P401" i="2"/>
  <c r="X346" i="4"/>
  <c r="Z346" i="4" s="1"/>
  <c r="Y1969" i="4"/>
  <c r="I2294" i="4"/>
  <c r="I2921" i="4" s="1"/>
  <c r="O2567" i="4"/>
  <c r="O2925" i="4" s="1"/>
  <c r="H2314" i="2"/>
  <c r="H2744" i="2" s="1"/>
  <c r="X2312" i="2"/>
  <c r="N21" i="2"/>
  <c r="X173" i="4"/>
  <c r="Z173" i="4" s="1"/>
  <c r="X177" i="4"/>
  <c r="Z177" i="4" s="1"/>
  <c r="F208" i="4"/>
  <c r="X217" i="4"/>
  <c r="Z217" i="4" s="1"/>
  <c r="F422" i="1"/>
  <c r="F2902" i="1" s="1"/>
  <c r="X322" i="4"/>
  <c r="Z322" i="4" s="1"/>
  <c r="X372" i="4"/>
  <c r="Z372" i="4" s="1"/>
  <c r="O1969" i="4"/>
  <c r="O2917" i="4" s="1"/>
  <c r="H2165" i="2"/>
  <c r="H2167" i="2" s="1"/>
  <c r="H2742" i="2" s="1"/>
  <c r="X2742" i="2" s="1"/>
  <c r="Z2742" i="2" s="1"/>
  <c r="AA2193" i="2"/>
  <c r="AB2193" i="2" s="1"/>
  <c r="X53" i="4"/>
  <c r="Z53" i="4" s="1"/>
  <c r="X57" i="4"/>
  <c r="Z57" i="4" s="1"/>
  <c r="X61" i="4"/>
  <c r="Z61" i="4" s="1"/>
  <c r="AA78" i="1"/>
  <c r="AA78" i="5" s="1"/>
  <c r="X96" i="4"/>
  <c r="Z96" i="4" s="1"/>
  <c r="X98" i="4"/>
  <c r="Z98" i="4" s="1"/>
  <c r="X100" i="4"/>
  <c r="Z100" i="4" s="1"/>
  <c r="X102" i="4"/>
  <c r="Z102" i="4" s="1"/>
  <c r="Z272" i="1"/>
  <c r="Z271" i="5" s="1"/>
  <c r="F312" i="4"/>
  <c r="H399" i="1"/>
  <c r="F446" i="4"/>
  <c r="AA434" i="1"/>
  <c r="AA433" i="5" s="1"/>
  <c r="L2448" i="4"/>
  <c r="L2923" i="4" s="1"/>
  <c r="S2567" i="4"/>
  <c r="S2925" i="4" s="1"/>
  <c r="X72" i="4"/>
  <c r="Z72" i="4" s="1"/>
  <c r="X351" i="4"/>
  <c r="Z351" i="4" s="1"/>
  <c r="Z376" i="4"/>
  <c r="X409" i="4"/>
  <c r="P453" i="2"/>
  <c r="P467" i="2"/>
  <c r="P515" i="2"/>
  <c r="H549" i="2"/>
  <c r="E633" i="2"/>
  <c r="X391" i="4"/>
  <c r="Z391" i="4" s="1"/>
  <c r="R2567" i="4"/>
  <c r="R2925" i="4" s="1"/>
  <c r="X1190" i="4"/>
  <c r="X2911" i="4" s="1"/>
  <c r="W79" i="1"/>
  <c r="W79" i="5" s="1"/>
  <c r="AA196" i="1"/>
  <c r="AA196" i="5" s="1"/>
  <c r="X269" i="4"/>
  <c r="F333" i="4"/>
  <c r="X484" i="4"/>
  <c r="Z484" i="4" s="1"/>
  <c r="X503" i="4"/>
  <c r="Z503" i="4" s="1"/>
  <c r="X543" i="4"/>
  <c r="Z543" i="4" s="1"/>
  <c r="X581" i="4"/>
  <c r="Z581" i="4" s="1"/>
  <c r="X616" i="4"/>
  <c r="Z616" i="4" s="1"/>
  <c r="X656" i="4"/>
  <c r="X698" i="4"/>
  <c r="Z698" i="4" s="1"/>
  <c r="X722" i="4"/>
  <c r="Z722" i="4" s="1"/>
  <c r="X762" i="4"/>
  <c r="Z762" i="4" s="1"/>
  <c r="X770" i="4"/>
  <c r="Z770" i="4" s="1"/>
  <c r="X772" i="4"/>
  <c r="Z772" i="4" s="1"/>
  <c r="AA76" i="1"/>
  <c r="AA76" i="5" s="1"/>
  <c r="AA1071" i="1"/>
  <c r="AA1070" i="5" s="1"/>
  <c r="AA1117" i="1"/>
  <c r="AA1116" i="5" s="1"/>
  <c r="P64" i="2"/>
  <c r="X66" i="4"/>
  <c r="Z66" i="4" s="1"/>
  <c r="X115" i="4"/>
  <c r="Z115" i="4" s="1"/>
  <c r="Z203" i="1"/>
  <c r="Z194" i="2" s="1"/>
  <c r="X271" i="4"/>
  <c r="AA301" i="1"/>
  <c r="AA300" i="5" s="1"/>
  <c r="W581" i="1"/>
  <c r="W582" i="5" s="1"/>
  <c r="X594" i="4"/>
  <c r="Z594" i="4" s="1"/>
  <c r="X598" i="4"/>
  <c r="Z598" i="4" s="1"/>
  <c r="W615" i="1"/>
  <c r="W616" i="5" s="1"/>
  <c r="F961" i="1"/>
  <c r="F2906" i="1" s="1"/>
  <c r="X658" i="4"/>
  <c r="X707" i="4"/>
  <c r="Z707" i="4" s="1"/>
  <c r="F756" i="4"/>
  <c r="X767" i="4"/>
  <c r="Z767" i="4" s="1"/>
  <c r="X787" i="4"/>
  <c r="Z787" i="4" s="1"/>
  <c r="X817" i="4"/>
  <c r="Z817" i="4" s="1"/>
  <c r="X899" i="4"/>
  <c r="Z899" i="4" s="1"/>
  <c r="X905" i="4"/>
  <c r="Z905" i="4" s="1"/>
  <c r="X918" i="4"/>
  <c r="Z918" i="4" s="1"/>
  <c r="X936" i="4"/>
  <c r="Z936" i="4" s="1"/>
  <c r="H1079" i="2"/>
  <c r="X1174" i="4"/>
  <c r="Z1174" i="4" s="1"/>
  <c r="F1244" i="4"/>
  <c r="X883" i="4"/>
  <c r="Z883" i="4" s="1"/>
  <c r="AA39" i="1"/>
  <c r="AA39" i="5" s="1"/>
  <c r="X405" i="4"/>
  <c r="X621" i="4"/>
  <c r="Z621" i="4" s="1"/>
  <c r="P684" i="2"/>
  <c r="F743" i="4"/>
  <c r="X727" i="4"/>
  <c r="Z727" i="4" s="1"/>
  <c r="X776" i="4"/>
  <c r="Z776" i="4" s="1"/>
  <c r="F802" i="4"/>
  <c r="X805" i="4"/>
  <c r="Z805" i="4" s="1"/>
  <c r="X806" i="4"/>
  <c r="Z806" i="4" s="1"/>
  <c r="X818" i="4"/>
  <c r="Z818" i="4" s="1"/>
  <c r="X819" i="4"/>
  <c r="Z819" i="4" s="1"/>
  <c r="X832" i="4"/>
  <c r="Z832" i="4" s="1"/>
  <c r="X847" i="4"/>
  <c r="Z847" i="4" s="1"/>
  <c r="X862" i="4"/>
  <c r="Z862" i="4" s="1"/>
  <c r="X863" i="4"/>
  <c r="Z863" i="4" s="1"/>
  <c r="X866" i="4"/>
  <c r="Z866" i="4" s="1"/>
  <c r="X870" i="4"/>
  <c r="Z870" i="4" s="1"/>
  <c r="X882" i="4"/>
  <c r="Z882" i="4" s="1"/>
  <c r="X906" i="4"/>
  <c r="Z906" i="4" s="1"/>
  <c r="X944" i="4"/>
  <c r="Z944" i="4" s="1"/>
  <c r="X945" i="4"/>
  <c r="Z945" i="4" s="1"/>
  <c r="X1004" i="4"/>
  <c r="Z1004" i="4" s="1"/>
  <c r="X1006" i="4"/>
  <c r="Z1006" i="4" s="1"/>
  <c r="V746" i="1"/>
  <c r="V746" i="5" s="1"/>
  <c r="V756" i="5" s="1"/>
  <c r="Z2294" i="4"/>
  <c r="Z2921" i="4" s="1"/>
  <c r="F125" i="2"/>
  <c r="X77" i="4"/>
  <c r="Z77" i="4" s="1"/>
  <c r="K419" i="4"/>
  <c r="AA450" i="1"/>
  <c r="AA449" i="5" s="1"/>
  <c r="AA457" i="5" s="1"/>
  <c r="M510" i="1"/>
  <c r="P968" i="2"/>
  <c r="V1066" i="1"/>
  <c r="X1082" i="4"/>
  <c r="Z1082" i="4" s="1"/>
  <c r="Z699" i="1"/>
  <c r="Z669" i="2" s="1"/>
  <c r="X519" i="4"/>
  <c r="Z519" i="4" s="1"/>
  <c r="X733" i="4"/>
  <c r="Z733" i="4" s="1"/>
  <c r="P725" i="2"/>
  <c r="X849" i="4"/>
  <c r="Z849" i="4" s="1"/>
  <c r="V947" i="4"/>
  <c r="X1151" i="4"/>
  <c r="Z1151" i="4" s="1"/>
  <c r="X1155" i="4"/>
  <c r="Z1155" i="4" s="1"/>
  <c r="X1159" i="4"/>
  <c r="Z1159" i="4" s="1"/>
  <c r="F1214" i="4"/>
  <c r="X1323" i="4"/>
  <c r="Z1323" i="4" s="1"/>
  <c r="X1336" i="4"/>
  <c r="Z1336" i="4" s="1"/>
  <c r="AA462" i="1"/>
  <c r="AA461" i="5" s="1"/>
  <c r="X1075" i="4"/>
  <c r="Z1075" i="4" s="1"/>
  <c r="X1252" i="4"/>
  <c r="Z1252" i="4" s="1"/>
  <c r="X1286" i="4"/>
  <c r="Z1286" i="4" s="1"/>
  <c r="X1360" i="4"/>
  <c r="Z1360" i="4" s="1"/>
  <c r="X1365" i="4"/>
  <c r="Z1365" i="4" s="1"/>
  <c r="AA1674" i="1"/>
  <c r="AA1671" i="5" s="1"/>
  <c r="X515" i="4"/>
  <c r="Z515" i="4" s="1"/>
  <c r="X912" i="4"/>
  <c r="Z912" i="4" s="1"/>
  <c r="P898" i="2"/>
  <c r="X1183" i="4"/>
  <c r="Z1183" i="4" s="1"/>
  <c r="E1332" i="2"/>
  <c r="P1420" i="2"/>
  <c r="P1492" i="2"/>
  <c r="P1556" i="2"/>
  <c r="P1589" i="2"/>
  <c r="P1617" i="2"/>
  <c r="P1628" i="2"/>
  <c r="H1667" i="2"/>
  <c r="H1710" i="2"/>
  <c r="F1749" i="2"/>
  <c r="X1878" i="4"/>
  <c r="Z1878" i="4" s="1"/>
  <c r="P2434" i="1"/>
  <c r="AA1445" i="1"/>
  <c r="AA1444" i="5" s="1"/>
  <c r="AA835" i="1"/>
  <c r="AA835" i="5" s="1"/>
  <c r="X1219" i="4"/>
  <c r="P1306" i="2"/>
  <c r="X1846" i="4"/>
  <c r="Z1846" i="4" s="1"/>
  <c r="X2269" i="4"/>
  <c r="Z2269" i="4" s="1"/>
  <c r="X498" i="4"/>
  <c r="Z498" i="4" s="1"/>
  <c r="X1422" i="4"/>
  <c r="Z1422" i="4" s="1"/>
  <c r="X1521" i="4"/>
  <c r="Z1521" i="4" s="1"/>
  <c r="X1612" i="4"/>
  <c r="X1871" i="4"/>
  <c r="Z1871" i="4" s="1"/>
  <c r="X1890" i="4"/>
  <c r="Z1890" i="4" s="1"/>
  <c r="V2829" i="1"/>
  <c r="AA736" i="1"/>
  <c r="AA736" i="5" s="1"/>
  <c r="X842" i="4"/>
  <c r="Z842" i="4" s="1"/>
  <c r="X1028" i="4"/>
  <c r="Z1028" i="4" s="1"/>
  <c r="X1115" i="4"/>
  <c r="Z1115" i="4" s="1"/>
  <c r="X1164" i="4"/>
  <c r="Z1164" i="4" s="1"/>
  <c r="V1206" i="1"/>
  <c r="X1225" i="4"/>
  <c r="E1246" i="2"/>
  <c r="X1515" i="4"/>
  <c r="Z1515" i="4" s="1"/>
  <c r="X1644" i="4"/>
  <c r="X1649" i="4"/>
  <c r="X1653" i="4"/>
  <c r="AA1995" i="1"/>
  <c r="AA1991" i="5" s="1"/>
  <c r="AA2003" i="1"/>
  <c r="AA1999" i="5" s="1"/>
  <c r="U2177" i="1"/>
  <c r="AB2250" i="1"/>
  <c r="AB2246" i="5" s="1"/>
  <c r="V2680" i="1"/>
  <c r="V2672" i="5" s="1"/>
  <c r="P712" i="2"/>
  <c r="AB1475" i="1"/>
  <c r="AB1474" i="5" s="1"/>
  <c r="Z2199" i="4"/>
  <c r="X2433" i="4"/>
  <c r="Z2433" i="4" s="1"/>
  <c r="X2437" i="4"/>
  <c r="Z2437" i="4" s="1"/>
  <c r="X59" i="4"/>
  <c r="Z59" i="4" s="1"/>
  <c r="X1044" i="4"/>
  <c r="Z1044" i="4" s="1"/>
  <c r="AA2207" i="1"/>
  <c r="AA2203" i="5" s="1"/>
  <c r="F2515" i="4"/>
  <c r="AA2595" i="1"/>
  <c r="AA2587" i="5" s="1"/>
  <c r="AA2660" i="1"/>
  <c r="AA2652" i="5" s="1"/>
  <c r="AB974" i="1"/>
  <c r="AB973" i="5" s="1"/>
  <c r="AA1292" i="1"/>
  <c r="AA1291" i="5" s="1"/>
  <c r="W1354" i="1"/>
  <c r="W1353" i="5" s="1"/>
  <c r="U1340" i="1"/>
  <c r="M1762" i="1"/>
  <c r="X665" i="4"/>
  <c r="Z665" i="4" s="1"/>
  <c r="X1796" i="4"/>
  <c r="Z1796" i="4" s="1"/>
  <c r="X1815" i="4"/>
  <c r="Z1815" i="4" s="1"/>
  <c r="V2549" i="1"/>
  <c r="V2541" i="5" s="1"/>
  <c r="J844" i="1"/>
  <c r="P1079" i="2"/>
  <c r="U1542" i="1"/>
  <c r="AA2147" i="1"/>
  <c r="AA2143" i="5" s="1"/>
  <c r="W450" i="2"/>
  <c r="W470" i="4"/>
  <c r="M493" i="2"/>
  <c r="M513" i="4"/>
  <c r="AA514" i="1"/>
  <c r="AA513" i="5" s="1"/>
  <c r="AA522" i="5" s="1"/>
  <c r="M523" i="1"/>
  <c r="X496" i="2"/>
  <c r="Z517" i="1"/>
  <c r="Z496" i="2" s="1"/>
  <c r="V506" i="2"/>
  <c r="V526" i="4"/>
  <c r="W527" i="1"/>
  <c r="W526" i="5" s="1"/>
  <c r="M512" i="2"/>
  <c r="M532" i="4"/>
  <c r="AA533" i="1"/>
  <c r="AA532" i="5" s="1"/>
  <c r="U595" i="2"/>
  <c r="U619" i="4"/>
  <c r="X623" i="2"/>
  <c r="Z651" i="1"/>
  <c r="Z651" i="5" s="1"/>
  <c r="V628" i="2"/>
  <c r="V656" i="4"/>
  <c r="W656" i="1"/>
  <c r="W656" i="5" s="1"/>
  <c r="J646" i="2"/>
  <c r="J674" i="4"/>
  <c r="M654" i="2"/>
  <c r="M682" i="4"/>
  <c r="AA682" i="1"/>
  <c r="AA682" i="5" s="1"/>
  <c r="X672" i="2"/>
  <c r="Z702" i="1"/>
  <c r="Z672" i="2" s="1"/>
  <c r="J687" i="2"/>
  <c r="J717" i="4"/>
  <c r="J743" i="1"/>
  <c r="V694" i="2"/>
  <c r="V724" i="4"/>
  <c r="W724" i="1"/>
  <c r="W724" i="5" s="1"/>
  <c r="AA717" i="2"/>
  <c r="AA748" i="4"/>
  <c r="AB748" i="1"/>
  <c r="AB748" i="5" s="1"/>
  <c r="V721" i="2"/>
  <c r="V752" i="4"/>
  <c r="W752" i="1"/>
  <c r="W752" i="5" s="1"/>
  <c r="M734" i="2"/>
  <c r="M765" i="4"/>
  <c r="AA765" i="1"/>
  <c r="AA765" i="5" s="1"/>
  <c r="Q738" i="2"/>
  <c r="Q769" i="4"/>
  <c r="M753" i="2"/>
  <c r="M786" i="4"/>
  <c r="AA786" i="1"/>
  <c r="AA786" i="5" s="1"/>
  <c r="V755" i="2"/>
  <c r="V788" i="4"/>
  <c r="W788" i="1"/>
  <c r="W788" i="5" s="1"/>
  <c r="V757" i="2"/>
  <c r="V790" i="4"/>
  <c r="W790" i="1"/>
  <c r="W790" i="5" s="1"/>
  <c r="W771" i="2"/>
  <c r="W805" i="4"/>
  <c r="H781" i="2"/>
  <c r="H815" i="4"/>
  <c r="X815" i="4" s="1"/>
  <c r="Z815" i="4" s="1"/>
  <c r="X815" i="1"/>
  <c r="J815" i="1"/>
  <c r="J815" i="5" s="1"/>
  <c r="M815" i="1"/>
  <c r="M815" i="5" s="1"/>
  <c r="J794" i="2"/>
  <c r="J828" i="4"/>
  <c r="M799" i="2"/>
  <c r="M833" i="4"/>
  <c r="AA833" i="1"/>
  <c r="AA833" i="5" s="1"/>
  <c r="X803" i="2"/>
  <c r="Z837" i="1"/>
  <c r="Z803" i="2" s="1"/>
  <c r="U806" i="2"/>
  <c r="U841" i="4"/>
  <c r="H823" i="2"/>
  <c r="H858" i="4"/>
  <c r="X858" i="4" s="1"/>
  <c r="Z858" i="4" s="1"/>
  <c r="X858" i="1"/>
  <c r="J858" i="1"/>
  <c r="J858" i="5" s="1"/>
  <c r="M858" i="1"/>
  <c r="M858" i="5" s="1"/>
  <c r="AA830" i="2"/>
  <c r="AA866" i="4"/>
  <c r="AB866" i="1"/>
  <c r="AB866" i="5" s="1"/>
  <c r="U839" i="2"/>
  <c r="U878" i="4"/>
  <c r="U841" i="2"/>
  <c r="U880" i="4"/>
  <c r="Q852" i="2"/>
  <c r="Q892" i="4"/>
  <c r="M913" i="4"/>
  <c r="AA913" i="1"/>
  <c r="AA913" i="5" s="1"/>
  <c r="Q875" i="2"/>
  <c r="Q918" i="4"/>
  <c r="X876" i="2"/>
  <c r="Z919" i="1"/>
  <c r="Z876" i="2" s="1"/>
  <c r="M886" i="2"/>
  <c r="M929" i="4"/>
  <c r="AA929" i="1"/>
  <c r="AA929" i="5" s="1"/>
  <c r="M895" i="2"/>
  <c r="M938" i="4"/>
  <c r="AA938" i="1"/>
  <c r="AA938" i="5" s="1"/>
  <c r="AA936" i="2"/>
  <c r="AA978" i="4"/>
  <c r="AB979" i="1"/>
  <c r="AB978" i="5" s="1"/>
  <c r="V950" i="2"/>
  <c r="V993" i="4"/>
  <c r="W994" i="1"/>
  <c r="W993" i="5" s="1"/>
  <c r="V1014" i="1"/>
  <c r="V955" i="2"/>
  <c r="V998" i="4"/>
  <c r="W999" i="1"/>
  <c r="W998" i="5" s="1"/>
  <c r="H982" i="2"/>
  <c r="H988" i="2" s="1"/>
  <c r="H1027" i="4"/>
  <c r="X1027" i="4" s="1"/>
  <c r="Z1027" i="4" s="1"/>
  <c r="M1028" i="1"/>
  <c r="M1027" i="5" s="1"/>
  <c r="M1033" i="5" s="1"/>
  <c r="X1028" i="1"/>
  <c r="X1034" i="1" s="1"/>
  <c r="M984" i="2"/>
  <c r="M1029" i="4"/>
  <c r="AA1030" i="1"/>
  <c r="AA1029" i="5" s="1"/>
  <c r="X1012" i="2"/>
  <c r="Z1058" i="1"/>
  <c r="Z1012" i="2" s="1"/>
  <c r="X1022" i="2"/>
  <c r="Z1070" i="1"/>
  <c r="Z1022" i="2" s="1"/>
  <c r="X1026" i="2"/>
  <c r="Z1074" i="1"/>
  <c r="Z1026" i="2" s="1"/>
  <c r="U1071" i="2"/>
  <c r="U1120" i="4"/>
  <c r="U1072" i="2"/>
  <c r="U1121" i="4"/>
  <c r="U1073" i="2"/>
  <c r="U1122" i="4"/>
  <c r="U1120" i="2"/>
  <c r="U1171" i="4"/>
  <c r="U1130" i="2"/>
  <c r="U1181" i="4"/>
  <c r="M1209" i="4"/>
  <c r="AA1210" i="1"/>
  <c r="AA1209" i="5" s="1"/>
  <c r="J1163" i="2"/>
  <c r="J1217" i="4"/>
  <c r="U119" i="2"/>
  <c r="U125" i="4"/>
  <c r="U26" i="2"/>
  <c r="U27" i="4"/>
  <c r="X154" i="2"/>
  <c r="Z162" i="1"/>
  <c r="Z162" i="5" s="1"/>
  <c r="I187" i="2"/>
  <c r="I195" i="4"/>
  <c r="K195" i="1"/>
  <c r="K195" i="5" s="1"/>
  <c r="AA395" i="4"/>
  <c r="AB396" i="1"/>
  <c r="X390" i="2"/>
  <c r="Z409" i="1"/>
  <c r="Z408" i="5" s="1"/>
  <c r="Z431" i="2"/>
  <c r="Z451" i="4"/>
  <c r="W440" i="2"/>
  <c r="W460" i="4"/>
  <c r="V473" i="2"/>
  <c r="V493" i="4"/>
  <c r="W494" i="1"/>
  <c r="W493" i="5" s="1"/>
  <c r="V494" i="2"/>
  <c r="V514" i="4"/>
  <c r="W515" i="1"/>
  <c r="W514" i="5" s="1"/>
  <c r="M499" i="2"/>
  <c r="M519" i="4"/>
  <c r="AA520" i="1"/>
  <c r="AA519" i="5" s="1"/>
  <c r="V510" i="2"/>
  <c r="V530" i="4"/>
  <c r="W531" i="1"/>
  <c r="W530" i="5" s="1"/>
  <c r="X558" i="2"/>
  <c r="Z578" i="1"/>
  <c r="Z558" i="2" s="1"/>
  <c r="Z608" i="2"/>
  <c r="Z633" i="4"/>
  <c r="Q669" i="2"/>
  <c r="Q699" i="4"/>
  <c r="U681" i="2"/>
  <c r="U711" i="4"/>
  <c r="AA711" i="1"/>
  <c r="AA711" i="5" s="1"/>
  <c r="W695" i="2"/>
  <c r="W725" i="4"/>
  <c r="AA695" i="2"/>
  <c r="AA725" i="4"/>
  <c r="M703" i="2"/>
  <c r="M733" i="4"/>
  <c r="AA733" i="1"/>
  <c r="AA733" i="5" s="1"/>
  <c r="M775" i="4"/>
  <c r="AA775" i="1"/>
  <c r="AA775" i="5" s="1"/>
  <c r="M745" i="2"/>
  <c r="M778" i="4"/>
  <c r="AA778" i="1"/>
  <c r="AA778" i="5" s="1"/>
  <c r="U752" i="2"/>
  <c r="U785" i="4"/>
  <c r="J757" i="2"/>
  <c r="J790" i="4"/>
  <c r="J766" i="2"/>
  <c r="J800" i="4"/>
  <c r="M774" i="2"/>
  <c r="M808" i="4"/>
  <c r="AA808" i="1"/>
  <c r="AA808" i="5" s="1"/>
  <c r="J814" i="2"/>
  <c r="J849" i="4"/>
  <c r="W844" i="2"/>
  <c r="W883" i="4"/>
  <c r="U853" i="2"/>
  <c r="U893" i="4"/>
  <c r="AA893" i="1"/>
  <c r="AA893" i="5" s="1"/>
  <c r="Q887" i="2"/>
  <c r="Q930" i="4"/>
  <c r="M910" i="2"/>
  <c r="M953" i="4"/>
  <c r="M956" i="1"/>
  <c r="AA953" i="1"/>
  <c r="AA953" i="5" s="1"/>
  <c r="X965" i="2"/>
  <c r="Z1009" i="1"/>
  <c r="Z965" i="2" s="1"/>
  <c r="X975" i="2"/>
  <c r="Z1021" i="1"/>
  <c r="Z975" i="2" s="1"/>
  <c r="V1035" i="2"/>
  <c r="V1083" i="4"/>
  <c r="W1084" i="1"/>
  <c r="W1083" i="5" s="1"/>
  <c r="X1041" i="2"/>
  <c r="Z1090" i="1"/>
  <c r="X1107" i="1"/>
  <c r="V1042" i="2"/>
  <c r="V1090" i="4"/>
  <c r="W1091" i="1"/>
  <c r="W1090" i="5" s="1"/>
  <c r="X1043" i="2"/>
  <c r="Z1092" i="1"/>
  <c r="Z1043" i="2" s="1"/>
  <c r="V1044" i="2"/>
  <c r="V1092" i="4"/>
  <c r="W1093" i="1"/>
  <c r="W1092" i="5" s="1"/>
  <c r="X1045" i="2"/>
  <c r="Z1094" i="1"/>
  <c r="Z1045" i="2" s="1"/>
  <c r="V1046" i="2"/>
  <c r="V1094" i="4"/>
  <c r="W1095" i="1"/>
  <c r="W1094" i="5" s="1"/>
  <c r="X1047" i="2"/>
  <c r="Z1096" i="1"/>
  <c r="Z1047" i="2" s="1"/>
  <c r="V1048" i="2"/>
  <c r="V1096" i="4"/>
  <c r="W1097" i="1"/>
  <c r="W1096" i="5" s="1"/>
  <c r="X1049" i="2"/>
  <c r="Z1098" i="1"/>
  <c r="Z1049" i="2" s="1"/>
  <c r="V1050" i="2"/>
  <c r="V1098" i="4"/>
  <c r="W1099" i="1"/>
  <c r="W1098" i="5" s="1"/>
  <c r="V1051" i="2"/>
  <c r="V1099" i="4"/>
  <c r="X1052" i="2"/>
  <c r="Z1101" i="1"/>
  <c r="Z1052" i="2" s="1"/>
  <c r="V1053" i="2"/>
  <c r="V1101" i="4"/>
  <c r="W1102" i="1"/>
  <c r="W1101" i="5" s="1"/>
  <c r="V1062" i="2"/>
  <c r="V1111" i="4"/>
  <c r="W1112" i="1"/>
  <c r="W1111" i="5" s="1"/>
  <c r="V1067" i="2"/>
  <c r="V1116" i="4"/>
  <c r="W1117" i="1"/>
  <c r="W1116" i="5" s="1"/>
  <c r="U1122" i="2"/>
  <c r="U1173" i="4"/>
  <c r="V1171" i="2"/>
  <c r="V1225" i="4"/>
  <c r="W1226" i="1"/>
  <c r="W1225" i="5" s="1"/>
  <c r="U1102" i="2"/>
  <c r="U1152" i="4"/>
  <c r="U1112" i="2"/>
  <c r="U1163" i="4"/>
  <c r="U1155" i="2"/>
  <c r="U1207" i="4"/>
  <c r="Q1177" i="2"/>
  <c r="Q1231" i="4"/>
  <c r="X1183" i="2"/>
  <c r="Z1243" i="1"/>
  <c r="Z1242" i="5" s="1"/>
  <c r="V1195" i="2"/>
  <c r="V1254" i="4"/>
  <c r="W1255" i="1"/>
  <c r="W1254" i="5" s="1"/>
  <c r="V1260" i="2"/>
  <c r="V1323" i="4"/>
  <c r="W1324" i="1"/>
  <c r="W1323" i="5" s="1"/>
  <c r="J1782" i="2"/>
  <c r="J1878" i="4"/>
  <c r="U1796" i="2"/>
  <c r="U1895" i="4"/>
  <c r="Q1902" i="4"/>
  <c r="Q1922" i="4" s="1"/>
  <c r="Q1926" i="1"/>
  <c r="H1911" i="4"/>
  <c r="X1911" i="4" s="1"/>
  <c r="Z1911" i="4" s="1"/>
  <c r="J1915" i="1"/>
  <c r="M1915" i="1"/>
  <c r="M1911" i="5" s="1"/>
  <c r="X1915" i="1"/>
  <c r="Z1915" i="1" s="1"/>
  <c r="M1978" i="4"/>
  <c r="AA1982" i="1"/>
  <c r="AA1978" i="5" s="1"/>
  <c r="M1982" i="4"/>
  <c r="AA1986" i="1"/>
  <c r="AA1982" i="5" s="1"/>
  <c r="H2027" i="4"/>
  <c r="X2027" i="4" s="1"/>
  <c r="Z2027" i="4" s="1"/>
  <c r="M2031" i="1"/>
  <c r="M2027" i="5" s="1"/>
  <c r="X2031" i="1"/>
  <c r="Z2031" i="1" s="1"/>
  <c r="H2034" i="4"/>
  <c r="X2034" i="4" s="1"/>
  <c r="Z2034" i="4" s="1"/>
  <c r="M2038" i="1"/>
  <c r="M2034" i="5" s="1"/>
  <c r="X2038" i="1"/>
  <c r="Z2038" i="1" s="1"/>
  <c r="U2064" i="4"/>
  <c r="U2083" i="1"/>
  <c r="AA2068" i="1"/>
  <c r="AA2064" i="5" s="1"/>
  <c r="U2068" i="4"/>
  <c r="AT2866" i="1"/>
  <c r="AA2072" i="1"/>
  <c r="AA2068" i="5" s="1"/>
  <c r="U2072" i="4"/>
  <c r="AA2076" i="1"/>
  <c r="AA2072" i="5" s="1"/>
  <c r="H2121" i="4"/>
  <c r="X2121" i="4" s="1"/>
  <c r="M2125" i="1"/>
  <c r="M2121" i="5" s="1"/>
  <c r="X2125" i="1"/>
  <c r="Z2125" i="1" s="1"/>
  <c r="J2125" i="1"/>
  <c r="H2135" i="4"/>
  <c r="X2135" i="4" s="1"/>
  <c r="M2139" i="1"/>
  <c r="M2135" i="5" s="1"/>
  <c r="J2139" i="1"/>
  <c r="X2139" i="1"/>
  <c r="Z2139" i="1" s="1"/>
  <c r="Q2141" i="4"/>
  <c r="Q2173" i="4" s="1"/>
  <c r="Q2177" i="1"/>
  <c r="H2146" i="4"/>
  <c r="X2146" i="4" s="1"/>
  <c r="Z2146" i="4" s="1"/>
  <c r="M2150" i="1"/>
  <c r="M2146" i="5" s="1"/>
  <c r="M2173" i="5" s="1"/>
  <c r="J2150" i="1"/>
  <c r="J2146" i="5" s="1"/>
  <c r="X2150" i="1"/>
  <c r="Q2176" i="4"/>
  <c r="Q2194" i="4" s="1"/>
  <c r="Q2198" i="1"/>
  <c r="M2190" i="4"/>
  <c r="AA2194" i="1"/>
  <c r="AA2190" i="5" s="1"/>
  <c r="J2246" i="4"/>
  <c r="M2283" i="4"/>
  <c r="AA2287" i="1"/>
  <c r="AA2283" i="5" s="1"/>
  <c r="Q2299" i="4"/>
  <c r="Q2313" i="4" s="1"/>
  <c r="Q2319" i="1"/>
  <c r="H2306" i="4"/>
  <c r="M2312" i="1"/>
  <c r="M2306" i="5" s="1"/>
  <c r="J2312" i="1"/>
  <c r="X2312" i="1"/>
  <c r="X2306" i="5" s="1"/>
  <c r="H2336" i="4"/>
  <c r="X2336" i="4" s="1"/>
  <c r="Z2336" i="4" s="1"/>
  <c r="M2342" i="1"/>
  <c r="M2336" i="5" s="1"/>
  <c r="X2342" i="1"/>
  <c r="Z2342" i="1" s="1"/>
  <c r="H2345" i="4"/>
  <c r="X2345" i="4" s="1"/>
  <c r="Z2345" i="4" s="1"/>
  <c r="M2351" i="1"/>
  <c r="M2345" i="5" s="1"/>
  <c r="X2351" i="1"/>
  <c r="J2351" i="1"/>
  <c r="H2406" i="4"/>
  <c r="X2406" i="4" s="1"/>
  <c r="Z2406" i="4" s="1"/>
  <c r="M2412" i="1"/>
  <c r="M2406" i="5" s="1"/>
  <c r="X2412" i="1"/>
  <c r="Z2412" i="1" s="1"/>
  <c r="J2412" i="1"/>
  <c r="Q2413" i="4"/>
  <c r="Q2434" i="1"/>
  <c r="H2527" i="4"/>
  <c r="X2527" i="4" s="1"/>
  <c r="Z2527" i="4" s="1"/>
  <c r="X2535" i="1"/>
  <c r="Z2535" i="1" s="1"/>
  <c r="M2535" i="1"/>
  <c r="M2527" i="5" s="1"/>
  <c r="M2546" i="4"/>
  <c r="AA2554" i="1"/>
  <c r="AA2546" i="5" s="1"/>
  <c r="M2549" i="4"/>
  <c r="AA2557" i="1"/>
  <c r="AA2549" i="5" s="1"/>
  <c r="M2558" i="4"/>
  <c r="AA2566" i="1"/>
  <c r="AA2558" i="5" s="1"/>
  <c r="M2562" i="4"/>
  <c r="AA2570" i="1"/>
  <c r="AA2562" i="5" s="1"/>
  <c r="M2586" i="4"/>
  <c r="AA2594" i="1"/>
  <c r="AA2586" i="5" s="1"/>
  <c r="M2642" i="4"/>
  <c r="AA2650" i="1"/>
  <c r="AA2642" i="5" s="1"/>
  <c r="M2646" i="4"/>
  <c r="AA2654" i="1"/>
  <c r="AA2646" i="5" s="1"/>
  <c r="M2665" i="4"/>
  <c r="AA2673" i="1"/>
  <c r="AA2665" i="5" s="1"/>
  <c r="M2691" i="1"/>
  <c r="M2669" i="4"/>
  <c r="AA2677" i="1"/>
  <c r="AA2669" i="5" s="1"/>
  <c r="M2674" i="4"/>
  <c r="AA2682" i="1"/>
  <c r="AA2674" i="5" s="1"/>
  <c r="M2679" i="4"/>
  <c r="AA2687" i="1"/>
  <c r="AA2679" i="5" s="1"/>
  <c r="U2689" i="4"/>
  <c r="AA2697" i="1"/>
  <c r="AA2689" i="5" s="1"/>
  <c r="U2693" i="4"/>
  <c r="AA2701" i="1"/>
  <c r="AA2693" i="5" s="1"/>
  <c r="U2709" i="4"/>
  <c r="AA2717" i="1"/>
  <c r="AA2709" i="5" s="1"/>
  <c r="U2732" i="4"/>
  <c r="U2758" i="1"/>
  <c r="U2760" i="1" s="1"/>
  <c r="U2926" i="1" s="1"/>
  <c r="M2735" i="4"/>
  <c r="AA2743" i="1"/>
  <c r="AA2735" i="5" s="1"/>
  <c r="M2739" i="4"/>
  <c r="AA2747" i="1"/>
  <c r="AA2739" i="5" s="1"/>
  <c r="M2743" i="4"/>
  <c r="AA2751" i="1"/>
  <c r="AA2743" i="5" s="1"/>
  <c r="M2746" i="4"/>
  <c r="AA2754" i="1"/>
  <c r="AA2746" i="5" s="1"/>
  <c r="X2819" i="1"/>
  <c r="Z2819" i="1" s="1"/>
  <c r="M2819" i="1"/>
  <c r="V559" i="2"/>
  <c r="V580" i="4"/>
  <c r="W579" i="1"/>
  <c r="W580" i="5" s="1"/>
  <c r="V67" i="2"/>
  <c r="V71" i="4"/>
  <c r="W71" i="1"/>
  <c r="W71" i="5" s="1"/>
  <c r="V92" i="1"/>
  <c r="K185" i="2"/>
  <c r="K193" i="4"/>
  <c r="Q193" i="1"/>
  <c r="Q193" i="5" s="1"/>
  <c r="M189" i="2"/>
  <c r="M197" i="4"/>
  <c r="AA197" i="1"/>
  <c r="AA197" i="5" s="1"/>
  <c r="U215" i="2"/>
  <c r="U224" i="4"/>
  <c r="X310" i="2"/>
  <c r="Z324" i="1"/>
  <c r="Z310" i="2" s="1"/>
  <c r="U317" i="2"/>
  <c r="U330" i="4"/>
  <c r="X329" i="2"/>
  <c r="Z343" i="1"/>
  <c r="Z329" i="2" s="1"/>
  <c r="W460" i="2"/>
  <c r="W480" i="4"/>
  <c r="W488" i="1"/>
  <c r="X492" i="2"/>
  <c r="Z513" i="1"/>
  <c r="X523" i="1"/>
  <c r="H534" i="2"/>
  <c r="H537" i="2" s="1"/>
  <c r="H553" i="4"/>
  <c r="X553" i="4" s="1"/>
  <c r="Z553" i="4" s="1"/>
  <c r="X554" i="1"/>
  <c r="M554" i="1"/>
  <c r="M553" i="5" s="1"/>
  <c r="V554" i="1"/>
  <c r="V553" i="5" s="1"/>
  <c r="H557" i="1"/>
  <c r="M556" i="2"/>
  <c r="M577" i="4"/>
  <c r="AA576" i="1"/>
  <c r="AA577" i="5" s="1"/>
  <c r="W558" i="2"/>
  <c r="W579" i="4"/>
  <c r="X581" i="2"/>
  <c r="Z604" i="1"/>
  <c r="Z581" i="2" s="1"/>
  <c r="J636" i="2"/>
  <c r="J664" i="4"/>
  <c r="U667" i="2"/>
  <c r="U697" i="4"/>
  <c r="W672" i="2"/>
  <c r="W702" i="4"/>
  <c r="U688" i="2"/>
  <c r="U718" i="4"/>
  <c r="W697" i="2"/>
  <c r="W727" i="4"/>
  <c r="V719" i="2"/>
  <c r="V750" i="4"/>
  <c r="W750" i="1"/>
  <c r="W750" i="5" s="1"/>
  <c r="U722" i="2"/>
  <c r="U753" i="4"/>
  <c r="AA733" i="2"/>
  <c r="AA764" i="4"/>
  <c r="M742" i="2"/>
  <c r="M773" i="4"/>
  <c r="AA773" i="1"/>
  <c r="AA773" i="5" s="1"/>
  <c r="M751" i="2"/>
  <c r="M784" i="4"/>
  <c r="AA784" i="1"/>
  <c r="AA784" i="5" s="1"/>
  <c r="W772" i="2"/>
  <c r="W806" i="4"/>
  <c r="V773" i="2"/>
  <c r="V807" i="4"/>
  <c r="W807" i="1"/>
  <c r="W807" i="5" s="1"/>
  <c r="U775" i="2"/>
  <c r="U809" i="4"/>
  <c r="Q776" i="2"/>
  <c r="Q810" i="4"/>
  <c r="Q782" i="2"/>
  <c r="Q816" i="4"/>
  <c r="W812" i="2"/>
  <c r="W847" i="4"/>
  <c r="H820" i="2"/>
  <c r="H833" i="2" s="1"/>
  <c r="H855" i="4"/>
  <c r="X855" i="4" s="1"/>
  <c r="Z855" i="4" s="1"/>
  <c r="J855" i="1"/>
  <c r="J855" i="5" s="1"/>
  <c r="M855" i="1"/>
  <c r="M855" i="5" s="1"/>
  <c r="X855" i="1"/>
  <c r="U821" i="2"/>
  <c r="U856" i="4"/>
  <c r="AA856" i="1"/>
  <c r="AA856" i="5" s="1"/>
  <c r="AA868" i="4"/>
  <c r="AB868" i="1"/>
  <c r="W831" i="2"/>
  <c r="W870" i="4"/>
  <c r="W847" i="2"/>
  <c r="W886" i="4"/>
  <c r="X858" i="2"/>
  <c r="Z898" i="1"/>
  <c r="AB861" i="2"/>
  <c r="AB901" i="4"/>
  <c r="V863" i="2"/>
  <c r="V903" i="4"/>
  <c r="W903" i="1"/>
  <c r="W903" i="5" s="1"/>
  <c r="U864" i="2"/>
  <c r="U904" i="4"/>
  <c r="AA866" i="2"/>
  <c r="AA906" i="4"/>
  <c r="AB906" i="1"/>
  <c r="AB906" i="5" s="1"/>
  <c r="Q868" i="2"/>
  <c r="Q908" i="4"/>
  <c r="W902" i="2"/>
  <c r="W945" i="4"/>
  <c r="X930" i="2"/>
  <c r="X972" i="4"/>
  <c r="Z973" i="1"/>
  <c r="Z972" i="5" s="1"/>
  <c r="U936" i="2"/>
  <c r="U978" i="4"/>
  <c r="X980" i="4"/>
  <c r="Z981" i="1"/>
  <c r="V952" i="2"/>
  <c r="V995" i="4"/>
  <c r="W996" i="1"/>
  <c r="W995" i="5" s="1"/>
  <c r="U962" i="2"/>
  <c r="U1005" i="4"/>
  <c r="AA973" i="2"/>
  <c r="AA1018" i="4"/>
  <c r="AB1019" i="1"/>
  <c r="AB1018" i="5" s="1"/>
  <c r="U978" i="2"/>
  <c r="U1023" i="4"/>
  <c r="V998" i="2"/>
  <c r="V1043" i="4"/>
  <c r="W1044" i="1"/>
  <c r="W1043" i="5" s="1"/>
  <c r="U1009" i="2"/>
  <c r="U1054" i="4"/>
  <c r="X1028" i="2"/>
  <c r="Z1076" i="1"/>
  <c r="Z1028" i="2" s="1"/>
  <c r="W1052" i="2"/>
  <c r="W1100" i="4"/>
  <c r="V1069" i="2"/>
  <c r="V1118" i="4"/>
  <c r="W1119" i="1"/>
  <c r="W1118" i="5" s="1"/>
  <c r="P1118" i="2"/>
  <c r="P1135" i="2" s="1"/>
  <c r="P1169" i="4"/>
  <c r="X1169" i="4" s="1"/>
  <c r="Z1169" i="4" s="1"/>
  <c r="U1170" i="1"/>
  <c r="U1169" i="5" s="1"/>
  <c r="U1188" i="5" s="1"/>
  <c r="V1170" i="1"/>
  <c r="V1169" i="5" s="1"/>
  <c r="V1188" i="5" s="1"/>
  <c r="P1188" i="1"/>
  <c r="X1170" i="1"/>
  <c r="V1122" i="2"/>
  <c r="V1173" i="4"/>
  <c r="W1174" i="1"/>
  <c r="W1173" i="5" s="1"/>
  <c r="V1127" i="2"/>
  <c r="V1178" i="4"/>
  <c r="W1179" i="1"/>
  <c r="W1178" i="5" s="1"/>
  <c r="Q1152" i="2"/>
  <c r="Q1204" i="4"/>
  <c r="U1172" i="2"/>
  <c r="U1226" i="4"/>
  <c r="AA1227" i="1"/>
  <c r="AA1226" i="5" s="1"/>
  <c r="V1180" i="2"/>
  <c r="V1234" i="4"/>
  <c r="W1235" i="1"/>
  <c r="W1234" i="5" s="1"/>
  <c r="W1191" i="2"/>
  <c r="W1250" i="4"/>
  <c r="U1204" i="2"/>
  <c r="U1263" i="4"/>
  <c r="Q1205" i="2"/>
  <c r="Q1264" i="4"/>
  <c r="X1206" i="2"/>
  <c r="Z1266" i="1"/>
  <c r="Z1206" i="2" s="1"/>
  <c r="M1232" i="2"/>
  <c r="M1295" i="4"/>
  <c r="AA1296" i="1"/>
  <c r="AA1295" i="5" s="1"/>
  <c r="V1243" i="2"/>
  <c r="V1306" i="4"/>
  <c r="W1307" i="1"/>
  <c r="W1306" i="5" s="1"/>
  <c r="W1249" i="2"/>
  <c r="W1312" i="4"/>
  <c r="J1253" i="2"/>
  <c r="J1316" i="4"/>
  <c r="U1257" i="2"/>
  <c r="U1320" i="4"/>
  <c r="M1262" i="2"/>
  <c r="M1325" i="4"/>
  <c r="AA1326" i="1"/>
  <c r="AA1325" i="5" s="1"/>
  <c r="Q1279" i="2"/>
  <c r="Q1344" i="4"/>
  <c r="U1279" i="2"/>
  <c r="U1344" i="4"/>
  <c r="U1292" i="2"/>
  <c r="U1357" i="4"/>
  <c r="J1295" i="2"/>
  <c r="J1360" i="4"/>
  <c r="V1296" i="2"/>
  <c r="V1363" i="4"/>
  <c r="V1299" i="2"/>
  <c r="V1368" i="4"/>
  <c r="W1369" i="1"/>
  <c r="W1368" i="5" s="1"/>
  <c r="V1301" i="2"/>
  <c r="V1370" i="4"/>
  <c r="W1371" i="1"/>
  <c r="W1370" i="5" s="1"/>
  <c r="V1372" i="4"/>
  <c r="V1303" i="2"/>
  <c r="W1373" i="1"/>
  <c r="W1372" i="5" s="1"/>
  <c r="Q1311" i="2"/>
  <c r="Q1380" i="4"/>
  <c r="U1311" i="2"/>
  <c r="U1380" i="4"/>
  <c r="U1322" i="2"/>
  <c r="U1391" i="4"/>
  <c r="J1336" i="2"/>
  <c r="J1406" i="4"/>
  <c r="M1340" i="2"/>
  <c r="M1410" i="4"/>
  <c r="AA1411" i="1"/>
  <c r="AA1410" i="5" s="1"/>
  <c r="V1345" i="2"/>
  <c r="V1415" i="4"/>
  <c r="X150" i="2"/>
  <c r="Z157" i="1"/>
  <c r="Z157" i="5" s="1"/>
  <c r="Z237" i="2"/>
  <c r="Z247" i="4"/>
  <c r="W465" i="2"/>
  <c r="W485" i="4"/>
  <c r="M505" i="2"/>
  <c r="M525" i="4"/>
  <c r="M536" i="1"/>
  <c r="AA526" i="1"/>
  <c r="AA525" i="5" s="1"/>
  <c r="AA535" i="5" s="1"/>
  <c r="V1192" i="2"/>
  <c r="V1251" i="4"/>
  <c r="W1252" i="1"/>
  <c r="W1251" i="5" s="1"/>
  <c r="V1241" i="2"/>
  <c r="V1304" i="4"/>
  <c r="W1305" i="1"/>
  <c r="W1304" i="5" s="1"/>
  <c r="AA1656" i="4"/>
  <c r="AB1659" i="1"/>
  <c r="X36" i="2"/>
  <c r="X39" i="4"/>
  <c r="Z39" i="1"/>
  <c r="Z39" i="5" s="1"/>
  <c r="V105" i="2"/>
  <c r="V111" i="4"/>
  <c r="W111" i="1"/>
  <c r="W111" i="5" s="1"/>
  <c r="AA416" i="2"/>
  <c r="AA434" i="4"/>
  <c r="AB435" i="1"/>
  <c r="AB434" i="5" s="1"/>
  <c r="X495" i="2"/>
  <c r="Z516" i="1"/>
  <c r="Z495" i="2" s="1"/>
  <c r="M497" i="2"/>
  <c r="M517" i="4"/>
  <c r="AA518" i="1"/>
  <c r="AA517" i="5" s="1"/>
  <c r="U592" i="2"/>
  <c r="U616" i="4"/>
  <c r="J621" i="2"/>
  <c r="J649" i="4"/>
  <c r="J661" i="1"/>
  <c r="Z625" i="2"/>
  <c r="Z653" i="4"/>
  <c r="W636" i="2"/>
  <c r="W664" i="4"/>
  <c r="U671" i="2"/>
  <c r="U701" i="4"/>
  <c r="AA701" i="1"/>
  <c r="AA701" i="5" s="1"/>
  <c r="X682" i="2"/>
  <c r="Z712" i="1"/>
  <c r="Z682" i="2" s="1"/>
  <c r="U704" i="2"/>
  <c r="U734" i="4"/>
  <c r="X706" i="2"/>
  <c r="Z736" i="1"/>
  <c r="Z706" i="2" s="1"/>
  <c r="U729" i="2"/>
  <c r="U760" i="4"/>
  <c r="U781" i="1"/>
  <c r="U736" i="2"/>
  <c r="U767" i="4"/>
  <c r="V740" i="2"/>
  <c r="V771" i="4"/>
  <c r="W771" i="1"/>
  <c r="W771" i="5" s="1"/>
  <c r="V753" i="2"/>
  <c r="V786" i="4"/>
  <c r="W786" i="1"/>
  <c r="W786" i="5" s="1"/>
  <c r="X755" i="2"/>
  <c r="Z788" i="1"/>
  <c r="Z755" i="2" s="1"/>
  <c r="U759" i="2"/>
  <c r="U792" i="4"/>
  <c r="AA792" i="1"/>
  <c r="AA792" i="5" s="1"/>
  <c r="W761" i="2"/>
  <c r="W794" i="4"/>
  <c r="AB771" i="2"/>
  <c r="AB805" i="4"/>
  <c r="X786" i="2"/>
  <c r="Z820" i="1"/>
  <c r="Z786" i="2" s="1"/>
  <c r="U794" i="2"/>
  <c r="U828" i="4"/>
  <c r="V801" i="2"/>
  <c r="V835" i="4"/>
  <c r="W835" i="1"/>
  <c r="W835" i="5" s="1"/>
  <c r="Q807" i="2"/>
  <c r="Q842" i="4"/>
  <c r="Q816" i="2"/>
  <c r="Q851" i="4"/>
  <c r="Q825" i="2"/>
  <c r="Q860" i="4"/>
  <c r="U849" i="2"/>
  <c r="U888" i="4"/>
  <c r="J871" i="2"/>
  <c r="J911" i="4"/>
  <c r="M872" i="2"/>
  <c r="M912" i="4"/>
  <c r="AA912" i="1"/>
  <c r="AA912" i="5" s="1"/>
  <c r="X888" i="2"/>
  <c r="Z931" i="1"/>
  <c r="Z888" i="2" s="1"/>
  <c r="V890" i="2"/>
  <c r="V933" i="4"/>
  <c r="W933" i="1"/>
  <c r="W933" i="5" s="1"/>
  <c r="X892" i="2"/>
  <c r="Z935" i="1"/>
  <c r="Z892" i="2" s="1"/>
  <c r="X926" i="2"/>
  <c r="X968" i="4"/>
  <c r="Z969" i="1"/>
  <c r="Z968" i="5" s="1"/>
  <c r="X960" i="2"/>
  <c r="Z1004" i="1"/>
  <c r="Z960" i="2" s="1"/>
  <c r="X973" i="2"/>
  <c r="Z1019" i="1"/>
  <c r="Z973" i="2" s="1"/>
  <c r="X980" i="2"/>
  <c r="Z1026" i="1"/>
  <c r="Z980" i="2" s="1"/>
  <c r="V994" i="2"/>
  <c r="V1039" i="4"/>
  <c r="W1040" i="1"/>
  <c r="W1039" i="5" s="1"/>
  <c r="X1014" i="2"/>
  <c r="Z1060" i="1"/>
  <c r="Z1014" i="2" s="1"/>
  <c r="X1029" i="2"/>
  <c r="Z1077" i="1"/>
  <c r="Z1029" i="2" s="1"/>
  <c r="M1103" i="4"/>
  <c r="AA1104" i="1"/>
  <c r="AA1103" i="5" s="1"/>
  <c r="X1075" i="2"/>
  <c r="Z1125" i="1"/>
  <c r="Z1075" i="2" s="1"/>
  <c r="X1098" i="2"/>
  <c r="Z1149" i="1"/>
  <c r="Z1098" i="2" s="1"/>
  <c r="X1106" i="2"/>
  <c r="Z1157" i="1"/>
  <c r="Z1106" i="2" s="1"/>
  <c r="X1112" i="2"/>
  <c r="Z1164" i="1"/>
  <c r="Z1112" i="2" s="1"/>
  <c r="M1121" i="2"/>
  <c r="M1172" i="4"/>
  <c r="AA1173" i="1"/>
  <c r="AA1172" i="5" s="1"/>
  <c r="V1129" i="2"/>
  <c r="V1180" i="4"/>
  <c r="W1181" i="1"/>
  <c r="W1180" i="5" s="1"/>
  <c r="M1132" i="2"/>
  <c r="M1183" i="4"/>
  <c r="AA1184" i="1"/>
  <c r="AA1183" i="5" s="1"/>
  <c r="Q1153" i="2"/>
  <c r="Q1205" i="4"/>
  <c r="V1170" i="2"/>
  <c r="V1224" i="4"/>
  <c r="W1225" i="1"/>
  <c r="W1224" i="5" s="1"/>
  <c r="AB1174" i="2"/>
  <c r="AB1228" i="4"/>
  <c r="M1183" i="2"/>
  <c r="M1242" i="4"/>
  <c r="AA1243" i="1"/>
  <c r="AA1242" i="5" s="1"/>
  <c r="AB1191" i="2"/>
  <c r="AB1250" i="4"/>
  <c r="M1207" i="2"/>
  <c r="M1266" i="4"/>
  <c r="AA1267" i="1"/>
  <c r="AA1266" i="5" s="1"/>
  <c r="W1285" i="4"/>
  <c r="W1222" i="2"/>
  <c r="V1294" i="4"/>
  <c r="V1231" i="2"/>
  <c r="W1295" i="1"/>
  <c r="W1294" i="5" s="1"/>
  <c r="J1236" i="2"/>
  <c r="J1299" i="4"/>
  <c r="Q1238" i="2"/>
  <c r="Q1301" i="4"/>
  <c r="V1252" i="2"/>
  <c r="V1315" i="4"/>
  <c r="W1316" i="1"/>
  <c r="W1315" i="5" s="1"/>
  <c r="V1254" i="2"/>
  <c r="V1317" i="4"/>
  <c r="W1318" i="1"/>
  <c r="W1317" i="5" s="1"/>
  <c r="U1259" i="2"/>
  <c r="U1322" i="4"/>
  <c r="AA1323" i="1"/>
  <c r="AA1322" i="5" s="1"/>
  <c r="Q1323" i="4"/>
  <c r="Q1260" i="2"/>
  <c r="J1264" i="2"/>
  <c r="J1327" i="4"/>
  <c r="Q1266" i="2"/>
  <c r="Q1329" i="4"/>
  <c r="U1266" i="2"/>
  <c r="U1329" i="4"/>
  <c r="M1287" i="2"/>
  <c r="M1352" i="4"/>
  <c r="AA1353" i="1"/>
  <c r="AA1352" i="5" s="1"/>
  <c r="J1296" i="2"/>
  <c r="J1363" i="4"/>
  <c r="M1301" i="2"/>
  <c r="M1370" i="4"/>
  <c r="AA1371" i="1"/>
  <c r="AA1370" i="5" s="1"/>
  <c r="V1388" i="4"/>
  <c r="V1319" i="2"/>
  <c r="W1389" i="1"/>
  <c r="W1388" i="5" s="1"/>
  <c r="H1320" i="2"/>
  <c r="H1389" i="4"/>
  <c r="X1389" i="4" s="1"/>
  <c r="Z1389" i="4" s="1"/>
  <c r="X1390" i="1"/>
  <c r="J1390" i="1"/>
  <c r="J1389" i="5" s="1"/>
  <c r="M1390" i="1"/>
  <c r="M1389" i="5" s="1"/>
  <c r="M147" i="2"/>
  <c r="M154" i="4"/>
  <c r="M166" i="1"/>
  <c r="AA154" i="1"/>
  <c r="AA154" i="5" s="1"/>
  <c r="AA166" i="5" s="1"/>
  <c r="M156" i="2"/>
  <c r="M164" i="4"/>
  <c r="AA164" i="1"/>
  <c r="AA164" i="5" s="1"/>
  <c r="Q180" i="2"/>
  <c r="Q188" i="4"/>
  <c r="R188" i="1"/>
  <c r="R188" i="5" s="1"/>
  <c r="X364" i="2"/>
  <c r="Z381" i="1"/>
  <c r="Z364" i="2" s="1"/>
  <c r="W487" i="2"/>
  <c r="W507" i="4"/>
  <c r="U498" i="2"/>
  <c r="U518" i="4"/>
  <c r="V508" i="2"/>
  <c r="V528" i="4"/>
  <c r="W529" i="1"/>
  <c r="W528" i="5" s="1"/>
  <c r="X519" i="2"/>
  <c r="X546" i="1"/>
  <c r="Z539" i="1"/>
  <c r="X540" i="2"/>
  <c r="X542" i="2" s="1"/>
  <c r="X562" i="1"/>
  <c r="Z560" i="1"/>
  <c r="X687" i="2"/>
  <c r="Z717" i="1"/>
  <c r="M927" i="2"/>
  <c r="M969" i="4"/>
  <c r="AA970" i="1"/>
  <c r="AA969" i="5" s="1"/>
  <c r="AA1145" i="2"/>
  <c r="AA1197" i="4"/>
  <c r="AA1175" i="2"/>
  <c r="AA1229" i="4"/>
  <c r="AB1230" i="1"/>
  <c r="AB1229" i="5" s="1"/>
  <c r="M1214" i="2"/>
  <c r="M1274" i="4"/>
  <c r="AA1275" i="1"/>
  <c r="AA1274" i="5" s="1"/>
  <c r="Q1264" i="2"/>
  <c r="Q1327" i="4"/>
  <c r="J1325" i="2"/>
  <c r="J1394" i="4"/>
  <c r="Q1342" i="2"/>
  <c r="Q1412" i="4"/>
  <c r="X1356" i="2"/>
  <c r="Z1427" i="1"/>
  <c r="Z1356" i="2" s="1"/>
  <c r="X1370" i="2"/>
  <c r="Z1442" i="1"/>
  <c r="Z1370" i="2" s="1"/>
  <c r="U1392" i="2"/>
  <c r="U1465" i="4"/>
  <c r="J1407" i="2"/>
  <c r="J1483" i="4"/>
  <c r="X1410" i="2"/>
  <c r="Z1487" i="1"/>
  <c r="Z1410" i="2" s="1"/>
  <c r="J1432" i="2"/>
  <c r="J1509" i="4"/>
  <c r="X1444" i="2"/>
  <c r="Z1522" i="1"/>
  <c r="Z1444" i="2" s="1"/>
  <c r="V1478" i="2"/>
  <c r="V1553" i="4"/>
  <c r="W1556" i="1"/>
  <c r="W1553" i="5" s="1"/>
  <c r="V1486" i="2"/>
  <c r="V1561" i="4"/>
  <c r="W1564" i="1"/>
  <c r="W1561" i="5" s="1"/>
  <c r="V1495" i="2"/>
  <c r="V1571" i="4"/>
  <c r="W1574" i="1"/>
  <c r="W1571" i="5" s="1"/>
  <c r="V1595" i="1"/>
  <c r="V2786" i="1" s="1"/>
  <c r="V1503" i="2"/>
  <c r="V1579" i="4"/>
  <c r="W1582" i="1"/>
  <c r="W1579" i="5" s="1"/>
  <c r="V1511" i="2"/>
  <c r="V1587" i="4"/>
  <c r="W1590" i="1"/>
  <c r="W1587" i="5" s="1"/>
  <c r="Z1521" i="2"/>
  <c r="Z1599" i="4"/>
  <c r="U1615" i="4"/>
  <c r="AA1618" i="1"/>
  <c r="AA1615" i="5" s="1"/>
  <c r="M1540" i="2"/>
  <c r="M1621" i="4"/>
  <c r="M1642" i="1"/>
  <c r="AA1624" i="1"/>
  <c r="AA1621" i="5" s="1"/>
  <c r="AA1636" i="4"/>
  <c r="AB1639" i="1"/>
  <c r="U1562" i="2"/>
  <c r="U1645" i="4"/>
  <c r="U1567" i="2"/>
  <c r="U1650" i="4"/>
  <c r="Z1569" i="2"/>
  <c r="Z1652" i="4"/>
  <c r="U1571" i="2"/>
  <c r="U1657" i="4"/>
  <c r="AA1579" i="2"/>
  <c r="AA1665" i="4"/>
  <c r="AB1668" i="1"/>
  <c r="AB1665" i="5" s="1"/>
  <c r="AA1583" i="2"/>
  <c r="AA1669" i="4"/>
  <c r="AB1672" i="1"/>
  <c r="AB1669" i="5" s="1"/>
  <c r="Q1656" i="2"/>
  <c r="Q2652" i="2" s="1"/>
  <c r="Q1747" i="4"/>
  <c r="Q2827" i="1"/>
  <c r="Q1697" i="2"/>
  <c r="Q1788" i="4"/>
  <c r="AB1746" i="2"/>
  <c r="AB1840" i="4"/>
  <c r="H1760" i="2"/>
  <c r="H1854" i="4"/>
  <c r="X1854" i="4" s="1"/>
  <c r="Z1854" i="4" s="1"/>
  <c r="M1858" i="1"/>
  <c r="M1854" i="5" s="1"/>
  <c r="X1858" i="1"/>
  <c r="J1858" i="1"/>
  <c r="J1854" i="5" s="1"/>
  <c r="J1788" i="2"/>
  <c r="J1884" i="4"/>
  <c r="J1795" i="2"/>
  <c r="J1894" i="4"/>
  <c r="H1944" i="4"/>
  <c r="X1944" i="4" s="1"/>
  <c r="Z1944" i="4" s="1"/>
  <c r="M1948" i="1"/>
  <c r="M1944" i="5" s="1"/>
  <c r="J1948" i="1"/>
  <c r="X1948" i="1"/>
  <c r="Z1948" i="1" s="1"/>
  <c r="V1975" i="4"/>
  <c r="W1979" i="1"/>
  <c r="W1975" i="5" s="1"/>
  <c r="V1991" i="1"/>
  <c r="V1979" i="4"/>
  <c r="W1983" i="1"/>
  <c r="V1983" i="4"/>
  <c r="W1987" i="1"/>
  <c r="V2043" i="4"/>
  <c r="W2047" i="1"/>
  <c r="V2051" i="4"/>
  <c r="W2055" i="1"/>
  <c r="W2068" i="4"/>
  <c r="V2075" i="4"/>
  <c r="W2079" i="1"/>
  <c r="H2152" i="4"/>
  <c r="X2152" i="4" s="1"/>
  <c r="Z2152" i="4" s="1"/>
  <c r="M2156" i="1"/>
  <c r="M2152" i="5" s="1"/>
  <c r="X2156" i="1"/>
  <c r="Z2156" i="1" s="1"/>
  <c r="J2156" i="1"/>
  <c r="H2304" i="4"/>
  <c r="M2310" i="1"/>
  <c r="M2304" i="5" s="1"/>
  <c r="M2313" i="5" s="1"/>
  <c r="X2310" i="1"/>
  <c r="X2304" i="5" s="1"/>
  <c r="J2310" i="1"/>
  <c r="J2304" i="5" s="1"/>
  <c r="H2319" i="1"/>
  <c r="H2392" i="4"/>
  <c r="X2392" i="4" s="1"/>
  <c r="Z2392" i="4" s="1"/>
  <c r="M2398" i="1"/>
  <c r="M2392" i="5" s="1"/>
  <c r="X2398" i="1"/>
  <c r="Z2398" i="1" s="1"/>
  <c r="J2398" i="1"/>
  <c r="V2711" i="4"/>
  <c r="W2719" i="1"/>
  <c r="V2741" i="4"/>
  <c r="W2749" i="1"/>
  <c r="AA2323" i="4"/>
  <c r="AB2329" i="1"/>
  <c r="X509" i="2"/>
  <c r="Z530" i="1"/>
  <c r="Z509" i="2" s="1"/>
  <c r="X622" i="2"/>
  <c r="Z650" i="1"/>
  <c r="Z650" i="5" s="1"/>
  <c r="M664" i="2"/>
  <c r="M694" i="4"/>
  <c r="AA694" i="1"/>
  <c r="AA694" i="5" s="1"/>
  <c r="M714" i="1"/>
  <c r="AB744" i="2"/>
  <c r="AB776" i="4"/>
  <c r="V765" i="2"/>
  <c r="V799" i="4"/>
  <c r="W799" i="1"/>
  <c r="W799" i="5" s="1"/>
  <c r="X778" i="2"/>
  <c r="Z812" i="1"/>
  <c r="Z778" i="2" s="1"/>
  <c r="X783" i="2"/>
  <c r="Z817" i="1"/>
  <c r="Z783" i="2" s="1"/>
  <c r="AB784" i="2"/>
  <c r="AB818" i="4"/>
  <c r="U824" i="2"/>
  <c r="U859" i="4"/>
  <c r="AA859" i="1"/>
  <c r="AA859" i="5" s="1"/>
  <c r="AB831" i="2"/>
  <c r="AB870" i="4"/>
  <c r="U873" i="2"/>
  <c r="U914" i="4"/>
  <c r="J907" i="2"/>
  <c r="J950" i="4"/>
  <c r="Z928" i="2"/>
  <c r="Z970" i="4"/>
  <c r="X935" i="2"/>
  <c r="X977" i="4"/>
  <c r="Z978" i="1"/>
  <c r="Z977" i="5" s="1"/>
  <c r="X966" i="2"/>
  <c r="Z1012" i="1"/>
  <c r="Z966" i="2" s="1"/>
  <c r="W1045" i="2"/>
  <c r="W1093" i="4"/>
  <c r="V1054" i="2"/>
  <c r="V1102" i="4"/>
  <c r="M1070" i="2"/>
  <c r="M1119" i="4"/>
  <c r="AA1120" i="1"/>
  <c r="AA1119" i="5" s="1"/>
  <c r="X1091" i="2"/>
  <c r="Z1142" i="1"/>
  <c r="Z1091" i="2" s="1"/>
  <c r="W1121" i="2"/>
  <c r="W1172" i="4"/>
  <c r="Q1148" i="2"/>
  <c r="Q1200" i="4"/>
  <c r="X1167" i="2"/>
  <c r="Z1222" i="1"/>
  <c r="Z1221" i="5" s="1"/>
  <c r="X1195" i="2"/>
  <c r="Z1255" i="1"/>
  <c r="Z1195" i="2" s="1"/>
  <c r="V1197" i="2"/>
  <c r="V1256" i="4"/>
  <c r="W1257" i="1"/>
  <c r="W1256" i="5" s="1"/>
  <c r="U1198" i="2"/>
  <c r="U1257" i="4"/>
  <c r="Q1200" i="2"/>
  <c r="Q1259" i="4"/>
  <c r="W1233" i="2"/>
  <c r="W1296" i="4"/>
  <c r="AA1233" i="2"/>
  <c r="AA1296" i="4"/>
  <c r="V1242" i="2"/>
  <c r="V1305" i="4"/>
  <c r="W1306" i="1"/>
  <c r="W1305" i="5" s="1"/>
  <c r="W1244" i="2"/>
  <c r="W1307" i="4"/>
  <c r="AA1244" i="2"/>
  <c r="AA1307" i="4"/>
  <c r="W1250" i="2"/>
  <c r="W1313" i="4"/>
  <c r="J1251" i="2"/>
  <c r="J1314" i="4"/>
  <c r="J1340" i="1"/>
  <c r="J1258" i="2"/>
  <c r="J1321" i="4"/>
  <c r="Q1265" i="2"/>
  <c r="Q1328" i="4"/>
  <c r="U1271" i="2"/>
  <c r="U1336" i="4"/>
  <c r="AA1337" i="1"/>
  <c r="AA1336" i="5" s="1"/>
  <c r="J1284" i="2"/>
  <c r="J1349" i="4"/>
  <c r="X1289" i="2"/>
  <c r="Z1355" i="1"/>
  <c r="Z1289" i="2" s="1"/>
  <c r="W1291" i="2"/>
  <c r="W1356" i="4"/>
  <c r="M1293" i="2"/>
  <c r="M1358" i="4"/>
  <c r="AA1359" i="1"/>
  <c r="AA1358" i="5" s="1"/>
  <c r="U1302" i="2"/>
  <c r="U1371" i="4"/>
  <c r="W1304" i="2"/>
  <c r="W1373" i="4"/>
  <c r="M1321" i="2"/>
  <c r="M1390" i="4"/>
  <c r="AA1391" i="1"/>
  <c r="AA1390" i="5" s="1"/>
  <c r="M1323" i="2"/>
  <c r="M1392" i="4"/>
  <c r="AA1393" i="1"/>
  <c r="AA1392" i="5" s="1"/>
  <c r="M1335" i="2"/>
  <c r="AA1406" i="1"/>
  <c r="AA1405" i="5" s="1"/>
  <c r="M1405" i="4"/>
  <c r="AB1337" i="2"/>
  <c r="AB1407" i="4"/>
  <c r="AA1337" i="2"/>
  <c r="AA1407" i="4"/>
  <c r="W1344" i="2"/>
  <c r="W1414" i="4"/>
  <c r="Q1373" i="2"/>
  <c r="Q1444" i="4"/>
  <c r="X1374" i="2"/>
  <c r="Z1446" i="1"/>
  <c r="W1376" i="2"/>
  <c r="W1447" i="4"/>
  <c r="Q1412" i="2"/>
  <c r="Q1488" i="4"/>
  <c r="M1453" i="2"/>
  <c r="M1530" i="4"/>
  <c r="AA1531" i="1"/>
  <c r="AA1530" i="5" s="1"/>
  <c r="AA1477" i="2"/>
  <c r="AA1552" i="4"/>
  <c r="AB1555" i="1"/>
  <c r="AB1552" i="5" s="1"/>
  <c r="AA1485" i="2"/>
  <c r="AA1560" i="4"/>
  <c r="AB1563" i="1"/>
  <c r="AB1560" i="5" s="1"/>
  <c r="AA1496" i="2"/>
  <c r="AA1572" i="4"/>
  <c r="AB1575" i="1"/>
  <c r="AB1572" i="5" s="1"/>
  <c r="AA1504" i="2"/>
  <c r="AA1580" i="4"/>
  <c r="AB1583" i="1"/>
  <c r="AB1580" i="5" s="1"/>
  <c r="AA1588" i="4"/>
  <c r="AB1591" i="1"/>
  <c r="U1518" i="2"/>
  <c r="U1596" i="4"/>
  <c r="U1621" i="1"/>
  <c r="V1552" i="2"/>
  <c r="V1634" i="4"/>
  <c r="W1637" i="1"/>
  <c r="W1634" i="5" s="1"/>
  <c r="H1585" i="2"/>
  <c r="H1589" i="2" s="1"/>
  <c r="H1672" i="4"/>
  <c r="X1672" i="4" s="1"/>
  <c r="M1675" i="1"/>
  <c r="M1672" i="5" s="1"/>
  <c r="M1678" i="5" s="1"/>
  <c r="X1675" i="1"/>
  <c r="H1681" i="1"/>
  <c r="H1742" i="1" s="1"/>
  <c r="H2912" i="1" s="1"/>
  <c r="V1674" i="4"/>
  <c r="W1677" i="1"/>
  <c r="V1611" i="2"/>
  <c r="V1703" i="4"/>
  <c r="W1706" i="1"/>
  <c r="W1703" i="5" s="1"/>
  <c r="V1615" i="2"/>
  <c r="V1707" i="4"/>
  <c r="W1710" i="1"/>
  <c r="W1707" i="5" s="1"/>
  <c r="U1658" i="2"/>
  <c r="U1749" i="4"/>
  <c r="Q1660" i="2"/>
  <c r="Q1751" i="4"/>
  <c r="U1665" i="2"/>
  <c r="U1756" i="4"/>
  <c r="U1670" i="2"/>
  <c r="U1761" i="4"/>
  <c r="U1771" i="1"/>
  <c r="X1672" i="2"/>
  <c r="Z1767" i="1"/>
  <c r="Z1763" i="5" s="1"/>
  <c r="Q1770" i="4"/>
  <c r="Q1679" i="2"/>
  <c r="Q1788" i="1"/>
  <c r="X1685" i="2"/>
  <c r="Z1780" i="1"/>
  <c r="Z1685" i="2" s="1"/>
  <c r="AA1690" i="2"/>
  <c r="AA1781" i="4"/>
  <c r="AB1785" i="1"/>
  <c r="AB1781" i="5" s="1"/>
  <c r="J1701" i="2"/>
  <c r="J1792" i="4"/>
  <c r="X1734" i="2"/>
  <c r="Z1830" i="1"/>
  <c r="Z1734" i="2" s="1"/>
  <c r="AA1739" i="2"/>
  <c r="AA1831" i="4"/>
  <c r="AB1835" i="1"/>
  <c r="AB1831" i="5" s="1"/>
  <c r="U1838" i="4"/>
  <c r="AA1842" i="1"/>
  <c r="AA1838" i="5" s="1"/>
  <c r="X1752" i="2"/>
  <c r="Z1850" i="1"/>
  <c r="U1759" i="2"/>
  <c r="U1853" i="4"/>
  <c r="M1772" i="2"/>
  <c r="M1868" i="4"/>
  <c r="AA1872" i="1"/>
  <c r="AA1868" i="5" s="1"/>
  <c r="U1774" i="2"/>
  <c r="U1870" i="4"/>
  <c r="U1905" i="4"/>
  <c r="U1926" i="1"/>
  <c r="M1910" i="4"/>
  <c r="AA1914" i="1"/>
  <c r="AA1910" i="5" s="1"/>
  <c r="M2033" i="4"/>
  <c r="AA2037" i="1"/>
  <c r="AA2033" i="5" s="1"/>
  <c r="AA2044" i="4"/>
  <c r="AB2048" i="1"/>
  <c r="AA2048" i="4"/>
  <c r="AB2052" i="1"/>
  <c r="U2087" i="4"/>
  <c r="U2116" i="1"/>
  <c r="M2092" i="4"/>
  <c r="AA2096" i="1"/>
  <c r="AA2092" i="5" s="1"/>
  <c r="AA2096" i="4"/>
  <c r="AB2100" i="1"/>
  <c r="U2107" i="4"/>
  <c r="AA2111" i="1"/>
  <c r="AA2107" i="5" s="1"/>
  <c r="M2118" i="4"/>
  <c r="AA2122" i="1"/>
  <c r="AA2118" i="5" s="1"/>
  <c r="U2197" i="4"/>
  <c r="U2223" i="1"/>
  <c r="AA2205" i="4"/>
  <c r="AB2209" i="1"/>
  <c r="U2236" i="4"/>
  <c r="AA2240" i="1"/>
  <c r="Q2265" i="4"/>
  <c r="Q2292" i="4" s="1"/>
  <c r="Q2296" i="1"/>
  <c r="Z2270" i="1"/>
  <c r="M2269" i="4"/>
  <c r="AA2273" i="1"/>
  <c r="AA2269" i="5" s="1"/>
  <c r="M2290" i="4"/>
  <c r="AA2294" i="1"/>
  <c r="AA2290" i="5" s="1"/>
  <c r="Z2299" i="4"/>
  <c r="X2308" i="4"/>
  <c r="Z2314" i="1"/>
  <c r="X2310" i="4"/>
  <c r="Z2316" i="1"/>
  <c r="M2353" i="4"/>
  <c r="AA2359" i="1"/>
  <c r="AA2353" i="5" s="1"/>
  <c r="M2373" i="4"/>
  <c r="AA2379" i="1"/>
  <c r="AA2373" i="5" s="1"/>
  <c r="AA2377" i="4"/>
  <c r="AB2383" i="1"/>
  <c r="AA2389" i="4"/>
  <c r="AB2395" i="1"/>
  <c r="V2491" i="4"/>
  <c r="V2507" i="1"/>
  <c r="W2499" i="1"/>
  <c r="W2491" i="5" s="1"/>
  <c r="M2494" i="4"/>
  <c r="AA2502" i="1"/>
  <c r="AA2494" i="5" s="1"/>
  <c r="V2495" i="4"/>
  <c r="W2503" i="1"/>
  <c r="M2504" i="4"/>
  <c r="AA2512" i="1"/>
  <c r="AA2504" i="5" s="1"/>
  <c r="V2505" i="4"/>
  <c r="W2513" i="1"/>
  <c r="M2509" i="4"/>
  <c r="AA2517" i="1"/>
  <c r="AA2509" i="5" s="1"/>
  <c r="V2510" i="4"/>
  <c r="W2518" i="1"/>
  <c r="V2584" i="4"/>
  <c r="W2592" i="1"/>
  <c r="V2586" i="4"/>
  <c r="W2594" i="1"/>
  <c r="V2588" i="4"/>
  <c r="W2596" i="1"/>
  <c r="X2602" i="4"/>
  <c r="Z2610" i="1"/>
  <c r="V2679" i="4"/>
  <c r="W2687" i="1"/>
  <c r="H2722" i="4"/>
  <c r="X2722" i="4" s="1"/>
  <c r="Z2722" i="4" s="1"/>
  <c r="M2730" i="1"/>
  <c r="M2722" i="5" s="1"/>
  <c r="X2730" i="1"/>
  <c r="Z2730" i="1" s="1"/>
  <c r="AA2744" i="4"/>
  <c r="AB2752" i="1"/>
  <c r="V2746" i="4"/>
  <c r="W2754" i="1"/>
  <c r="M478" i="2"/>
  <c r="M498" i="4"/>
  <c r="AA499" i="1"/>
  <c r="AA498" i="5" s="1"/>
  <c r="AA523" i="2"/>
  <c r="AA542" i="4"/>
  <c r="AB543" i="1"/>
  <c r="AB542" i="5" s="1"/>
  <c r="AA683" i="4"/>
  <c r="AB683" i="1"/>
  <c r="AB797" i="2"/>
  <c r="AB831" i="4"/>
  <c r="V799" i="2"/>
  <c r="V833" i="4"/>
  <c r="W833" i="1"/>
  <c r="W833" i="5" s="1"/>
  <c r="U887" i="2"/>
  <c r="U930" i="4"/>
  <c r="U891" i="2"/>
  <c r="U934" i="4"/>
  <c r="AA934" i="1"/>
  <c r="AA934" i="5" s="1"/>
  <c r="V976" i="2"/>
  <c r="V1021" i="4"/>
  <c r="W1022" i="1"/>
  <c r="W1021" i="5" s="1"/>
  <c r="M1202" i="4"/>
  <c r="AA1203" i="1"/>
  <c r="AA1202" i="5" s="1"/>
  <c r="AA1151" i="2"/>
  <c r="AA1203" i="4"/>
  <c r="AB1204" i="1"/>
  <c r="AB1203" i="5" s="1"/>
  <c r="W1164" i="2"/>
  <c r="W1218" i="4"/>
  <c r="M1235" i="4"/>
  <c r="AA1236" i="1"/>
  <c r="AA1235" i="5" s="1"/>
  <c r="M1197" i="2"/>
  <c r="M1256" i="4"/>
  <c r="AA1257" i="1"/>
  <c r="AA1256" i="5" s="1"/>
  <c r="Q1208" i="2"/>
  <c r="Q1267" i="4"/>
  <c r="X1209" i="2"/>
  <c r="Z1269" i="1"/>
  <c r="Z1209" i="2" s="1"/>
  <c r="U1224" i="2"/>
  <c r="U1287" i="4"/>
  <c r="X1255" i="2"/>
  <c r="Z1319" i="1"/>
  <c r="Z1255" i="2" s="1"/>
  <c r="Q1300" i="2"/>
  <c r="Q1369" i="4"/>
  <c r="V1309" i="2"/>
  <c r="V1378" i="4"/>
  <c r="W1379" i="1"/>
  <c r="W1378" i="5" s="1"/>
  <c r="W1315" i="2"/>
  <c r="W1384" i="4"/>
  <c r="V1318" i="2"/>
  <c r="V1387" i="4"/>
  <c r="W1388" i="1"/>
  <c r="W1387" i="5" s="1"/>
  <c r="V1394" i="4"/>
  <c r="V1325" i="2"/>
  <c r="W1395" i="1"/>
  <c r="W1394" i="5" s="1"/>
  <c r="M1352" i="2"/>
  <c r="M1422" i="4"/>
  <c r="AA1423" i="1"/>
  <c r="AA1422" i="5" s="1"/>
  <c r="AB1358" i="2"/>
  <c r="AB1429" i="4"/>
  <c r="V1365" i="2"/>
  <c r="V1436" i="4"/>
  <c r="V1472" i="1"/>
  <c r="W1437" i="1"/>
  <c r="W1436" i="5" s="1"/>
  <c r="J1383" i="2"/>
  <c r="J1454" i="4"/>
  <c r="Q1406" i="2"/>
  <c r="Q1482" i="4"/>
  <c r="W1417" i="2"/>
  <c r="W1494" i="4"/>
  <c r="M1444" i="2"/>
  <c r="M1521" i="4"/>
  <c r="AA1522" i="1"/>
  <c r="AA1521" i="5" s="1"/>
  <c r="Z1489" i="2"/>
  <c r="Z1564" i="4"/>
  <c r="V1654" i="4"/>
  <c r="W1657" i="1"/>
  <c r="X1582" i="2"/>
  <c r="Z1671" i="1"/>
  <c r="Z1668" i="5" s="1"/>
  <c r="M1592" i="2"/>
  <c r="M1681" i="4"/>
  <c r="AA1684" i="1"/>
  <c r="AA1681" i="5" s="1"/>
  <c r="M1700" i="1"/>
  <c r="AB1621" i="2"/>
  <c r="AB1713" i="4"/>
  <c r="AB1641" i="2"/>
  <c r="AB1733" i="4"/>
  <c r="V1643" i="2"/>
  <c r="V1735" i="4"/>
  <c r="W1738" i="1"/>
  <c r="W1735" i="5" s="1"/>
  <c r="U1654" i="2"/>
  <c r="U1745" i="4"/>
  <c r="U1762" i="1"/>
  <c r="X1658" i="2"/>
  <c r="X1749" i="4"/>
  <c r="Z1753" i="1"/>
  <c r="Z1749" i="5" s="1"/>
  <c r="J1664" i="2"/>
  <c r="J1755" i="4"/>
  <c r="Z1673" i="2"/>
  <c r="Z1764" i="4"/>
  <c r="U1684" i="2"/>
  <c r="U1775" i="4"/>
  <c r="AA1702" i="2"/>
  <c r="AA1793" i="4"/>
  <c r="AB1797" i="1"/>
  <c r="AB1793" i="5" s="1"/>
  <c r="M1823" i="4"/>
  <c r="M1731" i="2"/>
  <c r="AA1827" i="1"/>
  <c r="AA1823" i="5" s="1"/>
  <c r="AA1735" i="2"/>
  <c r="AA1827" i="4"/>
  <c r="AB1831" i="1"/>
  <c r="AB1827" i="5" s="1"/>
  <c r="U1736" i="2"/>
  <c r="U1828" i="4"/>
  <c r="X1743" i="2"/>
  <c r="Z1839" i="1"/>
  <c r="Z1743" i="2" s="1"/>
  <c r="X1775" i="2"/>
  <c r="Z1875" i="1"/>
  <c r="Z1775" i="2" s="1"/>
  <c r="M2021" i="4"/>
  <c r="AA2025" i="1"/>
  <c r="AA2021" i="5" s="1"/>
  <c r="V2022" i="4"/>
  <c r="W2026" i="1"/>
  <c r="AA2091" i="4"/>
  <c r="AB2095" i="1"/>
  <c r="M2102" i="4"/>
  <c r="AA2106" i="1"/>
  <c r="AA2102" i="5" s="1"/>
  <c r="AA2176" i="4"/>
  <c r="AB2180" i="1"/>
  <c r="AB2176" i="5" s="1"/>
  <c r="Z2201" i="1"/>
  <c r="M2207" i="4"/>
  <c r="AA2211" i="1"/>
  <c r="AA2207" i="5" s="1"/>
  <c r="AA2252" i="4"/>
  <c r="AB2256" i="1"/>
  <c r="M2322" i="4"/>
  <c r="AA2328" i="1"/>
  <c r="AA2322" i="5" s="1"/>
  <c r="U2385" i="4"/>
  <c r="U2416" i="1"/>
  <c r="AA2463" i="1"/>
  <c r="AA2455" i="5" s="1"/>
  <c r="M2455" i="4"/>
  <c r="V1352" i="2"/>
  <c r="V1422" i="4"/>
  <c r="W1423" i="1"/>
  <c r="W1422" i="5" s="1"/>
  <c r="AA1385" i="2"/>
  <c r="AA1456" i="4"/>
  <c r="V1407" i="2"/>
  <c r="V1483" i="4"/>
  <c r="W1484" i="1"/>
  <c r="W1483" i="5" s="1"/>
  <c r="AA1474" i="2"/>
  <c r="AA1549" i="4"/>
  <c r="AB1552" i="1"/>
  <c r="AB1549" i="5" s="1"/>
  <c r="X1567" i="2"/>
  <c r="Z1653" i="1"/>
  <c r="Z1650" i="5" s="1"/>
  <c r="X1599" i="2"/>
  <c r="Z1691" i="1"/>
  <c r="Z1688" i="5" s="1"/>
  <c r="AA1609" i="2"/>
  <c r="AA1701" i="4"/>
  <c r="AB1704" i="1"/>
  <c r="AB1701" i="5" s="1"/>
  <c r="H2606" i="4"/>
  <c r="X2614" i="1"/>
  <c r="X2606" i="5" s="1"/>
  <c r="M2614" i="1"/>
  <c r="M2606" i="5" s="1"/>
  <c r="V2614" i="1"/>
  <c r="V2606" i="5" s="1"/>
  <c r="AA485" i="2"/>
  <c r="AA505" i="4"/>
  <c r="AB506" i="1"/>
  <c r="AB505" i="5" s="1"/>
  <c r="X645" i="2"/>
  <c r="Z673" i="1"/>
  <c r="Z645" i="2" s="1"/>
  <c r="X649" i="2"/>
  <c r="Z677" i="1"/>
  <c r="Z649" i="2" s="1"/>
  <c r="Q665" i="2"/>
  <c r="Q695" i="4"/>
  <c r="J746" i="2"/>
  <c r="J779" i="4"/>
  <c r="J752" i="2"/>
  <c r="J785" i="4"/>
  <c r="U754" i="2"/>
  <c r="U787" i="4"/>
  <c r="X756" i="2"/>
  <c r="Z789" i="1"/>
  <c r="Z756" i="2" s="1"/>
  <c r="J807" i="2"/>
  <c r="J842" i="4"/>
  <c r="AA843" i="2"/>
  <c r="AA882" i="4"/>
  <c r="AB882" i="1"/>
  <c r="AB882" i="5" s="1"/>
  <c r="W860" i="2"/>
  <c r="W900" i="4"/>
  <c r="Q865" i="2"/>
  <c r="Q905" i="4"/>
  <c r="V889" i="2"/>
  <c r="V932" i="4"/>
  <c r="W932" i="1"/>
  <c r="W932" i="5" s="1"/>
  <c r="Q893" i="2"/>
  <c r="Q936" i="4"/>
  <c r="V895" i="2"/>
  <c r="V938" i="4"/>
  <c r="W938" i="1"/>
  <c r="W938" i="5" s="1"/>
  <c r="M932" i="2"/>
  <c r="M974" i="4"/>
  <c r="AA975" i="1"/>
  <c r="AA974" i="5" s="1"/>
  <c r="V977" i="2"/>
  <c r="V1022" i="4"/>
  <c r="X1002" i="2"/>
  <c r="Z1048" i="1"/>
  <c r="Z1002" i="2" s="1"/>
  <c r="U1013" i="2"/>
  <c r="U1058" i="4"/>
  <c r="V1027" i="2"/>
  <c r="V1074" i="4"/>
  <c r="W1075" i="1"/>
  <c r="W1074" i="5" s="1"/>
  <c r="X1066" i="2"/>
  <c r="Z1116" i="1"/>
  <c r="Z1066" i="2" s="1"/>
  <c r="X1113" i="2"/>
  <c r="Z1165" i="1"/>
  <c r="Z1113" i="2" s="1"/>
  <c r="V1120" i="2"/>
  <c r="V1171" i="4"/>
  <c r="W1172" i="1"/>
  <c r="W1171" i="5" s="1"/>
  <c r="W1130" i="2"/>
  <c r="W1181" i="4"/>
  <c r="U1156" i="2"/>
  <c r="U1210" i="4"/>
  <c r="M1171" i="2"/>
  <c r="M1225" i="4"/>
  <c r="AA1226" i="1"/>
  <c r="AA1225" i="5" s="1"/>
  <c r="W1227" i="4"/>
  <c r="W1173" i="2"/>
  <c r="J1177" i="2"/>
  <c r="J1231" i="4"/>
  <c r="Z1179" i="2"/>
  <c r="Z1233" i="4"/>
  <c r="V1237" i="4"/>
  <c r="V1181" i="2"/>
  <c r="W1238" i="1"/>
  <c r="W1237" i="5" s="1"/>
  <c r="W1202" i="2"/>
  <c r="W1261" i="4"/>
  <c r="J1203" i="2"/>
  <c r="J1262" i="4"/>
  <c r="U1210" i="2"/>
  <c r="U1269" i="4"/>
  <c r="AA1270" i="1"/>
  <c r="AA1269" i="5" s="1"/>
  <c r="Z1221" i="2"/>
  <c r="Q1221" i="2"/>
  <c r="Q1284" i="4"/>
  <c r="Q1310" i="1"/>
  <c r="X1225" i="2"/>
  <c r="Z1289" i="1"/>
  <c r="Z1225" i="2" s="1"/>
  <c r="U1227" i="2"/>
  <c r="U1290" i="4"/>
  <c r="AA1291" i="1"/>
  <c r="AA1290" i="5" s="1"/>
  <c r="V1295" i="4"/>
  <c r="V1232" i="2"/>
  <c r="W1296" i="1"/>
  <c r="W1295" i="5" s="1"/>
  <c r="U1258" i="2"/>
  <c r="U1321" i="4"/>
  <c r="W1269" i="2"/>
  <c r="W1334" i="4"/>
  <c r="Q1284" i="2"/>
  <c r="Q1349" i="4"/>
  <c r="Q1293" i="2"/>
  <c r="Q1358" i="4"/>
  <c r="J1298" i="2"/>
  <c r="J1367" i="4"/>
  <c r="M1316" i="2"/>
  <c r="M1385" i="4"/>
  <c r="AA1386" i="1"/>
  <c r="AA1385" i="5" s="1"/>
  <c r="M1400" i="4"/>
  <c r="M1330" i="2"/>
  <c r="AA1401" i="1"/>
  <c r="AA1400" i="5" s="1"/>
  <c r="Q1336" i="2"/>
  <c r="Q1406" i="4"/>
  <c r="U1343" i="2"/>
  <c r="U1413" i="4"/>
  <c r="U1347" i="2"/>
  <c r="U1417" i="4"/>
  <c r="Q1348" i="2"/>
  <c r="Q1418" i="4"/>
  <c r="X1349" i="2"/>
  <c r="Z1420" i="1"/>
  <c r="Z1349" i="2" s="1"/>
  <c r="M1359" i="2"/>
  <c r="M1430" i="4"/>
  <c r="AA1431" i="1"/>
  <c r="AA1430" i="5" s="1"/>
  <c r="Z1365" i="2"/>
  <c r="U1366" i="2"/>
  <c r="U1437" i="4"/>
  <c r="H1378" i="2"/>
  <c r="H1449" i="4"/>
  <c r="X1449" i="4" s="1"/>
  <c r="Z1449" i="4" s="1"/>
  <c r="J1450" i="1"/>
  <c r="J1449" i="5" s="1"/>
  <c r="X1450" i="1"/>
  <c r="M1450" i="1"/>
  <c r="M1449" i="5" s="1"/>
  <c r="J1384" i="2"/>
  <c r="J1455" i="4"/>
  <c r="AB1389" i="2"/>
  <c r="AB1461" i="4"/>
  <c r="J1391" i="2"/>
  <c r="J1463" i="4"/>
  <c r="M1405" i="2"/>
  <c r="M1481" i="4"/>
  <c r="AA1482" i="1"/>
  <c r="AA1481" i="5" s="1"/>
  <c r="W1413" i="2"/>
  <c r="W1489" i="4"/>
  <c r="W1418" i="2"/>
  <c r="W1495" i="4"/>
  <c r="M1438" i="2"/>
  <c r="M1515" i="4"/>
  <c r="AA1516" i="1"/>
  <c r="AA1515" i="5" s="1"/>
  <c r="J1462" i="2"/>
  <c r="J1539" i="4"/>
  <c r="U1477" i="2"/>
  <c r="U1552" i="4"/>
  <c r="M1478" i="2"/>
  <c r="M1553" i="4"/>
  <c r="AA1556" i="1"/>
  <c r="AA1553" i="5" s="1"/>
  <c r="U1479" i="2"/>
  <c r="U1554" i="4"/>
  <c r="M1480" i="2"/>
  <c r="M1555" i="4"/>
  <c r="AA1558" i="1"/>
  <c r="AA1555" i="5" s="1"/>
  <c r="U1481" i="2"/>
  <c r="U1556" i="4"/>
  <c r="M1482" i="2"/>
  <c r="M1557" i="4"/>
  <c r="AA1560" i="1"/>
  <c r="AA1557" i="5" s="1"/>
  <c r="U1483" i="2"/>
  <c r="U1558" i="4"/>
  <c r="M1484" i="2"/>
  <c r="M1559" i="4"/>
  <c r="AA1562" i="1"/>
  <c r="AA1559" i="5" s="1"/>
  <c r="U1485" i="2"/>
  <c r="U1560" i="4"/>
  <c r="M1486" i="2"/>
  <c r="M1561" i="4"/>
  <c r="AA1564" i="1"/>
  <c r="AA1561" i="5" s="1"/>
  <c r="U1487" i="2"/>
  <c r="U1562" i="4"/>
  <c r="M1488" i="2"/>
  <c r="M1563" i="4"/>
  <c r="AA1566" i="1"/>
  <c r="AA1563" i="5" s="1"/>
  <c r="U1489" i="2"/>
  <c r="U1564" i="4"/>
  <c r="M1565" i="4"/>
  <c r="AA1568" i="1"/>
  <c r="AA1565" i="5" s="1"/>
  <c r="V1490" i="2"/>
  <c r="V1566" i="4"/>
  <c r="W1569" i="1"/>
  <c r="W1566" i="5" s="1"/>
  <c r="M1495" i="2"/>
  <c r="M1571" i="4"/>
  <c r="M1595" i="1"/>
  <c r="AA1574" i="1"/>
  <c r="AA1571" i="5" s="1"/>
  <c r="U1496" i="2"/>
  <c r="U1572" i="4"/>
  <c r="M1497" i="2"/>
  <c r="M1573" i="4"/>
  <c r="AA1576" i="1"/>
  <c r="AA1573" i="5" s="1"/>
  <c r="U1498" i="2"/>
  <c r="U1574" i="4"/>
  <c r="M1499" i="2"/>
  <c r="M1575" i="4"/>
  <c r="AA1578" i="1"/>
  <c r="AA1575" i="5" s="1"/>
  <c r="U1500" i="2"/>
  <c r="U1576" i="4"/>
  <c r="M1501" i="2"/>
  <c r="M1577" i="4"/>
  <c r="AA1580" i="1"/>
  <c r="AA1577" i="5" s="1"/>
  <c r="U1502" i="2"/>
  <c r="U1578" i="4"/>
  <c r="M1503" i="2"/>
  <c r="M1579" i="4"/>
  <c r="AA1582" i="1"/>
  <c r="AA1579" i="5" s="1"/>
  <c r="U1504" i="2"/>
  <c r="U1580" i="4"/>
  <c r="M1505" i="2"/>
  <c r="M1581" i="4"/>
  <c r="AA1584" i="1"/>
  <c r="AA1581" i="5" s="1"/>
  <c r="U1506" i="2"/>
  <c r="U1582" i="4"/>
  <c r="M1507" i="2"/>
  <c r="M1583" i="4"/>
  <c r="AA1586" i="1"/>
  <c r="AA1583" i="5" s="1"/>
  <c r="U1508" i="2"/>
  <c r="U1584" i="4"/>
  <c r="M1509" i="2"/>
  <c r="M1585" i="4"/>
  <c r="AA1588" i="1"/>
  <c r="AA1585" i="5" s="1"/>
  <c r="U1510" i="2"/>
  <c r="U1586" i="4"/>
  <c r="X1511" i="2"/>
  <c r="X1587" i="4"/>
  <c r="Z1590" i="1"/>
  <c r="Z1587" i="5" s="1"/>
  <c r="V1588" i="4"/>
  <c r="W1591" i="1"/>
  <c r="V1521" i="2"/>
  <c r="V1599" i="4"/>
  <c r="W1602" i="1"/>
  <c r="W1599" i="5" s="1"/>
  <c r="V1531" i="2"/>
  <c r="V1609" i="4"/>
  <c r="W1612" i="1"/>
  <c r="W1609" i="5" s="1"/>
  <c r="V1534" i="2"/>
  <c r="V1613" i="4"/>
  <c r="W1616" i="1"/>
  <c r="W1613" i="5" s="1"/>
  <c r="X1542" i="2"/>
  <c r="Z1626" i="1"/>
  <c r="Z1623" i="5" s="1"/>
  <c r="V1560" i="2"/>
  <c r="V1643" i="4"/>
  <c r="W1646" i="1"/>
  <c r="W1643" i="5" s="1"/>
  <c r="X1561" i="2"/>
  <c r="Z1647" i="1"/>
  <c r="Z1644" i="5" s="1"/>
  <c r="X1566" i="2"/>
  <c r="Z1652" i="1"/>
  <c r="Z1649" i="5" s="1"/>
  <c r="X1570" i="2"/>
  <c r="Z1656" i="1"/>
  <c r="Z1653" i="5" s="1"/>
  <c r="X1580" i="2"/>
  <c r="Z1669" i="1"/>
  <c r="Z1666" i="5" s="1"/>
  <c r="AW2865" i="1"/>
  <c r="Q1661" i="2"/>
  <c r="Q1752" i="4"/>
  <c r="U1672" i="2"/>
  <c r="U1763" i="4"/>
  <c r="X1674" i="2"/>
  <c r="Z1769" i="1"/>
  <c r="Z1765" i="5" s="1"/>
  <c r="X1681" i="2"/>
  <c r="Z1776" i="1"/>
  <c r="Z1681" i="2" s="1"/>
  <c r="X1687" i="2"/>
  <c r="Z1782" i="1"/>
  <c r="Z1687" i="2" s="1"/>
  <c r="AA1696" i="2"/>
  <c r="AA1787" i="4"/>
  <c r="U1701" i="2"/>
  <c r="U1792" i="4"/>
  <c r="X1703" i="2"/>
  <c r="Z1798" i="1"/>
  <c r="Z1703" i="2" s="1"/>
  <c r="AA1797" i="4"/>
  <c r="AB1801" i="1"/>
  <c r="J1717" i="2"/>
  <c r="J1809" i="4"/>
  <c r="X1722" i="2"/>
  <c r="Z1818" i="1"/>
  <c r="Z1722" i="2" s="1"/>
  <c r="X1725" i="2"/>
  <c r="Z1821" i="1"/>
  <c r="Z1725" i="2" s="1"/>
  <c r="H1736" i="2"/>
  <c r="H1749" i="2" s="1"/>
  <c r="H1828" i="4"/>
  <c r="X1828" i="4" s="1"/>
  <c r="Z1828" i="4" s="1"/>
  <c r="J1832" i="1"/>
  <c r="J1828" i="5" s="1"/>
  <c r="X1832" i="1"/>
  <c r="H1847" i="1"/>
  <c r="M1832" i="1"/>
  <c r="M1828" i="5" s="1"/>
  <c r="M1740" i="2"/>
  <c r="M1832" i="4"/>
  <c r="AA1836" i="1"/>
  <c r="AA1832" i="5" s="1"/>
  <c r="M1762" i="2"/>
  <c r="M1856" i="4"/>
  <c r="AA1860" i="1"/>
  <c r="AA1856" i="5" s="1"/>
  <c r="M1861" i="4"/>
  <c r="AA1865" i="1"/>
  <c r="AA1861" i="5" s="1"/>
  <c r="U1767" i="2"/>
  <c r="U1863" i="4"/>
  <c r="AA1782" i="2"/>
  <c r="AA1878" i="4"/>
  <c r="AB1882" i="1"/>
  <c r="AB1878" i="5" s="1"/>
  <c r="M1783" i="2"/>
  <c r="M1879" i="4"/>
  <c r="AA1883" i="1"/>
  <c r="AA1879" i="5" s="1"/>
  <c r="X1785" i="2"/>
  <c r="Z1885" i="1"/>
  <c r="Z1785" i="2" s="1"/>
  <c r="M1893" i="4"/>
  <c r="M1794" i="2"/>
  <c r="AA1897" i="1"/>
  <c r="AA1893" i="5" s="1"/>
  <c r="M1943" i="4"/>
  <c r="AA1947" i="1"/>
  <c r="AA1943" i="5" s="1"/>
  <c r="M1958" i="4"/>
  <c r="AA1962" i="1"/>
  <c r="AA1958" i="5" s="1"/>
  <c r="AA1963" i="4"/>
  <c r="AB1967" i="1"/>
  <c r="V1976" i="4"/>
  <c r="W1980" i="1"/>
  <c r="V1978" i="4"/>
  <c r="W1982" i="1"/>
  <c r="V1980" i="4"/>
  <c r="W1984" i="1"/>
  <c r="V1982" i="4"/>
  <c r="W1986" i="1"/>
  <c r="V1984" i="4"/>
  <c r="W1988" i="1"/>
  <c r="AA1997" i="4"/>
  <c r="AB2001" i="1"/>
  <c r="M2043" i="4"/>
  <c r="AA2047" i="1"/>
  <c r="AA2043" i="5" s="1"/>
  <c r="V2044" i="4"/>
  <c r="W2048" i="1"/>
  <c r="M2047" i="4"/>
  <c r="AA2051" i="1"/>
  <c r="AA2047" i="5" s="1"/>
  <c r="V2048" i="4"/>
  <c r="W2052" i="1"/>
  <c r="M2051" i="4"/>
  <c r="AA2055" i="1"/>
  <c r="AA2051" i="5" s="1"/>
  <c r="M2088" i="4"/>
  <c r="AA2092" i="1"/>
  <c r="AA2088" i="5" s="1"/>
  <c r="X2090" i="4"/>
  <c r="Z2094" i="1"/>
  <c r="AA2108" i="4"/>
  <c r="AB2112" i="1"/>
  <c r="M2110" i="4"/>
  <c r="AA2114" i="1"/>
  <c r="AA2110" i="5" s="1"/>
  <c r="M2132" i="4"/>
  <c r="AA2136" i="1"/>
  <c r="AA2132" i="5" s="1"/>
  <c r="AA2149" i="4"/>
  <c r="AB2153" i="1"/>
  <c r="M2192" i="4"/>
  <c r="AA2196" i="1"/>
  <c r="AA2192" i="5" s="1"/>
  <c r="AA2214" i="4"/>
  <c r="AB2218" i="1"/>
  <c r="AA2227" i="4"/>
  <c r="AB2231" i="1"/>
  <c r="X2301" i="4"/>
  <c r="Z2307" i="1"/>
  <c r="X2303" i="4"/>
  <c r="Z2309" i="1"/>
  <c r="M2321" i="4"/>
  <c r="AA2327" i="1"/>
  <c r="AA2321" i="5" s="1"/>
  <c r="AA2332" i="4"/>
  <c r="AB2338" i="1"/>
  <c r="M2346" i="4"/>
  <c r="AA2352" i="1"/>
  <c r="AA2346" i="5" s="1"/>
  <c r="H2360" i="4"/>
  <c r="X2360" i="4" s="1"/>
  <c r="Z2360" i="4" s="1"/>
  <c r="J2366" i="1"/>
  <c r="X2366" i="1"/>
  <c r="Z2366" i="1" s="1"/>
  <c r="M2366" i="1"/>
  <c r="M2360" i="5" s="1"/>
  <c r="H2385" i="4"/>
  <c r="X2385" i="4" s="1"/>
  <c r="Z2385" i="4" s="1"/>
  <c r="J2391" i="1"/>
  <c r="J2385" i="5" s="1"/>
  <c r="X2391" i="1"/>
  <c r="H2416" i="1"/>
  <c r="M2391" i="1"/>
  <c r="M2385" i="5" s="1"/>
  <c r="M2403" i="4"/>
  <c r="AA2409" i="1"/>
  <c r="AA2403" i="5" s="1"/>
  <c r="M2513" i="4"/>
  <c r="AA2521" i="1"/>
  <c r="AA2513" i="5" s="1"/>
  <c r="AA2531" i="4"/>
  <c r="AB2539" i="1"/>
  <c r="X2592" i="4"/>
  <c r="Z2600" i="1"/>
  <c r="X2594" i="4"/>
  <c r="Z2602" i="1"/>
  <c r="U2600" i="4"/>
  <c r="AA2608" i="1"/>
  <c r="AA2600" i="5" s="1"/>
  <c r="AA2632" i="4"/>
  <c r="AB2640" i="1"/>
  <c r="H2649" i="4"/>
  <c r="X2649" i="4" s="1"/>
  <c r="M2657" i="1"/>
  <c r="M2649" i="5" s="1"/>
  <c r="M2658" i="5" s="1"/>
  <c r="X2657" i="1"/>
  <c r="Z2657" i="1" s="1"/>
  <c r="H2666" i="1"/>
  <c r="H2668" i="1" s="1"/>
  <c r="H2924" i="1" s="1"/>
  <c r="M2678" i="4"/>
  <c r="AA2686" i="1"/>
  <c r="AA2678" i="5" s="1"/>
  <c r="U310" i="2"/>
  <c r="U323" i="4"/>
  <c r="U464" i="2"/>
  <c r="U484" i="4"/>
  <c r="V552" i="2"/>
  <c r="V573" i="4"/>
  <c r="W572" i="1"/>
  <c r="W573" i="5" s="1"/>
  <c r="V588" i="1"/>
  <c r="Q687" i="2"/>
  <c r="Q717" i="4"/>
  <c r="Q743" i="1"/>
  <c r="W716" i="2"/>
  <c r="W747" i="4"/>
  <c r="AB798" i="2"/>
  <c r="AB832" i="4"/>
  <c r="V954" i="2"/>
  <c r="V997" i="4"/>
  <c r="W998" i="1"/>
  <c r="W997" i="5" s="1"/>
  <c r="W1043" i="2"/>
  <c r="W1091" i="4"/>
  <c r="H1126" i="4"/>
  <c r="X1126" i="4" s="1"/>
  <c r="Z1126" i="4" s="1"/>
  <c r="M1127" i="1"/>
  <c r="M1126" i="5" s="1"/>
  <c r="X1127" i="1"/>
  <c r="Z1127" i="1" s="1"/>
  <c r="X1128" i="2"/>
  <c r="Z1180" i="1"/>
  <c r="Z1128" i="2" s="1"/>
  <c r="V1133" i="2"/>
  <c r="V1185" i="4"/>
  <c r="W1186" i="1"/>
  <c r="W1185" i="5" s="1"/>
  <c r="J1196" i="4"/>
  <c r="J1144" i="2"/>
  <c r="Z1145" i="2"/>
  <c r="Z1197" i="4"/>
  <c r="M1149" i="2"/>
  <c r="M1201" i="4"/>
  <c r="AA1202" i="1"/>
  <c r="AA1201" i="5" s="1"/>
  <c r="U1226" i="2"/>
  <c r="U1289" i="4"/>
  <c r="X1228" i="2"/>
  <c r="Z1292" i="1"/>
  <c r="Z1228" i="2" s="1"/>
  <c r="M1341" i="2"/>
  <c r="M1411" i="4"/>
  <c r="AA1412" i="1"/>
  <c r="AA1411" i="5" s="1"/>
  <c r="U1342" i="2"/>
  <c r="U1412" i="4"/>
  <c r="M1370" i="2"/>
  <c r="M1441" i="4"/>
  <c r="AA1442" i="1"/>
  <c r="AA1441" i="5" s="1"/>
  <c r="V1372" i="2"/>
  <c r="V1443" i="4"/>
  <c r="W1444" i="1"/>
  <c r="W1443" i="5" s="1"/>
  <c r="M1407" i="2"/>
  <c r="M1483" i="4"/>
  <c r="AA1484" i="1"/>
  <c r="AA1483" i="5" s="1"/>
  <c r="V1409" i="2"/>
  <c r="V1485" i="4"/>
  <c r="W1486" i="1"/>
  <c r="W1485" i="5" s="1"/>
  <c r="W1426" i="2"/>
  <c r="W1503" i="4"/>
  <c r="M1456" i="2"/>
  <c r="M1533" i="4"/>
  <c r="AA1534" i="1"/>
  <c r="AA1533" i="5" s="1"/>
  <c r="X1475" i="2"/>
  <c r="X1550" i="4"/>
  <c r="Z1504" i="2"/>
  <c r="Z1580" i="4"/>
  <c r="X1559" i="2"/>
  <c r="Z1645" i="1"/>
  <c r="Z1642" i="5" s="1"/>
  <c r="V1562" i="2"/>
  <c r="V1645" i="4"/>
  <c r="W1648" i="1"/>
  <c r="W1645" i="5" s="1"/>
  <c r="V1581" i="2"/>
  <c r="V1667" i="4"/>
  <c r="W1670" i="1"/>
  <c r="W1667" i="5" s="1"/>
  <c r="M1594" i="2"/>
  <c r="M1683" i="4"/>
  <c r="AA1686" i="1"/>
  <c r="AA1683" i="5" s="1"/>
  <c r="U1595" i="2"/>
  <c r="U1684" i="4"/>
  <c r="M1598" i="2"/>
  <c r="M1687" i="4"/>
  <c r="AA1690" i="1"/>
  <c r="AA1687" i="5" s="1"/>
  <c r="U1599" i="2"/>
  <c r="U1688" i="4"/>
  <c r="M1691" i="4"/>
  <c r="AA1694" i="1"/>
  <c r="AA1691" i="5" s="1"/>
  <c r="V1692" i="4"/>
  <c r="W1695" i="1"/>
  <c r="M1665" i="2"/>
  <c r="M1756" i="4"/>
  <c r="AA1760" i="1"/>
  <c r="AA1756" i="5" s="1"/>
  <c r="J1670" i="2"/>
  <c r="J1761" i="4"/>
  <c r="J1771" i="1"/>
  <c r="Q1680" i="2"/>
  <c r="Q1771" i="4"/>
  <c r="AA1682" i="2"/>
  <c r="AA1773" i="4"/>
  <c r="AB1777" i="1"/>
  <c r="AB1773" i="5" s="1"/>
  <c r="U1688" i="2"/>
  <c r="U1779" i="4"/>
  <c r="J1699" i="2"/>
  <c r="J1790" i="4"/>
  <c r="J1706" i="2"/>
  <c r="J1798" i="4"/>
  <c r="M1718" i="2"/>
  <c r="M1810" i="4"/>
  <c r="AA1814" i="1"/>
  <c r="AA1810" i="5" s="1"/>
  <c r="M1788" i="2"/>
  <c r="M1884" i="4"/>
  <c r="AA1888" i="1"/>
  <c r="AA1884" i="5" s="1"/>
  <c r="H1798" i="2"/>
  <c r="H1897" i="4"/>
  <c r="X1897" i="4" s="1"/>
  <c r="Z1897" i="4" s="1"/>
  <c r="J1901" i="1"/>
  <c r="J1897" i="5" s="1"/>
  <c r="X1901" i="1"/>
  <c r="M1901" i="1"/>
  <c r="M1897" i="5" s="1"/>
  <c r="M1939" i="4"/>
  <c r="AA1943" i="1"/>
  <c r="AA1939" i="5" s="1"/>
  <c r="U1954" i="4"/>
  <c r="U1971" i="1"/>
  <c r="V2015" i="4"/>
  <c r="W2019" i="1"/>
  <c r="W2015" i="5" s="1"/>
  <c r="V2020" i="4"/>
  <c r="W2024" i="1"/>
  <c r="X2100" i="4"/>
  <c r="Z2104" i="1"/>
  <c r="AA2133" i="4"/>
  <c r="AB2137" i="1"/>
  <c r="AA2142" i="4"/>
  <c r="AB2146" i="1"/>
  <c r="M2168" i="4"/>
  <c r="AA2172" i="1"/>
  <c r="AA2168" i="5" s="1"/>
  <c r="AA2210" i="4"/>
  <c r="AB2214" i="1"/>
  <c r="M2396" i="4"/>
  <c r="AA2402" i="1"/>
  <c r="AA2396" i="5" s="1"/>
  <c r="Z2437" i="1"/>
  <c r="Z2452" i="1" s="1"/>
  <c r="X2452" i="1"/>
  <c r="V1640" i="2"/>
  <c r="V1732" i="4"/>
  <c r="W1735" i="1"/>
  <c r="W1732" i="5" s="1"/>
  <c r="M2650" i="4"/>
  <c r="AA2658" i="1"/>
  <c r="AA2650" i="5" s="1"/>
  <c r="V2716" i="4"/>
  <c r="W2724" i="1"/>
  <c r="V2734" i="4"/>
  <c r="W2742" i="1"/>
  <c r="M2553" i="4"/>
  <c r="AA2561" i="1"/>
  <c r="AA2553" i="5" s="1"/>
  <c r="X55" i="2"/>
  <c r="Z59" i="1"/>
  <c r="Z55" i="2" s="1"/>
  <c r="M209" i="2"/>
  <c r="M218" i="4"/>
  <c r="AA218" i="1"/>
  <c r="AA218" i="5" s="1"/>
  <c r="X218" i="2"/>
  <c r="Z227" i="1"/>
  <c r="Z218" i="2" s="1"/>
  <c r="V511" i="2"/>
  <c r="V531" i="4"/>
  <c r="W532" i="1"/>
  <c r="W531" i="5" s="1"/>
  <c r="U524" i="2"/>
  <c r="U543" i="4"/>
  <c r="AA544" i="1"/>
  <c r="AA543" i="5" s="1"/>
  <c r="W580" i="2"/>
  <c r="W604" i="4"/>
  <c r="V815" i="2"/>
  <c r="V850" i="4"/>
  <c r="X959" i="2"/>
  <c r="Z1003" i="1"/>
  <c r="Z959" i="2" s="1"/>
  <c r="M999" i="2"/>
  <c r="AA1045" i="1"/>
  <c r="AA1044" i="5" s="1"/>
  <c r="M1044" i="4"/>
  <c r="AA1113" i="2"/>
  <c r="AA1164" i="4"/>
  <c r="AB1165" i="1"/>
  <c r="AB1164" i="5" s="1"/>
  <c r="M1125" i="2"/>
  <c r="M1176" i="4"/>
  <c r="AA1177" i="1"/>
  <c r="AA1176" i="5" s="1"/>
  <c r="W1132" i="2"/>
  <c r="W1183" i="4"/>
  <c r="X1147" i="2"/>
  <c r="X1199" i="4"/>
  <c r="Z1200" i="1"/>
  <c r="Z1199" i="5" s="1"/>
  <c r="AA1158" i="2"/>
  <c r="AA1212" i="4"/>
  <c r="AB1213" i="1"/>
  <c r="AB1212" i="5" s="1"/>
  <c r="V1189" i="2"/>
  <c r="V1248" i="4"/>
  <c r="W1249" i="1"/>
  <c r="W1248" i="5" s="1"/>
  <c r="Q1333" i="4"/>
  <c r="Q1268" i="2"/>
  <c r="AA1272" i="2"/>
  <c r="AA1337" i="4"/>
  <c r="AB1338" i="1"/>
  <c r="AB1337" i="5" s="1"/>
  <c r="V1290" i="2"/>
  <c r="V1355" i="4"/>
  <c r="W1356" i="1"/>
  <c r="W1355" i="5" s="1"/>
  <c r="U1295" i="2"/>
  <c r="U1360" i="4"/>
  <c r="X1298" i="2"/>
  <c r="Z1368" i="1"/>
  <c r="Z1298" i="2" s="1"/>
  <c r="M1338" i="2"/>
  <c r="M1408" i="4"/>
  <c r="AA1409" i="1"/>
  <c r="AA1408" i="5" s="1"/>
  <c r="M1382" i="2"/>
  <c r="M1453" i="4"/>
  <c r="AA1454" i="1"/>
  <c r="AA1453" i="5" s="1"/>
  <c r="X1392" i="2"/>
  <c r="Z1466" i="1"/>
  <c r="Z1392" i="2" s="1"/>
  <c r="M1408" i="2"/>
  <c r="M1484" i="4"/>
  <c r="AA1485" i="1"/>
  <c r="AA1484" i="5" s="1"/>
  <c r="Z1597" i="2"/>
  <c r="Z1686" i="4"/>
  <c r="U1613" i="2"/>
  <c r="U1705" i="4"/>
  <c r="M1624" i="2"/>
  <c r="M1716" i="4"/>
  <c r="AA1719" i="1"/>
  <c r="AA1716" i="5" s="1"/>
  <c r="Z1625" i="2"/>
  <c r="Z1717" i="4"/>
  <c r="V1639" i="2"/>
  <c r="V1731" i="4"/>
  <c r="W1734" i="1"/>
  <c r="W1731" i="5" s="1"/>
  <c r="J1656" i="2"/>
  <c r="J2652" i="2" s="1"/>
  <c r="J1747" i="4"/>
  <c r="J2827" i="1"/>
  <c r="Q1674" i="2"/>
  <c r="Q1765" i="4"/>
  <c r="U1740" i="2"/>
  <c r="U1832" i="4"/>
  <c r="Q1742" i="2"/>
  <c r="Q1834" i="4"/>
  <c r="M1754" i="2"/>
  <c r="M1848" i="4"/>
  <c r="AA1852" i="1"/>
  <c r="AA1848" i="5" s="1"/>
  <c r="X1778" i="2"/>
  <c r="Z1878" i="1"/>
  <c r="Z1778" i="2" s="1"/>
  <c r="M1790" i="2"/>
  <c r="M1889" i="4"/>
  <c r="AA1893" i="1"/>
  <c r="AA1889" i="5" s="1"/>
  <c r="AA1904" i="4"/>
  <c r="AB1908" i="1"/>
  <c r="U1925" i="4"/>
  <c r="U1951" i="4" s="1"/>
  <c r="U1955" i="1"/>
  <c r="M1996" i="4"/>
  <c r="AA2000" i="1"/>
  <c r="AA1996" i="5" s="1"/>
  <c r="M2001" i="4"/>
  <c r="AA2005" i="1"/>
  <c r="AA2001" i="5" s="1"/>
  <c r="M2009" i="4"/>
  <c r="AA2013" i="1"/>
  <c r="AA2009" i="5" s="1"/>
  <c r="H2217" i="4"/>
  <c r="X2217" i="4" s="1"/>
  <c r="Z2217" i="4" s="1"/>
  <c r="J2221" i="1"/>
  <c r="M2221" i="1"/>
  <c r="M2217" i="5" s="1"/>
  <c r="X2221" i="1"/>
  <c r="Z2221" i="1" s="1"/>
  <c r="M2226" i="4"/>
  <c r="AA2230" i="1"/>
  <c r="AA2226" i="5" s="1"/>
  <c r="AA2440" i="4"/>
  <c r="AB2446" i="1"/>
  <c r="V2478" i="4"/>
  <c r="W2486" i="1"/>
  <c r="X2515" i="1"/>
  <c r="H2507" i="4"/>
  <c r="X2507" i="4" s="1"/>
  <c r="Z2507" i="4" s="1"/>
  <c r="M2515" i="1"/>
  <c r="M2507" i="5" s="1"/>
  <c r="M2515" i="5" s="1"/>
  <c r="V2515" i="1"/>
  <c r="V2507" i="5" s="1"/>
  <c r="V2521" i="4"/>
  <c r="W2529" i="1"/>
  <c r="V2526" i="4"/>
  <c r="W2534" i="1"/>
  <c r="V2554" i="4"/>
  <c r="W2562" i="1"/>
  <c r="X2576" i="4"/>
  <c r="Z2584" i="1"/>
  <c r="V2579" i="4"/>
  <c r="W2587" i="1"/>
  <c r="AA2585" i="4"/>
  <c r="AB2593" i="1"/>
  <c r="X2596" i="4"/>
  <c r="Z2604" i="1"/>
  <c r="AA2619" i="4"/>
  <c r="AB2627" i="1"/>
  <c r="Z2630" i="1"/>
  <c r="Z2622" i="5" s="1"/>
  <c r="AW2867" i="1"/>
  <c r="M2630" i="4"/>
  <c r="AA2638" i="1"/>
  <c r="AA2630" i="5" s="1"/>
  <c r="V2656" i="4"/>
  <c r="W2664" i="1"/>
  <c r="AB2784" i="1"/>
  <c r="AB2789" i="1"/>
  <c r="AB2806" i="1"/>
  <c r="M2815" i="1"/>
  <c r="X2815" i="1"/>
  <c r="Z2815" i="1" s="1"/>
  <c r="AB2850" i="1"/>
  <c r="U826" i="2"/>
  <c r="U861" i="4"/>
  <c r="AA861" i="1"/>
  <c r="AA861" i="5" s="1"/>
  <c r="J896" i="2"/>
  <c r="J939" i="4"/>
  <c r="Z931" i="2"/>
  <c r="Z973" i="4"/>
  <c r="V961" i="2"/>
  <c r="V1004" i="4"/>
  <c r="W1005" i="1"/>
  <c r="W1004" i="5" s="1"/>
  <c r="W1151" i="2"/>
  <c r="W1203" i="4"/>
  <c r="W1310" i="2"/>
  <c r="W1379" i="4"/>
  <c r="Q1328" i="2"/>
  <c r="Q1398" i="4"/>
  <c r="M1411" i="2"/>
  <c r="M1487" i="4"/>
  <c r="AA1488" i="1"/>
  <c r="AA1487" i="5" s="1"/>
  <c r="X1423" i="2"/>
  <c r="X1542" i="1"/>
  <c r="Z1501" i="1"/>
  <c r="W1563" i="2"/>
  <c r="W1646" i="4"/>
  <c r="W1624" i="2"/>
  <c r="W1716" i="4"/>
  <c r="X1632" i="2"/>
  <c r="Z1727" i="1"/>
  <c r="Z1724" i="5" s="1"/>
  <c r="U1686" i="2"/>
  <c r="U1777" i="4"/>
  <c r="J1697" i="2"/>
  <c r="J1788" i="4"/>
  <c r="J1806" i="1"/>
  <c r="Q1703" i="2"/>
  <c r="Q1794" i="4"/>
  <c r="AA1714" i="2"/>
  <c r="AA1806" i="4"/>
  <c r="AB1810" i="1"/>
  <c r="AB1806" i="5" s="1"/>
  <c r="X1758" i="2"/>
  <c r="Z1856" i="1"/>
  <c r="Z1758" i="2" s="1"/>
  <c r="M1913" i="4"/>
  <c r="AA1917" i="1"/>
  <c r="AA1913" i="5" s="1"/>
  <c r="V1995" i="4"/>
  <c r="W1999" i="1"/>
  <c r="H2104" i="4"/>
  <c r="M2108" i="1"/>
  <c r="M2104" i="5" s="1"/>
  <c r="M2112" i="5" s="1"/>
  <c r="X2108" i="1"/>
  <c r="X2104" i="5" s="1"/>
  <c r="M2109" i="4"/>
  <c r="AA2113" i="1"/>
  <c r="AA2109" i="5" s="1"/>
  <c r="H2225" i="4"/>
  <c r="X2225" i="4" s="1"/>
  <c r="Z2225" i="4" s="1"/>
  <c r="M2229" i="1"/>
  <c r="M2225" i="5" s="1"/>
  <c r="M2243" i="5" s="1"/>
  <c r="X2229" i="1"/>
  <c r="J2229" i="1"/>
  <c r="J2225" i="5" s="1"/>
  <c r="H2247" i="1"/>
  <c r="M2232" i="4"/>
  <c r="AA2236" i="1"/>
  <c r="AA2232" i="5" s="1"/>
  <c r="X2465" i="4"/>
  <c r="Z2473" i="1"/>
  <c r="V2468" i="4"/>
  <c r="W2476" i="1"/>
  <c r="M2574" i="4"/>
  <c r="AA2582" i="1"/>
  <c r="AA2574" i="5" s="1"/>
  <c r="M2620" i="4"/>
  <c r="AA2628" i="1"/>
  <c r="AA2620" i="5" s="1"/>
  <c r="V2669" i="4"/>
  <c r="W2677" i="1"/>
  <c r="AB2823" i="1"/>
  <c r="AB2841" i="1"/>
  <c r="AB2857" i="1"/>
  <c r="V1023" i="2"/>
  <c r="V1070" i="4"/>
  <c r="W1071" i="1"/>
  <c r="W1070" i="5" s="1"/>
  <c r="AA1239" i="4"/>
  <c r="AB1240" i="1"/>
  <c r="V1253" i="2"/>
  <c r="V1316" i="4"/>
  <c r="W1317" i="1"/>
  <c r="W1316" i="5" s="1"/>
  <c r="X1270" i="2"/>
  <c r="Z1336" i="1"/>
  <c r="Z1270" i="2" s="1"/>
  <c r="W1348" i="2"/>
  <c r="W1418" i="4"/>
  <c r="M1387" i="2"/>
  <c r="M1458" i="4"/>
  <c r="AA1459" i="1"/>
  <c r="AA1458" i="5" s="1"/>
  <c r="W1475" i="2"/>
  <c r="W1550" i="4"/>
  <c r="Z1543" i="2"/>
  <c r="Z1624" i="4"/>
  <c r="Z1549" i="2"/>
  <c r="Z1630" i="4"/>
  <c r="X1553" i="2"/>
  <c r="Z1638" i="1"/>
  <c r="Z1635" i="5" s="1"/>
  <c r="Z1587" i="2"/>
  <c r="Z1676" i="4"/>
  <c r="V1631" i="2"/>
  <c r="V1723" i="4"/>
  <c r="W1726" i="1"/>
  <c r="W1723" i="5" s="1"/>
  <c r="V1740" i="1"/>
  <c r="U1655" i="2"/>
  <c r="U1746" i="4"/>
  <c r="X1662" i="2"/>
  <c r="X1753" i="4"/>
  <c r="Z1757" i="1"/>
  <c r="Z1753" i="5" s="1"/>
  <c r="Q1670" i="2"/>
  <c r="Q1761" i="4"/>
  <c r="Q1771" i="1"/>
  <c r="X1691" i="2"/>
  <c r="Z1786" i="1"/>
  <c r="Z1691" i="2" s="1"/>
  <c r="U1784" i="2"/>
  <c r="U1880" i="4"/>
  <c r="Q1897" i="4"/>
  <c r="Q1798" i="2"/>
  <c r="AA1902" i="4"/>
  <c r="AB1906" i="1"/>
  <c r="AB1902" i="5" s="1"/>
  <c r="M1930" i="4"/>
  <c r="AA1934" i="1"/>
  <c r="AA1930" i="5" s="1"/>
  <c r="V2002" i="4"/>
  <c r="W2006" i="1"/>
  <c r="H2213" i="4"/>
  <c r="X2213" i="4" s="1"/>
  <c r="Z2213" i="4" s="1"/>
  <c r="J2217" i="1"/>
  <c r="X2217" i="1"/>
  <c r="M2217" i="1"/>
  <c r="M2213" i="5" s="1"/>
  <c r="M2234" i="4"/>
  <c r="AA2238" i="1"/>
  <c r="AA2234" i="5" s="1"/>
  <c r="M2272" i="4"/>
  <c r="AA2276" i="1"/>
  <c r="AA2272" i="5" s="1"/>
  <c r="M2374" i="4"/>
  <c r="AA2380" i="1"/>
  <c r="AA2374" i="5" s="1"/>
  <c r="M2522" i="4"/>
  <c r="AA2530" i="1"/>
  <c r="AA2522" i="5" s="1"/>
  <c r="X2575" i="4"/>
  <c r="Z2583" i="1"/>
  <c r="W2587" i="4"/>
  <c r="AA2601" i="4"/>
  <c r="AB2609" i="1"/>
  <c r="M2716" i="4"/>
  <c r="AA2724" i="1"/>
  <c r="AA2716" i="5" s="1"/>
  <c r="AB2781" i="1"/>
  <c r="AA2826" i="1"/>
  <c r="X1365" i="2"/>
  <c r="AB2824" i="1"/>
  <c r="Z1603" i="2"/>
  <c r="Z1695" i="4"/>
  <c r="Z455" i="4"/>
  <c r="Z435" i="2"/>
  <c r="AB648" i="2"/>
  <c r="AB676" i="4"/>
  <c r="V758" i="2"/>
  <c r="V791" i="4"/>
  <c r="V840" i="2"/>
  <c r="V879" i="4"/>
  <c r="W879" i="1"/>
  <c r="W879" i="5" s="1"/>
  <c r="X1010" i="2"/>
  <c r="Z1056" i="1"/>
  <c r="Z1010" i="2" s="1"/>
  <c r="M1083" i="2"/>
  <c r="M1133" i="4"/>
  <c r="AA1134" i="1"/>
  <c r="AA1133" i="5" s="1"/>
  <c r="X1107" i="2"/>
  <c r="Z1158" i="1"/>
  <c r="Z1107" i="2" s="1"/>
  <c r="V1131" i="2"/>
  <c r="V1182" i="4"/>
  <c r="W1183" i="1"/>
  <c r="W1182" i="5" s="1"/>
  <c r="Z1152" i="2"/>
  <c r="Z1204" i="4"/>
  <c r="U1178" i="2"/>
  <c r="U1232" i="4"/>
  <c r="AA1182" i="2"/>
  <c r="AA1241" i="4"/>
  <c r="AB1242" i="1"/>
  <c r="AB1241" i="5" s="1"/>
  <c r="V1199" i="2"/>
  <c r="V1258" i="4"/>
  <c r="W1259" i="1"/>
  <c r="W1258" i="5" s="1"/>
  <c r="Q1235" i="2"/>
  <c r="Q1298" i="4"/>
  <c r="Q1256" i="2"/>
  <c r="Q1319" i="4"/>
  <c r="X1286" i="2"/>
  <c r="Z1352" i="1"/>
  <c r="X1300" i="2"/>
  <c r="Z1370" i="1"/>
  <c r="Z1300" i="2" s="1"/>
  <c r="J1327" i="2"/>
  <c r="J1397" i="4"/>
  <c r="V1346" i="2"/>
  <c r="V1416" i="4"/>
  <c r="W1417" i="1"/>
  <c r="W1416" i="5" s="1"/>
  <c r="V1382" i="2"/>
  <c r="V1453" i="4"/>
  <c r="W1454" i="1"/>
  <c r="W1453" i="5" s="1"/>
  <c r="V1391" i="2"/>
  <c r="V1463" i="4"/>
  <c r="W1464" i="1"/>
  <c r="W1463" i="5" s="1"/>
  <c r="Q1400" i="2"/>
  <c r="Q1476" i="4"/>
  <c r="U1462" i="2"/>
  <c r="U1539" i="4"/>
  <c r="AA1522" i="2"/>
  <c r="AA1600" i="4"/>
  <c r="AB1603" i="1"/>
  <c r="AB1600" i="5" s="1"/>
  <c r="AA1649" i="4"/>
  <c r="AA1566" i="2"/>
  <c r="AB1652" i="1"/>
  <c r="AB1649" i="5" s="1"/>
  <c r="W1582" i="2"/>
  <c r="W2648" i="2" s="1"/>
  <c r="W1668" i="4"/>
  <c r="W1592" i="2"/>
  <c r="W1681" i="4"/>
  <c r="W1600" i="2"/>
  <c r="W2675" i="2" s="1"/>
  <c r="W1689" i="4"/>
  <c r="U1609" i="2"/>
  <c r="U1701" i="4"/>
  <c r="U1712" i="1"/>
  <c r="M1620" i="2"/>
  <c r="M1712" i="4"/>
  <c r="M1723" i="1"/>
  <c r="AA1715" i="1"/>
  <c r="AA1712" i="5" s="1"/>
  <c r="AA1720" i="5" s="1"/>
  <c r="Z1621" i="2"/>
  <c r="Z1713" i="4"/>
  <c r="V1635" i="2"/>
  <c r="V1727" i="4"/>
  <c r="W1730" i="1"/>
  <c r="W1727" i="5" s="1"/>
  <c r="AA1659" i="2"/>
  <c r="AA1750" i="4"/>
  <c r="AB1754" i="1"/>
  <c r="AB1750" i="5" s="1"/>
  <c r="Q1696" i="2"/>
  <c r="Q1787" i="4"/>
  <c r="Q1806" i="1"/>
  <c r="U1878" i="4"/>
  <c r="U1782" i="2"/>
  <c r="M1793" i="2"/>
  <c r="M1892" i="4"/>
  <c r="AA1896" i="1"/>
  <c r="AA1892" i="5" s="1"/>
  <c r="V1994" i="4"/>
  <c r="W1998" i="1"/>
  <c r="M2416" i="4"/>
  <c r="AA2422" i="1"/>
  <c r="AA2416" i="5" s="1"/>
  <c r="X2456" i="4"/>
  <c r="Z2464" i="1"/>
  <c r="M2486" i="4"/>
  <c r="AA2494" i="1"/>
  <c r="AA2486" i="5" s="1"/>
  <c r="M2525" i="4"/>
  <c r="AA2533" i="1"/>
  <c r="AA2525" i="5" s="1"/>
  <c r="M2532" i="4"/>
  <c r="AA2540" i="1"/>
  <c r="AA2532" i="5" s="1"/>
  <c r="M2542" i="4"/>
  <c r="AA2550" i="1"/>
  <c r="AA2542" i="5" s="1"/>
  <c r="X2573" i="4"/>
  <c r="Z2581" i="1"/>
  <c r="Z2573" i="5" s="1"/>
  <c r="M2736" i="4"/>
  <c r="AA2744" i="1"/>
  <c r="AA2736" i="5" s="1"/>
  <c r="AB2782" i="1"/>
  <c r="X637" i="2"/>
  <c r="Z665" i="1"/>
  <c r="Z637" i="2" s="1"/>
  <c r="M1086" i="2"/>
  <c r="M1136" i="4"/>
  <c r="AA1137" i="1"/>
  <c r="AA1136" i="5" s="1"/>
  <c r="V1339" i="2"/>
  <c r="V1409" i="4"/>
  <c r="W1410" i="1"/>
  <c r="W1409" i="5" s="1"/>
  <c r="J1365" i="2"/>
  <c r="J1436" i="4"/>
  <c r="J1472" i="1"/>
  <c r="V1368" i="2"/>
  <c r="V1439" i="4"/>
  <c r="W1440" i="1"/>
  <c r="W1439" i="5" s="1"/>
  <c r="X1384" i="2"/>
  <c r="Z1456" i="1"/>
  <c r="Z1384" i="2" s="1"/>
  <c r="W1393" i="2"/>
  <c r="W1469" i="4"/>
  <c r="X1512" i="2"/>
  <c r="X1590" i="4"/>
  <c r="Z1593" i="1"/>
  <c r="Z1590" i="5" s="1"/>
  <c r="V1623" i="2"/>
  <c r="V1715" i="4"/>
  <c r="W1718" i="1"/>
  <c r="W1715" i="5" s="1"/>
  <c r="M1705" i="2"/>
  <c r="M1796" i="4"/>
  <c r="AA1800" i="1"/>
  <c r="AA1796" i="5" s="1"/>
  <c r="Q1717" i="2"/>
  <c r="Q1809" i="4"/>
  <c r="M1723" i="2"/>
  <c r="M1815" i="4"/>
  <c r="AA1819" i="1"/>
  <c r="AA1815" i="5" s="1"/>
  <c r="X1737" i="2"/>
  <c r="Z1833" i="1"/>
  <c r="Z1737" i="2" s="1"/>
  <c r="U1744" i="2"/>
  <c r="U1836" i="4"/>
  <c r="Q1762" i="2"/>
  <c r="Q1856" i="4"/>
  <c r="U1786" i="2"/>
  <c r="U1882" i="4"/>
  <c r="M1965" i="4"/>
  <c r="AA1969" i="1"/>
  <c r="AA1965" i="5" s="1"/>
  <c r="M1990" i="4"/>
  <c r="AA1994" i="1"/>
  <c r="AA1990" i="5" s="1"/>
  <c r="M1998" i="4"/>
  <c r="AA2002" i="1"/>
  <c r="AA1998" i="5" s="1"/>
  <c r="M2003" i="4"/>
  <c r="AA2007" i="1"/>
  <c r="AA2003" i="5" s="1"/>
  <c r="X2457" i="4"/>
  <c r="Z2465" i="1"/>
  <c r="U2541" i="4"/>
  <c r="U2573" i="1"/>
  <c r="X2577" i="4"/>
  <c r="Z2585" i="1"/>
  <c r="H2597" i="4"/>
  <c r="M2605" i="1"/>
  <c r="M2597" i="5" s="1"/>
  <c r="X2605" i="1"/>
  <c r="X2597" i="5" s="1"/>
  <c r="M2732" i="4"/>
  <c r="AA2740" i="1"/>
  <c r="AA2732" i="5" s="1"/>
  <c r="M2758" i="1"/>
  <c r="Q2847" i="1"/>
  <c r="Q2926" i="1"/>
  <c r="M2813" i="1"/>
  <c r="X2813" i="1"/>
  <c r="Z2813" i="1" s="1"/>
  <c r="Q732" i="2"/>
  <c r="Q763" i="4"/>
  <c r="W817" i="2"/>
  <c r="W852" i="4"/>
  <c r="M867" i="4"/>
  <c r="AA867" i="1"/>
  <c r="AA867" i="5" s="1"/>
  <c r="V1060" i="2"/>
  <c r="V1109" i="4"/>
  <c r="W1110" i="1"/>
  <c r="W1109" i="5" s="1"/>
  <c r="V1130" i="1"/>
  <c r="X1192" i="2"/>
  <c r="Z1252" i="1"/>
  <c r="Z1192" i="2" s="1"/>
  <c r="Q1347" i="2"/>
  <c r="Q1417" i="4"/>
  <c r="W1355" i="2"/>
  <c r="W1425" i="4"/>
  <c r="Z1545" i="2"/>
  <c r="Z1626" i="4"/>
  <c r="J1689" i="2"/>
  <c r="J1780" i="4"/>
  <c r="U1753" i="2"/>
  <c r="U1847" i="4"/>
  <c r="U1869" i="1"/>
  <c r="V1997" i="4"/>
  <c r="W2001" i="1"/>
  <c r="M2119" i="4"/>
  <c r="AA2123" i="1"/>
  <c r="AA2119" i="5" s="1"/>
  <c r="H2288" i="4"/>
  <c r="X2288" i="4" s="1"/>
  <c r="Z2288" i="4" s="1"/>
  <c r="J2292" i="1"/>
  <c r="M2292" i="1"/>
  <c r="M2288" i="5" s="1"/>
  <c r="X2292" i="1"/>
  <c r="Z2292" i="1" s="1"/>
  <c r="V2485" i="4"/>
  <c r="W2493" i="1"/>
  <c r="M2544" i="4"/>
  <c r="AA2552" i="1"/>
  <c r="AA2544" i="5" s="1"/>
  <c r="X2580" i="4"/>
  <c r="Z2588" i="1"/>
  <c r="V2633" i="4"/>
  <c r="W2641" i="1"/>
  <c r="AB2787" i="1"/>
  <c r="AB2846" i="1"/>
  <c r="X567" i="4"/>
  <c r="Z567" i="4" s="1"/>
  <c r="X596" i="4"/>
  <c r="Z596" i="4" s="1"/>
  <c r="X617" i="4"/>
  <c r="Z617" i="4" s="1"/>
  <c r="X697" i="4"/>
  <c r="Z697" i="4" s="1"/>
  <c r="X814" i="4"/>
  <c r="Z814" i="4" s="1"/>
  <c r="X857" i="4"/>
  <c r="Z857" i="4" s="1"/>
  <c r="X909" i="4"/>
  <c r="Z909" i="4" s="1"/>
  <c r="X994" i="4"/>
  <c r="Z994" i="4" s="1"/>
  <c r="X999" i="4"/>
  <c r="Z999" i="4" s="1"/>
  <c r="X1052" i="4"/>
  <c r="Z1052" i="4" s="1"/>
  <c r="X1123" i="4"/>
  <c r="Z1123" i="4" s="1"/>
  <c r="X1127" i="4"/>
  <c r="Z1127" i="4" s="1"/>
  <c r="K1185" i="2"/>
  <c r="X1223" i="4"/>
  <c r="X1237" i="4"/>
  <c r="X1247" i="4"/>
  <c r="Z1247" i="4" s="1"/>
  <c r="X1249" i="4"/>
  <c r="Z1249" i="4" s="1"/>
  <c r="P633" i="2"/>
  <c r="X670" i="4"/>
  <c r="Z670" i="4" s="1"/>
  <c r="E855" i="2"/>
  <c r="P855" i="2"/>
  <c r="X880" i="4"/>
  <c r="Z880" i="4" s="1"/>
  <c r="E898" i="2"/>
  <c r="X1113" i="4"/>
  <c r="Z1113" i="4" s="1"/>
  <c r="X1117" i="4"/>
  <c r="Z1117" i="4" s="1"/>
  <c r="AA1121" i="1"/>
  <c r="AA1120" i="5" s="1"/>
  <c r="X1170" i="4"/>
  <c r="Z1170" i="4" s="1"/>
  <c r="P1544" i="1"/>
  <c r="P2910" i="1" s="1"/>
  <c r="X1226" i="4"/>
  <c r="F1281" i="4"/>
  <c r="X1259" i="4"/>
  <c r="Z1259" i="4" s="1"/>
  <c r="X1264" i="4"/>
  <c r="Z1264" i="4" s="1"/>
  <c r="X1269" i="4"/>
  <c r="Z1269" i="4" s="1"/>
  <c r="X1290" i="4"/>
  <c r="Z1290" i="4" s="1"/>
  <c r="X1312" i="4"/>
  <c r="Z1312" i="4" s="1"/>
  <c r="F1339" i="4"/>
  <c r="X1322" i="4"/>
  <c r="Z1322" i="4" s="1"/>
  <c r="X1329" i="4"/>
  <c r="Z1329" i="4" s="1"/>
  <c r="X1333" i="4"/>
  <c r="Z1333" i="4" s="1"/>
  <c r="F1402" i="4"/>
  <c r="H2372" i="1"/>
  <c r="X119" i="4"/>
  <c r="Z119" i="4" s="1"/>
  <c r="P502" i="2"/>
  <c r="X729" i="4"/>
  <c r="Z729" i="4" s="1"/>
  <c r="F855" i="2"/>
  <c r="X902" i="4"/>
  <c r="Z902" i="4" s="1"/>
  <c r="V1028" i="1"/>
  <c r="V1027" i="5" s="1"/>
  <c r="X1063" i="4"/>
  <c r="Z1063" i="4" s="1"/>
  <c r="V1107" i="1"/>
  <c r="X1260" i="4"/>
  <c r="Z1260" i="4" s="1"/>
  <c r="F1246" i="2"/>
  <c r="E1274" i="2"/>
  <c r="X1480" i="4"/>
  <c r="Z1480" i="4" s="1"/>
  <c r="X1493" i="4"/>
  <c r="Z1493" i="4" s="1"/>
  <c r="P1464" i="2"/>
  <c r="P1514" i="2"/>
  <c r="X592" i="4"/>
  <c r="Z592" i="4" s="1"/>
  <c r="Y237" i="4"/>
  <c r="X55" i="4"/>
  <c r="Z55" i="4" s="1"/>
  <c r="K781" i="4"/>
  <c r="U802" i="1"/>
  <c r="X809" i="4"/>
  <c r="Z809" i="4" s="1"/>
  <c r="P941" i="2"/>
  <c r="P943" i="2" s="1"/>
  <c r="AA1006" i="1"/>
  <c r="AA1005" i="5" s="1"/>
  <c r="X1177" i="4"/>
  <c r="Z1177" i="4" s="1"/>
  <c r="X1261" i="4"/>
  <c r="Z1261" i="4" s="1"/>
  <c r="X1306" i="4"/>
  <c r="Z1306" i="4" s="1"/>
  <c r="X1326" i="4"/>
  <c r="Z1326" i="4" s="1"/>
  <c r="X1409" i="4"/>
  <c r="Z1409" i="4" s="1"/>
  <c r="X1416" i="4"/>
  <c r="Z1416" i="4" s="1"/>
  <c r="X1438" i="4"/>
  <c r="Z1438" i="4" s="1"/>
  <c r="X1444" i="4"/>
  <c r="Z1444" i="4" s="1"/>
  <c r="X1613" i="4"/>
  <c r="X1643" i="4"/>
  <c r="X1645" i="4"/>
  <c r="X1647" i="4"/>
  <c r="X1652" i="4"/>
  <c r="X1777" i="4"/>
  <c r="Z1777" i="4" s="1"/>
  <c r="X1787" i="4"/>
  <c r="Z1787" i="4" s="1"/>
  <c r="X1831" i="4"/>
  <c r="Z1831" i="4" s="1"/>
  <c r="X1882" i="4"/>
  <c r="Z1882" i="4" s="1"/>
  <c r="X580" i="4"/>
  <c r="Z580" i="4" s="1"/>
  <c r="X600" i="4"/>
  <c r="Z600" i="4" s="1"/>
  <c r="X813" i="4"/>
  <c r="Z813" i="4" s="1"/>
  <c r="X889" i="4"/>
  <c r="Z889" i="4" s="1"/>
  <c r="E1306" i="2"/>
  <c r="X1437" i="4"/>
  <c r="Z1437" i="4" s="1"/>
  <c r="X1486" i="4"/>
  <c r="Z1486" i="4" s="1"/>
  <c r="H1492" i="2"/>
  <c r="P1537" i="2"/>
  <c r="X1597" i="4"/>
  <c r="X1602" i="4"/>
  <c r="X1605" i="4"/>
  <c r="X1625" i="4"/>
  <c r="X1629" i="4"/>
  <c r="X1675" i="4"/>
  <c r="X1700" i="4"/>
  <c r="X1704" i="4"/>
  <c r="E1693" i="2"/>
  <c r="P1693" i="2"/>
  <c r="P1728" i="2"/>
  <c r="X1807" i="4"/>
  <c r="Z1807" i="4" s="1"/>
  <c r="X1863" i="4"/>
  <c r="Z1863" i="4" s="1"/>
  <c r="X1895" i="4"/>
  <c r="Z1895" i="4" s="1"/>
  <c r="X1935" i="4"/>
  <c r="Z1935" i="4" s="1"/>
  <c r="F2085" i="1"/>
  <c r="F2916" i="1" s="1"/>
  <c r="X2251" i="4"/>
  <c r="Z2251" i="4" s="1"/>
  <c r="X704" i="4"/>
  <c r="Z704" i="4" s="1"/>
  <c r="AA1174" i="1"/>
  <c r="AA1173" i="5" s="1"/>
  <c r="X1305" i="4"/>
  <c r="Z1305" i="4" s="1"/>
  <c r="E1362" i="2"/>
  <c r="X1476" i="4"/>
  <c r="Z1476" i="4" s="1"/>
  <c r="X1509" i="4"/>
  <c r="Z1509" i="4" s="1"/>
  <c r="X1646" i="4"/>
  <c r="H1605" i="2"/>
  <c r="X1685" i="4"/>
  <c r="X1689" i="4"/>
  <c r="X1805" i="4"/>
  <c r="Z1805" i="4" s="1"/>
  <c r="X1841" i="4"/>
  <c r="Z1841" i="4" s="1"/>
  <c r="Z1904" i="4"/>
  <c r="X1905" i="4"/>
  <c r="Z1905" i="4" s="1"/>
  <c r="X1955" i="4"/>
  <c r="Z1955" i="4" s="1"/>
  <c r="AA2190" i="1"/>
  <c r="AA2186" i="5" s="1"/>
  <c r="Q2247" i="1"/>
  <c r="AA2254" i="1"/>
  <c r="AA2250" i="5" s="1"/>
  <c r="AA2405" i="1"/>
  <c r="AA2399" i="5" s="1"/>
  <c r="X2435" i="4"/>
  <c r="Z2435" i="4" s="1"/>
  <c r="X2441" i="4"/>
  <c r="Z2441" i="4" s="1"/>
  <c r="X494" i="4"/>
  <c r="Z494" i="4" s="1"/>
  <c r="X1153" i="4"/>
  <c r="Z1153" i="4" s="1"/>
  <c r="X1348" i="4"/>
  <c r="Z1348" i="4" s="1"/>
  <c r="X1361" i="4"/>
  <c r="Z1361" i="4" s="1"/>
  <c r="X1448" i="4"/>
  <c r="Z1448" i="4" s="1"/>
  <c r="X1462" i="4"/>
  <c r="Z1462" i="4" s="1"/>
  <c r="X1600" i="4"/>
  <c r="X1610" i="4"/>
  <c r="X1662" i="4"/>
  <c r="E1769" i="2"/>
  <c r="P1800" i="2"/>
  <c r="F1800" i="2"/>
  <c r="X1877" i="4"/>
  <c r="Z1877" i="4" s="1"/>
  <c r="X2159" i="4"/>
  <c r="Z2159" i="4" s="1"/>
  <c r="Z2171" i="4"/>
  <c r="X2182" i="4"/>
  <c r="Z2182" i="4" s="1"/>
  <c r="X2184" i="4"/>
  <c r="Z2184" i="4" s="1"/>
  <c r="AA2216" i="1"/>
  <c r="AA2212" i="5" s="1"/>
  <c r="Z2370" i="4"/>
  <c r="Z2390" i="4"/>
  <c r="X2391" i="4"/>
  <c r="Z2391" i="4" s="1"/>
  <c r="V2730" i="1"/>
  <c r="V2722" i="5" s="1"/>
  <c r="X573" i="4"/>
  <c r="Z573" i="4" s="1"/>
  <c r="X705" i="4"/>
  <c r="Z705" i="4" s="1"/>
  <c r="X821" i="4"/>
  <c r="Z821" i="4" s="1"/>
  <c r="U1310" i="1"/>
  <c r="X1464" i="4"/>
  <c r="Z1464" i="4" s="1"/>
  <c r="AA1599" i="1"/>
  <c r="AA1596" i="5" s="1"/>
  <c r="AA1618" i="5" s="1"/>
  <c r="H1676" i="2"/>
  <c r="X1830" i="4"/>
  <c r="Z1830" i="4" s="1"/>
  <c r="X1850" i="4"/>
  <c r="Z1850" i="4" s="1"/>
  <c r="AA1919" i="1"/>
  <c r="AA1915" i="5" s="1"/>
  <c r="AA1938" i="1"/>
  <c r="AA1934" i="5" s="1"/>
  <c r="E2298" i="1"/>
  <c r="E2918" i="1" s="1"/>
  <c r="AA2121" i="1"/>
  <c r="AA2117" i="5" s="1"/>
  <c r="F2454" i="1"/>
  <c r="F2920" i="1" s="1"/>
  <c r="AA2364" i="1"/>
  <c r="AA2358" i="5" s="1"/>
  <c r="P2575" i="1"/>
  <c r="P2922" i="1" s="1"/>
  <c r="X840" i="4"/>
  <c r="Z840" i="4" s="1"/>
  <c r="P1185" i="2"/>
  <c r="X1442" i="4"/>
  <c r="Z1442" i="4" s="1"/>
  <c r="X1524" i="4"/>
  <c r="Z1524" i="4" s="1"/>
  <c r="AA1892" i="1"/>
  <c r="AA1888" i="5" s="1"/>
  <c r="X1940" i="4"/>
  <c r="Z1940" i="4" s="1"/>
  <c r="X2434" i="1"/>
  <c r="AB2428" i="1"/>
  <c r="X2720" i="4"/>
  <c r="Z2720" i="4" s="1"/>
  <c r="X891" i="4"/>
  <c r="Z891" i="4" s="1"/>
  <c r="X1388" i="4"/>
  <c r="Z1388" i="4" s="1"/>
  <c r="AA1687" i="1"/>
  <c r="AA1684" i="5" s="1"/>
  <c r="X1775" i="4"/>
  <c r="Z1775" i="4" s="1"/>
  <c r="W2590" i="1"/>
  <c r="AA2836" i="1"/>
  <c r="AA2026" i="1"/>
  <c r="AA2022" i="5" s="1"/>
  <c r="X2418" i="4"/>
  <c r="Z2418" i="4" s="1"/>
  <c r="AA2814" i="1"/>
  <c r="AA2845" i="1"/>
  <c r="K1306" i="2"/>
  <c r="X1443" i="4"/>
  <c r="Z1443" i="4" s="1"/>
  <c r="X1732" i="4"/>
  <c r="AA1749" i="1"/>
  <c r="AA1745" i="5" s="1"/>
  <c r="E1710" i="2"/>
  <c r="P1710" i="2"/>
  <c r="X2083" i="1"/>
  <c r="Z2364" i="4"/>
  <c r="W2626" i="1"/>
  <c r="V2657" i="1"/>
  <c r="V2649" i="5" s="1"/>
  <c r="X1512" i="4"/>
  <c r="Z1512" i="4" s="1"/>
  <c r="Z1909" i="4"/>
  <c r="X2198" i="1"/>
  <c r="AA2470" i="1"/>
  <c r="AA2462" i="5" s="1"/>
  <c r="Z2507" i="1"/>
  <c r="F2760" i="1"/>
  <c r="F2926" i="1" s="1"/>
  <c r="X1040" i="4"/>
  <c r="Z1040" i="4" s="1"/>
  <c r="X1251" i="4"/>
  <c r="Z1251" i="4" s="1"/>
  <c r="X1300" i="4"/>
  <c r="Z1300" i="4" s="1"/>
  <c r="X1702" i="4"/>
  <c r="AA2081" i="1"/>
  <c r="AA2077" i="5" s="1"/>
  <c r="Q2452" i="1"/>
  <c r="AA2631" i="1"/>
  <c r="AA2623" i="5" s="1"/>
  <c r="AA2681" i="1"/>
  <c r="AA2673" i="5" s="1"/>
  <c r="X485" i="2"/>
  <c r="Z506" i="1"/>
  <c r="Z485" i="2" s="1"/>
  <c r="V493" i="2"/>
  <c r="V513" i="4"/>
  <c r="W514" i="1"/>
  <c r="W513" i="5" s="1"/>
  <c r="U506" i="2"/>
  <c r="U526" i="4"/>
  <c r="U536" i="1"/>
  <c r="V512" i="2"/>
  <c r="V532" i="4"/>
  <c r="W533" i="1"/>
  <c r="W532" i="5" s="1"/>
  <c r="W533" i="2"/>
  <c r="W552" i="4"/>
  <c r="X546" i="2"/>
  <c r="Z566" i="1"/>
  <c r="Z546" i="2" s="1"/>
  <c r="X572" i="2"/>
  <c r="Z595" i="1"/>
  <c r="Z572" i="2" s="1"/>
  <c r="V579" i="2"/>
  <c r="V603" i="4"/>
  <c r="W602" i="1"/>
  <c r="W603" i="5" s="1"/>
  <c r="X593" i="2"/>
  <c r="Z616" i="1"/>
  <c r="Z593" i="2" s="1"/>
  <c r="Z611" i="2"/>
  <c r="Z636" i="4"/>
  <c r="M623" i="2"/>
  <c r="M651" i="4"/>
  <c r="AA651" i="1"/>
  <c r="AA651" i="5" s="1"/>
  <c r="U628" i="2"/>
  <c r="U633" i="2" s="1"/>
  <c r="U656" i="4"/>
  <c r="U661" i="4" s="1"/>
  <c r="U661" i="1"/>
  <c r="AA639" i="2"/>
  <c r="AA667" i="4"/>
  <c r="AB667" i="1"/>
  <c r="AB667" i="5" s="1"/>
  <c r="H659" i="2"/>
  <c r="H689" i="4"/>
  <c r="X689" i="4" s="1"/>
  <c r="Z689" i="4" s="1"/>
  <c r="J689" i="1"/>
  <c r="J689" i="5" s="1"/>
  <c r="X689" i="1"/>
  <c r="M689" i="1"/>
  <c r="M689" i="5" s="1"/>
  <c r="M665" i="2"/>
  <c r="M695" i="4"/>
  <c r="AA695" i="1"/>
  <c r="AA695" i="5" s="1"/>
  <c r="M667" i="2"/>
  <c r="M697" i="4"/>
  <c r="AA697" i="1"/>
  <c r="AA697" i="5" s="1"/>
  <c r="U694" i="2"/>
  <c r="U724" i="4"/>
  <c r="V702" i="2"/>
  <c r="V732" i="4"/>
  <c r="W732" i="1"/>
  <c r="W732" i="5" s="1"/>
  <c r="Q705" i="2"/>
  <c r="Q735" i="4"/>
  <c r="V705" i="2"/>
  <c r="V735" i="4"/>
  <c r="W723" i="2"/>
  <c r="W754" i="4"/>
  <c r="V734" i="2"/>
  <c r="V765" i="4"/>
  <c r="W765" i="1"/>
  <c r="W765" i="5" s="1"/>
  <c r="X738" i="2"/>
  <c r="Z769" i="1"/>
  <c r="Z738" i="2" s="1"/>
  <c r="U746" i="2"/>
  <c r="U779" i="4"/>
  <c r="U762" i="2"/>
  <c r="U795" i="4"/>
  <c r="U766" i="2"/>
  <c r="U800" i="4"/>
  <c r="M780" i="2"/>
  <c r="M814" i="4"/>
  <c r="AA814" i="1"/>
  <c r="AA814" i="5" s="1"/>
  <c r="M794" i="2"/>
  <c r="M828" i="4"/>
  <c r="AA828" i="1"/>
  <c r="AA828" i="5" s="1"/>
  <c r="V806" i="2"/>
  <c r="V841" i="4"/>
  <c r="W841" i="1"/>
  <c r="W841" i="5" s="1"/>
  <c r="V814" i="2"/>
  <c r="V849" i="4"/>
  <c r="W849" i="1"/>
  <c r="W849" i="5" s="1"/>
  <c r="M822" i="2"/>
  <c r="M857" i="4"/>
  <c r="AA857" i="1"/>
  <c r="AA857" i="5" s="1"/>
  <c r="AA828" i="2"/>
  <c r="AA863" i="4"/>
  <c r="AB863" i="1"/>
  <c r="AB863" i="5" s="1"/>
  <c r="V841" i="2"/>
  <c r="V880" i="4"/>
  <c r="W880" i="1"/>
  <c r="W880" i="5" s="1"/>
  <c r="AA890" i="4"/>
  <c r="AB890" i="1"/>
  <c r="U858" i="2"/>
  <c r="U898" i="4"/>
  <c r="U922" i="1"/>
  <c r="M869" i="2"/>
  <c r="M909" i="4"/>
  <c r="AA909" i="1"/>
  <c r="AA909" i="5" s="1"/>
  <c r="Q874" i="2"/>
  <c r="Q917" i="4"/>
  <c r="X875" i="2"/>
  <c r="Z918" i="1"/>
  <c r="Z875" i="2" s="1"/>
  <c r="U876" i="2"/>
  <c r="U919" i="4"/>
  <c r="AA919" i="1"/>
  <c r="AA919" i="5" s="1"/>
  <c r="W884" i="2"/>
  <c r="W927" i="4"/>
  <c r="U910" i="2"/>
  <c r="U953" i="4"/>
  <c r="V931" i="2"/>
  <c r="V973" i="4"/>
  <c r="X951" i="2"/>
  <c r="Z995" i="1"/>
  <c r="X956" i="2"/>
  <c r="Z1000" i="1"/>
  <c r="Z956" i="2" s="1"/>
  <c r="X984" i="2"/>
  <c r="Z1030" i="1"/>
  <c r="Z984" i="2" s="1"/>
  <c r="V986" i="2"/>
  <c r="V1031" i="4"/>
  <c r="W1032" i="1"/>
  <c r="W1031" i="5" s="1"/>
  <c r="V992" i="2"/>
  <c r="V1037" i="4"/>
  <c r="W1038" i="1"/>
  <c r="W1037" i="5" s="1"/>
  <c r="V1050" i="1"/>
  <c r="V996" i="2"/>
  <c r="V1041" i="4"/>
  <c r="W1042" i="1"/>
  <c r="W1041" i="5" s="1"/>
  <c r="V1000" i="2"/>
  <c r="V1045" i="4"/>
  <c r="W1046" i="1"/>
  <c r="W1045" i="5" s="1"/>
  <c r="X1007" i="2"/>
  <c r="Z1053" i="1"/>
  <c r="X1066" i="1"/>
  <c r="X1032" i="2"/>
  <c r="Z1080" i="1"/>
  <c r="Z1032" i="2" s="1"/>
  <c r="V1071" i="2"/>
  <c r="V1120" i="4"/>
  <c r="W1121" i="1"/>
  <c r="W1120" i="5" s="1"/>
  <c r="V1072" i="2"/>
  <c r="V1121" i="4"/>
  <c r="W1122" i="1"/>
  <c r="W1121" i="5" s="1"/>
  <c r="V1073" i="2"/>
  <c r="V1122" i="4"/>
  <c r="W1123" i="1"/>
  <c r="W1122" i="5" s="1"/>
  <c r="M1074" i="2"/>
  <c r="M1123" i="4"/>
  <c r="AA1124" i="1"/>
  <c r="AA1123" i="5" s="1"/>
  <c r="M1077" i="2"/>
  <c r="M1127" i="4"/>
  <c r="AA1128" i="1"/>
  <c r="AA1127" i="5" s="1"/>
  <c r="V1087" i="2"/>
  <c r="V1137" i="4"/>
  <c r="W1138" i="1"/>
  <c r="W1137" i="5" s="1"/>
  <c r="W1091" i="2"/>
  <c r="W1141" i="4"/>
  <c r="M1152" i="2"/>
  <c r="M1204" i="4"/>
  <c r="AA1205" i="1"/>
  <c r="AA1204" i="5" s="1"/>
  <c r="X1209" i="4"/>
  <c r="Z1210" i="1"/>
  <c r="R2850" i="1"/>
  <c r="R2904" i="1"/>
  <c r="X14" i="2"/>
  <c r="Z14" i="1"/>
  <c r="Z14" i="5" s="1"/>
  <c r="X14" i="4"/>
  <c r="M154" i="2"/>
  <c r="M162" i="4"/>
  <c r="AA162" i="1"/>
  <c r="AA162" i="5" s="1"/>
  <c r="AA173" i="2"/>
  <c r="AA181" i="4"/>
  <c r="AB181" i="1"/>
  <c r="AB181" i="5" s="1"/>
  <c r="M187" i="2"/>
  <c r="M195" i="4"/>
  <c r="AA195" i="1"/>
  <c r="AA195" i="5" s="1"/>
  <c r="K197" i="2"/>
  <c r="K206" i="4"/>
  <c r="Q206" i="1"/>
  <c r="Q206" i="5" s="1"/>
  <c r="X210" i="2"/>
  <c r="Z219" i="1"/>
  <c r="Z210" i="2" s="1"/>
  <c r="AA334" i="2"/>
  <c r="AA347" i="4"/>
  <c r="X438" i="4"/>
  <c r="Z439" i="1"/>
  <c r="AA423" i="2"/>
  <c r="AB444" i="1"/>
  <c r="AB443" i="5" s="1"/>
  <c r="AA443" i="4"/>
  <c r="X473" i="2"/>
  <c r="Z494" i="1"/>
  <c r="U494" i="2"/>
  <c r="U514" i="4"/>
  <c r="V499" i="2"/>
  <c r="V519" i="4"/>
  <c r="W520" i="1"/>
  <c r="W519" i="5" s="1"/>
  <c r="V513" i="2"/>
  <c r="V533" i="4"/>
  <c r="W534" i="1"/>
  <c r="W533" i="5" s="1"/>
  <c r="W531" i="2"/>
  <c r="W550" i="4"/>
  <c r="V547" i="2"/>
  <c r="V568" i="4"/>
  <c r="W567" i="1"/>
  <c r="W568" i="5" s="1"/>
  <c r="M558" i="2"/>
  <c r="M579" i="4"/>
  <c r="AA578" i="1"/>
  <c r="AA579" i="5" s="1"/>
  <c r="M580" i="2"/>
  <c r="M604" i="4"/>
  <c r="AA603" i="1"/>
  <c r="AA604" i="5" s="1"/>
  <c r="Z587" i="2"/>
  <c r="H595" i="2"/>
  <c r="H600" i="2" s="1"/>
  <c r="H619" i="4"/>
  <c r="X619" i="4" s="1"/>
  <c r="Z619" i="4" s="1"/>
  <c r="M618" i="1"/>
  <c r="M619" i="5" s="1"/>
  <c r="X618" i="1"/>
  <c r="M642" i="2"/>
  <c r="M670" i="4"/>
  <c r="AA670" i="1"/>
  <c r="AA670" i="5" s="1"/>
  <c r="U679" i="2"/>
  <c r="U709" i="4"/>
  <c r="AA709" i="1"/>
  <c r="AA709" i="5" s="1"/>
  <c r="Q681" i="2"/>
  <c r="Q711" i="4"/>
  <c r="J703" i="2"/>
  <c r="J733" i="4"/>
  <c r="U715" i="2"/>
  <c r="U746" i="4"/>
  <c r="U756" i="1"/>
  <c r="AA720" i="2"/>
  <c r="AA751" i="4"/>
  <c r="AB751" i="1"/>
  <c r="AB751" i="5" s="1"/>
  <c r="Q731" i="2"/>
  <c r="Q762" i="4"/>
  <c r="W733" i="2"/>
  <c r="W764" i="4"/>
  <c r="V752" i="2"/>
  <c r="V785" i="4"/>
  <c r="W785" i="1"/>
  <c r="W785" i="5" s="1"/>
  <c r="M757" i="2"/>
  <c r="M790" i="4"/>
  <c r="AA790" i="1"/>
  <c r="AA790" i="5" s="1"/>
  <c r="M766" i="2"/>
  <c r="M800" i="4"/>
  <c r="AA800" i="1"/>
  <c r="AA800" i="5" s="1"/>
  <c r="Q781" i="2"/>
  <c r="Q815" i="4"/>
  <c r="W792" i="2"/>
  <c r="W826" i="4"/>
  <c r="U793" i="2"/>
  <c r="U827" i="4"/>
  <c r="M814" i="2"/>
  <c r="M849" i="4"/>
  <c r="AA849" i="1"/>
  <c r="AA849" i="5" s="1"/>
  <c r="W837" i="2"/>
  <c r="W876" i="4"/>
  <c r="J841" i="2"/>
  <c r="J880" i="4"/>
  <c r="X1064" i="2"/>
  <c r="Z1114" i="1"/>
  <c r="Z1064" i="2" s="1"/>
  <c r="X1068" i="2"/>
  <c r="Z1118" i="1"/>
  <c r="Z1068" i="2" s="1"/>
  <c r="M1119" i="2"/>
  <c r="M1170" i="4"/>
  <c r="M1188" i="1"/>
  <c r="AA1171" i="1"/>
  <c r="AA1170" i="5" s="1"/>
  <c r="AA1123" i="2"/>
  <c r="AA1174" i="4"/>
  <c r="U1127" i="2"/>
  <c r="U1178" i="4"/>
  <c r="M1155" i="2"/>
  <c r="M1207" i="4"/>
  <c r="AA1208" i="1"/>
  <c r="AA1207" i="5" s="1"/>
  <c r="J1172" i="2"/>
  <c r="J1226" i="4"/>
  <c r="V682" i="2"/>
  <c r="V712" i="4"/>
  <c r="W712" i="1"/>
  <c r="W712" i="5" s="1"/>
  <c r="U1106" i="2"/>
  <c r="U1156" i="4"/>
  <c r="U1184" i="4"/>
  <c r="AA1185" i="1"/>
  <c r="AA1184" i="5" s="1"/>
  <c r="J1183" i="2"/>
  <c r="J1242" i="4"/>
  <c r="X1194" i="2"/>
  <c r="Z1254" i="1"/>
  <c r="Z1194" i="2" s="1"/>
  <c r="V1203" i="2"/>
  <c r="V1262" i="4"/>
  <c r="W1263" i="1"/>
  <c r="W1262" i="5" s="1"/>
  <c r="V1259" i="2"/>
  <c r="V1322" i="4"/>
  <c r="W1323" i="1"/>
  <c r="W1322" i="5" s="1"/>
  <c r="V1266" i="2"/>
  <c r="V1329" i="4"/>
  <c r="W1330" i="1"/>
  <c r="W1329" i="5" s="1"/>
  <c r="Q1792" i="2"/>
  <c r="Q1891" i="4"/>
  <c r="H1927" i="4"/>
  <c r="X1927" i="4" s="1"/>
  <c r="Z1927" i="4" s="1"/>
  <c r="M1931" i="1"/>
  <c r="M1927" i="5" s="1"/>
  <c r="J1931" i="1"/>
  <c r="X1931" i="1"/>
  <c r="M1946" i="4"/>
  <c r="AA1950" i="1"/>
  <c r="AA1946" i="5" s="1"/>
  <c r="U1977" i="4"/>
  <c r="AA1981" i="1"/>
  <c r="AA1977" i="5" s="1"/>
  <c r="U1981" i="4"/>
  <c r="AA1985" i="1"/>
  <c r="AA1981" i="5" s="1"/>
  <c r="H2007" i="4"/>
  <c r="X2007" i="4" s="1"/>
  <c r="X2011" i="1"/>
  <c r="Z2011" i="1" s="1"/>
  <c r="M2011" i="1"/>
  <c r="M2007" i="5" s="1"/>
  <c r="U2026" i="4"/>
  <c r="AA2030" i="1"/>
  <c r="AA2026" i="5" s="1"/>
  <c r="H2032" i="4"/>
  <c r="X2032" i="4" s="1"/>
  <c r="Z2032" i="4" s="1"/>
  <c r="M2036" i="1"/>
  <c r="M2032" i="5" s="1"/>
  <c r="X2036" i="1"/>
  <c r="Z2036" i="1" s="1"/>
  <c r="H2055" i="4"/>
  <c r="X2055" i="4" s="1"/>
  <c r="Z2055" i="4" s="1"/>
  <c r="X2059" i="1"/>
  <c r="Z2059" i="1" s="1"/>
  <c r="H2063" i="1"/>
  <c r="M2059" i="1"/>
  <c r="M2055" i="5" s="1"/>
  <c r="M2062" i="4"/>
  <c r="AA2066" i="1"/>
  <c r="AA2062" i="5" s="1"/>
  <c r="M2083" i="1"/>
  <c r="M2067" i="4"/>
  <c r="AA2071" i="1"/>
  <c r="AA2067" i="5" s="1"/>
  <c r="M2071" i="4"/>
  <c r="AA2075" i="1"/>
  <c r="AA2071" i="5" s="1"/>
  <c r="H2170" i="4"/>
  <c r="X2170" i="4" s="1"/>
  <c r="Z2170" i="4" s="1"/>
  <c r="M2174" i="1"/>
  <c r="M2170" i="5" s="1"/>
  <c r="X2174" i="1"/>
  <c r="Z2174" i="1" s="1"/>
  <c r="J2174" i="1"/>
  <c r="M2189" i="4"/>
  <c r="AA2193" i="1"/>
  <c r="AA2189" i="5" s="1"/>
  <c r="H2274" i="4"/>
  <c r="X2274" i="4" s="1"/>
  <c r="Z2274" i="4" s="1"/>
  <c r="J2278" i="1"/>
  <c r="X2278" i="1"/>
  <c r="Z2278" i="1" s="1"/>
  <c r="M2278" i="1"/>
  <c r="H2335" i="4"/>
  <c r="X2335" i="4" s="1"/>
  <c r="Z2335" i="4" s="1"/>
  <c r="J2341" i="1"/>
  <c r="X2341" i="1"/>
  <c r="Z2341" i="1" s="1"/>
  <c r="M2341" i="1"/>
  <c r="J2344" i="4"/>
  <c r="H2348" i="4"/>
  <c r="X2348" i="4" s="1"/>
  <c r="Z2348" i="4" s="1"/>
  <c r="M2354" i="1"/>
  <c r="M2348" i="5" s="1"/>
  <c r="X2354" i="1"/>
  <c r="Z2354" i="1" s="1"/>
  <c r="J2354" i="1"/>
  <c r="Q2369" i="4"/>
  <c r="Q2382" i="4" s="1"/>
  <c r="Q2388" i="1"/>
  <c r="M2481" i="4"/>
  <c r="AA2489" i="1"/>
  <c r="AA2481" i="5" s="1"/>
  <c r="M2485" i="4"/>
  <c r="AA2493" i="1"/>
  <c r="AA2485" i="5" s="1"/>
  <c r="U2552" i="4"/>
  <c r="AA2560" i="1"/>
  <c r="AA2552" i="5" s="1"/>
  <c r="M2584" i="4"/>
  <c r="AA2592" i="1"/>
  <c r="AA2584" i="5" s="1"/>
  <c r="M2591" i="4"/>
  <c r="AA2599" i="1"/>
  <c r="AA2591" i="5" s="1"/>
  <c r="H2605" i="4"/>
  <c r="X2613" i="1"/>
  <c r="X2605" i="5" s="1"/>
  <c r="M2613" i="1"/>
  <c r="M2605" i="5" s="1"/>
  <c r="M2617" i="4"/>
  <c r="AA2625" i="1"/>
  <c r="AA2617" i="5" s="1"/>
  <c r="M2653" i="4"/>
  <c r="AA2661" i="1"/>
  <c r="AA2653" i="5" s="1"/>
  <c r="M2688" i="4"/>
  <c r="AA2696" i="1"/>
  <c r="AA2688" i="5" s="1"/>
  <c r="M2692" i="4"/>
  <c r="AA2700" i="1"/>
  <c r="AA2692" i="5" s="1"/>
  <c r="H2697" i="4"/>
  <c r="X2697" i="4" s="1"/>
  <c r="H2712" i="1"/>
  <c r="X2705" i="1"/>
  <c r="Z2705" i="1" s="1"/>
  <c r="M2705" i="1"/>
  <c r="M2697" i="5" s="1"/>
  <c r="M2708" i="4"/>
  <c r="AA2716" i="1"/>
  <c r="AA2708" i="5" s="1"/>
  <c r="M2712" i="4"/>
  <c r="AA2720" i="1"/>
  <c r="AA2712" i="5" s="1"/>
  <c r="M2717" i="4"/>
  <c r="AA2725" i="1"/>
  <c r="AA2717" i="5" s="1"/>
  <c r="U2745" i="4"/>
  <c r="AA2753" i="1"/>
  <c r="AA2745" i="5" s="1"/>
  <c r="M2851" i="1"/>
  <c r="X2851" i="1"/>
  <c r="Z2851" i="1" s="1"/>
  <c r="X113" i="2"/>
  <c r="Z119" i="1"/>
  <c r="Z113" i="2" s="1"/>
  <c r="X189" i="2"/>
  <c r="Z197" i="1"/>
  <c r="Z189" i="2" s="1"/>
  <c r="X215" i="2"/>
  <c r="Z224" i="1"/>
  <c r="Z215" i="2" s="1"/>
  <c r="X414" i="2"/>
  <c r="X432" i="4"/>
  <c r="Z433" i="1"/>
  <c r="Z432" i="5" s="1"/>
  <c r="Z429" i="2"/>
  <c r="Z449" i="4"/>
  <c r="Z458" i="1"/>
  <c r="W446" i="2"/>
  <c r="W466" i="4"/>
  <c r="V545" i="2"/>
  <c r="V566" i="4"/>
  <c r="V569" i="1"/>
  <c r="W565" i="1"/>
  <c r="W566" i="5" s="1"/>
  <c r="W570" i="5" s="1"/>
  <c r="U553" i="2"/>
  <c r="U574" i="4"/>
  <c r="U588" i="1"/>
  <c r="M581" i="2"/>
  <c r="M605" i="4"/>
  <c r="AA604" i="1"/>
  <c r="AA605" i="5" s="1"/>
  <c r="W593" i="2"/>
  <c r="W617" i="4"/>
  <c r="V596" i="2"/>
  <c r="V620" i="4"/>
  <c r="W619" i="1"/>
  <c r="W620" i="5" s="1"/>
  <c r="Q667" i="2"/>
  <c r="Q697" i="4"/>
  <c r="Q688" i="2"/>
  <c r="Q718" i="4"/>
  <c r="M699" i="2"/>
  <c r="M729" i="4"/>
  <c r="AA729" i="1"/>
  <c r="AA729" i="5" s="1"/>
  <c r="J751" i="2"/>
  <c r="J784" i="4"/>
  <c r="Q773" i="2"/>
  <c r="Q807" i="4"/>
  <c r="Q823" i="1"/>
  <c r="V775" i="2"/>
  <c r="V809" i="4"/>
  <c r="W809" i="1"/>
  <c r="W809" i="5" s="1"/>
  <c r="U776" i="2"/>
  <c r="U810" i="4"/>
  <c r="X782" i="2"/>
  <c r="Z816" i="1"/>
  <c r="Z782" i="2" s="1"/>
  <c r="V803" i="2"/>
  <c r="V837" i="4"/>
  <c r="W816" i="2"/>
  <c r="W851" i="4"/>
  <c r="W821" i="2"/>
  <c r="W856" i="4"/>
  <c r="AA838" i="2"/>
  <c r="AA877" i="4"/>
  <c r="AB877" i="1"/>
  <c r="AB877" i="5" s="1"/>
  <c r="Q842" i="2"/>
  <c r="Q881" i="4"/>
  <c r="AB848" i="2"/>
  <c r="M862" i="2"/>
  <c r="M902" i="4"/>
  <c r="AA902" i="1"/>
  <c r="AA902" i="5" s="1"/>
  <c r="W866" i="2"/>
  <c r="W906" i="4"/>
  <c r="H867" i="2"/>
  <c r="H907" i="4"/>
  <c r="X907" i="4" s="1"/>
  <c r="Z907" i="4" s="1"/>
  <c r="J907" i="1"/>
  <c r="J907" i="5" s="1"/>
  <c r="M907" i="1"/>
  <c r="M907" i="5" s="1"/>
  <c r="X907" i="1"/>
  <c r="U868" i="2"/>
  <c r="U908" i="4"/>
  <c r="AA908" i="1"/>
  <c r="AA908" i="5" s="1"/>
  <c r="U933" i="2"/>
  <c r="U975" i="4"/>
  <c r="V936" i="2"/>
  <c r="V978" i="4"/>
  <c r="W979" i="1"/>
  <c r="W978" i="5" s="1"/>
  <c r="U944" i="2"/>
  <c r="U946" i="2" s="1"/>
  <c r="U987" i="4"/>
  <c r="U989" i="4" s="1"/>
  <c r="AA988" i="1"/>
  <c r="AA987" i="5" s="1"/>
  <c r="AA989" i="5" s="1"/>
  <c r="U990" i="1"/>
  <c r="X952" i="2"/>
  <c r="Z996" i="1"/>
  <c r="Z952" i="2" s="1"/>
  <c r="AA956" i="2"/>
  <c r="AA999" i="4"/>
  <c r="AB1000" i="1"/>
  <c r="AB999" i="5" s="1"/>
  <c r="U957" i="2"/>
  <c r="U1000" i="4"/>
  <c r="V962" i="2"/>
  <c r="V1005" i="4"/>
  <c r="W977" i="2"/>
  <c r="W1022" i="4"/>
  <c r="V978" i="2"/>
  <c r="V1023" i="4"/>
  <c r="W1024" i="1"/>
  <c r="W1023" i="5" s="1"/>
  <c r="AA980" i="2"/>
  <c r="AA1025" i="4"/>
  <c r="AB1026" i="1"/>
  <c r="AB1025" i="5" s="1"/>
  <c r="M991" i="2"/>
  <c r="M1036" i="4"/>
  <c r="AA1037" i="1"/>
  <c r="AA1036" i="5" s="1"/>
  <c r="M1050" i="1"/>
  <c r="X998" i="2"/>
  <c r="Z1044" i="1"/>
  <c r="Z998" i="2" s="1"/>
  <c r="V1009" i="2"/>
  <c r="V1054" i="4"/>
  <c r="W1055" i="1"/>
  <c r="W1054" i="5" s="1"/>
  <c r="X1016" i="2"/>
  <c r="Z1064" i="1"/>
  <c r="Z1016" i="2" s="1"/>
  <c r="W1049" i="2"/>
  <c r="W1097" i="4"/>
  <c r="X1069" i="2"/>
  <c r="Z1119" i="1"/>
  <c r="Z1069" i="2" s="1"/>
  <c r="V1085" i="2"/>
  <c r="V1135" i="4"/>
  <c r="W1136" i="1"/>
  <c r="W1135" i="5" s="1"/>
  <c r="W1124" i="2"/>
  <c r="W1175" i="4"/>
  <c r="V1172" i="2"/>
  <c r="V1226" i="4"/>
  <c r="W1174" i="2"/>
  <c r="W1228" i="4"/>
  <c r="U1180" i="2"/>
  <c r="U1234" i="4"/>
  <c r="AA1188" i="2"/>
  <c r="AA1247" i="4"/>
  <c r="AB1248" i="1"/>
  <c r="AB1247" i="5" s="1"/>
  <c r="M1201" i="2"/>
  <c r="M1260" i="4"/>
  <c r="AA1261" i="1"/>
  <c r="AA1260" i="5" s="1"/>
  <c r="X1205" i="2"/>
  <c r="Z1265" i="1"/>
  <c r="Z1205" i="2" s="1"/>
  <c r="V1211" i="2"/>
  <c r="V1270" i="4"/>
  <c r="W1271" i="1"/>
  <c r="W1270" i="5" s="1"/>
  <c r="AA1277" i="4"/>
  <c r="AB1278" i="1"/>
  <c r="J1295" i="4"/>
  <c r="J1232" i="2"/>
  <c r="W1240" i="2"/>
  <c r="W1303" i="4"/>
  <c r="U1243" i="2"/>
  <c r="U1306" i="4"/>
  <c r="M1255" i="2"/>
  <c r="M1318" i="4"/>
  <c r="AA1319" i="1"/>
  <c r="AA1318" i="5" s="1"/>
  <c r="AA1278" i="2"/>
  <c r="AA1343" i="4"/>
  <c r="AB1344" i="1"/>
  <c r="AB1343" i="5" s="1"/>
  <c r="V1285" i="2"/>
  <c r="V1350" i="4"/>
  <c r="W1351" i="1"/>
  <c r="W1350" i="5" s="1"/>
  <c r="V1287" i="2"/>
  <c r="V1352" i="4"/>
  <c r="W1353" i="1"/>
  <c r="W1352" i="5" s="1"/>
  <c r="U1297" i="2"/>
  <c r="U1366" i="4"/>
  <c r="U1299" i="2"/>
  <c r="U1368" i="4"/>
  <c r="U1301" i="2"/>
  <c r="U1370" i="4"/>
  <c r="U1303" i="2"/>
  <c r="U1372" i="4"/>
  <c r="M1396" i="4"/>
  <c r="AA1397" i="1"/>
  <c r="AA1396" i="5" s="1"/>
  <c r="V1338" i="2"/>
  <c r="V1408" i="4"/>
  <c r="V500" i="2"/>
  <c r="V520" i="4"/>
  <c r="W521" i="1"/>
  <c r="W520" i="5" s="1"/>
  <c r="V505" i="2"/>
  <c r="V525" i="4"/>
  <c r="W526" i="1"/>
  <c r="W525" i="5" s="1"/>
  <c r="W535" i="5" s="1"/>
  <c r="V536" i="1"/>
  <c r="X568" i="2"/>
  <c r="Z591" i="1"/>
  <c r="X606" i="1"/>
  <c r="X1726" i="2"/>
  <c r="Z1822" i="1"/>
  <c r="Z1726" i="2" s="1"/>
  <c r="V36" i="2"/>
  <c r="V39" i="4"/>
  <c r="W39" i="1"/>
  <c r="W39" i="5" s="1"/>
  <c r="X51" i="2"/>
  <c r="Z55" i="1"/>
  <c r="Z51" i="2" s="1"/>
  <c r="U105" i="2"/>
  <c r="U111" i="4"/>
  <c r="AA356" i="2"/>
  <c r="AB373" i="1"/>
  <c r="AB372" i="5" s="1"/>
  <c r="AA372" i="4"/>
  <c r="Z483" i="2"/>
  <c r="Z510" i="1"/>
  <c r="M495" i="2"/>
  <c r="M515" i="4"/>
  <c r="AA516" i="1"/>
  <c r="AA515" i="5" s="1"/>
  <c r="V497" i="2"/>
  <c r="V517" i="4"/>
  <c r="W518" i="1"/>
  <c r="W517" i="5" s="1"/>
  <c r="V557" i="2"/>
  <c r="V578" i="4"/>
  <c r="W577" i="1"/>
  <c r="W578" i="5" s="1"/>
  <c r="X621" i="2"/>
  <c r="X661" i="1"/>
  <c r="Z649" i="1"/>
  <c r="Z649" i="5" s="1"/>
  <c r="W676" i="2"/>
  <c r="W706" i="4"/>
  <c r="X704" i="2"/>
  <c r="Z734" i="1"/>
  <c r="Z704" i="2" s="1"/>
  <c r="W720" i="2"/>
  <c r="W751" i="4"/>
  <c r="Q729" i="2"/>
  <c r="Q760" i="4"/>
  <c r="Q781" i="1"/>
  <c r="Q740" i="2"/>
  <c r="Q771" i="4"/>
  <c r="X753" i="2"/>
  <c r="Z786" i="1"/>
  <c r="Z753" i="2" s="1"/>
  <c r="H762" i="2"/>
  <c r="H768" i="2" s="1"/>
  <c r="H795" i="4"/>
  <c r="X795" i="4" s="1"/>
  <c r="Z795" i="4" s="1"/>
  <c r="J795" i="1"/>
  <c r="J795" i="5" s="1"/>
  <c r="M795" i="1"/>
  <c r="M795" i="5" s="1"/>
  <c r="M802" i="5" s="1"/>
  <c r="X795" i="1"/>
  <c r="X802" i="1" s="1"/>
  <c r="AB772" i="2"/>
  <c r="AB806" i="4"/>
  <c r="J775" i="2"/>
  <c r="J809" i="4"/>
  <c r="V794" i="2"/>
  <c r="V828" i="4"/>
  <c r="W828" i="1"/>
  <c r="W828" i="5" s="1"/>
  <c r="Q801" i="2"/>
  <c r="Q835" i="4"/>
  <c r="U805" i="2"/>
  <c r="U840" i="4"/>
  <c r="U807" i="2"/>
  <c r="U842" i="4"/>
  <c r="X816" i="2"/>
  <c r="Z851" i="1"/>
  <c r="Z816" i="2" s="1"/>
  <c r="X825" i="2"/>
  <c r="Z860" i="1"/>
  <c r="Z825" i="2" s="1"/>
  <c r="X849" i="2"/>
  <c r="Z888" i="1"/>
  <c r="Z849" i="2" s="1"/>
  <c r="X871" i="2"/>
  <c r="Z911" i="1"/>
  <c r="Z871" i="2" s="1"/>
  <c r="U882" i="2"/>
  <c r="U925" i="4"/>
  <c r="U941" i="1"/>
  <c r="U888" i="2"/>
  <c r="U931" i="4"/>
  <c r="Q890" i="2"/>
  <c r="Q933" i="4"/>
  <c r="U892" i="2"/>
  <c r="U935" i="4"/>
  <c r="U907" i="2"/>
  <c r="U950" i="4"/>
  <c r="W991" i="2"/>
  <c r="W1036" i="4"/>
  <c r="X994" i="2"/>
  <c r="Z1040" i="1"/>
  <c r="Z994" i="2" s="1"/>
  <c r="M1014" i="2"/>
  <c r="M1059" i="4"/>
  <c r="AA1060" i="1"/>
  <c r="AA1059" i="5" s="1"/>
  <c r="W1016" i="2"/>
  <c r="W1063" i="4"/>
  <c r="W1095" i="4"/>
  <c r="W1047" i="2"/>
  <c r="V1065" i="2"/>
  <c r="V1114" i="4"/>
  <c r="W1115" i="1"/>
  <c r="W1114" i="5" s="1"/>
  <c r="V1132" i="4"/>
  <c r="V1082" i="2"/>
  <c r="V1144" i="1"/>
  <c r="W1133" i="1"/>
  <c r="W1132" i="5" s="1"/>
  <c r="V1102" i="2"/>
  <c r="V1152" i="4"/>
  <c r="W1153" i="1"/>
  <c r="W1152" i="5" s="1"/>
  <c r="V1110" i="2"/>
  <c r="V1160" i="4"/>
  <c r="W1161" i="1"/>
  <c r="W1160" i="5" s="1"/>
  <c r="M1126" i="2"/>
  <c r="M1177" i="4"/>
  <c r="AA1178" i="1"/>
  <c r="AA1177" i="5" s="1"/>
  <c r="V1207" i="4"/>
  <c r="V1155" i="2"/>
  <c r="J1170" i="2"/>
  <c r="J1224" i="4"/>
  <c r="AB1176" i="2"/>
  <c r="AB1230" i="4"/>
  <c r="V1177" i="2"/>
  <c r="V1231" i="4"/>
  <c r="W1232" i="1"/>
  <c r="W1231" i="5" s="1"/>
  <c r="Q1190" i="2"/>
  <c r="Q1249" i="4"/>
  <c r="M1202" i="2"/>
  <c r="M1261" i="4"/>
  <c r="AA1262" i="1"/>
  <c r="AA1261" i="5" s="1"/>
  <c r="X1215" i="2"/>
  <c r="Z1276" i="1"/>
  <c r="Z1215" i="2" s="1"/>
  <c r="U1231" i="2"/>
  <c r="U1294" i="4"/>
  <c r="W1238" i="2"/>
  <c r="W1301" i="4"/>
  <c r="AB1240" i="2"/>
  <c r="AB1303" i="4"/>
  <c r="M1243" i="2"/>
  <c r="M1306" i="4"/>
  <c r="AA1307" i="1"/>
  <c r="AA1306" i="5" s="1"/>
  <c r="U1252" i="2"/>
  <c r="U1315" i="4"/>
  <c r="U1254" i="2"/>
  <c r="U1317" i="4"/>
  <c r="Q1259" i="2"/>
  <c r="Q1322" i="4"/>
  <c r="X1260" i="2"/>
  <c r="Z1324" i="1"/>
  <c r="Z1260" i="2" s="1"/>
  <c r="M1263" i="2"/>
  <c r="M1326" i="4"/>
  <c r="AA1327" i="1"/>
  <c r="AA1326" i="5" s="1"/>
  <c r="W1278" i="2"/>
  <c r="W1343" i="4"/>
  <c r="J1287" i="2"/>
  <c r="J1352" i="4"/>
  <c r="Q1294" i="2"/>
  <c r="Q1359" i="4"/>
  <c r="J1301" i="2"/>
  <c r="J1370" i="4"/>
  <c r="M1339" i="2"/>
  <c r="M1409" i="4"/>
  <c r="AA1410" i="1"/>
  <c r="AA1409" i="5" s="1"/>
  <c r="M1346" i="2"/>
  <c r="M1416" i="4"/>
  <c r="AA1417" i="1"/>
  <c r="AA1416" i="5" s="1"/>
  <c r="AA1667" i="2"/>
  <c r="V147" i="2"/>
  <c r="V154" i="4"/>
  <c r="W154" i="1"/>
  <c r="W154" i="5" s="1"/>
  <c r="V156" i="2"/>
  <c r="V164" i="4"/>
  <c r="W164" i="1"/>
  <c r="W164" i="5" s="1"/>
  <c r="X498" i="2"/>
  <c r="Z519" i="1"/>
  <c r="Z498" i="2" s="1"/>
  <c r="M540" i="2"/>
  <c r="M542" i="2" s="1"/>
  <c r="M561" i="4"/>
  <c r="M563" i="4" s="1"/>
  <c r="M562" i="1"/>
  <c r="AA560" i="1"/>
  <c r="AA561" i="5" s="1"/>
  <c r="AA563" i="5" s="1"/>
  <c r="X559" i="2"/>
  <c r="Z579" i="1"/>
  <c r="Z559" i="2" s="1"/>
  <c r="W590" i="2"/>
  <c r="W614" i="4"/>
  <c r="AB916" i="2"/>
  <c r="AB959" i="4"/>
  <c r="M1161" i="4"/>
  <c r="AA1162" i="1"/>
  <c r="AA1161" i="5" s="1"/>
  <c r="AA1173" i="2"/>
  <c r="AA1227" i="4"/>
  <c r="AB1228" i="1"/>
  <c r="AB1227" i="5" s="1"/>
  <c r="V1209" i="2"/>
  <c r="V1268" i="4"/>
  <c r="W1269" i="1"/>
  <c r="W1268" i="5" s="1"/>
  <c r="Q1309" i="2"/>
  <c r="Q1378" i="4"/>
  <c r="Q1403" i="1"/>
  <c r="H1322" i="2"/>
  <c r="H1391" i="4"/>
  <c r="X1391" i="4" s="1"/>
  <c r="Z1391" i="4" s="1"/>
  <c r="J1392" i="1"/>
  <c r="J1391" i="5" s="1"/>
  <c r="X1392" i="1"/>
  <c r="M1392" i="1"/>
  <c r="M1391" i="5" s="1"/>
  <c r="V1392" i="1"/>
  <c r="V1391" i="5" s="1"/>
  <c r="J1341" i="2"/>
  <c r="J1411" i="4"/>
  <c r="J1356" i="2"/>
  <c r="J1426" i="4"/>
  <c r="J1370" i="2"/>
  <c r="J1441" i="4"/>
  <c r="V1378" i="2"/>
  <c r="V1449" i="4"/>
  <c r="Q1409" i="2"/>
  <c r="Q1485" i="4"/>
  <c r="V1423" i="2"/>
  <c r="V1500" i="4"/>
  <c r="W1501" i="1"/>
  <c r="W1500" i="5" s="1"/>
  <c r="V1542" i="1"/>
  <c r="J1444" i="2"/>
  <c r="J1521" i="4"/>
  <c r="X1456" i="2"/>
  <c r="Z1534" i="1"/>
  <c r="Z1456" i="2" s="1"/>
  <c r="V1484" i="2"/>
  <c r="V1559" i="4"/>
  <c r="W1562" i="1"/>
  <c r="W1559" i="5" s="1"/>
  <c r="V1501" i="2"/>
  <c r="V1577" i="4"/>
  <c r="W1580" i="1"/>
  <c r="W1577" i="5" s="1"/>
  <c r="V1509" i="2"/>
  <c r="V1585" i="4"/>
  <c r="W1588" i="1"/>
  <c r="W1585" i="5" s="1"/>
  <c r="AA1521" i="2"/>
  <c r="AA1599" i="4"/>
  <c r="AB1602" i="1"/>
  <c r="AB1599" i="5" s="1"/>
  <c r="Z1531" i="2"/>
  <c r="Z1609" i="4"/>
  <c r="Z1534" i="2"/>
  <c r="Z1613" i="4"/>
  <c r="Z1541" i="2"/>
  <c r="Z1622" i="4"/>
  <c r="Z1560" i="2"/>
  <c r="Z1643" i="4"/>
  <c r="Z1564" i="2"/>
  <c r="Z1647" i="4"/>
  <c r="AA1652" i="4"/>
  <c r="AA1569" i="2"/>
  <c r="AB1655" i="1"/>
  <c r="AB1652" i="5" s="1"/>
  <c r="W1578" i="2"/>
  <c r="W2645" i="2" s="1"/>
  <c r="W1664" i="4"/>
  <c r="M1582" i="2"/>
  <c r="M1668" i="4"/>
  <c r="AA1671" i="1"/>
  <c r="AA1668" i="5" s="1"/>
  <c r="X1654" i="2"/>
  <c r="X1745" i="4"/>
  <c r="Q1691" i="2"/>
  <c r="Q1782" i="4"/>
  <c r="M1724" i="2"/>
  <c r="M1816" i="4"/>
  <c r="AA1820" i="1"/>
  <c r="AA1816" i="5" s="1"/>
  <c r="AA1744" i="2"/>
  <c r="AA1836" i="4"/>
  <c r="AB1840" i="1"/>
  <c r="AB1836" i="5" s="1"/>
  <c r="J1756" i="2"/>
  <c r="J1850" i="4"/>
  <c r="J1775" i="2"/>
  <c r="J1871" i="4"/>
  <c r="Q1793" i="2"/>
  <c r="Q1892" i="4"/>
  <c r="X1971" i="1"/>
  <c r="Z1958" i="1"/>
  <c r="Z1971" i="1" s="1"/>
  <c r="H2006" i="4"/>
  <c r="X2006" i="4" s="1"/>
  <c r="M2010" i="1"/>
  <c r="M2006" i="5" s="1"/>
  <c r="X2010" i="1"/>
  <c r="Z2010" i="1" s="1"/>
  <c r="V2030" i="4"/>
  <c r="W2034" i="1"/>
  <c r="V2049" i="4"/>
  <c r="W2053" i="1"/>
  <c r="W2049" i="5" s="1"/>
  <c r="V2784" i="1"/>
  <c r="M2057" i="4"/>
  <c r="AA2061" i="1"/>
  <c r="AA2057" i="5" s="1"/>
  <c r="W2066" i="4"/>
  <c r="M2238" i="4"/>
  <c r="AA2242" i="1"/>
  <c r="AA2238" i="5" s="1"/>
  <c r="V2709" i="4"/>
  <c r="W2717" i="1"/>
  <c r="X1157" i="2"/>
  <c r="X1211" i="4"/>
  <c r="Z1212" i="1"/>
  <c r="Z1211" i="5" s="1"/>
  <c r="W474" i="2"/>
  <c r="W494" i="4"/>
  <c r="V521" i="2"/>
  <c r="V540" i="4"/>
  <c r="W541" i="1"/>
  <c r="W540" i="5" s="1"/>
  <c r="X576" i="2"/>
  <c r="Z599" i="1"/>
  <c r="Z576" i="2" s="1"/>
  <c r="M622" i="2"/>
  <c r="M650" i="4"/>
  <c r="AA650" i="1"/>
  <c r="AA650" i="5" s="1"/>
  <c r="Z629" i="2"/>
  <c r="Z657" i="4"/>
  <c r="X664" i="2"/>
  <c r="X714" i="1"/>
  <c r="Z694" i="1"/>
  <c r="M779" i="2"/>
  <c r="M813" i="4"/>
  <c r="AA813" i="1"/>
  <c r="AA813" i="5" s="1"/>
  <c r="U783" i="2"/>
  <c r="U817" i="4"/>
  <c r="V824" i="2"/>
  <c r="V859" i="4"/>
  <c r="W859" i="1"/>
  <c r="W859" i="5" s="1"/>
  <c r="M850" i="2"/>
  <c r="M889" i="4"/>
  <c r="AA889" i="1"/>
  <c r="AA889" i="5" s="1"/>
  <c r="M907" i="2"/>
  <c r="M950" i="4"/>
  <c r="AA950" i="1"/>
  <c r="AA950" i="5" s="1"/>
  <c r="V935" i="2"/>
  <c r="V977" i="4"/>
  <c r="U979" i="4"/>
  <c r="U937" i="2"/>
  <c r="V1015" i="2"/>
  <c r="V1062" i="4"/>
  <c r="W1063" i="1"/>
  <c r="W1062" i="5" s="1"/>
  <c r="X1054" i="2"/>
  <c r="Z1103" i="1"/>
  <c r="Z1054" i="2" s="1"/>
  <c r="V1091" i="2"/>
  <c r="V1141" i="4"/>
  <c r="V1128" i="2"/>
  <c r="V1179" i="4"/>
  <c r="W1180" i="1"/>
  <c r="W1179" i="5" s="1"/>
  <c r="H1154" i="2"/>
  <c r="H1206" i="4"/>
  <c r="M1207" i="1"/>
  <c r="M1206" i="5" s="1"/>
  <c r="X1207" i="1"/>
  <c r="J1207" i="1"/>
  <c r="J1206" i="5" s="1"/>
  <c r="X1208" i="4"/>
  <c r="Z1209" i="1"/>
  <c r="M1165" i="2"/>
  <c r="M1219" i="4"/>
  <c r="AA1220" i="1"/>
  <c r="AA1219" i="5" s="1"/>
  <c r="U1197" i="2"/>
  <c r="U1256" i="4"/>
  <c r="Q1198" i="2"/>
  <c r="Q1257" i="4"/>
  <c r="X1200" i="2"/>
  <c r="Z1260" i="1"/>
  <c r="Z1200" i="2" s="1"/>
  <c r="V1230" i="2"/>
  <c r="V1293" i="4"/>
  <c r="W1294" i="1"/>
  <c r="W1293" i="5" s="1"/>
  <c r="AB1233" i="2"/>
  <c r="AB1296" i="4"/>
  <c r="U1242" i="2"/>
  <c r="U1305" i="4"/>
  <c r="AB1244" i="2"/>
  <c r="AB1307" i="4"/>
  <c r="X1251" i="2"/>
  <c r="Z1315" i="1"/>
  <c r="U1269" i="2"/>
  <c r="U1334" i="4"/>
  <c r="AA1335" i="1"/>
  <c r="AA1334" i="5" s="1"/>
  <c r="Q1271" i="2"/>
  <c r="Q1336" i="4"/>
  <c r="U1277" i="2"/>
  <c r="U1342" i="4"/>
  <c r="U1376" i="1"/>
  <c r="M1279" i="2"/>
  <c r="M1344" i="4"/>
  <c r="AA1345" i="1"/>
  <c r="AA1344" i="5" s="1"/>
  <c r="H1292" i="2"/>
  <c r="H1357" i="4"/>
  <c r="X1357" i="4" s="1"/>
  <c r="Z1357" i="4" s="1"/>
  <c r="M1358" i="1"/>
  <c r="J1358" i="1"/>
  <c r="J1357" i="5" s="1"/>
  <c r="X1358" i="1"/>
  <c r="J1293" i="2"/>
  <c r="J1358" i="4"/>
  <c r="AA1362" i="4"/>
  <c r="AB1363" i="1"/>
  <c r="AA1364" i="4"/>
  <c r="AB1365" i="1"/>
  <c r="Q1302" i="2"/>
  <c r="Q1371" i="4"/>
  <c r="V1321" i="2"/>
  <c r="V1390" i="4"/>
  <c r="W1391" i="1"/>
  <c r="W1390" i="5" s="1"/>
  <c r="V1323" i="2"/>
  <c r="V1392" i="4"/>
  <c r="X1335" i="2"/>
  <c r="Q1337" i="2"/>
  <c r="Q1407" i="4"/>
  <c r="V1340" i="2"/>
  <c r="V1410" i="4"/>
  <c r="W1411" i="1"/>
  <c r="W1410" i="5" s="1"/>
  <c r="AA1414" i="4"/>
  <c r="AA1344" i="2"/>
  <c r="M1366" i="2"/>
  <c r="M1437" i="4"/>
  <c r="AA1438" i="1"/>
  <c r="AA1437" i="5" s="1"/>
  <c r="U1375" i="2"/>
  <c r="U1446" i="4"/>
  <c r="AA1447" i="1"/>
  <c r="AA1446" i="5" s="1"/>
  <c r="V1383" i="2"/>
  <c r="V1454" i="4"/>
  <c r="W1455" i="1"/>
  <c r="W1454" i="5" s="1"/>
  <c r="V1460" i="4"/>
  <c r="V1388" i="2"/>
  <c r="W1461" i="1"/>
  <c r="W1460" i="5" s="1"/>
  <c r="M1410" i="2"/>
  <c r="M1486" i="4"/>
  <c r="AA1487" i="1"/>
  <c r="AA1486" i="5" s="1"/>
  <c r="W1412" i="2"/>
  <c r="W1488" i="4"/>
  <c r="AA1479" i="2"/>
  <c r="AA1554" i="4"/>
  <c r="AB1557" i="1"/>
  <c r="AB1554" i="5" s="1"/>
  <c r="AA1487" i="2"/>
  <c r="AA1562" i="4"/>
  <c r="AB1565" i="1"/>
  <c r="AB1562" i="5" s="1"/>
  <c r="AA1498" i="2"/>
  <c r="AA1574" i="4"/>
  <c r="AB1577" i="1"/>
  <c r="AB1574" i="5" s="1"/>
  <c r="AA1506" i="2"/>
  <c r="AA1582" i="4"/>
  <c r="AB1585" i="1"/>
  <c r="AB1582" i="5" s="1"/>
  <c r="X1519" i="2"/>
  <c r="Z1600" i="1"/>
  <c r="Z1597" i="5" s="1"/>
  <c r="V1523" i="2"/>
  <c r="V1601" i="4"/>
  <c r="W1604" i="1"/>
  <c r="W1601" i="5" s="1"/>
  <c r="X1524" i="2"/>
  <c r="Z1605" i="1"/>
  <c r="Z1602" i="5" s="1"/>
  <c r="V1525" i="2"/>
  <c r="V1603" i="4"/>
  <c r="W1606" i="1"/>
  <c r="W1603" i="5" s="1"/>
  <c r="X1527" i="2"/>
  <c r="Z1608" i="1"/>
  <c r="Z1605" i="5" s="1"/>
  <c r="V1528" i="2"/>
  <c r="V1606" i="4"/>
  <c r="W1609" i="1"/>
  <c r="W1606" i="5" s="1"/>
  <c r="X1529" i="2"/>
  <c r="Z1610" i="1"/>
  <c r="Z1607" i="5" s="1"/>
  <c r="V1543" i="2"/>
  <c r="V1624" i="4"/>
  <c r="W1627" i="1"/>
  <c r="W1624" i="5" s="1"/>
  <c r="X1544" i="2"/>
  <c r="Z1628" i="1"/>
  <c r="Z1625" i="5" s="1"/>
  <c r="V1545" i="2"/>
  <c r="V1626" i="4"/>
  <c r="W1629" i="1"/>
  <c r="W1626" i="5" s="1"/>
  <c r="X1546" i="2"/>
  <c r="Z1630" i="1"/>
  <c r="Z1627" i="5" s="1"/>
  <c r="V1547" i="2"/>
  <c r="V1628" i="4"/>
  <c r="W1631" i="1"/>
  <c r="W1628" i="5" s="1"/>
  <c r="X1548" i="2"/>
  <c r="Z1632" i="1"/>
  <c r="Z1629" i="5" s="1"/>
  <c r="V1549" i="2"/>
  <c r="V1630" i="4"/>
  <c r="W1633" i="1"/>
  <c r="W1630" i="5" s="1"/>
  <c r="V1550" i="2"/>
  <c r="V1631" i="4"/>
  <c r="W1634" i="1"/>
  <c r="W1631" i="5" s="1"/>
  <c r="M1632" i="4"/>
  <c r="AA1635" i="1"/>
  <c r="AA1632" i="5" s="1"/>
  <c r="Z1552" i="2"/>
  <c r="Z1634" i="4"/>
  <c r="X1586" i="2"/>
  <c r="Z1678" i="1"/>
  <c r="Z1675" i="5" s="1"/>
  <c r="V1587" i="2"/>
  <c r="V2655" i="2" s="1"/>
  <c r="V1676" i="4"/>
  <c r="W1679" i="1"/>
  <c r="W1676" i="5" s="1"/>
  <c r="X1612" i="2"/>
  <c r="Z1707" i="1"/>
  <c r="Z1704" i="5" s="1"/>
  <c r="V1621" i="2"/>
  <c r="V1713" i="4"/>
  <c r="W1716" i="1"/>
  <c r="W1713" i="5" s="1"/>
  <c r="V1625" i="2"/>
  <c r="V1717" i="4"/>
  <c r="W1720" i="1"/>
  <c r="W1717" i="5" s="1"/>
  <c r="V1633" i="2"/>
  <c r="V1725" i="4"/>
  <c r="W1728" i="1"/>
  <c r="W1725" i="5" s="1"/>
  <c r="V1637" i="2"/>
  <c r="V1729" i="4"/>
  <c r="W1732" i="1"/>
  <c r="W1729" i="5" s="1"/>
  <c r="V1641" i="2"/>
  <c r="V1733" i="4"/>
  <c r="W1736" i="1"/>
  <c r="W1733" i="5" s="1"/>
  <c r="Z1660" i="2"/>
  <c r="Z1751" i="4"/>
  <c r="J1672" i="2"/>
  <c r="J1763" i="4"/>
  <c r="M1708" i="2"/>
  <c r="M1800" i="4"/>
  <c r="AA1804" i="1"/>
  <c r="AA1800" i="5" s="1"/>
  <c r="M1715" i="2"/>
  <c r="M1807" i="4"/>
  <c r="AA1811" i="1"/>
  <c r="AA1807" i="5" s="1"/>
  <c r="J1734" i="2"/>
  <c r="J1826" i="4"/>
  <c r="U1764" i="2"/>
  <c r="U1858" i="4"/>
  <c r="M1767" i="2"/>
  <c r="M1863" i="4"/>
  <c r="AA1867" i="1"/>
  <c r="AA1863" i="5" s="1"/>
  <c r="X1772" i="2"/>
  <c r="Z1872" i="1"/>
  <c r="Q1774" i="2"/>
  <c r="Q1870" i="4"/>
  <c r="M1935" i="4"/>
  <c r="AA1939" i="1"/>
  <c r="AA1935" i="5" s="1"/>
  <c r="AA2031" i="4"/>
  <c r="AB2035" i="1"/>
  <c r="V2069" i="4"/>
  <c r="W2073" i="1"/>
  <c r="V2071" i="4"/>
  <c r="W2075" i="1"/>
  <c r="V2073" i="4"/>
  <c r="W2077" i="1"/>
  <c r="X2092" i="4"/>
  <c r="Z2096" i="1"/>
  <c r="H2131" i="4"/>
  <c r="X2131" i="4" s="1"/>
  <c r="J2135" i="1"/>
  <c r="X2135" i="1"/>
  <c r="Z2135" i="1" s="1"/>
  <c r="M2135" i="1"/>
  <c r="M2131" i="5" s="1"/>
  <c r="M2134" i="4"/>
  <c r="AA2138" i="1"/>
  <c r="AA2134" i="5" s="1"/>
  <c r="M2155" i="4"/>
  <c r="AA2159" i="1"/>
  <c r="AA2155" i="5" s="1"/>
  <c r="M2164" i="4"/>
  <c r="AA2168" i="1"/>
  <c r="AA2164" i="5" s="1"/>
  <c r="AA2169" i="4"/>
  <c r="AB2173" i="1"/>
  <c r="AA2179" i="4"/>
  <c r="AB2183" i="1"/>
  <c r="AA2183" i="4"/>
  <c r="AB2187" i="1"/>
  <c r="M2201" i="4"/>
  <c r="AA2205" i="1"/>
  <c r="AA2201" i="5" s="1"/>
  <c r="M2208" i="4"/>
  <c r="AA2212" i="1"/>
  <c r="AA2208" i="5" s="1"/>
  <c r="M2239" i="4"/>
  <c r="AA2243" i="1"/>
  <c r="AA2239" i="5" s="1"/>
  <c r="M2251" i="4"/>
  <c r="AA2255" i="1"/>
  <c r="AA2251" i="5" s="1"/>
  <c r="M2276" i="4"/>
  <c r="AA2280" i="1"/>
  <c r="AA2276" i="5" s="1"/>
  <c r="M2282" i="4"/>
  <c r="AA2286" i="1"/>
  <c r="AA2282" i="5" s="1"/>
  <c r="AA2302" i="4"/>
  <c r="AB2308" i="1"/>
  <c r="M2324" i="4"/>
  <c r="AA2330" i="1"/>
  <c r="AA2324" i="5" s="1"/>
  <c r="AA2338" i="4"/>
  <c r="AB2344" i="1"/>
  <c r="AA2347" i="4"/>
  <c r="AB2353" i="1"/>
  <c r="AA2369" i="4"/>
  <c r="AB2375" i="1"/>
  <c r="AB2369" i="5" s="1"/>
  <c r="AA2405" i="4"/>
  <c r="AB2411" i="1"/>
  <c r="U2414" i="4"/>
  <c r="U2434" i="1"/>
  <c r="AA2420" i="1"/>
  <c r="AA2414" i="5" s="1"/>
  <c r="U2491" i="4"/>
  <c r="U2507" i="1"/>
  <c r="V2558" i="4"/>
  <c r="W2566" i="1"/>
  <c r="V2560" i="4"/>
  <c r="W2568" i="1"/>
  <c r="V2562" i="4"/>
  <c r="W2570" i="1"/>
  <c r="M2627" i="4"/>
  <c r="AA2635" i="1"/>
  <c r="AA2627" i="5" s="1"/>
  <c r="V2640" i="4"/>
  <c r="W2648" i="1"/>
  <c r="V2857" i="1"/>
  <c r="V2642" i="4"/>
  <c r="W2650" i="1"/>
  <c r="V2644" i="4"/>
  <c r="W2652" i="1"/>
  <c r="V2646" i="4"/>
  <c r="W2654" i="1"/>
  <c r="V2648" i="4"/>
  <c r="W2656" i="1"/>
  <c r="V2690" i="4"/>
  <c r="W2698" i="1"/>
  <c r="V2692" i="4"/>
  <c r="W2700" i="1"/>
  <c r="V2694" i="4"/>
  <c r="W2702" i="1"/>
  <c r="AB2795" i="1"/>
  <c r="AA2817" i="1"/>
  <c r="AB2822" i="1"/>
  <c r="AB2852" i="1"/>
  <c r="V478" i="2"/>
  <c r="V498" i="4"/>
  <c r="W499" i="1"/>
  <c r="W498" i="5" s="1"/>
  <c r="M585" i="4"/>
  <c r="AA584" i="1"/>
  <c r="AA585" i="5" s="1"/>
  <c r="V598" i="2"/>
  <c r="V623" i="4"/>
  <c r="W622" i="1"/>
  <c r="W623" i="5" s="1"/>
  <c r="M674" i="2"/>
  <c r="M704" i="4"/>
  <c r="AA704" i="1"/>
  <c r="AA704" i="5" s="1"/>
  <c r="Q692" i="2"/>
  <c r="Q722" i="4"/>
  <c r="V891" i="2"/>
  <c r="V934" i="4"/>
  <c r="W934" i="1"/>
  <c r="W934" i="5" s="1"/>
  <c r="J911" i="2"/>
  <c r="J954" i="4"/>
  <c r="P954" i="1"/>
  <c r="P954" i="5" s="1"/>
  <c r="X954" i="5" s="1"/>
  <c r="Z954" i="5" s="1"/>
  <c r="X927" i="2"/>
  <c r="X969" i="4"/>
  <c r="Z970" i="1"/>
  <c r="Z969" i="5" s="1"/>
  <c r="W960" i="2"/>
  <c r="W1003" i="4"/>
  <c r="X976" i="2"/>
  <c r="Z1022" i="1"/>
  <c r="Z976" i="2" s="1"/>
  <c r="AA1168" i="2"/>
  <c r="AA1222" i="4"/>
  <c r="AB1223" i="1"/>
  <c r="AB1222" i="5" s="1"/>
  <c r="Z1188" i="2"/>
  <c r="J1197" i="2"/>
  <c r="J1256" i="4"/>
  <c r="V1237" i="2"/>
  <c r="V1300" i="4"/>
  <c r="W1301" i="1"/>
  <c r="W1300" i="5" s="1"/>
  <c r="M1242" i="2"/>
  <c r="M1305" i="4"/>
  <c r="AA1306" i="1"/>
  <c r="AA1305" i="5" s="1"/>
  <c r="AB1261" i="2"/>
  <c r="AB1324" i="4"/>
  <c r="U1309" i="2"/>
  <c r="U1378" i="4"/>
  <c r="U1403" i="1"/>
  <c r="M1311" i="2"/>
  <c r="M1380" i="4"/>
  <c r="AA1381" i="1"/>
  <c r="AA1380" i="5" s="1"/>
  <c r="AB1313" i="2"/>
  <c r="AB1382" i="4"/>
  <c r="J1318" i="2"/>
  <c r="J1387" i="4"/>
  <c r="H1353" i="2"/>
  <c r="H1423" i="4"/>
  <c r="X1423" i="4" s="1"/>
  <c r="Z1423" i="4" s="1"/>
  <c r="J1424" i="1"/>
  <c r="J1423" i="5" s="1"/>
  <c r="X1424" i="1"/>
  <c r="M1424" i="1"/>
  <c r="M1423" i="5" s="1"/>
  <c r="V1424" i="1"/>
  <c r="V1423" i="5" s="1"/>
  <c r="U1360" i="2"/>
  <c r="U1431" i="4"/>
  <c r="U1365" i="2"/>
  <c r="U1436" i="4"/>
  <c r="U1472" i="1"/>
  <c r="AB1376" i="2"/>
  <c r="AB1447" i="4"/>
  <c r="M1400" i="2"/>
  <c r="M1476" i="4"/>
  <c r="AA1477" i="1"/>
  <c r="AA1476" i="5" s="1"/>
  <c r="M1432" i="2"/>
  <c r="M1509" i="4"/>
  <c r="AA1510" i="1"/>
  <c r="AA1509" i="5" s="1"/>
  <c r="W1450" i="2"/>
  <c r="W1527" i="4"/>
  <c r="Z1483" i="2"/>
  <c r="Z1558" i="4"/>
  <c r="Z1490" i="2"/>
  <c r="Z1566" i="4"/>
  <c r="W1527" i="2"/>
  <c r="W1605" i="4"/>
  <c r="W1544" i="2"/>
  <c r="W1625" i="4"/>
  <c r="X1563" i="2"/>
  <c r="Z1649" i="1"/>
  <c r="Z1646" i="5" s="1"/>
  <c r="V1671" i="4"/>
  <c r="W1674" i="1"/>
  <c r="V1593" i="2"/>
  <c r="V1682" i="4"/>
  <c r="W1685" i="1"/>
  <c r="W1682" i="5" s="1"/>
  <c r="X1596" i="2"/>
  <c r="Z1688" i="1"/>
  <c r="Z1685" i="5" s="1"/>
  <c r="V1597" i="2"/>
  <c r="V1686" i="4"/>
  <c r="W1689" i="1"/>
  <c r="W1686" i="5" s="1"/>
  <c r="X1600" i="2"/>
  <c r="Z1692" i="1"/>
  <c r="Z1689" i="5" s="1"/>
  <c r="V1601" i="2"/>
  <c r="V1690" i="4"/>
  <c r="W1693" i="1"/>
  <c r="W1690" i="5" s="1"/>
  <c r="AB1625" i="2"/>
  <c r="AB1717" i="4"/>
  <c r="U1643" i="2"/>
  <c r="U1735" i="4"/>
  <c r="J1658" i="2"/>
  <c r="J1749" i="4"/>
  <c r="M1713" i="2"/>
  <c r="M1805" i="4"/>
  <c r="M1824" i="1"/>
  <c r="AA1809" i="1"/>
  <c r="AA1805" i="5" s="1"/>
  <c r="AA1820" i="5" s="1"/>
  <c r="X1731" i="2"/>
  <c r="Z1827" i="1"/>
  <c r="Q1736" i="2"/>
  <c r="Q1828" i="4"/>
  <c r="J1743" i="2"/>
  <c r="J1835" i="4"/>
  <c r="M1747" i="2"/>
  <c r="M1841" i="4"/>
  <c r="AA1845" i="1"/>
  <c r="AA1841" i="5" s="1"/>
  <c r="M1894" i="4"/>
  <c r="M1795" i="2"/>
  <c r="AA1898" i="1"/>
  <c r="AA1894" i="5" s="1"/>
  <c r="M1905" i="4"/>
  <c r="AA1909" i="1"/>
  <c r="AA1905" i="5" s="1"/>
  <c r="M1955" i="4"/>
  <c r="AA1959" i="1"/>
  <c r="AA1955" i="5" s="1"/>
  <c r="M2098" i="4"/>
  <c r="AA2102" i="1"/>
  <c r="AA2098" i="5" s="1"/>
  <c r="X2102" i="4"/>
  <c r="Z2106" i="1"/>
  <c r="AA2202" i="4"/>
  <c r="AB2206" i="1"/>
  <c r="M2235" i="4"/>
  <c r="AA2239" i="1"/>
  <c r="M2281" i="4"/>
  <c r="AA2285" i="1"/>
  <c r="AA2281" i="5" s="1"/>
  <c r="M2371" i="4"/>
  <c r="AA2377" i="1"/>
  <c r="AA2371" i="5" s="1"/>
  <c r="Q2385" i="4"/>
  <c r="Q2410" i="4" s="1"/>
  <c r="Q2416" i="1"/>
  <c r="AA2413" i="4"/>
  <c r="AB2419" i="1"/>
  <c r="AB2413" i="5" s="1"/>
  <c r="M2435" i="4"/>
  <c r="AA2441" i="1"/>
  <c r="AA2435" i="5" s="1"/>
  <c r="M2441" i="4"/>
  <c r="AA2447" i="1"/>
  <c r="AA2441" i="5" s="1"/>
  <c r="V1370" i="2"/>
  <c r="V1441" i="4"/>
  <c r="W1442" i="1"/>
  <c r="W1441" i="5" s="1"/>
  <c r="AA1406" i="2"/>
  <c r="AA1482" i="4"/>
  <c r="V1456" i="2"/>
  <c r="V1533" i="4"/>
  <c r="W1534" i="1"/>
  <c r="W1533" i="5" s="1"/>
  <c r="X1562" i="2"/>
  <c r="Z1648" i="1"/>
  <c r="Z1645" i="5" s="1"/>
  <c r="X1595" i="2"/>
  <c r="Z1687" i="1"/>
  <c r="Z1684" i="5" s="1"/>
  <c r="AA1603" i="2"/>
  <c r="AA1695" i="4"/>
  <c r="M1655" i="2"/>
  <c r="M1746" i="4"/>
  <c r="AA1750" i="1"/>
  <c r="AA1746" i="5" s="1"/>
  <c r="X2041" i="1"/>
  <c r="Z2019" i="1"/>
  <c r="Z2041" i="1" s="1"/>
  <c r="AA2287" i="4"/>
  <c r="AB2291" i="1"/>
  <c r="X2454" i="4"/>
  <c r="Z2462" i="1"/>
  <c r="AB2856" i="1"/>
  <c r="X458" i="2"/>
  <c r="Z479" i="1"/>
  <c r="Z458" i="2" s="1"/>
  <c r="X474" i="2"/>
  <c r="Z495" i="1"/>
  <c r="Z474" i="2" s="1"/>
  <c r="X520" i="2"/>
  <c r="Z540" i="1"/>
  <c r="Z520" i="2" s="1"/>
  <c r="M649" i="2"/>
  <c r="M677" i="4"/>
  <c r="AA677" i="1"/>
  <c r="AA677" i="5" s="1"/>
  <c r="H650" i="2"/>
  <c r="H678" i="4"/>
  <c r="X678" i="4" s="1"/>
  <c r="Z678" i="4" s="1"/>
  <c r="M678" i="1"/>
  <c r="M678" i="5" s="1"/>
  <c r="J678" i="1"/>
  <c r="X678" i="1"/>
  <c r="U680" i="2"/>
  <c r="U710" i="4"/>
  <c r="AA710" i="1"/>
  <c r="AA710" i="5" s="1"/>
  <c r="M746" i="2"/>
  <c r="M779" i="4"/>
  <c r="AA779" i="1"/>
  <c r="AA779" i="5" s="1"/>
  <c r="M785" i="4"/>
  <c r="M752" i="2"/>
  <c r="AA785" i="1"/>
  <c r="AA785" i="5" s="1"/>
  <c r="Q754" i="2"/>
  <c r="Q787" i="4"/>
  <c r="V754" i="2"/>
  <c r="V787" i="4"/>
  <c r="Q760" i="2"/>
  <c r="Q793" i="4"/>
  <c r="AB785" i="2"/>
  <c r="AB819" i="4"/>
  <c r="M807" i="2"/>
  <c r="M842" i="4"/>
  <c r="AA842" i="1"/>
  <c r="AA842" i="5" s="1"/>
  <c r="Q817" i="2"/>
  <c r="Q852" i="4"/>
  <c r="M865" i="4"/>
  <c r="AA865" i="1"/>
  <c r="AA865" i="5" s="1"/>
  <c r="W843" i="2"/>
  <c r="W882" i="4"/>
  <c r="X865" i="2"/>
  <c r="Z905" i="1"/>
  <c r="Z865" i="2" s="1"/>
  <c r="Q889" i="2"/>
  <c r="Q932" i="4"/>
  <c r="X893" i="2"/>
  <c r="Z936" i="1"/>
  <c r="Z893" i="2" s="1"/>
  <c r="X932" i="2"/>
  <c r="X974" i="4"/>
  <c r="Z975" i="1"/>
  <c r="Z974" i="5" s="1"/>
  <c r="Z934" i="2"/>
  <c r="Z976" i="4"/>
  <c r="H939" i="2"/>
  <c r="H941" i="2" s="1"/>
  <c r="H943" i="2" s="1"/>
  <c r="H982" i="4"/>
  <c r="M983" i="1"/>
  <c r="X983" i="1"/>
  <c r="M983" i="2"/>
  <c r="M1028" i="4"/>
  <c r="AA1029" i="1"/>
  <c r="AA1028" i="5" s="1"/>
  <c r="U1002" i="2"/>
  <c r="U1047" i="4"/>
  <c r="X1027" i="2"/>
  <c r="Z1075" i="1"/>
  <c r="Z1027" i="2" s="1"/>
  <c r="M1030" i="2"/>
  <c r="M1077" i="4"/>
  <c r="AA1078" i="1"/>
  <c r="AA1077" i="5" s="1"/>
  <c r="V1089" i="2"/>
  <c r="V1139" i="4"/>
  <c r="W1140" i="1"/>
  <c r="W1139" i="5" s="1"/>
  <c r="X1103" i="2"/>
  <c r="Z1154" i="1"/>
  <c r="Z1103" i="2" s="1"/>
  <c r="Q1156" i="2"/>
  <c r="Q1210" i="4"/>
  <c r="X1171" i="2"/>
  <c r="Z1226" i="1"/>
  <c r="Z1225" i="5" s="1"/>
  <c r="W1175" i="2"/>
  <c r="W1229" i="4"/>
  <c r="Q1179" i="2"/>
  <c r="Q1233" i="4"/>
  <c r="U1236" i="4"/>
  <c r="AA1237" i="1"/>
  <c r="AA1236" i="5" s="1"/>
  <c r="U1181" i="2"/>
  <c r="U1237" i="4"/>
  <c r="X1203" i="2"/>
  <c r="Z1263" i="1"/>
  <c r="Z1203" i="2" s="1"/>
  <c r="U1208" i="2"/>
  <c r="U1267" i="4"/>
  <c r="Q1210" i="2"/>
  <c r="Q1269" i="4"/>
  <c r="AA1221" i="2"/>
  <c r="AA1284" i="4"/>
  <c r="V1225" i="2"/>
  <c r="V1288" i="4"/>
  <c r="W1289" i="1"/>
  <c r="W1288" i="5" s="1"/>
  <c r="Q1227" i="2"/>
  <c r="Q1290" i="4"/>
  <c r="U1232" i="2"/>
  <c r="U1295" i="4"/>
  <c r="I2910" i="1"/>
  <c r="I2828" i="1"/>
  <c r="Q1258" i="2"/>
  <c r="Q1321" i="4"/>
  <c r="W1271" i="2"/>
  <c r="W1336" i="4"/>
  <c r="M1283" i="2"/>
  <c r="M1348" i="4"/>
  <c r="AA1349" i="1"/>
  <c r="AA1348" i="5" s="1"/>
  <c r="M1361" i="4"/>
  <c r="AA1362" i="1"/>
  <c r="AA1361" i="5" s="1"/>
  <c r="V1316" i="2"/>
  <c r="V1385" i="4"/>
  <c r="W1386" i="1"/>
  <c r="W1385" i="5" s="1"/>
  <c r="Q1320" i="2"/>
  <c r="Q1389" i="4"/>
  <c r="V1343" i="2"/>
  <c r="V1413" i="4"/>
  <c r="W1414" i="1"/>
  <c r="W1413" i="5" s="1"/>
  <c r="X1348" i="2"/>
  <c r="Z1419" i="1"/>
  <c r="Z1348" i="2" s="1"/>
  <c r="U1350" i="2"/>
  <c r="U1420" i="4"/>
  <c r="AA1421" i="1"/>
  <c r="AA1420" i="5" s="1"/>
  <c r="U1354" i="2"/>
  <c r="U1424" i="4"/>
  <c r="AA1425" i="1"/>
  <c r="AA1424" i="5" s="1"/>
  <c r="M1377" i="2"/>
  <c r="M1448" i="4"/>
  <c r="AA1449" i="1"/>
  <c r="AA1448" i="5" s="1"/>
  <c r="M1462" i="4"/>
  <c r="M1390" i="2"/>
  <c r="AA1463" i="1"/>
  <c r="AA1462" i="5" s="1"/>
  <c r="U1402" i="2"/>
  <c r="U1478" i="4"/>
  <c r="AA1479" i="1"/>
  <c r="AA1478" i="5" s="1"/>
  <c r="J1405" i="2"/>
  <c r="J1481" i="4"/>
  <c r="V1410" i="2"/>
  <c r="V1486" i="4"/>
  <c r="W1487" i="1"/>
  <c r="W1486" i="5" s="1"/>
  <c r="W1416" i="2"/>
  <c r="W1493" i="4"/>
  <c r="U1490" i="2"/>
  <c r="U1566" i="4"/>
  <c r="M1511" i="2"/>
  <c r="M1587" i="4"/>
  <c r="AA1590" i="1"/>
  <c r="AA1587" i="5" s="1"/>
  <c r="X1522" i="2"/>
  <c r="Z1603" i="1"/>
  <c r="Z1600" i="5" s="1"/>
  <c r="X1532" i="2"/>
  <c r="Z1613" i="1"/>
  <c r="Z1610" i="5" s="1"/>
  <c r="AA1552" i="2"/>
  <c r="AA1634" i="4"/>
  <c r="AB1637" i="1"/>
  <c r="AB1634" i="5" s="1"/>
  <c r="X1576" i="2"/>
  <c r="Z1665" i="1"/>
  <c r="Z1662" i="5" s="1"/>
  <c r="X1681" i="1"/>
  <c r="AA1657" i="2"/>
  <c r="AA1748" i="4"/>
  <c r="AB1752" i="1"/>
  <c r="AB1748" i="5" s="1"/>
  <c r="Z1661" i="2"/>
  <c r="Z1752" i="4"/>
  <c r="AA1752" i="4"/>
  <c r="AA1661" i="2"/>
  <c r="AB1756" i="1"/>
  <c r="AB1752" i="5" s="1"/>
  <c r="J1674" i="2"/>
  <c r="J1765" i="4"/>
  <c r="Q1683" i="2"/>
  <c r="Q1774" i="4"/>
  <c r="AA1698" i="2"/>
  <c r="AA1789" i="4"/>
  <c r="AB1793" i="1"/>
  <c r="AB1789" i="5" s="1"/>
  <c r="J1703" i="2"/>
  <c r="J1794" i="4"/>
  <c r="U1739" i="2"/>
  <c r="U1831" i="4"/>
  <c r="X1740" i="2"/>
  <c r="Z1836" i="1"/>
  <c r="Z1740" i="2" s="1"/>
  <c r="M1755" i="2"/>
  <c r="M1849" i="4"/>
  <c r="AA1853" i="1"/>
  <c r="AA1849" i="5" s="1"/>
  <c r="Q1759" i="2"/>
  <c r="Q1853" i="4"/>
  <c r="U1760" i="2"/>
  <c r="U1854" i="4"/>
  <c r="X1762" i="2"/>
  <c r="Z1860" i="1"/>
  <c r="Z1762" i="2" s="1"/>
  <c r="U1763" i="2"/>
  <c r="U1857" i="4"/>
  <c r="U1772" i="2"/>
  <c r="U1868" i="4"/>
  <c r="U1903" i="1"/>
  <c r="AA1780" i="2"/>
  <c r="AA1876" i="4"/>
  <c r="M1877" i="4"/>
  <c r="M1781" i="2"/>
  <c r="AA1881" i="1"/>
  <c r="AA1877" i="5" s="1"/>
  <c r="X1783" i="2"/>
  <c r="Z1883" i="1"/>
  <c r="Z1783" i="2" s="1"/>
  <c r="U1886" i="4"/>
  <c r="AA1890" i="1"/>
  <c r="AA1886" i="5" s="1"/>
  <c r="AA1792" i="2"/>
  <c r="AA1891" i="4"/>
  <c r="AB1895" i="1"/>
  <c r="AB1891" i="5" s="1"/>
  <c r="X1794" i="2"/>
  <c r="Z1897" i="1"/>
  <c r="Z1794" i="2" s="1"/>
  <c r="J1925" i="4"/>
  <c r="M1956" i="4"/>
  <c r="AA1960" i="1"/>
  <c r="AA1956" i="5" s="1"/>
  <c r="M1964" i="4"/>
  <c r="AA1968" i="1"/>
  <c r="AA1964" i="5" s="1"/>
  <c r="AA1993" i="4"/>
  <c r="AB1997" i="1"/>
  <c r="AA2002" i="4"/>
  <c r="AB2006" i="1"/>
  <c r="M2028" i="4"/>
  <c r="AA2032" i="1"/>
  <c r="AA2028" i="5" s="1"/>
  <c r="V2029" i="4"/>
  <c r="W2033" i="1"/>
  <c r="M2052" i="4"/>
  <c r="AA2056" i="1"/>
  <c r="AA2052" i="5" s="1"/>
  <c r="M2053" i="4"/>
  <c r="AA2057" i="1"/>
  <c r="AA2053" i="5" s="1"/>
  <c r="X2088" i="4"/>
  <c r="Z2092" i="1"/>
  <c r="M2095" i="4"/>
  <c r="AA2099" i="1"/>
  <c r="AA2095" i="5" s="1"/>
  <c r="M2097" i="4"/>
  <c r="AA2101" i="1"/>
  <c r="AA2097" i="5" s="1"/>
  <c r="X2110" i="4"/>
  <c r="Z2114" i="1"/>
  <c r="M2156" i="4"/>
  <c r="AA2160" i="1"/>
  <c r="AA2156" i="5" s="1"/>
  <c r="M2159" i="4"/>
  <c r="AA2163" i="1"/>
  <c r="AA2159" i="5" s="1"/>
  <c r="M2180" i="4"/>
  <c r="AA2184" i="1"/>
  <c r="AA2180" i="5" s="1"/>
  <c r="M2182" i="4"/>
  <c r="AA2186" i="1"/>
  <c r="AA2182" i="5" s="1"/>
  <c r="M2184" i="4"/>
  <c r="AA2188" i="1"/>
  <c r="AA2184" i="5" s="1"/>
  <c r="M2206" i="4"/>
  <c r="AA2210" i="1"/>
  <c r="AA2206" i="5" s="1"/>
  <c r="AA2216" i="4"/>
  <c r="AB2220" i="1"/>
  <c r="H2231" i="4"/>
  <c r="X2231" i="4" s="1"/>
  <c r="Z2231" i="4" s="1"/>
  <c r="J2235" i="1"/>
  <c r="X2235" i="1"/>
  <c r="Z2235" i="1" s="1"/>
  <c r="M2235" i="1"/>
  <c r="M2231" i="5" s="1"/>
  <c r="AA2299" i="4"/>
  <c r="AB2305" i="1"/>
  <c r="AB2299" i="5" s="1"/>
  <c r="Z2327" i="1"/>
  <c r="X2347" i="1"/>
  <c r="AA2355" i="1"/>
  <c r="AA2349" i="5" s="1"/>
  <c r="M2349" i="4"/>
  <c r="M2391" i="4"/>
  <c r="AA2397" i="1"/>
  <c r="AA2391" i="5" s="1"/>
  <c r="AA2415" i="4"/>
  <c r="AB2421" i="1"/>
  <c r="AA2419" i="4"/>
  <c r="AB2425" i="1"/>
  <c r="M2629" i="4"/>
  <c r="AA2637" i="1"/>
  <c r="AA2629" i="5" s="1"/>
  <c r="X2678" i="4"/>
  <c r="Z2686" i="1"/>
  <c r="AB2849" i="1"/>
  <c r="AB2859" i="1"/>
  <c r="X464" i="2"/>
  <c r="Z485" i="1"/>
  <c r="Z464" i="2" s="1"/>
  <c r="X552" i="2"/>
  <c r="X588" i="1"/>
  <c r="Z572" i="1"/>
  <c r="M675" i="2"/>
  <c r="M705" i="4"/>
  <c r="AA705" i="1"/>
  <c r="AA705" i="5" s="1"/>
  <c r="V687" i="2"/>
  <c r="V717" i="4"/>
  <c r="V743" i="1"/>
  <c r="W717" i="1"/>
  <c r="W717" i="5" s="1"/>
  <c r="J787" i="2"/>
  <c r="J821" i="4"/>
  <c r="AB837" i="2"/>
  <c r="AB876" i="4"/>
  <c r="V972" i="2"/>
  <c r="V1017" i="4"/>
  <c r="W1018" i="1"/>
  <c r="W1017" i="5" s="1"/>
  <c r="V1034" i="1"/>
  <c r="W1024" i="2"/>
  <c r="W1071" i="4"/>
  <c r="P1097" i="2"/>
  <c r="P1115" i="2" s="1"/>
  <c r="P1147" i="4"/>
  <c r="X1147" i="4" s="1"/>
  <c r="Z1147" i="4" s="1"/>
  <c r="U1148" i="1"/>
  <c r="U1147" i="5" s="1"/>
  <c r="U1166" i="5" s="1"/>
  <c r="V1148" i="1"/>
  <c r="V1147" i="5" s="1"/>
  <c r="V1166" i="5" s="1"/>
  <c r="P1167" i="1"/>
  <c r="W1145" i="2"/>
  <c r="W1197" i="4"/>
  <c r="V1149" i="2"/>
  <c r="V1201" i="4"/>
  <c r="W1202" i="1"/>
  <c r="W1201" i="5" s="1"/>
  <c r="M1157" i="2"/>
  <c r="M1211" i="4"/>
  <c r="AA1212" i="1"/>
  <c r="AA1211" i="5" s="1"/>
  <c r="H1180" i="2"/>
  <c r="H1185" i="2" s="1"/>
  <c r="H1234" i="4"/>
  <c r="X1234" i="4" s="1"/>
  <c r="M1235" i="1"/>
  <c r="M1234" i="5" s="1"/>
  <c r="M1244" i="5" s="1"/>
  <c r="J1235" i="1"/>
  <c r="J1234" i="5" s="1"/>
  <c r="X1235" i="1"/>
  <c r="W1201" i="2"/>
  <c r="W1260" i="4"/>
  <c r="X1214" i="2"/>
  <c r="Z1275" i="1"/>
  <c r="Z1214" i="2" s="1"/>
  <c r="Q1226" i="2"/>
  <c r="Q1289" i="4"/>
  <c r="V1228" i="2"/>
  <c r="V1291" i="4"/>
  <c r="W1292" i="1"/>
  <c r="W1291" i="5" s="1"/>
  <c r="X1341" i="2"/>
  <c r="Z1412" i="1"/>
  <c r="Z1341" i="2" s="1"/>
  <c r="V1342" i="2"/>
  <c r="V1412" i="4"/>
  <c r="W1413" i="1"/>
  <c r="W1412" i="5" s="1"/>
  <c r="U1372" i="2"/>
  <c r="U1443" i="4"/>
  <c r="W1377" i="2"/>
  <c r="W1448" i="4"/>
  <c r="Q1385" i="2"/>
  <c r="Q1456" i="4"/>
  <c r="M1464" i="4"/>
  <c r="AA1465" i="1"/>
  <c r="AA1464" i="5" s="1"/>
  <c r="W1398" i="2"/>
  <c r="W1474" i="4"/>
  <c r="W1404" i="2"/>
  <c r="W1480" i="4"/>
  <c r="U1409" i="2"/>
  <c r="U1485" i="4"/>
  <c r="M1475" i="2"/>
  <c r="M1550" i="4"/>
  <c r="AA1553" i="1"/>
  <c r="AA1550" i="5" s="1"/>
  <c r="Z1477" i="2"/>
  <c r="Z1552" i="4"/>
  <c r="Z1498" i="2"/>
  <c r="Z1574" i="4"/>
  <c r="Z1506" i="2"/>
  <c r="Z1582" i="4"/>
  <c r="W1519" i="2"/>
  <c r="W1597" i="4"/>
  <c r="W1607" i="4"/>
  <c r="W1529" i="2"/>
  <c r="W1627" i="4"/>
  <c r="W1546" i="2"/>
  <c r="V1567" i="2"/>
  <c r="V1650" i="4"/>
  <c r="W1653" i="1"/>
  <c r="W1650" i="5" s="1"/>
  <c r="V1577" i="2"/>
  <c r="V1663" i="4"/>
  <c r="W1666" i="1"/>
  <c r="W1663" i="5" s="1"/>
  <c r="V1602" i="2"/>
  <c r="V1694" i="4"/>
  <c r="W1697" i="1"/>
  <c r="W1694" i="5" s="1"/>
  <c r="J1655" i="2"/>
  <c r="J1746" i="4"/>
  <c r="J1762" i="1"/>
  <c r="U1662" i="2"/>
  <c r="U1753" i="4"/>
  <c r="X1665" i="2"/>
  <c r="X1756" i="4"/>
  <c r="Z1760" i="1"/>
  <c r="Z1756" i="5" s="1"/>
  <c r="Q1688" i="2"/>
  <c r="Q1779" i="4"/>
  <c r="X1718" i="2"/>
  <c r="Z1814" i="1"/>
  <c r="Z1718" i="2" s="1"/>
  <c r="M1738" i="2"/>
  <c r="M1830" i="4"/>
  <c r="AA1834" i="1"/>
  <c r="AA1830" i="5" s="1"/>
  <c r="U1754" i="2"/>
  <c r="U1848" i="4"/>
  <c r="M1756" i="2"/>
  <c r="M1850" i="4"/>
  <c r="AA1854" i="1"/>
  <c r="AA1850" i="5" s="1"/>
  <c r="X1788" i="2"/>
  <c r="Z1888" i="1"/>
  <c r="Z1788" i="2" s="1"/>
  <c r="U1793" i="2"/>
  <c r="U1892" i="4"/>
  <c r="M1948" i="4"/>
  <c r="AA1952" i="1"/>
  <c r="AA1948" i="5" s="1"/>
  <c r="Q1954" i="4"/>
  <c r="Q1967" i="4" s="1"/>
  <c r="Q1971" i="1"/>
  <c r="V2024" i="4"/>
  <c r="W2028" i="1"/>
  <c r="Z2086" i="4"/>
  <c r="AA2270" i="4"/>
  <c r="AB2274" i="1"/>
  <c r="M2443" i="4"/>
  <c r="AA2449" i="1"/>
  <c r="AA2443" i="5" s="1"/>
  <c r="W1375" i="2"/>
  <c r="W1446" i="4"/>
  <c r="V1620" i="2"/>
  <c r="V1712" i="4"/>
  <c r="V1723" i="1"/>
  <c r="W1715" i="1"/>
  <c r="W1712" i="5" s="1"/>
  <c r="M2625" i="4"/>
  <c r="AA2633" i="1"/>
  <c r="AA2625" i="5" s="1"/>
  <c r="V2668" i="4"/>
  <c r="W2676" i="1"/>
  <c r="AA2731" i="4"/>
  <c r="AB2739" i="1"/>
  <c r="AB2731" i="5" s="1"/>
  <c r="U2791" i="1"/>
  <c r="X2791" i="1"/>
  <c r="Z2791" i="1" s="1"/>
  <c r="AB2838" i="1"/>
  <c r="M55" i="2"/>
  <c r="M59" i="4"/>
  <c r="AA59" i="1"/>
  <c r="AA59" i="5" s="1"/>
  <c r="X209" i="2"/>
  <c r="Z218" i="1"/>
  <c r="Z209" i="2" s="1"/>
  <c r="AA457" i="2"/>
  <c r="AA477" i="4"/>
  <c r="AB478" i="1"/>
  <c r="AB477" i="5" s="1"/>
  <c r="U511" i="2"/>
  <c r="U531" i="4"/>
  <c r="X524" i="2"/>
  <c r="Z544" i="1"/>
  <c r="Z524" i="2" s="1"/>
  <c r="AA802" i="2"/>
  <c r="AA836" i="4"/>
  <c r="AB836" i="1"/>
  <c r="AB836" i="5" s="1"/>
  <c r="J805" i="2"/>
  <c r="J840" i="4"/>
  <c r="W815" i="2"/>
  <c r="W850" i="4"/>
  <c r="W859" i="2"/>
  <c r="W899" i="4"/>
  <c r="V999" i="2"/>
  <c r="V1044" i="4"/>
  <c r="W1045" i="1"/>
  <c r="W1044" i="5" s="1"/>
  <c r="X1125" i="2"/>
  <c r="Z1177" i="1"/>
  <c r="Z1125" i="2" s="1"/>
  <c r="M1147" i="2"/>
  <c r="M1199" i="4"/>
  <c r="AA1200" i="1"/>
  <c r="AA1199" i="5" s="1"/>
  <c r="W1158" i="2"/>
  <c r="W1212" i="4"/>
  <c r="Q1163" i="2"/>
  <c r="Q1217" i="4"/>
  <c r="Q1245" i="1"/>
  <c r="U1248" i="4"/>
  <c r="U1189" i="2"/>
  <c r="U1282" i="1"/>
  <c r="W1193" i="2"/>
  <c r="W1252" i="4"/>
  <c r="X1268" i="2"/>
  <c r="Z1334" i="1"/>
  <c r="Z1268" i="2" s="1"/>
  <c r="W1272" i="2"/>
  <c r="W1337" i="4"/>
  <c r="U1290" i="2"/>
  <c r="U1355" i="4"/>
  <c r="AA1356" i="1"/>
  <c r="AA1355" i="5" s="1"/>
  <c r="V1298" i="2"/>
  <c r="V1367" i="4"/>
  <c r="W1368" i="1"/>
  <c r="W1367" i="5" s="1"/>
  <c r="X1338" i="2"/>
  <c r="Z1409" i="1"/>
  <c r="Z1338" i="2" s="1"/>
  <c r="H1342" i="2"/>
  <c r="H1412" i="4"/>
  <c r="X1412" i="4" s="1"/>
  <c r="Z1412" i="4" s="1"/>
  <c r="J1413" i="1"/>
  <c r="J1412" i="5" s="1"/>
  <c r="M1413" i="1"/>
  <c r="M1412" i="5" s="1"/>
  <c r="M1433" i="5" s="1"/>
  <c r="X1413" i="1"/>
  <c r="W1350" i="2"/>
  <c r="W1420" i="4"/>
  <c r="AA1369" i="2"/>
  <c r="AA1440" i="4"/>
  <c r="AB1441" i="1"/>
  <c r="AB1440" i="5" s="1"/>
  <c r="M1371" i="2"/>
  <c r="M1442" i="4"/>
  <c r="AA1443" i="1"/>
  <c r="AA1442" i="5" s="1"/>
  <c r="J1382" i="2"/>
  <c r="J1453" i="4"/>
  <c r="J1465" i="4"/>
  <c r="J1392" i="2"/>
  <c r="Q1405" i="2"/>
  <c r="Q1481" i="4"/>
  <c r="V1405" i="2"/>
  <c r="V1481" i="4"/>
  <c r="W1482" i="1"/>
  <c r="W1481" i="5" s="1"/>
  <c r="X1408" i="2"/>
  <c r="Z1485" i="1"/>
  <c r="Z1408" i="2" s="1"/>
  <c r="AB1414" i="2"/>
  <c r="AB1490" i="4"/>
  <c r="M1447" i="2"/>
  <c r="M1524" i="4"/>
  <c r="AA1525" i="1"/>
  <c r="AA1524" i="5" s="1"/>
  <c r="AA1576" i="2"/>
  <c r="AA1662" i="4"/>
  <c r="AB1665" i="1"/>
  <c r="AB1662" i="5" s="1"/>
  <c r="X1639" i="2"/>
  <c r="Z1734" i="1"/>
  <c r="Z1731" i="5" s="1"/>
  <c r="AB1642" i="2"/>
  <c r="AB1734" i="4"/>
  <c r="AA1671" i="2"/>
  <c r="AA1762" i="4"/>
  <c r="AB1766" i="1"/>
  <c r="AB1762" i="5" s="1"/>
  <c r="Q1740" i="2"/>
  <c r="Q1832" i="4"/>
  <c r="X1754" i="2"/>
  <c r="Z1852" i="1"/>
  <c r="Z1754" i="2" s="1"/>
  <c r="J1778" i="2"/>
  <c r="J1874" i="4"/>
  <c r="U1780" i="2"/>
  <c r="U1876" i="4"/>
  <c r="X1790" i="2"/>
  <c r="Z1893" i="1"/>
  <c r="Z1790" i="2" s="1"/>
  <c r="Q1925" i="4"/>
  <c r="Q1951" i="4" s="1"/>
  <c r="Q1955" i="1"/>
  <c r="AA1937" i="4"/>
  <c r="AB1941" i="1"/>
  <c r="M1940" i="4"/>
  <c r="AA1944" i="1"/>
  <c r="AA1940" i="5" s="1"/>
  <c r="V1996" i="4"/>
  <c r="W2000" i="1"/>
  <c r="V2001" i="4"/>
  <c r="W2005" i="1"/>
  <c r="V2009" i="4"/>
  <c r="W2013" i="1"/>
  <c r="M2126" i="4"/>
  <c r="AA2130" i="1"/>
  <c r="AA2126" i="5" s="1"/>
  <c r="M2144" i="4"/>
  <c r="AA2148" i="1"/>
  <c r="AA2144" i="5" s="1"/>
  <c r="M2153" i="4"/>
  <c r="AA2157" i="1"/>
  <c r="AA2153" i="5" s="1"/>
  <c r="X2459" i="4"/>
  <c r="Z2467" i="1"/>
  <c r="X2462" i="4"/>
  <c r="Z2470" i="1"/>
  <c r="V2480" i="4"/>
  <c r="W2488" i="1"/>
  <c r="V2533" i="4"/>
  <c r="W2541" i="1"/>
  <c r="V2543" i="4"/>
  <c r="W2551" i="1"/>
  <c r="M2576" i="4"/>
  <c r="AA2584" i="1"/>
  <c r="AA2576" i="5" s="1"/>
  <c r="M2610" i="4"/>
  <c r="M2612" i="4" s="1"/>
  <c r="AA2618" i="1"/>
  <c r="AA2610" i="5" s="1"/>
  <c r="AA2612" i="5" s="1"/>
  <c r="M2620" i="1"/>
  <c r="M2622" i="4"/>
  <c r="AA2630" i="1"/>
  <c r="AA2622" i="5" s="1"/>
  <c r="AL2867" i="1"/>
  <c r="P2639" i="4"/>
  <c r="X2639" i="4" s="1"/>
  <c r="U2647" i="1"/>
  <c r="U2639" i="5" s="1"/>
  <c r="U2658" i="5" s="1"/>
  <c r="X2647" i="1"/>
  <c r="P2666" i="1"/>
  <c r="P2668" i="1" s="1"/>
  <c r="P2924" i="1" s="1"/>
  <c r="V2647" i="1"/>
  <c r="V2639" i="5" s="1"/>
  <c r="V2658" i="5" s="1"/>
  <c r="X2667" i="4"/>
  <c r="Z2675" i="1"/>
  <c r="AA2686" i="4"/>
  <c r="AB2694" i="1"/>
  <c r="AB2686" i="5" s="1"/>
  <c r="V2733" i="4"/>
  <c r="W2741" i="1"/>
  <c r="AA2788" i="1"/>
  <c r="V861" i="4"/>
  <c r="V826" i="2"/>
  <c r="W861" i="1"/>
  <c r="W861" i="5" s="1"/>
  <c r="M851" i="2"/>
  <c r="M891" i="4"/>
  <c r="AA891" i="1"/>
  <c r="AA891" i="5" s="1"/>
  <c r="M896" i="2"/>
  <c r="M939" i="4"/>
  <c r="AA939" i="1"/>
  <c r="AA939" i="5" s="1"/>
  <c r="X961" i="2"/>
  <c r="Z1005" i="1"/>
  <c r="Z961" i="2" s="1"/>
  <c r="W1210" i="2"/>
  <c r="W1269" i="4"/>
  <c r="M1319" i="2"/>
  <c r="M1388" i="4"/>
  <c r="AA1389" i="1"/>
  <c r="AA1388" i="5" s="1"/>
  <c r="U1328" i="2"/>
  <c r="U1398" i="4"/>
  <c r="AA1399" i="1"/>
  <c r="AA1398" i="5" s="1"/>
  <c r="J1411" i="2"/>
  <c r="J1487" i="4"/>
  <c r="J1423" i="2"/>
  <c r="J1500" i="4"/>
  <c r="J1542" i="1"/>
  <c r="X1500" i="4"/>
  <c r="AA1584" i="2"/>
  <c r="AA1670" i="4"/>
  <c r="AB1673" i="1"/>
  <c r="AB1670" i="5" s="1"/>
  <c r="M1632" i="2"/>
  <c r="M1724" i="4"/>
  <c r="AA1727" i="1"/>
  <c r="AA1724" i="5" s="1"/>
  <c r="M1740" i="1"/>
  <c r="Q1655" i="2"/>
  <c r="Q1746" i="4"/>
  <c r="M1684" i="2"/>
  <c r="M1775" i="4"/>
  <c r="AA1779" i="1"/>
  <c r="AA1775" i="5" s="1"/>
  <c r="Q1686" i="2"/>
  <c r="Q1777" i="4"/>
  <c r="AA1765" i="2"/>
  <c r="AA1859" i="4"/>
  <c r="AB1863" i="1"/>
  <c r="AB1859" i="5" s="1"/>
  <c r="X2109" i="4"/>
  <c r="Z2113" i="1"/>
  <c r="Q2321" i="4"/>
  <c r="Q2341" i="4" s="1"/>
  <c r="Q2347" i="1"/>
  <c r="X2460" i="4"/>
  <c r="Z2468" i="1"/>
  <c r="M2465" i="4"/>
  <c r="AA2473" i="1"/>
  <c r="AA2465" i="5" s="1"/>
  <c r="V2625" i="4"/>
  <c r="W2633" i="1"/>
  <c r="X2681" i="4"/>
  <c r="Z2689" i="1"/>
  <c r="V2742" i="4"/>
  <c r="W2750" i="1"/>
  <c r="AA2812" i="1"/>
  <c r="X1023" i="2"/>
  <c r="Z1071" i="1"/>
  <c r="Z1023" i="2" s="1"/>
  <c r="U1253" i="2"/>
  <c r="U1316" i="4"/>
  <c r="V1270" i="2"/>
  <c r="V1335" i="4"/>
  <c r="W1336" i="1"/>
  <c r="W1335" i="5" s="1"/>
  <c r="Q1288" i="2"/>
  <c r="Q1353" i="4"/>
  <c r="X1387" i="2"/>
  <c r="Z1459" i="1"/>
  <c r="Z1387" i="2" s="1"/>
  <c r="AA1532" i="2"/>
  <c r="AA1610" i="4"/>
  <c r="AB1613" i="1"/>
  <c r="AB1610" i="5" s="1"/>
  <c r="M1553" i="2"/>
  <c r="M1635" i="4"/>
  <c r="AA1638" i="1"/>
  <c r="AA1635" i="5" s="1"/>
  <c r="AA1644" i="4"/>
  <c r="AA1561" i="2"/>
  <c r="AB1647" i="1"/>
  <c r="AB1644" i="5" s="1"/>
  <c r="X1631" i="2"/>
  <c r="X1740" i="1"/>
  <c r="Z1726" i="1"/>
  <c r="Z1723" i="5" s="1"/>
  <c r="W1632" i="2"/>
  <c r="W1724" i="4"/>
  <c r="X1746" i="4"/>
  <c r="X1655" i="2"/>
  <c r="J1662" i="2"/>
  <c r="J1753" i="4"/>
  <c r="J1691" i="2"/>
  <c r="J1782" i="4"/>
  <c r="U1755" i="2"/>
  <c r="U1849" i="4"/>
  <c r="Q1784" i="2"/>
  <c r="Q1880" i="4"/>
  <c r="M2000" i="4"/>
  <c r="AA2004" i="1"/>
  <c r="AA2000" i="5" s="1"/>
  <c r="AB2323" i="1"/>
  <c r="AA2317" i="4"/>
  <c r="M2418" i="4"/>
  <c r="AA2424" i="1"/>
  <c r="AA2418" i="5" s="1"/>
  <c r="V2458" i="4"/>
  <c r="W2466" i="1"/>
  <c r="V2466" i="4"/>
  <c r="W2474" i="1"/>
  <c r="M2477" i="4"/>
  <c r="AA2485" i="1"/>
  <c r="AA2477" i="5" s="1"/>
  <c r="V2479" i="4"/>
  <c r="W2487" i="1"/>
  <c r="AA2524" i="4"/>
  <c r="AB2532" i="1"/>
  <c r="W2589" i="4"/>
  <c r="W2828" i="1"/>
  <c r="X2671" i="4"/>
  <c r="Z2679" i="1"/>
  <c r="M2677" i="4"/>
  <c r="AA2685" i="1"/>
  <c r="AA2677" i="5" s="1"/>
  <c r="M2734" i="4"/>
  <c r="AA2742" i="1"/>
  <c r="AA2734" i="5" s="1"/>
  <c r="AA2798" i="1"/>
  <c r="W680" i="2"/>
  <c r="W710" i="4"/>
  <c r="U756" i="2"/>
  <c r="U789" i="4"/>
  <c r="W758" i="2"/>
  <c r="W791" i="4"/>
  <c r="U781" i="2"/>
  <c r="U815" i="4"/>
  <c r="Q840" i="2"/>
  <c r="Q879" i="4"/>
  <c r="M1010" i="2"/>
  <c r="M1055" i="4"/>
  <c r="AA1056" i="1"/>
  <c r="M1107" i="2"/>
  <c r="M1157" i="4"/>
  <c r="AA1158" i="1"/>
  <c r="AA1157" i="5" s="1"/>
  <c r="X1131" i="2"/>
  <c r="Z1183" i="1"/>
  <c r="Z1131" i="2" s="1"/>
  <c r="X1178" i="2"/>
  <c r="Z1233" i="1"/>
  <c r="Z1232" i="5" s="1"/>
  <c r="W1183" i="2"/>
  <c r="W1242" i="4"/>
  <c r="U1258" i="4"/>
  <c r="U1199" i="2"/>
  <c r="AA1259" i="1"/>
  <c r="AA1258" i="5" s="1"/>
  <c r="W1256" i="2"/>
  <c r="W1319" i="4"/>
  <c r="AA1256" i="2"/>
  <c r="AA1319" i="4"/>
  <c r="V1351" i="4"/>
  <c r="V1286" i="2"/>
  <c r="W1352" i="1"/>
  <c r="W1351" i="5" s="1"/>
  <c r="X1327" i="2"/>
  <c r="Z1398" i="1"/>
  <c r="Z1327" i="2" s="1"/>
  <c r="U1346" i="2"/>
  <c r="U1416" i="4"/>
  <c r="M1372" i="2"/>
  <c r="M1443" i="4"/>
  <c r="AA1444" i="1"/>
  <c r="AA1443" i="5" s="1"/>
  <c r="U1382" i="2"/>
  <c r="U1453" i="4"/>
  <c r="U1391" i="2"/>
  <c r="U1463" i="4"/>
  <c r="AA1399" i="2"/>
  <c r="AA1475" i="4"/>
  <c r="AB1476" i="1"/>
  <c r="AB1475" i="5" s="1"/>
  <c r="Q1462" i="2"/>
  <c r="Q1464" i="2" s="1"/>
  <c r="Q1539" i="4"/>
  <c r="Q1541" i="4" s="1"/>
  <c r="U1474" i="2"/>
  <c r="U1549" i="4"/>
  <c r="U1571" i="1"/>
  <c r="AA1614" i="4"/>
  <c r="AB1617" i="1"/>
  <c r="AA1623" i="4"/>
  <c r="AA1542" i="2"/>
  <c r="AB1626" i="1"/>
  <c r="AB1623" i="5" s="1"/>
  <c r="H1571" i="2"/>
  <c r="H1573" i="2" s="1"/>
  <c r="H1657" i="4"/>
  <c r="X1657" i="4" s="1"/>
  <c r="M1660" i="1"/>
  <c r="X1660" i="1"/>
  <c r="X1662" i="1" s="1"/>
  <c r="W1594" i="2"/>
  <c r="W1683" i="4"/>
  <c r="U1603" i="2"/>
  <c r="U1695" i="4"/>
  <c r="X1635" i="2"/>
  <c r="Z1730" i="1"/>
  <c r="Z1727" i="5" s="1"/>
  <c r="X1640" i="2"/>
  <c r="Z1735" i="1"/>
  <c r="Z1732" i="5" s="1"/>
  <c r="Z1659" i="2"/>
  <c r="Z1750" i="4"/>
  <c r="U1696" i="2"/>
  <c r="U1787" i="4"/>
  <c r="U1806" i="1"/>
  <c r="AA1746" i="2"/>
  <c r="AA1840" i="4"/>
  <c r="H1759" i="2"/>
  <c r="H1853" i="4"/>
  <c r="X1853" i="4" s="1"/>
  <c r="Z1853" i="4" s="1"/>
  <c r="J1857" i="1"/>
  <c r="J1853" i="5" s="1"/>
  <c r="J1865" i="5" s="1"/>
  <c r="M1857" i="1"/>
  <c r="M1853" i="5" s="1"/>
  <c r="X1857" i="1"/>
  <c r="Q1878" i="4"/>
  <c r="Q1782" i="2"/>
  <c r="H1883" i="4"/>
  <c r="X1883" i="4" s="1"/>
  <c r="Z1883" i="4" s="1"/>
  <c r="H1787" i="2"/>
  <c r="J1887" i="1"/>
  <c r="J1883" i="5" s="1"/>
  <c r="M1887" i="1"/>
  <c r="X1887" i="1"/>
  <c r="X1793" i="2"/>
  <c r="Z1896" i="1"/>
  <c r="Z1793" i="2" s="1"/>
  <c r="H1917" i="4"/>
  <c r="X1917" i="4" s="1"/>
  <c r="Z1917" i="4" s="1"/>
  <c r="J1921" i="1"/>
  <c r="X1921" i="1"/>
  <c r="Z1921" i="1" s="1"/>
  <c r="M1921" i="1"/>
  <c r="M1917" i="5" s="1"/>
  <c r="M2256" i="4"/>
  <c r="AA2260" i="1"/>
  <c r="AA2256" i="5" s="1"/>
  <c r="M2311" i="4"/>
  <c r="AA2317" i="1"/>
  <c r="AA2311" i="5" s="1"/>
  <c r="M2327" i="4"/>
  <c r="AA2333" i="1"/>
  <c r="AA2327" i="5" s="1"/>
  <c r="M2388" i="4"/>
  <c r="AA2394" i="1"/>
  <c r="AA2388" i="5" s="1"/>
  <c r="X2461" i="4"/>
  <c r="Z2469" i="1"/>
  <c r="V2464" i="4"/>
  <c r="W2472" i="1"/>
  <c r="V2532" i="4"/>
  <c r="W2540" i="1"/>
  <c r="V2542" i="4"/>
  <c r="W2550" i="1"/>
  <c r="M2556" i="4"/>
  <c r="AA2564" i="1"/>
  <c r="AA2556" i="5" s="1"/>
  <c r="V2573" i="4"/>
  <c r="W2581" i="1"/>
  <c r="W2573" i="5" s="1"/>
  <c r="V2616" i="1"/>
  <c r="X2578" i="4"/>
  <c r="Z2586" i="1"/>
  <c r="V2581" i="4"/>
  <c r="W2589" i="1"/>
  <c r="V2616" i="4"/>
  <c r="W2624" i="1"/>
  <c r="W2616" i="5" s="1"/>
  <c r="V2643" i="1"/>
  <c r="V2665" i="4"/>
  <c r="W2673" i="1"/>
  <c r="W2665" i="5" s="1"/>
  <c r="V2691" i="1"/>
  <c r="V2721" i="4"/>
  <c r="W2729" i="1"/>
  <c r="AA2828" i="1"/>
  <c r="Z631" i="2"/>
  <c r="Z659" i="4"/>
  <c r="M637" i="2"/>
  <c r="M665" i="4"/>
  <c r="AA665" i="1"/>
  <c r="AA665" i="5" s="1"/>
  <c r="W874" i="2"/>
  <c r="W917" i="4"/>
  <c r="V1086" i="2"/>
  <c r="V1136" i="4"/>
  <c r="W1137" i="1"/>
  <c r="W1136" i="5" s="1"/>
  <c r="U1339" i="2"/>
  <c r="U1409" i="4"/>
  <c r="W1419" i="4"/>
  <c r="W1349" i="2"/>
  <c r="U1368" i="2"/>
  <c r="U1439" i="4"/>
  <c r="AA1440" i="1"/>
  <c r="AA1439" i="5" s="1"/>
  <c r="V1384" i="2"/>
  <c r="V1455" i="4"/>
  <c r="W1456" i="1"/>
  <c r="W1455" i="5" s="1"/>
  <c r="M1435" i="2"/>
  <c r="M1512" i="4"/>
  <c r="AA1513" i="1"/>
  <c r="AA1512" i="5" s="1"/>
  <c r="M1512" i="2"/>
  <c r="M1590" i="4"/>
  <c r="AA1593" i="1"/>
  <c r="AA1590" i="5" s="1"/>
  <c r="W1520" i="2"/>
  <c r="W1598" i="4"/>
  <c r="X1623" i="2"/>
  <c r="Z1718" i="1"/>
  <c r="Z1715" i="5" s="1"/>
  <c r="AB1626" i="2"/>
  <c r="AB1718" i="4"/>
  <c r="X1705" i="2"/>
  <c r="Z1800" i="1"/>
  <c r="Z1705" i="2" s="1"/>
  <c r="AA1707" i="2"/>
  <c r="AA1799" i="4"/>
  <c r="AB1803" i="1"/>
  <c r="AB1799" i="5" s="1"/>
  <c r="X1723" i="2"/>
  <c r="Z1819" i="1"/>
  <c r="Z1723" i="2" s="1"/>
  <c r="J1737" i="2"/>
  <c r="J1829" i="4"/>
  <c r="Q1786" i="2"/>
  <c r="Q1882" i="4"/>
  <c r="H1936" i="4"/>
  <c r="X1936" i="4" s="1"/>
  <c r="Z1936" i="4" s="1"/>
  <c r="M1940" i="1"/>
  <c r="M1936" i="5" s="1"/>
  <c r="X1940" i="1"/>
  <c r="Z1940" i="1" s="1"/>
  <c r="J1940" i="1"/>
  <c r="V1998" i="4"/>
  <c r="W2002" i="1"/>
  <c r="V2003" i="4"/>
  <c r="W2007" i="1"/>
  <c r="AB2222" i="4"/>
  <c r="AA2434" i="4"/>
  <c r="AB2440" i="1"/>
  <c r="M2457" i="4"/>
  <c r="AA2465" i="1"/>
  <c r="AA2457" i="5" s="1"/>
  <c r="V2519" i="4"/>
  <c r="W2527" i="1"/>
  <c r="V2650" i="4"/>
  <c r="W2658" i="1"/>
  <c r="X2666" i="4"/>
  <c r="Z2674" i="1"/>
  <c r="H2715" i="4"/>
  <c r="X2715" i="4" s="1"/>
  <c r="Z2715" i="4" s="1"/>
  <c r="M2723" i="1"/>
  <c r="M2715" i="5" s="1"/>
  <c r="X2723" i="1"/>
  <c r="Z2723" i="1" s="1"/>
  <c r="H2736" i="1"/>
  <c r="AA2830" i="1"/>
  <c r="W732" i="2"/>
  <c r="W763" i="4"/>
  <c r="X995" i="2"/>
  <c r="Z1041" i="1"/>
  <c r="Z995" i="2" s="1"/>
  <c r="W1207" i="2"/>
  <c r="W1266" i="4"/>
  <c r="J1237" i="2"/>
  <c r="J1300" i="4"/>
  <c r="U1288" i="2"/>
  <c r="U1353" i="4"/>
  <c r="AA1354" i="1"/>
  <c r="AA1353" i="5" s="1"/>
  <c r="M1345" i="2"/>
  <c r="M1415" i="4"/>
  <c r="AA1416" i="1"/>
  <c r="AA1415" i="5" s="1"/>
  <c r="Q1438" i="4"/>
  <c r="Q1367" i="2"/>
  <c r="V1367" i="2"/>
  <c r="V1438" i="4"/>
  <c r="W1401" i="2"/>
  <c r="W1477" i="4"/>
  <c r="Z1525" i="2"/>
  <c r="Z1603" i="4"/>
  <c r="X1610" i="2"/>
  <c r="Z1705" i="1"/>
  <c r="Z1702" i="5" s="1"/>
  <c r="U1721" i="2"/>
  <c r="U1813" i="4"/>
  <c r="Q1753" i="2"/>
  <c r="Q1847" i="4"/>
  <c r="M1992" i="4"/>
  <c r="AA1996" i="1"/>
  <c r="AA1992" i="5" s="1"/>
  <c r="M2204" i="4"/>
  <c r="AA2208" i="1"/>
  <c r="AA2204" i="5" s="1"/>
  <c r="V2544" i="4"/>
  <c r="W2552" i="1"/>
  <c r="V2553" i="4"/>
  <c r="W2561" i="1"/>
  <c r="M2580" i="4"/>
  <c r="AA2588" i="1"/>
  <c r="AA2580" i="5" s="1"/>
  <c r="M2618" i="4"/>
  <c r="AA2626" i="1"/>
  <c r="AA2618" i="5" s="1"/>
  <c r="AA2842" i="1"/>
  <c r="X666" i="4"/>
  <c r="Z666" i="4" s="1"/>
  <c r="X761" i="4"/>
  <c r="Z761" i="4" s="1"/>
  <c r="X774" i="4"/>
  <c r="Z774" i="4" s="1"/>
  <c r="X853" i="4"/>
  <c r="Z853" i="4" s="1"/>
  <c r="X1038" i="4"/>
  <c r="Z1038" i="4" s="1"/>
  <c r="X1042" i="4"/>
  <c r="Z1042" i="4" s="1"/>
  <c r="X1046" i="4"/>
  <c r="Z1046" i="4" s="1"/>
  <c r="P1037" i="2"/>
  <c r="X1104" i="4"/>
  <c r="Z1104" i="4" s="1"/>
  <c r="X1134" i="4"/>
  <c r="Z1134" i="4" s="1"/>
  <c r="X1138" i="4"/>
  <c r="Z1138" i="4" s="1"/>
  <c r="X1180" i="4"/>
  <c r="Z1180" i="4" s="1"/>
  <c r="X1220" i="4"/>
  <c r="P1218" i="2"/>
  <c r="X1285" i="4"/>
  <c r="Z1285" i="4" s="1"/>
  <c r="X1292" i="4"/>
  <c r="Z1292" i="4" s="1"/>
  <c r="X1337" i="4"/>
  <c r="Z1337" i="4" s="1"/>
  <c r="X1345" i="4"/>
  <c r="Z1345" i="4" s="1"/>
  <c r="X1347" i="4"/>
  <c r="Z1347" i="4" s="1"/>
  <c r="X485" i="4"/>
  <c r="Z485" i="4" s="1"/>
  <c r="X530" i="4"/>
  <c r="Z530" i="4" s="1"/>
  <c r="X541" i="4"/>
  <c r="Z541" i="4" s="1"/>
  <c r="AA656" i="1"/>
  <c r="AA656" i="5" s="1"/>
  <c r="E748" i="2"/>
  <c r="X841" i="4"/>
  <c r="Z841" i="4" s="1"/>
  <c r="X848" i="4"/>
  <c r="Z848" i="4" s="1"/>
  <c r="X869" i="4"/>
  <c r="Z869" i="4" s="1"/>
  <c r="X910" i="4"/>
  <c r="Z910" i="4" s="1"/>
  <c r="M904" i="2"/>
  <c r="V904" i="2"/>
  <c r="H913" i="2"/>
  <c r="H1057" i="2"/>
  <c r="AA1122" i="1"/>
  <c r="AA1121" i="5" s="1"/>
  <c r="X1162" i="4"/>
  <c r="Z1162" i="4" s="1"/>
  <c r="X1175" i="4"/>
  <c r="Z1175" i="4" s="1"/>
  <c r="P1160" i="2"/>
  <c r="E1218" i="2"/>
  <c r="X1270" i="4"/>
  <c r="Z1270" i="4" s="1"/>
  <c r="P1274" i="2"/>
  <c r="X323" i="4"/>
  <c r="Z323" i="4" s="1"/>
  <c r="X342" i="4"/>
  <c r="Z342" i="4" s="1"/>
  <c r="X664" i="4"/>
  <c r="Z664" i="4" s="1"/>
  <c r="X730" i="4"/>
  <c r="Z730" i="4" s="1"/>
  <c r="X799" i="4"/>
  <c r="Z799" i="4" s="1"/>
  <c r="F895" i="4"/>
  <c r="X879" i="4"/>
  <c r="Z879" i="4" s="1"/>
  <c r="X898" i="4"/>
  <c r="Z898" i="4" s="1"/>
  <c r="H1004" i="2"/>
  <c r="X1110" i="4"/>
  <c r="Z1110" i="4" s="1"/>
  <c r="X1181" i="4"/>
  <c r="Z1181" i="4" s="1"/>
  <c r="X1232" i="4"/>
  <c r="X1271" i="4"/>
  <c r="Z1271" i="4" s="1"/>
  <c r="F1309" i="4"/>
  <c r="X1378" i="4"/>
  <c r="Z1378" i="4" s="1"/>
  <c r="X1440" i="4"/>
  <c r="Z1440" i="4" s="1"/>
  <c r="X1451" i="4"/>
  <c r="Z1451" i="4" s="1"/>
  <c r="X1475" i="4"/>
  <c r="Z1475" i="4" s="1"/>
  <c r="X1490" i="4"/>
  <c r="Z1490" i="4" s="1"/>
  <c r="X1492" i="4"/>
  <c r="Z1492" i="4" s="1"/>
  <c r="X1495" i="4"/>
  <c r="Z1495" i="4" s="1"/>
  <c r="P1541" i="4"/>
  <c r="P1543" i="4" s="1"/>
  <c r="P1605" i="2"/>
  <c r="X1764" i="4"/>
  <c r="X1773" i="4"/>
  <c r="Z1773" i="4" s="1"/>
  <c r="X1774" i="4"/>
  <c r="Z1774" i="4" s="1"/>
  <c r="X1793" i="4"/>
  <c r="Z1793" i="4" s="1"/>
  <c r="X1808" i="4"/>
  <c r="Z1808" i="4" s="1"/>
  <c r="X1824" i="4"/>
  <c r="Z1824" i="4" s="1"/>
  <c r="X1825" i="4"/>
  <c r="Z1825" i="4" s="1"/>
  <c r="X1851" i="4"/>
  <c r="Z1851" i="4" s="1"/>
  <c r="X1869" i="4"/>
  <c r="Z1869" i="4" s="1"/>
  <c r="H515" i="2"/>
  <c r="H633" i="2"/>
  <c r="X657" i="4"/>
  <c r="X864" i="4"/>
  <c r="Z864" i="4" s="1"/>
  <c r="X903" i="4"/>
  <c r="Z903" i="4" s="1"/>
  <c r="H1034" i="1"/>
  <c r="H1190" i="1" s="1"/>
  <c r="H2908" i="1" s="1"/>
  <c r="X1086" i="1"/>
  <c r="X1071" i="4"/>
  <c r="Z1071" i="4" s="1"/>
  <c r="P1093" i="2"/>
  <c r="X1272" i="4"/>
  <c r="Z1272" i="4" s="1"/>
  <c r="X1350" i="4"/>
  <c r="Z1350" i="4" s="1"/>
  <c r="X1363" i="4"/>
  <c r="Z1363" i="4" s="1"/>
  <c r="X1368" i="4"/>
  <c r="Z1368" i="4" s="1"/>
  <c r="X1372" i="4"/>
  <c r="Z1372" i="4" s="1"/>
  <c r="H1420" i="2"/>
  <c r="F1420" i="2"/>
  <c r="E1556" i="2"/>
  <c r="E1647" i="2" s="1"/>
  <c r="E2736" i="2" s="1"/>
  <c r="P1573" i="2"/>
  <c r="H1645" i="2"/>
  <c r="X154" i="4"/>
  <c r="Z288" i="4"/>
  <c r="X812" i="4"/>
  <c r="Z812" i="4" s="1"/>
  <c r="H968" i="2"/>
  <c r="AA1179" i="1"/>
  <c r="AA1178" i="5" s="1"/>
  <c r="X1254" i="4"/>
  <c r="Z1254" i="4" s="1"/>
  <c r="V1390" i="1"/>
  <c r="X1421" i="4"/>
  <c r="Z1421" i="4" s="1"/>
  <c r="X1506" i="4"/>
  <c r="Z1506" i="4" s="1"/>
  <c r="X1714" i="4"/>
  <c r="X1718" i="4"/>
  <c r="X1726" i="4"/>
  <c r="X1730" i="4"/>
  <c r="X1734" i="4"/>
  <c r="X1792" i="4"/>
  <c r="Z1792" i="4" s="1"/>
  <c r="X1812" i="4"/>
  <c r="Z1812" i="4" s="1"/>
  <c r="H1869" i="1"/>
  <c r="V2038" i="1"/>
  <c r="V2034" i="5" s="1"/>
  <c r="Z2035" i="4"/>
  <c r="X2125" i="4"/>
  <c r="Z2203" i="4"/>
  <c r="W2703" i="1"/>
  <c r="X1328" i="4"/>
  <c r="Z1328" i="4" s="1"/>
  <c r="X1371" i="4"/>
  <c r="Z1371" i="4" s="1"/>
  <c r="X1394" i="4"/>
  <c r="Z1394" i="4" s="1"/>
  <c r="X1426" i="4"/>
  <c r="Z1426" i="4" s="1"/>
  <c r="X1460" i="4"/>
  <c r="Z1460" i="4" s="1"/>
  <c r="X1608" i="4"/>
  <c r="X1681" i="4"/>
  <c r="P1973" i="1"/>
  <c r="P2914" i="1" s="1"/>
  <c r="Z1844" i="1"/>
  <c r="Z1746" i="2" s="1"/>
  <c r="AA1951" i="1"/>
  <c r="AA1947" i="5" s="1"/>
  <c r="AA2134" i="1"/>
  <c r="AA2130" i="5" s="1"/>
  <c r="AA2252" i="1"/>
  <c r="AA2248" i="5" s="1"/>
  <c r="AA888" i="1"/>
  <c r="AA888" i="5" s="1"/>
  <c r="J2388" i="1"/>
  <c r="X1022" i="4"/>
  <c r="Z1022" i="4" s="1"/>
  <c r="X1171" i="4"/>
  <c r="Z1171" i="4" s="1"/>
  <c r="X1248" i="4"/>
  <c r="Z1248" i="4" s="1"/>
  <c r="X1315" i="4"/>
  <c r="Z1315" i="4" s="1"/>
  <c r="X1317" i="4"/>
  <c r="Z1317" i="4" s="1"/>
  <c r="X1400" i="4"/>
  <c r="Z1400" i="4" s="1"/>
  <c r="W1416" i="1"/>
  <c r="W1415" i="5" s="1"/>
  <c r="E1395" i="2"/>
  <c r="H1514" i="2"/>
  <c r="AU2865" i="1"/>
  <c r="X1870" i="4"/>
  <c r="Z1870" i="4" s="1"/>
  <c r="AA1899" i="1"/>
  <c r="AA1895" i="5" s="1"/>
  <c r="X1925" i="4"/>
  <c r="Z1925" i="4" s="1"/>
  <c r="Z1932" i="4"/>
  <c r="X2257" i="4"/>
  <c r="Z2257" i="4" s="1"/>
  <c r="X2259" i="4"/>
  <c r="Z2259" i="4" s="1"/>
  <c r="X2330" i="4"/>
  <c r="Z2330" i="4" s="1"/>
  <c r="X2339" i="4"/>
  <c r="Z2339" i="4" s="1"/>
  <c r="X2351" i="4"/>
  <c r="Z2351" i="4" s="1"/>
  <c r="AA817" i="1"/>
  <c r="AA817" i="5" s="1"/>
  <c r="X997" i="4"/>
  <c r="Z997" i="4" s="1"/>
  <c r="X1001" i="4"/>
  <c r="Z1001" i="4" s="1"/>
  <c r="X1185" i="4"/>
  <c r="Z1185" i="4" s="1"/>
  <c r="E1544" i="1"/>
  <c r="E2910" i="1" s="1"/>
  <c r="AA1209" i="1"/>
  <c r="AA1208" i="5" s="1"/>
  <c r="X1294" i="4"/>
  <c r="Z1294" i="4" s="1"/>
  <c r="E1420" i="2"/>
  <c r="X1651" i="4"/>
  <c r="AA1677" i="1"/>
  <c r="AA1674" i="5" s="1"/>
  <c r="X1771" i="1"/>
  <c r="Z1771" i="1" s="1"/>
  <c r="AB1771" i="1" s="1"/>
  <c r="X1761" i="4"/>
  <c r="X1790" i="4"/>
  <c r="Z1790" i="4" s="1"/>
  <c r="X1798" i="4"/>
  <c r="Z1798" i="4" s="1"/>
  <c r="AA1932" i="1"/>
  <c r="AA1928" i="5" s="1"/>
  <c r="X2279" i="4"/>
  <c r="Z2279" i="4" s="1"/>
  <c r="AA2486" i="1"/>
  <c r="AA2478" i="5" s="1"/>
  <c r="AA2721" i="1"/>
  <c r="AA2713" i="5" s="1"/>
  <c r="P2862" i="1"/>
  <c r="AB1880" i="1"/>
  <c r="AB1876" i="5" s="1"/>
  <c r="Z2434" i="1"/>
  <c r="V2535" i="1"/>
  <c r="V2527" i="5" s="1"/>
  <c r="AA1691" i="1"/>
  <c r="AA1688" i="5" s="1"/>
  <c r="AA1738" i="1"/>
  <c r="AA1735" i="5" s="1"/>
  <c r="X1788" i="4"/>
  <c r="Z1788" i="4" s="1"/>
  <c r="AA2166" i="1"/>
  <c r="AA2162" i="5" s="1"/>
  <c r="X2215" i="4"/>
  <c r="Z2215" i="4" s="1"/>
  <c r="AA2332" i="1"/>
  <c r="AA2326" i="5" s="1"/>
  <c r="AA2534" i="1"/>
  <c r="AA2526" i="5" s="1"/>
  <c r="Q802" i="1"/>
  <c r="E1190" i="1"/>
  <c r="E2908" i="1" s="1"/>
  <c r="E1135" i="2"/>
  <c r="X1728" i="4"/>
  <c r="X2158" i="4"/>
  <c r="Z2158" i="4" s="1"/>
  <c r="X2702" i="4"/>
  <c r="AA2079" i="1"/>
  <c r="AA2075" i="5" s="1"/>
  <c r="X2712" i="1"/>
  <c r="AA1653" i="1"/>
  <c r="AA1650" i="5" s="1"/>
  <c r="X1133" i="4"/>
  <c r="Z1133" i="4" s="1"/>
  <c r="M1167" i="1"/>
  <c r="K1375" i="4"/>
  <c r="X1369" i="4"/>
  <c r="Z1369" i="4" s="1"/>
  <c r="X1485" i="4"/>
  <c r="Z1485" i="4" s="1"/>
  <c r="V1700" i="1"/>
  <c r="X1706" i="4"/>
  <c r="H1628" i="2"/>
  <c r="Z2083" i="1"/>
  <c r="F2219" i="4"/>
  <c r="P2454" i="1"/>
  <c r="P2920" i="1" s="1"/>
  <c r="AB2370" i="1"/>
  <c r="AA1330" i="1"/>
  <c r="AA1329" i="5" s="1"/>
  <c r="H1472" i="1"/>
  <c r="Z2198" i="1"/>
  <c r="X2507" i="1"/>
  <c r="E2760" i="1"/>
  <c r="E2926" i="1" s="1"/>
  <c r="AA1712" i="1"/>
  <c r="X1780" i="4"/>
  <c r="Z1780" i="4" s="1"/>
  <c r="E2454" i="1"/>
  <c r="E2920" i="1" s="1"/>
  <c r="AA2468" i="1"/>
  <c r="AA2460" i="5" s="1"/>
  <c r="V2828" i="1"/>
  <c r="Q2448" i="5" l="1"/>
  <c r="Q2939" i="5" s="1"/>
  <c r="Q2294" i="5"/>
  <c r="Q2937" i="5" s="1"/>
  <c r="V1402" i="5"/>
  <c r="I237" i="5"/>
  <c r="V1403" i="1"/>
  <c r="V1389" i="5"/>
  <c r="W2553" i="4"/>
  <c r="W2553" i="5"/>
  <c r="AA2851" i="5"/>
  <c r="AA2852" i="4"/>
  <c r="W2003" i="4"/>
  <c r="W2003" i="5"/>
  <c r="J1936" i="4"/>
  <c r="J1936" i="5"/>
  <c r="W2721" i="4"/>
  <c r="W2721" i="5"/>
  <c r="W2581" i="4"/>
  <c r="W2581" i="5"/>
  <c r="M1903" i="1"/>
  <c r="M1883" i="5"/>
  <c r="M1899" i="5" s="1"/>
  <c r="AA1066" i="1"/>
  <c r="AA1055" i="5"/>
  <c r="W2849" i="5"/>
  <c r="W2850" i="4"/>
  <c r="W2479" i="4"/>
  <c r="W2479" i="5"/>
  <c r="W2466" i="4"/>
  <c r="W2466" i="5"/>
  <c r="W2742" i="4"/>
  <c r="W2742" i="5"/>
  <c r="W2625" i="4"/>
  <c r="W2625" i="5"/>
  <c r="Z2460" i="4"/>
  <c r="Z2460" i="5"/>
  <c r="Z2109" i="4"/>
  <c r="Z2109" i="5"/>
  <c r="AA2779" i="5"/>
  <c r="AA2779" i="4"/>
  <c r="W2543" i="4"/>
  <c r="W2543" i="5"/>
  <c r="W2480" i="4"/>
  <c r="W2480" i="5"/>
  <c r="Z2459" i="4"/>
  <c r="Z2459" i="5"/>
  <c r="W2009" i="4"/>
  <c r="W2009" i="5"/>
  <c r="W1996" i="4"/>
  <c r="W1996" i="5"/>
  <c r="AB1937" i="4"/>
  <c r="AB1937" i="5"/>
  <c r="M985" i="1"/>
  <c r="M987" i="1" s="1"/>
  <c r="M982" i="5"/>
  <c r="AB2879" i="5"/>
  <c r="AB2880" i="4"/>
  <c r="AA2235" i="4"/>
  <c r="AA2235" i="5"/>
  <c r="Z2102" i="4"/>
  <c r="Z2102" i="5"/>
  <c r="AB2875" i="5"/>
  <c r="AB2876" i="4"/>
  <c r="W2694" i="4"/>
  <c r="W2694" i="5"/>
  <c r="W2690" i="4"/>
  <c r="W2690" i="5"/>
  <c r="W2646" i="4"/>
  <c r="W2646" i="5"/>
  <c r="W2642" i="4"/>
  <c r="W2642" i="5"/>
  <c r="Z2131" i="4"/>
  <c r="Z2131" i="5"/>
  <c r="W2709" i="4"/>
  <c r="W2709" i="5"/>
  <c r="Z2006" i="4"/>
  <c r="Z2006" i="5"/>
  <c r="M2874" i="5"/>
  <c r="M2875" i="4"/>
  <c r="J2348" i="4"/>
  <c r="J2348" i="5"/>
  <c r="AA2079" i="5"/>
  <c r="Z2007" i="4"/>
  <c r="Z2007" i="5"/>
  <c r="Z438" i="4"/>
  <c r="Z438" i="5"/>
  <c r="R2872" i="5"/>
  <c r="R2873" i="4"/>
  <c r="AA2866" i="5"/>
  <c r="AA2867" i="4"/>
  <c r="AA2857" i="5"/>
  <c r="AA2858" i="4"/>
  <c r="Z2577" i="4"/>
  <c r="Z2577" i="5"/>
  <c r="Z2457" i="4"/>
  <c r="Z2457" i="5"/>
  <c r="AB2845" i="5"/>
  <c r="AB2846" i="4"/>
  <c r="AB2844" i="5"/>
  <c r="AB2845" i="4"/>
  <c r="AB2775" i="5"/>
  <c r="AB2775" i="4"/>
  <c r="W2716" i="4"/>
  <c r="W2716" i="5"/>
  <c r="Z2592" i="4"/>
  <c r="Z2592" i="5"/>
  <c r="AB2252" i="4"/>
  <c r="AB2252" i="5"/>
  <c r="W2679" i="4"/>
  <c r="W2679" i="5"/>
  <c r="W2588" i="4"/>
  <c r="W2588" i="5"/>
  <c r="W2584" i="4"/>
  <c r="W2584" i="5"/>
  <c r="AB2323" i="4"/>
  <c r="AB2323" i="5"/>
  <c r="W2711" i="4"/>
  <c r="W2711" i="5"/>
  <c r="W2043" i="4"/>
  <c r="W2043" i="5"/>
  <c r="W1979" i="4"/>
  <c r="W1979" i="5"/>
  <c r="AB1656" i="4"/>
  <c r="AB1656" i="5"/>
  <c r="J2406" i="4"/>
  <c r="J2406" i="5"/>
  <c r="J2345" i="4"/>
  <c r="J2345" i="5"/>
  <c r="J2306" i="4"/>
  <c r="J2306" i="5"/>
  <c r="J2313" i="5" s="1"/>
  <c r="W2531" i="4"/>
  <c r="W2531" i="5"/>
  <c r="AB2521" i="4"/>
  <c r="AB2521" i="5"/>
  <c r="AB2883" i="5"/>
  <c r="AB2884" i="4"/>
  <c r="V2874" i="5"/>
  <c r="V2875" i="4"/>
  <c r="AB2848" i="5"/>
  <c r="AB2849" i="4"/>
  <c r="AB2305" i="4"/>
  <c r="AB2305" i="5"/>
  <c r="Z2087" i="4"/>
  <c r="Z2087" i="5"/>
  <c r="W2077" i="4"/>
  <c r="W2077" i="5"/>
  <c r="AA2876" i="5"/>
  <c r="AA2877" i="4"/>
  <c r="W2549" i="4"/>
  <c r="W2549" i="5"/>
  <c r="AB2004" i="4"/>
  <c r="AB2004" i="5"/>
  <c r="W1656" i="4"/>
  <c r="W1656" i="5"/>
  <c r="Z439" i="4"/>
  <c r="Z439" i="5"/>
  <c r="Z2587" i="4"/>
  <c r="Z2587" i="5"/>
  <c r="Z2583" i="4"/>
  <c r="Z2583" i="5"/>
  <c r="AB2029" i="4"/>
  <c r="AB2029" i="5"/>
  <c r="AB2359" i="4"/>
  <c r="AB2359" i="5"/>
  <c r="Z2675" i="4"/>
  <c r="Z2675" i="5"/>
  <c r="I2869" i="5"/>
  <c r="I2870" i="4"/>
  <c r="V2528" i="4"/>
  <c r="V2528" i="5"/>
  <c r="V2535" i="5" s="1"/>
  <c r="AB2432" i="4"/>
  <c r="AB2432" i="5"/>
  <c r="V2864" i="5"/>
  <c r="V2865" i="4"/>
  <c r="AB2024" i="4"/>
  <c r="AB2024" i="5"/>
  <c r="V2781" i="5"/>
  <c r="V2781" i="4"/>
  <c r="Z1981" i="4"/>
  <c r="Z1981" i="5"/>
  <c r="J1929" i="4"/>
  <c r="J1929" i="5"/>
  <c r="AB2510" i="4"/>
  <c r="AB2510" i="5"/>
  <c r="AB2474" i="4"/>
  <c r="AB2474" i="5"/>
  <c r="AB1467" i="4"/>
  <c r="AB1467" i="5"/>
  <c r="Z2311" i="4"/>
  <c r="Z2311" i="5"/>
  <c r="W2463" i="4"/>
  <c r="W2463" i="5"/>
  <c r="W2717" i="4"/>
  <c r="W2717" i="5"/>
  <c r="Z2574" i="4"/>
  <c r="Z2574" i="5"/>
  <c r="M2870" i="5"/>
  <c r="M2871" i="4"/>
  <c r="M2800" i="5"/>
  <c r="M2800" i="4"/>
  <c r="AB2454" i="4"/>
  <c r="AB2454" i="5"/>
  <c r="Z2093" i="4"/>
  <c r="Z2093" i="5"/>
  <c r="AB2482" i="4"/>
  <c r="AB2482" i="5"/>
  <c r="AB1949" i="4"/>
  <c r="AB1949" i="5"/>
  <c r="AB2421" i="4"/>
  <c r="AB2421" i="5"/>
  <c r="W439" i="4"/>
  <c r="W439" i="5"/>
  <c r="AB2350" i="4"/>
  <c r="AB2350" i="5"/>
  <c r="J2278" i="4"/>
  <c r="J2278" i="5"/>
  <c r="W2474" i="4"/>
  <c r="W2474" i="5"/>
  <c r="AB2387" i="4"/>
  <c r="AB2387" i="5"/>
  <c r="AA2801" i="5"/>
  <c r="AA2801" i="4"/>
  <c r="Z2670" i="4"/>
  <c r="Z2670" i="5"/>
  <c r="V941" i="1"/>
  <c r="V926" i="5"/>
  <c r="V941" i="5" s="1"/>
  <c r="W2671" i="4"/>
  <c r="W2671" i="5"/>
  <c r="U2869" i="5"/>
  <c r="U2870" i="4"/>
  <c r="Z2468" i="4"/>
  <c r="Z2468" i="5"/>
  <c r="W2667" i="4"/>
  <c r="W2667" i="5"/>
  <c r="W2596" i="4"/>
  <c r="W2596" i="5"/>
  <c r="W2482" i="4"/>
  <c r="W2482" i="5"/>
  <c r="W2462" i="4"/>
  <c r="W2462" i="5"/>
  <c r="W2651" i="4"/>
  <c r="W2651" i="5"/>
  <c r="AB2581" i="4"/>
  <c r="AB2581" i="5"/>
  <c r="AB2273" i="4"/>
  <c r="AB2273" i="5"/>
  <c r="W2031" i="4"/>
  <c r="W2031" i="5"/>
  <c r="W2027" i="4"/>
  <c r="W2027" i="5"/>
  <c r="W2748" i="4"/>
  <c r="W2748" i="5"/>
  <c r="Z2740" i="4"/>
  <c r="Z2740" i="5"/>
  <c r="Z2599" i="4"/>
  <c r="Z2599" i="5"/>
  <c r="W2047" i="4"/>
  <c r="W2047" i="5"/>
  <c r="W1981" i="4"/>
  <c r="W1981" i="5"/>
  <c r="W1060" i="4"/>
  <c r="W1060" i="5"/>
  <c r="Z40" i="4"/>
  <c r="Z40" i="5"/>
  <c r="J333" i="5"/>
  <c r="V2870" i="5"/>
  <c r="V2871" i="4"/>
  <c r="W19" i="4"/>
  <c r="W19" i="5"/>
  <c r="AB354" i="4"/>
  <c r="AB354" i="5"/>
  <c r="W2702" i="4"/>
  <c r="W2702" i="5"/>
  <c r="AA2802" i="5"/>
  <c r="AA2802" i="4"/>
  <c r="AB2285" i="4"/>
  <c r="AB2285" i="5"/>
  <c r="AB2089" i="4"/>
  <c r="AB2089" i="5"/>
  <c r="W2042" i="4"/>
  <c r="W2042" i="5"/>
  <c r="AB2379" i="4"/>
  <c r="AB2379" i="5"/>
  <c r="W2052" i="4"/>
  <c r="W2052" i="5"/>
  <c r="J2122" i="4"/>
  <c r="J2122" i="5"/>
  <c r="W2697" i="4"/>
  <c r="W2697" i="5"/>
  <c r="Q2852" i="5"/>
  <c r="Q2853" i="4"/>
  <c r="W714" i="5"/>
  <c r="AA107" i="5"/>
  <c r="M2165" i="2"/>
  <c r="Q2773" i="5"/>
  <c r="Q2773" i="4"/>
  <c r="AB2634" i="1"/>
  <c r="AA2626" i="5"/>
  <c r="AB2275" i="4"/>
  <c r="AB2275" i="5"/>
  <c r="AB2516" i="1"/>
  <c r="AA2508" i="5"/>
  <c r="AA2820" i="1"/>
  <c r="M2822" i="5"/>
  <c r="M2822" i="4"/>
  <c r="AA2645" i="4"/>
  <c r="AA2645" i="5"/>
  <c r="AB2431" i="1"/>
  <c r="AA2425" i="5"/>
  <c r="AA723" i="4"/>
  <c r="AA723" i="5"/>
  <c r="AB916" i="1"/>
  <c r="AA916" i="5"/>
  <c r="J2331" i="4"/>
  <c r="J2331" i="5"/>
  <c r="W38" i="4"/>
  <c r="W38" i="5"/>
  <c r="W2674" i="4"/>
  <c r="W2674" i="5"/>
  <c r="AB725" i="1"/>
  <c r="AA725" i="5"/>
  <c r="W160" i="4"/>
  <c r="W160" i="5"/>
  <c r="H237" i="1"/>
  <c r="H2900" i="1" s="1"/>
  <c r="Q2872" i="5"/>
  <c r="Q2873" i="4"/>
  <c r="U2448" i="5"/>
  <c r="U2939" i="5" s="1"/>
  <c r="X1238" i="2"/>
  <c r="Z1302" i="1"/>
  <c r="Z1238" i="2" s="1"/>
  <c r="V558" i="5"/>
  <c r="W88" i="5"/>
  <c r="W83" i="2"/>
  <c r="W88" i="4"/>
  <c r="AA1495" i="5"/>
  <c r="AA1495" i="4"/>
  <c r="AB1496" i="1"/>
  <c r="AA1418" i="2"/>
  <c r="Q213" i="1"/>
  <c r="K213" i="5"/>
  <c r="K204" i="2"/>
  <c r="K213" i="4"/>
  <c r="Z140" i="5"/>
  <c r="Z133" i="2"/>
  <c r="Z140" i="4"/>
  <c r="AB497" i="1"/>
  <c r="AA496" i="5"/>
  <c r="AA500" i="5" s="1"/>
  <c r="AA476" i="2"/>
  <c r="AA496" i="4"/>
  <c r="M872" i="5"/>
  <c r="AA1461" i="4"/>
  <c r="AA1461" i="5"/>
  <c r="AA1386" i="5"/>
  <c r="AA1317" i="2"/>
  <c r="AA1386" i="4"/>
  <c r="AB1387" i="1"/>
  <c r="M2602" i="5"/>
  <c r="M2602" i="4"/>
  <c r="AA2610" i="1"/>
  <c r="M2731" i="4"/>
  <c r="M2731" i="5"/>
  <c r="M2750" i="5" s="1"/>
  <c r="V2556" i="4"/>
  <c r="V2556" i="5"/>
  <c r="W2564" i="1"/>
  <c r="W147" i="5"/>
  <c r="W140" i="2"/>
  <c r="W147" i="4"/>
  <c r="W1134" i="4"/>
  <c r="W1134" i="5"/>
  <c r="AA754" i="5"/>
  <c r="AA723" i="2"/>
  <c r="AB754" i="1"/>
  <c r="AA754" i="4"/>
  <c r="M157" i="5"/>
  <c r="M166" i="5" s="1"/>
  <c r="M237" i="5" s="1"/>
  <c r="M2919" i="5" s="1"/>
  <c r="M150" i="2"/>
  <c r="M157" i="4"/>
  <c r="Z1588" i="4"/>
  <c r="Z1588" i="5"/>
  <c r="W659" i="5"/>
  <c r="W659" i="4"/>
  <c r="W631" i="2"/>
  <c r="W1030" i="5"/>
  <c r="W1030" i="4"/>
  <c r="W985" i="2"/>
  <c r="AA653" i="5"/>
  <c r="AB653" i="1"/>
  <c r="AA625" i="2"/>
  <c r="AA653" i="4"/>
  <c r="AA116" i="5"/>
  <c r="AA110" i="2"/>
  <c r="AA116" i="4"/>
  <c r="AB116" i="1"/>
  <c r="Q1969" i="5"/>
  <c r="Q2933" i="5" s="1"/>
  <c r="M1121" i="5"/>
  <c r="M1129" i="5" s="1"/>
  <c r="M1121" i="4"/>
  <c r="M1072" i="2"/>
  <c r="AA200" i="5"/>
  <c r="AA192" i="2"/>
  <c r="AA200" i="4"/>
  <c r="AB200" i="1"/>
  <c r="M428" i="5"/>
  <c r="M446" i="5" s="1"/>
  <c r="M410" i="2"/>
  <c r="M428" i="4"/>
  <c r="AA429" i="1"/>
  <c r="M235" i="5"/>
  <c r="W175" i="5"/>
  <c r="W167" i="2"/>
  <c r="W175" i="4"/>
  <c r="M1987" i="5"/>
  <c r="M2081" i="5" s="1"/>
  <c r="M2935" i="5" s="1"/>
  <c r="AA741" i="5"/>
  <c r="AA710" i="2"/>
  <c r="AA741" i="4"/>
  <c r="AB741" i="1"/>
  <c r="M43" i="5"/>
  <c r="M45" i="5" s="1"/>
  <c r="AA43" i="1"/>
  <c r="M39" i="2"/>
  <c r="M41" i="2" s="1"/>
  <c r="M43" i="4"/>
  <c r="AA180" i="1"/>
  <c r="M180" i="5"/>
  <c r="M184" i="5" s="1"/>
  <c r="M172" i="2"/>
  <c r="M180" i="4"/>
  <c r="W2594" i="4"/>
  <c r="W2594" i="5"/>
  <c r="W2823" i="1"/>
  <c r="W1662" i="5"/>
  <c r="W1576" i="2"/>
  <c r="W1662" i="4"/>
  <c r="W1159" i="5"/>
  <c r="W1109" i="2"/>
  <c r="W1159" i="4"/>
  <c r="AA1042" i="5"/>
  <c r="AB1043" i="1"/>
  <c r="AA997" i="2"/>
  <c r="AA1042" i="4"/>
  <c r="U2470" i="5"/>
  <c r="J2382" i="5"/>
  <c r="AB655" i="1"/>
  <c r="AA655" i="5"/>
  <c r="W1548" i="5"/>
  <c r="W1473" i="2"/>
  <c r="W1548" i="4"/>
  <c r="V607" i="5"/>
  <c r="V640" i="5" s="1"/>
  <c r="V2923" i="5" s="1"/>
  <c r="AA1452" i="5"/>
  <c r="AB1453" i="1"/>
  <c r="AA1381" i="2"/>
  <c r="AA1452" i="4"/>
  <c r="AA172" i="5"/>
  <c r="AB172" i="1"/>
  <c r="AA172" i="4"/>
  <c r="AA164" i="2"/>
  <c r="J1461" i="5"/>
  <c r="J1471" i="5" s="1"/>
  <c r="J1389" i="2"/>
  <c r="J1461" i="4"/>
  <c r="AA1134" i="5"/>
  <c r="AA1084" i="2"/>
  <c r="AA1134" i="4"/>
  <c r="AB1135" i="1"/>
  <c r="AA88" i="5"/>
  <c r="AB88" i="1"/>
  <c r="AA83" i="2"/>
  <c r="AA88" i="4"/>
  <c r="W1700" i="5"/>
  <c r="W1608" i="2"/>
  <c r="W1700" i="4"/>
  <c r="M596" i="5"/>
  <c r="M607" i="5" s="1"/>
  <c r="M640" i="5" s="1"/>
  <c r="M2923" i="5" s="1"/>
  <c r="M596" i="4"/>
  <c r="AA595" i="1"/>
  <c r="M572" i="2"/>
  <c r="W32" i="5"/>
  <c r="W32" i="4"/>
  <c r="W31" i="2"/>
  <c r="W1265" i="5"/>
  <c r="W1265" i="4"/>
  <c r="W1206" i="2"/>
  <c r="V2876" i="5"/>
  <c r="V2877" i="4"/>
  <c r="U2079" i="5"/>
  <c r="J1885" i="5"/>
  <c r="J1899" i="5" s="1"/>
  <c r="J1885" i="4"/>
  <c r="J1789" i="2"/>
  <c r="M979" i="5"/>
  <c r="M984" i="5" s="1"/>
  <c r="M986" i="5" s="1"/>
  <c r="M937" i="2"/>
  <c r="M979" i="4"/>
  <c r="AA980" i="1"/>
  <c r="AB173" i="1"/>
  <c r="AA173" i="5"/>
  <c r="AA173" i="4"/>
  <c r="AA165" i="2"/>
  <c r="W117" i="5"/>
  <c r="W117" i="4"/>
  <c r="W111" i="2"/>
  <c r="U2750" i="5"/>
  <c r="U2752" i="5" s="1"/>
  <c r="U2945" i="5" s="1"/>
  <c r="AB2783" i="5"/>
  <c r="AB2783" i="4"/>
  <c r="Z2699" i="4"/>
  <c r="Z2699" i="5"/>
  <c r="AB937" i="1"/>
  <c r="AA937" i="5"/>
  <c r="AA894" i="2"/>
  <c r="U947" i="5"/>
  <c r="Z251" i="5"/>
  <c r="Z241" i="2"/>
  <c r="Z251" i="4"/>
  <c r="X708" i="2"/>
  <c r="Z739" i="1"/>
  <c r="Z708" i="2" s="1"/>
  <c r="W652" i="5"/>
  <c r="W652" i="4"/>
  <c r="W624" i="2"/>
  <c r="X292" i="2"/>
  <c r="Z305" i="1"/>
  <c r="Z292" i="2" s="1"/>
  <c r="AA1730" i="5"/>
  <c r="AA1638" i="2"/>
  <c r="AA1730" i="4"/>
  <c r="AB1733" i="1"/>
  <c r="X1412" i="2"/>
  <c r="Z1489" i="1"/>
  <c r="Z1412" i="2" s="1"/>
  <c r="M1860" i="5"/>
  <c r="M1865" i="5" s="1"/>
  <c r="M1766" i="2"/>
  <c r="M1860" i="4"/>
  <c r="W173" i="5"/>
  <c r="W165" i="2"/>
  <c r="W173" i="4"/>
  <c r="Z2855" i="4"/>
  <c r="X2886" i="4"/>
  <c r="X1207" i="2"/>
  <c r="Z1267" i="1"/>
  <c r="Z1207" i="2" s="1"/>
  <c r="W667" i="5"/>
  <c r="W639" i="2"/>
  <c r="W667" i="4"/>
  <c r="AA1280" i="2"/>
  <c r="AA1345" i="5"/>
  <c r="AB1346" i="1"/>
  <c r="W1151" i="4"/>
  <c r="W1151" i="5"/>
  <c r="W1101" i="2"/>
  <c r="Q1281" i="5"/>
  <c r="Q1543" i="5" s="1"/>
  <c r="Q2929" i="5" s="1"/>
  <c r="W1011" i="4"/>
  <c r="W1011" i="5"/>
  <c r="AB156" i="4"/>
  <c r="AB156" i="5"/>
  <c r="V2849" i="5"/>
  <c r="V2850" i="4"/>
  <c r="W2695" i="4"/>
  <c r="W2695" i="5"/>
  <c r="AA2863" i="5"/>
  <c r="AA2864" i="4"/>
  <c r="Z2666" i="4"/>
  <c r="Z2666" i="5"/>
  <c r="W2519" i="4"/>
  <c r="W2519" i="5"/>
  <c r="AB2434" i="4"/>
  <c r="AB2434" i="5"/>
  <c r="W2542" i="4"/>
  <c r="W2542" i="5"/>
  <c r="W2464" i="4"/>
  <c r="W2464" i="5"/>
  <c r="M1662" i="1"/>
  <c r="M1657" i="5"/>
  <c r="M1659" i="5" s="1"/>
  <c r="M1739" i="5" s="1"/>
  <c r="M2931" i="5" s="1"/>
  <c r="AA2789" i="5"/>
  <c r="AA2789" i="4"/>
  <c r="W2733" i="4"/>
  <c r="W2733" i="5"/>
  <c r="Z2667" i="4"/>
  <c r="Z2667" i="5"/>
  <c r="AB2859" i="5"/>
  <c r="AB2860" i="4"/>
  <c r="W2024" i="4"/>
  <c r="W2024" i="5"/>
  <c r="AB2882" i="5"/>
  <c r="AB2883" i="4"/>
  <c r="AB2415" i="4"/>
  <c r="AB2415" i="5"/>
  <c r="J2231" i="4"/>
  <c r="J2231" i="5"/>
  <c r="Z2110" i="4"/>
  <c r="Z2110" i="5"/>
  <c r="W2029" i="4"/>
  <c r="W2029" i="5"/>
  <c r="AB2002" i="4"/>
  <c r="AB2002" i="5"/>
  <c r="Z2454" i="4"/>
  <c r="Z2454" i="5"/>
  <c r="AB2843" i="5"/>
  <c r="AB2844" i="4"/>
  <c r="W2560" i="4"/>
  <c r="W2560" i="5"/>
  <c r="AA2388" i="1"/>
  <c r="AB2338" i="4"/>
  <c r="AB2338" i="5"/>
  <c r="AB2302" i="4"/>
  <c r="AB2302" i="5"/>
  <c r="AB2179" i="4"/>
  <c r="AB2179" i="5"/>
  <c r="J2131" i="4"/>
  <c r="J2131" i="5"/>
  <c r="W2073" i="4"/>
  <c r="W2073" i="5"/>
  <c r="W2069" i="4"/>
  <c r="W2069" i="5"/>
  <c r="AB1364" i="4"/>
  <c r="AB1364" i="5"/>
  <c r="M1376" i="1"/>
  <c r="M1357" i="5"/>
  <c r="M1375" i="5" s="1"/>
  <c r="AB1277" i="4"/>
  <c r="AB1277" i="5"/>
  <c r="M2347" i="1"/>
  <c r="M2335" i="5"/>
  <c r="M2341" i="5" s="1"/>
  <c r="M2296" i="1"/>
  <c r="M2274" i="5"/>
  <c r="M2292" i="5" s="1"/>
  <c r="M2294" i="5" s="1"/>
  <c r="M2937" i="5" s="1"/>
  <c r="J1927" i="4"/>
  <c r="J1927" i="5"/>
  <c r="Z1209" i="4"/>
  <c r="Z1209" i="5"/>
  <c r="AA2807" i="5"/>
  <c r="AA2807" i="4"/>
  <c r="W2582" i="4"/>
  <c r="W2582" i="5"/>
  <c r="AB2868" i="5"/>
  <c r="AB2869" i="4"/>
  <c r="Z2580" i="4"/>
  <c r="Z2580" i="5"/>
  <c r="W2485" i="4"/>
  <c r="W2485" i="5"/>
  <c r="J2288" i="4"/>
  <c r="J2288" i="5"/>
  <c r="W1997" i="4"/>
  <c r="W1997" i="5"/>
  <c r="Q2869" i="5"/>
  <c r="Q2870" i="4"/>
  <c r="Z2575" i="4"/>
  <c r="Z2575" i="5"/>
  <c r="J2213" i="4"/>
  <c r="J2213" i="5"/>
  <c r="W2669" i="4"/>
  <c r="W2669" i="5"/>
  <c r="Z2465" i="4"/>
  <c r="Z2465" i="5"/>
  <c r="M2808" i="5"/>
  <c r="M2808" i="4"/>
  <c r="W2656" i="4"/>
  <c r="W2656" i="5"/>
  <c r="Z2596" i="4"/>
  <c r="Z2596" i="5"/>
  <c r="W2579" i="4"/>
  <c r="W2579" i="5"/>
  <c r="W2554" i="4"/>
  <c r="W2554" i="5"/>
  <c r="W2521" i="4"/>
  <c r="W2521" i="5"/>
  <c r="AB2440" i="4"/>
  <c r="AB2440" i="5"/>
  <c r="AB1904" i="4"/>
  <c r="AB1904" i="5"/>
  <c r="J2848" i="5"/>
  <c r="J2849" i="4"/>
  <c r="AB2133" i="4"/>
  <c r="AB2133" i="5"/>
  <c r="W2020" i="4"/>
  <c r="W2020" i="5"/>
  <c r="W1692" i="4"/>
  <c r="W1692" i="5"/>
  <c r="Z2301" i="4"/>
  <c r="Z2301" i="5"/>
  <c r="AB2214" i="4"/>
  <c r="AB2214" i="5"/>
  <c r="AB2149" i="4"/>
  <c r="AB2149" i="5"/>
  <c r="Z2090" i="4"/>
  <c r="Z2090" i="5"/>
  <c r="W1984" i="4"/>
  <c r="W1984" i="5"/>
  <c r="W1980" i="4"/>
  <c r="W1980" i="5"/>
  <c r="W1976" i="4"/>
  <c r="W1976" i="5"/>
  <c r="AA1592" i="5"/>
  <c r="AB2091" i="4"/>
  <c r="AB2091" i="5"/>
  <c r="AB683" i="4"/>
  <c r="AB683" i="5"/>
  <c r="W2746" i="4"/>
  <c r="W2746" i="5"/>
  <c r="AB2389" i="4"/>
  <c r="AB2389" i="5"/>
  <c r="Z2310" i="4"/>
  <c r="Z2310" i="5"/>
  <c r="AA2236" i="4"/>
  <c r="AA2236" i="5"/>
  <c r="AB2048" i="4"/>
  <c r="AB2048" i="5"/>
  <c r="V1190" i="5"/>
  <c r="V2927" i="5" s="1"/>
  <c r="V1215" i="1"/>
  <c r="V1205" i="5"/>
  <c r="V1214" i="5" s="1"/>
  <c r="W2483" i="4"/>
  <c r="W2483" i="5"/>
  <c r="AB2438" i="4"/>
  <c r="AB2438" i="5"/>
  <c r="AB2277" i="4"/>
  <c r="AB2277" i="5"/>
  <c r="AB2056" i="4"/>
  <c r="AB2056" i="5"/>
  <c r="M1542" i="1"/>
  <c r="M1536" i="5"/>
  <c r="M1541" i="5" s="1"/>
  <c r="W2575" i="4"/>
  <c r="W2575" i="5"/>
  <c r="Z2466" i="4"/>
  <c r="Z2466" i="5"/>
  <c r="W2000" i="4"/>
  <c r="W2000" i="5"/>
  <c r="W2617" i="4"/>
  <c r="W2617" i="5"/>
  <c r="W2576" i="4"/>
  <c r="W2576" i="5"/>
  <c r="W2475" i="4"/>
  <c r="W2475" i="5"/>
  <c r="AA2804" i="5"/>
  <c r="AA2804" i="4"/>
  <c r="Q2844" i="5"/>
  <c r="Q2845" i="4"/>
  <c r="Z2098" i="4"/>
  <c r="Z2098" i="5"/>
  <c r="O2950" i="5"/>
  <c r="O2756" i="5"/>
  <c r="O2887" i="5"/>
  <c r="V2871" i="5"/>
  <c r="V2872" i="4"/>
  <c r="Q2784" i="5"/>
  <c r="Q2784" i="4"/>
  <c r="W522" i="5"/>
  <c r="J2872" i="5"/>
  <c r="J2873" i="4"/>
  <c r="AA130" i="5"/>
  <c r="AB37" i="4"/>
  <c r="AB37" i="5"/>
  <c r="AA2803" i="5"/>
  <c r="AA2803" i="4"/>
  <c r="W2545" i="4"/>
  <c r="W2545" i="5"/>
  <c r="AB1837" i="4"/>
  <c r="AB1837" i="5"/>
  <c r="AB2484" i="4"/>
  <c r="AB2484" i="5"/>
  <c r="AB2372" i="4"/>
  <c r="AB2372" i="5"/>
  <c r="AB2223" i="4"/>
  <c r="AB2223" i="5"/>
  <c r="AB2375" i="4"/>
  <c r="AB2375" i="5"/>
  <c r="AB2240" i="4"/>
  <c r="AB2240" i="5"/>
  <c r="AB1909" i="4"/>
  <c r="AB1909" i="5"/>
  <c r="W2739" i="4"/>
  <c r="W2739" i="5"/>
  <c r="Z1720" i="5"/>
  <c r="AB2790" i="5"/>
  <c r="AB2790" i="4"/>
  <c r="AB2861" i="5"/>
  <c r="AB2862" i="4"/>
  <c r="AB2798" i="5"/>
  <c r="AB2798" i="4"/>
  <c r="Q2846" i="5"/>
  <c r="Q2847" i="4"/>
  <c r="W1611" i="4"/>
  <c r="W1611" i="5"/>
  <c r="W2508" i="4"/>
  <c r="W2508" i="5"/>
  <c r="W2032" i="4"/>
  <c r="W2032" i="5"/>
  <c r="AB1942" i="4"/>
  <c r="AB1942" i="5"/>
  <c r="J1916" i="4"/>
  <c r="J1916" i="5"/>
  <c r="J1788" i="1"/>
  <c r="J1771" i="5"/>
  <c r="M2793" i="5"/>
  <c r="M2793" i="4"/>
  <c r="V2875" i="5"/>
  <c r="V2876" i="4"/>
  <c r="AB584" i="4"/>
  <c r="AB584" i="5"/>
  <c r="J394" i="4"/>
  <c r="J394" i="5"/>
  <c r="J398" i="5" s="1"/>
  <c r="W457" i="5"/>
  <c r="W1992" i="4"/>
  <c r="W1992" i="5"/>
  <c r="AB2725" i="4"/>
  <c r="AB2725" i="5"/>
  <c r="W2574" i="4"/>
  <c r="W2574" i="5"/>
  <c r="Z2095" i="4"/>
  <c r="Z2095" i="5"/>
  <c r="Z1983" i="4"/>
  <c r="Z1983" i="5"/>
  <c r="W2626" i="4"/>
  <c r="W2626" i="5"/>
  <c r="W2493" i="4"/>
  <c r="W2493" i="5"/>
  <c r="AA1806" i="1"/>
  <c r="AA1792" i="5"/>
  <c r="AB1932" i="4"/>
  <c r="AB1932" i="5"/>
  <c r="W2719" i="4"/>
  <c r="W2719" i="5"/>
  <c r="W2538" i="4"/>
  <c r="W2538" i="5"/>
  <c r="W2577" i="4"/>
  <c r="W2577" i="5"/>
  <c r="AB2442" i="4"/>
  <c r="AB2442" i="5"/>
  <c r="W1991" i="4"/>
  <c r="W1991" i="5"/>
  <c r="I2851" i="5"/>
  <c r="I2852" i="4"/>
  <c r="AB1009" i="4"/>
  <c r="AB1009" i="5"/>
  <c r="AA2865" i="5"/>
  <c r="AA2866" i="4"/>
  <c r="AB2645" i="4"/>
  <c r="AB2645" i="5"/>
  <c r="AB2267" i="4"/>
  <c r="AB2267" i="5"/>
  <c r="AA1767" i="5"/>
  <c r="W2714" i="4"/>
  <c r="W2714" i="5"/>
  <c r="W2710" i="4"/>
  <c r="W2710" i="5"/>
  <c r="V2843" i="5"/>
  <c r="V2844" i="4"/>
  <c r="AA2855" i="5"/>
  <c r="AA2856" i="4"/>
  <c r="AB2181" i="4"/>
  <c r="AB2181" i="5"/>
  <c r="AB2094" i="4"/>
  <c r="AB2094" i="5"/>
  <c r="W2065" i="4"/>
  <c r="W2065" i="5"/>
  <c r="J2862" i="5"/>
  <c r="J2863" i="4"/>
  <c r="J2136" i="4"/>
  <c r="J2136" i="5"/>
  <c r="W107" i="5"/>
  <c r="W87" i="4"/>
  <c r="W87" i="5"/>
  <c r="AB127" i="4"/>
  <c r="AB127" i="5"/>
  <c r="AB358" i="4"/>
  <c r="AB358" i="5"/>
  <c r="Z2669" i="4"/>
  <c r="Z2669" i="5"/>
  <c r="W2484" i="4"/>
  <c r="W2484" i="5"/>
  <c r="W1985" i="4"/>
  <c r="W1985" i="5"/>
  <c r="V1466" i="4"/>
  <c r="V1466" i="5"/>
  <c r="AB2362" i="4"/>
  <c r="AB2362" i="5"/>
  <c r="AB1931" i="4"/>
  <c r="AB1931" i="5"/>
  <c r="J2333" i="4"/>
  <c r="J2333" i="5"/>
  <c r="V132" i="5"/>
  <c r="J2253" i="4"/>
  <c r="J2253" i="5"/>
  <c r="J2262" i="5" s="1"/>
  <c r="AA2777" i="5"/>
  <c r="AA2777" i="4"/>
  <c r="AB1961" i="1"/>
  <c r="AA1957" i="5"/>
  <c r="AA2099" i="4"/>
  <c r="AA2099" i="5"/>
  <c r="V2844" i="5"/>
  <c r="V2845" i="4"/>
  <c r="W2035" i="4"/>
  <c r="W2035" i="5"/>
  <c r="AA947" i="1"/>
  <c r="AA945" i="5"/>
  <c r="W651" i="4"/>
  <c r="W651" i="5"/>
  <c r="W661" i="5" s="1"/>
  <c r="AB229" i="4"/>
  <c r="AB229" i="5"/>
  <c r="W2597" i="4"/>
  <c r="W2597" i="5"/>
  <c r="AA2020" i="4"/>
  <c r="AA2020" i="5"/>
  <c r="M2557" i="4"/>
  <c r="M2557" i="5"/>
  <c r="M2590" i="4"/>
  <c r="M2590" i="5"/>
  <c r="M2608" i="5" s="1"/>
  <c r="M2660" i="5" s="1"/>
  <c r="M2943" i="5" s="1"/>
  <c r="V2861" i="5"/>
  <c r="V2862" i="4"/>
  <c r="M2788" i="5"/>
  <c r="M2788" i="4"/>
  <c r="AB1032" i="2"/>
  <c r="AB1079" i="5"/>
  <c r="AB2513" i="1"/>
  <c r="AA2505" i="5"/>
  <c r="AA2515" i="5" s="1"/>
  <c r="AA1907" i="4"/>
  <c r="AA1907" i="5"/>
  <c r="W2552" i="4"/>
  <c r="W2552" i="5"/>
  <c r="AB927" i="4"/>
  <c r="AB927" i="5"/>
  <c r="W2026" i="4"/>
  <c r="W2026" i="5"/>
  <c r="AB1282" i="2"/>
  <c r="AB1347" i="5"/>
  <c r="AB887" i="4"/>
  <c r="AB887" i="5"/>
  <c r="AB147" i="1"/>
  <c r="AB147" i="5" s="1"/>
  <c r="AA147" i="5"/>
  <c r="AA149" i="5" s="1"/>
  <c r="AA2237" i="4"/>
  <c r="AA2237" i="5"/>
  <c r="M2792" i="5"/>
  <c r="M2792" i="4"/>
  <c r="AB2784" i="5"/>
  <c r="AB2784" i="4"/>
  <c r="S2773" i="5"/>
  <c r="S2773" i="4"/>
  <c r="AB1633" i="4"/>
  <c r="AB1633" i="5"/>
  <c r="AB148" i="2"/>
  <c r="AB155" i="5"/>
  <c r="AB944" i="4"/>
  <c r="AB944" i="5"/>
  <c r="J2155" i="4"/>
  <c r="J2155" i="5"/>
  <c r="AA1285" i="5"/>
  <c r="AA1309" i="5" s="1"/>
  <c r="AA1222" i="2"/>
  <c r="AA1285" i="4"/>
  <c r="AB1286" i="1"/>
  <c r="M194" i="5"/>
  <c r="M208" i="5" s="1"/>
  <c r="M186" i="2"/>
  <c r="M194" i="4"/>
  <c r="AA194" i="1"/>
  <c r="AA1493" i="5"/>
  <c r="AB1494" i="1"/>
  <c r="AA1416" i="2"/>
  <c r="AA1493" i="4"/>
  <c r="W1115" i="5"/>
  <c r="W1066" i="2"/>
  <c r="W1115" i="4"/>
  <c r="W548" i="5"/>
  <c r="W529" i="2"/>
  <c r="W548" i="4"/>
  <c r="W1082" i="5"/>
  <c r="W1085" i="5" s="1"/>
  <c r="W1034" i="2"/>
  <c r="W1082" i="4"/>
  <c r="V1482" i="5"/>
  <c r="V1497" i="5" s="1"/>
  <c r="V1406" i="2"/>
  <c r="V1482" i="4"/>
  <c r="W1483" i="1"/>
  <c r="W1052" i="5"/>
  <c r="W1052" i="4"/>
  <c r="W1007" i="2"/>
  <c r="M549" i="5"/>
  <c r="M530" i="2"/>
  <c r="M549" i="4"/>
  <c r="M1834" i="5"/>
  <c r="M1843" i="5" s="1"/>
  <c r="M1834" i="4"/>
  <c r="AA1838" i="1"/>
  <c r="M1742" i="2"/>
  <c r="AA1704" i="5"/>
  <c r="AB1707" i="1"/>
  <c r="AA1612" i="2"/>
  <c r="AA1704" i="4"/>
  <c r="M844" i="5"/>
  <c r="W143" i="5"/>
  <c r="W136" i="2"/>
  <c r="W143" i="4"/>
  <c r="AA1359" i="5"/>
  <c r="AA1294" i="2"/>
  <c r="AB1360" i="1"/>
  <c r="AA1359" i="4"/>
  <c r="AA847" i="5"/>
  <c r="AA812" i="2"/>
  <c r="AA847" i="4"/>
  <c r="AB847" i="1"/>
  <c r="AA885" i="5"/>
  <c r="AB885" i="1"/>
  <c r="AA846" i="2"/>
  <c r="AA885" i="4"/>
  <c r="W1006" i="5"/>
  <c r="W1013" i="5" s="1"/>
  <c r="W963" i="2"/>
  <c r="W1006" i="4"/>
  <c r="W434" i="5"/>
  <c r="W416" i="2"/>
  <c r="W434" i="4"/>
  <c r="U781" i="5"/>
  <c r="U961" i="5" s="1"/>
  <c r="U2925" i="5" s="1"/>
  <c r="W602" i="5"/>
  <c r="W578" i="2"/>
  <c r="W602" i="4"/>
  <c r="W1038" i="5"/>
  <c r="W1049" i="5" s="1"/>
  <c r="W993" i="2"/>
  <c r="W1038" i="4"/>
  <c r="W1623" i="5"/>
  <c r="W1639" i="5" s="1"/>
  <c r="W1542" i="2"/>
  <c r="W1623" i="4"/>
  <c r="J788" i="5"/>
  <c r="J802" i="5" s="1"/>
  <c r="J755" i="2"/>
  <c r="J788" i="4"/>
  <c r="F421" i="5"/>
  <c r="N2917" i="5"/>
  <c r="N2948" i="5" s="1"/>
  <c r="N2755" i="5"/>
  <c r="U2194" i="5"/>
  <c r="U2294" i="5" s="1"/>
  <c r="U2937" i="5" s="1"/>
  <c r="AA1551" i="5"/>
  <c r="AA1476" i="2"/>
  <c r="AA1551" i="4"/>
  <c r="AB1554" i="1"/>
  <c r="AA1451" i="1"/>
  <c r="M1450" i="5"/>
  <c r="M1471" i="5" s="1"/>
  <c r="M1379" i="2"/>
  <c r="M1450" i="4"/>
  <c r="U993" i="5"/>
  <c r="U1013" i="5" s="1"/>
  <c r="U950" i="2"/>
  <c r="U993" i="4"/>
  <c r="AB505" i="1"/>
  <c r="AA504" i="5"/>
  <c r="AA509" i="5" s="1"/>
  <c r="AA484" i="2"/>
  <c r="AA504" i="4"/>
  <c r="AA1383" i="5"/>
  <c r="AA1314" i="2"/>
  <c r="AA1383" i="4"/>
  <c r="AB1384" i="1"/>
  <c r="AA1138" i="4"/>
  <c r="AA1138" i="5"/>
  <c r="AA776" i="4"/>
  <c r="AA776" i="5"/>
  <c r="AA698" i="5"/>
  <c r="AA714" i="5" s="1"/>
  <c r="AA668" i="2"/>
  <c r="AA698" i="4"/>
  <c r="AB698" i="1"/>
  <c r="W30" i="5"/>
  <c r="W29" i="2"/>
  <c r="W30" i="4"/>
  <c r="U1375" i="5"/>
  <c r="V1461" i="5"/>
  <c r="V1471" i="5" s="1"/>
  <c r="W1462" i="1"/>
  <c r="V1389" i="2"/>
  <c r="V1461" i="4"/>
  <c r="W1057" i="5"/>
  <c r="W1057" i="4"/>
  <c r="W1012" i="2"/>
  <c r="M2707" i="5"/>
  <c r="M2728" i="5" s="1"/>
  <c r="M2707" i="4"/>
  <c r="W436" i="5"/>
  <c r="W436" i="4"/>
  <c r="W418" i="2"/>
  <c r="AA226" i="5"/>
  <c r="AA226" i="4"/>
  <c r="AB226" i="1"/>
  <c r="AA217" i="2"/>
  <c r="AA1052" i="5"/>
  <c r="AA1065" i="5" s="1"/>
  <c r="AA1052" i="4"/>
  <c r="AB1053" i="1"/>
  <c r="AA1007" i="2"/>
  <c r="AA927" i="4"/>
  <c r="AA927" i="5"/>
  <c r="AB1791" i="1"/>
  <c r="AA1787" i="5"/>
  <c r="AA1802" i="5" s="1"/>
  <c r="W1046" i="5"/>
  <c r="W1046" i="4"/>
  <c r="W1001" i="2"/>
  <c r="AA1151" i="5"/>
  <c r="AA1101" i="2"/>
  <c r="AB1152" i="1"/>
  <c r="AA1151" i="4"/>
  <c r="AA57" i="5"/>
  <c r="AA57" i="4"/>
  <c r="AB57" i="1"/>
  <c r="AA53" i="2"/>
  <c r="AA1312" i="2"/>
  <c r="AA1381" i="5"/>
  <c r="AB1382" i="1"/>
  <c r="W1238" i="4"/>
  <c r="W1238" i="5"/>
  <c r="W80" i="5"/>
  <c r="W76" i="2"/>
  <c r="W80" i="4"/>
  <c r="AA947" i="5"/>
  <c r="V2011" i="5"/>
  <c r="J1751" i="5"/>
  <c r="J1758" i="5" s="1"/>
  <c r="J1660" i="2"/>
  <c r="J1751" i="4"/>
  <c r="AA994" i="5"/>
  <c r="AA1013" i="5" s="1"/>
  <c r="AA951" i="2"/>
  <c r="AA994" i="4"/>
  <c r="AB995" i="1"/>
  <c r="W738" i="5"/>
  <c r="W707" i="2"/>
  <c r="W738" i="4"/>
  <c r="Z441" i="5"/>
  <c r="Z421" i="2"/>
  <c r="Z441" i="4"/>
  <c r="J304" i="5"/>
  <c r="J312" i="5" s="1"/>
  <c r="J292" i="2"/>
  <c r="J304" i="4"/>
  <c r="W1714" i="5"/>
  <c r="W1622" i="2"/>
  <c r="W1714" i="4"/>
  <c r="AA1489" i="1"/>
  <c r="M1488" i="5"/>
  <c r="M1497" i="5" s="1"/>
  <c r="M1412" i="2"/>
  <c r="M1488" i="4"/>
  <c r="J1279" i="5"/>
  <c r="J1216" i="2"/>
  <c r="J1279" i="4"/>
  <c r="W1730" i="5"/>
  <c r="W1737" i="5" s="1"/>
  <c r="W1638" i="2"/>
  <c r="W1730" i="4"/>
  <c r="W542" i="5"/>
  <c r="W545" i="5" s="1"/>
  <c r="W542" i="4"/>
  <c r="W523" i="2"/>
  <c r="W430" i="5"/>
  <c r="W412" i="2"/>
  <c r="W430" i="4"/>
  <c r="J2773" i="5"/>
  <c r="J2773" i="4"/>
  <c r="J902" i="5"/>
  <c r="J862" i="2"/>
  <c r="J902" i="4"/>
  <c r="J857" i="5"/>
  <c r="J872" i="5" s="1"/>
  <c r="J822" i="2"/>
  <c r="J857" i="4"/>
  <c r="J2354" i="4"/>
  <c r="J2354" i="5"/>
  <c r="J1266" i="5"/>
  <c r="J1281" i="5" s="1"/>
  <c r="J1207" i="2"/>
  <c r="J1266" i="4"/>
  <c r="Z435" i="5"/>
  <c r="Z417" i="2"/>
  <c r="Z435" i="4"/>
  <c r="K226" i="5"/>
  <c r="K217" i="2"/>
  <c r="K226" i="4"/>
  <c r="Q226" i="1"/>
  <c r="AA176" i="5"/>
  <c r="AA168" i="2"/>
  <c r="AB176" i="1"/>
  <c r="AA176" i="4"/>
  <c r="R2773" i="5"/>
  <c r="R2773" i="4"/>
  <c r="R2862" i="1"/>
  <c r="W1644" i="5"/>
  <c r="W1659" i="5" s="1"/>
  <c r="W1644" i="4"/>
  <c r="W1561" i="2"/>
  <c r="AA1155" i="5"/>
  <c r="AA1155" i="4"/>
  <c r="AB1156" i="1"/>
  <c r="AA1105" i="2"/>
  <c r="U1049" i="5"/>
  <c r="M2548" i="4"/>
  <c r="M2548" i="5"/>
  <c r="M2565" i="5" s="1"/>
  <c r="Z2096" i="4"/>
  <c r="Z2096" i="5"/>
  <c r="M2478" i="4"/>
  <c r="M2478" i="5"/>
  <c r="M2488" i="5" s="1"/>
  <c r="M2567" i="5" s="1"/>
  <c r="M2941" i="5" s="1"/>
  <c r="J2209" i="4"/>
  <c r="J2209" i="5"/>
  <c r="W1445" i="5"/>
  <c r="W1374" i="2"/>
  <c r="W1445" i="4"/>
  <c r="AA1223" i="5"/>
  <c r="AA1244" i="5" s="1"/>
  <c r="AA1169" i="2"/>
  <c r="AA1223" i="4"/>
  <c r="AB1224" i="1"/>
  <c r="W61" i="5"/>
  <c r="W61" i="4"/>
  <c r="W57" i="2"/>
  <c r="AB177" i="5"/>
  <c r="AB169" i="2"/>
  <c r="AB177" i="4"/>
  <c r="AB2364" i="4"/>
  <c r="AB2364" i="5"/>
  <c r="W2544" i="4"/>
  <c r="W2544" i="5"/>
  <c r="W1998" i="4"/>
  <c r="W1998" i="5"/>
  <c r="Z2578" i="4"/>
  <c r="Z2578" i="5"/>
  <c r="Z2671" i="4"/>
  <c r="Z2671" i="5"/>
  <c r="AB2524" i="4"/>
  <c r="AB2524" i="5"/>
  <c r="W2458" i="4"/>
  <c r="W2458" i="5"/>
  <c r="Z1737" i="5"/>
  <c r="Z2681" i="4"/>
  <c r="Z2681" i="5"/>
  <c r="W2533" i="4"/>
  <c r="W2533" i="5"/>
  <c r="Z2462" i="4"/>
  <c r="Z2462" i="5"/>
  <c r="W2001" i="4"/>
  <c r="W2001" i="5"/>
  <c r="W2668" i="4"/>
  <c r="W2668" i="5"/>
  <c r="AB2270" i="4"/>
  <c r="AB2270" i="5"/>
  <c r="AB2871" i="5"/>
  <c r="AB2872" i="4"/>
  <c r="AB2202" i="4"/>
  <c r="AB2202" i="5"/>
  <c r="AA2819" i="5"/>
  <c r="AA2819" i="4"/>
  <c r="W2692" i="4"/>
  <c r="W2692" i="5"/>
  <c r="W2648" i="4"/>
  <c r="W2648" i="5"/>
  <c r="W2644" i="4"/>
  <c r="W2644" i="5"/>
  <c r="V2880" i="5"/>
  <c r="V2881" i="4"/>
  <c r="AB2405" i="4"/>
  <c r="AB2405" i="5"/>
  <c r="X1215" i="1"/>
  <c r="X1206" i="5"/>
  <c r="W2030" i="4"/>
  <c r="W2030" i="5"/>
  <c r="W1050" i="1"/>
  <c r="Z2697" i="4"/>
  <c r="Z2697" i="5"/>
  <c r="AB2778" i="5"/>
  <c r="AB2778" i="4"/>
  <c r="AB2773" i="5"/>
  <c r="AB2773" i="4"/>
  <c r="AA2847" i="5"/>
  <c r="AA2848" i="4"/>
  <c r="AB2601" i="4"/>
  <c r="AB2601" i="5"/>
  <c r="AB2880" i="5"/>
  <c r="AB2881" i="4"/>
  <c r="AB2799" i="5"/>
  <c r="AB2799" i="4"/>
  <c r="W2734" i="4"/>
  <c r="W2734" i="5"/>
  <c r="AB2632" i="4"/>
  <c r="AB2632" i="5"/>
  <c r="Z2594" i="4"/>
  <c r="Z2594" i="5"/>
  <c r="AB2531" i="4"/>
  <c r="AB2531" i="5"/>
  <c r="AB1797" i="4"/>
  <c r="AB1797" i="5"/>
  <c r="AA1697" i="5"/>
  <c r="Z2602" i="4"/>
  <c r="Z2602" i="5"/>
  <c r="W2586" i="4"/>
  <c r="W2586" i="5"/>
  <c r="W2510" i="4"/>
  <c r="W2510" i="5"/>
  <c r="W2505" i="4"/>
  <c r="W2505" i="5"/>
  <c r="W2495" i="4"/>
  <c r="W2495" i="5"/>
  <c r="W2499" i="5" s="1"/>
  <c r="W1674" i="4"/>
  <c r="W1674" i="5"/>
  <c r="W2741" i="4"/>
  <c r="W2741" i="5"/>
  <c r="J2392" i="4"/>
  <c r="J2392" i="5"/>
  <c r="W2051" i="4"/>
  <c r="W2051" i="5"/>
  <c r="W1983" i="4"/>
  <c r="W1983" i="5"/>
  <c r="J1944" i="4"/>
  <c r="J1944" i="5"/>
  <c r="Q2848" i="5"/>
  <c r="Q2849" i="4"/>
  <c r="AB868" i="4"/>
  <c r="AB868" i="5"/>
  <c r="M2821" i="5"/>
  <c r="M2821" i="4"/>
  <c r="M2366" i="5"/>
  <c r="Z2135" i="4"/>
  <c r="Z2135" i="5"/>
  <c r="J2121" i="4"/>
  <c r="J2121" i="5"/>
  <c r="J1911" i="4"/>
  <c r="J1911" i="5"/>
  <c r="AB395" i="4"/>
  <c r="AB395" i="5"/>
  <c r="V2565" i="5"/>
  <c r="V1642" i="1"/>
  <c r="V1637" i="5"/>
  <c r="V1639" i="5" s="1"/>
  <c r="W2524" i="4"/>
  <c r="W2524" i="5"/>
  <c r="W2732" i="4"/>
  <c r="W2732" i="5"/>
  <c r="AB2850" i="5"/>
  <c r="AB2851" i="4"/>
  <c r="AB2233" i="4"/>
  <c r="AB2233" i="5"/>
  <c r="AB2656" i="4"/>
  <c r="AB2656" i="5"/>
  <c r="M2535" i="5"/>
  <c r="W2696" i="4"/>
  <c r="W2696" i="5"/>
  <c r="W2551" i="4"/>
  <c r="W2551" i="5"/>
  <c r="AB2545" i="4"/>
  <c r="AB2545" i="5"/>
  <c r="Z2106" i="4"/>
  <c r="Z2106" i="5"/>
  <c r="AB1995" i="4"/>
  <c r="AB1995" i="5"/>
  <c r="Z1565" i="4"/>
  <c r="Z1565" i="5"/>
  <c r="AB1061" i="4"/>
  <c r="AB1061" i="5"/>
  <c r="AA2470" i="5"/>
  <c r="W2017" i="4"/>
  <c r="W2017" i="5"/>
  <c r="Z2585" i="4"/>
  <c r="Z2585" i="5"/>
  <c r="AB2228" i="4"/>
  <c r="AB2228" i="5"/>
  <c r="W2025" i="4"/>
  <c r="W2025" i="5"/>
  <c r="J1938" i="4"/>
  <c r="J1938" i="5"/>
  <c r="M823" i="1"/>
  <c r="M810" i="5"/>
  <c r="M823" i="5" s="1"/>
  <c r="S2872" i="5"/>
  <c r="S2873" i="4"/>
  <c r="AB1060" i="4"/>
  <c r="AB1060" i="5"/>
  <c r="W2621" i="4"/>
  <c r="W2621" i="5"/>
  <c r="AB1692" i="4"/>
  <c r="AB1692" i="5"/>
  <c r="AB2497" i="4"/>
  <c r="AB2497" i="5"/>
  <c r="AA2488" i="5"/>
  <c r="AB2579" i="4"/>
  <c r="AB2579" i="5"/>
  <c r="AB2161" i="4"/>
  <c r="AB2161" i="5"/>
  <c r="W2046" i="4"/>
  <c r="W2046" i="5"/>
  <c r="Z1979" i="4"/>
  <c r="Z1979" i="5"/>
  <c r="W2045" i="4"/>
  <c r="W2045" i="5"/>
  <c r="M1955" i="1"/>
  <c r="M1929" i="5"/>
  <c r="M1951" i="5" s="1"/>
  <c r="AB2503" i="4"/>
  <c r="AB2503" i="5"/>
  <c r="Z2463" i="4"/>
  <c r="Z2463" i="5"/>
  <c r="AB2776" i="5"/>
  <c r="AB2776" i="4"/>
  <c r="W2666" i="4"/>
  <c r="W2666" i="5"/>
  <c r="W2481" i="4"/>
  <c r="W2481" i="5"/>
  <c r="AA2881" i="5"/>
  <c r="AA2882" i="4"/>
  <c r="AB2852" i="5"/>
  <c r="AB2853" i="4"/>
  <c r="AB2791" i="5"/>
  <c r="AB2791" i="4"/>
  <c r="AB2701" i="4"/>
  <c r="AB2701" i="5"/>
  <c r="W1993" i="4"/>
  <c r="W1993" i="5"/>
  <c r="AB2397" i="4"/>
  <c r="AB2397" i="5"/>
  <c r="AB2417" i="4"/>
  <c r="AB2417" i="5"/>
  <c r="AB2408" i="4"/>
  <c r="AB2408" i="5"/>
  <c r="J2271" i="4"/>
  <c r="J2271" i="5"/>
  <c r="W1161" i="4"/>
  <c r="W1161" i="5"/>
  <c r="W984" i="5"/>
  <c r="W986" i="5" s="1"/>
  <c r="AB1654" i="4"/>
  <c r="AB1654" i="5"/>
  <c r="M1215" i="1"/>
  <c r="M1205" i="5"/>
  <c r="M1214" i="5" s="1"/>
  <c r="M1543" i="5" s="1"/>
  <c r="M2929" i="5" s="1"/>
  <c r="W1273" i="4"/>
  <c r="W1273" i="5"/>
  <c r="AB2877" i="5"/>
  <c r="AB2878" i="4"/>
  <c r="W2460" i="4"/>
  <c r="W2460" i="5"/>
  <c r="J2255" i="4"/>
  <c r="J2255" i="5"/>
  <c r="Z2600" i="4"/>
  <c r="Z2600" i="5"/>
  <c r="AB2860" i="5"/>
  <c r="AB2861" i="4"/>
  <c r="AA2809" i="5"/>
  <c r="AA2809" i="4"/>
  <c r="AB2595" i="4"/>
  <c r="AB2595" i="5"/>
  <c r="AB2858" i="5"/>
  <c r="AB2859" i="4"/>
  <c r="W2623" i="4"/>
  <c r="W2623" i="5"/>
  <c r="W2632" i="4"/>
  <c r="W2632" i="5"/>
  <c r="W2530" i="4"/>
  <c r="W2530" i="5"/>
  <c r="W2476" i="4"/>
  <c r="W2476" i="5"/>
  <c r="Z2467" i="4"/>
  <c r="Z2467" i="5"/>
  <c r="AB2592" i="4"/>
  <c r="AB2592" i="5"/>
  <c r="AA2446" i="5"/>
  <c r="W2593" i="4"/>
  <c r="W2593" i="5"/>
  <c r="AB2157" i="4"/>
  <c r="AB2157" i="5"/>
  <c r="AB2696" i="4"/>
  <c r="AB2696" i="5"/>
  <c r="W2546" i="4"/>
  <c r="W2546" i="5"/>
  <c r="J2187" i="4"/>
  <c r="J2187" i="5"/>
  <c r="J2194" i="5" s="1"/>
  <c r="W2713" i="4"/>
  <c r="W2713" i="5"/>
  <c r="W2028" i="4"/>
  <c r="W2028" i="5"/>
  <c r="W1977" i="4"/>
  <c r="W1977" i="5"/>
  <c r="W1565" i="4"/>
  <c r="W1565" i="5"/>
  <c r="AA545" i="5"/>
  <c r="Z2136" i="4"/>
  <c r="Z2136" i="5"/>
  <c r="J2120" i="4"/>
  <c r="J2120" i="5"/>
  <c r="J2138" i="5" s="1"/>
  <c r="W438" i="4"/>
  <c r="W438" i="5"/>
  <c r="W2876" i="5"/>
  <c r="W2877" i="4"/>
  <c r="Z38" i="4"/>
  <c r="Z38" i="5"/>
  <c r="AB87" i="4"/>
  <c r="AB87" i="5"/>
  <c r="K2872" i="5"/>
  <c r="K2873" i="4"/>
  <c r="Z2581" i="4"/>
  <c r="Z2581" i="5"/>
  <c r="Z2097" i="4"/>
  <c r="Z2097" i="5"/>
  <c r="Z1977" i="4"/>
  <c r="Z1977" i="5"/>
  <c r="AA1106" i="5"/>
  <c r="AB439" i="4"/>
  <c r="AB439" i="5"/>
  <c r="K2773" i="5"/>
  <c r="K2773" i="4"/>
  <c r="V184" i="5"/>
  <c r="I2872" i="5"/>
  <c r="I2873" i="4"/>
  <c r="AA2495" i="4"/>
  <c r="AA2495" i="5"/>
  <c r="W2072" i="4"/>
  <c r="W2072" i="5"/>
  <c r="J2226" i="4"/>
  <c r="J2226" i="5"/>
  <c r="J2243" i="5" s="1"/>
  <c r="AB2853" i="5"/>
  <c r="AB2854" i="4"/>
  <c r="AA1932" i="4"/>
  <c r="AA1932" i="5"/>
  <c r="AA87" i="4"/>
  <c r="AA87" i="5"/>
  <c r="V1673" i="4"/>
  <c r="V1673" i="5"/>
  <c r="I2773" i="5"/>
  <c r="I2773" i="4"/>
  <c r="Z2099" i="4"/>
  <c r="Z2099" i="5"/>
  <c r="W1691" i="4"/>
  <c r="W1691" i="5"/>
  <c r="W1697" i="5" s="1"/>
  <c r="W872" i="5"/>
  <c r="AB2150" i="4"/>
  <c r="AB2150" i="5"/>
  <c r="W1614" i="4"/>
  <c r="W1614" i="5"/>
  <c r="L2887" i="5"/>
  <c r="L2756" i="5"/>
  <c r="L2950" i="5"/>
  <c r="W1734" i="5"/>
  <c r="W1642" i="2"/>
  <c r="W1734" i="4"/>
  <c r="J1301" i="5"/>
  <c r="J1301" i="4"/>
  <c r="J1238" i="2"/>
  <c r="W1149" i="5"/>
  <c r="W1099" i="2"/>
  <c r="W1149" i="4"/>
  <c r="W1649" i="5"/>
  <c r="W1566" i="2"/>
  <c r="W1649" i="4"/>
  <c r="Z2612" i="5"/>
  <c r="Z2660" i="5" s="1"/>
  <c r="Z2943" i="5" s="1"/>
  <c r="X2660" i="5"/>
  <c r="X2943" i="5" s="1"/>
  <c r="X2446" i="5"/>
  <c r="P2448" i="5"/>
  <c r="W75" i="5"/>
  <c r="W92" i="5" s="1"/>
  <c r="W71" i="2"/>
  <c r="W75" i="4"/>
  <c r="J1359" i="5"/>
  <c r="J1375" i="5" s="1"/>
  <c r="J1294" i="2"/>
  <c r="J1359" i="4"/>
  <c r="AB594" i="5"/>
  <c r="AB570" i="2"/>
  <c r="AB594" i="4"/>
  <c r="AA1489" i="5"/>
  <c r="AA1413" i="2"/>
  <c r="AB1490" i="1"/>
  <c r="AA1489" i="4"/>
  <c r="AA826" i="5"/>
  <c r="AA826" i="4"/>
  <c r="AB826" i="1"/>
  <c r="AA792" i="2"/>
  <c r="M68" i="5"/>
  <c r="W1018" i="5"/>
  <c r="W973" i="2"/>
  <c r="W1018" i="4"/>
  <c r="W1666" i="5"/>
  <c r="W1666" i="4"/>
  <c r="W1580" i="2"/>
  <c r="W1042" i="5"/>
  <c r="W997" i="2"/>
  <c r="W1042" i="4"/>
  <c r="AA61" i="5"/>
  <c r="AB61" i="1"/>
  <c r="AA57" i="2"/>
  <c r="AA61" i="4"/>
  <c r="W672" i="5"/>
  <c r="W644" i="2"/>
  <c r="W672" i="4"/>
  <c r="W34" i="5"/>
  <c r="W33" i="2"/>
  <c r="W34" i="4"/>
  <c r="U2635" i="5"/>
  <c r="U2660" i="5" s="1"/>
  <c r="U2943" i="5" s="1"/>
  <c r="X1072" i="2"/>
  <c r="Z1122" i="1"/>
  <c r="Z1072" i="2" s="1"/>
  <c r="AA1700" i="5"/>
  <c r="AA1709" i="5" s="1"/>
  <c r="AB1703" i="1"/>
  <c r="AA1608" i="2"/>
  <c r="AA1700" i="4"/>
  <c r="U14" i="5"/>
  <c r="U14" i="4"/>
  <c r="U14" i="2"/>
  <c r="W444" i="5"/>
  <c r="W424" i="2"/>
  <c r="W444" i="4"/>
  <c r="V2853" i="5"/>
  <c r="V2854" i="4"/>
  <c r="K205" i="5"/>
  <c r="K205" i="4"/>
  <c r="Q205" i="1"/>
  <c r="K196" i="2"/>
  <c r="W1600" i="5"/>
  <c r="W1522" i="2"/>
  <c r="W1600" i="4"/>
  <c r="AB1047" i="1"/>
  <c r="AA1046" i="5"/>
  <c r="AA1001" i="2"/>
  <c r="AB348" i="1"/>
  <c r="AA347" i="5"/>
  <c r="M2404" i="5"/>
  <c r="M2410" i="5" s="1"/>
  <c r="M2404" i="4"/>
  <c r="AA2410" i="1"/>
  <c r="W504" i="5"/>
  <c r="W484" i="2"/>
  <c r="W504" i="4"/>
  <c r="W1104" i="5"/>
  <c r="W1106" i="5" s="1"/>
  <c r="W1055" i="2"/>
  <c r="W1104" i="4"/>
  <c r="AB1007" i="1"/>
  <c r="AA1006" i="5"/>
  <c r="AB659" i="1"/>
  <c r="AA659" i="5"/>
  <c r="AA631" i="2"/>
  <c r="AA659" i="4"/>
  <c r="Z258" i="5"/>
  <c r="Z247" i="2"/>
  <c r="Z258" i="4"/>
  <c r="W115" i="4"/>
  <c r="W115" i="5"/>
  <c r="W130" i="5" s="1"/>
  <c r="W109" i="2"/>
  <c r="Z28" i="2"/>
  <c r="Z29" i="5"/>
  <c r="Z29" i="4"/>
  <c r="Q200" i="1"/>
  <c r="K200" i="5"/>
  <c r="K192" i="2"/>
  <c r="AA1967" i="5"/>
  <c r="V2784" i="5"/>
  <c r="V2784" i="4"/>
  <c r="AB601" i="1"/>
  <c r="AA602" i="5"/>
  <c r="AA578" i="2"/>
  <c r="AA602" i="4"/>
  <c r="W496" i="5"/>
  <c r="W476" i="2"/>
  <c r="W496" i="4"/>
  <c r="M558" i="5"/>
  <c r="U1568" i="5"/>
  <c r="U1659" i="5"/>
  <c r="U1739" i="5" s="1"/>
  <c r="U2931" i="5" s="1"/>
  <c r="U1339" i="5"/>
  <c r="U1543" i="5" s="1"/>
  <c r="U2929" i="5" s="1"/>
  <c r="M1005" i="5"/>
  <c r="M1013" i="5" s="1"/>
  <c r="M962" i="2"/>
  <c r="M1005" i="4"/>
  <c r="W2745" i="4"/>
  <c r="W2745" i="5"/>
  <c r="W2643" i="4"/>
  <c r="W2643" i="5"/>
  <c r="W2559" i="4"/>
  <c r="W2559" i="5"/>
  <c r="V2515" i="5"/>
  <c r="V2567" i="5" s="1"/>
  <c r="V2941" i="5" s="1"/>
  <c r="M1922" i="5"/>
  <c r="AA887" i="4"/>
  <c r="AA887" i="5"/>
  <c r="AA862" i="5"/>
  <c r="AB862" i="1"/>
  <c r="AA827" i="2"/>
  <c r="AA862" i="4"/>
  <c r="U2499" i="5"/>
  <c r="U2535" i="5"/>
  <c r="M739" i="5"/>
  <c r="M743" i="5" s="1"/>
  <c r="M961" i="5" s="1"/>
  <c r="M2925" i="5" s="1"/>
  <c r="AA739" i="1"/>
  <c r="M708" i="2"/>
  <c r="M739" i="4"/>
  <c r="K204" i="5"/>
  <c r="K204" i="4"/>
  <c r="Q204" i="1"/>
  <c r="K195" i="2"/>
  <c r="J920" i="5"/>
  <c r="J877" i="2"/>
  <c r="J920" i="4"/>
  <c r="J2353" i="4"/>
  <c r="J2353" i="5"/>
  <c r="J1392" i="5"/>
  <c r="J1402" i="5" s="1"/>
  <c r="J1323" i="2"/>
  <c r="J1392" i="4"/>
  <c r="W1704" i="5"/>
  <c r="W1612" i="2"/>
  <c r="W1704" i="4"/>
  <c r="V1608" i="5"/>
  <c r="V1618" i="5" s="1"/>
  <c r="V1530" i="2"/>
  <c r="V1608" i="4"/>
  <c r="W1611" i="1"/>
  <c r="X752" i="2"/>
  <c r="Z785" i="1"/>
  <c r="Z752" i="2" s="1"/>
  <c r="W177" i="5"/>
  <c r="W169" i="2"/>
  <c r="W177" i="4"/>
  <c r="X1724" i="2"/>
  <c r="Z1820" i="1"/>
  <c r="Z1724" i="2" s="1"/>
  <c r="AB34" i="5"/>
  <c r="AB33" i="2"/>
  <c r="AB34" i="4"/>
  <c r="J1421" i="5"/>
  <c r="J1433" i="5" s="1"/>
  <c r="J1351" i="2"/>
  <c r="J1421" i="4"/>
  <c r="AA1082" i="5"/>
  <c r="AA1034" i="2"/>
  <c r="AA1082" i="4"/>
  <c r="AB1083" i="1"/>
  <c r="M369" i="5"/>
  <c r="M421" i="5" s="1"/>
  <c r="M2921" i="5" s="1"/>
  <c r="J2156" i="4"/>
  <c r="J2156" i="5"/>
  <c r="J2110" i="4"/>
  <c r="J2112" i="4" s="1"/>
  <c r="J2110" i="5"/>
  <c r="J2112" i="5" s="1"/>
  <c r="W57" i="5"/>
  <c r="W53" i="2"/>
  <c r="W57" i="4"/>
  <c r="AB1400" i="1"/>
  <c r="AA1399" i="5"/>
  <c r="AA1329" i="2"/>
  <c r="AA1399" i="4"/>
  <c r="AB204" i="1"/>
  <c r="AA204" i="5"/>
  <c r="AA204" i="4"/>
  <c r="W2650" i="4"/>
  <c r="W2650" i="5"/>
  <c r="AA2849" i="5"/>
  <c r="AA2850" i="4"/>
  <c r="W2532" i="4"/>
  <c r="W2532" i="5"/>
  <c r="Z2461" i="4"/>
  <c r="Z2461" i="5"/>
  <c r="J1917" i="4"/>
  <c r="J1917" i="5"/>
  <c r="AB1614" i="4"/>
  <c r="AB1614" i="5"/>
  <c r="AB2317" i="4"/>
  <c r="AB2317" i="5"/>
  <c r="AA2805" i="5"/>
  <c r="AA2805" i="4"/>
  <c r="V2660" i="5"/>
  <c r="V2943" i="5" s="1"/>
  <c r="U2782" i="5"/>
  <c r="U2885" i="5" s="1"/>
  <c r="U2782" i="4"/>
  <c r="Z2678" i="4"/>
  <c r="Z2678" i="5"/>
  <c r="AB2419" i="4"/>
  <c r="AB2419" i="5"/>
  <c r="AB2216" i="4"/>
  <c r="AB2216" i="5"/>
  <c r="Z2088" i="4"/>
  <c r="Z2088" i="5"/>
  <c r="AB1993" i="4"/>
  <c r="AB1993" i="5"/>
  <c r="I2849" i="5"/>
  <c r="I2850" i="4"/>
  <c r="X985" i="1"/>
  <c r="X987" i="1" s="1"/>
  <c r="X982" i="5"/>
  <c r="J691" i="1"/>
  <c r="J678" i="5"/>
  <c r="J691" i="5" s="1"/>
  <c r="AB2287" i="4"/>
  <c r="AB2287" i="5"/>
  <c r="W1671" i="4"/>
  <c r="W1671" i="5"/>
  <c r="AB2786" i="5"/>
  <c r="AB2786" i="4"/>
  <c r="W2793" i="1"/>
  <c r="W2640" i="5"/>
  <c r="W2562" i="4"/>
  <c r="W2562" i="5"/>
  <c r="W2558" i="4"/>
  <c r="W2558" i="5"/>
  <c r="AB2347" i="4"/>
  <c r="AB2347" i="5"/>
  <c r="AB2183" i="4"/>
  <c r="AB2183" i="5"/>
  <c r="AB2169" i="4"/>
  <c r="AB2169" i="5"/>
  <c r="Z2092" i="4"/>
  <c r="Z2092" i="5"/>
  <c r="W2071" i="4"/>
  <c r="W2071" i="5"/>
  <c r="AB2031" i="4"/>
  <c r="AB2031" i="5"/>
  <c r="AB1362" i="4"/>
  <c r="AB1362" i="5"/>
  <c r="Z1208" i="4"/>
  <c r="Z1208" i="5"/>
  <c r="V2775" i="5"/>
  <c r="V2775" i="4"/>
  <c r="J2335" i="4"/>
  <c r="J2335" i="5"/>
  <c r="J2274" i="4"/>
  <c r="J2274" i="5"/>
  <c r="J2170" i="4"/>
  <c r="J2170" i="5"/>
  <c r="J2173" i="5" s="1"/>
  <c r="AB890" i="4"/>
  <c r="AB890" i="5"/>
  <c r="W2618" i="4"/>
  <c r="W2618" i="5"/>
  <c r="W2635" i="5" s="1"/>
  <c r="AB2422" i="4"/>
  <c r="AB2422" i="5"/>
  <c r="W2633" i="4"/>
  <c r="W2633" i="5"/>
  <c r="M2806" i="5"/>
  <c r="M2806" i="4"/>
  <c r="Z2456" i="4"/>
  <c r="Z2456" i="5"/>
  <c r="W1994" i="4"/>
  <c r="W1994" i="5"/>
  <c r="W2011" i="5" s="1"/>
  <c r="AB2772" i="5"/>
  <c r="AB2772" i="4"/>
  <c r="W2002" i="4"/>
  <c r="W2002" i="5"/>
  <c r="AB1239" i="4"/>
  <c r="AB1239" i="5"/>
  <c r="AB2862" i="5"/>
  <c r="AB2863" i="4"/>
  <c r="W2468" i="4"/>
  <c r="W2468" i="5"/>
  <c r="W1995" i="4"/>
  <c r="W1995" i="5"/>
  <c r="AB2872" i="5"/>
  <c r="AB2873" i="4"/>
  <c r="AB2780" i="5"/>
  <c r="AB2780" i="4"/>
  <c r="AB2619" i="4"/>
  <c r="AB2619" i="5"/>
  <c r="AB2585" i="4"/>
  <c r="AB2585" i="5"/>
  <c r="Z2576" i="4"/>
  <c r="Z2576" i="5"/>
  <c r="W2526" i="4"/>
  <c r="W2526" i="5"/>
  <c r="W2478" i="4"/>
  <c r="W2478" i="5"/>
  <c r="J2217" i="4"/>
  <c r="J2217" i="5"/>
  <c r="AB2210" i="4"/>
  <c r="AB2210" i="5"/>
  <c r="AB2142" i="4"/>
  <c r="AB2142" i="5"/>
  <c r="Z2100" i="4"/>
  <c r="Z2100" i="5"/>
  <c r="Z2649" i="4"/>
  <c r="Z2649" i="5"/>
  <c r="J2410" i="5"/>
  <c r="J2360" i="4"/>
  <c r="J2360" i="5"/>
  <c r="AB2332" i="4"/>
  <c r="AB2332" i="5"/>
  <c r="Z2303" i="4"/>
  <c r="Z2303" i="5"/>
  <c r="AB2227" i="4"/>
  <c r="AB2227" i="5"/>
  <c r="AB2108" i="4"/>
  <c r="AB2108" i="5"/>
  <c r="W2048" i="4"/>
  <c r="W2048" i="5"/>
  <c r="W2044" i="4"/>
  <c r="W2044" i="5"/>
  <c r="AB1997" i="4"/>
  <c r="AB1997" i="5"/>
  <c r="W1982" i="4"/>
  <c r="W1982" i="5"/>
  <c r="W1978" i="4"/>
  <c r="W1978" i="5"/>
  <c r="W1987" i="5" s="1"/>
  <c r="AB1963" i="4"/>
  <c r="AB1963" i="5"/>
  <c r="W1588" i="4"/>
  <c r="W1588" i="5"/>
  <c r="W1592" i="5" s="1"/>
  <c r="W2022" i="4"/>
  <c r="W2022" i="5"/>
  <c r="W1654" i="4"/>
  <c r="W1654" i="5"/>
  <c r="AB2744" i="4"/>
  <c r="AB2744" i="5"/>
  <c r="AB2377" i="4"/>
  <c r="AB2377" i="5"/>
  <c r="Z2308" i="4"/>
  <c r="Z2308" i="5"/>
  <c r="AB2205" i="4"/>
  <c r="AB2205" i="5"/>
  <c r="AB2096" i="4"/>
  <c r="AB2096" i="5"/>
  <c r="AB2044" i="4"/>
  <c r="AB2044" i="5"/>
  <c r="AB1588" i="4"/>
  <c r="AB1588" i="5"/>
  <c r="J2152" i="4"/>
  <c r="J2152" i="5"/>
  <c r="W2075" i="4"/>
  <c r="W2075" i="5"/>
  <c r="AB1636" i="4"/>
  <c r="AB1636" i="5"/>
  <c r="V2777" i="5"/>
  <c r="V2777" i="4"/>
  <c r="Z980" i="4"/>
  <c r="Z980" i="5"/>
  <c r="J2135" i="4"/>
  <c r="J2135" i="5"/>
  <c r="Z2121" i="4"/>
  <c r="Z2121" i="5"/>
  <c r="V2850" i="5"/>
  <c r="V2851" i="4"/>
  <c r="Z2668" i="4"/>
  <c r="Z2668" i="5"/>
  <c r="M2787" i="5"/>
  <c r="M2787" i="4"/>
  <c r="W2456" i="4"/>
  <c r="W2456" i="5"/>
  <c r="W2470" i="5" s="1"/>
  <c r="Z2595" i="4"/>
  <c r="Z2595" i="5"/>
  <c r="AB2468" i="4"/>
  <c r="AB2468" i="5"/>
  <c r="Z2458" i="4"/>
  <c r="Z2458" i="5"/>
  <c r="AB2641" i="4"/>
  <c r="AB2641" i="5"/>
  <c r="Z2579" i="4"/>
  <c r="Z2579" i="5"/>
  <c r="V2824" i="1"/>
  <c r="V2019" i="5"/>
  <c r="V2037" i="5" s="1"/>
  <c r="V2081" i="5" s="1"/>
  <c r="V2935" i="5" s="1"/>
  <c r="V2772" i="5"/>
  <c r="V2772" i="4"/>
  <c r="Z2455" i="4"/>
  <c r="Z2455" i="5"/>
  <c r="W2688" i="4"/>
  <c r="W2688" i="5"/>
  <c r="W2704" i="5" s="1"/>
  <c r="J1309" i="5"/>
  <c r="J2307" i="4"/>
  <c r="J2307" i="5"/>
  <c r="W737" i="4"/>
  <c r="W737" i="5"/>
  <c r="W509" i="5"/>
  <c r="AA473" i="5"/>
  <c r="AA427" i="1"/>
  <c r="AA426" i="5" s="1"/>
  <c r="U426" i="5"/>
  <c r="U446" i="5" s="1"/>
  <c r="AB2702" i="4"/>
  <c r="AB2702" i="5"/>
  <c r="W2578" i="4"/>
  <c r="W2578" i="5"/>
  <c r="AB2466" i="4"/>
  <c r="AB2466" i="5"/>
  <c r="AA1737" i="5"/>
  <c r="V1428" i="4"/>
  <c r="V1428" i="5"/>
  <c r="V1433" i="5" s="1"/>
  <c r="AB2309" i="4"/>
  <c r="AB2309" i="5"/>
  <c r="AB2390" i="4"/>
  <c r="AB2390" i="5"/>
  <c r="AB2258" i="4"/>
  <c r="AB2258" i="5"/>
  <c r="X2277" i="2"/>
  <c r="W2629" i="4"/>
  <c r="W2629" i="5"/>
  <c r="Z2089" i="4"/>
  <c r="Z2089" i="5"/>
  <c r="AB2198" i="4"/>
  <c r="AB2198" i="5"/>
  <c r="Q2862" i="5"/>
  <c r="Q2863" i="4"/>
  <c r="V781" i="1"/>
  <c r="V768" i="5"/>
  <c r="V781" i="5" s="1"/>
  <c r="V961" i="5" s="1"/>
  <c r="V2925" i="5" s="1"/>
  <c r="AB2533" i="4"/>
  <c r="AB2533" i="5"/>
  <c r="AB1459" i="4"/>
  <c r="AB1459" i="5"/>
  <c r="Z2107" i="4"/>
  <c r="Z2107" i="5"/>
  <c r="M1340" i="1"/>
  <c r="M1320" i="5"/>
  <c r="M1339" i="5" s="1"/>
  <c r="J2871" i="5"/>
  <c r="J2872" i="4"/>
  <c r="AA661" i="5"/>
  <c r="AA2854" i="5"/>
  <c r="AA2855" i="4"/>
  <c r="J2268" i="4"/>
  <c r="J2268" i="5"/>
  <c r="J2292" i="5" s="1"/>
  <c r="W625" i="5"/>
  <c r="W2737" i="4"/>
  <c r="W2737" i="5"/>
  <c r="W2681" i="4"/>
  <c r="W2681" i="5"/>
  <c r="AB2171" i="4"/>
  <c r="AB2171" i="5"/>
  <c r="W2050" i="4"/>
  <c r="W2050" i="5"/>
  <c r="J2337" i="4"/>
  <c r="J2337" i="5"/>
  <c r="W2497" i="4"/>
  <c r="W2497" i="5"/>
  <c r="Z1589" i="4"/>
  <c r="Z1589" i="5"/>
  <c r="Z1592" i="5" s="1"/>
  <c r="Z2676" i="4"/>
  <c r="Z2676" i="5"/>
  <c r="W2580" i="4"/>
  <c r="W2580" i="5"/>
  <c r="AB2436" i="4"/>
  <c r="AB2436" i="5"/>
  <c r="AB2561" i="4"/>
  <c r="AB2561" i="5"/>
  <c r="J2200" i="4"/>
  <c r="J2200" i="5"/>
  <c r="W1999" i="4"/>
  <c r="W1999" i="5"/>
  <c r="AB2856" i="5"/>
  <c r="AB2857" i="4"/>
  <c r="V2846" i="5"/>
  <c r="V2847" i="4"/>
  <c r="W2555" i="4"/>
  <c r="W2555" i="5"/>
  <c r="W2735" i="4"/>
  <c r="W2735" i="5"/>
  <c r="AB2124" i="4"/>
  <c r="AB2124" i="5"/>
  <c r="W2712" i="4"/>
  <c r="W2712" i="5"/>
  <c r="W2708" i="4"/>
  <c r="W2708" i="5"/>
  <c r="J2329" i="4"/>
  <c r="J2329" i="5"/>
  <c r="J2341" i="5" s="1"/>
  <c r="AB2099" i="4"/>
  <c r="AB2099" i="5"/>
  <c r="M2820" i="5"/>
  <c r="M2820" i="4"/>
  <c r="Z2698" i="4"/>
  <c r="Z2698" i="5"/>
  <c r="AB2185" i="4"/>
  <c r="AB2185" i="5"/>
  <c r="AB2166" i="4"/>
  <c r="AB2166" i="5"/>
  <c r="W2067" i="4"/>
  <c r="W2067" i="5"/>
  <c r="Z1709" i="5"/>
  <c r="Z1568" i="5"/>
  <c r="AB1611" i="4"/>
  <c r="AB1611" i="5"/>
  <c r="J2784" i="5"/>
  <c r="J2784" i="4"/>
  <c r="J2334" i="4"/>
  <c r="J2334" i="5"/>
  <c r="W500" i="5"/>
  <c r="W913" i="4"/>
  <c r="W913" i="5"/>
  <c r="W802" i="5"/>
  <c r="AA281" i="1"/>
  <c r="AA269" i="5"/>
  <c r="AA280" i="5" s="1"/>
  <c r="AA420" i="1"/>
  <c r="AA402" i="5"/>
  <c r="AA419" i="5" s="1"/>
  <c r="V2774" i="5"/>
  <c r="V2774" i="4"/>
  <c r="J262" i="1"/>
  <c r="J252" i="5"/>
  <c r="AB202" i="4"/>
  <c r="AB202" i="5"/>
  <c r="AB2842" i="5"/>
  <c r="AB2843" i="4"/>
  <c r="Z2464" i="4"/>
  <c r="Z2464" i="5"/>
  <c r="J1908" i="4"/>
  <c r="J1908" i="5"/>
  <c r="J1922" i="5" s="1"/>
  <c r="Z2122" i="4"/>
  <c r="Z2122" i="5"/>
  <c r="Q2167" i="2"/>
  <c r="Q2742" i="2" s="1"/>
  <c r="U22" i="5"/>
  <c r="U132" i="5" s="1"/>
  <c r="K2851" i="5"/>
  <c r="K2852" i="4"/>
  <c r="K2869" i="5"/>
  <c r="K2870" i="4"/>
  <c r="W2064" i="4"/>
  <c r="W2064" i="5"/>
  <c r="W2079" i="5" s="1"/>
  <c r="W1061" i="4"/>
  <c r="W1061" i="5"/>
  <c r="W2486" i="4"/>
  <c r="W2486" i="5"/>
  <c r="Z2001" i="4"/>
  <c r="Z2001" i="5"/>
  <c r="W2592" i="4"/>
  <c r="W2592" i="5"/>
  <c r="AA1862" i="4"/>
  <c r="AA1862" i="5"/>
  <c r="AB1415" i="1"/>
  <c r="AA1414" i="5"/>
  <c r="AB764" i="1"/>
  <c r="AA764" i="5"/>
  <c r="AA781" i="5" s="1"/>
  <c r="AA2785" i="5"/>
  <c r="AA2785" i="4"/>
  <c r="AB2794" i="1"/>
  <c r="W1153" i="5"/>
  <c r="W1103" i="2"/>
  <c r="W1153" i="4"/>
  <c r="W440" i="5"/>
  <c r="W440" i="4"/>
  <c r="W420" i="2"/>
  <c r="T2950" i="5"/>
  <c r="T2756" i="5"/>
  <c r="T2887" i="5"/>
  <c r="X1541" i="5"/>
  <c r="Z1500" i="5"/>
  <c r="X1543" i="5"/>
  <c r="X2929" i="5" s="1"/>
  <c r="X284" i="2"/>
  <c r="Z297" i="1"/>
  <c r="Z284" i="2" s="1"/>
  <c r="J242" i="4"/>
  <c r="J242" i="5"/>
  <c r="J261" i="5" s="1"/>
  <c r="J232" i="2"/>
  <c r="W1610" i="5"/>
  <c r="W1532" i="2"/>
  <c r="W1610" i="4"/>
  <c r="X530" i="2"/>
  <c r="Z550" i="1"/>
  <c r="Z530" i="2" s="1"/>
  <c r="J1776" i="5"/>
  <c r="J1776" i="4"/>
  <c r="J1685" i="2"/>
  <c r="J1834" i="5"/>
  <c r="J1843" i="5" s="1"/>
  <c r="J1742" i="2"/>
  <c r="J1834" i="4"/>
  <c r="AA883" i="5"/>
  <c r="AB883" i="1"/>
  <c r="AA844" i="2"/>
  <c r="AA883" i="4"/>
  <c r="W1155" i="5"/>
  <c r="W1155" i="4"/>
  <c r="W1105" i="2"/>
  <c r="W598" i="5"/>
  <c r="W598" i="4"/>
  <c r="W574" i="2"/>
  <c r="U971" i="5"/>
  <c r="U984" i="5" s="1"/>
  <c r="U986" i="5" s="1"/>
  <c r="U971" i="4"/>
  <c r="U929" i="2"/>
  <c r="W761" i="5"/>
  <c r="W781" i="5" s="1"/>
  <c r="W730" i="2"/>
  <c r="W761" i="4"/>
  <c r="U2037" i="5"/>
  <c r="AA2635" i="5"/>
  <c r="J2869" i="5"/>
  <c r="J2870" i="4"/>
  <c r="W442" i="5"/>
  <c r="W442" i="4"/>
  <c r="W422" i="2"/>
  <c r="AA211" i="5"/>
  <c r="AA202" i="2"/>
  <c r="AA211" i="4"/>
  <c r="AB211" i="1"/>
  <c r="W53" i="5"/>
  <c r="W68" i="5" s="1"/>
  <c r="W2832" i="1"/>
  <c r="W49" i="2"/>
  <c r="W2657" i="2" s="1"/>
  <c r="W53" i="4"/>
  <c r="J1233" i="5"/>
  <c r="J1244" i="5" s="1"/>
  <c r="J1179" i="2"/>
  <c r="J1233" i="4"/>
  <c r="AA587" i="5"/>
  <c r="AA563" i="2"/>
  <c r="AA587" i="4"/>
  <c r="AB586" i="1"/>
  <c r="W179" i="5"/>
  <c r="W179" i="4"/>
  <c r="W171" i="2"/>
  <c r="U1073" i="5"/>
  <c r="U1085" i="5" s="1"/>
  <c r="U1190" i="5" s="1"/>
  <c r="U2927" i="5" s="1"/>
  <c r="AA1074" i="1"/>
  <c r="U1026" i="2"/>
  <c r="U1073" i="4"/>
  <c r="AA1395" i="5"/>
  <c r="AB1396" i="1"/>
  <c r="AA1326" i="2"/>
  <c r="AA1395" i="4"/>
  <c r="AA223" i="5"/>
  <c r="AB223" i="1"/>
  <c r="AA214" i="2"/>
  <c r="AA223" i="4"/>
  <c r="AB30" i="1"/>
  <c r="AA30" i="5"/>
  <c r="AA29" i="2"/>
  <c r="AA30" i="4"/>
  <c r="U640" i="5"/>
  <c r="U2923" i="5" s="1"/>
  <c r="V1678" i="5"/>
  <c r="V1739" i="5" s="1"/>
  <c r="V2931" i="5" s="1"/>
  <c r="V1240" i="4"/>
  <c r="V1240" i="5"/>
  <c r="V1244" i="5" s="1"/>
  <c r="W1241" i="1"/>
  <c r="AB1275" i="5"/>
  <c r="AB1215" i="2"/>
  <c r="AB1275" i="4"/>
  <c r="AA766" i="5"/>
  <c r="AB766" i="1"/>
  <c r="AA735" i="2"/>
  <c r="AA766" i="4"/>
  <c r="U2262" i="5"/>
  <c r="U149" i="5"/>
  <c r="U237" i="5" s="1"/>
  <c r="U2919" i="5" s="1"/>
  <c r="W596" i="5"/>
  <c r="W607" i="5" s="1"/>
  <c r="W572" i="2"/>
  <c r="W596" i="4"/>
  <c r="AA1038" i="5"/>
  <c r="AA1049" i="5" s="1"/>
  <c r="AA993" i="2"/>
  <c r="AA1038" i="4"/>
  <c r="AB1039" i="1"/>
  <c r="Z902" i="2"/>
  <c r="Z904" i="2" s="1"/>
  <c r="Z947" i="1"/>
  <c r="AA726" i="5"/>
  <c r="AB726" i="1"/>
  <c r="AA696" i="2"/>
  <c r="AA726" i="4"/>
  <c r="X1796" i="2"/>
  <c r="Z1899" i="1"/>
  <c r="Z1796" i="2" s="1"/>
  <c r="AA548" i="5"/>
  <c r="AB549" i="1"/>
  <c r="AA529" i="2"/>
  <c r="AA548" i="4"/>
  <c r="Z2854" i="5"/>
  <c r="X2885" i="5"/>
  <c r="AA1548" i="5"/>
  <c r="AA1568" i="5" s="1"/>
  <c r="AA1473" i="2"/>
  <c r="AA1548" i="4"/>
  <c r="AB1551" i="1"/>
  <c r="W134" i="2"/>
  <c r="W141" i="5"/>
  <c r="J2208" i="4"/>
  <c r="J2208" i="5"/>
  <c r="W1110" i="5"/>
  <c r="W1129" i="5" s="1"/>
  <c r="W1061" i="2"/>
  <c r="W1110" i="4"/>
  <c r="AA1451" i="5"/>
  <c r="AA1380" i="2"/>
  <c r="AA1451" i="4"/>
  <c r="AB1452" i="1"/>
  <c r="AA1297" i="5"/>
  <c r="AB1298" i="1"/>
  <c r="AA1234" i="2"/>
  <c r="AA1297" i="4"/>
  <c r="W676" i="5"/>
  <c r="W648" i="2"/>
  <c r="W676" i="4"/>
  <c r="AB672" i="1"/>
  <c r="AA672" i="5"/>
  <c r="AA691" i="5" s="1"/>
  <c r="AA644" i="2"/>
  <c r="AA672" i="4"/>
  <c r="K199" i="5"/>
  <c r="K208" i="5" s="1"/>
  <c r="K199" i="4"/>
  <c r="Q199" i="1"/>
  <c r="K191" i="2"/>
  <c r="AA1163" i="1"/>
  <c r="M1162" i="5"/>
  <c r="M1166" i="5" s="1"/>
  <c r="M1190" i="5" s="1"/>
  <c r="M2927" i="5" s="1"/>
  <c r="U166" i="5"/>
  <c r="J2256" i="4"/>
  <c r="J2256" i="5"/>
  <c r="AA2499" i="5"/>
  <c r="M1751" i="5"/>
  <c r="M1758" i="5" s="1"/>
  <c r="M1660" i="2"/>
  <c r="M1751" i="4"/>
  <c r="AA1755" i="1"/>
  <c r="W1670" i="5"/>
  <c r="W1670" i="4"/>
  <c r="W1584" i="2"/>
  <c r="AA84" i="5"/>
  <c r="AA92" i="5" s="1"/>
  <c r="AA80" i="2"/>
  <c r="AA84" i="4"/>
  <c r="AB84" i="1"/>
  <c r="J1488" i="5"/>
  <c r="J1497" i="5" s="1"/>
  <c r="J1412" i="2"/>
  <c r="J1488" i="4"/>
  <c r="X1216" i="2"/>
  <c r="Z1280" i="1"/>
  <c r="Z1216" i="2" s="1"/>
  <c r="W139" i="5"/>
  <c r="W149" i="5" s="1"/>
  <c r="W132" i="2"/>
  <c r="W139" i="4"/>
  <c r="H2929" i="5"/>
  <c r="H2755" i="5"/>
  <c r="W483" i="5"/>
  <c r="W487" i="5" s="1"/>
  <c r="W463" i="2"/>
  <c r="W483" i="4"/>
  <c r="Z857" i="1"/>
  <c r="Z822" i="2" s="1"/>
  <c r="X822" i="2"/>
  <c r="AA1480" i="5"/>
  <c r="AA1480" i="4"/>
  <c r="AB1481" i="1"/>
  <c r="AA1404" i="2"/>
  <c r="AB1031" i="1"/>
  <c r="AA1030" i="5"/>
  <c r="AA1030" i="4"/>
  <c r="AA985" i="2"/>
  <c r="W149" i="2"/>
  <c r="W156" i="5"/>
  <c r="W166" i="5" s="1"/>
  <c r="W156" i="4"/>
  <c r="U1922" i="5"/>
  <c r="U1969" i="5" s="1"/>
  <c r="U2933" i="5" s="1"/>
  <c r="M781" i="5"/>
  <c r="J1339" i="5"/>
  <c r="W1718" i="5"/>
  <c r="W1720" i="5" s="1"/>
  <c r="W1626" i="2"/>
  <c r="W1718" i="4"/>
  <c r="W686" i="4"/>
  <c r="W686" i="5"/>
  <c r="W2513" i="4"/>
  <c r="W2513" i="5"/>
  <c r="W28" i="5"/>
  <c r="W28" i="4"/>
  <c r="W27" i="2"/>
  <c r="AB141" i="5"/>
  <c r="AB134" i="2"/>
  <c r="AB141" i="4"/>
  <c r="H1306" i="2"/>
  <c r="V2647" i="2"/>
  <c r="I2617" i="2"/>
  <c r="N125" i="2"/>
  <c r="N2722" i="2" s="1"/>
  <c r="N2753" i="2" s="1"/>
  <c r="K2617" i="2"/>
  <c r="K2728" i="2"/>
  <c r="U1617" i="2"/>
  <c r="H1246" i="2"/>
  <c r="X1676" i="2"/>
  <c r="Z1676" i="2" s="1"/>
  <c r="AB1676" i="2" s="1"/>
  <c r="M1628" i="2"/>
  <c r="E2932" i="4"/>
  <c r="U1709" i="4"/>
  <c r="H380" i="2"/>
  <c r="U2011" i="4"/>
  <c r="E226" i="2"/>
  <c r="E2724" i="2" s="1"/>
  <c r="M142" i="2"/>
  <c r="I2655" i="2"/>
  <c r="V2673" i="2"/>
  <c r="M1115" i="2"/>
  <c r="E125" i="2"/>
  <c r="E2722" i="2" s="1"/>
  <c r="F2752" i="4"/>
  <c r="F2929" i="4" s="1"/>
  <c r="M149" i="4"/>
  <c r="U1541" i="4"/>
  <c r="U2219" i="4"/>
  <c r="M1709" i="4"/>
  <c r="F403" i="2"/>
  <c r="F2726" i="2" s="1"/>
  <c r="U2366" i="4"/>
  <c r="H855" i="2"/>
  <c r="F1137" i="2"/>
  <c r="F2732" i="2" s="1"/>
  <c r="U725" i="2"/>
  <c r="F2567" i="4"/>
  <c r="F2925" i="4" s="1"/>
  <c r="J844" i="4"/>
  <c r="X576" i="4"/>
  <c r="Z576" i="4" s="1"/>
  <c r="Q1767" i="4"/>
  <c r="U2410" i="4"/>
  <c r="M2499" i="4"/>
  <c r="U1659" i="4"/>
  <c r="F640" i="4"/>
  <c r="F2907" i="4" s="1"/>
  <c r="X2446" i="4"/>
  <c r="Z2446" i="4" s="1"/>
  <c r="Z2448" i="4" s="1"/>
  <c r="Z2923" i="4" s="1"/>
  <c r="AA947" i="4"/>
  <c r="V2499" i="4"/>
  <c r="U149" i="4"/>
  <c r="U2341" i="4"/>
  <c r="H1541" i="4"/>
  <c r="H1543" i="4" s="1"/>
  <c r="H2755" i="4" s="1"/>
  <c r="H661" i="2"/>
  <c r="I2734" i="2"/>
  <c r="U1218" i="2"/>
  <c r="U823" i="4"/>
  <c r="U467" i="2"/>
  <c r="U1013" i="4"/>
  <c r="K1543" i="4"/>
  <c r="K2913" i="4" s="1"/>
  <c r="M480" i="2"/>
  <c r="U1639" i="4"/>
  <c r="F1969" i="4"/>
  <c r="F2917" i="4" s="1"/>
  <c r="R2617" i="2"/>
  <c r="J2262" i="4"/>
  <c r="H898" i="2"/>
  <c r="M107" i="4"/>
  <c r="H1218" i="2"/>
  <c r="U1309" i="4"/>
  <c r="U1922" i="4"/>
  <c r="U1537" i="2"/>
  <c r="V509" i="4"/>
  <c r="H299" i="2"/>
  <c r="N132" i="4"/>
  <c r="N2755" i="4" s="1"/>
  <c r="U1556" i="2"/>
  <c r="U1362" i="2"/>
  <c r="V1628" i="2"/>
  <c r="M1820" i="4"/>
  <c r="U2499" i="4"/>
  <c r="V549" i="2"/>
  <c r="U487" i="4"/>
  <c r="Q879" i="2"/>
  <c r="U419" i="4"/>
  <c r="H1800" i="2"/>
  <c r="M1018" i="2"/>
  <c r="M2382" i="4"/>
  <c r="U756" i="4"/>
  <c r="V607" i="4"/>
  <c r="Q1433" i="4"/>
  <c r="M500" i="4"/>
  <c r="Q2428" i="4"/>
  <c r="Q2448" i="4" s="1"/>
  <c r="Q2923" i="4" s="1"/>
  <c r="U2635" i="4"/>
  <c r="U661" i="2"/>
  <c r="M45" i="4"/>
  <c r="M87" i="2"/>
  <c r="X437" i="2"/>
  <c r="F615" i="2"/>
  <c r="F2728" i="2" s="1"/>
  <c r="K918" i="2"/>
  <c r="K2730" i="2" s="1"/>
  <c r="E615" i="2"/>
  <c r="E2728" i="2" s="1"/>
  <c r="H1395" i="2"/>
  <c r="Q1800" i="2"/>
  <c r="Z489" i="2"/>
  <c r="Q1710" i="2"/>
  <c r="U1967" i="4"/>
  <c r="M535" i="4"/>
  <c r="H712" i="2"/>
  <c r="I224" i="2"/>
  <c r="U199" i="2"/>
  <c r="H353" i="2"/>
  <c r="I235" i="4"/>
  <c r="U1673" i="4"/>
  <c r="U1678" i="4" s="1"/>
  <c r="AA1676" i="1"/>
  <c r="AA1673" i="5" s="1"/>
  <c r="M198" i="4"/>
  <c r="M208" i="4" s="1"/>
  <c r="M190" i="2"/>
  <c r="M199" i="2" s="1"/>
  <c r="AB1332" i="1"/>
  <c r="AA1331" i="4"/>
  <c r="Z155" i="4"/>
  <c r="Z148" i="2"/>
  <c r="X609" i="2"/>
  <c r="X613" i="2" s="1"/>
  <c r="Z633" i="1"/>
  <c r="Z634" i="5" s="1"/>
  <c r="W719" i="1"/>
  <c r="W719" i="5" s="1"/>
  <c r="V719" i="4"/>
  <c r="V689" i="2"/>
  <c r="Z403" i="4"/>
  <c r="Z385" i="2"/>
  <c r="W1480" i="1"/>
  <c r="W1479" i="5" s="1"/>
  <c r="V1479" i="4"/>
  <c r="V1497" i="4" s="1"/>
  <c r="V1403" i="2"/>
  <c r="V1420" i="2" s="1"/>
  <c r="Z1230" i="4"/>
  <c r="Z1176" i="2"/>
  <c r="W1138" i="4"/>
  <c r="W2840" i="1"/>
  <c r="W1088" i="2"/>
  <c r="W2665" i="2" s="1"/>
  <c r="X689" i="2"/>
  <c r="Z719" i="1"/>
  <c r="Z689" i="2" s="1"/>
  <c r="I2862" i="1"/>
  <c r="M1051" i="2"/>
  <c r="M1057" i="2" s="1"/>
  <c r="M1099" i="4"/>
  <c r="M1106" i="4" s="1"/>
  <c r="X1403" i="2"/>
  <c r="X1420" i="2" s="1"/>
  <c r="Z1480" i="1"/>
  <c r="Z1403" i="2" s="1"/>
  <c r="Z1420" i="2" s="1"/>
  <c r="J1758" i="4"/>
  <c r="V1678" i="4"/>
  <c r="M1568" i="4"/>
  <c r="U789" i="2"/>
  <c r="F2294" i="4"/>
  <c r="F2921" i="4" s="1"/>
  <c r="E1137" i="2"/>
  <c r="E2732" i="2" s="1"/>
  <c r="M1065" i="4"/>
  <c r="Z2862" i="1"/>
  <c r="Z2347" i="1"/>
  <c r="AB155" i="4"/>
  <c r="W872" i="1"/>
  <c r="AB1911" i="1"/>
  <c r="AA501" i="1"/>
  <c r="F961" i="4"/>
  <c r="F2909" i="4" s="1"/>
  <c r="F237" i="4"/>
  <c r="F2903" i="4" s="1"/>
  <c r="U2430" i="2"/>
  <c r="U2746" i="2" s="1"/>
  <c r="AB2024" i="1"/>
  <c r="M1710" i="2"/>
  <c r="AB723" i="1"/>
  <c r="AB723" i="5" s="1"/>
  <c r="V487" i="4"/>
  <c r="V467" i="2"/>
  <c r="Q809" i="2"/>
  <c r="U570" i="4"/>
  <c r="M22" i="4"/>
  <c r="U691" i="4"/>
  <c r="V691" i="4"/>
  <c r="U453" i="2"/>
  <c r="M457" i="4"/>
  <c r="Q250" i="2"/>
  <c r="Q403" i="2" s="1"/>
  <c r="Q2726" i="2" s="1"/>
  <c r="J268" i="2"/>
  <c r="W2509" i="2"/>
  <c r="P125" i="2"/>
  <c r="P2722" i="2" s="1"/>
  <c r="AB2503" i="1"/>
  <c r="AB945" i="1"/>
  <c r="U2594" i="2"/>
  <c r="U2750" i="2" s="1"/>
  <c r="Z2211" i="2"/>
  <c r="AA2390" i="2"/>
  <c r="AB2390" i="2" s="1"/>
  <c r="V2548" i="4"/>
  <c r="W2556" i="1"/>
  <c r="AA1250" i="1"/>
  <c r="AA1249" i="5" s="1"/>
  <c r="AA1281" i="5" s="1"/>
  <c r="M1249" i="4"/>
  <c r="M1190" i="2"/>
  <c r="Z386" i="2"/>
  <c r="Z404" i="4"/>
  <c r="Z413" i="4"/>
  <c r="Z395" i="2"/>
  <c r="AA2797" i="1"/>
  <c r="P916" i="2"/>
  <c r="X959" i="1"/>
  <c r="Q959" i="1"/>
  <c r="Q959" i="5" s="1"/>
  <c r="S2862" i="1"/>
  <c r="AB2786" i="1"/>
  <c r="AA2103" i="4"/>
  <c r="AB2107" i="1"/>
  <c r="X1190" i="2"/>
  <c r="Z1250" i="1"/>
  <c r="Z1190" i="2" s="1"/>
  <c r="Z1229" i="4"/>
  <c r="Z1175" i="2"/>
  <c r="AA1104" i="4"/>
  <c r="AA1055" i="2"/>
  <c r="AB1105" i="1"/>
  <c r="AB1104" i="5" s="1"/>
  <c r="X818" i="2"/>
  <c r="Z853" i="1"/>
  <c r="Z818" i="2" s="1"/>
  <c r="AA1312" i="4"/>
  <c r="AA1249" i="2"/>
  <c r="AB1313" i="1"/>
  <c r="AB1312" i="5" s="1"/>
  <c r="V1162" i="4"/>
  <c r="V1111" i="2"/>
  <c r="W1163" i="1"/>
  <c r="W1162" i="5" s="1"/>
  <c r="V2557" i="4"/>
  <c r="W2565" i="1"/>
  <c r="W2598" i="1"/>
  <c r="W2590" i="5" s="1"/>
  <c r="V2818" i="1"/>
  <c r="V2590" i="4"/>
  <c r="AA1277" i="1"/>
  <c r="AA1276" i="5" s="1"/>
  <c r="M1276" i="4"/>
  <c r="AA38" i="4"/>
  <c r="AB38" i="1"/>
  <c r="X190" i="2"/>
  <c r="X199" i="2" s="1"/>
  <c r="Z198" i="1"/>
  <c r="Z190" i="2" s="1"/>
  <c r="AA2801" i="1"/>
  <c r="AA1480" i="1"/>
  <c r="AA1479" i="5" s="1"/>
  <c r="M1479" i="4"/>
  <c r="M1497" i="4" s="1"/>
  <c r="M1403" i="2"/>
  <c r="M1420" i="2" s="1"/>
  <c r="M1667" i="2"/>
  <c r="Z2736" i="1"/>
  <c r="U1492" i="2"/>
  <c r="M1166" i="4"/>
  <c r="X1037" i="2"/>
  <c r="M1645" i="2"/>
  <c r="X968" i="2"/>
  <c r="H1362" i="2"/>
  <c r="U1497" i="4"/>
  <c r="AB901" i="2"/>
  <c r="AA916" i="4"/>
  <c r="Q833" i="2"/>
  <c r="M1758" i="4"/>
  <c r="Q1843" i="4"/>
  <c r="X1537" i="2"/>
  <c r="Q1362" i="2"/>
  <c r="AB1551" i="2"/>
  <c r="J633" i="2"/>
  <c r="V130" i="4"/>
  <c r="M515" i="2"/>
  <c r="H639" i="1"/>
  <c r="H2904" i="1" s="1"/>
  <c r="J2266" i="1"/>
  <c r="V1057" i="2"/>
  <c r="AA2505" i="4"/>
  <c r="AA693" i="2"/>
  <c r="U613" i="2"/>
  <c r="M2686" i="2"/>
  <c r="X2746" i="2"/>
  <c r="Z2746" i="2" s="1"/>
  <c r="X1995" i="2"/>
  <c r="X2167" i="2" s="1"/>
  <c r="AA510" i="1"/>
  <c r="AA147" i="4"/>
  <c r="M1282" i="1"/>
  <c r="AA2508" i="4"/>
  <c r="AA2425" i="4"/>
  <c r="H2298" i="1"/>
  <c r="H2918" i="1" s="1"/>
  <c r="AB884" i="2"/>
  <c r="O2753" i="2"/>
  <c r="M1927" i="2"/>
  <c r="M1967" i="2" s="1"/>
  <c r="M2740" i="2" s="1"/>
  <c r="F1190" i="4"/>
  <c r="F2911" i="4" s="1"/>
  <c r="X637" i="1"/>
  <c r="F1865" i="2"/>
  <c r="F2738" i="2" s="1"/>
  <c r="AB777" i="1"/>
  <c r="AA777" i="4"/>
  <c r="X1051" i="2"/>
  <c r="X1057" i="2" s="1"/>
  <c r="Z1100" i="1"/>
  <c r="Z1051" i="2" s="1"/>
  <c r="AA2732" i="1"/>
  <c r="AA2724" i="5" s="1"/>
  <c r="M2724" i="4"/>
  <c r="AB598" i="4"/>
  <c r="AB574" i="2"/>
  <c r="J1249" i="4"/>
  <c r="J1190" i="2"/>
  <c r="J853" i="4"/>
  <c r="J818" i="2"/>
  <c r="W180" i="4"/>
  <c r="W172" i="2"/>
  <c r="Z276" i="4"/>
  <c r="Z264" i="2"/>
  <c r="AB1302" i="1"/>
  <c r="AB1301" i="5" s="1"/>
  <c r="AA1301" i="4"/>
  <c r="AA1238" i="2"/>
  <c r="J719" i="4"/>
  <c r="J689" i="2"/>
  <c r="M609" i="2"/>
  <c r="M613" i="2" s="1"/>
  <c r="AA633" i="1"/>
  <c r="AA634" i="5" s="1"/>
  <c r="AA638" i="5" s="1"/>
  <c r="M634" i="4"/>
  <c r="M638" i="4" s="1"/>
  <c r="J1479" i="4"/>
  <c r="J1497" i="4" s="1"/>
  <c r="J1403" i="2"/>
  <c r="J1420" i="2" s="1"/>
  <c r="Q198" i="1"/>
  <c r="Q198" i="5" s="1"/>
  <c r="K190" i="2"/>
  <c r="K198" i="4"/>
  <c r="U1589" i="2"/>
  <c r="U1605" i="2"/>
  <c r="M607" i="4"/>
  <c r="Z2712" i="1"/>
  <c r="J1869" i="1"/>
  <c r="M1737" i="4"/>
  <c r="W1498" i="1"/>
  <c r="M1049" i="4"/>
  <c r="H2085" i="1"/>
  <c r="H2916" i="1" s="1"/>
  <c r="U809" i="2"/>
  <c r="V1049" i="4"/>
  <c r="X489" i="2"/>
  <c r="M956" i="4"/>
  <c r="AA523" i="1"/>
  <c r="V489" i="2"/>
  <c r="U473" i="4"/>
  <c r="M208" i="1"/>
  <c r="V1617" i="2"/>
  <c r="V2681" i="2" s="1"/>
  <c r="U1681" i="1"/>
  <c r="M661" i="4"/>
  <c r="AA902" i="2"/>
  <c r="AA904" i="2" s="1"/>
  <c r="U2488" i="4"/>
  <c r="V638" i="4"/>
  <c r="U1057" i="2"/>
  <c r="F2763" i="1"/>
  <c r="M21" i="2"/>
  <c r="U2167" i="2"/>
  <c r="U2742" i="2" s="1"/>
  <c r="AA1995" i="2"/>
  <c r="U968" i="2"/>
  <c r="U299" i="2"/>
  <c r="Q1749" i="2"/>
  <c r="Q1244" i="4"/>
  <c r="X684" i="2"/>
  <c r="V515" i="2"/>
  <c r="H879" i="2"/>
  <c r="Q789" i="2"/>
  <c r="M583" i="2"/>
  <c r="X1018" i="2"/>
  <c r="U515" i="2"/>
  <c r="M1720" i="4"/>
  <c r="U1767" i="4"/>
  <c r="U2079" i="4"/>
  <c r="H226" i="2"/>
  <c r="H2724" i="2" s="1"/>
  <c r="H789" i="2"/>
  <c r="M437" i="2"/>
  <c r="M1617" i="2"/>
  <c r="K403" i="2"/>
  <c r="K2726" i="2" s="1"/>
  <c r="U1129" i="4"/>
  <c r="X1710" i="2"/>
  <c r="V1568" i="4"/>
  <c r="V1065" i="4"/>
  <c r="M1767" i="4"/>
  <c r="U537" i="2"/>
  <c r="H320" i="2"/>
  <c r="G2753" i="2"/>
  <c r="S2617" i="2"/>
  <c r="U984" i="4"/>
  <c r="U986" i="4" s="1"/>
  <c r="U1987" i="4"/>
  <c r="U895" i="4"/>
  <c r="Q1769" i="2"/>
  <c r="U1843" i="4"/>
  <c r="Q802" i="4"/>
  <c r="V1605" i="2"/>
  <c r="U941" i="4"/>
  <c r="V570" i="4"/>
  <c r="K961" i="4"/>
  <c r="K2909" i="4" s="1"/>
  <c r="K1466" i="2"/>
  <c r="K2653" i="2" s="1"/>
  <c r="V2488" i="4"/>
  <c r="M1967" i="4"/>
  <c r="U1592" i="4"/>
  <c r="V1492" i="2"/>
  <c r="U1568" i="4"/>
  <c r="M1492" i="2"/>
  <c r="Q844" i="4"/>
  <c r="V809" i="2"/>
  <c r="V92" i="4"/>
  <c r="U2750" i="4"/>
  <c r="V1106" i="4"/>
  <c r="U1697" i="4"/>
  <c r="V583" i="2"/>
  <c r="U401" i="2"/>
  <c r="U833" i="2"/>
  <c r="U638" i="4"/>
  <c r="U1085" i="4"/>
  <c r="M1537" i="2"/>
  <c r="U158" i="2"/>
  <c r="J913" i="2"/>
  <c r="J809" i="2"/>
  <c r="AB2616" i="2"/>
  <c r="AB2686" i="2" s="1"/>
  <c r="AA2686" i="2"/>
  <c r="Q1865" i="4"/>
  <c r="U1433" i="4"/>
  <c r="H1769" i="2"/>
  <c r="U1802" i="4"/>
  <c r="J1667" i="2"/>
  <c r="U1281" i="4"/>
  <c r="U1865" i="4"/>
  <c r="H1332" i="2"/>
  <c r="X633" i="2"/>
  <c r="U123" i="2"/>
  <c r="V1018" i="2"/>
  <c r="J2366" i="4"/>
  <c r="V833" i="2"/>
  <c r="U1464" i="2"/>
  <c r="J1676" i="2"/>
  <c r="U1274" i="2"/>
  <c r="Q714" i="4"/>
  <c r="U1749" i="2"/>
  <c r="U1573" i="2"/>
  <c r="V1514" i="2"/>
  <c r="V2621" i="2" s="1"/>
  <c r="U1065" i="4"/>
  <c r="U802" i="4"/>
  <c r="X401" i="2"/>
  <c r="K2655" i="2"/>
  <c r="J2219" i="4"/>
  <c r="U549" i="2"/>
  <c r="V661" i="2"/>
  <c r="J401" i="2"/>
  <c r="M1618" i="4"/>
  <c r="P1647" i="2"/>
  <c r="P2736" i="2" s="1"/>
  <c r="J1728" i="2"/>
  <c r="M401" i="2"/>
  <c r="Q898" i="2"/>
  <c r="J419" i="4"/>
  <c r="M419" i="4"/>
  <c r="J280" i="4"/>
  <c r="X101" i="2"/>
  <c r="I208" i="4"/>
  <c r="J2194" i="4"/>
  <c r="S2932" i="4"/>
  <c r="J2617" i="2"/>
  <c r="AA2526" i="4"/>
  <c r="AB2534" i="1"/>
  <c r="V2527" i="4"/>
  <c r="W2535" i="1"/>
  <c r="M1180" i="2"/>
  <c r="M1185" i="2" s="1"/>
  <c r="M1234" i="4"/>
  <c r="M1244" i="4" s="1"/>
  <c r="AA1235" i="1"/>
  <c r="AA1234" i="5" s="1"/>
  <c r="M1245" i="1"/>
  <c r="V1097" i="2"/>
  <c r="V1147" i="4"/>
  <c r="V1167" i="1"/>
  <c r="W1148" i="1"/>
  <c r="W1147" i="5" s="1"/>
  <c r="W1166" i="5" s="1"/>
  <c r="W505" i="2"/>
  <c r="W525" i="4"/>
  <c r="W536" i="1"/>
  <c r="AA1201" i="2"/>
  <c r="AA1260" i="4"/>
  <c r="AB1261" i="1"/>
  <c r="AB1260" i="5" s="1"/>
  <c r="AA1071" i="2"/>
  <c r="AA1120" i="4"/>
  <c r="AB1121" i="1"/>
  <c r="AB1120" i="5" s="1"/>
  <c r="X1736" i="2"/>
  <c r="X1749" i="2" s="1"/>
  <c r="Z1832" i="1"/>
  <c r="Z1736" i="2" s="1"/>
  <c r="X1847" i="1"/>
  <c r="Z1561" i="2"/>
  <c r="Z1644" i="4"/>
  <c r="X1378" i="2"/>
  <c r="Z1450" i="1"/>
  <c r="Z1378" i="2" s="1"/>
  <c r="X1472" i="1"/>
  <c r="W1553" i="4"/>
  <c r="W1478" i="2"/>
  <c r="AA465" i="2"/>
  <c r="AA485" i="4"/>
  <c r="AB486" i="1"/>
  <c r="AB485" i="5" s="1"/>
  <c r="W1033" i="2"/>
  <c r="W1081" i="4"/>
  <c r="AB475" i="2"/>
  <c r="AB495" i="4"/>
  <c r="AA35" i="2"/>
  <c r="AA36" i="4"/>
  <c r="AB36" i="1"/>
  <c r="AB36" i="5" s="1"/>
  <c r="AA2493" i="4"/>
  <c r="AB2501" i="1"/>
  <c r="AA2401" i="4"/>
  <c r="AB2407" i="1"/>
  <c r="Z2275" i="1"/>
  <c r="X2296" i="1"/>
  <c r="M1916" i="4"/>
  <c r="AA1920" i="1"/>
  <c r="AA1916" i="5" s="1"/>
  <c r="AA1685" i="2"/>
  <c r="AA1776" i="4"/>
  <c r="AB1780" i="1"/>
  <c r="AB1776" i="5" s="1"/>
  <c r="AA1304" i="2"/>
  <c r="AA1373" i="4"/>
  <c r="AB1374" i="1"/>
  <c r="AB1373" i="5" s="1"/>
  <c r="AA816" i="2"/>
  <c r="AA851" i="4"/>
  <c r="AB851" i="1"/>
  <c r="AB851" i="5" s="1"/>
  <c r="W786" i="2"/>
  <c r="W820" i="4"/>
  <c r="AA2461" i="4"/>
  <c r="AB2469" i="1"/>
  <c r="X1764" i="2"/>
  <c r="Z1862" i="1"/>
  <c r="Z1764" i="2" s="1"/>
  <c r="J1204" i="2"/>
  <c r="J1263" i="4"/>
  <c r="J1282" i="1"/>
  <c r="J2825" i="1" s="1"/>
  <c r="X883" i="2"/>
  <c r="Z926" i="1"/>
  <c r="X941" i="1"/>
  <c r="AA697" i="2"/>
  <c r="AA727" i="4"/>
  <c r="AB727" i="1"/>
  <c r="AB727" i="5" s="1"/>
  <c r="AB295" i="2"/>
  <c r="AB308" i="4"/>
  <c r="J303" i="2"/>
  <c r="J316" i="4"/>
  <c r="J334" i="1"/>
  <c r="AA2118" i="2"/>
  <c r="AB2099" i="2"/>
  <c r="AB2118" i="2" s="1"/>
  <c r="AA2162" i="4"/>
  <c r="AB2166" i="1"/>
  <c r="AA1599" i="2"/>
  <c r="AA1688" i="4"/>
  <c r="AB1691" i="1"/>
  <c r="AB1688" i="5" s="1"/>
  <c r="AA1674" i="4"/>
  <c r="AB1677" i="1"/>
  <c r="AA783" i="2"/>
  <c r="AA817" i="4"/>
  <c r="AB817" i="1"/>
  <c r="AB817" i="5" s="1"/>
  <c r="AA1796" i="2"/>
  <c r="AA1895" i="4"/>
  <c r="AB1899" i="1"/>
  <c r="AB1895" i="5" s="1"/>
  <c r="AA2248" i="4"/>
  <c r="AB2252" i="1"/>
  <c r="AA2618" i="4"/>
  <c r="AB2626" i="1"/>
  <c r="AA2580" i="4"/>
  <c r="AB2588" i="1"/>
  <c r="AA1992" i="4"/>
  <c r="AB1996" i="1"/>
  <c r="J1342" i="2"/>
  <c r="J1412" i="4"/>
  <c r="J1434" i="1"/>
  <c r="AA1290" i="2"/>
  <c r="AA1355" i="4"/>
  <c r="AB1356" i="1"/>
  <c r="AB1355" i="5" s="1"/>
  <c r="Z1731" i="2"/>
  <c r="W1601" i="2"/>
  <c r="W1690" i="4"/>
  <c r="Z1596" i="2"/>
  <c r="Z1685" i="4"/>
  <c r="AA1400" i="2"/>
  <c r="AA1476" i="4"/>
  <c r="AB1477" i="1"/>
  <c r="AB1476" i="5" s="1"/>
  <c r="X1353" i="2"/>
  <c r="Z1424" i="1"/>
  <c r="Z1353" i="2" s="1"/>
  <c r="AA1311" i="2"/>
  <c r="AA1380" i="4"/>
  <c r="AB1381" i="1"/>
  <c r="AB1380" i="5" s="1"/>
  <c r="AA1242" i="2"/>
  <c r="AA1305" i="4"/>
  <c r="AB1306" i="1"/>
  <c r="AB1305" i="5" s="1"/>
  <c r="P911" i="2"/>
  <c r="P913" i="2" s="1"/>
  <c r="P954" i="4"/>
  <c r="X954" i="4" s="1"/>
  <c r="Z954" i="4" s="1"/>
  <c r="Q954" i="1"/>
  <c r="Q954" i="5" s="1"/>
  <c r="Q956" i="5" s="1"/>
  <c r="Q961" i="5" s="1"/>
  <c r="Q2925" i="5" s="1"/>
  <c r="U954" i="1"/>
  <c r="U954" i="5" s="1"/>
  <c r="U956" i="5" s="1"/>
  <c r="V954" i="1"/>
  <c r="V954" i="5" s="1"/>
  <c r="V956" i="5" s="1"/>
  <c r="P956" i="1"/>
  <c r="P961" i="1" s="1"/>
  <c r="P2906" i="1" s="1"/>
  <c r="X954" i="1"/>
  <c r="AA674" i="2"/>
  <c r="AA704" i="4"/>
  <c r="AB704" i="1"/>
  <c r="AB704" i="5" s="1"/>
  <c r="W478" i="2"/>
  <c r="W498" i="4"/>
  <c r="AA2627" i="4"/>
  <c r="AB2635" i="1"/>
  <c r="AA2276" i="4"/>
  <c r="AB2280" i="1"/>
  <c r="AA2239" i="4"/>
  <c r="AB2243" i="1"/>
  <c r="AA2201" i="4"/>
  <c r="AB2205" i="1"/>
  <c r="AA2164" i="4"/>
  <c r="AB2168" i="1"/>
  <c r="AA2134" i="4"/>
  <c r="AB2138" i="1"/>
  <c r="AA1935" i="4"/>
  <c r="AB1939" i="1"/>
  <c r="Z1772" i="2"/>
  <c r="AB1188" i="2"/>
  <c r="AB1247" i="4"/>
  <c r="W1009" i="2"/>
  <c r="W1054" i="4"/>
  <c r="W1066" i="1"/>
  <c r="AA991" i="2"/>
  <c r="AA1036" i="4"/>
  <c r="AA1050" i="1"/>
  <c r="AB1037" i="1"/>
  <c r="AB1036" i="5" s="1"/>
  <c r="W936" i="2"/>
  <c r="W978" i="4"/>
  <c r="X867" i="2"/>
  <c r="Z907" i="1"/>
  <c r="Z867" i="2" s="1"/>
  <c r="X922" i="1"/>
  <c r="AA2462" i="4"/>
  <c r="AB2470" i="1"/>
  <c r="W1109" i="4"/>
  <c r="W1060" i="2"/>
  <c r="W1130" i="1"/>
  <c r="X2597" i="4"/>
  <c r="Z2605" i="1"/>
  <c r="X2616" i="1"/>
  <c r="Z2217" i="1"/>
  <c r="Z2223" i="1" s="1"/>
  <c r="X2223" i="1"/>
  <c r="M2225" i="4"/>
  <c r="AA2229" i="1"/>
  <c r="AA2225" i="5" s="1"/>
  <c r="AA2243" i="5" s="1"/>
  <c r="M2247" i="1"/>
  <c r="X2104" i="4"/>
  <c r="Z2108" i="1"/>
  <c r="Z2104" i="5" s="1"/>
  <c r="X2116" i="1"/>
  <c r="AA1411" i="2"/>
  <c r="AA1487" i="4"/>
  <c r="AB1488" i="1"/>
  <c r="AB1487" i="5" s="1"/>
  <c r="AA826" i="2"/>
  <c r="AA861" i="4"/>
  <c r="AB861" i="1"/>
  <c r="AB861" i="5" s="1"/>
  <c r="M2507" i="4"/>
  <c r="AA2515" i="1"/>
  <c r="AA2507" i="5" s="1"/>
  <c r="M2523" i="1"/>
  <c r="AA1754" i="2"/>
  <c r="AA1848" i="4"/>
  <c r="AB1852" i="1"/>
  <c r="AB1848" i="5" s="1"/>
  <c r="W1731" i="4"/>
  <c r="W1639" i="2"/>
  <c r="AA1338" i="2"/>
  <c r="AA1408" i="4"/>
  <c r="AB1409" i="1"/>
  <c r="AB1408" i="5" s="1"/>
  <c r="AB1158" i="2"/>
  <c r="AB1212" i="4"/>
  <c r="AA1125" i="2"/>
  <c r="AA1176" i="4"/>
  <c r="AB1177" i="1"/>
  <c r="AB1176" i="5" s="1"/>
  <c r="W511" i="2"/>
  <c r="W531" i="4"/>
  <c r="AA2650" i="4"/>
  <c r="AB2658" i="1"/>
  <c r="AA1359" i="2"/>
  <c r="AA1430" i="4"/>
  <c r="AB1431" i="1"/>
  <c r="AB1430" i="5" s="1"/>
  <c r="AA1316" i="2"/>
  <c r="AA1385" i="4"/>
  <c r="AB1386" i="1"/>
  <c r="AB1385" i="5" s="1"/>
  <c r="AA1227" i="2"/>
  <c r="AA1290" i="4"/>
  <c r="AB1291" i="1"/>
  <c r="AB1290" i="5" s="1"/>
  <c r="W1027" i="2"/>
  <c r="W1074" i="4"/>
  <c r="AB1702" i="2"/>
  <c r="AB1793" i="4"/>
  <c r="W1325" i="2"/>
  <c r="W1394" i="4"/>
  <c r="AA1772" i="2"/>
  <c r="AA1868" i="4"/>
  <c r="AB1872" i="1"/>
  <c r="AB1868" i="5" s="1"/>
  <c r="AA927" i="2"/>
  <c r="AA969" i="4"/>
  <c r="AB970" i="1"/>
  <c r="AB969" i="5" s="1"/>
  <c r="Z687" i="2"/>
  <c r="W508" i="2"/>
  <c r="W528" i="4"/>
  <c r="AB416" i="2"/>
  <c r="AB434" i="4"/>
  <c r="W1303" i="2"/>
  <c r="W1372" i="4"/>
  <c r="W719" i="2"/>
  <c r="W750" i="4"/>
  <c r="Z390" i="2"/>
  <c r="Z408" i="4"/>
  <c r="X1667" i="2"/>
  <c r="Z1667" i="2" s="1"/>
  <c r="AA441" i="2"/>
  <c r="AA461" i="4"/>
  <c r="AB462" i="1"/>
  <c r="AB461" i="5" s="1"/>
  <c r="V2400" i="2"/>
  <c r="V2430" i="2" s="1"/>
  <c r="V2746" i="2" s="1"/>
  <c r="W2385" i="2"/>
  <c r="W2400" i="2" s="1"/>
  <c r="M2025" i="4"/>
  <c r="AA2029" i="1"/>
  <c r="AA2025" i="5" s="1"/>
  <c r="M2041" i="1"/>
  <c r="Z1520" i="2"/>
  <c r="Z1598" i="4"/>
  <c r="M1357" i="2"/>
  <c r="M1427" i="4"/>
  <c r="AA1428" i="1"/>
  <c r="AA1427" i="5" s="1"/>
  <c r="M1347" i="2"/>
  <c r="M1417" i="4"/>
  <c r="AA1418" i="1"/>
  <c r="AA1417" i="5" s="1"/>
  <c r="AA1318" i="2"/>
  <c r="AA1387" i="4"/>
  <c r="AB1388" i="1"/>
  <c r="AB1387" i="5" s="1"/>
  <c r="W443" i="2"/>
  <c r="W463" i="4"/>
  <c r="W474" i="1"/>
  <c r="Z440" i="2"/>
  <c r="Z453" i="2" s="1"/>
  <c r="Z474" i="1"/>
  <c r="AB140" i="2"/>
  <c r="AB147" i="4"/>
  <c r="AB1025" i="2"/>
  <c r="AB1072" i="4"/>
  <c r="W871" i="2"/>
  <c r="W911" i="4"/>
  <c r="AB77" i="2"/>
  <c r="AB81" i="4"/>
  <c r="Q183" i="2"/>
  <c r="Q191" i="4"/>
  <c r="R191" i="1"/>
  <c r="R191" i="5" s="1"/>
  <c r="Z396" i="2"/>
  <c r="Z414" i="4"/>
  <c r="M283" i="2"/>
  <c r="M295" i="4"/>
  <c r="AA296" i="1"/>
  <c r="AA295" i="5" s="1"/>
  <c r="M313" i="1"/>
  <c r="AB573" i="2"/>
  <c r="AB597" i="4"/>
  <c r="AA818" i="2"/>
  <c r="AA853" i="4"/>
  <c r="AB853" i="1"/>
  <c r="AB853" i="5" s="1"/>
  <c r="AB718" i="2"/>
  <c r="AB749" i="4"/>
  <c r="AB179" i="2"/>
  <c r="AB187" i="4"/>
  <c r="AA286" i="2"/>
  <c r="AA298" i="4"/>
  <c r="AB299" i="1"/>
  <c r="AB298" i="5" s="1"/>
  <c r="AB206" i="2"/>
  <c r="AB215" i="4"/>
  <c r="AA360" i="2"/>
  <c r="AA376" i="4"/>
  <c r="AB377" i="1"/>
  <c r="AB376" i="5" s="1"/>
  <c r="AA120" i="2"/>
  <c r="AB126" i="1"/>
  <c r="AB126" i="5" s="1"/>
  <c r="AA126" i="4"/>
  <c r="AB38" i="2"/>
  <c r="AB42" i="4"/>
  <c r="AB56" i="2"/>
  <c r="AB60" i="4"/>
  <c r="AA1133" i="2"/>
  <c r="AA1185" i="4"/>
  <c r="AB1186" i="1"/>
  <c r="AB1185" i="5" s="1"/>
  <c r="AA954" i="2"/>
  <c r="AA997" i="4"/>
  <c r="AB998" i="1"/>
  <c r="AB997" i="5" s="1"/>
  <c r="M2598" i="4"/>
  <c r="AA2606" i="1"/>
  <c r="AA2598" i="5" s="1"/>
  <c r="AA2230" i="4"/>
  <c r="AB2234" i="1"/>
  <c r="X1777" i="2"/>
  <c r="Z1877" i="1"/>
  <c r="Z1777" i="2" s="1"/>
  <c r="X1903" i="1"/>
  <c r="AA1776" i="2"/>
  <c r="AA1872" i="4"/>
  <c r="AB1876" i="1"/>
  <c r="AB1872" i="5" s="1"/>
  <c r="AB1324" i="2"/>
  <c r="AB1393" i="4"/>
  <c r="AA1286" i="2"/>
  <c r="AA1351" i="4"/>
  <c r="AB1352" i="1"/>
  <c r="AB1351" i="5" s="1"/>
  <c r="AA1254" i="2"/>
  <c r="AA1317" i="4"/>
  <c r="AB1318" i="1"/>
  <c r="AB1317" i="5" s="1"/>
  <c r="AA2101" i="4"/>
  <c r="AB2105" i="1"/>
  <c r="AA1520" i="2"/>
  <c r="AA1598" i="4"/>
  <c r="AB1601" i="1"/>
  <c r="AB1598" i="5" s="1"/>
  <c r="W1435" i="2"/>
  <c r="W1512" i="4"/>
  <c r="AA2045" i="4"/>
  <c r="AB2049" i="1"/>
  <c r="W1585" i="2"/>
  <c r="W1672" i="4"/>
  <c r="X1297" i="2"/>
  <c r="Z1367" i="1"/>
  <c r="Z1297" i="2" s="1"/>
  <c r="AA977" i="2"/>
  <c r="AA1022" i="4"/>
  <c r="AB1023" i="1"/>
  <c r="AB1022" i="5" s="1"/>
  <c r="AA2331" i="4"/>
  <c r="AB2337" i="1"/>
  <c r="U1514" i="2"/>
  <c r="H1647" i="2"/>
  <c r="H2736" i="2" s="1"/>
  <c r="U1402" i="4"/>
  <c r="U941" i="2"/>
  <c r="U943" i="2" s="1"/>
  <c r="U844" i="4"/>
  <c r="V872" i="4"/>
  <c r="U1769" i="2"/>
  <c r="V1742" i="1"/>
  <c r="V2912" i="1" s="1"/>
  <c r="J1710" i="2"/>
  <c r="U1973" i="1"/>
  <c r="U2914" i="1" s="1"/>
  <c r="M1697" i="4"/>
  <c r="U2704" i="4"/>
  <c r="J2138" i="4"/>
  <c r="X268" i="2"/>
  <c r="Z268" i="2" s="1"/>
  <c r="X2862" i="1"/>
  <c r="U1246" i="2"/>
  <c r="AA2075" i="4"/>
  <c r="AB2079" i="1"/>
  <c r="AB1780" i="2"/>
  <c r="AB1876" i="4"/>
  <c r="AA2610" i="4"/>
  <c r="AA2612" i="4" s="1"/>
  <c r="AB2618" i="1"/>
  <c r="AB2610" i="5" s="1"/>
  <c r="AB2612" i="5" s="1"/>
  <c r="AA2620" i="1"/>
  <c r="AB1576" i="2"/>
  <c r="AB1662" i="4"/>
  <c r="AA2629" i="4"/>
  <c r="AB2637" i="1"/>
  <c r="AB2299" i="4"/>
  <c r="AA1747" i="2"/>
  <c r="AA1841" i="4"/>
  <c r="AB1845" i="1"/>
  <c r="AB1841" i="5" s="1"/>
  <c r="Z1570" i="2"/>
  <c r="Z1653" i="4"/>
  <c r="AA1482" i="2"/>
  <c r="AA1557" i="4"/>
  <c r="AB1560" i="1"/>
  <c r="AB1557" i="5" s="1"/>
  <c r="X1760" i="2"/>
  <c r="Z1858" i="1"/>
  <c r="Z1760" i="2" s="1"/>
  <c r="AA1231" i="2"/>
  <c r="AA1294" i="4"/>
  <c r="AB1295" i="1"/>
  <c r="AB1294" i="5" s="1"/>
  <c r="AA929" i="2"/>
  <c r="AA971" i="4"/>
  <c r="AB972" i="1"/>
  <c r="AB971" i="5" s="1"/>
  <c r="AB302" i="2"/>
  <c r="AB315" i="4"/>
  <c r="AA1945" i="4"/>
  <c r="AB1949" i="1"/>
  <c r="AA310" i="2"/>
  <c r="AA323" i="4"/>
  <c r="AB324" i="1"/>
  <c r="AB323" i="5" s="1"/>
  <c r="AA2802" i="1"/>
  <c r="AA2070" i="4"/>
  <c r="AB2074" i="1"/>
  <c r="Z2009" i="1"/>
  <c r="X2015" i="1"/>
  <c r="AA2624" i="4"/>
  <c r="AB2632" i="1"/>
  <c r="W652" i="2"/>
  <c r="W680" i="4"/>
  <c r="W691" i="1"/>
  <c r="M586" i="4"/>
  <c r="AA585" i="1"/>
  <c r="AA586" i="5" s="1"/>
  <c r="W81" i="2"/>
  <c r="W85" i="4"/>
  <c r="AB411" i="2"/>
  <c r="AB429" i="4"/>
  <c r="AB219" i="2"/>
  <c r="AB230" i="4"/>
  <c r="W121" i="2"/>
  <c r="W128" i="4"/>
  <c r="AA313" i="2"/>
  <c r="AA326" i="4"/>
  <c r="AB327" i="1"/>
  <c r="AB326" i="5" s="1"/>
  <c r="Q215" i="2"/>
  <c r="Q224" i="4"/>
  <c r="R224" i="1"/>
  <c r="R224" i="5" s="1"/>
  <c r="V101" i="2"/>
  <c r="V2672" i="2"/>
  <c r="AB351" i="2"/>
  <c r="AB367" i="4"/>
  <c r="AB273" i="2"/>
  <c r="AB285" i="4"/>
  <c r="AA2021" i="2"/>
  <c r="AB1998" i="2"/>
  <c r="AB2021" i="2" s="1"/>
  <c r="AA1567" i="2"/>
  <c r="AA1650" i="4"/>
  <c r="AB1653" i="1"/>
  <c r="AB1650" i="5" s="1"/>
  <c r="AA1643" i="2"/>
  <c r="AA1735" i="4"/>
  <c r="AB1738" i="1"/>
  <c r="AB1735" i="5" s="1"/>
  <c r="AA2478" i="4"/>
  <c r="AB2486" i="1"/>
  <c r="AA1208" i="4"/>
  <c r="AB1209" i="1"/>
  <c r="AA1178" i="4"/>
  <c r="AA1127" i="2"/>
  <c r="AB1179" i="1"/>
  <c r="AB1178" i="5" s="1"/>
  <c r="AA1288" i="2"/>
  <c r="AA1353" i="4"/>
  <c r="AB1354" i="1"/>
  <c r="AB1353" i="5" s="1"/>
  <c r="AA1886" i="4"/>
  <c r="AB1890" i="1"/>
  <c r="AA1781" i="2"/>
  <c r="AA1877" i="4"/>
  <c r="AB1881" i="1"/>
  <c r="AB1877" i="5" s="1"/>
  <c r="AA1755" i="2"/>
  <c r="AA1849" i="4"/>
  <c r="AB1853" i="1"/>
  <c r="AB1849" i="5" s="1"/>
  <c r="AB1661" i="2"/>
  <c r="AB1752" i="4"/>
  <c r="Z1522" i="2"/>
  <c r="Z1600" i="4"/>
  <c r="AA1377" i="2"/>
  <c r="AA1448" i="4"/>
  <c r="AB1449" i="1"/>
  <c r="AB1448" i="5" s="1"/>
  <c r="W1316" i="2"/>
  <c r="W1385" i="4"/>
  <c r="W1625" i="2"/>
  <c r="W1717" i="4"/>
  <c r="W1587" i="2"/>
  <c r="W2655" i="2" s="1"/>
  <c r="W1676" i="4"/>
  <c r="W1549" i="2"/>
  <c r="W1630" i="4"/>
  <c r="Z1546" i="2"/>
  <c r="Z1627" i="4"/>
  <c r="W1528" i="2"/>
  <c r="W1606" i="4"/>
  <c r="Z1524" i="2"/>
  <c r="Z1602" i="4"/>
  <c r="AB1479" i="2"/>
  <c r="AB1554" i="4"/>
  <c r="W1388" i="2"/>
  <c r="W1460" i="4"/>
  <c r="W1340" i="2"/>
  <c r="W1410" i="4"/>
  <c r="AA699" i="2"/>
  <c r="AA729" i="4"/>
  <c r="AB729" i="1"/>
  <c r="AB729" i="5" s="1"/>
  <c r="AA581" i="2"/>
  <c r="AA605" i="4"/>
  <c r="AB604" i="1"/>
  <c r="AB605" i="5" s="1"/>
  <c r="AA2745" i="4"/>
  <c r="AB2753" i="1"/>
  <c r="AA2712" i="4"/>
  <c r="AB2720" i="1"/>
  <c r="M2697" i="4"/>
  <c r="AA2705" i="1"/>
  <c r="AA2697" i="5" s="1"/>
  <c r="AA2704" i="5" s="1"/>
  <c r="M2712" i="1"/>
  <c r="AA2692" i="4"/>
  <c r="AB2700" i="1"/>
  <c r="AA2653" i="4"/>
  <c r="AB2661" i="1"/>
  <c r="M2605" i="4"/>
  <c r="AA2613" i="1"/>
  <c r="AA2605" i="5" s="1"/>
  <c r="AA1518" i="2"/>
  <c r="AA1596" i="4"/>
  <c r="AA1621" i="1"/>
  <c r="AB1599" i="1"/>
  <c r="AB1596" i="5" s="1"/>
  <c r="AA1965" i="4"/>
  <c r="AB1969" i="1"/>
  <c r="W1368" i="2"/>
  <c r="W1439" i="4"/>
  <c r="AA2736" i="4"/>
  <c r="AB2744" i="1"/>
  <c r="M1798" i="2"/>
  <c r="M1897" i="4"/>
  <c r="AA1901" i="1"/>
  <c r="AA1897" i="5" s="1"/>
  <c r="AA1718" i="2"/>
  <c r="AA1810" i="4"/>
  <c r="AB1814" i="1"/>
  <c r="AB1810" i="5" s="1"/>
  <c r="W1409" i="2"/>
  <c r="W1485" i="4"/>
  <c r="Z2614" i="1"/>
  <c r="X2606" i="4"/>
  <c r="W1407" i="2"/>
  <c r="W1483" i="4"/>
  <c r="AA2322" i="4"/>
  <c r="AB2328" i="1"/>
  <c r="AA2207" i="4"/>
  <c r="AB2211" i="1"/>
  <c r="AA1197" i="2"/>
  <c r="AA1256" i="4"/>
  <c r="AB1257" i="1"/>
  <c r="AB1256" i="5" s="1"/>
  <c r="W976" i="2"/>
  <c r="W1021" i="4"/>
  <c r="W799" i="2"/>
  <c r="W833" i="4"/>
  <c r="AA2509" i="4"/>
  <c r="AB2517" i="1"/>
  <c r="AA2504" i="4"/>
  <c r="AB2512" i="1"/>
  <c r="AA2494" i="4"/>
  <c r="AB2502" i="1"/>
  <c r="AA1838" i="4"/>
  <c r="AB1842" i="1"/>
  <c r="W1707" i="4"/>
  <c r="W1615" i="2"/>
  <c r="AB1496" i="2"/>
  <c r="AB1572" i="4"/>
  <c r="Z1374" i="2"/>
  <c r="W1254" i="2"/>
  <c r="W1317" i="4"/>
  <c r="AA1183" i="2"/>
  <c r="AA1242" i="4"/>
  <c r="AB1243" i="1"/>
  <c r="AB1242" i="5" s="1"/>
  <c r="AA1121" i="2"/>
  <c r="AA1172" i="4"/>
  <c r="AB1173" i="1"/>
  <c r="AB1172" i="5" s="1"/>
  <c r="AA1295" i="4"/>
  <c r="AA1232" i="2"/>
  <c r="AB1296" i="1"/>
  <c r="AB1295" i="5" s="1"/>
  <c r="U1118" i="2"/>
  <c r="U1135" i="2" s="1"/>
  <c r="U1169" i="4"/>
  <c r="U1188" i="4" s="1"/>
  <c r="AA1170" i="1"/>
  <c r="AA1169" i="5" s="1"/>
  <c r="AA1188" i="5" s="1"/>
  <c r="U1188" i="1"/>
  <c r="W998" i="2"/>
  <c r="W1043" i="4"/>
  <c r="AB866" i="2"/>
  <c r="AB906" i="4"/>
  <c r="X534" i="2"/>
  <c r="X537" i="2" s="1"/>
  <c r="Z554" i="1"/>
  <c r="Z534" i="2" s="1"/>
  <c r="X557" i="1"/>
  <c r="Z492" i="2"/>
  <c r="Z502" i="2" s="1"/>
  <c r="Z523" i="1"/>
  <c r="AA1209" i="4"/>
  <c r="AB1210" i="1"/>
  <c r="AB936" i="2"/>
  <c r="AB978" i="4"/>
  <c r="M823" i="2"/>
  <c r="M858" i="4"/>
  <c r="AA858" i="1"/>
  <c r="X781" i="2"/>
  <c r="Z815" i="1"/>
  <c r="Z781" i="2" s="1"/>
  <c r="AA288" i="2"/>
  <c r="AA300" i="4"/>
  <c r="AB301" i="1"/>
  <c r="AB300" i="5" s="1"/>
  <c r="AA2459" i="4"/>
  <c r="AB2467" i="1"/>
  <c r="Z815" i="2"/>
  <c r="AA408" i="2"/>
  <c r="AA426" i="4"/>
  <c r="AB427" i="1"/>
  <c r="AB426" i="5" s="1"/>
  <c r="AA447" i="1"/>
  <c r="AA235" i="2"/>
  <c r="AA245" i="4"/>
  <c r="AB246" i="1"/>
  <c r="AB245" i="5" s="1"/>
  <c r="AB132" i="2"/>
  <c r="AB139" i="4"/>
  <c r="AA40" i="4"/>
  <c r="AB40" i="1"/>
  <c r="W13" i="2"/>
  <c r="W13" i="4"/>
  <c r="AB32" i="2"/>
  <c r="AB33" i="4"/>
  <c r="Z357" i="2"/>
  <c r="AA279" i="2"/>
  <c r="AA291" i="4"/>
  <c r="AB292" i="1"/>
  <c r="AB291" i="5" s="1"/>
  <c r="Z243" i="2"/>
  <c r="Z253" i="4"/>
  <c r="AB212" i="2"/>
  <c r="AB221" i="4"/>
  <c r="X294" i="2"/>
  <c r="Z307" i="1"/>
  <c r="Z294" i="2" s="1"/>
  <c r="Z29" i="2"/>
  <c r="Z30" i="4"/>
  <c r="AB135" i="2"/>
  <c r="AB142" i="4"/>
  <c r="AA2621" i="4"/>
  <c r="AB2629" i="1"/>
  <c r="AA1237" i="2"/>
  <c r="AA1300" i="4"/>
  <c r="AB1301" i="1"/>
  <c r="AB1300" i="5" s="1"/>
  <c r="Z1975" i="4"/>
  <c r="AB1753" i="2"/>
  <c r="AB1847" i="4"/>
  <c r="AA1717" i="2"/>
  <c r="AA1809" i="4"/>
  <c r="AB1813" i="1"/>
  <c r="AB1809" i="5" s="1"/>
  <c r="AB1686" i="2"/>
  <c r="AB1777" i="4"/>
  <c r="J1360" i="2"/>
  <c r="J1431" i="4"/>
  <c r="AB45" i="2"/>
  <c r="AB49" i="4"/>
  <c r="AB27" i="2"/>
  <c r="AB28" i="4"/>
  <c r="AB259" i="2"/>
  <c r="AB270" i="4"/>
  <c r="AA190" i="2"/>
  <c r="AA198" i="4"/>
  <c r="AB198" i="1"/>
  <c r="AB198" i="5" s="1"/>
  <c r="M1592" i="4"/>
  <c r="AA208" i="1"/>
  <c r="M2862" i="1"/>
  <c r="U1420" i="2"/>
  <c r="V844" i="4"/>
  <c r="Q823" i="4"/>
  <c r="Q1784" i="4"/>
  <c r="M158" i="2"/>
  <c r="Q1214" i="4"/>
  <c r="V2704" i="4"/>
  <c r="M224" i="2"/>
  <c r="V1709" i="4"/>
  <c r="W637" i="1"/>
  <c r="M280" i="4"/>
  <c r="AA2144" i="4"/>
  <c r="AB2148" i="1"/>
  <c r="W1287" i="2"/>
  <c r="W1352" i="4"/>
  <c r="AA2358" i="4"/>
  <c r="AB2364" i="1"/>
  <c r="AA1762" i="2"/>
  <c r="AA1856" i="4"/>
  <c r="AB1860" i="1"/>
  <c r="AB1856" i="5" s="1"/>
  <c r="AA1507" i="2"/>
  <c r="AA1583" i="4"/>
  <c r="AB1586" i="1"/>
  <c r="AB1583" i="5" s="1"/>
  <c r="AA1499" i="2"/>
  <c r="AA1575" i="4"/>
  <c r="AB1578" i="1"/>
  <c r="AB1575" i="5" s="1"/>
  <c r="AA1405" i="2"/>
  <c r="AA1481" i="4"/>
  <c r="AB1482" i="1"/>
  <c r="AB1481" i="5" s="1"/>
  <c r="AA1731" i="2"/>
  <c r="AA1823" i="4"/>
  <c r="AB1827" i="1"/>
  <c r="AB1823" i="5" s="1"/>
  <c r="W773" i="2"/>
  <c r="W807" i="4"/>
  <c r="W473" i="2"/>
  <c r="W493" i="4"/>
  <c r="V2541" i="4"/>
  <c r="V2841" i="1"/>
  <c r="V2573" i="1"/>
  <c r="W2549" i="1"/>
  <c r="W2541" i="5" s="1"/>
  <c r="AA1228" i="2"/>
  <c r="AA1291" i="4"/>
  <c r="AB1292" i="1"/>
  <c r="AB1291" i="5" s="1"/>
  <c r="AA1991" i="4"/>
  <c r="AB1995" i="1"/>
  <c r="AA188" i="2"/>
  <c r="AA196" i="4"/>
  <c r="AB196" i="1"/>
  <c r="AB196" i="5" s="1"/>
  <c r="AA2100" i="4"/>
  <c r="AB2104" i="1"/>
  <c r="AB888" i="2"/>
  <c r="AB931" i="4"/>
  <c r="AB108" i="2"/>
  <c r="AB114" i="4"/>
  <c r="W611" i="2"/>
  <c r="W636" i="4"/>
  <c r="AA607" i="2"/>
  <c r="AA632" i="4"/>
  <c r="AB631" i="1"/>
  <c r="AB632" i="5" s="1"/>
  <c r="W170" i="2"/>
  <c r="W178" i="4"/>
  <c r="M688" i="2"/>
  <c r="M718" i="4"/>
  <c r="AA718" i="1"/>
  <c r="AA718" i="5" s="1"/>
  <c r="M743" i="1"/>
  <c r="AB52" i="2"/>
  <c r="AB56" i="4"/>
  <c r="AA1789" i="2"/>
  <c r="AA1885" i="4"/>
  <c r="AB1889" i="1"/>
  <c r="AB1885" i="5" s="1"/>
  <c r="AA1734" i="2"/>
  <c r="AA1826" i="4"/>
  <c r="AB1830" i="1"/>
  <c r="AB1826" i="5" s="1"/>
  <c r="M1680" i="2"/>
  <c r="M1693" i="2" s="1"/>
  <c r="M1771" i="4"/>
  <c r="M1784" i="4" s="1"/>
  <c r="AA1775" i="1"/>
  <c r="AA1771" i="5" s="1"/>
  <c r="AA1784" i="5" s="1"/>
  <c r="M1788" i="1"/>
  <c r="W495" i="2"/>
  <c r="W515" i="4"/>
  <c r="AA559" i="2"/>
  <c r="AA580" i="4"/>
  <c r="AB579" i="1"/>
  <c r="AB580" i="5" s="1"/>
  <c r="W933" i="2"/>
  <c r="W975" i="4"/>
  <c r="M2268" i="4"/>
  <c r="AA2272" i="1"/>
  <c r="AA2268" i="5" s="1"/>
  <c r="AA2292" i="5" s="1"/>
  <c r="AA2054" i="4"/>
  <c r="AB2058" i="1"/>
  <c r="AA1979" i="4"/>
  <c r="AB1983" i="1"/>
  <c r="W2595" i="4"/>
  <c r="W2825" i="1"/>
  <c r="W594" i="2"/>
  <c r="W618" i="4"/>
  <c r="J278" i="2"/>
  <c r="J290" i="4"/>
  <c r="J313" i="1"/>
  <c r="AA138" i="2"/>
  <c r="AA145" i="4"/>
  <c r="AB145" i="1"/>
  <c r="AB145" i="5" s="1"/>
  <c r="W79" i="2"/>
  <c r="W2618" i="2" s="1"/>
  <c r="W83" i="4"/>
  <c r="W2783" i="1"/>
  <c r="AA309" i="2"/>
  <c r="AA322" i="4"/>
  <c r="AB323" i="1"/>
  <c r="AB322" i="5" s="1"/>
  <c r="W746" i="2"/>
  <c r="W779" i="4"/>
  <c r="AB1888" i="2"/>
  <c r="AA1904" i="2"/>
  <c r="AA2460" i="4"/>
  <c r="AB2468" i="1"/>
  <c r="AA1266" i="2"/>
  <c r="AA1329" i="4"/>
  <c r="AB1330" i="1"/>
  <c r="AB1329" i="5" s="1"/>
  <c r="AA2326" i="4"/>
  <c r="AB2332" i="1"/>
  <c r="AA2713" i="4"/>
  <c r="AB2721" i="1"/>
  <c r="AA1928" i="4"/>
  <c r="AB1932" i="1"/>
  <c r="AA849" i="2"/>
  <c r="AA888" i="4"/>
  <c r="AB888" i="1"/>
  <c r="AB888" i="5" s="1"/>
  <c r="AA2130" i="4"/>
  <c r="AB2134" i="1"/>
  <c r="W1384" i="2"/>
  <c r="W1455" i="4"/>
  <c r="AB2828" i="1"/>
  <c r="W2616" i="4"/>
  <c r="W2643" i="1"/>
  <c r="X1759" i="2"/>
  <c r="Z1857" i="1"/>
  <c r="Z1759" i="2" s="1"/>
  <c r="X1869" i="1"/>
  <c r="Z1640" i="2"/>
  <c r="Z1732" i="4"/>
  <c r="Z1635" i="2"/>
  <c r="Z1727" i="4"/>
  <c r="X1571" i="2"/>
  <c r="X1573" i="2" s="1"/>
  <c r="Z1660" i="1"/>
  <c r="Z1657" i="5" s="1"/>
  <c r="Z1659" i="5" s="1"/>
  <c r="AB1542" i="2"/>
  <c r="AB1623" i="4"/>
  <c r="W1286" i="2"/>
  <c r="W1351" i="4"/>
  <c r="Z1178" i="2"/>
  <c r="Z1232" i="4"/>
  <c r="AA1010" i="2"/>
  <c r="AA1055" i="4"/>
  <c r="AB1056" i="1"/>
  <c r="AB1055" i="5" s="1"/>
  <c r="AB1561" i="2"/>
  <c r="AB1644" i="4"/>
  <c r="AA1684" i="2"/>
  <c r="AA1775" i="4"/>
  <c r="AB1779" i="1"/>
  <c r="AB1775" i="5" s="1"/>
  <c r="AA851" i="2"/>
  <c r="AA891" i="4"/>
  <c r="AB891" i="1"/>
  <c r="AB891" i="5" s="1"/>
  <c r="AA1738" i="2"/>
  <c r="AA1830" i="4"/>
  <c r="AB1834" i="1"/>
  <c r="AB1830" i="5" s="1"/>
  <c r="V2653" i="2"/>
  <c r="V1589" i="2"/>
  <c r="AA1475" i="2"/>
  <c r="AA1550" i="4"/>
  <c r="AB1553" i="1"/>
  <c r="AB1550" i="5" s="1"/>
  <c r="AA1571" i="1"/>
  <c r="AA1236" i="4"/>
  <c r="AB1237" i="1"/>
  <c r="W1089" i="2"/>
  <c r="W1139" i="4"/>
  <c r="AA752" i="2"/>
  <c r="AA785" i="4"/>
  <c r="AB785" i="1"/>
  <c r="AB785" i="5" s="1"/>
  <c r="Z1595" i="2"/>
  <c r="Z1684" i="4"/>
  <c r="W1456" i="2"/>
  <c r="W1533" i="4"/>
  <c r="AA2441" i="4"/>
  <c r="AB2447" i="1"/>
  <c r="AB2413" i="4"/>
  <c r="X1292" i="2"/>
  <c r="Z1358" i="1"/>
  <c r="Z1292" i="2" s="1"/>
  <c r="X1376" i="1"/>
  <c r="X1154" i="2"/>
  <c r="X1206" i="4"/>
  <c r="Z1207" i="1"/>
  <c r="Z1206" i="5" s="1"/>
  <c r="W1128" i="2"/>
  <c r="W1179" i="4"/>
  <c r="AA907" i="2"/>
  <c r="AA950" i="4"/>
  <c r="AB950" i="1"/>
  <c r="AB950" i="5" s="1"/>
  <c r="W521" i="2"/>
  <c r="W540" i="4"/>
  <c r="AB1744" i="2"/>
  <c r="AB1836" i="4"/>
  <c r="AB1521" i="2"/>
  <c r="AB1599" i="4"/>
  <c r="X1322" i="2"/>
  <c r="Z1392" i="1"/>
  <c r="Z1322" i="2" s="1"/>
  <c r="W147" i="2"/>
  <c r="W154" i="4"/>
  <c r="AA1339" i="2"/>
  <c r="AA1409" i="4"/>
  <c r="AB1410" i="1"/>
  <c r="AB1409" i="5" s="1"/>
  <c r="W1082" i="2"/>
  <c r="W1132" i="4"/>
  <c r="W1114" i="4"/>
  <c r="W1065" i="2"/>
  <c r="W794" i="2"/>
  <c r="W828" i="4"/>
  <c r="M762" i="2"/>
  <c r="M768" i="2" s="1"/>
  <c r="M795" i="4"/>
  <c r="M802" i="4" s="1"/>
  <c r="AA795" i="1"/>
  <c r="AA795" i="5" s="1"/>
  <c r="AA802" i="5" s="1"/>
  <c r="M802" i="1"/>
  <c r="W557" i="2"/>
  <c r="W578" i="4"/>
  <c r="AA2062" i="4"/>
  <c r="AB2066" i="1"/>
  <c r="AB2062" i="5" s="1"/>
  <c r="AA2083" i="1"/>
  <c r="AA1977" i="4"/>
  <c r="AB1981" i="1"/>
  <c r="Z1931" i="1"/>
  <c r="Z1955" i="1" s="1"/>
  <c r="X1955" i="1"/>
  <c r="W1203" i="2"/>
  <c r="W1262" i="4"/>
  <c r="AA1155" i="2"/>
  <c r="AA1207" i="4"/>
  <c r="AB1208" i="1"/>
  <c r="AB1207" i="5" s="1"/>
  <c r="AA757" i="2"/>
  <c r="AA790" i="4"/>
  <c r="AB790" i="1"/>
  <c r="AB790" i="5" s="1"/>
  <c r="X595" i="2"/>
  <c r="X600" i="2" s="1"/>
  <c r="Z618" i="1"/>
  <c r="Z595" i="2" s="1"/>
  <c r="Z600" i="2" s="1"/>
  <c r="X624" i="1"/>
  <c r="W547" i="2"/>
  <c r="W568" i="4"/>
  <c r="W499" i="2"/>
  <c r="W519" i="4"/>
  <c r="AB423" i="2"/>
  <c r="AB443" i="4"/>
  <c r="Q197" i="2"/>
  <c r="Q206" i="4"/>
  <c r="R206" i="1"/>
  <c r="R206" i="5" s="1"/>
  <c r="AA1074" i="2"/>
  <c r="AA1123" i="4"/>
  <c r="AB1124" i="1"/>
  <c r="AB1123" i="5" s="1"/>
  <c r="W996" i="2"/>
  <c r="W1041" i="4"/>
  <c r="W992" i="2"/>
  <c r="W1037" i="4"/>
  <c r="AA869" i="2"/>
  <c r="AA909" i="4"/>
  <c r="AB909" i="1"/>
  <c r="AB909" i="5" s="1"/>
  <c r="W841" i="2"/>
  <c r="W880" i="4"/>
  <c r="W806" i="2"/>
  <c r="W841" i="4"/>
  <c r="AA623" i="2"/>
  <c r="AA651" i="4"/>
  <c r="AB651" i="1"/>
  <c r="AB651" i="5" s="1"/>
  <c r="W512" i="2"/>
  <c r="W532" i="4"/>
  <c r="AA2623" i="4"/>
  <c r="AB2631" i="1"/>
  <c r="AB2814" i="1"/>
  <c r="V2722" i="4"/>
  <c r="V2728" i="4" s="1"/>
  <c r="W2730" i="1"/>
  <c r="V2736" i="1"/>
  <c r="AA2212" i="4"/>
  <c r="AB2216" i="1"/>
  <c r="AB1522" i="2"/>
  <c r="AB1600" i="4"/>
  <c r="Z1286" i="2"/>
  <c r="W1199" i="2"/>
  <c r="W1258" i="4"/>
  <c r="W840" i="2"/>
  <c r="W879" i="4"/>
  <c r="J2385" i="4"/>
  <c r="J2410" i="4" s="1"/>
  <c r="J2416" i="1"/>
  <c r="AB2176" i="4"/>
  <c r="AA1335" i="2"/>
  <c r="AA1405" i="4"/>
  <c r="AB1406" i="1"/>
  <c r="AB1405" i="5" s="1"/>
  <c r="AA1293" i="2"/>
  <c r="AA1358" i="4"/>
  <c r="AB1359" i="1"/>
  <c r="AB1358" i="5" s="1"/>
  <c r="W1197" i="2"/>
  <c r="W1256" i="4"/>
  <c r="W765" i="2"/>
  <c r="W799" i="4"/>
  <c r="J2304" i="4"/>
  <c r="J2313" i="4" s="1"/>
  <c r="J2319" i="1"/>
  <c r="W890" i="2"/>
  <c r="W933" i="4"/>
  <c r="J820" i="2"/>
  <c r="J855" i="4"/>
  <c r="J872" i="1"/>
  <c r="AA2646" i="4"/>
  <c r="AB2654" i="1"/>
  <c r="AA2586" i="4"/>
  <c r="AB2594" i="1"/>
  <c r="AA2558" i="4"/>
  <c r="AB2566" i="1"/>
  <c r="AA2546" i="4"/>
  <c r="AB2554" i="1"/>
  <c r="Z2351" i="1"/>
  <c r="Z2372" i="1" s="1"/>
  <c r="X2372" i="1"/>
  <c r="M2336" i="4"/>
  <c r="AA2342" i="1"/>
  <c r="AA2336" i="5" s="1"/>
  <c r="M2306" i="4"/>
  <c r="AA2312" i="1"/>
  <c r="AA2306" i="5" s="1"/>
  <c r="AA2283" i="4"/>
  <c r="AB2287" i="1"/>
  <c r="AA2190" i="4"/>
  <c r="AB2194" i="1"/>
  <c r="Z2150" i="1"/>
  <c r="Z2177" i="1" s="1"/>
  <c r="X2177" i="1"/>
  <c r="M2135" i="4"/>
  <c r="AA2139" i="1"/>
  <c r="AA2135" i="5" s="1"/>
  <c r="M2121" i="4"/>
  <c r="AA2125" i="1"/>
  <c r="AA2121" i="5" s="1"/>
  <c r="M2142" i="1"/>
  <c r="AA2068" i="4"/>
  <c r="AB2072" i="1"/>
  <c r="AA1982" i="4"/>
  <c r="AB1986" i="1"/>
  <c r="Z1183" i="2"/>
  <c r="Z1242" i="4"/>
  <c r="W1050" i="2"/>
  <c r="W1098" i="4"/>
  <c r="W1042" i="2"/>
  <c r="W1090" i="4"/>
  <c r="W1107" i="1"/>
  <c r="Z1041" i="2"/>
  <c r="AA753" i="2"/>
  <c r="AA786" i="4"/>
  <c r="AB786" i="1"/>
  <c r="AB786" i="5" s="1"/>
  <c r="W721" i="2"/>
  <c r="W752" i="4"/>
  <c r="AA654" i="2"/>
  <c r="AA682" i="4"/>
  <c r="AB682" i="1"/>
  <c r="AB682" i="5" s="1"/>
  <c r="Z623" i="2"/>
  <c r="Z651" i="4"/>
  <c r="AA512" i="2"/>
  <c r="AA532" i="4"/>
  <c r="AB533" i="1"/>
  <c r="AB532" i="5" s="1"/>
  <c r="X2543" i="1"/>
  <c r="Z2526" i="1"/>
  <c r="Z2543" i="1" s="1"/>
  <c r="AA871" i="2"/>
  <c r="AA911" i="4"/>
  <c r="AB911" i="1"/>
  <c r="AB911" i="5" s="1"/>
  <c r="AB761" i="2"/>
  <c r="AB794" i="4"/>
  <c r="W1283" i="2"/>
  <c r="W1348" i="4"/>
  <c r="W1264" i="2"/>
  <c r="W1327" i="4"/>
  <c r="W1236" i="2"/>
  <c r="W1299" i="4"/>
  <c r="X1224" i="2"/>
  <c r="X1310" i="1"/>
  <c r="Z1288" i="1"/>
  <c r="AA1212" i="2"/>
  <c r="AA1271" i="4"/>
  <c r="AB1272" i="1"/>
  <c r="AB1271" i="5" s="1"/>
  <c r="W930" i="2"/>
  <c r="W972" i="4"/>
  <c r="AB721" i="2"/>
  <c r="AB752" i="4"/>
  <c r="K189" i="2"/>
  <c r="K197" i="4"/>
  <c r="Q197" i="1"/>
  <c r="Q197" i="5" s="1"/>
  <c r="AA2675" i="4"/>
  <c r="AB2683" i="1"/>
  <c r="AA2643" i="4"/>
  <c r="AB2651" i="1"/>
  <c r="AA2590" i="4"/>
  <c r="AB2598" i="1"/>
  <c r="M2528" i="4"/>
  <c r="AA2536" i="1"/>
  <c r="AA2528" i="5" s="1"/>
  <c r="AA2479" i="4"/>
  <c r="AB2487" i="1"/>
  <c r="X2307" i="4"/>
  <c r="Z2313" i="1"/>
  <c r="AA2284" i="4"/>
  <c r="AB2288" i="1"/>
  <c r="AA2073" i="4"/>
  <c r="AB2077" i="1"/>
  <c r="AA2065" i="4"/>
  <c r="AB2069" i="1"/>
  <c r="Z1155" i="2"/>
  <c r="Z1207" i="4"/>
  <c r="W1100" i="2"/>
  <c r="W1150" i="4"/>
  <c r="AA806" i="2"/>
  <c r="AA841" i="4"/>
  <c r="AB841" i="1"/>
  <c r="AB841" i="5" s="1"/>
  <c r="M776" i="2"/>
  <c r="M810" i="4"/>
  <c r="AA810" i="1"/>
  <c r="AA810" i="5" s="1"/>
  <c r="AA823" i="5" s="1"/>
  <c r="W56" i="2"/>
  <c r="W60" i="4"/>
  <c r="Z18" i="2"/>
  <c r="Z18" i="4"/>
  <c r="X363" i="2"/>
  <c r="Z380" i="1"/>
  <c r="Z363" i="2" s="1"/>
  <c r="AA272" i="2"/>
  <c r="AA284" i="4"/>
  <c r="AB285" i="1"/>
  <c r="AB284" i="5" s="1"/>
  <c r="W168" i="2"/>
  <c r="W176" i="4"/>
  <c r="Z33" i="2"/>
  <c r="Z34" i="4"/>
  <c r="AB330" i="2"/>
  <c r="AB343" i="4"/>
  <c r="AB1163" i="2"/>
  <c r="AB1217" i="4"/>
  <c r="W1013" i="2"/>
  <c r="W1058" i="4"/>
  <c r="AB220" i="2"/>
  <c r="AB231" i="4"/>
  <c r="AA2249" i="4"/>
  <c r="AB2253" i="1"/>
  <c r="AA2224" i="4"/>
  <c r="AB2228" i="1"/>
  <c r="AB2224" i="5" s="1"/>
  <c r="AB1761" i="2"/>
  <c r="AB1855" i="4"/>
  <c r="AA1388" i="2"/>
  <c r="AA1460" i="4"/>
  <c r="AB1461" i="1"/>
  <c r="AB1460" i="5" s="1"/>
  <c r="Z1309" i="2"/>
  <c r="W907" i="2"/>
  <c r="W950" i="4"/>
  <c r="AA2352" i="4"/>
  <c r="AB2358" i="1"/>
  <c r="AB1550" i="2"/>
  <c r="AB1631" i="4"/>
  <c r="AA2378" i="4"/>
  <c r="AB2384" i="1"/>
  <c r="AA2330" i="4"/>
  <c r="AB2336" i="1"/>
  <c r="AA1177" i="2"/>
  <c r="AA1231" i="4"/>
  <c r="AB1232" i="1"/>
  <c r="AB1231" i="5" s="1"/>
  <c r="AB1613" i="2"/>
  <c r="AB1705" i="4"/>
  <c r="AA1309" i="2"/>
  <c r="AA1378" i="4"/>
  <c r="AB1379" i="1"/>
  <c r="AB1378" i="5" s="1"/>
  <c r="W1357" i="4"/>
  <c r="W1292" i="2"/>
  <c r="Z1151" i="2"/>
  <c r="Z1203" i="4"/>
  <c r="W964" i="2"/>
  <c r="W1007" i="4"/>
  <c r="W896" i="2"/>
  <c r="W939" i="4"/>
  <c r="AA1976" i="4"/>
  <c r="AB1980" i="1"/>
  <c r="AA1912" i="4"/>
  <c r="AB1916" i="1"/>
  <c r="X1926" i="1"/>
  <c r="Z1907" i="1"/>
  <c r="Z1926" i="1" s="1"/>
  <c r="AA1240" i="4"/>
  <c r="AB1241" i="1"/>
  <c r="AA1051" i="2"/>
  <c r="AA1099" i="4"/>
  <c r="AB1100" i="1"/>
  <c r="AB1099" i="5" s="1"/>
  <c r="AA1047" i="2"/>
  <c r="AA1095" i="4"/>
  <c r="AB1096" i="1"/>
  <c r="AB1095" i="5" s="1"/>
  <c r="AA1043" i="2"/>
  <c r="AA1091" i="4"/>
  <c r="AB1092" i="1"/>
  <c r="AB1091" i="5" s="1"/>
  <c r="J864" i="2"/>
  <c r="J904" i="4"/>
  <c r="J922" i="1"/>
  <c r="W152" i="2"/>
  <c r="W159" i="4"/>
  <c r="AB2130" i="2"/>
  <c r="AB2137" i="2" s="1"/>
  <c r="AA2137" i="2"/>
  <c r="AA1224" i="4"/>
  <c r="AA1170" i="2"/>
  <c r="AB1225" i="1"/>
  <c r="AB1224" i="5" s="1"/>
  <c r="Z2296" i="1"/>
  <c r="F1543" i="4"/>
  <c r="F2913" i="4" s="1"/>
  <c r="W2829" i="1"/>
  <c r="U1339" i="4"/>
  <c r="Q1281" i="4"/>
  <c r="W844" i="1"/>
  <c r="Z624" i="1"/>
  <c r="U922" i="4"/>
  <c r="U535" i="4"/>
  <c r="M2428" i="4"/>
  <c r="W1700" i="1"/>
  <c r="Q712" i="2"/>
  <c r="M684" i="2"/>
  <c r="U1018" i="2"/>
  <c r="U872" i="4"/>
  <c r="U768" i="2"/>
  <c r="V1244" i="4"/>
  <c r="J2628" i="2"/>
  <c r="H1544" i="1"/>
  <c r="H2910" i="1" s="1"/>
  <c r="U1544" i="1"/>
  <c r="U2910" i="1" s="1"/>
  <c r="U1106" i="4"/>
  <c r="W1345" i="2"/>
  <c r="W1415" i="4"/>
  <c r="AA1947" i="4"/>
  <c r="AB1951" i="1"/>
  <c r="AB2830" i="1"/>
  <c r="M2715" i="4"/>
  <c r="AA2723" i="1"/>
  <c r="AA2715" i="5" s="1"/>
  <c r="AA2728" i="5" s="1"/>
  <c r="M2736" i="1"/>
  <c r="AA2457" i="4"/>
  <c r="AB2465" i="1"/>
  <c r="M1936" i="4"/>
  <c r="AA1940" i="1"/>
  <c r="AA1936" i="5" s="1"/>
  <c r="AB1799" i="4"/>
  <c r="AB1707" i="2"/>
  <c r="AA1368" i="2"/>
  <c r="AA1439" i="4"/>
  <c r="AB1440" i="1"/>
  <c r="AB1439" i="5" s="1"/>
  <c r="AA637" i="2"/>
  <c r="AA665" i="4"/>
  <c r="AB665" i="1"/>
  <c r="AB665" i="5" s="1"/>
  <c r="W2573" i="4"/>
  <c r="AA2388" i="4"/>
  <c r="AB2394" i="1"/>
  <c r="AA2311" i="4"/>
  <c r="AB2317" i="1"/>
  <c r="M1917" i="4"/>
  <c r="AA1921" i="1"/>
  <c r="AA1917" i="5" s="1"/>
  <c r="J1787" i="2"/>
  <c r="J1883" i="4"/>
  <c r="J1903" i="1"/>
  <c r="AA1199" i="2"/>
  <c r="AA1258" i="4"/>
  <c r="AB1259" i="1"/>
  <c r="AB1258" i="5" s="1"/>
  <c r="AB2820" i="1"/>
  <c r="AA2677" i="4"/>
  <c r="AB2685" i="1"/>
  <c r="AA2418" i="4"/>
  <c r="AB2424" i="1"/>
  <c r="AA2000" i="4"/>
  <c r="AB2004" i="1"/>
  <c r="AA1553" i="2"/>
  <c r="AA1635" i="4"/>
  <c r="AB1638" i="1"/>
  <c r="AB1635" i="5" s="1"/>
  <c r="AB2812" i="1"/>
  <c r="AA2465" i="4"/>
  <c r="AB2473" i="1"/>
  <c r="AB1765" i="2"/>
  <c r="AB1859" i="4"/>
  <c r="AA1328" i="2"/>
  <c r="AA1398" i="4"/>
  <c r="AB1399" i="1"/>
  <c r="AB1398" i="5" s="1"/>
  <c r="W826" i="2"/>
  <c r="W861" i="4"/>
  <c r="AB2686" i="4"/>
  <c r="V2639" i="4"/>
  <c r="V2666" i="1"/>
  <c r="V2668" i="1" s="1"/>
  <c r="V2924" i="1" s="1"/>
  <c r="W2647" i="1"/>
  <c r="W2639" i="5" s="1"/>
  <c r="M1342" i="2"/>
  <c r="M1412" i="4"/>
  <c r="AA1413" i="1"/>
  <c r="AA1412" i="5" s="1"/>
  <c r="AA1433" i="5" s="1"/>
  <c r="AB802" i="2"/>
  <c r="AB836" i="4"/>
  <c r="AA55" i="2"/>
  <c r="AA59" i="4"/>
  <c r="AB59" i="1"/>
  <c r="AB59" i="5" s="1"/>
  <c r="AA2625" i="4"/>
  <c r="AB2633" i="1"/>
  <c r="AA2443" i="4"/>
  <c r="AB2449" i="1"/>
  <c r="AA1756" i="2"/>
  <c r="AA1850" i="4"/>
  <c r="AB1854" i="1"/>
  <c r="AB1850" i="5" s="1"/>
  <c r="Z1665" i="2"/>
  <c r="Z1756" i="4"/>
  <c r="W1602" i="2"/>
  <c r="W1694" i="4"/>
  <c r="W1228" i="2"/>
  <c r="W1291" i="4"/>
  <c r="J1180" i="2"/>
  <c r="J1185" i="2" s="1"/>
  <c r="J1234" i="4"/>
  <c r="J1244" i="4" s="1"/>
  <c r="AA1157" i="2"/>
  <c r="AA1211" i="4"/>
  <c r="AB1212" i="1"/>
  <c r="AB1211" i="5" s="1"/>
  <c r="W1017" i="4"/>
  <c r="W972" i="2"/>
  <c r="M2231" i="4"/>
  <c r="AA2235" i="1"/>
  <c r="AA2231" i="5" s="1"/>
  <c r="AA2184" i="4"/>
  <c r="AB2188" i="1"/>
  <c r="AA2180" i="4"/>
  <c r="AB2184" i="1"/>
  <c r="AA2156" i="4"/>
  <c r="AB2160" i="1"/>
  <c r="AA2097" i="4"/>
  <c r="AB2101" i="1"/>
  <c r="AA2052" i="4"/>
  <c r="AB2056" i="1"/>
  <c r="AA2028" i="4"/>
  <c r="AB2032" i="1"/>
  <c r="AA1956" i="4"/>
  <c r="AB1960" i="1"/>
  <c r="AB1552" i="2"/>
  <c r="AB1634" i="4"/>
  <c r="AA1354" i="2"/>
  <c r="AA1424" i="4"/>
  <c r="AB1425" i="1"/>
  <c r="AB1424" i="5" s="1"/>
  <c r="W1413" i="4"/>
  <c r="W1343" i="2"/>
  <c r="AB1362" i="1"/>
  <c r="AA1361" i="4"/>
  <c r="AA1030" i="2"/>
  <c r="AA1077" i="4"/>
  <c r="AB1078" i="1"/>
  <c r="AB1077" i="5" s="1"/>
  <c r="Z932" i="2"/>
  <c r="Z974" i="4"/>
  <c r="AA746" i="2"/>
  <c r="AA779" i="4"/>
  <c r="AB779" i="1"/>
  <c r="AB779" i="5" s="1"/>
  <c r="M650" i="2"/>
  <c r="M678" i="4"/>
  <c r="AA678" i="1"/>
  <c r="AA678" i="5" s="1"/>
  <c r="M691" i="1"/>
  <c r="AA1655" i="2"/>
  <c r="AA1746" i="4"/>
  <c r="AB1750" i="1"/>
  <c r="AB1746" i="5" s="1"/>
  <c r="AA2281" i="4"/>
  <c r="AB2285" i="1"/>
  <c r="AA2098" i="4"/>
  <c r="AB2102" i="1"/>
  <c r="AA1905" i="4"/>
  <c r="AB1909" i="1"/>
  <c r="Z1600" i="2"/>
  <c r="Z1689" i="4"/>
  <c r="Z1563" i="2"/>
  <c r="Z1646" i="4"/>
  <c r="AA1432" i="2"/>
  <c r="AA1509" i="4"/>
  <c r="AB1510" i="1"/>
  <c r="AB1509" i="5" s="1"/>
  <c r="M1353" i="2"/>
  <c r="M1423" i="4"/>
  <c r="AA1424" i="1"/>
  <c r="AA1423" i="5" s="1"/>
  <c r="W1237" i="2"/>
  <c r="W1300" i="4"/>
  <c r="W891" i="2"/>
  <c r="W934" i="4"/>
  <c r="W598" i="2"/>
  <c r="W623" i="4"/>
  <c r="AB2817" i="1"/>
  <c r="AB2369" i="4"/>
  <c r="AA1767" i="2"/>
  <c r="AA1863" i="4"/>
  <c r="AB1867" i="1"/>
  <c r="AB1863" i="5" s="1"/>
  <c r="W1641" i="2"/>
  <c r="W1733" i="4"/>
  <c r="W1621" i="2"/>
  <c r="W1713" i="4"/>
  <c r="Z1586" i="2"/>
  <c r="Z1675" i="4"/>
  <c r="AA1632" i="4"/>
  <c r="AB1635" i="1"/>
  <c r="Z1548" i="2"/>
  <c r="Z1629" i="4"/>
  <c r="W1543" i="2"/>
  <c r="W1624" i="4"/>
  <c r="Z1527" i="2"/>
  <c r="Z1605" i="4"/>
  <c r="AB1506" i="2"/>
  <c r="AB1582" i="4"/>
  <c r="W1383" i="2"/>
  <c r="W1454" i="4"/>
  <c r="J1154" i="2"/>
  <c r="J1206" i="4"/>
  <c r="AA850" i="2"/>
  <c r="AA889" i="4"/>
  <c r="AB889" i="1"/>
  <c r="AB889" i="5" s="1"/>
  <c r="AA779" i="2"/>
  <c r="AA813" i="4"/>
  <c r="AB813" i="1"/>
  <c r="AB813" i="5" s="1"/>
  <c r="AA622" i="2"/>
  <c r="AA650" i="4"/>
  <c r="AB650" i="1"/>
  <c r="AB650" i="5" s="1"/>
  <c r="AA1724" i="2"/>
  <c r="AA1816" i="4"/>
  <c r="AB1820" i="1"/>
  <c r="AB1816" i="5" s="1"/>
  <c r="AB1569" i="2"/>
  <c r="AB1652" i="4"/>
  <c r="W1509" i="2"/>
  <c r="W1585" i="4"/>
  <c r="M1322" i="2"/>
  <c r="M1391" i="4"/>
  <c r="AA1392" i="1"/>
  <c r="AA1391" i="5" s="1"/>
  <c r="W1209" i="2"/>
  <c r="W1268" i="4"/>
  <c r="AA1263" i="2"/>
  <c r="AA1326" i="4"/>
  <c r="AB1327" i="1"/>
  <c r="AB1326" i="5" s="1"/>
  <c r="AA1126" i="2"/>
  <c r="AA1177" i="4"/>
  <c r="AB1178" i="1"/>
  <c r="AB1177" i="5" s="1"/>
  <c r="AA1014" i="2"/>
  <c r="AA1059" i="4"/>
  <c r="AB1060" i="1"/>
  <c r="AB1059" i="5" s="1"/>
  <c r="X762" i="2"/>
  <c r="X768" i="2" s="1"/>
  <c r="Z795" i="1"/>
  <c r="Z762" i="2" s="1"/>
  <c r="W497" i="2"/>
  <c r="W517" i="4"/>
  <c r="W36" i="2"/>
  <c r="W39" i="4"/>
  <c r="W500" i="2"/>
  <c r="W520" i="4"/>
  <c r="W1350" i="4"/>
  <c r="W1285" i="2"/>
  <c r="W1211" i="2"/>
  <c r="W1270" i="4"/>
  <c r="W1085" i="2"/>
  <c r="W1135" i="4"/>
  <c r="AB980" i="2"/>
  <c r="AB1025" i="4"/>
  <c r="AB956" i="2"/>
  <c r="AB999" i="4"/>
  <c r="AA862" i="2"/>
  <c r="AA902" i="4"/>
  <c r="AB902" i="1"/>
  <c r="AB902" i="5" s="1"/>
  <c r="W775" i="2"/>
  <c r="W809" i="4"/>
  <c r="W596" i="2"/>
  <c r="W620" i="4"/>
  <c r="Z414" i="2"/>
  <c r="Z432" i="4"/>
  <c r="AA2851" i="1"/>
  <c r="AA2591" i="4"/>
  <c r="AB2599" i="1"/>
  <c r="AA2552" i="4"/>
  <c r="AB2560" i="1"/>
  <c r="AA2481" i="4"/>
  <c r="AB2489" i="1"/>
  <c r="AA2071" i="4"/>
  <c r="AB2075" i="1"/>
  <c r="M2032" i="4"/>
  <c r="AA2036" i="1"/>
  <c r="AA2032" i="5" s="1"/>
  <c r="M2007" i="4"/>
  <c r="AA2011" i="1"/>
  <c r="AA2007" i="5" s="1"/>
  <c r="AA1184" i="4"/>
  <c r="AB1185" i="1"/>
  <c r="W682" i="2"/>
  <c r="W712" i="4"/>
  <c r="AA1119" i="2"/>
  <c r="AA1170" i="4"/>
  <c r="AB1171" i="1"/>
  <c r="AB1170" i="5" s="1"/>
  <c r="AA814" i="2"/>
  <c r="AA849" i="4"/>
  <c r="AB849" i="1"/>
  <c r="AB849" i="5" s="1"/>
  <c r="W752" i="2"/>
  <c r="W785" i="4"/>
  <c r="AA187" i="2"/>
  <c r="AA195" i="4"/>
  <c r="AB195" i="1"/>
  <c r="AB195" i="5" s="1"/>
  <c r="AA154" i="2"/>
  <c r="AA162" i="4"/>
  <c r="AB162" i="1"/>
  <c r="AB162" i="5" s="1"/>
  <c r="Z14" i="2"/>
  <c r="Z14" i="4"/>
  <c r="W1073" i="2"/>
  <c r="W1122" i="4"/>
  <c r="Z1007" i="2"/>
  <c r="Z1018" i="2" s="1"/>
  <c r="Z1066" i="1"/>
  <c r="W986" i="2"/>
  <c r="W1031" i="4"/>
  <c r="AB828" i="2"/>
  <c r="AB863" i="4"/>
  <c r="AA794" i="2"/>
  <c r="AA828" i="4"/>
  <c r="AB828" i="1"/>
  <c r="AB828" i="5" s="1"/>
  <c r="AA667" i="2"/>
  <c r="AA697" i="4"/>
  <c r="AB697" i="1"/>
  <c r="AB697" i="5" s="1"/>
  <c r="J659" i="2"/>
  <c r="J689" i="4"/>
  <c r="W579" i="2"/>
  <c r="W603" i="4"/>
  <c r="AA2673" i="4"/>
  <c r="AB2681" i="1"/>
  <c r="AA2077" i="4"/>
  <c r="AB2081" i="1"/>
  <c r="AB2845" i="1"/>
  <c r="AB2836" i="1"/>
  <c r="AA2117" i="4"/>
  <c r="AB2121" i="1"/>
  <c r="AA1915" i="4"/>
  <c r="AB1919" i="1"/>
  <c r="AA2399" i="4"/>
  <c r="AB2405" i="1"/>
  <c r="AA2186" i="4"/>
  <c r="AB2190" i="1"/>
  <c r="V982" i="2"/>
  <c r="V988" i="2" s="1"/>
  <c r="V1027" i="4"/>
  <c r="V1033" i="4" s="1"/>
  <c r="W1028" i="1"/>
  <c r="M2288" i="4"/>
  <c r="AA2292" i="1"/>
  <c r="AA2288" i="5" s="1"/>
  <c r="AA867" i="4"/>
  <c r="AB867" i="1"/>
  <c r="AA1998" i="4"/>
  <c r="AB2002" i="1"/>
  <c r="AA1705" i="2"/>
  <c r="AA1796" i="4"/>
  <c r="AB1800" i="1"/>
  <c r="AB1796" i="5" s="1"/>
  <c r="Z2573" i="4"/>
  <c r="AA2532" i="4"/>
  <c r="AB2540" i="1"/>
  <c r="AA2486" i="4"/>
  <c r="AB2494" i="1"/>
  <c r="AA2416" i="4"/>
  <c r="AB2422" i="1"/>
  <c r="AA1793" i="2"/>
  <c r="AA1892" i="4"/>
  <c r="AB1896" i="1"/>
  <c r="AB1892" i="5" s="1"/>
  <c r="AB1659" i="2"/>
  <c r="AB1750" i="4"/>
  <c r="AA1620" i="2"/>
  <c r="AA1712" i="4"/>
  <c r="AB1715" i="1"/>
  <c r="AB1712" i="5" s="1"/>
  <c r="AA1723" i="1"/>
  <c r="W1391" i="2"/>
  <c r="W1463" i="4"/>
  <c r="AB1182" i="2"/>
  <c r="AB1241" i="4"/>
  <c r="AA1083" i="2"/>
  <c r="AA1133" i="4"/>
  <c r="AB1134" i="1"/>
  <c r="AB1133" i="5" s="1"/>
  <c r="AB2826" i="1"/>
  <c r="AA2716" i="4"/>
  <c r="AB2724" i="1"/>
  <c r="AA2522" i="4"/>
  <c r="AB2530" i="1"/>
  <c r="AA2272" i="4"/>
  <c r="AB2276" i="1"/>
  <c r="M2213" i="4"/>
  <c r="AA2217" i="1"/>
  <c r="AA2213" i="5" s="1"/>
  <c r="AB1902" i="4"/>
  <c r="Z1662" i="2"/>
  <c r="Z1753" i="4"/>
  <c r="AA2620" i="4"/>
  <c r="AB2628" i="1"/>
  <c r="AA2232" i="4"/>
  <c r="AB2236" i="1"/>
  <c r="Z2229" i="1"/>
  <c r="Z2247" i="1" s="1"/>
  <c r="X2247" i="1"/>
  <c r="Z1632" i="2"/>
  <c r="Z1724" i="4"/>
  <c r="AA2630" i="4"/>
  <c r="AB2638" i="1"/>
  <c r="V2507" i="4"/>
  <c r="V2515" i="4" s="1"/>
  <c r="W2515" i="1"/>
  <c r="V2523" i="1"/>
  <c r="AA2226" i="4"/>
  <c r="AB2230" i="1"/>
  <c r="AA2001" i="4"/>
  <c r="AB2005" i="1"/>
  <c r="AA1790" i="2"/>
  <c r="AA1889" i="4"/>
  <c r="AB1893" i="1"/>
  <c r="AB1889" i="5" s="1"/>
  <c r="W1290" i="2"/>
  <c r="W1355" i="4"/>
  <c r="Z1147" i="2"/>
  <c r="Z1199" i="4"/>
  <c r="AB1113" i="2"/>
  <c r="AB1164" i="4"/>
  <c r="AA999" i="2"/>
  <c r="AA1044" i="4"/>
  <c r="AB1045" i="1"/>
  <c r="AB1044" i="5" s="1"/>
  <c r="AA2396" i="4"/>
  <c r="AB2402" i="1"/>
  <c r="AA2168" i="4"/>
  <c r="AB2172" i="1"/>
  <c r="AA1594" i="2"/>
  <c r="AA1683" i="4"/>
  <c r="AB1686" i="1"/>
  <c r="AB1683" i="5" s="1"/>
  <c r="AA1456" i="2"/>
  <c r="AA1533" i="4"/>
  <c r="AB1534" i="1"/>
  <c r="AB1533" i="5" s="1"/>
  <c r="AA1407" i="2"/>
  <c r="AA1483" i="4"/>
  <c r="AB1484" i="1"/>
  <c r="AB1483" i="5" s="1"/>
  <c r="M1126" i="4"/>
  <c r="M1129" i="4" s="1"/>
  <c r="AA1127" i="1"/>
  <c r="M1130" i="1"/>
  <c r="W954" i="2"/>
  <c r="W997" i="4"/>
  <c r="AA2403" i="4"/>
  <c r="AB2409" i="1"/>
  <c r="X2416" i="1"/>
  <c r="Z2391" i="1"/>
  <c r="Z2416" i="1" s="1"/>
  <c r="AA2110" i="4"/>
  <c r="AB2114" i="1"/>
  <c r="AA2051" i="4"/>
  <c r="AB2055" i="1"/>
  <c r="AA2047" i="4"/>
  <c r="AB2051" i="1"/>
  <c r="AA2043" i="4"/>
  <c r="AB2047" i="1"/>
  <c r="AA1958" i="4"/>
  <c r="AB1962" i="1"/>
  <c r="AA1740" i="2"/>
  <c r="AA1832" i="4"/>
  <c r="AB1836" i="1"/>
  <c r="AB1832" i="5" s="1"/>
  <c r="Z1674" i="2"/>
  <c r="Z1765" i="4"/>
  <c r="W1534" i="2"/>
  <c r="W1613" i="4"/>
  <c r="AA1509" i="2"/>
  <c r="AA1585" i="4"/>
  <c r="AB1588" i="1"/>
  <c r="AB1585" i="5" s="1"/>
  <c r="AA1501" i="2"/>
  <c r="AA1577" i="4"/>
  <c r="AB1580" i="1"/>
  <c r="AB1577" i="5" s="1"/>
  <c r="AA1484" i="2"/>
  <c r="AA1559" i="4"/>
  <c r="AB1562" i="1"/>
  <c r="AB1559" i="5" s="1"/>
  <c r="M1378" i="2"/>
  <c r="M1449" i="4"/>
  <c r="AA1450" i="1"/>
  <c r="AB485" i="2"/>
  <c r="AB505" i="4"/>
  <c r="M2606" i="4"/>
  <c r="AA2614" i="1"/>
  <c r="AA2606" i="5" s="1"/>
  <c r="Z1567" i="2"/>
  <c r="Z1650" i="4"/>
  <c r="AA2102" i="4"/>
  <c r="AB2106" i="1"/>
  <c r="W1643" i="2"/>
  <c r="W1735" i="4"/>
  <c r="AA1592" i="2"/>
  <c r="AA1681" i="4"/>
  <c r="AB1684" i="1"/>
  <c r="AB1681" i="5" s="1"/>
  <c r="AA1700" i="1"/>
  <c r="W1365" i="2"/>
  <c r="W1436" i="4"/>
  <c r="W1318" i="2"/>
  <c r="W1387" i="4"/>
  <c r="AA1235" i="4"/>
  <c r="AB1236" i="1"/>
  <c r="AB1203" i="4"/>
  <c r="AB1151" i="2"/>
  <c r="AA891" i="2"/>
  <c r="AA934" i="4"/>
  <c r="AB934" i="1"/>
  <c r="AB934" i="5" s="1"/>
  <c r="AB523" i="2"/>
  <c r="AB542" i="4"/>
  <c r="AA2353" i="4"/>
  <c r="AB2359" i="1"/>
  <c r="AA2290" i="4"/>
  <c r="AB2294" i="1"/>
  <c r="AA2107" i="4"/>
  <c r="AB2111" i="1"/>
  <c r="AA2092" i="4"/>
  <c r="AB2096" i="1"/>
  <c r="AA2033" i="4"/>
  <c r="AB2037" i="1"/>
  <c r="W1703" i="4"/>
  <c r="W1611" i="2"/>
  <c r="AB1485" i="2"/>
  <c r="AB1560" i="4"/>
  <c r="AA824" i="2"/>
  <c r="AA859" i="4"/>
  <c r="AB859" i="1"/>
  <c r="AB859" i="5" s="1"/>
  <c r="J1760" i="2"/>
  <c r="J1854" i="4"/>
  <c r="AB1583" i="2"/>
  <c r="AB1669" i="4"/>
  <c r="AA1540" i="2"/>
  <c r="AA1621" i="4"/>
  <c r="AB1624" i="1"/>
  <c r="AB1621" i="5" s="1"/>
  <c r="AA1615" i="4"/>
  <c r="AB1618" i="1"/>
  <c r="W1511" i="2"/>
  <c r="W1587" i="4"/>
  <c r="AA1214" i="2"/>
  <c r="AA1274" i="4"/>
  <c r="AB1275" i="1"/>
  <c r="AB1274" i="5" s="1"/>
  <c r="R180" i="2"/>
  <c r="R188" i="4"/>
  <c r="X1320" i="2"/>
  <c r="Z1390" i="1"/>
  <c r="Z1320" i="2" s="1"/>
  <c r="X1403" i="1"/>
  <c r="W1252" i="2"/>
  <c r="W1315" i="4"/>
  <c r="AA1207" i="2"/>
  <c r="AA1266" i="4"/>
  <c r="AB1267" i="1"/>
  <c r="AB1266" i="5" s="1"/>
  <c r="AA1103" i="4"/>
  <c r="AB1104" i="1"/>
  <c r="W753" i="2"/>
  <c r="W786" i="4"/>
  <c r="AA497" i="2"/>
  <c r="AA517" i="4"/>
  <c r="AB518" i="1"/>
  <c r="AB517" i="5" s="1"/>
  <c r="W105" i="2"/>
  <c r="W111" i="4"/>
  <c r="W1241" i="2"/>
  <c r="W1304" i="4"/>
  <c r="W1301" i="2"/>
  <c r="W1370" i="4"/>
  <c r="AA1262" i="2"/>
  <c r="AA1325" i="4"/>
  <c r="AB1326" i="1"/>
  <c r="AB1325" i="5" s="1"/>
  <c r="W1180" i="2"/>
  <c r="W1234" i="4"/>
  <c r="W1127" i="2"/>
  <c r="W1178" i="4"/>
  <c r="V1118" i="2"/>
  <c r="V1135" i="2" s="1"/>
  <c r="V1169" i="4"/>
  <c r="V1188" i="4" s="1"/>
  <c r="V1188" i="1"/>
  <c r="W1170" i="1"/>
  <c r="W1169" i="5" s="1"/>
  <c r="W1188" i="5" s="1"/>
  <c r="W1118" i="4"/>
  <c r="W1069" i="2"/>
  <c r="Z858" i="2"/>
  <c r="AA821" i="2"/>
  <c r="AA856" i="4"/>
  <c r="AB856" i="1"/>
  <c r="AB856" i="5" s="1"/>
  <c r="M820" i="2"/>
  <c r="M855" i="4"/>
  <c r="AA855" i="1"/>
  <c r="AA855" i="5" s="1"/>
  <c r="M872" i="1"/>
  <c r="M534" i="2"/>
  <c r="M537" i="2" s="1"/>
  <c r="M553" i="4"/>
  <c r="M558" i="4" s="1"/>
  <c r="AA554" i="1"/>
  <c r="AA553" i="5" s="1"/>
  <c r="M557" i="1"/>
  <c r="AA189" i="2"/>
  <c r="AA197" i="4"/>
  <c r="AB197" i="1"/>
  <c r="AB197" i="5" s="1"/>
  <c r="W67" i="2"/>
  <c r="W71" i="4"/>
  <c r="W92" i="1"/>
  <c r="AA2746" i="4"/>
  <c r="AB2754" i="1"/>
  <c r="AA2739" i="4"/>
  <c r="AB2747" i="1"/>
  <c r="AA2693" i="4"/>
  <c r="AB2701" i="1"/>
  <c r="AA2679" i="4"/>
  <c r="AB2687" i="1"/>
  <c r="AA2669" i="4"/>
  <c r="AB2677" i="1"/>
  <c r="AA2064" i="4"/>
  <c r="AB2068" i="1"/>
  <c r="M2034" i="4"/>
  <c r="AA2038" i="1"/>
  <c r="AA2034" i="5" s="1"/>
  <c r="W1116" i="4"/>
  <c r="W1067" i="2"/>
  <c r="W1044" i="2"/>
  <c r="W1092" i="4"/>
  <c r="AA910" i="2"/>
  <c r="AA953" i="4"/>
  <c r="AB953" i="1"/>
  <c r="AB953" i="5" s="1"/>
  <c r="AA703" i="2"/>
  <c r="AA733" i="4"/>
  <c r="AB733" i="1"/>
  <c r="AB733" i="5" s="1"/>
  <c r="W510" i="2"/>
  <c r="W530" i="4"/>
  <c r="Z154" i="2"/>
  <c r="Z162" i="4"/>
  <c r="J2671" i="2"/>
  <c r="AA895" i="2"/>
  <c r="AA938" i="4"/>
  <c r="AB938" i="1"/>
  <c r="AB938" i="5" s="1"/>
  <c r="J781" i="2"/>
  <c r="J815" i="4"/>
  <c r="AB717" i="2"/>
  <c r="AB748" i="4"/>
  <c r="W506" i="2"/>
  <c r="W526" i="4"/>
  <c r="W1288" i="2"/>
  <c r="W1353" i="4"/>
  <c r="AA2587" i="4"/>
  <c r="AB2595" i="1"/>
  <c r="AB1398" i="2"/>
  <c r="AB1474" i="4"/>
  <c r="V2672" i="4"/>
  <c r="W2680" i="1"/>
  <c r="AA1999" i="4"/>
  <c r="AB2003" i="1"/>
  <c r="AA706" i="2"/>
  <c r="AA736" i="4"/>
  <c r="AB736" i="1"/>
  <c r="AB736" i="5" s="1"/>
  <c r="V715" i="2"/>
  <c r="V725" i="2" s="1"/>
  <c r="V746" i="4"/>
  <c r="V756" i="4" s="1"/>
  <c r="V756" i="1"/>
  <c r="W746" i="1"/>
  <c r="W746" i="5" s="1"/>
  <c r="W756" i="5" s="1"/>
  <c r="W592" i="2"/>
  <c r="W616" i="4"/>
  <c r="AA72" i="2"/>
  <c r="AA76" i="4"/>
  <c r="AB76" i="1"/>
  <c r="AB76" i="5" s="1"/>
  <c r="AA92" i="1"/>
  <c r="W75" i="2"/>
  <c r="W79" i="4"/>
  <c r="AA2654" i="4"/>
  <c r="AB2662" i="1"/>
  <c r="AA2393" i="4"/>
  <c r="AB2399" i="1"/>
  <c r="AA2325" i="4"/>
  <c r="AB2331" i="1"/>
  <c r="M2512" i="4"/>
  <c r="AA2520" i="1"/>
  <c r="AA2512" i="5" s="1"/>
  <c r="AA1365" i="2"/>
  <c r="AA1436" i="4"/>
  <c r="AB1437" i="1"/>
  <c r="AB1436" i="5" s="1"/>
  <c r="W2619" i="4"/>
  <c r="W2851" i="1"/>
  <c r="U2019" i="4"/>
  <c r="U2037" i="4" s="1"/>
  <c r="AA2023" i="1"/>
  <c r="AA2019" i="5" s="1"/>
  <c r="AA2037" i="5" s="1"/>
  <c r="AB1762" i="1"/>
  <c r="AA1602" i="2"/>
  <c r="AA1694" i="4"/>
  <c r="AB1697" i="1"/>
  <c r="AB1694" i="5" s="1"/>
  <c r="AA958" i="2"/>
  <c r="AA1001" i="4"/>
  <c r="AB1002" i="1"/>
  <c r="AB1001" i="5" s="1"/>
  <c r="AA787" i="2"/>
  <c r="AA821" i="4"/>
  <c r="AB821" i="1"/>
  <c r="AB821" i="5" s="1"/>
  <c r="AB2811" i="1"/>
  <c r="AA2695" i="4"/>
  <c r="AB2703" i="1"/>
  <c r="W1302" i="2"/>
  <c r="W1371" i="4"/>
  <c r="AB1291" i="2"/>
  <c r="AB1356" i="4"/>
  <c r="AA1284" i="2"/>
  <c r="AA1349" i="4"/>
  <c r="AB1350" i="1"/>
  <c r="AB1349" i="5" s="1"/>
  <c r="AA1167" i="2"/>
  <c r="AA1221" i="4"/>
  <c r="AB1222" i="1"/>
  <c r="AB1221" i="5" s="1"/>
  <c r="W509" i="2"/>
  <c r="W529" i="4"/>
  <c r="W2849" i="1"/>
  <c r="W2707" i="4"/>
  <c r="W2736" i="1"/>
  <c r="AB67" i="2"/>
  <c r="AB71" i="4"/>
  <c r="AA655" i="2"/>
  <c r="AA685" i="4"/>
  <c r="AB685" i="1"/>
  <c r="AB685" i="5" s="1"/>
  <c r="Z610" i="2"/>
  <c r="Z635" i="4"/>
  <c r="M555" i="2"/>
  <c r="M565" i="2" s="1"/>
  <c r="M576" i="4"/>
  <c r="AA575" i="1"/>
  <c r="AA576" i="5" s="1"/>
  <c r="AA589" i="5" s="1"/>
  <c r="M588" i="1"/>
  <c r="AA358" i="2"/>
  <c r="AA374" i="4"/>
  <c r="AB375" i="1"/>
  <c r="AB374" i="5" s="1"/>
  <c r="V688" i="2"/>
  <c r="V718" i="4"/>
  <c r="W718" i="1"/>
  <c r="W718" i="5" s="1"/>
  <c r="W743" i="5" s="1"/>
  <c r="W573" i="2"/>
  <c r="W597" i="4"/>
  <c r="AA456" i="2"/>
  <c r="AA476" i="4"/>
  <c r="AB477" i="1"/>
  <c r="AB476" i="5" s="1"/>
  <c r="W451" i="2"/>
  <c r="W471" i="4"/>
  <c r="AA442" i="2"/>
  <c r="AA462" i="4"/>
  <c r="AB463" i="1"/>
  <c r="AB462" i="5" s="1"/>
  <c r="AA430" i="2"/>
  <c r="AA450" i="4"/>
  <c r="AB451" i="1"/>
  <c r="AB450" i="5" s="1"/>
  <c r="AA316" i="2"/>
  <c r="AA329" i="4"/>
  <c r="AB330" i="1"/>
  <c r="AB329" i="5" s="1"/>
  <c r="AB116" i="2"/>
  <c r="AB122" i="4"/>
  <c r="Z410" i="2"/>
  <c r="Z428" i="4"/>
  <c r="AB239" i="2"/>
  <c r="AB249" i="4"/>
  <c r="Z139" i="2"/>
  <c r="Z146" i="4"/>
  <c r="W52" i="2"/>
  <c r="W56" i="4"/>
  <c r="W47" i="2"/>
  <c r="W51" i="4"/>
  <c r="AA347" i="2"/>
  <c r="AA363" i="4"/>
  <c r="AB364" i="1"/>
  <c r="AB363" i="5" s="1"/>
  <c r="Z233" i="2"/>
  <c r="Z243" i="4"/>
  <c r="Z232" i="2"/>
  <c r="Z242" i="4"/>
  <c r="W164" i="2"/>
  <c r="W172" i="4"/>
  <c r="W138" i="2"/>
  <c r="W145" i="4"/>
  <c r="AB133" i="2"/>
  <c r="AB140" i="4"/>
  <c r="W2619" i="2"/>
  <c r="W2338" i="2"/>
  <c r="W2430" i="2" s="1"/>
  <c r="W2746" i="2" s="1"/>
  <c r="AA1994" i="4"/>
  <c r="AB1998" i="1"/>
  <c r="W1701" i="4"/>
  <c r="W1609" i="2"/>
  <c r="W1712" i="1"/>
  <c r="W2790" i="1" s="1"/>
  <c r="AA2355" i="4"/>
  <c r="AB2361" i="1"/>
  <c r="AB1281" i="2"/>
  <c r="AB1346" i="4"/>
  <c r="AB2141" i="4"/>
  <c r="AB1773" i="2"/>
  <c r="AB1869" i="4"/>
  <c r="Z1761" i="4"/>
  <c r="Z1670" i="2"/>
  <c r="M1428" i="4"/>
  <c r="AA1429" i="1"/>
  <c r="AA1428" i="5" s="1"/>
  <c r="AA1349" i="2"/>
  <c r="AA1419" i="4"/>
  <c r="AB1420" i="1"/>
  <c r="AB1419" i="5" s="1"/>
  <c r="W1227" i="2"/>
  <c r="W1290" i="4"/>
  <c r="AA1189" i="2"/>
  <c r="AA1248" i="4"/>
  <c r="AB1249" i="1"/>
  <c r="AB1248" i="5" s="1"/>
  <c r="W1356" i="2"/>
  <c r="W1426" i="4"/>
  <c r="W1123" i="2"/>
  <c r="W1174" i="4"/>
  <c r="AA2361" i="4"/>
  <c r="AB2367" i="1"/>
  <c r="AA1623" i="2"/>
  <c r="AA1715" i="4"/>
  <c r="AB1718" i="1"/>
  <c r="AB1715" i="5" s="1"/>
  <c r="U2523" i="4"/>
  <c r="U2535" i="4" s="1"/>
  <c r="AA2531" i="1"/>
  <c r="AA2523" i="5" s="1"/>
  <c r="U2543" i="1"/>
  <c r="U2575" i="1" s="1"/>
  <c r="U2922" i="1" s="1"/>
  <c r="AA1887" i="4"/>
  <c r="AB1891" i="1"/>
  <c r="AA2699" i="4"/>
  <c r="AB2707" i="1"/>
  <c r="W2731" i="4"/>
  <c r="M1985" i="4"/>
  <c r="M1987" i="4" s="1"/>
  <c r="AA1989" i="1"/>
  <c r="AA1985" i="5" s="1"/>
  <c r="AA1987" i="5" s="1"/>
  <c r="M1991" i="1"/>
  <c r="AA1392" i="2"/>
  <c r="AA1465" i="4"/>
  <c r="AB1466" i="1"/>
  <c r="AB1465" i="5" s="1"/>
  <c r="AA805" i="2"/>
  <c r="AA840" i="4"/>
  <c r="AB840" i="1"/>
  <c r="AB840" i="5" s="1"/>
  <c r="W55" i="2"/>
  <c r="W59" i="4"/>
  <c r="Z1156" i="2"/>
  <c r="Z1210" i="4"/>
  <c r="W1002" i="2"/>
  <c r="W1047" i="4"/>
  <c r="AA2589" i="4"/>
  <c r="AB2597" i="1"/>
  <c r="M1941" i="4"/>
  <c r="AA1945" i="1"/>
  <c r="AA1941" i="5" s="1"/>
  <c r="AA2177" i="4"/>
  <c r="AB2181" i="1"/>
  <c r="AA1356" i="2"/>
  <c r="AA1426" i="4"/>
  <c r="AB1427" i="1"/>
  <c r="AB1426" i="5" s="1"/>
  <c r="X852" i="2"/>
  <c r="Z892" i="1"/>
  <c r="Z852" i="2" s="1"/>
  <c r="AA2511" i="4"/>
  <c r="AB2519" i="1"/>
  <c r="AA2506" i="4"/>
  <c r="AB2514" i="1"/>
  <c r="AA2128" i="4"/>
  <c r="AB2132" i="1"/>
  <c r="AA1289" i="2"/>
  <c r="AA1354" i="4"/>
  <c r="AB1355" i="1"/>
  <c r="AB1354" i="5" s="1"/>
  <c r="AA1267" i="2"/>
  <c r="AA1330" i="4"/>
  <c r="AB1331" i="1"/>
  <c r="AB1330" i="5" s="1"/>
  <c r="X1257" i="2"/>
  <c r="X1274" i="2" s="1"/>
  <c r="Z1321" i="1"/>
  <c r="Z1257" i="2" s="1"/>
  <c r="AA649" i="4"/>
  <c r="AA621" i="2"/>
  <c r="AB649" i="1"/>
  <c r="AB649" i="5" s="1"/>
  <c r="AA661" i="1"/>
  <c r="X1153" i="2"/>
  <c r="X1205" i="4"/>
  <c r="Z1206" i="1"/>
  <c r="Z1205" i="5" s="1"/>
  <c r="AB959" i="2"/>
  <c r="AB1002" i="4"/>
  <c r="AA930" i="2"/>
  <c r="AA972" i="4"/>
  <c r="AB973" i="1"/>
  <c r="AB972" i="5" s="1"/>
  <c r="AA2711" i="4"/>
  <c r="AB2719" i="1"/>
  <c r="AA2671" i="4"/>
  <c r="AB2679" i="1"/>
  <c r="AA2648" i="4"/>
  <c r="AB2656" i="1"/>
  <c r="AA2640" i="4"/>
  <c r="AB2648" i="1"/>
  <c r="AA2582" i="4"/>
  <c r="AB2590" i="1"/>
  <c r="AA2480" i="4"/>
  <c r="AB2488" i="1"/>
  <c r="M2005" i="4"/>
  <c r="AA2009" i="1"/>
  <c r="AA2005" i="5" s="1"/>
  <c r="AA2011" i="5" s="1"/>
  <c r="W738" i="2"/>
  <c r="W769" i="4"/>
  <c r="AA705" i="2"/>
  <c r="AA735" i="4"/>
  <c r="AB735" i="1"/>
  <c r="AB735" i="5" s="1"/>
  <c r="W496" i="2"/>
  <c r="W516" i="4"/>
  <c r="AB461" i="2"/>
  <c r="AB481" i="4"/>
  <c r="AA370" i="2"/>
  <c r="AA386" i="4"/>
  <c r="AB387" i="1"/>
  <c r="AB386" i="5" s="1"/>
  <c r="M331" i="2"/>
  <c r="M344" i="4"/>
  <c r="AA345" i="1"/>
  <c r="AA344" i="5" s="1"/>
  <c r="AA369" i="5" s="1"/>
  <c r="M370" i="1"/>
  <c r="W73" i="2"/>
  <c r="W77" i="4"/>
  <c r="M61" i="2"/>
  <c r="M64" i="2" s="1"/>
  <c r="M65" i="4"/>
  <c r="M68" i="4" s="1"/>
  <c r="AA65" i="1"/>
  <c r="M68" i="1"/>
  <c r="W678" i="2"/>
  <c r="W708" i="4"/>
  <c r="W606" i="2"/>
  <c r="W2676" i="2" s="1"/>
  <c r="W631" i="4"/>
  <c r="W2852" i="1"/>
  <c r="AB598" i="2"/>
  <c r="AB623" i="4"/>
  <c r="AB513" i="2"/>
  <c r="AB533" i="4"/>
  <c r="AB412" i="2"/>
  <c r="AB430" i="4"/>
  <c r="AA131" i="2"/>
  <c r="AA138" i="4"/>
  <c r="AB138" i="1"/>
  <c r="AB138" i="5" s="1"/>
  <c r="AB149" i="5" s="1"/>
  <c r="AA149" i="1"/>
  <c r="AB473" i="2"/>
  <c r="AB493" i="4"/>
  <c r="W441" i="2"/>
  <c r="W461" i="4"/>
  <c r="W429" i="2"/>
  <c r="W449" i="4"/>
  <c r="W458" i="1"/>
  <c r="AB1011" i="2"/>
  <c r="AB1056" i="4"/>
  <c r="W862" i="2"/>
  <c r="W902" i="4"/>
  <c r="AA266" i="2"/>
  <c r="AA278" i="4"/>
  <c r="AB279" i="1"/>
  <c r="AB278" i="5" s="1"/>
  <c r="W39" i="2"/>
  <c r="W43" i="4"/>
  <c r="AA396" i="2"/>
  <c r="AA414" i="4"/>
  <c r="AB415" i="1"/>
  <c r="AB414" i="5" s="1"/>
  <c r="AA2165" i="4"/>
  <c r="AB2169" i="1"/>
  <c r="AB764" i="2"/>
  <c r="AB797" i="4"/>
  <c r="AA2394" i="4"/>
  <c r="AB2400" i="1"/>
  <c r="Z1578" i="2"/>
  <c r="Z1664" i="4"/>
  <c r="AB2816" i="1"/>
  <c r="AA417" i="2"/>
  <c r="AB436" i="1"/>
  <c r="AB435" i="5" s="1"/>
  <c r="AA435" i="4"/>
  <c r="AB1216" i="2"/>
  <c r="AB1279" i="4"/>
  <c r="AA893" i="2"/>
  <c r="AA936" i="4"/>
  <c r="AB936" i="1"/>
  <c r="AB936" i="5" s="1"/>
  <c r="AA817" i="2"/>
  <c r="AA852" i="4"/>
  <c r="AB852" i="1"/>
  <c r="AB852" i="5" s="1"/>
  <c r="Z1602" i="2"/>
  <c r="Z1694" i="4"/>
  <c r="W1444" i="2"/>
  <c r="W1521" i="4"/>
  <c r="Z1638" i="2"/>
  <c r="Z1730" i="4"/>
  <c r="Z1626" i="2"/>
  <c r="Z1718" i="4"/>
  <c r="AA1543" i="2"/>
  <c r="AA1624" i="4"/>
  <c r="AB1627" i="1"/>
  <c r="AB1624" i="5" s="1"/>
  <c r="AA1525" i="2"/>
  <c r="AA1603" i="4"/>
  <c r="AB1606" i="1"/>
  <c r="AB1603" i="5" s="1"/>
  <c r="W1518" i="2"/>
  <c r="W1596" i="4"/>
  <c r="W1621" i="1"/>
  <c r="AB1508" i="2"/>
  <c r="AB1584" i="4"/>
  <c r="W1357" i="2"/>
  <c r="W1427" i="4"/>
  <c r="AB1413" i="4"/>
  <c r="AB1343" i="2"/>
  <c r="W1167" i="2"/>
  <c r="W1221" i="4"/>
  <c r="V1386" i="2"/>
  <c r="V1395" i="2" s="1"/>
  <c r="V1457" i="4"/>
  <c r="V1471" i="4" s="1"/>
  <c r="W1458" i="1"/>
  <c r="W1457" i="5" s="1"/>
  <c r="AB1229" i="2"/>
  <c r="AB1292" i="4"/>
  <c r="M1198" i="2"/>
  <c r="M1257" i="4"/>
  <c r="AA1258" i="1"/>
  <c r="AA1257" i="5" s="1"/>
  <c r="W621" i="2"/>
  <c r="W649" i="4"/>
  <c r="W661" i="1"/>
  <c r="Z399" i="2"/>
  <c r="Z417" i="4"/>
  <c r="M376" i="2"/>
  <c r="M392" i="4"/>
  <c r="AA393" i="1"/>
  <c r="AA392" i="5" s="1"/>
  <c r="W14" i="2"/>
  <c r="W14" i="4"/>
  <c r="W1021" i="2"/>
  <c r="W1068" i="4"/>
  <c r="W1086" i="1"/>
  <c r="W2545" i="2"/>
  <c r="W2549" i="2" s="1"/>
  <c r="V2549" i="2"/>
  <c r="X715" i="2"/>
  <c r="X725" i="2" s="1"/>
  <c r="Z746" i="1"/>
  <c r="X756" i="1"/>
  <c r="AA691" i="2"/>
  <c r="AA721" i="4"/>
  <c r="AB721" i="1"/>
  <c r="AB721" i="5" s="1"/>
  <c r="AA666" i="2"/>
  <c r="AA696" i="4"/>
  <c r="AB696" i="1"/>
  <c r="AB696" i="5" s="1"/>
  <c r="AA652" i="2"/>
  <c r="AA680" i="4"/>
  <c r="AB680" i="1"/>
  <c r="AB680" i="5" s="1"/>
  <c r="AA643" i="2"/>
  <c r="AA671" i="4"/>
  <c r="AB671" i="1"/>
  <c r="AB671" i="5" s="1"/>
  <c r="AB611" i="2"/>
  <c r="AB636" i="4"/>
  <c r="AA450" i="2"/>
  <c r="AA470" i="4"/>
  <c r="AB471" i="1"/>
  <c r="AB470" i="5" s="1"/>
  <c r="W421" i="2"/>
  <c r="W441" i="4"/>
  <c r="Z135" i="2"/>
  <c r="Z142" i="4"/>
  <c r="AB1112" i="2"/>
  <c r="AB1163" i="4"/>
  <c r="AB1033" i="2"/>
  <c r="AB1081" i="4"/>
  <c r="M242" i="2"/>
  <c r="M250" i="2" s="1"/>
  <c r="M252" i="4"/>
  <c r="M261" i="4" s="1"/>
  <c r="AA253" i="1"/>
  <c r="AA252" i="5" s="1"/>
  <c r="AA261" i="5" s="1"/>
  <c r="R221" i="2"/>
  <c r="R232" i="4"/>
  <c r="I2900" i="1"/>
  <c r="I2929" i="1" s="1"/>
  <c r="I2763" i="1"/>
  <c r="AB69" i="2"/>
  <c r="AB73" i="4"/>
  <c r="AA350" i="2"/>
  <c r="AA366" i="4"/>
  <c r="AB367" i="1"/>
  <c r="AB366" i="5" s="1"/>
  <c r="Z2215" i="2"/>
  <c r="Z2235" i="2" s="1"/>
  <c r="X2235" i="2"/>
  <c r="AA1906" i="4"/>
  <c r="AB1910" i="1"/>
  <c r="AA2670" i="4"/>
  <c r="AB2678" i="1"/>
  <c r="AA1640" i="2"/>
  <c r="AA1732" i="4"/>
  <c r="AB1735" i="1"/>
  <c r="AB1732" i="5" s="1"/>
  <c r="AB2015" i="4"/>
  <c r="W522" i="2"/>
  <c r="W541" i="4"/>
  <c r="Z387" i="2"/>
  <c r="Z405" i="4"/>
  <c r="AB50" i="2"/>
  <c r="AB54" i="4"/>
  <c r="W675" i="2"/>
  <c r="W705" i="4"/>
  <c r="AB241" i="2"/>
  <c r="AB251" i="4"/>
  <c r="Z391" i="2"/>
  <c r="Z409" i="4"/>
  <c r="AA362" i="2"/>
  <c r="AA378" i="4"/>
  <c r="AB379" i="1"/>
  <c r="AB378" i="5" s="1"/>
  <c r="AB262" i="2"/>
  <c r="AB273" i="4"/>
  <c r="W61" i="2"/>
  <c r="W65" i="4"/>
  <c r="AB1871" i="2"/>
  <c r="AB1883" i="2" s="1"/>
  <c r="AA1883" i="2"/>
  <c r="AA1178" i="2"/>
  <c r="AA1232" i="4"/>
  <c r="AB1233" i="1"/>
  <c r="AB1232" i="5" s="1"/>
  <c r="V701" i="2"/>
  <c r="V731" i="4"/>
  <c r="W731" i="1"/>
  <c r="W731" i="5" s="1"/>
  <c r="AA689" i="2"/>
  <c r="AA719" i="4"/>
  <c r="AB719" i="1"/>
  <c r="AB719" i="5" s="1"/>
  <c r="AA670" i="2"/>
  <c r="AA700" i="4"/>
  <c r="AB700" i="1"/>
  <c r="AB700" i="5" s="1"/>
  <c r="AA657" i="2"/>
  <c r="AA687" i="4"/>
  <c r="AB687" i="1"/>
  <c r="AB687" i="5" s="1"/>
  <c r="AA630" i="2"/>
  <c r="AA658" i="4"/>
  <c r="AB658" i="1"/>
  <c r="AB658" i="5" s="1"/>
  <c r="AB398" i="2"/>
  <c r="AB416" i="4"/>
  <c r="Z130" i="2"/>
  <c r="Z137" i="4"/>
  <c r="Z149" i="1"/>
  <c r="Z30" i="2"/>
  <c r="Z31" i="4"/>
  <c r="AB166" i="2"/>
  <c r="AB174" i="4"/>
  <c r="X12" i="4"/>
  <c r="Z12" i="1"/>
  <c r="Z12" i="5" s="1"/>
  <c r="X22" i="1"/>
  <c r="X12" i="2"/>
  <c r="X21" i="2" s="1"/>
  <c r="AA1368" i="4"/>
  <c r="AA1299" i="2"/>
  <c r="AB1369" i="1"/>
  <c r="AB1368" i="5" s="1"/>
  <c r="AA1285" i="2"/>
  <c r="AA1350" i="4"/>
  <c r="AB1351" i="1"/>
  <c r="AB1350" i="5" s="1"/>
  <c r="W805" i="2"/>
  <c r="W840" i="4"/>
  <c r="Z801" i="2"/>
  <c r="AA775" i="2"/>
  <c r="AA809" i="4"/>
  <c r="AB809" i="1"/>
  <c r="AB809" i="5" s="1"/>
  <c r="AA798" i="4"/>
  <c r="AB798" i="1"/>
  <c r="AB624" i="2"/>
  <c r="AB652" i="4"/>
  <c r="X1645" i="2"/>
  <c r="V1720" i="4"/>
  <c r="U1800" i="2"/>
  <c r="Q768" i="2"/>
  <c r="V1697" i="4"/>
  <c r="U1395" i="2"/>
  <c r="U130" i="4"/>
  <c r="M2635" i="4"/>
  <c r="J2372" i="1"/>
  <c r="V1645" i="2"/>
  <c r="J1802" i="4"/>
  <c r="J1767" i="4"/>
  <c r="Q743" i="4"/>
  <c r="Q1246" i="2"/>
  <c r="Q684" i="2"/>
  <c r="U2298" i="1"/>
  <c r="U2918" i="1" s="1"/>
  <c r="Q1693" i="2"/>
  <c r="M714" i="4"/>
  <c r="H2454" i="1"/>
  <c r="H2920" i="1" s="1"/>
  <c r="V1592" i="4"/>
  <c r="X526" i="2"/>
  <c r="M166" i="4"/>
  <c r="U748" i="2"/>
  <c r="J661" i="4"/>
  <c r="V968" i="2"/>
  <c r="M502" i="2"/>
  <c r="E918" i="2"/>
  <c r="E2730" i="2" s="1"/>
  <c r="X1079" i="2"/>
  <c r="Q1728" i="2"/>
  <c r="M1802" i="4"/>
  <c r="M1013" i="4"/>
  <c r="U600" i="2"/>
  <c r="M473" i="4"/>
  <c r="U457" i="4"/>
  <c r="W130" i="1"/>
  <c r="M92" i="4"/>
  <c r="M268" i="2"/>
  <c r="V2511" i="2"/>
  <c r="V2748" i="2" s="1"/>
  <c r="U1737" i="4"/>
  <c r="U1037" i="2"/>
  <c r="U2041" i="1"/>
  <c r="J2167" i="2"/>
  <c r="J2742" i="2" s="1"/>
  <c r="AV2867" i="1"/>
  <c r="W2496" i="1"/>
  <c r="J1820" i="4"/>
  <c r="U2138" i="4"/>
  <c r="H1973" i="1"/>
  <c r="H2914" i="1" s="1"/>
  <c r="M1037" i="2"/>
  <c r="V625" i="4"/>
  <c r="X1728" i="2"/>
  <c r="P615" i="2"/>
  <c r="P2728" i="2" s="1"/>
  <c r="U1185" i="2"/>
  <c r="U526" i="2"/>
  <c r="U1033" i="4"/>
  <c r="M526" i="2"/>
  <c r="Q941" i="4"/>
  <c r="X1115" i="2"/>
  <c r="U208" i="4"/>
  <c r="U68" i="4"/>
  <c r="X1967" i="2"/>
  <c r="U224" i="2"/>
  <c r="Z1824" i="1"/>
  <c r="V714" i="4"/>
  <c r="O2932" i="4"/>
  <c r="V1320" i="2"/>
  <c r="V1389" i="4"/>
  <c r="W1390" i="1"/>
  <c r="W1389" i="5" s="1"/>
  <c r="W1402" i="5" s="1"/>
  <c r="AA628" i="2"/>
  <c r="AA656" i="4"/>
  <c r="AB656" i="1"/>
  <c r="AB656" i="5" s="1"/>
  <c r="AB2842" i="1"/>
  <c r="AA2204" i="4"/>
  <c r="AB2208" i="1"/>
  <c r="Z1610" i="2"/>
  <c r="Z1702" i="4"/>
  <c r="Z1623" i="2"/>
  <c r="Z1715" i="4"/>
  <c r="AA1512" i="2"/>
  <c r="AA1590" i="4"/>
  <c r="AB1593" i="1"/>
  <c r="AB1590" i="5" s="1"/>
  <c r="W1086" i="2"/>
  <c r="W1136" i="4"/>
  <c r="M1883" i="4"/>
  <c r="M1787" i="2"/>
  <c r="AA1887" i="1"/>
  <c r="AA1883" i="5" s="1"/>
  <c r="J1759" i="2"/>
  <c r="J1853" i="4"/>
  <c r="AB1475" i="4"/>
  <c r="AB1399" i="2"/>
  <c r="AA1107" i="2"/>
  <c r="AA1157" i="4"/>
  <c r="AB1158" i="1"/>
  <c r="AB1157" i="5" s="1"/>
  <c r="AB1532" i="2"/>
  <c r="AB1610" i="4"/>
  <c r="AA1632" i="2"/>
  <c r="AA1724" i="4"/>
  <c r="AB1727" i="1"/>
  <c r="AB1724" i="5" s="1"/>
  <c r="AA1319" i="2"/>
  <c r="AA1388" i="4"/>
  <c r="AB1389" i="1"/>
  <c r="AB1388" i="5" s="1"/>
  <c r="AB2788" i="1"/>
  <c r="U2639" i="4"/>
  <c r="U2658" i="4" s="1"/>
  <c r="U2666" i="1"/>
  <c r="U2668" i="1" s="1"/>
  <c r="U2924" i="1" s="1"/>
  <c r="AA2647" i="1"/>
  <c r="AA2639" i="5" s="1"/>
  <c r="AA2576" i="4"/>
  <c r="AB2584" i="1"/>
  <c r="AA2153" i="4"/>
  <c r="AB2157" i="1"/>
  <c r="AA2126" i="4"/>
  <c r="AB2130" i="1"/>
  <c r="AA1940" i="4"/>
  <c r="AB1944" i="1"/>
  <c r="Z1639" i="2"/>
  <c r="Z1731" i="4"/>
  <c r="AA1447" i="2"/>
  <c r="AA1524" i="4"/>
  <c r="AB1525" i="1"/>
  <c r="AB1524" i="5" s="1"/>
  <c r="AA1371" i="2"/>
  <c r="AA1442" i="4"/>
  <c r="AB1443" i="1"/>
  <c r="AB1442" i="5" s="1"/>
  <c r="X1342" i="2"/>
  <c r="Z1413" i="1"/>
  <c r="Z1342" i="2" s="1"/>
  <c r="W999" i="2"/>
  <c r="W1044" i="4"/>
  <c r="AB457" i="2"/>
  <c r="AB477" i="4"/>
  <c r="AB2731" i="4"/>
  <c r="W1577" i="2"/>
  <c r="W1663" i="4"/>
  <c r="W1681" i="1"/>
  <c r="AA1464" i="4"/>
  <c r="AB1465" i="1"/>
  <c r="W1342" i="2"/>
  <c r="W1412" i="4"/>
  <c r="X1180" i="2"/>
  <c r="X1185" i="2" s="1"/>
  <c r="Z1235" i="1"/>
  <c r="Z1234" i="5" s="1"/>
  <c r="X1245" i="1"/>
  <c r="W1149" i="2"/>
  <c r="W1201" i="4"/>
  <c r="W687" i="2"/>
  <c r="W717" i="4"/>
  <c r="AA675" i="2"/>
  <c r="AA705" i="4"/>
  <c r="AB705" i="1"/>
  <c r="AB705" i="5" s="1"/>
  <c r="AA2391" i="4"/>
  <c r="AB2397" i="1"/>
  <c r="Z1532" i="2"/>
  <c r="Z1610" i="4"/>
  <c r="AA1511" i="2"/>
  <c r="AA1587" i="4"/>
  <c r="AB1590" i="1"/>
  <c r="AB1587" i="5" s="1"/>
  <c r="AA1402" i="2"/>
  <c r="AA1478" i="4"/>
  <c r="AB1479" i="1"/>
  <c r="AB1478" i="5" s="1"/>
  <c r="AA1420" i="4"/>
  <c r="AA1350" i="2"/>
  <c r="AB1421" i="1"/>
  <c r="AB1420" i="5" s="1"/>
  <c r="W1288" i="4"/>
  <c r="W1225" i="2"/>
  <c r="Z1225" i="4"/>
  <c r="Z1171" i="2"/>
  <c r="AA983" i="2"/>
  <c r="AA1028" i="4"/>
  <c r="AB1029" i="1"/>
  <c r="AB1028" i="5" s="1"/>
  <c r="M939" i="2"/>
  <c r="M941" i="2" s="1"/>
  <c r="M943" i="2" s="1"/>
  <c r="M982" i="4"/>
  <c r="M984" i="4" s="1"/>
  <c r="M986" i="4" s="1"/>
  <c r="AA983" i="1"/>
  <c r="AA982" i="5" s="1"/>
  <c r="AA680" i="2"/>
  <c r="AA710" i="4"/>
  <c r="AB710" i="1"/>
  <c r="AB710" i="5" s="1"/>
  <c r="J650" i="2"/>
  <c r="J678" i="4"/>
  <c r="AA649" i="2"/>
  <c r="AA677" i="4"/>
  <c r="AB677" i="1"/>
  <c r="AB677" i="5" s="1"/>
  <c r="Z1562" i="2"/>
  <c r="Z1645" i="4"/>
  <c r="AA2435" i="4"/>
  <c r="AB2441" i="1"/>
  <c r="AA1713" i="2"/>
  <c r="AA1805" i="4"/>
  <c r="AA1824" i="1"/>
  <c r="AB1809" i="1"/>
  <c r="AB1805" i="5" s="1"/>
  <c r="W1593" i="2"/>
  <c r="W1682" i="4"/>
  <c r="V1353" i="2"/>
  <c r="V1423" i="4"/>
  <c r="W1424" i="1"/>
  <c r="W1423" i="5" s="1"/>
  <c r="AB1168" i="2"/>
  <c r="AB1222" i="4"/>
  <c r="AA585" i="4"/>
  <c r="AB584" i="1"/>
  <c r="W2640" i="4"/>
  <c r="AA2414" i="4"/>
  <c r="AB2420" i="1"/>
  <c r="AA2324" i="4"/>
  <c r="AB2330" i="1"/>
  <c r="AA2282" i="4"/>
  <c r="AB2286" i="1"/>
  <c r="AA2251" i="4"/>
  <c r="AB2255" i="1"/>
  <c r="AA2208" i="4"/>
  <c r="AB2212" i="1"/>
  <c r="AA2155" i="4"/>
  <c r="AB2159" i="1"/>
  <c r="M2131" i="4"/>
  <c r="AA2135" i="1"/>
  <c r="AA2131" i="5" s="1"/>
  <c r="AA1715" i="2"/>
  <c r="AA1807" i="4"/>
  <c r="AB1811" i="1"/>
  <c r="AB1807" i="5" s="1"/>
  <c r="W1637" i="2"/>
  <c r="W1729" i="4"/>
  <c r="Z1612" i="2"/>
  <c r="Z1704" i="4"/>
  <c r="W1626" i="4"/>
  <c r="W1545" i="2"/>
  <c r="Z1529" i="2"/>
  <c r="Z1607" i="4"/>
  <c r="W1523" i="2"/>
  <c r="W1601" i="4"/>
  <c r="AB1498" i="2"/>
  <c r="AB1574" i="4"/>
  <c r="AA1375" i="2"/>
  <c r="AA1446" i="4"/>
  <c r="AB1447" i="1"/>
  <c r="AB1446" i="5" s="1"/>
  <c r="M1292" i="2"/>
  <c r="M1357" i="4"/>
  <c r="AA1358" i="1"/>
  <c r="AA1357" i="5" s="1"/>
  <c r="AA1165" i="2"/>
  <c r="AA1219" i="4"/>
  <c r="AB1220" i="1"/>
  <c r="AB1219" i="5" s="1"/>
  <c r="W824" i="2"/>
  <c r="W859" i="4"/>
  <c r="Z664" i="2"/>
  <c r="Z684" i="2" s="1"/>
  <c r="Z714" i="1"/>
  <c r="AA2238" i="4"/>
  <c r="AB2242" i="1"/>
  <c r="AA2057" i="4"/>
  <c r="AB2061" i="1"/>
  <c r="M2006" i="4"/>
  <c r="AA2010" i="1"/>
  <c r="AA2006" i="5" s="1"/>
  <c r="AA1582" i="2"/>
  <c r="AA1668" i="4"/>
  <c r="AB1671" i="1"/>
  <c r="AB1668" i="5" s="1"/>
  <c r="W1501" i="2"/>
  <c r="W1577" i="4"/>
  <c r="V1322" i="2"/>
  <c r="V1391" i="4"/>
  <c r="W1392" i="1"/>
  <c r="W1391" i="5" s="1"/>
  <c r="AB1173" i="2"/>
  <c r="AB1227" i="4"/>
  <c r="AA1243" i="2"/>
  <c r="AA1306" i="4"/>
  <c r="AB1307" i="1"/>
  <c r="AB1306" i="5" s="1"/>
  <c r="W1177" i="2"/>
  <c r="W1231" i="4"/>
  <c r="W1110" i="2"/>
  <c r="W1160" i="4"/>
  <c r="AA495" i="2"/>
  <c r="AA515" i="4"/>
  <c r="AB516" i="1"/>
  <c r="AB515" i="5" s="1"/>
  <c r="AA1396" i="4"/>
  <c r="AB1397" i="1"/>
  <c r="AB1278" i="2"/>
  <c r="AB1343" i="4"/>
  <c r="W978" i="2"/>
  <c r="W1023" i="4"/>
  <c r="J867" i="2"/>
  <c r="J907" i="4"/>
  <c r="AB838" i="2"/>
  <c r="AB877" i="4"/>
  <c r="W545" i="2"/>
  <c r="W566" i="4"/>
  <c r="W569" i="1"/>
  <c r="AA2717" i="4"/>
  <c r="AB2725" i="1"/>
  <c r="AA2708" i="4"/>
  <c r="AB2716" i="1"/>
  <c r="AA2688" i="4"/>
  <c r="AB2696" i="1"/>
  <c r="AA2617" i="4"/>
  <c r="AB2625" i="1"/>
  <c r="M2055" i="4"/>
  <c r="M2059" i="4" s="1"/>
  <c r="AA2059" i="1"/>
  <c r="AA2055" i="5" s="1"/>
  <c r="M2063" i="1"/>
  <c r="AA1981" i="4"/>
  <c r="AB1985" i="1"/>
  <c r="AA1946" i="4"/>
  <c r="AB1950" i="1"/>
  <c r="M1927" i="4"/>
  <c r="AA1931" i="1"/>
  <c r="AA1927" i="5" s="1"/>
  <c r="AA1951" i="5" s="1"/>
  <c r="W1266" i="2"/>
  <c r="W1329" i="4"/>
  <c r="AB720" i="2"/>
  <c r="AB751" i="4"/>
  <c r="AA679" i="2"/>
  <c r="AA709" i="4"/>
  <c r="AB709" i="1"/>
  <c r="AB709" i="5" s="1"/>
  <c r="AA580" i="2"/>
  <c r="AA604" i="4"/>
  <c r="AB603" i="1"/>
  <c r="AB604" i="5" s="1"/>
  <c r="AA606" i="1"/>
  <c r="AB173" i="2"/>
  <c r="AB181" i="4"/>
  <c r="W1087" i="2"/>
  <c r="W1137" i="4"/>
  <c r="W1072" i="2"/>
  <c r="W1121" i="4"/>
  <c r="Z951" i="2"/>
  <c r="Z968" i="2" s="1"/>
  <c r="Z1014" i="1"/>
  <c r="AA822" i="2"/>
  <c r="AA857" i="4"/>
  <c r="AB857" i="1"/>
  <c r="AB857" i="5" s="1"/>
  <c r="AA780" i="2"/>
  <c r="AA814" i="4"/>
  <c r="AB814" i="1"/>
  <c r="AB814" i="5" s="1"/>
  <c r="W702" i="2"/>
  <c r="W732" i="4"/>
  <c r="AA665" i="2"/>
  <c r="AA695" i="4"/>
  <c r="AB695" i="1"/>
  <c r="AB695" i="5" s="1"/>
  <c r="X659" i="2"/>
  <c r="Z689" i="1"/>
  <c r="Z659" i="2" s="1"/>
  <c r="AB639" i="2"/>
  <c r="AB667" i="4"/>
  <c r="W493" i="2"/>
  <c r="W513" i="4"/>
  <c r="V2649" i="4"/>
  <c r="W2657" i="1"/>
  <c r="AA1745" i="4"/>
  <c r="AA1654" i="2"/>
  <c r="AA1762" i="1"/>
  <c r="AB1749" i="1"/>
  <c r="AB1745" i="5" s="1"/>
  <c r="AA2022" i="4"/>
  <c r="AB2026" i="1"/>
  <c r="AA1122" i="2"/>
  <c r="AA1173" i="4"/>
  <c r="AB1174" i="1"/>
  <c r="AB1173" i="5" s="1"/>
  <c r="AA2544" i="4"/>
  <c r="AB2552" i="1"/>
  <c r="AA2119" i="4"/>
  <c r="AB2123" i="1"/>
  <c r="AA2813" i="1"/>
  <c r="AA2732" i="4"/>
  <c r="AB2740" i="1"/>
  <c r="AA1723" i="2"/>
  <c r="AA1815" i="4"/>
  <c r="AB1819" i="1"/>
  <c r="AB1815" i="5" s="1"/>
  <c r="W1623" i="2"/>
  <c r="W1715" i="4"/>
  <c r="W1339" i="2"/>
  <c r="W1409" i="4"/>
  <c r="W1635" i="2"/>
  <c r="W1727" i="4"/>
  <c r="W1382" i="2"/>
  <c r="W1453" i="4"/>
  <c r="W1131" i="2"/>
  <c r="W1182" i="4"/>
  <c r="Z1553" i="2"/>
  <c r="Z1635" i="4"/>
  <c r="AA1387" i="2"/>
  <c r="AA1458" i="4"/>
  <c r="AB1459" i="1"/>
  <c r="AB1458" i="5" s="1"/>
  <c r="W1023" i="2"/>
  <c r="W1070" i="4"/>
  <c r="J2225" i="4"/>
  <c r="J2243" i="4" s="1"/>
  <c r="J2247" i="1"/>
  <c r="AA2109" i="4"/>
  <c r="AB2113" i="1"/>
  <c r="AA2815" i="1"/>
  <c r="Z2622" i="4"/>
  <c r="AY2867" i="1"/>
  <c r="Z2515" i="1"/>
  <c r="Z2523" i="1" s="1"/>
  <c r="X2523" i="1"/>
  <c r="M2217" i="4"/>
  <c r="AA2221" i="1"/>
  <c r="AA2217" i="5" s="1"/>
  <c r="AA1408" i="2"/>
  <c r="AA1484" i="4"/>
  <c r="AB1485" i="1"/>
  <c r="AB1484" i="5" s="1"/>
  <c r="AB1272" i="2"/>
  <c r="AB1337" i="4"/>
  <c r="AA2553" i="4"/>
  <c r="AB2561" i="1"/>
  <c r="W1640" i="2"/>
  <c r="W1732" i="4"/>
  <c r="W2015" i="4"/>
  <c r="AA1939" i="4"/>
  <c r="AB1943" i="1"/>
  <c r="J1798" i="2"/>
  <c r="J1897" i="4"/>
  <c r="AA1691" i="4"/>
  <c r="AB1694" i="1"/>
  <c r="AA1598" i="2"/>
  <c r="AA1687" i="4"/>
  <c r="AB1690" i="1"/>
  <c r="AB1687" i="5" s="1"/>
  <c r="W1581" i="2"/>
  <c r="W1667" i="4"/>
  <c r="W1372" i="2"/>
  <c r="W1443" i="4"/>
  <c r="AA1341" i="2"/>
  <c r="AA1411" i="4"/>
  <c r="AB1412" i="1"/>
  <c r="AB1411" i="5" s="1"/>
  <c r="W552" i="2"/>
  <c r="W573" i="4"/>
  <c r="M2360" i="4"/>
  <c r="AA2366" i="1"/>
  <c r="AA2360" i="5" s="1"/>
  <c r="AA2346" i="4"/>
  <c r="AB2352" i="1"/>
  <c r="AA2321" i="4"/>
  <c r="AB2327" i="1"/>
  <c r="AB2321" i="5" s="1"/>
  <c r="AA1783" i="2"/>
  <c r="AA1879" i="4"/>
  <c r="AB1883" i="1"/>
  <c r="AB1879" i="5" s="1"/>
  <c r="AA1861" i="4"/>
  <c r="AB1865" i="1"/>
  <c r="M1736" i="2"/>
  <c r="M1749" i="2" s="1"/>
  <c r="M1828" i="4"/>
  <c r="M1843" i="4" s="1"/>
  <c r="AA1832" i="1"/>
  <c r="AA1828" i="5" s="1"/>
  <c r="Z1580" i="2"/>
  <c r="Z1666" i="4"/>
  <c r="AY2865" i="1"/>
  <c r="Z1566" i="2"/>
  <c r="Z1649" i="4"/>
  <c r="W1560" i="2"/>
  <c r="W1643" i="4"/>
  <c r="W1609" i="4"/>
  <c r="W1531" i="2"/>
  <c r="Z1511" i="2"/>
  <c r="Z1587" i="4"/>
  <c r="AA1503" i="2"/>
  <c r="AA1579" i="4"/>
  <c r="AB1582" i="1"/>
  <c r="AB1579" i="5" s="1"/>
  <c r="AA1495" i="2"/>
  <c r="AA1571" i="4"/>
  <c r="AB1574" i="1"/>
  <c r="AB1571" i="5" s="1"/>
  <c r="AA1595" i="1"/>
  <c r="W1566" i="4"/>
  <c r="W1490" i="2"/>
  <c r="AA1486" i="2"/>
  <c r="AA1561" i="4"/>
  <c r="AB1564" i="1"/>
  <c r="AB1561" i="5" s="1"/>
  <c r="AA1478" i="2"/>
  <c r="AA1553" i="4"/>
  <c r="AB1556" i="1"/>
  <c r="AB1553" i="5" s="1"/>
  <c r="AA1210" i="2"/>
  <c r="AA1269" i="4"/>
  <c r="AB1270" i="1"/>
  <c r="AB1269" i="5" s="1"/>
  <c r="AA1171" i="2"/>
  <c r="AA1225" i="4"/>
  <c r="AB1226" i="1"/>
  <c r="AB1225" i="5" s="1"/>
  <c r="AA932" i="2"/>
  <c r="AA974" i="4"/>
  <c r="AB975" i="1"/>
  <c r="AB974" i="5" s="1"/>
  <c r="W889" i="2"/>
  <c r="W932" i="4"/>
  <c r="V2606" i="4"/>
  <c r="W2614" i="1"/>
  <c r="W2606" i="5" s="1"/>
  <c r="V2830" i="1"/>
  <c r="AB1609" i="2"/>
  <c r="AB1701" i="4"/>
  <c r="Z1582" i="2"/>
  <c r="Z1668" i="4"/>
  <c r="AA1444" i="2"/>
  <c r="AA1521" i="4"/>
  <c r="AB1522" i="1"/>
  <c r="AB1521" i="5" s="1"/>
  <c r="W1309" i="2"/>
  <c r="W1378" i="4"/>
  <c r="W1403" i="1"/>
  <c r="AA1202" i="4"/>
  <c r="AB1203" i="1"/>
  <c r="AA478" i="2"/>
  <c r="AA498" i="4"/>
  <c r="AB499" i="1"/>
  <c r="AB498" i="5" s="1"/>
  <c r="M2722" i="4"/>
  <c r="AA2730" i="1"/>
  <c r="AA2722" i="5" s="1"/>
  <c r="W2491" i="4"/>
  <c r="W2499" i="4" s="1"/>
  <c r="W2507" i="1"/>
  <c r="Z1752" i="2"/>
  <c r="AB1739" i="2"/>
  <c r="AB1831" i="4"/>
  <c r="M1585" i="2"/>
  <c r="M1589" i="2" s="1"/>
  <c r="M1672" i="4"/>
  <c r="M1678" i="4" s="1"/>
  <c r="AA1675" i="1"/>
  <c r="AA1672" i="5" s="1"/>
  <c r="AA1678" i="5" s="1"/>
  <c r="AB1477" i="2"/>
  <c r="AB1552" i="4"/>
  <c r="AA1323" i="2"/>
  <c r="AA1392" i="4"/>
  <c r="AB1393" i="1"/>
  <c r="AB1392" i="5" s="1"/>
  <c r="Z977" i="4"/>
  <c r="Z935" i="2"/>
  <c r="AA664" i="2"/>
  <c r="AA694" i="4"/>
  <c r="AA714" i="1"/>
  <c r="AB694" i="1"/>
  <c r="AB694" i="5" s="1"/>
  <c r="M2304" i="4"/>
  <c r="AA2310" i="1"/>
  <c r="AA2304" i="5" s="1"/>
  <c r="AA2313" i="5" s="1"/>
  <c r="M2319" i="1"/>
  <c r="M2152" i="4"/>
  <c r="AA2156" i="1"/>
  <c r="AA2152" i="5" s="1"/>
  <c r="AB1579" i="2"/>
  <c r="AB1665" i="4"/>
  <c r="W1503" i="2"/>
  <c r="W1579" i="4"/>
  <c r="W1495" i="2"/>
  <c r="W1571" i="4"/>
  <c r="W1595" i="1"/>
  <c r="W2786" i="1" s="1"/>
  <c r="AB1175" i="2"/>
  <c r="AB1229" i="4"/>
  <c r="Z540" i="2"/>
  <c r="Z542" i="2" s="1"/>
  <c r="Z562" i="1"/>
  <c r="AA156" i="2"/>
  <c r="AA164" i="4"/>
  <c r="AB164" i="1"/>
  <c r="AB164" i="5" s="1"/>
  <c r="J1389" i="4"/>
  <c r="J1320" i="2"/>
  <c r="J1403" i="1"/>
  <c r="W1319" i="2"/>
  <c r="W1388" i="4"/>
  <c r="AA1287" i="2"/>
  <c r="AA1352" i="4"/>
  <c r="AB1353" i="1"/>
  <c r="AB1352" i="5" s="1"/>
  <c r="W1231" i="2"/>
  <c r="W1294" i="4"/>
  <c r="AA1132" i="2"/>
  <c r="AA1183" i="4"/>
  <c r="AB1184" i="1"/>
  <c r="AB1183" i="5" s="1"/>
  <c r="Z926" i="2"/>
  <c r="Z968" i="4"/>
  <c r="W801" i="2"/>
  <c r="W835" i="4"/>
  <c r="AA759" i="2"/>
  <c r="AA792" i="4"/>
  <c r="AB792" i="1"/>
  <c r="AB792" i="5" s="1"/>
  <c r="W740" i="2"/>
  <c r="W771" i="4"/>
  <c r="AA671" i="2"/>
  <c r="AA701" i="4"/>
  <c r="AB701" i="1"/>
  <c r="AB701" i="5" s="1"/>
  <c r="Z36" i="2"/>
  <c r="Z39" i="4"/>
  <c r="W1192" i="2"/>
  <c r="W1251" i="4"/>
  <c r="W1299" i="2"/>
  <c r="W1368" i="4"/>
  <c r="AA1172" i="2"/>
  <c r="AA1226" i="4"/>
  <c r="AB1227" i="1"/>
  <c r="AB1226" i="5" s="1"/>
  <c r="W1122" i="2"/>
  <c r="W1173" i="4"/>
  <c r="W952" i="2"/>
  <c r="W995" i="4"/>
  <c r="X820" i="2"/>
  <c r="Z855" i="1"/>
  <c r="Z820" i="2" s="1"/>
  <c r="AA751" i="2"/>
  <c r="AA784" i="4"/>
  <c r="AB784" i="1"/>
  <c r="AB784" i="5" s="1"/>
  <c r="AA802" i="1"/>
  <c r="AA556" i="2"/>
  <c r="AA577" i="4"/>
  <c r="AB576" i="1"/>
  <c r="AB577" i="5" s="1"/>
  <c r="V534" i="2"/>
  <c r="V537" i="2" s="1"/>
  <c r="V553" i="4"/>
  <c r="V558" i="4" s="1"/>
  <c r="V557" i="1"/>
  <c r="W554" i="1"/>
  <c r="Q185" i="2"/>
  <c r="Q193" i="4"/>
  <c r="R193" i="1"/>
  <c r="R193" i="5" s="1"/>
  <c r="W559" i="2"/>
  <c r="W580" i="4"/>
  <c r="AA2665" i="4"/>
  <c r="AB2673" i="1"/>
  <c r="AB2665" i="5" s="1"/>
  <c r="AA2642" i="4"/>
  <c r="AB2650" i="1"/>
  <c r="AA2562" i="4"/>
  <c r="AB2570" i="1"/>
  <c r="AA2549" i="4"/>
  <c r="AB2557" i="1"/>
  <c r="M2527" i="4"/>
  <c r="AA2535" i="1"/>
  <c r="AA2527" i="5" s="1"/>
  <c r="X2306" i="4"/>
  <c r="Z2312" i="1"/>
  <c r="M2146" i="4"/>
  <c r="AA2150" i="1"/>
  <c r="AA2146" i="5" s="1"/>
  <c r="M2177" i="1"/>
  <c r="AA2072" i="4"/>
  <c r="AB2076" i="1"/>
  <c r="M2027" i="4"/>
  <c r="AA2031" i="1"/>
  <c r="AA2027" i="5" s="1"/>
  <c r="AA1978" i="4"/>
  <c r="AB1982" i="1"/>
  <c r="W1260" i="2"/>
  <c r="W1323" i="4"/>
  <c r="W1171" i="2"/>
  <c r="W1225" i="4"/>
  <c r="W1111" i="4"/>
  <c r="W1062" i="2"/>
  <c r="W1046" i="2"/>
  <c r="W1094" i="4"/>
  <c r="W1035" i="2"/>
  <c r="W1083" i="4"/>
  <c r="AA745" i="2"/>
  <c r="AA778" i="4"/>
  <c r="AB778" i="1"/>
  <c r="AB778" i="5" s="1"/>
  <c r="AA681" i="2"/>
  <c r="AA711" i="4"/>
  <c r="AB711" i="1"/>
  <c r="AB711" i="5" s="1"/>
  <c r="AA499" i="2"/>
  <c r="AA519" i="4"/>
  <c r="AB520" i="1"/>
  <c r="AB519" i="5" s="1"/>
  <c r="K187" i="2"/>
  <c r="K195" i="4"/>
  <c r="Q195" i="1"/>
  <c r="Q195" i="5" s="1"/>
  <c r="AA984" i="2"/>
  <c r="AA1029" i="4"/>
  <c r="AB1030" i="1"/>
  <c r="AB1029" i="5" s="1"/>
  <c r="M982" i="2"/>
  <c r="M988" i="2" s="1"/>
  <c r="M1027" i="4"/>
  <c r="M1033" i="4" s="1"/>
  <c r="AA1028" i="1"/>
  <c r="M1034" i="1"/>
  <c r="AA886" i="2"/>
  <c r="AA929" i="4"/>
  <c r="AB929" i="1"/>
  <c r="AB929" i="5" s="1"/>
  <c r="X823" i="2"/>
  <c r="Z858" i="1"/>
  <c r="Z823" i="2" s="1"/>
  <c r="M781" i="2"/>
  <c r="M815" i="4"/>
  <c r="AA815" i="1"/>
  <c r="AA815" i="5" s="1"/>
  <c r="W757" i="2"/>
  <c r="W790" i="4"/>
  <c r="W694" i="2"/>
  <c r="W724" i="4"/>
  <c r="AA2143" i="4"/>
  <c r="AB2147" i="1"/>
  <c r="AA2652" i="4"/>
  <c r="AB2660" i="1"/>
  <c r="AA1373" i="2"/>
  <c r="AA1444" i="4"/>
  <c r="AB1445" i="1"/>
  <c r="AB1444" i="5" s="1"/>
  <c r="W561" i="2"/>
  <c r="W582" i="4"/>
  <c r="AA1023" i="2"/>
  <c r="AA1070" i="4"/>
  <c r="AB1071" i="1"/>
  <c r="AB1070" i="5" s="1"/>
  <c r="AA1086" i="1"/>
  <c r="Z260" i="2"/>
  <c r="Z271" i="4"/>
  <c r="Z2750" i="2"/>
  <c r="AB1860" i="2"/>
  <c r="S2724" i="2"/>
  <c r="S2597" i="2"/>
  <c r="X1554" i="2"/>
  <c r="X1556" i="2" s="1"/>
  <c r="Z1640" i="1"/>
  <c r="X1642" i="1"/>
  <c r="AB1022" i="2"/>
  <c r="AB1069" i="4"/>
  <c r="J1459" i="2"/>
  <c r="J1464" i="2" s="1"/>
  <c r="J1536" i="4"/>
  <c r="J1541" i="4" s="1"/>
  <c r="AA1409" i="2"/>
  <c r="AA1485" i="4"/>
  <c r="AB1486" i="1"/>
  <c r="AB1485" i="5" s="1"/>
  <c r="AA1697" i="2"/>
  <c r="AA1788" i="4"/>
  <c r="AB1792" i="1"/>
  <c r="AB1788" i="5" s="1"/>
  <c r="M307" i="2"/>
  <c r="M320" i="4"/>
  <c r="AA321" i="1"/>
  <c r="AA320" i="5" s="1"/>
  <c r="AA1722" i="2"/>
  <c r="AA1814" i="4"/>
  <c r="AB1818" i="1"/>
  <c r="AB1814" i="5" s="1"/>
  <c r="AA1794" i="4"/>
  <c r="AA1703" i="2"/>
  <c r="AB1798" i="1"/>
  <c r="AB1794" i="5" s="1"/>
  <c r="W1541" i="2"/>
  <c r="W1622" i="4"/>
  <c r="W1508" i="2"/>
  <c r="W1584" i="4"/>
  <c r="W1504" i="2"/>
  <c r="W1580" i="4"/>
  <c r="W1500" i="2"/>
  <c r="W1576" i="4"/>
  <c r="W1496" i="2"/>
  <c r="W1572" i="4"/>
  <c r="Z1488" i="2"/>
  <c r="Z1563" i="4"/>
  <c r="Z1484" i="2"/>
  <c r="Z1559" i="4"/>
  <c r="Z1480" i="2"/>
  <c r="Z1555" i="4"/>
  <c r="AA1462" i="2"/>
  <c r="AA1539" i="4"/>
  <c r="AB1540" i="1"/>
  <c r="AB1539" i="5" s="1"/>
  <c r="Q222" i="2"/>
  <c r="Q233" i="4"/>
  <c r="R233" i="1"/>
  <c r="R233" i="5" s="1"/>
  <c r="AA2453" i="4"/>
  <c r="AA2478" i="1"/>
  <c r="AB2461" i="1"/>
  <c r="AB2453" i="5" s="1"/>
  <c r="W1476" i="4"/>
  <c r="W1400" i="2"/>
  <c r="W1165" i="2"/>
  <c r="W1219" i="4"/>
  <c r="W979" i="2"/>
  <c r="W1024" i="4"/>
  <c r="AA950" i="2"/>
  <c r="AA993" i="4"/>
  <c r="AB994" i="1"/>
  <c r="AB993" i="5" s="1"/>
  <c r="AA1014" i="1"/>
  <c r="AA800" i="2"/>
  <c r="AA834" i="4"/>
  <c r="AB834" i="1"/>
  <c r="AB834" i="5" s="1"/>
  <c r="AA521" i="2"/>
  <c r="AA540" i="4"/>
  <c r="AB541" i="1"/>
  <c r="AB540" i="5" s="1"/>
  <c r="AB463" i="2"/>
  <c r="AB483" i="4"/>
  <c r="Q2862" i="1"/>
  <c r="Z156" i="2"/>
  <c r="Z164" i="4"/>
  <c r="AA960" i="2"/>
  <c r="AA1003" i="4"/>
  <c r="AB1004" i="1"/>
  <c r="AB1003" i="5" s="1"/>
  <c r="W569" i="2"/>
  <c r="W593" i="4"/>
  <c r="W606" i="1"/>
  <c r="W530" i="2"/>
  <c r="W549" i="4"/>
  <c r="AA445" i="2"/>
  <c r="AA465" i="4"/>
  <c r="AB466" i="1"/>
  <c r="AB465" i="5" s="1"/>
  <c r="AB253" i="2"/>
  <c r="AB264" i="4"/>
  <c r="AB1106" i="2"/>
  <c r="AB1156" i="4"/>
  <c r="AB981" i="2"/>
  <c r="AB1026" i="4"/>
  <c r="W870" i="2"/>
  <c r="W910" i="4"/>
  <c r="W742" i="2"/>
  <c r="W773" i="4"/>
  <c r="Z409" i="2"/>
  <c r="Z427" i="4"/>
  <c r="AB337" i="2"/>
  <c r="AB350" i="4"/>
  <c r="AA326" i="2"/>
  <c r="AA339" i="4"/>
  <c r="AB340" i="1"/>
  <c r="AB339" i="5" s="1"/>
  <c r="Q214" i="2"/>
  <c r="Q223" i="4"/>
  <c r="R223" i="1"/>
  <c r="R223" i="5" s="1"/>
  <c r="Z136" i="2"/>
  <c r="Z143" i="4"/>
  <c r="AA104" i="2"/>
  <c r="AA110" i="4"/>
  <c r="AB110" i="1"/>
  <c r="AB110" i="5" s="1"/>
  <c r="AA130" i="1"/>
  <c r="X408" i="2"/>
  <c r="X426" i="2" s="1"/>
  <c r="X426" i="4"/>
  <c r="Z427" i="1"/>
  <c r="Z426" i="5" s="1"/>
  <c r="X447" i="1"/>
  <c r="AB386" i="2"/>
  <c r="AB404" i="4"/>
  <c r="Z302" i="2"/>
  <c r="AA1861" i="2"/>
  <c r="AB1861" i="2" s="1"/>
  <c r="M1863" i="2"/>
  <c r="AB2517" i="2"/>
  <c r="AA2531" i="2"/>
  <c r="AA2489" i="2"/>
  <c r="AB2472" i="2"/>
  <c r="AB2489" i="2" s="1"/>
  <c r="Z2385" i="2"/>
  <c r="Z2400" i="2" s="1"/>
  <c r="X2400" i="2"/>
  <c r="AA1931" i="2"/>
  <c r="U1947" i="2"/>
  <c r="U1967" i="2" s="1"/>
  <c r="U2740" i="2" s="1"/>
  <c r="AA2740" i="2" s="1"/>
  <c r="AB2740" i="2" s="1"/>
  <c r="AB2810" i="1"/>
  <c r="Z2665" i="4"/>
  <c r="Z1474" i="2"/>
  <c r="Z1549" i="4"/>
  <c r="AA2215" i="4"/>
  <c r="AB2219" i="1"/>
  <c r="Z2731" i="4"/>
  <c r="Z2758" i="1"/>
  <c r="AA2476" i="4"/>
  <c r="AB2484" i="1"/>
  <c r="W1268" i="2"/>
  <c r="W1333" i="4"/>
  <c r="AB1683" i="2"/>
  <c r="AB1774" i="4"/>
  <c r="W1336" i="2"/>
  <c r="W1406" i="4"/>
  <c r="AA2398" i="4"/>
  <c r="AB2404" i="1"/>
  <c r="AA2129" i="4"/>
  <c r="AB2133" i="1"/>
  <c r="AB1560" i="2"/>
  <c r="AB1643" i="4"/>
  <c r="W1447" i="2"/>
  <c r="W1524" i="4"/>
  <c r="AB966" i="2"/>
  <c r="AB1011" i="4"/>
  <c r="V2523" i="4"/>
  <c r="W2531" i="1"/>
  <c r="AA2520" i="4"/>
  <c r="AB2528" i="1"/>
  <c r="AA2357" i="4"/>
  <c r="AB2363" i="1"/>
  <c r="M2603" i="4"/>
  <c r="AA2611" i="1"/>
  <c r="AA2603" i="5" s="1"/>
  <c r="W1610" i="2"/>
  <c r="W1702" i="4"/>
  <c r="AB1115" i="4"/>
  <c r="AB1066" i="2"/>
  <c r="AA2807" i="1"/>
  <c r="AA2426" i="4"/>
  <c r="AB2432" i="1"/>
  <c r="X1985" i="4"/>
  <c r="Z1989" i="1"/>
  <c r="X1991" i="1"/>
  <c r="AB1726" i="2"/>
  <c r="AB1818" i="4"/>
  <c r="AB1580" i="2"/>
  <c r="AB1666" i="4"/>
  <c r="W1295" i="2"/>
  <c r="W1360" i="4"/>
  <c r="AA1268" i="2"/>
  <c r="AA1333" i="4"/>
  <c r="AB1334" i="1"/>
  <c r="AB1333" i="5" s="1"/>
  <c r="AA2555" i="4"/>
  <c r="AB2563" i="1"/>
  <c r="AA1238" i="4"/>
  <c r="AB1239" i="1"/>
  <c r="V768" i="4"/>
  <c r="V781" i="4" s="1"/>
  <c r="V737" i="2"/>
  <c r="V748" i="2" s="1"/>
  <c r="W768" i="1"/>
  <c r="W768" i="5" s="1"/>
  <c r="X737" i="2"/>
  <c r="X748" i="2" s="1"/>
  <c r="Z768" i="1"/>
  <c r="Z737" i="2" s="1"/>
  <c r="X781" i="1"/>
  <c r="M2680" i="4"/>
  <c r="AA2688" i="1"/>
  <c r="AA2680" i="5" s="1"/>
  <c r="AA2105" i="4"/>
  <c r="AB2109" i="1"/>
  <c r="AA1302" i="2"/>
  <c r="AA1371" i="4"/>
  <c r="AB1372" i="1"/>
  <c r="AB1371" i="5" s="1"/>
  <c r="J852" i="2"/>
  <c r="J892" i="4"/>
  <c r="AA1264" i="2"/>
  <c r="AA1327" i="4"/>
  <c r="AB1328" i="1"/>
  <c r="AB1327" i="5" s="1"/>
  <c r="AA687" i="2"/>
  <c r="AA717" i="4"/>
  <c r="AB717" i="1"/>
  <c r="AB717" i="5" s="1"/>
  <c r="AB447" i="2"/>
  <c r="AB467" i="4"/>
  <c r="AA335" i="2"/>
  <c r="AA348" i="4"/>
  <c r="AB349" i="1"/>
  <c r="AB348" i="5" s="1"/>
  <c r="J331" i="2"/>
  <c r="J353" i="2" s="1"/>
  <c r="J344" i="4"/>
  <c r="J369" i="4" s="1"/>
  <c r="AA296" i="2"/>
  <c r="AA309" i="4"/>
  <c r="AB310" i="1"/>
  <c r="AB309" i="5" s="1"/>
  <c r="AB196" i="2"/>
  <c r="AB205" i="4"/>
  <c r="X61" i="2"/>
  <c r="X64" i="2" s="1"/>
  <c r="Z65" i="1"/>
  <c r="Z61" i="2" s="1"/>
  <c r="X68" i="1"/>
  <c r="X132" i="1" s="1"/>
  <c r="X2898" i="1" s="1"/>
  <c r="W681" i="2"/>
  <c r="W711" i="4"/>
  <c r="AA676" i="2"/>
  <c r="AA706" i="4"/>
  <c r="AB706" i="1"/>
  <c r="AB706" i="5" s="1"/>
  <c r="Z605" i="2"/>
  <c r="Z630" i="4"/>
  <c r="AB553" i="2"/>
  <c r="AB574" i="4"/>
  <c r="AB500" i="2"/>
  <c r="AB520" i="4"/>
  <c r="W462" i="2"/>
  <c r="W482" i="4"/>
  <c r="AA387" i="2"/>
  <c r="AA405" i="4"/>
  <c r="AB406" i="1"/>
  <c r="AB405" i="5" s="1"/>
  <c r="W116" i="2"/>
  <c r="W122" i="4"/>
  <c r="AA690" i="2"/>
  <c r="AA720" i="4"/>
  <c r="AB720" i="1"/>
  <c r="AB720" i="5" s="1"/>
  <c r="Z434" i="2"/>
  <c r="Z454" i="4"/>
  <c r="AB974" i="2"/>
  <c r="AB1019" i="4"/>
  <c r="W743" i="2"/>
  <c r="W774" i="4"/>
  <c r="AB247" i="2"/>
  <c r="AB258" i="4"/>
  <c r="AA1192" i="2"/>
  <c r="AA1251" i="4"/>
  <c r="AB1252" i="1"/>
  <c r="AB1251" i="5" s="1"/>
  <c r="AA1961" i="4"/>
  <c r="AB1965" i="1"/>
  <c r="Z2259" i="1"/>
  <c r="Z2266" i="1" s="1"/>
  <c r="X2266" i="1"/>
  <c r="AA2125" i="4"/>
  <c r="AB2129" i="1"/>
  <c r="AA1701" i="2"/>
  <c r="AA1792" i="4"/>
  <c r="AB1796" i="1"/>
  <c r="AB1792" i="5" s="1"/>
  <c r="AA1519" i="2"/>
  <c r="AA1597" i="4"/>
  <c r="AB1600" i="1"/>
  <c r="AB1597" i="5" s="1"/>
  <c r="W937" i="2"/>
  <c r="W979" i="4"/>
  <c r="AA2050" i="4"/>
  <c r="AB2054" i="1"/>
  <c r="H2898" i="1"/>
  <c r="G2755" i="4"/>
  <c r="G2901" i="4"/>
  <c r="G2932" i="4" s="1"/>
  <c r="W959" i="2"/>
  <c r="W1002" i="4"/>
  <c r="AA815" i="2"/>
  <c r="AA850" i="4"/>
  <c r="AB850" i="1"/>
  <c r="AB850" i="5" s="1"/>
  <c r="W1614" i="2"/>
  <c r="W1706" i="4"/>
  <c r="AA2439" i="4"/>
  <c r="AB2445" i="1"/>
  <c r="AA2433" i="4"/>
  <c r="AB2439" i="1"/>
  <c r="AA2289" i="4"/>
  <c r="AB2293" i="1"/>
  <c r="AA2260" i="4"/>
  <c r="AB2264" i="1"/>
  <c r="AA2017" i="4"/>
  <c r="AB2021" i="1"/>
  <c r="AA1129" i="2"/>
  <c r="AA1180" i="4"/>
  <c r="AB1181" i="1"/>
  <c r="AB1180" i="5" s="1"/>
  <c r="W150" i="2"/>
  <c r="W157" i="4"/>
  <c r="AA782" i="2"/>
  <c r="AA816" i="4"/>
  <c r="AB816" i="1"/>
  <c r="AB816" i="5" s="1"/>
  <c r="Z636" i="2"/>
  <c r="W898" i="4"/>
  <c r="W858" i="2"/>
  <c r="AA672" i="2"/>
  <c r="AA702" i="4"/>
  <c r="AB702" i="1"/>
  <c r="AB702" i="5" s="1"/>
  <c r="W415" i="2"/>
  <c r="W433" i="4"/>
  <c r="AB1021" i="2"/>
  <c r="AB1068" i="4"/>
  <c r="W741" i="2"/>
  <c r="W772" i="4"/>
  <c r="W423" i="2"/>
  <c r="W443" i="4"/>
  <c r="AA277" i="2"/>
  <c r="AA289" i="4"/>
  <c r="AB290" i="1"/>
  <c r="AB289" i="5" s="1"/>
  <c r="Q181" i="2"/>
  <c r="Q189" i="4"/>
  <c r="R189" i="1"/>
  <c r="R189" i="5" s="1"/>
  <c r="AA1300" i="2"/>
  <c r="AA1369" i="4"/>
  <c r="AB1370" i="1"/>
  <c r="AB1369" i="5" s="1"/>
  <c r="AB1797" i="2"/>
  <c r="AB1896" i="4"/>
  <c r="AB1577" i="2"/>
  <c r="AB1663" i="4"/>
  <c r="AB1716" i="2"/>
  <c r="AB1808" i="4"/>
  <c r="AA2308" i="4"/>
  <c r="AB2314" i="1"/>
  <c r="AA1720" i="2"/>
  <c r="AA1812" i="4"/>
  <c r="AB1816" i="1"/>
  <c r="AB1812" i="5" s="1"/>
  <c r="AB1483" i="2"/>
  <c r="AB1558" i="4"/>
  <c r="W783" i="2"/>
  <c r="W817" i="4"/>
  <c r="W1555" i="4"/>
  <c r="W1480" i="2"/>
  <c r="R2674" i="2"/>
  <c r="R2728" i="2"/>
  <c r="AB890" i="2"/>
  <c r="AB933" i="4"/>
  <c r="W782" i="2"/>
  <c r="W816" i="4"/>
  <c r="X174" i="2"/>
  <c r="Z182" i="1"/>
  <c r="Z174" i="2" s="1"/>
  <c r="AA18" i="2"/>
  <c r="AA18" i="4"/>
  <c r="AB18" i="1"/>
  <c r="AB18" i="5" s="1"/>
  <c r="AB30" i="2"/>
  <c r="AB31" i="4"/>
  <c r="AA2592" i="2"/>
  <c r="AB2575" i="2"/>
  <c r="AB2592" i="2" s="1"/>
  <c r="AA1194" i="2"/>
  <c r="AA1253" i="4"/>
  <c r="AB1254" i="1"/>
  <c r="AB1253" i="5" s="1"/>
  <c r="AA2583" i="4"/>
  <c r="AB2591" i="1"/>
  <c r="AA2550" i="4"/>
  <c r="AB2558" i="1"/>
  <c r="AB114" i="2"/>
  <c r="AB120" i="4"/>
  <c r="AA397" i="2"/>
  <c r="AA415" i="4"/>
  <c r="AB416" i="1"/>
  <c r="AB415" i="5" s="1"/>
  <c r="U163" i="2"/>
  <c r="U176" i="2" s="1"/>
  <c r="U171" i="4"/>
  <c r="U184" i="4" s="1"/>
  <c r="U184" i="1"/>
  <c r="AA171" i="1"/>
  <c r="AA171" i="5" s="1"/>
  <c r="AA95" i="2"/>
  <c r="AA100" i="4"/>
  <c r="AB100" i="1"/>
  <c r="AB100" i="5" s="1"/>
  <c r="AA90" i="2"/>
  <c r="AA95" i="4"/>
  <c r="AA107" i="1"/>
  <c r="AB95" i="1"/>
  <c r="AB95" i="5" s="1"/>
  <c r="V1208" i="2"/>
  <c r="V1267" i="4"/>
  <c r="W1268" i="1"/>
  <c r="W1267" i="5" s="1"/>
  <c r="AB361" i="2"/>
  <c r="AB377" i="4"/>
  <c r="AB2453" i="2"/>
  <c r="AA2464" i="2"/>
  <c r="X839" i="2"/>
  <c r="Z878" i="1"/>
  <c r="Z839" i="2" s="1"/>
  <c r="X895" i="1"/>
  <c r="P1466" i="2"/>
  <c r="P2734" i="2" s="1"/>
  <c r="X1742" i="1"/>
  <c r="X2912" i="1" s="1"/>
  <c r="Q1185" i="2"/>
  <c r="U1899" i="4"/>
  <c r="U1471" i="4"/>
  <c r="Q1899" i="4"/>
  <c r="U1306" i="2"/>
  <c r="Q1332" i="2"/>
  <c r="Q748" i="2"/>
  <c r="X583" i="2"/>
  <c r="M1004" i="2"/>
  <c r="M1135" i="2"/>
  <c r="V1004" i="2"/>
  <c r="F1466" i="2"/>
  <c r="F2734" i="2" s="1"/>
  <c r="V1079" i="2"/>
  <c r="U2565" i="4"/>
  <c r="M2015" i="1"/>
  <c r="Q1676" i="2"/>
  <c r="V1737" i="4"/>
  <c r="J1215" i="1"/>
  <c r="Q1309" i="4"/>
  <c r="U1667" i="2"/>
  <c r="U2112" i="4"/>
  <c r="M1434" i="1"/>
  <c r="AV2866" i="1"/>
  <c r="V1987" i="4"/>
  <c r="U781" i="4"/>
  <c r="P1190" i="1"/>
  <c r="P2908" i="1" s="1"/>
  <c r="P1137" i="2"/>
  <c r="P2732" i="2" s="1"/>
  <c r="Q2454" i="1"/>
  <c r="Q2920" i="1" s="1"/>
  <c r="M913" i="2"/>
  <c r="V1013" i="4"/>
  <c r="M522" i="4"/>
  <c r="X1130" i="1"/>
  <c r="V2011" i="4"/>
  <c r="M1472" i="1"/>
  <c r="V2470" i="4"/>
  <c r="Q1820" i="4"/>
  <c r="Q1306" i="2"/>
  <c r="Q1471" i="4"/>
  <c r="U1143" i="4"/>
  <c r="H961" i="1"/>
  <c r="H2906" i="1" s="1"/>
  <c r="U625" i="4"/>
  <c r="U235" i="4"/>
  <c r="U1742" i="1"/>
  <c r="U2912" i="1" s="1"/>
  <c r="M2488" i="4"/>
  <c r="F918" i="2"/>
  <c r="F2730" i="2" s="1"/>
  <c r="J2142" i="1"/>
  <c r="M1681" i="1"/>
  <c r="M1742" i="1" s="1"/>
  <c r="M2912" i="1" s="1"/>
  <c r="X1628" i="2"/>
  <c r="U2454" i="1"/>
  <c r="U2920" i="1" s="1"/>
  <c r="W2015" i="1"/>
  <c r="M1085" i="4"/>
  <c r="V941" i="2"/>
  <c r="V943" i="2" s="1"/>
  <c r="U166" i="4"/>
  <c r="V613" i="2"/>
  <c r="V437" i="2"/>
  <c r="K421" i="4"/>
  <c r="K2905" i="4" s="1"/>
  <c r="Q872" i="4"/>
  <c r="M2446" i="4"/>
  <c r="M1676" i="2"/>
  <c r="U545" i="4"/>
  <c r="Z1086" i="1"/>
  <c r="U1004" i="2"/>
  <c r="U380" i="2"/>
  <c r="I199" i="2"/>
  <c r="M446" i="4"/>
  <c r="U1820" i="4"/>
  <c r="U1784" i="4"/>
  <c r="V1573" i="2"/>
  <c r="V545" i="4"/>
  <c r="Z2167" i="2"/>
  <c r="L2932" i="4"/>
  <c r="M101" i="2"/>
  <c r="V1434" i="1"/>
  <c r="AA2643" i="1"/>
  <c r="W2464" i="2"/>
  <c r="W2511" i="2" s="1"/>
  <c r="W2748" i="2" s="1"/>
  <c r="Z2430" i="2"/>
  <c r="V2034" i="4"/>
  <c r="W2038" i="1"/>
  <c r="P2913" i="4"/>
  <c r="P2755" i="4"/>
  <c r="AA1072" i="2"/>
  <c r="AA1121" i="4"/>
  <c r="AB1122" i="1"/>
  <c r="AB1121" i="5" s="1"/>
  <c r="AA1345" i="2"/>
  <c r="AA1415" i="4"/>
  <c r="AB1416" i="1"/>
  <c r="AB1415" i="5" s="1"/>
  <c r="AA1435" i="2"/>
  <c r="AA1512" i="4"/>
  <c r="AB1513" i="1"/>
  <c r="AB1512" i="5" s="1"/>
  <c r="W2665" i="4"/>
  <c r="AA2556" i="4"/>
  <c r="AB2564" i="1"/>
  <c r="AA2327" i="4"/>
  <c r="AB2333" i="1"/>
  <c r="AA2256" i="4"/>
  <c r="AB2260" i="1"/>
  <c r="X1787" i="2"/>
  <c r="Z1887" i="1"/>
  <c r="Z1787" i="2" s="1"/>
  <c r="M1759" i="2"/>
  <c r="M1853" i="4"/>
  <c r="AA1857" i="1"/>
  <c r="AA1853" i="5" s="1"/>
  <c r="AA1865" i="5" s="1"/>
  <c r="M1869" i="1"/>
  <c r="M1571" i="2"/>
  <c r="M1573" i="2" s="1"/>
  <c r="M1657" i="4"/>
  <c r="M1659" i="4" s="1"/>
  <c r="AA1660" i="1"/>
  <c r="AA1657" i="5" s="1"/>
  <c r="AA1659" i="5" s="1"/>
  <c r="AA1372" i="2"/>
  <c r="AA1443" i="4"/>
  <c r="AB1444" i="1"/>
  <c r="AB1443" i="5" s="1"/>
  <c r="AB2798" i="1"/>
  <c r="AA2734" i="4"/>
  <c r="AB2742" i="1"/>
  <c r="AA2477" i="4"/>
  <c r="AB2485" i="1"/>
  <c r="Z1631" i="2"/>
  <c r="Z1723" i="4"/>
  <c r="Z1740" i="1"/>
  <c r="W1270" i="2"/>
  <c r="W1335" i="4"/>
  <c r="AB1584" i="2"/>
  <c r="AB1670" i="4"/>
  <c r="Z1500" i="4"/>
  <c r="Z1541" i="4" s="1"/>
  <c r="X1541" i="4"/>
  <c r="AA896" i="2"/>
  <c r="AA939" i="4"/>
  <c r="AB939" i="1"/>
  <c r="AB939" i="5" s="1"/>
  <c r="Z2647" i="1"/>
  <c r="Z2639" i="5" s="1"/>
  <c r="X2666" i="1"/>
  <c r="X2668" i="1" s="1"/>
  <c r="X2924" i="1" s="1"/>
  <c r="AA2622" i="4"/>
  <c r="AB2630" i="1"/>
  <c r="AB1671" i="2"/>
  <c r="AB1762" i="4"/>
  <c r="W1405" i="2"/>
  <c r="W1481" i="4"/>
  <c r="AB1369" i="2"/>
  <c r="AB1440" i="4"/>
  <c r="W1298" i="2"/>
  <c r="W1367" i="4"/>
  <c r="AA1147" i="2"/>
  <c r="AA1199" i="4"/>
  <c r="AB1200" i="1"/>
  <c r="AB1199" i="5" s="1"/>
  <c r="AA2791" i="1"/>
  <c r="U2862" i="1"/>
  <c r="W1712" i="4"/>
  <c r="W1620" i="2"/>
  <c r="W1723" i="1"/>
  <c r="AA1948" i="4"/>
  <c r="AB1952" i="1"/>
  <c r="W1567" i="2"/>
  <c r="W1650" i="4"/>
  <c r="U1097" i="2"/>
  <c r="U1115" i="2" s="1"/>
  <c r="U1147" i="4"/>
  <c r="U1166" i="4" s="1"/>
  <c r="U1167" i="1"/>
  <c r="AA1148" i="1"/>
  <c r="AA1147" i="5" s="1"/>
  <c r="Z552" i="2"/>
  <c r="AA2349" i="4"/>
  <c r="AB2355" i="1"/>
  <c r="AA2206" i="4"/>
  <c r="AB2210" i="1"/>
  <c r="AA2182" i="4"/>
  <c r="AB2186" i="1"/>
  <c r="AA2159" i="4"/>
  <c r="AB2163" i="1"/>
  <c r="AA2095" i="4"/>
  <c r="AB2099" i="1"/>
  <c r="AA2053" i="4"/>
  <c r="AB2057" i="1"/>
  <c r="AA1964" i="4"/>
  <c r="AB1968" i="1"/>
  <c r="AB1792" i="2"/>
  <c r="AB1891" i="4"/>
  <c r="AB1698" i="2"/>
  <c r="AB1789" i="4"/>
  <c r="AB1657" i="2"/>
  <c r="AB1748" i="4"/>
  <c r="Z1576" i="2"/>
  <c r="Z1662" i="4"/>
  <c r="W1486" i="4"/>
  <c r="W1410" i="2"/>
  <c r="AA1390" i="2"/>
  <c r="AA1462" i="4"/>
  <c r="AB1463" i="1"/>
  <c r="AB1462" i="5" s="1"/>
  <c r="AA1283" i="2"/>
  <c r="AA1348" i="4"/>
  <c r="AB1349" i="1"/>
  <c r="AB1348" i="5" s="1"/>
  <c r="X939" i="2"/>
  <c r="X941" i="2" s="1"/>
  <c r="X943" i="2" s="1"/>
  <c r="X982" i="4"/>
  <c r="Z983" i="1"/>
  <c r="AA865" i="4"/>
  <c r="AB865" i="1"/>
  <c r="AA807" i="2"/>
  <c r="AA842" i="4"/>
  <c r="AB842" i="1"/>
  <c r="AB842" i="5" s="1"/>
  <c r="X650" i="2"/>
  <c r="Z678" i="1"/>
  <c r="Z650" i="2" s="1"/>
  <c r="X691" i="1"/>
  <c r="W1370" i="2"/>
  <c r="W1441" i="4"/>
  <c r="AA2371" i="4"/>
  <c r="AB2377" i="1"/>
  <c r="AA1955" i="4"/>
  <c r="AB1959" i="1"/>
  <c r="AA1971" i="1"/>
  <c r="AA1795" i="2"/>
  <c r="AA1894" i="4"/>
  <c r="AB1898" i="1"/>
  <c r="AB1894" i="5" s="1"/>
  <c r="W1597" i="2"/>
  <c r="W1686" i="4"/>
  <c r="AV2865" i="1"/>
  <c r="J1353" i="2"/>
  <c r="J1423" i="4"/>
  <c r="Z927" i="2"/>
  <c r="Z969" i="4"/>
  <c r="AA1708" i="2"/>
  <c r="AA1800" i="4"/>
  <c r="AB1804" i="1"/>
  <c r="AB1800" i="5" s="1"/>
  <c r="W1633" i="2"/>
  <c r="W1725" i="4"/>
  <c r="W1550" i="2"/>
  <c r="W1631" i="4"/>
  <c r="W1547" i="2"/>
  <c r="W1628" i="4"/>
  <c r="Z1544" i="2"/>
  <c r="Z1625" i="4"/>
  <c r="W1603" i="4"/>
  <c r="W1525" i="2"/>
  <c r="Z1519" i="2"/>
  <c r="Z1597" i="4"/>
  <c r="Z1621" i="1"/>
  <c r="AB1487" i="2"/>
  <c r="AB1562" i="4"/>
  <c r="AA1410" i="2"/>
  <c r="AA1486" i="4"/>
  <c r="AB1487" i="1"/>
  <c r="AB1486" i="5" s="1"/>
  <c r="AA1366" i="2"/>
  <c r="AA1437" i="4"/>
  <c r="AB1438" i="1"/>
  <c r="AB1437" i="5" s="1"/>
  <c r="W1321" i="2"/>
  <c r="W1390" i="4"/>
  <c r="J1357" i="4"/>
  <c r="J1292" i="2"/>
  <c r="J2648" i="2" s="1"/>
  <c r="J2823" i="1"/>
  <c r="J1376" i="1"/>
  <c r="AA1279" i="2"/>
  <c r="AA1344" i="4"/>
  <c r="AB1345" i="1"/>
  <c r="AB1344" i="5" s="1"/>
  <c r="AA1269" i="2"/>
  <c r="AA1334" i="4"/>
  <c r="AB1335" i="1"/>
  <c r="AB1334" i="5" s="1"/>
  <c r="Z1251" i="2"/>
  <c r="W1230" i="2"/>
  <c r="W1293" i="4"/>
  <c r="M1154" i="2"/>
  <c r="M1206" i="4"/>
  <c r="AA1207" i="1"/>
  <c r="AA1206" i="5" s="1"/>
  <c r="W1015" i="2"/>
  <c r="W1062" i="4"/>
  <c r="Z1157" i="2"/>
  <c r="Z1211" i="4"/>
  <c r="W2049" i="4"/>
  <c r="W2784" i="1"/>
  <c r="W1484" i="2"/>
  <c r="W1559" i="4"/>
  <c r="W1500" i="4"/>
  <c r="W1423" i="2"/>
  <c r="J1391" i="4"/>
  <c r="J1322" i="2"/>
  <c r="AA1161" i="4"/>
  <c r="AB1162" i="1"/>
  <c r="AA540" i="2"/>
  <c r="AA542" i="2" s="1"/>
  <c r="AA561" i="4"/>
  <c r="AA563" i="4" s="1"/>
  <c r="AB560" i="1"/>
  <c r="AB561" i="5" s="1"/>
  <c r="AB563" i="5" s="1"/>
  <c r="AA562" i="1"/>
  <c r="W156" i="2"/>
  <c r="W164" i="4"/>
  <c r="AA1346" i="2"/>
  <c r="AA1416" i="4"/>
  <c r="AB1417" i="1"/>
  <c r="AB1416" i="5" s="1"/>
  <c r="AA1202" i="2"/>
  <c r="AA1261" i="4"/>
  <c r="AB1262" i="1"/>
  <c r="AB1261" i="5" s="1"/>
  <c r="W1102" i="2"/>
  <c r="W1152" i="4"/>
  <c r="J762" i="2"/>
  <c r="J768" i="2" s="1"/>
  <c r="J795" i="4"/>
  <c r="J802" i="4" s="1"/>
  <c r="Z621" i="2"/>
  <c r="Z649" i="4"/>
  <c r="Z661" i="1"/>
  <c r="AB356" i="2"/>
  <c r="AB372" i="4"/>
  <c r="Z568" i="2"/>
  <c r="Z583" i="2" s="1"/>
  <c r="Z606" i="1"/>
  <c r="AA1255" i="2"/>
  <c r="AA1318" i="4"/>
  <c r="AB1319" i="1"/>
  <c r="AB1318" i="5" s="1"/>
  <c r="AA944" i="2"/>
  <c r="AA946" i="2" s="1"/>
  <c r="AA987" i="4"/>
  <c r="AA989" i="4" s="1"/>
  <c r="AA990" i="1"/>
  <c r="AB988" i="1"/>
  <c r="AB987" i="5" s="1"/>
  <c r="AB989" i="5" s="1"/>
  <c r="AA868" i="2"/>
  <c r="AA908" i="4"/>
  <c r="AB908" i="1"/>
  <c r="AB908" i="5" s="1"/>
  <c r="M867" i="2"/>
  <c r="M907" i="4"/>
  <c r="AA907" i="1"/>
  <c r="AA907" i="5" s="1"/>
  <c r="M922" i="1"/>
  <c r="X2605" i="4"/>
  <c r="Z2613" i="1"/>
  <c r="AA2584" i="4"/>
  <c r="AB2592" i="1"/>
  <c r="AA2485" i="4"/>
  <c r="AB2493" i="1"/>
  <c r="M2348" i="4"/>
  <c r="AA2354" i="1"/>
  <c r="AA2348" i="5" s="1"/>
  <c r="M2335" i="4"/>
  <c r="AA2341" i="1"/>
  <c r="AA2335" i="5" s="1"/>
  <c r="M2274" i="4"/>
  <c r="AA2278" i="1"/>
  <c r="AA2274" i="5" s="1"/>
  <c r="AA2189" i="4"/>
  <c r="AB2193" i="1"/>
  <c r="M2170" i="4"/>
  <c r="AA2174" i="1"/>
  <c r="AA2067" i="4"/>
  <c r="AB2071" i="1"/>
  <c r="AA2026" i="4"/>
  <c r="AB2030" i="1"/>
  <c r="W1259" i="2"/>
  <c r="W1322" i="4"/>
  <c r="AA766" i="2"/>
  <c r="AA800" i="4"/>
  <c r="AB800" i="1"/>
  <c r="AB800" i="5" s="1"/>
  <c r="AA642" i="2"/>
  <c r="AA670" i="4"/>
  <c r="AB670" i="1"/>
  <c r="AB670" i="5" s="1"/>
  <c r="M595" i="2"/>
  <c r="M600" i="2" s="1"/>
  <c r="M619" i="4"/>
  <c r="M625" i="4" s="1"/>
  <c r="AA618" i="1"/>
  <c r="AA619" i="5" s="1"/>
  <c r="AA625" i="5" s="1"/>
  <c r="M624" i="1"/>
  <c r="M639" i="1" s="1"/>
  <c r="M2904" i="1" s="1"/>
  <c r="AA558" i="2"/>
  <c r="AA579" i="4"/>
  <c r="AB578" i="1"/>
  <c r="AB579" i="5" s="1"/>
  <c r="W513" i="2"/>
  <c r="W533" i="4"/>
  <c r="Z473" i="2"/>
  <c r="Z480" i="2" s="1"/>
  <c r="Z501" i="1"/>
  <c r="AA1152" i="2"/>
  <c r="AA1204" i="4"/>
  <c r="AB1205" i="1"/>
  <c r="AB1204" i="5" s="1"/>
  <c r="AA1077" i="2"/>
  <c r="AA1127" i="4"/>
  <c r="AB1128" i="1"/>
  <c r="AB1127" i="5" s="1"/>
  <c r="W1071" i="2"/>
  <c r="W1120" i="4"/>
  <c r="W1000" i="2"/>
  <c r="W1045" i="4"/>
  <c r="AA876" i="2"/>
  <c r="AA919" i="4"/>
  <c r="AB919" i="1"/>
  <c r="AB919" i="5" s="1"/>
  <c r="W814" i="2"/>
  <c r="W849" i="4"/>
  <c r="W734" i="2"/>
  <c r="W765" i="4"/>
  <c r="M659" i="2"/>
  <c r="M689" i="4"/>
  <c r="AA689" i="1"/>
  <c r="AA689" i="5" s="1"/>
  <c r="AA1595" i="2"/>
  <c r="AA1684" i="4"/>
  <c r="AB1687" i="1"/>
  <c r="AB1684" i="5" s="1"/>
  <c r="AA1888" i="4"/>
  <c r="AB1892" i="1"/>
  <c r="AA1934" i="4"/>
  <c r="AB1938" i="1"/>
  <c r="AA2250" i="4"/>
  <c r="AB2254" i="1"/>
  <c r="AA962" i="2"/>
  <c r="AA1005" i="4"/>
  <c r="AB1006" i="1"/>
  <c r="AB1005" i="5" s="1"/>
  <c r="M2597" i="4"/>
  <c r="AA2605" i="1"/>
  <c r="AA2597" i="5" s="1"/>
  <c r="M2616" i="1"/>
  <c r="AA2003" i="4"/>
  <c r="AB2007" i="1"/>
  <c r="AA1990" i="4"/>
  <c r="AA2015" i="1"/>
  <c r="AB1994" i="1"/>
  <c r="AB1990" i="5" s="1"/>
  <c r="Z1512" i="2"/>
  <c r="Z1590" i="4"/>
  <c r="AA1086" i="2"/>
  <c r="AA1136" i="4"/>
  <c r="AB1137" i="1"/>
  <c r="AB1136" i="5" s="1"/>
  <c r="AA2542" i="4"/>
  <c r="AB2550" i="1"/>
  <c r="AA2525" i="4"/>
  <c r="AB2533" i="1"/>
  <c r="AB1566" i="2"/>
  <c r="AB1649" i="4"/>
  <c r="W1346" i="2"/>
  <c r="W1416" i="4"/>
  <c r="AA2374" i="4"/>
  <c r="AB2380" i="1"/>
  <c r="AA2234" i="4"/>
  <c r="AB2238" i="1"/>
  <c r="AA1930" i="4"/>
  <c r="AB1934" i="1"/>
  <c r="W1631" i="2"/>
  <c r="W1723" i="4"/>
  <c r="W1740" i="1"/>
  <c r="W1253" i="2"/>
  <c r="W1316" i="4"/>
  <c r="AA2574" i="4"/>
  <c r="AB2582" i="1"/>
  <c r="M2104" i="4"/>
  <c r="M2112" i="4" s="1"/>
  <c r="AA2108" i="1"/>
  <c r="AA1913" i="4"/>
  <c r="AB1917" i="1"/>
  <c r="AB1714" i="2"/>
  <c r="AB1806" i="4"/>
  <c r="Z1423" i="2"/>
  <c r="W961" i="2"/>
  <c r="W1004" i="4"/>
  <c r="AA2009" i="4"/>
  <c r="AB2013" i="1"/>
  <c r="AA1996" i="4"/>
  <c r="AB2000" i="1"/>
  <c r="AA1624" i="2"/>
  <c r="AA1716" i="4"/>
  <c r="AB1719" i="1"/>
  <c r="AB1716" i="5" s="1"/>
  <c r="AA1382" i="2"/>
  <c r="AA1453" i="4"/>
  <c r="AB1454" i="1"/>
  <c r="AB1453" i="5" s="1"/>
  <c r="W1189" i="2"/>
  <c r="W1248" i="4"/>
  <c r="AA524" i="2"/>
  <c r="AA543" i="4"/>
  <c r="AB544" i="1"/>
  <c r="AB543" i="5" s="1"/>
  <c r="AA209" i="2"/>
  <c r="AA218" i="4"/>
  <c r="AB218" i="1"/>
  <c r="AB218" i="5" s="1"/>
  <c r="X1798" i="2"/>
  <c r="Z1901" i="1"/>
  <c r="Z1798" i="2" s="1"/>
  <c r="AA1788" i="2"/>
  <c r="AA1884" i="4"/>
  <c r="AB1888" i="1"/>
  <c r="AB1884" i="5" s="1"/>
  <c r="AB1682" i="2"/>
  <c r="AB1773" i="4"/>
  <c r="AA1665" i="2"/>
  <c r="AA1756" i="4"/>
  <c r="AB1760" i="1"/>
  <c r="AB1756" i="5" s="1"/>
  <c r="W1562" i="2"/>
  <c r="W1645" i="4"/>
  <c r="Z1559" i="2"/>
  <c r="Z1642" i="4"/>
  <c r="Z1662" i="1"/>
  <c r="AA1370" i="2"/>
  <c r="AA1441" i="4"/>
  <c r="AB1442" i="1"/>
  <c r="AB1441" i="5" s="1"/>
  <c r="AA1149" i="2"/>
  <c r="AA1201" i="4"/>
  <c r="AB1202" i="1"/>
  <c r="AB1201" i="5" s="1"/>
  <c r="W1133" i="2"/>
  <c r="W1185" i="4"/>
  <c r="AA2678" i="4"/>
  <c r="AB2686" i="1"/>
  <c r="M2649" i="4"/>
  <c r="M2658" i="4" s="1"/>
  <c r="AA2657" i="1"/>
  <c r="AA2649" i="5" s="1"/>
  <c r="M2666" i="1"/>
  <c r="AA2600" i="4"/>
  <c r="AB2608" i="1"/>
  <c r="AA2513" i="4"/>
  <c r="AB2521" i="1"/>
  <c r="M2385" i="4"/>
  <c r="AA2391" i="1"/>
  <c r="AA2385" i="5" s="1"/>
  <c r="M2416" i="1"/>
  <c r="AA2192" i="4"/>
  <c r="AB2196" i="1"/>
  <c r="AA2132" i="4"/>
  <c r="AB2136" i="1"/>
  <c r="AA2088" i="4"/>
  <c r="AB2092" i="1"/>
  <c r="AA1943" i="4"/>
  <c r="AB1947" i="1"/>
  <c r="AA1794" i="2"/>
  <c r="AA1893" i="4"/>
  <c r="AB1897" i="1"/>
  <c r="AB1893" i="5" s="1"/>
  <c r="AB1782" i="2"/>
  <c r="AB1878" i="4"/>
  <c r="J1736" i="2"/>
  <c r="J1749" i="2" s="1"/>
  <c r="J1828" i="4"/>
  <c r="J1843" i="4" s="1"/>
  <c r="J1847" i="1"/>
  <c r="Z1542" i="2"/>
  <c r="Z1623" i="4"/>
  <c r="W1521" i="2"/>
  <c r="W1599" i="4"/>
  <c r="AA1505" i="2"/>
  <c r="AA1581" i="4"/>
  <c r="AB1584" i="1"/>
  <c r="AB1581" i="5" s="1"/>
  <c r="AA1497" i="2"/>
  <c r="AA1573" i="4"/>
  <c r="AB1576" i="1"/>
  <c r="AB1573" i="5" s="1"/>
  <c r="AA1565" i="4"/>
  <c r="AB1568" i="1"/>
  <c r="AA1488" i="2"/>
  <c r="AA1563" i="4"/>
  <c r="AB1566" i="1"/>
  <c r="AB1563" i="5" s="1"/>
  <c r="AA1480" i="2"/>
  <c r="AA1555" i="4"/>
  <c r="AB1558" i="1"/>
  <c r="AB1555" i="5" s="1"/>
  <c r="AA1515" i="4"/>
  <c r="AA1438" i="2"/>
  <c r="AB1516" i="1"/>
  <c r="AB1515" i="5" s="1"/>
  <c r="J1378" i="2"/>
  <c r="J1449" i="4"/>
  <c r="AA1330" i="2"/>
  <c r="AA1400" i="4"/>
  <c r="AB1401" i="1"/>
  <c r="AB1400" i="5" s="1"/>
  <c r="W1232" i="2"/>
  <c r="W1295" i="4"/>
  <c r="W1181" i="2"/>
  <c r="W1237" i="4"/>
  <c r="W1171" i="4"/>
  <c r="W1120" i="2"/>
  <c r="W938" i="4"/>
  <c r="W895" i="2"/>
  <c r="AB843" i="2"/>
  <c r="AB882" i="4"/>
  <c r="Z1599" i="2"/>
  <c r="Z1688" i="4"/>
  <c r="AB1474" i="2"/>
  <c r="AB1549" i="4"/>
  <c r="W1352" i="2"/>
  <c r="W1422" i="4"/>
  <c r="AA2455" i="4"/>
  <c r="AB2463" i="1"/>
  <c r="AA2021" i="4"/>
  <c r="AB2025" i="1"/>
  <c r="AB1827" i="4"/>
  <c r="AB1735" i="2"/>
  <c r="Z1658" i="2"/>
  <c r="Z1749" i="4"/>
  <c r="AA1352" i="2"/>
  <c r="AA1422" i="4"/>
  <c r="AB1423" i="1"/>
  <c r="AB1422" i="5" s="1"/>
  <c r="AA2373" i="4"/>
  <c r="AB2379" i="1"/>
  <c r="AA2269" i="4"/>
  <c r="AB2273" i="1"/>
  <c r="AA2118" i="4"/>
  <c r="AB2122" i="1"/>
  <c r="AA1910" i="4"/>
  <c r="AB1914" i="1"/>
  <c r="AB1690" i="2"/>
  <c r="AB1781" i="4"/>
  <c r="Z1672" i="2"/>
  <c r="Z1763" i="4"/>
  <c r="X1585" i="2"/>
  <c r="X1589" i="2" s="1"/>
  <c r="Z1675" i="1"/>
  <c r="Z1672" i="5" s="1"/>
  <c r="W1552" i="2"/>
  <c r="W1634" i="4"/>
  <c r="AB1504" i="2"/>
  <c r="AB1580" i="4"/>
  <c r="AA1453" i="2"/>
  <c r="AA1530" i="4"/>
  <c r="AB1531" i="1"/>
  <c r="AB1530" i="5" s="1"/>
  <c r="AA1321" i="2"/>
  <c r="AA1390" i="4"/>
  <c r="AB1391" i="1"/>
  <c r="AB1390" i="5" s="1"/>
  <c r="AA1271" i="2"/>
  <c r="AA1336" i="4"/>
  <c r="AB1337" i="1"/>
  <c r="AB1336" i="5" s="1"/>
  <c r="W1242" i="2"/>
  <c r="W1305" i="4"/>
  <c r="Z1167" i="2"/>
  <c r="Z1221" i="4"/>
  <c r="AA1070" i="2"/>
  <c r="AA1119" i="4"/>
  <c r="AB1120" i="1"/>
  <c r="AB1119" i="5" s="1"/>
  <c r="Z622" i="2"/>
  <c r="Z650" i="4"/>
  <c r="M2392" i="4"/>
  <c r="AA2398" i="1"/>
  <c r="AA2392" i="5" s="1"/>
  <c r="X2304" i="4"/>
  <c r="Z2310" i="1"/>
  <c r="X2319" i="1"/>
  <c r="X2454" i="1" s="1"/>
  <c r="X2920" i="1" s="1"/>
  <c r="W1975" i="4"/>
  <c r="W1987" i="4" s="1"/>
  <c r="W1991" i="1"/>
  <c r="M1944" i="4"/>
  <c r="AA1948" i="1"/>
  <c r="AA1944" i="5" s="1"/>
  <c r="M1760" i="2"/>
  <c r="M1854" i="4"/>
  <c r="AA1858" i="1"/>
  <c r="AA1854" i="5" s="1"/>
  <c r="W1561" i="4"/>
  <c r="W1486" i="2"/>
  <c r="Z519" i="2"/>
  <c r="Z526" i="2" s="1"/>
  <c r="Z546" i="1"/>
  <c r="AA147" i="2"/>
  <c r="AA154" i="4"/>
  <c r="AB154" i="1"/>
  <c r="AB154" i="5" s="1"/>
  <c r="AA166" i="1"/>
  <c r="M1320" i="2"/>
  <c r="M1389" i="4"/>
  <c r="AA1390" i="1"/>
  <c r="M1403" i="1"/>
  <c r="AA1301" i="2"/>
  <c r="AA1370" i="4"/>
  <c r="AB1371" i="1"/>
  <c r="AB1370" i="5" s="1"/>
  <c r="AA1259" i="2"/>
  <c r="AA1322" i="4"/>
  <c r="AB1323" i="1"/>
  <c r="AB1322" i="5" s="1"/>
  <c r="W1170" i="2"/>
  <c r="W1224" i="4"/>
  <c r="W1129" i="2"/>
  <c r="W1180" i="4"/>
  <c r="W994" i="2"/>
  <c r="W1039" i="4"/>
  <c r="AA872" i="2"/>
  <c r="AA912" i="4"/>
  <c r="AB912" i="1"/>
  <c r="AB912" i="5" s="1"/>
  <c r="AA505" i="2"/>
  <c r="AA525" i="4"/>
  <c r="AA536" i="1"/>
  <c r="AB526" i="1"/>
  <c r="AB525" i="5" s="1"/>
  <c r="Z150" i="2"/>
  <c r="Z157" i="4"/>
  <c r="AA1340" i="2"/>
  <c r="AA1410" i="4"/>
  <c r="AB1411" i="1"/>
  <c r="AB1410" i="5" s="1"/>
  <c r="W1243" i="2"/>
  <c r="W1306" i="4"/>
  <c r="X1118" i="2"/>
  <c r="X1135" i="2" s="1"/>
  <c r="Z1170" i="1"/>
  <c r="X1188" i="1"/>
  <c r="X1190" i="1" s="1"/>
  <c r="X2908" i="1" s="1"/>
  <c r="AB973" i="2"/>
  <c r="AB1018" i="4"/>
  <c r="Z930" i="2"/>
  <c r="Z972" i="4"/>
  <c r="W863" i="2"/>
  <c r="W903" i="4"/>
  <c r="AA742" i="2"/>
  <c r="AA773" i="4"/>
  <c r="AB773" i="1"/>
  <c r="AB773" i="5" s="1"/>
  <c r="V87" i="2"/>
  <c r="AA2819" i="1"/>
  <c r="AA2743" i="4"/>
  <c r="AB2751" i="1"/>
  <c r="AA2735" i="4"/>
  <c r="AB2743" i="1"/>
  <c r="AA2709" i="4"/>
  <c r="AB2717" i="1"/>
  <c r="AA2689" i="4"/>
  <c r="AB2697" i="1"/>
  <c r="AA2674" i="4"/>
  <c r="AB2682" i="1"/>
  <c r="M2406" i="4"/>
  <c r="AA2412" i="1"/>
  <c r="AA2406" i="5" s="1"/>
  <c r="M2345" i="4"/>
  <c r="AA2351" i="1"/>
  <c r="AA2345" i="5" s="1"/>
  <c r="AA2366" i="5" s="1"/>
  <c r="M2372" i="1"/>
  <c r="J2146" i="4"/>
  <c r="J2173" i="4" s="1"/>
  <c r="J2177" i="1"/>
  <c r="M1911" i="4"/>
  <c r="AA1915" i="1"/>
  <c r="AA1911" i="5" s="1"/>
  <c r="W1195" i="2"/>
  <c r="W1254" i="4"/>
  <c r="W1053" i="2"/>
  <c r="W1101" i="4"/>
  <c r="W1048" i="2"/>
  <c r="W1096" i="4"/>
  <c r="AA853" i="2"/>
  <c r="AA893" i="4"/>
  <c r="AB893" i="1"/>
  <c r="AB893" i="5" s="1"/>
  <c r="AA774" i="2"/>
  <c r="AA808" i="4"/>
  <c r="AB808" i="1"/>
  <c r="AB808" i="5" s="1"/>
  <c r="AA775" i="4"/>
  <c r="AB775" i="1"/>
  <c r="W494" i="2"/>
  <c r="W514" i="4"/>
  <c r="X982" i="2"/>
  <c r="X988" i="2" s="1"/>
  <c r="Z1028" i="1"/>
  <c r="Z982" i="2" s="1"/>
  <c r="W955" i="2"/>
  <c r="W998" i="4"/>
  <c r="W950" i="2"/>
  <c r="W993" i="4"/>
  <c r="W1014" i="1"/>
  <c r="AA913" i="4"/>
  <c r="AB913" i="1"/>
  <c r="AB830" i="2"/>
  <c r="AB866" i="4"/>
  <c r="J823" i="2"/>
  <c r="J858" i="4"/>
  <c r="AA799" i="2"/>
  <c r="AA833" i="4"/>
  <c r="AB833" i="1"/>
  <c r="AB833" i="5" s="1"/>
  <c r="W755" i="2"/>
  <c r="W788" i="4"/>
  <c r="AA734" i="2"/>
  <c r="AA765" i="4"/>
  <c r="AB765" i="1"/>
  <c r="AB765" i="5" s="1"/>
  <c r="W628" i="2"/>
  <c r="W656" i="4"/>
  <c r="AA493" i="2"/>
  <c r="AA513" i="4"/>
  <c r="AB514" i="1"/>
  <c r="AB931" i="2"/>
  <c r="AB973" i="4"/>
  <c r="AA2203" i="4"/>
  <c r="AB2207" i="1"/>
  <c r="AB2246" i="4"/>
  <c r="V1153" i="2"/>
  <c r="V1205" i="4"/>
  <c r="W1206" i="1"/>
  <c r="W1205" i="5" s="1"/>
  <c r="AA801" i="2"/>
  <c r="AA835" i="4"/>
  <c r="AB835" i="1"/>
  <c r="AB835" i="5" s="1"/>
  <c r="AA1671" i="4"/>
  <c r="AB1674" i="1"/>
  <c r="AA429" i="2"/>
  <c r="AA449" i="4"/>
  <c r="AA458" i="1"/>
  <c r="AB450" i="1"/>
  <c r="AB449" i="5" s="1"/>
  <c r="F2722" i="2"/>
  <c r="AA36" i="2"/>
  <c r="AA39" i="4"/>
  <c r="AB39" i="1"/>
  <c r="AB39" i="5" s="1"/>
  <c r="AA1067" i="2"/>
  <c r="AA1116" i="4"/>
  <c r="AB1117" i="1"/>
  <c r="AB1116" i="5" s="1"/>
  <c r="AA415" i="2"/>
  <c r="AA433" i="4"/>
  <c r="AB434" i="1"/>
  <c r="AB433" i="5" s="1"/>
  <c r="X1459" i="2"/>
  <c r="X1464" i="2" s="1"/>
  <c r="Z1537" i="1"/>
  <c r="Z1459" i="2" s="1"/>
  <c r="AA795" i="2"/>
  <c r="AA829" i="4"/>
  <c r="AB829" i="1"/>
  <c r="AB829" i="5" s="1"/>
  <c r="AB1393" i="2"/>
  <c r="AB1469" i="4"/>
  <c r="AA2530" i="4"/>
  <c r="AB2538" i="1"/>
  <c r="AA2178" i="4"/>
  <c r="AB2182" i="1"/>
  <c r="W1125" i="2"/>
  <c r="W1176" i="4"/>
  <c r="AA2681" i="4"/>
  <c r="AB2689" i="1"/>
  <c r="V2518" i="4"/>
  <c r="W2526" i="1"/>
  <c r="W2518" i="5" s="1"/>
  <c r="V2543" i="1"/>
  <c r="W2454" i="4"/>
  <c r="W2470" i="4" s="1"/>
  <c r="W2478" i="1"/>
  <c r="AB2573" i="4"/>
  <c r="AA2356" i="4"/>
  <c r="AB2362" i="1"/>
  <c r="AA2259" i="4"/>
  <c r="AB2263" i="1"/>
  <c r="AA2241" i="4"/>
  <c r="AB2245" i="1"/>
  <c r="AA2151" i="4"/>
  <c r="AB2155" i="1"/>
  <c r="AB1745" i="2"/>
  <c r="AB1839" i="4"/>
  <c r="AB1721" i="2"/>
  <c r="AB1813" i="4"/>
  <c r="AB1663" i="2"/>
  <c r="AB1754" i="4"/>
  <c r="W1616" i="4"/>
  <c r="W1535" i="2"/>
  <c r="Z1507" i="2"/>
  <c r="Z1583" i="4"/>
  <c r="Z1503" i="2"/>
  <c r="Z1579" i="4"/>
  <c r="Z1499" i="2"/>
  <c r="Z1575" i="4"/>
  <c r="Z1495" i="2"/>
  <c r="Z1571" i="4"/>
  <c r="Z1595" i="1"/>
  <c r="W1487" i="2"/>
  <c r="W1562" i="4"/>
  <c r="W1483" i="2"/>
  <c r="W1558" i="4"/>
  <c r="W1479" i="2"/>
  <c r="W1554" i="4"/>
  <c r="AA1450" i="2"/>
  <c r="AA1527" i="4"/>
  <c r="AB1528" i="1"/>
  <c r="AB1527" i="5" s="1"/>
  <c r="AA1391" i="2"/>
  <c r="AA1463" i="4"/>
  <c r="AB1464" i="1"/>
  <c r="AB1463" i="5" s="1"/>
  <c r="W1030" i="2"/>
  <c r="W1077" i="4"/>
  <c r="AA2424" i="4"/>
  <c r="AB2430" i="1"/>
  <c r="X1347" i="2"/>
  <c r="Z1418" i="1"/>
  <c r="Z1347" i="2" s="1"/>
  <c r="AA1325" i="2"/>
  <c r="AA1394" i="4"/>
  <c r="AB1395" i="1"/>
  <c r="AB1394" i="5" s="1"/>
  <c r="AB892" i="2"/>
  <c r="AB935" i="4"/>
  <c r="AA2502" i="4"/>
  <c r="AB2510" i="1"/>
  <c r="AB2502" i="5" s="1"/>
  <c r="AA2523" i="1"/>
  <c r="AB957" i="2"/>
  <c r="AB1000" i="4"/>
  <c r="W823" i="2"/>
  <c r="W858" i="4"/>
  <c r="AA755" i="2"/>
  <c r="AA788" i="4"/>
  <c r="AB788" i="1"/>
  <c r="AB788" i="5" s="1"/>
  <c r="J1224" i="2"/>
  <c r="J1246" i="2" s="1"/>
  <c r="J1287" i="4"/>
  <c r="J1309" i="4" s="1"/>
  <c r="J1310" i="1"/>
  <c r="AA1016" i="2"/>
  <c r="AA1063" i="4"/>
  <c r="AB1064" i="1"/>
  <c r="AB1063" i="5" s="1"/>
  <c r="Z944" i="2"/>
  <c r="Z946" i="2" s="1"/>
  <c r="Z987" i="4"/>
  <c r="Z990" i="1"/>
  <c r="Z975" i="4"/>
  <c r="Z933" i="2"/>
  <c r="AA2714" i="4"/>
  <c r="AB2722" i="1"/>
  <c r="AA2707" i="4"/>
  <c r="AB2715" i="1"/>
  <c r="AB2707" i="5" s="1"/>
  <c r="AA2694" i="4"/>
  <c r="AB2702" i="1"/>
  <c r="AA1124" i="2"/>
  <c r="AA1175" i="4"/>
  <c r="AB1176" i="1"/>
  <c r="AB1175" i="5" s="1"/>
  <c r="W1104" i="2"/>
  <c r="W1154" i="4"/>
  <c r="W928" i="2"/>
  <c r="W970" i="4"/>
  <c r="AA819" i="2"/>
  <c r="AA854" i="4"/>
  <c r="AB854" i="1"/>
  <c r="AB854" i="5" s="1"/>
  <c r="J776" i="2"/>
  <c r="J810" i="4"/>
  <c r="AA773" i="2"/>
  <c r="AA807" i="4"/>
  <c r="AB807" i="1"/>
  <c r="AB807" i="5" s="1"/>
  <c r="AA438" i="4"/>
  <c r="AB439" i="1"/>
  <c r="AB389" i="2"/>
  <c r="AB407" i="4"/>
  <c r="AA14" i="2"/>
  <c r="AA14" i="4"/>
  <c r="AB14" i="1"/>
  <c r="AB14" i="5" s="1"/>
  <c r="P132" i="1"/>
  <c r="X47" i="1"/>
  <c r="AB1098" i="2"/>
  <c r="AB1148" i="4"/>
  <c r="AB972" i="2"/>
  <c r="AB1017" i="4"/>
  <c r="AB955" i="2"/>
  <c r="AB998" i="4"/>
  <c r="W851" i="2"/>
  <c r="W891" i="4"/>
  <c r="AB332" i="2"/>
  <c r="AB345" i="4"/>
  <c r="J290" i="2"/>
  <c r="J302" i="4"/>
  <c r="K211" i="2"/>
  <c r="K220" i="4"/>
  <c r="Q220" i="1"/>
  <c r="Q220" i="5" s="1"/>
  <c r="W130" i="2"/>
  <c r="W137" i="4"/>
  <c r="W149" i="1"/>
  <c r="AA115" i="2"/>
  <c r="AA121" i="4"/>
  <c r="AB121" i="1"/>
  <c r="AB121" i="5" s="1"/>
  <c r="Z422" i="2"/>
  <c r="Z442" i="4"/>
  <c r="V408" i="2"/>
  <c r="V426" i="2" s="1"/>
  <c r="V426" i="4"/>
  <c r="V446" i="4" s="1"/>
  <c r="V447" i="1"/>
  <c r="W427" i="1"/>
  <c r="W426" i="5" s="1"/>
  <c r="W446" i="5" s="1"/>
  <c r="Z384" i="2"/>
  <c r="Z402" i="4"/>
  <c r="Z420" i="1"/>
  <c r="Z238" i="2"/>
  <c r="Z248" i="4"/>
  <c r="AB167" i="2"/>
  <c r="AB175" i="4"/>
  <c r="W145" i="2"/>
  <c r="W152" i="4"/>
  <c r="W166" i="1"/>
  <c r="AA46" i="2"/>
  <c r="AA50" i="4"/>
  <c r="AB50" i="1"/>
  <c r="AB50" i="5" s="1"/>
  <c r="Z1861" i="2"/>
  <c r="Z1863" i="2" s="1"/>
  <c r="X1863" i="2"/>
  <c r="AA561" i="2"/>
  <c r="AA582" i="4"/>
  <c r="AB581" i="1"/>
  <c r="AB582" i="5" s="1"/>
  <c r="AA486" i="2"/>
  <c r="AA506" i="4"/>
  <c r="AB507" i="1"/>
  <c r="AB506" i="5" s="1"/>
  <c r="Z430" i="2"/>
  <c r="Z450" i="4"/>
  <c r="AB1069" i="2"/>
  <c r="AB1118" i="4"/>
  <c r="AB986" i="2"/>
  <c r="AB1031" i="4"/>
  <c r="AB763" i="2"/>
  <c r="AB796" i="4"/>
  <c r="AB13" i="2"/>
  <c r="AB13" i="4"/>
  <c r="AA399" i="2"/>
  <c r="AA417" i="4"/>
  <c r="AB418" i="1"/>
  <c r="AB417" i="5" s="1"/>
  <c r="X283" i="2"/>
  <c r="Z296" i="1"/>
  <c r="Z283" i="2" s="1"/>
  <c r="AA19" i="2"/>
  <c r="AA20" i="4"/>
  <c r="AB20" i="1"/>
  <c r="AB20" i="5" s="1"/>
  <c r="AA2496" i="4"/>
  <c r="AB2504" i="1"/>
  <c r="AA1425" i="4"/>
  <c r="AA1355" i="2"/>
  <c r="AB1426" i="1"/>
  <c r="AB1425" i="5" s="1"/>
  <c r="AA1581" i="2"/>
  <c r="AA1667" i="4"/>
  <c r="AB1670" i="1"/>
  <c r="AB1667" i="5" s="1"/>
  <c r="AB1535" i="2"/>
  <c r="AB1616" i="4"/>
  <c r="K2828" i="1"/>
  <c r="K2910" i="1"/>
  <c r="AA2087" i="4"/>
  <c r="AB2091" i="1"/>
  <c r="AA2018" i="4"/>
  <c r="AB2022" i="1"/>
  <c r="AB1774" i="2"/>
  <c r="AB1870" i="4"/>
  <c r="Q1160" i="2"/>
  <c r="Q2666" i="2"/>
  <c r="M737" i="2"/>
  <c r="M748" i="2" s="1"/>
  <c r="M768" i="4"/>
  <c r="M781" i="4" s="1"/>
  <c r="AA768" i="1"/>
  <c r="AA768" i="5" s="1"/>
  <c r="M781" i="1"/>
  <c r="X2680" i="4"/>
  <c r="Z2688" i="1"/>
  <c r="U2423" i="4"/>
  <c r="U2428" i="4" s="1"/>
  <c r="AA2429" i="1"/>
  <c r="AA2351" i="4"/>
  <c r="AB2357" i="1"/>
  <c r="AA2303" i="4"/>
  <c r="AB2309" i="1"/>
  <c r="AA2300" i="4"/>
  <c r="AB2306" i="1"/>
  <c r="AA1687" i="2"/>
  <c r="AA1778" i="4"/>
  <c r="AB1782" i="1"/>
  <c r="AB1778" i="5" s="1"/>
  <c r="Z1584" i="2"/>
  <c r="Z1670" i="4"/>
  <c r="AA1401" i="2"/>
  <c r="AA1477" i="4"/>
  <c r="AB1478" i="1"/>
  <c r="AB1477" i="5" s="1"/>
  <c r="AA1348" i="2"/>
  <c r="AA1418" i="4"/>
  <c r="AB1419" i="1"/>
  <c r="AB1418" i="5" s="1"/>
  <c r="W2503" i="4"/>
  <c r="W1341" i="2"/>
  <c r="W1411" i="4"/>
  <c r="AA1260" i="2"/>
  <c r="AA1323" i="4"/>
  <c r="AB1324" i="1"/>
  <c r="AB1323" i="5" s="1"/>
  <c r="Z1082" i="2"/>
  <c r="AA1031" i="2"/>
  <c r="AA1078" i="4"/>
  <c r="AB1079" i="1"/>
  <c r="AB1078" i="5" s="1"/>
  <c r="AA1024" i="2"/>
  <c r="AA1071" i="4"/>
  <c r="AB1072" i="1"/>
  <c r="AB1071" i="5" s="1"/>
  <c r="W892" i="2"/>
  <c r="W935" i="4"/>
  <c r="W882" i="2"/>
  <c r="W925" i="4"/>
  <c r="AA740" i="2"/>
  <c r="AA771" i="4"/>
  <c r="AB771" i="1"/>
  <c r="AB771" i="5" s="1"/>
  <c r="W793" i="2"/>
  <c r="W827" i="4"/>
  <c r="AA803" i="2"/>
  <c r="AA837" i="4"/>
  <c r="AB837" i="1"/>
  <c r="AB837" i="5" s="1"/>
  <c r="AA372" i="2"/>
  <c r="AA388" i="4"/>
  <c r="AB389" i="1"/>
  <c r="AB388" i="5" s="1"/>
  <c r="AA238" i="2"/>
  <c r="AA248" i="4"/>
  <c r="AB249" i="1"/>
  <c r="AB248" i="5" s="1"/>
  <c r="Z1990" i="4"/>
  <c r="Z2015" i="1"/>
  <c r="W756" i="2"/>
  <c r="W789" i="4"/>
  <c r="AA2093" i="4"/>
  <c r="AB2097" i="1"/>
  <c r="AA1656" i="2"/>
  <c r="AA1747" i="4"/>
  <c r="AB1751" i="1"/>
  <c r="AB1747" i="5" s="1"/>
  <c r="AB1562" i="2"/>
  <c r="AB1645" i="4"/>
  <c r="AA1144" i="2"/>
  <c r="AA1196" i="4"/>
  <c r="AB1197" i="1"/>
  <c r="AB1196" i="5" s="1"/>
  <c r="AA2557" i="4"/>
  <c r="AB2565" i="1"/>
  <c r="Z1568" i="2"/>
  <c r="Z1651" i="4"/>
  <c r="AA1600" i="2"/>
  <c r="AA1689" i="4"/>
  <c r="AB1692" i="1"/>
  <c r="AB1689" i="5" s="1"/>
  <c r="W1657" i="4"/>
  <c r="W1571" i="2"/>
  <c r="M2698" i="4"/>
  <c r="AA2706" i="1"/>
  <c r="AA2698" i="5" s="1"/>
  <c r="AA2628" i="4"/>
  <c r="AB2636" i="1"/>
  <c r="AB2491" i="4"/>
  <c r="M1763" i="2"/>
  <c r="M1857" i="4"/>
  <c r="AA1861" i="1"/>
  <c r="AA1857" i="5" s="1"/>
  <c r="X2573" i="1"/>
  <c r="Z2549" i="1"/>
  <c r="Z2573" i="1" s="1"/>
  <c r="AA460" i="2"/>
  <c r="AA480" i="4"/>
  <c r="AB481" i="1"/>
  <c r="AB480" i="5" s="1"/>
  <c r="R179" i="2"/>
  <c r="R187" i="4"/>
  <c r="AA248" i="2"/>
  <c r="AA259" i="4"/>
  <c r="AB260" i="1"/>
  <c r="AB259" i="5" s="1"/>
  <c r="AB171" i="2"/>
  <c r="AB179" i="4"/>
  <c r="W419" i="2"/>
  <c r="W437" i="4"/>
  <c r="M341" i="2"/>
  <c r="M353" i="2" s="1"/>
  <c r="M355" i="4"/>
  <c r="AA356" i="1"/>
  <c r="AA355" i="5" s="1"/>
  <c r="AA181" i="2"/>
  <c r="AA189" i="4"/>
  <c r="AB189" i="1"/>
  <c r="AB189" i="5" s="1"/>
  <c r="AB109" i="2"/>
  <c r="AB115" i="4"/>
  <c r="X887" i="2"/>
  <c r="Z930" i="1"/>
  <c r="Z887" i="2" s="1"/>
  <c r="AA975" i="2"/>
  <c r="AA1020" i="4"/>
  <c r="AB1021" i="1"/>
  <c r="AB1020" i="5" s="1"/>
  <c r="AA622" i="4"/>
  <c r="AB621" i="1"/>
  <c r="W74" i="2"/>
  <c r="W78" i="4"/>
  <c r="AB477" i="2"/>
  <c r="AB497" i="4"/>
  <c r="W486" i="2"/>
  <c r="W506" i="4"/>
  <c r="AB422" i="2"/>
  <c r="AB442" i="4"/>
  <c r="AB1000" i="2"/>
  <c r="AB1045" i="4"/>
  <c r="X318" i="2"/>
  <c r="Z332" i="1"/>
  <c r="Z318" i="2" s="1"/>
  <c r="AA307" i="4"/>
  <c r="AB308" i="1"/>
  <c r="AB317" i="2"/>
  <c r="AB330" i="4"/>
  <c r="AA339" i="2"/>
  <c r="AA352" i="4"/>
  <c r="AB353" i="1"/>
  <c r="AB352" i="5" s="1"/>
  <c r="AA285" i="2"/>
  <c r="AA297" i="4"/>
  <c r="AB298" i="1"/>
  <c r="AB297" i="5" s="1"/>
  <c r="AB130" i="2"/>
  <c r="AB137" i="4"/>
  <c r="AB58" i="2"/>
  <c r="AB62" i="4"/>
  <c r="V555" i="2"/>
  <c r="V565" i="2" s="1"/>
  <c r="V576" i="4"/>
  <c r="V589" i="4" s="1"/>
  <c r="W575" i="1"/>
  <c r="AA284" i="2"/>
  <c r="AA296" i="4"/>
  <c r="AB297" i="1"/>
  <c r="AB296" i="5" s="1"/>
  <c r="V2635" i="4"/>
  <c r="U1710" i="2"/>
  <c r="J1955" i="1"/>
  <c r="M1728" i="2"/>
  <c r="U1332" i="2"/>
  <c r="V2666" i="2"/>
  <c r="X1434" i="1"/>
  <c r="U1375" i="4"/>
  <c r="Q1402" i="4"/>
  <c r="Q1218" i="2"/>
  <c r="Q2650" i="2" s="1"/>
  <c r="U898" i="2"/>
  <c r="Q781" i="4"/>
  <c r="V535" i="4"/>
  <c r="J802" i="1"/>
  <c r="M2079" i="4"/>
  <c r="M1188" i="4"/>
  <c r="U879" i="2"/>
  <c r="X2736" i="1"/>
  <c r="X2760" i="1" s="1"/>
  <c r="X2926" i="1" s="1"/>
  <c r="V1129" i="4"/>
  <c r="M2760" i="1"/>
  <c r="M2926" i="1" s="1"/>
  <c r="Q1802" i="4"/>
  <c r="V2041" i="1"/>
  <c r="M1514" i="2"/>
  <c r="Q922" i="4"/>
  <c r="M1847" i="1"/>
  <c r="U1758" i="4"/>
  <c r="M1605" i="2"/>
  <c r="Z2319" i="1"/>
  <c r="Z2454" i="1" s="1"/>
  <c r="Z2920" i="1" s="1"/>
  <c r="U1676" i="2"/>
  <c r="U1618" i="4"/>
  <c r="V123" i="2"/>
  <c r="V2654" i="2"/>
  <c r="X502" i="2"/>
  <c r="J1245" i="1"/>
  <c r="K208" i="1"/>
  <c r="X872" i="1"/>
  <c r="V522" i="4"/>
  <c r="J823" i="1"/>
  <c r="M123" i="2"/>
  <c r="X1543" i="4"/>
  <c r="X2913" i="4" s="1"/>
  <c r="V473" i="4"/>
  <c r="X453" i="2"/>
  <c r="X123" i="2"/>
  <c r="M2116" i="1"/>
  <c r="Q2314" i="2"/>
  <c r="Q2744" i="2" s="1"/>
  <c r="U712" i="2"/>
  <c r="V984" i="4"/>
  <c r="V986" i="4" s="1"/>
  <c r="Q725" i="2"/>
  <c r="V453" i="2"/>
  <c r="V1185" i="2"/>
  <c r="M2223" i="1"/>
  <c r="Q1758" i="4"/>
  <c r="U1049" i="4"/>
  <c r="X549" i="2"/>
  <c r="P2085" i="1"/>
  <c r="P2916" i="1" s="1"/>
  <c r="M1079" i="2"/>
  <c r="U398" i="4"/>
  <c r="U558" i="4"/>
  <c r="V480" i="2"/>
  <c r="U353" i="2"/>
  <c r="M262" i="1"/>
  <c r="J2341" i="4"/>
  <c r="J399" i="1"/>
  <c r="J422" i="1" s="1"/>
  <c r="V64" i="2"/>
  <c r="U312" i="4"/>
  <c r="W1563" i="4"/>
  <c r="W1488" i="2"/>
  <c r="AA2655" i="4"/>
  <c r="AB2663" i="1"/>
  <c r="AA1587" i="2"/>
  <c r="AA1676" i="4"/>
  <c r="AB1679" i="1"/>
  <c r="AB1676" i="5" s="1"/>
  <c r="AA2700" i="4"/>
  <c r="AB2708" i="1"/>
  <c r="AA1959" i="4"/>
  <c r="AB1963" i="1"/>
  <c r="AA1628" i="4"/>
  <c r="AA1547" i="2"/>
  <c r="AB1631" i="1"/>
  <c r="AB1628" i="5" s="1"/>
  <c r="AA1146" i="2"/>
  <c r="AA1198" i="4"/>
  <c r="AB1199" i="1"/>
  <c r="AB1198" i="5" s="1"/>
  <c r="V1257" i="2"/>
  <c r="V1274" i="2" s="1"/>
  <c r="V1320" i="4"/>
  <c r="V1339" i="4" s="1"/>
  <c r="W1321" i="1"/>
  <c r="AA54" i="2"/>
  <c r="AA58" i="4"/>
  <c r="AB58" i="1"/>
  <c r="AB58" i="5" s="1"/>
  <c r="J2901" i="4"/>
  <c r="E1865" i="2"/>
  <c r="E2738" i="2" s="1"/>
  <c r="AA2668" i="4"/>
  <c r="AB2676" i="1"/>
  <c r="AA1689" i="2"/>
  <c r="AA1780" i="4"/>
  <c r="AB1784" i="1"/>
  <c r="AB1780" i="5" s="1"/>
  <c r="W1512" i="2"/>
  <c r="W1590" i="4"/>
  <c r="J1764" i="2"/>
  <c r="J1858" i="4"/>
  <c r="W1474" i="2"/>
  <c r="W1549" i="4"/>
  <c r="W1571" i="1"/>
  <c r="X1204" i="2"/>
  <c r="Z1264" i="1"/>
  <c r="Z1204" i="2" s="1"/>
  <c r="AB1103" i="2"/>
  <c r="AB1153" i="4"/>
  <c r="W1010" i="2"/>
  <c r="W1055" i="4"/>
  <c r="J883" i="2"/>
  <c r="J926" i="4"/>
  <c r="W795" i="2"/>
  <c r="W829" i="4"/>
  <c r="AA2575" i="4"/>
  <c r="AB2583" i="1"/>
  <c r="AA2158" i="4"/>
  <c r="AB2162" i="1"/>
  <c r="AB2844" i="1"/>
  <c r="AA1423" i="2"/>
  <c r="AA1500" i="4"/>
  <c r="AB1501" i="1"/>
  <c r="AB1500" i="5" s="1"/>
  <c r="M915" i="4"/>
  <c r="AA915" i="1"/>
  <c r="AA915" i="5" s="1"/>
  <c r="W1107" i="2"/>
  <c r="W1157" i="4"/>
  <c r="AA1926" i="4"/>
  <c r="AB1930" i="1"/>
  <c r="AA1706" i="2"/>
  <c r="AA1798" i="4"/>
  <c r="AB1802" i="1"/>
  <c r="AB1798" i="5" s="1"/>
  <c r="W1595" i="2"/>
  <c r="W1684" i="4"/>
  <c r="Z1540" i="2"/>
  <c r="Z1621" i="4"/>
  <c r="Z972" i="2"/>
  <c r="Z1034" i="1"/>
  <c r="X2598" i="4"/>
  <c r="Z2606" i="1"/>
  <c r="M1777" i="2"/>
  <c r="M1873" i="4"/>
  <c r="AA1877" i="1"/>
  <c r="AA1873" i="5" s="1"/>
  <c r="AA1899" i="5" s="1"/>
  <c r="AA1406" i="4"/>
  <c r="AA1336" i="2"/>
  <c r="AB1407" i="1"/>
  <c r="AB1406" i="5" s="1"/>
  <c r="W1284" i="2"/>
  <c r="W1349" i="4"/>
  <c r="AA1252" i="2"/>
  <c r="AA1315" i="4"/>
  <c r="AB1316" i="1"/>
  <c r="AB1315" i="5" s="1"/>
  <c r="W932" i="2"/>
  <c r="W974" i="4"/>
  <c r="AB719" i="2"/>
  <c r="AB750" i="4"/>
  <c r="AB1757" i="2"/>
  <c r="AB1851" i="4"/>
  <c r="AA2016" i="4"/>
  <c r="AB2020" i="1"/>
  <c r="AA1791" i="2"/>
  <c r="AA1890" i="4"/>
  <c r="AB1894" i="1"/>
  <c r="AB1890" i="5" s="1"/>
  <c r="AA1693" i="4"/>
  <c r="AB1696" i="1"/>
  <c r="Z1533" i="2"/>
  <c r="Z1612" i="4"/>
  <c r="AB673" i="2"/>
  <c r="AB703" i="4"/>
  <c r="AA2229" i="4"/>
  <c r="AB2233" i="1"/>
  <c r="AA1766" i="2"/>
  <c r="AA1860" i="4"/>
  <c r="AB1864" i="1"/>
  <c r="AB1860" i="5" s="1"/>
  <c r="AA1546" i="2"/>
  <c r="AA1627" i="4"/>
  <c r="AB1630" i="1"/>
  <c r="AB1627" i="5" s="1"/>
  <c r="AA1529" i="2"/>
  <c r="AA1607" i="4"/>
  <c r="AB1610" i="1"/>
  <c r="AB1607" i="5" s="1"/>
  <c r="AA1524" i="2"/>
  <c r="AA1602" i="4"/>
  <c r="AB1605" i="1"/>
  <c r="AB1602" i="5" s="1"/>
  <c r="AB1500" i="2"/>
  <c r="AB1576" i="4"/>
  <c r="AA1351" i="2"/>
  <c r="AA1421" i="4"/>
  <c r="AB1422" i="1"/>
  <c r="AB1421" i="5" s="1"/>
  <c r="Z1165" i="2"/>
  <c r="Z1219" i="4"/>
  <c r="W800" i="2"/>
  <c r="W834" i="4"/>
  <c r="AB568" i="2"/>
  <c r="AB592" i="4"/>
  <c r="X1763" i="2"/>
  <c r="Z1861" i="1"/>
  <c r="Z1763" i="2" s="1"/>
  <c r="W1507" i="2"/>
  <c r="W1583" i="4"/>
  <c r="W1557" i="4"/>
  <c r="W1482" i="2"/>
  <c r="W1408" i="2"/>
  <c r="W1484" i="4"/>
  <c r="M1386" i="2"/>
  <c r="M1457" i="4"/>
  <c r="AA1458" i="1"/>
  <c r="AA1457" i="5" s="1"/>
  <c r="W1371" i="2"/>
  <c r="W1442" i="4"/>
  <c r="AB1315" i="2"/>
  <c r="AB1384" i="4"/>
  <c r="AA1213" i="2"/>
  <c r="AA1272" i="4"/>
  <c r="AB1273" i="1"/>
  <c r="AB1272" i="5" s="1"/>
  <c r="V1198" i="2"/>
  <c r="V1257" i="4"/>
  <c r="W1258" i="1"/>
  <c r="W1257" i="5" s="1"/>
  <c r="W1281" i="5" s="1"/>
  <c r="V1282" i="1"/>
  <c r="W1112" i="2"/>
  <c r="W1163" i="4"/>
  <c r="AA1365" i="4"/>
  <c r="AB1366" i="1"/>
  <c r="AA1253" i="2"/>
  <c r="AA1316" i="4"/>
  <c r="AB1317" i="1"/>
  <c r="AB1316" i="5" s="1"/>
  <c r="AA1205" i="2"/>
  <c r="AA1264" i="4"/>
  <c r="AB1265" i="1"/>
  <c r="AB1264" i="5" s="1"/>
  <c r="AA1028" i="2"/>
  <c r="AA1075" i="4"/>
  <c r="AB1076" i="1"/>
  <c r="AB1075" i="5" s="1"/>
  <c r="AA858" i="2"/>
  <c r="AA898" i="4"/>
  <c r="AB898" i="1"/>
  <c r="AB898" i="5" s="1"/>
  <c r="AA596" i="2"/>
  <c r="AA620" i="4"/>
  <c r="AB619" i="1"/>
  <c r="AB620" i="5" s="1"/>
  <c r="Z545" i="2"/>
  <c r="Z549" i="2" s="1"/>
  <c r="Z569" i="1"/>
  <c r="AA2748" i="4"/>
  <c r="AB2756" i="1"/>
  <c r="AA2733" i="4"/>
  <c r="AB2741" i="1"/>
  <c r="AA2596" i="4"/>
  <c r="AB2604" i="1"/>
  <c r="AA2551" i="4"/>
  <c r="AB2559" i="1"/>
  <c r="M2541" i="4"/>
  <c r="M2565" i="4" s="1"/>
  <c r="AA2549" i="1"/>
  <c r="AA2541" i="5" s="1"/>
  <c r="AA2565" i="5" s="1"/>
  <c r="M2573" i="1"/>
  <c r="M2334" i="4"/>
  <c r="AA2340" i="1"/>
  <c r="AA2334" i="5" s="1"/>
  <c r="Z2124" i="1"/>
  <c r="Z2120" i="5" s="1"/>
  <c r="X2142" i="1"/>
  <c r="Z2045" i="1"/>
  <c r="Z2063" i="1" s="1"/>
  <c r="X2063" i="1"/>
  <c r="X2085" i="1" s="1"/>
  <c r="X2916" i="1" s="1"/>
  <c r="W1251" i="2"/>
  <c r="W1314" i="4"/>
  <c r="V1148" i="2"/>
  <c r="V1160" i="2" s="1"/>
  <c r="V1200" i="4"/>
  <c r="W1201" i="1"/>
  <c r="W1200" i="5" s="1"/>
  <c r="W1214" i="5" s="1"/>
  <c r="X1148" i="2"/>
  <c r="X1160" i="2" s="1"/>
  <c r="X1200" i="4"/>
  <c r="Z1201" i="1"/>
  <c r="M1090" i="2"/>
  <c r="M1093" i="2" s="1"/>
  <c r="M1140" i="4"/>
  <c r="M1143" i="4" s="1"/>
  <c r="AA1141" i="1"/>
  <c r="M1144" i="1"/>
  <c r="M1190" i="1" s="1"/>
  <c r="M2908" i="1" s="1"/>
  <c r="Z929" i="2"/>
  <c r="Z971" i="4"/>
  <c r="AA870" i="2"/>
  <c r="AA910" i="4"/>
  <c r="AB910" i="1"/>
  <c r="AB910" i="5" s="1"/>
  <c r="AA869" i="4"/>
  <c r="AB869" i="1"/>
  <c r="AA510" i="2"/>
  <c r="AA530" i="4"/>
  <c r="AB531" i="1"/>
  <c r="AB530" i="5" s="1"/>
  <c r="J376" i="2"/>
  <c r="J392" i="4"/>
  <c r="W154" i="2"/>
  <c r="W162" i="4"/>
  <c r="W910" i="2"/>
  <c r="W953" i="4"/>
  <c r="M873" i="2"/>
  <c r="M914" i="4"/>
  <c r="AA914" i="1"/>
  <c r="AA914" i="5" s="1"/>
  <c r="AA546" i="2"/>
  <c r="AA549" i="2" s="1"/>
  <c r="AA567" i="4"/>
  <c r="AA570" i="4" s="1"/>
  <c r="AB566" i="1"/>
  <c r="AB567" i="5" s="1"/>
  <c r="AB570" i="5" s="1"/>
  <c r="AA677" i="2"/>
  <c r="AA707" i="4"/>
  <c r="AB707" i="1"/>
  <c r="AB707" i="5" s="1"/>
  <c r="W659" i="2"/>
  <c r="W689" i="4"/>
  <c r="W651" i="2"/>
  <c r="W679" i="4"/>
  <c r="Z630" i="2"/>
  <c r="Z658" i="4"/>
  <c r="AA591" i="2"/>
  <c r="AA615" i="4"/>
  <c r="AB614" i="1"/>
  <c r="AB615" i="5" s="1"/>
  <c r="AA531" i="2"/>
  <c r="AB551" i="1"/>
  <c r="AB550" i="5" s="1"/>
  <c r="AA550" i="4"/>
  <c r="M462" i="2"/>
  <c r="M467" i="2" s="1"/>
  <c r="AA483" i="1"/>
  <c r="AA482" i="5" s="1"/>
  <c r="AA487" i="5" s="1"/>
  <c r="M482" i="4"/>
  <c r="M487" i="4" s="1"/>
  <c r="Z456" i="2"/>
  <c r="AB1104" i="2"/>
  <c r="AB1154" i="4"/>
  <c r="Z1097" i="2"/>
  <c r="Z1115" i="2" s="1"/>
  <c r="Z1167" i="1"/>
  <c r="AB1002" i="2"/>
  <c r="AB1047" i="4"/>
  <c r="AB928" i="2"/>
  <c r="AB970" i="4"/>
  <c r="W869" i="2"/>
  <c r="W909" i="4"/>
  <c r="AA377" i="2"/>
  <c r="AA393" i="4"/>
  <c r="AB394" i="1"/>
  <c r="AB393" i="5" s="1"/>
  <c r="AA254" i="2"/>
  <c r="AA265" i="4"/>
  <c r="AB266" i="1"/>
  <c r="AB265" i="5" s="1"/>
  <c r="W153" i="2"/>
  <c r="W161" i="4"/>
  <c r="AA59" i="2"/>
  <c r="AA63" i="4"/>
  <c r="AB63" i="1"/>
  <c r="AB63" i="5" s="1"/>
  <c r="AB418" i="2"/>
  <c r="AB436" i="4"/>
  <c r="AB395" i="2"/>
  <c r="AB413" i="4"/>
  <c r="AA384" i="2"/>
  <c r="AA402" i="4"/>
  <c r="AB403" i="1"/>
  <c r="AB402" i="5" s="1"/>
  <c r="AB419" i="5" s="1"/>
  <c r="AB343" i="2"/>
  <c r="AB359" i="4"/>
  <c r="AB275" i="2"/>
  <c r="AB287" i="4"/>
  <c r="AA257" i="4"/>
  <c r="AB258" i="1"/>
  <c r="AA216" i="2"/>
  <c r="AA225" i="4"/>
  <c r="AB225" i="1"/>
  <c r="AB225" i="5" s="1"/>
  <c r="V2572" i="2"/>
  <c r="V2594" i="2" s="1"/>
  <c r="W2552" i="2"/>
  <c r="W2572" i="2" s="1"/>
  <c r="X303" i="2"/>
  <c r="Z317" i="1"/>
  <c r="Z303" i="2" s="1"/>
  <c r="X278" i="2"/>
  <c r="Z291" i="1"/>
  <c r="Z266" i="2"/>
  <c r="Z278" i="4"/>
  <c r="Q182" i="2"/>
  <c r="Q190" i="4"/>
  <c r="R190" i="1"/>
  <c r="R190" i="5" s="1"/>
  <c r="W92" i="2"/>
  <c r="W97" i="4"/>
  <c r="AB112" i="2"/>
  <c r="AB118" i="4"/>
  <c r="AA348" i="2"/>
  <c r="AA364" i="4"/>
  <c r="AB365" i="1"/>
  <c r="AB364" i="5" s="1"/>
  <c r="AA305" i="2"/>
  <c r="AA318" i="4"/>
  <c r="AB319" i="1"/>
  <c r="AB318" i="5" s="1"/>
  <c r="K208" i="2"/>
  <c r="K217" i="4"/>
  <c r="Q217" i="1"/>
  <c r="Q217" i="5" s="1"/>
  <c r="AA357" i="2"/>
  <c r="AA373" i="4"/>
  <c r="AB374" i="1"/>
  <c r="AB373" i="5" s="1"/>
  <c r="W19" i="2"/>
  <c r="W20" i="4"/>
  <c r="AA2250" i="2"/>
  <c r="AB2238" i="2"/>
  <c r="AB2250" i="2" s="1"/>
  <c r="AA2096" i="2"/>
  <c r="AB2075" i="2"/>
  <c r="AB2096" i="2" s="1"/>
  <c r="AA2687" i="4"/>
  <c r="AB2695" i="1"/>
  <c r="AA647" i="2"/>
  <c r="AA675" i="4"/>
  <c r="AB675" i="1"/>
  <c r="AB675" i="5" s="1"/>
  <c r="W435" i="2"/>
  <c r="W455" i="4"/>
  <c r="Z244" i="2"/>
  <c r="Z254" i="4"/>
  <c r="AA68" i="2"/>
  <c r="AA72" i="4"/>
  <c r="AB72" i="1"/>
  <c r="AB72" i="5" s="1"/>
  <c r="Z13" i="2"/>
  <c r="Z13" i="4"/>
  <c r="AA390" i="2"/>
  <c r="AA408" i="4"/>
  <c r="AB409" i="1"/>
  <c r="AB408" i="5" s="1"/>
  <c r="AA328" i="2"/>
  <c r="AA341" i="4"/>
  <c r="AB342" i="1"/>
  <c r="AB341" i="5" s="1"/>
  <c r="AA232" i="2"/>
  <c r="AA242" i="4"/>
  <c r="AB243" i="1"/>
  <c r="AB242" i="5" s="1"/>
  <c r="AA262" i="1"/>
  <c r="K212" i="2"/>
  <c r="K221" i="4"/>
  <c r="Q221" i="1"/>
  <c r="Q221" i="5" s="1"/>
  <c r="AB79" i="2"/>
  <c r="AB83" i="4"/>
  <c r="AA2505" i="2"/>
  <c r="M2509" i="2"/>
  <c r="M2511" i="2" s="1"/>
  <c r="M2748" i="2" s="1"/>
  <c r="AA2748" i="2" s="1"/>
  <c r="AB2748" i="2" s="1"/>
  <c r="Z2616" i="4"/>
  <c r="Z2643" i="1"/>
  <c r="W1235" i="2"/>
  <c r="W1298" i="4"/>
  <c r="W1553" i="2"/>
  <c r="W1635" i="4"/>
  <c r="AB2809" i="1"/>
  <c r="AA2380" i="4"/>
  <c r="AB2386" i="1"/>
  <c r="W1583" i="2"/>
  <c r="W2650" i="2" s="1"/>
  <c r="W1669" i="4"/>
  <c r="V1297" i="2"/>
  <c r="V1306" i="2" s="1"/>
  <c r="V1366" i="4"/>
  <c r="V1375" i="4" s="1"/>
  <c r="W1367" i="1"/>
  <c r="W1366" i="5" s="1"/>
  <c r="W1375" i="5" s="1"/>
  <c r="AA1332" i="4"/>
  <c r="AB1333" i="1"/>
  <c r="AB961" i="2"/>
  <c r="AB1004" i="4"/>
  <c r="AA2197" i="4"/>
  <c r="AB2201" i="1"/>
  <c r="AB2197" i="5" s="1"/>
  <c r="AA1658" i="2"/>
  <c r="AA1749" i="4"/>
  <c r="AB1753" i="1"/>
  <c r="AB1749" i="5" s="1"/>
  <c r="AA2599" i="4"/>
  <c r="AB2607" i="1"/>
  <c r="AA2370" i="4"/>
  <c r="AB2376" i="1"/>
  <c r="AA1251" i="2"/>
  <c r="AA1314" i="4"/>
  <c r="AB1315" i="1"/>
  <c r="AB1314" i="5" s="1"/>
  <c r="W873" i="2"/>
  <c r="W914" i="4"/>
  <c r="AB1564" i="2"/>
  <c r="AB1647" i="4"/>
  <c r="W1431" i="4"/>
  <c r="W1360" i="2"/>
  <c r="W540" i="2"/>
  <c r="W542" i="2" s="1"/>
  <c r="W561" i="4"/>
  <c r="W563" i="4" s="1"/>
  <c r="W562" i="1"/>
  <c r="W519" i="2"/>
  <c r="W538" i="4"/>
  <c r="W546" i="1"/>
  <c r="AA51" i="2"/>
  <c r="AA55" i="4"/>
  <c r="AB55" i="1"/>
  <c r="AB55" i="5" s="1"/>
  <c r="W553" i="2"/>
  <c r="W574" i="4"/>
  <c r="Z67" i="2"/>
  <c r="Z87" i="2" s="1"/>
  <c r="Z92" i="1"/>
  <c r="AA1984" i="4"/>
  <c r="AB1988" i="1"/>
  <c r="X1239" i="2"/>
  <c r="Z1303" i="1"/>
  <c r="Z1239" i="2" s="1"/>
  <c r="AA1050" i="2"/>
  <c r="AA1098" i="4"/>
  <c r="AB1099" i="1"/>
  <c r="AB1098" i="5" s="1"/>
  <c r="AA1046" i="2"/>
  <c r="AA1094" i="4"/>
  <c r="AB1095" i="1"/>
  <c r="AB1094" i="5" s="1"/>
  <c r="AA1042" i="2"/>
  <c r="AA1090" i="4"/>
  <c r="AB1091" i="1"/>
  <c r="AB1090" i="5" s="1"/>
  <c r="AA1041" i="2"/>
  <c r="AA1089" i="4"/>
  <c r="AB1090" i="1"/>
  <c r="AB1089" i="5" s="1"/>
  <c r="AA1107" i="1"/>
  <c r="AA1035" i="2"/>
  <c r="AA1083" i="4"/>
  <c r="AB1084" i="1"/>
  <c r="AB1083" i="5" s="1"/>
  <c r="M864" i="2"/>
  <c r="M904" i="4"/>
  <c r="AA904" i="1"/>
  <c r="AA836" i="2"/>
  <c r="AA875" i="4"/>
  <c r="AB875" i="1"/>
  <c r="AB875" i="5" s="1"/>
  <c r="AB511" i="2"/>
  <c r="AB531" i="4"/>
  <c r="AB433" i="2"/>
  <c r="AB453" i="4"/>
  <c r="W872" i="2"/>
  <c r="W912" i="4"/>
  <c r="AB594" i="2"/>
  <c r="AB618" i="4"/>
  <c r="AA183" i="2"/>
  <c r="AA191" i="4"/>
  <c r="AB191" i="1"/>
  <c r="AB191" i="5" s="1"/>
  <c r="AB276" i="2"/>
  <c r="AB288" i="4"/>
  <c r="AA261" i="2"/>
  <c r="AA272" i="4"/>
  <c r="AB273" i="1"/>
  <c r="AB272" i="5" s="1"/>
  <c r="M174" i="2"/>
  <c r="M176" i="2" s="1"/>
  <c r="M182" i="4"/>
  <c r="M184" i="4" s="1"/>
  <c r="AA182" i="1"/>
  <c r="AA182" i="5" s="1"/>
  <c r="M184" i="1"/>
  <c r="W38" i="2"/>
  <c r="W42" i="4"/>
  <c r="AA17" i="2"/>
  <c r="AA17" i="4"/>
  <c r="AB17" i="1"/>
  <c r="AB17" i="5" s="1"/>
  <c r="AA246" i="2"/>
  <c r="AA256" i="4"/>
  <c r="AB257" i="1"/>
  <c r="AB256" i="5" s="1"/>
  <c r="W133" i="2"/>
  <c r="W140" i="4"/>
  <c r="AA842" i="2"/>
  <c r="AA881" i="4"/>
  <c r="AB881" i="1"/>
  <c r="AB881" i="5" s="1"/>
  <c r="AA2747" i="4"/>
  <c r="AB2755" i="1"/>
  <c r="W50" i="2"/>
  <c r="W54" i="4"/>
  <c r="AA375" i="2"/>
  <c r="AA391" i="4"/>
  <c r="AB392" i="1"/>
  <c r="AB391" i="5" s="1"/>
  <c r="AA205" i="2"/>
  <c r="AA214" i="4"/>
  <c r="AB214" i="1"/>
  <c r="AB214" i="5" s="1"/>
  <c r="AB978" i="2"/>
  <c r="AB1023" i="4"/>
  <c r="W1152" i="2"/>
  <c r="W1204" i="4"/>
  <c r="M2333" i="4"/>
  <c r="AA2339" i="1"/>
  <c r="AA2333" i="5" s="1"/>
  <c r="J887" i="2"/>
  <c r="J930" i="4"/>
  <c r="AA874" i="2"/>
  <c r="AA917" i="4"/>
  <c r="AB917" i="1"/>
  <c r="AB917" i="5" s="1"/>
  <c r="W766" i="2"/>
  <c r="W800" i="4"/>
  <c r="AA743" i="2"/>
  <c r="AA774" i="4"/>
  <c r="AB774" i="1"/>
  <c r="AB774" i="5" s="1"/>
  <c r="M701" i="2"/>
  <c r="M731" i="4"/>
  <c r="AA731" i="1"/>
  <c r="AA731" i="5" s="1"/>
  <c r="Z415" i="2"/>
  <c r="Z433" i="4"/>
  <c r="W666" i="2"/>
  <c r="W696" i="4"/>
  <c r="W664" i="2"/>
  <c r="W694" i="4"/>
  <c r="W714" i="1"/>
  <c r="AA669" i="2"/>
  <c r="AA699" i="4"/>
  <c r="AB699" i="1"/>
  <c r="AB699" i="5" s="1"/>
  <c r="W646" i="2"/>
  <c r="W674" i="4"/>
  <c r="AB608" i="2"/>
  <c r="AB633" i="4"/>
  <c r="AB155" i="2"/>
  <c r="AB163" i="4"/>
  <c r="AA81" i="2"/>
  <c r="AA85" i="4"/>
  <c r="AB85" i="1"/>
  <c r="AB85" i="5" s="1"/>
  <c r="Z145" i="2"/>
  <c r="Z152" i="4"/>
  <c r="Z166" i="1"/>
  <c r="AA106" i="2"/>
  <c r="AA112" i="4"/>
  <c r="AB112" i="1"/>
  <c r="AB112" i="5" s="1"/>
  <c r="AA394" i="2"/>
  <c r="AA412" i="4"/>
  <c r="AB413" i="1"/>
  <c r="AB412" i="5" s="1"/>
  <c r="X374" i="2"/>
  <c r="Z391" i="1"/>
  <c r="Z374" i="2" s="1"/>
  <c r="AB234" i="2"/>
  <c r="AB244" i="4"/>
  <c r="AA98" i="2"/>
  <c r="AA103" i="4"/>
  <c r="AB103" i="1"/>
  <c r="AB103" i="5" s="1"/>
  <c r="AA94" i="2"/>
  <c r="AA99" i="4"/>
  <c r="AB99" i="1"/>
  <c r="AB99" i="5" s="1"/>
  <c r="AA222" i="2"/>
  <c r="AA233" i="4"/>
  <c r="AB233" i="1"/>
  <c r="AB233" i="5" s="1"/>
  <c r="AA2468" i="2"/>
  <c r="AB2466" i="2"/>
  <c r="AB2468" i="2" s="1"/>
  <c r="J1208" i="2"/>
  <c r="J1267" i="4"/>
  <c r="AA150" i="2"/>
  <c r="AA157" i="4"/>
  <c r="AB157" i="1"/>
  <c r="AB157" i="5" s="1"/>
  <c r="W1405" i="4"/>
  <c r="W1335" i="2"/>
  <c r="AB1310" i="2"/>
  <c r="AB1379" i="4"/>
  <c r="AB601" i="4"/>
  <c r="AB577" i="2"/>
  <c r="AB1102" i="2"/>
  <c r="AB1152" i="4"/>
  <c r="AA282" i="2"/>
  <c r="AA294" i="4"/>
  <c r="AB295" i="1"/>
  <c r="AB294" i="5" s="1"/>
  <c r="AB464" i="2"/>
  <c r="AB484" i="4"/>
  <c r="U12" i="2"/>
  <c r="U21" i="2" s="1"/>
  <c r="U12" i="4"/>
  <c r="U22" i="4" s="1"/>
  <c r="U22" i="1"/>
  <c r="AA12" i="1"/>
  <c r="AA12" i="5" s="1"/>
  <c r="AA22" i="5" s="1"/>
  <c r="T2597" i="2"/>
  <c r="T2722" i="2"/>
  <c r="T2753" i="2" s="1"/>
  <c r="AA1468" i="4"/>
  <c r="AB1469" i="1"/>
  <c r="AA1296" i="2"/>
  <c r="AA1363" i="4"/>
  <c r="AB1364" i="1"/>
  <c r="AB1363" i="5" s="1"/>
  <c r="AA1236" i="2"/>
  <c r="AA1299" i="4"/>
  <c r="AB1300" i="1"/>
  <c r="AB1299" i="5" s="1"/>
  <c r="X804" i="2"/>
  <c r="X809" i="2" s="1"/>
  <c r="Z838" i="1"/>
  <c r="Z804" i="2" s="1"/>
  <c r="W729" i="2"/>
  <c r="W760" i="4"/>
  <c r="W781" i="1"/>
  <c r="AB722" i="2"/>
  <c r="AB753" i="4"/>
  <c r="M2253" i="4"/>
  <c r="AA2257" i="1"/>
  <c r="AA2253" i="5" s="1"/>
  <c r="M2266" i="1"/>
  <c r="W669" i="2"/>
  <c r="W699" i="4"/>
  <c r="AA646" i="2"/>
  <c r="AA674" i="4"/>
  <c r="AB674" i="1"/>
  <c r="AB674" i="5" s="1"/>
  <c r="AA965" i="2"/>
  <c r="AA1008" i="4"/>
  <c r="AB1009" i="1"/>
  <c r="AB1008" i="5" s="1"/>
  <c r="AA104" i="4"/>
  <c r="AB104" i="1"/>
  <c r="W674" i="2"/>
  <c r="W704" i="4"/>
  <c r="AA535" i="2"/>
  <c r="AA554" i="4"/>
  <c r="AB555" i="1"/>
  <c r="AB554" i="5" s="1"/>
  <c r="AA421" i="2"/>
  <c r="AA441" i="4"/>
  <c r="AB442" i="1"/>
  <c r="AB441" i="5" s="1"/>
  <c r="AB992" i="2"/>
  <c r="AB1037" i="4"/>
  <c r="AA344" i="2"/>
  <c r="AA360" i="4"/>
  <c r="AB361" i="1"/>
  <c r="AB360" i="5" s="1"/>
  <c r="AA336" i="2"/>
  <c r="AA349" i="4"/>
  <c r="AB350" i="1"/>
  <c r="AB349" i="5" s="1"/>
  <c r="Z416" i="2"/>
  <c r="Z434" i="4"/>
  <c r="K206" i="2"/>
  <c r="K215" i="4"/>
  <c r="Q215" i="1"/>
  <c r="Q203" i="2"/>
  <c r="Q2671" i="2" s="1"/>
  <c r="Q212" i="4"/>
  <c r="R212" i="1"/>
  <c r="R212" i="5" s="1"/>
  <c r="AB847" i="2"/>
  <c r="AB886" i="4"/>
  <c r="AA2191" i="4"/>
  <c r="AB2195" i="1"/>
  <c r="AB653" i="2"/>
  <c r="AB681" i="4"/>
  <c r="AB656" i="2"/>
  <c r="AB686" i="4"/>
  <c r="U555" i="2"/>
  <c r="U565" i="2" s="1"/>
  <c r="U576" i="4"/>
  <c r="U589" i="4" s="1"/>
  <c r="AA702" i="2"/>
  <c r="AA732" i="4"/>
  <c r="AB732" i="1"/>
  <c r="AB732" i="5" s="1"/>
  <c r="AB304" i="2"/>
  <c r="AB317" i="4"/>
  <c r="Z236" i="2"/>
  <c r="Z246" i="4"/>
  <c r="H1137" i="2"/>
  <c r="H2732" i="2" s="1"/>
  <c r="P403" i="2"/>
  <c r="P2726" i="2" s="1"/>
  <c r="H125" i="2"/>
  <c r="U2683" i="4"/>
  <c r="U1244" i="4"/>
  <c r="U2470" i="4"/>
  <c r="Q1973" i="1"/>
  <c r="X1605" i="2"/>
  <c r="H2760" i="1"/>
  <c r="H2926" i="1" s="1"/>
  <c r="V1537" i="2"/>
  <c r="X1492" i="2"/>
  <c r="M545" i="4"/>
  <c r="U502" i="2"/>
  <c r="J956" i="4"/>
  <c r="W904" i="2"/>
  <c r="V1037" i="2"/>
  <c r="AA569" i="1"/>
  <c r="V500" i="4"/>
  <c r="V768" i="2"/>
  <c r="U142" i="2"/>
  <c r="Z101" i="2"/>
  <c r="U320" i="2"/>
  <c r="X224" i="2"/>
  <c r="V107" i="4"/>
  <c r="H422" i="1"/>
  <c r="H2902" i="1" s="1"/>
  <c r="X41" i="2"/>
  <c r="U369" i="4"/>
  <c r="J2347" i="1"/>
  <c r="U1693" i="2"/>
  <c r="V1659" i="4"/>
  <c r="P226" i="2"/>
  <c r="P2724" i="2" s="1"/>
  <c r="U101" i="2"/>
  <c r="J2198" i="1"/>
  <c r="AB1995" i="2"/>
  <c r="G2597" i="2"/>
  <c r="X515" i="2"/>
  <c r="X480" i="2"/>
  <c r="V68" i="4"/>
  <c r="X2211" i="2"/>
  <c r="X2430" i="2"/>
  <c r="S2755" i="4"/>
  <c r="K2901" i="4"/>
  <c r="M1554" i="2"/>
  <c r="M1556" i="2" s="1"/>
  <c r="M1637" i="4"/>
  <c r="M1639" i="4" s="1"/>
  <c r="AA1640" i="1"/>
  <c r="AA1637" i="5" s="1"/>
  <c r="AA1639" i="5" s="1"/>
  <c r="Z1060" i="2"/>
  <c r="Z1079" i="2" s="1"/>
  <c r="Z1130" i="1"/>
  <c r="AA1737" i="2"/>
  <c r="AA1829" i="4"/>
  <c r="AB1833" i="1"/>
  <c r="AB1829" i="5" s="1"/>
  <c r="AA2796" i="1"/>
  <c r="AA2286" i="4"/>
  <c r="AB2290" i="1"/>
  <c r="AA2163" i="4"/>
  <c r="AB2167" i="1"/>
  <c r="V1459" i="2"/>
  <c r="V1464" i="2" s="1"/>
  <c r="V1536" i="4"/>
  <c r="V1541" i="4" s="1"/>
  <c r="W1537" i="1"/>
  <c r="AA2651" i="4"/>
  <c r="AB2659" i="1"/>
  <c r="AA1270" i="2"/>
  <c r="AA1335" i="4"/>
  <c r="AB1336" i="1"/>
  <c r="AB1335" i="5" s="1"/>
  <c r="W1328" i="2"/>
  <c r="W1398" i="4"/>
  <c r="AA1778" i="2"/>
  <c r="AA1874" i="4"/>
  <c r="AB1878" i="1"/>
  <c r="AB1874" i="5" s="1"/>
  <c r="M2518" i="4"/>
  <c r="AA2526" i="1"/>
  <c r="AA2518" i="5" s="1"/>
  <c r="AA2535" i="5" s="1"/>
  <c r="M2543" i="1"/>
  <c r="M2575" i="1" s="1"/>
  <c r="M2922" i="1" s="1"/>
  <c r="AA2400" i="4"/>
  <c r="AB2406" i="1"/>
  <c r="AA2279" i="4"/>
  <c r="AB2283" i="1"/>
  <c r="AB693" i="2"/>
  <c r="AB723" i="4"/>
  <c r="W464" i="2"/>
  <c r="W2616" i="2" s="1"/>
  <c r="W2686" i="2" s="1"/>
  <c r="W484" i="4"/>
  <c r="W2781" i="1"/>
  <c r="J307" i="2"/>
  <c r="J320" i="4"/>
  <c r="AB2853" i="1"/>
  <c r="W1569" i="2"/>
  <c r="W1652" i="4"/>
  <c r="W1510" i="2"/>
  <c r="W1586" i="4"/>
  <c r="W1506" i="2"/>
  <c r="W1582" i="4"/>
  <c r="W1502" i="2"/>
  <c r="W1578" i="4"/>
  <c r="W1498" i="2"/>
  <c r="W1574" i="4"/>
  <c r="Z1486" i="2"/>
  <c r="Z1561" i="4"/>
  <c r="Z1482" i="2"/>
  <c r="Z1557" i="4"/>
  <c r="Z1478" i="2"/>
  <c r="Z1553" i="4"/>
  <c r="AA1426" i="2"/>
  <c r="AB1504" i="1"/>
  <c r="AB1503" i="5" s="1"/>
  <c r="AA1503" i="4"/>
  <c r="W1156" i="2"/>
  <c r="W1210" i="4"/>
  <c r="W665" i="2"/>
  <c r="W695" i="4"/>
  <c r="X1357" i="2"/>
  <c r="Z1428" i="1"/>
  <c r="Z1357" i="2" s="1"/>
  <c r="V1347" i="2"/>
  <c r="V1417" i="4"/>
  <c r="W1418" i="1"/>
  <c r="W1417" i="5" s="1"/>
  <c r="W1433" i="5" s="1"/>
  <c r="W2686" i="4"/>
  <c r="W2704" i="4" s="1"/>
  <c r="W2712" i="1"/>
  <c r="AA1429" i="2"/>
  <c r="AA1506" i="4"/>
  <c r="AB1507" i="1"/>
  <c r="AB1506" i="5" s="1"/>
  <c r="AA1195" i="2"/>
  <c r="AA1254" i="4"/>
  <c r="AB1255" i="1"/>
  <c r="AB1254" i="5" s="1"/>
  <c r="AB1156" i="2"/>
  <c r="AB1210" i="4"/>
  <c r="AB1027" i="2"/>
  <c r="AB1074" i="4"/>
  <c r="AA1082" i="2"/>
  <c r="AA1132" i="4"/>
  <c r="AB1133" i="1"/>
  <c r="AB1132" i="5" s="1"/>
  <c r="AA1076" i="2"/>
  <c r="AA1125" i="4"/>
  <c r="AB1126" i="1"/>
  <c r="AB1125" i="5" s="1"/>
  <c r="Z938" i="2"/>
  <c r="Z981" i="4"/>
  <c r="AA863" i="2"/>
  <c r="AA903" i="4"/>
  <c r="AB903" i="1"/>
  <c r="AB903" i="5" s="1"/>
  <c r="AB1211" i="2"/>
  <c r="AB1270" i="4"/>
  <c r="AA1298" i="4"/>
  <c r="AA1235" i="2"/>
  <c r="AB1299" i="1"/>
  <c r="AB1298" i="5" s="1"/>
  <c r="M1224" i="2"/>
  <c r="M1287" i="4"/>
  <c r="AA1288" i="1"/>
  <c r="AA1287" i="5" s="1"/>
  <c r="AA1206" i="2"/>
  <c r="AA1265" i="4"/>
  <c r="AB1266" i="1"/>
  <c r="AB1265" i="5" s="1"/>
  <c r="AA980" i="4"/>
  <c r="AB981" i="1"/>
  <c r="Z751" i="2"/>
  <c r="Z802" i="1"/>
  <c r="W667" i="2"/>
  <c r="W697" i="4"/>
  <c r="W492" i="2"/>
  <c r="W512" i="4"/>
  <c r="W523" i="1"/>
  <c r="W414" i="2"/>
  <c r="W432" i="4"/>
  <c r="AA2719" i="4"/>
  <c r="AB2727" i="1"/>
  <c r="AA2710" i="4"/>
  <c r="AB2718" i="1"/>
  <c r="AB1073" i="2"/>
  <c r="AB1122" i="4"/>
  <c r="W787" i="2"/>
  <c r="W821" i="4"/>
  <c r="AA522" i="2"/>
  <c r="AA541" i="4"/>
  <c r="AB542" i="1"/>
  <c r="AB541" i="5" s="1"/>
  <c r="W820" i="2"/>
  <c r="W855" i="4"/>
  <c r="AB281" i="2"/>
  <c r="AB293" i="4"/>
  <c r="U25" i="2"/>
  <c r="U41" i="2" s="1"/>
  <c r="U26" i="4"/>
  <c r="U45" i="4" s="1"/>
  <c r="U45" i="1"/>
  <c r="U132" i="1" s="1"/>
  <c r="AA26" i="1"/>
  <c r="AA26" i="5" s="1"/>
  <c r="W717" i="2"/>
  <c r="W748" i="4"/>
  <c r="W670" i="2"/>
  <c r="W700" i="4"/>
  <c r="AA603" i="2"/>
  <c r="AA628" i="4"/>
  <c r="AA637" i="1"/>
  <c r="AB627" i="1"/>
  <c r="AB628" i="5" s="1"/>
  <c r="X555" i="2"/>
  <c r="X565" i="2" s="1"/>
  <c r="Z575" i="1"/>
  <c r="Z555" i="2" s="1"/>
  <c r="AB506" i="2"/>
  <c r="AB526" i="4"/>
  <c r="AA345" i="2"/>
  <c r="AA361" i="4"/>
  <c r="AB362" i="1"/>
  <c r="AB361" i="5" s="1"/>
  <c r="W131" i="2"/>
  <c r="W138" i="4"/>
  <c r="J688" i="2"/>
  <c r="J718" i="4"/>
  <c r="W650" i="2"/>
  <c r="W678" i="4"/>
  <c r="AB606" i="2"/>
  <c r="AB631" i="4"/>
  <c r="W589" i="2"/>
  <c r="W613" i="4"/>
  <c r="AA588" i="2"/>
  <c r="AA612" i="4"/>
  <c r="AB611" i="1"/>
  <c r="AB612" i="5" s="1"/>
  <c r="W563" i="2"/>
  <c r="W587" i="4"/>
  <c r="W532" i="2"/>
  <c r="W551" i="4"/>
  <c r="W483" i="2"/>
  <c r="W510" i="1"/>
  <c r="W503" i="4"/>
  <c r="W447" i="2"/>
  <c r="W467" i="4"/>
  <c r="AA444" i="2"/>
  <c r="AA464" i="4"/>
  <c r="AB465" i="1"/>
  <c r="AB464" i="5" s="1"/>
  <c r="AA440" i="2"/>
  <c r="AA460" i="4"/>
  <c r="AA474" i="1"/>
  <c r="AB461" i="1"/>
  <c r="AB460" i="5" s="1"/>
  <c r="AA435" i="2"/>
  <c r="AA455" i="4"/>
  <c r="AB456" i="1"/>
  <c r="AB455" i="5" s="1"/>
  <c r="AA432" i="2"/>
  <c r="AA452" i="4"/>
  <c r="AB453" i="1"/>
  <c r="AB452" i="5" s="1"/>
  <c r="W99" i="2"/>
  <c r="W105" i="4"/>
  <c r="W82" i="2"/>
  <c r="W86" i="4"/>
  <c r="W2843" i="1"/>
  <c r="AB1087" i="2"/>
  <c r="AB1137" i="4"/>
  <c r="AB1009" i="2"/>
  <c r="AB1054" i="4"/>
  <c r="W819" i="2"/>
  <c r="W854" i="4"/>
  <c r="X290" i="2"/>
  <c r="Z303" i="1"/>
  <c r="Z290" i="2" s="1"/>
  <c r="AB236" i="2"/>
  <c r="AB246" i="4"/>
  <c r="K207" i="2"/>
  <c r="K216" i="4"/>
  <c r="Q216" i="1"/>
  <c r="Q216" i="5" s="1"/>
  <c r="AA37" i="2"/>
  <c r="AB41" i="1"/>
  <c r="AB41" i="5" s="1"/>
  <c r="AA41" i="4"/>
  <c r="AB419" i="2"/>
  <c r="AB437" i="4"/>
  <c r="U408" i="2"/>
  <c r="U426" i="2" s="1"/>
  <c r="U426" i="4"/>
  <c r="U446" i="4" s="1"/>
  <c r="U447" i="1"/>
  <c r="U639" i="1" s="1"/>
  <c r="U2904" i="1" s="1"/>
  <c r="K216" i="2"/>
  <c r="K225" i="4"/>
  <c r="Q225" i="1"/>
  <c r="Q225" i="5" s="1"/>
  <c r="AA121" i="2"/>
  <c r="AA128" i="4"/>
  <c r="AB128" i="1"/>
  <c r="AB128" i="5" s="1"/>
  <c r="W34" i="2"/>
  <c r="W35" i="4"/>
  <c r="AB349" i="2"/>
  <c r="AB365" i="4"/>
  <c r="AB306" i="2"/>
  <c r="AB319" i="4"/>
  <c r="AB237" i="2"/>
  <c r="AB247" i="4"/>
  <c r="Z138" i="2"/>
  <c r="Z145" i="4"/>
  <c r="W69" i="2"/>
  <c r="W73" i="4"/>
  <c r="Z16" i="2"/>
  <c r="Z16" i="4"/>
  <c r="J363" i="2"/>
  <c r="J379" i="4"/>
  <c r="AA342" i="2"/>
  <c r="AA356" i="4"/>
  <c r="AB357" i="1"/>
  <c r="AB356" i="5" s="1"/>
  <c r="AA292" i="2"/>
  <c r="AA304" i="4"/>
  <c r="AB305" i="1"/>
  <c r="AB304" i="5" s="1"/>
  <c r="AA215" i="2"/>
  <c r="AA224" i="4"/>
  <c r="AB224" i="1"/>
  <c r="AB224" i="5" s="1"/>
  <c r="AA182" i="2"/>
  <c r="AA190" i="4"/>
  <c r="AB190" i="1"/>
  <c r="AB190" i="5" s="1"/>
  <c r="W1965" i="2"/>
  <c r="AB1823" i="2"/>
  <c r="AB1847" i="2" s="1"/>
  <c r="AA1847" i="2"/>
  <c r="W1931" i="2"/>
  <c r="W1947" i="2" s="1"/>
  <c r="V1947" i="2"/>
  <c r="Q2617" i="2"/>
  <c r="Q2722" i="2"/>
  <c r="W703" i="2"/>
  <c r="W733" i="4"/>
  <c r="Z412" i="2"/>
  <c r="Z430" i="4"/>
  <c r="AA82" i="2"/>
  <c r="AA86" i="4"/>
  <c r="AB86" i="1"/>
  <c r="AB86" i="5" s="1"/>
  <c r="AB1015" i="2"/>
  <c r="AB1062" i="4"/>
  <c r="W822" i="2"/>
  <c r="W857" i="4"/>
  <c r="Z153" i="2"/>
  <c r="Z161" i="4"/>
  <c r="Z104" i="2"/>
  <c r="Z123" i="2" s="1"/>
  <c r="Z130" i="1"/>
  <c r="AA366" i="2"/>
  <c r="AA382" i="4"/>
  <c r="AB383" i="1"/>
  <c r="AB382" i="5" s="1"/>
  <c r="W155" i="2"/>
  <c r="W163" i="4"/>
  <c r="AA315" i="2"/>
  <c r="AA328" i="4"/>
  <c r="AB329" i="1"/>
  <c r="AB328" i="5" s="1"/>
  <c r="AB145" i="2"/>
  <c r="AB152" i="4"/>
  <c r="W148" i="2"/>
  <c r="W155" i="4"/>
  <c r="AA1635" i="2"/>
  <c r="AA1727" i="4"/>
  <c r="AB1730" i="1"/>
  <c r="AB1727" i="5" s="1"/>
  <c r="AA1327" i="2"/>
  <c r="AA1397" i="4"/>
  <c r="AB1398" i="1"/>
  <c r="AB1397" i="5" s="1"/>
  <c r="AA1631" i="2"/>
  <c r="AA1723" i="4"/>
  <c r="AB1726" i="1"/>
  <c r="AB1723" i="5" s="1"/>
  <c r="AA1740" i="1"/>
  <c r="AB2086" i="4"/>
  <c r="K209" i="2"/>
  <c r="K218" i="4"/>
  <c r="Q218" i="1"/>
  <c r="Q218" i="5" s="1"/>
  <c r="AA2127" i="4"/>
  <c r="AB2131" i="1"/>
  <c r="AA1914" i="4"/>
  <c r="AB1918" i="1"/>
  <c r="AB1733" i="2"/>
  <c r="AB1825" i="4"/>
  <c r="AA2167" i="4"/>
  <c r="AB2171" i="1"/>
  <c r="AA2049" i="4"/>
  <c r="AB2053" i="1"/>
  <c r="AA1960" i="4"/>
  <c r="AB1964" i="1"/>
  <c r="AB1784" i="2"/>
  <c r="AB1880" i="4"/>
  <c r="W893" i="2"/>
  <c r="W936" i="4"/>
  <c r="AB1639" i="2"/>
  <c r="AB1731" i="4"/>
  <c r="AA1209" i="2"/>
  <c r="AA1268" i="4"/>
  <c r="AB1269" i="1"/>
  <c r="AB1268" i="5" s="1"/>
  <c r="AA2492" i="4"/>
  <c r="AB2500" i="1"/>
  <c r="AA1919" i="4"/>
  <c r="AB1923" i="1"/>
  <c r="AB1779" i="2"/>
  <c r="AB1875" i="4"/>
  <c r="AB1502" i="2"/>
  <c r="AB1578" i="4"/>
  <c r="AA1374" i="2"/>
  <c r="AA1445" i="4"/>
  <c r="AB1446" i="1"/>
  <c r="AB1445" i="5" s="1"/>
  <c r="W1265" i="2"/>
  <c r="W1328" i="4"/>
  <c r="AB777" i="2"/>
  <c r="AB811" i="4"/>
  <c r="AA1655" i="4"/>
  <c r="AB1658" i="1"/>
  <c r="AA1530" i="2"/>
  <c r="AA1608" i="4"/>
  <c r="AB1611" i="1"/>
  <c r="AB1608" i="5" s="1"/>
  <c r="AA2265" i="4"/>
  <c r="AB2269" i="1"/>
  <c r="AB2265" i="5" s="1"/>
  <c r="AA2529" i="4"/>
  <c r="AB2537" i="1"/>
  <c r="T2755" i="4"/>
  <c r="T2901" i="4"/>
  <c r="T2932" i="4" s="1"/>
  <c r="AA2726" i="4"/>
  <c r="AB2734" i="1"/>
  <c r="Z1620" i="2"/>
  <c r="Z1712" i="4"/>
  <c r="Z1723" i="1"/>
  <c r="AA1614" i="2"/>
  <c r="AA1706" i="4"/>
  <c r="AB1709" i="1"/>
  <c r="AB1706" i="5" s="1"/>
  <c r="AB1226" i="2"/>
  <c r="AB1289" i="4"/>
  <c r="X2603" i="4"/>
  <c r="Z2611" i="1"/>
  <c r="AA2458" i="4"/>
  <c r="AB2466" i="1"/>
  <c r="AA1691" i="2"/>
  <c r="AA1782" i="4"/>
  <c r="AB1786" i="1"/>
  <c r="AB1782" i="5" s="1"/>
  <c r="AA1636" i="2"/>
  <c r="AA1728" i="4"/>
  <c r="AB1731" i="1"/>
  <c r="AB1728" i="5" s="1"/>
  <c r="AB2858" i="1"/>
  <c r="Z1656" i="2"/>
  <c r="Z1747" i="4"/>
  <c r="AB1164" i="2"/>
  <c r="AB1218" i="4"/>
  <c r="J768" i="4"/>
  <c r="J781" i="4" s="1"/>
  <c r="J737" i="2"/>
  <c r="J748" i="2" s="1"/>
  <c r="V2680" i="4"/>
  <c r="W2688" i="1"/>
  <c r="AA2631" i="4"/>
  <c r="AB2639" i="1"/>
  <c r="AA2209" i="4"/>
  <c r="AB2213" i="1"/>
  <c r="AA2106" i="4"/>
  <c r="AB2110" i="1"/>
  <c r="AA2090" i="4"/>
  <c r="AB2094" i="1"/>
  <c r="AB1732" i="2"/>
  <c r="AB1824" i="4"/>
  <c r="AA1681" i="2"/>
  <c r="AA1772" i="4"/>
  <c r="AB1776" i="1"/>
  <c r="AB1772" i="5" s="1"/>
  <c r="AA1589" i="4"/>
  <c r="AB1592" i="1"/>
  <c r="W1366" i="2"/>
  <c r="W1437" i="4"/>
  <c r="X1360" i="2"/>
  <c r="Z1432" i="1"/>
  <c r="Z1360" i="2" s="1"/>
  <c r="AA1120" i="2"/>
  <c r="AA1171" i="4"/>
  <c r="AB1172" i="1"/>
  <c r="AB1171" i="5" s="1"/>
  <c r="AA760" i="2"/>
  <c r="AA793" i="4"/>
  <c r="AB793" i="1"/>
  <c r="AB793" i="5" s="1"/>
  <c r="AA2247" i="4"/>
  <c r="AB2251" i="1"/>
  <c r="AA2154" i="4"/>
  <c r="AB2158" i="1"/>
  <c r="W1300" i="2"/>
  <c r="W1369" i="4"/>
  <c r="W1255" i="2"/>
  <c r="W1318" i="4"/>
  <c r="V852" i="2"/>
  <c r="V892" i="4"/>
  <c r="W892" i="1"/>
  <c r="W892" i="5" s="1"/>
  <c r="M2672" i="4"/>
  <c r="AA2680" i="1"/>
  <c r="AB2344" i="4"/>
  <c r="J1680" i="2"/>
  <c r="J1693" i="2" s="1"/>
  <c r="J1771" i="4"/>
  <c r="J1784" i="4" s="1"/>
  <c r="M1257" i="2"/>
  <c r="M1274" i="2" s="1"/>
  <c r="M1320" i="4"/>
  <c r="M1339" i="4" s="1"/>
  <c r="AA1321" i="1"/>
  <c r="AA1320" i="5" s="1"/>
  <c r="AA1339" i="5" s="1"/>
  <c r="AB754" i="2"/>
  <c r="AB787" i="4"/>
  <c r="AA1568" i="2"/>
  <c r="AA1651" i="4"/>
  <c r="AB1654" i="1"/>
  <c r="AB1651" i="5" s="1"/>
  <c r="W1029" i="2"/>
  <c r="W1076" i="4"/>
  <c r="W938" i="2"/>
  <c r="W981" i="4"/>
  <c r="W926" i="2"/>
  <c r="W968" i="4"/>
  <c r="W985" i="1"/>
  <c r="W987" i="1" s="1"/>
  <c r="W807" i="2"/>
  <c r="W842" i="4"/>
  <c r="Z729" i="2"/>
  <c r="Z781" i="1"/>
  <c r="W704" i="2"/>
  <c r="W734" i="4"/>
  <c r="M1153" i="2"/>
  <c r="M1205" i="4"/>
  <c r="AA1206" i="1"/>
  <c r="AA1205" i="5" s="1"/>
  <c r="W957" i="2"/>
  <c r="W1000" i="4"/>
  <c r="AA414" i="2"/>
  <c r="AA432" i="4"/>
  <c r="AB433" i="1"/>
  <c r="AB432" i="5" s="1"/>
  <c r="AA2074" i="4"/>
  <c r="AB2078" i="1"/>
  <c r="AA2066" i="4"/>
  <c r="AB2070" i="1"/>
  <c r="AA1983" i="4"/>
  <c r="AB1987" i="1"/>
  <c r="AA1975" i="4"/>
  <c r="AA1991" i="1"/>
  <c r="AB1979" i="1"/>
  <c r="AB1975" i="5" s="1"/>
  <c r="AA813" i="2"/>
  <c r="AA848" i="4"/>
  <c r="AB848" i="1"/>
  <c r="AB848" i="5" s="1"/>
  <c r="Z1168" i="2"/>
  <c r="Z1222" i="4"/>
  <c r="AB933" i="2"/>
  <c r="AB975" i="4"/>
  <c r="AA839" i="4"/>
  <c r="AB839" i="1"/>
  <c r="W774" i="2"/>
  <c r="W808" i="4"/>
  <c r="X331" i="2"/>
  <c r="Z345" i="1"/>
  <c r="Z331" i="2" s="1"/>
  <c r="Z245" i="2"/>
  <c r="Z255" i="4"/>
  <c r="AA152" i="2"/>
  <c r="AA159" i="4"/>
  <c r="AB159" i="1"/>
  <c r="AB159" i="5" s="1"/>
  <c r="W608" i="2"/>
  <c r="W633" i="4"/>
  <c r="AB492" i="2"/>
  <c r="AB512" i="4"/>
  <c r="M394" i="4"/>
  <c r="AA395" i="1"/>
  <c r="AA394" i="5" s="1"/>
  <c r="Z182" i="2"/>
  <c r="Z208" i="1"/>
  <c r="W587" i="2"/>
  <c r="W611" i="4"/>
  <c r="W624" i="1"/>
  <c r="AA487" i="2"/>
  <c r="AA507" i="4"/>
  <c r="AB508" i="1"/>
  <c r="AB507" i="5" s="1"/>
  <c r="AA346" i="2"/>
  <c r="AA362" i="4"/>
  <c r="AB363" i="1"/>
  <c r="AB362" i="5" s="1"/>
  <c r="AB1108" i="2"/>
  <c r="AB1158" i="4"/>
  <c r="AB934" i="2"/>
  <c r="AB976" i="4"/>
  <c r="W700" i="2"/>
  <c r="W730" i="4"/>
  <c r="AA391" i="2"/>
  <c r="AA409" i="4"/>
  <c r="AB410" i="1"/>
  <c r="AB409" i="5" s="1"/>
  <c r="AB136" i="2"/>
  <c r="AB143" i="4"/>
  <c r="AA207" i="2"/>
  <c r="AB216" i="1"/>
  <c r="AB216" i="5" s="1"/>
  <c r="AA216" i="4"/>
  <c r="AA243" i="2"/>
  <c r="AA253" i="4"/>
  <c r="AB254" i="1"/>
  <c r="AB253" i="5" s="1"/>
  <c r="M228" i="4"/>
  <c r="M235" i="4" s="1"/>
  <c r="AA228" i="1"/>
  <c r="AA228" i="5" s="1"/>
  <c r="AA333" i="2"/>
  <c r="AA346" i="4"/>
  <c r="AB347" i="1"/>
  <c r="AB346" i="5" s="1"/>
  <c r="AA263" i="2"/>
  <c r="AA274" i="4"/>
  <c r="AB275" i="1"/>
  <c r="AB274" i="5" s="1"/>
  <c r="AA2538" i="4"/>
  <c r="AB2546" i="1"/>
  <c r="AA2718" i="4"/>
  <c r="AB2726" i="1"/>
  <c r="AB1570" i="2"/>
  <c r="AB1653" i="4"/>
  <c r="AB1954" i="4"/>
  <c r="AB1523" i="2"/>
  <c r="AB1601" i="4"/>
  <c r="M2337" i="4"/>
  <c r="AA2343" i="1"/>
  <c r="AA2337" i="5" s="1"/>
  <c r="AB716" i="2"/>
  <c r="AB747" i="4"/>
  <c r="AB1510" i="2"/>
  <c r="AB1586" i="4"/>
  <c r="AA885" i="2"/>
  <c r="AA928" i="4"/>
  <c r="AB928" i="1"/>
  <c r="AB928" i="5" s="1"/>
  <c r="Z1149" i="2"/>
  <c r="Z1201" i="4"/>
  <c r="AB1541" i="2"/>
  <c r="AB1622" i="4"/>
  <c r="AA2042" i="4"/>
  <c r="AB2046" i="1"/>
  <c r="E2898" i="1"/>
  <c r="E2929" i="1" s="1"/>
  <c r="E2763" i="1"/>
  <c r="I2728" i="2"/>
  <c r="I2674" i="2"/>
  <c r="L2597" i="2"/>
  <c r="L2722" i="2"/>
  <c r="L2753" i="2" s="1"/>
  <c r="W995" i="2"/>
  <c r="W1040" i="4"/>
  <c r="AA2578" i="4"/>
  <c r="AB2586" i="1"/>
  <c r="AA2464" i="4"/>
  <c r="AB2472" i="1"/>
  <c r="AA2456" i="4"/>
  <c r="AB2464" i="1"/>
  <c r="Z1696" i="2"/>
  <c r="Z1710" i="2" s="1"/>
  <c r="Z1806" i="1"/>
  <c r="W1462" i="2"/>
  <c r="W1539" i="4"/>
  <c r="M1204" i="2"/>
  <c r="M1263" i="4"/>
  <c r="AA1264" i="1"/>
  <c r="AA1263" i="5" s="1"/>
  <c r="W1083" i="2"/>
  <c r="W1133" i="4"/>
  <c r="M883" i="2"/>
  <c r="M926" i="4"/>
  <c r="AA926" i="1"/>
  <c r="AA926" i="5" s="1"/>
  <c r="AA941" i="5" s="1"/>
  <c r="AA2676" i="4"/>
  <c r="AB2684" i="1"/>
  <c r="AA2847" i="1"/>
  <c r="Z2473" i="4"/>
  <c r="Z2496" i="1"/>
  <c r="Z1163" i="2"/>
  <c r="Z1217" i="4"/>
  <c r="Z1245" i="1"/>
  <c r="AA2742" i="4"/>
  <c r="AB2750" i="1"/>
  <c r="AA2437" i="4"/>
  <c r="AB2443" i="1"/>
  <c r="AA2431" i="4"/>
  <c r="AA2452" i="1"/>
  <c r="AB2437" i="1"/>
  <c r="AB2431" i="5" s="1"/>
  <c r="AA1699" i="2"/>
  <c r="AA1790" i="4"/>
  <c r="AB1794" i="1"/>
  <c r="AB1790" i="5" s="1"/>
  <c r="W1599" i="2"/>
  <c r="W1688" i="4"/>
  <c r="Z1594" i="2"/>
  <c r="Z1683" i="4"/>
  <c r="Q1420" i="2"/>
  <c r="V2598" i="4"/>
  <c r="W2606" i="1"/>
  <c r="W2591" i="4"/>
  <c r="W2822" i="1"/>
  <c r="AA2280" i="4"/>
  <c r="AB2284" i="1"/>
  <c r="AA2030" i="4"/>
  <c r="AB2034" i="1"/>
  <c r="AA2008" i="4"/>
  <c r="AB2012" i="1"/>
  <c r="AA1225" i="2"/>
  <c r="AA1288" i="4"/>
  <c r="AB1289" i="1"/>
  <c r="AB1288" i="5" s="1"/>
  <c r="W649" i="2"/>
  <c r="W677" i="4"/>
  <c r="Z1581" i="2"/>
  <c r="Z1667" i="4"/>
  <c r="AA1775" i="2"/>
  <c r="AA1871" i="4"/>
  <c r="AB1875" i="1"/>
  <c r="AB1871" i="5" s="1"/>
  <c r="AA1596" i="2"/>
  <c r="AA1685" i="4"/>
  <c r="AB1688" i="1"/>
  <c r="AB1685" i="5" s="1"/>
  <c r="AB2834" i="1"/>
  <c r="V2740" i="4"/>
  <c r="V2750" i="4" s="1"/>
  <c r="W2748" i="1"/>
  <c r="AA2604" i="4"/>
  <c r="AB2612" i="1"/>
  <c r="AA2160" i="4"/>
  <c r="AB2164" i="1"/>
  <c r="AA1752" i="2"/>
  <c r="AA1846" i="4"/>
  <c r="AB1850" i="1"/>
  <c r="AB1846" i="5" s="1"/>
  <c r="Z1642" i="2"/>
  <c r="Z1734" i="4"/>
  <c r="Z1634" i="2"/>
  <c r="Z1726" i="4"/>
  <c r="Z1622" i="2"/>
  <c r="Z1714" i="4"/>
  <c r="AA1629" i="4"/>
  <c r="AA1548" i="2"/>
  <c r="AB1632" i="1"/>
  <c r="AB1629" i="5" s="1"/>
  <c r="AA1545" i="2"/>
  <c r="AA1626" i="4"/>
  <c r="AB1629" i="1"/>
  <c r="AB1626" i="5" s="1"/>
  <c r="AA1606" i="4"/>
  <c r="AA1528" i="2"/>
  <c r="AB1609" i="1"/>
  <c r="AB1606" i="5" s="1"/>
  <c r="AB1489" i="2"/>
  <c r="AB1564" i="4"/>
  <c r="AA1441" i="2"/>
  <c r="AA1518" i="4"/>
  <c r="AB1519" i="1"/>
  <c r="AB1518" i="5" s="1"/>
  <c r="AA1200" i="2"/>
  <c r="AA1259" i="4"/>
  <c r="AB1260" i="1"/>
  <c r="AB1259" i="5" s="1"/>
  <c r="AB845" i="2"/>
  <c r="AB884" i="4"/>
  <c r="J1763" i="2"/>
  <c r="J1857" i="4"/>
  <c r="AB1534" i="2"/>
  <c r="AB1613" i="4"/>
  <c r="W1499" i="2"/>
  <c r="W1575" i="4"/>
  <c r="J1386" i="2"/>
  <c r="J1457" i="4"/>
  <c r="AB860" i="2"/>
  <c r="AB900" i="4"/>
  <c r="AA519" i="2"/>
  <c r="AA538" i="4"/>
  <c r="AB539" i="1"/>
  <c r="AB538" i="5" s="1"/>
  <c r="AB545" i="5" s="1"/>
  <c r="AA546" i="1"/>
  <c r="J1198" i="2"/>
  <c r="J1257" i="4"/>
  <c r="W1106" i="2"/>
  <c r="W1156" i="4"/>
  <c r="J2862" i="1"/>
  <c r="AA1223" i="2"/>
  <c r="AA1286" i="4"/>
  <c r="AB1287" i="1"/>
  <c r="AB1286" i="5" s="1"/>
  <c r="AA1193" i="2"/>
  <c r="AA1252" i="4"/>
  <c r="AB1253" i="1"/>
  <c r="AB1252" i="5" s="1"/>
  <c r="V2041" i="4"/>
  <c r="V2059" i="4" s="1"/>
  <c r="V2063" i="1"/>
  <c r="V2085" i="1" s="1"/>
  <c r="V2916" i="1" s="1"/>
  <c r="W2045" i="1"/>
  <c r="W2041" i="5" s="1"/>
  <c r="W2059" i="5" s="1"/>
  <c r="J1148" i="2"/>
  <c r="J1160" i="2" s="1"/>
  <c r="J1200" i="4"/>
  <c r="X1090" i="2"/>
  <c r="X1093" i="2" s="1"/>
  <c r="Z1141" i="1"/>
  <c r="Z1090" i="2" s="1"/>
  <c r="W981" i="2"/>
  <c r="W1026" i="4"/>
  <c r="AA841" i="2"/>
  <c r="AA880" i="4"/>
  <c r="AB880" i="1"/>
  <c r="AB880" i="5" s="1"/>
  <c r="X376" i="2"/>
  <c r="Z393" i="1"/>
  <c r="Z376" i="2" s="1"/>
  <c r="AB76" i="2"/>
  <c r="AB80" i="4"/>
  <c r="W1011" i="2"/>
  <c r="W1056" i="4"/>
  <c r="X873" i="2"/>
  <c r="Z914" i="1"/>
  <c r="Z873" i="2" s="1"/>
  <c r="AA593" i="2"/>
  <c r="AA617" i="4"/>
  <c r="AB616" i="1"/>
  <c r="AB617" i="5" s="1"/>
  <c r="AA1064" i="2"/>
  <c r="AA1113" i="4"/>
  <c r="AB1114" i="1"/>
  <c r="AB1113" i="5" s="1"/>
  <c r="AB545" i="2"/>
  <c r="AB566" i="4"/>
  <c r="AB569" i="1"/>
  <c r="AB509" i="2"/>
  <c r="AB529" i="4"/>
  <c r="AB575" i="2"/>
  <c r="AB599" i="4"/>
  <c r="M715" i="2"/>
  <c r="M725" i="2" s="1"/>
  <c r="M746" i="4"/>
  <c r="M756" i="4" s="1"/>
  <c r="AA746" i="1"/>
  <c r="AA746" i="5" s="1"/>
  <c r="AA756" i="5" s="1"/>
  <c r="M756" i="1"/>
  <c r="AA658" i="2"/>
  <c r="AA688" i="4"/>
  <c r="AB688" i="1"/>
  <c r="AB688" i="5" s="1"/>
  <c r="AA590" i="2"/>
  <c r="AA614" i="4"/>
  <c r="AB613" i="1"/>
  <c r="AB614" i="5" s="1"/>
  <c r="W535" i="2"/>
  <c r="W554" i="4"/>
  <c r="AA530" i="2"/>
  <c r="AA549" i="4"/>
  <c r="AB550" i="1"/>
  <c r="AB549" i="5" s="1"/>
  <c r="AA557" i="1"/>
  <c r="W475" i="2"/>
  <c r="W495" i="4"/>
  <c r="W471" i="2"/>
  <c r="W491" i="4"/>
  <c r="W501" i="1"/>
  <c r="AA446" i="2"/>
  <c r="AA466" i="4"/>
  <c r="AB467" i="1"/>
  <c r="AB466" i="5" s="1"/>
  <c r="AB994" i="2"/>
  <c r="AB1039" i="4"/>
  <c r="W886" i="2"/>
  <c r="W929" i="4"/>
  <c r="W818" i="2"/>
  <c r="W853" i="4"/>
  <c r="AB312" i="2"/>
  <c r="AB325" i="4"/>
  <c r="AB264" i="2"/>
  <c r="AB276" i="4"/>
  <c r="AB240" i="2"/>
  <c r="AB250" i="4"/>
  <c r="Z132" i="2"/>
  <c r="Z139" i="4"/>
  <c r="W30" i="2"/>
  <c r="W31" i="4"/>
  <c r="Z393" i="2"/>
  <c r="Z411" i="4"/>
  <c r="AA371" i="2"/>
  <c r="AA387" i="4"/>
  <c r="AB388" i="1"/>
  <c r="AB387" i="5" s="1"/>
  <c r="AA338" i="2"/>
  <c r="AA351" i="4"/>
  <c r="AB352" i="1"/>
  <c r="AB351" i="5" s="1"/>
  <c r="AA265" i="2"/>
  <c r="AA277" i="4"/>
  <c r="AB278" i="1"/>
  <c r="AB277" i="5" s="1"/>
  <c r="Z205" i="2"/>
  <c r="Z224" i="2" s="1"/>
  <c r="Z155" i="2"/>
  <c r="Z163" i="4"/>
  <c r="Z34" i="2"/>
  <c r="Z35" i="4"/>
  <c r="X2572" i="2"/>
  <c r="X2594" i="2" s="1"/>
  <c r="Z2552" i="2"/>
  <c r="Z2572" i="2" s="1"/>
  <c r="Z2594" i="2" s="1"/>
  <c r="Z418" i="2"/>
  <c r="Z436" i="4"/>
  <c r="AA392" i="2"/>
  <c r="AA410" i="4"/>
  <c r="AB411" i="1"/>
  <c r="AB410" i="5" s="1"/>
  <c r="AA357" i="4"/>
  <c r="AB358" i="1"/>
  <c r="M278" i="2"/>
  <c r="M290" i="4"/>
  <c r="AA291" i="1"/>
  <c r="AA290" i="5" s="1"/>
  <c r="AA312" i="5" s="1"/>
  <c r="Z140" i="2"/>
  <c r="Z147" i="4"/>
  <c r="W94" i="2"/>
  <c r="W99" i="4"/>
  <c r="W17" i="2"/>
  <c r="W17" i="4"/>
  <c r="AB34" i="2"/>
  <c r="AB35" i="4"/>
  <c r="X242" i="2"/>
  <c r="X250" i="2" s="1"/>
  <c r="X252" i="4"/>
  <c r="Z253" i="1"/>
  <c r="Z252" i="5" s="1"/>
  <c r="K186" i="2"/>
  <c r="K194" i="4"/>
  <c r="Q194" i="1"/>
  <c r="Q194" i="5" s="1"/>
  <c r="AB137" i="2"/>
  <c r="AB144" i="4"/>
  <c r="W28" i="2"/>
  <c r="W29" i="4"/>
  <c r="AB26" i="2"/>
  <c r="AB27" i="4"/>
  <c r="AA274" i="2"/>
  <c r="AA286" i="4"/>
  <c r="AB287" i="1"/>
  <c r="AB286" i="5" s="1"/>
  <c r="Z35" i="2"/>
  <c r="Z36" i="4"/>
  <c r="AA698" i="2"/>
  <c r="AA728" i="4"/>
  <c r="AB728" i="1"/>
  <c r="AB728" i="5" s="1"/>
  <c r="W445" i="2"/>
  <c r="W465" i="4"/>
  <c r="Z432" i="2"/>
  <c r="Z452" i="4"/>
  <c r="Q205" i="2"/>
  <c r="Q214" i="4"/>
  <c r="R214" i="1"/>
  <c r="R214" i="5" s="1"/>
  <c r="AA151" i="2"/>
  <c r="AA158" i="4"/>
  <c r="AB158" i="1"/>
  <c r="AB158" i="5" s="1"/>
  <c r="AA340" i="2"/>
  <c r="AA353" i="4"/>
  <c r="AB354" i="1"/>
  <c r="AB353" i="5" s="1"/>
  <c r="X341" i="2"/>
  <c r="Z356" i="1"/>
  <c r="Z341" i="2" s="1"/>
  <c r="W110" i="2"/>
  <c r="W116" i="4"/>
  <c r="AA1927" i="2"/>
  <c r="AB1908" i="2"/>
  <c r="AB1927" i="2" s="1"/>
  <c r="AA2215" i="2"/>
  <c r="M2235" i="2"/>
  <c r="AA2666" i="4"/>
  <c r="AB2674" i="1"/>
  <c r="AA2475" i="4"/>
  <c r="AB2483" i="1"/>
  <c r="AA1131" i="2"/>
  <c r="AA1182" i="4"/>
  <c r="AB1183" i="1"/>
  <c r="AB1182" i="5" s="1"/>
  <c r="AA2720" i="4"/>
  <c r="AB2728" i="1"/>
  <c r="AA2467" i="4"/>
  <c r="AB2475" i="1"/>
  <c r="M1278" i="4"/>
  <c r="AA1279" i="1"/>
  <c r="AA1278" i="5" s="1"/>
  <c r="AA1128" i="2"/>
  <c r="AA1179" i="4"/>
  <c r="AB1180" i="1"/>
  <c r="AB1179" i="5" s="1"/>
  <c r="AA1962" i="4"/>
  <c r="AB1966" i="1"/>
  <c r="AA1785" i="2"/>
  <c r="AA1881" i="4"/>
  <c r="AB1885" i="1"/>
  <c r="AB1881" i="5" s="1"/>
  <c r="W1579" i="2"/>
  <c r="W2646" i="2" s="1"/>
  <c r="W1665" i="4"/>
  <c r="M1297" i="2"/>
  <c r="M1366" i="4"/>
  <c r="AA1367" i="1"/>
  <c r="Z1182" i="2"/>
  <c r="Z1241" i="4"/>
  <c r="AA889" i="2"/>
  <c r="AA932" i="4"/>
  <c r="AB932" i="1"/>
  <c r="AB932" i="5" s="1"/>
  <c r="Z1577" i="2"/>
  <c r="Z1663" i="4"/>
  <c r="M1466" i="4"/>
  <c r="AA1467" i="1"/>
  <c r="AA1466" i="5" s="1"/>
  <c r="AA2145" i="4"/>
  <c r="AB2149" i="1"/>
  <c r="AA2254" i="4"/>
  <c r="AB2258" i="1"/>
  <c r="AB1250" i="2"/>
  <c r="AB1313" i="4"/>
  <c r="AA576" i="2"/>
  <c r="AA600" i="4"/>
  <c r="AB599" i="1"/>
  <c r="W1559" i="2"/>
  <c r="W1642" i="4"/>
  <c r="W1662" i="1"/>
  <c r="AA1533" i="2"/>
  <c r="AA1612" i="4"/>
  <c r="AB1615" i="1"/>
  <c r="AB1612" i="5" s="1"/>
  <c r="AA508" i="2"/>
  <c r="AA528" i="4"/>
  <c r="AB529" i="1"/>
  <c r="AB528" i="5" s="1"/>
  <c r="AB1085" i="2"/>
  <c r="AB1135" i="4"/>
  <c r="AA636" i="2"/>
  <c r="AA664" i="4"/>
  <c r="AB664" i="1"/>
  <c r="AB664" i="5" s="1"/>
  <c r="AA691" i="1"/>
  <c r="AB118" i="2"/>
  <c r="AB124" i="4"/>
  <c r="AB31" i="2"/>
  <c r="AB32" i="4"/>
  <c r="M1908" i="4"/>
  <c r="AA1912" i="1"/>
  <c r="AA1908" i="5" s="1"/>
  <c r="M1903" i="4"/>
  <c r="AA1907" i="1"/>
  <c r="AA1903" i="5" s="1"/>
  <c r="AA1922" i="5" s="1"/>
  <c r="M1926" i="1"/>
  <c r="M1239" i="2"/>
  <c r="M1302" i="4"/>
  <c r="AA1303" i="1"/>
  <c r="AA1302" i="5" s="1"/>
  <c r="AA1053" i="2"/>
  <c r="AA1101" i="4"/>
  <c r="AB1102" i="1"/>
  <c r="AB1101" i="5" s="1"/>
  <c r="AA1097" i="4"/>
  <c r="AA1049" i="2"/>
  <c r="AB1098" i="1"/>
  <c r="AB1097" i="5" s="1"/>
  <c r="AA1045" i="2"/>
  <c r="AA1093" i="4"/>
  <c r="AB1094" i="1"/>
  <c r="AB1093" i="5" s="1"/>
  <c r="V864" i="2"/>
  <c r="V879" i="2" s="1"/>
  <c r="V904" i="4"/>
  <c r="V922" i="4" s="1"/>
  <c r="W904" i="1"/>
  <c r="AB210" i="2"/>
  <c r="AB219" i="4"/>
  <c r="W58" i="2"/>
  <c r="W62" i="4"/>
  <c r="Z529" i="2"/>
  <c r="Z557" i="1"/>
  <c r="AB498" i="2"/>
  <c r="AB518" i="4"/>
  <c r="W166" i="2"/>
  <c r="W174" i="4"/>
  <c r="W745" i="2"/>
  <c r="W778" i="4"/>
  <c r="AB520" i="2"/>
  <c r="AB539" i="4"/>
  <c r="AB28" i="2"/>
  <c r="AB29" i="4"/>
  <c r="AB373" i="2"/>
  <c r="AB389" i="4"/>
  <c r="V174" i="2"/>
  <c r="V182" i="4"/>
  <c r="W182" i="1"/>
  <c r="W182" i="5" s="1"/>
  <c r="AA19" i="4"/>
  <c r="AB19" i="1"/>
  <c r="AA16" i="2"/>
  <c r="AA16" i="4"/>
  <c r="AB16" i="1"/>
  <c r="AB16" i="5" s="1"/>
  <c r="AA840" i="2"/>
  <c r="AA879" i="4"/>
  <c r="AB879" i="1"/>
  <c r="AB879" i="5" s="1"/>
  <c r="M2122" i="4"/>
  <c r="AA2126" i="1"/>
  <c r="AA2122" i="5" s="1"/>
  <c r="W1154" i="2"/>
  <c r="W1206" i="4"/>
  <c r="AB926" i="2"/>
  <c r="AB968" i="4"/>
  <c r="Z37" i="2"/>
  <c r="Z41" i="4"/>
  <c r="K194" i="2"/>
  <c r="K203" i="4"/>
  <c r="Q203" i="1"/>
  <c r="Q203" i="5" s="1"/>
  <c r="AA184" i="2"/>
  <c r="AA192" i="4"/>
  <c r="AB192" i="1"/>
  <c r="AB192" i="5" s="1"/>
  <c r="Z1177" i="2"/>
  <c r="Z1231" i="4"/>
  <c r="AA1029" i="2"/>
  <c r="AA1076" i="4"/>
  <c r="AB1077" i="1"/>
  <c r="AB1076" i="5" s="1"/>
  <c r="AB825" i="2"/>
  <c r="AB860" i="4"/>
  <c r="AA1130" i="2"/>
  <c r="AA1181" i="4"/>
  <c r="AB1182" i="1"/>
  <c r="AB1181" i="5" s="1"/>
  <c r="AA2588" i="4"/>
  <c r="AB2596" i="1"/>
  <c r="AA2560" i="4"/>
  <c r="AB2568" i="1"/>
  <c r="AA2547" i="4"/>
  <c r="AB2555" i="1"/>
  <c r="Q202" i="2"/>
  <c r="Q211" i="4"/>
  <c r="R211" i="1"/>
  <c r="R211" i="5" s="1"/>
  <c r="M887" i="2"/>
  <c r="M930" i="4"/>
  <c r="AA930" i="1"/>
  <c r="AA930" i="5" s="1"/>
  <c r="AA882" i="2"/>
  <c r="AA925" i="4"/>
  <c r="AB925" i="1"/>
  <c r="AB925" i="5" s="1"/>
  <c r="W867" i="2"/>
  <c r="W907" i="4"/>
  <c r="AA793" i="2"/>
  <c r="AA827" i="4"/>
  <c r="AB827" i="1"/>
  <c r="AB827" i="5" s="1"/>
  <c r="W763" i="2"/>
  <c r="W796" i="4"/>
  <c r="AA738" i="2"/>
  <c r="AA769" i="4"/>
  <c r="AB769" i="1"/>
  <c r="AB769" i="5" s="1"/>
  <c r="AB729" i="2"/>
  <c r="AB760" i="4"/>
  <c r="X701" i="2"/>
  <c r="Z731" i="1"/>
  <c r="Z701" i="2" s="1"/>
  <c r="AA694" i="2"/>
  <c r="AA724" i="4"/>
  <c r="AB724" i="1"/>
  <c r="AB724" i="5" s="1"/>
  <c r="Z131" i="2"/>
  <c r="Z138" i="4"/>
  <c r="AA651" i="2"/>
  <c r="AA679" i="4"/>
  <c r="AB679" i="1"/>
  <c r="AB679" i="5" s="1"/>
  <c r="AB604" i="2"/>
  <c r="AB629" i="4"/>
  <c r="AA153" i="2"/>
  <c r="AA161" i="4"/>
  <c r="AB161" i="1"/>
  <c r="AB161" i="5" s="1"/>
  <c r="AA84" i="2"/>
  <c r="AA89" i="4"/>
  <c r="AB89" i="1"/>
  <c r="AB89" i="5" s="1"/>
  <c r="AA385" i="2"/>
  <c r="AA403" i="4"/>
  <c r="AB404" i="1"/>
  <c r="AB403" i="5" s="1"/>
  <c r="J374" i="2"/>
  <c r="J390" i="4"/>
  <c r="AA364" i="2"/>
  <c r="AA380" i="4"/>
  <c r="AB381" i="1"/>
  <c r="AB380" i="5" s="1"/>
  <c r="Q184" i="2"/>
  <c r="Q192" i="4"/>
  <c r="R192" i="1"/>
  <c r="R192" i="5" s="1"/>
  <c r="V163" i="2"/>
  <c r="V171" i="4"/>
  <c r="W171" i="1"/>
  <c r="W171" i="5" s="1"/>
  <c r="W184" i="5" s="1"/>
  <c r="V184" i="1"/>
  <c r="AA97" i="2"/>
  <c r="AA102" i="4"/>
  <c r="AB102" i="1"/>
  <c r="AB102" i="5" s="1"/>
  <c r="AA93" i="2"/>
  <c r="AA98" i="4"/>
  <c r="AB98" i="1"/>
  <c r="AB98" i="5" s="1"/>
  <c r="AA91" i="2"/>
  <c r="AA96" i="4"/>
  <c r="AB96" i="1"/>
  <c r="AB96" i="5" s="1"/>
  <c r="Z413" i="2"/>
  <c r="Z431" i="4"/>
  <c r="X1208" i="2"/>
  <c r="Z1268" i="1"/>
  <c r="Z1208" i="2" s="1"/>
  <c r="W885" i="2"/>
  <c r="W928" i="4"/>
  <c r="AA409" i="2"/>
  <c r="AA427" i="4"/>
  <c r="AB428" i="1"/>
  <c r="AB427" i="5" s="1"/>
  <c r="AB60" i="2"/>
  <c r="AB64" i="4"/>
  <c r="W706" i="2"/>
  <c r="W736" i="4"/>
  <c r="AA629" i="2"/>
  <c r="AA657" i="4"/>
  <c r="AB657" i="1"/>
  <c r="AB657" i="5" s="1"/>
  <c r="AB459" i="2"/>
  <c r="AB479" i="4"/>
  <c r="Z505" i="2"/>
  <c r="Z515" i="2" s="1"/>
  <c r="Z536" i="1"/>
  <c r="AB449" i="2"/>
  <c r="AB469" i="4"/>
  <c r="AB1166" i="2"/>
  <c r="AB1220" i="4"/>
  <c r="W641" i="2"/>
  <c r="W669" i="4"/>
  <c r="AA1068" i="2"/>
  <c r="AA1117" i="4"/>
  <c r="AB1118" i="1"/>
  <c r="AB1117" i="5" s="1"/>
  <c r="AB731" i="2"/>
  <c r="AB762" i="4"/>
  <c r="Z603" i="2"/>
  <c r="Z628" i="4"/>
  <c r="AA597" i="2"/>
  <c r="AA621" i="4"/>
  <c r="AB620" i="1"/>
  <c r="AB621" i="5" s="1"/>
  <c r="AA62" i="2"/>
  <c r="AA66" i="4"/>
  <c r="AB66" i="1"/>
  <c r="AB66" i="5" s="1"/>
  <c r="W45" i="2"/>
  <c r="W49" i="4"/>
  <c r="W68" i="1"/>
  <c r="AB976" i="2"/>
  <c r="AB1021" i="4"/>
  <c r="M318" i="2"/>
  <c r="M331" i="4"/>
  <c r="AA332" i="1"/>
  <c r="AA331" i="5" s="1"/>
  <c r="AA388" i="2"/>
  <c r="AA406" i="4"/>
  <c r="AB407" i="1"/>
  <c r="AB406" i="5" s="1"/>
  <c r="V839" i="2"/>
  <c r="V878" i="4"/>
  <c r="W878" i="1"/>
  <c r="W878" i="5" s="1"/>
  <c r="W895" i="5" s="1"/>
  <c r="V895" i="1"/>
  <c r="J839" i="2"/>
  <c r="J878" i="4"/>
  <c r="J895" i="1"/>
  <c r="AB547" i="2"/>
  <c r="AB568" i="4"/>
  <c r="AB1110" i="2"/>
  <c r="AB1160" i="4"/>
  <c r="W72" i="2"/>
  <c r="W76" i="4"/>
  <c r="AB208" i="2"/>
  <c r="AB217" i="4"/>
  <c r="AB47" i="2"/>
  <c r="AB51" i="4"/>
  <c r="X2744" i="2"/>
  <c r="Z2744" i="2" s="1"/>
  <c r="X1514" i="2"/>
  <c r="J2223" i="1"/>
  <c r="Q1375" i="4"/>
  <c r="Q1274" i="2"/>
  <c r="U2728" i="4"/>
  <c r="Q261" i="4"/>
  <c r="Q421" i="4" s="1"/>
  <c r="Q2905" i="4" s="1"/>
  <c r="V142" i="2"/>
  <c r="M130" i="4"/>
  <c r="V158" i="2"/>
  <c r="X2511" i="2"/>
  <c r="U250" i="2"/>
  <c r="AB2531" i="2"/>
  <c r="U743" i="4"/>
  <c r="U2243" i="4"/>
  <c r="J684" i="2"/>
  <c r="X1004" i="2"/>
  <c r="Q756" i="4"/>
  <c r="U684" i="2"/>
  <c r="V457" i="4"/>
  <c r="X370" i="1"/>
  <c r="AB1820" i="2"/>
  <c r="J2292" i="4"/>
  <c r="AA1340" i="1"/>
  <c r="P1865" i="2"/>
  <c r="P2738" i="2" s="1"/>
  <c r="H615" i="2"/>
  <c r="H2728" i="2" s="1"/>
  <c r="Q2294" i="4"/>
  <c r="Q2921" i="4" s="1"/>
  <c r="V2079" i="4"/>
  <c r="X1617" i="2"/>
  <c r="V1618" i="4"/>
  <c r="Z1498" i="1"/>
  <c r="U522" i="4"/>
  <c r="U87" i="2"/>
  <c r="V1340" i="1"/>
  <c r="U1160" i="2"/>
  <c r="W947" i="4"/>
  <c r="Q855" i="2"/>
  <c r="V633" i="2"/>
  <c r="V1085" i="4"/>
  <c r="J941" i="1"/>
  <c r="V802" i="4"/>
  <c r="Z107" i="1"/>
  <c r="U333" i="4"/>
  <c r="M2211" i="2"/>
  <c r="X2748" i="2"/>
  <c r="Z2748" i="2" s="1"/>
  <c r="V1967" i="2"/>
  <c r="V2740" i="2" s="1"/>
  <c r="M235" i="1"/>
  <c r="M237" i="1" s="1"/>
  <c r="M2900" i="1" s="1"/>
  <c r="X142" i="2"/>
  <c r="U107" i="4"/>
  <c r="X2294" i="2"/>
  <c r="AB1904" i="2"/>
  <c r="AB2277" i="2"/>
  <c r="U2294" i="2"/>
  <c r="U2314" i="2" s="1"/>
  <c r="U2744" i="2" s="1"/>
  <c r="AB2188" i="2"/>
  <c r="AA74" i="2"/>
  <c r="AA78" i="4"/>
  <c r="AB78" i="1"/>
  <c r="AB78" i="5" s="1"/>
  <c r="Q2728" i="2"/>
  <c r="Q2674" i="2"/>
  <c r="J2728" i="2"/>
  <c r="J2674" i="2"/>
  <c r="AA2633" i="4"/>
  <c r="AB2641" i="1"/>
  <c r="AA2463" i="4"/>
  <c r="AB2471" i="1"/>
  <c r="AA2386" i="4"/>
  <c r="AB2392" i="1"/>
  <c r="V1554" i="2"/>
  <c r="V1556" i="2" s="1"/>
  <c r="V1637" i="4"/>
  <c r="V1639" i="4" s="1"/>
  <c r="W1640" i="1"/>
  <c r="W1637" i="5" s="1"/>
  <c r="AA995" i="2"/>
  <c r="AA1040" i="4"/>
  <c r="AB1041" i="1"/>
  <c r="AB1040" i="5" s="1"/>
  <c r="M1459" i="2"/>
  <c r="M1464" i="2" s="1"/>
  <c r="M1536" i="4"/>
  <c r="M1541" i="4" s="1"/>
  <c r="AA1537" i="1"/>
  <c r="AA1536" i="5" s="1"/>
  <c r="AA1541" i="5" s="1"/>
  <c r="AA758" i="2"/>
  <c r="AA791" i="4"/>
  <c r="AB791" i="1"/>
  <c r="AB791" i="5" s="1"/>
  <c r="AA1758" i="2"/>
  <c r="AA1852" i="4"/>
  <c r="AB1856" i="1"/>
  <c r="AB1852" i="5" s="1"/>
  <c r="AA2738" i="4"/>
  <c r="AB2746" i="1"/>
  <c r="AA2543" i="4"/>
  <c r="AB2551" i="1"/>
  <c r="AB1688" i="2"/>
  <c r="AB1779" i="4"/>
  <c r="AA2116" i="4"/>
  <c r="AB2120" i="1"/>
  <c r="V2019" i="4"/>
  <c r="W2023" i="1"/>
  <c r="AA1920" i="4"/>
  <c r="AB1924" i="1"/>
  <c r="AA552" i="2"/>
  <c r="AA573" i="4"/>
  <c r="AB572" i="1"/>
  <c r="AB573" i="5" s="1"/>
  <c r="X307" i="2"/>
  <c r="Z321" i="1"/>
  <c r="Z307" i="2" s="1"/>
  <c r="AA2563" i="4"/>
  <c r="AB2571" i="1"/>
  <c r="AA2363" i="4"/>
  <c r="AB2369" i="1"/>
  <c r="AA2354" i="4"/>
  <c r="AB2360" i="1"/>
  <c r="AA2257" i="4"/>
  <c r="AB2261" i="1"/>
  <c r="AA2188" i="4"/>
  <c r="AB2192" i="1"/>
  <c r="AA2147" i="4"/>
  <c r="AB2151" i="1"/>
  <c r="AA1817" i="4"/>
  <c r="AA1725" i="2"/>
  <c r="AB1821" i="1"/>
  <c r="AB1817" i="5" s="1"/>
  <c r="W1564" i="2"/>
  <c r="W1647" i="4"/>
  <c r="Z1509" i="2"/>
  <c r="Z1585" i="4"/>
  <c r="Z1505" i="2"/>
  <c r="Z1581" i="4"/>
  <c r="Z1501" i="2"/>
  <c r="Z1577" i="4"/>
  <c r="Z1497" i="2"/>
  <c r="Z1573" i="4"/>
  <c r="W1489" i="2"/>
  <c r="W1564" i="4"/>
  <c r="W1485" i="2"/>
  <c r="W1560" i="4"/>
  <c r="W1481" i="2"/>
  <c r="W1556" i="4"/>
  <c r="W1477" i="2"/>
  <c r="W1552" i="4"/>
  <c r="W645" i="2"/>
  <c r="W673" i="4"/>
  <c r="Z1530" i="2"/>
  <c r="Z1608" i="4"/>
  <c r="AA1383" i="2"/>
  <c r="AA1454" i="4"/>
  <c r="AB1455" i="1"/>
  <c r="AB1454" i="5" s="1"/>
  <c r="J1347" i="2"/>
  <c r="J1417" i="4"/>
  <c r="O911" i="2"/>
  <c r="O913" i="2" s="1"/>
  <c r="O918" i="2" s="1"/>
  <c r="O2597" i="2" s="1"/>
  <c r="O954" i="4"/>
  <c r="O956" i="4" s="1"/>
  <c r="O961" i="4" s="1"/>
  <c r="O2755" i="4" s="1"/>
  <c r="O956" i="1"/>
  <c r="O961" i="1" s="1"/>
  <c r="O2763" i="1" s="1"/>
  <c r="W1277" i="2"/>
  <c r="W1342" i="4"/>
  <c r="AB1181" i="2"/>
  <c r="AB1237" i="4"/>
  <c r="AB1110" i="4"/>
  <c r="AB1061" i="2"/>
  <c r="AA2402" i="4"/>
  <c r="AB2408" i="1"/>
  <c r="AA1075" i="2"/>
  <c r="AA1124" i="4"/>
  <c r="AB1125" i="1"/>
  <c r="AB1124" i="5" s="1"/>
  <c r="AA864" i="4"/>
  <c r="AB864" i="1"/>
  <c r="W825" i="2"/>
  <c r="W860" i="4"/>
  <c r="AA684" i="4"/>
  <c r="AB684" i="1"/>
  <c r="AA1230" i="2"/>
  <c r="AA1293" i="4"/>
  <c r="AB1294" i="1"/>
  <c r="AB1293" i="5" s="1"/>
  <c r="V1224" i="2"/>
  <c r="V1287" i="4"/>
  <c r="W1288" i="1"/>
  <c r="W1287" i="5" s="1"/>
  <c r="V1310" i="1"/>
  <c r="AA1080" i="4"/>
  <c r="AB1081" i="1"/>
  <c r="AA2690" i="4"/>
  <c r="AB2698" i="1"/>
  <c r="AA2647" i="4"/>
  <c r="AB2655" i="1"/>
  <c r="AA2593" i="4"/>
  <c r="AB2601" i="1"/>
  <c r="AA2483" i="4"/>
  <c r="AB2491" i="1"/>
  <c r="M2307" i="4"/>
  <c r="AA2313" i="1"/>
  <c r="AA2307" i="5" s="1"/>
  <c r="AA2076" i="4"/>
  <c r="AB2080" i="1"/>
  <c r="AA2069" i="4"/>
  <c r="AB2073" i="1"/>
  <c r="M1938" i="4"/>
  <c r="AA1942" i="1"/>
  <c r="AA1938" i="5" s="1"/>
  <c r="W1108" i="2"/>
  <c r="W1158" i="4"/>
  <c r="W939" i="2"/>
  <c r="W982" i="4"/>
  <c r="AA877" i="2"/>
  <c r="AA920" i="4"/>
  <c r="AB920" i="1"/>
  <c r="AB920" i="5" s="1"/>
  <c r="V776" i="2"/>
  <c r="V789" i="2" s="1"/>
  <c r="V810" i="4"/>
  <c r="V823" i="4" s="1"/>
  <c r="W810" i="1"/>
  <c r="W810" i="5" s="1"/>
  <c r="W823" i="5" s="1"/>
  <c r="X776" i="2"/>
  <c r="Z810" i="1"/>
  <c r="X823" i="1"/>
  <c r="W575" i="2"/>
  <c r="W599" i="4"/>
  <c r="W26" i="2"/>
  <c r="W27" i="4"/>
  <c r="Z152" i="2"/>
  <c r="Z159" i="4"/>
  <c r="V25" i="2"/>
  <c r="V41" i="2" s="1"/>
  <c r="V26" i="4"/>
  <c r="V45" i="4" s="1"/>
  <c r="V45" i="1"/>
  <c r="W26" i="1"/>
  <c r="W26" i="5" s="1"/>
  <c r="W45" i="5" s="1"/>
  <c r="AA1010" i="4"/>
  <c r="AB1011" i="1"/>
  <c r="AA704" i="2"/>
  <c r="AA734" i="4"/>
  <c r="AB734" i="1"/>
  <c r="AB734" i="5" s="1"/>
  <c r="W609" i="2"/>
  <c r="W634" i="4"/>
  <c r="AA605" i="2"/>
  <c r="AA630" i="4"/>
  <c r="AB629" i="1"/>
  <c r="AB630" i="5" s="1"/>
  <c r="AB494" i="2"/>
  <c r="AB514" i="4"/>
  <c r="W114" i="2"/>
  <c r="W120" i="4"/>
  <c r="AB579" i="2"/>
  <c r="AB603" i="4"/>
  <c r="X688" i="2"/>
  <c r="Z718" i="1"/>
  <c r="Z688" i="2" s="1"/>
  <c r="W591" i="2"/>
  <c r="W615" i="4"/>
  <c r="AA587" i="2"/>
  <c r="AA611" i="4"/>
  <c r="AA624" i="1"/>
  <c r="AB610" i="1"/>
  <c r="AB611" i="5" s="1"/>
  <c r="W577" i="2"/>
  <c r="W601" i="4"/>
  <c r="W560" i="2"/>
  <c r="W581" i="4"/>
  <c r="W461" i="2"/>
  <c r="W481" i="4"/>
  <c r="W449" i="2"/>
  <c r="W469" i="4"/>
  <c r="AA443" i="2"/>
  <c r="AA463" i="4"/>
  <c r="AB464" i="1"/>
  <c r="AB463" i="5" s="1"/>
  <c r="AA434" i="2"/>
  <c r="AA454" i="4"/>
  <c r="AB455" i="1"/>
  <c r="AB454" i="5" s="1"/>
  <c r="AA431" i="2"/>
  <c r="AA451" i="4"/>
  <c r="AB452" i="1"/>
  <c r="AB451" i="5" s="1"/>
  <c r="W135" i="2"/>
  <c r="W142" i="4"/>
  <c r="Z45" i="2"/>
  <c r="Z68" i="1"/>
  <c r="AB1054" i="2"/>
  <c r="AB1102" i="4"/>
  <c r="AB996" i="2"/>
  <c r="AB1041" i="4"/>
  <c r="W779" i="2"/>
  <c r="W813" i="4"/>
  <c r="Z420" i="2"/>
  <c r="Z440" i="4"/>
  <c r="AA365" i="2"/>
  <c r="AA381" i="4"/>
  <c r="AB382" i="1"/>
  <c r="AB381" i="5" s="1"/>
  <c r="M290" i="2"/>
  <c r="M302" i="4"/>
  <c r="AA303" i="1"/>
  <c r="AA302" i="5" s="1"/>
  <c r="R219" i="2"/>
  <c r="R230" i="4"/>
  <c r="AA193" i="2"/>
  <c r="AA201" i="4"/>
  <c r="AB201" i="1"/>
  <c r="AB201" i="5" s="1"/>
  <c r="W417" i="2"/>
  <c r="W435" i="4"/>
  <c r="AA369" i="2"/>
  <c r="AA385" i="4"/>
  <c r="AB386" i="1"/>
  <c r="AB385" i="5" s="1"/>
  <c r="Z248" i="2"/>
  <c r="Z259" i="4"/>
  <c r="AA185" i="2"/>
  <c r="AA193" i="4"/>
  <c r="AB193" i="1"/>
  <c r="AB193" i="5" s="1"/>
  <c r="AA160" i="4"/>
  <c r="AB160" i="1"/>
  <c r="AA78" i="2"/>
  <c r="AA82" i="4"/>
  <c r="AB82" i="1"/>
  <c r="AB82" i="5" s="1"/>
  <c r="W54" i="2"/>
  <c r="W58" i="4"/>
  <c r="Z27" i="2"/>
  <c r="Z28" i="4"/>
  <c r="AB71" i="2"/>
  <c r="AB75" i="4"/>
  <c r="AA291" i="2"/>
  <c r="AA303" i="4"/>
  <c r="AB304" i="1"/>
  <c r="AB303" i="5" s="1"/>
  <c r="AA256" i="2"/>
  <c r="AA267" i="4"/>
  <c r="AB268" i="1"/>
  <c r="AB267" i="5" s="1"/>
  <c r="R220" i="2"/>
  <c r="R231" i="4"/>
  <c r="K188" i="2"/>
  <c r="K196" i="4"/>
  <c r="Q196" i="1"/>
  <c r="Q196" i="5" s="1"/>
  <c r="W137" i="2"/>
  <c r="W144" i="4"/>
  <c r="W60" i="2"/>
  <c r="W64" i="4"/>
  <c r="W411" i="2"/>
  <c r="W429" i="4"/>
  <c r="M363" i="2"/>
  <c r="M379" i="4"/>
  <c r="AA380" i="1"/>
  <c r="M399" i="1"/>
  <c r="AA324" i="2"/>
  <c r="AA337" i="4"/>
  <c r="AB338" i="1"/>
  <c r="AB337" i="5" s="1"/>
  <c r="AB289" i="2"/>
  <c r="AB301" i="4"/>
  <c r="K210" i="2"/>
  <c r="Q219" i="1"/>
  <c r="Q219" i="5" s="1"/>
  <c r="K219" i="4"/>
  <c r="Z149" i="2"/>
  <c r="Z156" i="4"/>
  <c r="AA204" i="2"/>
  <c r="AA213" i="4"/>
  <c r="AB213" i="1"/>
  <c r="AB213" i="5" s="1"/>
  <c r="AA180" i="2"/>
  <c r="AA188" i="4"/>
  <c r="AB188" i="1"/>
  <c r="AB188" i="5" s="1"/>
  <c r="AA2052" i="2"/>
  <c r="AB2024" i="2"/>
  <c r="AB2052" i="2" s="1"/>
  <c r="AA2385" i="2"/>
  <c r="M2400" i="2"/>
  <c r="M2430" i="2" s="1"/>
  <c r="M2746" i="2" s="1"/>
  <c r="AA2746" i="2" s="1"/>
  <c r="AB2746" i="2" s="1"/>
  <c r="AB640" i="2"/>
  <c r="AB668" i="4"/>
  <c r="W433" i="2"/>
  <c r="W453" i="4"/>
  <c r="AB287" i="2"/>
  <c r="AB299" i="4"/>
  <c r="AB1100" i="2"/>
  <c r="AB1150" i="4"/>
  <c r="AB998" i="2"/>
  <c r="AB1043" i="4"/>
  <c r="W780" i="2"/>
  <c r="W814" i="4"/>
  <c r="W413" i="2"/>
  <c r="W431" i="4"/>
  <c r="AA378" i="2"/>
  <c r="AA396" i="4"/>
  <c r="AB397" i="1"/>
  <c r="AB396" i="5" s="1"/>
  <c r="J283" i="2"/>
  <c r="J295" i="4"/>
  <c r="AA327" i="2"/>
  <c r="AA340" i="4"/>
  <c r="AB341" i="1"/>
  <c r="AB340" i="5" s="1"/>
  <c r="M294" i="2"/>
  <c r="M306" i="4"/>
  <c r="AA307" i="1"/>
  <c r="AA306" i="5" s="1"/>
  <c r="Z134" i="2"/>
  <c r="Z141" i="4"/>
  <c r="AA213" i="2"/>
  <c r="AA222" i="4"/>
  <c r="AB222" i="1"/>
  <c r="AB222" i="5" s="1"/>
  <c r="Z1614" i="2"/>
  <c r="Z1706" i="4"/>
  <c r="W1178" i="2"/>
  <c r="W1232" i="4"/>
  <c r="AA2420" i="4"/>
  <c r="AB2426" i="1"/>
  <c r="AA2473" i="4"/>
  <c r="AB2481" i="1"/>
  <c r="AB2473" i="5" s="1"/>
  <c r="AA2496" i="1"/>
  <c r="W1705" i="4"/>
  <c r="W1613" i="2"/>
  <c r="W1432" i="2"/>
  <c r="W1509" i="4"/>
  <c r="AB1719" i="2"/>
  <c r="AB1811" i="4"/>
  <c r="AB1490" i="2"/>
  <c r="AB1566" i="4"/>
  <c r="AA935" i="2"/>
  <c r="AA977" i="4"/>
  <c r="AB978" i="1"/>
  <c r="AB977" i="5" s="1"/>
  <c r="AB730" i="2"/>
  <c r="AB761" i="4"/>
  <c r="M1929" i="4"/>
  <c r="AA1933" i="1"/>
  <c r="AA1929" i="5" s="1"/>
  <c r="W1497" i="2"/>
  <c r="W1573" i="4"/>
  <c r="AA2199" i="4"/>
  <c r="AB2203" i="1"/>
  <c r="AA2519" i="4"/>
  <c r="AB2527" i="1"/>
  <c r="M2723" i="4"/>
  <c r="AA2731" i="1"/>
  <c r="AA2723" i="5" s="1"/>
  <c r="Z1609" i="2"/>
  <c r="Z1701" i="4"/>
  <c r="W1327" i="2"/>
  <c r="W1397" i="4"/>
  <c r="W781" i="2"/>
  <c r="W815" i="4"/>
  <c r="AA1662" i="2"/>
  <c r="AA1753" i="4"/>
  <c r="AB1757" i="1"/>
  <c r="AB1753" i="5" s="1"/>
  <c r="AA2848" i="1"/>
  <c r="Z1624" i="2"/>
  <c r="Z1716" i="4"/>
  <c r="Z1613" i="2"/>
  <c r="Z1705" i="4"/>
  <c r="W524" i="2"/>
  <c r="W543" i="4"/>
  <c r="AB1277" i="2"/>
  <c r="AB1342" i="4"/>
  <c r="AA2148" i="4"/>
  <c r="AB2152" i="1"/>
  <c r="AA2023" i="4"/>
  <c r="AB2027" i="1"/>
  <c r="W1157" i="2"/>
  <c r="W1211" i="4"/>
  <c r="AA2407" i="4"/>
  <c r="AB2413" i="1"/>
  <c r="AA2301" i="4"/>
  <c r="AB2307" i="1"/>
  <c r="AA1384" i="2"/>
  <c r="AA1455" i="4"/>
  <c r="AB1456" i="1"/>
  <c r="AB1455" i="5" s="1"/>
  <c r="M1360" i="2"/>
  <c r="M1431" i="4"/>
  <c r="AA1432" i="1"/>
  <c r="AA1431" i="5" s="1"/>
  <c r="AA1203" i="2"/>
  <c r="AA1262" i="4"/>
  <c r="AB1263" i="1"/>
  <c r="AB1262" i="5" s="1"/>
  <c r="AB1099" i="2"/>
  <c r="AB1149" i="4"/>
  <c r="AA756" i="2"/>
  <c r="AA789" i="4"/>
  <c r="AB789" i="1"/>
  <c r="AB789" i="5" s="1"/>
  <c r="J1941" i="4"/>
  <c r="J1951" i="4" s="1"/>
  <c r="Z2453" i="4"/>
  <c r="Z2478" i="1"/>
  <c r="AA1743" i="2"/>
  <c r="AA1835" i="4"/>
  <c r="AB1839" i="1"/>
  <c r="AB1835" i="5" s="1"/>
  <c r="W1411" i="2"/>
  <c r="W1487" i="4"/>
  <c r="AA1265" i="2"/>
  <c r="AA1328" i="4"/>
  <c r="AB1329" i="1"/>
  <c r="AB1328" i="5" s="1"/>
  <c r="AA1273" i="4"/>
  <c r="AB1274" i="1"/>
  <c r="M852" i="2"/>
  <c r="M892" i="4"/>
  <c r="AA892" i="1"/>
  <c r="AA892" i="5" s="1"/>
  <c r="X2672" i="4"/>
  <c r="Z2680" i="1"/>
  <c r="AA2444" i="4"/>
  <c r="AB2450" i="1"/>
  <c r="AA2395" i="4"/>
  <c r="AB2401" i="1"/>
  <c r="M2271" i="4"/>
  <c r="AA2275" i="1"/>
  <c r="AA2271" i="5" s="1"/>
  <c r="AA2266" i="4"/>
  <c r="AB2270" i="1"/>
  <c r="AA2115" i="4"/>
  <c r="AB2119" i="1"/>
  <c r="AB2115" i="5" s="1"/>
  <c r="AB1833" i="4"/>
  <c r="AB1741" i="2"/>
  <c r="AB1704" i="2"/>
  <c r="AB1795" i="4"/>
  <c r="X1680" i="2"/>
  <c r="X1693" i="2" s="1"/>
  <c r="X1788" i="1"/>
  <c r="Z1775" i="1"/>
  <c r="AA1672" i="2"/>
  <c r="AA1763" i="4"/>
  <c r="AB1767" i="1"/>
  <c r="AB1763" i="5" s="1"/>
  <c r="AA1258" i="2"/>
  <c r="AA1321" i="4"/>
  <c r="AB1322" i="1"/>
  <c r="AB1321" i="5" s="1"/>
  <c r="J1257" i="2"/>
  <c r="J1274" i="2" s="1"/>
  <c r="J1320" i="4"/>
  <c r="J1339" i="4" s="1"/>
  <c r="AA1091" i="2"/>
  <c r="AA1141" i="4"/>
  <c r="AB1142" i="1"/>
  <c r="AB1141" i="5" s="1"/>
  <c r="AB741" i="2"/>
  <c r="AB772" i="4"/>
  <c r="AA1563" i="2"/>
  <c r="AA1646" i="4"/>
  <c r="AB1649" i="1"/>
  <c r="AB1646" i="5" s="1"/>
  <c r="AA1559" i="2"/>
  <c r="AA1642" i="4"/>
  <c r="AA1662" i="1"/>
  <c r="AB1645" i="1"/>
  <c r="AB1642" i="5" s="1"/>
  <c r="Z147" i="2"/>
  <c r="Z154" i="4"/>
  <c r="W888" i="2"/>
  <c r="W931" i="4"/>
  <c r="W51" i="2"/>
  <c r="W55" i="4"/>
  <c r="J1153" i="2"/>
  <c r="J1205" i="4"/>
  <c r="Z991" i="2"/>
  <c r="Z1004" i="2" s="1"/>
  <c r="Z1050" i="1"/>
  <c r="W987" i="4"/>
  <c r="W989" i="4" s="1"/>
  <c r="W944" i="2"/>
  <c r="W946" i="2" s="1"/>
  <c r="W990" i="1"/>
  <c r="Z936" i="2"/>
  <c r="Z978" i="4"/>
  <c r="AA700" i="2"/>
  <c r="AA730" i="4"/>
  <c r="AB730" i="1"/>
  <c r="AB730" i="5" s="1"/>
  <c r="AA329" i="2"/>
  <c r="AA342" i="4"/>
  <c r="AB343" i="1"/>
  <c r="AB342" i="5" s="1"/>
  <c r="AB2833" i="1"/>
  <c r="AA2721" i="4"/>
  <c r="AB2729" i="1"/>
  <c r="AA2691" i="4"/>
  <c r="AB2699" i="1"/>
  <c r="AA2667" i="4"/>
  <c r="AB2675" i="1"/>
  <c r="AA2644" i="4"/>
  <c r="AB2652" i="1"/>
  <c r="AA2594" i="4"/>
  <c r="AB2602" i="1"/>
  <c r="AA2559" i="4"/>
  <c r="AB2567" i="1"/>
  <c r="M2278" i="4"/>
  <c r="AA2282" i="1"/>
  <c r="AA2278" i="5" s="1"/>
  <c r="AA737" i="4"/>
  <c r="AB737" i="1"/>
  <c r="W477" i="2"/>
  <c r="W497" i="4"/>
  <c r="AB105" i="2"/>
  <c r="AB111" i="4"/>
  <c r="W929" i="2"/>
  <c r="W971" i="4"/>
  <c r="AB569" i="2"/>
  <c r="AB593" i="4"/>
  <c r="AB483" i="2"/>
  <c r="AB503" i="4"/>
  <c r="AB510" i="1"/>
  <c r="AA641" i="2"/>
  <c r="AA669" i="4"/>
  <c r="AB669" i="1"/>
  <c r="AB669" i="5" s="1"/>
  <c r="W640" i="2"/>
  <c r="W668" i="4"/>
  <c r="Z607" i="2"/>
  <c r="Z632" i="4"/>
  <c r="W604" i="2"/>
  <c r="W629" i="4"/>
  <c r="AB424" i="2"/>
  <c r="AB444" i="4"/>
  <c r="W431" i="2"/>
  <c r="W451" i="4"/>
  <c r="W62" i="2"/>
  <c r="W66" i="4"/>
  <c r="AB1089" i="2"/>
  <c r="AB1139" i="4"/>
  <c r="AB1060" i="2"/>
  <c r="AB1109" i="4"/>
  <c r="W877" i="2"/>
  <c r="W920" i="4"/>
  <c r="W118" i="2"/>
  <c r="W124" i="4"/>
  <c r="AA271" i="2"/>
  <c r="AA283" i="4"/>
  <c r="AA313" i="1"/>
  <c r="AB284" i="1"/>
  <c r="AB283" i="5" s="1"/>
  <c r="AA117" i="2"/>
  <c r="AA123" i="4"/>
  <c r="AB123" i="1"/>
  <c r="AB123" i="5" s="1"/>
  <c r="Z323" i="2"/>
  <c r="X235" i="1"/>
  <c r="Z228" i="1"/>
  <c r="Z235" i="1" s="1"/>
  <c r="AA233" i="2"/>
  <c r="AA243" i="4"/>
  <c r="AB244" i="1"/>
  <c r="AB243" i="5" s="1"/>
  <c r="AB311" i="2"/>
  <c r="AB324" i="4"/>
  <c r="AB1597" i="2"/>
  <c r="AB1686" i="4"/>
  <c r="M2255" i="4"/>
  <c r="AA2259" i="1"/>
  <c r="W1163" i="2"/>
  <c r="W1217" i="4"/>
  <c r="W1245" i="1"/>
  <c r="AA218" i="2"/>
  <c r="AA227" i="4"/>
  <c r="AB227" i="1"/>
  <c r="AB227" i="5" s="1"/>
  <c r="AA2339" i="4"/>
  <c r="AB2345" i="1"/>
  <c r="AA1298" i="2"/>
  <c r="AA1367" i="4"/>
  <c r="AB1368" i="1"/>
  <c r="AB1367" i="5" s="1"/>
  <c r="AA1664" i="2"/>
  <c r="AA1755" i="4"/>
  <c r="AB1759" i="1"/>
  <c r="AB1755" i="5" s="1"/>
  <c r="AA2310" i="4"/>
  <c r="AB2316" i="1"/>
  <c r="AA2123" i="4"/>
  <c r="AB2127" i="1"/>
  <c r="AA778" i="2"/>
  <c r="AA812" i="4"/>
  <c r="AB812" i="1"/>
  <c r="AB812" i="5" s="1"/>
  <c r="AA1578" i="2"/>
  <c r="AA1664" i="4"/>
  <c r="AB1667" i="1"/>
  <c r="AB1664" i="5" s="1"/>
  <c r="AA1593" i="2"/>
  <c r="AA1682" i="4"/>
  <c r="AB1685" i="1"/>
  <c r="AB1682" i="5" s="1"/>
  <c r="AA1549" i="2"/>
  <c r="AA1630" i="4"/>
  <c r="AB1633" i="1"/>
  <c r="AB1630" i="5" s="1"/>
  <c r="AA2577" i="4"/>
  <c r="AB2585" i="1"/>
  <c r="AA1679" i="2"/>
  <c r="AA1770" i="4"/>
  <c r="AA1788" i="1"/>
  <c r="AB1774" i="1"/>
  <c r="AB1770" i="5" s="1"/>
  <c r="AA2046" i="4"/>
  <c r="AB2050" i="1"/>
  <c r="AA532" i="2"/>
  <c r="AA551" i="4"/>
  <c r="AB552" i="1"/>
  <c r="AB551" i="5" s="1"/>
  <c r="AB2808" i="1"/>
  <c r="AA1610" i="2"/>
  <c r="AA1702" i="4"/>
  <c r="AB1705" i="1"/>
  <c r="AB1702" i="5" s="1"/>
  <c r="AA1367" i="2"/>
  <c r="AA1438" i="4"/>
  <c r="AB1439" i="1"/>
  <c r="AB1438" i="5" s="1"/>
  <c r="M2200" i="4"/>
  <c r="AA2204" i="1"/>
  <c r="AA2200" i="5" s="1"/>
  <c r="AA2219" i="5" s="1"/>
  <c r="M1764" i="2"/>
  <c r="M1858" i="4"/>
  <c r="AA1862" i="1"/>
  <c r="AA1858" i="5" s="1"/>
  <c r="V1204" i="2"/>
  <c r="V1263" i="4"/>
  <c r="W1264" i="1"/>
  <c r="W1263" i="5" s="1"/>
  <c r="V883" i="2"/>
  <c r="V926" i="4"/>
  <c r="W926" i="1"/>
  <c r="AB1700" i="2"/>
  <c r="AB1791" i="4"/>
  <c r="W1147" i="2"/>
  <c r="W1199" i="4"/>
  <c r="AA2328" i="4"/>
  <c r="AB2334" i="1"/>
  <c r="AA1933" i="4"/>
  <c r="AB1937" i="1"/>
  <c r="AA1670" i="2"/>
  <c r="AA1761" i="4"/>
  <c r="AA1771" i="1"/>
  <c r="AB1765" i="1"/>
  <c r="AB1761" i="5" s="1"/>
  <c r="Z1598" i="2"/>
  <c r="Z1687" i="4"/>
  <c r="W1226" i="2"/>
  <c r="W1289" i="4"/>
  <c r="Z1144" i="2"/>
  <c r="Z1196" i="4"/>
  <c r="AA1925" i="4"/>
  <c r="AB1929" i="1"/>
  <c r="AB1925" i="5" s="1"/>
  <c r="AB1786" i="2"/>
  <c r="AB1882" i="4"/>
  <c r="J1777" i="2"/>
  <c r="J1873" i="4"/>
  <c r="W1293" i="2"/>
  <c r="W1358" i="4"/>
  <c r="Z1181" i="2"/>
  <c r="Z1237" i="4"/>
  <c r="AA865" i="2"/>
  <c r="AA905" i="4"/>
  <c r="AB905" i="1"/>
  <c r="AB905" i="5" s="1"/>
  <c r="AA645" i="2"/>
  <c r="AA673" i="4"/>
  <c r="AB673" i="1"/>
  <c r="AB673" i="5" s="1"/>
  <c r="AA474" i="2"/>
  <c r="AA494" i="4"/>
  <c r="AB495" i="1"/>
  <c r="AB494" i="5" s="1"/>
  <c r="M2329" i="4"/>
  <c r="AA2335" i="1"/>
  <c r="AA2329" i="5" s="1"/>
  <c r="AA2341" i="5" s="1"/>
  <c r="AA1918" i="4"/>
  <c r="AB1922" i="1"/>
  <c r="AA1601" i="2"/>
  <c r="AA1690" i="4"/>
  <c r="AB1693" i="1"/>
  <c r="AB1690" i="5" s="1"/>
  <c r="Z1592" i="2"/>
  <c r="Z1681" i="4"/>
  <c r="Z1700" i="1"/>
  <c r="AA2818" i="1"/>
  <c r="M2740" i="4"/>
  <c r="M2750" i="4" s="1"/>
  <c r="AA2748" i="1"/>
  <c r="AA2211" i="4"/>
  <c r="AB2215" i="1"/>
  <c r="AA2191" i="1"/>
  <c r="AA2187" i="5" s="1"/>
  <c r="AA2194" i="5" s="1"/>
  <c r="M2187" i="4"/>
  <c r="M2194" i="4" s="1"/>
  <c r="W2062" i="4"/>
  <c r="W2079" i="4" s="1"/>
  <c r="W2083" i="1"/>
  <c r="Z1608" i="2"/>
  <c r="Z1700" i="4"/>
  <c r="Z1712" i="1"/>
  <c r="AA1586" i="2"/>
  <c r="AA1675" i="4"/>
  <c r="AB1678" i="1"/>
  <c r="AB1675" i="5" s="1"/>
  <c r="AA1544" i="2"/>
  <c r="AA1625" i="4"/>
  <c r="AB1628" i="1"/>
  <c r="AB1625" i="5" s="1"/>
  <c r="AA1605" i="4"/>
  <c r="AA1527" i="2"/>
  <c r="AB1608" i="1"/>
  <c r="AB1605" i="5" s="1"/>
  <c r="AB1481" i="2"/>
  <c r="AB1556" i="4"/>
  <c r="Z1473" i="2"/>
  <c r="Z1548" i="4"/>
  <c r="Z1571" i="1"/>
  <c r="AA1241" i="2"/>
  <c r="AA1304" i="4"/>
  <c r="AB1305" i="1"/>
  <c r="AB1304" i="5" s="1"/>
  <c r="AA1196" i="2"/>
  <c r="AA1255" i="4"/>
  <c r="AB1256" i="1"/>
  <c r="AB1255" i="5" s="1"/>
  <c r="AB1531" i="2"/>
  <c r="AB1609" i="4"/>
  <c r="X1386" i="2"/>
  <c r="Z1458" i="1"/>
  <c r="Z1386" i="2" s="1"/>
  <c r="X1198" i="2"/>
  <c r="Z1258" i="1"/>
  <c r="X1282" i="1"/>
  <c r="W1098" i="2"/>
  <c r="W1148" i="4"/>
  <c r="W1196" i="2"/>
  <c r="W1255" i="4"/>
  <c r="AA1295" i="2"/>
  <c r="AA1360" i="4"/>
  <c r="AB1361" i="1"/>
  <c r="AB1360" i="5" s="1"/>
  <c r="AA765" i="2"/>
  <c r="AA799" i="4"/>
  <c r="AB799" i="1"/>
  <c r="AB799" i="5" s="1"/>
  <c r="AA2737" i="4"/>
  <c r="AB2745" i="1"/>
  <c r="AA2554" i="4"/>
  <c r="AB2562" i="1"/>
  <c r="AA2548" i="4"/>
  <c r="AB2556" i="1"/>
  <c r="M2136" i="4"/>
  <c r="AA2140" i="1"/>
  <c r="AA2136" i="5" s="1"/>
  <c r="M2120" i="4"/>
  <c r="AA2124" i="1"/>
  <c r="AA2120" i="5" s="1"/>
  <c r="AA2138" i="5" s="1"/>
  <c r="U2041" i="4"/>
  <c r="U2059" i="4" s="1"/>
  <c r="U2063" i="1"/>
  <c r="U2085" i="1" s="1"/>
  <c r="U2916" i="1" s="1"/>
  <c r="AA2045" i="1"/>
  <c r="AA2041" i="5" s="1"/>
  <c r="AA2059" i="5" s="1"/>
  <c r="M1148" i="2"/>
  <c r="M1160" i="2" s="1"/>
  <c r="M1200" i="4"/>
  <c r="AA1201" i="1"/>
  <c r="V1090" i="2"/>
  <c r="V1093" i="2" s="1"/>
  <c r="V1140" i="4"/>
  <c r="V1143" i="4" s="1"/>
  <c r="W1141" i="1"/>
  <c r="W1140" i="5" s="1"/>
  <c r="W1143" i="5" s="1"/>
  <c r="W974" i="2"/>
  <c r="W1019" i="4"/>
  <c r="Z836" i="2"/>
  <c r="Z26" i="2"/>
  <c r="Z27" i="4"/>
  <c r="W1025" i="2"/>
  <c r="W1072" i="4"/>
  <c r="AA875" i="2"/>
  <c r="AA918" i="4"/>
  <c r="AB918" i="1"/>
  <c r="AB918" i="5" s="1"/>
  <c r="Z628" i="2"/>
  <c r="Z656" i="4"/>
  <c r="W658" i="2"/>
  <c r="W688" i="4"/>
  <c r="AA645" i="4"/>
  <c r="AB645" i="1"/>
  <c r="AA610" i="2"/>
  <c r="AA635" i="4"/>
  <c r="AB634" i="1"/>
  <c r="AB635" i="5" s="1"/>
  <c r="AB496" i="2"/>
  <c r="AB516" i="4"/>
  <c r="AA2545" i="2"/>
  <c r="M2549" i="2"/>
  <c r="W729" i="4"/>
  <c r="W699" i="2"/>
  <c r="AA767" i="4"/>
  <c r="AA736" i="2"/>
  <c r="AB767" i="1"/>
  <c r="AB767" i="5" s="1"/>
  <c r="J715" i="2"/>
  <c r="J725" i="2" s="1"/>
  <c r="J746" i="4"/>
  <c r="J756" i="4" s="1"/>
  <c r="J756" i="1"/>
  <c r="W657" i="2"/>
  <c r="W687" i="4"/>
  <c r="W629" i="2"/>
  <c r="W657" i="4"/>
  <c r="AA589" i="2"/>
  <c r="AA613" i="4"/>
  <c r="AB612" i="1"/>
  <c r="AB613" i="5" s="1"/>
  <c r="AA533" i="2"/>
  <c r="AA552" i="4"/>
  <c r="AB553" i="1"/>
  <c r="AB552" i="5" s="1"/>
  <c r="X462" i="2"/>
  <c r="X467" i="2" s="1"/>
  <c r="Z483" i="1"/>
  <c r="Z462" i="2" s="1"/>
  <c r="AA451" i="2"/>
  <c r="AA471" i="4"/>
  <c r="AB472" i="1"/>
  <c r="AB471" i="5" s="1"/>
  <c r="AA448" i="2"/>
  <c r="AA468" i="4"/>
  <c r="AB469" i="1"/>
  <c r="AB468" i="5" s="1"/>
  <c r="Z424" i="2"/>
  <c r="Z444" i="4"/>
  <c r="AA260" i="2"/>
  <c r="AA271" i="4"/>
  <c r="AB272" i="1"/>
  <c r="AB271" i="5" s="1"/>
  <c r="AA99" i="2"/>
  <c r="AA105" i="4"/>
  <c r="AB105" i="1"/>
  <c r="AB105" i="5" s="1"/>
  <c r="AB1065" i="2"/>
  <c r="AB1114" i="4"/>
  <c r="W778" i="2"/>
  <c r="W812" i="4"/>
  <c r="W751" i="2"/>
  <c r="W784" i="4"/>
  <c r="W802" i="1"/>
  <c r="W35" i="2"/>
  <c r="W36" i="4"/>
  <c r="AA258" i="2"/>
  <c r="AA269" i="4"/>
  <c r="AB270" i="1"/>
  <c r="AB269" i="5" s="1"/>
  <c r="AB255" i="2"/>
  <c r="AB266" i="4"/>
  <c r="AB191" i="2"/>
  <c r="AB199" i="4"/>
  <c r="Z261" i="2"/>
  <c r="Z272" i="4"/>
  <c r="Z235" i="2"/>
  <c r="Z245" i="4"/>
  <c r="W84" i="2"/>
  <c r="W89" i="4"/>
  <c r="M2572" i="2"/>
  <c r="AA2552" i="2"/>
  <c r="M303" i="2"/>
  <c r="AA317" i="1"/>
  <c r="AA316" i="5" s="1"/>
  <c r="AA333" i="5" s="1"/>
  <c r="M316" i="4"/>
  <c r="M334" i="1"/>
  <c r="AA211" i="2"/>
  <c r="AA220" i="4"/>
  <c r="AB220" i="1"/>
  <c r="AB220" i="5" s="1"/>
  <c r="AA280" i="2"/>
  <c r="AA292" i="4"/>
  <c r="AB293" i="1"/>
  <c r="AB292" i="5" s="1"/>
  <c r="AB257" i="2"/>
  <c r="AB268" i="4"/>
  <c r="AA139" i="2"/>
  <c r="AA146" i="4"/>
  <c r="AB146" i="1"/>
  <c r="AB146" i="5" s="1"/>
  <c r="W96" i="2"/>
  <c r="W101" i="4"/>
  <c r="W90" i="2"/>
  <c r="W95" i="4"/>
  <c r="W107" i="1"/>
  <c r="W2848" i="1"/>
  <c r="Z19" i="2"/>
  <c r="Z20" i="4"/>
  <c r="W15" i="2"/>
  <c r="W15" i="4"/>
  <c r="AB170" i="2"/>
  <c r="AB178" i="4"/>
  <c r="AB413" i="2"/>
  <c r="AB431" i="4"/>
  <c r="AB383" i="2"/>
  <c r="AB401" i="4"/>
  <c r="J242" i="2"/>
  <c r="J250" i="2" s="1"/>
  <c r="J252" i="4"/>
  <c r="J261" i="4" s="1"/>
  <c r="AA85" i="2"/>
  <c r="AA90" i="4"/>
  <c r="AB90" i="1"/>
  <c r="AB90" i="5" s="1"/>
  <c r="AA2356" i="2"/>
  <c r="AB2341" i="2"/>
  <c r="AB2356" i="2" s="1"/>
  <c r="AA2211" i="2"/>
  <c r="AB2191" i="2"/>
  <c r="AB2211" i="2" s="1"/>
  <c r="AA275" i="4"/>
  <c r="AB276" i="1"/>
  <c r="AA119" i="2"/>
  <c r="AA125" i="4"/>
  <c r="AB125" i="1"/>
  <c r="AB125" i="5" s="1"/>
  <c r="Z31" i="2"/>
  <c r="Z32" i="4"/>
  <c r="AA678" i="2"/>
  <c r="AA708" i="4"/>
  <c r="AB708" i="1"/>
  <c r="AB708" i="5" s="1"/>
  <c r="W112" i="2"/>
  <c r="W118" i="4"/>
  <c r="W106" i="2"/>
  <c r="W112" i="4"/>
  <c r="Z25" i="2"/>
  <c r="Z26" i="4"/>
  <c r="Z45" i="1"/>
  <c r="AA323" i="2"/>
  <c r="AA336" i="4"/>
  <c r="AA370" i="1"/>
  <c r="AB337" i="1"/>
  <c r="AB336" i="5" s="1"/>
  <c r="Z1636" i="2"/>
  <c r="Z1728" i="4"/>
  <c r="AB1673" i="2"/>
  <c r="AB1764" i="4"/>
  <c r="AA2376" i="4"/>
  <c r="AB2382" i="1"/>
  <c r="AA1674" i="2"/>
  <c r="AA1765" i="4"/>
  <c r="AB1769" i="1"/>
  <c r="AB1765" i="5" s="1"/>
  <c r="J1297" i="2"/>
  <c r="J1366" i="4"/>
  <c r="W1258" i="2"/>
  <c r="W1321" i="4"/>
  <c r="W865" i="2"/>
  <c r="W905" i="4"/>
  <c r="W1551" i="2"/>
  <c r="W1633" i="4"/>
  <c r="W1505" i="2"/>
  <c r="W1581" i="4"/>
  <c r="W498" i="2"/>
  <c r="W518" i="4"/>
  <c r="AA113" i="2"/>
  <c r="AA119" i="4"/>
  <c r="AB119" i="1"/>
  <c r="AB119" i="5" s="1"/>
  <c r="AA2741" i="4"/>
  <c r="AB2749" i="1"/>
  <c r="AA1980" i="4"/>
  <c r="AB1984" i="1"/>
  <c r="J1903" i="4"/>
  <c r="J1922" i="4" s="1"/>
  <c r="J1926" i="1"/>
  <c r="V1302" i="4"/>
  <c r="V1239" i="2"/>
  <c r="W1303" i="1"/>
  <c r="W1302" i="5" s="1"/>
  <c r="AA1052" i="2"/>
  <c r="AA1100" i="4"/>
  <c r="AB1101" i="1"/>
  <c r="AB1100" i="5" s="1"/>
  <c r="AA1096" i="4"/>
  <c r="AA1048" i="2"/>
  <c r="AB1097" i="1"/>
  <c r="AB1096" i="5" s="1"/>
  <c r="AA1044" i="2"/>
  <c r="AA1092" i="4"/>
  <c r="AB1093" i="1"/>
  <c r="AB1092" i="5" s="1"/>
  <c r="X864" i="2"/>
  <c r="Z904" i="1"/>
  <c r="Z864" i="2" s="1"/>
  <c r="W546" i="2"/>
  <c r="W567" i="4"/>
  <c r="AA73" i="2"/>
  <c r="AA77" i="4"/>
  <c r="AB77" i="1"/>
  <c r="AB77" i="5" s="1"/>
  <c r="AB458" i="2"/>
  <c r="AB478" i="4"/>
  <c r="AB709" i="2"/>
  <c r="AB740" i="4"/>
  <c r="AB244" i="2"/>
  <c r="AB254" i="4"/>
  <c r="AA393" i="2"/>
  <c r="AA411" i="4"/>
  <c r="AB412" i="1"/>
  <c r="AB411" i="5" s="1"/>
  <c r="AA367" i="2"/>
  <c r="AA383" i="4"/>
  <c r="AB384" i="1"/>
  <c r="AB383" i="5" s="1"/>
  <c r="AA197" i="2"/>
  <c r="AA206" i="4"/>
  <c r="AB206" i="1"/>
  <c r="AB206" i="5" s="1"/>
  <c r="AA15" i="2"/>
  <c r="AA15" i="4"/>
  <c r="AB15" i="1"/>
  <c r="AB15" i="5" s="1"/>
  <c r="W32" i="2"/>
  <c r="W33" i="4"/>
  <c r="AA245" i="2"/>
  <c r="AA255" i="4"/>
  <c r="AB256" i="1"/>
  <c r="AB255" i="5" s="1"/>
  <c r="AA314" i="2"/>
  <c r="AA327" i="4"/>
  <c r="AB328" i="1"/>
  <c r="AB327" i="5" s="1"/>
  <c r="S2674" i="2"/>
  <c r="S2728" i="2"/>
  <c r="AB557" i="2"/>
  <c r="AB578" i="4"/>
  <c r="V887" i="2"/>
  <c r="V930" i="4"/>
  <c r="W930" i="1"/>
  <c r="W930" i="5" s="1"/>
  <c r="W762" i="2"/>
  <c r="W795" i="4"/>
  <c r="J701" i="2"/>
  <c r="J731" i="4"/>
  <c r="W691" i="2"/>
  <c r="W721" i="4"/>
  <c r="AA732" i="2"/>
  <c r="AA763" i="4"/>
  <c r="AB763" i="1"/>
  <c r="AB763" i="5" s="1"/>
  <c r="AB1062" i="2"/>
  <c r="AB1111" i="4"/>
  <c r="W813" i="2"/>
  <c r="W848" i="4"/>
  <c r="Z151" i="2"/>
  <c r="Z158" i="4"/>
  <c r="K2862" i="1"/>
  <c r="AB49" i="2"/>
  <c r="AB53" i="4"/>
  <c r="M374" i="2"/>
  <c r="M390" i="4"/>
  <c r="AA391" i="1"/>
  <c r="AA390" i="5" s="1"/>
  <c r="X163" i="2"/>
  <c r="Z171" i="1"/>
  <c r="X184" i="1"/>
  <c r="X237" i="1" s="1"/>
  <c r="X2900" i="1" s="1"/>
  <c r="AA96" i="2"/>
  <c r="AA101" i="4"/>
  <c r="AB101" i="1"/>
  <c r="AB101" i="5" s="1"/>
  <c r="AA92" i="2"/>
  <c r="AA97" i="4"/>
  <c r="AB97" i="1"/>
  <c r="AB97" i="5" s="1"/>
  <c r="AA2165" i="2"/>
  <c r="AB2140" i="2"/>
  <c r="AB2165" i="2" s="1"/>
  <c r="M1208" i="2"/>
  <c r="M1267" i="4"/>
  <c r="AA1268" i="1"/>
  <c r="AA1267" i="5" s="1"/>
  <c r="AB2616" i="4"/>
  <c r="W595" i="2"/>
  <c r="W619" i="4"/>
  <c r="AB203" i="2"/>
  <c r="AB212" i="4"/>
  <c r="V12" i="2"/>
  <c r="V21" i="2" s="1"/>
  <c r="V12" i="4"/>
  <c r="V22" i="4" s="1"/>
  <c r="V22" i="1"/>
  <c r="V132" i="1" s="1"/>
  <c r="W12" i="1"/>
  <c r="W12" i="5" s="1"/>
  <c r="W22" i="5" s="1"/>
  <c r="AA1303" i="2"/>
  <c r="AA1372" i="4"/>
  <c r="AB1373" i="1"/>
  <c r="AB1372" i="5" s="1"/>
  <c r="M804" i="2"/>
  <c r="M809" i="2" s="1"/>
  <c r="M838" i="4"/>
  <c r="M844" i="4" s="1"/>
  <c r="AA838" i="1"/>
  <c r="AA786" i="2"/>
  <c r="AA820" i="4"/>
  <c r="AB820" i="1"/>
  <c r="AB820" i="5" s="1"/>
  <c r="AA682" i="2"/>
  <c r="AA712" i="4"/>
  <c r="AB712" i="1"/>
  <c r="AB712" i="5" s="1"/>
  <c r="AB626" i="2"/>
  <c r="AB654" i="4"/>
  <c r="AB952" i="2"/>
  <c r="AB995" i="4"/>
  <c r="AA638" i="2"/>
  <c r="AA666" i="4"/>
  <c r="AB666" i="1"/>
  <c r="AB666" i="5" s="1"/>
  <c r="AB562" i="2"/>
  <c r="AB583" i="4"/>
  <c r="W77" i="2"/>
  <c r="W81" i="4"/>
  <c r="AB1013" i="2"/>
  <c r="AB1058" i="4"/>
  <c r="AB964" i="2"/>
  <c r="AB1007" i="4"/>
  <c r="J318" i="2"/>
  <c r="J331" i="4"/>
  <c r="AB308" i="2"/>
  <c r="AB321" i="4"/>
  <c r="M839" i="2"/>
  <c r="M878" i="4"/>
  <c r="AA878" i="1"/>
  <c r="AA878" i="5" s="1"/>
  <c r="AA895" i="5" s="1"/>
  <c r="M895" i="1"/>
  <c r="AA2035" i="4"/>
  <c r="AB2039" i="1"/>
  <c r="AA368" i="2"/>
  <c r="AB385" i="1"/>
  <c r="AB384" i="5" s="1"/>
  <c r="AA384" i="4"/>
  <c r="AB938" i="2"/>
  <c r="AB981" i="4"/>
  <c r="AB2280" i="2"/>
  <c r="AB2294" i="2" s="1"/>
  <c r="AA2294" i="2"/>
  <c r="X2740" i="2"/>
  <c r="Z2740" i="2" s="1"/>
  <c r="J2314" i="2"/>
  <c r="J2744" i="2" s="1"/>
  <c r="M2470" i="4"/>
  <c r="M968" i="2"/>
  <c r="Q1395" i="2"/>
  <c r="U1093" i="2"/>
  <c r="Q1339" i="4"/>
  <c r="V502" i="2"/>
  <c r="M453" i="2"/>
  <c r="U437" i="2"/>
  <c r="V149" i="4"/>
  <c r="M132" i="1"/>
  <c r="X334" i="1"/>
  <c r="V166" i="4"/>
  <c r="AB2464" i="2"/>
  <c r="U261" i="4"/>
  <c r="U1645" i="2"/>
  <c r="E1466" i="2"/>
  <c r="E2734" i="2" s="1"/>
  <c r="W2488" i="4"/>
  <c r="V2760" i="1"/>
  <c r="V2926" i="1" s="1"/>
  <c r="Q1544" i="1"/>
  <c r="W2011" i="4"/>
  <c r="U2194" i="4"/>
  <c r="J714" i="4"/>
  <c r="M633" i="2"/>
  <c r="V823" i="1"/>
  <c r="U714" i="4"/>
  <c r="V600" i="2"/>
  <c r="J2296" i="1"/>
  <c r="F421" i="4"/>
  <c r="F2905" i="4" s="1"/>
  <c r="U1079" i="2"/>
  <c r="U2608" i="4"/>
  <c r="Q2298" i="1"/>
  <c r="Q2918" i="1" s="1"/>
  <c r="Q1667" i="2"/>
  <c r="Q1497" i="4"/>
  <c r="AA2507" i="1"/>
  <c r="U988" i="2"/>
  <c r="Z1037" i="2"/>
  <c r="M1310" i="1"/>
  <c r="M1544" i="1" s="1"/>
  <c r="M2910" i="1" s="1"/>
  <c r="U92" i="4"/>
  <c r="U1214" i="4"/>
  <c r="Q895" i="4"/>
  <c r="V661" i="4"/>
  <c r="J781" i="1"/>
  <c r="U237" i="1"/>
  <c r="U2900" i="1" s="1"/>
  <c r="U64" i="2"/>
  <c r="M426" i="2"/>
  <c r="Z1967" i="2"/>
  <c r="AY2866" i="1"/>
  <c r="U1728" i="2"/>
  <c r="AA2041" i="1"/>
  <c r="V526" i="2"/>
  <c r="V2649" i="2" s="1"/>
  <c r="X87" i="2"/>
  <c r="U855" i="2"/>
  <c r="F2929" i="1"/>
  <c r="L2755" i="4"/>
  <c r="M2277" i="2"/>
  <c r="E403" i="2"/>
  <c r="E2726" i="2" s="1"/>
  <c r="Z1728" i="2"/>
  <c r="K235" i="1"/>
  <c r="M941" i="1"/>
  <c r="V684" i="2"/>
  <c r="X158" i="2"/>
  <c r="M2021" i="2"/>
  <c r="M2167" i="2" s="1"/>
  <c r="M2742" i="2" s="1"/>
  <c r="AA2742" i="2" s="1"/>
  <c r="AB2742" i="2" s="1"/>
  <c r="X313" i="1"/>
  <c r="Z2314" i="2"/>
  <c r="AA2277" i="2"/>
  <c r="AA2188" i="2"/>
  <c r="J1543" i="5" l="1"/>
  <c r="J2929" i="5" s="1"/>
  <c r="V1543" i="5"/>
  <c r="V2929" i="5" s="1"/>
  <c r="AA1215" i="1"/>
  <c r="AA1200" i="5"/>
  <c r="AA1214" i="5" s="1"/>
  <c r="AB2554" i="4"/>
  <c r="AB2554" i="5"/>
  <c r="AB2211" i="4"/>
  <c r="AB2211" i="5"/>
  <c r="AA2820" i="5"/>
  <c r="AA2820" i="4"/>
  <c r="AB1933" i="4"/>
  <c r="AB1933" i="5"/>
  <c r="W941" i="1"/>
  <c r="W926" i="5"/>
  <c r="W941" i="5" s="1"/>
  <c r="AB737" i="4"/>
  <c r="AB737" i="5"/>
  <c r="AB2559" i="4"/>
  <c r="AB2559" i="5"/>
  <c r="AB2644" i="4"/>
  <c r="AB2644" i="5"/>
  <c r="AB2691" i="4"/>
  <c r="AB2691" i="5"/>
  <c r="AB2854" i="5"/>
  <c r="AB2855" i="4"/>
  <c r="AB1273" i="4"/>
  <c r="AB1273" i="5"/>
  <c r="AA399" i="1"/>
  <c r="AA379" i="5"/>
  <c r="AA398" i="5" s="1"/>
  <c r="AA421" i="5" s="1"/>
  <c r="AA2921" i="5" s="1"/>
  <c r="AB2076" i="4"/>
  <c r="AB2076" i="5"/>
  <c r="AB2483" i="4"/>
  <c r="AB2483" i="5"/>
  <c r="AB2647" i="4"/>
  <c r="AB2647" i="5"/>
  <c r="AB1080" i="4"/>
  <c r="AB1080" i="5"/>
  <c r="AB1920" i="4"/>
  <c r="AB1920" i="5"/>
  <c r="AB2116" i="4"/>
  <c r="AB2116" i="5"/>
  <c r="AB2543" i="4"/>
  <c r="AB2543" i="5"/>
  <c r="AB2547" i="4"/>
  <c r="AB2547" i="5"/>
  <c r="AB2588" i="4"/>
  <c r="AB2588" i="5"/>
  <c r="AB19" i="4"/>
  <c r="AB19" i="5"/>
  <c r="AB600" i="5"/>
  <c r="AB2475" i="4"/>
  <c r="AB2475" i="5"/>
  <c r="AB357" i="4"/>
  <c r="AB357" i="5"/>
  <c r="AB2437" i="4"/>
  <c r="AB2437" i="5"/>
  <c r="AB2456" i="4"/>
  <c r="AB2456" i="5"/>
  <c r="AB2578" i="4"/>
  <c r="AB2578" i="5"/>
  <c r="AB2538" i="4"/>
  <c r="AB2538" i="5"/>
  <c r="AB2154" i="4"/>
  <c r="AB2154" i="5"/>
  <c r="AB2458" i="4"/>
  <c r="AB2458" i="5"/>
  <c r="AB2726" i="4"/>
  <c r="AB2726" i="5"/>
  <c r="AB2529" i="4"/>
  <c r="AB2529" i="5"/>
  <c r="AB1919" i="4"/>
  <c r="AB1919" i="5"/>
  <c r="W2864" i="5"/>
  <c r="W2865" i="4"/>
  <c r="AB2710" i="4"/>
  <c r="AB2710" i="5"/>
  <c r="W2772" i="5"/>
  <c r="W2772" i="4"/>
  <c r="AB2651" i="4"/>
  <c r="AB2651" i="5"/>
  <c r="Q235" i="1"/>
  <c r="Q215" i="5"/>
  <c r="W1434" i="1"/>
  <c r="AA922" i="1"/>
  <c r="AA904" i="5"/>
  <c r="AA922" i="5" s="1"/>
  <c r="AB1332" i="4"/>
  <c r="AB1332" i="5"/>
  <c r="AB1365" i="4"/>
  <c r="AB1365" i="5"/>
  <c r="AB2016" i="4"/>
  <c r="AB2016" i="5"/>
  <c r="AB2158" i="4"/>
  <c r="AB2158" i="5"/>
  <c r="AB2668" i="4"/>
  <c r="AB2668" i="5"/>
  <c r="AB1959" i="4"/>
  <c r="AB1959" i="5"/>
  <c r="AB622" i="4"/>
  <c r="AB622" i="5"/>
  <c r="AB2557" i="4"/>
  <c r="AB2557" i="5"/>
  <c r="AB2303" i="4"/>
  <c r="AB2303" i="5"/>
  <c r="AA2434" i="1"/>
  <c r="AA2423" i="5"/>
  <c r="AA2428" i="5" s="1"/>
  <c r="AB2018" i="4"/>
  <c r="AB2018" i="5"/>
  <c r="AB2424" i="4"/>
  <c r="AB2424" i="5"/>
  <c r="AB457" i="5"/>
  <c r="AB1671" i="4"/>
  <c r="AB1671" i="5"/>
  <c r="AB2674" i="4"/>
  <c r="AB2674" i="5"/>
  <c r="AB2709" i="4"/>
  <c r="AB2709" i="5"/>
  <c r="AB2743" i="4"/>
  <c r="AB2743" i="5"/>
  <c r="AB2118" i="4"/>
  <c r="AB2118" i="5"/>
  <c r="AB2373" i="4"/>
  <c r="AB2373" i="5"/>
  <c r="AB2600" i="4"/>
  <c r="AB2600" i="5"/>
  <c r="AB1996" i="4"/>
  <c r="AB1996" i="5"/>
  <c r="AB1161" i="4"/>
  <c r="AB1161" i="5"/>
  <c r="W2775" i="5"/>
  <c r="W2775" i="4"/>
  <c r="AB1964" i="4"/>
  <c r="AB1964" i="5"/>
  <c r="AB2095" i="4"/>
  <c r="AB2095" i="5"/>
  <c r="AB2182" i="4"/>
  <c r="AB2182" i="5"/>
  <c r="AB2349" i="4"/>
  <c r="AB2349" i="5"/>
  <c r="AB2327" i="4"/>
  <c r="AB2327" i="5"/>
  <c r="W2034" i="4"/>
  <c r="W2034" i="5"/>
  <c r="AB2583" i="4"/>
  <c r="AB2583" i="5"/>
  <c r="AB2260" i="4"/>
  <c r="AB2260" i="5"/>
  <c r="AB2433" i="4"/>
  <c r="AB2433" i="5"/>
  <c r="AB2125" i="4"/>
  <c r="AB2125" i="5"/>
  <c r="AB1961" i="4"/>
  <c r="AB1961" i="5"/>
  <c r="AB2105" i="4"/>
  <c r="AB2105" i="5"/>
  <c r="AB2555" i="4"/>
  <c r="AB2555" i="5"/>
  <c r="Z1985" i="4"/>
  <c r="Z1985" i="5"/>
  <c r="AA2800" i="5"/>
  <c r="AA2800" i="4"/>
  <c r="AB2652" i="4"/>
  <c r="AB2652" i="5"/>
  <c r="AB2562" i="4"/>
  <c r="AB2562" i="5"/>
  <c r="AB1861" i="4"/>
  <c r="AB1861" i="5"/>
  <c r="AB2553" i="4"/>
  <c r="AB2553" i="5"/>
  <c r="AA2806" i="5"/>
  <c r="AA2806" i="4"/>
  <c r="AB2022" i="4"/>
  <c r="AB2022" i="5"/>
  <c r="AB1981" i="4"/>
  <c r="AB1981" i="5"/>
  <c r="AB1396" i="4"/>
  <c r="AB1396" i="5"/>
  <c r="AB2057" i="4"/>
  <c r="AB2057" i="5"/>
  <c r="AB2155" i="4"/>
  <c r="AB2155" i="5"/>
  <c r="AB2251" i="4"/>
  <c r="AB2251" i="5"/>
  <c r="AB2324" i="4"/>
  <c r="AB2324" i="5"/>
  <c r="AB2779" i="5"/>
  <c r="AB2779" i="4"/>
  <c r="AB2204" i="4"/>
  <c r="AB2204" i="5"/>
  <c r="W2594" i="2"/>
  <c r="W2750" i="2" s="1"/>
  <c r="W2875" i="5"/>
  <c r="W2876" i="4"/>
  <c r="AB2177" i="4"/>
  <c r="AB2177" i="5"/>
  <c r="AB2589" i="4"/>
  <c r="AB2589" i="5"/>
  <c r="AB1887" i="4"/>
  <c r="AB1887" i="5"/>
  <c r="AB2361" i="4"/>
  <c r="AB2361" i="5"/>
  <c r="AB1994" i="4"/>
  <c r="AB1994" i="5"/>
  <c r="W2871" i="5"/>
  <c r="W2872" i="4"/>
  <c r="W2874" i="5"/>
  <c r="W2875" i="4"/>
  <c r="W2672" i="4"/>
  <c r="W2672" i="5"/>
  <c r="AB2587" i="4"/>
  <c r="AB2587" i="5"/>
  <c r="AB2669" i="4"/>
  <c r="AB2669" i="5"/>
  <c r="AB2693" i="4"/>
  <c r="AB2693" i="5"/>
  <c r="AB2746" i="4"/>
  <c r="AB2746" i="5"/>
  <c r="AB1103" i="4"/>
  <c r="AB1103" i="5"/>
  <c r="AB2630" i="4"/>
  <c r="AB2630" i="5"/>
  <c r="AB2620" i="4"/>
  <c r="AB2620" i="5"/>
  <c r="AB2486" i="4"/>
  <c r="AB2486" i="5"/>
  <c r="AB1998" i="4"/>
  <c r="AB1998" i="5"/>
  <c r="AB1905" i="4"/>
  <c r="AB1905" i="5"/>
  <c r="AB2281" i="4"/>
  <c r="AB2281" i="5"/>
  <c r="AB2028" i="4"/>
  <c r="AB2028" i="5"/>
  <c r="AB2097" i="4"/>
  <c r="AB2097" i="5"/>
  <c r="AB2180" i="4"/>
  <c r="AB2180" i="5"/>
  <c r="AB2625" i="4"/>
  <c r="AB2625" i="5"/>
  <c r="AB2388" i="4"/>
  <c r="AB2388" i="5"/>
  <c r="AB2073" i="4"/>
  <c r="AB2073" i="5"/>
  <c r="Z2307" i="4"/>
  <c r="Z2307" i="5"/>
  <c r="AB2643" i="4"/>
  <c r="AB2643" i="5"/>
  <c r="AB2283" i="4"/>
  <c r="AB2283" i="5"/>
  <c r="AB2546" i="4"/>
  <c r="AB2546" i="5"/>
  <c r="AB2586" i="4"/>
  <c r="AB2586" i="5"/>
  <c r="AB2807" i="5"/>
  <c r="AB2807" i="4"/>
  <c r="AB1977" i="4"/>
  <c r="AB1977" i="5"/>
  <c r="AB2130" i="4"/>
  <c r="AB2130" i="5"/>
  <c r="AB1979" i="4"/>
  <c r="AB1979" i="5"/>
  <c r="AB2100" i="4"/>
  <c r="AB2100" i="5"/>
  <c r="V2862" i="5"/>
  <c r="V2863" i="4"/>
  <c r="AB2494" i="4"/>
  <c r="AB2494" i="5"/>
  <c r="AB2509" i="4"/>
  <c r="AB2509" i="5"/>
  <c r="Z2606" i="4"/>
  <c r="Z2606" i="5"/>
  <c r="AB2745" i="4"/>
  <c r="AB2745" i="5"/>
  <c r="AA2793" i="5"/>
  <c r="AA2793" i="4"/>
  <c r="AB1945" i="4"/>
  <c r="AB1945" i="5"/>
  <c r="AB2075" i="4"/>
  <c r="AB2075" i="5"/>
  <c r="AB2526" i="4"/>
  <c r="AB2526" i="5"/>
  <c r="W2557" i="4"/>
  <c r="W2557" i="5"/>
  <c r="AA2788" i="5"/>
  <c r="AA2788" i="4"/>
  <c r="W2548" i="4"/>
  <c r="W2548" i="5"/>
  <c r="AB1331" i="4"/>
  <c r="AB1331" i="5"/>
  <c r="AA1751" i="5"/>
  <c r="AA1758" i="5" s="1"/>
  <c r="AA1751" i="4"/>
  <c r="AB1755" i="1"/>
  <c r="AA1660" i="2"/>
  <c r="AA558" i="5"/>
  <c r="AB766" i="5"/>
  <c r="AB766" i="4"/>
  <c r="AB735" i="2"/>
  <c r="AB223" i="5"/>
  <c r="AB223" i="4"/>
  <c r="AB214" i="2"/>
  <c r="AB1395" i="5"/>
  <c r="AB1326" i="2"/>
  <c r="AB1395" i="4"/>
  <c r="AA1073" i="5"/>
  <c r="AA1085" i="5" s="1"/>
  <c r="AA1026" i="2"/>
  <c r="AA1073" i="4"/>
  <c r="AB1074" i="1"/>
  <c r="AB211" i="5"/>
  <c r="AB202" i="2"/>
  <c r="AB211" i="4"/>
  <c r="Z1541" i="5"/>
  <c r="Z1543" i="5"/>
  <c r="Z2929" i="5" s="1"/>
  <c r="U2917" i="5"/>
  <c r="V2845" i="5"/>
  <c r="V2846" i="4"/>
  <c r="W2784" i="5"/>
  <c r="W2784" i="4"/>
  <c r="W1608" i="5"/>
  <c r="W1618" i="5" s="1"/>
  <c r="W1530" i="2"/>
  <c r="W1608" i="4"/>
  <c r="Q204" i="5"/>
  <c r="Q204" i="4"/>
  <c r="Q195" i="2"/>
  <c r="R204" i="1"/>
  <c r="AB862" i="5"/>
  <c r="AB827" i="2"/>
  <c r="AB862" i="4"/>
  <c r="Q200" i="5"/>
  <c r="Q192" i="2"/>
  <c r="Q200" i="4"/>
  <c r="R200" i="1"/>
  <c r="Z2446" i="5"/>
  <c r="Z2448" i="5" s="1"/>
  <c r="Z2939" i="5" s="1"/>
  <c r="X2448" i="5"/>
  <c r="X2939" i="5" s="1"/>
  <c r="Z1739" i="5"/>
  <c r="Z2931" i="5" s="1"/>
  <c r="AB1787" i="5"/>
  <c r="AB1802" i="5" s="1"/>
  <c r="AB1696" i="2"/>
  <c r="AB1787" i="4"/>
  <c r="AB1052" i="5"/>
  <c r="AB1065" i="5" s="1"/>
  <c r="AB1007" i="2"/>
  <c r="AB1052" i="4"/>
  <c r="AB226" i="5"/>
  <c r="AB217" i="2"/>
  <c r="AB226" i="4"/>
  <c r="AB698" i="5"/>
  <c r="AB668" i="2"/>
  <c r="AB698" i="4"/>
  <c r="AB1383" i="5"/>
  <c r="AB1314" i="2"/>
  <c r="AB1383" i="4"/>
  <c r="N2756" i="5"/>
  <c r="N2950" i="5"/>
  <c r="N2887" i="5"/>
  <c r="AB885" i="5"/>
  <c r="AB846" i="2"/>
  <c r="AB885" i="4"/>
  <c r="AB1704" i="5"/>
  <c r="AB1612" i="2"/>
  <c r="AB1704" i="4"/>
  <c r="W1482" i="5"/>
  <c r="W1497" i="5" s="1"/>
  <c r="W1406" i="2"/>
  <c r="W1482" i="4"/>
  <c r="AB2505" i="4"/>
  <c r="AB2505" i="5"/>
  <c r="AB1957" i="4"/>
  <c r="AB1957" i="5"/>
  <c r="J1784" i="5"/>
  <c r="J1969" i="5" s="1"/>
  <c r="J2933" i="5" s="1"/>
  <c r="J1951" i="5"/>
  <c r="AB1345" i="5"/>
  <c r="AB1345" i="4"/>
  <c r="AB1280" i="2"/>
  <c r="AB937" i="5"/>
  <c r="AB894" i="2"/>
  <c r="AB937" i="4"/>
  <c r="AB173" i="5"/>
  <c r="AB165" i="2"/>
  <c r="AB173" i="4"/>
  <c r="U2081" i="5"/>
  <c r="U2935" i="5" s="1"/>
  <c r="AB1134" i="5"/>
  <c r="AB1134" i="4"/>
  <c r="AB1084" i="2"/>
  <c r="W1568" i="5"/>
  <c r="U2567" i="5"/>
  <c r="U2941" i="5" s="1"/>
  <c r="AA43" i="5"/>
  <c r="AA43" i="4"/>
  <c r="AB43" i="1"/>
  <c r="AA39" i="2"/>
  <c r="AB116" i="5"/>
  <c r="AB116" i="4"/>
  <c r="AB110" i="2"/>
  <c r="AB754" i="5"/>
  <c r="AB754" i="4"/>
  <c r="AB723" i="2"/>
  <c r="W2556" i="4"/>
  <c r="W2556" i="5"/>
  <c r="AB2508" i="4"/>
  <c r="AB2508" i="5"/>
  <c r="AB2626" i="4"/>
  <c r="AB2626" i="5"/>
  <c r="AA844" i="1"/>
  <c r="AA838" i="5"/>
  <c r="AB1980" i="4"/>
  <c r="AB1980" i="5"/>
  <c r="AB645" i="4"/>
  <c r="AB645" i="5"/>
  <c r="AB2801" i="5"/>
  <c r="AB2801" i="4"/>
  <c r="AB2046" i="4"/>
  <c r="AB2046" i="5"/>
  <c r="AB2123" i="4"/>
  <c r="AB2123" i="5"/>
  <c r="AB2444" i="4"/>
  <c r="AB2444" i="5"/>
  <c r="AB2407" i="4"/>
  <c r="AB2407" i="5"/>
  <c r="AB2023" i="4"/>
  <c r="AB2023" i="5"/>
  <c r="AA2870" i="5"/>
  <c r="AA2871" i="4"/>
  <c r="AB2519" i="4"/>
  <c r="AB2519" i="5"/>
  <c r="AB2420" i="4"/>
  <c r="AB2420" i="5"/>
  <c r="AB160" i="4"/>
  <c r="AB160" i="5"/>
  <c r="AB166" i="5" s="1"/>
  <c r="AB684" i="4"/>
  <c r="AB684" i="5"/>
  <c r="AB864" i="4"/>
  <c r="AB864" i="5"/>
  <c r="AB2188" i="4"/>
  <c r="AB2188" i="5"/>
  <c r="AB2354" i="4"/>
  <c r="AB2354" i="5"/>
  <c r="AB2563" i="4"/>
  <c r="AB2563" i="5"/>
  <c r="AB2463" i="4"/>
  <c r="AB2463" i="5"/>
  <c r="W922" i="1"/>
  <c r="W904" i="5"/>
  <c r="W922" i="5" s="1"/>
  <c r="AB2254" i="4"/>
  <c r="AB2254" i="5"/>
  <c r="AB2467" i="4"/>
  <c r="AB2467" i="5"/>
  <c r="AB2604" i="4"/>
  <c r="AB2604" i="5"/>
  <c r="AB2855" i="5"/>
  <c r="AB2856" i="4"/>
  <c r="AB2030" i="4"/>
  <c r="AB2030" i="5"/>
  <c r="W2843" i="5"/>
  <c r="W2844" i="4"/>
  <c r="AA2869" i="5"/>
  <c r="AA2870" i="4"/>
  <c r="AB839" i="4"/>
  <c r="AB839" i="5"/>
  <c r="AB1983" i="4"/>
  <c r="AB1983" i="5"/>
  <c r="AB2074" i="4"/>
  <c r="AB2074" i="5"/>
  <c r="AB2090" i="4"/>
  <c r="AB2090" i="5"/>
  <c r="AB2209" i="4"/>
  <c r="AB2209" i="5"/>
  <c r="W2680" i="4"/>
  <c r="W2680" i="5"/>
  <c r="AB2881" i="5"/>
  <c r="AB2882" i="4"/>
  <c r="AB1960" i="4"/>
  <c r="AB1960" i="5"/>
  <c r="AB2167" i="4"/>
  <c r="AB2167" i="5"/>
  <c r="AB1914" i="4"/>
  <c r="AB1914" i="5"/>
  <c r="AB473" i="5"/>
  <c r="AA45" i="5"/>
  <c r="AB980" i="4"/>
  <c r="AB980" i="5"/>
  <c r="AB2876" i="5"/>
  <c r="AB2877" i="4"/>
  <c r="AB2279" i="4"/>
  <c r="AB2279" i="5"/>
  <c r="AB2163" i="4"/>
  <c r="AB2163" i="5"/>
  <c r="AA2787" i="5"/>
  <c r="AA2787" i="4"/>
  <c r="AB2191" i="4"/>
  <c r="AB2191" i="5"/>
  <c r="AB1468" i="4"/>
  <c r="AB1468" i="5"/>
  <c r="AB1984" i="4"/>
  <c r="AB1984" i="5"/>
  <c r="AB2370" i="4"/>
  <c r="AB2370" i="5"/>
  <c r="AB2802" i="5"/>
  <c r="AB2802" i="4"/>
  <c r="AB2687" i="4"/>
  <c r="AB2687" i="5"/>
  <c r="AB2596" i="4"/>
  <c r="AB2596" i="5"/>
  <c r="AB2748" i="4"/>
  <c r="AB2748" i="5"/>
  <c r="AB2229" i="4"/>
  <c r="AB2229" i="5"/>
  <c r="AB2628" i="4"/>
  <c r="AB2628" i="5"/>
  <c r="K2849" i="5"/>
  <c r="K2850" i="4"/>
  <c r="AB438" i="4"/>
  <c r="AB438" i="5"/>
  <c r="AB2151" i="4"/>
  <c r="AB2151" i="5"/>
  <c r="AB2259" i="4"/>
  <c r="AB2259" i="5"/>
  <c r="AB2530" i="4"/>
  <c r="AB2530" i="5"/>
  <c r="AB2203" i="4"/>
  <c r="AB2203" i="5"/>
  <c r="AB523" i="1"/>
  <c r="AB513" i="5"/>
  <c r="AB522" i="5" s="1"/>
  <c r="AB775" i="4"/>
  <c r="AB775" i="5"/>
  <c r="AB2021" i="4"/>
  <c r="AB2021" i="5"/>
  <c r="AB2088" i="4"/>
  <c r="AB2088" i="5"/>
  <c r="AB2192" i="4"/>
  <c r="AB2192" i="5"/>
  <c r="AB2678" i="4"/>
  <c r="AB2678" i="5"/>
  <c r="AB1913" i="4"/>
  <c r="AB1913" i="5"/>
  <c r="AA2616" i="1"/>
  <c r="AB1930" i="4"/>
  <c r="AB1930" i="5"/>
  <c r="AB2374" i="4"/>
  <c r="AB2374" i="5"/>
  <c r="AB2542" i="4"/>
  <c r="AB2542" i="5"/>
  <c r="AB1934" i="4"/>
  <c r="AB1934" i="5"/>
  <c r="AB2067" i="4"/>
  <c r="AB2067" i="5"/>
  <c r="AB2189" i="4"/>
  <c r="AB2189" i="5"/>
  <c r="AB2485" i="4"/>
  <c r="AB2485" i="5"/>
  <c r="Z2605" i="4"/>
  <c r="Z2605" i="5"/>
  <c r="AB2371" i="4"/>
  <c r="AB2371" i="5"/>
  <c r="Z985" i="1"/>
  <c r="Z987" i="1" s="1"/>
  <c r="Z982" i="5"/>
  <c r="AB1948" i="4"/>
  <c r="AB1948" i="5"/>
  <c r="AB2734" i="4"/>
  <c r="AB2734" i="5"/>
  <c r="AA184" i="5"/>
  <c r="AA237" i="5" s="1"/>
  <c r="AA2919" i="5" s="1"/>
  <c r="AB2520" i="4"/>
  <c r="AB2520" i="5"/>
  <c r="AB2398" i="4"/>
  <c r="AB2398" i="5"/>
  <c r="AB2476" i="4"/>
  <c r="AB2476" i="5"/>
  <c r="AB2215" i="4"/>
  <c r="AB2215" i="5"/>
  <c r="AB130" i="5"/>
  <c r="AA1034" i="1"/>
  <c r="AA1027" i="5"/>
  <c r="AA1033" i="5" s="1"/>
  <c r="AB1978" i="4"/>
  <c r="AB1978" i="5"/>
  <c r="AB2072" i="4"/>
  <c r="AB2072" i="5"/>
  <c r="W2777" i="5"/>
  <c r="W2777" i="4"/>
  <c r="AB714" i="5"/>
  <c r="AB1202" i="4"/>
  <c r="AB1202" i="5"/>
  <c r="V2851" i="5"/>
  <c r="V2852" i="4"/>
  <c r="AA2808" i="5"/>
  <c r="AA2808" i="4"/>
  <c r="AB2119" i="4"/>
  <c r="AB2119" i="5"/>
  <c r="AB2617" i="4"/>
  <c r="AB2617" i="5"/>
  <c r="AB2708" i="4"/>
  <c r="AB2708" i="5"/>
  <c r="AB585" i="4"/>
  <c r="AB585" i="5"/>
  <c r="AB1464" i="4"/>
  <c r="AB1464" i="5"/>
  <c r="AB1940" i="4"/>
  <c r="AB1940" i="5"/>
  <c r="AB2153" i="4"/>
  <c r="AB2153" i="5"/>
  <c r="AA2658" i="5"/>
  <c r="AB2670" i="4"/>
  <c r="AB2670" i="5"/>
  <c r="AB2394" i="4"/>
  <c r="AB2394" i="5"/>
  <c r="AB2165" i="4"/>
  <c r="AB2165" i="5"/>
  <c r="AB2480" i="4"/>
  <c r="AB2480" i="5"/>
  <c r="AB2640" i="4"/>
  <c r="AB2640" i="5"/>
  <c r="AB2671" i="4"/>
  <c r="AB2671" i="5"/>
  <c r="AB2128" i="4"/>
  <c r="AB2128" i="5"/>
  <c r="AB2511" i="4"/>
  <c r="AB2511" i="5"/>
  <c r="W2781" i="5"/>
  <c r="W2781" i="4"/>
  <c r="AB2695" i="4"/>
  <c r="AB2695" i="5"/>
  <c r="AB2393" i="4"/>
  <c r="AB2393" i="5"/>
  <c r="AB1615" i="4"/>
  <c r="AB1615" i="5"/>
  <c r="AB1618" i="5" s="1"/>
  <c r="AB2033" i="4"/>
  <c r="AB2033" i="5"/>
  <c r="AB2107" i="4"/>
  <c r="AB2107" i="5"/>
  <c r="AB2353" i="4"/>
  <c r="AB2353" i="5"/>
  <c r="AB1958" i="4"/>
  <c r="AB1958" i="5"/>
  <c r="AB2047" i="4"/>
  <c r="AB2047" i="5"/>
  <c r="AB2110" i="4"/>
  <c r="AB2110" i="5"/>
  <c r="AB2403" i="4"/>
  <c r="AB2403" i="5"/>
  <c r="AB2168" i="4"/>
  <c r="AB2168" i="5"/>
  <c r="AB2001" i="4"/>
  <c r="AB2001" i="5"/>
  <c r="V2575" i="1"/>
  <c r="V2922" i="1" s="1"/>
  <c r="AB2522" i="4"/>
  <c r="AB2522" i="5"/>
  <c r="AB2847" i="5"/>
  <c r="AB2848" i="4"/>
  <c r="AB2186" i="4"/>
  <c r="AB2186" i="5"/>
  <c r="AB1915" i="4"/>
  <c r="AB1915" i="5"/>
  <c r="AB2857" i="5"/>
  <c r="AB2858" i="4"/>
  <c r="AB2673" i="4"/>
  <c r="AB2673" i="5"/>
  <c r="AB2071" i="4"/>
  <c r="AB2071" i="5"/>
  <c r="AB2552" i="4"/>
  <c r="AB2552" i="5"/>
  <c r="AA2874" i="5"/>
  <c r="AA2875" i="4"/>
  <c r="AB2465" i="4"/>
  <c r="AB2465" i="5"/>
  <c r="AB2418" i="4"/>
  <c r="AB2418" i="5"/>
  <c r="AB2822" i="5"/>
  <c r="AB2822" i="4"/>
  <c r="AB2457" i="4"/>
  <c r="AB2457" i="5"/>
  <c r="W2850" i="5"/>
  <c r="W2851" i="4"/>
  <c r="AB1976" i="4"/>
  <c r="AB1976" i="5"/>
  <c r="AB2378" i="4"/>
  <c r="AB2378" i="5"/>
  <c r="AB2352" i="4"/>
  <c r="AB2352" i="5"/>
  <c r="AB2249" i="4"/>
  <c r="AB2249" i="5"/>
  <c r="AB2068" i="4"/>
  <c r="AB2068" i="5"/>
  <c r="AB2623" i="4"/>
  <c r="AB2623" i="5"/>
  <c r="AB2849" i="5"/>
  <c r="AB2850" i="4"/>
  <c r="AB1928" i="4"/>
  <c r="AB1928" i="5"/>
  <c r="AB2326" i="4"/>
  <c r="AB2326" i="5"/>
  <c r="AB1991" i="4"/>
  <c r="AB1991" i="5"/>
  <c r="AB2358" i="4"/>
  <c r="AB2358" i="5"/>
  <c r="AB2144" i="4"/>
  <c r="AB2144" i="5"/>
  <c r="AB2207" i="4"/>
  <c r="AB2207" i="5"/>
  <c r="AB2692" i="4"/>
  <c r="AB2692" i="5"/>
  <c r="AB1886" i="4"/>
  <c r="AB1886" i="5"/>
  <c r="AB1208" i="4"/>
  <c r="AB1208" i="5"/>
  <c r="Z2005" i="4"/>
  <c r="Z2005" i="5"/>
  <c r="AB2629" i="4"/>
  <c r="AB2629" i="5"/>
  <c r="Z2597" i="4"/>
  <c r="Z2597" i="5"/>
  <c r="AB2134" i="4"/>
  <c r="AB2134" i="5"/>
  <c r="AB2201" i="4"/>
  <c r="AB2201" i="5"/>
  <c r="AB2276" i="4"/>
  <c r="AB2276" i="5"/>
  <c r="AB2580" i="4"/>
  <c r="AB2580" i="5"/>
  <c r="AB2248" i="4"/>
  <c r="AB2248" i="5"/>
  <c r="AB1674" i="4"/>
  <c r="AB1674" i="5"/>
  <c r="J2846" i="5"/>
  <c r="J2847" i="4"/>
  <c r="AB2493" i="4"/>
  <c r="AB2493" i="5"/>
  <c r="AB777" i="4"/>
  <c r="AB777" i="5"/>
  <c r="AB38" i="4"/>
  <c r="AB38" i="5"/>
  <c r="AB2103" i="4"/>
  <c r="AB2103" i="5"/>
  <c r="AB945" i="4"/>
  <c r="AB947" i="4" s="1"/>
  <c r="AB945" i="5"/>
  <c r="AB1030" i="5"/>
  <c r="AB1030" i="4"/>
  <c r="AB985" i="2"/>
  <c r="AB84" i="5"/>
  <c r="AB92" i="5" s="1"/>
  <c r="AB80" i="2"/>
  <c r="AB84" i="4"/>
  <c r="Q199" i="5"/>
  <c r="Q208" i="5" s="1"/>
  <c r="R199" i="1"/>
  <c r="Q191" i="2"/>
  <c r="Q199" i="4"/>
  <c r="AB1297" i="5"/>
  <c r="AB1297" i="4"/>
  <c r="AB1234" i="2"/>
  <c r="AB726" i="5"/>
  <c r="AB726" i="4"/>
  <c r="AB696" i="2"/>
  <c r="AB1038" i="5"/>
  <c r="AB993" i="2"/>
  <c r="AB1038" i="4"/>
  <c r="W1240" i="4"/>
  <c r="W1240" i="5"/>
  <c r="W1244" i="5" s="1"/>
  <c r="AB30" i="5"/>
  <c r="AB29" i="2"/>
  <c r="AB30" i="4"/>
  <c r="AB587" i="5"/>
  <c r="AB563" i="2"/>
  <c r="AB587" i="4"/>
  <c r="AB883" i="5"/>
  <c r="AB844" i="2"/>
  <c r="AB883" i="4"/>
  <c r="AB1414" i="5"/>
  <c r="AB1344" i="2"/>
  <c r="AB1414" i="4"/>
  <c r="J2219" i="5"/>
  <c r="J2294" i="5" s="1"/>
  <c r="J2937" i="5" s="1"/>
  <c r="AA739" i="5"/>
  <c r="AA743" i="5" s="1"/>
  <c r="AB739" i="1"/>
  <c r="AA708" i="2"/>
  <c r="AA739" i="4"/>
  <c r="AB602" i="5"/>
  <c r="AB602" i="4"/>
  <c r="AB578" i="2"/>
  <c r="AB659" i="5"/>
  <c r="AB631" i="2"/>
  <c r="AB659" i="4"/>
  <c r="AB1046" i="5"/>
  <c r="AB1001" i="2"/>
  <c r="AB1046" i="4"/>
  <c r="M132" i="5"/>
  <c r="AA844" i="5"/>
  <c r="AA2567" i="5"/>
  <c r="AA2941" i="5" s="1"/>
  <c r="M2448" i="5"/>
  <c r="M2939" i="5" s="1"/>
  <c r="AB1155" i="5"/>
  <c r="AB1105" i="2"/>
  <c r="AB1155" i="4"/>
  <c r="AA1488" i="5"/>
  <c r="AA1497" i="5" s="1"/>
  <c r="AA1488" i="4"/>
  <c r="AB1489" i="1"/>
  <c r="AA1412" i="2"/>
  <c r="AB1381" i="5"/>
  <c r="AB1312" i="2"/>
  <c r="AB1381" i="4"/>
  <c r="AB57" i="5"/>
  <c r="AB53" i="2"/>
  <c r="AB57" i="4"/>
  <c r="AB1151" i="5"/>
  <c r="AB1101" i="2"/>
  <c r="AB1151" i="4"/>
  <c r="W1461" i="5"/>
  <c r="W1471" i="5" s="1"/>
  <c r="W1389" i="2"/>
  <c r="W1461" i="4"/>
  <c r="AA194" i="5"/>
  <c r="AA208" i="5" s="1"/>
  <c r="AB194" i="1"/>
  <c r="AA186" i="2"/>
  <c r="AA194" i="4"/>
  <c r="AB1285" i="5"/>
  <c r="AB1285" i="4"/>
  <c r="AB1222" i="2"/>
  <c r="W691" i="5"/>
  <c r="W961" i="5" s="1"/>
  <c r="W2925" i="5" s="1"/>
  <c r="AB980" i="1"/>
  <c r="AA979" i="5"/>
  <c r="AA984" i="5" s="1"/>
  <c r="AA937" i="2"/>
  <c r="AA979" i="4"/>
  <c r="AB172" i="5"/>
  <c r="AB164" i="2"/>
  <c r="AB172" i="4"/>
  <c r="AB1452" i="5"/>
  <c r="AB1452" i="4"/>
  <c r="AB1381" i="2"/>
  <c r="AB180" i="1"/>
  <c r="AA180" i="5"/>
  <c r="AA180" i="4"/>
  <c r="AA172" i="2"/>
  <c r="AB1386" i="5"/>
  <c r="AB1317" i="2"/>
  <c r="AB1386" i="4"/>
  <c r="AB1495" i="5"/>
  <c r="AB1495" i="4"/>
  <c r="AB1418" i="2"/>
  <c r="AB725" i="5"/>
  <c r="AB695" i="2"/>
  <c r="AB725" i="4"/>
  <c r="AB916" i="4"/>
  <c r="AB916" i="5"/>
  <c r="AB2425" i="4"/>
  <c r="AB2425" i="5"/>
  <c r="AB2035" i="4"/>
  <c r="AB2035" i="5"/>
  <c r="AB275" i="4"/>
  <c r="AB275" i="5"/>
  <c r="AB280" i="5" s="1"/>
  <c r="J961" i="1"/>
  <c r="J2906" i="1" s="1"/>
  <c r="AB2548" i="4"/>
  <c r="AB2548" i="5"/>
  <c r="AB2737" i="4"/>
  <c r="AB2737" i="5"/>
  <c r="AA2758" i="1"/>
  <c r="AA2740" i="5"/>
  <c r="AA2750" i="5" s="1"/>
  <c r="AB2328" i="4"/>
  <c r="AB2328" i="5"/>
  <c r="AB2594" i="4"/>
  <c r="AB2594" i="5"/>
  <c r="AB2667" i="4"/>
  <c r="AB2667" i="5"/>
  <c r="AB2721" i="4"/>
  <c r="AB2721" i="5"/>
  <c r="AB2069" i="4"/>
  <c r="AB2069" i="5"/>
  <c r="AB2593" i="4"/>
  <c r="AB2593" i="5"/>
  <c r="AB2690" i="4"/>
  <c r="AB2690" i="5"/>
  <c r="AB2402" i="4"/>
  <c r="AB2402" i="5"/>
  <c r="W2019" i="4"/>
  <c r="W2019" i="5"/>
  <c r="W2037" i="5" s="1"/>
  <c r="W2081" i="5" s="1"/>
  <c r="W2935" i="5" s="1"/>
  <c r="AB2738" i="4"/>
  <c r="AB2738" i="5"/>
  <c r="AB2560" i="4"/>
  <c r="AB2560" i="5"/>
  <c r="AA1376" i="1"/>
  <c r="AA1366" i="5"/>
  <c r="AA1375" i="5" s="1"/>
  <c r="AB1962" i="4"/>
  <c r="AB1962" i="5"/>
  <c r="AB2666" i="4"/>
  <c r="AB2666" i="5"/>
  <c r="AB2742" i="4"/>
  <c r="AB2742" i="5"/>
  <c r="AB2676" i="4"/>
  <c r="AB2676" i="5"/>
  <c r="AB2464" i="4"/>
  <c r="AB2464" i="5"/>
  <c r="AB2042" i="4"/>
  <c r="AB2042" i="5"/>
  <c r="AB2718" i="4"/>
  <c r="AB2718" i="5"/>
  <c r="AB2247" i="4"/>
  <c r="AB2247" i="5"/>
  <c r="AB1589" i="4"/>
  <c r="AB1589" i="5"/>
  <c r="AB1592" i="5" s="1"/>
  <c r="Z2603" i="4"/>
  <c r="Z2603" i="5"/>
  <c r="AB2492" i="4"/>
  <c r="AB2492" i="5"/>
  <c r="AB2719" i="4"/>
  <c r="AB2719" i="5"/>
  <c r="W1542" i="1"/>
  <c r="W1536" i="5"/>
  <c r="W1541" i="5" s="1"/>
  <c r="AB2747" i="4"/>
  <c r="AB2747" i="5"/>
  <c r="Z1215" i="1"/>
  <c r="Z1200" i="5"/>
  <c r="AB1926" i="4"/>
  <c r="AB1926" i="5"/>
  <c r="AB2575" i="4"/>
  <c r="AB2575" i="5"/>
  <c r="AB2700" i="4"/>
  <c r="AB2700" i="5"/>
  <c r="AB307" i="4"/>
  <c r="AB307" i="5"/>
  <c r="AB2093" i="4"/>
  <c r="AB2093" i="5"/>
  <c r="AB2300" i="4"/>
  <c r="AB2300" i="5"/>
  <c r="AB2351" i="4"/>
  <c r="AB2351" i="5"/>
  <c r="Z2680" i="4"/>
  <c r="Z2680" i="5"/>
  <c r="AB2087" i="4"/>
  <c r="AB2087" i="5"/>
  <c r="AB2496" i="4"/>
  <c r="AB2496" i="5"/>
  <c r="AB2694" i="4"/>
  <c r="AB2694" i="5"/>
  <c r="AB2714" i="4"/>
  <c r="AB2714" i="5"/>
  <c r="AB913" i="4"/>
  <c r="AB913" i="5"/>
  <c r="AB2689" i="4"/>
  <c r="AB2689" i="5"/>
  <c r="AB2735" i="4"/>
  <c r="AB2735" i="5"/>
  <c r="AA2821" i="5"/>
  <c r="AA2821" i="4"/>
  <c r="Z2304" i="4"/>
  <c r="Z2304" i="5"/>
  <c r="AB1910" i="4"/>
  <c r="AB1910" i="5"/>
  <c r="AB2269" i="4"/>
  <c r="AB2269" i="5"/>
  <c r="AB2513" i="4"/>
  <c r="AB2513" i="5"/>
  <c r="AB2009" i="4"/>
  <c r="AB2009" i="5"/>
  <c r="AB2574" i="4"/>
  <c r="AB2574" i="5"/>
  <c r="AB2053" i="4"/>
  <c r="AB2053" i="5"/>
  <c r="AB2159" i="4"/>
  <c r="AB2159" i="5"/>
  <c r="AB2206" i="4"/>
  <c r="AB2206" i="5"/>
  <c r="AB2256" i="4"/>
  <c r="AB2256" i="5"/>
  <c r="AB2556" i="4"/>
  <c r="AB2556" i="5"/>
  <c r="AB2550" i="4"/>
  <c r="AB2550" i="5"/>
  <c r="AB2017" i="4"/>
  <c r="AB2017" i="5"/>
  <c r="AB2289" i="4"/>
  <c r="AB2289" i="5"/>
  <c r="AB2439" i="4"/>
  <c r="AB2439" i="5"/>
  <c r="AB2050" i="4"/>
  <c r="AB2050" i="5"/>
  <c r="AB1238" i="4"/>
  <c r="AB1238" i="5"/>
  <c r="AB2426" i="4"/>
  <c r="AB2426" i="5"/>
  <c r="AB2803" i="5"/>
  <c r="AB2803" i="4"/>
  <c r="AB2143" i="4"/>
  <c r="AB2143" i="5"/>
  <c r="Z2306" i="4"/>
  <c r="Z2306" i="5"/>
  <c r="AB2549" i="4"/>
  <c r="AB2549" i="5"/>
  <c r="AB2642" i="4"/>
  <c r="AB2642" i="5"/>
  <c r="AB2109" i="4"/>
  <c r="AB2109" i="5"/>
  <c r="AB2732" i="4"/>
  <c r="AB2732" i="5"/>
  <c r="W2649" i="4"/>
  <c r="W2649" i="5"/>
  <c r="W2658" i="5" s="1"/>
  <c r="W2660" i="5" s="1"/>
  <c r="W2943" i="5" s="1"/>
  <c r="AB1946" i="4"/>
  <c r="AB1946" i="5"/>
  <c r="AB2238" i="4"/>
  <c r="AB2238" i="5"/>
  <c r="AB2208" i="4"/>
  <c r="AB2208" i="5"/>
  <c r="AB2282" i="4"/>
  <c r="AB2282" i="5"/>
  <c r="AB2414" i="4"/>
  <c r="AB2414" i="5"/>
  <c r="AB1820" i="5"/>
  <c r="AB2435" i="4"/>
  <c r="AB2435" i="5"/>
  <c r="AB2446" i="5" s="1"/>
  <c r="AB2863" i="5"/>
  <c r="AB2864" i="4"/>
  <c r="AB2809" i="5"/>
  <c r="AB2809" i="4"/>
  <c r="AA68" i="1"/>
  <c r="AA65" i="5"/>
  <c r="AA68" i="5" s="1"/>
  <c r="AA132" i="5" s="1"/>
  <c r="AA2917" i="5" s="1"/>
  <c r="AB2699" i="4"/>
  <c r="AB2699" i="5"/>
  <c r="AB1999" i="4"/>
  <c r="AB1999" i="5"/>
  <c r="AB2064" i="4"/>
  <c r="AB2064" i="5"/>
  <c r="AB2679" i="4"/>
  <c r="AB2679" i="5"/>
  <c r="AB2739" i="4"/>
  <c r="AB2739" i="5"/>
  <c r="AB1235" i="4"/>
  <c r="AB1235" i="5"/>
  <c r="AB2102" i="4"/>
  <c r="AB2102" i="5"/>
  <c r="AA1472" i="1"/>
  <c r="AA1449" i="5"/>
  <c r="AA1130" i="1"/>
  <c r="AA1126" i="5"/>
  <c r="AA1129" i="5" s="1"/>
  <c r="W2507" i="4"/>
  <c r="W2507" i="5"/>
  <c r="W2515" i="5" s="1"/>
  <c r="AB2232" i="4"/>
  <c r="AB2232" i="5"/>
  <c r="AB1720" i="5"/>
  <c r="AB2416" i="4"/>
  <c r="AB2416" i="5"/>
  <c r="AB2532" i="4"/>
  <c r="AB2532" i="5"/>
  <c r="AB867" i="4"/>
  <c r="AB867" i="5"/>
  <c r="W1034" i="1"/>
  <c r="W1027" i="5"/>
  <c r="W1033" i="5" s="1"/>
  <c r="AB2866" i="5"/>
  <c r="AB2867" i="4"/>
  <c r="AB2098" i="4"/>
  <c r="AB2098" i="5"/>
  <c r="AB1361" i="4"/>
  <c r="AB1361" i="5"/>
  <c r="AB1956" i="4"/>
  <c r="AB1956" i="5"/>
  <c r="AB2052" i="4"/>
  <c r="AB2052" i="5"/>
  <c r="AB2156" i="4"/>
  <c r="AB2156" i="5"/>
  <c r="AB2184" i="4"/>
  <c r="AB2184" i="5"/>
  <c r="AB2443" i="4"/>
  <c r="AB2443" i="5"/>
  <c r="AB2311" i="4"/>
  <c r="AB2311" i="5"/>
  <c r="AB2851" i="5"/>
  <c r="AB2852" i="4"/>
  <c r="X1973" i="1"/>
  <c r="X2914" i="1" s="1"/>
  <c r="AB2065" i="4"/>
  <c r="AB2065" i="5"/>
  <c r="AB2284" i="4"/>
  <c r="AB2284" i="5"/>
  <c r="AB2479" i="4"/>
  <c r="AB2479" i="5"/>
  <c r="AB2590" i="4"/>
  <c r="AB2590" i="5"/>
  <c r="AB2675" i="4"/>
  <c r="AB2675" i="5"/>
  <c r="AB2190" i="4"/>
  <c r="AB2190" i="5"/>
  <c r="AB2558" i="4"/>
  <c r="AB2558" i="5"/>
  <c r="AB2646" i="4"/>
  <c r="AB2646" i="5"/>
  <c r="W2722" i="4"/>
  <c r="W2722" i="5"/>
  <c r="W2728" i="5" s="1"/>
  <c r="AB1236" i="4"/>
  <c r="AB1236" i="5"/>
  <c r="AB2460" i="4"/>
  <c r="AB2460" i="5"/>
  <c r="W2846" i="5"/>
  <c r="W2847" i="4"/>
  <c r="AB2054" i="4"/>
  <c r="AB2054" i="5"/>
  <c r="W2565" i="5"/>
  <c r="AA872" i="1"/>
  <c r="AA858" i="5"/>
  <c r="AA872" i="5" s="1"/>
  <c r="AB1838" i="4"/>
  <c r="AB1838" i="5"/>
  <c r="AB2504" i="4"/>
  <c r="AB2504" i="5"/>
  <c r="AB2712" i="4"/>
  <c r="AB2712" i="5"/>
  <c r="AB2624" i="4"/>
  <c r="AB2624" i="5"/>
  <c r="AB2070" i="4"/>
  <c r="AB2070" i="5"/>
  <c r="AB2331" i="4"/>
  <c r="AB2331" i="5"/>
  <c r="AB2101" i="4"/>
  <c r="AB2101" i="5"/>
  <c r="AB2230" i="4"/>
  <c r="AB2230" i="5"/>
  <c r="AB2650" i="4"/>
  <c r="AB2650" i="5"/>
  <c r="AB2462" i="4"/>
  <c r="AB2462" i="5"/>
  <c r="AB2162" i="4"/>
  <c r="AB2162" i="5"/>
  <c r="AB2461" i="4"/>
  <c r="AB2461" i="5"/>
  <c r="W2527" i="4"/>
  <c r="W2527" i="5"/>
  <c r="AA2792" i="5"/>
  <c r="AA2792" i="4"/>
  <c r="V2820" i="5"/>
  <c r="V2820" i="4"/>
  <c r="AB2495" i="4"/>
  <c r="AB2495" i="5"/>
  <c r="AB2020" i="4"/>
  <c r="AB2020" i="5"/>
  <c r="W2853" i="5"/>
  <c r="W2854" i="4"/>
  <c r="AA1739" i="5"/>
  <c r="AA2931" i="5" s="1"/>
  <c r="M2885" i="5"/>
  <c r="AB204" i="5"/>
  <c r="AB195" i="2"/>
  <c r="AB204" i="4"/>
  <c r="AB1399" i="5"/>
  <c r="AB1329" i="2"/>
  <c r="AB1399" i="4"/>
  <c r="AA2404" i="5"/>
  <c r="AA2410" i="5" s="1"/>
  <c r="AA2448" i="5" s="1"/>
  <c r="AA2939" i="5" s="1"/>
  <c r="AB2410" i="1"/>
  <c r="AA2404" i="4"/>
  <c r="AB347" i="5"/>
  <c r="AB334" i="2"/>
  <c r="AB347" i="4"/>
  <c r="Q205" i="5"/>
  <c r="Q205" i="4"/>
  <c r="R205" i="1"/>
  <c r="Q196" i="2"/>
  <c r="AB61" i="5"/>
  <c r="AB57" i="2"/>
  <c r="AB61" i="4"/>
  <c r="Q226" i="5"/>
  <c r="Q226" i="4"/>
  <c r="R226" i="1"/>
  <c r="Q217" i="2"/>
  <c r="AB994" i="5"/>
  <c r="AB1013" i="5" s="1"/>
  <c r="AB994" i="4"/>
  <c r="AB951" i="2"/>
  <c r="AA1450" i="5"/>
  <c r="AB1451" i="1"/>
  <c r="AA1379" i="2"/>
  <c r="AA1450" i="4"/>
  <c r="F2921" i="5"/>
  <c r="F2948" i="5" s="1"/>
  <c r="F2755" i="5"/>
  <c r="AB847" i="5"/>
  <c r="AB812" i="2"/>
  <c r="AB847" i="4"/>
  <c r="V2917" i="5"/>
  <c r="AB1730" i="5"/>
  <c r="AB1737" i="5" s="1"/>
  <c r="AB1638" i="2"/>
  <c r="AB1730" i="4"/>
  <c r="AA596" i="5"/>
  <c r="AA607" i="5" s="1"/>
  <c r="AA640" i="5" s="1"/>
  <c r="AA2923" i="5" s="1"/>
  <c r="AA596" i="4"/>
  <c r="AB595" i="1"/>
  <c r="AB606" i="1" s="1"/>
  <c r="AA572" i="2"/>
  <c r="AB88" i="5"/>
  <c r="AB83" i="2"/>
  <c r="AB88" i="4"/>
  <c r="AB655" i="4"/>
  <c r="AB655" i="5"/>
  <c r="AB627" i="2"/>
  <c r="W1678" i="5"/>
  <c r="AB741" i="5"/>
  <c r="AB741" i="4"/>
  <c r="AB710" i="2"/>
  <c r="AB653" i="5"/>
  <c r="AB661" i="5" s="1"/>
  <c r="AB653" i="4"/>
  <c r="AB625" i="2"/>
  <c r="AA2602" i="5"/>
  <c r="AA2608" i="5" s="1"/>
  <c r="AA2660" i="5" s="1"/>
  <c r="AA2943" i="5" s="1"/>
  <c r="AA2602" i="4"/>
  <c r="AB2610" i="1"/>
  <c r="K235" i="5"/>
  <c r="K237" i="5" s="1"/>
  <c r="AA2822" i="5"/>
  <c r="AA2822" i="4"/>
  <c r="J2366" i="5"/>
  <c r="J2448" i="5" s="1"/>
  <c r="J2939" i="5" s="1"/>
  <c r="W132" i="5"/>
  <c r="AB2741" i="4"/>
  <c r="AB2741" i="5"/>
  <c r="AB2376" i="4"/>
  <c r="AB2376" i="5"/>
  <c r="W2870" i="5"/>
  <c r="W2871" i="4"/>
  <c r="AB1918" i="4"/>
  <c r="AB1918" i="5"/>
  <c r="AB2577" i="4"/>
  <c r="AB2577" i="5"/>
  <c r="AB2310" i="4"/>
  <c r="AB2310" i="5"/>
  <c r="AB2339" i="4"/>
  <c r="AB2339" i="5"/>
  <c r="AA2266" i="1"/>
  <c r="AA2255" i="5"/>
  <c r="AA2262" i="5" s="1"/>
  <c r="AB2266" i="4"/>
  <c r="AB2266" i="5"/>
  <c r="AB2395" i="4"/>
  <c r="AB2395" i="5"/>
  <c r="Z2672" i="4"/>
  <c r="Z2672" i="5"/>
  <c r="AB2301" i="4"/>
  <c r="AB2301" i="5"/>
  <c r="AB2148" i="4"/>
  <c r="AB2148" i="5"/>
  <c r="AB2199" i="4"/>
  <c r="AB2199" i="5"/>
  <c r="AB1010" i="4"/>
  <c r="AB1010" i="5"/>
  <c r="W1309" i="5"/>
  <c r="AB2147" i="4"/>
  <c r="AB2147" i="5"/>
  <c r="AB2257" i="4"/>
  <c r="AB2257" i="5"/>
  <c r="AB2363" i="4"/>
  <c r="AB2363" i="5"/>
  <c r="AB2386" i="4"/>
  <c r="AB2386" i="5"/>
  <c r="AB2633" i="4"/>
  <c r="AB2633" i="5"/>
  <c r="AB2145" i="4"/>
  <c r="AB2145" i="5"/>
  <c r="AB2720" i="4"/>
  <c r="AB2720" i="5"/>
  <c r="AB2160" i="4"/>
  <c r="AB2160" i="5"/>
  <c r="W2740" i="4"/>
  <c r="W2740" i="5"/>
  <c r="W2750" i="5" s="1"/>
  <c r="AB2008" i="4"/>
  <c r="AB2008" i="5"/>
  <c r="AB2280" i="4"/>
  <c r="AB2280" i="5"/>
  <c r="W2598" i="4"/>
  <c r="W2598" i="5"/>
  <c r="W2608" i="5" s="1"/>
  <c r="AB2066" i="4"/>
  <c r="AB2066" i="5"/>
  <c r="AA2691" i="1"/>
  <c r="AA2672" i="5"/>
  <c r="AA2683" i="5" s="1"/>
  <c r="AB2106" i="4"/>
  <c r="AB2106" i="5"/>
  <c r="AB2631" i="4"/>
  <c r="AB2631" i="5"/>
  <c r="AB1655" i="4"/>
  <c r="AB1655" i="5"/>
  <c r="AB1659" i="5" s="1"/>
  <c r="AB2049" i="4"/>
  <c r="AB2049" i="5"/>
  <c r="AB2127" i="4"/>
  <c r="AB2127" i="5"/>
  <c r="AB2400" i="4"/>
  <c r="AB2400" i="5"/>
  <c r="AB2286" i="4"/>
  <c r="AB2286" i="5"/>
  <c r="AB104" i="4"/>
  <c r="AB104" i="5"/>
  <c r="AB107" i="5" s="1"/>
  <c r="AB1106" i="5"/>
  <c r="AB2599" i="4"/>
  <c r="AB2599" i="5"/>
  <c r="AB2380" i="4"/>
  <c r="AB2380" i="5"/>
  <c r="AB257" i="4"/>
  <c r="AB257" i="5"/>
  <c r="AB869" i="4"/>
  <c r="AB869" i="5"/>
  <c r="AA1144" i="1"/>
  <c r="AA1140" i="5"/>
  <c r="AA1143" i="5" s="1"/>
  <c r="AB2551" i="4"/>
  <c r="AB2551" i="5"/>
  <c r="AB2733" i="4"/>
  <c r="AB2733" i="5"/>
  <c r="AB1693" i="4"/>
  <c r="AB1693" i="5"/>
  <c r="Z2598" i="4"/>
  <c r="Z2598" i="5"/>
  <c r="AB2865" i="5"/>
  <c r="AB2866" i="4"/>
  <c r="W1340" i="1"/>
  <c r="W1320" i="5"/>
  <c r="W1339" i="5" s="1"/>
  <c r="AB2655" i="4"/>
  <c r="AB2655" i="5"/>
  <c r="W588" i="1"/>
  <c r="W576" i="5"/>
  <c r="W589" i="5" s="1"/>
  <c r="W640" i="5" s="1"/>
  <c r="W2923" i="5" s="1"/>
  <c r="AB2241" i="4"/>
  <c r="AB2241" i="5"/>
  <c r="AB2356" i="4"/>
  <c r="AB2356" i="5"/>
  <c r="AB2681" i="4"/>
  <c r="AB2681" i="5"/>
  <c r="AB2178" i="4"/>
  <c r="AB2178" i="5"/>
  <c r="AB535" i="5"/>
  <c r="AA1403" i="1"/>
  <c r="AA1389" i="5"/>
  <c r="AA1402" i="5" s="1"/>
  <c r="AB2455" i="4"/>
  <c r="AB2455" i="5"/>
  <c r="AB2470" i="5" s="1"/>
  <c r="AB1565" i="4"/>
  <c r="AB1565" i="5"/>
  <c r="AB1943" i="4"/>
  <c r="AB1943" i="5"/>
  <c r="AB2132" i="4"/>
  <c r="AB2132" i="5"/>
  <c r="AA2116" i="1"/>
  <c r="AA2104" i="5"/>
  <c r="AA2112" i="5" s="1"/>
  <c r="AB2234" i="4"/>
  <c r="AB2234" i="5"/>
  <c r="AB2525" i="4"/>
  <c r="AB2525" i="5"/>
  <c r="AB2003" i="4"/>
  <c r="AB2003" i="5"/>
  <c r="AB2250" i="4"/>
  <c r="AB2250" i="5"/>
  <c r="AB1888" i="4"/>
  <c r="AB1888" i="5"/>
  <c r="AB2026" i="4"/>
  <c r="AB2026" i="5"/>
  <c r="AA2177" i="1"/>
  <c r="AA2170" i="5"/>
  <c r="AA2173" i="5" s="1"/>
  <c r="AB2584" i="4"/>
  <c r="AB2584" i="5"/>
  <c r="J2844" i="5"/>
  <c r="J2845" i="4"/>
  <c r="AB1955" i="4"/>
  <c r="AB1955" i="5"/>
  <c r="AB865" i="4"/>
  <c r="AB865" i="5"/>
  <c r="AA1166" i="5"/>
  <c r="AA2782" i="5"/>
  <c r="AA2782" i="4"/>
  <c r="AB2622" i="4"/>
  <c r="AB2622" i="5"/>
  <c r="AB2477" i="4"/>
  <c r="AB2477" i="5"/>
  <c r="AB2789" i="5"/>
  <c r="AB2789" i="4"/>
  <c r="AB2308" i="4"/>
  <c r="AB2308" i="5"/>
  <c r="AB2357" i="4"/>
  <c r="AB2357" i="5"/>
  <c r="W2523" i="4"/>
  <c r="W2523" i="5"/>
  <c r="W2535" i="5" s="1"/>
  <c r="AB2129" i="4"/>
  <c r="AB2129" i="5"/>
  <c r="Z1642" i="1"/>
  <c r="Z1637" i="5"/>
  <c r="AB1863" i="2"/>
  <c r="W557" i="1"/>
  <c r="W553" i="5"/>
  <c r="W558" i="5" s="1"/>
  <c r="AB2346" i="4"/>
  <c r="AB2346" i="5"/>
  <c r="AB1691" i="4"/>
  <c r="AB1691" i="5"/>
  <c r="AB1697" i="5" s="1"/>
  <c r="AB1939" i="4"/>
  <c r="AB1939" i="5"/>
  <c r="AB2544" i="4"/>
  <c r="AB2544" i="5"/>
  <c r="AB2688" i="4"/>
  <c r="AB2688" i="5"/>
  <c r="AB2717" i="4"/>
  <c r="AB2717" i="5"/>
  <c r="AB2391" i="4"/>
  <c r="AB2391" i="5"/>
  <c r="AB2126" i="4"/>
  <c r="AB2126" i="5"/>
  <c r="AB2576" i="4"/>
  <c r="AB2576" i="5"/>
  <c r="AB798" i="4"/>
  <c r="AB798" i="5"/>
  <c r="AB1906" i="4"/>
  <c r="AB1906" i="5"/>
  <c r="AB2582" i="4"/>
  <c r="AB2582" i="5"/>
  <c r="AB2648" i="4"/>
  <c r="AB2648" i="5"/>
  <c r="AB2711" i="4"/>
  <c r="AB2711" i="5"/>
  <c r="AB2506" i="4"/>
  <c r="AB2506" i="5"/>
  <c r="AB2355" i="4"/>
  <c r="AB2355" i="5"/>
  <c r="AB2804" i="5"/>
  <c r="AB2804" i="4"/>
  <c r="AB2325" i="4"/>
  <c r="AB2325" i="5"/>
  <c r="AB2654" i="4"/>
  <c r="AB2654" i="5"/>
  <c r="AB2092" i="4"/>
  <c r="AB2092" i="5"/>
  <c r="AB2290" i="4"/>
  <c r="AB2290" i="5"/>
  <c r="AB2043" i="4"/>
  <c r="AB2043" i="5"/>
  <c r="AB2051" i="4"/>
  <c r="AB2051" i="5"/>
  <c r="AB2396" i="4"/>
  <c r="AB2396" i="5"/>
  <c r="AB2226" i="4"/>
  <c r="AB2226" i="5"/>
  <c r="AB2272" i="4"/>
  <c r="AB2272" i="5"/>
  <c r="AB2716" i="4"/>
  <c r="AB2716" i="5"/>
  <c r="AB2399" i="4"/>
  <c r="AB2399" i="5"/>
  <c r="AB2117" i="4"/>
  <c r="AB2117" i="5"/>
  <c r="AB2077" i="4"/>
  <c r="AB2077" i="5"/>
  <c r="AB2079" i="5" s="1"/>
  <c r="AB1184" i="4"/>
  <c r="AB1184" i="5"/>
  <c r="AB2481" i="4"/>
  <c r="AB2481" i="5"/>
  <c r="AB2488" i="5" s="1"/>
  <c r="AB2591" i="4"/>
  <c r="AB2591" i="5"/>
  <c r="AB1632" i="4"/>
  <c r="AB1632" i="5"/>
  <c r="AB1639" i="5" s="1"/>
  <c r="AB2819" i="5"/>
  <c r="AB2819" i="4"/>
  <c r="AB2805" i="5"/>
  <c r="AB2805" i="4"/>
  <c r="AB2000" i="4"/>
  <c r="AB2000" i="5"/>
  <c r="AB2677" i="4"/>
  <c r="AB2677" i="5"/>
  <c r="AB1947" i="4"/>
  <c r="AB1947" i="5"/>
  <c r="AB1240" i="4"/>
  <c r="AB1240" i="5"/>
  <c r="AB1912" i="4"/>
  <c r="AB1912" i="5"/>
  <c r="AB2330" i="4"/>
  <c r="AB2330" i="5"/>
  <c r="AB1982" i="4"/>
  <c r="AB1982" i="5"/>
  <c r="AB2212" i="4"/>
  <c r="AB2212" i="5"/>
  <c r="X639" i="1"/>
  <c r="X2904" i="1" s="1"/>
  <c r="W1144" i="1"/>
  <c r="AB2441" i="4"/>
  <c r="AB2441" i="5"/>
  <c r="AB2713" i="4"/>
  <c r="AB2713" i="5"/>
  <c r="W2774" i="5"/>
  <c r="W2774" i="4"/>
  <c r="AB2621" i="4"/>
  <c r="AB2621" i="5"/>
  <c r="AB40" i="4"/>
  <c r="AB40" i="5"/>
  <c r="AB2459" i="4"/>
  <c r="AB2459" i="5"/>
  <c r="AB1209" i="4"/>
  <c r="AB1209" i="5"/>
  <c r="AA1190" i="5"/>
  <c r="AA2927" i="5" s="1"/>
  <c r="AB2322" i="4"/>
  <c r="AB2322" i="5"/>
  <c r="AB2736" i="4"/>
  <c r="AB2736" i="5"/>
  <c r="AB1965" i="4"/>
  <c r="AB1965" i="5"/>
  <c r="AB2653" i="4"/>
  <c r="AB2653" i="5"/>
  <c r="AB2478" i="4"/>
  <c r="AB2478" i="5"/>
  <c r="AB2045" i="4"/>
  <c r="AB2045" i="5"/>
  <c r="AB1935" i="4"/>
  <c r="AB1935" i="5"/>
  <c r="AB2164" i="4"/>
  <c r="AB2164" i="5"/>
  <c r="AB2239" i="4"/>
  <c r="AB2239" i="5"/>
  <c r="AB2627" i="4"/>
  <c r="AB2627" i="5"/>
  <c r="AB1992" i="4"/>
  <c r="AB1992" i="5"/>
  <c r="AB2618" i="4"/>
  <c r="AB2618" i="5"/>
  <c r="AB2401" i="4"/>
  <c r="AB2401" i="5"/>
  <c r="AB2777" i="5"/>
  <c r="AB2777" i="4"/>
  <c r="AB1907" i="4"/>
  <c r="AB1907" i="5"/>
  <c r="W2861" i="5"/>
  <c r="W2862" i="4"/>
  <c r="AB1480" i="5"/>
  <c r="AB1404" i="2"/>
  <c r="AB1480" i="4"/>
  <c r="H2756" i="5"/>
  <c r="H2948" i="5"/>
  <c r="H2950" i="5" s="1"/>
  <c r="H2887" i="5"/>
  <c r="M1969" i="5"/>
  <c r="M2933" i="5" s="1"/>
  <c r="AA1111" i="2"/>
  <c r="AA1162" i="5"/>
  <c r="AA1162" i="4"/>
  <c r="AB1163" i="1"/>
  <c r="AB672" i="5"/>
  <c r="AB691" i="5" s="1"/>
  <c r="AB644" i="2"/>
  <c r="AB672" i="4"/>
  <c r="AB1451" i="5"/>
  <c r="AB1451" i="4"/>
  <c r="AB1380" i="2"/>
  <c r="AB1548" i="5"/>
  <c r="AB1473" i="2"/>
  <c r="AB1548" i="4"/>
  <c r="AB548" i="5"/>
  <c r="AB529" i="2"/>
  <c r="AB548" i="4"/>
  <c r="AA235" i="5"/>
  <c r="J421" i="5"/>
  <c r="AB2785" i="5"/>
  <c r="AB2785" i="4"/>
  <c r="AB764" i="5"/>
  <c r="AB781" i="5" s="1"/>
  <c r="AB764" i="4"/>
  <c r="AB733" i="2"/>
  <c r="AA446" i="5"/>
  <c r="AB1082" i="5"/>
  <c r="AB1082" i="4"/>
  <c r="AB1034" i="2"/>
  <c r="AB1006" i="5"/>
  <c r="AB963" i="2"/>
  <c r="AB1006" i="4"/>
  <c r="AB1700" i="5"/>
  <c r="AB1709" i="5" s="1"/>
  <c r="AB1700" i="4"/>
  <c r="AB1608" i="2"/>
  <c r="AB826" i="5"/>
  <c r="AB792" i="2"/>
  <c r="AB826" i="4"/>
  <c r="AB1489" i="5"/>
  <c r="AB1413" i="2"/>
  <c r="AB1489" i="4"/>
  <c r="P2939" i="5"/>
  <c r="P2755" i="5"/>
  <c r="AB1223" i="5"/>
  <c r="AB1169" i="2"/>
  <c r="AB1223" i="4"/>
  <c r="AB176" i="5"/>
  <c r="AB176" i="4"/>
  <c r="AB168" i="2"/>
  <c r="J922" i="5"/>
  <c r="J961" i="5" s="1"/>
  <c r="J2925" i="5" s="1"/>
  <c r="AB504" i="5"/>
  <c r="AB509" i="5" s="1"/>
  <c r="AB484" i="2"/>
  <c r="AB504" i="4"/>
  <c r="AB1551" i="5"/>
  <c r="AB1551" i="4"/>
  <c r="AB1476" i="2"/>
  <c r="AB1359" i="5"/>
  <c r="AB1359" i="4"/>
  <c r="AB1294" i="2"/>
  <c r="AA1834" i="5"/>
  <c r="AA1843" i="5" s="1"/>
  <c r="AA1742" i="2"/>
  <c r="AA1834" i="4"/>
  <c r="AB1838" i="1"/>
  <c r="W1065" i="5"/>
  <c r="W1190" i="5" s="1"/>
  <c r="W2927" i="5" s="1"/>
  <c r="AB1493" i="5"/>
  <c r="AB1493" i="4"/>
  <c r="AB1416" i="2"/>
  <c r="AB947" i="5"/>
  <c r="W1709" i="5"/>
  <c r="W1739" i="5" s="1"/>
  <c r="W2931" i="5" s="1"/>
  <c r="AB1042" i="5"/>
  <c r="AB1049" i="5" s="1"/>
  <c r="AB997" i="2"/>
  <c r="AB1042" i="4"/>
  <c r="W2844" i="5"/>
  <c r="W2845" i="4"/>
  <c r="AA428" i="5"/>
  <c r="AA428" i="4"/>
  <c r="AB429" i="1"/>
  <c r="AA410" i="2"/>
  <c r="AB200" i="5"/>
  <c r="AB192" i="2"/>
  <c r="AB200" i="4"/>
  <c r="M2752" i="5"/>
  <c r="M2945" i="5" s="1"/>
  <c r="AB496" i="5"/>
  <c r="AB500" i="5" s="1"/>
  <c r="AB476" i="2"/>
  <c r="AB496" i="4"/>
  <c r="Q213" i="5"/>
  <c r="Q235" i="5" s="1"/>
  <c r="Q204" i="2"/>
  <c r="Q213" i="4"/>
  <c r="R213" i="1"/>
  <c r="W2488" i="5"/>
  <c r="AA2081" i="5"/>
  <c r="AA2935" i="5" s="1"/>
  <c r="I2919" i="5"/>
  <c r="I2948" i="5" s="1"/>
  <c r="I2755" i="5"/>
  <c r="J789" i="2"/>
  <c r="N2597" i="2"/>
  <c r="M1395" i="2"/>
  <c r="X1332" i="2"/>
  <c r="M879" i="2"/>
  <c r="J691" i="4"/>
  <c r="X2724" i="2"/>
  <c r="Z2724" i="2" s="1"/>
  <c r="V2683" i="4"/>
  <c r="V2752" i="4" s="1"/>
  <c r="V2929" i="4" s="1"/>
  <c r="X789" i="2"/>
  <c r="U226" i="2"/>
  <c r="U2724" i="2" s="1"/>
  <c r="X1306" i="2"/>
  <c r="M712" i="2"/>
  <c r="M1332" i="2"/>
  <c r="Z1306" i="2"/>
  <c r="X2448" i="4"/>
  <c r="X2923" i="4" s="1"/>
  <c r="N2901" i="4"/>
  <c r="N2932" i="4" s="1"/>
  <c r="M872" i="4"/>
  <c r="U2448" i="4"/>
  <c r="U2923" i="4" s="1"/>
  <c r="H1865" i="2"/>
  <c r="H2738" i="2" s="1"/>
  <c r="H1466" i="2"/>
  <c r="H2734" i="2" s="1"/>
  <c r="X2734" i="2" s="1"/>
  <c r="Z2734" i="2" s="1"/>
  <c r="H403" i="2"/>
  <c r="H2726" i="2" s="1"/>
  <c r="X2726" i="2" s="1"/>
  <c r="Z2726" i="2" s="1"/>
  <c r="AA607" i="4"/>
  <c r="J1218" i="2"/>
  <c r="J2650" i="2" s="1"/>
  <c r="Z199" i="2"/>
  <c r="K2734" i="2"/>
  <c r="H2913" i="4"/>
  <c r="V184" i="4"/>
  <c r="F2753" i="2"/>
  <c r="J1332" i="2"/>
  <c r="M2515" i="4"/>
  <c r="P918" i="2"/>
  <c r="P2730" i="2" s="1"/>
  <c r="P2753" i="2" s="1"/>
  <c r="V2625" i="2"/>
  <c r="J1800" i="2"/>
  <c r="M855" i="2"/>
  <c r="X879" i="2"/>
  <c r="U2081" i="4"/>
  <c r="U2919" i="4" s="1"/>
  <c r="AA1617" i="2"/>
  <c r="Z748" i="2"/>
  <c r="W2515" i="4"/>
  <c r="M2366" i="4"/>
  <c r="X855" i="2"/>
  <c r="M833" i="2"/>
  <c r="AA480" i="2"/>
  <c r="W638" i="4"/>
  <c r="V855" i="2"/>
  <c r="X898" i="2"/>
  <c r="Z809" i="2"/>
  <c r="M132" i="4"/>
  <c r="M2901" i="4" s="1"/>
  <c r="W2728" i="4"/>
  <c r="M661" i="2"/>
  <c r="X2738" i="2"/>
  <c r="Z2738" i="2" s="1"/>
  <c r="W487" i="4"/>
  <c r="J895" i="4"/>
  <c r="V176" i="2"/>
  <c r="M2683" i="4"/>
  <c r="M1214" i="4"/>
  <c r="V1115" i="2"/>
  <c r="V1137" i="2" s="1"/>
  <c r="V2732" i="2" s="1"/>
  <c r="I237" i="4"/>
  <c r="I2903" i="4" s="1"/>
  <c r="I2932" i="4" s="1"/>
  <c r="H918" i="2"/>
  <c r="H2730" i="2" s="1"/>
  <c r="X2730" i="2" s="1"/>
  <c r="Z2730" i="2" s="1"/>
  <c r="J833" i="2"/>
  <c r="AA142" i="2"/>
  <c r="Z64" i="2"/>
  <c r="X833" i="2"/>
  <c r="U2294" i="4"/>
  <c r="U2921" i="4" s="1"/>
  <c r="M941" i="4"/>
  <c r="M1899" i="4"/>
  <c r="Q1865" i="2"/>
  <c r="Q2738" i="2" s="1"/>
  <c r="U1647" i="2"/>
  <c r="U2736" i="2" s="1"/>
  <c r="J898" i="2"/>
  <c r="F2597" i="2"/>
  <c r="M2011" i="4"/>
  <c r="Z1362" i="2"/>
  <c r="Z1568" i="4"/>
  <c r="Z1605" i="2"/>
  <c r="I226" i="2"/>
  <c r="I2597" i="2" s="1"/>
  <c r="W1049" i="4"/>
  <c r="X1769" i="2"/>
  <c r="Z634" i="4"/>
  <c r="Z609" i="2"/>
  <c r="Z613" i="2" s="1"/>
  <c r="Q198" i="4"/>
  <c r="Q190" i="2"/>
  <c r="R198" i="1"/>
  <c r="R198" i="5" s="1"/>
  <c r="AA609" i="2"/>
  <c r="AA613" i="2" s="1"/>
  <c r="AB633" i="1"/>
  <c r="AB634" i="5" s="1"/>
  <c r="AB638" i="5" s="1"/>
  <c r="AA634" i="4"/>
  <c r="AA638" i="4" s="1"/>
  <c r="AB1312" i="4"/>
  <c r="AB1249" i="2"/>
  <c r="X1544" i="1"/>
  <c r="X2910" i="1" s="1"/>
  <c r="M2314" i="2"/>
  <c r="M2744" i="2" s="1"/>
  <c r="AA2744" i="2" s="1"/>
  <c r="AB2744" i="2" s="1"/>
  <c r="AA2223" i="1"/>
  <c r="M1362" i="2"/>
  <c r="U2752" i="4"/>
  <c r="U2929" i="4" s="1"/>
  <c r="J1214" i="4"/>
  <c r="AA526" i="2"/>
  <c r="J1395" i="2"/>
  <c r="AA1802" i="4"/>
  <c r="M898" i="2"/>
  <c r="AA489" i="2"/>
  <c r="J712" i="2"/>
  <c r="M1800" i="2"/>
  <c r="X2575" i="1"/>
  <c r="X2922" i="1" s="1"/>
  <c r="AB2507" i="1"/>
  <c r="AB1086" i="1"/>
  <c r="W2523" i="1"/>
  <c r="M2668" i="1"/>
  <c r="M2924" i="1" s="1"/>
  <c r="V639" i="1"/>
  <c r="M2085" i="1"/>
  <c r="M2916" i="1" s="1"/>
  <c r="U237" i="4"/>
  <c r="U2903" i="4" s="1"/>
  <c r="X2314" i="2"/>
  <c r="V743" i="4"/>
  <c r="M2037" i="4"/>
  <c r="M2081" i="4" s="1"/>
  <c r="M2919" i="4" s="1"/>
  <c r="AB947" i="1"/>
  <c r="Z959" i="1"/>
  <c r="Z916" i="2" s="1"/>
  <c r="X916" i="2"/>
  <c r="AB1301" i="4"/>
  <c r="AB1238" i="2"/>
  <c r="AB2732" i="1"/>
  <c r="AA2724" i="4"/>
  <c r="W2590" i="4"/>
  <c r="W2818" i="1"/>
  <c r="Q959" i="4"/>
  <c r="Q916" i="2"/>
  <c r="W719" i="4"/>
  <c r="W689" i="2"/>
  <c r="W453" i="2"/>
  <c r="F2932" i="4"/>
  <c r="M2594" i="2"/>
  <c r="M2750" i="2" s="1"/>
  <c r="AA2750" i="2" s="1"/>
  <c r="AB2750" i="2" s="1"/>
  <c r="AA500" i="4"/>
  <c r="AA2296" i="1"/>
  <c r="M380" i="2"/>
  <c r="AB166" i="1"/>
  <c r="AA941" i="1"/>
  <c r="M1973" i="1"/>
  <c r="M2914" i="1" s="1"/>
  <c r="AA1037" i="2"/>
  <c r="Z1093" i="2"/>
  <c r="AA509" i="4"/>
  <c r="J1471" i="4"/>
  <c r="Z1274" i="2"/>
  <c r="J1362" i="2"/>
  <c r="X661" i="2"/>
  <c r="X1800" i="2"/>
  <c r="AA1863" i="2"/>
  <c r="W2857" i="1"/>
  <c r="AB902" i="2"/>
  <c r="AB904" i="2" s="1"/>
  <c r="Z1057" i="2"/>
  <c r="V2565" i="4"/>
  <c r="V1166" i="4"/>
  <c r="V1190" i="4" s="1"/>
  <c r="V2911" i="4" s="1"/>
  <c r="AB1480" i="1"/>
  <c r="AA1479" i="4"/>
  <c r="AA1497" i="4" s="1"/>
  <c r="AA1403" i="2"/>
  <c r="AA1420" i="2" s="1"/>
  <c r="AA1276" i="4"/>
  <c r="AB1277" i="1"/>
  <c r="AB1676" i="1"/>
  <c r="AA1673" i="4"/>
  <c r="AB2801" i="1"/>
  <c r="W1162" i="4"/>
  <c r="W1111" i="2"/>
  <c r="AB1104" i="4"/>
  <c r="AB1055" i="2"/>
  <c r="AB2797" i="1"/>
  <c r="AB1250" i="1"/>
  <c r="AB1249" i="5" s="1"/>
  <c r="AA1249" i="4"/>
  <c r="AA1190" i="2"/>
  <c r="W1403" i="2"/>
  <c r="W1420" i="2" s="1"/>
  <c r="W1479" i="4"/>
  <c r="W1497" i="4" s="1"/>
  <c r="U1190" i="1"/>
  <c r="U2908" i="1" s="1"/>
  <c r="Z401" i="2"/>
  <c r="Z743" i="1"/>
  <c r="X422" i="1"/>
  <c r="X2902" i="1" s="1"/>
  <c r="M895" i="4"/>
  <c r="AA280" i="4"/>
  <c r="X1218" i="2"/>
  <c r="V898" i="2"/>
  <c r="M2219" i="4"/>
  <c r="W613" i="2"/>
  <c r="M398" i="4"/>
  <c r="AA2635" i="4"/>
  <c r="Z637" i="1"/>
  <c r="M1922" i="4"/>
  <c r="AA583" i="2"/>
  <c r="V2608" i="4"/>
  <c r="M1246" i="2"/>
  <c r="AA87" i="2"/>
  <c r="X320" i="2"/>
  <c r="Z488" i="1"/>
  <c r="V1544" i="1"/>
  <c r="V2910" i="1" s="1"/>
  <c r="J1769" i="2"/>
  <c r="X1362" i="2"/>
  <c r="J1973" i="1"/>
  <c r="J2914" i="1" s="1"/>
  <c r="Z1340" i="1"/>
  <c r="J1402" i="4"/>
  <c r="V1433" i="4"/>
  <c r="M2728" i="4"/>
  <c r="Z1107" i="1"/>
  <c r="M961" i="1"/>
  <c r="M2906" i="1" s="1"/>
  <c r="M589" i="4"/>
  <c r="M640" i="4" s="1"/>
  <c r="M2907" i="4" s="1"/>
  <c r="X2736" i="2"/>
  <c r="Z2736" i="2" s="1"/>
  <c r="AA1498" i="1"/>
  <c r="K224" i="2"/>
  <c r="AA2382" i="4"/>
  <c r="J941" i="4"/>
  <c r="W1106" i="4"/>
  <c r="W844" i="4"/>
  <c r="V132" i="4"/>
  <c r="V2901" i="4" s="1"/>
  <c r="X176" i="2"/>
  <c r="X226" i="2" s="1"/>
  <c r="M2138" i="4"/>
  <c r="V941" i="4"/>
  <c r="W467" i="2"/>
  <c r="X712" i="2"/>
  <c r="V2037" i="4"/>
  <c r="V2081" i="4" s="1"/>
  <c r="V2919" i="4" s="1"/>
  <c r="Z537" i="2"/>
  <c r="K208" i="4"/>
  <c r="J1281" i="4"/>
  <c r="W941" i="2"/>
  <c r="W943" i="2" s="1"/>
  <c r="J380" i="2"/>
  <c r="W509" i="4"/>
  <c r="J743" i="4"/>
  <c r="U2567" i="4"/>
  <c r="U2925" i="4" s="1"/>
  <c r="M922" i="4"/>
  <c r="AA92" i="4"/>
  <c r="M2341" i="4"/>
  <c r="V1218" i="2"/>
  <c r="Z988" i="2"/>
  <c r="W1605" i="2"/>
  <c r="V125" i="2"/>
  <c r="V2722" i="2" s="1"/>
  <c r="W1057" i="2"/>
  <c r="W1004" i="2"/>
  <c r="W1737" i="4"/>
  <c r="M2608" i="4"/>
  <c r="M2660" i="4" s="1"/>
  <c r="M2927" i="4" s="1"/>
  <c r="V1402" i="4"/>
  <c r="X1246" i="2"/>
  <c r="W2635" i="4"/>
  <c r="J312" i="4"/>
  <c r="M2704" i="4"/>
  <c r="J1433" i="4"/>
  <c r="W661" i="2"/>
  <c r="M2173" i="4"/>
  <c r="M1471" i="4"/>
  <c r="AA149" i="4"/>
  <c r="U421" i="4"/>
  <c r="U2905" i="4" s="1"/>
  <c r="W833" i="2"/>
  <c r="M2886" i="4"/>
  <c r="AA199" i="2"/>
  <c r="Z1537" i="2"/>
  <c r="U1466" i="2"/>
  <c r="U2734" i="2" s="1"/>
  <c r="X2728" i="2"/>
  <c r="Z2728" i="2" s="1"/>
  <c r="AA401" i="2"/>
  <c r="M299" i="2"/>
  <c r="X353" i="2"/>
  <c r="U615" i="2"/>
  <c r="U2728" i="2" s="1"/>
  <c r="AA166" i="4"/>
  <c r="M743" i="4"/>
  <c r="X299" i="2"/>
  <c r="V1281" i="4"/>
  <c r="W1697" i="4"/>
  <c r="V640" i="4"/>
  <c r="V2907" i="4" s="1"/>
  <c r="Z437" i="2"/>
  <c r="J823" i="4"/>
  <c r="AA515" i="2"/>
  <c r="W1720" i="4"/>
  <c r="M1647" i="2"/>
  <c r="M2736" i="2" s="1"/>
  <c r="M1769" i="2"/>
  <c r="U640" i="4"/>
  <c r="U2907" i="4" s="1"/>
  <c r="AA130" i="4"/>
  <c r="AA714" i="4"/>
  <c r="M1306" i="2"/>
  <c r="M1281" i="4"/>
  <c r="W473" i="4"/>
  <c r="W130" i="4"/>
  <c r="J661" i="2"/>
  <c r="M1402" i="4"/>
  <c r="J922" i="4"/>
  <c r="M226" i="2"/>
  <c r="M2724" i="2" s="1"/>
  <c r="AA2724" i="2" s="1"/>
  <c r="AB2724" i="2" s="1"/>
  <c r="Z833" i="2"/>
  <c r="M2243" i="4"/>
  <c r="J333" i="4"/>
  <c r="X1395" i="2"/>
  <c r="K199" i="2"/>
  <c r="AA1737" i="4"/>
  <c r="X380" i="2"/>
  <c r="AA1085" i="4"/>
  <c r="W872" i="4"/>
  <c r="W107" i="4"/>
  <c r="M333" i="4"/>
  <c r="J1899" i="4"/>
  <c r="AA1709" i="4"/>
  <c r="M1951" i="4"/>
  <c r="AA208" i="4"/>
  <c r="W583" i="2"/>
  <c r="W691" i="4"/>
  <c r="AA419" i="4"/>
  <c r="W1659" i="4"/>
  <c r="M312" i="4"/>
  <c r="AA1710" i="2"/>
  <c r="K235" i="4"/>
  <c r="Z768" i="2"/>
  <c r="U125" i="2"/>
  <c r="U2722" i="2" s="1"/>
  <c r="W545" i="4"/>
  <c r="U1969" i="4"/>
  <c r="U2917" i="4" s="1"/>
  <c r="W809" i="2"/>
  <c r="Z419" i="4"/>
  <c r="Z421" i="4" s="1"/>
  <c r="Z2905" i="4" s="1"/>
  <c r="AA1079" i="2"/>
  <c r="AA522" i="4"/>
  <c r="AA158" i="2"/>
  <c r="M2410" i="4"/>
  <c r="AA1967" i="4"/>
  <c r="M1865" i="4"/>
  <c r="W123" i="2"/>
  <c r="W607" i="4"/>
  <c r="J2294" i="4"/>
  <c r="J2921" i="4" s="1"/>
  <c r="AA502" i="2"/>
  <c r="V1332" i="2"/>
  <c r="M1375" i="4"/>
  <c r="V1362" i="2"/>
  <c r="J1865" i="4"/>
  <c r="M369" i="4"/>
  <c r="V712" i="2"/>
  <c r="M1433" i="4"/>
  <c r="M691" i="4"/>
  <c r="J872" i="4"/>
  <c r="AA1065" i="4"/>
  <c r="Z1395" i="2"/>
  <c r="AA2499" i="4"/>
  <c r="U2898" i="1"/>
  <c r="J2830" i="1"/>
  <c r="V2904" i="1"/>
  <c r="V2850" i="1"/>
  <c r="V2750" i="2"/>
  <c r="V2671" i="2"/>
  <c r="M237" i="4"/>
  <c r="M2903" i="4" s="1"/>
  <c r="J2902" i="1"/>
  <c r="M1739" i="4"/>
  <c r="M2915" i="4" s="1"/>
  <c r="V2782" i="1"/>
  <c r="V2898" i="1"/>
  <c r="M2898" i="1"/>
  <c r="AB92" i="2"/>
  <c r="AB97" i="4"/>
  <c r="AB73" i="2"/>
  <c r="AB77" i="4"/>
  <c r="W1302" i="4"/>
  <c r="W1239" i="2"/>
  <c r="AB139" i="2"/>
  <c r="AB146" i="4"/>
  <c r="AB211" i="2"/>
  <c r="AB220" i="4"/>
  <c r="AB1241" i="2"/>
  <c r="AB1304" i="4"/>
  <c r="AB2818" i="1"/>
  <c r="AB474" i="2"/>
  <c r="AB494" i="4"/>
  <c r="AB1593" i="2"/>
  <c r="AB1682" i="4"/>
  <c r="AB117" i="2"/>
  <c r="AB123" i="4"/>
  <c r="AB641" i="2"/>
  <c r="AB669" i="4"/>
  <c r="AB329" i="2"/>
  <c r="AB342" i="4"/>
  <c r="AB2115" i="4"/>
  <c r="AB2473" i="4"/>
  <c r="AB2488" i="4" s="1"/>
  <c r="AB2496" i="1"/>
  <c r="AA290" i="2"/>
  <c r="AA302" i="4"/>
  <c r="AB303" i="1"/>
  <c r="AB302" i="5" s="1"/>
  <c r="AB443" i="2"/>
  <c r="AB463" i="4"/>
  <c r="W776" i="2"/>
  <c r="W789" i="2" s="1"/>
  <c r="W810" i="4"/>
  <c r="W823" i="4" s="1"/>
  <c r="AA2307" i="4"/>
  <c r="AB2313" i="1"/>
  <c r="W839" i="2"/>
  <c r="W878" i="4"/>
  <c r="W895" i="1"/>
  <c r="W163" i="2"/>
  <c r="W171" i="4"/>
  <c r="W184" i="1"/>
  <c r="AB1029" i="2"/>
  <c r="AB1076" i="4"/>
  <c r="AB636" i="2"/>
  <c r="AB664" i="4"/>
  <c r="AB1533" i="2"/>
  <c r="AB1612" i="4"/>
  <c r="Z242" i="2"/>
  <c r="Z250" i="2" s="1"/>
  <c r="Z252" i="4"/>
  <c r="AB1223" i="2"/>
  <c r="AB1286" i="4"/>
  <c r="AB1752" i="2"/>
  <c r="AB1846" i="4"/>
  <c r="AB1596" i="2"/>
  <c r="AB1685" i="4"/>
  <c r="AB414" i="2"/>
  <c r="AB432" i="4"/>
  <c r="AB1691" i="2"/>
  <c r="AB1782" i="4"/>
  <c r="AB1209" i="2"/>
  <c r="AB1268" i="4"/>
  <c r="AB215" i="2"/>
  <c r="AB224" i="4"/>
  <c r="Q216" i="2"/>
  <c r="Q225" i="4"/>
  <c r="R225" i="1"/>
  <c r="R225" i="5" s="1"/>
  <c r="AB1206" i="2"/>
  <c r="AB1265" i="4"/>
  <c r="AB646" i="2"/>
  <c r="AB674" i="4"/>
  <c r="AB81" i="2"/>
  <c r="AB85" i="4"/>
  <c r="AA2333" i="4"/>
  <c r="AB2339" i="1"/>
  <c r="AB1041" i="2"/>
  <c r="AB1089" i="4"/>
  <c r="AB1107" i="1"/>
  <c r="W1297" i="2"/>
  <c r="W1306" i="2" s="1"/>
  <c r="W1366" i="4"/>
  <c r="W1375" i="4" s="1"/>
  <c r="R182" i="2"/>
  <c r="R190" i="4"/>
  <c r="AB402" i="4"/>
  <c r="AB384" i="2"/>
  <c r="AB254" i="2"/>
  <c r="AB265" i="4"/>
  <c r="AB1336" i="2"/>
  <c r="AB1406" i="4"/>
  <c r="AB1667" i="2"/>
  <c r="AB1146" i="2"/>
  <c r="AB1198" i="4"/>
  <c r="AB339" i="2"/>
  <c r="AB352" i="4"/>
  <c r="AB181" i="2"/>
  <c r="AB189" i="4"/>
  <c r="AB460" i="2"/>
  <c r="AB480" i="4"/>
  <c r="AA2698" i="4"/>
  <c r="AB2706" i="1"/>
  <c r="AB1600" i="2"/>
  <c r="AB1689" i="4"/>
  <c r="AB1144" i="2"/>
  <c r="AB1196" i="4"/>
  <c r="AB1031" i="2"/>
  <c r="AB1078" i="4"/>
  <c r="AB1355" i="2"/>
  <c r="AB1425" i="4"/>
  <c r="AB795" i="2"/>
  <c r="AB829" i="4"/>
  <c r="AA2345" i="4"/>
  <c r="AB2351" i="1"/>
  <c r="AB2345" i="5" s="1"/>
  <c r="AA2372" i="1"/>
  <c r="AA1760" i="2"/>
  <c r="AA1854" i="4"/>
  <c r="AB1858" i="1"/>
  <c r="AB1854" i="5" s="1"/>
  <c r="AB1321" i="2"/>
  <c r="AB1390" i="4"/>
  <c r="AA2274" i="4"/>
  <c r="AB2278" i="1"/>
  <c r="AB868" i="2"/>
  <c r="AB908" i="4"/>
  <c r="AB1269" i="2"/>
  <c r="AB1334" i="4"/>
  <c r="AB90" i="2"/>
  <c r="AB95" i="4"/>
  <c r="AB107" i="1"/>
  <c r="AB95" i="2"/>
  <c r="AB100" i="4"/>
  <c r="AB277" i="2"/>
  <c r="AB289" i="4"/>
  <c r="AB782" i="2"/>
  <c r="AB816" i="4"/>
  <c r="AB815" i="2"/>
  <c r="AB850" i="4"/>
  <c r="AB690" i="2"/>
  <c r="AB720" i="4"/>
  <c r="AB1264" i="2"/>
  <c r="AB1327" i="4"/>
  <c r="AB886" i="2"/>
  <c r="AB929" i="4"/>
  <c r="AB1172" i="2"/>
  <c r="AB1226" i="4"/>
  <c r="AB478" i="2"/>
  <c r="AB498" i="4"/>
  <c r="AB1444" i="2"/>
  <c r="AB1521" i="4"/>
  <c r="AB680" i="2"/>
  <c r="AB710" i="4"/>
  <c r="AB1402" i="2"/>
  <c r="AB1478" i="4"/>
  <c r="AB1371" i="2"/>
  <c r="AB1442" i="4"/>
  <c r="AB628" i="2"/>
  <c r="AB656" i="4"/>
  <c r="AB630" i="2"/>
  <c r="AB658" i="4"/>
  <c r="AB1525" i="2"/>
  <c r="AB1603" i="4"/>
  <c r="AB1267" i="2"/>
  <c r="AB1330" i="4"/>
  <c r="AB787" i="2"/>
  <c r="AB821" i="4"/>
  <c r="AB1509" i="2"/>
  <c r="AB1585" i="4"/>
  <c r="AB1456" i="2"/>
  <c r="AB1533" i="4"/>
  <c r="AA2288" i="4"/>
  <c r="AB2292" i="1"/>
  <c r="AB1119" i="2"/>
  <c r="AB1170" i="4"/>
  <c r="AB1014" i="2"/>
  <c r="AB1059" i="4"/>
  <c r="AB779" i="2"/>
  <c r="AB813" i="4"/>
  <c r="AB55" i="2"/>
  <c r="AB59" i="4"/>
  <c r="AB1051" i="2"/>
  <c r="AB1099" i="4"/>
  <c r="AA776" i="2"/>
  <c r="AA810" i="4"/>
  <c r="AB810" i="1"/>
  <c r="AB810" i="5" s="1"/>
  <c r="AB753" i="2"/>
  <c r="AB786" i="4"/>
  <c r="AB1074" i="2"/>
  <c r="AB1123" i="4"/>
  <c r="AB2062" i="4"/>
  <c r="AB2079" i="4" s="1"/>
  <c r="AB2083" i="1"/>
  <c r="AB907" i="2"/>
  <c r="AB950" i="4"/>
  <c r="AB1738" i="2"/>
  <c r="AB1830" i="4"/>
  <c r="AB1823" i="4"/>
  <c r="AB1731" i="2"/>
  <c r="AB1232" i="2"/>
  <c r="AB1295" i="4"/>
  <c r="AB699" i="2"/>
  <c r="AB729" i="4"/>
  <c r="AB1643" i="2"/>
  <c r="AB1735" i="4"/>
  <c r="AB1231" i="2"/>
  <c r="AB1294" i="4"/>
  <c r="AB1520" i="2"/>
  <c r="AB1598" i="4"/>
  <c r="AB1286" i="2"/>
  <c r="AB1351" i="4"/>
  <c r="AA1347" i="2"/>
  <c r="AA1417" i="4"/>
  <c r="AB1418" i="1"/>
  <c r="AB1417" i="5" s="1"/>
  <c r="AB1411" i="2"/>
  <c r="AB1487" i="4"/>
  <c r="Z2104" i="4"/>
  <c r="Z2116" i="1"/>
  <c r="Z883" i="2"/>
  <c r="Z898" i="2" s="1"/>
  <c r="Z941" i="1"/>
  <c r="AA1916" i="4"/>
  <c r="AB1920" i="1"/>
  <c r="AA1180" i="2"/>
  <c r="AA1185" i="2" s="1"/>
  <c r="AA1234" i="4"/>
  <c r="AA1244" i="4" s="1"/>
  <c r="AB1235" i="1"/>
  <c r="AB786" i="2"/>
  <c r="AB820" i="4"/>
  <c r="AA1208" i="2"/>
  <c r="AA1267" i="4"/>
  <c r="AB1268" i="1"/>
  <c r="AB1267" i="5" s="1"/>
  <c r="AB96" i="2"/>
  <c r="AB101" i="4"/>
  <c r="Z163" i="2"/>
  <c r="Z176" i="2" s="1"/>
  <c r="Z184" i="1"/>
  <c r="W887" i="2"/>
  <c r="W930" i="4"/>
  <c r="AB393" i="2"/>
  <c r="AB411" i="4"/>
  <c r="AB1044" i="2"/>
  <c r="AB1092" i="4"/>
  <c r="AB323" i="2"/>
  <c r="AB336" i="4"/>
  <c r="AA2572" i="2"/>
  <c r="AB2552" i="2"/>
  <c r="AB2572" i="2" s="1"/>
  <c r="AB258" i="2"/>
  <c r="AB269" i="4"/>
  <c r="AB99" i="2"/>
  <c r="AB105" i="4"/>
  <c r="AB448" i="2"/>
  <c r="AB468" i="4"/>
  <c r="AB533" i="2"/>
  <c r="AB552" i="4"/>
  <c r="AA2041" i="4"/>
  <c r="AB2045" i="1"/>
  <c r="AB2041" i="5" s="1"/>
  <c r="AA2063" i="1"/>
  <c r="AB1295" i="2"/>
  <c r="AB1360" i="4"/>
  <c r="Z1198" i="2"/>
  <c r="Z1218" i="2" s="1"/>
  <c r="Z1282" i="1"/>
  <c r="AB1625" i="4"/>
  <c r="AB1544" i="2"/>
  <c r="AA2187" i="4"/>
  <c r="AA2194" i="4" s="1"/>
  <c r="AB2191" i="1"/>
  <c r="AB645" i="2"/>
  <c r="AB673" i="4"/>
  <c r="AB1670" i="2"/>
  <c r="AB1761" i="4"/>
  <c r="W883" i="2"/>
  <c r="W926" i="4"/>
  <c r="AB1679" i="2"/>
  <c r="AB1770" i="4"/>
  <c r="AB1578" i="2"/>
  <c r="AB1664" i="4"/>
  <c r="AA2255" i="4"/>
  <c r="AB2259" i="1"/>
  <c r="AB271" i="2"/>
  <c r="AB283" i="4"/>
  <c r="AB700" i="2"/>
  <c r="AB730" i="4"/>
  <c r="AB1258" i="2"/>
  <c r="AB1321" i="4"/>
  <c r="AB1743" i="2"/>
  <c r="AB1835" i="4"/>
  <c r="AB1203" i="2"/>
  <c r="AB1262" i="4"/>
  <c r="AB2848" i="1"/>
  <c r="AA2400" i="2"/>
  <c r="AA2430" i="2" s="1"/>
  <c r="AB2385" i="2"/>
  <c r="AB2400" i="2" s="1"/>
  <c r="AB2430" i="2" s="1"/>
  <c r="AB256" i="2"/>
  <c r="AB267" i="4"/>
  <c r="AB193" i="2"/>
  <c r="AB201" i="4"/>
  <c r="AB365" i="2"/>
  <c r="AB381" i="4"/>
  <c r="AB587" i="2"/>
  <c r="AB611" i="4"/>
  <c r="W25" i="2"/>
  <c r="W41" i="2" s="1"/>
  <c r="W26" i="4"/>
  <c r="W45" i="4" s="1"/>
  <c r="W45" i="1"/>
  <c r="AB877" i="2"/>
  <c r="AB920" i="4"/>
  <c r="AB1725" i="2"/>
  <c r="AB1817" i="4"/>
  <c r="AB552" i="2"/>
  <c r="AB573" i="4"/>
  <c r="AB995" i="2"/>
  <c r="AB1040" i="4"/>
  <c r="AB74" i="2"/>
  <c r="AB78" i="4"/>
  <c r="AB388" i="2"/>
  <c r="AB406" i="4"/>
  <c r="R184" i="2"/>
  <c r="R192" i="4"/>
  <c r="AB385" i="2"/>
  <c r="AB403" i="4"/>
  <c r="AB694" i="2"/>
  <c r="AB724" i="4"/>
  <c r="AB738" i="2"/>
  <c r="AB769" i="4"/>
  <c r="AB1130" i="2"/>
  <c r="AB1181" i="4"/>
  <c r="AB16" i="2"/>
  <c r="AB16" i="4"/>
  <c r="W864" i="2"/>
  <c r="W879" i="2" s="1"/>
  <c r="W904" i="4"/>
  <c r="W922" i="4" s="1"/>
  <c r="AA1239" i="2"/>
  <c r="AA1302" i="4"/>
  <c r="AB1303" i="1"/>
  <c r="AB1302" i="5" s="1"/>
  <c r="AA1903" i="4"/>
  <c r="AB1907" i="1"/>
  <c r="AB1903" i="5" s="1"/>
  <c r="AA1926" i="1"/>
  <c r="AA1466" i="4"/>
  <c r="AB1467" i="1"/>
  <c r="AB889" i="2"/>
  <c r="AB932" i="4"/>
  <c r="AB1131" i="2"/>
  <c r="AB1182" i="4"/>
  <c r="AB2215" i="2"/>
  <c r="AB2235" i="2" s="1"/>
  <c r="AA2235" i="2"/>
  <c r="AA2314" i="2" s="1"/>
  <c r="AB698" i="2"/>
  <c r="AB728" i="4"/>
  <c r="AA278" i="2"/>
  <c r="AA290" i="4"/>
  <c r="AB291" i="1"/>
  <c r="AB290" i="5" s="1"/>
  <c r="AB312" i="5" s="1"/>
  <c r="AB371" i="2"/>
  <c r="AB387" i="4"/>
  <c r="AB1113" i="4"/>
  <c r="AB1064" i="2"/>
  <c r="AB1629" i="4"/>
  <c r="AB1548" i="2"/>
  <c r="AB1775" i="2"/>
  <c r="AB1871" i="4"/>
  <c r="AA228" i="4"/>
  <c r="AA235" i="4" s="1"/>
  <c r="AB228" i="1"/>
  <c r="AA235" i="1"/>
  <c r="AB1975" i="4"/>
  <c r="W852" i="2"/>
  <c r="W892" i="4"/>
  <c r="AB1631" i="2"/>
  <c r="AB1723" i="4"/>
  <c r="AB1740" i="1"/>
  <c r="AB292" i="2"/>
  <c r="AB304" i="4"/>
  <c r="Q207" i="2"/>
  <c r="Q216" i="4"/>
  <c r="R216" i="1"/>
  <c r="R216" i="5" s="1"/>
  <c r="AB432" i="2"/>
  <c r="AB452" i="4"/>
  <c r="AB345" i="2"/>
  <c r="AB361" i="4"/>
  <c r="AA1224" i="2"/>
  <c r="AA1287" i="4"/>
  <c r="AB1288" i="1"/>
  <c r="AA1310" i="1"/>
  <c r="AB863" i="2"/>
  <c r="AB903" i="4"/>
  <c r="AB1195" i="2"/>
  <c r="AB1254" i="4"/>
  <c r="W1347" i="2"/>
  <c r="W1417" i="4"/>
  <c r="AB1778" i="2"/>
  <c r="AB1874" i="4"/>
  <c r="AA1554" i="2"/>
  <c r="AA1556" i="2" s="1"/>
  <c r="AA1637" i="4"/>
  <c r="AA1639" i="4" s="1"/>
  <c r="AB1640" i="1"/>
  <c r="AB1637" i="5" s="1"/>
  <c r="AB336" i="2"/>
  <c r="AB349" i="4"/>
  <c r="AB421" i="2"/>
  <c r="AB441" i="4"/>
  <c r="AB1236" i="2"/>
  <c r="AB1299" i="4"/>
  <c r="AB282" i="2"/>
  <c r="AB294" i="4"/>
  <c r="AB150" i="2"/>
  <c r="AB157" i="4"/>
  <c r="AB394" i="2"/>
  <c r="AB412" i="4"/>
  <c r="AA701" i="2"/>
  <c r="AA731" i="4"/>
  <c r="AB731" i="1"/>
  <c r="AB731" i="5" s="1"/>
  <c r="AB874" i="2"/>
  <c r="AB917" i="4"/>
  <c r="AB1042" i="2"/>
  <c r="AB1090" i="4"/>
  <c r="AB1251" i="2"/>
  <c r="AB1314" i="4"/>
  <c r="Q212" i="2"/>
  <c r="Q221" i="4"/>
  <c r="R221" i="1"/>
  <c r="R221" i="5" s="1"/>
  <c r="AB232" i="2"/>
  <c r="AB242" i="4"/>
  <c r="Q208" i="2"/>
  <c r="Q217" i="4"/>
  <c r="R217" i="1"/>
  <c r="R217" i="5" s="1"/>
  <c r="AB216" i="2"/>
  <c r="AB225" i="4"/>
  <c r="AB59" i="2"/>
  <c r="AB63" i="4"/>
  <c r="AB377" i="2"/>
  <c r="AB393" i="4"/>
  <c r="AA462" i="2"/>
  <c r="AA467" i="2" s="1"/>
  <c r="AA482" i="4"/>
  <c r="AA487" i="4" s="1"/>
  <c r="AB483" i="1"/>
  <c r="AB482" i="5" s="1"/>
  <c r="AB487" i="5" s="1"/>
  <c r="AA873" i="2"/>
  <c r="AA914" i="4"/>
  <c r="AB914" i="1"/>
  <c r="AB914" i="5" s="1"/>
  <c r="Z1148" i="2"/>
  <c r="Z1160" i="2" s="1"/>
  <c r="Z1200" i="4"/>
  <c r="AA2334" i="4"/>
  <c r="AB2340" i="1"/>
  <c r="AB1253" i="2"/>
  <c r="AB1316" i="4"/>
  <c r="W1198" i="2"/>
  <c r="W1257" i="4"/>
  <c r="AB1351" i="2"/>
  <c r="AB1421" i="4"/>
  <c r="AB1529" i="2"/>
  <c r="AB1607" i="4"/>
  <c r="AB1252" i="2"/>
  <c r="AB1315" i="4"/>
  <c r="AA1777" i="2"/>
  <c r="AA1873" i="4"/>
  <c r="AB1877" i="1"/>
  <c r="AB1873" i="5" s="1"/>
  <c r="AB1706" i="2"/>
  <c r="AB1798" i="4"/>
  <c r="AB1689" i="2"/>
  <c r="AB1780" i="4"/>
  <c r="AB1547" i="2"/>
  <c r="AB1628" i="4"/>
  <c r="AA341" i="2"/>
  <c r="AA355" i="4"/>
  <c r="AB356" i="1"/>
  <c r="AB355" i="5" s="1"/>
  <c r="AB1401" i="2"/>
  <c r="AB1477" i="4"/>
  <c r="AB486" i="2"/>
  <c r="AB506" i="4"/>
  <c r="P2763" i="1"/>
  <c r="P2898" i="1"/>
  <c r="P2929" i="1" s="1"/>
  <c r="AB1016" i="2"/>
  <c r="AB1063" i="4"/>
  <c r="AB415" i="2"/>
  <c r="AB433" i="4"/>
  <c r="W1153" i="2"/>
  <c r="W1205" i="4"/>
  <c r="AB799" i="2"/>
  <c r="AB833" i="4"/>
  <c r="AB774" i="2"/>
  <c r="AB808" i="4"/>
  <c r="AA1911" i="4"/>
  <c r="AB1915" i="1"/>
  <c r="AA1944" i="4"/>
  <c r="AB1948" i="1"/>
  <c r="AB1453" i="2"/>
  <c r="AB1530" i="4"/>
  <c r="AB1488" i="2"/>
  <c r="AB1563" i="4"/>
  <c r="AB1505" i="2"/>
  <c r="AB1581" i="4"/>
  <c r="AB1794" i="2"/>
  <c r="AB1893" i="4"/>
  <c r="AA2385" i="4"/>
  <c r="AB2391" i="1"/>
  <c r="AB2385" i="5" s="1"/>
  <c r="AA2416" i="1"/>
  <c r="AB1370" i="2"/>
  <c r="AB1441" i="4"/>
  <c r="AB1665" i="2"/>
  <c r="AB1756" i="4"/>
  <c r="AA2597" i="4"/>
  <c r="AB2605" i="1"/>
  <c r="AB1077" i="2"/>
  <c r="AB1127" i="4"/>
  <c r="AB766" i="2"/>
  <c r="AB800" i="4"/>
  <c r="AB944" i="2"/>
  <c r="AB946" i="2" s="1"/>
  <c r="AB987" i="4"/>
  <c r="AB989" i="4" s="1"/>
  <c r="AB990" i="1"/>
  <c r="AB1255" i="2"/>
  <c r="AB1318" i="4"/>
  <c r="AB540" i="2"/>
  <c r="AB542" i="2" s="1"/>
  <c r="AB561" i="4"/>
  <c r="AB563" i="4" s="1"/>
  <c r="AB562" i="1"/>
  <c r="AB896" i="2"/>
  <c r="AB939" i="4"/>
  <c r="AB1372" i="2"/>
  <c r="AB1443" i="4"/>
  <c r="AB1435" i="2"/>
  <c r="AB1512" i="4"/>
  <c r="AA163" i="2"/>
  <c r="AA171" i="4"/>
  <c r="AB171" i="1"/>
  <c r="AB171" i="5" s="1"/>
  <c r="AA184" i="1"/>
  <c r="AB397" i="2"/>
  <c r="AB415" i="4"/>
  <c r="AB18" i="2"/>
  <c r="AB18" i="4"/>
  <c r="AB335" i="2"/>
  <c r="AB348" i="4"/>
  <c r="W737" i="2"/>
  <c r="W748" i="2" s="1"/>
  <c r="W768" i="4"/>
  <c r="W781" i="4" s="1"/>
  <c r="Z408" i="2"/>
  <c r="Z426" i="2" s="1"/>
  <c r="Z426" i="4"/>
  <c r="Z447" i="1"/>
  <c r="AB104" i="2"/>
  <c r="AB110" i="4"/>
  <c r="AB130" i="1"/>
  <c r="AB326" i="2"/>
  <c r="AB339" i="4"/>
  <c r="AB521" i="2"/>
  <c r="AB540" i="4"/>
  <c r="AB2453" i="4"/>
  <c r="AB2470" i="4" s="1"/>
  <c r="AB2478" i="1"/>
  <c r="AB1722" i="2"/>
  <c r="AB1814" i="4"/>
  <c r="AB1023" i="2"/>
  <c r="AB1070" i="4"/>
  <c r="AA781" i="2"/>
  <c r="AA815" i="4"/>
  <c r="AB815" i="1"/>
  <c r="AB984" i="2"/>
  <c r="AB1029" i="4"/>
  <c r="AB745" i="2"/>
  <c r="AB778" i="4"/>
  <c r="AA2146" i="4"/>
  <c r="AB2150" i="1"/>
  <c r="AA2527" i="4"/>
  <c r="AB2535" i="1"/>
  <c r="W534" i="2"/>
  <c r="W537" i="2" s="1"/>
  <c r="W553" i="4"/>
  <c r="W558" i="4" s="1"/>
  <c r="AB556" i="2"/>
  <c r="AB577" i="4"/>
  <c r="AB751" i="2"/>
  <c r="AB784" i="4"/>
  <c r="AB1287" i="2"/>
  <c r="AB1352" i="4"/>
  <c r="AB156" i="2"/>
  <c r="AB164" i="4"/>
  <c r="AB1269" i="4"/>
  <c r="AB1210" i="2"/>
  <c r="AB1495" i="2"/>
  <c r="AB1571" i="4"/>
  <c r="AB1595" i="1"/>
  <c r="AB2815" i="1"/>
  <c r="AB1387" i="2"/>
  <c r="AB1458" i="4"/>
  <c r="AB2813" i="1"/>
  <c r="AB780" i="2"/>
  <c r="AB814" i="4"/>
  <c r="AA2055" i="4"/>
  <c r="AB2059" i="1"/>
  <c r="AB1582" i="2"/>
  <c r="AB1668" i="4"/>
  <c r="AA1292" i="2"/>
  <c r="AA1357" i="4"/>
  <c r="AB1358" i="1"/>
  <c r="AB1357" i="5" s="1"/>
  <c r="AB1715" i="2"/>
  <c r="AB1807" i="4"/>
  <c r="AB1713" i="2"/>
  <c r="AB1805" i="4"/>
  <c r="AB1824" i="1"/>
  <c r="AB649" i="2"/>
  <c r="AB677" i="4"/>
  <c r="AA939" i="2"/>
  <c r="AA941" i="2" s="1"/>
  <c r="AA982" i="4"/>
  <c r="AA984" i="4" s="1"/>
  <c r="AB983" i="1"/>
  <c r="AB982" i="5" s="1"/>
  <c r="AB1511" i="2"/>
  <c r="AB1587" i="4"/>
  <c r="Z1180" i="2"/>
  <c r="Z1185" i="2" s="1"/>
  <c r="Z1234" i="4"/>
  <c r="W2653" i="2"/>
  <c r="W1589" i="2"/>
  <c r="AB1447" i="2"/>
  <c r="AB1524" i="4"/>
  <c r="W1320" i="2"/>
  <c r="W1389" i="4"/>
  <c r="AB657" i="2"/>
  <c r="AB687" i="4"/>
  <c r="AB1178" i="2"/>
  <c r="AB1232" i="4"/>
  <c r="AA242" i="2"/>
  <c r="AA250" i="2" s="1"/>
  <c r="AA252" i="4"/>
  <c r="AA261" i="4" s="1"/>
  <c r="AB253" i="1"/>
  <c r="AB643" i="2"/>
  <c r="AB671" i="4"/>
  <c r="AB1543" i="2"/>
  <c r="AB1624" i="4"/>
  <c r="AB417" i="2"/>
  <c r="AB435" i="4"/>
  <c r="AA331" i="2"/>
  <c r="AA344" i="4"/>
  <c r="AB345" i="1"/>
  <c r="Z1153" i="2"/>
  <c r="Z1205" i="4"/>
  <c r="AB621" i="2"/>
  <c r="AB649" i="4"/>
  <c r="AB661" i="1"/>
  <c r="AB1289" i="2"/>
  <c r="AB1354" i="4"/>
  <c r="AA1941" i="4"/>
  <c r="AB1945" i="1"/>
  <c r="AB1623" i="2"/>
  <c r="AB1715" i="4"/>
  <c r="AB442" i="2"/>
  <c r="AB462" i="4"/>
  <c r="AB958" i="2"/>
  <c r="AB1001" i="4"/>
  <c r="AA2019" i="4"/>
  <c r="AB2023" i="1"/>
  <c r="AB1365" i="2"/>
  <c r="AB1436" i="4"/>
  <c r="AA2512" i="4"/>
  <c r="AB2520" i="1"/>
  <c r="AB189" i="2"/>
  <c r="AB197" i="4"/>
  <c r="AA534" i="2"/>
  <c r="AA537" i="2" s="1"/>
  <c r="AA553" i="4"/>
  <c r="AA558" i="4" s="1"/>
  <c r="AB554" i="1"/>
  <c r="AA820" i="2"/>
  <c r="AA855" i="4"/>
  <c r="AB855" i="1"/>
  <c r="AB855" i="5" s="1"/>
  <c r="AB1214" i="2"/>
  <c r="AB1274" i="4"/>
  <c r="AA2606" i="4"/>
  <c r="AB2614" i="1"/>
  <c r="AA1378" i="2"/>
  <c r="AA1449" i="4"/>
  <c r="AB1450" i="1"/>
  <c r="AB1449" i="5" s="1"/>
  <c r="AB1740" i="2"/>
  <c r="AB1832" i="4"/>
  <c r="AA1126" i="4"/>
  <c r="AA1129" i="4" s="1"/>
  <c r="AB1127" i="1"/>
  <c r="AB1594" i="2"/>
  <c r="AB1683" i="4"/>
  <c r="AB1790" i="2"/>
  <c r="AB1889" i="4"/>
  <c r="AA2213" i="4"/>
  <c r="AB2217" i="1"/>
  <c r="AA2007" i="4"/>
  <c r="AB2011" i="1"/>
  <c r="AB2851" i="1"/>
  <c r="AB862" i="2"/>
  <c r="AB902" i="4"/>
  <c r="AB1126" i="2"/>
  <c r="AB1177" i="4"/>
  <c r="AA1322" i="2"/>
  <c r="AA1391" i="4"/>
  <c r="AB1392" i="1"/>
  <c r="AB1391" i="5" s="1"/>
  <c r="AB850" i="2"/>
  <c r="AB889" i="4"/>
  <c r="AA1353" i="2"/>
  <c r="AA1423" i="4"/>
  <c r="AB1424" i="1"/>
  <c r="AB1423" i="5" s="1"/>
  <c r="AB1655" i="2"/>
  <c r="AB1746" i="4"/>
  <c r="AA650" i="2"/>
  <c r="AA678" i="4"/>
  <c r="AB678" i="1"/>
  <c r="AB678" i="5" s="1"/>
  <c r="AB1030" i="2"/>
  <c r="AB1077" i="4"/>
  <c r="AB1328" i="2"/>
  <c r="AB1398" i="4"/>
  <c r="AB1199" i="2"/>
  <c r="AB1258" i="4"/>
  <c r="AB1309" i="2"/>
  <c r="AB1378" i="4"/>
  <c r="AB272" i="2"/>
  <c r="AB284" i="4"/>
  <c r="AB806" i="2"/>
  <c r="AB841" i="4"/>
  <c r="AB1212" i="2"/>
  <c r="AB1271" i="4"/>
  <c r="AB654" i="2"/>
  <c r="AB682" i="4"/>
  <c r="AA2135" i="4"/>
  <c r="AB2139" i="1"/>
  <c r="AA2306" i="4"/>
  <c r="AB2312" i="1"/>
  <c r="AB1335" i="2"/>
  <c r="AB1405" i="4"/>
  <c r="R197" i="2"/>
  <c r="R206" i="4"/>
  <c r="AB757" i="2"/>
  <c r="AB790" i="4"/>
  <c r="AB1339" i="2"/>
  <c r="AB1409" i="4"/>
  <c r="AB752" i="2"/>
  <c r="AB785" i="4"/>
  <c r="AB1475" i="2"/>
  <c r="AB1550" i="4"/>
  <c r="AB851" i="2"/>
  <c r="AB891" i="4"/>
  <c r="AB138" i="2"/>
  <c r="AB145" i="4"/>
  <c r="AA1680" i="2"/>
  <c r="AA1693" i="2" s="1"/>
  <c r="AA1771" i="4"/>
  <c r="AA1784" i="4" s="1"/>
  <c r="AB1775" i="1"/>
  <c r="AB1771" i="5" s="1"/>
  <c r="AB1784" i="5" s="1"/>
  <c r="AB188" i="2"/>
  <c r="AB196" i="4"/>
  <c r="W2541" i="4"/>
  <c r="W2565" i="4" s="1"/>
  <c r="W2841" i="1"/>
  <c r="W2573" i="1"/>
  <c r="AB1499" i="2"/>
  <c r="AB1575" i="4"/>
  <c r="AB190" i="2"/>
  <c r="AB198" i="4"/>
  <c r="AB279" i="2"/>
  <c r="AB291" i="4"/>
  <c r="AB288" i="2"/>
  <c r="AB300" i="4"/>
  <c r="AB1121" i="2"/>
  <c r="AB1172" i="4"/>
  <c r="AB1518" i="2"/>
  <c r="AB1596" i="4"/>
  <c r="AB1621" i="1"/>
  <c r="AA2605" i="4"/>
  <c r="AB2613" i="1"/>
  <c r="AA2697" i="4"/>
  <c r="AB2705" i="1"/>
  <c r="AB1377" i="2"/>
  <c r="AB1448" i="4"/>
  <c r="AB1567" i="2"/>
  <c r="AB1650" i="4"/>
  <c r="AB2802" i="1"/>
  <c r="AB1482" i="2"/>
  <c r="AB1557" i="4"/>
  <c r="AB954" i="2"/>
  <c r="AB997" i="4"/>
  <c r="AA1357" i="2"/>
  <c r="AA1427" i="4"/>
  <c r="AB1428" i="1"/>
  <c r="AB1427" i="5" s="1"/>
  <c r="AB927" i="2"/>
  <c r="AB969" i="4"/>
  <c r="AB1772" i="2"/>
  <c r="AB1868" i="4"/>
  <c r="AB1316" i="2"/>
  <c r="AB1385" i="4"/>
  <c r="AB1754" i="2"/>
  <c r="AB1848" i="4"/>
  <c r="AA2507" i="4"/>
  <c r="AB2515" i="1"/>
  <c r="AA2225" i="4"/>
  <c r="AB2229" i="1"/>
  <c r="X911" i="2"/>
  <c r="X913" i="2" s="1"/>
  <c r="Z954" i="1"/>
  <c r="X956" i="1"/>
  <c r="X961" i="1" s="1"/>
  <c r="X2906" i="1" s="1"/>
  <c r="Q911" i="2"/>
  <c r="Q913" i="2" s="1"/>
  <c r="Q954" i="4"/>
  <c r="Q956" i="4" s="1"/>
  <c r="Q956" i="1"/>
  <c r="Q961" i="1" s="1"/>
  <c r="Q2906" i="1" s="1"/>
  <c r="AB1476" i="4"/>
  <c r="AB1400" i="2"/>
  <c r="AB816" i="2"/>
  <c r="AB851" i="4"/>
  <c r="W1097" i="2"/>
  <c r="W1147" i="4"/>
  <c r="W1167" i="1"/>
  <c r="W500" i="4"/>
  <c r="AA453" i="2"/>
  <c r="W522" i="4"/>
  <c r="W149" i="4"/>
  <c r="Z1514" i="2"/>
  <c r="AA457" i="4"/>
  <c r="Z588" i="1"/>
  <c r="V1739" i="4"/>
  <c r="V2915" i="4" s="1"/>
  <c r="AA968" i="2"/>
  <c r="AA1605" i="2"/>
  <c r="J299" i="2"/>
  <c r="W1129" i="4"/>
  <c r="M615" i="2"/>
  <c r="M2728" i="2" s="1"/>
  <c r="E2597" i="2"/>
  <c r="AB420" i="1"/>
  <c r="Z1617" i="2"/>
  <c r="Z353" i="2"/>
  <c r="AB1130" i="1"/>
  <c r="AA224" i="2"/>
  <c r="V1246" i="2"/>
  <c r="V2652" i="2"/>
  <c r="AA545" i="4"/>
  <c r="W984" i="4"/>
  <c r="W986" i="4" s="1"/>
  <c r="W1967" i="2"/>
  <c r="W2740" i="2" s="1"/>
  <c r="AA473" i="4"/>
  <c r="X2732" i="2"/>
  <c r="Z2732" i="2" s="1"/>
  <c r="M2262" i="4"/>
  <c r="U132" i="4"/>
  <c r="Z158" i="2"/>
  <c r="AA2167" i="2"/>
  <c r="V1214" i="4"/>
  <c r="M2298" i="1"/>
  <c r="M2918" i="1" s="1"/>
  <c r="M1190" i="4"/>
  <c r="M2911" i="4" s="1"/>
  <c r="Z1144" i="1"/>
  <c r="AA823" i="1"/>
  <c r="Z1592" i="4"/>
  <c r="AA535" i="4"/>
  <c r="W1282" i="1"/>
  <c r="Z1464" i="2"/>
  <c r="W1628" i="2"/>
  <c r="U2886" i="4"/>
  <c r="V615" i="2"/>
  <c r="Z1434" i="1"/>
  <c r="U1865" i="2"/>
  <c r="U2738" i="2" s="1"/>
  <c r="AA101" i="2"/>
  <c r="Z661" i="2"/>
  <c r="H2929" i="1"/>
  <c r="Z320" i="2"/>
  <c r="AA1013" i="4"/>
  <c r="S2753" i="2"/>
  <c r="W1592" i="4"/>
  <c r="M2454" i="1"/>
  <c r="M2920" i="1" s="1"/>
  <c r="Z1769" i="2"/>
  <c r="W2037" i="4"/>
  <c r="W549" i="2"/>
  <c r="X1647" i="2"/>
  <c r="Z237" i="1"/>
  <c r="Z2900" i="1" s="1"/>
  <c r="W661" i="4"/>
  <c r="M1218" i="2"/>
  <c r="W1537" i="2"/>
  <c r="W2647" i="2"/>
  <c r="W437" i="2"/>
  <c r="W2750" i="4"/>
  <c r="AA1642" i="1"/>
  <c r="AA1697" i="4"/>
  <c r="AA1628" i="2"/>
  <c r="Z2616" i="1"/>
  <c r="W2666" i="2"/>
  <c r="AB2712" i="1"/>
  <c r="W2616" i="1"/>
  <c r="J1306" i="2"/>
  <c r="Z1332" i="2"/>
  <c r="J2448" i="4"/>
  <c r="J2923" i="4" s="1"/>
  <c r="AB2198" i="1"/>
  <c r="Z1376" i="1"/>
  <c r="AA2085" i="1"/>
  <c r="AA2916" i="1" s="1"/>
  <c r="AA1018" i="2"/>
  <c r="Z380" i="2"/>
  <c r="Z872" i="1"/>
  <c r="U1137" i="2"/>
  <c r="U2732" i="2" s="1"/>
  <c r="Z1472" i="1"/>
  <c r="AA2712" i="1"/>
  <c r="W1079" i="2"/>
  <c r="AA1004" i="2"/>
  <c r="Z1800" i="2"/>
  <c r="Z1749" i="2"/>
  <c r="AB682" i="2"/>
  <c r="AB712" i="4"/>
  <c r="AB367" i="2"/>
  <c r="AB383" i="4"/>
  <c r="AB678" i="2"/>
  <c r="AB708" i="4"/>
  <c r="AA2136" i="4"/>
  <c r="AB2140" i="1"/>
  <c r="AA2278" i="4"/>
  <c r="AB2282" i="1"/>
  <c r="AB213" i="2"/>
  <c r="AB222" i="4"/>
  <c r="AB1230" i="2"/>
  <c r="AB1293" i="4"/>
  <c r="AA1459" i="2"/>
  <c r="AA1464" i="2" s="1"/>
  <c r="AA1536" i="4"/>
  <c r="AA1541" i="4" s="1"/>
  <c r="AB1537" i="1"/>
  <c r="Q194" i="2"/>
  <c r="Q203" i="4"/>
  <c r="R203" i="1"/>
  <c r="R203" i="5" s="1"/>
  <c r="AB840" i="2"/>
  <c r="AB879" i="4"/>
  <c r="AA1297" i="2"/>
  <c r="AA1366" i="4"/>
  <c r="AB1367" i="1"/>
  <c r="R205" i="2"/>
  <c r="R214" i="4"/>
  <c r="AB274" i="2"/>
  <c r="AB286" i="4"/>
  <c r="AB392" i="2"/>
  <c r="AB410" i="4"/>
  <c r="AB446" i="2"/>
  <c r="AB466" i="4"/>
  <c r="AB1441" i="2"/>
  <c r="AB1518" i="4"/>
  <c r="AB2431" i="4"/>
  <c r="AB2446" i="4" s="1"/>
  <c r="AB2452" i="1"/>
  <c r="AB2847" i="1"/>
  <c r="AB1530" i="2"/>
  <c r="AB1608" i="4"/>
  <c r="AB1082" i="2"/>
  <c r="AB1132" i="4"/>
  <c r="AB702" i="2"/>
  <c r="AB732" i="4"/>
  <c r="AB842" i="2"/>
  <c r="AB881" i="4"/>
  <c r="AB17" i="2"/>
  <c r="AB17" i="4"/>
  <c r="AB1035" i="2"/>
  <c r="AB1083" i="4"/>
  <c r="AB51" i="2"/>
  <c r="AB55" i="4"/>
  <c r="AB2505" i="2"/>
  <c r="AB2509" i="2" s="1"/>
  <c r="AB2511" i="2" s="1"/>
  <c r="AA2509" i="2"/>
  <c r="AA2511" i="2" s="1"/>
  <c r="AB357" i="2"/>
  <c r="AB373" i="4"/>
  <c r="AB591" i="2"/>
  <c r="AB615" i="4"/>
  <c r="AB546" i="2"/>
  <c r="AB567" i="4"/>
  <c r="AB570" i="4" s="1"/>
  <c r="AB1205" i="2"/>
  <c r="AB1264" i="4"/>
  <c r="AB1602" i="4"/>
  <c r="AB1524" i="2"/>
  <c r="AB1348" i="2"/>
  <c r="AB1418" i="4"/>
  <c r="AB1687" i="2"/>
  <c r="AB1778" i="4"/>
  <c r="AB115" i="2"/>
  <c r="AB121" i="4"/>
  <c r="AB773" i="2"/>
  <c r="AB807" i="4"/>
  <c r="AB1124" i="2"/>
  <c r="AB1175" i="4"/>
  <c r="W2518" i="4"/>
  <c r="W2535" i="4" s="1"/>
  <c r="W2543" i="1"/>
  <c r="AB801" i="2"/>
  <c r="AB835" i="4"/>
  <c r="Z1118" i="2"/>
  <c r="Z1135" i="2" s="1"/>
  <c r="Z1188" i="1"/>
  <c r="AB1422" i="4"/>
  <c r="AB1352" i="2"/>
  <c r="AB1497" i="2"/>
  <c r="AB1573" i="4"/>
  <c r="AB1788" i="2"/>
  <c r="AB1884" i="4"/>
  <c r="AB642" i="2"/>
  <c r="AB670" i="4"/>
  <c r="AB1279" i="2"/>
  <c r="AB1344" i="4"/>
  <c r="AB1486" i="4"/>
  <c r="AB1410" i="2"/>
  <c r="AB1147" i="2"/>
  <c r="AB1199" i="4"/>
  <c r="P2932" i="4"/>
  <c r="AB672" i="2"/>
  <c r="AB702" i="4"/>
  <c r="AB2807" i="1"/>
  <c r="R214" i="2"/>
  <c r="R223" i="4"/>
  <c r="R185" i="2"/>
  <c r="R193" i="4"/>
  <c r="AB1323" i="2"/>
  <c r="AB1392" i="4"/>
  <c r="AA1736" i="2"/>
  <c r="AA1749" i="2" s="1"/>
  <c r="AA1828" i="4"/>
  <c r="AA1843" i="4" s="1"/>
  <c r="AB1832" i="1"/>
  <c r="AB2321" i="4"/>
  <c r="AA1927" i="4"/>
  <c r="AB1931" i="1"/>
  <c r="AB1165" i="2"/>
  <c r="AB1219" i="4"/>
  <c r="AA2639" i="4"/>
  <c r="AA2666" i="1"/>
  <c r="AA2668" i="1" s="1"/>
  <c r="AA2924" i="1" s="1"/>
  <c r="AB2647" i="1"/>
  <c r="AB2639" i="5" s="1"/>
  <c r="AB1632" i="2"/>
  <c r="AB1724" i="4"/>
  <c r="AA1787" i="2"/>
  <c r="AA1883" i="4"/>
  <c r="AB1887" i="1"/>
  <c r="AB691" i="2"/>
  <c r="AB721" i="4"/>
  <c r="AA1985" i="4"/>
  <c r="AA1987" i="4" s="1"/>
  <c r="AB1989" i="1"/>
  <c r="AA1428" i="4"/>
  <c r="AB1429" i="1"/>
  <c r="AB430" i="2"/>
  <c r="AB450" i="4"/>
  <c r="AB187" i="2"/>
  <c r="AB195" i="4"/>
  <c r="AB1553" i="2"/>
  <c r="AB1635" i="4"/>
  <c r="AB1368" i="2"/>
  <c r="AB1439" i="4"/>
  <c r="AB1388" i="2"/>
  <c r="AB1460" i="4"/>
  <c r="AA2528" i="4"/>
  <c r="AB2536" i="1"/>
  <c r="Q189" i="2"/>
  <c r="Q197" i="4"/>
  <c r="R197" i="1"/>
  <c r="R197" i="5" s="1"/>
  <c r="AB1293" i="2"/>
  <c r="AB1358" i="4"/>
  <c r="AB1228" i="2"/>
  <c r="AB1291" i="4"/>
  <c r="AB1405" i="2"/>
  <c r="AB1481" i="4"/>
  <c r="AB1237" i="2"/>
  <c r="AB1300" i="4"/>
  <c r="AB235" i="2"/>
  <c r="AB245" i="4"/>
  <c r="AB408" i="2"/>
  <c r="AB426" i="4"/>
  <c r="AB447" i="1"/>
  <c r="AA823" i="2"/>
  <c r="AA858" i="4"/>
  <c r="AB858" i="1"/>
  <c r="AB858" i="5" s="1"/>
  <c r="AA586" i="4"/>
  <c r="AB585" i="1"/>
  <c r="AB1747" i="2"/>
  <c r="AB1841" i="4"/>
  <c r="AB1227" i="2"/>
  <c r="AB1290" i="4"/>
  <c r="AB991" i="2"/>
  <c r="AB1036" i="4"/>
  <c r="AB1050" i="1"/>
  <c r="AB674" i="2"/>
  <c r="AB704" i="4"/>
  <c r="AB697" i="2"/>
  <c r="AB727" i="4"/>
  <c r="AB35" i="2"/>
  <c r="AB36" i="4"/>
  <c r="AA839" i="2"/>
  <c r="AA878" i="4"/>
  <c r="AB878" i="1"/>
  <c r="AB878" i="5" s="1"/>
  <c r="AB895" i="5" s="1"/>
  <c r="AA804" i="2"/>
  <c r="AA809" i="2" s="1"/>
  <c r="AA838" i="4"/>
  <c r="AA844" i="4" s="1"/>
  <c r="AB838" i="1"/>
  <c r="AB838" i="5" s="1"/>
  <c r="AB732" i="2"/>
  <c r="AB763" i="4"/>
  <c r="AB314" i="2"/>
  <c r="AB327" i="4"/>
  <c r="AB15" i="2"/>
  <c r="AB15" i="4"/>
  <c r="AB1048" i="2"/>
  <c r="AB1096" i="4"/>
  <c r="E2753" i="2"/>
  <c r="AB1674" i="2"/>
  <c r="AB1765" i="4"/>
  <c r="AB85" i="2"/>
  <c r="AB90" i="4"/>
  <c r="AB260" i="2"/>
  <c r="AB271" i="4"/>
  <c r="AB451" i="2"/>
  <c r="AB471" i="4"/>
  <c r="AB589" i="2"/>
  <c r="AB613" i="4"/>
  <c r="AB2545" i="2"/>
  <c r="AB2549" i="2" s="1"/>
  <c r="AA2549" i="2"/>
  <c r="AA2594" i="2" s="1"/>
  <c r="AB875" i="2"/>
  <c r="AB918" i="4"/>
  <c r="AA2120" i="4"/>
  <c r="AB2124" i="1"/>
  <c r="AB1586" i="2"/>
  <c r="AB1675" i="4"/>
  <c r="AA2740" i="4"/>
  <c r="AA2750" i="4" s="1"/>
  <c r="AB2748" i="1"/>
  <c r="AA2329" i="4"/>
  <c r="AB2335" i="1"/>
  <c r="AB865" i="2"/>
  <c r="AB905" i="4"/>
  <c r="AB1925" i="4"/>
  <c r="W1204" i="2"/>
  <c r="W1263" i="4"/>
  <c r="AB1367" i="2"/>
  <c r="AB1438" i="4"/>
  <c r="AB532" i="2"/>
  <c r="AB551" i="4"/>
  <c r="AB778" i="2"/>
  <c r="AB812" i="4"/>
  <c r="AB1091" i="2"/>
  <c r="AB1141" i="4"/>
  <c r="AB1672" i="2"/>
  <c r="AB1763" i="4"/>
  <c r="AB1265" i="2"/>
  <c r="AB1328" i="4"/>
  <c r="AB756" i="2"/>
  <c r="AB789" i="4"/>
  <c r="AA1360" i="2"/>
  <c r="AA1431" i="4"/>
  <c r="AB1432" i="1"/>
  <c r="AB1431" i="5" s="1"/>
  <c r="AA2723" i="4"/>
  <c r="AB2731" i="1"/>
  <c r="AA1929" i="4"/>
  <c r="AB1933" i="1"/>
  <c r="AB935" i="2"/>
  <c r="AB977" i="4"/>
  <c r="AB180" i="2"/>
  <c r="AB188" i="4"/>
  <c r="Q188" i="2"/>
  <c r="Q196" i="4"/>
  <c r="R196" i="1"/>
  <c r="R196" i="5" s="1"/>
  <c r="AB291" i="2"/>
  <c r="AB303" i="4"/>
  <c r="AB369" i="2"/>
  <c r="AB385" i="4"/>
  <c r="AB431" i="2"/>
  <c r="AB451" i="4"/>
  <c r="AB704" i="2"/>
  <c r="AB734" i="4"/>
  <c r="Z776" i="2"/>
  <c r="Z789" i="2" s="1"/>
  <c r="Z823" i="1"/>
  <c r="AA1938" i="4"/>
  <c r="AB1942" i="1"/>
  <c r="AB1383" i="2"/>
  <c r="AB1454" i="4"/>
  <c r="AB1758" i="2"/>
  <c r="AB1852" i="4"/>
  <c r="W1554" i="2"/>
  <c r="W1556" i="2" s="1"/>
  <c r="W1637" i="4"/>
  <c r="W1639" i="4" s="1"/>
  <c r="AA318" i="2"/>
  <c r="AA331" i="4"/>
  <c r="AB332" i="1"/>
  <c r="AB331" i="5" s="1"/>
  <c r="AB62" i="2"/>
  <c r="AB66" i="4"/>
  <c r="AB629" i="2"/>
  <c r="AB657" i="4"/>
  <c r="AB91" i="2"/>
  <c r="AB96" i="4"/>
  <c r="AB364" i="2"/>
  <c r="AB380" i="4"/>
  <c r="AB84" i="2"/>
  <c r="AB89" i="4"/>
  <c r="AB651" i="2"/>
  <c r="AB679" i="4"/>
  <c r="AB882" i="2"/>
  <c r="AB925" i="4"/>
  <c r="AA887" i="2"/>
  <c r="AA930" i="4"/>
  <c r="AB930" i="1"/>
  <c r="AB930" i="5" s="1"/>
  <c r="AA2122" i="4"/>
  <c r="AB2126" i="1"/>
  <c r="AB1093" i="4"/>
  <c r="AB1045" i="2"/>
  <c r="AB576" i="2"/>
  <c r="AB600" i="4"/>
  <c r="AB1128" i="2"/>
  <c r="AB1179" i="4"/>
  <c r="AB340" i="2"/>
  <c r="AB353" i="4"/>
  <c r="AB590" i="2"/>
  <c r="AB614" i="4"/>
  <c r="AB593" i="2"/>
  <c r="AB617" i="4"/>
  <c r="W2041" i="4"/>
  <c r="W2059" i="4" s="1"/>
  <c r="W2063" i="1"/>
  <c r="AB519" i="2"/>
  <c r="AB538" i="4"/>
  <c r="AB546" i="1"/>
  <c r="AB1225" i="2"/>
  <c r="AB1288" i="4"/>
  <c r="AB885" i="2"/>
  <c r="AB928" i="4"/>
  <c r="AB346" i="2"/>
  <c r="AB362" i="4"/>
  <c r="AA1257" i="2"/>
  <c r="AA1274" i="2" s="1"/>
  <c r="AA1320" i="4"/>
  <c r="AA1339" i="4" s="1"/>
  <c r="AB1321" i="1"/>
  <c r="AB1320" i="5" s="1"/>
  <c r="AB1339" i="5" s="1"/>
  <c r="AB760" i="2"/>
  <c r="AB793" i="4"/>
  <c r="AB1681" i="2"/>
  <c r="AB1772" i="4"/>
  <c r="AB1327" i="2"/>
  <c r="AB1397" i="4"/>
  <c r="AB366" i="2"/>
  <c r="AB382" i="4"/>
  <c r="AB342" i="2"/>
  <c r="AB356" i="4"/>
  <c r="AB435" i="2"/>
  <c r="AB455" i="4"/>
  <c r="AB588" i="2"/>
  <c r="AB612" i="4"/>
  <c r="AB603" i="2"/>
  <c r="AB628" i="4"/>
  <c r="AB637" i="1"/>
  <c r="AA25" i="2"/>
  <c r="AA41" i="2" s="1"/>
  <c r="AA26" i="4"/>
  <c r="AA45" i="4" s="1"/>
  <c r="AA45" i="1"/>
  <c r="AB26" i="1"/>
  <c r="AB26" i="5" s="1"/>
  <c r="AB522" i="2"/>
  <c r="AB541" i="4"/>
  <c r="AB1235" i="2"/>
  <c r="AB1298" i="4"/>
  <c r="AB1429" i="2"/>
  <c r="AB1506" i="4"/>
  <c r="AB1737" i="2"/>
  <c r="AB1829" i="4"/>
  <c r="Q2914" i="1"/>
  <c r="Q2830" i="1"/>
  <c r="AB344" i="2"/>
  <c r="AB360" i="4"/>
  <c r="AB535" i="2"/>
  <c r="AB554" i="4"/>
  <c r="AA2253" i="4"/>
  <c r="AB2257" i="1"/>
  <c r="AB1296" i="2"/>
  <c r="AB1363" i="4"/>
  <c r="AB222" i="2"/>
  <c r="AB233" i="4"/>
  <c r="AB106" i="2"/>
  <c r="AB112" i="4"/>
  <c r="AB743" i="2"/>
  <c r="AB774" i="4"/>
  <c r="AB205" i="2"/>
  <c r="AB214" i="4"/>
  <c r="AA174" i="2"/>
  <c r="AA182" i="4"/>
  <c r="AB182" i="1"/>
  <c r="AB182" i="5" s="1"/>
  <c r="AB183" i="2"/>
  <c r="AB191" i="4"/>
  <c r="AB1046" i="2"/>
  <c r="AB1094" i="4"/>
  <c r="AB1749" i="4"/>
  <c r="AB1658" i="2"/>
  <c r="AB328" i="2"/>
  <c r="AB341" i="4"/>
  <c r="AB68" i="2"/>
  <c r="AB72" i="4"/>
  <c r="AB305" i="2"/>
  <c r="AB318" i="4"/>
  <c r="AB531" i="2"/>
  <c r="AB550" i="4"/>
  <c r="AB870" i="2"/>
  <c r="AB910" i="4"/>
  <c r="W1148" i="2"/>
  <c r="W1160" i="2" s="1"/>
  <c r="W1200" i="4"/>
  <c r="W1215" i="1"/>
  <c r="Z2120" i="4"/>
  <c r="Z2142" i="1"/>
  <c r="AA2541" i="4"/>
  <c r="AA2565" i="4" s="1"/>
  <c r="AA2573" i="1"/>
  <c r="AB2549" i="1"/>
  <c r="AB2541" i="5" s="1"/>
  <c r="AB2565" i="5" s="1"/>
  <c r="AB596" i="2"/>
  <c r="AB620" i="4"/>
  <c r="AB1213" i="2"/>
  <c r="AB1272" i="4"/>
  <c r="AB1546" i="2"/>
  <c r="AB1627" i="4"/>
  <c r="AA915" i="4"/>
  <c r="AB915" i="1"/>
  <c r="AB54" i="2"/>
  <c r="AB58" i="4"/>
  <c r="AB1676" i="4"/>
  <c r="AB1587" i="2"/>
  <c r="AB284" i="2"/>
  <c r="AB296" i="4"/>
  <c r="AB248" i="2"/>
  <c r="AB259" i="4"/>
  <c r="AB238" i="2"/>
  <c r="AB248" i="4"/>
  <c r="AA737" i="2"/>
  <c r="AA748" i="2" s="1"/>
  <c r="AA768" i="4"/>
  <c r="AA781" i="4" s="1"/>
  <c r="AB768" i="1"/>
  <c r="AB768" i="5" s="1"/>
  <c r="AB399" i="2"/>
  <c r="AB417" i="4"/>
  <c r="AB561" i="2"/>
  <c r="AB582" i="4"/>
  <c r="W408" i="2"/>
  <c r="W426" i="2" s="1"/>
  <c r="W426" i="4"/>
  <c r="W446" i="4" s="1"/>
  <c r="W447" i="1"/>
  <c r="Q211" i="2"/>
  <c r="Q220" i="4"/>
  <c r="R220" i="1"/>
  <c r="R220" i="5" s="1"/>
  <c r="AB1391" i="2"/>
  <c r="AB1463" i="4"/>
  <c r="AB1067" i="2"/>
  <c r="AB1116" i="4"/>
  <c r="AB429" i="2"/>
  <c r="AB449" i="4"/>
  <c r="AB458" i="1"/>
  <c r="AB734" i="2"/>
  <c r="AB765" i="4"/>
  <c r="AB853" i="2"/>
  <c r="AB893" i="4"/>
  <c r="AA2406" i="4"/>
  <c r="AB2412" i="1"/>
  <c r="AB2819" i="1"/>
  <c r="AB742" i="2"/>
  <c r="AB773" i="4"/>
  <c r="AB1259" i="2"/>
  <c r="AB1322" i="4"/>
  <c r="AA2392" i="4"/>
  <c r="AB2398" i="1"/>
  <c r="AB1119" i="4"/>
  <c r="AB1070" i="2"/>
  <c r="Z1585" i="2"/>
  <c r="Z1589" i="2" s="1"/>
  <c r="Z1672" i="4"/>
  <c r="AA2649" i="4"/>
  <c r="AB2657" i="1"/>
  <c r="AB1382" i="2"/>
  <c r="AB1453" i="4"/>
  <c r="AB1595" i="2"/>
  <c r="AB1684" i="4"/>
  <c r="AB1152" i="2"/>
  <c r="AB1204" i="4"/>
  <c r="AA2335" i="4"/>
  <c r="AB2341" i="1"/>
  <c r="AB1202" i="2"/>
  <c r="AB1261" i="4"/>
  <c r="AB1800" i="4"/>
  <c r="AB1708" i="2"/>
  <c r="Z939" i="2"/>
  <c r="Z941" i="2" s="1"/>
  <c r="Z943" i="2" s="1"/>
  <c r="Z982" i="4"/>
  <c r="AA1097" i="2"/>
  <c r="AA1115" i="2" s="1"/>
  <c r="AA1147" i="4"/>
  <c r="AA1166" i="4" s="1"/>
  <c r="AB1148" i="1"/>
  <c r="AB1147" i="5" s="1"/>
  <c r="AA1167" i="1"/>
  <c r="AB2791" i="1"/>
  <c r="AA2862" i="1"/>
  <c r="Z2639" i="4"/>
  <c r="Z2666" i="1"/>
  <c r="Z2668" i="1" s="1"/>
  <c r="Z2924" i="1" s="1"/>
  <c r="AA1571" i="2"/>
  <c r="AA1573" i="2" s="1"/>
  <c r="AA1657" i="4"/>
  <c r="AA1659" i="4" s="1"/>
  <c r="AB1660" i="1"/>
  <c r="AB1657" i="5" s="1"/>
  <c r="AA1759" i="2"/>
  <c r="AA1853" i="4"/>
  <c r="AB1857" i="1"/>
  <c r="AB1853" i="5" s="1"/>
  <c r="AB1865" i="5" s="1"/>
  <c r="AB1345" i="2"/>
  <c r="AB1415" i="4"/>
  <c r="AB1720" i="2"/>
  <c r="AB1812" i="4"/>
  <c r="AB296" i="2"/>
  <c r="AB309" i="4"/>
  <c r="AA2680" i="4"/>
  <c r="AB2688" i="1"/>
  <c r="AB1268" i="2"/>
  <c r="AB1333" i="4"/>
  <c r="AA2603" i="4"/>
  <c r="AB2611" i="1"/>
  <c r="AB960" i="2"/>
  <c r="AB1003" i="4"/>
  <c r="AB800" i="2"/>
  <c r="AB834" i="4"/>
  <c r="AB950" i="2"/>
  <c r="AB993" i="4"/>
  <c r="AB1014" i="1"/>
  <c r="R222" i="2"/>
  <c r="R233" i="4"/>
  <c r="AA307" i="2"/>
  <c r="AA320" i="4"/>
  <c r="AB321" i="1"/>
  <c r="AB320" i="5" s="1"/>
  <c r="Q187" i="2"/>
  <c r="Q195" i="4"/>
  <c r="R195" i="1"/>
  <c r="R195" i="5" s="1"/>
  <c r="AA2027" i="4"/>
  <c r="AB2031" i="1"/>
  <c r="AB759" i="2"/>
  <c r="AB792" i="4"/>
  <c r="AB1132" i="2"/>
  <c r="AB1183" i="4"/>
  <c r="AB664" i="2"/>
  <c r="AB694" i="4"/>
  <c r="AB714" i="1"/>
  <c r="AA2722" i="4"/>
  <c r="AB2730" i="1"/>
  <c r="AB1478" i="2"/>
  <c r="AB1553" i="4"/>
  <c r="AB1503" i="2"/>
  <c r="AB1579" i="4"/>
  <c r="AB1341" i="2"/>
  <c r="AB1411" i="4"/>
  <c r="AB1408" i="2"/>
  <c r="AB1484" i="4"/>
  <c r="AB1723" i="2"/>
  <c r="AB1815" i="4"/>
  <c r="AB1654" i="2"/>
  <c r="AB1745" i="4"/>
  <c r="AB665" i="2"/>
  <c r="AB695" i="4"/>
  <c r="AB822" i="2"/>
  <c r="AB857" i="4"/>
  <c r="AB580" i="2"/>
  <c r="AB604" i="4"/>
  <c r="AB495" i="2"/>
  <c r="AB515" i="4"/>
  <c r="W1322" i="2"/>
  <c r="W1391" i="4"/>
  <c r="AA2006" i="4"/>
  <c r="AB2010" i="1"/>
  <c r="AB1375" i="2"/>
  <c r="AB1446" i="4"/>
  <c r="AA2131" i="4"/>
  <c r="AB2135" i="1"/>
  <c r="W1353" i="2"/>
  <c r="W1423" i="4"/>
  <c r="AB983" i="2"/>
  <c r="AB1028" i="4"/>
  <c r="AB675" i="2"/>
  <c r="AB705" i="4"/>
  <c r="AB775" i="2"/>
  <c r="AB809" i="4"/>
  <c r="AB670" i="2"/>
  <c r="AB700" i="4"/>
  <c r="AB350" i="2"/>
  <c r="AB366" i="4"/>
  <c r="AB450" i="2"/>
  <c r="AB470" i="4"/>
  <c r="AB652" i="2"/>
  <c r="AB680" i="4"/>
  <c r="W1386" i="2"/>
  <c r="W1395" i="2" s="1"/>
  <c r="W1457" i="4"/>
  <c r="W1471" i="4" s="1"/>
  <c r="AB817" i="2"/>
  <c r="AB852" i="4"/>
  <c r="AB266" i="2"/>
  <c r="AB278" i="4"/>
  <c r="AB131" i="2"/>
  <c r="AB138" i="4"/>
  <c r="AB370" i="2"/>
  <c r="AB386" i="4"/>
  <c r="AA2005" i="4"/>
  <c r="AB2009" i="1"/>
  <c r="AB930" i="2"/>
  <c r="AB972" i="4"/>
  <c r="AB1426" i="4"/>
  <c r="AB1356" i="2"/>
  <c r="AB347" i="2"/>
  <c r="AB363" i="4"/>
  <c r="W688" i="2"/>
  <c r="W718" i="4"/>
  <c r="AB655" i="2"/>
  <c r="AB685" i="4"/>
  <c r="AB1167" i="2"/>
  <c r="AB1221" i="4"/>
  <c r="AB1602" i="2"/>
  <c r="AB1694" i="4"/>
  <c r="AB72" i="2"/>
  <c r="AB76" i="4"/>
  <c r="AB703" i="2"/>
  <c r="AB733" i="4"/>
  <c r="W87" i="2"/>
  <c r="W2671" i="2"/>
  <c r="AB821" i="2"/>
  <c r="AB856" i="4"/>
  <c r="AB497" i="2"/>
  <c r="AB517" i="4"/>
  <c r="AB1540" i="2"/>
  <c r="AB1621" i="4"/>
  <c r="AB1642" i="1"/>
  <c r="AB824" i="2"/>
  <c r="AB859" i="4"/>
  <c r="AB1592" i="2"/>
  <c r="AB1681" i="4"/>
  <c r="AB1700" i="1"/>
  <c r="AB1484" i="2"/>
  <c r="AB1559" i="4"/>
  <c r="AB999" i="2"/>
  <c r="AB1044" i="4"/>
  <c r="AB1793" i="2"/>
  <c r="AB1892" i="4"/>
  <c r="W982" i="2"/>
  <c r="W988" i="2" s="1"/>
  <c r="W1027" i="4"/>
  <c r="W1033" i="4" s="1"/>
  <c r="AB1263" i="2"/>
  <c r="AB1326" i="4"/>
  <c r="AB1724" i="2"/>
  <c r="AB1816" i="4"/>
  <c r="AB1767" i="2"/>
  <c r="AB1863" i="4"/>
  <c r="AB1432" i="2"/>
  <c r="AB1509" i="4"/>
  <c r="AB746" i="2"/>
  <c r="AB779" i="4"/>
  <c r="AB1354" i="2"/>
  <c r="AB1424" i="4"/>
  <c r="AB1157" i="2"/>
  <c r="AB1211" i="4"/>
  <c r="AA2715" i="4"/>
  <c r="AB2723" i="1"/>
  <c r="AB1170" i="2"/>
  <c r="AB1224" i="4"/>
  <c r="AB1043" i="2"/>
  <c r="AB1091" i="4"/>
  <c r="AB2224" i="4"/>
  <c r="Z1224" i="2"/>
  <c r="Z1246" i="2" s="1"/>
  <c r="Z1310" i="1"/>
  <c r="AB512" i="2"/>
  <c r="AB532" i="4"/>
  <c r="AB623" i="2"/>
  <c r="AB651" i="4"/>
  <c r="AB1155" i="2"/>
  <c r="AB1207" i="4"/>
  <c r="X2755" i="4"/>
  <c r="Z2755" i="4" s="1"/>
  <c r="H2932" i="4"/>
  <c r="Z1571" i="2"/>
  <c r="Z1573" i="2" s="1"/>
  <c r="Z1657" i="4"/>
  <c r="Z1659" i="4" s="1"/>
  <c r="AB1734" i="2"/>
  <c r="AB1826" i="4"/>
  <c r="AB607" i="2"/>
  <c r="AB632" i="4"/>
  <c r="AB1507" i="2"/>
  <c r="AB1583" i="4"/>
  <c r="AB1183" i="2"/>
  <c r="AB1242" i="4"/>
  <c r="AB1197" i="2"/>
  <c r="AB1256" i="4"/>
  <c r="AB1755" i="2"/>
  <c r="AB1849" i="4"/>
  <c r="AB1288" i="2"/>
  <c r="AB1353" i="4"/>
  <c r="R215" i="2"/>
  <c r="R224" i="4"/>
  <c r="AB1133" i="2"/>
  <c r="AB1185" i="4"/>
  <c r="AB120" i="2"/>
  <c r="AB126" i="4"/>
  <c r="AB286" i="2"/>
  <c r="AB298" i="4"/>
  <c r="AB818" i="2"/>
  <c r="AB853" i="4"/>
  <c r="AB1359" i="2"/>
  <c r="AB1430" i="4"/>
  <c r="AB1338" i="2"/>
  <c r="AB1408" i="4"/>
  <c r="U911" i="2"/>
  <c r="U913" i="2" s="1"/>
  <c r="U918" i="2" s="1"/>
  <c r="U2730" i="2" s="1"/>
  <c r="U954" i="4"/>
  <c r="U956" i="4" s="1"/>
  <c r="U961" i="4" s="1"/>
  <c r="U2909" i="4" s="1"/>
  <c r="AA954" i="1"/>
  <c r="AA954" i="5" s="1"/>
  <c r="AA956" i="5" s="1"/>
  <c r="U956" i="1"/>
  <c r="U961" i="1" s="1"/>
  <c r="U2906" i="1" s="1"/>
  <c r="AB1242" i="2"/>
  <c r="AB1305" i="4"/>
  <c r="AB1796" i="2"/>
  <c r="AB1895" i="4"/>
  <c r="AB1599" i="2"/>
  <c r="AB1688" i="4"/>
  <c r="AB1304" i="2"/>
  <c r="AB1373" i="4"/>
  <c r="AB1071" i="2"/>
  <c r="AB1120" i="4"/>
  <c r="W2654" i="2"/>
  <c r="AA1542" i="1"/>
  <c r="X125" i="2"/>
  <c r="Q208" i="1"/>
  <c r="H2763" i="1"/>
  <c r="X2763" i="1" s="1"/>
  <c r="Z2763" i="1" s="1"/>
  <c r="W1514" i="2"/>
  <c r="W2621" i="2" s="1"/>
  <c r="AA1592" i="4"/>
  <c r="W633" i="2"/>
  <c r="AA633" i="2"/>
  <c r="AA1568" i="4"/>
  <c r="AB2635" i="4"/>
  <c r="M320" i="2"/>
  <c r="W768" i="2"/>
  <c r="Z855" i="2"/>
  <c r="Z1709" i="4"/>
  <c r="W1185" i="2"/>
  <c r="Z370" i="1"/>
  <c r="Z2575" i="1"/>
  <c r="Z2922" i="1" s="1"/>
  <c r="V1309" i="4"/>
  <c r="W1376" i="1"/>
  <c r="AA588" i="1"/>
  <c r="AB2314" i="2"/>
  <c r="U403" i="2"/>
  <c r="U2726" i="2" s="1"/>
  <c r="J855" i="2"/>
  <c r="AB549" i="2"/>
  <c r="AA2446" i="4"/>
  <c r="AB1967" i="4"/>
  <c r="W600" i="2"/>
  <c r="Z1628" i="2"/>
  <c r="W2668" i="2"/>
  <c r="M2535" i="4"/>
  <c r="W684" i="2"/>
  <c r="AA895" i="1"/>
  <c r="AA1057" i="2"/>
  <c r="AB2167" i="2"/>
  <c r="W1492" i="2"/>
  <c r="Q1969" i="4"/>
  <c r="Q2917" i="4" s="1"/>
  <c r="M125" i="2"/>
  <c r="AA2198" i="1"/>
  <c r="AB149" i="1"/>
  <c r="Q1466" i="2"/>
  <c r="W158" i="2"/>
  <c r="AA2736" i="1"/>
  <c r="AA2760" i="1" s="1"/>
  <c r="AA2926" i="1" s="1"/>
  <c r="AB2266" i="1"/>
  <c r="W968" i="2"/>
  <c r="Z1542" i="1"/>
  <c r="J1375" i="4"/>
  <c r="Z1645" i="2"/>
  <c r="W2683" i="4"/>
  <c r="W1642" i="1"/>
  <c r="W1742" i="1" s="1"/>
  <c r="W2912" i="1" s="1"/>
  <c r="Z1543" i="4"/>
  <c r="Z2913" i="4" s="1"/>
  <c r="Z2298" i="1"/>
  <c r="Z2918" i="1" s="1"/>
  <c r="J1544" i="1"/>
  <c r="AA107" i="4"/>
  <c r="Z691" i="1"/>
  <c r="Z2691" i="1"/>
  <c r="Z2760" i="1" s="1"/>
  <c r="Z2926" i="1" s="1"/>
  <c r="Z334" i="1"/>
  <c r="AB281" i="1"/>
  <c r="Z1869" i="1"/>
  <c r="W2041" i="1"/>
  <c r="W570" i="4"/>
  <c r="AA1728" i="2"/>
  <c r="W1678" i="4"/>
  <c r="U2660" i="4"/>
  <c r="U2927" i="4" s="1"/>
  <c r="U1739" i="4"/>
  <c r="U2915" i="4" s="1"/>
  <c r="V2668" i="2"/>
  <c r="V1647" i="2"/>
  <c r="V2736" i="2" s="1"/>
  <c r="W1037" i="2"/>
  <c r="W1618" i="4"/>
  <c r="W457" i="4"/>
  <c r="AB501" i="1"/>
  <c r="W2758" i="1"/>
  <c r="W1709" i="4"/>
  <c r="Z879" i="2"/>
  <c r="V1190" i="1"/>
  <c r="V2908" i="1" s="1"/>
  <c r="W1472" i="1"/>
  <c r="AA1720" i="4"/>
  <c r="AB2382" i="4"/>
  <c r="V2658" i="4"/>
  <c r="Z1403" i="1"/>
  <c r="M789" i="2"/>
  <c r="J2454" i="1"/>
  <c r="J2920" i="1" s="1"/>
  <c r="M2292" i="4"/>
  <c r="V2827" i="1"/>
  <c r="Z1991" i="1"/>
  <c r="Z2085" i="1" s="1"/>
  <c r="Z2916" i="1" s="1"/>
  <c r="Z399" i="1"/>
  <c r="AA426" i="2"/>
  <c r="U1190" i="4"/>
  <c r="U2911" i="4" s="1"/>
  <c r="AA1537" i="2"/>
  <c r="AA1245" i="1"/>
  <c r="AA985" i="1"/>
  <c r="AA1903" i="1"/>
  <c r="AA1049" i="4"/>
  <c r="W1018" i="2"/>
  <c r="Z1903" i="1"/>
  <c r="Z1847" i="1"/>
  <c r="W515" i="2"/>
  <c r="Q2910" i="1"/>
  <c r="Q2828" i="1"/>
  <c r="W12" i="2"/>
  <c r="W21" i="2" s="1"/>
  <c r="W12" i="4"/>
  <c r="W22" i="4" s="1"/>
  <c r="W22" i="1"/>
  <c r="AB736" i="2"/>
  <c r="AB767" i="4"/>
  <c r="AA1148" i="2"/>
  <c r="AA1160" i="2" s="1"/>
  <c r="AA1200" i="4"/>
  <c r="AB1201" i="1"/>
  <c r="AB1200" i="5" s="1"/>
  <c r="AB1214" i="5" s="1"/>
  <c r="AB765" i="2"/>
  <c r="AB799" i="4"/>
  <c r="AB1527" i="2"/>
  <c r="AB1605" i="4"/>
  <c r="AA2200" i="4"/>
  <c r="AB2204" i="1"/>
  <c r="AB1298" i="2"/>
  <c r="AB1367" i="4"/>
  <c r="AB327" i="2"/>
  <c r="AB340" i="4"/>
  <c r="AB78" i="2"/>
  <c r="AB82" i="4"/>
  <c r="AB97" i="2"/>
  <c r="AB102" i="4"/>
  <c r="W174" i="2"/>
  <c r="W182" i="4"/>
  <c r="AB1053" i="2"/>
  <c r="AB1101" i="4"/>
  <c r="AB338" i="2"/>
  <c r="AB351" i="4"/>
  <c r="AB1626" i="4"/>
  <c r="AB1545" i="2"/>
  <c r="AA883" i="2"/>
  <c r="AA926" i="4"/>
  <c r="AB926" i="1"/>
  <c r="AB333" i="2"/>
  <c r="AB346" i="4"/>
  <c r="AB152" i="2"/>
  <c r="AB159" i="4"/>
  <c r="AB813" i="2"/>
  <c r="AB848" i="4"/>
  <c r="AB872" i="1"/>
  <c r="AB1076" i="2"/>
  <c r="AB1125" i="4"/>
  <c r="AB1270" i="2"/>
  <c r="AB1335" i="4"/>
  <c r="AB2796" i="1"/>
  <c r="H2722" i="2"/>
  <c r="Q206" i="2"/>
  <c r="Q215" i="4"/>
  <c r="R215" i="1"/>
  <c r="R215" i="5" s="1"/>
  <c r="AB98" i="2"/>
  <c r="AB103" i="4"/>
  <c r="AA1090" i="2"/>
  <c r="AA1093" i="2" s="1"/>
  <c r="AA1140" i="4"/>
  <c r="AA1143" i="4" s="1"/>
  <c r="AB1141" i="1"/>
  <c r="AB1140" i="5" s="1"/>
  <c r="AB1143" i="5" s="1"/>
  <c r="AB1791" i="2"/>
  <c r="AB1890" i="4"/>
  <c r="AB803" i="2"/>
  <c r="AB837" i="4"/>
  <c r="AB14" i="2"/>
  <c r="AB14" i="4"/>
  <c r="AB493" i="2"/>
  <c r="AB513" i="4"/>
  <c r="AB1340" i="2"/>
  <c r="AB1410" i="4"/>
  <c r="AB1330" i="2"/>
  <c r="AB1400" i="4"/>
  <c r="AB1480" i="2"/>
  <c r="AB1555" i="4"/>
  <c r="AB1149" i="2"/>
  <c r="AB1201" i="4"/>
  <c r="AB524" i="2"/>
  <c r="AB543" i="4"/>
  <c r="AA2104" i="4"/>
  <c r="AA2112" i="4" s="1"/>
  <c r="AB2108" i="1"/>
  <c r="AB2104" i="5" s="1"/>
  <c r="AB1086" i="2"/>
  <c r="AB1136" i="4"/>
  <c r="AB876" i="2"/>
  <c r="AB919" i="4"/>
  <c r="AA2170" i="4"/>
  <c r="AB2174" i="1"/>
  <c r="AA2348" i="4"/>
  <c r="AB2354" i="1"/>
  <c r="AB1795" i="2"/>
  <c r="AB1894" i="4"/>
  <c r="AB1390" i="2"/>
  <c r="AB1462" i="4"/>
  <c r="AB1194" i="2"/>
  <c r="AB1253" i="4"/>
  <c r="AB1701" i="2"/>
  <c r="AB1792" i="4"/>
  <c r="AB676" i="2"/>
  <c r="AB706" i="4"/>
  <c r="AB687" i="2"/>
  <c r="AB717" i="4"/>
  <c r="AB1703" i="2"/>
  <c r="AB1794" i="4"/>
  <c r="AB1409" i="2"/>
  <c r="AB1485" i="4"/>
  <c r="Z1554" i="2"/>
  <c r="Z1556" i="2" s="1"/>
  <c r="Z1637" i="4"/>
  <c r="AB1373" i="2"/>
  <c r="AB1444" i="4"/>
  <c r="AA982" i="2"/>
  <c r="AA988" i="2" s="1"/>
  <c r="AA1027" i="4"/>
  <c r="AA1033" i="4" s="1"/>
  <c r="AB1028" i="1"/>
  <c r="AB1027" i="5" s="1"/>
  <c r="AB1033" i="5" s="1"/>
  <c r="AB681" i="2"/>
  <c r="AB711" i="4"/>
  <c r="AB2665" i="4"/>
  <c r="AA2304" i="4"/>
  <c r="AB2310" i="1"/>
  <c r="AA2319" i="1"/>
  <c r="AB1171" i="2"/>
  <c r="AB1225" i="4"/>
  <c r="AB1299" i="2"/>
  <c r="AB1368" i="4"/>
  <c r="W701" i="2"/>
  <c r="W731" i="4"/>
  <c r="AB362" i="2"/>
  <c r="AB378" i="4"/>
  <c r="Z715" i="2"/>
  <c r="Z725" i="2" s="1"/>
  <c r="Z756" i="1"/>
  <c r="AB1392" i="2"/>
  <c r="AB1465" i="4"/>
  <c r="AB1189" i="2"/>
  <c r="AB1248" i="4"/>
  <c r="AB456" i="2"/>
  <c r="AB476" i="4"/>
  <c r="AB488" i="1"/>
  <c r="AB794" i="2"/>
  <c r="AB828" i="4"/>
  <c r="W2639" i="4"/>
  <c r="W2658" i="4" s="1"/>
  <c r="W2666" i="1"/>
  <c r="W2668" i="1" s="1"/>
  <c r="W2924" i="1" s="1"/>
  <c r="AB1684" i="2"/>
  <c r="AB1775" i="4"/>
  <c r="AB1266" i="2"/>
  <c r="AB1329" i="4"/>
  <c r="AA1798" i="2"/>
  <c r="AA1897" i="4"/>
  <c r="AB1901" i="1"/>
  <c r="AB1897" i="5" s="1"/>
  <c r="AA283" i="2"/>
  <c r="AA295" i="4"/>
  <c r="AB296" i="1"/>
  <c r="AB295" i="5" s="1"/>
  <c r="AB1290" i="2"/>
  <c r="AB1355" i="4"/>
  <c r="AB368" i="2"/>
  <c r="AB384" i="4"/>
  <c r="AB638" i="2"/>
  <c r="AB666" i="4"/>
  <c r="AB1303" i="2"/>
  <c r="AB1372" i="4"/>
  <c r="AA374" i="2"/>
  <c r="AA390" i="4"/>
  <c r="AB391" i="1"/>
  <c r="AB390" i="5" s="1"/>
  <c r="AB245" i="2"/>
  <c r="AB255" i="4"/>
  <c r="AB197" i="2"/>
  <c r="AB206" i="4"/>
  <c r="AB1052" i="2"/>
  <c r="AB1100" i="4"/>
  <c r="AB113" i="2"/>
  <c r="AB119" i="4"/>
  <c r="AB119" i="2"/>
  <c r="AB125" i="4"/>
  <c r="W101" i="2"/>
  <c r="W2672" i="2"/>
  <c r="AB280" i="2"/>
  <c r="AB292" i="4"/>
  <c r="AA303" i="2"/>
  <c r="AA316" i="4"/>
  <c r="AB317" i="1"/>
  <c r="AB316" i="5" s="1"/>
  <c r="AB333" i="5" s="1"/>
  <c r="AA334" i="1"/>
  <c r="AA422" i="1" s="1"/>
  <c r="AA2902" i="1" s="1"/>
  <c r="AB610" i="2"/>
  <c r="AB635" i="4"/>
  <c r="W1090" i="2"/>
  <c r="W1093" i="2" s="1"/>
  <c r="W1140" i="4"/>
  <c r="W1143" i="4" s="1"/>
  <c r="AB1196" i="2"/>
  <c r="AB1255" i="4"/>
  <c r="AB1601" i="2"/>
  <c r="AB1690" i="4"/>
  <c r="AA1764" i="2"/>
  <c r="AA1858" i="4"/>
  <c r="AB1862" i="1"/>
  <c r="AB1858" i="5" s="1"/>
  <c r="AB1610" i="2"/>
  <c r="AB1702" i="4"/>
  <c r="AB1630" i="4"/>
  <c r="AB1549" i="2"/>
  <c r="AB1664" i="2"/>
  <c r="AB1755" i="4"/>
  <c r="AB218" i="2"/>
  <c r="AB227" i="4"/>
  <c r="AB233" i="2"/>
  <c r="AB243" i="4"/>
  <c r="AB1559" i="2"/>
  <c r="AB1642" i="4"/>
  <c r="AB1662" i="1"/>
  <c r="AB1563" i="2"/>
  <c r="AB1646" i="4"/>
  <c r="Z1680" i="2"/>
  <c r="Z1693" i="2" s="1"/>
  <c r="Z1788" i="1"/>
  <c r="AA2271" i="4"/>
  <c r="AB2275" i="1"/>
  <c r="AA852" i="2"/>
  <c r="AA892" i="4"/>
  <c r="AB892" i="1"/>
  <c r="AB892" i="5" s="1"/>
  <c r="AB1384" i="2"/>
  <c r="AB1455" i="4"/>
  <c r="AB1662" i="2"/>
  <c r="AB1753" i="4"/>
  <c r="AA294" i="2"/>
  <c r="AA306" i="4"/>
  <c r="AB307" i="1"/>
  <c r="AB306" i="5" s="1"/>
  <c r="AB378" i="2"/>
  <c r="AB396" i="4"/>
  <c r="AB204" i="2"/>
  <c r="AB213" i="4"/>
  <c r="AB235" i="1"/>
  <c r="Q210" i="2"/>
  <c r="Q219" i="4"/>
  <c r="R219" i="1"/>
  <c r="R219" i="5" s="1"/>
  <c r="AB324" i="2"/>
  <c r="AB337" i="4"/>
  <c r="AA363" i="2"/>
  <c r="AA379" i="4"/>
  <c r="AB380" i="1"/>
  <c r="AB379" i="5" s="1"/>
  <c r="AB185" i="2"/>
  <c r="AB193" i="4"/>
  <c r="AB434" i="2"/>
  <c r="AB454" i="4"/>
  <c r="AB605" i="2"/>
  <c r="AB630" i="4"/>
  <c r="W1224" i="2"/>
  <c r="W1287" i="4"/>
  <c r="W1310" i="1"/>
  <c r="AB1075" i="2"/>
  <c r="AB1124" i="4"/>
  <c r="AB758" i="2"/>
  <c r="AB791" i="4"/>
  <c r="AB597" i="2"/>
  <c r="AB621" i="4"/>
  <c r="AB1117" i="4"/>
  <c r="AB1068" i="2"/>
  <c r="AB409" i="2"/>
  <c r="AB427" i="4"/>
  <c r="AB93" i="2"/>
  <c r="AB98" i="4"/>
  <c r="AB153" i="2"/>
  <c r="AB161" i="4"/>
  <c r="AB793" i="2"/>
  <c r="AB827" i="4"/>
  <c r="AB844" i="1"/>
  <c r="R202" i="2"/>
  <c r="R211" i="4"/>
  <c r="AB184" i="2"/>
  <c r="AB192" i="4"/>
  <c r="AB1049" i="2"/>
  <c r="AB1097" i="4"/>
  <c r="AA1908" i="4"/>
  <c r="AB1912" i="1"/>
  <c r="AB508" i="2"/>
  <c r="AB528" i="4"/>
  <c r="AB1785" i="2"/>
  <c r="AB1881" i="4"/>
  <c r="AA1278" i="4"/>
  <c r="AB1279" i="1"/>
  <c r="AB151" i="2"/>
  <c r="AB158" i="4"/>
  <c r="Q186" i="2"/>
  <c r="Q194" i="4"/>
  <c r="R194" i="1"/>
  <c r="R194" i="5" s="1"/>
  <c r="AB265" i="2"/>
  <c r="AB277" i="4"/>
  <c r="AB530" i="2"/>
  <c r="AB549" i="4"/>
  <c r="AB658" i="2"/>
  <c r="AB688" i="4"/>
  <c r="AA715" i="2"/>
  <c r="AA725" i="2" s="1"/>
  <c r="AA746" i="4"/>
  <c r="AA756" i="4" s="1"/>
  <c r="AA756" i="1"/>
  <c r="AB746" i="1"/>
  <c r="AB746" i="5" s="1"/>
  <c r="AB756" i="5" s="1"/>
  <c r="AB841" i="2"/>
  <c r="AB880" i="4"/>
  <c r="AB1193" i="2"/>
  <c r="AB1252" i="4"/>
  <c r="AB1200" i="2"/>
  <c r="AB1259" i="4"/>
  <c r="AB1606" i="4"/>
  <c r="AB1528" i="2"/>
  <c r="AB1699" i="2"/>
  <c r="AB1790" i="4"/>
  <c r="AA1204" i="2"/>
  <c r="AA1263" i="4"/>
  <c r="AB1264" i="1"/>
  <c r="AB1263" i="5" s="1"/>
  <c r="AA2337" i="4"/>
  <c r="AB2343" i="1"/>
  <c r="AB263" i="2"/>
  <c r="AB274" i="4"/>
  <c r="AB243" i="2"/>
  <c r="AB253" i="4"/>
  <c r="AB207" i="2"/>
  <c r="AB216" i="4"/>
  <c r="AB391" i="2"/>
  <c r="AB409" i="4"/>
  <c r="AB487" i="2"/>
  <c r="AB507" i="4"/>
  <c r="AA394" i="4"/>
  <c r="AB395" i="1"/>
  <c r="AA1153" i="2"/>
  <c r="AA1205" i="4"/>
  <c r="AB1206" i="1"/>
  <c r="AB1205" i="5" s="1"/>
  <c r="AB1568" i="2"/>
  <c r="AB1651" i="4"/>
  <c r="AA2672" i="4"/>
  <c r="AB2680" i="1"/>
  <c r="AB1120" i="2"/>
  <c r="AB1171" i="4"/>
  <c r="AB1636" i="2"/>
  <c r="AB1728" i="4"/>
  <c r="AB1614" i="2"/>
  <c r="AB1706" i="4"/>
  <c r="AB2265" i="4"/>
  <c r="AB1374" i="2"/>
  <c r="AB1445" i="4"/>
  <c r="Q209" i="2"/>
  <c r="Q218" i="4"/>
  <c r="R218" i="1"/>
  <c r="R218" i="5" s="1"/>
  <c r="AB1635" i="2"/>
  <c r="AB1727" i="4"/>
  <c r="AB315" i="2"/>
  <c r="AB328" i="4"/>
  <c r="AB82" i="2"/>
  <c r="AB86" i="4"/>
  <c r="AB182" i="2"/>
  <c r="AB190" i="4"/>
  <c r="AB121" i="2"/>
  <c r="AB128" i="4"/>
  <c r="AB37" i="2"/>
  <c r="AB41" i="4"/>
  <c r="AB440" i="2"/>
  <c r="AB460" i="4"/>
  <c r="AB474" i="1"/>
  <c r="AB444" i="2"/>
  <c r="AB464" i="4"/>
  <c r="W489" i="2"/>
  <c r="AB1426" i="2"/>
  <c r="AB1503" i="4"/>
  <c r="AA2518" i="4"/>
  <c r="AA2543" i="1"/>
  <c r="AA2575" i="1" s="1"/>
  <c r="AA2922" i="1" s="1"/>
  <c r="AB2526" i="1"/>
  <c r="AB2518" i="5" s="1"/>
  <c r="W1459" i="2"/>
  <c r="W1464" i="2" s="1"/>
  <c r="W1536" i="4"/>
  <c r="W1541" i="4" s="1"/>
  <c r="R203" i="2"/>
  <c r="R2671" i="2" s="1"/>
  <c r="R212" i="4"/>
  <c r="R2847" i="1"/>
  <c r="AB965" i="2"/>
  <c r="AB1008" i="4"/>
  <c r="AA12" i="2"/>
  <c r="AA21" i="2" s="1"/>
  <c r="AA12" i="4"/>
  <c r="AA22" i="4" s="1"/>
  <c r="AB12" i="1"/>
  <c r="AB12" i="5" s="1"/>
  <c r="AB22" i="5" s="1"/>
  <c r="AA22" i="1"/>
  <c r="AB94" i="2"/>
  <c r="AB99" i="4"/>
  <c r="AB669" i="2"/>
  <c r="AB699" i="4"/>
  <c r="AB375" i="2"/>
  <c r="AB391" i="4"/>
  <c r="AB246" i="2"/>
  <c r="AB256" i="4"/>
  <c r="AB261" i="2"/>
  <c r="AB272" i="4"/>
  <c r="AB836" i="2"/>
  <c r="AB875" i="4"/>
  <c r="AB895" i="1"/>
  <c r="AA904" i="4"/>
  <c r="AA864" i="2"/>
  <c r="AB904" i="1"/>
  <c r="AB904" i="5" s="1"/>
  <c r="AB1050" i="2"/>
  <c r="AB1098" i="4"/>
  <c r="AB2197" i="4"/>
  <c r="AB390" i="2"/>
  <c r="AB408" i="4"/>
  <c r="AB647" i="2"/>
  <c r="AB675" i="4"/>
  <c r="AB348" i="2"/>
  <c r="AB364" i="4"/>
  <c r="Z278" i="2"/>
  <c r="Z299" i="2" s="1"/>
  <c r="Z313" i="1"/>
  <c r="AB677" i="2"/>
  <c r="AB707" i="4"/>
  <c r="AB510" i="2"/>
  <c r="AB530" i="4"/>
  <c r="AB858" i="2"/>
  <c r="AB898" i="4"/>
  <c r="AB1028" i="2"/>
  <c r="AB1075" i="4"/>
  <c r="AA1386" i="2"/>
  <c r="AA1457" i="4"/>
  <c r="AB1458" i="1"/>
  <c r="AB1457" i="5" s="1"/>
  <c r="AB1766" i="2"/>
  <c r="AB1860" i="4"/>
  <c r="AB1423" i="2"/>
  <c r="AB1500" i="4"/>
  <c r="W1257" i="2"/>
  <c r="W1274" i="2" s="1"/>
  <c r="W1320" i="4"/>
  <c r="W1339" i="4" s="1"/>
  <c r="W555" i="2"/>
  <c r="W565" i="2" s="1"/>
  <c r="W576" i="4"/>
  <c r="W589" i="4" s="1"/>
  <c r="AB285" i="2"/>
  <c r="AB297" i="4"/>
  <c r="AB975" i="2"/>
  <c r="AB1020" i="4"/>
  <c r="AA1763" i="2"/>
  <c r="AA1857" i="4"/>
  <c r="AB1861" i="1"/>
  <c r="AB1857" i="5" s="1"/>
  <c r="AB1656" i="2"/>
  <c r="AB1747" i="4"/>
  <c r="AB372" i="2"/>
  <c r="AB388" i="4"/>
  <c r="AB740" i="2"/>
  <c r="AB771" i="4"/>
  <c r="AB1024" i="2"/>
  <c r="AB1071" i="4"/>
  <c r="AB1260" i="2"/>
  <c r="AB1323" i="4"/>
  <c r="AA2423" i="4"/>
  <c r="AA2428" i="4" s="1"/>
  <c r="AB2429" i="1"/>
  <c r="AB1581" i="2"/>
  <c r="AB1667" i="4"/>
  <c r="AB19" i="2"/>
  <c r="AB20" i="4"/>
  <c r="AB46" i="2"/>
  <c r="AB50" i="4"/>
  <c r="AB819" i="2"/>
  <c r="AB854" i="4"/>
  <c r="AB2707" i="4"/>
  <c r="AB2736" i="1"/>
  <c r="AB755" i="2"/>
  <c r="AB788" i="4"/>
  <c r="AB2502" i="4"/>
  <c r="AB2523" i="1"/>
  <c r="AB1325" i="2"/>
  <c r="AB1394" i="4"/>
  <c r="AB1450" i="2"/>
  <c r="AB1527" i="4"/>
  <c r="AB36" i="2"/>
  <c r="AB39" i="4"/>
  <c r="AB505" i="2"/>
  <c r="AB525" i="4"/>
  <c r="AB536" i="1"/>
  <c r="AB872" i="2"/>
  <c r="AB912" i="4"/>
  <c r="AB1301" i="2"/>
  <c r="AB1370" i="4"/>
  <c r="AA1320" i="2"/>
  <c r="AA1389" i="4"/>
  <c r="AB1390" i="1"/>
  <c r="AB147" i="2"/>
  <c r="AB154" i="4"/>
  <c r="AB1271" i="2"/>
  <c r="AB1336" i="4"/>
  <c r="AB1438" i="2"/>
  <c r="AB1515" i="4"/>
  <c r="AB209" i="2"/>
  <c r="AB218" i="4"/>
  <c r="AB1624" i="2"/>
  <c r="AB1716" i="4"/>
  <c r="AB1990" i="4"/>
  <c r="AB962" i="2"/>
  <c r="AB1005" i="4"/>
  <c r="AA659" i="2"/>
  <c r="AA689" i="4"/>
  <c r="AB689" i="1"/>
  <c r="AB689" i="5" s="1"/>
  <c r="AB558" i="2"/>
  <c r="AB579" i="4"/>
  <c r="AA595" i="2"/>
  <c r="AA600" i="2" s="1"/>
  <c r="AA619" i="4"/>
  <c r="AA625" i="4" s="1"/>
  <c r="AB618" i="1"/>
  <c r="AA907" i="4"/>
  <c r="AA867" i="2"/>
  <c r="AB907" i="1"/>
  <c r="AB907" i="5" s="1"/>
  <c r="AB1346" i="2"/>
  <c r="AB1416" i="4"/>
  <c r="AA1154" i="2"/>
  <c r="AA1206" i="4"/>
  <c r="AB1207" i="1"/>
  <c r="AB1206" i="5" s="1"/>
  <c r="AB1366" i="2"/>
  <c r="AB1437" i="4"/>
  <c r="AB807" i="2"/>
  <c r="AB842" i="4"/>
  <c r="AB1283" i="2"/>
  <c r="AB1348" i="4"/>
  <c r="AB1072" i="2"/>
  <c r="AB1121" i="4"/>
  <c r="W1208" i="2"/>
  <c r="W1267" i="4"/>
  <c r="AB1300" i="2"/>
  <c r="AB1369" i="4"/>
  <c r="R181" i="2"/>
  <c r="R189" i="4"/>
  <c r="AB1129" i="2"/>
  <c r="AB1180" i="4"/>
  <c r="AB1519" i="2"/>
  <c r="AB1597" i="4"/>
  <c r="AB1192" i="2"/>
  <c r="AB1251" i="4"/>
  <c r="AB387" i="2"/>
  <c r="AB405" i="4"/>
  <c r="AB1302" i="2"/>
  <c r="AB1371" i="4"/>
  <c r="AA1947" i="2"/>
  <c r="AA1967" i="2" s="1"/>
  <c r="AB1931" i="2"/>
  <c r="AB1947" i="2" s="1"/>
  <c r="AB1967" i="2" s="1"/>
  <c r="AB445" i="2"/>
  <c r="AB465" i="4"/>
  <c r="AB1462" i="2"/>
  <c r="AB1539" i="4"/>
  <c r="AB1697" i="2"/>
  <c r="AB1788" i="4"/>
  <c r="AB1806" i="1"/>
  <c r="AB499" i="2"/>
  <c r="AB519" i="4"/>
  <c r="AB671" i="2"/>
  <c r="AB701" i="4"/>
  <c r="AA2152" i="4"/>
  <c r="AB2156" i="1"/>
  <c r="AA1585" i="2"/>
  <c r="AA1589" i="2" s="1"/>
  <c r="AA1672" i="4"/>
  <c r="AB1675" i="1"/>
  <c r="AA1681" i="1"/>
  <c r="AA1742" i="1" s="1"/>
  <c r="AA2912" i="1" s="1"/>
  <c r="W2606" i="4"/>
  <c r="W2830" i="1"/>
  <c r="AB932" i="2"/>
  <c r="AB974" i="4"/>
  <c r="AB1486" i="2"/>
  <c r="AB1561" i="4"/>
  <c r="AB1783" i="2"/>
  <c r="AB1879" i="4"/>
  <c r="AA2360" i="4"/>
  <c r="AB2366" i="1"/>
  <c r="AB1598" i="2"/>
  <c r="AB1687" i="4"/>
  <c r="AA2217" i="4"/>
  <c r="AB2221" i="1"/>
  <c r="AB1122" i="2"/>
  <c r="AB1173" i="4"/>
  <c r="AB679" i="2"/>
  <c r="AB709" i="4"/>
  <c r="AB1243" i="2"/>
  <c r="AB1306" i="4"/>
  <c r="AB1350" i="2"/>
  <c r="AB1420" i="4"/>
  <c r="AB1319" i="2"/>
  <c r="AB1388" i="4"/>
  <c r="AB1107" i="2"/>
  <c r="AB1157" i="4"/>
  <c r="AB1512" i="2"/>
  <c r="AB1590" i="4"/>
  <c r="AB1285" i="2"/>
  <c r="AB1350" i="4"/>
  <c r="Z12" i="2"/>
  <c r="Z21" i="2" s="1"/>
  <c r="Z12" i="4"/>
  <c r="Z22" i="1"/>
  <c r="Z132" i="1" s="1"/>
  <c r="Z2898" i="1" s="1"/>
  <c r="AB689" i="2"/>
  <c r="AB719" i="4"/>
  <c r="AB1640" i="2"/>
  <c r="AB1732" i="4"/>
  <c r="AB666" i="2"/>
  <c r="AB696" i="4"/>
  <c r="AA376" i="2"/>
  <c r="AA392" i="4"/>
  <c r="AB393" i="1"/>
  <c r="AB392" i="5" s="1"/>
  <c r="AA1198" i="2"/>
  <c r="AA1257" i="4"/>
  <c r="AB1258" i="1"/>
  <c r="AB893" i="2"/>
  <c r="AB936" i="4"/>
  <c r="AB396" i="2"/>
  <c r="AB414" i="4"/>
  <c r="AA61" i="2"/>
  <c r="AA64" i="2" s="1"/>
  <c r="AA65" i="4"/>
  <c r="AA68" i="4" s="1"/>
  <c r="AB65" i="1"/>
  <c r="AB705" i="2"/>
  <c r="AB735" i="4"/>
  <c r="AB805" i="2"/>
  <c r="AB840" i="4"/>
  <c r="AA2523" i="4"/>
  <c r="AB2531" i="1"/>
  <c r="AB1349" i="2"/>
  <c r="AB1419" i="4"/>
  <c r="AB316" i="2"/>
  <c r="AB329" i="4"/>
  <c r="AB358" i="2"/>
  <c r="AB374" i="4"/>
  <c r="AA555" i="2"/>
  <c r="AA565" i="2" s="1"/>
  <c r="AA576" i="4"/>
  <c r="AB575" i="1"/>
  <c r="W2652" i="2"/>
  <c r="W2673" i="2"/>
  <c r="AB1284" i="2"/>
  <c r="AB1349" i="4"/>
  <c r="W715" i="2"/>
  <c r="W725" i="2" s="1"/>
  <c r="W746" i="4"/>
  <c r="W756" i="4" s="1"/>
  <c r="W756" i="1"/>
  <c r="AB706" i="2"/>
  <c r="AB736" i="4"/>
  <c r="AB895" i="2"/>
  <c r="AB938" i="4"/>
  <c r="AB910" i="2"/>
  <c r="AB953" i="4"/>
  <c r="AA2034" i="4"/>
  <c r="AB2038" i="1"/>
  <c r="W1118" i="2"/>
  <c r="W1135" i="2" s="1"/>
  <c r="W1169" i="4"/>
  <c r="W1188" i="4" s="1"/>
  <c r="W1188" i="1"/>
  <c r="W1190" i="1" s="1"/>
  <c r="W2908" i="1" s="1"/>
  <c r="AB1262" i="2"/>
  <c r="AB1325" i="4"/>
  <c r="AB1207" i="2"/>
  <c r="AB1266" i="4"/>
  <c r="AB934" i="4"/>
  <c r="AB891" i="2"/>
  <c r="AB1501" i="2"/>
  <c r="AB1577" i="4"/>
  <c r="AB1407" i="2"/>
  <c r="AB1483" i="4"/>
  <c r="AB1083" i="2"/>
  <c r="AB1133" i="4"/>
  <c r="AB1620" i="2"/>
  <c r="AB1712" i="4"/>
  <c r="AB1723" i="1"/>
  <c r="AB1705" i="2"/>
  <c r="AB1796" i="4"/>
  <c r="AB667" i="2"/>
  <c r="AB697" i="4"/>
  <c r="AB154" i="2"/>
  <c r="AB162" i="4"/>
  <c r="AB814" i="2"/>
  <c r="AB849" i="4"/>
  <c r="AA2032" i="4"/>
  <c r="AB2036" i="1"/>
  <c r="AB622" i="2"/>
  <c r="AB650" i="4"/>
  <c r="AA2231" i="4"/>
  <c r="AB2235" i="1"/>
  <c r="AB1756" i="2"/>
  <c r="AB1850" i="4"/>
  <c r="AA1342" i="2"/>
  <c r="AA1412" i="4"/>
  <c r="AB1413" i="1"/>
  <c r="AB1412" i="5" s="1"/>
  <c r="AA1917" i="4"/>
  <c r="AB1921" i="1"/>
  <c r="AB637" i="2"/>
  <c r="AB665" i="4"/>
  <c r="AA1936" i="4"/>
  <c r="AB1940" i="1"/>
  <c r="AB1047" i="2"/>
  <c r="AB1095" i="4"/>
  <c r="AB1177" i="2"/>
  <c r="AB1231" i="4"/>
  <c r="AB871" i="2"/>
  <c r="AB911" i="4"/>
  <c r="AA2121" i="4"/>
  <c r="AB2125" i="1"/>
  <c r="AA2336" i="4"/>
  <c r="AB2342" i="1"/>
  <c r="AB869" i="2"/>
  <c r="AB909" i="4"/>
  <c r="AA762" i="2"/>
  <c r="AA768" i="2" s="1"/>
  <c r="AA795" i="4"/>
  <c r="AA802" i="4" s="1"/>
  <c r="AB795" i="1"/>
  <c r="AB795" i="5" s="1"/>
  <c r="AB802" i="5" s="1"/>
  <c r="Z1154" i="2"/>
  <c r="Z1206" i="4"/>
  <c r="AB1010" i="2"/>
  <c r="AB1055" i="4"/>
  <c r="AB1066" i="1"/>
  <c r="AB849" i="2"/>
  <c r="AB888" i="4"/>
  <c r="AB309" i="2"/>
  <c r="AB322" i="4"/>
  <c r="AA2268" i="4"/>
  <c r="AB2272" i="1"/>
  <c r="AB559" i="2"/>
  <c r="AB580" i="4"/>
  <c r="AB1789" i="2"/>
  <c r="AB1885" i="4"/>
  <c r="AA688" i="2"/>
  <c r="AA718" i="4"/>
  <c r="AB718" i="1"/>
  <c r="AB1762" i="2"/>
  <c r="AB1856" i="4"/>
  <c r="AB1717" i="2"/>
  <c r="AB1809" i="4"/>
  <c r="AA1118" i="2"/>
  <c r="AA1135" i="2" s="1"/>
  <c r="AA1169" i="4"/>
  <c r="AA1188" i="4" s="1"/>
  <c r="AA1188" i="1"/>
  <c r="AB1170" i="1"/>
  <c r="AB1169" i="5" s="1"/>
  <c r="AB1188" i="5" s="1"/>
  <c r="AB1718" i="2"/>
  <c r="AB1810" i="4"/>
  <c r="AB581" i="2"/>
  <c r="AB605" i="4"/>
  <c r="AB1877" i="4"/>
  <c r="AB1781" i="2"/>
  <c r="AB1127" i="2"/>
  <c r="AB1178" i="4"/>
  <c r="AB313" i="2"/>
  <c r="AB326" i="4"/>
  <c r="AB310" i="2"/>
  <c r="AB323" i="4"/>
  <c r="AB929" i="2"/>
  <c r="AB971" i="4"/>
  <c r="AB2610" i="4"/>
  <c r="AB2612" i="4" s="1"/>
  <c r="AB2620" i="1"/>
  <c r="AB977" i="2"/>
  <c r="AB1022" i="4"/>
  <c r="AB1254" i="2"/>
  <c r="AB1317" i="4"/>
  <c r="AB1776" i="2"/>
  <c r="AB1872" i="4"/>
  <c r="AA2598" i="4"/>
  <c r="AB2606" i="1"/>
  <c r="AB360" i="2"/>
  <c r="AB376" i="4"/>
  <c r="R183" i="2"/>
  <c r="R191" i="4"/>
  <c r="AB1318" i="2"/>
  <c r="AB1387" i="4"/>
  <c r="AA2025" i="4"/>
  <c r="AB2029" i="1"/>
  <c r="AB441" i="2"/>
  <c r="AB461" i="4"/>
  <c r="AB1125" i="2"/>
  <c r="AB1176" i="4"/>
  <c r="AB826" i="2"/>
  <c r="AB861" i="4"/>
  <c r="V911" i="2"/>
  <c r="V913" i="2" s="1"/>
  <c r="V954" i="4"/>
  <c r="V956" i="4" s="1"/>
  <c r="W954" i="1"/>
  <c r="W954" i="5" s="1"/>
  <c r="W956" i="5" s="1"/>
  <c r="V956" i="1"/>
  <c r="V961" i="1" s="1"/>
  <c r="V2906" i="1" s="1"/>
  <c r="AB1311" i="2"/>
  <c r="AB1380" i="4"/>
  <c r="AB783" i="2"/>
  <c r="AB817" i="4"/>
  <c r="AB1685" i="2"/>
  <c r="AB1776" i="4"/>
  <c r="AB465" i="2"/>
  <c r="AB485" i="4"/>
  <c r="AB1201" i="2"/>
  <c r="AB1260" i="4"/>
  <c r="W68" i="4"/>
  <c r="AB781" i="1"/>
  <c r="M1309" i="4"/>
  <c r="X615" i="2"/>
  <c r="M1137" i="2"/>
  <c r="M2732" i="2" s="1"/>
  <c r="AA1434" i="1"/>
  <c r="U1543" i="4"/>
  <c r="U2913" i="4" s="1"/>
  <c r="AB2643" i="1"/>
  <c r="Z41" i="2"/>
  <c r="W802" i="4"/>
  <c r="Z895" i="1"/>
  <c r="Z1492" i="2"/>
  <c r="AA1955" i="1"/>
  <c r="AA1767" i="4"/>
  <c r="W1244" i="4"/>
  <c r="AA2142" i="1"/>
  <c r="AA2488" i="4"/>
  <c r="W2824" i="1"/>
  <c r="J2298" i="1"/>
  <c r="J2918" i="1" s="1"/>
  <c r="V895" i="4"/>
  <c r="W64" i="2"/>
  <c r="AB985" i="1"/>
  <c r="W1573" i="2"/>
  <c r="W480" i="2"/>
  <c r="AA1869" i="1"/>
  <c r="AB1971" i="1"/>
  <c r="W625" i="4"/>
  <c r="Z1720" i="4"/>
  <c r="AA1645" i="2"/>
  <c r="J398" i="4"/>
  <c r="W502" i="2"/>
  <c r="W714" i="4"/>
  <c r="AA1106" i="4"/>
  <c r="W526" i="2"/>
  <c r="W2649" i="2" s="1"/>
  <c r="Z467" i="2"/>
  <c r="W1568" i="4"/>
  <c r="M422" i="1"/>
  <c r="M2902" i="1" s="1"/>
  <c r="K237" i="1"/>
  <c r="AB2499" i="4"/>
  <c r="W166" i="4"/>
  <c r="W142" i="2"/>
  <c r="AB1034" i="1"/>
  <c r="W2575" i="1"/>
  <c r="W2922" i="1" s="1"/>
  <c r="V2535" i="4"/>
  <c r="AA437" i="2"/>
  <c r="AA781" i="1"/>
  <c r="W1013" i="4"/>
  <c r="X1137" i="2"/>
  <c r="AB1571" i="1"/>
  <c r="W1645" i="2"/>
  <c r="Z633" i="2"/>
  <c r="Z1681" i="1"/>
  <c r="Z1742" i="1" s="1"/>
  <c r="Z2912" i="1" s="1"/>
  <c r="Z565" i="2"/>
  <c r="Z1737" i="4"/>
  <c r="W2691" i="1"/>
  <c r="AA743" i="1"/>
  <c r="AA123" i="2"/>
  <c r="AA2470" i="4"/>
  <c r="M2313" i="4"/>
  <c r="AA684" i="2"/>
  <c r="AB1712" i="1"/>
  <c r="AA1514" i="2"/>
  <c r="AA2347" i="1"/>
  <c r="AA1758" i="4"/>
  <c r="AA1820" i="4"/>
  <c r="W743" i="1"/>
  <c r="Z844" i="1"/>
  <c r="Z142" i="2"/>
  <c r="W1085" i="4"/>
  <c r="AA661" i="4"/>
  <c r="W1617" i="2"/>
  <c r="W2681" i="2" s="1"/>
  <c r="Z262" i="1"/>
  <c r="Z422" i="1" s="1"/>
  <c r="Z2902" i="1" s="1"/>
  <c r="AA488" i="1"/>
  <c r="AB92" i="1"/>
  <c r="W92" i="4"/>
  <c r="Z922" i="1"/>
  <c r="AB2388" i="1"/>
  <c r="J879" i="2"/>
  <c r="AA2247" i="1"/>
  <c r="M823" i="4"/>
  <c r="AA2079" i="4"/>
  <c r="AA1492" i="2"/>
  <c r="F2755" i="4"/>
  <c r="W823" i="1"/>
  <c r="AA1847" i="1"/>
  <c r="W639" i="1"/>
  <c r="Q1543" i="4"/>
  <c r="Q2913" i="4" s="1"/>
  <c r="AA446" i="4"/>
  <c r="AA1282" i="1"/>
  <c r="AA1618" i="4"/>
  <c r="V2847" i="1"/>
  <c r="AB208" i="1"/>
  <c r="Z712" i="2"/>
  <c r="X2298" i="1"/>
  <c r="X2918" i="1" s="1"/>
  <c r="W1065" i="4"/>
  <c r="J320" i="2"/>
  <c r="W535" i="4"/>
  <c r="W2567" i="5" l="1"/>
  <c r="W2941" i="5" s="1"/>
  <c r="AA2294" i="5"/>
  <c r="AA2937" i="5" s="1"/>
  <c r="AA961" i="5"/>
  <c r="AA2925" i="5" s="1"/>
  <c r="V208" i="5"/>
  <c r="V237" i="5" s="1"/>
  <c r="Q237" i="5"/>
  <c r="W1543" i="5"/>
  <c r="W2929" i="5" s="1"/>
  <c r="K2919" i="5"/>
  <c r="K2948" i="5" s="1"/>
  <c r="K2755" i="5"/>
  <c r="AB2268" i="4"/>
  <c r="AB2268" i="5"/>
  <c r="AB2292" i="5" s="1"/>
  <c r="AB2336" i="4"/>
  <c r="AB2336" i="5"/>
  <c r="AB588" i="1"/>
  <c r="AB576" i="5"/>
  <c r="AB1681" i="1"/>
  <c r="AB1672" i="5"/>
  <c r="R2869" i="5"/>
  <c r="R2870" i="4"/>
  <c r="AB2672" i="4"/>
  <c r="AB2672" i="5"/>
  <c r="AB2683" i="5" s="1"/>
  <c r="AB2271" i="4"/>
  <c r="AB2271" i="5"/>
  <c r="AB2787" i="5"/>
  <c r="AB2787" i="4"/>
  <c r="AB941" i="1"/>
  <c r="AB926" i="5"/>
  <c r="AB941" i="5" s="1"/>
  <c r="V2848" i="5"/>
  <c r="V2849" i="4"/>
  <c r="AB2715" i="4"/>
  <c r="AB2715" i="5"/>
  <c r="AB2728" i="5" s="1"/>
  <c r="AB2005" i="4"/>
  <c r="AB2005" i="5"/>
  <c r="AB2011" i="5" s="1"/>
  <c r="AB2131" i="4"/>
  <c r="AB2131" i="5"/>
  <c r="AB2006" i="4"/>
  <c r="AB2006" i="5"/>
  <c r="AB2722" i="4"/>
  <c r="AB2722" i="5"/>
  <c r="AB2392" i="4"/>
  <c r="AB2392" i="5"/>
  <c r="AB2253" i="4"/>
  <c r="AB2253" i="5"/>
  <c r="AB2723" i="4"/>
  <c r="AB2723" i="5"/>
  <c r="AB2329" i="4"/>
  <c r="AB2329" i="5"/>
  <c r="AB2341" i="5" s="1"/>
  <c r="AB1376" i="1"/>
  <c r="AB1366" i="5"/>
  <c r="AB1375" i="5" s="1"/>
  <c r="AB1542" i="1"/>
  <c r="AB1536" i="5"/>
  <c r="AB1541" i="5" s="1"/>
  <c r="AB2225" i="4"/>
  <c r="AB2225" i="5"/>
  <c r="AB2697" i="4"/>
  <c r="AB2697" i="5"/>
  <c r="AB262" i="1"/>
  <c r="AB252" i="5"/>
  <c r="AB261" i="5" s="1"/>
  <c r="AB2055" i="4"/>
  <c r="AB2055" i="5"/>
  <c r="AB2806" i="5"/>
  <c r="AB2806" i="4"/>
  <c r="AB2597" i="4"/>
  <c r="AB2597" i="5"/>
  <c r="AB1310" i="1"/>
  <c r="AB1287" i="5"/>
  <c r="AB1466" i="4"/>
  <c r="AB1466" i="5"/>
  <c r="AB1245" i="1"/>
  <c r="AB1234" i="5"/>
  <c r="AB1244" i="5" s="1"/>
  <c r="AB2274" i="4"/>
  <c r="AB2274" i="5"/>
  <c r="AB2698" i="4"/>
  <c r="AB2698" i="5"/>
  <c r="AB2333" i="4"/>
  <c r="AB2333" i="5"/>
  <c r="V2773" i="5"/>
  <c r="V2773" i="4"/>
  <c r="J2851" i="5"/>
  <c r="J2852" i="4"/>
  <c r="AB1673" i="4"/>
  <c r="AB1673" i="5"/>
  <c r="AB1678" i="5" s="1"/>
  <c r="AB1739" i="5" s="1"/>
  <c r="AB2931" i="5" s="1"/>
  <c r="AB2724" i="4"/>
  <c r="AB2724" i="5"/>
  <c r="J2921" i="5"/>
  <c r="J2948" i="5" s="1"/>
  <c r="J2755" i="5"/>
  <c r="AA2885" i="5"/>
  <c r="AB1967" i="5"/>
  <c r="W2917" i="5"/>
  <c r="R226" i="5"/>
  <c r="R226" i="4"/>
  <c r="R217" i="2"/>
  <c r="AA1471" i="5"/>
  <c r="AB2428" i="5"/>
  <c r="M2917" i="5"/>
  <c r="M2948" i="5" s="1"/>
  <c r="M2755" i="5"/>
  <c r="AB739" i="5"/>
  <c r="AB708" i="2"/>
  <c r="AB739" i="4"/>
  <c r="R200" i="5"/>
  <c r="R192" i="2"/>
  <c r="R200" i="4"/>
  <c r="AB1751" i="5"/>
  <c r="AB1660" i="2"/>
  <c r="AB1751" i="4"/>
  <c r="W2683" i="5"/>
  <c r="W2752" i="5" s="1"/>
  <c r="W2945" i="5" s="1"/>
  <c r="V2869" i="5"/>
  <c r="V2870" i="4"/>
  <c r="AB2025" i="4"/>
  <c r="AB2025" i="5"/>
  <c r="AB2598" i="4"/>
  <c r="AB2598" i="5"/>
  <c r="AB2608" i="5" s="1"/>
  <c r="AB743" i="1"/>
  <c r="AB718" i="5"/>
  <c r="AB2231" i="4"/>
  <c r="AB2231" i="5"/>
  <c r="AB2032" i="4"/>
  <c r="AB2032" i="5"/>
  <c r="AB2034" i="4"/>
  <c r="AB2034" i="5"/>
  <c r="AB2523" i="4"/>
  <c r="AB2523" i="5"/>
  <c r="AB2217" i="4"/>
  <c r="AB2217" i="5"/>
  <c r="AB2360" i="4"/>
  <c r="AB2360" i="5"/>
  <c r="W2851" i="5"/>
  <c r="W2852" i="4"/>
  <c r="AB2423" i="4"/>
  <c r="AB2428" i="4" s="1"/>
  <c r="AB2423" i="5"/>
  <c r="AB1278" i="4"/>
  <c r="AB1278" i="5"/>
  <c r="AB1281" i="5" s="1"/>
  <c r="AB2170" i="4"/>
  <c r="AB2170" i="5"/>
  <c r="Q2849" i="5"/>
  <c r="Q2850" i="4"/>
  <c r="AB2027" i="4"/>
  <c r="AB2027" i="5"/>
  <c r="AA132" i="1"/>
  <c r="AA2898" i="1" s="1"/>
  <c r="W2085" i="1"/>
  <c r="W2916" i="1" s="1"/>
  <c r="AB1985" i="4"/>
  <c r="AB1985" i="5"/>
  <c r="AB1987" i="5" s="1"/>
  <c r="AB1903" i="1"/>
  <c r="AB1883" i="5"/>
  <c r="AB1899" i="5" s="1"/>
  <c r="AB2136" i="4"/>
  <c r="AB2136" i="5"/>
  <c r="X2929" i="1"/>
  <c r="AB2306" i="4"/>
  <c r="AB2306" i="5"/>
  <c r="AB2213" i="4"/>
  <c r="AB2213" i="5"/>
  <c r="AB557" i="1"/>
  <c r="AB553" i="5"/>
  <c r="AB558" i="5" s="1"/>
  <c r="AB2146" i="4"/>
  <c r="AB2146" i="5"/>
  <c r="AB2173" i="5" s="1"/>
  <c r="AB1944" i="4"/>
  <c r="AB1944" i="5"/>
  <c r="AB2820" i="5"/>
  <c r="AB2820" i="4"/>
  <c r="AB2788" i="5"/>
  <c r="AB2788" i="4"/>
  <c r="AB1276" i="4"/>
  <c r="AB1276" i="5"/>
  <c r="AB1498" i="1"/>
  <c r="AB1479" i="5"/>
  <c r="W2820" i="5"/>
  <c r="W2820" i="4"/>
  <c r="I2950" i="5"/>
  <c r="I2887" i="5"/>
  <c r="I2756" i="5"/>
  <c r="R213" i="5"/>
  <c r="R235" i="5" s="1"/>
  <c r="R204" i="2"/>
  <c r="R213" i="4"/>
  <c r="AB428" i="5"/>
  <c r="AB446" i="5" s="1"/>
  <c r="AB410" i="2"/>
  <c r="AB428" i="4"/>
  <c r="AB2602" i="4"/>
  <c r="AB2602" i="5"/>
  <c r="AB872" i="5"/>
  <c r="AB180" i="5"/>
  <c r="AB172" i="2"/>
  <c r="AB180" i="4"/>
  <c r="R199" i="5"/>
  <c r="R199" i="4"/>
  <c r="R191" i="2"/>
  <c r="AB43" i="5"/>
  <c r="AB45" i="5" s="1"/>
  <c r="AB43" i="4"/>
  <c r="AB39" i="2"/>
  <c r="AB1073" i="5"/>
  <c r="AB1085" i="5" s="1"/>
  <c r="AB1026" i="2"/>
  <c r="AB1073" i="4"/>
  <c r="AB2121" i="4"/>
  <c r="AB2121" i="5"/>
  <c r="AB1936" i="4"/>
  <c r="AB1936" i="5"/>
  <c r="AB1282" i="1"/>
  <c r="AB1257" i="5"/>
  <c r="AB624" i="1"/>
  <c r="AB619" i="5"/>
  <c r="AB625" i="5" s="1"/>
  <c r="AB2603" i="4"/>
  <c r="AB2603" i="5"/>
  <c r="AB2680" i="4"/>
  <c r="AB2680" i="5"/>
  <c r="AB2335" i="4"/>
  <c r="AB2335" i="5"/>
  <c r="AB2649" i="4"/>
  <c r="AB2649" i="5"/>
  <c r="AB2658" i="5" s="1"/>
  <c r="AB2660" i="5" s="1"/>
  <c r="AB2943" i="5" s="1"/>
  <c r="AB2821" i="5"/>
  <c r="AB2821" i="4"/>
  <c r="Q2851" i="5"/>
  <c r="Q2852" i="4"/>
  <c r="AB1929" i="4"/>
  <c r="AB1929" i="5"/>
  <c r="AB2740" i="4"/>
  <c r="AB2750" i="4" s="1"/>
  <c r="AB2740" i="5"/>
  <c r="AB2750" i="5" s="1"/>
  <c r="AB2120" i="4"/>
  <c r="AB2120" i="5"/>
  <c r="AB2138" i="5" s="1"/>
  <c r="AB586" i="4"/>
  <c r="AB586" i="5"/>
  <c r="AB1847" i="1"/>
  <c r="AB1828" i="5"/>
  <c r="AB2507" i="4"/>
  <c r="AB2507" i="5"/>
  <c r="AB2515" i="5" s="1"/>
  <c r="AB2605" i="4"/>
  <c r="AB2605" i="5"/>
  <c r="W2862" i="5"/>
  <c r="W2863" i="4"/>
  <c r="AB2874" i="5"/>
  <c r="AB2875" i="4"/>
  <c r="AB2606" i="4"/>
  <c r="AB2606" i="5"/>
  <c r="AB2512" i="4"/>
  <c r="AB2512" i="5"/>
  <c r="AB2019" i="4"/>
  <c r="AB2019" i="5"/>
  <c r="AB1941" i="4"/>
  <c r="AB1941" i="5"/>
  <c r="AA237" i="1"/>
  <c r="AA2900" i="1" s="1"/>
  <c r="W132" i="1"/>
  <c r="AB2255" i="4"/>
  <c r="AB2255" i="5"/>
  <c r="AB2187" i="4"/>
  <c r="AB2194" i="4" s="1"/>
  <c r="AB2187" i="5"/>
  <c r="V2872" i="5"/>
  <c r="V2873" i="4"/>
  <c r="AB2792" i="5"/>
  <c r="AB2792" i="4"/>
  <c r="W2880" i="5"/>
  <c r="W2881" i="4"/>
  <c r="AB844" i="5"/>
  <c r="AB1162" i="5"/>
  <c r="AB1166" i="5" s="1"/>
  <c r="AB1190" i="5" s="1"/>
  <c r="AB2927" i="5" s="1"/>
  <c r="AB1111" i="2"/>
  <c r="AB1162" i="4"/>
  <c r="AB596" i="5"/>
  <c r="AB607" i="5" s="1"/>
  <c r="AB572" i="2"/>
  <c r="AB596" i="4"/>
  <c r="AB1450" i="5"/>
  <c r="AB1471" i="5" s="1"/>
  <c r="AB1450" i="4"/>
  <c r="AB1379" i="2"/>
  <c r="AB2404" i="4"/>
  <c r="AB2404" i="5"/>
  <c r="AB2410" i="5" s="1"/>
  <c r="AB2112" i="5"/>
  <c r="AB2262" i="5"/>
  <c r="AA2752" i="5"/>
  <c r="AA2945" i="5" s="1"/>
  <c r="AB194" i="5"/>
  <c r="AB208" i="5" s="1"/>
  <c r="AB186" i="2"/>
  <c r="AB194" i="4"/>
  <c r="AB2635" i="5"/>
  <c r="AB2704" i="5"/>
  <c r="AB2382" i="5"/>
  <c r="U2755" i="5"/>
  <c r="AA1969" i="5"/>
  <c r="AA2933" i="5" s="1"/>
  <c r="AB1917" i="4"/>
  <c r="AB1917" i="5"/>
  <c r="W2845" i="5"/>
  <c r="W2846" i="4"/>
  <c r="AB68" i="1"/>
  <c r="AB65" i="5"/>
  <c r="AB68" i="5" s="1"/>
  <c r="AB132" i="5" s="1"/>
  <c r="AB2917" i="5" s="1"/>
  <c r="AB2152" i="4"/>
  <c r="AB2152" i="5"/>
  <c r="AB1403" i="1"/>
  <c r="AB1389" i="5"/>
  <c r="AB1402" i="5" s="1"/>
  <c r="AB394" i="4"/>
  <c r="AB394" i="5"/>
  <c r="AB398" i="5" s="1"/>
  <c r="AB2337" i="4"/>
  <c r="AB2337" i="5"/>
  <c r="AB1908" i="4"/>
  <c r="AB1908" i="5"/>
  <c r="AB1922" i="5" s="1"/>
  <c r="AB2304" i="4"/>
  <c r="AB2304" i="5"/>
  <c r="AB2313" i="5" s="1"/>
  <c r="AB2348" i="4"/>
  <c r="AB2348" i="5"/>
  <c r="AB2366" i="5" s="1"/>
  <c r="AB2200" i="4"/>
  <c r="AB2200" i="5"/>
  <c r="AB2219" i="5" s="1"/>
  <c r="AB2782" i="5"/>
  <c r="AB2782" i="4"/>
  <c r="AB2406" i="4"/>
  <c r="AB2406" i="5"/>
  <c r="AB915" i="4"/>
  <c r="AB915" i="5"/>
  <c r="AB922" i="5" s="1"/>
  <c r="AB2122" i="4"/>
  <c r="AB2122" i="5"/>
  <c r="AB1938" i="4"/>
  <c r="AB1938" i="5"/>
  <c r="AB2528" i="4"/>
  <c r="AB2528" i="5"/>
  <c r="AB1428" i="4"/>
  <c r="AB1428" i="5"/>
  <c r="AB1433" i="5" s="1"/>
  <c r="AB1927" i="4"/>
  <c r="AB1927" i="5"/>
  <c r="AB1951" i="5" s="1"/>
  <c r="AB2800" i="5"/>
  <c r="AB2800" i="4"/>
  <c r="AB2869" i="5"/>
  <c r="AB2870" i="4"/>
  <c r="AB2278" i="4"/>
  <c r="AB2278" i="5"/>
  <c r="AB2793" i="5"/>
  <c r="AB2793" i="4"/>
  <c r="AB2135" i="4"/>
  <c r="AB2135" i="5"/>
  <c r="AB2007" i="4"/>
  <c r="AB2007" i="5"/>
  <c r="AB1126" i="4"/>
  <c r="AB1126" i="5"/>
  <c r="AB1129" i="5" s="1"/>
  <c r="AB370" i="1"/>
  <c r="AB344" i="5"/>
  <c r="AB369" i="5" s="1"/>
  <c r="AB2808" i="5"/>
  <c r="AB2808" i="4"/>
  <c r="AB2527" i="4"/>
  <c r="AB2527" i="5"/>
  <c r="AB2535" i="5" s="1"/>
  <c r="AB823" i="1"/>
  <c r="AB815" i="5"/>
  <c r="AB823" i="5" s="1"/>
  <c r="Z639" i="1"/>
  <c r="Z2904" i="1" s="1"/>
  <c r="AB184" i="5"/>
  <c r="AB1911" i="4"/>
  <c r="AB1911" i="5"/>
  <c r="AB2334" i="4"/>
  <c r="AB2334" i="5"/>
  <c r="AB228" i="4"/>
  <c r="AB228" i="5"/>
  <c r="AB235" i="5" s="1"/>
  <c r="AB2870" i="5"/>
  <c r="AB2871" i="4"/>
  <c r="AB2059" i="5"/>
  <c r="AB2081" i="5" s="1"/>
  <c r="AB2935" i="5" s="1"/>
  <c r="AB1916" i="4"/>
  <c r="AB1916" i="5"/>
  <c r="AB2288" i="4"/>
  <c r="AB2288" i="5"/>
  <c r="AB2307" i="4"/>
  <c r="AB2307" i="5"/>
  <c r="AB1834" i="5"/>
  <c r="AB1742" i="2"/>
  <c r="AB1834" i="4"/>
  <c r="P2756" i="5"/>
  <c r="P2948" i="5"/>
  <c r="P2950" i="5" s="1"/>
  <c r="P2887" i="5"/>
  <c r="AB1568" i="5"/>
  <c r="X2755" i="5"/>
  <c r="AB2885" i="5"/>
  <c r="R205" i="5"/>
  <c r="R208" i="5" s="1"/>
  <c r="R196" i="2"/>
  <c r="R205" i="4"/>
  <c r="AB2499" i="5"/>
  <c r="AB979" i="5"/>
  <c r="AB984" i="5" s="1"/>
  <c r="AB979" i="4"/>
  <c r="AB937" i="2"/>
  <c r="AB1309" i="5"/>
  <c r="AB1488" i="5"/>
  <c r="AB1412" i="2"/>
  <c r="AB1488" i="4"/>
  <c r="R204" i="5"/>
  <c r="R195" i="2"/>
  <c r="R204" i="4"/>
  <c r="U2948" i="5"/>
  <c r="AB2194" i="5"/>
  <c r="AB2037" i="5"/>
  <c r="AA1543" i="5"/>
  <c r="AA2929" i="5" s="1"/>
  <c r="AA2948" i="5" s="1"/>
  <c r="J1865" i="2"/>
  <c r="J2738" i="2" s="1"/>
  <c r="AA369" i="4"/>
  <c r="AA2728" i="2"/>
  <c r="AB2728" i="2" s="1"/>
  <c r="AA2011" i="4"/>
  <c r="AA1332" i="2"/>
  <c r="AA833" i="2"/>
  <c r="X1865" i="2"/>
  <c r="AA898" i="2"/>
  <c r="AA872" i="4"/>
  <c r="AB489" i="2"/>
  <c r="V2617" i="2"/>
  <c r="AB509" i="4"/>
  <c r="AA1402" i="4"/>
  <c r="W1214" i="4"/>
  <c r="AA2262" i="4"/>
  <c r="W1433" i="4"/>
  <c r="W1402" i="4"/>
  <c r="AA1471" i="4"/>
  <c r="W1166" i="4"/>
  <c r="W1190" i="4" s="1"/>
  <c r="W2911" i="4" s="1"/>
  <c r="M918" i="2"/>
  <c r="M2730" i="2" s="1"/>
  <c r="AA2730" i="2" s="1"/>
  <c r="AB2730" i="2" s="1"/>
  <c r="W1115" i="2"/>
  <c r="W1137" i="2" s="1"/>
  <c r="W2732" i="2" s="1"/>
  <c r="AB1018" i="2"/>
  <c r="AB1720" i="4"/>
  <c r="AA743" i="4"/>
  <c r="AA1362" i="2"/>
  <c r="I2755" i="4"/>
  <c r="W1362" i="2"/>
  <c r="W1332" i="2"/>
  <c r="Q918" i="2"/>
  <c r="Q2730" i="2" s="1"/>
  <c r="V2567" i="4"/>
  <c r="V2925" i="4" s="1"/>
  <c r="M2567" i="4"/>
  <c r="M2925" i="4" s="1"/>
  <c r="AB607" i="4"/>
  <c r="AA1678" i="4"/>
  <c r="AA1739" i="4" s="1"/>
  <c r="AA2915" i="4" s="1"/>
  <c r="AA1214" i="4"/>
  <c r="AB2173" i="4"/>
  <c r="I2724" i="2"/>
  <c r="I2753" i="2" s="1"/>
  <c r="W743" i="4"/>
  <c r="AA2313" i="4"/>
  <c r="H2597" i="2"/>
  <c r="M1466" i="2"/>
  <c r="M2734" i="2" s="1"/>
  <c r="AA2734" i="2" s="1"/>
  <c r="AB2734" i="2" s="1"/>
  <c r="W2608" i="4"/>
  <c r="W2660" i="4" s="1"/>
  <c r="W2927" i="4" s="1"/>
  <c r="AA941" i="4"/>
  <c r="AB142" i="2"/>
  <c r="Q2655" i="2"/>
  <c r="P2597" i="2"/>
  <c r="AB2704" i="4"/>
  <c r="W1246" i="2"/>
  <c r="M1969" i="4"/>
  <c r="M2917" i="4" s="1"/>
  <c r="X1466" i="2"/>
  <c r="M2752" i="4"/>
  <c r="M2929" i="4" s="1"/>
  <c r="V918" i="2"/>
  <c r="V2730" i="2" s="1"/>
  <c r="AA691" i="4"/>
  <c r="W898" i="2"/>
  <c r="J1969" i="4"/>
  <c r="J2917" i="4" s="1"/>
  <c r="M421" i="4"/>
  <c r="M2905" i="4" s="1"/>
  <c r="X403" i="2"/>
  <c r="AA855" i="2"/>
  <c r="W1309" i="4"/>
  <c r="AA320" i="2"/>
  <c r="AA2704" i="4"/>
  <c r="AA2736" i="2"/>
  <c r="AB2736" i="2" s="1"/>
  <c r="AA2732" i="2"/>
  <c r="AB2732" i="2" s="1"/>
  <c r="AA661" i="2"/>
  <c r="AB2262" i="4"/>
  <c r="AB2313" i="4"/>
  <c r="M1865" i="2"/>
  <c r="M2738" i="2" s="1"/>
  <c r="AA2738" i="2" s="1"/>
  <c r="AB2738" i="2" s="1"/>
  <c r="AB1249" i="4"/>
  <c r="AB1190" i="2"/>
  <c r="R198" i="4"/>
  <c r="R190" i="2"/>
  <c r="M1543" i="4"/>
  <c r="M2913" i="4" s="1"/>
  <c r="AA2243" i="4"/>
  <c r="AB2728" i="4"/>
  <c r="AA1395" i="2"/>
  <c r="Q208" i="4"/>
  <c r="V208" i="4" s="1"/>
  <c r="V237" i="4" s="1"/>
  <c r="AB2691" i="1"/>
  <c r="V2660" i="4"/>
  <c r="V2927" i="4" s="1"/>
  <c r="J1543" i="4"/>
  <c r="J2913" i="4" s="1"/>
  <c r="W2567" i="4"/>
  <c r="W2925" i="4" s="1"/>
  <c r="AB2616" i="1"/>
  <c r="AA2886" i="4"/>
  <c r="AA1800" i="2"/>
  <c r="AA1544" i="1"/>
  <c r="AA2910" i="1" s="1"/>
  <c r="R235" i="1"/>
  <c r="AB2594" i="2"/>
  <c r="W941" i="4"/>
  <c r="AA789" i="2"/>
  <c r="AB634" i="4"/>
  <c r="AB638" i="4" s="1"/>
  <c r="AB609" i="2"/>
  <c r="AB613" i="2" s="1"/>
  <c r="AB268" i="2"/>
  <c r="AA1973" i="1"/>
  <c r="AA2914" i="1" s="1"/>
  <c r="V961" i="4"/>
  <c r="V2909" i="4" s="1"/>
  <c r="AA639" i="1"/>
  <c r="AA2904" i="1" s="1"/>
  <c r="W2827" i="1"/>
  <c r="AB691" i="1"/>
  <c r="AA1375" i="4"/>
  <c r="AA1309" i="4"/>
  <c r="J421" i="4"/>
  <c r="AA132" i="4"/>
  <c r="AA2901" i="4" s="1"/>
  <c r="M403" i="2"/>
  <c r="M2726" i="2" s="1"/>
  <c r="AA2726" i="2" s="1"/>
  <c r="AB2726" i="2" s="1"/>
  <c r="J961" i="4"/>
  <c r="J2909" i="4" s="1"/>
  <c r="AB1403" i="2"/>
  <c r="AB1479" i="4"/>
  <c r="AB1497" i="4" s="1"/>
  <c r="Z1544" i="1"/>
  <c r="Z2910" i="1" s="1"/>
  <c r="R208" i="1"/>
  <c r="AA2298" i="1"/>
  <c r="AA2918" i="1" s="1"/>
  <c r="AA712" i="2"/>
  <c r="AB166" i="4"/>
  <c r="AB1085" i="4"/>
  <c r="AA879" i="2"/>
  <c r="Q199" i="2"/>
  <c r="AA398" i="4"/>
  <c r="AB235" i="4"/>
  <c r="Q235" i="4"/>
  <c r="AA2728" i="4"/>
  <c r="W712" i="2"/>
  <c r="AB583" i="2"/>
  <c r="AB199" i="2"/>
  <c r="AA589" i="4"/>
  <c r="AA640" i="4" s="1"/>
  <c r="AA2907" i="4" s="1"/>
  <c r="J1466" i="2"/>
  <c r="J2653" i="2" s="1"/>
  <c r="AB2041" i="1"/>
  <c r="V1466" i="2"/>
  <c r="V2734" i="2" s="1"/>
  <c r="Q961" i="4"/>
  <c r="Q2909" i="4" s="1"/>
  <c r="U2929" i="1"/>
  <c r="AB2037" i="4"/>
  <c r="Z125" i="2"/>
  <c r="AA2138" i="4"/>
  <c r="AA1281" i="4"/>
  <c r="AB2515" i="4"/>
  <c r="AB1709" i="4"/>
  <c r="W125" i="2"/>
  <c r="AA299" i="2"/>
  <c r="W1739" i="4"/>
  <c r="W2915" i="4" s="1"/>
  <c r="W615" i="2"/>
  <c r="W2728" i="2" s="1"/>
  <c r="J918" i="2"/>
  <c r="J2730" i="2" s="1"/>
  <c r="AB149" i="4"/>
  <c r="AA1769" i="2"/>
  <c r="AB87" i="2"/>
  <c r="Z1137" i="2"/>
  <c r="AA1306" i="2"/>
  <c r="AB1037" i="2"/>
  <c r="AA353" i="2"/>
  <c r="AA1899" i="4"/>
  <c r="W1281" i="4"/>
  <c r="AA1246" i="2"/>
  <c r="AB1129" i="4"/>
  <c r="AA312" i="4"/>
  <c r="AB419" i="4"/>
  <c r="AA823" i="4"/>
  <c r="AB1065" i="4"/>
  <c r="AA1433" i="4"/>
  <c r="AB401" i="2"/>
  <c r="AB522" i="4"/>
  <c r="Z615" i="2"/>
  <c r="AA2683" i="4"/>
  <c r="AA1865" i="4"/>
  <c r="AB1079" i="2"/>
  <c r="AB92" i="4"/>
  <c r="Z403" i="2"/>
  <c r="W2081" i="4"/>
  <c r="W2919" i="4" s="1"/>
  <c r="M2294" i="4"/>
  <c r="M2921" i="4" s="1"/>
  <c r="AB1420" i="2"/>
  <c r="AB1492" i="2"/>
  <c r="K226" i="2"/>
  <c r="AB526" i="2"/>
  <c r="AA125" i="2"/>
  <c r="M961" i="4"/>
  <c r="M2909" i="4" s="1"/>
  <c r="M2448" i="4"/>
  <c r="M2923" i="4" s="1"/>
  <c r="W640" i="4"/>
  <c r="W2907" i="4" s="1"/>
  <c r="AB2608" i="4"/>
  <c r="AA2292" i="4"/>
  <c r="AA2341" i="4"/>
  <c r="AB502" i="2"/>
  <c r="AB158" i="2"/>
  <c r="AA922" i="4"/>
  <c r="AB208" i="4"/>
  <c r="AA380" i="2"/>
  <c r="Q224" i="2"/>
  <c r="AA2219" i="4"/>
  <c r="AB280" i="4"/>
  <c r="AA895" i="4"/>
  <c r="AA1951" i="4"/>
  <c r="Z1865" i="2"/>
  <c r="J403" i="2"/>
  <c r="X918" i="2"/>
  <c r="AA2515" i="4"/>
  <c r="AA2037" i="4"/>
  <c r="AA2608" i="4"/>
  <c r="AB480" i="2"/>
  <c r="K237" i="4"/>
  <c r="W911" i="2"/>
  <c r="W913" i="2" s="1"/>
  <c r="W954" i="4"/>
  <c r="W956" i="4" s="1"/>
  <c r="W956" i="1"/>
  <c r="W961" i="1" s="1"/>
  <c r="W2906" i="1" s="1"/>
  <c r="AB1342" i="2"/>
  <c r="AB1412" i="4"/>
  <c r="AB867" i="2"/>
  <c r="AB907" i="4"/>
  <c r="AB2518" i="4"/>
  <c r="AB2535" i="4" s="1"/>
  <c r="AB2543" i="1"/>
  <c r="AB363" i="2"/>
  <c r="AB379" i="4"/>
  <c r="AB1027" i="4"/>
  <c r="AB1033" i="4" s="1"/>
  <c r="AB982" i="2"/>
  <c r="AB988" i="2" s="1"/>
  <c r="AB1090" i="2"/>
  <c r="AB1093" i="2" s="1"/>
  <c r="AB1140" i="4"/>
  <c r="AB1143" i="4" s="1"/>
  <c r="W2782" i="1"/>
  <c r="W2898" i="1"/>
  <c r="AB1680" i="2"/>
  <c r="AB1693" i="2" s="1"/>
  <c r="AB1771" i="4"/>
  <c r="AB1784" i="4" s="1"/>
  <c r="AB1378" i="2"/>
  <c r="AB1449" i="4"/>
  <c r="AB2385" i="4"/>
  <c r="AB2410" i="4" s="1"/>
  <c r="AB2416" i="1"/>
  <c r="AB873" i="2"/>
  <c r="AB914" i="4"/>
  <c r="AB762" i="2"/>
  <c r="AB768" i="2" s="1"/>
  <c r="AB795" i="4"/>
  <c r="AB802" i="4" s="1"/>
  <c r="AB1198" i="2"/>
  <c r="AB1257" i="4"/>
  <c r="AB1672" i="4"/>
  <c r="AB1678" i="4" s="1"/>
  <c r="AB1585" i="2"/>
  <c r="AB1589" i="2" s="1"/>
  <c r="AB1154" i="2"/>
  <c r="AB1206" i="4"/>
  <c r="AB595" i="2"/>
  <c r="AB600" i="2" s="1"/>
  <c r="AB619" i="4"/>
  <c r="AB625" i="4" s="1"/>
  <c r="AB1763" i="2"/>
  <c r="AB1857" i="4"/>
  <c r="AB715" i="2"/>
  <c r="AB725" i="2" s="1"/>
  <c r="AB746" i="4"/>
  <c r="AB756" i="4" s="1"/>
  <c r="AB756" i="1"/>
  <c r="AB374" i="2"/>
  <c r="AB390" i="4"/>
  <c r="AB883" i="2"/>
  <c r="AB926" i="4"/>
  <c r="AA911" i="2"/>
  <c r="AA913" i="2" s="1"/>
  <c r="AA954" i="4"/>
  <c r="AA956" i="4" s="1"/>
  <c r="AB954" i="1"/>
  <c r="AB954" i="5" s="1"/>
  <c r="AB956" i="5" s="1"/>
  <c r="AA956" i="1"/>
  <c r="AA961" i="1" s="1"/>
  <c r="AA2906" i="1" s="1"/>
  <c r="AB307" i="2"/>
  <c r="AB320" i="4"/>
  <c r="AB1759" i="2"/>
  <c r="AB1853" i="4"/>
  <c r="AB1097" i="2"/>
  <c r="AB1115" i="2" s="1"/>
  <c r="AB1147" i="4"/>
  <c r="AB1166" i="4" s="1"/>
  <c r="AB1167" i="1"/>
  <c r="R211" i="2"/>
  <c r="R220" i="4"/>
  <c r="AB25" i="2"/>
  <c r="AB41" i="2" s="1"/>
  <c r="AB26" i="4"/>
  <c r="AB45" i="4" s="1"/>
  <c r="AB45" i="1"/>
  <c r="AB1257" i="2"/>
  <c r="AB1274" i="2" s="1"/>
  <c r="AB1320" i="4"/>
  <c r="AB1339" i="4" s="1"/>
  <c r="AB318" i="2"/>
  <c r="AB331" i="4"/>
  <c r="AB1360" i="2"/>
  <c r="AB1431" i="4"/>
  <c r="AB2639" i="4"/>
  <c r="AB2658" i="4" s="1"/>
  <c r="AB2666" i="1"/>
  <c r="AB1322" i="2"/>
  <c r="AB1391" i="4"/>
  <c r="AB820" i="2"/>
  <c r="AB855" i="4"/>
  <c r="AB939" i="2"/>
  <c r="AB941" i="2" s="1"/>
  <c r="AB982" i="4"/>
  <c r="AB984" i="4" s="1"/>
  <c r="AB1777" i="2"/>
  <c r="AB1873" i="4"/>
  <c r="AB462" i="2"/>
  <c r="AB467" i="2" s="1"/>
  <c r="AB482" i="4"/>
  <c r="AB487" i="4" s="1"/>
  <c r="AB1637" i="4"/>
  <c r="AB1639" i="4" s="1"/>
  <c r="AB1554" i="2"/>
  <c r="AB1556" i="2" s="1"/>
  <c r="AB278" i="2"/>
  <c r="AB290" i="4"/>
  <c r="AB1239" i="2"/>
  <c r="AB1302" i="4"/>
  <c r="AB1208" i="2"/>
  <c r="AB1267" i="4"/>
  <c r="AB1347" i="2"/>
  <c r="AB1417" i="4"/>
  <c r="AB776" i="2"/>
  <c r="AB810" i="4"/>
  <c r="V2862" i="1"/>
  <c r="AB2758" i="1"/>
  <c r="AB1106" i="4"/>
  <c r="M2929" i="1"/>
  <c r="W1647" i="2"/>
  <c r="W2736" i="2" s="1"/>
  <c r="AA1190" i="4"/>
  <c r="AA2911" i="4" s="1"/>
  <c r="AB453" i="2"/>
  <c r="AA333" i="4"/>
  <c r="W2760" i="1"/>
  <c r="Z1647" i="2"/>
  <c r="AB1605" i="2"/>
  <c r="W1544" i="1"/>
  <c r="W2910" i="1" s="1"/>
  <c r="AB639" i="1"/>
  <c r="AB2904" i="1" s="1"/>
  <c r="AB545" i="4"/>
  <c r="AB1951" i="4"/>
  <c r="AB2341" i="4"/>
  <c r="Z1190" i="1"/>
  <c r="Z2908" i="1" s="1"/>
  <c r="AB1144" i="1"/>
  <c r="AB2434" i="1"/>
  <c r="V1543" i="4"/>
  <c r="V2913" i="4" s="1"/>
  <c r="AB1618" i="4"/>
  <c r="AB1568" i="4"/>
  <c r="AA2173" i="4"/>
  <c r="AB123" i="2"/>
  <c r="AB1645" i="2"/>
  <c r="AB1987" i="4"/>
  <c r="AA2059" i="4"/>
  <c r="AB107" i="4"/>
  <c r="AB500" i="4"/>
  <c r="M2763" i="1"/>
  <c r="U2763" i="1"/>
  <c r="AB659" i="2"/>
  <c r="AB689" i="4"/>
  <c r="AB2104" i="4"/>
  <c r="AB2112" i="4" s="1"/>
  <c r="AB2116" i="1"/>
  <c r="H2753" i="2"/>
  <c r="X2722" i="2"/>
  <c r="AB1148" i="2"/>
  <c r="AB1160" i="2" s="1"/>
  <c r="AB1200" i="4"/>
  <c r="M2722" i="2"/>
  <c r="AB2886" i="4"/>
  <c r="AB2862" i="1"/>
  <c r="R188" i="2"/>
  <c r="R196" i="4"/>
  <c r="AB839" i="2"/>
  <c r="AB878" i="4"/>
  <c r="R208" i="2"/>
  <c r="R217" i="4"/>
  <c r="AB701" i="2"/>
  <c r="AB731" i="4"/>
  <c r="AB1180" i="2"/>
  <c r="AB1185" i="2" s="1"/>
  <c r="AB1234" i="4"/>
  <c r="AB1244" i="4" s="1"/>
  <c r="K2900" i="1"/>
  <c r="K2929" i="1" s="1"/>
  <c r="K2763" i="1"/>
  <c r="AB376" i="2"/>
  <c r="AB392" i="4"/>
  <c r="AB12" i="2"/>
  <c r="AB21" i="2" s="1"/>
  <c r="AB12" i="4"/>
  <c r="AB22" i="4" s="1"/>
  <c r="AB22" i="1"/>
  <c r="AB1204" i="2"/>
  <c r="AB1263" i="4"/>
  <c r="R186" i="2"/>
  <c r="R194" i="4"/>
  <c r="AB1764" i="2"/>
  <c r="AB1858" i="4"/>
  <c r="AB303" i="2"/>
  <c r="AB316" i="4"/>
  <c r="AB334" i="1"/>
  <c r="AB283" i="2"/>
  <c r="AB295" i="4"/>
  <c r="J2910" i="1"/>
  <c r="J2828" i="1"/>
  <c r="Q2734" i="2"/>
  <c r="Q2653" i="2"/>
  <c r="Q237" i="1"/>
  <c r="V208" i="1"/>
  <c r="V237" i="1" s="1"/>
  <c r="X2932" i="4"/>
  <c r="AB1571" i="2"/>
  <c r="AB1573" i="2" s="1"/>
  <c r="AB1657" i="4"/>
  <c r="AB1659" i="4" s="1"/>
  <c r="AB2541" i="4"/>
  <c r="AB2565" i="4" s="1"/>
  <c r="AB2573" i="1"/>
  <c r="AB2575" i="1" s="1"/>
  <c r="AB2922" i="1" s="1"/>
  <c r="AB174" i="2"/>
  <c r="AB182" i="4"/>
  <c r="AB1787" i="2"/>
  <c r="AB1883" i="4"/>
  <c r="R194" i="2"/>
  <c r="R203" i="4"/>
  <c r="Z911" i="2"/>
  <c r="Z913" i="2" s="1"/>
  <c r="Z918" i="2" s="1"/>
  <c r="Z956" i="1"/>
  <c r="Z961" i="1" s="1"/>
  <c r="Z2906" i="1" s="1"/>
  <c r="AB1353" i="2"/>
  <c r="AB1423" i="4"/>
  <c r="AB534" i="2"/>
  <c r="AB537" i="2" s="1"/>
  <c r="AB553" i="4"/>
  <c r="AB558" i="4" s="1"/>
  <c r="AB242" i="2"/>
  <c r="AB250" i="2" s="1"/>
  <c r="AB252" i="4"/>
  <c r="AB261" i="4" s="1"/>
  <c r="AB341" i="2"/>
  <c r="AB355" i="4"/>
  <c r="R212" i="2"/>
  <c r="R221" i="4"/>
  <c r="AB2041" i="4"/>
  <c r="AB2059" i="4" s="1"/>
  <c r="AB2063" i="1"/>
  <c r="AB714" i="4"/>
  <c r="AB1537" i="2"/>
  <c r="AB1788" i="1"/>
  <c r="AB101" i="2"/>
  <c r="AA1190" i="1"/>
  <c r="AA2908" i="1" s="1"/>
  <c r="AB1710" i="2"/>
  <c r="AB2011" i="4"/>
  <c r="AB515" i="2"/>
  <c r="AB922" i="1"/>
  <c r="AB2219" i="4"/>
  <c r="AA2535" i="4"/>
  <c r="AB473" i="4"/>
  <c r="AB2292" i="4"/>
  <c r="AB224" i="2"/>
  <c r="W132" i="4"/>
  <c r="AB2177" i="1"/>
  <c r="Z1466" i="2"/>
  <c r="AB2243" i="4"/>
  <c r="AB1697" i="4"/>
  <c r="AB968" i="2"/>
  <c r="AB437" i="2"/>
  <c r="AB1955" i="1"/>
  <c r="AB1004" i="2"/>
  <c r="AB426" i="2"/>
  <c r="AB2347" i="1"/>
  <c r="W2752" i="4"/>
  <c r="W2929" i="4" s="1"/>
  <c r="W2625" i="2"/>
  <c r="AB633" i="2"/>
  <c r="AB1728" i="2"/>
  <c r="AB1514" i="2"/>
  <c r="AB130" i="4"/>
  <c r="AA176" i="2"/>
  <c r="AA226" i="2" s="1"/>
  <c r="AB1737" i="4"/>
  <c r="AB1991" i="1"/>
  <c r="AA1922" i="4"/>
  <c r="AA2366" i="4"/>
  <c r="W176" i="2"/>
  <c r="AB2138" i="4"/>
  <c r="U2597" i="2"/>
  <c r="AB61" i="2"/>
  <c r="AB64" i="2" s="1"/>
  <c r="AB65" i="4"/>
  <c r="AB68" i="4" s="1"/>
  <c r="R209" i="2"/>
  <c r="R218" i="4"/>
  <c r="AB852" i="2"/>
  <c r="AB892" i="4"/>
  <c r="R187" i="2"/>
  <c r="R195" i="4"/>
  <c r="AB1736" i="2"/>
  <c r="AB1749" i="2" s="1"/>
  <c r="AB1828" i="4"/>
  <c r="AB1843" i="4" s="1"/>
  <c r="AB781" i="2"/>
  <c r="AB815" i="4"/>
  <c r="AB163" i="2"/>
  <c r="AB171" i="4"/>
  <c r="AB184" i="1"/>
  <c r="AB237" i="1" s="1"/>
  <c r="AB2900" i="1" s="1"/>
  <c r="R207" i="2"/>
  <c r="R216" i="4"/>
  <c r="AB290" i="2"/>
  <c r="AB302" i="4"/>
  <c r="W2904" i="1"/>
  <c r="W2850" i="1"/>
  <c r="AB1118" i="2"/>
  <c r="AB1135" i="2" s="1"/>
  <c r="AB1169" i="4"/>
  <c r="AB1188" i="4" s="1"/>
  <c r="AB1188" i="1"/>
  <c r="AB688" i="2"/>
  <c r="AB718" i="4"/>
  <c r="AB555" i="2"/>
  <c r="AB565" i="2" s="1"/>
  <c r="AB576" i="4"/>
  <c r="AB589" i="4" s="1"/>
  <c r="AB1320" i="2"/>
  <c r="AB1389" i="4"/>
  <c r="AB1386" i="2"/>
  <c r="AB1395" i="2" s="1"/>
  <c r="AB1457" i="4"/>
  <c r="AB864" i="2"/>
  <c r="AB904" i="4"/>
  <c r="AB1153" i="2"/>
  <c r="AB1205" i="4"/>
  <c r="R210" i="2"/>
  <c r="R219" i="4"/>
  <c r="AB294" i="2"/>
  <c r="AB306" i="4"/>
  <c r="AB1897" i="4"/>
  <c r="AB1798" i="2"/>
  <c r="R206" i="2"/>
  <c r="R215" i="4"/>
  <c r="AB737" i="2"/>
  <c r="AB748" i="2" s="1"/>
  <c r="AB768" i="4"/>
  <c r="AB781" i="4" s="1"/>
  <c r="AB887" i="2"/>
  <c r="AB930" i="4"/>
  <c r="AB804" i="2"/>
  <c r="AB809" i="2" s="1"/>
  <c r="AB838" i="4"/>
  <c r="AB844" i="4" s="1"/>
  <c r="AB823" i="2"/>
  <c r="AB858" i="4"/>
  <c r="R189" i="2"/>
  <c r="R197" i="4"/>
  <c r="AB1297" i="2"/>
  <c r="AB1366" i="4"/>
  <c r="AB1459" i="2"/>
  <c r="AB1464" i="2" s="1"/>
  <c r="AB1536" i="4"/>
  <c r="AB1541" i="4" s="1"/>
  <c r="V2728" i="2"/>
  <c r="V2674" i="2"/>
  <c r="U2755" i="4"/>
  <c r="U2901" i="4"/>
  <c r="U2932" i="4" s="1"/>
  <c r="AB1357" i="2"/>
  <c r="AB1427" i="4"/>
  <c r="AB650" i="2"/>
  <c r="AB678" i="4"/>
  <c r="AB331" i="2"/>
  <c r="AB344" i="4"/>
  <c r="AB1292" i="2"/>
  <c r="AB1357" i="4"/>
  <c r="AB1224" i="2"/>
  <c r="AB1287" i="4"/>
  <c r="AB1903" i="4"/>
  <c r="AB1922" i="4" s="1"/>
  <c r="AB1926" i="1"/>
  <c r="AB1760" i="2"/>
  <c r="AB1854" i="4"/>
  <c r="AB2345" i="4"/>
  <c r="AB2366" i="4" s="1"/>
  <c r="AB2372" i="1"/>
  <c r="R216" i="2"/>
  <c r="R225" i="4"/>
  <c r="J2655" i="2"/>
  <c r="AA1647" i="2"/>
  <c r="AA1137" i="2"/>
  <c r="W895" i="4"/>
  <c r="J2929" i="1"/>
  <c r="Z1739" i="4"/>
  <c r="Z2915" i="4" s="1"/>
  <c r="Z226" i="2"/>
  <c r="AA615" i="2"/>
  <c r="AB1628" i="2"/>
  <c r="AA1218" i="2"/>
  <c r="AB1802" i="4"/>
  <c r="AB2015" i="1"/>
  <c r="AB535" i="4"/>
  <c r="AB2223" i="1"/>
  <c r="AB2296" i="1"/>
  <c r="Z1973" i="1"/>
  <c r="Z2914" i="1" s="1"/>
  <c r="AB1617" i="2"/>
  <c r="AA2454" i="1"/>
  <c r="AA2920" i="1" s="1"/>
  <c r="AB2683" i="4"/>
  <c r="AB2247" i="1"/>
  <c r="AB684" i="2"/>
  <c r="AB1013" i="4"/>
  <c r="AB457" i="4"/>
  <c r="AB1049" i="4"/>
  <c r="AB446" i="4"/>
  <c r="AA2658" i="4"/>
  <c r="AB2319" i="1"/>
  <c r="AB1434" i="1"/>
  <c r="AB1472" i="1"/>
  <c r="AB661" i="4"/>
  <c r="AB1820" i="4"/>
  <c r="AB1592" i="4"/>
  <c r="AB802" i="1"/>
  <c r="AB132" i="1"/>
  <c r="AB2898" i="1" s="1"/>
  <c r="AA184" i="4"/>
  <c r="AA237" i="4" s="1"/>
  <c r="AA2903" i="4" s="1"/>
  <c r="AA2410" i="4"/>
  <c r="W1218" i="2"/>
  <c r="AB1340" i="1"/>
  <c r="AB1742" i="1"/>
  <c r="AB2912" i="1" s="1"/>
  <c r="AB313" i="1"/>
  <c r="AB422" i="1" s="1"/>
  <c r="AB2902" i="1" s="1"/>
  <c r="AB1215" i="1"/>
  <c r="AB1057" i="2"/>
  <c r="AB1869" i="1"/>
  <c r="W184" i="4"/>
  <c r="W855" i="2"/>
  <c r="AB2142" i="1"/>
  <c r="AB399" i="1"/>
  <c r="J2763" i="1"/>
  <c r="U2753" i="2"/>
  <c r="W208" i="5" l="1"/>
  <c r="W237" i="5" s="1"/>
  <c r="R237" i="5"/>
  <c r="AB2567" i="5"/>
  <c r="AB2941" i="5" s="1"/>
  <c r="AB2448" i="5"/>
  <c r="AB2939" i="5" s="1"/>
  <c r="AB2752" i="5"/>
  <c r="AB2945" i="5" s="1"/>
  <c r="W2773" i="5"/>
  <c r="W2773" i="4"/>
  <c r="W2848" i="5"/>
  <c r="W2849" i="4"/>
  <c r="AB237" i="5"/>
  <c r="AB2919" i="5" s="1"/>
  <c r="AB743" i="5"/>
  <c r="AB961" i="5" s="1"/>
  <c r="AB2925" i="5" s="1"/>
  <c r="M2887" i="5"/>
  <c r="M2950" i="5"/>
  <c r="M2756" i="5"/>
  <c r="AA2755" i="5"/>
  <c r="AB2755" i="5" s="1"/>
  <c r="AB421" i="5"/>
  <c r="AB2921" i="5" s="1"/>
  <c r="AB2243" i="5"/>
  <c r="AB2294" i="5" s="1"/>
  <c r="AB2937" i="5" s="1"/>
  <c r="K2950" i="5"/>
  <c r="K2756" i="5"/>
  <c r="K2887" i="5"/>
  <c r="W2872" i="5"/>
  <c r="W2873" i="4"/>
  <c r="J2849" i="5"/>
  <c r="J2850" i="4"/>
  <c r="R237" i="1"/>
  <c r="Z2755" i="5"/>
  <c r="X2756" i="5"/>
  <c r="X2948" i="5"/>
  <c r="X2950" i="5" s="1"/>
  <c r="X2887" i="5"/>
  <c r="U2756" i="5"/>
  <c r="U2887" i="5"/>
  <c r="U2950" i="5"/>
  <c r="AB1843" i="5"/>
  <c r="AB1969" i="5" s="1"/>
  <c r="AB2933" i="5" s="1"/>
  <c r="Q2919" i="5"/>
  <c r="Q2948" i="5" s="1"/>
  <c r="Q2755" i="5"/>
  <c r="AB1497" i="5"/>
  <c r="AB1543" i="5" s="1"/>
  <c r="AB2929" i="5" s="1"/>
  <c r="J2950" i="5"/>
  <c r="J2887" i="5"/>
  <c r="J2756" i="5"/>
  <c r="AB589" i="5"/>
  <c r="AB640" i="5" s="1"/>
  <c r="AB2923" i="5" s="1"/>
  <c r="V2919" i="5"/>
  <c r="V2948" i="5" s="1"/>
  <c r="V2755" i="5"/>
  <c r="AB789" i="2"/>
  <c r="AB712" i="2"/>
  <c r="AB855" i="2"/>
  <c r="AB353" i="2"/>
  <c r="AB1402" i="4"/>
  <c r="W2674" i="2"/>
  <c r="AA1865" i="2"/>
  <c r="W918" i="2"/>
  <c r="W2730" i="2" s="1"/>
  <c r="AB1332" i="2"/>
  <c r="AA2567" i="4"/>
  <c r="AA2925" i="4" s="1"/>
  <c r="AA2081" i="4"/>
  <c r="AA2919" i="4" s="1"/>
  <c r="AB941" i="4"/>
  <c r="AA1466" i="2"/>
  <c r="AB1214" i="4"/>
  <c r="AB1471" i="4"/>
  <c r="AB823" i="4"/>
  <c r="AB661" i="2"/>
  <c r="J2755" i="4"/>
  <c r="AA2448" i="4"/>
  <c r="AA2923" i="4" s="1"/>
  <c r="AB879" i="2"/>
  <c r="J2734" i="2"/>
  <c r="W2617" i="2"/>
  <c r="X2597" i="2"/>
  <c r="Z2597" i="2" s="1"/>
  <c r="AB2752" i="4"/>
  <c r="AB2929" i="4" s="1"/>
  <c r="J2905" i="4"/>
  <c r="J2932" i="4" s="1"/>
  <c r="AA1543" i="4"/>
  <c r="AA2913" i="4" s="1"/>
  <c r="AA1969" i="4"/>
  <c r="AA2917" i="4" s="1"/>
  <c r="W961" i="4"/>
  <c r="W2909" i="4" s="1"/>
  <c r="W1543" i="4"/>
  <c r="W2913" i="4" s="1"/>
  <c r="AB2660" i="4"/>
  <c r="AB2927" i="4" s="1"/>
  <c r="W2722" i="2"/>
  <c r="AB369" i="4"/>
  <c r="AB922" i="4"/>
  <c r="J2597" i="2"/>
  <c r="AA403" i="2"/>
  <c r="W1466" i="2"/>
  <c r="W2734" i="2" s="1"/>
  <c r="AB872" i="4"/>
  <c r="M2932" i="4"/>
  <c r="AB1306" i="2"/>
  <c r="AB895" i="4"/>
  <c r="Q226" i="2"/>
  <c r="Q2724" i="2" s="1"/>
  <c r="Q2753" i="2" s="1"/>
  <c r="Q237" i="4"/>
  <c r="Q2755" i="4" s="1"/>
  <c r="AA918" i="2"/>
  <c r="AB898" i="2"/>
  <c r="AB333" i="4"/>
  <c r="AB1218" i="2"/>
  <c r="V199" i="2"/>
  <c r="V226" i="2" s="1"/>
  <c r="V2724" i="2" s="1"/>
  <c r="V2753" i="2" s="1"/>
  <c r="AA2752" i="4"/>
  <c r="AA2929" i="4" s="1"/>
  <c r="AB1865" i="4"/>
  <c r="AB1309" i="4"/>
  <c r="AB1433" i="4"/>
  <c r="AB312" i="4"/>
  <c r="AB833" i="2"/>
  <c r="AB1769" i="2"/>
  <c r="AA961" i="4"/>
  <c r="AA2909" i="4" s="1"/>
  <c r="AB380" i="2"/>
  <c r="AB2454" i="1"/>
  <c r="AB2920" i="1" s="1"/>
  <c r="AB184" i="4"/>
  <c r="AB237" i="4" s="1"/>
  <c r="AB2903" i="4" s="1"/>
  <c r="AB1362" i="2"/>
  <c r="AB299" i="2"/>
  <c r="J2726" i="2"/>
  <c r="J2753" i="2" s="1"/>
  <c r="AB743" i="4"/>
  <c r="M2597" i="2"/>
  <c r="AA2597" i="2" s="1"/>
  <c r="AB2597" i="2" s="1"/>
  <c r="AA2294" i="4"/>
  <c r="AA2921" i="4" s="1"/>
  <c r="AB2448" i="4"/>
  <c r="AB2923" i="4" s="1"/>
  <c r="AA421" i="4"/>
  <c r="AA2905" i="4" s="1"/>
  <c r="AB2668" i="1"/>
  <c r="AB2924" i="1" s="1"/>
  <c r="AB1375" i="4"/>
  <c r="AB691" i="4"/>
  <c r="AB2085" i="1"/>
  <c r="AB2916" i="1" s="1"/>
  <c r="Z2929" i="1"/>
  <c r="AB2760" i="1"/>
  <c r="AB2926" i="1" s="1"/>
  <c r="AA2929" i="1"/>
  <c r="AB1800" i="2"/>
  <c r="AB1865" i="2" s="1"/>
  <c r="R224" i="2"/>
  <c r="R208" i="4"/>
  <c r="R199" i="2"/>
  <c r="AB398" i="4"/>
  <c r="K2755" i="4"/>
  <c r="K2903" i="4"/>
  <c r="K2932" i="4" s="1"/>
  <c r="AB176" i="2"/>
  <c r="AB226" i="2" s="1"/>
  <c r="AB2567" i="4"/>
  <c r="AB2925" i="4" s="1"/>
  <c r="M2755" i="4"/>
  <c r="K2724" i="2"/>
  <c r="K2753" i="2" s="1"/>
  <c r="K2597" i="2"/>
  <c r="AA2660" i="4"/>
  <c r="AA2927" i="4" s="1"/>
  <c r="AB1246" i="2"/>
  <c r="R235" i="4"/>
  <c r="AB2081" i="4"/>
  <c r="AB2919" i="4" s="1"/>
  <c r="AB1899" i="4"/>
  <c r="AB1281" i="4"/>
  <c r="W208" i="4"/>
  <c r="W237" i="4" s="1"/>
  <c r="AB640" i="4"/>
  <c r="AB2907" i="4" s="1"/>
  <c r="Z2932" i="4"/>
  <c r="W2926" i="1"/>
  <c r="W2847" i="1"/>
  <c r="AB911" i="2"/>
  <c r="AB913" i="2" s="1"/>
  <c r="AB954" i="4"/>
  <c r="AB956" i="4" s="1"/>
  <c r="AB956" i="1"/>
  <c r="AB961" i="1" s="1"/>
  <c r="AB2906" i="1" s="1"/>
  <c r="AB615" i="2"/>
  <c r="AB1137" i="2"/>
  <c r="AB132" i="4"/>
  <c r="AB2901" i="4" s="1"/>
  <c r="AB1190" i="4"/>
  <c r="AB2911" i="4" s="1"/>
  <c r="AB320" i="2"/>
  <c r="AB125" i="2"/>
  <c r="W208" i="1"/>
  <c r="W237" i="1" s="1"/>
  <c r="V2903" i="4"/>
  <c r="V2932" i="4" s="1"/>
  <c r="V2755" i="4"/>
  <c r="AA2722" i="2"/>
  <c r="M2753" i="2"/>
  <c r="X2753" i="2"/>
  <c r="Z2722" i="2"/>
  <c r="Z2753" i="2" s="1"/>
  <c r="W2901" i="4"/>
  <c r="Q2900" i="1"/>
  <c r="Q2929" i="1" s="1"/>
  <c r="Q2763" i="1"/>
  <c r="W2862" i="1"/>
  <c r="R2763" i="1"/>
  <c r="R2900" i="1"/>
  <c r="R2929" i="1" s="1"/>
  <c r="AB1544" i="1"/>
  <c r="AB2910" i="1" s="1"/>
  <c r="AB2298" i="1"/>
  <c r="AB2918" i="1" s="1"/>
  <c r="AB1190" i="1"/>
  <c r="AB2908" i="1" s="1"/>
  <c r="AB1973" i="1"/>
  <c r="AB2914" i="1" s="1"/>
  <c r="AA2763" i="1"/>
  <c r="AB2763" i="1" s="1"/>
  <c r="AB1647" i="2"/>
  <c r="V2900" i="1"/>
  <c r="V2929" i="1" s="1"/>
  <c r="V2763" i="1"/>
  <c r="AB2294" i="4"/>
  <c r="AB2921" i="4" s="1"/>
  <c r="AB1739" i="4"/>
  <c r="AB2915" i="4" s="1"/>
  <c r="AB2948" i="5" l="1"/>
  <c r="V2756" i="5"/>
  <c r="V2887" i="5"/>
  <c r="Q2756" i="5"/>
  <c r="Q2950" i="5"/>
  <c r="Q2887" i="5"/>
  <c r="W2869" i="5"/>
  <c r="W2870" i="4"/>
  <c r="V2950" i="5"/>
  <c r="Z2756" i="5"/>
  <c r="Z2948" i="5"/>
  <c r="Z2950" i="5" s="1"/>
  <c r="Z2887" i="5"/>
  <c r="R2919" i="5"/>
  <c r="R2948" i="5" s="1"/>
  <c r="R2755" i="5"/>
  <c r="W2919" i="5"/>
  <c r="W2948" i="5" s="1"/>
  <c r="W2950" i="5" s="1"/>
  <c r="W2755" i="5"/>
  <c r="V2597" i="2"/>
  <c r="Q2597" i="2"/>
  <c r="AB961" i="4"/>
  <c r="AB2909" i="4" s="1"/>
  <c r="Q2903" i="4"/>
  <c r="Q2932" i="4" s="1"/>
  <c r="AB1466" i="2"/>
  <c r="R226" i="2"/>
  <c r="R2724" i="2" s="1"/>
  <c r="R2753" i="2" s="1"/>
  <c r="AB1969" i="4"/>
  <c r="AB2917" i="4" s="1"/>
  <c r="AB1543" i="4"/>
  <c r="AB2913" i="4" s="1"/>
  <c r="R237" i="4"/>
  <c r="R2903" i="4" s="1"/>
  <c r="R2932" i="4" s="1"/>
  <c r="W199" i="2"/>
  <c r="W226" i="2" s="1"/>
  <c r="W2724" i="2" s="1"/>
  <c r="W2753" i="2" s="1"/>
  <c r="AB403" i="2"/>
  <c r="AB918" i="2"/>
  <c r="AA2755" i="4"/>
  <c r="AB2755" i="4" s="1"/>
  <c r="AA2932" i="4"/>
  <c r="AB421" i="4"/>
  <c r="AB2905" i="4" s="1"/>
  <c r="AB2929" i="1"/>
  <c r="W2903" i="4"/>
  <c r="W2932" i="4" s="1"/>
  <c r="W2755" i="4"/>
  <c r="W2900" i="1"/>
  <c r="W2929" i="1" s="1"/>
  <c r="W2763" i="1"/>
  <c r="AA2753" i="2"/>
  <c r="AB2722" i="2"/>
  <c r="AB2753" i="2" s="1"/>
  <c r="R2756" i="5" l="1"/>
  <c r="R2950" i="5"/>
  <c r="R2887" i="5"/>
  <c r="W2887" i="5"/>
  <c r="W2756" i="5"/>
  <c r="R2597" i="2"/>
  <c r="W2597" i="2"/>
  <c r="R2755" i="4"/>
  <c r="AB2932" i="4"/>
</calcChain>
</file>

<file path=xl/sharedStrings.xml><?xml version="1.0" encoding="utf-8"?>
<sst xmlns="http://schemas.openxmlformats.org/spreadsheetml/2006/main" count="42932" uniqueCount="1317">
  <si>
    <t>YEAR</t>
  </si>
  <si>
    <t>PESO</t>
  </si>
  <si>
    <t>ALLOCATION</t>
  </si>
  <si>
    <t>TOTAL</t>
  </si>
  <si>
    <t>E/M REL.</t>
  </si>
  <si>
    <t>SUBSIDY</t>
  </si>
  <si>
    <t>SUBSI-</t>
  </si>
  <si>
    <t>APPROVED</t>
  </si>
  <si>
    <t>PESO REL.</t>
  </si>
  <si>
    <t>RELEASES</t>
  </si>
  <si>
    <t>LAST</t>
  </si>
  <si>
    <t>RELEASED</t>
  </si>
  <si>
    <t>THIS</t>
  </si>
  <si>
    <t>E/M</t>
  </si>
  <si>
    <t>BALANCE</t>
  </si>
  <si>
    <t>CHARGED PERM.</t>
  </si>
  <si>
    <t>COOPERATIVE</t>
  </si>
  <si>
    <t>DIZED</t>
  </si>
  <si>
    <t>BUDGET</t>
  </si>
  <si>
    <t>THIS MONTH</t>
  </si>
  <si>
    <t xml:space="preserve"> T O T A L</t>
  </si>
  <si>
    <t>MONTH</t>
  </si>
  <si>
    <t>W / CHECK</t>
  </si>
  <si>
    <t>LAST MONTH</t>
  </si>
  <si>
    <t>W / JV</t>
  </si>
  <si>
    <t>W/O ALLOCATION</t>
  </si>
  <si>
    <t>(W/O ALLOCATION)</t>
  </si>
  <si>
    <t>TO RE LOAN</t>
  </si>
  <si>
    <t>---------------------</t>
  </si>
  <si>
    <t>-</t>
  </si>
  <si>
    <t xml:space="preserve">      --------------------</t>
  </si>
  <si>
    <t>--------------------</t>
  </si>
  <si>
    <t xml:space="preserve">   -------------------</t>
  </si>
  <si>
    <t>----------------</t>
  </si>
  <si>
    <t xml:space="preserve">  ----------</t>
  </si>
  <si>
    <t xml:space="preserve">   -----------</t>
  </si>
  <si>
    <t xml:space="preserve">    --------------------</t>
  </si>
  <si>
    <t xml:space="preserve">      ----------------------</t>
  </si>
  <si>
    <t xml:space="preserve">  --------------------</t>
  </si>
  <si>
    <t xml:space="preserve">        ---------------</t>
  </si>
  <si>
    <t xml:space="preserve"> -----------</t>
  </si>
  <si>
    <t xml:space="preserve"> ---------</t>
  </si>
  <si>
    <t>-------------------</t>
  </si>
  <si>
    <t xml:space="preserve">      -------------------</t>
  </si>
  <si>
    <t xml:space="preserve"> ------------</t>
  </si>
  <si>
    <t xml:space="preserve"> -------------</t>
  </si>
  <si>
    <t xml:space="preserve">       ------------------</t>
  </si>
  <si>
    <t xml:space="preserve">  -------------------</t>
  </si>
  <si>
    <t>REGION I</t>
  </si>
  <si>
    <t>ILOCOS NORTE</t>
  </si>
  <si>
    <t>91/94/95/</t>
  </si>
  <si>
    <t xml:space="preserve">  LIMs/EXPANSION</t>
  </si>
  <si>
    <t xml:space="preserve">    96/97/99</t>
  </si>
  <si>
    <t xml:space="preserve">  USAID GRANT(COMPUTER)</t>
  </si>
  <si>
    <t>1995</t>
  </si>
  <si>
    <t xml:space="preserve">  CIDA GRANT(STEEL POLES)</t>
  </si>
  <si>
    <t xml:space="preserve"> 1995/1997</t>
  </si>
  <si>
    <t xml:space="preserve">  EXPANSION</t>
  </si>
  <si>
    <t>2000</t>
  </si>
  <si>
    <t xml:space="preserve">  NPC/ABEP FUND(O'ILAW PROJ.)   </t>
  </si>
  <si>
    <t>2001</t>
  </si>
  <si>
    <t>2003</t>
  </si>
  <si>
    <t xml:space="preserve">  1990-1992 REALIGNED SUB</t>
  </si>
  <si>
    <t xml:space="preserve">ILOCOS SUR  </t>
  </si>
  <si>
    <t>91/92/94/95</t>
  </si>
  <si>
    <t xml:space="preserve">    96/97/98</t>
  </si>
  <si>
    <t xml:space="preserve">  46.3M REALLIGNED SUB.</t>
  </si>
  <si>
    <t>1990-1993</t>
  </si>
  <si>
    <t>1994</t>
  </si>
  <si>
    <t xml:space="preserve">  USAID GRANT(BOOMTRUCK)</t>
  </si>
  <si>
    <t xml:space="preserve">  EXPNSN- QUIRINO (BAL)</t>
  </si>
  <si>
    <t>93 NGS BAL</t>
  </si>
  <si>
    <t xml:space="preserve">  PDAF</t>
  </si>
  <si>
    <t>2002</t>
  </si>
  <si>
    <t>LA UNION</t>
  </si>
  <si>
    <t xml:space="preserve">  EARTHQUAKE</t>
  </si>
  <si>
    <t>1990</t>
  </si>
  <si>
    <t xml:space="preserve">  PEP</t>
  </si>
  <si>
    <t>1993</t>
  </si>
  <si>
    <t>94/95/96</t>
  </si>
  <si>
    <t xml:space="preserve">    97/98/99</t>
  </si>
  <si>
    <t xml:space="preserve">  CAL. FUNDS-RA 7078</t>
  </si>
  <si>
    <t xml:space="preserve">  SEN.INITIATVS(SHAHANI)</t>
  </si>
  <si>
    <t xml:space="preserve">  45.8M REALLIGNED SUB.</t>
  </si>
  <si>
    <t xml:space="preserve">  CONG. INI.- J. ASPIRAS</t>
  </si>
  <si>
    <t>1996</t>
  </si>
  <si>
    <t xml:space="preserve">  SEN. INI.- S. OSMENA III</t>
  </si>
  <si>
    <t xml:space="preserve">  MANDATORY RESERVE</t>
  </si>
  <si>
    <t>1998</t>
  </si>
  <si>
    <t xml:space="preserve">  NPC/ABEP FUND(O'ILAW PROJ.)  </t>
  </si>
  <si>
    <t xml:space="preserve">  PDAF - CONG. E. PABLO</t>
  </si>
  <si>
    <t>PANGASINAN I</t>
  </si>
  <si>
    <t xml:space="preserve">  EXPANSN/50M UNALLOC.</t>
  </si>
  <si>
    <t>1994/96</t>
  </si>
  <si>
    <t xml:space="preserve">  CONG. INI.- H. BRAGANZA</t>
  </si>
  <si>
    <t xml:space="preserve">  EXPANSION (UNPROGRAMMED)</t>
  </si>
  <si>
    <t xml:space="preserve">  1990-1995 SUB.SAVINGS</t>
  </si>
  <si>
    <t>CENTRAL PANGASINAN</t>
  </si>
  <si>
    <t>95/99</t>
  </si>
  <si>
    <t>94/95/98</t>
  </si>
  <si>
    <t xml:space="preserve">  1990-1995 SUB. SAVINGS</t>
  </si>
  <si>
    <t>PANGASINAN III</t>
  </si>
  <si>
    <t xml:space="preserve">     '97/99</t>
  </si>
  <si>
    <t>1994/95/96</t>
  </si>
  <si>
    <t xml:space="preserve">  CONG.INI.-R.R.SHAHANI</t>
  </si>
  <si>
    <t>1996/1997</t>
  </si>
  <si>
    <t xml:space="preserve">  SEN.INI.- S.OSMENA III</t>
  </si>
  <si>
    <t xml:space="preserve">  NPC/DOE MISS. FUNDS</t>
  </si>
  <si>
    <t>1999</t>
  </si>
  <si>
    <t xml:space="preserve">  NPC/ABEP FUND(O'ILAW PROJ.)</t>
  </si>
  <si>
    <t xml:space="preserve">  EXPANSION(SUB. SAVINGS)</t>
  </si>
  <si>
    <t xml:space="preserve"> 2001-2002</t>
  </si>
  <si>
    <t xml:space="preserve">  1990-95 SUB. SAVINGS</t>
  </si>
  <si>
    <t xml:space="preserve">       TOTAL REGION I</t>
  </si>
  <si>
    <t>=</t>
  </si>
  <si>
    <t>C A R (Cordillera Autonomous Region)</t>
  </si>
  <si>
    <t>ABRA</t>
  </si>
  <si>
    <t>94/95/96/99</t>
  </si>
  <si>
    <t xml:space="preserve">  CDF (CONG. ZAPATA)</t>
  </si>
  <si>
    <t>94/98</t>
  </si>
  <si>
    <t xml:space="preserve">  CONG.INI.- J.Z.ZAPATA</t>
  </si>
  <si>
    <t xml:space="preserve">  PDAF (CONG. E. PABLO)</t>
  </si>
  <si>
    <t xml:space="preserve">  1990-1992 REALIGNED SUB.</t>
  </si>
  <si>
    <t>BENGUET</t>
  </si>
  <si>
    <t xml:space="preserve">  LIMs/PRO-POOR/EXPANSION</t>
  </si>
  <si>
    <t>92/93/94</t>
  </si>
  <si>
    <t xml:space="preserve"> 95/96/97</t>
  </si>
  <si>
    <t xml:space="preserve">  CONG.INI.-R.M. COSALAN</t>
  </si>
  <si>
    <t>1997</t>
  </si>
  <si>
    <t>MT. PROVINCE</t>
  </si>
  <si>
    <t xml:space="preserve"> LIMs/EXPANSN/50M UNALLOC.</t>
  </si>
  <si>
    <t xml:space="preserve"> 96/98/99</t>
  </si>
  <si>
    <t xml:space="preserve">  CDF (CONG. DOMINGUEZ)</t>
  </si>
  <si>
    <t xml:space="preserve">       TOTAL  C A R</t>
  </si>
  <si>
    <t>REGION III</t>
  </si>
  <si>
    <t>AURORA</t>
  </si>
  <si>
    <t xml:space="preserve">  CASIGURAN/LIMS-GAA</t>
  </si>
  <si>
    <t xml:space="preserve"> 1990/1991</t>
  </si>
  <si>
    <t xml:space="preserve">  EXPANSION/50M UNALL.-GAA</t>
  </si>
  <si>
    <t xml:space="preserve">   94/96/97</t>
  </si>
  <si>
    <t xml:space="preserve">  SEN. INI.-SEN. FLAVIER</t>
  </si>
  <si>
    <t xml:space="preserve">  DILASAG (NP)-GAA</t>
  </si>
  <si>
    <t xml:space="preserve">  BSGOCC-CONG. BELLAFLOR</t>
  </si>
  <si>
    <t xml:space="preserve">  EXPANSION-GAA</t>
  </si>
  <si>
    <t xml:space="preserve">  PDAF- CONG. E. PABLO</t>
  </si>
  <si>
    <t xml:space="preserve">  EMERGENCY</t>
  </si>
  <si>
    <t xml:space="preserve">  34.2M REALIGNED</t>
  </si>
  <si>
    <t xml:space="preserve">  SEP (SOLAR)</t>
  </si>
  <si>
    <t>PENINSULA</t>
  </si>
  <si>
    <t xml:space="preserve">  PINATUBO - REHAB</t>
  </si>
  <si>
    <t>1991</t>
  </si>
  <si>
    <t xml:space="preserve">  PINATUBO -RESTLMNT</t>
  </si>
  <si>
    <t>94/95/96/97</t>
  </si>
  <si>
    <t xml:space="preserve">  NPC MISSIONARY FUND</t>
  </si>
  <si>
    <t>PAMPANGA I</t>
  </si>
  <si>
    <t>1996/1999</t>
  </si>
  <si>
    <t>PAMPANGA II</t>
  </si>
  <si>
    <t xml:space="preserve">  PALAYAN CITY</t>
  </si>
  <si>
    <t>1994/1999</t>
  </si>
  <si>
    <t xml:space="preserve">  USAID GRANT-COMPUTER</t>
  </si>
  <si>
    <t>PAMPANGA III</t>
  </si>
  <si>
    <t xml:space="preserve">  USAID GRANT-BOOM TRUCK</t>
  </si>
  <si>
    <t>PAMPANGA RURAL</t>
  </si>
  <si>
    <t>94/96/98/99</t>
  </si>
  <si>
    <t>NUEVA ECIJA I</t>
  </si>
  <si>
    <t xml:space="preserve">  T-KADIANG-1992 SUB.</t>
  </si>
  <si>
    <t>1992</t>
  </si>
  <si>
    <t xml:space="preserve">  SYSTEM UPGRDNG/EXPANSN</t>
  </si>
  <si>
    <t>1994/98</t>
  </si>
  <si>
    <t xml:space="preserve">  EXPANSION (50M UNALLOC)</t>
  </si>
  <si>
    <t xml:space="preserve">  EXPANSION </t>
  </si>
  <si>
    <t>NUEVA ECIJA II</t>
  </si>
  <si>
    <t xml:space="preserve">  EMERGENCY REQUEST</t>
  </si>
  <si>
    <t>94/95</t>
  </si>
  <si>
    <t xml:space="preserve">  EXPANSION/50M UNALLOC.</t>
  </si>
  <si>
    <t xml:space="preserve">   96/97/98</t>
  </si>
  <si>
    <t>NUEVA ECIJA II-SOUTH</t>
  </si>
  <si>
    <t xml:space="preserve">  EXPANSION/LOGISTICAL</t>
  </si>
  <si>
    <t xml:space="preserve">  SUBSIDY SAVINGS</t>
  </si>
  <si>
    <t xml:space="preserve"> 1990-1992</t>
  </si>
  <si>
    <t>NUEVA ECIJA III/NMT</t>
  </si>
  <si>
    <t xml:space="preserve">  EXPANSION/SUB. SAVINGS</t>
  </si>
  <si>
    <t>PAMES (PANTABANGAN ELEC.SYSTEM)</t>
  </si>
  <si>
    <t xml:space="preserve">  DOE MISSIONARY FUND</t>
  </si>
  <si>
    <t>SAN JOSE CITY</t>
  </si>
  <si>
    <t xml:space="preserve">  USAID GRANT (COMPUTER)</t>
  </si>
  <si>
    <t>TARLAC I</t>
  </si>
  <si>
    <t xml:space="preserve">  PRO-POOR/ISO/</t>
  </si>
  <si>
    <t xml:space="preserve">   93/94/95</t>
  </si>
  <si>
    <t xml:space="preserve">   96/97/99</t>
  </si>
  <si>
    <t>TARLAC II</t>
  </si>
  <si>
    <t xml:space="preserve">     '98/99</t>
  </si>
  <si>
    <t xml:space="preserve">  USAID GRANT(BOOM TRUCK)</t>
  </si>
  <si>
    <t xml:space="preserve">  EXP. (UNPROG. &amp; SUB. SAVINGS)</t>
  </si>
  <si>
    <t>2001-2002</t>
  </si>
  <si>
    <t>ZAMBALES I</t>
  </si>
  <si>
    <t>95/97/98/99</t>
  </si>
  <si>
    <t xml:space="preserve">  CONG.INI.- R.R.ANDAYA</t>
  </si>
  <si>
    <t>ZAMBALES II</t>
  </si>
  <si>
    <t xml:space="preserve">  BSGCC (SEN. PIMENTEL)</t>
  </si>
  <si>
    <t xml:space="preserve">       TOTAL REGION III</t>
  </si>
  <si>
    <t>REGION V</t>
  </si>
  <si>
    <t>ALBAY</t>
  </si>
  <si>
    <t>90/91/93</t>
  </si>
  <si>
    <t xml:space="preserve">  ISO/EXP/50M/25M UNALLOC.</t>
  </si>
  <si>
    <t>94/97/98/99</t>
  </si>
  <si>
    <t xml:space="preserve">  GAA-EMERGENCY REQUEST</t>
  </si>
  <si>
    <t>95/98</t>
  </si>
  <si>
    <t xml:space="preserve">  CDF(CONG. C.IMPERIAL)</t>
  </si>
  <si>
    <t>1997/1998</t>
  </si>
  <si>
    <t xml:space="preserve">  CONG. INI.-C. IMPERIAL</t>
  </si>
  <si>
    <t>97/98/99</t>
  </si>
  <si>
    <t xml:space="preserve">  SEN.INI.-S.OSMENA III</t>
  </si>
  <si>
    <t xml:space="preserve">  CONG.INI.- R.SALALIMA</t>
  </si>
  <si>
    <t xml:space="preserve">  EXPANSION/(SUB. SAVINGS)</t>
  </si>
  <si>
    <t>MUN. OF LIBON, ALBAY</t>
  </si>
  <si>
    <t xml:space="preserve">  CONG.INI.- R. SALALIMA</t>
  </si>
  <si>
    <t>CAMARINES SUR I</t>
  </si>
  <si>
    <t>93/94/95</t>
  </si>
  <si>
    <t xml:space="preserve">  PROPOOR/EXPANSION</t>
  </si>
  <si>
    <t xml:space="preserve">     '96/99</t>
  </si>
  <si>
    <t xml:space="preserve">  CONG.INI.- ESPINOSA</t>
  </si>
  <si>
    <t xml:space="preserve">   (from TICAO IS.)</t>
  </si>
  <si>
    <t xml:space="preserve">  SEN. INI.-FLAVIER</t>
  </si>
  <si>
    <t>96/97/98</t>
  </si>
  <si>
    <t xml:space="preserve">  SEN. INI.- R. ROCO</t>
  </si>
  <si>
    <t xml:space="preserve">  CONG. INI.- R. ANDAYA</t>
  </si>
  <si>
    <t xml:space="preserve">  PDAF - CONG. S. ROCO</t>
  </si>
  <si>
    <t>2001/2002</t>
  </si>
  <si>
    <t xml:space="preserve">  PDAF - CONG. R. ANDAYA</t>
  </si>
  <si>
    <t>CAMARINES SUR II</t>
  </si>
  <si>
    <t>92/94/95</t>
  </si>
  <si>
    <t>94/96/97/99</t>
  </si>
  <si>
    <t xml:space="preserve">  SEN.INI.- RAUL S. ROCO</t>
  </si>
  <si>
    <t>1995/1996</t>
  </si>
  <si>
    <t xml:space="preserve">  CONG.INI.- R. ANDAYA</t>
  </si>
  <si>
    <t>96/98</t>
  </si>
  <si>
    <t xml:space="preserve">  CONG.INI.-L.BUENAVENTURA</t>
  </si>
  <si>
    <t xml:space="preserve">  PDAF (CONG. ANDAYA)</t>
  </si>
  <si>
    <t>2002/2003</t>
  </si>
  <si>
    <t>CAMARINES SUR III</t>
  </si>
  <si>
    <t xml:space="preserve">  CDF (CONG. C.R. ALFELOR)</t>
  </si>
  <si>
    <t>CAMARINES SUR IV</t>
  </si>
  <si>
    <t xml:space="preserve">  EXPANSN/50M/25M UNALLOC.</t>
  </si>
  <si>
    <t xml:space="preserve">     97/98/99</t>
  </si>
  <si>
    <t>1996/98</t>
  </si>
  <si>
    <t>CAMARINES NORTE</t>
  </si>
  <si>
    <t>94/95/96/98</t>
  </si>
  <si>
    <t xml:space="preserve">  SEN.INI.- R. ROCO</t>
  </si>
  <si>
    <t xml:space="preserve">  CONG.INI.- E.PIMENTEL</t>
  </si>
  <si>
    <t>FIRST CATANDUANES</t>
  </si>
  <si>
    <t>91/96/97</t>
  </si>
  <si>
    <t xml:space="preserve">  ISO/LIMs/EXPANSION</t>
  </si>
  <si>
    <t>EMER.RQST/CAL.FUND(RA8174)</t>
  </si>
  <si>
    <t>1992/96</t>
  </si>
  <si>
    <t xml:space="preserve">  CDF(CONG. VERCELES,JR)</t>
  </si>
  <si>
    <t>95/96/98</t>
  </si>
  <si>
    <t xml:space="preserve">  CONG.INI.-VERCELES, JR.</t>
  </si>
  <si>
    <t xml:space="preserve">  SEN.INI.- M.M. FERNAN</t>
  </si>
  <si>
    <t xml:space="preserve">  BSGCC-CONG. VERCELES,JR.</t>
  </si>
  <si>
    <t>MASBATE</t>
  </si>
  <si>
    <t xml:space="preserve">  LIMs</t>
  </si>
  <si>
    <t>1991/92</t>
  </si>
  <si>
    <t xml:space="preserve">  ISO./CATAINGAN/TOLDA</t>
  </si>
  <si>
    <t>1991/92/93</t>
  </si>
  <si>
    <t xml:space="preserve">  ISLANDWIDE SUBSIDY</t>
  </si>
  <si>
    <t xml:space="preserve"> 1991-1996</t>
  </si>
  <si>
    <t>REALIGNED</t>
  </si>
  <si>
    <t>94/95/99</t>
  </si>
  <si>
    <t xml:space="preserve">  CONG.INI.-BAKUNAWA</t>
  </si>
  <si>
    <t>1995/96</t>
  </si>
  <si>
    <t>TICAO</t>
  </si>
  <si>
    <t xml:space="preserve">  LIMs/ISOLATED</t>
  </si>
  <si>
    <t>90/91/92</t>
  </si>
  <si>
    <t>94/96/99</t>
  </si>
  <si>
    <t xml:space="preserve">  CONG.INI.-ESPINOSA</t>
  </si>
  <si>
    <t xml:space="preserve">  CIDA GRANT (STEEL POLES)</t>
  </si>
  <si>
    <t xml:space="preserve">  EXPANSION (UNPROG./SAVINGS)</t>
  </si>
  <si>
    <t xml:space="preserve">SORSOGON I </t>
  </si>
  <si>
    <t xml:space="preserve">  ISO/EXPANSN/50M UNALLOC.</t>
  </si>
  <si>
    <t xml:space="preserve">  CDF (CONG. ESCUDERO)</t>
  </si>
  <si>
    <t xml:space="preserve">  CONG. INI.- GILLEGO</t>
  </si>
  <si>
    <t xml:space="preserve">  CONG. INI.- ESCUDERO</t>
  </si>
  <si>
    <t xml:space="preserve">  CONG. INI.- ANDAYA</t>
  </si>
  <si>
    <t xml:space="preserve">  BSGC(SPECIAL ALLOT)</t>
  </si>
  <si>
    <t>SORSOGON II</t>
  </si>
  <si>
    <t xml:space="preserve">  ISO/EXPANSION</t>
  </si>
  <si>
    <t>93/94/95/96</t>
  </si>
  <si>
    <t>1994/1998</t>
  </si>
  <si>
    <t xml:space="preserve">  CONG INI.-ESCUDERO</t>
  </si>
  <si>
    <t xml:space="preserve">  SEN. INI.- G. HONASAN</t>
  </si>
  <si>
    <t xml:space="preserve">  PDAF (CONG. F. ESCUDERO)</t>
  </si>
  <si>
    <t xml:space="preserve">       TOTAL REGION V</t>
  </si>
  <si>
    <t>REGION VII</t>
  </si>
  <si>
    <t>BOHOL I</t>
  </si>
  <si>
    <t xml:space="preserve">  CDF (CONG. AUMENTADO)</t>
  </si>
  <si>
    <t>93/95</t>
  </si>
  <si>
    <t xml:space="preserve">  UNPROG. SUBSIDY FUNDS</t>
  </si>
  <si>
    <t xml:space="preserve">  CDF (CONG. V. AGANA)</t>
  </si>
  <si>
    <t xml:space="preserve">  CONG.INI.- VENICE AGANA</t>
  </si>
  <si>
    <t xml:space="preserve">  SEN. INI.-FERNAN </t>
  </si>
  <si>
    <t xml:space="preserve">  SEN. INI.-S. OSMENA III </t>
  </si>
  <si>
    <t xml:space="preserve">  SEN. INI.-R. ROCO</t>
  </si>
  <si>
    <t>BOHOL II</t>
  </si>
  <si>
    <t>91/94/95</t>
  </si>
  <si>
    <t xml:space="preserve">  ISO/EXPANSN/25M UNALLOC.</t>
  </si>
  <si>
    <t>1993/1995</t>
  </si>
  <si>
    <t xml:space="preserve">  CONG.INI.-AUMENTADO </t>
  </si>
  <si>
    <t>1995/1997</t>
  </si>
  <si>
    <t xml:space="preserve">  CONG.. INI.- ZARRAGA</t>
  </si>
  <si>
    <t xml:space="preserve">  BSGCC-CONG. AUMENTADO</t>
  </si>
  <si>
    <t xml:space="preserve">  PDAF (CONG. AUMENTADO)</t>
  </si>
  <si>
    <t>CEBU I</t>
  </si>
  <si>
    <t xml:space="preserve">  EXPNSN/50M/25M UNALLOC.</t>
  </si>
  <si>
    <t xml:space="preserve">    '97/99</t>
  </si>
  <si>
    <t xml:space="preserve">  CDF (CONG. ABINES)</t>
  </si>
  <si>
    <t xml:space="preserve">  SEN. INI.-OSMENA III</t>
  </si>
  <si>
    <t xml:space="preserve">  CONG.INI.- C.A.ABINES </t>
  </si>
  <si>
    <t xml:space="preserve">  CONG.INI.-J.HENRY OSMENA</t>
  </si>
  <si>
    <t xml:space="preserve">    (CEBECO I)</t>
  </si>
  <si>
    <t xml:space="preserve">  PDAF - CONG. S. KINTANAR</t>
  </si>
  <si>
    <t xml:space="preserve">  1992-1997 SUB. SAVINGS</t>
  </si>
  <si>
    <t>CEBU II</t>
  </si>
  <si>
    <t xml:space="preserve">  CDF(CONG. MARTINEZ,JR)</t>
  </si>
  <si>
    <t xml:space="preserve">  CDF(CONG R.DURANO III)</t>
  </si>
  <si>
    <t>1994/1997</t>
  </si>
  <si>
    <t xml:space="preserve">  SEN.INI.-S. OSMENA III</t>
  </si>
  <si>
    <t xml:space="preserve">  EXPANSION (SUB. SAVINGS)</t>
  </si>
  <si>
    <t>CEBU III</t>
  </si>
  <si>
    <t xml:space="preserve">  CONG.INI.-RUIZ</t>
  </si>
  <si>
    <t xml:space="preserve">  SEN.INI.- S. OSMENA III</t>
  </si>
  <si>
    <t xml:space="preserve">  CDF(CONG JOHN OSMENA)</t>
  </si>
  <si>
    <t xml:space="preserve">   (from CEBECO I)</t>
  </si>
  <si>
    <t xml:space="preserve">  BSGCC (CONG. A. YAPHA)</t>
  </si>
  <si>
    <t>NEGROS OR. I</t>
  </si>
  <si>
    <t>95/96/97/99</t>
  </si>
  <si>
    <t xml:space="preserve">  BSGOCC</t>
  </si>
  <si>
    <t xml:space="preserve">  BSGOCC - CONG. J. PARAS</t>
  </si>
  <si>
    <t xml:space="preserve">  PDAF - CONG. S. MADAMBA</t>
  </si>
  <si>
    <t>NEGROS OR. II</t>
  </si>
  <si>
    <t>94/97/98</t>
  </si>
  <si>
    <t xml:space="preserve">  DOE/NPC MISSIONARY FUND</t>
  </si>
  <si>
    <t xml:space="preserve">  EXPANSION(Sub. Savings-2nd Batch)</t>
  </si>
  <si>
    <t>BANTAYAN ISLAND</t>
  </si>
  <si>
    <t xml:space="preserve">  QUITARCAN/DON-ISOLATED</t>
  </si>
  <si>
    <t xml:space="preserve">  EXPANSION/50M UNALLOC</t>
  </si>
  <si>
    <t xml:space="preserve">  SEN INI.-S. OSMENA III</t>
  </si>
  <si>
    <t>CAMOTES IS.</t>
  </si>
  <si>
    <t xml:space="preserve">  PILAR - ISOLATED</t>
  </si>
  <si>
    <t>PROV. OF SIQUIJOR</t>
  </si>
  <si>
    <t xml:space="preserve">  CONG.INITIATVS (FUA)</t>
  </si>
  <si>
    <t xml:space="preserve">  SEN. INI.-S.OSMENA III</t>
  </si>
  <si>
    <t xml:space="preserve">       TOTAL REGION VII</t>
  </si>
  <si>
    <t>REGION IX</t>
  </si>
  <si>
    <t xml:space="preserve">ZAMBOANGA CITY </t>
  </si>
  <si>
    <t xml:space="preserve">  CDF (CONG. LOBREGAT)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</si>
  <si>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</si>
  <si>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ZAMBOANGA SUR I </t>
  </si>
  <si>
    <t xml:space="preserve">  CDF (CONG. A.S. URRO)</t>
  </si>
  <si>
    <t xml:space="preserve">  CONG. INI.-A.S. URRO</t>
  </si>
  <si>
    <t xml:space="preserve">  BSGCC (CONG. EBALLE)</t>
  </si>
  <si>
    <t>ZAMBOANGA SUR II</t>
  </si>
  <si>
    <t>93/95/96</t>
  </si>
  <si>
    <t xml:space="preserve">  ISOLATED/EXPANSION</t>
  </si>
  <si>
    <t xml:space="preserve"> 97/98/99</t>
  </si>
  <si>
    <t xml:space="preserve">  SEN.INI.- M. FERNAN</t>
  </si>
  <si>
    <t xml:space="preserve">  CONG.INI.-B.A. CABILAO</t>
  </si>
  <si>
    <t xml:space="preserve">  CDF (CONG. B.A. CABILAO)</t>
  </si>
  <si>
    <t xml:space="preserve">  BSGCC (CONG. G.T.HOFFER)</t>
  </si>
  <si>
    <t>ZAMBOANGA NORTE</t>
  </si>
  <si>
    <t>91/92/94/</t>
  </si>
  <si>
    <t xml:space="preserve"> 95/96/98</t>
  </si>
  <si>
    <t xml:space="preserve">  CONG. INI.- JALOSJOS</t>
  </si>
  <si>
    <t xml:space="preserve">  PDAF (CONG. CARLOTO)</t>
  </si>
  <si>
    <t xml:space="preserve">  PDAF (CONG. PAEZ)</t>
  </si>
  <si>
    <t xml:space="preserve"> </t>
  </si>
  <si>
    <t>BASILAN</t>
  </si>
  <si>
    <t xml:space="preserve">  ISOLATED/PRO-POOR</t>
  </si>
  <si>
    <t>1992/1993</t>
  </si>
  <si>
    <t xml:space="preserve">   '97/98</t>
  </si>
  <si>
    <t xml:space="preserve">  1990-1996 SUB.SAV.(TONGKIL)BAL</t>
  </si>
  <si>
    <t xml:space="preserve">  EXPANSION/UNPROGRAMMED</t>
  </si>
  <si>
    <t xml:space="preserve">  SUBSIDY SAVINGS (REHAB)</t>
  </si>
  <si>
    <t xml:space="preserve">       TOTAL REGION IX</t>
  </si>
  <si>
    <t>A R M M  (Autonomous Region of Muslim Mindanao)</t>
  </si>
  <si>
    <t>SULU</t>
  </si>
  <si>
    <t xml:space="preserve">  LIMs/ISOLATED/PRO-POOR</t>
  </si>
  <si>
    <t>91/92/93</t>
  </si>
  <si>
    <t xml:space="preserve"> EXP.-LUUK(ADDTL)/MAIMBUNG</t>
  </si>
  <si>
    <t xml:space="preserve">  CONG. INI.- B.O. TULAWI</t>
  </si>
  <si>
    <t xml:space="preserve">  CDF- B.O. TULAWI</t>
  </si>
  <si>
    <t xml:space="preserve">  SEP</t>
  </si>
  <si>
    <t xml:space="preserve"> 1990-1996 SUB.SAVINGS(LUGUS) BAL</t>
  </si>
  <si>
    <t xml:space="preserve"> 1990-1996 SUB.SAVINGS(PATA)  BAL</t>
  </si>
  <si>
    <t xml:space="preserve"> 1990-1996 SUB.SAVINGS(CALAUANG)BAL</t>
  </si>
  <si>
    <t xml:space="preserve"> 1990-1996 SUB.SAVINGS(P. ESTINO)BAL</t>
  </si>
  <si>
    <t>TAWI-TAWI</t>
  </si>
  <si>
    <t xml:space="preserve">  ISOLATED</t>
  </si>
  <si>
    <t xml:space="preserve"> 1990-1996 SUB.SAVINGS(SAPA-SAPA)BAL</t>
  </si>
  <si>
    <t xml:space="preserve"> 1990-1996 SUB.SAVINGS(SIBUTU)BAL</t>
  </si>
  <si>
    <t xml:space="preserve"> 1990-1996 SUB.SAVINGS(SO.UBIAN)BAL</t>
  </si>
  <si>
    <t xml:space="preserve"> 1990-1996 SUB.SAVINGS(TANDUBAS)BAL</t>
  </si>
  <si>
    <t>CAGAYAN DE SULU</t>
  </si>
  <si>
    <t>(90/91</t>
  </si>
  <si>
    <t xml:space="preserve">  CAG. DE SULU-ISOLATED</t>
  </si>
  <si>
    <t>(92/93</t>
  </si>
  <si>
    <t xml:space="preserve">  EXPNSN- TURTLE IS. (BAL)</t>
  </si>
  <si>
    <t>SIASI ISLAND</t>
  </si>
  <si>
    <t>1990/91/93</t>
  </si>
  <si>
    <t xml:space="preserve">  1990-1996 SUB.SAV.(PANDAMI) BAL</t>
  </si>
  <si>
    <t>LANAO SUR</t>
  </si>
  <si>
    <t xml:space="preserve"> 94/95/96/</t>
  </si>
  <si>
    <t xml:space="preserve"> 97/98/99/</t>
  </si>
  <si>
    <t xml:space="preserve">  SEN. INI.-SEN. OSMENA III</t>
  </si>
  <si>
    <t xml:space="preserve">  BSGOCC -</t>
  </si>
  <si>
    <t xml:space="preserve">  EXPANSION-GAA(2ND BATCH)</t>
  </si>
  <si>
    <t xml:space="preserve">  EXPANSION-GAA(UNPROG.)</t>
  </si>
  <si>
    <t xml:space="preserve">  CDF-CONG. M. LANTO</t>
  </si>
  <si>
    <t xml:space="preserve">  GUMANDER/KAPTAGAN-50M UNALLOC.'94</t>
  </si>
  <si>
    <t xml:space="preserve">  NPC/DOE MISSIONARY FUND</t>
  </si>
  <si>
    <t>MUNICIPALITY OF TUGAYA</t>
  </si>
  <si>
    <t>MAGUINDANAO</t>
  </si>
  <si>
    <t xml:space="preserve"> 1994/1995</t>
  </si>
  <si>
    <t xml:space="preserve"> 1996/1999</t>
  </si>
  <si>
    <t xml:space="preserve">  USAID GRANT (COMPUTERS)</t>
  </si>
  <si>
    <t xml:space="preserve">  USAID GRANT (BOOMTRUCK)</t>
  </si>
  <si>
    <t xml:space="preserve">  CONG. INI.-CONG.DATUMANONG</t>
  </si>
  <si>
    <t xml:space="preserve">  CDF- CONG. DINGALEN</t>
  </si>
  <si>
    <t xml:space="preserve">  CONG. INI.-CONG. ANDAYA</t>
  </si>
  <si>
    <t xml:space="preserve">  CONG. INI.-CONG. DINGALEN</t>
  </si>
  <si>
    <t xml:space="preserve">  CDF- CONG. DATUMANONG</t>
  </si>
  <si>
    <t xml:space="preserve">  CONG. INI.-CONG. DEQUINA</t>
  </si>
  <si>
    <t xml:space="preserve">  25M UNALLOC.(PRES. DIR.)</t>
  </si>
  <si>
    <t xml:space="preserve">  UNVIABLE-GAA</t>
  </si>
  <si>
    <t xml:space="preserve">  BRGY. ENERGIZATION-GAA</t>
  </si>
  <si>
    <t xml:space="preserve">  34.2M REALIGNED-GAA</t>
  </si>
  <si>
    <t xml:space="preserve">       TOTAL  A R M M</t>
  </si>
  <si>
    <t>REGION XI</t>
  </si>
  <si>
    <t xml:space="preserve">DAVAO NORTE </t>
  </si>
  <si>
    <t xml:space="preserve">  CDF (CONG.SARMIENTO)</t>
  </si>
  <si>
    <t xml:space="preserve">  CDF (CONG. SATOR)</t>
  </si>
  <si>
    <t xml:space="preserve">  CDF(CONG.DEL ROSARIO)</t>
  </si>
  <si>
    <t xml:space="preserve">  CONG. INI.(SARMIENTO)</t>
  </si>
  <si>
    <t xml:space="preserve">  CONG. INI.- SATOR</t>
  </si>
  <si>
    <t xml:space="preserve">  CONG. INI.-DEL ROSARIO</t>
  </si>
  <si>
    <t xml:space="preserve">  NPC/DOE MISS. FUND</t>
  </si>
  <si>
    <t xml:space="preserve">  BSGCC - (CONG.R.LOPEZ)</t>
  </si>
  <si>
    <t xml:space="preserve">  BSGCC - (CONG.P.ALVAREZ)</t>
  </si>
  <si>
    <t xml:space="preserve">  BSGCC - (CONG.M.EBALLE)</t>
  </si>
  <si>
    <t xml:space="preserve">  BSGCC - (CONG.FLORIENDO)</t>
  </si>
  <si>
    <t xml:space="preserve">  PDAF (CONG. P. ALVAREZ)</t>
  </si>
  <si>
    <t xml:space="preserve">  EXP./(UNPROG.)&amp;(SUB.SAVINGS</t>
  </si>
  <si>
    <t xml:space="preserve">  PDAF (CONG. V. J. GARCIA)</t>
  </si>
  <si>
    <t xml:space="preserve">  MUN. OF CARMEN</t>
  </si>
  <si>
    <t>DAVAO SUR</t>
  </si>
  <si>
    <t>94/95/97</t>
  </si>
  <si>
    <t xml:space="preserve">  CONG. INI.- ALMENDRAS</t>
  </si>
  <si>
    <t xml:space="preserve">  USAID GRANT(BOOMTURCK)</t>
  </si>
  <si>
    <t xml:space="preserve">  EXPANSION/(UNPROGRAMMED)</t>
  </si>
  <si>
    <t xml:space="preserve">  EXPNSN-DN MARCELINO(BAL)</t>
  </si>
  <si>
    <t>DAVAO ORIENTAL</t>
  </si>
  <si>
    <t xml:space="preserve">  CONG. INI.- GIL</t>
  </si>
  <si>
    <t xml:space="preserve">  CONG. INI.- ALMARIO</t>
  </si>
  <si>
    <t xml:space="preserve">  CDF (CONG. T. ALMARIO)</t>
  </si>
  <si>
    <t xml:space="preserve">       TOTAL REGION XI</t>
  </si>
  <si>
    <t>REGION XII</t>
  </si>
  <si>
    <t>SO. COTABATO I</t>
  </si>
  <si>
    <t xml:space="preserve">  CDF (CONG D.FUENTES)                   94/96/97/98</t>
  </si>
  <si>
    <t xml:space="preserve">  CONG. INI.-FUENTES</t>
  </si>
  <si>
    <t>1995/1998</t>
  </si>
  <si>
    <t>SO. COTABATO II</t>
  </si>
  <si>
    <t xml:space="preserve">  EXPANSION (SUBSIDY BALANCE)</t>
  </si>
  <si>
    <t>1999-2000</t>
  </si>
  <si>
    <t>NORTH COTABATO</t>
  </si>
  <si>
    <t xml:space="preserve">  EXPAN./50M UNALLOC-GAA</t>
  </si>
  <si>
    <t xml:space="preserve">   96/98/99</t>
  </si>
  <si>
    <t xml:space="preserve">  CONG. INI.-CONG. IPONG</t>
  </si>
  <si>
    <t xml:space="preserve">  PDAF-CONG. IPONG</t>
  </si>
  <si>
    <t xml:space="preserve"> 2001/2002</t>
  </si>
  <si>
    <t>SULTAN KUDARAT</t>
  </si>
  <si>
    <t xml:space="preserve">  GAA/NGS SAVNGS/NINOY A.</t>
  </si>
  <si>
    <t xml:space="preserve">  1991/1993</t>
  </si>
  <si>
    <t>1994/1996</t>
  </si>
  <si>
    <t xml:space="preserve">  PALIMBANG(NP)-GAA</t>
  </si>
  <si>
    <t xml:space="preserve">  CONG. INI.-CONG. MONTILLA</t>
  </si>
  <si>
    <t xml:space="preserve">  SK PENDATUM-46.3M REALGND</t>
  </si>
  <si>
    <t xml:space="preserve">       TOTAL  REGION XII</t>
  </si>
  <si>
    <t>GRAND TOTALS</t>
  </si>
  <si>
    <t>v</t>
  </si>
  <si>
    <t>Prepared by:</t>
  </si>
  <si>
    <t xml:space="preserve">    -------------------</t>
  </si>
  <si>
    <t xml:space="preserve">   ---------------------</t>
  </si>
  <si>
    <t>R VII</t>
  </si>
  <si>
    <t>R IX/ARMM</t>
  </si>
  <si>
    <t>R XI/XII</t>
  </si>
  <si>
    <t xml:space="preserve">    NOTE: </t>
  </si>
  <si>
    <t xml:space="preserve"> 1995 SUBSIDY FUND LESS 5% (MANDATORY RESERVE) PER BUDGET DIV. INSTRUCTIONS.</t>
  </si>
  <si>
    <t xml:space="preserve"> 1996 SUBSIDY FUND LESS 10% (MANDATORY RESERVE) PER BUDGET DIV. INSTRUCTIONS.</t>
  </si>
  <si>
    <t xml:space="preserve"> 1997 SUBSIDY FUND LESS 10% (MANDATORY RESERVE) PER BUDGET DIV. INSTRUCTIONS.</t>
  </si>
  <si>
    <t>SUMMARY OF SUBSIDY RELEASES</t>
  </si>
  <si>
    <t>REGION  I</t>
  </si>
  <si>
    <t>C A R</t>
  </si>
  <si>
    <t>REGION  III</t>
  </si>
  <si>
    <t>REGION  V</t>
  </si>
  <si>
    <t>A R M M</t>
  </si>
  <si>
    <t>REGION  XI</t>
  </si>
  <si>
    <t xml:space="preserve">          GRAND TOTALS</t>
  </si>
  <si>
    <t xml:space="preserve">  PRIOR YEARS' SUBSIDY</t>
  </si>
  <si>
    <t>*35</t>
  </si>
  <si>
    <t>IFUGAO</t>
  </si>
  <si>
    <t xml:space="preserve">   EARTHQUAKE</t>
  </si>
  <si>
    <t xml:space="preserve">   AGUINALDO - LIMS</t>
  </si>
  <si>
    <t xml:space="preserve">   NGS SAVINGS</t>
  </si>
  <si>
    <t xml:space="preserve">   GAA</t>
  </si>
  <si>
    <t xml:space="preserve">   CIDA GRANT</t>
  </si>
  <si>
    <t xml:space="preserve">   USAID GRANT/COMPUTER</t>
  </si>
  <si>
    <t xml:space="preserve">   TINOC (N.P.)</t>
  </si>
  <si>
    <t xml:space="preserve">   PDAF OF CONG. E.PABLO</t>
  </si>
  <si>
    <t xml:space="preserve">   46.3M REALIGNED</t>
  </si>
  <si>
    <t xml:space="preserve">   34.2M RE-ALIGNED</t>
  </si>
  <si>
    <t xml:space="preserve">   NPC/DOE MISSIONARY FUND</t>
  </si>
  <si>
    <t xml:space="preserve">   NPC/ABEP FUND (O'ILAW PROJ)</t>
  </si>
  <si>
    <t>KALINGA-APAYAO</t>
  </si>
  <si>
    <t xml:space="preserve">   TINGLAYAN - LIMS</t>
  </si>
  <si>
    <t xml:space="preserve">   KABUGAO</t>
  </si>
  <si>
    <t xml:space="preserve">   USAID GRANT/COMPUTERS</t>
  </si>
  <si>
    <t xml:space="preserve">    50M UNALLOCATED</t>
  </si>
  <si>
    <t xml:space="preserve">    50M UNALL.(E/M)-1996</t>
  </si>
  <si>
    <t xml:space="preserve">    GAA</t>
  </si>
  <si>
    <t xml:space="preserve">    EMERGENCY</t>
  </si>
  <si>
    <t xml:space="preserve">    46.3M REALIGNED</t>
  </si>
  <si>
    <t xml:space="preserve">    34.2M RE-ALIGNED</t>
  </si>
  <si>
    <t xml:space="preserve">    NPC/ABEP FUND (O'ILAW)</t>
  </si>
  <si>
    <t>REGION II</t>
  </si>
  <si>
    <t>BATANES</t>
  </si>
  <si>
    <t>GAA</t>
  </si>
  <si>
    <t>ITBAYAT - LIMS</t>
  </si>
  <si>
    <t>SABTANG - LIMS</t>
  </si>
  <si>
    <t>UYUGAN - GAA</t>
  </si>
  <si>
    <t>CIDA GRANT</t>
  </si>
  <si>
    <t>USAID GRANT/COMPUTER</t>
  </si>
  <si>
    <t xml:space="preserve">INIT.- Cong. Abad </t>
  </si>
  <si>
    <t>MANDATORY RESERVED</t>
  </si>
  <si>
    <t>NPC/ABEP FUND(O'ILAW PROJ.)</t>
  </si>
  <si>
    <t>ISABELA I</t>
  </si>
  <si>
    <t>USAID GRANT/COMPUTERS</t>
  </si>
  <si>
    <t xml:space="preserve"> *</t>
  </si>
  <si>
    <t xml:space="preserve">INIT-Cong.Abaya (ISELCO I&amp;II) </t>
  </si>
  <si>
    <t xml:space="preserve">INIT-Cong. Respicio </t>
  </si>
  <si>
    <t>PDAF OF CONG. E. PABLO</t>
  </si>
  <si>
    <t>EMERGENCY</t>
  </si>
  <si>
    <t>NPC/DOE MISSIONARY FUND</t>
  </si>
  <si>
    <t>ISABELA II</t>
  </si>
  <si>
    <t>PALANAN - GAA</t>
  </si>
  <si>
    <t>MACONACON - LIMS</t>
  </si>
  <si>
    <t>DINAPIGUI - LIMS</t>
  </si>
  <si>
    <t>DIVALACAN - LIMS</t>
  </si>
  <si>
    <t>50M UNALLOCATED</t>
  </si>
  <si>
    <t xml:space="preserve">INIT-Cong. Albano </t>
  </si>
  <si>
    <t xml:space="preserve">CDF-Cong. Dy  </t>
  </si>
  <si>
    <t>INIT.- Cong. Albano</t>
  </si>
  <si>
    <t>PDAF- CONG. ALBANO</t>
  </si>
  <si>
    <t>34.2M RE-ALIGNED</t>
  </si>
  <si>
    <t>NUEVA VIZCAYA</t>
  </si>
  <si>
    <t>EARTHQUAKE</t>
  </si>
  <si>
    <t>AMBAGUIO - LIMS</t>
  </si>
  <si>
    <t>P25M UNALLOCATED</t>
  </si>
  <si>
    <t>PDAF-CONG.E.PABLO</t>
  </si>
  <si>
    <t>PRIOR YRS SUBSIDY</t>
  </si>
  <si>
    <t>BRGY.ENERG.</t>
  </si>
  <si>
    <t>CAGAYAN I</t>
  </si>
  <si>
    <t xml:space="preserve">INIT-Cong. Antonio </t>
  </si>
  <si>
    <t xml:space="preserve">INIT-Sen. Enrile  </t>
  </si>
  <si>
    <t xml:space="preserve">INIT-Cong. Lara    </t>
  </si>
  <si>
    <t xml:space="preserve">INIT-Cong. Mamba   </t>
  </si>
  <si>
    <t>INIT-Cong. ENRILE</t>
  </si>
  <si>
    <t>PDAF-CONG.J.ENRILE</t>
  </si>
  <si>
    <t>UNVIABLE</t>
  </si>
  <si>
    <t>CDF-Cong. E. Lara</t>
  </si>
  <si>
    <t>INT. EARNED ON SUB.</t>
  </si>
  <si>
    <t>CAGAYAN II</t>
  </si>
  <si>
    <t>CALAYAN - GAA</t>
  </si>
  <si>
    <t xml:space="preserve">INIT-Sen. Enrile </t>
  </si>
  <si>
    <t xml:space="preserve">INIT-Cong. Lara   </t>
  </si>
  <si>
    <t/>
  </si>
  <si>
    <t xml:space="preserve">CDF-Cong. Lara </t>
  </si>
  <si>
    <t xml:space="preserve">INIT-Cong. Lara </t>
  </si>
  <si>
    <t>INIT-Cong.Jack Enrile</t>
  </si>
  <si>
    <t>QUIRINO</t>
  </si>
  <si>
    <t>P50M UNALLOCATED</t>
  </si>
  <si>
    <t>BSGOCC-Cong. ELENA CUA</t>
  </si>
  <si>
    <t>PDAF CONG. E. PABLO</t>
  </si>
  <si>
    <t>46.3M REALIGNED</t>
  </si>
  <si>
    <t xml:space="preserve">      TOTAL - REGION II</t>
  </si>
  <si>
    <t>REGION IV</t>
  </si>
  <si>
    <t>LUBANG</t>
  </si>
  <si>
    <t>GOLO - GAA</t>
  </si>
  <si>
    <t>CABRA - GAA</t>
  </si>
  <si>
    <t>34.2M REALIGNED</t>
  </si>
  <si>
    <t>QUEZON I</t>
  </si>
  <si>
    <t xml:space="preserve">INIT-Sen. Flavier </t>
  </si>
  <si>
    <t>USAID GRANT/BOOM TRUCK</t>
  </si>
  <si>
    <t xml:space="preserve">50M UNALLO. </t>
  </si>
  <si>
    <t xml:space="preserve">INIT-Sen. Fernan </t>
  </si>
  <si>
    <t xml:space="preserve">INIT-Sen. Roco   </t>
  </si>
  <si>
    <t>**</t>
  </si>
  <si>
    <t>NPC/ABEP FUND (O'ILAW PROJ)</t>
  </si>
  <si>
    <t xml:space="preserve">QUEZON II </t>
  </si>
  <si>
    <t>POLILLO - GAA</t>
  </si>
  <si>
    <t>PATNANUNGAN/JOMALIG</t>
  </si>
  <si>
    <t>BURDEOS - LIMS</t>
  </si>
  <si>
    <t>PANUKULAN(NP)-GAA</t>
  </si>
  <si>
    <t>50M UNALLOC.</t>
  </si>
  <si>
    <t xml:space="preserve">INIT-Sen.Roco </t>
  </si>
  <si>
    <t>PDAF-CONG.E. PABLO</t>
  </si>
  <si>
    <t>ROMBLON ISLAND</t>
  </si>
  <si>
    <t>SIBUYAN IS. - GAA</t>
  </si>
  <si>
    <t>BANTON - GAA</t>
  </si>
  <si>
    <t>MAGDIWANG - GAA</t>
  </si>
  <si>
    <t>INIT - Cong. Madrona</t>
  </si>
  <si>
    <t>*****</t>
  </si>
  <si>
    <t>GAA(UNPROGRAMMED)</t>
  </si>
  <si>
    <t>MAGDIWANG - 46.3M REALIGNED</t>
  </si>
  <si>
    <t>MAGDIWANG - 34.2M REALIGNED</t>
  </si>
  <si>
    <t xml:space="preserve">BUSUANGA IS. </t>
  </si>
  <si>
    <t>CULION IS. - GAA</t>
  </si>
  <si>
    <t>LINAPACAN IS.-GAA</t>
  </si>
  <si>
    <t>TABLAS IS.</t>
  </si>
  <si>
    <t>SAN JOSE - GAA</t>
  </si>
  <si>
    <t>CDF-Cong. Madrona</t>
  </si>
  <si>
    <t>INIT - Cong.Madrona</t>
  </si>
  <si>
    <t xml:space="preserve">PALAWAN </t>
  </si>
  <si>
    <t>BALABAC,ROXAS&amp;TAYTAY</t>
  </si>
  <si>
    <t>AGATAYA/BALABAC -LIMS</t>
  </si>
  <si>
    <t>SAN VICENTE - GAA</t>
  </si>
  <si>
    <t>CAGAYANCILLO - LIMS</t>
  </si>
  <si>
    <t>EL NIDO - GAA</t>
  </si>
  <si>
    <t>MARINDUQUE</t>
  </si>
  <si>
    <t>TORRIJOS - GAA</t>
  </si>
  <si>
    <t xml:space="preserve">INIT-Cong. Reyes </t>
  </si>
  <si>
    <t>INIT-Cong. Reyes</t>
  </si>
  <si>
    <t xml:space="preserve">CDF-Cong. Reyes </t>
  </si>
  <si>
    <t>****</t>
  </si>
  <si>
    <t>GAA-UNPROGRAMMED</t>
  </si>
  <si>
    <t>OCCIDENTAL MINDORO</t>
  </si>
  <si>
    <t>MANBURAO - GAA</t>
  </si>
  <si>
    <t>INIT.- Cong. Villarosa</t>
  </si>
  <si>
    <t>ORIENTAL MINDORO</t>
  </si>
  <si>
    <t>GAA-SAVINGS</t>
  </si>
  <si>
    <t>1991-1992</t>
  </si>
  <si>
    <t xml:space="preserve">INIT-Sen. Roco  </t>
  </si>
  <si>
    <t>CDF-Cong. Leviste</t>
  </si>
  <si>
    <t>GAA(SAVINGS)</t>
  </si>
  <si>
    <t>BATANGAS I</t>
  </si>
  <si>
    <t xml:space="preserve">INIT-Cong. Ermita </t>
  </si>
  <si>
    <t>USAID GRANT/BOOMTRUCK</t>
  </si>
  <si>
    <t>INIT-Cong. Trinidad</t>
  </si>
  <si>
    <t>CDF - Sen. S. Shahani</t>
  </si>
  <si>
    <t xml:space="preserve">BATANGAS II </t>
  </si>
  <si>
    <t>TINGLOY - GAA</t>
  </si>
  <si>
    <t xml:space="preserve">CDF-Cong.Trinidad </t>
  </si>
  <si>
    <t>GAA(SAV.-2ND BATCH)</t>
  </si>
  <si>
    <t>CDF-Cong.Trinidad</t>
  </si>
  <si>
    <t>CDF-Sen. L.Shahani</t>
  </si>
  <si>
    <t>FIRST LAGUNA</t>
  </si>
  <si>
    <t xml:space="preserve">INIT-Sen. Lina </t>
  </si>
  <si>
    <t>CAVITE - IMUS</t>
  </si>
  <si>
    <t xml:space="preserve">INIT-Sen. Roco </t>
  </si>
  <si>
    <t>CAVITE - SILANG</t>
  </si>
  <si>
    <t>CAVITE - TAGAYTAY</t>
  </si>
  <si>
    <t>CAVITE - ROSARIO</t>
  </si>
  <si>
    <t xml:space="preserve">INIT-Sen. Osmena III </t>
  </si>
  <si>
    <t xml:space="preserve">      TOTAL - REGION IV</t>
  </si>
  <si>
    <t>REGION VI</t>
  </si>
  <si>
    <t>AKLAN</t>
  </si>
  <si>
    <t>BORACAY - GAA</t>
  </si>
  <si>
    <t>BSGOCC-Cong.Quimpo</t>
  </si>
  <si>
    <t>ALTAVAS/BALETE -46.3M REALIGNED</t>
  </si>
  <si>
    <t>NPC/ABEP FUND(O'ILAW PROJ)</t>
  </si>
  <si>
    <t xml:space="preserve">ANTIQUE </t>
  </si>
  <si>
    <t>CALUYA - GAA</t>
  </si>
  <si>
    <t xml:space="preserve">CDF  - Cong. Javier   </t>
  </si>
  <si>
    <t xml:space="preserve">CDF - Cong. Javier   </t>
  </si>
  <si>
    <t>CDF - Cong. Plameras</t>
  </si>
  <si>
    <t>PDAF-CONG.E. JAVIER</t>
  </si>
  <si>
    <t xml:space="preserve">CENTRAL NEGROS </t>
  </si>
  <si>
    <t xml:space="preserve">INIT-Cong. Lacson </t>
  </si>
  <si>
    <t>CDF-Sen. Macapagal</t>
  </si>
  <si>
    <t>MUN. OF BACOLOD-INIT Sen. Roco  1996</t>
  </si>
  <si>
    <t>GAA (SAVINGS)</t>
  </si>
  <si>
    <t>PDAF-CONG.J.V.LACSON</t>
  </si>
  <si>
    <t>PDAF-CONG.FUENTEBELLA</t>
  </si>
  <si>
    <t>PDAF-SEN.DRILON</t>
  </si>
  <si>
    <t>PDAF-CONG.J.C.LACSON</t>
  </si>
  <si>
    <t>CDF-Sen. R. Roco</t>
  </si>
  <si>
    <t>NEGROS OCCIDENTAL</t>
  </si>
  <si>
    <t xml:space="preserve">INIT-Sen. Osmena </t>
  </si>
  <si>
    <t>INIT-Sen. Osmena III</t>
  </si>
  <si>
    <t xml:space="preserve">INIT-Cong. Yulo       </t>
  </si>
  <si>
    <t xml:space="preserve">INIT-Cong. Alvarez    </t>
  </si>
  <si>
    <t>CDF-Cong.M.Yulo</t>
  </si>
  <si>
    <t>CDF-Cong.Laguda</t>
  </si>
  <si>
    <t>SEP</t>
  </si>
  <si>
    <t>ILOILO I</t>
  </si>
  <si>
    <t xml:space="preserve">INIT-Cong. Lopez  </t>
  </si>
  <si>
    <t>CDF - CONG. YARIN</t>
  </si>
  <si>
    <t>BSGOCC- Cong.PARCON</t>
  </si>
  <si>
    <t>CDF-Cong.O.Garin</t>
  </si>
  <si>
    <t>CDF-Cong. A. Lopez</t>
  </si>
  <si>
    <t>*</t>
  </si>
  <si>
    <t>INIT-Cong.Lopez(ILECO I&amp;II) 1996</t>
  </si>
  <si>
    <t>ILOILO II</t>
  </si>
  <si>
    <t xml:space="preserve">INIT- Cong. Lopez </t>
  </si>
  <si>
    <t xml:space="preserve">INIT-Sen. Drilon </t>
  </si>
  <si>
    <t xml:space="preserve">INIT- Cong. Monfort </t>
  </si>
  <si>
    <t>BSGOCC-Cong. PARCON</t>
  </si>
  <si>
    <t>PDAF- Cong. PARCON</t>
  </si>
  <si>
    <t>CDF-Cong.Panes</t>
  </si>
  <si>
    <t>CDF-Cong.Monfort</t>
  </si>
  <si>
    <t xml:space="preserve">ILOILO III </t>
  </si>
  <si>
    <t>GIGANTES - GAA</t>
  </si>
  <si>
    <t>PDAF OF CONG. SUPLICO</t>
  </si>
  <si>
    <t>CAPIZ</t>
  </si>
  <si>
    <t xml:space="preserve">INIT-Sen.Roco   </t>
  </si>
  <si>
    <t xml:space="preserve">INIT-Sen.Osmena </t>
  </si>
  <si>
    <t>USAID GRANT/BOOMTRUCKS</t>
  </si>
  <si>
    <t xml:space="preserve">INIT- Sen. Fernan </t>
  </si>
  <si>
    <t xml:space="preserve">INIT- Sen. Roco </t>
  </si>
  <si>
    <t>BSGOCC-Sen.Pimentel</t>
  </si>
  <si>
    <t>BSGOCC-Cong. Andaya</t>
  </si>
  <si>
    <t>GAA(SAV.-2nd BATCH)</t>
  </si>
  <si>
    <t>VRESCO</t>
  </si>
  <si>
    <t xml:space="preserve">INIT-Cong. Puey   </t>
  </si>
  <si>
    <t xml:space="preserve">INIT-Cong. Maranon </t>
  </si>
  <si>
    <t xml:space="preserve">INIT-Cong. Ledesma IV </t>
  </si>
  <si>
    <t>PDAF OF CONG.YOUNG</t>
  </si>
  <si>
    <t>PDAF-CONG.J.LEDESMA</t>
  </si>
  <si>
    <t>PDAF OF CONG.J.V.LACSON</t>
  </si>
  <si>
    <t>PDAF OF CONG.J.C.LACSON</t>
  </si>
  <si>
    <t>CDF-Cong.Carmona</t>
  </si>
  <si>
    <t>GUIMARAS IS.</t>
  </si>
  <si>
    <t xml:space="preserve">INIT-Cong. Andaya </t>
  </si>
  <si>
    <t>BSGOCC-CONG.LOPEZ</t>
  </si>
  <si>
    <t xml:space="preserve">GAA </t>
  </si>
  <si>
    <t>MUN. OF NEW LUCENA,ILOILO</t>
  </si>
  <si>
    <t xml:space="preserve"> INIT- Sen. Santiago</t>
  </si>
  <si>
    <t>MUN. OF CONCEPCION, ILOILO</t>
  </si>
  <si>
    <t>MUN.OF SAN ENRIQUE, ILOILO</t>
  </si>
  <si>
    <t>MUN. OF DUENAS, ILOILO</t>
  </si>
  <si>
    <t>MUN. OF AJUY, ILOILO</t>
  </si>
  <si>
    <t>MUN. OF TIGBAUAN, ILOILO</t>
  </si>
  <si>
    <t>MUN.OF SAN JOAQUIN, ILOILO</t>
  </si>
  <si>
    <t>MUN.OF IGBARAS, ILOILO</t>
  </si>
  <si>
    <t>MUN.OF PILAR/CASANAYAN, CAPIZ</t>
  </si>
  <si>
    <t>MUN. OF IVISAN,  CAPIZ</t>
  </si>
  <si>
    <t>MUN.OF JAMINDAN, CAPIZ</t>
  </si>
  <si>
    <t>MUN.OF ROXAS/PILAR, CAPIZ</t>
  </si>
  <si>
    <t>MUN. OF OTON,  ILOILO</t>
  </si>
  <si>
    <t>MUN.OF CUARTERO, CAPIZ</t>
  </si>
  <si>
    <t xml:space="preserve">      TOTAL - REGION VI</t>
  </si>
  <si>
    <t>REGION VIII</t>
  </si>
  <si>
    <t>LEYTE I/DORELCO</t>
  </si>
  <si>
    <t>******</t>
  </si>
  <si>
    <t>LEYTE II</t>
  </si>
  <si>
    <t>LEYTE III</t>
  </si>
  <si>
    <t>LEYTE IV</t>
  </si>
  <si>
    <t xml:space="preserve">INIT-Cong. Loreto </t>
  </si>
  <si>
    <t>LEYTE V</t>
  </si>
  <si>
    <t>SOUTHERN LEYTE</t>
  </si>
  <si>
    <t>LIMASAWA - LIMS</t>
  </si>
  <si>
    <t xml:space="preserve">CDF-Cong. Mercado </t>
  </si>
  <si>
    <t xml:space="preserve">INIT-Cong. Mercado </t>
  </si>
  <si>
    <t>2001-02</t>
  </si>
  <si>
    <t xml:space="preserve">SAMAR I </t>
  </si>
  <si>
    <t>ALMAGOO</t>
  </si>
  <si>
    <t>STO. NINO</t>
  </si>
  <si>
    <t>TAGAPULA</t>
  </si>
  <si>
    <t>NGS SAVINGS</t>
  </si>
  <si>
    <t xml:space="preserve">MATUGUINAO (NP) </t>
  </si>
  <si>
    <t xml:space="preserve">SAMAR II </t>
  </si>
  <si>
    <t>DARAM - GAA</t>
  </si>
  <si>
    <t>ZUMARRAGA - GAA</t>
  </si>
  <si>
    <t>MARABUT - LIMS</t>
  </si>
  <si>
    <t>50M UNALLOC. 1996</t>
  </si>
  <si>
    <t xml:space="preserve">CDF-Cong. Figueroa </t>
  </si>
  <si>
    <t>PDAF OF CONG. NACHURA</t>
  </si>
  <si>
    <t xml:space="preserve">EASTERN SAMAR </t>
  </si>
  <si>
    <t>MASLOG - LIMS</t>
  </si>
  <si>
    <t>NO. SAMAR</t>
  </si>
  <si>
    <t>MAPANAS - LIMS</t>
  </si>
  <si>
    <t>GAMAY - GAA</t>
  </si>
  <si>
    <t>PALAPAG - GAA</t>
  </si>
  <si>
    <t>LAPINIG - LIMS</t>
  </si>
  <si>
    <t>SILVINO LOBOS-GAA</t>
  </si>
  <si>
    <t>SAN VICENTE (NP)</t>
  </si>
  <si>
    <t>50M UNALLOC</t>
  </si>
  <si>
    <t>BILIRAN</t>
  </si>
  <si>
    <t>MARIPIPI - GAA</t>
  </si>
  <si>
    <t xml:space="preserve">      TOTAL - REGION VIII</t>
  </si>
  <si>
    <t>REGION X</t>
  </si>
  <si>
    <t>MISAMIS ORIENTAL I</t>
  </si>
  <si>
    <t>BSGOCC-Sen. Pimentel</t>
  </si>
  <si>
    <t>BSGOCC-Cong. Eballe</t>
  </si>
  <si>
    <t>MISAMIS ORIENTAL II</t>
  </si>
  <si>
    <t xml:space="preserve">GASAN/S.ROQUE 50M UNALL. </t>
  </si>
  <si>
    <t xml:space="preserve">INIT-Cong. Cesar </t>
  </si>
  <si>
    <t>***</t>
  </si>
  <si>
    <t>INT. ON SUBSIDY DEP.</t>
  </si>
  <si>
    <t>GAA(SAVINGS-2ND BATCH)</t>
  </si>
  <si>
    <t>BUKIDNON I</t>
  </si>
  <si>
    <t>SUBSIDY SAVINGS</t>
  </si>
  <si>
    <t>90-96</t>
  </si>
  <si>
    <t>BUMBARAN (NP) GAA</t>
  </si>
  <si>
    <t>CDF-Cong.Acosta</t>
  </si>
  <si>
    <t xml:space="preserve">INIT-Sen.Osmena III </t>
  </si>
  <si>
    <t xml:space="preserve">CDF-Cong.Acosta(BUK I&amp;II)  </t>
  </si>
  <si>
    <t>PDAF-Cong. Zubiri</t>
  </si>
  <si>
    <t>LIMS</t>
  </si>
  <si>
    <t>MUN. OF WAO - 46.3M REALIGNED</t>
  </si>
  <si>
    <t>BUMBARAN(bal) 1990-1996 SAVINGS</t>
  </si>
  <si>
    <t>BUKIDNON II</t>
  </si>
  <si>
    <t>USAIDGRANT/COMPUTERS</t>
  </si>
  <si>
    <t xml:space="preserve">CDF-Cong. Acosta </t>
  </si>
  <si>
    <t xml:space="preserve">INIT-Cong. Acosta </t>
  </si>
  <si>
    <t>MISAMIS OCCIDENTAL I</t>
  </si>
  <si>
    <t xml:space="preserve">INIT-Cong. Catane </t>
  </si>
  <si>
    <t>INIT-Cong. Catane(MOELCI I&amp;II)1996</t>
  </si>
  <si>
    <t>MISAMIS OCCIDENTAL II</t>
  </si>
  <si>
    <t>CAMIGUIN ISLAND</t>
  </si>
  <si>
    <t>LANAO NORTE</t>
  </si>
  <si>
    <t xml:space="preserve">CDF-Cong. Mangotara </t>
  </si>
  <si>
    <t xml:space="preserve">INIT-Cong. Mangotara </t>
  </si>
  <si>
    <t>MUNAI - GAA</t>
  </si>
  <si>
    <t>BSGOCC-Cong.Eballe</t>
  </si>
  <si>
    <t>MUNAI(bal) - 1990-1996 SAVINGS</t>
  </si>
  <si>
    <t>TAGOLOAN(bal)-1990-1996 SAVINGS</t>
  </si>
  <si>
    <t>POONA(bal) - 1990-1996 SAVINGS</t>
  </si>
  <si>
    <t xml:space="preserve">      TOTAL - REGION X</t>
  </si>
  <si>
    <t>C A R A G A</t>
  </si>
  <si>
    <t>SURIGAO NORTE</t>
  </si>
  <si>
    <t>HIKDOP - GAA</t>
  </si>
  <si>
    <t>SIARGAO ISLAND</t>
  </si>
  <si>
    <t>CDF-Cong. Navarro</t>
  </si>
  <si>
    <t>AGUSAN SUR</t>
  </si>
  <si>
    <t>CDF-Cong.Paredes,Jr.</t>
  </si>
  <si>
    <t>AGUSAN NORTE</t>
  </si>
  <si>
    <t>USAID GRANT/BOOMTRUKS</t>
  </si>
  <si>
    <t>BSGOCC- Cong. Eballe</t>
  </si>
  <si>
    <t>DINAGAT IS.</t>
  </si>
  <si>
    <t xml:space="preserve"> 1991 </t>
  </si>
  <si>
    <t xml:space="preserve">LIBJO,ALBOR(NP) - GAA     </t>
  </si>
  <si>
    <t>LORETO (NP) - GAA</t>
  </si>
  <si>
    <t>TUBAJON(NP) - GAA</t>
  </si>
  <si>
    <t>PDAF - CONG. ECLEO</t>
  </si>
  <si>
    <t>SURIGAO SUR I</t>
  </si>
  <si>
    <t>CDF (CONG. ESTRELLA)</t>
  </si>
  <si>
    <t xml:space="preserve">  97/99</t>
  </si>
  <si>
    <t>CIDA GRANT(STEEL POLES)</t>
  </si>
  <si>
    <t xml:space="preserve">  95/98</t>
  </si>
  <si>
    <t>CONG.INIT.-J.FALCON</t>
  </si>
  <si>
    <t>SEN.INIT.-S.OSMENAIII</t>
  </si>
  <si>
    <t>SURIGAO SUR II</t>
  </si>
  <si>
    <t>EMERGENCY REQUEST</t>
  </si>
  <si>
    <t>SEN.INIT.-R. ROCO</t>
  </si>
  <si>
    <t xml:space="preserve">  94/96</t>
  </si>
  <si>
    <t>CONG.INIT.-MARIO TY</t>
  </si>
  <si>
    <t>CDF - MARIO TY</t>
  </si>
  <si>
    <t xml:space="preserve">      TOTAL - CARAGA</t>
  </si>
  <si>
    <t>GENERAL APPROPRIATION ACT (GAA)</t>
  </si>
  <si>
    <t>LOW INCOME MUNICIPALITIES</t>
  </si>
  <si>
    <t>BARANGAY ENERGIZATION (PP)</t>
  </si>
  <si>
    <t>COUNTRYWIDE DEVELOPMENT FUND (CDF)</t>
  </si>
  <si>
    <t>SOLAR ENERGY PROGRAM (SEP)</t>
  </si>
  <si>
    <t>USAID GRANT (BOOM TRUCK)</t>
  </si>
  <si>
    <t>50 MILLION UNALLOCATED SUB.(1994-1997)</t>
  </si>
  <si>
    <t>25 MILLION UNALLOCATED SUB.(1997)</t>
  </si>
  <si>
    <t>46.3M RE-ALIGNED (1990-1993 SAV.)</t>
  </si>
  <si>
    <t>34.2M RE-ALIGNED (1990-1992 SAV.)</t>
  </si>
  <si>
    <t>1998 MANDATORY RESERVED</t>
  </si>
  <si>
    <t>1993 NGS SAVINGS</t>
  </si>
  <si>
    <t>UNVIABLE BUT SOCIALLY ACCEPTABLE PROJ. IN LIMS</t>
  </si>
  <si>
    <t>USAID GRANT (COMPUTERS) A</t>
  </si>
  <si>
    <t>USAID GRANT (COMPUTERS) B</t>
  </si>
  <si>
    <t>CONGRESSIONAL INITIATIVES A</t>
  </si>
  <si>
    <t>CONGRESSIONAL INITIATIVES B</t>
  </si>
  <si>
    <t>SENATORIAL INITIATIVES  A</t>
  </si>
  <si>
    <t>SENATORIAL INITIATIVES  B</t>
  </si>
  <si>
    <t>BUDGETARY SUPPORT FOR GOV'T. CORP.-CONGRESSIONAL</t>
  </si>
  <si>
    <t>BUDGETARY SUPPORT FOR GOV'T. CORP.-SENATORIAL</t>
  </si>
  <si>
    <t>91/92/93/94/95/96/97/98/99 SUB.</t>
  </si>
  <si>
    <t>1995 SUBSIDY/50M UNALLOC.</t>
  </si>
  <si>
    <t>1996 SUBSIDY/50M UNALLOC.</t>
  </si>
  <si>
    <t>1997 SUBSIDY/25M UNALLOC.</t>
  </si>
  <si>
    <t>1998 SUBSIDY</t>
  </si>
  <si>
    <t>1999 SUBSIDY</t>
  </si>
  <si>
    <t>2000 SUBSIDY</t>
  </si>
  <si>
    <t>2001 SUBSIDY/UNPROGRAMMED</t>
  </si>
  <si>
    <t>2002 SUBSIDY/UNPROGRAMMED</t>
  </si>
  <si>
    <t>2003 SUBSIDY</t>
  </si>
  <si>
    <t>ISO/EXP/50M/25M UNALLOC-90/91/92/93</t>
  </si>
  <si>
    <t>PEP</t>
  </si>
  <si>
    <t>PRO-POOR</t>
  </si>
  <si>
    <t>(1992 SUB/PRO-POOR)UNPROG SUB FUND</t>
  </si>
  <si>
    <t>34.2M/45.8M REALLIGNED SUB.(1990-1993)</t>
  </si>
  <si>
    <t>1990-1992 REALIGNED SUBSIDY</t>
  </si>
  <si>
    <t>1990-1996 SUBSIDY SAVINGS</t>
  </si>
  <si>
    <t>ISLANDWIDE SUBSIDY</t>
  </si>
  <si>
    <t>1990-1995 SUB. SAVINGS</t>
  </si>
  <si>
    <t>MANDATORY RESERVE</t>
  </si>
  <si>
    <t>1992-1997 SUB. SAVINGS</t>
  </si>
  <si>
    <t>PDAF</t>
  </si>
  <si>
    <t>BSGC (SPECIAL ALLOTMENT)</t>
  </si>
  <si>
    <t>CALAMITY FUNDS</t>
  </si>
  <si>
    <t>(RA7080)/(RA8174)T-KADIANG-1992 SUB.</t>
  </si>
  <si>
    <t>PINATUBO-REHAB</t>
  </si>
  <si>
    <t>PINATUBO-RSTLMNT</t>
  </si>
  <si>
    <t>NPC/ABEP FUND (O'ILAW PROJECT)</t>
  </si>
  <si>
    <t>CIDA GRANT (STEEL POLES)</t>
  </si>
  <si>
    <t>PRIOR YEARS' SUBSIDY</t>
  </si>
  <si>
    <t>REGION  II</t>
  </si>
  <si>
    <t>REGION  IV</t>
  </si>
  <si>
    <t>REGION  VI</t>
  </si>
  <si>
    <t>CARAGA</t>
  </si>
  <si>
    <t xml:space="preserve"> 2003 PDAF</t>
  </si>
  <si>
    <t xml:space="preserve">  2003 SUBSIDY</t>
  </si>
  <si>
    <t xml:space="preserve">  2002 PDAF</t>
  </si>
  <si>
    <t xml:space="preserve"> 2003 SUBSIDY</t>
  </si>
  <si>
    <t xml:space="preserve"> PDAF-F. ENRILE</t>
  </si>
  <si>
    <t xml:space="preserve">  2002 SUBSIDY</t>
  </si>
  <si>
    <t xml:space="preserve"> 2004 SUBSIDY</t>
  </si>
  <si>
    <t xml:space="preserve">  2004 SUBSIDY</t>
  </si>
  <si>
    <t xml:space="preserve">    2004 SUBSIDY</t>
  </si>
  <si>
    <t xml:space="preserve">  2003 PDAF</t>
  </si>
  <si>
    <t>2004 SUBSIDY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</si>
  <si>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</si>
  <si>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</si>
  <si>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</si>
  <si>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</si>
  <si>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</si>
  <si>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</si>
  <si>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</si>
  <si>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</si>
  <si>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</si>
  <si>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</si>
  <si>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</si>
  <si>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</si>
  <si>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</si>
  <si>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</si>
  <si>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</si>
  <si>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</si>
  <si>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</si>
  <si>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</si>
  <si>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</si>
  <si>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</si>
  <si>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</si>
  <si>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</si>
  <si>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</si>
  <si>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</si>
  <si>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</si>
  <si>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</si>
  <si>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</si>
  <si>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</si>
  <si>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</si>
  <si>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</si>
  <si>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</si>
  <si>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</si>
  <si>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</si>
  <si>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</si>
  <si>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</si>
  <si>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</si>
  <si>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</si>
  <si>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</si>
  <si>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</si>
  <si>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</si>
  <si>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</si>
  <si>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</si>
  <si>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</si>
  <si>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</si>
  <si>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</si>
  <si>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</si>
  <si>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</si>
  <si>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</si>
  <si>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</si>
  <si>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</si>
  <si>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</si>
  <si>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</si>
  <si>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</si>
  <si>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</si>
  <si>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</si>
  <si>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</si>
  <si>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</si>
  <si>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</si>
  <si>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</si>
  <si>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</si>
  <si>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</si>
  <si>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</si>
  <si>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</si>
  <si>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</si>
  <si>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</si>
  <si>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</si>
  <si>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</si>
  <si>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</si>
  <si>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</si>
  <si>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</si>
  <si>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</si>
  <si>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</si>
  <si>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</si>
  <si>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</si>
  <si>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</si>
  <si>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</si>
  <si>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</si>
  <si>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</si>
  <si>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</si>
  <si>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</si>
  <si>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</si>
  <si>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</si>
  <si>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</si>
  <si>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</si>
  <si>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</si>
  <si>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</si>
  <si>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</si>
  <si>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</si>
  <si>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</si>
  <si>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</si>
  <si>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</si>
  <si>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</si>
  <si>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</si>
  <si>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</si>
  <si>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</si>
  <si>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</si>
  <si>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</si>
  <si>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</si>
  <si>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</si>
  <si>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</si>
  <si>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</si>
  <si>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</si>
  <si>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</si>
  <si>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</si>
  <si>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</si>
  <si>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</si>
  <si>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</si>
  <si>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</si>
  <si>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</si>
  <si>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</si>
  <si>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</si>
  <si>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</si>
  <si>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</si>
  <si>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</si>
  <si>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104</t>
  </si>
  <si>
    <t>117</t>
  </si>
  <si>
    <t>118</t>
  </si>
  <si>
    <t>119</t>
  </si>
  <si>
    <t>120</t>
  </si>
  <si>
    <t>122</t>
  </si>
  <si>
    <t>121</t>
  </si>
  <si>
    <t>Loans Management Specialist</t>
  </si>
  <si>
    <t xml:space="preserve">   MA. ROSARIO P. ROSALES</t>
  </si>
  <si>
    <t>Certified correct:</t>
  </si>
  <si>
    <t xml:space="preserve">        LIDA E. DELA MERCED</t>
  </si>
  <si>
    <t>Manager, Accounts Servicing Div.</t>
  </si>
  <si>
    <t>123</t>
  </si>
  <si>
    <t>1999-2000 SUB. SAVINGS</t>
  </si>
  <si>
    <t>2003 PDAF</t>
  </si>
  <si>
    <t xml:space="preserve">   2004 SUBSIDY</t>
  </si>
  <si>
    <t xml:space="preserve">  2001-2002 SUBSIDY SAVINGS</t>
  </si>
  <si>
    <t xml:space="preserve">  2000 PDAF</t>
  </si>
  <si>
    <t>1999-2000 SUBSIDY SAVINGS</t>
  </si>
  <si>
    <t>2001-2002 SUBSIDY SAVINGS</t>
  </si>
  <si>
    <t>SUBSIDY RELEASES</t>
  </si>
  <si>
    <t xml:space="preserve">ACCOUNTING REPORT </t>
  </si>
  <si>
    <t>(Accounting Report)</t>
  </si>
  <si>
    <t xml:space="preserve">SUMMARY OF PESO/EM RELEASES </t>
  </si>
  <si>
    <t>2004</t>
  </si>
  <si>
    <t xml:space="preserve">  PRIOR YEARS SUBSIDY</t>
  </si>
  <si>
    <t>PRIOR YEAR SUBSIDY</t>
  </si>
  <si>
    <t>rr</t>
  </si>
  <si>
    <t xml:space="preserve">  2003 PDAF-CONG E. PABLO</t>
  </si>
  <si>
    <t xml:space="preserve"> 2003 PDAF-CONG E. PABLO</t>
  </si>
  <si>
    <t xml:space="preserve">  2003 PDAF CONG. E. PABLO</t>
  </si>
  <si>
    <t xml:space="preserve">  2004 UNPROGRAMMED </t>
  </si>
  <si>
    <t>PRIOR YEARS SUBSIDY BALANCE</t>
  </si>
  <si>
    <t>2003 PDAF CONG. J. LACSON</t>
  </si>
  <si>
    <t xml:space="preserve">  CDF (CONG. EDGAR M. CHATO) </t>
  </si>
  <si>
    <t>2004 UNPROGRAMMED SUBSIDY</t>
  </si>
  <si>
    <t xml:space="preserve">  2004 UNPROGRAMMED</t>
  </si>
  <si>
    <t>2004 SUBSIDY/UNPROGRAMMED</t>
  </si>
  <si>
    <t xml:space="preserve">GEN. JOURNAL </t>
  </si>
  <si>
    <t xml:space="preserve">   2003/2004 SUBSIDY</t>
  </si>
  <si>
    <t xml:space="preserve">  2004 UNPROGMMED</t>
  </si>
  <si>
    <t xml:space="preserve">  PDAF (CONG W. CUSTODIO)</t>
  </si>
  <si>
    <t xml:space="preserve">   2003 SUBSIDY</t>
  </si>
  <si>
    <t>2003 PDAF CONG. E. PABLO</t>
  </si>
  <si>
    <t xml:space="preserve">  '2004 SUBSIDY</t>
  </si>
  <si>
    <t>2003 PDAF-CONG. E. PABLO</t>
  </si>
  <si>
    <t>2004 UNPROGRAMMED</t>
  </si>
  <si>
    <t xml:space="preserve">   2004 UNPROGRAMMED</t>
  </si>
  <si>
    <t xml:space="preserve">  PDAF CONG. E. PABLO</t>
  </si>
  <si>
    <t>`</t>
  </si>
  <si>
    <t>2003/2004 SUBSIDY</t>
  </si>
  <si>
    <t>Checked by:</t>
  </si>
  <si>
    <t>EVANGELINE V. ENTERESO</t>
  </si>
  <si>
    <t xml:space="preserve">  Loans Management Chief</t>
  </si>
  <si>
    <t xml:space="preserve">    </t>
  </si>
  <si>
    <t>2003 PDAF- CONG. PABLO</t>
  </si>
  <si>
    <t>2003 PDAF-SEN F. PANGILINAN</t>
  </si>
  <si>
    <t>AUTHORITY TO DEBIT</t>
  </si>
  <si>
    <t xml:space="preserve">  2004 UNPROGRAMMED SUBSIDY</t>
  </si>
  <si>
    <t xml:space="preserve">                  </t>
  </si>
  <si>
    <t>(ACTUAL)</t>
  </si>
  <si>
    <t xml:space="preserve">TOTAL </t>
  </si>
  <si>
    <t>W/ ALLOC</t>
  </si>
  <si>
    <t>-----------------------------</t>
  </si>
  <si>
    <t xml:space="preserve">  --------------------------</t>
  </si>
  <si>
    <t>ACTUAL</t>
  </si>
  <si>
    <t xml:space="preserve">    PDAF OF CONG.E. PABLO</t>
  </si>
  <si>
    <t xml:space="preserve">   </t>
  </si>
  <si>
    <t>2004 SUBSIDY BALANCE</t>
  </si>
  <si>
    <t xml:space="preserve">  2003 PDAF-CONG. E. PABLO</t>
  </si>
  <si>
    <t>2004 SUBSSIDY SAVINGS</t>
  </si>
  <si>
    <t>2001 PDAF</t>
  </si>
  <si>
    <t>PDAF-CONG. APOSTOL</t>
  </si>
  <si>
    <t>2002 PDAF</t>
  </si>
  <si>
    <t>2002 REALIGNED SUBSIDY</t>
  </si>
  <si>
    <t xml:space="preserve">SPECIAL JOURNAL </t>
  </si>
  <si>
    <t xml:space="preserve"> CK REGISTER-01/05</t>
  </si>
  <si>
    <t>2003 PDAF CONG. PABLO</t>
  </si>
  <si>
    <t>2005</t>
  </si>
  <si>
    <t xml:space="preserve">  2003 PDAF (CONG PABLO)</t>
  </si>
  <si>
    <t>2002 PDAF (CONG. PABLO)</t>
  </si>
  <si>
    <t xml:space="preserve">  2004 SUBSIDY BALANCE</t>
  </si>
  <si>
    <t>AS OF 01/31/05</t>
  </si>
  <si>
    <t>JAN (ORMECO)</t>
  </si>
  <si>
    <t>DEC.04 (ILECO III)</t>
  </si>
  <si>
    <t>1999 BSGOCC (SEN. PIMENTEL)</t>
  </si>
  <si>
    <t xml:space="preserve">  2004 PDAF (CONG. F. ESCUDERO))</t>
  </si>
  <si>
    <t xml:space="preserve">  2003 PDAF (CONG. E. PABLO)</t>
  </si>
  <si>
    <t>2000 BSGOCC (CONG. ANDAYA)</t>
  </si>
  <si>
    <t xml:space="preserve">  2000 SUBSIDY</t>
  </si>
  <si>
    <t xml:space="preserve">  2003 PDAF (CONG. J.C. GULLAS)</t>
  </si>
  <si>
    <t xml:space="preserve">  2004 PDAF (CONG. D. CAGAS)</t>
  </si>
  <si>
    <t>2003 PDAF (CONG. R. SUPLICO)</t>
  </si>
  <si>
    <t>2004 PDAF (CONG. J.C. LACSON)</t>
  </si>
  <si>
    <t>2002 PDAF (CONG.  J. ENRILE)</t>
  </si>
  <si>
    <t>2002 PDAF (CONG. E. PABLO)</t>
  </si>
  <si>
    <t xml:space="preserve"> 2004 PDAF (CONG. J.C. LACSON)</t>
  </si>
  <si>
    <t>2004 PDAF (CONG. E. PABLO)</t>
  </si>
  <si>
    <t xml:space="preserve">  2004 REALIGNED SUBSIDY</t>
  </si>
  <si>
    <t>AS OF  FEBRUARY 28,  2005</t>
  </si>
  <si>
    <t>1999 BSGOCC</t>
  </si>
  <si>
    <t>2004 PDAF</t>
  </si>
  <si>
    <t>2000 BSGOCC</t>
  </si>
  <si>
    <t>2003 PDAF (CONG. E. PABLO)</t>
  </si>
  <si>
    <t xml:space="preserve">  2004 PDAF (CONG. E. PABLO)</t>
  </si>
  <si>
    <t xml:space="preserve">  2004 PDAF (CONG. FLOREINDO)</t>
  </si>
  <si>
    <t xml:space="preserve">  2004 PDAF (CONG. OLANO)</t>
  </si>
  <si>
    <t>2003 PDAF (CONG. E. JAVIER)</t>
  </si>
  <si>
    <t>2004 SUBSSIDY BALANCE</t>
  </si>
  <si>
    <t xml:space="preserve">  2004 PDAF (CONG MADAMBA)</t>
  </si>
  <si>
    <t xml:space="preserve">  2000 BSGOCC (CONG. AUGMENTADO)</t>
  </si>
  <si>
    <t>2004 PDAF (CONG. MARANION)</t>
  </si>
  <si>
    <t xml:space="preserve">  2004 PDAF-CONG. DILANGALEN</t>
  </si>
  <si>
    <t>2004 PDAF-CONG. VALENCIA</t>
  </si>
  <si>
    <t xml:space="preserve">  2003 PDAF-CONG. E. VALDEZ</t>
  </si>
  <si>
    <t xml:space="preserve">  2003 PDAF-CONG. B. AQUINO JR.</t>
  </si>
  <si>
    <t>2003 PDAF-CONG. G. YUMUL HERMIDA</t>
  </si>
  <si>
    <t>2003 PDAF (CONG. MADAMBA</t>
  </si>
  <si>
    <t xml:space="preserve">  2003 PDAF (CONG. MADAMBA)</t>
  </si>
  <si>
    <t xml:space="preserve">  2004 PDAF (CONG. MASIAS)</t>
  </si>
  <si>
    <t>MUN. OF SAN JOSE, SURIGAO DEL NORTE</t>
  </si>
  <si>
    <t>2004 PDAF (CONGWOMAN ECLEO)</t>
  </si>
  <si>
    <t>2003 PDAF (CONG. MADAMBA)</t>
  </si>
  <si>
    <t>2003 PDAF (CONG. PABLO)</t>
  </si>
  <si>
    <t>2000 PDAF (CONG. PABLO)</t>
  </si>
  <si>
    <t>2005 SUBSIDY</t>
  </si>
  <si>
    <t>2000 PDAF</t>
  </si>
  <si>
    <t>2004 PDAF-CONG. ACOSTA</t>
  </si>
  <si>
    <t xml:space="preserve">  2005 SUBSIDY</t>
  </si>
  <si>
    <t>2004 PDAF-CONG A. DEFENSOR</t>
  </si>
  <si>
    <t>2003 PDAF-CONG N. MONFORT</t>
  </si>
  <si>
    <t xml:space="preserve">   2005 SUBSIDY</t>
  </si>
  <si>
    <t>2003 PDAF-CONG. MADAMBA</t>
  </si>
  <si>
    <t xml:space="preserve">    2005 SUBSIDY</t>
  </si>
  <si>
    <t>2003 SUBSIDY BALANCE</t>
  </si>
  <si>
    <t xml:space="preserve">  2002 SUBSIDY SAVINGS</t>
  </si>
  <si>
    <t xml:space="preserve">  2004 PDAF-CONG ANGARA</t>
  </si>
  <si>
    <t>2002 SUBSIDY BALANCE</t>
  </si>
  <si>
    <t xml:space="preserve">  2004 PDAF-CONG. R. ANDAYA</t>
  </si>
  <si>
    <t xml:space="preserve">  2003 PDAF-CONG. R. ANDAYA</t>
  </si>
  <si>
    <t xml:space="preserve">  2004 PDAF-CONG. R. CAJES</t>
  </si>
  <si>
    <t>2004 PDAF-CONG. ZUBIRI</t>
  </si>
  <si>
    <t xml:space="preserve"> 2004 PDAF CONG. OLANO/CONG. FLOREIENDO</t>
  </si>
  <si>
    <t xml:space="preserve">  2004 PDAF- CONG. AMATONG'</t>
  </si>
  <si>
    <t xml:space="preserve">  2004 PDAF - CONG. B. AQUINO JR.</t>
  </si>
  <si>
    <t>1999 BSGOCC - CONG. ALLEN QUIMPO</t>
  </si>
  <si>
    <t xml:space="preserve">  2005 UNPROGRAMMED SUBSIDY</t>
  </si>
  <si>
    <t xml:space="preserve">  2003 PDAF CONGW. CABILAO</t>
  </si>
  <si>
    <t>2005 UNPROGRAMMED</t>
  </si>
  <si>
    <t>2004 PDAFCONG. PTER PAUL FALCON</t>
  </si>
  <si>
    <t>2003/2005 PDAF</t>
  </si>
  <si>
    <t>2005 SUBSIDY/UNPROGRAMMED</t>
  </si>
  <si>
    <t xml:space="preserve">  2004 PDAF-CONG. YAPHA</t>
  </si>
  <si>
    <t>2005 SUBSSIDY</t>
  </si>
  <si>
    <t>2005 UMPROGRAMMED SUBSIDY</t>
  </si>
  <si>
    <t>2005 UNPROGRAMMED SUBSIDY</t>
  </si>
  <si>
    <t>2002 SUBSIDY SAVINGS</t>
  </si>
  <si>
    <t>2001 &amp; 2003 PDAF -CONG. JAVIER</t>
  </si>
  <si>
    <t>2005 PDAF CONG. JOSE CARLOS LACSON</t>
  </si>
  <si>
    <t>2002 PDAF CONG. PABLO</t>
  </si>
  <si>
    <t xml:space="preserve">  2004 PDAF-CONGW. DUMARPA</t>
  </si>
  <si>
    <t xml:space="preserve">  2005 UNPROGMMED</t>
  </si>
  <si>
    <t xml:space="preserve">  2004 PDAF CONG. VINCENT GARCIA</t>
  </si>
  <si>
    <t xml:space="preserve">  2005 UNPROGRAMMED</t>
  </si>
  <si>
    <t>2005 PDAF</t>
  </si>
  <si>
    <t xml:space="preserve">  2003 PDAF - CONG. PABLO</t>
  </si>
  <si>
    <t>MUN. OF ANGONO RIZAL</t>
  </si>
  <si>
    <t>2003 PDAF - CONG. DUAVIT</t>
  </si>
  <si>
    <t>2002 PDAF-CONG. PUENTEVELLA</t>
  </si>
  <si>
    <t xml:space="preserve"> 2005 UNPROGRAMMED SUBSIDY</t>
  </si>
  <si>
    <t xml:space="preserve">    2005 UNPROGRAMMED SUBSIDY</t>
  </si>
  <si>
    <t>2005 PDAF-CONG. LACSON</t>
  </si>
  <si>
    <t xml:space="preserve">  2005 PDAF-CONG. SALUPUDIN</t>
  </si>
  <si>
    <t xml:space="preserve"> CK REGISTER</t>
  </si>
  <si>
    <t xml:space="preserve">  2005 PDAF-CONG. CUENCO</t>
  </si>
  <si>
    <t xml:space="preserve">  1999 BSGCOCC - CONG. MARTINEZ</t>
  </si>
  <si>
    <t xml:space="preserve">2004 SUBSIDY BALANCE </t>
  </si>
  <si>
    <t>2006</t>
  </si>
  <si>
    <t>2005 PDAF-CONG. ALFREDO MARANON III</t>
  </si>
  <si>
    <t xml:space="preserve">  2005 PDAF-CONG. MADAMBA</t>
  </si>
  <si>
    <t>2005 PDAF-CONG. ERNESTO PABLO</t>
  </si>
  <si>
    <t>2005/2006</t>
  </si>
  <si>
    <t>1999 PDAF-CONG MELVIN EBALLE</t>
  </si>
  <si>
    <t>1999 PDAF</t>
  </si>
  <si>
    <t>1999-2000 BSGOCC</t>
  </si>
  <si>
    <t xml:space="preserve">  2004 PDAF-CONG. DARLENE CUSTODIO</t>
  </si>
  <si>
    <t xml:space="preserve">  2005 PDAF-CONG. PABLO</t>
  </si>
  <si>
    <t xml:space="preserve">  003 PDAF-CONG. VINCENT GARCIA</t>
  </si>
  <si>
    <t>2005 PDAF-CONG. ALFONSO UMALI</t>
  </si>
  <si>
    <t xml:space="preserve">  2005 PDAF-CONG. REAL</t>
  </si>
  <si>
    <t xml:space="preserve">  2004 PDAF-CONG. DANGWA</t>
  </si>
  <si>
    <t xml:space="preserve">   2005 UNPROGRAMMED</t>
  </si>
  <si>
    <t>2005 UNPROG/2003 SUB. BAL</t>
  </si>
  <si>
    <t xml:space="preserve">  2005 PDAF-CONG. YAPHA, JR.</t>
  </si>
  <si>
    <t xml:space="preserve">  2006 SUBSIDY</t>
  </si>
  <si>
    <t>2005 PDAF-CONG MERCADO</t>
  </si>
  <si>
    <t>2004/2005 UNPROGRAMMED</t>
  </si>
  <si>
    <t>2006 SUBSIDY</t>
  </si>
  <si>
    <t xml:space="preserve">  2005 PDAF-CONG. E. PABLO</t>
  </si>
  <si>
    <t xml:space="preserve">  2004 PDAF-CONG. AGUJA</t>
  </si>
  <si>
    <t xml:space="preserve">  1999 BSGOCC CONG. E. GULLAS</t>
  </si>
  <si>
    <t>2005 PDAF - CONG. RAMIRO</t>
  </si>
  <si>
    <t>2005 PDAF - CONG. PABLO</t>
  </si>
  <si>
    <t>2005 PDAF CONG PABLO</t>
  </si>
  <si>
    <t>2005 PDAF-CONG. A. DEFENSOR</t>
  </si>
  <si>
    <t>AS OF  MAY  31,  2006</t>
  </si>
  <si>
    <t>AS OF 04/30/06</t>
  </si>
  <si>
    <t>NPC O'ILAW FUND</t>
  </si>
  <si>
    <t xml:space="preserve"> 2005 PDAF-CONG. SUNNY ROSE MADAMBA</t>
  </si>
  <si>
    <t>2005 PDAF-CONG. E. PABLO</t>
  </si>
  <si>
    <t xml:space="preserve"> 2004 PDAF -CONG. J.C. LACSON</t>
  </si>
  <si>
    <t xml:space="preserve"> 2005 PDAF -CONG. J.C. LACSON</t>
  </si>
  <si>
    <t xml:space="preserve">  2006 SUIBSIDY</t>
  </si>
  <si>
    <t xml:space="preserve">2006 UNPROGRAMMED </t>
  </si>
  <si>
    <t xml:space="preserve">  2005 PDAF-CONG. CAJES</t>
  </si>
  <si>
    <t>2006 SUBSIDY/UNPROGRAMMED</t>
  </si>
  <si>
    <t>NPC-O'ILAW FUND (2006)</t>
  </si>
  <si>
    <t>(In Thousand Pesos)</t>
  </si>
  <si>
    <t xml:space="preserve">C A R </t>
  </si>
  <si>
    <t xml:space="preserve">A R M M  </t>
  </si>
  <si>
    <t>EM</t>
  </si>
  <si>
    <t>PAMES (PANTABANGAN ELEC.SYS)</t>
  </si>
  <si>
    <t xml:space="preserve">      LIDA E. DELA MERCED</t>
  </si>
  <si>
    <t>Recommended by:</t>
  </si>
  <si>
    <t>Approved by:</t>
  </si>
  <si>
    <t>2006 PDAF</t>
  </si>
  <si>
    <t>2007 PDAF-PGMA SPECIAL PROJECT</t>
  </si>
  <si>
    <t>2007 SUBSIDY</t>
  </si>
  <si>
    <t>2007 PDAF</t>
  </si>
  <si>
    <t>NPC/SPUG MISSIONARY FUND</t>
  </si>
  <si>
    <t xml:space="preserve">ROMBLON </t>
  </si>
  <si>
    <t>2007 SUBSIDY/UNPROGRAMMED</t>
  </si>
  <si>
    <t>C A R E</t>
  </si>
  <si>
    <t>MUN. OF SAN JOSE, S NORTE</t>
  </si>
  <si>
    <t>R E L E A S E S</t>
  </si>
  <si>
    <t>MALAMPAYA</t>
  </si>
  <si>
    <t>1999 &amp;2001 PDAF</t>
  </si>
  <si>
    <t>2006 &amp; 2007 PDAF</t>
  </si>
  <si>
    <t>2008 SUBSIDY</t>
  </si>
  <si>
    <t>PANTAWID KURYENTE: KATAS NG VAT PROGRAM</t>
  </si>
  <si>
    <t>2008 PDAF</t>
  </si>
  <si>
    <t>NUEVA ECIJA II-AI</t>
  </si>
  <si>
    <t>NUEVA ECIJA II-A2</t>
  </si>
  <si>
    <t>2008 ADDITIONAL SUBSIDY</t>
  </si>
  <si>
    <t>CALAMITY GRANT</t>
  </si>
  <si>
    <t>2009 SUBSIDY</t>
  </si>
  <si>
    <t>2009 PDAF</t>
  </si>
  <si>
    <t>BUDGETARY SUPPORT FOR GOV'T. CORP.-CONG.</t>
  </si>
  <si>
    <t>BUDGETARY SUPPORT FOR GOV'T. CORP.-SEN.</t>
  </si>
  <si>
    <t>2010 PDAF</t>
  </si>
  <si>
    <t>VARIOUS PDAF</t>
  </si>
  <si>
    <t>2007 SUBSIDY SAVINGS</t>
  </si>
  <si>
    <t>2007 &amp; 2008 SUBSIDY SAVINGS</t>
  </si>
  <si>
    <t>2008 CI SUBSIDY SAVINGS</t>
  </si>
  <si>
    <t>2009 SUBSIDY SAVINGS</t>
  </si>
  <si>
    <t>2008 SUBSIDY SAVINGS</t>
  </si>
  <si>
    <t>2011 PDAF</t>
  </si>
  <si>
    <t>2008 CONGRESSIONAL INITIATIVE</t>
  </si>
  <si>
    <t>2009 SUBSIDY SAVINGS &amp; 2009 CI SAVINGS</t>
  </si>
  <si>
    <t>SUBSIDY SAVINGS (returned by ZANECO)</t>
  </si>
  <si>
    <t>DEPT. OF WORKS AND HIGHWAY-SORSOGON</t>
  </si>
  <si>
    <t>2007-2009 SUBSIDY SAVINGS</t>
  </si>
  <si>
    <t>2011 SUBSIDY (SITIO)</t>
  </si>
  <si>
    <t>2012 SUBSIDY (SITIO)</t>
  </si>
  <si>
    <t>MT. PINATUBO FUND (2012)</t>
  </si>
  <si>
    <t>as</t>
  </si>
  <si>
    <t>of November 30, 2012</t>
  </si>
  <si>
    <t>VARIOUS SUBSIDY (AOM-2012)</t>
  </si>
  <si>
    <t>of January 31, 2013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</si>
</sst>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;;;"/>
    <numFmt numFmtId="165" formatCode="#,##0.0_);\(#,##0.0\)"/>
  </numFmts>
  <fonts count="21" x14ac:knownFonts="1">
    <font>
      <sz val="10"/>
      <name val="Courier"/>
    </font>
    <font>
      <sz val="10"/>
      <name val="Arial"/>
      <family val="2"/>
    </font>
    <font>
      <b/>
      <sz val="16"/>
      <name val="Helv"/>
    </font>
    <font>
      <sz val="16"/>
      <name val="Helv"/>
    </font>
    <font>
      <sz val="16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b/>
      <sz val="18"/>
      <name val="Arial"/>
      <family val="2"/>
    </font>
    <font>
      <sz val="18"/>
      <name val="Arial"/>
      <family val="2"/>
    </font>
    <font>
      <b/>
      <sz val="14"/>
      <name val="Arial"/>
      <family val="2"/>
    </font>
    <font>
      <b/>
      <sz val="9"/>
      <name val="Arial"/>
      <family val="2"/>
    </font>
    <font>
      <b/>
      <sz val="12"/>
      <name val="Arial"/>
      <family val="2"/>
    </font>
    <font>
      <b/>
      <sz val="12"/>
      <name val="Helv"/>
    </font>
    <font>
      <b/>
      <sz val="16"/>
      <color indexed="10"/>
      <name val="Arial"/>
      <family val="2"/>
    </font>
    <font>
      <sz val="16"/>
      <color indexed="10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0"/>
      <name val="Courier"/>
      <family val="3"/>
    </font>
    <font>
      <sz val="10"/>
      <name val="Courier"/>
      <family val="3"/>
    </font>
    <font>
      <sz val="16"/>
      <color indexed="9"/>
      <name val="Arial"/>
      <family val="2"/>
    </font>
    <font>
      <sz val="12"/>
      <name val="Courier"/>
      <family val="3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2">
    <xf numFmtId="39" fontId="0" fillId="0" borderId="0"/>
    <xf numFmtId="43" fontId="1" fillId="0" borderId="0" applyFont="0" applyFill="0" applyBorder="0" applyAlignment="0" applyProtection="0"/>
  </cellStyleXfs>
  <cellXfs count="147">
    <xf numFmtId="39" fontId="0" fillId="0" borderId="0" xfId="0"/>
    <xf numFmtId="39" fontId="2" fillId="0" borderId="0" xfId="0" applyFont="1"/>
    <xf numFmtId="39" fontId="3" fillId="0" borderId="0" xfId="0" applyFont="1"/>
    <xf numFmtId="39" fontId="2" fillId="0" borderId="0" xfId="0" applyNumberFormat="1" applyFont="1" applyProtection="1"/>
    <xf numFmtId="39" fontId="2" fillId="0" borderId="0" xfId="0" applyNumberFormat="1" applyFont="1" applyAlignment="1" applyProtection="1">
      <alignment horizontal="fill"/>
    </xf>
    <xf numFmtId="164" fontId="3" fillId="0" borderId="0" xfId="0" applyNumberFormat="1" applyFont="1" applyProtection="1"/>
    <xf numFmtId="39" fontId="4" fillId="0" borderId="0" xfId="0" applyFont="1"/>
    <xf numFmtId="39" fontId="5" fillId="0" borderId="0" xfId="0" applyNumberFormat="1" applyFont="1" applyAlignment="1" applyProtection="1">
      <alignment horizontal="left"/>
    </xf>
    <xf numFmtId="39" fontId="5" fillId="0" borderId="0" xfId="0" applyFont="1"/>
    <xf numFmtId="39" fontId="5" fillId="0" borderId="0" xfId="0" applyNumberFormat="1" applyFont="1" applyProtection="1"/>
    <xf numFmtId="39" fontId="6" fillId="0" borderId="0" xfId="0" applyNumberFormat="1" applyFont="1" applyAlignment="1" applyProtection="1">
      <alignment horizontal="left"/>
    </xf>
    <xf numFmtId="39" fontId="5" fillId="0" borderId="0" xfId="0" applyFont="1" applyProtection="1"/>
    <xf numFmtId="39" fontId="5" fillId="0" borderId="0" xfId="0" applyFont="1" applyAlignment="1">
      <alignment horizontal="right"/>
    </xf>
    <xf numFmtId="39" fontId="5" fillId="0" borderId="0" xfId="0" quotePrefix="1" applyNumberFormat="1" applyFont="1" applyAlignment="1" applyProtection="1">
      <alignment horizontal="left"/>
    </xf>
    <xf numFmtId="39" fontId="5" fillId="0" borderId="0" xfId="0" applyFont="1" applyAlignment="1" applyProtection="1">
      <alignment horizontal="left"/>
    </xf>
    <xf numFmtId="39" fontId="5" fillId="0" borderId="0" xfId="0" applyNumberFormat="1" applyFont="1" applyAlignment="1" applyProtection="1">
      <alignment horizontal="center"/>
    </xf>
    <xf numFmtId="39" fontId="5" fillId="0" borderId="0" xfId="0" quotePrefix="1" applyNumberFormat="1" applyFont="1" applyAlignment="1" applyProtection="1">
      <alignment horizontal="center"/>
    </xf>
    <xf numFmtId="39" fontId="5" fillId="0" borderId="0" xfId="0" applyNumberFormat="1" applyFont="1" applyAlignment="1" applyProtection="1">
      <alignment horizontal="fill"/>
    </xf>
    <xf numFmtId="39" fontId="5" fillId="0" borderId="0" xfId="0" applyNumberFormat="1" applyFont="1" applyAlignment="1" applyProtection="1">
      <alignment horizontal="right"/>
    </xf>
    <xf numFmtId="39" fontId="7" fillId="0" borderId="0" xfId="0" applyNumberFormat="1" applyFont="1" applyAlignment="1" applyProtection="1">
      <alignment horizontal="left"/>
    </xf>
    <xf numFmtId="39" fontId="8" fillId="0" borderId="0" xfId="0" applyFont="1"/>
    <xf numFmtId="39" fontId="5" fillId="0" borderId="0" xfId="0" applyFont="1" applyAlignment="1" applyProtection="1">
      <alignment horizontal="center"/>
    </xf>
    <xf numFmtId="164" fontId="5" fillId="0" borderId="0" xfId="0" applyNumberFormat="1" applyFont="1" applyProtection="1"/>
    <xf numFmtId="39" fontId="5" fillId="0" borderId="0" xfId="0" quotePrefix="1" applyFont="1" applyAlignment="1">
      <alignment horizontal="center"/>
    </xf>
    <xf numFmtId="39" fontId="5" fillId="0" borderId="0" xfId="0" quotePrefix="1" applyFont="1" applyAlignment="1" applyProtection="1">
      <alignment horizontal="center"/>
    </xf>
    <xf numFmtId="39" fontId="5" fillId="0" borderId="0" xfId="0" applyNumberFormat="1" applyFont="1" applyAlignment="1" applyProtection="1"/>
    <xf numFmtId="39" fontId="5" fillId="0" borderId="0" xfId="0" applyFont="1" applyAlignment="1" applyProtection="1">
      <alignment horizontal="fill"/>
    </xf>
    <xf numFmtId="39" fontId="9" fillId="0" borderId="0" xfId="0" applyNumberFormat="1" applyFont="1" applyProtection="1"/>
    <xf numFmtId="39" fontId="10" fillId="0" borderId="0" xfId="0" applyFont="1"/>
    <xf numFmtId="164" fontId="5" fillId="0" borderId="0" xfId="0" applyNumberFormat="1" applyFont="1" applyAlignment="1" applyProtection="1">
      <alignment horizontal="center"/>
    </xf>
    <xf numFmtId="164" fontId="5" fillId="0" borderId="0" xfId="0" applyNumberFormat="1" applyFont="1" applyAlignment="1" applyProtection="1">
      <alignment horizontal="fill"/>
    </xf>
    <xf numFmtId="43" fontId="5" fillId="0" borderId="0" xfId="1" applyFont="1" applyAlignment="1" applyProtection="1">
      <alignment horizontal="right"/>
    </xf>
    <xf numFmtId="43" fontId="5" fillId="0" borderId="0" xfId="1" applyFont="1" applyAlignment="1">
      <alignment horizontal="right"/>
    </xf>
    <xf numFmtId="39" fontId="5" fillId="0" borderId="1" xfId="0" applyNumberFormat="1" applyFont="1" applyBorder="1" applyAlignment="1" applyProtection="1">
      <alignment horizontal="center"/>
    </xf>
    <xf numFmtId="39" fontId="5" fillId="0" borderId="1" xfId="0" applyNumberFormat="1" applyFont="1" applyBorder="1" applyAlignment="1" applyProtection="1">
      <alignment horizontal="left"/>
    </xf>
    <xf numFmtId="0" fontId="3" fillId="0" borderId="0" xfId="0" applyNumberFormat="1" applyFont="1" applyAlignment="1">
      <alignment horizontal="left"/>
    </xf>
    <xf numFmtId="1" fontId="2" fillId="0" borderId="0" xfId="0" applyNumberFormat="1" applyFont="1" applyAlignment="1">
      <alignment horizontal="left"/>
    </xf>
    <xf numFmtId="1" fontId="3" fillId="0" borderId="0" xfId="0" applyNumberFormat="1" applyFont="1" applyAlignment="1">
      <alignment horizontal="left"/>
    </xf>
    <xf numFmtId="1" fontId="2" fillId="0" borderId="0" xfId="0" quotePrefix="1" applyNumberFormat="1" applyFont="1" applyAlignment="1">
      <alignment horizontal="left"/>
    </xf>
    <xf numFmtId="3" fontId="2" fillId="0" borderId="0" xfId="0" quotePrefix="1" applyNumberFormat="1" applyFont="1" applyAlignment="1">
      <alignment horizontal="left"/>
    </xf>
    <xf numFmtId="39" fontId="9" fillId="0" borderId="0" xfId="0" applyNumberFormat="1" applyFont="1" applyAlignment="1" applyProtection="1">
      <alignment horizontal="right"/>
    </xf>
    <xf numFmtId="39" fontId="9" fillId="0" borderId="0" xfId="0" applyNumberFormat="1" applyFont="1" applyAlignment="1" applyProtection="1">
      <alignment horizontal="left"/>
    </xf>
    <xf numFmtId="0" fontId="5" fillId="0" borderId="0" xfId="0" applyNumberFormat="1" applyFont="1" applyAlignment="1" applyProtection="1">
      <alignment horizontal="center"/>
    </xf>
    <xf numFmtId="39" fontId="2" fillId="0" borderId="0" xfId="0" applyNumberFormat="1" applyFont="1" applyAlignment="1" applyProtection="1">
      <alignment horizontal="right"/>
    </xf>
    <xf numFmtId="39" fontId="5" fillId="0" borderId="0" xfId="0" applyNumberFormat="1" applyFont="1" applyBorder="1" applyAlignment="1" applyProtection="1">
      <alignment horizontal="right"/>
    </xf>
    <xf numFmtId="39" fontId="5" fillId="0" borderId="0" xfId="0" quotePrefix="1" applyFont="1" applyAlignment="1" applyProtection="1">
      <alignment horizontal="left"/>
    </xf>
    <xf numFmtId="39" fontId="9" fillId="0" borderId="1" xfId="0" applyFont="1" applyBorder="1" applyProtection="1"/>
    <xf numFmtId="39" fontId="11" fillId="0" borderId="0" xfId="0" applyNumberFormat="1" applyFont="1" applyAlignment="1" applyProtection="1">
      <alignment horizontal="left"/>
    </xf>
    <xf numFmtId="39" fontId="9" fillId="0" borderId="2" xfId="0" applyFont="1" applyBorder="1" applyProtection="1"/>
    <xf numFmtId="39" fontId="9" fillId="0" borderId="2" xfId="0" applyNumberFormat="1" applyFont="1" applyBorder="1" applyAlignment="1" applyProtection="1">
      <alignment horizontal="right"/>
    </xf>
    <xf numFmtId="39" fontId="9" fillId="0" borderId="1" xfId="0" applyNumberFormat="1" applyFont="1" applyBorder="1" applyAlignment="1" applyProtection="1">
      <alignment horizontal="right"/>
    </xf>
    <xf numFmtId="39" fontId="5" fillId="0" borderId="0" xfId="0" applyFont="1" applyAlignment="1">
      <alignment horizontal="center"/>
    </xf>
    <xf numFmtId="39" fontId="5" fillId="0" borderId="1" xfId="0" applyFont="1" applyBorder="1" applyAlignment="1">
      <alignment horizontal="center"/>
    </xf>
    <xf numFmtId="39" fontId="9" fillId="0" borderId="0" xfId="0" quotePrefix="1" applyNumberFormat="1" applyFont="1" applyAlignment="1" applyProtection="1"/>
    <xf numFmtId="39" fontId="12" fillId="0" borderId="0" xfId="0" applyFont="1"/>
    <xf numFmtId="39" fontId="12" fillId="0" borderId="0" xfId="0" applyFont="1" applyAlignment="1">
      <alignment horizontal="left"/>
    </xf>
    <xf numFmtId="39" fontId="11" fillId="0" borderId="2" xfId="0" applyFont="1" applyBorder="1" applyAlignment="1" applyProtection="1">
      <alignment horizontal="right"/>
    </xf>
    <xf numFmtId="39" fontId="5" fillId="0" borderId="0" xfId="0" quotePrefix="1" applyFont="1"/>
    <xf numFmtId="39" fontId="13" fillId="0" borderId="0" xfId="0" applyFont="1"/>
    <xf numFmtId="39" fontId="13" fillId="0" borderId="0" xfId="0" applyFont="1" applyAlignment="1">
      <alignment horizontal="right"/>
    </xf>
    <xf numFmtId="39" fontId="13" fillId="0" borderId="0" xfId="0" applyNumberFormat="1" applyFont="1" applyAlignment="1" applyProtection="1">
      <alignment horizontal="fill"/>
    </xf>
    <xf numFmtId="39" fontId="13" fillId="0" borderId="0" xfId="0" applyNumberFormat="1" applyFont="1" applyAlignment="1" applyProtection="1">
      <alignment horizontal="right"/>
    </xf>
    <xf numFmtId="0" fontId="4" fillId="0" borderId="0" xfId="0" applyNumberFormat="1" applyFont="1" applyAlignment="1">
      <alignment horizontal="left"/>
    </xf>
    <xf numFmtId="1" fontId="5" fillId="0" borderId="0" xfId="0" quotePrefix="1" applyNumberFormat="1" applyFont="1" applyAlignment="1">
      <alignment horizontal="left"/>
    </xf>
    <xf numFmtId="1" fontId="5" fillId="0" borderId="0" xfId="0" applyNumberFormat="1" applyFont="1" applyAlignment="1">
      <alignment horizontal="left"/>
    </xf>
    <xf numFmtId="3" fontId="5" fillId="0" borderId="0" xfId="0" quotePrefix="1" applyNumberFormat="1" applyFont="1" applyAlignment="1">
      <alignment horizontal="left"/>
    </xf>
    <xf numFmtId="39" fontId="5" fillId="0" borderId="0" xfId="0" applyFont="1" applyBorder="1"/>
    <xf numFmtId="39" fontId="5" fillId="0" borderId="0" xfId="0" applyFont="1" applyBorder="1" applyAlignment="1">
      <alignment horizontal="right"/>
    </xf>
    <xf numFmtId="39" fontId="4" fillId="0" borderId="0" xfId="0" applyNumberFormat="1" applyFont="1" applyAlignment="1" applyProtection="1">
      <alignment horizontal="left"/>
    </xf>
    <xf numFmtId="39" fontId="4" fillId="0" borderId="0" xfId="0" applyNumberFormat="1" applyFont="1" applyProtection="1"/>
    <xf numFmtId="39" fontId="4" fillId="0" borderId="0" xfId="0" applyFont="1" applyAlignment="1" applyProtection="1">
      <alignment horizontal="fill"/>
    </xf>
    <xf numFmtId="39" fontId="4" fillId="0" borderId="0" xfId="0" applyFont="1" applyAlignment="1" applyProtection="1">
      <alignment horizontal="left"/>
    </xf>
    <xf numFmtId="39" fontId="4" fillId="0" borderId="0" xfId="0" applyFont="1" applyProtection="1"/>
    <xf numFmtId="1" fontId="4" fillId="0" borderId="0" xfId="0" applyNumberFormat="1" applyFont="1" applyAlignment="1">
      <alignment horizontal="left"/>
    </xf>
    <xf numFmtId="164" fontId="4" fillId="0" borderId="0" xfId="0" applyNumberFormat="1" applyFont="1" applyProtection="1"/>
    <xf numFmtId="39" fontId="5" fillId="0" borderId="1" xfId="0" applyFont="1" applyBorder="1" applyProtection="1"/>
    <xf numFmtId="39" fontId="5" fillId="0" borderId="1" xfId="0" applyNumberFormat="1" applyFont="1" applyBorder="1" applyAlignment="1" applyProtection="1">
      <alignment horizontal="right"/>
    </xf>
    <xf numFmtId="39" fontId="5" fillId="0" borderId="2" xfId="0" applyFont="1" applyBorder="1" applyProtection="1"/>
    <xf numFmtId="39" fontId="5" fillId="0" borderId="2" xfId="0" applyNumberFormat="1" applyFont="1" applyBorder="1" applyAlignment="1" applyProtection="1">
      <alignment horizontal="right"/>
    </xf>
    <xf numFmtId="39" fontId="5" fillId="0" borderId="0" xfId="0" quotePrefix="1" applyNumberFormat="1" applyFont="1" applyAlignment="1" applyProtection="1"/>
    <xf numFmtId="39" fontId="9" fillId="0" borderId="0" xfId="0" applyFont="1" applyAlignment="1" applyProtection="1">
      <alignment horizontal="left"/>
    </xf>
    <xf numFmtId="39" fontId="11" fillId="0" borderId="0" xfId="0" applyFont="1" applyAlignment="1" applyProtection="1">
      <alignment horizontal="left"/>
    </xf>
    <xf numFmtId="37" fontId="5" fillId="0" borderId="0" xfId="0" applyNumberFormat="1" applyFont="1" applyProtection="1"/>
    <xf numFmtId="37" fontId="5" fillId="0" borderId="0" xfId="0" applyNumberFormat="1" applyFont="1"/>
    <xf numFmtId="37" fontId="4" fillId="0" borderId="0" xfId="0" applyNumberFormat="1" applyFont="1"/>
    <xf numFmtId="37" fontId="4" fillId="0" borderId="0" xfId="0" applyNumberFormat="1" applyFont="1" applyProtection="1"/>
    <xf numFmtId="37" fontId="4" fillId="0" borderId="0" xfId="0" applyNumberFormat="1" applyFont="1" applyAlignment="1" applyProtection="1">
      <alignment horizontal="fill"/>
    </xf>
    <xf numFmtId="39" fontId="4" fillId="0" borderId="0" xfId="0" applyNumberFormat="1" applyFont="1" applyAlignment="1" applyProtection="1">
      <alignment horizontal="center"/>
    </xf>
    <xf numFmtId="39" fontId="4" fillId="0" borderId="0" xfId="0" applyFont="1" applyAlignment="1" applyProtection="1">
      <alignment horizontal="center"/>
    </xf>
    <xf numFmtId="39" fontId="4" fillId="0" borderId="0" xfId="0" quotePrefix="1" applyFont="1" applyAlignment="1" applyProtection="1">
      <alignment horizontal="center"/>
    </xf>
    <xf numFmtId="39" fontId="4" fillId="0" borderId="0" xfId="0" quotePrefix="1" applyNumberFormat="1" applyFont="1" applyAlignment="1" applyProtection="1">
      <alignment horizontal="center"/>
    </xf>
    <xf numFmtId="39" fontId="4" fillId="0" borderId="0" xfId="0" quotePrefix="1" applyFont="1" applyAlignment="1">
      <alignment horizontal="center"/>
    </xf>
    <xf numFmtId="37" fontId="4" fillId="0" borderId="0" xfId="0" applyNumberFormat="1" applyFont="1" applyAlignment="1" applyProtection="1">
      <alignment horizontal="right"/>
    </xf>
    <xf numFmtId="39" fontId="4" fillId="0" borderId="0" xfId="0" quotePrefix="1" applyNumberFormat="1" applyFont="1" applyAlignment="1" applyProtection="1">
      <alignment horizontal="left"/>
    </xf>
    <xf numFmtId="37" fontId="4" fillId="0" borderId="0" xfId="0" applyNumberFormat="1" applyFont="1" applyAlignment="1" applyProtection="1"/>
    <xf numFmtId="39" fontId="4" fillId="0" borderId="0" xfId="0" quotePrefix="1" applyFont="1" applyAlignment="1" applyProtection="1">
      <alignment horizontal="left"/>
    </xf>
    <xf numFmtId="39" fontId="4" fillId="0" borderId="0" xfId="0" applyNumberFormat="1" applyFont="1" applyAlignment="1" applyProtection="1"/>
    <xf numFmtId="37" fontId="14" fillId="0" borderId="0" xfId="0" applyNumberFormat="1" applyFont="1" applyAlignment="1" applyProtection="1">
      <alignment horizontal="fill"/>
    </xf>
    <xf numFmtId="39" fontId="15" fillId="0" borderId="0" xfId="0" applyNumberFormat="1" applyFont="1" applyAlignment="1" applyProtection="1">
      <alignment horizontal="left"/>
    </xf>
    <xf numFmtId="39" fontId="4" fillId="0" borderId="0" xfId="0" quotePrefix="1" applyFont="1"/>
    <xf numFmtId="39" fontId="16" fillId="0" borderId="0" xfId="0" applyFont="1" applyAlignment="1" applyProtection="1">
      <alignment horizontal="left"/>
    </xf>
    <xf numFmtId="0" fontId="4" fillId="0" borderId="0" xfId="0" applyNumberFormat="1" applyFont="1" applyAlignment="1" applyProtection="1">
      <alignment horizontal="center"/>
    </xf>
    <xf numFmtId="37" fontId="5" fillId="0" borderId="3" xfId="0" applyNumberFormat="1" applyFont="1" applyBorder="1" applyProtection="1"/>
    <xf numFmtId="37" fontId="5" fillId="0" borderId="3" xfId="0" applyNumberFormat="1" applyFont="1" applyBorder="1"/>
    <xf numFmtId="1" fontId="11" fillId="0" borderId="0" xfId="0" applyNumberFormat="1" applyFont="1" applyAlignment="1">
      <alignment horizontal="left"/>
    </xf>
    <xf numFmtId="39" fontId="16" fillId="0" borderId="0" xfId="0" applyFont="1"/>
    <xf numFmtId="39" fontId="17" fillId="0" borderId="0" xfId="0" applyFont="1"/>
    <xf numFmtId="39" fontId="18" fillId="0" borderId="0" xfId="0" applyFont="1"/>
    <xf numFmtId="39" fontId="4" fillId="0" borderId="0" xfId="0" applyFont="1" applyAlignment="1">
      <alignment horizontal="center"/>
    </xf>
    <xf numFmtId="39" fontId="4" fillId="0" borderId="1" xfId="0" applyNumberFormat="1" applyFont="1" applyBorder="1" applyAlignment="1" applyProtection="1">
      <alignment horizontal="center"/>
    </xf>
    <xf numFmtId="39" fontId="4" fillId="0" borderId="1" xfId="0" applyNumberFormat="1" applyFont="1" applyBorder="1" applyAlignment="1" applyProtection="1">
      <alignment horizontal="left"/>
    </xf>
    <xf numFmtId="39" fontId="4" fillId="0" borderId="1" xfId="0" applyFont="1" applyBorder="1" applyAlignment="1">
      <alignment horizontal="center"/>
    </xf>
    <xf numFmtId="39" fontId="4" fillId="0" borderId="0" xfId="0" applyNumberFormat="1" applyFont="1" applyBorder="1" applyAlignment="1" applyProtection="1">
      <alignment horizontal="center"/>
    </xf>
    <xf numFmtId="39" fontId="4" fillId="0" borderId="0" xfId="0" applyNumberFormat="1" applyFont="1" applyBorder="1" applyAlignment="1" applyProtection="1">
      <alignment horizontal="left"/>
    </xf>
    <xf numFmtId="39" fontId="4" fillId="0" borderId="0" xfId="0" applyFont="1" applyBorder="1" applyAlignment="1">
      <alignment horizontal="center"/>
    </xf>
    <xf numFmtId="39" fontId="4" fillId="0" borderId="0" xfId="0" applyNumberFormat="1" applyFont="1" applyAlignment="1" applyProtection="1">
      <alignment horizontal="fill"/>
    </xf>
    <xf numFmtId="1" fontId="16" fillId="0" borderId="0" xfId="0" quotePrefix="1" applyNumberFormat="1" applyFont="1" applyAlignment="1">
      <alignment horizontal="left"/>
    </xf>
    <xf numFmtId="1" fontId="16" fillId="0" borderId="0" xfId="0" applyNumberFormat="1" applyFont="1" applyAlignment="1">
      <alignment horizontal="left"/>
    </xf>
    <xf numFmtId="39" fontId="14" fillId="0" borderId="0" xfId="0" applyFont="1"/>
    <xf numFmtId="3" fontId="16" fillId="0" borderId="0" xfId="0" quotePrefix="1" applyNumberFormat="1" applyFont="1" applyAlignment="1">
      <alignment horizontal="left"/>
    </xf>
    <xf numFmtId="37" fontId="14" fillId="0" borderId="0" xfId="0" applyNumberFormat="1" applyFont="1"/>
    <xf numFmtId="39" fontId="4" fillId="0" borderId="0" xfId="0" applyNumberFormat="1" applyFont="1" applyAlignment="1" applyProtection="1">
      <alignment horizontal="right"/>
    </xf>
    <xf numFmtId="39" fontId="14" fillId="0" borderId="0" xfId="0" applyFont="1" applyAlignment="1">
      <alignment horizontal="right"/>
    </xf>
    <xf numFmtId="37" fontId="18" fillId="0" borderId="0" xfId="0" applyNumberFormat="1" applyFont="1"/>
    <xf numFmtId="165" fontId="4" fillId="0" borderId="0" xfId="0" applyNumberFormat="1" applyFont="1" applyAlignment="1" applyProtection="1">
      <alignment horizontal="right"/>
    </xf>
    <xf numFmtId="37" fontId="16" fillId="0" borderId="0" xfId="0" applyNumberFormat="1" applyFont="1" applyAlignment="1" applyProtection="1">
      <alignment horizontal="left"/>
    </xf>
    <xf numFmtId="39" fontId="15" fillId="0" borderId="0" xfId="0" applyFont="1" applyAlignment="1" applyProtection="1">
      <alignment horizontal="left"/>
    </xf>
    <xf numFmtId="37" fontId="4" fillId="0" borderId="1" xfId="0" applyNumberFormat="1" applyFont="1" applyBorder="1" applyAlignment="1" applyProtection="1">
      <alignment horizontal="fill"/>
    </xf>
    <xf numFmtId="37" fontId="19" fillId="0" borderId="0" xfId="0" applyNumberFormat="1" applyFont="1" applyAlignment="1" applyProtection="1">
      <alignment horizontal="right"/>
    </xf>
    <xf numFmtId="37" fontId="4" fillId="0" borderId="1" xfId="0" applyNumberFormat="1" applyFont="1" applyBorder="1" applyProtection="1"/>
    <xf numFmtId="37" fontId="4" fillId="0" borderId="0" xfId="0" applyNumberFormat="1" applyFont="1" applyAlignment="1" applyProtection="1">
      <alignment horizontal="left"/>
    </xf>
    <xf numFmtId="37" fontId="4" fillId="0" borderId="1" xfId="0" applyNumberFormat="1" applyFont="1" applyBorder="1" applyAlignment="1" applyProtection="1">
      <alignment horizontal="right"/>
    </xf>
    <xf numFmtId="37" fontId="4" fillId="0" borderId="2" xfId="0" applyNumberFormat="1" applyFont="1" applyBorder="1" applyProtection="1"/>
    <xf numFmtId="37" fontId="4" fillId="0" borderId="2" xfId="0" applyNumberFormat="1" applyFont="1" applyBorder="1" applyAlignment="1" applyProtection="1">
      <alignment horizontal="right"/>
    </xf>
    <xf numFmtId="37" fontId="4" fillId="0" borderId="0" xfId="0" quotePrefix="1" applyNumberFormat="1" applyFont="1" applyAlignment="1" applyProtection="1"/>
    <xf numFmtId="37" fontId="4" fillId="0" borderId="0" xfId="0" applyNumberFormat="1" applyFont="1" applyBorder="1"/>
    <xf numFmtId="37" fontId="4" fillId="0" borderId="0" xfId="0" applyNumberFormat="1" applyFont="1" applyBorder="1" applyAlignment="1">
      <alignment horizontal="right"/>
    </xf>
    <xf numFmtId="37" fontId="4" fillId="0" borderId="0" xfId="0" applyNumberFormat="1" applyFont="1" applyBorder="1" applyAlignment="1" applyProtection="1">
      <alignment horizontal="right"/>
    </xf>
    <xf numFmtId="37" fontId="4" fillId="0" borderId="0" xfId="0" quotePrefix="1" applyNumberFormat="1" applyFont="1" applyAlignment="1" applyProtection="1">
      <alignment horizontal="center"/>
    </xf>
    <xf numFmtId="37" fontId="4" fillId="0" borderId="0" xfId="0" applyNumberFormat="1" applyFont="1" applyAlignment="1">
      <alignment horizontal="right"/>
    </xf>
    <xf numFmtId="39" fontId="4" fillId="0" borderId="0" xfId="0" applyFont="1" applyAlignment="1">
      <alignment horizontal="right"/>
    </xf>
    <xf numFmtId="37" fontId="19" fillId="0" borderId="0" xfId="0" applyNumberFormat="1" applyFont="1"/>
    <xf numFmtId="164" fontId="4" fillId="0" borderId="0" xfId="0" applyNumberFormat="1" applyFont="1" applyAlignment="1" applyProtection="1">
      <alignment horizontal="center"/>
    </xf>
    <xf numFmtId="164" fontId="4" fillId="0" borderId="0" xfId="0" applyNumberFormat="1" applyFont="1" applyAlignment="1" applyProtection="1">
      <alignment horizontal="fill"/>
    </xf>
    <xf numFmtId="39" fontId="20" fillId="0" borderId="0" xfId="0" applyFont="1"/>
    <xf numFmtId="39" fontId="4" fillId="0" borderId="0" xfId="0" applyNumberFormat="1" applyFont="1" applyAlignment="1" applyProtection="1">
      <alignment horizontal="center"/>
    </xf>
    <xf numFmtId="39" fontId="4" fillId="0" borderId="0" xfId="0" applyNumberFormat="1" applyFont="1" applyAlignment="1" applyProtection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chartsheet" Target="chartsheets/sheet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4.xml"/><Relationship Id="rId4" Type="http://schemas.openxmlformats.org/officeDocument/2006/relationships/worksheet" Target="worksheets/sheet3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1644260599793511"/>
          <c:y val="2.033898305084742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2740434332989097E-2"/>
          <c:y val="0.11525423728813627"/>
          <c:w val="0.59565667011375389"/>
          <c:h val="0.81525423728814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STATS1003B!$C$2773:$C$2774</c:f>
              <c:strCache>
                <c:ptCount val="1"/>
                <c:pt idx="0">
                  <c:v>SUMMARY OF PESO/EM RELEASES  (Accounting Report)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STATS1003B!$C$2775</c:f>
              <c:numCache>
                <c:formatCode>#,##0.00_);\(#,##0.00\)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410304"/>
        <c:axId val="59411840"/>
      </c:barChart>
      <c:catAx>
        <c:axId val="59410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9411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94118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0_);\(#,##0.0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94103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977249224405976"/>
          <c:y val="0.49152542372881597"/>
          <c:w val="0.33609100310237888"/>
          <c:h val="6.440677966101700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68"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151"/>
  <sheetViews>
    <sheetView view="pageBreakPreview" zoomScale="60" zoomScaleNormal="50" workbookViewId="0">
      <selection activeCell="C236" sqref="C236"/>
    </sheetView>
  </sheetViews>
  <sheetFormatPr defaultRowHeight="20.25" x14ac:dyDescent="0.3"/>
  <cols>
    <col min="1" max="1" width="6.125" style="6" customWidth="1"/>
    <col min="2" max="2" width="3.625" style="6" customWidth="1"/>
    <col min="3" max="3" width="61.25" style="6" customWidth="1"/>
    <col min="4" max="4" width="16.625" style="6" hidden="1" customWidth="1"/>
    <col min="5" max="5" width="19.5" style="6" customWidth="1"/>
    <col min="6" max="6" width="23.5" style="6" hidden="1" customWidth="1"/>
    <col min="7" max="7" width="2.875" style="6" hidden="1" customWidth="1"/>
    <col min="8" max="8" width="17.375" style="6" customWidth="1"/>
    <col min="9" max="10" width="21.75" style="6" hidden="1" customWidth="1"/>
    <col min="11" max="11" width="21.375" style="6" hidden="1" customWidth="1"/>
    <col min="12" max="12" width="19.625" style="6" hidden="1" customWidth="1"/>
    <col min="13" max="13" width="24.75" style="6" hidden="1" customWidth="1"/>
    <col min="14" max="14" width="21.5" style="6" hidden="1" customWidth="1"/>
    <col min="15" max="15" width="18.125" style="6" hidden="1" customWidth="1"/>
    <col min="16" max="16" width="17.375" style="6" customWidth="1"/>
    <col min="17" max="17" width="24.25" style="6" hidden="1" customWidth="1"/>
    <col min="18" max="18" width="14.25" style="6" hidden="1" customWidth="1"/>
    <col min="19" max="19" width="18" style="6" hidden="1" customWidth="1"/>
    <col min="20" max="20" width="21" style="6" hidden="1" customWidth="1"/>
    <col min="21" max="21" width="25.375" style="6" hidden="1" customWidth="1"/>
    <col min="22" max="22" width="17.625" style="6" hidden="1" customWidth="1"/>
    <col min="23" max="23" width="15.625" style="6" hidden="1" customWidth="1"/>
    <col min="24" max="24" width="17.75" style="6" customWidth="1"/>
    <col min="25" max="25" width="0" style="6" hidden="1" customWidth="1"/>
    <col min="26" max="26" width="14.125" style="6" customWidth="1"/>
    <col min="27" max="27" width="25" style="6" hidden="1" customWidth="1"/>
    <col min="28" max="28" width="22.125" style="6" hidden="1" customWidth="1"/>
    <col min="29" max="29" width="9" style="107"/>
    <col min="30" max="30" width="34.25" style="107" customWidth="1"/>
    <col min="31" max="16384" width="9" style="107"/>
  </cols>
  <sheetData>
    <row r="1" spans="1:28" x14ac:dyDescent="0.3">
      <c r="B1" s="6" t="s">
        <v>1068</v>
      </c>
    </row>
    <row r="2" spans="1:28" x14ac:dyDescent="0.3">
      <c r="B2" s="68" t="s">
        <v>1069</v>
      </c>
    </row>
    <row r="3" spans="1:28" x14ac:dyDescent="0.3">
      <c r="B3" s="68" t="s">
        <v>1313</v>
      </c>
      <c r="C3" s="6" t="s">
        <v>1314</v>
      </c>
    </row>
    <row r="4" spans="1:28" x14ac:dyDescent="0.3">
      <c r="B4" s="6" t="s">
        <v>1265</v>
      </c>
    </row>
    <row r="5" spans="1:28" x14ac:dyDescent="0.3">
      <c r="D5" s="145" t="s">
        <v>0</v>
      </c>
      <c r="G5" s="145" t="s">
        <v>1</v>
      </c>
      <c r="H5" s="69"/>
      <c r="I5" s="145" t="s">
        <v>2</v>
      </c>
      <c r="K5" s="145" t="s">
        <v>2</v>
      </c>
      <c r="L5" s="145" t="s">
        <v>3</v>
      </c>
      <c r="M5" s="145" t="s">
        <v>3</v>
      </c>
      <c r="O5" s="145" t="s">
        <v>4</v>
      </c>
      <c r="P5" s="69"/>
      <c r="S5" s="145" t="s">
        <v>2</v>
      </c>
      <c r="T5" s="145" t="s">
        <v>3</v>
      </c>
      <c r="U5" s="145" t="s">
        <v>3</v>
      </c>
      <c r="V5" s="145" t="s">
        <v>3</v>
      </c>
      <c r="W5" s="145" t="s">
        <v>5</v>
      </c>
      <c r="X5" s="145" t="s">
        <v>3</v>
      </c>
      <c r="Y5" s="145" t="s">
        <v>2</v>
      </c>
      <c r="Z5" s="145" t="s">
        <v>5</v>
      </c>
      <c r="AA5" s="108" t="s">
        <v>1109</v>
      </c>
      <c r="AB5" s="108" t="s">
        <v>5</v>
      </c>
    </row>
    <row r="6" spans="1:28" x14ac:dyDescent="0.3">
      <c r="D6" s="145" t="s">
        <v>6</v>
      </c>
      <c r="E6" s="145" t="s">
        <v>7</v>
      </c>
      <c r="F6" s="145" t="s">
        <v>8</v>
      </c>
      <c r="G6" s="145" t="s">
        <v>9</v>
      </c>
      <c r="H6" s="146" t="s">
        <v>1282</v>
      </c>
      <c r="I6" s="146"/>
      <c r="J6" s="146"/>
      <c r="K6" s="146"/>
      <c r="L6" s="146"/>
      <c r="M6" s="146"/>
      <c r="N6" s="146"/>
      <c r="O6" s="146"/>
      <c r="P6" s="146"/>
      <c r="Q6" s="145" t="s">
        <v>2</v>
      </c>
      <c r="R6" s="145" t="s">
        <v>11</v>
      </c>
      <c r="S6" s="145" t="s">
        <v>12</v>
      </c>
      <c r="T6" s="145" t="s">
        <v>13</v>
      </c>
      <c r="U6" s="145" t="s">
        <v>13</v>
      </c>
      <c r="V6" s="145" t="s">
        <v>9</v>
      </c>
      <c r="W6" s="145" t="s">
        <v>14</v>
      </c>
      <c r="X6" s="145" t="s">
        <v>9</v>
      </c>
      <c r="Y6" s="145" t="s">
        <v>15</v>
      </c>
      <c r="Z6" s="145" t="s">
        <v>14</v>
      </c>
      <c r="AA6" s="108" t="s">
        <v>9</v>
      </c>
      <c r="AB6" s="108" t="s">
        <v>14</v>
      </c>
    </row>
    <row r="7" spans="1:28" x14ac:dyDescent="0.3">
      <c r="C7" s="145"/>
      <c r="D7" s="145" t="s">
        <v>17</v>
      </c>
      <c r="E7" s="109" t="s">
        <v>18</v>
      </c>
      <c r="F7" s="109" t="s">
        <v>1254</v>
      </c>
      <c r="G7" s="109" t="s">
        <v>19</v>
      </c>
      <c r="H7" s="109" t="s">
        <v>1</v>
      </c>
      <c r="I7" s="109" t="s">
        <v>21</v>
      </c>
      <c r="J7" s="109" t="s">
        <v>22</v>
      </c>
      <c r="K7" s="109" t="s">
        <v>21</v>
      </c>
      <c r="L7" s="109" t="s">
        <v>2</v>
      </c>
      <c r="M7" s="109" t="s">
        <v>9</v>
      </c>
      <c r="N7" s="109" t="str">
        <f>+F7</f>
        <v>AS OF 04/30/06</v>
      </c>
      <c r="O7" s="109" t="s">
        <v>21</v>
      </c>
      <c r="P7" s="109" t="s">
        <v>1268</v>
      </c>
      <c r="Q7" s="109" t="s">
        <v>23</v>
      </c>
      <c r="R7" s="109" t="s">
        <v>24</v>
      </c>
      <c r="S7" s="109" t="s">
        <v>21</v>
      </c>
      <c r="T7" s="109" t="s">
        <v>2</v>
      </c>
      <c r="U7" s="109" t="s">
        <v>9</v>
      </c>
      <c r="V7" s="109" t="s">
        <v>25</v>
      </c>
      <c r="W7" s="110" t="s">
        <v>26</v>
      </c>
      <c r="X7" s="111" t="s">
        <v>1113</v>
      </c>
      <c r="Y7" s="109" t="s">
        <v>27</v>
      </c>
      <c r="Z7" s="111" t="s">
        <v>1113</v>
      </c>
      <c r="AA7" s="108" t="s">
        <v>1110</v>
      </c>
      <c r="AB7" s="108" t="s">
        <v>1110</v>
      </c>
    </row>
    <row r="8" spans="1:28" x14ac:dyDescent="0.3">
      <c r="C8" s="145"/>
      <c r="D8" s="145"/>
      <c r="E8" s="112"/>
      <c r="F8" s="112"/>
      <c r="G8" s="112"/>
      <c r="H8" s="112"/>
      <c r="I8" s="112"/>
      <c r="J8" s="112"/>
      <c r="K8" s="112"/>
      <c r="L8" s="112"/>
      <c r="M8" s="112"/>
      <c r="N8" s="112"/>
      <c r="O8" s="112"/>
      <c r="P8" s="112"/>
      <c r="Q8" s="112"/>
      <c r="R8" s="112"/>
      <c r="S8" s="112"/>
      <c r="T8" s="112"/>
      <c r="U8" s="112"/>
      <c r="V8" s="112"/>
      <c r="W8" s="113"/>
      <c r="X8" s="114"/>
      <c r="Y8" s="112"/>
      <c r="Z8" s="114"/>
      <c r="AA8" s="108"/>
      <c r="AB8" s="108"/>
    </row>
    <row r="9" spans="1:28" x14ac:dyDescent="0.3">
      <c r="A9" s="62"/>
      <c r="B9" s="68" t="s">
        <v>48</v>
      </c>
    </row>
    <row r="10" spans="1:28" hidden="1" x14ac:dyDescent="0.3">
      <c r="A10" s="62"/>
    </row>
    <row r="11" spans="1:28" hidden="1" x14ac:dyDescent="0.3">
      <c r="D11" s="145" t="s">
        <v>50</v>
      </c>
    </row>
    <row r="12" spans="1:28" hidden="1" x14ac:dyDescent="0.3">
      <c r="A12" s="73"/>
      <c r="C12" s="68" t="s">
        <v>51</v>
      </c>
      <c r="D12" s="71" t="s">
        <v>52</v>
      </c>
      <c r="E12" s="69">
        <f>STATS1003B!E12/1000</f>
        <v>5904.16446</v>
      </c>
      <c r="F12" s="69">
        <f>STATS1003B!F12/1000</f>
        <v>5692.4485300000006</v>
      </c>
      <c r="G12" s="69">
        <f>STATS1003B!G12/1000</f>
        <v>0</v>
      </c>
      <c r="H12" s="69">
        <f>STATS1003B!H12/1000</f>
        <v>5692.4485300000006</v>
      </c>
      <c r="I12" s="69">
        <f>STATS1003B!I12/1000</f>
        <v>0</v>
      </c>
      <c r="J12" s="69">
        <f>STATS1003B!J12/1000</f>
        <v>0</v>
      </c>
      <c r="K12" s="69">
        <f>STATS1003B!K12/1000</f>
        <v>0</v>
      </c>
      <c r="L12" s="69">
        <f>STATS1003B!L12/1000</f>
        <v>0</v>
      </c>
      <c r="M12" s="69">
        <f>STATS1003B!M12/1000</f>
        <v>5692.4485300000006</v>
      </c>
      <c r="N12" s="69">
        <f>STATS1003B!N12/1000</f>
        <v>211.71592999999999</v>
      </c>
      <c r="O12" s="69">
        <f>STATS1003B!O12/1000</f>
        <v>0</v>
      </c>
      <c r="P12" s="69">
        <f>STATS1003B!P12/1000</f>
        <v>211.71592999999999</v>
      </c>
      <c r="Q12" s="69">
        <f>STATS1003B!Q12/1000</f>
        <v>0</v>
      </c>
      <c r="R12" s="69">
        <f>STATS1003B!R12/1000</f>
        <v>0</v>
      </c>
      <c r="S12" s="69">
        <f>STATS1003B!S12/1000</f>
        <v>0</v>
      </c>
      <c r="T12" s="69">
        <f>STATS1003B!T12/1000</f>
        <v>0</v>
      </c>
      <c r="U12" s="69">
        <f>STATS1003B!U12/1000</f>
        <v>211.71592999999999</v>
      </c>
      <c r="V12" s="69">
        <f>STATS1003B!V12/1000</f>
        <v>5904.16446</v>
      </c>
      <c r="W12" s="69">
        <f>STATS1003B!W12/1000</f>
        <v>0</v>
      </c>
      <c r="X12" s="69">
        <f>STATS1003B!X12/1000</f>
        <v>5904.16446</v>
      </c>
      <c r="Y12" s="69">
        <f>STATS1003B!Y12/1000</f>
        <v>0</v>
      </c>
      <c r="Z12" s="69">
        <f>STATS1003B!Z12/1000</f>
        <v>0</v>
      </c>
      <c r="AA12" s="69">
        <f>STATS1003B!AA12/1000</f>
        <v>5904.16446</v>
      </c>
      <c r="AB12" s="69">
        <f>STATS1003B!AB12/1000</f>
        <v>0</v>
      </c>
    </row>
    <row r="13" spans="1:28" hidden="1" x14ac:dyDescent="0.3">
      <c r="A13" s="73"/>
      <c r="C13" s="68" t="s">
        <v>53</v>
      </c>
      <c r="D13" s="145" t="s">
        <v>54</v>
      </c>
      <c r="E13" s="69">
        <f>STATS1003B!E13/1000</f>
        <v>2306.1060000000002</v>
      </c>
      <c r="F13" s="69">
        <f>STATS1003B!F13/1000</f>
        <v>0</v>
      </c>
      <c r="G13" s="69">
        <f>STATS1003B!G13/1000</f>
        <v>0</v>
      </c>
      <c r="H13" s="69">
        <f>STATS1003B!H13/1000</f>
        <v>0</v>
      </c>
      <c r="I13" s="69">
        <f>STATS1003B!I13/1000</f>
        <v>0</v>
      </c>
      <c r="J13" s="69">
        <f>STATS1003B!J13/1000</f>
        <v>0</v>
      </c>
      <c r="K13" s="69">
        <f>STATS1003B!K13/1000</f>
        <v>0</v>
      </c>
      <c r="L13" s="69">
        <f>STATS1003B!L13/1000</f>
        <v>0</v>
      </c>
      <c r="M13" s="69">
        <f>STATS1003B!M13/1000</f>
        <v>0</v>
      </c>
      <c r="N13" s="69">
        <f>STATS1003B!N13/1000</f>
        <v>2306.1060000000002</v>
      </c>
      <c r="O13" s="69">
        <f>STATS1003B!O13/1000</f>
        <v>0</v>
      </c>
      <c r="P13" s="69">
        <f>STATS1003B!P13/1000</f>
        <v>2306.1060000000002</v>
      </c>
      <c r="Q13" s="69">
        <f>STATS1003B!Q13/1000</f>
        <v>0</v>
      </c>
      <c r="R13" s="69">
        <f>STATS1003B!R13/1000</f>
        <v>0</v>
      </c>
      <c r="S13" s="69">
        <f>STATS1003B!S13/1000</f>
        <v>0</v>
      </c>
      <c r="T13" s="69">
        <f>STATS1003B!T13/1000</f>
        <v>0</v>
      </c>
      <c r="U13" s="69">
        <f>STATS1003B!U13/1000</f>
        <v>2306.1060000000002</v>
      </c>
      <c r="V13" s="69">
        <f>STATS1003B!V13/1000</f>
        <v>2306.1060000000002</v>
      </c>
      <c r="W13" s="69">
        <f>STATS1003B!W13/1000</f>
        <v>0</v>
      </c>
      <c r="X13" s="69">
        <f>STATS1003B!X13/1000</f>
        <v>2306.1060000000002</v>
      </c>
      <c r="Y13" s="69">
        <f>STATS1003B!Y13/1000</f>
        <v>0</v>
      </c>
      <c r="Z13" s="69">
        <f>STATS1003B!Z13/1000</f>
        <v>0</v>
      </c>
      <c r="AA13" s="69">
        <f>STATS1003B!AA13/1000</f>
        <v>2306.1060000000002</v>
      </c>
      <c r="AB13" s="69">
        <f>STATS1003B!AB13/1000</f>
        <v>0</v>
      </c>
    </row>
    <row r="14" spans="1:28" hidden="1" x14ac:dyDescent="0.3">
      <c r="A14" s="73"/>
      <c r="C14" s="68" t="s">
        <v>55</v>
      </c>
      <c r="D14" s="68" t="s">
        <v>56</v>
      </c>
      <c r="E14" s="69">
        <f>STATS1003B!E14/1000</f>
        <v>3499.0277999999998</v>
      </c>
      <c r="F14" s="69">
        <f>STATS1003B!F14/1000</f>
        <v>0</v>
      </c>
      <c r="G14" s="69">
        <f>STATS1003B!G14/1000</f>
        <v>0</v>
      </c>
      <c r="H14" s="69">
        <f>STATS1003B!H14/1000</f>
        <v>0</v>
      </c>
      <c r="I14" s="69">
        <f>STATS1003B!I14/1000</f>
        <v>0</v>
      </c>
      <c r="J14" s="69">
        <f>STATS1003B!J14/1000</f>
        <v>0</v>
      </c>
      <c r="K14" s="69">
        <f>STATS1003B!K14/1000</f>
        <v>0</v>
      </c>
      <c r="L14" s="69">
        <f>STATS1003B!L14/1000</f>
        <v>0</v>
      </c>
      <c r="M14" s="69">
        <f>STATS1003B!M14/1000</f>
        <v>0</v>
      </c>
      <c r="N14" s="69">
        <f>STATS1003B!N14/1000</f>
        <v>3499.0277999999998</v>
      </c>
      <c r="O14" s="69">
        <f>STATS1003B!O14/1000</f>
        <v>0</v>
      </c>
      <c r="P14" s="69">
        <f>STATS1003B!P14/1000</f>
        <v>3499.0277999999998</v>
      </c>
      <c r="Q14" s="69">
        <f>STATS1003B!Q14/1000</f>
        <v>0</v>
      </c>
      <c r="R14" s="69">
        <f>STATS1003B!R14/1000</f>
        <v>0</v>
      </c>
      <c r="S14" s="69">
        <f>STATS1003B!S14/1000</f>
        <v>0</v>
      </c>
      <c r="T14" s="69">
        <f>STATS1003B!T14/1000</f>
        <v>0</v>
      </c>
      <c r="U14" s="69">
        <f>STATS1003B!U14/1000</f>
        <v>3499.0277999999998</v>
      </c>
      <c r="V14" s="69">
        <f>STATS1003B!V14/1000</f>
        <v>3499.0277999999998</v>
      </c>
      <c r="W14" s="69">
        <f>STATS1003B!W14/1000</f>
        <v>0</v>
      </c>
      <c r="X14" s="69">
        <f>STATS1003B!X14/1000</f>
        <v>3499.0277999999998</v>
      </c>
      <c r="Y14" s="69">
        <f>STATS1003B!Y14/1000</f>
        <v>0</v>
      </c>
      <c r="Z14" s="69">
        <f>STATS1003B!Z14/1000</f>
        <v>0</v>
      </c>
      <c r="AA14" s="69">
        <f>STATS1003B!AA14/1000</f>
        <v>3499.0277999999998</v>
      </c>
      <c r="AB14" s="69">
        <f>STATS1003B!AB14/1000</f>
        <v>0</v>
      </c>
    </row>
    <row r="15" spans="1:28" hidden="1" x14ac:dyDescent="0.3">
      <c r="A15" s="73"/>
      <c r="C15" s="68" t="s">
        <v>57</v>
      </c>
      <c r="D15" s="145" t="s">
        <v>58</v>
      </c>
      <c r="E15" s="69">
        <f>STATS1003B!E15/1000</f>
        <v>1811.5129999999999</v>
      </c>
      <c r="F15" s="69">
        <f>STATS1003B!F15/1000</f>
        <v>1811.5129999999999</v>
      </c>
      <c r="G15" s="69">
        <f>STATS1003B!G15/1000</f>
        <v>0</v>
      </c>
      <c r="H15" s="69">
        <f>STATS1003B!H15/1000</f>
        <v>1811.5129999999999</v>
      </c>
      <c r="I15" s="69">
        <f>STATS1003B!I15/1000</f>
        <v>0</v>
      </c>
      <c r="J15" s="69">
        <f>STATS1003B!J15/1000</f>
        <v>0</v>
      </c>
      <c r="K15" s="69">
        <f>STATS1003B!K15/1000</f>
        <v>0</v>
      </c>
      <c r="L15" s="69">
        <f>STATS1003B!L15/1000</f>
        <v>0</v>
      </c>
      <c r="M15" s="69">
        <f>STATS1003B!M15/1000</f>
        <v>1811.5129999999999</v>
      </c>
      <c r="N15" s="69">
        <f>STATS1003B!N15/1000</f>
        <v>0</v>
      </c>
      <c r="O15" s="69">
        <f>STATS1003B!O15/1000</f>
        <v>0</v>
      </c>
      <c r="P15" s="69">
        <f>STATS1003B!P15/1000</f>
        <v>0</v>
      </c>
      <c r="Q15" s="69">
        <f>STATS1003B!Q15/1000</f>
        <v>0</v>
      </c>
      <c r="R15" s="69">
        <f>STATS1003B!R15/1000</f>
        <v>0</v>
      </c>
      <c r="S15" s="69">
        <f>STATS1003B!S15/1000</f>
        <v>0</v>
      </c>
      <c r="T15" s="69">
        <f>STATS1003B!T15/1000</f>
        <v>0</v>
      </c>
      <c r="U15" s="69">
        <f>STATS1003B!U15/1000</f>
        <v>0</v>
      </c>
      <c r="V15" s="69">
        <f>STATS1003B!V15/1000</f>
        <v>1811.5129999999999</v>
      </c>
      <c r="W15" s="69">
        <f>STATS1003B!W15/1000</f>
        <v>0</v>
      </c>
      <c r="X15" s="69">
        <f>STATS1003B!X15/1000</f>
        <v>1811.5129999999999</v>
      </c>
      <c r="Y15" s="69">
        <f>STATS1003B!Y15/1000</f>
        <v>0</v>
      </c>
      <c r="Z15" s="69">
        <f>STATS1003B!Z15/1000</f>
        <v>0</v>
      </c>
      <c r="AA15" s="69">
        <f>STATS1003B!AA15/1000</f>
        <v>1811.5129999999999</v>
      </c>
      <c r="AB15" s="69">
        <f>STATS1003B!AB15/1000</f>
        <v>0</v>
      </c>
    </row>
    <row r="16" spans="1:28" hidden="1" x14ac:dyDescent="0.3">
      <c r="A16" s="73"/>
      <c r="C16" s="71" t="s">
        <v>59</v>
      </c>
      <c r="D16" s="90" t="s">
        <v>60</v>
      </c>
      <c r="E16" s="69">
        <f>STATS1003B!E16/1000</f>
        <v>5000</v>
      </c>
      <c r="F16" s="69">
        <f>STATS1003B!F16/1000</f>
        <v>5000</v>
      </c>
      <c r="G16" s="69">
        <f>STATS1003B!G16/1000</f>
        <v>0</v>
      </c>
      <c r="H16" s="69">
        <f>STATS1003B!H16/1000</f>
        <v>5000</v>
      </c>
      <c r="I16" s="69">
        <f>STATS1003B!I16/1000</f>
        <v>0</v>
      </c>
      <c r="J16" s="69">
        <f>STATS1003B!J16/1000</f>
        <v>0</v>
      </c>
      <c r="K16" s="69">
        <f>STATS1003B!K16/1000</f>
        <v>0</v>
      </c>
      <c r="L16" s="69">
        <f>STATS1003B!L16/1000</f>
        <v>0</v>
      </c>
      <c r="M16" s="69">
        <f>STATS1003B!M16/1000</f>
        <v>5000</v>
      </c>
      <c r="N16" s="69">
        <f>STATS1003B!N16/1000</f>
        <v>0</v>
      </c>
      <c r="O16" s="69">
        <f>STATS1003B!O16/1000</f>
        <v>0</v>
      </c>
      <c r="P16" s="69">
        <f>STATS1003B!P16/1000</f>
        <v>0</v>
      </c>
      <c r="Q16" s="69">
        <f>STATS1003B!Q16/1000</f>
        <v>0</v>
      </c>
      <c r="R16" s="69">
        <f>STATS1003B!R16/1000</f>
        <v>0</v>
      </c>
      <c r="S16" s="69">
        <f>STATS1003B!S16/1000</f>
        <v>0</v>
      </c>
      <c r="T16" s="69">
        <f>STATS1003B!T16/1000</f>
        <v>0</v>
      </c>
      <c r="U16" s="69">
        <f>STATS1003B!U16/1000</f>
        <v>0</v>
      </c>
      <c r="V16" s="69">
        <f>STATS1003B!V16/1000</f>
        <v>5000</v>
      </c>
      <c r="W16" s="69">
        <f>STATS1003B!W16/1000</f>
        <v>0</v>
      </c>
      <c r="X16" s="69">
        <f>STATS1003B!X16/1000</f>
        <v>5000</v>
      </c>
      <c r="Y16" s="69">
        <f>STATS1003B!Y16/1000</f>
        <v>0</v>
      </c>
      <c r="Z16" s="69">
        <f>STATS1003B!Z16/1000</f>
        <v>0</v>
      </c>
      <c r="AA16" s="69">
        <f>STATS1003B!AA16/1000</f>
        <v>5000</v>
      </c>
      <c r="AB16" s="69">
        <f>STATS1003B!AB16/1000</f>
        <v>0</v>
      </c>
    </row>
    <row r="17" spans="1:28" hidden="1" x14ac:dyDescent="0.3">
      <c r="A17" s="73"/>
      <c r="C17" s="68" t="s">
        <v>57</v>
      </c>
      <c r="D17" s="145" t="s">
        <v>61</v>
      </c>
      <c r="E17" s="69">
        <f>STATS1003B!E17/1000</f>
        <v>1000</v>
      </c>
      <c r="F17" s="69">
        <f>STATS1003B!F17/1000</f>
        <v>1000</v>
      </c>
      <c r="G17" s="69">
        <f>STATS1003B!G17/1000</f>
        <v>0</v>
      </c>
      <c r="H17" s="69">
        <f>STATS1003B!H17/1000</f>
        <v>1000</v>
      </c>
      <c r="I17" s="69">
        <f>STATS1003B!I17/1000</f>
        <v>0</v>
      </c>
      <c r="J17" s="69">
        <f>STATS1003B!J17/1000</f>
        <v>0</v>
      </c>
      <c r="K17" s="69">
        <f>STATS1003B!K17/1000</f>
        <v>0</v>
      </c>
      <c r="L17" s="69">
        <f>STATS1003B!L17/1000</f>
        <v>0</v>
      </c>
      <c r="M17" s="69">
        <f>STATS1003B!M17/1000</f>
        <v>1000</v>
      </c>
      <c r="N17" s="69">
        <f>STATS1003B!N17/1000</f>
        <v>0</v>
      </c>
      <c r="O17" s="69">
        <f>STATS1003B!O17/1000</f>
        <v>0</v>
      </c>
      <c r="P17" s="69">
        <f>STATS1003B!P17/1000</f>
        <v>0</v>
      </c>
      <c r="Q17" s="69">
        <f>STATS1003B!Q17/1000</f>
        <v>0</v>
      </c>
      <c r="R17" s="69">
        <f>STATS1003B!R17/1000</f>
        <v>0</v>
      </c>
      <c r="S17" s="69">
        <f>STATS1003B!S17/1000</f>
        <v>0</v>
      </c>
      <c r="T17" s="69">
        <f>STATS1003B!T17/1000</f>
        <v>0</v>
      </c>
      <c r="U17" s="69">
        <f>STATS1003B!U17/1000</f>
        <v>0</v>
      </c>
      <c r="V17" s="69">
        <f>STATS1003B!V17/1000</f>
        <v>1000</v>
      </c>
      <c r="W17" s="69">
        <f>STATS1003B!W17/1000</f>
        <v>0</v>
      </c>
      <c r="X17" s="69">
        <f>STATS1003B!X17/1000</f>
        <v>1000</v>
      </c>
      <c r="Y17" s="69">
        <f>STATS1003B!Y17/1000</f>
        <v>0</v>
      </c>
      <c r="Z17" s="69">
        <f>STATS1003B!Z17/1000</f>
        <v>0</v>
      </c>
      <c r="AA17" s="69">
        <f>STATS1003B!AA17/1000</f>
        <v>1000</v>
      </c>
      <c r="AB17" s="69">
        <f>STATS1003B!AB17/1000</f>
        <v>0</v>
      </c>
    </row>
    <row r="18" spans="1:28" hidden="1" x14ac:dyDescent="0.3">
      <c r="A18" s="73"/>
      <c r="C18" s="68" t="s">
        <v>930</v>
      </c>
      <c r="D18" s="90" t="s">
        <v>1072</v>
      </c>
      <c r="E18" s="69">
        <f>STATS1003B!E18/1000</f>
        <v>1706</v>
      </c>
      <c r="F18" s="69">
        <f>STATS1003B!F18/1000</f>
        <v>1706</v>
      </c>
      <c r="G18" s="69">
        <f>STATS1003B!G18/1000</f>
        <v>0</v>
      </c>
      <c r="H18" s="69">
        <f>STATS1003B!H18/1000</f>
        <v>1706</v>
      </c>
      <c r="I18" s="69">
        <f>STATS1003B!I18/1000</f>
        <v>0</v>
      </c>
      <c r="J18" s="69">
        <f>STATS1003B!J18/1000</f>
        <v>0</v>
      </c>
      <c r="K18" s="69">
        <f>STATS1003B!K18/1000</f>
        <v>0</v>
      </c>
      <c r="L18" s="69">
        <f>STATS1003B!L18/1000</f>
        <v>0</v>
      </c>
      <c r="M18" s="69">
        <f>STATS1003B!M18/1000</f>
        <v>1706</v>
      </c>
      <c r="N18" s="69">
        <f>STATS1003B!N18/1000</f>
        <v>0</v>
      </c>
      <c r="O18" s="69">
        <f>STATS1003B!O18/1000</f>
        <v>0</v>
      </c>
      <c r="P18" s="69">
        <f>STATS1003B!P18/1000</f>
        <v>0</v>
      </c>
      <c r="Q18" s="69">
        <f>STATS1003B!Q18/1000</f>
        <v>0</v>
      </c>
      <c r="R18" s="69">
        <f>STATS1003B!R18/1000</f>
        <v>0</v>
      </c>
      <c r="S18" s="69">
        <f>STATS1003B!S18/1000</f>
        <v>0</v>
      </c>
      <c r="T18" s="69">
        <f>STATS1003B!T18/1000</f>
        <v>0</v>
      </c>
      <c r="U18" s="69">
        <f>STATS1003B!U18/1000</f>
        <v>0</v>
      </c>
      <c r="V18" s="69">
        <f>STATS1003B!V18/1000</f>
        <v>1706</v>
      </c>
      <c r="W18" s="69">
        <f>STATS1003B!W18/1000</f>
        <v>0</v>
      </c>
      <c r="X18" s="69">
        <f>STATS1003B!X18/1000</f>
        <v>1706</v>
      </c>
      <c r="Y18" s="69">
        <f>STATS1003B!Y18/1000</f>
        <v>0</v>
      </c>
      <c r="Z18" s="69">
        <f>STATS1003B!Z18/1000</f>
        <v>0</v>
      </c>
      <c r="AA18" s="69">
        <f>STATS1003B!AA18/1000</f>
        <v>1706</v>
      </c>
      <c r="AB18" s="69">
        <f>STATS1003B!AB18/1000</f>
        <v>0</v>
      </c>
    </row>
    <row r="19" spans="1:28" hidden="1" x14ac:dyDescent="0.3">
      <c r="A19" s="73"/>
      <c r="C19" s="68" t="s">
        <v>932</v>
      </c>
      <c r="D19" s="90" t="s">
        <v>1126</v>
      </c>
      <c r="E19" s="69">
        <f>STATS1003B!E19/1000</f>
        <v>400</v>
      </c>
      <c r="F19" s="69">
        <f>STATS1003B!F19/1000</f>
        <v>400</v>
      </c>
      <c r="G19" s="69">
        <f>STATS1003B!G19/1000</f>
        <v>0</v>
      </c>
      <c r="H19" s="69">
        <f>STATS1003B!H19/1000</f>
        <v>400</v>
      </c>
      <c r="I19" s="69">
        <f>STATS1003B!I19/1000</f>
        <v>0</v>
      </c>
      <c r="J19" s="69">
        <f>STATS1003B!J19/1000</f>
        <v>0</v>
      </c>
      <c r="K19" s="69">
        <f>STATS1003B!K19/1000</f>
        <v>0</v>
      </c>
      <c r="L19" s="69">
        <f>STATS1003B!L19/1000</f>
        <v>0</v>
      </c>
      <c r="M19" s="69">
        <f>STATS1003B!M19/1000</f>
        <v>400</v>
      </c>
      <c r="N19" s="69">
        <f>STATS1003B!N19/1000</f>
        <v>0</v>
      </c>
      <c r="O19" s="69">
        <f>STATS1003B!O19/1000</f>
        <v>0</v>
      </c>
      <c r="P19" s="69">
        <f>STATS1003B!P19/1000</f>
        <v>0</v>
      </c>
      <c r="Q19" s="69">
        <f>STATS1003B!Q19/1000</f>
        <v>0</v>
      </c>
      <c r="R19" s="69">
        <f>STATS1003B!R19/1000</f>
        <v>0</v>
      </c>
      <c r="S19" s="69">
        <f>STATS1003B!S19/1000</f>
        <v>0</v>
      </c>
      <c r="T19" s="69">
        <f>STATS1003B!T19/1000</f>
        <v>0</v>
      </c>
      <c r="U19" s="69">
        <f>STATS1003B!U19/1000</f>
        <v>0</v>
      </c>
      <c r="V19" s="69">
        <f>STATS1003B!V19/1000</f>
        <v>400</v>
      </c>
      <c r="W19" s="69">
        <f>STATS1003B!W19/1000</f>
        <v>0</v>
      </c>
      <c r="X19" s="69">
        <f>STATS1003B!X19/1000</f>
        <v>400</v>
      </c>
      <c r="Y19" s="69">
        <f>STATS1003B!Y19/1000</f>
        <v>0</v>
      </c>
      <c r="Z19" s="69">
        <f>STATS1003B!Z19/1000</f>
        <v>0</v>
      </c>
      <c r="AA19" s="69">
        <f>STATS1003B!AA19/1000</f>
        <v>400</v>
      </c>
      <c r="AB19" s="69">
        <f>STATS1003B!AB19/1000</f>
        <v>0</v>
      </c>
    </row>
    <row r="20" spans="1:28" hidden="1" x14ac:dyDescent="0.3">
      <c r="A20" s="73"/>
      <c r="C20" s="68" t="s">
        <v>62</v>
      </c>
      <c r="E20" s="69">
        <f>STATS1003B!E20/1000</f>
        <v>348.51620000000003</v>
      </c>
      <c r="F20" s="69">
        <f>STATS1003B!F20/1000</f>
        <v>348.51620000000003</v>
      </c>
      <c r="G20" s="69">
        <f>STATS1003B!G20/1000</f>
        <v>0</v>
      </c>
      <c r="H20" s="69">
        <f>STATS1003B!H20/1000</f>
        <v>348.51620000000003</v>
      </c>
      <c r="I20" s="69">
        <f>STATS1003B!I20/1000</f>
        <v>0</v>
      </c>
      <c r="J20" s="69">
        <f>STATS1003B!J20/1000</f>
        <v>0</v>
      </c>
      <c r="K20" s="69">
        <f>STATS1003B!K20/1000</f>
        <v>0</v>
      </c>
      <c r="L20" s="69">
        <f>STATS1003B!L20/1000</f>
        <v>0</v>
      </c>
      <c r="M20" s="69">
        <f>STATS1003B!M20/1000</f>
        <v>348.51620000000003</v>
      </c>
      <c r="N20" s="69">
        <f>STATS1003B!N20/1000</f>
        <v>0</v>
      </c>
      <c r="O20" s="69">
        <f>STATS1003B!O20/1000</f>
        <v>0</v>
      </c>
      <c r="P20" s="69">
        <f>STATS1003B!P20/1000</f>
        <v>0</v>
      </c>
      <c r="Q20" s="69">
        <f>STATS1003B!Q20/1000</f>
        <v>0</v>
      </c>
      <c r="R20" s="69">
        <f>STATS1003B!R20/1000</f>
        <v>0</v>
      </c>
      <c r="S20" s="69">
        <f>STATS1003B!S20/1000</f>
        <v>0</v>
      </c>
      <c r="T20" s="69">
        <f>STATS1003B!T20/1000</f>
        <v>0</v>
      </c>
      <c r="U20" s="69">
        <f>STATS1003B!U20/1000</f>
        <v>0</v>
      </c>
      <c r="V20" s="69">
        <f>STATS1003B!V20/1000</f>
        <v>348.51620000000003</v>
      </c>
      <c r="W20" s="69">
        <f>STATS1003B!W20/1000</f>
        <v>0</v>
      </c>
      <c r="X20" s="69">
        <f>STATS1003B!X20/1000</f>
        <v>348.51620000000003</v>
      </c>
      <c r="Y20" s="69">
        <f>STATS1003B!Y20/1000</f>
        <v>0</v>
      </c>
      <c r="Z20" s="69">
        <f>STATS1003B!Z20/1000</f>
        <v>0</v>
      </c>
      <c r="AA20" s="69">
        <f>STATS1003B!AA20/1000</f>
        <v>348.51620000000003</v>
      </c>
      <c r="AB20" s="69">
        <f>STATS1003B!AB20/1000</f>
        <v>0</v>
      </c>
    </row>
    <row r="21" spans="1:28" hidden="1" x14ac:dyDescent="0.3">
      <c r="A21" s="73"/>
      <c r="E21" s="115" t="s">
        <v>29</v>
      </c>
      <c r="F21" s="115" t="s">
        <v>29</v>
      </c>
      <c r="G21" s="115" t="s">
        <v>29</v>
      </c>
      <c r="H21" s="115" t="s">
        <v>29</v>
      </c>
      <c r="I21" s="115" t="s">
        <v>29</v>
      </c>
      <c r="J21" s="115" t="s">
        <v>29</v>
      </c>
      <c r="K21" s="115" t="s">
        <v>29</v>
      </c>
      <c r="L21" s="115" t="s">
        <v>29</v>
      </c>
      <c r="M21" s="115" t="s">
        <v>29</v>
      </c>
      <c r="N21" s="115" t="s">
        <v>29</v>
      </c>
      <c r="O21" s="115" t="s">
        <v>29</v>
      </c>
      <c r="P21" s="115" t="s">
        <v>29</v>
      </c>
      <c r="Q21" s="115" t="s">
        <v>29</v>
      </c>
      <c r="R21" s="115" t="s">
        <v>29</v>
      </c>
      <c r="S21" s="115" t="s">
        <v>29</v>
      </c>
      <c r="T21" s="115" t="s">
        <v>29</v>
      </c>
      <c r="U21" s="115" t="s">
        <v>29</v>
      </c>
      <c r="V21" s="115" t="s">
        <v>29</v>
      </c>
      <c r="W21" s="115" t="s">
        <v>29</v>
      </c>
      <c r="X21" s="115" t="s">
        <v>29</v>
      </c>
      <c r="Y21" s="115" t="s">
        <v>29</v>
      </c>
      <c r="Z21" s="115" t="s">
        <v>29</v>
      </c>
      <c r="AA21" s="115" t="s">
        <v>29</v>
      </c>
      <c r="AB21" s="115" t="s">
        <v>29</v>
      </c>
    </row>
    <row r="22" spans="1:28" x14ac:dyDescent="0.3">
      <c r="A22" s="116" t="s">
        <v>934</v>
      </c>
      <c r="B22" s="68" t="s">
        <v>49</v>
      </c>
      <c r="E22" s="85">
        <f>71459716.55/1000</f>
        <v>71459.716549999997</v>
      </c>
      <c r="F22" s="85">
        <f>SUM(F12:F20)</f>
        <v>15958.477730000001</v>
      </c>
      <c r="G22" s="85">
        <f>SUM(G12:G20)</f>
        <v>0</v>
      </c>
      <c r="H22" s="85">
        <f>65442866.82/1000</f>
        <v>65442.866820000003</v>
      </c>
      <c r="I22" s="85">
        <f t="shared" ref="I22:O22" si="0">SUM(I12:I20)</f>
        <v>0</v>
      </c>
      <c r="J22" s="85">
        <f t="shared" si="0"/>
        <v>0</v>
      </c>
      <c r="K22" s="85">
        <f t="shared" si="0"/>
        <v>0</v>
      </c>
      <c r="L22" s="85">
        <f t="shared" si="0"/>
        <v>0</v>
      </c>
      <c r="M22" s="85">
        <f t="shared" si="0"/>
        <v>15958.477730000001</v>
      </c>
      <c r="N22" s="85">
        <f t="shared" si="0"/>
        <v>6016.8497299999999</v>
      </c>
      <c r="O22" s="85">
        <f t="shared" si="0"/>
        <v>0</v>
      </c>
      <c r="P22" s="85">
        <f>6016849.73/1000</f>
        <v>6016.8497300000008</v>
      </c>
      <c r="Q22" s="85">
        <f t="shared" ref="Q22:W22" si="1">SUM(Q12:Q20)</f>
        <v>0</v>
      </c>
      <c r="R22" s="85">
        <f t="shared" si="1"/>
        <v>0</v>
      </c>
      <c r="S22" s="85">
        <f t="shared" si="1"/>
        <v>0</v>
      </c>
      <c r="T22" s="85">
        <f t="shared" si="1"/>
        <v>0</v>
      </c>
      <c r="U22" s="85">
        <f t="shared" si="1"/>
        <v>6016.8497299999999</v>
      </c>
      <c r="V22" s="85">
        <f t="shared" si="1"/>
        <v>21975.32746</v>
      </c>
      <c r="W22" s="85">
        <f t="shared" si="1"/>
        <v>0</v>
      </c>
      <c r="X22" s="85">
        <f>+H22+P22</f>
        <v>71459.716549999997</v>
      </c>
      <c r="Y22" s="85">
        <f>SUM(Y12:Y20)</f>
        <v>0</v>
      </c>
      <c r="Z22" s="85">
        <f>+E22-X22</f>
        <v>0</v>
      </c>
      <c r="AA22" s="69">
        <f>SUM(AA12:AA20)</f>
        <v>21975.32746</v>
      </c>
      <c r="AB22" s="69">
        <f>SUM(AB12:AB20)</f>
        <v>0</v>
      </c>
    </row>
    <row r="23" spans="1:28" hidden="1" x14ac:dyDescent="0.3">
      <c r="A23" s="117"/>
      <c r="E23" s="86" t="s">
        <v>29</v>
      </c>
      <c r="F23" s="86" t="s">
        <v>29</v>
      </c>
      <c r="G23" s="86" t="s">
        <v>29</v>
      </c>
      <c r="H23" s="86" t="s">
        <v>29</v>
      </c>
      <c r="I23" s="86" t="s">
        <v>29</v>
      </c>
      <c r="J23" s="86" t="s">
        <v>29</v>
      </c>
      <c r="K23" s="86" t="s">
        <v>29</v>
      </c>
      <c r="L23" s="86" t="s">
        <v>29</v>
      </c>
      <c r="M23" s="86" t="s">
        <v>29</v>
      </c>
      <c r="N23" s="86" t="s">
        <v>29</v>
      </c>
      <c r="O23" s="86" t="s">
        <v>29</v>
      </c>
      <c r="P23" s="86" t="s">
        <v>29</v>
      </c>
      <c r="Q23" s="86" t="s">
        <v>29</v>
      </c>
      <c r="R23" s="86" t="s">
        <v>29</v>
      </c>
      <c r="S23" s="86" t="s">
        <v>29</v>
      </c>
      <c r="T23" s="86" t="s">
        <v>29</v>
      </c>
      <c r="U23" s="86" t="s">
        <v>29</v>
      </c>
      <c r="V23" s="86" t="s">
        <v>29</v>
      </c>
      <c r="W23" s="86" t="s">
        <v>29</v>
      </c>
      <c r="X23" s="86" t="s">
        <v>29</v>
      </c>
      <c r="Y23" s="86" t="s">
        <v>29</v>
      </c>
      <c r="Z23" s="86" t="s">
        <v>29</v>
      </c>
      <c r="AA23" s="115" t="s">
        <v>29</v>
      </c>
      <c r="AB23" s="115" t="s">
        <v>29</v>
      </c>
    </row>
    <row r="24" spans="1:28" hidden="1" x14ac:dyDescent="0.3">
      <c r="A24" s="117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118"/>
    </row>
    <row r="25" spans="1:28" hidden="1" x14ac:dyDescent="0.3">
      <c r="A25" s="105"/>
      <c r="D25" s="145" t="s">
        <v>64</v>
      </c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</row>
    <row r="26" spans="1:28" hidden="1" x14ac:dyDescent="0.3">
      <c r="A26" s="117"/>
      <c r="C26" s="68" t="s">
        <v>51</v>
      </c>
      <c r="D26" s="71" t="s">
        <v>65</v>
      </c>
      <c r="E26" s="85">
        <f>STATS1003B!E26/1000</f>
        <v>8606.1616400000003</v>
      </c>
      <c r="F26" s="85">
        <f>STATS1003B!F26/1000</f>
        <v>6205.7602999999999</v>
      </c>
      <c r="G26" s="85">
        <f>STATS1003B!G26/1000</f>
        <v>0</v>
      </c>
      <c r="H26" s="85">
        <f>STATS1003B!H26/1000</f>
        <v>6205.7602999999999</v>
      </c>
      <c r="I26" s="85">
        <f>STATS1003B!I26/1000</f>
        <v>0</v>
      </c>
      <c r="J26" s="85">
        <f>STATS1003B!J26/1000</f>
        <v>0</v>
      </c>
      <c r="K26" s="85">
        <f>STATS1003B!K26/1000</f>
        <v>0</v>
      </c>
      <c r="L26" s="85">
        <f>STATS1003B!L26/1000</f>
        <v>0</v>
      </c>
      <c r="M26" s="85">
        <f>STATS1003B!M26/1000</f>
        <v>6205.7602999999999</v>
      </c>
      <c r="N26" s="85">
        <f>STATS1003B!N26/1000</f>
        <v>2400.4013399999999</v>
      </c>
      <c r="O26" s="85">
        <f>STATS1003B!O26/1000</f>
        <v>0</v>
      </c>
      <c r="P26" s="85">
        <f>STATS1003B!P26/1000</f>
        <v>2400.4013399999999</v>
      </c>
      <c r="Q26" s="85">
        <f>STATS1003B!Q26/1000</f>
        <v>0</v>
      </c>
      <c r="R26" s="85">
        <f>STATS1003B!R26/1000</f>
        <v>0</v>
      </c>
      <c r="S26" s="85">
        <f>STATS1003B!S26/1000</f>
        <v>0</v>
      </c>
      <c r="T26" s="85">
        <f>STATS1003B!T26/1000</f>
        <v>0</v>
      </c>
      <c r="U26" s="85">
        <f>STATS1003B!U26/1000</f>
        <v>2400.4013399999999</v>
      </c>
      <c r="V26" s="85">
        <f>STATS1003B!V26/1000</f>
        <v>8606.1616400000003</v>
      </c>
      <c r="W26" s="85">
        <f>STATS1003B!W26/1000</f>
        <v>0</v>
      </c>
      <c r="X26" s="85">
        <f>STATS1003B!X26/1000</f>
        <v>8606.1616400000003</v>
      </c>
      <c r="Y26" s="85">
        <f>STATS1003B!Y26/1000</f>
        <v>0</v>
      </c>
      <c r="Z26" s="85">
        <f>STATS1003B!Z26/1000</f>
        <v>0</v>
      </c>
      <c r="AA26" s="69">
        <f>STATS1003B!AA26/1000</f>
        <v>8606.1616400000003</v>
      </c>
      <c r="AB26" s="69">
        <f>STATS1003B!AB26/1000</f>
        <v>0</v>
      </c>
    </row>
    <row r="27" spans="1:28" hidden="1" x14ac:dyDescent="0.3">
      <c r="A27" s="117"/>
      <c r="C27" s="68" t="s">
        <v>66</v>
      </c>
      <c r="D27" s="145" t="s">
        <v>67</v>
      </c>
      <c r="E27" s="85">
        <f>STATS1003B!E27/1000</f>
        <v>3000</v>
      </c>
      <c r="F27" s="85">
        <f>STATS1003B!F27/1000</f>
        <v>3000</v>
      </c>
      <c r="G27" s="85">
        <f>STATS1003B!G27/1000</f>
        <v>0</v>
      </c>
      <c r="H27" s="85">
        <f>STATS1003B!H27/1000</f>
        <v>3000</v>
      </c>
      <c r="I27" s="85">
        <f>STATS1003B!I27/1000</f>
        <v>0</v>
      </c>
      <c r="J27" s="85">
        <f>STATS1003B!J27/1000</f>
        <v>0</v>
      </c>
      <c r="K27" s="85">
        <f>STATS1003B!K27/1000</f>
        <v>0</v>
      </c>
      <c r="L27" s="85">
        <f>STATS1003B!L27/1000</f>
        <v>0</v>
      </c>
      <c r="M27" s="85">
        <f>STATS1003B!M27/1000</f>
        <v>3000</v>
      </c>
      <c r="N27" s="85">
        <f>STATS1003B!N27/1000</f>
        <v>0</v>
      </c>
      <c r="O27" s="85">
        <f>STATS1003B!O27/1000</f>
        <v>0</v>
      </c>
      <c r="P27" s="85">
        <f>STATS1003B!P27/1000</f>
        <v>0</v>
      </c>
      <c r="Q27" s="85">
        <f>STATS1003B!Q27/1000</f>
        <v>0</v>
      </c>
      <c r="R27" s="85">
        <f>STATS1003B!R27/1000</f>
        <v>0</v>
      </c>
      <c r="S27" s="85">
        <f>STATS1003B!S27/1000</f>
        <v>0</v>
      </c>
      <c r="T27" s="85">
        <f>STATS1003B!T27/1000</f>
        <v>0</v>
      </c>
      <c r="U27" s="85">
        <f>STATS1003B!U27/1000</f>
        <v>0</v>
      </c>
      <c r="V27" s="85">
        <f>STATS1003B!V27/1000</f>
        <v>3000</v>
      </c>
      <c r="W27" s="85">
        <f>STATS1003B!W27/1000</f>
        <v>0</v>
      </c>
      <c r="X27" s="85">
        <f>STATS1003B!X27/1000</f>
        <v>3000</v>
      </c>
      <c r="Y27" s="85">
        <f>STATS1003B!Y27/1000</f>
        <v>0</v>
      </c>
      <c r="Z27" s="85">
        <f>STATS1003B!Z27/1000</f>
        <v>0</v>
      </c>
      <c r="AA27" s="69">
        <f>STATS1003B!AA27/1000</f>
        <v>3000</v>
      </c>
      <c r="AB27" s="69">
        <f>STATS1003B!AB27/1000</f>
        <v>0</v>
      </c>
    </row>
    <row r="28" spans="1:28" hidden="1" x14ac:dyDescent="0.3">
      <c r="A28" s="117"/>
      <c r="C28" s="68" t="s">
        <v>55</v>
      </c>
      <c r="D28" s="145" t="s">
        <v>68</v>
      </c>
      <c r="E28" s="85">
        <f>STATS1003B!E28/1000</f>
        <v>2778.9300099999996</v>
      </c>
      <c r="F28" s="85">
        <f>STATS1003B!F28/1000</f>
        <v>0</v>
      </c>
      <c r="G28" s="85">
        <f>STATS1003B!G28/1000</f>
        <v>0</v>
      </c>
      <c r="H28" s="85">
        <f>STATS1003B!H28/1000</f>
        <v>0</v>
      </c>
      <c r="I28" s="85">
        <f>STATS1003B!I28/1000</f>
        <v>0</v>
      </c>
      <c r="J28" s="85">
        <f>STATS1003B!J28/1000</f>
        <v>0</v>
      </c>
      <c r="K28" s="85">
        <f>STATS1003B!K28/1000</f>
        <v>0</v>
      </c>
      <c r="L28" s="85">
        <f>STATS1003B!L28/1000</f>
        <v>0</v>
      </c>
      <c r="M28" s="85">
        <f>STATS1003B!M28/1000</f>
        <v>0</v>
      </c>
      <c r="N28" s="85">
        <f>STATS1003B!N28/1000</f>
        <v>2778.9300099999996</v>
      </c>
      <c r="O28" s="85">
        <f>STATS1003B!O28/1000</f>
        <v>0</v>
      </c>
      <c r="P28" s="85">
        <f>STATS1003B!P28/1000</f>
        <v>2778.9300099999996</v>
      </c>
      <c r="Q28" s="85">
        <f>STATS1003B!Q28/1000</f>
        <v>0</v>
      </c>
      <c r="R28" s="85">
        <f>STATS1003B!R28/1000</f>
        <v>0</v>
      </c>
      <c r="S28" s="85">
        <f>STATS1003B!S28/1000</f>
        <v>0</v>
      </c>
      <c r="T28" s="85">
        <f>STATS1003B!T28/1000</f>
        <v>0</v>
      </c>
      <c r="U28" s="85">
        <f>STATS1003B!U28/1000</f>
        <v>2778.9300099999996</v>
      </c>
      <c r="V28" s="85">
        <f>STATS1003B!V28/1000</f>
        <v>2778.9300099999996</v>
      </c>
      <c r="W28" s="85">
        <f>STATS1003B!W28/1000</f>
        <v>0</v>
      </c>
      <c r="X28" s="85">
        <f>STATS1003B!X28/1000</f>
        <v>2778.9300099999996</v>
      </c>
      <c r="Y28" s="85">
        <f>STATS1003B!Y28/1000</f>
        <v>0</v>
      </c>
      <c r="Z28" s="85">
        <f>STATS1003B!Z28/1000</f>
        <v>0</v>
      </c>
      <c r="AA28" s="69">
        <f>STATS1003B!AA28/1000</f>
        <v>2778.9300099999996</v>
      </c>
      <c r="AB28" s="69">
        <f>STATS1003B!AB28/1000</f>
        <v>0</v>
      </c>
    </row>
    <row r="29" spans="1:28" hidden="1" x14ac:dyDescent="0.3">
      <c r="A29" s="117"/>
      <c r="C29" s="68" t="s">
        <v>53</v>
      </c>
      <c r="D29" s="145" t="s">
        <v>68</v>
      </c>
      <c r="E29" s="85">
        <f>STATS1003B!E29/1000</f>
        <v>2306.1060000000002</v>
      </c>
      <c r="F29" s="85">
        <f>STATS1003B!F29/1000</f>
        <v>0</v>
      </c>
      <c r="G29" s="85">
        <f>STATS1003B!G29/1000</f>
        <v>0</v>
      </c>
      <c r="H29" s="85">
        <f>STATS1003B!H29/1000</f>
        <v>0</v>
      </c>
      <c r="I29" s="85">
        <f>STATS1003B!I29/1000</f>
        <v>0</v>
      </c>
      <c r="J29" s="85">
        <f>STATS1003B!J29/1000</f>
        <v>0</v>
      </c>
      <c r="K29" s="85">
        <f>STATS1003B!K29/1000</f>
        <v>0</v>
      </c>
      <c r="L29" s="85">
        <f>STATS1003B!L29/1000</f>
        <v>0</v>
      </c>
      <c r="M29" s="85">
        <f>STATS1003B!M29/1000</f>
        <v>0</v>
      </c>
      <c r="N29" s="85">
        <f>STATS1003B!N29/1000</f>
        <v>2306.1060000000002</v>
      </c>
      <c r="O29" s="85">
        <f>STATS1003B!O29/1000</f>
        <v>0</v>
      </c>
      <c r="P29" s="85">
        <f>STATS1003B!P29/1000</f>
        <v>2306.1060000000002</v>
      </c>
      <c r="Q29" s="85">
        <f>STATS1003B!Q29/1000</f>
        <v>0</v>
      </c>
      <c r="R29" s="85">
        <f>STATS1003B!R29/1000</f>
        <v>0</v>
      </c>
      <c r="S29" s="85">
        <f>STATS1003B!S29/1000</f>
        <v>0</v>
      </c>
      <c r="T29" s="85">
        <f>STATS1003B!T29/1000</f>
        <v>0</v>
      </c>
      <c r="U29" s="85">
        <f>STATS1003B!U29/1000</f>
        <v>2306.1060000000002</v>
      </c>
      <c r="V29" s="85">
        <f>STATS1003B!V29/1000</f>
        <v>2306.1060000000002</v>
      </c>
      <c r="W29" s="85">
        <f>STATS1003B!W29/1000</f>
        <v>0</v>
      </c>
      <c r="X29" s="85">
        <f>STATS1003B!X29/1000</f>
        <v>2306.1060000000002</v>
      </c>
      <c r="Y29" s="85">
        <f>STATS1003B!Y29/1000</f>
        <v>0</v>
      </c>
      <c r="Z29" s="85">
        <f>STATS1003B!Z29/1000</f>
        <v>0</v>
      </c>
      <c r="AA29" s="69">
        <f>STATS1003B!AA29/1000</f>
        <v>2306.1060000000002</v>
      </c>
      <c r="AB29" s="69">
        <f>STATS1003B!AB29/1000</f>
        <v>0</v>
      </c>
    </row>
    <row r="30" spans="1:28" hidden="1" x14ac:dyDescent="0.3">
      <c r="A30" s="117"/>
      <c r="C30" s="68" t="s">
        <v>69</v>
      </c>
      <c r="D30" s="145" t="s">
        <v>54</v>
      </c>
      <c r="E30" s="85">
        <f>STATS1003B!E30/1000</f>
        <v>955.34561999999994</v>
      </c>
      <c r="F30" s="85">
        <f>STATS1003B!F30/1000</f>
        <v>0</v>
      </c>
      <c r="G30" s="85">
        <f>STATS1003B!G30/1000</f>
        <v>0</v>
      </c>
      <c r="H30" s="85">
        <f>STATS1003B!H30/1000</f>
        <v>0</v>
      </c>
      <c r="I30" s="85">
        <f>STATS1003B!I30/1000</f>
        <v>0</v>
      </c>
      <c r="J30" s="85">
        <f>STATS1003B!J30/1000</f>
        <v>0</v>
      </c>
      <c r="K30" s="85">
        <f>STATS1003B!K30/1000</f>
        <v>0</v>
      </c>
      <c r="L30" s="85">
        <f>STATS1003B!L30/1000</f>
        <v>0</v>
      </c>
      <c r="M30" s="85">
        <f>STATS1003B!M30/1000</f>
        <v>0</v>
      </c>
      <c r="N30" s="85">
        <f>STATS1003B!N30/1000</f>
        <v>955.34561999999994</v>
      </c>
      <c r="O30" s="85">
        <f>STATS1003B!O30/1000</f>
        <v>0</v>
      </c>
      <c r="P30" s="85">
        <f>STATS1003B!P30/1000</f>
        <v>955.34561999999994</v>
      </c>
      <c r="Q30" s="85">
        <f>STATS1003B!Q30/1000</f>
        <v>0</v>
      </c>
      <c r="R30" s="85">
        <f>STATS1003B!R30/1000</f>
        <v>0</v>
      </c>
      <c r="S30" s="85">
        <f>STATS1003B!S30/1000</f>
        <v>0</v>
      </c>
      <c r="T30" s="85">
        <f>STATS1003B!T30/1000</f>
        <v>0</v>
      </c>
      <c r="U30" s="85">
        <f>STATS1003B!U30/1000</f>
        <v>955.34561999999994</v>
      </c>
      <c r="V30" s="85">
        <f>STATS1003B!V30/1000</f>
        <v>955.34561999999994</v>
      </c>
      <c r="W30" s="85">
        <f>STATS1003B!W30/1000</f>
        <v>0</v>
      </c>
      <c r="X30" s="85">
        <f>STATS1003B!X30/1000</f>
        <v>955.34561999999994</v>
      </c>
      <c r="Y30" s="85">
        <f>STATS1003B!Y30/1000</f>
        <v>0</v>
      </c>
      <c r="Z30" s="85">
        <f>STATS1003B!Z30/1000</f>
        <v>0</v>
      </c>
      <c r="AA30" s="69">
        <f>STATS1003B!AA30/1000</f>
        <v>955.34561999999994</v>
      </c>
      <c r="AB30" s="69">
        <f>STATS1003B!AB30/1000</f>
        <v>0</v>
      </c>
    </row>
    <row r="31" spans="1:28" hidden="1" x14ac:dyDescent="0.3">
      <c r="A31" s="117"/>
      <c r="C31" s="68" t="s">
        <v>57</v>
      </c>
      <c r="D31" s="145" t="s">
        <v>58</v>
      </c>
      <c r="E31" s="85">
        <f>STATS1003B!E31/1000</f>
        <v>2873.84</v>
      </c>
      <c r="F31" s="85">
        <f>STATS1003B!F31/1000</f>
        <v>2873.84</v>
      </c>
      <c r="G31" s="85">
        <f>STATS1003B!G31/1000</f>
        <v>0</v>
      </c>
      <c r="H31" s="85">
        <f>STATS1003B!H31/1000</f>
        <v>2873.84</v>
      </c>
      <c r="I31" s="85">
        <f>STATS1003B!I31/1000</f>
        <v>0</v>
      </c>
      <c r="J31" s="85">
        <f>STATS1003B!J31/1000</f>
        <v>0</v>
      </c>
      <c r="K31" s="85">
        <f>STATS1003B!K31/1000</f>
        <v>0</v>
      </c>
      <c r="L31" s="85">
        <f>STATS1003B!L31/1000</f>
        <v>0</v>
      </c>
      <c r="M31" s="85">
        <f>STATS1003B!M31/1000</f>
        <v>2873.84</v>
      </c>
      <c r="N31" s="85">
        <f>STATS1003B!N31/1000</f>
        <v>0</v>
      </c>
      <c r="O31" s="85">
        <f>STATS1003B!O31/1000</f>
        <v>0</v>
      </c>
      <c r="P31" s="85">
        <f>STATS1003B!P31/1000</f>
        <v>0</v>
      </c>
      <c r="Q31" s="85">
        <f>STATS1003B!Q31/1000</f>
        <v>0</v>
      </c>
      <c r="R31" s="85">
        <f>STATS1003B!R31/1000</f>
        <v>0</v>
      </c>
      <c r="S31" s="85">
        <f>STATS1003B!S31/1000</f>
        <v>0</v>
      </c>
      <c r="T31" s="85">
        <f>STATS1003B!T31/1000</f>
        <v>0</v>
      </c>
      <c r="U31" s="85">
        <f>STATS1003B!U31/1000</f>
        <v>0</v>
      </c>
      <c r="V31" s="85">
        <f>STATS1003B!V31/1000</f>
        <v>2873.84</v>
      </c>
      <c r="W31" s="85">
        <f>STATS1003B!W31/1000</f>
        <v>0</v>
      </c>
      <c r="X31" s="85">
        <f>STATS1003B!X31/1000</f>
        <v>2873.84</v>
      </c>
      <c r="Y31" s="85">
        <f>STATS1003B!Y31/1000</f>
        <v>0</v>
      </c>
      <c r="Z31" s="85">
        <f>STATS1003B!Z31/1000</f>
        <v>0</v>
      </c>
      <c r="AA31" s="69">
        <f>STATS1003B!AA31/1000</f>
        <v>2873.84</v>
      </c>
      <c r="AB31" s="69">
        <f>STATS1003B!AB31/1000</f>
        <v>0</v>
      </c>
    </row>
    <row r="32" spans="1:28" hidden="1" x14ac:dyDescent="0.3">
      <c r="A32" s="117"/>
      <c r="C32" s="68" t="s">
        <v>57</v>
      </c>
      <c r="D32" s="145" t="s">
        <v>60</v>
      </c>
      <c r="E32" s="85">
        <f>STATS1003B!E32/1000</f>
        <v>3140.98695</v>
      </c>
      <c r="F32" s="85">
        <f>STATS1003B!F32/1000</f>
        <v>3140.98695</v>
      </c>
      <c r="G32" s="85">
        <f>STATS1003B!G32/1000</f>
        <v>0</v>
      </c>
      <c r="H32" s="85">
        <f>STATS1003B!H32/1000</f>
        <v>3140.98695</v>
      </c>
      <c r="I32" s="85">
        <f>STATS1003B!I32/1000</f>
        <v>0</v>
      </c>
      <c r="J32" s="85">
        <f>STATS1003B!J32/1000</f>
        <v>0</v>
      </c>
      <c r="K32" s="85">
        <f>STATS1003B!K32/1000</f>
        <v>0</v>
      </c>
      <c r="L32" s="85">
        <f>STATS1003B!L32/1000</f>
        <v>0</v>
      </c>
      <c r="M32" s="85">
        <f>STATS1003B!M32/1000</f>
        <v>3140.98695</v>
      </c>
      <c r="N32" s="85">
        <f>STATS1003B!N32/1000</f>
        <v>0</v>
      </c>
      <c r="O32" s="85">
        <f>STATS1003B!O32/1000</f>
        <v>0</v>
      </c>
      <c r="P32" s="85">
        <f>STATS1003B!P32/1000</f>
        <v>0</v>
      </c>
      <c r="Q32" s="85">
        <f>STATS1003B!Q32/1000</f>
        <v>0</v>
      </c>
      <c r="R32" s="85">
        <f>STATS1003B!R32/1000</f>
        <v>0</v>
      </c>
      <c r="S32" s="85">
        <f>STATS1003B!S32/1000</f>
        <v>0</v>
      </c>
      <c r="T32" s="85">
        <f>STATS1003B!T32/1000</f>
        <v>0</v>
      </c>
      <c r="U32" s="85">
        <f>STATS1003B!U32/1000</f>
        <v>0</v>
      </c>
      <c r="V32" s="85">
        <f>STATS1003B!V32/1000</f>
        <v>3140.98695</v>
      </c>
      <c r="W32" s="85">
        <f>STATS1003B!W32/1000</f>
        <v>0</v>
      </c>
      <c r="X32" s="85">
        <f>STATS1003B!X32/1000</f>
        <v>3140.98695</v>
      </c>
      <c r="Y32" s="85">
        <f>STATS1003B!Y32/1000</f>
        <v>0</v>
      </c>
      <c r="Z32" s="85">
        <f>STATS1003B!Z32/1000</f>
        <v>0</v>
      </c>
      <c r="AA32" s="69">
        <f>STATS1003B!AA32/1000</f>
        <v>3140.98695</v>
      </c>
      <c r="AB32" s="69">
        <f>STATS1003B!AB32/1000</f>
        <v>0</v>
      </c>
    </row>
    <row r="33" spans="1:28" hidden="1" x14ac:dyDescent="0.3">
      <c r="A33" s="117"/>
      <c r="C33" s="71" t="s">
        <v>59</v>
      </c>
      <c r="D33" s="145" t="s">
        <v>60</v>
      </c>
      <c r="E33" s="85">
        <f>STATS1003B!E33/1000</f>
        <v>2500</v>
      </c>
      <c r="F33" s="85">
        <f>STATS1003B!F33/1000</f>
        <v>2500</v>
      </c>
      <c r="G33" s="85">
        <f>STATS1003B!G33/1000</f>
        <v>0</v>
      </c>
      <c r="H33" s="85">
        <f>STATS1003B!H33/1000</f>
        <v>2500</v>
      </c>
      <c r="I33" s="85">
        <f>STATS1003B!I33/1000</f>
        <v>0</v>
      </c>
      <c r="J33" s="85">
        <f>STATS1003B!J33/1000</f>
        <v>0</v>
      </c>
      <c r="K33" s="85">
        <f>STATS1003B!K33/1000</f>
        <v>0</v>
      </c>
      <c r="L33" s="85">
        <f>STATS1003B!L33/1000</f>
        <v>0</v>
      </c>
      <c r="M33" s="85">
        <f>STATS1003B!M33/1000</f>
        <v>2500</v>
      </c>
      <c r="N33" s="85">
        <f>STATS1003B!N33/1000</f>
        <v>0</v>
      </c>
      <c r="O33" s="85">
        <f>STATS1003B!O33/1000</f>
        <v>0</v>
      </c>
      <c r="P33" s="85">
        <f>STATS1003B!P33/1000</f>
        <v>0</v>
      </c>
      <c r="Q33" s="85">
        <f>STATS1003B!Q33/1000</f>
        <v>0</v>
      </c>
      <c r="R33" s="85">
        <f>STATS1003B!R33/1000</f>
        <v>0</v>
      </c>
      <c r="S33" s="85">
        <f>STATS1003B!S33/1000</f>
        <v>0</v>
      </c>
      <c r="T33" s="85">
        <f>STATS1003B!T33/1000</f>
        <v>0</v>
      </c>
      <c r="U33" s="85">
        <f>STATS1003B!U33/1000</f>
        <v>0</v>
      </c>
      <c r="V33" s="85">
        <f>STATS1003B!V33/1000</f>
        <v>2500</v>
      </c>
      <c r="W33" s="85">
        <f>STATS1003B!W33/1000</f>
        <v>0</v>
      </c>
      <c r="X33" s="85">
        <f>STATS1003B!X33/1000</f>
        <v>2500</v>
      </c>
      <c r="Y33" s="85">
        <f>STATS1003B!Y33/1000</f>
        <v>0</v>
      </c>
      <c r="Z33" s="85">
        <f>STATS1003B!Z33/1000</f>
        <v>0</v>
      </c>
      <c r="AA33" s="69">
        <f>STATS1003B!AA33/1000</f>
        <v>2500</v>
      </c>
      <c r="AB33" s="69">
        <f>STATS1003B!AB33/1000</f>
        <v>0</v>
      </c>
    </row>
    <row r="34" spans="1:28" hidden="1" x14ac:dyDescent="0.3">
      <c r="A34" s="117"/>
      <c r="C34" s="68" t="s">
        <v>62</v>
      </c>
      <c r="E34" s="85">
        <f>STATS1003B!E34/1000</f>
        <v>285.5</v>
      </c>
      <c r="F34" s="85">
        <f>STATS1003B!F34/1000</f>
        <v>285.5</v>
      </c>
      <c r="G34" s="85">
        <f>STATS1003B!G34/1000</f>
        <v>0</v>
      </c>
      <c r="H34" s="85">
        <f>STATS1003B!H34/1000</f>
        <v>285.5</v>
      </c>
      <c r="I34" s="85">
        <f>STATS1003B!I34/1000</f>
        <v>0</v>
      </c>
      <c r="J34" s="85">
        <f>STATS1003B!J34/1000</f>
        <v>0</v>
      </c>
      <c r="K34" s="85">
        <f>STATS1003B!K34/1000</f>
        <v>0</v>
      </c>
      <c r="L34" s="85">
        <f>STATS1003B!L34/1000</f>
        <v>0</v>
      </c>
      <c r="M34" s="85">
        <f>STATS1003B!M34/1000</f>
        <v>285.5</v>
      </c>
      <c r="N34" s="85">
        <f>STATS1003B!N34/1000</f>
        <v>0</v>
      </c>
      <c r="O34" s="85">
        <f>STATS1003B!O34/1000</f>
        <v>0</v>
      </c>
      <c r="P34" s="85">
        <f>STATS1003B!P34/1000</f>
        <v>0</v>
      </c>
      <c r="Q34" s="85">
        <f>STATS1003B!Q34/1000</f>
        <v>0</v>
      </c>
      <c r="R34" s="85">
        <f>STATS1003B!R34/1000</f>
        <v>0</v>
      </c>
      <c r="S34" s="85">
        <f>STATS1003B!S34/1000</f>
        <v>0</v>
      </c>
      <c r="T34" s="85">
        <f>STATS1003B!T34/1000</f>
        <v>0</v>
      </c>
      <c r="U34" s="85">
        <f>STATS1003B!U34/1000</f>
        <v>0</v>
      </c>
      <c r="V34" s="85">
        <f>STATS1003B!V34/1000</f>
        <v>285.5</v>
      </c>
      <c r="W34" s="85">
        <f>STATS1003B!W34/1000</f>
        <v>0</v>
      </c>
      <c r="X34" s="85">
        <f>STATS1003B!X34/1000</f>
        <v>285.5</v>
      </c>
      <c r="Y34" s="85">
        <f>STATS1003B!Y34/1000</f>
        <v>0</v>
      </c>
      <c r="Z34" s="85">
        <f>STATS1003B!Z34/1000</f>
        <v>0</v>
      </c>
      <c r="AA34" s="69">
        <f>STATS1003B!AA34/1000</f>
        <v>285.5</v>
      </c>
      <c r="AB34" s="69">
        <f>STATS1003B!AB34/1000</f>
        <v>0</v>
      </c>
    </row>
    <row r="35" spans="1:28" hidden="1" x14ac:dyDescent="0.3">
      <c r="A35" s="117"/>
      <c r="C35" s="68" t="s">
        <v>70</v>
      </c>
      <c r="D35" s="68" t="s">
        <v>71</v>
      </c>
      <c r="E35" s="85">
        <f>STATS1003B!E35/1000</f>
        <v>3091</v>
      </c>
      <c r="F35" s="85">
        <f>STATS1003B!F35/1000</f>
        <v>3091</v>
      </c>
      <c r="G35" s="85">
        <f>STATS1003B!G35/1000</f>
        <v>0</v>
      </c>
      <c r="H35" s="85">
        <f>STATS1003B!H35/1000</f>
        <v>3091</v>
      </c>
      <c r="I35" s="85">
        <f>STATS1003B!I35/1000</f>
        <v>0</v>
      </c>
      <c r="J35" s="85">
        <f>STATS1003B!J35/1000</f>
        <v>0</v>
      </c>
      <c r="K35" s="85">
        <f>STATS1003B!K35/1000</f>
        <v>0</v>
      </c>
      <c r="L35" s="85">
        <f>STATS1003B!L35/1000</f>
        <v>0</v>
      </c>
      <c r="M35" s="85">
        <f>STATS1003B!M35/1000</f>
        <v>3091</v>
      </c>
      <c r="N35" s="85">
        <f>STATS1003B!N35/1000</f>
        <v>0</v>
      </c>
      <c r="O35" s="85">
        <f>STATS1003B!O35/1000</f>
        <v>0</v>
      </c>
      <c r="P35" s="85">
        <f>STATS1003B!P35/1000</f>
        <v>0</v>
      </c>
      <c r="Q35" s="85">
        <f>STATS1003B!Q35/1000</f>
        <v>0</v>
      </c>
      <c r="R35" s="85">
        <f>STATS1003B!R35/1000</f>
        <v>0</v>
      </c>
      <c r="S35" s="85">
        <f>STATS1003B!S35/1000</f>
        <v>0</v>
      </c>
      <c r="T35" s="85">
        <f>STATS1003B!T35/1000</f>
        <v>0</v>
      </c>
      <c r="U35" s="85">
        <f>STATS1003B!U35/1000</f>
        <v>0</v>
      </c>
      <c r="V35" s="85">
        <f>STATS1003B!V35/1000</f>
        <v>3091</v>
      </c>
      <c r="W35" s="85">
        <f>STATS1003B!W35/1000</f>
        <v>0</v>
      </c>
      <c r="X35" s="85">
        <f>STATS1003B!X35/1000</f>
        <v>3091</v>
      </c>
      <c r="Y35" s="85">
        <f>STATS1003B!Y35/1000</f>
        <v>0</v>
      </c>
      <c r="Z35" s="85">
        <f>STATS1003B!Z35/1000</f>
        <v>0</v>
      </c>
      <c r="AA35" s="69">
        <f>STATS1003B!AA35/1000</f>
        <v>3091</v>
      </c>
      <c r="AB35" s="69">
        <f>STATS1003B!AB35/1000</f>
        <v>0</v>
      </c>
    </row>
    <row r="36" spans="1:28" hidden="1" x14ac:dyDescent="0.3">
      <c r="A36" s="117"/>
      <c r="C36" s="71" t="s">
        <v>72</v>
      </c>
      <c r="D36" s="88" t="s">
        <v>60</v>
      </c>
      <c r="E36" s="85">
        <f>STATS1003B!E36/1000</f>
        <v>800</v>
      </c>
      <c r="F36" s="85">
        <f>STATS1003B!F36/1000</f>
        <v>800</v>
      </c>
      <c r="G36" s="85">
        <f>STATS1003B!G36/1000</f>
        <v>0</v>
      </c>
      <c r="H36" s="85">
        <f>STATS1003B!H36/1000</f>
        <v>800</v>
      </c>
      <c r="I36" s="85">
        <f>STATS1003B!I36/1000</f>
        <v>0</v>
      </c>
      <c r="J36" s="85">
        <f>STATS1003B!J36/1000</f>
        <v>0</v>
      </c>
      <c r="K36" s="85">
        <f>STATS1003B!K36/1000</f>
        <v>0</v>
      </c>
      <c r="L36" s="85">
        <f>STATS1003B!L36/1000</f>
        <v>0</v>
      </c>
      <c r="M36" s="85">
        <f>STATS1003B!M36/1000</f>
        <v>800</v>
      </c>
      <c r="N36" s="85">
        <f>STATS1003B!N36/1000</f>
        <v>0</v>
      </c>
      <c r="O36" s="85">
        <f>STATS1003B!O36/1000</f>
        <v>0</v>
      </c>
      <c r="P36" s="85">
        <f>STATS1003B!P36/1000</f>
        <v>0</v>
      </c>
      <c r="Q36" s="85">
        <f>STATS1003B!Q36/1000</f>
        <v>0</v>
      </c>
      <c r="R36" s="85">
        <f>STATS1003B!R36/1000</f>
        <v>0</v>
      </c>
      <c r="S36" s="85">
        <f>STATS1003B!S36/1000</f>
        <v>0</v>
      </c>
      <c r="T36" s="85">
        <f>STATS1003B!T36/1000</f>
        <v>0</v>
      </c>
      <c r="U36" s="85">
        <f>STATS1003B!U36/1000</f>
        <v>0</v>
      </c>
      <c r="V36" s="85">
        <f>STATS1003B!V36/1000</f>
        <v>800</v>
      </c>
      <c r="W36" s="85">
        <f>STATS1003B!W36/1000</f>
        <v>0</v>
      </c>
      <c r="X36" s="85">
        <f>STATS1003B!X36/1000</f>
        <v>800</v>
      </c>
      <c r="Y36" s="85">
        <f>STATS1003B!Y36/1000</f>
        <v>0</v>
      </c>
      <c r="Z36" s="85">
        <f>STATS1003B!Z36/1000</f>
        <v>0</v>
      </c>
      <c r="AA36" s="69">
        <f>STATS1003B!AA36/1000</f>
        <v>800</v>
      </c>
      <c r="AB36" s="69">
        <f>STATS1003B!AB36/1000</f>
        <v>0</v>
      </c>
    </row>
    <row r="37" spans="1:28" hidden="1" x14ac:dyDescent="0.3">
      <c r="A37" s="117"/>
      <c r="C37" s="71" t="s">
        <v>1135</v>
      </c>
      <c r="D37" s="89" t="s">
        <v>1126</v>
      </c>
      <c r="E37" s="85">
        <f>STATS1003B!E37/1000</f>
        <v>800</v>
      </c>
      <c r="F37" s="85">
        <f>STATS1003B!F37/1000</f>
        <v>800</v>
      </c>
      <c r="G37" s="85">
        <f>STATS1003B!G37/1000</f>
        <v>0</v>
      </c>
      <c r="H37" s="85">
        <f>STATS1003B!H37/1000</f>
        <v>800</v>
      </c>
      <c r="I37" s="85">
        <f>STATS1003B!I37/1000</f>
        <v>0</v>
      </c>
      <c r="J37" s="85">
        <f>STATS1003B!J37/1000</f>
        <v>0</v>
      </c>
      <c r="K37" s="85">
        <f>STATS1003B!K37/1000</f>
        <v>0</v>
      </c>
      <c r="L37" s="85">
        <f>STATS1003B!L37/1000</f>
        <v>0</v>
      </c>
      <c r="M37" s="85">
        <f>STATS1003B!M37/1000</f>
        <v>800</v>
      </c>
      <c r="N37" s="85">
        <f>STATS1003B!N37/1000</f>
        <v>0</v>
      </c>
      <c r="O37" s="85">
        <f>STATS1003B!O37/1000</f>
        <v>0</v>
      </c>
      <c r="P37" s="85">
        <f>STATS1003B!P37/1000</f>
        <v>0</v>
      </c>
      <c r="Q37" s="85">
        <f>STATS1003B!Q37/1000</f>
        <v>0</v>
      </c>
      <c r="R37" s="85">
        <f>STATS1003B!R37/1000</f>
        <v>0</v>
      </c>
      <c r="S37" s="85">
        <f>STATS1003B!S37/1000</f>
        <v>0</v>
      </c>
      <c r="T37" s="85">
        <f>STATS1003B!T37/1000</f>
        <v>0</v>
      </c>
      <c r="U37" s="85">
        <f>STATS1003B!U37/1000</f>
        <v>0</v>
      </c>
      <c r="V37" s="85">
        <f>STATS1003B!V37/1000</f>
        <v>800</v>
      </c>
      <c r="W37" s="85">
        <f>STATS1003B!W37/1000</f>
        <v>0</v>
      </c>
      <c r="X37" s="85">
        <f>STATS1003B!X37/1000</f>
        <v>800</v>
      </c>
      <c r="Y37" s="85">
        <f>STATS1003B!Y37/1000</f>
        <v>0</v>
      </c>
      <c r="Z37" s="85">
        <f>STATS1003B!Z37/1000</f>
        <v>0</v>
      </c>
      <c r="AA37" s="69">
        <f>STATS1003B!AA37/1000</f>
        <v>800</v>
      </c>
      <c r="AB37" s="69">
        <f>STATS1003B!AB37/1000</f>
        <v>0</v>
      </c>
    </row>
    <row r="38" spans="1:28" hidden="1" x14ac:dyDescent="0.3">
      <c r="A38" s="117"/>
      <c r="C38" s="71" t="s">
        <v>1152</v>
      </c>
      <c r="D38" s="89" t="s">
        <v>1126</v>
      </c>
      <c r="E38" s="85">
        <f>STATS1003B!E38/1000</f>
        <v>400</v>
      </c>
      <c r="F38" s="85">
        <f>STATS1003B!F38/1000</f>
        <v>400</v>
      </c>
      <c r="G38" s="85">
        <f>STATS1003B!G38/1000</f>
        <v>0</v>
      </c>
      <c r="H38" s="85">
        <f>STATS1003B!H38/1000</f>
        <v>400</v>
      </c>
      <c r="I38" s="85">
        <f>STATS1003B!I38/1000</f>
        <v>0</v>
      </c>
      <c r="J38" s="85">
        <f>STATS1003B!J38/1000</f>
        <v>0</v>
      </c>
      <c r="K38" s="85">
        <f>STATS1003B!K38/1000</f>
        <v>0</v>
      </c>
      <c r="L38" s="85">
        <f>STATS1003B!L38/1000</f>
        <v>0</v>
      </c>
      <c r="M38" s="85">
        <f>STATS1003B!M38/1000</f>
        <v>400</v>
      </c>
      <c r="N38" s="85">
        <f>STATS1003B!N38/1000</f>
        <v>0</v>
      </c>
      <c r="O38" s="85">
        <f>STATS1003B!O38/1000</f>
        <v>0</v>
      </c>
      <c r="P38" s="85">
        <f>STATS1003B!P38/1000</f>
        <v>0</v>
      </c>
      <c r="Q38" s="85">
        <f>STATS1003B!Q38/1000</f>
        <v>0</v>
      </c>
      <c r="R38" s="85">
        <f>STATS1003B!R38/1000</f>
        <v>0</v>
      </c>
      <c r="S38" s="85">
        <f>STATS1003B!S38/1000</f>
        <v>0</v>
      </c>
      <c r="T38" s="85">
        <f>STATS1003B!T38/1000</f>
        <v>0</v>
      </c>
      <c r="U38" s="85">
        <f>STATS1003B!U38/1000</f>
        <v>0</v>
      </c>
      <c r="V38" s="85">
        <f>STATS1003B!V38/1000</f>
        <v>400</v>
      </c>
      <c r="W38" s="85">
        <f>STATS1003B!W38/1000</f>
        <v>0</v>
      </c>
      <c r="X38" s="85">
        <f>STATS1003B!X38/1000</f>
        <v>400</v>
      </c>
      <c r="Y38" s="85">
        <f>STATS1003B!Y38/1000</f>
        <v>0</v>
      </c>
      <c r="Z38" s="85">
        <f>STATS1003B!Z38/1000</f>
        <v>0</v>
      </c>
      <c r="AA38" s="69">
        <f>STATS1003B!AA38/1000</f>
        <v>400</v>
      </c>
      <c r="AB38" s="69">
        <f>STATS1003B!AB38/1000</f>
        <v>0</v>
      </c>
    </row>
    <row r="39" spans="1:28" hidden="1" x14ac:dyDescent="0.3">
      <c r="A39" s="117"/>
      <c r="C39" s="71" t="s">
        <v>930</v>
      </c>
      <c r="D39" s="88"/>
      <c r="E39" s="85">
        <f>STATS1003B!E39/1000</f>
        <v>4320.8198300000004</v>
      </c>
      <c r="F39" s="85">
        <f>STATS1003B!F39/1000</f>
        <v>4320.8198300000004</v>
      </c>
      <c r="G39" s="85">
        <f>STATS1003B!G39/1000</f>
        <v>0</v>
      </c>
      <c r="H39" s="85">
        <f>STATS1003B!H39/1000</f>
        <v>4320.8198300000004</v>
      </c>
      <c r="I39" s="85">
        <f>STATS1003B!I39/1000</f>
        <v>0</v>
      </c>
      <c r="J39" s="85">
        <f>STATS1003B!J39/1000</f>
        <v>0</v>
      </c>
      <c r="K39" s="85">
        <f>STATS1003B!K39/1000</f>
        <v>0</v>
      </c>
      <c r="L39" s="85">
        <f>STATS1003B!L39/1000</f>
        <v>0</v>
      </c>
      <c r="M39" s="85">
        <f>STATS1003B!M39/1000</f>
        <v>4320.8198300000004</v>
      </c>
      <c r="N39" s="85">
        <f>STATS1003B!N39/1000</f>
        <v>0</v>
      </c>
      <c r="O39" s="85">
        <f>STATS1003B!O39/1000</f>
        <v>0</v>
      </c>
      <c r="P39" s="85">
        <f>STATS1003B!P39/1000</f>
        <v>0</v>
      </c>
      <c r="Q39" s="85">
        <f>STATS1003B!Q39/1000</f>
        <v>0</v>
      </c>
      <c r="R39" s="85">
        <f>STATS1003B!R39/1000</f>
        <v>0</v>
      </c>
      <c r="S39" s="85">
        <f>STATS1003B!S39/1000</f>
        <v>0</v>
      </c>
      <c r="T39" s="85">
        <f>STATS1003B!T39/1000</f>
        <v>0</v>
      </c>
      <c r="U39" s="85">
        <f>STATS1003B!U39/1000</f>
        <v>0</v>
      </c>
      <c r="V39" s="85">
        <f>STATS1003B!V39/1000</f>
        <v>4320.8198300000004</v>
      </c>
      <c r="W39" s="85">
        <f>STATS1003B!W39/1000</f>
        <v>0</v>
      </c>
      <c r="X39" s="85">
        <f>STATS1003B!X39/1000</f>
        <v>4320.8198300000004</v>
      </c>
      <c r="Y39" s="85">
        <f>STATS1003B!Y39/1000</f>
        <v>0</v>
      </c>
      <c r="Z39" s="85">
        <f>STATS1003B!Z39/1000</f>
        <v>0</v>
      </c>
      <c r="AA39" s="69">
        <f>STATS1003B!AA39/1000</f>
        <v>4320.8198300000004</v>
      </c>
      <c r="AB39" s="69">
        <f>STATS1003B!AB39/1000</f>
        <v>0</v>
      </c>
    </row>
    <row r="40" spans="1:28" hidden="1" x14ac:dyDescent="0.3">
      <c r="A40" s="117"/>
      <c r="C40" s="71" t="s">
        <v>1176</v>
      </c>
      <c r="D40" s="89" t="s">
        <v>1126</v>
      </c>
      <c r="E40" s="85">
        <f>STATS1003B!E40/1000</f>
        <v>1640.5525</v>
      </c>
      <c r="F40" s="85">
        <f>STATS1003B!F40/1000</f>
        <v>1640.5525</v>
      </c>
      <c r="G40" s="85">
        <f>STATS1003B!G40/1000</f>
        <v>0</v>
      </c>
      <c r="H40" s="85">
        <f>STATS1003B!H40/1000</f>
        <v>1640.5525</v>
      </c>
      <c r="I40" s="85">
        <f>STATS1003B!I40/1000</f>
        <v>0</v>
      </c>
      <c r="J40" s="85">
        <f>STATS1003B!J40/1000</f>
        <v>0</v>
      </c>
      <c r="K40" s="85">
        <f>STATS1003B!K40/1000</f>
        <v>0</v>
      </c>
      <c r="L40" s="85">
        <f>STATS1003B!L40/1000</f>
        <v>0</v>
      </c>
      <c r="M40" s="85">
        <f>STATS1003B!M40/1000</f>
        <v>1640.5525</v>
      </c>
      <c r="N40" s="85">
        <f>STATS1003B!N40/1000</f>
        <v>0</v>
      </c>
      <c r="O40" s="85">
        <f>STATS1003B!O40/1000</f>
        <v>0</v>
      </c>
      <c r="P40" s="85">
        <f>STATS1003B!P40/1000</f>
        <v>0</v>
      </c>
      <c r="Q40" s="85">
        <f>STATS1003B!Q40/1000</f>
        <v>0</v>
      </c>
      <c r="R40" s="85">
        <f>STATS1003B!R40/1000</f>
        <v>0</v>
      </c>
      <c r="S40" s="85">
        <f>STATS1003B!S40/1000</f>
        <v>0</v>
      </c>
      <c r="T40" s="85">
        <f>STATS1003B!T40/1000</f>
        <v>0</v>
      </c>
      <c r="U40" s="85">
        <f>STATS1003B!U40/1000</f>
        <v>0</v>
      </c>
      <c r="V40" s="85">
        <f>STATS1003B!V40/1000</f>
        <v>1640.5525</v>
      </c>
      <c r="W40" s="85">
        <f>STATS1003B!W40/1000</f>
        <v>0</v>
      </c>
      <c r="X40" s="85">
        <f>STATS1003B!X40/1000</f>
        <v>1640.5525</v>
      </c>
      <c r="Y40" s="85">
        <f>STATS1003B!Y40/1000</f>
        <v>0</v>
      </c>
      <c r="Z40" s="85">
        <f>STATS1003B!Z40/1000</f>
        <v>0</v>
      </c>
      <c r="AA40" s="69">
        <f>STATS1003B!AA40/1000</f>
        <v>1640.5525</v>
      </c>
      <c r="AB40" s="69">
        <f>STATS1003B!AB40/1000</f>
        <v>0</v>
      </c>
    </row>
    <row r="41" spans="1:28" hidden="1" x14ac:dyDescent="0.3">
      <c r="A41" s="117"/>
      <c r="C41" s="71" t="s">
        <v>1084</v>
      </c>
      <c r="D41" s="89" t="s">
        <v>1072</v>
      </c>
      <c r="E41" s="85">
        <f>STATS1003B!E41/1000</f>
        <v>2010.3225400000001</v>
      </c>
      <c r="F41" s="85">
        <f>STATS1003B!F41/1000</f>
        <v>2010.3225400000001</v>
      </c>
      <c r="G41" s="85">
        <f>STATS1003B!G41/1000</f>
        <v>0</v>
      </c>
      <c r="H41" s="85">
        <f>STATS1003B!H41/1000</f>
        <v>2010.3225400000001</v>
      </c>
      <c r="I41" s="85">
        <f>STATS1003B!I41/1000</f>
        <v>0</v>
      </c>
      <c r="J41" s="85">
        <f>STATS1003B!J41/1000</f>
        <v>0</v>
      </c>
      <c r="K41" s="85">
        <f>STATS1003B!K41/1000</f>
        <v>0</v>
      </c>
      <c r="L41" s="85">
        <f>STATS1003B!L41/1000</f>
        <v>0</v>
      </c>
      <c r="M41" s="85">
        <f>STATS1003B!M41/1000</f>
        <v>2010.3225400000001</v>
      </c>
      <c r="N41" s="85">
        <f>STATS1003B!N41/1000</f>
        <v>0</v>
      </c>
      <c r="O41" s="85">
        <f>STATS1003B!O41/1000</f>
        <v>0</v>
      </c>
      <c r="P41" s="85">
        <f>STATS1003B!P41/1000</f>
        <v>0</v>
      </c>
      <c r="Q41" s="85">
        <f>STATS1003B!Q41/1000</f>
        <v>0</v>
      </c>
      <c r="R41" s="85">
        <f>STATS1003B!R41/1000</f>
        <v>0</v>
      </c>
      <c r="S41" s="85">
        <f>STATS1003B!S41/1000</f>
        <v>0</v>
      </c>
      <c r="T41" s="85">
        <f>STATS1003B!T41/1000</f>
        <v>0</v>
      </c>
      <c r="U41" s="85">
        <f>STATS1003B!U41/1000</f>
        <v>0</v>
      </c>
      <c r="V41" s="85">
        <f>STATS1003B!V41/1000</f>
        <v>2010.3225400000001</v>
      </c>
      <c r="W41" s="85">
        <f>STATS1003B!W41/1000</f>
        <v>0</v>
      </c>
      <c r="X41" s="85">
        <f>STATS1003B!X41/1000</f>
        <v>2010.3225400000001</v>
      </c>
      <c r="Y41" s="85">
        <f>STATS1003B!Y41/1000</f>
        <v>0</v>
      </c>
      <c r="Z41" s="85">
        <f>STATS1003B!Z41/1000</f>
        <v>0</v>
      </c>
      <c r="AA41" s="69">
        <f>STATS1003B!AA41/1000</f>
        <v>2010.3225400000001</v>
      </c>
      <c r="AB41" s="69">
        <f>STATS1003B!AB41/1000</f>
        <v>0</v>
      </c>
    </row>
    <row r="42" spans="1:28" hidden="1" x14ac:dyDescent="0.3">
      <c r="A42" s="117"/>
      <c r="C42" s="68" t="s">
        <v>57</v>
      </c>
      <c r="D42" s="145" t="s">
        <v>73</v>
      </c>
      <c r="E42" s="85">
        <f>STATS1003B!E42/1000</f>
        <v>2562.94</v>
      </c>
      <c r="F42" s="85">
        <f>STATS1003B!F42/1000</f>
        <v>2562.94</v>
      </c>
      <c r="G42" s="85">
        <f>STATS1003B!G42/1000</f>
        <v>0</v>
      </c>
      <c r="H42" s="85">
        <f>STATS1003B!H42/1000</f>
        <v>2562.94</v>
      </c>
      <c r="I42" s="85">
        <f>STATS1003B!I42/1000</f>
        <v>0</v>
      </c>
      <c r="J42" s="85">
        <f>STATS1003B!J42/1000</f>
        <v>0</v>
      </c>
      <c r="K42" s="85">
        <f>STATS1003B!K42/1000</f>
        <v>0</v>
      </c>
      <c r="L42" s="85">
        <f>STATS1003B!L42/1000</f>
        <v>0</v>
      </c>
      <c r="M42" s="85">
        <f>STATS1003B!M42/1000</f>
        <v>2562.94</v>
      </c>
      <c r="N42" s="85">
        <f>STATS1003B!N42/1000</f>
        <v>0</v>
      </c>
      <c r="O42" s="85">
        <f>STATS1003B!O42/1000</f>
        <v>0</v>
      </c>
      <c r="P42" s="85">
        <f>STATS1003B!P42/1000</f>
        <v>0</v>
      </c>
      <c r="Q42" s="85">
        <f>STATS1003B!Q42/1000</f>
        <v>0</v>
      </c>
      <c r="R42" s="85">
        <f>STATS1003B!R42/1000</f>
        <v>0</v>
      </c>
      <c r="S42" s="85">
        <f>STATS1003B!S42/1000</f>
        <v>0</v>
      </c>
      <c r="T42" s="85">
        <f>STATS1003B!T42/1000</f>
        <v>0</v>
      </c>
      <c r="U42" s="85">
        <f>STATS1003B!U42/1000</f>
        <v>0</v>
      </c>
      <c r="V42" s="85">
        <f>STATS1003B!V42/1000</f>
        <v>2562.94</v>
      </c>
      <c r="W42" s="85">
        <f>STATS1003B!W42/1000</f>
        <v>0</v>
      </c>
      <c r="X42" s="85">
        <f>STATS1003B!X42/1000</f>
        <v>2562.94</v>
      </c>
      <c r="Y42" s="85">
        <f>STATS1003B!Y42/1000</f>
        <v>0</v>
      </c>
      <c r="Z42" s="85">
        <f>STATS1003B!Z42/1000</f>
        <v>0</v>
      </c>
      <c r="AA42" s="69">
        <f>STATS1003B!AA42/1000</f>
        <v>2562.94</v>
      </c>
      <c r="AB42" s="69">
        <f>STATS1003B!AB42/1000</f>
        <v>0</v>
      </c>
    </row>
    <row r="43" spans="1:28" hidden="1" x14ac:dyDescent="0.3">
      <c r="A43" s="117"/>
      <c r="C43" s="68" t="s">
        <v>57</v>
      </c>
      <c r="D43" s="90" t="s">
        <v>61</v>
      </c>
      <c r="E43" s="85">
        <f>STATS1003B!E43/1000</f>
        <v>854.70309999999995</v>
      </c>
      <c r="F43" s="85">
        <f>STATS1003B!F43/1000</f>
        <v>854.70309999999995</v>
      </c>
      <c r="G43" s="85">
        <f>STATS1003B!G43/1000</f>
        <v>0</v>
      </c>
      <c r="H43" s="85">
        <f>STATS1003B!H43/1000</f>
        <v>854.70309999999995</v>
      </c>
      <c r="I43" s="85">
        <f>STATS1003B!I43/1000</f>
        <v>0</v>
      </c>
      <c r="J43" s="85">
        <f>STATS1003B!J43/1000</f>
        <v>0</v>
      </c>
      <c r="K43" s="85">
        <f>STATS1003B!K43/1000</f>
        <v>0</v>
      </c>
      <c r="L43" s="85">
        <f>STATS1003B!L43/1000</f>
        <v>0</v>
      </c>
      <c r="M43" s="85">
        <f>STATS1003B!M43/1000</f>
        <v>854.70309999999995</v>
      </c>
      <c r="N43" s="85">
        <f>STATS1003B!N43/1000</f>
        <v>0</v>
      </c>
      <c r="O43" s="85">
        <f>STATS1003B!O43/1000</f>
        <v>0</v>
      </c>
      <c r="P43" s="85">
        <f>STATS1003B!P43/1000</f>
        <v>0</v>
      </c>
      <c r="Q43" s="85">
        <f>STATS1003B!Q43/1000</f>
        <v>0</v>
      </c>
      <c r="R43" s="85">
        <f>STATS1003B!R43/1000</f>
        <v>0</v>
      </c>
      <c r="S43" s="85">
        <f>STATS1003B!S43/1000</f>
        <v>0</v>
      </c>
      <c r="T43" s="85">
        <f>STATS1003B!T43/1000</f>
        <v>0</v>
      </c>
      <c r="U43" s="85">
        <f>STATS1003B!U43/1000</f>
        <v>0</v>
      </c>
      <c r="V43" s="85">
        <f>STATS1003B!V43/1000</f>
        <v>854.70309999999995</v>
      </c>
      <c r="W43" s="85">
        <f>STATS1003B!W43/1000</f>
        <v>0</v>
      </c>
      <c r="X43" s="85">
        <f>STATS1003B!X43/1000</f>
        <v>854.70309999999995</v>
      </c>
      <c r="Y43" s="85">
        <f>STATS1003B!Y43/1000</f>
        <v>0</v>
      </c>
      <c r="Z43" s="85">
        <f>STATS1003B!Z43/1000</f>
        <v>0</v>
      </c>
      <c r="AA43" s="69">
        <f>STATS1003B!AA43/1000</f>
        <v>854.70309999999995</v>
      </c>
      <c r="AB43" s="69">
        <f>STATS1003B!AB43/1000</f>
        <v>0</v>
      </c>
    </row>
    <row r="44" spans="1:28" hidden="1" x14ac:dyDescent="0.3">
      <c r="A44" s="117"/>
      <c r="E44" s="86" t="s">
        <v>29</v>
      </c>
      <c r="F44" s="86" t="s">
        <v>29</v>
      </c>
      <c r="G44" s="86" t="s">
        <v>29</v>
      </c>
      <c r="H44" s="86" t="s">
        <v>29</v>
      </c>
      <c r="I44" s="86" t="s">
        <v>29</v>
      </c>
      <c r="J44" s="86" t="s">
        <v>29</v>
      </c>
      <c r="K44" s="86" t="s">
        <v>29</v>
      </c>
      <c r="L44" s="86" t="s">
        <v>29</v>
      </c>
      <c r="M44" s="86" t="s">
        <v>29</v>
      </c>
      <c r="N44" s="86" t="s">
        <v>29</v>
      </c>
      <c r="O44" s="86" t="s">
        <v>29</v>
      </c>
      <c r="P44" s="86" t="s">
        <v>29</v>
      </c>
      <c r="Q44" s="86" t="s">
        <v>29</v>
      </c>
      <c r="R44" s="86" t="s">
        <v>29</v>
      </c>
      <c r="S44" s="86" t="s">
        <v>29</v>
      </c>
      <c r="T44" s="86" t="s">
        <v>29</v>
      </c>
      <c r="U44" s="86" t="s">
        <v>29</v>
      </c>
      <c r="V44" s="86" t="s">
        <v>29</v>
      </c>
      <c r="W44" s="86" t="s">
        <v>29</v>
      </c>
      <c r="X44" s="86" t="s">
        <v>29</v>
      </c>
      <c r="Y44" s="86" t="s">
        <v>29</v>
      </c>
      <c r="Z44" s="86" t="s">
        <v>29</v>
      </c>
      <c r="AA44" s="115" t="s">
        <v>29</v>
      </c>
      <c r="AB44" s="115" t="s">
        <v>29</v>
      </c>
    </row>
    <row r="45" spans="1:28" x14ac:dyDescent="0.3">
      <c r="A45" s="116" t="s">
        <v>935</v>
      </c>
      <c r="B45" s="68" t="s">
        <v>63</v>
      </c>
      <c r="E45" s="85">
        <f>113085273.29/1000</f>
        <v>113085.27329000001</v>
      </c>
      <c r="F45" s="85">
        <f>SUM(F26:F43)</f>
        <v>34486.425220000005</v>
      </c>
      <c r="G45" s="85">
        <f>SUM(G26:G43)</f>
        <v>0</v>
      </c>
      <c r="H45" s="85">
        <f>104644490.32/1000</f>
        <v>104644.49032</v>
      </c>
      <c r="I45" s="85">
        <f t="shared" ref="I45:O45" si="2">SUM(I26:I43)</f>
        <v>0</v>
      </c>
      <c r="J45" s="85">
        <f t="shared" si="2"/>
        <v>0</v>
      </c>
      <c r="K45" s="85">
        <f t="shared" si="2"/>
        <v>0</v>
      </c>
      <c r="L45" s="85">
        <f t="shared" si="2"/>
        <v>0</v>
      </c>
      <c r="M45" s="85">
        <f t="shared" si="2"/>
        <v>34486.425220000005</v>
      </c>
      <c r="N45" s="85">
        <f t="shared" si="2"/>
        <v>8440.7829700000002</v>
      </c>
      <c r="O45" s="85">
        <f t="shared" si="2"/>
        <v>0</v>
      </c>
      <c r="P45" s="85">
        <f>8440782.97/1000</f>
        <v>8440.7829700000002</v>
      </c>
      <c r="Q45" s="85">
        <f t="shared" ref="Q45:W45" si="3">SUM(Q26:Q43)</f>
        <v>0</v>
      </c>
      <c r="R45" s="85">
        <f t="shared" si="3"/>
        <v>0</v>
      </c>
      <c r="S45" s="85">
        <f t="shared" si="3"/>
        <v>0</v>
      </c>
      <c r="T45" s="85">
        <f t="shared" si="3"/>
        <v>0</v>
      </c>
      <c r="U45" s="85">
        <f t="shared" si="3"/>
        <v>8440.7829700000002</v>
      </c>
      <c r="V45" s="85">
        <f t="shared" si="3"/>
        <v>42927.208190000005</v>
      </c>
      <c r="W45" s="85">
        <f t="shared" si="3"/>
        <v>0</v>
      </c>
      <c r="X45" s="85">
        <f>+H45+P45</f>
        <v>113085.27329</v>
      </c>
      <c r="Y45" s="85">
        <f>SUM(Y26:Y43)</f>
        <v>0</v>
      </c>
      <c r="Z45" s="85">
        <f>+E45-X45</f>
        <v>0</v>
      </c>
      <c r="AA45" s="69">
        <f>SUM(AA26:AA43)</f>
        <v>42927.208190000005</v>
      </c>
      <c r="AB45" s="69">
        <f>SUM(AB26:AB43)</f>
        <v>0</v>
      </c>
    </row>
    <row r="46" spans="1:28" hidden="1" x14ac:dyDescent="0.3">
      <c r="A46" s="117"/>
      <c r="E46" s="86" t="s">
        <v>29</v>
      </c>
      <c r="F46" s="86" t="s">
        <v>29</v>
      </c>
      <c r="G46" s="86" t="s">
        <v>29</v>
      </c>
      <c r="H46" s="86" t="s">
        <v>29</v>
      </c>
      <c r="I46" s="86" t="s">
        <v>29</v>
      </c>
      <c r="J46" s="86" t="s">
        <v>29</v>
      </c>
      <c r="K46" s="86" t="s">
        <v>29</v>
      </c>
      <c r="L46" s="86" t="s">
        <v>29</v>
      </c>
      <c r="M46" s="86" t="s">
        <v>29</v>
      </c>
      <c r="N46" s="86" t="s">
        <v>29</v>
      </c>
      <c r="O46" s="86" t="s">
        <v>29</v>
      </c>
      <c r="P46" s="86" t="s">
        <v>29</v>
      </c>
      <c r="Q46" s="86" t="s">
        <v>29</v>
      </c>
      <c r="R46" s="86" t="s">
        <v>29</v>
      </c>
      <c r="S46" s="86" t="s">
        <v>29</v>
      </c>
      <c r="T46" s="86" t="s">
        <v>29</v>
      </c>
      <c r="U46" s="86" t="s">
        <v>29</v>
      </c>
      <c r="V46" s="86" t="s">
        <v>29</v>
      </c>
      <c r="W46" s="86" t="s">
        <v>29</v>
      </c>
      <c r="X46" s="85" t="e">
        <f t="shared" ref="X46:X109" si="4">+H46+P46</f>
        <v>#VALUE!</v>
      </c>
      <c r="Y46" s="86" t="s">
        <v>29</v>
      </c>
      <c r="Z46" s="85" t="e">
        <f t="shared" ref="Z46:Z109" si="5">+E46-X46</f>
        <v>#VALUE!</v>
      </c>
      <c r="AA46" s="115" t="s">
        <v>29</v>
      </c>
      <c r="AB46" s="115" t="s">
        <v>29</v>
      </c>
    </row>
    <row r="47" spans="1:28" hidden="1" x14ac:dyDescent="0.3">
      <c r="A47" s="117"/>
      <c r="E47" s="85">
        <v>30337870.219999999</v>
      </c>
      <c r="F47" s="85">
        <v>21897087.25</v>
      </c>
      <c r="G47" s="85">
        <v>0</v>
      </c>
      <c r="H47" s="85">
        <v>21897087.25</v>
      </c>
      <c r="I47" s="85">
        <v>0</v>
      </c>
      <c r="J47" s="85">
        <v>0</v>
      </c>
      <c r="K47" s="85">
        <v>0</v>
      </c>
      <c r="L47" s="85">
        <v>0</v>
      </c>
      <c r="M47" s="85">
        <v>21897087.25</v>
      </c>
      <c r="N47" s="85">
        <v>8440782.9700000007</v>
      </c>
      <c r="O47" s="85">
        <v>0</v>
      </c>
      <c r="P47" s="85">
        <v>8440782.9700000007</v>
      </c>
      <c r="Q47" s="85"/>
      <c r="R47" s="85"/>
      <c r="S47" s="85"/>
      <c r="T47" s="85">
        <v>0</v>
      </c>
      <c r="U47" s="85">
        <v>8440782.9700000007</v>
      </c>
      <c r="V47" s="85"/>
      <c r="W47" s="85"/>
      <c r="X47" s="85">
        <f t="shared" si="4"/>
        <v>30337870.219999999</v>
      </c>
      <c r="Y47" s="85"/>
      <c r="Z47" s="85">
        <f t="shared" si="5"/>
        <v>0</v>
      </c>
      <c r="AA47" s="118"/>
    </row>
    <row r="48" spans="1:28" hidden="1" x14ac:dyDescent="0.3">
      <c r="A48" s="105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5">
        <f t="shared" si="4"/>
        <v>0</v>
      </c>
      <c r="Y48" s="84"/>
      <c r="Z48" s="85">
        <f t="shared" si="5"/>
        <v>0</v>
      </c>
    </row>
    <row r="49" spans="1:28" hidden="1" x14ac:dyDescent="0.3">
      <c r="A49" s="117"/>
      <c r="C49" s="68" t="s">
        <v>75</v>
      </c>
      <c r="D49" s="88" t="s">
        <v>76</v>
      </c>
      <c r="E49" s="85">
        <f>STATS1003B!E49/1000</f>
        <v>11675</v>
      </c>
      <c r="F49" s="85">
        <f>STATS1003B!F49/1000</f>
        <v>3454.9259999999999</v>
      </c>
      <c r="G49" s="85">
        <f>STATS1003B!G49/1000</f>
        <v>0</v>
      </c>
      <c r="H49" s="85">
        <f>STATS1003B!H49/1000</f>
        <v>3454.9259999999999</v>
      </c>
      <c r="I49" s="85">
        <f>STATS1003B!I49/1000</f>
        <v>0</v>
      </c>
      <c r="J49" s="85">
        <f>STATS1003B!J49/1000</f>
        <v>0</v>
      </c>
      <c r="K49" s="85">
        <f>STATS1003B!K49/1000</f>
        <v>0</v>
      </c>
      <c r="L49" s="85">
        <f>STATS1003B!L49/1000</f>
        <v>0</v>
      </c>
      <c r="M49" s="85">
        <f>STATS1003B!M49/1000</f>
        <v>3454.9259999999999</v>
      </c>
      <c r="N49" s="85">
        <f>STATS1003B!N49/1000</f>
        <v>6737.40589</v>
      </c>
      <c r="O49" s="85">
        <f>STATS1003B!O49/1000</f>
        <v>0</v>
      </c>
      <c r="P49" s="85">
        <f>STATS1003B!P49/1000</f>
        <v>6737.40589</v>
      </c>
      <c r="Q49" s="85">
        <f>STATS1003B!Q49/1000</f>
        <v>0</v>
      </c>
      <c r="R49" s="85">
        <f>STATS1003B!R49/1000</f>
        <v>0</v>
      </c>
      <c r="S49" s="85">
        <f>STATS1003B!S49/1000</f>
        <v>0</v>
      </c>
      <c r="T49" s="85">
        <f>STATS1003B!T49/1000</f>
        <v>0</v>
      </c>
      <c r="U49" s="85">
        <f>STATS1003B!U49/1000</f>
        <v>6737.40589</v>
      </c>
      <c r="V49" s="85">
        <f>STATS1003B!V49/1000</f>
        <v>10192.331890000001</v>
      </c>
      <c r="W49" s="85">
        <f>STATS1003B!W49/1000</f>
        <v>1482.6681099999994</v>
      </c>
      <c r="X49" s="85">
        <f t="shared" si="4"/>
        <v>10192.331889999999</v>
      </c>
      <c r="Y49" s="85">
        <f>STATS1003B!Y49/1000</f>
        <v>0</v>
      </c>
      <c r="Z49" s="85">
        <f t="shared" si="5"/>
        <v>1482.6681100000005</v>
      </c>
      <c r="AA49" s="69">
        <f>STATS1003B!AA49/1000</f>
        <v>10192.331890000001</v>
      </c>
      <c r="AB49" s="69">
        <f>STATS1003B!AB49/1000</f>
        <v>1482.6681099999994</v>
      </c>
    </row>
    <row r="50" spans="1:28" hidden="1" x14ac:dyDescent="0.3">
      <c r="A50" s="117"/>
      <c r="C50" s="68" t="s">
        <v>77</v>
      </c>
      <c r="D50" s="88" t="s">
        <v>78</v>
      </c>
      <c r="E50" s="85">
        <f>STATS1003B!E50/1000</f>
        <v>2613.4589100000003</v>
      </c>
      <c r="F50" s="85">
        <f>STATS1003B!F50/1000</f>
        <v>2169.07692</v>
      </c>
      <c r="G50" s="85">
        <f>STATS1003B!G50/1000</f>
        <v>0</v>
      </c>
      <c r="H50" s="85">
        <f>STATS1003B!H50/1000</f>
        <v>2169.07692</v>
      </c>
      <c r="I50" s="85">
        <f>STATS1003B!I50/1000</f>
        <v>0</v>
      </c>
      <c r="J50" s="85">
        <f>STATS1003B!J50/1000</f>
        <v>0</v>
      </c>
      <c r="K50" s="85">
        <f>STATS1003B!K50/1000</f>
        <v>0</v>
      </c>
      <c r="L50" s="85">
        <f>STATS1003B!L50/1000</f>
        <v>0</v>
      </c>
      <c r="M50" s="85">
        <f>STATS1003B!M50/1000</f>
        <v>2169.07692</v>
      </c>
      <c r="N50" s="85">
        <f>STATS1003B!N50/1000</f>
        <v>444.38198999999997</v>
      </c>
      <c r="O50" s="85">
        <f>STATS1003B!O50/1000</f>
        <v>0</v>
      </c>
      <c r="P50" s="85">
        <f>STATS1003B!P50/1000</f>
        <v>444.38198999999997</v>
      </c>
      <c r="Q50" s="85">
        <f>STATS1003B!Q50/1000</f>
        <v>0</v>
      </c>
      <c r="R50" s="85">
        <f>STATS1003B!R50/1000</f>
        <v>0</v>
      </c>
      <c r="S50" s="85">
        <f>STATS1003B!S50/1000</f>
        <v>0</v>
      </c>
      <c r="T50" s="85">
        <f>STATS1003B!T50/1000</f>
        <v>0</v>
      </c>
      <c r="U50" s="85">
        <f>STATS1003B!U50/1000</f>
        <v>444.38198999999997</v>
      </c>
      <c r="V50" s="85">
        <f>STATS1003B!V50/1000</f>
        <v>2613.4589100000003</v>
      </c>
      <c r="W50" s="85">
        <f>STATS1003B!W50/1000</f>
        <v>0</v>
      </c>
      <c r="X50" s="85">
        <f t="shared" si="4"/>
        <v>2613.4589099999998</v>
      </c>
      <c r="Y50" s="85">
        <f>STATS1003B!Y50/1000</f>
        <v>0</v>
      </c>
      <c r="Z50" s="85">
        <f t="shared" si="5"/>
        <v>0</v>
      </c>
      <c r="AA50" s="69">
        <f>STATS1003B!AA50/1000</f>
        <v>2613.4589100000003</v>
      </c>
      <c r="AB50" s="69">
        <f>STATS1003B!AB50/1000</f>
        <v>0</v>
      </c>
    </row>
    <row r="51" spans="1:28" hidden="1" x14ac:dyDescent="0.3">
      <c r="A51" s="117"/>
      <c r="C51" s="68" t="s">
        <v>57</v>
      </c>
      <c r="D51" s="145" t="s">
        <v>79</v>
      </c>
      <c r="E51" s="85">
        <f>STATS1003B!E51/1000</f>
        <v>17853.24511</v>
      </c>
      <c r="F51" s="85">
        <f>STATS1003B!F51/1000</f>
        <v>15794.38487</v>
      </c>
      <c r="G51" s="85">
        <f>STATS1003B!G51/1000</f>
        <v>0</v>
      </c>
      <c r="H51" s="85">
        <f>STATS1003B!H51/1000</f>
        <v>15794.38487</v>
      </c>
      <c r="I51" s="85">
        <f>STATS1003B!I51/1000</f>
        <v>0</v>
      </c>
      <c r="J51" s="85">
        <f>STATS1003B!J51/1000</f>
        <v>0</v>
      </c>
      <c r="K51" s="85">
        <f>STATS1003B!K51/1000</f>
        <v>0</v>
      </c>
      <c r="L51" s="85">
        <f>STATS1003B!L51/1000</f>
        <v>0</v>
      </c>
      <c r="M51" s="85">
        <f>STATS1003B!M51/1000</f>
        <v>15794.38487</v>
      </c>
      <c r="N51" s="85">
        <f>STATS1003B!N51/1000</f>
        <v>2058.86024</v>
      </c>
      <c r="O51" s="85">
        <f>STATS1003B!O51/1000</f>
        <v>0</v>
      </c>
      <c r="P51" s="85">
        <f>STATS1003B!P51/1000</f>
        <v>2058.86024</v>
      </c>
      <c r="Q51" s="85">
        <f>STATS1003B!Q51/1000</f>
        <v>0</v>
      </c>
      <c r="R51" s="85">
        <f>STATS1003B!R51/1000</f>
        <v>0</v>
      </c>
      <c r="S51" s="85">
        <f>STATS1003B!S51/1000</f>
        <v>0</v>
      </c>
      <c r="T51" s="85">
        <f>STATS1003B!T51/1000</f>
        <v>0</v>
      </c>
      <c r="U51" s="85">
        <f>STATS1003B!U51/1000</f>
        <v>2058.86024</v>
      </c>
      <c r="V51" s="85">
        <f>STATS1003B!V51/1000</f>
        <v>17853.24511</v>
      </c>
      <c r="W51" s="85">
        <f>STATS1003B!W51/1000</f>
        <v>0</v>
      </c>
      <c r="X51" s="85">
        <f t="shared" si="4"/>
        <v>17853.24511</v>
      </c>
      <c r="Y51" s="85">
        <f>STATS1003B!Y51/1000</f>
        <v>0</v>
      </c>
      <c r="Z51" s="85">
        <f t="shared" si="5"/>
        <v>0</v>
      </c>
      <c r="AA51" s="69">
        <f>STATS1003B!AA51/1000</f>
        <v>17853.24511</v>
      </c>
      <c r="AB51" s="69">
        <f>STATS1003B!AB51/1000</f>
        <v>0</v>
      </c>
    </row>
    <row r="52" spans="1:28" hidden="1" x14ac:dyDescent="0.3">
      <c r="A52" s="117"/>
      <c r="D52" s="71" t="s">
        <v>80</v>
      </c>
      <c r="E52" s="85">
        <f>STATS1003B!E52/1000</f>
        <v>0</v>
      </c>
      <c r="F52" s="85">
        <f>STATS1003B!F52/1000</f>
        <v>0</v>
      </c>
      <c r="G52" s="85">
        <f>STATS1003B!G52/1000</f>
        <v>0</v>
      </c>
      <c r="H52" s="85">
        <f>STATS1003B!H52/1000</f>
        <v>0</v>
      </c>
      <c r="I52" s="85">
        <f>STATS1003B!I52/1000</f>
        <v>0</v>
      </c>
      <c r="J52" s="85">
        <f>STATS1003B!J52/1000</f>
        <v>0</v>
      </c>
      <c r="K52" s="85">
        <f>STATS1003B!K52/1000</f>
        <v>0</v>
      </c>
      <c r="L52" s="85">
        <f>STATS1003B!L52/1000</f>
        <v>0</v>
      </c>
      <c r="M52" s="85">
        <f>STATS1003B!M52/1000</f>
        <v>0</v>
      </c>
      <c r="N52" s="85">
        <f>STATS1003B!N52/1000</f>
        <v>0</v>
      </c>
      <c r="O52" s="85">
        <f>STATS1003B!O52/1000</f>
        <v>0</v>
      </c>
      <c r="P52" s="85">
        <f>STATS1003B!P52/1000</f>
        <v>0</v>
      </c>
      <c r="Q52" s="85">
        <f>STATS1003B!Q52/1000</f>
        <v>0</v>
      </c>
      <c r="R52" s="85">
        <f>STATS1003B!R52/1000</f>
        <v>0</v>
      </c>
      <c r="S52" s="85">
        <f>STATS1003B!S52/1000</f>
        <v>0</v>
      </c>
      <c r="T52" s="85">
        <f>STATS1003B!T52/1000</f>
        <v>0</v>
      </c>
      <c r="U52" s="85">
        <f>STATS1003B!U52/1000</f>
        <v>0</v>
      </c>
      <c r="V52" s="85">
        <f>STATS1003B!V52/1000</f>
        <v>0</v>
      </c>
      <c r="W52" s="85">
        <f>STATS1003B!W52/1000</f>
        <v>0</v>
      </c>
      <c r="X52" s="85">
        <f t="shared" si="4"/>
        <v>0</v>
      </c>
      <c r="Y52" s="85">
        <f>STATS1003B!Y52/1000</f>
        <v>0</v>
      </c>
      <c r="Z52" s="85">
        <f t="shared" si="5"/>
        <v>0</v>
      </c>
      <c r="AA52" s="69">
        <f>STATS1003B!AA52/1000</f>
        <v>0</v>
      </c>
      <c r="AB52" s="69">
        <f>STATS1003B!AB52/1000</f>
        <v>0</v>
      </c>
    </row>
    <row r="53" spans="1:28" hidden="1" x14ac:dyDescent="0.3">
      <c r="A53" s="117"/>
      <c r="C53" s="68" t="s">
        <v>81</v>
      </c>
      <c r="D53" s="145" t="s">
        <v>78</v>
      </c>
      <c r="E53" s="85">
        <f>STATS1003B!E53/1000</f>
        <v>1000</v>
      </c>
      <c r="F53" s="85">
        <f>STATS1003B!F53/1000</f>
        <v>1000</v>
      </c>
      <c r="G53" s="85">
        <f>STATS1003B!G53/1000</f>
        <v>0</v>
      </c>
      <c r="H53" s="85">
        <f>STATS1003B!H53/1000</f>
        <v>1000</v>
      </c>
      <c r="I53" s="85">
        <f>STATS1003B!I53/1000</f>
        <v>0</v>
      </c>
      <c r="J53" s="85">
        <f>STATS1003B!J53/1000</f>
        <v>0</v>
      </c>
      <c r="K53" s="85">
        <f>STATS1003B!K53/1000</f>
        <v>0</v>
      </c>
      <c r="L53" s="85">
        <f>STATS1003B!L53/1000</f>
        <v>0</v>
      </c>
      <c r="M53" s="85">
        <f>STATS1003B!M53/1000</f>
        <v>1000</v>
      </c>
      <c r="N53" s="85">
        <f>STATS1003B!N53/1000</f>
        <v>0</v>
      </c>
      <c r="O53" s="85">
        <f>STATS1003B!O53/1000</f>
        <v>0</v>
      </c>
      <c r="P53" s="85">
        <f>STATS1003B!P53/1000</f>
        <v>0</v>
      </c>
      <c r="Q53" s="85">
        <f>STATS1003B!Q53/1000</f>
        <v>0</v>
      </c>
      <c r="R53" s="85">
        <f>STATS1003B!R53/1000</f>
        <v>0</v>
      </c>
      <c r="S53" s="85">
        <f>STATS1003B!S53/1000</f>
        <v>0</v>
      </c>
      <c r="T53" s="85">
        <f>STATS1003B!T53/1000</f>
        <v>0</v>
      </c>
      <c r="U53" s="85">
        <f>STATS1003B!U53/1000</f>
        <v>0</v>
      </c>
      <c r="V53" s="85">
        <f>STATS1003B!V53/1000</f>
        <v>1000</v>
      </c>
      <c r="W53" s="85">
        <f>STATS1003B!W53/1000</f>
        <v>0</v>
      </c>
      <c r="X53" s="85">
        <f t="shared" si="4"/>
        <v>1000</v>
      </c>
      <c r="Y53" s="85">
        <f>STATS1003B!Y53/1000</f>
        <v>0</v>
      </c>
      <c r="Z53" s="85">
        <f t="shared" si="5"/>
        <v>0</v>
      </c>
      <c r="AA53" s="69">
        <f>STATS1003B!AA53/1000</f>
        <v>1000</v>
      </c>
      <c r="AB53" s="69">
        <f>STATS1003B!AB53/1000</f>
        <v>0</v>
      </c>
    </row>
    <row r="54" spans="1:28" hidden="1" x14ac:dyDescent="0.3">
      <c r="A54" s="117"/>
      <c r="C54" s="68" t="s">
        <v>82</v>
      </c>
      <c r="D54" s="145" t="s">
        <v>68</v>
      </c>
      <c r="E54" s="85">
        <f>STATS1003B!E54/1000</f>
        <v>967.93718999999999</v>
      </c>
      <c r="F54" s="85">
        <f>STATS1003B!F54/1000</f>
        <v>122.718</v>
      </c>
      <c r="G54" s="85">
        <f>STATS1003B!G54/1000</f>
        <v>0</v>
      </c>
      <c r="H54" s="85">
        <f>STATS1003B!H54/1000</f>
        <v>122.718</v>
      </c>
      <c r="I54" s="85">
        <f>STATS1003B!I54/1000</f>
        <v>0</v>
      </c>
      <c r="J54" s="85">
        <f>STATS1003B!J54/1000</f>
        <v>0</v>
      </c>
      <c r="K54" s="85">
        <f>STATS1003B!K54/1000</f>
        <v>0</v>
      </c>
      <c r="L54" s="85">
        <f>STATS1003B!L54/1000</f>
        <v>0</v>
      </c>
      <c r="M54" s="85">
        <f>STATS1003B!M54/1000</f>
        <v>122.718</v>
      </c>
      <c r="N54" s="85">
        <f>STATS1003B!N54/1000</f>
        <v>845.21918999999991</v>
      </c>
      <c r="O54" s="85">
        <f>STATS1003B!O54/1000</f>
        <v>0</v>
      </c>
      <c r="P54" s="85">
        <f>STATS1003B!P54/1000</f>
        <v>845.21918999999991</v>
      </c>
      <c r="Q54" s="85">
        <f>STATS1003B!Q54/1000</f>
        <v>0</v>
      </c>
      <c r="R54" s="85">
        <f>STATS1003B!R54/1000</f>
        <v>0</v>
      </c>
      <c r="S54" s="85">
        <f>STATS1003B!S54/1000</f>
        <v>0</v>
      </c>
      <c r="T54" s="85">
        <f>STATS1003B!T54/1000</f>
        <v>0</v>
      </c>
      <c r="U54" s="85">
        <f>STATS1003B!U54/1000</f>
        <v>845.21918999999991</v>
      </c>
      <c r="V54" s="85">
        <f>STATS1003B!V54/1000</f>
        <v>967.93718999999999</v>
      </c>
      <c r="W54" s="85">
        <f>STATS1003B!W54/1000</f>
        <v>0</v>
      </c>
      <c r="X54" s="85">
        <f t="shared" si="4"/>
        <v>967.93718999999987</v>
      </c>
      <c r="Y54" s="85">
        <f>STATS1003B!Y54/1000</f>
        <v>0</v>
      </c>
      <c r="Z54" s="85">
        <f t="shared" si="5"/>
        <v>0</v>
      </c>
      <c r="AA54" s="69">
        <f>STATS1003B!AA54/1000</f>
        <v>967.93718999999999</v>
      </c>
      <c r="AB54" s="69">
        <f>STATS1003B!AB54/1000</f>
        <v>0</v>
      </c>
    </row>
    <row r="55" spans="1:28" hidden="1" x14ac:dyDescent="0.3">
      <c r="A55" s="117"/>
      <c r="C55" s="68" t="s">
        <v>83</v>
      </c>
      <c r="D55" s="145" t="s">
        <v>67</v>
      </c>
      <c r="E55" s="85">
        <f>STATS1003B!E55/1000</f>
        <v>1214.66958</v>
      </c>
      <c r="F55" s="85">
        <f>STATS1003B!F55/1000</f>
        <v>517.57376999999997</v>
      </c>
      <c r="G55" s="85">
        <f>STATS1003B!G55/1000</f>
        <v>0</v>
      </c>
      <c r="H55" s="85">
        <f>STATS1003B!H55/1000</f>
        <v>517.57376999999997</v>
      </c>
      <c r="I55" s="85">
        <f>STATS1003B!I55/1000</f>
        <v>0</v>
      </c>
      <c r="J55" s="85">
        <f>STATS1003B!J55/1000</f>
        <v>0</v>
      </c>
      <c r="K55" s="85">
        <f>STATS1003B!K55/1000</f>
        <v>0</v>
      </c>
      <c r="L55" s="85">
        <f>STATS1003B!L55/1000</f>
        <v>0</v>
      </c>
      <c r="M55" s="85">
        <f>STATS1003B!M55/1000</f>
        <v>517.57376999999997</v>
      </c>
      <c r="N55" s="85">
        <f>STATS1003B!N55/1000</f>
        <v>697.09581000000003</v>
      </c>
      <c r="O55" s="85">
        <f>STATS1003B!O55/1000</f>
        <v>0</v>
      </c>
      <c r="P55" s="85">
        <f>STATS1003B!P55/1000</f>
        <v>697.09581000000003</v>
      </c>
      <c r="Q55" s="85">
        <f>STATS1003B!Q55/1000</f>
        <v>0</v>
      </c>
      <c r="R55" s="85">
        <f>STATS1003B!R55/1000</f>
        <v>0</v>
      </c>
      <c r="S55" s="85">
        <f>STATS1003B!S55/1000</f>
        <v>0</v>
      </c>
      <c r="T55" s="85">
        <f>STATS1003B!T55/1000</f>
        <v>0</v>
      </c>
      <c r="U55" s="85">
        <f>STATS1003B!U55/1000</f>
        <v>697.09581000000003</v>
      </c>
      <c r="V55" s="85">
        <f>STATS1003B!V55/1000</f>
        <v>1214.66958</v>
      </c>
      <c r="W55" s="85">
        <f>STATS1003B!W55/1000</f>
        <v>0</v>
      </c>
      <c r="X55" s="85">
        <f t="shared" si="4"/>
        <v>1214.66958</v>
      </c>
      <c r="Y55" s="85">
        <f>STATS1003B!Y55/1000</f>
        <v>0</v>
      </c>
      <c r="Z55" s="85">
        <f t="shared" si="5"/>
        <v>0</v>
      </c>
      <c r="AA55" s="69">
        <f>STATS1003B!AA55/1000</f>
        <v>1214.66958</v>
      </c>
      <c r="AB55" s="69">
        <f>STATS1003B!AB55/1000</f>
        <v>0</v>
      </c>
    </row>
    <row r="56" spans="1:28" hidden="1" x14ac:dyDescent="0.3">
      <c r="A56" s="117"/>
      <c r="C56" s="68" t="s">
        <v>55</v>
      </c>
      <c r="D56" s="145" t="s">
        <v>68</v>
      </c>
      <c r="E56" s="85">
        <f>STATS1003B!E56/1000</f>
        <v>1434.7102500000001</v>
      </c>
      <c r="F56" s="85">
        <f>STATS1003B!F56/1000</f>
        <v>0</v>
      </c>
      <c r="G56" s="85">
        <f>STATS1003B!G56/1000</f>
        <v>0</v>
      </c>
      <c r="H56" s="85">
        <f>STATS1003B!H56/1000</f>
        <v>0</v>
      </c>
      <c r="I56" s="85">
        <f>STATS1003B!I56/1000</f>
        <v>0</v>
      </c>
      <c r="J56" s="85">
        <f>STATS1003B!J56/1000</f>
        <v>0</v>
      </c>
      <c r="K56" s="85">
        <f>STATS1003B!K56/1000</f>
        <v>0</v>
      </c>
      <c r="L56" s="85">
        <f>STATS1003B!L56/1000</f>
        <v>0</v>
      </c>
      <c r="M56" s="85">
        <f>STATS1003B!M56/1000</f>
        <v>0</v>
      </c>
      <c r="N56" s="85">
        <f>STATS1003B!N56/1000</f>
        <v>1434.7102500000001</v>
      </c>
      <c r="O56" s="85">
        <f>STATS1003B!O56/1000</f>
        <v>0</v>
      </c>
      <c r="P56" s="85">
        <f>STATS1003B!P56/1000</f>
        <v>1434.7102500000001</v>
      </c>
      <c r="Q56" s="85">
        <f>STATS1003B!Q56/1000</f>
        <v>0</v>
      </c>
      <c r="R56" s="85">
        <f>STATS1003B!R56/1000</f>
        <v>0</v>
      </c>
      <c r="S56" s="85">
        <f>STATS1003B!S56/1000</f>
        <v>0</v>
      </c>
      <c r="T56" s="85">
        <f>STATS1003B!T56/1000</f>
        <v>0</v>
      </c>
      <c r="U56" s="85">
        <f>STATS1003B!U56/1000</f>
        <v>1434.7102500000001</v>
      </c>
      <c r="V56" s="85">
        <f>STATS1003B!V56/1000</f>
        <v>1434.7102500000001</v>
      </c>
      <c r="W56" s="85">
        <f>STATS1003B!W56/1000</f>
        <v>0</v>
      </c>
      <c r="X56" s="85">
        <f t="shared" si="4"/>
        <v>1434.7102500000001</v>
      </c>
      <c r="Y56" s="85">
        <f>STATS1003B!Y56/1000</f>
        <v>0</v>
      </c>
      <c r="Z56" s="85">
        <f t="shared" si="5"/>
        <v>0</v>
      </c>
      <c r="AA56" s="69">
        <f>STATS1003B!AA56/1000</f>
        <v>1434.7102500000001</v>
      </c>
      <c r="AB56" s="69">
        <f>STATS1003B!AB56/1000</f>
        <v>0</v>
      </c>
    </row>
    <row r="57" spans="1:28" hidden="1" x14ac:dyDescent="0.3">
      <c r="A57" s="117"/>
      <c r="C57" s="68" t="s">
        <v>53</v>
      </c>
      <c r="D57" s="145" t="s">
        <v>68</v>
      </c>
      <c r="E57" s="85">
        <f>STATS1003B!E57/1000</f>
        <v>2306.1060000000002</v>
      </c>
      <c r="F57" s="85">
        <f>STATS1003B!F57/1000</f>
        <v>0</v>
      </c>
      <c r="G57" s="85">
        <f>STATS1003B!G57/1000</f>
        <v>0</v>
      </c>
      <c r="H57" s="85">
        <f>STATS1003B!H57/1000</f>
        <v>0</v>
      </c>
      <c r="I57" s="85">
        <f>STATS1003B!I57/1000</f>
        <v>0</v>
      </c>
      <c r="J57" s="85">
        <f>STATS1003B!J57/1000</f>
        <v>0</v>
      </c>
      <c r="K57" s="85">
        <f>STATS1003B!K57/1000</f>
        <v>0</v>
      </c>
      <c r="L57" s="85">
        <f>STATS1003B!L57/1000</f>
        <v>0</v>
      </c>
      <c r="M57" s="85">
        <f>STATS1003B!M57/1000</f>
        <v>0</v>
      </c>
      <c r="N57" s="85">
        <f>STATS1003B!N57/1000</f>
        <v>2306.1060000000002</v>
      </c>
      <c r="O57" s="85">
        <f>STATS1003B!O57/1000</f>
        <v>0</v>
      </c>
      <c r="P57" s="85">
        <f>STATS1003B!P57/1000</f>
        <v>2306.1060000000002</v>
      </c>
      <c r="Q57" s="85">
        <f>STATS1003B!Q57/1000</f>
        <v>0</v>
      </c>
      <c r="R57" s="85">
        <f>STATS1003B!R57/1000</f>
        <v>0</v>
      </c>
      <c r="S57" s="85">
        <f>STATS1003B!S57/1000</f>
        <v>0</v>
      </c>
      <c r="T57" s="85">
        <f>STATS1003B!T57/1000</f>
        <v>0</v>
      </c>
      <c r="U57" s="85">
        <f>STATS1003B!U57/1000</f>
        <v>2306.1060000000002</v>
      </c>
      <c r="V57" s="85">
        <f>STATS1003B!V57/1000</f>
        <v>2306.1060000000002</v>
      </c>
      <c r="W57" s="85">
        <f>STATS1003B!W57/1000</f>
        <v>0</v>
      </c>
      <c r="X57" s="85">
        <f t="shared" si="4"/>
        <v>2306.1060000000002</v>
      </c>
      <c r="Y57" s="85">
        <f>STATS1003B!Y57/1000</f>
        <v>0</v>
      </c>
      <c r="Z57" s="85">
        <f t="shared" si="5"/>
        <v>0</v>
      </c>
      <c r="AA57" s="69">
        <f>STATS1003B!AA57/1000</f>
        <v>2306.1060000000002</v>
      </c>
      <c r="AB57" s="69">
        <f>STATS1003B!AB57/1000</f>
        <v>0</v>
      </c>
    </row>
    <row r="58" spans="1:28" hidden="1" x14ac:dyDescent="0.3">
      <c r="A58" s="117"/>
      <c r="C58" s="68" t="s">
        <v>84</v>
      </c>
      <c r="D58" s="145" t="s">
        <v>85</v>
      </c>
      <c r="E58" s="85">
        <f>STATS1003B!E58/1000</f>
        <v>480</v>
      </c>
      <c r="F58" s="85">
        <f>STATS1003B!F58/1000</f>
        <v>480</v>
      </c>
      <c r="G58" s="85">
        <f>STATS1003B!G58/1000</f>
        <v>0</v>
      </c>
      <c r="H58" s="85">
        <f>STATS1003B!H58/1000</f>
        <v>480</v>
      </c>
      <c r="I58" s="85">
        <f>STATS1003B!I58/1000</f>
        <v>0</v>
      </c>
      <c r="J58" s="85">
        <f>STATS1003B!J58/1000</f>
        <v>0</v>
      </c>
      <c r="K58" s="85">
        <f>STATS1003B!K58/1000</f>
        <v>0</v>
      </c>
      <c r="L58" s="85">
        <f>STATS1003B!L58/1000</f>
        <v>0</v>
      </c>
      <c r="M58" s="85">
        <f>STATS1003B!M58/1000</f>
        <v>480</v>
      </c>
      <c r="N58" s="85">
        <f>STATS1003B!N58/1000</f>
        <v>0</v>
      </c>
      <c r="O58" s="85">
        <f>STATS1003B!O58/1000</f>
        <v>0</v>
      </c>
      <c r="P58" s="85">
        <f>STATS1003B!P58/1000</f>
        <v>0</v>
      </c>
      <c r="Q58" s="85">
        <f>STATS1003B!Q58/1000</f>
        <v>0</v>
      </c>
      <c r="R58" s="85">
        <f>STATS1003B!R58/1000</f>
        <v>0</v>
      </c>
      <c r="S58" s="85">
        <f>STATS1003B!S58/1000</f>
        <v>0</v>
      </c>
      <c r="T58" s="85">
        <f>STATS1003B!T58/1000</f>
        <v>0</v>
      </c>
      <c r="U58" s="85">
        <f>STATS1003B!U58/1000</f>
        <v>0</v>
      </c>
      <c r="V58" s="85">
        <f>STATS1003B!V58/1000</f>
        <v>480</v>
      </c>
      <c r="W58" s="85">
        <f>STATS1003B!W58/1000</f>
        <v>0</v>
      </c>
      <c r="X58" s="85">
        <f t="shared" si="4"/>
        <v>480</v>
      </c>
      <c r="Y58" s="85">
        <f>STATS1003B!Y58/1000</f>
        <v>0</v>
      </c>
      <c r="Z58" s="85">
        <f t="shared" si="5"/>
        <v>0</v>
      </c>
      <c r="AA58" s="69">
        <f>STATS1003B!AA58/1000</f>
        <v>480</v>
      </c>
      <c r="AB58" s="69">
        <f>STATS1003B!AB58/1000</f>
        <v>0</v>
      </c>
    </row>
    <row r="59" spans="1:28" hidden="1" x14ac:dyDescent="0.3">
      <c r="A59" s="117"/>
      <c r="C59" s="68" t="s">
        <v>86</v>
      </c>
      <c r="D59" s="145" t="s">
        <v>85</v>
      </c>
      <c r="E59" s="85">
        <f>STATS1003B!E59/1000</f>
        <v>160</v>
      </c>
      <c r="F59" s="85">
        <f>STATS1003B!F59/1000</f>
        <v>160</v>
      </c>
      <c r="G59" s="85">
        <f>STATS1003B!G59/1000</f>
        <v>0</v>
      </c>
      <c r="H59" s="85">
        <f>STATS1003B!H59/1000</f>
        <v>160</v>
      </c>
      <c r="I59" s="85">
        <f>STATS1003B!I59/1000</f>
        <v>0</v>
      </c>
      <c r="J59" s="85">
        <f>STATS1003B!J59/1000</f>
        <v>0</v>
      </c>
      <c r="K59" s="85">
        <f>STATS1003B!K59/1000</f>
        <v>0</v>
      </c>
      <c r="L59" s="85">
        <f>STATS1003B!L59/1000</f>
        <v>0</v>
      </c>
      <c r="M59" s="85">
        <f>STATS1003B!M59/1000</f>
        <v>160</v>
      </c>
      <c r="N59" s="85">
        <f>STATS1003B!N59/1000</f>
        <v>0</v>
      </c>
      <c r="O59" s="85">
        <f>STATS1003B!O59/1000</f>
        <v>0</v>
      </c>
      <c r="P59" s="85">
        <f>STATS1003B!P59/1000</f>
        <v>0</v>
      </c>
      <c r="Q59" s="85">
        <f>STATS1003B!Q59/1000</f>
        <v>0</v>
      </c>
      <c r="R59" s="85">
        <f>STATS1003B!R59/1000</f>
        <v>0</v>
      </c>
      <c r="S59" s="85">
        <f>STATS1003B!S59/1000</f>
        <v>0</v>
      </c>
      <c r="T59" s="85">
        <f>STATS1003B!T59/1000</f>
        <v>0</v>
      </c>
      <c r="U59" s="85">
        <f>STATS1003B!U59/1000</f>
        <v>0</v>
      </c>
      <c r="V59" s="85">
        <f>STATS1003B!V59/1000</f>
        <v>160</v>
      </c>
      <c r="W59" s="85">
        <f>STATS1003B!W59/1000</f>
        <v>0</v>
      </c>
      <c r="X59" s="85">
        <f t="shared" si="4"/>
        <v>160</v>
      </c>
      <c r="Y59" s="85">
        <f>STATS1003B!Y59/1000</f>
        <v>0</v>
      </c>
      <c r="Z59" s="85">
        <f t="shared" si="5"/>
        <v>0</v>
      </c>
      <c r="AA59" s="69">
        <f>STATS1003B!AA59/1000</f>
        <v>160</v>
      </c>
      <c r="AB59" s="69">
        <f>STATS1003B!AB59/1000</f>
        <v>0</v>
      </c>
    </row>
    <row r="60" spans="1:28" hidden="1" x14ac:dyDescent="0.3">
      <c r="A60" s="117"/>
      <c r="C60" s="68" t="s">
        <v>87</v>
      </c>
      <c r="D60" s="145" t="s">
        <v>88</v>
      </c>
      <c r="E60" s="85">
        <f>STATS1003B!E60/1000</f>
        <v>5500</v>
      </c>
      <c r="F60" s="85">
        <f>STATS1003B!F60/1000</f>
        <v>5500</v>
      </c>
      <c r="G60" s="85">
        <f>STATS1003B!G60/1000</f>
        <v>0</v>
      </c>
      <c r="H60" s="85">
        <f>STATS1003B!H60/1000</f>
        <v>5500</v>
      </c>
      <c r="I60" s="85">
        <f>STATS1003B!I60/1000</f>
        <v>0</v>
      </c>
      <c r="J60" s="85">
        <f>STATS1003B!J60/1000</f>
        <v>0</v>
      </c>
      <c r="K60" s="85">
        <f>STATS1003B!K60/1000</f>
        <v>0</v>
      </c>
      <c r="L60" s="85">
        <f>STATS1003B!L60/1000</f>
        <v>0</v>
      </c>
      <c r="M60" s="85">
        <f>STATS1003B!M60/1000</f>
        <v>5500</v>
      </c>
      <c r="N60" s="85">
        <f>STATS1003B!N60/1000</f>
        <v>0</v>
      </c>
      <c r="O60" s="85">
        <f>STATS1003B!O60/1000</f>
        <v>0</v>
      </c>
      <c r="P60" s="85">
        <f>STATS1003B!P60/1000</f>
        <v>0</v>
      </c>
      <c r="Q60" s="85">
        <f>STATS1003B!Q60/1000</f>
        <v>0</v>
      </c>
      <c r="R60" s="85">
        <f>STATS1003B!R60/1000</f>
        <v>0</v>
      </c>
      <c r="S60" s="85">
        <f>STATS1003B!S60/1000</f>
        <v>0</v>
      </c>
      <c r="T60" s="85">
        <f>STATS1003B!T60/1000</f>
        <v>0</v>
      </c>
      <c r="U60" s="85">
        <f>STATS1003B!U60/1000</f>
        <v>0</v>
      </c>
      <c r="V60" s="85">
        <f>STATS1003B!V60/1000</f>
        <v>5500</v>
      </c>
      <c r="W60" s="85">
        <f>STATS1003B!W60/1000</f>
        <v>0</v>
      </c>
      <c r="X60" s="85">
        <f t="shared" si="4"/>
        <v>5500</v>
      </c>
      <c r="Y60" s="85">
        <f>STATS1003B!Y60/1000</f>
        <v>0</v>
      </c>
      <c r="Z60" s="85">
        <f t="shared" si="5"/>
        <v>0</v>
      </c>
      <c r="AA60" s="69">
        <f>STATS1003B!AA60/1000</f>
        <v>5500</v>
      </c>
      <c r="AB60" s="69">
        <f>STATS1003B!AB60/1000</f>
        <v>0</v>
      </c>
    </row>
    <row r="61" spans="1:28" hidden="1" x14ac:dyDescent="0.3">
      <c r="A61" s="117"/>
      <c r="C61" s="68" t="s">
        <v>57</v>
      </c>
      <c r="D61" s="145" t="s">
        <v>58</v>
      </c>
      <c r="E61" s="85">
        <f>STATS1003B!E61/1000</f>
        <v>5367.3249999999998</v>
      </c>
      <c r="F61" s="85">
        <f>STATS1003B!F61/1000</f>
        <v>5367.3249999999998</v>
      </c>
      <c r="G61" s="85">
        <f>STATS1003B!G61/1000</f>
        <v>0</v>
      </c>
      <c r="H61" s="85">
        <f>STATS1003B!H61/1000</f>
        <v>5367.3249999999998</v>
      </c>
      <c r="I61" s="85">
        <f>STATS1003B!I61/1000</f>
        <v>0</v>
      </c>
      <c r="J61" s="85">
        <f>STATS1003B!J61/1000</f>
        <v>0</v>
      </c>
      <c r="K61" s="85">
        <f>STATS1003B!K61/1000</f>
        <v>0</v>
      </c>
      <c r="L61" s="85">
        <f>STATS1003B!L61/1000</f>
        <v>0</v>
      </c>
      <c r="M61" s="85">
        <f>STATS1003B!M61/1000</f>
        <v>5367.3249999999998</v>
      </c>
      <c r="N61" s="85">
        <f>STATS1003B!N61/1000</f>
        <v>0</v>
      </c>
      <c r="O61" s="85">
        <f>STATS1003B!O61/1000</f>
        <v>0</v>
      </c>
      <c r="P61" s="85">
        <f>STATS1003B!P61/1000</f>
        <v>0</v>
      </c>
      <c r="Q61" s="85">
        <f>STATS1003B!Q61/1000</f>
        <v>0</v>
      </c>
      <c r="R61" s="85">
        <f>STATS1003B!R61/1000</f>
        <v>0</v>
      </c>
      <c r="S61" s="85">
        <f>STATS1003B!S61/1000</f>
        <v>0</v>
      </c>
      <c r="T61" s="85">
        <f>STATS1003B!T61/1000</f>
        <v>0</v>
      </c>
      <c r="U61" s="85">
        <f>STATS1003B!U61/1000</f>
        <v>0</v>
      </c>
      <c r="V61" s="85">
        <f>STATS1003B!V61/1000</f>
        <v>5367.3249999999998</v>
      </c>
      <c r="W61" s="85">
        <f>STATS1003B!W61/1000</f>
        <v>0</v>
      </c>
      <c r="X61" s="85">
        <f t="shared" si="4"/>
        <v>5367.3249999999998</v>
      </c>
      <c r="Y61" s="85">
        <f>STATS1003B!Y61/1000</f>
        <v>0</v>
      </c>
      <c r="Z61" s="85">
        <f t="shared" si="5"/>
        <v>0</v>
      </c>
      <c r="AA61" s="69">
        <f>STATS1003B!AA61/1000</f>
        <v>5367.3249999999998</v>
      </c>
      <c r="AB61" s="69">
        <f>STATS1003B!AB61/1000</f>
        <v>0</v>
      </c>
    </row>
    <row r="62" spans="1:28" hidden="1" x14ac:dyDescent="0.3">
      <c r="A62" s="117"/>
      <c r="C62" s="68" t="s">
        <v>57</v>
      </c>
      <c r="D62" s="145" t="s">
        <v>60</v>
      </c>
      <c r="E62" s="85">
        <f>STATS1003B!E62/1000</f>
        <v>8923.2084600000017</v>
      </c>
      <c r="F62" s="85">
        <f>STATS1003B!F62/1000</f>
        <v>8923.2084600000017</v>
      </c>
      <c r="G62" s="85">
        <f>STATS1003B!G62/1000</f>
        <v>0</v>
      </c>
      <c r="H62" s="85">
        <f>STATS1003B!H62/1000</f>
        <v>8923.2084600000017</v>
      </c>
      <c r="I62" s="85">
        <f>STATS1003B!I62/1000</f>
        <v>0</v>
      </c>
      <c r="J62" s="85">
        <f>STATS1003B!J62/1000</f>
        <v>0</v>
      </c>
      <c r="K62" s="85">
        <f>STATS1003B!K62/1000</f>
        <v>0</v>
      </c>
      <c r="L62" s="85">
        <f>STATS1003B!L62/1000</f>
        <v>0</v>
      </c>
      <c r="M62" s="85">
        <f>STATS1003B!M62/1000</f>
        <v>8923.2084600000017</v>
      </c>
      <c r="N62" s="85">
        <f>STATS1003B!N62/1000</f>
        <v>0</v>
      </c>
      <c r="O62" s="85">
        <f>STATS1003B!O62/1000</f>
        <v>0</v>
      </c>
      <c r="P62" s="85">
        <f>STATS1003B!P62/1000</f>
        <v>0</v>
      </c>
      <c r="Q62" s="85">
        <f>STATS1003B!Q62/1000</f>
        <v>0</v>
      </c>
      <c r="R62" s="85">
        <f>STATS1003B!R62/1000</f>
        <v>0</v>
      </c>
      <c r="S62" s="85">
        <f>STATS1003B!S62/1000</f>
        <v>0</v>
      </c>
      <c r="T62" s="85">
        <f>STATS1003B!T62/1000</f>
        <v>0</v>
      </c>
      <c r="U62" s="85">
        <f>STATS1003B!U62/1000</f>
        <v>0</v>
      </c>
      <c r="V62" s="85">
        <f>STATS1003B!V62/1000</f>
        <v>8923.2084600000017</v>
      </c>
      <c r="W62" s="85">
        <f>STATS1003B!W62/1000</f>
        <v>0</v>
      </c>
      <c r="X62" s="85">
        <f t="shared" si="4"/>
        <v>8923.2084600000017</v>
      </c>
      <c r="Y62" s="85">
        <f>STATS1003B!Y62/1000</f>
        <v>0</v>
      </c>
      <c r="Z62" s="85">
        <f t="shared" si="5"/>
        <v>0</v>
      </c>
      <c r="AA62" s="69">
        <f>STATS1003B!AA62/1000</f>
        <v>8923.2084600000017</v>
      </c>
      <c r="AB62" s="69">
        <f>STATS1003B!AB62/1000</f>
        <v>0</v>
      </c>
    </row>
    <row r="63" spans="1:28" hidden="1" x14ac:dyDescent="0.3">
      <c r="A63" s="117"/>
      <c r="C63" s="71" t="s">
        <v>89</v>
      </c>
      <c r="D63" s="145" t="s">
        <v>60</v>
      </c>
      <c r="E63" s="85">
        <f>STATS1003B!E63/1000</f>
        <v>5000</v>
      </c>
      <c r="F63" s="85">
        <f>STATS1003B!F63/1000</f>
        <v>5000</v>
      </c>
      <c r="G63" s="85">
        <f>STATS1003B!G63/1000</f>
        <v>0</v>
      </c>
      <c r="H63" s="85">
        <f>STATS1003B!H63/1000</f>
        <v>5000</v>
      </c>
      <c r="I63" s="85">
        <f>STATS1003B!I63/1000</f>
        <v>0</v>
      </c>
      <c r="J63" s="85">
        <f>STATS1003B!J63/1000</f>
        <v>0</v>
      </c>
      <c r="K63" s="85">
        <f>STATS1003B!K63/1000</f>
        <v>0</v>
      </c>
      <c r="L63" s="85">
        <f>STATS1003B!L63/1000</f>
        <v>0</v>
      </c>
      <c r="M63" s="85">
        <f>STATS1003B!M63/1000</f>
        <v>5000</v>
      </c>
      <c r="N63" s="85">
        <f>STATS1003B!N63/1000</f>
        <v>0</v>
      </c>
      <c r="O63" s="85">
        <f>STATS1003B!O63/1000</f>
        <v>0</v>
      </c>
      <c r="P63" s="85">
        <f>STATS1003B!P63/1000</f>
        <v>0</v>
      </c>
      <c r="Q63" s="85">
        <f>STATS1003B!Q63/1000</f>
        <v>0</v>
      </c>
      <c r="R63" s="85">
        <f>STATS1003B!R63/1000</f>
        <v>0</v>
      </c>
      <c r="S63" s="85">
        <f>STATS1003B!S63/1000</f>
        <v>0</v>
      </c>
      <c r="T63" s="85">
        <f>STATS1003B!T63/1000</f>
        <v>0</v>
      </c>
      <c r="U63" s="85">
        <f>STATS1003B!U63/1000</f>
        <v>0</v>
      </c>
      <c r="V63" s="85">
        <f>STATS1003B!V63/1000</f>
        <v>5000</v>
      </c>
      <c r="W63" s="85">
        <f>STATS1003B!W63/1000</f>
        <v>0</v>
      </c>
      <c r="X63" s="85">
        <f t="shared" si="4"/>
        <v>5000</v>
      </c>
      <c r="Y63" s="85">
        <f>STATS1003B!Y63/1000</f>
        <v>0</v>
      </c>
      <c r="Z63" s="85">
        <f t="shared" si="5"/>
        <v>0</v>
      </c>
      <c r="AA63" s="69">
        <f>STATS1003B!AA63/1000</f>
        <v>5000</v>
      </c>
      <c r="AB63" s="69">
        <f>STATS1003B!AB63/1000</f>
        <v>0</v>
      </c>
    </row>
    <row r="64" spans="1:28" hidden="1" x14ac:dyDescent="0.3">
      <c r="A64" s="117"/>
      <c r="C64" s="71" t="s">
        <v>90</v>
      </c>
      <c r="D64" s="145" t="s">
        <v>60</v>
      </c>
      <c r="E64" s="85">
        <f>STATS1003B!E64/1000</f>
        <v>750</v>
      </c>
      <c r="F64" s="85">
        <f>STATS1003B!F64/1000</f>
        <v>750</v>
      </c>
      <c r="G64" s="85">
        <f>STATS1003B!G64/1000</f>
        <v>0</v>
      </c>
      <c r="H64" s="85">
        <f>STATS1003B!H64/1000</f>
        <v>750</v>
      </c>
      <c r="I64" s="85">
        <f>STATS1003B!I64/1000</f>
        <v>0</v>
      </c>
      <c r="J64" s="85">
        <f>STATS1003B!J64/1000</f>
        <v>0</v>
      </c>
      <c r="K64" s="85">
        <f>STATS1003B!K64/1000</f>
        <v>0</v>
      </c>
      <c r="L64" s="85">
        <f>STATS1003B!L64/1000</f>
        <v>0</v>
      </c>
      <c r="M64" s="85">
        <f>STATS1003B!M64/1000</f>
        <v>750</v>
      </c>
      <c r="N64" s="85">
        <f>STATS1003B!N64/1000</f>
        <v>0</v>
      </c>
      <c r="O64" s="85">
        <f>STATS1003B!O64/1000</f>
        <v>0</v>
      </c>
      <c r="P64" s="85">
        <f>STATS1003B!P64/1000</f>
        <v>0</v>
      </c>
      <c r="Q64" s="85">
        <f>STATS1003B!Q64/1000</f>
        <v>0</v>
      </c>
      <c r="R64" s="85">
        <f>STATS1003B!R64/1000</f>
        <v>0</v>
      </c>
      <c r="S64" s="85">
        <f>STATS1003B!S64/1000</f>
        <v>0</v>
      </c>
      <c r="T64" s="85">
        <f>STATS1003B!T64/1000</f>
        <v>0</v>
      </c>
      <c r="U64" s="85">
        <f>STATS1003B!U64/1000</f>
        <v>0</v>
      </c>
      <c r="V64" s="85">
        <f>STATS1003B!V64/1000</f>
        <v>750</v>
      </c>
      <c r="W64" s="85">
        <f>STATS1003B!W64/1000</f>
        <v>0</v>
      </c>
      <c r="X64" s="85">
        <f t="shared" si="4"/>
        <v>750</v>
      </c>
      <c r="Y64" s="85">
        <f>STATS1003B!Y64/1000</f>
        <v>0</v>
      </c>
      <c r="Z64" s="85">
        <f t="shared" si="5"/>
        <v>0</v>
      </c>
      <c r="AA64" s="69">
        <f>STATS1003B!AA64/1000</f>
        <v>750</v>
      </c>
      <c r="AB64" s="69">
        <f>STATS1003B!AB64/1000</f>
        <v>0</v>
      </c>
    </row>
    <row r="65" spans="1:28" hidden="1" x14ac:dyDescent="0.3">
      <c r="A65" s="117"/>
      <c r="C65" s="71" t="s">
        <v>930</v>
      </c>
      <c r="D65" s="90" t="s">
        <v>1072</v>
      </c>
      <c r="E65" s="85">
        <f>STATS1003B!E65/1000</f>
        <v>1910.6788599999998</v>
      </c>
      <c r="F65" s="85">
        <f>STATS1003B!F65/1000</f>
        <v>1910.6788599999998</v>
      </c>
      <c r="G65" s="85">
        <f>STATS1003B!G65/1000</f>
        <v>0</v>
      </c>
      <c r="H65" s="85">
        <f>STATS1003B!H65/1000</f>
        <v>1910.6788599999998</v>
      </c>
      <c r="I65" s="85">
        <f>STATS1003B!I65/1000</f>
        <v>0</v>
      </c>
      <c r="J65" s="85">
        <f>STATS1003B!J65/1000</f>
        <v>0</v>
      </c>
      <c r="K65" s="85">
        <f>STATS1003B!K65/1000</f>
        <v>0</v>
      </c>
      <c r="L65" s="85">
        <f>STATS1003B!L65/1000</f>
        <v>0</v>
      </c>
      <c r="M65" s="85">
        <f>STATS1003B!M65/1000</f>
        <v>1910.6788599999998</v>
      </c>
      <c r="N65" s="85">
        <f>STATS1003B!N65/1000</f>
        <v>0</v>
      </c>
      <c r="O65" s="85">
        <f>STATS1003B!O65/1000</f>
        <v>0</v>
      </c>
      <c r="P65" s="85">
        <f>STATS1003B!P65/1000</f>
        <v>0</v>
      </c>
      <c r="Q65" s="85">
        <f>STATS1003B!Q65/1000</f>
        <v>0</v>
      </c>
      <c r="R65" s="85">
        <f>STATS1003B!R65/1000</f>
        <v>0</v>
      </c>
      <c r="S65" s="85">
        <f>STATS1003B!S65/1000</f>
        <v>0</v>
      </c>
      <c r="T65" s="85">
        <f>STATS1003B!T65/1000</f>
        <v>0</v>
      </c>
      <c r="U65" s="85">
        <f>STATS1003B!U65/1000</f>
        <v>0</v>
      </c>
      <c r="V65" s="85">
        <f>STATS1003B!V65/1000</f>
        <v>1910.6788599999998</v>
      </c>
      <c r="W65" s="85">
        <f>STATS1003B!W65/1000</f>
        <v>0</v>
      </c>
      <c r="X65" s="85">
        <f t="shared" si="4"/>
        <v>1910.6788599999998</v>
      </c>
      <c r="Y65" s="85">
        <f>STATS1003B!Y65/1000</f>
        <v>0</v>
      </c>
      <c r="Z65" s="85">
        <f t="shared" si="5"/>
        <v>0</v>
      </c>
      <c r="AA65" s="69">
        <f>STATS1003B!AA65/1000</f>
        <v>1910.6788599999998</v>
      </c>
      <c r="AB65" s="69">
        <f>STATS1003B!AB65/1000</f>
        <v>0</v>
      </c>
    </row>
    <row r="66" spans="1:28" hidden="1" x14ac:dyDescent="0.3">
      <c r="A66" s="117"/>
      <c r="C66" s="68" t="s">
        <v>57</v>
      </c>
      <c r="D66" s="90" t="s">
        <v>61</v>
      </c>
      <c r="E66" s="85">
        <f>STATS1003B!E66/1000</f>
        <v>1220.2831799999999</v>
      </c>
      <c r="F66" s="85">
        <f>STATS1003B!F66/1000</f>
        <v>1220.2831799999999</v>
      </c>
      <c r="G66" s="85">
        <f>STATS1003B!G66/1000</f>
        <v>0</v>
      </c>
      <c r="H66" s="85">
        <f>STATS1003B!H66/1000</f>
        <v>1220.2831799999999</v>
      </c>
      <c r="I66" s="85">
        <f>STATS1003B!I66/1000</f>
        <v>0</v>
      </c>
      <c r="J66" s="85">
        <f>STATS1003B!J66/1000</f>
        <v>0</v>
      </c>
      <c r="K66" s="85">
        <f>STATS1003B!K66/1000</f>
        <v>0</v>
      </c>
      <c r="L66" s="85">
        <f>STATS1003B!L66/1000</f>
        <v>0</v>
      </c>
      <c r="M66" s="85">
        <f>STATS1003B!M66/1000</f>
        <v>1220.2831799999999</v>
      </c>
      <c r="N66" s="85">
        <f>STATS1003B!N66/1000</f>
        <v>0</v>
      </c>
      <c r="O66" s="85">
        <f>STATS1003B!O66/1000</f>
        <v>0</v>
      </c>
      <c r="P66" s="85">
        <f>STATS1003B!P66/1000</f>
        <v>0</v>
      </c>
      <c r="Q66" s="85">
        <f>STATS1003B!Q66/1000</f>
        <v>0</v>
      </c>
      <c r="R66" s="85">
        <f>STATS1003B!R66/1000</f>
        <v>0</v>
      </c>
      <c r="S66" s="85">
        <f>STATS1003B!S66/1000</f>
        <v>0</v>
      </c>
      <c r="T66" s="85">
        <f>STATS1003B!T66/1000</f>
        <v>0</v>
      </c>
      <c r="U66" s="85">
        <f>STATS1003B!U66/1000</f>
        <v>0</v>
      </c>
      <c r="V66" s="85">
        <f>STATS1003B!V66/1000</f>
        <v>1220.2831799999999</v>
      </c>
      <c r="W66" s="85">
        <f>STATS1003B!W66/1000</f>
        <v>0</v>
      </c>
      <c r="X66" s="85">
        <f t="shared" si="4"/>
        <v>1220.2831799999999</v>
      </c>
      <c r="Y66" s="85">
        <f>STATS1003B!Y66/1000</f>
        <v>0</v>
      </c>
      <c r="Z66" s="85">
        <f t="shared" si="5"/>
        <v>0</v>
      </c>
      <c r="AA66" s="69">
        <f>STATS1003B!AA66/1000</f>
        <v>1220.2831799999999</v>
      </c>
      <c r="AB66" s="69">
        <f>STATS1003B!AB66/1000</f>
        <v>0</v>
      </c>
    </row>
    <row r="67" spans="1:28" hidden="1" x14ac:dyDescent="0.3">
      <c r="A67" s="117"/>
      <c r="E67" s="86" t="s">
        <v>29</v>
      </c>
      <c r="F67" s="86" t="s">
        <v>29</v>
      </c>
      <c r="G67" s="86" t="s">
        <v>29</v>
      </c>
      <c r="H67" s="86" t="s">
        <v>29</v>
      </c>
      <c r="I67" s="86" t="s">
        <v>29</v>
      </c>
      <c r="J67" s="86" t="s">
        <v>29</v>
      </c>
      <c r="K67" s="86" t="s">
        <v>29</v>
      </c>
      <c r="L67" s="86" t="s">
        <v>29</v>
      </c>
      <c r="M67" s="86" t="s">
        <v>29</v>
      </c>
      <c r="N67" s="86" t="s">
        <v>29</v>
      </c>
      <c r="O67" s="86" t="s">
        <v>29</v>
      </c>
      <c r="P67" s="86" t="s">
        <v>29</v>
      </c>
      <c r="Q67" s="86" t="s">
        <v>29</v>
      </c>
      <c r="R67" s="86" t="s">
        <v>29</v>
      </c>
      <c r="S67" s="86" t="s">
        <v>29</v>
      </c>
      <c r="T67" s="86" t="s">
        <v>29</v>
      </c>
      <c r="U67" s="86" t="s">
        <v>29</v>
      </c>
      <c r="V67" s="86" t="s">
        <v>29</v>
      </c>
      <c r="W67" s="86" t="s">
        <v>29</v>
      </c>
      <c r="X67" s="85" t="e">
        <f t="shared" si="4"/>
        <v>#VALUE!</v>
      </c>
      <c r="Y67" s="86" t="s">
        <v>29</v>
      </c>
      <c r="Z67" s="85" t="e">
        <f t="shared" si="5"/>
        <v>#VALUE!</v>
      </c>
      <c r="AA67" s="115" t="s">
        <v>29</v>
      </c>
      <c r="AB67" s="115" t="s">
        <v>29</v>
      </c>
    </row>
    <row r="68" spans="1:28" x14ac:dyDescent="0.3">
      <c r="A68" s="119" t="s">
        <v>936</v>
      </c>
      <c r="B68" s="68" t="s">
        <v>74</v>
      </c>
      <c r="E68" s="85">
        <f>135798674.57/1000</f>
        <v>135798.67457</v>
      </c>
      <c r="F68" s="85">
        <f>SUM(F49:F66)</f>
        <v>52370.175060000001</v>
      </c>
      <c r="G68" s="85">
        <f>SUM(G49:G66)</f>
        <v>0</v>
      </c>
      <c r="H68" s="85">
        <f>119792227.09/1000</f>
        <v>119792.22709</v>
      </c>
      <c r="I68" s="85">
        <f t="shared" ref="I68:O68" si="6">SUM(I49:I66)</f>
        <v>0</v>
      </c>
      <c r="J68" s="85">
        <f t="shared" si="6"/>
        <v>0</v>
      </c>
      <c r="K68" s="85">
        <f t="shared" si="6"/>
        <v>0</v>
      </c>
      <c r="L68" s="85">
        <f t="shared" si="6"/>
        <v>0</v>
      </c>
      <c r="M68" s="85">
        <f t="shared" si="6"/>
        <v>52370.175060000001</v>
      </c>
      <c r="N68" s="85">
        <f t="shared" si="6"/>
        <v>14523.77937</v>
      </c>
      <c r="O68" s="85">
        <f t="shared" si="6"/>
        <v>0</v>
      </c>
      <c r="P68" s="85">
        <f>14523779/1000</f>
        <v>14523.779</v>
      </c>
      <c r="Q68" s="85">
        <f t="shared" ref="Q68:W68" si="7">SUM(Q49:Q66)</f>
        <v>0</v>
      </c>
      <c r="R68" s="85">
        <f t="shared" si="7"/>
        <v>0</v>
      </c>
      <c r="S68" s="85">
        <f t="shared" si="7"/>
        <v>0</v>
      </c>
      <c r="T68" s="85">
        <f t="shared" si="7"/>
        <v>0</v>
      </c>
      <c r="U68" s="85">
        <f t="shared" si="7"/>
        <v>14523.77937</v>
      </c>
      <c r="V68" s="85">
        <f t="shared" si="7"/>
        <v>66893.954429999998</v>
      </c>
      <c r="W68" s="85">
        <f t="shared" si="7"/>
        <v>1482.6681099999994</v>
      </c>
      <c r="X68" s="85">
        <f t="shared" si="4"/>
        <v>134316.00609000001</v>
      </c>
      <c r="Y68" s="85">
        <f>SUM(Y49:Y66)</f>
        <v>0</v>
      </c>
      <c r="Z68" s="85">
        <f t="shared" si="5"/>
        <v>1482.668479999993</v>
      </c>
      <c r="AA68" s="69">
        <f>SUM(AA49:AA66)</f>
        <v>66893.954429999998</v>
      </c>
      <c r="AB68" s="69">
        <f>SUM(AB49:AB66)</f>
        <v>1482.6681099999994</v>
      </c>
    </row>
    <row r="69" spans="1:28" ht="20.25" hidden="1" customHeight="1" x14ac:dyDescent="0.3">
      <c r="A69" s="117"/>
      <c r="E69" s="86" t="s">
        <v>29</v>
      </c>
      <c r="F69" s="86" t="s">
        <v>29</v>
      </c>
      <c r="G69" s="86" t="s">
        <v>29</v>
      </c>
      <c r="H69" s="86" t="s">
        <v>29</v>
      </c>
      <c r="I69" s="86" t="s">
        <v>29</v>
      </c>
      <c r="J69" s="86" t="s">
        <v>29</v>
      </c>
      <c r="K69" s="86" t="s">
        <v>29</v>
      </c>
      <c r="L69" s="86" t="s">
        <v>29</v>
      </c>
      <c r="M69" s="86" t="s">
        <v>29</v>
      </c>
      <c r="N69" s="86" t="s">
        <v>29</v>
      </c>
      <c r="O69" s="86" t="s">
        <v>29</v>
      </c>
      <c r="P69" s="86" t="s">
        <v>29</v>
      </c>
      <c r="Q69" s="86" t="s">
        <v>29</v>
      </c>
      <c r="R69" s="86" t="s">
        <v>29</v>
      </c>
      <c r="S69" s="86" t="s">
        <v>29</v>
      </c>
      <c r="T69" s="86" t="s">
        <v>29</v>
      </c>
      <c r="U69" s="86" t="s">
        <v>29</v>
      </c>
      <c r="V69" s="86" t="s">
        <v>29</v>
      </c>
      <c r="W69" s="86" t="s">
        <v>29</v>
      </c>
      <c r="X69" s="85" t="e">
        <f t="shared" si="4"/>
        <v>#VALUE!</v>
      </c>
      <c r="Y69" s="86" t="s">
        <v>29</v>
      </c>
      <c r="Z69" s="85" t="e">
        <f t="shared" si="5"/>
        <v>#VALUE!</v>
      </c>
      <c r="AA69" s="115" t="s">
        <v>29</v>
      </c>
      <c r="AB69" s="115" t="s">
        <v>29</v>
      </c>
    </row>
    <row r="70" spans="1:28" ht="20.25" hidden="1" customHeight="1" x14ac:dyDescent="0.3">
      <c r="A70" s="105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5">
        <f t="shared" si="4"/>
        <v>0</v>
      </c>
      <c r="Y70" s="84"/>
      <c r="Z70" s="85">
        <f t="shared" si="5"/>
        <v>0</v>
      </c>
      <c r="AA70" s="118"/>
    </row>
    <row r="71" spans="1:28" ht="20.25" hidden="1" customHeight="1" x14ac:dyDescent="0.3">
      <c r="A71" s="117"/>
      <c r="C71" s="68" t="s">
        <v>75</v>
      </c>
      <c r="D71" s="88" t="s">
        <v>76</v>
      </c>
      <c r="E71" s="85">
        <f>STATS1003B!E71/1000</f>
        <v>898</v>
      </c>
      <c r="F71" s="85">
        <f>STATS1003B!F71/1000</f>
        <v>0</v>
      </c>
      <c r="G71" s="85">
        <f>STATS1003B!G71/1000</f>
        <v>0</v>
      </c>
      <c r="H71" s="85">
        <f>STATS1003B!H71/1000</f>
        <v>0</v>
      </c>
      <c r="I71" s="85">
        <f>STATS1003B!I71/1000</f>
        <v>0</v>
      </c>
      <c r="J71" s="85">
        <f>STATS1003B!J71/1000</f>
        <v>0</v>
      </c>
      <c r="K71" s="85">
        <f>STATS1003B!K71/1000</f>
        <v>0</v>
      </c>
      <c r="L71" s="85">
        <f>STATS1003B!L71/1000</f>
        <v>0</v>
      </c>
      <c r="M71" s="85">
        <f>STATS1003B!M71/1000</f>
        <v>0</v>
      </c>
      <c r="N71" s="85">
        <f>STATS1003B!N71/1000</f>
        <v>650.63790000000006</v>
      </c>
      <c r="O71" s="85">
        <f>STATS1003B!O71/1000</f>
        <v>0</v>
      </c>
      <c r="P71" s="85">
        <f>STATS1003B!P71/1000</f>
        <v>650.63790000000006</v>
      </c>
      <c r="Q71" s="85">
        <f>STATS1003B!Q71/1000</f>
        <v>0</v>
      </c>
      <c r="R71" s="85">
        <f>STATS1003B!R71/1000</f>
        <v>0</v>
      </c>
      <c r="S71" s="85">
        <f>STATS1003B!S71/1000</f>
        <v>0</v>
      </c>
      <c r="T71" s="85">
        <f>STATS1003B!T71/1000</f>
        <v>0</v>
      </c>
      <c r="U71" s="85">
        <f>STATS1003B!U71/1000</f>
        <v>650.63790000000006</v>
      </c>
      <c r="V71" s="85">
        <f>STATS1003B!V71/1000</f>
        <v>650.63790000000006</v>
      </c>
      <c r="W71" s="85">
        <f>STATS1003B!W71/1000</f>
        <v>247.36209999999997</v>
      </c>
      <c r="X71" s="85">
        <f t="shared" si="4"/>
        <v>650.63790000000006</v>
      </c>
      <c r="Y71" s="85">
        <f>STATS1003B!Y71/1000</f>
        <v>0</v>
      </c>
      <c r="Z71" s="85">
        <f t="shared" si="5"/>
        <v>247.36209999999994</v>
      </c>
      <c r="AA71" s="69">
        <f>STATS1003B!AA71/1000</f>
        <v>650.63790000000006</v>
      </c>
      <c r="AB71" s="69">
        <f>STATS1003B!AB71/1000</f>
        <v>247.36209999999997</v>
      </c>
    </row>
    <row r="72" spans="1:28" ht="20.25" hidden="1" customHeight="1" x14ac:dyDescent="0.3">
      <c r="A72" s="117"/>
      <c r="C72" s="71" t="s">
        <v>77</v>
      </c>
      <c r="D72" s="88" t="s">
        <v>78</v>
      </c>
      <c r="E72" s="85">
        <f>STATS1003B!E72/1000</f>
        <v>6290.6516300000003</v>
      </c>
      <c r="F72" s="85">
        <f>STATS1003B!F72/1000</f>
        <v>4285.2911699999995</v>
      </c>
      <c r="G72" s="85">
        <f>STATS1003B!G72/1000</f>
        <v>0</v>
      </c>
      <c r="H72" s="85">
        <f>STATS1003B!H72/1000</f>
        <v>4285.2911699999995</v>
      </c>
      <c r="I72" s="85">
        <f>STATS1003B!I72/1000</f>
        <v>0</v>
      </c>
      <c r="J72" s="85">
        <f>STATS1003B!J72/1000</f>
        <v>0</v>
      </c>
      <c r="K72" s="85">
        <f>STATS1003B!K72/1000</f>
        <v>0</v>
      </c>
      <c r="L72" s="85">
        <f>STATS1003B!L72/1000</f>
        <v>0</v>
      </c>
      <c r="M72" s="85">
        <f>STATS1003B!M72/1000</f>
        <v>4285.2911699999995</v>
      </c>
      <c r="N72" s="85">
        <f>STATS1003B!N72/1000</f>
        <v>2005.3604599999999</v>
      </c>
      <c r="O72" s="85">
        <f>STATS1003B!O72/1000</f>
        <v>0</v>
      </c>
      <c r="P72" s="85">
        <f>STATS1003B!P72/1000</f>
        <v>2005.3604599999999</v>
      </c>
      <c r="Q72" s="85">
        <f>STATS1003B!Q72/1000</f>
        <v>0</v>
      </c>
      <c r="R72" s="85">
        <f>STATS1003B!R72/1000</f>
        <v>0</v>
      </c>
      <c r="S72" s="85">
        <f>STATS1003B!S72/1000</f>
        <v>0</v>
      </c>
      <c r="T72" s="85">
        <f>STATS1003B!T72/1000</f>
        <v>0</v>
      </c>
      <c r="U72" s="85">
        <f>STATS1003B!U72/1000</f>
        <v>2005.3604599999999</v>
      </c>
      <c r="V72" s="85">
        <f>STATS1003B!V72/1000</f>
        <v>6290.6516300000003</v>
      </c>
      <c r="W72" s="85">
        <f>STATS1003B!W72/1000</f>
        <v>0</v>
      </c>
      <c r="X72" s="85">
        <f t="shared" si="4"/>
        <v>6290.6516299999994</v>
      </c>
      <c r="Y72" s="85">
        <f>STATS1003B!Y72/1000</f>
        <v>0</v>
      </c>
      <c r="Z72" s="85">
        <f t="shared" si="5"/>
        <v>0</v>
      </c>
      <c r="AA72" s="69">
        <f>STATS1003B!AA72/1000</f>
        <v>6290.6516300000003</v>
      </c>
      <c r="AB72" s="69">
        <f>STATS1003B!AB72/1000</f>
        <v>0</v>
      </c>
    </row>
    <row r="73" spans="1:28" ht="20.25" hidden="1" customHeight="1" x14ac:dyDescent="0.3">
      <c r="A73" s="117"/>
      <c r="C73" s="68" t="s">
        <v>92</v>
      </c>
      <c r="D73" s="145" t="s">
        <v>79</v>
      </c>
      <c r="E73" s="85">
        <f>STATS1003B!E73/1000</f>
        <v>18905.708600000002</v>
      </c>
      <c r="F73" s="85">
        <f>STATS1003B!F73/1000</f>
        <v>10447.9766</v>
      </c>
      <c r="G73" s="85">
        <f>STATS1003B!G73/1000</f>
        <v>0</v>
      </c>
      <c r="H73" s="85">
        <f>STATS1003B!H73/1000</f>
        <v>10447.9766</v>
      </c>
      <c r="I73" s="85">
        <f>STATS1003B!I73/1000</f>
        <v>0</v>
      </c>
      <c r="J73" s="85">
        <f>STATS1003B!J73/1000</f>
        <v>0</v>
      </c>
      <c r="K73" s="85">
        <f>STATS1003B!K73/1000</f>
        <v>0</v>
      </c>
      <c r="L73" s="85">
        <f>STATS1003B!L73/1000</f>
        <v>0</v>
      </c>
      <c r="M73" s="85">
        <f>STATS1003B!M73/1000</f>
        <v>10447.9766</v>
      </c>
      <c r="N73" s="85">
        <f>STATS1003B!N73/1000</f>
        <v>8457.732</v>
      </c>
      <c r="O73" s="85">
        <f>STATS1003B!O73/1000</f>
        <v>0</v>
      </c>
      <c r="P73" s="85">
        <f>STATS1003B!P73/1000</f>
        <v>8457.732</v>
      </c>
      <c r="Q73" s="85">
        <f>STATS1003B!Q73/1000</f>
        <v>0</v>
      </c>
      <c r="R73" s="85">
        <f>STATS1003B!R73/1000</f>
        <v>0</v>
      </c>
      <c r="S73" s="85">
        <f>STATS1003B!S73/1000</f>
        <v>0</v>
      </c>
      <c r="T73" s="85">
        <f>STATS1003B!T73/1000</f>
        <v>0</v>
      </c>
      <c r="U73" s="85">
        <f>STATS1003B!U73/1000</f>
        <v>8457.732</v>
      </c>
      <c r="V73" s="85">
        <f>STATS1003B!V73/1000</f>
        <v>18905.708600000002</v>
      </c>
      <c r="W73" s="85">
        <f>STATS1003B!W73/1000</f>
        <v>0</v>
      </c>
      <c r="X73" s="85">
        <f t="shared" si="4"/>
        <v>18905.708599999998</v>
      </c>
      <c r="Y73" s="85">
        <f>STATS1003B!Y73/1000</f>
        <v>0</v>
      </c>
      <c r="Z73" s="85">
        <f t="shared" si="5"/>
        <v>0</v>
      </c>
      <c r="AA73" s="69">
        <f>STATS1003B!AA73/1000</f>
        <v>18905.708600000002</v>
      </c>
      <c r="AB73" s="69">
        <f>STATS1003B!AB73/1000</f>
        <v>0</v>
      </c>
    </row>
    <row r="74" spans="1:28" ht="20.25" hidden="1" customHeight="1" x14ac:dyDescent="0.3">
      <c r="A74" s="117"/>
      <c r="D74" s="71" t="s">
        <v>80</v>
      </c>
      <c r="E74" s="85">
        <f>STATS1003B!E74/1000</f>
        <v>0</v>
      </c>
      <c r="F74" s="85">
        <f>STATS1003B!F74/1000</f>
        <v>0</v>
      </c>
      <c r="G74" s="85">
        <f>STATS1003B!G74/1000</f>
        <v>0</v>
      </c>
      <c r="H74" s="85">
        <f>STATS1003B!H74/1000</f>
        <v>0</v>
      </c>
      <c r="I74" s="85">
        <f>STATS1003B!I74/1000</f>
        <v>0</v>
      </c>
      <c r="J74" s="85">
        <f>STATS1003B!J74/1000</f>
        <v>0</v>
      </c>
      <c r="K74" s="85">
        <f>STATS1003B!K74/1000</f>
        <v>0</v>
      </c>
      <c r="L74" s="85">
        <f>STATS1003B!L74/1000</f>
        <v>0</v>
      </c>
      <c r="M74" s="85">
        <f>STATS1003B!M74/1000</f>
        <v>0</v>
      </c>
      <c r="N74" s="85">
        <f>STATS1003B!N74/1000</f>
        <v>0</v>
      </c>
      <c r="O74" s="85">
        <f>STATS1003B!O74/1000</f>
        <v>0</v>
      </c>
      <c r="P74" s="85">
        <f>STATS1003B!P74/1000</f>
        <v>0</v>
      </c>
      <c r="Q74" s="85">
        <f>STATS1003B!Q74/1000</f>
        <v>0</v>
      </c>
      <c r="R74" s="85">
        <f>STATS1003B!R74/1000</f>
        <v>0</v>
      </c>
      <c r="S74" s="85">
        <f>STATS1003B!S74/1000</f>
        <v>0</v>
      </c>
      <c r="T74" s="85">
        <f>STATS1003B!T74/1000</f>
        <v>0</v>
      </c>
      <c r="U74" s="85">
        <f>STATS1003B!U74/1000</f>
        <v>0</v>
      </c>
      <c r="V74" s="85">
        <f>STATS1003B!V74/1000</f>
        <v>0</v>
      </c>
      <c r="W74" s="85">
        <f>STATS1003B!W74/1000</f>
        <v>0</v>
      </c>
      <c r="X74" s="85">
        <f t="shared" si="4"/>
        <v>0</v>
      </c>
      <c r="Y74" s="85">
        <f>STATS1003B!Y74/1000</f>
        <v>0</v>
      </c>
      <c r="Z74" s="85">
        <f t="shared" si="5"/>
        <v>0</v>
      </c>
      <c r="AA74" s="69">
        <f>STATS1003B!AA74/1000</f>
        <v>0</v>
      </c>
      <c r="AB74" s="69">
        <f>STATS1003B!AB74/1000</f>
        <v>0</v>
      </c>
    </row>
    <row r="75" spans="1:28" ht="20.25" hidden="1" customHeight="1" x14ac:dyDescent="0.3">
      <c r="A75" s="117"/>
      <c r="C75" s="68" t="s">
        <v>81</v>
      </c>
      <c r="D75" s="145" t="s">
        <v>78</v>
      </c>
      <c r="E75" s="85">
        <f>STATS1003B!E75/1000</f>
        <v>1000</v>
      </c>
      <c r="F75" s="85">
        <f>STATS1003B!F75/1000</f>
        <v>1000</v>
      </c>
      <c r="G75" s="85">
        <f>STATS1003B!G75/1000</f>
        <v>0</v>
      </c>
      <c r="H75" s="85">
        <f>STATS1003B!H75/1000</f>
        <v>1000</v>
      </c>
      <c r="I75" s="85">
        <f>STATS1003B!I75/1000</f>
        <v>0</v>
      </c>
      <c r="J75" s="85">
        <f>STATS1003B!J75/1000</f>
        <v>0</v>
      </c>
      <c r="K75" s="85">
        <f>STATS1003B!K75/1000</f>
        <v>0</v>
      </c>
      <c r="L75" s="85">
        <f>STATS1003B!L75/1000</f>
        <v>0</v>
      </c>
      <c r="M75" s="85">
        <f>STATS1003B!M75/1000</f>
        <v>1000</v>
      </c>
      <c r="N75" s="85">
        <f>STATS1003B!N75/1000</f>
        <v>0</v>
      </c>
      <c r="O75" s="85">
        <f>STATS1003B!O75/1000</f>
        <v>0</v>
      </c>
      <c r="P75" s="85">
        <f>STATS1003B!P75/1000</f>
        <v>0</v>
      </c>
      <c r="Q75" s="85">
        <f>STATS1003B!Q75/1000</f>
        <v>0</v>
      </c>
      <c r="R75" s="85">
        <f>STATS1003B!R75/1000</f>
        <v>0</v>
      </c>
      <c r="S75" s="85">
        <f>STATS1003B!S75/1000</f>
        <v>0</v>
      </c>
      <c r="T75" s="85">
        <f>STATS1003B!T75/1000</f>
        <v>0</v>
      </c>
      <c r="U75" s="85">
        <f>STATS1003B!U75/1000</f>
        <v>0</v>
      </c>
      <c r="V75" s="85">
        <f>STATS1003B!V75/1000</f>
        <v>1000</v>
      </c>
      <c r="W75" s="85">
        <f>STATS1003B!W75/1000</f>
        <v>0</v>
      </c>
      <c r="X75" s="85">
        <f t="shared" si="4"/>
        <v>1000</v>
      </c>
      <c r="Y75" s="85">
        <f>STATS1003B!Y75/1000</f>
        <v>0</v>
      </c>
      <c r="Z75" s="85">
        <f t="shared" si="5"/>
        <v>0</v>
      </c>
      <c r="AA75" s="69">
        <f>STATS1003B!AA75/1000</f>
        <v>1000</v>
      </c>
      <c r="AB75" s="69">
        <f>STATS1003B!AB75/1000</f>
        <v>0</v>
      </c>
    </row>
    <row r="76" spans="1:28" ht="20.25" hidden="1" customHeight="1" x14ac:dyDescent="0.3">
      <c r="A76" s="117"/>
      <c r="C76" s="68" t="s">
        <v>55</v>
      </c>
      <c r="D76" s="145" t="s">
        <v>93</v>
      </c>
      <c r="E76" s="85">
        <f>STATS1003B!E76/1000</f>
        <v>6056.8585000000003</v>
      </c>
      <c r="F76" s="85">
        <f>STATS1003B!F76/1000</f>
        <v>0</v>
      </c>
      <c r="G76" s="85">
        <f>STATS1003B!G76/1000</f>
        <v>0</v>
      </c>
      <c r="H76" s="85">
        <f>STATS1003B!H76/1000</f>
        <v>0</v>
      </c>
      <c r="I76" s="85">
        <f>STATS1003B!I76/1000</f>
        <v>0</v>
      </c>
      <c r="J76" s="85">
        <f>STATS1003B!J76/1000</f>
        <v>0</v>
      </c>
      <c r="K76" s="85">
        <f>STATS1003B!K76/1000</f>
        <v>0</v>
      </c>
      <c r="L76" s="85">
        <f>STATS1003B!L76/1000</f>
        <v>0</v>
      </c>
      <c r="M76" s="85">
        <f>STATS1003B!M76/1000</f>
        <v>0</v>
      </c>
      <c r="N76" s="85">
        <f>STATS1003B!N76/1000</f>
        <v>6056.8585000000003</v>
      </c>
      <c r="O76" s="85">
        <f>STATS1003B!O76/1000</f>
        <v>0</v>
      </c>
      <c r="P76" s="85">
        <f>STATS1003B!P76/1000</f>
        <v>6056.8585000000003</v>
      </c>
      <c r="Q76" s="85">
        <f>STATS1003B!Q76/1000</f>
        <v>0</v>
      </c>
      <c r="R76" s="85">
        <f>STATS1003B!R76/1000</f>
        <v>0</v>
      </c>
      <c r="S76" s="85">
        <f>STATS1003B!S76/1000</f>
        <v>0</v>
      </c>
      <c r="T76" s="85">
        <f>STATS1003B!T76/1000</f>
        <v>0</v>
      </c>
      <c r="U76" s="85">
        <f>STATS1003B!U76/1000</f>
        <v>6056.8585000000003</v>
      </c>
      <c r="V76" s="85">
        <f>STATS1003B!V76/1000</f>
        <v>6056.8585000000003</v>
      </c>
      <c r="W76" s="85">
        <f>STATS1003B!W76/1000</f>
        <v>0</v>
      </c>
      <c r="X76" s="85">
        <f t="shared" si="4"/>
        <v>6056.8585000000003</v>
      </c>
      <c r="Y76" s="85">
        <f>STATS1003B!Y76/1000</f>
        <v>0</v>
      </c>
      <c r="Z76" s="85">
        <f t="shared" si="5"/>
        <v>0</v>
      </c>
      <c r="AA76" s="69">
        <f>STATS1003B!AA76/1000</f>
        <v>6056.8585000000003</v>
      </c>
      <c r="AB76" s="69">
        <f>STATS1003B!AB76/1000</f>
        <v>0</v>
      </c>
    </row>
    <row r="77" spans="1:28" ht="20.25" hidden="1" customHeight="1" x14ac:dyDescent="0.3">
      <c r="A77" s="117"/>
      <c r="C77" s="68" t="s">
        <v>53</v>
      </c>
      <c r="D77" s="145" t="s">
        <v>68</v>
      </c>
      <c r="E77" s="85">
        <f>STATS1003B!E77/1000</f>
        <v>1953.989</v>
      </c>
      <c r="F77" s="85">
        <f>STATS1003B!F77/1000</f>
        <v>0</v>
      </c>
      <c r="G77" s="85">
        <f>STATS1003B!G77/1000</f>
        <v>0</v>
      </c>
      <c r="H77" s="85">
        <f>STATS1003B!H77/1000</f>
        <v>0</v>
      </c>
      <c r="I77" s="85">
        <f>STATS1003B!I77/1000</f>
        <v>0</v>
      </c>
      <c r="J77" s="85">
        <f>STATS1003B!J77/1000</f>
        <v>0</v>
      </c>
      <c r="K77" s="85">
        <f>STATS1003B!K77/1000</f>
        <v>0</v>
      </c>
      <c r="L77" s="85">
        <f>STATS1003B!L77/1000</f>
        <v>0</v>
      </c>
      <c r="M77" s="85">
        <f>STATS1003B!M77/1000</f>
        <v>0</v>
      </c>
      <c r="N77" s="85">
        <f>STATS1003B!N77/1000</f>
        <v>1953.989</v>
      </c>
      <c r="O77" s="85">
        <f>STATS1003B!O77/1000</f>
        <v>0</v>
      </c>
      <c r="P77" s="85">
        <f>STATS1003B!P77/1000</f>
        <v>1953.989</v>
      </c>
      <c r="Q77" s="85">
        <f>STATS1003B!Q77/1000</f>
        <v>0</v>
      </c>
      <c r="R77" s="85">
        <f>STATS1003B!R77/1000</f>
        <v>0</v>
      </c>
      <c r="S77" s="85">
        <f>STATS1003B!S77/1000</f>
        <v>0</v>
      </c>
      <c r="T77" s="85">
        <f>STATS1003B!T77/1000</f>
        <v>0</v>
      </c>
      <c r="U77" s="85">
        <f>STATS1003B!U77/1000</f>
        <v>1953.989</v>
      </c>
      <c r="V77" s="85">
        <f>STATS1003B!V77/1000</f>
        <v>1953.989</v>
      </c>
      <c r="W77" s="85">
        <f>STATS1003B!W77/1000</f>
        <v>0</v>
      </c>
      <c r="X77" s="85">
        <f t="shared" si="4"/>
        <v>1953.989</v>
      </c>
      <c r="Y77" s="85">
        <f>STATS1003B!Y77/1000</f>
        <v>0</v>
      </c>
      <c r="Z77" s="85">
        <f t="shared" si="5"/>
        <v>0</v>
      </c>
      <c r="AA77" s="69">
        <f>STATS1003B!AA77/1000</f>
        <v>1953.989</v>
      </c>
      <c r="AB77" s="69">
        <f>STATS1003B!AB77/1000</f>
        <v>0</v>
      </c>
    </row>
    <row r="78" spans="1:28" ht="20.25" hidden="1" customHeight="1" x14ac:dyDescent="0.3">
      <c r="A78" s="117"/>
      <c r="C78" s="68" t="s">
        <v>94</v>
      </c>
      <c r="D78" s="145" t="s">
        <v>85</v>
      </c>
      <c r="E78" s="85">
        <f>STATS1003B!E78/1000</f>
        <v>846</v>
      </c>
      <c r="F78" s="85">
        <f>STATS1003B!F78/1000</f>
        <v>846</v>
      </c>
      <c r="G78" s="85">
        <f>STATS1003B!G78/1000</f>
        <v>0</v>
      </c>
      <c r="H78" s="85">
        <f>STATS1003B!H78/1000</f>
        <v>846</v>
      </c>
      <c r="I78" s="85">
        <f>STATS1003B!I78/1000</f>
        <v>0</v>
      </c>
      <c r="J78" s="85">
        <f>STATS1003B!J78/1000</f>
        <v>0</v>
      </c>
      <c r="K78" s="85">
        <f>STATS1003B!K78/1000</f>
        <v>0</v>
      </c>
      <c r="L78" s="85">
        <f>STATS1003B!L78/1000</f>
        <v>0</v>
      </c>
      <c r="M78" s="85">
        <f>STATS1003B!M78/1000</f>
        <v>846</v>
      </c>
      <c r="N78" s="85">
        <f>STATS1003B!N78/1000</f>
        <v>0</v>
      </c>
      <c r="O78" s="85">
        <f>STATS1003B!O78/1000</f>
        <v>0</v>
      </c>
      <c r="P78" s="85">
        <f>STATS1003B!P78/1000</f>
        <v>0</v>
      </c>
      <c r="Q78" s="85">
        <f>STATS1003B!Q78/1000</f>
        <v>0</v>
      </c>
      <c r="R78" s="85">
        <f>STATS1003B!R78/1000</f>
        <v>0</v>
      </c>
      <c r="S78" s="85">
        <f>STATS1003B!S78/1000</f>
        <v>0</v>
      </c>
      <c r="T78" s="85">
        <f>STATS1003B!T78/1000</f>
        <v>0</v>
      </c>
      <c r="U78" s="85">
        <f>STATS1003B!U78/1000</f>
        <v>0</v>
      </c>
      <c r="V78" s="85">
        <f>STATS1003B!V78/1000</f>
        <v>846</v>
      </c>
      <c r="W78" s="85">
        <f>STATS1003B!W78/1000</f>
        <v>0</v>
      </c>
      <c r="X78" s="85">
        <f t="shared" si="4"/>
        <v>846</v>
      </c>
      <c r="Y78" s="85">
        <f>STATS1003B!Y78/1000</f>
        <v>0</v>
      </c>
      <c r="Z78" s="85">
        <f t="shared" si="5"/>
        <v>0</v>
      </c>
      <c r="AA78" s="69">
        <f>STATS1003B!AA78/1000</f>
        <v>846</v>
      </c>
      <c r="AB78" s="69">
        <f>STATS1003B!AB78/1000</f>
        <v>0</v>
      </c>
    </row>
    <row r="79" spans="1:28" ht="20.25" hidden="1" customHeight="1" x14ac:dyDescent="0.3">
      <c r="A79" s="117"/>
      <c r="C79" s="68" t="s">
        <v>86</v>
      </c>
      <c r="D79" s="145" t="s">
        <v>85</v>
      </c>
      <c r="E79" s="85">
        <f>STATS1003B!E79/1000</f>
        <v>0</v>
      </c>
      <c r="F79" s="85">
        <f>STATS1003B!F79/1000</f>
        <v>0</v>
      </c>
      <c r="G79" s="85">
        <f>STATS1003B!G79/1000</f>
        <v>0</v>
      </c>
      <c r="H79" s="85">
        <f>STATS1003B!H79/1000</f>
        <v>0</v>
      </c>
      <c r="I79" s="85">
        <f>STATS1003B!I79/1000</f>
        <v>0</v>
      </c>
      <c r="J79" s="85">
        <f>STATS1003B!J79/1000</f>
        <v>0</v>
      </c>
      <c r="K79" s="85">
        <f>STATS1003B!K79/1000</f>
        <v>0</v>
      </c>
      <c r="L79" s="85">
        <f>STATS1003B!L79/1000</f>
        <v>0</v>
      </c>
      <c r="M79" s="85">
        <f>STATS1003B!M79/1000</f>
        <v>0</v>
      </c>
      <c r="N79" s="85">
        <f>STATS1003B!N79/1000</f>
        <v>0</v>
      </c>
      <c r="O79" s="85">
        <f>STATS1003B!O79/1000</f>
        <v>0</v>
      </c>
      <c r="P79" s="85">
        <f>STATS1003B!P79/1000</f>
        <v>0</v>
      </c>
      <c r="Q79" s="85">
        <f>STATS1003B!Q79/1000</f>
        <v>0</v>
      </c>
      <c r="R79" s="85">
        <f>STATS1003B!R79/1000</f>
        <v>0</v>
      </c>
      <c r="S79" s="85">
        <f>STATS1003B!S79/1000</f>
        <v>0</v>
      </c>
      <c r="T79" s="85">
        <f>STATS1003B!T79/1000</f>
        <v>0</v>
      </c>
      <c r="U79" s="85">
        <f>STATS1003B!U79/1000</f>
        <v>0</v>
      </c>
      <c r="V79" s="85">
        <f>STATS1003B!V79/1000</f>
        <v>0</v>
      </c>
      <c r="W79" s="85">
        <f>STATS1003B!W79/1000</f>
        <v>0</v>
      </c>
      <c r="X79" s="85">
        <f t="shared" si="4"/>
        <v>0</v>
      </c>
      <c r="Y79" s="85">
        <f>STATS1003B!Y79/1000</f>
        <v>0</v>
      </c>
      <c r="Z79" s="85">
        <f t="shared" si="5"/>
        <v>0</v>
      </c>
      <c r="AA79" s="69">
        <f>STATS1003B!AA79/1000</f>
        <v>0</v>
      </c>
      <c r="AB79" s="69">
        <f>STATS1003B!AB79/1000</f>
        <v>0</v>
      </c>
    </row>
    <row r="80" spans="1:28" ht="20.25" hidden="1" customHeight="1" x14ac:dyDescent="0.3">
      <c r="A80" s="117"/>
      <c r="C80" s="68" t="s">
        <v>57</v>
      </c>
      <c r="D80" s="145" t="s">
        <v>58</v>
      </c>
      <c r="E80" s="85">
        <f>STATS1003B!E80/1000</f>
        <v>3155.145</v>
      </c>
      <c r="F80" s="85">
        <f>STATS1003B!F80/1000</f>
        <v>3155.145</v>
      </c>
      <c r="G80" s="85">
        <f>STATS1003B!G80/1000</f>
        <v>0</v>
      </c>
      <c r="H80" s="85">
        <f>STATS1003B!H80/1000</f>
        <v>3155.145</v>
      </c>
      <c r="I80" s="85">
        <f>STATS1003B!I80/1000</f>
        <v>0</v>
      </c>
      <c r="J80" s="85">
        <f>STATS1003B!J80/1000</f>
        <v>0</v>
      </c>
      <c r="K80" s="85">
        <f>STATS1003B!K80/1000</f>
        <v>0</v>
      </c>
      <c r="L80" s="85">
        <f>STATS1003B!L80/1000</f>
        <v>0</v>
      </c>
      <c r="M80" s="85">
        <f>STATS1003B!M80/1000</f>
        <v>3155.145</v>
      </c>
      <c r="N80" s="85">
        <f>STATS1003B!N80/1000</f>
        <v>0</v>
      </c>
      <c r="O80" s="85">
        <f>STATS1003B!O80/1000</f>
        <v>0</v>
      </c>
      <c r="P80" s="85">
        <f>STATS1003B!P80/1000</f>
        <v>0</v>
      </c>
      <c r="Q80" s="85">
        <f>STATS1003B!Q80/1000</f>
        <v>0</v>
      </c>
      <c r="R80" s="85">
        <f>STATS1003B!R80/1000</f>
        <v>0</v>
      </c>
      <c r="S80" s="85">
        <f>STATS1003B!S80/1000</f>
        <v>0</v>
      </c>
      <c r="T80" s="85">
        <f>STATS1003B!T80/1000</f>
        <v>0</v>
      </c>
      <c r="U80" s="85">
        <f>STATS1003B!U80/1000</f>
        <v>0</v>
      </c>
      <c r="V80" s="85">
        <f>STATS1003B!V80/1000</f>
        <v>3155.145</v>
      </c>
      <c r="W80" s="85">
        <f>STATS1003B!W80/1000</f>
        <v>0</v>
      </c>
      <c r="X80" s="85">
        <f t="shared" si="4"/>
        <v>3155.145</v>
      </c>
      <c r="Y80" s="85">
        <f>STATS1003B!Y80/1000</f>
        <v>0</v>
      </c>
      <c r="Z80" s="85">
        <f t="shared" si="5"/>
        <v>0</v>
      </c>
      <c r="AA80" s="69">
        <f>STATS1003B!AA80/1000</f>
        <v>3155.145</v>
      </c>
      <c r="AB80" s="69">
        <f>STATS1003B!AB80/1000</f>
        <v>0</v>
      </c>
    </row>
    <row r="81" spans="1:28" ht="20.25" hidden="1" customHeight="1" x14ac:dyDescent="0.3">
      <c r="A81" s="117"/>
      <c r="C81" s="68" t="s">
        <v>57</v>
      </c>
      <c r="D81" s="145" t="s">
        <v>60</v>
      </c>
      <c r="E81" s="85">
        <f>STATS1003B!E81/1000</f>
        <v>3500</v>
      </c>
      <c r="F81" s="85">
        <f>STATS1003B!F81/1000</f>
        <v>3500</v>
      </c>
      <c r="G81" s="85">
        <f>STATS1003B!G81/1000</f>
        <v>0</v>
      </c>
      <c r="H81" s="85">
        <f>STATS1003B!H81/1000</f>
        <v>3500</v>
      </c>
      <c r="I81" s="85">
        <f>STATS1003B!I81/1000</f>
        <v>0</v>
      </c>
      <c r="J81" s="85">
        <f>STATS1003B!J81/1000</f>
        <v>0</v>
      </c>
      <c r="K81" s="85">
        <f>STATS1003B!K81/1000</f>
        <v>0</v>
      </c>
      <c r="L81" s="85">
        <f>STATS1003B!L81/1000</f>
        <v>0</v>
      </c>
      <c r="M81" s="85">
        <f>STATS1003B!M81/1000</f>
        <v>3500</v>
      </c>
      <c r="N81" s="85">
        <f>STATS1003B!N81/1000</f>
        <v>0</v>
      </c>
      <c r="O81" s="85">
        <f>STATS1003B!O81/1000</f>
        <v>0</v>
      </c>
      <c r="P81" s="85">
        <f>STATS1003B!P81/1000</f>
        <v>0</v>
      </c>
      <c r="Q81" s="85">
        <f>STATS1003B!Q81/1000</f>
        <v>0</v>
      </c>
      <c r="R81" s="85">
        <f>STATS1003B!R81/1000</f>
        <v>0</v>
      </c>
      <c r="S81" s="85">
        <f>STATS1003B!S81/1000</f>
        <v>0</v>
      </c>
      <c r="T81" s="85">
        <f>STATS1003B!T81/1000</f>
        <v>0</v>
      </c>
      <c r="U81" s="85">
        <f>STATS1003B!U81/1000</f>
        <v>0</v>
      </c>
      <c r="V81" s="85">
        <f>STATS1003B!V81/1000</f>
        <v>3500</v>
      </c>
      <c r="W81" s="85">
        <f>STATS1003B!W81/1000</f>
        <v>0</v>
      </c>
      <c r="X81" s="85">
        <f t="shared" si="4"/>
        <v>3500</v>
      </c>
      <c r="Y81" s="85">
        <f>STATS1003B!Y81/1000</f>
        <v>0</v>
      </c>
      <c r="Z81" s="85">
        <f t="shared" si="5"/>
        <v>0</v>
      </c>
      <c r="AA81" s="69">
        <f>STATS1003B!AA81/1000</f>
        <v>3500</v>
      </c>
      <c r="AB81" s="69">
        <f>STATS1003B!AB81/1000</f>
        <v>0</v>
      </c>
    </row>
    <row r="82" spans="1:28" ht="20.25" hidden="1" customHeight="1" x14ac:dyDescent="0.3">
      <c r="A82" s="117"/>
      <c r="C82" s="71" t="s">
        <v>59</v>
      </c>
      <c r="D82" s="145" t="s">
        <v>60</v>
      </c>
      <c r="E82" s="85">
        <f>STATS1003B!E82/1000</f>
        <v>5000</v>
      </c>
      <c r="F82" s="85">
        <f>STATS1003B!F82/1000</f>
        <v>5000</v>
      </c>
      <c r="G82" s="85">
        <f>STATS1003B!G82/1000</f>
        <v>0</v>
      </c>
      <c r="H82" s="85">
        <f>STATS1003B!H82/1000</f>
        <v>5000</v>
      </c>
      <c r="I82" s="85">
        <f>STATS1003B!I82/1000</f>
        <v>0</v>
      </c>
      <c r="J82" s="85">
        <f>STATS1003B!J82/1000</f>
        <v>0</v>
      </c>
      <c r="K82" s="85">
        <f>STATS1003B!K82/1000</f>
        <v>0</v>
      </c>
      <c r="L82" s="85">
        <f>STATS1003B!L82/1000</f>
        <v>0</v>
      </c>
      <c r="M82" s="85">
        <f>STATS1003B!M82/1000</f>
        <v>5000</v>
      </c>
      <c r="N82" s="85">
        <f>STATS1003B!N82/1000</f>
        <v>0</v>
      </c>
      <c r="O82" s="85">
        <f>STATS1003B!O82/1000</f>
        <v>0</v>
      </c>
      <c r="P82" s="85">
        <f>STATS1003B!P82/1000</f>
        <v>0</v>
      </c>
      <c r="Q82" s="85">
        <f>STATS1003B!Q82/1000</f>
        <v>0</v>
      </c>
      <c r="R82" s="85">
        <f>STATS1003B!R82/1000</f>
        <v>0</v>
      </c>
      <c r="S82" s="85">
        <f>STATS1003B!S82/1000</f>
        <v>0</v>
      </c>
      <c r="T82" s="85">
        <f>STATS1003B!T82/1000</f>
        <v>0</v>
      </c>
      <c r="U82" s="85">
        <f>STATS1003B!U82/1000</f>
        <v>0</v>
      </c>
      <c r="V82" s="85">
        <f>STATS1003B!V82/1000</f>
        <v>5000</v>
      </c>
      <c r="W82" s="85">
        <f>STATS1003B!W82/1000</f>
        <v>0</v>
      </c>
      <c r="X82" s="85">
        <f t="shared" si="4"/>
        <v>5000</v>
      </c>
      <c r="Y82" s="85">
        <f>STATS1003B!Y82/1000</f>
        <v>0</v>
      </c>
      <c r="Z82" s="85">
        <f t="shared" si="5"/>
        <v>0</v>
      </c>
      <c r="AA82" s="69">
        <f>STATS1003B!AA82/1000</f>
        <v>5000</v>
      </c>
      <c r="AB82" s="69">
        <f>STATS1003B!AB82/1000</f>
        <v>0</v>
      </c>
    </row>
    <row r="83" spans="1:28" ht="20.25" hidden="1" customHeight="1" x14ac:dyDescent="0.3">
      <c r="A83" s="117"/>
      <c r="C83" s="71" t="s">
        <v>57</v>
      </c>
      <c r="D83" s="145" t="s">
        <v>73</v>
      </c>
      <c r="E83" s="85">
        <f>STATS1003B!E83/1000</f>
        <v>1325.24</v>
      </c>
      <c r="F83" s="85">
        <f>STATS1003B!F83/1000</f>
        <v>1325.24</v>
      </c>
      <c r="G83" s="85">
        <f>STATS1003B!G83/1000</f>
        <v>0</v>
      </c>
      <c r="H83" s="85">
        <f>STATS1003B!H83/1000</f>
        <v>1325.24</v>
      </c>
      <c r="I83" s="85">
        <f>STATS1003B!I83/1000</f>
        <v>0</v>
      </c>
      <c r="J83" s="85">
        <f>STATS1003B!J83/1000</f>
        <v>0</v>
      </c>
      <c r="K83" s="85">
        <f>STATS1003B!K83/1000</f>
        <v>0</v>
      </c>
      <c r="L83" s="85">
        <f>STATS1003B!L83/1000</f>
        <v>0</v>
      </c>
      <c r="M83" s="85">
        <f>STATS1003B!M83/1000</f>
        <v>1325.24</v>
      </c>
      <c r="N83" s="85">
        <f>STATS1003B!N83/1000</f>
        <v>0</v>
      </c>
      <c r="O83" s="85">
        <f>STATS1003B!O83/1000</f>
        <v>0</v>
      </c>
      <c r="P83" s="85">
        <f>STATS1003B!P83/1000</f>
        <v>0</v>
      </c>
      <c r="Q83" s="85">
        <f>STATS1003B!Q83/1000</f>
        <v>0</v>
      </c>
      <c r="R83" s="85">
        <f>STATS1003B!R83/1000</f>
        <v>0</v>
      </c>
      <c r="S83" s="85">
        <f>STATS1003B!S83/1000</f>
        <v>0</v>
      </c>
      <c r="T83" s="85">
        <f>STATS1003B!T83/1000</f>
        <v>0</v>
      </c>
      <c r="U83" s="85">
        <f>STATS1003B!U83/1000</f>
        <v>0</v>
      </c>
      <c r="V83" s="85">
        <f>STATS1003B!V83/1000</f>
        <v>1325.24</v>
      </c>
      <c r="W83" s="85">
        <f>STATS1003B!W83/1000</f>
        <v>0</v>
      </c>
      <c r="X83" s="85">
        <f t="shared" si="4"/>
        <v>1325.24</v>
      </c>
      <c r="Y83" s="85">
        <f>STATS1003B!Y83/1000</f>
        <v>0</v>
      </c>
      <c r="Z83" s="85">
        <f t="shared" si="5"/>
        <v>0</v>
      </c>
      <c r="AA83" s="69">
        <f>STATS1003B!AA83/1000</f>
        <v>1325.24</v>
      </c>
      <c r="AB83" s="69">
        <f>STATS1003B!AB83/1000</f>
        <v>0</v>
      </c>
    </row>
    <row r="84" spans="1:28" ht="20.25" hidden="1" customHeight="1" x14ac:dyDescent="0.3">
      <c r="A84" s="117"/>
      <c r="C84" s="71" t="s">
        <v>95</v>
      </c>
      <c r="D84" s="145" t="s">
        <v>73</v>
      </c>
      <c r="E84" s="85">
        <f>STATS1003B!E84/1000</f>
        <v>532.00698</v>
      </c>
      <c r="F84" s="85">
        <f>STATS1003B!F84/1000</f>
        <v>0</v>
      </c>
      <c r="G84" s="85">
        <f>STATS1003B!G84/1000</f>
        <v>0</v>
      </c>
      <c r="H84" s="85">
        <f>STATS1003B!H84/1000</f>
        <v>0</v>
      </c>
      <c r="I84" s="85">
        <f>STATS1003B!I84/1000</f>
        <v>0</v>
      </c>
      <c r="J84" s="85">
        <f>STATS1003B!J84/1000</f>
        <v>0</v>
      </c>
      <c r="K84" s="85">
        <f>STATS1003B!K84/1000</f>
        <v>0</v>
      </c>
      <c r="L84" s="85">
        <f>STATS1003B!L84/1000</f>
        <v>0</v>
      </c>
      <c r="M84" s="85">
        <f>STATS1003B!M84/1000</f>
        <v>0</v>
      </c>
      <c r="N84" s="85">
        <f>STATS1003B!N84/1000</f>
        <v>532.00698</v>
      </c>
      <c r="O84" s="85">
        <f>STATS1003B!O84/1000</f>
        <v>0</v>
      </c>
      <c r="P84" s="85">
        <f>STATS1003B!P84/1000</f>
        <v>532.00698</v>
      </c>
      <c r="Q84" s="85">
        <f>STATS1003B!Q84/1000</f>
        <v>0</v>
      </c>
      <c r="R84" s="85">
        <f>STATS1003B!R84/1000</f>
        <v>0</v>
      </c>
      <c r="S84" s="85">
        <f>STATS1003B!S84/1000</f>
        <v>0</v>
      </c>
      <c r="T84" s="85">
        <f>STATS1003B!T84/1000</f>
        <v>0</v>
      </c>
      <c r="U84" s="85">
        <f>STATS1003B!U84/1000</f>
        <v>532.00698</v>
      </c>
      <c r="V84" s="85">
        <f>STATS1003B!V84/1000</f>
        <v>532.00698</v>
      </c>
      <c r="W84" s="85">
        <f>STATS1003B!W84/1000</f>
        <v>0</v>
      </c>
      <c r="X84" s="85">
        <f t="shared" si="4"/>
        <v>532.00698</v>
      </c>
      <c r="Y84" s="85">
        <f>STATS1003B!Y84/1000</f>
        <v>0</v>
      </c>
      <c r="Z84" s="85">
        <f t="shared" si="5"/>
        <v>0</v>
      </c>
      <c r="AA84" s="69">
        <f>STATS1003B!AA84/1000</f>
        <v>532.00698</v>
      </c>
      <c r="AB84" s="69">
        <f>STATS1003B!AB84/1000</f>
        <v>0</v>
      </c>
    </row>
    <row r="85" spans="1:28" ht="20.25" hidden="1" customHeight="1" x14ac:dyDescent="0.3">
      <c r="A85" s="117"/>
      <c r="C85" s="68" t="s">
        <v>62</v>
      </c>
      <c r="E85" s="85">
        <f>STATS1003B!E85/1000</f>
        <v>591.81399999999996</v>
      </c>
      <c r="F85" s="85">
        <f>STATS1003B!F85/1000</f>
        <v>591.81399999999996</v>
      </c>
      <c r="G85" s="85">
        <f>STATS1003B!G85/1000</f>
        <v>0</v>
      </c>
      <c r="H85" s="85">
        <f>STATS1003B!H85/1000</f>
        <v>591.81399999999996</v>
      </c>
      <c r="I85" s="85">
        <f>STATS1003B!I85/1000</f>
        <v>0</v>
      </c>
      <c r="J85" s="85">
        <f>STATS1003B!J85/1000</f>
        <v>0</v>
      </c>
      <c r="K85" s="85">
        <f>STATS1003B!K85/1000</f>
        <v>0</v>
      </c>
      <c r="L85" s="85">
        <f>STATS1003B!L85/1000</f>
        <v>0</v>
      </c>
      <c r="M85" s="85">
        <f>STATS1003B!M85/1000</f>
        <v>591.81399999999996</v>
      </c>
      <c r="N85" s="85">
        <f>STATS1003B!N85/1000</f>
        <v>0</v>
      </c>
      <c r="O85" s="85">
        <f>STATS1003B!O85/1000</f>
        <v>0</v>
      </c>
      <c r="P85" s="85">
        <f>STATS1003B!P85/1000</f>
        <v>0</v>
      </c>
      <c r="Q85" s="85">
        <f>STATS1003B!Q85/1000</f>
        <v>0</v>
      </c>
      <c r="R85" s="85">
        <f>STATS1003B!R85/1000</f>
        <v>0</v>
      </c>
      <c r="S85" s="85">
        <f>STATS1003B!S85/1000</f>
        <v>0</v>
      </c>
      <c r="T85" s="85">
        <f>STATS1003B!T85/1000</f>
        <v>0</v>
      </c>
      <c r="U85" s="85">
        <f>STATS1003B!U85/1000</f>
        <v>0</v>
      </c>
      <c r="V85" s="85">
        <f>STATS1003B!V85/1000</f>
        <v>591.81399999999996</v>
      </c>
      <c r="W85" s="85">
        <f>STATS1003B!W85/1000</f>
        <v>0</v>
      </c>
      <c r="X85" s="85">
        <f t="shared" si="4"/>
        <v>591.81399999999996</v>
      </c>
      <c r="Y85" s="85">
        <f>STATS1003B!Y85/1000</f>
        <v>0</v>
      </c>
      <c r="Z85" s="85">
        <f t="shared" si="5"/>
        <v>0</v>
      </c>
      <c r="AA85" s="69">
        <f>STATS1003B!AA85/1000</f>
        <v>591.81399999999996</v>
      </c>
      <c r="AB85" s="69">
        <f>STATS1003B!AB85/1000</f>
        <v>0</v>
      </c>
    </row>
    <row r="86" spans="1:28" ht="20.25" hidden="1" customHeight="1" x14ac:dyDescent="0.3">
      <c r="A86" s="117"/>
      <c r="C86" s="68" t="s">
        <v>96</v>
      </c>
      <c r="E86" s="85">
        <f>STATS1003B!E86/1000</f>
        <v>799.92399999999998</v>
      </c>
      <c r="F86" s="85">
        <f>STATS1003B!F86/1000</f>
        <v>799.92399999999998</v>
      </c>
      <c r="G86" s="85">
        <f>STATS1003B!G86/1000</f>
        <v>0</v>
      </c>
      <c r="H86" s="85">
        <f>STATS1003B!H86/1000</f>
        <v>799.92399999999998</v>
      </c>
      <c r="I86" s="85">
        <f>STATS1003B!I86/1000</f>
        <v>0</v>
      </c>
      <c r="J86" s="85">
        <f>STATS1003B!J86/1000</f>
        <v>0</v>
      </c>
      <c r="K86" s="85">
        <f>STATS1003B!K86/1000</f>
        <v>0</v>
      </c>
      <c r="L86" s="85">
        <f>STATS1003B!L86/1000</f>
        <v>0</v>
      </c>
      <c r="M86" s="85">
        <f>STATS1003B!M86/1000</f>
        <v>799.92399999999998</v>
      </c>
      <c r="N86" s="85">
        <f>STATS1003B!N86/1000</f>
        <v>0</v>
      </c>
      <c r="O86" s="85">
        <f>STATS1003B!O86/1000</f>
        <v>0</v>
      </c>
      <c r="P86" s="85">
        <f>STATS1003B!P86/1000</f>
        <v>0</v>
      </c>
      <c r="Q86" s="85">
        <f>STATS1003B!Q86/1000</f>
        <v>0</v>
      </c>
      <c r="R86" s="85">
        <f>STATS1003B!R86/1000</f>
        <v>0</v>
      </c>
      <c r="S86" s="85">
        <f>STATS1003B!S86/1000</f>
        <v>0</v>
      </c>
      <c r="T86" s="85">
        <f>STATS1003B!T86/1000</f>
        <v>0</v>
      </c>
      <c r="U86" s="85">
        <f>STATS1003B!U86/1000</f>
        <v>0</v>
      </c>
      <c r="V86" s="85">
        <f>STATS1003B!V86/1000</f>
        <v>799.92399999999998</v>
      </c>
      <c r="W86" s="85">
        <f>STATS1003B!W86/1000</f>
        <v>0</v>
      </c>
      <c r="X86" s="85">
        <f t="shared" si="4"/>
        <v>799.92399999999998</v>
      </c>
      <c r="Y86" s="85">
        <f>STATS1003B!Y86/1000</f>
        <v>0</v>
      </c>
      <c r="Z86" s="85">
        <f t="shared" si="5"/>
        <v>0</v>
      </c>
      <c r="AA86" s="69">
        <f>STATS1003B!AA86/1000</f>
        <v>799.92399999999998</v>
      </c>
      <c r="AB86" s="69">
        <f>STATS1003B!AB86/1000</f>
        <v>0</v>
      </c>
    </row>
    <row r="87" spans="1:28" ht="20.25" hidden="1" customHeight="1" x14ac:dyDescent="0.3">
      <c r="A87" s="117"/>
      <c r="C87" s="68" t="s">
        <v>1117</v>
      </c>
      <c r="D87" s="91" t="s">
        <v>1126</v>
      </c>
      <c r="E87" s="85">
        <f>STATS1003B!E87/1000</f>
        <v>35.344149999999999</v>
      </c>
      <c r="F87" s="85">
        <f>STATS1003B!F87/1000</f>
        <v>35.344149999999999</v>
      </c>
      <c r="G87" s="85">
        <f>STATS1003B!G87/1000</f>
        <v>0</v>
      </c>
      <c r="H87" s="85">
        <f>STATS1003B!H87/1000</f>
        <v>35.344149999999999</v>
      </c>
      <c r="I87" s="85">
        <f>STATS1003B!I87/1000</f>
        <v>0</v>
      </c>
      <c r="J87" s="85">
        <f>STATS1003B!J87/1000</f>
        <v>0</v>
      </c>
      <c r="K87" s="85">
        <f>STATS1003B!K87/1000</f>
        <v>0</v>
      </c>
      <c r="L87" s="85">
        <f>STATS1003B!L87/1000</f>
        <v>0</v>
      </c>
      <c r="M87" s="85">
        <f>STATS1003B!M87/1000</f>
        <v>35.344149999999999</v>
      </c>
      <c r="N87" s="85">
        <f>STATS1003B!N87/1000</f>
        <v>0</v>
      </c>
      <c r="O87" s="85">
        <f>STATS1003B!O87/1000</f>
        <v>0</v>
      </c>
      <c r="P87" s="85">
        <f>STATS1003B!P87/1000</f>
        <v>0</v>
      </c>
      <c r="Q87" s="85">
        <f>STATS1003B!Q87/1000</f>
        <v>0</v>
      </c>
      <c r="R87" s="85">
        <f>STATS1003B!R87/1000</f>
        <v>0</v>
      </c>
      <c r="S87" s="85">
        <f>STATS1003B!S87/1000</f>
        <v>0</v>
      </c>
      <c r="T87" s="85">
        <f>STATS1003B!T87/1000</f>
        <v>0</v>
      </c>
      <c r="U87" s="85">
        <f>STATS1003B!U87/1000</f>
        <v>0</v>
      </c>
      <c r="V87" s="85">
        <f>STATS1003B!V87/1000</f>
        <v>35.344149999999999</v>
      </c>
      <c r="W87" s="85">
        <f>STATS1003B!W87/1000</f>
        <v>0</v>
      </c>
      <c r="X87" s="85">
        <f t="shared" si="4"/>
        <v>35.344149999999999</v>
      </c>
      <c r="Y87" s="85">
        <f>STATS1003B!Y87/1000</f>
        <v>0</v>
      </c>
      <c r="Z87" s="85">
        <f t="shared" si="5"/>
        <v>0</v>
      </c>
      <c r="AA87" s="69">
        <f>STATS1003B!AA87/1000</f>
        <v>35.344149999999999</v>
      </c>
      <c r="AB87" s="69">
        <f>STATS1003B!AB87/1000</f>
        <v>0</v>
      </c>
    </row>
    <row r="88" spans="1:28" ht="20.25" hidden="1" customHeight="1" x14ac:dyDescent="0.3">
      <c r="A88" s="117"/>
      <c r="C88" s="68" t="s">
        <v>930</v>
      </c>
      <c r="E88" s="85">
        <f>STATS1003B!E88/1000</f>
        <v>1436.7241999999999</v>
      </c>
      <c r="F88" s="85">
        <f>STATS1003B!F88/1000</f>
        <v>1436.7241999999999</v>
      </c>
      <c r="G88" s="85">
        <f>STATS1003B!G88/1000</f>
        <v>0</v>
      </c>
      <c r="H88" s="85">
        <f>STATS1003B!H88/1000</f>
        <v>1436.7241999999999</v>
      </c>
      <c r="I88" s="85">
        <f>STATS1003B!I88/1000</f>
        <v>0</v>
      </c>
      <c r="J88" s="85">
        <f>STATS1003B!J88/1000</f>
        <v>0</v>
      </c>
      <c r="K88" s="85">
        <f>STATS1003B!K88/1000</f>
        <v>0</v>
      </c>
      <c r="L88" s="85">
        <f>STATS1003B!L88/1000</f>
        <v>0</v>
      </c>
      <c r="M88" s="85">
        <f>STATS1003B!M88/1000</f>
        <v>1436.7241999999999</v>
      </c>
      <c r="N88" s="85">
        <f>STATS1003B!N88/1000</f>
        <v>0</v>
      </c>
      <c r="O88" s="85">
        <f>STATS1003B!O88/1000</f>
        <v>0</v>
      </c>
      <c r="P88" s="85">
        <f>STATS1003B!P88/1000</f>
        <v>0</v>
      </c>
      <c r="Q88" s="85">
        <f>STATS1003B!Q88/1000</f>
        <v>0</v>
      </c>
      <c r="R88" s="85">
        <f>STATS1003B!R88/1000</f>
        <v>0</v>
      </c>
      <c r="S88" s="85">
        <f>STATS1003B!S88/1000</f>
        <v>0</v>
      </c>
      <c r="T88" s="85">
        <f>STATS1003B!T88/1000</f>
        <v>0</v>
      </c>
      <c r="U88" s="85">
        <f>STATS1003B!U88/1000</f>
        <v>0</v>
      </c>
      <c r="V88" s="85">
        <f>STATS1003B!V88/1000</f>
        <v>1436.7241999999999</v>
      </c>
      <c r="W88" s="85">
        <f>STATS1003B!W88/1000</f>
        <v>0</v>
      </c>
      <c r="X88" s="85">
        <f t="shared" si="4"/>
        <v>1436.7241999999999</v>
      </c>
      <c r="Y88" s="85">
        <f>STATS1003B!Y88/1000</f>
        <v>0</v>
      </c>
      <c r="Z88" s="85">
        <f t="shared" si="5"/>
        <v>0</v>
      </c>
      <c r="AA88" s="69">
        <f>STATS1003B!AA88/1000</f>
        <v>1436.7241999999999</v>
      </c>
      <c r="AB88" s="69">
        <f>STATS1003B!AB88/1000</f>
        <v>0</v>
      </c>
    </row>
    <row r="89" spans="1:28" ht="20.25" hidden="1" customHeight="1" x14ac:dyDescent="0.3">
      <c r="A89" s="117"/>
      <c r="C89" s="71" t="s">
        <v>57</v>
      </c>
      <c r="D89" s="91" t="s">
        <v>61</v>
      </c>
      <c r="E89" s="85">
        <f>STATS1003B!E89/1000</f>
        <v>561</v>
      </c>
      <c r="F89" s="85">
        <f>STATS1003B!F89/1000</f>
        <v>561</v>
      </c>
      <c r="G89" s="85">
        <f>STATS1003B!G89/1000</f>
        <v>0</v>
      </c>
      <c r="H89" s="85">
        <f>STATS1003B!H89/1000</f>
        <v>561</v>
      </c>
      <c r="I89" s="85">
        <f>STATS1003B!I89/1000</f>
        <v>561</v>
      </c>
      <c r="J89" s="85">
        <f>STATS1003B!J89/1000</f>
        <v>561</v>
      </c>
      <c r="K89" s="85">
        <f>STATS1003B!K89/1000</f>
        <v>0</v>
      </c>
      <c r="L89" s="85">
        <f>STATS1003B!L89/1000</f>
        <v>0</v>
      </c>
      <c r="M89" s="85">
        <f>STATS1003B!M89/1000</f>
        <v>561</v>
      </c>
      <c r="N89" s="85">
        <f>STATS1003B!N89/1000</f>
        <v>0</v>
      </c>
      <c r="O89" s="85">
        <f>STATS1003B!O89/1000</f>
        <v>0</v>
      </c>
      <c r="P89" s="85">
        <f>STATS1003B!P89/1000</f>
        <v>0</v>
      </c>
      <c r="Q89" s="85">
        <f>STATS1003B!Q89/1000</f>
        <v>0</v>
      </c>
      <c r="R89" s="85">
        <f>STATS1003B!R89/1000</f>
        <v>0</v>
      </c>
      <c r="S89" s="85">
        <f>STATS1003B!S89/1000</f>
        <v>0</v>
      </c>
      <c r="T89" s="85">
        <f>STATS1003B!T89/1000</f>
        <v>0</v>
      </c>
      <c r="U89" s="85">
        <f>STATS1003B!U89/1000</f>
        <v>0</v>
      </c>
      <c r="V89" s="85">
        <f>STATS1003B!V89/1000</f>
        <v>561</v>
      </c>
      <c r="W89" s="85">
        <f>STATS1003B!W89/1000</f>
        <v>0</v>
      </c>
      <c r="X89" s="85">
        <f t="shared" si="4"/>
        <v>561</v>
      </c>
      <c r="Y89" s="85">
        <f>STATS1003B!Y89/1000</f>
        <v>0</v>
      </c>
      <c r="Z89" s="85">
        <f t="shared" si="5"/>
        <v>0</v>
      </c>
      <c r="AA89" s="69">
        <f>STATS1003B!AA89/1000</f>
        <v>561</v>
      </c>
      <c r="AB89" s="69">
        <f>STATS1003B!AB89/1000</f>
        <v>0</v>
      </c>
    </row>
    <row r="90" spans="1:28" ht="20.25" hidden="1" customHeight="1" x14ac:dyDescent="0.3">
      <c r="A90" s="117"/>
      <c r="C90" s="71" t="s">
        <v>90</v>
      </c>
      <c r="D90" s="91" t="s">
        <v>61</v>
      </c>
      <c r="E90" s="85">
        <f>STATS1003B!E90/1000</f>
        <v>596.15427999999997</v>
      </c>
      <c r="F90" s="85">
        <f>STATS1003B!F90/1000</f>
        <v>564.65584999999999</v>
      </c>
      <c r="G90" s="85">
        <f>STATS1003B!G90/1000</f>
        <v>0</v>
      </c>
      <c r="H90" s="85">
        <f>STATS1003B!H90/1000</f>
        <v>564.65584999999999</v>
      </c>
      <c r="I90" s="85">
        <f>STATS1003B!I90/1000</f>
        <v>561</v>
      </c>
      <c r="J90" s="85">
        <f>STATS1003B!J90/1000</f>
        <v>561</v>
      </c>
      <c r="K90" s="85">
        <f>STATS1003B!K90/1000</f>
        <v>0</v>
      </c>
      <c r="L90" s="85">
        <f>STATS1003B!L90/1000</f>
        <v>0</v>
      </c>
      <c r="M90" s="85">
        <f>STATS1003B!M90/1000</f>
        <v>564.65584999999999</v>
      </c>
      <c r="N90" s="85">
        <f>STATS1003B!N90/1000</f>
        <v>1.88042</v>
      </c>
      <c r="O90" s="85">
        <f>STATS1003B!O90/1000</f>
        <v>0</v>
      </c>
      <c r="P90" s="85">
        <f>STATS1003B!P90/1000</f>
        <v>1.88042</v>
      </c>
      <c r="Q90" s="85">
        <f>STATS1003B!Q90/1000</f>
        <v>0</v>
      </c>
      <c r="R90" s="85">
        <f>STATS1003B!R90/1000</f>
        <v>0</v>
      </c>
      <c r="S90" s="85">
        <f>STATS1003B!S90/1000</f>
        <v>31.498429999999999</v>
      </c>
      <c r="T90" s="85">
        <f>STATS1003B!T90/1000</f>
        <v>29.618009999999998</v>
      </c>
      <c r="U90" s="85">
        <f>STATS1003B!U90/1000</f>
        <v>31.498429999999999</v>
      </c>
      <c r="V90" s="85">
        <f>STATS1003B!V90/1000</f>
        <v>566.53627000000006</v>
      </c>
      <c r="W90" s="85">
        <f>STATS1003B!W90/1000</f>
        <v>29.618010000000009</v>
      </c>
      <c r="X90" s="85">
        <f t="shared" si="4"/>
        <v>566.53626999999994</v>
      </c>
      <c r="Y90" s="85">
        <f>STATS1003B!Y90/1000</f>
        <v>0</v>
      </c>
      <c r="Z90" s="85">
        <f t="shared" si="5"/>
        <v>29.618010000000027</v>
      </c>
      <c r="AA90" s="69">
        <f>STATS1003B!AA90/1000</f>
        <v>596.15427999999997</v>
      </c>
      <c r="AB90" s="69">
        <f>STATS1003B!AB90/1000</f>
        <v>0</v>
      </c>
    </row>
    <row r="91" spans="1:28" ht="20.25" hidden="1" customHeight="1" x14ac:dyDescent="0.3">
      <c r="A91" s="117"/>
      <c r="E91" s="86" t="s">
        <v>29</v>
      </c>
      <c r="F91" s="86" t="s">
        <v>29</v>
      </c>
      <c r="G91" s="86" t="s">
        <v>29</v>
      </c>
      <c r="H91" s="86" t="s">
        <v>29</v>
      </c>
      <c r="I91" s="86" t="s">
        <v>29</v>
      </c>
      <c r="J91" s="86" t="s">
        <v>29</v>
      </c>
      <c r="K91" s="86" t="s">
        <v>29</v>
      </c>
      <c r="L91" s="86" t="s">
        <v>29</v>
      </c>
      <c r="M91" s="86" t="s">
        <v>29</v>
      </c>
      <c r="N91" s="86" t="s">
        <v>29</v>
      </c>
      <c r="O91" s="86" t="s">
        <v>29</v>
      </c>
      <c r="P91" s="86" t="s">
        <v>29</v>
      </c>
      <c r="Q91" s="86" t="s">
        <v>29</v>
      </c>
      <c r="R91" s="86" t="s">
        <v>29</v>
      </c>
      <c r="S91" s="86" t="s">
        <v>29</v>
      </c>
      <c r="T91" s="86" t="s">
        <v>29</v>
      </c>
      <c r="U91" s="86" t="s">
        <v>29</v>
      </c>
      <c r="V91" s="86" t="s">
        <v>29</v>
      </c>
      <c r="W91" s="86" t="s">
        <v>29</v>
      </c>
      <c r="X91" s="85" t="e">
        <f t="shared" si="4"/>
        <v>#VALUE!</v>
      </c>
      <c r="Y91" s="86" t="s">
        <v>29</v>
      </c>
      <c r="Z91" s="85" t="e">
        <f t="shared" si="5"/>
        <v>#VALUE!</v>
      </c>
      <c r="AA91" s="115" t="s">
        <v>29</v>
      </c>
      <c r="AB91" s="115" t="s">
        <v>29</v>
      </c>
    </row>
    <row r="92" spans="1:28" x14ac:dyDescent="0.3">
      <c r="A92" s="116" t="s">
        <v>937</v>
      </c>
      <c r="B92" s="68" t="s">
        <v>91</v>
      </c>
      <c r="E92" s="85">
        <f>76288301.36/1000</f>
        <v>76288.301359999998</v>
      </c>
      <c r="F92" s="85">
        <f>SUM(F71:F90)</f>
        <v>33549.114970000002</v>
      </c>
      <c r="G92" s="85">
        <f>SUM(G71:G90)</f>
        <v>0</v>
      </c>
      <c r="H92" s="85">
        <f>56352855.99/1000</f>
        <v>56352.855990000004</v>
      </c>
      <c r="I92" s="85">
        <f t="shared" ref="I92:O92" si="8">SUM(I71:I90)</f>
        <v>1122</v>
      </c>
      <c r="J92" s="85">
        <f t="shared" si="8"/>
        <v>1122</v>
      </c>
      <c r="K92" s="85">
        <f t="shared" si="8"/>
        <v>0</v>
      </c>
      <c r="L92" s="85">
        <f t="shared" si="8"/>
        <v>0</v>
      </c>
      <c r="M92" s="85">
        <f t="shared" si="8"/>
        <v>33549.114970000002</v>
      </c>
      <c r="N92" s="85">
        <f t="shared" si="8"/>
        <v>19658.465260000001</v>
      </c>
      <c r="O92" s="85">
        <f t="shared" si="8"/>
        <v>0</v>
      </c>
      <c r="P92" s="85">
        <f>19658465/1000</f>
        <v>19658.465</v>
      </c>
      <c r="Q92" s="85">
        <f t="shared" ref="Q92:W92" si="9">SUM(Q71:Q90)</f>
        <v>0</v>
      </c>
      <c r="R92" s="85">
        <f t="shared" si="9"/>
        <v>0</v>
      </c>
      <c r="S92" s="85">
        <f t="shared" si="9"/>
        <v>31.498429999999999</v>
      </c>
      <c r="T92" s="85">
        <f t="shared" si="9"/>
        <v>29.618009999999998</v>
      </c>
      <c r="U92" s="85">
        <f t="shared" si="9"/>
        <v>19688.083269999999</v>
      </c>
      <c r="V92" s="85">
        <f t="shared" si="9"/>
        <v>53207.580229999985</v>
      </c>
      <c r="W92" s="85">
        <f t="shared" si="9"/>
        <v>276.98010999999997</v>
      </c>
      <c r="X92" s="85">
        <f>+H92+P92</f>
        <v>76011.320990000007</v>
      </c>
      <c r="Y92" s="85">
        <f>SUM(Y71:Y90)</f>
        <v>0</v>
      </c>
      <c r="Z92" s="85">
        <f t="shared" si="5"/>
        <v>276.98036999999022</v>
      </c>
      <c r="AA92" s="69">
        <f>SUM(AA71:AA90)</f>
        <v>53237.198239999991</v>
      </c>
      <c r="AB92" s="69">
        <f>SUM(AB71:AB90)</f>
        <v>247.36209999999997</v>
      </c>
    </row>
    <row r="93" spans="1:28" hidden="1" x14ac:dyDescent="0.3">
      <c r="A93" s="117"/>
      <c r="E93" s="86" t="s">
        <v>29</v>
      </c>
      <c r="F93" s="86" t="s">
        <v>29</v>
      </c>
      <c r="G93" s="86" t="s">
        <v>29</v>
      </c>
      <c r="H93" s="86" t="s">
        <v>29</v>
      </c>
      <c r="I93" s="86" t="s">
        <v>29</v>
      </c>
      <c r="J93" s="86" t="s">
        <v>29</v>
      </c>
      <c r="K93" s="86" t="s">
        <v>29</v>
      </c>
      <c r="L93" s="86" t="s">
        <v>29</v>
      </c>
      <c r="M93" s="86" t="s">
        <v>29</v>
      </c>
      <c r="N93" s="86" t="s">
        <v>29</v>
      </c>
      <c r="O93" s="86" t="s">
        <v>29</v>
      </c>
      <c r="P93" s="86" t="s">
        <v>29</v>
      </c>
      <c r="Q93" s="86" t="s">
        <v>29</v>
      </c>
      <c r="R93" s="86" t="s">
        <v>29</v>
      </c>
      <c r="S93" s="86" t="s">
        <v>29</v>
      </c>
      <c r="T93" s="86" t="s">
        <v>29</v>
      </c>
      <c r="U93" s="86" t="s">
        <v>29</v>
      </c>
      <c r="V93" s="86" t="s">
        <v>29</v>
      </c>
      <c r="W93" s="86" t="s">
        <v>29</v>
      </c>
      <c r="X93" s="85" t="e">
        <f t="shared" si="4"/>
        <v>#VALUE!</v>
      </c>
      <c r="Y93" s="86" t="s">
        <v>29</v>
      </c>
      <c r="Z93" s="85" t="e">
        <f t="shared" si="5"/>
        <v>#VALUE!</v>
      </c>
      <c r="AA93" s="115" t="s">
        <v>29</v>
      </c>
      <c r="AB93" s="115" t="s">
        <v>29</v>
      </c>
    </row>
    <row r="94" spans="1:28" hidden="1" x14ac:dyDescent="0.3">
      <c r="A94" s="105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5">
        <f t="shared" si="4"/>
        <v>0</v>
      </c>
      <c r="Y94" s="84"/>
      <c r="Z94" s="85">
        <f t="shared" si="5"/>
        <v>0</v>
      </c>
      <c r="AA94" s="118"/>
    </row>
    <row r="95" spans="1:28" hidden="1" x14ac:dyDescent="0.3">
      <c r="A95" s="117"/>
      <c r="C95" s="68" t="s">
        <v>75</v>
      </c>
      <c r="D95" s="88" t="s">
        <v>76</v>
      </c>
      <c r="E95" s="85">
        <f>STATS1003B!E95/1000</f>
        <v>2752</v>
      </c>
      <c r="F95" s="85">
        <f>STATS1003B!F95/1000</f>
        <v>0</v>
      </c>
      <c r="G95" s="85">
        <f>STATS1003B!G95/1000</f>
        <v>0</v>
      </c>
      <c r="H95" s="85">
        <f>STATS1003B!H95/1000</f>
        <v>0</v>
      </c>
      <c r="I95" s="85">
        <f>STATS1003B!I95/1000</f>
        <v>0</v>
      </c>
      <c r="J95" s="85">
        <f>STATS1003B!J95/1000</f>
        <v>0</v>
      </c>
      <c r="K95" s="85">
        <f>STATS1003B!K95/1000</f>
        <v>0</v>
      </c>
      <c r="L95" s="85">
        <f>STATS1003B!L95/1000</f>
        <v>0</v>
      </c>
      <c r="M95" s="85">
        <f>STATS1003B!M95/1000</f>
        <v>0</v>
      </c>
      <c r="N95" s="85">
        <f>STATS1003B!N95/1000</f>
        <v>2752</v>
      </c>
      <c r="O95" s="85">
        <f>STATS1003B!O95/1000</f>
        <v>0</v>
      </c>
      <c r="P95" s="85">
        <f>STATS1003B!P95/1000</f>
        <v>2752</v>
      </c>
      <c r="Q95" s="85">
        <f>STATS1003B!Q95/1000</f>
        <v>0</v>
      </c>
      <c r="R95" s="85">
        <f>STATS1003B!R95/1000</f>
        <v>0</v>
      </c>
      <c r="S95" s="85">
        <f>STATS1003B!S95/1000</f>
        <v>0</v>
      </c>
      <c r="T95" s="85">
        <f>STATS1003B!T95/1000</f>
        <v>0</v>
      </c>
      <c r="U95" s="85">
        <f>STATS1003B!U95/1000</f>
        <v>2752</v>
      </c>
      <c r="V95" s="85">
        <f>STATS1003B!V95/1000</f>
        <v>2752</v>
      </c>
      <c r="W95" s="85">
        <f>STATS1003B!W95/1000</f>
        <v>0</v>
      </c>
      <c r="X95" s="85">
        <f t="shared" si="4"/>
        <v>2752</v>
      </c>
      <c r="Y95" s="85">
        <f>STATS1003B!Y95/1000</f>
        <v>0</v>
      </c>
      <c r="Z95" s="85">
        <f t="shared" si="5"/>
        <v>0</v>
      </c>
      <c r="AA95" s="69">
        <f>STATS1003B!AA95/1000</f>
        <v>2752</v>
      </c>
      <c r="AB95" s="69">
        <f>STATS1003B!AB95/1000</f>
        <v>0</v>
      </c>
    </row>
    <row r="96" spans="1:28" hidden="1" x14ac:dyDescent="0.3">
      <c r="A96" s="117"/>
      <c r="C96" s="68" t="s">
        <v>77</v>
      </c>
      <c r="D96" s="145" t="s">
        <v>78</v>
      </c>
      <c r="E96" s="85">
        <f>STATS1003B!E96/1000</f>
        <v>1657</v>
      </c>
      <c r="F96" s="85">
        <f>STATS1003B!F96/1000</f>
        <v>1657</v>
      </c>
      <c r="G96" s="85">
        <f>STATS1003B!G96/1000</f>
        <v>0</v>
      </c>
      <c r="H96" s="85">
        <f>STATS1003B!H96/1000</f>
        <v>1657</v>
      </c>
      <c r="I96" s="85">
        <f>STATS1003B!I96/1000</f>
        <v>0</v>
      </c>
      <c r="J96" s="85">
        <f>STATS1003B!J96/1000</f>
        <v>0</v>
      </c>
      <c r="K96" s="85">
        <f>STATS1003B!K96/1000</f>
        <v>0</v>
      </c>
      <c r="L96" s="85">
        <f>STATS1003B!L96/1000</f>
        <v>0</v>
      </c>
      <c r="M96" s="85">
        <f>STATS1003B!M96/1000</f>
        <v>1657</v>
      </c>
      <c r="N96" s="85">
        <f>STATS1003B!N96/1000</f>
        <v>0</v>
      </c>
      <c r="O96" s="85">
        <f>STATS1003B!O96/1000</f>
        <v>0</v>
      </c>
      <c r="P96" s="85">
        <f>STATS1003B!P96/1000</f>
        <v>0</v>
      </c>
      <c r="Q96" s="85">
        <f>STATS1003B!Q96/1000</f>
        <v>0</v>
      </c>
      <c r="R96" s="85">
        <f>STATS1003B!R96/1000</f>
        <v>0</v>
      </c>
      <c r="S96" s="85">
        <f>STATS1003B!S96/1000</f>
        <v>0</v>
      </c>
      <c r="T96" s="85">
        <f>STATS1003B!T96/1000</f>
        <v>0</v>
      </c>
      <c r="U96" s="85">
        <f>STATS1003B!U96/1000</f>
        <v>0</v>
      </c>
      <c r="V96" s="85">
        <f>STATS1003B!V96/1000</f>
        <v>1657</v>
      </c>
      <c r="W96" s="85">
        <f>STATS1003B!W96/1000</f>
        <v>0</v>
      </c>
      <c r="X96" s="85">
        <f t="shared" si="4"/>
        <v>1657</v>
      </c>
      <c r="Y96" s="85">
        <f>STATS1003B!Y96/1000</f>
        <v>0</v>
      </c>
      <c r="Z96" s="85">
        <f t="shared" si="5"/>
        <v>0</v>
      </c>
      <c r="AA96" s="69">
        <f>STATS1003B!AA96/1000</f>
        <v>1657</v>
      </c>
      <c r="AB96" s="69">
        <f>STATS1003B!AB96/1000</f>
        <v>0</v>
      </c>
    </row>
    <row r="97" spans="1:28" hidden="1" x14ac:dyDescent="0.3">
      <c r="A97" s="117"/>
      <c r="C97" s="68" t="s">
        <v>92</v>
      </c>
      <c r="D97" s="145" t="s">
        <v>98</v>
      </c>
      <c r="E97" s="85">
        <f>STATS1003B!E97/1000</f>
        <v>4871.1980000000003</v>
      </c>
      <c r="F97" s="85">
        <f>STATS1003B!F97/1000</f>
        <v>4871.1980000000003</v>
      </c>
      <c r="G97" s="85">
        <f>STATS1003B!G97/1000</f>
        <v>0</v>
      </c>
      <c r="H97" s="85">
        <f>STATS1003B!H97/1000</f>
        <v>4871.1980000000003</v>
      </c>
      <c r="I97" s="85">
        <f>STATS1003B!I97/1000</f>
        <v>0</v>
      </c>
      <c r="J97" s="85">
        <f>STATS1003B!J97/1000</f>
        <v>0</v>
      </c>
      <c r="K97" s="85">
        <f>STATS1003B!K97/1000</f>
        <v>0</v>
      </c>
      <c r="L97" s="85">
        <f>STATS1003B!L97/1000</f>
        <v>0</v>
      </c>
      <c r="M97" s="85">
        <f>STATS1003B!M97/1000</f>
        <v>4871.1980000000003</v>
      </c>
      <c r="N97" s="85">
        <f>STATS1003B!N97/1000</f>
        <v>0</v>
      </c>
      <c r="O97" s="85">
        <f>STATS1003B!O97/1000</f>
        <v>0</v>
      </c>
      <c r="P97" s="85">
        <f>STATS1003B!P97/1000</f>
        <v>0</v>
      </c>
      <c r="Q97" s="85">
        <f>STATS1003B!Q97/1000</f>
        <v>0</v>
      </c>
      <c r="R97" s="85">
        <f>STATS1003B!R97/1000</f>
        <v>0</v>
      </c>
      <c r="S97" s="85">
        <f>STATS1003B!S97/1000</f>
        <v>0</v>
      </c>
      <c r="T97" s="85">
        <f>STATS1003B!T97/1000</f>
        <v>0</v>
      </c>
      <c r="U97" s="85">
        <f>STATS1003B!U97/1000</f>
        <v>0</v>
      </c>
      <c r="V97" s="85">
        <f>STATS1003B!V97/1000</f>
        <v>4871.1980000000003</v>
      </c>
      <c r="W97" s="85">
        <f>STATS1003B!W97/1000</f>
        <v>0</v>
      </c>
      <c r="X97" s="85">
        <f t="shared" si="4"/>
        <v>4871.1980000000003</v>
      </c>
      <c r="Y97" s="85">
        <f>STATS1003B!Y97/1000</f>
        <v>0</v>
      </c>
      <c r="Z97" s="85">
        <f t="shared" si="5"/>
        <v>0</v>
      </c>
      <c r="AA97" s="69">
        <f>STATS1003B!AA97/1000</f>
        <v>4871.1980000000003</v>
      </c>
      <c r="AB97" s="69">
        <f>STATS1003B!AB97/1000</f>
        <v>0</v>
      </c>
    </row>
    <row r="98" spans="1:28" hidden="1" x14ac:dyDescent="0.3">
      <c r="A98" s="117"/>
      <c r="C98" s="68" t="s">
        <v>55</v>
      </c>
      <c r="D98" s="145" t="s">
        <v>99</v>
      </c>
      <c r="E98" s="85">
        <f>STATS1003B!E98/1000</f>
        <v>2191.6395000000002</v>
      </c>
      <c r="F98" s="85">
        <f>STATS1003B!F98/1000</f>
        <v>0</v>
      </c>
      <c r="G98" s="85">
        <f>STATS1003B!G98/1000</f>
        <v>0</v>
      </c>
      <c r="H98" s="85">
        <f>STATS1003B!H98/1000</f>
        <v>0</v>
      </c>
      <c r="I98" s="85">
        <f>STATS1003B!I98/1000</f>
        <v>0</v>
      </c>
      <c r="J98" s="85">
        <f>STATS1003B!J98/1000</f>
        <v>0</v>
      </c>
      <c r="K98" s="85">
        <f>STATS1003B!K98/1000</f>
        <v>0</v>
      </c>
      <c r="L98" s="85">
        <f>STATS1003B!L98/1000</f>
        <v>0</v>
      </c>
      <c r="M98" s="85">
        <f>STATS1003B!M98/1000</f>
        <v>0</v>
      </c>
      <c r="N98" s="85">
        <f>STATS1003B!N98/1000</f>
        <v>2191.6395000000002</v>
      </c>
      <c r="O98" s="85">
        <f>STATS1003B!O98/1000</f>
        <v>0</v>
      </c>
      <c r="P98" s="85">
        <f>STATS1003B!P98/1000</f>
        <v>2191.6395000000002</v>
      </c>
      <c r="Q98" s="85">
        <f>STATS1003B!Q98/1000</f>
        <v>0</v>
      </c>
      <c r="R98" s="85">
        <f>STATS1003B!R98/1000</f>
        <v>0</v>
      </c>
      <c r="S98" s="85">
        <f>STATS1003B!S98/1000</f>
        <v>0</v>
      </c>
      <c r="T98" s="85">
        <f>STATS1003B!T98/1000</f>
        <v>0</v>
      </c>
      <c r="U98" s="85">
        <f>STATS1003B!U98/1000</f>
        <v>2191.6395000000002</v>
      </c>
      <c r="V98" s="85">
        <f>STATS1003B!V98/1000</f>
        <v>2191.6395000000002</v>
      </c>
      <c r="W98" s="85">
        <f>STATS1003B!W98/1000</f>
        <v>0</v>
      </c>
      <c r="X98" s="85">
        <f t="shared" si="4"/>
        <v>2191.6395000000002</v>
      </c>
      <c r="Y98" s="85">
        <f>STATS1003B!Y98/1000</f>
        <v>0</v>
      </c>
      <c r="Z98" s="85">
        <f t="shared" si="5"/>
        <v>0</v>
      </c>
      <c r="AA98" s="69">
        <f>STATS1003B!AA98/1000</f>
        <v>2191.6395000000002</v>
      </c>
      <c r="AB98" s="69">
        <f>STATS1003B!AB98/1000</f>
        <v>0</v>
      </c>
    </row>
    <row r="99" spans="1:28" hidden="1" x14ac:dyDescent="0.3">
      <c r="A99" s="117"/>
      <c r="C99" s="68" t="s">
        <v>53</v>
      </c>
      <c r="D99" s="145" t="s">
        <v>54</v>
      </c>
      <c r="E99" s="85">
        <f>STATS1003B!E99/1000</f>
        <v>2306.1060000000002</v>
      </c>
      <c r="F99" s="85">
        <f>STATS1003B!F99/1000</f>
        <v>0</v>
      </c>
      <c r="G99" s="85">
        <f>STATS1003B!G99/1000</f>
        <v>0</v>
      </c>
      <c r="H99" s="85">
        <f>STATS1003B!H99/1000</f>
        <v>0</v>
      </c>
      <c r="I99" s="85">
        <f>STATS1003B!I99/1000</f>
        <v>0</v>
      </c>
      <c r="J99" s="85">
        <f>STATS1003B!J99/1000</f>
        <v>0</v>
      </c>
      <c r="K99" s="85">
        <f>STATS1003B!K99/1000</f>
        <v>0</v>
      </c>
      <c r="L99" s="85">
        <f>STATS1003B!L99/1000</f>
        <v>0</v>
      </c>
      <c r="M99" s="85">
        <f>STATS1003B!M99/1000</f>
        <v>0</v>
      </c>
      <c r="N99" s="85">
        <f>STATS1003B!N99/1000</f>
        <v>2306.1060000000002</v>
      </c>
      <c r="O99" s="85">
        <f>STATS1003B!O99/1000</f>
        <v>0</v>
      </c>
      <c r="P99" s="85">
        <f>STATS1003B!P99/1000</f>
        <v>2306.1060000000002</v>
      </c>
      <c r="Q99" s="85">
        <f>STATS1003B!Q99/1000</f>
        <v>0</v>
      </c>
      <c r="R99" s="85">
        <f>STATS1003B!R99/1000</f>
        <v>0</v>
      </c>
      <c r="S99" s="85">
        <f>STATS1003B!S99/1000</f>
        <v>0</v>
      </c>
      <c r="T99" s="85">
        <f>STATS1003B!T99/1000</f>
        <v>0</v>
      </c>
      <c r="U99" s="85">
        <f>STATS1003B!U99/1000</f>
        <v>2306.1060000000002</v>
      </c>
      <c r="V99" s="85">
        <f>STATS1003B!V99/1000</f>
        <v>2306.1060000000002</v>
      </c>
      <c r="W99" s="85">
        <f>STATS1003B!W99/1000</f>
        <v>0</v>
      </c>
      <c r="X99" s="85">
        <f t="shared" si="4"/>
        <v>2306.1060000000002</v>
      </c>
      <c r="Y99" s="85">
        <f>STATS1003B!Y99/1000</f>
        <v>0</v>
      </c>
      <c r="Z99" s="85">
        <f t="shared" si="5"/>
        <v>0</v>
      </c>
      <c r="AA99" s="69">
        <f>STATS1003B!AA99/1000</f>
        <v>2306.1060000000002</v>
      </c>
      <c r="AB99" s="69">
        <f>STATS1003B!AB99/1000</f>
        <v>0</v>
      </c>
    </row>
    <row r="100" spans="1:28" hidden="1" x14ac:dyDescent="0.3">
      <c r="A100" s="117"/>
      <c r="C100" s="68" t="s">
        <v>87</v>
      </c>
      <c r="D100" s="145" t="s">
        <v>88</v>
      </c>
      <c r="E100" s="85">
        <f>STATS1003B!E100/1000</f>
        <v>10177.34</v>
      </c>
      <c r="F100" s="85">
        <f>STATS1003B!F100/1000</f>
        <v>10177.34</v>
      </c>
      <c r="G100" s="85">
        <f>STATS1003B!G100/1000</f>
        <v>0</v>
      </c>
      <c r="H100" s="85">
        <f>STATS1003B!H100/1000</f>
        <v>10177.34</v>
      </c>
      <c r="I100" s="85">
        <f>STATS1003B!I100/1000</f>
        <v>0</v>
      </c>
      <c r="J100" s="85">
        <f>STATS1003B!J100/1000</f>
        <v>0</v>
      </c>
      <c r="K100" s="85">
        <f>STATS1003B!K100/1000</f>
        <v>0</v>
      </c>
      <c r="L100" s="85">
        <f>STATS1003B!L100/1000</f>
        <v>0</v>
      </c>
      <c r="M100" s="85">
        <f>STATS1003B!M100/1000</f>
        <v>10177.34</v>
      </c>
      <c r="N100" s="85">
        <f>STATS1003B!N100/1000</f>
        <v>0</v>
      </c>
      <c r="O100" s="85">
        <f>STATS1003B!O100/1000</f>
        <v>0</v>
      </c>
      <c r="P100" s="85">
        <f>STATS1003B!P100/1000</f>
        <v>0</v>
      </c>
      <c r="Q100" s="85">
        <f>STATS1003B!Q100/1000</f>
        <v>0</v>
      </c>
      <c r="R100" s="85">
        <f>STATS1003B!R100/1000</f>
        <v>0</v>
      </c>
      <c r="S100" s="85">
        <f>STATS1003B!S100/1000</f>
        <v>0</v>
      </c>
      <c r="T100" s="85">
        <f>STATS1003B!T100/1000</f>
        <v>0</v>
      </c>
      <c r="U100" s="85">
        <f>STATS1003B!U100/1000</f>
        <v>0</v>
      </c>
      <c r="V100" s="85">
        <f>STATS1003B!V100/1000</f>
        <v>10177.34</v>
      </c>
      <c r="W100" s="85">
        <f>STATS1003B!W100/1000</f>
        <v>0</v>
      </c>
      <c r="X100" s="85">
        <f t="shared" si="4"/>
        <v>10177.34</v>
      </c>
      <c r="Y100" s="85">
        <f>STATS1003B!Y100/1000</f>
        <v>0</v>
      </c>
      <c r="Z100" s="85">
        <f t="shared" si="5"/>
        <v>0</v>
      </c>
      <c r="AA100" s="69">
        <f>STATS1003B!AA100/1000</f>
        <v>10177.34</v>
      </c>
      <c r="AB100" s="69">
        <f>STATS1003B!AB100/1000</f>
        <v>0</v>
      </c>
    </row>
    <row r="101" spans="1:28" hidden="1" x14ac:dyDescent="0.3">
      <c r="A101" s="117"/>
      <c r="C101" s="68" t="s">
        <v>57</v>
      </c>
      <c r="D101" s="145" t="s">
        <v>58</v>
      </c>
      <c r="E101" s="85">
        <f>STATS1003B!E101/1000</f>
        <v>2849.2040000000002</v>
      </c>
      <c r="F101" s="85">
        <f>STATS1003B!F101/1000</f>
        <v>2849.2040000000002</v>
      </c>
      <c r="G101" s="85">
        <f>STATS1003B!G101/1000</f>
        <v>0</v>
      </c>
      <c r="H101" s="85">
        <f>STATS1003B!H101/1000</f>
        <v>2849.2040000000002</v>
      </c>
      <c r="I101" s="85">
        <f>STATS1003B!I101/1000</f>
        <v>0</v>
      </c>
      <c r="J101" s="85">
        <f>STATS1003B!J101/1000</f>
        <v>0</v>
      </c>
      <c r="K101" s="85">
        <f>STATS1003B!K101/1000</f>
        <v>0</v>
      </c>
      <c r="L101" s="85">
        <f>STATS1003B!L101/1000</f>
        <v>0</v>
      </c>
      <c r="M101" s="85">
        <f>STATS1003B!M101/1000</f>
        <v>2849.2040000000002</v>
      </c>
      <c r="N101" s="85">
        <f>STATS1003B!N101/1000</f>
        <v>0</v>
      </c>
      <c r="O101" s="85">
        <f>STATS1003B!O101/1000</f>
        <v>0</v>
      </c>
      <c r="P101" s="85">
        <f>STATS1003B!P101/1000</f>
        <v>0</v>
      </c>
      <c r="Q101" s="85">
        <f>STATS1003B!Q101/1000</f>
        <v>0</v>
      </c>
      <c r="R101" s="85">
        <f>STATS1003B!R101/1000</f>
        <v>0</v>
      </c>
      <c r="S101" s="85">
        <f>STATS1003B!S101/1000</f>
        <v>0</v>
      </c>
      <c r="T101" s="85">
        <f>STATS1003B!T101/1000</f>
        <v>0</v>
      </c>
      <c r="U101" s="85">
        <f>STATS1003B!U101/1000</f>
        <v>0</v>
      </c>
      <c r="V101" s="85">
        <f>STATS1003B!V101/1000</f>
        <v>2849.2040000000002</v>
      </c>
      <c r="W101" s="85">
        <f>STATS1003B!W101/1000</f>
        <v>0</v>
      </c>
      <c r="X101" s="85">
        <f t="shared" si="4"/>
        <v>2849.2040000000002</v>
      </c>
      <c r="Y101" s="85">
        <f>STATS1003B!Y101/1000</f>
        <v>0</v>
      </c>
      <c r="Z101" s="85">
        <f t="shared" si="5"/>
        <v>0</v>
      </c>
      <c r="AA101" s="69">
        <f>STATS1003B!AA101/1000</f>
        <v>2849.2040000000002</v>
      </c>
      <c r="AB101" s="69">
        <f>STATS1003B!AB101/1000</f>
        <v>0</v>
      </c>
    </row>
    <row r="102" spans="1:28" hidden="1" x14ac:dyDescent="0.3">
      <c r="A102" s="117"/>
      <c r="C102" s="71" t="s">
        <v>59</v>
      </c>
      <c r="D102" s="90" t="s">
        <v>60</v>
      </c>
      <c r="E102" s="85">
        <f>STATS1003B!E102/1000</f>
        <v>7500</v>
      </c>
      <c r="F102" s="85">
        <f>STATS1003B!F102/1000</f>
        <v>7500</v>
      </c>
      <c r="G102" s="85">
        <f>STATS1003B!G102/1000</f>
        <v>0</v>
      </c>
      <c r="H102" s="85">
        <f>STATS1003B!H102/1000</f>
        <v>7500</v>
      </c>
      <c r="I102" s="85">
        <f>STATS1003B!I102/1000</f>
        <v>0</v>
      </c>
      <c r="J102" s="85">
        <f>STATS1003B!J102/1000</f>
        <v>0</v>
      </c>
      <c r="K102" s="85">
        <f>STATS1003B!K102/1000</f>
        <v>0</v>
      </c>
      <c r="L102" s="85">
        <f>STATS1003B!L102/1000</f>
        <v>0</v>
      </c>
      <c r="M102" s="85">
        <f>STATS1003B!M102/1000</f>
        <v>7500</v>
      </c>
      <c r="N102" s="85">
        <f>STATS1003B!N102/1000</f>
        <v>0</v>
      </c>
      <c r="O102" s="85">
        <f>STATS1003B!O102/1000</f>
        <v>0</v>
      </c>
      <c r="P102" s="85">
        <f>STATS1003B!P102/1000</f>
        <v>0</v>
      </c>
      <c r="Q102" s="85">
        <f>STATS1003B!Q102/1000</f>
        <v>0</v>
      </c>
      <c r="R102" s="85">
        <f>STATS1003B!R102/1000</f>
        <v>0</v>
      </c>
      <c r="S102" s="85">
        <f>STATS1003B!S102/1000</f>
        <v>0</v>
      </c>
      <c r="T102" s="85">
        <f>STATS1003B!T102/1000</f>
        <v>0</v>
      </c>
      <c r="U102" s="85">
        <f>STATS1003B!U102/1000</f>
        <v>0</v>
      </c>
      <c r="V102" s="85">
        <f>STATS1003B!V102/1000</f>
        <v>7500</v>
      </c>
      <c r="W102" s="85">
        <f>STATS1003B!W102/1000</f>
        <v>0</v>
      </c>
      <c r="X102" s="85">
        <f t="shared" si="4"/>
        <v>7500</v>
      </c>
      <c r="Y102" s="85">
        <f>STATS1003B!Y102/1000</f>
        <v>0</v>
      </c>
      <c r="Z102" s="85">
        <f t="shared" si="5"/>
        <v>0</v>
      </c>
      <c r="AA102" s="69">
        <f>STATS1003B!AA102/1000</f>
        <v>7500</v>
      </c>
      <c r="AB102" s="69">
        <f>STATS1003B!AB102/1000</f>
        <v>0</v>
      </c>
    </row>
    <row r="103" spans="1:28" hidden="1" x14ac:dyDescent="0.3">
      <c r="A103" s="117"/>
      <c r="C103" s="71" t="s">
        <v>1090</v>
      </c>
      <c r="D103" s="90" t="s">
        <v>1072</v>
      </c>
      <c r="E103" s="85">
        <f>STATS1003B!E103/1000</f>
        <v>1790.80945</v>
      </c>
      <c r="F103" s="85">
        <f>STATS1003B!F103/1000</f>
        <v>1790.80945</v>
      </c>
      <c r="G103" s="85">
        <f>STATS1003B!G103/1000</f>
        <v>0</v>
      </c>
      <c r="H103" s="85">
        <f>STATS1003B!H103/1000</f>
        <v>1790.80945</v>
      </c>
      <c r="I103" s="85">
        <f>STATS1003B!I103/1000</f>
        <v>0</v>
      </c>
      <c r="J103" s="85">
        <f>STATS1003B!J103/1000</f>
        <v>0</v>
      </c>
      <c r="K103" s="85">
        <f>STATS1003B!K103/1000</f>
        <v>0</v>
      </c>
      <c r="L103" s="85">
        <f>STATS1003B!L103/1000</f>
        <v>0</v>
      </c>
      <c r="M103" s="85">
        <f>STATS1003B!M103/1000</f>
        <v>1790.80945</v>
      </c>
      <c r="N103" s="85">
        <f>STATS1003B!N103/1000</f>
        <v>0</v>
      </c>
      <c r="O103" s="85">
        <f>STATS1003B!O103/1000</f>
        <v>0</v>
      </c>
      <c r="P103" s="85">
        <f>STATS1003B!P103/1000</f>
        <v>0</v>
      </c>
      <c r="Q103" s="85">
        <f>STATS1003B!Q103/1000</f>
        <v>0</v>
      </c>
      <c r="R103" s="85">
        <f>STATS1003B!R103/1000</f>
        <v>0</v>
      </c>
      <c r="S103" s="85">
        <f>STATS1003B!S103/1000</f>
        <v>0</v>
      </c>
      <c r="T103" s="85">
        <f>STATS1003B!T103/1000</f>
        <v>0</v>
      </c>
      <c r="U103" s="85">
        <f>STATS1003B!U103/1000</f>
        <v>0</v>
      </c>
      <c r="V103" s="85">
        <f>STATS1003B!V103/1000</f>
        <v>0</v>
      </c>
      <c r="W103" s="85">
        <f>STATS1003B!W103/1000</f>
        <v>0</v>
      </c>
      <c r="X103" s="85">
        <f t="shared" si="4"/>
        <v>1790.80945</v>
      </c>
      <c r="Y103" s="85">
        <f>STATS1003B!Y103/1000</f>
        <v>0</v>
      </c>
      <c r="Z103" s="85">
        <f t="shared" si="5"/>
        <v>0</v>
      </c>
      <c r="AA103" s="69">
        <f>STATS1003B!AA103/1000</f>
        <v>1790.80945</v>
      </c>
      <c r="AB103" s="69">
        <f>STATS1003B!AB103/1000</f>
        <v>0</v>
      </c>
    </row>
    <row r="104" spans="1:28" hidden="1" x14ac:dyDescent="0.3">
      <c r="A104" s="117"/>
      <c r="C104" s="71" t="s">
        <v>1213</v>
      </c>
      <c r="D104" s="90" t="s">
        <v>1126</v>
      </c>
      <c r="E104" s="85">
        <f>STATS1003B!E104/1000</f>
        <v>300</v>
      </c>
      <c r="F104" s="85">
        <f>STATS1003B!F104/1000</f>
        <v>300</v>
      </c>
      <c r="G104" s="85">
        <f>STATS1003B!G104/1000</f>
        <v>0</v>
      </c>
      <c r="H104" s="85">
        <f>STATS1003B!H104/1000</f>
        <v>300</v>
      </c>
      <c r="I104" s="85">
        <f>STATS1003B!I104/1000</f>
        <v>0</v>
      </c>
      <c r="J104" s="85">
        <f>STATS1003B!J104/1000</f>
        <v>0</v>
      </c>
      <c r="K104" s="85">
        <f>STATS1003B!K104/1000</f>
        <v>0</v>
      </c>
      <c r="L104" s="85">
        <f>STATS1003B!L104/1000</f>
        <v>0</v>
      </c>
      <c r="M104" s="85">
        <f>STATS1003B!M104/1000</f>
        <v>300</v>
      </c>
      <c r="N104" s="85">
        <f>STATS1003B!N104/1000</f>
        <v>0</v>
      </c>
      <c r="O104" s="85">
        <f>STATS1003B!O104/1000</f>
        <v>0</v>
      </c>
      <c r="P104" s="85">
        <f>STATS1003B!P104/1000</f>
        <v>0</v>
      </c>
      <c r="Q104" s="85">
        <f>STATS1003B!Q104/1000</f>
        <v>0</v>
      </c>
      <c r="R104" s="85">
        <f>STATS1003B!R104/1000</f>
        <v>0</v>
      </c>
      <c r="S104" s="85">
        <f>STATS1003B!S104/1000</f>
        <v>0</v>
      </c>
      <c r="T104" s="85">
        <f>STATS1003B!T104/1000</f>
        <v>0</v>
      </c>
      <c r="U104" s="85">
        <f>STATS1003B!U104/1000</f>
        <v>0</v>
      </c>
      <c r="V104" s="85">
        <f>STATS1003B!V104/1000</f>
        <v>0</v>
      </c>
      <c r="W104" s="85">
        <f>STATS1003B!W104/1000</f>
        <v>0</v>
      </c>
      <c r="X104" s="85">
        <f t="shared" si="4"/>
        <v>300</v>
      </c>
      <c r="Y104" s="85">
        <f>STATS1003B!Y104/1000</f>
        <v>0</v>
      </c>
      <c r="Z104" s="85">
        <f t="shared" si="5"/>
        <v>0</v>
      </c>
      <c r="AA104" s="69">
        <f>STATS1003B!AA104/1000</f>
        <v>300</v>
      </c>
      <c r="AB104" s="69">
        <f>STATS1003B!AB104/1000</f>
        <v>0</v>
      </c>
    </row>
    <row r="105" spans="1:28" hidden="1" x14ac:dyDescent="0.3">
      <c r="A105" s="117"/>
      <c r="C105" s="68" t="s">
        <v>100</v>
      </c>
      <c r="E105" s="85">
        <f>STATS1003B!E105/1000</f>
        <v>3459.52</v>
      </c>
      <c r="F105" s="85">
        <f>STATS1003B!F105/1000</f>
        <v>3459.52</v>
      </c>
      <c r="G105" s="85">
        <f>STATS1003B!G105/1000</f>
        <v>0</v>
      </c>
      <c r="H105" s="85">
        <f>STATS1003B!H105/1000</f>
        <v>3459.52</v>
      </c>
      <c r="I105" s="85">
        <f>STATS1003B!I105/1000</f>
        <v>0</v>
      </c>
      <c r="J105" s="85">
        <f>STATS1003B!J105/1000</f>
        <v>0</v>
      </c>
      <c r="K105" s="85">
        <f>STATS1003B!K105/1000</f>
        <v>0</v>
      </c>
      <c r="L105" s="85">
        <f>STATS1003B!L105/1000</f>
        <v>0</v>
      </c>
      <c r="M105" s="85">
        <f>STATS1003B!M105/1000</f>
        <v>3459.52</v>
      </c>
      <c r="N105" s="85">
        <f>STATS1003B!N105/1000</f>
        <v>0</v>
      </c>
      <c r="O105" s="85">
        <f>STATS1003B!O105/1000</f>
        <v>0</v>
      </c>
      <c r="P105" s="85">
        <f>STATS1003B!P105/1000</f>
        <v>0</v>
      </c>
      <c r="Q105" s="85">
        <f>STATS1003B!Q105/1000</f>
        <v>0</v>
      </c>
      <c r="R105" s="85">
        <f>STATS1003B!R105/1000</f>
        <v>0</v>
      </c>
      <c r="S105" s="85">
        <f>STATS1003B!S105/1000</f>
        <v>0</v>
      </c>
      <c r="T105" s="85">
        <f>STATS1003B!T105/1000</f>
        <v>0</v>
      </c>
      <c r="U105" s="85">
        <f>STATS1003B!U105/1000</f>
        <v>0</v>
      </c>
      <c r="V105" s="85">
        <f>STATS1003B!V105/1000</f>
        <v>3459.52</v>
      </c>
      <c r="W105" s="85">
        <f>STATS1003B!W105/1000</f>
        <v>0</v>
      </c>
      <c r="X105" s="85">
        <f t="shared" si="4"/>
        <v>3459.52</v>
      </c>
      <c r="Y105" s="85">
        <f>STATS1003B!Y105/1000</f>
        <v>0</v>
      </c>
      <c r="Z105" s="85">
        <f t="shared" si="5"/>
        <v>0</v>
      </c>
      <c r="AA105" s="69">
        <f>STATS1003B!AA105/1000</f>
        <v>3459.52</v>
      </c>
      <c r="AB105" s="69">
        <f>STATS1003B!AB105/1000</f>
        <v>0</v>
      </c>
    </row>
    <row r="106" spans="1:28" hidden="1" x14ac:dyDescent="0.3">
      <c r="A106" s="117"/>
      <c r="E106" s="86" t="s">
        <v>29</v>
      </c>
      <c r="F106" s="86" t="s">
        <v>29</v>
      </c>
      <c r="G106" s="86" t="s">
        <v>29</v>
      </c>
      <c r="H106" s="86" t="s">
        <v>29</v>
      </c>
      <c r="I106" s="86" t="s">
        <v>29</v>
      </c>
      <c r="J106" s="86" t="s">
        <v>29</v>
      </c>
      <c r="K106" s="86" t="s">
        <v>29</v>
      </c>
      <c r="L106" s="86" t="s">
        <v>29</v>
      </c>
      <c r="M106" s="86" t="s">
        <v>29</v>
      </c>
      <c r="N106" s="86" t="s">
        <v>29</v>
      </c>
      <c r="O106" s="86" t="s">
        <v>29</v>
      </c>
      <c r="P106" s="86" t="s">
        <v>29</v>
      </c>
      <c r="Q106" s="86" t="s">
        <v>29</v>
      </c>
      <c r="R106" s="86" t="s">
        <v>29</v>
      </c>
      <c r="S106" s="86" t="s">
        <v>29</v>
      </c>
      <c r="T106" s="86" t="s">
        <v>29</v>
      </c>
      <c r="U106" s="86" t="s">
        <v>29</v>
      </c>
      <c r="V106" s="86" t="s">
        <v>29</v>
      </c>
      <c r="W106" s="86" t="s">
        <v>29</v>
      </c>
      <c r="X106" s="85" t="e">
        <f t="shared" si="4"/>
        <v>#VALUE!</v>
      </c>
      <c r="Y106" s="86" t="s">
        <v>29</v>
      </c>
      <c r="Z106" s="85" t="e">
        <f t="shared" si="5"/>
        <v>#VALUE!</v>
      </c>
      <c r="AA106" s="115" t="s">
        <v>29</v>
      </c>
      <c r="AB106" s="115" t="s">
        <v>29</v>
      </c>
    </row>
    <row r="107" spans="1:28" x14ac:dyDescent="0.3">
      <c r="A107" s="116" t="s">
        <v>938</v>
      </c>
      <c r="B107" s="68" t="s">
        <v>97</v>
      </c>
      <c r="E107" s="85">
        <f>107236522.43/1000</f>
        <v>107236.52243000001</v>
      </c>
      <c r="F107" s="85">
        <f>SUM(F95:F105)</f>
        <v>32605.071450000003</v>
      </c>
      <c r="G107" s="85">
        <f>SUM(G95:G105)</f>
        <v>0</v>
      </c>
      <c r="H107" s="85">
        <f>99986776.93/1000</f>
        <v>99986.776930000007</v>
      </c>
      <c r="I107" s="85">
        <f t="shared" ref="I107:O107" si="10">SUM(I95:I105)</f>
        <v>0</v>
      </c>
      <c r="J107" s="85">
        <f t="shared" si="10"/>
        <v>0</v>
      </c>
      <c r="K107" s="85">
        <f t="shared" si="10"/>
        <v>0</v>
      </c>
      <c r="L107" s="85">
        <f t="shared" si="10"/>
        <v>0</v>
      </c>
      <c r="M107" s="85">
        <f t="shared" si="10"/>
        <v>32605.071450000003</v>
      </c>
      <c r="N107" s="85">
        <f t="shared" si="10"/>
        <v>7249.7455000000009</v>
      </c>
      <c r="O107" s="85">
        <f t="shared" si="10"/>
        <v>0</v>
      </c>
      <c r="P107" s="85">
        <f>7249745/1000</f>
        <v>7249.7449999999999</v>
      </c>
      <c r="Q107" s="85">
        <f t="shared" ref="Q107:W107" si="11">SUM(Q95:Q105)</f>
        <v>0</v>
      </c>
      <c r="R107" s="85">
        <f t="shared" si="11"/>
        <v>0</v>
      </c>
      <c r="S107" s="85">
        <f t="shared" si="11"/>
        <v>0</v>
      </c>
      <c r="T107" s="85">
        <f t="shared" si="11"/>
        <v>0</v>
      </c>
      <c r="U107" s="85">
        <f t="shared" si="11"/>
        <v>7249.7455000000009</v>
      </c>
      <c r="V107" s="85">
        <f t="shared" si="11"/>
        <v>37764.0075</v>
      </c>
      <c r="W107" s="85">
        <f t="shared" si="11"/>
        <v>0</v>
      </c>
      <c r="X107" s="85">
        <f t="shared" si="4"/>
        <v>107236.52193</v>
      </c>
      <c r="Y107" s="85">
        <f>SUM(Y95:Y105)</f>
        <v>0</v>
      </c>
      <c r="Z107" s="85">
        <f t="shared" si="5"/>
        <v>5.0000000919681042E-4</v>
      </c>
      <c r="AA107" s="69">
        <f>SUM(AA95:AA105)</f>
        <v>39854.81695</v>
      </c>
      <c r="AB107" s="69">
        <f>SUM(AB95:AB105)</f>
        <v>0</v>
      </c>
    </row>
    <row r="108" spans="1:28" hidden="1" x14ac:dyDescent="0.3">
      <c r="A108" s="117"/>
      <c r="E108" s="86" t="s">
        <v>29</v>
      </c>
      <c r="F108" s="86" t="s">
        <v>29</v>
      </c>
      <c r="G108" s="86" t="s">
        <v>29</v>
      </c>
      <c r="H108" s="86" t="s">
        <v>29</v>
      </c>
      <c r="I108" s="86" t="s">
        <v>29</v>
      </c>
      <c r="J108" s="86" t="s">
        <v>29</v>
      </c>
      <c r="K108" s="86" t="s">
        <v>29</v>
      </c>
      <c r="L108" s="86" t="s">
        <v>29</v>
      </c>
      <c r="M108" s="86" t="s">
        <v>29</v>
      </c>
      <c r="N108" s="86" t="s">
        <v>29</v>
      </c>
      <c r="O108" s="86" t="s">
        <v>29</v>
      </c>
      <c r="P108" s="86" t="s">
        <v>29</v>
      </c>
      <c r="Q108" s="86" t="s">
        <v>29</v>
      </c>
      <c r="R108" s="86" t="s">
        <v>29</v>
      </c>
      <c r="S108" s="86" t="s">
        <v>29</v>
      </c>
      <c r="T108" s="86" t="s">
        <v>29</v>
      </c>
      <c r="U108" s="86" t="s">
        <v>29</v>
      </c>
      <c r="V108" s="86" t="s">
        <v>29</v>
      </c>
      <c r="W108" s="86" t="s">
        <v>29</v>
      </c>
      <c r="X108" s="85" t="e">
        <f t="shared" si="4"/>
        <v>#VALUE!</v>
      </c>
      <c r="Y108" s="86" t="s">
        <v>29</v>
      </c>
      <c r="Z108" s="85" t="e">
        <f t="shared" si="5"/>
        <v>#VALUE!</v>
      </c>
      <c r="AA108" s="115" t="s">
        <v>29</v>
      </c>
      <c r="AB108" s="115" t="s">
        <v>29</v>
      </c>
    </row>
    <row r="109" spans="1:28" hidden="1" x14ac:dyDescent="0.3">
      <c r="A109" s="105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5">
        <f t="shared" si="4"/>
        <v>0</v>
      </c>
      <c r="Y109" s="84"/>
      <c r="Z109" s="85">
        <f t="shared" si="5"/>
        <v>0</v>
      </c>
      <c r="AA109" s="118"/>
    </row>
    <row r="110" spans="1:28" hidden="1" x14ac:dyDescent="0.3">
      <c r="A110" s="117"/>
      <c r="C110" s="68" t="s">
        <v>75</v>
      </c>
      <c r="D110" s="88" t="s">
        <v>76</v>
      </c>
      <c r="E110" s="85">
        <f>STATS1003B!E110/1000</f>
        <v>7714</v>
      </c>
      <c r="F110" s="85">
        <f>STATS1003B!F110/1000</f>
        <v>0</v>
      </c>
      <c r="G110" s="85">
        <f>STATS1003B!G110/1000</f>
        <v>0</v>
      </c>
      <c r="H110" s="85">
        <f>STATS1003B!H110/1000</f>
        <v>0</v>
      </c>
      <c r="I110" s="85">
        <f>STATS1003B!I110/1000</f>
        <v>0</v>
      </c>
      <c r="J110" s="85">
        <f>STATS1003B!J110/1000</f>
        <v>0</v>
      </c>
      <c r="K110" s="85">
        <f>STATS1003B!K110/1000</f>
        <v>0</v>
      </c>
      <c r="L110" s="85">
        <f>STATS1003B!L110/1000</f>
        <v>0</v>
      </c>
      <c r="M110" s="85">
        <f>STATS1003B!M110/1000</f>
        <v>0</v>
      </c>
      <c r="N110" s="85">
        <f>STATS1003B!N110/1000</f>
        <v>4611.64732</v>
      </c>
      <c r="O110" s="85">
        <f>STATS1003B!O110/1000</f>
        <v>0</v>
      </c>
      <c r="P110" s="85">
        <f>STATS1003B!P110/1000</f>
        <v>4611.64732</v>
      </c>
      <c r="Q110" s="85">
        <f>STATS1003B!Q110/1000</f>
        <v>0</v>
      </c>
      <c r="R110" s="85">
        <f>STATS1003B!R110/1000</f>
        <v>0</v>
      </c>
      <c r="S110" s="85">
        <f>STATS1003B!S110/1000</f>
        <v>0</v>
      </c>
      <c r="T110" s="85">
        <f>STATS1003B!T110/1000</f>
        <v>0</v>
      </c>
      <c r="U110" s="85">
        <f>STATS1003B!U110/1000</f>
        <v>4611.64732</v>
      </c>
      <c r="V110" s="85">
        <f>STATS1003B!V110/1000</f>
        <v>4611.64732</v>
      </c>
      <c r="W110" s="85">
        <f>STATS1003B!W110/1000</f>
        <v>3102.3526799999995</v>
      </c>
      <c r="X110" s="85">
        <f t="shared" ref="X110:X130" si="12">+H110+P110</f>
        <v>4611.64732</v>
      </c>
      <c r="Y110" s="85">
        <f>STATS1003B!Y110/1000</f>
        <v>0</v>
      </c>
      <c r="Z110" s="85">
        <f t="shared" ref="Z110:Z130" si="13">+E110-X110</f>
        <v>3102.35268</v>
      </c>
      <c r="AA110" s="69">
        <f>STATS1003B!AA110/1000</f>
        <v>4611.64732</v>
      </c>
      <c r="AB110" s="69">
        <f>STATS1003B!AB110/1000</f>
        <v>3102.3526799999995</v>
      </c>
    </row>
    <row r="111" spans="1:28" hidden="1" x14ac:dyDescent="0.3">
      <c r="A111" s="117"/>
      <c r="C111" s="71" t="s">
        <v>77</v>
      </c>
      <c r="D111" s="88" t="s">
        <v>78</v>
      </c>
      <c r="E111" s="85">
        <f>STATS1003B!E111/1000</f>
        <v>15182.87355</v>
      </c>
      <c r="F111" s="85">
        <f>STATS1003B!F111/1000</f>
        <v>8688.2203599999993</v>
      </c>
      <c r="G111" s="85">
        <f>STATS1003B!G111/1000</f>
        <v>0</v>
      </c>
      <c r="H111" s="85">
        <f>STATS1003B!H111/1000</f>
        <v>8688.2203599999993</v>
      </c>
      <c r="I111" s="85">
        <f>STATS1003B!I111/1000</f>
        <v>0</v>
      </c>
      <c r="J111" s="85">
        <f>STATS1003B!J111/1000</f>
        <v>0</v>
      </c>
      <c r="K111" s="85">
        <f>STATS1003B!K111/1000</f>
        <v>0</v>
      </c>
      <c r="L111" s="85">
        <f>STATS1003B!L111/1000</f>
        <v>0</v>
      </c>
      <c r="M111" s="85">
        <f>STATS1003B!M111/1000</f>
        <v>8688.2203599999993</v>
      </c>
      <c r="N111" s="85">
        <f>STATS1003B!N111/1000</f>
        <v>6494.65319</v>
      </c>
      <c r="O111" s="85">
        <f>STATS1003B!O111/1000</f>
        <v>0</v>
      </c>
      <c r="P111" s="85">
        <f>STATS1003B!P111/1000</f>
        <v>6494.65319</v>
      </c>
      <c r="Q111" s="85">
        <f>STATS1003B!Q111/1000</f>
        <v>0</v>
      </c>
      <c r="R111" s="85">
        <f>STATS1003B!R111/1000</f>
        <v>0</v>
      </c>
      <c r="S111" s="85">
        <f>STATS1003B!S111/1000</f>
        <v>0</v>
      </c>
      <c r="T111" s="85">
        <f>STATS1003B!T111/1000</f>
        <v>0</v>
      </c>
      <c r="U111" s="85">
        <f>STATS1003B!U111/1000</f>
        <v>6494.65319</v>
      </c>
      <c r="V111" s="85">
        <f>STATS1003B!V111/1000</f>
        <v>15182.87355</v>
      </c>
      <c r="W111" s="85">
        <f>STATS1003B!W111/1000</f>
        <v>0</v>
      </c>
      <c r="X111" s="85">
        <f t="shared" si="12"/>
        <v>15182.87355</v>
      </c>
      <c r="Y111" s="85">
        <f>STATS1003B!Y111/1000</f>
        <v>0</v>
      </c>
      <c r="Z111" s="85">
        <f t="shared" si="13"/>
        <v>0</v>
      </c>
      <c r="AA111" s="69">
        <f>STATS1003B!AA111/1000</f>
        <v>15182.87355</v>
      </c>
      <c r="AB111" s="69">
        <f>STATS1003B!AB111/1000</f>
        <v>0</v>
      </c>
    </row>
    <row r="112" spans="1:28" hidden="1" x14ac:dyDescent="0.3">
      <c r="A112" s="117"/>
      <c r="C112" s="68" t="s">
        <v>92</v>
      </c>
      <c r="D112" s="145" t="s">
        <v>79</v>
      </c>
      <c r="E112" s="85">
        <f>STATS1003B!E112/1000</f>
        <v>17444.897670000002</v>
      </c>
      <c r="F112" s="85">
        <f>STATS1003B!F112/1000</f>
        <v>16721.944449999999</v>
      </c>
      <c r="G112" s="85">
        <f>STATS1003B!G112/1000</f>
        <v>0</v>
      </c>
      <c r="H112" s="85">
        <f>STATS1003B!H112/1000</f>
        <v>16721.944449999999</v>
      </c>
      <c r="I112" s="85">
        <f>STATS1003B!I112/1000</f>
        <v>0</v>
      </c>
      <c r="J112" s="85">
        <f>STATS1003B!J112/1000</f>
        <v>0</v>
      </c>
      <c r="K112" s="85">
        <f>STATS1003B!K112/1000</f>
        <v>0</v>
      </c>
      <c r="L112" s="85">
        <f>STATS1003B!L112/1000</f>
        <v>0</v>
      </c>
      <c r="M112" s="85">
        <f>STATS1003B!M112/1000</f>
        <v>16721.944449999999</v>
      </c>
      <c r="N112" s="85">
        <f>STATS1003B!N112/1000</f>
        <v>722.95321999999999</v>
      </c>
      <c r="O112" s="85">
        <f>STATS1003B!O112/1000</f>
        <v>0</v>
      </c>
      <c r="P112" s="85">
        <f>STATS1003B!P112/1000</f>
        <v>722.95321999999999</v>
      </c>
      <c r="Q112" s="85">
        <f>STATS1003B!Q112/1000</f>
        <v>0</v>
      </c>
      <c r="R112" s="85">
        <f>STATS1003B!R112/1000</f>
        <v>0</v>
      </c>
      <c r="S112" s="85">
        <f>STATS1003B!S112/1000</f>
        <v>0</v>
      </c>
      <c r="T112" s="85">
        <f>STATS1003B!T112/1000</f>
        <v>0</v>
      </c>
      <c r="U112" s="85">
        <f>STATS1003B!U112/1000</f>
        <v>722.95321999999999</v>
      </c>
      <c r="V112" s="85">
        <f>STATS1003B!V112/1000</f>
        <v>17444.897669999998</v>
      </c>
      <c r="W112" s="85">
        <f>STATS1003B!W112/1000</f>
        <v>0</v>
      </c>
      <c r="X112" s="85">
        <f t="shared" si="12"/>
        <v>17444.897669999998</v>
      </c>
      <c r="Y112" s="85">
        <f>STATS1003B!Y112/1000</f>
        <v>0</v>
      </c>
      <c r="Z112" s="85">
        <f t="shared" si="13"/>
        <v>0</v>
      </c>
      <c r="AA112" s="69">
        <f>STATS1003B!AA112/1000</f>
        <v>17444.897669999998</v>
      </c>
      <c r="AB112" s="69">
        <f>STATS1003B!AB112/1000</f>
        <v>0</v>
      </c>
    </row>
    <row r="113" spans="1:28" hidden="1" x14ac:dyDescent="0.3">
      <c r="A113" s="117"/>
      <c r="D113" s="71" t="s">
        <v>102</v>
      </c>
      <c r="E113" s="85">
        <f>STATS1003B!E113/1000</f>
        <v>0</v>
      </c>
      <c r="F113" s="85">
        <f>STATS1003B!F113/1000</f>
        <v>0</v>
      </c>
      <c r="G113" s="85">
        <f>STATS1003B!G113/1000</f>
        <v>0</v>
      </c>
      <c r="H113" s="85">
        <f>STATS1003B!H113/1000</f>
        <v>0</v>
      </c>
      <c r="I113" s="85">
        <f>STATS1003B!I113/1000</f>
        <v>0</v>
      </c>
      <c r="J113" s="85">
        <f>STATS1003B!J113/1000</f>
        <v>0</v>
      </c>
      <c r="K113" s="85">
        <f>STATS1003B!K113/1000</f>
        <v>0</v>
      </c>
      <c r="L113" s="85">
        <f>STATS1003B!L113/1000</f>
        <v>0</v>
      </c>
      <c r="M113" s="85">
        <f>STATS1003B!M113/1000</f>
        <v>0</v>
      </c>
      <c r="N113" s="85">
        <f>STATS1003B!N113/1000</f>
        <v>0</v>
      </c>
      <c r="O113" s="85">
        <f>STATS1003B!O113/1000</f>
        <v>0</v>
      </c>
      <c r="P113" s="85">
        <f>STATS1003B!P113/1000</f>
        <v>0</v>
      </c>
      <c r="Q113" s="85">
        <f>STATS1003B!Q113/1000</f>
        <v>0</v>
      </c>
      <c r="R113" s="85">
        <f>STATS1003B!R113/1000</f>
        <v>0</v>
      </c>
      <c r="S113" s="85">
        <f>STATS1003B!S113/1000</f>
        <v>0</v>
      </c>
      <c r="T113" s="85">
        <f>STATS1003B!T113/1000</f>
        <v>0</v>
      </c>
      <c r="U113" s="85">
        <f>STATS1003B!U113/1000</f>
        <v>0</v>
      </c>
      <c r="V113" s="85">
        <f>STATS1003B!V113/1000</f>
        <v>0</v>
      </c>
      <c r="W113" s="85">
        <f>STATS1003B!W113/1000</f>
        <v>0</v>
      </c>
      <c r="X113" s="85">
        <f t="shared" si="12"/>
        <v>0</v>
      </c>
      <c r="Y113" s="85">
        <f>STATS1003B!Y113/1000</f>
        <v>0</v>
      </c>
      <c r="Z113" s="85">
        <f t="shared" si="13"/>
        <v>0</v>
      </c>
      <c r="AA113" s="69">
        <f>STATS1003B!AA113/1000</f>
        <v>0</v>
      </c>
      <c r="AB113" s="69">
        <f>STATS1003B!AB113/1000</f>
        <v>0</v>
      </c>
    </row>
    <row r="114" spans="1:28" hidden="1" x14ac:dyDescent="0.3">
      <c r="A114" s="117"/>
      <c r="C114" s="68" t="s">
        <v>55</v>
      </c>
      <c r="D114" s="145" t="s">
        <v>99</v>
      </c>
      <c r="E114" s="85">
        <f>STATS1003B!E114/1000</f>
        <v>4695.4976999999999</v>
      </c>
      <c r="F114" s="85">
        <f>STATS1003B!F114/1000</f>
        <v>0</v>
      </c>
      <c r="G114" s="85">
        <f>STATS1003B!G114/1000</f>
        <v>0</v>
      </c>
      <c r="H114" s="85">
        <f>STATS1003B!H114/1000</f>
        <v>0</v>
      </c>
      <c r="I114" s="85">
        <f>STATS1003B!I114/1000</f>
        <v>0</v>
      </c>
      <c r="J114" s="85">
        <f>STATS1003B!J114/1000</f>
        <v>0</v>
      </c>
      <c r="K114" s="85">
        <f>STATS1003B!K114/1000</f>
        <v>0</v>
      </c>
      <c r="L114" s="85">
        <f>STATS1003B!L114/1000</f>
        <v>0</v>
      </c>
      <c r="M114" s="85">
        <f>STATS1003B!M114/1000</f>
        <v>0</v>
      </c>
      <c r="N114" s="85">
        <f>STATS1003B!N114/1000</f>
        <v>4695.497699999999</v>
      </c>
      <c r="O114" s="85">
        <f>STATS1003B!O114/1000</f>
        <v>0</v>
      </c>
      <c r="P114" s="85">
        <f>STATS1003B!P114/1000</f>
        <v>4695.497699999999</v>
      </c>
      <c r="Q114" s="85">
        <f>STATS1003B!Q114/1000</f>
        <v>0</v>
      </c>
      <c r="R114" s="85">
        <f>STATS1003B!R114/1000</f>
        <v>0</v>
      </c>
      <c r="S114" s="85">
        <f>STATS1003B!S114/1000</f>
        <v>0</v>
      </c>
      <c r="T114" s="85">
        <f>STATS1003B!T114/1000</f>
        <v>0</v>
      </c>
      <c r="U114" s="85">
        <f>STATS1003B!U114/1000</f>
        <v>4695.497699999999</v>
      </c>
      <c r="V114" s="85">
        <f>STATS1003B!V114/1000</f>
        <v>4695.497699999999</v>
      </c>
      <c r="W114" s="85">
        <f>STATS1003B!W114/1000</f>
        <v>0</v>
      </c>
      <c r="X114" s="85">
        <f t="shared" si="12"/>
        <v>4695.497699999999</v>
      </c>
      <c r="Y114" s="85">
        <f>STATS1003B!Y114/1000</f>
        <v>0</v>
      </c>
      <c r="Z114" s="85">
        <f t="shared" si="13"/>
        <v>0</v>
      </c>
      <c r="AA114" s="69">
        <f>STATS1003B!AA114/1000</f>
        <v>4695.497699999999</v>
      </c>
      <c r="AB114" s="69">
        <f>STATS1003B!AB114/1000</f>
        <v>0</v>
      </c>
    </row>
    <row r="115" spans="1:28" hidden="1" x14ac:dyDescent="0.3">
      <c r="A115" s="117"/>
      <c r="C115" s="68" t="s">
        <v>82</v>
      </c>
      <c r="D115" s="145" t="s">
        <v>103</v>
      </c>
      <c r="E115" s="85">
        <f>STATS1003B!E115/1000</f>
        <v>31750.7873</v>
      </c>
      <c r="F115" s="85">
        <f>STATS1003B!F115/1000</f>
        <v>31157.575769999999</v>
      </c>
      <c r="G115" s="85">
        <f>STATS1003B!G115/1000</f>
        <v>0</v>
      </c>
      <c r="H115" s="85">
        <f>STATS1003B!H115/1000</f>
        <v>31157.575769999999</v>
      </c>
      <c r="I115" s="85">
        <f>STATS1003B!I115/1000</f>
        <v>0</v>
      </c>
      <c r="J115" s="85">
        <f>STATS1003B!J115/1000</f>
        <v>0</v>
      </c>
      <c r="K115" s="85">
        <f>STATS1003B!K115/1000</f>
        <v>0</v>
      </c>
      <c r="L115" s="85">
        <f>STATS1003B!L115/1000</f>
        <v>0</v>
      </c>
      <c r="M115" s="85">
        <f>STATS1003B!M115/1000</f>
        <v>31157.575769999999</v>
      </c>
      <c r="N115" s="85">
        <f>STATS1003B!N115/1000</f>
        <v>593.21153000000004</v>
      </c>
      <c r="O115" s="85">
        <f>STATS1003B!O115/1000</f>
        <v>0</v>
      </c>
      <c r="P115" s="85">
        <f>STATS1003B!P115/1000</f>
        <v>593.21153000000004</v>
      </c>
      <c r="Q115" s="85">
        <f>STATS1003B!Q115/1000</f>
        <v>0</v>
      </c>
      <c r="R115" s="85">
        <f>STATS1003B!R115/1000</f>
        <v>0</v>
      </c>
      <c r="S115" s="85">
        <f>STATS1003B!S115/1000</f>
        <v>0</v>
      </c>
      <c r="T115" s="85">
        <f>STATS1003B!T115/1000</f>
        <v>0</v>
      </c>
      <c r="U115" s="85">
        <f>STATS1003B!U115/1000</f>
        <v>593.21153000000004</v>
      </c>
      <c r="V115" s="85">
        <f>STATS1003B!V115/1000</f>
        <v>31750.7873</v>
      </c>
      <c r="W115" s="85">
        <f>STATS1003B!W115/1000</f>
        <v>0</v>
      </c>
      <c r="X115" s="85">
        <f t="shared" si="12"/>
        <v>31750.7873</v>
      </c>
      <c r="Y115" s="85">
        <f>STATS1003B!Y115/1000</f>
        <v>0</v>
      </c>
      <c r="Z115" s="85">
        <f t="shared" si="13"/>
        <v>0</v>
      </c>
      <c r="AA115" s="69">
        <f>STATS1003B!AA115/1000</f>
        <v>31750.7873</v>
      </c>
      <c r="AB115" s="69">
        <f>STATS1003B!AB115/1000</f>
        <v>0</v>
      </c>
    </row>
    <row r="116" spans="1:28" hidden="1" x14ac:dyDescent="0.3">
      <c r="A116" s="117"/>
      <c r="C116" s="68" t="s">
        <v>53</v>
      </c>
      <c r="D116" s="145" t="s">
        <v>68</v>
      </c>
      <c r="E116" s="85">
        <f>STATS1003B!E116/1000</f>
        <v>1953.989</v>
      </c>
      <c r="F116" s="85">
        <f>STATS1003B!F116/1000</f>
        <v>0</v>
      </c>
      <c r="G116" s="85">
        <f>STATS1003B!G116/1000</f>
        <v>0</v>
      </c>
      <c r="H116" s="85">
        <f>STATS1003B!H116/1000</f>
        <v>0</v>
      </c>
      <c r="I116" s="85">
        <f>STATS1003B!I116/1000</f>
        <v>0</v>
      </c>
      <c r="J116" s="85">
        <f>STATS1003B!J116/1000</f>
        <v>0</v>
      </c>
      <c r="K116" s="85">
        <f>STATS1003B!K116/1000</f>
        <v>0</v>
      </c>
      <c r="L116" s="85">
        <f>STATS1003B!L116/1000</f>
        <v>0</v>
      </c>
      <c r="M116" s="85">
        <f>STATS1003B!M116/1000</f>
        <v>0</v>
      </c>
      <c r="N116" s="85">
        <f>STATS1003B!N116/1000</f>
        <v>1953.989</v>
      </c>
      <c r="O116" s="85">
        <f>STATS1003B!O116/1000</f>
        <v>0</v>
      </c>
      <c r="P116" s="85">
        <f>STATS1003B!P116/1000</f>
        <v>1953.989</v>
      </c>
      <c r="Q116" s="85">
        <f>STATS1003B!Q116/1000</f>
        <v>0</v>
      </c>
      <c r="R116" s="85">
        <f>STATS1003B!R116/1000</f>
        <v>0</v>
      </c>
      <c r="S116" s="85">
        <f>STATS1003B!S116/1000</f>
        <v>0</v>
      </c>
      <c r="T116" s="85">
        <f>STATS1003B!T116/1000</f>
        <v>0</v>
      </c>
      <c r="U116" s="85">
        <f>STATS1003B!U116/1000</f>
        <v>1953.989</v>
      </c>
      <c r="V116" s="85">
        <f>STATS1003B!V116/1000</f>
        <v>1953.989</v>
      </c>
      <c r="W116" s="85">
        <f>STATS1003B!W116/1000</f>
        <v>0</v>
      </c>
      <c r="X116" s="85">
        <f t="shared" si="12"/>
        <v>1953.989</v>
      </c>
      <c r="Y116" s="85">
        <f>STATS1003B!Y116/1000</f>
        <v>0</v>
      </c>
      <c r="Z116" s="85">
        <f t="shared" si="13"/>
        <v>0</v>
      </c>
      <c r="AA116" s="69">
        <f>STATS1003B!AA116/1000</f>
        <v>1953.989</v>
      </c>
      <c r="AB116" s="69">
        <f>STATS1003B!AB116/1000</f>
        <v>0</v>
      </c>
    </row>
    <row r="117" spans="1:28" hidden="1" x14ac:dyDescent="0.3">
      <c r="A117" s="117"/>
      <c r="C117" s="68" t="s">
        <v>69</v>
      </c>
      <c r="D117" s="145" t="s">
        <v>85</v>
      </c>
      <c r="E117" s="85">
        <f>STATS1003B!E117/1000</f>
        <v>955.34561999999994</v>
      </c>
      <c r="F117" s="85">
        <f>STATS1003B!F117/1000</f>
        <v>0</v>
      </c>
      <c r="G117" s="85">
        <f>STATS1003B!G117/1000</f>
        <v>0</v>
      </c>
      <c r="H117" s="85">
        <f>STATS1003B!H117/1000</f>
        <v>0</v>
      </c>
      <c r="I117" s="85">
        <f>STATS1003B!I117/1000</f>
        <v>0</v>
      </c>
      <c r="J117" s="85">
        <f>STATS1003B!J117/1000</f>
        <v>0</v>
      </c>
      <c r="K117" s="85">
        <f>STATS1003B!K117/1000</f>
        <v>0</v>
      </c>
      <c r="L117" s="85">
        <f>STATS1003B!L117/1000</f>
        <v>0</v>
      </c>
      <c r="M117" s="85">
        <f>STATS1003B!M117/1000</f>
        <v>0</v>
      </c>
      <c r="N117" s="85">
        <f>STATS1003B!N117/1000</f>
        <v>955.34561999999994</v>
      </c>
      <c r="O117" s="85">
        <f>STATS1003B!O117/1000</f>
        <v>0</v>
      </c>
      <c r="P117" s="85">
        <f>STATS1003B!P117/1000</f>
        <v>955.34561999999994</v>
      </c>
      <c r="Q117" s="85">
        <f>STATS1003B!Q117/1000</f>
        <v>0</v>
      </c>
      <c r="R117" s="85">
        <f>STATS1003B!R117/1000</f>
        <v>0</v>
      </c>
      <c r="S117" s="85">
        <f>STATS1003B!S117/1000</f>
        <v>0</v>
      </c>
      <c r="T117" s="85">
        <f>STATS1003B!T117/1000</f>
        <v>0</v>
      </c>
      <c r="U117" s="85">
        <f>STATS1003B!U117/1000</f>
        <v>955.34561999999994</v>
      </c>
      <c r="V117" s="85">
        <f>STATS1003B!V117/1000</f>
        <v>955.34561999999994</v>
      </c>
      <c r="W117" s="85">
        <f>STATS1003B!W117/1000</f>
        <v>0</v>
      </c>
      <c r="X117" s="85">
        <f t="shared" si="12"/>
        <v>955.34561999999994</v>
      </c>
      <c r="Y117" s="85">
        <f>STATS1003B!Y117/1000</f>
        <v>0</v>
      </c>
      <c r="Z117" s="85">
        <f t="shared" si="13"/>
        <v>0</v>
      </c>
      <c r="AA117" s="69">
        <f>STATS1003B!AA117/1000</f>
        <v>955.34561999999994</v>
      </c>
      <c r="AB117" s="69">
        <f>STATS1003B!AB117/1000</f>
        <v>0</v>
      </c>
    </row>
    <row r="118" spans="1:28" hidden="1" x14ac:dyDescent="0.3">
      <c r="A118" s="117"/>
      <c r="C118" s="68" t="s">
        <v>104</v>
      </c>
      <c r="D118" s="145" t="s">
        <v>105</v>
      </c>
      <c r="E118" s="85">
        <f>STATS1003B!E118/1000</f>
        <v>7200</v>
      </c>
      <c r="F118" s="85">
        <f>STATS1003B!F118/1000</f>
        <v>7200</v>
      </c>
      <c r="G118" s="85">
        <f>STATS1003B!G118/1000</f>
        <v>0</v>
      </c>
      <c r="H118" s="85">
        <f>STATS1003B!H118/1000</f>
        <v>7200</v>
      </c>
      <c r="I118" s="85">
        <f>STATS1003B!I118/1000</f>
        <v>0</v>
      </c>
      <c r="J118" s="85">
        <f>STATS1003B!J118/1000</f>
        <v>0</v>
      </c>
      <c r="K118" s="85">
        <f>STATS1003B!K118/1000</f>
        <v>0</v>
      </c>
      <c r="L118" s="85">
        <f>STATS1003B!L118/1000</f>
        <v>0</v>
      </c>
      <c r="M118" s="85">
        <f>STATS1003B!M118/1000</f>
        <v>7200</v>
      </c>
      <c r="N118" s="85">
        <f>STATS1003B!N118/1000</f>
        <v>0</v>
      </c>
      <c r="O118" s="85">
        <f>STATS1003B!O118/1000</f>
        <v>0</v>
      </c>
      <c r="P118" s="85">
        <f>STATS1003B!P118/1000</f>
        <v>0</v>
      </c>
      <c r="Q118" s="85">
        <f>STATS1003B!Q118/1000</f>
        <v>0</v>
      </c>
      <c r="R118" s="85">
        <f>STATS1003B!R118/1000</f>
        <v>0</v>
      </c>
      <c r="S118" s="85">
        <f>STATS1003B!S118/1000</f>
        <v>0</v>
      </c>
      <c r="T118" s="85">
        <f>STATS1003B!T118/1000</f>
        <v>0</v>
      </c>
      <c r="U118" s="85">
        <f>STATS1003B!U118/1000</f>
        <v>0</v>
      </c>
      <c r="V118" s="85">
        <f>STATS1003B!V118/1000</f>
        <v>7200</v>
      </c>
      <c r="W118" s="85">
        <f>STATS1003B!W118/1000</f>
        <v>0</v>
      </c>
      <c r="X118" s="85">
        <f t="shared" si="12"/>
        <v>7200</v>
      </c>
      <c r="Y118" s="85">
        <f>STATS1003B!Y118/1000</f>
        <v>0</v>
      </c>
      <c r="Z118" s="85">
        <f t="shared" si="13"/>
        <v>0</v>
      </c>
      <c r="AA118" s="69">
        <f>STATS1003B!AA118/1000</f>
        <v>7200</v>
      </c>
      <c r="AB118" s="69">
        <f>STATS1003B!AB118/1000</f>
        <v>0</v>
      </c>
    </row>
    <row r="119" spans="1:28" hidden="1" x14ac:dyDescent="0.3">
      <c r="A119" s="117"/>
      <c r="C119" s="68" t="s">
        <v>106</v>
      </c>
      <c r="D119" s="145" t="s">
        <v>85</v>
      </c>
      <c r="E119" s="85">
        <f>STATS1003B!E119/1000</f>
        <v>0</v>
      </c>
      <c r="F119" s="85">
        <f>STATS1003B!F119/1000</f>
        <v>0</v>
      </c>
      <c r="G119" s="85">
        <f>STATS1003B!G119/1000</f>
        <v>0</v>
      </c>
      <c r="H119" s="85">
        <f>STATS1003B!H119/1000</f>
        <v>0</v>
      </c>
      <c r="I119" s="85">
        <f>STATS1003B!I119/1000</f>
        <v>0</v>
      </c>
      <c r="J119" s="85">
        <f>STATS1003B!J119/1000</f>
        <v>0</v>
      </c>
      <c r="K119" s="85">
        <f>STATS1003B!K119/1000</f>
        <v>0</v>
      </c>
      <c r="L119" s="85">
        <f>STATS1003B!L119/1000</f>
        <v>0</v>
      </c>
      <c r="M119" s="85">
        <f>STATS1003B!M119/1000</f>
        <v>0</v>
      </c>
      <c r="N119" s="85">
        <f>STATS1003B!N119/1000</f>
        <v>0</v>
      </c>
      <c r="O119" s="85">
        <f>STATS1003B!O119/1000</f>
        <v>0</v>
      </c>
      <c r="P119" s="85">
        <f>STATS1003B!P119/1000</f>
        <v>0</v>
      </c>
      <c r="Q119" s="85">
        <f>STATS1003B!Q119/1000</f>
        <v>0</v>
      </c>
      <c r="R119" s="85">
        <f>STATS1003B!R119/1000</f>
        <v>0</v>
      </c>
      <c r="S119" s="85">
        <f>STATS1003B!S119/1000</f>
        <v>0</v>
      </c>
      <c r="T119" s="85">
        <f>STATS1003B!T119/1000</f>
        <v>0</v>
      </c>
      <c r="U119" s="85">
        <f>STATS1003B!U119/1000</f>
        <v>0</v>
      </c>
      <c r="V119" s="85">
        <f>STATS1003B!V119/1000</f>
        <v>0</v>
      </c>
      <c r="W119" s="85">
        <f>STATS1003B!W119/1000</f>
        <v>0</v>
      </c>
      <c r="X119" s="85">
        <f t="shared" si="12"/>
        <v>0</v>
      </c>
      <c r="Y119" s="85">
        <f>STATS1003B!Y119/1000</f>
        <v>0</v>
      </c>
      <c r="Z119" s="85">
        <f t="shared" si="13"/>
        <v>0</v>
      </c>
      <c r="AA119" s="69">
        <f>STATS1003B!AA119/1000</f>
        <v>0</v>
      </c>
      <c r="AB119" s="69">
        <f>STATS1003B!AB119/1000</f>
        <v>0</v>
      </c>
    </row>
    <row r="120" spans="1:28" hidden="1" x14ac:dyDescent="0.3">
      <c r="A120" s="117"/>
      <c r="C120" s="68" t="s">
        <v>87</v>
      </c>
      <c r="D120" s="145" t="s">
        <v>88</v>
      </c>
      <c r="E120" s="85">
        <f>STATS1003B!E120/1000</f>
        <v>10900</v>
      </c>
      <c r="F120" s="85">
        <f>STATS1003B!F120/1000</f>
        <v>10900</v>
      </c>
      <c r="G120" s="85">
        <f>STATS1003B!G120/1000</f>
        <v>0</v>
      </c>
      <c r="H120" s="85">
        <f>STATS1003B!H120/1000</f>
        <v>10900</v>
      </c>
      <c r="I120" s="85">
        <f>STATS1003B!I120/1000</f>
        <v>0</v>
      </c>
      <c r="J120" s="85">
        <f>STATS1003B!J120/1000</f>
        <v>0</v>
      </c>
      <c r="K120" s="85">
        <f>STATS1003B!K120/1000</f>
        <v>0</v>
      </c>
      <c r="L120" s="85">
        <f>STATS1003B!L120/1000</f>
        <v>0</v>
      </c>
      <c r="M120" s="85">
        <f>STATS1003B!M120/1000</f>
        <v>10900</v>
      </c>
      <c r="N120" s="85">
        <f>STATS1003B!N120/1000</f>
        <v>0</v>
      </c>
      <c r="O120" s="85">
        <f>STATS1003B!O120/1000</f>
        <v>0</v>
      </c>
      <c r="P120" s="85">
        <f>STATS1003B!P120/1000</f>
        <v>0</v>
      </c>
      <c r="Q120" s="85">
        <f>STATS1003B!Q120/1000</f>
        <v>0</v>
      </c>
      <c r="R120" s="85">
        <f>STATS1003B!R120/1000</f>
        <v>0</v>
      </c>
      <c r="S120" s="85">
        <f>STATS1003B!S120/1000</f>
        <v>0</v>
      </c>
      <c r="T120" s="85">
        <f>STATS1003B!T120/1000</f>
        <v>0</v>
      </c>
      <c r="U120" s="85">
        <f>STATS1003B!U120/1000</f>
        <v>0</v>
      </c>
      <c r="V120" s="85">
        <f>STATS1003B!V120/1000</f>
        <v>10900</v>
      </c>
      <c r="W120" s="85">
        <f>STATS1003B!W120/1000</f>
        <v>0</v>
      </c>
      <c r="X120" s="85">
        <f t="shared" si="12"/>
        <v>10900</v>
      </c>
      <c r="Y120" s="85">
        <f>STATS1003B!Y120/1000</f>
        <v>0</v>
      </c>
      <c r="Z120" s="85">
        <f t="shared" si="13"/>
        <v>0</v>
      </c>
      <c r="AA120" s="69">
        <f>STATS1003B!AA120/1000</f>
        <v>10900</v>
      </c>
      <c r="AB120" s="69">
        <f>STATS1003B!AB120/1000</f>
        <v>0</v>
      </c>
    </row>
    <row r="121" spans="1:28" hidden="1" x14ac:dyDescent="0.3">
      <c r="A121" s="117"/>
      <c r="C121" s="68" t="s">
        <v>107</v>
      </c>
      <c r="D121" s="145" t="s">
        <v>108</v>
      </c>
      <c r="E121" s="85">
        <f>STATS1003B!E121/1000</f>
        <v>1601.67768</v>
      </c>
      <c r="F121" s="85">
        <f>STATS1003B!F121/1000</f>
        <v>1601.67768</v>
      </c>
      <c r="G121" s="85">
        <f>STATS1003B!G121/1000</f>
        <v>0</v>
      </c>
      <c r="H121" s="85">
        <f>STATS1003B!H121/1000</f>
        <v>1601.67768</v>
      </c>
      <c r="I121" s="85">
        <f>STATS1003B!I121/1000</f>
        <v>0</v>
      </c>
      <c r="J121" s="85">
        <f>STATS1003B!J121/1000</f>
        <v>0</v>
      </c>
      <c r="K121" s="85">
        <f>STATS1003B!K121/1000</f>
        <v>0</v>
      </c>
      <c r="L121" s="85">
        <f>STATS1003B!L121/1000</f>
        <v>0</v>
      </c>
      <c r="M121" s="85">
        <f>STATS1003B!M121/1000</f>
        <v>1601.67768</v>
      </c>
      <c r="N121" s="85">
        <f>STATS1003B!N121/1000</f>
        <v>0</v>
      </c>
      <c r="O121" s="85">
        <f>STATS1003B!O121/1000</f>
        <v>0</v>
      </c>
      <c r="P121" s="85">
        <f>STATS1003B!P121/1000</f>
        <v>0</v>
      </c>
      <c r="Q121" s="85">
        <f>STATS1003B!Q121/1000</f>
        <v>0</v>
      </c>
      <c r="R121" s="85">
        <f>STATS1003B!R121/1000</f>
        <v>0</v>
      </c>
      <c r="S121" s="85">
        <f>STATS1003B!S121/1000</f>
        <v>0</v>
      </c>
      <c r="T121" s="85">
        <f>STATS1003B!T121/1000</f>
        <v>0</v>
      </c>
      <c r="U121" s="85">
        <f>STATS1003B!U121/1000</f>
        <v>0</v>
      </c>
      <c r="V121" s="85">
        <f>STATS1003B!V121/1000</f>
        <v>1601.67768</v>
      </c>
      <c r="W121" s="85">
        <f>STATS1003B!W121/1000</f>
        <v>0</v>
      </c>
      <c r="X121" s="85">
        <f t="shared" si="12"/>
        <v>1601.67768</v>
      </c>
      <c r="Y121" s="85">
        <f>STATS1003B!Y121/1000</f>
        <v>0</v>
      </c>
      <c r="Z121" s="85">
        <f t="shared" si="13"/>
        <v>0</v>
      </c>
      <c r="AA121" s="69">
        <f>STATS1003B!AA121/1000</f>
        <v>1601.67768</v>
      </c>
      <c r="AB121" s="69">
        <f>STATS1003B!AB121/1000</f>
        <v>0</v>
      </c>
    </row>
    <row r="122" spans="1:28" hidden="1" x14ac:dyDescent="0.3">
      <c r="A122" s="117"/>
      <c r="C122" s="68" t="s">
        <v>57</v>
      </c>
      <c r="D122" s="145" t="s">
        <v>58</v>
      </c>
      <c r="E122" s="85">
        <f>STATS1003B!E122/1000</f>
        <v>16586.66473</v>
      </c>
      <c r="F122" s="85">
        <f>STATS1003B!F122/1000</f>
        <v>16586.66473</v>
      </c>
      <c r="G122" s="85">
        <f>STATS1003B!G122/1000</f>
        <v>0</v>
      </c>
      <c r="H122" s="85">
        <f>STATS1003B!H122/1000</f>
        <v>16586.66473</v>
      </c>
      <c r="I122" s="85">
        <f>STATS1003B!I122/1000</f>
        <v>0</v>
      </c>
      <c r="J122" s="85">
        <f>STATS1003B!J122/1000</f>
        <v>0</v>
      </c>
      <c r="K122" s="85">
        <f>STATS1003B!K122/1000</f>
        <v>0</v>
      </c>
      <c r="L122" s="85">
        <f>STATS1003B!L122/1000</f>
        <v>0</v>
      </c>
      <c r="M122" s="85">
        <f>STATS1003B!M122/1000</f>
        <v>16586.66473</v>
      </c>
      <c r="N122" s="85">
        <f>STATS1003B!N122/1000</f>
        <v>0</v>
      </c>
      <c r="O122" s="85">
        <f>STATS1003B!O122/1000</f>
        <v>0</v>
      </c>
      <c r="P122" s="85">
        <f>STATS1003B!P122/1000</f>
        <v>0</v>
      </c>
      <c r="Q122" s="85">
        <f>STATS1003B!Q122/1000</f>
        <v>0</v>
      </c>
      <c r="R122" s="85">
        <f>STATS1003B!R122/1000</f>
        <v>0</v>
      </c>
      <c r="S122" s="85">
        <f>STATS1003B!S122/1000</f>
        <v>0</v>
      </c>
      <c r="T122" s="85">
        <f>STATS1003B!T122/1000</f>
        <v>0</v>
      </c>
      <c r="U122" s="85">
        <f>STATS1003B!U122/1000</f>
        <v>0</v>
      </c>
      <c r="V122" s="85">
        <f>STATS1003B!V122/1000</f>
        <v>16586.66473</v>
      </c>
      <c r="W122" s="85">
        <f>STATS1003B!W122/1000</f>
        <v>0</v>
      </c>
      <c r="X122" s="85">
        <f t="shared" si="12"/>
        <v>16586.66473</v>
      </c>
      <c r="Y122" s="85">
        <f>STATS1003B!Y122/1000</f>
        <v>0</v>
      </c>
      <c r="Z122" s="85">
        <f t="shared" si="13"/>
        <v>0</v>
      </c>
      <c r="AA122" s="69">
        <f>STATS1003B!AA122/1000</f>
        <v>16586.66473</v>
      </c>
      <c r="AB122" s="69">
        <f>STATS1003B!AB122/1000</f>
        <v>0</v>
      </c>
    </row>
    <row r="123" spans="1:28" hidden="1" x14ac:dyDescent="0.3">
      <c r="A123" s="117"/>
      <c r="C123" s="71" t="s">
        <v>109</v>
      </c>
      <c r="D123" s="88" t="s">
        <v>60</v>
      </c>
      <c r="E123" s="85">
        <f>STATS1003B!E123/1000</f>
        <v>2500</v>
      </c>
      <c r="F123" s="85">
        <f>STATS1003B!F123/1000</f>
        <v>2500</v>
      </c>
      <c r="G123" s="85">
        <f>STATS1003B!G123/1000</f>
        <v>0</v>
      </c>
      <c r="H123" s="85">
        <f>STATS1003B!H123/1000</f>
        <v>2500</v>
      </c>
      <c r="I123" s="85">
        <f>STATS1003B!I123/1000</f>
        <v>0</v>
      </c>
      <c r="J123" s="85">
        <f>STATS1003B!J123/1000</f>
        <v>0</v>
      </c>
      <c r="K123" s="85">
        <f>STATS1003B!K123/1000</f>
        <v>0</v>
      </c>
      <c r="L123" s="85">
        <f>STATS1003B!L123/1000</f>
        <v>0</v>
      </c>
      <c r="M123" s="85">
        <f>STATS1003B!M123/1000</f>
        <v>2500</v>
      </c>
      <c r="N123" s="85">
        <f>STATS1003B!N123/1000</f>
        <v>0</v>
      </c>
      <c r="O123" s="85">
        <f>STATS1003B!O123/1000</f>
        <v>0</v>
      </c>
      <c r="P123" s="85">
        <f>STATS1003B!P123/1000</f>
        <v>0</v>
      </c>
      <c r="Q123" s="85">
        <f>STATS1003B!Q123/1000</f>
        <v>0</v>
      </c>
      <c r="R123" s="85">
        <f>STATS1003B!R123/1000</f>
        <v>0</v>
      </c>
      <c r="S123" s="85">
        <f>STATS1003B!S123/1000</f>
        <v>0</v>
      </c>
      <c r="T123" s="85">
        <f>STATS1003B!T123/1000</f>
        <v>0</v>
      </c>
      <c r="U123" s="85">
        <f>STATS1003B!U123/1000</f>
        <v>0</v>
      </c>
      <c r="V123" s="85">
        <f>STATS1003B!V123/1000</f>
        <v>2500</v>
      </c>
      <c r="W123" s="85">
        <f>STATS1003B!W123/1000</f>
        <v>0</v>
      </c>
      <c r="X123" s="85">
        <f t="shared" si="12"/>
        <v>2500</v>
      </c>
      <c r="Y123" s="85">
        <f>STATS1003B!Y123/1000</f>
        <v>0</v>
      </c>
      <c r="Z123" s="85">
        <f t="shared" si="13"/>
        <v>0</v>
      </c>
      <c r="AA123" s="69">
        <f>STATS1003B!AA123/1000</f>
        <v>2500</v>
      </c>
      <c r="AB123" s="69">
        <f>STATS1003B!AB123/1000</f>
        <v>0</v>
      </c>
    </row>
    <row r="124" spans="1:28" hidden="1" x14ac:dyDescent="0.3">
      <c r="A124" s="117"/>
      <c r="C124" s="71" t="s">
        <v>110</v>
      </c>
      <c r="D124" s="71" t="s">
        <v>111</v>
      </c>
      <c r="E124" s="85">
        <f>STATS1003B!E124/1000</f>
        <v>681.83</v>
      </c>
      <c r="F124" s="85">
        <f>STATS1003B!F124/1000</f>
        <v>681.83</v>
      </c>
      <c r="G124" s="85">
        <f>STATS1003B!G124/1000</f>
        <v>0</v>
      </c>
      <c r="H124" s="85">
        <f>STATS1003B!H124/1000</f>
        <v>681.83</v>
      </c>
      <c r="I124" s="85">
        <f>STATS1003B!I124/1000</f>
        <v>0</v>
      </c>
      <c r="J124" s="85">
        <f>STATS1003B!J124/1000</f>
        <v>0</v>
      </c>
      <c r="K124" s="85">
        <f>STATS1003B!K124/1000</f>
        <v>0</v>
      </c>
      <c r="L124" s="85">
        <f>STATS1003B!L124/1000</f>
        <v>0</v>
      </c>
      <c r="M124" s="85">
        <f>STATS1003B!M124/1000</f>
        <v>681.83</v>
      </c>
      <c r="N124" s="85">
        <f>STATS1003B!N124/1000</f>
        <v>0</v>
      </c>
      <c r="O124" s="85">
        <f>STATS1003B!O124/1000</f>
        <v>0</v>
      </c>
      <c r="P124" s="85">
        <f>STATS1003B!P124/1000</f>
        <v>0</v>
      </c>
      <c r="Q124" s="85">
        <f>STATS1003B!Q124/1000</f>
        <v>0</v>
      </c>
      <c r="R124" s="85">
        <f>STATS1003B!R124/1000</f>
        <v>0</v>
      </c>
      <c r="S124" s="85">
        <f>STATS1003B!S124/1000</f>
        <v>0</v>
      </c>
      <c r="T124" s="85">
        <f>STATS1003B!T124/1000</f>
        <v>0</v>
      </c>
      <c r="U124" s="85">
        <f>STATS1003B!U124/1000</f>
        <v>0</v>
      </c>
      <c r="V124" s="85">
        <f>STATS1003B!V124/1000</f>
        <v>681.83</v>
      </c>
      <c r="W124" s="85">
        <f>STATS1003B!W124/1000</f>
        <v>0</v>
      </c>
      <c r="X124" s="85">
        <f t="shared" si="12"/>
        <v>681.83</v>
      </c>
      <c r="Y124" s="85">
        <f>STATS1003B!Y124/1000</f>
        <v>0</v>
      </c>
      <c r="Z124" s="85">
        <f t="shared" si="13"/>
        <v>0</v>
      </c>
      <c r="AA124" s="69">
        <f>STATS1003B!AA124/1000</f>
        <v>681.83</v>
      </c>
      <c r="AB124" s="69">
        <f>STATS1003B!AB124/1000</f>
        <v>0</v>
      </c>
    </row>
    <row r="125" spans="1:28" hidden="1" x14ac:dyDescent="0.3">
      <c r="A125" s="117"/>
      <c r="C125" s="71" t="s">
        <v>1096</v>
      </c>
      <c r="D125" s="71"/>
      <c r="E125" s="85">
        <f>STATS1003B!E125/1000</f>
        <v>255.63065</v>
      </c>
      <c r="F125" s="85">
        <f>STATS1003B!F125/1000</f>
        <v>255.63065</v>
      </c>
      <c r="G125" s="85">
        <f>STATS1003B!G125/1000</f>
        <v>0</v>
      </c>
      <c r="H125" s="85">
        <f>STATS1003B!H125/1000</f>
        <v>255.63065</v>
      </c>
      <c r="I125" s="85">
        <f>STATS1003B!I125/1000</f>
        <v>0</v>
      </c>
      <c r="J125" s="85">
        <f>STATS1003B!J125/1000</f>
        <v>0</v>
      </c>
      <c r="K125" s="85">
        <f>STATS1003B!K125/1000</f>
        <v>0</v>
      </c>
      <c r="L125" s="85">
        <f>STATS1003B!L125/1000</f>
        <v>0</v>
      </c>
      <c r="M125" s="85">
        <f>STATS1003B!M125/1000</f>
        <v>255.63065</v>
      </c>
      <c r="N125" s="85">
        <f>STATS1003B!N125/1000</f>
        <v>0</v>
      </c>
      <c r="O125" s="85">
        <f>STATS1003B!O125/1000</f>
        <v>0</v>
      </c>
      <c r="P125" s="85">
        <f>STATS1003B!P125/1000</f>
        <v>0</v>
      </c>
      <c r="Q125" s="85">
        <f>STATS1003B!Q125/1000</f>
        <v>0</v>
      </c>
      <c r="R125" s="85">
        <f>STATS1003B!R125/1000</f>
        <v>0</v>
      </c>
      <c r="S125" s="85">
        <f>STATS1003B!S125/1000</f>
        <v>0</v>
      </c>
      <c r="T125" s="85">
        <f>STATS1003B!T125/1000</f>
        <v>0</v>
      </c>
      <c r="U125" s="85">
        <f>STATS1003B!U125/1000</f>
        <v>0</v>
      </c>
      <c r="V125" s="85">
        <f>STATS1003B!V125/1000</f>
        <v>0</v>
      </c>
      <c r="W125" s="85">
        <f>STATS1003B!W125/1000</f>
        <v>0</v>
      </c>
      <c r="X125" s="85">
        <f t="shared" si="12"/>
        <v>255.63065</v>
      </c>
      <c r="Y125" s="85">
        <f>STATS1003B!Y125/1000</f>
        <v>0</v>
      </c>
      <c r="Z125" s="85">
        <f t="shared" si="13"/>
        <v>0</v>
      </c>
      <c r="AA125" s="69">
        <f>STATS1003B!AA125/1000</f>
        <v>255.63065</v>
      </c>
      <c r="AB125" s="69">
        <f>STATS1003B!AB125/1000</f>
        <v>0</v>
      </c>
    </row>
    <row r="126" spans="1:28" hidden="1" x14ac:dyDescent="0.3">
      <c r="A126" s="117"/>
      <c r="C126" s="71" t="s">
        <v>1135</v>
      </c>
      <c r="D126" s="89" t="s">
        <v>1126</v>
      </c>
      <c r="E126" s="85">
        <f>STATS1003B!E126/1000</f>
        <v>38.672559999999997</v>
      </c>
      <c r="F126" s="85">
        <f>STATS1003B!F126/1000</f>
        <v>38.672559999999997</v>
      </c>
      <c r="G126" s="85">
        <f>STATS1003B!G126/1000</f>
        <v>0</v>
      </c>
      <c r="H126" s="85">
        <f>STATS1003B!H126/1000</f>
        <v>38.672559999999997</v>
      </c>
      <c r="I126" s="85">
        <f>STATS1003B!I126/1000</f>
        <v>0</v>
      </c>
      <c r="J126" s="85">
        <f>STATS1003B!J126/1000</f>
        <v>0</v>
      </c>
      <c r="K126" s="85">
        <f>STATS1003B!K126/1000</f>
        <v>0</v>
      </c>
      <c r="L126" s="85">
        <f>STATS1003B!L126/1000</f>
        <v>0</v>
      </c>
      <c r="M126" s="85">
        <f>STATS1003B!M126/1000</f>
        <v>38.672559999999997</v>
      </c>
      <c r="N126" s="85">
        <f>STATS1003B!N126/1000</f>
        <v>0</v>
      </c>
      <c r="O126" s="85">
        <f>STATS1003B!O126/1000</f>
        <v>0</v>
      </c>
      <c r="P126" s="85">
        <f>STATS1003B!P126/1000</f>
        <v>0</v>
      </c>
      <c r="Q126" s="85">
        <f>STATS1003B!Q126/1000</f>
        <v>0</v>
      </c>
      <c r="R126" s="85">
        <f>STATS1003B!R126/1000</f>
        <v>0</v>
      </c>
      <c r="S126" s="85">
        <f>STATS1003B!S126/1000</f>
        <v>0</v>
      </c>
      <c r="T126" s="85">
        <f>STATS1003B!T126/1000</f>
        <v>0</v>
      </c>
      <c r="U126" s="85">
        <f>STATS1003B!U126/1000</f>
        <v>0</v>
      </c>
      <c r="V126" s="85">
        <f>STATS1003B!V126/1000</f>
        <v>0</v>
      </c>
      <c r="W126" s="85">
        <f>STATS1003B!W126/1000</f>
        <v>0</v>
      </c>
      <c r="X126" s="85">
        <f t="shared" si="12"/>
        <v>38.672559999999997</v>
      </c>
      <c r="Y126" s="85">
        <f>STATS1003B!Y126/1000</f>
        <v>0</v>
      </c>
      <c r="Z126" s="85">
        <f t="shared" si="13"/>
        <v>0</v>
      </c>
      <c r="AA126" s="69">
        <f>STATS1003B!AA126/1000</f>
        <v>38.672559999999997</v>
      </c>
      <c r="AB126" s="69">
        <f>STATS1003B!AB126/1000</f>
        <v>0</v>
      </c>
    </row>
    <row r="127" spans="1:28" hidden="1" x14ac:dyDescent="0.3">
      <c r="A127" s="117"/>
      <c r="C127" s="71" t="s">
        <v>1194</v>
      </c>
      <c r="D127" s="89" t="s">
        <v>1126</v>
      </c>
      <c r="E127" s="85">
        <f>STATS1003B!E127/1000</f>
        <v>852.82080000000008</v>
      </c>
      <c r="F127" s="85">
        <f>STATS1003B!F127/1000</f>
        <v>852.82080000000008</v>
      </c>
      <c r="G127" s="85">
        <f>STATS1003B!G127/1000</f>
        <v>0</v>
      </c>
      <c r="H127" s="85">
        <f>STATS1003B!H127/1000</f>
        <v>852.82080000000008</v>
      </c>
      <c r="I127" s="85">
        <f>STATS1003B!I127/1000</f>
        <v>0</v>
      </c>
      <c r="J127" s="85">
        <f>STATS1003B!J127/1000</f>
        <v>0</v>
      </c>
      <c r="K127" s="85">
        <f>STATS1003B!K127/1000</f>
        <v>0</v>
      </c>
      <c r="L127" s="85">
        <f>STATS1003B!L127/1000</f>
        <v>0</v>
      </c>
      <c r="M127" s="85">
        <f>STATS1003B!M127/1000</f>
        <v>852.82080000000008</v>
      </c>
      <c r="N127" s="85">
        <f>STATS1003B!N127/1000</f>
        <v>0</v>
      </c>
      <c r="O127" s="85">
        <f>STATS1003B!O127/1000</f>
        <v>0</v>
      </c>
      <c r="P127" s="85">
        <f>STATS1003B!P127/1000</f>
        <v>0</v>
      </c>
      <c r="Q127" s="85">
        <f>STATS1003B!Q127/1000</f>
        <v>0</v>
      </c>
      <c r="R127" s="85">
        <f>STATS1003B!R127/1000</f>
        <v>0</v>
      </c>
      <c r="S127" s="85">
        <f>STATS1003B!S127/1000</f>
        <v>0</v>
      </c>
      <c r="T127" s="85">
        <f>STATS1003B!T127/1000</f>
        <v>0</v>
      </c>
      <c r="U127" s="85">
        <f>STATS1003B!U127/1000</f>
        <v>0</v>
      </c>
      <c r="V127" s="85">
        <f>STATS1003B!V127/1000</f>
        <v>0</v>
      </c>
      <c r="W127" s="85">
        <f>STATS1003B!W127/1000</f>
        <v>0</v>
      </c>
      <c r="X127" s="85">
        <f t="shared" si="12"/>
        <v>852.82080000000008</v>
      </c>
      <c r="Y127" s="85">
        <f>STATS1003B!Y127/1000</f>
        <v>0</v>
      </c>
      <c r="Z127" s="85">
        <f t="shared" si="13"/>
        <v>0</v>
      </c>
      <c r="AA127" s="69">
        <f>STATS1003B!AA127/1000</f>
        <v>852.82080000000008</v>
      </c>
      <c r="AB127" s="69">
        <f>STATS1003B!AB127/1000</f>
        <v>0</v>
      </c>
    </row>
    <row r="128" spans="1:28" hidden="1" x14ac:dyDescent="0.3">
      <c r="A128" s="117"/>
      <c r="C128" s="68" t="s">
        <v>112</v>
      </c>
      <c r="E128" s="85">
        <f>STATS1003B!E128/1000</f>
        <v>6962.8410000000003</v>
      </c>
      <c r="F128" s="85">
        <f>STATS1003B!F128/1000</f>
        <v>6962.8410000000003</v>
      </c>
      <c r="G128" s="85">
        <f>STATS1003B!G128/1000</f>
        <v>0</v>
      </c>
      <c r="H128" s="85">
        <f>STATS1003B!H128/1000</f>
        <v>6962.8410000000003</v>
      </c>
      <c r="I128" s="85">
        <f>STATS1003B!I128/1000</f>
        <v>0</v>
      </c>
      <c r="J128" s="85">
        <f>STATS1003B!J128/1000</f>
        <v>0</v>
      </c>
      <c r="K128" s="85">
        <f>STATS1003B!K128/1000</f>
        <v>0</v>
      </c>
      <c r="L128" s="85">
        <f>STATS1003B!L128/1000</f>
        <v>0</v>
      </c>
      <c r="M128" s="85">
        <f>STATS1003B!M128/1000</f>
        <v>6962.8410000000003</v>
      </c>
      <c r="N128" s="85">
        <f>STATS1003B!N128/1000</f>
        <v>0</v>
      </c>
      <c r="O128" s="85">
        <f>STATS1003B!O128/1000</f>
        <v>0</v>
      </c>
      <c r="P128" s="85">
        <f>STATS1003B!P128/1000</f>
        <v>0</v>
      </c>
      <c r="Q128" s="85">
        <f>STATS1003B!Q128/1000</f>
        <v>0</v>
      </c>
      <c r="R128" s="85">
        <f>STATS1003B!R128/1000</f>
        <v>0</v>
      </c>
      <c r="S128" s="85">
        <f>STATS1003B!S128/1000</f>
        <v>0</v>
      </c>
      <c r="T128" s="85">
        <f>STATS1003B!T128/1000</f>
        <v>0</v>
      </c>
      <c r="U128" s="85">
        <f>STATS1003B!U128/1000</f>
        <v>0</v>
      </c>
      <c r="V128" s="85">
        <f>STATS1003B!V128/1000</f>
        <v>6962.8410000000003</v>
      </c>
      <c r="W128" s="85">
        <f>STATS1003B!W128/1000</f>
        <v>0</v>
      </c>
      <c r="X128" s="85">
        <f t="shared" si="12"/>
        <v>6962.8410000000003</v>
      </c>
      <c r="Y128" s="85">
        <f>STATS1003B!Y128/1000</f>
        <v>0</v>
      </c>
      <c r="Z128" s="85">
        <f t="shared" si="13"/>
        <v>0</v>
      </c>
      <c r="AA128" s="69">
        <f>STATS1003B!AA128/1000</f>
        <v>6962.8410000000003</v>
      </c>
      <c r="AB128" s="69">
        <f>STATS1003B!AB128/1000</f>
        <v>0</v>
      </c>
    </row>
    <row r="129" spans="1:28" hidden="1" x14ac:dyDescent="0.3">
      <c r="A129" s="117"/>
      <c r="E129" s="86" t="s">
        <v>29</v>
      </c>
      <c r="F129" s="86" t="s">
        <v>29</v>
      </c>
      <c r="G129" s="86" t="s">
        <v>29</v>
      </c>
      <c r="H129" s="86" t="s">
        <v>29</v>
      </c>
      <c r="I129" s="86" t="s">
        <v>29</v>
      </c>
      <c r="J129" s="86" t="s">
        <v>29</v>
      </c>
      <c r="K129" s="86" t="s">
        <v>29</v>
      </c>
      <c r="L129" s="86" t="s">
        <v>29</v>
      </c>
      <c r="M129" s="86" t="s">
        <v>29</v>
      </c>
      <c r="N129" s="86" t="s">
        <v>29</v>
      </c>
      <c r="O129" s="86" t="s">
        <v>29</v>
      </c>
      <c r="P129" s="86" t="s">
        <v>29</v>
      </c>
      <c r="Q129" s="86" t="s">
        <v>29</v>
      </c>
      <c r="R129" s="86" t="s">
        <v>29</v>
      </c>
      <c r="S129" s="86" t="s">
        <v>29</v>
      </c>
      <c r="T129" s="86" t="s">
        <v>29</v>
      </c>
      <c r="U129" s="86" t="s">
        <v>29</v>
      </c>
      <c r="V129" s="86" t="s">
        <v>29</v>
      </c>
      <c r="W129" s="86" t="s">
        <v>29</v>
      </c>
      <c r="X129" s="85" t="e">
        <f t="shared" si="12"/>
        <v>#VALUE!</v>
      </c>
      <c r="Y129" s="86" t="s">
        <v>29</v>
      </c>
      <c r="Z129" s="85" t="e">
        <f t="shared" si="13"/>
        <v>#VALUE!</v>
      </c>
      <c r="AA129" s="115" t="s">
        <v>29</v>
      </c>
      <c r="AB129" s="115" t="s">
        <v>29</v>
      </c>
    </row>
    <row r="130" spans="1:28" x14ac:dyDescent="0.3">
      <c r="A130" s="116" t="s">
        <v>939</v>
      </c>
      <c r="B130" s="68" t="s">
        <v>101</v>
      </c>
      <c r="E130" s="85">
        <f>167243570.05/1000</f>
        <v>167243.57005000001</v>
      </c>
      <c r="F130" s="85">
        <f>SUM(F110:F128)</f>
        <v>104147.87800000001</v>
      </c>
      <c r="G130" s="85">
        <f>SUM(G110:G128)</f>
        <v>0</v>
      </c>
      <c r="H130" s="85">
        <f>144113919.79/1000</f>
        <v>144113.91978999999</v>
      </c>
      <c r="I130" s="85">
        <f t="shared" ref="I130:O130" si="14">SUM(I110:I128)</f>
        <v>0</v>
      </c>
      <c r="J130" s="85">
        <f t="shared" si="14"/>
        <v>0</v>
      </c>
      <c r="K130" s="85">
        <f t="shared" si="14"/>
        <v>0</v>
      </c>
      <c r="L130" s="85">
        <f t="shared" si="14"/>
        <v>0</v>
      </c>
      <c r="M130" s="85">
        <f t="shared" si="14"/>
        <v>104147.87800000001</v>
      </c>
      <c r="N130" s="85">
        <f t="shared" si="14"/>
        <v>20027.297580000002</v>
      </c>
      <c r="O130" s="85">
        <f t="shared" si="14"/>
        <v>0</v>
      </c>
      <c r="P130" s="85">
        <f>20027297/1000</f>
        <v>20027.296999999999</v>
      </c>
      <c r="Q130" s="85">
        <f t="shared" ref="Q130:W130" si="15">SUM(Q110:Q128)</f>
        <v>0</v>
      </c>
      <c r="R130" s="85">
        <f t="shared" si="15"/>
        <v>0</v>
      </c>
      <c r="S130" s="85">
        <f t="shared" si="15"/>
        <v>0</v>
      </c>
      <c r="T130" s="85">
        <f t="shared" si="15"/>
        <v>0</v>
      </c>
      <c r="U130" s="85">
        <f t="shared" si="15"/>
        <v>20027.297580000002</v>
      </c>
      <c r="V130" s="85">
        <f t="shared" si="15"/>
        <v>123028.05157</v>
      </c>
      <c r="W130" s="85">
        <f t="shared" si="15"/>
        <v>3102.3526799999995</v>
      </c>
      <c r="X130" s="85">
        <f t="shared" si="12"/>
        <v>164141.21678999998</v>
      </c>
      <c r="Y130" s="85">
        <f>SUM(Y110:Y128)</f>
        <v>0</v>
      </c>
      <c r="Z130" s="85">
        <f t="shared" si="13"/>
        <v>3102.3532600000326</v>
      </c>
      <c r="AA130" s="69">
        <f>SUM(AA110:AA128)</f>
        <v>124175.17558000001</v>
      </c>
      <c r="AB130" s="69">
        <f>SUM(AB110:AB128)</f>
        <v>3102.3526799999995</v>
      </c>
    </row>
    <row r="131" spans="1:28" x14ac:dyDescent="0.3">
      <c r="A131" s="117"/>
      <c r="E131" s="86"/>
      <c r="F131" s="86"/>
      <c r="G131" s="86"/>
      <c r="H131" s="86"/>
      <c r="I131" s="86"/>
      <c r="J131" s="86"/>
      <c r="K131" s="86"/>
      <c r="L131" s="86"/>
      <c r="M131" s="86"/>
      <c r="N131" s="86"/>
      <c r="O131" s="86"/>
      <c r="P131" s="86"/>
      <c r="Q131" s="86"/>
      <c r="R131" s="86"/>
      <c r="S131" s="86"/>
      <c r="T131" s="86"/>
      <c r="U131" s="86"/>
      <c r="V131" s="86"/>
      <c r="W131" s="86"/>
      <c r="X131" s="86"/>
      <c r="Y131" s="86"/>
      <c r="Z131" s="86"/>
      <c r="AA131" s="115" t="s">
        <v>29</v>
      </c>
      <c r="AB131" s="115" t="s">
        <v>29</v>
      </c>
    </row>
    <row r="132" spans="1:28" s="106" customFormat="1" x14ac:dyDescent="0.3">
      <c r="A132" s="104"/>
      <c r="B132" s="8"/>
      <c r="C132" s="7" t="s">
        <v>3</v>
      </c>
      <c r="D132" s="8"/>
      <c r="E132" s="82">
        <f>+E22+E45+E68+E92+E107+E130</f>
        <v>671112.05825</v>
      </c>
      <c r="F132" s="82">
        <f>F130+F107+F92+F68+F45+F22</f>
        <v>273117.14243000001</v>
      </c>
      <c r="G132" s="82">
        <f>G130+G107+G92+G68+G45+G22</f>
        <v>0</v>
      </c>
      <c r="H132" s="82">
        <f t="shared" ref="H132:Z132" si="16">+H22+H45+H68+H92+H107+H130</f>
        <v>590333.13694</v>
      </c>
      <c r="I132" s="82">
        <f t="shared" si="16"/>
        <v>1122</v>
      </c>
      <c r="J132" s="82">
        <f t="shared" si="16"/>
        <v>1122</v>
      </c>
      <c r="K132" s="82">
        <f t="shared" si="16"/>
        <v>0</v>
      </c>
      <c r="L132" s="82">
        <f t="shared" si="16"/>
        <v>0</v>
      </c>
      <c r="M132" s="82">
        <f t="shared" si="16"/>
        <v>273117.14243000001</v>
      </c>
      <c r="N132" s="82">
        <f t="shared" si="16"/>
        <v>75916.920410000006</v>
      </c>
      <c r="O132" s="82">
        <f t="shared" si="16"/>
        <v>0</v>
      </c>
      <c r="P132" s="82">
        <f t="shared" si="16"/>
        <v>75916.918700000009</v>
      </c>
      <c r="Q132" s="82">
        <f t="shared" si="16"/>
        <v>0</v>
      </c>
      <c r="R132" s="82">
        <f t="shared" si="16"/>
        <v>0</v>
      </c>
      <c r="S132" s="82">
        <f t="shared" si="16"/>
        <v>31.498429999999999</v>
      </c>
      <c r="T132" s="82">
        <f t="shared" si="16"/>
        <v>29.618009999999998</v>
      </c>
      <c r="U132" s="82">
        <f t="shared" si="16"/>
        <v>75946.538419999997</v>
      </c>
      <c r="V132" s="82">
        <f t="shared" si="16"/>
        <v>345796.12938</v>
      </c>
      <c r="W132" s="82">
        <f t="shared" si="16"/>
        <v>4862.0008999999991</v>
      </c>
      <c r="X132" s="82">
        <f t="shared" si="16"/>
        <v>666250.05563999992</v>
      </c>
      <c r="Y132" s="82">
        <f t="shared" si="16"/>
        <v>0</v>
      </c>
      <c r="Z132" s="82">
        <f t="shared" si="16"/>
        <v>4862.002610000025</v>
      </c>
      <c r="AA132" s="9">
        <f>AA130+AA107+AA92+AA68+AA45+AA22</f>
        <v>349063.68085000006</v>
      </c>
      <c r="AB132" s="9">
        <f>AB130+AB107+AB92+AB68+AB45+AB22</f>
        <v>4832.382889999999</v>
      </c>
    </row>
    <row r="133" spans="1:28" x14ac:dyDescent="0.3">
      <c r="A133" s="117"/>
      <c r="E133" s="86"/>
      <c r="F133" s="86"/>
      <c r="G133" s="86"/>
      <c r="H133" s="86"/>
      <c r="I133" s="86"/>
      <c r="J133" s="86"/>
      <c r="K133" s="86"/>
      <c r="L133" s="86"/>
      <c r="M133" s="86"/>
      <c r="N133" s="86"/>
      <c r="O133" s="86"/>
      <c r="P133" s="86"/>
      <c r="Q133" s="86"/>
      <c r="R133" s="86"/>
      <c r="S133" s="86"/>
      <c r="T133" s="86"/>
      <c r="U133" s="86"/>
      <c r="V133" s="86"/>
      <c r="W133" s="86"/>
      <c r="X133" s="86"/>
      <c r="Y133" s="86"/>
      <c r="Z133" s="86"/>
      <c r="AA133" s="115" t="s">
        <v>114</v>
      </c>
      <c r="AB133" s="115" t="s">
        <v>114</v>
      </c>
    </row>
    <row r="134" spans="1:28" x14ac:dyDescent="0.3">
      <c r="A134" s="117"/>
      <c r="B134" s="68" t="s">
        <v>1266</v>
      </c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120"/>
      <c r="Y134" s="84"/>
      <c r="Z134" s="84"/>
      <c r="AA134" s="118"/>
    </row>
    <row r="135" spans="1:28" hidden="1" x14ac:dyDescent="0.3">
      <c r="A135" s="117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</row>
    <row r="136" spans="1:28" hidden="1" x14ac:dyDescent="0.3">
      <c r="A136" s="105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</row>
    <row r="137" spans="1:28" hidden="1" x14ac:dyDescent="0.3">
      <c r="A137" s="117"/>
      <c r="C137" s="68" t="s">
        <v>75</v>
      </c>
      <c r="D137" s="88" t="s">
        <v>76</v>
      </c>
      <c r="E137" s="85">
        <f>STATS1003B!E137/1000</f>
        <v>6387</v>
      </c>
      <c r="F137" s="85">
        <f>STATS1003B!F137/1000</f>
        <v>0</v>
      </c>
      <c r="G137" s="85">
        <f>STATS1003B!G137/1000</f>
        <v>0</v>
      </c>
      <c r="H137" s="85">
        <f>STATS1003B!H137/1000</f>
        <v>0</v>
      </c>
      <c r="I137" s="85">
        <f>STATS1003B!I137/1000</f>
        <v>0</v>
      </c>
      <c r="J137" s="85">
        <f>STATS1003B!J137/1000</f>
        <v>0</v>
      </c>
      <c r="K137" s="85">
        <f>STATS1003B!K137/1000</f>
        <v>0</v>
      </c>
      <c r="L137" s="85">
        <f>STATS1003B!L137/1000</f>
        <v>0</v>
      </c>
      <c r="M137" s="85">
        <f>STATS1003B!M137/1000</f>
        <v>0</v>
      </c>
      <c r="N137" s="85">
        <f>STATS1003B!N137/1000</f>
        <v>4670.8686399999997</v>
      </c>
      <c r="O137" s="85">
        <f>STATS1003B!O137/1000</f>
        <v>0</v>
      </c>
      <c r="P137" s="85">
        <f>STATS1003B!P137/1000</f>
        <v>4670.8686399999997</v>
      </c>
      <c r="Q137" s="85">
        <f>STATS1003B!Q137/1000</f>
        <v>0</v>
      </c>
      <c r="R137" s="85">
        <f>STATS1003B!R137/1000</f>
        <v>0</v>
      </c>
      <c r="S137" s="85">
        <f>STATS1003B!S137/1000</f>
        <v>0</v>
      </c>
      <c r="T137" s="85">
        <f>STATS1003B!T137/1000</f>
        <v>0</v>
      </c>
      <c r="U137" s="85">
        <f>STATS1003B!U137/1000</f>
        <v>4670.8686399999997</v>
      </c>
      <c r="V137" s="85">
        <f>STATS1003B!V137/1000</f>
        <v>4670.8686399999997</v>
      </c>
      <c r="W137" s="85">
        <f>STATS1003B!W137/1000</f>
        <v>1716.1313600000003</v>
      </c>
      <c r="X137" s="85">
        <f>STATS1003B!X137/1000</f>
        <v>4670.8686399999997</v>
      </c>
      <c r="Y137" s="85">
        <f>STATS1003B!Y137/1000</f>
        <v>0</v>
      </c>
      <c r="Z137" s="85">
        <f>STATS1003B!Z137/1000</f>
        <v>1716.1313600000003</v>
      </c>
      <c r="AA137" s="69">
        <f>STATS1003B!AA137/1000</f>
        <v>4670.8686399999997</v>
      </c>
      <c r="AB137" s="69">
        <f>STATS1003B!AB137/1000</f>
        <v>1716.1313600000003</v>
      </c>
    </row>
    <row r="138" spans="1:28" hidden="1" x14ac:dyDescent="0.3">
      <c r="A138" s="117"/>
      <c r="C138" s="68" t="s">
        <v>57</v>
      </c>
      <c r="D138" s="145" t="s">
        <v>117</v>
      </c>
      <c r="E138" s="85">
        <f>STATS1003B!E138/1000</f>
        <v>13658.036539999999</v>
      </c>
      <c r="F138" s="85">
        <f>STATS1003B!F138/1000</f>
        <v>13354.002779999999</v>
      </c>
      <c r="G138" s="85">
        <f>STATS1003B!G138/1000</f>
        <v>0</v>
      </c>
      <c r="H138" s="85">
        <f>STATS1003B!H138/1000</f>
        <v>13354.002779999999</v>
      </c>
      <c r="I138" s="85">
        <f>STATS1003B!I138/1000</f>
        <v>0</v>
      </c>
      <c r="J138" s="85">
        <f>STATS1003B!J138/1000</f>
        <v>0</v>
      </c>
      <c r="K138" s="85">
        <f>STATS1003B!K138/1000</f>
        <v>0</v>
      </c>
      <c r="L138" s="85">
        <f>STATS1003B!L138/1000</f>
        <v>0</v>
      </c>
      <c r="M138" s="85">
        <f>STATS1003B!M138/1000</f>
        <v>13354.002779999999</v>
      </c>
      <c r="N138" s="85">
        <f>STATS1003B!N138/1000</f>
        <v>304.03376000000003</v>
      </c>
      <c r="O138" s="85">
        <f>STATS1003B!O138/1000</f>
        <v>0</v>
      </c>
      <c r="P138" s="85">
        <f>STATS1003B!P138/1000</f>
        <v>304.03376000000003</v>
      </c>
      <c r="Q138" s="85">
        <f>STATS1003B!Q138/1000</f>
        <v>0</v>
      </c>
      <c r="R138" s="85">
        <f>STATS1003B!R138/1000</f>
        <v>0</v>
      </c>
      <c r="S138" s="85">
        <f>STATS1003B!S138/1000</f>
        <v>0</v>
      </c>
      <c r="T138" s="85">
        <f>STATS1003B!T138/1000</f>
        <v>0</v>
      </c>
      <c r="U138" s="85">
        <f>STATS1003B!U138/1000</f>
        <v>304.03376000000003</v>
      </c>
      <c r="V138" s="85">
        <f>STATS1003B!V138/1000</f>
        <v>13658.036539999999</v>
      </c>
      <c r="W138" s="85">
        <f>STATS1003B!W138/1000</f>
        <v>0</v>
      </c>
      <c r="X138" s="85">
        <f>STATS1003B!X138/1000</f>
        <v>13658.036539999999</v>
      </c>
      <c r="Y138" s="85">
        <f>STATS1003B!Y138/1000</f>
        <v>0</v>
      </c>
      <c r="Z138" s="85">
        <f>STATS1003B!Z138/1000</f>
        <v>0</v>
      </c>
      <c r="AA138" s="69">
        <f>STATS1003B!AA138/1000</f>
        <v>13658.036539999999</v>
      </c>
      <c r="AB138" s="69">
        <f>STATS1003B!AB138/1000</f>
        <v>0</v>
      </c>
    </row>
    <row r="139" spans="1:28" hidden="1" x14ac:dyDescent="0.3">
      <c r="A139" s="117"/>
      <c r="C139" s="68" t="s">
        <v>118</v>
      </c>
      <c r="D139" s="145" t="s">
        <v>119</v>
      </c>
      <c r="E139" s="85">
        <f>STATS1003B!E139/1000</f>
        <v>695</v>
      </c>
      <c r="F139" s="85">
        <f>STATS1003B!F139/1000</f>
        <v>695</v>
      </c>
      <c r="G139" s="85">
        <f>STATS1003B!G139/1000</f>
        <v>0</v>
      </c>
      <c r="H139" s="85">
        <f>STATS1003B!H139/1000</f>
        <v>695</v>
      </c>
      <c r="I139" s="85">
        <f>STATS1003B!I139/1000</f>
        <v>0</v>
      </c>
      <c r="J139" s="85">
        <f>STATS1003B!J139/1000</f>
        <v>0</v>
      </c>
      <c r="K139" s="85">
        <f>STATS1003B!K139/1000</f>
        <v>0</v>
      </c>
      <c r="L139" s="85">
        <f>STATS1003B!L139/1000</f>
        <v>0</v>
      </c>
      <c r="M139" s="85">
        <f>STATS1003B!M139/1000</f>
        <v>695</v>
      </c>
      <c r="N139" s="85">
        <f>STATS1003B!N139/1000</f>
        <v>0</v>
      </c>
      <c r="O139" s="85">
        <f>STATS1003B!O139/1000</f>
        <v>0</v>
      </c>
      <c r="P139" s="85">
        <f>STATS1003B!P139/1000</f>
        <v>0</v>
      </c>
      <c r="Q139" s="85">
        <f>STATS1003B!Q139/1000</f>
        <v>0</v>
      </c>
      <c r="R139" s="85">
        <f>STATS1003B!R139/1000</f>
        <v>0</v>
      </c>
      <c r="S139" s="85">
        <f>STATS1003B!S139/1000</f>
        <v>0</v>
      </c>
      <c r="T139" s="85">
        <f>STATS1003B!T139/1000</f>
        <v>0</v>
      </c>
      <c r="U139" s="85">
        <f>STATS1003B!U139/1000</f>
        <v>0</v>
      </c>
      <c r="V139" s="85">
        <f>STATS1003B!V139/1000</f>
        <v>695</v>
      </c>
      <c r="W139" s="85">
        <f>STATS1003B!W139/1000</f>
        <v>0</v>
      </c>
      <c r="X139" s="85">
        <f>STATS1003B!X139/1000</f>
        <v>695</v>
      </c>
      <c r="Y139" s="85">
        <f>STATS1003B!Y139/1000</f>
        <v>0</v>
      </c>
      <c r="Z139" s="85">
        <f>STATS1003B!Z139/1000</f>
        <v>0</v>
      </c>
      <c r="AA139" s="69">
        <f>STATS1003B!AA139/1000</f>
        <v>695</v>
      </c>
      <c r="AB139" s="69">
        <f>STATS1003B!AB139/1000</f>
        <v>0</v>
      </c>
    </row>
    <row r="140" spans="1:28" hidden="1" x14ac:dyDescent="0.3">
      <c r="A140" s="117"/>
      <c r="C140" s="68" t="s">
        <v>53</v>
      </c>
      <c r="D140" s="145" t="s">
        <v>68</v>
      </c>
      <c r="E140" s="85">
        <f>STATS1003B!E140/1000</f>
        <v>1953.989</v>
      </c>
      <c r="F140" s="85">
        <f>STATS1003B!F140/1000</f>
        <v>0</v>
      </c>
      <c r="G140" s="85">
        <f>STATS1003B!G140/1000</f>
        <v>0</v>
      </c>
      <c r="H140" s="85">
        <f>STATS1003B!H140/1000</f>
        <v>0</v>
      </c>
      <c r="I140" s="85">
        <f>STATS1003B!I140/1000</f>
        <v>0</v>
      </c>
      <c r="J140" s="85">
        <f>STATS1003B!J140/1000</f>
        <v>0</v>
      </c>
      <c r="K140" s="85">
        <f>STATS1003B!K140/1000</f>
        <v>0</v>
      </c>
      <c r="L140" s="85">
        <f>STATS1003B!L140/1000</f>
        <v>0</v>
      </c>
      <c r="M140" s="85">
        <f>STATS1003B!M140/1000</f>
        <v>0</v>
      </c>
      <c r="N140" s="85">
        <f>STATS1003B!N140/1000</f>
        <v>1953.989</v>
      </c>
      <c r="O140" s="85">
        <f>STATS1003B!O140/1000</f>
        <v>0</v>
      </c>
      <c r="P140" s="85">
        <f>STATS1003B!P140/1000</f>
        <v>1953.989</v>
      </c>
      <c r="Q140" s="85">
        <f>STATS1003B!Q140/1000</f>
        <v>0</v>
      </c>
      <c r="R140" s="85">
        <f>STATS1003B!R140/1000</f>
        <v>0</v>
      </c>
      <c r="S140" s="85">
        <f>STATS1003B!S140/1000</f>
        <v>0</v>
      </c>
      <c r="T140" s="85">
        <f>STATS1003B!T140/1000</f>
        <v>0</v>
      </c>
      <c r="U140" s="85">
        <f>STATS1003B!U140/1000</f>
        <v>1953.989</v>
      </c>
      <c r="V140" s="85">
        <f>STATS1003B!V140/1000</f>
        <v>1953.989</v>
      </c>
      <c r="W140" s="85">
        <f>STATS1003B!W140/1000</f>
        <v>0</v>
      </c>
      <c r="X140" s="85">
        <f>STATS1003B!X140/1000</f>
        <v>1953.989</v>
      </c>
      <c r="Y140" s="85">
        <f>STATS1003B!Y140/1000</f>
        <v>0</v>
      </c>
      <c r="Z140" s="85">
        <f>STATS1003B!Z140/1000</f>
        <v>0</v>
      </c>
      <c r="AA140" s="69">
        <f>STATS1003B!AA140/1000</f>
        <v>1953.989</v>
      </c>
      <c r="AB140" s="69">
        <f>STATS1003B!AB140/1000</f>
        <v>0</v>
      </c>
    </row>
    <row r="141" spans="1:28" hidden="1" x14ac:dyDescent="0.3">
      <c r="A141" s="117"/>
      <c r="C141" s="68" t="s">
        <v>55</v>
      </c>
      <c r="D141" s="145" t="s">
        <v>54</v>
      </c>
      <c r="E141" s="85">
        <f>STATS1003B!E141/1000</f>
        <v>207.78731999999999</v>
      </c>
      <c r="F141" s="85">
        <f>STATS1003B!F141/1000</f>
        <v>0</v>
      </c>
      <c r="G141" s="85">
        <f>STATS1003B!G141/1000</f>
        <v>0</v>
      </c>
      <c r="H141" s="85">
        <f>STATS1003B!H141/1000</f>
        <v>0</v>
      </c>
      <c r="I141" s="85">
        <f>STATS1003B!I141/1000</f>
        <v>0</v>
      </c>
      <c r="J141" s="85">
        <f>STATS1003B!J141/1000</f>
        <v>0</v>
      </c>
      <c r="K141" s="85">
        <f>STATS1003B!K141/1000</f>
        <v>0</v>
      </c>
      <c r="L141" s="85">
        <f>STATS1003B!L141/1000</f>
        <v>0</v>
      </c>
      <c r="M141" s="85">
        <f>STATS1003B!M141/1000</f>
        <v>0</v>
      </c>
      <c r="N141" s="85">
        <f>STATS1003B!N141/1000</f>
        <v>207.78731999999999</v>
      </c>
      <c r="O141" s="85">
        <f>STATS1003B!O141/1000</f>
        <v>0</v>
      </c>
      <c r="P141" s="85">
        <f>STATS1003B!P141/1000</f>
        <v>207.78731999999999</v>
      </c>
      <c r="Q141" s="85">
        <f>STATS1003B!Q141/1000</f>
        <v>0</v>
      </c>
      <c r="R141" s="85">
        <f>STATS1003B!R141/1000</f>
        <v>0</v>
      </c>
      <c r="S141" s="85">
        <f>STATS1003B!S141/1000</f>
        <v>0</v>
      </c>
      <c r="T141" s="85">
        <f>STATS1003B!T141/1000</f>
        <v>0</v>
      </c>
      <c r="U141" s="85">
        <f>STATS1003B!U141/1000</f>
        <v>207.78731999999999</v>
      </c>
      <c r="V141" s="85">
        <f>STATS1003B!V141/1000</f>
        <v>207.78731999999999</v>
      </c>
      <c r="W141" s="85">
        <f>STATS1003B!W141/1000</f>
        <v>0</v>
      </c>
      <c r="X141" s="85">
        <f>STATS1003B!X141/1000</f>
        <v>207.78731999999999</v>
      </c>
      <c r="Y141" s="85">
        <f>STATS1003B!Y141/1000</f>
        <v>0</v>
      </c>
      <c r="Z141" s="85">
        <f>STATS1003B!Z141/1000</f>
        <v>0</v>
      </c>
      <c r="AA141" s="69">
        <f>STATS1003B!AA141/1000</f>
        <v>207.78731999999999</v>
      </c>
      <c r="AB141" s="69">
        <f>STATS1003B!AB141/1000</f>
        <v>0</v>
      </c>
    </row>
    <row r="142" spans="1:28" hidden="1" x14ac:dyDescent="0.3">
      <c r="A142" s="117"/>
      <c r="C142" s="68" t="s">
        <v>120</v>
      </c>
      <c r="D142" s="145" t="s">
        <v>85</v>
      </c>
      <c r="E142" s="85">
        <f>STATS1003B!E142/1000</f>
        <v>2000</v>
      </c>
      <c r="F142" s="85">
        <f>STATS1003B!F142/1000</f>
        <v>2000</v>
      </c>
      <c r="G142" s="85">
        <f>STATS1003B!G142/1000</f>
        <v>0</v>
      </c>
      <c r="H142" s="85">
        <f>STATS1003B!H142/1000</f>
        <v>2000</v>
      </c>
      <c r="I142" s="85">
        <f>STATS1003B!I142/1000</f>
        <v>0</v>
      </c>
      <c r="J142" s="85">
        <f>STATS1003B!J142/1000</f>
        <v>0</v>
      </c>
      <c r="K142" s="85">
        <f>STATS1003B!K142/1000</f>
        <v>0</v>
      </c>
      <c r="L142" s="85">
        <f>STATS1003B!L142/1000</f>
        <v>0</v>
      </c>
      <c r="M142" s="85">
        <f>STATS1003B!M142/1000</f>
        <v>2000</v>
      </c>
      <c r="N142" s="85">
        <f>STATS1003B!N142/1000</f>
        <v>0</v>
      </c>
      <c r="O142" s="85">
        <f>STATS1003B!O142/1000</f>
        <v>0</v>
      </c>
      <c r="P142" s="85">
        <f>STATS1003B!P142/1000</f>
        <v>0</v>
      </c>
      <c r="Q142" s="85">
        <f>STATS1003B!Q142/1000</f>
        <v>0</v>
      </c>
      <c r="R142" s="85">
        <f>STATS1003B!R142/1000</f>
        <v>0</v>
      </c>
      <c r="S142" s="85">
        <f>STATS1003B!S142/1000</f>
        <v>0</v>
      </c>
      <c r="T142" s="85">
        <f>STATS1003B!T142/1000</f>
        <v>0</v>
      </c>
      <c r="U142" s="85">
        <f>STATS1003B!U142/1000</f>
        <v>0</v>
      </c>
      <c r="V142" s="85">
        <f>STATS1003B!V142/1000</f>
        <v>2000</v>
      </c>
      <c r="W142" s="85">
        <f>STATS1003B!W142/1000</f>
        <v>0</v>
      </c>
      <c r="X142" s="85">
        <f>STATS1003B!X142/1000</f>
        <v>2000</v>
      </c>
      <c r="Y142" s="85">
        <f>STATS1003B!Y142/1000</f>
        <v>0</v>
      </c>
      <c r="Z142" s="85">
        <f>STATS1003B!Z142/1000</f>
        <v>0</v>
      </c>
      <c r="AA142" s="69">
        <f>STATS1003B!AA142/1000</f>
        <v>2000</v>
      </c>
      <c r="AB142" s="69">
        <f>STATS1003B!AB142/1000</f>
        <v>0</v>
      </c>
    </row>
    <row r="143" spans="1:28" hidden="1" x14ac:dyDescent="0.3">
      <c r="A143" s="117"/>
      <c r="C143" s="68" t="s">
        <v>57</v>
      </c>
      <c r="D143" s="145" t="s">
        <v>58</v>
      </c>
      <c r="E143" s="85">
        <f>STATS1003B!E143/1000</f>
        <v>2090.44</v>
      </c>
      <c r="F143" s="85">
        <f>STATS1003B!F143/1000</f>
        <v>2090.44</v>
      </c>
      <c r="G143" s="85">
        <f>STATS1003B!G143/1000</f>
        <v>0</v>
      </c>
      <c r="H143" s="85">
        <f>STATS1003B!H143/1000</f>
        <v>2090.44</v>
      </c>
      <c r="I143" s="85">
        <f>STATS1003B!I143/1000</f>
        <v>0</v>
      </c>
      <c r="J143" s="85">
        <f>STATS1003B!J143/1000</f>
        <v>0</v>
      </c>
      <c r="K143" s="85">
        <f>STATS1003B!K143/1000</f>
        <v>0</v>
      </c>
      <c r="L143" s="85">
        <f>STATS1003B!L143/1000</f>
        <v>0</v>
      </c>
      <c r="M143" s="85">
        <f>STATS1003B!M143/1000</f>
        <v>2090.44</v>
      </c>
      <c r="N143" s="85">
        <f>STATS1003B!N143/1000</f>
        <v>0</v>
      </c>
      <c r="O143" s="85">
        <f>STATS1003B!O143/1000</f>
        <v>0</v>
      </c>
      <c r="P143" s="85">
        <f>STATS1003B!P143/1000</f>
        <v>0</v>
      </c>
      <c r="Q143" s="85">
        <f>STATS1003B!Q143/1000</f>
        <v>0</v>
      </c>
      <c r="R143" s="85">
        <f>STATS1003B!R143/1000</f>
        <v>0</v>
      </c>
      <c r="S143" s="85">
        <f>STATS1003B!S143/1000</f>
        <v>0</v>
      </c>
      <c r="T143" s="85">
        <f>STATS1003B!T143/1000</f>
        <v>0</v>
      </c>
      <c r="U143" s="85">
        <f>STATS1003B!U143/1000</f>
        <v>0</v>
      </c>
      <c r="V143" s="85">
        <f>STATS1003B!V143/1000</f>
        <v>2090.44</v>
      </c>
      <c r="W143" s="85">
        <f>STATS1003B!W143/1000</f>
        <v>0</v>
      </c>
      <c r="X143" s="85">
        <f>STATS1003B!X143/1000</f>
        <v>2090.44</v>
      </c>
      <c r="Y143" s="85">
        <f>STATS1003B!Y143/1000</f>
        <v>0</v>
      </c>
      <c r="Z143" s="85">
        <f>STATS1003B!Z143/1000</f>
        <v>0</v>
      </c>
      <c r="AA143" s="69">
        <f>STATS1003B!AA143/1000</f>
        <v>2090.44</v>
      </c>
      <c r="AB143" s="69">
        <f>STATS1003B!AB143/1000</f>
        <v>0</v>
      </c>
    </row>
    <row r="144" spans="1:28" hidden="1" x14ac:dyDescent="0.3">
      <c r="A144" s="117"/>
      <c r="C144" s="71" t="s">
        <v>109</v>
      </c>
      <c r="D144" s="88" t="s">
        <v>60</v>
      </c>
      <c r="E144" s="85">
        <f>STATS1003B!E144/1000</f>
        <v>4943.6064399999996</v>
      </c>
      <c r="F144" s="85">
        <f>STATS1003B!F144/1000</f>
        <v>4943.6064400000005</v>
      </c>
      <c r="G144" s="85">
        <f>STATS1003B!G144/1000</f>
        <v>0</v>
      </c>
      <c r="H144" s="85">
        <f>STATS1003B!H144/1000</f>
        <v>4943.6064400000005</v>
      </c>
      <c r="I144" s="85">
        <f>STATS1003B!I144/1000</f>
        <v>0</v>
      </c>
      <c r="J144" s="85">
        <f>STATS1003B!J144/1000</f>
        <v>0</v>
      </c>
      <c r="K144" s="85">
        <f>STATS1003B!K144/1000</f>
        <v>0</v>
      </c>
      <c r="L144" s="85">
        <f>STATS1003B!L144/1000</f>
        <v>0</v>
      </c>
      <c r="M144" s="85">
        <f>STATS1003B!M144/1000</f>
        <v>4943.6064400000005</v>
      </c>
      <c r="N144" s="85">
        <f>STATS1003B!N144/1000</f>
        <v>0</v>
      </c>
      <c r="O144" s="85">
        <f>STATS1003B!O144/1000</f>
        <v>0</v>
      </c>
      <c r="P144" s="85">
        <f>STATS1003B!P144/1000</f>
        <v>0</v>
      </c>
      <c r="Q144" s="85">
        <f>STATS1003B!Q144/1000</f>
        <v>0</v>
      </c>
      <c r="R144" s="85">
        <f>STATS1003B!R144/1000</f>
        <v>0</v>
      </c>
      <c r="S144" s="85">
        <f>STATS1003B!S144/1000</f>
        <v>0</v>
      </c>
      <c r="T144" s="85">
        <f>STATS1003B!T144/1000</f>
        <v>0</v>
      </c>
      <c r="U144" s="85">
        <f>STATS1003B!U144/1000</f>
        <v>0</v>
      </c>
      <c r="V144" s="85">
        <f>STATS1003B!V144/1000</f>
        <v>4943.6064400000005</v>
      </c>
      <c r="W144" s="85">
        <f>STATS1003B!W144/1000</f>
        <v>0</v>
      </c>
      <c r="X144" s="85">
        <f>STATS1003B!X144/1000</f>
        <v>4943.6064400000005</v>
      </c>
      <c r="Y144" s="85">
        <f>STATS1003B!Y144/1000</f>
        <v>0</v>
      </c>
      <c r="Z144" s="85">
        <f>STATS1003B!Z144/1000</f>
        <v>0</v>
      </c>
      <c r="AA144" s="69">
        <f>STATS1003B!AA144/1000</f>
        <v>4943.6064400000005</v>
      </c>
      <c r="AB144" s="69">
        <f>STATS1003B!AB144/1000</f>
        <v>0</v>
      </c>
    </row>
    <row r="145" spans="1:28" hidden="1" x14ac:dyDescent="0.3">
      <c r="A145" s="117"/>
      <c r="C145" s="71" t="s">
        <v>121</v>
      </c>
      <c r="D145" s="145" t="s">
        <v>73</v>
      </c>
      <c r="E145" s="85">
        <f>STATS1003B!E145/1000</f>
        <v>2500</v>
      </c>
      <c r="F145" s="85">
        <f>STATS1003B!F145/1000</f>
        <v>2500</v>
      </c>
      <c r="G145" s="85">
        <f>STATS1003B!G145/1000</f>
        <v>0</v>
      </c>
      <c r="H145" s="85">
        <f>STATS1003B!H145/1000</f>
        <v>2500</v>
      </c>
      <c r="I145" s="85">
        <f>STATS1003B!I145/1000</f>
        <v>0</v>
      </c>
      <c r="J145" s="85">
        <f>STATS1003B!J145/1000</f>
        <v>0</v>
      </c>
      <c r="K145" s="85">
        <f>STATS1003B!K145/1000</f>
        <v>0</v>
      </c>
      <c r="L145" s="85">
        <f>STATS1003B!L145/1000</f>
        <v>0</v>
      </c>
      <c r="M145" s="85">
        <f>STATS1003B!M145/1000</f>
        <v>2500</v>
      </c>
      <c r="N145" s="85">
        <f>STATS1003B!N145/1000</f>
        <v>0</v>
      </c>
      <c r="O145" s="85">
        <f>STATS1003B!O145/1000</f>
        <v>0</v>
      </c>
      <c r="P145" s="85">
        <f>STATS1003B!P145/1000</f>
        <v>0</v>
      </c>
      <c r="Q145" s="85">
        <f>STATS1003B!Q145/1000</f>
        <v>0</v>
      </c>
      <c r="R145" s="85">
        <f>STATS1003B!R145/1000</f>
        <v>0</v>
      </c>
      <c r="S145" s="85">
        <f>STATS1003B!S145/1000</f>
        <v>0</v>
      </c>
      <c r="T145" s="85">
        <f>STATS1003B!T145/1000</f>
        <v>0</v>
      </c>
      <c r="U145" s="85">
        <f>STATS1003B!U145/1000</f>
        <v>0</v>
      </c>
      <c r="V145" s="85">
        <f>STATS1003B!V145/1000</f>
        <v>2500</v>
      </c>
      <c r="W145" s="85">
        <f>STATS1003B!W145/1000</f>
        <v>0</v>
      </c>
      <c r="X145" s="85">
        <f>STATS1003B!X145/1000</f>
        <v>2500</v>
      </c>
      <c r="Y145" s="85">
        <f>STATS1003B!Y145/1000</f>
        <v>0</v>
      </c>
      <c r="Z145" s="85">
        <f>STATS1003B!Z145/1000</f>
        <v>0</v>
      </c>
      <c r="AA145" s="69">
        <f>STATS1003B!AA145/1000</f>
        <v>2500</v>
      </c>
      <c r="AB145" s="69">
        <f>STATS1003B!AB145/1000</f>
        <v>0</v>
      </c>
    </row>
    <row r="146" spans="1:28" hidden="1" x14ac:dyDescent="0.3">
      <c r="A146" s="117"/>
      <c r="C146" s="71" t="s">
        <v>930</v>
      </c>
      <c r="D146" s="90" t="s">
        <v>1072</v>
      </c>
      <c r="E146" s="85">
        <f>STATS1003B!E146/1000</f>
        <v>4235.1093099999998</v>
      </c>
      <c r="F146" s="85">
        <f>STATS1003B!F146/1000</f>
        <v>4235.1093099999998</v>
      </c>
      <c r="G146" s="85">
        <f>STATS1003B!G146/1000</f>
        <v>0</v>
      </c>
      <c r="H146" s="85">
        <f>STATS1003B!H146/1000</f>
        <v>4235.1093099999998</v>
      </c>
      <c r="I146" s="85">
        <f>STATS1003B!I146/1000</f>
        <v>0</v>
      </c>
      <c r="J146" s="85">
        <f>STATS1003B!J146/1000</f>
        <v>0</v>
      </c>
      <c r="K146" s="85">
        <f>STATS1003B!K146/1000</f>
        <v>0</v>
      </c>
      <c r="L146" s="85">
        <f>STATS1003B!L146/1000</f>
        <v>0</v>
      </c>
      <c r="M146" s="85">
        <f>STATS1003B!M146/1000</f>
        <v>4235.1093099999998</v>
      </c>
      <c r="N146" s="85">
        <f>STATS1003B!N146/1000</f>
        <v>0</v>
      </c>
      <c r="O146" s="85">
        <f>STATS1003B!O146/1000</f>
        <v>0</v>
      </c>
      <c r="P146" s="85">
        <f>STATS1003B!P146/1000</f>
        <v>0</v>
      </c>
      <c r="Q146" s="85">
        <f>STATS1003B!Q146/1000</f>
        <v>0</v>
      </c>
      <c r="R146" s="85">
        <f>STATS1003B!R146/1000</f>
        <v>0</v>
      </c>
      <c r="S146" s="85">
        <f>STATS1003B!S146/1000</f>
        <v>0</v>
      </c>
      <c r="T146" s="85">
        <f>STATS1003B!T146/1000</f>
        <v>0</v>
      </c>
      <c r="U146" s="85">
        <f>STATS1003B!U146/1000</f>
        <v>0</v>
      </c>
      <c r="V146" s="85">
        <f>STATS1003B!V146/1000</f>
        <v>0</v>
      </c>
      <c r="W146" s="85">
        <f>STATS1003B!W146/1000</f>
        <v>0</v>
      </c>
      <c r="X146" s="85">
        <f>STATS1003B!X146/1000</f>
        <v>4235.1093099999998</v>
      </c>
      <c r="Y146" s="85">
        <f>STATS1003B!Y146/1000</f>
        <v>0</v>
      </c>
      <c r="Z146" s="85">
        <f>STATS1003B!Z146/1000</f>
        <v>0</v>
      </c>
      <c r="AA146" s="69">
        <f>STATS1003B!AA146/1000</f>
        <v>4235.1093099999998</v>
      </c>
      <c r="AB146" s="69">
        <f>STATS1003B!AB146/1000</f>
        <v>0</v>
      </c>
    </row>
    <row r="147" spans="1:28" hidden="1" x14ac:dyDescent="0.3">
      <c r="A147" s="117"/>
      <c r="C147" s="68" t="s">
        <v>122</v>
      </c>
      <c r="E147" s="85">
        <f>STATS1003B!E147/1000</f>
        <v>1602.81</v>
      </c>
      <c r="F147" s="85">
        <f>STATS1003B!F147/1000</f>
        <v>1602.81</v>
      </c>
      <c r="G147" s="85">
        <f>STATS1003B!G147/1000</f>
        <v>0</v>
      </c>
      <c r="H147" s="85">
        <f>STATS1003B!H147/1000</f>
        <v>1602.81</v>
      </c>
      <c r="I147" s="85">
        <f>STATS1003B!I147/1000</f>
        <v>0</v>
      </c>
      <c r="J147" s="85">
        <f>STATS1003B!J147/1000</f>
        <v>0</v>
      </c>
      <c r="K147" s="85">
        <f>STATS1003B!K147/1000</f>
        <v>0</v>
      </c>
      <c r="L147" s="85">
        <f>STATS1003B!L147/1000</f>
        <v>0</v>
      </c>
      <c r="M147" s="85">
        <f>STATS1003B!M147/1000</f>
        <v>1602.81</v>
      </c>
      <c r="N147" s="85">
        <f>STATS1003B!N147/1000</f>
        <v>0</v>
      </c>
      <c r="O147" s="85">
        <f>STATS1003B!O147/1000</f>
        <v>0</v>
      </c>
      <c r="P147" s="85">
        <f>STATS1003B!P147/1000</f>
        <v>0</v>
      </c>
      <c r="Q147" s="85">
        <f>STATS1003B!Q147/1000</f>
        <v>0</v>
      </c>
      <c r="R147" s="85">
        <f>STATS1003B!R147/1000</f>
        <v>0</v>
      </c>
      <c r="S147" s="85">
        <f>STATS1003B!S147/1000</f>
        <v>0</v>
      </c>
      <c r="T147" s="85">
        <f>STATS1003B!T147/1000</f>
        <v>0</v>
      </c>
      <c r="U147" s="85">
        <f>STATS1003B!U147/1000</f>
        <v>0</v>
      </c>
      <c r="V147" s="85">
        <f>STATS1003B!V147/1000</f>
        <v>1602.81</v>
      </c>
      <c r="W147" s="85">
        <f>STATS1003B!W147/1000</f>
        <v>0</v>
      </c>
      <c r="X147" s="85">
        <f>STATS1003B!X147/1000</f>
        <v>1602.81</v>
      </c>
      <c r="Y147" s="85">
        <f>STATS1003B!Y147/1000</f>
        <v>0</v>
      </c>
      <c r="Z147" s="85">
        <f>STATS1003B!Z147/1000</f>
        <v>0</v>
      </c>
      <c r="AA147" s="69">
        <f>STATS1003B!AA147/1000</f>
        <v>1602.81</v>
      </c>
      <c r="AB147" s="69">
        <f>STATS1003B!AB147/1000</f>
        <v>0</v>
      </c>
    </row>
    <row r="148" spans="1:28" hidden="1" x14ac:dyDescent="0.3">
      <c r="A148" s="117"/>
      <c r="E148" s="86" t="s">
        <v>29</v>
      </c>
      <c r="F148" s="86" t="s">
        <v>29</v>
      </c>
      <c r="G148" s="86" t="s">
        <v>29</v>
      </c>
      <c r="H148" s="86" t="s">
        <v>29</v>
      </c>
      <c r="I148" s="86" t="s">
        <v>29</v>
      </c>
      <c r="J148" s="86" t="s">
        <v>29</v>
      </c>
      <c r="K148" s="86" t="s">
        <v>29</v>
      </c>
      <c r="L148" s="86" t="s">
        <v>29</v>
      </c>
      <c r="M148" s="86" t="s">
        <v>29</v>
      </c>
      <c r="N148" s="86" t="s">
        <v>29</v>
      </c>
      <c r="O148" s="86" t="s">
        <v>29</v>
      </c>
      <c r="P148" s="86" t="s">
        <v>29</v>
      </c>
      <c r="Q148" s="86" t="s">
        <v>29</v>
      </c>
      <c r="R148" s="86" t="s">
        <v>29</v>
      </c>
      <c r="S148" s="86" t="s">
        <v>29</v>
      </c>
      <c r="T148" s="86" t="s">
        <v>29</v>
      </c>
      <c r="U148" s="86" t="s">
        <v>29</v>
      </c>
      <c r="V148" s="86" t="s">
        <v>29</v>
      </c>
      <c r="W148" s="86" t="s">
        <v>29</v>
      </c>
      <c r="X148" s="86" t="s">
        <v>29</v>
      </c>
      <c r="Y148" s="86" t="s">
        <v>29</v>
      </c>
      <c r="Z148" s="86" t="s">
        <v>29</v>
      </c>
      <c r="AA148" s="115" t="s">
        <v>29</v>
      </c>
      <c r="AB148" s="115" t="s">
        <v>29</v>
      </c>
    </row>
    <row r="149" spans="1:28" x14ac:dyDescent="0.3">
      <c r="A149" s="116" t="s">
        <v>940</v>
      </c>
      <c r="B149" s="68" t="s">
        <v>116</v>
      </c>
      <c r="E149" s="85">
        <f>61373956.06/1000</f>
        <v>61373.956060000004</v>
      </c>
      <c r="F149" s="85">
        <f>SUM(F137:F147)</f>
        <v>31420.968529999998</v>
      </c>
      <c r="G149" s="85">
        <f>SUM(G137:G147)</f>
        <v>0</v>
      </c>
      <c r="H149" s="85">
        <f>52521145.98/1000</f>
        <v>52521.145979999994</v>
      </c>
      <c r="I149" s="85">
        <f t="shared" ref="I149:O149" si="17">SUM(I137:I147)</f>
        <v>0</v>
      </c>
      <c r="J149" s="85">
        <f t="shared" si="17"/>
        <v>0</v>
      </c>
      <c r="K149" s="85">
        <f t="shared" si="17"/>
        <v>0</v>
      </c>
      <c r="L149" s="85">
        <f t="shared" si="17"/>
        <v>0</v>
      </c>
      <c r="M149" s="85">
        <f t="shared" si="17"/>
        <v>31420.968529999998</v>
      </c>
      <c r="N149" s="85">
        <f t="shared" si="17"/>
        <v>7136.6787200000008</v>
      </c>
      <c r="O149" s="85">
        <f t="shared" si="17"/>
        <v>0</v>
      </c>
      <c r="P149" s="85">
        <f>7136678.72/1000</f>
        <v>7136.6787199999999</v>
      </c>
      <c r="Q149" s="85">
        <f t="shared" ref="Q149:W149" si="18">SUM(Q137:Q147)</f>
        <v>0</v>
      </c>
      <c r="R149" s="85">
        <f t="shared" si="18"/>
        <v>0</v>
      </c>
      <c r="S149" s="85">
        <f t="shared" si="18"/>
        <v>0</v>
      </c>
      <c r="T149" s="85">
        <f t="shared" si="18"/>
        <v>0</v>
      </c>
      <c r="U149" s="85">
        <f t="shared" si="18"/>
        <v>7136.6787200000008</v>
      </c>
      <c r="V149" s="85">
        <f t="shared" si="18"/>
        <v>34322.537939999995</v>
      </c>
      <c r="W149" s="85">
        <f t="shared" si="18"/>
        <v>1716.1313600000003</v>
      </c>
      <c r="X149" s="85">
        <f>+H149+P149</f>
        <v>59657.824699999997</v>
      </c>
      <c r="Y149" s="85">
        <f>SUM(Y137:Y147)</f>
        <v>0</v>
      </c>
      <c r="Z149" s="85">
        <f>+E149-X149</f>
        <v>1716.1313600000067</v>
      </c>
      <c r="AA149" s="69">
        <f>SUM(AA137:AA147)</f>
        <v>38557.647249999995</v>
      </c>
      <c r="AB149" s="69">
        <f>SUM(AB137:AB147)</f>
        <v>1716.1313600000003</v>
      </c>
    </row>
    <row r="150" spans="1:28" hidden="1" x14ac:dyDescent="0.3">
      <c r="A150" s="117"/>
      <c r="E150" s="86" t="s">
        <v>29</v>
      </c>
      <c r="F150" s="86" t="s">
        <v>29</v>
      </c>
      <c r="G150" s="86" t="s">
        <v>29</v>
      </c>
      <c r="H150" s="86" t="s">
        <v>29</v>
      </c>
      <c r="I150" s="86" t="s">
        <v>29</v>
      </c>
      <c r="J150" s="86" t="s">
        <v>29</v>
      </c>
      <c r="K150" s="86" t="s">
        <v>29</v>
      </c>
      <c r="L150" s="86" t="s">
        <v>29</v>
      </c>
      <c r="M150" s="86" t="s">
        <v>29</v>
      </c>
      <c r="N150" s="86" t="s">
        <v>29</v>
      </c>
      <c r="O150" s="86" t="s">
        <v>29</v>
      </c>
      <c r="P150" s="86" t="s">
        <v>29</v>
      </c>
      <c r="Q150" s="86" t="s">
        <v>29</v>
      </c>
      <c r="R150" s="86" t="s">
        <v>29</v>
      </c>
      <c r="S150" s="86" t="s">
        <v>29</v>
      </c>
      <c r="T150" s="86" t="s">
        <v>29</v>
      </c>
      <c r="U150" s="86" t="s">
        <v>29</v>
      </c>
      <c r="V150" s="86" t="s">
        <v>29</v>
      </c>
      <c r="W150" s="86" t="s">
        <v>29</v>
      </c>
      <c r="X150" s="85" t="e">
        <f t="shared" ref="X150:X213" si="19">+H150+P150</f>
        <v>#VALUE!</v>
      </c>
      <c r="Y150" s="86" t="s">
        <v>29</v>
      </c>
      <c r="Z150" s="86" t="s">
        <v>29</v>
      </c>
      <c r="AA150" s="115" t="s">
        <v>29</v>
      </c>
      <c r="AB150" s="115" t="s">
        <v>29</v>
      </c>
    </row>
    <row r="151" spans="1:28" hidden="1" x14ac:dyDescent="0.3">
      <c r="A151" s="105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5">
        <f t="shared" si="19"/>
        <v>0</v>
      </c>
      <c r="Y151" s="84"/>
      <c r="Z151" s="84"/>
      <c r="AA151" s="118"/>
    </row>
    <row r="152" spans="1:28" hidden="1" x14ac:dyDescent="0.3">
      <c r="A152" s="117"/>
      <c r="C152" s="68" t="s">
        <v>75</v>
      </c>
      <c r="D152" s="88" t="s">
        <v>76</v>
      </c>
      <c r="E152" s="85">
        <f>STATS1003B!E152/1000</f>
        <v>30321</v>
      </c>
      <c r="F152" s="85">
        <f>STATS1003B!F152/1000</f>
        <v>7922.143</v>
      </c>
      <c r="G152" s="85">
        <f>STATS1003B!G152/1000</f>
        <v>0</v>
      </c>
      <c r="H152" s="85">
        <f>STATS1003B!H152/1000</f>
        <v>7922.143</v>
      </c>
      <c r="I152" s="85">
        <f>STATS1003B!I152/1000</f>
        <v>0</v>
      </c>
      <c r="J152" s="85">
        <f>STATS1003B!J152/1000</f>
        <v>0</v>
      </c>
      <c r="K152" s="85">
        <f>STATS1003B!K152/1000</f>
        <v>0</v>
      </c>
      <c r="L152" s="85">
        <f>STATS1003B!L152/1000</f>
        <v>0</v>
      </c>
      <c r="M152" s="85">
        <f>STATS1003B!M152/1000</f>
        <v>7922.143</v>
      </c>
      <c r="N152" s="85">
        <f>STATS1003B!N152/1000</f>
        <v>22180.877920000003</v>
      </c>
      <c r="O152" s="85">
        <f>STATS1003B!O152/1000</f>
        <v>0</v>
      </c>
      <c r="P152" s="85">
        <f>STATS1003B!P152/1000</f>
        <v>22180.877920000003</v>
      </c>
      <c r="Q152" s="85">
        <f>STATS1003B!Q152/1000</f>
        <v>0</v>
      </c>
      <c r="R152" s="85">
        <f>STATS1003B!R152/1000</f>
        <v>0</v>
      </c>
      <c r="S152" s="85">
        <f>STATS1003B!S152/1000</f>
        <v>0</v>
      </c>
      <c r="T152" s="85">
        <f>STATS1003B!T152/1000</f>
        <v>0</v>
      </c>
      <c r="U152" s="85">
        <f>STATS1003B!U152/1000</f>
        <v>22180.877920000003</v>
      </c>
      <c r="V152" s="85">
        <f>STATS1003B!V152/1000</f>
        <v>30103.020920000003</v>
      </c>
      <c r="W152" s="85">
        <f>STATS1003B!W152/1000</f>
        <v>217.97907999999822</v>
      </c>
      <c r="X152" s="85">
        <f t="shared" si="19"/>
        <v>30103.020920000003</v>
      </c>
      <c r="Y152" s="85">
        <f>STATS1003B!Y152/1000</f>
        <v>0</v>
      </c>
      <c r="Z152" s="85">
        <f>STATS1003B!Z152/1000</f>
        <v>217.97907999999822</v>
      </c>
      <c r="AA152" s="69">
        <f>STATS1003B!AA152/1000</f>
        <v>30103.020920000003</v>
      </c>
      <c r="AB152" s="69">
        <f>STATS1003B!AB152/1000</f>
        <v>217.97907999999822</v>
      </c>
    </row>
    <row r="153" spans="1:28" hidden="1" x14ac:dyDescent="0.3">
      <c r="A153" s="117"/>
      <c r="C153" s="68" t="s">
        <v>124</v>
      </c>
      <c r="D153" s="145" t="s">
        <v>125</v>
      </c>
      <c r="E153" s="85">
        <f>STATS1003B!E153/1000</f>
        <v>0</v>
      </c>
      <c r="F153" s="85">
        <f>STATS1003B!F153/1000</f>
        <v>0</v>
      </c>
      <c r="G153" s="85">
        <f>STATS1003B!G153/1000</f>
        <v>0</v>
      </c>
      <c r="H153" s="85">
        <f>STATS1003B!H153/1000</f>
        <v>0</v>
      </c>
      <c r="I153" s="85">
        <f>STATS1003B!I153/1000</f>
        <v>0</v>
      </c>
      <c r="J153" s="85">
        <f>STATS1003B!J153/1000</f>
        <v>0</v>
      </c>
      <c r="K153" s="85">
        <f>STATS1003B!K153/1000</f>
        <v>0</v>
      </c>
      <c r="L153" s="85">
        <f>STATS1003B!L153/1000</f>
        <v>0</v>
      </c>
      <c r="M153" s="85">
        <f>STATS1003B!M153/1000</f>
        <v>0</v>
      </c>
      <c r="N153" s="85">
        <f>STATS1003B!N153/1000</f>
        <v>0</v>
      </c>
      <c r="O153" s="85">
        <f>STATS1003B!O153/1000</f>
        <v>0</v>
      </c>
      <c r="P153" s="85">
        <f>STATS1003B!P153/1000</f>
        <v>0</v>
      </c>
      <c r="Q153" s="85">
        <f>STATS1003B!Q153/1000</f>
        <v>0</v>
      </c>
      <c r="R153" s="85">
        <f>STATS1003B!R153/1000</f>
        <v>0</v>
      </c>
      <c r="S153" s="85">
        <f>STATS1003B!S153/1000</f>
        <v>0</v>
      </c>
      <c r="T153" s="85">
        <f>STATS1003B!T153/1000</f>
        <v>0</v>
      </c>
      <c r="U153" s="85">
        <f>STATS1003B!U153/1000</f>
        <v>0</v>
      </c>
      <c r="V153" s="85">
        <f>STATS1003B!V153/1000</f>
        <v>0</v>
      </c>
      <c r="W153" s="85">
        <f>STATS1003B!W153/1000</f>
        <v>0</v>
      </c>
      <c r="X153" s="85">
        <f t="shared" si="19"/>
        <v>0</v>
      </c>
      <c r="Y153" s="85">
        <f>STATS1003B!Y153/1000</f>
        <v>0</v>
      </c>
      <c r="Z153" s="85">
        <f>STATS1003B!Z153/1000</f>
        <v>0</v>
      </c>
      <c r="AA153" s="69">
        <f>STATS1003B!AA153/1000</f>
        <v>0</v>
      </c>
      <c r="AB153" s="69">
        <f>STATS1003B!AB153/1000</f>
        <v>0</v>
      </c>
    </row>
    <row r="154" spans="1:28" hidden="1" x14ac:dyDescent="0.3">
      <c r="A154" s="117"/>
      <c r="D154" s="71" t="s">
        <v>126</v>
      </c>
      <c r="E154" s="85">
        <f>STATS1003B!E154/1000</f>
        <v>20509.5</v>
      </c>
      <c r="F154" s="85">
        <f>STATS1003B!F154/1000</f>
        <v>18775.664940000002</v>
      </c>
      <c r="G154" s="85">
        <f>STATS1003B!G154/1000</f>
        <v>0</v>
      </c>
      <c r="H154" s="85">
        <f>STATS1003B!H154/1000</f>
        <v>18775.664940000002</v>
      </c>
      <c r="I154" s="85">
        <f>STATS1003B!I154/1000</f>
        <v>0</v>
      </c>
      <c r="J154" s="85">
        <f>STATS1003B!J154/1000</f>
        <v>0</v>
      </c>
      <c r="K154" s="85">
        <f>STATS1003B!K154/1000</f>
        <v>0</v>
      </c>
      <c r="L154" s="85">
        <f>STATS1003B!L154/1000</f>
        <v>0</v>
      </c>
      <c r="M154" s="85">
        <f>STATS1003B!M154/1000</f>
        <v>18775.664940000002</v>
      </c>
      <c r="N154" s="85">
        <f>STATS1003B!N154/1000</f>
        <v>1733.8350600000001</v>
      </c>
      <c r="O154" s="85">
        <f>STATS1003B!O154/1000</f>
        <v>0</v>
      </c>
      <c r="P154" s="85">
        <f>STATS1003B!P154/1000</f>
        <v>1733.8350600000001</v>
      </c>
      <c r="Q154" s="85">
        <f>STATS1003B!Q154/1000</f>
        <v>0</v>
      </c>
      <c r="R154" s="85">
        <f>STATS1003B!R154/1000</f>
        <v>0</v>
      </c>
      <c r="S154" s="85">
        <f>STATS1003B!S154/1000</f>
        <v>0</v>
      </c>
      <c r="T154" s="85">
        <f>STATS1003B!T154/1000</f>
        <v>0</v>
      </c>
      <c r="U154" s="85">
        <f>STATS1003B!U154/1000</f>
        <v>1733.8350600000001</v>
      </c>
      <c r="V154" s="85">
        <f>STATS1003B!V154/1000</f>
        <v>20509.5</v>
      </c>
      <c r="W154" s="85">
        <f>STATS1003B!W154/1000</f>
        <v>0</v>
      </c>
      <c r="X154" s="85">
        <f t="shared" si="19"/>
        <v>20509.500000000004</v>
      </c>
      <c r="Y154" s="85">
        <f>STATS1003B!Y154/1000</f>
        <v>0</v>
      </c>
      <c r="Z154" s="85">
        <f>STATS1003B!Z154/1000</f>
        <v>0</v>
      </c>
      <c r="AA154" s="69">
        <f>STATS1003B!AA154/1000</f>
        <v>20509.5</v>
      </c>
      <c r="AB154" s="69">
        <f>STATS1003B!AB154/1000</f>
        <v>0</v>
      </c>
    </row>
    <row r="155" spans="1:28" hidden="1" x14ac:dyDescent="0.3">
      <c r="A155" s="117"/>
      <c r="C155" s="68" t="s">
        <v>53</v>
      </c>
      <c r="D155" s="145" t="s">
        <v>68</v>
      </c>
      <c r="E155" s="85">
        <f>STATS1003B!E155/1000</f>
        <v>1953.989</v>
      </c>
      <c r="F155" s="85">
        <f>STATS1003B!F155/1000</f>
        <v>0</v>
      </c>
      <c r="G155" s="85">
        <f>STATS1003B!G155/1000</f>
        <v>0</v>
      </c>
      <c r="H155" s="85">
        <f>STATS1003B!H155/1000</f>
        <v>0</v>
      </c>
      <c r="I155" s="85">
        <f>STATS1003B!I155/1000</f>
        <v>0</v>
      </c>
      <c r="J155" s="85">
        <f>STATS1003B!J155/1000</f>
        <v>0</v>
      </c>
      <c r="K155" s="85">
        <f>STATS1003B!K155/1000</f>
        <v>0</v>
      </c>
      <c r="L155" s="85">
        <f>STATS1003B!L155/1000</f>
        <v>0</v>
      </c>
      <c r="M155" s="85">
        <f>STATS1003B!M155/1000</f>
        <v>0</v>
      </c>
      <c r="N155" s="85">
        <f>STATS1003B!N155/1000</f>
        <v>1953.989</v>
      </c>
      <c r="O155" s="85">
        <f>STATS1003B!O155/1000</f>
        <v>0</v>
      </c>
      <c r="P155" s="85">
        <f>STATS1003B!P155/1000</f>
        <v>1953.989</v>
      </c>
      <c r="Q155" s="85">
        <f>STATS1003B!Q155/1000</f>
        <v>0</v>
      </c>
      <c r="R155" s="85">
        <f>STATS1003B!R155/1000</f>
        <v>0</v>
      </c>
      <c r="S155" s="85">
        <f>STATS1003B!S155/1000</f>
        <v>0</v>
      </c>
      <c r="T155" s="85">
        <f>STATS1003B!T155/1000</f>
        <v>0</v>
      </c>
      <c r="U155" s="85">
        <f>STATS1003B!U155/1000</f>
        <v>1953.989</v>
      </c>
      <c r="V155" s="85">
        <f>STATS1003B!V155/1000</f>
        <v>1953.989</v>
      </c>
      <c r="W155" s="85">
        <f>STATS1003B!W155/1000</f>
        <v>0</v>
      </c>
      <c r="X155" s="85">
        <f t="shared" si="19"/>
        <v>1953.989</v>
      </c>
      <c r="Y155" s="85">
        <f>STATS1003B!Y155/1000</f>
        <v>0</v>
      </c>
      <c r="Z155" s="85">
        <f>STATS1003B!Z155/1000</f>
        <v>0</v>
      </c>
      <c r="AA155" s="69">
        <f>STATS1003B!AA155/1000</f>
        <v>1953.989</v>
      </c>
      <c r="AB155" s="69">
        <f>STATS1003B!AB155/1000</f>
        <v>0</v>
      </c>
    </row>
    <row r="156" spans="1:28" hidden="1" x14ac:dyDescent="0.3">
      <c r="A156" s="117"/>
      <c r="C156" s="68" t="s">
        <v>55</v>
      </c>
      <c r="D156" s="145" t="s">
        <v>93</v>
      </c>
      <c r="E156" s="85">
        <f>STATS1003B!E156/1000</f>
        <v>2846.5423999999998</v>
      </c>
      <c r="F156" s="85">
        <f>STATS1003B!F156/1000</f>
        <v>0</v>
      </c>
      <c r="G156" s="85">
        <f>STATS1003B!G156/1000</f>
        <v>0</v>
      </c>
      <c r="H156" s="85">
        <f>STATS1003B!H156/1000</f>
        <v>0</v>
      </c>
      <c r="I156" s="85">
        <f>STATS1003B!I156/1000</f>
        <v>0</v>
      </c>
      <c r="J156" s="85">
        <f>STATS1003B!J156/1000</f>
        <v>0</v>
      </c>
      <c r="K156" s="85">
        <f>STATS1003B!K156/1000</f>
        <v>0</v>
      </c>
      <c r="L156" s="85">
        <f>STATS1003B!L156/1000</f>
        <v>0</v>
      </c>
      <c r="M156" s="85">
        <f>STATS1003B!M156/1000</f>
        <v>0</v>
      </c>
      <c r="N156" s="85">
        <f>STATS1003B!N156/1000</f>
        <v>2846.5423999999998</v>
      </c>
      <c r="O156" s="85">
        <f>STATS1003B!O156/1000</f>
        <v>0</v>
      </c>
      <c r="P156" s="85">
        <f>STATS1003B!P156/1000</f>
        <v>2846.5423999999998</v>
      </c>
      <c r="Q156" s="85">
        <f>STATS1003B!Q156/1000</f>
        <v>0</v>
      </c>
      <c r="R156" s="85">
        <f>STATS1003B!R156/1000</f>
        <v>0</v>
      </c>
      <c r="S156" s="85">
        <f>STATS1003B!S156/1000</f>
        <v>0</v>
      </c>
      <c r="T156" s="85">
        <f>STATS1003B!T156/1000</f>
        <v>0</v>
      </c>
      <c r="U156" s="85">
        <f>STATS1003B!U156/1000</f>
        <v>2846.5423999999998</v>
      </c>
      <c r="V156" s="85">
        <f>STATS1003B!V156/1000</f>
        <v>2846.5423999999998</v>
      </c>
      <c r="W156" s="85">
        <f>STATS1003B!W156/1000</f>
        <v>0</v>
      </c>
      <c r="X156" s="85">
        <f t="shared" si="19"/>
        <v>2846.5423999999998</v>
      </c>
      <c r="Y156" s="85">
        <f>STATS1003B!Y156/1000</f>
        <v>0</v>
      </c>
      <c r="Z156" s="85">
        <f>STATS1003B!Z156/1000</f>
        <v>0</v>
      </c>
      <c r="AA156" s="69">
        <f>STATS1003B!AA156/1000</f>
        <v>2846.5423999999998</v>
      </c>
      <c r="AB156" s="69">
        <f>STATS1003B!AB156/1000</f>
        <v>0</v>
      </c>
    </row>
    <row r="157" spans="1:28" hidden="1" x14ac:dyDescent="0.3">
      <c r="A157" s="117"/>
      <c r="C157" s="68" t="s">
        <v>127</v>
      </c>
      <c r="D157" s="145" t="s">
        <v>128</v>
      </c>
      <c r="E157" s="85">
        <f>STATS1003B!E157/1000</f>
        <v>1200</v>
      </c>
      <c r="F157" s="85">
        <f>STATS1003B!F157/1000</f>
        <v>1200</v>
      </c>
      <c r="G157" s="85">
        <f>STATS1003B!G157/1000</f>
        <v>0</v>
      </c>
      <c r="H157" s="85">
        <f>STATS1003B!H157/1000</f>
        <v>1200</v>
      </c>
      <c r="I157" s="85">
        <f>STATS1003B!I157/1000</f>
        <v>0</v>
      </c>
      <c r="J157" s="85">
        <f>STATS1003B!J157/1000</f>
        <v>0</v>
      </c>
      <c r="K157" s="85">
        <f>STATS1003B!K157/1000</f>
        <v>0</v>
      </c>
      <c r="L157" s="85">
        <f>STATS1003B!L157/1000</f>
        <v>0</v>
      </c>
      <c r="M157" s="85">
        <f>STATS1003B!M157/1000</f>
        <v>1200</v>
      </c>
      <c r="N157" s="85">
        <f>STATS1003B!N157/1000</f>
        <v>0</v>
      </c>
      <c r="O157" s="85">
        <f>STATS1003B!O157/1000</f>
        <v>0</v>
      </c>
      <c r="P157" s="85">
        <f>STATS1003B!P157/1000</f>
        <v>0</v>
      </c>
      <c r="Q157" s="85">
        <f>STATS1003B!Q157/1000</f>
        <v>0</v>
      </c>
      <c r="R157" s="85">
        <f>STATS1003B!R157/1000</f>
        <v>0</v>
      </c>
      <c r="S157" s="85">
        <f>STATS1003B!S157/1000</f>
        <v>0</v>
      </c>
      <c r="T157" s="85">
        <f>STATS1003B!T157/1000</f>
        <v>0</v>
      </c>
      <c r="U157" s="85">
        <f>STATS1003B!U157/1000</f>
        <v>0</v>
      </c>
      <c r="V157" s="85">
        <f>STATS1003B!V157/1000</f>
        <v>1200</v>
      </c>
      <c r="W157" s="85">
        <f>STATS1003B!W157/1000</f>
        <v>0</v>
      </c>
      <c r="X157" s="85">
        <f t="shared" si="19"/>
        <v>1200</v>
      </c>
      <c r="Y157" s="85">
        <f>STATS1003B!Y157/1000</f>
        <v>0</v>
      </c>
      <c r="Z157" s="85">
        <f>STATS1003B!Z157/1000</f>
        <v>0</v>
      </c>
      <c r="AA157" s="69">
        <f>STATS1003B!AA157/1000</f>
        <v>1200</v>
      </c>
      <c r="AB157" s="69">
        <f>STATS1003B!AB157/1000</f>
        <v>0</v>
      </c>
    </row>
    <row r="158" spans="1:28" hidden="1" x14ac:dyDescent="0.3">
      <c r="A158" s="117"/>
      <c r="C158" s="68" t="s">
        <v>932</v>
      </c>
      <c r="D158" s="90" t="s">
        <v>1072</v>
      </c>
      <c r="E158" s="85">
        <f>STATS1003B!E158/1000</f>
        <v>400</v>
      </c>
      <c r="F158" s="85">
        <f>STATS1003B!F158/1000</f>
        <v>400</v>
      </c>
      <c r="G158" s="85">
        <f>STATS1003B!G158/1000</f>
        <v>0</v>
      </c>
      <c r="H158" s="85">
        <f>STATS1003B!H158/1000</f>
        <v>400</v>
      </c>
      <c r="I158" s="85">
        <f>STATS1003B!I158/1000</f>
        <v>0</v>
      </c>
      <c r="J158" s="85">
        <f>STATS1003B!J158/1000</f>
        <v>0</v>
      </c>
      <c r="K158" s="85">
        <f>STATS1003B!K158/1000</f>
        <v>0</v>
      </c>
      <c r="L158" s="85">
        <f>STATS1003B!L158/1000</f>
        <v>0</v>
      </c>
      <c r="M158" s="85">
        <f>STATS1003B!M158/1000</f>
        <v>400</v>
      </c>
      <c r="N158" s="85">
        <f>STATS1003B!N158/1000</f>
        <v>0</v>
      </c>
      <c r="O158" s="85">
        <f>STATS1003B!O158/1000</f>
        <v>0</v>
      </c>
      <c r="P158" s="85">
        <f>STATS1003B!P158/1000</f>
        <v>0</v>
      </c>
      <c r="Q158" s="85">
        <f>STATS1003B!Q158/1000</f>
        <v>0</v>
      </c>
      <c r="R158" s="85">
        <f>STATS1003B!R158/1000</f>
        <v>0</v>
      </c>
      <c r="S158" s="85">
        <f>STATS1003B!S158/1000</f>
        <v>0</v>
      </c>
      <c r="T158" s="85">
        <f>STATS1003B!T158/1000</f>
        <v>0</v>
      </c>
      <c r="U158" s="85">
        <f>STATS1003B!U158/1000</f>
        <v>0</v>
      </c>
      <c r="V158" s="85">
        <f>STATS1003B!V158/1000</f>
        <v>400</v>
      </c>
      <c r="W158" s="85">
        <f>STATS1003B!W158/1000</f>
        <v>0</v>
      </c>
      <c r="X158" s="85">
        <f t="shared" si="19"/>
        <v>400</v>
      </c>
      <c r="Y158" s="85">
        <f>STATS1003B!Y158/1000</f>
        <v>0</v>
      </c>
      <c r="Z158" s="85">
        <f>STATS1003B!Z158/1000</f>
        <v>0</v>
      </c>
      <c r="AA158" s="69">
        <f>STATS1003B!AA158/1000</f>
        <v>400</v>
      </c>
      <c r="AB158" s="69">
        <f>STATS1003B!AB158/1000</f>
        <v>0</v>
      </c>
    </row>
    <row r="159" spans="1:28" hidden="1" x14ac:dyDescent="0.3">
      <c r="A159" s="117"/>
      <c r="C159" s="68" t="s">
        <v>930</v>
      </c>
      <c r="D159" s="90" t="s">
        <v>1072</v>
      </c>
      <c r="E159" s="85">
        <f>STATS1003B!E159/1000</f>
        <v>1155</v>
      </c>
      <c r="F159" s="85">
        <f>STATS1003B!F159/1000</f>
        <v>1155</v>
      </c>
      <c r="G159" s="85">
        <f>STATS1003B!G159/1000</f>
        <v>0</v>
      </c>
      <c r="H159" s="85">
        <f>STATS1003B!H159/1000</f>
        <v>1155</v>
      </c>
      <c r="I159" s="85">
        <f>STATS1003B!I159/1000</f>
        <v>0</v>
      </c>
      <c r="J159" s="85">
        <f>STATS1003B!J159/1000</f>
        <v>0</v>
      </c>
      <c r="K159" s="85">
        <f>STATS1003B!K159/1000</f>
        <v>0</v>
      </c>
      <c r="L159" s="85">
        <f>STATS1003B!L159/1000</f>
        <v>0</v>
      </c>
      <c r="M159" s="85">
        <f>STATS1003B!M159/1000</f>
        <v>1155</v>
      </c>
      <c r="N159" s="85">
        <f>STATS1003B!N159/1000</f>
        <v>0</v>
      </c>
      <c r="O159" s="85">
        <f>STATS1003B!O159/1000</f>
        <v>0</v>
      </c>
      <c r="P159" s="85">
        <f>STATS1003B!P159/1000</f>
        <v>0</v>
      </c>
      <c r="Q159" s="85">
        <f>STATS1003B!Q159/1000</f>
        <v>0</v>
      </c>
      <c r="R159" s="85">
        <f>STATS1003B!R159/1000</f>
        <v>0</v>
      </c>
      <c r="S159" s="85">
        <f>STATS1003B!S159/1000</f>
        <v>0</v>
      </c>
      <c r="T159" s="85">
        <f>STATS1003B!T159/1000</f>
        <v>0</v>
      </c>
      <c r="U159" s="85">
        <f>STATS1003B!U159/1000</f>
        <v>0</v>
      </c>
      <c r="V159" s="85">
        <f>STATS1003B!V159/1000</f>
        <v>1155</v>
      </c>
      <c r="W159" s="85">
        <f>STATS1003B!W159/1000</f>
        <v>0</v>
      </c>
      <c r="X159" s="85">
        <f t="shared" si="19"/>
        <v>1155</v>
      </c>
      <c r="Y159" s="85">
        <f>STATS1003B!Y159/1000</f>
        <v>0</v>
      </c>
      <c r="Z159" s="85">
        <f>STATS1003B!Z159/1000</f>
        <v>0</v>
      </c>
      <c r="AA159" s="69">
        <f>STATS1003B!AA159/1000</f>
        <v>1155</v>
      </c>
      <c r="AB159" s="69">
        <f>STATS1003B!AB159/1000</f>
        <v>0</v>
      </c>
    </row>
    <row r="160" spans="1:28" hidden="1" x14ac:dyDescent="0.3">
      <c r="A160" s="117"/>
      <c r="C160" s="68" t="s">
        <v>1238</v>
      </c>
      <c r="D160" s="90" t="s">
        <v>1225</v>
      </c>
      <c r="E160" s="85">
        <f>STATS1003B!E160/1000</f>
        <v>1000</v>
      </c>
      <c r="F160" s="85">
        <f>STATS1003B!F160/1000</f>
        <v>1000</v>
      </c>
      <c r="G160" s="85">
        <f>STATS1003B!G160/1000</f>
        <v>0</v>
      </c>
      <c r="H160" s="85">
        <f>STATS1003B!H160/1000</f>
        <v>1000</v>
      </c>
      <c r="I160" s="85">
        <f>STATS1003B!I160/1000</f>
        <v>0</v>
      </c>
      <c r="J160" s="85">
        <f>STATS1003B!J160/1000</f>
        <v>0</v>
      </c>
      <c r="K160" s="85">
        <f>STATS1003B!K160/1000</f>
        <v>0</v>
      </c>
      <c r="L160" s="85">
        <f>STATS1003B!L160/1000</f>
        <v>0</v>
      </c>
      <c r="M160" s="85">
        <f>STATS1003B!M160/1000</f>
        <v>1000</v>
      </c>
      <c r="N160" s="85">
        <f>STATS1003B!N160/1000</f>
        <v>0</v>
      </c>
      <c r="O160" s="85">
        <f>STATS1003B!O160/1000</f>
        <v>0</v>
      </c>
      <c r="P160" s="85">
        <f>STATS1003B!P160/1000</f>
        <v>0</v>
      </c>
      <c r="Q160" s="85">
        <f>STATS1003B!Q160/1000</f>
        <v>0</v>
      </c>
      <c r="R160" s="85">
        <f>STATS1003B!R160/1000</f>
        <v>0</v>
      </c>
      <c r="S160" s="85">
        <f>STATS1003B!S160/1000</f>
        <v>0</v>
      </c>
      <c r="T160" s="85">
        <f>STATS1003B!T160/1000</f>
        <v>0</v>
      </c>
      <c r="U160" s="85">
        <f>STATS1003B!U160/1000</f>
        <v>0</v>
      </c>
      <c r="V160" s="85">
        <f>STATS1003B!V160/1000</f>
        <v>1000</v>
      </c>
      <c r="W160" s="85">
        <f>STATS1003B!W160/1000</f>
        <v>0</v>
      </c>
      <c r="X160" s="85">
        <f t="shared" si="19"/>
        <v>1000</v>
      </c>
      <c r="Y160" s="85">
        <f>STATS1003B!Y160/1000</f>
        <v>0</v>
      </c>
      <c r="Z160" s="85">
        <f>STATS1003B!Z160/1000</f>
        <v>0</v>
      </c>
      <c r="AA160" s="69">
        <f>STATS1003B!AA160/1000</f>
        <v>1000</v>
      </c>
      <c r="AB160" s="69">
        <f>STATS1003B!AB160/1000</f>
        <v>0</v>
      </c>
    </row>
    <row r="161" spans="1:28" hidden="1" x14ac:dyDescent="0.3">
      <c r="A161" s="117"/>
      <c r="C161" s="68" t="s">
        <v>57</v>
      </c>
      <c r="D161" s="145" t="s">
        <v>58</v>
      </c>
      <c r="E161" s="85">
        <f>STATS1003B!E161/1000</f>
        <v>5562.73</v>
      </c>
      <c r="F161" s="85">
        <f>STATS1003B!F161/1000</f>
        <v>5562.73</v>
      </c>
      <c r="G161" s="85">
        <f>STATS1003B!G161/1000</f>
        <v>0</v>
      </c>
      <c r="H161" s="85">
        <f>STATS1003B!H161/1000</f>
        <v>5562.73</v>
      </c>
      <c r="I161" s="85">
        <f>STATS1003B!I161/1000</f>
        <v>0</v>
      </c>
      <c r="J161" s="85">
        <f>STATS1003B!J161/1000</f>
        <v>0</v>
      </c>
      <c r="K161" s="85">
        <f>STATS1003B!K161/1000</f>
        <v>0</v>
      </c>
      <c r="L161" s="85">
        <f>STATS1003B!L161/1000</f>
        <v>0</v>
      </c>
      <c r="M161" s="85">
        <f>STATS1003B!M161/1000</f>
        <v>5562.73</v>
      </c>
      <c r="N161" s="85">
        <f>STATS1003B!N161/1000</f>
        <v>0</v>
      </c>
      <c r="O161" s="85">
        <f>STATS1003B!O161/1000</f>
        <v>0</v>
      </c>
      <c r="P161" s="85">
        <f>STATS1003B!P161/1000</f>
        <v>0</v>
      </c>
      <c r="Q161" s="85">
        <f>STATS1003B!Q161/1000</f>
        <v>0</v>
      </c>
      <c r="R161" s="85">
        <f>STATS1003B!R161/1000</f>
        <v>0</v>
      </c>
      <c r="S161" s="85">
        <f>STATS1003B!S161/1000</f>
        <v>0</v>
      </c>
      <c r="T161" s="85">
        <f>STATS1003B!T161/1000</f>
        <v>0</v>
      </c>
      <c r="U161" s="85">
        <f>STATS1003B!U161/1000</f>
        <v>0</v>
      </c>
      <c r="V161" s="85">
        <f>STATS1003B!V161/1000</f>
        <v>5562.73</v>
      </c>
      <c r="W161" s="85">
        <f>STATS1003B!W161/1000</f>
        <v>0</v>
      </c>
      <c r="X161" s="85">
        <f t="shared" si="19"/>
        <v>5562.73</v>
      </c>
      <c r="Y161" s="85">
        <f>STATS1003B!Y161/1000</f>
        <v>0</v>
      </c>
      <c r="Z161" s="85">
        <f>STATS1003B!Z161/1000</f>
        <v>0</v>
      </c>
      <c r="AA161" s="69">
        <f>STATS1003B!AA161/1000</f>
        <v>5562.73</v>
      </c>
      <c r="AB161" s="69">
        <f>STATS1003B!AB161/1000</f>
        <v>0</v>
      </c>
    </row>
    <row r="162" spans="1:28" hidden="1" x14ac:dyDescent="0.3">
      <c r="A162" s="117"/>
      <c r="C162" s="68" t="s">
        <v>57</v>
      </c>
      <c r="D162" s="145" t="s">
        <v>60</v>
      </c>
      <c r="E162" s="85">
        <f>STATS1003B!E162/1000</f>
        <v>6942.41</v>
      </c>
      <c r="F162" s="85">
        <f>STATS1003B!F162/1000</f>
        <v>6942.41</v>
      </c>
      <c r="G162" s="85">
        <f>STATS1003B!G162/1000</f>
        <v>0</v>
      </c>
      <c r="H162" s="85">
        <f>STATS1003B!H162/1000</f>
        <v>6942.41</v>
      </c>
      <c r="I162" s="85">
        <f>STATS1003B!I162/1000</f>
        <v>0</v>
      </c>
      <c r="J162" s="85">
        <f>STATS1003B!J162/1000</f>
        <v>0</v>
      </c>
      <c r="K162" s="85">
        <f>STATS1003B!K162/1000</f>
        <v>0</v>
      </c>
      <c r="L162" s="85">
        <f>STATS1003B!L162/1000</f>
        <v>0</v>
      </c>
      <c r="M162" s="85">
        <f>STATS1003B!M162/1000</f>
        <v>6942.41</v>
      </c>
      <c r="N162" s="85">
        <f>STATS1003B!N162/1000</f>
        <v>0</v>
      </c>
      <c r="O162" s="85">
        <f>STATS1003B!O162/1000</f>
        <v>0</v>
      </c>
      <c r="P162" s="85">
        <f>STATS1003B!P162/1000</f>
        <v>0</v>
      </c>
      <c r="Q162" s="85">
        <f>STATS1003B!Q162/1000</f>
        <v>0</v>
      </c>
      <c r="R162" s="85">
        <f>STATS1003B!R162/1000</f>
        <v>0</v>
      </c>
      <c r="S162" s="85">
        <f>STATS1003B!S162/1000</f>
        <v>0</v>
      </c>
      <c r="T162" s="85">
        <f>STATS1003B!T162/1000</f>
        <v>0</v>
      </c>
      <c r="U162" s="85">
        <f>STATS1003B!U162/1000</f>
        <v>0</v>
      </c>
      <c r="V162" s="85">
        <f>STATS1003B!V162/1000</f>
        <v>6942.41</v>
      </c>
      <c r="W162" s="85">
        <f>STATS1003B!W162/1000</f>
        <v>0</v>
      </c>
      <c r="X162" s="85">
        <f t="shared" si="19"/>
        <v>6942.41</v>
      </c>
      <c r="Y162" s="85">
        <f>STATS1003B!Y162/1000</f>
        <v>0</v>
      </c>
      <c r="Z162" s="85">
        <f>STATS1003B!Z162/1000</f>
        <v>0</v>
      </c>
      <c r="AA162" s="69">
        <f>STATS1003B!AA162/1000</f>
        <v>6942.41</v>
      </c>
      <c r="AB162" s="69">
        <f>STATS1003B!AB162/1000</f>
        <v>0</v>
      </c>
    </row>
    <row r="163" spans="1:28" hidden="1" x14ac:dyDescent="0.3">
      <c r="A163" s="117"/>
      <c r="C163" s="71" t="s">
        <v>109</v>
      </c>
      <c r="D163" s="88" t="s">
        <v>60</v>
      </c>
      <c r="E163" s="85">
        <f>STATS1003B!E163/1000</f>
        <v>5000</v>
      </c>
      <c r="F163" s="85">
        <f>STATS1003B!F163/1000</f>
        <v>5000</v>
      </c>
      <c r="G163" s="85">
        <f>STATS1003B!G163/1000</f>
        <v>0</v>
      </c>
      <c r="H163" s="85">
        <f>STATS1003B!H163/1000</f>
        <v>5000</v>
      </c>
      <c r="I163" s="85">
        <f>STATS1003B!I163/1000</f>
        <v>0</v>
      </c>
      <c r="J163" s="85">
        <f>STATS1003B!J163/1000</f>
        <v>0</v>
      </c>
      <c r="K163" s="85">
        <f>STATS1003B!K163/1000</f>
        <v>0</v>
      </c>
      <c r="L163" s="85">
        <f>STATS1003B!L163/1000</f>
        <v>0</v>
      </c>
      <c r="M163" s="85">
        <f>STATS1003B!M163/1000</f>
        <v>5000</v>
      </c>
      <c r="N163" s="85">
        <f>STATS1003B!N163/1000</f>
        <v>0</v>
      </c>
      <c r="O163" s="85">
        <f>STATS1003B!O163/1000</f>
        <v>0</v>
      </c>
      <c r="P163" s="85">
        <f>STATS1003B!P163/1000</f>
        <v>0</v>
      </c>
      <c r="Q163" s="85">
        <f>STATS1003B!Q163/1000</f>
        <v>0</v>
      </c>
      <c r="R163" s="85">
        <f>STATS1003B!R163/1000</f>
        <v>0</v>
      </c>
      <c r="S163" s="85">
        <f>STATS1003B!S163/1000</f>
        <v>0</v>
      </c>
      <c r="T163" s="85">
        <f>STATS1003B!T163/1000</f>
        <v>0</v>
      </c>
      <c r="U163" s="85">
        <f>STATS1003B!U163/1000</f>
        <v>0</v>
      </c>
      <c r="V163" s="85">
        <f>STATS1003B!V163/1000</f>
        <v>5000</v>
      </c>
      <c r="W163" s="85">
        <f>STATS1003B!W163/1000</f>
        <v>0</v>
      </c>
      <c r="X163" s="85">
        <f t="shared" si="19"/>
        <v>5000</v>
      </c>
      <c r="Y163" s="85">
        <f>STATS1003B!Y163/1000</f>
        <v>0</v>
      </c>
      <c r="Z163" s="85">
        <f>STATS1003B!Z163/1000</f>
        <v>0</v>
      </c>
      <c r="AA163" s="69">
        <f>STATS1003B!AA163/1000</f>
        <v>5000</v>
      </c>
      <c r="AB163" s="69">
        <f>STATS1003B!AB163/1000</f>
        <v>0</v>
      </c>
    </row>
    <row r="164" spans="1:28" hidden="1" x14ac:dyDescent="0.3">
      <c r="A164" s="117"/>
      <c r="C164" s="68" t="s">
        <v>57</v>
      </c>
      <c r="D164" s="89" t="s">
        <v>61</v>
      </c>
      <c r="E164" s="85">
        <f>STATS1003B!E164/1000</f>
        <v>704.42246</v>
      </c>
      <c r="F164" s="85">
        <f>STATS1003B!F164/1000</f>
        <v>704.42246</v>
      </c>
      <c r="G164" s="85">
        <f>STATS1003B!G164/1000</f>
        <v>0</v>
      </c>
      <c r="H164" s="85">
        <f>STATS1003B!H164/1000</f>
        <v>704.42246</v>
      </c>
      <c r="I164" s="85">
        <f>STATS1003B!I164/1000</f>
        <v>0</v>
      </c>
      <c r="J164" s="85">
        <f>STATS1003B!J164/1000</f>
        <v>0</v>
      </c>
      <c r="K164" s="85">
        <f>STATS1003B!K164/1000</f>
        <v>0</v>
      </c>
      <c r="L164" s="85">
        <f>STATS1003B!L164/1000</f>
        <v>0</v>
      </c>
      <c r="M164" s="85">
        <f>STATS1003B!M164/1000</f>
        <v>704.42246</v>
      </c>
      <c r="N164" s="85">
        <f>STATS1003B!N164/1000</f>
        <v>0</v>
      </c>
      <c r="O164" s="85">
        <f>STATS1003B!O164/1000</f>
        <v>0</v>
      </c>
      <c r="P164" s="85">
        <f>STATS1003B!P164/1000</f>
        <v>0</v>
      </c>
      <c r="Q164" s="85">
        <f>STATS1003B!Q164/1000</f>
        <v>0</v>
      </c>
      <c r="R164" s="85">
        <f>STATS1003B!R164/1000</f>
        <v>0</v>
      </c>
      <c r="S164" s="85">
        <f>STATS1003B!S164/1000</f>
        <v>0</v>
      </c>
      <c r="T164" s="85">
        <f>STATS1003B!T164/1000</f>
        <v>0</v>
      </c>
      <c r="U164" s="85">
        <f>STATS1003B!U164/1000</f>
        <v>0</v>
      </c>
      <c r="V164" s="85">
        <f>STATS1003B!V164/1000</f>
        <v>704.42246</v>
      </c>
      <c r="W164" s="85">
        <f>STATS1003B!W164/1000</f>
        <v>0</v>
      </c>
      <c r="X164" s="85">
        <f t="shared" si="19"/>
        <v>704.42246</v>
      </c>
      <c r="Y164" s="85">
        <f>STATS1003B!Y164/1000</f>
        <v>0</v>
      </c>
      <c r="Z164" s="85">
        <f>STATS1003B!Z164/1000</f>
        <v>0</v>
      </c>
      <c r="AA164" s="69">
        <f>STATS1003B!AA164/1000</f>
        <v>704.42246</v>
      </c>
      <c r="AB164" s="69">
        <f>STATS1003B!AB164/1000</f>
        <v>0</v>
      </c>
    </row>
    <row r="165" spans="1:28" hidden="1" x14ac:dyDescent="0.3">
      <c r="A165" s="117"/>
      <c r="E165" s="86" t="s">
        <v>29</v>
      </c>
      <c r="F165" s="86" t="s">
        <v>29</v>
      </c>
      <c r="G165" s="86" t="s">
        <v>29</v>
      </c>
      <c r="H165" s="86" t="s">
        <v>29</v>
      </c>
      <c r="I165" s="86" t="s">
        <v>29</v>
      </c>
      <c r="J165" s="86" t="s">
        <v>29</v>
      </c>
      <c r="K165" s="86" t="s">
        <v>29</v>
      </c>
      <c r="L165" s="86" t="s">
        <v>29</v>
      </c>
      <c r="M165" s="86" t="s">
        <v>29</v>
      </c>
      <c r="N165" s="86" t="s">
        <v>29</v>
      </c>
      <c r="O165" s="86" t="s">
        <v>29</v>
      </c>
      <c r="P165" s="86" t="s">
        <v>29</v>
      </c>
      <c r="Q165" s="86" t="s">
        <v>29</v>
      </c>
      <c r="R165" s="86" t="s">
        <v>29</v>
      </c>
      <c r="S165" s="86" t="s">
        <v>29</v>
      </c>
      <c r="T165" s="86" t="s">
        <v>29</v>
      </c>
      <c r="U165" s="86" t="s">
        <v>29</v>
      </c>
      <c r="V165" s="86" t="s">
        <v>29</v>
      </c>
      <c r="W165" s="86" t="s">
        <v>29</v>
      </c>
      <c r="X165" s="85" t="e">
        <f t="shared" si="19"/>
        <v>#VALUE!</v>
      </c>
      <c r="Y165" s="86" t="s">
        <v>29</v>
      </c>
      <c r="Z165" s="86" t="s">
        <v>29</v>
      </c>
      <c r="AA165" s="115" t="s">
        <v>29</v>
      </c>
      <c r="AB165" s="115" t="s">
        <v>29</v>
      </c>
    </row>
    <row r="166" spans="1:28" x14ac:dyDescent="0.3">
      <c r="A166" s="116" t="s">
        <v>941</v>
      </c>
      <c r="B166" s="68" t="s">
        <v>123</v>
      </c>
      <c r="E166" s="85">
        <f>179603625.96/1000</f>
        <v>179603.62596</v>
      </c>
      <c r="F166" s="85">
        <f>SUM(F152:F164)</f>
        <v>48662.3704</v>
      </c>
      <c r="G166" s="85">
        <f>SUM(G152:G164)</f>
        <v>0</v>
      </c>
      <c r="H166" s="85">
        <f>150670402.5/1000</f>
        <v>150670.4025</v>
      </c>
      <c r="I166" s="85">
        <f t="shared" ref="I166:O166" si="20">SUM(I152:I164)</f>
        <v>0</v>
      </c>
      <c r="J166" s="85">
        <f t="shared" si="20"/>
        <v>0</v>
      </c>
      <c r="K166" s="85">
        <f t="shared" si="20"/>
        <v>0</v>
      </c>
      <c r="L166" s="85">
        <f t="shared" si="20"/>
        <v>0</v>
      </c>
      <c r="M166" s="85">
        <f t="shared" si="20"/>
        <v>48662.3704</v>
      </c>
      <c r="N166" s="85">
        <f t="shared" si="20"/>
        <v>28715.244380000004</v>
      </c>
      <c r="O166" s="85">
        <f t="shared" si="20"/>
        <v>0</v>
      </c>
      <c r="P166" s="85">
        <f>28715244/1000</f>
        <v>28715.243999999999</v>
      </c>
      <c r="Q166" s="85">
        <f t="shared" ref="Q166:W166" si="21">SUM(Q152:Q164)</f>
        <v>0</v>
      </c>
      <c r="R166" s="85">
        <f t="shared" si="21"/>
        <v>0</v>
      </c>
      <c r="S166" s="85">
        <f t="shared" si="21"/>
        <v>0</v>
      </c>
      <c r="T166" s="85">
        <f t="shared" si="21"/>
        <v>0</v>
      </c>
      <c r="U166" s="85">
        <f t="shared" si="21"/>
        <v>28715.244380000004</v>
      </c>
      <c r="V166" s="85">
        <f t="shared" si="21"/>
        <v>77377.614780000004</v>
      </c>
      <c r="W166" s="85">
        <f t="shared" si="21"/>
        <v>217.97907999999822</v>
      </c>
      <c r="X166" s="85">
        <f>+H166+P166</f>
        <v>179385.6465</v>
      </c>
      <c r="Y166" s="85">
        <f>SUM(Y152:Y164)</f>
        <v>0</v>
      </c>
      <c r="Z166" s="85">
        <f>+E166-X166</f>
        <v>217.97946000000229</v>
      </c>
      <c r="AA166" s="69">
        <f>SUM(AA152:AA164)</f>
        <v>77377.614780000004</v>
      </c>
      <c r="AB166" s="69">
        <f>SUM(AB152:AB164)</f>
        <v>217.97907999999822</v>
      </c>
    </row>
    <row r="167" spans="1:28" hidden="1" x14ac:dyDescent="0.3">
      <c r="A167" s="117"/>
      <c r="E167" s="86" t="s">
        <v>29</v>
      </c>
      <c r="F167" s="86" t="s">
        <v>29</v>
      </c>
      <c r="G167" s="86" t="s">
        <v>29</v>
      </c>
      <c r="H167" s="86" t="s">
        <v>29</v>
      </c>
      <c r="I167" s="86" t="s">
        <v>29</v>
      </c>
      <c r="J167" s="86" t="s">
        <v>29</v>
      </c>
      <c r="K167" s="86" t="s">
        <v>29</v>
      </c>
      <c r="L167" s="86" t="s">
        <v>29</v>
      </c>
      <c r="M167" s="86" t="s">
        <v>29</v>
      </c>
      <c r="N167" s="86" t="s">
        <v>29</v>
      </c>
      <c r="O167" s="86" t="s">
        <v>29</v>
      </c>
      <c r="P167" s="86" t="s">
        <v>29</v>
      </c>
      <c r="Q167" s="86" t="s">
        <v>29</v>
      </c>
      <c r="R167" s="86" t="s">
        <v>29</v>
      </c>
      <c r="S167" s="86" t="s">
        <v>29</v>
      </c>
      <c r="T167" s="86" t="s">
        <v>29</v>
      </c>
      <c r="U167" s="86" t="s">
        <v>29</v>
      </c>
      <c r="V167" s="86" t="s">
        <v>29</v>
      </c>
      <c r="W167" s="86" t="s">
        <v>29</v>
      </c>
      <c r="X167" s="85" t="e">
        <f t="shared" si="19"/>
        <v>#VALUE!</v>
      </c>
      <c r="Y167" s="86" t="s">
        <v>29</v>
      </c>
      <c r="Z167" s="85" t="e">
        <f t="shared" ref="Z167:Z230" si="22">+E167-X167</f>
        <v>#VALUE!</v>
      </c>
      <c r="AA167" s="115" t="s">
        <v>29</v>
      </c>
      <c r="AB167" s="115" t="s">
        <v>29</v>
      </c>
    </row>
    <row r="168" spans="1:28" hidden="1" x14ac:dyDescent="0.3">
      <c r="A168" s="117"/>
      <c r="E168" s="85">
        <v>71393761.400000006</v>
      </c>
      <c r="F168" s="85">
        <v>42460537.939999998</v>
      </c>
      <c r="G168" s="85"/>
      <c r="H168" s="85">
        <v>42460537.939999998</v>
      </c>
      <c r="I168" s="85"/>
      <c r="J168" s="85"/>
      <c r="K168" s="85"/>
      <c r="L168" s="85"/>
      <c r="M168" s="85">
        <v>42460537.939999998</v>
      </c>
      <c r="N168" s="85">
        <v>28715244.379999999</v>
      </c>
      <c r="O168" s="85"/>
      <c r="P168" s="85">
        <v>28715244.379999999</v>
      </c>
      <c r="Q168" s="85"/>
      <c r="R168" s="85"/>
      <c r="S168" s="85"/>
      <c r="T168" s="85"/>
      <c r="U168" s="85">
        <v>28715244.379999999</v>
      </c>
      <c r="V168" s="85"/>
      <c r="W168" s="85"/>
      <c r="X168" s="85">
        <f t="shared" si="19"/>
        <v>71175782.319999993</v>
      </c>
      <c r="Y168" s="85"/>
      <c r="Z168" s="85">
        <f t="shared" si="22"/>
        <v>217979.08000001311</v>
      </c>
      <c r="AA168" s="118"/>
    </row>
    <row r="169" spans="1:28" hidden="1" x14ac:dyDescent="0.3">
      <c r="A169" s="105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5">
        <f t="shared" si="19"/>
        <v>0</v>
      </c>
      <c r="Y169" s="84"/>
      <c r="Z169" s="85">
        <f t="shared" si="22"/>
        <v>0</v>
      </c>
    </row>
    <row r="170" spans="1:28" hidden="1" x14ac:dyDescent="0.3">
      <c r="A170" s="117"/>
      <c r="D170" s="145" t="s">
        <v>64</v>
      </c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5">
        <f t="shared" si="19"/>
        <v>0</v>
      </c>
      <c r="Y170" s="84"/>
      <c r="Z170" s="85">
        <f t="shared" si="22"/>
        <v>0</v>
      </c>
    </row>
    <row r="171" spans="1:28" hidden="1" x14ac:dyDescent="0.3">
      <c r="A171" s="117"/>
      <c r="C171" s="68" t="s">
        <v>130</v>
      </c>
      <c r="D171" s="71" t="s">
        <v>131</v>
      </c>
      <c r="E171" s="85">
        <f>STATS1003B!E171/1000</f>
        <v>29982.042719999998</v>
      </c>
      <c r="F171" s="85">
        <f>STATS1003B!F171/1000</f>
        <v>27295.999899999999</v>
      </c>
      <c r="G171" s="85">
        <f>STATS1003B!G171/1000</f>
        <v>0</v>
      </c>
      <c r="H171" s="85">
        <f>STATS1003B!H171/1000</f>
        <v>27295.999899999999</v>
      </c>
      <c r="I171" s="85">
        <f>STATS1003B!I171/1000</f>
        <v>0</v>
      </c>
      <c r="J171" s="85">
        <f>STATS1003B!J171/1000</f>
        <v>0</v>
      </c>
      <c r="K171" s="85">
        <f>STATS1003B!K171/1000</f>
        <v>0</v>
      </c>
      <c r="L171" s="85">
        <f>STATS1003B!L171/1000</f>
        <v>0</v>
      </c>
      <c r="M171" s="85">
        <f>STATS1003B!M171/1000</f>
        <v>27295.999899999999</v>
      </c>
      <c r="N171" s="85">
        <f>STATS1003B!N171/1000</f>
        <v>2686.0428200000001</v>
      </c>
      <c r="O171" s="85">
        <f>STATS1003B!O171/1000</f>
        <v>0</v>
      </c>
      <c r="P171" s="85">
        <f>STATS1003B!P171/1000</f>
        <v>2686.0428200000001</v>
      </c>
      <c r="Q171" s="85">
        <f>STATS1003B!Q171/1000</f>
        <v>0</v>
      </c>
      <c r="R171" s="85">
        <f>STATS1003B!R171/1000</f>
        <v>0</v>
      </c>
      <c r="S171" s="85">
        <f>STATS1003B!S171/1000</f>
        <v>0</v>
      </c>
      <c r="T171" s="85">
        <f>STATS1003B!T171/1000</f>
        <v>0</v>
      </c>
      <c r="U171" s="85">
        <f>STATS1003B!U171/1000</f>
        <v>2686.0428200000001</v>
      </c>
      <c r="V171" s="85">
        <f>STATS1003B!V171/1000</f>
        <v>29982.042719999998</v>
      </c>
      <c r="W171" s="85">
        <f>STATS1003B!W171/1000</f>
        <v>0</v>
      </c>
      <c r="X171" s="85">
        <f t="shared" si="19"/>
        <v>29982.042719999998</v>
      </c>
      <c r="Y171" s="85">
        <f>STATS1003B!Y171/1000</f>
        <v>0</v>
      </c>
      <c r="Z171" s="85">
        <f t="shared" si="22"/>
        <v>0</v>
      </c>
      <c r="AA171" s="69">
        <f>STATS1003B!AA171/1000</f>
        <v>29982.042719999998</v>
      </c>
      <c r="AB171" s="69">
        <f>STATS1003B!AB171/1000</f>
        <v>0</v>
      </c>
    </row>
    <row r="172" spans="1:28" hidden="1" x14ac:dyDescent="0.3">
      <c r="A172" s="117"/>
      <c r="C172" s="68" t="s">
        <v>132</v>
      </c>
      <c r="D172" s="145" t="s">
        <v>68</v>
      </c>
      <c r="E172" s="85">
        <f>STATS1003B!E172/1000</f>
        <v>770</v>
      </c>
      <c r="F172" s="85">
        <f>STATS1003B!F172/1000</f>
        <v>770</v>
      </c>
      <c r="G172" s="85">
        <f>STATS1003B!G172/1000</f>
        <v>0</v>
      </c>
      <c r="H172" s="85">
        <f>STATS1003B!H172/1000</f>
        <v>770</v>
      </c>
      <c r="I172" s="85">
        <f>STATS1003B!I172/1000</f>
        <v>0</v>
      </c>
      <c r="J172" s="85">
        <f>STATS1003B!J172/1000</f>
        <v>0</v>
      </c>
      <c r="K172" s="85">
        <f>STATS1003B!K172/1000</f>
        <v>0</v>
      </c>
      <c r="L172" s="85">
        <f>STATS1003B!L172/1000</f>
        <v>0</v>
      </c>
      <c r="M172" s="85">
        <f>STATS1003B!M172/1000</f>
        <v>770</v>
      </c>
      <c r="N172" s="85">
        <f>STATS1003B!N172/1000</f>
        <v>0</v>
      </c>
      <c r="O172" s="85">
        <f>STATS1003B!O172/1000</f>
        <v>0</v>
      </c>
      <c r="P172" s="85">
        <f>STATS1003B!P172/1000</f>
        <v>0</v>
      </c>
      <c r="Q172" s="85">
        <f>STATS1003B!Q172/1000</f>
        <v>0</v>
      </c>
      <c r="R172" s="85">
        <f>STATS1003B!R172/1000</f>
        <v>0</v>
      </c>
      <c r="S172" s="85">
        <f>STATS1003B!S172/1000</f>
        <v>0</v>
      </c>
      <c r="T172" s="85">
        <f>STATS1003B!T172/1000</f>
        <v>0</v>
      </c>
      <c r="U172" s="85">
        <f>STATS1003B!U172/1000</f>
        <v>0</v>
      </c>
      <c r="V172" s="85">
        <f>STATS1003B!V172/1000</f>
        <v>770</v>
      </c>
      <c r="W172" s="85">
        <f>STATS1003B!W172/1000</f>
        <v>0</v>
      </c>
      <c r="X172" s="85">
        <f t="shared" si="19"/>
        <v>770</v>
      </c>
      <c r="Y172" s="85">
        <f>STATS1003B!Y172/1000</f>
        <v>0</v>
      </c>
      <c r="Z172" s="85">
        <f t="shared" si="22"/>
        <v>0</v>
      </c>
      <c r="AA172" s="69">
        <f>STATS1003B!AA172/1000</f>
        <v>770</v>
      </c>
      <c r="AB172" s="69">
        <f>STATS1003B!AB172/1000</f>
        <v>0</v>
      </c>
    </row>
    <row r="173" spans="1:28" hidden="1" x14ac:dyDescent="0.3">
      <c r="A173" s="117"/>
      <c r="C173" s="68" t="s">
        <v>55</v>
      </c>
      <c r="D173" s="145" t="s">
        <v>68</v>
      </c>
      <c r="E173" s="85">
        <f>STATS1003B!E173/1000</f>
        <v>3139.1705000000002</v>
      </c>
      <c r="F173" s="85">
        <f>STATS1003B!F173/1000</f>
        <v>0</v>
      </c>
      <c r="G173" s="85">
        <f>STATS1003B!G173/1000</f>
        <v>0</v>
      </c>
      <c r="H173" s="85">
        <f>STATS1003B!H173/1000</f>
        <v>0</v>
      </c>
      <c r="I173" s="85">
        <f>STATS1003B!I173/1000</f>
        <v>0</v>
      </c>
      <c r="J173" s="85">
        <f>STATS1003B!J173/1000</f>
        <v>0</v>
      </c>
      <c r="K173" s="85">
        <f>STATS1003B!K173/1000</f>
        <v>0</v>
      </c>
      <c r="L173" s="85">
        <f>STATS1003B!L173/1000</f>
        <v>0</v>
      </c>
      <c r="M173" s="85">
        <f>STATS1003B!M173/1000</f>
        <v>0</v>
      </c>
      <c r="N173" s="85">
        <f>STATS1003B!N173/1000</f>
        <v>3139.1705000000002</v>
      </c>
      <c r="O173" s="85">
        <f>STATS1003B!O173/1000</f>
        <v>0</v>
      </c>
      <c r="P173" s="85">
        <f>STATS1003B!P173/1000</f>
        <v>3139.1705000000002</v>
      </c>
      <c r="Q173" s="85">
        <f>STATS1003B!Q173/1000</f>
        <v>0</v>
      </c>
      <c r="R173" s="85">
        <f>STATS1003B!R173/1000</f>
        <v>0</v>
      </c>
      <c r="S173" s="85">
        <f>STATS1003B!S173/1000</f>
        <v>0</v>
      </c>
      <c r="T173" s="85">
        <f>STATS1003B!T173/1000</f>
        <v>0</v>
      </c>
      <c r="U173" s="85">
        <f>STATS1003B!U173/1000</f>
        <v>3139.1705000000002</v>
      </c>
      <c r="V173" s="85">
        <f>STATS1003B!V173/1000</f>
        <v>3139.1705000000002</v>
      </c>
      <c r="W173" s="85">
        <f>STATS1003B!W173/1000</f>
        <v>0</v>
      </c>
      <c r="X173" s="85">
        <f t="shared" si="19"/>
        <v>3139.1705000000002</v>
      </c>
      <c r="Y173" s="85">
        <f>STATS1003B!Y173/1000</f>
        <v>0</v>
      </c>
      <c r="Z173" s="85">
        <f t="shared" si="22"/>
        <v>0</v>
      </c>
      <c r="AA173" s="69">
        <f>STATS1003B!AA173/1000</f>
        <v>3139.1705000000002</v>
      </c>
      <c r="AB173" s="69">
        <f>STATS1003B!AB173/1000</f>
        <v>0</v>
      </c>
    </row>
    <row r="174" spans="1:28" hidden="1" x14ac:dyDescent="0.3">
      <c r="A174" s="117"/>
      <c r="C174" s="68" t="s">
        <v>53</v>
      </c>
      <c r="D174" s="145" t="s">
        <v>54</v>
      </c>
      <c r="E174" s="85">
        <f>STATS1003B!E174/1000</f>
        <v>1767.77</v>
      </c>
      <c r="F174" s="85">
        <f>STATS1003B!F174/1000</f>
        <v>0</v>
      </c>
      <c r="G174" s="85">
        <f>STATS1003B!G174/1000</f>
        <v>0</v>
      </c>
      <c r="H174" s="85">
        <f>STATS1003B!H174/1000</f>
        <v>0</v>
      </c>
      <c r="I174" s="85">
        <f>STATS1003B!I174/1000</f>
        <v>0</v>
      </c>
      <c r="J174" s="85">
        <f>STATS1003B!J174/1000</f>
        <v>0</v>
      </c>
      <c r="K174" s="85">
        <f>STATS1003B!K174/1000</f>
        <v>0</v>
      </c>
      <c r="L174" s="85">
        <f>STATS1003B!L174/1000</f>
        <v>0</v>
      </c>
      <c r="M174" s="85">
        <f>STATS1003B!M174/1000</f>
        <v>0</v>
      </c>
      <c r="N174" s="85">
        <f>STATS1003B!N174/1000</f>
        <v>1767.77</v>
      </c>
      <c r="O174" s="85">
        <f>STATS1003B!O174/1000</f>
        <v>0</v>
      </c>
      <c r="P174" s="85">
        <f>STATS1003B!P174/1000</f>
        <v>1767.77</v>
      </c>
      <c r="Q174" s="85">
        <f>STATS1003B!Q174/1000</f>
        <v>0</v>
      </c>
      <c r="R174" s="85">
        <f>STATS1003B!R174/1000</f>
        <v>0</v>
      </c>
      <c r="S174" s="85">
        <f>STATS1003B!S174/1000</f>
        <v>0</v>
      </c>
      <c r="T174" s="85">
        <f>STATS1003B!T174/1000</f>
        <v>0</v>
      </c>
      <c r="U174" s="85">
        <f>STATS1003B!U174/1000</f>
        <v>1767.77</v>
      </c>
      <c r="V174" s="85">
        <f>STATS1003B!V174/1000</f>
        <v>1767.77</v>
      </c>
      <c r="W174" s="85">
        <f>STATS1003B!W174/1000</f>
        <v>0</v>
      </c>
      <c r="X174" s="85">
        <f t="shared" si="19"/>
        <v>1767.77</v>
      </c>
      <c r="Y174" s="85">
        <f>STATS1003B!Y174/1000</f>
        <v>0</v>
      </c>
      <c r="Z174" s="85">
        <f t="shared" si="22"/>
        <v>0</v>
      </c>
      <c r="AA174" s="69">
        <f>STATS1003B!AA174/1000</f>
        <v>1767.77</v>
      </c>
      <c r="AB174" s="69">
        <f>STATS1003B!AB174/1000</f>
        <v>0</v>
      </c>
    </row>
    <row r="175" spans="1:28" hidden="1" x14ac:dyDescent="0.3">
      <c r="A175" s="117"/>
      <c r="C175" s="68" t="s">
        <v>57</v>
      </c>
      <c r="D175" s="145" t="s">
        <v>58</v>
      </c>
      <c r="E175" s="85">
        <f>STATS1003B!E175/1000</f>
        <v>0</v>
      </c>
      <c r="F175" s="85">
        <f>STATS1003B!F175/1000</f>
        <v>0</v>
      </c>
      <c r="G175" s="85">
        <f>STATS1003B!G175/1000</f>
        <v>0</v>
      </c>
      <c r="H175" s="85">
        <f>STATS1003B!H175/1000</f>
        <v>0</v>
      </c>
      <c r="I175" s="85">
        <f>STATS1003B!I175/1000</f>
        <v>0</v>
      </c>
      <c r="J175" s="85">
        <f>STATS1003B!J175/1000</f>
        <v>0</v>
      </c>
      <c r="K175" s="85">
        <f>STATS1003B!K175/1000</f>
        <v>0</v>
      </c>
      <c r="L175" s="85">
        <f>STATS1003B!L175/1000</f>
        <v>0</v>
      </c>
      <c r="M175" s="85">
        <f>STATS1003B!M175/1000</f>
        <v>0</v>
      </c>
      <c r="N175" s="85">
        <f>STATS1003B!N175/1000</f>
        <v>0</v>
      </c>
      <c r="O175" s="85">
        <f>STATS1003B!O175/1000</f>
        <v>0</v>
      </c>
      <c r="P175" s="85">
        <f>STATS1003B!P175/1000</f>
        <v>0</v>
      </c>
      <c r="Q175" s="85">
        <f>STATS1003B!Q175/1000</f>
        <v>0</v>
      </c>
      <c r="R175" s="85">
        <f>STATS1003B!R175/1000</f>
        <v>0</v>
      </c>
      <c r="S175" s="85">
        <f>STATS1003B!S175/1000</f>
        <v>0</v>
      </c>
      <c r="T175" s="85">
        <f>STATS1003B!T175/1000</f>
        <v>0</v>
      </c>
      <c r="U175" s="85">
        <f>STATS1003B!U175/1000</f>
        <v>0</v>
      </c>
      <c r="V175" s="85">
        <f>STATS1003B!V175/1000</f>
        <v>0</v>
      </c>
      <c r="W175" s="85">
        <f>STATS1003B!W175/1000</f>
        <v>0</v>
      </c>
      <c r="X175" s="85">
        <f t="shared" si="19"/>
        <v>0</v>
      </c>
      <c r="Y175" s="85">
        <f>STATS1003B!Y175/1000</f>
        <v>0</v>
      </c>
      <c r="Z175" s="85">
        <f t="shared" si="22"/>
        <v>0</v>
      </c>
      <c r="AA175" s="69">
        <f>STATS1003B!AA175/1000</f>
        <v>0</v>
      </c>
      <c r="AB175" s="69">
        <f>STATS1003B!AB175/1000</f>
        <v>0</v>
      </c>
    </row>
    <row r="176" spans="1:28" hidden="1" x14ac:dyDescent="0.3">
      <c r="A176" s="117"/>
      <c r="C176" s="68" t="s">
        <v>57</v>
      </c>
      <c r="D176" s="145" t="s">
        <v>60</v>
      </c>
      <c r="E176" s="85">
        <f>STATS1003B!E176/1000</f>
        <v>1348.7571499999999</v>
      </c>
      <c r="F176" s="85">
        <f>STATS1003B!F176/1000</f>
        <v>1348.7571499999999</v>
      </c>
      <c r="G176" s="85">
        <f>STATS1003B!G176/1000</f>
        <v>0</v>
      </c>
      <c r="H176" s="85">
        <f>STATS1003B!H176/1000</f>
        <v>1348.7571499999999</v>
      </c>
      <c r="I176" s="85">
        <f>STATS1003B!I176/1000</f>
        <v>0</v>
      </c>
      <c r="J176" s="85">
        <f>STATS1003B!J176/1000</f>
        <v>0</v>
      </c>
      <c r="K176" s="85">
        <f>STATS1003B!K176/1000</f>
        <v>0</v>
      </c>
      <c r="L176" s="85">
        <f>STATS1003B!L176/1000</f>
        <v>0</v>
      </c>
      <c r="M176" s="85">
        <f>STATS1003B!M176/1000</f>
        <v>1348.7571499999999</v>
      </c>
      <c r="N176" s="85">
        <f>STATS1003B!N176/1000</f>
        <v>0</v>
      </c>
      <c r="O176" s="85">
        <f>STATS1003B!O176/1000</f>
        <v>0</v>
      </c>
      <c r="P176" s="85">
        <f>STATS1003B!P176/1000</f>
        <v>0</v>
      </c>
      <c r="Q176" s="85">
        <f>STATS1003B!Q176/1000</f>
        <v>0</v>
      </c>
      <c r="R176" s="85">
        <f>STATS1003B!R176/1000</f>
        <v>0</v>
      </c>
      <c r="S176" s="85">
        <f>STATS1003B!S176/1000</f>
        <v>0</v>
      </c>
      <c r="T176" s="85">
        <f>STATS1003B!T176/1000</f>
        <v>0</v>
      </c>
      <c r="U176" s="85">
        <f>STATS1003B!U176/1000</f>
        <v>0</v>
      </c>
      <c r="V176" s="85">
        <f>STATS1003B!V176/1000</f>
        <v>1348.7571499999999</v>
      </c>
      <c r="W176" s="85">
        <f>STATS1003B!W176/1000</f>
        <v>0</v>
      </c>
      <c r="X176" s="85">
        <f t="shared" si="19"/>
        <v>1348.7571499999999</v>
      </c>
      <c r="Y176" s="85">
        <f>STATS1003B!Y176/1000</f>
        <v>0</v>
      </c>
      <c r="Z176" s="85">
        <f t="shared" si="22"/>
        <v>0</v>
      </c>
      <c r="AA176" s="69">
        <f>STATS1003B!AA176/1000</f>
        <v>1348.7571499999999</v>
      </c>
      <c r="AB176" s="69">
        <f>STATS1003B!AB176/1000</f>
        <v>0</v>
      </c>
    </row>
    <row r="177" spans="1:28" hidden="1" x14ac:dyDescent="0.3">
      <c r="A177" s="117"/>
      <c r="C177" s="71" t="s">
        <v>109</v>
      </c>
      <c r="D177" s="88" t="s">
        <v>60</v>
      </c>
      <c r="E177" s="85">
        <f>STATS1003B!E177/1000</f>
        <v>2500</v>
      </c>
      <c r="F177" s="85">
        <f>STATS1003B!F177/1000</f>
        <v>2500</v>
      </c>
      <c r="G177" s="85">
        <f>STATS1003B!G177/1000</f>
        <v>0</v>
      </c>
      <c r="H177" s="85">
        <f>STATS1003B!H177/1000</f>
        <v>2500</v>
      </c>
      <c r="I177" s="85">
        <f>STATS1003B!I177/1000</f>
        <v>0</v>
      </c>
      <c r="J177" s="85">
        <f>STATS1003B!J177/1000</f>
        <v>0</v>
      </c>
      <c r="K177" s="85">
        <f>STATS1003B!K177/1000</f>
        <v>0</v>
      </c>
      <c r="L177" s="85">
        <f>STATS1003B!L177/1000</f>
        <v>0</v>
      </c>
      <c r="M177" s="85">
        <f>STATS1003B!M177/1000</f>
        <v>2500</v>
      </c>
      <c r="N177" s="85">
        <f>STATS1003B!N177/1000</f>
        <v>0</v>
      </c>
      <c r="O177" s="85">
        <f>STATS1003B!O177/1000</f>
        <v>0</v>
      </c>
      <c r="P177" s="85">
        <f>STATS1003B!P177/1000</f>
        <v>0</v>
      </c>
      <c r="Q177" s="85">
        <f>STATS1003B!Q177/1000</f>
        <v>0</v>
      </c>
      <c r="R177" s="85">
        <f>STATS1003B!R177/1000</f>
        <v>0</v>
      </c>
      <c r="S177" s="85">
        <f>STATS1003B!S177/1000</f>
        <v>0</v>
      </c>
      <c r="T177" s="85">
        <f>STATS1003B!T177/1000</f>
        <v>0</v>
      </c>
      <c r="U177" s="85">
        <f>STATS1003B!U177/1000</f>
        <v>0</v>
      </c>
      <c r="V177" s="85">
        <f>STATS1003B!V177/1000</f>
        <v>2500</v>
      </c>
      <c r="W177" s="85">
        <f>STATS1003B!W177/1000</f>
        <v>0</v>
      </c>
      <c r="X177" s="85">
        <f t="shared" si="19"/>
        <v>2500</v>
      </c>
      <c r="Y177" s="85">
        <f>STATS1003B!Y177/1000</f>
        <v>0</v>
      </c>
      <c r="Z177" s="85">
        <f t="shared" si="22"/>
        <v>0</v>
      </c>
      <c r="AA177" s="69">
        <f>STATS1003B!AA177/1000</f>
        <v>2500</v>
      </c>
      <c r="AB177" s="69">
        <f>STATS1003B!AB177/1000</f>
        <v>0</v>
      </c>
    </row>
    <row r="178" spans="1:28" hidden="1" x14ac:dyDescent="0.3">
      <c r="A178" s="117"/>
      <c r="C178" s="71" t="s">
        <v>95</v>
      </c>
      <c r="D178" s="88" t="s">
        <v>73</v>
      </c>
      <c r="E178" s="85">
        <f>STATS1003B!E178/1000</f>
        <v>3111</v>
      </c>
      <c r="F178" s="85">
        <f>STATS1003B!F178/1000</f>
        <v>3111</v>
      </c>
      <c r="G178" s="85">
        <f>STATS1003B!G178/1000</f>
        <v>0</v>
      </c>
      <c r="H178" s="85">
        <f>STATS1003B!H178/1000</f>
        <v>3111</v>
      </c>
      <c r="I178" s="85">
        <f>STATS1003B!I178/1000</f>
        <v>0</v>
      </c>
      <c r="J178" s="85">
        <f>STATS1003B!J178/1000</f>
        <v>0</v>
      </c>
      <c r="K178" s="85">
        <f>STATS1003B!K178/1000</f>
        <v>0</v>
      </c>
      <c r="L178" s="85">
        <f>STATS1003B!L178/1000</f>
        <v>0</v>
      </c>
      <c r="M178" s="85">
        <f>STATS1003B!M178/1000</f>
        <v>3111</v>
      </c>
      <c r="N178" s="85">
        <f>STATS1003B!N178/1000</f>
        <v>0</v>
      </c>
      <c r="O178" s="85">
        <f>STATS1003B!O178/1000</f>
        <v>0</v>
      </c>
      <c r="P178" s="85">
        <f>STATS1003B!P178/1000</f>
        <v>0</v>
      </c>
      <c r="Q178" s="85">
        <f>STATS1003B!Q178/1000</f>
        <v>0</v>
      </c>
      <c r="R178" s="85">
        <f>STATS1003B!R178/1000</f>
        <v>0</v>
      </c>
      <c r="S178" s="85">
        <f>STATS1003B!S178/1000</f>
        <v>0</v>
      </c>
      <c r="T178" s="85">
        <f>STATS1003B!T178/1000</f>
        <v>0</v>
      </c>
      <c r="U178" s="85">
        <f>STATS1003B!U178/1000</f>
        <v>0</v>
      </c>
      <c r="V178" s="85">
        <f>STATS1003B!V178/1000</f>
        <v>3111</v>
      </c>
      <c r="W178" s="85">
        <f>STATS1003B!W178/1000</f>
        <v>0</v>
      </c>
      <c r="X178" s="85">
        <f t="shared" si="19"/>
        <v>3111</v>
      </c>
      <c r="Y178" s="85">
        <f>STATS1003B!Y178/1000</f>
        <v>0</v>
      </c>
      <c r="Z178" s="85">
        <f t="shared" si="22"/>
        <v>0</v>
      </c>
      <c r="AA178" s="69">
        <f>STATS1003B!AA178/1000</f>
        <v>3111</v>
      </c>
      <c r="AB178" s="69">
        <f>STATS1003B!AB178/1000</f>
        <v>0</v>
      </c>
    </row>
    <row r="179" spans="1:28" hidden="1" x14ac:dyDescent="0.3">
      <c r="A179" s="117"/>
      <c r="C179" s="71" t="s">
        <v>121</v>
      </c>
      <c r="D179" s="88" t="s">
        <v>73</v>
      </c>
      <c r="E179" s="85">
        <f>STATS1003B!E179/1000</f>
        <v>500</v>
      </c>
      <c r="F179" s="85">
        <f>STATS1003B!F179/1000</f>
        <v>500</v>
      </c>
      <c r="G179" s="85">
        <f>STATS1003B!G179/1000</f>
        <v>0</v>
      </c>
      <c r="H179" s="85">
        <f>STATS1003B!H179/1000</f>
        <v>500</v>
      </c>
      <c r="I179" s="85">
        <f>STATS1003B!I179/1000</f>
        <v>0</v>
      </c>
      <c r="J179" s="85">
        <f>STATS1003B!J179/1000</f>
        <v>0</v>
      </c>
      <c r="K179" s="85">
        <f>STATS1003B!K179/1000</f>
        <v>0</v>
      </c>
      <c r="L179" s="85">
        <f>STATS1003B!L179/1000</f>
        <v>0</v>
      </c>
      <c r="M179" s="85">
        <f>STATS1003B!M179/1000</f>
        <v>500</v>
      </c>
      <c r="N179" s="85">
        <f>STATS1003B!N179/1000</f>
        <v>0</v>
      </c>
      <c r="O179" s="85">
        <f>STATS1003B!O179/1000</f>
        <v>0</v>
      </c>
      <c r="P179" s="85">
        <f>STATS1003B!P179/1000</f>
        <v>0</v>
      </c>
      <c r="Q179" s="85">
        <f>STATS1003B!Q179/1000</f>
        <v>0</v>
      </c>
      <c r="R179" s="85">
        <f>STATS1003B!R179/1000</f>
        <v>0</v>
      </c>
      <c r="S179" s="85">
        <f>STATS1003B!S179/1000</f>
        <v>0</v>
      </c>
      <c r="T179" s="85">
        <f>STATS1003B!T179/1000</f>
        <v>0</v>
      </c>
      <c r="U179" s="85">
        <f>STATS1003B!U179/1000</f>
        <v>0</v>
      </c>
      <c r="V179" s="85">
        <f>STATS1003B!V179/1000</f>
        <v>500</v>
      </c>
      <c r="W179" s="85">
        <f>STATS1003B!W179/1000</f>
        <v>0</v>
      </c>
      <c r="X179" s="85">
        <f t="shared" si="19"/>
        <v>500</v>
      </c>
      <c r="Y179" s="85">
        <f>STATS1003B!Y179/1000</f>
        <v>0</v>
      </c>
      <c r="Z179" s="85">
        <f t="shared" si="22"/>
        <v>0</v>
      </c>
      <c r="AA179" s="69">
        <f>STATS1003B!AA179/1000</f>
        <v>500</v>
      </c>
      <c r="AB179" s="69">
        <f>STATS1003B!AB179/1000</f>
        <v>0</v>
      </c>
    </row>
    <row r="180" spans="1:28" hidden="1" x14ac:dyDescent="0.3">
      <c r="A180" s="117"/>
      <c r="C180" s="71" t="s">
        <v>930</v>
      </c>
      <c r="D180" s="89" t="s">
        <v>1072</v>
      </c>
      <c r="E180" s="85">
        <f>STATS1003B!E180/1000</f>
        <v>5375</v>
      </c>
      <c r="F180" s="85">
        <f>STATS1003B!F180/1000</f>
        <v>5375</v>
      </c>
      <c r="G180" s="85">
        <f>STATS1003B!G180/1000</f>
        <v>0</v>
      </c>
      <c r="H180" s="85">
        <f>STATS1003B!H180/1000</f>
        <v>5375</v>
      </c>
      <c r="I180" s="85">
        <f>STATS1003B!I180/1000</f>
        <v>0</v>
      </c>
      <c r="J180" s="85">
        <f>STATS1003B!J180/1000</f>
        <v>0</v>
      </c>
      <c r="K180" s="85">
        <f>STATS1003B!K180/1000</f>
        <v>0</v>
      </c>
      <c r="L180" s="85">
        <f>STATS1003B!L180/1000</f>
        <v>0</v>
      </c>
      <c r="M180" s="85">
        <f>STATS1003B!M180/1000</f>
        <v>5375</v>
      </c>
      <c r="N180" s="85">
        <f>STATS1003B!N180/1000</f>
        <v>0</v>
      </c>
      <c r="O180" s="85">
        <f>STATS1003B!O180/1000</f>
        <v>0</v>
      </c>
      <c r="P180" s="85">
        <f>STATS1003B!P180/1000</f>
        <v>0</v>
      </c>
      <c r="Q180" s="85">
        <f>STATS1003B!Q180/1000</f>
        <v>0</v>
      </c>
      <c r="R180" s="85">
        <f>STATS1003B!R180/1000</f>
        <v>0</v>
      </c>
      <c r="S180" s="85">
        <f>STATS1003B!S180/1000</f>
        <v>0</v>
      </c>
      <c r="T180" s="85">
        <f>STATS1003B!T180/1000</f>
        <v>0</v>
      </c>
      <c r="U180" s="85">
        <f>STATS1003B!U180/1000</f>
        <v>0</v>
      </c>
      <c r="V180" s="85">
        <f>STATS1003B!V180/1000</f>
        <v>5375</v>
      </c>
      <c r="W180" s="85">
        <f>STATS1003B!W180/1000</f>
        <v>0</v>
      </c>
      <c r="X180" s="85">
        <f t="shared" si="19"/>
        <v>5375</v>
      </c>
      <c r="Y180" s="85">
        <f>STATS1003B!Y180/1000</f>
        <v>0</v>
      </c>
      <c r="Z180" s="85">
        <f t="shared" si="22"/>
        <v>0</v>
      </c>
      <c r="AA180" s="69">
        <f>STATS1003B!AA180/1000</f>
        <v>5375</v>
      </c>
      <c r="AB180" s="69">
        <f>STATS1003B!AB180/1000</f>
        <v>0</v>
      </c>
    </row>
    <row r="181" spans="1:28" hidden="1" x14ac:dyDescent="0.3">
      <c r="A181" s="117"/>
      <c r="C181" s="71" t="s">
        <v>1106</v>
      </c>
      <c r="D181" s="89" t="s">
        <v>1072</v>
      </c>
      <c r="E181" s="85">
        <f>STATS1003B!E181/1000</f>
        <v>1091.7517700000001</v>
      </c>
      <c r="F181" s="85">
        <f>STATS1003B!F181/1000</f>
        <v>1091.7517700000001</v>
      </c>
      <c r="G181" s="85">
        <f>STATS1003B!G181/1000</f>
        <v>0</v>
      </c>
      <c r="H181" s="85">
        <f>STATS1003B!H181/1000</f>
        <v>1091.7517700000001</v>
      </c>
      <c r="I181" s="85">
        <f>STATS1003B!I181/1000</f>
        <v>0</v>
      </c>
      <c r="J181" s="85">
        <f>STATS1003B!J181/1000</f>
        <v>0</v>
      </c>
      <c r="K181" s="85">
        <f>STATS1003B!K181/1000</f>
        <v>0</v>
      </c>
      <c r="L181" s="85">
        <f>STATS1003B!L181/1000</f>
        <v>0</v>
      </c>
      <c r="M181" s="85">
        <f>STATS1003B!M181/1000</f>
        <v>1091.7517700000001</v>
      </c>
      <c r="N181" s="85">
        <f>STATS1003B!N181/1000</f>
        <v>0</v>
      </c>
      <c r="O181" s="85">
        <f>STATS1003B!O181/1000</f>
        <v>0</v>
      </c>
      <c r="P181" s="85">
        <f>STATS1003B!P181/1000</f>
        <v>0</v>
      </c>
      <c r="Q181" s="85">
        <f>STATS1003B!Q181/1000</f>
        <v>0</v>
      </c>
      <c r="R181" s="85">
        <f>STATS1003B!R181/1000</f>
        <v>0</v>
      </c>
      <c r="S181" s="85">
        <f>STATS1003B!S181/1000</f>
        <v>0</v>
      </c>
      <c r="T181" s="85">
        <f>STATS1003B!T181/1000</f>
        <v>0</v>
      </c>
      <c r="U181" s="85">
        <f>STATS1003B!U181/1000</f>
        <v>0</v>
      </c>
      <c r="V181" s="85">
        <f>STATS1003B!V181/1000</f>
        <v>1091.7517700000001</v>
      </c>
      <c r="W181" s="85">
        <f>STATS1003B!W181/1000</f>
        <v>0</v>
      </c>
      <c r="X181" s="85">
        <f t="shared" si="19"/>
        <v>1091.7517700000001</v>
      </c>
      <c r="Y181" s="85">
        <f>STATS1003B!Y181/1000</f>
        <v>0</v>
      </c>
      <c r="Z181" s="85">
        <f t="shared" si="22"/>
        <v>0</v>
      </c>
      <c r="AA181" s="69">
        <f>STATS1003B!AA181/1000</f>
        <v>1091.7517700000001</v>
      </c>
      <c r="AB181" s="69">
        <f>STATS1003B!AB181/1000</f>
        <v>0</v>
      </c>
    </row>
    <row r="182" spans="1:28" hidden="1" x14ac:dyDescent="0.3">
      <c r="A182" s="117"/>
      <c r="C182" s="68" t="s">
        <v>57</v>
      </c>
      <c r="D182" s="145" t="s">
        <v>61</v>
      </c>
      <c r="E182" s="85">
        <f>STATS1003B!E182/1000</f>
        <v>992.68365000000006</v>
      </c>
      <c r="F182" s="85">
        <f>STATS1003B!F182/1000</f>
        <v>981.10997999999995</v>
      </c>
      <c r="G182" s="85">
        <f>STATS1003B!G182/1000</f>
        <v>0</v>
      </c>
      <c r="H182" s="85">
        <f>STATS1003B!H182/1000</f>
        <v>981.10997999999995</v>
      </c>
      <c r="I182" s="85">
        <f>STATS1003B!I182/1000</f>
        <v>0</v>
      </c>
      <c r="J182" s="85">
        <f>STATS1003B!J182/1000</f>
        <v>0</v>
      </c>
      <c r="K182" s="85">
        <f>STATS1003B!K182/1000</f>
        <v>0</v>
      </c>
      <c r="L182" s="85">
        <f>STATS1003B!L182/1000</f>
        <v>0</v>
      </c>
      <c r="M182" s="85">
        <f>STATS1003B!M182/1000</f>
        <v>981.10997999999995</v>
      </c>
      <c r="N182" s="85">
        <f>STATS1003B!N182/1000</f>
        <v>0</v>
      </c>
      <c r="O182" s="85">
        <f>STATS1003B!O182/1000</f>
        <v>0</v>
      </c>
      <c r="P182" s="85">
        <f>STATS1003B!P182/1000</f>
        <v>0</v>
      </c>
      <c r="Q182" s="85">
        <f>STATS1003B!Q182/1000</f>
        <v>11.57367</v>
      </c>
      <c r="R182" s="85">
        <f>STATS1003B!R182/1000</f>
        <v>0</v>
      </c>
      <c r="S182" s="85">
        <f>STATS1003B!S182/1000</f>
        <v>0</v>
      </c>
      <c r="T182" s="85">
        <f>STATS1003B!T182/1000</f>
        <v>11.57367</v>
      </c>
      <c r="U182" s="85">
        <f>STATS1003B!U182/1000</f>
        <v>11.57367</v>
      </c>
      <c r="V182" s="85">
        <f>STATS1003B!V182/1000</f>
        <v>981.10997999999995</v>
      </c>
      <c r="W182" s="85">
        <f>STATS1003B!W182/1000</f>
        <v>11.573670000000043</v>
      </c>
      <c r="X182" s="85">
        <f t="shared" si="19"/>
        <v>981.10997999999995</v>
      </c>
      <c r="Y182" s="85">
        <f>STATS1003B!Y182/1000</f>
        <v>0</v>
      </c>
      <c r="Z182" s="85">
        <f t="shared" si="22"/>
        <v>11.573670000000106</v>
      </c>
      <c r="AA182" s="69">
        <f>STATS1003B!AA182/1000</f>
        <v>992.68365000000006</v>
      </c>
      <c r="AB182" s="69">
        <f>STATS1003B!AB182/1000</f>
        <v>0</v>
      </c>
    </row>
    <row r="183" spans="1:28" hidden="1" x14ac:dyDescent="0.3">
      <c r="A183" s="117"/>
      <c r="E183" s="86" t="s">
        <v>29</v>
      </c>
      <c r="F183" s="86" t="s">
        <v>29</v>
      </c>
      <c r="G183" s="86" t="s">
        <v>29</v>
      </c>
      <c r="H183" s="86" t="s">
        <v>29</v>
      </c>
      <c r="I183" s="86" t="s">
        <v>29</v>
      </c>
      <c r="J183" s="86" t="s">
        <v>29</v>
      </c>
      <c r="K183" s="86" t="s">
        <v>29</v>
      </c>
      <c r="L183" s="86" t="s">
        <v>29</v>
      </c>
      <c r="M183" s="86" t="s">
        <v>29</v>
      </c>
      <c r="N183" s="86" t="s">
        <v>29</v>
      </c>
      <c r="O183" s="86" t="s">
        <v>29</v>
      </c>
      <c r="P183" s="86" t="s">
        <v>29</v>
      </c>
      <c r="Q183" s="86" t="s">
        <v>29</v>
      </c>
      <c r="R183" s="86" t="s">
        <v>29</v>
      </c>
      <c r="S183" s="86" t="s">
        <v>29</v>
      </c>
      <c r="T183" s="86" t="s">
        <v>29</v>
      </c>
      <c r="U183" s="86" t="s">
        <v>29</v>
      </c>
      <c r="V183" s="86" t="s">
        <v>29</v>
      </c>
      <c r="W183" s="86" t="s">
        <v>29</v>
      </c>
      <c r="X183" s="85" t="e">
        <f t="shared" si="19"/>
        <v>#VALUE!</v>
      </c>
      <c r="Y183" s="86" t="s">
        <v>29</v>
      </c>
      <c r="Z183" s="85" t="e">
        <f t="shared" si="22"/>
        <v>#VALUE!</v>
      </c>
      <c r="AA183" s="115" t="s">
        <v>29</v>
      </c>
      <c r="AB183" s="115" t="s">
        <v>29</v>
      </c>
    </row>
    <row r="184" spans="1:28" x14ac:dyDescent="0.3">
      <c r="A184" s="116" t="s">
        <v>942</v>
      </c>
      <c r="B184" s="68" t="s">
        <v>129</v>
      </c>
      <c r="E184" s="85">
        <f>89856266.11/1000</f>
        <v>89856.266109999997</v>
      </c>
      <c r="F184" s="85">
        <f>SUM(F171:F182)</f>
        <v>42973.618800000004</v>
      </c>
      <c r="G184" s="85">
        <f>SUM(G171:G182)</f>
        <v>0</v>
      </c>
      <c r="H184" s="85">
        <f>82251709.12/1000</f>
        <v>82251.70912</v>
      </c>
      <c r="I184" s="85">
        <f t="shared" ref="I184:O184" si="23">SUM(I171:I182)</f>
        <v>0</v>
      </c>
      <c r="J184" s="85">
        <f t="shared" si="23"/>
        <v>0</v>
      </c>
      <c r="K184" s="85">
        <f t="shared" si="23"/>
        <v>0</v>
      </c>
      <c r="L184" s="85">
        <f t="shared" si="23"/>
        <v>0</v>
      </c>
      <c r="M184" s="85">
        <f t="shared" si="23"/>
        <v>42973.618800000004</v>
      </c>
      <c r="N184" s="85">
        <f t="shared" si="23"/>
        <v>7592.9833200000012</v>
      </c>
      <c r="O184" s="85">
        <f t="shared" si="23"/>
        <v>0</v>
      </c>
      <c r="P184" s="85">
        <f>7592983.32/1000</f>
        <v>7592.9833200000003</v>
      </c>
      <c r="Q184" s="85">
        <f t="shared" ref="Q184:W184" si="24">SUM(Q171:Q182)</f>
        <v>11.57367</v>
      </c>
      <c r="R184" s="85">
        <f t="shared" si="24"/>
        <v>0</v>
      </c>
      <c r="S184" s="85">
        <f t="shared" si="24"/>
        <v>0</v>
      </c>
      <c r="T184" s="85">
        <f t="shared" si="24"/>
        <v>11.57367</v>
      </c>
      <c r="U184" s="85">
        <f t="shared" si="24"/>
        <v>7604.556990000001</v>
      </c>
      <c r="V184" s="85">
        <f t="shared" si="24"/>
        <v>50566.602119999996</v>
      </c>
      <c r="W184" s="85">
        <f t="shared" si="24"/>
        <v>11.573670000000043</v>
      </c>
      <c r="X184" s="85">
        <f>+H184+P184</f>
        <v>89844.692439999999</v>
      </c>
      <c r="Y184" s="85">
        <f>SUM(Y171:Y182)</f>
        <v>0</v>
      </c>
      <c r="Z184" s="85">
        <f t="shared" si="22"/>
        <v>11.573669999997946</v>
      </c>
      <c r="AA184" s="69">
        <f>SUM(AA171:AA182)</f>
        <v>50578.175789999994</v>
      </c>
      <c r="AB184" s="69">
        <f>SUM(AB171:AB182)</f>
        <v>0</v>
      </c>
    </row>
    <row r="185" spans="1:28" hidden="1" x14ac:dyDescent="0.3">
      <c r="A185" s="117"/>
      <c r="E185" s="86" t="s">
        <v>29</v>
      </c>
      <c r="F185" s="86" t="s">
        <v>29</v>
      </c>
      <c r="G185" s="86" t="s">
        <v>29</v>
      </c>
      <c r="H185" s="86" t="s">
        <v>29</v>
      </c>
      <c r="I185" s="86" t="s">
        <v>29</v>
      </c>
      <c r="J185" s="86" t="s">
        <v>29</v>
      </c>
      <c r="K185" s="86" t="s">
        <v>29</v>
      </c>
      <c r="L185" s="86" t="s">
        <v>29</v>
      </c>
      <c r="M185" s="86" t="s">
        <v>29</v>
      </c>
      <c r="N185" s="86" t="s">
        <v>29</v>
      </c>
      <c r="O185" s="86" t="s">
        <v>29</v>
      </c>
      <c r="P185" s="86" t="s">
        <v>29</v>
      </c>
      <c r="Q185" s="86" t="s">
        <v>29</v>
      </c>
      <c r="R185" s="86" t="s">
        <v>29</v>
      </c>
      <c r="S185" s="86" t="s">
        <v>29</v>
      </c>
      <c r="T185" s="86" t="s">
        <v>29</v>
      </c>
      <c r="U185" s="86" t="s">
        <v>29</v>
      </c>
      <c r="V185" s="86" t="s">
        <v>29</v>
      </c>
      <c r="W185" s="86" t="s">
        <v>29</v>
      </c>
      <c r="X185" s="85" t="e">
        <f t="shared" si="19"/>
        <v>#VALUE!</v>
      </c>
      <c r="Y185" s="86" t="s">
        <v>29</v>
      </c>
      <c r="Z185" s="85" t="e">
        <f t="shared" si="22"/>
        <v>#VALUE!</v>
      </c>
      <c r="AA185" s="115" t="s">
        <v>29</v>
      </c>
      <c r="AB185" s="115" t="s">
        <v>29</v>
      </c>
    </row>
    <row r="186" spans="1:28" hidden="1" x14ac:dyDescent="0.3">
      <c r="A186" s="105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6"/>
      <c r="T186" s="86"/>
      <c r="U186" s="86"/>
      <c r="V186" s="86"/>
      <c r="W186" s="86"/>
      <c r="X186" s="85">
        <f t="shared" si="19"/>
        <v>0</v>
      </c>
      <c r="Y186" s="86"/>
      <c r="Z186" s="85">
        <f t="shared" si="22"/>
        <v>0</v>
      </c>
      <c r="AA186" s="118"/>
    </row>
    <row r="187" spans="1:28" hidden="1" x14ac:dyDescent="0.3">
      <c r="A187" s="117"/>
      <c r="C187" s="68" t="s">
        <v>510</v>
      </c>
      <c r="D187" s="145" t="s">
        <v>76</v>
      </c>
      <c r="E187" s="85">
        <f>STATS1003B!E187/1000</f>
        <v>308</v>
      </c>
      <c r="F187" s="85">
        <f>STATS1003B!F187/1000</f>
        <v>0</v>
      </c>
      <c r="G187" s="85">
        <f>STATS1003B!G187/1000</f>
        <v>0</v>
      </c>
      <c r="H187" s="85">
        <f>STATS1003B!H187/1000</f>
        <v>0</v>
      </c>
      <c r="I187" s="85">
        <f>STATS1003B!I187/1000</f>
        <v>0</v>
      </c>
      <c r="J187" s="85">
        <f>STATS1003B!J187/1000</f>
        <v>0</v>
      </c>
      <c r="K187" s="85">
        <f>STATS1003B!K187/1000</f>
        <v>0</v>
      </c>
      <c r="L187" s="85">
        <f>STATS1003B!L187/1000</f>
        <v>0</v>
      </c>
      <c r="M187" s="85">
        <f>STATS1003B!M187/1000</f>
        <v>0</v>
      </c>
      <c r="N187" s="85">
        <f>STATS1003B!N187/1000</f>
        <v>161.34980999999999</v>
      </c>
      <c r="O187" s="85">
        <f>STATS1003B!O187/1000</f>
        <v>0</v>
      </c>
      <c r="P187" s="85">
        <f>STATS1003B!P187/1000</f>
        <v>161.34980999999999</v>
      </c>
      <c r="Q187" s="85">
        <f>STATS1003B!Q187/1000</f>
        <v>161.34980999999999</v>
      </c>
      <c r="R187" s="85">
        <f>STATS1003B!R187/1000</f>
        <v>146.65019000000001</v>
      </c>
      <c r="S187" s="85">
        <f>STATS1003B!S187/1000</f>
        <v>0</v>
      </c>
      <c r="T187" s="85">
        <f>STATS1003B!T187/1000</f>
        <v>0</v>
      </c>
      <c r="U187" s="85">
        <f>STATS1003B!U187/1000</f>
        <v>161.34980999999999</v>
      </c>
      <c r="V187" s="85">
        <f>STATS1003B!V187/1000</f>
        <v>0</v>
      </c>
      <c r="W187" s="85">
        <f>STATS1003B!W187/1000</f>
        <v>0</v>
      </c>
      <c r="X187" s="85">
        <f t="shared" si="19"/>
        <v>161.34980999999999</v>
      </c>
      <c r="Y187" s="85">
        <f>STATS1003B!Y187/1000</f>
        <v>0</v>
      </c>
      <c r="Z187" s="85">
        <f t="shared" si="22"/>
        <v>146.65019000000001</v>
      </c>
      <c r="AA187" s="69">
        <f>STATS1003B!AA187/1000</f>
        <v>161.34980999999999</v>
      </c>
      <c r="AB187" s="69">
        <f>STATS1003B!AB187/1000</f>
        <v>146.65019000000001</v>
      </c>
    </row>
    <row r="188" spans="1:28" hidden="1" x14ac:dyDescent="0.3">
      <c r="A188" s="117"/>
      <c r="C188" s="68" t="s">
        <v>511</v>
      </c>
      <c r="D188" s="145" t="s">
        <v>150</v>
      </c>
      <c r="E188" s="85">
        <f>STATS1003B!E188/1000</f>
        <v>1876</v>
      </c>
      <c r="F188" s="85">
        <f>STATS1003B!F188/1000</f>
        <v>1876</v>
      </c>
      <c r="G188" s="85">
        <f>STATS1003B!G188/1000</f>
        <v>0</v>
      </c>
      <c r="H188" s="85">
        <f>STATS1003B!H188/1000</f>
        <v>1876</v>
      </c>
      <c r="I188" s="85">
        <f>STATS1003B!I188/1000</f>
        <v>3752</v>
      </c>
      <c r="J188" s="85">
        <f>STATS1003B!J188/1000</f>
        <v>0</v>
      </c>
      <c r="K188" s="85">
        <f>STATS1003B!K188/1000</f>
        <v>3752</v>
      </c>
      <c r="L188" s="85">
        <f>STATS1003B!L188/1000</f>
        <v>0</v>
      </c>
      <c r="M188" s="85">
        <f>STATS1003B!M188/1000</f>
        <v>1876</v>
      </c>
      <c r="N188" s="85">
        <f>STATS1003B!N188/1000</f>
        <v>0</v>
      </c>
      <c r="O188" s="85">
        <f>STATS1003B!O188/1000</f>
        <v>0</v>
      </c>
      <c r="P188" s="85">
        <f>STATS1003B!P188/1000</f>
        <v>0</v>
      </c>
      <c r="Q188" s="85">
        <f>STATS1003B!Q188/1000</f>
        <v>3752</v>
      </c>
      <c r="R188" s="85">
        <f>STATS1003B!R188/1000</f>
        <v>-1876</v>
      </c>
      <c r="S188" s="85">
        <f>STATS1003B!S188/1000</f>
        <v>0</v>
      </c>
      <c r="T188" s="85">
        <f>STATS1003B!T188/1000</f>
        <v>0</v>
      </c>
      <c r="U188" s="85">
        <f>STATS1003B!U188/1000</f>
        <v>0</v>
      </c>
      <c r="V188" s="85">
        <f>STATS1003B!V188/1000</f>
        <v>0</v>
      </c>
      <c r="W188" s="85">
        <f>STATS1003B!W188/1000</f>
        <v>0</v>
      </c>
      <c r="X188" s="85">
        <f t="shared" si="19"/>
        <v>1876</v>
      </c>
      <c r="Y188" s="85">
        <f>STATS1003B!Y188/1000</f>
        <v>0</v>
      </c>
      <c r="Z188" s="85">
        <f t="shared" si="22"/>
        <v>0</v>
      </c>
      <c r="AA188" s="69">
        <f>STATS1003B!AA188/1000</f>
        <v>1876</v>
      </c>
      <c r="AB188" s="69">
        <f>STATS1003B!AB188/1000</f>
        <v>0</v>
      </c>
    </row>
    <row r="189" spans="1:28" hidden="1" x14ac:dyDescent="0.3">
      <c r="A189" s="117"/>
      <c r="C189" s="68" t="s">
        <v>512</v>
      </c>
      <c r="D189" s="145" t="s">
        <v>78</v>
      </c>
      <c r="E189" s="85">
        <f>STATS1003B!E189/1000</f>
        <v>1300.4875500000001</v>
      </c>
      <c r="F189" s="85">
        <f>STATS1003B!F189/1000</f>
        <v>0</v>
      </c>
      <c r="G189" s="85">
        <f>STATS1003B!G189/1000</f>
        <v>0</v>
      </c>
      <c r="H189" s="85">
        <f>STATS1003B!H189/1000</f>
        <v>0</v>
      </c>
      <c r="I189" s="85">
        <f>STATS1003B!I189/1000</f>
        <v>0</v>
      </c>
      <c r="J189" s="85">
        <f>STATS1003B!J189/1000</f>
        <v>0</v>
      </c>
      <c r="K189" s="85">
        <f>STATS1003B!K189/1000</f>
        <v>0</v>
      </c>
      <c r="L189" s="85">
        <f>STATS1003B!L189/1000</f>
        <v>0</v>
      </c>
      <c r="M189" s="85">
        <f>STATS1003B!M189/1000</f>
        <v>0</v>
      </c>
      <c r="N189" s="85">
        <f>STATS1003B!N189/1000</f>
        <v>1300.4875500000001</v>
      </c>
      <c r="O189" s="85">
        <f>STATS1003B!O189/1000</f>
        <v>0</v>
      </c>
      <c r="P189" s="85">
        <f>STATS1003B!P189/1000</f>
        <v>1300.4875500000001</v>
      </c>
      <c r="Q189" s="85">
        <f>STATS1003B!Q189/1000</f>
        <v>1300.4875500000001</v>
      </c>
      <c r="R189" s="85">
        <f>STATS1003B!R189/1000</f>
        <v>0</v>
      </c>
      <c r="S189" s="85">
        <f>STATS1003B!S189/1000</f>
        <v>0</v>
      </c>
      <c r="T189" s="85">
        <f>STATS1003B!T189/1000</f>
        <v>0</v>
      </c>
      <c r="U189" s="85">
        <f>STATS1003B!U189/1000</f>
        <v>1300.4875500000001</v>
      </c>
      <c r="V189" s="85">
        <f>STATS1003B!V189/1000</f>
        <v>0</v>
      </c>
      <c r="W189" s="85">
        <f>STATS1003B!W189/1000</f>
        <v>0</v>
      </c>
      <c r="X189" s="85">
        <f t="shared" si="19"/>
        <v>1300.4875500000001</v>
      </c>
      <c r="Y189" s="85">
        <f>STATS1003B!Y189/1000</f>
        <v>0</v>
      </c>
      <c r="Z189" s="85">
        <f t="shared" si="22"/>
        <v>0</v>
      </c>
      <c r="AA189" s="69">
        <f>STATS1003B!AA189/1000</f>
        <v>1300.4875500000001</v>
      </c>
      <c r="AB189" s="69">
        <f>STATS1003B!AB189/1000</f>
        <v>0</v>
      </c>
    </row>
    <row r="190" spans="1:28" hidden="1" x14ac:dyDescent="0.3">
      <c r="A190" s="117"/>
      <c r="C190" s="68" t="s">
        <v>513</v>
      </c>
      <c r="D190" s="145" t="s">
        <v>68</v>
      </c>
      <c r="E190" s="85">
        <f>STATS1003B!E190/1000</f>
        <v>737.91007000000025</v>
      </c>
      <c r="F190" s="85">
        <f>STATS1003B!F190/1000</f>
        <v>732.61599999999999</v>
      </c>
      <c r="G190" s="85">
        <f>STATS1003B!G190/1000</f>
        <v>0</v>
      </c>
      <c r="H190" s="85">
        <f>STATS1003B!H190/1000</f>
        <v>732.61599999999999</v>
      </c>
      <c r="I190" s="85">
        <f>STATS1003B!I190/1000</f>
        <v>1465.232</v>
      </c>
      <c r="J190" s="85">
        <f>STATS1003B!J190/1000</f>
        <v>0</v>
      </c>
      <c r="K190" s="85">
        <f>STATS1003B!K190/1000</f>
        <v>1465.232</v>
      </c>
      <c r="L190" s="85">
        <f>STATS1003B!L190/1000</f>
        <v>0</v>
      </c>
      <c r="M190" s="85">
        <f>STATS1003B!M190/1000</f>
        <v>732.61599999999999</v>
      </c>
      <c r="N190" s="85">
        <f>STATS1003B!N190/1000</f>
        <v>5.2940699999999996</v>
      </c>
      <c r="O190" s="85">
        <f>STATS1003B!O190/1000</f>
        <v>0</v>
      </c>
      <c r="P190" s="85">
        <f>STATS1003B!P190/1000</f>
        <v>5.2940699999999996</v>
      </c>
      <c r="Q190" s="85">
        <f>STATS1003B!Q190/1000</f>
        <v>1470.5260700000001</v>
      </c>
      <c r="R190" s="85">
        <f>STATS1003B!R190/1000</f>
        <v>-732.61599999999976</v>
      </c>
      <c r="S190" s="85">
        <f>STATS1003B!S190/1000</f>
        <v>0</v>
      </c>
      <c r="T190" s="85">
        <f>STATS1003B!T190/1000</f>
        <v>0</v>
      </c>
      <c r="U190" s="85">
        <f>STATS1003B!U190/1000</f>
        <v>5.2940699999999996</v>
      </c>
      <c r="V190" s="85">
        <f>STATS1003B!V190/1000</f>
        <v>0</v>
      </c>
      <c r="W190" s="85">
        <f>STATS1003B!W190/1000</f>
        <v>0</v>
      </c>
      <c r="X190" s="85">
        <f t="shared" si="19"/>
        <v>737.91007000000002</v>
      </c>
      <c r="Y190" s="85">
        <f>STATS1003B!Y190/1000</f>
        <v>0</v>
      </c>
      <c r="Z190" s="85">
        <f t="shared" si="22"/>
        <v>0</v>
      </c>
      <c r="AA190" s="69">
        <f>STATS1003B!AA190/1000</f>
        <v>737.91006999999991</v>
      </c>
      <c r="AB190" s="69">
        <f>STATS1003B!AB190/1000</f>
        <v>0</v>
      </c>
    </row>
    <row r="191" spans="1:28" hidden="1" x14ac:dyDescent="0.3">
      <c r="A191" s="117"/>
      <c r="C191" s="68" t="s">
        <v>514</v>
      </c>
      <c r="D191" s="145" t="s">
        <v>68</v>
      </c>
      <c r="E191" s="85">
        <f>STATS1003B!E191/1000</f>
        <v>633.08879999999999</v>
      </c>
      <c r="F191" s="85">
        <f>STATS1003B!F191/1000</f>
        <v>0</v>
      </c>
      <c r="G191" s="85">
        <f>STATS1003B!G191/1000</f>
        <v>0</v>
      </c>
      <c r="H191" s="85">
        <f>STATS1003B!H191/1000</f>
        <v>0</v>
      </c>
      <c r="I191" s="85">
        <f>STATS1003B!I191/1000</f>
        <v>0</v>
      </c>
      <c r="J191" s="85">
        <f>STATS1003B!J191/1000</f>
        <v>0</v>
      </c>
      <c r="K191" s="85">
        <f>STATS1003B!K191/1000</f>
        <v>0</v>
      </c>
      <c r="L191" s="85">
        <f>STATS1003B!L191/1000</f>
        <v>0</v>
      </c>
      <c r="M191" s="85">
        <f>STATS1003B!M191/1000</f>
        <v>0</v>
      </c>
      <c r="N191" s="85">
        <f>STATS1003B!N191/1000</f>
        <v>633.08879999999999</v>
      </c>
      <c r="O191" s="85">
        <f>STATS1003B!O191/1000</f>
        <v>0</v>
      </c>
      <c r="P191" s="85">
        <f>STATS1003B!P191/1000</f>
        <v>633.08879999999999</v>
      </c>
      <c r="Q191" s="85">
        <f>STATS1003B!Q191/1000</f>
        <v>633.08879999999999</v>
      </c>
      <c r="R191" s="85">
        <f>STATS1003B!R191/1000</f>
        <v>0</v>
      </c>
      <c r="S191" s="85">
        <f>STATS1003B!S191/1000</f>
        <v>0</v>
      </c>
      <c r="T191" s="85">
        <f>STATS1003B!T191/1000</f>
        <v>0</v>
      </c>
      <c r="U191" s="85">
        <f>STATS1003B!U191/1000</f>
        <v>633.08879999999999</v>
      </c>
      <c r="V191" s="85">
        <f>STATS1003B!V191/1000</f>
        <v>0</v>
      </c>
      <c r="W191" s="85">
        <f>STATS1003B!W191/1000</f>
        <v>0</v>
      </c>
      <c r="X191" s="85">
        <f t="shared" si="19"/>
        <v>633.08879999999999</v>
      </c>
      <c r="Y191" s="85">
        <f>STATS1003B!Y191/1000</f>
        <v>0</v>
      </c>
      <c r="Z191" s="85">
        <f t="shared" si="22"/>
        <v>0</v>
      </c>
      <c r="AA191" s="69">
        <f>STATS1003B!AA191/1000</f>
        <v>633.08879999999999</v>
      </c>
      <c r="AB191" s="69">
        <f>STATS1003B!AB191/1000</f>
        <v>0</v>
      </c>
    </row>
    <row r="192" spans="1:28" hidden="1" x14ac:dyDescent="0.3">
      <c r="A192" s="117"/>
      <c r="C192" s="68" t="s">
        <v>515</v>
      </c>
      <c r="D192" s="145" t="s">
        <v>54</v>
      </c>
      <c r="E192" s="85">
        <f>STATS1003B!E192/1000</f>
        <v>570.94100000000003</v>
      </c>
      <c r="F192" s="85">
        <f>STATS1003B!F192/1000</f>
        <v>0</v>
      </c>
      <c r="G192" s="85">
        <f>STATS1003B!G192/1000</f>
        <v>0</v>
      </c>
      <c r="H192" s="85">
        <f>STATS1003B!H192/1000</f>
        <v>0</v>
      </c>
      <c r="I192" s="85">
        <f>STATS1003B!I192/1000</f>
        <v>0</v>
      </c>
      <c r="J192" s="85">
        <f>STATS1003B!J192/1000</f>
        <v>0</v>
      </c>
      <c r="K192" s="85">
        <f>STATS1003B!K192/1000</f>
        <v>0</v>
      </c>
      <c r="L192" s="85">
        <f>STATS1003B!L192/1000</f>
        <v>0</v>
      </c>
      <c r="M192" s="85">
        <f>STATS1003B!M192/1000</f>
        <v>0</v>
      </c>
      <c r="N192" s="85">
        <f>STATS1003B!N192/1000</f>
        <v>570.94100000000003</v>
      </c>
      <c r="O192" s="85">
        <f>STATS1003B!O192/1000</f>
        <v>0</v>
      </c>
      <c r="P192" s="85">
        <f>STATS1003B!P192/1000</f>
        <v>570.94100000000003</v>
      </c>
      <c r="Q192" s="85">
        <f>STATS1003B!Q192/1000</f>
        <v>570.94100000000003</v>
      </c>
      <c r="R192" s="85">
        <f>STATS1003B!R192/1000</f>
        <v>0</v>
      </c>
      <c r="S192" s="85">
        <f>STATS1003B!S192/1000</f>
        <v>0</v>
      </c>
      <c r="T192" s="85">
        <f>STATS1003B!T192/1000</f>
        <v>0</v>
      </c>
      <c r="U192" s="85">
        <f>STATS1003B!U192/1000</f>
        <v>570.94100000000003</v>
      </c>
      <c r="V192" s="85">
        <f>STATS1003B!V192/1000</f>
        <v>0</v>
      </c>
      <c r="W192" s="85">
        <f>STATS1003B!W192/1000</f>
        <v>0</v>
      </c>
      <c r="X192" s="85">
        <f t="shared" si="19"/>
        <v>570.94100000000003</v>
      </c>
      <c r="Y192" s="85">
        <f>STATS1003B!Y192/1000</f>
        <v>0</v>
      </c>
      <c r="Z192" s="85">
        <f t="shared" si="22"/>
        <v>0</v>
      </c>
      <c r="AA192" s="69">
        <f>STATS1003B!AA192/1000</f>
        <v>570.94100000000003</v>
      </c>
      <c r="AB192" s="69">
        <f>STATS1003B!AB192/1000</f>
        <v>0</v>
      </c>
    </row>
    <row r="193" spans="1:28" hidden="1" x14ac:dyDescent="0.3">
      <c r="A193" s="117"/>
      <c r="C193" s="68" t="s">
        <v>516</v>
      </c>
      <c r="D193" s="145" t="s">
        <v>54</v>
      </c>
      <c r="E193" s="85">
        <f>STATS1003B!E193/1000</f>
        <v>1100</v>
      </c>
      <c r="F193" s="85">
        <f>STATS1003B!F193/1000</f>
        <v>1100</v>
      </c>
      <c r="G193" s="85">
        <f>STATS1003B!G193/1000</f>
        <v>0</v>
      </c>
      <c r="H193" s="85">
        <f>STATS1003B!H193/1000</f>
        <v>1100</v>
      </c>
      <c r="I193" s="85">
        <f>STATS1003B!I193/1000</f>
        <v>2200</v>
      </c>
      <c r="J193" s="85">
        <f>STATS1003B!J193/1000</f>
        <v>0</v>
      </c>
      <c r="K193" s="85">
        <f>STATS1003B!K193/1000</f>
        <v>2200</v>
      </c>
      <c r="L193" s="85">
        <f>STATS1003B!L193/1000</f>
        <v>0</v>
      </c>
      <c r="M193" s="85">
        <f>STATS1003B!M193/1000</f>
        <v>1100</v>
      </c>
      <c r="N193" s="85">
        <f>STATS1003B!N193/1000</f>
        <v>0</v>
      </c>
      <c r="O193" s="85">
        <f>STATS1003B!O193/1000</f>
        <v>0</v>
      </c>
      <c r="P193" s="85">
        <f>STATS1003B!P193/1000</f>
        <v>0</v>
      </c>
      <c r="Q193" s="85">
        <f>STATS1003B!Q193/1000</f>
        <v>2200</v>
      </c>
      <c r="R193" s="85">
        <f>STATS1003B!R193/1000</f>
        <v>-1100</v>
      </c>
      <c r="S193" s="85">
        <f>STATS1003B!S193/1000</f>
        <v>0</v>
      </c>
      <c r="T193" s="85">
        <f>STATS1003B!T193/1000</f>
        <v>0</v>
      </c>
      <c r="U193" s="85">
        <f>STATS1003B!U193/1000</f>
        <v>0</v>
      </c>
      <c r="V193" s="85">
        <f>STATS1003B!V193/1000</f>
        <v>0</v>
      </c>
      <c r="W193" s="85">
        <f>STATS1003B!W193/1000</f>
        <v>0</v>
      </c>
      <c r="X193" s="85">
        <f t="shared" si="19"/>
        <v>1100</v>
      </c>
      <c r="Y193" s="85">
        <f>STATS1003B!Y193/1000</f>
        <v>0</v>
      </c>
      <c r="Z193" s="85">
        <f t="shared" si="22"/>
        <v>0</v>
      </c>
      <c r="AA193" s="69">
        <f>STATS1003B!AA193/1000</f>
        <v>1100</v>
      </c>
      <c r="AB193" s="69">
        <f>STATS1003B!AB193/1000</f>
        <v>0</v>
      </c>
    </row>
    <row r="194" spans="1:28" hidden="1" x14ac:dyDescent="0.3">
      <c r="A194" s="117"/>
      <c r="C194" s="68" t="s">
        <v>513</v>
      </c>
      <c r="D194" s="145" t="s">
        <v>85</v>
      </c>
      <c r="E194" s="85">
        <f>STATS1003B!E194/1000</f>
        <v>2149.8000000000002</v>
      </c>
      <c r="F194" s="85">
        <f>STATS1003B!F194/1000</f>
        <v>2149.8000000000002</v>
      </c>
      <c r="G194" s="85">
        <f>STATS1003B!G194/1000</f>
        <v>0</v>
      </c>
      <c r="H194" s="85">
        <f>STATS1003B!H194/1000</f>
        <v>2149.8000000000002</v>
      </c>
      <c r="I194" s="85">
        <f>STATS1003B!I194/1000</f>
        <v>4299.6000000000004</v>
      </c>
      <c r="J194" s="85">
        <f>STATS1003B!J194/1000</f>
        <v>0</v>
      </c>
      <c r="K194" s="85">
        <f>STATS1003B!K194/1000</f>
        <v>4299.6000000000004</v>
      </c>
      <c r="L194" s="85">
        <f>STATS1003B!L194/1000</f>
        <v>0</v>
      </c>
      <c r="M194" s="85">
        <f>STATS1003B!M194/1000</f>
        <v>2149.8000000000002</v>
      </c>
      <c r="N194" s="85">
        <f>STATS1003B!N194/1000</f>
        <v>0</v>
      </c>
      <c r="O194" s="85">
        <f>STATS1003B!O194/1000</f>
        <v>0</v>
      </c>
      <c r="P194" s="85">
        <f>STATS1003B!P194/1000</f>
        <v>0</v>
      </c>
      <c r="Q194" s="85">
        <f>STATS1003B!Q194/1000</f>
        <v>4299.6000000000004</v>
      </c>
      <c r="R194" s="85">
        <f>STATS1003B!R194/1000</f>
        <v>-2149.8000000000002</v>
      </c>
      <c r="S194" s="85">
        <f>STATS1003B!S194/1000</f>
        <v>0</v>
      </c>
      <c r="T194" s="85">
        <f>STATS1003B!T194/1000</f>
        <v>0</v>
      </c>
      <c r="U194" s="85">
        <f>STATS1003B!U194/1000</f>
        <v>0</v>
      </c>
      <c r="V194" s="85">
        <f>STATS1003B!V194/1000</f>
        <v>0</v>
      </c>
      <c r="W194" s="85">
        <f>STATS1003B!W194/1000</f>
        <v>0</v>
      </c>
      <c r="X194" s="85">
        <f t="shared" si="19"/>
        <v>2149.8000000000002</v>
      </c>
      <c r="Y194" s="85">
        <f>STATS1003B!Y194/1000</f>
        <v>0</v>
      </c>
      <c r="Z194" s="85">
        <f t="shared" si="22"/>
        <v>0</v>
      </c>
      <c r="AA194" s="69">
        <f>STATS1003B!AA194/1000</f>
        <v>2149.8000000000002</v>
      </c>
      <c r="AB194" s="69">
        <f>STATS1003B!AB194/1000</f>
        <v>0</v>
      </c>
    </row>
    <row r="195" spans="1:28" hidden="1" x14ac:dyDescent="0.3">
      <c r="A195" s="117"/>
      <c r="C195" s="68" t="s">
        <v>513</v>
      </c>
      <c r="D195" s="145" t="s">
        <v>108</v>
      </c>
      <c r="E195" s="85">
        <f>STATS1003B!E195/1000</f>
        <v>1760</v>
      </c>
      <c r="F195" s="85">
        <f>STATS1003B!F195/1000</f>
        <v>1760</v>
      </c>
      <c r="G195" s="85">
        <f>STATS1003B!G195/1000</f>
        <v>0</v>
      </c>
      <c r="H195" s="85">
        <f>STATS1003B!H195/1000</f>
        <v>1760</v>
      </c>
      <c r="I195" s="85">
        <f>STATS1003B!I195/1000</f>
        <v>3520</v>
      </c>
      <c r="J195" s="85">
        <f>STATS1003B!J195/1000</f>
        <v>0</v>
      </c>
      <c r="K195" s="85">
        <f>STATS1003B!K195/1000</f>
        <v>3520</v>
      </c>
      <c r="L195" s="85">
        <f>STATS1003B!L195/1000</f>
        <v>0</v>
      </c>
      <c r="M195" s="85">
        <f>STATS1003B!M195/1000</f>
        <v>1760</v>
      </c>
      <c r="N195" s="85">
        <f>STATS1003B!N195/1000</f>
        <v>0</v>
      </c>
      <c r="O195" s="85">
        <f>STATS1003B!O195/1000</f>
        <v>0</v>
      </c>
      <c r="P195" s="85">
        <f>STATS1003B!P195/1000</f>
        <v>0</v>
      </c>
      <c r="Q195" s="85">
        <f>STATS1003B!Q195/1000</f>
        <v>3520</v>
      </c>
      <c r="R195" s="85">
        <f>STATS1003B!R195/1000</f>
        <v>-1760</v>
      </c>
      <c r="S195" s="85">
        <f>STATS1003B!S195/1000</f>
        <v>0</v>
      </c>
      <c r="T195" s="85">
        <f>STATS1003B!T195/1000</f>
        <v>0</v>
      </c>
      <c r="U195" s="85">
        <f>STATS1003B!U195/1000</f>
        <v>0</v>
      </c>
      <c r="V195" s="85">
        <f>STATS1003B!V195/1000</f>
        <v>0</v>
      </c>
      <c r="W195" s="85">
        <f>STATS1003B!W195/1000</f>
        <v>0</v>
      </c>
      <c r="X195" s="85">
        <f t="shared" si="19"/>
        <v>1760</v>
      </c>
      <c r="Y195" s="85">
        <f>STATS1003B!Y195/1000</f>
        <v>0</v>
      </c>
      <c r="Z195" s="85">
        <f t="shared" si="22"/>
        <v>0</v>
      </c>
      <c r="AA195" s="69">
        <f>STATS1003B!AA195/1000</f>
        <v>1760</v>
      </c>
      <c r="AB195" s="69">
        <f>STATS1003B!AB195/1000</f>
        <v>0</v>
      </c>
    </row>
    <row r="196" spans="1:28" hidden="1" x14ac:dyDescent="0.3">
      <c r="A196" s="117"/>
      <c r="C196" s="68" t="s">
        <v>513</v>
      </c>
      <c r="D196" s="145" t="s">
        <v>58</v>
      </c>
      <c r="E196" s="85">
        <f>STATS1003B!E196/1000</f>
        <v>2133.9</v>
      </c>
      <c r="F196" s="85">
        <f>STATS1003B!F196/1000</f>
        <v>2133.9</v>
      </c>
      <c r="G196" s="85">
        <f>STATS1003B!G196/1000</f>
        <v>0</v>
      </c>
      <c r="H196" s="85">
        <f>STATS1003B!H196/1000</f>
        <v>2133.9</v>
      </c>
      <c r="I196" s="85">
        <f>STATS1003B!I196/1000</f>
        <v>4267.8</v>
      </c>
      <c r="J196" s="85">
        <f>STATS1003B!J196/1000</f>
        <v>0</v>
      </c>
      <c r="K196" s="85">
        <f>STATS1003B!K196/1000</f>
        <v>4267.8</v>
      </c>
      <c r="L196" s="85">
        <f>STATS1003B!L196/1000</f>
        <v>0</v>
      </c>
      <c r="M196" s="85">
        <f>STATS1003B!M196/1000</f>
        <v>2133.9</v>
      </c>
      <c r="N196" s="85">
        <f>STATS1003B!N196/1000</f>
        <v>0</v>
      </c>
      <c r="O196" s="85">
        <f>STATS1003B!O196/1000</f>
        <v>0</v>
      </c>
      <c r="P196" s="85">
        <f>STATS1003B!P196/1000</f>
        <v>0</v>
      </c>
      <c r="Q196" s="85">
        <f>STATS1003B!Q196/1000</f>
        <v>4267.8</v>
      </c>
      <c r="R196" s="85">
        <f>STATS1003B!R196/1000</f>
        <v>-2133.9</v>
      </c>
      <c r="S196" s="85">
        <f>STATS1003B!S196/1000</f>
        <v>0</v>
      </c>
      <c r="T196" s="85">
        <f>STATS1003B!T196/1000</f>
        <v>0</v>
      </c>
      <c r="U196" s="85">
        <f>STATS1003B!U196/1000</f>
        <v>0</v>
      </c>
      <c r="V196" s="85">
        <f>STATS1003B!V196/1000</f>
        <v>0</v>
      </c>
      <c r="W196" s="85">
        <f>STATS1003B!W196/1000</f>
        <v>0</v>
      </c>
      <c r="X196" s="85">
        <f t="shared" si="19"/>
        <v>2133.9</v>
      </c>
      <c r="Y196" s="85">
        <f>STATS1003B!Y196/1000</f>
        <v>0</v>
      </c>
      <c r="Z196" s="85">
        <f t="shared" si="22"/>
        <v>0</v>
      </c>
      <c r="AA196" s="69">
        <f>STATS1003B!AA196/1000</f>
        <v>2133.9</v>
      </c>
      <c r="AB196" s="69">
        <f>STATS1003B!AB196/1000</f>
        <v>0</v>
      </c>
    </row>
    <row r="197" spans="1:28" hidden="1" x14ac:dyDescent="0.3">
      <c r="A197" s="117"/>
      <c r="C197" s="68" t="s">
        <v>513</v>
      </c>
      <c r="D197" s="145" t="s">
        <v>60</v>
      </c>
      <c r="E197" s="85">
        <f>STATS1003B!E197/1000</f>
        <v>1500</v>
      </c>
      <c r="F197" s="85">
        <f>STATS1003B!F197/1000</f>
        <v>1500</v>
      </c>
      <c r="G197" s="85">
        <f>STATS1003B!G197/1000</f>
        <v>0</v>
      </c>
      <c r="H197" s="85">
        <f>STATS1003B!H197/1000</f>
        <v>1500</v>
      </c>
      <c r="I197" s="85">
        <f>STATS1003B!I197/1000</f>
        <v>3000</v>
      </c>
      <c r="J197" s="85">
        <f>STATS1003B!J197/1000</f>
        <v>0</v>
      </c>
      <c r="K197" s="85">
        <f>STATS1003B!K197/1000</f>
        <v>3000</v>
      </c>
      <c r="L197" s="85">
        <f>STATS1003B!L197/1000</f>
        <v>0</v>
      </c>
      <c r="M197" s="85">
        <f>STATS1003B!M197/1000</f>
        <v>1500</v>
      </c>
      <c r="N197" s="85">
        <f>STATS1003B!N197/1000</f>
        <v>0</v>
      </c>
      <c r="O197" s="85">
        <f>STATS1003B!O197/1000</f>
        <v>0</v>
      </c>
      <c r="P197" s="85">
        <f>STATS1003B!P197/1000</f>
        <v>0</v>
      </c>
      <c r="Q197" s="85">
        <f>STATS1003B!Q197/1000</f>
        <v>3000</v>
      </c>
      <c r="R197" s="85">
        <f>STATS1003B!R197/1000</f>
        <v>-1500</v>
      </c>
      <c r="S197" s="85">
        <f>STATS1003B!S197/1000</f>
        <v>0</v>
      </c>
      <c r="T197" s="85">
        <f>STATS1003B!T197/1000</f>
        <v>0</v>
      </c>
      <c r="U197" s="85">
        <f>STATS1003B!U197/1000</f>
        <v>0</v>
      </c>
      <c r="V197" s="85">
        <f>STATS1003B!V197/1000</f>
        <v>0</v>
      </c>
      <c r="W197" s="85">
        <f>STATS1003B!W197/1000</f>
        <v>0</v>
      </c>
      <c r="X197" s="85">
        <f t="shared" si="19"/>
        <v>1500</v>
      </c>
      <c r="Y197" s="85">
        <f>STATS1003B!Y197/1000</f>
        <v>0</v>
      </c>
      <c r="Z197" s="85">
        <f t="shared" si="22"/>
        <v>0</v>
      </c>
      <c r="AA197" s="69">
        <f>STATS1003B!AA197/1000</f>
        <v>1500</v>
      </c>
      <c r="AB197" s="69">
        <f>STATS1003B!AB197/1000</f>
        <v>0</v>
      </c>
    </row>
    <row r="198" spans="1:28" hidden="1" x14ac:dyDescent="0.3">
      <c r="A198" s="117"/>
      <c r="C198" s="68" t="s">
        <v>513</v>
      </c>
      <c r="D198" s="145" t="s">
        <v>73</v>
      </c>
      <c r="E198" s="85">
        <f>STATS1003B!E198/1000</f>
        <v>2277.64</v>
      </c>
      <c r="F198" s="85">
        <f>STATS1003B!F198/1000</f>
        <v>2277.64</v>
      </c>
      <c r="G198" s="85">
        <f>STATS1003B!G198/1000</f>
        <v>0</v>
      </c>
      <c r="H198" s="85">
        <f>STATS1003B!H198/1000</f>
        <v>2277.64</v>
      </c>
      <c r="I198" s="85">
        <f>STATS1003B!I198/1000</f>
        <v>4555.28</v>
      </c>
      <c r="J198" s="85">
        <f>STATS1003B!J198/1000</f>
        <v>0</v>
      </c>
      <c r="K198" s="85">
        <f>STATS1003B!K198/1000</f>
        <v>4555.28</v>
      </c>
      <c r="L198" s="85">
        <f>STATS1003B!L198/1000</f>
        <v>0</v>
      </c>
      <c r="M198" s="85">
        <f>STATS1003B!M198/1000</f>
        <v>2277.64</v>
      </c>
      <c r="N198" s="85">
        <f>STATS1003B!N198/1000</f>
        <v>0</v>
      </c>
      <c r="O198" s="85">
        <f>STATS1003B!O198/1000</f>
        <v>0</v>
      </c>
      <c r="P198" s="85">
        <f>STATS1003B!P198/1000</f>
        <v>0</v>
      </c>
      <c r="Q198" s="85">
        <f>STATS1003B!Q198/1000</f>
        <v>4555.28</v>
      </c>
      <c r="R198" s="85">
        <f>STATS1003B!R198/1000</f>
        <v>-2277.64</v>
      </c>
      <c r="S198" s="85">
        <f>STATS1003B!S198/1000</f>
        <v>0</v>
      </c>
      <c r="T198" s="85">
        <f>STATS1003B!T198/1000</f>
        <v>0</v>
      </c>
      <c r="U198" s="85">
        <f>STATS1003B!U198/1000</f>
        <v>0</v>
      </c>
      <c r="V198" s="85">
        <f>STATS1003B!V198/1000</f>
        <v>0</v>
      </c>
      <c r="W198" s="85">
        <f>STATS1003B!W198/1000</f>
        <v>0</v>
      </c>
      <c r="X198" s="85">
        <f t="shared" si="19"/>
        <v>2277.64</v>
      </c>
      <c r="Y198" s="85">
        <f>STATS1003B!Y198/1000</f>
        <v>0</v>
      </c>
      <c r="Z198" s="85">
        <f t="shared" si="22"/>
        <v>0</v>
      </c>
      <c r="AA198" s="69">
        <f>STATS1003B!AA198/1000</f>
        <v>2277.64</v>
      </c>
      <c r="AB198" s="69">
        <f>STATS1003B!AB198/1000</f>
        <v>0</v>
      </c>
    </row>
    <row r="199" spans="1:28" hidden="1" x14ac:dyDescent="0.3">
      <c r="A199" s="117"/>
      <c r="C199" s="68" t="s">
        <v>517</v>
      </c>
      <c r="D199" s="145" t="s">
        <v>73</v>
      </c>
      <c r="E199" s="85">
        <f>STATS1003B!E199/1000</f>
        <v>500</v>
      </c>
      <c r="F199" s="85">
        <f>STATS1003B!F199/1000</f>
        <v>500</v>
      </c>
      <c r="G199" s="85">
        <f>STATS1003B!G199/1000</f>
        <v>0</v>
      </c>
      <c r="H199" s="85">
        <f>STATS1003B!H199/1000</f>
        <v>500</v>
      </c>
      <c r="I199" s="85">
        <f>STATS1003B!I199/1000</f>
        <v>1000</v>
      </c>
      <c r="J199" s="85">
        <f>STATS1003B!J199/1000</f>
        <v>0</v>
      </c>
      <c r="K199" s="85">
        <f>STATS1003B!K199/1000</f>
        <v>1000</v>
      </c>
      <c r="L199" s="85">
        <f>STATS1003B!L199/1000</f>
        <v>0</v>
      </c>
      <c r="M199" s="85">
        <f>STATS1003B!M199/1000</f>
        <v>500</v>
      </c>
      <c r="N199" s="85">
        <f>STATS1003B!N199/1000</f>
        <v>0</v>
      </c>
      <c r="O199" s="85">
        <f>STATS1003B!O199/1000</f>
        <v>0</v>
      </c>
      <c r="P199" s="85">
        <f>STATS1003B!P199/1000</f>
        <v>0</v>
      </c>
      <c r="Q199" s="85">
        <f>STATS1003B!Q199/1000</f>
        <v>1000</v>
      </c>
      <c r="R199" s="85">
        <f>STATS1003B!R199/1000</f>
        <v>-500</v>
      </c>
      <c r="S199" s="85">
        <f>STATS1003B!S199/1000</f>
        <v>0</v>
      </c>
      <c r="T199" s="85">
        <f>STATS1003B!T199/1000</f>
        <v>0</v>
      </c>
      <c r="U199" s="85">
        <f>STATS1003B!U199/1000</f>
        <v>0</v>
      </c>
      <c r="V199" s="85">
        <f>STATS1003B!V199/1000</f>
        <v>0</v>
      </c>
      <c r="W199" s="85">
        <f>STATS1003B!W199/1000</f>
        <v>0</v>
      </c>
      <c r="X199" s="85">
        <f t="shared" si="19"/>
        <v>500</v>
      </c>
      <c r="Y199" s="85">
        <f>STATS1003B!Y199/1000</f>
        <v>0</v>
      </c>
      <c r="Z199" s="85">
        <f t="shared" si="22"/>
        <v>0</v>
      </c>
      <c r="AA199" s="69">
        <f>STATS1003B!AA199/1000</f>
        <v>500</v>
      </c>
      <c r="AB199" s="69">
        <f>STATS1003B!AB199/1000</f>
        <v>0</v>
      </c>
    </row>
    <row r="200" spans="1:28" hidden="1" x14ac:dyDescent="0.3">
      <c r="A200" s="117"/>
      <c r="C200" s="71" t="s">
        <v>513</v>
      </c>
      <c r="D200" s="88" t="s">
        <v>61</v>
      </c>
      <c r="E200" s="85">
        <f>STATS1003B!E200/1000</f>
        <v>674</v>
      </c>
      <c r="F200" s="85">
        <f>STATS1003B!F200/1000</f>
        <v>674</v>
      </c>
      <c r="G200" s="85">
        <f>STATS1003B!G200/1000</f>
        <v>0</v>
      </c>
      <c r="H200" s="85">
        <f>STATS1003B!H200/1000</f>
        <v>674</v>
      </c>
      <c r="I200" s="85">
        <f>STATS1003B!I200/1000</f>
        <v>1348</v>
      </c>
      <c r="J200" s="85">
        <f>STATS1003B!J200/1000</f>
        <v>0</v>
      </c>
      <c r="K200" s="85">
        <f>STATS1003B!K200/1000</f>
        <v>1348</v>
      </c>
      <c r="L200" s="85">
        <f>STATS1003B!L200/1000</f>
        <v>0</v>
      </c>
      <c r="M200" s="85">
        <f>STATS1003B!M200/1000</f>
        <v>674</v>
      </c>
      <c r="N200" s="85">
        <f>STATS1003B!N200/1000</f>
        <v>0</v>
      </c>
      <c r="O200" s="85">
        <f>STATS1003B!O200/1000</f>
        <v>0</v>
      </c>
      <c r="P200" s="85">
        <f>STATS1003B!P200/1000</f>
        <v>0</v>
      </c>
      <c r="Q200" s="85">
        <f>STATS1003B!Q200/1000</f>
        <v>1348</v>
      </c>
      <c r="R200" s="85">
        <f>STATS1003B!R200/1000</f>
        <v>-674</v>
      </c>
      <c r="S200" s="85">
        <f>STATS1003B!S200/1000</f>
        <v>0</v>
      </c>
      <c r="T200" s="85">
        <f>STATS1003B!T200/1000</f>
        <v>0</v>
      </c>
      <c r="U200" s="85">
        <f>STATS1003B!U200/1000</f>
        <v>0</v>
      </c>
      <c r="V200" s="85">
        <f>STATS1003B!V200/1000</f>
        <v>0</v>
      </c>
      <c r="W200" s="85">
        <f>STATS1003B!W200/1000</f>
        <v>0</v>
      </c>
      <c r="X200" s="85">
        <f t="shared" si="19"/>
        <v>674</v>
      </c>
      <c r="Y200" s="85">
        <f>STATS1003B!Y200/1000</f>
        <v>0</v>
      </c>
      <c r="Z200" s="85">
        <f t="shared" si="22"/>
        <v>0</v>
      </c>
      <c r="AA200" s="69">
        <f>STATS1003B!AA200/1000</f>
        <v>674</v>
      </c>
      <c r="AB200" s="69">
        <f>STATS1003B!AB200/1000</f>
        <v>0</v>
      </c>
    </row>
    <row r="201" spans="1:28" hidden="1" x14ac:dyDescent="0.3">
      <c r="A201" s="117"/>
      <c r="C201" s="71" t="s">
        <v>1063</v>
      </c>
      <c r="D201" s="88"/>
      <c r="E201" s="85">
        <f>STATS1003B!E201/1000</f>
        <v>1251.4045800000001</v>
      </c>
      <c r="F201" s="85">
        <f>STATS1003B!F201/1000</f>
        <v>1251.4045800000001</v>
      </c>
      <c r="G201" s="85">
        <f>STATS1003B!G201/1000</f>
        <v>0</v>
      </c>
      <c r="H201" s="85">
        <f>STATS1003B!H201/1000</f>
        <v>1251.4045800000001</v>
      </c>
      <c r="I201" s="85">
        <f>STATS1003B!I201/1000</f>
        <v>0</v>
      </c>
      <c r="J201" s="85">
        <f>STATS1003B!J201/1000</f>
        <v>0</v>
      </c>
      <c r="K201" s="85">
        <f>STATS1003B!K201/1000</f>
        <v>0</v>
      </c>
      <c r="L201" s="85">
        <f>STATS1003B!L201/1000</f>
        <v>0</v>
      </c>
      <c r="M201" s="85">
        <f>STATS1003B!M201/1000</f>
        <v>1251.4045800000001</v>
      </c>
      <c r="N201" s="85">
        <f>STATS1003B!N201/1000</f>
        <v>0</v>
      </c>
      <c r="O201" s="85">
        <f>STATS1003B!O201/1000</f>
        <v>0</v>
      </c>
      <c r="P201" s="85">
        <f>STATS1003B!P201/1000</f>
        <v>0</v>
      </c>
      <c r="Q201" s="85">
        <f>STATS1003B!Q201/1000</f>
        <v>0</v>
      </c>
      <c r="R201" s="85">
        <f>STATS1003B!R201/1000</f>
        <v>0</v>
      </c>
      <c r="S201" s="85">
        <f>STATS1003B!S201/1000</f>
        <v>0</v>
      </c>
      <c r="T201" s="85">
        <f>STATS1003B!T201/1000</f>
        <v>0</v>
      </c>
      <c r="U201" s="85">
        <f>STATS1003B!U201/1000</f>
        <v>0</v>
      </c>
      <c r="V201" s="85">
        <f>STATS1003B!V201/1000</f>
        <v>0</v>
      </c>
      <c r="W201" s="85">
        <f>STATS1003B!W201/1000</f>
        <v>0</v>
      </c>
      <c r="X201" s="85">
        <f t="shared" si="19"/>
        <v>1251.4045800000001</v>
      </c>
      <c r="Y201" s="85">
        <f>STATS1003B!Y201/1000</f>
        <v>0</v>
      </c>
      <c r="Z201" s="85">
        <f t="shared" si="22"/>
        <v>0</v>
      </c>
      <c r="AA201" s="69">
        <f>STATS1003B!AA201/1000</f>
        <v>1251.4045800000001</v>
      </c>
      <c r="AB201" s="69">
        <f>STATS1003B!AB201/1000</f>
        <v>0</v>
      </c>
    </row>
    <row r="202" spans="1:28" hidden="1" x14ac:dyDescent="0.3">
      <c r="A202" s="117"/>
      <c r="C202" s="71" t="s">
        <v>1179</v>
      </c>
      <c r="D202" s="89" t="s">
        <v>1126</v>
      </c>
      <c r="E202" s="85">
        <f>STATS1003B!E202/1000</f>
        <v>686.77949000000001</v>
      </c>
      <c r="F202" s="85">
        <f>STATS1003B!F202/1000</f>
        <v>686.77949000000001</v>
      </c>
      <c r="G202" s="85">
        <f>STATS1003B!G202/1000</f>
        <v>0</v>
      </c>
      <c r="H202" s="85">
        <f>STATS1003B!H202/1000</f>
        <v>686.77949000000001</v>
      </c>
      <c r="I202" s="85">
        <f>STATS1003B!I202/1000</f>
        <v>0</v>
      </c>
      <c r="J202" s="85">
        <f>STATS1003B!J202/1000</f>
        <v>0</v>
      </c>
      <c r="K202" s="85">
        <f>STATS1003B!K202/1000</f>
        <v>0</v>
      </c>
      <c r="L202" s="85">
        <f>STATS1003B!L202/1000</f>
        <v>0</v>
      </c>
      <c r="M202" s="85">
        <f>STATS1003B!M202/1000</f>
        <v>686.77949000000001</v>
      </c>
      <c r="N202" s="85">
        <f>STATS1003B!N202/1000</f>
        <v>0</v>
      </c>
      <c r="O202" s="85">
        <f>STATS1003B!O202/1000</f>
        <v>0</v>
      </c>
      <c r="P202" s="85">
        <f>STATS1003B!P202/1000</f>
        <v>0</v>
      </c>
      <c r="Q202" s="85">
        <f>STATS1003B!Q202/1000</f>
        <v>0</v>
      </c>
      <c r="R202" s="85">
        <f>STATS1003B!R202/1000</f>
        <v>0</v>
      </c>
      <c r="S202" s="85">
        <f>STATS1003B!S202/1000</f>
        <v>0</v>
      </c>
      <c r="T202" s="85">
        <f>STATS1003B!T202/1000</f>
        <v>0</v>
      </c>
      <c r="U202" s="85">
        <f>STATS1003B!U202/1000</f>
        <v>0</v>
      </c>
      <c r="V202" s="85">
        <f>STATS1003B!V202/1000</f>
        <v>0</v>
      </c>
      <c r="W202" s="85">
        <f>STATS1003B!W202/1000</f>
        <v>0</v>
      </c>
      <c r="X202" s="85">
        <f t="shared" si="19"/>
        <v>686.77949000000001</v>
      </c>
      <c r="Y202" s="85">
        <f>STATS1003B!Y202/1000</f>
        <v>0</v>
      </c>
      <c r="Z202" s="85">
        <f t="shared" si="22"/>
        <v>0</v>
      </c>
      <c r="AA202" s="69">
        <f>STATS1003B!AA202/1000</f>
        <v>686.77949000000001</v>
      </c>
      <c r="AB202" s="69">
        <f>STATS1003B!AB202/1000</f>
        <v>0</v>
      </c>
    </row>
    <row r="203" spans="1:28" hidden="1" x14ac:dyDescent="0.3">
      <c r="A203" s="117"/>
      <c r="C203" s="68" t="s">
        <v>518</v>
      </c>
      <c r="E203" s="85">
        <f>STATS1003B!E203/1000</f>
        <v>1828.3206</v>
      </c>
      <c r="F203" s="85">
        <f>STATS1003B!F203/1000</f>
        <v>1828.3206</v>
      </c>
      <c r="G203" s="85">
        <f>STATS1003B!G203/1000</f>
        <v>0</v>
      </c>
      <c r="H203" s="85">
        <f>STATS1003B!H203/1000</f>
        <v>1828.3206</v>
      </c>
      <c r="I203" s="85">
        <f>STATS1003B!I203/1000</f>
        <v>3656.6412</v>
      </c>
      <c r="J203" s="85">
        <f>STATS1003B!J203/1000</f>
        <v>0</v>
      </c>
      <c r="K203" s="85">
        <f>STATS1003B!K203/1000</f>
        <v>3656.6412</v>
      </c>
      <c r="L203" s="85">
        <f>STATS1003B!L203/1000</f>
        <v>0</v>
      </c>
      <c r="M203" s="85">
        <f>STATS1003B!M203/1000</f>
        <v>1828.3206</v>
      </c>
      <c r="N203" s="85">
        <f>STATS1003B!N203/1000</f>
        <v>0</v>
      </c>
      <c r="O203" s="85">
        <f>STATS1003B!O203/1000</f>
        <v>0</v>
      </c>
      <c r="P203" s="85">
        <f>STATS1003B!P203/1000</f>
        <v>0</v>
      </c>
      <c r="Q203" s="85">
        <f>STATS1003B!Q203/1000</f>
        <v>3656.6412</v>
      </c>
      <c r="R203" s="85">
        <f>STATS1003B!R203/1000</f>
        <v>-1828.3206</v>
      </c>
      <c r="S203" s="85">
        <f>STATS1003B!S203/1000</f>
        <v>0</v>
      </c>
      <c r="T203" s="85">
        <f>STATS1003B!T203/1000</f>
        <v>0</v>
      </c>
      <c r="U203" s="85">
        <f>STATS1003B!U203/1000</f>
        <v>0</v>
      </c>
      <c r="V203" s="85">
        <f>STATS1003B!V203/1000</f>
        <v>0</v>
      </c>
      <c r="W203" s="85">
        <f>STATS1003B!W203/1000</f>
        <v>0</v>
      </c>
      <c r="X203" s="85">
        <f t="shared" si="19"/>
        <v>1828.3206</v>
      </c>
      <c r="Y203" s="85">
        <f>STATS1003B!Y203/1000</f>
        <v>0</v>
      </c>
      <c r="Z203" s="85">
        <f t="shared" si="22"/>
        <v>0</v>
      </c>
      <c r="AA203" s="69">
        <f>STATS1003B!AA203/1000</f>
        <v>1828.3206</v>
      </c>
      <c r="AB203" s="69">
        <f>STATS1003B!AB203/1000</f>
        <v>0</v>
      </c>
    </row>
    <row r="204" spans="1:28" hidden="1" x14ac:dyDescent="0.3">
      <c r="A204" s="117"/>
      <c r="C204" s="68" t="s">
        <v>519</v>
      </c>
      <c r="E204" s="85">
        <f>STATS1003B!E204/1000</f>
        <v>937.39431999999999</v>
      </c>
      <c r="F204" s="85">
        <f>STATS1003B!F204/1000</f>
        <v>937.39431999999999</v>
      </c>
      <c r="G204" s="85">
        <f>STATS1003B!G204/1000</f>
        <v>0</v>
      </c>
      <c r="H204" s="85">
        <f>STATS1003B!H204/1000</f>
        <v>937.39431999999999</v>
      </c>
      <c r="I204" s="85">
        <f>STATS1003B!I204/1000</f>
        <v>1874.78864</v>
      </c>
      <c r="J204" s="85">
        <f>STATS1003B!J204/1000</f>
        <v>0</v>
      </c>
      <c r="K204" s="85">
        <f>STATS1003B!K204/1000</f>
        <v>1874.78864</v>
      </c>
      <c r="L204" s="85">
        <f>STATS1003B!L204/1000</f>
        <v>0</v>
      </c>
      <c r="M204" s="85">
        <f>STATS1003B!M204/1000</f>
        <v>937.39431999999999</v>
      </c>
      <c r="N204" s="85">
        <f>STATS1003B!N204/1000</f>
        <v>0</v>
      </c>
      <c r="O204" s="85">
        <f>STATS1003B!O204/1000</f>
        <v>0</v>
      </c>
      <c r="P204" s="85">
        <f>STATS1003B!P204/1000</f>
        <v>0</v>
      </c>
      <c r="Q204" s="85">
        <f>STATS1003B!Q204/1000</f>
        <v>1874.78864</v>
      </c>
      <c r="R204" s="85">
        <f>STATS1003B!R204/1000</f>
        <v>-937.39431999999999</v>
      </c>
      <c r="S204" s="85">
        <f>STATS1003B!S204/1000</f>
        <v>0</v>
      </c>
      <c r="T204" s="85">
        <f>STATS1003B!T204/1000</f>
        <v>0</v>
      </c>
      <c r="U204" s="85">
        <f>STATS1003B!U204/1000</f>
        <v>0</v>
      </c>
      <c r="V204" s="85">
        <f>STATS1003B!V204/1000</f>
        <v>0</v>
      </c>
      <c r="W204" s="85">
        <f>STATS1003B!W204/1000</f>
        <v>0</v>
      </c>
      <c r="X204" s="85">
        <f t="shared" si="19"/>
        <v>937.39431999999999</v>
      </c>
      <c r="Y204" s="85">
        <f>STATS1003B!Y204/1000</f>
        <v>0</v>
      </c>
      <c r="Z204" s="85">
        <f t="shared" si="22"/>
        <v>0</v>
      </c>
      <c r="AA204" s="69">
        <f>STATS1003B!AA204/1000</f>
        <v>937.39431999999999</v>
      </c>
      <c r="AB204" s="69">
        <f>STATS1003B!AB204/1000</f>
        <v>0</v>
      </c>
    </row>
    <row r="205" spans="1:28" hidden="1" x14ac:dyDescent="0.3">
      <c r="A205" s="117"/>
      <c r="C205" s="68" t="s">
        <v>520</v>
      </c>
      <c r="E205" s="85">
        <f>STATS1003B!E205/1000</f>
        <v>1491.15</v>
      </c>
      <c r="F205" s="85">
        <f>STATS1003B!F205/1000</f>
        <v>1491.15</v>
      </c>
      <c r="G205" s="85">
        <f>STATS1003B!G205/1000</f>
        <v>0</v>
      </c>
      <c r="H205" s="85">
        <f>STATS1003B!H205/1000</f>
        <v>1491.15</v>
      </c>
      <c r="I205" s="85">
        <f>STATS1003B!I205/1000</f>
        <v>2982.3</v>
      </c>
      <c r="J205" s="85">
        <f>STATS1003B!J205/1000</f>
        <v>0</v>
      </c>
      <c r="K205" s="85">
        <f>STATS1003B!K205/1000</f>
        <v>2982.3</v>
      </c>
      <c r="L205" s="85">
        <f>STATS1003B!L205/1000</f>
        <v>0</v>
      </c>
      <c r="M205" s="85">
        <f>STATS1003B!M205/1000</f>
        <v>1491.15</v>
      </c>
      <c r="N205" s="85">
        <f>STATS1003B!N205/1000</f>
        <v>0</v>
      </c>
      <c r="O205" s="85">
        <f>STATS1003B!O205/1000</f>
        <v>0</v>
      </c>
      <c r="P205" s="85">
        <f>STATS1003B!P205/1000</f>
        <v>0</v>
      </c>
      <c r="Q205" s="85">
        <f>STATS1003B!Q205/1000</f>
        <v>2982.3</v>
      </c>
      <c r="R205" s="85">
        <f>STATS1003B!R205/1000</f>
        <v>-1491.15</v>
      </c>
      <c r="S205" s="85">
        <f>STATS1003B!S205/1000</f>
        <v>0</v>
      </c>
      <c r="T205" s="85">
        <f>STATS1003B!T205/1000</f>
        <v>0</v>
      </c>
      <c r="U205" s="85">
        <f>STATS1003B!U205/1000</f>
        <v>0</v>
      </c>
      <c r="V205" s="85">
        <f>STATS1003B!V205/1000</f>
        <v>0</v>
      </c>
      <c r="W205" s="85">
        <f>STATS1003B!W205/1000</f>
        <v>0</v>
      </c>
      <c r="X205" s="85">
        <f t="shared" si="19"/>
        <v>1491.15</v>
      </c>
      <c r="Y205" s="85">
        <f>STATS1003B!Y205/1000</f>
        <v>0</v>
      </c>
      <c r="Z205" s="85">
        <f t="shared" si="22"/>
        <v>0</v>
      </c>
      <c r="AA205" s="69">
        <f>STATS1003B!AA205/1000</f>
        <v>1491.15</v>
      </c>
      <c r="AB205" s="69">
        <f>STATS1003B!AB205/1000</f>
        <v>0</v>
      </c>
    </row>
    <row r="206" spans="1:28" hidden="1" x14ac:dyDescent="0.3">
      <c r="A206" s="117"/>
      <c r="C206" s="68" t="s">
        <v>521</v>
      </c>
      <c r="E206" s="85">
        <f>STATS1003B!E206/1000</f>
        <v>2820.6720499999997</v>
      </c>
      <c r="F206" s="85">
        <f>STATS1003B!F206/1000</f>
        <v>2820.6720499999997</v>
      </c>
      <c r="G206" s="85">
        <f>STATS1003B!G206/1000</f>
        <v>0</v>
      </c>
      <c r="H206" s="85">
        <f>STATS1003B!H206/1000</f>
        <v>2820.6720499999997</v>
      </c>
      <c r="I206" s="85">
        <f>STATS1003B!I206/1000</f>
        <v>5641.3440999999993</v>
      </c>
      <c r="J206" s="85">
        <f>STATS1003B!J206/1000</f>
        <v>0</v>
      </c>
      <c r="K206" s="85">
        <f>STATS1003B!K206/1000</f>
        <v>5641.3440999999993</v>
      </c>
      <c r="L206" s="85">
        <f>STATS1003B!L206/1000</f>
        <v>0</v>
      </c>
      <c r="M206" s="85">
        <f>STATS1003B!M206/1000</f>
        <v>2820.6720499999997</v>
      </c>
      <c r="N206" s="85">
        <f>STATS1003B!N206/1000</f>
        <v>0</v>
      </c>
      <c r="O206" s="85">
        <f>STATS1003B!O206/1000</f>
        <v>0</v>
      </c>
      <c r="P206" s="85">
        <f>STATS1003B!P206/1000</f>
        <v>0</v>
      </c>
      <c r="Q206" s="85">
        <f>STATS1003B!Q206/1000</f>
        <v>5641.3440999999993</v>
      </c>
      <c r="R206" s="85">
        <f>STATS1003B!R206/1000</f>
        <v>-2820.6720499999997</v>
      </c>
      <c r="S206" s="85">
        <f>STATS1003B!S206/1000</f>
        <v>0</v>
      </c>
      <c r="T206" s="85">
        <f>STATS1003B!T206/1000</f>
        <v>0</v>
      </c>
      <c r="U206" s="85">
        <f>STATS1003B!U206/1000</f>
        <v>0</v>
      </c>
      <c r="V206" s="85">
        <f>STATS1003B!V206/1000</f>
        <v>0</v>
      </c>
      <c r="W206" s="85">
        <f>STATS1003B!W206/1000</f>
        <v>0</v>
      </c>
      <c r="X206" s="85">
        <f t="shared" si="19"/>
        <v>2820.6720499999997</v>
      </c>
      <c r="Y206" s="85">
        <f>STATS1003B!Y206/1000</f>
        <v>0</v>
      </c>
      <c r="Z206" s="85">
        <f t="shared" si="22"/>
        <v>0</v>
      </c>
      <c r="AA206" s="69">
        <f>STATS1003B!AA206/1000</f>
        <v>2820.6720499999997</v>
      </c>
      <c r="AB206" s="69">
        <f>STATS1003B!AB206/1000</f>
        <v>0</v>
      </c>
    </row>
    <row r="207" spans="1:28" hidden="1" x14ac:dyDescent="0.3">
      <c r="A207" s="117"/>
      <c r="E207" s="86" t="s">
        <v>29</v>
      </c>
      <c r="F207" s="86" t="s">
        <v>29</v>
      </c>
      <c r="G207" s="86" t="s">
        <v>29</v>
      </c>
      <c r="H207" s="86" t="s">
        <v>29</v>
      </c>
      <c r="I207" s="86" t="s">
        <v>29</v>
      </c>
      <c r="J207" s="86" t="s">
        <v>29</v>
      </c>
      <c r="K207" s="86" t="s">
        <v>29</v>
      </c>
      <c r="L207" s="86" t="s">
        <v>29</v>
      </c>
      <c r="M207" s="86" t="s">
        <v>29</v>
      </c>
      <c r="N207" s="86" t="s">
        <v>29</v>
      </c>
      <c r="O207" s="86" t="s">
        <v>29</v>
      </c>
      <c r="P207" s="86" t="s">
        <v>29</v>
      </c>
      <c r="Q207" s="86" t="s">
        <v>29</v>
      </c>
      <c r="R207" s="86" t="s">
        <v>29</v>
      </c>
      <c r="S207" s="86" t="s">
        <v>29</v>
      </c>
      <c r="T207" s="86" t="s">
        <v>29</v>
      </c>
      <c r="U207" s="86" t="s">
        <v>29</v>
      </c>
      <c r="V207" s="86" t="s">
        <v>29</v>
      </c>
      <c r="W207" s="86" t="s">
        <v>29</v>
      </c>
      <c r="X207" s="85" t="e">
        <f t="shared" si="19"/>
        <v>#VALUE!</v>
      </c>
      <c r="Y207" s="86" t="s">
        <v>29</v>
      </c>
      <c r="Z207" s="85" t="e">
        <f t="shared" si="22"/>
        <v>#VALUE!</v>
      </c>
      <c r="AA207" s="115" t="s">
        <v>29</v>
      </c>
      <c r="AB207" s="115" t="s">
        <v>29</v>
      </c>
    </row>
    <row r="208" spans="1:28" x14ac:dyDescent="0.3">
      <c r="A208" s="116" t="s">
        <v>943</v>
      </c>
      <c r="B208" s="68" t="s">
        <v>509</v>
      </c>
      <c r="E208" s="85">
        <f>118735056.48/1000</f>
        <v>118735.05648</v>
      </c>
      <c r="F208" s="85">
        <f>SUM(F187:F206)</f>
        <v>23719.677040000002</v>
      </c>
      <c r="G208" s="85">
        <f>SUM(G187:G206)</f>
        <v>0</v>
      </c>
      <c r="H208" s="84">
        <f>115917245.06/1000</f>
        <v>115917.24506</v>
      </c>
      <c r="I208" s="85">
        <f t="shared" ref="I208:R208" si="25">SUM(I187:I207)</f>
        <v>43562.985940000006</v>
      </c>
      <c r="J208" s="85">
        <f t="shared" si="25"/>
        <v>0</v>
      </c>
      <c r="K208" s="85">
        <f t="shared" si="25"/>
        <v>43562.985940000006</v>
      </c>
      <c r="L208" s="85">
        <f t="shared" si="25"/>
        <v>0</v>
      </c>
      <c r="M208" s="85">
        <f t="shared" si="25"/>
        <v>23719.677040000002</v>
      </c>
      <c r="N208" s="85">
        <f t="shared" si="25"/>
        <v>2671.1612299999997</v>
      </c>
      <c r="O208" s="85">
        <f t="shared" si="25"/>
        <v>0</v>
      </c>
      <c r="P208" s="85">
        <f>2671161/1000</f>
        <v>2671.1610000000001</v>
      </c>
      <c r="Q208" s="85">
        <f t="shared" si="25"/>
        <v>46234.147170000004</v>
      </c>
      <c r="R208" s="85">
        <f t="shared" si="25"/>
        <v>-21634.842780000003</v>
      </c>
      <c r="S208" s="86"/>
      <c r="T208" s="92">
        <f>+O208+S208</f>
        <v>0</v>
      </c>
      <c r="U208" s="92">
        <f>SUM(U187:U206)</f>
        <v>2671.1612299999997</v>
      </c>
      <c r="V208" s="92">
        <f>+Q208+U208</f>
        <v>48905.308400000002</v>
      </c>
      <c r="W208" s="92">
        <f>+R208+V208</f>
        <v>27270.465619999999</v>
      </c>
      <c r="X208" s="85">
        <f>+H208+P208</f>
        <v>118588.40606000001</v>
      </c>
      <c r="Y208" s="92">
        <f>SUM(Y187:Y206)</f>
        <v>0</v>
      </c>
      <c r="Z208" s="85">
        <f t="shared" si="22"/>
        <v>146.65041999999085</v>
      </c>
      <c r="AA208" s="121">
        <f>SUM(AA187:AA206)</f>
        <v>26390.838269999997</v>
      </c>
      <c r="AB208" s="121">
        <f>SUM(AB187:AB206)</f>
        <v>146.65019000000001</v>
      </c>
    </row>
    <row r="209" spans="1:28" hidden="1" x14ac:dyDescent="0.3">
      <c r="A209" s="117"/>
      <c r="E209" s="86" t="s">
        <v>29</v>
      </c>
      <c r="F209" s="86" t="s">
        <v>29</v>
      </c>
      <c r="G209" s="86" t="s">
        <v>29</v>
      </c>
      <c r="H209" s="86" t="s">
        <v>29</v>
      </c>
      <c r="I209" s="86" t="s">
        <v>29</v>
      </c>
      <c r="J209" s="86" t="s">
        <v>29</v>
      </c>
      <c r="K209" s="86" t="s">
        <v>29</v>
      </c>
      <c r="L209" s="86" t="s">
        <v>29</v>
      </c>
      <c r="M209" s="86" t="s">
        <v>29</v>
      </c>
      <c r="N209" s="86" t="s">
        <v>29</v>
      </c>
      <c r="O209" s="86" t="s">
        <v>29</v>
      </c>
      <c r="P209" s="86" t="s">
        <v>29</v>
      </c>
      <c r="Q209" s="86" t="s">
        <v>29</v>
      </c>
      <c r="R209" s="86" t="s">
        <v>29</v>
      </c>
      <c r="S209" s="86" t="s">
        <v>29</v>
      </c>
      <c r="T209" s="86" t="s">
        <v>29</v>
      </c>
      <c r="U209" s="86" t="s">
        <v>29</v>
      </c>
      <c r="V209" s="86" t="s">
        <v>29</v>
      </c>
      <c r="W209" s="86" t="s">
        <v>29</v>
      </c>
      <c r="X209" s="85" t="e">
        <f t="shared" si="19"/>
        <v>#VALUE!</v>
      </c>
      <c r="Y209" s="86" t="s">
        <v>29</v>
      </c>
      <c r="Z209" s="85" t="e">
        <f t="shared" si="22"/>
        <v>#VALUE!</v>
      </c>
      <c r="AA209" s="115" t="s">
        <v>29</v>
      </c>
      <c r="AB209" s="115" t="s">
        <v>29</v>
      </c>
    </row>
    <row r="210" spans="1:28" hidden="1" x14ac:dyDescent="0.3">
      <c r="A210" s="105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6"/>
      <c r="T210" s="86"/>
      <c r="U210" s="86"/>
      <c r="V210" s="86"/>
      <c r="W210" s="86"/>
      <c r="X210" s="85">
        <f t="shared" si="19"/>
        <v>0</v>
      </c>
      <c r="Y210" s="86"/>
      <c r="Z210" s="85">
        <f t="shared" si="22"/>
        <v>0</v>
      </c>
      <c r="AA210" s="118"/>
    </row>
    <row r="211" spans="1:28" hidden="1" x14ac:dyDescent="0.3">
      <c r="A211" s="117"/>
      <c r="C211" s="68" t="s">
        <v>523</v>
      </c>
      <c r="D211" s="145" t="s">
        <v>166</v>
      </c>
      <c r="E211" s="85">
        <f>STATS1003B!E211/1000</f>
        <v>2968</v>
      </c>
      <c r="F211" s="85">
        <f>STATS1003B!F211/1000</f>
        <v>2968</v>
      </c>
      <c r="G211" s="85">
        <f>STATS1003B!G211/1000</f>
        <v>0</v>
      </c>
      <c r="H211" s="85">
        <f>STATS1003B!H211/1000</f>
        <v>2968</v>
      </c>
      <c r="I211" s="85">
        <f>STATS1003B!I211/1000</f>
        <v>5936</v>
      </c>
      <c r="J211" s="85">
        <f>STATS1003B!J211/1000</f>
        <v>0</v>
      </c>
      <c r="K211" s="85">
        <f>STATS1003B!K211/1000</f>
        <v>5936</v>
      </c>
      <c r="L211" s="85">
        <f>STATS1003B!L211/1000</f>
        <v>0</v>
      </c>
      <c r="M211" s="85">
        <f>STATS1003B!M211/1000</f>
        <v>2968</v>
      </c>
      <c r="N211" s="85">
        <f>STATS1003B!N211/1000</f>
        <v>0</v>
      </c>
      <c r="O211" s="85">
        <f>STATS1003B!O211/1000</f>
        <v>0</v>
      </c>
      <c r="P211" s="85">
        <f>STATS1003B!P211/1000</f>
        <v>0</v>
      </c>
      <c r="Q211" s="85">
        <f>STATS1003B!Q211/1000</f>
        <v>5936</v>
      </c>
      <c r="R211" s="85">
        <f>STATS1003B!R211/1000</f>
        <v>-2968</v>
      </c>
      <c r="S211" s="85">
        <f>STATS1003B!S211/1000</f>
        <v>0</v>
      </c>
      <c r="T211" s="85">
        <f>STATS1003B!T211/1000</f>
        <v>0</v>
      </c>
      <c r="U211" s="85">
        <f>STATS1003B!U211/1000</f>
        <v>0</v>
      </c>
      <c r="V211" s="85">
        <f>STATS1003B!V211/1000</f>
        <v>0</v>
      </c>
      <c r="W211" s="85">
        <f>STATS1003B!W211/1000</f>
        <v>0</v>
      </c>
      <c r="X211" s="85">
        <f t="shared" si="19"/>
        <v>2968</v>
      </c>
      <c r="Y211" s="85">
        <f>STATS1003B!Y211/1000</f>
        <v>0</v>
      </c>
      <c r="Z211" s="85">
        <f t="shared" si="22"/>
        <v>0</v>
      </c>
      <c r="AA211" s="69">
        <f>STATS1003B!AA211/1000</f>
        <v>2968</v>
      </c>
      <c r="AB211" s="69">
        <f>STATS1003B!AB211/1000</f>
        <v>0</v>
      </c>
    </row>
    <row r="212" spans="1:28" hidden="1" x14ac:dyDescent="0.3">
      <c r="A212" s="117"/>
      <c r="C212" s="68" t="s">
        <v>524</v>
      </c>
      <c r="D212" s="145" t="s">
        <v>78</v>
      </c>
      <c r="E212" s="85">
        <f>STATS1003B!E212/1000</f>
        <v>3722.1</v>
      </c>
      <c r="F212" s="85">
        <f>STATS1003B!F212/1000</f>
        <v>3005.34618</v>
      </c>
      <c r="G212" s="85">
        <f>STATS1003B!G212/1000</f>
        <v>0</v>
      </c>
      <c r="H212" s="85">
        <f>STATS1003B!H212/1000</f>
        <v>3005.34618</v>
      </c>
      <c r="I212" s="85">
        <f>STATS1003B!I212/1000</f>
        <v>6010.69236</v>
      </c>
      <c r="J212" s="85">
        <f>STATS1003B!J212/1000</f>
        <v>0</v>
      </c>
      <c r="K212" s="85">
        <f>STATS1003B!K212/1000</f>
        <v>6010.69236</v>
      </c>
      <c r="L212" s="85">
        <f>STATS1003B!L212/1000</f>
        <v>0</v>
      </c>
      <c r="M212" s="85">
        <f>STATS1003B!M212/1000</f>
        <v>3005.34618</v>
      </c>
      <c r="N212" s="85">
        <f>STATS1003B!N212/1000</f>
        <v>716.75381999999991</v>
      </c>
      <c r="O212" s="85">
        <f>STATS1003B!O212/1000</f>
        <v>0</v>
      </c>
      <c r="P212" s="85">
        <f>STATS1003B!P212/1000</f>
        <v>716.75381999999991</v>
      </c>
      <c r="Q212" s="85">
        <f>STATS1003B!Q212/1000</f>
        <v>6727.4461800000008</v>
      </c>
      <c r="R212" s="85">
        <f>STATS1003B!R212/1000</f>
        <v>-3005.3461800000005</v>
      </c>
      <c r="S212" s="85">
        <f>STATS1003B!S212/1000</f>
        <v>0</v>
      </c>
      <c r="T212" s="85">
        <f>STATS1003B!T212/1000</f>
        <v>0</v>
      </c>
      <c r="U212" s="85">
        <f>STATS1003B!U212/1000</f>
        <v>716.75381999999991</v>
      </c>
      <c r="V212" s="85">
        <f>STATS1003B!V212/1000</f>
        <v>0</v>
      </c>
      <c r="W212" s="85">
        <f>STATS1003B!W212/1000</f>
        <v>0</v>
      </c>
      <c r="X212" s="85">
        <f t="shared" si="19"/>
        <v>3722.1</v>
      </c>
      <c r="Y212" s="85">
        <f>STATS1003B!Y212/1000</f>
        <v>0</v>
      </c>
      <c r="Z212" s="85">
        <f t="shared" si="22"/>
        <v>0</v>
      </c>
      <c r="AA212" s="69">
        <f>STATS1003B!AA212/1000</f>
        <v>3722.1</v>
      </c>
      <c r="AB212" s="69">
        <f>STATS1003B!AB212/1000</f>
        <v>0</v>
      </c>
    </row>
    <row r="213" spans="1:28" hidden="1" x14ac:dyDescent="0.3">
      <c r="A213" s="117"/>
      <c r="C213" s="68" t="s">
        <v>512</v>
      </c>
      <c r="D213" s="145" t="s">
        <v>78</v>
      </c>
      <c r="E213" s="85">
        <f>STATS1003B!E213/1000</f>
        <v>570.89691000000005</v>
      </c>
      <c r="F213" s="85">
        <f>STATS1003B!F213/1000</f>
        <v>0</v>
      </c>
      <c r="G213" s="85">
        <f>STATS1003B!G213/1000</f>
        <v>0</v>
      </c>
      <c r="H213" s="85">
        <f>STATS1003B!H213/1000</f>
        <v>0</v>
      </c>
      <c r="I213" s="85">
        <f>STATS1003B!I213/1000</f>
        <v>0</v>
      </c>
      <c r="J213" s="85">
        <f>STATS1003B!J213/1000</f>
        <v>0</v>
      </c>
      <c r="K213" s="85">
        <f>STATS1003B!K213/1000</f>
        <v>0</v>
      </c>
      <c r="L213" s="85">
        <f>STATS1003B!L213/1000</f>
        <v>0</v>
      </c>
      <c r="M213" s="85">
        <f>STATS1003B!M213/1000</f>
        <v>0</v>
      </c>
      <c r="N213" s="85">
        <f>STATS1003B!N213/1000</f>
        <v>570.89691000000005</v>
      </c>
      <c r="O213" s="85">
        <f>STATS1003B!O213/1000</f>
        <v>0</v>
      </c>
      <c r="P213" s="85">
        <f>STATS1003B!P213/1000</f>
        <v>570.89691000000005</v>
      </c>
      <c r="Q213" s="85">
        <f>STATS1003B!Q213/1000</f>
        <v>570.89691000000005</v>
      </c>
      <c r="R213" s="85">
        <f>STATS1003B!R213/1000</f>
        <v>0</v>
      </c>
      <c r="S213" s="85">
        <f>STATS1003B!S213/1000</f>
        <v>0</v>
      </c>
      <c r="T213" s="85">
        <f>STATS1003B!T213/1000</f>
        <v>0</v>
      </c>
      <c r="U213" s="85">
        <f>STATS1003B!U213/1000</f>
        <v>570.89691000000005</v>
      </c>
      <c r="V213" s="85">
        <f>STATS1003B!V213/1000</f>
        <v>0</v>
      </c>
      <c r="W213" s="85">
        <f>STATS1003B!W213/1000</f>
        <v>0</v>
      </c>
      <c r="X213" s="85">
        <f t="shared" si="19"/>
        <v>570.89691000000005</v>
      </c>
      <c r="Y213" s="85">
        <f>STATS1003B!Y213/1000</f>
        <v>0</v>
      </c>
      <c r="Z213" s="85">
        <f t="shared" si="22"/>
        <v>0</v>
      </c>
      <c r="AA213" s="69">
        <f>STATS1003B!AA213/1000</f>
        <v>570.89691000000005</v>
      </c>
      <c r="AB213" s="69">
        <f>STATS1003B!AB213/1000</f>
        <v>0</v>
      </c>
    </row>
    <row r="214" spans="1:28" hidden="1" x14ac:dyDescent="0.3">
      <c r="A214" s="117"/>
      <c r="C214" s="68" t="s">
        <v>514</v>
      </c>
      <c r="D214" s="88" t="s">
        <v>68</v>
      </c>
      <c r="E214" s="85">
        <f>STATS1003B!E214/1000</f>
        <v>1386.9682399999999</v>
      </c>
      <c r="F214" s="85">
        <f>STATS1003B!F214/1000</f>
        <v>0</v>
      </c>
      <c r="G214" s="85">
        <f>STATS1003B!G214/1000</f>
        <v>0</v>
      </c>
      <c r="H214" s="85">
        <f>STATS1003B!H214/1000</f>
        <v>0</v>
      </c>
      <c r="I214" s="85">
        <f>STATS1003B!I214/1000</f>
        <v>0</v>
      </c>
      <c r="J214" s="85">
        <f>STATS1003B!J214/1000</f>
        <v>0</v>
      </c>
      <c r="K214" s="85">
        <f>STATS1003B!K214/1000</f>
        <v>0</v>
      </c>
      <c r="L214" s="85">
        <f>STATS1003B!L214/1000</f>
        <v>0</v>
      </c>
      <c r="M214" s="85">
        <f>STATS1003B!M214/1000</f>
        <v>0</v>
      </c>
      <c r="N214" s="85">
        <f>STATS1003B!N214/1000</f>
        <v>1386.9682399999999</v>
      </c>
      <c r="O214" s="85">
        <f>STATS1003B!O214/1000</f>
        <v>0</v>
      </c>
      <c r="P214" s="85">
        <f>STATS1003B!P214/1000</f>
        <v>1386.9682399999999</v>
      </c>
      <c r="Q214" s="85">
        <f>STATS1003B!Q214/1000</f>
        <v>1386.9682399999999</v>
      </c>
      <c r="R214" s="85">
        <f>STATS1003B!R214/1000</f>
        <v>0</v>
      </c>
      <c r="S214" s="85">
        <f>STATS1003B!S214/1000</f>
        <v>0</v>
      </c>
      <c r="T214" s="85">
        <f>STATS1003B!T214/1000</f>
        <v>0</v>
      </c>
      <c r="U214" s="85">
        <f>STATS1003B!U214/1000</f>
        <v>1386.9682399999999</v>
      </c>
      <c r="V214" s="85">
        <f>STATS1003B!V214/1000</f>
        <v>0</v>
      </c>
      <c r="W214" s="85">
        <f>STATS1003B!W214/1000</f>
        <v>0</v>
      </c>
      <c r="X214" s="85">
        <f t="shared" ref="X214:X234" si="26">+H214+P214</f>
        <v>1386.9682399999999</v>
      </c>
      <c r="Y214" s="85">
        <f>STATS1003B!Y214/1000</f>
        <v>0</v>
      </c>
      <c r="Z214" s="85">
        <f t="shared" si="22"/>
        <v>0</v>
      </c>
      <c r="AA214" s="69">
        <f>STATS1003B!AA214/1000</f>
        <v>1386.9682399999999</v>
      </c>
      <c r="AB214" s="69">
        <f>STATS1003B!AB214/1000</f>
        <v>0</v>
      </c>
    </row>
    <row r="215" spans="1:28" hidden="1" x14ac:dyDescent="0.3">
      <c r="A215" s="117"/>
      <c r="C215" s="68" t="s">
        <v>513</v>
      </c>
      <c r="D215" s="88" t="s">
        <v>68</v>
      </c>
      <c r="E215" s="85">
        <f>STATS1003B!E215/1000</f>
        <v>946.12295999999992</v>
      </c>
      <c r="F215" s="85">
        <f>STATS1003B!F215/1000</f>
        <v>931.56600000000003</v>
      </c>
      <c r="G215" s="85">
        <f>STATS1003B!G215/1000</f>
        <v>0</v>
      </c>
      <c r="H215" s="85">
        <f>STATS1003B!H215/1000</f>
        <v>931.56600000000003</v>
      </c>
      <c r="I215" s="85">
        <f>STATS1003B!I215/1000</f>
        <v>1863.1320000000001</v>
      </c>
      <c r="J215" s="85">
        <f>STATS1003B!J215/1000</f>
        <v>0</v>
      </c>
      <c r="K215" s="85">
        <f>STATS1003B!K215/1000</f>
        <v>1863.1320000000001</v>
      </c>
      <c r="L215" s="85">
        <f>STATS1003B!L215/1000</f>
        <v>0</v>
      </c>
      <c r="M215" s="85">
        <f>STATS1003B!M215/1000</f>
        <v>931.56600000000003</v>
      </c>
      <c r="N215" s="85">
        <f>STATS1003B!N215/1000</f>
        <v>14.556959999999998</v>
      </c>
      <c r="O215" s="85">
        <f>STATS1003B!O215/1000</f>
        <v>0</v>
      </c>
      <c r="P215" s="85">
        <f>STATS1003B!P215/1000</f>
        <v>14.556959999999998</v>
      </c>
      <c r="Q215" s="85">
        <f>STATS1003B!Q215/1000</f>
        <v>1877.68896</v>
      </c>
      <c r="R215" s="85">
        <f>STATS1003B!R215/1000</f>
        <v>-931.56600000000003</v>
      </c>
      <c r="S215" s="85">
        <f>STATS1003B!S215/1000</f>
        <v>0</v>
      </c>
      <c r="T215" s="85">
        <f>STATS1003B!T215/1000</f>
        <v>0</v>
      </c>
      <c r="U215" s="85">
        <f>STATS1003B!U215/1000</f>
        <v>14.556959999999998</v>
      </c>
      <c r="V215" s="85">
        <f>STATS1003B!V215/1000</f>
        <v>0</v>
      </c>
      <c r="W215" s="85">
        <f>STATS1003B!W215/1000</f>
        <v>0</v>
      </c>
      <c r="X215" s="85">
        <f t="shared" si="26"/>
        <v>946.12296000000003</v>
      </c>
      <c r="Y215" s="85">
        <f>STATS1003B!Y215/1000</f>
        <v>0</v>
      </c>
      <c r="Z215" s="85">
        <f t="shared" si="22"/>
        <v>0</v>
      </c>
      <c r="AA215" s="69">
        <f>STATS1003B!AA215/1000</f>
        <v>946.12295999999992</v>
      </c>
      <c r="AB215" s="69">
        <f>STATS1003B!AB215/1000</f>
        <v>0</v>
      </c>
    </row>
    <row r="216" spans="1:28" hidden="1" x14ac:dyDescent="0.3">
      <c r="A216" s="117"/>
      <c r="C216" s="68" t="s">
        <v>525</v>
      </c>
      <c r="D216" s="88" t="s">
        <v>54</v>
      </c>
      <c r="E216" s="85">
        <f>STATS1003B!E216/1000</f>
        <v>1767.77</v>
      </c>
      <c r="F216" s="85">
        <f>STATS1003B!F216/1000</f>
        <v>0</v>
      </c>
      <c r="G216" s="85">
        <f>STATS1003B!G216/1000</f>
        <v>0</v>
      </c>
      <c r="H216" s="85">
        <f>STATS1003B!H216/1000</f>
        <v>0</v>
      </c>
      <c r="I216" s="85">
        <f>STATS1003B!I216/1000</f>
        <v>0</v>
      </c>
      <c r="J216" s="85">
        <f>STATS1003B!J216/1000</f>
        <v>0</v>
      </c>
      <c r="K216" s="85">
        <f>STATS1003B!K216/1000</f>
        <v>0</v>
      </c>
      <c r="L216" s="85">
        <f>STATS1003B!L216/1000</f>
        <v>0</v>
      </c>
      <c r="M216" s="85">
        <f>STATS1003B!M216/1000</f>
        <v>0</v>
      </c>
      <c r="N216" s="85">
        <f>STATS1003B!N216/1000</f>
        <v>1767.77</v>
      </c>
      <c r="O216" s="85">
        <f>STATS1003B!O216/1000</f>
        <v>0</v>
      </c>
      <c r="P216" s="85">
        <f>STATS1003B!P216/1000</f>
        <v>1767.77</v>
      </c>
      <c r="Q216" s="85">
        <f>STATS1003B!Q216/1000</f>
        <v>1767.77</v>
      </c>
      <c r="R216" s="85">
        <f>STATS1003B!R216/1000</f>
        <v>0</v>
      </c>
      <c r="S216" s="85">
        <f>STATS1003B!S216/1000</f>
        <v>0</v>
      </c>
      <c r="T216" s="85">
        <f>STATS1003B!T216/1000</f>
        <v>0</v>
      </c>
      <c r="U216" s="85">
        <f>STATS1003B!U216/1000</f>
        <v>1767.77</v>
      </c>
      <c r="V216" s="85">
        <f>STATS1003B!V216/1000</f>
        <v>0</v>
      </c>
      <c r="W216" s="85">
        <f>STATS1003B!W216/1000</f>
        <v>0</v>
      </c>
      <c r="X216" s="85">
        <f t="shared" si="26"/>
        <v>1767.77</v>
      </c>
      <c r="Y216" s="85">
        <f>STATS1003B!Y216/1000</f>
        <v>0</v>
      </c>
      <c r="Z216" s="85">
        <f t="shared" si="22"/>
        <v>0</v>
      </c>
      <c r="AA216" s="69">
        <f>STATS1003B!AA216/1000</f>
        <v>1767.77</v>
      </c>
      <c r="AB216" s="69">
        <f>STATS1003B!AB216/1000</f>
        <v>0</v>
      </c>
    </row>
    <row r="217" spans="1:28" hidden="1" x14ac:dyDescent="0.3">
      <c r="A217" s="117"/>
      <c r="C217" s="68" t="s">
        <v>526</v>
      </c>
      <c r="D217" s="145" t="s">
        <v>85</v>
      </c>
      <c r="E217" s="85">
        <f>STATS1003B!E217/1000</f>
        <v>3377.7133799999997</v>
      </c>
      <c r="F217" s="85">
        <f>STATS1003B!F217/1000</f>
        <v>3377.7133799999997</v>
      </c>
      <c r="G217" s="85">
        <f>STATS1003B!G217/1000</f>
        <v>0</v>
      </c>
      <c r="H217" s="85">
        <f>STATS1003B!H217/1000</f>
        <v>3377.7133799999997</v>
      </c>
      <c r="I217" s="85">
        <f>STATS1003B!I217/1000</f>
        <v>6755.4267599999994</v>
      </c>
      <c r="J217" s="85">
        <f>STATS1003B!J217/1000</f>
        <v>0</v>
      </c>
      <c r="K217" s="85">
        <f>STATS1003B!K217/1000</f>
        <v>6755.4267599999994</v>
      </c>
      <c r="L217" s="85">
        <f>STATS1003B!L217/1000</f>
        <v>0</v>
      </c>
      <c r="M217" s="85">
        <f>STATS1003B!M217/1000</f>
        <v>3377.7133799999997</v>
      </c>
      <c r="N217" s="85">
        <f>STATS1003B!N217/1000</f>
        <v>0</v>
      </c>
      <c r="O217" s="85">
        <f>STATS1003B!O217/1000</f>
        <v>0</v>
      </c>
      <c r="P217" s="85">
        <f>STATS1003B!P217/1000</f>
        <v>0</v>
      </c>
      <c r="Q217" s="85">
        <f>STATS1003B!Q217/1000</f>
        <v>6755.4267599999994</v>
      </c>
      <c r="R217" s="85">
        <f>STATS1003B!R217/1000</f>
        <v>-3377.7133799999997</v>
      </c>
      <c r="S217" s="85">
        <f>STATS1003B!S217/1000</f>
        <v>0</v>
      </c>
      <c r="T217" s="85">
        <f>STATS1003B!T217/1000</f>
        <v>0</v>
      </c>
      <c r="U217" s="85">
        <f>STATS1003B!U217/1000</f>
        <v>0</v>
      </c>
      <c r="V217" s="85">
        <f>STATS1003B!V217/1000</f>
        <v>0</v>
      </c>
      <c r="W217" s="85">
        <f>STATS1003B!W217/1000</f>
        <v>0</v>
      </c>
      <c r="X217" s="85">
        <f t="shared" si="26"/>
        <v>3377.7133799999997</v>
      </c>
      <c r="Y217" s="85">
        <f>STATS1003B!Y217/1000</f>
        <v>0</v>
      </c>
      <c r="Z217" s="85">
        <f t="shared" si="22"/>
        <v>0</v>
      </c>
      <c r="AA217" s="69">
        <f>STATS1003B!AA217/1000</f>
        <v>3377.7133799999997</v>
      </c>
      <c r="AB217" s="69">
        <f>STATS1003B!AB217/1000</f>
        <v>0</v>
      </c>
    </row>
    <row r="218" spans="1:28" hidden="1" x14ac:dyDescent="0.3">
      <c r="A218" s="117"/>
      <c r="C218" s="68" t="s">
        <v>527</v>
      </c>
      <c r="D218" s="145" t="s">
        <v>85</v>
      </c>
      <c r="E218" s="85">
        <f>STATS1003B!E218/1000</f>
        <v>2479.8653599999998</v>
      </c>
      <c r="F218" s="85">
        <f>STATS1003B!F218/1000</f>
        <v>0</v>
      </c>
      <c r="G218" s="85">
        <f>STATS1003B!G218/1000</f>
        <v>0</v>
      </c>
      <c r="H218" s="85">
        <f>STATS1003B!H218/1000</f>
        <v>0</v>
      </c>
      <c r="I218" s="85">
        <f>STATS1003B!I218/1000</f>
        <v>0</v>
      </c>
      <c r="J218" s="85">
        <f>STATS1003B!J218/1000</f>
        <v>0</v>
      </c>
      <c r="K218" s="85">
        <f>STATS1003B!K218/1000</f>
        <v>0</v>
      </c>
      <c r="L218" s="85">
        <f>STATS1003B!L218/1000</f>
        <v>0</v>
      </c>
      <c r="M218" s="85">
        <f>STATS1003B!M218/1000</f>
        <v>0</v>
      </c>
      <c r="N218" s="85">
        <f>STATS1003B!N218/1000</f>
        <v>2479.8653599999998</v>
      </c>
      <c r="O218" s="85">
        <f>STATS1003B!O218/1000</f>
        <v>0</v>
      </c>
      <c r="P218" s="85">
        <f>STATS1003B!P218/1000</f>
        <v>2479.8653599999998</v>
      </c>
      <c r="Q218" s="85">
        <f>STATS1003B!Q218/1000</f>
        <v>2479.8653599999998</v>
      </c>
      <c r="R218" s="85">
        <f>STATS1003B!R218/1000</f>
        <v>0</v>
      </c>
      <c r="S218" s="85">
        <f>STATS1003B!S218/1000</f>
        <v>0</v>
      </c>
      <c r="T218" s="85">
        <f>STATS1003B!T218/1000</f>
        <v>0</v>
      </c>
      <c r="U218" s="85">
        <f>STATS1003B!U218/1000</f>
        <v>2479.8653599999998</v>
      </c>
      <c r="V218" s="85">
        <f>STATS1003B!V218/1000</f>
        <v>0</v>
      </c>
      <c r="W218" s="85">
        <f>STATS1003B!W218/1000</f>
        <v>0</v>
      </c>
      <c r="X218" s="85">
        <f t="shared" si="26"/>
        <v>2479.8653599999998</v>
      </c>
      <c r="Y218" s="85">
        <f>STATS1003B!Y218/1000</f>
        <v>0</v>
      </c>
      <c r="Z218" s="85">
        <f t="shared" si="22"/>
        <v>0</v>
      </c>
      <c r="AA218" s="69">
        <f>STATS1003B!AA218/1000</f>
        <v>2479.8653599999998</v>
      </c>
      <c r="AB218" s="69">
        <f>STATS1003B!AB218/1000</f>
        <v>0</v>
      </c>
    </row>
    <row r="219" spans="1:28" hidden="1" x14ac:dyDescent="0.3">
      <c r="A219" s="117"/>
      <c r="C219" s="68" t="s">
        <v>528</v>
      </c>
      <c r="D219" s="145" t="s">
        <v>85</v>
      </c>
      <c r="E219" s="85">
        <f>STATS1003B!E219/1000</f>
        <v>3610.8</v>
      </c>
      <c r="F219" s="85">
        <f>STATS1003B!F219/1000</f>
        <v>3610.8</v>
      </c>
      <c r="G219" s="85">
        <f>STATS1003B!G219/1000</f>
        <v>0</v>
      </c>
      <c r="H219" s="85">
        <f>STATS1003B!H219/1000</f>
        <v>3610.8</v>
      </c>
      <c r="I219" s="85">
        <f>STATS1003B!I219/1000</f>
        <v>7221.6</v>
      </c>
      <c r="J219" s="85">
        <f>STATS1003B!J219/1000</f>
        <v>0</v>
      </c>
      <c r="K219" s="85">
        <f>STATS1003B!K219/1000</f>
        <v>7221.6</v>
      </c>
      <c r="L219" s="85">
        <f>STATS1003B!L219/1000</f>
        <v>0</v>
      </c>
      <c r="M219" s="85">
        <f>STATS1003B!M219/1000</f>
        <v>3610.8</v>
      </c>
      <c r="N219" s="85">
        <f>STATS1003B!N219/1000</f>
        <v>0</v>
      </c>
      <c r="O219" s="85">
        <f>STATS1003B!O219/1000</f>
        <v>0</v>
      </c>
      <c r="P219" s="85">
        <f>STATS1003B!P219/1000</f>
        <v>0</v>
      </c>
      <c r="Q219" s="85">
        <f>STATS1003B!Q219/1000</f>
        <v>7221.6</v>
      </c>
      <c r="R219" s="85">
        <f>STATS1003B!R219/1000</f>
        <v>-3610.8</v>
      </c>
      <c r="S219" s="85">
        <f>STATS1003B!S219/1000</f>
        <v>0</v>
      </c>
      <c r="T219" s="85">
        <f>STATS1003B!T219/1000</f>
        <v>0</v>
      </c>
      <c r="U219" s="85">
        <f>STATS1003B!U219/1000</f>
        <v>0</v>
      </c>
      <c r="V219" s="85">
        <f>STATS1003B!V219/1000</f>
        <v>0</v>
      </c>
      <c r="W219" s="85">
        <f>STATS1003B!W219/1000</f>
        <v>0</v>
      </c>
      <c r="X219" s="85">
        <f t="shared" si="26"/>
        <v>3610.8</v>
      </c>
      <c r="Y219" s="85">
        <f>STATS1003B!Y219/1000</f>
        <v>0</v>
      </c>
      <c r="Z219" s="85">
        <f t="shared" si="22"/>
        <v>0</v>
      </c>
      <c r="AA219" s="69">
        <f>STATS1003B!AA219/1000</f>
        <v>3610.8</v>
      </c>
      <c r="AB219" s="69">
        <f>STATS1003B!AB219/1000</f>
        <v>0</v>
      </c>
    </row>
    <row r="220" spans="1:28" hidden="1" x14ac:dyDescent="0.3">
      <c r="A220" s="117"/>
      <c r="C220" s="68" t="s">
        <v>528</v>
      </c>
      <c r="D220" s="145" t="s">
        <v>128</v>
      </c>
      <c r="E220" s="85">
        <f>STATS1003B!E220/1000</f>
        <v>2000</v>
      </c>
      <c r="F220" s="85">
        <f>STATS1003B!F220/1000</f>
        <v>2000</v>
      </c>
      <c r="G220" s="85">
        <f>STATS1003B!G220/1000</f>
        <v>0</v>
      </c>
      <c r="H220" s="85">
        <f>STATS1003B!H220/1000</f>
        <v>2000</v>
      </c>
      <c r="I220" s="85">
        <f>STATS1003B!I220/1000</f>
        <v>4000</v>
      </c>
      <c r="J220" s="85">
        <f>STATS1003B!J220/1000</f>
        <v>0</v>
      </c>
      <c r="K220" s="85">
        <f>STATS1003B!K220/1000</f>
        <v>4000</v>
      </c>
      <c r="L220" s="85">
        <f>STATS1003B!L220/1000</f>
        <v>0</v>
      </c>
      <c r="M220" s="85">
        <f>STATS1003B!M220/1000</f>
        <v>2000</v>
      </c>
      <c r="N220" s="85">
        <f>STATS1003B!N220/1000</f>
        <v>0</v>
      </c>
      <c r="O220" s="85">
        <f>STATS1003B!O220/1000</f>
        <v>0</v>
      </c>
      <c r="P220" s="85">
        <f>STATS1003B!P220/1000</f>
        <v>0</v>
      </c>
      <c r="Q220" s="85">
        <f>STATS1003B!Q220/1000</f>
        <v>4000</v>
      </c>
      <c r="R220" s="85">
        <f>STATS1003B!R220/1000</f>
        <v>-2000</v>
      </c>
      <c r="S220" s="85">
        <f>STATS1003B!S220/1000</f>
        <v>0</v>
      </c>
      <c r="T220" s="85">
        <f>STATS1003B!T220/1000</f>
        <v>0</v>
      </c>
      <c r="U220" s="85">
        <f>STATS1003B!U220/1000</f>
        <v>0</v>
      </c>
      <c r="V220" s="85">
        <f>STATS1003B!V220/1000</f>
        <v>0</v>
      </c>
      <c r="W220" s="85">
        <f>STATS1003B!W220/1000</f>
        <v>0</v>
      </c>
      <c r="X220" s="85">
        <f t="shared" si="26"/>
        <v>2000</v>
      </c>
      <c r="Y220" s="85">
        <f>STATS1003B!Y220/1000</f>
        <v>0</v>
      </c>
      <c r="Z220" s="85">
        <f t="shared" si="22"/>
        <v>0</v>
      </c>
      <c r="AA220" s="69">
        <f>STATS1003B!AA220/1000</f>
        <v>2000</v>
      </c>
      <c r="AB220" s="69">
        <f>STATS1003B!AB220/1000</f>
        <v>0</v>
      </c>
    </row>
    <row r="221" spans="1:28" hidden="1" x14ac:dyDescent="0.3">
      <c r="A221" s="117"/>
      <c r="C221" s="68" t="s">
        <v>528</v>
      </c>
      <c r="D221" s="145" t="s">
        <v>88</v>
      </c>
      <c r="E221" s="85">
        <f>STATS1003B!E221/1000</f>
        <v>975.3</v>
      </c>
      <c r="F221" s="85">
        <f>STATS1003B!F221/1000</f>
        <v>975.3</v>
      </c>
      <c r="G221" s="85">
        <f>STATS1003B!G221/1000</f>
        <v>0</v>
      </c>
      <c r="H221" s="85">
        <f>STATS1003B!H221/1000</f>
        <v>975.3</v>
      </c>
      <c r="I221" s="85">
        <f>STATS1003B!I221/1000</f>
        <v>1950.6</v>
      </c>
      <c r="J221" s="85">
        <f>STATS1003B!J221/1000</f>
        <v>0</v>
      </c>
      <c r="K221" s="85">
        <f>STATS1003B!K221/1000</f>
        <v>1950.6</v>
      </c>
      <c r="L221" s="85">
        <f>STATS1003B!L221/1000</f>
        <v>0</v>
      </c>
      <c r="M221" s="85">
        <f>STATS1003B!M221/1000</f>
        <v>975.3</v>
      </c>
      <c r="N221" s="85">
        <f>STATS1003B!N221/1000</f>
        <v>0</v>
      </c>
      <c r="O221" s="85">
        <f>STATS1003B!O221/1000</f>
        <v>0</v>
      </c>
      <c r="P221" s="85">
        <f>STATS1003B!P221/1000</f>
        <v>0</v>
      </c>
      <c r="Q221" s="85">
        <f>STATS1003B!Q221/1000</f>
        <v>1950.6</v>
      </c>
      <c r="R221" s="85">
        <f>STATS1003B!R221/1000</f>
        <v>-975.3</v>
      </c>
      <c r="S221" s="85">
        <f>STATS1003B!S221/1000</f>
        <v>0</v>
      </c>
      <c r="T221" s="85">
        <f>STATS1003B!T221/1000</f>
        <v>0</v>
      </c>
      <c r="U221" s="85">
        <f>STATS1003B!U221/1000</f>
        <v>0</v>
      </c>
      <c r="V221" s="85">
        <f>STATS1003B!V221/1000</f>
        <v>0</v>
      </c>
      <c r="W221" s="85">
        <f>STATS1003B!W221/1000</f>
        <v>0</v>
      </c>
      <c r="X221" s="85">
        <f t="shared" si="26"/>
        <v>975.3</v>
      </c>
      <c r="Y221" s="85">
        <f>STATS1003B!Y221/1000</f>
        <v>0</v>
      </c>
      <c r="Z221" s="85">
        <f t="shared" si="22"/>
        <v>0</v>
      </c>
      <c r="AA221" s="69">
        <f>STATS1003B!AA221/1000</f>
        <v>975.3</v>
      </c>
      <c r="AB221" s="69">
        <f>STATS1003B!AB221/1000</f>
        <v>0</v>
      </c>
    </row>
    <row r="222" spans="1:28" hidden="1" x14ac:dyDescent="0.3">
      <c r="A222" s="117"/>
      <c r="C222" s="68" t="s">
        <v>528</v>
      </c>
      <c r="D222" s="145" t="s">
        <v>58</v>
      </c>
      <c r="E222" s="85">
        <f>STATS1003B!E222/1000</f>
        <v>8450.7340000000004</v>
      </c>
      <c r="F222" s="85">
        <f>STATS1003B!F222/1000</f>
        <v>5721.26</v>
      </c>
      <c r="G222" s="85">
        <f>STATS1003B!G222/1000</f>
        <v>0</v>
      </c>
      <c r="H222" s="85">
        <f>STATS1003B!H222/1000</f>
        <v>5721.26</v>
      </c>
      <c r="I222" s="85">
        <f>STATS1003B!I222/1000</f>
        <v>11442.52</v>
      </c>
      <c r="J222" s="85">
        <f>STATS1003B!J222/1000</f>
        <v>2729.4740000000002</v>
      </c>
      <c r="K222" s="85">
        <f>STATS1003B!K222/1000</f>
        <v>14171.994000000001</v>
      </c>
      <c r="L222" s="85">
        <f>STATS1003B!L222/1000</f>
        <v>2729.4740000000002</v>
      </c>
      <c r="M222" s="85">
        <f>STATS1003B!M222/1000</f>
        <v>8450.7340000000004</v>
      </c>
      <c r="N222" s="85">
        <f>STATS1003B!N222/1000</f>
        <v>0</v>
      </c>
      <c r="O222" s="85">
        <f>STATS1003B!O222/1000</f>
        <v>0</v>
      </c>
      <c r="P222" s="85">
        <f>STATS1003B!P222/1000</f>
        <v>0</v>
      </c>
      <c r="Q222" s="85">
        <f>STATS1003B!Q222/1000</f>
        <v>14171.994000000001</v>
      </c>
      <c r="R222" s="85">
        <f>STATS1003B!R222/1000</f>
        <v>-5721.26</v>
      </c>
      <c r="S222" s="85">
        <f>STATS1003B!S222/1000</f>
        <v>0</v>
      </c>
      <c r="T222" s="85">
        <f>STATS1003B!T222/1000</f>
        <v>0</v>
      </c>
      <c r="U222" s="85">
        <f>STATS1003B!U222/1000</f>
        <v>0</v>
      </c>
      <c r="V222" s="85">
        <f>STATS1003B!V222/1000</f>
        <v>0</v>
      </c>
      <c r="W222" s="85">
        <f>STATS1003B!W222/1000</f>
        <v>0</v>
      </c>
      <c r="X222" s="85">
        <f t="shared" si="26"/>
        <v>5721.26</v>
      </c>
      <c r="Y222" s="85">
        <f>STATS1003B!Y222/1000</f>
        <v>0</v>
      </c>
      <c r="Z222" s="85">
        <f t="shared" si="22"/>
        <v>2729.4740000000002</v>
      </c>
      <c r="AA222" s="69">
        <f>STATS1003B!AA222/1000</f>
        <v>8450.7340000000004</v>
      </c>
      <c r="AB222" s="69">
        <f>STATS1003B!AB222/1000</f>
        <v>0</v>
      </c>
    </row>
    <row r="223" spans="1:28" hidden="1" x14ac:dyDescent="0.3">
      <c r="A223" s="117"/>
      <c r="C223" s="68" t="s">
        <v>528</v>
      </c>
      <c r="D223" s="145" t="s">
        <v>60</v>
      </c>
      <c r="E223" s="85">
        <f>STATS1003B!E223/1000</f>
        <v>3000</v>
      </c>
      <c r="F223" s="85">
        <f>STATS1003B!F223/1000</f>
        <v>3000</v>
      </c>
      <c r="G223" s="85">
        <f>STATS1003B!G223/1000</f>
        <v>0</v>
      </c>
      <c r="H223" s="85">
        <f>STATS1003B!H223/1000</f>
        <v>3000</v>
      </c>
      <c r="I223" s="85">
        <f>STATS1003B!I223/1000</f>
        <v>6000</v>
      </c>
      <c r="J223" s="85">
        <f>STATS1003B!J223/1000</f>
        <v>0</v>
      </c>
      <c r="K223" s="85">
        <f>STATS1003B!K223/1000</f>
        <v>6000</v>
      </c>
      <c r="L223" s="85">
        <f>STATS1003B!L223/1000</f>
        <v>0</v>
      </c>
      <c r="M223" s="85">
        <f>STATS1003B!M223/1000</f>
        <v>3000</v>
      </c>
      <c r="N223" s="85">
        <f>STATS1003B!N223/1000</f>
        <v>0</v>
      </c>
      <c r="O223" s="85">
        <f>STATS1003B!O223/1000</f>
        <v>0</v>
      </c>
      <c r="P223" s="85">
        <f>STATS1003B!P223/1000</f>
        <v>0</v>
      </c>
      <c r="Q223" s="85">
        <f>STATS1003B!Q223/1000</f>
        <v>6000</v>
      </c>
      <c r="R223" s="85">
        <f>STATS1003B!R223/1000</f>
        <v>-3000</v>
      </c>
      <c r="S223" s="85">
        <f>STATS1003B!S223/1000</f>
        <v>0</v>
      </c>
      <c r="T223" s="85">
        <f>STATS1003B!T223/1000</f>
        <v>0</v>
      </c>
      <c r="U223" s="85">
        <f>STATS1003B!U223/1000</f>
        <v>0</v>
      </c>
      <c r="V223" s="85">
        <f>STATS1003B!V223/1000</f>
        <v>0</v>
      </c>
      <c r="W223" s="85">
        <f>STATS1003B!W223/1000</f>
        <v>0</v>
      </c>
      <c r="X223" s="85">
        <f t="shared" si="26"/>
        <v>3000</v>
      </c>
      <c r="Y223" s="85">
        <f>STATS1003B!Y223/1000</f>
        <v>0</v>
      </c>
      <c r="Z223" s="85">
        <f t="shared" si="22"/>
        <v>0</v>
      </c>
      <c r="AA223" s="69">
        <f>STATS1003B!AA223/1000</f>
        <v>3000</v>
      </c>
      <c r="AB223" s="69">
        <f>STATS1003B!AB223/1000</f>
        <v>0</v>
      </c>
    </row>
    <row r="224" spans="1:28" hidden="1" x14ac:dyDescent="0.3">
      <c r="A224" s="117"/>
      <c r="C224" s="68" t="s">
        <v>528</v>
      </c>
      <c r="D224" s="145" t="s">
        <v>73</v>
      </c>
      <c r="E224" s="85">
        <f>STATS1003B!E224/1000</f>
        <v>4583.9279999999999</v>
      </c>
      <c r="F224" s="85">
        <f>STATS1003B!F224/1000</f>
        <v>4583.9279999999999</v>
      </c>
      <c r="G224" s="85">
        <f>STATS1003B!G224/1000</f>
        <v>0</v>
      </c>
      <c r="H224" s="85">
        <f>STATS1003B!H224/1000</f>
        <v>4583.9279999999999</v>
      </c>
      <c r="I224" s="85">
        <f>STATS1003B!I224/1000</f>
        <v>9167.8559999999998</v>
      </c>
      <c r="J224" s="85">
        <f>STATS1003B!J224/1000</f>
        <v>0</v>
      </c>
      <c r="K224" s="85">
        <f>STATS1003B!K224/1000</f>
        <v>9167.8559999999998</v>
      </c>
      <c r="L224" s="85">
        <f>STATS1003B!L224/1000</f>
        <v>0</v>
      </c>
      <c r="M224" s="85">
        <f>STATS1003B!M224/1000</f>
        <v>4583.9279999999999</v>
      </c>
      <c r="N224" s="85">
        <f>STATS1003B!N224/1000</f>
        <v>0</v>
      </c>
      <c r="O224" s="85">
        <f>STATS1003B!O224/1000</f>
        <v>0</v>
      </c>
      <c r="P224" s="85">
        <f>STATS1003B!P224/1000</f>
        <v>0</v>
      </c>
      <c r="Q224" s="85">
        <f>STATS1003B!Q224/1000</f>
        <v>9167.8559999999998</v>
      </c>
      <c r="R224" s="85">
        <f>STATS1003B!R224/1000</f>
        <v>-4583.9279999999999</v>
      </c>
      <c r="S224" s="85">
        <f>STATS1003B!S224/1000</f>
        <v>0</v>
      </c>
      <c r="T224" s="85">
        <f>STATS1003B!T224/1000</f>
        <v>0</v>
      </c>
      <c r="U224" s="85">
        <f>STATS1003B!U224/1000</f>
        <v>0</v>
      </c>
      <c r="V224" s="85">
        <f>STATS1003B!V224/1000</f>
        <v>0</v>
      </c>
      <c r="W224" s="85">
        <f>STATS1003B!W224/1000</f>
        <v>0</v>
      </c>
      <c r="X224" s="85">
        <f t="shared" si="26"/>
        <v>4583.9279999999999</v>
      </c>
      <c r="Y224" s="85">
        <f>STATS1003B!Y224/1000</f>
        <v>0</v>
      </c>
      <c r="Z224" s="85">
        <f t="shared" si="22"/>
        <v>0</v>
      </c>
      <c r="AA224" s="69">
        <f>STATS1003B!AA224/1000</f>
        <v>4583.9279999999999</v>
      </c>
      <c r="AB224" s="69">
        <f>STATS1003B!AB224/1000</f>
        <v>0</v>
      </c>
    </row>
    <row r="225" spans="1:28" hidden="1" x14ac:dyDescent="0.3">
      <c r="A225" s="117"/>
      <c r="C225" s="71" t="s">
        <v>1114</v>
      </c>
      <c r="D225" s="88" t="s">
        <v>73</v>
      </c>
      <c r="E225" s="85">
        <f>STATS1003B!E225/1000</f>
        <v>941.82386999999994</v>
      </c>
      <c r="F225" s="85">
        <f>STATS1003B!F225/1000</f>
        <v>941.82386999999994</v>
      </c>
      <c r="G225" s="85">
        <f>STATS1003B!G225/1000</f>
        <v>0</v>
      </c>
      <c r="H225" s="85">
        <f>STATS1003B!H225/1000</f>
        <v>941.82386999999994</v>
      </c>
      <c r="I225" s="85">
        <f>STATS1003B!I225/1000</f>
        <v>1883.6477399999999</v>
      </c>
      <c r="J225" s="85">
        <f>STATS1003B!J225/1000</f>
        <v>0</v>
      </c>
      <c r="K225" s="85">
        <f>STATS1003B!K225/1000</f>
        <v>1883.6477399999999</v>
      </c>
      <c r="L225" s="85">
        <f>STATS1003B!L225/1000</f>
        <v>0</v>
      </c>
      <c r="M225" s="85">
        <f>STATS1003B!M225/1000</f>
        <v>941.82386999999994</v>
      </c>
      <c r="N225" s="85">
        <f>STATS1003B!N225/1000</f>
        <v>0</v>
      </c>
      <c r="O225" s="85">
        <f>STATS1003B!O225/1000</f>
        <v>0</v>
      </c>
      <c r="P225" s="85">
        <f>STATS1003B!P225/1000</f>
        <v>0</v>
      </c>
      <c r="Q225" s="85">
        <f>STATS1003B!Q225/1000</f>
        <v>1883.6477399999999</v>
      </c>
      <c r="R225" s="85">
        <f>STATS1003B!R225/1000</f>
        <v>-941.82386999999994</v>
      </c>
      <c r="S225" s="85">
        <f>STATS1003B!S225/1000</f>
        <v>0</v>
      </c>
      <c r="T225" s="85">
        <f>STATS1003B!T225/1000</f>
        <v>0</v>
      </c>
      <c r="U225" s="85">
        <f>STATS1003B!U225/1000</f>
        <v>0</v>
      </c>
      <c r="V225" s="85">
        <f>STATS1003B!V225/1000</f>
        <v>0</v>
      </c>
      <c r="W225" s="85">
        <f>STATS1003B!W225/1000</f>
        <v>0</v>
      </c>
      <c r="X225" s="85">
        <f t="shared" si="26"/>
        <v>941.82386999999994</v>
      </c>
      <c r="Y225" s="85">
        <f>STATS1003B!Y225/1000</f>
        <v>0</v>
      </c>
      <c r="Z225" s="85">
        <f t="shared" si="22"/>
        <v>0</v>
      </c>
      <c r="AA225" s="69">
        <f>STATS1003B!AA225/1000</f>
        <v>941.82386999999994</v>
      </c>
      <c r="AB225" s="69">
        <f>STATS1003B!AB225/1000</f>
        <v>0</v>
      </c>
    </row>
    <row r="226" spans="1:28" hidden="1" x14ac:dyDescent="0.3">
      <c r="A226" s="117"/>
      <c r="C226" s="68" t="s">
        <v>528</v>
      </c>
      <c r="D226" s="145" t="s">
        <v>61</v>
      </c>
      <c r="E226" s="85">
        <f>STATS1003B!E226/1000</f>
        <v>1998</v>
      </c>
      <c r="F226" s="85">
        <f>STATS1003B!F226/1000</f>
        <v>1998</v>
      </c>
      <c r="G226" s="85">
        <f>STATS1003B!G226/1000</f>
        <v>0</v>
      </c>
      <c r="H226" s="85">
        <f>STATS1003B!H226/1000</f>
        <v>1998</v>
      </c>
      <c r="I226" s="85">
        <f>STATS1003B!I226/1000</f>
        <v>3996</v>
      </c>
      <c r="J226" s="85">
        <f>STATS1003B!J226/1000</f>
        <v>0</v>
      </c>
      <c r="K226" s="85">
        <f>STATS1003B!K226/1000</f>
        <v>3996</v>
      </c>
      <c r="L226" s="85">
        <f>STATS1003B!L226/1000</f>
        <v>0</v>
      </c>
      <c r="M226" s="85">
        <f>STATS1003B!M226/1000</f>
        <v>1998</v>
      </c>
      <c r="N226" s="85">
        <f>STATS1003B!N226/1000</f>
        <v>0</v>
      </c>
      <c r="O226" s="85">
        <f>STATS1003B!O226/1000</f>
        <v>0</v>
      </c>
      <c r="P226" s="85">
        <f>STATS1003B!P226/1000</f>
        <v>0</v>
      </c>
      <c r="Q226" s="85">
        <f>STATS1003B!Q226/1000</f>
        <v>3996</v>
      </c>
      <c r="R226" s="85">
        <f>STATS1003B!R226/1000</f>
        <v>-1998</v>
      </c>
      <c r="S226" s="85">
        <f>STATS1003B!S226/1000</f>
        <v>0</v>
      </c>
      <c r="T226" s="85">
        <f>STATS1003B!T226/1000</f>
        <v>0</v>
      </c>
      <c r="U226" s="85">
        <f>STATS1003B!U226/1000</f>
        <v>0</v>
      </c>
      <c r="V226" s="85">
        <f>STATS1003B!V226/1000</f>
        <v>0</v>
      </c>
      <c r="W226" s="85">
        <f>STATS1003B!W226/1000</f>
        <v>0</v>
      </c>
      <c r="X226" s="85">
        <f t="shared" si="26"/>
        <v>1998</v>
      </c>
      <c r="Y226" s="85">
        <f>STATS1003B!Y226/1000</f>
        <v>0</v>
      </c>
      <c r="Z226" s="85">
        <f t="shared" si="22"/>
        <v>0</v>
      </c>
      <c r="AA226" s="69">
        <f>STATS1003B!AA226/1000</f>
        <v>1998</v>
      </c>
      <c r="AB226" s="69">
        <f>STATS1003B!AB226/1000</f>
        <v>0</v>
      </c>
    </row>
    <row r="227" spans="1:28" hidden="1" x14ac:dyDescent="0.3">
      <c r="A227" s="117"/>
      <c r="C227" s="68" t="s">
        <v>931</v>
      </c>
      <c r="D227" s="145"/>
      <c r="E227" s="85">
        <f>STATS1003B!E227/1000</f>
        <v>5440.3115199999993</v>
      </c>
      <c r="F227" s="85">
        <f>STATS1003B!F227/1000</f>
        <v>5440.3115199999993</v>
      </c>
      <c r="G227" s="85">
        <f>STATS1003B!G227/1000</f>
        <v>0</v>
      </c>
      <c r="H227" s="85">
        <f>STATS1003B!H227/1000</f>
        <v>5440.3115199999993</v>
      </c>
      <c r="I227" s="85">
        <f>STATS1003B!I227/1000</f>
        <v>0</v>
      </c>
      <c r="J227" s="85">
        <f>STATS1003B!J227/1000</f>
        <v>0</v>
      </c>
      <c r="K227" s="85">
        <f>STATS1003B!K227/1000</f>
        <v>0</v>
      </c>
      <c r="L227" s="85">
        <f>STATS1003B!L227/1000</f>
        <v>0</v>
      </c>
      <c r="M227" s="85">
        <f>STATS1003B!M227/1000</f>
        <v>5440.3115199999993</v>
      </c>
      <c r="N227" s="85">
        <f>STATS1003B!N227/1000</f>
        <v>0</v>
      </c>
      <c r="O227" s="85">
        <f>STATS1003B!O227/1000</f>
        <v>0</v>
      </c>
      <c r="P227" s="85">
        <f>STATS1003B!P227/1000</f>
        <v>0</v>
      </c>
      <c r="Q227" s="85">
        <f>STATS1003B!Q227/1000</f>
        <v>0</v>
      </c>
      <c r="R227" s="85">
        <f>STATS1003B!R227/1000</f>
        <v>0</v>
      </c>
      <c r="S227" s="85">
        <f>STATS1003B!S227/1000</f>
        <v>0</v>
      </c>
      <c r="T227" s="85">
        <f>STATS1003B!T227/1000</f>
        <v>0</v>
      </c>
      <c r="U227" s="85">
        <f>STATS1003B!U227/1000</f>
        <v>0</v>
      </c>
      <c r="V227" s="85">
        <f>STATS1003B!V227/1000</f>
        <v>0</v>
      </c>
      <c r="W227" s="85">
        <f>STATS1003B!W227/1000</f>
        <v>0</v>
      </c>
      <c r="X227" s="85">
        <f t="shared" si="26"/>
        <v>5440.3115199999993</v>
      </c>
      <c r="Y227" s="85">
        <f>STATS1003B!Y227/1000</f>
        <v>0</v>
      </c>
      <c r="Z227" s="85">
        <f t="shared" si="22"/>
        <v>0</v>
      </c>
      <c r="AA227" s="69">
        <f>STATS1003B!AA227/1000</f>
        <v>5440.3115199999993</v>
      </c>
      <c r="AB227" s="69">
        <f>STATS1003B!AB227/1000</f>
        <v>0</v>
      </c>
    </row>
    <row r="228" spans="1:28" hidden="1" x14ac:dyDescent="0.3">
      <c r="A228" s="117"/>
      <c r="C228" s="68" t="s">
        <v>1181</v>
      </c>
      <c r="D228" s="90" t="s">
        <v>1126</v>
      </c>
      <c r="E228" s="85">
        <f>STATS1003B!E228/1000</f>
        <v>2470.3595700000001</v>
      </c>
      <c r="F228" s="85">
        <f>STATS1003B!F228/1000</f>
        <v>2470.3595700000001</v>
      </c>
      <c r="G228" s="85">
        <f>STATS1003B!G228/1000</f>
        <v>0</v>
      </c>
      <c r="H228" s="85">
        <f>STATS1003B!H228/1000</f>
        <v>2470.3595700000001</v>
      </c>
      <c r="I228" s="85">
        <f>STATS1003B!I228/1000</f>
        <v>0</v>
      </c>
      <c r="J228" s="85">
        <f>STATS1003B!J228/1000</f>
        <v>0</v>
      </c>
      <c r="K228" s="85">
        <f>STATS1003B!K228/1000</f>
        <v>0</v>
      </c>
      <c r="L228" s="85">
        <f>STATS1003B!L228/1000</f>
        <v>0</v>
      </c>
      <c r="M228" s="85">
        <f>STATS1003B!M228/1000</f>
        <v>2470.3595700000001</v>
      </c>
      <c r="N228" s="85">
        <f>STATS1003B!N228/1000</f>
        <v>0</v>
      </c>
      <c r="O228" s="85">
        <f>STATS1003B!O228/1000</f>
        <v>0</v>
      </c>
      <c r="P228" s="85">
        <f>STATS1003B!P228/1000</f>
        <v>0</v>
      </c>
      <c r="Q228" s="85">
        <f>STATS1003B!Q228/1000</f>
        <v>0</v>
      </c>
      <c r="R228" s="85">
        <f>STATS1003B!R228/1000</f>
        <v>0</v>
      </c>
      <c r="S228" s="85">
        <f>STATS1003B!S228/1000</f>
        <v>0</v>
      </c>
      <c r="T228" s="85">
        <f>STATS1003B!T228/1000</f>
        <v>0</v>
      </c>
      <c r="U228" s="85">
        <f>STATS1003B!U228/1000</f>
        <v>0</v>
      </c>
      <c r="V228" s="85">
        <f>STATS1003B!V228/1000</f>
        <v>0</v>
      </c>
      <c r="W228" s="85">
        <f>STATS1003B!W228/1000</f>
        <v>0</v>
      </c>
      <c r="X228" s="85">
        <f t="shared" si="26"/>
        <v>2470.3595700000001</v>
      </c>
      <c r="Y228" s="85">
        <f>STATS1003B!Y228/1000</f>
        <v>0</v>
      </c>
      <c r="Z228" s="85">
        <f t="shared" si="22"/>
        <v>0</v>
      </c>
      <c r="AA228" s="69">
        <f>STATS1003B!AA228/1000</f>
        <v>2470.3595700000001</v>
      </c>
      <c r="AB228" s="69">
        <f>STATS1003B!AB228/1000</f>
        <v>0</v>
      </c>
    </row>
    <row r="229" spans="1:28" hidden="1" x14ac:dyDescent="0.3">
      <c r="A229" s="117"/>
      <c r="C229" s="68" t="s">
        <v>1218</v>
      </c>
      <c r="D229" s="90" t="s">
        <v>1126</v>
      </c>
      <c r="E229" s="85">
        <f>STATS1003B!E229/1000</f>
        <v>827.40882999999997</v>
      </c>
      <c r="F229" s="85">
        <f>STATS1003B!F229/1000</f>
        <v>827.40882999999997</v>
      </c>
      <c r="G229" s="85">
        <f>STATS1003B!G229/1000</f>
        <v>0</v>
      </c>
      <c r="H229" s="85">
        <f>STATS1003B!H229/1000</f>
        <v>827.40882999999997</v>
      </c>
      <c r="I229" s="85">
        <f>STATS1003B!I229/1000</f>
        <v>0</v>
      </c>
      <c r="J229" s="85">
        <f>STATS1003B!J229/1000</f>
        <v>0</v>
      </c>
      <c r="K229" s="85">
        <f>STATS1003B!K229/1000</f>
        <v>0</v>
      </c>
      <c r="L229" s="85">
        <f>STATS1003B!L229/1000</f>
        <v>0</v>
      </c>
      <c r="M229" s="85">
        <f>STATS1003B!M229/1000</f>
        <v>827.40882999999997</v>
      </c>
      <c r="N229" s="85">
        <f>STATS1003B!N229/1000</f>
        <v>0</v>
      </c>
      <c r="O229" s="85">
        <f>STATS1003B!O229/1000</f>
        <v>0</v>
      </c>
      <c r="P229" s="85">
        <f>STATS1003B!P229/1000</f>
        <v>0</v>
      </c>
      <c r="Q229" s="85">
        <f>STATS1003B!Q229/1000</f>
        <v>0</v>
      </c>
      <c r="R229" s="85">
        <f>STATS1003B!R229/1000</f>
        <v>0</v>
      </c>
      <c r="S229" s="85">
        <f>STATS1003B!S229/1000</f>
        <v>0</v>
      </c>
      <c r="T229" s="85">
        <f>STATS1003B!T229/1000</f>
        <v>0</v>
      </c>
      <c r="U229" s="85">
        <f>STATS1003B!U229/1000</f>
        <v>0</v>
      </c>
      <c r="V229" s="85">
        <f>STATS1003B!V229/1000</f>
        <v>0</v>
      </c>
      <c r="W229" s="85">
        <f>STATS1003B!W229/1000</f>
        <v>0</v>
      </c>
      <c r="X229" s="85">
        <f t="shared" si="26"/>
        <v>827.40882999999997</v>
      </c>
      <c r="Y229" s="85">
        <f>STATS1003B!Y229/1000</f>
        <v>0</v>
      </c>
      <c r="Z229" s="85">
        <f t="shared" si="22"/>
        <v>0</v>
      </c>
      <c r="AA229" s="69">
        <f>STATS1003B!AA229/1000</f>
        <v>827.40882999999997</v>
      </c>
      <c r="AB229" s="69">
        <f>STATS1003B!AB229/1000</f>
        <v>0</v>
      </c>
    </row>
    <row r="230" spans="1:28" hidden="1" x14ac:dyDescent="0.3">
      <c r="A230" s="117"/>
      <c r="C230" s="68" t="s">
        <v>529</v>
      </c>
      <c r="E230" s="85">
        <f>STATS1003B!E230/1000</f>
        <v>25.652900000000002</v>
      </c>
      <c r="F230" s="85">
        <f>STATS1003B!F230/1000</f>
        <v>0</v>
      </c>
      <c r="G230" s="85">
        <f>STATS1003B!G230/1000</f>
        <v>0</v>
      </c>
      <c r="H230" s="85">
        <f>STATS1003B!H230/1000</f>
        <v>0</v>
      </c>
      <c r="I230" s="85">
        <f>STATS1003B!I230/1000</f>
        <v>0</v>
      </c>
      <c r="J230" s="85">
        <f>STATS1003B!J230/1000</f>
        <v>0</v>
      </c>
      <c r="K230" s="85">
        <f>STATS1003B!K230/1000</f>
        <v>0</v>
      </c>
      <c r="L230" s="85">
        <f>STATS1003B!L230/1000</f>
        <v>0</v>
      </c>
      <c r="M230" s="85">
        <f>STATS1003B!M230/1000</f>
        <v>0</v>
      </c>
      <c r="N230" s="85">
        <f>STATS1003B!N230/1000</f>
        <v>25.652900000000002</v>
      </c>
      <c r="O230" s="85">
        <f>STATS1003B!O230/1000</f>
        <v>0</v>
      </c>
      <c r="P230" s="85">
        <f>STATS1003B!P230/1000</f>
        <v>25.652900000000002</v>
      </c>
      <c r="Q230" s="85">
        <f>STATS1003B!Q230/1000</f>
        <v>25.652900000000002</v>
      </c>
      <c r="R230" s="85">
        <f>STATS1003B!R230/1000</f>
        <v>0</v>
      </c>
      <c r="S230" s="85">
        <f>STATS1003B!S230/1000</f>
        <v>0</v>
      </c>
      <c r="T230" s="85">
        <f>STATS1003B!T230/1000</f>
        <v>0</v>
      </c>
      <c r="U230" s="85">
        <f>STATS1003B!U230/1000</f>
        <v>25.652900000000002</v>
      </c>
      <c r="V230" s="85">
        <f>STATS1003B!V230/1000</f>
        <v>0</v>
      </c>
      <c r="W230" s="85">
        <f>STATS1003B!W230/1000</f>
        <v>0</v>
      </c>
      <c r="X230" s="85">
        <f t="shared" si="26"/>
        <v>25.652900000000002</v>
      </c>
      <c r="Y230" s="85">
        <f>STATS1003B!Y230/1000</f>
        <v>0</v>
      </c>
      <c r="Z230" s="85">
        <f t="shared" si="22"/>
        <v>0</v>
      </c>
      <c r="AA230" s="69">
        <f>STATS1003B!AA230/1000</f>
        <v>25.652900000000002</v>
      </c>
      <c r="AB230" s="69">
        <f>STATS1003B!AB230/1000</f>
        <v>0</v>
      </c>
    </row>
    <row r="231" spans="1:28" hidden="1" x14ac:dyDescent="0.3">
      <c r="A231" s="117"/>
      <c r="C231" s="68" t="s">
        <v>530</v>
      </c>
      <c r="E231" s="85">
        <f>STATS1003B!E231/1000</f>
        <v>4000</v>
      </c>
      <c r="F231" s="85">
        <f>STATS1003B!F231/1000</f>
        <v>4000</v>
      </c>
      <c r="G231" s="85">
        <f>STATS1003B!G231/1000</f>
        <v>0</v>
      </c>
      <c r="H231" s="85">
        <f>STATS1003B!H231/1000</f>
        <v>4000</v>
      </c>
      <c r="I231" s="85">
        <f>STATS1003B!I231/1000</f>
        <v>8000</v>
      </c>
      <c r="J231" s="85">
        <f>STATS1003B!J231/1000</f>
        <v>0</v>
      </c>
      <c r="K231" s="85">
        <f>STATS1003B!K231/1000</f>
        <v>8000</v>
      </c>
      <c r="L231" s="85">
        <f>STATS1003B!L231/1000</f>
        <v>0</v>
      </c>
      <c r="M231" s="85">
        <f>STATS1003B!M231/1000</f>
        <v>4000</v>
      </c>
      <c r="N231" s="85">
        <f>STATS1003B!N231/1000</f>
        <v>0</v>
      </c>
      <c r="O231" s="85">
        <f>STATS1003B!O231/1000</f>
        <v>0</v>
      </c>
      <c r="P231" s="85">
        <f>STATS1003B!P231/1000</f>
        <v>0</v>
      </c>
      <c r="Q231" s="85">
        <f>STATS1003B!Q231/1000</f>
        <v>8000</v>
      </c>
      <c r="R231" s="85">
        <f>STATS1003B!R231/1000</f>
        <v>-4000</v>
      </c>
      <c r="S231" s="85">
        <f>STATS1003B!S231/1000</f>
        <v>0</v>
      </c>
      <c r="T231" s="85">
        <f>STATS1003B!T231/1000</f>
        <v>0</v>
      </c>
      <c r="U231" s="85">
        <f>STATS1003B!U231/1000</f>
        <v>0</v>
      </c>
      <c r="V231" s="85">
        <f>STATS1003B!V231/1000</f>
        <v>0</v>
      </c>
      <c r="W231" s="85">
        <f>STATS1003B!W231/1000</f>
        <v>0</v>
      </c>
      <c r="X231" s="85">
        <f t="shared" si="26"/>
        <v>4000</v>
      </c>
      <c r="Y231" s="85">
        <f>STATS1003B!Y231/1000</f>
        <v>0</v>
      </c>
      <c r="Z231" s="85">
        <f t="shared" ref="Z231:Z235" si="27">+E231-X231</f>
        <v>0</v>
      </c>
      <c r="AA231" s="69">
        <f>STATS1003B!AA231/1000</f>
        <v>4000</v>
      </c>
      <c r="AB231" s="69">
        <f>STATS1003B!AB231/1000</f>
        <v>0</v>
      </c>
    </row>
    <row r="232" spans="1:28" hidden="1" x14ac:dyDescent="0.3">
      <c r="A232" s="117"/>
      <c r="C232" s="68" t="s">
        <v>531</v>
      </c>
      <c r="E232" s="85">
        <f>STATS1003B!E232/1000</f>
        <v>84.611100000000008</v>
      </c>
      <c r="F232" s="85">
        <f>STATS1003B!F232/1000</f>
        <v>84.611100000000008</v>
      </c>
      <c r="G232" s="85">
        <f>STATS1003B!G232/1000</f>
        <v>0</v>
      </c>
      <c r="H232" s="85">
        <f>STATS1003B!H232/1000</f>
        <v>84.611100000000008</v>
      </c>
      <c r="I232" s="85">
        <f>STATS1003B!I232/1000</f>
        <v>169.22220000000002</v>
      </c>
      <c r="J232" s="85">
        <f>STATS1003B!J232/1000</f>
        <v>0</v>
      </c>
      <c r="K232" s="85">
        <f>STATS1003B!K232/1000</f>
        <v>169.22220000000002</v>
      </c>
      <c r="L232" s="85">
        <f>STATS1003B!L232/1000</f>
        <v>0</v>
      </c>
      <c r="M232" s="85">
        <f>STATS1003B!M232/1000</f>
        <v>84.611100000000008</v>
      </c>
      <c r="N232" s="85">
        <f>STATS1003B!N232/1000</f>
        <v>0</v>
      </c>
      <c r="O232" s="85">
        <f>STATS1003B!O232/1000</f>
        <v>0</v>
      </c>
      <c r="P232" s="85">
        <f>STATS1003B!P232/1000</f>
        <v>0</v>
      </c>
      <c r="Q232" s="85">
        <f>STATS1003B!Q232/1000</f>
        <v>169.22220000000002</v>
      </c>
      <c r="R232" s="85">
        <f>STATS1003B!R232/1000</f>
        <v>-84.611100000000008</v>
      </c>
      <c r="S232" s="85">
        <f>STATS1003B!S232/1000</f>
        <v>0</v>
      </c>
      <c r="T232" s="85">
        <f>STATS1003B!T232/1000</f>
        <v>0</v>
      </c>
      <c r="U232" s="85">
        <f>STATS1003B!U232/1000</f>
        <v>0</v>
      </c>
      <c r="V232" s="85">
        <f>STATS1003B!V232/1000</f>
        <v>0</v>
      </c>
      <c r="W232" s="85">
        <f>STATS1003B!W232/1000</f>
        <v>0</v>
      </c>
      <c r="X232" s="85">
        <f t="shared" si="26"/>
        <v>84.611100000000008</v>
      </c>
      <c r="Y232" s="85">
        <f>STATS1003B!Y232/1000</f>
        <v>0</v>
      </c>
      <c r="Z232" s="85">
        <f t="shared" si="27"/>
        <v>0</v>
      </c>
      <c r="AA232" s="69">
        <f>STATS1003B!AA232/1000</f>
        <v>84.611100000000008</v>
      </c>
      <c r="AB232" s="69">
        <f>STATS1003B!AB232/1000</f>
        <v>0</v>
      </c>
    </row>
    <row r="233" spans="1:28" hidden="1" x14ac:dyDescent="0.3">
      <c r="A233" s="117"/>
      <c r="C233" s="68" t="s">
        <v>532</v>
      </c>
      <c r="E233" s="85">
        <f>STATS1003B!E233/1000</f>
        <v>5000</v>
      </c>
      <c r="F233" s="85">
        <f>STATS1003B!F233/1000</f>
        <v>5000</v>
      </c>
      <c r="G233" s="85">
        <f>STATS1003B!G233/1000</f>
        <v>0</v>
      </c>
      <c r="H233" s="85">
        <f>STATS1003B!H233/1000</f>
        <v>5000</v>
      </c>
      <c r="I233" s="85">
        <f>STATS1003B!I233/1000</f>
        <v>10000</v>
      </c>
      <c r="J233" s="85">
        <f>STATS1003B!J233/1000</f>
        <v>0</v>
      </c>
      <c r="K233" s="85">
        <f>STATS1003B!K233/1000</f>
        <v>10000</v>
      </c>
      <c r="L233" s="85">
        <f>STATS1003B!L233/1000</f>
        <v>0</v>
      </c>
      <c r="M233" s="85">
        <f>STATS1003B!M233/1000</f>
        <v>5000</v>
      </c>
      <c r="N233" s="85">
        <f>STATS1003B!N233/1000</f>
        <v>0</v>
      </c>
      <c r="O233" s="85">
        <f>STATS1003B!O233/1000</f>
        <v>0</v>
      </c>
      <c r="P233" s="85">
        <f>STATS1003B!P233/1000</f>
        <v>0</v>
      </c>
      <c r="Q233" s="85">
        <f>STATS1003B!Q233/1000</f>
        <v>10000</v>
      </c>
      <c r="R233" s="85">
        <f>STATS1003B!R233/1000</f>
        <v>-5000</v>
      </c>
      <c r="S233" s="85">
        <f>STATS1003B!S233/1000</f>
        <v>0</v>
      </c>
      <c r="T233" s="85">
        <f>STATS1003B!T233/1000</f>
        <v>0</v>
      </c>
      <c r="U233" s="85">
        <f>STATS1003B!U233/1000</f>
        <v>0</v>
      </c>
      <c r="V233" s="85">
        <f>STATS1003B!V233/1000</f>
        <v>0</v>
      </c>
      <c r="W233" s="85">
        <f>STATS1003B!W233/1000</f>
        <v>0</v>
      </c>
      <c r="X233" s="85">
        <f t="shared" si="26"/>
        <v>5000</v>
      </c>
      <c r="Y233" s="85">
        <f>STATS1003B!Y233/1000</f>
        <v>0</v>
      </c>
      <c r="Z233" s="85">
        <f t="shared" si="27"/>
        <v>0</v>
      </c>
      <c r="AA233" s="69">
        <f>STATS1003B!AA233/1000</f>
        <v>5000</v>
      </c>
      <c r="AB233" s="69">
        <f>STATS1003B!AB233/1000</f>
        <v>0</v>
      </c>
    </row>
    <row r="234" spans="1:28" hidden="1" x14ac:dyDescent="0.3">
      <c r="A234" s="117"/>
      <c r="E234" s="86" t="s">
        <v>29</v>
      </c>
      <c r="F234" s="86" t="s">
        <v>29</v>
      </c>
      <c r="G234" s="86" t="s">
        <v>29</v>
      </c>
      <c r="H234" s="86" t="s">
        <v>29</v>
      </c>
      <c r="I234" s="86" t="s">
        <v>29</v>
      </c>
      <c r="J234" s="86" t="s">
        <v>29</v>
      </c>
      <c r="K234" s="86" t="s">
        <v>29</v>
      </c>
      <c r="L234" s="86" t="s">
        <v>29</v>
      </c>
      <c r="M234" s="86" t="s">
        <v>29</v>
      </c>
      <c r="N234" s="86" t="s">
        <v>29</v>
      </c>
      <c r="O234" s="86" t="s">
        <v>29</v>
      </c>
      <c r="P234" s="86" t="s">
        <v>29</v>
      </c>
      <c r="Q234" s="86" t="s">
        <v>29</v>
      </c>
      <c r="R234" s="86" t="s">
        <v>29</v>
      </c>
      <c r="S234" s="86" t="s">
        <v>29</v>
      </c>
      <c r="T234" s="86" t="s">
        <v>29</v>
      </c>
      <c r="U234" s="86" t="s">
        <v>29</v>
      </c>
      <c r="V234" s="86" t="s">
        <v>29</v>
      </c>
      <c r="W234" s="86" t="s">
        <v>29</v>
      </c>
      <c r="X234" s="85" t="e">
        <f t="shared" si="26"/>
        <v>#VALUE!</v>
      </c>
      <c r="Y234" s="86" t="s">
        <v>29</v>
      </c>
      <c r="Z234" s="85" t="e">
        <f t="shared" si="27"/>
        <v>#VALUE!</v>
      </c>
      <c r="AA234" s="115" t="s">
        <v>29</v>
      </c>
      <c r="AB234" s="115" t="s">
        <v>29</v>
      </c>
    </row>
    <row r="235" spans="1:28" x14ac:dyDescent="0.3">
      <c r="A235" s="116" t="s">
        <v>944</v>
      </c>
      <c r="B235" s="68" t="s">
        <v>522</v>
      </c>
      <c r="E235" s="85">
        <f>144837160.13/1000</f>
        <v>144837.16013</v>
      </c>
      <c r="F235" s="85">
        <f>SUM(F211:F233)</f>
        <v>50936.428449999999</v>
      </c>
      <c r="G235" s="85">
        <f>SUM(G211:G233)</f>
        <v>0</v>
      </c>
      <c r="H235" s="85">
        <f>135145221.94/1000</f>
        <v>135145.22193999999</v>
      </c>
      <c r="I235" s="85">
        <f t="shared" ref="I235:O235" si="28">SUM(I211:I233)</f>
        <v>84396.697060000006</v>
      </c>
      <c r="J235" s="85">
        <f t="shared" si="28"/>
        <v>2729.4740000000002</v>
      </c>
      <c r="K235" s="85">
        <f t="shared" si="28"/>
        <v>87126.171060000008</v>
      </c>
      <c r="L235" s="85">
        <f t="shared" si="28"/>
        <v>2729.4740000000002</v>
      </c>
      <c r="M235" s="85">
        <f t="shared" si="28"/>
        <v>53665.902450000001</v>
      </c>
      <c r="N235" s="85">
        <f t="shared" si="28"/>
        <v>6962.4641899999997</v>
      </c>
      <c r="O235" s="85">
        <f t="shared" si="28"/>
        <v>0</v>
      </c>
      <c r="P235" s="85">
        <f>6962464/1000</f>
        <v>6962.4639999999999</v>
      </c>
      <c r="Q235" s="85">
        <f t="shared" ref="Q235:W235" si="29">SUM(Q211:Q233)</f>
        <v>94088.635250000007</v>
      </c>
      <c r="R235" s="85">
        <f t="shared" si="29"/>
        <v>-42198.348530000003</v>
      </c>
      <c r="S235" s="85">
        <f t="shared" si="29"/>
        <v>0</v>
      </c>
      <c r="T235" s="85">
        <f t="shared" si="29"/>
        <v>0</v>
      </c>
      <c r="U235" s="85">
        <f t="shared" si="29"/>
        <v>6962.4641899999997</v>
      </c>
      <c r="V235" s="85">
        <f t="shared" si="29"/>
        <v>0</v>
      </c>
      <c r="W235" s="85">
        <f t="shared" si="29"/>
        <v>0</v>
      </c>
      <c r="X235" s="85">
        <f>+H235+P235</f>
        <v>142107.68594</v>
      </c>
      <c r="Y235" s="85">
        <f>SUM(Y211:Y233)</f>
        <v>0</v>
      </c>
      <c r="Z235" s="85">
        <f t="shared" si="27"/>
        <v>2729.4741900000081</v>
      </c>
      <c r="AA235" s="69">
        <f>SUM(AA211:AA233)</f>
        <v>60628.36664</v>
      </c>
      <c r="AB235" s="69">
        <f>SUM(AB211:AB233)</f>
        <v>0</v>
      </c>
    </row>
    <row r="236" spans="1:28" x14ac:dyDescent="0.3">
      <c r="A236" s="117"/>
      <c r="E236" s="86"/>
      <c r="F236" s="86"/>
      <c r="G236" s="86"/>
      <c r="H236" s="86"/>
      <c r="I236" s="86"/>
      <c r="J236" s="86"/>
      <c r="K236" s="86"/>
      <c r="L236" s="86"/>
      <c r="M236" s="86"/>
      <c r="N236" s="86"/>
      <c r="O236" s="86"/>
      <c r="P236" s="86"/>
      <c r="Q236" s="86"/>
      <c r="R236" s="86"/>
      <c r="S236" s="86"/>
      <c r="T236" s="86"/>
      <c r="U236" s="86"/>
      <c r="V236" s="86"/>
      <c r="W236" s="86"/>
      <c r="X236" s="86"/>
      <c r="Y236" s="86"/>
      <c r="Z236" s="86"/>
      <c r="AA236" s="115" t="s">
        <v>29</v>
      </c>
      <c r="AB236" s="115" t="s">
        <v>29</v>
      </c>
    </row>
    <row r="237" spans="1:28" s="106" customFormat="1" x14ac:dyDescent="0.3">
      <c r="A237" s="104"/>
      <c r="B237" s="8"/>
      <c r="C237" s="7" t="s">
        <v>3</v>
      </c>
      <c r="D237" s="8"/>
      <c r="E237" s="82">
        <f t="shared" ref="E237:AB237" si="30">E149+E166+E184+E208+E235</f>
        <v>594406.06473999994</v>
      </c>
      <c r="F237" s="82">
        <f t="shared" si="30"/>
        <v>197713.06322000001</v>
      </c>
      <c r="G237" s="82">
        <f t="shared" si="30"/>
        <v>0</v>
      </c>
      <c r="H237" s="82">
        <f t="shared" si="30"/>
        <v>536505.72459999996</v>
      </c>
      <c r="I237" s="82">
        <f t="shared" si="30"/>
        <v>127959.68300000002</v>
      </c>
      <c r="J237" s="82">
        <f t="shared" si="30"/>
        <v>2729.4740000000002</v>
      </c>
      <c r="K237" s="82">
        <f t="shared" si="30"/>
        <v>130689.15700000001</v>
      </c>
      <c r="L237" s="82">
        <f t="shared" si="30"/>
        <v>2729.4740000000002</v>
      </c>
      <c r="M237" s="82">
        <f t="shared" si="30"/>
        <v>200442.53722</v>
      </c>
      <c r="N237" s="82">
        <f t="shared" si="30"/>
        <v>53078.531840000003</v>
      </c>
      <c r="O237" s="82">
        <f t="shared" si="30"/>
        <v>0</v>
      </c>
      <c r="P237" s="82">
        <f t="shared" si="30"/>
        <v>53078.531040000002</v>
      </c>
      <c r="Q237" s="82">
        <f t="shared" si="30"/>
        <v>140334.35609000002</v>
      </c>
      <c r="R237" s="82">
        <f t="shared" si="30"/>
        <v>-63833.191310000009</v>
      </c>
      <c r="S237" s="82">
        <f t="shared" si="30"/>
        <v>0</v>
      </c>
      <c r="T237" s="82">
        <f t="shared" si="30"/>
        <v>11.57367</v>
      </c>
      <c r="U237" s="82">
        <f t="shared" si="30"/>
        <v>53090.105510000009</v>
      </c>
      <c r="V237" s="82">
        <f t="shared" si="30"/>
        <v>211172.06324000002</v>
      </c>
      <c r="W237" s="82">
        <f t="shared" si="30"/>
        <v>29216.149729999997</v>
      </c>
      <c r="X237" s="82">
        <f t="shared" si="30"/>
        <v>589584.25563999999</v>
      </c>
      <c r="Y237" s="82">
        <f t="shared" si="30"/>
        <v>0</v>
      </c>
      <c r="Z237" s="82">
        <f t="shared" si="30"/>
        <v>4821.8091000000059</v>
      </c>
      <c r="AA237" s="9">
        <f t="shared" si="30"/>
        <v>253532.64272999999</v>
      </c>
      <c r="AB237" s="9">
        <f t="shared" si="30"/>
        <v>2080.7606299999984</v>
      </c>
    </row>
    <row r="238" spans="1:28" x14ac:dyDescent="0.3">
      <c r="A238" s="117"/>
      <c r="E238" s="86"/>
      <c r="F238" s="86"/>
      <c r="G238" s="86"/>
      <c r="H238" s="86"/>
      <c r="I238" s="86"/>
      <c r="J238" s="86"/>
      <c r="K238" s="86"/>
      <c r="L238" s="86"/>
      <c r="M238" s="86"/>
      <c r="N238" s="86"/>
      <c r="O238" s="86"/>
      <c r="P238" s="86"/>
      <c r="Q238" s="86"/>
      <c r="R238" s="86"/>
      <c r="S238" s="86"/>
      <c r="T238" s="86"/>
      <c r="U238" s="86"/>
      <c r="V238" s="86"/>
      <c r="W238" s="86"/>
      <c r="X238" s="92"/>
      <c r="Y238" s="86"/>
      <c r="Z238" s="86"/>
      <c r="AA238" s="115" t="s">
        <v>114</v>
      </c>
      <c r="AB238" s="115" t="s">
        <v>114</v>
      </c>
    </row>
    <row r="239" spans="1:28" x14ac:dyDescent="0.3">
      <c r="A239" s="117"/>
      <c r="B239" s="68" t="s">
        <v>533</v>
      </c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6"/>
      <c r="S239" s="86"/>
      <c r="T239" s="86"/>
      <c r="U239" s="86"/>
      <c r="V239" s="86"/>
      <c r="W239" s="86"/>
      <c r="X239" s="92"/>
      <c r="Y239" s="86"/>
      <c r="Z239" s="86"/>
    </row>
    <row r="240" spans="1:28" hidden="1" x14ac:dyDescent="0.3">
      <c r="A240" s="117"/>
      <c r="B240" s="68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6"/>
      <c r="S240" s="86"/>
      <c r="T240" s="86"/>
      <c r="U240" s="86"/>
      <c r="V240" s="86"/>
      <c r="W240" s="86"/>
      <c r="X240" s="86"/>
      <c r="Y240" s="86"/>
      <c r="Z240" s="86"/>
    </row>
    <row r="241" spans="1:28" hidden="1" x14ac:dyDescent="0.3">
      <c r="A241" s="105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6"/>
      <c r="S241" s="86"/>
      <c r="T241" s="86"/>
      <c r="U241" s="86"/>
      <c r="V241" s="86"/>
      <c r="W241" s="86"/>
      <c r="X241" s="86"/>
      <c r="Y241" s="86"/>
      <c r="Z241" s="86"/>
    </row>
    <row r="242" spans="1:28" hidden="1" x14ac:dyDescent="0.3">
      <c r="A242" s="117"/>
      <c r="C242" s="68" t="s">
        <v>535</v>
      </c>
      <c r="D242" s="145" t="s">
        <v>76</v>
      </c>
      <c r="E242" s="85">
        <f>STATS1003B!E243/1000</f>
        <v>2174.7612999999997</v>
      </c>
      <c r="F242" s="85">
        <f>STATS1003B!F243/1000</f>
        <v>1677.8201000000001</v>
      </c>
      <c r="G242" s="85">
        <f>STATS1003B!G243/1000</f>
        <v>0</v>
      </c>
      <c r="H242" s="85">
        <f>STATS1003B!H243/1000</f>
        <v>1677.8201000000001</v>
      </c>
      <c r="I242" s="85">
        <f>STATS1003B!I243/1000</f>
        <v>0</v>
      </c>
      <c r="J242" s="85">
        <f>STATS1003B!J243/1000</f>
        <v>1677.8201000000001</v>
      </c>
      <c r="K242" s="85">
        <f>STATS1003B!K243/1000</f>
        <v>496.94119999999998</v>
      </c>
      <c r="L242" s="85">
        <f>STATS1003B!L243/1000</f>
        <v>0</v>
      </c>
      <c r="M242" s="85">
        <f>STATS1003B!M243/1000</f>
        <v>1677.8201000000001</v>
      </c>
      <c r="N242" s="85">
        <f>STATS1003B!N243/1000</f>
        <v>496.94120000000004</v>
      </c>
      <c r="O242" s="85">
        <f>STATS1003B!O243/1000</f>
        <v>0</v>
      </c>
      <c r="P242" s="85">
        <f>STATS1003B!P243/1000</f>
        <v>496.94120000000004</v>
      </c>
      <c r="Q242" s="85">
        <f>STATS1003B!Q243/1000</f>
        <v>1677.8200999999999</v>
      </c>
      <c r="R242" s="85">
        <f>STATS1003B!R243/1000</f>
        <v>0</v>
      </c>
      <c r="S242" s="85">
        <f>STATS1003B!S243/1000</f>
        <v>0</v>
      </c>
      <c r="T242" s="85">
        <f>STATS1003B!T243/1000</f>
        <v>0</v>
      </c>
      <c r="U242" s="85">
        <f>STATS1003B!U243/1000</f>
        <v>496.94120000000004</v>
      </c>
      <c r="V242" s="85">
        <f>STATS1003B!V243/1000</f>
        <v>0</v>
      </c>
      <c r="W242" s="85">
        <f>STATS1003B!W243/1000</f>
        <v>0</v>
      </c>
      <c r="X242" s="85">
        <f>STATS1003B!X243/1000</f>
        <v>2174.7613000000001</v>
      </c>
      <c r="Y242" s="85">
        <f>STATS1003B!Y243/1000</f>
        <v>0</v>
      </c>
      <c r="Z242" s="85">
        <f>STATS1003B!Z243/1000</f>
        <v>0</v>
      </c>
      <c r="AA242" s="69">
        <f>STATS1003B!AA243/1000</f>
        <v>2174.7613000000001</v>
      </c>
      <c r="AB242" s="69">
        <f>STATS1003B!AB243/1000</f>
        <v>0</v>
      </c>
    </row>
    <row r="243" spans="1:28" hidden="1" x14ac:dyDescent="0.3">
      <c r="A243" s="117"/>
      <c r="C243" s="68" t="s">
        <v>535</v>
      </c>
      <c r="D243" s="145" t="s">
        <v>150</v>
      </c>
      <c r="E243" s="85">
        <f>STATS1003B!E244/1000</f>
        <v>3887.62664</v>
      </c>
      <c r="F243" s="85">
        <f>STATS1003B!F244/1000</f>
        <v>3887.62664</v>
      </c>
      <c r="G243" s="85">
        <f>STATS1003B!G244/1000</f>
        <v>0</v>
      </c>
      <c r="H243" s="85">
        <f>STATS1003B!H244/1000</f>
        <v>3887.62664</v>
      </c>
      <c r="I243" s="85">
        <f>STATS1003B!I244/1000</f>
        <v>0</v>
      </c>
      <c r="J243" s="85">
        <f>STATS1003B!J244/1000</f>
        <v>3887.62664</v>
      </c>
      <c r="K243" s="85">
        <f>STATS1003B!K244/1000</f>
        <v>0</v>
      </c>
      <c r="L243" s="85">
        <f>STATS1003B!L244/1000</f>
        <v>0</v>
      </c>
      <c r="M243" s="85">
        <f>STATS1003B!M244/1000</f>
        <v>3887.62664</v>
      </c>
      <c r="N243" s="85">
        <f>STATS1003B!N244/1000</f>
        <v>0</v>
      </c>
      <c r="O243" s="85">
        <f>STATS1003B!O244/1000</f>
        <v>0</v>
      </c>
      <c r="P243" s="85">
        <f>STATS1003B!P244/1000</f>
        <v>0</v>
      </c>
      <c r="Q243" s="85">
        <f>STATS1003B!Q244/1000</f>
        <v>3887.62664</v>
      </c>
      <c r="R243" s="85">
        <f>STATS1003B!R244/1000</f>
        <v>0</v>
      </c>
      <c r="S243" s="85">
        <f>STATS1003B!S244/1000</f>
        <v>0</v>
      </c>
      <c r="T243" s="85">
        <f>STATS1003B!T244/1000</f>
        <v>0</v>
      </c>
      <c r="U243" s="85">
        <f>STATS1003B!U244/1000</f>
        <v>0</v>
      </c>
      <c r="V243" s="85">
        <f>STATS1003B!V244/1000</f>
        <v>0</v>
      </c>
      <c r="W243" s="85">
        <f>STATS1003B!W244/1000</f>
        <v>0</v>
      </c>
      <c r="X243" s="85">
        <f>STATS1003B!X244/1000</f>
        <v>3887.62664</v>
      </c>
      <c r="Y243" s="85">
        <f>STATS1003B!Y244/1000</f>
        <v>0</v>
      </c>
      <c r="Z243" s="85">
        <f>STATS1003B!Z244/1000</f>
        <v>0</v>
      </c>
      <c r="AA243" s="69">
        <f>STATS1003B!AA244/1000</f>
        <v>3887.62664</v>
      </c>
      <c r="AB243" s="69">
        <f>STATS1003B!AB244/1000</f>
        <v>0</v>
      </c>
    </row>
    <row r="244" spans="1:28" hidden="1" x14ac:dyDescent="0.3">
      <c r="A244" s="117"/>
      <c r="C244" s="68" t="s">
        <v>536</v>
      </c>
      <c r="D244" s="145" t="s">
        <v>150</v>
      </c>
      <c r="E244" s="85">
        <f>STATS1003B!E245/1000</f>
        <v>937</v>
      </c>
      <c r="F244" s="85">
        <f>STATS1003B!F245/1000</f>
        <v>937</v>
      </c>
      <c r="G244" s="85">
        <f>STATS1003B!G245/1000</f>
        <v>0</v>
      </c>
      <c r="H244" s="85">
        <f>STATS1003B!H245/1000</f>
        <v>937</v>
      </c>
      <c r="I244" s="85">
        <f>STATS1003B!I245/1000</f>
        <v>0</v>
      </c>
      <c r="J244" s="85">
        <f>STATS1003B!J245/1000</f>
        <v>937</v>
      </c>
      <c r="K244" s="85">
        <f>STATS1003B!K245/1000</f>
        <v>0</v>
      </c>
      <c r="L244" s="85">
        <f>STATS1003B!L245/1000</f>
        <v>0</v>
      </c>
      <c r="M244" s="85">
        <f>STATS1003B!M245/1000</f>
        <v>937</v>
      </c>
      <c r="N244" s="85">
        <f>STATS1003B!N245/1000</f>
        <v>0</v>
      </c>
      <c r="O244" s="85">
        <f>STATS1003B!O245/1000</f>
        <v>0</v>
      </c>
      <c r="P244" s="85">
        <f>STATS1003B!P245/1000</f>
        <v>0</v>
      </c>
      <c r="Q244" s="85">
        <f>STATS1003B!Q245/1000</f>
        <v>937</v>
      </c>
      <c r="R244" s="85">
        <f>STATS1003B!R245/1000</f>
        <v>0</v>
      </c>
      <c r="S244" s="85">
        <f>STATS1003B!S245/1000</f>
        <v>0</v>
      </c>
      <c r="T244" s="85">
        <f>STATS1003B!T245/1000</f>
        <v>0</v>
      </c>
      <c r="U244" s="85">
        <f>STATS1003B!U245/1000</f>
        <v>0</v>
      </c>
      <c r="V244" s="85">
        <f>STATS1003B!V245/1000</f>
        <v>0</v>
      </c>
      <c r="W244" s="85">
        <f>STATS1003B!W245/1000</f>
        <v>0</v>
      </c>
      <c r="X244" s="85">
        <f>STATS1003B!X245/1000</f>
        <v>937</v>
      </c>
      <c r="Y244" s="85">
        <f>STATS1003B!Y245/1000</f>
        <v>0</v>
      </c>
      <c r="Z244" s="85">
        <f>STATS1003B!Z245/1000</f>
        <v>0</v>
      </c>
      <c r="AA244" s="69">
        <f>STATS1003B!AA245/1000</f>
        <v>937</v>
      </c>
      <c r="AB244" s="69">
        <f>STATS1003B!AB245/1000</f>
        <v>0</v>
      </c>
    </row>
    <row r="245" spans="1:28" hidden="1" x14ac:dyDescent="0.3">
      <c r="A245" s="117"/>
      <c r="C245" s="68" t="s">
        <v>537</v>
      </c>
      <c r="D245" s="145" t="s">
        <v>166</v>
      </c>
      <c r="E245" s="85">
        <f>STATS1003B!E246/1000</f>
        <v>880.45335999999998</v>
      </c>
      <c r="F245" s="85">
        <f>STATS1003B!F246/1000</f>
        <v>805</v>
      </c>
      <c r="G245" s="85">
        <f>STATS1003B!G246/1000</f>
        <v>0</v>
      </c>
      <c r="H245" s="85">
        <f>STATS1003B!H246/1000</f>
        <v>805</v>
      </c>
      <c r="I245" s="85">
        <f>STATS1003B!I246/1000</f>
        <v>0</v>
      </c>
      <c r="J245" s="85">
        <f>STATS1003B!J246/1000</f>
        <v>805</v>
      </c>
      <c r="K245" s="85">
        <f>STATS1003B!K246/1000</f>
        <v>75.453360000000004</v>
      </c>
      <c r="L245" s="85">
        <f>STATS1003B!L246/1000</f>
        <v>0</v>
      </c>
      <c r="M245" s="85">
        <f>STATS1003B!M246/1000</f>
        <v>805</v>
      </c>
      <c r="N245" s="85">
        <f>STATS1003B!N246/1000</f>
        <v>75.453360000000004</v>
      </c>
      <c r="O245" s="85">
        <f>STATS1003B!O246/1000</f>
        <v>0</v>
      </c>
      <c r="P245" s="85">
        <f>STATS1003B!P246/1000</f>
        <v>75.453360000000004</v>
      </c>
      <c r="Q245" s="85">
        <f>STATS1003B!Q246/1000</f>
        <v>805</v>
      </c>
      <c r="R245" s="85">
        <f>STATS1003B!R246/1000</f>
        <v>0</v>
      </c>
      <c r="S245" s="85">
        <f>STATS1003B!S246/1000</f>
        <v>0</v>
      </c>
      <c r="T245" s="85">
        <f>STATS1003B!T246/1000</f>
        <v>0</v>
      </c>
      <c r="U245" s="85">
        <f>STATS1003B!U246/1000</f>
        <v>75.453360000000004</v>
      </c>
      <c r="V245" s="85">
        <f>STATS1003B!V246/1000</f>
        <v>0</v>
      </c>
      <c r="W245" s="85">
        <f>STATS1003B!W246/1000</f>
        <v>0</v>
      </c>
      <c r="X245" s="85">
        <f>STATS1003B!X246/1000</f>
        <v>880.45335999999998</v>
      </c>
      <c r="Y245" s="85">
        <f>STATS1003B!Y246/1000</f>
        <v>0</v>
      </c>
      <c r="Z245" s="85">
        <f>STATS1003B!Z246/1000</f>
        <v>0</v>
      </c>
      <c r="AA245" s="69">
        <f>STATS1003B!AA246/1000</f>
        <v>880.45335999999998</v>
      </c>
      <c r="AB245" s="69">
        <f>STATS1003B!AB246/1000</f>
        <v>0</v>
      </c>
    </row>
    <row r="246" spans="1:28" hidden="1" x14ac:dyDescent="0.3">
      <c r="A246" s="117"/>
      <c r="C246" s="68" t="s">
        <v>538</v>
      </c>
      <c r="D246" s="145" t="s">
        <v>78</v>
      </c>
      <c r="E246" s="85">
        <f>STATS1003B!E247/1000</f>
        <v>1889.9</v>
      </c>
      <c r="F246" s="85">
        <f>STATS1003B!F247/1000</f>
        <v>645.57000000000005</v>
      </c>
      <c r="G246" s="85">
        <f>STATS1003B!G247/1000</f>
        <v>0</v>
      </c>
      <c r="H246" s="85">
        <f>STATS1003B!H247/1000</f>
        <v>645.57000000000005</v>
      </c>
      <c r="I246" s="85">
        <f>STATS1003B!I247/1000</f>
        <v>0</v>
      </c>
      <c r="J246" s="85">
        <f>STATS1003B!J247/1000</f>
        <v>645.57000000000005</v>
      </c>
      <c r="K246" s="85">
        <f>STATS1003B!K247/1000</f>
        <v>1244.33</v>
      </c>
      <c r="L246" s="85">
        <f>STATS1003B!L247/1000</f>
        <v>0</v>
      </c>
      <c r="M246" s="85">
        <f>STATS1003B!M247/1000</f>
        <v>645.57000000000005</v>
      </c>
      <c r="N246" s="85">
        <f>STATS1003B!N247/1000</f>
        <v>1244.33</v>
      </c>
      <c r="O246" s="85">
        <f>STATS1003B!O247/1000</f>
        <v>0</v>
      </c>
      <c r="P246" s="85">
        <f>STATS1003B!P247/1000</f>
        <v>1244.33</v>
      </c>
      <c r="Q246" s="85">
        <f>STATS1003B!Q247/1000</f>
        <v>645.57000000000005</v>
      </c>
      <c r="R246" s="85">
        <f>STATS1003B!R247/1000</f>
        <v>0</v>
      </c>
      <c r="S246" s="85">
        <f>STATS1003B!S247/1000</f>
        <v>0</v>
      </c>
      <c r="T246" s="85">
        <f>STATS1003B!T247/1000</f>
        <v>0</v>
      </c>
      <c r="U246" s="85">
        <f>STATS1003B!U247/1000</f>
        <v>1244.33</v>
      </c>
      <c r="V246" s="85">
        <f>STATS1003B!V247/1000</f>
        <v>0</v>
      </c>
      <c r="W246" s="85">
        <f>STATS1003B!W247/1000</f>
        <v>0</v>
      </c>
      <c r="X246" s="85">
        <f>STATS1003B!X247/1000</f>
        <v>1889.9</v>
      </c>
      <c r="Y246" s="85">
        <f>STATS1003B!Y247/1000</f>
        <v>0</v>
      </c>
      <c r="Z246" s="85">
        <f>STATS1003B!Z247/1000</f>
        <v>0</v>
      </c>
      <c r="AA246" s="69">
        <f>STATS1003B!AA247/1000</f>
        <v>1889.9</v>
      </c>
      <c r="AB246" s="69">
        <f>STATS1003B!AB247/1000</f>
        <v>0</v>
      </c>
    </row>
    <row r="247" spans="1:28" hidden="1" x14ac:dyDescent="0.3">
      <c r="A247" s="117"/>
      <c r="C247" s="68" t="s">
        <v>539</v>
      </c>
      <c r="D247" s="145" t="s">
        <v>68</v>
      </c>
      <c r="E247" s="85">
        <f>STATS1003B!E248/1000</f>
        <v>718.05669999999998</v>
      </c>
      <c r="F247" s="85">
        <f>STATS1003B!F248/1000</f>
        <v>0</v>
      </c>
      <c r="G247" s="85">
        <f>STATS1003B!G248/1000</f>
        <v>0</v>
      </c>
      <c r="H247" s="85">
        <f>STATS1003B!H248/1000</f>
        <v>0</v>
      </c>
      <c r="I247" s="85">
        <f>STATS1003B!I248/1000</f>
        <v>0</v>
      </c>
      <c r="J247" s="85">
        <f>STATS1003B!J248/1000</f>
        <v>0</v>
      </c>
      <c r="K247" s="85">
        <f>STATS1003B!K248/1000</f>
        <v>718.05669999999998</v>
      </c>
      <c r="L247" s="85">
        <f>STATS1003B!L248/1000</f>
        <v>0</v>
      </c>
      <c r="M247" s="85">
        <f>STATS1003B!M248/1000</f>
        <v>0</v>
      </c>
      <c r="N247" s="85">
        <f>STATS1003B!N248/1000</f>
        <v>718.05669999999998</v>
      </c>
      <c r="O247" s="85">
        <f>STATS1003B!O248/1000</f>
        <v>0</v>
      </c>
      <c r="P247" s="85">
        <f>STATS1003B!P248/1000</f>
        <v>718.05669999999998</v>
      </c>
      <c r="Q247" s="85">
        <f>STATS1003B!Q248/1000</f>
        <v>0</v>
      </c>
      <c r="R247" s="85">
        <f>STATS1003B!R248/1000</f>
        <v>0</v>
      </c>
      <c r="S247" s="85">
        <f>STATS1003B!S248/1000</f>
        <v>0</v>
      </c>
      <c r="T247" s="85">
        <f>STATS1003B!T248/1000</f>
        <v>0</v>
      </c>
      <c r="U247" s="85">
        <f>STATS1003B!U248/1000</f>
        <v>718.05669999999998</v>
      </c>
      <c r="V247" s="85">
        <f>STATS1003B!V248/1000</f>
        <v>0</v>
      </c>
      <c r="W247" s="85">
        <f>STATS1003B!W248/1000</f>
        <v>0</v>
      </c>
      <c r="X247" s="85">
        <f>STATS1003B!X248/1000</f>
        <v>718.05669999999998</v>
      </c>
      <c r="Y247" s="85">
        <f>STATS1003B!Y248/1000</f>
        <v>0</v>
      </c>
      <c r="Z247" s="85">
        <f>STATS1003B!Z248/1000</f>
        <v>0</v>
      </c>
      <c r="AA247" s="69">
        <f>STATS1003B!AA248/1000</f>
        <v>718.05669999999998</v>
      </c>
      <c r="AB247" s="69">
        <f>STATS1003B!AB248/1000</f>
        <v>0</v>
      </c>
    </row>
    <row r="248" spans="1:28" hidden="1" x14ac:dyDescent="0.3">
      <c r="A248" s="117"/>
      <c r="C248" s="68" t="s">
        <v>535</v>
      </c>
      <c r="D248" s="145" t="s">
        <v>54</v>
      </c>
      <c r="E248" s="85">
        <f>STATS1003B!E249/1000</f>
        <v>901.55</v>
      </c>
      <c r="F248" s="85">
        <f>STATS1003B!F249/1000</f>
        <v>901.55</v>
      </c>
      <c r="G248" s="85">
        <f>STATS1003B!G249/1000</f>
        <v>0</v>
      </c>
      <c r="H248" s="85">
        <f>STATS1003B!H249/1000</f>
        <v>901.55</v>
      </c>
      <c r="I248" s="85">
        <f>STATS1003B!I249/1000</f>
        <v>0</v>
      </c>
      <c r="J248" s="85">
        <f>STATS1003B!J249/1000</f>
        <v>901.55</v>
      </c>
      <c r="K248" s="85">
        <f>STATS1003B!K249/1000</f>
        <v>0</v>
      </c>
      <c r="L248" s="85">
        <f>STATS1003B!L249/1000</f>
        <v>0</v>
      </c>
      <c r="M248" s="85">
        <f>STATS1003B!M249/1000</f>
        <v>901.55</v>
      </c>
      <c r="N248" s="85">
        <f>STATS1003B!N249/1000</f>
        <v>0</v>
      </c>
      <c r="O248" s="85">
        <f>STATS1003B!O249/1000</f>
        <v>0</v>
      </c>
      <c r="P248" s="85">
        <f>STATS1003B!P249/1000</f>
        <v>0</v>
      </c>
      <c r="Q248" s="85">
        <f>STATS1003B!Q249/1000</f>
        <v>901.55</v>
      </c>
      <c r="R248" s="85">
        <f>STATS1003B!R249/1000</f>
        <v>0</v>
      </c>
      <c r="S248" s="85">
        <f>STATS1003B!S249/1000</f>
        <v>0</v>
      </c>
      <c r="T248" s="85">
        <f>STATS1003B!T249/1000</f>
        <v>0</v>
      </c>
      <c r="U248" s="85">
        <f>STATS1003B!U249/1000</f>
        <v>0</v>
      </c>
      <c r="V248" s="85">
        <f>STATS1003B!V249/1000</f>
        <v>0</v>
      </c>
      <c r="W248" s="85">
        <f>STATS1003B!W249/1000</f>
        <v>0</v>
      </c>
      <c r="X248" s="85">
        <f>STATS1003B!X249/1000</f>
        <v>901.55</v>
      </c>
      <c r="Y248" s="85">
        <f>STATS1003B!Y249/1000</f>
        <v>0</v>
      </c>
      <c r="Z248" s="85">
        <f>STATS1003B!Z249/1000</f>
        <v>0</v>
      </c>
      <c r="AA248" s="69">
        <f>STATS1003B!AA249/1000</f>
        <v>901.55</v>
      </c>
      <c r="AB248" s="69">
        <f>STATS1003B!AB249/1000</f>
        <v>0</v>
      </c>
    </row>
    <row r="249" spans="1:28" hidden="1" x14ac:dyDescent="0.3">
      <c r="A249" s="117"/>
      <c r="C249" s="68" t="s">
        <v>540</v>
      </c>
      <c r="D249" s="145" t="s">
        <v>54</v>
      </c>
      <c r="E249" s="85">
        <f>STATS1003B!E250/1000</f>
        <v>570.94100000000003</v>
      </c>
      <c r="F249" s="85">
        <f>STATS1003B!F250/1000</f>
        <v>0</v>
      </c>
      <c r="G249" s="85">
        <f>STATS1003B!G250/1000</f>
        <v>0</v>
      </c>
      <c r="H249" s="85">
        <f>STATS1003B!H250/1000</f>
        <v>0</v>
      </c>
      <c r="I249" s="85">
        <f>STATS1003B!I250/1000</f>
        <v>0</v>
      </c>
      <c r="J249" s="85">
        <f>STATS1003B!J250/1000</f>
        <v>0</v>
      </c>
      <c r="K249" s="85">
        <f>STATS1003B!K250/1000</f>
        <v>570.94100000000003</v>
      </c>
      <c r="L249" s="85">
        <f>STATS1003B!L250/1000</f>
        <v>0</v>
      </c>
      <c r="M249" s="85">
        <f>STATS1003B!M250/1000</f>
        <v>0</v>
      </c>
      <c r="N249" s="85">
        <f>STATS1003B!N250/1000</f>
        <v>570.94100000000003</v>
      </c>
      <c r="O249" s="85">
        <f>STATS1003B!O250/1000</f>
        <v>0</v>
      </c>
      <c r="P249" s="85">
        <f>STATS1003B!P250/1000</f>
        <v>570.94100000000003</v>
      </c>
      <c r="Q249" s="85">
        <f>STATS1003B!Q250/1000</f>
        <v>0</v>
      </c>
      <c r="R249" s="85">
        <f>STATS1003B!R250/1000</f>
        <v>0</v>
      </c>
      <c r="S249" s="85">
        <f>STATS1003B!S250/1000</f>
        <v>0</v>
      </c>
      <c r="T249" s="85">
        <f>STATS1003B!T250/1000</f>
        <v>0</v>
      </c>
      <c r="U249" s="85">
        <f>STATS1003B!U250/1000</f>
        <v>570.94100000000003</v>
      </c>
      <c r="V249" s="85">
        <f>STATS1003B!V250/1000</f>
        <v>0</v>
      </c>
      <c r="W249" s="85">
        <f>STATS1003B!W250/1000</f>
        <v>0</v>
      </c>
      <c r="X249" s="85">
        <f>STATS1003B!X250/1000</f>
        <v>570.94100000000003</v>
      </c>
      <c r="Y249" s="85">
        <f>STATS1003B!Y250/1000</f>
        <v>0</v>
      </c>
      <c r="Z249" s="85">
        <f>STATS1003B!Z250/1000</f>
        <v>0</v>
      </c>
      <c r="AA249" s="69">
        <f>STATS1003B!AA250/1000</f>
        <v>570.94100000000003</v>
      </c>
      <c r="AB249" s="69">
        <f>STATS1003B!AB250/1000</f>
        <v>0</v>
      </c>
    </row>
    <row r="250" spans="1:28" hidden="1" x14ac:dyDescent="0.3">
      <c r="A250" s="117"/>
      <c r="C250" s="68" t="s">
        <v>541</v>
      </c>
      <c r="D250" s="145" t="s">
        <v>85</v>
      </c>
      <c r="E250" s="85">
        <f>STATS1003B!E251/1000</f>
        <v>1600</v>
      </c>
      <c r="F250" s="85">
        <f>STATS1003B!F251/1000</f>
        <v>1600</v>
      </c>
      <c r="G250" s="85">
        <f>STATS1003B!G251/1000</f>
        <v>0</v>
      </c>
      <c r="H250" s="85">
        <f>STATS1003B!H251/1000</f>
        <v>1600</v>
      </c>
      <c r="I250" s="85">
        <f>STATS1003B!I251/1000</f>
        <v>0</v>
      </c>
      <c r="J250" s="85">
        <f>STATS1003B!J251/1000</f>
        <v>1600</v>
      </c>
      <c r="K250" s="85">
        <f>STATS1003B!K251/1000</f>
        <v>0</v>
      </c>
      <c r="L250" s="85">
        <f>STATS1003B!L251/1000</f>
        <v>0</v>
      </c>
      <c r="M250" s="85">
        <f>STATS1003B!M251/1000</f>
        <v>1600</v>
      </c>
      <c r="N250" s="85">
        <f>STATS1003B!N251/1000</f>
        <v>0</v>
      </c>
      <c r="O250" s="85">
        <f>STATS1003B!O251/1000</f>
        <v>0</v>
      </c>
      <c r="P250" s="85">
        <f>STATS1003B!P251/1000</f>
        <v>0</v>
      </c>
      <c r="Q250" s="85">
        <f>STATS1003B!Q251/1000</f>
        <v>1600</v>
      </c>
      <c r="R250" s="85">
        <f>STATS1003B!R251/1000</f>
        <v>0</v>
      </c>
      <c r="S250" s="85">
        <f>STATS1003B!S251/1000</f>
        <v>0</v>
      </c>
      <c r="T250" s="85">
        <f>STATS1003B!T251/1000</f>
        <v>0</v>
      </c>
      <c r="U250" s="85">
        <f>STATS1003B!U251/1000</f>
        <v>0</v>
      </c>
      <c r="V250" s="85">
        <f>STATS1003B!V251/1000</f>
        <v>0</v>
      </c>
      <c r="W250" s="85">
        <f>STATS1003B!W251/1000</f>
        <v>0</v>
      </c>
      <c r="X250" s="85">
        <f>STATS1003B!X251/1000</f>
        <v>1600</v>
      </c>
      <c r="Y250" s="85">
        <f>STATS1003B!Y251/1000</f>
        <v>0</v>
      </c>
      <c r="Z250" s="85">
        <f>STATS1003B!Z251/1000</f>
        <v>0</v>
      </c>
      <c r="AA250" s="69">
        <f>STATS1003B!AA251/1000</f>
        <v>1600</v>
      </c>
      <c r="AB250" s="69">
        <f>STATS1003B!AB251/1000</f>
        <v>0</v>
      </c>
    </row>
    <row r="251" spans="1:28" hidden="1" x14ac:dyDescent="0.3">
      <c r="A251" s="117"/>
      <c r="C251" s="68" t="s">
        <v>535</v>
      </c>
      <c r="D251" s="145" t="s">
        <v>85</v>
      </c>
      <c r="E251" s="85">
        <f>STATS1003B!E252/1000</f>
        <v>1529.1</v>
      </c>
      <c r="F251" s="85">
        <f>STATS1003B!F252/1000</f>
        <v>1529.1</v>
      </c>
      <c r="G251" s="85">
        <f>STATS1003B!G252/1000</f>
        <v>0</v>
      </c>
      <c r="H251" s="85">
        <f>STATS1003B!H252/1000</f>
        <v>1529.1</v>
      </c>
      <c r="I251" s="85">
        <f>STATS1003B!I252/1000</f>
        <v>0</v>
      </c>
      <c r="J251" s="85">
        <f>STATS1003B!J252/1000</f>
        <v>1529.1</v>
      </c>
      <c r="K251" s="85">
        <f>STATS1003B!K252/1000</f>
        <v>0</v>
      </c>
      <c r="L251" s="85">
        <f>STATS1003B!L252/1000</f>
        <v>0</v>
      </c>
      <c r="M251" s="85">
        <f>STATS1003B!M252/1000</f>
        <v>1529.1</v>
      </c>
      <c r="N251" s="85">
        <f>STATS1003B!N252/1000</f>
        <v>0</v>
      </c>
      <c r="O251" s="85">
        <f>STATS1003B!O252/1000</f>
        <v>0</v>
      </c>
      <c r="P251" s="85">
        <f>STATS1003B!P252/1000</f>
        <v>0</v>
      </c>
      <c r="Q251" s="85">
        <f>STATS1003B!Q252/1000</f>
        <v>1529.1</v>
      </c>
      <c r="R251" s="85">
        <f>STATS1003B!R252/1000</f>
        <v>0</v>
      </c>
      <c r="S251" s="85">
        <f>STATS1003B!S252/1000</f>
        <v>0</v>
      </c>
      <c r="T251" s="85">
        <f>STATS1003B!T252/1000</f>
        <v>0</v>
      </c>
      <c r="U251" s="85">
        <f>STATS1003B!U252/1000</f>
        <v>0</v>
      </c>
      <c r="V251" s="85">
        <f>STATS1003B!V252/1000</f>
        <v>0</v>
      </c>
      <c r="W251" s="85">
        <f>STATS1003B!W252/1000</f>
        <v>0</v>
      </c>
      <c r="X251" s="85">
        <f>STATS1003B!X252/1000</f>
        <v>1529.1</v>
      </c>
      <c r="Y251" s="85">
        <f>STATS1003B!Y252/1000</f>
        <v>0</v>
      </c>
      <c r="Z251" s="85">
        <f>STATS1003B!Z252/1000</f>
        <v>0</v>
      </c>
      <c r="AA251" s="69">
        <f>STATS1003B!AA252/1000</f>
        <v>1529.1</v>
      </c>
      <c r="AB251" s="69">
        <f>STATS1003B!AB252/1000</f>
        <v>0</v>
      </c>
    </row>
    <row r="252" spans="1:28" hidden="1" x14ac:dyDescent="0.3">
      <c r="A252" s="117"/>
      <c r="C252" s="68" t="s">
        <v>535</v>
      </c>
      <c r="D252" s="145" t="s">
        <v>88</v>
      </c>
      <c r="E252" s="85">
        <f>STATS1003B!E253/1000</f>
        <v>1800</v>
      </c>
      <c r="F252" s="85">
        <f>STATS1003B!F253/1000</f>
        <v>1800</v>
      </c>
      <c r="G252" s="85">
        <f>STATS1003B!G253/1000</f>
        <v>0</v>
      </c>
      <c r="H252" s="85">
        <f>STATS1003B!H253/1000</f>
        <v>1800</v>
      </c>
      <c r="I252" s="85">
        <f>STATS1003B!I253/1000</f>
        <v>0</v>
      </c>
      <c r="J252" s="85">
        <f>STATS1003B!J253/1000</f>
        <v>1800</v>
      </c>
      <c r="K252" s="85">
        <f>STATS1003B!K253/1000</f>
        <v>0</v>
      </c>
      <c r="L252" s="85">
        <f>STATS1003B!L253/1000</f>
        <v>0</v>
      </c>
      <c r="M252" s="85">
        <f>STATS1003B!M253/1000</f>
        <v>1800</v>
      </c>
      <c r="N252" s="85">
        <f>STATS1003B!N253/1000</f>
        <v>0</v>
      </c>
      <c r="O252" s="85">
        <f>STATS1003B!O253/1000</f>
        <v>0</v>
      </c>
      <c r="P252" s="85">
        <f>STATS1003B!P253/1000</f>
        <v>0</v>
      </c>
      <c r="Q252" s="85">
        <f>STATS1003B!Q253/1000</f>
        <v>1800</v>
      </c>
      <c r="R252" s="85">
        <f>STATS1003B!R253/1000</f>
        <v>0</v>
      </c>
      <c r="S252" s="85">
        <f>STATS1003B!S253/1000</f>
        <v>0</v>
      </c>
      <c r="T252" s="85">
        <f>STATS1003B!T253/1000</f>
        <v>0</v>
      </c>
      <c r="U252" s="85">
        <f>STATS1003B!U253/1000</f>
        <v>0</v>
      </c>
      <c r="V252" s="85">
        <f>STATS1003B!V253/1000</f>
        <v>0</v>
      </c>
      <c r="W252" s="85">
        <f>STATS1003B!W253/1000</f>
        <v>0</v>
      </c>
      <c r="X252" s="85">
        <f>STATS1003B!X253/1000</f>
        <v>1800</v>
      </c>
      <c r="Y252" s="85">
        <f>STATS1003B!Y253/1000</f>
        <v>0</v>
      </c>
      <c r="Z252" s="85">
        <f>STATS1003B!Z253/1000</f>
        <v>0</v>
      </c>
      <c r="AA252" s="69">
        <f>STATS1003B!AA253/1000</f>
        <v>1800</v>
      </c>
      <c r="AB252" s="69">
        <f>STATS1003B!AB253/1000</f>
        <v>0</v>
      </c>
    </row>
    <row r="253" spans="1:28" hidden="1" x14ac:dyDescent="0.3">
      <c r="A253" s="117"/>
      <c r="C253" s="68" t="s">
        <v>542</v>
      </c>
      <c r="D253" s="145" t="s">
        <v>88</v>
      </c>
      <c r="E253" s="85">
        <f>STATS1003B!E254/1000</f>
        <v>4000</v>
      </c>
      <c r="F253" s="85">
        <f>STATS1003B!F254/1000</f>
        <v>4000</v>
      </c>
      <c r="G253" s="85">
        <f>STATS1003B!G254/1000</f>
        <v>0</v>
      </c>
      <c r="H253" s="85">
        <f>STATS1003B!H254/1000</f>
        <v>4000</v>
      </c>
      <c r="I253" s="85">
        <f>STATS1003B!I254/1000</f>
        <v>0</v>
      </c>
      <c r="J253" s="85">
        <f>STATS1003B!J254/1000</f>
        <v>4000</v>
      </c>
      <c r="K253" s="85">
        <f>STATS1003B!K254/1000</f>
        <v>0</v>
      </c>
      <c r="L253" s="85">
        <f>STATS1003B!L254/1000</f>
        <v>0</v>
      </c>
      <c r="M253" s="85">
        <f>STATS1003B!M254/1000</f>
        <v>4000</v>
      </c>
      <c r="N253" s="85">
        <f>STATS1003B!N254/1000</f>
        <v>0</v>
      </c>
      <c r="O253" s="85">
        <f>STATS1003B!O254/1000</f>
        <v>0</v>
      </c>
      <c r="P253" s="85">
        <f>STATS1003B!P254/1000</f>
        <v>0</v>
      </c>
      <c r="Q253" s="85">
        <f>STATS1003B!Q254/1000</f>
        <v>4000</v>
      </c>
      <c r="R253" s="85">
        <f>STATS1003B!R254/1000</f>
        <v>0</v>
      </c>
      <c r="S253" s="85">
        <f>STATS1003B!S254/1000</f>
        <v>0</v>
      </c>
      <c r="T253" s="85">
        <f>STATS1003B!T254/1000</f>
        <v>0</v>
      </c>
      <c r="U253" s="85">
        <f>STATS1003B!U254/1000</f>
        <v>0</v>
      </c>
      <c r="V253" s="85">
        <f>STATS1003B!V254/1000</f>
        <v>0</v>
      </c>
      <c r="W253" s="85">
        <f>STATS1003B!W254/1000</f>
        <v>0</v>
      </c>
      <c r="X253" s="85">
        <f>STATS1003B!X254/1000</f>
        <v>4000</v>
      </c>
      <c r="Y253" s="85">
        <f>STATS1003B!Y254/1000</f>
        <v>0</v>
      </c>
      <c r="Z253" s="85">
        <f>STATS1003B!Z254/1000</f>
        <v>0</v>
      </c>
      <c r="AA253" s="69">
        <f>STATS1003B!AA254/1000</f>
        <v>4000</v>
      </c>
      <c r="AB253" s="69">
        <f>STATS1003B!AB254/1000</f>
        <v>0</v>
      </c>
    </row>
    <row r="254" spans="1:28" hidden="1" x14ac:dyDescent="0.3">
      <c r="A254" s="117"/>
      <c r="C254" s="68" t="s">
        <v>535</v>
      </c>
      <c r="D254" s="145" t="s">
        <v>58</v>
      </c>
      <c r="E254" s="85">
        <f>STATS1003B!E255/1000</f>
        <v>3572.97</v>
      </c>
      <c r="F254" s="85">
        <f>STATS1003B!F255/1000</f>
        <v>3572.97</v>
      </c>
      <c r="G254" s="85">
        <f>STATS1003B!G255/1000</f>
        <v>0</v>
      </c>
      <c r="H254" s="85">
        <f>STATS1003B!H255/1000</f>
        <v>3572.97</v>
      </c>
      <c r="I254" s="85">
        <f>STATS1003B!I255/1000</f>
        <v>0</v>
      </c>
      <c r="J254" s="85">
        <f>STATS1003B!J255/1000</f>
        <v>3572.97</v>
      </c>
      <c r="K254" s="85">
        <f>STATS1003B!K255/1000</f>
        <v>0</v>
      </c>
      <c r="L254" s="85">
        <f>STATS1003B!L255/1000</f>
        <v>0</v>
      </c>
      <c r="M254" s="85">
        <f>STATS1003B!M255/1000</f>
        <v>3572.97</v>
      </c>
      <c r="N254" s="85">
        <f>STATS1003B!N255/1000</f>
        <v>0</v>
      </c>
      <c r="O254" s="85">
        <f>STATS1003B!O255/1000</f>
        <v>0</v>
      </c>
      <c r="P254" s="85">
        <f>STATS1003B!P255/1000</f>
        <v>0</v>
      </c>
      <c r="Q254" s="85">
        <f>STATS1003B!Q255/1000</f>
        <v>3572.97</v>
      </c>
      <c r="R254" s="85">
        <f>STATS1003B!R255/1000</f>
        <v>0</v>
      </c>
      <c r="S254" s="85">
        <f>STATS1003B!S255/1000</f>
        <v>0</v>
      </c>
      <c r="T254" s="85">
        <f>STATS1003B!T255/1000</f>
        <v>0</v>
      </c>
      <c r="U254" s="85">
        <f>STATS1003B!U255/1000</f>
        <v>0</v>
      </c>
      <c r="V254" s="85">
        <f>STATS1003B!V255/1000</f>
        <v>0</v>
      </c>
      <c r="W254" s="85">
        <f>STATS1003B!W255/1000</f>
        <v>0</v>
      </c>
      <c r="X254" s="85">
        <f>STATS1003B!X255/1000</f>
        <v>3572.97</v>
      </c>
      <c r="Y254" s="85">
        <f>STATS1003B!Y255/1000</f>
        <v>0</v>
      </c>
      <c r="Z254" s="85">
        <f>STATS1003B!Z255/1000</f>
        <v>0</v>
      </c>
      <c r="AA254" s="69">
        <f>STATS1003B!AA255/1000</f>
        <v>3572.97</v>
      </c>
      <c r="AB254" s="69">
        <f>STATS1003B!AB255/1000</f>
        <v>0</v>
      </c>
    </row>
    <row r="255" spans="1:28" hidden="1" x14ac:dyDescent="0.3">
      <c r="A255" s="117"/>
      <c r="C255" s="68" t="s">
        <v>535</v>
      </c>
      <c r="D255" s="145" t="s">
        <v>60</v>
      </c>
      <c r="E255" s="85">
        <f>STATS1003B!E256/1000</f>
        <v>3000</v>
      </c>
      <c r="F255" s="85">
        <f>STATS1003B!F256/1000</f>
        <v>3000</v>
      </c>
      <c r="G255" s="85">
        <f>STATS1003B!G256/1000</f>
        <v>0</v>
      </c>
      <c r="H255" s="85">
        <f>STATS1003B!H256/1000</f>
        <v>3000</v>
      </c>
      <c r="I255" s="85">
        <f>STATS1003B!I256/1000</f>
        <v>0</v>
      </c>
      <c r="J255" s="85">
        <f>STATS1003B!J256/1000</f>
        <v>3000</v>
      </c>
      <c r="K255" s="85">
        <f>STATS1003B!K256/1000</f>
        <v>0</v>
      </c>
      <c r="L255" s="85">
        <f>STATS1003B!L256/1000</f>
        <v>0</v>
      </c>
      <c r="M255" s="85">
        <f>STATS1003B!M256/1000</f>
        <v>3000</v>
      </c>
      <c r="N255" s="85">
        <f>STATS1003B!N256/1000</f>
        <v>0</v>
      </c>
      <c r="O255" s="85">
        <f>STATS1003B!O256/1000</f>
        <v>0</v>
      </c>
      <c r="P255" s="85">
        <f>STATS1003B!P256/1000</f>
        <v>0</v>
      </c>
      <c r="Q255" s="85">
        <f>STATS1003B!Q256/1000</f>
        <v>3000</v>
      </c>
      <c r="R255" s="85">
        <f>STATS1003B!R256/1000</f>
        <v>0</v>
      </c>
      <c r="S255" s="85">
        <f>STATS1003B!S256/1000</f>
        <v>0</v>
      </c>
      <c r="T255" s="85">
        <f>STATS1003B!T256/1000</f>
        <v>0</v>
      </c>
      <c r="U255" s="85">
        <f>STATS1003B!U256/1000</f>
        <v>0</v>
      </c>
      <c r="V255" s="85">
        <f>STATS1003B!V256/1000</f>
        <v>0</v>
      </c>
      <c r="W255" s="85">
        <f>STATS1003B!W256/1000</f>
        <v>0</v>
      </c>
      <c r="X255" s="85">
        <f>STATS1003B!X256/1000</f>
        <v>3000</v>
      </c>
      <c r="Y255" s="85">
        <f>STATS1003B!Y256/1000</f>
        <v>0</v>
      </c>
      <c r="Z255" s="85">
        <f>STATS1003B!Z256/1000</f>
        <v>0</v>
      </c>
      <c r="AA255" s="69">
        <f>STATS1003B!AA256/1000</f>
        <v>3000</v>
      </c>
      <c r="AB255" s="69">
        <f>STATS1003B!AB256/1000</f>
        <v>0</v>
      </c>
    </row>
    <row r="256" spans="1:28" hidden="1" x14ac:dyDescent="0.3">
      <c r="A256" s="117"/>
      <c r="C256" s="68" t="s">
        <v>535</v>
      </c>
      <c r="D256" s="145" t="s">
        <v>61</v>
      </c>
      <c r="E256" s="85">
        <f>STATS1003B!E257/1000</f>
        <v>205</v>
      </c>
      <c r="F256" s="85">
        <f>STATS1003B!F257/1000</f>
        <v>205</v>
      </c>
      <c r="G256" s="85">
        <f>STATS1003B!G257/1000</f>
        <v>0</v>
      </c>
      <c r="H256" s="85">
        <f>STATS1003B!H257/1000</f>
        <v>205</v>
      </c>
      <c r="I256" s="85">
        <f>STATS1003B!I257/1000</f>
        <v>0</v>
      </c>
      <c r="J256" s="85">
        <f>STATS1003B!J257/1000</f>
        <v>205</v>
      </c>
      <c r="K256" s="85">
        <f>STATS1003B!K257/1000</f>
        <v>0</v>
      </c>
      <c r="L256" s="85">
        <f>STATS1003B!L257/1000</f>
        <v>0</v>
      </c>
      <c r="M256" s="85">
        <f>STATS1003B!M257/1000</f>
        <v>205</v>
      </c>
      <c r="N256" s="85">
        <f>STATS1003B!N257/1000</f>
        <v>0</v>
      </c>
      <c r="O256" s="85">
        <f>STATS1003B!O257/1000</f>
        <v>0</v>
      </c>
      <c r="P256" s="85">
        <f>STATS1003B!P257/1000</f>
        <v>0</v>
      </c>
      <c r="Q256" s="85">
        <f>STATS1003B!Q257/1000</f>
        <v>205</v>
      </c>
      <c r="R256" s="85">
        <f>STATS1003B!R257/1000</f>
        <v>0</v>
      </c>
      <c r="S256" s="85">
        <f>STATS1003B!S257/1000</f>
        <v>0</v>
      </c>
      <c r="T256" s="85">
        <f>STATS1003B!T257/1000</f>
        <v>0</v>
      </c>
      <c r="U256" s="85">
        <f>STATS1003B!U257/1000</f>
        <v>0</v>
      </c>
      <c r="V256" s="85">
        <f>STATS1003B!V257/1000</f>
        <v>0</v>
      </c>
      <c r="W256" s="85">
        <f>STATS1003B!W257/1000</f>
        <v>0</v>
      </c>
      <c r="X256" s="85">
        <f>STATS1003B!X257/1000</f>
        <v>205</v>
      </c>
      <c r="Y256" s="85">
        <f>STATS1003B!Y257/1000</f>
        <v>0</v>
      </c>
      <c r="Z256" s="85">
        <f>STATS1003B!Z257/1000</f>
        <v>0</v>
      </c>
      <c r="AA256" s="69">
        <f>STATS1003B!AA257/1000</f>
        <v>205</v>
      </c>
      <c r="AB256" s="69">
        <f>STATS1003B!AB257/1000</f>
        <v>0</v>
      </c>
    </row>
    <row r="257" spans="1:28" hidden="1" x14ac:dyDescent="0.3">
      <c r="A257" s="117"/>
      <c r="C257" s="68" t="s">
        <v>1145</v>
      </c>
      <c r="D257" s="90" t="s">
        <v>1126</v>
      </c>
      <c r="E257" s="85">
        <f>STATS1003B!E258/1000</f>
        <v>400</v>
      </c>
      <c r="F257" s="85">
        <f>STATS1003B!F258/1000</f>
        <v>400</v>
      </c>
      <c r="G257" s="85">
        <f>STATS1003B!G258/1000</f>
        <v>0</v>
      </c>
      <c r="H257" s="85">
        <f>STATS1003B!H258/1000</f>
        <v>400</v>
      </c>
      <c r="I257" s="85">
        <f>STATS1003B!I258/1000</f>
        <v>0</v>
      </c>
      <c r="J257" s="85">
        <f>STATS1003B!J258/1000</f>
        <v>400</v>
      </c>
      <c r="K257" s="85">
        <f>STATS1003B!K258/1000</f>
        <v>0</v>
      </c>
      <c r="L257" s="85">
        <f>STATS1003B!L258/1000</f>
        <v>0</v>
      </c>
      <c r="M257" s="85">
        <f>STATS1003B!M258/1000</f>
        <v>400</v>
      </c>
      <c r="N257" s="85">
        <f>STATS1003B!N258/1000</f>
        <v>0</v>
      </c>
      <c r="O257" s="85">
        <f>STATS1003B!O258/1000</f>
        <v>0</v>
      </c>
      <c r="P257" s="85">
        <f>STATS1003B!P258/1000</f>
        <v>0</v>
      </c>
      <c r="Q257" s="85">
        <f>STATS1003B!Q258/1000</f>
        <v>0</v>
      </c>
      <c r="R257" s="85">
        <f>STATS1003B!R258/1000</f>
        <v>0</v>
      </c>
      <c r="S257" s="85">
        <f>STATS1003B!S258/1000</f>
        <v>0</v>
      </c>
      <c r="T257" s="85">
        <f>STATS1003B!T258/1000</f>
        <v>0</v>
      </c>
      <c r="U257" s="85">
        <f>STATS1003B!U258/1000</f>
        <v>0</v>
      </c>
      <c r="V257" s="85">
        <f>STATS1003B!V258/1000</f>
        <v>0</v>
      </c>
      <c r="W257" s="85">
        <f>STATS1003B!W258/1000</f>
        <v>0</v>
      </c>
      <c r="X257" s="85">
        <f>STATS1003B!X258/1000</f>
        <v>400</v>
      </c>
      <c r="Y257" s="85">
        <f>STATS1003B!Y258/1000</f>
        <v>0</v>
      </c>
      <c r="Z257" s="85">
        <f>STATS1003B!Z258/1000</f>
        <v>0</v>
      </c>
      <c r="AA257" s="69">
        <f>STATS1003B!AA258/1000</f>
        <v>400</v>
      </c>
      <c r="AB257" s="69">
        <f>STATS1003B!AB258/1000</f>
        <v>0</v>
      </c>
    </row>
    <row r="258" spans="1:28" hidden="1" x14ac:dyDescent="0.3">
      <c r="A258" s="117"/>
      <c r="C258" s="68" t="s">
        <v>1151</v>
      </c>
      <c r="D258" s="90" t="s">
        <v>1072</v>
      </c>
      <c r="E258" s="85">
        <f>STATS1003B!E259/1000</f>
        <v>100</v>
      </c>
      <c r="F258" s="85">
        <f>STATS1003B!F259/1000</f>
        <v>100</v>
      </c>
      <c r="G258" s="85">
        <f>STATS1003B!G259/1000</f>
        <v>0</v>
      </c>
      <c r="H258" s="85">
        <f>STATS1003B!H259/1000</f>
        <v>100</v>
      </c>
      <c r="I258" s="85">
        <f>STATS1003B!I259/1000</f>
        <v>0</v>
      </c>
      <c r="J258" s="85">
        <f>STATS1003B!J259/1000</f>
        <v>0</v>
      </c>
      <c r="K258" s="85">
        <f>STATS1003B!K259/1000</f>
        <v>0</v>
      </c>
      <c r="L258" s="85">
        <f>STATS1003B!L259/1000</f>
        <v>0</v>
      </c>
      <c r="M258" s="85">
        <f>STATS1003B!M259/1000</f>
        <v>100</v>
      </c>
      <c r="N258" s="85">
        <f>STATS1003B!N259/1000</f>
        <v>0</v>
      </c>
      <c r="O258" s="85">
        <f>STATS1003B!O259/1000</f>
        <v>0</v>
      </c>
      <c r="P258" s="85">
        <f>STATS1003B!P259/1000</f>
        <v>0</v>
      </c>
      <c r="Q258" s="85">
        <f>STATS1003B!Q259/1000</f>
        <v>0</v>
      </c>
      <c r="R258" s="85">
        <f>STATS1003B!R259/1000</f>
        <v>0</v>
      </c>
      <c r="S258" s="85">
        <f>STATS1003B!S259/1000</f>
        <v>0</v>
      </c>
      <c r="T258" s="85">
        <f>STATS1003B!T259/1000</f>
        <v>0</v>
      </c>
      <c r="U258" s="85">
        <f>STATS1003B!U259/1000</f>
        <v>0</v>
      </c>
      <c r="V258" s="85">
        <f>STATS1003B!V259/1000</f>
        <v>0</v>
      </c>
      <c r="W258" s="85">
        <f>STATS1003B!W259/1000</f>
        <v>0</v>
      </c>
      <c r="X258" s="85">
        <f>STATS1003B!X259/1000</f>
        <v>100</v>
      </c>
      <c r="Y258" s="85">
        <f>STATS1003B!Y259/1000</f>
        <v>0</v>
      </c>
      <c r="Z258" s="85">
        <f>STATS1003B!Z259/1000</f>
        <v>0</v>
      </c>
      <c r="AA258" s="69">
        <f>STATS1003B!AA259/1000</f>
        <v>100</v>
      </c>
      <c r="AB258" s="69">
        <f>STATS1003B!AB259/1000</f>
        <v>0</v>
      </c>
    </row>
    <row r="259" spans="1:28" hidden="1" x14ac:dyDescent="0.3">
      <c r="A259" s="117"/>
      <c r="C259" s="68" t="s">
        <v>543</v>
      </c>
      <c r="E259" s="85">
        <f>STATS1003B!E260/1000</f>
        <v>2500</v>
      </c>
      <c r="F259" s="85">
        <f>STATS1003B!F260/1000</f>
        <v>2500</v>
      </c>
      <c r="G259" s="85">
        <f>STATS1003B!G260/1000</f>
        <v>0</v>
      </c>
      <c r="H259" s="85">
        <f>STATS1003B!H260/1000</f>
        <v>2500</v>
      </c>
      <c r="I259" s="85">
        <f>STATS1003B!I260/1000</f>
        <v>0</v>
      </c>
      <c r="J259" s="85">
        <f>STATS1003B!J260/1000</f>
        <v>2500</v>
      </c>
      <c r="K259" s="85">
        <f>STATS1003B!K260/1000</f>
        <v>0</v>
      </c>
      <c r="L259" s="85">
        <f>STATS1003B!L260/1000</f>
        <v>0</v>
      </c>
      <c r="M259" s="85">
        <f>STATS1003B!M260/1000</f>
        <v>2500</v>
      </c>
      <c r="N259" s="85">
        <f>STATS1003B!N260/1000</f>
        <v>0</v>
      </c>
      <c r="O259" s="85">
        <f>STATS1003B!O260/1000</f>
        <v>0</v>
      </c>
      <c r="P259" s="85">
        <f>STATS1003B!P260/1000</f>
        <v>0</v>
      </c>
      <c r="Q259" s="85">
        <f>STATS1003B!Q260/1000</f>
        <v>2500</v>
      </c>
      <c r="R259" s="85">
        <f>STATS1003B!R260/1000</f>
        <v>0</v>
      </c>
      <c r="S259" s="85">
        <f>STATS1003B!S260/1000</f>
        <v>0</v>
      </c>
      <c r="T259" s="85">
        <f>STATS1003B!T260/1000</f>
        <v>0</v>
      </c>
      <c r="U259" s="85">
        <f>STATS1003B!U260/1000</f>
        <v>0</v>
      </c>
      <c r="V259" s="85">
        <f>STATS1003B!V260/1000</f>
        <v>0</v>
      </c>
      <c r="W259" s="85">
        <f>STATS1003B!W260/1000</f>
        <v>0</v>
      </c>
      <c r="X259" s="85">
        <f>STATS1003B!X260/1000</f>
        <v>2500</v>
      </c>
      <c r="Y259" s="85">
        <f>STATS1003B!Y260/1000</f>
        <v>0</v>
      </c>
      <c r="Z259" s="85">
        <f>STATS1003B!Z260/1000</f>
        <v>0</v>
      </c>
      <c r="AA259" s="69">
        <f>STATS1003B!AA260/1000</f>
        <v>2500</v>
      </c>
      <c r="AB259" s="69">
        <f>STATS1003B!AB260/1000</f>
        <v>0</v>
      </c>
    </row>
    <row r="260" spans="1:28" hidden="1" x14ac:dyDescent="0.3">
      <c r="A260" s="117"/>
      <c r="E260" s="86" t="s">
        <v>29</v>
      </c>
      <c r="F260" s="86" t="s">
        <v>29</v>
      </c>
      <c r="G260" s="86" t="s">
        <v>29</v>
      </c>
      <c r="H260" s="86" t="s">
        <v>29</v>
      </c>
      <c r="I260" s="86" t="s">
        <v>29</v>
      </c>
      <c r="J260" s="86" t="s">
        <v>29</v>
      </c>
      <c r="K260" s="86" t="s">
        <v>29</v>
      </c>
      <c r="L260" s="86" t="s">
        <v>29</v>
      </c>
      <c r="M260" s="86" t="s">
        <v>29</v>
      </c>
      <c r="N260" s="86" t="s">
        <v>29</v>
      </c>
      <c r="O260" s="86" t="s">
        <v>29</v>
      </c>
      <c r="P260" s="86" t="s">
        <v>29</v>
      </c>
      <c r="Q260" s="86" t="s">
        <v>29</v>
      </c>
      <c r="R260" s="86" t="s">
        <v>29</v>
      </c>
      <c r="S260" s="86" t="s">
        <v>29</v>
      </c>
      <c r="T260" s="86" t="s">
        <v>29</v>
      </c>
      <c r="U260" s="86" t="s">
        <v>29</v>
      </c>
      <c r="V260" s="86" t="s">
        <v>29</v>
      </c>
      <c r="W260" s="86" t="s">
        <v>29</v>
      </c>
      <c r="X260" s="86" t="s">
        <v>29</v>
      </c>
      <c r="Y260" s="86" t="s">
        <v>29</v>
      </c>
      <c r="Z260" s="86" t="s">
        <v>29</v>
      </c>
      <c r="AA260" s="115" t="s">
        <v>29</v>
      </c>
      <c r="AB260" s="115" t="s">
        <v>29</v>
      </c>
    </row>
    <row r="261" spans="1:28" x14ac:dyDescent="0.3">
      <c r="A261" s="116" t="s">
        <v>945</v>
      </c>
      <c r="B261" s="68" t="s">
        <v>534</v>
      </c>
      <c r="E261" s="85">
        <f>49283010.03/1000</f>
        <v>49283.010029999998</v>
      </c>
      <c r="F261" s="85">
        <f t="shared" ref="F261:Y261" si="31">SUM(F242:F260)</f>
        <v>27561.636740000002</v>
      </c>
      <c r="G261" s="85">
        <f t="shared" si="31"/>
        <v>0</v>
      </c>
      <c r="H261" s="85">
        <f>46177287.77/1000</f>
        <v>46177.287770000003</v>
      </c>
      <c r="I261" s="85">
        <f t="shared" si="31"/>
        <v>0</v>
      </c>
      <c r="J261" s="85">
        <f t="shared" si="31"/>
        <v>27461.636740000002</v>
      </c>
      <c r="K261" s="85">
        <f t="shared" si="31"/>
        <v>3105.7222599999996</v>
      </c>
      <c r="L261" s="85">
        <f t="shared" si="31"/>
        <v>0</v>
      </c>
      <c r="M261" s="85">
        <f t="shared" si="31"/>
        <v>27561.636740000002</v>
      </c>
      <c r="N261" s="85">
        <f t="shared" si="31"/>
        <v>3105.7222600000005</v>
      </c>
      <c r="O261" s="85">
        <f t="shared" si="31"/>
        <v>0</v>
      </c>
      <c r="P261" s="85">
        <f>3105722/1000</f>
        <v>3105.7220000000002</v>
      </c>
      <c r="Q261" s="85">
        <f t="shared" si="31"/>
        <v>27061.636740000002</v>
      </c>
      <c r="R261" s="85">
        <f t="shared" si="31"/>
        <v>0</v>
      </c>
      <c r="S261" s="85">
        <f t="shared" si="31"/>
        <v>0</v>
      </c>
      <c r="T261" s="85">
        <f t="shared" si="31"/>
        <v>0</v>
      </c>
      <c r="U261" s="85">
        <f t="shared" si="31"/>
        <v>3105.7222600000005</v>
      </c>
      <c r="V261" s="85">
        <f t="shared" si="31"/>
        <v>0</v>
      </c>
      <c r="W261" s="85">
        <f t="shared" si="31"/>
        <v>0</v>
      </c>
      <c r="X261" s="85">
        <f t="shared" ref="X261:X324" si="32">+H261+P261</f>
        <v>49283.009770000004</v>
      </c>
      <c r="Y261" s="85">
        <f t="shared" si="31"/>
        <v>0</v>
      </c>
      <c r="Z261" s="85">
        <f>+E261-X261</f>
        <v>2.5999999343184754E-4</v>
      </c>
      <c r="AA261" s="69">
        <f>SUM(AA242:AA260)</f>
        <v>30667.359</v>
      </c>
      <c r="AB261" s="69">
        <f>SUM(AB242:AB260)</f>
        <v>0</v>
      </c>
    </row>
    <row r="262" spans="1:28" hidden="1" x14ac:dyDescent="0.3">
      <c r="A262" s="117"/>
      <c r="E262" s="86" t="s">
        <v>29</v>
      </c>
      <c r="F262" s="86" t="s">
        <v>29</v>
      </c>
      <c r="G262" s="86" t="s">
        <v>29</v>
      </c>
      <c r="H262" s="86" t="s">
        <v>29</v>
      </c>
      <c r="I262" s="86" t="s">
        <v>29</v>
      </c>
      <c r="J262" s="86" t="s">
        <v>29</v>
      </c>
      <c r="K262" s="86" t="s">
        <v>29</v>
      </c>
      <c r="L262" s="86" t="s">
        <v>29</v>
      </c>
      <c r="M262" s="86" t="s">
        <v>29</v>
      </c>
      <c r="N262" s="86" t="s">
        <v>29</v>
      </c>
      <c r="O262" s="86" t="s">
        <v>29</v>
      </c>
      <c r="P262" s="86" t="s">
        <v>29</v>
      </c>
      <c r="Q262" s="86" t="s">
        <v>29</v>
      </c>
      <c r="R262" s="86" t="s">
        <v>29</v>
      </c>
      <c r="S262" s="86" t="s">
        <v>29</v>
      </c>
      <c r="T262" s="86" t="s">
        <v>29</v>
      </c>
      <c r="U262" s="86" t="s">
        <v>29</v>
      </c>
      <c r="V262" s="86" t="s">
        <v>29</v>
      </c>
      <c r="W262" s="86" t="s">
        <v>29</v>
      </c>
      <c r="X262" s="85" t="e">
        <f t="shared" si="32"/>
        <v>#VALUE!</v>
      </c>
      <c r="Y262" s="86" t="s">
        <v>29</v>
      </c>
      <c r="Z262" s="86" t="s">
        <v>29</v>
      </c>
      <c r="AA262" s="115" t="s">
        <v>29</v>
      </c>
      <c r="AB262" s="115" t="s">
        <v>29</v>
      </c>
    </row>
    <row r="263" spans="1:28" hidden="1" x14ac:dyDescent="0.3">
      <c r="A263" s="105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6"/>
      <c r="S263" s="86"/>
      <c r="T263" s="92"/>
      <c r="U263" s="92"/>
      <c r="V263" s="92"/>
      <c r="W263" s="92"/>
      <c r="X263" s="85">
        <f t="shared" si="32"/>
        <v>0</v>
      </c>
      <c r="Y263" s="92"/>
      <c r="Z263" s="92"/>
      <c r="AA263" s="122"/>
    </row>
    <row r="264" spans="1:28" hidden="1" x14ac:dyDescent="0.3">
      <c r="A264" s="117"/>
      <c r="C264" s="68" t="s">
        <v>539</v>
      </c>
      <c r="D264" s="145" t="s">
        <v>68</v>
      </c>
      <c r="E264" s="85">
        <f>STATS1003B!E265/1000</f>
        <v>13716.1576</v>
      </c>
      <c r="F264" s="85">
        <f>STATS1003B!F265/1000</f>
        <v>0</v>
      </c>
      <c r="G264" s="85">
        <f>STATS1003B!G265/1000</f>
        <v>0</v>
      </c>
      <c r="H264" s="85">
        <f>STATS1003B!H265/1000</f>
        <v>0</v>
      </c>
      <c r="I264" s="85">
        <f>STATS1003B!I265/1000</f>
        <v>0</v>
      </c>
      <c r="J264" s="85">
        <f>STATS1003B!J265/1000</f>
        <v>0</v>
      </c>
      <c r="K264" s="85">
        <f>STATS1003B!K265/1000</f>
        <v>13716.1576</v>
      </c>
      <c r="L264" s="85">
        <f>STATS1003B!L265/1000</f>
        <v>0</v>
      </c>
      <c r="M264" s="85">
        <f>STATS1003B!M265/1000</f>
        <v>0</v>
      </c>
      <c r="N264" s="85">
        <f>STATS1003B!N265/1000</f>
        <v>13716.1576</v>
      </c>
      <c r="O264" s="85">
        <f>STATS1003B!O265/1000</f>
        <v>0</v>
      </c>
      <c r="P264" s="85">
        <f>STATS1003B!P265/1000</f>
        <v>13716.1576</v>
      </c>
      <c r="Q264" s="85">
        <f>STATS1003B!Q265/1000</f>
        <v>0</v>
      </c>
      <c r="R264" s="85">
        <f>STATS1003B!R265/1000</f>
        <v>0</v>
      </c>
      <c r="S264" s="85">
        <f>STATS1003B!S265/1000</f>
        <v>0</v>
      </c>
      <c r="T264" s="85">
        <f>STATS1003B!T265/1000</f>
        <v>0</v>
      </c>
      <c r="U264" s="85">
        <f>STATS1003B!U265/1000</f>
        <v>13716.1576</v>
      </c>
      <c r="V264" s="85">
        <f>STATS1003B!V265/1000</f>
        <v>0</v>
      </c>
      <c r="W264" s="85">
        <f>STATS1003B!W265/1000</f>
        <v>0</v>
      </c>
      <c r="X264" s="85">
        <f t="shared" si="32"/>
        <v>13716.1576</v>
      </c>
      <c r="Y264" s="85">
        <f>STATS1003B!Y265/1000</f>
        <v>0</v>
      </c>
      <c r="Z264" s="85">
        <f>STATS1003B!Z265/1000</f>
        <v>0</v>
      </c>
      <c r="AA264" s="69">
        <f>STATS1003B!AA265/1000</f>
        <v>13716.1576</v>
      </c>
      <c r="AB264" s="69">
        <f>STATS1003B!AB265/1000</f>
        <v>0</v>
      </c>
    </row>
    <row r="265" spans="1:28" hidden="1" x14ac:dyDescent="0.3">
      <c r="A265" s="117"/>
      <c r="C265" s="68" t="s">
        <v>535</v>
      </c>
      <c r="D265" s="145" t="s">
        <v>68</v>
      </c>
      <c r="E265" s="85">
        <f>STATS1003B!E266/1000</f>
        <v>573.55418999999995</v>
      </c>
      <c r="F265" s="85">
        <f>STATS1003B!F266/1000</f>
        <v>145.68199999999999</v>
      </c>
      <c r="G265" s="85">
        <f>STATS1003B!G266/1000</f>
        <v>0</v>
      </c>
      <c r="H265" s="85">
        <f>STATS1003B!H266/1000</f>
        <v>145.68199999999999</v>
      </c>
      <c r="I265" s="85">
        <f>STATS1003B!I266/1000</f>
        <v>0</v>
      </c>
      <c r="J265" s="85">
        <f>STATS1003B!J266/1000</f>
        <v>145.68199999999999</v>
      </c>
      <c r="K265" s="85">
        <f>STATS1003B!K266/1000</f>
        <v>427.87218999999999</v>
      </c>
      <c r="L265" s="85">
        <f>STATS1003B!L266/1000</f>
        <v>0</v>
      </c>
      <c r="M265" s="85">
        <f>STATS1003B!M266/1000</f>
        <v>145.68199999999999</v>
      </c>
      <c r="N265" s="85">
        <f>STATS1003B!N266/1000</f>
        <v>427.87218999999999</v>
      </c>
      <c r="O265" s="85">
        <f>STATS1003B!O266/1000</f>
        <v>0</v>
      </c>
      <c r="P265" s="85">
        <f>STATS1003B!P266/1000</f>
        <v>427.87218999999999</v>
      </c>
      <c r="Q265" s="85">
        <f>STATS1003B!Q266/1000</f>
        <v>0</v>
      </c>
      <c r="R265" s="85">
        <f>STATS1003B!R266/1000</f>
        <v>0</v>
      </c>
      <c r="S265" s="85">
        <f>STATS1003B!S266/1000</f>
        <v>0</v>
      </c>
      <c r="T265" s="85">
        <f>STATS1003B!T266/1000</f>
        <v>0</v>
      </c>
      <c r="U265" s="85">
        <f>STATS1003B!U266/1000</f>
        <v>427.87218999999999</v>
      </c>
      <c r="V265" s="85">
        <f>STATS1003B!V266/1000</f>
        <v>0</v>
      </c>
      <c r="W265" s="85">
        <f>STATS1003B!W266/1000</f>
        <v>0</v>
      </c>
      <c r="X265" s="85">
        <f t="shared" si="32"/>
        <v>573.55418999999995</v>
      </c>
      <c r="Y265" s="85">
        <f>STATS1003B!Y266/1000</f>
        <v>0</v>
      </c>
      <c r="Z265" s="85">
        <f>STATS1003B!Z266/1000</f>
        <v>0</v>
      </c>
      <c r="AA265" s="69">
        <f>STATS1003B!AA266/1000</f>
        <v>573.55418999999995</v>
      </c>
      <c r="AB265" s="69">
        <f>STATS1003B!AB266/1000</f>
        <v>0</v>
      </c>
    </row>
    <row r="266" spans="1:28" hidden="1" x14ac:dyDescent="0.3">
      <c r="A266" s="117"/>
      <c r="C266" s="68" t="s">
        <v>545</v>
      </c>
      <c r="D266" s="145" t="s">
        <v>54</v>
      </c>
      <c r="E266" s="85">
        <f>STATS1003B!E267/1000</f>
        <v>1953.989</v>
      </c>
      <c r="F266" s="85">
        <f>STATS1003B!F267/1000</f>
        <v>0</v>
      </c>
      <c r="G266" s="85">
        <f>STATS1003B!G267/1000</f>
        <v>0</v>
      </c>
      <c r="H266" s="85">
        <f>STATS1003B!H267/1000</f>
        <v>0</v>
      </c>
      <c r="I266" s="85">
        <f>STATS1003B!I267/1000</f>
        <v>0</v>
      </c>
      <c r="J266" s="85">
        <f>STATS1003B!J267/1000</f>
        <v>0</v>
      </c>
      <c r="K266" s="85">
        <f>STATS1003B!K267/1000</f>
        <v>1953.989</v>
      </c>
      <c r="L266" s="85">
        <f>STATS1003B!L267/1000</f>
        <v>0</v>
      </c>
      <c r="M266" s="85">
        <f>STATS1003B!M267/1000</f>
        <v>0</v>
      </c>
      <c r="N266" s="85">
        <f>STATS1003B!N267/1000</f>
        <v>1953.989</v>
      </c>
      <c r="O266" s="85">
        <f>STATS1003B!O267/1000</f>
        <v>0</v>
      </c>
      <c r="P266" s="85">
        <f>STATS1003B!P267/1000</f>
        <v>1953.989</v>
      </c>
      <c r="Q266" s="85">
        <f>STATS1003B!Q267/1000</f>
        <v>0</v>
      </c>
      <c r="R266" s="85">
        <f>STATS1003B!R267/1000</f>
        <v>0</v>
      </c>
      <c r="S266" s="85">
        <f>STATS1003B!S267/1000</f>
        <v>0</v>
      </c>
      <c r="T266" s="85">
        <f>STATS1003B!T267/1000</f>
        <v>0</v>
      </c>
      <c r="U266" s="85">
        <f>STATS1003B!U267/1000</f>
        <v>1953.989</v>
      </c>
      <c r="V266" s="85">
        <f>STATS1003B!V267/1000</f>
        <v>0</v>
      </c>
      <c r="W266" s="85">
        <f>STATS1003B!W267/1000</f>
        <v>0</v>
      </c>
      <c r="X266" s="85">
        <f t="shared" si="32"/>
        <v>1953.989</v>
      </c>
      <c r="Y266" s="85">
        <f>STATS1003B!Y267/1000</f>
        <v>0</v>
      </c>
      <c r="Z266" s="85">
        <f>STATS1003B!Z267/1000</f>
        <v>0</v>
      </c>
      <c r="AA266" s="69">
        <f>STATS1003B!AA267/1000</f>
        <v>1953.989</v>
      </c>
      <c r="AB266" s="69">
        <f>STATS1003B!AB267/1000</f>
        <v>0</v>
      </c>
    </row>
    <row r="267" spans="1:28" hidden="1" x14ac:dyDescent="0.3">
      <c r="A267" s="117"/>
      <c r="C267" s="68" t="s">
        <v>535</v>
      </c>
      <c r="D267" s="145" t="s">
        <v>54</v>
      </c>
      <c r="E267" s="85">
        <f>STATS1003B!E268/1000</f>
        <v>866.4</v>
      </c>
      <c r="F267" s="85">
        <f>STATS1003B!F268/1000</f>
        <v>866.4</v>
      </c>
      <c r="G267" s="85">
        <f>STATS1003B!G268/1000</f>
        <v>0</v>
      </c>
      <c r="H267" s="85">
        <f>STATS1003B!H268/1000</f>
        <v>866.4</v>
      </c>
      <c r="I267" s="85">
        <f>STATS1003B!I268/1000</f>
        <v>0</v>
      </c>
      <c r="J267" s="85">
        <f>STATS1003B!J268/1000</f>
        <v>866.4</v>
      </c>
      <c r="K267" s="85">
        <f>STATS1003B!K268/1000</f>
        <v>0</v>
      </c>
      <c r="L267" s="85">
        <f>STATS1003B!L268/1000</f>
        <v>0</v>
      </c>
      <c r="M267" s="85">
        <f>STATS1003B!M268/1000</f>
        <v>866.4</v>
      </c>
      <c r="N267" s="85">
        <f>STATS1003B!N268/1000</f>
        <v>0</v>
      </c>
      <c r="O267" s="85">
        <f>STATS1003B!O268/1000</f>
        <v>0</v>
      </c>
      <c r="P267" s="85">
        <f>STATS1003B!P268/1000</f>
        <v>0</v>
      </c>
      <c r="Q267" s="85">
        <f>STATS1003B!Q268/1000</f>
        <v>0</v>
      </c>
      <c r="R267" s="85">
        <f>STATS1003B!R268/1000</f>
        <v>0</v>
      </c>
      <c r="S267" s="85">
        <f>STATS1003B!S268/1000</f>
        <v>0</v>
      </c>
      <c r="T267" s="85">
        <f>STATS1003B!T268/1000</f>
        <v>0</v>
      </c>
      <c r="U267" s="85">
        <f>STATS1003B!U268/1000</f>
        <v>0</v>
      </c>
      <c r="V267" s="85">
        <f>STATS1003B!V268/1000</f>
        <v>0</v>
      </c>
      <c r="W267" s="85">
        <f>STATS1003B!W268/1000</f>
        <v>0</v>
      </c>
      <c r="X267" s="85">
        <f t="shared" si="32"/>
        <v>866.4</v>
      </c>
      <c r="Y267" s="85">
        <f>STATS1003B!Y268/1000</f>
        <v>0</v>
      </c>
      <c r="Z267" s="85">
        <f>STATS1003B!Z268/1000</f>
        <v>0</v>
      </c>
      <c r="AA267" s="69">
        <f>STATS1003B!AA268/1000</f>
        <v>866.4</v>
      </c>
      <c r="AB267" s="69">
        <f>STATS1003B!AB268/1000</f>
        <v>0</v>
      </c>
    </row>
    <row r="268" spans="1:28" hidden="1" x14ac:dyDescent="0.3">
      <c r="A268" s="117"/>
      <c r="B268" s="68" t="s">
        <v>546</v>
      </c>
      <c r="C268" s="68" t="s">
        <v>547</v>
      </c>
      <c r="D268" s="88" t="s">
        <v>85</v>
      </c>
      <c r="E268" s="85">
        <f>STATS1003B!E269/1000</f>
        <v>2266.8000000000002</v>
      </c>
      <c r="F268" s="85">
        <f>STATS1003B!F269/1000</f>
        <v>2266.8000000000002</v>
      </c>
      <c r="G268" s="85">
        <f>STATS1003B!G269/1000</f>
        <v>0</v>
      </c>
      <c r="H268" s="85">
        <f>STATS1003B!H269/1000</f>
        <v>2266.8000000000002</v>
      </c>
      <c r="I268" s="85">
        <f>STATS1003B!I269/1000</f>
        <v>0</v>
      </c>
      <c r="J268" s="85">
        <f>STATS1003B!J269/1000</f>
        <v>2266.8000000000002</v>
      </c>
      <c r="K268" s="85">
        <f>STATS1003B!K269/1000</f>
        <v>0</v>
      </c>
      <c r="L268" s="85">
        <f>STATS1003B!L269/1000</f>
        <v>0</v>
      </c>
      <c r="M268" s="85">
        <f>STATS1003B!M269/1000</f>
        <v>2266.8000000000002</v>
      </c>
      <c r="N268" s="85">
        <f>STATS1003B!N269/1000</f>
        <v>0</v>
      </c>
      <c r="O268" s="85">
        <f>STATS1003B!O269/1000</f>
        <v>0</v>
      </c>
      <c r="P268" s="85">
        <f>STATS1003B!P269/1000</f>
        <v>0</v>
      </c>
      <c r="Q268" s="85">
        <f>STATS1003B!Q269/1000</f>
        <v>0</v>
      </c>
      <c r="R268" s="85">
        <f>STATS1003B!R269/1000</f>
        <v>0</v>
      </c>
      <c r="S268" s="85">
        <f>STATS1003B!S269/1000</f>
        <v>0</v>
      </c>
      <c r="T268" s="85">
        <f>STATS1003B!T269/1000</f>
        <v>0</v>
      </c>
      <c r="U268" s="85">
        <f>STATS1003B!U269/1000</f>
        <v>0</v>
      </c>
      <c r="V268" s="85">
        <f>STATS1003B!V269/1000</f>
        <v>0</v>
      </c>
      <c r="W268" s="85">
        <f>STATS1003B!W269/1000</f>
        <v>0</v>
      </c>
      <c r="X268" s="85">
        <f t="shared" si="32"/>
        <v>2266.8000000000002</v>
      </c>
      <c r="Y268" s="85">
        <f>STATS1003B!Y269/1000</f>
        <v>0</v>
      </c>
      <c r="Z268" s="85">
        <f>STATS1003B!Z269/1000</f>
        <v>0</v>
      </c>
      <c r="AA268" s="69">
        <f>STATS1003B!AA269/1000</f>
        <v>2266.8000000000002</v>
      </c>
      <c r="AB268" s="69">
        <f>STATS1003B!AB269/1000</f>
        <v>0</v>
      </c>
    </row>
    <row r="269" spans="1:28" hidden="1" x14ac:dyDescent="0.3">
      <c r="A269" s="117"/>
      <c r="C269" s="68" t="s">
        <v>548</v>
      </c>
      <c r="D269" s="145" t="s">
        <v>85</v>
      </c>
      <c r="E269" s="85">
        <f>STATS1003B!E270/1000</f>
        <v>1600</v>
      </c>
      <c r="F269" s="85">
        <f>STATS1003B!F270/1000</f>
        <v>1355.86</v>
      </c>
      <c r="G269" s="85">
        <f>STATS1003B!G270/1000</f>
        <v>0</v>
      </c>
      <c r="H269" s="85">
        <f>STATS1003B!H270/1000</f>
        <v>1355.86</v>
      </c>
      <c r="I269" s="85">
        <f>STATS1003B!I270/1000</f>
        <v>0</v>
      </c>
      <c r="J269" s="85">
        <f>STATS1003B!J270/1000</f>
        <v>1355.86</v>
      </c>
      <c r="K269" s="85">
        <f>STATS1003B!K270/1000</f>
        <v>0</v>
      </c>
      <c r="L269" s="85">
        <f>STATS1003B!L270/1000</f>
        <v>0</v>
      </c>
      <c r="M269" s="85">
        <f>STATS1003B!M270/1000</f>
        <v>1355.86</v>
      </c>
      <c r="N269" s="85">
        <f>STATS1003B!N270/1000</f>
        <v>0</v>
      </c>
      <c r="O269" s="85">
        <f>STATS1003B!O270/1000</f>
        <v>0</v>
      </c>
      <c r="P269" s="85">
        <f>STATS1003B!P270/1000</f>
        <v>0</v>
      </c>
      <c r="Q269" s="85">
        <f>STATS1003B!Q270/1000</f>
        <v>0</v>
      </c>
      <c r="R269" s="85">
        <f>STATS1003B!R270/1000</f>
        <v>0</v>
      </c>
      <c r="S269" s="85">
        <f>STATS1003B!S270/1000</f>
        <v>0</v>
      </c>
      <c r="T269" s="85">
        <f>STATS1003B!T270/1000</f>
        <v>0</v>
      </c>
      <c r="U269" s="85">
        <f>STATS1003B!U270/1000</f>
        <v>0</v>
      </c>
      <c r="V269" s="85">
        <f>STATS1003B!V270/1000</f>
        <v>0</v>
      </c>
      <c r="W269" s="85">
        <f>STATS1003B!W270/1000</f>
        <v>0</v>
      </c>
      <c r="X269" s="85">
        <f t="shared" si="32"/>
        <v>1355.86</v>
      </c>
      <c r="Y269" s="85">
        <f>STATS1003B!Y270/1000</f>
        <v>0</v>
      </c>
      <c r="Z269" s="85">
        <f>STATS1003B!Z270/1000</f>
        <v>244.14</v>
      </c>
      <c r="AA269" s="69">
        <f>STATS1003B!AA270/1000</f>
        <v>1355.86</v>
      </c>
      <c r="AB269" s="69">
        <f>STATS1003B!AB270/1000</f>
        <v>244.14</v>
      </c>
    </row>
    <row r="270" spans="1:28" hidden="1" x14ac:dyDescent="0.3">
      <c r="A270" s="117"/>
      <c r="C270" s="68" t="s">
        <v>535</v>
      </c>
      <c r="D270" s="145" t="s">
        <v>128</v>
      </c>
      <c r="E270" s="85">
        <f>STATS1003B!E271/1000</f>
        <v>5000</v>
      </c>
      <c r="F270" s="85">
        <f>STATS1003B!F271/1000</f>
        <v>5000</v>
      </c>
      <c r="G270" s="85">
        <f>STATS1003B!G271/1000</f>
        <v>0</v>
      </c>
      <c r="H270" s="85">
        <f>STATS1003B!H271/1000</f>
        <v>5000</v>
      </c>
      <c r="I270" s="85">
        <f>STATS1003B!I271/1000</f>
        <v>0</v>
      </c>
      <c r="J270" s="85">
        <f>STATS1003B!J271/1000</f>
        <v>5000</v>
      </c>
      <c r="K270" s="85">
        <f>STATS1003B!K271/1000</f>
        <v>0</v>
      </c>
      <c r="L270" s="85">
        <f>STATS1003B!L271/1000</f>
        <v>0</v>
      </c>
      <c r="M270" s="85">
        <f>STATS1003B!M271/1000</f>
        <v>5000</v>
      </c>
      <c r="N270" s="85">
        <f>STATS1003B!N271/1000</f>
        <v>0</v>
      </c>
      <c r="O270" s="85">
        <f>STATS1003B!O271/1000</f>
        <v>0</v>
      </c>
      <c r="P270" s="85">
        <f>STATS1003B!P271/1000</f>
        <v>0</v>
      </c>
      <c r="Q270" s="85">
        <f>STATS1003B!Q271/1000</f>
        <v>0</v>
      </c>
      <c r="R270" s="85">
        <f>STATS1003B!R271/1000</f>
        <v>0</v>
      </c>
      <c r="S270" s="85">
        <f>STATS1003B!S271/1000</f>
        <v>0</v>
      </c>
      <c r="T270" s="85">
        <f>STATS1003B!T271/1000</f>
        <v>0</v>
      </c>
      <c r="U270" s="85">
        <f>STATS1003B!U271/1000</f>
        <v>0</v>
      </c>
      <c r="V270" s="85">
        <f>STATS1003B!V271/1000</f>
        <v>0</v>
      </c>
      <c r="W270" s="85">
        <f>STATS1003B!W271/1000</f>
        <v>0</v>
      </c>
      <c r="X270" s="85">
        <f t="shared" si="32"/>
        <v>5000</v>
      </c>
      <c r="Y270" s="85">
        <f>STATS1003B!Y271/1000</f>
        <v>0</v>
      </c>
      <c r="Z270" s="85">
        <f>STATS1003B!Z271/1000</f>
        <v>0</v>
      </c>
      <c r="AA270" s="69">
        <f>STATS1003B!AA271/1000</f>
        <v>5000</v>
      </c>
      <c r="AB270" s="69">
        <f>STATS1003B!AB271/1000</f>
        <v>0</v>
      </c>
    </row>
    <row r="271" spans="1:28" hidden="1" x14ac:dyDescent="0.3">
      <c r="A271" s="117"/>
      <c r="C271" s="68" t="s">
        <v>548</v>
      </c>
      <c r="D271" s="145" t="s">
        <v>128</v>
      </c>
      <c r="E271" s="85">
        <f>STATS1003B!E272/1000</f>
        <v>1600</v>
      </c>
      <c r="F271" s="85">
        <f>STATS1003B!F272/1000</f>
        <v>634.35</v>
      </c>
      <c r="G271" s="85">
        <f>STATS1003B!G272/1000</f>
        <v>0</v>
      </c>
      <c r="H271" s="85">
        <f>STATS1003B!H272/1000</f>
        <v>634.35</v>
      </c>
      <c r="I271" s="85">
        <f>STATS1003B!I272/1000</f>
        <v>965.65</v>
      </c>
      <c r="J271" s="85">
        <f>STATS1003B!J272/1000</f>
        <v>1600</v>
      </c>
      <c r="K271" s="85">
        <f>STATS1003B!K272/1000</f>
        <v>0</v>
      </c>
      <c r="L271" s="85">
        <f>STATS1003B!L272/1000</f>
        <v>965.65</v>
      </c>
      <c r="M271" s="85">
        <f>STATS1003B!M272/1000</f>
        <v>1600</v>
      </c>
      <c r="N271" s="85">
        <f>STATS1003B!N272/1000</f>
        <v>0</v>
      </c>
      <c r="O271" s="85">
        <f>STATS1003B!O272/1000</f>
        <v>0</v>
      </c>
      <c r="P271" s="85">
        <f>STATS1003B!P272/1000</f>
        <v>0</v>
      </c>
      <c r="Q271" s="85">
        <f>STATS1003B!Q272/1000</f>
        <v>0</v>
      </c>
      <c r="R271" s="85">
        <f>STATS1003B!R272/1000</f>
        <v>0</v>
      </c>
      <c r="S271" s="85">
        <f>STATS1003B!S272/1000</f>
        <v>0</v>
      </c>
      <c r="T271" s="85">
        <f>STATS1003B!T272/1000</f>
        <v>0</v>
      </c>
      <c r="U271" s="85">
        <f>STATS1003B!U272/1000</f>
        <v>0</v>
      </c>
      <c r="V271" s="85">
        <f>STATS1003B!V272/1000</f>
        <v>0</v>
      </c>
      <c r="W271" s="85">
        <f>STATS1003B!W272/1000</f>
        <v>0</v>
      </c>
      <c r="X271" s="85">
        <f t="shared" si="32"/>
        <v>634.35</v>
      </c>
      <c r="Y271" s="85">
        <f>STATS1003B!Y272/1000</f>
        <v>0</v>
      </c>
      <c r="Z271" s="85">
        <f>STATS1003B!Z272/1000</f>
        <v>965.65</v>
      </c>
      <c r="AA271" s="69">
        <f>STATS1003B!AA272/1000</f>
        <v>1600</v>
      </c>
      <c r="AB271" s="69">
        <f>STATS1003B!AB272/1000</f>
        <v>0</v>
      </c>
    </row>
    <row r="272" spans="1:28" hidden="1" x14ac:dyDescent="0.3">
      <c r="A272" s="117"/>
      <c r="C272" s="68" t="s">
        <v>535</v>
      </c>
      <c r="D272" s="145" t="s">
        <v>58</v>
      </c>
      <c r="E272" s="85">
        <f>STATS1003B!E273/1000</f>
        <v>2297.58</v>
      </c>
      <c r="F272" s="85">
        <f>STATS1003B!F273/1000</f>
        <v>2297.58</v>
      </c>
      <c r="G272" s="85">
        <f>STATS1003B!G273/1000</f>
        <v>0</v>
      </c>
      <c r="H272" s="85">
        <f>STATS1003B!H273/1000</f>
        <v>2297.58</v>
      </c>
      <c r="I272" s="85">
        <f>STATS1003B!I273/1000</f>
        <v>0</v>
      </c>
      <c r="J272" s="85">
        <f>STATS1003B!J273/1000</f>
        <v>2297.58</v>
      </c>
      <c r="K272" s="85">
        <f>STATS1003B!K273/1000</f>
        <v>0</v>
      </c>
      <c r="L272" s="85">
        <f>STATS1003B!L273/1000</f>
        <v>0</v>
      </c>
      <c r="M272" s="85">
        <f>STATS1003B!M273/1000</f>
        <v>2297.58</v>
      </c>
      <c r="N272" s="85">
        <f>STATS1003B!N273/1000</f>
        <v>0</v>
      </c>
      <c r="O272" s="85">
        <f>STATS1003B!O273/1000</f>
        <v>0</v>
      </c>
      <c r="P272" s="85">
        <f>STATS1003B!P273/1000</f>
        <v>0</v>
      </c>
      <c r="Q272" s="85">
        <f>STATS1003B!Q273/1000</f>
        <v>0</v>
      </c>
      <c r="R272" s="85">
        <f>STATS1003B!R273/1000</f>
        <v>0</v>
      </c>
      <c r="S272" s="85">
        <f>STATS1003B!S273/1000</f>
        <v>0</v>
      </c>
      <c r="T272" s="85">
        <f>STATS1003B!T273/1000</f>
        <v>0</v>
      </c>
      <c r="U272" s="85">
        <f>STATS1003B!U273/1000</f>
        <v>0</v>
      </c>
      <c r="V272" s="85">
        <f>STATS1003B!V273/1000</f>
        <v>0</v>
      </c>
      <c r="W272" s="85">
        <f>STATS1003B!W273/1000</f>
        <v>0</v>
      </c>
      <c r="X272" s="85">
        <f t="shared" si="32"/>
        <v>2297.58</v>
      </c>
      <c r="Y272" s="85">
        <f>STATS1003B!Y273/1000</f>
        <v>0</v>
      </c>
      <c r="Z272" s="85">
        <f>STATS1003B!Z273/1000</f>
        <v>0</v>
      </c>
      <c r="AA272" s="69">
        <f>STATS1003B!AA273/1000</f>
        <v>2297.58</v>
      </c>
      <c r="AB272" s="69">
        <f>STATS1003B!AB273/1000</f>
        <v>0</v>
      </c>
    </row>
    <row r="273" spans="1:28" hidden="1" x14ac:dyDescent="0.3">
      <c r="A273" s="117"/>
      <c r="C273" s="68" t="s">
        <v>535</v>
      </c>
      <c r="D273" s="145" t="s">
        <v>60</v>
      </c>
      <c r="E273" s="85">
        <f>STATS1003B!E274/1000</f>
        <v>1117.722</v>
      </c>
      <c r="F273" s="85">
        <f>STATS1003B!F274/1000</f>
        <v>1117.722</v>
      </c>
      <c r="G273" s="85">
        <f>STATS1003B!G274/1000</f>
        <v>0</v>
      </c>
      <c r="H273" s="85">
        <f>STATS1003B!H274/1000</f>
        <v>1117.722</v>
      </c>
      <c r="I273" s="85">
        <f>STATS1003B!I274/1000</f>
        <v>0</v>
      </c>
      <c r="J273" s="85">
        <f>STATS1003B!J274/1000</f>
        <v>1117.722</v>
      </c>
      <c r="K273" s="85">
        <f>STATS1003B!K274/1000</f>
        <v>0</v>
      </c>
      <c r="L273" s="85">
        <f>STATS1003B!L274/1000</f>
        <v>0</v>
      </c>
      <c r="M273" s="85">
        <f>STATS1003B!M274/1000</f>
        <v>1117.722</v>
      </c>
      <c r="N273" s="85">
        <f>STATS1003B!N274/1000</f>
        <v>0</v>
      </c>
      <c r="O273" s="85">
        <f>STATS1003B!O274/1000</f>
        <v>0</v>
      </c>
      <c r="P273" s="85">
        <f>STATS1003B!P274/1000</f>
        <v>0</v>
      </c>
      <c r="Q273" s="85">
        <f>STATS1003B!Q274/1000</f>
        <v>0</v>
      </c>
      <c r="R273" s="85">
        <f>STATS1003B!R274/1000</f>
        <v>0</v>
      </c>
      <c r="S273" s="85">
        <f>STATS1003B!S274/1000</f>
        <v>0</v>
      </c>
      <c r="T273" s="85">
        <f>STATS1003B!T274/1000</f>
        <v>0</v>
      </c>
      <c r="U273" s="85">
        <f>STATS1003B!U274/1000</f>
        <v>0</v>
      </c>
      <c r="V273" s="85">
        <f>STATS1003B!V274/1000</f>
        <v>0</v>
      </c>
      <c r="W273" s="85">
        <f>STATS1003B!W274/1000</f>
        <v>0</v>
      </c>
      <c r="X273" s="85">
        <f t="shared" si="32"/>
        <v>1117.722</v>
      </c>
      <c r="Y273" s="85">
        <f>STATS1003B!Y274/1000</f>
        <v>0</v>
      </c>
      <c r="Z273" s="85">
        <f>STATS1003B!Z274/1000</f>
        <v>0</v>
      </c>
      <c r="AA273" s="69">
        <f>STATS1003B!AA274/1000</f>
        <v>1117.722</v>
      </c>
      <c r="AB273" s="69">
        <f>STATS1003B!AB274/1000</f>
        <v>0</v>
      </c>
    </row>
    <row r="274" spans="1:28" hidden="1" x14ac:dyDescent="0.3">
      <c r="A274" s="117"/>
      <c r="C274" s="71" t="s">
        <v>549</v>
      </c>
      <c r="D274" s="88" t="s">
        <v>73</v>
      </c>
      <c r="E274" s="85">
        <f>STATS1003B!E275/1000</f>
        <v>500</v>
      </c>
      <c r="F274" s="85">
        <f>STATS1003B!F275/1000</f>
        <v>500</v>
      </c>
      <c r="G274" s="85">
        <f>STATS1003B!G275/1000</f>
        <v>0</v>
      </c>
      <c r="H274" s="85">
        <f>STATS1003B!H275/1000</f>
        <v>500</v>
      </c>
      <c r="I274" s="85">
        <f>STATS1003B!I275/1000</f>
        <v>0</v>
      </c>
      <c r="J274" s="85">
        <f>STATS1003B!J275/1000</f>
        <v>500</v>
      </c>
      <c r="K274" s="85">
        <f>STATS1003B!K275/1000</f>
        <v>0</v>
      </c>
      <c r="L274" s="85">
        <f>STATS1003B!L275/1000</f>
        <v>0</v>
      </c>
      <c r="M274" s="85">
        <f>STATS1003B!M275/1000</f>
        <v>500</v>
      </c>
      <c r="N274" s="85">
        <f>STATS1003B!N275/1000</f>
        <v>0</v>
      </c>
      <c r="O274" s="85">
        <f>STATS1003B!O275/1000</f>
        <v>0</v>
      </c>
      <c r="P274" s="85">
        <f>STATS1003B!P275/1000</f>
        <v>0</v>
      </c>
      <c r="Q274" s="85">
        <f>STATS1003B!Q275/1000</f>
        <v>0</v>
      </c>
      <c r="R274" s="85">
        <f>STATS1003B!R275/1000</f>
        <v>0</v>
      </c>
      <c r="S274" s="85">
        <f>STATS1003B!S275/1000</f>
        <v>0</v>
      </c>
      <c r="T274" s="85">
        <f>STATS1003B!T275/1000</f>
        <v>0</v>
      </c>
      <c r="U274" s="85">
        <f>STATS1003B!U275/1000</f>
        <v>0</v>
      </c>
      <c r="V274" s="85">
        <f>STATS1003B!V275/1000</f>
        <v>0</v>
      </c>
      <c r="W274" s="85">
        <f>STATS1003B!W275/1000</f>
        <v>0</v>
      </c>
      <c r="X274" s="85">
        <f t="shared" si="32"/>
        <v>500</v>
      </c>
      <c r="Y274" s="85">
        <f>STATS1003B!Y275/1000</f>
        <v>0</v>
      </c>
      <c r="Z274" s="85">
        <f>STATS1003B!Z275/1000</f>
        <v>0</v>
      </c>
      <c r="AA274" s="69">
        <f>STATS1003B!AA275/1000</f>
        <v>500</v>
      </c>
      <c r="AB274" s="69">
        <f>STATS1003B!AB275/1000</f>
        <v>0</v>
      </c>
    </row>
    <row r="275" spans="1:28" hidden="1" x14ac:dyDescent="0.3">
      <c r="A275" s="117"/>
      <c r="C275" s="71" t="s">
        <v>1207</v>
      </c>
      <c r="D275" s="89" t="s">
        <v>1126</v>
      </c>
      <c r="E275" s="85">
        <f>STATS1003B!E276/1000</f>
        <v>500</v>
      </c>
      <c r="F275" s="85">
        <f>STATS1003B!F276/1000</f>
        <v>500</v>
      </c>
      <c r="G275" s="85">
        <f>STATS1003B!G276/1000</f>
        <v>0</v>
      </c>
      <c r="H275" s="85">
        <f>STATS1003B!H276/1000</f>
        <v>500</v>
      </c>
      <c r="I275" s="85">
        <f>STATS1003B!I276/1000</f>
        <v>0</v>
      </c>
      <c r="J275" s="85">
        <f>STATS1003B!J276/1000</f>
        <v>500</v>
      </c>
      <c r="K275" s="85">
        <f>STATS1003B!K276/1000</f>
        <v>0</v>
      </c>
      <c r="L275" s="85">
        <f>STATS1003B!L276/1000</f>
        <v>0</v>
      </c>
      <c r="M275" s="85">
        <f>STATS1003B!M276/1000</f>
        <v>500</v>
      </c>
      <c r="N275" s="85">
        <f>STATS1003B!N276/1000</f>
        <v>0</v>
      </c>
      <c r="O275" s="85">
        <f>STATS1003B!O276/1000</f>
        <v>0</v>
      </c>
      <c r="P275" s="85">
        <f>STATS1003B!P276/1000</f>
        <v>0</v>
      </c>
      <c r="Q275" s="85">
        <f>STATS1003B!Q276/1000</f>
        <v>0</v>
      </c>
      <c r="R275" s="85">
        <f>STATS1003B!R276/1000</f>
        <v>0</v>
      </c>
      <c r="S275" s="85">
        <f>STATS1003B!S276/1000</f>
        <v>0</v>
      </c>
      <c r="T275" s="85">
        <f>STATS1003B!T276/1000</f>
        <v>0</v>
      </c>
      <c r="U275" s="85">
        <f>STATS1003B!U276/1000</f>
        <v>0</v>
      </c>
      <c r="V275" s="85">
        <f>STATS1003B!V276/1000</f>
        <v>0</v>
      </c>
      <c r="W275" s="85">
        <f>STATS1003B!W276/1000</f>
        <v>0</v>
      </c>
      <c r="X275" s="85">
        <f t="shared" si="32"/>
        <v>500</v>
      </c>
      <c r="Y275" s="85">
        <f>STATS1003B!Y276/1000</f>
        <v>0</v>
      </c>
      <c r="Z275" s="85">
        <f>STATS1003B!Z276/1000</f>
        <v>0</v>
      </c>
      <c r="AA275" s="69">
        <f>STATS1003B!AA276/1000</f>
        <v>500</v>
      </c>
      <c r="AB275" s="69">
        <f>STATS1003B!AB276/1000</f>
        <v>0</v>
      </c>
    </row>
    <row r="276" spans="1:28" hidden="1" x14ac:dyDescent="0.3">
      <c r="A276" s="117"/>
      <c r="C276" s="68" t="s">
        <v>550</v>
      </c>
      <c r="E276" s="85">
        <f>STATS1003B!E277/1000</f>
        <v>390.84571999999997</v>
      </c>
      <c r="F276" s="85">
        <f>STATS1003B!F277/1000</f>
        <v>0</v>
      </c>
      <c r="G276" s="85">
        <f>STATS1003B!G277/1000</f>
        <v>0</v>
      </c>
      <c r="H276" s="85">
        <f>STATS1003B!H277/1000</f>
        <v>0</v>
      </c>
      <c r="I276" s="85">
        <f>STATS1003B!I277/1000</f>
        <v>0</v>
      </c>
      <c r="J276" s="85">
        <f>STATS1003B!J277/1000</f>
        <v>0</v>
      </c>
      <c r="K276" s="85">
        <f>STATS1003B!K277/1000</f>
        <v>390.84571999999997</v>
      </c>
      <c r="L276" s="85">
        <f>STATS1003B!L277/1000</f>
        <v>0</v>
      </c>
      <c r="M276" s="85">
        <f>STATS1003B!M277/1000</f>
        <v>0</v>
      </c>
      <c r="N276" s="85">
        <f>STATS1003B!N277/1000</f>
        <v>390.84571999999997</v>
      </c>
      <c r="O276" s="85">
        <f>STATS1003B!O277/1000</f>
        <v>0</v>
      </c>
      <c r="P276" s="85">
        <f>STATS1003B!P277/1000</f>
        <v>390.84571999999997</v>
      </c>
      <c r="Q276" s="85">
        <f>STATS1003B!Q277/1000</f>
        <v>0</v>
      </c>
      <c r="R276" s="85">
        <f>STATS1003B!R277/1000</f>
        <v>0</v>
      </c>
      <c r="S276" s="85">
        <f>STATS1003B!S277/1000</f>
        <v>0</v>
      </c>
      <c r="T276" s="85">
        <f>STATS1003B!T277/1000</f>
        <v>0</v>
      </c>
      <c r="U276" s="85">
        <f>STATS1003B!U277/1000</f>
        <v>390.84571999999997</v>
      </c>
      <c r="V276" s="85">
        <f>STATS1003B!V277/1000</f>
        <v>0</v>
      </c>
      <c r="W276" s="85">
        <f>STATS1003B!W277/1000</f>
        <v>0</v>
      </c>
      <c r="X276" s="85">
        <f t="shared" si="32"/>
        <v>390.84571999999997</v>
      </c>
      <c r="Y276" s="85">
        <f>STATS1003B!Y277/1000</f>
        <v>0</v>
      </c>
      <c r="Z276" s="85">
        <f>STATS1003B!Z277/1000</f>
        <v>0</v>
      </c>
      <c r="AA276" s="69">
        <f>STATS1003B!AA277/1000</f>
        <v>390.84571999999997</v>
      </c>
      <c r="AB276" s="69">
        <f>STATS1003B!AB277/1000</f>
        <v>0</v>
      </c>
    </row>
    <row r="277" spans="1:28" hidden="1" x14ac:dyDescent="0.3">
      <c r="A277" s="117"/>
      <c r="C277" s="68" t="s">
        <v>551</v>
      </c>
      <c r="E277" s="85">
        <f>STATS1003B!E278/1000</f>
        <v>158.72300000000001</v>
      </c>
      <c r="F277" s="85">
        <f>STATS1003B!F278/1000</f>
        <v>158.72300000000001</v>
      </c>
      <c r="G277" s="85">
        <f>STATS1003B!G278/1000</f>
        <v>0</v>
      </c>
      <c r="H277" s="85">
        <f>STATS1003B!H278/1000</f>
        <v>158.72300000000001</v>
      </c>
      <c r="I277" s="85">
        <f>STATS1003B!I278/1000</f>
        <v>0</v>
      </c>
      <c r="J277" s="85">
        <f>STATS1003B!J278/1000</f>
        <v>158.72300000000001</v>
      </c>
      <c r="K277" s="85">
        <f>STATS1003B!K278/1000</f>
        <v>0</v>
      </c>
      <c r="L277" s="85">
        <f>STATS1003B!L278/1000</f>
        <v>0</v>
      </c>
      <c r="M277" s="85">
        <f>STATS1003B!M278/1000</f>
        <v>158.72300000000001</v>
      </c>
      <c r="N277" s="85">
        <f>STATS1003B!N278/1000</f>
        <v>0</v>
      </c>
      <c r="O277" s="85">
        <f>STATS1003B!O278/1000</f>
        <v>0</v>
      </c>
      <c r="P277" s="85">
        <f>STATS1003B!P278/1000</f>
        <v>0</v>
      </c>
      <c r="Q277" s="85">
        <f>STATS1003B!Q278/1000</f>
        <v>0</v>
      </c>
      <c r="R277" s="85">
        <f>STATS1003B!R278/1000</f>
        <v>0</v>
      </c>
      <c r="S277" s="85">
        <f>STATS1003B!S278/1000</f>
        <v>0</v>
      </c>
      <c r="T277" s="85">
        <f>STATS1003B!T278/1000</f>
        <v>0</v>
      </c>
      <c r="U277" s="85">
        <f>STATS1003B!U278/1000</f>
        <v>0</v>
      </c>
      <c r="V277" s="85">
        <f>STATS1003B!V278/1000</f>
        <v>0</v>
      </c>
      <c r="W277" s="85">
        <f>STATS1003B!W278/1000</f>
        <v>0</v>
      </c>
      <c r="X277" s="85">
        <f t="shared" si="32"/>
        <v>158.72300000000001</v>
      </c>
      <c r="Y277" s="85">
        <f>STATS1003B!Y278/1000</f>
        <v>0</v>
      </c>
      <c r="Z277" s="85">
        <f>STATS1003B!Z278/1000</f>
        <v>0</v>
      </c>
      <c r="AA277" s="69">
        <f>STATS1003B!AA278/1000</f>
        <v>158.72300000000001</v>
      </c>
      <c r="AB277" s="69">
        <f>STATS1003B!AB278/1000</f>
        <v>0</v>
      </c>
    </row>
    <row r="278" spans="1:28" hidden="1" x14ac:dyDescent="0.3">
      <c r="A278" s="117"/>
      <c r="C278" s="68" t="s">
        <v>543</v>
      </c>
      <c r="E278" s="85">
        <f>STATS1003B!E279/1000</f>
        <v>2500</v>
      </c>
      <c r="F278" s="85">
        <f>STATS1003B!F279/1000</f>
        <v>2500</v>
      </c>
      <c r="G278" s="85">
        <f>STATS1003B!G279/1000</f>
        <v>0</v>
      </c>
      <c r="H278" s="85">
        <f>STATS1003B!H279/1000</f>
        <v>2500</v>
      </c>
      <c r="I278" s="85">
        <f>STATS1003B!I279/1000</f>
        <v>0</v>
      </c>
      <c r="J278" s="85">
        <f>STATS1003B!J279/1000</f>
        <v>2500</v>
      </c>
      <c r="K278" s="85">
        <f>STATS1003B!K279/1000</f>
        <v>0</v>
      </c>
      <c r="L278" s="85">
        <f>STATS1003B!L279/1000</f>
        <v>0</v>
      </c>
      <c r="M278" s="85">
        <f>STATS1003B!M279/1000</f>
        <v>2500</v>
      </c>
      <c r="N278" s="85">
        <f>STATS1003B!N279/1000</f>
        <v>0</v>
      </c>
      <c r="O278" s="85">
        <f>STATS1003B!O279/1000</f>
        <v>0</v>
      </c>
      <c r="P278" s="85">
        <f>STATS1003B!P279/1000</f>
        <v>0</v>
      </c>
      <c r="Q278" s="85">
        <f>STATS1003B!Q279/1000</f>
        <v>0</v>
      </c>
      <c r="R278" s="85">
        <f>STATS1003B!R279/1000</f>
        <v>0</v>
      </c>
      <c r="S278" s="85">
        <f>STATS1003B!S279/1000</f>
        <v>0</v>
      </c>
      <c r="T278" s="85">
        <f>STATS1003B!T279/1000</f>
        <v>0</v>
      </c>
      <c r="U278" s="85">
        <f>STATS1003B!U279/1000</f>
        <v>0</v>
      </c>
      <c r="V278" s="85">
        <f>STATS1003B!V279/1000</f>
        <v>0</v>
      </c>
      <c r="W278" s="85">
        <f>STATS1003B!W279/1000</f>
        <v>0</v>
      </c>
      <c r="X278" s="85">
        <f t="shared" si="32"/>
        <v>2500</v>
      </c>
      <c r="Y278" s="85">
        <f>STATS1003B!Y279/1000</f>
        <v>0</v>
      </c>
      <c r="Z278" s="85">
        <f>STATS1003B!Z279/1000</f>
        <v>0</v>
      </c>
      <c r="AA278" s="69">
        <f>STATS1003B!AA279/1000</f>
        <v>2500</v>
      </c>
      <c r="AB278" s="69">
        <f>STATS1003B!AB279/1000</f>
        <v>0</v>
      </c>
    </row>
    <row r="279" spans="1:28" hidden="1" x14ac:dyDescent="0.3">
      <c r="A279" s="117"/>
      <c r="E279" s="86" t="s">
        <v>29</v>
      </c>
      <c r="F279" s="86" t="s">
        <v>29</v>
      </c>
      <c r="G279" s="86" t="s">
        <v>29</v>
      </c>
      <c r="H279" s="86" t="s">
        <v>29</v>
      </c>
      <c r="I279" s="86" t="s">
        <v>29</v>
      </c>
      <c r="J279" s="86" t="s">
        <v>29</v>
      </c>
      <c r="K279" s="86" t="s">
        <v>29</v>
      </c>
      <c r="L279" s="86" t="s">
        <v>29</v>
      </c>
      <c r="M279" s="86" t="s">
        <v>29</v>
      </c>
      <c r="N279" s="86" t="s">
        <v>29</v>
      </c>
      <c r="O279" s="86" t="s">
        <v>29</v>
      </c>
      <c r="P279" s="86" t="s">
        <v>29</v>
      </c>
      <c r="Q279" s="86" t="s">
        <v>29</v>
      </c>
      <c r="R279" s="86" t="s">
        <v>29</v>
      </c>
      <c r="S279" s="86" t="s">
        <v>29</v>
      </c>
      <c r="T279" s="86" t="s">
        <v>29</v>
      </c>
      <c r="U279" s="86" t="s">
        <v>29</v>
      </c>
      <c r="V279" s="86" t="s">
        <v>29</v>
      </c>
      <c r="W279" s="86" t="s">
        <v>29</v>
      </c>
      <c r="X279" s="85" t="e">
        <f t="shared" si="32"/>
        <v>#VALUE!</v>
      </c>
      <c r="Y279" s="86" t="s">
        <v>29</v>
      </c>
      <c r="Z279" s="86" t="s">
        <v>29</v>
      </c>
      <c r="AA279" s="115" t="s">
        <v>29</v>
      </c>
      <c r="AB279" s="115" t="s">
        <v>29</v>
      </c>
    </row>
    <row r="280" spans="1:28" x14ac:dyDescent="0.3">
      <c r="A280" s="116" t="s">
        <v>946</v>
      </c>
      <c r="B280" s="68" t="s">
        <v>544</v>
      </c>
      <c r="E280" s="85">
        <f>102361089.05/1000</f>
        <v>102361.08905</v>
      </c>
      <c r="F280" s="85">
        <f t="shared" ref="F280:Q280" si="33">SUM(F264:F279)</f>
        <v>17343.116999999998</v>
      </c>
      <c r="G280" s="85">
        <f t="shared" si="33"/>
        <v>0</v>
      </c>
      <c r="H280" s="85">
        <f>84662434.54/1000</f>
        <v>84662.434540000002</v>
      </c>
      <c r="I280" s="85">
        <f t="shared" si="33"/>
        <v>965.65</v>
      </c>
      <c r="J280" s="85">
        <f t="shared" si="33"/>
        <v>18308.767</v>
      </c>
      <c r="K280" s="85">
        <f t="shared" si="33"/>
        <v>16488.864509999999</v>
      </c>
      <c r="L280" s="85">
        <f t="shared" si="33"/>
        <v>965.65</v>
      </c>
      <c r="M280" s="85">
        <f t="shared" si="33"/>
        <v>18308.767</v>
      </c>
      <c r="N280" s="85">
        <f t="shared" si="33"/>
        <v>16488.864509999999</v>
      </c>
      <c r="O280" s="85">
        <f t="shared" si="33"/>
        <v>0</v>
      </c>
      <c r="P280" s="85">
        <f>16488864/1000</f>
        <v>16488.864000000001</v>
      </c>
      <c r="Q280" s="85">
        <f t="shared" si="33"/>
        <v>0</v>
      </c>
      <c r="R280" s="86"/>
      <c r="S280" s="86"/>
      <c r="T280" s="92">
        <v>0</v>
      </c>
      <c r="U280" s="92">
        <f>+P280+T280</f>
        <v>16488.864000000001</v>
      </c>
      <c r="V280" s="92"/>
      <c r="W280" s="92"/>
      <c r="X280" s="85">
        <f>+H280+P280</f>
        <v>101151.29854</v>
      </c>
      <c r="Y280" s="92"/>
      <c r="Z280" s="85">
        <f t="shared" ref="Z280:Z343" si="34">+E280-X280</f>
        <v>1209.7905099999916</v>
      </c>
      <c r="AA280" s="121">
        <f>SUM(AA264:AA278)</f>
        <v>34797.631510000007</v>
      </c>
      <c r="AB280" s="121">
        <f>SUM(AB264:AB278)</f>
        <v>244.14</v>
      </c>
    </row>
    <row r="281" spans="1:28" hidden="1" x14ac:dyDescent="0.3">
      <c r="A281" s="117"/>
      <c r="E281" s="86" t="s">
        <v>29</v>
      </c>
      <c r="F281" s="86" t="s">
        <v>29</v>
      </c>
      <c r="G281" s="86" t="s">
        <v>29</v>
      </c>
      <c r="H281" s="86" t="s">
        <v>29</v>
      </c>
      <c r="I281" s="86" t="s">
        <v>29</v>
      </c>
      <c r="J281" s="86" t="s">
        <v>29</v>
      </c>
      <c r="K281" s="86" t="s">
        <v>29</v>
      </c>
      <c r="L281" s="86" t="s">
        <v>29</v>
      </c>
      <c r="M281" s="86" t="s">
        <v>29</v>
      </c>
      <c r="N281" s="86" t="s">
        <v>29</v>
      </c>
      <c r="O281" s="86" t="s">
        <v>29</v>
      </c>
      <c r="P281" s="86" t="s">
        <v>29</v>
      </c>
      <c r="Q281" s="86" t="s">
        <v>29</v>
      </c>
      <c r="R281" s="86" t="s">
        <v>29</v>
      </c>
      <c r="S281" s="86" t="s">
        <v>29</v>
      </c>
      <c r="T281" s="86" t="s">
        <v>29</v>
      </c>
      <c r="U281" s="86" t="s">
        <v>29</v>
      </c>
      <c r="V281" s="86" t="s">
        <v>29</v>
      </c>
      <c r="W281" s="86" t="s">
        <v>29</v>
      </c>
      <c r="X281" s="85" t="e">
        <f t="shared" si="32"/>
        <v>#VALUE!</v>
      </c>
      <c r="Y281" s="86" t="s">
        <v>29</v>
      </c>
      <c r="Z281" s="85" t="e">
        <f t="shared" si="34"/>
        <v>#VALUE!</v>
      </c>
      <c r="AA281" s="115" t="s">
        <v>29</v>
      </c>
      <c r="AB281" s="115" t="s">
        <v>29</v>
      </c>
    </row>
    <row r="282" spans="1:28" hidden="1" x14ac:dyDescent="0.3">
      <c r="A282" s="105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6"/>
      <c r="S282" s="86"/>
      <c r="T282" s="92"/>
      <c r="U282" s="92"/>
      <c r="V282" s="92"/>
      <c r="W282" s="92"/>
      <c r="X282" s="85">
        <f t="shared" si="32"/>
        <v>0</v>
      </c>
      <c r="Y282" s="92"/>
      <c r="Z282" s="85">
        <f t="shared" si="34"/>
        <v>0</v>
      </c>
      <c r="AA282" s="118"/>
    </row>
    <row r="283" spans="1:28" hidden="1" x14ac:dyDescent="0.3">
      <c r="A283" s="117"/>
      <c r="C283" s="68" t="s">
        <v>553</v>
      </c>
      <c r="D283" s="145" t="s">
        <v>150</v>
      </c>
      <c r="E283" s="85">
        <f>STATS1003B!E284/1000</f>
        <v>3215.2519600000001</v>
      </c>
      <c r="F283" s="85">
        <f>STATS1003B!F284/1000</f>
        <v>2405.2714900000001</v>
      </c>
      <c r="G283" s="85">
        <f>STATS1003B!G284/1000</f>
        <v>0</v>
      </c>
      <c r="H283" s="85">
        <f>STATS1003B!H284/1000</f>
        <v>2405.2714900000001</v>
      </c>
      <c r="I283" s="85">
        <f>STATS1003B!I284/1000</f>
        <v>0</v>
      </c>
      <c r="J283" s="85">
        <f>STATS1003B!J284/1000</f>
        <v>2405.2714900000001</v>
      </c>
      <c r="K283" s="85">
        <f>STATS1003B!K284/1000</f>
        <v>809.98046999999997</v>
      </c>
      <c r="L283" s="85">
        <f>STATS1003B!L284/1000</f>
        <v>0</v>
      </c>
      <c r="M283" s="85">
        <f>STATS1003B!M284/1000</f>
        <v>2405.2714900000001</v>
      </c>
      <c r="N283" s="85">
        <f>STATS1003B!N284/1000</f>
        <v>809.98046999999997</v>
      </c>
      <c r="O283" s="85">
        <f>STATS1003B!O284/1000</f>
        <v>0</v>
      </c>
      <c r="P283" s="85">
        <f>STATS1003B!P284/1000</f>
        <v>809.98046999999997</v>
      </c>
      <c r="Q283" s="85">
        <f>STATS1003B!Q284/1000</f>
        <v>0</v>
      </c>
      <c r="R283" s="85">
        <f>STATS1003B!R284/1000</f>
        <v>0</v>
      </c>
      <c r="S283" s="85">
        <f>STATS1003B!S284/1000</f>
        <v>0</v>
      </c>
      <c r="T283" s="85">
        <f>STATS1003B!T284/1000</f>
        <v>0</v>
      </c>
      <c r="U283" s="85">
        <f>STATS1003B!U284/1000</f>
        <v>809.98046999999997</v>
      </c>
      <c r="V283" s="85">
        <f>STATS1003B!V284/1000</f>
        <v>0</v>
      </c>
      <c r="W283" s="85">
        <f>STATS1003B!W284/1000</f>
        <v>0</v>
      </c>
      <c r="X283" s="85">
        <f t="shared" si="32"/>
        <v>3215.2519600000001</v>
      </c>
      <c r="Y283" s="85">
        <f>STATS1003B!Y284/1000</f>
        <v>0</v>
      </c>
      <c r="Z283" s="85">
        <f t="shared" si="34"/>
        <v>0</v>
      </c>
      <c r="AA283" s="69">
        <f>STATS1003B!AA284/1000</f>
        <v>3215.2519600000001</v>
      </c>
      <c r="AB283" s="69">
        <f>STATS1003B!AB284/1000</f>
        <v>0</v>
      </c>
    </row>
    <row r="284" spans="1:28" hidden="1" x14ac:dyDescent="0.3">
      <c r="A284" s="117"/>
      <c r="C284" s="68" t="s">
        <v>554</v>
      </c>
      <c r="D284" s="145" t="s">
        <v>150</v>
      </c>
      <c r="E284" s="85">
        <f>STATS1003B!E285/1000</f>
        <v>1306</v>
      </c>
      <c r="F284" s="85">
        <f>STATS1003B!F285/1000</f>
        <v>1268.5170000000001</v>
      </c>
      <c r="G284" s="85">
        <f>STATS1003B!G285/1000</f>
        <v>0</v>
      </c>
      <c r="H284" s="85">
        <f>STATS1003B!H285/1000</f>
        <v>1268.5170000000001</v>
      </c>
      <c r="I284" s="85">
        <f>STATS1003B!I285/1000</f>
        <v>0</v>
      </c>
      <c r="J284" s="85">
        <f>STATS1003B!J285/1000</f>
        <v>1268.5170000000001</v>
      </c>
      <c r="K284" s="85">
        <f>STATS1003B!K285/1000</f>
        <v>37.482999999999997</v>
      </c>
      <c r="L284" s="85">
        <f>STATS1003B!L285/1000</f>
        <v>0</v>
      </c>
      <c r="M284" s="85">
        <f>STATS1003B!M285/1000</f>
        <v>1268.5170000000001</v>
      </c>
      <c r="N284" s="85">
        <f>STATS1003B!N285/1000</f>
        <v>37.482999999999997</v>
      </c>
      <c r="O284" s="85">
        <f>STATS1003B!O285/1000</f>
        <v>0</v>
      </c>
      <c r="P284" s="85">
        <f>STATS1003B!P285/1000</f>
        <v>37.482999999999997</v>
      </c>
      <c r="Q284" s="85">
        <f>STATS1003B!Q285/1000</f>
        <v>0</v>
      </c>
      <c r="R284" s="85">
        <f>STATS1003B!R285/1000</f>
        <v>0</v>
      </c>
      <c r="S284" s="85">
        <f>STATS1003B!S285/1000</f>
        <v>0</v>
      </c>
      <c r="T284" s="85">
        <f>STATS1003B!T285/1000</f>
        <v>0</v>
      </c>
      <c r="U284" s="85">
        <f>STATS1003B!U285/1000</f>
        <v>37.482999999999997</v>
      </c>
      <c r="V284" s="85">
        <f>STATS1003B!V285/1000</f>
        <v>0</v>
      </c>
      <c r="W284" s="85">
        <f>STATS1003B!W285/1000</f>
        <v>0</v>
      </c>
      <c r="X284" s="85">
        <f t="shared" si="32"/>
        <v>1306</v>
      </c>
      <c r="Y284" s="85">
        <f>STATS1003B!Y285/1000</f>
        <v>0</v>
      </c>
      <c r="Z284" s="85">
        <f t="shared" si="34"/>
        <v>0</v>
      </c>
      <c r="AA284" s="69">
        <f>STATS1003B!AA285/1000</f>
        <v>1306</v>
      </c>
      <c r="AB284" s="69">
        <f>STATS1003B!AB285/1000</f>
        <v>0</v>
      </c>
    </row>
    <row r="285" spans="1:28" hidden="1" x14ac:dyDescent="0.3">
      <c r="A285" s="117"/>
      <c r="C285" s="68" t="s">
        <v>555</v>
      </c>
      <c r="D285" s="145" t="s">
        <v>166</v>
      </c>
      <c r="E285" s="85">
        <f>STATS1003B!E286/1000</f>
        <v>1700.4369999999999</v>
      </c>
      <c r="F285" s="85">
        <f>STATS1003B!F286/1000</f>
        <v>1700.4369999999999</v>
      </c>
      <c r="G285" s="85">
        <f>STATS1003B!G286/1000</f>
        <v>0</v>
      </c>
      <c r="H285" s="85">
        <f>STATS1003B!H286/1000</f>
        <v>1700.4369999999999</v>
      </c>
      <c r="I285" s="85">
        <f>STATS1003B!I286/1000</f>
        <v>0</v>
      </c>
      <c r="J285" s="85">
        <f>STATS1003B!J286/1000</f>
        <v>1700.4369999999999</v>
      </c>
      <c r="K285" s="85">
        <f>STATS1003B!K286/1000</f>
        <v>0</v>
      </c>
      <c r="L285" s="85">
        <f>STATS1003B!L286/1000</f>
        <v>0</v>
      </c>
      <c r="M285" s="85">
        <f>STATS1003B!M286/1000</f>
        <v>1700.4369999999999</v>
      </c>
      <c r="N285" s="85">
        <f>STATS1003B!N286/1000</f>
        <v>0</v>
      </c>
      <c r="O285" s="85">
        <f>STATS1003B!O286/1000</f>
        <v>0</v>
      </c>
      <c r="P285" s="85">
        <f>STATS1003B!P286/1000</f>
        <v>0</v>
      </c>
      <c r="Q285" s="85">
        <f>STATS1003B!Q286/1000</f>
        <v>0</v>
      </c>
      <c r="R285" s="85">
        <f>STATS1003B!R286/1000</f>
        <v>0</v>
      </c>
      <c r="S285" s="85">
        <f>STATS1003B!S286/1000</f>
        <v>0</v>
      </c>
      <c r="T285" s="85">
        <f>STATS1003B!T286/1000</f>
        <v>0</v>
      </c>
      <c r="U285" s="85">
        <f>STATS1003B!U286/1000</f>
        <v>0</v>
      </c>
      <c r="V285" s="85">
        <f>STATS1003B!V286/1000</f>
        <v>0</v>
      </c>
      <c r="W285" s="85">
        <f>STATS1003B!W286/1000</f>
        <v>0</v>
      </c>
      <c r="X285" s="85">
        <f t="shared" si="32"/>
        <v>1700.4369999999999</v>
      </c>
      <c r="Y285" s="85">
        <f>STATS1003B!Y286/1000</f>
        <v>0</v>
      </c>
      <c r="Z285" s="85">
        <f t="shared" si="34"/>
        <v>0</v>
      </c>
      <c r="AA285" s="69">
        <f>STATS1003B!AA286/1000</f>
        <v>1700.4369999999999</v>
      </c>
      <c r="AB285" s="69">
        <f>STATS1003B!AB286/1000</f>
        <v>0</v>
      </c>
    </row>
    <row r="286" spans="1:28" hidden="1" x14ac:dyDescent="0.3">
      <c r="A286" s="117"/>
      <c r="C286" s="68" t="s">
        <v>556</v>
      </c>
      <c r="D286" s="145" t="s">
        <v>166</v>
      </c>
      <c r="E286" s="85">
        <f>STATS1003B!E287/1000</f>
        <v>502.91800000000001</v>
      </c>
      <c r="F286" s="85">
        <f>STATS1003B!F287/1000</f>
        <v>502.91800000000001</v>
      </c>
      <c r="G286" s="85">
        <f>STATS1003B!G287/1000</f>
        <v>0</v>
      </c>
      <c r="H286" s="85">
        <f>STATS1003B!H287/1000</f>
        <v>502.91800000000001</v>
      </c>
      <c r="I286" s="85">
        <f>STATS1003B!I287/1000</f>
        <v>0</v>
      </c>
      <c r="J286" s="85">
        <f>STATS1003B!J287/1000</f>
        <v>502.91800000000001</v>
      </c>
      <c r="K286" s="85">
        <f>STATS1003B!K287/1000</f>
        <v>0</v>
      </c>
      <c r="L286" s="85">
        <f>STATS1003B!L287/1000</f>
        <v>0</v>
      </c>
      <c r="M286" s="85">
        <f>STATS1003B!M287/1000</f>
        <v>502.91800000000001</v>
      </c>
      <c r="N286" s="85">
        <f>STATS1003B!N287/1000</f>
        <v>0</v>
      </c>
      <c r="O286" s="85">
        <f>STATS1003B!O287/1000</f>
        <v>0</v>
      </c>
      <c r="P286" s="85">
        <f>STATS1003B!P287/1000</f>
        <v>0</v>
      </c>
      <c r="Q286" s="85">
        <f>STATS1003B!Q287/1000</f>
        <v>0</v>
      </c>
      <c r="R286" s="85">
        <f>STATS1003B!R287/1000</f>
        <v>0</v>
      </c>
      <c r="S286" s="85">
        <f>STATS1003B!S287/1000</f>
        <v>0</v>
      </c>
      <c r="T286" s="85">
        <f>STATS1003B!T287/1000</f>
        <v>0</v>
      </c>
      <c r="U286" s="85">
        <f>STATS1003B!U287/1000</f>
        <v>0</v>
      </c>
      <c r="V286" s="85">
        <f>STATS1003B!V287/1000</f>
        <v>0</v>
      </c>
      <c r="W286" s="85">
        <f>STATS1003B!W287/1000</f>
        <v>0</v>
      </c>
      <c r="X286" s="85">
        <f t="shared" si="32"/>
        <v>502.91800000000001</v>
      </c>
      <c r="Y286" s="85">
        <f>STATS1003B!Y287/1000</f>
        <v>0</v>
      </c>
      <c r="Z286" s="85">
        <f t="shared" si="34"/>
        <v>0</v>
      </c>
      <c r="AA286" s="69">
        <f>STATS1003B!AA287/1000</f>
        <v>502.91800000000001</v>
      </c>
      <c r="AB286" s="69">
        <f>STATS1003B!AB287/1000</f>
        <v>0</v>
      </c>
    </row>
    <row r="287" spans="1:28" hidden="1" x14ac:dyDescent="0.3">
      <c r="A287" s="117"/>
      <c r="C287" s="68" t="s">
        <v>535</v>
      </c>
      <c r="D287" s="145" t="s">
        <v>68</v>
      </c>
      <c r="E287" s="85">
        <f>STATS1003B!E288/1000</f>
        <v>1199.97783</v>
      </c>
      <c r="F287" s="85">
        <f>STATS1003B!F288/1000</f>
        <v>0</v>
      </c>
      <c r="G287" s="85">
        <f>STATS1003B!G288/1000</f>
        <v>0</v>
      </c>
      <c r="H287" s="85">
        <f>STATS1003B!H288/1000</f>
        <v>0</v>
      </c>
      <c r="I287" s="85">
        <f>STATS1003B!I288/1000</f>
        <v>0</v>
      </c>
      <c r="J287" s="85">
        <f>STATS1003B!J288/1000</f>
        <v>0</v>
      </c>
      <c r="K287" s="85">
        <f>STATS1003B!K288/1000</f>
        <v>1199.97783</v>
      </c>
      <c r="L287" s="85">
        <f>STATS1003B!L288/1000</f>
        <v>0</v>
      </c>
      <c r="M287" s="85">
        <f>STATS1003B!M288/1000</f>
        <v>0</v>
      </c>
      <c r="N287" s="85">
        <f>STATS1003B!N288/1000</f>
        <v>1199.97783</v>
      </c>
      <c r="O287" s="85">
        <f>STATS1003B!O288/1000</f>
        <v>0</v>
      </c>
      <c r="P287" s="85">
        <f>STATS1003B!P288/1000</f>
        <v>1199.97783</v>
      </c>
      <c r="Q287" s="85">
        <f>STATS1003B!Q288/1000</f>
        <v>0</v>
      </c>
      <c r="R287" s="85">
        <f>STATS1003B!R288/1000</f>
        <v>0</v>
      </c>
      <c r="S287" s="85">
        <f>STATS1003B!S288/1000</f>
        <v>0</v>
      </c>
      <c r="T287" s="85">
        <f>STATS1003B!T288/1000</f>
        <v>0</v>
      </c>
      <c r="U287" s="85">
        <f>STATS1003B!U288/1000</f>
        <v>1199.97783</v>
      </c>
      <c r="V287" s="85">
        <f>STATS1003B!V288/1000</f>
        <v>0</v>
      </c>
      <c r="W287" s="85">
        <f>STATS1003B!W288/1000</f>
        <v>0</v>
      </c>
      <c r="X287" s="85">
        <f t="shared" si="32"/>
        <v>1199.97783</v>
      </c>
      <c r="Y287" s="85">
        <f>STATS1003B!Y288/1000</f>
        <v>0</v>
      </c>
      <c r="Z287" s="85">
        <f t="shared" si="34"/>
        <v>0</v>
      </c>
      <c r="AA287" s="69">
        <f>STATS1003B!AA288/1000</f>
        <v>1199.97783</v>
      </c>
      <c r="AB287" s="69">
        <f>STATS1003B!AB288/1000</f>
        <v>0</v>
      </c>
    </row>
    <row r="288" spans="1:28" hidden="1" x14ac:dyDescent="0.3">
      <c r="A288" s="117"/>
      <c r="C288" s="68" t="s">
        <v>539</v>
      </c>
      <c r="D288" s="145" t="s">
        <v>68</v>
      </c>
      <c r="E288" s="85">
        <f>STATS1003B!E289/1000</f>
        <v>3141.7734999999998</v>
      </c>
      <c r="F288" s="85">
        <f>STATS1003B!F289/1000</f>
        <v>0</v>
      </c>
      <c r="G288" s="85">
        <f>STATS1003B!G289/1000</f>
        <v>0</v>
      </c>
      <c r="H288" s="85">
        <f>STATS1003B!H289/1000</f>
        <v>0</v>
      </c>
      <c r="I288" s="85">
        <f>STATS1003B!I289/1000</f>
        <v>0</v>
      </c>
      <c r="J288" s="85">
        <f>STATS1003B!J289/1000</f>
        <v>0</v>
      </c>
      <c r="K288" s="85">
        <f>STATS1003B!K289/1000</f>
        <v>3141.7734999999998</v>
      </c>
      <c r="L288" s="85">
        <f>STATS1003B!L289/1000</f>
        <v>0</v>
      </c>
      <c r="M288" s="85">
        <f>STATS1003B!M289/1000</f>
        <v>0</v>
      </c>
      <c r="N288" s="85">
        <f>STATS1003B!N289/1000</f>
        <v>3141.7734999999998</v>
      </c>
      <c r="O288" s="85">
        <f>STATS1003B!O289/1000</f>
        <v>0</v>
      </c>
      <c r="P288" s="85">
        <f>STATS1003B!P289/1000</f>
        <v>3141.7734999999998</v>
      </c>
      <c r="Q288" s="85">
        <f>STATS1003B!Q289/1000</f>
        <v>0</v>
      </c>
      <c r="R288" s="85">
        <f>STATS1003B!R289/1000</f>
        <v>0</v>
      </c>
      <c r="S288" s="85">
        <f>STATS1003B!S289/1000</f>
        <v>0</v>
      </c>
      <c r="T288" s="85">
        <f>STATS1003B!T289/1000</f>
        <v>0</v>
      </c>
      <c r="U288" s="85">
        <f>STATS1003B!U289/1000</f>
        <v>3141.7734999999998</v>
      </c>
      <c r="V288" s="85">
        <f>STATS1003B!V289/1000</f>
        <v>0</v>
      </c>
      <c r="W288" s="85">
        <f>STATS1003B!W289/1000</f>
        <v>0</v>
      </c>
      <c r="X288" s="85">
        <f t="shared" si="32"/>
        <v>3141.7734999999998</v>
      </c>
      <c r="Y288" s="85">
        <f>STATS1003B!Y289/1000</f>
        <v>0</v>
      </c>
      <c r="Z288" s="85">
        <f t="shared" si="34"/>
        <v>0</v>
      </c>
      <c r="AA288" s="69">
        <f>STATS1003B!AA289/1000</f>
        <v>3141.7734999999998</v>
      </c>
      <c r="AB288" s="69">
        <f>STATS1003B!AB289/1000</f>
        <v>0</v>
      </c>
    </row>
    <row r="289" spans="1:28" hidden="1" x14ac:dyDescent="0.3">
      <c r="A289" s="117"/>
      <c r="C289" s="68" t="s">
        <v>557</v>
      </c>
      <c r="D289" s="145" t="s">
        <v>68</v>
      </c>
      <c r="E289" s="85">
        <f>STATS1003B!E290/1000</f>
        <v>49.283999999999999</v>
      </c>
      <c r="F289" s="85">
        <f>STATS1003B!F290/1000</f>
        <v>49.283999999999999</v>
      </c>
      <c r="G289" s="85">
        <f>STATS1003B!G290/1000</f>
        <v>0</v>
      </c>
      <c r="H289" s="85">
        <f>STATS1003B!H290/1000</f>
        <v>49.283999999999999</v>
      </c>
      <c r="I289" s="85">
        <f>STATS1003B!I290/1000</f>
        <v>0</v>
      </c>
      <c r="J289" s="85">
        <f>STATS1003B!J290/1000</f>
        <v>49.283999999999999</v>
      </c>
      <c r="K289" s="85">
        <f>STATS1003B!K290/1000</f>
        <v>0</v>
      </c>
      <c r="L289" s="85">
        <f>STATS1003B!L290/1000</f>
        <v>0</v>
      </c>
      <c r="M289" s="85">
        <f>STATS1003B!M290/1000</f>
        <v>49.283999999999999</v>
      </c>
      <c r="N289" s="85">
        <f>STATS1003B!N290/1000</f>
        <v>0</v>
      </c>
      <c r="O289" s="85">
        <f>STATS1003B!O290/1000</f>
        <v>0</v>
      </c>
      <c r="P289" s="85">
        <f>STATS1003B!P290/1000</f>
        <v>0</v>
      </c>
      <c r="Q289" s="85">
        <f>STATS1003B!Q290/1000</f>
        <v>0</v>
      </c>
      <c r="R289" s="85">
        <f>STATS1003B!R290/1000</f>
        <v>0</v>
      </c>
      <c r="S289" s="85">
        <f>STATS1003B!S290/1000</f>
        <v>0</v>
      </c>
      <c r="T289" s="85">
        <f>STATS1003B!T290/1000</f>
        <v>0</v>
      </c>
      <c r="U289" s="85">
        <f>STATS1003B!U290/1000</f>
        <v>0</v>
      </c>
      <c r="V289" s="85">
        <f>STATS1003B!V290/1000</f>
        <v>0</v>
      </c>
      <c r="W289" s="85">
        <f>STATS1003B!W290/1000</f>
        <v>0</v>
      </c>
      <c r="X289" s="85">
        <f t="shared" si="32"/>
        <v>49.283999999999999</v>
      </c>
      <c r="Y289" s="85">
        <f>STATS1003B!Y290/1000</f>
        <v>0</v>
      </c>
      <c r="Z289" s="85">
        <f t="shared" si="34"/>
        <v>0</v>
      </c>
      <c r="AA289" s="69">
        <f>STATS1003B!AA290/1000</f>
        <v>49.283999999999999</v>
      </c>
      <c r="AB289" s="69">
        <f>STATS1003B!AB290/1000</f>
        <v>0</v>
      </c>
    </row>
    <row r="290" spans="1:28" hidden="1" x14ac:dyDescent="0.3">
      <c r="A290" s="117"/>
      <c r="C290" s="68" t="s">
        <v>558</v>
      </c>
      <c r="D290" s="145" t="s">
        <v>54</v>
      </c>
      <c r="E290" s="85">
        <f>STATS1003B!E291/1000</f>
        <v>4738.8565599999993</v>
      </c>
      <c r="F290" s="85">
        <f>STATS1003B!F291/1000</f>
        <v>4700.6241200000004</v>
      </c>
      <c r="G290" s="85">
        <f>STATS1003B!G291/1000</f>
        <v>0</v>
      </c>
      <c r="H290" s="85">
        <f>STATS1003B!H291/1000</f>
        <v>4700.6241200000004</v>
      </c>
      <c r="I290" s="85">
        <f>STATS1003B!I291/1000</f>
        <v>0</v>
      </c>
      <c r="J290" s="85">
        <f>STATS1003B!J291/1000</f>
        <v>4700.6241200000004</v>
      </c>
      <c r="K290" s="85">
        <f>STATS1003B!K291/1000</f>
        <v>38.232440000000004</v>
      </c>
      <c r="L290" s="85">
        <f>STATS1003B!L291/1000</f>
        <v>0</v>
      </c>
      <c r="M290" s="85">
        <f>STATS1003B!M291/1000</f>
        <v>4700.6241200000004</v>
      </c>
      <c r="N290" s="85">
        <f>STATS1003B!N291/1000</f>
        <v>38.232440000000004</v>
      </c>
      <c r="O290" s="85">
        <f>STATS1003B!O291/1000</f>
        <v>0</v>
      </c>
      <c r="P290" s="85">
        <f>STATS1003B!P291/1000</f>
        <v>38.232440000000004</v>
      </c>
      <c r="Q290" s="85">
        <f>STATS1003B!Q291/1000</f>
        <v>0</v>
      </c>
      <c r="R290" s="85">
        <f>STATS1003B!R291/1000</f>
        <v>0</v>
      </c>
      <c r="S290" s="85">
        <f>STATS1003B!S291/1000</f>
        <v>0</v>
      </c>
      <c r="T290" s="85">
        <f>STATS1003B!T291/1000</f>
        <v>0</v>
      </c>
      <c r="U290" s="85">
        <f>STATS1003B!U291/1000</f>
        <v>38.232440000000004</v>
      </c>
      <c r="V290" s="85">
        <f>STATS1003B!V291/1000</f>
        <v>0</v>
      </c>
      <c r="W290" s="85">
        <f>STATS1003B!W291/1000</f>
        <v>0</v>
      </c>
      <c r="X290" s="85">
        <f t="shared" si="32"/>
        <v>4738.8565600000002</v>
      </c>
      <c r="Y290" s="85">
        <f>STATS1003B!Y291/1000</f>
        <v>0</v>
      </c>
      <c r="Z290" s="85">
        <f t="shared" si="34"/>
        <v>0</v>
      </c>
      <c r="AA290" s="69">
        <f>STATS1003B!AA291/1000</f>
        <v>4738.8565600000002</v>
      </c>
      <c r="AB290" s="69">
        <f>STATS1003B!AB291/1000</f>
        <v>0</v>
      </c>
    </row>
    <row r="291" spans="1:28" hidden="1" x14ac:dyDescent="0.3">
      <c r="A291" s="117"/>
      <c r="C291" s="68" t="s">
        <v>535</v>
      </c>
      <c r="D291" s="145" t="s">
        <v>54</v>
      </c>
      <c r="E291" s="85">
        <f>STATS1003B!E292/1000</f>
        <v>481.36613</v>
      </c>
      <c r="F291" s="85">
        <f>STATS1003B!F292/1000</f>
        <v>481.36613</v>
      </c>
      <c r="G291" s="85">
        <f>STATS1003B!G292/1000</f>
        <v>0</v>
      </c>
      <c r="H291" s="85">
        <f>STATS1003B!H292/1000</f>
        <v>481.36613</v>
      </c>
      <c r="I291" s="85">
        <f>STATS1003B!I292/1000</f>
        <v>0</v>
      </c>
      <c r="J291" s="85">
        <f>STATS1003B!J292/1000</f>
        <v>481.36613</v>
      </c>
      <c r="K291" s="85">
        <f>STATS1003B!K292/1000</f>
        <v>0</v>
      </c>
      <c r="L291" s="85">
        <f>STATS1003B!L292/1000</f>
        <v>0</v>
      </c>
      <c r="M291" s="85">
        <f>STATS1003B!M292/1000</f>
        <v>481.36613</v>
      </c>
      <c r="N291" s="85">
        <f>STATS1003B!N292/1000</f>
        <v>0</v>
      </c>
      <c r="O291" s="85">
        <f>STATS1003B!O292/1000</f>
        <v>0</v>
      </c>
      <c r="P291" s="85">
        <f>STATS1003B!P292/1000</f>
        <v>0</v>
      </c>
      <c r="Q291" s="85">
        <f>STATS1003B!Q292/1000</f>
        <v>0</v>
      </c>
      <c r="R291" s="85">
        <f>STATS1003B!R292/1000</f>
        <v>0</v>
      </c>
      <c r="S291" s="85">
        <f>STATS1003B!S292/1000</f>
        <v>0</v>
      </c>
      <c r="T291" s="85">
        <f>STATS1003B!T292/1000</f>
        <v>0</v>
      </c>
      <c r="U291" s="85">
        <f>STATS1003B!U292/1000</f>
        <v>0</v>
      </c>
      <c r="V291" s="85">
        <f>STATS1003B!V292/1000</f>
        <v>0</v>
      </c>
      <c r="W291" s="85">
        <f>STATS1003B!W292/1000</f>
        <v>0</v>
      </c>
      <c r="X291" s="85">
        <f t="shared" si="32"/>
        <v>481.36613</v>
      </c>
      <c r="Y291" s="85">
        <f>STATS1003B!Y292/1000</f>
        <v>0</v>
      </c>
      <c r="Z291" s="85">
        <f t="shared" si="34"/>
        <v>0</v>
      </c>
      <c r="AA291" s="69">
        <f>STATS1003B!AA292/1000</f>
        <v>481.36613</v>
      </c>
      <c r="AB291" s="69">
        <f>STATS1003B!AB292/1000</f>
        <v>0</v>
      </c>
    </row>
    <row r="292" spans="1:28" hidden="1" x14ac:dyDescent="0.3">
      <c r="A292" s="117"/>
      <c r="C292" s="68" t="s">
        <v>545</v>
      </c>
      <c r="D292" s="145" t="s">
        <v>54</v>
      </c>
      <c r="E292" s="85">
        <f>STATS1003B!E293/1000</f>
        <v>1953.989</v>
      </c>
      <c r="F292" s="85">
        <f>STATS1003B!F293/1000</f>
        <v>0</v>
      </c>
      <c r="G292" s="85">
        <f>STATS1003B!G293/1000</f>
        <v>0</v>
      </c>
      <c r="H292" s="85">
        <f>STATS1003B!H293/1000</f>
        <v>0</v>
      </c>
      <c r="I292" s="85">
        <f>STATS1003B!I293/1000</f>
        <v>0</v>
      </c>
      <c r="J292" s="85">
        <f>STATS1003B!J293/1000</f>
        <v>0</v>
      </c>
      <c r="K292" s="85">
        <f>STATS1003B!K293/1000</f>
        <v>1953.989</v>
      </c>
      <c r="L292" s="85">
        <f>STATS1003B!L293/1000</f>
        <v>0</v>
      </c>
      <c r="M292" s="85">
        <f>STATS1003B!M293/1000</f>
        <v>0</v>
      </c>
      <c r="N292" s="85">
        <f>STATS1003B!N293/1000</f>
        <v>1953.989</v>
      </c>
      <c r="O292" s="85">
        <f>STATS1003B!O293/1000</f>
        <v>0</v>
      </c>
      <c r="P292" s="85">
        <f>STATS1003B!P293/1000</f>
        <v>1953.989</v>
      </c>
      <c r="Q292" s="85">
        <f>STATS1003B!Q293/1000</f>
        <v>0</v>
      </c>
      <c r="R292" s="85">
        <f>STATS1003B!R293/1000</f>
        <v>0</v>
      </c>
      <c r="S292" s="85">
        <f>STATS1003B!S293/1000</f>
        <v>0</v>
      </c>
      <c r="T292" s="85">
        <f>STATS1003B!T293/1000</f>
        <v>0</v>
      </c>
      <c r="U292" s="85">
        <f>STATS1003B!U293/1000</f>
        <v>1953.989</v>
      </c>
      <c r="V292" s="85">
        <f>STATS1003B!V293/1000</f>
        <v>0</v>
      </c>
      <c r="W292" s="85">
        <f>STATS1003B!W293/1000</f>
        <v>0</v>
      </c>
      <c r="X292" s="85">
        <f t="shared" si="32"/>
        <v>1953.989</v>
      </c>
      <c r="Y292" s="85">
        <f>STATS1003B!Y293/1000</f>
        <v>0</v>
      </c>
      <c r="Z292" s="85">
        <f t="shared" si="34"/>
        <v>0</v>
      </c>
      <c r="AA292" s="69">
        <f>STATS1003B!AA293/1000</f>
        <v>1953.989</v>
      </c>
      <c r="AB292" s="69">
        <f>STATS1003B!AB293/1000</f>
        <v>0</v>
      </c>
    </row>
    <row r="293" spans="1:28" hidden="1" x14ac:dyDescent="0.3">
      <c r="A293" s="117"/>
      <c r="C293" s="68" t="s">
        <v>558</v>
      </c>
      <c r="D293" s="145" t="s">
        <v>85</v>
      </c>
      <c r="E293" s="85">
        <f>STATS1003B!E294/1000</f>
        <v>3520</v>
      </c>
      <c r="F293" s="85">
        <f>STATS1003B!F294/1000</f>
        <v>3279.8</v>
      </c>
      <c r="G293" s="85">
        <f>STATS1003B!G294/1000</f>
        <v>0</v>
      </c>
      <c r="H293" s="85">
        <f>STATS1003B!H294/1000</f>
        <v>3279.8</v>
      </c>
      <c r="I293" s="85">
        <f>STATS1003B!I294/1000</f>
        <v>0</v>
      </c>
      <c r="J293" s="85">
        <f>STATS1003B!J294/1000</f>
        <v>3279.8</v>
      </c>
      <c r="K293" s="85">
        <f>STATS1003B!K294/1000</f>
        <v>2.5660799999999999</v>
      </c>
      <c r="L293" s="85">
        <f>STATS1003B!L294/1000</f>
        <v>0</v>
      </c>
      <c r="M293" s="85">
        <f>STATS1003B!M294/1000</f>
        <v>3279.8</v>
      </c>
      <c r="N293" s="85">
        <f>STATS1003B!N294/1000</f>
        <v>2.5660799999999999</v>
      </c>
      <c r="O293" s="85">
        <f>STATS1003B!O294/1000</f>
        <v>0</v>
      </c>
      <c r="P293" s="85">
        <f>STATS1003B!P294/1000</f>
        <v>2.5660799999999999</v>
      </c>
      <c r="Q293" s="85">
        <f>STATS1003B!Q294/1000</f>
        <v>0</v>
      </c>
      <c r="R293" s="85">
        <f>STATS1003B!R294/1000</f>
        <v>0</v>
      </c>
      <c r="S293" s="85">
        <f>STATS1003B!S294/1000</f>
        <v>0</v>
      </c>
      <c r="T293" s="85">
        <f>STATS1003B!T294/1000</f>
        <v>0</v>
      </c>
      <c r="U293" s="85">
        <f>STATS1003B!U294/1000</f>
        <v>2.5660799999999999</v>
      </c>
      <c r="V293" s="85">
        <f>STATS1003B!V294/1000</f>
        <v>0</v>
      </c>
      <c r="W293" s="85">
        <f>STATS1003B!W294/1000</f>
        <v>0</v>
      </c>
      <c r="X293" s="85">
        <f t="shared" si="32"/>
        <v>3282.3660800000002</v>
      </c>
      <c r="Y293" s="85">
        <f>STATS1003B!Y294/1000</f>
        <v>0</v>
      </c>
      <c r="Z293" s="85">
        <f t="shared" si="34"/>
        <v>237.63391999999976</v>
      </c>
      <c r="AA293" s="69">
        <f>STATS1003B!AA294/1000</f>
        <v>3282.3660800000002</v>
      </c>
      <c r="AB293" s="69">
        <f>STATS1003B!AB294/1000</f>
        <v>237.63391999999993</v>
      </c>
    </row>
    <row r="294" spans="1:28" hidden="1" x14ac:dyDescent="0.3">
      <c r="A294" s="117"/>
      <c r="C294" s="68" t="s">
        <v>558</v>
      </c>
      <c r="D294" s="145" t="s">
        <v>85</v>
      </c>
      <c r="E294" s="85">
        <f>STATS1003B!E295/1000</f>
        <v>480</v>
      </c>
      <c r="F294" s="85">
        <f>STATS1003B!F295/1000</f>
        <v>0</v>
      </c>
      <c r="G294" s="85">
        <f>STATS1003B!G295/1000</f>
        <v>0</v>
      </c>
      <c r="H294" s="85">
        <f>STATS1003B!H295/1000</f>
        <v>0</v>
      </c>
      <c r="I294" s="85">
        <f>STATS1003B!I295/1000</f>
        <v>0</v>
      </c>
      <c r="J294" s="85">
        <f>STATS1003B!J295/1000</f>
        <v>0</v>
      </c>
      <c r="K294" s="85">
        <f>STATS1003B!K295/1000</f>
        <v>0</v>
      </c>
      <c r="L294" s="85">
        <f>STATS1003B!L295/1000</f>
        <v>0</v>
      </c>
      <c r="M294" s="85">
        <f>STATS1003B!M295/1000</f>
        <v>0</v>
      </c>
      <c r="N294" s="85">
        <f>STATS1003B!N295/1000</f>
        <v>0</v>
      </c>
      <c r="O294" s="85">
        <f>STATS1003B!O295/1000</f>
        <v>0</v>
      </c>
      <c r="P294" s="85">
        <f>STATS1003B!P295/1000</f>
        <v>0</v>
      </c>
      <c r="Q294" s="85">
        <f>STATS1003B!Q295/1000</f>
        <v>0</v>
      </c>
      <c r="R294" s="85">
        <f>STATS1003B!R295/1000</f>
        <v>0</v>
      </c>
      <c r="S294" s="85">
        <f>STATS1003B!S295/1000</f>
        <v>0</v>
      </c>
      <c r="T294" s="85">
        <f>STATS1003B!T295/1000</f>
        <v>0</v>
      </c>
      <c r="U294" s="85">
        <f>STATS1003B!U295/1000</f>
        <v>0</v>
      </c>
      <c r="V294" s="85">
        <f>STATS1003B!V295/1000</f>
        <v>0</v>
      </c>
      <c r="W294" s="85">
        <f>STATS1003B!W295/1000</f>
        <v>0</v>
      </c>
      <c r="X294" s="85">
        <f t="shared" si="32"/>
        <v>0</v>
      </c>
      <c r="Y294" s="85">
        <f>STATS1003B!Y295/1000</f>
        <v>0</v>
      </c>
      <c r="Z294" s="85">
        <f t="shared" si="34"/>
        <v>480</v>
      </c>
      <c r="AA294" s="69">
        <f>STATS1003B!AA295/1000</f>
        <v>0</v>
      </c>
      <c r="AB294" s="69">
        <f>STATS1003B!AB295/1000</f>
        <v>480</v>
      </c>
    </row>
    <row r="295" spans="1:28" hidden="1" x14ac:dyDescent="0.3">
      <c r="A295" s="117"/>
      <c r="C295" s="68" t="s">
        <v>535</v>
      </c>
      <c r="D295" s="145" t="s">
        <v>128</v>
      </c>
      <c r="E295" s="85">
        <f>STATS1003B!E296/1000</f>
        <v>5377.1329999999998</v>
      </c>
      <c r="F295" s="85">
        <f>STATS1003B!F296/1000</f>
        <v>5377.1329999999998</v>
      </c>
      <c r="G295" s="85">
        <f>STATS1003B!G296/1000</f>
        <v>0</v>
      </c>
      <c r="H295" s="85">
        <f>STATS1003B!H296/1000</f>
        <v>5377.1329999999998</v>
      </c>
      <c r="I295" s="85">
        <f>STATS1003B!I296/1000</f>
        <v>0</v>
      </c>
      <c r="J295" s="85">
        <f>STATS1003B!J296/1000</f>
        <v>5377.1329999999998</v>
      </c>
      <c r="K295" s="85">
        <f>STATS1003B!K296/1000</f>
        <v>0</v>
      </c>
      <c r="L295" s="85">
        <f>STATS1003B!L296/1000</f>
        <v>0</v>
      </c>
      <c r="M295" s="85">
        <f>STATS1003B!M296/1000</f>
        <v>5377.1329999999998</v>
      </c>
      <c r="N295" s="85">
        <f>STATS1003B!N296/1000</f>
        <v>0</v>
      </c>
      <c r="O295" s="85">
        <f>STATS1003B!O296/1000</f>
        <v>0</v>
      </c>
      <c r="P295" s="85">
        <f>STATS1003B!P296/1000</f>
        <v>0</v>
      </c>
      <c r="Q295" s="85">
        <f>STATS1003B!Q296/1000</f>
        <v>0</v>
      </c>
      <c r="R295" s="85">
        <f>STATS1003B!R296/1000</f>
        <v>0</v>
      </c>
      <c r="S295" s="85">
        <f>STATS1003B!S296/1000</f>
        <v>0</v>
      </c>
      <c r="T295" s="85">
        <f>STATS1003B!T296/1000</f>
        <v>0</v>
      </c>
      <c r="U295" s="85">
        <f>STATS1003B!U296/1000</f>
        <v>0</v>
      </c>
      <c r="V295" s="85">
        <f>STATS1003B!V296/1000</f>
        <v>0</v>
      </c>
      <c r="W295" s="85">
        <f>STATS1003B!W296/1000</f>
        <v>0</v>
      </c>
      <c r="X295" s="85">
        <f t="shared" si="32"/>
        <v>5377.1329999999998</v>
      </c>
      <c r="Y295" s="85">
        <f>STATS1003B!Y296/1000</f>
        <v>0</v>
      </c>
      <c r="Z295" s="85">
        <f t="shared" si="34"/>
        <v>0</v>
      </c>
      <c r="AA295" s="69">
        <f>STATS1003B!AA296/1000</f>
        <v>5377.1329999999998</v>
      </c>
      <c r="AB295" s="69">
        <f>STATS1003B!AB296/1000</f>
        <v>0</v>
      </c>
    </row>
    <row r="296" spans="1:28" hidden="1" x14ac:dyDescent="0.3">
      <c r="A296" s="117"/>
      <c r="C296" s="68" t="s">
        <v>559</v>
      </c>
      <c r="D296" s="145" t="s">
        <v>128</v>
      </c>
      <c r="E296" s="85">
        <f>STATS1003B!E297/1000</f>
        <v>3500</v>
      </c>
      <c r="F296" s="85">
        <f>STATS1003B!F297/1000</f>
        <v>3500</v>
      </c>
      <c r="G296" s="85">
        <f>STATS1003B!G297/1000</f>
        <v>0</v>
      </c>
      <c r="H296" s="85">
        <f>STATS1003B!H297/1000</f>
        <v>3500</v>
      </c>
      <c r="I296" s="85">
        <f>STATS1003B!I297/1000</f>
        <v>0</v>
      </c>
      <c r="J296" s="85">
        <f>STATS1003B!J297/1000</f>
        <v>3500</v>
      </c>
      <c r="K296" s="85">
        <f>STATS1003B!K297/1000</f>
        <v>0</v>
      </c>
      <c r="L296" s="85">
        <f>STATS1003B!L297/1000</f>
        <v>0</v>
      </c>
      <c r="M296" s="85">
        <f>STATS1003B!M297/1000</f>
        <v>3500</v>
      </c>
      <c r="N296" s="85">
        <f>STATS1003B!N297/1000</f>
        <v>0</v>
      </c>
      <c r="O296" s="85">
        <f>STATS1003B!O297/1000</f>
        <v>0</v>
      </c>
      <c r="P296" s="85">
        <f>STATS1003B!P297/1000</f>
        <v>0</v>
      </c>
      <c r="Q296" s="85">
        <f>STATS1003B!Q297/1000</f>
        <v>0</v>
      </c>
      <c r="R296" s="85">
        <f>STATS1003B!R297/1000</f>
        <v>0</v>
      </c>
      <c r="S296" s="85">
        <f>STATS1003B!S297/1000</f>
        <v>0</v>
      </c>
      <c r="T296" s="85">
        <f>STATS1003B!T297/1000</f>
        <v>0</v>
      </c>
      <c r="U296" s="85">
        <f>STATS1003B!U297/1000</f>
        <v>0</v>
      </c>
      <c r="V296" s="85">
        <f>STATS1003B!V297/1000</f>
        <v>0</v>
      </c>
      <c r="W296" s="85">
        <f>STATS1003B!W297/1000</f>
        <v>0</v>
      </c>
      <c r="X296" s="85">
        <f t="shared" si="32"/>
        <v>3500</v>
      </c>
      <c r="Y296" s="85">
        <f>STATS1003B!Y297/1000</f>
        <v>0</v>
      </c>
      <c r="Z296" s="85">
        <f t="shared" si="34"/>
        <v>0</v>
      </c>
      <c r="AA296" s="69">
        <f>STATS1003B!AA297/1000</f>
        <v>3500</v>
      </c>
      <c r="AB296" s="69">
        <f>STATS1003B!AB297/1000</f>
        <v>0</v>
      </c>
    </row>
    <row r="297" spans="1:28" hidden="1" x14ac:dyDescent="0.3">
      <c r="A297" s="117"/>
      <c r="C297" s="68" t="s">
        <v>560</v>
      </c>
      <c r="D297" s="145" t="s">
        <v>128</v>
      </c>
      <c r="E297" s="85">
        <f>STATS1003B!E298/1000</f>
        <v>784.46</v>
      </c>
      <c r="F297" s="85">
        <f>STATS1003B!F298/1000</f>
        <v>784.46</v>
      </c>
      <c r="G297" s="85">
        <f>STATS1003B!G298/1000</f>
        <v>0</v>
      </c>
      <c r="H297" s="85">
        <f>STATS1003B!H298/1000</f>
        <v>784.46</v>
      </c>
      <c r="I297" s="85">
        <f>STATS1003B!I298/1000</f>
        <v>0</v>
      </c>
      <c r="J297" s="85">
        <f>STATS1003B!J298/1000</f>
        <v>784.46</v>
      </c>
      <c r="K297" s="85">
        <f>STATS1003B!K298/1000</f>
        <v>0</v>
      </c>
      <c r="L297" s="85">
        <f>STATS1003B!L298/1000</f>
        <v>0</v>
      </c>
      <c r="M297" s="85">
        <f>STATS1003B!M298/1000</f>
        <v>784.46</v>
      </c>
      <c r="N297" s="85">
        <f>STATS1003B!N298/1000</f>
        <v>0</v>
      </c>
      <c r="O297" s="85">
        <f>STATS1003B!O298/1000</f>
        <v>0</v>
      </c>
      <c r="P297" s="85">
        <f>STATS1003B!P298/1000</f>
        <v>0</v>
      </c>
      <c r="Q297" s="85">
        <f>STATS1003B!Q298/1000</f>
        <v>0</v>
      </c>
      <c r="R297" s="85">
        <f>STATS1003B!R298/1000</f>
        <v>0</v>
      </c>
      <c r="S297" s="85">
        <f>STATS1003B!S298/1000</f>
        <v>0</v>
      </c>
      <c r="T297" s="85">
        <f>STATS1003B!T298/1000</f>
        <v>0</v>
      </c>
      <c r="U297" s="85">
        <f>STATS1003B!U298/1000</f>
        <v>0</v>
      </c>
      <c r="V297" s="85">
        <f>STATS1003B!V298/1000</f>
        <v>0</v>
      </c>
      <c r="W297" s="85">
        <f>STATS1003B!W298/1000</f>
        <v>0</v>
      </c>
      <c r="X297" s="85">
        <f t="shared" si="32"/>
        <v>784.46</v>
      </c>
      <c r="Y297" s="85">
        <f>STATS1003B!Y298/1000</f>
        <v>0</v>
      </c>
      <c r="Z297" s="85">
        <f t="shared" si="34"/>
        <v>0</v>
      </c>
      <c r="AA297" s="69">
        <f>STATS1003B!AA298/1000</f>
        <v>784.46</v>
      </c>
      <c r="AB297" s="69">
        <f>STATS1003B!AB298/1000</f>
        <v>0</v>
      </c>
    </row>
    <row r="298" spans="1:28" hidden="1" x14ac:dyDescent="0.3">
      <c r="A298" s="117"/>
      <c r="C298" s="68" t="s">
        <v>558</v>
      </c>
      <c r="D298" s="145" t="s">
        <v>108</v>
      </c>
      <c r="E298" s="85">
        <f>STATS1003B!E299/1000</f>
        <v>717.63391999999999</v>
      </c>
      <c r="F298" s="85">
        <f>STATS1003B!F299/1000</f>
        <v>717.63391999999999</v>
      </c>
      <c r="G298" s="85">
        <f>STATS1003B!G299/1000</f>
        <v>0</v>
      </c>
      <c r="H298" s="85">
        <f>STATS1003B!H299/1000</f>
        <v>717.63391999999999</v>
      </c>
      <c r="I298" s="85">
        <f>STATS1003B!I299/1000</f>
        <v>0</v>
      </c>
      <c r="J298" s="85">
        <f>STATS1003B!J299/1000</f>
        <v>717.63391999999999</v>
      </c>
      <c r="K298" s="85">
        <f>STATS1003B!K299/1000</f>
        <v>0</v>
      </c>
      <c r="L298" s="85">
        <f>STATS1003B!L299/1000</f>
        <v>0</v>
      </c>
      <c r="M298" s="85">
        <f>STATS1003B!M299/1000</f>
        <v>717.63391999999999</v>
      </c>
      <c r="N298" s="85">
        <f>STATS1003B!N299/1000</f>
        <v>0</v>
      </c>
      <c r="O298" s="85">
        <f>STATS1003B!O299/1000</f>
        <v>0</v>
      </c>
      <c r="P298" s="85">
        <f>STATS1003B!P299/1000</f>
        <v>0</v>
      </c>
      <c r="Q298" s="85">
        <f>STATS1003B!Q299/1000</f>
        <v>0</v>
      </c>
      <c r="R298" s="85">
        <f>STATS1003B!R299/1000</f>
        <v>0</v>
      </c>
      <c r="S298" s="85">
        <f>STATS1003B!S299/1000</f>
        <v>0</v>
      </c>
      <c r="T298" s="85">
        <f>STATS1003B!T299/1000</f>
        <v>0</v>
      </c>
      <c r="U298" s="85">
        <f>STATS1003B!U299/1000</f>
        <v>0</v>
      </c>
      <c r="V298" s="85">
        <f>STATS1003B!V299/1000</f>
        <v>0</v>
      </c>
      <c r="W298" s="85">
        <f>STATS1003B!W299/1000</f>
        <v>0</v>
      </c>
      <c r="X298" s="85">
        <f t="shared" si="32"/>
        <v>717.63391999999999</v>
      </c>
      <c r="Y298" s="85">
        <f>STATS1003B!Y299/1000</f>
        <v>0</v>
      </c>
      <c r="Z298" s="85">
        <f t="shared" si="34"/>
        <v>0</v>
      </c>
      <c r="AA298" s="69">
        <f>STATS1003B!AA299/1000</f>
        <v>717.63391999999999</v>
      </c>
      <c r="AB298" s="69">
        <f>STATS1003B!AB299/1000</f>
        <v>0</v>
      </c>
    </row>
    <row r="299" spans="1:28" hidden="1" x14ac:dyDescent="0.3">
      <c r="A299" s="117"/>
      <c r="C299" s="68" t="s">
        <v>535</v>
      </c>
      <c r="D299" s="145" t="s">
        <v>108</v>
      </c>
      <c r="E299" s="85">
        <f>STATS1003B!E300/1000</f>
        <v>1507.7940000000001</v>
      </c>
      <c r="F299" s="85">
        <f>STATS1003B!F300/1000</f>
        <v>1507.7940000000001</v>
      </c>
      <c r="G299" s="85">
        <f>STATS1003B!G300/1000</f>
        <v>0</v>
      </c>
      <c r="H299" s="85">
        <f>STATS1003B!H300/1000</f>
        <v>1507.7940000000001</v>
      </c>
      <c r="I299" s="85">
        <f>STATS1003B!I300/1000</f>
        <v>0</v>
      </c>
      <c r="J299" s="85">
        <f>STATS1003B!J300/1000</f>
        <v>1507.7940000000001</v>
      </c>
      <c r="K299" s="85">
        <f>STATS1003B!K300/1000</f>
        <v>0</v>
      </c>
      <c r="L299" s="85">
        <f>STATS1003B!L300/1000</f>
        <v>0</v>
      </c>
      <c r="M299" s="85">
        <f>STATS1003B!M300/1000</f>
        <v>1507.7940000000001</v>
      </c>
      <c r="N299" s="85">
        <f>STATS1003B!N300/1000</f>
        <v>0</v>
      </c>
      <c r="O299" s="85">
        <f>STATS1003B!O300/1000</f>
        <v>0</v>
      </c>
      <c r="P299" s="85">
        <f>STATS1003B!P300/1000</f>
        <v>0</v>
      </c>
      <c r="Q299" s="85">
        <f>STATS1003B!Q300/1000</f>
        <v>0</v>
      </c>
      <c r="R299" s="85">
        <f>STATS1003B!R300/1000</f>
        <v>0</v>
      </c>
      <c r="S299" s="85">
        <f>STATS1003B!S300/1000</f>
        <v>0</v>
      </c>
      <c r="T299" s="85">
        <f>STATS1003B!T300/1000</f>
        <v>0</v>
      </c>
      <c r="U299" s="85">
        <f>STATS1003B!U300/1000</f>
        <v>0</v>
      </c>
      <c r="V299" s="85">
        <f>STATS1003B!V300/1000</f>
        <v>0</v>
      </c>
      <c r="W299" s="85">
        <f>STATS1003B!W300/1000</f>
        <v>0</v>
      </c>
      <c r="X299" s="85">
        <f t="shared" si="32"/>
        <v>1507.7940000000001</v>
      </c>
      <c r="Y299" s="85">
        <f>STATS1003B!Y300/1000</f>
        <v>0</v>
      </c>
      <c r="Z299" s="85">
        <f t="shared" si="34"/>
        <v>0</v>
      </c>
      <c r="AA299" s="69">
        <f>STATS1003B!AA300/1000</f>
        <v>1507.7940000000001</v>
      </c>
      <c r="AB299" s="69">
        <f>STATS1003B!AB300/1000</f>
        <v>0</v>
      </c>
    </row>
    <row r="300" spans="1:28" hidden="1" x14ac:dyDescent="0.3">
      <c r="A300" s="117"/>
      <c r="C300" s="68" t="s">
        <v>535</v>
      </c>
      <c r="D300" s="145" t="s">
        <v>58</v>
      </c>
      <c r="E300" s="85">
        <f>STATS1003B!E301/1000</f>
        <v>8962.7440000000006</v>
      </c>
      <c r="F300" s="85">
        <f>STATS1003B!F301/1000</f>
        <v>6488.9560000000001</v>
      </c>
      <c r="G300" s="85">
        <f>STATS1003B!G301/1000</f>
        <v>0</v>
      </c>
      <c r="H300" s="85">
        <f>STATS1003B!H301/1000</f>
        <v>6488.9560000000001</v>
      </c>
      <c r="I300" s="85">
        <f>STATS1003B!I301/1000</f>
        <v>2473.788</v>
      </c>
      <c r="J300" s="85">
        <f>STATS1003B!J301/1000</f>
        <v>8962.7440000000006</v>
      </c>
      <c r="K300" s="85">
        <f>STATS1003B!K301/1000</f>
        <v>0</v>
      </c>
      <c r="L300" s="85">
        <f>STATS1003B!L301/1000</f>
        <v>2473.788</v>
      </c>
      <c r="M300" s="85">
        <f>STATS1003B!M301/1000</f>
        <v>8962.7440000000006</v>
      </c>
      <c r="N300" s="85">
        <f>STATS1003B!N301/1000</f>
        <v>0</v>
      </c>
      <c r="O300" s="85">
        <f>STATS1003B!O301/1000</f>
        <v>0</v>
      </c>
      <c r="P300" s="85">
        <f>STATS1003B!P301/1000</f>
        <v>0</v>
      </c>
      <c r="Q300" s="85">
        <f>STATS1003B!Q301/1000</f>
        <v>0</v>
      </c>
      <c r="R300" s="85">
        <f>STATS1003B!R301/1000</f>
        <v>0</v>
      </c>
      <c r="S300" s="85">
        <f>STATS1003B!S301/1000</f>
        <v>0</v>
      </c>
      <c r="T300" s="85">
        <f>STATS1003B!T301/1000</f>
        <v>0</v>
      </c>
      <c r="U300" s="85">
        <f>STATS1003B!U301/1000</f>
        <v>0</v>
      </c>
      <c r="V300" s="85">
        <f>STATS1003B!V301/1000</f>
        <v>0</v>
      </c>
      <c r="W300" s="85">
        <f>STATS1003B!W301/1000</f>
        <v>0</v>
      </c>
      <c r="X300" s="85">
        <f t="shared" si="32"/>
        <v>6488.9560000000001</v>
      </c>
      <c r="Y300" s="85">
        <f>STATS1003B!Y301/1000</f>
        <v>0</v>
      </c>
      <c r="Z300" s="85">
        <f t="shared" si="34"/>
        <v>2473.7880000000005</v>
      </c>
      <c r="AA300" s="69">
        <f>STATS1003B!AA301/1000</f>
        <v>8962.7440000000006</v>
      </c>
      <c r="AB300" s="69">
        <f>STATS1003B!AB301/1000</f>
        <v>0</v>
      </c>
    </row>
    <row r="301" spans="1:28" hidden="1" x14ac:dyDescent="0.3">
      <c r="A301" s="117"/>
      <c r="C301" s="68" t="s">
        <v>535</v>
      </c>
      <c r="D301" s="145" t="s">
        <v>60</v>
      </c>
      <c r="E301" s="85">
        <f>STATS1003B!E302/1000</f>
        <v>1672.4090000000001</v>
      </c>
      <c r="F301" s="85">
        <f>STATS1003B!F302/1000</f>
        <v>1672.4090000000001</v>
      </c>
      <c r="G301" s="85">
        <f>STATS1003B!G302/1000</f>
        <v>0</v>
      </c>
      <c r="H301" s="85">
        <f>STATS1003B!H302/1000</f>
        <v>1672.4090000000001</v>
      </c>
      <c r="I301" s="85">
        <f>STATS1003B!I302/1000</f>
        <v>0</v>
      </c>
      <c r="J301" s="85">
        <f>STATS1003B!J302/1000</f>
        <v>1672.4090000000001</v>
      </c>
      <c r="K301" s="85">
        <f>STATS1003B!K302/1000</f>
        <v>0</v>
      </c>
      <c r="L301" s="85">
        <f>STATS1003B!L302/1000</f>
        <v>0</v>
      </c>
      <c r="M301" s="85">
        <f>STATS1003B!M302/1000</f>
        <v>1672.4090000000001</v>
      </c>
      <c r="N301" s="85">
        <f>STATS1003B!N302/1000</f>
        <v>0</v>
      </c>
      <c r="O301" s="85">
        <f>STATS1003B!O302/1000</f>
        <v>0</v>
      </c>
      <c r="P301" s="85">
        <f>STATS1003B!P302/1000</f>
        <v>0</v>
      </c>
      <c r="Q301" s="85">
        <f>STATS1003B!Q302/1000</f>
        <v>0</v>
      </c>
      <c r="R301" s="85">
        <f>STATS1003B!R302/1000</f>
        <v>0</v>
      </c>
      <c r="S301" s="85">
        <f>STATS1003B!S302/1000</f>
        <v>0</v>
      </c>
      <c r="T301" s="85">
        <f>STATS1003B!T302/1000</f>
        <v>0</v>
      </c>
      <c r="U301" s="85">
        <f>STATS1003B!U302/1000</f>
        <v>0</v>
      </c>
      <c r="V301" s="85">
        <f>STATS1003B!V302/1000</f>
        <v>0</v>
      </c>
      <c r="W301" s="85">
        <f>STATS1003B!W302/1000</f>
        <v>0</v>
      </c>
      <c r="X301" s="85">
        <f t="shared" si="32"/>
        <v>1672.4090000000001</v>
      </c>
      <c r="Y301" s="85">
        <f>STATS1003B!Y302/1000</f>
        <v>0</v>
      </c>
      <c r="Z301" s="85">
        <f t="shared" si="34"/>
        <v>0</v>
      </c>
      <c r="AA301" s="69">
        <f>STATS1003B!AA302/1000</f>
        <v>1672.4090000000001</v>
      </c>
      <c r="AB301" s="69">
        <f>STATS1003B!AB302/1000</f>
        <v>0</v>
      </c>
    </row>
    <row r="302" spans="1:28" hidden="1" x14ac:dyDescent="0.3">
      <c r="A302" s="117"/>
      <c r="C302" s="68" t="s">
        <v>561</v>
      </c>
      <c r="D302" s="145" t="s">
        <v>60</v>
      </c>
      <c r="E302" s="85">
        <f>STATS1003B!E303/1000</f>
        <v>1999.8525099999999</v>
      </c>
      <c r="F302" s="85">
        <f>STATS1003B!F303/1000</f>
        <v>1999.8525099999999</v>
      </c>
      <c r="G302" s="85">
        <f>STATS1003B!G303/1000</f>
        <v>0</v>
      </c>
      <c r="H302" s="85">
        <f>STATS1003B!H303/1000</f>
        <v>1999.8525099999999</v>
      </c>
      <c r="I302" s="85">
        <f>STATS1003B!I303/1000</f>
        <v>0</v>
      </c>
      <c r="J302" s="85">
        <f>STATS1003B!J303/1000</f>
        <v>1999.8525099999999</v>
      </c>
      <c r="K302" s="85">
        <f>STATS1003B!K303/1000</f>
        <v>0</v>
      </c>
      <c r="L302" s="85">
        <f>STATS1003B!L303/1000</f>
        <v>0</v>
      </c>
      <c r="M302" s="85">
        <f>STATS1003B!M303/1000</f>
        <v>1999.8525099999999</v>
      </c>
      <c r="N302" s="85">
        <f>STATS1003B!N303/1000</f>
        <v>0</v>
      </c>
      <c r="O302" s="85">
        <f>STATS1003B!O303/1000</f>
        <v>0</v>
      </c>
      <c r="P302" s="85">
        <f>STATS1003B!P303/1000</f>
        <v>0</v>
      </c>
      <c r="Q302" s="85">
        <f>STATS1003B!Q303/1000</f>
        <v>0</v>
      </c>
      <c r="R302" s="85">
        <f>STATS1003B!R303/1000</f>
        <v>0</v>
      </c>
      <c r="S302" s="85">
        <f>STATS1003B!S303/1000</f>
        <v>0</v>
      </c>
      <c r="T302" s="85">
        <f>STATS1003B!T303/1000</f>
        <v>0</v>
      </c>
      <c r="U302" s="85">
        <f>STATS1003B!U303/1000</f>
        <v>0</v>
      </c>
      <c r="V302" s="85">
        <f>STATS1003B!V303/1000</f>
        <v>0</v>
      </c>
      <c r="W302" s="85">
        <f>STATS1003B!W303/1000</f>
        <v>0</v>
      </c>
      <c r="X302" s="85">
        <f t="shared" si="32"/>
        <v>1999.8525099999999</v>
      </c>
      <c r="Y302" s="85">
        <f>STATS1003B!Y303/1000</f>
        <v>0</v>
      </c>
      <c r="Z302" s="85">
        <f t="shared" si="34"/>
        <v>0</v>
      </c>
      <c r="AA302" s="69">
        <f>STATS1003B!AA303/1000</f>
        <v>1999.8525099999999</v>
      </c>
      <c r="AB302" s="69">
        <f>STATS1003B!AB303/1000</f>
        <v>0</v>
      </c>
    </row>
    <row r="303" spans="1:28" hidden="1" x14ac:dyDescent="0.3">
      <c r="A303" s="117"/>
      <c r="C303" s="68" t="s">
        <v>535</v>
      </c>
      <c r="D303" s="145" t="s">
        <v>73</v>
      </c>
      <c r="E303" s="85">
        <f>STATS1003B!E304/1000</f>
        <v>4988</v>
      </c>
      <c r="F303" s="85">
        <f>STATS1003B!F304/1000</f>
        <v>4988</v>
      </c>
      <c r="G303" s="85">
        <f>STATS1003B!G304/1000</f>
        <v>0</v>
      </c>
      <c r="H303" s="85">
        <f>STATS1003B!H304/1000</f>
        <v>4988</v>
      </c>
      <c r="I303" s="85">
        <f>STATS1003B!I304/1000</f>
        <v>0</v>
      </c>
      <c r="J303" s="85">
        <f>STATS1003B!J304/1000</f>
        <v>4988</v>
      </c>
      <c r="K303" s="85">
        <f>STATS1003B!K304/1000</f>
        <v>0</v>
      </c>
      <c r="L303" s="85">
        <f>STATS1003B!L304/1000</f>
        <v>0</v>
      </c>
      <c r="M303" s="85">
        <f>STATS1003B!M304/1000</f>
        <v>4988</v>
      </c>
      <c r="N303" s="85">
        <f>STATS1003B!N304/1000</f>
        <v>0</v>
      </c>
      <c r="O303" s="85">
        <f>STATS1003B!O304/1000</f>
        <v>0</v>
      </c>
      <c r="P303" s="85">
        <f>STATS1003B!P304/1000</f>
        <v>0</v>
      </c>
      <c r="Q303" s="85">
        <f>STATS1003B!Q304/1000</f>
        <v>0</v>
      </c>
      <c r="R303" s="85">
        <f>STATS1003B!R304/1000</f>
        <v>0</v>
      </c>
      <c r="S303" s="85">
        <f>STATS1003B!S304/1000</f>
        <v>0</v>
      </c>
      <c r="T303" s="85">
        <f>STATS1003B!T304/1000</f>
        <v>0</v>
      </c>
      <c r="U303" s="85">
        <f>STATS1003B!U304/1000</f>
        <v>0</v>
      </c>
      <c r="V303" s="85">
        <f>STATS1003B!V304/1000</f>
        <v>0</v>
      </c>
      <c r="W303" s="85">
        <f>STATS1003B!W304/1000</f>
        <v>0</v>
      </c>
      <c r="X303" s="85">
        <f t="shared" si="32"/>
        <v>4988</v>
      </c>
      <c r="Y303" s="85">
        <f>STATS1003B!Y304/1000</f>
        <v>0</v>
      </c>
      <c r="Z303" s="85">
        <f t="shared" si="34"/>
        <v>0</v>
      </c>
      <c r="AA303" s="69">
        <f>STATS1003B!AA304/1000</f>
        <v>4988</v>
      </c>
      <c r="AB303" s="69">
        <f>STATS1003B!AB304/1000</f>
        <v>0</v>
      </c>
    </row>
    <row r="304" spans="1:28" hidden="1" x14ac:dyDescent="0.3">
      <c r="A304" s="117"/>
      <c r="C304" s="71" t="s">
        <v>549</v>
      </c>
      <c r="D304" s="88" t="s">
        <v>73</v>
      </c>
      <c r="E304" s="85">
        <f>STATS1003B!E305/1000</f>
        <v>500</v>
      </c>
      <c r="F304" s="85">
        <f>STATS1003B!F305/1000</f>
        <v>500</v>
      </c>
      <c r="G304" s="85">
        <f>STATS1003B!G305/1000</f>
        <v>0</v>
      </c>
      <c r="H304" s="85">
        <f>STATS1003B!H305/1000</f>
        <v>500</v>
      </c>
      <c r="I304" s="85">
        <f>STATS1003B!I305/1000</f>
        <v>0</v>
      </c>
      <c r="J304" s="85">
        <f>STATS1003B!J305/1000</f>
        <v>500</v>
      </c>
      <c r="K304" s="85">
        <f>STATS1003B!K305/1000</f>
        <v>0</v>
      </c>
      <c r="L304" s="85">
        <f>STATS1003B!L305/1000</f>
        <v>0</v>
      </c>
      <c r="M304" s="85">
        <f>STATS1003B!M305/1000</f>
        <v>500</v>
      </c>
      <c r="N304" s="85">
        <f>STATS1003B!N305/1000</f>
        <v>0</v>
      </c>
      <c r="O304" s="85">
        <f>STATS1003B!O305/1000</f>
        <v>0</v>
      </c>
      <c r="P304" s="85">
        <f>STATS1003B!P305/1000</f>
        <v>0</v>
      </c>
      <c r="Q304" s="85">
        <f>STATS1003B!Q305/1000</f>
        <v>0</v>
      </c>
      <c r="R304" s="85">
        <f>STATS1003B!R305/1000</f>
        <v>0</v>
      </c>
      <c r="S304" s="85">
        <f>STATS1003B!S305/1000</f>
        <v>0</v>
      </c>
      <c r="T304" s="85">
        <f>STATS1003B!T305/1000</f>
        <v>0</v>
      </c>
      <c r="U304" s="85">
        <f>STATS1003B!U305/1000</f>
        <v>0</v>
      </c>
      <c r="V304" s="85">
        <f>STATS1003B!V305/1000</f>
        <v>0</v>
      </c>
      <c r="W304" s="85">
        <f>STATS1003B!W305/1000</f>
        <v>0</v>
      </c>
      <c r="X304" s="85">
        <f t="shared" si="32"/>
        <v>500</v>
      </c>
      <c r="Y304" s="85">
        <f>STATS1003B!Y305/1000</f>
        <v>0</v>
      </c>
      <c r="Z304" s="85">
        <f t="shared" si="34"/>
        <v>0</v>
      </c>
      <c r="AA304" s="69">
        <f>STATS1003B!AA305/1000</f>
        <v>500</v>
      </c>
      <c r="AB304" s="69">
        <f>STATS1003B!AB305/1000</f>
        <v>0</v>
      </c>
    </row>
    <row r="305" spans="1:28" hidden="1" x14ac:dyDescent="0.3">
      <c r="A305" s="117"/>
      <c r="C305" s="68" t="s">
        <v>535</v>
      </c>
      <c r="D305" s="145" t="s">
        <v>61</v>
      </c>
      <c r="E305" s="85">
        <f>STATS1003B!E306/1000</f>
        <v>2042.03223</v>
      </c>
      <c r="F305" s="85">
        <f>STATS1003B!F306/1000</f>
        <v>2042.03223</v>
      </c>
      <c r="G305" s="85">
        <f>STATS1003B!G306/1000</f>
        <v>0</v>
      </c>
      <c r="H305" s="85">
        <f>STATS1003B!H306/1000</f>
        <v>2042.03223</v>
      </c>
      <c r="I305" s="85">
        <f>STATS1003B!I306/1000</f>
        <v>0</v>
      </c>
      <c r="J305" s="85">
        <f>STATS1003B!J306/1000</f>
        <v>2042.03223</v>
      </c>
      <c r="K305" s="85">
        <f>STATS1003B!K306/1000</f>
        <v>0</v>
      </c>
      <c r="L305" s="85">
        <f>STATS1003B!L306/1000</f>
        <v>0</v>
      </c>
      <c r="M305" s="85">
        <f>STATS1003B!M306/1000</f>
        <v>2042.03223</v>
      </c>
      <c r="N305" s="85">
        <f>STATS1003B!N306/1000</f>
        <v>0</v>
      </c>
      <c r="O305" s="85">
        <f>STATS1003B!O306/1000</f>
        <v>0</v>
      </c>
      <c r="P305" s="85">
        <f>STATS1003B!P306/1000</f>
        <v>0</v>
      </c>
      <c r="Q305" s="85">
        <f>STATS1003B!Q306/1000</f>
        <v>0</v>
      </c>
      <c r="R305" s="85">
        <f>STATS1003B!R306/1000</f>
        <v>0</v>
      </c>
      <c r="S305" s="85">
        <f>STATS1003B!S306/1000</f>
        <v>0</v>
      </c>
      <c r="T305" s="85">
        <f>STATS1003B!T306/1000</f>
        <v>0</v>
      </c>
      <c r="U305" s="85">
        <f>STATS1003B!U306/1000</f>
        <v>0</v>
      </c>
      <c r="V305" s="85">
        <f>STATS1003B!V306/1000</f>
        <v>0</v>
      </c>
      <c r="W305" s="85">
        <f>STATS1003B!W306/1000</f>
        <v>0</v>
      </c>
      <c r="X305" s="85">
        <f t="shared" si="32"/>
        <v>2042.03223</v>
      </c>
      <c r="Y305" s="85">
        <f>STATS1003B!Y306/1000</f>
        <v>0</v>
      </c>
      <c r="Z305" s="85">
        <f t="shared" si="34"/>
        <v>0</v>
      </c>
      <c r="AA305" s="69">
        <f>STATS1003B!AA306/1000</f>
        <v>2042.03223</v>
      </c>
      <c r="AB305" s="69">
        <f>STATS1003B!AB306/1000</f>
        <v>0</v>
      </c>
    </row>
    <row r="306" spans="1:28" hidden="1" x14ac:dyDescent="0.3">
      <c r="A306" s="117"/>
      <c r="C306" s="93" t="s">
        <v>933</v>
      </c>
      <c r="D306" s="90" t="s">
        <v>1072</v>
      </c>
      <c r="E306" s="85">
        <f>STATS1003B!E307/1000</f>
        <v>5307.5079599999999</v>
      </c>
      <c r="F306" s="85">
        <f>STATS1003B!F307/1000</f>
        <v>5307.5079599999999</v>
      </c>
      <c r="G306" s="85">
        <f>STATS1003B!G307/1000</f>
        <v>0</v>
      </c>
      <c r="H306" s="85">
        <f>STATS1003B!H307/1000</f>
        <v>5307.5079599999999</v>
      </c>
      <c r="I306" s="85">
        <f>STATS1003B!I307/1000</f>
        <v>0</v>
      </c>
      <c r="J306" s="85">
        <f>STATS1003B!J307/1000</f>
        <v>0</v>
      </c>
      <c r="K306" s="85">
        <f>STATS1003B!K307/1000</f>
        <v>0</v>
      </c>
      <c r="L306" s="85">
        <f>STATS1003B!L307/1000</f>
        <v>0</v>
      </c>
      <c r="M306" s="85">
        <f>STATS1003B!M307/1000</f>
        <v>5307.5079599999999</v>
      </c>
      <c r="N306" s="85">
        <f>STATS1003B!N307/1000</f>
        <v>0</v>
      </c>
      <c r="O306" s="85">
        <f>STATS1003B!O307/1000</f>
        <v>0</v>
      </c>
      <c r="P306" s="85">
        <f>STATS1003B!P307/1000</f>
        <v>0</v>
      </c>
      <c r="Q306" s="85">
        <f>STATS1003B!Q307/1000</f>
        <v>0</v>
      </c>
      <c r="R306" s="85">
        <f>STATS1003B!R307/1000</f>
        <v>0</v>
      </c>
      <c r="S306" s="85">
        <f>STATS1003B!S307/1000</f>
        <v>0</v>
      </c>
      <c r="T306" s="85">
        <f>STATS1003B!T307/1000</f>
        <v>0</v>
      </c>
      <c r="U306" s="85">
        <f>STATS1003B!U307/1000</f>
        <v>0</v>
      </c>
      <c r="V306" s="85">
        <f>STATS1003B!V307/1000</f>
        <v>0</v>
      </c>
      <c r="W306" s="85">
        <f>STATS1003B!W307/1000</f>
        <v>0</v>
      </c>
      <c r="X306" s="85">
        <f t="shared" si="32"/>
        <v>5307.5079599999999</v>
      </c>
      <c r="Y306" s="85">
        <f>STATS1003B!Y307/1000</f>
        <v>0</v>
      </c>
      <c r="Z306" s="85">
        <f t="shared" si="34"/>
        <v>0</v>
      </c>
      <c r="AA306" s="69">
        <f>STATS1003B!AA307/1000</f>
        <v>5307.5079599999999</v>
      </c>
      <c r="AB306" s="69">
        <f>STATS1003B!AB307/1000</f>
        <v>0</v>
      </c>
    </row>
    <row r="307" spans="1:28" hidden="1" x14ac:dyDescent="0.3">
      <c r="A307" s="117"/>
      <c r="C307" s="68" t="s">
        <v>1201</v>
      </c>
      <c r="D307" s="90" t="s">
        <v>1126</v>
      </c>
      <c r="E307" s="85">
        <f>STATS1003B!E308/1000</f>
        <v>1897.0810300000001</v>
      </c>
      <c r="F307" s="85">
        <f>STATS1003B!F308/1000</f>
        <v>1897.0810300000001</v>
      </c>
      <c r="G307" s="85">
        <f>STATS1003B!G308/1000</f>
        <v>0</v>
      </c>
      <c r="H307" s="85">
        <f>STATS1003B!H308/1000</f>
        <v>1897.0810300000001</v>
      </c>
      <c r="I307" s="85">
        <f>STATS1003B!I308/1000</f>
        <v>0</v>
      </c>
      <c r="J307" s="85">
        <f>STATS1003B!J308/1000</f>
        <v>0</v>
      </c>
      <c r="K307" s="85">
        <f>STATS1003B!K308/1000</f>
        <v>0</v>
      </c>
      <c r="L307" s="85">
        <f>STATS1003B!L308/1000</f>
        <v>0</v>
      </c>
      <c r="M307" s="85">
        <f>STATS1003B!M308/1000</f>
        <v>1897.0810300000001</v>
      </c>
      <c r="N307" s="85">
        <f>STATS1003B!N308/1000</f>
        <v>0</v>
      </c>
      <c r="O307" s="85">
        <f>STATS1003B!O308/1000</f>
        <v>0</v>
      </c>
      <c r="P307" s="85">
        <f>STATS1003B!P308/1000</f>
        <v>0</v>
      </c>
      <c r="Q307" s="85">
        <f>STATS1003B!Q308/1000</f>
        <v>0</v>
      </c>
      <c r="R307" s="85">
        <f>STATS1003B!R308/1000</f>
        <v>0</v>
      </c>
      <c r="S307" s="85">
        <f>STATS1003B!S308/1000</f>
        <v>0</v>
      </c>
      <c r="T307" s="85">
        <f>STATS1003B!T308/1000</f>
        <v>0</v>
      </c>
      <c r="U307" s="85">
        <f>STATS1003B!U308/1000</f>
        <v>0</v>
      </c>
      <c r="V307" s="85">
        <f>STATS1003B!V308/1000</f>
        <v>0</v>
      </c>
      <c r="W307" s="85">
        <f>STATS1003B!W308/1000</f>
        <v>0</v>
      </c>
      <c r="X307" s="85">
        <f t="shared" si="32"/>
        <v>1897.0810300000001</v>
      </c>
      <c r="Y307" s="85">
        <f>STATS1003B!Y308/1000</f>
        <v>0</v>
      </c>
      <c r="Z307" s="85">
        <f t="shared" si="34"/>
        <v>0</v>
      </c>
      <c r="AA307" s="69">
        <f>STATS1003B!AA308/1000</f>
        <v>1897.0810300000001</v>
      </c>
      <c r="AB307" s="69">
        <f>STATS1003B!AB308/1000</f>
        <v>0</v>
      </c>
    </row>
    <row r="308" spans="1:28" hidden="1" x14ac:dyDescent="0.3">
      <c r="A308" s="117"/>
      <c r="C308" s="68" t="s">
        <v>550</v>
      </c>
      <c r="E308" s="85">
        <f>STATS1003B!E309/1000</f>
        <v>306.92021999999997</v>
      </c>
      <c r="F308" s="85">
        <f>STATS1003B!F309/1000</f>
        <v>0</v>
      </c>
      <c r="G308" s="85">
        <f>STATS1003B!G309/1000</f>
        <v>0</v>
      </c>
      <c r="H308" s="85">
        <f>STATS1003B!H309/1000</f>
        <v>0</v>
      </c>
      <c r="I308" s="85">
        <f>STATS1003B!I309/1000</f>
        <v>0</v>
      </c>
      <c r="J308" s="85">
        <f>STATS1003B!J309/1000</f>
        <v>0</v>
      </c>
      <c r="K308" s="85">
        <f>STATS1003B!K309/1000</f>
        <v>306.92021999999997</v>
      </c>
      <c r="L308" s="85">
        <f>STATS1003B!L309/1000</f>
        <v>0</v>
      </c>
      <c r="M308" s="85">
        <f>STATS1003B!M309/1000</f>
        <v>0</v>
      </c>
      <c r="N308" s="85">
        <f>STATS1003B!N309/1000</f>
        <v>306.92021999999997</v>
      </c>
      <c r="O308" s="85">
        <f>STATS1003B!O309/1000</f>
        <v>0</v>
      </c>
      <c r="P308" s="85">
        <f>STATS1003B!P309/1000</f>
        <v>306.92021999999997</v>
      </c>
      <c r="Q308" s="85">
        <f>STATS1003B!Q309/1000</f>
        <v>0</v>
      </c>
      <c r="R308" s="85">
        <f>STATS1003B!R309/1000</f>
        <v>0</v>
      </c>
      <c r="S308" s="85">
        <f>STATS1003B!S309/1000</f>
        <v>0</v>
      </c>
      <c r="T308" s="85">
        <f>STATS1003B!T309/1000</f>
        <v>0</v>
      </c>
      <c r="U308" s="85">
        <f>STATS1003B!U309/1000</f>
        <v>306.92021999999997</v>
      </c>
      <c r="V308" s="85">
        <f>STATS1003B!V309/1000</f>
        <v>0</v>
      </c>
      <c r="W308" s="85">
        <f>STATS1003B!W309/1000</f>
        <v>0</v>
      </c>
      <c r="X308" s="85">
        <f t="shared" si="32"/>
        <v>306.92021999999997</v>
      </c>
      <c r="Y308" s="85">
        <f>STATS1003B!Y309/1000</f>
        <v>0</v>
      </c>
      <c r="Z308" s="85">
        <f t="shared" si="34"/>
        <v>0</v>
      </c>
      <c r="AA308" s="69">
        <f>STATS1003B!AA309/1000</f>
        <v>306.92021999999997</v>
      </c>
      <c r="AB308" s="69">
        <f>STATS1003B!AB309/1000</f>
        <v>0</v>
      </c>
    </row>
    <row r="309" spans="1:28" hidden="1" x14ac:dyDescent="0.3">
      <c r="A309" s="117"/>
      <c r="C309" s="68" t="s">
        <v>562</v>
      </c>
      <c r="E309" s="85">
        <f>STATS1003B!E310/1000</f>
        <v>792.11599999999999</v>
      </c>
      <c r="F309" s="85">
        <f>STATS1003B!F310/1000</f>
        <v>792.11599999999999</v>
      </c>
      <c r="G309" s="85">
        <f>STATS1003B!G310/1000</f>
        <v>0</v>
      </c>
      <c r="H309" s="85">
        <f>STATS1003B!H310/1000</f>
        <v>792.11599999999999</v>
      </c>
      <c r="I309" s="85">
        <f>STATS1003B!I310/1000</f>
        <v>0</v>
      </c>
      <c r="J309" s="85">
        <f>STATS1003B!J310/1000</f>
        <v>792.11599999999999</v>
      </c>
      <c r="K309" s="85">
        <f>STATS1003B!K310/1000</f>
        <v>0</v>
      </c>
      <c r="L309" s="85">
        <f>STATS1003B!L310/1000</f>
        <v>0</v>
      </c>
      <c r="M309" s="85">
        <f>STATS1003B!M310/1000</f>
        <v>792.11599999999999</v>
      </c>
      <c r="N309" s="85">
        <f>STATS1003B!N310/1000</f>
        <v>0</v>
      </c>
      <c r="O309" s="85">
        <f>STATS1003B!O310/1000</f>
        <v>0</v>
      </c>
      <c r="P309" s="85">
        <f>STATS1003B!P310/1000</f>
        <v>0</v>
      </c>
      <c r="Q309" s="85">
        <f>STATS1003B!Q310/1000</f>
        <v>0</v>
      </c>
      <c r="R309" s="85">
        <f>STATS1003B!R310/1000</f>
        <v>0</v>
      </c>
      <c r="S309" s="85">
        <f>STATS1003B!S310/1000</f>
        <v>0</v>
      </c>
      <c r="T309" s="85">
        <f>STATS1003B!T310/1000</f>
        <v>0</v>
      </c>
      <c r="U309" s="85">
        <f>STATS1003B!U310/1000</f>
        <v>0</v>
      </c>
      <c r="V309" s="85">
        <f>STATS1003B!V310/1000</f>
        <v>0</v>
      </c>
      <c r="W309" s="85">
        <f>STATS1003B!W310/1000</f>
        <v>0</v>
      </c>
      <c r="X309" s="85">
        <f t="shared" si="32"/>
        <v>792.11599999999999</v>
      </c>
      <c r="Y309" s="85">
        <f>STATS1003B!Y310/1000</f>
        <v>0</v>
      </c>
      <c r="Z309" s="85">
        <f t="shared" si="34"/>
        <v>0</v>
      </c>
      <c r="AA309" s="69">
        <f>STATS1003B!AA310/1000</f>
        <v>792.11599999999999</v>
      </c>
      <c r="AB309" s="69">
        <f>STATS1003B!AB310/1000</f>
        <v>0</v>
      </c>
    </row>
    <row r="310" spans="1:28" hidden="1" x14ac:dyDescent="0.3">
      <c r="A310" s="117"/>
      <c r="C310" s="68" t="s">
        <v>543</v>
      </c>
      <c r="E310" s="85">
        <f>STATS1003B!E311/1000</f>
        <v>7500</v>
      </c>
      <c r="F310" s="85">
        <f>STATS1003B!F311/1000</f>
        <v>7500</v>
      </c>
      <c r="G310" s="85">
        <f>STATS1003B!G311/1000</f>
        <v>0</v>
      </c>
      <c r="H310" s="85">
        <f>STATS1003B!H311/1000</f>
        <v>7500</v>
      </c>
      <c r="I310" s="85">
        <f>STATS1003B!I311/1000</f>
        <v>0</v>
      </c>
      <c r="J310" s="85">
        <f>STATS1003B!J311/1000</f>
        <v>7500</v>
      </c>
      <c r="K310" s="85">
        <f>STATS1003B!K311/1000</f>
        <v>0</v>
      </c>
      <c r="L310" s="85">
        <f>STATS1003B!L311/1000</f>
        <v>0</v>
      </c>
      <c r="M310" s="85">
        <f>STATS1003B!M311/1000</f>
        <v>7500</v>
      </c>
      <c r="N310" s="85">
        <f>STATS1003B!N311/1000</f>
        <v>0</v>
      </c>
      <c r="O310" s="85">
        <f>STATS1003B!O311/1000</f>
        <v>0</v>
      </c>
      <c r="P310" s="85">
        <f>STATS1003B!P311/1000</f>
        <v>0</v>
      </c>
      <c r="Q310" s="85">
        <f>STATS1003B!Q311/1000</f>
        <v>0</v>
      </c>
      <c r="R310" s="85">
        <f>STATS1003B!R311/1000</f>
        <v>0</v>
      </c>
      <c r="S310" s="85">
        <f>STATS1003B!S311/1000</f>
        <v>0</v>
      </c>
      <c r="T310" s="85">
        <f>STATS1003B!T311/1000</f>
        <v>0</v>
      </c>
      <c r="U310" s="85">
        <f>STATS1003B!U311/1000</f>
        <v>0</v>
      </c>
      <c r="V310" s="85">
        <f>STATS1003B!V311/1000</f>
        <v>0</v>
      </c>
      <c r="W310" s="85">
        <f>STATS1003B!W311/1000</f>
        <v>0</v>
      </c>
      <c r="X310" s="85">
        <f t="shared" si="32"/>
        <v>7500</v>
      </c>
      <c r="Y310" s="85">
        <f>STATS1003B!Y311/1000</f>
        <v>0</v>
      </c>
      <c r="Z310" s="85">
        <f t="shared" si="34"/>
        <v>0</v>
      </c>
      <c r="AA310" s="69">
        <f>STATS1003B!AA311/1000</f>
        <v>7500</v>
      </c>
      <c r="AB310" s="69">
        <f>STATS1003B!AB311/1000</f>
        <v>0</v>
      </c>
    </row>
    <row r="311" spans="1:28" hidden="1" x14ac:dyDescent="0.3">
      <c r="A311" s="117"/>
      <c r="E311" s="86" t="s">
        <v>29</v>
      </c>
      <c r="F311" s="86" t="s">
        <v>29</v>
      </c>
      <c r="G311" s="86" t="s">
        <v>29</v>
      </c>
      <c r="H311" s="86" t="s">
        <v>29</v>
      </c>
      <c r="I311" s="86" t="s">
        <v>29</v>
      </c>
      <c r="J311" s="86" t="s">
        <v>29</v>
      </c>
      <c r="K311" s="86" t="s">
        <v>29</v>
      </c>
      <c r="L311" s="86" t="s">
        <v>29</v>
      </c>
      <c r="M311" s="86" t="s">
        <v>29</v>
      </c>
      <c r="N311" s="86" t="s">
        <v>29</v>
      </c>
      <c r="O311" s="86" t="s">
        <v>29</v>
      </c>
      <c r="P311" s="86" t="s">
        <v>29</v>
      </c>
      <c r="Q311" s="86" t="s">
        <v>29</v>
      </c>
      <c r="R311" s="86" t="s">
        <v>29</v>
      </c>
      <c r="S311" s="86" t="s">
        <v>29</v>
      </c>
      <c r="T311" s="86" t="s">
        <v>29</v>
      </c>
      <c r="U311" s="86" t="s">
        <v>29</v>
      </c>
      <c r="V311" s="86" t="s">
        <v>29</v>
      </c>
      <c r="W311" s="86" t="s">
        <v>29</v>
      </c>
      <c r="X311" s="85" t="e">
        <f t="shared" si="32"/>
        <v>#VALUE!</v>
      </c>
      <c r="Y311" s="86" t="s">
        <v>29</v>
      </c>
      <c r="Z311" s="85" t="e">
        <f t="shared" si="34"/>
        <v>#VALUE!</v>
      </c>
      <c r="AA311" s="115" t="s">
        <v>29</v>
      </c>
      <c r="AB311" s="115" t="s">
        <v>29</v>
      </c>
    </row>
    <row r="312" spans="1:28" x14ac:dyDescent="0.3">
      <c r="A312" s="116" t="s">
        <v>947</v>
      </c>
      <c r="B312" s="68" t="s">
        <v>552</v>
      </c>
      <c r="E312" s="85">
        <f>133010145.82/1000</f>
        <v>133010.14582000001</v>
      </c>
      <c r="F312" s="85">
        <f t="shared" ref="F312:Q312" si="35">SUM(F283:F311)</f>
        <v>59463.19339</v>
      </c>
      <c r="G312" s="85">
        <f t="shared" si="35"/>
        <v>0</v>
      </c>
      <c r="H312" s="85">
        <f>122327801.36/1000</f>
        <v>122327.80136</v>
      </c>
      <c r="I312" s="85">
        <f t="shared" si="35"/>
        <v>2473.788</v>
      </c>
      <c r="J312" s="85">
        <f t="shared" si="35"/>
        <v>54732.392399999997</v>
      </c>
      <c r="K312" s="85">
        <f t="shared" si="35"/>
        <v>7490.9225399999987</v>
      </c>
      <c r="L312" s="85">
        <f t="shared" si="35"/>
        <v>2473.788</v>
      </c>
      <c r="M312" s="85">
        <f t="shared" si="35"/>
        <v>61936.981390000001</v>
      </c>
      <c r="N312" s="85">
        <f t="shared" si="35"/>
        <v>7490.9225399999987</v>
      </c>
      <c r="O312" s="85">
        <f t="shared" si="35"/>
        <v>0</v>
      </c>
      <c r="P312" s="85">
        <f>7490922/1000</f>
        <v>7490.9219999999996</v>
      </c>
      <c r="Q312" s="85">
        <f t="shared" si="35"/>
        <v>0</v>
      </c>
      <c r="R312" s="86"/>
      <c r="S312" s="86"/>
      <c r="T312" s="85">
        <f>SUM(T283:T311)</f>
        <v>0</v>
      </c>
      <c r="U312" s="85">
        <f>SUM(U283:U311)</f>
        <v>7490.9225399999987</v>
      </c>
      <c r="V312" s="85">
        <f>SUM(V283:V311)</f>
        <v>0</v>
      </c>
      <c r="W312" s="85">
        <f>SUM(W283:W311)</f>
        <v>0</v>
      </c>
      <c r="X312" s="85">
        <f>+H312+P312</f>
        <v>129818.72336</v>
      </c>
      <c r="Y312" s="85">
        <f>SUM(Y283:Y311)</f>
        <v>0</v>
      </c>
      <c r="Z312" s="85">
        <f t="shared" si="34"/>
        <v>3191.4224600000016</v>
      </c>
      <c r="AA312" s="69">
        <f>SUM(AA283:AA311)</f>
        <v>69427.90393</v>
      </c>
      <c r="AB312" s="69">
        <f>SUM(AB283:AB311)</f>
        <v>717.63391999999999</v>
      </c>
    </row>
    <row r="313" spans="1:28" hidden="1" x14ac:dyDescent="0.3">
      <c r="A313" s="117"/>
      <c r="E313" s="86" t="s">
        <v>29</v>
      </c>
      <c r="F313" s="86" t="s">
        <v>29</v>
      </c>
      <c r="G313" s="86" t="s">
        <v>29</v>
      </c>
      <c r="H313" s="86" t="s">
        <v>29</v>
      </c>
      <c r="I313" s="86" t="s">
        <v>29</v>
      </c>
      <c r="J313" s="86" t="s">
        <v>29</v>
      </c>
      <c r="K313" s="86" t="s">
        <v>29</v>
      </c>
      <c r="L313" s="86" t="s">
        <v>29</v>
      </c>
      <c r="M313" s="86" t="s">
        <v>29</v>
      </c>
      <c r="N313" s="86" t="s">
        <v>29</v>
      </c>
      <c r="O313" s="86" t="s">
        <v>29</v>
      </c>
      <c r="P313" s="86" t="s">
        <v>29</v>
      </c>
      <c r="Q313" s="86" t="s">
        <v>29</v>
      </c>
      <c r="R313" s="86" t="s">
        <v>29</v>
      </c>
      <c r="S313" s="86" t="s">
        <v>29</v>
      </c>
      <c r="T313" s="86" t="s">
        <v>29</v>
      </c>
      <c r="U313" s="86" t="s">
        <v>29</v>
      </c>
      <c r="V313" s="86" t="s">
        <v>29</v>
      </c>
      <c r="W313" s="86" t="s">
        <v>29</v>
      </c>
      <c r="X313" s="85" t="e">
        <f t="shared" si="32"/>
        <v>#VALUE!</v>
      </c>
      <c r="Y313" s="86" t="s">
        <v>29</v>
      </c>
      <c r="Z313" s="85" t="e">
        <f t="shared" si="34"/>
        <v>#VALUE!</v>
      </c>
      <c r="AA313" s="115" t="s">
        <v>29</v>
      </c>
      <c r="AB313" s="115" t="s">
        <v>29</v>
      </c>
    </row>
    <row r="314" spans="1:28" hidden="1" x14ac:dyDescent="0.3">
      <c r="A314" s="105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6"/>
      <c r="S314" s="86"/>
      <c r="T314" s="94"/>
      <c r="U314" s="94"/>
      <c r="V314" s="94"/>
      <c r="W314" s="94"/>
      <c r="X314" s="85">
        <f t="shared" si="32"/>
        <v>0</v>
      </c>
      <c r="Y314" s="94"/>
      <c r="Z314" s="85">
        <f t="shared" si="34"/>
        <v>0</v>
      </c>
      <c r="AA314" s="118"/>
    </row>
    <row r="315" spans="1:28" hidden="1" x14ac:dyDescent="0.3">
      <c r="A315" s="117"/>
      <c r="C315" s="68" t="s">
        <v>564</v>
      </c>
      <c r="D315" s="145" t="s">
        <v>76</v>
      </c>
      <c r="E315" s="85">
        <f>STATS1003B!E316/1000</f>
        <v>537</v>
      </c>
      <c r="F315" s="85">
        <f>STATS1003B!F316/1000</f>
        <v>0</v>
      </c>
      <c r="G315" s="85">
        <f>STATS1003B!G316/1000</f>
        <v>0</v>
      </c>
      <c r="H315" s="85">
        <f>STATS1003B!H316/1000</f>
        <v>0</v>
      </c>
      <c r="I315" s="85">
        <f>STATS1003B!I316/1000</f>
        <v>0</v>
      </c>
      <c r="J315" s="85">
        <f>STATS1003B!J316/1000</f>
        <v>0</v>
      </c>
      <c r="K315" s="85">
        <f>STATS1003B!K316/1000</f>
        <v>172.89044000000001</v>
      </c>
      <c r="L315" s="85">
        <f>STATS1003B!L316/1000</f>
        <v>0</v>
      </c>
      <c r="M315" s="85">
        <f>STATS1003B!M316/1000</f>
        <v>0</v>
      </c>
      <c r="N315" s="85">
        <f>STATS1003B!N316/1000</f>
        <v>172.89044000000001</v>
      </c>
      <c r="O315" s="85">
        <f>STATS1003B!O316/1000</f>
        <v>0</v>
      </c>
      <c r="P315" s="85">
        <f>STATS1003B!P316/1000</f>
        <v>172.89044000000001</v>
      </c>
      <c r="Q315" s="85">
        <f>STATS1003B!Q316/1000</f>
        <v>0</v>
      </c>
      <c r="R315" s="85">
        <f>STATS1003B!R316/1000</f>
        <v>0</v>
      </c>
      <c r="S315" s="85">
        <f>STATS1003B!S316/1000</f>
        <v>0</v>
      </c>
      <c r="T315" s="85">
        <f>STATS1003B!T316/1000</f>
        <v>0</v>
      </c>
      <c r="U315" s="85">
        <f>STATS1003B!U316/1000</f>
        <v>172.89044000000001</v>
      </c>
      <c r="V315" s="85">
        <f>STATS1003B!V316/1000</f>
        <v>0</v>
      </c>
      <c r="W315" s="85">
        <f>STATS1003B!W316/1000</f>
        <v>0</v>
      </c>
      <c r="X315" s="85">
        <f t="shared" si="32"/>
        <v>172.89044000000001</v>
      </c>
      <c r="Y315" s="85">
        <f>STATS1003B!Y316/1000</f>
        <v>0</v>
      </c>
      <c r="Z315" s="85">
        <f t="shared" si="34"/>
        <v>364.10955999999999</v>
      </c>
      <c r="AA315" s="69">
        <f>STATS1003B!AA316/1000</f>
        <v>172.89044000000001</v>
      </c>
      <c r="AB315" s="69">
        <f>STATS1003B!AB316/1000</f>
        <v>364.10955999999999</v>
      </c>
    </row>
    <row r="316" spans="1:28" hidden="1" x14ac:dyDescent="0.3">
      <c r="A316" s="117"/>
      <c r="C316" s="68" t="s">
        <v>565</v>
      </c>
      <c r="D316" s="145" t="s">
        <v>150</v>
      </c>
      <c r="E316" s="85">
        <f>STATS1003B!E317/1000</f>
        <v>1088.77711</v>
      </c>
      <c r="F316" s="85">
        <f>STATS1003B!F317/1000</f>
        <v>519.4216100000001</v>
      </c>
      <c r="G316" s="85">
        <f>STATS1003B!G317/1000</f>
        <v>0</v>
      </c>
      <c r="H316" s="85">
        <f>STATS1003B!H317/1000</f>
        <v>519.4216100000001</v>
      </c>
      <c r="I316" s="85">
        <f>STATS1003B!I317/1000</f>
        <v>0</v>
      </c>
      <c r="J316" s="85">
        <f>STATS1003B!J317/1000</f>
        <v>519.4216100000001</v>
      </c>
      <c r="K316" s="85">
        <f>STATS1003B!K317/1000</f>
        <v>569.35550000000001</v>
      </c>
      <c r="L316" s="85">
        <f>STATS1003B!L317/1000</f>
        <v>0</v>
      </c>
      <c r="M316" s="85">
        <f>STATS1003B!M317/1000</f>
        <v>519.4216100000001</v>
      </c>
      <c r="N316" s="85">
        <f>STATS1003B!N317/1000</f>
        <v>569.35550000000001</v>
      </c>
      <c r="O316" s="85">
        <f>STATS1003B!O317/1000</f>
        <v>0</v>
      </c>
      <c r="P316" s="85">
        <f>STATS1003B!P317/1000</f>
        <v>569.35550000000001</v>
      </c>
      <c r="Q316" s="85">
        <f>STATS1003B!Q317/1000</f>
        <v>0</v>
      </c>
      <c r="R316" s="85">
        <f>STATS1003B!R317/1000</f>
        <v>0</v>
      </c>
      <c r="S316" s="85">
        <f>STATS1003B!S317/1000</f>
        <v>0</v>
      </c>
      <c r="T316" s="85">
        <f>STATS1003B!T317/1000</f>
        <v>0</v>
      </c>
      <c r="U316" s="85">
        <f>STATS1003B!U317/1000</f>
        <v>569.35550000000001</v>
      </c>
      <c r="V316" s="85">
        <f>STATS1003B!V317/1000</f>
        <v>0</v>
      </c>
      <c r="W316" s="85">
        <f>STATS1003B!W317/1000</f>
        <v>0</v>
      </c>
      <c r="X316" s="85">
        <f t="shared" si="32"/>
        <v>1088.77711</v>
      </c>
      <c r="Y316" s="85">
        <f>STATS1003B!Y317/1000</f>
        <v>0</v>
      </c>
      <c r="Z316" s="85">
        <f t="shared" si="34"/>
        <v>0</v>
      </c>
      <c r="AA316" s="69">
        <f>STATS1003B!AA317/1000</f>
        <v>1088.77711</v>
      </c>
      <c r="AB316" s="69">
        <f>STATS1003B!AB317/1000</f>
        <v>0</v>
      </c>
    </row>
    <row r="317" spans="1:28" hidden="1" x14ac:dyDescent="0.3">
      <c r="A317" s="117"/>
      <c r="C317" s="68" t="s">
        <v>539</v>
      </c>
      <c r="D317" s="145" t="s">
        <v>68</v>
      </c>
      <c r="E317" s="85">
        <f>STATS1003B!E318/1000</f>
        <v>4462.9641999999994</v>
      </c>
      <c r="F317" s="85">
        <f>STATS1003B!F318/1000</f>
        <v>0</v>
      </c>
      <c r="G317" s="85">
        <f>STATS1003B!G318/1000</f>
        <v>0</v>
      </c>
      <c r="H317" s="85">
        <f>STATS1003B!H318/1000</f>
        <v>0</v>
      </c>
      <c r="I317" s="85">
        <f>STATS1003B!I318/1000</f>
        <v>0</v>
      </c>
      <c r="J317" s="85">
        <f>STATS1003B!J318/1000</f>
        <v>0</v>
      </c>
      <c r="K317" s="85">
        <f>STATS1003B!K318/1000</f>
        <v>4462.9642000000003</v>
      </c>
      <c r="L317" s="85">
        <f>STATS1003B!L318/1000</f>
        <v>0</v>
      </c>
      <c r="M317" s="85">
        <f>STATS1003B!M318/1000</f>
        <v>0</v>
      </c>
      <c r="N317" s="85">
        <f>STATS1003B!N318/1000</f>
        <v>4462.9642000000003</v>
      </c>
      <c r="O317" s="85">
        <f>STATS1003B!O318/1000</f>
        <v>0</v>
      </c>
      <c r="P317" s="85">
        <f>STATS1003B!P318/1000</f>
        <v>4462.9642000000003</v>
      </c>
      <c r="Q317" s="85">
        <f>STATS1003B!Q318/1000</f>
        <v>0</v>
      </c>
      <c r="R317" s="85">
        <f>STATS1003B!R318/1000</f>
        <v>0</v>
      </c>
      <c r="S317" s="85">
        <f>STATS1003B!S318/1000</f>
        <v>0</v>
      </c>
      <c r="T317" s="85">
        <f>STATS1003B!T318/1000</f>
        <v>0</v>
      </c>
      <c r="U317" s="85">
        <f>STATS1003B!U318/1000</f>
        <v>4462.9642000000003</v>
      </c>
      <c r="V317" s="85">
        <f>STATS1003B!V318/1000</f>
        <v>0</v>
      </c>
      <c r="W317" s="85">
        <f>STATS1003B!W318/1000</f>
        <v>0</v>
      </c>
      <c r="X317" s="85">
        <f t="shared" si="32"/>
        <v>4462.9642000000003</v>
      </c>
      <c r="Y317" s="85">
        <f>STATS1003B!Y318/1000</f>
        <v>0</v>
      </c>
      <c r="Z317" s="85">
        <f t="shared" si="34"/>
        <v>0</v>
      </c>
      <c r="AA317" s="69">
        <f>STATS1003B!AA318/1000</f>
        <v>4462.9642000000003</v>
      </c>
      <c r="AB317" s="69">
        <f>STATS1003B!AB318/1000</f>
        <v>0</v>
      </c>
    </row>
    <row r="318" spans="1:28" hidden="1" x14ac:dyDescent="0.3">
      <c r="A318" s="117"/>
      <c r="C318" s="68" t="s">
        <v>535</v>
      </c>
      <c r="D318" s="145" t="s">
        <v>68</v>
      </c>
      <c r="E318" s="85">
        <f>STATS1003B!E319/1000</f>
        <v>942.803</v>
      </c>
      <c r="F318" s="85">
        <f>STATS1003B!F319/1000</f>
        <v>942.803</v>
      </c>
      <c r="G318" s="85">
        <f>STATS1003B!G319/1000</f>
        <v>0</v>
      </c>
      <c r="H318" s="85">
        <f>STATS1003B!H319/1000</f>
        <v>942.803</v>
      </c>
      <c r="I318" s="85">
        <f>STATS1003B!I319/1000</f>
        <v>0</v>
      </c>
      <c r="J318" s="85">
        <f>STATS1003B!J319/1000</f>
        <v>942.803</v>
      </c>
      <c r="K318" s="85">
        <f>STATS1003B!K319/1000</f>
        <v>0</v>
      </c>
      <c r="L318" s="85">
        <f>STATS1003B!L319/1000</f>
        <v>0</v>
      </c>
      <c r="M318" s="85">
        <f>STATS1003B!M319/1000</f>
        <v>942.803</v>
      </c>
      <c r="N318" s="85">
        <f>STATS1003B!N319/1000</f>
        <v>0</v>
      </c>
      <c r="O318" s="85">
        <f>STATS1003B!O319/1000</f>
        <v>0</v>
      </c>
      <c r="P318" s="85">
        <f>STATS1003B!P319/1000</f>
        <v>0</v>
      </c>
      <c r="Q318" s="85">
        <f>STATS1003B!Q319/1000</f>
        <v>0</v>
      </c>
      <c r="R318" s="85">
        <f>STATS1003B!R319/1000</f>
        <v>0</v>
      </c>
      <c r="S318" s="85">
        <f>STATS1003B!S319/1000</f>
        <v>0</v>
      </c>
      <c r="T318" s="85">
        <f>STATS1003B!T319/1000</f>
        <v>0</v>
      </c>
      <c r="U318" s="85">
        <f>STATS1003B!U319/1000</f>
        <v>0</v>
      </c>
      <c r="V318" s="85">
        <f>STATS1003B!V319/1000</f>
        <v>0</v>
      </c>
      <c r="W318" s="85">
        <f>STATS1003B!W319/1000</f>
        <v>0</v>
      </c>
      <c r="X318" s="85">
        <f t="shared" si="32"/>
        <v>942.803</v>
      </c>
      <c r="Y318" s="85">
        <f>STATS1003B!Y319/1000</f>
        <v>0</v>
      </c>
      <c r="Z318" s="85">
        <f t="shared" si="34"/>
        <v>0</v>
      </c>
      <c r="AA318" s="69">
        <f>STATS1003B!AA319/1000</f>
        <v>942.803</v>
      </c>
      <c r="AB318" s="69">
        <f>STATS1003B!AB319/1000</f>
        <v>0</v>
      </c>
    </row>
    <row r="319" spans="1:28" hidden="1" x14ac:dyDescent="0.3">
      <c r="A319" s="117"/>
      <c r="C319" s="68" t="s">
        <v>545</v>
      </c>
      <c r="D319" s="145" t="s">
        <v>54</v>
      </c>
      <c r="E319" s="85">
        <f>STATS1003B!E320/1000</f>
        <v>1953.989</v>
      </c>
      <c r="F319" s="85">
        <f>STATS1003B!F320/1000</f>
        <v>0</v>
      </c>
      <c r="G319" s="85">
        <f>STATS1003B!G320/1000</f>
        <v>0</v>
      </c>
      <c r="H319" s="85">
        <f>STATS1003B!H320/1000</f>
        <v>0</v>
      </c>
      <c r="I319" s="85">
        <f>STATS1003B!I320/1000</f>
        <v>0</v>
      </c>
      <c r="J319" s="85">
        <f>STATS1003B!J320/1000</f>
        <v>0</v>
      </c>
      <c r="K319" s="85">
        <f>STATS1003B!K320/1000</f>
        <v>1953.989</v>
      </c>
      <c r="L319" s="85">
        <f>STATS1003B!L320/1000</f>
        <v>0</v>
      </c>
      <c r="M319" s="85">
        <f>STATS1003B!M320/1000</f>
        <v>0</v>
      </c>
      <c r="N319" s="85">
        <f>STATS1003B!N320/1000</f>
        <v>1953.989</v>
      </c>
      <c r="O319" s="85">
        <f>STATS1003B!O320/1000</f>
        <v>0</v>
      </c>
      <c r="P319" s="85">
        <f>STATS1003B!P320/1000</f>
        <v>1953.989</v>
      </c>
      <c r="Q319" s="85">
        <f>STATS1003B!Q320/1000</f>
        <v>0</v>
      </c>
      <c r="R319" s="85">
        <f>STATS1003B!R320/1000</f>
        <v>0</v>
      </c>
      <c r="S319" s="85">
        <f>STATS1003B!S320/1000</f>
        <v>0</v>
      </c>
      <c r="T319" s="85">
        <f>STATS1003B!T320/1000</f>
        <v>0</v>
      </c>
      <c r="U319" s="85">
        <f>STATS1003B!U320/1000</f>
        <v>1953.989</v>
      </c>
      <c r="V319" s="85">
        <f>STATS1003B!V320/1000</f>
        <v>0</v>
      </c>
      <c r="W319" s="85">
        <f>STATS1003B!W320/1000</f>
        <v>0</v>
      </c>
      <c r="X319" s="85">
        <f t="shared" si="32"/>
        <v>1953.989</v>
      </c>
      <c r="Y319" s="85">
        <f>STATS1003B!Y320/1000</f>
        <v>0</v>
      </c>
      <c r="Z319" s="85">
        <f t="shared" si="34"/>
        <v>0</v>
      </c>
      <c r="AA319" s="69">
        <f>STATS1003B!AA320/1000</f>
        <v>1953.989</v>
      </c>
      <c r="AB319" s="69">
        <f>STATS1003B!AB320/1000</f>
        <v>0</v>
      </c>
    </row>
    <row r="320" spans="1:28" hidden="1" x14ac:dyDescent="0.3">
      <c r="A320" s="117"/>
      <c r="C320" s="68" t="s">
        <v>557</v>
      </c>
      <c r="D320" s="145" t="s">
        <v>54</v>
      </c>
      <c r="E320" s="85">
        <f>STATS1003B!E321/1000</f>
        <v>605.25</v>
      </c>
      <c r="F320" s="85">
        <f>STATS1003B!F321/1000</f>
        <v>605.25</v>
      </c>
      <c r="G320" s="85">
        <f>STATS1003B!G321/1000</f>
        <v>0</v>
      </c>
      <c r="H320" s="85">
        <f>STATS1003B!H321/1000</f>
        <v>605.25</v>
      </c>
      <c r="I320" s="85">
        <f>STATS1003B!I321/1000</f>
        <v>0</v>
      </c>
      <c r="J320" s="85">
        <f>STATS1003B!J321/1000</f>
        <v>605.25</v>
      </c>
      <c r="K320" s="85">
        <f>STATS1003B!K321/1000</f>
        <v>0</v>
      </c>
      <c r="L320" s="85">
        <f>STATS1003B!L321/1000</f>
        <v>0</v>
      </c>
      <c r="M320" s="85">
        <f>STATS1003B!M321/1000</f>
        <v>605.25</v>
      </c>
      <c r="N320" s="85">
        <f>STATS1003B!N321/1000</f>
        <v>0</v>
      </c>
      <c r="O320" s="85">
        <f>STATS1003B!O321/1000</f>
        <v>0</v>
      </c>
      <c r="P320" s="85">
        <f>STATS1003B!P321/1000</f>
        <v>0</v>
      </c>
      <c r="Q320" s="85">
        <f>STATS1003B!Q321/1000</f>
        <v>0</v>
      </c>
      <c r="R320" s="85">
        <f>STATS1003B!R321/1000</f>
        <v>0</v>
      </c>
      <c r="S320" s="85">
        <f>STATS1003B!S321/1000</f>
        <v>0</v>
      </c>
      <c r="T320" s="85">
        <f>STATS1003B!T321/1000</f>
        <v>0</v>
      </c>
      <c r="U320" s="85">
        <f>STATS1003B!U321/1000</f>
        <v>0</v>
      </c>
      <c r="V320" s="85">
        <f>STATS1003B!V321/1000</f>
        <v>0</v>
      </c>
      <c r="W320" s="85">
        <f>STATS1003B!W321/1000</f>
        <v>0</v>
      </c>
      <c r="X320" s="85">
        <f t="shared" si="32"/>
        <v>605.25</v>
      </c>
      <c r="Y320" s="85">
        <f>STATS1003B!Y321/1000</f>
        <v>0</v>
      </c>
      <c r="Z320" s="85">
        <f t="shared" si="34"/>
        <v>0</v>
      </c>
      <c r="AA320" s="69">
        <f>STATS1003B!AA321/1000</f>
        <v>605.25</v>
      </c>
      <c r="AB320" s="69">
        <f>STATS1003B!AB321/1000</f>
        <v>0</v>
      </c>
    </row>
    <row r="321" spans="1:28" hidden="1" x14ac:dyDescent="0.3">
      <c r="A321" s="117"/>
      <c r="C321" s="68" t="s">
        <v>535</v>
      </c>
      <c r="D321" s="145" t="s">
        <v>85</v>
      </c>
      <c r="E321" s="85">
        <f>STATS1003B!E322/1000</f>
        <v>2211.65</v>
      </c>
      <c r="F321" s="85">
        <f>STATS1003B!F322/1000</f>
        <v>2211.65</v>
      </c>
      <c r="G321" s="85">
        <f>STATS1003B!G322/1000</f>
        <v>0</v>
      </c>
      <c r="H321" s="85">
        <f>STATS1003B!H322/1000</f>
        <v>2211.65</v>
      </c>
      <c r="I321" s="85">
        <f>STATS1003B!I322/1000</f>
        <v>0</v>
      </c>
      <c r="J321" s="85">
        <f>STATS1003B!J322/1000</f>
        <v>2211.65</v>
      </c>
      <c r="K321" s="85">
        <f>STATS1003B!K322/1000</f>
        <v>0</v>
      </c>
      <c r="L321" s="85">
        <f>STATS1003B!L322/1000</f>
        <v>0</v>
      </c>
      <c r="M321" s="85">
        <f>STATS1003B!M322/1000</f>
        <v>2211.65</v>
      </c>
      <c r="N321" s="85">
        <f>STATS1003B!N322/1000</f>
        <v>0</v>
      </c>
      <c r="O321" s="85">
        <f>STATS1003B!O322/1000</f>
        <v>0</v>
      </c>
      <c r="P321" s="85">
        <f>STATS1003B!P322/1000</f>
        <v>0</v>
      </c>
      <c r="Q321" s="85">
        <f>STATS1003B!Q322/1000</f>
        <v>0</v>
      </c>
      <c r="R321" s="85">
        <f>STATS1003B!R322/1000</f>
        <v>0</v>
      </c>
      <c r="S321" s="85">
        <f>STATS1003B!S322/1000</f>
        <v>0</v>
      </c>
      <c r="T321" s="85">
        <f>STATS1003B!T322/1000</f>
        <v>0</v>
      </c>
      <c r="U321" s="85">
        <f>STATS1003B!U322/1000</f>
        <v>0</v>
      </c>
      <c r="V321" s="85">
        <f>STATS1003B!V322/1000</f>
        <v>0</v>
      </c>
      <c r="W321" s="85">
        <f>STATS1003B!W322/1000</f>
        <v>0</v>
      </c>
      <c r="X321" s="85">
        <f t="shared" si="32"/>
        <v>2211.65</v>
      </c>
      <c r="Y321" s="85">
        <f>STATS1003B!Y322/1000</f>
        <v>0</v>
      </c>
      <c r="Z321" s="85">
        <f t="shared" si="34"/>
        <v>0</v>
      </c>
      <c r="AA321" s="69">
        <f>STATS1003B!AA322/1000</f>
        <v>2211.65</v>
      </c>
      <c r="AB321" s="69">
        <f>STATS1003B!AB322/1000</f>
        <v>0</v>
      </c>
    </row>
    <row r="322" spans="1:28" hidden="1" x14ac:dyDescent="0.3">
      <c r="A322" s="117"/>
      <c r="C322" s="68" t="s">
        <v>566</v>
      </c>
      <c r="D322" s="145" t="s">
        <v>128</v>
      </c>
      <c r="E322" s="85">
        <f>STATS1003B!E323/1000</f>
        <v>549.9</v>
      </c>
      <c r="F322" s="85">
        <f>STATS1003B!F323/1000</f>
        <v>549.9</v>
      </c>
      <c r="G322" s="85">
        <f>STATS1003B!G323/1000</f>
        <v>0</v>
      </c>
      <c r="H322" s="85">
        <f>STATS1003B!H323/1000</f>
        <v>549.9</v>
      </c>
      <c r="I322" s="85">
        <f>STATS1003B!I323/1000</f>
        <v>0</v>
      </c>
      <c r="J322" s="85">
        <f>STATS1003B!J323/1000</f>
        <v>549.9</v>
      </c>
      <c r="K322" s="85">
        <f>STATS1003B!K323/1000</f>
        <v>0</v>
      </c>
      <c r="L322" s="85">
        <f>STATS1003B!L323/1000</f>
        <v>0</v>
      </c>
      <c r="M322" s="85">
        <f>STATS1003B!M323/1000</f>
        <v>549.9</v>
      </c>
      <c r="N322" s="85">
        <f>STATS1003B!N323/1000</f>
        <v>0</v>
      </c>
      <c r="O322" s="85">
        <f>STATS1003B!O323/1000</f>
        <v>0</v>
      </c>
      <c r="P322" s="85">
        <f>STATS1003B!P323/1000</f>
        <v>0</v>
      </c>
      <c r="Q322" s="85">
        <f>STATS1003B!Q323/1000</f>
        <v>0</v>
      </c>
      <c r="R322" s="85">
        <f>STATS1003B!R323/1000</f>
        <v>0</v>
      </c>
      <c r="S322" s="85">
        <f>STATS1003B!S323/1000</f>
        <v>0</v>
      </c>
      <c r="T322" s="85">
        <f>STATS1003B!T323/1000</f>
        <v>0</v>
      </c>
      <c r="U322" s="85">
        <f>STATS1003B!U323/1000</f>
        <v>0</v>
      </c>
      <c r="V322" s="85">
        <f>STATS1003B!V323/1000</f>
        <v>0</v>
      </c>
      <c r="W322" s="85">
        <f>STATS1003B!W323/1000</f>
        <v>0</v>
      </c>
      <c r="X322" s="85">
        <f t="shared" si="32"/>
        <v>549.9</v>
      </c>
      <c r="Y322" s="85">
        <f>STATS1003B!Y323/1000</f>
        <v>0</v>
      </c>
      <c r="Z322" s="85">
        <f t="shared" si="34"/>
        <v>0</v>
      </c>
      <c r="AA322" s="69">
        <f>STATS1003B!AA323/1000</f>
        <v>549.9</v>
      </c>
      <c r="AB322" s="69">
        <f>STATS1003B!AB323/1000</f>
        <v>0</v>
      </c>
    </row>
    <row r="323" spans="1:28" hidden="1" x14ac:dyDescent="0.3">
      <c r="A323" s="117"/>
      <c r="C323" s="68" t="s">
        <v>535</v>
      </c>
      <c r="D323" s="145" t="s">
        <v>108</v>
      </c>
      <c r="E323" s="85">
        <f>STATS1003B!E324/1000</f>
        <v>3000</v>
      </c>
      <c r="F323" s="85">
        <f>STATS1003B!F324/1000</f>
        <v>3000</v>
      </c>
      <c r="G323" s="85">
        <f>STATS1003B!G324/1000</f>
        <v>0</v>
      </c>
      <c r="H323" s="85">
        <f>STATS1003B!H324/1000</f>
        <v>3000</v>
      </c>
      <c r="I323" s="85">
        <f>STATS1003B!I324/1000</f>
        <v>0</v>
      </c>
      <c r="J323" s="85">
        <f>STATS1003B!J324/1000</f>
        <v>3000</v>
      </c>
      <c r="K323" s="85">
        <f>STATS1003B!K324/1000</f>
        <v>0</v>
      </c>
      <c r="L323" s="85">
        <f>STATS1003B!L324/1000</f>
        <v>0</v>
      </c>
      <c r="M323" s="85">
        <f>STATS1003B!M324/1000</f>
        <v>3000</v>
      </c>
      <c r="N323" s="85">
        <f>STATS1003B!N324/1000</f>
        <v>0</v>
      </c>
      <c r="O323" s="85">
        <f>STATS1003B!O324/1000</f>
        <v>0</v>
      </c>
      <c r="P323" s="85">
        <f>STATS1003B!P324/1000</f>
        <v>0</v>
      </c>
      <c r="Q323" s="85">
        <f>STATS1003B!Q324/1000</f>
        <v>0</v>
      </c>
      <c r="R323" s="85">
        <f>STATS1003B!R324/1000</f>
        <v>0</v>
      </c>
      <c r="S323" s="85">
        <f>STATS1003B!S324/1000</f>
        <v>0</v>
      </c>
      <c r="T323" s="85">
        <f>STATS1003B!T324/1000</f>
        <v>0</v>
      </c>
      <c r="U323" s="85">
        <f>STATS1003B!U324/1000</f>
        <v>0</v>
      </c>
      <c r="V323" s="85">
        <f>STATS1003B!V324/1000</f>
        <v>0</v>
      </c>
      <c r="W323" s="85">
        <f>STATS1003B!W324/1000</f>
        <v>0</v>
      </c>
      <c r="X323" s="85">
        <f t="shared" si="32"/>
        <v>3000</v>
      </c>
      <c r="Y323" s="85">
        <f>STATS1003B!Y324/1000</f>
        <v>0</v>
      </c>
      <c r="Z323" s="85">
        <f t="shared" si="34"/>
        <v>0</v>
      </c>
      <c r="AA323" s="69">
        <f>STATS1003B!AA324/1000</f>
        <v>3000</v>
      </c>
      <c r="AB323" s="69">
        <f>STATS1003B!AB324/1000</f>
        <v>0</v>
      </c>
    </row>
    <row r="324" spans="1:28" hidden="1" x14ac:dyDescent="0.3">
      <c r="A324" s="117"/>
      <c r="C324" s="68" t="s">
        <v>535</v>
      </c>
      <c r="D324" s="88" t="s">
        <v>60</v>
      </c>
      <c r="E324" s="85">
        <f>STATS1003B!E325/1000</f>
        <v>3356.37</v>
      </c>
      <c r="F324" s="85">
        <f>STATS1003B!F325/1000</f>
        <v>3356.37</v>
      </c>
      <c r="G324" s="85">
        <f>STATS1003B!G325/1000</f>
        <v>0</v>
      </c>
      <c r="H324" s="85">
        <f>STATS1003B!H325/1000</f>
        <v>3356.37</v>
      </c>
      <c r="I324" s="85">
        <f>STATS1003B!I325/1000</f>
        <v>0</v>
      </c>
      <c r="J324" s="85">
        <f>STATS1003B!J325/1000</f>
        <v>3356.37</v>
      </c>
      <c r="K324" s="85">
        <f>STATS1003B!K325/1000</f>
        <v>0</v>
      </c>
      <c r="L324" s="85">
        <f>STATS1003B!L325/1000</f>
        <v>0</v>
      </c>
      <c r="M324" s="85">
        <f>STATS1003B!M325/1000</f>
        <v>3356.37</v>
      </c>
      <c r="N324" s="85">
        <f>STATS1003B!N325/1000</f>
        <v>0</v>
      </c>
      <c r="O324" s="85">
        <f>STATS1003B!O325/1000</f>
        <v>0</v>
      </c>
      <c r="P324" s="85">
        <f>STATS1003B!P325/1000</f>
        <v>0</v>
      </c>
      <c r="Q324" s="85">
        <f>STATS1003B!Q325/1000</f>
        <v>0</v>
      </c>
      <c r="R324" s="85">
        <f>STATS1003B!R325/1000</f>
        <v>0</v>
      </c>
      <c r="S324" s="85">
        <f>STATS1003B!S325/1000</f>
        <v>0</v>
      </c>
      <c r="T324" s="85">
        <f>STATS1003B!T325/1000</f>
        <v>0</v>
      </c>
      <c r="U324" s="85">
        <f>STATS1003B!U325/1000</f>
        <v>0</v>
      </c>
      <c r="V324" s="85">
        <f>STATS1003B!V325/1000</f>
        <v>0</v>
      </c>
      <c r="W324" s="85">
        <f>STATS1003B!W325/1000</f>
        <v>0</v>
      </c>
      <c r="X324" s="85">
        <f t="shared" si="32"/>
        <v>3356.37</v>
      </c>
      <c r="Y324" s="85">
        <f>STATS1003B!Y325/1000</f>
        <v>0</v>
      </c>
      <c r="Z324" s="85">
        <f t="shared" si="34"/>
        <v>0</v>
      </c>
      <c r="AA324" s="69">
        <f>STATS1003B!AA325/1000</f>
        <v>3356.37</v>
      </c>
      <c r="AB324" s="69">
        <f>STATS1003B!AB325/1000</f>
        <v>0</v>
      </c>
    </row>
    <row r="325" spans="1:28" hidden="1" x14ac:dyDescent="0.3">
      <c r="A325" s="117"/>
      <c r="C325" s="71" t="s">
        <v>535</v>
      </c>
      <c r="D325" s="88" t="s">
        <v>73</v>
      </c>
      <c r="E325" s="85">
        <f>STATS1003B!E326/1000</f>
        <v>1809.88023</v>
      </c>
      <c r="F325" s="85">
        <f>STATS1003B!F326/1000</f>
        <v>1809.88023</v>
      </c>
      <c r="G325" s="85">
        <f>STATS1003B!G326/1000</f>
        <v>0</v>
      </c>
      <c r="H325" s="85">
        <f>STATS1003B!H326/1000</f>
        <v>1809.88023</v>
      </c>
      <c r="I325" s="85">
        <f>STATS1003B!I326/1000</f>
        <v>0</v>
      </c>
      <c r="J325" s="85">
        <f>STATS1003B!J326/1000</f>
        <v>1809.88023</v>
      </c>
      <c r="K325" s="85">
        <f>STATS1003B!K326/1000</f>
        <v>0</v>
      </c>
      <c r="L325" s="85">
        <f>STATS1003B!L326/1000</f>
        <v>0</v>
      </c>
      <c r="M325" s="85">
        <f>STATS1003B!M326/1000</f>
        <v>1809.88023</v>
      </c>
      <c r="N325" s="85">
        <f>STATS1003B!N326/1000</f>
        <v>0</v>
      </c>
      <c r="O325" s="85">
        <f>STATS1003B!O326/1000</f>
        <v>0</v>
      </c>
      <c r="P325" s="85">
        <f>STATS1003B!P326/1000</f>
        <v>0</v>
      </c>
      <c r="Q325" s="85">
        <f>STATS1003B!Q326/1000</f>
        <v>0</v>
      </c>
      <c r="R325" s="85">
        <f>STATS1003B!R326/1000</f>
        <v>0</v>
      </c>
      <c r="S325" s="85">
        <f>STATS1003B!S326/1000</f>
        <v>0</v>
      </c>
      <c r="T325" s="85">
        <f>STATS1003B!T326/1000</f>
        <v>0</v>
      </c>
      <c r="U325" s="85">
        <f>STATS1003B!U326/1000</f>
        <v>0</v>
      </c>
      <c r="V325" s="85">
        <f>STATS1003B!V326/1000</f>
        <v>0</v>
      </c>
      <c r="W325" s="85">
        <f>STATS1003B!W326/1000</f>
        <v>0</v>
      </c>
      <c r="X325" s="85">
        <f t="shared" ref="X325:X388" si="36">+H325+P325</f>
        <v>1809.88023</v>
      </c>
      <c r="Y325" s="85">
        <f>STATS1003B!Y326/1000</f>
        <v>0</v>
      </c>
      <c r="Z325" s="85">
        <f t="shared" si="34"/>
        <v>0</v>
      </c>
      <c r="AA325" s="69">
        <f>STATS1003B!AA326/1000</f>
        <v>1809.88023</v>
      </c>
      <c r="AB325" s="69">
        <f>STATS1003B!AB326/1000</f>
        <v>0</v>
      </c>
    </row>
    <row r="326" spans="1:28" hidden="1" x14ac:dyDescent="0.3">
      <c r="A326" s="117"/>
      <c r="C326" s="71" t="s">
        <v>535</v>
      </c>
      <c r="D326" s="88" t="s">
        <v>61</v>
      </c>
      <c r="E326" s="85">
        <f>STATS1003B!E327/1000</f>
        <v>1839.5187700000001</v>
      </c>
      <c r="F326" s="85">
        <f>STATS1003B!F327/1000</f>
        <v>1768.53386</v>
      </c>
      <c r="G326" s="85">
        <f>STATS1003B!G327/1000</f>
        <v>0</v>
      </c>
      <c r="H326" s="85">
        <f>STATS1003B!H327/1000</f>
        <v>1768.53386</v>
      </c>
      <c r="I326" s="85">
        <f>STATS1003B!I327/1000</f>
        <v>0</v>
      </c>
      <c r="J326" s="85">
        <f>STATS1003B!J327/1000</f>
        <v>1768.53386</v>
      </c>
      <c r="K326" s="85">
        <f>STATS1003B!K327/1000</f>
        <v>0</v>
      </c>
      <c r="L326" s="85">
        <f>STATS1003B!L327/1000</f>
        <v>0</v>
      </c>
      <c r="M326" s="85">
        <f>STATS1003B!M327/1000</f>
        <v>1768.53386</v>
      </c>
      <c r="N326" s="85">
        <f>STATS1003B!N327/1000</f>
        <v>0</v>
      </c>
      <c r="O326" s="85">
        <f>STATS1003B!O327/1000</f>
        <v>0</v>
      </c>
      <c r="P326" s="85">
        <f>STATS1003B!P327/1000</f>
        <v>0</v>
      </c>
      <c r="Q326" s="85">
        <f>STATS1003B!Q327/1000</f>
        <v>0</v>
      </c>
      <c r="R326" s="85">
        <f>STATS1003B!R327/1000</f>
        <v>0</v>
      </c>
      <c r="S326" s="85">
        <f>STATS1003B!S327/1000</f>
        <v>0</v>
      </c>
      <c r="T326" s="85">
        <f>STATS1003B!T327/1000</f>
        <v>70.984909999999999</v>
      </c>
      <c r="U326" s="85">
        <f>STATS1003B!U327/1000</f>
        <v>70.984909999999999</v>
      </c>
      <c r="V326" s="85">
        <f>STATS1003B!V327/1000</f>
        <v>0</v>
      </c>
      <c r="W326" s="85">
        <f>STATS1003B!W327/1000</f>
        <v>0</v>
      </c>
      <c r="X326" s="85">
        <f t="shared" si="36"/>
        <v>1768.53386</v>
      </c>
      <c r="Y326" s="85">
        <f>STATS1003B!Y327/1000</f>
        <v>0</v>
      </c>
      <c r="Z326" s="85">
        <f t="shared" si="34"/>
        <v>70.984910000000127</v>
      </c>
      <c r="AA326" s="69">
        <f>STATS1003B!AA327/1000</f>
        <v>1839.5187700000001</v>
      </c>
      <c r="AB326" s="69">
        <f>STATS1003B!AB327/1000</f>
        <v>0</v>
      </c>
    </row>
    <row r="327" spans="1:28" hidden="1" x14ac:dyDescent="0.3">
      <c r="A327" s="117"/>
      <c r="C327" s="71" t="s">
        <v>926</v>
      </c>
      <c r="D327" s="88"/>
      <c r="E327" s="85">
        <f>STATS1003B!E328/1000</f>
        <v>892.18883999999991</v>
      </c>
      <c r="F327" s="85">
        <f>STATS1003B!F328/1000</f>
        <v>868.46614</v>
      </c>
      <c r="G327" s="85">
        <f>STATS1003B!G328/1000</f>
        <v>0</v>
      </c>
      <c r="H327" s="85">
        <f>STATS1003B!H328/1000</f>
        <v>868.46614</v>
      </c>
      <c r="I327" s="85">
        <f>STATS1003B!I328/1000</f>
        <v>0</v>
      </c>
      <c r="J327" s="85">
        <f>STATS1003B!J328/1000</f>
        <v>0</v>
      </c>
      <c r="K327" s="85">
        <f>STATS1003B!K328/1000</f>
        <v>0</v>
      </c>
      <c r="L327" s="85">
        <f>STATS1003B!L328/1000</f>
        <v>0</v>
      </c>
      <c r="M327" s="85">
        <f>STATS1003B!M328/1000</f>
        <v>868.46614</v>
      </c>
      <c r="N327" s="85">
        <f>STATS1003B!N328/1000</f>
        <v>23.7227</v>
      </c>
      <c r="O327" s="85">
        <f>STATS1003B!O328/1000</f>
        <v>0</v>
      </c>
      <c r="P327" s="85">
        <f>STATS1003B!P328/1000</f>
        <v>23.7227</v>
      </c>
      <c r="Q327" s="85">
        <f>STATS1003B!Q328/1000</f>
        <v>0</v>
      </c>
      <c r="R327" s="85">
        <f>STATS1003B!R328/1000</f>
        <v>0</v>
      </c>
      <c r="S327" s="85">
        <f>STATS1003B!S328/1000</f>
        <v>0</v>
      </c>
      <c r="T327" s="85">
        <f>STATS1003B!T328/1000</f>
        <v>0</v>
      </c>
      <c r="U327" s="85">
        <f>STATS1003B!U328/1000</f>
        <v>23.7227</v>
      </c>
      <c r="V327" s="85">
        <f>STATS1003B!V328/1000</f>
        <v>0</v>
      </c>
      <c r="W327" s="85">
        <f>STATS1003B!W328/1000</f>
        <v>0</v>
      </c>
      <c r="X327" s="85">
        <f t="shared" si="36"/>
        <v>892.18884000000003</v>
      </c>
      <c r="Y327" s="85">
        <f>STATS1003B!Y328/1000</f>
        <v>0</v>
      </c>
      <c r="Z327" s="85">
        <f t="shared" si="34"/>
        <v>0</v>
      </c>
      <c r="AA327" s="69">
        <f>STATS1003B!AA328/1000</f>
        <v>892.18883999999991</v>
      </c>
      <c r="AB327" s="69">
        <f>STATS1003B!AB328/1000</f>
        <v>0</v>
      </c>
    </row>
    <row r="328" spans="1:28" hidden="1" x14ac:dyDescent="0.3">
      <c r="A328" s="117"/>
      <c r="C328" s="71" t="s">
        <v>567</v>
      </c>
      <c r="D328" s="88" t="s">
        <v>61</v>
      </c>
      <c r="E328" s="85">
        <f>STATS1003B!E329/1000</f>
        <v>502.22015999999996</v>
      </c>
      <c r="F328" s="85">
        <f>STATS1003B!F329/1000</f>
        <v>484.62241999999998</v>
      </c>
      <c r="G328" s="85">
        <f>STATS1003B!G329/1000</f>
        <v>0</v>
      </c>
      <c r="H328" s="85">
        <f>STATS1003B!H329/1000</f>
        <v>484.62241999999998</v>
      </c>
      <c r="I328" s="85">
        <f>STATS1003B!I329/1000</f>
        <v>0</v>
      </c>
      <c r="J328" s="85">
        <f>STATS1003B!J329/1000</f>
        <v>484.62241999999998</v>
      </c>
      <c r="K328" s="85">
        <f>STATS1003B!K329/1000</f>
        <v>0</v>
      </c>
      <c r="L328" s="85">
        <f>STATS1003B!L329/1000</f>
        <v>0</v>
      </c>
      <c r="M328" s="85">
        <f>STATS1003B!M329/1000</f>
        <v>484.62241999999998</v>
      </c>
      <c r="N328" s="85">
        <f>STATS1003B!N329/1000</f>
        <v>0</v>
      </c>
      <c r="O328" s="85">
        <f>STATS1003B!O329/1000</f>
        <v>0</v>
      </c>
      <c r="P328" s="85">
        <f>STATS1003B!P329/1000</f>
        <v>0</v>
      </c>
      <c r="Q328" s="85">
        <f>STATS1003B!Q329/1000</f>
        <v>0</v>
      </c>
      <c r="R328" s="85">
        <f>STATS1003B!R329/1000</f>
        <v>0</v>
      </c>
      <c r="S328" s="85">
        <f>STATS1003B!S329/1000</f>
        <v>0</v>
      </c>
      <c r="T328" s="85">
        <f>STATS1003B!T329/1000</f>
        <v>17.597740000000002</v>
      </c>
      <c r="U328" s="85">
        <f>STATS1003B!U329/1000</f>
        <v>17.597740000000002</v>
      </c>
      <c r="V328" s="85">
        <f>STATS1003B!V329/1000</f>
        <v>0</v>
      </c>
      <c r="W328" s="85">
        <f>STATS1003B!W329/1000</f>
        <v>0</v>
      </c>
      <c r="X328" s="85">
        <f t="shared" si="36"/>
        <v>484.62241999999998</v>
      </c>
      <c r="Y328" s="85">
        <f>STATS1003B!Y329/1000</f>
        <v>0</v>
      </c>
      <c r="Z328" s="85">
        <f t="shared" si="34"/>
        <v>17.597739999999988</v>
      </c>
      <c r="AA328" s="69">
        <f>STATS1003B!AA329/1000</f>
        <v>502.22015999999996</v>
      </c>
      <c r="AB328" s="69">
        <f>STATS1003B!AB329/1000</f>
        <v>0</v>
      </c>
    </row>
    <row r="329" spans="1:28" hidden="1" x14ac:dyDescent="0.3">
      <c r="A329" s="117"/>
      <c r="C329" s="71" t="s">
        <v>568</v>
      </c>
      <c r="E329" s="85">
        <f>STATS1003B!E330/1000</f>
        <v>2838.3505699999996</v>
      </c>
      <c r="F329" s="85">
        <f>STATS1003B!F330/1000</f>
        <v>2838.3505699999996</v>
      </c>
      <c r="G329" s="85">
        <f>STATS1003B!G330/1000</f>
        <v>0</v>
      </c>
      <c r="H329" s="85">
        <f>STATS1003B!H330/1000</f>
        <v>2838.3505699999996</v>
      </c>
      <c r="I329" s="85">
        <f>STATS1003B!I330/1000</f>
        <v>0</v>
      </c>
      <c r="J329" s="85">
        <f>STATS1003B!J330/1000</f>
        <v>2838.3505699999996</v>
      </c>
      <c r="K329" s="85">
        <f>STATS1003B!K330/1000</f>
        <v>0</v>
      </c>
      <c r="L329" s="85">
        <f>STATS1003B!L330/1000</f>
        <v>0</v>
      </c>
      <c r="M329" s="85">
        <f>STATS1003B!M330/1000</f>
        <v>2838.3505699999996</v>
      </c>
      <c r="N329" s="85">
        <f>STATS1003B!N330/1000</f>
        <v>0</v>
      </c>
      <c r="O329" s="85">
        <f>STATS1003B!O330/1000</f>
        <v>0</v>
      </c>
      <c r="P329" s="85">
        <f>STATS1003B!P330/1000</f>
        <v>0</v>
      </c>
      <c r="Q329" s="85">
        <f>STATS1003B!Q330/1000</f>
        <v>0</v>
      </c>
      <c r="R329" s="85">
        <f>STATS1003B!R330/1000</f>
        <v>0</v>
      </c>
      <c r="S329" s="85">
        <f>STATS1003B!S330/1000</f>
        <v>0</v>
      </c>
      <c r="T329" s="85">
        <f>STATS1003B!T330/1000</f>
        <v>0</v>
      </c>
      <c r="U329" s="85">
        <f>STATS1003B!U330/1000</f>
        <v>0</v>
      </c>
      <c r="V329" s="85">
        <f>STATS1003B!V330/1000</f>
        <v>0</v>
      </c>
      <c r="W329" s="85">
        <f>STATS1003B!W330/1000</f>
        <v>0</v>
      </c>
      <c r="X329" s="85">
        <f t="shared" si="36"/>
        <v>2838.3505699999996</v>
      </c>
      <c r="Y329" s="85">
        <f>STATS1003B!Y330/1000</f>
        <v>0</v>
      </c>
      <c r="Z329" s="85">
        <f t="shared" si="34"/>
        <v>0</v>
      </c>
      <c r="AA329" s="69">
        <f>STATS1003B!AA330/1000</f>
        <v>2838.3505699999996</v>
      </c>
      <c r="AB329" s="69">
        <f>STATS1003B!AB330/1000</f>
        <v>0</v>
      </c>
    </row>
    <row r="330" spans="1:28" hidden="1" x14ac:dyDescent="0.3">
      <c r="A330" s="117"/>
      <c r="C330" s="68" t="s">
        <v>569</v>
      </c>
      <c r="E330" s="85">
        <f>STATS1003B!E331/1000</f>
        <v>664.55</v>
      </c>
      <c r="F330" s="85">
        <f>STATS1003B!F331/1000</f>
        <v>664.55</v>
      </c>
      <c r="G330" s="85">
        <f>STATS1003B!G331/1000</f>
        <v>0</v>
      </c>
      <c r="H330" s="85">
        <f>STATS1003B!H331/1000</f>
        <v>664.55</v>
      </c>
      <c r="I330" s="85">
        <f>STATS1003B!I331/1000</f>
        <v>0</v>
      </c>
      <c r="J330" s="85">
        <f>STATS1003B!J331/1000</f>
        <v>664.55</v>
      </c>
      <c r="K330" s="85">
        <f>STATS1003B!K331/1000</f>
        <v>0</v>
      </c>
      <c r="L330" s="85">
        <f>STATS1003B!L331/1000</f>
        <v>0</v>
      </c>
      <c r="M330" s="85">
        <f>STATS1003B!M331/1000</f>
        <v>664.55</v>
      </c>
      <c r="N330" s="85">
        <f>STATS1003B!N331/1000</f>
        <v>0</v>
      </c>
      <c r="O330" s="85">
        <f>STATS1003B!O331/1000</f>
        <v>0</v>
      </c>
      <c r="P330" s="85">
        <f>STATS1003B!P331/1000</f>
        <v>0</v>
      </c>
      <c r="Q330" s="85">
        <f>STATS1003B!Q331/1000</f>
        <v>0</v>
      </c>
      <c r="R330" s="85">
        <f>STATS1003B!R331/1000</f>
        <v>0</v>
      </c>
      <c r="S330" s="85">
        <f>STATS1003B!S331/1000</f>
        <v>0</v>
      </c>
      <c r="T330" s="85">
        <f>STATS1003B!T331/1000</f>
        <v>0</v>
      </c>
      <c r="U330" s="85">
        <f>STATS1003B!U331/1000</f>
        <v>0</v>
      </c>
      <c r="V330" s="85">
        <f>STATS1003B!V331/1000</f>
        <v>0</v>
      </c>
      <c r="W330" s="85">
        <f>STATS1003B!W331/1000</f>
        <v>0</v>
      </c>
      <c r="X330" s="85">
        <f t="shared" si="36"/>
        <v>664.55</v>
      </c>
      <c r="Y330" s="85">
        <f>STATS1003B!Y331/1000</f>
        <v>0</v>
      </c>
      <c r="Z330" s="85">
        <f t="shared" si="34"/>
        <v>0</v>
      </c>
      <c r="AA330" s="69">
        <f>STATS1003B!AA331/1000</f>
        <v>664.55</v>
      </c>
      <c r="AB330" s="69">
        <f>STATS1003B!AB331/1000</f>
        <v>0</v>
      </c>
    </row>
    <row r="331" spans="1:28" hidden="1" x14ac:dyDescent="0.3">
      <c r="A331" s="117"/>
      <c r="C331" s="68" t="s">
        <v>543</v>
      </c>
      <c r="E331" s="85">
        <f>STATS1003B!E332/1000</f>
        <v>4333.5500999999995</v>
      </c>
      <c r="F331" s="85">
        <f>STATS1003B!F332/1000</f>
        <v>4333.5500999999995</v>
      </c>
      <c r="G331" s="85">
        <f>STATS1003B!G332/1000</f>
        <v>0</v>
      </c>
      <c r="H331" s="85">
        <f>STATS1003B!H332/1000</f>
        <v>4333.5500999999995</v>
      </c>
      <c r="I331" s="85">
        <f>STATS1003B!I332/1000</f>
        <v>0</v>
      </c>
      <c r="J331" s="85">
        <f>STATS1003B!J332/1000</f>
        <v>4333.5500999999995</v>
      </c>
      <c r="K331" s="85">
        <f>STATS1003B!K332/1000</f>
        <v>0</v>
      </c>
      <c r="L331" s="85">
        <f>STATS1003B!L332/1000</f>
        <v>0</v>
      </c>
      <c r="M331" s="85">
        <f>STATS1003B!M332/1000</f>
        <v>4333.5500999999995</v>
      </c>
      <c r="N331" s="85">
        <f>STATS1003B!N332/1000</f>
        <v>0</v>
      </c>
      <c r="O331" s="85">
        <f>STATS1003B!O332/1000</f>
        <v>0</v>
      </c>
      <c r="P331" s="85">
        <f>STATS1003B!P332/1000</f>
        <v>0</v>
      </c>
      <c r="Q331" s="85">
        <f>STATS1003B!Q332/1000</f>
        <v>0</v>
      </c>
      <c r="R331" s="85">
        <f>STATS1003B!R332/1000</f>
        <v>0</v>
      </c>
      <c r="S331" s="85">
        <f>STATS1003B!S332/1000</f>
        <v>0</v>
      </c>
      <c r="T331" s="85">
        <f>STATS1003B!T332/1000</f>
        <v>0</v>
      </c>
      <c r="U331" s="85">
        <f>STATS1003B!U332/1000</f>
        <v>0</v>
      </c>
      <c r="V331" s="85">
        <f>STATS1003B!V332/1000</f>
        <v>0</v>
      </c>
      <c r="W331" s="85">
        <f>STATS1003B!W332/1000</f>
        <v>0</v>
      </c>
      <c r="X331" s="85">
        <f t="shared" si="36"/>
        <v>4333.5500999999995</v>
      </c>
      <c r="Y331" s="85">
        <f>STATS1003B!Y332/1000</f>
        <v>0</v>
      </c>
      <c r="Z331" s="85">
        <f t="shared" si="34"/>
        <v>0</v>
      </c>
      <c r="AA331" s="69">
        <f>STATS1003B!AA332/1000</f>
        <v>4333.5500999999995</v>
      </c>
      <c r="AB331" s="69">
        <f>STATS1003B!AB332/1000</f>
        <v>0</v>
      </c>
    </row>
    <row r="332" spans="1:28" hidden="1" x14ac:dyDescent="0.3">
      <c r="A332" s="117"/>
      <c r="E332" s="86" t="s">
        <v>29</v>
      </c>
      <c r="F332" s="86" t="s">
        <v>29</v>
      </c>
      <c r="G332" s="86" t="s">
        <v>29</v>
      </c>
      <c r="H332" s="86" t="s">
        <v>29</v>
      </c>
      <c r="I332" s="86" t="s">
        <v>29</v>
      </c>
      <c r="J332" s="86" t="s">
        <v>29</v>
      </c>
      <c r="K332" s="86" t="s">
        <v>29</v>
      </c>
      <c r="L332" s="86" t="s">
        <v>29</v>
      </c>
      <c r="M332" s="86" t="s">
        <v>29</v>
      </c>
      <c r="N332" s="86" t="s">
        <v>29</v>
      </c>
      <c r="O332" s="86" t="s">
        <v>29</v>
      </c>
      <c r="P332" s="86" t="s">
        <v>29</v>
      </c>
      <c r="Q332" s="86" t="s">
        <v>29</v>
      </c>
      <c r="R332" s="86" t="s">
        <v>29</v>
      </c>
      <c r="S332" s="86" t="s">
        <v>29</v>
      </c>
      <c r="T332" s="86" t="s">
        <v>29</v>
      </c>
      <c r="U332" s="86" t="s">
        <v>29</v>
      </c>
      <c r="V332" s="86" t="s">
        <v>29</v>
      </c>
      <c r="W332" s="86" t="s">
        <v>29</v>
      </c>
      <c r="X332" s="85" t="e">
        <f t="shared" si="36"/>
        <v>#VALUE!</v>
      </c>
      <c r="Y332" s="86" t="s">
        <v>29</v>
      </c>
      <c r="Z332" s="85" t="e">
        <f t="shared" si="34"/>
        <v>#VALUE!</v>
      </c>
      <c r="AA332" s="115" t="s">
        <v>29</v>
      </c>
      <c r="AB332" s="115" t="s">
        <v>29</v>
      </c>
    </row>
    <row r="333" spans="1:28" x14ac:dyDescent="0.3">
      <c r="A333" s="116" t="s">
        <v>948</v>
      </c>
      <c r="B333" s="68" t="s">
        <v>563</v>
      </c>
      <c r="E333" s="85">
        <f>106646200.55/1000</f>
        <v>106646.20054999999</v>
      </c>
      <c r="F333" s="85">
        <f t="shared" ref="F333:Q333" si="37">SUM(F315:F332)</f>
        <v>23953.34793</v>
      </c>
      <c r="G333" s="85">
        <f t="shared" si="37"/>
        <v>0</v>
      </c>
      <c r="H333" s="85">
        <f>99010586.5/1000</f>
        <v>99010.586500000005</v>
      </c>
      <c r="I333" s="85">
        <f t="shared" si="37"/>
        <v>0</v>
      </c>
      <c r="J333" s="85">
        <f t="shared" si="37"/>
        <v>23084.881789999999</v>
      </c>
      <c r="K333" s="85">
        <f t="shared" si="37"/>
        <v>7159.1991400000006</v>
      </c>
      <c r="L333" s="85">
        <f t="shared" si="37"/>
        <v>0</v>
      </c>
      <c r="M333" s="85">
        <f t="shared" si="37"/>
        <v>23953.34793</v>
      </c>
      <c r="N333" s="85">
        <f t="shared" si="37"/>
        <v>7182.9218400000009</v>
      </c>
      <c r="O333" s="85">
        <f t="shared" si="37"/>
        <v>0</v>
      </c>
      <c r="P333" s="85">
        <f>7182921/1000</f>
        <v>7182.9210000000003</v>
      </c>
      <c r="Q333" s="85">
        <f t="shared" si="37"/>
        <v>0</v>
      </c>
      <c r="R333" s="86"/>
      <c r="S333" s="86"/>
      <c r="T333" s="85">
        <f t="shared" ref="T333:Y333" si="38">SUM(T315:T332)</f>
        <v>88.582650000000001</v>
      </c>
      <c r="U333" s="85">
        <f t="shared" si="38"/>
        <v>7271.5044900000012</v>
      </c>
      <c r="V333" s="85">
        <f t="shared" si="38"/>
        <v>0</v>
      </c>
      <c r="W333" s="85">
        <f t="shared" si="38"/>
        <v>0</v>
      </c>
      <c r="X333" s="85">
        <f>+H333+P333</f>
        <v>106193.50750000001</v>
      </c>
      <c r="Y333" s="85">
        <f t="shared" si="38"/>
        <v>0</v>
      </c>
      <c r="Z333" s="85">
        <f t="shared" si="34"/>
        <v>452.69304999998712</v>
      </c>
      <c r="AA333" s="69">
        <f>SUM(AA315:AA332)</f>
        <v>31224.852419999996</v>
      </c>
      <c r="AB333" s="69">
        <f>SUM(AB315:AB332)</f>
        <v>364.10955999999999</v>
      </c>
    </row>
    <row r="334" spans="1:28" hidden="1" x14ac:dyDescent="0.3">
      <c r="A334" s="117"/>
      <c r="E334" s="86" t="s">
        <v>29</v>
      </c>
      <c r="F334" s="86" t="s">
        <v>29</v>
      </c>
      <c r="G334" s="86" t="s">
        <v>29</v>
      </c>
      <c r="H334" s="86" t="s">
        <v>29</v>
      </c>
      <c r="I334" s="86" t="s">
        <v>29</v>
      </c>
      <c r="J334" s="86" t="s">
        <v>29</v>
      </c>
      <c r="K334" s="86" t="s">
        <v>29</v>
      </c>
      <c r="L334" s="86" t="s">
        <v>29</v>
      </c>
      <c r="M334" s="86" t="s">
        <v>29</v>
      </c>
      <c r="N334" s="86" t="s">
        <v>29</v>
      </c>
      <c r="O334" s="86" t="s">
        <v>29</v>
      </c>
      <c r="P334" s="86" t="s">
        <v>29</v>
      </c>
      <c r="Q334" s="86" t="s">
        <v>29</v>
      </c>
      <c r="R334" s="86" t="s">
        <v>29</v>
      </c>
      <c r="S334" s="86" t="s">
        <v>29</v>
      </c>
      <c r="T334" s="86" t="s">
        <v>29</v>
      </c>
      <c r="U334" s="86" t="s">
        <v>29</v>
      </c>
      <c r="V334" s="86" t="s">
        <v>29</v>
      </c>
      <c r="W334" s="86" t="s">
        <v>29</v>
      </c>
      <c r="X334" s="85" t="e">
        <f t="shared" si="36"/>
        <v>#VALUE!</v>
      </c>
      <c r="Y334" s="86" t="s">
        <v>29</v>
      </c>
      <c r="Z334" s="85" t="e">
        <f t="shared" si="34"/>
        <v>#VALUE!</v>
      </c>
      <c r="AA334" s="115" t="s">
        <v>29</v>
      </c>
      <c r="AB334" s="115" t="s">
        <v>29</v>
      </c>
    </row>
    <row r="335" spans="1:28" hidden="1" x14ac:dyDescent="0.3">
      <c r="A335" s="105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6"/>
      <c r="S335" s="86"/>
      <c r="T335" s="94"/>
      <c r="U335" s="94"/>
      <c r="V335" s="94"/>
      <c r="W335" s="94"/>
      <c r="X335" s="85">
        <f t="shared" si="36"/>
        <v>0</v>
      </c>
      <c r="Y335" s="94"/>
      <c r="Z335" s="85">
        <f t="shared" si="34"/>
        <v>0</v>
      </c>
      <c r="AA335" s="118"/>
    </row>
    <row r="336" spans="1:28" hidden="1" x14ac:dyDescent="0.3">
      <c r="A336" s="117"/>
      <c r="C336" s="68" t="s">
        <v>539</v>
      </c>
      <c r="D336" s="145" t="s">
        <v>68</v>
      </c>
      <c r="E336" s="85">
        <f>STATS1003B!E337/1000</f>
        <v>2034.5417500000001</v>
      </c>
      <c r="F336" s="85">
        <f>STATS1003B!F337/1000</f>
        <v>0</v>
      </c>
      <c r="G336" s="85">
        <f>STATS1003B!G337/1000</f>
        <v>0</v>
      </c>
      <c r="H336" s="85">
        <f>STATS1003B!H337/1000</f>
        <v>0</v>
      </c>
      <c r="I336" s="85">
        <f>STATS1003B!I337/1000</f>
        <v>0</v>
      </c>
      <c r="J336" s="85">
        <f>STATS1003B!J337/1000</f>
        <v>0</v>
      </c>
      <c r="K336" s="85">
        <f>STATS1003B!K337/1000</f>
        <v>2034.5417500000001</v>
      </c>
      <c r="L336" s="85">
        <f>STATS1003B!L337/1000</f>
        <v>0</v>
      </c>
      <c r="M336" s="85">
        <f>STATS1003B!M337/1000</f>
        <v>0</v>
      </c>
      <c r="N336" s="85">
        <f>STATS1003B!N337/1000</f>
        <v>2034.5417500000001</v>
      </c>
      <c r="O336" s="85">
        <f>STATS1003B!O337/1000</f>
        <v>0</v>
      </c>
      <c r="P336" s="85">
        <f>STATS1003B!P337/1000</f>
        <v>2034.5417500000001</v>
      </c>
      <c r="Q336" s="85">
        <f>STATS1003B!Q337/1000</f>
        <v>0</v>
      </c>
      <c r="R336" s="85">
        <f>STATS1003B!R337/1000</f>
        <v>0</v>
      </c>
      <c r="S336" s="85">
        <f>STATS1003B!S337/1000</f>
        <v>0</v>
      </c>
      <c r="T336" s="85">
        <f>STATS1003B!T337/1000</f>
        <v>0</v>
      </c>
      <c r="U336" s="85">
        <f>STATS1003B!U337/1000</f>
        <v>2034.5417500000001</v>
      </c>
      <c r="V336" s="85">
        <f>STATS1003B!V337/1000</f>
        <v>0</v>
      </c>
      <c r="W336" s="85">
        <f>STATS1003B!W337/1000</f>
        <v>0</v>
      </c>
      <c r="X336" s="85">
        <f t="shared" si="36"/>
        <v>2034.5417500000001</v>
      </c>
      <c r="Y336" s="85">
        <f>STATS1003B!Y337/1000</f>
        <v>0</v>
      </c>
      <c r="Z336" s="85">
        <f t="shared" si="34"/>
        <v>0</v>
      </c>
      <c r="AA336" s="69">
        <f>STATS1003B!AA337/1000</f>
        <v>2034.5417500000001</v>
      </c>
      <c r="AB336" s="69">
        <f>STATS1003B!AB337/1000</f>
        <v>0</v>
      </c>
    </row>
    <row r="337" spans="1:28" hidden="1" x14ac:dyDescent="0.3">
      <c r="A337" s="117"/>
      <c r="C337" s="68" t="s">
        <v>535</v>
      </c>
      <c r="D337" s="145" t="s">
        <v>68</v>
      </c>
      <c r="E337" s="85">
        <f>STATS1003B!E338/1000</f>
        <v>1467.1890000000001</v>
      </c>
      <c r="F337" s="85">
        <f>STATS1003B!F338/1000</f>
        <v>1467.1890000000001</v>
      </c>
      <c r="G337" s="85">
        <f>STATS1003B!G338/1000</f>
        <v>0</v>
      </c>
      <c r="H337" s="85">
        <f>STATS1003B!H338/1000</f>
        <v>1467.1890000000001</v>
      </c>
      <c r="I337" s="85">
        <f>STATS1003B!I338/1000</f>
        <v>0</v>
      </c>
      <c r="J337" s="85">
        <f>STATS1003B!J338/1000</f>
        <v>1467.1890000000001</v>
      </c>
      <c r="K337" s="85">
        <f>STATS1003B!K338/1000</f>
        <v>0</v>
      </c>
      <c r="L337" s="85">
        <f>STATS1003B!L338/1000</f>
        <v>0</v>
      </c>
      <c r="M337" s="85">
        <f>STATS1003B!M338/1000</f>
        <v>1467.1890000000001</v>
      </c>
      <c r="N337" s="85">
        <f>STATS1003B!N338/1000</f>
        <v>0</v>
      </c>
      <c r="O337" s="85">
        <f>STATS1003B!O338/1000</f>
        <v>0</v>
      </c>
      <c r="P337" s="85">
        <f>STATS1003B!P338/1000</f>
        <v>0</v>
      </c>
      <c r="Q337" s="85">
        <f>STATS1003B!Q338/1000</f>
        <v>0</v>
      </c>
      <c r="R337" s="85">
        <f>STATS1003B!R338/1000</f>
        <v>0</v>
      </c>
      <c r="S337" s="85">
        <f>STATS1003B!S338/1000</f>
        <v>0</v>
      </c>
      <c r="T337" s="85">
        <f>STATS1003B!T338/1000</f>
        <v>0</v>
      </c>
      <c r="U337" s="85">
        <f>STATS1003B!U338/1000</f>
        <v>0</v>
      </c>
      <c r="V337" s="85">
        <f>STATS1003B!V338/1000</f>
        <v>0</v>
      </c>
      <c r="W337" s="85">
        <f>STATS1003B!W338/1000</f>
        <v>0</v>
      </c>
      <c r="X337" s="85">
        <f t="shared" si="36"/>
        <v>1467.1890000000001</v>
      </c>
      <c r="Y337" s="85">
        <f>STATS1003B!Y338/1000</f>
        <v>0</v>
      </c>
      <c r="Z337" s="85">
        <f t="shared" si="34"/>
        <v>0</v>
      </c>
      <c r="AA337" s="69">
        <f>STATS1003B!AA338/1000</f>
        <v>1467.1890000000001</v>
      </c>
      <c r="AB337" s="69">
        <f>STATS1003B!AB338/1000</f>
        <v>0</v>
      </c>
    </row>
    <row r="338" spans="1:28" hidden="1" x14ac:dyDescent="0.3">
      <c r="A338" s="117"/>
      <c r="C338" s="68" t="s">
        <v>535</v>
      </c>
      <c r="D338" s="145" t="s">
        <v>54</v>
      </c>
      <c r="E338" s="85">
        <f>STATS1003B!E339/1000</f>
        <v>1363</v>
      </c>
      <c r="F338" s="85">
        <f>STATS1003B!F339/1000</f>
        <v>1363</v>
      </c>
      <c r="G338" s="85">
        <f>STATS1003B!G339/1000</f>
        <v>0</v>
      </c>
      <c r="H338" s="85">
        <f>STATS1003B!H339/1000</f>
        <v>1363</v>
      </c>
      <c r="I338" s="85">
        <f>STATS1003B!I339/1000</f>
        <v>0</v>
      </c>
      <c r="J338" s="85">
        <f>STATS1003B!J339/1000</f>
        <v>1363</v>
      </c>
      <c r="K338" s="85">
        <f>STATS1003B!K339/1000</f>
        <v>0</v>
      </c>
      <c r="L338" s="85">
        <f>STATS1003B!L339/1000</f>
        <v>0</v>
      </c>
      <c r="M338" s="85">
        <f>STATS1003B!M339/1000</f>
        <v>1363</v>
      </c>
      <c r="N338" s="85">
        <f>STATS1003B!N339/1000</f>
        <v>0</v>
      </c>
      <c r="O338" s="85">
        <f>STATS1003B!O339/1000</f>
        <v>0</v>
      </c>
      <c r="P338" s="85">
        <f>STATS1003B!P339/1000</f>
        <v>0</v>
      </c>
      <c r="Q338" s="85">
        <f>STATS1003B!Q339/1000</f>
        <v>0</v>
      </c>
      <c r="R338" s="85">
        <f>STATS1003B!R339/1000</f>
        <v>0</v>
      </c>
      <c r="S338" s="85">
        <f>STATS1003B!S339/1000</f>
        <v>0</v>
      </c>
      <c r="T338" s="85">
        <f>STATS1003B!T339/1000</f>
        <v>0</v>
      </c>
      <c r="U338" s="85">
        <f>STATS1003B!U339/1000</f>
        <v>0</v>
      </c>
      <c r="V338" s="85">
        <f>STATS1003B!V339/1000</f>
        <v>0</v>
      </c>
      <c r="W338" s="85">
        <f>STATS1003B!W339/1000</f>
        <v>0</v>
      </c>
      <c r="X338" s="85">
        <f t="shared" si="36"/>
        <v>1363</v>
      </c>
      <c r="Y338" s="85">
        <f>STATS1003B!Y339/1000</f>
        <v>0</v>
      </c>
      <c r="Z338" s="85">
        <f t="shared" si="34"/>
        <v>0</v>
      </c>
      <c r="AA338" s="69">
        <f>STATS1003B!AA339/1000</f>
        <v>1363</v>
      </c>
      <c r="AB338" s="69">
        <f>STATS1003B!AB339/1000</f>
        <v>0</v>
      </c>
    </row>
    <row r="339" spans="1:28" hidden="1" x14ac:dyDescent="0.3">
      <c r="A339" s="117"/>
      <c r="C339" s="68" t="s">
        <v>571</v>
      </c>
      <c r="D339" s="145" t="s">
        <v>54</v>
      </c>
      <c r="E339" s="85">
        <f>STATS1003B!E340/1000</f>
        <v>0</v>
      </c>
      <c r="F339" s="85">
        <f>STATS1003B!F340/1000</f>
        <v>0</v>
      </c>
      <c r="G339" s="85">
        <f>STATS1003B!G340/1000</f>
        <v>0</v>
      </c>
      <c r="H339" s="85">
        <f>STATS1003B!H340/1000</f>
        <v>0</v>
      </c>
      <c r="I339" s="85">
        <f>STATS1003B!I340/1000</f>
        <v>0</v>
      </c>
      <c r="J339" s="85">
        <f>STATS1003B!J340/1000</f>
        <v>0</v>
      </c>
      <c r="K339" s="85">
        <f>STATS1003B!K340/1000</f>
        <v>0</v>
      </c>
      <c r="L339" s="85">
        <f>STATS1003B!L340/1000</f>
        <v>0</v>
      </c>
      <c r="M339" s="85">
        <f>STATS1003B!M340/1000</f>
        <v>0</v>
      </c>
      <c r="N339" s="85">
        <f>STATS1003B!N340/1000</f>
        <v>0</v>
      </c>
      <c r="O339" s="85">
        <f>STATS1003B!O340/1000</f>
        <v>0</v>
      </c>
      <c r="P339" s="85">
        <f>STATS1003B!P340/1000</f>
        <v>0</v>
      </c>
      <c r="Q339" s="85">
        <f>STATS1003B!Q340/1000</f>
        <v>0</v>
      </c>
      <c r="R339" s="85">
        <f>STATS1003B!R340/1000</f>
        <v>0</v>
      </c>
      <c r="S339" s="85">
        <f>STATS1003B!S340/1000</f>
        <v>0</v>
      </c>
      <c r="T339" s="85">
        <f>STATS1003B!T340/1000</f>
        <v>0</v>
      </c>
      <c r="U339" s="85">
        <f>STATS1003B!U340/1000</f>
        <v>0</v>
      </c>
      <c r="V339" s="85">
        <f>STATS1003B!V340/1000</f>
        <v>0</v>
      </c>
      <c r="W339" s="85">
        <f>STATS1003B!W340/1000</f>
        <v>0</v>
      </c>
      <c r="X339" s="85">
        <f t="shared" si="36"/>
        <v>0</v>
      </c>
      <c r="Y339" s="85">
        <f>STATS1003B!Y340/1000</f>
        <v>0</v>
      </c>
      <c r="Z339" s="85">
        <f t="shared" si="34"/>
        <v>0</v>
      </c>
      <c r="AA339" s="69">
        <f>STATS1003B!AA340/1000</f>
        <v>0</v>
      </c>
      <c r="AB339" s="69">
        <f>STATS1003B!AB340/1000</f>
        <v>0</v>
      </c>
    </row>
    <row r="340" spans="1:28" hidden="1" x14ac:dyDescent="0.3">
      <c r="A340" s="117"/>
      <c r="C340" s="68" t="s">
        <v>572</v>
      </c>
      <c r="D340" s="145" t="s">
        <v>54</v>
      </c>
      <c r="E340" s="85">
        <f>STATS1003B!E341/1000</f>
        <v>950</v>
      </c>
      <c r="F340" s="85">
        <f>STATS1003B!F341/1000</f>
        <v>950</v>
      </c>
      <c r="G340" s="85">
        <f>STATS1003B!G341/1000</f>
        <v>0</v>
      </c>
      <c r="H340" s="85">
        <f>STATS1003B!H341/1000</f>
        <v>950</v>
      </c>
      <c r="I340" s="85">
        <f>STATS1003B!I341/1000</f>
        <v>0</v>
      </c>
      <c r="J340" s="85">
        <f>STATS1003B!J341/1000</f>
        <v>950</v>
      </c>
      <c r="K340" s="85">
        <f>STATS1003B!K341/1000</f>
        <v>0</v>
      </c>
      <c r="L340" s="85">
        <f>STATS1003B!L341/1000</f>
        <v>0</v>
      </c>
      <c r="M340" s="85">
        <f>STATS1003B!M341/1000</f>
        <v>950</v>
      </c>
      <c r="N340" s="85">
        <f>STATS1003B!N341/1000</f>
        <v>0</v>
      </c>
      <c r="O340" s="85">
        <f>STATS1003B!O341/1000</f>
        <v>0</v>
      </c>
      <c r="P340" s="85">
        <f>STATS1003B!P341/1000</f>
        <v>0</v>
      </c>
      <c r="Q340" s="85">
        <f>STATS1003B!Q341/1000</f>
        <v>0</v>
      </c>
      <c r="R340" s="85">
        <f>STATS1003B!R341/1000</f>
        <v>0</v>
      </c>
      <c r="S340" s="85">
        <f>STATS1003B!S341/1000</f>
        <v>0</v>
      </c>
      <c r="T340" s="85">
        <f>STATS1003B!T341/1000</f>
        <v>0</v>
      </c>
      <c r="U340" s="85">
        <f>STATS1003B!U341/1000</f>
        <v>0</v>
      </c>
      <c r="V340" s="85">
        <f>STATS1003B!V341/1000</f>
        <v>0</v>
      </c>
      <c r="W340" s="85">
        <f>STATS1003B!W341/1000</f>
        <v>0</v>
      </c>
      <c r="X340" s="85">
        <f t="shared" si="36"/>
        <v>950</v>
      </c>
      <c r="Y340" s="85">
        <f>STATS1003B!Y341/1000</f>
        <v>0</v>
      </c>
      <c r="Z340" s="85">
        <f t="shared" si="34"/>
        <v>0</v>
      </c>
      <c r="AA340" s="69">
        <f>STATS1003B!AA341/1000</f>
        <v>950</v>
      </c>
      <c r="AB340" s="69">
        <f>STATS1003B!AB341/1000</f>
        <v>0</v>
      </c>
    </row>
    <row r="341" spans="1:28" hidden="1" x14ac:dyDescent="0.3">
      <c r="A341" s="117"/>
      <c r="C341" s="68" t="s">
        <v>573</v>
      </c>
      <c r="D341" s="145" t="s">
        <v>54</v>
      </c>
      <c r="E341" s="85">
        <f>STATS1003B!E342/1000</f>
        <v>500</v>
      </c>
      <c r="F341" s="85">
        <f>STATS1003B!F342/1000</f>
        <v>500</v>
      </c>
      <c r="G341" s="85">
        <f>STATS1003B!G342/1000</f>
        <v>0</v>
      </c>
      <c r="H341" s="85">
        <f>STATS1003B!H342/1000</f>
        <v>500</v>
      </c>
      <c r="I341" s="85">
        <f>STATS1003B!I342/1000</f>
        <v>0</v>
      </c>
      <c r="J341" s="85">
        <f>STATS1003B!J342/1000</f>
        <v>500</v>
      </c>
      <c r="K341" s="85">
        <f>STATS1003B!K342/1000</f>
        <v>0</v>
      </c>
      <c r="L341" s="85">
        <f>STATS1003B!L342/1000</f>
        <v>0</v>
      </c>
      <c r="M341" s="85">
        <f>STATS1003B!M342/1000</f>
        <v>500</v>
      </c>
      <c r="N341" s="85">
        <f>STATS1003B!N342/1000</f>
        <v>0</v>
      </c>
      <c r="O341" s="85">
        <f>STATS1003B!O342/1000</f>
        <v>0</v>
      </c>
      <c r="P341" s="85">
        <f>STATS1003B!P342/1000</f>
        <v>0</v>
      </c>
      <c r="Q341" s="85">
        <f>STATS1003B!Q342/1000</f>
        <v>0</v>
      </c>
      <c r="R341" s="85">
        <f>STATS1003B!R342/1000</f>
        <v>0</v>
      </c>
      <c r="S341" s="85">
        <f>STATS1003B!S342/1000</f>
        <v>0</v>
      </c>
      <c r="T341" s="85">
        <f>STATS1003B!T342/1000</f>
        <v>0</v>
      </c>
      <c r="U341" s="85">
        <f>STATS1003B!U342/1000</f>
        <v>0</v>
      </c>
      <c r="V341" s="85">
        <f>STATS1003B!V342/1000</f>
        <v>0</v>
      </c>
      <c r="W341" s="85">
        <f>STATS1003B!W342/1000</f>
        <v>0</v>
      </c>
      <c r="X341" s="85">
        <f t="shared" si="36"/>
        <v>500</v>
      </c>
      <c r="Y341" s="85">
        <f>STATS1003B!Y342/1000</f>
        <v>0</v>
      </c>
      <c r="Z341" s="85">
        <f t="shared" si="34"/>
        <v>0</v>
      </c>
      <c r="AA341" s="69">
        <f>STATS1003B!AA342/1000</f>
        <v>500</v>
      </c>
      <c r="AB341" s="69">
        <f>STATS1003B!AB342/1000</f>
        <v>0</v>
      </c>
    </row>
    <row r="342" spans="1:28" hidden="1" x14ac:dyDescent="0.3">
      <c r="A342" s="117"/>
      <c r="C342" s="68" t="s">
        <v>545</v>
      </c>
      <c r="D342" s="145" t="s">
        <v>54</v>
      </c>
      <c r="E342" s="85">
        <f>STATS1003B!E343/1000</f>
        <v>1953.989</v>
      </c>
      <c r="F342" s="85">
        <f>STATS1003B!F343/1000</f>
        <v>0</v>
      </c>
      <c r="G342" s="85">
        <f>STATS1003B!G343/1000</f>
        <v>0</v>
      </c>
      <c r="H342" s="85">
        <f>STATS1003B!H343/1000</f>
        <v>0</v>
      </c>
      <c r="I342" s="85">
        <f>STATS1003B!I343/1000</f>
        <v>0</v>
      </c>
      <c r="J342" s="85">
        <f>STATS1003B!J343/1000</f>
        <v>0</v>
      </c>
      <c r="K342" s="85">
        <f>STATS1003B!K343/1000</f>
        <v>1953.989</v>
      </c>
      <c r="L342" s="85">
        <f>STATS1003B!L343/1000</f>
        <v>0</v>
      </c>
      <c r="M342" s="85">
        <f>STATS1003B!M343/1000</f>
        <v>0</v>
      </c>
      <c r="N342" s="85">
        <f>STATS1003B!N343/1000</f>
        <v>1953.989</v>
      </c>
      <c r="O342" s="85">
        <f>STATS1003B!O343/1000</f>
        <v>0</v>
      </c>
      <c r="P342" s="85">
        <f>STATS1003B!P343/1000</f>
        <v>1953.989</v>
      </c>
      <c r="Q342" s="85">
        <f>STATS1003B!Q343/1000</f>
        <v>0</v>
      </c>
      <c r="R342" s="85">
        <f>STATS1003B!R343/1000</f>
        <v>0</v>
      </c>
      <c r="S342" s="85">
        <f>STATS1003B!S343/1000</f>
        <v>0</v>
      </c>
      <c r="T342" s="85">
        <f>STATS1003B!T343/1000</f>
        <v>0</v>
      </c>
      <c r="U342" s="85">
        <f>STATS1003B!U343/1000</f>
        <v>1953.989</v>
      </c>
      <c r="V342" s="85">
        <f>STATS1003B!V343/1000</f>
        <v>0</v>
      </c>
      <c r="W342" s="85">
        <f>STATS1003B!W343/1000</f>
        <v>0</v>
      </c>
      <c r="X342" s="85">
        <f t="shared" si="36"/>
        <v>1953.989</v>
      </c>
      <c r="Y342" s="85">
        <f>STATS1003B!Y343/1000</f>
        <v>0</v>
      </c>
      <c r="Z342" s="85">
        <f t="shared" si="34"/>
        <v>0</v>
      </c>
      <c r="AA342" s="69">
        <f>STATS1003B!AA343/1000</f>
        <v>1953.989</v>
      </c>
      <c r="AB342" s="69">
        <f>STATS1003B!AB343/1000</f>
        <v>0</v>
      </c>
    </row>
    <row r="343" spans="1:28" hidden="1" x14ac:dyDescent="0.3">
      <c r="A343" s="117"/>
      <c r="C343" s="68" t="s">
        <v>535</v>
      </c>
      <c r="D343" s="145" t="s">
        <v>85</v>
      </c>
      <c r="E343" s="85">
        <f>STATS1003B!E344/1000</f>
        <v>1500</v>
      </c>
      <c r="F343" s="85">
        <f>STATS1003B!F344/1000</f>
        <v>1500</v>
      </c>
      <c r="G343" s="85">
        <f>STATS1003B!G344/1000</f>
        <v>0</v>
      </c>
      <c r="H343" s="85">
        <f>STATS1003B!H344/1000</f>
        <v>1500</v>
      </c>
      <c r="I343" s="85">
        <f>STATS1003B!I344/1000</f>
        <v>0</v>
      </c>
      <c r="J343" s="85">
        <f>STATS1003B!J344/1000</f>
        <v>1500</v>
      </c>
      <c r="K343" s="85">
        <f>STATS1003B!K344/1000</f>
        <v>0</v>
      </c>
      <c r="L343" s="85">
        <f>STATS1003B!L344/1000</f>
        <v>0</v>
      </c>
      <c r="M343" s="85">
        <f>STATS1003B!M344/1000</f>
        <v>1500</v>
      </c>
      <c r="N343" s="85">
        <f>STATS1003B!N344/1000</f>
        <v>0</v>
      </c>
      <c r="O343" s="85">
        <f>STATS1003B!O344/1000</f>
        <v>0</v>
      </c>
      <c r="P343" s="85">
        <f>STATS1003B!P344/1000</f>
        <v>0</v>
      </c>
      <c r="Q343" s="85">
        <f>STATS1003B!Q344/1000</f>
        <v>0</v>
      </c>
      <c r="R343" s="85">
        <f>STATS1003B!R344/1000</f>
        <v>0</v>
      </c>
      <c r="S343" s="85">
        <f>STATS1003B!S344/1000</f>
        <v>0</v>
      </c>
      <c r="T343" s="85">
        <f>STATS1003B!T344/1000</f>
        <v>0</v>
      </c>
      <c r="U343" s="85">
        <f>STATS1003B!U344/1000</f>
        <v>0</v>
      </c>
      <c r="V343" s="85">
        <f>STATS1003B!V344/1000</f>
        <v>0</v>
      </c>
      <c r="W343" s="85">
        <f>STATS1003B!W344/1000</f>
        <v>0</v>
      </c>
      <c r="X343" s="85">
        <f t="shared" si="36"/>
        <v>1500</v>
      </c>
      <c r="Y343" s="85">
        <f>STATS1003B!Y344/1000</f>
        <v>0</v>
      </c>
      <c r="Z343" s="85">
        <f t="shared" si="34"/>
        <v>0</v>
      </c>
      <c r="AA343" s="69">
        <f>STATS1003B!AA344/1000</f>
        <v>1500</v>
      </c>
      <c r="AB343" s="69">
        <f>STATS1003B!AB344/1000</f>
        <v>0</v>
      </c>
    </row>
    <row r="344" spans="1:28" hidden="1" x14ac:dyDescent="0.3">
      <c r="A344" s="117"/>
      <c r="C344" s="68" t="s">
        <v>574</v>
      </c>
      <c r="D344" s="145" t="s">
        <v>85</v>
      </c>
      <c r="E344" s="85">
        <f>STATS1003B!E345/1000</f>
        <v>3332</v>
      </c>
      <c r="F344" s="85">
        <f>STATS1003B!F345/1000</f>
        <v>3332</v>
      </c>
      <c r="G344" s="85">
        <f>STATS1003B!G345/1000</f>
        <v>0</v>
      </c>
      <c r="H344" s="85">
        <f>STATS1003B!H345/1000</f>
        <v>3332</v>
      </c>
      <c r="I344" s="85">
        <f>STATS1003B!I345/1000</f>
        <v>0</v>
      </c>
      <c r="J344" s="85">
        <f>STATS1003B!J345/1000</f>
        <v>3332</v>
      </c>
      <c r="K344" s="85">
        <f>STATS1003B!K345/1000</f>
        <v>0</v>
      </c>
      <c r="L344" s="85">
        <f>STATS1003B!L345/1000</f>
        <v>0</v>
      </c>
      <c r="M344" s="85">
        <f>STATS1003B!M345/1000</f>
        <v>3332</v>
      </c>
      <c r="N344" s="85">
        <f>STATS1003B!N345/1000</f>
        <v>0</v>
      </c>
      <c r="O344" s="85">
        <f>STATS1003B!O345/1000</f>
        <v>0</v>
      </c>
      <c r="P344" s="85">
        <f>STATS1003B!P345/1000</f>
        <v>0</v>
      </c>
      <c r="Q344" s="85">
        <f>STATS1003B!Q345/1000</f>
        <v>0</v>
      </c>
      <c r="R344" s="85">
        <f>STATS1003B!R345/1000</f>
        <v>0</v>
      </c>
      <c r="S344" s="85">
        <f>STATS1003B!S345/1000</f>
        <v>0</v>
      </c>
      <c r="T344" s="85">
        <f>STATS1003B!T345/1000</f>
        <v>0</v>
      </c>
      <c r="U344" s="85">
        <f>STATS1003B!U345/1000</f>
        <v>0</v>
      </c>
      <c r="V344" s="85">
        <f>STATS1003B!V345/1000</f>
        <v>0</v>
      </c>
      <c r="W344" s="85">
        <f>STATS1003B!W345/1000</f>
        <v>0</v>
      </c>
      <c r="X344" s="85">
        <f t="shared" si="36"/>
        <v>3332</v>
      </c>
      <c r="Y344" s="85">
        <f>STATS1003B!Y345/1000</f>
        <v>0</v>
      </c>
      <c r="Z344" s="85">
        <f t="shared" ref="Z344:Z397" si="39">+E344-X344</f>
        <v>0</v>
      </c>
      <c r="AA344" s="69">
        <f>STATS1003B!AA345/1000</f>
        <v>3332</v>
      </c>
      <c r="AB344" s="69">
        <f>STATS1003B!AB345/1000</f>
        <v>0</v>
      </c>
    </row>
    <row r="345" spans="1:28" hidden="1" x14ac:dyDescent="0.3">
      <c r="A345" s="117"/>
      <c r="C345" s="68" t="s">
        <v>573</v>
      </c>
      <c r="D345" s="145" t="s">
        <v>85</v>
      </c>
      <c r="E345" s="85">
        <f>STATS1003B!E346/1000</f>
        <v>1830</v>
      </c>
      <c r="F345" s="85">
        <f>STATS1003B!F346/1000</f>
        <v>1830</v>
      </c>
      <c r="G345" s="85">
        <f>STATS1003B!G346/1000</f>
        <v>0</v>
      </c>
      <c r="H345" s="85">
        <f>STATS1003B!H346/1000</f>
        <v>1830</v>
      </c>
      <c r="I345" s="85">
        <f>STATS1003B!I346/1000</f>
        <v>0</v>
      </c>
      <c r="J345" s="85">
        <f>STATS1003B!J346/1000</f>
        <v>1830</v>
      </c>
      <c r="K345" s="85">
        <f>STATS1003B!K346/1000</f>
        <v>0</v>
      </c>
      <c r="L345" s="85">
        <f>STATS1003B!L346/1000</f>
        <v>0</v>
      </c>
      <c r="M345" s="85">
        <f>STATS1003B!M346/1000</f>
        <v>1830</v>
      </c>
      <c r="N345" s="85">
        <f>STATS1003B!N346/1000</f>
        <v>0</v>
      </c>
      <c r="O345" s="85">
        <f>STATS1003B!O346/1000</f>
        <v>0</v>
      </c>
      <c r="P345" s="85">
        <f>STATS1003B!P346/1000</f>
        <v>0</v>
      </c>
      <c r="Q345" s="85">
        <f>STATS1003B!Q346/1000</f>
        <v>0</v>
      </c>
      <c r="R345" s="85">
        <f>STATS1003B!R346/1000</f>
        <v>0</v>
      </c>
      <c r="S345" s="85">
        <f>STATS1003B!S346/1000</f>
        <v>0</v>
      </c>
      <c r="T345" s="85">
        <f>STATS1003B!T346/1000</f>
        <v>0</v>
      </c>
      <c r="U345" s="85">
        <f>STATS1003B!U346/1000</f>
        <v>0</v>
      </c>
      <c r="V345" s="85">
        <f>STATS1003B!V346/1000</f>
        <v>0</v>
      </c>
      <c r="W345" s="85">
        <f>STATS1003B!W346/1000</f>
        <v>0</v>
      </c>
      <c r="X345" s="85">
        <f t="shared" si="36"/>
        <v>1830</v>
      </c>
      <c r="Y345" s="85">
        <f>STATS1003B!Y346/1000</f>
        <v>0</v>
      </c>
      <c r="Z345" s="85">
        <f t="shared" si="39"/>
        <v>0</v>
      </c>
      <c r="AA345" s="69">
        <f>STATS1003B!AA346/1000</f>
        <v>1830</v>
      </c>
      <c r="AB345" s="69">
        <f>STATS1003B!AB346/1000</f>
        <v>0</v>
      </c>
    </row>
    <row r="346" spans="1:28" hidden="1" x14ac:dyDescent="0.3">
      <c r="A346" s="117"/>
      <c r="C346" s="68" t="s">
        <v>571</v>
      </c>
      <c r="D346" s="145" t="s">
        <v>85</v>
      </c>
      <c r="E346" s="85">
        <f>STATS1003B!E347/1000</f>
        <v>800</v>
      </c>
      <c r="F346" s="85">
        <f>STATS1003B!F347/1000</f>
        <v>800</v>
      </c>
      <c r="G346" s="85">
        <f>STATS1003B!G347/1000</f>
        <v>0</v>
      </c>
      <c r="H346" s="85">
        <f>STATS1003B!H347/1000</f>
        <v>800</v>
      </c>
      <c r="I346" s="85">
        <f>STATS1003B!I347/1000</f>
        <v>0</v>
      </c>
      <c r="J346" s="85">
        <f>STATS1003B!J347/1000</f>
        <v>800</v>
      </c>
      <c r="K346" s="85">
        <f>STATS1003B!K347/1000</f>
        <v>0</v>
      </c>
      <c r="L346" s="85">
        <f>STATS1003B!L347/1000</f>
        <v>0</v>
      </c>
      <c r="M346" s="85">
        <f>STATS1003B!M347/1000</f>
        <v>800</v>
      </c>
      <c r="N346" s="85">
        <f>STATS1003B!N347/1000</f>
        <v>0</v>
      </c>
      <c r="O346" s="85">
        <f>STATS1003B!O347/1000</f>
        <v>0</v>
      </c>
      <c r="P346" s="85">
        <f>STATS1003B!P347/1000</f>
        <v>0</v>
      </c>
      <c r="Q346" s="85">
        <f>STATS1003B!Q347/1000</f>
        <v>0</v>
      </c>
      <c r="R346" s="85">
        <f>STATS1003B!R347/1000</f>
        <v>0</v>
      </c>
      <c r="S346" s="85">
        <f>STATS1003B!S347/1000</f>
        <v>0</v>
      </c>
      <c r="T346" s="85">
        <f>STATS1003B!T347/1000</f>
        <v>0</v>
      </c>
      <c r="U346" s="85">
        <f>STATS1003B!U347/1000</f>
        <v>0</v>
      </c>
      <c r="V346" s="85">
        <f>STATS1003B!V347/1000</f>
        <v>0</v>
      </c>
      <c r="W346" s="85">
        <f>STATS1003B!W347/1000</f>
        <v>0</v>
      </c>
      <c r="X346" s="85">
        <f t="shared" si="36"/>
        <v>800</v>
      </c>
      <c r="Y346" s="85">
        <f>STATS1003B!Y347/1000</f>
        <v>0</v>
      </c>
      <c r="Z346" s="85">
        <f t="shared" si="39"/>
        <v>0</v>
      </c>
      <c r="AA346" s="69">
        <f>STATS1003B!AA347/1000</f>
        <v>800</v>
      </c>
      <c r="AB346" s="69">
        <f>STATS1003B!AB347/1000</f>
        <v>0</v>
      </c>
    </row>
    <row r="347" spans="1:28" hidden="1" x14ac:dyDescent="0.3">
      <c r="A347" s="117"/>
      <c r="C347" s="68" t="s">
        <v>535</v>
      </c>
      <c r="D347" s="145" t="s">
        <v>88</v>
      </c>
      <c r="E347" s="85">
        <f>STATS1003B!E348/1000</f>
        <v>4009.1590000000001</v>
      </c>
      <c r="F347" s="85">
        <f>STATS1003B!F348/1000</f>
        <v>4009.1590000000001</v>
      </c>
      <c r="G347" s="85">
        <f>STATS1003B!G348/1000</f>
        <v>0</v>
      </c>
      <c r="H347" s="85">
        <f>STATS1003B!H348/1000</f>
        <v>4009.1590000000001</v>
      </c>
      <c r="I347" s="85">
        <f>STATS1003B!I348/1000</f>
        <v>0</v>
      </c>
      <c r="J347" s="85">
        <f>STATS1003B!J348/1000</f>
        <v>4009.1590000000001</v>
      </c>
      <c r="K347" s="85">
        <f>STATS1003B!K348/1000</f>
        <v>0</v>
      </c>
      <c r="L347" s="85">
        <f>STATS1003B!L348/1000</f>
        <v>0</v>
      </c>
      <c r="M347" s="85">
        <f>STATS1003B!M348/1000</f>
        <v>4009.1590000000001</v>
      </c>
      <c r="N347" s="85">
        <f>STATS1003B!N348/1000</f>
        <v>0</v>
      </c>
      <c r="O347" s="85">
        <f>STATS1003B!O348/1000</f>
        <v>0</v>
      </c>
      <c r="P347" s="85">
        <f>STATS1003B!P348/1000</f>
        <v>0</v>
      </c>
      <c r="Q347" s="85">
        <f>STATS1003B!Q348/1000</f>
        <v>0</v>
      </c>
      <c r="R347" s="85">
        <f>STATS1003B!R348/1000</f>
        <v>0</v>
      </c>
      <c r="S347" s="85">
        <f>STATS1003B!S348/1000</f>
        <v>0</v>
      </c>
      <c r="T347" s="85">
        <f>STATS1003B!T348/1000</f>
        <v>0</v>
      </c>
      <c r="U347" s="85">
        <f>STATS1003B!U348/1000</f>
        <v>0</v>
      </c>
      <c r="V347" s="85">
        <f>STATS1003B!V348/1000</f>
        <v>0</v>
      </c>
      <c r="W347" s="85">
        <f>STATS1003B!W348/1000</f>
        <v>0</v>
      </c>
      <c r="X347" s="85">
        <f t="shared" si="36"/>
        <v>4009.1590000000001</v>
      </c>
      <c r="Y347" s="85">
        <f>STATS1003B!Y348/1000</f>
        <v>0</v>
      </c>
      <c r="Z347" s="85">
        <f t="shared" si="39"/>
        <v>0</v>
      </c>
      <c r="AA347" s="69">
        <f>STATS1003B!AA348/1000</f>
        <v>4009.1590000000001</v>
      </c>
      <c r="AB347" s="69">
        <f>STATS1003B!AB348/1000</f>
        <v>0</v>
      </c>
    </row>
    <row r="348" spans="1:28" hidden="1" x14ac:dyDescent="0.3">
      <c r="A348" s="117"/>
      <c r="C348" s="68" t="s">
        <v>575</v>
      </c>
      <c r="D348" s="145" t="s">
        <v>108</v>
      </c>
      <c r="E348" s="85">
        <f>STATS1003B!E349/1000</f>
        <v>2858.7</v>
      </c>
      <c r="F348" s="85">
        <f>STATS1003B!F349/1000</f>
        <v>2858.7</v>
      </c>
      <c r="G348" s="85">
        <f>STATS1003B!G349/1000</f>
        <v>0</v>
      </c>
      <c r="H348" s="85">
        <f>STATS1003B!H349/1000</f>
        <v>2858.7</v>
      </c>
      <c r="I348" s="85">
        <f>STATS1003B!I349/1000</f>
        <v>0</v>
      </c>
      <c r="J348" s="85">
        <f>STATS1003B!J349/1000</f>
        <v>2858.7</v>
      </c>
      <c r="K348" s="85">
        <f>STATS1003B!K349/1000</f>
        <v>0</v>
      </c>
      <c r="L348" s="85">
        <f>STATS1003B!L349/1000</f>
        <v>0</v>
      </c>
      <c r="M348" s="85">
        <f>STATS1003B!M349/1000</f>
        <v>2858.7</v>
      </c>
      <c r="N348" s="85">
        <f>STATS1003B!N349/1000</f>
        <v>0</v>
      </c>
      <c r="O348" s="85">
        <f>STATS1003B!O349/1000</f>
        <v>0</v>
      </c>
      <c r="P348" s="85">
        <f>STATS1003B!P349/1000</f>
        <v>0</v>
      </c>
      <c r="Q348" s="85">
        <f>STATS1003B!Q349/1000</f>
        <v>0</v>
      </c>
      <c r="R348" s="85">
        <f>STATS1003B!R349/1000</f>
        <v>0</v>
      </c>
      <c r="S348" s="85">
        <f>STATS1003B!S349/1000</f>
        <v>0</v>
      </c>
      <c r="T348" s="85">
        <f>STATS1003B!T349/1000</f>
        <v>0</v>
      </c>
      <c r="U348" s="85">
        <f>STATS1003B!U349/1000</f>
        <v>0</v>
      </c>
      <c r="V348" s="85">
        <f>STATS1003B!V349/1000</f>
        <v>0</v>
      </c>
      <c r="W348" s="85">
        <f>STATS1003B!W349/1000</f>
        <v>0</v>
      </c>
      <c r="X348" s="85">
        <f t="shared" si="36"/>
        <v>2858.7</v>
      </c>
      <c r="Y348" s="85">
        <f>STATS1003B!Y349/1000</f>
        <v>0</v>
      </c>
      <c r="Z348" s="85">
        <f t="shared" si="39"/>
        <v>0</v>
      </c>
      <c r="AA348" s="69">
        <f>STATS1003B!AA349/1000</f>
        <v>2858.7</v>
      </c>
      <c r="AB348" s="69">
        <f>STATS1003B!AB349/1000</f>
        <v>0</v>
      </c>
    </row>
    <row r="349" spans="1:28" hidden="1" x14ac:dyDescent="0.3">
      <c r="A349" s="117"/>
      <c r="C349" s="68" t="s">
        <v>535</v>
      </c>
      <c r="D349" s="145" t="s">
        <v>58</v>
      </c>
      <c r="E349" s="85">
        <f>STATS1003B!E350/1000</f>
        <v>10413.43</v>
      </c>
      <c r="F349" s="85">
        <f>STATS1003B!F350/1000</f>
        <v>10413.43</v>
      </c>
      <c r="G349" s="85">
        <f>STATS1003B!G350/1000</f>
        <v>0</v>
      </c>
      <c r="H349" s="85">
        <f>STATS1003B!H350/1000</f>
        <v>10413.43</v>
      </c>
      <c r="I349" s="85">
        <f>STATS1003B!I350/1000</f>
        <v>0</v>
      </c>
      <c r="J349" s="85">
        <f>STATS1003B!J350/1000</f>
        <v>10413.43</v>
      </c>
      <c r="K349" s="85">
        <f>STATS1003B!K350/1000</f>
        <v>0</v>
      </c>
      <c r="L349" s="85">
        <f>STATS1003B!L350/1000</f>
        <v>0</v>
      </c>
      <c r="M349" s="85">
        <f>STATS1003B!M350/1000</f>
        <v>10413.43</v>
      </c>
      <c r="N349" s="85">
        <f>STATS1003B!N350/1000</f>
        <v>0</v>
      </c>
      <c r="O349" s="85">
        <f>STATS1003B!O350/1000</f>
        <v>0</v>
      </c>
      <c r="P349" s="85">
        <f>STATS1003B!P350/1000</f>
        <v>0</v>
      </c>
      <c r="Q349" s="85">
        <f>STATS1003B!Q350/1000</f>
        <v>0</v>
      </c>
      <c r="R349" s="85">
        <f>STATS1003B!R350/1000</f>
        <v>0</v>
      </c>
      <c r="S349" s="85">
        <f>STATS1003B!S350/1000</f>
        <v>0</v>
      </c>
      <c r="T349" s="85">
        <f>STATS1003B!T350/1000</f>
        <v>0</v>
      </c>
      <c r="U349" s="85">
        <f>STATS1003B!U350/1000</f>
        <v>0</v>
      </c>
      <c r="V349" s="85">
        <f>STATS1003B!V350/1000</f>
        <v>0</v>
      </c>
      <c r="W349" s="85">
        <f>STATS1003B!W350/1000</f>
        <v>0</v>
      </c>
      <c r="X349" s="85">
        <f t="shared" si="36"/>
        <v>10413.43</v>
      </c>
      <c r="Y349" s="85">
        <f>STATS1003B!Y350/1000</f>
        <v>0</v>
      </c>
      <c r="Z349" s="85">
        <f t="shared" si="39"/>
        <v>0</v>
      </c>
      <c r="AA349" s="69">
        <f>STATS1003B!AA350/1000</f>
        <v>10413.43</v>
      </c>
      <c r="AB349" s="69">
        <f>STATS1003B!AB350/1000</f>
        <v>0</v>
      </c>
    </row>
    <row r="350" spans="1:28" hidden="1" x14ac:dyDescent="0.3">
      <c r="A350" s="117"/>
      <c r="C350" s="68" t="s">
        <v>535</v>
      </c>
      <c r="D350" s="145" t="s">
        <v>60</v>
      </c>
      <c r="E350" s="85">
        <f>STATS1003B!E351/1000</f>
        <v>947.7</v>
      </c>
      <c r="F350" s="85">
        <f>STATS1003B!F351/1000</f>
        <v>947.7</v>
      </c>
      <c r="G350" s="85">
        <f>STATS1003B!G351/1000</f>
        <v>0</v>
      </c>
      <c r="H350" s="85">
        <f>STATS1003B!H351/1000</f>
        <v>947.7</v>
      </c>
      <c r="I350" s="85">
        <f>STATS1003B!I351/1000</f>
        <v>0</v>
      </c>
      <c r="J350" s="85">
        <f>STATS1003B!J351/1000</f>
        <v>947.7</v>
      </c>
      <c r="K350" s="85">
        <f>STATS1003B!K351/1000</f>
        <v>0</v>
      </c>
      <c r="L350" s="85">
        <f>STATS1003B!L351/1000</f>
        <v>0</v>
      </c>
      <c r="M350" s="85">
        <f>STATS1003B!M351/1000</f>
        <v>947.7</v>
      </c>
      <c r="N350" s="85">
        <f>STATS1003B!N351/1000</f>
        <v>0</v>
      </c>
      <c r="O350" s="85">
        <f>STATS1003B!O351/1000</f>
        <v>0</v>
      </c>
      <c r="P350" s="85">
        <f>STATS1003B!P351/1000</f>
        <v>0</v>
      </c>
      <c r="Q350" s="85">
        <f>STATS1003B!Q351/1000</f>
        <v>0</v>
      </c>
      <c r="R350" s="85">
        <f>STATS1003B!R351/1000</f>
        <v>0</v>
      </c>
      <c r="S350" s="85">
        <f>STATS1003B!S351/1000</f>
        <v>0</v>
      </c>
      <c r="T350" s="85">
        <f>STATS1003B!T351/1000</f>
        <v>0</v>
      </c>
      <c r="U350" s="85">
        <f>STATS1003B!U351/1000</f>
        <v>0</v>
      </c>
      <c r="V350" s="85">
        <f>STATS1003B!V351/1000</f>
        <v>0</v>
      </c>
      <c r="W350" s="85">
        <f>STATS1003B!W351/1000</f>
        <v>0</v>
      </c>
      <c r="X350" s="85">
        <f t="shared" si="36"/>
        <v>947.7</v>
      </c>
      <c r="Y350" s="85">
        <f>STATS1003B!Y351/1000</f>
        <v>0</v>
      </c>
      <c r="Z350" s="85">
        <f t="shared" si="39"/>
        <v>0</v>
      </c>
      <c r="AA350" s="69">
        <f>STATS1003B!AA351/1000</f>
        <v>947.7</v>
      </c>
      <c r="AB350" s="69">
        <f>STATS1003B!AB351/1000</f>
        <v>0</v>
      </c>
    </row>
    <row r="351" spans="1:28" hidden="1" x14ac:dyDescent="0.3">
      <c r="A351" s="117"/>
      <c r="C351" s="71" t="s">
        <v>535</v>
      </c>
      <c r="D351" s="88" t="s">
        <v>73</v>
      </c>
      <c r="E351" s="85">
        <f>STATS1003B!E352/1000</f>
        <v>2992.7077799999997</v>
      </c>
      <c r="F351" s="85">
        <f>STATS1003B!F352/1000</f>
        <v>2992.7077799999997</v>
      </c>
      <c r="G351" s="85">
        <f>STATS1003B!G352/1000</f>
        <v>0</v>
      </c>
      <c r="H351" s="85">
        <f>STATS1003B!H352/1000</f>
        <v>2992.7077799999997</v>
      </c>
      <c r="I351" s="85">
        <f>STATS1003B!I352/1000</f>
        <v>0</v>
      </c>
      <c r="J351" s="85">
        <f>STATS1003B!J352/1000</f>
        <v>2992.7077799999997</v>
      </c>
      <c r="K351" s="85">
        <f>STATS1003B!K352/1000</f>
        <v>0</v>
      </c>
      <c r="L351" s="85">
        <f>STATS1003B!L352/1000</f>
        <v>0</v>
      </c>
      <c r="M351" s="85">
        <f>STATS1003B!M352/1000</f>
        <v>2992.7077799999997</v>
      </c>
      <c r="N351" s="85">
        <f>STATS1003B!N352/1000</f>
        <v>0</v>
      </c>
      <c r="O351" s="85">
        <f>STATS1003B!O352/1000</f>
        <v>0</v>
      </c>
      <c r="P351" s="85">
        <f>STATS1003B!P352/1000</f>
        <v>0</v>
      </c>
      <c r="Q351" s="85">
        <f>STATS1003B!Q352/1000</f>
        <v>0</v>
      </c>
      <c r="R351" s="85">
        <f>STATS1003B!R352/1000</f>
        <v>0</v>
      </c>
      <c r="S351" s="85">
        <f>STATS1003B!S352/1000</f>
        <v>0</v>
      </c>
      <c r="T351" s="85">
        <f>STATS1003B!T352/1000</f>
        <v>0</v>
      </c>
      <c r="U351" s="85">
        <f>STATS1003B!U352/1000</f>
        <v>0</v>
      </c>
      <c r="V351" s="85">
        <f>STATS1003B!V352/1000</f>
        <v>0</v>
      </c>
      <c r="W351" s="85">
        <f>STATS1003B!W352/1000</f>
        <v>0</v>
      </c>
      <c r="X351" s="85">
        <f t="shared" si="36"/>
        <v>2992.7077799999997</v>
      </c>
      <c r="Y351" s="85">
        <f>STATS1003B!Y352/1000</f>
        <v>0</v>
      </c>
      <c r="Z351" s="85">
        <f t="shared" si="39"/>
        <v>0</v>
      </c>
      <c r="AA351" s="69">
        <f>STATS1003B!AA352/1000</f>
        <v>2992.7077799999997</v>
      </c>
      <c r="AB351" s="69">
        <f>STATS1003B!AB352/1000</f>
        <v>0</v>
      </c>
    </row>
    <row r="352" spans="1:28" hidden="1" x14ac:dyDescent="0.3">
      <c r="A352" s="117"/>
      <c r="C352" s="71" t="s">
        <v>567</v>
      </c>
      <c r="D352" s="88" t="s">
        <v>73</v>
      </c>
      <c r="E352" s="85">
        <f>STATS1003B!E353/1000</f>
        <v>125.99310000000001</v>
      </c>
      <c r="F352" s="85">
        <f>STATS1003B!F353/1000</f>
        <v>125.99310000000001</v>
      </c>
      <c r="G352" s="85">
        <f>STATS1003B!G353/1000</f>
        <v>0</v>
      </c>
      <c r="H352" s="85">
        <f>STATS1003B!H353/1000</f>
        <v>125.99310000000001</v>
      </c>
      <c r="I352" s="85">
        <f>STATS1003B!I353/1000</f>
        <v>0</v>
      </c>
      <c r="J352" s="85">
        <f>STATS1003B!J353/1000</f>
        <v>125.99310000000001</v>
      </c>
      <c r="K352" s="85">
        <f>STATS1003B!K353/1000</f>
        <v>0</v>
      </c>
      <c r="L352" s="85">
        <f>STATS1003B!L353/1000</f>
        <v>0</v>
      </c>
      <c r="M352" s="85">
        <f>STATS1003B!M353/1000</f>
        <v>125.99310000000001</v>
      </c>
      <c r="N352" s="85">
        <f>STATS1003B!N353/1000</f>
        <v>0</v>
      </c>
      <c r="O352" s="85">
        <f>STATS1003B!O353/1000</f>
        <v>0</v>
      </c>
      <c r="P352" s="85">
        <f>STATS1003B!P353/1000</f>
        <v>0</v>
      </c>
      <c r="Q352" s="85">
        <f>STATS1003B!Q353/1000</f>
        <v>0</v>
      </c>
      <c r="R352" s="85">
        <f>STATS1003B!R353/1000</f>
        <v>0</v>
      </c>
      <c r="S352" s="85">
        <f>STATS1003B!S353/1000</f>
        <v>0</v>
      </c>
      <c r="T352" s="85">
        <f>STATS1003B!T353/1000</f>
        <v>0</v>
      </c>
      <c r="U352" s="85">
        <f>STATS1003B!U353/1000</f>
        <v>0</v>
      </c>
      <c r="V352" s="85">
        <f>STATS1003B!V353/1000</f>
        <v>0</v>
      </c>
      <c r="W352" s="85">
        <f>STATS1003B!W353/1000</f>
        <v>0</v>
      </c>
      <c r="X352" s="85">
        <f t="shared" si="36"/>
        <v>125.99310000000001</v>
      </c>
      <c r="Y352" s="85">
        <f>STATS1003B!Y353/1000</f>
        <v>0</v>
      </c>
      <c r="Z352" s="85">
        <f t="shared" si="39"/>
        <v>0</v>
      </c>
      <c r="AA352" s="69">
        <f>STATS1003B!AA353/1000</f>
        <v>125.99310000000001</v>
      </c>
      <c r="AB352" s="69">
        <f>STATS1003B!AB353/1000</f>
        <v>0</v>
      </c>
    </row>
    <row r="353" spans="1:28" hidden="1" x14ac:dyDescent="0.3">
      <c r="A353" s="117"/>
      <c r="C353" s="71" t="s">
        <v>576</v>
      </c>
      <c r="D353" s="88" t="s">
        <v>73</v>
      </c>
      <c r="E353" s="85">
        <f>STATS1003B!E354/1000</f>
        <v>587.47679000000005</v>
      </c>
      <c r="F353" s="85">
        <f>STATS1003B!F354/1000</f>
        <v>587.47679000000005</v>
      </c>
      <c r="G353" s="85">
        <f>STATS1003B!G354/1000</f>
        <v>0</v>
      </c>
      <c r="H353" s="85">
        <f>STATS1003B!H354/1000</f>
        <v>587.47679000000005</v>
      </c>
      <c r="I353" s="85">
        <f>STATS1003B!I354/1000</f>
        <v>0</v>
      </c>
      <c r="J353" s="85">
        <f>STATS1003B!J354/1000</f>
        <v>587.47679000000005</v>
      </c>
      <c r="K353" s="85">
        <f>STATS1003B!K354/1000</f>
        <v>0</v>
      </c>
      <c r="L353" s="85">
        <f>STATS1003B!L354/1000</f>
        <v>0</v>
      </c>
      <c r="M353" s="85">
        <f>STATS1003B!M354/1000</f>
        <v>587.47679000000005</v>
      </c>
      <c r="N353" s="85">
        <f>STATS1003B!N354/1000</f>
        <v>0</v>
      </c>
      <c r="O353" s="85">
        <f>STATS1003B!O354/1000</f>
        <v>0</v>
      </c>
      <c r="P353" s="85">
        <f>STATS1003B!P354/1000</f>
        <v>0</v>
      </c>
      <c r="Q353" s="85">
        <f>STATS1003B!Q354/1000</f>
        <v>0</v>
      </c>
      <c r="R353" s="85">
        <f>STATS1003B!R354/1000</f>
        <v>0</v>
      </c>
      <c r="S353" s="85">
        <f>STATS1003B!S354/1000</f>
        <v>0</v>
      </c>
      <c r="T353" s="85">
        <f>STATS1003B!T354/1000</f>
        <v>0</v>
      </c>
      <c r="U353" s="85">
        <f>STATS1003B!U354/1000</f>
        <v>0</v>
      </c>
      <c r="V353" s="85">
        <f>STATS1003B!V354/1000</f>
        <v>0</v>
      </c>
      <c r="W353" s="85">
        <f>STATS1003B!W354/1000</f>
        <v>0</v>
      </c>
      <c r="X353" s="85">
        <f t="shared" si="36"/>
        <v>587.47679000000005</v>
      </c>
      <c r="Y353" s="85">
        <f>STATS1003B!Y354/1000</f>
        <v>0</v>
      </c>
      <c r="Z353" s="85">
        <f t="shared" si="39"/>
        <v>0</v>
      </c>
      <c r="AA353" s="69">
        <f>STATS1003B!AA354/1000</f>
        <v>587.47679000000005</v>
      </c>
      <c r="AB353" s="69">
        <f>STATS1003B!AB354/1000</f>
        <v>0</v>
      </c>
    </row>
    <row r="354" spans="1:28" hidden="1" x14ac:dyDescent="0.3">
      <c r="A354" s="117"/>
      <c r="C354" s="71" t="s">
        <v>1172</v>
      </c>
      <c r="D354" s="89" t="s">
        <v>1126</v>
      </c>
      <c r="E354" s="85">
        <f>STATS1003B!E355/1000</f>
        <v>1000</v>
      </c>
      <c r="F354" s="85">
        <f>STATS1003B!F355/1000</f>
        <v>1000</v>
      </c>
      <c r="G354" s="85">
        <f>STATS1003B!G355/1000</f>
        <v>0</v>
      </c>
      <c r="H354" s="85">
        <f>STATS1003B!H355/1000</f>
        <v>1000</v>
      </c>
      <c r="I354" s="85">
        <f>STATS1003B!I355/1000</f>
        <v>0</v>
      </c>
      <c r="J354" s="85">
        <f>STATS1003B!J355/1000</f>
        <v>1000</v>
      </c>
      <c r="K354" s="85">
        <f>STATS1003B!K355/1000</f>
        <v>0</v>
      </c>
      <c r="L354" s="85">
        <f>STATS1003B!L355/1000</f>
        <v>0</v>
      </c>
      <c r="M354" s="85">
        <f>STATS1003B!M355/1000</f>
        <v>1000</v>
      </c>
      <c r="N354" s="85">
        <f>STATS1003B!N355/1000</f>
        <v>0</v>
      </c>
      <c r="O354" s="85">
        <f>STATS1003B!O355/1000</f>
        <v>0</v>
      </c>
      <c r="P354" s="85">
        <f>STATS1003B!P355/1000</f>
        <v>0</v>
      </c>
      <c r="Q354" s="85">
        <f>STATS1003B!Q355/1000</f>
        <v>0</v>
      </c>
      <c r="R354" s="85">
        <f>STATS1003B!R355/1000</f>
        <v>0</v>
      </c>
      <c r="S354" s="85">
        <f>STATS1003B!S355/1000</f>
        <v>0</v>
      </c>
      <c r="T354" s="85">
        <f>STATS1003B!T355/1000</f>
        <v>0</v>
      </c>
      <c r="U354" s="85">
        <f>STATS1003B!U355/1000</f>
        <v>0</v>
      </c>
      <c r="V354" s="85">
        <f>STATS1003B!V355/1000</f>
        <v>0</v>
      </c>
      <c r="W354" s="85">
        <f>STATS1003B!W355/1000</f>
        <v>0</v>
      </c>
      <c r="X354" s="85">
        <f t="shared" si="36"/>
        <v>1000</v>
      </c>
      <c r="Y354" s="85">
        <f>STATS1003B!Y355/1000</f>
        <v>0</v>
      </c>
      <c r="Z354" s="85">
        <f t="shared" si="39"/>
        <v>0</v>
      </c>
      <c r="AA354" s="69">
        <f>STATS1003B!AA355/1000</f>
        <v>1000</v>
      </c>
      <c r="AB354" s="69">
        <f>STATS1003B!AB355/1000</f>
        <v>0</v>
      </c>
    </row>
    <row r="355" spans="1:28" hidden="1" x14ac:dyDescent="0.3">
      <c r="A355" s="117"/>
      <c r="C355" s="71" t="s">
        <v>926</v>
      </c>
      <c r="D355" s="89" t="s">
        <v>61</v>
      </c>
      <c r="E355" s="85">
        <f>STATS1003B!E356/1000</f>
        <v>2763.6185</v>
      </c>
      <c r="F355" s="85">
        <f>STATS1003B!F356/1000</f>
        <v>2763.6185</v>
      </c>
      <c r="G355" s="85">
        <f>STATS1003B!G356/1000</f>
        <v>0</v>
      </c>
      <c r="H355" s="85">
        <f>STATS1003B!H356/1000</f>
        <v>2763.6185</v>
      </c>
      <c r="I355" s="85">
        <f>STATS1003B!I356/1000</f>
        <v>0</v>
      </c>
      <c r="J355" s="85">
        <f>STATS1003B!J356/1000</f>
        <v>0</v>
      </c>
      <c r="K355" s="85">
        <f>STATS1003B!K356/1000</f>
        <v>0</v>
      </c>
      <c r="L355" s="85">
        <f>STATS1003B!L356/1000</f>
        <v>0</v>
      </c>
      <c r="M355" s="85">
        <f>STATS1003B!M356/1000</f>
        <v>2763.6185</v>
      </c>
      <c r="N355" s="85">
        <f>STATS1003B!N356/1000</f>
        <v>0</v>
      </c>
      <c r="O355" s="85">
        <f>STATS1003B!O356/1000</f>
        <v>0</v>
      </c>
      <c r="P355" s="85">
        <f>STATS1003B!P356/1000</f>
        <v>0</v>
      </c>
      <c r="Q355" s="85">
        <f>STATS1003B!Q356/1000</f>
        <v>0</v>
      </c>
      <c r="R355" s="85">
        <f>STATS1003B!R356/1000</f>
        <v>0</v>
      </c>
      <c r="S355" s="85">
        <f>STATS1003B!S356/1000</f>
        <v>0</v>
      </c>
      <c r="T355" s="85">
        <f>STATS1003B!T356/1000</f>
        <v>0</v>
      </c>
      <c r="U355" s="85">
        <f>STATS1003B!U356/1000</f>
        <v>0</v>
      </c>
      <c r="V355" s="85">
        <f>STATS1003B!V356/1000</f>
        <v>0</v>
      </c>
      <c r="W355" s="85">
        <f>STATS1003B!W356/1000</f>
        <v>0</v>
      </c>
      <c r="X355" s="85">
        <f t="shared" si="36"/>
        <v>2763.6185</v>
      </c>
      <c r="Y355" s="85">
        <f>STATS1003B!Y356/1000</f>
        <v>0</v>
      </c>
      <c r="Z355" s="85">
        <f t="shared" si="39"/>
        <v>0</v>
      </c>
      <c r="AA355" s="69">
        <f>STATS1003B!AA356/1000</f>
        <v>2763.6185</v>
      </c>
      <c r="AB355" s="69">
        <f>STATS1003B!AB356/1000</f>
        <v>0</v>
      </c>
    </row>
    <row r="356" spans="1:28" hidden="1" x14ac:dyDescent="0.3">
      <c r="A356" s="117"/>
      <c r="C356" s="71" t="s">
        <v>929</v>
      </c>
      <c r="D356" s="89" t="s">
        <v>1072</v>
      </c>
      <c r="E356" s="85">
        <f>STATS1003B!E357/1000</f>
        <v>4843.23873</v>
      </c>
      <c r="F356" s="85">
        <f>STATS1003B!F357/1000</f>
        <v>4843.23873</v>
      </c>
      <c r="G356" s="85">
        <f>STATS1003B!G357/1000</f>
        <v>0</v>
      </c>
      <c r="H356" s="85">
        <f>STATS1003B!H357/1000</f>
        <v>4843.23873</v>
      </c>
      <c r="I356" s="85">
        <f>STATS1003B!I357/1000</f>
        <v>0</v>
      </c>
      <c r="J356" s="85">
        <f>STATS1003B!J357/1000</f>
        <v>0</v>
      </c>
      <c r="K356" s="85">
        <f>STATS1003B!K357/1000</f>
        <v>0</v>
      </c>
      <c r="L356" s="85">
        <f>STATS1003B!L357/1000</f>
        <v>0</v>
      </c>
      <c r="M356" s="85">
        <f>STATS1003B!M357/1000</f>
        <v>4843.23873</v>
      </c>
      <c r="N356" s="85">
        <f>STATS1003B!N357/1000</f>
        <v>0</v>
      </c>
      <c r="O356" s="85">
        <f>STATS1003B!O357/1000</f>
        <v>0</v>
      </c>
      <c r="P356" s="85">
        <f>STATS1003B!P357/1000</f>
        <v>0</v>
      </c>
      <c r="Q356" s="85">
        <f>STATS1003B!Q357/1000</f>
        <v>0</v>
      </c>
      <c r="R356" s="85">
        <f>STATS1003B!R357/1000</f>
        <v>0</v>
      </c>
      <c r="S356" s="85">
        <f>STATS1003B!S357/1000</f>
        <v>0</v>
      </c>
      <c r="T356" s="85">
        <f>STATS1003B!T357/1000</f>
        <v>0</v>
      </c>
      <c r="U356" s="85">
        <f>STATS1003B!U357/1000</f>
        <v>0</v>
      </c>
      <c r="V356" s="85">
        <f>STATS1003B!V357/1000</f>
        <v>0</v>
      </c>
      <c r="W356" s="85">
        <f>STATS1003B!W357/1000</f>
        <v>0</v>
      </c>
      <c r="X356" s="85">
        <f t="shared" si="36"/>
        <v>4843.23873</v>
      </c>
      <c r="Y356" s="85">
        <f>STATS1003B!Y357/1000</f>
        <v>0</v>
      </c>
      <c r="Z356" s="85">
        <f t="shared" si="39"/>
        <v>0</v>
      </c>
      <c r="AA356" s="69">
        <f>STATS1003B!AA357/1000</f>
        <v>4843.23873</v>
      </c>
      <c r="AB356" s="69">
        <f>STATS1003B!AB357/1000</f>
        <v>0</v>
      </c>
    </row>
    <row r="357" spans="1:28" hidden="1" x14ac:dyDescent="0.3">
      <c r="A357" s="117"/>
      <c r="C357" s="71" t="s">
        <v>1173</v>
      </c>
      <c r="D357" s="89" t="s">
        <v>1126</v>
      </c>
      <c r="E357" s="85">
        <f>STATS1003B!E358/1000</f>
        <v>6169.3897300000008</v>
      </c>
      <c r="F357" s="85">
        <f>STATS1003B!F358/1000</f>
        <v>6169.3897300000008</v>
      </c>
      <c r="G357" s="85">
        <f>STATS1003B!G358/1000</f>
        <v>0</v>
      </c>
      <c r="H357" s="85">
        <f>STATS1003B!H358/1000</f>
        <v>6169.3897300000008</v>
      </c>
      <c r="I357" s="85">
        <f>STATS1003B!I358/1000</f>
        <v>0</v>
      </c>
      <c r="J357" s="85">
        <f>STATS1003B!J358/1000</f>
        <v>0</v>
      </c>
      <c r="K357" s="85">
        <f>STATS1003B!K358/1000</f>
        <v>0</v>
      </c>
      <c r="L357" s="85">
        <f>STATS1003B!L358/1000</f>
        <v>0</v>
      </c>
      <c r="M357" s="85">
        <f>STATS1003B!M358/1000</f>
        <v>6169.3897300000008</v>
      </c>
      <c r="N357" s="85">
        <f>STATS1003B!N358/1000</f>
        <v>0</v>
      </c>
      <c r="O357" s="85">
        <f>STATS1003B!O358/1000</f>
        <v>0</v>
      </c>
      <c r="P357" s="85">
        <f>STATS1003B!P358/1000</f>
        <v>0</v>
      </c>
      <c r="Q357" s="85">
        <f>STATS1003B!Q358/1000</f>
        <v>0</v>
      </c>
      <c r="R357" s="85">
        <f>STATS1003B!R358/1000</f>
        <v>0</v>
      </c>
      <c r="S357" s="85">
        <f>STATS1003B!S358/1000</f>
        <v>0</v>
      </c>
      <c r="T357" s="85">
        <f>STATS1003B!T358/1000</f>
        <v>0</v>
      </c>
      <c r="U357" s="85">
        <f>STATS1003B!U358/1000</f>
        <v>0</v>
      </c>
      <c r="V357" s="85">
        <f>STATS1003B!V358/1000</f>
        <v>0</v>
      </c>
      <c r="W357" s="85">
        <f>STATS1003B!W358/1000</f>
        <v>0</v>
      </c>
      <c r="X357" s="85">
        <f t="shared" si="36"/>
        <v>6169.3897300000008</v>
      </c>
      <c r="Y357" s="85">
        <f>STATS1003B!Y358/1000</f>
        <v>0</v>
      </c>
      <c r="Z357" s="85">
        <f t="shared" si="39"/>
        <v>0</v>
      </c>
      <c r="AA357" s="69">
        <f>STATS1003B!AA358/1000</f>
        <v>6169.3897300000008</v>
      </c>
      <c r="AB357" s="69">
        <f>STATS1003B!AB358/1000</f>
        <v>0</v>
      </c>
    </row>
    <row r="358" spans="1:28" hidden="1" x14ac:dyDescent="0.3">
      <c r="A358" s="117"/>
      <c r="C358" s="95" t="s">
        <v>1244</v>
      </c>
      <c r="D358" s="89" t="s">
        <v>1225</v>
      </c>
      <c r="E358" s="85">
        <f>STATS1003B!E359/1000</f>
        <v>1539.1684399999999</v>
      </c>
      <c r="F358" s="85">
        <f>STATS1003B!F359/1000</f>
        <v>1539.1684399999999</v>
      </c>
      <c r="G358" s="85">
        <f>STATS1003B!G359/1000</f>
        <v>0</v>
      </c>
      <c r="H358" s="85">
        <f>STATS1003B!H359/1000</f>
        <v>1539.1684399999999</v>
      </c>
      <c r="I358" s="85">
        <f>STATS1003B!I359/1000</f>
        <v>0</v>
      </c>
      <c r="J358" s="85">
        <f>STATS1003B!J359/1000</f>
        <v>0</v>
      </c>
      <c r="K358" s="85">
        <f>STATS1003B!K359/1000</f>
        <v>0</v>
      </c>
      <c r="L358" s="85">
        <f>STATS1003B!L359/1000</f>
        <v>0</v>
      </c>
      <c r="M358" s="85">
        <f>STATS1003B!M359/1000</f>
        <v>1539.1684399999999</v>
      </c>
      <c r="N358" s="85">
        <f>STATS1003B!N359/1000</f>
        <v>0</v>
      </c>
      <c r="O358" s="85">
        <f>STATS1003B!O359/1000</f>
        <v>0</v>
      </c>
      <c r="P358" s="85">
        <f>STATS1003B!P359/1000</f>
        <v>0</v>
      </c>
      <c r="Q358" s="85">
        <f>STATS1003B!Q359/1000</f>
        <v>0</v>
      </c>
      <c r="R358" s="85">
        <f>STATS1003B!R359/1000</f>
        <v>0</v>
      </c>
      <c r="S358" s="85">
        <f>STATS1003B!S359/1000</f>
        <v>0</v>
      </c>
      <c r="T358" s="85">
        <f>STATS1003B!T359/1000</f>
        <v>0</v>
      </c>
      <c r="U358" s="85">
        <f>STATS1003B!U359/1000</f>
        <v>0</v>
      </c>
      <c r="V358" s="85">
        <f>STATS1003B!V359/1000</f>
        <v>0</v>
      </c>
      <c r="W358" s="85">
        <f>STATS1003B!W359/1000</f>
        <v>0</v>
      </c>
      <c r="X358" s="85">
        <f t="shared" si="36"/>
        <v>1539.1684399999999</v>
      </c>
      <c r="Y358" s="85">
        <f>STATS1003B!Y359/1000</f>
        <v>0</v>
      </c>
      <c r="Z358" s="85">
        <f t="shared" si="39"/>
        <v>0</v>
      </c>
      <c r="AA358" s="69">
        <f>STATS1003B!AA359/1000</f>
        <v>1539.1684399999999</v>
      </c>
      <c r="AB358" s="69">
        <f>STATS1003B!AB359/1000</f>
        <v>0</v>
      </c>
    </row>
    <row r="359" spans="1:28" hidden="1" x14ac:dyDescent="0.3">
      <c r="A359" s="117"/>
      <c r="C359" s="71" t="s">
        <v>1104</v>
      </c>
      <c r="D359" s="89" t="s">
        <v>1072</v>
      </c>
      <c r="E359" s="85">
        <f>STATS1003B!E360/1000</f>
        <v>1500</v>
      </c>
      <c r="F359" s="85">
        <f>STATS1003B!F360/1000</f>
        <v>1500</v>
      </c>
      <c r="G359" s="85">
        <f>STATS1003B!G360/1000</f>
        <v>0</v>
      </c>
      <c r="H359" s="85">
        <f>STATS1003B!H360/1000</f>
        <v>1500</v>
      </c>
      <c r="I359" s="85">
        <f>STATS1003B!I360/1000</f>
        <v>0</v>
      </c>
      <c r="J359" s="85">
        <f>STATS1003B!J360/1000</f>
        <v>0</v>
      </c>
      <c r="K359" s="85">
        <f>STATS1003B!K360/1000</f>
        <v>0</v>
      </c>
      <c r="L359" s="85">
        <f>STATS1003B!L360/1000</f>
        <v>0</v>
      </c>
      <c r="M359" s="85">
        <f>STATS1003B!M360/1000</f>
        <v>1500</v>
      </c>
      <c r="N359" s="85">
        <f>STATS1003B!N360/1000</f>
        <v>0</v>
      </c>
      <c r="O359" s="85">
        <f>STATS1003B!O360/1000</f>
        <v>0</v>
      </c>
      <c r="P359" s="85">
        <f>STATS1003B!P360/1000</f>
        <v>0</v>
      </c>
      <c r="Q359" s="85">
        <f>STATS1003B!Q360/1000</f>
        <v>0</v>
      </c>
      <c r="R359" s="85">
        <f>STATS1003B!R360/1000</f>
        <v>0</v>
      </c>
      <c r="S359" s="85">
        <f>STATS1003B!S360/1000</f>
        <v>0</v>
      </c>
      <c r="T359" s="85">
        <f>STATS1003B!T360/1000</f>
        <v>0</v>
      </c>
      <c r="U359" s="85">
        <f>STATS1003B!U360/1000</f>
        <v>0</v>
      </c>
      <c r="V359" s="85">
        <f>STATS1003B!V360/1000</f>
        <v>0</v>
      </c>
      <c r="W359" s="85">
        <f>STATS1003B!W360/1000</f>
        <v>0</v>
      </c>
      <c r="X359" s="85">
        <f t="shared" si="36"/>
        <v>1500</v>
      </c>
      <c r="Y359" s="85">
        <f>STATS1003B!Y360/1000</f>
        <v>0</v>
      </c>
      <c r="Z359" s="85">
        <f t="shared" si="39"/>
        <v>0</v>
      </c>
      <c r="AA359" s="69">
        <f>STATS1003B!AA360/1000</f>
        <v>1500</v>
      </c>
      <c r="AB359" s="69">
        <f>STATS1003B!AB360/1000</f>
        <v>0</v>
      </c>
    </row>
    <row r="360" spans="1:28" hidden="1" x14ac:dyDescent="0.3">
      <c r="A360" s="117"/>
      <c r="C360" s="71" t="s">
        <v>1142</v>
      </c>
      <c r="D360" s="89" t="s">
        <v>1126</v>
      </c>
      <c r="E360" s="85">
        <f>STATS1003B!E361/1000</f>
        <v>268.42352</v>
      </c>
      <c r="F360" s="85">
        <f>STATS1003B!F361/1000</f>
        <v>268.42352</v>
      </c>
      <c r="G360" s="85">
        <f>STATS1003B!G361/1000</f>
        <v>0</v>
      </c>
      <c r="H360" s="85">
        <f>STATS1003B!H361/1000</f>
        <v>268.42352</v>
      </c>
      <c r="I360" s="85">
        <f>STATS1003B!I361/1000</f>
        <v>0</v>
      </c>
      <c r="J360" s="85">
        <f>STATS1003B!J361/1000</f>
        <v>0</v>
      </c>
      <c r="K360" s="85">
        <f>STATS1003B!K361/1000</f>
        <v>0</v>
      </c>
      <c r="L360" s="85">
        <f>STATS1003B!L361/1000</f>
        <v>0</v>
      </c>
      <c r="M360" s="85">
        <f>STATS1003B!M361/1000</f>
        <v>268.42352</v>
      </c>
      <c r="N360" s="85">
        <f>STATS1003B!N361/1000</f>
        <v>0</v>
      </c>
      <c r="O360" s="85">
        <f>STATS1003B!O361/1000</f>
        <v>0</v>
      </c>
      <c r="P360" s="85">
        <f>STATS1003B!P361/1000</f>
        <v>0</v>
      </c>
      <c r="Q360" s="85">
        <f>STATS1003B!Q361/1000</f>
        <v>0</v>
      </c>
      <c r="R360" s="85">
        <f>STATS1003B!R361/1000</f>
        <v>0</v>
      </c>
      <c r="S360" s="85">
        <f>STATS1003B!S361/1000</f>
        <v>0</v>
      </c>
      <c r="T360" s="85">
        <f>STATS1003B!T361/1000</f>
        <v>0</v>
      </c>
      <c r="U360" s="85">
        <f>STATS1003B!U361/1000</f>
        <v>0</v>
      </c>
      <c r="V360" s="85">
        <f>STATS1003B!V361/1000</f>
        <v>0</v>
      </c>
      <c r="W360" s="85">
        <f>STATS1003B!W361/1000</f>
        <v>0</v>
      </c>
      <c r="X360" s="85">
        <f t="shared" si="36"/>
        <v>268.42352</v>
      </c>
      <c r="Y360" s="85">
        <f>STATS1003B!Y361/1000</f>
        <v>0</v>
      </c>
      <c r="Z360" s="85">
        <f t="shared" si="39"/>
        <v>0</v>
      </c>
      <c r="AA360" s="69">
        <f>STATS1003B!AA361/1000</f>
        <v>268.42352</v>
      </c>
      <c r="AB360" s="69">
        <f>STATS1003B!AB361/1000</f>
        <v>0</v>
      </c>
    </row>
    <row r="361" spans="1:28" hidden="1" x14ac:dyDescent="0.3">
      <c r="A361" s="117"/>
      <c r="C361" s="71" t="s">
        <v>1143</v>
      </c>
      <c r="D361" s="89" t="s">
        <v>1126</v>
      </c>
      <c r="E361" s="85">
        <f>STATS1003B!E362/1000</f>
        <v>874.00689999999997</v>
      </c>
      <c r="F361" s="85">
        <f>STATS1003B!F362/1000</f>
        <v>874.00689999999997</v>
      </c>
      <c r="G361" s="85">
        <f>STATS1003B!G362/1000</f>
        <v>0</v>
      </c>
      <c r="H361" s="85">
        <f>STATS1003B!H362/1000</f>
        <v>874.00689999999997</v>
      </c>
      <c r="I361" s="85">
        <f>STATS1003B!I362/1000</f>
        <v>0</v>
      </c>
      <c r="J361" s="85">
        <f>STATS1003B!J362/1000</f>
        <v>0</v>
      </c>
      <c r="K361" s="85">
        <f>STATS1003B!K362/1000</f>
        <v>0</v>
      </c>
      <c r="L361" s="85">
        <f>STATS1003B!L362/1000</f>
        <v>0</v>
      </c>
      <c r="M361" s="85">
        <f>STATS1003B!M362/1000</f>
        <v>874.00689999999997</v>
      </c>
      <c r="N361" s="85">
        <f>STATS1003B!N362/1000</f>
        <v>0</v>
      </c>
      <c r="O361" s="85">
        <f>STATS1003B!O362/1000</f>
        <v>0</v>
      </c>
      <c r="P361" s="85">
        <f>STATS1003B!P362/1000</f>
        <v>0</v>
      </c>
      <c r="Q361" s="85">
        <f>STATS1003B!Q362/1000</f>
        <v>0</v>
      </c>
      <c r="R361" s="85">
        <f>STATS1003B!R362/1000</f>
        <v>0</v>
      </c>
      <c r="S361" s="85">
        <f>STATS1003B!S362/1000</f>
        <v>0</v>
      </c>
      <c r="T361" s="85">
        <f>STATS1003B!T362/1000</f>
        <v>0</v>
      </c>
      <c r="U361" s="85">
        <f>STATS1003B!U362/1000</f>
        <v>0</v>
      </c>
      <c r="V361" s="85">
        <f>STATS1003B!V362/1000</f>
        <v>0</v>
      </c>
      <c r="W361" s="85">
        <f>STATS1003B!W362/1000</f>
        <v>0</v>
      </c>
      <c r="X361" s="85">
        <f t="shared" si="36"/>
        <v>874.00689999999997</v>
      </c>
      <c r="Y361" s="85">
        <f>STATS1003B!Y362/1000</f>
        <v>0</v>
      </c>
      <c r="Z361" s="85">
        <f t="shared" si="39"/>
        <v>0</v>
      </c>
      <c r="AA361" s="69">
        <f>STATS1003B!AA362/1000</f>
        <v>874.00689999999997</v>
      </c>
      <c r="AB361" s="69">
        <f>STATS1003B!AB362/1000</f>
        <v>0</v>
      </c>
    </row>
    <row r="362" spans="1:28" hidden="1" x14ac:dyDescent="0.3">
      <c r="A362" s="117"/>
      <c r="C362" s="71" t="s">
        <v>927</v>
      </c>
      <c r="D362" s="88"/>
      <c r="E362" s="85">
        <f>STATS1003B!E363/1000</f>
        <v>731.57647999999995</v>
      </c>
      <c r="F362" s="85">
        <f>STATS1003B!F363/1000</f>
        <v>731.57647999999995</v>
      </c>
      <c r="G362" s="85">
        <f>STATS1003B!G363/1000</f>
        <v>0</v>
      </c>
      <c r="H362" s="85">
        <f>STATS1003B!H363/1000</f>
        <v>731.57647999999995</v>
      </c>
      <c r="I362" s="85">
        <f>STATS1003B!I363/1000</f>
        <v>0</v>
      </c>
      <c r="J362" s="85">
        <f>STATS1003B!J363/1000</f>
        <v>0</v>
      </c>
      <c r="K362" s="85">
        <f>STATS1003B!K363/1000</f>
        <v>0</v>
      </c>
      <c r="L362" s="85">
        <f>STATS1003B!L363/1000</f>
        <v>0</v>
      </c>
      <c r="M362" s="85">
        <f>STATS1003B!M363/1000</f>
        <v>731.57647999999995</v>
      </c>
      <c r="N362" s="85">
        <f>STATS1003B!N363/1000</f>
        <v>0</v>
      </c>
      <c r="O362" s="85">
        <f>STATS1003B!O363/1000</f>
        <v>0</v>
      </c>
      <c r="P362" s="85">
        <f>STATS1003B!P363/1000</f>
        <v>0</v>
      </c>
      <c r="Q362" s="85">
        <f>STATS1003B!Q363/1000</f>
        <v>0</v>
      </c>
      <c r="R362" s="85">
        <f>STATS1003B!R363/1000</f>
        <v>0</v>
      </c>
      <c r="S362" s="85">
        <f>STATS1003B!S363/1000</f>
        <v>0</v>
      </c>
      <c r="T362" s="85">
        <f>STATS1003B!T363/1000</f>
        <v>0</v>
      </c>
      <c r="U362" s="85">
        <f>STATS1003B!U363/1000</f>
        <v>0</v>
      </c>
      <c r="V362" s="85">
        <f>STATS1003B!V363/1000</f>
        <v>0</v>
      </c>
      <c r="W362" s="85">
        <f>STATS1003B!W363/1000</f>
        <v>0</v>
      </c>
      <c r="X362" s="85">
        <f t="shared" si="36"/>
        <v>731.57647999999995</v>
      </c>
      <c r="Y362" s="85">
        <f>STATS1003B!Y363/1000</f>
        <v>0</v>
      </c>
      <c r="Z362" s="85">
        <f t="shared" si="39"/>
        <v>0</v>
      </c>
      <c r="AA362" s="69">
        <f>STATS1003B!AA363/1000</f>
        <v>731.57647999999995</v>
      </c>
      <c r="AB362" s="69">
        <f>STATS1003B!AB363/1000</f>
        <v>0</v>
      </c>
    </row>
    <row r="363" spans="1:28" hidden="1" x14ac:dyDescent="0.3">
      <c r="A363" s="117"/>
      <c r="C363" s="68" t="s">
        <v>577</v>
      </c>
      <c r="E363" s="85">
        <f>STATS1003B!E364/1000</f>
        <v>2654.645</v>
      </c>
      <c r="F363" s="85">
        <f>STATS1003B!F364/1000</f>
        <v>2654.645</v>
      </c>
      <c r="G363" s="85">
        <f>STATS1003B!G364/1000</f>
        <v>0</v>
      </c>
      <c r="H363" s="85">
        <f>STATS1003B!H364/1000</f>
        <v>2654.645</v>
      </c>
      <c r="I363" s="85">
        <f>STATS1003B!I364/1000</f>
        <v>0</v>
      </c>
      <c r="J363" s="85">
        <f>STATS1003B!J364/1000</f>
        <v>2654.645</v>
      </c>
      <c r="K363" s="85">
        <f>STATS1003B!K364/1000</f>
        <v>0</v>
      </c>
      <c r="L363" s="85">
        <f>STATS1003B!L364/1000</f>
        <v>0</v>
      </c>
      <c r="M363" s="85">
        <f>STATS1003B!M364/1000</f>
        <v>2654.645</v>
      </c>
      <c r="N363" s="85">
        <f>STATS1003B!N364/1000</f>
        <v>0</v>
      </c>
      <c r="O363" s="85">
        <f>STATS1003B!O364/1000</f>
        <v>0</v>
      </c>
      <c r="P363" s="85">
        <f>STATS1003B!P364/1000</f>
        <v>0</v>
      </c>
      <c r="Q363" s="85">
        <f>STATS1003B!Q364/1000</f>
        <v>0</v>
      </c>
      <c r="R363" s="85">
        <f>STATS1003B!R364/1000</f>
        <v>0</v>
      </c>
      <c r="S363" s="85">
        <f>STATS1003B!S364/1000</f>
        <v>0</v>
      </c>
      <c r="T363" s="85">
        <f>STATS1003B!T364/1000</f>
        <v>0</v>
      </c>
      <c r="U363" s="85">
        <f>STATS1003B!U364/1000</f>
        <v>0</v>
      </c>
      <c r="V363" s="85">
        <f>STATS1003B!V364/1000</f>
        <v>0</v>
      </c>
      <c r="W363" s="85">
        <f>STATS1003B!W364/1000</f>
        <v>0</v>
      </c>
      <c r="X363" s="85">
        <f t="shared" si="36"/>
        <v>2654.645</v>
      </c>
      <c r="Y363" s="85">
        <f>STATS1003B!Y364/1000</f>
        <v>0</v>
      </c>
      <c r="Z363" s="85">
        <f t="shared" si="39"/>
        <v>0</v>
      </c>
      <c r="AA363" s="69">
        <f>STATS1003B!AA364/1000</f>
        <v>2654.645</v>
      </c>
      <c r="AB363" s="69">
        <f>STATS1003B!AB364/1000</f>
        <v>0</v>
      </c>
    </row>
    <row r="364" spans="1:28" hidden="1" x14ac:dyDescent="0.3">
      <c r="A364" s="117"/>
      <c r="C364" s="68" t="s">
        <v>569</v>
      </c>
      <c r="E364" s="85">
        <f>STATS1003B!E365/1000</f>
        <v>772.64499999999998</v>
      </c>
      <c r="F364" s="85">
        <f>STATS1003B!F365/1000</f>
        <v>772.64499999999998</v>
      </c>
      <c r="G364" s="85">
        <f>STATS1003B!G365/1000</f>
        <v>0</v>
      </c>
      <c r="H364" s="85">
        <f>STATS1003B!H365/1000</f>
        <v>772.64499999999998</v>
      </c>
      <c r="I364" s="85">
        <f>STATS1003B!I365/1000</f>
        <v>0</v>
      </c>
      <c r="J364" s="85">
        <f>STATS1003B!J365/1000</f>
        <v>772.64499999999998</v>
      </c>
      <c r="K364" s="85">
        <f>STATS1003B!K365/1000</f>
        <v>0</v>
      </c>
      <c r="L364" s="85">
        <f>STATS1003B!L365/1000</f>
        <v>0</v>
      </c>
      <c r="M364" s="85">
        <f>STATS1003B!M365/1000</f>
        <v>772.64499999999998</v>
      </c>
      <c r="N364" s="85">
        <f>STATS1003B!N365/1000</f>
        <v>0</v>
      </c>
      <c r="O364" s="85">
        <f>STATS1003B!O365/1000</f>
        <v>0</v>
      </c>
      <c r="P364" s="85">
        <f>STATS1003B!P365/1000</f>
        <v>0</v>
      </c>
      <c r="Q364" s="85">
        <f>STATS1003B!Q365/1000</f>
        <v>0</v>
      </c>
      <c r="R364" s="85">
        <f>STATS1003B!R365/1000</f>
        <v>0</v>
      </c>
      <c r="S364" s="85">
        <f>STATS1003B!S365/1000</f>
        <v>0</v>
      </c>
      <c r="T364" s="85">
        <f>STATS1003B!T365/1000</f>
        <v>0</v>
      </c>
      <c r="U364" s="85">
        <f>STATS1003B!U365/1000</f>
        <v>0</v>
      </c>
      <c r="V364" s="85">
        <f>STATS1003B!V365/1000</f>
        <v>0</v>
      </c>
      <c r="W364" s="85">
        <f>STATS1003B!W365/1000</f>
        <v>0</v>
      </c>
      <c r="X364" s="85">
        <f t="shared" si="36"/>
        <v>772.64499999999998</v>
      </c>
      <c r="Y364" s="85">
        <f>STATS1003B!Y365/1000</f>
        <v>0</v>
      </c>
      <c r="Z364" s="85">
        <f t="shared" si="39"/>
        <v>0</v>
      </c>
      <c r="AA364" s="69">
        <f>STATS1003B!AA365/1000</f>
        <v>772.64499999999998</v>
      </c>
      <c r="AB364" s="69">
        <f>STATS1003B!AB365/1000</f>
        <v>0</v>
      </c>
    </row>
    <row r="365" spans="1:28" hidden="1" x14ac:dyDescent="0.3">
      <c r="A365" s="117"/>
      <c r="C365" s="68" t="s">
        <v>578</v>
      </c>
      <c r="E365" s="85">
        <f>STATS1003B!E366/1000</f>
        <v>25</v>
      </c>
      <c r="F365" s="85">
        <f>STATS1003B!F366/1000</f>
        <v>19.975999999999999</v>
      </c>
      <c r="G365" s="85">
        <f>STATS1003B!G366/1000</f>
        <v>0</v>
      </c>
      <c r="H365" s="85">
        <f>STATS1003B!H366/1000</f>
        <v>19.975999999999999</v>
      </c>
      <c r="I365" s="85">
        <f>STATS1003B!I366/1000</f>
        <v>0</v>
      </c>
      <c r="J365" s="85">
        <f>STATS1003B!J366/1000</f>
        <v>19.975999999999999</v>
      </c>
      <c r="K365" s="85">
        <f>STATS1003B!K366/1000</f>
        <v>0</v>
      </c>
      <c r="L365" s="85">
        <f>STATS1003B!L366/1000</f>
        <v>0</v>
      </c>
      <c r="M365" s="85">
        <f>STATS1003B!M366/1000</f>
        <v>19.975999999999999</v>
      </c>
      <c r="N365" s="85">
        <f>STATS1003B!N366/1000</f>
        <v>0</v>
      </c>
      <c r="O365" s="85">
        <f>STATS1003B!O366/1000</f>
        <v>0</v>
      </c>
      <c r="P365" s="85">
        <f>STATS1003B!P366/1000</f>
        <v>0</v>
      </c>
      <c r="Q365" s="85">
        <f>STATS1003B!Q366/1000</f>
        <v>0</v>
      </c>
      <c r="R365" s="85">
        <f>STATS1003B!R366/1000</f>
        <v>0</v>
      </c>
      <c r="S365" s="85">
        <f>STATS1003B!S366/1000</f>
        <v>0</v>
      </c>
      <c r="T365" s="85">
        <f>STATS1003B!T366/1000</f>
        <v>0</v>
      </c>
      <c r="U365" s="85">
        <f>STATS1003B!U366/1000</f>
        <v>0</v>
      </c>
      <c r="V365" s="85">
        <f>STATS1003B!V366/1000</f>
        <v>0</v>
      </c>
      <c r="W365" s="85">
        <f>STATS1003B!W366/1000</f>
        <v>0</v>
      </c>
      <c r="X365" s="85">
        <f t="shared" si="36"/>
        <v>19.975999999999999</v>
      </c>
      <c r="Y365" s="85">
        <f>STATS1003B!Y366/1000</f>
        <v>0</v>
      </c>
      <c r="Z365" s="85">
        <f t="shared" si="39"/>
        <v>5.0240000000000009</v>
      </c>
      <c r="AA365" s="69">
        <f>STATS1003B!AA366/1000</f>
        <v>19.975999999999999</v>
      </c>
      <c r="AB365" s="69">
        <f>STATS1003B!AB366/1000</f>
        <v>5.024</v>
      </c>
    </row>
    <row r="366" spans="1:28" hidden="1" x14ac:dyDescent="0.3">
      <c r="A366" s="117"/>
      <c r="C366" s="68" t="s">
        <v>579</v>
      </c>
      <c r="E366" s="85">
        <f>STATS1003B!E367/1000</f>
        <v>1914.2492999999999</v>
      </c>
      <c r="F366" s="85">
        <f>STATS1003B!F367/1000</f>
        <v>1914.2492999999999</v>
      </c>
      <c r="G366" s="85">
        <f>STATS1003B!G367/1000</f>
        <v>0</v>
      </c>
      <c r="H366" s="85">
        <f>STATS1003B!H367/1000</f>
        <v>1914.2492999999999</v>
      </c>
      <c r="I366" s="85">
        <f>STATS1003B!I367/1000</f>
        <v>0</v>
      </c>
      <c r="J366" s="85">
        <f>STATS1003B!J367/1000</f>
        <v>1914.2492999999999</v>
      </c>
      <c r="K366" s="85">
        <f>STATS1003B!K367/1000</f>
        <v>0</v>
      </c>
      <c r="L366" s="85">
        <f>STATS1003B!L367/1000</f>
        <v>0</v>
      </c>
      <c r="M366" s="85">
        <f>STATS1003B!M367/1000</f>
        <v>1914.2492999999999</v>
      </c>
      <c r="N366" s="85">
        <f>STATS1003B!N367/1000</f>
        <v>0</v>
      </c>
      <c r="O366" s="85">
        <f>STATS1003B!O367/1000</f>
        <v>0</v>
      </c>
      <c r="P366" s="85">
        <f>STATS1003B!P367/1000</f>
        <v>0</v>
      </c>
      <c r="Q366" s="85">
        <f>STATS1003B!Q367/1000</f>
        <v>0</v>
      </c>
      <c r="R366" s="85">
        <f>STATS1003B!R367/1000</f>
        <v>0</v>
      </c>
      <c r="S366" s="85">
        <f>STATS1003B!S367/1000</f>
        <v>0</v>
      </c>
      <c r="T366" s="85">
        <f>STATS1003B!T367/1000</f>
        <v>0</v>
      </c>
      <c r="U366" s="85">
        <f>STATS1003B!U367/1000</f>
        <v>0</v>
      </c>
      <c r="V366" s="85">
        <f>STATS1003B!V367/1000</f>
        <v>0</v>
      </c>
      <c r="W366" s="85">
        <f>STATS1003B!W367/1000</f>
        <v>0</v>
      </c>
      <c r="X366" s="85">
        <f t="shared" si="36"/>
        <v>1914.2492999999999</v>
      </c>
      <c r="Y366" s="85">
        <f>STATS1003B!Y367/1000</f>
        <v>0</v>
      </c>
      <c r="Z366" s="85">
        <f t="shared" si="39"/>
        <v>0</v>
      </c>
      <c r="AA366" s="69">
        <f>STATS1003B!AA367/1000</f>
        <v>1914.2492999999999</v>
      </c>
      <c r="AB366" s="69">
        <f>STATS1003B!AB367/1000</f>
        <v>0</v>
      </c>
    </row>
    <row r="367" spans="1:28" hidden="1" x14ac:dyDescent="0.3">
      <c r="A367" s="117"/>
      <c r="C367" s="68" t="s">
        <v>543</v>
      </c>
      <c r="E367" s="85">
        <f>STATS1003B!E368/1000</f>
        <v>4864.5644199999997</v>
      </c>
      <c r="F367" s="85">
        <f>STATS1003B!F368/1000</f>
        <v>4864.5644199999997</v>
      </c>
      <c r="G367" s="85">
        <f>STATS1003B!G368/1000</f>
        <v>0</v>
      </c>
      <c r="H367" s="85">
        <f>STATS1003B!H368/1000</f>
        <v>4864.5644199999997</v>
      </c>
      <c r="I367" s="85">
        <f>STATS1003B!I368/1000</f>
        <v>0</v>
      </c>
      <c r="J367" s="85">
        <f>STATS1003B!J368/1000</f>
        <v>4864.5644199999997</v>
      </c>
      <c r="K367" s="85">
        <f>STATS1003B!K368/1000</f>
        <v>0</v>
      </c>
      <c r="L367" s="85">
        <f>STATS1003B!L368/1000</f>
        <v>0</v>
      </c>
      <c r="M367" s="85">
        <f>STATS1003B!M368/1000</f>
        <v>4864.5644199999997</v>
      </c>
      <c r="N367" s="85">
        <f>STATS1003B!N368/1000</f>
        <v>0</v>
      </c>
      <c r="O367" s="85">
        <f>STATS1003B!O368/1000</f>
        <v>0</v>
      </c>
      <c r="P367" s="85">
        <f>STATS1003B!P368/1000</f>
        <v>0</v>
      </c>
      <c r="Q367" s="85">
        <f>STATS1003B!Q368/1000</f>
        <v>0</v>
      </c>
      <c r="R367" s="85">
        <f>STATS1003B!R368/1000</f>
        <v>0</v>
      </c>
      <c r="S367" s="85">
        <f>STATS1003B!S368/1000</f>
        <v>0</v>
      </c>
      <c r="T367" s="85">
        <f>STATS1003B!T368/1000</f>
        <v>0</v>
      </c>
      <c r="U367" s="85">
        <f>STATS1003B!U368/1000</f>
        <v>0</v>
      </c>
      <c r="V367" s="85">
        <f>STATS1003B!V368/1000</f>
        <v>0</v>
      </c>
      <c r="W367" s="85">
        <f>STATS1003B!W368/1000</f>
        <v>0</v>
      </c>
      <c r="X367" s="85">
        <f t="shared" si="36"/>
        <v>4864.5644199999997</v>
      </c>
      <c r="Y367" s="85">
        <f>STATS1003B!Y368/1000</f>
        <v>0</v>
      </c>
      <c r="Z367" s="85">
        <f t="shared" si="39"/>
        <v>0</v>
      </c>
      <c r="AA367" s="69">
        <f>STATS1003B!AA368/1000</f>
        <v>4864.5644199999997</v>
      </c>
      <c r="AB367" s="69">
        <f>STATS1003B!AB368/1000</f>
        <v>0</v>
      </c>
    </row>
    <row r="368" spans="1:28" hidden="1" x14ac:dyDescent="0.3">
      <c r="A368" s="117"/>
      <c r="E368" s="86" t="s">
        <v>29</v>
      </c>
      <c r="F368" s="86" t="s">
        <v>29</v>
      </c>
      <c r="G368" s="86" t="s">
        <v>29</v>
      </c>
      <c r="H368" s="86" t="s">
        <v>29</v>
      </c>
      <c r="I368" s="86" t="s">
        <v>29</v>
      </c>
      <c r="J368" s="86" t="s">
        <v>29</v>
      </c>
      <c r="K368" s="86" t="s">
        <v>29</v>
      </c>
      <c r="L368" s="86" t="s">
        <v>29</v>
      </c>
      <c r="M368" s="86"/>
      <c r="N368" s="86"/>
      <c r="O368" s="86"/>
      <c r="P368" s="86"/>
      <c r="Q368" s="86"/>
      <c r="R368" s="86"/>
      <c r="S368" s="86"/>
      <c r="T368" s="86"/>
      <c r="U368" s="86"/>
      <c r="V368" s="86"/>
      <c r="W368" s="86"/>
      <c r="X368" s="85" t="e">
        <f t="shared" si="36"/>
        <v>#VALUE!</v>
      </c>
      <c r="Y368" s="86"/>
      <c r="Z368" s="85" t="e">
        <f t="shared" si="39"/>
        <v>#VALUE!</v>
      </c>
      <c r="AA368" s="115" t="s">
        <v>29</v>
      </c>
      <c r="AB368" s="115" t="s">
        <v>29</v>
      </c>
    </row>
    <row r="369" spans="1:28" x14ac:dyDescent="0.3">
      <c r="A369" s="116" t="s">
        <v>949</v>
      </c>
      <c r="B369" s="68" t="s">
        <v>570</v>
      </c>
      <c r="E369" s="85">
        <f>142530041.97/1000</f>
        <v>142530.04196999999</v>
      </c>
      <c r="F369" s="85">
        <f>SUM(F336:F367)</f>
        <v>63592.857689999997</v>
      </c>
      <c r="G369" s="85">
        <f>SUM(G336:G367)</f>
        <v>0</v>
      </c>
      <c r="H369" s="85">
        <f>138536487.22/1000</f>
        <v>138536.48722000001</v>
      </c>
      <c r="I369" s="85">
        <f>SUM(I336:I367)</f>
        <v>0</v>
      </c>
      <c r="J369" s="85">
        <f>SUM(J336:J367)</f>
        <v>44903.435389999999</v>
      </c>
      <c r="K369" s="85">
        <f>SUM(K336:K367)</f>
        <v>3988.5307499999999</v>
      </c>
      <c r="L369" s="85"/>
      <c r="M369" s="85">
        <f>SUM(M336:M367)</f>
        <v>63592.857689999997</v>
      </c>
      <c r="N369" s="85">
        <f>SUM(N336:N367)</f>
        <v>3988.5307499999999</v>
      </c>
      <c r="O369" s="85">
        <f>SUM(O336:O367)</f>
        <v>0</v>
      </c>
      <c r="P369" s="85">
        <f>3988530/1000</f>
        <v>3988.53</v>
      </c>
      <c r="Q369" s="85">
        <f t="shared" ref="Q369:W369" si="40">SUM(Q336:Q367)</f>
        <v>0</v>
      </c>
      <c r="R369" s="85">
        <f t="shared" si="40"/>
        <v>0</v>
      </c>
      <c r="S369" s="85">
        <f t="shared" si="40"/>
        <v>0</v>
      </c>
      <c r="T369" s="85">
        <f t="shared" si="40"/>
        <v>0</v>
      </c>
      <c r="U369" s="85">
        <f t="shared" si="40"/>
        <v>3988.5307499999999</v>
      </c>
      <c r="V369" s="85">
        <f t="shared" si="40"/>
        <v>0</v>
      </c>
      <c r="W369" s="85">
        <f t="shared" si="40"/>
        <v>0</v>
      </c>
      <c r="X369" s="85">
        <f>+H369+P369</f>
        <v>142525.01722000001</v>
      </c>
      <c r="Y369" s="85">
        <f>SUM(Y336:Y367)</f>
        <v>0</v>
      </c>
      <c r="Z369" s="85">
        <f t="shared" si="39"/>
        <v>5.0247499999823049</v>
      </c>
      <c r="AA369" s="69">
        <f>SUM(AA336:AA367)</f>
        <v>67581.388439999995</v>
      </c>
      <c r="AB369" s="69">
        <f>SUM(AB336:AB367)</f>
        <v>5.024</v>
      </c>
    </row>
    <row r="370" spans="1:28" hidden="1" x14ac:dyDescent="0.3">
      <c r="A370" s="117"/>
      <c r="E370" s="86" t="s">
        <v>29</v>
      </c>
      <c r="F370" s="86" t="s">
        <v>29</v>
      </c>
      <c r="G370" s="86" t="s">
        <v>29</v>
      </c>
      <c r="H370" s="86" t="s">
        <v>29</v>
      </c>
      <c r="I370" s="86" t="s">
        <v>29</v>
      </c>
      <c r="J370" s="86" t="s">
        <v>29</v>
      </c>
      <c r="K370" s="86" t="s">
        <v>29</v>
      </c>
      <c r="L370" s="86" t="s">
        <v>29</v>
      </c>
      <c r="M370" s="86"/>
      <c r="N370" s="86"/>
      <c r="O370" s="86"/>
      <c r="P370" s="86"/>
      <c r="Q370" s="86"/>
      <c r="R370" s="86"/>
      <c r="S370" s="86"/>
      <c r="T370" s="86"/>
      <c r="U370" s="86"/>
      <c r="V370" s="86"/>
      <c r="W370" s="86"/>
      <c r="X370" s="85" t="e">
        <f t="shared" si="36"/>
        <v>#VALUE!</v>
      </c>
      <c r="Y370" s="86"/>
      <c r="Z370" s="85" t="e">
        <f t="shared" si="39"/>
        <v>#VALUE!</v>
      </c>
      <c r="AA370" s="115" t="s">
        <v>29</v>
      </c>
      <c r="AB370" s="115" t="s">
        <v>29</v>
      </c>
    </row>
    <row r="371" spans="1:28" hidden="1" x14ac:dyDescent="0.3">
      <c r="A371" s="105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6"/>
      <c r="S371" s="86"/>
      <c r="T371" s="94"/>
      <c r="U371" s="94"/>
      <c r="V371" s="94"/>
      <c r="W371" s="94"/>
      <c r="X371" s="85">
        <f t="shared" si="36"/>
        <v>0</v>
      </c>
      <c r="Y371" s="94"/>
      <c r="Z371" s="85">
        <f t="shared" si="39"/>
        <v>0</v>
      </c>
      <c r="AA371" s="118"/>
    </row>
    <row r="372" spans="1:28" hidden="1" x14ac:dyDescent="0.3">
      <c r="A372" s="117"/>
      <c r="C372" s="68" t="s">
        <v>581</v>
      </c>
      <c r="D372" s="145" t="s">
        <v>150</v>
      </c>
      <c r="E372" s="85">
        <f>STATS1003B!E373/1000</f>
        <v>2989.9219199999998</v>
      </c>
      <c r="F372" s="85">
        <f>STATS1003B!F373/1000</f>
        <v>2736.08853</v>
      </c>
      <c r="G372" s="85">
        <f>STATS1003B!G373/1000</f>
        <v>0</v>
      </c>
      <c r="H372" s="85">
        <f>STATS1003B!H373/1000</f>
        <v>2736.08853</v>
      </c>
      <c r="I372" s="85">
        <f>STATS1003B!I373/1000</f>
        <v>0</v>
      </c>
      <c r="J372" s="85">
        <f>STATS1003B!J373/1000</f>
        <v>2736.08853</v>
      </c>
      <c r="K372" s="85">
        <f>STATS1003B!K373/1000</f>
        <v>253.83339000000001</v>
      </c>
      <c r="L372" s="85">
        <f>STATS1003B!L373/1000</f>
        <v>0</v>
      </c>
      <c r="M372" s="85">
        <f>STATS1003B!M373/1000</f>
        <v>2736.08853</v>
      </c>
      <c r="N372" s="85">
        <f>STATS1003B!N373/1000</f>
        <v>253.83339000000001</v>
      </c>
      <c r="O372" s="85">
        <f>STATS1003B!O373/1000</f>
        <v>0</v>
      </c>
      <c r="P372" s="85">
        <f>STATS1003B!P373/1000</f>
        <v>253.83339000000001</v>
      </c>
      <c r="Q372" s="85">
        <f>STATS1003B!Q373/1000</f>
        <v>0</v>
      </c>
      <c r="R372" s="85">
        <f>STATS1003B!R373/1000</f>
        <v>0</v>
      </c>
      <c r="S372" s="85">
        <f>STATS1003B!S373/1000</f>
        <v>0</v>
      </c>
      <c r="T372" s="85">
        <f>STATS1003B!T373/1000</f>
        <v>0</v>
      </c>
      <c r="U372" s="85">
        <f>STATS1003B!U373/1000</f>
        <v>253.83339000000001</v>
      </c>
      <c r="V372" s="85">
        <f>STATS1003B!V373/1000</f>
        <v>0</v>
      </c>
      <c r="W372" s="85">
        <f>STATS1003B!W373/1000</f>
        <v>0</v>
      </c>
      <c r="X372" s="85">
        <f t="shared" si="36"/>
        <v>2989.9219199999998</v>
      </c>
      <c r="Y372" s="85">
        <f>STATS1003B!Y373/1000</f>
        <v>0</v>
      </c>
      <c r="Z372" s="85">
        <f t="shared" si="39"/>
        <v>0</v>
      </c>
      <c r="AA372" s="69">
        <f>STATS1003B!AA373/1000</f>
        <v>2989.9219199999998</v>
      </c>
      <c r="AB372" s="69">
        <f>STATS1003B!AB373/1000</f>
        <v>0</v>
      </c>
    </row>
    <row r="373" spans="1:28" hidden="1" x14ac:dyDescent="0.3">
      <c r="A373" s="117"/>
      <c r="C373" s="68" t="s">
        <v>535</v>
      </c>
      <c r="D373" s="145" t="s">
        <v>166</v>
      </c>
      <c r="E373" s="85">
        <f>STATS1003B!E374/1000</f>
        <v>700.59167000000002</v>
      </c>
      <c r="F373" s="85">
        <f>STATS1003B!F374/1000</f>
        <v>260.596</v>
      </c>
      <c r="G373" s="85">
        <f>STATS1003B!G374/1000</f>
        <v>0</v>
      </c>
      <c r="H373" s="85">
        <f>STATS1003B!H374/1000</f>
        <v>260.596</v>
      </c>
      <c r="I373" s="85">
        <f>STATS1003B!I374/1000</f>
        <v>0</v>
      </c>
      <c r="J373" s="85">
        <f>STATS1003B!J374/1000</f>
        <v>260.596</v>
      </c>
      <c r="K373" s="85">
        <f>STATS1003B!K374/1000</f>
        <v>439.99567000000002</v>
      </c>
      <c r="L373" s="85">
        <f>STATS1003B!L374/1000</f>
        <v>0</v>
      </c>
      <c r="M373" s="85">
        <f>STATS1003B!M374/1000</f>
        <v>260.596</v>
      </c>
      <c r="N373" s="85">
        <f>STATS1003B!N374/1000</f>
        <v>439.99566999999996</v>
      </c>
      <c r="O373" s="85">
        <f>STATS1003B!O374/1000</f>
        <v>0</v>
      </c>
      <c r="P373" s="85">
        <f>STATS1003B!P374/1000</f>
        <v>439.99566999999996</v>
      </c>
      <c r="Q373" s="85">
        <f>STATS1003B!Q374/1000</f>
        <v>0</v>
      </c>
      <c r="R373" s="85">
        <f>STATS1003B!R374/1000</f>
        <v>0</v>
      </c>
      <c r="S373" s="85">
        <f>STATS1003B!S374/1000</f>
        <v>0</v>
      </c>
      <c r="T373" s="85">
        <f>STATS1003B!T374/1000</f>
        <v>0</v>
      </c>
      <c r="U373" s="85">
        <f>STATS1003B!U374/1000</f>
        <v>439.99566999999996</v>
      </c>
      <c r="V373" s="85">
        <f>STATS1003B!V374/1000</f>
        <v>0</v>
      </c>
      <c r="W373" s="85">
        <f>STATS1003B!W374/1000</f>
        <v>0</v>
      </c>
      <c r="X373" s="85">
        <f t="shared" si="36"/>
        <v>700.59167000000002</v>
      </c>
      <c r="Y373" s="85">
        <f>STATS1003B!Y374/1000</f>
        <v>0</v>
      </c>
      <c r="Z373" s="85">
        <f t="shared" si="39"/>
        <v>0</v>
      </c>
      <c r="AA373" s="69">
        <f>STATS1003B!AA374/1000</f>
        <v>700.59166999999991</v>
      </c>
      <c r="AB373" s="69">
        <f>STATS1003B!AB374/1000</f>
        <v>0</v>
      </c>
    </row>
    <row r="374" spans="1:28" hidden="1" x14ac:dyDescent="0.3">
      <c r="A374" s="117"/>
      <c r="C374" s="68" t="s">
        <v>535</v>
      </c>
      <c r="D374" s="145" t="s">
        <v>68</v>
      </c>
      <c r="E374" s="85">
        <f>STATS1003B!E375/1000</f>
        <v>890.42700000000002</v>
      </c>
      <c r="F374" s="85">
        <f>STATS1003B!F375/1000</f>
        <v>890.42700000000002</v>
      </c>
      <c r="G374" s="85">
        <f>STATS1003B!G375/1000</f>
        <v>0</v>
      </c>
      <c r="H374" s="85">
        <f>STATS1003B!H375/1000</f>
        <v>890.42700000000002</v>
      </c>
      <c r="I374" s="85">
        <f>STATS1003B!I375/1000</f>
        <v>0</v>
      </c>
      <c r="J374" s="85">
        <f>STATS1003B!J375/1000</f>
        <v>890.42700000000002</v>
      </c>
      <c r="K374" s="85">
        <f>STATS1003B!K375/1000</f>
        <v>0</v>
      </c>
      <c r="L374" s="85">
        <f>STATS1003B!L375/1000</f>
        <v>0</v>
      </c>
      <c r="M374" s="85">
        <f>STATS1003B!M375/1000</f>
        <v>890.42700000000002</v>
      </c>
      <c r="N374" s="85">
        <f>STATS1003B!N375/1000</f>
        <v>0</v>
      </c>
      <c r="O374" s="85">
        <f>STATS1003B!O375/1000</f>
        <v>0</v>
      </c>
      <c r="P374" s="85">
        <f>STATS1003B!P375/1000</f>
        <v>0</v>
      </c>
      <c r="Q374" s="85">
        <f>STATS1003B!Q375/1000</f>
        <v>0</v>
      </c>
      <c r="R374" s="85">
        <f>STATS1003B!R375/1000</f>
        <v>0</v>
      </c>
      <c r="S374" s="85">
        <f>STATS1003B!S375/1000</f>
        <v>0</v>
      </c>
      <c r="T374" s="85">
        <f>STATS1003B!T375/1000</f>
        <v>0</v>
      </c>
      <c r="U374" s="85">
        <f>STATS1003B!U375/1000</f>
        <v>0</v>
      </c>
      <c r="V374" s="85">
        <f>STATS1003B!V375/1000</f>
        <v>0</v>
      </c>
      <c r="W374" s="85">
        <f>STATS1003B!W375/1000</f>
        <v>0</v>
      </c>
      <c r="X374" s="85">
        <f t="shared" si="36"/>
        <v>890.42700000000002</v>
      </c>
      <c r="Y374" s="85">
        <f>STATS1003B!Y375/1000</f>
        <v>0</v>
      </c>
      <c r="Z374" s="85">
        <f t="shared" si="39"/>
        <v>0</v>
      </c>
      <c r="AA374" s="69">
        <f>STATS1003B!AA375/1000</f>
        <v>890.42700000000002</v>
      </c>
      <c r="AB374" s="69">
        <f>STATS1003B!AB375/1000</f>
        <v>0</v>
      </c>
    </row>
    <row r="375" spans="1:28" hidden="1" x14ac:dyDescent="0.3">
      <c r="A375" s="117"/>
      <c r="C375" s="68" t="s">
        <v>539</v>
      </c>
      <c r="D375" s="145" t="s">
        <v>68</v>
      </c>
      <c r="E375" s="85">
        <f>STATS1003B!E376/1000</f>
        <v>4677.4075999999995</v>
      </c>
      <c r="F375" s="85">
        <f>STATS1003B!F376/1000</f>
        <v>0</v>
      </c>
      <c r="G375" s="85">
        <f>STATS1003B!G376/1000</f>
        <v>0</v>
      </c>
      <c r="H375" s="85">
        <f>STATS1003B!H376/1000</f>
        <v>0</v>
      </c>
      <c r="I375" s="85">
        <f>STATS1003B!I376/1000</f>
        <v>0</v>
      </c>
      <c r="J375" s="85">
        <f>STATS1003B!J376/1000</f>
        <v>0</v>
      </c>
      <c r="K375" s="85">
        <f>STATS1003B!K376/1000</f>
        <v>4677.4075999999995</v>
      </c>
      <c r="L375" s="85">
        <f>STATS1003B!L376/1000</f>
        <v>0</v>
      </c>
      <c r="M375" s="85">
        <f>STATS1003B!M376/1000</f>
        <v>0</v>
      </c>
      <c r="N375" s="85">
        <f>STATS1003B!N376/1000</f>
        <v>4677.4075999999995</v>
      </c>
      <c r="O375" s="85">
        <f>STATS1003B!O376/1000</f>
        <v>0</v>
      </c>
      <c r="P375" s="85">
        <f>STATS1003B!P376/1000</f>
        <v>4677.4075999999995</v>
      </c>
      <c r="Q375" s="85">
        <f>STATS1003B!Q376/1000</f>
        <v>0</v>
      </c>
      <c r="R375" s="85">
        <f>STATS1003B!R376/1000</f>
        <v>0</v>
      </c>
      <c r="S375" s="85">
        <f>STATS1003B!S376/1000</f>
        <v>0</v>
      </c>
      <c r="T375" s="85">
        <f>STATS1003B!T376/1000</f>
        <v>0</v>
      </c>
      <c r="U375" s="85">
        <f>STATS1003B!U376/1000</f>
        <v>4677.4075999999995</v>
      </c>
      <c r="V375" s="85">
        <f>STATS1003B!V376/1000</f>
        <v>0</v>
      </c>
      <c r="W375" s="85">
        <f>STATS1003B!W376/1000</f>
        <v>0</v>
      </c>
      <c r="X375" s="85">
        <f t="shared" si="36"/>
        <v>4677.4075999999995</v>
      </c>
      <c r="Y375" s="85">
        <f>STATS1003B!Y376/1000</f>
        <v>0</v>
      </c>
      <c r="Z375" s="85">
        <f t="shared" si="39"/>
        <v>0</v>
      </c>
      <c r="AA375" s="69">
        <f>STATS1003B!AA376/1000</f>
        <v>4677.4075999999995</v>
      </c>
      <c r="AB375" s="69">
        <f>STATS1003B!AB376/1000</f>
        <v>0</v>
      </c>
    </row>
    <row r="376" spans="1:28" hidden="1" x14ac:dyDescent="0.3">
      <c r="A376" s="117"/>
      <c r="C376" s="68" t="s">
        <v>535</v>
      </c>
      <c r="D376" s="145" t="s">
        <v>54</v>
      </c>
      <c r="E376" s="85">
        <f>STATS1003B!E377/1000</f>
        <v>309.45</v>
      </c>
      <c r="F376" s="85">
        <f>STATS1003B!F377/1000</f>
        <v>309.45</v>
      </c>
      <c r="G376" s="85">
        <f>STATS1003B!G377/1000</f>
        <v>0</v>
      </c>
      <c r="H376" s="85">
        <f>STATS1003B!H377/1000</f>
        <v>309.45</v>
      </c>
      <c r="I376" s="85">
        <f>STATS1003B!I377/1000</f>
        <v>0</v>
      </c>
      <c r="J376" s="85">
        <f>STATS1003B!J377/1000</f>
        <v>309.45</v>
      </c>
      <c r="K376" s="85">
        <f>STATS1003B!K377/1000</f>
        <v>0</v>
      </c>
      <c r="L376" s="85">
        <f>STATS1003B!L377/1000</f>
        <v>0</v>
      </c>
      <c r="M376" s="85">
        <f>STATS1003B!M377/1000</f>
        <v>309.45</v>
      </c>
      <c r="N376" s="85">
        <f>STATS1003B!N377/1000</f>
        <v>0</v>
      </c>
      <c r="O376" s="85">
        <f>STATS1003B!O377/1000</f>
        <v>0</v>
      </c>
      <c r="P376" s="85">
        <f>STATS1003B!P377/1000</f>
        <v>0</v>
      </c>
      <c r="Q376" s="85">
        <f>STATS1003B!Q377/1000</f>
        <v>0</v>
      </c>
      <c r="R376" s="85">
        <f>STATS1003B!R377/1000</f>
        <v>0</v>
      </c>
      <c r="S376" s="85">
        <f>STATS1003B!S377/1000</f>
        <v>0</v>
      </c>
      <c r="T376" s="85">
        <f>STATS1003B!T377/1000</f>
        <v>0</v>
      </c>
      <c r="U376" s="85">
        <f>STATS1003B!U377/1000</f>
        <v>0</v>
      </c>
      <c r="V376" s="85">
        <f>STATS1003B!V377/1000</f>
        <v>0</v>
      </c>
      <c r="W376" s="85">
        <f>STATS1003B!W377/1000</f>
        <v>0</v>
      </c>
      <c r="X376" s="85">
        <f t="shared" si="36"/>
        <v>309.45</v>
      </c>
      <c r="Y376" s="85">
        <f>STATS1003B!Y377/1000</f>
        <v>0</v>
      </c>
      <c r="Z376" s="85">
        <f t="shared" si="39"/>
        <v>0</v>
      </c>
      <c r="AA376" s="69">
        <f>STATS1003B!AA377/1000</f>
        <v>309.45</v>
      </c>
      <c r="AB376" s="69">
        <f>STATS1003B!AB377/1000</f>
        <v>0</v>
      </c>
    </row>
    <row r="377" spans="1:28" hidden="1" x14ac:dyDescent="0.3">
      <c r="A377" s="117"/>
      <c r="C377" s="68" t="s">
        <v>582</v>
      </c>
      <c r="D377" s="145" t="s">
        <v>54</v>
      </c>
      <c r="E377" s="85">
        <f>STATS1003B!E378/1000</f>
        <v>1588.7</v>
      </c>
      <c r="F377" s="85">
        <f>STATS1003B!F378/1000</f>
        <v>1588.7</v>
      </c>
      <c r="G377" s="85">
        <f>STATS1003B!G378/1000</f>
        <v>0</v>
      </c>
      <c r="H377" s="85">
        <f>STATS1003B!H378/1000</f>
        <v>1588.7</v>
      </c>
      <c r="I377" s="85">
        <f>STATS1003B!I378/1000</f>
        <v>0</v>
      </c>
      <c r="J377" s="85">
        <f>STATS1003B!J378/1000</f>
        <v>1588.7</v>
      </c>
      <c r="K377" s="85">
        <f>STATS1003B!K378/1000</f>
        <v>0</v>
      </c>
      <c r="L377" s="85">
        <f>STATS1003B!L378/1000</f>
        <v>0</v>
      </c>
      <c r="M377" s="85">
        <f>STATS1003B!M378/1000</f>
        <v>1588.7</v>
      </c>
      <c r="N377" s="85">
        <f>STATS1003B!N378/1000</f>
        <v>0</v>
      </c>
      <c r="O377" s="85">
        <f>STATS1003B!O378/1000</f>
        <v>0</v>
      </c>
      <c r="P377" s="85">
        <f>STATS1003B!P378/1000</f>
        <v>0</v>
      </c>
      <c r="Q377" s="85">
        <f>STATS1003B!Q378/1000</f>
        <v>0</v>
      </c>
      <c r="R377" s="85">
        <f>STATS1003B!R378/1000</f>
        <v>0</v>
      </c>
      <c r="S377" s="85">
        <f>STATS1003B!S378/1000</f>
        <v>0</v>
      </c>
      <c r="T377" s="85">
        <f>STATS1003B!T378/1000</f>
        <v>0</v>
      </c>
      <c r="U377" s="85">
        <f>STATS1003B!U378/1000</f>
        <v>0</v>
      </c>
      <c r="V377" s="85">
        <f>STATS1003B!V378/1000</f>
        <v>0</v>
      </c>
      <c r="W377" s="85">
        <f>STATS1003B!W378/1000</f>
        <v>0</v>
      </c>
      <c r="X377" s="85">
        <f t="shared" si="36"/>
        <v>1588.7</v>
      </c>
      <c r="Y377" s="85">
        <f>STATS1003B!Y378/1000</f>
        <v>0</v>
      </c>
      <c r="Z377" s="85">
        <f t="shared" si="39"/>
        <v>0</v>
      </c>
      <c r="AA377" s="69">
        <f>STATS1003B!AA378/1000</f>
        <v>1588.7</v>
      </c>
      <c r="AB377" s="69">
        <f>STATS1003B!AB378/1000</f>
        <v>0</v>
      </c>
    </row>
    <row r="378" spans="1:28" hidden="1" x14ac:dyDescent="0.3">
      <c r="A378" s="117"/>
      <c r="C378" s="68" t="s">
        <v>571</v>
      </c>
      <c r="D378" s="145" t="s">
        <v>54</v>
      </c>
      <c r="E378" s="85">
        <f>STATS1003B!E379/1000</f>
        <v>950</v>
      </c>
      <c r="F378" s="85">
        <f>STATS1003B!F379/1000</f>
        <v>950</v>
      </c>
      <c r="G378" s="85">
        <f>STATS1003B!G379/1000</f>
        <v>0</v>
      </c>
      <c r="H378" s="85">
        <f>STATS1003B!H379/1000</f>
        <v>950</v>
      </c>
      <c r="I378" s="85">
        <f>STATS1003B!I379/1000</f>
        <v>0</v>
      </c>
      <c r="J378" s="85">
        <f>STATS1003B!J379/1000</f>
        <v>950</v>
      </c>
      <c r="K378" s="85">
        <f>STATS1003B!K379/1000</f>
        <v>0</v>
      </c>
      <c r="L378" s="85">
        <f>STATS1003B!L379/1000</f>
        <v>0</v>
      </c>
      <c r="M378" s="85">
        <f>STATS1003B!M379/1000</f>
        <v>950</v>
      </c>
      <c r="N378" s="85">
        <f>STATS1003B!N379/1000</f>
        <v>0</v>
      </c>
      <c r="O378" s="85">
        <f>STATS1003B!O379/1000</f>
        <v>0</v>
      </c>
      <c r="P378" s="85">
        <f>STATS1003B!P379/1000</f>
        <v>0</v>
      </c>
      <c r="Q378" s="85">
        <f>STATS1003B!Q379/1000</f>
        <v>0</v>
      </c>
      <c r="R378" s="85">
        <f>STATS1003B!R379/1000</f>
        <v>0</v>
      </c>
      <c r="S378" s="85">
        <f>STATS1003B!S379/1000</f>
        <v>0</v>
      </c>
      <c r="T378" s="85">
        <f>STATS1003B!T379/1000</f>
        <v>0</v>
      </c>
      <c r="U378" s="85">
        <f>STATS1003B!U379/1000</f>
        <v>0</v>
      </c>
      <c r="V378" s="85">
        <f>STATS1003B!V379/1000</f>
        <v>0</v>
      </c>
      <c r="W378" s="85">
        <f>STATS1003B!W379/1000</f>
        <v>0</v>
      </c>
      <c r="X378" s="85">
        <f t="shared" si="36"/>
        <v>950</v>
      </c>
      <c r="Y378" s="85">
        <f>STATS1003B!Y379/1000</f>
        <v>0</v>
      </c>
      <c r="Z378" s="85">
        <f t="shared" si="39"/>
        <v>0</v>
      </c>
      <c r="AA378" s="69">
        <f>STATS1003B!AA379/1000</f>
        <v>950</v>
      </c>
      <c r="AB378" s="69">
        <f>STATS1003B!AB379/1000</f>
        <v>0</v>
      </c>
    </row>
    <row r="379" spans="1:28" hidden="1" x14ac:dyDescent="0.3">
      <c r="A379" s="117"/>
      <c r="C379" s="68" t="s">
        <v>583</v>
      </c>
      <c r="D379" s="145" t="s">
        <v>54</v>
      </c>
      <c r="E379" s="85">
        <f>STATS1003B!E380/1000</f>
        <v>2076.4460199999999</v>
      </c>
      <c r="F379" s="85">
        <f>STATS1003B!F380/1000</f>
        <v>1812.0516100000002</v>
      </c>
      <c r="G379" s="85">
        <f>STATS1003B!G380/1000</f>
        <v>0</v>
      </c>
      <c r="H379" s="85">
        <f>STATS1003B!H380/1000</f>
        <v>1812.0516100000002</v>
      </c>
      <c r="I379" s="85" t="e">
        <f>STATS1003B!I380/1000</f>
        <v>#VALUE!</v>
      </c>
      <c r="J379" s="85">
        <f>STATS1003B!J380/1000</f>
        <v>1812.0516100000002</v>
      </c>
      <c r="K379" s="85">
        <f>STATS1003B!K380/1000</f>
        <v>142.16556</v>
      </c>
      <c r="L379" s="85">
        <f>STATS1003B!L380/1000</f>
        <v>0</v>
      </c>
      <c r="M379" s="85">
        <f>STATS1003B!M380/1000</f>
        <v>1812.0516100000002</v>
      </c>
      <c r="N379" s="85">
        <f>STATS1003B!N380/1000</f>
        <v>142.16556</v>
      </c>
      <c r="O379" s="85">
        <f>STATS1003B!O380/1000</f>
        <v>0</v>
      </c>
      <c r="P379" s="85">
        <f>STATS1003B!P380/1000</f>
        <v>142.16556</v>
      </c>
      <c r="Q379" s="85">
        <f>STATS1003B!Q380/1000</f>
        <v>0</v>
      </c>
      <c r="R379" s="85">
        <f>STATS1003B!R380/1000</f>
        <v>0</v>
      </c>
      <c r="S379" s="85">
        <f>STATS1003B!S380/1000</f>
        <v>0</v>
      </c>
      <c r="T379" s="85">
        <f>STATS1003B!T380/1000</f>
        <v>0</v>
      </c>
      <c r="U379" s="85">
        <f>STATS1003B!U380/1000</f>
        <v>142.16556</v>
      </c>
      <c r="V379" s="85">
        <f>STATS1003B!V380/1000</f>
        <v>0</v>
      </c>
      <c r="W379" s="85">
        <f>STATS1003B!W380/1000</f>
        <v>0</v>
      </c>
      <c r="X379" s="85">
        <f t="shared" si="36"/>
        <v>1954.2171700000001</v>
      </c>
      <c r="Y379" s="85">
        <f>STATS1003B!Y380/1000</f>
        <v>0</v>
      </c>
      <c r="Z379" s="85">
        <f t="shared" si="39"/>
        <v>122.22884999999974</v>
      </c>
      <c r="AA379" s="69">
        <f>STATS1003B!AA380/1000</f>
        <v>1954.2171700000001</v>
      </c>
      <c r="AB379" s="69">
        <f>STATS1003B!AB380/1000</f>
        <v>122.22884999999987</v>
      </c>
    </row>
    <row r="380" spans="1:28" hidden="1" x14ac:dyDescent="0.3">
      <c r="A380" s="117"/>
      <c r="C380" s="68" t="s">
        <v>545</v>
      </c>
      <c r="D380" s="145" t="s">
        <v>54</v>
      </c>
      <c r="E380" s="85">
        <f>STATS1003B!E381/1000</f>
        <v>1953.989</v>
      </c>
      <c r="F380" s="85">
        <f>STATS1003B!F381/1000</f>
        <v>0</v>
      </c>
      <c r="G380" s="85">
        <f>STATS1003B!G381/1000</f>
        <v>0</v>
      </c>
      <c r="H380" s="85">
        <f>STATS1003B!H381/1000</f>
        <v>0</v>
      </c>
      <c r="I380" s="85">
        <f>STATS1003B!I381/1000</f>
        <v>0</v>
      </c>
      <c r="J380" s="85">
        <f>STATS1003B!J381/1000</f>
        <v>0</v>
      </c>
      <c r="K380" s="85">
        <f>STATS1003B!K381/1000</f>
        <v>1953.989</v>
      </c>
      <c r="L380" s="85">
        <f>STATS1003B!L381/1000</f>
        <v>0</v>
      </c>
      <c r="M380" s="85">
        <f>STATS1003B!M381/1000</f>
        <v>0</v>
      </c>
      <c r="N380" s="85">
        <f>STATS1003B!N381/1000</f>
        <v>1953.989</v>
      </c>
      <c r="O380" s="85">
        <f>STATS1003B!O381/1000</f>
        <v>0</v>
      </c>
      <c r="P380" s="85">
        <f>STATS1003B!P381/1000</f>
        <v>1953.989</v>
      </c>
      <c r="Q380" s="85">
        <f>STATS1003B!Q381/1000</f>
        <v>0</v>
      </c>
      <c r="R380" s="85">
        <f>STATS1003B!R381/1000</f>
        <v>0</v>
      </c>
      <c r="S380" s="85">
        <f>STATS1003B!S381/1000</f>
        <v>0</v>
      </c>
      <c r="T380" s="85">
        <f>STATS1003B!T381/1000</f>
        <v>0</v>
      </c>
      <c r="U380" s="85">
        <f>STATS1003B!U381/1000</f>
        <v>1953.989</v>
      </c>
      <c r="V380" s="85">
        <f>STATS1003B!V381/1000</f>
        <v>0</v>
      </c>
      <c r="W380" s="85">
        <f>STATS1003B!W381/1000</f>
        <v>0</v>
      </c>
      <c r="X380" s="85">
        <f t="shared" si="36"/>
        <v>1953.989</v>
      </c>
      <c r="Y380" s="85">
        <f>STATS1003B!Y381/1000</f>
        <v>0</v>
      </c>
      <c r="Z380" s="85">
        <f t="shared" si="39"/>
        <v>0</v>
      </c>
      <c r="AA380" s="69">
        <f>STATS1003B!AA381/1000</f>
        <v>1953.989</v>
      </c>
      <c r="AB380" s="69">
        <f>STATS1003B!AB381/1000</f>
        <v>0</v>
      </c>
    </row>
    <row r="381" spans="1:28" hidden="1" x14ac:dyDescent="0.3">
      <c r="A381" s="117"/>
      <c r="C381" s="68" t="s">
        <v>583</v>
      </c>
      <c r="D381" s="145" t="s">
        <v>85</v>
      </c>
      <c r="E381" s="85">
        <f>STATS1003B!E382/1000</f>
        <v>1990</v>
      </c>
      <c r="F381" s="85">
        <f>STATS1003B!F382/1000</f>
        <v>1990</v>
      </c>
      <c r="G381" s="85">
        <f>STATS1003B!G382/1000</f>
        <v>0</v>
      </c>
      <c r="H381" s="85">
        <f>STATS1003B!H382/1000</f>
        <v>1990</v>
      </c>
      <c r="I381" s="85">
        <f>STATS1003B!I382/1000</f>
        <v>0</v>
      </c>
      <c r="J381" s="85">
        <f>STATS1003B!J382/1000</f>
        <v>1990</v>
      </c>
      <c r="K381" s="85">
        <f>STATS1003B!K382/1000</f>
        <v>0</v>
      </c>
      <c r="L381" s="85">
        <f>STATS1003B!L382/1000</f>
        <v>0</v>
      </c>
      <c r="M381" s="85">
        <f>STATS1003B!M382/1000</f>
        <v>1990</v>
      </c>
      <c r="N381" s="85">
        <f>STATS1003B!N382/1000</f>
        <v>0</v>
      </c>
      <c r="O381" s="85">
        <f>STATS1003B!O382/1000</f>
        <v>0</v>
      </c>
      <c r="P381" s="85">
        <f>STATS1003B!P382/1000</f>
        <v>0</v>
      </c>
      <c r="Q381" s="85">
        <f>STATS1003B!Q382/1000</f>
        <v>0</v>
      </c>
      <c r="R381" s="85">
        <f>STATS1003B!R382/1000</f>
        <v>0</v>
      </c>
      <c r="S381" s="85">
        <f>STATS1003B!S382/1000</f>
        <v>0</v>
      </c>
      <c r="T381" s="85">
        <f>STATS1003B!T382/1000</f>
        <v>0</v>
      </c>
      <c r="U381" s="85">
        <f>STATS1003B!U382/1000</f>
        <v>0</v>
      </c>
      <c r="V381" s="85">
        <f>STATS1003B!V382/1000</f>
        <v>0</v>
      </c>
      <c r="W381" s="85">
        <f>STATS1003B!W382/1000</f>
        <v>0</v>
      </c>
      <c r="X381" s="85">
        <f t="shared" si="36"/>
        <v>1990</v>
      </c>
      <c r="Y381" s="85">
        <f>STATS1003B!Y382/1000</f>
        <v>0</v>
      </c>
      <c r="Z381" s="85">
        <f t="shared" si="39"/>
        <v>0</v>
      </c>
      <c r="AA381" s="69">
        <f>STATS1003B!AA382/1000</f>
        <v>1990</v>
      </c>
      <c r="AB381" s="69">
        <f>STATS1003B!AB382/1000</f>
        <v>0</v>
      </c>
    </row>
    <row r="382" spans="1:28" hidden="1" x14ac:dyDescent="0.3">
      <c r="A382" s="117"/>
      <c r="C382" s="68" t="s">
        <v>571</v>
      </c>
      <c r="D382" s="145" t="s">
        <v>85</v>
      </c>
      <c r="E382" s="85">
        <f>STATS1003B!E383/1000</f>
        <v>700</v>
      </c>
      <c r="F382" s="85">
        <f>STATS1003B!F383/1000</f>
        <v>700</v>
      </c>
      <c r="G382" s="85">
        <f>STATS1003B!G383/1000</f>
        <v>0</v>
      </c>
      <c r="H382" s="85">
        <f>STATS1003B!H383/1000</f>
        <v>700</v>
      </c>
      <c r="I382" s="85">
        <f>STATS1003B!I383/1000</f>
        <v>0</v>
      </c>
      <c r="J382" s="85">
        <f>STATS1003B!J383/1000</f>
        <v>700</v>
      </c>
      <c r="K382" s="85">
        <f>STATS1003B!K383/1000</f>
        <v>0</v>
      </c>
      <c r="L382" s="85">
        <f>STATS1003B!L383/1000</f>
        <v>0</v>
      </c>
      <c r="M382" s="85">
        <f>STATS1003B!M383/1000</f>
        <v>700</v>
      </c>
      <c r="N382" s="85">
        <f>STATS1003B!N383/1000</f>
        <v>0</v>
      </c>
      <c r="O382" s="85">
        <f>STATS1003B!O383/1000</f>
        <v>0</v>
      </c>
      <c r="P382" s="85">
        <f>STATS1003B!P383/1000</f>
        <v>0</v>
      </c>
      <c r="Q382" s="85">
        <f>STATS1003B!Q383/1000</f>
        <v>0</v>
      </c>
      <c r="R382" s="85">
        <f>STATS1003B!R383/1000</f>
        <v>0</v>
      </c>
      <c r="S382" s="85">
        <f>STATS1003B!S383/1000</f>
        <v>0</v>
      </c>
      <c r="T382" s="85">
        <f>STATS1003B!T383/1000</f>
        <v>0</v>
      </c>
      <c r="U382" s="85">
        <f>STATS1003B!U383/1000</f>
        <v>0</v>
      </c>
      <c r="V382" s="85">
        <f>STATS1003B!V383/1000</f>
        <v>0</v>
      </c>
      <c r="W382" s="85">
        <f>STATS1003B!W383/1000</f>
        <v>0</v>
      </c>
      <c r="X382" s="85">
        <f t="shared" si="36"/>
        <v>700</v>
      </c>
      <c r="Y382" s="85">
        <f>STATS1003B!Y383/1000</f>
        <v>0</v>
      </c>
      <c r="Z382" s="85">
        <f t="shared" si="39"/>
        <v>0</v>
      </c>
      <c r="AA382" s="69">
        <f>STATS1003B!AA383/1000</f>
        <v>700</v>
      </c>
      <c r="AB382" s="69">
        <f>STATS1003B!AB383/1000</f>
        <v>0</v>
      </c>
    </row>
    <row r="383" spans="1:28" hidden="1" x14ac:dyDescent="0.3">
      <c r="A383" s="117"/>
      <c r="C383" s="68" t="s">
        <v>585</v>
      </c>
      <c r="D383" s="145" t="s">
        <v>128</v>
      </c>
      <c r="E383" s="85">
        <f>STATS1003B!E384/1000</f>
        <v>674.6</v>
      </c>
      <c r="F383" s="85">
        <f>STATS1003B!F384/1000</f>
        <v>616.35</v>
      </c>
      <c r="G383" s="85">
        <f>STATS1003B!G384/1000</f>
        <v>0</v>
      </c>
      <c r="H383" s="85">
        <f>STATS1003B!H384/1000</f>
        <v>616.35</v>
      </c>
      <c r="I383" s="85">
        <f>STATS1003B!I384/1000</f>
        <v>0</v>
      </c>
      <c r="J383" s="85">
        <f>STATS1003B!J384/1000</f>
        <v>616.35</v>
      </c>
      <c r="K383" s="85">
        <f>STATS1003B!K384/1000</f>
        <v>0</v>
      </c>
      <c r="L383" s="85">
        <f>STATS1003B!L384/1000</f>
        <v>0</v>
      </c>
      <c r="M383" s="85">
        <f>STATS1003B!M384/1000</f>
        <v>616.35</v>
      </c>
      <c r="N383" s="85">
        <f>STATS1003B!N384/1000</f>
        <v>0</v>
      </c>
      <c r="O383" s="85">
        <f>STATS1003B!O384/1000</f>
        <v>0</v>
      </c>
      <c r="P383" s="85">
        <f>STATS1003B!P384/1000</f>
        <v>0</v>
      </c>
      <c r="Q383" s="85">
        <f>STATS1003B!Q384/1000</f>
        <v>0</v>
      </c>
      <c r="R383" s="85">
        <f>STATS1003B!R384/1000</f>
        <v>0</v>
      </c>
      <c r="S383" s="85">
        <f>STATS1003B!S384/1000</f>
        <v>0</v>
      </c>
      <c r="T383" s="85">
        <f>STATS1003B!T384/1000</f>
        <v>0</v>
      </c>
      <c r="U383" s="85">
        <f>STATS1003B!U384/1000</f>
        <v>0</v>
      </c>
      <c r="V383" s="85">
        <f>STATS1003B!V384/1000</f>
        <v>0</v>
      </c>
      <c r="W383" s="85">
        <f>STATS1003B!W384/1000</f>
        <v>0</v>
      </c>
      <c r="X383" s="85">
        <f t="shared" si="36"/>
        <v>616.35</v>
      </c>
      <c r="Y383" s="85">
        <f>STATS1003B!Y384/1000</f>
        <v>0</v>
      </c>
      <c r="Z383" s="85">
        <f t="shared" si="39"/>
        <v>58.25</v>
      </c>
      <c r="AA383" s="69">
        <f>STATS1003B!AA384/1000</f>
        <v>616.35</v>
      </c>
      <c r="AB383" s="69">
        <f>STATS1003B!AB384/1000</f>
        <v>58.25</v>
      </c>
    </row>
    <row r="384" spans="1:28" hidden="1" x14ac:dyDescent="0.3">
      <c r="A384" s="117"/>
      <c r="C384" s="68" t="s">
        <v>586</v>
      </c>
      <c r="D384" s="145" t="s">
        <v>128</v>
      </c>
      <c r="E384" s="85">
        <f>STATS1003B!E385/1000</f>
        <v>640</v>
      </c>
      <c r="F384" s="85">
        <f>STATS1003B!F385/1000</f>
        <v>640</v>
      </c>
      <c r="G384" s="85">
        <f>STATS1003B!G385/1000</f>
        <v>0</v>
      </c>
      <c r="H384" s="85">
        <f>STATS1003B!H385/1000</f>
        <v>640</v>
      </c>
      <c r="I384" s="85">
        <f>STATS1003B!I385/1000</f>
        <v>0</v>
      </c>
      <c r="J384" s="85">
        <f>STATS1003B!J385/1000</f>
        <v>640</v>
      </c>
      <c r="K384" s="85">
        <f>STATS1003B!K385/1000</f>
        <v>0</v>
      </c>
      <c r="L384" s="85">
        <f>STATS1003B!L385/1000</f>
        <v>0</v>
      </c>
      <c r="M384" s="85">
        <f>STATS1003B!M385/1000</f>
        <v>640</v>
      </c>
      <c r="N384" s="85">
        <f>STATS1003B!N385/1000</f>
        <v>0</v>
      </c>
      <c r="O384" s="85">
        <f>STATS1003B!O385/1000</f>
        <v>0</v>
      </c>
      <c r="P384" s="85">
        <f>STATS1003B!P385/1000</f>
        <v>0</v>
      </c>
      <c r="Q384" s="85">
        <f>STATS1003B!Q385/1000</f>
        <v>0</v>
      </c>
      <c r="R384" s="85">
        <f>STATS1003B!R385/1000</f>
        <v>0</v>
      </c>
      <c r="S384" s="85">
        <f>STATS1003B!S385/1000</f>
        <v>0</v>
      </c>
      <c r="T384" s="85">
        <f>STATS1003B!T385/1000</f>
        <v>0</v>
      </c>
      <c r="U384" s="85">
        <f>STATS1003B!U385/1000</f>
        <v>0</v>
      </c>
      <c r="V384" s="85">
        <f>STATS1003B!V385/1000</f>
        <v>0</v>
      </c>
      <c r="W384" s="85">
        <f>STATS1003B!W385/1000</f>
        <v>0</v>
      </c>
      <c r="X384" s="85">
        <f t="shared" si="36"/>
        <v>640</v>
      </c>
      <c r="Y384" s="85">
        <f>STATS1003B!Y385/1000</f>
        <v>0</v>
      </c>
      <c r="Z384" s="85">
        <f t="shared" si="39"/>
        <v>0</v>
      </c>
      <c r="AA384" s="69">
        <f>STATS1003B!AA385/1000</f>
        <v>640</v>
      </c>
      <c r="AB384" s="69">
        <f>STATS1003B!AB385/1000</f>
        <v>0</v>
      </c>
    </row>
    <row r="385" spans="1:28" hidden="1" x14ac:dyDescent="0.3">
      <c r="A385" s="117"/>
      <c r="C385" s="68" t="s">
        <v>535</v>
      </c>
      <c r="D385" s="145" t="s">
        <v>88</v>
      </c>
      <c r="E385" s="85">
        <f>STATS1003B!E386/1000</f>
        <v>2607.0169999999998</v>
      </c>
      <c r="F385" s="85">
        <f>STATS1003B!F386/1000</f>
        <v>2607.0169999999998</v>
      </c>
      <c r="G385" s="85">
        <f>STATS1003B!G386/1000</f>
        <v>0</v>
      </c>
      <c r="H385" s="85">
        <f>STATS1003B!H386/1000</f>
        <v>2607.0169999999998</v>
      </c>
      <c r="I385" s="85">
        <f>STATS1003B!I386/1000</f>
        <v>0</v>
      </c>
      <c r="J385" s="85">
        <f>STATS1003B!J386/1000</f>
        <v>2607.0169999999998</v>
      </c>
      <c r="K385" s="85">
        <f>STATS1003B!K386/1000</f>
        <v>0</v>
      </c>
      <c r="L385" s="85">
        <f>STATS1003B!L386/1000</f>
        <v>0</v>
      </c>
      <c r="M385" s="85">
        <f>STATS1003B!M386/1000</f>
        <v>2607.0169999999998</v>
      </c>
      <c r="N385" s="85">
        <f>STATS1003B!N386/1000</f>
        <v>0</v>
      </c>
      <c r="O385" s="85">
        <f>STATS1003B!O386/1000</f>
        <v>0</v>
      </c>
      <c r="P385" s="85">
        <f>STATS1003B!P386/1000</f>
        <v>0</v>
      </c>
      <c r="Q385" s="85">
        <f>STATS1003B!Q386/1000</f>
        <v>0</v>
      </c>
      <c r="R385" s="85">
        <f>STATS1003B!R386/1000</f>
        <v>0</v>
      </c>
      <c r="S385" s="85">
        <f>STATS1003B!S386/1000</f>
        <v>0</v>
      </c>
      <c r="T385" s="85">
        <f>STATS1003B!T386/1000</f>
        <v>0</v>
      </c>
      <c r="U385" s="85">
        <f>STATS1003B!U386/1000</f>
        <v>0</v>
      </c>
      <c r="V385" s="85">
        <f>STATS1003B!V386/1000</f>
        <v>0</v>
      </c>
      <c r="W385" s="85">
        <f>STATS1003B!W386/1000</f>
        <v>0</v>
      </c>
      <c r="X385" s="85">
        <f t="shared" si="36"/>
        <v>2607.0169999999998</v>
      </c>
      <c r="Y385" s="85">
        <f>STATS1003B!Y386/1000</f>
        <v>0</v>
      </c>
      <c r="Z385" s="85">
        <f t="shared" si="39"/>
        <v>0</v>
      </c>
      <c r="AA385" s="69">
        <f>STATS1003B!AA386/1000</f>
        <v>2607.0169999999998</v>
      </c>
      <c r="AB385" s="69">
        <f>STATS1003B!AB386/1000</f>
        <v>0</v>
      </c>
    </row>
    <row r="386" spans="1:28" hidden="1" x14ac:dyDescent="0.3">
      <c r="A386" s="117"/>
      <c r="C386" s="68" t="s">
        <v>587</v>
      </c>
      <c r="D386" s="145" t="s">
        <v>88</v>
      </c>
      <c r="E386" s="85">
        <f>STATS1003B!E387/1000</f>
        <v>875.6</v>
      </c>
      <c r="F386" s="85">
        <f>STATS1003B!F387/1000</f>
        <v>875.6</v>
      </c>
      <c r="G386" s="85">
        <f>STATS1003B!G387/1000</f>
        <v>0</v>
      </c>
      <c r="H386" s="85">
        <f>STATS1003B!H387/1000</f>
        <v>875.6</v>
      </c>
      <c r="I386" s="85">
        <f>STATS1003B!I387/1000</f>
        <v>0</v>
      </c>
      <c r="J386" s="85">
        <f>STATS1003B!J387/1000</f>
        <v>875.6</v>
      </c>
      <c r="K386" s="85">
        <f>STATS1003B!K387/1000</f>
        <v>0</v>
      </c>
      <c r="L386" s="85">
        <f>STATS1003B!L387/1000</f>
        <v>0</v>
      </c>
      <c r="M386" s="85">
        <f>STATS1003B!M387/1000</f>
        <v>875.6</v>
      </c>
      <c r="N386" s="85">
        <f>STATS1003B!N387/1000</f>
        <v>0</v>
      </c>
      <c r="O386" s="85">
        <f>STATS1003B!O387/1000</f>
        <v>0</v>
      </c>
      <c r="P386" s="85">
        <f>STATS1003B!P387/1000</f>
        <v>0</v>
      </c>
      <c r="Q386" s="85">
        <f>STATS1003B!Q387/1000</f>
        <v>0</v>
      </c>
      <c r="R386" s="85">
        <f>STATS1003B!R387/1000</f>
        <v>0</v>
      </c>
      <c r="S386" s="85">
        <f>STATS1003B!S387/1000</f>
        <v>0</v>
      </c>
      <c r="T386" s="85">
        <f>STATS1003B!T387/1000</f>
        <v>0</v>
      </c>
      <c r="U386" s="85">
        <f>STATS1003B!U387/1000</f>
        <v>0</v>
      </c>
      <c r="V386" s="85">
        <f>STATS1003B!V387/1000</f>
        <v>0</v>
      </c>
      <c r="W386" s="85">
        <f>STATS1003B!W387/1000</f>
        <v>0</v>
      </c>
      <c r="X386" s="85">
        <f t="shared" si="36"/>
        <v>875.6</v>
      </c>
      <c r="Y386" s="85">
        <f>STATS1003B!Y387/1000</f>
        <v>0</v>
      </c>
      <c r="Z386" s="85">
        <f t="shared" si="39"/>
        <v>0</v>
      </c>
      <c r="AA386" s="69">
        <f>STATS1003B!AA387/1000</f>
        <v>875.6</v>
      </c>
      <c r="AB386" s="69">
        <f>STATS1003B!AB387/1000</f>
        <v>0</v>
      </c>
    </row>
    <row r="387" spans="1:28" hidden="1" x14ac:dyDescent="0.3">
      <c r="A387" s="117"/>
      <c r="C387" s="68" t="s">
        <v>587</v>
      </c>
      <c r="D387" s="145" t="s">
        <v>108</v>
      </c>
      <c r="E387" s="85">
        <f>STATS1003B!E388/1000</f>
        <v>1841.3</v>
      </c>
      <c r="F387" s="85">
        <f>STATS1003B!F388/1000</f>
        <v>1841.3</v>
      </c>
      <c r="G387" s="85">
        <f>STATS1003B!G388/1000</f>
        <v>0</v>
      </c>
      <c r="H387" s="85">
        <f>STATS1003B!H388/1000</f>
        <v>1841.3</v>
      </c>
      <c r="I387" s="85">
        <f>STATS1003B!I388/1000</f>
        <v>0</v>
      </c>
      <c r="J387" s="85">
        <f>STATS1003B!J388/1000</f>
        <v>1841.3</v>
      </c>
      <c r="K387" s="85">
        <f>STATS1003B!K388/1000</f>
        <v>0</v>
      </c>
      <c r="L387" s="85">
        <f>STATS1003B!L388/1000</f>
        <v>0</v>
      </c>
      <c r="M387" s="85">
        <f>STATS1003B!M388/1000</f>
        <v>1841.3</v>
      </c>
      <c r="N387" s="85">
        <f>STATS1003B!N388/1000</f>
        <v>0</v>
      </c>
      <c r="O387" s="85">
        <f>STATS1003B!O388/1000</f>
        <v>0</v>
      </c>
      <c r="P387" s="85">
        <f>STATS1003B!P388/1000</f>
        <v>0</v>
      </c>
      <c r="Q387" s="85">
        <f>STATS1003B!Q388/1000</f>
        <v>0</v>
      </c>
      <c r="R387" s="85">
        <f>STATS1003B!R388/1000</f>
        <v>0</v>
      </c>
      <c r="S387" s="85">
        <f>STATS1003B!S388/1000</f>
        <v>0</v>
      </c>
      <c r="T387" s="85">
        <f>STATS1003B!T388/1000</f>
        <v>0</v>
      </c>
      <c r="U387" s="85">
        <f>STATS1003B!U388/1000</f>
        <v>0</v>
      </c>
      <c r="V387" s="85">
        <f>STATS1003B!V388/1000</f>
        <v>0</v>
      </c>
      <c r="W387" s="85">
        <f>STATS1003B!W388/1000</f>
        <v>0</v>
      </c>
      <c r="X387" s="85">
        <f t="shared" si="36"/>
        <v>1841.3</v>
      </c>
      <c r="Y387" s="85">
        <f>STATS1003B!Y388/1000</f>
        <v>0</v>
      </c>
      <c r="Z387" s="85">
        <f t="shared" si="39"/>
        <v>0</v>
      </c>
      <c r="AA387" s="69">
        <f>STATS1003B!AA388/1000</f>
        <v>1841.3</v>
      </c>
      <c r="AB387" s="69">
        <f>STATS1003B!AB388/1000</f>
        <v>0</v>
      </c>
    </row>
    <row r="388" spans="1:28" hidden="1" x14ac:dyDescent="0.3">
      <c r="A388" s="117"/>
      <c r="C388" s="68" t="s">
        <v>535</v>
      </c>
      <c r="D388" s="145" t="s">
        <v>58</v>
      </c>
      <c r="E388" s="85">
        <f>STATS1003B!E389/1000</f>
        <v>1691.0450000000001</v>
      </c>
      <c r="F388" s="85">
        <f>STATS1003B!F389/1000</f>
        <v>1691.0450000000001</v>
      </c>
      <c r="G388" s="85">
        <f>STATS1003B!G389/1000</f>
        <v>0</v>
      </c>
      <c r="H388" s="85">
        <f>STATS1003B!H389/1000</f>
        <v>1691.0450000000001</v>
      </c>
      <c r="I388" s="85">
        <f>STATS1003B!I389/1000</f>
        <v>0</v>
      </c>
      <c r="J388" s="85">
        <f>STATS1003B!J389/1000</f>
        <v>1691.0450000000001</v>
      </c>
      <c r="K388" s="85">
        <f>STATS1003B!K389/1000</f>
        <v>0</v>
      </c>
      <c r="L388" s="85">
        <f>STATS1003B!L389/1000</f>
        <v>0</v>
      </c>
      <c r="M388" s="85">
        <f>STATS1003B!M389/1000</f>
        <v>1691.0450000000001</v>
      </c>
      <c r="N388" s="85">
        <f>STATS1003B!N389/1000</f>
        <v>0</v>
      </c>
      <c r="O388" s="85">
        <f>STATS1003B!O389/1000</f>
        <v>0</v>
      </c>
      <c r="P388" s="85">
        <f>STATS1003B!P389/1000</f>
        <v>0</v>
      </c>
      <c r="Q388" s="85">
        <f>STATS1003B!Q389/1000</f>
        <v>0</v>
      </c>
      <c r="R388" s="85">
        <f>STATS1003B!R389/1000</f>
        <v>0</v>
      </c>
      <c r="S388" s="85">
        <f>STATS1003B!S389/1000</f>
        <v>0</v>
      </c>
      <c r="T388" s="85">
        <f>STATS1003B!T389/1000</f>
        <v>0</v>
      </c>
      <c r="U388" s="85">
        <f>STATS1003B!U389/1000</f>
        <v>0</v>
      </c>
      <c r="V388" s="85">
        <f>STATS1003B!V389/1000</f>
        <v>0</v>
      </c>
      <c r="W388" s="85">
        <f>STATS1003B!W389/1000</f>
        <v>0</v>
      </c>
      <c r="X388" s="85">
        <f t="shared" si="36"/>
        <v>1691.0450000000001</v>
      </c>
      <c r="Y388" s="85">
        <f>STATS1003B!Y389/1000</f>
        <v>0</v>
      </c>
      <c r="Z388" s="85">
        <f t="shared" si="39"/>
        <v>0</v>
      </c>
      <c r="AA388" s="69">
        <f>STATS1003B!AA389/1000</f>
        <v>1691.0450000000001</v>
      </c>
      <c r="AB388" s="69">
        <f>STATS1003B!AB389/1000</f>
        <v>0</v>
      </c>
    </row>
    <row r="389" spans="1:28" hidden="1" x14ac:dyDescent="0.3">
      <c r="A389" s="117"/>
      <c r="C389" s="71" t="s">
        <v>535</v>
      </c>
      <c r="D389" s="88" t="s">
        <v>60</v>
      </c>
      <c r="E389" s="85">
        <f>STATS1003B!E390/1000</f>
        <v>3685.1970000000001</v>
      </c>
      <c r="F389" s="85">
        <f>STATS1003B!F390/1000</f>
        <v>3685.1970000000001</v>
      </c>
      <c r="G389" s="85">
        <f>STATS1003B!G390/1000</f>
        <v>0</v>
      </c>
      <c r="H389" s="85">
        <f>STATS1003B!H390/1000</f>
        <v>3685.1970000000001</v>
      </c>
      <c r="I389" s="85">
        <f>STATS1003B!I390/1000</f>
        <v>0</v>
      </c>
      <c r="J389" s="85">
        <f>STATS1003B!J390/1000</f>
        <v>3685.1970000000001</v>
      </c>
      <c r="K389" s="85">
        <f>STATS1003B!K390/1000</f>
        <v>0</v>
      </c>
      <c r="L389" s="85">
        <f>STATS1003B!L390/1000</f>
        <v>0</v>
      </c>
      <c r="M389" s="85">
        <f>STATS1003B!M390/1000</f>
        <v>3685.1970000000001</v>
      </c>
      <c r="N389" s="85">
        <f>STATS1003B!N390/1000</f>
        <v>0</v>
      </c>
      <c r="O389" s="85">
        <f>STATS1003B!O390/1000</f>
        <v>0</v>
      </c>
      <c r="P389" s="85">
        <f>STATS1003B!P390/1000</f>
        <v>0</v>
      </c>
      <c r="Q389" s="85">
        <f>STATS1003B!Q390/1000</f>
        <v>0</v>
      </c>
      <c r="R389" s="85">
        <f>STATS1003B!R390/1000</f>
        <v>0</v>
      </c>
      <c r="S389" s="85">
        <f>STATS1003B!S390/1000</f>
        <v>0</v>
      </c>
      <c r="T389" s="85">
        <f>STATS1003B!T390/1000</f>
        <v>0</v>
      </c>
      <c r="U389" s="85">
        <f>STATS1003B!U390/1000</f>
        <v>0</v>
      </c>
      <c r="V389" s="85">
        <f>STATS1003B!V390/1000</f>
        <v>0</v>
      </c>
      <c r="W389" s="85">
        <f>STATS1003B!W390/1000</f>
        <v>0</v>
      </c>
      <c r="X389" s="85">
        <f t="shared" ref="X389:X418" si="41">+H389+P389</f>
        <v>3685.1970000000001</v>
      </c>
      <c r="Y389" s="85">
        <f>STATS1003B!Y390/1000</f>
        <v>0</v>
      </c>
      <c r="Z389" s="85">
        <f t="shared" si="39"/>
        <v>0</v>
      </c>
      <c r="AA389" s="69">
        <f>STATS1003B!AA390/1000</f>
        <v>3685.1970000000001</v>
      </c>
      <c r="AB389" s="69">
        <f>STATS1003B!AB390/1000</f>
        <v>0</v>
      </c>
    </row>
    <row r="390" spans="1:28" hidden="1" x14ac:dyDescent="0.3">
      <c r="A390" s="117"/>
      <c r="C390" s="71" t="s">
        <v>535</v>
      </c>
      <c r="D390" s="88" t="s">
        <v>73</v>
      </c>
      <c r="E390" s="85">
        <f>STATS1003B!E391/1000</f>
        <v>3633.2622099999999</v>
      </c>
      <c r="F390" s="85">
        <f>STATS1003B!F391/1000</f>
        <v>3633.2622099999999</v>
      </c>
      <c r="G390" s="85">
        <f>STATS1003B!G391/1000</f>
        <v>0</v>
      </c>
      <c r="H390" s="85">
        <f>STATS1003B!H391/1000</f>
        <v>3633.2622099999999</v>
      </c>
      <c r="I390" s="85">
        <f>STATS1003B!I391/1000</f>
        <v>0</v>
      </c>
      <c r="J390" s="85">
        <f>STATS1003B!J391/1000</f>
        <v>3633.2622099999999</v>
      </c>
      <c r="K390" s="85">
        <f>STATS1003B!K391/1000</f>
        <v>0</v>
      </c>
      <c r="L390" s="85">
        <f>STATS1003B!L391/1000</f>
        <v>0</v>
      </c>
      <c r="M390" s="85">
        <f>STATS1003B!M391/1000</f>
        <v>3633.2622099999999</v>
      </c>
      <c r="N390" s="85">
        <f>STATS1003B!N391/1000</f>
        <v>0</v>
      </c>
      <c r="O390" s="85">
        <f>STATS1003B!O391/1000</f>
        <v>0</v>
      </c>
      <c r="P390" s="85">
        <f>STATS1003B!P391/1000</f>
        <v>0</v>
      </c>
      <c r="Q390" s="85">
        <f>STATS1003B!Q391/1000</f>
        <v>0</v>
      </c>
      <c r="R390" s="85">
        <f>STATS1003B!R391/1000</f>
        <v>0</v>
      </c>
      <c r="S390" s="85">
        <f>STATS1003B!S391/1000</f>
        <v>0</v>
      </c>
      <c r="T390" s="85">
        <f>STATS1003B!T391/1000</f>
        <v>0</v>
      </c>
      <c r="U390" s="85">
        <f>STATS1003B!U391/1000</f>
        <v>0</v>
      </c>
      <c r="V390" s="85">
        <f>STATS1003B!V391/1000</f>
        <v>0</v>
      </c>
      <c r="W390" s="85">
        <f>STATS1003B!W391/1000</f>
        <v>0</v>
      </c>
      <c r="X390" s="85">
        <f t="shared" si="41"/>
        <v>3633.2622099999999</v>
      </c>
      <c r="Y390" s="85">
        <f>STATS1003B!Y391/1000</f>
        <v>0</v>
      </c>
      <c r="Z390" s="85">
        <f t="shared" si="39"/>
        <v>0</v>
      </c>
      <c r="AA390" s="69">
        <f>STATS1003B!AA391/1000</f>
        <v>3633.2622099999999</v>
      </c>
      <c r="AB390" s="69">
        <f>STATS1003B!AB391/1000</f>
        <v>0</v>
      </c>
    </row>
    <row r="391" spans="1:28" hidden="1" x14ac:dyDescent="0.3">
      <c r="A391" s="117"/>
      <c r="C391" s="71" t="s">
        <v>549</v>
      </c>
      <c r="D391" s="88" t="s">
        <v>73</v>
      </c>
      <c r="E391" s="85">
        <f>STATS1003B!E392/1000</f>
        <v>1000</v>
      </c>
      <c r="F391" s="85">
        <f>STATS1003B!F392/1000</f>
        <v>1000</v>
      </c>
      <c r="G391" s="85">
        <f>STATS1003B!G392/1000</f>
        <v>0</v>
      </c>
      <c r="H391" s="85">
        <f>STATS1003B!H392/1000</f>
        <v>1000</v>
      </c>
      <c r="I391" s="85">
        <f>STATS1003B!I392/1000</f>
        <v>0</v>
      </c>
      <c r="J391" s="85">
        <f>STATS1003B!J392/1000</f>
        <v>1000</v>
      </c>
      <c r="K391" s="85">
        <f>STATS1003B!K392/1000</f>
        <v>0</v>
      </c>
      <c r="L391" s="85">
        <f>STATS1003B!L392/1000</f>
        <v>0</v>
      </c>
      <c r="M391" s="85">
        <f>STATS1003B!M392/1000</f>
        <v>1000</v>
      </c>
      <c r="N391" s="85">
        <f>STATS1003B!N392/1000</f>
        <v>0</v>
      </c>
      <c r="O391" s="85">
        <f>STATS1003B!O392/1000</f>
        <v>0</v>
      </c>
      <c r="P391" s="85">
        <f>STATS1003B!P392/1000</f>
        <v>0</v>
      </c>
      <c r="Q391" s="85">
        <f>STATS1003B!Q392/1000</f>
        <v>0</v>
      </c>
      <c r="R391" s="85">
        <f>STATS1003B!R392/1000</f>
        <v>0</v>
      </c>
      <c r="S391" s="85">
        <f>STATS1003B!S392/1000</f>
        <v>0</v>
      </c>
      <c r="T391" s="85">
        <f>STATS1003B!T392/1000</f>
        <v>0</v>
      </c>
      <c r="U391" s="85">
        <f>STATS1003B!U392/1000</f>
        <v>0</v>
      </c>
      <c r="V391" s="85">
        <f>STATS1003B!V392/1000</f>
        <v>0</v>
      </c>
      <c r="W391" s="85">
        <f>STATS1003B!W392/1000</f>
        <v>0</v>
      </c>
      <c r="X391" s="85">
        <f t="shared" si="41"/>
        <v>1000</v>
      </c>
      <c r="Y391" s="85">
        <f>STATS1003B!Y392/1000</f>
        <v>0</v>
      </c>
      <c r="Z391" s="85">
        <f t="shared" si="39"/>
        <v>0</v>
      </c>
      <c r="AA391" s="69">
        <f>STATS1003B!AA392/1000</f>
        <v>1000</v>
      </c>
      <c r="AB391" s="69">
        <f>STATS1003B!AB392/1000</f>
        <v>0</v>
      </c>
    </row>
    <row r="392" spans="1:28" hidden="1" x14ac:dyDescent="0.3">
      <c r="A392" s="117"/>
      <c r="C392" s="71" t="s">
        <v>535</v>
      </c>
      <c r="D392" s="88" t="s">
        <v>61</v>
      </c>
      <c r="E392" s="85">
        <f>STATS1003B!E393/1000</f>
        <v>1639.5313199999998</v>
      </c>
      <c r="F392" s="85">
        <f>STATS1003B!F393/1000</f>
        <v>1639.5313199999998</v>
      </c>
      <c r="G392" s="85">
        <f>STATS1003B!G393/1000</f>
        <v>0</v>
      </c>
      <c r="H392" s="85">
        <f>STATS1003B!H393/1000</f>
        <v>1639.5313199999998</v>
      </c>
      <c r="I392" s="85">
        <f>STATS1003B!I393/1000</f>
        <v>0</v>
      </c>
      <c r="J392" s="85">
        <f>STATS1003B!J393/1000</f>
        <v>1639.5313199999998</v>
      </c>
      <c r="K392" s="85">
        <f>STATS1003B!K393/1000</f>
        <v>0</v>
      </c>
      <c r="L392" s="85">
        <f>STATS1003B!L393/1000</f>
        <v>0</v>
      </c>
      <c r="M392" s="85">
        <f>STATS1003B!M393/1000</f>
        <v>1639.5313199999998</v>
      </c>
      <c r="N392" s="85">
        <f>STATS1003B!N393/1000</f>
        <v>0</v>
      </c>
      <c r="O392" s="85">
        <f>STATS1003B!O393/1000</f>
        <v>0</v>
      </c>
      <c r="P392" s="85">
        <f>STATS1003B!P393/1000</f>
        <v>0</v>
      </c>
      <c r="Q392" s="85">
        <f>STATS1003B!Q393/1000</f>
        <v>0</v>
      </c>
      <c r="R392" s="85">
        <f>STATS1003B!R393/1000</f>
        <v>0</v>
      </c>
      <c r="S392" s="85">
        <f>STATS1003B!S393/1000</f>
        <v>0</v>
      </c>
      <c r="T392" s="85">
        <f>STATS1003B!T393/1000</f>
        <v>0</v>
      </c>
      <c r="U392" s="85">
        <f>STATS1003B!U393/1000</f>
        <v>0</v>
      </c>
      <c r="V392" s="85">
        <f>STATS1003B!V393/1000</f>
        <v>0</v>
      </c>
      <c r="W392" s="85">
        <f>STATS1003B!W393/1000</f>
        <v>0</v>
      </c>
      <c r="X392" s="85">
        <f t="shared" si="41"/>
        <v>1639.5313199999998</v>
      </c>
      <c r="Y392" s="85">
        <f>STATS1003B!Y393/1000</f>
        <v>0</v>
      </c>
      <c r="Z392" s="85">
        <f t="shared" si="39"/>
        <v>0</v>
      </c>
      <c r="AA392" s="69">
        <f>STATS1003B!AA393/1000</f>
        <v>1639.5313199999998</v>
      </c>
      <c r="AB392" s="69">
        <f>STATS1003B!AB393/1000</f>
        <v>0</v>
      </c>
    </row>
    <row r="393" spans="1:28" hidden="1" x14ac:dyDescent="0.3">
      <c r="A393" s="117"/>
      <c r="C393" s="95" t="s">
        <v>933</v>
      </c>
      <c r="D393" s="89" t="s">
        <v>1072</v>
      </c>
      <c r="E393" s="85">
        <f>STATS1003B!E394/1000</f>
        <v>3798</v>
      </c>
      <c r="F393" s="85">
        <f>STATS1003B!F394/1000</f>
        <v>3798</v>
      </c>
      <c r="G393" s="85">
        <f>STATS1003B!G394/1000</f>
        <v>0</v>
      </c>
      <c r="H393" s="85">
        <f>STATS1003B!H394/1000</f>
        <v>3798</v>
      </c>
      <c r="I393" s="85">
        <f>STATS1003B!I394/1000</f>
        <v>0</v>
      </c>
      <c r="J393" s="85">
        <f>STATS1003B!J394/1000</f>
        <v>3798</v>
      </c>
      <c r="K393" s="85">
        <f>STATS1003B!K394/1000</f>
        <v>0</v>
      </c>
      <c r="L393" s="85">
        <f>STATS1003B!L394/1000</f>
        <v>0</v>
      </c>
      <c r="M393" s="85">
        <f>STATS1003B!M394/1000</f>
        <v>3798</v>
      </c>
      <c r="N393" s="85">
        <f>STATS1003B!N394/1000</f>
        <v>0</v>
      </c>
      <c r="O393" s="85">
        <f>STATS1003B!O394/1000</f>
        <v>0</v>
      </c>
      <c r="P393" s="85">
        <f>STATS1003B!P394/1000</f>
        <v>0</v>
      </c>
      <c r="Q393" s="85">
        <f>STATS1003B!Q394/1000</f>
        <v>0</v>
      </c>
      <c r="R393" s="85">
        <f>STATS1003B!R394/1000</f>
        <v>0</v>
      </c>
      <c r="S393" s="85">
        <f>STATS1003B!S394/1000</f>
        <v>0</v>
      </c>
      <c r="T393" s="85">
        <f>STATS1003B!T394/1000</f>
        <v>0</v>
      </c>
      <c r="U393" s="85">
        <f>STATS1003B!U394/1000</f>
        <v>0</v>
      </c>
      <c r="V393" s="85">
        <f>STATS1003B!V394/1000</f>
        <v>0</v>
      </c>
      <c r="W393" s="85">
        <f>STATS1003B!W394/1000</f>
        <v>0</v>
      </c>
      <c r="X393" s="85">
        <f t="shared" si="41"/>
        <v>3798</v>
      </c>
      <c r="Y393" s="85">
        <f>STATS1003B!Y394/1000</f>
        <v>0</v>
      </c>
      <c r="Z393" s="85">
        <f t="shared" si="39"/>
        <v>0</v>
      </c>
      <c r="AA393" s="69">
        <f>STATS1003B!AA394/1000</f>
        <v>3798</v>
      </c>
      <c r="AB393" s="69">
        <f>STATS1003B!AB394/1000</f>
        <v>0</v>
      </c>
    </row>
    <row r="394" spans="1:28" hidden="1" x14ac:dyDescent="0.3">
      <c r="A394" s="117"/>
      <c r="C394" s="95" t="s">
        <v>1196</v>
      </c>
      <c r="D394" s="89" t="s">
        <v>1126</v>
      </c>
      <c r="E394" s="85">
        <f>STATS1003B!E395/1000</f>
        <v>1886.9403600000001</v>
      </c>
      <c r="F394" s="85">
        <f>STATS1003B!F395/1000</f>
        <v>1886.9403600000001</v>
      </c>
      <c r="G394" s="85">
        <f>STATS1003B!G395/1000</f>
        <v>0</v>
      </c>
      <c r="H394" s="85">
        <f>STATS1003B!H395/1000</f>
        <v>1886.9403600000001</v>
      </c>
      <c r="I394" s="85">
        <f>STATS1003B!I395/1000</f>
        <v>0</v>
      </c>
      <c r="J394" s="85">
        <f>STATS1003B!J395/1000</f>
        <v>1886.9403600000001</v>
      </c>
      <c r="K394" s="85">
        <f>STATS1003B!K395/1000</f>
        <v>0</v>
      </c>
      <c r="L394" s="85">
        <f>STATS1003B!L395/1000</f>
        <v>0</v>
      </c>
      <c r="M394" s="85">
        <f>STATS1003B!M395/1000</f>
        <v>1886.9403600000001</v>
      </c>
      <c r="N394" s="85">
        <f>STATS1003B!N395/1000</f>
        <v>0</v>
      </c>
      <c r="O394" s="85">
        <f>STATS1003B!O395/1000</f>
        <v>0</v>
      </c>
      <c r="P394" s="85">
        <f>STATS1003B!P395/1000</f>
        <v>0</v>
      </c>
      <c r="Q394" s="85">
        <f>STATS1003B!Q395/1000</f>
        <v>0</v>
      </c>
      <c r="R394" s="85">
        <f>STATS1003B!R395/1000</f>
        <v>0</v>
      </c>
      <c r="S394" s="85">
        <f>STATS1003B!S395/1000</f>
        <v>0</v>
      </c>
      <c r="T394" s="85">
        <f>STATS1003B!T395/1000</f>
        <v>0</v>
      </c>
      <c r="U394" s="85">
        <f>STATS1003B!U395/1000</f>
        <v>0</v>
      </c>
      <c r="V394" s="85">
        <f>STATS1003B!V395/1000</f>
        <v>0</v>
      </c>
      <c r="W394" s="85">
        <f>STATS1003B!W395/1000</f>
        <v>0</v>
      </c>
      <c r="X394" s="85">
        <f t="shared" si="41"/>
        <v>1886.9403600000001</v>
      </c>
      <c r="Y394" s="85">
        <f>STATS1003B!Y395/1000</f>
        <v>0</v>
      </c>
      <c r="Z394" s="85">
        <f t="shared" si="39"/>
        <v>0</v>
      </c>
      <c r="AA394" s="69">
        <f>STATS1003B!AA395/1000</f>
        <v>1886.9403600000001</v>
      </c>
      <c r="AB394" s="69">
        <f>STATS1003B!AB395/1000</f>
        <v>0</v>
      </c>
    </row>
    <row r="395" spans="1:28" hidden="1" x14ac:dyDescent="0.3">
      <c r="A395" s="117"/>
      <c r="C395" s="71" t="s">
        <v>1251</v>
      </c>
      <c r="D395" s="89" t="s">
        <v>1225</v>
      </c>
      <c r="E395" s="85">
        <f>STATS1003B!E396/1000</f>
        <v>647.40865000000008</v>
      </c>
      <c r="F395" s="85">
        <f>STATS1003B!F396/1000</f>
        <v>647.40865000000008</v>
      </c>
      <c r="G395" s="85">
        <f>STATS1003B!G396/1000</f>
        <v>0</v>
      </c>
      <c r="H395" s="85">
        <f>STATS1003B!H396/1000</f>
        <v>647.40865000000008</v>
      </c>
      <c r="I395" s="85">
        <f>STATS1003B!I396/1000</f>
        <v>0</v>
      </c>
      <c r="J395" s="85">
        <f>STATS1003B!J396/1000</f>
        <v>0</v>
      </c>
      <c r="K395" s="85">
        <f>STATS1003B!K396/1000</f>
        <v>0</v>
      </c>
      <c r="L395" s="85">
        <f>STATS1003B!L396/1000</f>
        <v>0</v>
      </c>
      <c r="M395" s="85">
        <f>STATS1003B!M396/1000</f>
        <v>647.40865000000008</v>
      </c>
      <c r="N395" s="85">
        <f>STATS1003B!N396/1000</f>
        <v>0</v>
      </c>
      <c r="O395" s="85">
        <f>STATS1003B!O396/1000</f>
        <v>0</v>
      </c>
      <c r="P395" s="85">
        <f>STATS1003B!P396/1000</f>
        <v>0</v>
      </c>
      <c r="Q395" s="85">
        <f>STATS1003B!Q396/1000</f>
        <v>0</v>
      </c>
      <c r="R395" s="85">
        <f>STATS1003B!R396/1000</f>
        <v>0</v>
      </c>
      <c r="S395" s="85">
        <f>STATS1003B!S396/1000</f>
        <v>0</v>
      </c>
      <c r="T395" s="85">
        <f>STATS1003B!T396/1000</f>
        <v>0</v>
      </c>
      <c r="U395" s="85">
        <f>STATS1003B!U396/1000</f>
        <v>0</v>
      </c>
      <c r="V395" s="85">
        <f>STATS1003B!V396/1000</f>
        <v>0</v>
      </c>
      <c r="W395" s="85">
        <f>STATS1003B!W396/1000</f>
        <v>0</v>
      </c>
      <c r="X395" s="85">
        <f t="shared" si="41"/>
        <v>647.40865000000008</v>
      </c>
      <c r="Y395" s="85">
        <f>STATS1003B!Y396/1000</f>
        <v>0</v>
      </c>
      <c r="Z395" s="85">
        <f t="shared" si="39"/>
        <v>0</v>
      </c>
      <c r="AA395" s="69">
        <f>STATS1003B!AA396/1000</f>
        <v>647.40865000000008</v>
      </c>
      <c r="AB395" s="69">
        <f>STATS1003B!AB396/1000</f>
        <v>0</v>
      </c>
    </row>
    <row r="396" spans="1:28" hidden="1" x14ac:dyDescent="0.3">
      <c r="A396" s="117"/>
      <c r="C396" s="68" t="s">
        <v>578</v>
      </c>
      <c r="E396" s="85">
        <f>STATS1003B!E397/1000</f>
        <v>18</v>
      </c>
      <c r="F396" s="85">
        <f>STATS1003B!F397/1000</f>
        <v>18</v>
      </c>
      <c r="G396" s="85">
        <f>STATS1003B!G397/1000</f>
        <v>0</v>
      </c>
      <c r="H396" s="85">
        <f>STATS1003B!H397/1000</f>
        <v>18</v>
      </c>
      <c r="I396" s="85">
        <f>STATS1003B!I397/1000</f>
        <v>0</v>
      </c>
      <c r="J396" s="85">
        <f>STATS1003B!J397/1000</f>
        <v>18</v>
      </c>
      <c r="K396" s="85">
        <f>STATS1003B!K397/1000</f>
        <v>0</v>
      </c>
      <c r="L396" s="85">
        <f>STATS1003B!L397/1000</f>
        <v>0</v>
      </c>
      <c r="M396" s="85">
        <f>STATS1003B!M397/1000</f>
        <v>18</v>
      </c>
      <c r="N396" s="85">
        <f>STATS1003B!N397/1000</f>
        <v>0</v>
      </c>
      <c r="O396" s="85">
        <f>STATS1003B!O397/1000</f>
        <v>0</v>
      </c>
      <c r="P396" s="85">
        <f>STATS1003B!P397/1000</f>
        <v>0</v>
      </c>
      <c r="Q396" s="85">
        <f>STATS1003B!Q397/1000</f>
        <v>0</v>
      </c>
      <c r="R396" s="85">
        <f>STATS1003B!R397/1000</f>
        <v>0</v>
      </c>
      <c r="S396" s="85">
        <f>STATS1003B!S397/1000</f>
        <v>0</v>
      </c>
      <c r="T396" s="85">
        <f>STATS1003B!T397/1000</f>
        <v>0</v>
      </c>
      <c r="U396" s="85">
        <f>STATS1003B!U397/1000</f>
        <v>0</v>
      </c>
      <c r="V396" s="85">
        <f>STATS1003B!V397/1000</f>
        <v>0</v>
      </c>
      <c r="W396" s="85">
        <f>STATS1003B!W397/1000</f>
        <v>0</v>
      </c>
      <c r="X396" s="85">
        <f t="shared" si="41"/>
        <v>18</v>
      </c>
      <c r="Y396" s="85">
        <f>STATS1003B!Y397/1000</f>
        <v>0</v>
      </c>
      <c r="Z396" s="85">
        <f t="shared" si="39"/>
        <v>0</v>
      </c>
      <c r="AA396" s="69">
        <f>STATS1003B!AA397/1000</f>
        <v>18</v>
      </c>
      <c r="AB396" s="69">
        <f>STATS1003B!AB397/1000</f>
        <v>0</v>
      </c>
    </row>
    <row r="397" spans="1:28" hidden="1" x14ac:dyDescent="0.3">
      <c r="A397" s="117"/>
      <c r="E397" s="86" t="s">
        <v>29</v>
      </c>
      <c r="F397" s="86" t="s">
        <v>29</v>
      </c>
      <c r="G397" s="86" t="s">
        <v>29</v>
      </c>
      <c r="H397" s="86" t="s">
        <v>29</v>
      </c>
      <c r="I397" s="86" t="s">
        <v>29</v>
      </c>
      <c r="J397" s="86" t="s">
        <v>29</v>
      </c>
      <c r="K397" s="86" t="s">
        <v>29</v>
      </c>
      <c r="L397" s="86" t="s">
        <v>29</v>
      </c>
      <c r="M397" s="86" t="s">
        <v>29</v>
      </c>
      <c r="N397" s="86" t="s">
        <v>29</v>
      </c>
      <c r="O397" s="86" t="s">
        <v>29</v>
      </c>
      <c r="P397" s="86" t="s">
        <v>29</v>
      </c>
      <c r="Q397" s="86" t="s">
        <v>29</v>
      </c>
      <c r="R397" s="86" t="s">
        <v>29</v>
      </c>
      <c r="S397" s="86" t="s">
        <v>29</v>
      </c>
      <c r="T397" s="86" t="s">
        <v>29</v>
      </c>
      <c r="U397" s="86" t="s">
        <v>29</v>
      </c>
      <c r="V397" s="86" t="s">
        <v>29</v>
      </c>
      <c r="W397" s="86" t="s">
        <v>29</v>
      </c>
      <c r="X397" s="85" t="e">
        <f t="shared" si="41"/>
        <v>#VALUE!</v>
      </c>
      <c r="Y397" s="86" t="s">
        <v>29</v>
      </c>
      <c r="Z397" s="85" t="e">
        <f t="shared" si="39"/>
        <v>#VALUE!</v>
      </c>
      <c r="AA397" s="115" t="s">
        <v>29</v>
      </c>
      <c r="AB397" s="115" t="s">
        <v>29</v>
      </c>
    </row>
    <row r="398" spans="1:28" x14ac:dyDescent="0.3">
      <c r="A398" s="116" t="s">
        <v>950</v>
      </c>
      <c r="B398" s="68" t="s">
        <v>580</v>
      </c>
      <c r="E398" s="85">
        <f>142896015.28/1000</f>
        <v>142896.01527999999</v>
      </c>
      <c r="F398" s="85">
        <f t="shared" ref="F398:Q398" si="42">SUM(F372:F397)</f>
        <v>35816.964679999997</v>
      </c>
      <c r="G398" s="85">
        <f t="shared" si="42"/>
        <v>0</v>
      </c>
      <c r="H398" s="85">
        <f>135248145.21/1000</f>
        <v>135248.14521000002</v>
      </c>
      <c r="I398" s="85" t="e">
        <f t="shared" si="42"/>
        <v>#VALUE!</v>
      </c>
      <c r="J398" s="85">
        <f t="shared" si="42"/>
        <v>35169.55603</v>
      </c>
      <c r="K398" s="85">
        <f t="shared" si="42"/>
        <v>7467.3912199999995</v>
      </c>
      <c r="L398" s="85">
        <f t="shared" si="42"/>
        <v>0</v>
      </c>
      <c r="M398" s="85">
        <f t="shared" si="42"/>
        <v>35816.964679999997</v>
      </c>
      <c r="N398" s="85">
        <f t="shared" si="42"/>
        <v>7467.3912199999995</v>
      </c>
      <c r="O398" s="85">
        <f t="shared" si="42"/>
        <v>0</v>
      </c>
      <c r="P398" s="85">
        <f>7467391/1000</f>
        <v>7467.3909999999996</v>
      </c>
      <c r="Q398" s="85">
        <f t="shared" si="42"/>
        <v>0</v>
      </c>
      <c r="R398" s="86"/>
      <c r="S398" s="86"/>
      <c r="T398" s="85">
        <f t="shared" ref="T398:Y398" si="43">SUM(T372:T397)</f>
        <v>0</v>
      </c>
      <c r="U398" s="85">
        <f t="shared" si="43"/>
        <v>7467.3912199999995</v>
      </c>
      <c r="V398" s="85">
        <f t="shared" si="43"/>
        <v>0</v>
      </c>
      <c r="W398" s="85">
        <f t="shared" si="43"/>
        <v>0</v>
      </c>
      <c r="X398" s="85">
        <f>+H398+P398</f>
        <v>142715.53621000002</v>
      </c>
      <c r="Y398" s="85">
        <f t="shared" si="43"/>
        <v>0</v>
      </c>
      <c r="Z398" s="85">
        <f>+E398-X398</f>
        <v>180.47906999997213</v>
      </c>
      <c r="AA398" s="69">
        <f>SUM(AA372:AA397)</f>
        <v>43284.355899999995</v>
      </c>
      <c r="AB398" s="69">
        <f>SUM(AB372:AB397)</f>
        <v>180.47884999999985</v>
      </c>
    </row>
    <row r="399" spans="1:28" hidden="1" x14ac:dyDescent="0.3">
      <c r="A399" s="117"/>
      <c r="E399" s="86" t="s">
        <v>29</v>
      </c>
      <c r="F399" s="86" t="s">
        <v>29</v>
      </c>
      <c r="G399" s="86" t="s">
        <v>29</v>
      </c>
      <c r="H399" s="86" t="s">
        <v>29</v>
      </c>
      <c r="I399" s="86" t="s">
        <v>29</v>
      </c>
      <c r="J399" s="86" t="s">
        <v>29</v>
      </c>
      <c r="K399" s="86" t="s">
        <v>29</v>
      </c>
      <c r="L399" s="86" t="s">
        <v>29</v>
      </c>
      <c r="M399" s="86" t="s">
        <v>29</v>
      </c>
      <c r="N399" s="86" t="s">
        <v>29</v>
      </c>
      <c r="O399" s="86" t="s">
        <v>29</v>
      </c>
      <c r="P399" s="86" t="s">
        <v>29</v>
      </c>
      <c r="Q399" s="86" t="s">
        <v>29</v>
      </c>
      <c r="R399" s="86" t="s">
        <v>29</v>
      </c>
      <c r="S399" s="86" t="s">
        <v>29</v>
      </c>
      <c r="T399" s="86" t="s">
        <v>29</v>
      </c>
      <c r="U399" s="86" t="s">
        <v>29</v>
      </c>
      <c r="V399" s="86" t="s">
        <v>29</v>
      </c>
      <c r="W399" s="86" t="s">
        <v>29</v>
      </c>
      <c r="X399" s="85" t="e">
        <f t="shared" si="41"/>
        <v>#VALUE!</v>
      </c>
      <c r="Y399" s="86" t="s">
        <v>29</v>
      </c>
      <c r="Z399" s="86" t="s">
        <v>29</v>
      </c>
      <c r="AA399" s="115" t="s">
        <v>29</v>
      </c>
      <c r="AB399" s="115" t="s">
        <v>29</v>
      </c>
    </row>
    <row r="400" spans="1:28" hidden="1" x14ac:dyDescent="0.3">
      <c r="A400" s="105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6"/>
      <c r="S400" s="86"/>
      <c r="T400" s="94"/>
      <c r="U400" s="94"/>
      <c r="V400" s="94"/>
      <c r="W400" s="94"/>
      <c r="X400" s="85">
        <f t="shared" si="41"/>
        <v>0</v>
      </c>
      <c r="Y400" s="94"/>
      <c r="Z400" s="94"/>
      <c r="AA400" s="118"/>
    </row>
    <row r="401" spans="1:28" hidden="1" x14ac:dyDescent="0.3">
      <c r="A401" s="117"/>
      <c r="C401" s="68" t="s">
        <v>539</v>
      </c>
      <c r="D401" s="145" t="s">
        <v>68</v>
      </c>
      <c r="E401" s="85">
        <f>STATS1003B!E402/1000</f>
        <v>5205.8914499999992</v>
      </c>
      <c r="F401" s="85">
        <f>STATS1003B!F402/1000</f>
        <v>0</v>
      </c>
      <c r="G401" s="85">
        <f>STATS1003B!G402/1000</f>
        <v>0</v>
      </c>
      <c r="H401" s="85">
        <f>STATS1003B!H402/1000</f>
        <v>0</v>
      </c>
      <c r="I401" s="85">
        <f>STATS1003B!I402/1000</f>
        <v>0</v>
      </c>
      <c r="J401" s="85">
        <f>STATS1003B!J402/1000</f>
        <v>0</v>
      </c>
      <c r="K401" s="85">
        <f>STATS1003B!K402/1000</f>
        <v>5205.8914499999992</v>
      </c>
      <c r="L401" s="85">
        <f>STATS1003B!L402/1000</f>
        <v>0</v>
      </c>
      <c r="M401" s="85">
        <f>STATS1003B!M402/1000</f>
        <v>0</v>
      </c>
      <c r="N401" s="85">
        <f>STATS1003B!N402/1000</f>
        <v>5205.8914500000001</v>
      </c>
      <c r="O401" s="85">
        <f>STATS1003B!O402/1000</f>
        <v>0</v>
      </c>
      <c r="P401" s="85">
        <f>STATS1003B!P402/1000</f>
        <v>5205.8914500000001</v>
      </c>
      <c r="Q401" s="85">
        <f>STATS1003B!Q402/1000</f>
        <v>0</v>
      </c>
      <c r="R401" s="85">
        <f>STATS1003B!R402/1000</f>
        <v>0</v>
      </c>
      <c r="S401" s="85">
        <f>STATS1003B!S402/1000</f>
        <v>0</v>
      </c>
      <c r="T401" s="85">
        <f>STATS1003B!T402/1000</f>
        <v>0</v>
      </c>
      <c r="U401" s="85">
        <f>STATS1003B!U402/1000</f>
        <v>5205.8914500000001</v>
      </c>
      <c r="V401" s="85">
        <f>STATS1003B!V402/1000</f>
        <v>0</v>
      </c>
      <c r="W401" s="85">
        <f>STATS1003B!W402/1000</f>
        <v>0</v>
      </c>
      <c r="X401" s="85">
        <f t="shared" si="41"/>
        <v>5205.8914500000001</v>
      </c>
      <c r="Y401" s="85">
        <f>STATS1003B!Y402/1000</f>
        <v>0</v>
      </c>
      <c r="Z401" s="85">
        <f>STATS1003B!Z402/1000</f>
        <v>0</v>
      </c>
      <c r="AA401" s="69">
        <f>STATS1003B!AA402/1000</f>
        <v>5205.8914500000001</v>
      </c>
      <c r="AB401" s="69">
        <f>STATS1003B!AB402/1000</f>
        <v>0</v>
      </c>
    </row>
    <row r="402" spans="1:28" hidden="1" x14ac:dyDescent="0.3">
      <c r="A402" s="117"/>
      <c r="C402" s="68" t="s">
        <v>535</v>
      </c>
      <c r="D402" s="145" t="s">
        <v>68</v>
      </c>
      <c r="E402" s="85">
        <f>STATS1003B!E403/1000</f>
        <v>1102</v>
      </c>
      <c r="F402" s="85">
        <f>STATS1003B!F403/1000</f>
        <v>1102</v>
      </c>
      <c r="G402" s="85">
        <f>STATS1003B!G403/1000</f>
        <v>0</v>
      </c>
      <c r="H402" s="85">
        <f>STATS1003B!H403/1000</f>
        <v>1102</v>
      </c>
      <c r="I402" s="85">
        <f>STATS1003B!I403/1000</f>
        <v>0</v>
      </c>
      <c r="J402" s="85">
        <f>STATS1003B!J403/1000</f>
        <v>1102</v>
      </c>
      <c r="K402" s="85">
        <f>STATS1003B!K403/1000</f>
        <v>0</v>
      </c>
      <c r="L402" s="85">
        <f>STATS1003B!L403/1000</f>
        <v>0</v>
      </c>
      <c r="M402" s="85">
        <f>STATS1003B!M403/1000</f>
        <v>1102</v>
      </c>
      <c r="N402" s="85">
        <f>STATS1003B!N403/1000</f>
        <v>0</v>
      </c>
      <c r="O402" s="85">
        <f>STATS1003B!O403/1000</f>
        <v>0</v>
      </c>
      <c r="P402" s="85">
        <f>STATS1003B!P403/1000</f>
        <v>0</v>
      </c>
      <c r="Q402" s="85">
        <f>STATS1003B!Q403/1000</f>
        <v>0</v>
      </c>
      <c r="R402" s="85">
        <f>STATS1003B!R403/1000</f>
        <v>0</v>
      </c>
      <c r="S402" s="85">
        <f>STATS1003B!S403/1000</f>
        <v>0</v>
      </c>
      <c r="T402" s="85">
        <f>STATS1003B!T403/1000</f>
        <v>0</v>
      </c>
      <c r="U402" s="85">
        <f>STATS1003B!U403/1000</f>
        <v>0</v>
      </c>
      <c r="V402" s="85">
        <f>STATS1003B!V403/1000</f>
        <v>0</v>
      </c>
      <c r="W402" s="85">
        <f>STATS1003B!W403/1000</f>
        <v>0</v>
      </c>
      <c r="X402" s="85">
        <f t="shared" si="41"/>
        <v>1102</v>
      </c>
      <c r="Y402" s="85">
        <f>STATS1003B!Y403/1000</f>
        <v>0</v>
      </c>
      <c r="Z402" s="85">
        <f>STATS1003B!Z403/1000</f>
        <v>0</v>
      </c>
      <c r="AA402" s="69">
        <f>STATS1003B!AA403/1000</f>
        <v>1102</v>
      </c>
      <c r="AB402" s="69">
        <f>STATS1003B!AB403/1000</f>
        <v>0</v>
      </c>
    </row>
    <row r="403" spans="1:28" hidden="1" x14ac:dyDescent="0.3">
      <c r="A403" s="117"/>
      <c r="C403" s="68" t="s">
        <v>545</v>
      </c>
      <c r="D403" s="145" t="s">
        <v>54</v>
      </c>
      <c r="E403" s="85">
        <f>STATS1003B!E404/1000</f>
        <v>1767.77</v>
      </c>
      <c r="F403" s="85">
        <f>STATS1003B!F404/1000</f>
        <v>0</v>
      </c>
      <c r="G403" s="85">
        <f>STATS1003B!G404/1000</f>
        <v>0</v>
      </c>
      <c r="H403" s="85">
        <f>STATS1003B!H404/1000</f>
        <v>0</v>
      </c>
      <c r="I403" s="85">
        <f>STATS1003B!I404/1000</f>
        <v>0</v>
      </c>
      <c r="J403" s="85">
        <f>STATS1003B!J404/1000</f>
        <v>0</v>
      </c>
      <c r="K403" s="85">
        <f>STATS1003B!K404/1000</f>
        <v>1767.77</v>
      </c>
      <c r="L403" s="85">
        <f>STATS1003B!L404/1000</f>
        <v>0</v>
      </c>
      <c r="M403" s="85">
        <f>STATS1003B!M404/1000</f>
        <v>0</v>
      </c>
      <c r="N403" s="85">
        <f>STATS1003B!N404/1000</f>
        <v>1767.77</v>
      </c>
      <c r="O403" s="85">
        <f>STATS1003B!O404/1000</f>
        <v>0</v>
      </c>
      <c r="P403" s="85">
        <f>STATS1003B!P404/1000</f>
        <v>1767.77</v>
      </c>
      <c r="Q403" s="85">
        <f>STATS1003B!Q404/1000</f>
        <v>0</v>
      </c>
      <c r="R403" s="85">
        <f>STATS1003B!R404/1000</f>
        <v>0</v>
      </c>
      <c r="S403" s="85">
        <f>STATS1003B!S404/1000</f>
        <v>0</v>
      </c>
      <c r="T403" s="85">
        <f>STATS1003B!T404/1000</f>
        <v>0</v>
      </c>
      <c r="U403" s="85">
        <f>STATS1003B!U404/1000</f>
        <v>1767.77</v>
      </c>
      <c r="V403" s="85">
        <f>STATS1003B!V404/1000</f>
        <v>0</v>
      </c>
      <c r="W403" s="85">
        <f>STATS1003B!W404/1000</f>
        <v>0</v>
      </c>
      <c r="X403" s="85">
        <f t="shared" si="41"/>
        <v>1767.77</v>
      </c>
      <c r="Y403" s="85">
        <f>STATS1003B!Y404/1000</f>
        <v>0</v>
      </c>
      <c r="Z403" s="85">
        <f>STATS1003B!Z404/1000</f>
        <v>0</v>
      </c>
      <c r="AA403" s="69">
        <f>STATS1003B!AA404/1000</f>
        <v>1767.77</v>
      </c>
      <c r="AB403" s="69">
        <f>STATS1003B!AB404/1000</f>
        <v>0</v>
      </c>
    </row>
    <row r="404" spans="1:28" hidden="1" x14ac:dyDescent="0.3">
      <c r="A404" s="117"/>
      <c r="C404" s="68" t="s">
        <v>535</v>
      </c>
      <c r="D404" s="145" t="s">
        <v>54</v>
      </c>
      <c r="E404" s="85">
        <f>STATS1003B!E405/1000</f>
        <v>1156</v>
      </c>
      <c r="F404" s="85">
        <f>STATS1003B!F405/1000</f>
        <v>1156</v>
      </c>
      <c r="G404" s="85">
        <f>STATS1003B!G405/1000</f>
        <v>0</v>
      </c>
      <c r="H404" s="85">
        <f>STATS1003B!H405/1000</f>
        <v>1156</v>
      </c>
      <c r="I404" s="85">
        <f>STATS1003B!I405/1000</f>
        <v>0</v>
      </c>
      <c r="J404" s="85">
        <f>STATS1003B!J405/1000</f>
        <v>1156</v>
      </c>
      <c r="K404" s="85">
        <f>STATS1003B!K405/1000</f>
        <v>0</v>
      </c>
      <c r="L404" s="85">
        <f>STATS1003B!L405/1000</f>
        <v>0</v>
      </c>
      <c r="M404" s="85">
        <f>STATS1003B!M405/1000</f>
        <v>1156</v>
      </c>
      <c r="N404" s="85">
        <f>STATS1003B!N405/1000</f>
        <v>0</v>
      </c>
      <c r="O404" s="85">
        <f>STATS1003B!O405/1000</f>
        <v>0</v>
      </c>
      <c r="P404" s="85">
        <f>STATS1003B!P405/1000</f>
        <v>0</v>
      </c>
      <c r="Q404" s="85">
        <f>STATS1003B!Q405/1000</f>
        <v>0</v>
      </c>
      <c r="R404" s="85">
        <f>STATS1003B!R405/1000</f>
        <v>0</v>
      </c>
      <c r="S404" s="85">
        <f>STATS1003B!S405/1000</f>
        <v>0</v>
      </c>
      <c r="T404" s="85">
        <f>STATS1003B!T405/1000</f>
        <v>0</v>
      </c>
      <c r="U404" s="85">
        <f>STATS1003B!U405/1000</f>
        <v>0</v>
      </c>
      <c r="V404" s="85">
        <f>STATS1003B!V405/1000</f>
        <v>0</v>
      </c>
      <c r="W404" s="85">
        <f>STATS1003B!W405/1000</f>
        <v>0</v>
      </c>
      <c r="X404" s="85">
        <f t="shared" si="41"/>
        <v>1156</v>
      </c>
      <c r="Y404" s="85">
        <f>STATS1003B!Y405/1000</f>
        <v>0</v>
      </c>
      <c r="Z404" s="85">
        <f>STATS1003B!Z405/1000</f>
        <v>0</v>
      </c>
      <c r="AA404" s="69">
        <f>STATS1003B!AA405/1000</f>
        <v>1156</v>
      </c>
      <c r="AB404" s="69">
        <f>STATS1003B!AB405/1000</f>
        <v>0</v>
      </c>
    </row>
    <row r="405" spans="1:28" hidden="1" x14ac:dyDescent="0.3">
      <c r="A405" s="117"/>
      <c r="C405" s="68" t="s">
        <v>535</v>
      </c>
      <c r="D405" s="145" t="s">
        <v>85</v>
      </c>
      <c r="E405" s="85">
        <f>STATS1003B!E406/1000</f>
        <v>1268.3</v>
      </c>
      <c r="F405" s="85">
        <f>STATS1003B!F406/1000</f>
        <v>1268.3</v>
      </c>
      <c r="G405" s="85">
        <f>STATS1003B!G406/1000</f>
        <v>0</v>
      </c>
      <c r="H405" s="85">
        <f>STATS1003B!H406/1000</f>
        <v>1268.3</v>
      </c>
      <c r="I405" s="85">
        <f>STATS1003B!I406/1000</f>
        <v>0</v>
      </c>
      <c r="J405" s="85">
        <f>STATS1003B!J406/1000</f>
        <v>1268.3</v>
      </c>
      <c r="K405" s="85">
        <f>STATS1003B!K406/1000</f>
        <v>0</v>
      </c>
      <c r="L405" s="85">
        <f>STATS1003B!L406/1000</f>
        <v>0</v>
      </c>
      <c r="M405" s="85">
        <f>STATS1003B!M406/1000</f>
        <v>1268.3</v>
      </c>
      <c r="N405" s="85">
        <f>STATS1003B!N406/1000</f>
        <v>0</v>
      </c>
      <c r="O405" s="85">
        <f>STATS1003B!O406/1000</f>
        <v>0</v>
      </c>
      <c r="P405" s="85">
        <f>STATS1003B!P406/1000</f>
        <v>0</v>
      </c>
      <c r="Q405" s="85">
        <f>STATS1003B!Q406/1000</f>
        <v>0</v>
      </c>
      <c r="R405" s="85">
        <f>STATS1003B!R406/1000</f>
        <v>0</v>
      </c>
      <c r="S405" s="85">
        <f>STATS1003B!S406/1000</f>
        <v>0</v>
      </c>
      <c r="T405" s="85">
        <f>STATS1003B!T406/1000</f>
        <v>0</v>
      </c>
      <c r="U405" s="85">
        <f>STATS1003B!U406/1000</f>
        <v>0</v>
      </c>
      <c r="V405" s="85">
        <f>STATS1003B!V406/1000</f>
        <v>0</v>
      </c>
      <c r="W405" s="85">
        <f>STATS1003B!W406/1000</f>
        <v>0</v>
      </c>
      <c r="X405" s="85">
        <f t="shared" si="41"/>
        <v>1268.3</v>
      </c>
      <c r="Y405" s="85">
        <f>STATS1003B!Y406/1000</f>
        <v>0</v>
      </c>
      <c r="Z405" s="85">
        <f>STATS1003B!Z406/1000</f>
        <v>0</v>
      </c>
      <c r="AA405" s="69">
        <f>STATS1003B!AA406/1000</f>
        <v>1268.3</v>
      </c>
      <c r="AB405" s="69">
        <f>STATS1003B!AB406/1000</f>
        <v>0</v>
      </c>
    </row>
    <row r="406" spans="1:28" hidden="1" x14ac:dyDescent="0.3">
      <c r="A406" s="117"/>
      <c r="C406" s="68" t="s">
        <v>535</v>
      </c>
      <c r="D406" s="145" t="s">
        <v>128</v>
      </c>
      <c r="E406" s="85">
        <f>STATS1003B!E407/1000</f>
        <v>709.2</v>
      </c>
      <c r="F406" s="85">
        <f>STATS1003B!F407/1000</f>
        <v>709.2</v>
      </c>
      <c r="G406" s="85">
        <f>STATS1003B!G407/1000</f>
        <v>0</v>
      </c>
      <c r="H406" s="85">
        <f>STATS1003B!H407/1000</f>
        <v>709.2</v>
      </c>
      <c r="I406" s="85">
        <f>STATS1003B!I407/1000</f>
        <v>0</v>
      </c>
      <c r="J406" s="85">
        <f>STATS1003B!J407/1000</f>
        <v>709.2</v>
      </c>
      <c r="K406" s="85">
        <f>STATS1003B!K407/1000</f>
        <v>0</v>
      </c>
      <c r="L406" s="85">
        <f>STATS1003B!L407/1000</f>
        <v>0</v>
      </c>
      <c r="M406" s="85">
        <f>STATS1003B!M407/1000</f>
        <v>709.2</v>
      </c>
      <c r="N406" s="85">
        <f>STATS1003B!N407/1000</f>
        <v>0</v>
      </c>
      <c r="O406" s="85">
        <f>STATS1003B!O407/1000</f>
        <v>0</v>
      </c>
      <c r="P406" s="85">
        <f>STATS1003B!P407/1000</f>
        <v>0</v>
      </c>
      <c r="Q406" s="85">
        <f>STATS1003B!Q407/1000</f>
        <v>0</v>
      </c>
      <c r="R406" s="85">
        <f>STATS1003B!R407/1000</f>
        <v>0</v>
      </c>
      <c r="S406" s="85">
        <f>STATS1003B!S407/1000</f>
        <v>0</v>
      </c>
      <c r="T406" s="85">
        <f>STATS1003B!T407/1000</f>
        <v>0</v>
      </c>
      <c r="U406" s="85">
        <f>STATS1003B!U407/1000</f>
        <v>0</v>
      </c>
      <c r="V406" s="85">
        <f>STATS1003B!V407/1000</f>
        <v>0</v>
      </c>
      <c r="W406" s="85">
        <f>STATS1003B!W407/1000</f>
        <v>0</v>
      </c>
      <c r="X406" s="85">
        <f t="shared" si="41"/>
        <v>709.2</v>
      </c>
      <c r="Y406" s="85">
        <f>STATS1003B!Y407/1000</f>
        <v>0</v>
      </c>
      <c r="Z406" s="85">
        <f>STATS1003B!Z407/1000</f>
        <v>0</v>
      </c>
      <c r="AA406" s="69">
        <f>STATS1003B!AA407/1000</f>
        <v>709.2</v>
      </c>
      <c r="AB406" s="69">
        <f>STATS1003B!AB407/1000</f>
        <v>0</v>
      </c>
    </row>
    <row r="407" spans="1:28" hidden="1" x14ac:dyDescent="0.3">
      <c r="A407" s="117"/>
      <c r="C407" s="68" t="s">
        <v>589</v>
      </c>
      <c r="D407" s="145" t="s">
        <v>128</v>
      </c>
      <c r="E407" s="85">
        <f>STATS1003B!E408/1000</f>
        <v>1000</v>
      </c>
      <c r="F407" s="85">
        <f>STATS1003B!F408/1000</f>
        <v>1000</v>
      </c>
      <c r="G407" s="85">
        <f>STATS1003B!G408/1000</f>
        <v>0</v>
      </c>
      <c r="H407" s="85">
        <f>STATS1003B!H408/1000</f>
        <v>1000</v>
      </c>
      <c r="I407" s="85">
        <f>STATS1003B!I408/1000</f>
        <v>0</v>
      </c>
      <c r="J407" s="85">
        <f>STATS1003B!J408/1000</f>
        <v>1000</v>
      </c>
      <c r="K407" s="85">
        <f>STATS1003B!K408/1000</f>
        <v>0</v>
      </c>
      <c r="L407" s="85">
        <f>STATS1003B!L408/1000</f>
        <v>0</v>
      </c>
      <c r="M407" s="85">
        <f>STATS1003B!M408/1000</f>
        <v>1000</v>
      </c>
      <c r="N407" s="85">
        <f>STATS1003B!N408/1000</f>
        <v>0</v>
      </c>
      <c r="O407" s="85">
        <f>STATS1003B!O408/1000</f>
        <v>0</v>
      </c>
      <c r="P407" s="85">
        <f>STATS1003B!P408/1000</f>
        <v>0</v>
      </c>
      <c r="Q407" s="85">
        <f>STATS1003B!Q408/1000</f>
        <v>0</v>
      </c>
      <c r="R407" s="85">
        <f>STATS1003B!R408/1000</f>
        <v>0</v>
      </c>
      <c r="S407" s="85">
        <f>STATS1003B!S408/1000</f>
        <v>0</v>
      </c>
      <c r="T407" s="85">
        <f>STATS1003B!T408/1000</f>
        <v>0</v>
      </c>
      <c r="U407" s="85">
        <f>STATS1003B!U408/1000</f>
        <v>0</v>
      </c>
      <c r="V407" s="85">
        <f>STATS1003B!V408/1000</f>
        <v>0</v>
      </c>
      <c r="W407" s="85">
        <f>STATS1003B!W408/1000</f>
        <v>0</v>
      </c>
      <c r="X407" s="85">
        <f t="shared" si="41"/>
        <v>1000</v>
      </c>
      <c r="Y407" s="85">
        <f>STATS1003B!Y408/1000</f>
        <v>0</v>
      </c>
      <c r="Z407" s="85">
        <f>STATS1003B!Z408/1000</f>
        <v>0</v>
      </c>
      <c r="AA407" s="69">
        <f>STATS1003B!AA408/1000</f>
        <v>1000</v>
      </c>
      <c r="AB407" s="69">
        <f>STATS1003B!AB408/1000</f>
        <v>0</v>
      </c>
    </row>
    <row r="408" spans="1:28" hidden="1" x14ac:dyDescent="0.3">
      <c r="A408" s="117"/>
      <c r="C408" s="68" t="s">
        <v>535</v>
      </c>
      <c r="D408" s="145" t="s">
        <v>108</v>
      </c>
      <c r="E408" s="85">
        <f>STATS1003B!E409/1000</f>
        <v>3638.3220000000001</v>
      </c>
      <c r="F408" s="85">
        <f>STATS1003B!F409/1000</f>
        <v>3638.3220000000001</v>
      </c>
      <c r="G408" s="85">
        <f>STATS1003B!G409/1000</f>
        <v>0</v>
      </c>
      <c r="H408" s="85">
        <f>STATS1003B!H409/1000</f>
        <v>3638.3220000000001</v>
      </c>
      <c r="I408" s="85">
        <f>STATS1003B!I409/1000</f>
        <v>0</v>
      </c>
      <c r="J408" s="85">
        <f>STATS1003B!J409/1000</f>
        <v>3638.3220000000001</v>
      </c>
      <c r="K408" s="85">
        <f>STATS1003B!K409/1000</f>
        <v>0</v>
      </c>
      <c r="L408" s="85">
        <f>STATS1003B!L409/1000</f>
        <v>0</v>
      </c>
      <c r="M408" s="85">
        <f>STATS1003B!M409/1000</f>
        <v>3638.3220000000001</v>
      </c>
      <c r="N408" s="85">
        <f>STATS1003B!N409/1000</f>
        <v>0</v>
      </c>
      <c r="O408" s="85">
        <f>STATS1003B!O409/1000</f>
        <v>0</v>
      </c>
      <c r="P408" s="85">
        <f>STATS1003B!P409/1000</f>
        <v>0</v>
      </c>
      <c r="Q408" s="85">
        <f>STATS1003B!Q409/1000</f>
        <v>0</v>
      </c>
      <c r="R408" s="85">
        <f>STATS1003B!R409/1000</f>
        <v>0</v>
      </c>
      <c r="S408" s="85">
        <f>STATS1003B!S409/1000</f>
        <v>0</v>
      </c>
      <c r="T408" s="85">
        <f>STATS1003B!T409/1000</f>
        <v>0</v>
      </c>
      <c r="U408" s="85">
        <f>STATS1003B!U409/1000</f>
        <v>0</v>
      </c>
      <c r="V408" s="85">
        <f>STATS1003B!V409/1000</f>
        <v>0</v>
      </c>
      <c r="W408" s="85">
        <f>STATS1003B!W409/1000</f>
        <v>0</v>
      </c>
      <c r="X408" s="85">
        <f t="shared" si="41"/>
        <v>3638.3220000000001</v>
      </c>
      <c r="Y408" s="85">
        <f>STATS1003B!Y409/1000</f>
        <v>0</v>
      </c>
      <c r="Z408" s="85">
        <f>STATS1003B!Z409/1000</f>
        <v>0</v>
      </c>
      <c r="AA408" s="69">
        <f>STATS1003B!AA409/1000</f>
        <v>3638.3220000000001</v>
      </c>
      <c r="AB408" s="69">
        <f>STATS1003B!AB409/1000</f>
        <v>0</v>
      </c>
    </row>
    <row r="409" spans="1:28" hidden="1" x14ac:dyDescent="0.3">
      <c r="A409" s="117"/>
      <c r="C409" s="68" t="s">
        <v>590</v>
      </c>
      <c r="D409" s="145" t="s">
        <v>108</v>
      </c>
      <c r="E409" s="85">
        <f>STATS1003B!E410/1000</f>
        <v>200</v>
      </c>
      <c r="F409" s="85">
        <f>STATS1003B!F410/1000</f>
        <v>200</v>
      </c>
      <c r="G409" s="85">
        <f>STATS1003B!G410/1000</f>
        <v>0</v>
      </c>
      <c r="H409" s="85">
        <f>STATS1003B!H410/1000</f>
        <v>200</v>
      </c>
      <c r="I409" s="85">
        <f>STATS1003B!I410/1000</f>
        <v>0</v>
      </c>
      <c r="J409" s="85">
        <f>STATS1003B!J410/1000</f>
        <v>200</v>
      </c>
      <c r="K409" s="85">
        <f>STATS1003B!K410/1000</f>
        <v>0</v>
      </c>
      <c r="L409" s="85">
        <f>STATS1003B!L410/1000</f>
        <v>0</v>
      </c>
      <c r="M409" s="85">
        <f>STATS1003B!M410/1000</f>
        <v>200</v>
      </c>
      <c r="N409" s="85">
        <f>STATS1003B!N410/1000</f>
        <v>0</v>
      </c>
      <c r="O409" s="85">
        <f>STATS1003B!O410/1000</f>
        <v>0</v>
      </c>
      <c r="P409" s="85">
        <f>STATS1003B!P410/1000</f>
        <v>0</v>
      </c>
      <c r="Q409" s="85">
        <f>STATS1003B!Q410/1000</f>
        <v>0</v>
      </c>
      <c r="R409" s="85">
        <f>STATS1003B!R410/1000</f>
        <v>0</v>
      </c>
      <c r="S409" s="85">
        <f>STATS1003B!S410/1000</f>
        <v>0</v>
      </c>
      <c r="T409" s="85">
        <f>STATS1003B!T410/1000</f>
        <v>0</v>
      </c>
      <c r="U409" s="85">
        <f>STATS1003B!U410/1000</f>
        <v>0</v>
      </c>
      <c r="V409" s="85">
        <f>STATS1003B!V410/1000</f>
        <v>0</v>
      </c>
      <c r="W409" s="85">
        <f>STATS1003B!W410/1000</f>
        <v>0</v>
      </c>
      <c r="X409" s="85">
        <f t="shared" si="41"/>
        <v>200</v>
      </c>
      <c r="Y409" s="85">
        <f>STATS1003B!Y410/1000</f>
        <v>0</v>
      </c>
      <c r="Z409" s="85">
        <f>STATS1003B!Z410/1000</f>
        <v>0</v>
      </c>
      <c r="AA409" s="69">
        <f>STATS1003B!AA410/1000</f>
        <v>200</v>
      </c>
      <c r="AB409" s="69">
        <f>STATS1003B!AB410/1000</f>
        <v>0</v>
      </c>
    </row>
    <row r="410" spans="1:28" hidden="1" x14ac:dyDescent="0.3">
      <c r="A410" s="117"/>
      <c r="C410" s="68" t="s">
        <v>535</v>
      </c>
      <c r="D410" s="145" t="s">
        <v>58</v>
      </c>
      <c r="E410" s="85">
        <f>STATS1003B!E411/1000</f>
        <v>2500</v>
      </c>
      <c r="F410" s="85">
        <f>STATS1003B!F411/1000</f>
        <v>2500</v>
      </c>
      <c r="G410" s="85">
        <f>STATS1003B!G411/1000</f>
        <v>0</v>
      </c>
      <c r="H410" s="85">
        <f>STATS1003B!H411/1000</f>
        <v>2500</v>
      </c>
      <c r="I410" s="85">
        <f>STATS1003B!I411/1000</f>
        <v>0</v>
      </c>
      <c r="J410" s="85">
        <f>STATS1003B!J411/1000</f>
        <v>2500</v>
      </c>
      <c r="K410" s="85">
        <f>STATS1003B!K411/1000</f>
        <v>0</v>
      </c>
      <c r="L410" s="85">
        <f>STATS1003B!L411/1000</f>
        <v>0</v>
      </c>
      <c r="M410" s="85">
        <f>STATS1003B!M411/1000</f>
        <v>2500</v>
      </c>
      <c r="N410" s="85">
        <f>STATS1003B!N411/1000</f>
        <v>0</v>
      </c>
      <c r="O410" s="85">
        <f>STATS1003B!O411/1000</f>
        <v>0</v>
      </c>
      <c r="P410" s="85">
        <f>STATS1003B!P411/1000</f>
        <v>0</v>
      </c>
      <c r="Q410" s="85">
        <f>STATS1003B!Q411/1000</f>
        <v>0</v>
      </c>
      <c r="R410" s="85">
        <f>STATS1003B!R411/1000</f>
        <v>0</v>
      </c>
      <c r="S410" s="85">
        <f>STATS1003B!S411/1000</f>
        <v>0</v>
      </c>
      <c r="T410" s="85">
        <f>STATS1003B!T411/1000</f>
        <v>0</v>
      </c>
      <c r="U410" s="85">
        <f>STATS1003B!U411/1000</f>
        <v>0</v>
      </c>
      <c r="V410" s="85">
        <f>STATS1003B!V411/1000</f>
        <v>0</v>
      </c>
      <c r="W410" s="85">
        <f>STATS1003B!W411/1000</f>
        <v>0</v>
      </c>
      <c r="X410" s="85">
        <f t="shared" si="41"/>
        <v>2500</v>
      </c>
      <c r="Y410" s="85">
        <f>STATS1003B!Y411/1000</f>
        <v>0</v>
      </c>
      <c r="Z410" s="85">
        <f>STATS1003B!Z411/1000</f>
        <v>0</v>
      </c>
      <c r="AA410" s="69">
        <f>STATS1003B!AA411/1000</f>
        <v>2500</v>
      </c>
      <c r="AB410" s="69">
        <f>STATS1003B!AB411/1000</f>
        <v>0</v>
      </c>
    </row>
    <row r="411" spans="1:28" hidden="1" x14ac:dyDescent="0.3">
      <c r="A411" s="117"/>
      <c r="C411" s="71" t="s">
        <v>591</v>
      </c>
      <c r="D411" s="88" t="s">
        <v>73</v>
      </c>
      <c r="E411" s="85">
        <f>STATS1003B!E412/1000</f>
        <v>500</v>
      </c>
      <c r="F411" s="85">
        <f>STATS1003B!F412/1000</f>
        <v>500</v>
      </c>
      <c r="G411" s="85">
        <f>STATS1003B!G412/1000</f>
        <v>0</v>
      </c>
      <c r="H411" s="85">
        <f>STATS1003B!H412/1000</f>
        <v>500</v>
      </c>
      <c r="I411" s="85">
        <f>STATS1003B!I412/1000</f>
        <v>0</v>
      </c>
      <c r="J411" s="85">
        <f>STATS1003B!J412/1000</f>
        <v>500</v>
      </c>
      <c r="K411" s="85">
        <f>STATS1003B!K412/1000</f>
        <v>0</v>
      </c>
      <c r="L411" s="85">
        <f>STATS1003B!L412/1000</f>
        <v>0</v>
      </c>
      <c r="M411" s="85">
        <f>STATS1003B!M412/1000</f>
        <v>500</v>
      </c>
      <c r="N411" s="85">
        <f>STATS1003B!N412/1000</f>
        <v>0</v>
      </c>
      <c r="O411" s="85">
        <f>STATS1003B!O412/1000</f>
        <v>0</v>
      </c>
      <c r="P411" s="85">
        <f>STATS1003B!P412/1000</f>
        <v>0</v>
      </c>
      <c r="Q411" s="85">
        <f>STATS1003B!Q412/1000</f>
        <v>0</v>
      </c>
      <c r="R411" s="85">
        <f>STATS1003B!R412/1000</f>
        <v>0</v>
      </c>
      <c r="S411" s="85">
        <f>STATS1003B!S412/1000</f>
        <v>0</v>
      </c>
      <c r="T411" s="85">
        <f>STATS1003B!T412/1000</f>
        <v>0</v>
      </c>
      <c r="U411" s="85">
        <f>STATS1003B!U412/1000</f>
        <v>0</v>
      </c>
      <c r="V411" s="85">
        <f>STATS1003B!V412/1000</f>
        <v>0</v>
      </c>
      <c r="W411" s="85">
        <f>STATS1003B!W412/1000</f>
        <v>0</v>
      </c>
      <c r="X411" s="85">
        <f t="shared" si="41"/>
        <v>500</v>
      </c>
      <c r="Y411" s="85">
        <f>STATS1003B!Y412/1000</f>
        <v>0</v>
      </c>
      <c r="Z411" s="85">
        <f>STATS1003B!Z412/1000</f>
        <v>0</v>
      </c>
      <c r="AA411" s="69">
        <f>STATS1003B!AA412/1000</f>
        <v>500</v>
      </c>
      <c r="AB411" s="69">
        <f>STATS1003B!AB412/1000</f>
        <v>0</v>
      </c>
    </row>
    <row r="412" spans="1:28" hidden="1" x14ac:dyDescent="0.3">
      <c r="A412" s="117"/>
      <c r="C412" s="68" t="s">
        <v>535</v>
      </c>
      <c r="D412" s="145" t="s">
        <v>61</v>
      </c>
      <c r="E412" s="85">
        <f>STATS1003B!E413/1000</f>
        <v>1087</v>
      </c>
      <c r="F412" s="85">
        <f>STATS1003B!F413/1000</f>
        <v>1087</v>
      </c>
      <c r="G412" s="85">
        <f>STATS1003B!G413/1000</f>
        <v>0</v>
      </c>
      <c r="H412" s="85">
        <f>STATS1003B!H413/1000</f>
        <v>1087</v>
      </c>
      <c r="I412" s="85">
        <f>STATS1003B!I413/1000</f>
        <v>0</v>
      </c>
      <c r="J412" s="85">
        <f>STATS1003B!J413/1000</f>
        <v>1087</v>
      </c>
      <c r="K412" s="85">
        <f>STATS1003B!K413/1000</f>
        <v>0</v>
      </c>
      <c r="L412" s="85">
        <f>STATS1003B!L413/1000</f>
        <v>0</v>
      </c>
      <c r="M412" s="85">
        <f>STATS1003B!M413/1000</f>
        <v>1087</v>
      </c>
      <c r="N412" s="85">
        <f>STATS1003B!N413/1000</f>
        <v>0</v>
      </c>
      <c r="O412" s="85">
        <f>STATS1003B!O413/1000</f>
        <v>0</v>
      </c>
      <c r="P412" s="85">
        <f>STATS1003B!P413/1000</f>
        <v>0</v>
      </c>
      <c r="Q412" s="85">
        <f>STATS1003B!Q413/1000</f>
        <v>0</v>
      </c>
      <c r="R412" s="85">
        <f>STATS1003B!R413/1000</f>
        <v>0</v>
      </c>
      <c r="S412" s="85">
        <f>STATS1003B!S413/1000</f>
        <v>0</v>
      </c>
      <c r="T412" s="85">
        <f>STATS1003B!T413/1000</f>
        <v>0</v>
      </c>
      <c r="U412" s="85">
        <f>STATS1003B!U413/1000</f>
        <v>0</v>
      </c>
      <c r="V412" s="85">
        <f>STATS1003B!V413/1000</f>
        <v>0</v>
      </c>
      <c r="W412" s="85">
        <f>STATS1003B!W413/1000</f>
        <v>0</v>
      </c>
      <c r="X412" s="85">
        <f t="shared" si="41"/>
        <v>1087</v>
      </c>
      <c r="Y412" s="85">
        <f>STATS1003B!Y413/1000</f>
        <v>0</v>
      </c>
      <c r="Z412" s="85">
        <f>STATS1003B!Z413/1000</f>
        <v>0</v>
      </c>
      <c r="AA412" s="69">
        <f>STATS1003B!AA413/1000</f>
        <v>1087</v>
      </c>
      <c r="AB412" s="69">
        <f>STATS1003B!AB413/1000</f>
        <v>0</v>
      </c>
    </row>
    <row r="413" spans="1:28" hidden="1" x14ac:dyDescent="0.3">
      <c r="A413" s="117"/>
      <c r="C413" s="68" t="s">
        <v>933</v>
      </c>
      <c r="D413" s="90" t="s">
        <v>1072</v>
      </c>
      <c r="E413" s="85">
        <f>STATS1003B!E414/1000</f>
        <v>1200</v>
      </c>
      <c r="F413" s="85">
        <f>STATS1003B!F414/1000</f>
        <v>1200</v>
      </c>
      <c r="G413" s="85">
        <f>STATS1003B!G414/1000</f>
        <v>0</v>
      </c>
      <c r="H413" s="85">
        <f>STATS1003B!H414/1000</f>
        <v>1200</v>
      </c>
      <c r="I413" s="85">
        <f>STATS1003B!I414/1000</f>
        <v>0</v>
      </c>
      <c r="J413" s="85">
        <f>STATS1003B!J414/1000</f>
        <v>1200</v>
      </c>
      <c r="K413" s="85">
        <f>STATS1003B!K414/1000</f>
        <v>0</v>
      </c>
      <c r="L413" s="85">
        <f>STATS1003B!L414/1000</f>
        <v>0</v>
      </c>
      <c r="M413" s="85">
        <f>STATS1003B!M414/1000</f>
        <v>1200</v>
      </c>
      <c r="N413" s="85">
        <f>STATS1003B!N414/1000</f>
        <v>0</v>
      </c>
      <c r="O413" s="85">
        <f>STATS1003B!O414/1000</f>
        <v>0</v>
      </c>
      <c r="P413" s="85">
        <f>STATS1003B!P414/1000</f>
        <v>0</v>
      </c>
      <c r="Q413" s="85">
        <f>STATS1003B!Q414/1000</f>
        <v>0</v>
      </c>
      <c r="R413" s="85">
        <f>STATS1003B!R414/1000</f>
        <v>0</v>
      </c>
      <c r="S413" s="85">
        <f>STATS1003B!S414/1000</f>
        <v>0</v>
      </c>
      <c r="T413" s="85">
        <f>STATS1003B!T414/1000</f>
        <v>0</v>
      </c>
      <c r="U413" s="85">
        <f>STATS1003B!U414/1000</f>
        <v>0</v>
      </c>
      <c r="V413" s="85">
        <f>STATS1003B!V414/1000</f>
        <v>0</v>
      </c>
      <c r="W413" s="85">
        <f>STATS1003B!W414/1000</f>
        <v>0</v>
      </c>
      <c r="X413" s="85">
        <f t="shared" si="41"/>
        <v>1200</v>
      </c>
      <c r="Y413" s="85">
        <f>STATS1003B!Y414/1000</f>
        <v>0</v>
      </c>
      <c r="Z413" s="85">
        <f>STATS1003B!Z414/1000</f>
        <v>0</v>
      </c>
      <c r="AA413" s="69">
        <f>STATS1003B!AA414/1000</f>
        <v>1200</v>
      </c>
      <c r="AB413" s="69">
        <f>STATS1003B!AB414/1000</f>
        <v>0</v>
      </c>
    </row>
    <row r="414" spans="1:28" hidden="1" x14ac:dyDescent="0.3">
      <c r="A414" s="117"/>
      <c r="C414" s="68" t="s">
        <v>550</v>
      </c>
      <c r="E414" s="85">
        <f>STATS1003B!E415/1000</f>
        <v>1677.0608099999999</v>
      </c>
      <c r="F414" s="85">
        <f>STATS1003B!F415/1000</f>
        <v>954.59324000000004</v>
      </c>
      <c r="G414" s="85">
        <f>STATS1003B!G415/1000</f>
        <v>0</v>
      </c>
      <c r="H414" s="85">
        <f>STATS1003B!H415/1000</f>
        <v>954.59324000000004</v>
      </c>
      <c r="I414" s="85">
        <f>STATS1003B!I415/1000</f>
        <v>0</v>
      </c>
      <c r="J414" s="85">
        <f>STATS1003B!J415/1000</f>
        <v>954.59324000000004</v>
      </c>
      <c r="K414" s="85">
        <f>STATS1003B!K415/1000</f>
        <v>722.46756999999991</v>
      </c>
      <c r="L414" s="85">
        <f>STATS1003B!L415/1000</f>
        <v>0</v>
      </c>
      <c r="M414" s="85">
        <f>STATS1003B!M415/1000</f>
        <v>954.59324000000004</v>
      </c>
      <c r="N414" s="85">
        <f>STATS1003B!N415/1000</f>
        <v>722.46756999999991</v>
      </c>
      <c r="O414" s="85">
        <f>STATS1003B!O415/1000</f>
        <v>0</v>
      </c>
      <c r="P414" s="85">
        <f>STATS1003B!P415/1000</f>
        <v>722.46756999999991</v>
      </c>
      <c r="Q414" s="85">
        <f>STATS1003B!Q415/1000</f>
        <v>0</v>
      </c>
      <c r="R414" s="85">
        <f>STATS1003B!R415/1000</f>
        <v>0</v>
      </c>
      <c r="S414" s="85">
        <f>STATS1003B!S415/1000</f>
        <v>0</v>
      </c>
      <c r="T414" s="85">
        <f>STATS1003B!T415/1000</f>
        <v>0</v>
      </c>
      <c r="U414" s="85">
        <f>STATS1003B!U415/1000</f>
        <v>722.46756999999991</v>
      </c>
      <c r="V414" s="85">
        <f>STATS1003B!V415/1000</f>
        <v>0</v>
      </c>
      <c r="W414" s="85">
        <f>STATS1003B!W415/1000</f>
        <v>0</v>
      </c>
      <c r="X414" s="85">
        <f t="shared" si="41"/>
        <v>1677.0608099999999</v>
      </c>
      <c r="Y414" s="85">
        <f>STATS1003B!Y415/1000</f>
        <v>0</v>
      </c>
      <c r="Z414" s="85">
        <f>STATS1003B!Z415/1000</f>
        <v>0</v>
      </c>
      <c r="AA414" s="69">
        <f>STATS1003B!AA415/1000</f>
        <v>1677.0608099999999</v>
      </c>
      <c r="AB414" s="69">
        <f>STATS1003B!AB415/1000</f>
        <v>0</v>
      </c>
    </row>
    <row r="415" spans="1:28" hidden="1" x14ac:dyDescent="0.3">
      <c r="A415" s="117"/>
      <c r="C415" s="68" t="s">
        <v>569</v>
      </c>
      <c r="E415" s="85">
        <f>STATS1003B!E416/1000</f>
        <v>4709.39336</v>
      </c>
      <c r="F415" s="85">
        <f>STATS1003B!F416/1000</f>
        <v>4709.39336</v>
      </c>
      <c r="G415" s="85">
        <f>STATS1003B!G416/1000</f>
        <v>0</v>
      </c>
      <c r="H415" s="85">
        <f>STATS1003B!H416/1000</f>
        <v>4709.39336</v>
      </c>
      <c r="I415" s="85">
        <f>STATS1003B!I416/1000</f>
        <v>0</v>
      </c>
      <c r="J415" s="85">
        <f>STATS1003B!J416/1000</f>
        <v>4709.39336</v>
      </c>
      <c r="K415" s="85">
        <f>STATS1003B!K416/1000</f>
        <v>0</v>
      </c>
      <c r="L415" s="85">
        <f>STATS1003B!L416/1000</f>
        <v>0</v>
      </c>
      <c r="M415" s="85">
        <f>STATS1003B!M416/1000</f>
        <v>4709.39336</v>
      </c>
      <c r="N415" s="85">
        <f>STATS1003B!N416/1000</f>
        <v>0</v>
      </c>
      <c r="O415" s="85">
        <f>STATS1003B!O416/1000</f>
        <v>0</v>
      </c>
      <c r="P415" s="85">
        <f>STATS1003B!P416/1000</f>
        <v>0</v>
      </c>
      <c r="Q415" s="85">
        <f>STATS1003B!Q416/1000</f>
        <v>0</v>
      </c>
      <c r="R415" s="85">
        <f>STATS1003B!R416/1000</f>
        <v>0</v>
      </c>
      <c r="S415" s="85">
        <f>STATS1003B!S416/1000</f>
        <v>0</v>
      </c>
      <c r="T415" s="85">
        <f>STATS1003B!T416/1000</f>
        <v>0</v>
      </c>
      <c r="U415" s="85">
        <f>STATS1003B!U416/1000</f>
        <v>0</v>
      </c>
      <c r="V415" s="85">
        <f>STATS1003B!V416/1000</f>
        <v>0</v>
      </c>
      <c r="W415" s="85">
        <f>STATS1003B!W416/1000</f>
        <v>0</v>
      </c>
      <c r="X415" s="85">
        <f t="shared" si="41"/>
        <v>4709.39336</v>
      </c>
      <c r="Y415" s="85">
        <f>STATS1003B!Y416/1000</f>
        <v>0</v>
      </c>
      <c r="Z415" s="85">
        <f>STATS1003B!Z416/1000</f>
        <v>0</v>
      </c>
      <c r="AA415" s="69">
        <f>STATS1003B!AA416/1000</f>
        <v>4709.39336</v>
      </c>
      <c r="AB415" s="69">
        <f>STATS1003B!AB416/1000</f>
        <v>0</v>
      </c>
    </row>
    <row r="416" spans="1:28" hidden="1" x14ac:dyDescent="0.3">
      <c r="A416" s="117"/>
      <c r="C416" s="68" t="s">
        <v>592</v>
      </c>
      <c r="E416" s="85">
        <f>STATS1003B!E417/1000</f>
        <v>726.14670000000001</v>
      </c>
      <c r="F416" s="85">
        <f>STATS1003B!F417/1000</f>
        <v>715.11800000000005</v>
      </c>
      <c r="G416" s="85">
        <f>STATS1003B!G417/1000</f>
        <v>0</v>
      </c>
      <c r="H416" s="85">
        <f>STATS1003B!H417/1000</f>
        <v>715.11800000000005</v>
      </c>
      <c r="I416" s="85">
        <f>STATS1003B!I417/1000</f>
        <v>0</v>
      </c>
      <c r="J416" s="85">
        <f>STATS1003B!J417/1000</f>
        <v>715.11800000000005</v>
      </c>
      <c r="K416" s="85">
        <f>STATS1003B!K417/1000</f>
        <v>11.028700000000001</v>
      </c>
      <c r="L416" s="85">
        <f>STATS1003B!L417/1000</f>
        <v>0</v>
      </c>
      <c r="M416" s="85">
        <f>STATS1003B!M417/1000</f>
        <v>715.11800000000005</v>
      </c>
      <c r="N416" s="85">
        <f>STATS1003B!N417/1000</f>
        <v>11.028700000000001</v>
      </c>
      <c r="O416" s="85">
        <f>STATS1003B!O417/1000</f>
        <v>0</v>
      </c>
      <c r="P416" s="85">
        <f>STATS1003B!P417/1000</f>
        <v>11.028700000000001</v>
      </c>
      <c r="Q416" s="85">
        <f>STATS1003B!Q417/1000</f>
        <v>0</v>
      </c>
      <c r="R416" s="85">
        <f>STATS1003B!R417/1000</f>
        <v>0</v>
      </c>
      <c r="S416" s="85">
        <f>STATS1003B!S417/1000</f>
        <v>0</v>
      </c>
      <c r="T416" s="85">
        <f>STATS1003B!T417/1000</f>
        <v>0</v>
      </c>
      <c r="U416" s="85">
        <f>STATS1003B!U417/1000</f>
        <v>11.028700000000001</v>
      </c>
      <c r="V416" s="85">
        <f>STATS1003B!V417/1000</f>
        <v>0</v>
      </c>
      <c r="W416" s="85">
        <f>STATS1003B!W417/1000</f>
        <v>0</v>
      </c>
      <c r="X416" s="85">
        <f t="shared" si="41"/>
        <v>726.14670000000001</v>
      </c>
      <c r="Y416" s="85">
        <f>STATS1003B!Y417/1000</f>
        <v>0</v>
      </c>
      <c r="Z416" s="85">
        <f>STATS1003B!Z417/1000</f>
        <v>0</v>
      </c>
      <c r="AA416" s="69">
        <f>STATS1003B!AA417/1000</f>
        <v>726.14670000000001</v>
      </c>
      <c r="AB416" s="69">
        <f>STATS1003B!AB417/1000</f>
        <v>0</v>
      </c>
    </row>
    <row r="417" spans="1:28" hidden="1" x14ac:dyDescent="0.3">
      <c r="A417" s="117"/>
      <c r="C417" s="68" t="s">
        <v>543</v>
      </c>
      <c r="E417" s="85">
        <f>STATS1003B!E418/1000</f>
        <v>2500</v>
      </c>
      <c r="F417" s="85">
        <f>STATS1003B!F418/1000</f>
        <v>2500</v>
      </c>
      <c r="G417" s="85">
        <f>STATS1003B!G418/1000</f>
        <v>0</v>
      </c>
      <c r="H417" s="85">
        <f>STATS1003B!H418/1000</f>
        <v>2500</v>
      </c>
      <c r="I417" s="85">
        <f>STATS1003B!I418/1000</f>
        <v>0</v>
      </c>
      <c r="J417" s="85">
        <f>STATS1003B!J418/1000</f>
        <v>2500</v>
      </c>
      <c r="K417" s="85">
        <f>STATS1003B!K418/1000</f>
        <v>0</v>
      </c>
      <c r="L417" s="85">
        <f>STATS1003B!L418/1000</f>
        <v>0</v>
      </c>
      <c r="M417" s="85">
        <f>STATS1003B!M418/1000</f>
        <v>2500</v>
      </c>
      <c r="N417" s="85">
        <f>STATS1003B!N418/1000</f>
        <v>0</v>
      </c>
      <c r="O417" s="85">
        <f>STATS1003B!O418/1000</f>
        <v>0</v>
      </c>
      <c r="P417" s="85">
        <f>STATS1003B!P418/1000</f>
        <v>0</v>
      </c>
      <c r="Q417" s="85">
        <f>STATS1003B!Q418/1000</f>
        <v>0</v>
      </c>
      <c r="R417" s="85">
        <f>STATS1003B!R418/1000</f>
        <v>0</v>
      </c>
      <c r="S417" s="85">
        <f>STATS1003B!S418/1000</f>
        <v>0</v>
      </c>
      <c r="T417" s="85">
        <f>STATS1003B!T418/1000</f>
        <v>0</v>
      </c>
      <c r="U417" s="85">
        <f>STATS1003B!U418/1000</f>
        <v>0</v>
      </c>
      <c r="V417" s="85">
        <f>STATS1003B!V418/1000</f>
        <v>0</v>
      </c>
      <c r="W417" s="85">
        <f>STATS1003B!W418/1000</f>
        <v>0</v>
      </c>
      <c r="X417" s="85">
        <f t="shared" si="41"/>
        <v>2500</v>
      </c>
      <c r="Y417" s="85">
        <f>STATS1003B!Y418/1000</f>
        <v>0</v>
      </c>
      <c r="Z417" s="85">
        <f>STATS1003B!Z418/1000</f>
        <v>0</v>
      </c>
      <c r="AA417" s="69">
        <f>STATS1003B!AA418/1000</f>
        <v>2500</v>
      </c>
      <c r="AB417" s="69">
        <f>STATS1003B!AB418/1000</f>
        <v>0</v>
      </c>
    </row>
    <row r="418" spans="1:28" hidden="1" x14ac:dyDescent="0.3">
      <c r="A418" s="117"/>
      <c r="E418" s="86" t="s">
        <v>29</v>
      </c>
      <c r="F418" s="86" t="s">
        <v>29</v>
      </c>
      <c r="G418" s="86" t="s">
        <v>29</v>
      </c>
      <c r="H418" s="86" t="s">
        <v>29</v>
      </c>
      <c r="I418" s="86" t="s">
        <v>29</v>
      </c>
      <c r="J418" s="86" t="s">
        <v>29</v>
      </c>
      <c r="K418" s="86" t="s">
        <v>29</v>
      </c>
      <c r="L418" s="86" t="s">
        <v>29</v>
      </c>
      <c r="M418" s="86" t="s">
        <v>29</v>
      </c>
      <c r="N418" s="86" t="s">
        <v>29</v>
      </c>
      <c r="O418" s="86" t="s">
        <v>29</v>
      </c>
      <c r="P418" s="86" t="s">
        <v>29</v>
      </c>
      <c r="Q418" s="86" t="s">
        <v>29</v>
      </c>
      <c r="R418" s="86" t="s">
        <v>29</v>
      </c>
      <c r="S418" s="86" t="s">
        <v>29</v>
      </c>
      <c r="T418" s="86" t="s">
        <v>29</v>
      </c>
      <c r="U418" s="86" t="s">
        <v>29</v>
      </c>
      <c r="V418" s="86" t="s">
        <v>29</v>
      </c>
      <c r="W418" s="86" t="s">
        <v>29</v>
      </c>
      <c r="X418" s="85" t="e">
        <f t="shared" si="41"/>
        <v>#VALUE!</v>
      </c>
      <c r="Y418" s="86" t="s">
        <v>29</v>
      </c>
      <c r="Z418" s="86" t="s">
        <v>29</v>
      </c>
      <c r="AA418" s="115" t="s">
        <v>29</v>
      </c>
      <c r="AB418" s="115" t="s">
        <v>29</v>
      </c>
    </row>
    <row r="419" spans="1:28" x14ac:dyDescent="0.3">
      <c r="A419" s="116" t="s">
        <v>951</v>
      </c>
      <c r="B419" s="68" t="s">
        <v>588</v>
      </c>
      <c r="E419" s="85">
        <f>84437724.37/1000</f>
        <v>84437.724370000011</v>
      </c>
      <c r="F419" s="85">
        <f t="shared" ref="F419:Q419" si="44">SUM(F401:F418)</f>
        <v>23239.926599999999</v>
      </c>
      <c r="G419" s="85">
        <f t="shared" si="44"/>
        <v>0</v>
      </c>
      <c r="H419" s="85">
        <f>76730566.65/1000</f>
        <v>76730.566650000008</v>
      </c>
      <c r="I419" s="85">
        <f t="shared" si="44"/>
        <v>0</v>
      </c>
      <c r="J419" s="85">
        <f t="shared" si="44"/>
        <v>23239.926599999999</v>
      </c>
      <c r="K419" s="85">
        <f t="shared" si="44"/>
        <v>7707.1577199999992</v>
      </c>
      <c r="L419" s="85">
        <f t="shared" si="44"/>
        <v>0</v>
      </c>
      <c r="M419" s="85">
        <f t="shared" si="44"/>
        <v>23239.926599999999</v>
      </c>
      <c r="N419" s="85">
        <f t="shared" si="44"/>
        <v>7707.1577199999992</v>
      </c>
      <c r="O419" s="85">
        <f t="shared" si="44"/>
        <v>0</v>
      </c>
      <c r="P419" s="85">
        <f>7707157/1000</f>
        <v>7707.1570000000002</v>
      </c>
      <c r="Q419" s="85">
        <f t="shared" si="44"/>
        <v>0</v>
      </c>
      <c r="R419" s="86"/>
      <c r="S419" s="86"/>
      <c r="T419" s="85">
        <f t="shared" ref="T419:Z419" si="45">SUM(T401:T418)</f>
        <v>0</v>
      </c>
      <c r="U419" s="85">
        <f t="shared" si="45"/>
        <v>7707.1577199999992</v>
      </c>
      <c r="V419" s="85">
        <f t="shared" si="45"/>
        <v>0</v>
      </c>
      <c r="W419" s="85">
        <f t="shared" si="45"/>
        <v>0</v>
      </c>
      <c r="X419" s="85">
        <f>+H419+P419</f>
        <v>84437.723650000014</v>
      </c>
      <c r="Y419" s="85">
        <f t="shared" si="45"/>
        <v>0</v>
      </c>
      <c r="Z419" s="85">
        <f t="shared" si="45"/>
        <v>0</v>
      </c>
      <c r="AA419" s="69">
        <f>SUM(AA401:AA418)</f>
        <v>30947.084319999998</v>
      </c>
      <c r="AB419" s="69">
        <f>SUM(AB401:AB418)</f>
        <v>0</v>
      </c>
    </row>
    <row r="420" spans="1:28" x14ac:dyDescent="0.3">
      <c r="A420" s="117"/>
      <c r="E420" s="86"/>
      <c r="F420" s="86"/>
      <c r="G420" s="86"/>
      <c r="H420" s="86"/>
      <c r="I420" s="86"/>
      <c r="J420" s="86"/>
      <c r="K420" s="86"/>
      <c r="L420" s="86"/>
      <c r="M420" s="86"/>
      <c r="N420" s="86"/>
      <c r="O420" s="86"/>
      <c r="P420" s="86"/>
      <c r="Q420" s="86"/>
      <c r="R420" s="86"/>
      <c r="S420" s="86"/>
      <c r="T420" s="86"/>
      <c r="U420" s="86"/>
      <c r="V420" s="86"/>
      <c r="W420" s="86"/>
      <c r="X420" s="86"/>
      <c r="Y420" s="86"/>
      <c r="Z420" s="86"/>
      <c r="AA420" s="115" t="s">
        <v>29</v>
      </c>
      <c r="AB420" s="115" t="s">
        <v>29</v>
      </c>
    </row>
    <row r="421" spans="1:28" s="106" customFormat="1" x14ac:dyDescent="0.3">
      <c r="A421" s="104"/>
      <c r="B421" s="7" t="s">
        <v>593</v>
      </c>
      <c r="C421" s="7" t="s">
        <v>3</v>
      </c>
      <c r="D421" s="8"/>
      <c r="E421" s="82">
        <f t="shared" ref="E421:AB421" si="46">E261+E280+E312+E333+E369+E398+E419</f>
        <v>761164.22707000002</v>
      </c>
      <c r="F421" s="82">
        <f t="shared" si="46"/>
        <v>250971.04403000002</v>
      </c>
      <c r="G421" s="82">
        <f t="shared" si="46"/>
        <v>0</v>
      </c>
      <c r="H421" s="82">
        <f t="shared" si="46"/>
        <v>702693.30925000005</v>
      </c>
      <c r="I421" s="82" t="e">
        <f t="shared" si="46"/>
        <v>#VALUE!</v>
      </c>
      <c r="J421" s="82">
        <f t="shared" si="46"/>
        <v>226900.59595000002</v>
      </c>
      <c r="K421" s="82">
        <f t="shared" si="46"/>
        <v>53407.78813999999</v>
      </c>
      <c r="L421" s="82">
        <f t="shared" si="46"/>
        <v>3439.4380000000001</v>
      </c>
      <c r="M421" s="82">
        <f t="shared" si="46"/>
        <v>254410.48203000001</v>
      </c>
      <c r="N421" s="82">
        <f t="shared" si="46"/>
        <v>53431.510840000003</v>
      </c>
      <c r="O421" s="82">
        <f t="shared" si="46"/>
        <v>0</v>
      </c>
      <c r="P421" s="82">
        <f t="shared" si="46"/>
        <v>53431.507000000005</v>
      </c>
      <c r="Q421" s="82">
        <f t="shared" si="46"/>
        <v>27061.636740000002</v>
      </c>
      <c r="R421" s="82">
        <f t="shared" si="46"/>
        <v>0</v>
      </c>
      <c r="S421" s="82">
        <f t="shared" si="46"/>
        <v>0</v>
      </c>
      <c r="T421" s="82">
        <f t="shared" si="46"/>
        <v>88.582650000000001</v>
      </c>
      <c r="U421" s="82">
        <f t="shared" si="46"/>
        <v>53520.092980000001</v>
      </c>
      <c r="V421" s="82">
        <f t="shared" si="46"/>
        <v>0</v>
      </c>
      <c r="W421" s="82">
        <f t="shared" si="46"/>
        <v>0</v>
      </c>
      <c r="X421" s="82">
        <f t="shared" si="46"/>
        <v>756124.81625000015</v>
      </c>
      <c r="Y421" s="82">
        <f t="shared" si="46"/>
        <v>0</v>
      </c>
      <c r="Z421" s="82">
        <f t="shared" si="46"/>
        <v>5039.4100999999282</v>
      </c>
      <c r="AA421" s="9">
        <f t="shared" si="46"/>
        <v>307930.57552000007</v>
      </c>
      <c r="AB421" s="9">
        <f t="shared" si="46"/>
        <v>1511.3863299999998</v>
      </c>
    </row>
    <row r="422" spans="1:28" x14ac:dyDescent="0.3">
      <c r="A422" s="117"/>
      <c r="E422" s="86"/>
      <c r="F422" s="86"/>
      <c r="G422" s="86"/>
      <c r="H422" s="86"/>
      <c r="I422" s="86"/>
      <c r="J422" s="86"/>
      <c r="K422" s="86"/>
      <c r="L422" s="86"/>
      <c r="M422" s="86"/>
      <c r="N422" s="86"/>
      <c r="O422" s="86"/>
      <c r="P422" s="86"/>
      <c r="Q422" s="86"/>
      <c r="R422" s="86"/>
      <c r="S422" s="86"/>
      <c r="T422" s="86"/>
      <c r="U422" s="86"/>
      <c r="V422" s="86"/>
      <c r="W422" s="86"/>
      <c r="X422" s="86"/>
      <c r="Y422" s="86"/>
      <c r="Z422" s="86"/>
      <c r="AA422" s="115" t="s">
        <v>114</v>
      </c>
      <c r="AB422" s="115" t="s">
        <v>114</v>
      </c>
    </row>
    <row r="423" spans="1:28" x14ac:dyDescent="0.3">
      <c r="A423" s="117"/>
      <c r="B423" s="68" t="s">
        <v>134</v>
      </c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118"/>
    </row>
    <row r="424" spans="1:28" hidden="1" x14ac:dyDescent="0.3">
      <c r="A424" s="117"/>
      <c r="B424" s="68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</row>
    <row r="425" spans="1:28" hidden="1" x14ac:dyDescent="0.3">
      <c r="A425" s="105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</row>
    <row r="426" spans="1:28" hidden="1" x14ac:dyDescent="0.3">
      <c r="A426" s="117"/>
      <c r="C426" s="68" t="s">
        <v>136</v>
      </c>
      <c r="D426" s="71" t="s">
        <v>137</v>
      </c>
      <c r="E426" s="85">
        <f>STATS1003B!E427/1000</f>
        <v>8432.6502500000006</v>
      </c>
      <c r="F426" s="85">
        <f>STATS1003B!F427/1000</f>
        <v>7929.1683000000012</v>
      </c>
      <c r="G426" s="85">
        <f>STATS1003B!G427/1000</f>
        <v>0</v>
      </c>
      <c r="H426" s="85">
        <f>STATS1003B!H427/1000</f>
        <v>7929.1683000000012</v>
      </c>
      <c r="I426" s="85">
        <f>STATS1003B!I427/1000</f>
        <v>0</v>
      </c>
      <c r="J426" s="85">
        <f>STATS1003B!J427/1000</f>
        <v>0</v>
      </c>
      <c r="K426" s="85">
        <f>STATS1003B!K427/1000</f>
        <v>0</v>
      </c>
      <c r="L426" s="85">
        <f>STATS1003B!L427/1000</f>
        <v>0</v>
      </c>
      <c r="M426" s="85">
        <f>STATS1003B!M427/1000</f>
        <v>7929.1683000000012</v>
      </c>
      <c r="N426" s="85">
        <f>STATS1003B!N427/1000</f>
        <v>503.48194999999993</v>
      </c>
      <c r="O426" s="85">
        <f>STATS1003B!O427/1000</f>
        <v>0</v>
      </c>
      <c r="P426" s="85">
        <f>STATS1003B!P427/1000</f>
        <v>503.48194999999993</v>
      </c>
      <c r="Q426" s="85">
        <f>STATS1003B!Q427/1000</f>
        <v>0</v>
      </c>
      <c r="R426" s="85">
        <f>STATS1003B!R427/1000</f>
        <v>0</v>
      </c>
      <c r="S426" s="85">
        <f>STATS1003B!S427/1000</f>
        <v>0</v>
      </c>
      <c r="T426" s="85">
        <f>STATS1003B!T427/1000</f>
        <v>0</v>
      </c>
      <c r="U426" s="85">
        <f>STATS1003B!U427/1000</f>
        <v>503.48194999999993</v>
      </c>
      <c r="V426" s="85">
        <f>STATS1003B!V427/1000</f>
        <v>8432.6502500000006</v>
      </c>
      <c r="W426" s="85">
        <f>STATS1003B!W427/1000</f>
        <v>0</v>
      </c>
      <c r="X426" s="85">
        <f>STATS1003B!X427/1000</f>
        <v>8432.6502500000006</v>
      </c>
      <c r="Y426" s="85">
        <f>STATS1003B!Y427/1000</f>
        <v>0</v>
      </c>
      <c r="Z426" s="85">
        <f>STATS1003B!Z427/1000</f>
        <v>0</v>
      </c>
      <c r="AA426" s="69">
        <f>STATS1003B!AA427/1000</f>
        <v>8432.6502500000006</v>
      </c>
      <c r="AB426" s="69">
        <f>STATS1003B!AB427/1000</f>
        <v>0</v>
      </c>
    </row>
    <row r="427" spans="1:28" hidden="1" x14ac:dyDescent="0.3">
      <c r="A427" s="117"/>
      <c r="C427" s="68" t="s">
        <v>55</v>
      </c>
      <c r="D427" s="88" t="s">
        <v>68</v>
      </c>
      <c r="E427" s="85">
        <f>STATS1003B!E428/1000</f>
        <v>4705.00929</v>
      </c>
      <c r="F427" s="85">
        <f>STATS1003B!F428/1000</f>
        <v>0</v>
      </c>
      <c r="G427" s="85">
        <f>STATS1003B!G428/1000</f>
        <v>0</v>
      </c>
      <c r="H427" s="85">
        <f>STATS1003B!H428/1000</f>
        <v>0</v>
      </c>
      <c r="I427" s="85">
        <f>STATS1003B!I428/1000</f>
        <v>0</v>
      </c>
      <c r="J427" s="85">
        <f>STATS1003B!J428/1000</f>
        <v>0</v>
      </c>
      <c r="K427" s="85">
        <f>STATS1003B!K428/1000</f>
        <v>0</v>
      </c>
      <c r="L427" s="85">
        <f>STATS1003B!L428/1000</f>
        <v>0</v>
      </c>
      <c r="M427" s="85">
        <f>STATS1003B!M428/1000</f>
        <v>0</v>
      </c>
      <c r="N427" s="85">
        <f>STATS1003B!N428/1000</f>
        <v>4705.00929</v>
      </c>
      <c r="O427" s="85">
        <f>STATS1003B!O428/1000</f>
        <v>0</v>
      </c>
      <c r="P427" s="85">
        <f>STATS1003B!P428/1000</f>
        <v>4705.00929</v>
      </c>
      <c r="Q427" s="85">
        <f>STATS1003B!Q428/1000</f>
        <v>0</v>
      </c>
      <c r="R427" s="85">
        <f>STATS1003B!R428/1000</f>
        <v>0</v>
      </c>
      <c r="S427" s="85">
        <f>STATS1003B!S428/1000</f>
        <v>0</v>
      </c>
      <c r="T427" s="85">
        <f>STATS1003B!T428/1000</f>
        <v>0</v>
      </c>
      <c r="U427" s="85">
        <f>STATS1003B!U428/1000</f>
        <v>4705.00929</v>
      </c>
      <c r="V427" s="85">
        <f>STATS1003B!V428/1000</f>
        <v>4705.00929</v>
      </c>
      <c r="W427" s="85">
        <f>STATS1003B!W428/1000</f>
        <v>0</v>
      </c>
      <c r="X427" s="85">
        <f>STATS1003B!X428/1000</f>
        <v>4705.00929</v>
      </c>
      <c r="Y427" s="85">
        <f>STATS1003B!Y428/1000</f>
        <v>0</v>
      </c>
      <c r="Z427" s="85">
        <f>STATS1003B!Z428/1000</f>
        <v>0</v>
      </c>
      <c r="AA427" s="69">
        <f>STATS1003B!AA428/1000</f>
        <v>4705.00929</v>
      </c>
      <c r="AB427" s="69">
        <f>STATS1003B!AB428/1000</f>
        <v>0</v>
      </c>
    </row>
    <row r="428" spans="1:28" hidden="1" x14ac:dyDescent="0.3">
      <c r="A428" s="117"/>
      <c r="C428" s="71" t="s">
        <v>138</v>
      </c>
      <c r="D428" s="71" t="s">
        <v>139</v>
      </c>
      <c r="E428" s="85">
        <f>STATS1003B!E429/1000</f>
        <v>3252.6264000000001</v>
      </c>
      <c r="F428" s="85">
        <f>STATS1003B!F429/1000</f>
        <v>3252.6264000000001</v>
      </c>
      <c r="G428" s="85">
        <f>STATS1003B!G429/1000</f>
        <v>0</v>
      </c>
      <c r="H428" s="85">
        <f>STATS1003B!H429/1000</f>
        <v>3252.6264000000001</v>
      </c>
      <c r="I428" s="85">
        <f>STATS1003B!I429/1000</f>
        <v>0</v>
      </c>
      <c r="J428" s="85">
        <f>STATS1003B!J429/1000</f>
        <v>0</v>
      </c>
      <c r="K428" s="85">
        <f>STATS1003B!K429/1000</f>
        <v>0</v>
      </c>
      <c r="L428" s="85">
        <f>STATS1003B!L429/1000</f>
        <v>0</v>
      </c>
      <c r="M428" s="85">
        <f>STATS1003B!M429/1000</f>
        <v>3252.6264000000001</v>
      </c>
      <c r="N428" s="85">
        <f>STATS1003B!N429/1000</f>
        <v>0</v>
      </c>
      <c r="O428" s="85">
        <f>STATS1003B!O429/1000</f>
        <v>0</v>
      </c>
      <c r="P428" s="85">
        <f>STATS1003B!P429/1000</f>
        <v>0</v>
      </c>
      <c r="Q428" s="85">
        <f>STATS1003B!Q429/1000</f>
        <v>0</v>
      </c>
      <c r="R428" s="85">
        <f>STATS1003B!R429/1000</f>
        <v>0</v>
      </c>
      <c r="S428" s="85">
        <f>STATS1003B!S429/1000</f>
        <v>0</v>
      </c>
      <c r="T428" s="85">
        <f>STATS1003B!T429/1000</f>
        <v>0</v>
      </c>
      <c r="U428" s="85">
        <f>STATS1003B!U429/1000</f>
        <v>0</v>
      </c>
      <c r="V428" s="85">
        <f>STATS1003B!V429/1000</f>
        <v>3252.6264000000001</v>
      </c>
      <c r="W428" s="85">
        <f>STATS1003B!W429/1000</f>
        <v>0</v>
      </c>
      <c r="X428" s="85">
        <f>STATS1003B!X429/1000</f>
        <v>3252.6264000000001</v>
      </c>
      <c r="Y428" s="85">
        <f>STATS1003B!Y429/1000</f>
        <v>0</v>
      </c>
      <c r="Z428" s="85">
        <f>STATS1003B!Z429/1000</f>
        <v>0</v>
      </c>
      <c r="AA428" s="69">
        <f>STATS1003B!AA429/1000</f>
        <v>3252.6264000000001</v>
      </c>
      <c r="AB428" s="69">
        <f>STATS1003B!AB429/1000</f>
        <v>0</v>
      </c>
    </row>
    <row r="429" spans="1:28" hidden="1" x14ac:dyDescent="0.3">
      <c r="A429" s="117"/>
      <c r="C429" s="68" t="s">
        <v>53</v>
      </c>
      <c r="D429" s="88" t="s">
        <v>54</v>
      </c>
      <c r="E429" s="85">
        <f>STATS1003B!E430/1000</f>
        <v>1767.77</v>
      </c>
      <c r="F429" s="85">
        <f>STATS1003B!F430/1000</f>
        <v>0</v>
      </c>
      <c r="G429" s="85">
        <f>STATS1003B!G430/1000</f>
        <v>0</v>
      </c>
      <c r="H429" s="85">
        <f>STATS1003B!H430/1000</f>
        <v>0</v>
      </c>
      <c r="I429" s="85">
        <f>STATS1003B!I430/1000</f>
        <v>0</v>
      </c>
      <c r="J429" s="85">
        <f>STATS1003B!J430/1000</f>
        <v>0</v>
      </c>
      <c r="K429" s="85">
        <f>STATS1003B!K430/1000</f>
        <v>0</v>
      </c>
      <c r="L429" s="85">
        <f>STATS1003B!L430/1000</f>
        <v>0</v>
      </c>
      <c r="M429" s="85">
        <f>STATS1003B!M430/1000</f>
        <v>0</v>
      </c>
      <c r="N429" s="85">
        <f>STATS1003B!N430/1000</f>
        <v>1767.77</v>
      </c>
      <c r="O429" s="85">
        <f>STATS1003B!O430/1000</f>
        <v>0</v>
      </c>
      <c r="P429" s="85">
        <f>STATS1003B!P430/1000</f>
        <v>1767.77</v>
      </c>
      <c r="Q429" s="85">
        <f>STATS1003B!Q430/1000</f>
        <v>0</v>
      </c>
      <c r="R429" s="85">
        <f>STATS1003B!R430/1000</f>
        <v>0</v>
      </c>
      <c r="S429" s="85">
        <f>STATS1003B!S430/1000</f>
        <v>0</v>
      </c>
      <c r="T429" s="85">
        <f>STATS1003B!T430/1000</f>
        <v>0</v>
      </c>
      <c r="U429" s="85">
        <f>STATS1003B!U430/1000</f>
        <v>1767.77</v>
      </c>
      <c r="V429" s="85">
        <f>STATS1003B!V430/1000</f>
        <v>1767.77</v>
      </c>
      <c r="W429" s="85">
        <f>STATS1003B!W430/1000</f>
        <v>0</v>
      </c>
      <c r="X429" s="85">
        <f>STATS1003B!X430/1000</f>
        <v>1767.77</v>
      </c>
      <c r="Y429" s="85">
        <f>STATS1003B!Y430/1000</f>
        <v>0</v>
      </c>
      <c r="Z429" s="85">
        <f>STATS1003B!Z430/1000</f>
        <v>0</v>
      </c>
      <c r="AA429" s="69">
        <f>STATS1003B!AA430/1000</f>
        <v>1767.77</v>
      </c>
      <c r="AB429" s="69">
        <f>STATS1003B!AB430/1000</f>
        <v>0</v>
      </c>
    </row>
    <row r="430" spans="1:28" hidden="1" x14ac:dyDescent="0.3">
      <c r="A430" s="117"/>
      <c r="C430" s="68" t="s">
        <v>140</v>
      </c>
      <c r="D430" s="88" t="s">
        <v>54</v>
      </c>
      <c r="E430" s="85">
        <f>STATS1003B!E431/1000</f>
        <v>475</v>
      </c>
      <c r="F430" s="85">
        <f>STATS1003B!F431/1000</f>
        <v>475</v>
      </c>
      <c r="G430" s="85">
        <f>STATS1003B!G431/1000</f>
        <v>0</v>
      </c>
      <c r="H430" s="85">
        <f>STATS1003B!H431/1000</f>
        <v>475</v>
      </c>
      <c r="I430" s="85">
        <f>STATS1003B!I431/1000</f>
        <v>0</v>
      </c>
      <c r="J430" s="85">
        <f>STATS1003B!J431/1000</f>
        <v>0</v>
      </c>
      <c r="K430" s="85">
        <f>STATS1003B!K431/1000</f>
        <v>0</v>
      </c>
      <c r="L430" s="85">
        <f>STATS1003B!L431/1000</f>
        <v>0</v>
      </c>
      <c r="M430" s="85">
        <f>STATS1003B!M431/1000</f>
        <v>475</v>
      </c>
      <c r="N430" s="85">
        <f>STATS1003B!N431/1000</f>
        <v>0</v>
      </c>
      <c r="O430" s="85">
        <f>STATS1003B!O431/1000</f>
        <v>0</v>
      </c>
      <c r="P430" s="85">
        <f>STATS1003B!P431/1000</f>
        <v>0</v>
      </c>
      <c r="Q430" s="85">
        <f>STATS1003B!Q431/1000</f>
        <v>0</v>
      </c>
      <c r="R430" s="85">
        <f>STATS1003B!R431/1000</f>
        <v>0</v>
      </c>
      <c r="S430" s="85">
        <f>STATS1003B!S431/1000</f>
        <v>0</v>
      </c>
      <c r="T430" s="85">
        <f>STATS1003B!T431/1000</f>
        <v>0</v>
      </c>
      <c r="U430" s="85">
        <f>STATS1003B!U431/1000</f>
        <v>0</v>
      </c>
      <c r="V430" s="85">
        <f>STATS1003B!V431/1000</f>
        <v>475</v>
      </c>
      <c r="W430" s="85">
        <f>STATS1003B!W431/1000</f>
        <v>0</v>
      </c>
      <c r="X430" s="85">
        <f>STATS1003B!X431/1000</f>
        <v>475</v>
      </c>
      <c r="Y430" s="85">
        <f>STATS1003B!Y431/1000</f>
        <v>0</v>
      </c>
      <c r="Z430" s="85">
        <f>STATS1003B!Z431/1000</f>
        <v>0</v>
      </c>
      <c r="AA430" s="69">
        <f>STATS1003B!AA431/1000</f>
        <v>475</v>
      </c>
      <c r="AB430" s="69">
        <f>STATS1003B!AB431/1000</f>
        <v>0</v>
      </c>
    </row>
    <row r="431" spans="1:28" hidden="1" x14ac:dyDescent="0.3">
      <c r="A431" s="117"/>
      <c r="C431" s="71" t="s">
        <v>141</v>
      </c>
      <c r="D431" s="88" t="s">
        <v>54</v>
      </c>
      <c r="E431" s="85">
        <f>STATS1003B!E432/1000</f>
        <v>5244</v>
      </c>
      <c r="F431" s="85">
        <f>STATS1003B!F432/1000</f>
        <v>5244</v>
      </c>
      <c r="G431" s="85">
        <f>STATS1003B!G432/1000</f>
        <v>0</v>
      </c>
      <c r="H431" s="85">
        <f>STATS1003B!H432/1000</f>
        <v>5244</v>
      </c>
      <c r="I431" s="85">
        <f>STATS1003B!I432/1000</f>
        <v>0</v>
      </c>
      <c r="J431" s="85">
        <f>STATS1003B!J432/1000</f>
        <v>0</v>
      </c>
      <c r="K431" s="85">
        <f>STATS1003B!K432/1000</f>
        <v>0</v>
      </c>
      <c r="L431" s="85">
        <f>STATS1003B!L432/1000</f>
        <v>0</v>
      </c>
      <c r="M431" s="85">
        <f>STATS1003B!M432/1000</f>
        <v>5244</v>
      </c>
      <c r="N431" s="85">
        <f>STATS1003B!N432/1000</f>
        <v>0</v>
      </c>
      <c r="O431" s="85">
        <f>STATS1003B!O432/1000</f>
        <v>0</v>
      </c>
      <c r="P431" s="85">
        <f>STATS1003B!P432/1000</f>
        <v>0</v>
      </c>
      <c r="Q431" s="85">
        <f>STATS1003B!Q432/1000</f>
        <v>0</v>
      </c>
      <c r="R431" s="85">
        <f>STATS1003B!R432/1000</f>
        <v>0</v>
      </c>
      <c r="S431" s="85">
        <f>STATS1003B!S432/1000</f>
        <v>0</v>
      </c>
      <c r="T431" s="85">
        <f>STATS1003B!T432/1000</f>
        <v>0</v>
      </c>
      <c r="U431" s="85">
        <f>STATS1003B!U432/1000</f>
        <v>0</v>
      </c>
      <c r="V431" s="85">
        <f>STATS1003B!V432/1000</f>
        <v>5244</v>
      </c>
      <c r="W431" s="85">
        <f>STATS1003B!W432/1000</f>
        <v>0</v>
      </c>
      <c r="X431" s="85">
        <f>STATS1003B!X432/1000</f>
        <v>5244</v>
      </c>
      <c r="Y431" s="85">
        <f>STATS1003B!Y432/1000</f>
        <v>0</v>
      </c>
      <c r="Z431" s="85">
        <f>STATS1003B!Z432/1000</f>
        <v>0</v>
      </c>
      <c r="AA431" s="69">
        <f>STATS1003B!AA432/1000</f>
        <v>5244</v>
      </c>
      <c r="AB431" s="69">
        <f>STATS1003B!AB432/1000</f>
        <v>0</v>
      </c>
    </row>
    <row r="432" spans="1:28" hidden="1" x14ac:dyDescent="0.3">
      <c r="A432" s="117"/>
      <c r="C432" s="71" t="s">
        <v>142</v>
      </c>
      <c r="D432" s="88" t="s">
        <v>108</v>
      </c>
      <c r="E432" s="85">
        <f>STATS1003B!E433/1000</f>
        <v>500</v>
      </c>
      <c r="F432" s="85">
        <f>STATS1003B!F433/1000</f>
        <v>500</v>
      </c>
      <c r="G432" s="85">
        <f>STATS1003B!G433/1000</f>
        <v>0</v>
      </c>
      <c r="H432" s="85">
        <f>STATS1003B!H433/1000</f>
        <v>500</v>
      </c>
      <c r="I432" s="85">
        <f>STATS1003B!I433/1000</f>
        <v>0</v>
      </c>
      <c r="J432" s="85">
        <f>STATS1003B!J433/1000</f>
        <v>0</v>
      </c>
      <c r="K432" s="85">
        <f>STATS1003B!K433/1000</f>
        <v>0</v>
      </c>
      <c r="L432" s="85">
        <f>STATS1003B!L433/1000</f>
        <v>0</v>
      </c>
      <c r="M432" s="85">
        <f>STATS1003B!M433/1000</f>
        <v>500</v>
      </c>
      <c r="N432" s="85">
        <f>STATS1003B!N433/1000</f>
        <v>0</v>
      </c>
      <c r="O432" s="85">
        <f>STATS1003B!O433/1000</f>
        <v>0</v>
      </c>
      <c r="P432" s="85">
        <f>STATS1003B!P433/1000</f>
        <v>0</v>
      </c>
      <c r="Q432" s="85">
        <f>STATS1003B!Q433/1000</f>
        <v>0</v>
      </c>
      <c r="R432" s="85">
        <f>STATS1003B!R433/1000</f>
        <v>0</v>
      </c>
      <c r="S432" s="85">
        <f>STATS1003B!S433/1000</f>
        <v>0</v>
      </c>
      <c r="T432" s="85">
        <f>STATS1003B!T433/1000</f>
        <v>0</v>
      </c>
      <c r="U432" s="85">
        <f>STATS1003B!U433/1000</f>
        <v>0</v>
      </c>
      <c r="V432" s="85">
        <f>STATS1003B!V433/1000</f>
        <v>500</v>
      </c>
      <c r="W432" s="85">
        <f>STATS1003B!W433/1000</f>
        <v>0</v>
      </c>
      <c r="X432" s="85">
        <f>STATS1003B!X433/1000</f>
        <v>500</v>
      </c>
      <c r="Y432" s="85">
        <f>STATS1003B!Y433/1000</f>
        <v>0</v>
      </c>
      <c r="Z432" s="85">
        <f>STATS1003B!Z433/1000</f>
        <v>0</v>
      </c>
      <c r="AA432" s="69">
        <f>STATS1003B!AA433/1000</f>
        <v>500</v>
      </c>
      <c r="AB432" s="69">
        <f>STATS1003B!AB433/1000</f>
        <v>0</v>
      </c>
    </row>
    <row r="433" spans="1:28" hidden="1" x14ac:dyDescent="0.3">
      <c r="A433" s="117"/>
      <c r="C433" s="71" t="s">
        <v>143</v>
      </c>
      <c r="D433" s="88" t="s">
        <v>58</v>
      </c>
      <c r="E433" s="85">
        <f>STATS1003B!E434/1000</f>
        <v>5000</v>
      </c>
      <c r="F433" s="85">
        <f>STATS1003B!F434/1000</f>
        <v>5000</v>
      </c>
      <c r="G433" s="85">
        <f>STATS1003B!G434/1000</f>
        <v>0</v>
      </c>
      <c r="H433" s="85">
        <f>STATS1003B!H434/1000</f>
        <v>5000</v>
      </c>
      <c r="I433" s="85">
        <f>STATS1003B!I434/1000</f>
        <v>0</v>
      </c>
      <c r="J433" s="85">
        <f>STATS1003B!J434/1000</f>
        <v>0</v>
      </c>
      <c r="K433" s="85">
        <f>STATS1003B!K434/1000</f>
        <v>0</v>
      </c>
      <c r="L433" s="85">
        <f>STATS1003B!L434/1000</f>
        <v>0</v>
      </c>
      <c r="M433" s="85">
        <f>STATS1003B!M434/1000</f>
        <v>5000</v>
      </c>
      <c r="N433" s="85">
        <f>STATS1003B!N434/1000</f>
        <v>0</v>
      </c>
      <c r="O433" s="85">
        <f>STATS1003B!O434/1000</f>
        <v>0</v>
      </c>
      <c r="P433" s="85">
        <f>STATS1003B!P434/1000</f>
        <v>0</v>
      </c>
      <c r="Q433" s="85">
        <f>STATS1003B!Q434/1000</f>
        <v>0</v>
      </c>
      <c r="R433" s="85">
        <f>STATS1003B!R434/1000</f>
        <v>0</v>
      </c>
      <c r="S433" s="85">
        <f>STATS1003B!S434/1000</f>
        <v>0</v>
      </c>
      <c r="T433" s="85">
        <f>STATS1003B!T434/1000</f>
        <v>0</v>
      </c>
      <c r="U433" s="85">
        <f>STATS1003B!U434/1000</f>
        <v>0</v>
      </c>
      <c r="V433" s="85">
        <f>STATS1003B!V434/1000</f>
        <v>5000</v>
      </c>
      <c r="W433" s="85">
        <f>STATS1003B!W434/1000</f>
        <v>0</v>
      </c>
      <c r="X433" s="85">
        <f>STATS1003B!X434/1000</f>
        <v>5000</v>
      </c>
      <c r="Y433" s="85">
        <f>STATS1003B!Y434/1000</f>
        <v>0</v>
      </c>
      <c r="Z433" s="85">
        <f>STATS1003B!Z434/1000</f>
        <v>0</v>
      </c>
      <c r="AA433" s="69">
        <f>STATS1003B!AA434/1000</f>
        <v>5000</v>
      </c>
      <c r="AB433" s="69">
        <f>STATS1003B!AB434/1000</f>
        <v>0</v>
      </c>
    </row>
    <row r="434" spans="1:28" hidden="1" x14ac:dyDescent="0.3">
      <c r="A434" s="117"/>
      <c r="C434" s="71" t="s">
        <v>144</v>
      </c>
      <c r="D434" s="88" t="s">
        <v>73</v>
      </c>
      <c r="E434" s="85">
        <f>STATS1003B!E435/1000</f>
        <v>348.17</v>
      </c>
      <c r="F434" s="85">
        <f>STATS1003B!F435/1000</f>
        <v>348.17</v>
      </c>
      <c r="G434" s="85">
        <f>STATS1003B!G435/1000</f>
        <v>0</v>
      </c>
      <c r="H434" s="85">
        <f>STATS1003B!H435/1000</f>
        <v>348.17</v>
      </c>
      <c r="I434" s="85">
        <f>STATS1003B!I435/1000</f>
        <v>0</v>
      </c>
      <c r="J434" s="85">
        <f>STATS1003B!J435/1000</f>
        <v>0</v>
      </c>
      <c r="K434" s="85">
        <f>STATS1003B!K435/1000</f>
        <v>0</v>
      </c>
      <c r="L434" s="85">
        <f>STATS1003B!L435/1000</f>
        <v>0</v>
      </c>
      <c r="M434" s="85">
        <f>STATS1003B!M435/1000</f>
        <v>348.17</v>
      </c>
      <c r="N434" s="85">
        <f>STATS1003B!N435/1000</f>
        <v>0</v>
      </c>
      <c r="O434" s="85">
        <f>STATS1003B!O435/1000</f>
        <v>0</v>
      </c>
      <c r="P434" s="85">
        <f>STATS1003B!P435/1000</f>
        <v>0</v>
      </c>
      <c r="Q434" s="85">
        <f>STATS1003B!Q435/1000</f>
        <v>0</v>
      </c>
      <c r="R434" s="85">
        <f>STATS1003B!R435/1000</f>
        <v>0</v>
      </c>
      <c r="S434" s="85">
        <f>STATS1003B!S435/1000</f>
        <v>0</v>
      </c>
      <c r="T434" s="85">
        <f>STATS1003B!T435/1000</f>
        <v>0</v>
      </c>
      <c r="U434" s="85">
        <f>STATS1003B!U435/1000</f>
        <v>0</v>
      </c>
      <c r="V434" s="85">
        <f>STATS1003B!V435/1000</f>
        <v>348.17</v>
      </c>
      <c r="W434" s="85">
        <f>STATS1003B!W435/1000</f>
        <v>0</v>
      </c>
      <c r="X434" s="85">
        <f>STATS1003B!X435/1000</f>
        <v>348.17</v>
      </c>
      <c r="Y434" s="85">
        <f>STATS1003B!Y435/1000</f>
        <v>0</v>
      </c>
      <c r="Z434" s="85">
        <f>STATS1003B!Z435/1000</f>
        <v>0</v>
      </c>
      <c r="AA434" s="69">
        <f>STATS1003B!AA435/1000</f>
        <v>348.17</v>
      </c>
      <c r="AB434" s="69">
        <f>STATS1003B!AB435/1000</f>
        <v>0</v>
      </c>
    </row>
    <row r="435" spans="1:28" hidden="1" x14ac:dyDescent="0.3">
      <c r="A435" s="117"/>
      <c r="C435" s="71" t="s">
        <v>925</v>
      </c>
      <c r="D435" s="89" t="s">
        <v>1072</v>
      </c>
      <c r="E435" s="85">
        <f>STATS1003B!E436/1000</f>
        <v>151.83000000000001</v>
      </c>
      <c r="F435" s="85">
        <f>STATS1003B!F436/1000</f>
        <v>151.83000000000001</v>
      </c>
      <c r="G435" s="85">
        <f>STATS1003B!G436/1000</f>
        <v>0</v>
      </c>
      <c r="H435" s="85">
        <f>STATS1003B!H436/1000</f>
        <v>151.83000000000001</v>
      </c>
      <c r="I435" s="85">
        <f>STATS1003B!I436/1000</f>
        <v>0</v>
      </c>
      <c r="J435" s="85">
        <f>STATS1003B!J436/1000</f>
        <v>0</v>
      </c>
      <c r="K435" s="85">
        <f>STATS1003B!K436/1000</f>
        <v>0</v>
      </c>
      <c r="L435" s="85">
        <f>STATS1003B!L436/1000</f>
        <v>0</v>
      </c>
      <c r="M435" s="85">
        <f>STATS1003B!M436/1000</f>
        <v>151.83000000000001</v>
      </c>
      <c r="N435" s="85">
        <f>STATS1003B!N436/1000</f>
        <v>0</v>
      </c>
      <c r="O435" s="85">
        <f>STATS1003B!O436/1000</f>
        <v>0</v>
      </c>
      <c r="P435" s="85">
        <f>STATS1003B!P436/1000</f>
        <v>0</v>
      </c>
      <c r="Q435" s="85">
        <f>STATS1003B!Q436/1000</f>
        <v>0</v>
      </c>
      <c r="R435" s="85">
        <f>STATS1003B!R436/1000</f>
        <v>0</v>
      </c>
      <c r="S435" s="85">
        <f>STATS1003B!S436/1000</f>
        <v>0</v>
      </c>
      <c r="T435" s="85">
        <f>STATS1003B!T436/1000</f>
        <v>0</v>
      </c>
      <c r="U435" s="85">
        <f>STATS1003B!U436/1000</f>
        <v>0</v>
      </c>
      <c r="V435" s="85">
        <f>STATS1003B!V436/1000</f>
        <v>151.83000000000001</v>
      </c>
      <c r="W435" s="85">
        <f>STATS1003B!W436/1000</f>
        <v>0</v>
      </c>
      <c r="X435" s="85">
        <f>STATS1003B!X436/1000</f>
        <v>151.83000000000001</v>
      </c>
      <c r="Y435" s="85">
        <f>STATS1003B!Y436/1000</f>
        <v>0</v>
      </c>
      <c r="Z435" s="85">
        <f>STATS1003B!Z436/1000</f>
        <v>0</v>
      </c>
      <c r="AA435" s="69">
        <f>STATS1003B!AA436/1000</f>
        <v>151.83000000000001</v>
      </c>
      <c r="AB435" s="69">
        <f>STATS1003B!AB436/1000</f>
        <v>0</v>
      </c>
    </row>
    <row r="436" spans="1:28" hidden="1" x14ac:dyDescent="0.3">
      <c r="A436" s="117"/>
      <c r="C436" s="71" t="s">
        <v>143</v>
      </c>
      <c r="D436" s="89" t="s">
        <v>61</v>
      </c>
      <c r="E436" s="85">
        <f>STATS1003B!E437/1000</f>
        <v>549.09146999999996</v>
      </c>
      <c r="F436" s="85">
        <f>STATS1003B!F437/1000</f>
        <v>549.09146999999996</v>
      </c>
      <c r="G436" s="85">
        <f>STATS1003B!G437/1000</f>
        <v>0</v>
      </c>
      <c r="H436" s="85">
        <f>STATS1003B!H437/1000</f>
        <v>549.09146999999996</v>
      </c>
      <c r="I436" s="85">
        <f>STATS1003B!I437/1000</f>
        <v>0</v>
      </c>
      <c r="J436" s="85">
        <f>STATS1003B!J437/1000</f>
        <v>0</v>
      </c>
      <c r="K436" s="85">
        <f>STATS1003B!K437/1000</f>
        <v>0</v>
      </c>
      <c r="L436" s="85">
        <f>STATS1003B!L437/1000</f>
        <v>0</v>
      </c>
      <c r="M436" s="85">
        <f>STATS1003B!M437/1000</f>
        <v>549.09146999999996</v>
      </c>
      <c r="N436" s="85">
        <f>STATS1003B!N437/1000</f>
        <v>0</v>
      </c>
      <c r="O436" s="85">
        <f>STATS1003B!O437/1000</f>
        <v>0</v>
      </c>
      <c r="P436" s="85">
        <f>STATS1003B!P437/1000</f>
        <v>0</v>
      </c>
      <c r="Q436" s="85">
        <f>STATS1003B!Q437/1000</f>
        <v>0</v>
      </c>
      <c r="R436" s="85">
        <f>STATS1003B!R437/1000</f>
        <v>0</v>
      </c>
      <c r="S436" s="85">
        <f>STATS1003B!S437/1000</f>
        <v>0</v>
      </c>
      <c r="T436" s="85">
        <f>STATS1003B!T437/1000</f>
        <v>0</v>
      </c>
      <c r="U436" s="85">
        <f>STATS1003B!U437/1000</f>
        <v>0</v>
      </c>
      <c r="V436" s="85">
        <f>STATS1003B!V437/1000</f>
        <v>549.09146999999996</v>
      </c>
      <c r="W436" s="85">
        <f>STATS1003B!W437/1000</f>
        <v>0</v>
      </c>
      <c r="X436" s="85">
        <f>STATS1003B!X437/1000</f>
        <v>549.09146999999996</v>
      </c>
      <c r="Y436" s="85">
        <f>STATS1003B!Y437/1000</f>
        <v>0</v>
      </c>
      <c r="Z436" s="85">
        <f>STATS1003B!Z437/1000</f>
        <v>0</v>
      </c>
      <c r="AA436" s="69">
        <f>STATS1003B!AA437/1000</f>
        <v>549.09146999999996</v>
      </c>
      <c r="AB436" s="69">
        <f>STATS1003B!AB437/1000</f>
        <v>0</v>
      </c>
    </row>
    <row r="437" spans="1:28" hidden="1" x14ac:dyDescent="0.3">
      <c r="A437" s="117"/>
      <c r="C437" s="71" t="s">
        <v>930</v>
      </c>
      <c r="D437" s="89" t="s">
        <v>1072</v>
      </c>
      <c r="E437" s="85">
        <f>STATS1003B!E438/1000</f>
        <v>1298.3228300000001</v>
      </c>
      <c r="F437" s="85">
        <f>STATS1003B!F438/1000</f>
        <v>1298.3228300000001</v>
      </c>
      <c r="G437" s="85">
        <f>STATS1003B!G438/1000</f>
        <v>0</v>
      </c>
      <c r="H437" s="85">
        <f>STATS1003B!H438/1000</f>
        <v>1298.3228300000001</v>
      </c>
      <c r="I437" s="85">
        <f>STATS1003B!I438/1000</f>
        <v>0</v>
      </c>
      <c r="J437" s="85">
        <f>STATS1003B!J438/1000</f>
        <v>0</v>
      </c>
      <c r="K437" s="85">
        <f>STATS1003B!K438/1000</f>
        <v>0</v>
      </c>
      <c r="L437" s="85">
        <f>STATS1003B!L438/1000</f>
        <v>0</v>
      </c>
      <c r="M437" s="85">
        <f>STATS1003B!M438/1000</f>
        <v>1298.3228300000001</v>
      </c>
      <c r="N437" s="85">
        <f>STATS1003B!N438/1000</f>
        <v>0</v>
      </c>
      <c r="O437" s="85">
        <f>STATS1003B!O438/1000</f>
        <v>0</v>
      </c>
      <c r="P437" s="85">
        <f>STATS1003B!P438/1000</f>
        <v>0</v>
      </c>
      <c r="Q437" s="85">
        <f>STATS1003B!Q438/1000</f>
        <v>0</v>
      </c>
      <c r="R437" s="85">
        <f>STATS1003B!R438/1000</f>
        <v>0</v>
      </c>
      <c r="S437" s="85">
        <f>STATS1003B!S438/1000</f>
        <v>0</v>
      </c>
      <c r="T437" s="85">
        <f>STATS1003B!T438/1000</f>
        <v>0</v>
      </c>
      <c r="U437" s="85">
        <f>STATS1003B!U438/1000</f>
        <v>0</v>
      </c>
      <c r="V437" s="85">
        <f>STATS1003B!V438/1000</f>
        <v>1298.3228300000001</v>
      </c>
      <c r="W437" s="85">
        <f>STATS1003B!W438/1000</f>
        <v>0</v>
      </c>
      <c r="X437" s="85">
        <f>STATS1003B!X438/1000</f>
        <v>1298.3228300000001</v>
      </c>
      <c r="Y437" s="85">
        <f>STATS1003B!Y438/1000</f>
        <v>0</v>
      </c>
      <c r="Z437" s="85">
        <f>STATS1003B!Z438/1000</f>
        <v>0</v>
      </c>
      <c r="AA437" s="69">
        <f>STATS1003B!AA438/1000</f>
        <v>1298.3228300000001</v>
      </c>
      <c r="AB437" s="69">
        <f>STATS1003B!AB438/1000</f>
        <v>0</v>
      </c>
    </row>
    <row r="438" spans="1:28" hidden="1" x14ac:dyDescent="0.3">
      <c r="A438" s="117"/>
      <c r="C438" s="71" t="s">
        <v>1184</v>
      </c>
      <c r="D438" s="89" t="s">
        <v>1126</v>
      </c>
      <c r="E438" s="85">
        <f>STATS1003B!E439/1000</f>
        <v>485.67559999999997</v>
      </c>
      <c r="F438" s="85">
        <f>STATS1003B!F439/1000</f>
        <v>485.67559999999997</v>
      </c>
      <c r="G438" s="85">
        <f>STATS1003B!G439/1000</f>
        <v>0</v>
      </c>
      <c r="H438" s="85">
        <f>STATS1003B!H439/1000</f>
        <v>485.67559999999997</v>
      </c>
      <c r="I438" s="85">
        <f>STATS1003B!I439/1000</f>
        <v>0</v>
      </c>
      <c r="J438" s="85">
        <f>STATS1003B!J439/1000</f>
        <v>0</v>
      </c>
      <c r="K438" s="85">
        <f>STATS1003B!K439/1000</f>
        <v>0</v>
      </c>
      <c r="L438" s="85">
        <f>STATS1003B!L439/1000</f>
        <v>0</v>
      </c>
      <c r="M438" s="85">
        <f>STATS1003B!M439/1000</f>
        <v>485.67559999999997</v>
      </c>
      <c r="N438" s="85">
        <f>STATS1003B!N439/1000</f>
        <v>0</v>
      </c>
      <c r="O438" s="85">
        <f>STATS1003B!O439/1000</f>
        <v>0</v>
      </c>
      <c r="P438" s="85">
        <f>STATS1003B!P439/1000</f>
        <v>0</v>
      </c>
      <c r="Q438" s="85">
        <f>STATS1003B!Q439/1000</f>
        <v>0</v>
      </c>
      <c r="R438" s="85">
        <f>STATS1003B!R439/1000</f>
        <v>0</v>
      </c>
      <c r="S438" s="85">
        <f>STATS1003B!S439/1000</f>
        <v>0</v>
      </c>
      <c r="T438" s="85">
        <f>STATS1003B!T439/1000</f>
        <v>0</v>
      </c>
      <c r="U438" s="85">
        <f>STATS1003B!U439/1000</f>
        <v>0</v>
      </c>
      <c r="V438" s="85">
        <f>STATS1003B!V439/1000</f>
        <v>485.67559999999997</v>
      </c>
      <c r="W438" s="85">
        <f>STATS1003B!W439/1000</f>
        <v>0</v>
      </c>
      <c r="X438" s="85">
        <f>STATS1003B!X439/1000</f>
        <v>485.67559999999997</v>
      </c>
      <c r="Y438" s="85">
        <f>STATS1003B!Y439/1000</f>
        <v>0</v>
      </c>
      <c r="Z438" s="85">
        <f>STATS1003B!Z439/1000</f>
        <v>0</v>
      </c>
      <c r="AA438" s="69">
        <f>STATS1003B!AA439/1000</f>
        <v>485.67559999999997</v>
      </c>
      <c r="AB438" s="69">
        <f>STATS1003B!AB439/1000</f>
        <v>0</v>
      </c>
    </row>
    <row r="439" spans="1:28" hidden="1" x14ac:dyDescent="0.3">
      <c r="A439" s="117"/>
      <c r="C439" s="71" t="s">
        <v>1242</v>
      </c>
      <c r="D439" s="89" t="s">
        <v>1225</v>
      </c>
      <c r="E439" s="85">
        <f>STATS1003B!E440/1000</f>
        <v>7568.2338600000003</v>
      </c>
      <c r="F439" s="85">
        <f>STATS1003B!F440/1000</f>
        <v>7568.2338600000003</v>
      </c>
      <c r="G439" s="85">
        <f>STATS1003B!G440/1000</f>
        <v>0</v>
      </c>
      <c r="H439" s="85">
        <f>STATS1003B!H440/1000</f>
        <v>7568.2338600000003</v>
      </c>
      <c r="I439" s="85">
        <f>STATS1003B!I440/1000</f>
        <v>0</v>
      </c>
      <c r="J439" s="85">
        <f>STATS1003B!J440/1000</f>
        <v>0</v>
      </c>
      <c r="K439" s="85">
        <f>STATS1003B!K440/1000</f>
        <v>0</v>
      </c>
      <c r="L439" s="85">
        <f>STATS1003B!L440/1000</f>
        <v>0</v>
      </c>
      <c r="M439" s="85">
        <f>STATS1003B!M440/1000</f>
        <v>7568.2338600000003</v>
      </c>
      <c r="N439" s="85">
        <f>STATS1003B!N440/1000</f>
        <v>0</v>
      </c>
      <c r="O439" s="85">
        <f>STATS1003B!O440/1000</f>
        <v>0</v>
      </c>
      <c r="P439" s="85">
        <f>STATS1003B!P440/1000</f>
        <v>0</v>
      </c>
      <c r="Q439" s="85">
        <f>STATS1003B!Q440/1000</f>
        <v>0</v>
      </c>
      <c r="R439" s="85">
        <f>STATS1003B!R440/1000</f>
        <v>0</v>
      </c>
      <c r="S439" s="85">
        <f>STATS1003B!S440/1000</f>
        <v>0</v>
      </c>
      <c r="T439" s="85">
        <f>STATS1003B!T440/1000</f>
        <v>0</v>
      </c>
      <c r="U439" s="85">
        <f>STATS1003B!U440/1000</f>
        <v>0</v>
      </c>
      <c r="V439" s="85">
        <f>STATS1003B!V440/1000</f>
        <v>7568.2338600000003</v>
      </c>
      <c r="W439" s="85">
        <f>STATS1003B!W440/1000</f>
        <v>0</v>
      </c>
      <c r="X439" s="85">
        <f>STATS1003B!X440/1000</f>
        <v>7568.2338600000003</v>
      </c>
      <c r="Y439" s="85">
        <f>STATS1003B!Y440/1000</f>
        <v>0</v>
      </c>
      <c r="Z439" s="85">
        <f>STATS1003B!Z440/1000</f>
        <v>0</v>
      </c>
      <c r="AA439" s="69">
        <f>STATS1003B!AA440/1000</f>
        <v>7568.2338600000003</v>
      </c>
      <c r="AB439" s="69">
        <f>STATS1003B!AB440/1000</f>
        <v>0</v>
      </c>
    </row>
    <row r="440" spans="1:28" hidden="1" x14ac:dyDescent="0.3">
      <c r="A440" s="117"/>
      <c r="C440" s="71" t="s">
        <v>178</v>
      </c>
      <c r="D440" s="89"/>
      <c r="E440" s="85">
        <f>STATS1003B!E441/1000</f>
        <v>1795.68715</v>
      </c>
      <c r="F440" s="85">
        <f>STATS1003B!F441/1000</f>
        <v>1795.68715</v>
      </c>
      <c r="G440" s="85">
        <f>STATS1003B!G441/1000</f>
        <v>0</v>
      </c>
      <c r="H440" s="85">
        <f>STATS1003B!H441/1000</f>
        <v>1795.68715</v>
      </c>
      <c r="I440" s="85">
        <f>STATS1003B!I441/1000</f>
        <v>0</v>
      </c>
      <c r="J440" s="85">
        <f>STATS1003B!J441/1000</f>
        <v>0</v>
      </c>
      <c r="K440" s="85">
        <f>STATS1003B!K441/1000</f>
        <v>0</v>
      </c>
      <c r="L440" s="85">
        <f>STATS1003B!L441/1000</f>
        <v>0</v>
      </c>
      <c r="M440" s="85">
        <f>STATS1003B!M441/1000</f>
        <v>1795.68715</v>
      </c>
      <c r="N440" s="85">
        <f>STATS1003B!N441/1000</f>
        <v>0</v>
      </c>
      <c r="O440" s="85">
        <f>STATS1003B!O441/1000</f>
        <v>0</v>
      </c>
      <c r="P440" s="85">
        <f>STATS1003B!P441/1000</f>
        <v>0</v>
      </c>
      <c r="Q440" s="85">
        <f>STATS1003B!Q441/1000</f>
        <v>0</v>
      </c>
      <c r="R440" s="85">
        <f>STATS1003B!R441/1000</f>
        <v>0</v>
      </c>
      <c r="S440" s="85">
        <f>STATS1003B!S441/1000</f>
        <v>0</v>
      </c>
      <c r="T440" s="85">
        <f>STATS1003B!T441/1000</f>
        <v>0</v>
      </c>
      <c r="U440" s="85">
        <f>STATS1003B!U441/1000</f>
        <v>0</v>
      </c>
      <c r="V440" s="85">
        <f>STATS1003B!V441/1000</f>
        <v>1795.68715</v>
      </c>
      <c r="W440" s="85">
        <f>STATS1003B!W441/1000</f>
        <v>0</v>
      </c>
      <c r="X440" s="85">
        <f>STATS1003B!X441/1000</f>
        <v>1795.68715</v>
      </c>
      <c r="Y440" s="85">
        <f>STATS1003B!Y441/1000</f>
        <v>0</v>
      </c>
      <c r="Z440" s="85">
        <f>STATS1003B!Z441/1000</f>
        <v>0</v>
      </c>
      <c r="AA440" s="69">
        <f>STATS1003B!AA441/1000</f>
        <v>1795.68715</v>
      </c>
      <c r="AB440" s="69">
        <f>STATS1003B!AB441/1000</f>
        <v>0</v>
      </c>
    </row>
    <row r="441" spans="1:28" hidden="1" x14ac:dyDescent="0.3">
      <c r="A441" s="117"/>
      <c r="C441" s="71" t="s">
        <v>145</v>
      </c>
      <c r="E441" s="85">
        <f>STATS1003B!E442/1000</f>
        <v>629.35645</v>
      </c>
      <c r="F441" s="85">
        <f>STATS1003B!F442/1000</f>
        <v>629.35645</v>
      </c>
      <c r="G441" s="85">
        <f>STATS1003B!G442/1000</f>
        <v>0</v>
      </c>
      <c r="H441" s="85">
        <f>STATS1003B!H442/1000</f>
        <v>629.35645</v>
      </c>
      <c r="I441" s="85">
        <f>STATS1003B!I442/1000</f>
        <v>0</v>
      </c>
      <c r="J441" s="85">
        <f>STATS1003B!J442/1000</f>
        <v>0</v>
      </c>
      <c r="K441" s="85">
        <f>STATS1003B!K442/1000</f>
        <v>0</v>
      </c>
      <c r="L441" s="85">
        <f>STATS1003B!L442/1000</f>
        <v>0</v>
      </c>
      <c r="M441" s="85">
        <f>STATS1003B!M442/1000</f>
        <v>629.35645</v>
      </c>
      <c r="N441" s="85">
        <f>STATS1003B!N442/1000</f>
        <v>0</v>
      </c>
      <c r="O441" s="85">
        <f>STATS1003B!O442/1000</f>
        <v>0</v>
      </c>
      <c r="P441" s="85">
        <f>STATS1003B!P442/1000</f>
        <v>0</v>
      </c>
      <c r="Q441" s="85">
        <f>STATS1003B!Q442/1000</f>
        <v>0</v>
      </c>
      <c r="R441" s="85">
        <f>STATS1003B!R442/1000</f>
        <v>0</v>
      </c>
      <c r="S441" s="85">
        <f>STATS1003B!S442/1000</f>
        <v>0</v>
      </c>
      <c r="T441" s="85">
        <f>STATS1003B!T442/1000</f>
        <v>0</v>
      </c>
      <c r="U441" s="85">
        <f>STATS1003B!U442/1000</f>
        <v>0</v>
      </c>
      <c r="V441" s="85">
        <f>STATS1003B!V442/1000</f>
        <v>629.35645</v>
      </c>
      <c r="W441" s="85">
        <f>STATS1003B!W442/1000</f>
        <v>0</v>
      </c>
      <c r="X441" s="85">
        <f>STATS1003B!X442/1000</f>
        <v>629.35645</v>
      </c>
      <c r="Y441" s="85">
        <f>STATS1003B!Y442/1000</f>
        <v>0</v>
      </c>
      <c r="Z441" s="85">
        <f>STATS1003B!Z442/1000</f>
        <v>0</v>
      </c>
      <c r="AA441" s="69">
        <f>STATS1003B!AA442/1000</f>
        <v>629.35645</v>
      </c>
      <c r="AB441" s="69">
        <f>STATS1003B!AB442/1000</f>
        <v>0</v>
      </c>
    </row>
    <row r="442" spans="1:28" hidden="1" x14ac:dyDescent="0.3">
      <c r="A442" s="117"/>
      <c r="C442" s="71" t="s">
        <v>146</v>
      </c>
      <c r="E442" s="85">
        <f>STATS1003B!E443/1000</f>
        <v>1335.8005900000001</v>
      </c>
      <c r="F442" s="85">
        <f>STATS1003B!F443/1000</f>
        <v>1335.8005900000001</v>
      </c>
      <c r="G442" s="85">
        <f>STATS1003B!G443/1000</f>
        <v>0</v>
      </c>
      <c r="H442" s="85">
        <f>STATS1003B!H443/1000</f>
        <v>1335.8005900000001</v>
      </c>
      <c r="I442" s="85">
        <f>STATS1003B!I443/1000</f>
        <v>0</v>
      </c>
      <c r="J442" s="85">
        <f>STATS1003B!J443/1000</f>
        <v>0</v>
      </c>
      <c r="K442" s="85">
        <f>STATS1003B!K443/1000</f>
        <v>0</v>
      </c>
      <c r="L442" s="85">
        <f>STATS1003B!L443/1000</f>
        <v>0</v>
      </c>
      <c r="M442" s="85">
        <f>STATS1003B!M443/1000</f>
        <v>1335.8005900000001</v>
      </c>
      <c r="N442" s="85">
        <f>STATS1003B!N443/1000</f>
        <v>0</v>
      </c>
      <c r="O442" s="85">
        <f>STATS1003B!O443/1000</f>
        <v>0</v>
      </c>
      <c r="P442" s="85">
        <f>STATS1003B!P443/1000</f>
        <v>0</v>
      </c>
      <c r="Q442" s="85">
        <f>STATS1003B!Q443/1000</f>
        <v>0</v>
      </c>
      <c r="R442" s="85">
        <f>STATS1003B!R443/1000</f>
        <v>0</v>
      </c>
      <c r="S442" s="85">
        <f>STATS1003B!S443/1000</f>
        <v>0</v>
      </c>
      <c r="T442" s="85">
        <f>STATS1003B!T443/1000</f>
        <v>0</v>
      </c>
      <c r="U442" s="85">
        <f>STATS1003B!U443/1000</f>
        <v>0</v>
      </c>
      <c r="V442" s="85">
        <f>STATS1003B!V443/1000</f>
        <v>1335.8005900000001</v>
      </c>
      <c r="W442" s="85">
        <f>STATS1003B!W443/1000</f>
        <v>0</v>
      </c>
      <c r="X442" s="85">
        <f>STATS1003B!X443/1000</f>
        <v>1335.8005900000001</v>
      </c>
      <c r="Y442" s="85">
        <f>STATS1003B!Y443/1000</f>
        <v>0</v>
      </c>
      <c r="Z442" s="85">
        <f>STATS1003B!Z443/1000</f>
        <v>0</v>
      </c>
      <c r="AA442" s="69">
        <f>STATS1003B!AA443/1000</f>
        <v>1335.8005900000001</v>
      </c>
      <c r="AB442" s="69">
        <f>STATS1003B!AB443/1000</f>
        <v>0</v>
      </c>
    </row>
    <row r="443" spans="1:28" hidden="1" x14ac:dyDescent="0.3">
      <c r="A443" s="117"/>
      <c r="C443" s="71" t="s">
        <v>147</v>
      </c>
      <c r="E443" s="85">
        <f>STATS1003B!E444/1000</f>
        <v>262.08</v>
      </c>
      <c r="F443" s="85">
        <f>STATS1003B!F444/1000</f>
        <v>0</v>
      </c>
      <c r="G443" s="85">
        <f>STATS1003B!G444/1000</f>
        <v>0</v>
      </c>
      <c r="H443" s="85">
        <f>STATS1003B!H444/1000</f>
        <v>0</v>
      </c>
      <c r="I443" s="85">
        <f>STATS1003B!I444/1000</f>
        <v>0</v>
      </c>
      <c r="J443" s="85">
        <f>STATS1003B!J444/1000</f>
        <v>0</v>
      </c>
      <c r="K443" s="85">
        <f>STATS1003B!K444/1000</f>
        <v>0</v>
      </c>
      <c r="L443" s="85">
        <f>STATS1003B!L444/1000</f>
        <v>0</v>
      </c>
      <c r="M443" s="85">
        <f>STATS1003B!M444/1000</f>
        <v>0</v>
      </c>
      <c r="N443" s="85">
        <f>STATS1003B!N444/1000</f>
        <v>262.08</v>
      </c>
      <c r="O443" s="85">
        <f>STATS1003B!O444/1000</f>
        <v>0</v>
      </c>
      <c r="P443" s="85">
        <f>STATS1003B!P444/1000</f>
        <v>262.08</v>
      </c>
      <c r="Q443" s="85">
        <f>STATS1003B!Q444/1000</f>
        <v>0</v>
      </c>
      <c r="R443" s="85">
        <f>STATS1003B!R444/1000</f>
        <v>0</v>
      </c>
      <c r="S443" s="85">
        <f>STATS1003B!S444/1000</f>
        <v>0</v>
      </c>
      <c r="T443" s="85">
        <f>STATS1003B!T444/1000</f>
        <v>0</v>
      </c>
      <c r="U443" s="85">
        <f>STATS1003B!U444/1000</f>
        <v>262.08</v>
      </c>
      <c r="V443" s="85">
        <f>STATS1003B!V444/1000</f>
        <v>262.08</v>
      </c>
      <c r="W443" s="85">
        <f>STATS1003B!W444/1000</f>
        <v>0</v>
      </c>
      <c r="X443" s="85">
        <f>STATS1003B!X444/1000</f>
        <v>262.08</v>
      </c>
      <c r="Y443" s="85">
        <f>STATS1003B!Y444/1000</f>
        <v>0</v>
      </c>
      <c r="Z443" s="85">
        <f>STATS1003B!Z444/1000</f>
        <v>0</v>
      </c>
      <c r="AA443" s="69">
        <f>STATS1003B!AA444/1000</f>
        <v>262.08</v>
      </c>
      <c r="AB443" s="69">
        <f>STATS1003B!AB444/1000</f>
        <v>0</v>
      </c>
    </row>
    <row r="444" spans="1:28" hidden="1" x14ac:dyDescent="0.3">
      <c r="A444" s="117"/>
      <c r="C444" s="71" t="s">
        <v>109</v>
      </c>
      <c r="E444" s="85">
        <f>STATS1003B!E445/1000</f>
        <v>5083.5182199999999</v>
      </c>
      <c r="F444" s="85">
        <f>STATS1003B!F445/1000</f>
        <v>5083.5182199999999</v>
      </c>
      <c r="G444" s="85">
        <f>STATS1003B!G445/1000</f>
        <v>0</v>
      </c>
      <c r="H444" s="85">
        <f>STATS1003B!H445/1000</f>
        <v>5083.5182199999999</v>
      </c>
      <c r="I444" s="85">
        <f>STATS1003B!I445/1000</f>
        <v>0</v>
      </c>
      <c r="J444" s="85">
        <f>STATS1003B!J445/1000</f>
        <v>0</v>
      </c>
      <c r="K444" s="85">
        <f>STATS1003B!K445/1000</f>
        <v>0</v>
      </c>
      <c r="L444" s="85">
        <f>STATS1003B!L445/1000</f>
        <v>0</v>
      </c>
      <c r="M444" s="85">
        <f>STATS1003B!M445/1000</f>
        <v>5083.5182199999999</v>
      </c>
      <c r="N444" s="85">
        <f>STATS1003B!N445/1000</f>
        <v>0</v>
      </c>
      <c r="O444" s="85">
        <f>STATS1003B!O445/1000</f>
        <v>0</v>
      </c>
      <c r="P444" s="85">
        <f>STATS1003B!P445/1000</f>
        <v>0</v>
      </c>
      <c r="Q444" s="85">
        <f>STATS1003B!Q445/1000</f>
        <v>0</v>
      </c>
      <c r="R444" s="85">
        <f>STATS1003B!R445/1000</f>
        <v>0</v>
      </c>
      <c r="S444" s="85">
        <f>STATS1003B!S445/1000</f>
        <v>0</v>
      </c>
      <c r="T444" s="85">
        <f>STATS1003B!T445/1000</f>
        <v>0</v>
      </c>
      <c r="U444" s="85">
        <f>STATS1003B!U445/1000</f>
        <v>0</v>
      </c>
      <c r="V444" s="85">
        <f>STATS1003B!V445/1000</f>
        <v>5083.5182199999999</v>
      </c>
      <c r="W444" s="85">
        <f>STATS1003B!W445/1000</f>
        <v>0</v>
      </c>
      <c r="X444" s="85">
        <f>STATS1003B!X445/1000</f>
        <v>5083.5182199999999</v>
      </c>
      <c r="Y444" s="85">
        <f>STATS1003B!Y445/1000</f>
        <v>0</v>
      </c>
      <c r="Z444" s="85">
        <f>STATS1003B!Z445/1000</f>
        <v>0</v>
      </c>
      <c r="AA444" s="69">
        <f>STATS1003B!AA445/1000</f>
        <v>5083.5182199999999</v>
      </c>
      <c r="AB444" s="69">
        <f>STATS1003B!AB445/1000</f>
        <v>0</v>
      </c>
    </row>
    <row r="445" spans="1:28" hidden="1" x14ac:dyDescent="0.3">
      <c r="A445" s="117"/>
      <c r="E445" s="86" t="s">
        <v>29</v>
      </c>
      <c r="F445" s="86" t="s">
        <v>29</v>
      </c>
      <c r="G445" s="86" t="s">
        <v>29</v>
      </c>
      <c r="H445" s="86" t="s">
        <v>29</v>
      </c>
      <c r="I445" s="86" t="s">
        <v>29</v>
      </c>
      <c r="J445" s="86" t="s">
        <v>29</v>
      </c>
      <c r="K445" s="86" t="s">
        <v>29</v>
      </c>
      <c r="L445" s="86" t="s">
        <v>29</v>
      </c>
      <c r="M445" s="86" t="s">
        <v>29</v>
      </c>
      <c r="N445" s="86" t="s">
        <v>29</v>
      </c>
      <c r="O445" s="86" t="s">
        <v>29</v>
      </c>
      <c r="P445" s="86" t="s">
        <v>29</v>
      </c>
      <c r="Q445" s="86" t="s">
        <v>29</v>
      </c>
      <c r="R445" s="86" t="s">
        <v>29</v>
      </c>
      <c r="S445" s="86" t="s">
        <v>29</v>
      </c>
      <c r="T445" s="86" t="s">
        <v>29</v>
      </c>
      <c r="U445" s="86" t="s">
        <v>29</v>
      </c>
      <c r="V445" s="86" t="s">
        <v>29</v>
      </c>
      <c r="W445" s="86" t="s">
        <v>29</v>
      </c>
      <c r="X445" s="86" t="s">
        <v>29</v>
      </c>
      <c r="Y445" s="86" t="s">
        <v>29</v>
      </c>
      <c r="Z445" s="86" t="s">
        <v>29</v>
      </c>
      <c r="AA445" s="115" t="s">
        <v>29</v>
      </c>
      <c r="AB445" s="115" t="s">
        <v>29</v>
      </c>
    </row>
    <row r="446" spans="1:28" x14ac:dyDescent="0.3">
      <c r="A446" s="116" t="s">
        <v>952</v>
      </c>
      <c r="B446" s="71" t="s">
        <v>135</v>
      </c>
      <c r="E446" s="85">
        <f>122118969.49/1000</f>
        <v>122118.96948999999</v>
      </c>
      <c r="F446" s="85">
        <f>SUM(F426:F444)</f>
        <v>41646.480869999992</v>
      </c>
      <c r="G446" s="85">
        <f>SUM(G426:G444)</f>
        <v>0</v>
      </c>
      <c r="H446" s="85">
        <f>114880628.25/1000</f>
        <v>114880.62824999999</v>
      </c>
      <c r="I446" s="85">
        <f t="shared" ref="I446:O446" si="47">SUM(I426:I444)</f>
        <v>0</v>
      </c>
      <c r="J446" s="85">
        <f t="shared" si="47"/>
        <v>0</v>
      </c>
      <c r="K446" s="85">
        <f t="shared" si="47"/>
        <v>0</v>
      </c>
      <c r="L446" s="85">
        <f t="shared" si="47"/>
        <v>0</v>
      </c>
      <c r="M446" s="85">
        <f t="shared" si="47"/>
        <v>41646.480869999992</v>
      </c>
      <c r="N446" s="85">
        <f t="shared" si="47"/>
        <v>7238.3412399999997</v>
      </c>
      <c r="O446" s="85">
        <f t="shared" si="47"/>
        <v>0</v>
      </c>
      <c r="P446" s="85">
        <f>7238341/1000</f>
        <v>7238.3410000000003</v>
      </c>
      <c r="Q446" s="85">
        <f t="shared" ref="Q446:W446" si="48">SUM(Q426:Q444)</f>
        <v>0</v>
      </c>
      <c r="R446" s="85">
        <f t="shared" si="48"/>
        <v>0</v>
      </c>
      <c r="S446" s="85">
        <f t="shared" si="48"/>
        <v>0</v>
      </c>
      <c r="T446" s="85">
        <f t="shared" si="48"/>
        <v>0</v>
      </c>
      <c r="U446" s="85">
        <f t="shared" si="48"/>
        <v>7238.3412399999997</v>
      </c>
      <c r="V446" s="85">
        <f t="shared" si="48"/>
        <v>48884.822110000001</v>
      </c>
      <c r="W446" s="85">
        <f t="shared" si="48"/>
        <v>0</v>
      </c>
      <c r="X446" s="85">
        <f t="shared" ref="X446:X509" si="49">+H446+P446</f>
        <v>122118.96924999999</v>
      </c>
      <c r="Y446" s="85">
        <f>SUM(Y426:Y444)</f>
        <v>0</v>
      </c>
      <c r="Z446" s="85">
        <f>+E446-X446</f>
        <v>2.3999999393709004E-4</v>
      </c>
      <c r="AA446" s="72">
        <f>SUM(AA426:AA444)</f>
        <v>48884.822110000001</v>
      </c>
      <c r="AB446" s="72">
        <f>SUM(AB426:AB444)</f>
        <v>0</v>
      </c>
    </row>
    <row r="447" spans="1:28" hidden="1" x14ac:dyDescent="0.3">
      <c r="A447" s="117"/>
      <c r="E447" s="86" t="s">
        <v>29</v>
      </c>
      <c r="F447" s="86" t="s">
        <v>29</v>
      </c>
      <c r="G447" s="86" t="s">
        <v>29</v>
      </c>
      <c r="H447" s="86" t="s">
        <v>29</v>
      </c>
      <c r="I447" s="86" t="s">
        <v>29</v>
      </c>
      <c r="J447" s="86" t="s">
        <v>29</v>
      </c>
      <c r="K447" s="86" t="s">
        <v>29</v>
      </c>
      <c r="L447" s="86" t="s">
        <v>29</v>
      </c>
      <c r="M447" s="86" t="s">
        <v>29</v>
      </c>
      <c r="N447" s="86" t="s">
        <v>29</v>
      </c>
      <c r="O447" s="86" t="s">
        <v>29</v>
      </c>
      <c r="P447" s="86" t="s">
        <v>29</v>
      </c>
      <c r="Q447" s="86" t="s">
        <v>29</v>
      </c>
      <c r="R447" s="86" t="s">
        <v>29</v>
      </c>
      <c r="S447" s="86" t="s">
        <v>29</v>
      </c>
      <c r="T447" s="86" t="s">
        <v>29</v>
      </c>
      <c r="U447" s="86" t="s">
        <v>29</v>
      </c>
      <c r="V447" s="86" t="s">
        <v>29</v>
      </c>
      <c r="W447" s="86" t="s">
        <v>29</v>
      </c>
      <c r="X447" s="85" t="e">
        <f t="shared" si="49"/>
        <v>#VALUE!</v>
      </c>
      <c r="Y447" s="86" t="s">
        <v>29</v>
      </c>
      <c r="Z447" s="86" t="s">
        <v>29</v>
      </c>
      <c r="AA447" s="115" t="s">
        <v>29</v>
      </c>
      <c r="AB447" s="115" t="s">
        <v>29</v>
      </c>
    </row>
    <row r="448" spans="1:28" hidden="1" x14ac:dyDescent="0.3">
      <c r="A448" s="105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5">
        <f t="shared" si="49"/>
        <v>0</v>
      </c>
      <c r="Y448" s="84"/>
      <c r="Z448" s="84"/>
      <c r="AA448" s="118"/>
    </row>
    <row r="449" spans="1:28" hidden="1" x14ac:dyDescent="0.3">
      <c r="A449" s="117"/>
      <c r="C449" s="68" t="s">
        <v>149</v>
      </c>
      <c r="D449" s="88" t="s">
        <v>150</v>
      </c>
      <c r="E449" s="85">
        <f>STATS1003B!E450/1000</f>
        <v>951.05426999999997</v>
      </c>
      <c r="F449" s="85">
        <f>STATS1003B!F450/1000</f>
        <v>0</v>
      </c>
      <c r="G449" s="85">
        <f>STATS1003B!G450/1000</f>
        <v>0</v>
      </c>
      <c r="H449" s="85">
        <f>STATS1003B!H450/1000</f>
        <v>0</v>
      </c>
      <c r="I449" s="85">
        <f>STATS1003B!I450/1000</f>
        <v>0</v>
      </c>
      <c r="J449" s="85">
        <f>STATS1003B!J450/1000</f>
        <v>0</v>
      </c>
      <c r="K449" s="85">
        <f>STATS1003B!K450/1000</f>
        <v>0</v>
      </c>
      <c r="L449" s="85">
        <f>STATS1003B!L450/1000</f>
        <v>0</v>
      </c>
      <c r="M449" s="85">
        <f>STATS1003B!M450/1000</f>
        <v>0</v>
      </c>
      <c r="N449" s="85">
        <f>STATS1003B!N450/1000</f>
        <v>635.13</v>
      </c>
      <c r="O449" s="85">
        <f>STATS1003B!O450/1000</f>
        <v>0</v>
      </c>
      <c r="P449" s="85">
        <f>STATS1003B!P450/1000</f>
        <v>635.13</v>
      </c>
      <c r="Q449" s="85">
        <f>STATS1003B!Q450/1000</f>
        <v>0</v>
      </c>
      <c r="R449" s="85">
        <f>STATS1003B!R450/1000</f>
        <v>0</v>
      </c>
      <c r="S449" s="85">
        <f>STATS1003B!S450/1000</f>
        <v>0</v>
      </c>
      <c r="T449" s="85">
        <f>STATS1003B!T450/1000</f>
        <v>0</v>
      </c>
      <c r="U449" s="85">
        <f>STATS1003B!U450/1000</f>
        <v>635.13</v>
      </c>
      <c r="V449" s="85">
        <f>STATS1003B!V450/1000</f>
        <v>635.13</v>
      </c>
      <c r="W449" s="85">
        <f>STATS1003B!W450/1000</f>
        <v>315.92427000000004</v>
      </c>
      <c r="X449" s="85">
        <f t="shared" si="49"/>
        <v>635.13</v>
      </c>
      <c r="Y449" s="85">
        <f>STATS1003B!Y450/1000</f>
        <v>0</v>
      </c>
      <c r="Z449" s="85">
        <f>STATS1003B!Z450/1000</f>
        <v>315.92427000000004</v>
      </c>
      <c r="AA449" s="69">
        <f>STATS1003B!AA450/1000</f>
        <v>635.13</v>
      </c>
      <c r="AB449" s="69">
        <f>STATS1003B!AB450/1000</f>
        <v>315.92427000000004</v>
      </c>
    </row>
    <row r="450" spans="1:28" hidden="1" x14ac:dyDescent="0.3">
      <c r="A450" s="117"/>
      <c r="C450" s="68" t="s">
        <v>151</v>
      </c>
      <c r="D450" s="88" t="s">
        <v>150</v>
      </c>
      <c r="E450" s="85">
        <f>STATS1003B!E451/1000</f>
        <v>10375.421</v>
      </c>
      <c r="F450" s="85">
        <f>STATS1003B!F451/1000</f>
        <v>7824.3192300000001</v>
      </c>
      <c r="G450" s="85">
        <f>STATS1003B!G451/1000</f>
        <v>0</v>
      </c>
      <c r="H450" s="85">
        <f>STATS1003B!H451/1000</f>
        <v>7824.3192300000001</v>
      </c>
      <c r="I450" s="85">
        <f>STATS1003B!I451/1000</f>
        <v>0</v>
      </c>
      <c r="J450" s="85">
        <f>STATS1003B!J451/1000</f>
        <v>0</v>
      </c>
      <c r="K450" s="85">
        <f>STATS1003B!K451/1000</f>
        <v>0</v>
      </c>
      <c r="L450" s="85">
        <f>STATS1003B!L451/1000</f>
        <v>0</v>
      </c>
      <c r="M450" s="85">
        <f>STATS1003B!M451/1000</f>
        <v>7824.3192300000001</v>
      </c>
      <c r="N450" s="85">
        <f>STATS1003B!N451/1000</f>
        <v>0</v>
      </c>
      <c r="O450" s="85">
        <f>STATS1003B!O451/1000</f>
        <v>0</v>
      </c>
      <c r="P450" s="85">
        <f>STATS1003B!P451/1000</f>
        <v>0</v>
      </c>
      <c r="Q450" s="85">
        <f>STATS1003B!Q451/1000</f>
        <v>0</v>
      </c>
      <c r="R450" s="85">
        <f>STATS1003B!R451/1000</f>
        <v>0</v>
      </c>
      <c r="S450" s="85">
        <f>STATS1003B!S451/1000</f>
        <v>0</v>
      </c>
      <c r="T450" s="85">
        <f>STATS1003B!T451/1000</f>
        <v>0</v>
      </c>
      <c r="U450" s="85">
        <f>STATS1003B!U451/1000</f>
        <v>0</v>
      </c>
      <c r="V450" s="85">
        <f>STATS1003B!V451/1000</f>
        <v>7824.3192300000001</v>
      </c>
      <c r="W450" s="85">
        <f>STATS1003B!W451/1000</f>
        <v>2551.1017699999998</v>
      </c>
      <c r="X450" s="85">
        <f t="shared" si="49"/>
        <v>7824.3192300000001</v>
      </c>
      <c r="Y450" s="85">
        <f>STATS1003B!Y451/1000</f>
        <v>0</v>
      </c>
      <c r="Z450" s="85">
        <f>STATS1003B!Z451/1000</f>
        <v>2551.1017699999998</v>
      </c>
      <c r="AA450" s="69">
        <f>STATS1003B!AA451/1000</f>
        <v>7824.3192300000001</v>
      </c>
      <c r="AB450" s="69">
        <f>STATS1003B!AB451/1000</f>
        <v>2551.1017699999998</v>
      </c>
    </row>
    <row r="451" spans="1:28" hidden="1" x14ac:dyDescent="0.3">
      <c r="A451" s="117"/>
      <c r="C451" s="68" t="s">
        <v>55</v>
      </c>
      <c r="D451" s="145" t="s">
        <v>152</v>
      </c>
      <c r="E451" s="85">
        <f>STATS1003B!E452/1000</f>
        <v>13146.1325</v>
      </c>
      <c r="F451" s="85">
        <f>STATS1003B!F452/1000</f>
        <v>0</v>
      </c>
      <c r="G451" s="85">
        <f>STATS1003B!G452/1000</f>
        <v>0</v>
      </c>
      <c r="H451" s="85">
        <f>STATS1003B!H452/1000</f>
        <v>0</v>
      </c>
      <c r="I451" s="85">
        <f>STATS1003B!I452/1000</f>
        <v>0</v>
      </c>
      <c r="J451" s="85">
        <f>STATS1003B!J452/1000</f>
        <v>0</v>
      </c>
      <c r="K451" s="85">
        <f>STATS1003B!K452/1000</f>
        <v>0</v>
      </c>
      <c r="L451" s="85">
        <f>STATS1003B!L452/1000</f>
        <v>0</v>
      </c>
      <c r="M451" s="85">
        <f>STATS1003B!M452/1000</f>
        <v>0</v>
      </c>
      <c r="N451" s="85">
        <f>STATS1003B!N452/1000</f>
        <v>13146.1325</v>
      </c>
      <c r="O451" s="85">
        <f>STATS1003B!O452/1000</f>
        <v>0</v>
      </c>
      <c r="P451" s="85">
        <f>STATS1003B!P452/1000</f>
        <v>13146.1325</v>
      </c>
      <c r="Q451" s="85">
        <f>STATS1003B!Q452/1000</f>
        <v>0</v>
      </c>
      <c r="R451" s="85">
        <f>STATS1003B!R452/1000</f>
        <v>0</v>
      </c>
      <c r="S451" s="85">
        <f>STATS1003B!S452/1000</f>
        <v>0</v>
      </c>
      <c r="T451" s="85">
        <f>STATS1003B!T452/1000</f>
        <v>0</v>
      </c>
      <c r="U451" s="85">
        <f>STATS1003B!U452/1000</f>
        <v>13146.1325</v>
      </c>
      <c r="V451" s="85">
        <f>STATS1003B!V452/1000</f>
        <v>13146.1325</v>
      </c>
      <c r="W451" s="85">
        <f>STATS1003B!W452/1000</f>
        <v>0</v>
      </c>
      <c r="X451" s="85">
        <f t="shared" si="49"/>
        <v>13146.1325</v>
      </c>
      <c r="Y451" s="85">
        <f>STATS1003B!Y452/1000</f>
        <v>0</v>
      </c>
      <c r="Z451" s="85">
        <f>STATS1003B!Z452/1000</f>
        <v>0</v>
      </c>
      <c r="AA451" s="69">
        <f>STATS1003B!AA452/1000</f>
        <v>13146.1325</v>
      </c>
      <c r="AB451" s="69">
        <f>STATS1003B!AB452/1000</f>
        <v>0</v>
      </c>
    </row>
    <row r="452" spans="1:28" hidden="1" x14ac:dyDescent="0.3">
      <c r="A452" s="117"/>
      <c r="C452" s="68" t="s">
        <v>53</v>
      </c>
      <c r="D452" s="145" t="s">
        <v>68</v>
      </c>
      <c r="E452" s="85">
        <f>STATS1003B!E453/1000</f>
        <v>2306.1060000000002</v>
      </c>
      <c r="F452" s="85">
        <f>STATS1003B!F453/1000</f>
        <v>0</v>
      </c>
      <c r="G452" s="85">
        <f>STATS1003B!G453/1000</f>
        <v>0</v>
      </c>
      <c r="H452" s="85">
        <f>STATS1003B!H453/1000</f>
        <v>0</v>
      </c>
      <c r="I452" s="85">
        <f>STATS1003B!I453/1000</f>
        <v>0</v>
      </c>
      <c r="J452" s="85">
        <f>STATS1003B!J453/1000</f>
        <v>0</v>
      </c>
      <c r="K452" s="85">
        <f>STATS1003B!K453/1000</f>
        <v>0</v>
      </c>
      <c r="L452" s="85">
        <f>STATS1003B!L453/1000</f>
        <v>0</v>
      </c>
      <c r="M452" s="85">
        <f>STATS1003B!M453/1000</f>
        <v>0</v>
      </c>
      <c r="N452" s="85">
        <f>STATS1003B!N453/1000</f>
        <v>2306.1060000000002</v>
      </c>
      <c r="O452" s="85">
        <f>STATS1003B!O453/1000</f>
        <v>0</v>
      </c>
      <c r="P452" s="85">
        <f>STATS1003B!P453/1000</f>
        <v>2306.1060000000002</v>
      </c>
      <c r="Q452" s="85">
        <f>STATS1003B!Q453/1000</f>
        <v>0</v>
      </c>
      <c r="R452" s="85">
        <f>STATS1003B!R453/1000</f>
        <v>0</v>
      </c>
      <c r="S452" s="85">
        <f>STATS1003B!S453/1000</f>
        <v>0</v>
      </c>
      <c r="T452" s="85">
        <f>STATS1003B!T453/1000</f>
        <v>0</v>
      </c>
      <c r="U452" s="85">
        <f>STATS1003B!U453/1000</f>
        <v>2306.1060000000002</v>
      </c>
      <c r="V452" s="85">
        <f>STATS1003B!V453/1000</f>
        <v>2306.1060000000002</v>
      </c>
      <c r="W452" s="85">
        <f>STATS1003B!W453/1000</f>
        <v>0</v>
      </c>
      <c r="X452" s="85">
        <f t="shared" si="49"/>
        <v>2306.1060000000002</v>
      </c>
      <c r="Y452" s="85">
        <f>STATS1003B!Y453/1000</f>
        <v>0</v>
      </c>
      <c r="Z452" s="85">
        <f>STATS1003B!Z453/1000</f>
        <v>0</v>
      </c>
      <c r="AA452" s="69">
        <f>STATS1003B!AA453/1000</f>
        <v>2306.1060000000002</v>
      </c>
      <c r="AB452" s="69">
        <f>STATS1003B!AB453/1000</f>
        <v>0</v>
      </c>
    </row>
    <row r="453" spans="1:28" hidden="1" x14ac:dyDescent="0.3">
      <c r="A453" s="117"/>
      <c r="C453" s="68" t="s">
        <v>153</v>
      </c>
      <c r="D453" s="145" t="s">
        <v>128</v>
      </c>
      <c r="E453" s="85">
        <f>STATS1003B!E454/1000</f>
        <v>4915.9385199999997</v>
      </c>
      <c r="F453" s="85">
        <f>STATS1003B!F454/1000</f>
        <v>4915.9385199999997</v>
      </c>
      <c r="G453" s="85">
        <f>STATS1003B!G454/1000</f>
        <v>0</v>
      </c>
      <c r="H453" s="85">
        <f>STATS1003B!H454/1000</f>
        <v>4915.9385199999997</v>
      </c>
      <c r="I453" s="85">
        <f>STATS1003B!I454/1000</f>
        <v>0</v>
      </c>
      <c r="J453" s="85">
        <f>STATS1003B!J454/1000</f>
        <v>0</v>
      </c>
      <c r="K453" s="85">
        <f>STATS1003B!K454/1000</f>
        <v>0</v>
      </c>
      <c r="L453" s="85">
        <f>STATS1003B!L454/1000</f>
        <v>0</v>
      </c>
      <c r="M453" s="85">
        <f>STATS1003B!M454/1000</f>
        <v>4915.9385199999997</v>
      </c>
      <c r="N453" s="85">
        <f>STATS1003B!N454/1000</f>
        <v>0</v>
      </c>
      <c r="O453" s="85">
        <f>STATS1003B!O454/1000</f>
        <v>0</v>
      </c>
      <c r="P453" s="85">
        <f>STATS1003B!P454/1000</f>
        <v>0</v>
      </c>
      <c r="Q453" s="85">
        <f>STATS1003B!Q454/1000</f>
        <v>0</v>
      </c>
      <c r="R453" s="85">
        <f>STATS1003B!R454/1000</f>
        <v>0</v>
      </c>
      <c r="S453" s="85">
        <f>STATS1003B!S454/1000</f>
        <v>0</v>
      </c>
      <c r="T453" s="85">
        <f>STATS1003B!T454/1000</f>
        <v>0</v>
      </c>
      <c r="U453" s="85">
        <f>STATS1003B!U454/1000</f>
        <v>0</v>
      </c>
      <c r="V453" s="85">
        <f>STATS1003B!V454/1000</f>
        <v>4915.9385199999997</v>
      </c>
      <c r="W453" s="85">
        <f>STATS1003B!W454/1000</f>
        <v>0</v>
      </c>
      <c r="X453" s="85">
        <f t="shared" si="49"/>
        <v>4915.9385199999997</v>
      </c>
      <c r="Y453" s="85">
        <f>STATS1003B!Y454/1000</f>
        <v>0</v>
      </c>
      <c r="Z453" s="85">
        <f>STATS1003B!Z454/1000</f>
        <v>0</v>
      </c>
      <c r="AA453" s="69">
        <f>STATS1003B!AA454/1000</f>
        <v>4915.9385199999997</v>
      </c>
      <c r="AB453" s="69">
        <f>STATS1003B!AB454/1000</f>
        <v>0</v>
      </c>
    </row>
    <row r="454" spans="1:28" hidden="1" x14ac:dyDescent="0.3">
      <c r="A454" s="117"/>
      <c r="C454" s="71" t="s">
        <v>109</v>
      </c>
      <c r="D454" s="88" t="s">
        <v>60</v>
      </c>
      <c r="E454" s="85">
        <f>STATS1003B!E455/1000</f>
        <v>2500</v>
      </c>
      <c r="F454" s="85">
        <f>STATS1003B!F455/1000</f>
        <v>2500</v>
      </c>
      <c r="G454" s="85">
        <f>STATS1003B!G455/1000</f>
        <v>0</v>
      </c>
      <c r="H454" s="85">
        <f>STATS1003B!H455/1000</f>
        <v>2500</v>
      </c>
      <c r="I454" s="85">
        <f>STATS1003B!I455/1000</f>
        <v>0</v>
      </c>
      <c r="J454" s="85">
        <f>STATS1003B!J455/1000</f>
        <v>0</v>
      </c>
      <c r="K454" s="85">
        <f>STATS1003B!K455/1000</f>
        <v>0</v>
      </c>
      <c r="L454" s="85">
        <f>STATS1003B!L455/1000</f>
        <v>0</v>
      </c>
      <c r="M454" s="85">
        <f>STATS1003B!M455/1000</f>
        <v>2500</v>
      </c>
      <c r="N454" s="85">
        <f>STATS1003B!N455/1000</f>
        <v>0</v>
      </c>
      <c r="O454" s="85">
        <f>STATS1003B!O455/1000</f>
        <v>0</v>
      </c>
      <c r="P454" s="85">
        <f>STATS1003B!P455/1000</f>
        <v>0</v>
      </c>
      <c r="Q454" s="85">
        <f>STATS1003B!Q455/1000</f>
        <v>0</v>
      </c>
      <c r="R454" s="85">
        <f>STATS1003B!R455/1000</f>
        <v>0</v>
      </c>
      <c r="S454" s="85">
        <f>STATS1003B!S455/1000</f>
        <v>0</v>
      </c>
      <c r="T454" s="85">
        <f>STATS1003B!T455/1000</f>
        <v>0</v>
      </c>
      <c r="U454" s="85">
        <f>STATS1003B!U455/1000</f>
        <v>0</v>
      </c>
      <c r="V454" s="85">
        <f>STATS1003B!V455/1000</f>
        <v>2500</v>
      </c>
      <c r="W454" s="85">
        <f>STATS1003B!W455/1000</f>
        <v>0</v>
      </c>
      <c r="X454" s="85">
        <f t="shared" si="49"/>
        <v>2500</v>
      </c>
      <c r="Y454" s="85">
        <f>STATS1003B!Y455/1000</f>
        <v>0</v>
      </c>
      <c r="Z454" s="85">
        <f>STATS1003B!Z455/1000</f>
        <v>0</v>
      </c>
      <c r="AA454" s="69">
        <f>STATS1003B!AA455/1000</f>
        <v>2500</v>
      </c>
      <c r="AB454" s="69">
        <f>STATS1003B!AB455/1000</f>
        <v>0</v>
      </c>
    </row>
    <row r="455" spans="1:28" hidden="1" x14ac:dyDescent="0.3">
      <c r="A455" s="117"/>
      <c r="C455" s="71" t="s">
        <v>57</v>
      </c>
      <c r="D455" s="88" t="s">
        <v>60</v>
      </c>
      <c r="E455" s="85">
        <f>STATS1003B!E456/1000</f>
        <v>1555.81</v>
      </c>
      <c r="F455" s="85">
        <f>STATS1003B!F456/1000</f>
        <v>1555.81</v>
      </c>
      <c r="G455" s="85">
        <f>STATS1003B!G456/1000</f>
        <v>0</v>
      </c>
      <c r="H455" s="85">
        <f>STATS1003B!H456/1000</f>
        <v>1555.81</v>
      </c>
      <c r="I455" s="85">
        <f>STATS1003B!I456/1000</f>
        <v>0</v>
      </c>
      <c r="J455" s="85">
        <f>STATS1003B!J456/1000</f>
        <v>0</v>
      </c>
      <c r="K455" s="85">
        <f>STATS1003B!K456/1000</f>
        <v>0</v>
      </c>
      <c r="L455" s="85">
        <f>STATS1003B!L456/1000</f>
        <v>0</v>
      </c>
      <c r="M455" s="85">
        <f>STATS1003B!M456/1000</f>
        <v>1555.81</v>
      </c>
      <c r="N455" s="85">
        <f>STATS1003B!N456/1000</f>
        <v>0</v>
      </c>
      <c r="O455" s="85">
        <f>STATS1003B!O456/1000</f>
        <v>0</v>
      </c>
      <c r="P455" s="85">
        <f>STATS1003B!P456/1000</f>
        <v>0</v>
      </c>
      <c r="Q455" s="85">
        <f>STATS1003B!Q456/1000</f>
        <v>0</v>
      </c>
      <c r="R455" s="85">
        <f>STATS1003B!R456/1000</f>
        <v>0</v>
      </c>
      <c r="S455" s="85">
        <f>STATS1003B!S456/1000</f>
        <v>0</v>
      </c>
      <c r="T455" s="85">
        <f>STATS1003B!T456/1000</f>
        <v>0</v>
      </c>
      <c r="U455" s="85">
        <f>STATS1003B!U456/1000</f>
        <v>0</v>
      </c>
      <c r="V455" s="85">
        <f>STATS1003B!V456/1000</f>
        <v>1555.81</v>
      </c>
      <c r="W455" s="85">
        <f>STATS1003B!W456/1000</f>
        <v>0</v>
      </c>
      <c r="X455" s="85">
        <f t="shared" si="49"/>
        <v>1555.81</v>
      </c>
      <c r="Y455" s="85">
        <f>STATS1003B!Y456/1000</f>
        <v>0</v>
      </c>
      <c r="Z455" s="85">
        <f>STATS1003B!Z456/1000</f>
        <v>0</v>
      </c>
      <c r="AA455" s="69">
        <f>STATS1003B!AA456/1000</f>
        <v>1555.81</v>
      </c>
      <c r="AB455" s="69">
        <f>STATS1003B!AB456/1000</f>
        <v>0</v>
      </c>
    </row>
    <row r="456" spans="1:28" hidden="1" x14ac:dyDescent="0.3">
      <c r="A456" s="117"/>
      <c r="E456" s="86" t="s">
        <v>29</v>
      </c>
      <c r="F456" s="86" t="s">
        <v>29</v>
      </c>
      <c r="G456" s="86" t="s">
        <v>29</v>
      </c>
      <c r="H456" s="86" t="s">
        <v>29</v>
      </c>
      <c r="I456" s="86" t="s">
        <v>29</v>
      </c>
      <c r="J456" s="86" t="s">
        <v>29</v>
      </c>
      <c r="K456" s="86" t="s">
        <v>29</v>
      </c>
      <c r="L456" s="86" t="s">
        <v>29</v>
      </c>
      <c r="M456" s="86" t="s">
        <v>29</v>
      </c>
      <c r="N456" s="86" t="s">
        <v>29</v>
      </c>
      <c r="O456" s="86" t="s">
        <v>29</v>
      </c>
      <c r="P456" s="86" t="s">
        <v>29</v>
      </c>
      <c r="Q456" s="86" t="s">
        <v>29</v>
      </c>
      <c r="R456" s="86" t="s">
        <v>29</v>
      </c>
      <c r="S456" s="86" t="s">
        <v>29</v>
      </c>
      <c r="T456" s="86" t="s">
        <v>29</v>
      </c>
      <c r="U456" s="86" t="s">
        <v>29</v>
      </c>
      <c r="V456" s="86" t="s">
        <v>29</v>
      </c>
      <c r="W456" s="86" t="s">
        <v>29</v>
      </c>
      <c r="X456" s="85" t="e">
        <f t="shared" si="49"/>
        <v>#VALUE!</v>
      </c>
      <c r="Y456" s="86" t="s">
        <v>29</v>
      </c>
      <c r="Z456" s="86" t="s">
        <v>29</v>
      </c>
      <c r="AA456" s="115" t="s">
        <v>29</v>
      </c>
      <c r="AB456" s="115" t="s">
        <v>29</v>
      </c>
    </row>
    <row r="457" spans="1:28" x14ac:dyDescent="0.3">
      <c r="A457" s="116" t="s">
        <v>953</v>
      </c>
      <c r="B457" s="68" t="s">
        <v>148</v>
      </c>
      <c r="E457" s="85">
        <f>85922224.95/1000</f>
        <v>85922.224950000003</v>
      </c>
      <c r="F457" s="85">
        <f>SUM(F449:F455)</f>
        <v>16796.067750000002</v>
      </c>
      <c r="G457" s="85">
        <f>SUM(G449:G455)</f>
        <v>0</v>
      </c>
      <c r="H457" s="85">
        <f>66967830.41/1000</f>
        <v>66967.830409999995</v>
      </c>
      <c r="I457" s="85">
        <f t="shared" ref="I457:O457" si="50">SUM(I449:I455)</f>
        <v>0</v>
      </c>
      <c r="J457" s="85">
        <f t="shared" si="50"/>
        <v>0</v>
      </c>
      <c r="K457" s="85">
        <f t="shared" si="50"/>
        <v>0</v>
      </c>
      <c r="L457" s="85">
        <f t="shared" si="50"/>
        <v>0</v>
      </c>
      <c r="M457" s="85">
        <f t="shared" si="50"/>
        <v>16796.067750000002</v>
      </c>
      <c r="N457" s="85">
        <f t="shared" si="50"/>
        <v>16087.368499999999</v>
      </c>
      <c r="O457" s="85">
        <f t="shared" si="50"/>
        <v>0</v>
      </c>
      <c r="P457" s="85">
        <f>16087368/1000</f>
        <v>16087.368</v>
      </c>
      <c r="Q457" s="85">
        <f t="shared" ref="Q457:W457" si="51">SUM(Q449:Q455)</f>
        <v>0</v>
      </c>
      <c r="R457" s="85">
        <f t="shared" si="51"/>
        <v>0</v>
      </c>
      <c r="S457" s="85">
        <f t="shared" si="51"/>
        <v>0</v>
      </c>
      <c r="T457" s="85">
        <f t="shared" si="51"/>
        <v>0</v>
      </c>
      <c r="U457" s="85">
        <f t="shared" si="51"/>
        <v>16087.368499999999</v>
      </c>
      <c r="V457" s="85">
        <f t="shared" si="51"/>
        <v>32883.436249999999</v>
      </c>
      <c r="W457" s="85">
        <f t="shared" si="51"/>
        <v>2867.0260399999997</v>
      </c>
      <c r="X457" s="85">
        <f t="shared" si="49"/>
        <v>83055.198409999997</v>
      </c>
      <c r="Y457" s="85">
        <f>SUM(Y449:Y455)</f>
        <v>0</v>
      </c>
      <c r="Z457" s="85">
        <f t="shared" ref="Z457:Z520" si="52">+E457-X457</f>
        <v>2867.0265400000062</v>
      </c>
      <c r="AA457" s="69">
        <f>SUM(AA449:AA455)</f>
        <v>32883.436249999999</v>
      </c>
      <c r="AB457" s="69">
        <f>SUM(AB449:AB455)</f>
        <v>2867.0260399999997</v>
      </c>
    </row>
    <row r="458" spans="1:28" hidden="1" x14ac:dyDescent="0.3">
      <c r="A458" s="117"/>
      <c r="E458" s="86" t="s">
        <v>29</v>
      </c>
      <c r="F458" s="86" t="s">
        <v>29</v>
      </c>
      <c r="G458" s="86" t="s">
        <v>29</v>
      </c>
      <c r="H458" s="86" t="s">
        <v>29</v>
      </c>
      <c r="I458" s="86" t="s">
        <v>29</v>
      </c>
      <c r="J458" s="86" t="s">
        <v>29</v>
      </c>
      <c r="K458" s="86" t="s">
        <v>29</v>
      </c>
      <c r="L458" s="86" t="s">
        <v>29</v>
      </c>
      <c r="M458" s="86" t="s">
        <v>29</v>
      </c>
      <c r="N458" s="86" t="s">
        <v>29</v>
      </c>
      <c r="O458" s="86" t="s">
        <v>29</v>
      </c>
      <c r="P458" s="86" t="s">
        <v>29</v>
      </c>
      <c r="Q458" s="86" t="s">
        <v>29</v>
      </c>
      <c r="R458" s="86" t="s">
        <v>29</v>
      </c>
      <c r="S458" s="86" t="s">
        <v>29</v>
      </c>
      <c r="T458" s="86" t="s">
        <v>29</v>
      </c>
      <c r="U458" s="86" t="s">
        <v>29</v>
      </c>
      <c r="V458" s="86" t="s">
        <v>29</v>
      </c>
      <c r="W458" s="86" t="s">
        <v>29</v>
      </c>
      <c r="X458" s="85" t="e">
        <f t="shared" si="49"/>
        <v>#VALUE!</v>
      </c>
      <c r="Y458" s="86" t="s">
        <v>29</v>
      </c>
      <c r="Z458" s="85" t="e">
        <f t="shared" si="52"/>
        <v>#VALUE!</v>
      </c>
      <c r="AA458" s="115" t="s">
        <v>29</v>
      </c>
      <c r="AB458" s="115" t="s">
        <v>29</v>
      </c>
    </row>
    <row r="459" spans="1:28" hidden="1" x14ac:dyDescent="0.3">
      <c r="A459" s="105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5">
        <f t="shared" si="49"/>
        <v>0</v>
      </c>
      <c r="Y459" s="84"/>
      <c r="Z459" s="85">
        <f t="shared" si="52"/>
        <v>0</v>
      </c>
      <c r="AA459" s="118"/>
    </row>
    <row r="460" spans="1:28" hidden="1" x14ac:dyDescent="0.3">
      <c r="A460" s="117"/>
      <c r="C460" s="68" t="s">
        <v>75</v>
      </c>
      <c r="D460" s="88" t="s">
        <v>76</v>
      </c>
      <c r="E460" s="85">
        <f>STATS1003B!E461/1000</f>
        <v>1705</v>
      </c>
      <c r="F460" s="85">
        <f>STATS1003B!F461/1000</f>
        <v>0</v>
      </c>
      <c r="G460" s="85">
        <f>STATS1003B!G461/1000</f>
        <v>0</v>
      </c>
      <c r="H460" s="85">
        <f>STATS1003B!H461/1000</f>
        <v>0</v>
      </c>
      <c r="I460" s="85">
        <f>STATS1003B!I461/1000</f>
        <v>0</v>
      </c>
      <c r="J460" s="85">
        <f>STATS1003B!J461/1000</f>
        <v>0</v>
      </c>
      <c r="K460" s="85">
        <f>STATS1003B!K461/1000</f>
        <v>0</v>
      </c>
      <c r="L460" s="85">
        <f>STATS1003B!L461/1000</f>
        <v>0</v>
      </c>
      <c r="M460" s="85">
        <f>STATS1003B!M461/1000</f>
        <v>0</v>
      </c>
      <c r="N460" s="85">
        <f>STATS1003B!N461/1000</f>
        <v>1198.1953000000001</v>
      </c>
      <c r="O460" s="85">
        <f>STATS1003B!O461/1000</f>
        <v>0</v>
      </c>
      <c r="P460" s="85">
        <f>STATS1003B!P461/1000</f>
        <v>1198.1953000000001</v>
      </c>
      <c r="Q460" s="85">
        <f>STATS1003B!Q461/1000</f>
        <v>0</v>
      </c>
      <c r="R460" s="85">
        <f>STATS1003B!R461/1000</f>
        <v>0</v>
      </c>
      <c r="S460" s="85">
        <f>STATS1003B!S461/1000</f>
        <v>0</v>
      </c>
      <c r="T460" s="85">
        <f>STATS1003B!T461/1000</f>
        <v>0</v>
      </c>
      <c r="U460" s="85">
        <f>STATS1003B!U461/1000</f>
        <v>1198.1953000000001</v>
      </c>
      <c r="V460" s="85">
        <f>STATS1003B!V461/1000</f>
        <v>1198.1953000000001</v>
      </c>
      <c r="W460" s="85">
        <f>STATS1003B!W461/1000</f>
        <v>506.80469999999997</v>
      </c>
      <c r="X460" s="85">
        <f t="shared" si="49"/>
        <v>1198.1953000000001</v>
      </c>
      <c r="Y460" s="85">
        <f>STATS1003B!Y461/1000</f>
        <v>0</v>
      </c>
      <c r="Z460" s="85">
        <f t="shared" si="52"/>
        <v>506.80469999999991</v>
      </c>
      <c r="AA460" s="69">
        <f>STATS1003B!AA461/1000</f>
        <v>1198.1953000000001</v>
      </c>
      <c r="AB460" s="69">
        <f>STATS1003B!AB461/1000</f>
        <v>506.80469999999997</v>
      </c>
    </row>
    <row r="461" spans="1:28" hidden="1" x14ac:dyDescent="0.3">
      <c r="A461" s="117"/>
      <c r="C461" s="68" t="s">
        <v>149</v>
      </c>
      <c r="D461" s="88" t="s">
        <v>150</v>
      </c>
      <c r="E461" s="85">
        <f>STATS1003B!E462/1000</f>
        <v>1095.7280000000001</v>
      </c>
      <c r="F461" s="85">
        <f>STATS1003B!F462/1000</f>
        <v>884.01800000000003</v>
      </c>
      <c r="G461" s="85">
        <f>STATS1003B!G462/1000</f>
        <v>0</v>
      </c>
      <c r="H461" s="85">
        <f>STATS1003B!H462/1000</f>
        <v>884.01800000000003</v>
      </c>
      <c r="I461" s="85">
        <f>STATS1003B!I462/1000</f>
        <v>0</v>
      </c>
      <c r="J461" s="85">
        <f>STATS1003B!J462/1000</f>
        <v>0</v>
      </c>
      <c r="K461" s="85">
        <f>STATS1003B!K462/1000</f>
        <v>0</v>
      </c>
      <c r="L461" s="85">
        <f>STATS1003B!L462/1000</f>
        <v>0</v>
      </c>
      <c r="M461" s="85">
        <f>STATS1003B!M462/1000</f>
        <v>884.01800000000003</v>
      </c>
      <c r="N461" s="85">
        <f>STATS1003B!N462/1000</f>
        <v>211.71</v>
      </c>
      <c r="O461" s="85">
        <f>STATS1003B!O462/1000</f>
        <v>0</v>
      </c>
      <c r="P461" s="85">
        <f>STATS1003B!P462/1000</f>
        <v>211.71</v>
      </c>
      <c r="Q461" s="85">
        <f>STATS1003B!Q462/1000</f>
        <v>0</v>
      </c>
      <c r="R461" s="85">
        <f>STATS1003B!R462/1000</f>
        <v>0</v>
      </c>
      <c r="S461" s="85">
        <f>STATS1003B!S462/1000</f>
        <v>0</v>
      </c>
      <c r="T461" s="85">
        <f>STATS1003B!T462/1000</f>
        <v>0</v>
      </c>
      <c r="U461" s="85">
        <f>STATS1003B!U462/1000</f>
        <v>211.71</v>
      </c>
      <c r="V461" s="85">
        <f>STATS1003B!V462/1000</f>
        <v>1095.7280000000001</v>
      </c>
      <c r="W461" s="85">
        <f>STATS1003B!W462/1000</f>
        <v>0</v>
      </c>
      <c r="X461" s="85">
        <f t="shared" si="49"/>
        <v>1095.7280000000001</v>
      </c>
      <c r="Y461" s="85">
        <f>STATS1003B!Y462/1000</f>
        <v>0</v>
      </c>
      <c r="Z461" s="85">
        <f t="shared" si="52"/>
        <v>0</v>
      </c>
      <c r="AA461" s="69">
        <f>STATS1003B!AA462/1000</f>
        <v>1095.7280000000001</v>
      </c>
      <c r="AB461" s="69">
        <f>STATS1003B!AB462/1000</f>
        <v>0</v>
      </c>
    </row>
    <row r="462" spans="1:28" hidden="1" x14ac:dyDescent="0.3">
      <c r="A462" s="117"/>
      <c r="C462" s="68" t="s">
        <v>151</v>
      </c>
      <c r="D462" s="88" t="s">
        <v>150</v>
      </c>
      <c r="E462" s="85">
        <f>STATS1003B!E463/1000</f>
        <v>28907.158940000001</v>
      </c>
      <c r="F462" s="85">
        <f>STATS1003B!F463/1000</f>
        <v>28062.330089999999</v>
      </c>
      <c r="G462" s="85">
        <f>STATS1003B!G463/1000</f>
        <v>0</v>
      </c>
      <c r="H462" s="85">
        <f>STATS1003B!H463/1000</f>
        <v>28062.330089999999</v>
      </c>
      <c r="I462" s="85">
        <f>STATS1003B!I463/1000</f>
        <v>0</v>
      </c>
      <c r="J462" s="85">
        <f>STATS1003B!J463/1000</f>
        <v>0</v>
      </c>
      <c r="K462" s="85">
        <f>STATS1003B!K463/1000</f>
        <v>0</v>
      </c>
      <c r="L462" s="85">
        <f>STATS1003B!L463/1000</f>
        <v>0</v>
      </c>
      <c r="M462" s="85">
        <f>STATS1003B!M463/1000</f>
        <v>28062.330089999999</v>
      </c>
      <c r="N462" s="85">
        <f>STATS1003B!N463/1000</f>
        <v>0</v>
      </c>
      <c r="O462" s="85">
        <f>STATS1003B!O463/1000</f>
        <v>0</v>
      </c>
      <c r="P462" s="85">
        <f>STATS1003B!P463/1000</f>
        <v>0</v>
      </c>
      <c r="Q462" s="85">
        <f>STATS1003B!Q463/1000</f>
        <v>0</v>
      </c>
      <c r="R462" s="85">
        <f>STATS1003B!R463/1000</f>
        <v>0</v>
      </c>
      <c r="S462" s="85">
        <f>STATS1003B!S463/1000</f>
        <v>0</v>
      </c>
      <c r="T462" s="85">
        <f>STATS1003B!T463/1000</f>
        <v>0</v>
      </c>
      <c r="U462" s="85">
        <f>STATS1003B!U463/1000</f>
        <v>0</v>
      </c>
      <c r="V462" s="85">
        <f>STATS1003B!V463/1000</f>
        <v>28062.330089999999</v>
      </c>
      <c r="W462" s="85">
        <f>STATS1003B!W463/1000</f>
        <v>844.82885000000147</v>
      </c>
      <c r="X462" s="85">
        <f t="shared" si="49"/>
        <v>28062.330089999999</v>
      </c>
      <c r="Y462" s="85">
        <f>STATS1003B!Y463/1000</f>
        <v>0</v>
      </c>
      <c r="Z462" s="85">
        <f t="shared" si="52"/>
        <v>844.82885000000169</v>
      </c>
      <c r="AA462" s="69">
        <f>STATS1003B!AA463/1000</f>
        <v>28062.330089999999</v>
      </c>
      <c r="AB462" s="69">
        <f>STATS1003B!AB463/1000</f>
        <v>844.82885000000147</v>
      </c>
    </row>
    <row r="463" spans="1:28" hidden="1" x14ac:dyDescent="0.3">
      <c r="A463" s="117"/>
      <c r="C463" s="68" t="s">
        <v>151</v>
      </c>
      <c r="D463" s="88" t="s">
        <v>150</v>
      </c>
      <c r="E463" s="85">
        <f>STATS1003B!E464/1000</f>
        <v>5968.1940000000004</v>
      </c>
      <c r="F463" s="85">
        <f>STATS1003B!F464/1000</f>
        <v>5968.1940000000004</v>
      </c>
      <c r="G463" s="85">
        <f>STATS1003B!G464/1000</f>
        <v>0</v>
      </c>
      <c r="H463" s="85">
        <f>STATS1003B!H464/1000</f>
        <v>5968.1940000000004</v>
      </c>
      <c r="I463" s="85">
        <f>STATS1003B!I464/1000</f>
        <v>0</v>
      </c>
      <c r="J463" s="85">
        <f>STATS1003B!J464/1000</f>
        <v>0</v>
      </c>
      <c r="K463" s="85">
        <f>STATS1003B!K464/1000</f>
        <v>0</v>
      </c>
      <c r="L463" s="85">
        <f>STATS1003B!L464/1000</f>
        <v>0</v>
      </c>
      <c r="M463" s="85">
        <f>STATS1003B!M464/1000</f>
        <v>5968.1940000000004</v>
      </c>
      <c r="N463" s="85">
        <f>STATS1003B!N464/1000</f>
        <v>0</v>
      </c>
      <c r="O463" s="85">
        <f>STATS1003B!O464/1000</f>
        <v>0</v>
      </c>
      <c r="P463" s="85">
        <f>STATS1003B!P464/1000</f>
        <v>0</v>
      </c>
      <c r="Q463" s="85">
        <f>STATS1003B!Q464/1000</f>
        <v>0</v>
      </c>
      <c r="R463" s="85">
        <f>STATS1003B!R464/1000</f>
        <v>0</v>
      </c>
      <c r="S463" s="85">
        <f>STATS1003B!S464/1000</f>
        <v>0</v>
      </c>
      <c r="T463" s="85">
        <f>STATS1003B!T464/1000</f>
        <v>0</v>
      </c>
      <c r="U463" s="85">
        <f>STATS1003B!U464/1000</f>
        <v>0</v>
      </c>
      <c r="V463" s="85">
        <f>STATS1003B!V464/1000</f>
        <v>5968.1940000000004</v>
      </c>
      <c r="W463" s="85">
        <f>STATS1003B!W464/1000</f>
        <v>0</v>
      </c>
      <c r="X463" s="85">
        <f t="shared" si="49"/>
        <v>5968.1940000000004</v>
      </c>
      <c r="Y463" s="85">
        <f>STATS1003B!Y464/1000</f>
        <v>0</v>
      </c>
      <c r="Z463" s="85">
        <f t="shared" si="52"/>
        <v>0</v>
      </c>
      <c r="AA463" s="69">
        <f>STATS1003B!AA464/1000</f>
        <v>5968.1940000000004</v>
      </c>
      <c r="AB463" s="69">
        <f>STATS1003B!AB464/1000</f>
        <v>0</v>
      </c>
    </row>
    <row r="464" spans="1:28" hidden="1" x14ac:dyDescent="0.3">
      <c r="A464" s="117"/>
      <c r="C464" s="68" t="s">
        <v>53</v>
      </c>
      <c r="D464" s="145" t="s">
        <v>68</v>
      </c>
      <c r="E464" s="85">
        <f>STATS1003B!E465/1000</f>
        <v>1953.989</v>
      </c>
      <c r="F464" s="85">
        <f>STATS1003B!F465/1000</f>
        <v>0</v>
      </c>
      <c r="G464" s="85">
        <f>STATS1003B!G465/1000</f>
        <v>0</v>
      </c>
      <c r="H464" s="85">
        <f>STATS1003B!H465/1000</f>
        <v>0</v>
      </c>
      <c r="I464" s="85">
        <f>STATS1003B!I465/1000</f>
        <v>0</v>
      </c>
      <c r="J464" s="85">
        <f>STATS1003B!J465/1000</f>
        <v>0</v>
      </c>
      <c r="K464" s="85">
        <f>STATS1003B!K465/1000</f>
        <v>0</v>
      </c>
      <c r="L464" s="85">
        <f>STATS1003B!L465/1000</f>
        <v>0</v>
      </c>
      <c r="M464" s="85">
        <f>STATS1003B!M465/1000</f>
        <v>0</v>
      </c>
      <c r="N464" s="85">
        <f>STATS1003B!N465/1000</f>
        <v>1953.989</v>
      </c>
      <c r="O464" s="85">
        <f>STATS1003B!O465/1000</f>
        <v>0</v>
      </c>
      <c r="P464" s="85">
        <f>STATS1003B!P465/1000</f>
        <v>1953.989</v>
      </c>
      <c r="Q464" s="85">
        <f>STATS1003B!Q465/1000</f>
        <v>0</v>
      </c>
      <c r="R464" s="85">
        <f>STATS1003B!R465/1000</f>
        <v>0</v>
      </c>
      <c r="S464" s="85">
        <f>STATS1003B!S465/1000</f>
        <v>0</v>
      </c>
      <c r="T464" s="85">
        <f>STATS1003B!T465/1000</f>
        <v>0</v>
      </c>
      <c r="U464" s="85">
        <f>STATS1003B!U465/1000</f>
        <v>1953.989</v>
      </c>
      <c r="V464" s="85">
        <f>STATS1003B!V465/1000</f>
        <v>1953.989</v>
      </c>
      <c r="W464" s="85">
        <f>STATS1003B!W465/1000</f>
        <v>0</v>
      </c>
      <c r="X464" s="85">
        <f t="shared" si="49"/>
        <v>1953.989</v>
      </c>
      <c r="Y464" s="85">
        <f>STATS1003B!Y465/1000</f>
        <v>0</v>
      </c>
      <c r="Z464" s="85">
        <f t="shared" si="52"/>
        <v>0</v>
      </c>
      <c r="AA464" s="69">
        <f>STATS1003B!AA465/1000</f>
        <v>1953.989</v>
      </c>
      <c r="AB464" s="69">
        <f>STATS1003B!AB465/1000</f>
        <v>0</v>
      </c>
    </row>
    <row r="465" spans="1:28" hidden="1" x14ac:dyDescent="0.3">
      <c r="A465" s="117"/>
      <c r="C465" s="68" t="s">
        <v>57</v>
      </c>
      <c r="D465" s="145" t="s">
        <v>155</v>
      </c>
      <c r="E465" s="85">
        <f>STATS1003B!E466/1000</f>
        <v>3578.5410000000002</v>
      </c>
      <c r="F465" s="85">
        <f>STATS1003B!F466/1000</f>
        <v>3578.5410000000002</v>
      </c>
      <c r="G465" s="85">
        <f>STATS1003B!G466/1000</f>
        <v>0</v>
      </c>
      <c r="H465" s="85">
        <f>STATS1003B!H466/1000</f>
        <v>3578.5410000000002</v>
      </c>
      <c r="I465" s="85">
        <f>STATS1003B!I466/1000</f>
        <v>0</v>
      </c>
      <c r="J465" s="85">
        <f>STATS1003B!J466/1000</f>
        <v>0</v>
      </c>
      <c r="K465" s="85">
        <f>STATS1003B!K466/1000</f>
        <v>0</v>
      </c>
      <c r="L465" s="85">
        <f>STATS1003B!L466/1000</f>
        <v>0</v>
      </c>
      <c r="M465" s="85">
        <f>STATS1003B!M466/1000</f>
        <v>3578.5410000000002</v>
      </c>
      <c r="N465" s="85">
        <f>STATS1003B!N466/1000</f>
        <v>0</v>
      </c>
      <c r="O465" s="85">
        <f>STATS1003B!O466/1000</f>
        <v>0</v>
      </c>
      <c r="P465" s="85">
        <f>STATS1003B!P466/1000</f>
        <v>0</v>
      </c>
      <c r="Q465" s="85">
        <f>STATS1003B!Q466/1000</f>
        <v>0</v>
      </c>
      <c r="R465" s="85">
        <f>STATS1003B!R466/1000</f>
        <v>0</v>
      </c>
      <c r="S465" s="85">
        <f>STATS1003B!S466/1000</f>
        <v>0</v>
      </c>
      <c r="T465" s="85">
        <f>STATS1003B!T466/1000</f>
        <v>0</v>
      </c>
      <c r="U465" s="85">
        <f>STATS1003B!U466/1000</f>
        <v>0</v>
      </c>
      <c r="V465" s="85">
        <f>STATS1003B!V466/1000</f>
        <v>3578.5410000000002</v>
      </c>
      <c r="W465" s="85">
        <f>STATS1003B!W466/1000</f>
        <v>0</v>
      </c>
      <c r="X465" s="85">
        <f t="shared" si="49"/>
        <v>3578.5410000000002</v>
      </c>
      <c r="Y465" s="85">
        <f>STATS1003B!Y466/1000</f>
        <v>0</v>
      </c>
      <c r="Z465" s="85">
        <f t="shared" si="52"/>
        <v>0</v>
      </c>
      <c r="AA465" s="69">
        <f>STATS1003B!AA466/1000</f>
        <v>3578.5410000000002</v>
      </c>
      <c r="AB465" s="69">
        <f>STATS1003B!AB466/1000</f>
        <v>0</v>
      </c>
    </row>
    <row r="466" spans="1:28" hidden="1" x14ac:dyDescent="0.3">
      <c r="A466" s="117"/>
      <c r="C466" s="68" t="s">
        <v>87</v>
      </c>
      <c r="D466" s="145" t="s">
        <v>88</v>
      </c>
      <c r="E466" s="85">
        <f>STATS1003B!E467/1000</f>
        <v>10900</v>
      </c>
      <c r="F466" s="85">
        <f>STATS1003B!F467/1000</f>
        <v>10900</v>
      </c>
      <c r="G466" s="85">
        <f>STATS1003B!G467/1000</f>
        <v>0</v>
      </c>
      <c r="H466" s="85">
        <f>STATS1003B!H467/1000</f>
        <v>10900</v>
      </c>
      <c r="I466" s="85">
        <f>STATS1003B!I467/1000</f>
        <v>0</v>
      </c>
      <c r="J466" s="85">
        <f>STATS1003B!J467/1000</f>
        <v>0</v>
      </c>
      <c r="K466" s="85">
        <f>STATS1003B!K467/1000</f>
        <v>0</v>
      </c>
      <c r="L466" s="85">
        <f>STATS1003B!L467/1000</f>
        <v>0</v>
      </c>
      <c r="M466" s="85">
        <f>STATS1003B!M467/1000</f>
        <v>10900</v>
      </c>
      <c r="N466" s="85">
        <f>STATS1003B!N467/1000</f>
        <v>0</v>
      </c>
      <c r="O466" s="85">
        <f>STATS1003B!O467/1000</f>
        <v>0</v>
      </c>
      <c r="P466" s="85">
        <f>STATS1003B!P467/1000</f>
        <v>0</v>
      </c>
      <c r="Q466" s="85">
        <f>STATS1003B!Q467/1000</f>
        <v>0</v>
      </c>
      <c r="R466" s="85">
        <f>STATS1003B!R467/1000</f>
        <v>0</v>
      </c>
      <c r="S466" s="85">
        <f>STATS1003B!S467/1000</f>
        <v>0</v>
      </c>
      <c r="T466" s="85">
        <f>STATS1003B!T467/1000</f>
        <v>0</v>
      </c>
      <c r="U466" s="85">
        <f>STATS1003B!U467/1000</f>
        <v>0</v>
      </c>
      <c r="V466" s="85">
        <f>STATS1003B!V467/1000</f>
        <v>10900</v>
      </c>
      <c r="W466" s="85">
        <f>STATS1003B!W467/1000</f>
        <v>0</v>
      </c>
      <c r="X466" s="85">
        <f t="shared" si="49"/>
        <v>10900</v>
      </c>
      <c r="Y466" s="85">
        <f>STATS1003B!Y467/1000</f>
        <v>0</v>
      </c>
      <c r="Z466" s="85">
        <f t="shared" si="52"/>
        <v>0</v>
      </c>
      <c r="AA466" s="69">
        <f>STATS1003B!AA467/1000</f>
        <v>10900</v>
      </c>
      <c r="AB466" s="69">
        <f>STATS1003B!AB467/1000</f>
        <v>0</v>
      </c>
    </row>
    <row r="467" spans="1:28" hidden="1" x14ac:dyDescent="0.3">
      <c r="A467" s="117"/>
      <c r="C467" s="68" t="s">
        <v>57</v>
      </c>
      <c r="D467" s="145" t="s">
        <v>58</v>
      </c>
      <c r="E467" s="85">
        <f>STATS1003B!E468/1000</f>
        <v>2426.4</v>
      </c>
      <c r="F467" s="85">
        <f>STATS1003B!F468/1000</f>
        <v>2426.4</v>
      </c>
      <c r="G467" s="85">
        <f>STATS1003B!G468/1000</f>
        <v>0</v>
      </c>
      <c r="H467" s="85">
        <f>STATS1003B!H468/1000</f>
        <v>2426.4</v>
      </c>
      <c r="I467" s="85">
        <f>STATS1003B!I468/1000</f>
        <v>0</v>
      </c>
      <c r="J467" s="85">
        <f>STATS1003B!J468/1000</f>
        <v>0</v>
      </c>
      <c r="K467" s="85">
        <f>STATS1003B!K468/1000</f>
        <v>0</v>
      </c>
      <c r="L467" s="85">
        <f>STATS1003B!L468/1000</f>
        <v>0</v>
      </c>
      <c r="M467" s="85">
        <f>STATS1003B!M468/1000</f>
        <v>2426.4</v>
      </c>
      <c r="N467" s="85">
        <f>STATS1003B!N468/1000</f>
        <v>0</v>
      </c>
      <c r="O467" s="85">
        <f>STATS1003B!O468/1000</f>
        <v>0</v>
      </c>
      <c r="P467" s="85">
        <f>STATS1003B!P468/1000</f>
        <v>0</v>
      </c>
      <c r="Q467" s="85">
        <f>STATS1003B!Q468/1000</f>
        <v>0</v>
      </c>
      <c r="R467" s="85">
        <f>STATS1003B!R468/1000</f>
        <v>0</v>
      </c>
      <c r="S467" s="85">
        <f>STATS1003B!S468/1000</f>
        <v>0</v>
      </c>
      <c r="T467" s="85">
        <f>STATS1003B!T468/1000</f>
        <v>0</v>
      </c>
      <c r="U467" s="85">
        <f>STATS1003B!U468/1000</f>
        <v>0</v>
      </c>
      <c r="V467" s="85">
        <f>STATS1003B!V468/1000</f>
        <v>2426.4</v>
      </c>
      <c r="W467" s="85">
        <f>STATS1003B!W468/1000</f>
        <v>0</v>
      </c>
      <c r="X467" s="85">
        <f t="shared" si="49"/>
        <v>2426.4</v>
      </c>
      <c r="Y467" s="85">
        <f>STATS1003B!Y468/1000</f>
        <v>0</v>
      </c>
      <c r="Z467" s="85">
        <f t="shared" si="52"/>
        <v>0</v>
      </c>
      <c r="AA467" s="69">
        <f>STATS1003B!AA468/1000</f>
        <v>2426.4</v>
      </c>
      <c r="AB467" s="69">
        <f>STATS1003B!AB468/1000</f>
        <v>0</v>
      </c>
    </row>
    <row r="468" spans="1:28" hidden="1" x14ac:dyDescent="0.3">
      <c r="A468" s="117"/>
      <c r="C468" s="68" t="s">
        <v>57</v>
      </c>
      <c r="D468" s="145" t="s">
        <v>60</v>
      </c>
      <c r="E468" s="85">
        <f>STATS1003B!E469/1000</f>
        <v>2239.65</v>
      </c>
      <c r="F468" s="85">
        <f>STATS1003B!F469/1000</f>
        <v>2239.65</v>
      </c>
      <c r="G468" s="85">
        <f>STATS1003B!G469/1000</f>
        <v>0</v>
      </c>
      <c r="H468" s="85">
        <f>STATS1003B!H469/1000</f>
        <v>2239.65</v>
      </c>
      <c r="I468" s="85">
        <f>STATS1003B!I469/1000</f>
        <v>0</v>
      </c>
      <c r="J468" s="85">
        <f>STATS1003B!J469/1000</f>
        <v>0</v>
      </c>
      <c r="K468" s="85">
        <f>STATS1003B!K469/1000</f>
        <v>0</v>
      </c>
      <c r="L468" s="85">
        <f>STATS1003B!L469/1000</f>
        <v>0</v>
      </c>
      <c r="M468" s="85">
        <f>STATS1003B!M469/1000</f>
        <v>2239.65</v>
      </c>
      <c r="N468" s="85">
        <f>STATS1003B!N469/1000</f>
        <v>0</v>
      </c>
      <c r="O468" s="85">
        <f>STATS1003B!O469/1000</f>
        <v>0</v>
      </c>
      <c r="P468" s="85">
        <f>STATS1003B!P469/1000</f>
        <v>0</v>
      </c>
      <c r="Q468" s="85">
        <f>STATS1003B!Q469/1000</f>
        <v>0</v>
      </c>
      <c r="R468" s="85">
        <f>STATS1003B!R469/1000</f>
        <v>0</v>
      </c>
      <c r="S468" s="85">
        <f>STATS1003B!S469/1000</f>
        <v>0</v>
      </c>
      <c r="T468" s="85">
        <f>STATS1003B!T469/1000</f>
        <v>0</v>
      </c>
      <c r="U468" s="85">
        <f>STATS1003B!U469/1000</f>
        <v>0</v>
      </c>
      <c r="V468" s="85">
        <f>STATS1003B!V469/1000</f>
        <v>2239.65</v>
      </c>
      <c r="W468" s="85">
        <f>STATS1003B!W469/1000</f>
        <v>0</v>
      </c>
      <c r="X468" s="85">
        <f t="shared" si="49"/>
        <v>2239.65</v>
      </c>
      <c r="Y468" s="85">
        <f>STATS1003B!Y469/1000</f>
        <v>0</v>
      </c>
      <c r="Z468" s="85">
        <f t="shared" si="52"/>
        <v>0</v>
      </c>
      <c r="AA468" s="69">
        <f>STATS1003B!AA469/1000</f>
        <v>2239.65</v>
      </c>
      <c r="AB468" s="69">
        <f>STATS1003B!AB469/1000</f>
        <v>0</v>
      </c>
    </row>
    <row r="469" spans="1:28" hidden="1" x14ac:dyDescent="0.3">
      <c r="A469" s="117"/>
      <c r="C469" s="68" t="s">
        <v>924</v>
      </c>
      <c r="D469" s="90" t="s">
        <v>1072</v>
      </c>
      <c r="E469" s="85">
        <f>STATS1003B!E470/1000</f>
        <v>419</v>
      </c>
      <c r="F469" s="85">
        <f>STATS1003B!F470/1000</f>
        <v>419</v>
      </c>
      <c r="G469" s="85">
        <f>STATS1003B!G470/1000</f>
        <v>0</v>
      </c>
      <c r="H469" s="85">
        <f>STATS1003B!H470/1000</f>
        <v>419</v>
      </c>
      <c r="I469" s="85">
        <f>STATS1003B!I470/1000</f>
        <v>0</v>
      </c>
      <c r="J469" s="85">
        <f>STATS1003B!J470/1000</f>
        <v>0</v>
      </c>
      <c r="K469" s="85">
        <f>STATS1003B!K470/1000</f>
        <v>0</v>
      </c>
      <c r="L469" s="85">
        <f>STATS1003B!L470/1000</f>
        <v>0</v>
      </c>
      <c r="M469" s="85">
        <f>STATS1003B!M470/1000</f>
        <v>419</v>
      </c>
      <c r="N469" s="85">
        <f>STATS1003B!N470/1000</f>
        <v>0</v>
      </c>
      <c r="O469" s="85">
        <f>STATS1003B!O470/1000</f>
        <v>0</v>
      </c>
      <c r="P469" s="85">
        <f>STATS1003B!P470/1000</f>
        <v>0</v>
      </c>
      <c r="Q469" s="85">
        <f>STATS1003B!Q470/1000</f>
        <v>0</v>
      </c>
      <c r="R469" s="85">
        <f>STATS1003B!R470/1000</f>
        <v>0</v>
      </c>
      <c r="S469" s="85">
        <f>STATS1003B!S470/1000</f>
        <v>0</v>
      </c>
      <c r="T469" s="85">
        <f>STATS1003B!T470/1000</f>
        <v>0</v>
      </c>
      <c r="U469" s="85">
        <f>STATS1003B!U470/1000</f>
        <v>0</v>
      </c>
      <c r="V469" s="85">
        <f>STATS1003B!V470/1000</f>
        <v>419</v>
      </c>
      <c r="W469" s="85">
        <f>STATS1003B!W470/1000</f>
        <v>0</v>
      </c>
      <c r="X469" s="85">
        <f t="shared" si="49"/>
        <v>419</v>
      </c>
      <c r="Y469" s="85">
        <f>STATS1003B!Y470/1000</f>
        <v>0</v>
      </c>
      <c r="Z469" s="85">
        <f t="shared" si="52"/>
        <v>0</v>
      </c>
      <c r="AA469" s="69">
        <f>STATS1003B!AA470/1000</f>
        <v>419</v>
      </c>
      <c r="AB469" s="69">
        <f>STATS1003B!AB470/1000</f>
        <v>0</v>
      </c>
    </row>
    <row r="470" spans="1:28" hidden="1" x14ac:dyDescent="0.3">
      <c r="A470" s="117"/>
      <c r="C470" s="68" t="s">
        <v>930</v>
      </c>
      <c r="D470" s="90" t="s">
        <v>1072</v>
      </c>
      <c r="E470" s="85">
        <f>STATS1003B!E471/1000</f>
        <v>369</v>
      </c>
      <c r="F470" s="85">
        <f>STATS1003B!F471/1000</f>
        <v>369</v>
      </c>
      <c r="G470" s="85">
        <f>STATS1003B!G471/1000</f>
        <v>0</v>
      </c>
      <c r="H470" s="85">
        <f>STATS1003B!H471/1000</f>
        <v>369</v>
      </c>
      <c r="I470" s="85">
        <f>STATS1003B!I471/1000</f>
        <v>0</v>
      </c>
      <c r="J470" s="85">
        <f>STATS1003B!J471/1000</f>
        <v>0</v>
      </c>
      <c r="K470" s="85">
        <f>STATS1003B!K471/1000</f>
        <v>0</v>
      </c>
      <c r="L470" s="85">
        <f>STATS1003B!L471/1000</f>
        <v>0</v>
      </c>
      <c r="M470" s="85">
        <f>STATS1003B!M471/1000</f>
        <v>369</v>
      </c>
      <c r="N470" s="85">
        <f>STATS1003B!N471/1000</f>
        <v>0</v>
      </c>
      <c r="O470" s="85">
        <f>STATS1003B!O471/1000</f>
        <v>0</v>
      </c>
      <c r="P470" s="85">
        <f>STATS1003B!P471/1000</f>
        <v>0</v>
      </c>
      <c r="Q470" s="85">
        <f>STATS1003B!Q471/1000</f>
        <v>0</v>
      </c>
      <c r="R470" s="85">
        <f>STATS1003B!R471/1000</f>
        <v>0</v>
      </c>
      <c r="S470" s="85">
        <f>STATS1003B!S471/1000</f>
        <v>0</v>
      </c>
      <c r="T470" s="85">
        <f>STATS1003B!T471/1000</f>
        <v>0</v>
      </c>
      <c r="U470" s="85">
        <f>STATS1003B!U471/1000</f>
        <v>0</v>
      </c>
      <c r="V470" s="85">
        <f>STATS1003B!V471/1000</f>
        <v>369</v>
      </c>
      <c r="W470" s="85">
        <f>STATS1003B!W471/1000</f>
        <v>0</v>
      </c>
      <c r="X470" s="85">
        <f t="shared" si="49"/>
        <v>369</v>
      </c>
      <c r="Y470" s="85">
        <f>STATS1003B!Y471/1000</f>
        <v>0</v>
      </c>
      <c r="Z470" s="85">
        <f t="shared" si="52"/>
        <v>0</v>
      </c>
      <c r="AA470" s="69">
        <f>STATS1003B!AA471/1000</f>
        <v>369</v>
      </c>
      <c r="AB470" s="69">
        <f>STATS1003B!AB471/1000</f>
        <v>0</v>
      </c>
    </row>
    <row r="471" spans="1:28" hidden="1" x14ac:dyDescent="0.3">
      <c r="A471" s="117"/>
      <c r="C471" s="71" t="s">
        <v>109</v>
      </c>
      <c r="D471" s="88" t="s">
        <v>60</v>
      </c>
      <c r="E471" s="85">
        <f>STATS1003B!E472/1000</f>
        <v>7500</v>
      </c>
      <c r="F471" s="85">
        <f>STATS1003B!F472/1000</f>
        <v>7500</v>
      </c>
      <c r="G471" s="85">
        <f>STATS1003B!G472/1000</f>
        <v>0</v>
      </c>
      <c r="H471" s="85">
        <f>STATS1003B!H472/1000</f>
        <v>7500</v>
      </c>
      <c r="I471" s="85">
        <f>STATS1003B!I472/1000</f>
        <v>0</v>
      </c>
      <c r="J471" s="85">
        <f>STATS1003B!J472/1000</f>
        <v>0</v>
      </c>
      <c r="K471" s="85">
        <f>STATS1003B!K472/1000</f>
        <v>0</v>
      </c>
      <c r="L471" s="85">
        <f>STATS1003B!L472/1000</f>
        <v>0</v>
      </c>
      <c r="M471" s="85">
        <f>STATS1003B!M472/1000</f>
        <v>7500</v>
      </c>
      <c r="N471" s="85">
        <f>STATS1003B!N472/1000</f>
        <v>0</v>
      </c>
      <c r="O471" s="85">
        <f>STATS1003B!O472/1000</f>
        <v>0</v>
      </c>
      <c r="P471" s="85">
        <f>STATS1003B!P472/1000</f>
        <v>0</v>
      </c>
      <c r="Q471" s="85">
        <f>STATS1003B!Q472/1000</f>
        <v>0</v>
      </c>
      <c r="R471" s="85">
        <f>STATS1003B!R472/1000</f>
        <v>0</v>
      </c>
      <c r="S471" s="85">
        <f>STATS1003B!S472/1000</f>
        <v>0</v>
      </c>
      <c r="T471" s="85">
        <f>STATS1003B!T472/1000</f>
        <v>0</v>
      </c>
      <c r="U471" s="85">
        <f>STATS1003B!U472/1000</f>
        <v>0</v>
      </c>
      <c r="V471" s="85">
        <f>STATS1003B!V472/1000</f>
        <v>7500</v>
      </c>
      <c r="W471" s="85">
        <f>STATS1003B!W472/1000</f>
        <v>0</v>
      </c>
      <c r="X471" s="85">
        <f t="shared" si="49"/>
        <v>7500</v>
      </c>
      <c r="Y471" s="85">
        <f>STATS1003B!Y472/1000</f>
        <v>0</v>
      </c>
      <c r="Z471" s="85">
        <f t="shared" si="52"/>
        <v>0</v>
      </c>
      <c r="AA471" s="69">
        <f>STATS1003B!AA472/1000</f>
        <v>7500</v>
      </c>
      <c r="AB471" s="69">
        <f>STATS1003B!AB472/1000</f>
        <v>0</v>
      </c>
    </row>
    <row r="472" spans="1:28" hidden="1" x14ac:dyDescent="0.3">
      <c r="A472" s="117"/>
      <c r="E472" s="86" t="s">
        <v>29</v>
      </c>
      <c r="F472" s="86" t="s">
        <v>29</v>
      </c>
      <c r="G472" s="86" t="s">
        <v>29</v>
      </c>
      <c r="H472" s="86" t="s">
        <v>29</v>
      </c>
      <c r="I472" s="86" t="s">
        <v>29</v>
      </c>
      <c r="J472" s="86" t="s">
        <v>29</v>
      </c>
      <c r="K472" s="86" t="s">
        <v>29</v>
      </c>
      <c r="L472" s="86" t="s">
        <v>29</v>
      </c>
      <c r="M472" s="86" t="s">
        <v>29</v>
      </c>
      <c r="N472" s="86" t="s">
        <v>29</v>
      </c>
      <c r="O472" s="86" t="s">
        <v>29</v>
      </c>
      <c r="P472" s="86" t="s">
        <v>29</v>
      </c>
      <c r="Q472" s="86" t="s">
        <v>29</v>
      </c>
      <c r="R472" s="86" t="s">
        <v>29</v>
      </c>
      <c r="S472" s="86" t="s">
        <v>29</v>
      </c>
      <c r="T472" s="86" t="s">
        <v>29</v>
      </c>
      <c r="U472" s="86" t="s">
        <v>29</v>
      </c>
      <c r="V472" s="86" t="s">
        <v>29</v>
      </c>
      <c r="W472" s="86" t="s">
        <v>29</v>
      </c>
      <c r="X472" s="85" t="e">
        <f t="shared" si="49"/>
        <v>#VALUE!</v>
      </c>
      <c r="Y472" s="86" t="s">
        <v>29</v>
      </c>
      <c r="Z472" s="85" t="e">
        <f t="shared" si="52"/>
        <v>#VALUE!</v>
      </c>
      <c r="AA472" s="115" t="s">
        <v>29</v>
      </c>
      <c r="AB472" s="115" t="s">
        <v>29</v>
      </c>
    </row>
    <row r="473" spans="1:28" x14ac:dyDescent="0.3">
      <c r="A473" s="116" t="s">
        <v>954</v>
      </c>
      <c r="B473" s="68" t="s">
        <v>154</v>
      </c>
      <c r="E473" s="85">
        <f>97718051.29/1000</f>
        <v>97718.051290000003</v>
      </c>
      <c r="F473" s="85">
        <f>SUM(F460:F471)</f>
        <v>62347.133090000003</v>
      </c>
      <c r="G473" s="85">
        <f>SUM(G460:G471)</f>
        <v>0</v>
      </c>
      <c r="H473" s="85">
        <f>93002523.44/1000</f>
        <v>93002.523440000004</v>
      </c>
      <c r="I473" s="85">
        <f t="shared" ref="I473:O473" si="53">SUM(I460:I471)</f>
        <v>0</v>
      </c>
      <c r="J473" s="85">
        <f t="shared" si="53"/>
        <v>0</v>
      </c>
      <c r="K473" s="85">
        <f t="shared" si="53"/>
        <v>0</v>
      </c>
      <c r="L473" s="85">
        <f t="shared" si="53"/>
        <v>0</v>
      </c>
      <c r="M473" s="85">
        <f t="shared" si="53"/>
        <v>62347.133090000003</v>
      </c>
      <c r="N473" s="85">
        <f t="shared" si="53"/>
        <v>3363.8942999999999</v>
      </c>
      <c r="O473" s="85">
        <f t="shared" si="53"/>
        <v>0</v>
      </c>
      <c r="P473" s="85">
        <f>3363894/1000</f>
        <v>3363.8939999999998</v>
      </c>
      <c r="Q473" s="85">
        <f t="shared" ref="Q473:W473" si="54">SUM(Q460:Q471)</f>
        <v>0</v>
      </c>
      <c r="R473" s="85">
        <f t="shared" si="54"/>
        <v>0</v>
      </c>
      <c r="S473" s="85">
        <f t="shared" si="54"/>
        <v>0</v>
      </c>
      <c r="T473" s="85">
        <f t="shared" si="54"/>
        <v>0</v>
      </c>
      <c r="U473" s="85">
        <f t="shared" si="54"/>
        <v>3363.8942999999999</v>
      </c>
      <c r="V473" s="85">
        <f t="shared" si="54"/>
        <v>65711.027390000003</v>
      </c>
      <c r="W473" s="85">
        <f t="shared" si="54"/>
        <v>1351.6335500000014</v>
      </c>
      <c r="X473" s="85">
        <f t="shared" si="49"/>
        <v>96366.417440000005</v>
      </c>
      <c r="Y473" s="85">
        <f>SUM(Y460:Y471)</f>
        <v>0</v>
      </c>
      <c r="Z473" s="85">
        <f t="shared" si="52"/>
        <v>1351.6338499999983</v>
      </c>
      <c r="AA473" s="69">
        <f>SUM(AA460:AA471)</f>
        <v>65711.027390000003</v>
      </c>
      <c r="AB473" s="69">
        <f>SUM(AB460:AB471)</f>
        <v>1351.6335500000014</v>
      </c>
    </row>
    <row r="474" spans="1:28" hidden="1" x14ac:dyDescent="0.3">
      <c r="A474" s="117"/>
      <c r="E474" s="86" t="s">
        <v>29</v>
      </c>
      <c r="F474" s="86" t="s">
        <v>29</v>
      </c>
      <c r="G474" s="86" t="s">
        <v>29</v>
      </c>
      <c r="H474" s="86" t="s">
        <v>29</v>
      </c>
      <c r="I474" s="86" t="s">
        <v>29</v>
      </c>
      <c r="J474" s="86" t="s">
        <v>29</v>
      </c>
      <c r="K474" s="86" t="s">
        <v>29</v>
      </c>
      <c r="L474" s="86" t="s">
        <v>29</v>
      </c>
      <c r="M474" s="86" t="s">
        <v>29</v>
      </c>
      <c r="N474" s="86" t="s">
        <v>29</v>
      </c>
      <c r="O474" s="86" t="s">
        <v>29</v>
      </c>
      <c r="P474" s="86" t="s">
        <v>29</v>
      </c>
      <c r="Q474" s="86" t="s">
        <v>29</v>
      </c>
      <c r="R474" s="86" t="s">
        <v>29</v>
      </c>
      <c r="S474" s="86" t="s">
        <v>29</v>
      </c>
      <c r="T474" s="86" t="s">
        <v>29</v>
      </c>
      <c r="U474" s="86" t="s">
        <v>29</v>
      </c>
      <c r="V474" s="86" t="s">
        <v>29</v>
      </c>
      <c r="W474" s="86" t="s">
        <v>29</v>
      </c>
      <c r="X474" s="85" t="e">
        <f t="shared" si="49"/>
        <v>#VALUE!</v>
      </c>
      <c r="Y474" s="86" t="s">
        <v>29</v>
      </c>
      <c r="Z474" s="85" t="e">
        <f t="shared" si="52"/>
        <v>#VALUE!</v>
      </c>
      <c r="AA474" s="115" t="s">
        <v>29</v>
      </c>
      <c r="AB474" s="115" t="s">
        <v>29</v>
      </c>
    </row>
    <row r="475" spans="1:28" hidden="1" x14ac:dyDescent="0.3">
      <c r="A475" s="105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5">
        <f t="shared" si="49"/>
        <v>0</v>
      </c>
      <c r="Y475" s="84"/>
      <c r="Z475" s="85">
        <f t="shared" si="52"/>
        <v>0</v>
      </c>
      <c r="AA475" s="118"/>
    </row>
    <row r="476" spans="1:28" hidden="1" x14ac:dyDescent="0.3">
      <c r="A476" s="117"/>
      <c r="C476" s="68" t="s">
        <v>149</v>
      </c>
      <c r="D476" s="88" t="s">
        <v>150</v>
      </c>
      <c r="E476" s="85">
        <f>STATS1003B!E477/1000</f>
        <v>5641.5137300000006</v>
      </c>
      <c r="F476" s="85">
        <f>STATS1003B!F477/1000</f>
        <v>4170.0682500000003</v>
      </c>
      <c r="G476" s="85">
        <f>STATS1003B!G477/1000</f>
        <v>0</v>
      </c>
      <c r="H476" s="85">
        <f>STATS1003B!H477/1000</f>
        <v>4170.0682500000003</v>
      </c>
      <c r="I476" s="85">
        <f>STATS1003B!I477/1000</f>
        <v>0</v>
      </c>
      <c r="J476" s="85">
        <f>STATS1003B!J477/1000</f>
        <v>0</v>
      </c>
      <c r="K476" s="85">
        <f>STATS1003B!K477/1000</f>
        <v>0</v>
      </c>
      <c r="L476" s="85">
        <f>STATS1003B!L477/1000</f>
        <v>0</v>
      </c>
      <c r="M476" s="85">
        <f>STATS1003B!M477/1000</f>
        <v>4170.0682500000003</v>
      </c>
      <c r="N476" s="85">
        <f>STATS1003B!N477/1000</f>
        <v>635.13</v>
      </c>
      <c r="O476" s="85">
        <f>STATS1003B!O477/1000</f>
        <v>0</v>
      </c>
      <c r="P476" s="85">
        <f>STATS1003B!P477/1000</f>
        <v>635.13</v>
      </c>
      <c r="Q476" s="85">
        <f>STATS1003B!Q477/1000</f>
        <v>0</v>
      </c>
      <c r="R476" s="85">
        <f>STATS1003B!R477/1000</f>
        <v>0</v>
      </c>
      <c r="S476" s="85">
        <f>STATS1003B!S477/1000</f>
        <v>0</v>
      </c>
      <c r="T476" s="85">
        <f>STATS1003B!T477/1000</f>
        <v>0</v>
      </c>
      <c r="U476" s="85">
        <f>STATS1003B!U477/1000</f>
        <v>635.13</v>
      </c>
      <c r="V476" s="85">
        <f>STATS1003B!V477/1000</f>
        <v>4805.1982500000004</v>
      </c>
      <c r="W476" s="85">
        <f>STATS1003B!W477/1000</f>
        <v>0</v>
      </c>
      <c r="X476" s="85">
        <f t="shared" si="49"/>
        <v>4805.1982500000004</v>
      </c>
      <c r="Y476" s="85">
        <f>STATS1003B!Y477/1000</f>
        <v>0</v>
      </c>
      <c r="Z476" s="85">
        <f t="shared" si="52"/>
        <v>836.31548000000021</v>
      </c>
      <c r="AA476" s="69">
        <f>STATS1003B!AA477/1000</f>
        <v>4805.1982500000004</v>
      </c>
      <c r="AB476" s="69">
        <f>STATS1003B!AB477/1000</f>
        <v>836.31548000000043</v>
      </c>
    </row>
    <row r="477" spans="1:28" hidden="1" x14ac:dyDescent="0.3">
      <c r="A477" s="117"/>
      <c r="C477" s="68" t="s">
        <v>151</v>
      </c>
      <c r="D477" s="88" t="s">
        <v>150</v>
      </c>
      <c r="E477" s="85">
        <f>STATS1003B!E478/1000</f>
        <v>117392.29078</v>
      </c>
      <c r="F477" s="85">
        <f>STATS1003B!F478/1000</f>
        <v>97761.691630000001</v>
      </c>
      <c r="G477" s="85">
        <f>STATS1003B!G478/1000</f>
        <v>0</v>
      </c>
      <c r="H477" s="85">
        <f>STATS1003B!H478/1000</f>
        <v>97761.691630000001</v>
      </c>
      <c r="I477" s="85">
        <f>STATS1003B!I478/1000</f>
        <v>0</v>
      </c>
      <c r="J477" s="85">
        <f>STATS1003B!J478/1000</f>
        <v>0</v>
      </c>
      <c r="K477" s="85">
        <f>STATS1003B!K478/1000</f>
        <v>0</v>
      </c>
      <c r="L477" s="85">
        <f>STATS1003B!L478/1000</f>
        <v>0</v>
      </c>
      <c r="M477" s="85">
        <f>STATS1003B!M478/1000</f>
        <v>97761.691630000001</v>
      </c>
      <c r="N477" s="85">
        <f>STATS1003B!N478/1000</f>
        <v>0</v>
      </c>
      <c r="O477" s="85">
        <f>STATS1003B!O478/1000</f>
        <v>0</v>
      </c>
      <c r="P477" s="85">
        <f>STATS1003B!P478/1000</f>
        <v>0</v>
      </c>
      <c r="Q477" s="85">
        <f>STATS1003B!Q478/1000</f>
        <v>0</v>
      </c>
      <c r="R477" s="85">
        <f>STATS1003B!R478/1000</f>
        <v>0</v>
      </c>
      <c r="S477" s="85">
        <f>STATS1003B!S478/1000</f>
        <v>0</v>
      </c>
      <c r="T477" s="85">
        <f>STATS1003B!T478/1000</f>
        <v>0</v>
      </c>
      <c r="U477" s="85">
        <f>STATS1003B!U478/1000</f>
        <v>0</v>
      </c>
      <c r="V477" s="85">
        <f>STATS1003B!V478/1000</f>
        <v>97761.691630000001</v>
      </c>
      <c r="W477" s="85">
        <f>STATS1003B!W478/1000</f>
        <v>0</v>
      </c>
      <c r="X477" s="85">
        <f t="shared" si="49"/>
        <v>97761.691630000001</v>
      </c>
      <c r="Y477" s="85">
        <f>STATS1003B!Y478/1000</f>
        <v>0</v>
      </c>
      <c r="Z477" s="85">
        <f t="shared" si="52"/>
        <v>19630.599149999995</v>
      </c>
      <c r="AA477" s="69">
        <f>STATS1003B!AA478/1000</f>
        <v>97761.691630000001</v>
      </c>
      <c r="AB477" s="69">
        <f>STATS1003B!AB478/1000</f>
        <v>19630.599150000005</v>
      </c>
    </row>
    <row r="478" spans="1:28" hidden="1" x14ac:dyDescent="0.3">
      <c r="A478" s="117"/>
      <c r="C478" s="68" t="s">
        <v>157</v>
      </c>
      <c r="D478" s="88" t="s">
        <v>150</v>
      </c>
      <c r="E478" s="85">
        <f>STATS1003B!E479/1000</f>
        <v>1486.867</v>
      </c>
      <c r="F478" s="85">
        <f>STATS1003B!F479/1000</f>
        <v>1486.867</v>
      </c>
      <c r="G478" s="85">
        <f>STATS1003B!G479/1000</f>
        <v>0</v>
      </c>
      <c r="H478" s="85">
        <f>STATS1003B!H479/1000</f>
        <v>1486.867</v>
      </c>
      <c r="I478" s="85">
        <f>STATS1003B!I479/1000</f>
        <v>0</v>
      </c>
      <c r="J478" s="85">
        <f>STATS1003B!J479/1000</f>
        <v>0</v>
      </c>
      <c r="K478" s="85">
        <f>STATS1003B!K479/1000</f>
        <v>0</v>
      </c>
      <c r="L478" s="85">
        <f>STATS1003B!L479/1000</f>
        <v>0</v>
      </c>
      <c r="M478" s="85">
        <f>STATS1003B!M479/1000</f>
        <v>1486.867</v>
      </c>
      <c r="N478" s="85">
        <f>STATS1003B!N479/1000</f>
        <v>0</v>
      </c>
      <c r="O478" s="85">
        <f>STATS1003B!O479/1000</f>
        <v>0</v>
      </c>
      <c r="P478" s="85">
        <f>STATS1003B!P479/1000</f>
        <v>0</v>
      </c>
      <c r="Q478" s="85">
        <f>STATS1003B!Q479/1000</f>
        <v>0</v>
      </c>
      <c r="R478" s="85">
        <f>STATS1003B!R479/1000</f>
        <v>0</v>
      </c>
      <c r="S478" s="85">
        <f>STATS1003B!S479/1000</f>
        <v>0</v>
      </c>
      <c r="T478" s="85">
        <f>STATS1003B!T479/1000</f>
        <v>0</v>
      </c>
      <c r="U478" s="85">
        <f>STATS1003B!U479/1000</f>
        <v>0</v>
      </c>
      <c r="V478" s="85">
        <f>STATS1003B!V479/1000</f>
        <v>1486.867</v>
      </c>
      <c r="W478" s="85">
        <f>STATS1003B!W479/1000</f>
        <v>0</v>
      </c>
      <c r="X478" s="85">
        <f t="shared" si="49"/>
        <v>1486.867</v>
      </c>
      <c r="Y478" s="85">
        <f>STATS1003B!Y479/1000</f>
        <v>0</v>
      </c>
      <c r="Z478" s="85">
        <f t="shared" si="52"/>
        <v>0</v>
      </c>
      <c r="AA478" s="69">
        <f>STATS1003B!AA479/1000</f>
        <v>1486.867</v>
      </c>
      <c r="AB478" s="69">
        <f>STATS1003B!AB479/1000</f>
        <v>0</v>
      </c>
    </row>
    <row r="479" spans="1:28" hidden="1" x14ac:dyDescent="0.3">
      <c r="A479" s="117"/>
      <c r="C479" s="68" t="s">
        <v>57</v>
      </c>
      <c r="D479" s="145" t="s">
        <v>158</v>
      </c>
      <c r="E479" s="85">
        <f>STATS1003B!E480/1000</f>
        <v>3144.6558100000002</v>
      </c>
      <c r="F479" s="85">
        <f>STATS1003B!F480/1000</f>
        <v>3144.6558100000002</v>
      </c>
      <c r="G479" s="85">
        <f>STATS1003B!G480/1000</f>
        <v>0</v>
      </c>
      <c r="H479" s="85">
        <f>STATS1003B!H480/1000</f>
        <v>3144.6558100000002</v>
      </c>
      <c r="I479" s="85">
        <f>STATS1003B!I480/1000</f>
        <v>0</v>
      </c>
      <c r="J479" s="85">
        <f>STATS1003B!J480/1000</f>
        <v>0</v>
      </c>
      <c r="K479" s="85">
        <f>STATS1003B!K480/1000</f>
        <v>0</v>
      </c>
      <c r="L479" s="85">
        <f>STATS1003B!L480/1000</f>
        <v>0</v>
      </c>
      <c r="M479" s="85">
        <f>STATS1003B!M480/1000</f>
        <v>3144.6558100000002</v>
      </c>
      <c r="N479" s="85">
        <f>STATS1003B!N480/1000</f>
        <v>0</v>
      </c>
      <c r="O479" s="85">
        <f>STATS1003B!O480/1000</f>
        <v>0</v>
      </c>
      <c r="P479" s="85">
        <f>STATS1003B!P480/1000</f>
        <v>0</v>
      </c>
      <c r="Q479" s="85">
        <f>STATS1003B!Q480/1000</f>
        <v>0</v>
      </c>
      <c r="R479" s="85">
        <f>STATS1003B!R480/1000</f>
        <v>0</v>
      </c>
      <c r="S479" s="85">
        <f>STATS1003B!S480/1000</f>
        <v>0</v>
      </c>
      <c r="T479" s="85">
        <f>STATS1003B!T480/1000</f>
        <v>0</v>
      </c>
      <c r="U479" s="85">
        <f>STATS1003B!U480/1000</f>
        <v>0</v>
      </c>
      <c r="V479" s="85">
        <f>STATS1003B!V480/1000</f>
        <v>3144.6558100000002</v>
      </c>
      <c r="W479" s="85">
        <f>STATS1003B!W480/1000</f>
        <v>0</v>
      </c>
      <c r="X479" s="85">
        <f t="shared" si="49"/>
        <v>3144.6558100000002</v>
      </c>
      <c r="Y479" s="85">
        <f>STATS1003B!Y480/1000</f>
        <v>0</v>
      </c>
      <c r="Z479" s="85">
        <f t="shared" si="52"/>
        <v>0</v>
      </c>
      <c r="AA479" s="69">
        <f>STATS1003B!AA480/1000</f>
        <v>3144.6558100000002</v>
      </c>
      <c r="AB479" s="69">
        <f>STATS1003B!AB480/1000</f>
        <v>0</v>
      </c>
    </row>
    <row r="480" spans="1:28" hidden="1" x14ac:dyDescent="0.3">
      <c r="A480" s="117"/>
      <c r="C480" s="68" t="s">
        <v>55</v>
      </c>
      <c r="D480" s="145" t="s">
        <v>103</v>
      </c>
      <c r="E480" s="85">
        <f>STATS1003B!E481/1000</f>
        <v>2739.2890000000002</v>
      </c>
      <c r="F480" s="85">
        <f>STATS1003B!F481/1000</f>
        <v>0</v>
      </c>
      <c r="G480" s="85">
        <f>STATS1003B!G481/1000</f>
        <v>0</v>
      </c>
      <c r="H480" s="85">
        <f>STATS1003B!H481/1000</f>
        <v>0</v>
      </c>
      <c r="I480" s="85">
        <f>STATS1003B!I481/1000</f>
        <v>0</v>
      </c>
      <c r="J480" s="85">
        <f>STATS1003B!J481/1000</f>
        <v>0</v>
      </c>
      <c r="K480" s="85">
        <f>STATS1003B!K481/1000</f>
        <v>0</v>
      </c>
      <c r="L480" s="85">
        <f>STATS1003B!L481/1000</f>
        <v>0</v>
      </c>
      <c r="M480" s="85">
        <f>STATS1003B!M481/1000</f>
        <v>0</v>
      </c>
      <c r="N480" s="85">
        <f>STATS1003B!N481/1000</f>
        <v>2739.2890000000002</v>
      </c>
      <c r="O480" s="85">
        <f>STATS1003B!O481/1000</f>
        <v>0</v>
      </c>
      <c r="P480" s="85">
        <f>STATS1003B!P481/1000</f>
        <v>2739.2890000000002</v>
      </c>
      <c r="Q480" s="85">
        <f>STATS1003B!Q481/1000</f>
        <v>0</v>
      </c>
      <c r="R480" s="85">
        <f>STATS1003B!R481/1000</f>
        <v>0</v>
      </c>
      <c r="S480" s="85">
        <f>STATS1003B!S481/1000</f>
        <v>0</v>
      </c>
      <c r="T480" s="85">
        <f>STATS1003B!T481/1000</f>
        <v>0</v>
      </c>
      <c r="U480" s="85">
        <f>STATS1003B!U481/1000</f>
        <v>2739.2890000000002</v>
      </c>
      <c r="V480" s="85">
        <f>STATS1003B!V481/1000</f>
        <v>2739.2890000000002</v>
      </c>
      <c r="W480" s="85">
        <f>STATS1003B!W481/1000</f>
        <v>0</v>
      </c>
      <c r="X480" s="85">
        <f t="shared" si="49"/>
        <v>2739.2890000000002</v>
      </c>
      <c r="Y480" s="85">
        <f>STATS1003B!Y481/1000</f>
        <v>0</v>
      </c>
      <c r="Z480" s="85">
        <f t="shared" si="52"/>
        <v>0</v>
      </c>
      <c r="AA480" s="69">
        <f>STATS1003B!AA481/1000</f>
        <v>2739.2890000000002</v>
      </c>
      <c r="AB480" s="69">
        <f>STATS1003B!AB481/1000</f>
        <v>0</v>
      </c>
    </row>
    <row r="481" spans="1:28" hidden="1" x14ac:dyDescent="0.3">
      <c r="A481" s="117"/>
      <c r="C481" s="68" t="s">
        <v>159</v>
      </c>
      <c r="D481" s="145" t="s">
        <v>128</v>
      </c>
      <c r="E481" s="85">
        <f>STATS1003B!E482/1000</f>
        <v>2306.1060000000002</v>
      </c>
      <c r="F481" s="85">
        <f>STATS1003B!F482/1000</f>
        <v>0</v>
      </c>
      <c r="G481" s="85">
        <f>STATS1003B!G482/1000</f>
        <v>0</v>
      </c>
      <c r="H481" s="85">
        <f>STATS1003B!H482/1000</f>
        <v>0</v>
      </c>
      <c r="I481" s="85">
        <f>STATS1003B!I482/1000</f>
        <v>0</v>
      </c>
      <c r="J481" s="85">
        <f>STATS1003B!J482/1000</f>
        <v>0</v>
      </c>
      <c r="K481" s="85">
        <f>STATS1003B!K482/1000</f>
        <v>0</v>
      </c>
      <c r="L481" s="85">
        <f>STATS1003B!L482/1000</f>
        <v>0</v>
      </c>
      <c r="M481" s="85">
        <f>STATS1003B!M482/1000</f>
        <v>0</v>
      </c>
      <c r="N481" s="85">
        <f>STATS1003B!N482/1000</f>
        <v>2306.1060000000002</v>
      </c>
      <c r="O481" s="85">
        <f>STATS1003B!O482/1000</f>
        <v>0</v>
      </c>
      <c r="P481" s="85">
        <f>STATS1003B!P482/1000</f>
        <v>2306.1060000000002</v>
      </c>
      <c r="Q481" s="85">
        <f>STATS1003B!Q482/1000</f>
        <v>0</v>
      </c>
      <c r="R481" s="85">
        <f>STATS1003B!R482/1000</f>
        <v>0</v>
      </c>
      <c r="S481" s="85">
        <f>STATS1003B!S482/1000</f>
        <v>0</v>
      </c>
      <c r="T481" s="85">
        <f>STATS1003B!T482/1000</f>
        <v>0</v>
      </c>
      <c r="U481" s="85">
        <f>STATS1003B!U482/1000</f>
        <v>2306.1060000000002</v>
      </c>
      <c r="V481" s="85">
        <f>STATS1003B!V482/1000</f>
        <v>2306.1060000000002</v>
      </c>
      <c r="W481" s="85">
        <f>STATS1003B!W482/1000</f>
        <v>0</v>
      </c>
      <c r="X481" s="85">
        <f t="shared" si="49"/>
        <v>2306.1060000000002</v>
      </c>
      <c r="Y481" s="85">
        <f>STATS1003B!Y482/1000</f>
        <v>0</v>
      </c>
      <c r="Z481" s="85">
        <f t="shared" si="52"/>
        <v>0</v>
      </c>
      <c r="AA481" s="69">
        <f>STATS1003B!AA482/1000</f>
        <v>2306.1060000000002</v>
      </c>
      <c r="AB481" s="69">
        <f>STATS1003B!AB482/1000</f>
        <v>0</v>
      </c>
    </row>
    <row r="482" spans="1:28" hidden="1" x14ac:dyDescent="0.3">
      <c r="A482" s="117"/>
      <c r="C482" s="68" t="s">
        <v>57</v>
      </c>
      <c r="D482" s="145" t="s">
        <v>58</v>
      </c>
      <c r="E482" s="85">
        <f>STATS1003B!E483/1000</f>
        <v>2475.9544999999998</v>
      </c>
      <c r="F482" s="85">
        <f>STATS1003B!F483/1000</f>
        <v>2475.9544999999998</v>
      </c>
      <c r="G482" s="85">
        <f>STATS1003B!G483/1000</f>
        <v>0</v>
      </c>
      <c r="H482" s="85">
        <f>STATS1003B!H483/1000</f>
        <v>2475.9544999999998</v>
      </c>
      <c r="I482" s="85">
        <f>STATS1003B!I483/1000</f>
        <v>0</v>
      </c>
      <c r="J482" s="85">
        <f>STATS1003B!J483/1000</f>
        <v>0</v>
      </c>
      <c r="K482" s="85">
        <f>STATS1003B!K483/1000</f>
        <v>0</v>
      </c>
      <c r="L482" s="85">
        <f>STATS1003B!L483/1000</f>
        <v>0</v>
      </c>
      <c r="M482" s="85">
        <f>STATS1003B!M483/1000</f>
        <v>2475.9544999999998</v>
      </c>
      <c r="N482" s="85">
        <f>STATS1003B!N483/1000</f>
        <v>0</v>
      </c>
      <c r="O482" s="85">
        <f>STATS1003B!O483/1000</f>
        <v>0</v>
      </c>
      <c r="P482" s="85">
        <f>STATS1003B!P483/1000</f>
        <v>0</v>
      </c>
      <c r="Q482" s="85">
        <f>STATS1003B!Q483/1000</f>
        <v>0</v>
      </c>
      <c r="R482" s="85">
        <f>STATS1003B!R483/1000</f>
        <v>0</v>
      </c>
      <c r="S482" s="85">
        <f>STATS1003B!S483/1000</f>
        <v>0</v>
      </c>
      <c r="T482" s="85">
        <f>STATS1003B!T483/1000</f>
        <v>0</v>
      </c>
      <c r="U482" s="85">
        <f>STATS1003B!U483/1000</f>
        <v>0</v>
      </c>
      <c r="V482" s="85">
        <f>STATS1003B!V483/1000</f>
        <v>2475.9544999999998</v>
      </c>
      <c r="W482" s="85">
        <f>STATS1003B!W483/1000</f>
        <v>0</v>
      </c>
      <c r="X482" s="85">
        <f t="shared" si="49"/>
        <v>2475.9544999999998</v>
      </c>
      <c r="Y482" s="85">
        <f>STATS1003B!Y483/1000</f>
        <v>0</v>
      </c>
      <c r="Z482" s="85">
        <f t="shared" si="52"/>
        <v>0</v>
      </c>
      <c r="AA482" s="69">
        <f>STATS1003B!AA483/1000</f>
        <v>2475.9544999999998</v>
      </c>
      <c r="AB482" s="69">
        <f>STATS1003B!AB483/1000</f>
        <v>0</v>
      </c>
    </row>
    <row r="483" spans="1:28" hidden="1" x14ac:dyDescent="0.3">
      <c r="A483" s="117"/>
      <c r="C483" s="68" t="s">
        <v>57</v>
      </c>
      <c r="D483" s="145" t="s">
        <v>73</v>
      </c>
      <c r="E483" s="85">
        <f>STATS1003B!E484/1000</f>
        <v>252.74700000000001</v>
      </c>
      <c r="F483" s="85">
        <f>STATS1003B!F484/1000</f>
        <v>252.74700000000001</v>
      </c>
      <c r="G483" s="85">
        <f>STATS1003B!G484/1000</f>
        <v>0</v>
      </c>
      <c r="H483" s="85">
        <f>STATS1003B!H484/1000</f>
        <v>252.74700000000001</v>
      </c>
      <c r="I483" s="85">
        <f>STATS1003B!I484/1000</f>
        <v>0</v>
      </c>
      <c r="J483" s="85">
        <f>STATS1003B!J484/1000</f>
        <v>0</v>
      </c>
      <c r="K483" s="85">
        <f>STATS1003B!K484/1000</f>
        <v>0</v>
      </c>
      <c r="L483" s="85">
        <f>STATS1003B!L484/1000</f>
        <v>0</v>
      </c>
      <c r="M483" s="85">
        <f>STATS1003B!M484/1000</f>
        <v>252.74700000000001</v>
      </c>
      <c r="N483" s="85">
        <f>STATS1003B!N484/1000</f>
        <v>0</v>
      </c>
      <c r="O483" s="85">
        <f>STATS1003B!O484/1000</f>
        <v>0</v>
      </c>
      <c r="P483" s="85">
        <f>STATS1003B!P484/1000</f>
        <v>0</v>
      </c>
      <c r="Q483" s="85">
        <f>STATS1003B!Q484/1000</f>
        <v>0</v>
      </c>
      <c r="R483" s="85">
        <f>STATS1003B!R484/1000</f>
        <v>0</v>
      </c>
      <c r="S483" s="85">
        <f>STATS1003B!S484/1000</f>
        <v>0</v>
      </c>
      <c r="T483" s="85">
        <f>STATS1003B!T484/1000</f>
        <v>0</v>
      </c>
      <c r="U483" s="85">
        <f>STATS1003B!U484/1000</f>
        <v>0</v>
      </c>
      <c r="V483" s="85">
        <f>STATS1003B!V484/1000</f>
        <v>252.74700000000001</v>
      </c>
      <c r="W483" s="85">
        <f>STATS1003B!W484/1000</f>
        <v>0</v>
      </c>
      <c r="X483" s="85">
        <f t="shared" si="49"/>
        <v>252.74700000000001</v>
      </c>
      <c r="Y483" s="85">
        <f>STATS1003B!Y484/1000</f>
        <v>0</v>
      </c>
      <c r="Z483" s="85">
        <f t="shared" si="52"/>
        <v>0</v>
      </c>
      <c r="AA483" s="69">
        <f>STATS1003B!AA484/1000</f>
        <v>252.74700000000001</v>
      </c>
      <c r="AB483" s="69">
        <f>STATS1003B!AB484/1000</f>
        <v>0</v>
      </c>
    </row>
    <row r="484" spans="1:28" hidden="1" x14ac:dyDescent="0.3">
      <c r="A484" s="117"/>
      <c r="C484" s="71" t="s">
        <v>109</v>
      </c>
      <c r="D484" s="88" t="s">
        <v>60</v>
      </c>
      <c r="E484" s="85">
        <f>STATS1003B!E485/1000</f>
        <v>5888.6207300000005</v>
      </c>
      <c r="F484" s="85">
        <f>STATS1003B!F485/1000</f>
        <v>4858.6324999999997</v>
      </c>
      <c r="G484" s="85">
        <f>STATS1003B!G485/1000</f>
        <v>0</v>
      </c>
      <c r="H484" s="85">
        <f>STATS1003B!H485/1000</f>
        <v>4858.6324999999997</v>
      </c>
      <c r="I484" s="85">
        <f>STATS1003B!I485/1000</f>
        <v>1029.9882299999999</v>
      </c>
      <c r="J484" s="85">
        <f>STATS1003B!J485/1000</f>
        <v>0</v>
      </c>
      <c r="K484" s="85">
        <f>STATS1003B!K485/1000</f>
        <v>0</v>
      </c>
      <c r="L484" s="85">
        <f>STATS1003B!L485/1000</f>
        <v>1029.9882299999999</v>
      </c>
      <c r="M484" s="85">
        <f>STATS1003B!M485/1000</f>
        <v>5888.6207300000005</v>
      </c>
      <c r="N484" s="85">
        <f>STATS1003B!N485/1000</f>
        <v>0</v>
      </c>
      <c r="O484" s="85">
        <f>STATS1003B!O485/1000</f>
        <v>0</v>
      </c>
      <c r="P484" s="85">
        <f>STATS1003B!P485/1000</f>
        <v>0</v>
      </c>
      <c r="Q484" s="85">
        <f>STATS1003B!Q485/1000</f>
        <v>0</v>
      </c>
      <c r="R484" s="85">
        <f>STATS1003B!R485/1000</f>
        <v>0</v>
      </c>
      <c r="S484" s="85">
        <f>STATS1003B!S485/1000</f>
        <v>0</v>
      </c>
      <c r="T484" s="85">
        <f>STATS1003B!T485/1000</f>
        <v>0</v>
      </c>
      <c r="U484" s="85">
        <f>STATS1003B!U485/1000</f>
        <v>0</v>
      </c>
      <c r="V484" s="85">
        <f>STATS1003B!V485/1000</f>
        <v>4858.6324999999997</v>
      </c>
      <c r="W484" s="85">
        <f>STATS1003B!W485/1000</f>
        <v>1029.9882300000004</v>
      </c>
      <c r="X484" s="85">
        <f t="shared" si="49"/>
        <v>4858.6324999999997</v>
      </c>
      <c r="Y484" s="85">
        <f>STATS1003B!Y485/1000</f>
        <v>0</v>
      </c>
      <c r="Z484" s="85">
        <f t="shared" si="52"/>
        <v>1029.9882300000008</v>
      </c>
      <c r="AA484" s="69">
        <f>STATS1003B!AA485/1000</f>
        <v>5888.6207300000005</v>
      </c>
      <c r="AB484" s="69">
        <f>STATS1003B!AB485/1000</f>
        <v>0</v>
      </c>
    </row>
    <row r="485" spans="1:28" hidden="1" x14ac:dyDescent="0.3">
      <c r="A485" s="117"/>
      <c r="C485" s="68" t="s">
        <v>122</v>
      </c>
      <c r="E485" s="85">
        <f>STATS1003B!E486/1000</f>
        <v>88.174999999999997</v>
      </c>
      <c r="F485" s="85">
        <f>STATS1003B!F486/1000</f>
        <v>88.174999999999997</v>
      </c>
      <c r="G485" s="85">
        <f>STATS1003B!G486/1000</f>
        <v>0</v>
      </c>
      <c r="H485" s="85">
        <f>STATS1003B!H486/1000</f>
        <v>88.174999999999997</v>
      </c>
      <c r="I485" s="85">
        <f>STATS1003B!I486/1000</f>
        <v>0</v>
      </c>
      <c r="J485" s="85">
        <f>STATS1003B!J486/1000</f>
        <v>0</v>
      </c>
      <c r="K485" s="85">
        <f>STATS1003B!K486/1000</f>
        <v>0</v>
      </c>
      <c r="L485" s="85">
        <f>STATS1003B!L486/1000</f>
        <v>0</v>
      </c>
      <c r="M485" s="85">
        <f>STATS1003B!M486/1000</f>
        <v>88.174999999999997</v>
      </c>
      <c r="N485" s="85">
        <f>STATS1003B!N486/1000</f>
        <v>0</v>
      </c>
      <c r="O485" s="85">
        <f>STATS1003B!O486/1000</f>
        <v>0</v>
      </c>
      <c r="P485" s="85">
        <f>STATS1003B!P486/1000</f>
        <v>0</v>
      </c>
      <c r="Q485" s="85">
        <f>STATS1003B!Q486/1000</f>
        <v>0</v>
      </c>
      <c r="R485" s="85">
        <f>STATS1003B!R486/1000</f>
        <v>0</v>
      </c>
      <c r="S485" s="85">
        <f>STATS1003B!S486/1000</f>
        <v>0</v>
      </c>
      <c r="T485" s="85">
        <f>STATS1003B!T486/1000</f>
        <v>0</v>
      </c>
      <c r="U485" s="85">
        <f>STATS1003B!U486/1000</f>
        <v>0</v>
      </c>
      <c r="V485" s="85">
        <f>STATS1003B!V486/1000</f>
        <v>88.174999999999997</v>
      </c>
      <c r="W485" s="85">
        <f>STATS1003B!W486/1000</f>
        <v>0</v>
      </c>
      <c r="X485" s="85">
        <f t="shared" si="49"/>
        <v>88.174999999999997</v>
      </c>
      <c r="Y485" s="85">
        <f>STATS1003B!Y486/1000</f>
        <v>0</v>
      </c>
      <c r="Z485" s="85">
        <f t="shared" si="52"/>
        <v>0</v>
      </c>
      <c r="AA485" s="69">
        <f>STATS1003B!AA486/1000</f>
        <v>88.174999999999997</v>
      </c>
      <c r="AB485" s="69">
        <f>STATS1003B!AB486/1000</f>
        <v>0</v>
      </c>
    </row>
    <row r="486" spans="1:28" hidden="1" x14ac:dyDescent="0.3">
      <c r="A486" s="117"/>
      <c r="E486" s="86" t="s">
        <v>29</v>
      </c>
      <c r="F486" s="86" t="s">
        <v>29</v>
      </c>
      <c r="G486" s="86" t="s">
        <v>29</v>
      </c>
      <c r="H486" s="86" t="s">
        <v>29</v>
      </c>
      <c r="I486" s="86" t="s">
        <v>29</v>
      </c>
      <c r="J486" s="86" t="s">
        <v>29</v>
      </c>
      <c r="K486" s="86" t="s">
        <v>29</v>
      </c>
      <c r="L486" s="86" t="s">
        <v>29</v>
      </c>
      <c r="M486" s="86" t="s">
        <v>29</v>
      </c>
      <c r="N486" s="86" t="s">
        <v>29</v>
      </c>
      <c r="O486" s="86" t="s">
        <v>29</v>
      </c>
      <c r="P486" s="86" t="s">
        <v>29</v>
      </c>
      <c r="Q486" s="86" t="s">
        <v>29</v>
      </c>
      <c r="R486" s="86" t="s">
        <v>29</v>
      </c>
      <c r="S486" s="86" t="s">
        <v>29</v>
      </c>
      <c r="T486" s="86" t="s">
        <v>29</v>
      </c>
      <c r="U486" s="86" t="s">
        <v>29</v>
      </c>
      <c r="V486" s="86" t="s">
        <v>29</v>
      </c>
      <c r="W486" s="86" t="s">
        <v>29</v>
      </c>
      <c r="X486" s="85" t="e">
        <f t="shared" si="49"/>
        <v>#VALUE!</v>
      </c>
      <c r="Y486" s="86" t="s">
        <v>29</v>
      </c>
      <c r="Z486" s="85" t="e">
        <f t="shared" si="52"/>
        <v>#VALUE!</v>
      </c>
      <c r="AA486" s="115" t="s">
        <v>29</v>
      </c>
      <c r="AB486" s="115" t="s">
        <v>29</v>
      </c>
    </row>
    <row r="487" spans="1:28" x14ac:dyDescent="0.3">
      <c r="A487" s="116" t="s">
        <v>955</v>
      </c>
      <c r="B487" s="68" t="s">
        <v>156</v>
      </c>
      <c r="E487" s="85">
        <f>191227002.53/1000</f>
        <v>191227.00253</v>
      </c>
      <c r="F487" s="85">
        <f>SUM(F476:F485)</f>
        <v>114238.79169</v>
      </c>
      <c r="G487" s="85">
        <f>SUM(G476:G485)</f>
        <v>0</v>
      </c>
      <c r="H487" s="85">
        <f>164049574.67/1000</f>
        <v>164049.57466999997</v>
      </c>
      <c r="I487" s="85">
        <f t="shared" ref="I487:O487" si="55">SUM(I476:I485)</f>
        <v>1029.9882299999999</v>
      </c>
      <c r="J487" s="85">
        <f t="shared" si="55"/>
        <v>0</v>
      </c>
      <c r="K487" s="85">
        <f t="shared" si="55"/>
        <v>0</v>
      </c>
      <c r="L487" s="85">
        <f t="shared" si="55"/>
        <v>1029.9882299999999</v>
      </c>
      <c r="M487" s="85">
        <f t="shared" si="55"/>
        <v>115268.77991999999</v>
      </c>
      <c r="N487" s="85">
        <f t="shared" si="55"/>
        <v>5680.5250000000005</v>
      </c>
      <c r="O487" s="85">
        <f t="shared" si="55"/>
        <v>0</v>
      </c>
      <c r="P487" s="85">
        <f>5680525/1000</f>
        <v>5680.5249999999996</v>
      </c>
      <c r="Q487" s="85">
        <f t="shared" ref="Q487:W487" si="56">SUM(Q476:Q485)</f>
        <v>0</v>
      </c>
      <c r="R487" s="85">
        <f t="shared" si="56"/>
        <v>0</v>
      </c>
      <c r="S487" s="85">
        <f t="shared" si="56"/>
        <v>0</v>
      </c>
      <c r="T487" s="85">
        <f t="shared" si="56"/>
        <v>0</v>
      </c>
      <c r="U487" s="85">
        <f t="shared" si="56"/>
        <v>5680.5250000000005</v>
      </c>
      <c r="V487" s="85">
        <f t="shared" si="56"/>
        <v>119919.31669000002</v>
      </c>
      <c r="W487" s="85">
        <f t="shared" si="56"/>
        <v>1029.9882300000004</v>
      </c>
      <c r="X487" s="85">
        <f t="shared" si="49"/>
        <v>169730.09966999997</v>
      </c>
      <c r="Y487" s="85">
        <f>SUM(Y476:Y485)</f>
        <v>0</v>
      </c>
      <c r="Z487" s="85">
        <f t="shared" si="52"/>
        <v>21496.902860000031</v>
      </c>
      <c r="AA487" s="69">
        <f>SUM(AA476:AA485)</f>
        <v>120949.30492000001</v>
      </c>
      <c r="AB487" s="69">
        <f>SUM(AB476:AB485)</f>
        <v>20466.914630000007</v>
      </c>
    </row>
    <row r="488" spans="1:28" hidden="1" x14ac:dyDescent="0.3">
      <c r="A488" s="117"/>
      <c r="E488" s="86" t="s">
        <v>29</v>
      </c>
      <c r="F488" s="86" t="s">
        <v>29</v>
      </c>
      <c r="G488" s="86" t="s">
        <v>29</v>
      </c>
      <c r="H488" s="86" t="s">
        <v>29</v>
      </c>
      <c r="I488" s="86" t="s">
        <v>29</v>
      </c>
      <c r="J488" s="86" t="s">
        <v>29</v>
      </c>
      <c r="K488" s="86" t="s">
        <v>29</v>
      </c>
      <c r="L488" s="86" t="s">
        <v>29</v>
      </c>
      <c r="M488" s="86" t="s">
        <v>29</v>
      </c>
      <c r="N488" s="86" t="s">
        <v>29</v>
      </c>
      <c r="O488" s="86" t="s">
        <v>29</v>
      </c>
      <c r="P488" s="86" t="s">
        <v>29</v>
      </c>
      <c r="Q488" s="86" t="s">
        <v>29</v>
      </c>
      <c r="R488" s="86" t="s">
        <v>29</v>
      </c>
      <c r="S488" s="86" t="s">
        <v>29</v>
      </c>
      <c r="T488" s="86" t="s">
        <v>29</v>
      </c>
      <c r="U488" s="86" t="s">
        <v>29</v>
      </c>
      <c r="V488" s="86" t="s">
        <v>29</v>
      </c>
      <c r="W488" s="86" t="s">
        <v>29</v>
      </c>
      <c r="X488" s="85" t="e">
        <f t="shared" si="49"/>
        <v>#VALUE!</v>
      </c>
      <c r="Y488" s="86" t="s">
        <v>29</v>
      </c>
      <c r="Z488" s="85" t="e">
        <f t="shared" si="52"/>
        <v>#VALUE!</v>
      </c>
      <c r="AA488" s="115" t="s">
        <v>29</v>
      </c>
      <c r="AB488" s="115" t="s">
        <v>29</v>
      </c>
    </row>
    <row r="489" spans="1:28" hidden="1" x14ac:dyDescent="0.3">
      <c r="A489" s="117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5">
        <f t="shared" si="49"/>
        <v>0</v>
      </c>
      <c r="Y489" s="84"/>
      <c r="Z489" s="85">
        <f t="shared" si="52"/>
        <v>0</v>
      </c>
      <c r="AA489" s="118"/>
    </row>
    <row r="490" spans="1:28" hidden="1" x14ac:dyDescent="0.3">
      <c r="A490" s="105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5">
        <f t="shared" si="49"/>
        <v>0</v>
      </c>
      <c r="Y490" s="84"/>
      <c r="Z490" s="85">
        <f t="shared" si="52"/>
        <v>0</v>
      </c>
    </row>
    <row r="491" spans="1:28" hidden="1" x14ac:dyDescent="0.3">
      <c r="A491" s="117"/>
      <c r="C491" s="68" t="s">
        <v>75</v>
      </c>
      <c r="D491" s="88" t="s">
        <v>76</v>
      </c>
      <c r="E491" s="85">
        <f>STATS1003B!E492/1000</f>
        <v>2852</v>
      </c>
      <c r="F491" s="85">
        <f>STATS1003B!F492/1000</f>
        <v>0</v>
      </c>
      <c r="G491" s="85">
        <f>STATS1003B!G492/1000</f>
        <v>0</v>
      </c>
      <c r="H491" s="85">
        <f>STATS1003B!H492/1000</f>
        <v>0</v>
      </c>
      <c r="I491" s="85">
        <f>STATS1003B!I492/1000</f>
        <v>0</v>
      </c>
      <c r="J491" s="85">
        <f>STATS1003B!J492/1000</f>
        <v>0</v>
      </c>
      <c r="K491" s="85">
        <f>STATS1003B!K492/1000</f>
        <v>0</v>
      </c>
      <c r="L491" s="85">
        <f>STATS1003B!L492/1000</f>
        <v>0</v>
      </c>
      <c r="M491" s="85">
        <f>STATS1003B!M492/1000</f>
        <v>0</v>
      </c>
      <c r="N491" s="85">
        <f>STATS1003B!N492/1000</f>
        <v>2069.6983600000003</v>
      </c>
      <c r="O491" s="85">
        <f>STATS1003B!O492/1000</f>
        <v>0</v>
      </c>
      <c r="P491" s="85">
        <f>STATS1003B!P492/1000</f>
        <v>2069.6983600000003</v>
      </c>
      <c r="Q491" s="85">
        <f>STATS1003B!Q492/1000</f>
        <v>0</v>
      </c>
      <c r="R491" s="85">
        <f>STATS1003B!R492/1000</f>
        <v>0</v>
      </c>
      <c r="S491" s="85">
        <f>STATS1003B!S492/1000</f>
        <v>0</v>
      </c>
      <c r="T491" s="85">
        <f>STATS1003B!T492/1000</f>
        <v>0</v>
      </c>
      <c r="U491" s="85">
        <f>STATS1003B!U492/1000</f>
        <v>2069.6983600000003</v>
      </c>
      <c r="V491" s="85">
        <f>STATS1003B!V492/1000</f>
        <v>2069.6983600000003</v>
      </c>
      <c r="W491" s="85">
        <f>STATS1003B!W492/1000</f>
        <v>782.30163999999991</v>
      </c>
      <c r="X491" s="85">
        <f t="shared" si="49"/>
        <v>2069.6983600000003</v>
      </c>
      <c r="Y491" s="85">
        <f>STATS1003B!Y492/1000</f>
        <v>0</v>
      </c>
      <c r="Z491" s="85">
        <f t="shared" si="52"/>
        <v>782.30163999999968</v>
      </c>
      <c r="AA491" s="69">
        <f>STATS1003B!AA492/1000</f>
        <v>2069.6983600000003</v>
      </c>
      <c r="AB491" s="69">
        <f>STATS1003B!AB492/1000</f>
        <v>782.30163999999991</v>
      </c>
    </row>
    <row r="492" spans="1:28" hidden="1" x14ac:dyDescent="0.3">
      <c r="A492" s="117"/>
      <c r="C492" s="68" t="s">
        <v>55</v>
      </c>
      <c r="D492" s="145" t="s">
        <v>54</v>
      </c>
      <c r="E492" s="85">
        <f>STATS1003B!E493/1000</f>
        <v>1892.385</v>
      </c>
      <c r="F492" s="85">
        <f>STATS1003B!F493/1000</f>
        <v>0</v>
      </c>
      <c r="G492" s="85">
        <f>STATS1003B!G493/1000</f>
        <v>0</v>
      </c>
      <c r="H492" s="85">
        <f>STATS1003B!H493/1000</f>
        <v>0</v>
      </c>
      <c r="I492" s="85">
        <f>STATS1003B!I493/1000</f>
        <v>0</v>
      </c>
      <c r="J492" s="85">
        <f>STATS1003B!J493/1000</f>
        <v>0</v>
      </c>
      <c r="K492" s="85">
        <f>STATS1003B!K493/1000</f>
        <v>0</v>
      </c>
      <c r="L492" s="85">
        <f>STATS1003B!L493/1000</f>
        <v>0</v>
      </c>
      <c r="M492" s="85">
        <f>STATS1003B!M493/1000</f>
        <v>0</v>
      </c>
      <c r="N492" s="85">
        <f>STATS1003B!N493/1000</f>
        <v>1892.385</v>
      </c>
      <c r="O492" s="85">
        <f>STATS1003B!O493/1000</f>
        <v>0</v>
      </c>
      <c r="P492" s="85">
        <f>STATS1003B!P493/1000</f>
        <v>1892.385</v>
      </c>
      <c r="Q492" s="85">
        <f>STATS1003B!Q493/1000</f>
        <v>0</v>
      </c>
      <c r="R492" s="85">
        <f>STATS1003B!R493/1000</f>
        <v>0</v>
      </c>
      <c r="S492" s="85">
        <f>STATS1003B!S493/1000</f>
        <v>0</v>
      </c>
      <c r="T492" s="85">
        <f>STATS1003B!T493/1000</f>
        <v>0</v>
      </c>
      <c r="U492" s="85">
        <f>STATS1003B!U493/1000</f>
        <v>1892.385</v>
      </c>
      <c r="V492" s="85">
        <f>STATS1003B!V493/1000</f>
        <v>1892.385</v>
      </c>
      <c r="W492" s="85">
        <f>STATS1003B!W493/1000</f>
        <v>0</v>
      </c>
      <c r="X492" s="85">
        <f t="shared" si="49"/>
        <v>1892.385</v>
      </c>
      <c r="Y492" s="85">
        <f>STATS1003B!Y493/1000</f>
        <v>0</v>
      </c>
      <c r="Z492" s="85">
        <f t="shared" si="52"/>
        <v>0</v>
      </c>
      <c r="AA492" s="69">
        <f>STATS1003B!AA493/1000</f>
        <v>1892.385</v>
      </c>
      <c r="AB492" s="69">
        <f>STATS1003B!AB493/1000</f>
        <v>0</v>
      </c>
    </row>
    <row r="493" spans="1:28" hidden="1" x14ac:dyDescent="0.3">
      <c r="A493" s="117"/>
      <c r="C493" s="68" t="s">
        <v>161</v>
      </c>
      <c r="D493" s="145" t="s">
        <v>54</v>
      </c>
      <c r="E493" s="85">
        <f>STATS1003B!E494/1000</f>
        <v>955.34561999999994</v>
      </c>
      <c r="F493" s="85">
        <f>STATS1003B!F494/1000</f>
        <v>0</v>
      </c>
      <c r="G493" s="85">
        <f>STATS1003B!G494/1000</f>
        <v>0</v>
      </c>
      <c r="H493" s="85">
        <f>STATS1003B!H494/1000</f>
        <v>0</v>
      </c>
      <c r="I493" s="85">
        <f>STATS1003B!I494/1000</f>
        <v>0</v>
      </c>
      <c r="J493" s="85">
        <f>STATS1003B!J494/1000</f>
        <v>0</v>
      </c>
      <c r="K493" s="85">
        <f>STATS1003B!K494/1000</f>
        <v>0</v>
      </c>
      <c r="L493" s="85">
        <f>STATS1003B!L494/1000</f>
        <v>0</v>
      </c>
      <c r="M493" s="85">
        <f>STATS1003B!M494/1000</f>
        <v>0</v>
      </c>
      <c r="N493" s="85">
        <f>STATS1003B!N494/1000</f>
        <v>955.34561999999994</v>
      </c>
      <c r="O493" s="85">
        <f>STATS1003B!O494/1000</f>
        <v>0</v>
      </c>
      <c r="P493" s="85">
        <f>STATS1003B!P494/1000</f>
        <v>955.34561999999994</v>
      </c>
      <c r="Q493" s="85">
        <f>STATS1003B!Q494/1000</f>
        <v>0</v>
      </c>
      <c r="R493" s="85">
        <f>STATS1003B!R494/1000</f>
        <v>0</v>
      </c>
      <c r="S493" s="85">
        <f>STATS1003B!S494/1000</f>
        <v>0</v>
      </c>
      <c r="T493" s="85">
        <f>STATS1003B!T494/1000</f>
        <v>0</v>
      </c>
      <c r="U493" s="85">
        <f>STATS1003B!U494/1000</f>
        <v>955.34561999999994</v>
      </c>
      <c r="V493" s="85">
        <f>STATS1003B!V494/1000</f>
        <v>955.34561999999994</v>
      </c>
      <c r="W493" s="85">
        <f>STATS1003B!W494/1000</f>
        <v>0</v>
      </c>
      <c r="X493" s="85">
        <f t="shared" si="49"/>
        <v>955.34561999999994</v>
      </c>
      <c r="Y493" s="85">
        <f>STATS1003B!Y494/1000</f>
        <v>0</v>
      </c>
      <c r="Z493" s="85">
        <f t="shared" si="52"/>
        <v>0</v>
      </c>
      <c r="AA493" s="69">
        <f>STATS1003B!AA494/1000</f>
        <v>955.34561999999994</v>
      </c>
      <c r="AB493" s="69">
        <f>STATS1003B!AB494/1000</f>
        <v>0</v>
      </c>
    </row>
    <row r="494" spans="1:28" hidden="1" x14ac:dyDescent="0.3">
      <c r="A494" s="117"/>
      <c r="C494" s="68" t="s">
        <v>159</v>
      </c>
      <c r="D494" s="145" t="s">
        <v>85</v>
      </c>
      <c r="E494" s="85">
        <f>STATS1003B!E495/1000</f>
        <v>1953.989</v>
      </c>
      <c r="F494" s="85">
        <f>STATS1003B!F495/1000</f>
        <v>0</v>
      </c>
      <c r="G494" s="85">
        <f>STATS1003B!G495/1000</f>
        <v>0</v>
      </c>
      <c r="H494" s="85">
        <f>STATS1003B!H495/1000</f>
        <v>0</v>
      </c>
      <c r="I494" s="85">
        <f>STATS1003B!I495/1000</f>
        <v>0</v>
      </c>
      <c r="J494" s="85">
        <f>STATS1003B!J495/1000</f>
        <v>0</v>
      </c>
      <c r="K494" s="85">
        <f>STATS1003B!K495/1000</f>
        <v>0</v>
      </c>
      <c r="L494" s="85">
        <f>STATS1003B!L495/1000</f>
        <v>0</v>
      </c>
      <c r="M494" s="85">
        <f>STATS1003B!M495/1000</f>
        <v>0</v>
      </c>
      <c r="N494" s="85">
        <f>STATS1003B!N495/1000</f>
        <v>1953.989</v>
      </c>
      <c r="O494" s="85">
        <f>STATS1003B!O495/1000</f>
        <v>0</v>
      </c>
      <c r="P494" s="85">
        <f>STATS1003B!P495/1000</f>
        <v>1953.989</v>
      </c>
      <c r="Q494" s="85">
        <f>STATS1003B!Q495/1000</f>
        <v>0</v>
      </c>
      <c r="R494" s="85">
        <f>STATS1003B!R495/1000</f>
        <v>0</v>
      </c>
      <c r="S494" s="85">
        <f>STATS1003B!S495/1000</f>
        <v>0</v>
      </c>
      <c r="T494" s="85">
        <f>STATS1003B!T495/1000</f>
        <v>0</v>
      </c>
      <c r="U494" s="85">
        <f>STATS1003B!U495/1000</f>
        <v>1953.989</v>
      </c>
      <c r="V494" s="85">
        <f>STATS1003B!V495/1000</f>
        <v>1953.989</v>
      </c>
      <c r="W494" s="85">
        <f>STATS1003B!W495/1000</f>
        <v>0</v>
      </c>
      <c r="X494" s="85">
        <f t="shared" si="49"/>
        <v>1953.989</v>
      </c>
      <c r="Y494" s="85">
        <f>STATS1003B!Y495/1000</f>
        <v>0</v>
      </c>
      <c r="Z494" s="85">
        <f t="shared" si="52"/>
        <v>0</v>
      </c>
      <c r="AA494" s="69">
        <f>STATS1003B!AA495/1000</f>
        <v>1953.989</v>
      </c>
      <c r="AB494" s="69">
        <f>STATS1003B!AB495/1000</f>
        <v>0</v>
      </c>
    </row>
    <row r="495" spans="1:28" hidden="1" x14ac:dyDescent="0.3">
      <c r="A495" s="117"/>
      <c r="C495" s="68" t="s">
        <v>57</v>
      </c>
      <c r="D495" s="145" t="s">
        <v>108</v>
      </c>
      <c r="E495" s="85">
        <f>STATS1003B!E496/1000</f>
        <v>3156.1996899999999</v>
      </c>
      <c r="F495" s="85">
        <f>STATS1003B!F496/1000</f>
        <v>3156.1996899999999</v>
      </c>
      <c r="G495" s="85">
        <f>STATS1003B!G496/1000</f>
        <v>0</v>
      </c>
      <c r="H495" s="85">
        <f>STATS1003B!H496/1000</f>
        <v>3156.1996899999999</v>
      </c>
      <c r="I495" s="85">
        <f>STATS1003B!I496/1000</f>
        <v>0</v>
      </c>
      <c r="J495" s="85">
        <f>STATS1003B!J496/1000</f>
        <v>0</v>
      </c>
      <c r="K495" s="85">
        <f>STATS1003B!K496/1000</f>
        <v>0</v>
      </c>
      <c r="L495" s="85">
        <f>STATS1003B!L496/1000</f>
        <v>0</v>
      </c>
      <c r="M495" s="85">
        <f>STATS1003B!M496/1000</f>
        <v>3156.1996899999999</v>
      </c>
      <c r="N495" s="85">
        <f>STATS1003B!N496/1000</f>
        <v>0</v>
      </c>
      <c r="O495" s="85">
        <f>STATS1003B!O496/1000</f>
        <v>0</v>
      </c>
      <c r="P495" s="85">
        <f>STATS1003B!P496/1000</f>
        <v>0</v>
      </c>
      <c r="Q495" s="85">
        <f>STATS1003B!Q496/1000</f>
        <v>0</v>
      </c>
      <c r="R495" s="85">
        <f>STATS1003B!R496/1000</f>
        <v>0</v>
      </c>
      <c r="S495" s="85">
        <f>STATS1003B!S496/1000</f>
        <v>0</v>
      </c>
      <c r="T495" s="85">
        <f>STATS1003B!T496/1000</f>
        <v>0</v>
      </c>
      <c r="U495" s="85">
        <f>STATS1003B!U496/1000</f>
        <v>0</v>
      </c>
      <c r="V495" s="85">
        <f>STATS1003B!V496/1000</f>
        <v>3156.1996899999999</v>
      </c>
      <c r="W495" s="85">
        <f>STATS1003B!W496/1000</f>
        <v>0</v>
      </c>
      <c r="X495" s="85">
        <f t="shared" si="49"/>
        <v>3156.1996899999999</v>
      </c>
      <c r="Y495" s="85">
        <f>STATS1003B!Y496/1000</f>
        <v>0</v>
      </c>
      <c r="Z495" s="85">
        <f t="shared" si="52"/>
        <v>0</v>
      </c>
      <c r="AA495" s="69">
        <f>STATS1003B!AA496/1000</f>
        <v>3156.1996899999999</v>
      </c>
      <c r="AB495" s="69">
        <f>STATS1003B!AB496/1000</f>
        <v>0</v>
      </c>
    </row>
    <row r="496" spans="1:28" hidden="1" x14ac:dyDescent="0.3">
      <c r="A496" s="117"/>
      <c r="C496" s="68" t="s">
        <v>57</v>
      </c>
      <c r="D496" s="145" t="s">
        <v>58</v>
      </c>
      <c r="E496" s="85">
        <f>STATS1003B!E497/1000</f>
        <v>2931</v>
      </c>
      <c r="F496" s="85">
        <f>STATS1003B!F497/1000</f>
        <v>2931</v>
      </c>
      <c r="G496" s="85">
        <f>STATS1003B!G497/1000</f>
        <v>0</v>
      </c>
      <c r="H496" s="85">
        <f>STATS1003B!H497/1000</f>
        <v>2931</v>
      </c>
      <c r="I496" s="85">
        <f>STATS1003B!I497/1000</f>
        <v>0</v>
      </c>
      <c r="J496" s="85">
        <f>STATS1003B!J497/1000</f>
        <v>0</v>
      </c>
      <c r="K496" s="85">
        <f>STATS1003B!K497/1000</f>
        <v>0</v>
      </c>
      <c r="L496" s="85">
        <f>STATS1003B!L497/1000</f>
        <v>0</v>
      </c>
      <c r="M496" s="85">
        <f>STATS1003B!M497/1000</f>
        <v>2931</v>
      </c>
      <c r="N496" s="85">
        <f>STATS1003B!N497/1000</f>
        <v>0</v>
      </c>
      <c r="O496" s="85">
        <f>STATS1003B!O497/1000</f>
        <v>0</v>
      </c>
      <c r="P496" s="85">
        <f>STATS1003B!P497/1000</f>
        <v>0</v>
      </c>
      <c r="Q496" s="85">
        <f>STATS1003B!Q497/1000</f>
        <v>0</v>
      </c>
      <c r="R496" s="85">
        <f>STATS1003B!R497/1000</f>
        <v>0</v>
      </c>
      <c r="S496" s="85">
        <f>STATS1003B!S497/1000</f>
        <v>0</v>
      </c>
      <c r="T496" s="85">
        <f>STATS1003B!T497/1000</f>
        <v>0</v>
      </c>
      <c r="U496" s="85">
        <f>STATS1003B!U497/1000</f>
        <v>0</v>
      </c>
      <c r="V496" s="85">
        <f>STATS1003B!V497/1000</f>
        <v>2931</v>
      </c>
      <c r="W496" s="85">
        <f>STATS1003B!W497/1000</f>
        <v>0</v>
      </c>
      <c r="X496" s="85">
        <f t="shared" si="49"/>
        <v>2931</v>
      </c>
      <c r="Y496" s="85">
        <f>STATS1003B!Y497/1000</f>
        <v>0</v>
      </c>
      <c r="Z496" s="85">
        <f t="shared" si="52"/>
        <v>0</v>
      </c>
      <c r="AA496" s="69">
        <f>STATS1003B!AA497/1000</f>
        <v>2931</v>
      </c>
      <c r="AB496" s="69">
        <f>STATS1003B!AB497/1000</f>
        <v>0</v>
      </c>
    </row>
    <row r="497" spans="1:28" hidden="1" x14ac:dyDescent="0.3">
      <c r="A497" s="117"/>
      <c r="C497" s="68" t="s">
        <v>57</v>
      </c>
      <c r="D497" s="145" t="s">
        <v>60</v>
      </c>
      <c r="E497" s="85">
        <f>STATS1003B!E498/1000</f>
        <v>1503.3406100000002</v>
      </c>
      <c r="F497" s="85">
        <f>STATS1003B!F498/1000</f>
        <v>1503.3406100000002</v>
      </c>
      <c r="G497" s="85">
        <f>STATS1003B!G498/1000</f>
        <v>0</v>
      </c>
      <c r="H497" s="85">
        <f>STATS1003B!H498/1000</f>
        <v>1503.3406100000002</v>
      </c>
      <c r="I497" s="85">
        <f>STATS1003B!I498/1000</f>
        <v>0</v>
      </c>
      <c r="J497" s="85">
        <f>STATS1003B!J498/1000</f>
        <v>0</v>
      </c>
      <c r="K497" s="85">
        <f>STATS1003B!K498/1000</f>
        <v>0</v>
      </c>
      <c r="L497" s="85">
        <f>STATS1003B!L498/1000</f>
        <v>0</v>
      </c>
      <c r="M497" s="85">
        <f>STATS1003B!M498/1000</f>
        <v>1503.3406100000002</v>
      </c>
      <c r="N497" s="85">
        <f>STATS1003B!N498/1000</f>
        <v>0</v>
      </c>
      <c r="O497" s="85">
        <f>STATS1003B!O498/1000</f>
        <v>0</v>
      </c>
      <c r="P497" s="85">
        <f>STATS1003B!P498/1000</f>
        <v>0</v>
      </c>
      <c r="Q497" s="85">
        <f>STATS1003B!Q498/1000</f>
        <v>0</v>
      </c>
      <c r="R497" s="85">
        <f>STATS1003B!R498/1000</f>
        <v>0</v>
      </c>
      <c r="S497" s="85">
        <f>STATS1003B!S498/1000</f>
        <v>0</v>
      </c>
      <c r="T497" s="85">
        <f>STATS1003B!T498/1000</f>
        <v>0</v>
      </c>
      <c r="U497" s="85">
        <f>STATS1003B!U498/1000</f>
        <v>0</v>
      </c>
      <c r="V497" s="85">
        <f>STATS1003B!V498/1000</f>
        <v>1503.3406100000002</v>
      </c>
      <c r="W497" s="85">
        <f>STATS1003B!W498/1000</f>
        <v>0</v>
      </c>
      <c r="X497" s="85">
        <f t="shared" si="49"/>
        <v>1503.3406100000002</v>
      </c>
      <c r="Y497" s="85">
        <f>STATS1003B!Y498/1000</f>
        <v>0</v>
      </c>
      <c r="Z497" s="85">
        <f t="shared" si="52"/>
        <v>0</v>
      </c>
      <c r="AA497" s="69">
        <f>STATS1003B!AA498/1000</f>
        <v>1503.3406100000002</v>
      </c>
      <c r="AB497" s="69">
        <f>STATS1003B!AB498/1000</f>
        <v>0</v>
      </c>
    </row>
    <row r="498" spans="1:28" hidden="1" x14ac:dyDescent="0.3">
      <c r="A498" s="117"/>
      <c r="C498" s="71" t="s">
        <v>109</v>
      </c>
      <c r="D498" s="88" t="s">
        <v>60</v>
      </c>
      <c r="E498" s="85">
        <f>STATS1003B!E499/1000</f>
        <v>2500</v>
      </c>
      <c r="F498" s="85">
        <f>STATS1003B!F499/1000</f>
        <v>2500</v>
      </c>
      <c r="G498" s="85">
        <f>STATS1003B!G499/1000</f>
        <v>0</v>
      </c>
      <c r="H498" s="85">
        <f>STATS1003B!H499/1000</f>
        <v>2500</v>
      </c>
      <c r="I498" s="85">
        <f>STATS1003B!I499/1000</f>
        <v>0</v>
      </c>
      <c r="J498" s="85">
        <f>STATS1003B!J499/1000</f>
        <v>0</v>
      </c>
      <c r="K498" s="85">
        <f>STATS1003B!K499/1000</f>
        <v>0</v>
      </c>
      <c r="L498" s="85">
        <f>STATS1003B!L499/1000</f>
        <v>0</v>
      </c>
      <c r="M498" s="85">
        <f>STATS1003B!M499/1000</f>
        <v>2500</v>
      </c>
      <c r="N498" s="85">
        <f>STATS1003B!N499/1000</f>
        <v>0</v>
      </c>
      <c r="O498" s="85">
        <f>STATS1003B!O499/1000</f>
        <v>0</v>
      </c>
      <c r="P498" s="85">
        <f>STATS1003B!P499/1000</f>
        <v>0</v>
      </c>
      <c r="Q498" s="85">
        <f>STATS1003B!Q499/1000</f>
        <v>0</v>
      </c>
      <c r="R498" s="85">
        <f>STATS1003B!R499/1000</f>
        <v>0</v>
      </c>
      <c r="S498" s="85">
        <f>STATS1003B!S499/1000</f>
        <v>0</v>
      </c>
      <c r="T498" s="85">
        <f>STATS1003B!T499/1000</f>
        <v>0</v>
      </c>
      <c r="U498" s="85">
        <f>STATS1003B!U499/1000</f>
        <v>0</v>
      </c>
      <c r="V498" s="85">
        <f>STATS1003B!V499/1000</f>
        <v>2500</v>
      </c>
      <c r="W498" s="85">
        <f>STATS1003B!W499/1000</f>
        <v>0</v>
      </c>
      <c r="X498" s="85">
        <f t="shared" si="49"/>
        <v>2500</v>
      </c>
      <c r="Y498" s="85">
        <f>STATS1003B!Y499/1000</f>
        <v>0</v>
      </c>
      <c r="Z498" s="85">
        <f t="shared" si="52"/>
        <v>0</v>
      </c>
      <c r="AA498" s="69">
        <f>STATS1003B!AA499/1000</f>
        <v>2500</v>
      </c>
      <c r="AB498" s="69">
        <f>STATS1003B!AB499/1000</f>
        <v>0</v>
      </c>
    </row>
    <row r="499" spans="1:28" hidden="1" x14ac:dyDescent="0.3">
      <c r="A499" s="117"/>
      <c r="E499" s="86" t="s">
        <v>29</v>
      </c>
      <c r="F499" s="86" t="s">
        <v>29</v>
      </c>
      <c r="G499" s="86" t="s">
        <v>29</v>
      </c>
      <c r="H499" s="86" t="s">
        <v>29</v>
      </c>
      <c r="I499" s="86" t="s">
        <v>29</v>
      </c>
      <c r="J499" s="86" t="s">
        <v>29</v>
      </c>
      <c r="K499" s="86" t="s">
        <v>29</v>
      </c>
      <c r="L499" s="86" t="s">
        <v>29</v>
      </c>
      <c r="M499" s="86" t="s">
        <v>29</v>
      </c>
      <c r="N499" s="86" t="s">
        <v>29</v>
      </c>
      <c r="O499" s="86" t="s">
        <v>29</v>
      </c>
      <c r="P499" s="86" t="s">
        <v>29</v>
      </c>
      <c r="Q499" s="86" t="s">
        <v>29</v>
      </c>
      <c r="R499" s="86" t="s">
        <v>29</v>
      </c>
      <c r="S499" s="86" t="s">
        <v>29</v>
      </c>
      <c r="T499" s="86" t="s">
        <v>29</v>
      </c>
      <c r="U499" s="86" t="s">
        <v>29</v>
      </c>
      <c r="V499" s="86" t="s">
        <v>29</v>
      </c>
      <c r="W499" s="86" t="s">
        <v>29</v>
      </c>
      <c r="X499" s="85" t="e">
        <f t="shared" si="49"/>
        <v>#VALUE!</v>
      </c>
      <c r="Y499" s="86" t="s">
        <v>29</v>
      </c>
      <c r="Z499" s="85" t="e">
        <f t="shared" si="52"/>
        <v>#VALUE!</v>
      </c>
      <c r="AA499" s="115" t="s">
        <v>29</v>
      </c>
      <c r="AB499" s="115" t="s">
        <v>29</v>
      </c>
    </row>
    <row r="500" spans="1:28" x14ac:dyDescent="0.3">
      <c r="A500" s="116" t="s">
        <v>956</v>
      </c>
      <c r="B500" s="68" t="s">
        <v>160</v>
      </c>
      <c r="E500" s="85">
        <f>35280699/1000</f>
        <v>35280.699000000001</v>
      </c>
      <c r="F500" s="85">
        <f>SUM(F491:F498)</f>
        <v>10090.540300000001</v>
      </c>
      <c r="G500" s="85">
        <f>SUM(G491:G498)</f>
        <v>0</v>
      </c>
      <c r="H500" s="85">
        <f>27626979.38/1000</f>
        <v>27626.979380000001</v>
      </c>
      <c r="I500" s="85">
        <f t="shared" ref="I500:O500" si="57">SUM(I491:I498)</f>
        <v>0</v>
      </c>
      <c r="J500" s="85">
        <f t="shared" si="57"/>
        <v>0</v>
      </c>
      <c r="K500" s="85">
        <f t="shared" si="57"/>
        <v>0</v>
      </c>
      <c r="L500" s="85">
        <f t="shared" si="57"/>
        <v>0</v>
      </c>
      <c r="M500" s="85">
        <f t="shared" si="57"/>
        <v>10090.540300000001</v>
      </c>
      <c r="N500" s="85">
        <f t="shared" si="57"/>
        <v>6871.4179800000002</v>
      </c>
      <c r="O500" s="85">
        <f t="shared" si="57"/>
        <v>0</v>
      </c>
      <c r="P500" s="85">
        <f>6871417/1000</f>
        <v>6871.4170000000004</v>
      </c>
      <c r="Q500" s="85">
        <f t="shared" ref="Q500:W500" si="58">SUM(Q491:Q498)</f>
        <v>0</v>
      </c>
      <c r="R500" s="85">
        <f t="shared" si="58"/>
        <v>0</v>
      </c>
      <c r="S500" s="85">
        <f t="shared" si="58"/>
        <v>0</v>
      </c>
      <c r="T500" s="85">
        <f t="shared" si="58"/>
        <v>0</v>
      </c>
      <c r="U500" s="85">
        <f t="shared" si="58"/>
        <v>6871.4179800000002</v>
      </c>
      <c r="V500" s="85">
        <f t="shared" si="58"/>
        <v>16961.958279999999</v>
      </c>
      <c r="W500" s="85">
        <f t="shared" si="58"/>
        <v>782.30163999999991</v>
      </c>
      <c r="X500" s="85">
        <f t="shared" si="49"/>
        <v>34498.396379999998</v>
      </c>
      <c r="Y500" s="85">
        <f>SUM(Y491:Y498)</f>
        <v>0</v>
      </c>
      <c r="Z500" s="85">
        <f t="shared" si="52"/>
        <v>782.30262000000221</v>
      </c>
      <c r="AA500" s="69">
        <f>SUM(AA491:AA498)</f>
        <v>16961.958279999999</v>
      </c>
      <c r="AB500" s="69">
        <f>SUM(AB491:AB498)</f>
        <v>782.30163999999991</v>
      </c>
    </row>
    <row r="501" spans="1:28" hidden="1" x14ac:dyDescent="0.3">
      <c r="A501" s="117"/>
      <c r="E501" s="86" t="s">
        <v>29</v>
      </c>
      <c r="F501" s="86" t="s">
        <v>29</v>
      </c>
      <c r="G501" s="86" t="s">
        <v>29</v>
      </c>
      <c r="H501" s="86" t="s">
        <v>29</v>
      </c>
      <c r="I501" s="86" t="s">
        <v>29</v>
      </c>
      <c r="J501" s="86" t="s">
        <v>29</v>
      </c>
      <c r="K501" s="86" t="s">
        <v>29</v>
      </c>
      <c r="L501" s="86" t="s">
        <v>29</v>
      </c>
      <c r="M501" s="86" t="s">
        <v>29</v>
      </c>
      <c r="N501" s="86" t="s">
        <v>29</v>
      </c>
      <c r="O501" s="86" t="s">
        <v>29</v>
      </c>
      <c r="P501" s="86" t="s">
        <v>29</v>
      </c>
      <c r="Q501" s="86" t="s">
        <v>29</v>
      </c>
      <c r="R501" s="86" t="s">
        <v>29</v>
      </c>
      <c r="S501" s="86" t="s">
        <v>29</v>
      </c>
      <c r="T501" s="86" t="s">
        <v>29</v>
      </c>
      <c r="U501" s="86" t="s">
        <v>29</v>
      </c>
      <c r="V501" s="86" t="s">
        <v>29</v>
      </c>
      <c r="W501" s="86" t="s">
        <v>29</v>
      </c>
      <c r="X501" s="85" t="e">
        <f t="shared" si="49"/>
        <v>#VALUE!</v>
      </c>
      <c r="Y501" s="86" t="s">
        <v>29</v>
      </c>
      <c r="Z501" s="85" t="e">
        <f t="shared" si="52"/>
        <v>#VALUE!</v>
      </c>
      <c r="AA501" s="115" t="s">
        <v>29</v>
      </c>
      <c r="AB501" s="115" t="s">
        <v>29</v>
      </c>
    </row>
    <row r="502" spans="1:28" hidden="1" x14ac:dyDescent="0.3">
      <c r="A502" s="105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5">
        <f t="shared" si="49"/>
        <v>0</v>
      </c>
      <c r="Y502" s="84"/>
      <c r="Z502" s="85">
        <f t="shared" si="52"/>
        <v>0</v>
      </c>
      <c r="AA502" s="118"/>
    </row>
    <row r="503" spans="1:28" hidden="1" x14ac:dyDescent="0.3">
      <c r="A503" s="117"/>
      <c r="C503" s="68" t="s">
        <v>149</v>
      </c>
      <c r="D503" s="88" t="s">
        <v>150</v>
      </c>
      <c r="E503" s="85">
        <f>STATS1003B!E504/1000</f>
        <v>1644.184</v>
      </c>
      <c r="F503" s="85">
        <f>STATS1003B!F504/1000</f>
        <v>1115.9105500000001</v>
      </c>
      <c r="G503" s="85">
        <f>STATS1003B!G504/1000</f>
        <v>0</v>
      </c>
      <c r="H503" s="85">
        <f>STATS1003B!H504/1000</f>
        <v>1115.9105500000001</v>
      </c>
      <c r="I503" s="85">
        <f>STATS1003B!I504/1000</f>
        <v>0</v>
      </c>
      <c r="J503" s="85">
        <f>STATS1003B!J504/1000</f>
        <v>0</v>
      </c>
      <c r="K503" s="85">
        <f>STATS1003B!K504/1000</f>
        <v>0</v>
      </c>
      <c r="L503" s="85">
        <f>STATS1003B!L504/1000</f>
        <v>0</v>
      </c>
      <c r="M503" s="85">
        <f>STATS1003B!M504/1000</f>
        <v>1115.9105500000001</v>
      </c>
      <c r="N503" s="85">
        <f>STATS1003B!N504/1000</f>
        <v>211.71</v>
      </c>
      <c r="O503" s="85">
        <f>STATS1003B!O504/1000</f>
        <v>0</v>
      </c>
      <c r="P503" s="85">
        <f>STATS1003B!P504/1000</f>
        <v>211.71</v>
      </c>
      <c r="Q503" s="85">
        <f>STATS1003B!Q504/1000</f>
        <v>0</v>
      </c>
      <c r="R503" s="85">
        <f>STATS1003B!R504/1000</f>
        <v>0</v>
      </c>
      <c r="S503" s="85">
        <f>STATS1003B!S504/1000</f>
        <v>0</v>
      </c>
      <c r="T503" s="85">
        <f>STATS1003B!T504/1000</f>
        <v>0</v>
      </c>
      <c r="U503" s="85">
        <f>STATS1003B!U504/1000</f>
        <v>211.71</v>
      </c>
      <c r="V503" s="85">
        <f>STATS1003B!V504/1000</f>
        <v>1327.6205500000001</v>
      </c>
      <c r="W503" s="85">
        <f>STATS1003B!W504/1000</f>
        <v>316.56344999999993</v>
      </c>
      <c r="X503" s="85">
        <f t="shared" si="49"/>
        <v>1327.6205500000001</v>
      </c>
      <c r="Y503" s="85">
        <f>STATS1003B!Y504/1000</f>
        <v>0</v>
      </c>
      <c r="Z503" s="85">
        <f t="shared" si="52"/>
        <v>316.56344999999988</v>
      </c>
      <c r="AA503" s="69">
        <f>STATS1003B!AA504/1000</f>
        <v>1327.6205500000001</v>
      </c>
      <c r="AB503" s="69">
        <f>STATS1003B!AB504/1000</f>
        <v>316.56344999999993</v>
      </c>
    </row>
    <row r="504" spans="1:28" hidden="1" x14ac:dyDescent="0.3">
      <c r="A504" s="117"/>
      <c r="C504" s="68" t="s">
        <v>151</v>
      </c>
      <c r="D504" s="88" t="s">
        <v>150</v>
      </c>
      <c r="E504" s="85">
        <f>STATS1003B!E505/1000</f>
        <v>3370.4960000000001</v>
      </c>
      <c r="F504" s="85">
        <f>STATS1003B!F505/1000</f>
        <v>312.64253000000002</v>
      </c>
      <c r="G504" s="85">
        <f>STATS1003B!G505/1000</f>
        <v>0</v>
      </c>
      <c r="H504" s="85">
        <f>STATS1003B!H505/1000</f>
        <v>312.64253000000002</v>
      </c>
      <c r="I504" s="85">
        <f>STATS1003B!I505/1000</f>
        <v>0</v>
      </c>
      <c r="J504" s="85">
        <f>STATS1003B!J505/1000</f>
        <v>0</v>
      </c>
      <c r="K504" s="85">
        <f>STATS1003B!K505/1000</f>
        <v>0</v>
      </c>
      <c r="L504" s="85">
        <f>STATS1003B!L505/1000</f>
        <v>0</v>
      </c>
      <c r="M504" s="85">
        <f>STATS1003B!M505/1000</f>
        <v>312.64253000000002</v>
      </c>
      <c r="N504" s="85">
        <f>STATS1003B!N505/1000</f>
        <v>0</v>
      </c>
      <c r="O504" s="85">
        <f>STATS1003B!O505/1000</f>
        <v>0</v>
      </c>
      <c r="P504" s="85">
        <f>STATS1003B!P505/1000</f>
        <v>0</v>
      </c>
      <c r="Q504" s="85">
        <f>STATS1003B!Q505/1000</f>
        <v>0</v>
      </c>
      <c r="R504" s="85">
        <f>STATS1003B!R505/1000</f>
        <v>0</v>
      </c>
      <c r="S504" s="85">
        <f>STATS1003B!S505/1000</f>
        <v>0</v>
      </c>
      <c r="T504" s="85">
        <f>STATS1003B!T505/1000</f>
        <v>0</v>
      </c>
      <c r="U504" s="85">
        <f>STATS1003B!U505/1000</f>
        <v>0</v>
      </c>
      <c r="V504" s="85">
        <f>STATS1003B!V505/1000</f>
        <v>312.64253000000002</v>
      </c>
      <c r="W504" s="85">
        <f>STATS1003B!W505/1000</f>
        <v>3057.8534699999996</v>
      </c>
      <c r="X504" s="85">
        <f t="shared" si="49"/>
        <v>312.64253000000002</v>
      </c>
      <c r="Y504" s="85">
        <f>STATS1003B!Y505/1000</f>
        <v>0</v>
      </c>
      <c r="Z504" s="85">
        <f t="shared" si="52"/>
        <v>3057.85347</v>
      </c>
      <c r="AA504" s="69">
        <f>STATS1003B!AA505/1000</f>
        <v>312.64253000000002</v>
      </c>
      <c r="AB504" s="69">
        <f>STATS1003B!AB505/1000</f>
        <v>3057.8534699999996</v>
      </c>
    </row>
    <row r="505" spans="1:28" hidden="1" x14ac:dyDescent="0.3">
      <c r="A505" s="117"/>
      <c r="C505" s="68" t="s">
        <v>57</v>
      </c>
      <c r="D505" s="145" t="s">
        <v>163</v>
      </c>
      <c r="E505" s="85">
        <f>STATS1003B!E506/1000</f>
        <v>1694.2441999999999</v>
      </c>
      <c r="F505" s="85">
        <f>STATS1003B!F506/1000</f>
        <v>1670.31</v>
      </c>
      <c r="G505" s="85">
        <f>STATS1003B!G506/1000</f>
        <v>0</v>
      </c>
      <c r="H505" s="85">
        <f>STATS1003B!H506/1000</f>
        <v>1670.31</v>
      </c>
      <c r="I505" s="85">
        <f>STATS1003B!I506/1000</f>
        <v>0</v>
      </c>
      <c r="J505" s="85">
        <f>STATS1003B!J506/1000</f>
        <v>0</v>
      </c>
      <c r="K505" s="85">
        <f>STATS1003B!K506/1000</f>
        <v>0</v>
      </c>
      <c r="L505" s="85">
        <f>STATS1003B!L506/1000</f>
        <v>0</v>
      </c>
      <c r="M505" s="85">
        <f>STATS1003B!M506/1000</f>
        <v>1670.31</v>
      </c>
      <c r="N505" s="85">
        <f>STATS1003B!N506/1000</f>
        <v>23.934200000000001</v>
      </c>
      <c r="O505" s="85">
        <f>STATS1003B!O506/1000</f>
        <v>0</v>
      </c>
      <c r="P505" s="85">
        <f>STATS1003B!P506/1000</f>
        <v>23.934200000000001</v>
      </c>
      <c r="Q505" s="85">
        <f>STATS1003B!Q506/1000</f>
        <v>0</v>
      </c>
      <c r="R505" s="85">
        <f>STATS1003B!R506/1000</f>
        <v>0</v>
      </c>
      <c r="S505" s="85">
        <f>STATS1003B!S506/1000</f>
        <v>0</v>
      </c>
      <c r="T505" s="85">
        <f>STATS1003B!T506/1000</f>
        <v>0</v>
      </c>
      <c r="U505" s="85">
        <f>STATS1003B!U506/1000</f>
        <v>23.934200000000001</v>
      </c>
      <c r="V505" s="85">
        <f>STATS1003B!V506/1000</f>
        <v>1694.2441999999999</v>
      </c>
      <c r="W505" s="85">
        <f>STATS1003B!W506/1000</f>
        <v>0</v>
      </c>
      <c r="X505" s="85">
        <f t="shared" si="49"/>
        <v>1694.2441999999999</v>
      </c>
      <c r="Y505" s="85">
        <f>STATS1003B!Y506/1000</f>
        <v>0</v>
      </c>
      <c r="Z505" s="85">
        <f t="shared" si="52"/>
        <v>0</v>
      </c>
      <c r="AA505" s="69">
        <f>STATS1003B!AA506/1000</f>
        <v>1694.2441999999999</v>
      </c>
      <c r="AB505" s="69">
        <f>STATS1003B!AB506/1000</f>
        <v>0</v>
      </c>
    </row>
    <row r="506" spans="1:28" hidden="1" x14ac:dyDescent="0.3">
      <c r="A506" s="117"/>
      <c r="C506" s="68" t="s">
        <v>159</v>
      </c>
      <c r="D506" s="145" t="s">
        <v>128</v>
      </c>
      <c r="E506" s="85">
        <f>STATS1003B!E507/1000</f>
        <v>570.94100000000003</v>
      </c>
      <c r="F506" s="85">
        <f>STATS1003B!F507/1000</f>
        <v>0</v>
      </c>
      <c r="G506" s="85">
        <f>STATS1003B!G507/1000</f>
        <v>0</v>
      </c>
      <c r="H506" s="85">
        <f>STATS1003B!H507/1000</f>
        <v>0</v>
      </c>
      <c r="I506" s="85">
        <f>STATS1003B!I507/1000</f>
        <v>0</v>
      </c>
      <c r="J506" s="85">
        <f>STATS1003B!J507/1000</f>
        <v>0</v>
      </c>
      <c r="K506" s="85">
        <f>STATS1003B!K507/1000</f>
        <v>0</v>
      </c>
      <c r="L506" s="85">
        <f>STATS1003B!L507/1000</f>
        <v>0</v>
      </c>
      <c r="M506" s="85">
        <f>STATS1003B!M507/1000</f>
        <v>0</v>
      </c>
      <c r="N506" s="85">
        <f>STATS1003B!N507/1000</f>
        <v>570.94100000000003</v>
      </c>
      <c r="O506" s="85">
        <f>STATS1003B!O507/1000</f>
        <v>0</v>
      </c>
      <c r="P506" s="85">
        <f>STATS1003B!P507/1000</f>
        <v>570.94100000000003</v>
      </c>
      <c r="Q506" s="85">
        <f>STATS1003B!Q507/1000</f>
        <v>0</v>
      </c>
      <c r="R506" s="85">
        <f>STATS1003B!R507/1000</f>
        <v>0</v>
      </c>
      <c r="S506" s="85">
        <f>STATS1003B!S507/1000</f>
        <v>0</v>
      </c>
      <c r="T506" s="85">
        <f>STATS1003B!T507/1000</f>
        <v>0</v>
      </c>
      <c r="U506" s="85">
        <f>STATS1003B!U507/1000</f>
        <v>570.94100000000003</v>
      </c>
      <c r="V506" s="85">
        <f>STATS1003B!V507/1000</f>
        <v>570.94100000000003</v>
      </c>
      <c r="W506" s="85">
        <f>STATS1003B!W507/1000</f>
        <v>0</v>
      </c>
      <c r="X506" s="85">
        <f t="shared" si="49"/>
        <v>570.94100000000003</v>
      </c>
      <c r="Y506" s="85">
        <f>STATS1003B!Y507/1000</f>
        <v>0</v>
      </c>
      <c r="Z506" s="85">
        <f t="shared" si="52"/>
        <v>0</v>
      </c>
      <c r="AA506" s="69">
        <f>STATS1003B!AA507/1000</f>
        <v>570.94100000000003</v>
      </c>
      <c r="AB506" s="69">
        <f>STATS1003B!AB507/1000</f>
        <v>0</v>
      </c>
    </row>
    <row r="507" spans="1:28" hidden="1" x14ac:dyDescent="0.3">
      <c r="A507" s="117"/>
      <c r="C507" s="71" t="s">
        <v>109</v>
      </c>
      <c r="D507" s="88" t="s">
        <v>73</v>
      </c>
      <c r="E507" s="85">
        <f>STATS1003B!E508/1000</f>
        <v>310.17740000000003</v>
      </c>
      <c r="F507" s="85">
        <f>STATS1003B!F508/1000</f>
        <v>310.17740000000003</v>
      </c>
      <c r="G507" s="85">
        <f>STATS1003B!G508/1000</f>
        <v>0</v>
      </c>
      <c r="H507" s="85">
        <f>STATS1003B!H508/1000</f>
        <v>310.17740000000003</v>
      </c>
      <c r="I507" s="85">
        <f>STATS1003B!I508/1000</f>
        <v>0</v>
      </c>
      <c r="J507" s="85">
        <f>STATS1003B!J508/1000</f>
        <v>0</v>
      </c>
      <c r="K507" s="85">
        <f>STATS1003B!K508/1000</f>
        <v>0</v>
      </c>
      <c r="L507" s="85">
        <f>STATS1003B!L508/1000</f>
        <v>0</v>
      </c>
      <c r="M507" s="85">
        <f>STATS1003B!M508/1000</f>
        <v>310.17740000000003</v>
      </c>
      <c r="N507" s="85">
        <f>STATS1003B!N508/1000</f>
        <v>0</v>
      </c>
      <c r="O507" s="85">
        <f>STATS1003B!O508/1000</f>
        <v>0</v>
      </c>
      <c r="P507" s="85">
        <f>STATS1003B!P508/1000</f>
        <v>0</v>
      </c>
      <c r="Q507" s="85">
        <f>STATS1003B!Q508/1000</f>
        <v>0</v>
      </c>
      <c r="R507" s="85">
        <f>STATS1003B!R508/1000</f>
        <v>0</v>
      </c>
      <c r="S507" s="85">
        <f>STATS1003B!S508/1000</f>
        <v>0</v>
      </c>
      <c r="T507" s="85">
        <f>STATS1003B!T508/1000</f>
        <v>0</v>
      </c>
      <c r="U507" s="85">
        <f>STATS1003B!U508/1000</f>
        <v>0</v>
      </c>
      <c r="V507" s="85">
        <f>STATS1003B!V508/1000</f>
        <v>310.17740000000003</v>
      </c>
      <c r="W507" s="85">
        <f>STATS1003B!W508/1000</f>
        <v>0</v>
      </c>
      <c r="X507" s="85">
        <f t="shared" si="49"/>
        <v>310.17740000000003</v>
      </c>
      <c r="Y507" s="85">
        <f>STATS1003B!Y508/1000</f>
        <v>0</v>
      </c>
      <c r="Z507" s="85">
        <f t="shared" si="52"/>
        <v>0</v>
      </c>
      <c r="AA507" s="69">
        <f>STATS1003B!AA508/1000</f>
        <v>310.17740000000003</v>
      </c>
      <c r="AB507" s="69">
        <f>STATS1003B!AB508/1000</f>
        <v>0</v>
      </c>
    </row>
    <row r="508" spans="1:28" hidden="1" x14ac:dyDescent="0.3">
      <c r="A508" s="117"/>
      <c r="E508" s="86" t="s">
        <v>29</v>
      </c>
      <c r="F508" s="86" t="s">
        <v>29</v>
      </c>
      <c r="G508" s="86" t="s">
        <v>29</v>
      </c>
      <c r="H508" s="86" t="s">
        <v>29</v>
      </c>
      <c r="I508" s="86" t="s">
        <v>29</v>
      </c>
      <c r="J508" s="86" t="s">
        <v>29</v>
      </c>
      <c r="K508" s="86" t="s">
        <v>29</v>
      </c>
      <c r="L508" s="86" t="s">
        <v>29</v>
      </c>
      <c r="M508" s="86" t="s">
        <v>29</v>
      </c>
      <c r="N508" s="86" t="s">
        <v>29</v>
      </c>
      <c r="O508" s="86" t="s">
        <v>29</v>
      </c>
      <c r="P508" s="86" t="s">
        <v>29</v>
      </c>
      <c r="Q508" s="86" t="s">
        <v>29</v>
      </c>
      <c r="R508" s="86" t="s">
        <v>29</v>
      </c>
      <c r="S508" s="86" t="s">
        <v>29</v>
      </c>
      <c r="T508" s="86" t="s">
        <v>29</v>
      </c>
      <c r="U508" s="86" t="s">
        <v>29</v>
      </c>
      <c r="V508" s="86" t="s">
        <v>29</v>
      </c>
      <c r="W508" s="86" t="s">
        <v>29</v>
      </c>
      <c r="X508" s="85" t="e">
        <f t="shared" si="49"/>
        <v>#VALUE!</v>
      </c>
      <c r="Y508" s="86" t="s">
        <v>29</v>
      </c>
      <c r="Z508" s="85" t="e">
        <f t="shared" si="52"/>
        <v>#VALUE!</v>
      </c>
      <c r="AA508" s="115" t="s">
        <v>29</v>
      </c>
      <c r="AB508" s="115" t="s">
        <v>29</v>
      </c>
    </row>
    <row r="509" spans="1:28" x14ac:dyDescent="0.3">
      <c r="A509" s="116" t="s">
        <v>957</v>
      </c>
      <c r="B509" s="68" t="s">
        <v>162</v>
      </c>
      <c r="D509" s="69"/>
      <c r="E509" s="85">
        <f>13794327.34/1000</f>
        <v>13794.32734</v>
      </c>
      <c r="F509" s="85">
        <f>SUM(F503:F507)</f>
        <v>3409.0404800000001</v>
      </c>
      <c r="G509" s="85">
        <f>SUM(G503:G507)</f>
        <v>0</v>
      </c>
      <c r="H509" s="85">
        <f>9613325.22/1000</f>
        <v>9613.3252200000006</v>
      </c>
      <c r="I509" s="85">
        <f t="shared" ref="I509:O509" si="59">SUM(I503:I507)</f>
        <v>0</v>
      </c>
      <c r="J509" s="85">
        <f t="shared" si="59"/>
        <v>0</v>
      </c>
      <c r="K509" s="85">
        <f t="shared" si="59"/>
        <v>0</v>
      </c>
      <c r="L509" s="85">
        <f t="shared" si="59"/>
        <v>0</v>
      </c>
      <c r="M509" s="85">
        <f t="shared" si="59"/>
        <v>3409.0404800000001</v>
      </c>
      <c r="N509" s="85">
        <f t="shared" si="59"/>
        <v>806.58519999999999</v>
      </c>
      <c r="O509" s="85">
        <f t="shared" si="59"/>
        <v>0</v>
      </c>
      <c r="P509" s="85">
        <f>806585/1000</f>
        <v>806.58500000000004</v>
      </c>
      <c r="Q509" s="85">
        <f t="shared" ref="Q509:W509" si="60">SUM(Q503:Q507)</f>
        <v>0</v>
      </c>
      <c r="R509" s="85">
        <f t="shared" si="60"/>
        <v>0</v>
      </c>
      <c r="S509" s="85">
        <f t="shared" si="60"/>
        <v>0</v>
      </c>
      <c r="T509" s="85">
        <f t="shared" si="60"/>
        <v>0</v>
      </c>
      <c r="U509" s="85">
        <f t="shared" si="60"/>
        <v>806.58519999999999</v>
      </c>
      <c r="V509" s="85">
        <f t="shared" si="60"/>
        <v>4215.6256799999992</v>
      </c>
      <c r="W509" s="85">
        <f t="shared" si="60"/>
        <v>3374.4169199999997</v>
      </c>
      <c r="X509" s="85">
        <f t="shared" si="49"/>
        <v>10419.910220000002</v>
      </c>
      <c r="Y509" s="85">
        <f>SUM(Y503:Y507)</f>
        <v>0</v>
      </c>
      <c r="Z509" s="85">
        <f t="shared" si="52"/>
        <v>3374.4171199999982</v>
      </c>
      <c r="AA509" s="69">
        <f>SUM(AA503:AA507)</f>
        <v>4215.6256799999992</v>
      </c>
      <c r="AB509" s="69">
        <f>SUM(AB503:AB507)</f>
        <v>3374.4169199999997</v>
      </c>
    </row>
    <row r="510" spans="1:28" hidden="1" x14ac:dyDescent="0.3">
      <c r="A510" s="117"/>
      <c r="C510" s="69"/>
      <c r="D510" s="69"/>
      <c r="E510" s="86" t="s">
        <v>29</v>
      </c>
      <c r="F510" s="86" t="s">
        <v>29</v>
      </c>
      <c r="G510" s="86" t="s">
        <v>29</v>
      </c>
      <c r="H510" s="86" t="s">
        <v>29</v>
      </c>
      <c r="I510" s="86" t="s">
        <v>29</v>
      </c>
      <c r="J510" s="86" t="s">
        <v>29</v>
      </c>
      <c r="K510" s="86" t="s">
        <v>29</v>
      </c>
      <c r="L510" s="86" t="s">
        <v>29</v>
      </c>
      <c r="M510" s="86" t="s">
        <v>29</v>
      </c>
      <c r="N510" s="86" t="s">
        <v>29</v>
      </c>
      <c r="O510" s="86" t="s">
        <v>29</v>
      </c>
      <c r="P510" s="86" t="s">
        <v>29</v>
      </c>
      <c r="Q510" s="86" t="s">
        <v>29</v>
      </c>
      <c r="R510" s="86" t="s">
        <v>29</v>
      </c>
      <c r="S510" s="86" t="s">
        <v>29</v>
      </c>
      <c r="T510" s="86" t="s">
        <v>29</v>
      </c>
      <c r="U510" s="86" t="s">
        <v>29</v>
      </c>
      <c r="V510" s="86" t="s">
        <v>29</v>
      </c>
      <c r="W510" s="86" t="s">
        <v>29</v>
      </c>
      <c r="X510" s="85" t="e">
        <f t="shared" ref="X510:X573" si="61">+H510+P510</f>
        <v>#VALUE!</v>
      </c>
      <c r="Y510" s="86" t="s">
        <v>29</v>
      </c>
      <c r="Z510" s="85" t="e">
        <f t="shared" si="52"/>
        <v>#VALUE!</v>
      </c>
      <c r="AA510" s="115" t="s">
        <v>29</v>
      </c>
      <c r="AB510" s="115" t="s">
        <v>29</v>
      </c>
    </row>
    <row r="511" spans="1:28" hidden="1" x14ac:dyDescent="0.3">
      <c r="A511" s="105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5">
        <f t="shared" si="61"/>
        <v>0</v>
      </c>
      <c r="Y511" s="84"/>
      <c r="Z511" s="85">
        <f t="shared" si="52"/>
        <v>0</v>
      </c>
      <c r="AA511" s="118"/>
    </row>
    <row r="512" spans="1:28" hidden="1" x14ac:dyDescent="0.3">
      <c r="A512" s="117"/>
      <c r="C512" s="68" t="s">
        <v>75</v>
      </c>
      <c r="D512" s="88" t="s">
        <v>150</v>
      </c>
      <c r="E512" s="85">
        <f>STATS1003B!E513/1000</f>
        <v>595</v>
      </c>
      <c r="F512" s="85">
        <f>STATS1003B!F513/1000</f>
        <v>0</v>
      </c>
      <c r="G512" s="85">
        <f>STATS1003B!G513/1000</f>
        <v>0</v>
      </c>
      <c r="H512" s="85">
        <f>STATS1003B!H513/1000</f>
        <v>0</v>
      </c>
      <c r="I512" s="85">
        <f>STATS1003B!I513/1000</f>
        <v>0</v>
      </c>
      <c r="J512" s="85">
        <f>STATS1003B!J513/1000</f>
        <v>0</v>
      </c>
      <c r="K512" s="85">
        <f>STATS1003B!K513/1000</f>
        <v>0</v>
      </c>
      <c r="L512" s="85">
        <f>STATS1003B!L513/1000</f>
        <v>0</v>
      </c>
      <c r="M512" s="85">
        <f>STATS1003B!M513/1000</f>
        <v>0</v>
      </c>
      <c r="N512" s="85">
        <f>STATS1003B!N513/1000</f>
        <v>477.71688</v>
      </c>
      <c r="O512" s="85">
        <f>STATS1003B!O513/1000</f>
        <v>0</v>
      </c>
      <c r="P512" s="85">
        <f>STATS1003B!P513/1000</f>
        <v>477.71688</v>
      </c>
      <c r="Q512" s="85">
        <f>STATS1003B!Q513/1000</f>
        <v>0</v>
      </c>
      <c r="R512" s="85">
        <f>STATS1003B!R513/1000</f>
        <v>0</v>
      </c>
      <c r="S512" s="85">
        <f>STATS1003B!S513/1000</f>
        <v>0</v>
      </c>
      <c r="T512" s="85">
        <f>STATS1003B!T513/1000</f>
        <v>0</v>
      </c>
      <c r="U512" s="85">
        <f>STATS1003B!U513/1000</f>
        <v>477.71688</v>
      </c>
      <c r="V512" s="85">
        <f>STATS1003B!V513/1000</f>
        <v>477.71688</v>
      </c>
      <c r="W512" s="85">
        <f>STATS1003B!W513/1000</f>
        <v>117.28312</v>
      </c>
      <c r="X512" s="85">
        <f t="shared" si="61"/>
        <v>477.71688</v>
      </c>
      <c r="Y512" s="85">
        <f>STATS1003B!Y513/1000</f>
        <v>0</v>
      </c>
      <c r="Z512" s="85">
        <f t="shared" si="52"/>
        <v>117.28312</v>
      </c>
      <c r="AA512" s="69">
        <f>STATS1003B!AA513/1000</f>
        <v>477.71688</v>
      </c>
      <c r="AB512" s="69">
        <f>STATS1003B!AB513/1000</f>
        <v>117.28312</v>
      </c>
    </row>
    <row r="513" spans="1:28" hidden="1" x14ac:dyDescent="0.3">
      <c r="A513" s="117"/>
      <c r="C513" s="68" t="s">
        <v>165</v>
      </c>
      <c r="D513" s="88" t="s">
        <v>166</v>
      </c>
      <c r="E513" s="85">
        <f>STATS1003B!E514/1000</f>
        <v>667.07737999999995</v>
      </c>
      <c r="F513" s="85">
        <f>STATS1003B!F514/1000</f>
        <v>667.07737999999995</v>
      </c>
      <c r="G513" s="85">
        <f>STATS1003B!G514/1000</f>
        <v>0</v>
      </c>
      <c r="H513" s="85">
        <f>STATS1003B!H514/1000</f>
        <v>667.07737999999995</v>
      </c>
      <c r="I513" s="85">
        <f>STATS1003B!I514/1000</f>
        <v>0</v>
      </c>
      <c r="J513" s="85">
        <f>STATS1003B!J514/1000</f>
        <v>0</v>
      </c>
      <c r="K513" s="85">
        <f>STATS1003B!K514/1000</f>
        <v>0</v>
      </c>
      <c r="L513" s="85">
        <f>STATS1003B!L514/1000</f>
        <v>0</v>
      </c>
      <c r="M513" s="85">
        <f>STATS1003B!M514/1000</f>
        <v>667.07737999999995</v>
      </c>
      <c r="N513" s="85">
        <f>STATS1003B!N514/1000</f>
        <v>0</v>
      </c>
      <c r="O513" s="85">
        <f>STATS1003B!O514/1000</f>
        <v>0</v>
      </c>
      <c r="P513" s="85">
        <f>STATS1003B!P514/1000</f>
        <v>0</v>
      </c>
      <c r="Q513" s="85">
        <f>STATS1003B!Q514/1000</f>
        <v>0</v>
      </c>
      <c r="R513" s="85">
        <f>STATS1003B!R514/1000</f>
        <v>0</v>
      </c>
      <c r="S513" s="85">
        <f>STATS1003B!S514/1000</f>
        <v>0</v>
      </c>
      <c r="T513" s="85">
        <f>STATS1003B!T514/1000</f>
        <v>0</v>
      </c>
      <c r="U513" s="85">
        <f>STATS1003B!U514/1000</f>
        <v>0</v>
      </c>
      <c r="V513" s="85">
        <f>STATS1003B!V514/1000</f>
        <v>667.07737999999995</v>
      </c>
      <c r="W513" s="85">
        <f>STATS1003B!W514/1000</f>
        <v>0</v>
      </c>
      <c r="X513" s="85">
        <f t="shared" si="61"/>
        <v>667.07737999999995</v>
      </c>
      <c r="Y513" s="85">
        <f>STATS1003B!Y514/1000</f>
        <v>0</v>
      </c>
      <c r="Z513" s="85">
        <f t="shared" si="52"/>
        <v>0</v>
      </c>
      <c r="AA513" s="69">
        <f>STATS1003B!AA514/1000</f>
        <v>667.07737999999995</v>
      </c>
      <c r="AB513" s="69">
        <f>STATS1003B!AB514/1000</f>
        <v>0</v>
      </c>
    </row>
    <row r="514" spans="1:28" hidden="1" x14ac:dyDescent="0.3">
      <c r="A514" s="117"/>
      <c r="C514" s="68" t="s">
        <v>167</v>
      </c>
      <c r="D514" s="145" t="s">
        <v>68</v>
      </c>
      <c r="E514" s="85">
        <f>STATS1003B!E515/1000</f>
        <v>159.16873999999999</v>
      </c>
      <c r="F514" s="85">
        <f>STATS1003B!F515/1000</f>
        <v>95.344200000000001</v>
      </c>
      <c r="G514" s="85">
        <f>STATS1003B!G515/1000</f>
        <v>0</v>
      </c>
      <c r="H514" s="85">
        <f>STATS1003B!H515/1000</f>
        <v>95.344200000000001</v>
      </c>
      <c r="I514" s="85">
        <f>STATS1003B!I515/1000</f>
        <v>0</v>
      </c>
      <c r="J514" s="85">
        <f>STATS1003B!J515/1000</f>
        <v>0</v>
      </c>
      <c r="K514" s="85">
        <f>STATS1003B!K515/1000</f>
        <v>0</v>
      </c>
      <c r="L514" s="85">
        <f>STATS1003B!L515/1000</f>
        <v>0</v>
      </c>
      <c r="M514" s="85">
        <f>STATS1003B!M515/1000</f>
        <v>95.344200000000001</v>
      </c>
      <c r="N514" s="85">
        <f>STATS1003B!N515/1000</f>
        <v>63.824539999999999</v>
      </c>
      <c r="O514" s="85">
        <f>STATS1003B!O515/1000</f>
        <v>0</v>
      </c>
      <c r="P514" s="85">
        <f>STATS1003B!P515/1000</f>
        <v>63.824539999999999</v>
      </c>
      <c r="Q514" s="85">
        <f>STATS1003B!Q515/1000</f>
        <v>0</v>
      </c>
      <c r="R514" s="85">
        <f>STATS1003B!R515/1000</f>
        <v>0</v>
      </c>
      <c r="S514" s="85">
        <f>STATS1003B!S515/1000</f>
        <v>0</v>
      </c>
      <c r="T514" s="85">
        <f>STATS1003B!T515/1000</f>
        <v>0</v>
      </c>
      <c r="U514" s="85">
        <f>STATS1003B!U515/1000</f>
        <v>63.824539999999999</v>
      </c>
      <c r="V514" s="85">
        <f>STATS1003B!V515/1000</f>
        <v>159.16873999999999</v>
      </c>
      <c r="W514" s="85">
        <f>STATS1003B!W515/1000</f>
        <v>0</v>
      </c>
      <c r="X514" s="85">
        <f t="shared" si="61"/>
        <v>159.16874000000001</v>
      </c>
      <c r="Y514" s="85">
        <f>STATS1003B!Y515/1000</f>
        <v>0</v>
      </c>
      <c r="Z514" s="85">
        <f t="shared" si="52"/>
        <v>0</v>
      </c>
      <c r="AA514" s="69">
        <f>STATS1003B!AA515/1000</f>
        <v>159.16873999999999</v>
      </c>
      <c r="AB514" s="69">
        <f>STATS1003B!AB515/1000</f>
        <v>0</v>
      </c>
    </row>
    <row r="515" spans="1:28" hidden="1" x14ac:dyDescent="0.3">
      <c r="A515" s="117"/>
      <c r="C515" s="68" t="s">
        <v>55</v>
      </c>
      <c r="D515" s="145" t="s">
        <v>168</v>
      </c>
      <c r="E515" s="85">
        <f>STATS1003B!E516/1000</f>
        <v>4270.4284000000007</v>
      </c>
      <c r="F515" s="85">
        <f>STATS1003B!F516/1000</f>
        <v>0</v>
      </c>
      <c r="G515" s="85">
        <f>STATS1003B!G516/1000</f>
        <v>0</v>
      </c>
      <c r="H515" s="85">
        <f>STATS1003B!H516/1000</f>
        <v>0</v>
      </c>
      <c r="I515" s="85">
        <f>STATS1003B!I516/1000</f>
        <v>0</v>
      </c>
      <c r="J515" s="85">
        <f>STATS1003B!J516/1000</f>
        <v>0</v>
      </c>
      <c r="K515" s="85">
        <f>STATS1003B!K516/1000</f>
        <v>0</v>
      </c>
      <c r="L515" s="85">
        <f>STATS1003B!L516/1000</f>
        <v>0</v>
      </c>
      <c r="M515" s="85">
        <f>STATS1003B!M516/1000</f>
        <v>0</v>
      </c>
      <c r="N515" s="85">
        <f>STATS1003B!N516/1000</f>
        <v>4270.4284000000007</v>
      </c>
      <c r="O515" s="85">
        <f>STATS1003B!O516/1000</f>
        <v>0</v>
      </c>
      <c r="P515" s="85">
        <f>STATS1003B!P516/1000</f>
        <v>4270.4284000000007</v>
      </c>
      <c r="Q515" s="85">
        <f>STATS1003B!Q516/1000</f>
        <v>0</v>
      </c>
      <c r="R515" s="85">
        <f>STATS1003B!R516/1000</f>
        <v>0</v>
      </c>
      <c r="S515" s="85">
        <f>STATS1003B!S516/1000</f>
        <v>0</v>
      </c>
      <c r="T515" s="85">
        <f>STATS1003B!T516/1000</f>
        <v>0</v>
      </c>
      <c r="U515" s="85">
        <f>STATS1003B!U516/1000</f>
        <v>4270.4284000000007</v>
      </c>
      <c r="V515" s="85">
        <f>STATS1003B!V516/1000</f>
        <v>4270.4284000000007</v>
      </c>
      <c r="W515" s="85">
        <f>STATS1003B!W516/1000</f>
        <v>0</v>
      </c>
      <c r="X515" s="85">
        <f t="shared" si="61"/>
        <v>4270.4284000000007</v>
      </c>
      <c r="Y515" s="85">
        <f>STATS1003B!Y516/1000</f>
        <v>0</v>
      </c>
      <c r="Z515" s="85">
        <f t="shared" si="52"/>
        <v>0</v>
      </c>
      <c r="AA515" s="69">
        <f>STATS1003B!AA516/1000</f>
        <v>4270.4284000000007</v>
      </c>
      <c r="AB515" s="69">
        <f>STATS1003B!AB516/1000</f>
        <v>0</v>
      </c>
    </row>
    <row r="516" spans="1:28" hidden="1" x14ac:dyDescent="0.3">
      <c r="A516" s="117"/>
      <c r="C516" s="68" t="s">
        <v>53</v>
      </c>
      <c r="D516" s="145" t="s">
        <v>54</v>
      </c>
      <c r="E516" s="85">
        <f>STATS1003B!E517/1000</f>
        <v>1953.989</v>
      </c>
      <c r="F516" s="85">
        <f>STATS1003B!F517/1000</f>
        <v>0</v>
      </c>
      <c r="G516" s="85">
        <f>STATS1003B!G517/1000</f>
        <v>0</v>
      </c>
      <c r="H516" s="85">
        <f>STATS1003B!H517/1000</f>
        <v>0</v>
      </c>
      <c r="I516" s="85">
        <f>STATS1003B!I517/1000</f>
        <v>0</v>
      </c>
      <c r="J516" s="85">
        <f>STATS1003B!J517/1000</f>
        <v>0</v>
      </c>
      <c r="K516" s="85">
        <f>STATS1003B!K517/1000</f>
        <v>0</v>
      </c>
      <c r="L516" s="85">
        <f>STATS1003B!L517/1000</f>
        <v>0</v>
      </c>
      <c r="M516" s="85">
        <f>STATS1003B!M517/1000</f>
        <v>0</v>
      </c>
      <c r="N516" s="85">
        <f>STATS1003B!N517/1000</f>
        <v>1953.989</v>
      </c>
      <c r="O516" s="85">
        <f>STATS1003B!O517/1000</f>
        <v>0</v>
      </c>
      <c r="P516" s="85">
        <f>STATS1003B!P517/1000</f>
        <v>1953.989</v>
      </c>
      <c r="Q516" s="85">
        <f>STATS1003B!Q517/1000</f>
        <v>0</v>
      </c>
      <c r="R516" s="85">
        <f>STATS1003B!R517/1000</f>
        <v>0</v>
      </c>
      <c r="S516" s="85">
        <f>STATS1003B!S517/1000</f>
        <v>0</v>
      </c>
      <c r="T516" s="85">
        <f>STATS1003B!T517/1000</f>
        <v>0</v>
      </c>
      <c r="U516" s="85">
        <f>STATS1003B!U517/1000</f>
        <v>1953.989</v>
      </c>
      <c r="V516" s="85">
        <f>STATS1003B!V517/1000</f>
        <v>1953.989</v>
      </c>
      <c r="W516" s="85">
        <f>STATS1003B!W517/1000</f>
        <v>0</v>
      </c>
      <c r="X516" s="85">
        <f t="shared" si="61"/>
        <v>1953.989</v>
      </c>
      <c r="Y516" s="85">
        <f>STATS1003B!Y517/1000</f>
        <v>0</v>
      </c>
      <c r="Z516" s="85">
        <f t="shared" si="52"/>
        <v>0</v>
      </c>
      <c r="AA516" s="69">
        <f>STATS1003B!AA517/1000</f>
        <v>1953.989</v>
      </c>
      <c r="AB516" s="69">
        <f>STATS1003B!AB517/1000</f>
        <v>0</v>
      </c>
    </row>
    <row r="517" spans="1:28" hidden="1" x14ac:dyDescent="0.3">
      <c r="A517" s="117"/>
      <c r="C517" s="68" t="s">
        <v>169</v>
      </c>
      <c r="D517" s="145" t="s">
        <v>54</v>
      </c>
      <c r="E517" s="85">
        <f>STATS1003B!E518/1000</f>
        <v>815.35</v>
      </c>
      <c r="F517" s="85">
        <f>STATS1003B!F518/1000</f>
        <v>815.35</v>
      </c>
      <c r="G517" s="85">
        <f>STATS1003B!G518/1000</f>
        <v>0</v>
      </c>
      <c r="H517" s="85">
        <f>STATS1003B!H518/1000</f>
        <v>815.35</v>
      </c>
      <c r="I517" s="85">
        <f>STATS1003B!I518/1000</f>
        <v>0</v>
      </c>
      <c r="J517" s="85">
        <f>STATS1003B!J518/1000</f>
        <v>0</v>
      </c>
      <c r="K517" s="85">
        <f>STATS1003B!K518/1000</f>
        <v>0</v>
      </c>
      <c r="L517" s="85">
        <f>STATS1003B!L518/1000</f>
        <v>0</v>
      </c>
      <c r="M517" s="85">
        <f>STATS1003B!M518/1000</f>
        <v>815.35</v>
      </c>
      <c r="N517" s="85">
        <f>STATS1003B!N518/1000</f>
        <v>0</v>
      </c>
      <c r="O517" s="85">
        <f>STATS1003B!O518/1000</f>
        <v>0</v>
      </c>
      <c r="P517" s="85">
        <f>STATS1003B!P518/1000</f>
        <v>0</v>
      </c>
      <c r="Q517" s="85">
        <f>STATS1003B!Q518/1000</f>
        <v>0</v>
      </c>
      <c r="R517" s="85">
        <f>STATS1003B!R518/1000</f>
        <v>0</v>
      </c>
      <c r="S517" s="85">
        <f>STATS1003B!S518/1000</f>
        <v>0</v>
      </c>
      <c r="T517" s="85">
        <f>STATS1003B!T518/1000</f>
        <v>0</v>
      </c>
      <c r="U517" s="85">
        <f>STATS1003B!U518/1000</f>
        <v>0</v>
      </c>
      <c r="V517" s="85">
        <f>STATS1003B!V518/1000</f>
        <v>815.35</v>
      </c>
      <c r="W517" s="85">
        <f>STATS1003B!W518/1000</f>
        <v>0</v>
      </c>
      <c r="X517" s="85">
        <f t="shared" si="61"/>
        <v>815.35</v>
      </c>
      <c r="Y517" s="85">
        <f>STATS1003B!Y518/1000</f>
        <v>0</v>
      </c>
      <c r="Z517" s="85">
        <f t="shared" si="52"/>
        <v>0</v>
      </c>
      <c r="AA517" s="69">
        <f>STATS1003B!AA518/1000</f>
        <v>815.35</v>
      </c>
      <c r="AB517" s="69">
        <f>STATS1003B!AB518/1000</f>
        <v>0</v>
      </c>
    </row>
    <row r="518" spans="1:28" hidden="1" x14ac:dyDescent="0.3">
      <c r="A518" s="117"/>
      <c r="C518" s="71" t="s">
        <v>109</v>
      </c>
      <c r="D518" s="88" t="s">
        <v>60</v>
      </c>
      <c r="E518" s="85">
        <f>STATS1003B!E519/1000</f>
        <v>2329.43912</v>
      </c>
      <c r="F518" s="85">
        <f>STATS1003B!F519/1000</f>
        <v>2329.43912</v>
      </c>
      <c r="G518" s="85">
        <f>STATS1003B!G519/1000</f>
        <v>0</v>
      </c>
      <c r="H518" s="85">
        <f>STATS1003B!H519/1000</f>
        <v>2329.43912</v>
      </c>
      <c r="I518" s="85">
        <f>STATS1003B!I519/1000</f>
        <v>0</v>
      </c>
      <c r="J518" s="85">
        <f>STATS1003B!J519/1000</f>
        <v>0</v>
      </c>
      <c r="K518" s="85">
        <f>STATS1003B!K519/1000</f>
        <v>0</v>
      </c>
      <c r="L518" s="85">
        <f>STATS1003B!L519/1000</f>
        <v>0</v>
      </c>
      <c r="M518" s="85">
        <f>STATS1003B!M519/1000</f>
        <v>2329.43912</v>
      </c>
      <c r="N518" s="85">
        <f>STATS1003B!N519/1000</f>
        <v>0</v>
      </c>
      <c r="O518" s="85">
        <f>STATS1003B!O519/1000</f>
        <v>0</v>
      </c>
      <c r="P518" s="85">
        <f>STATS1003B!P519/1000</f>
        <v>0</v>
      </c>
      <c r="Q518" s="85">
        <f>STATS1003B!Q519/1000</f>
        <v>0</v>
      </c>
      <c r="R518" s="85">
        <f>STATS1003B!R519/1000</f>
        <v>0</v>
      </c>
      <c r="S518" s="85">
        <f>STATS1003B!S519/1000</f>
        <v>0</v>
      </c>
      <c r="T518" s="85">
        <f>STATS1003B!T519/1000</f>
        <v>0</v>
      </c>
      <c r="U518" s="85">
        <f>STATS1003B!U519/1000</f>
        <v>0</v>
      </c>
      <c r="V518" s="85">
        <f>STATS1003B!V519/1000</f>
        <v>2329.43912</v>
      </c>
      <c r="W518" s="85">
        <f>STATS1003B!W519/1000</f>
        <v>0</v>
      </c>
      <c r="X518" s="85">
        <f t="shared" si="61"/>
        <v>2329.43912</v>
      </c>
      <c r="Y518" s="85">
        <f>STATS1003B!Y519/1000</f>
        <v>0</v>
      </c>
      <c r="Z518" s="85">
        <f t="shared" si="52"/>
        <v>0</v>
      </c>
      <c r="AA518" s="69">
        <f>STATS1003B!AA519/1000</f>
        <v>2329.43912</v>
      </c>
      <c r="AB518" s="69">
        <f>STATS1003B!AB519/1000</f>
        <v>0</v>
      </c>
    </row>
    <row r="519" spans="1:28" hidden="1" x14ac:dyDescent="0.3">
      <c r="A519" s="117"/>
      <c r="C519" s="71" t="s">
        <v>930</v>
      </c>
      <c r="D519" s="89" t="s">
        <v>1072</v>
      </c>
      <c r="E519" s="85">
        <f>STATS1003B!E520/1000</f>
        <v>304</v>
      </c>
      <c r="F519" s="85">
        <f>STATS1003B!F520/1000</f>
        <v>304</v>
      </c>
      <c r="G519" s="85">
        <f>STATS1003B!G520/1000</f>
        <v>0</v>
      </c>
      <c r="H519" s="85">
        <f>STATS1003B!H520/1000</f>
        <v>304</v>
      </c>
      <c r="I519" s="85">
        <f>STATS1003B!I520/1000</f>
        <v>0</v>
      </c>
      <c r="J519" s="85">
        <f>STATS1003B!J520/1000</f>
        <v>0</v>
      </c>
      <c r="K519" s="85">
        <f>STATS1003B!K520/1000</f>
        <v>0</v>
      </c>
      <c r="L519" s="85">
        <f>STATS1003B!L520/1000</f>
        <v>0</v>
      </c>
      <c r="M519" s="85">
        <f>STATS1003B!M520/1000</f>
        <v>304</v>
      </c>
      <c r="N519" s="85">
        <f>STATS1003B!N520/1000</f>
        <v>0</v>
      </c>
      <c r="O519" s="85">
        <f>STATS1003B!O520/1000</f>
        <v>0</v>
      </c>
      <c r="P519" s="85">
        <f>STATS1003B!P520/1000</f>
        <v>0</v>
      </c>
      <c r="Q519" s="85">
        <f>STATS1003B!Q520/1000</f>
        <v>0</v>
      </c>
      <c r="R519" s="85">
        <f>STATS1003B!R520/1000</f>
        <v>0</v>
      </c>
      <c r="S519" s="85">
        <f>STATS1003B!S520/1000</f>
        <v>0</v>
      </c>
      <c r="T519" s="85">
        <f>STATS1003B!T520/1000</f>
        <v>0</v>
      </c>
      <c r="U519" s="85">
        <f>STATS1003B!U520/1000</f>
        <v>0</v>
      </c>
      <c r="V519" s="85">
        <f>STATS1003B!V520/1000</f>
        <v>304</v>
      </c>
      <c r="W519" s="85">
        <f>STATS1003B!W520/1000</f>
        <v>0</v>
      </c>
      <c r="X519" s="85">
        <f t="shared" si="61"/>
        <v>304</v>
      </c>
      <c r="Y519" s="85">
        <f>STATS1003B!Y520/1000</f>
        <v>0</v>
      </c>
      <c r="Z519" s="85">
        <f t="shared" si="52"/>
        <v>0</v>
      </c>
      <c r="AA519" s="69">
        <f>STATS1003B!AA520/1000</f>
        <v>304</v>
      </c>
      <c r="AB519" s="69">
        <f>STATS1003B!AB520/1000</f>
        <v>0</v>
      </c>
    </row>
    <row r="520" spans="1:28" hidden="1" x14ac:dyDescent="0.3">
      <c r="A520" s="117"/>
      <c r="C520" s="68" t="s">
        <v>170</v>
      </c>
      <c r="D520" s="89" t="s">
        <v>61</v>
      </c>
      <c r="E520" s="85">
        <f>STATS1003B!E521/1000</f>
        <v>366</v>
      </c>
      <c r="F520" s="85">
        <f>STATS1003B!F521/1000</f>
        <v>366</v>
      </c>
      <c r="G520" s="85">
        <f>STATS1003B!G521/1000</f>
        <v>0</v>
      </c>
      <c r="H520" s="85">
        <f>STATS1003B!H521/1000</f>
        <v>366</v>
      </c>
      <c r="I520" s="85">
        <f>STATS1003B!I521/1000</f>
        <v>0</v>
      </c>
      <c r="J520" s="85">
        <f>STATS1003B!J521/1000</f>
        <v>0</v>
      </c>
      <c r="K520" s="85">
        <f>STATS1003B!K521/1000</f>
        <v>0</v>
      </c>
      <c r="L520" s="85">
        <f>STATS1003B!L521/1000</f>
        <v>0</v>
      </c>
      <c r="M520" s="85">
        <f>STATS1003B!M521/1000</f>
        <v>366</v>
      </c>
      <c r="N520" s="85">
        <f>STATS1003B!N521/1000</f>
        <v>0</v>
      </c>
      <c r="O520" s="85">
        <f>STATS1003B!O521/1000</f>
        <v>0</v>
      </c>
      <c r="P520" s="85">
        <f>STATS1003B!P521/1000</f>
        <v>0</v>
      </c>
      <c r="Q520" s="85">
        <f>STATS1003B!Q521/1000</f>
        <v>0</v>
      </c>
      <c r="R520" s="85">
        <f>STATS1003B!R521/1000</f>
        <v>0</v>
      </c>
      <c r="S520" s="85">
        <f>STATS1003B!S521/1000</f>
        <v>0</v>
      </c>
      <c r="T520" s="85">
        <f>STATS1003B!T521/1000</f>
        <v>0</v>
      </c>
      <c r="U520" s="85">
        <f>STATS1003B!U521/1000</f>
        <v>0</v>
      </c>
      <c r="V520" s="85">
        <f>STATS1003B!V521/1000</f>
        <v>366</v>
      </c>
      <c r="W520" s="85">
        <f>STATS1003B!W521/1000</f>
        <v>0</v>
      </c>
      <c r="X520" s="85">
        <f t="shared" si="61"/>
        <v>366</v>
      </c>
      <c r="Y520" s="85">
        <f>STATS1003B!Y521/1000</f>
        <v>0</v>
      </c>
      <c r="Z520" s="85">
        <f t="shared" si="52"/>
        <v>0</v>
      </c>
      <c r="AA520" s="69">
        <f>STATS1003B!AA521/1000</f>
        <v>366</v>
      </c>
      <c r="AB520" s="69">
        <f>STATS1003B!AB521/1000</f>
        <v>0</v>
      </c>
    </row>
    <row r="521" spans="1:28" hidden="1" x14ac:dyDescent="0.3">
      <c r="A521" s="117"/>
      <c r="C521" s="69"/>
      <c r="D521" s="69"/>
      <c r="E521" s="86" t="s">
        <v>29</v>
      </c>
      <c r="F521" s="86" t="s">
        <v>29</v>
      </c>
      <c r="G521" s="86" t="s">
        <v>29</v>
      </c>
      <c r="H521" s="86" t="s">
        <v>29</v>
      </c>
      <c r="I521" s="86" t="s">
        <v>29</v>
      </c>
      <c r="J521" s="86" t="s">
        <v>29</v>
      </c>
      <c r="K521" s="86" t="s">
        <v>29</v>
      </c>
      <c r="L521" s="86" t="s">
        <v>29</v>
      </c>
      <c r="M521" s="86" t="s">
        <v>29</v>
      </c>
      <c r="N521" s="86" t="s">
        <v>29</v>
      </c>
      <c r="O521" s="86" t="s">
        <v>29</v>
      </c>
      <c r="P521" s="86" t="s">
        <v>29</v>
      </c>
      <c r="Q521" s="86" t="s">
        <v>29</v>
      </c>
      <c r="R521" s="86" t="s">
        <v>29</v>
      </c>
      <c r="S521" s="86" t="s">
        <v>29</v>
      </c>
      <c r="T521" s="86" t="s">
        <v>29</v>
      </c>
      <c r="U521" s="86" t="s">
        <v>29</v>
      </c>
      <c r="V521" s="86" t="s">
        <v>29</v>
      </c>
      <c r="W521" s="86" t="s">
        <v>29</v>
      </c>
      <c r="X521" s="85" t="e">
        <f t="shared" si="61"/>
        <v>#VALUE!</v>
      </c>
      <c r="Y521" s="86" t="s">
        <v>29</v>
      </c>
      <c r="Z521" s="85" t="e">
        <f t="shared" ref="Z521:Z586" si="62">+E521-X521</f>
        <v>#VALUE!</v>
      </c>
      <c r="AA521" s="115" t="s">
        <v>29</v>
      </c>
      <c r="AB521" s="115" t="s">
        <v>29</v>
      </c>
    </row>
    <row r="522" spans="1:28" x14ac:dyDescent="0.3">
      <c r="A522" s="116" t="s">
        <v>958</v>
      </c>
      <c r="B522" s="68" t="s">
        <v>164</v>
      </c>
      <c r="D522" s="69"/>
      <c r="E522" s="85">
        <f>51784158.7/1000</f>
        <v>51784.1587</v>
      </c>
      <c r="F522" s="85">
        <f>SUM(F512:F520)</f>
        <v>4577.2106999999996</v>
      </c>
      <c r="G522" s="85">
        <f>SUM(G512:G520)</f>
        <v>0</v>
      </c>
      <c r="H522" s="85">
        <f>44900916.76/1000</f>
        <v>44900.91676</v>
      </c>
      <c r="I522" s="85">
        <f t="shared" ref="I522:O522" si="63">SUM(I512:I520)</f>
        <v>0</v>
      </c>
      <c r="J522" s="85">
        <f t="shared" si="63"/>
        <v>0</v>
      </c>
      <c r="K522" s="85">
        <f t="shared" si="63"/>
        <v>0</v>
      </c>
      <c r="L522" s="85">
        <f t="shared" si="63"/>
        <v>0</v>
      </c>
      <c r="M522" s="85">
        <f t="shared" si="63"/>
        <v>4577.2106999999996</v>
      </c>
      <c r="N522" s="85">
        <f t="shared" si="63"/>
        <v>6765.9588199999998</v>
      </c>
      <c r="O522" s="85">
        <f t="shared" si="63"/>
        <v>0</v>
      </c>
      <c r="P522" s="85">
        <f>6765958/1000</f>
        <v>6765.9579999999996</v>
      </c>
      <c r="Q522" s="85">
        <f t="shared" ref="Q522:W522" si="64">SUM(Q512:Q520)</f>
        <v>0</v>
      </c>
      <c r="R522" s="85">
        <f t="shared" si="64"/>
        <v>0</v>
      </c>
      <c r="S522" s="85">
        <f t="shared" si="64"/>
        <v>0</v>
      </c>
      <c r="T522" s="85">
        <f t="shared" si="64"/>
        <v>0</v>
      </c>
      <c r="U522" s="85">
        <f t="shared" si="64"/>
        <v>6765.9588199999998</v>
      </c>
      <c r="V522" s="85">
        <f t="shared" si="64"/>
        <v>11343.169519999999</v>
      </c>
      <c r="W522" s="85">
        <f t="shared" si="64"/>
        <v>117.28312</v>
      </c>
      <c r="X522" s="85">
        <f t="shared" si="61"/>
        <v>51666.874759999999</v>
      </c>
      <c r="Y522" s="85">
        <f>SUM(Y512:Y520)</f>
        <v>0</v>
      </c>
      <c r="Z522" s="85">
        <f t="shared" si="62"/>
        <v>117.28394000000117</v>
      </c>
      <c r="AA522" s="69">
        <f>SUM(AA512:AA520)</f>
        <v>11343.169519999999</v>
      </c>
      <c r="AB522" s="69">
        <f>SUM(AB512:AB520)</f>
        <v>117.28312</v>
      </c>
    </row>
    <row r="523" spans="1:28" hidden="1" x14ac:dyDescent="0.3">
      <c r="A523" s="117"/>
      <c r="E523" s="86" t="s">
        <v>29</v>
      </c>
      <c r="F523" s="86" t="s">
        <v>29</v>
      </c>
      <c r="G523" s="86" t="s">
        <v>29</v>
      </c>
      <c r="H523" s="86" t="s">
        <v>29</v>
      </c>
      <c r="I523" s="86" t="s">
        <v>29</v>
      </c>
      <c r="J523" s="86" t="s">
        <v>29</v>
      </c>
      <c r="K523" s="86" t="s">
        <v>29</v>
      </c>
      <c r="L523" s="86" t="s">
        <v>29</v>
      </c>
      <c r="M523" s="86" t="s">
        <v>29</v>
      </c>
      <c r="N523" s="86" t="s">
        <v>29</v>
      </c>
      <c r="O523" s="86" t="s">
        <v>29</v>
      </c>
      <c r="P523" s="86" t="s">
        <v>29</v>
      </c>
      <c r="Q523" s="86" t="s">
        <v>29</v>
      </c>
      <c r="R523" s="86" t="s">
        <v>29</v>
      </c>
      <c r="S523" s="86" t="s">
        <v>29</v>
      </c>
      <c r="T523" s="86" t="s">
        <v>29</v>
      </c>
      <c r="U523" s="86" t="s">
        <v>29</v>
      </c>
      <c r="V523" s="86" t="s">
        <v>29</v>
      </c>
      <c r="W523" s="86" t="s">
        <v>29</v>
      </c>
      <c r="X523" s="85" t="e">
        <f t="shared" si="61"/>
        <v>#VALUE!</v>
      </c>
      <c r="Y523" s="86" t="s">
        <v>29</v>
      </c>
      <c r="Z523" s="85" t="e">
        <f t="shared" si="62"/>
        <v>#VALUE!</v>
      </c>
      <c r="AA523" s="115" t="s">
        <v>29</v>
      </c>
      <c r="AB523" s="115" t="s">
        <v>29</v>
      </c>
    </row>
    <row r="524" spans="1:28" hidden="1" x14ac:dyDescent="0.3">
      <c r="A524" s="105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5">
        <f t="shared" si="61"/>
        <v>0</v>
      </c>
      <c r="Y524" s="84"/>
      <c r="Z524" s="85">
        <f t="shared" si="62"/>
        <v>0</v>
      </c>
      <c r="AA524" s="118"/>
    </row>
    <row r="525" spans="1:28" hidden="1" x14ac:dyDescent="0.3">
      <c r="A525" s="117"/>
      <c r="C525" s="68" t="s">
        <v>75</v>
      </c>
      <c r="D525" s="88" t="s">
        <v>76</v>
      </c>
      <c r="E525" s="85">
        <f>STATS1003B!E526/1000</f>
        <v>4522</v>
      </c>
      <c r="F525" s="85">
        <f>STATS1003B!F526/1000</f>
        <v>868.22649999999999</v>
      </c>
      <c r="G525" s="85">
        <f>STATS1003B!G526/1000</f>
        <v>0</v>
      </c>
      <c r="H525" s="85">
        <f>STATS1003B!H526/1000</f>
        <v>868.22649999999999</v>
      </c>
      <c r="I525" s="85">
        <f>STATS1003B!I526/1000</f>
        <v>0</v>
      </c>
      <c r="J525" s="85">
        <f>STATS1003B!J526/1000</f>
        <v>0</v>
      </c>
      <c r="K525" s="85">
        <f>STATS1003B!K526/1000</f>
        <v>0</v>
      </c>
      <c r="L525" s="85">
        <f>STATS1003B!L526/1000</f>
        <v>0</v>
      </c>
      <c r="M525" s="85">
        <f>STATS1003B!M526/1000</f>
        <v>868.22649999999999</v>
      </c>
      <c r="N525" s="85">
        <f>STATS1003B!N526/1000</f>
        <v>2367.26262</v>
      </c>
      <c r="O525" s="85">
        <f>STATS1003B!O526/1000</f>
        <v>0</v>
      </c>
      <c r="P525" s="85">
        <f>STATS1003B!P526/1000</f>
        <v>2367.26262</v>
      </c>
      <c r="Q525" s="85">
        <f>STATS1003B!Q526/1000</f>
        <v>0</v>
      </c>
      <c r="R525" s="85">
        <f>STATS1003B!R526/1000</f>
        <v>0</v>
      </c>
      <c r="S525" s="85">
        <f>STATS1003B!S526/1000</f>
        <v>0</v>
      </c>
      <c r="T525" s="85">
        <f>STATS1003B!T526/1000</f>
        <v>0</v>
      </c>
      <c r="U525" s="85">
        <f>STATS1003B!U526/1000</f>
        <v>2367.26262</v>
      </c>
      <c r="V525" s="85">
        <f>STATS1003B!V526/1000</f>
        <v>3235.4891200000002</v>
      </c>
      <c r="W525" s="85">
        <f>STATS1003B!W526/1000</f>
        <v>1286.5108799999998</v>
      </c>
      <c r="X525" s="85">
        <f t="shared" si="61"/>
        <v>3235.4891200000002</v>
      </c>
      <c r="Y525" s="85">
        <f>STATS1003B!Y526/1000</f>
        <v>0</v>
      </c>
      <c r="Z525" s="85">
        <f t="shared" si="62"/>
        <v>1286.5108799999998</v>
      </c>
      <c r="AA525" s="69">
        <f>STATS1003B!AA526/1000</f>
        <v>3235.4891200000002</v>
      </c>
      <c r="AB525" s="69">
        <f>STATS1003B!AB526/1000</f>
        <v>1286.5108799999998</v>
      </c>
    </row>
    <row r="526" spans="1:28" hidden="1" x14ac:dyDescent="0.3">
      <c r="A526" s="117"/>
      <c r="C526" s="68" t="s">
        <v>172</v>
      </c>
      <c r="D526" s="88" t="s">
        <v>150</v>
      </c>
      <c r="E526" s="85">
        <f>STATS1003B!E527/1000</f>
        <v>167.089</v>
      </c>
      <c r="F526" s="85">
        <f>STATS1003B!F527/1000</f>
        <v>167.089</v>
      </c>
      <c r="G526" s="85">
        <f>STATS1003B!G527/1000</f>
        <v>0</v>
      </c>
      <c r="H526" s="85">
        <f>STATS1003B!H527/1000</f>
        <v>167.089</v>
      </c>
      <c r="I526" s="85">
        <f>STATS1003B!I527/1000</f>
        <v>0</v>
      </c>
      <c r="J526" s="85">
        <f>STATS1003B!J527/1000</f>
        <v>0</v>
      </c>
      <c r="K526" s="85">
        <f>STATS1003B!K527/1000</f>
        <v>0</v>
      </c>
      <c r="L526" s="85">
        <f>STATS1003B!L527/1000</f>
        <v>0</v>
      </c>
      <c r="M526" s="85">
        <f>STATS1003B!M527/1000</f>
        <v>167.089</v>
      </c>
      <c r="N526" s="85">
        <f>STATS1003B!N527/1000</f>
        <v>0</v>
      </c>
      <c r="O526" s="85">
        <f>STATS1003B!O527/1000</f>
        <v>0</v>
      </c>
      <c r="P526" s="85">
        <f>STATS1003B!P527/1000</f>
        <v>0</v>
      </c>
      <c r="Q526" s="85">
        <f>STATS1003B!Q527/1000</f>
        <v>0</v>
      </c>
      <c r="R526" s="85">
        <f>STATS1003B!R527/1000</f>
        <v>0</v>
      </c>
      <c r="S526" s="85">
        <f>STATS1003B!S527/1000</f>
        <v>0</v>
      </c>
      <c r="T526" s="85">
        <f>STATS1003B!T527/1000</f>
        <v>0</v>
      </c>
      <c r="U526" s="85">
        <f>STATS1003B!U527/1000</f>
        <v>0</v>
      </c>
      <c r="V526" s="85">
        <f>STATS1003B!V527/1000</f>
        <v>167.089</v>
      </c>
      <c r="W526" s="85">
        <f>STATS1003B!W527/1000</f>
        <v>0</v>
      </c>
      <c r="X526" s="85">
        <f t="shared" si="61"/>
        <v>167.089</v>
      </c>
      <c r="Y526" s="85">
        <f>STATS1003B!Y527/1000</f>
        <v>0</v>
      </c>
      <c r="Z526" s="85">
        <f t="shared" si="62"/>
        <v>0</v>
      </c>
      <c r="AA526" s="69">
        <f>STATS1003B!AA527/1000</f>
        <v>167.089</v>
      </c>
      <c r="AB526" s="69">
        <f>STATS1003B!AB527/1000</f>
        <v>0</v>
      </c>
    </row>
    <row r="527" spans="1:28" hidden="1" x14ac:dyDescent="0.3">
      <c r="A527" s="117"/>
      <c r="D527" s="145" t="s">
        <v>173</v>
      </c>
      <c r="E527" s="85">
        <f>STATS1003B!E528/1000</f>
        <v>0</v>
      </c>
      <c r="F527" s="85">
        <f>STATS1003B!F528/1000</f>
        <v>0</v>
      </c>
      <c r="G527" s="85">
        <f>STATS1003B!G528/1000</f>
        <v>0</v>
      </c>
      <c r="H527" s="85">
        <f>STATS1003B!H528/1000</f>
        <v>0</v>
      </c>
      <c r="I527" s="85">
        <f>STATS1003B!I528/1000</f>
        <v>0</v>
      </c>
      <c r="J527" s="85">
        <f>STATS1003B!J528/1000</f>
        <v>0</v>
      </c>
      <c r="K527" s="85">
        <f>STATS1003B!K528/1000</f>
        <v>0</v>
      </c>
      <c r="L527" s="85">
        <f>STATS1003B!L528/1000</f>
        <v>0</v>
      </c>
      <c r="M527" s="85">
        <f>STATS1003B!M528/1000</f>
        <v>0</v>
      </c>
      <c r="N527" s="85">
        <f>STATS1003B!N528/1000</f>
        <v>0</v>
      </c>
      <c r="O527" s="85">
        <f>STATS1003B!O528/1000</f>
        <v>0</v>
      </c>
      <c r="P527" s="85">
        <f>STATS1003B!P528/1000</f>
        <v>0</v>
      </c>
      <c r="Q527" s="85">
        <f>STATS1003B!Q528/1000</f>
        <v>0</v>
      </c>
      <c r="R527" s="85">
        <f>STATS1003B!R528/1000</f>
        <v>0</v>
      </c>
      <c r="S527" s="85">
        <f>STATS1003B!S528/1000</f>
        <v>0</v>
      </c>
      <c r="T527" s="85">
        <f>STATS1003B!T528/1000</f>
        <v>0</v>
      </c>
      <c r="U527" s="85">
        <f>STATS1003B!U528/1000</f>
        <v>0</v>
      </c>
      <c r="V527" s="85">
        <f>STATS1003B!V528/1000</f>
        <v>0</v>
      </c>
      <c r="W527" s="85">
        <f>STATS1003B!W528/1000</f>
        <v>0</v>
      </c>
      <c r="X527" s="85">
        <f t="shared" si="61"/>
        <v>0</v>
      </c>
      <c r="Y527" s="85">
        <f>STATS1003B!Y528/1000</f>
        <v>0</v>
      </c>
      <c r="Z527" s="85">
        <f t="shared" si="62"/>
        <v>0</v>
      </c>
      <c r="AA527" s="69">
        <f>STATS1003B!AA528/1000</f>
        <v>0</v>
      </c>
      <c r="AB527" s="69">
        <f>STATS1003B!AB528/1000</f>
        <v>0</v>
      </c>
    </row>
    <row r="528" spans="1:28" hidden="1" x14ac:dyDescent="0.3">
      <c r="A528" s="117"/>
      <c r="C528" s="68" t="s">
        <v>174</v>
      </c>
      <c r="D528" s="71" t="s">
        <v>175</v>
      </c>
      <c r="E528" s="85">
        <f>STATS1003B!E529/1000</f>
        <v>6238.42245</v>
      </c>
      <c r="F528" s="85">
        <f>STATS1003B!F529/1000</f>
        <v>6054.0167300000003</v>
      </c>
      <c r="G528" s="85">
        <f>STATS1003B!G529/1000</f>
        <v>0</v>
      </c>
      <c r="H528" s="85">
        <f>STATS1003B!H529/1000</f>
        <v>6054.0167300000003</v>
      </c>
      <c r="I528" s="85">
        <f>STATS1003B!I529/1000</f>
        <v>0</v>
      </c>
      <c r="J528" s="85">
        <f>STATS1003B!J529/1000</f>
        <v>0</v>
      </c>
      <c r="K528" s="85">
        <f>STATS1003B!K529/1000</f>
        <v>0</v>
      </c>
      <c r="L528" s="85">
        <f>STATS1003B!L529/1000</f>
        <v>0</v>
      </c>
      <c r="M528" s="85">
        <f>STATS1003B!M529/1000</f>
        <v>6054.0167300000003</v>
      </c>
      <c r="N528" s="85">
        <f>STATS1003B!N529/1000</f>
        <v>184.40572</v>
      </c>
      <c r="O528" s="85">
        <f>STATS1003B!O529/1000</f>
        <v>0</v>
      </c>
      <c r="P528" s="85">
        <f>STATS1003B!P529/1000</f>
        <v>184.40572</v>
      </c>
      <c r="Q528" s="85">
        <f>STATS1003B!Q529/1000</f>
        <v>0</v>
      </c>
      <c r="R528" s="85">
        <f>STATS1003B!R529/1000</f>
        <v>0</v>
      </c>
      <c r="S528" s="85">
        <f>STATS1003B!S529/1000</f>
        <v>0</v>
      </c>
      <c r="T528" s="85">
        <f>STATS1003B!T529/1000</f>
        <v>0</v>
      </c>
      <c r="U528" s="85">
        <f>STATS1003B!U529/1000</f>
        <v>184.40572</v>
      </c>
      <c r="V528" s="85">
        <f>STATS1003B!V529/1000</f>
        <v>6238.42245</v>
      </c>
      <c r="W528" s="85">
        <f>STATS1003B!W529/1000</f>
        <v>0</v>
      </c>
      <c r="X528" s="85">
        <f t="shared" si="61"/>
        <v>6238.42245</v>
      </c>
      <c r="Y528" s="85">
        <f>STATS1003B!Y529/1000</f>
        <v>0</v>
      </c>
      <c r="Z528" s="85">
        <f t="shared" si="62"/>
        <v>0</v>
      </c>
      <c r="AA528" s="69">
        <f>STATS1003B!AA529/1000</f>
        <v>6238.42245</v>
      </c>
      <c r="AB528" s="69">
        <f>STATS1003B!AB529/1000</f>
        <v>0</v>
      </c>
    </row>
    <row r="529" spans="1:28" hidden="1" x14ac:dyDescent="0.3">
      <c r="A529" s="117"/>
      <c r="C529" s="68" t="s">
        <v>55</v>
      </c>
      <c r="D529" s="145" t="s">
        <v>119</v>
      </c>
      <c r="E529" s="85">
        <f>STATS1003B!E530/1000</f>
        <v>11277.40525</v>
      </c>
      <c r="F529" s="85">
        <f>STATS1003B!F530/1000</f>
        <v>0</v>
      </c>
      <c r="G529" s="85">
        <f>STATS1003B!G530/1000</f>
        <v>0</v>
      </c>
      <c r="H529" s="85">
        <f>STATS1003B!H530/1000</f>
        <v>0</v>
      </c>
      <c r="I529" s="85">
        <f>STATS1003B!I530/1000</f>
        <v>0</v>
      </c>
      <c r="J529" s="85">
        <f>STATS1003B!J530/1000</f>
        <v>0</v>
      </c>
      <c r="K529" s="85">
        <f>STATS1003B!K530/1000</f>
        <v>0</v>
      </c>
      <c r="L529" s="85">
        <f>STATS1003B!L530/1000</f>
        <v>0</v>
      </c>
      <c r="M529" s="85">
        <f>STATS1003B!M530/1000</f>
        <v>0</v>
      </c>
      <c r="N529" s="85">
        <f>STATS1003B!N530/1000</f>
        <v>11277.40525</v>
      </c>
      <c r="O529" s="85">
        <f>STATS1003B!O530/1000</f>
        <v>0</v>
      </c>
      <c r="P529" s="85">
        <f>STATS1003B!P530/1000</f>
        <v>11277.40525</v>
      </c>
      <c r="Q529" s="85">
        <f>STATS1003B!Q530/1000</f>
        <v>0</v>
      </c>
      <c r="R529" s="85">
        <f>STATS1003B!R530/1000</f>
        <v>0</v>
      </c>
      <c r="S529" s="85">
        <f>STATS1003B!S530/1000</f>
        <v>0</v>
      </c>
      <c r="T529" s="85">
        <f>STATS1003B!T530/1000</f>
        <v>0</v>
      </c>
      <c r="U529" s="85">
        <f>STATS1003B!U530/1000</f>
        <v>11277.40525</v>
      </c>
      <c r="V529" s="85">
        <f>STATS1003B!V530/1000</f>
        <v>11277.40525</v>
      </c>
      <c r="W529" s="85">
        <f>STATS1003B!W530/1000</f>
        <v>0</v>
      </c>
      <c r="X529" s="85">
        <f t="shared" si="61"/>
        <v>11277.40525</v>
      </c>
      <c r="Y529" s="85">
        <f>STATS1003B!Y530/1000</f>
        <v>0</v>
      </c>
      <c r="Z529" s="85">
        <f t="shared" si="62"/>
        <v>0</v>
      </c>
      <c r="AA529" s="69">
        <f>STATS1003B!AA530/1000</f>
        <v>11277.40525</v>
      </c>
      <c r="AB529" s="69">
        <f>STATS1003B!AB530/1000</f>
        <v>0</v>
      </c>
    </row>
    <row r="530" spans="1:28" hidden="1" x14ac:dyDescent="0.3">
      <c r="A530" s="117"/>
      <c r="C530" s="68" t="s">
        <v>53</v>
      </c>
      <c r="D530" s="145" t="s">
        <v>54</v>
      </c>
      <c r="E530" s="85">
        <f>STATS1003B!E531/1000</f>
        <v>1953.989</v>
      </c>
      <c r="F530" s="85">
        <f>STATS1003B!F531/1000</f>
        <v>0</v>
      </c>
      <c r="G530" s="85">
        <f>STATS1003B!G531/1000</f>
        <v>0</v>
      </c>
      <c r="H530" s="85">
        <f>STATS1003B!H531/1000</f>
        <v>0</v>
      </c>
      <c r="I530" s="85">
        <f>STATS1003B!I531/1000</f>
        <v>0</v>
      </c>
      <c r="J530" s="85">
        <f>STATS1003B!J531/1000</f>
        <v>0</v>
      </c>
      <c r="K530" s="85">
        <f>STATS1003B!K531/1000</f>
        <v>0</v>
      </c>
      <c r="L530" s="85">
        <f>STATS1003B!L531/1000</f>
        <v>0</v>
      </c>
      <c r="M530" s="85">
        <f>STATS1003B!M531/1000</f>
        <v>0</v>
      </c>
      <c r="N530" s="85">
        <f>STATS1003B!N531/1000</f>
        <v>1953.989</v>
      </c>
      <c r="O530" s="85">
        <f>STATS1003B!O531/1000</f>
        <v>0</v>
      </c>
      <c r="P530" s="85">
        <f>STATS1003B!P531/1000</f>
        <v>1953.989</v>
      </c>
      <c r="Q530" s="85">
        <f>STATS1003B!Q531/1000</f>
        <v>0</v>
      </c>
      <c r="R530" s="85">
        <f>STATS1003B!R531/1000</f>
        <v>0</v>
      </c>
      <c r="S530" s="85">
        <f>STATS1003B!S531/1000</f>
        <v>0</v>
      </c>
      <c r="T530" s="85">
        <f>STATS1003B!T531/1000</f>
        <v>0</v>
      </c>
      <c r="U530" s="85">
        <f>STATS1003B!U531/1000</f>
        <v>1953.989</v>
      </c>
      <c r="V530" s="85">
        <f>STATS1003B!V531/1000</f>
        <v>1953.989</v>
      </c>
      <c r="W530" s="85">
        <f>STATS1003B!W531/1000</f>
        <v>0</v>
      </c>
      <c r="X530" s="85">
        <f t="shared" si="61"/>
        <v>1953.989</v>
      </c>
      <c r="Y530" s="85">
        <f>STATS1003B!Y531/1000</f>
        <v>0</v>
      </c>
      <c r="Z530" s="85">
        <f t="shared" si="62"/>
        <v>0</v>
      </c>
      <c r="AA530" s="69">
        <f>STATS1003B!AA531/1000</f>
        <v>1953.989</v>
      </c>
      <c r="AB530" s="69">
        <f>STATS1003B!AB531/1000</f>
        <v>0</v>
      </c>
    </row>
    <row r="531" spans="1:28" hidden="1" x14ac:dyDescent="0.3">
      <c r="A531" s="117"/>
      <c r="C531" s="68" t="s">
        <v>930</v>
      </c>
      <c r="D531" s="90" t="s">
        <v>1072</v>
      </c>
      <c r="E531" s="85">
        <f>STATS1003B!E532/1000</f>
        <v>294.80248</v>
      </c>
      <c r="F531" s="85">
        <f>STATS1003B!F532/1000</f>
        <v>294.80248</v>
      </c>
      <c r="G531" s="85">
        <f>STATS1003B!G532/1000</f>
        <v>0</v>
      </c>
      <c r="H531" s="85">
        <f>STATS1003B!H532/1000</f>
        <v>294.80248</v>
      </c>
      <c r="I531" s="85">
        <f>STATS1003B!I532/1000</f>
        <v>0</v>
      </c>
      <c r="J531" s="85">
        <f>STATS1003B!J532/1000</f>
        <v>0</v>
      </c>
      <c r="K531" s="85">
        <f>STATS1003B!K532/1000</f>
        <v>0</v>
      </c>
      <c r="L531" s="85">
        <f>STATS1003B!L532/1000</f>
        <v>0</v>
      </c>
      <c r="M531" s="85">
        <f>STATS1003B!M532/1000</f>
        <v>294.80248</v>
      </c>
      <c r="N531" s="85">
        <f>STATS1003B!N532/1000</f>
        <v>0</v>
      </c>
      <c r="O531" s="85">
        <f>STATS1003B!O532/1000</f>
        <v>0</v>
      </c>
      <c r="P531" s="85">
        <f>STATS1003B!P532/1000</f>
        <v>0</v>
      </c>
      <c r="Q531" s="85">
        <f>STATS1003B!Q532/1000</f>
        <v>0</v>
      </c>
      <c r="R531" s="85">
        <f>STATS1003B!R532/1000</f>
        <v>0</v>
      </c>
      <c r="S531" s="85">
        <f>STATS1003B!S532/1000</f>
        <v>0</v>
      </c>
      <c r="T531" s="85">
        <f>STATS1003B!T532/1000</f>
        <v>0</v>
      </c>
      <c r="U531" s="85">
        <f>STATS1003B!U532/1000</f>
        <v>0</v>
      </c>
      <c r="V531" s="85">
        <f>STATS1003B!V532/1000</f>
        <v>294.80248</v>
      </c>
      <c r="W531" s="85">
        <f>STATS1003B!W532/1000</f>
        <v>0</v>
      </c>
      <c r="X531" s="85">
        <f t="shared" si="61"/>
        <v>294.80248</v>
      </c>
      <c r="Y531" s="85">
        <f>STATS1003B!Y532/1000</f>
        <v>0</v>
      </c>
      <c r="Z531" s="85">
        <f t="shared" si="62"/>
        <v>0</v>
      </c>
      <c r="AA531" s="69">
        <f>STATS1003B!AA532/1000</f>
        <v>294.80248</v>
      </c>
      <c r="AB531" s="69">
        <f>STATS1003B!AB532/1000</f>
        <v>0</v>
      </c>
    </row>
    <row r="532" spans="1:28" hidden="1" x14ac:dyDescent="0.3">
      <c r="A532" s="117"/>
      <c r="C532" s="68" t="s">
        <v>57</v>
      </c>
      <c r="D532" s="145" t="s">
        <v>60</v>
      </c>
      <c r="E532" s="85">
        <f>STATS1003B!E533/1000</f>
        <v>378.76100000000002</v>
      </c>
      <c r="F532" s="85">
        <f>STATS1003B!F533/1000</f>
        <v>378.76100000000002</v>
      </c>
      <c r="G532" s="85">
        <f>STATS1003B!G533/1000</f>
        <v>0</v>
      </c>
      <c r="H532" s="85">
        <f>STATS1003B!H533/1000</f>
        <v>378.76100000000002</v>
      </c>
      <c r="I532" s="85">
        <f>STATS1003B!I533/1000</f>
        <v>0</v>
      </c>
      <c r="J532" s="85">
        <f>STATS1003B!J533/1000</f>
        <v>0</v>
      </c>
      <c r="K532" s="85">
        <f>STATS1003B!K533/1000</f>
        <v>0</v>
      </c>
      <c r="L532" s="85">
        <f>STATS1003B!L533/1000</f>
        <v>0</v>
      </c>
      <c r="M532" s="85">
        <f>STATS1003B!M533/1000</f>
        <v>378.76100000000002</v>
      </c>
      <c r="N532" s="85">
        <f>STATS1003B!N533/1000</f>
        <v>0</v>
      </c>
      <c r="O532" s="85">
        <f>STATS1003B!O533/1000</f>
        <v>0</v>
      </c>
      <c r="P532" s="85">
        <f>STATS1003B!P533/1000</f>
        <v>0</v>
      </c>
      <c r="Q532" s="85">
        <f>STATS1003B!Q533/1000</f>
        <v>0</v>
      </c>
      <c r="R532" s="85">
        <f>STATS1003B!R533/1000</f>
        <v>0</v>
      </c>
      <c r="S532" s="85">
        <f>STATS1003B!S533/1000</f>
        <v>0</v>
      </c>
      <c r="T532" s="85">
        <f>STATS1003B!T533/1000</f>
        <v>0</v>
      </c>
      <c r="U532" s="85">
        <f>STATS1003B!U533/1000</f>
        <v>0</v>
      </c>
      <c r="V532" s="85">
        <f>STATS1003B!V533/1000</f>
        <v>378.76100000000002</v>
      </c>
      <c r="W532" s="85">
        <f>STATS1003B!W533/1000</f>
        <v>0</v>
      </c>
      <c r="X532" s="85">
        <f t="shared" si="61"/>
        <v>378.76100000000002</v>
      </c>
      <c r="Y532" s="85">
        <f>STATS1003B!Y533/1000</f>
        <v>0</v>
      </c>
      <c r="Z532" s="85">
        <f t="shared" si="62"/>
        <v>0</v>
      </c>
      <c r="AA532" s="69">
        <f>STATS1003B!AA533/1000</f>
        <v>378.76100000000002</v>
      </c>
      <c r="AB532" s="69">
        <f>STATS1003B!AB533/1000</f>
        <v>0</v>
      </c>
    </row>
    <row r="533" spans="1:28" hidden="1" x14ac:dyDescent="0.3">
      <c r="A533" s="117"/>
      <c r="C533" s="71" t="s">
        <v>109</v>
      </c>
      <c r="D533" s="88" t="s">
        <v>60</v>
      </c>
      <c r="E533" s="85">
        <f>STATS1003B!E534/1000</f>
        <v>2500</v>
      </c>
      <c r="F533" s="85">
        <f>STATS1003B!F534/1000</f>
        <v>2500</v>
      </c>
      <c r="G533" s="85">
        <f>STATS1003B!G534/1000</f>
        <v>0</v>
      </c>
      <c r="H533" s="85">
        <f>STATS1003B!H534/1000</f>
        <v>2500</v>
      </c>
      <c r="I533" s="85">
        <f>STATS1003B!I534/1000</f>
        <v>0</v>
      </c>
      <c r="J533" s="85">
        <f>STATS1003B!J534/1000</f>
        <v>0</v>
      </c>
      <c r="K533" s="85">
        <f>STATS1003B!K534/1000</f>
        <v>0</v>
      </c>
      <c r="L533" s="85">
        <f>STATS1003B!L534/1000</f>
        <v>0</v>
      </c>
      <c r="M533" s="85">
        <f>STATS1003B!M534/1000</f>
        <v>2500</v>
      </c>
      <c r="N533" s="85">
        <f>STATS1003B!N534/1000</f>
        <v>0</v>
      </c>
      <c r="O533" s="85">
        <f>STATS1003B!O534/1000</f>
        <v>0</v>
      </c>
      <c r="P533" s="85">
        <f>STATS1003B!P534/1000</f>
        <v>0</v>
      </c>
      <c r="Q533" s="85">
        <f>STATS1003B!Q534/1000</f>
        <v>0</v>
      </c>
      <c r="R533" s="85">
        <f>STATS1003B!R534/1000</f>
        <v>0</v>
      </c>
      <c r="S533" s="85">
        <f>STATS1003B!S534/1000</f>
        <v>0</v>
      </c>
      <c r="T533" s="85">
        <f>STATS1003B!T534/1000</f>
        <v>0</v>
      </c>
      <c r="U533" s="85">
        <f>STATS1003B!U534/1000</f>
        <v>0</v>
      </c>
      <c r="V533" s="85">
        <f>STATS1003B!V534/1000</f>
        <v>2500</v>
      </c>
      <c r="W533" s="85">
        <f>STATS1003B!W534/1000</f>
        <v>0</v>
      </c>
      <c r="X533" s="85">
        <f t="shared" si="61"/>
        <v>2500</v>
      </c>
      <c r="Y533" s="85">
        <f>STATS1003B!Y534/1000</f>
        <v>0</v>
      </c>
      <c r="Z533" s="85">
        <f t="shared" si="62"/>
        <v>0</v>
      </c>
      <c r="AA533" s="69">
        <f>STATS1003B!AA534/1000</f>
        <v>2500</v>
      </c>
      <c r="AB533" s="69">
        <f>STATS1003B!AB534/1000</f>
        <v>0</v>
      </c>
    </row>
    <row r="534" spans="1:28" hidden="1" x14ac:dyDescent="0.3">
      <c r="A534" s="117"/>
      <c r="C534" s="69"/>
      <c r="D534" s="69"/>
      <c r="E534" s="86" t="s">
        <v>29</v>
      </c>
      <c r="F534" s="86" t="s">
        <v>29</v>
      </c>
      <c r="G534" s="86" t="s">
        <v>29</v>
      </c>
      <c r="H534" s="86" t="s">
        <v>29</v>
      </c>
      <c r="I534" s="86" t="s">
        <v>29</v>
      </c>
      <c r="J534" s="86" t="s">
        <v>29</v>
      </c>
      <c r="K534" s="86" t="s">
        <v>29</v>
      </c>
      <c r="L534" s="86" t="s">
        <v>29</v>
      </c>
      <c r="M534" s="86" t="s">
        <v>29</v>
      </c>
      <c r="N534" s="86" t="s">
        <v>29</v>
      </c>
      <c r="O534" s="86" t="s">
        <v>29</v>
      </c>
      <c r="P534" s="86" t="s">
        <v>29</v>
      </c>
      <c r="Q534" s="86" t="s">
        <v>29</v>
      </c>
      <c r="R534" s="86" t="s">
        <v>29</v>
      </c>
      <c r="S534" s="86" t="s">
        <v>29</v>
      </c>
      <c r="T534" s="86" t="s">
        <v>29</v>
      </c>
      <c r="U534" s="86" t="s">
        <v>29</v>
      </c>
      <c r="V534" s="86" t="s">
        <v>29</v>
      </c>
      <c r="W534" s="86" t="s">
        <v>29</v>
      </c>
      <c r="X534" s="85" t="e">
        <f t="shared" si="61"/>
        <v>#VALUE!</v>
      </c>
      <c r="Y534" s="86" t="s">
        <v>29</v>
      </c>
      <c r="Z534" s="85" t="e">
        <f t="shared" si="62"/>
        <v>#VALUE!</v>
      </c>
      <c r="AA534" s="115" t="s">
        <v>29</v>
      </c>
      <c r="AB534" s="115" t="s">
        <v>29</v>
      </c>
    </row>
    <row r="535" spans="1:28" x14ac:dyDescent="0.3">
      <c r="A535" s="116" t="s">
        <v>959</v>
      </c>
      <c r="B535" s="68" t="s">
        <v>171</v>
      </c>
      <c r="E535" s="85">
        <f>29166048.32/1000</f>
        <v>29166.048320000002</v>
      </c>
      <c r="F535" s="85">
        <f>SUM(F525:F533)</f>
        <v>10262.895710000001</v>
      </c>
      <c r="G535" s="85">
        <f>SUM(G525:G533)</f>
        <v>0</v>
      </c>
      <c r="H535" s="85">
        <f>12096474.85/1000</f>
        <v>12096.474850000001</v>
      </c>
      <c r="I535" s="85">
        <f t="shared" ref="I535:O535" si="65">SUM(I525:I533)</f>
        <v>0</v>
      </c>
      <c r="J535" s="85">
        <f t="shared" si="65"/>
        <v>0</v>
      </c>
      <c r="K535" s="85">
        <f t="shared" si="65"/>
        <v>0</v>
      </c>
      <c r="L535" s="85">
        <f t="shared" si="65"/>
        <v>0</v>
      </c>
      <c r="M535" s="85">
        <f t="shared" si="65"/>
        <v>10262.895710000001</v>
      </c>
      <c r="N535" s="85">
        <f t="shared" si="65"/>
        <v>15783.06259</v>
      </c>
      <c r="O535" s="85">
        <f t="shared" si="65"/>
        <v>0</v>
      </c>
      <c r="P535" s="85">
        <f>15783062/1000</f>
        <v>15783.062</v>
      </c>
      <c r="Q535" s="85">
        <f t="shared" ref="Q535:W535" si="66">SUM(Q525:Q533)</f>
        <v>0</v>
      </c>
      <c r="R535" s="85">
        <f t="shared" si="66"/>
        <v>0</v>
      </c>
      <c r="S535" s="85">
        <f t="shared" si="66"/>
        <v>0</v>
      </c>
      <c r="T535" s="85">
        <f t="shared" si="66"/>
        <v>0</v>
      </c>
      <c r="U535" s="85">
        <f t="shared" si="66"/>
        <v>15783.06259</v>
      </c>
      <c r="V535" s="85">
        <f t="shared" si="66"/>
        <v>26045.958299999998</v>
      </c>
      <c r="W535" s="85">
        <f t="shared" si="66"/>
        <v>1286.5108799999998</v>
      </c>
      <c r="X535" s="85">
        <f t="shared" si="61"/>
        <v>27879.53685</v>
      </c>
      <c r="Y535" s="85">
        <f>SUM(Y525:Y533)</f>
        <v>0</v>
      </c>
      <c r="Z535" s="85">
        <f t="shared" si="62"/>
        <v>1286.5114700000013</v>
      </c>
      <c r="AA535" s="69">
        <f>SUM(AA525:AA533)</f>
        <v>26045.958299999998</v>
      </c>
      <c r="AB535" s="69">
        <f>SUM(AB525:AB533)</f>
        <v>1286.5108799999998</v>
      </c>
    </row>
    <row r="536" spans="1:28" hidden="1" x14ac:dyDescent="0.3">
      <c r="A536" s="117"/>
      <c r="E536" s="86" t="s">
        <v>29</v>
      </c>
      <c r="F536" s="86" t="s">
        <v>29</v>
      </c>
      <c r="G536" s="86" t="s">
        <v>29</v>
      </c>
      <c r="H536" s="86" t="s">
        <v>29</v>
      </c>
      <c r="I536" s="86" t="s">
        <v>29</v>
      </c>
      <c r="J536" s="86" t="s">
        <v>29</v>
      </c>
      <c r="K536" s="86" t="s">
        <v>29</v>
      </c>
      <c r="L536" s="86" t="s">
        <v>29</v>
      </c>
      <c r="M536" s="86" t="s">
        <v>29</v>
      </c>
      <c r="N536" s="86" t="s">
        <v>29</v>
      </c>
      <c r="O536" s="86" t="s">
        <v>29</v>
      </c>
      <c r="P536" s="86" t="s">
        <v>29</v>
      </c>
      <c r="Q536" s="86" t="s">
        <v>29</v>
      </c>
      <c r="R536" s="86" t="s">
        <v>29</v>
      </c>
      <c r="S536" s="86" t="s">
        <v>29</v>
      </c>
      <c r="T536" s="86" t="s">
        <v>29</v>
      </c>
      <c r="U536" s="86" t="s">
        <v>29</v>
      </c>
      <c r="V536" s="86" t="s">
        <v>29</v>
      </c>
      <c r="W536" s="86" t="s">
        <v>29</v>
      </c>
      <c r="X536" s="85" t="e">
        <f t="shared" si="61"/>
        <v>#VALUE!</v>
      </c>
      <c r="Y536" s="86" t="s">
        <v>29</v>
      </c>
      <c r="Z536" s="85" t="e">
        <f t="shared" si="62"/>
        <v>#VALUE!</v>
      </c>
      <c r="AA536" s="115" t="s">
        <v>29</v>
      </c>
      <c r="AB536" s="115" t="s">
        <v>29</v>
      </c>
    </row>
    <row r="537" spans="1:28" hidden="1" x14ac:dyDescent="0.3">
      <c r="A537" s="105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5">
        <f t="shared" si="61"/>
        <v>0</v>
      </c>
      <c r="Y537" s="84"/>
      <c r="Z537" s="85">
        <f t="shared" si="62"/>
        <v>0</v>
      </c>
    </row>
    <row r="538" spans="1:28" hidden="1" x14ac:dyDescent="0.3">
      <c r="A538" s="117"/>
      <c r="C538" s="68" t="s">
        <v>165</v>
      </c>
      <c r="D538" s="88" t="s">
        <v>166</v>
      </c>
      <c r="E538" s="85">
        <f>STATS1003B!E539/1000</f>
        <v>245.23334</v>
      </c>
      <c r="F538" s="85">
        <f>STATS1003B!F539/1000</f>
        <v>245.23334</v>
      </c>
      <c r="G538" s="85">
        <f>STATS1003B!G539/1000</f>
        <v>0</v>
      </c>
      <c r="H538" s="85">
        <f>STATS1003B!H539/1000</f>
        <v>245.23334</v>
      </c>
      <c r="I538" s="85">
        <f>STATS1003B!I539/1000</f>
        <v>0</v>
      </c>
      <c r="J538" s="85">
        <f>STATS1003B!J539/1000</f>
        <v>0</v>
      </c>
      <c r="K538" s="85">
        <f>STATS1003B!K539/1000</f>
        <v>0</v>
      </c>
      <c r="L538" s="85">
        <f>STATS1003B!L539/1000</f>
        <v>0</v>
      </c>
      <c r="M538" s="85">
        <f>STATS1003B!M539/1000</f>
        <v>245.23334</v>
      </c>
      <c r="N538" s="85">
        <f>STATS1003B!N539/1000</f>
        <v>0</v>
      </c>
      <c r="O538" s="85">
        <f>STATS1003B!O539/1000</f>
        <v>0</v>
      </c>
      <c r="P538" s="85">
        <f>STATS1003B!P539/1000</f>
        <v>0</v>
      </c>
      <c r="Q538" s="85">
        <f>STATS1003B!Q539/1000</f>
        <v>0</v>
      </c>
      <c r="R538" s="85">
        <f>STATS1003B!R539/1000</f>
        <v>0</v>
      </c>
      <c r="S538" s="85">
        <f>STATS1003B!S539/1000</f>
        <v>0</v>
      </c>
      <c r="T538" s="85">
        <f>STATS1003B!T539/1000</f>
        <v>0</v>
      </c>
      <c r="U538" s="85">
        <f>STATS1003B!U539/1000</f>
        <v>0</v>
      </c>
      <c r="V538" s="85">
        <f>STATS1003B!V539/1000</f>
        <v>245.23334</v>
      </c>
      <c r="W538" s="85">
        <f>STATS1003B!W539/1000</f>
        <v>0</v>
      </c>
      <c r="X538" s="85">
        <f t="shared" si="61"/>
        <v>245.23334</v>
      </c>
      <c r="Y538" s="85">
        <f>STATS1003B!Y539/1000</f>
        <v>0</v>
      </c>
      <c r="Z538" s="85">
        <f t="shared" si="62"/>
        <v>0</v>
      </c>
      <c r="AA538" s="69">
        <f>STATS1003B!AA539/1000</f>
        <v>245.23334</v>
      </c>
      <c r="AB538" s="69">
        <f>STATS1003B!AB539/1000</f>
        <v>0</v>
      </c>
    </row>
    <row r="539" spans="1:28" hidden="1" x14ac:dyDescent="0.3">
      <c r="A539" s="117"/>
      <c r="C539" s="68" t="s">
        <v>1087</v>
      </c>
      <c r="D539" s="89" t="s">
        <v>1072</v>
      </c>
      <c r="E539" s="85">
        <f>STATS1003B!E540/1000</f>
        <v>1430.65446</v>
      </c>
      <c r="F539" s="85">
        <f>STATS1003B!F540/1000</f>
        <v>1430.65446</v>
      </c>
      <c r="G539" s="85">
        <f>STATS1003B!G540/1000</f>
        <v>0</v>
      </c>
      <c r="H539" s="85">
        <f>STATS1003B!H540/1000</f>
        <v>1430.65446</v>
      </c>
      <c r="I539" s="85">
        <f>STATS1003B!I540/1000</f>
        <v>0</v>
      </c>
      <c r="J539" s="85">
        <f>STATS1003B!J540/1000</f>
        <v>0</v>
      </c>
      <c r="K539" s="85">
        <f>STATS1003B!K540/1000</f>
        <v>0</v>
      </c>
      <c r="L539" s="85">
        <f>STATS1003B!L540/1000</f>
        <v>0</v>
      </c>
      <c r="M539" s="85">
        <f>STATS1003B!M540/1000</f>
        <v>1430.65446</v>
      </c>
      <c r="N539" s="85">
        <f>STATS1003B!N540/1000</f>
        <v>0</v>
      </c>
      <c r="O539" s="85">
        <f>STATS1003B!O540/1000</f>
        <v>0</v>
      </c>
      <c r="P539" s="85">
        <f>STATS1003B!P540/1000</f>
        <v>0</v>
      </c>
      <c r="Q539" s="85">
        <f>STATS1003B!Q540/1000</f>
        <v>0</v>
      </c>
      <c r="R539" s="85">
        <f>STATS1003B!R540/1000</f>
        <v>0</v>
      </c>
      <c r="S539" s="85">
        <f>STATS1003B!S540/1000</f>
        <v>0</v>
      </c>
      <c r="T539" s="85">
        <f>STATS1003B!T540/1000</f>
        <v>0</v>
      </c>
      <c r="U539" s="85">
        <f>STATS1003B!U540/1000</f>
        <v>0</v>
      </c>
      <c r="V539" s="85">
        <f>STATS1003B!V540/1000</f>
        <v>0</v>
      </c>
      <c r="W539" s="85">
        <f>STATS1003B!W540/1000</f>
        <v>0</v>
      </c>
      <c r="X539" s="85">
        <f t="shared" si="61"/>
        <v>1430.65446</v>
      </c>
      <c r="Y539" s="85">
        <f>STATS1003B!Y540/1000</f>
        <v>0</v>
      </c>
      <c r="Z539" s="85">
        <f t="shared" si="62"/>
        <v>0</v>
      </c>
      <c r="AA539" s="69">
        <f>STATS1003B!AA540/1000</f>
        <v>1430.65446</v>
      </c>
      <c r="AB539" s="69">
        <f>STATS1003B!AB540/1000</f>
        <v>0</v>
      </c>
    </row>
    <row r="540" spans="1:28" hidden="1" x14ac:dyDescent="0.3">
      <c r="A540" s="117"/>
      <c r="C540" s="68" t="s">
        <v>177</v>
      </c>
      <c r="D540" s="145" t="s">
        <v>68</v>
      </c>
      <c r="E540" s="85">
        <f>STATS1003B!E541/1000</f>
        <v>657.46223999999995</v>
      </c>
      <c r="F540" s="85">
        <f>STATS1003B!F541/1000</f>
        <v>557.71400000000006</v>
      </c>
      <c r="G540" s="85">
        <f>STATS1003B!G541/1000</f>
        <v>0</v>
      </c>
      <c r="H540" s="85">
        <f>STATS1003B!H541/1000</f>
        <v>557.71400000000006</v>
      </c>
      <c r="I540" s="85">
        <f>STATS1003B!I541/1000</f>
        <v>0</v>
      </c>
      <c r="J540" s="85">
        <f>STATS1003B!J541/1000</f>
        <v>0</v>
      </c>
      <c r="K540" s="85">
        <f>STATS1003B!K541/1000</f>
        <v>0</v>
      </c>
      <c r="L540" s="85">
        <f>STATS1003B!L541/1000</f>
        <v>0</v>
      </c>
      <c r="M540" s="85">
        <f>STATS1003B!M541/1000</f>
        <v>557.71400000000006</v>
      </c>
      <c r="N540" s="85">
        <f>STATS1003B!N541/1000</f>
        <v>99.74824000000001</v>
      </c>
      <c r="O540" s="85">
        <f>STATS1003B!O541/1000</f>
        <v>0</v>
      </c>
      <c r="P540" s="85">
        <f>STATS1003B!P541/1000</f>
        <v>99.74824000000001</v>
      </c>
      <c r="Q540" s="85">
        <f>STATS1003B!Q541/1000</f>
        <v>0</v>
      </c>
      <c r="R540" s="85">
        <f>STATS1003B!R541/1000</f>
        <v>0</v>
      </c>
      <c r="S540" s="85">
        <f>STATS1003B!S541/1000</f>
        <v>0</v>
      </c>
      <c r="T540" s="85">
        <f>STATS1003B!T541/1000</f>
        <v>0</v>
      </c>
      <c r="U540" s="85">
        <f>STATS1003B!U541/1000</f>
        <v>99.74824000000001</v>
      </c>
      <c r="V540" s="85">
        <f>STATS1003B!V541/1000</f>
        <v>657.46223999999995</v>
      </c>
      <c r="W540" s="85">
        <f>STATS1003B!W541/1000</f>
        <v>0</v>
      </c>
      <c r="X540" s="85">
        <f t="shared" si="61"/>
        <v>657.46224000000007</v>
      </c>
      <c r="Y540" s="85">
        <f>STATS1003B!Y541/1000</f>
        <v>0</v>
      </c>
      <c r="Z540" s="85">
        <f t="shared" si="62"/>
        <v>0</v>
      </c>
      <c r="AA540" s="69">
        <f>STATS1003B!AA541/1000</f>
        <v>657.46223999999995</v>
      </c>
      <c r="AB540" s="69">
        <f>STATS1003B!AB541/1000</f>
        <v>0</v>
      </c>
    </row>
    <row r="541" spans="1:28" hidden="1" x14ac:dyDescent="0.3">
      <c r="A541" s="117"/>
      <c r="C541" s="68" t="s">
        <v>55</v>
      </c>
      <c r="D541" s="145" t="s">
        <v>68</v>
      </c>
      <c r="E541" s="85">
        <f>STATS1003B!E542/1000</f>
        <v>1511.5823</v>
      </c>
      <c r="F541" s="85">
        <f>STATS1003B!F542/1000</f>
        <v>0</v>
      </c>
      <c r="G541" s="85">
        <f>STATS1003B!G542/1000</f>
        <v>0</v>
      </c>
      <c r="H541" s="85">
        <f>STATS1003B!H542/1000</f>
        <v>0</v>
      </c>
      <c r="I541" s="85">
        <f>STATS1003B!I542/1000</f>
        <v>0</v>
      </c>
      <c r="J541" s="85">
        <f>STATS1003B!J542/1000</f>
        <v>0</v>
      </c>
      <c r="K541" s="85">
        <f>STATS1003B!K542/1000</f>
        <v>0</v>
      </c>
      <c r="L541" s="85">
        <f>STATS1003B!L542/1000</f>
        <v>0</v>
      </c>
      <c r="M541" s="85">
        <f>STATS1003B!M542/1000</f>
        <v>0</v>
      </c>
      <c r="N541" s="85">
        <f>STATS1003B!N542/1000</f>
        <v>1511.5823</v>
      </c>
      <c r="O541" s="85">
        <f>STATS1003B!O542/1000</f>
        <v>0</v>
      </c>
      <c r="P541" s="85">
        <f>STATS1003B!P542/1000</f>
        <v>1511.5823</v>
      </c>
      <c r="Q541" s="85">
        <f>STATS1003B!Q542/1000</f>
        <v>0</v>
      </c>
      <c r="R541" s="85">
        <f>STATS1003B!R542/1000</f>
        <v>0</v>
      </c>
      <c r="S541" s="85">
        <f>STATS1003B!S542/1000</f>
        <v>0</v>
      </c>
      <c r="T541" s="85">
        <f>STATS1003B!T542/1000</f>
        <v>0</v>
      </c>
      <c r="U541" s="85">
        <f>STATS1003B!U542/1000</f>
        <v>1511.5823</v>
      </c>
      <c r="V541" s="85">
        <f>STATS1003B!V542/1000</f>
        <v>1511.5823</v>
      </c>
      <c r="W541" s="85">
        <f>STATS1003B!W542/1000</f>
        <v>0</v>
      </c>
      <c r="X541" s="85">
        <f t="shared" si="61"/>
        <v>1511.5823</v>
      </c>
      <c r="Y541" s="85">
        <f>STATS1003B!Y542/1000</f>
        <v>0</v>
      </c>
      <c r="Z541" s="85">
        <f t="shared" si="62"/>
        <v>0</v>
      </c>
      <c r="AA541" s="69">
        <f>STATS1003B!AA542/1000</f>
        <v>1511.5823</v>
      </c>
      <c r="AB541" s="69">
        <f>STATS1003B!AB542/1000</f>
        <v>0</v>
      </c>
    </row>
    <row r="542" spans="1:28" hidden="1" x14ac:dyDescent="0.3">
      <c r="A542" s="117"/>
      <c r="C542" s="68" t="s">
        <v>178</v>
      </c>
      <c r="D542" s="68" t="s">
        <v>179</v>
      </c>
      <c r="E542" s="85">
        <f>STATS1003B!E543/1000</f>
        <v>274.87628999999998</v>
      </c>
      <c r="F542" s="85">
        <f>STATS1003B!F543/1000</f>
        <v>0</v>
      </c>
      <c r="G542" s="85">
        <f>STATS1003B!G543/1000</f>
        <v>0</v>
      </c>
      <c r="H542" s="85">
        <f>STATS1003B!H543/1000</f>
        <v>0</v>
      </c>
      <c r="I542" s="85">
        <f>STATS1003B!I543/1000</f>
        <v>0</v>
      </c>
      <c r="J542" s="85">
        <f>STATS1003B!J543/1000</f>
        <v>0</v>
      </c>
      <c r="K542" s="85">
        <f>STATS1003B!K543/1000</f>
        <v>0</v>
      </c>
      <c r="L542" s="85">
        <f>STATS1003B!L543/1000</f>
        <v>0</v>
      </c>
      <c r="M542" s="85">
        <f>STATS1003B!M543/1000</f>
        <v>0</v>
      </c>
      <c r="N542" s="85">
        <f>STATS1003B!N543/1000</f>
        <v>274.87628999999998</v>
      </c>
      <c r="O542" s="85">
        <f>STATS1003B!O543/1000</f>
        <v>0</v>
      </c>
      <c r="P542" s="85">
        <f>STATS1003B!P543/1000</f>
        <v>274.87628999999998</v>
      </c>
      <c r="Q542" s="85">
        <f>STATS1003B!Q543/1000</f>
        <v>0</v>
      </c>
      <c r="R542" s="85">
        <f>STATS1003B!R543/1000</f>
        <v>0</v>
      </c>
      <c r="S542" s="85">
        <f>STATS1003B!S543/1000</f>
        <v>0</v>
      </c>
      <c r="T542" s="85">
        <f>STATS1003B!T543/1000</f>
        <v>0</v>
      </c>
      <c r="U542" s="85">
        <f>STATS1003B!U543/1000</f>
        <v>274.87628999999998</v>
      </c>
      <c r="V542" s="85">
        <f>STATS1003B!V543/1000</f>
        <v>274.87628999999998</v>
      </c>
      <c r="W542" s="85">
        <f>STATS1003B!W543/1000</f>
        <v>0</v>
      </c>
      <c r="X542" s="85">
        <f t="shared" si="61"/>
        <v>274.87628999999998</v>
      </c>
      <c r="Y542" s="85">
        <f>STATS1003B!Y543/1000</f>
        <v>0</v>
      </c>
      <c r="Z542" s="85">
        <f t="shared" si="62"/>
        <v>0</v>
      </c>
      <c r="AA542" s="69">
        <f>STATS1003B!AA543/1000</f>
        <v>274.87628999999998</v>
      </c>
      <c r="AB542" s="69">
        <f>STATS1003B!AB543/1000</f>
        <v>0</v>
      </c>
    </row>
    <row r="543" spans="1:28" hidden="1" x14ac:dyDescent="0.3">
      <c r="A543" s="117"/>
      <c r="C543" s="68" t="s">
        <v>159</v>
      </c>
      <c r="D543" s="145" t="s">
        <v>128</v>
      </c>
      <c r="E543" s="85">
        <f>STATS1003B!E544/1000</f>
        <v>1953.989</v>
      </c>
      <c r="F543" s="85">
        <f>STATS1003B!F544/1000</f>
        <v>0</v>
      </c>
      <c r="G543" s="85">
        <f>STATS1003B!G544/1000</f>
        <v>0</v>
      </c>
      <c r="H543" s="85">
        <f>STATS1003B!H544/1000</f>
        <v>0</v>
      </c>
      <c r="I543" s="85">
        <f>STATS1003B!I544/1000</f>
        <v>0</v>
      </c>
      <c r="J543" s="85">
        <f>STATS1003B!J544/1000</f>
        <v>0</v>
      </c>
      <c r="K543" s="85">
        <f>STATS1003B!K544/1000</f>
        <v>0</v>
      </c>
      <c r="L543" s="85">
        <f>STATS1003B!L544/1000</f>
        <v>0</v>
      </c>
      <c r="M543" s="85">
        <f>STATS1003B!M544/1000</f>
        <v>0</v>
      </c>
      <c r="N543" s="85">
        <f>STATS1003B!N544/1000</f>
        <v>1953.989</v>
      </c>
      <c r="O543" s="85">
        <f>STATS1003B!O544/1000</f>
        <v>0</v>
      </c>
      <c r="P543" s="85">
        <f>STATS1003B!P544/1000</f>
        <v>1953.989</v>
      </c>
      <c r="Q543" s="85">
        <f>STATS1003B!Q544/1000</f>
        <v>0</v>
      </c>
      <c r="R543" s="85">
        <f>STATS1003B!R544/1000</f>
        <v>0</v>
      </c>
      <c r="S543" s="85">
        <f>STATS1003B!S544/1000</f>
        <v>0</v>
      </c>
      <c r="T543" s="85">
        <f>STATS1003B!T544/1000</f>
        <v>0</v>
      </c>
      <c r="U543" s="85">
        <f>STATS1003B!U544/1000</f>
        <v>1953.989</v>
      </c>
      <c r="V543" s="85">
        <f>STATS1003B!V544/1000</f>
        <v>1953.989</v>
      </c>
      <c r="W543" s="85">
        <f>STATS1003B!W544/1000</f>
        <v>0</v>
      </c>
      <c r="X543" s="85">
        <f t="shared" si="61"/>
        <v>1953.989</v>
      </c>
      <c r="Y543" s="85">
        <f>STATS1003B!Y544/1000</f>
        <v>0</v>
      </c>
      <c r="Z543" s="85">
        <f t="shared" si="62"/>
        <v>0</v>
      </c>
      <c r="AA543" s="69">
        <f>STATS1003B!AA544/1000</f>
        <v>1953.989</v>
      </c>
      <c r="AB543" s="69">
        <f>STATS1003B!AB544/1000</f>
        <v>0</v>
      </c>
    </row>
    <row r="544" spans="1:28" hidden="1" x14ac:dyDescent="0.3">
      <c r="A544" s="117"/>
      <c r="E544" s="86" t="s">
        <v>29</v>
      </c>
      <c r="F544" s="86" t="s">
        <v>29</v>
      </c>
      <c r="G544" s="86" t="s">
        <v>29</v>
      </c>
      <c r="H544" s="86" t="s">
        <v>29</v>
      </c>
      <c r="I544" s="86" t="s">
        <v>29</v>
      </c>
      <c r="J544" s="86" t="s">
        <v>29</v>
      </c>
      <c r="K544" s="86" t="s">
        <v>29</v>
      </c>
      <c r="L544" s="86" t="s">
        <v>29</v>
      </c>
      <c r="M544" s="86" t="s">
        <v>29</v>
      </c>
      <c r="N544" s="86" t="s">
        <v>29</v>
      </c>
      <c r="O544" s="86" t="s">
        <v>29</v>
      </c>
      <c r="P544" s="86" t="s">
        <v>29</v>
      </c>
      <c r="Q544" s="86" t="s">
        <v>29</v>
      </c>
      <c r="R544" s="86" t="s">
        <v>29</v>
      </c>
      <c r="S544" s="86" t="s">
        <v>29</v>
      </c>
      <c r="T544" s="86" t="s">
        <v>29</v>
      </c>
      <c r="U544" s="86" t="s">
        <v>29</v>
      </c>
      <c r="V544" s="86" t="s">
        <v>29</v>
      </c>
      <c r="W544" s="86" t="s">
        <v>29</v>
      </c>
      <c r="X544" s="85" t="e">
        <f t="shared" si="61"/>
        <v>#VALUE!</v>
      </c>
      <c r="Y544" s="86" t="s">
        <v>29</v>
      </c>
      <c r="Z544" s="85" t="e">
        <f t="shared" si="62"/>
        <v>#VALUE!</v>
      </c>
      <c r="AA544" s="115" t="s">
        <v>29</v>
      </c>
      <c r="AB544" s="115" t="s">
        <v>29</v>
      </c>
    </row>
    <row r="545" spans="1:28" x14ac:dyDescent="0.3">
      <c r="A545" s="116"/>
      <c r="B545" s="68" t="s">
        <v>176</v>
      </c>
      <c r="E545" s="85">
        <f>6073797/1000</f>
        <v>6073.7969999999996</v>
      </c>
      <c r="F545" s="85">
        <f>SUM(F538:F543)</f>
        <v>2233.6017999999999</v>
      </c>
      <c r="G545" s="85">
        <f>SUM(G538:G543)</f>
        <v>0</v>
      </c>
      <c r="H545" s="85">
        <f>2233601/1000</f>
        <v>2233.6010000000001</v>
      </c>
      <c r="I545" s="85">
        <f t="shared" ref="I545:O545" si="67">SUM(I538:I543)</f>
        <v>0</v>
      </c>
      <c r="J545" s="85">
        <f t="shared" si="67"/>
        <v>0</v>
      </c>
      <c r="K545" s="85">
        <f t="shared" si="67"/>
        <v>0</v>
      </c>
      <c r="L545" s="85">
        <f t="shared" si="67"/>
        <v>0</v>
      </c>
      <c r="M545" s="85">
        <f t="shared" si="67"/>
        <v>2233.6017999999999</v>
      </c>
      <c r="N545" s="85">
        <f t="shared" si="67"/>
        <v>3840.1958299999997</v>
      </c>
      <c r="O545" s="85">
        <f t="shared" si="67"/>
        <v>0</v>
      </c>
      <c r="P545" s="85">
        <f>3840195/1000</f>
        <v>3840.1950000000002</v>
      </c>
      <c r="Q545" s="85">
        <f t="shared" ref="Q545:W545" si="68">SUM(Q538:Q543)</f>
        <v>0</v>
      </c>
      <c r="R545" s="85">
        <f t="shared" si="68"/>
        <v>0</v>
      </c>
      <c r="S545" s="85">
        <f t="shared" si="68"/>
        <v>0</v>
      </c>
      <c r="T545" s="85">
        <f t="shared" si="68"/>
        <v>0</v>
      </c>
      <c r="U545" s="85">
        <f t="shared" si="68"/>
        <v>3840.1958299999997</v>
      </c>
      <c r="V545" s="85">
        <f t="shared" si="68"/>
        <v>4643.1431700000003</v>
      </c>
      <c r="W545" s="85">
        <f t="shared" si="68"/>
        <v>0</v>
      </c>
      <c r="X545" s="85">
        <f t="shared" si="61"/>
        <v>6073.7960000000003</v>
      </c>
      <c r="Y545" s="85">
        <f>SUM(Y538:Y543)</f>
        <v>0</v>
      </c>
      <c r="Z545" s="85">
        <f t="shared" si="62"/>
        <v>9.9999999929423211E-4</v>
      </c>
      <c r="AA545" s="69">
        <f>SUM(AA538:AA543)</f>
        <v>6073.7976299999991</v>
      </c>
      <c r="AB545" s="69">
        <f>SUM(AB538:AB543)</f>
        <v>0</v>
      </c>
    </row>
    <row r="546" spans="1:28" hidden="1" x14ac:dyDescent="0.3">
      <c r="A546" s="117"/>
      <c r="E546" s="86" t="s">
        <v>29</v>
      </c>
      <c r="F546" s="86" t="s">
        <v>29</v>
      </c>
      <c r="G546" s="86" t="s">
        <v>29</v>
      </c>
      <c r="H546" s="86" t="s">
        <v>29</v>
      </c>
      <c r="I546" s="86" t="s">
        <v>29</v>
      </c>
      <c r="J546" s="86" t="s">
        <v>29</v>
      </c>
      <c r="K546" s="86" t="s">
        <v>29</v>
      </c>
      <c r="L546" s="86" t="s">
        <v>29</v>
      </c>
      <c r="M546" s="86" t="s">
        <v>29</v>
      </c>
      <c r="N546" s="86" t="s">
        <v>29</v>
      </c>
      <c r="O546" s="86" t="s">
        <v>29</v>
      </c>
      <c r="P546" s="86" t="s">
        <v>29</v>
      </c>
      <c r="Q546" s="86" t="s">
        <v>29</v>
      </c>
      <c r="R546" s="86" t="s">
        <v>29</v>
      </c>
      <c r="S546" s="86" t="s">
        <v>29</v>
      </c>
      <c r="T546" s="86" t="s">
        <v>29</v>
      </c>
      <c r="U546" s="86" t="s">
        <v>29</v>
      </c>
      <c r="V546" s="86" t="s">
        <v>29</v>
      </c>
      <c r="W546" s="86" t="s">
        <v>29</v>
      </c>
      <c r="X546" s="85" t="e">
        <f t="shared" si="61"/>
        <v>#VALUE!</v>
      </c>
      <c r="Y546" s="86" t="s">
        <v>29</v>
      </c>
      <c r="Z546" s="85" t="e">
        <f t="shared" si="62"/>
        <v>#VALUE!</v>
      </c>
      <c r="AA546" s="115" t="s">
        <v>29</v>
      </c>
      <c r="AB546" s="115" t="s">
        <v>29</v>
      </c>
    </row>
    <row r="547" spans="1:28" hidden="1" x14ac:dyDescent="0.3">
      <c r="A547" s="105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5">
        <f t="shared" si="61"/>
        <v>0</v>
      </c>
      <c r="Y547" s="84"/>
      <c r="Z547" s="85">
        <f t="shared" si="62"/>
        <v>0</v>
      </c>
      <c r="AA547" s="118"/>
    </row>
    <row r="548" spans="1:28" hidden="1" x14ac:dyDescent="0.3">
      <c r="A548" s="117"/>
      <c r="C548" s="68" t="s">
        <v>75</v>
      </c>
      <c r="D548" s="88" t="s">
        <v>76</v>
      </c>
      <c r="E548" s="85">
        <f>STATS1003B!E549/1000</f>
        <v>3840</v>
      </c>
      <c r="F548" s="85">
        <f>STATS1003B!F549/1000</f>
        <v>0</v>
      </c>
      <c r="G548" s="85">
        <f>STATS1003B!G549/1000</f>
        <v>0</v>
      </c>
      <c r="H548" s="85">
        <f>STATS1003B!H549/1000</f>
        <v>0</v>
      </c>
      <c r="I548" s="85">
        <f>STATS1003B!I549/1000</f>
        <v>0</v>
      </c>
      <c r="J548" s="85">
        <f>STATS1003B!J549/1000</f>
        <v>0</v>
      </c>
      <c r="K548" s="85">
        <f>STATS1003B!K549/1000</f>
        <v>0</v>
      </c>
      <c r="L548" s="85">
        <f>STATS1003B!L549/1000</f>
        <v>0</v>
      </c>
      <c r="M548" s="85">
        <f>STATS1003B!M549/1000</f>
        <v>0</v>
      </c>
      <c r="N548" s="85">
        <f>STATS1003B!N549/1000</f>
        <v>2924.0063399999999</v>
      </c>
      <c r="O548" s="85">
        <f>STATS1003B!O549/1000</f>
        <v>0</v>
      </c>
      <c r="P548" s="85">
        <f>STATS1003B!P549/1000</f>
        <v>2924.0063399999999</v>
      </c>
      <c r="Q548" s="85">
        <f>STATS1003B!Q549/1000</f>
        <v>0</v>
      </c>
      <c r="R548" s="85">
        <f>STATS1003B!R549/1000</f>
        <v>0</v>
      </c>
      <c r="S548" s="85">
        <f>STATS1003B!S549/1000</f>
        <v>0</v>
      </c>
      <c r="T548" s="85">
        <f>STATS1003B!T549/1000</f>
        <v>0</v>
      </c>
      <c r="U548" s="85">
        <f>STATS1003B!U549/1000</f>
        <v>2924.0063399999999</v>
      </c>
      <c r="V548" s="85">
        <f>STATS1003B!V549/1000</f>
        <v>2924.0063399999999</v>
      </c>
      <c r="W548" s="85">
        <f>STATS1003B!W549/1000</f>
        <v>915.9936600000002</v>
      </c>
      <c r="X548" s="85">
        <f t="shared" si="61"/>
        <v>2924.0063399999999</v>
      </c>
      <c r="Y548" s="85">
        <f>STATS1003B!Y549/1000</f>
        <v>0</v>
      </c>
      <c r="Z548" s="85">
        <f t="shared" si="62"/>
        <v>915.99366000000009</v>
      </c>
      <c r="AA548" s="69">
        <f>STATS1003B!AA549/1000</f>
        <v>2924.0063399999999</v>
      </c>
      <c r="AB548" s="69">
        <f>STATS1003B!AB549/1000</f>
        <v>915.9936600000002</v>
      </c>
    </row>
    <row r="549" spans="1:28" hidden="1" x14ac:dyDescent="0.3">
      <c r="A549" s="117"/>
      <c r="C549" s="71" t="s">
        <v>109</v>
      </c>
      <c r="D549" s="88" t="s">
        <v>60</v>
      </c>
      <c r="E549" s="85">
        <f>STATS1003B!E550/1000</f>
        <v>2500</v>
      </c>
      <c r="F549" s="85">
        <f>STATS1003B!F550/1000</f>
        <v>2500</v>
      </c>
      <c r="G549" s="85">
        <f>STATS1003B!G550/1000</f>
        <v>0</v>
      </c>
      <c r="H549" s="85">
        <f>STATS1003B!H550/1000</f>
        <v>2500</v>
      </c>
      <c r="I549" s="85">
        <f>STATS1003B!I550/1000</f>
        <v>0</v>
      </c>
      <c r="J549" s="85">
        <f>STATS1003B!J550/1000</f>
        <v>0</v>
      </c>
      <c r="K549" s="85">
        <f>STATS1003B!K550/1000</f>
        <v>0</v>
      </c>
      <c r="L549" s="85">
        <f>STATS1003B!L550/1000</f>
        <v>0</v>
      </c>
      <c r="M549" s="85">
        <f>STATS1003B!M550/1000</f>
        <v>2500</v>
      </c>
      <c r="N549" s="85">
        <f>STATS1003B!N550/1000</f>
        <v>0</v>
      </c>
      <c r="O549" s="85">
        <f>STATS1003B!O550/1000</f>
        <v>0</v>
      </c>
      <c r="P549" s="85">
        <f>STATS1003B!P550/1000</f>
        <v>0</v>
      </c>
      <c r="Q549" s="85">
        <f>STATS1003B!Q550/1000</f>
        <v>0</v>
      </c>
      <c r="R549" s="85">
        <f>STATS1003B!R550/1000</f>
        <v>0</v>
      </c>
      <c r="S549" s="85">
        <f>STATS1003B!S550/1000</f>
        <v>0</v>
      </c>
      <c r="T549" s="85">
        <f>STATS1003B!T550/1000</f>
        <v>0</v>
      </c>
      <c r="U549" s="85">
        <f>STATS1003B!U550/1000</f>
        <v>0</v>
      </c>
      <c r="V549" s="85">
        <f>STATS1003B!V550/1000</f>
        <v>2500</v>
      </c>
      <c r="W549" s="85">
        <f>STATS1003B!W550/1000</f>
        <v>0</v>
      </c>
      <c r="X549" s="85">
        <f t="shared" si="61"/>
        <v>2500</v>
      </c>
      <c r="Y549" s="85">
        <f>STATS1003B!Y550/1000</f>
        <v>0</v>
      </c>
      <c r="Z549" s="85">
        <f t="shared" si="62"/>
        <v>0</v>
      </c>
      <c r="AA549" s="69">
        <f>STATS1003B!AA550/1000</f>
        <v>2500</v>
      </c>
      <c r="AB549" s="69">
        <f>STATS1003B!AB550/1000</f>
        <v>0</v>
      </c>
    </row>
    <row r="550" spans="1:28" hidden="1" x14ac:dyDescent="0.3">
      <c r="A550" s="117"/>
      <c r="C550" s="68" t="s">
        <v>57</v>
      </c>
      <c r="D550" s="145" t="s">
        <v>60</v>
      </c>
      <c r="E550" s="85">
        <f>STATS1003B!E551/1000</f>
        <v>2483.2620000000002</v>
      </c>
      <c r="F550" s="85">
        <f>STATS1003B!F551/1000</f>
        <v>2483.2620000000002</v>
      </c>
      <c r="G550" s="85">
        <f>STATS1003B!G551/1000</f>
        <v>0</v>
      </c>
      <c r="H550" s="85">
        <f>STATS1003B!H551/1000</f>
        <v>2483.2620000000002</v>
      </c>
      <c r="I550" s="85">
        <f>STATS1003B!I551/1000</f>
        <v>0</v>
      </c>
      <c r="J550" s="85">
        <f>STATS1003B!J551/1000</f>
        <v>0</v>
      </c>
      <c r="K550" s="85">
        <f>STATS1003B!K551/1000</f>
        <v>0</v>
      </c>
      <c r="L550" s="85">
        <f>STATS1003B!L551/1000</f>
        <v>0</v>
      </c>
      <c r="M550" s="85">
        <f>STATS1003B!M551/1000</f>
        <v>2483.2620000000002</v>
      </c>
      <c r="N550" s="85">
        <f>STATS1003B!N551/1000</f>
        <v>0</v>
      </c>
      <c r="O550" s="85">
        <f>STATS1003B!O551/1000</f>
        <v>0</v>
      </c>
      <c r="P550" s="85">
        <f>STATS1003B!P551/1000</f>
        <v>0</v>
      </c>
      <c r="Q550" s="85">
        <f>STATS1003B!Q551/1000</f>
        <v>0</v>
      </c>
      <c r="R550" s="85">
        <f>STATS1003B!R551/1000</f>
        <v>0</v>
      </c>
      <c r="S550" s="85">
        <f>STATS1003B!S551/1000</f>
        <v>0</v>
      </c>
      <c r="T550" s="85">
        <f>STATS1003B!T551/1000</f>
        <v>0</v>
      </c>
      <c r="U550" s="85">
        <f>STATS1003B!U551/1000</f>
        <v>0</v>
      </c>
      <c r="V550" s="85">
        <f>STATS1003B!V551/1000</f>
        <v>2483.2620000000002</v>
      </c>
      <c r="W550" s="85">
        <f>STATS1003B!W551/1000</f>
        <v>0</v>
      </c>
      <c r="X550" s="85">
        <f t="shared" si="61"/>
        <v>2483.2620000000002</v>
      </c>
      <c r="Y550" s="85">
        <f>STATS1003B!Y551/1000</f>
        <v>0</v>
      </c>
      <c r="Z550" s="85">
        <f t="shared" si="62"/>
        <v>0</v>
      </c>
      <c r="AA550" s="69">
        <f>STATS1003B!AA551/1000</f>
        <v>2483.2620000000002</v>
      </c>
      <c r="AB550" s="69">
        <f>STATS1003B!AB551/1000</f>
        <v>0</v>
      </c>
    </row>
    <row r="551" spans="1:28" hidden="1" x14ac:dyDescent="0.3">
      <c r="A551" s="117"/>
      <c r="C551" s="68" t="s">
        <v>1064</v>
      </c>
      <c r="D551" s="145"/>
      <c r="E551" s="85">
        <f>STATS1003B!E552/1000</f>
        <v>569</v>
      </c>
      <c r="F551" s="85">
        <f>STATS1003B!F552/1000</f>
        <v>569</v>
      </c>
      <c r="G551" s="85">
        <f>STATS1003B!G552/1000</f>
        <v>0</v>
      </c>
      <c r="H551" s="85">
        <f>STATS1003B!H552/1000</f>
        <v>569</v>
      </c>
      <c r="I551" s="85">
        <f>STATS1003B!I552/1000</f>
        <v>0</v>
      </c>
      <c r="J551" s="85">
        <f>STATS1003B!J552/1000</f>
        <v>0</v>
      </c>
      <c r="K551" s="85">
        <f>STATS1003B!K552/1000</f>
        <v>0</v>
      </c>
      <c r="L551" s="85">
        <f>STATS1003B!L552/1000</f>
        <v>0</v>
      </c>
      <c r="M551" s="85">
        <f>STATS1003B!M552/1000</f>
        <v>569</v>
      </c>
      <c r="N551" s="85">
        <f>STATS1003B!N552/1000</f>
        <v>0</v>
      </c>
      <c r="O551" s="85">
        <f>STATS1003B!O552/1000</f>
        <v>0</v>
      </c>
      <c r="P551" s="85">
        <f>STATS1003B!P552/1000</f>
        <v>0</v>
      </c>
      <c r="Q551" s="85">
        <f>STATS1003B!Q552/1000</f>
        <v>0</v>
      </c>
      <c r="R551" s="85">
        <f>STATS1003B!R552/1000</f>
        <v>0</v>
      </c>
      <c r="S551" s="85">
        <f>STATS1003B!S552/1000</f>
        <v>0</v>
      </c>
      <c r="T551" s="85">
        <f>STATS1003B!T552/1000</f>
        <v>0</v>
      </c>
      <c r="U551" s="85">
        <f>STATS1003B!U552/1000</f>
        <v>0</v>
      </c>
      <c r="V551" s="85">
        <f>STATS1003B!V552/1000</f>
        <v>569</v>
      </c>
      <c r="W551" s="85">
        <f>STATS1003B!W552/1000</f>
        <v>0</v>
      </c>
      <c r="X551" s="85">
        <f t="shared" si="61"/>
        <v>569</v>
      </c>
      <c r="Y551" s="85">
        <f>STATS1003B!Y552/1000</f>
        <v>0</v>
      </c>
      <c r="Z551" s="85">
        <f t="shared" si="62"/>
        <v>0</v>
      </c>
      <c r="AA551" s="69">
        <f>STATS1003B!AA552/1000</f>
        <v>569</v>
      </c>
      <c r="AB551" s="69">
        <f>STATS1003B!AB552/1000</f>
        <v>0</v>
      </c>
    </row>
    <row r="552" spans="1:28" hidden="1" x14ac:dyDescent="0.3">
      <c r="A552" s="117"/>
      <c r="C552" s="68" t="s">
        <v>930</v>
      </c>
      <c r="D552" s="90" t="s">
        <v>1072</v>
      </c>
      <c r="E552" s="85">
        <f>STATS1003B!E553/1000</f>
        <v>657</v>
      </c>
      <c r="F552" s="85">
        <f>STATS1003B!F553/1000</f>
        <v>657</v>
      </c>
      <c r="G552" s="85">
        <f>STATS1003B!G553/1000</f>
        <v>0</v>
      </c>
      <c r="H552" s="85">
        <f>STATS1003B!H553/1000</f>
        <v>657</v>
      </c>
      <c r="I552" s="85">
        <f>STATS1003B!I553/1000</f>
        <v>0</v>
      </c>
      <c r="J552" s="85">
        <f>STATS1003B!J553/1000</f>
        <v>0</v>
      </c>
      <c r="K552" s="85">
        <f>STATS1003B!K553/1000</f>
        <v>0</v>
      </c>
      <c r="L552" s="85">
        <f>STATS1003B!L553/1000</f>
        <v>0</v>
      </c>
      <c r="M552" s="85">
        <f>STATS1003B!M553/1000</f>
        <v>657</v>
      </c>
      <c r="N552" s="85">
        <f>STATS1003B!N553/1000</f>
        <v>0</v>
      </c>
      <c r="O552" s="85">
        <f>STATS1003B!O553/1000</f>
        <v>0</v>
      </c>
      <c r="P552" s="85">
        <f>STATS1003B!P553/1000</f>
        <v>0</v>
      </c>
      <c r="Q552" s="85">
        <f>STATS1003B!Q553/1000</f>
        <v>0</v>
      </c>
      <c r="R552" s="85">
        <f>STATS1003B!R553/1000</f>
        <v>0</v>
      </c>
      <c r="S552" s="85">
        <f>STATS1003B!S553/1000</f>
        <v>0</v>
      </c>
      <c r="T552" s="85">
        <f>STATS1003B!T553/1000</f>
        <v>0</v>
      </c>
      <c r="U552" s="85">
        <f>STATS1003B!U553/1000</f>
        <v>0</v>
      </c>
      <c r="V552" s="85">
        <f>STATS1003B!V553/1000</f>
        <v>657</v>
      </c>
      <c r="W552" s="85">
        <f>STATS1003B!W553/1000</f>
        <v>0</v>
      </c>
      <c r="X552" s="85">
        <f t="shared" si="61"/>
        <v>657</v>
      </c>
      <c r="Y552" s="85">
        <f>STATS1003B!Y553/1000</f>
        <v>0</v>
      </c>
      <c r="Z552" s="85">
        <f t="shared" si="62"/>
        <v>0</v>
      </c>
      <c r="AA552" s="69">
        <f>STATS1003B!AA553/1000</f>
        <v>657</v>
      </c>
      <c r="AB552" s="69">
        <f>STATS1003B!AB553/1000</f>
        <v>0</v>
      </c>
    </row>
    <row r="553" spans="1:28" hidden="1" x14ac:dyDescent="0.3">
      <c r="A553" s="117"/>
      <c r="C553" s="68" t="s">
        <v>181</v>
      </c>
      <c r="D553" s="145" t="s">
        <v>73</v>
      </c>
      <c r="E553" s="85">
        <f>STATS1003B!E554/1000</f>
        <v>4585.2998499999994</v>
      </c>
      <c r="F553" s="85">
        <f>STATS1003B!F554/1000</f>
        <v>4585.2998499999994</v>
      </c>
      <c r="G553" s="85">
        <f>STATS1003B!G554/1000</f>
        <v>0</v>
      </c>
      <c r="H553" s="85">
        <f>STATS1003B!H554/1000</f>
        <v>4585.2998499999994</v>
      </c>
      <c r="I553" s="85">
        <f>STATS1003B!I554/1000</f>
        <v>0</v>
      </c>
      <c r="J553" s="85">
        <f>STATS1003B!J554/1000</f>
        <v>0</v>
      </c>
      <c r="K553" s="85">
        <f>STATS1003B!K554/1000</f>
        <v>0</v>
      </c>
      <c r="L553" s="85">
        <f>STATS1003B!L554/1000</f>
        <v>0</v>
      </c>
      <c r="M553" s="85">
        <f>STATS1003B!M554/1000</f>
        <v>4585.2998499999994</v>
      </c>
      <c r="N553" s="85">
        <f>STATS1003B!N554/1000</f>
        <v>0</v>
      </c>
      <c r="O553" s="85">
        <f>STATS1003B!O554/1000</f>
        <v>0</v>
      </c>
      <c r="P553" s="85">
        <f>STATS1003B!P554/1000</f>
        <v>0</v>
      </c>
      <c r="Q553" s="85">
        <f>STATS1003B!Q554/1000</f>
        <v>0</v>
      </c>
      <c r="R553" s="85">
        <f>STATS1003B!R554/1000</f>
        <v>0</v>
      </c>
      <c r="S553" s="85">
        <f>STATS1003B!S554/1000</f>
        <v>0</v>
      </c>
      <c r="T553" s="85">
        <f>STATS1003B!T554/1000</f>
        <v>0</v>
      </c>
      <c r="U553" s="85">
        <f>STATS1003B!U554/1000</f>
        <v>0</v>
      </c>
      <c r="V553" s="85">
        <f>STATS1003B!V554/1000</f>
        <v>4585.2998499999994</v>
      </c>
      <c r="W553" s="85">
        <f>STATS1003B!W554/1000</f>
        <v>0</v>
      </c>
      <c r="X553" s="85">
        <f t="shared" si="61"/>
        <v>4585.2998499999994</v>
      </c>
      <c r="Y553" s="85">
        <f>STATS1003B!Y554/1000</f>
        <v>0</v>
      </c>
      <c r="Z553" s="85">
        <f t="shared" si="62"/>
        <v>0</v>
      </c>
      <c r="AA553" s="69">
        <f>STATS1003B!AA554/1000</f>
        <v>4585.2998499999994</v>
      </c>
      <c r="AB553" s="69">
        <f>STATS1003B!AB554/1000</f>
        <v>0</v>
      </c>
    </row>
    <row r="554" spans="1:28" hidden="1" x14ac:dyDescent="0.3">
      <c r="A554" s="117"/>
      <c r="C554" s="68" t="s">
        <v>57</v>
      </c>
      <c r="D554" s="90" t="s">
        <v>61</v>
      </c>
      <c r="E554" s="85">
        <f>STATS1003B!E555/1000</f>
        <v>746.94429000000002</v>
      </c>
      <c r="F554" s="85">
        <f>STATS1003B!F555/1000</f>
        <v>746.94429000000002</v>
      </c>
      <c r="G554" s="85">
        <f>STATS1003B!G555/1000</f>
        <v>0</v>
      </c>
      <c r="H554" s="85">
        <f>STATS1003B!H555/1000</f>
        <v>746.94429000000002</v>
      </c>
      <c r="I554" s="85">
        <f>STATS1003B!I555/1000</f>
        <v>0</v>
      </c>
      <c r="J554" s="85">
        <f>STATS1003B!J555/1000</f>
        <v>0</v>
      </c>
      <c r="K554" s="85">
        <f>STATS1003B!K555/1000</f>
        <v>0</v>
      </c>
      <c r="L554" s="85">
        <f>STATS1003B!L555/1000</f>
        <v>0</v>
      </c>
      <c r="M554" s="85">
        <f>STATS1003B!M555/1000</f>
        <v>746.94429000000002</v>
      </c>
      <c r="N554" s="85">
        <f>STATS1003B!N555/1000</f>
        <v>0</v>
      </c>
      <c r="O554" s="85">
        <f>STATS1003B!O555/1000</f>
        <v>0</v>
      </c>
      <c r="P554" s="85">
        <f>STATS1003B!P555/1000</f>
        <v>0</v>
      </c>
      <c r="Q554" s="85">
        <f>STATS1003B!Q555/1000</f>
        <v>0</v>
      </c>
      <c r="R554" s="85">
        <f>STATS1003B!R555/1000</f>
        <v>0</v>
      </c>
      <c r="S554" s="85">
        <f>STATS1003B!S555/1000</f>
        <v>0</v>
      </c>
      <c r="T554" s="85">
        <f>STATS1003B!T555/1000</f>
        <v>0</v>
      </c>
      <c r="U554" s="85">
        <f>STATS1003B!U555/1000</f>
        <v>0</v>
      </c>
      <c r="V554" s="85">
        <f>STATS1003B!V555/1000</f>
        <v>746.94429000000002</v>
      </c>
      <c r="W554" s="85">
        <f>STATS1003B!W555/1000</f>
        <v>0</v>
      </c>
      <c r="X554" s="85">
        <f t="shared" si="61"/>
        <v>746.94429000000002</v>
      </c>
      <c r="Y554" s="85">
        <f>STATS1003B!Y555/1000</f>
        <v>0</v>
      </c>
      <c r="Z554" s="85">
        <f t="shared" si="62"/>
        <v>0</v>
      </c>
      <c r="AA554" s="69">
        <f>STATS1003B!AA555/1000</f>
        <v>746.94429000000002</v>
      </c>
      <c r="AB554" s="69">
        <f>STATS1003B!AB555/1000</f>
        <v>0</v>
      </c>
    </row>
    <row r="555" spans="1:28" hidden="1" x14ac:dyDescent="0.3">
      <c r="A555" s="117"/>
      <c r="E555" s="86" t="s">
        <v>29</v>
      </c>
      <c r="F555" s="86" t="s">
        <v>29</v>
      </c>
      <c r="G555" s="86" t="s">
        <v>29</v>
      </c>
      <c r="H555" s="86" t="s">
        <v>29</v>
      </c>
      <c r="I555" s="86" t="s">
        <v>29</v>
      </c>
      <c r="J555" s="86" t="s">
        <v>29</v>
      </c>
      <c r="K555" s="86" t="s">
        <v>29</v>
      </c>
      <c r="L555" s="86" t="s">
        <v>29</v>
      </c>
      <c r="M555" s="86" t="s">
        <v>29</v>
      </c>
      <c r="N555" s="86" t="s">
        <v>29</v>
      </c>
      <c r="O555" s="86" t="s">
        <v>29</v>
      </c>
      <c r="P555" s="86" t="s">
        <v>29</v>
      </c>
      <c r="Q555" s="86" t="s">
        <v>29</v>
      </c>
      <c r="R555" s="86" t="s">
        <v>29</v>
      </c>
      <c r="S555" s="86" t="s">
        <v>29</v>
      </c>
      <c r="T555" s="86" t="s">
        <v>29</v>
      </c>
      <c r="U555" s="86" t="s">
        <v>29</v>
      </c>
      <c r="V555" s="86" t="s">
        <v>29</v>
      </c>
      <c r="W555" s="86" t="s">
        <v>29</v>
      </c>
      <c r="X555" s="85" t="e">
        <f t="shared" si="61"/>
        <v>#VALUE!</v>
      </c>
      <c r="Y555" s="86" t="s">
        <v>29</v>
      </c>
      <c r="Z555" s="85" t="e">
        <f t="shared" si="62"/>
        <v>#VALUE!</v>
      </c>
      <c r="AA555" s="115" t="s">
        <v>29</v>
      </c>
      <c r="AB555" s="115" t="s">
        <v>29</v>
      </c>
    </row>
    <row r="556" spans="1:28" x14ac:dyDescent="0.3">
      <c r="A556" s="117"/>
      <c r="B556" s="68" t="s">
        <v>1289</v>
      </c>
      <c r="E556" s="92">
        <f>57623078.23/1000</f>
        <v>57623.078229999999</v>
      </c>
      <c r="F556" s="92"/>
      <c r="G556" s="92"/>
      <c r="H556" s="92">
        <f>57623078.23/1000</f>
        <v>57623.078229999999</v>
      </c>
      <c r="I556" s="92"/>
      <c r="J556" s="92"/>
      <c r="K556" s="92"/>
      <c r="L556" s="92"/>
      <c r="M556" s="92"/>
      <c r="N556" s="92"/>
      <c r="O556" s="92"/>
      <c r="P556" s="92">
        <v>0</v>
      </c>
      <c r="Q556" s="92"/>
      <c r="R556" s="92"/>
      <c r="S556" s="92"/>
      <c r="T556" s="92"/>
      <c r="U556" s="92"/>
      <c r="V556" s="92"/>
      <c r="W556" s="92"/>
      <c r="X556" s="92">
        <f t="shared" si="61"/>
        <v>57623.078229999999</v>
      </c>
      <c r="Y556" s="92"/>
      <c r="Z556" s="85">
        <f t="shared" si="62"/>
        <v>0</v>
      </c>
      <c r="AA556" s="115"/>
      <c r="AB556" s="115"/>
    </row>
    <row r="557" spans="1:28" x14ac:dyDescent="0.3">
      <c r="A557" s="117"/>
      <c r="B557" s="68" t="s">
        <v>1290</v>
      </c>
      <c r="E557" s="92">
        <f>46467867.69/1000</f>
        <v>46467.867689999999</v>
      </c>
      <c r="F557" s="92"/>
      <c r="G557" s="92"/>
      <c r="H557" s="92">
        <f>46467867.69/1000</f>
        <v>46467.867689999999</v>
      </c>
      <c r="I557" s="92"/>
      <c r="J557" s="92"/>
      <c r="K557" s="92"/>
      <c r="L557" s="92"/>
      <c r="M557" s="92"/>
      <c r="N557" s="92"/>
      <c r="O557" s="92"/>
      <c r="P557" s="92">
        <v>0</v>
      </c>
      <c r="Q557" s="92"/>
      <c r="R557" s="92"/>
      <c r="S557" s="92"/>
      <c r="T557" s="92"/>
      <c r="U557" s="92"/>
      <c r="V557" s="92"/>
      <c r="W557" s="92"/>
      <c r="X557" s="92">
        <f t="shared" si="61"/>
        <v>46467.867689999999</v>
      </c>
      <c r="Y557" s="92"/>
      <c r="Z557" s="92">
        <f t="shared" si="62"/>
        <v>0</v>
      </c>
      <c r="AA557" s="115"/>
      <c r="AB557" s="115"/>
    </row>
    <row r="558" spans="1:28" x14ac:dyDescent="0.3">
      <c r="A558" s="116"/>
      <c r="B558" s="68" t="s">
        <v>180</v>
      </c>
      <c r="E558" s="85">
        <f>15381506/1000</f>
        <v>15381.505999999999</v>
      </c>
      <c r="F558" s="85">
        <f>SUM(F548:F554)</f>
        <v>11541.50614</v>
      </c>
      <c r="G558" s="85">
        <f>SUM(G548:G554)</f>
        <v>0</v>
      </c>
      <c r="H558" s="85">
        <f>11541506/1000</f>
        <v>11541.505999999999</v>
      </c>
      <c r="I558" s="85">
        <f t="shared" ref="I558:O558" si="69">SUM(I548:I554)</f>
        <v>0</v>
      </c>
      <c r="J558" s="85">
        <f t="shared" si="69"/>
        <v>0</v>
      </c>
      <c r="K558" s="85">
        <f t="shared" si="69"/>
        <v>0</v>
      </c>
      <c r="L558" s="85">
        <f t="shared" si="69"/>
        <v>0</v>
      </c>
      <c r="M558" s="85">
        <f t="shared" si="69"/>
        <v>11541.50614</v>
      </c>
      <c r="N558" s="85">
        <f t="shared" si="69"/>
        <v>2924.0063399999999</v>
      </c>
      <c r="O558" s="85">
        <f t="shared" si="69"/>
        <v>0</v>
      </c>
      <c r="P558" s="85">
        <f>2924006/1000</f>
        <v>2924.0059999999999</v>
      </c>
      <c r="Q558" s="85">
        <f t="shared" ref="Q558:W558" si="70">SUM(Q548:Q554)</f>
        <v>0</v>
      </c>
      <c r="R558" s="85">
        <f t="shared" si="70"/>
        <v>0</v>
      </c>
      <c r="S558" s="85">
        <f t="shared" si="70"/>
        <v>0</v>
      </c>
      <c r="T558" s="85">
        <f t="shared" si="70"/>
        <v>0</v>
      </c>
      <c r="U558" s="85">
        <f t="shared" si="70"/>
        <v>2924.0063399999999</v>
      </c>
      <c r="V558" s="85">
        <f t="shared" si="70"/>
        <v>14465.512479999999</v>
      </c>
      <c r="W558" s="85">
        <f t="shared" si="70"/>
        <v>915.9936600000002</v>
      </c>
      <c r="X558" s="85">
        <f t="shared" si="61"/>
        <v>14465.511999999999</v>
      </c>
      <c r="Y558" s="85">
        <f>SUM(Y548:Y554)</f>
        <v>0</v>
      </c>
      <c r="Z558" s="85">
        <f t="shared" si="62"/>
        <v>915.9940000000006</v>
      </c>
      <c r="AA558" s="69">
        <f>SUM(AA548:AA554)</f>
        <v>14465.512479999999</v>
      </c>
      <c r="AB558" s="69">
        <f>SUM(AB548:AB554)</f>
        <v>915.9936600000002</v>
      </c>
    </row>
    <row r="559" spans="1:28" hidden="1" x14ac:dyDescent="0.3">
      <c r="A559" s="117"/>
      <c r="E559" s="86" t="s">
        <v>29</v>
      </c>
      <c r="F559" s="86" t="s">
        <v>29</v>
      </c>
      <c r="G559" s="86" t="s">
        <v>29</v>
      </c>
      <c r="H559" s="86" t="s">
        <v>29</v>
      </c>
      <c r="I559" s="86" t="s">
        <v>29</v>
      </c>
      <c r="J559" s="86" t="s">
        <v>29</v>
      </c>
      <c r="K559" s="86" t="s">
        <v>29</v>
      </c>
      <c r="L559" s="86" t="s">
        <v>29</v>
      </c>
      <c r="M559" s="86" t="s">
        <v>29</v>
      </c>
      <c r="N559" s="86" t="s">
        <v>29</v>
      </c>
      <c r="O559" s="86" t="s">
        <v>29</v>
      </c>
      <c r="P559" s="86" t="s">
        <v>29</v>
      </c>
      <c r="Q559" s="86" t="s">
        <v>29</v>
      </c>
      <c r="R559" s="86" t="s">
        <v>29</v>
      </c>
      <c r="S559" s="86" t="s">
        <v>29</v>
      </c>
      <c r="T559" s="86" t="s">
        <v>29</v>
      </c>
      <c r="U559" s="86" t="s">
        <v>29</v>
      </c>
      <c r="V559" s="86" t="s">
        <v>29</v>
      </c>
      <c r="W559" s="86" t="s">
        <v>29</v>
      </c>
      <c r="X559" s="85" t="e">
        <f t="shared" si="61"/>
        <v>#VALUE!</v>
      </c>
      <c r="Y559" s="86" t="s">
        <v>29</v>
      </c>
      <c r="Z559" s="85" t="e">
        <f t="shared" si="62"/>
        <v>#VALUE!</v>
      </c>
      <c r="AA559" s="115" t="s">
        <v>29</v>
      </c>
      <c r="AB559" s="115" t="s">
        <v>29</v>
      </c>
    </row>
    <row r="560" spans="1:28" hidden="1" x14ac:dyDescent="0.3">
      <c r="A560" s="105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5">
        <f t="shared" si="61"/>
        <v>0</v>
      </c>
      <c r="Y560" s="84"/>
      <c r="Z560" s="85">
        <f t="shared" si="62"/>
        <v>0</v>
      </c>
      <c r="AA560" s="118"/>
    </row>
    <row r="561" spans="1:28" hidden="1" x14ac:dyDescent="0.3">
      <c r="A561" s="105"/>
      <c r="D561" s="145" t="s">
        <v>88</v>
      </c>
      <c r="E561" s="85">
        <f>STATS1003B!E560/1000</f>
        <v>545.29246000000001</v>
      </c>
      <c r="F561" s="85">
        <f>STATS1003B!F560/1000</f>
        <v>545.29246000000001</v>
      </c>
      <c r="G561" s="85">
        <f>STATS1003B!G560/1000</f>
        <v>0</v>
      </c>
      <c r="H561" s="85">
        <f>STATS1003B!H560/1000</f>
        <v>545.29246000000001</v>
      </c>
      <c r="I561" s="85">
        <f>STATS1003B!I560/1000</f>
        <v>0</v>
      </c>
      <c r="J561" s="85">
        <f>STATS1003B!J560/1000</f>
        <v>0</v>
      </c>
      <c r="K561" s="85">
        <f>STATS1003B!K560/1000</f>
        <v>0</v>
      </c>
      <c r="L561" s="85">
        <f>STATS1003B!L560/1000</f>
        <v>0</v>
      </c>
      <c r="M561" s="85">
        <f>STATS1003B!M560/1000</f>
        <v>545.29246000000001</v>
      </c>
      <c r="N561" s="85">
        <f>STATS1003B!N560/1000</f>
        <v>0</v>
      </c>
      <c r="O561" s="85">
        <f>STATS1003B!O560/1000</f>
        <v>0</v>
      </c>
      <c r="P561" s="85">
        <f>STATS1003B!P560/1000</f>
        <v>0</v>
      </c>
      <c r="Q561" s="85">
        <f>STATS1003B!Q560/1000</f>
        <v>0</v>
      </c>
      <c r="R561" s="85">
        <f>STATS1003B!R560/1000</f>
        <v>0</v>
      </c>
      <c r="S561" s="85">
        <f>STATS1003B!S560/1000</f>
        <v>0</v>
      </c>
      <c r="T561" s="85">
        <f>STATS1003B!T560/1000</f>
        <v>0</v>
      </c>
      <c r="U561" s="85">
        <f>STATS1003B!U560/1000</f>
        <v>0</v>
      </c>
      <c r="V561" s="85">
        <f>STATS1003B!V560/1000</f>
        <v>545.29246000000001</v>
      </c>
      <c r="W561" s="85">
        <f>STATS1003B!W560/1000</f>
        <v>0</v>
      </c>
      <c r="X561" s="85">
        <f t="shared" si="61"/>
        <v>545.29246000000001</v>
      </c>
      <c r="Y561" s="85">
        <f>STATS1003B!Y560/1000</f>
        <v>0</v>
      </c>
      <c r="Z561" s="85">
        <f t="shared" si="62"/>
        <v>0</v>
      </c>
      <c r="AA561" s="69">
        <f>STATS1003B!AA560/1000</f>
        <v>545.29246000000001</v>
      </c>
      <c r="AB561" s="69">
        <f>STATS1003B!AB560/1000</f>
        <v>0</v>
      </c>
    </row>
    <row r="562" spans="1:28" hidden="1" x14ac:dyDescent="0.3">
      <c r="A562" s="117"/>
      <c r="E562" s="86" t="s">
        <v>29</v>
      </c>
      <c r="F562" s="86" t="s">
        <v>29</v>
      </c>
      <c r="G562" s="86" t="s">
        <v>29</v>
      </c>
      <c r="H562" s="86" t="s">
        <v>29</v>
      </c>
      <c r="I562" s="86" t="s">
        <v>29</v>
      </c>
      <c r="J562" s="86" t="s">
        <v>29</v>
      </c>
      <c r="K562" s="86" t="s">
        <v>29</v>
      </c>
      <c r="L562" s="86" t="s">
        <v>29</v>
      </c>
      <c r="M562" s="86" t="s">
        <v>29</v>
      </c>
      <c r="N562" s="86" t="s">
        <v>29</v>
      </c>
      <c r="O562" s="86" t="s">
        <v>29</v>
      </c>
      <c r="P562" s="86" t="s">
        <v>29</v>
      </c>
      <c r="Q562" s="86" t="s">
        <v>29</v>
      </c>
      <c r="R562" s="86" t="s">
        <v>29</v>
      </c>
      <c r="S562" s="86" t="s">
        <v>29</v>
      </c>
      <c r="T562" s="86" t="s">
        <v>29</v>
      </c>
      <c r="U562" s="86" t="s">
        <v>29</v>
      </c>
      <c r="V562" s="86" t="s">
        <v>29</v>
      </c>
      <c r="W562" s="86" t="s">
        <v>29</v>
      </c>
      <c r="X562" s="85" t="e">
        <f t="shared" si="61"/>
        <v>#VALUE!</v>
      </c>
      <c r="Y562" s="86" t="s">
        <v>29</v>
      </c>
      <c r="Z562" s="85" t="e">
        <f t="shared" si="62"/>
        <v>#VALUE!</v>
      </c>
      <c r="AA562" s="115" t="s">
        <v>29</v>
      </c>
      <c r="AB562" s="115" t="s">
        <v>29</v>
      </c>
    </row>
    <row r="563" spans="1:28" x14ac:dyDescent="0.3">
      <c r="A563" s="116"/>
      <c r="B563" s="68" t="s">
        <v>1269</v>
      </c>
      <c r="E563" s="85">
        <f>545292/1000</f>
        <v>545.29200000000003</v>
      </c>
      <c r="F563" s="85">
        <f>F561</f>
        <v>545.29246000000001</v>
      </c>
      <c r="G563" s="85">
        <f>G561</f>
        <v>0</v>
      </c>
      <c r="H563" s="85">
        <f>545292/1000</f>
        <v>545.29200000000003</v>
      </c>
      <c r="I563" s="85">
        <f t="shared" ref="I563:O563" si="71">I561</f>
        <v>0</v>
      </c>
      <c r="J563" s="85">
        <f t="shared" si="71"/>
        <v>0</v>
      </c>
      <c r="K563" s="85">
        <f t="shared" si="71"/>
        <v>0</v>
      </c>
      <c r="L563" s="85">
        <f t="shared" si="71"/>
        <v>0</v>
      </c>
      <c r="M563" s="85">
        <f t="shared" si="71"/>
        <v>545.29246000000001</v>
      </c>
      <c r="N563" s="85">
        <f t="shared" si="71"/>
        <v>0</v>
      </c>
      <c r="O563" s="85">
        <f t="shared" si="71"/>
        <v>0</v>
      </c>
      <c r="P563" s="85">
        <v>0</v>
      </c>
      <c r="Q563" s="85">
        <f t="shared" ref="Q563:W563" si="72">Q561</f>
        <v>0</v>
      </c>
      <c r="R563" s="85">
        <f t="shared" si="72"/>
        <v>0</v>
      </c>
      <c r="S563" s="85">
        <f t="shared" si="72"/>
        <v>0</v>
      </c>
      <c r="T563" s="85">
        <f t="shared" si="72"/>
        <v>0</v>
      </c>
      <c r="U563" s="85">
        <f t="shared" si="72"/>
        <v>0</v>
      </c>
      <c r="V563" s="85">
        <f t="shared" si="72"/>
        <v>545.29246000000001</v>
      </c>
      <c r="W563" s="85">
        <f t="shared" si="72"/>
        <v>0</v>
      </c>
      <c r="X563" s="85">
        <f t="shared" si="61"/>
        <v>545.29200000000003</v>
      </c>
      <c r="Y563" s="85">
        <f>Y561</f>
        <v>0</v>
      </c>
      <c r="Z563" s="85">
        <f t="shared" si="62"/>
        <v>0</v>
      </c>
      <c r="AA563" s="69">
        <f>AA561</f>
        <v>545.29246000000001</v>
      </c>
      <c r="AB563" s="69">
        <f>AB561</f>
        <v>0</v>
      </c>
    </row>
    <row r="564" spans="1:28" hidden="1" x14ac:dyDescent="0.3">
      <c r="A564" s="117"/>
      <c r="E564" s="86" t="s">
        <v>29</v>
      </c>
      <c r="F564" s="86" t="s">
        <v>29</v>
      </c>
      <c r="G564" s="86" t="s">
        <v>29</v>
      </c>
      <c r="H564" s="86" t="s">
        <v>29</v>
      </c>
      <c r="I564" s="86" t="s">
        <v>29</v>
      </c>
      <c r="J564" s="86" t="s">
        <v>29</v>
      </c>
      <c r="K564" s="86" t="s">
        <v>29</v>
      </c>
      <c r="L564" s="86" t="s">
        <v>29</v>
      </c>
      <c r="M564" s="86" t="s">
        <v>29</v>
      </c>
      <c r="N564" s="86" t="s">
        <v>29</v>
      </c>
      <c r="O564" s="86" t="s">
        <v>29</v>
      </c>
      <c r="P564" s="86" t="s">
        <v>29</v>
      </c>
      <c r="Q564" s="86" t="s">
        <v>29</v>
      </c>
      <c r="R564" s="86" t="s">
        <v>29</v>
      </c>
      <c r="S564" s="86" t="s">
        <v>29</v>
      </c>
      <c r="T564" s="86" t="s">
        <v>29</v>
      </c>
      <c r="U564" s="86" t="s">
        <v>29</v>
      </c>
      <c r="V564" s="86" t="s">
        <v>29</v>
      </c>
      <c r="W564" s="86" t="s">
        <v>29</v>
      </c>
      <c r="X564" s="85" t="e">
        <f t="shared" si="61"/>
        <v>#VALUE!</v>
      </c>
      <c r="Y564" s="86" t="s">
        <v>29</v>
      </c>
      <c r="Z564" s="85" t="e">
        <f t="shared" si="62"/>
        <v>#VALUE!</v>
      </c>
      <c r="AA564" s="115" t="s">
        <v>29</v>
      </c>
      <c r="AB564" s="115" t="s">
        <v>29</v>
      </c>
    </row>
    <row r="565" spans="1:28" hidden="1" x14ac:dyDescent="0.3">
      <c r="A565" s="105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5">
        <f t="shared" si="61"/>
        <v>0</v>
      </c>
      <c r="Y565" s="84"/>
      <c r="Z565" s="85">
        <f t="shared" si="62"/>
        <v>0</v>
      </c>
    </row>
    <row r="566" spans="1:28" hidden="1" x14ac:dyDescent="0.3">
      <c r="A566" s="117"/>
      <c r="C566" s="68" t="s">
        <v>185</v>
      </c>
      <c r="D566" s="145" t="s">
        <v>68</v>
      </c>
      <c r="E566" s="85">
        <f>STATS1003B!E565/1000</f>
        <v>1767.77</v>
      </c>
      <c r="F566" s="85">
        <f>STATS1003B!F565/1000</f>
        <v>0</v>
      </c>
      <c r="G566" s="85">
        <f>STATS1003B!G565/1000</f>
        <v>0</v>
      </c>
      <c r="H566" s="85">
        <f>STATS1003B!H565/1000</f>
        <v>0</v>
      </c>
      <c r="I566" s="85">
        <f>STATS1003B!I565/1000</f>
        <v>0</v>
      </c>
      <c r="J566" s="85">
        <f>STATS1003B!J565/1000</f>
        <v>0</v>
      </c>
      <c r="K566" s="85">
        <f>STATS1003B!K565/1000</f>
        <v>0</v>
      </c>
      <c r="L566" s="85">
        <f>STATS1003B!L565/1000</f>
        <v>0</v>
      </c>
      <c r="M566" s="85">
        <f>STATS1003B!M565/1000</f>
        <v>0</v>
      </c>
      <c r="N566" s="85">
        <f>STATS1003B!N565/1000</f>
        <v>1767.77</v>
      </c>
      <c r="O566" s="85">
        <f>STATS1003B!O565/1000</f>
        <v>0</v>
      </c>
      <c r="P566" s="85">
        <f>STATS1003B!P565/1000</f>
        <v>1767.77</v>
      </c>
      <c r="Q566" s="85">
        <f>STATS1003B!Q565/1000</f>
        <v>0</v>
      </c>
      <c r="R566" s="85">
        <f>STATS1003B!R565/1000</f>
        <v>0</v>
      </c>
      <c r="S566" s="85">
        <f>STATS1003B!S565/1000</f>
        <v>0</v>
      </c>
      <c r="T566" s="85">
        <f>STATS1003B!T565/1000</f>
        <v>0</v>
      </c>
      <c r="U566" s="85">
        <f>STATS1003B!U565/1000</f>
        <v>1767.77</v>
      </c>
      <c r="V566" s="85">
        <f>STATS1003B!V565/1000</f>
        <v>1767.77</v>
      </c>
      <c r="W566" s="85">
        <f>STATS1003B!W565/1000</f>
        <v>0</v>
      </c>
      <c r="X566" s="85">
        <f t="shared" si="61"/>
        <v>1767.77</v>
      </c>
      <c r="Y566" s="85">
        <f>STATS1003B!Y565/1000</f>
        <v>0</v>
      </c>
      <c r="Z566" s="85">
        <f t="shared" si="62"/>
        <v>0</v>
      </c>
      <c r="AA566" s="69">
        <f>STATS1003B!AA565/1000</f>
        <v>1767.77</v>
      </c>
      <c r="AB566" s="69">
        <f>STATS1003B!AB565/1000</f>
        <v>0</v>
      </c>
    </row>
    <row r="567" spans="1:28" hidden="1" x14ac:dyDescent="0.3">
      <c r="A567" s="117"/>
      <c r="C567" s="68" t="s">
        <v>57</v>
      </c>
      <c r="D567" s="145" t="s">
        <v>128</v>
      </c>
      <c r="E567" s="85">
        <f>STATS1003B!E566/1000</f>
        <v>289.8</v>
      </c>
      <c r="F567" s="85">
        <f>STATS1003B!F566/1000</f>
        <v>289.8</v>
      </c>
      <c r="G567" s="85">
        <f>STATS1003B!G566/1000</f>
        <v>0</v>
      </c>
      <c r="H567" s="85">
        <f>STATS1003B!H566/1000</f>
        <v>289.8</v>
      </c>
      <c r="I567" s="85">
        <f>STATS1003B!I566/1000</f>
        <v>0</v>
      </c>
      <c r="J567" s="85">
        <f>STATS1003B!J566/1000</f>
        <v>0</v>
      </c>
      <c r="K567" s="85">
        <f>STATS1003B!K566/1000</f>
        <v>0</v>
      </c>
      <c r="L567" s="85">
        <f>STATS1003B!L566/1000</f>
        <v>0</v>
      </c>
      <c r="M567" s="85">
        <f>STATS1003B!M566/1000</f>
        <v>289.8</v>
      </c>
      <c r="N567" s="85">
        <f>STATS1003B!N566/1000</f>
        <v>0</v>
      </c>
      <c r="O567" s="85">
        <f>STATS1003B!O566/1000</f>
        <v>0</v>
      </c>
      <c r="P567" s="85">
        <f>STATS1003B!P566/1000</f>
        <v>0</v>
      </c>
      <c r="Q567" s="85">
        <f>STATS1003B!Q566/1000</f>
        <v>0</v>
      </c>
      <c r="R567" s="85">
        <f>STATS1003B!R566/1000</f>
        <v>0</v>
      </c>
      <c r="S567" s="85">
        <f>STATS1003B!S566/1000</f>
        <v>0</v>
      </c>
      <c r="T567" s="85">
        <f>STATS1003B!T566/1000</f>
        <v>0</v>
      </c>
      <c r="U567" s="85">
        <f>STATS1003B!U566/1000</f>
        <v>0</v>
      </c>
      <c r="V567" s="85">
        <f>STATS1003B!V566/1000</f>
        <v>289.8</v>
      </c>
      <c r="W567" s="85">
        <f>STATS1003B!W566/1000</f>
        <v>0</v>
      </c>
      <c r="X567" s="85">
        <f t="shared" si="61"/>
        <v>289.8</v>
      </c>
      <c r="Y567" s="85">
        <f>STATS1003B!Y566/1000</f>
        <v>0</v>
      </c>
      <c r="Z567" s="85">
        <f t="shared" si="62"/>
        <v>0</v>
      </c>
      <c r="AA567" s="69">
        <f>STATS1003B!AA566/1000</f>
        <v>289.8</v>
      </c>
      <c r="AB567" s="69">
        <f>STATS1003B!AB566/1000</f>
        <v>0</v>
      </c>
    </row>
    <row r="568" spans="1:28" hidden="1" x14ac:dyDescent="0.3">
      <c r="A568" s="117"/>
      <c r="C568" s="71" t="s">
        <v>109</v>
      </c>
      <c r="D568" s="88" t="s">
        <v>60</v>
      </c>
      <c r="E568" s="85">
        <f>STATS1003B!E567/1000</f>
        <v>1511.45946</v>
      </c>
      <c r="F568" s="85">
        <f>STATS1003B!F567/1000</f>
        <v>1511.45946</v>
      </c>
      <c r="G568" s="85">
        <f>STATS1003B!G567/1000</f>
        <v>0</v>
      </c>
      <c r="H568" s="85">
        <f>STATS1003B!H567/1000</f>
        <v>1511.45946</v>
      </c>
      <c r="I568" s="85">
        <f>STATS1003B!I567/1000</f>
        <v>0</v>
      </c>
      <c r="J568" s="85">
        <f>STATS1003B!J567/1000</f>
        <v>0</v>
      </c>
      <c r="K568" s="85">
        <f>STATS1003B!K567/1000</f>
        <v>0</v>
      </c>
      <c r="L568" s="85">
        <f>STATS1003B!L567/1000</f>
        <v>0</v>
      </c>
      <c r="M568" s="85">
        <f>STATS1003B!M567/1000</f>
        <v>1511.45946</v>
      </c>
      <c r="N568" s="85">
        <f>STATS1003B!N567/1000</f>
        <v>0</v>
      </c>
      <c r="O568" s="85">
        <f>STATS1003B!O567/1000</f>
        <v>0</v>
      </c>
      <c r="P568" s="85">
        <f>STATS1003B!P567/1000</f>
        <v>0</v>
      </c>
      <c r="Q568" s="85">
        <f>STATS1003B!Q567/1000</f>
        <v>0</v>
      </c>
      <c r="R568" s="85">
        <f>STATS1003B!R567/1000</f>
        <v>0</v>
      </c>
      <c r="S568" s="85">
        <f>STATS1003B!S567/1000</f>
        <v>0</v>
      </c>
      <c r="T568" s="85">
        <f>STATS1003B!T567/1000</f>
        <v>0</v>
      </c>
      <c r="U568" s="85">
        <f>STATS1003B!U567/1000</f>
        <v>0</v>
      </c>
      <c r="V568" s="85">
        <f>STATS1003B!V567/1000</f>
        <v>1511.45946</v>
      </c>
      <c r="W568" s="85">
        <f>STATS1003B!W567/1000</f>
        <v>0</v>
      </c>
      <c r="X568" s="85">
        <f t="shared" si="61"/>
        <v>1511.45946</v>
      </c>
      <c r="Y568" s="85">
        <f>STATS1003B!Y567/1000</f>
        <v>0</v>
      </c>
      <c r="Z568" s="85">
        <f t="shared" si="62"/>
        <v>0</v>
      </c>
      <c r="AA568" s="69">
        <f>STATS1003B!AA567/1000</f>
        <v>1511.45946</v>
      </c>
      <c r="AB568" s="69">
        <f>STATS1003B!AB567/1000</f>
        <v>0</v>
      </c>
    </row>
    <row r="569" spans="1:28" hidden="1" x14ac:dyDescent="0.3">
      <c r="A569" s="117"/>
      <c r="E569" s="86" t="s">
        <v>29</v>
      </c>
      <c r="F569" s="86" t="s">
        <v>29</v>
      </c>
      <c r="G569" s="86" t="s">
        <v>29</v>
      </c>
      <c r="H569" s="86" t="s">
        <v>29</v>
      </c>
      <c r="I569" s="86" t="s">
        <v>29</v>
      </c>
      <c r="J569" s="86" t="s">
        <v>29</v>
      </c>
      <c r="K569" s="86" t="s">
        <v>29</v>
      </c>
      <c r="L569" s="86" t="s">
        <v>29</v>
      </c>
      <c r="M569" s="86" t="s">
        <v>29</v>
      </c>
      <c r="N569" s="86" t="s">
        <v>29</v>
      </c>
      <c r="O569" s="86" t="s">
        <v>29</v>
      </c>
      <c r="P569" s="86" t="s">
        <v>29</v>
      </c>
      <c r="Q569" s="86" t="s">
        <v>29</v>
      </c>
      <c r="R569" s="86" t="s">
        <v>29</v>
      </c>
      <c r="S569" s="86" t="s">
        <v>29</v>
      </c>
      <c r="T569" s="86" t="s">
        <v>29</v>
      </c>
      <c r="U569" s="86" t="s">
        <v>29</v>
      </c>
      <c r="V569" s="86" t="s">
        <v>29</v>
      </c>
      <c r="W569" s="86" t="s">
        <v>29</v>
      </c>
      <c r="X569" s="85" t="e">
        <f t="shared" si="61"/>
        <v>#VALUE!</v>
      </c>
      <c r="Y569" s="86" t="s">
        <v>29</v>
      </c>
      <c r="Z569" s="85" t="e">
        <f t="shared" si="62"/>
        <v>#VALUE!</v>
      </c>
      <c r="AA569" s="115" t="s">
        <v>29</v>
      </c>
      <c r="AB569" s="115" t="s">
        <v>29</v>
      </c>
    </row>
    <row r="570" spans="1:28" x14ac:dyDescent="0.3">
      <c r="A570" s="116">
        <v>27</v>
      </c>
      <c r="B570" s="68" t="s">
        <v>184</v>
      </c>
      <c r="E570" s="85">
        <f>10584429/1000</f>
        <v>10584.429</v>
      </c>
      <c r="F570" s="85">
        <f>SUM(F566:F568)</f>
        <v>1801.25946</v>
      </c>
      <c r="G570" s="85">
        <f>SUM(G566:G568)</f>
        <v>0</v>
      </c>
      <c r="H570" s="85">
        <f>8816759/1000</f>
        <v>8816.759</v>
      </c>
      <c r="I570" s="85">
        <f t="shared" ref="I570:O570" si="73">SUM(I566:I568)</f>
        <v>0</v>
      </c>
      <c r="J570" s="85">
        <f t="shared" si="73"/>
        <v>0</v>
      </c>
      <c r="K570" s="85">
        <f t="shared" si="73"/>
        <v>0</v>
      </c>
      <c r="L570" s="85">
        <f t="shared" si="73"/>
        <v>0</v>
      </c>
      <c r="M570" s="85">
        <f t="shared" si="73"/>
        <v>1801.25946</v>
      </c>
      <c r="N570" s="85">
        <f t="shared" si="73"/>
        <v>1767.77</v>
      </c>
      <c r="O570" s="85">
        <f t="shared" si="73"/>
        <v>0</v>
      </c>
      <c r="P570" s="85">
        <f>1767770/1000</f>
        <v>1767.77</v>
      </c>
      <c r="Q570" s="85">
        <f t="shared" ref="Q570:W570" si="74">SUM(Q566:Q568)</f>
        <v>0</v>
      </c>
      <c r="R570" s="85">
        <f t="shared" si="74"/>
        <v>0</v>
      </c>
      <c r="S570" s="85">
        <f t="shared" si="74"/>
        <v>0</v>
      </c>
      <c r="T570" s="85">
        <f t="shared" si="74"/>
        <v>0</v>
      </c>
      <c r="U570" s="85">
        <f t="shared" si="74"/>
        <v>1767.77</v>
      </c>
      <c r="V570" s="85">
        <f t="shared" si="74"/>
        <v>3569.0294600000002</v>
      </c>
      <c r="W570" s="85">
        <f t="shared" si="74"/>
        <v>0</v>
      </c>
      <c r="X570" s="85">
        <f t="shared" si="61"/>
        <v>10584.529</v>
      </c>
      <c r="Y570" s="85">
        <f>SUM(Y566:Y568)</f>
        <v>0</v>
      </c>
      <c r="Z570" s="85">
        <f>+X570-E570</f>
        <v>0.1000000000003638</v>
      </c>
      <c r="AA570" s="69">
        <f>SUM(AA566:AA568)</f>
        <v>3569.0294600000002</v>
      </c>
      <c r="AB570" s="69">
        <f>SUM(AB566:AB568)</f>
        <v>0</v>
      </c>
    </row>
    <row r="571" spans="1:28" hidden="1" x14ac:dyDescent="0.3">
      <c r="A571" s="117"/>
      <c r="E571" s="86" t="s">
        <v>29</v>
      </c>
      <c r="F571" s="86" t="s">
        <v>29</v>
      </c>
      <c r="G571" s="86" t="s">
        <v>29</v>
      </c>
      <c r="H571" s="86" t="s">
        <v>29</v>
      </c>
      <c r="I571" s="86" t="s">
        <v>29</v>
      </c>
      <c r="J571" s="86" t="s">
        <v>29</v>
      </c>
      <c r="K571" s="86" t="s">
        <v>29</v>
      </c>
      <c r="L571" s="86" t="s">
        <v>29</v>
      </c>
      <c r="M571" s="86" t="s">
        <v>29</v>
      </c>
      <c r="N571" s="86" t="s">
        <v>29</v>
      </c>
      <c r="O571" s="86" t="s">
        <v>29</v>
      </c>
      <c r="P571" s="86" t="s">
        <v>29</v>
      </c>
      <c r="Q571" s="86" t="s">
        <v>29</v>
      </c>
      <c r="R571" s="86" t="s">
        <v>29</v>
      </c>
      <c r="S571" s="86" t="s">
        <v>29</v>
      </c>
      <c r="T571" s="86" t="s">
        <v>29</v>
      </c>
      <c r="U571" s="86" t="s">
        <v>29</v>
      </c>
      <c r="V571" s="86" t="s">
        <v>29</v>
      </c>
      <c r="W571" s="86" t="s">
        <v>29</v>
      </c>
      <c r="X571" s="85" t="e">
        <f t="shared" si="61"/>
        <v>#VALUE!</v>
      </c>
      <c r="Y571" s="86" t="s">
        <v>29</v>
      </c>
      <c r="Z571" s="85" t="e">
        <f t="shared" si="62"/>
        <v>#VALUE!</v>
      </c>
      <c r="AA571" s="115" t="s">
        <v>29</v>
      </c>
      <c r="AB571" s="115" t="s">
        <v>29</v>
      </c>
    </row>
    <row r="572" spans="1:28" hidden="1" x14ac:dyDescent="0.3">
      <c r="A572" s="105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5">
        <f t="shared" si="61"/>
        <v>0</v>
      </c>
      <c r="Y572" s="84"/>
      <c r="Z572" s="85">
        <f t="shared" si="62"/>
        <v>0</v>
      </c>
      <c r="AA572" s="118"/>
    </row>
    <row r="573" spans="1:28" hidden="1" x14ac:dyDescent="0.3">
      <c r="A573" s="117"/>
      <c r="C573" s="68" t="s">
        <v>75</v>
      </c>
      <c r="D573" s="88" t="s">
        <v>76</v>
      </c>
      <c r="E573" s="85">
        <f>STATS1003B!E572/1000</f>
        <v>3788</v>
      </c>
      <c r="F573" s="85">
        <f>STATS1003B!F572/1000</f>
        <v>0</v>
      </c>
      <c r="G573" s="85">
        <f>STATS1003B!G572/1000</f>
        <v>0</v>
      </c>
      <c r="H573" s="85">
        <f>STATS1003B!H572/1000</f>
        <v>0</v>
      </c>
      <c r="I573" s="85">
        <f>STATS1003B!I572/1000</f>
        <v>0</v>
      </c>
      <c r="J573" s="85">
        <f>STATS1003B!J572/1000</f>
        <v>0</v>
      </c>
      <c r="K573" s="85">
        <f>STATS1003B!K572/1000</f>
        <v>0</v>
      </c>
      <c r="L573" s="85">
        <f>STATS1003B!L572/1000</f>
        <v>0</v>
      </c>
      <c r="M573" s="85">
        <f>STATS1003B!M572/1000</f>
        <v>0</v>
      </c>
      <c r="N573" s="85">
        <f>STATS1003B!N572/1000</f>
        <v>3788</v>
      </c>
      <c r="O573" s="85">
        <f>STATS1003B!O572/1000</f>
        <v>0</v>
      </c>
      <c r="P573" s="85">
        <f>STATS1003B!P572/1000</f>
        <v>3788</v>
      </c>
      <c r="Q573" s="85">
        <f>STATS1003B!Q572/1000</f>
        <v>0</v>
      </c>
      <c r="R573" s="85">
        <f>STATS1003B!R572/1000</f>
        <v>0</v>
      </c>
      <c r="S573" s="85">
        <f>STATS1003B!S572/1000</f>
        <v>0</v>
      </c>
      <c r="T573" s="85">
        <f>STATS1003B!T572/1000</f>
        <v>0</v>
      </c>
      <c r="U573" s="85">
        <f>STATS1003B!U572/1000</f>
        <v>3788</v>
      </c>
      <c r="V573" s="85">
        <f>STATS1003B!V572/1000</f>
        <v>3788</v>
      </c>
      <c r="W573" s="85">
        <f>STATS1003B!W572/1000</f>
        <v>0</v>
      </c>
      <c r="X573" s="85">
        <f t="shared" si="61"/>
        <v>3788</v>
      </c>
      <c r="Y573" s="85">
        <f>STATS1003B!Y572/1000</f>
        <v>0</v>
      </c>
      <c r="Z573" s="85">
        <f t="shared" si="62"/>
        <v>0</v>
      </c>
      <c r="AA573" s="69">
        <f>STATS1003B!AA572/1000</f>
        <v>3788</v>
      </c>
      <c r="AB573" s="69">
        <f>STATS1003B!AB572/1000</f>
        <v>0</v>
      </c>
    </row>
    <row r="574" spans="1:28" hidden="1" x14ac:dyDescent="0.3">
      <c r="A574" s="117"/>
      <c r="C574" s="68" t="s">
        <v>149</v>
      </c>
      <c r="D574" s="88" t="s">
        <v>150</v>
      </c>
      <c r="E574" s="85">
        <f>STATS1003B!E573/1000</f>
        <v>1641.675</v>
      </c>
      <c r="F574" s="85">
        <f>STATS1003B!F573/1000</f>
        <v>658.58139000000006</v>
      </c>
      <c r="G574" s="85">
        <f>STATS1003B!G573/1000</f>
        <v>0</v>
      </c>
      <c r="H574" s="85">
        <f>STATS1003B!H573/1000</f>
        <v>658.58139000000006</v>
      </c>
      <c r="I574" s="85">
        <f>STATS1003B!I573/1000</f>
        <v>0</v>
      </c>
      <c r="J574" s="85">
        <f>STATS1003B!J573/1000</f>
        <v>0</v>
      </c>
      <c r="K574" s="85">
        <f>STATS1003B!K573/1000</f>
        <v>0</v>
      </c>
      <c r="L574" s="85">
        <f>STATS1003B!L573/1000</f>
        <v>0</v>
      </c>
      <c r="M574" s="85">
        <f>STATS1003B!M573/1000</f>
        <v>658.58139000000006</v>
      </c>
      <c r="N574" s="85">
        <f>STATS1003B!N573/1000</f>
        <v>211.71</v>
      </c>
      <c r="O574" s="85">
        <f>STATS1003B!O573/1000</f>
        <v>0</v>
      </c>
      <c r="P574" s="85">
        <f>STATS1003B!P573/1000</f>
        <v>211.71</v>
      </c>
      <c r="Q574" s="85">
        <f>STATS1003B!Q573/1000</f>
        <v>0</v>
      </c>
      <c r="R574" s="85">
        <f>STATS1003B!R573/1000</f>
        <v>0</v>
      </c>
      <c r="S574" s="85">
        <f>STATS1003B!S573/1000</f>
        <v>0</v>
      </c>
      <c r="T574" s="85">
        <f>STATS1003B!T573/1000</f>
        <v>0</v>
      </c>
      <c r="U574" s="85">
        <f>STATS1003B!U573/1000</f>
        <v>211.71</v>
      </c>
      <c r="V574" s="85">
        <f>STATS1003B!V573/1000</f>
        <v>870.29138999999998</v>
      </c>
      <c r="W574" s="85">
        <f>STATS1003B!W573/1000</f>
        <v>771.38360999999998</v>
      </c>
      <c r="X574" s="85">
        <f t="shared" ref="X574:X637" si="75">+H574+P574</f>
        <v>870.29139000000009</v>
      </c>
      <c r="Y574" s="85">
        <f>STATS1003B!Y573/1000</f>
        <v>0</v>
      </c>
      <c r="Z574" s="85">
        <f t="shared" si="62"/>
        <v>771.38360999999986</v>
      </c>
      <c r="AA574" s="69">
        <f>STATS1003B!AA573/1000</f>
        <v>870.29138999999998</v>
      </c>
      <c r="AB574" s="69">
        <f>STATS1003B!AB573/1000</f>
        <v>771.38360999999998</v>
      </c>
    </row>
    <row r="575" spans="1:28" hidden="1" x14ac:dyDescent="0.3">
      <c r="A575" s="117"/>
      <c r="C575" s="68" t="s">
        <v>187</v>
      </c>
      <c r="D575" s="68" t="s">
        <v>188</v>
      </c>
      <c r="E575" s="85">
        <f>STATS1003B!E574/1000</f>
        <v>0</v>
      </c>
      <c r="F575" s="85">
        <f>STATS1003B!F574/1000</f>
        <v>0</v>
      </c>
      <c r="G575" s="85">
        <f>STATS1003B!G574/1000</f>
        <v>0</v>
      </c>
      <c r="H575" s="85">
        <f>STATS1003B!H574/1000</f>
        <v>0</v>
      </c>
      <c r="I575" s="85">
        <f>STATS1003B!I574/1000</f>
        <v>0</v>
      </c>
      <c r="J575" s="85">
        <f>STATS1003B!J574/1000</f>
        <v>0</v>
      </c>
      <c r="K575" s="85">
        <f>STATS1003B!K574/1000</f>
        <v>0</v>
      </c>
      <c r="L575" s="85">
        <f>STATS1003B!L574/1000</f>
        <v>0</v>
      </c>
      <c r="M575" s="85">
        <f>STATS1003B!M574/1000</f>
        <v>0</v>
      </c>
      <c r="N575" s="85">
        <f>STATS1003B!N574/1000</f>
        <v>0</v>
      </c>
      <c r="O575" s="85">
        <f>STATS1003B!O574/1000</f>
        <v>0</v>
      </c>
      <c r="P575" s="85">
        <f>STATS1003B!P574/1000</f>
        <v>0</v>
      </c>
      <c r="Q575" s="85">
        <f>STATS1003B!Q574/1000</f>
        <v>0</v>
      </c>
      <c r="R575" s="85">
        <f>STATS1003B!R574/1000</f>
        <v>0</v>
      </c>
      <c r="S575" s="85">
        <f>STATS1003B!S574/1000</f>
        <v>0</v>
      </c>
      <c r="T575" s="85">
        <f>STATS1003B!T574/1000</f>
        <v>0</v>
      </c>
      <c r="U575" s="85">
        <f>STATS1003B!U574/1000</f>
        <v>0</v>
      </c>
      <c r="V575" s="85">
        <f>STATS1003B!V574/1000</f>
        <v>0</v>
      </c>
      <c r="W575" s="85">
        <f>STATS1003B!W574/1000</f>
        <v>0</v>
      </c>
      <c r="X575" s="85">
        <f t="shared" si="75"/>
        <v>0</v>
      </c>
      <c r="Y575" s="85">
        <f>STATS1003B!Y574/1000</f>
        <v>0</v>
      </c>
      <c r="Z575" s="85">
        <f t="shared" si="62"/>
        <v>0</v>
      </c>
      <c r="AA575" s="69">
        <f>STATS1003B!AA574/1000</f>
        <v>0</v>
      </c>
      <c r="AB575" s="69">
        <f>STATS1003B!AB574/1000</f>
        <v>0</v>
      </c>
    </row>
    <row r="576" spans="1:28" hidden="1" x14ac:dyDescent="0.3">
      <c r="A576" s="117"/>
      <c r="C576" s="71" t="s">
        <v>174</v>
      </c>
      <c r="D576" s="71" t="s">
        <v>189</v>
      </c>
      <c r="E576" s="85">
        <f>STATS1003B!E575/1000</f>
        <v>25150.521109999998</v>
      </c>
      <c r="F576" s="85">
        <f>STATS1003B!F575/1000</f>
        <v>24252.704399999999</v>
      </c>
      <c r="G576" s="85">
        <f>STATS1003B!G575/1000</f>
        <v>0</v>
      </c>
      <c r="H576" s="85">
        <f>STATS1003B!H575/1000</f>
        <v>24252.704399999999</v>
      </c>
      <c r="I576" s="85">
        <f>STATS1003B!I575/1000</f>
        <v>0</v>
      </c>
      <c r="J576" s="85">
        <f>STATS1003B!J575/1000</f>
        <v>0</v>
      </c>
      <c r="K576" s="85">
        <f>STATS1003B!K575/1000</f>
        <v>0</v>
      </c>
      <c r="L576" s="85">
        <f>STATS1003B!L575/1000</f>
        <v>0</v>
      </c>
      <c r="M576" s="85">
        <f>STATS1003B!M575/1000</f>
        <v>24252.704399999999</v>
      </c>
      <c r="N576" s="85">
        <f>STATS1003B!N575/1000</f>
        <v>897.81670999999994</v>
      </c>
      <c r="O576" s="85">
        <f>STATS1003B!O575/1000</f>
        <v>0</v>
      </c>
      <c r="P576" s="85">
        <f>STATS1003B!P575/1000</f>
        <v>897.81670999999994</v>
      </c>
      <c r="Q576" s="85">
        <f>STATS1003B!Q575/1000</f>
        <v>0</v>
      </c>
      <c r="R576" s="85">
        <f>STATS1003B!R575/1000</f>
        <v>0</v>
      </c>
      <c r="S576" s="85">
        <f>STATS1003B!S575/1000</f>
        <v>0</v>
      </c>
      <c r="T576" s="85">
        <f>STATS1003B!T575/1000</f>
        <v>0</v>
      </c>
      <c r="U576" s="85">
        <f>STATS1003B!U575/1000</f>
        <v>897.81670999999994</v>
      </c>
      <c r="V576" s="85">
        <f>STATS1003B!V575/1000</f>
        <v>25150.521109999998</v>
      </c>
      <c r="W576" s="85">
        <f>STATS1003B!W575/1000</f>
        <v>0</v>
      </c>
      <c r="X576" s="85">
        <f t="shared" si="75"/>
        <v>25150.521109999998</v>
      </c>
      <c r="Y576" s="85">
        <f>STATS1003B!Y575/1000</f>
        <v>0</v>
      </c>
      <c r="Z576" s="85">
        <f t="shared" si="62"/>
        <v>0</v>
      </c>
      <c r="AA576" s="69">
        <f>STATS1003B!AA575/1000</f>
        <v>25150.521109999998</v>
      </c>
      <c r="AB576" s="69">
        <f>STATS1003B!AB575/1000</f>
        <v>0</v>
      </c>
    </row>
    <row r="577" spans="1:28" hidden="1" x14ac:dyDescent="0.3">
      <c r="A577" s="117"/>
      <c r="C577" s="68" t="s">
        <v>55</v>
      </c>
      <c r="D577" s="145" t="s">
        <v>68</v>
      </c>
      <c r="E577" s="85">
        <f>STATS1003B!E576/1000</f>
        <v>3195.9920000000002</v>
      </c>
      <c r="F577" s="85">
        <f>STATS1003B!F576/1000</f>
        <v>0</v>
      </c>
      <c r="G577" s="85">
        <f>STATS1003B!G576/1000</f>
        <v>0</v>
      </c>
      <c r="H577" s="85">
        <f>STATS1003B!H576/1000</f>
        <v>0</v>
      </c>
      <c r="I577" s="85">
        <f>STATS1003B!I576/1000</f>
        <v>0</v>
      </c>
      <c r="J577" s="85">
        <f>STATS1003B!J576/1000</f>
        <v>0</v>
      </c>
      <c r="K577" s="85">
        <f>STATS1003B!K576/1000</f>
        <v>0</v>
      </c>
      <c r="L577" s="85">
        <f>STATS1003B!L576/1000</f>
        <v>0</v>
      </c>
      <c r="M577" s="85">
        <f>STATS1003B!M576/1000</f>
        <v>0</v>
      </c>
      <c r="N577" s="85">
        <f>STATS1003B!N576/1000</f>
        <v>3195.9920000000002</v>
      </c>
      <c r="O577" s="85">
        <f>STATS1003B!O576/1000</f>
        <v>0</v>
      </c>
      <c r="P577" s="85">
        <f>STATS1003B!P576/1000</f>
        <v>3195.9920000000002</v>
      </c>
      <c r="Q577" s="85">
        <f>STATS1003B!Q576/1000</f>
        <v>0</v>
      </c>
      <c r="R577" s="85">
        <f>STATS1003B!R576/1000</f>
        <v>0</v>
      </c>
      <c r="S577" s="85">
        <f>STATS1003B!S576/1000</f>
        <v>0</v>
      </c>
      <c r="T577" s="85">
        <f>STATS1003B!T576/1000</f>
        <v>0</v>
      </c>
      <c r="U577" s="85">
        <f>STATS1003B!U576/1000</f>
        <v>3195.9920000000002</v>
      </c>
      <c r="V577" s="85">
        <f>STATS1003B!V576/1000</f>
        <v>3195.9920000000002</v>
      </c>
      <c r="W577" s="85">
        <f>STATS1003B!W576/1000</f>
        <v>0</v>
      </c>
      <c r="X577" s="85">
        <f t="shared" si="75"/>
        <v>3195.9920000000002</v>
      </c>
      <c r="Y577" s="85">
        <f>STATS1003B!Y576/1000</f>
        <v>0</v>
      </c>
      <c r="Z577" s="85">
        <f t="shared" si="62"/>
        <v>0</v>
      </c>
      <c r="AA577" s="69">
        <f>STATS1003B!AA576/1000</f>
        <v>3195.9920000000002</v>
      </c>
      <c r="AB577" s="69">
        <f>STATS1003B!AB576/1000</f>
        <v>0</v>
      </c>
    </row>
    <row r="578" spans="1:28" hidden="1" x14ac:dyDescent="0.3">
      <c r="A578" s="117"/>
      <c r="C578" s="68" t="s">
        <v>53</v>
      </c>
      <c r="D578" s="145" t="s">
        <v>68</v>
      </c>
      <c r="E578" s="85">
        <f>STATS1003B!E577/1000</f>
        <v>1953.989</v>
      </c>
      <c r="F578" s="85">
        <f>STATS1003B!F577/1000</f>
        <v>0</v>
      </c>
      <c r="G578" s="85">
        <f>STATS1003B!G577/1000</f>
        <v>0</v>
      </c>
      <c r="H578" s="85">
        <f>STATS1003B!H577/1000</f>
        <v>0</v>
      </c>
      <c r="I578" s="85">
        <f>STATS1003B!I577/1000</f>
        <v>0</v>
      </c>
      <c r="J578" s="85">
        <f>STATS1003B!J577/1000</f>
        <v>0</v>
      </c>
      <c r="K578" s="85">
        <f>STATS1003B!K577/1000</f>
        <v>0</v>
      </c>
      <c r="L578" s="85">
        <f>STATS1003B!L577/1000</f>
        <v>0</v>
      </c>
      <c r="M578" s="85">
        <f>STATS1003B!M577/1000</f>
        <v>0</v>
      </c>
      <c r="N578" s="85">
        <f>STATS1003B!N577/1000</f>
        <v>1953.989</v>
      </c>
      <c r="O578" s="85">
        <f>STATS1003B!O577/1000</f>
        <v>0</v>
      </c>
      <c r="P578" s="85">
        <f>STATS1003B!P577/1000</f>
        <v>1953.989</v>
      </c>
      <c r="Q578" s="85">
        <f>STATS1003B!Q577/1000</f>
        <v>0</v>
      </c>
      <c r="R578" s="85">
        <f>STATS1003B!R577/1000</f>
        <v>0</v>
      </c>
      <c r="S578" s="85">
        <f>STATS1003B!S577/1000</f>
        <v>0</v>
      </c>
      <c r="T578" s="85">
        <f>STATS1003B!T577/1000</f>
        <v>0</v>
      </c>
      <c r="U578" s="85">
        <f>STATS1003B!U577/1000</f>
        <v>1953.989</v>
      </c>
      <c r="V578" s="85">
        <f>STATS1003B!V577/1000</f>
        <v>1953.989</v>
      </c>
      <c r="W578" s="85">
        <f>STATS1003B!W577/1000</f>
        <v>0</v>
      </c>
      <c r="X578" s="85">
        <f t="shared" si="75"/>
        <v>1953.989</v>
      </c>
      <c r="Y578" s="85">
        <f>STATS1003B!Y577/1000</f>
        <v>0</v>
      </c>
      <c r="Z578" s="85">
        <f t="shared" si="62"/>
        <v>0</v>
      </c>
      <c r="AA578" s="69">
        <f>STATS1003B!AA577/1000</f>
        <v>1953.989</v>
      </c>
      <c r="AB578" s="69">
        <f>STATS1003B!AB577/1000</f>
        <v>0</v>
      </c>
    </row>
    <row r="579" spans="1:28" hidden="1" x14ac:dyDescent="0.3">
      <c r="A579" s="117"/>
      <c r="C579" s="68" t="s">
        <v>69</v>
      </c>
      <c r="D579" s="145" t="s">
        <v>85</v>
      </c>
      <c r="E579" s="85">
        <f>STATS1003B!E578/1000</f>
        <v>955.34561999999994</v>
      </c>
      <c r="F579" s="85">
        <f>STATS1003B!F578/1000</f>
        <v>0</v>
      </c>
      <c r="G579" s="85">
        <f>STATS1003B!G578/1000</f>
        <v>0</v>
      </c>
      <c r="H579" s="85">
        <f>STATS1003B!H578/1000</f>
        <v>0</v>
      </c>
      <c r="I579" s="85">
        <f>STATS1003B!I578/1000</f>
        <v>0</v>
      </c>
      <c r="J579" s="85">
        <f>STATS1003B!J578/1000</f>
        <v>0</v>
      </c>
      <c r="K579" s="85">
        <f>STATS1003B!K578/1000</f>
        <v>0</v>
      </c>
      <c r="L579" s="85">
        <f>STATS1003B!L578/1000</f>
        <v>0</v>
      </c>
      <c r="M579" s="85">
        <f>STATS1003B!M578/1000</f>
        <v>0</v>
      </c>
      <c r="N579" s="85">
        <f>STATS1003B!N578/1000</f>
        <v>955.34561999999994</v>
      </c>
      <c r="O579" s="85">
        <f>STATS1003B!O578/1000</f>
        <v>0</v>
      </c>
      <c r="P579" s="85">
        <f>STATS1003B!P578/1000</f>
        <v>955.34561999999994</v>
      </c>
      <c r="Q579" s="85">
        <f>STATS1003B!Q578/1000</f>
        <v>0</v>
      </c>
      <c r="R579" s="85">
        <f>STATS1003B!R578/1000</f>
        <v>0</v>
      </c>
      <c r="S579" s="85">
        <f>STATS1003B!S578/1000</f>
        <v>0</v>
      </c>
      <c r="T579" s="85">
        <f>STATS1003B!T578/1000</f>
        <v>0</v>
      </c>
      <c r="U579" s="85">
        <f>STATS1003B!U578/1000</f>
        <v>955.34561999999994</v>
      </c>
      <c r="V579" s="85">
        <f>STATS1003B!V578/1000</f>
        <v>955.34561999999994</v>
      </c>
      <c r="W579" s="85">
        <f>STATS1003B!W578/1000</f>
        <v>0</v>
      </c>
      <c r="X579" s="85">
        <f t="shared" si="75"/>
        <v>955.34561999999994</v>
      </c>
      <c r="Y579" s="85">
        <f>STATS1003B!Y578/1000</f>
        <v>0</v>
      </c>
      <c r="Z579" s="85">
        <f t="shared" si="62"/>
        <v>0</v>
      </c>
      <c r="AA579" s="69">
        <f>STATS1003B!AA578/1000</f>
        <v>955.34561999999994</v>
      </c>
      <c r="AB579" s="69">
        <f>STATS1003B!AB578/1000</f>
        <v>0</v>
      </c>
    </row>
    <row r="580" spans="1:28" hidden="1" x14ac:dyDescent="0.3">
      <c r="A580" s="117"/>
      <c r="C580" s="68" t="s">
        <v>57</v>
      </c>
      <c r="D580" s="145" t="s">
        <v>58</v>
      </c>
      <c r="E580" s="85">
        <f>STATS1003B!E579/1000</f>
        <v>7490.9392600000001</v>
      </c>
      <c r="F580" s="85">
        <f>STATS1003B!F579/1000</f>
        <v>7490.9392600000001</v>
      </c>
      <c r="G580" s="85">
        <f>STATS1003B!G579/1000</f>
        <v>0</v>
      </c>
      <c r="H580" s="85">
        <f>STATS1003B!H579/1000</f>
        <v>7490.9392600000001</v>
      </c>
      <c r="I580" s="85">
        <f>STATS1003B!I579/1000</f>
        <v>0</v>
      </c>
      <c r="J580" s="85">
        <f>STATS1003B!J579/1000</f>
        <v>0</v>
      </c>
      <c r="K580" s="85">
        <f>STATS1003B!K579/1000</f>
        <v>0</v>
      </c>
      <c r="L580" s="85">
        <f>STATS1003B!L579/1000</f>
        <v>0</v>
      </c>
      <c r="M580" s="85">
        <f>STATS1003B!M579/1000</f>
        <v>7490.9392600000001</v>
      </c>
      <c r="N580" s="85">
        <f>STATS1003B!N579/1000</f>
        <v>0</v>
      </c>
      <c r="O580" s="85">
        <f>STATS1003B!O579/1000</f>
        <v>0</v>
      </c>
      <c r="P580" s="85">
        <f>STATS1003B!P579/1000</f>
        <v>0</v>
      </c>
      <c r="Q580" s="85">
        <f>STATS1003B!Q579/1000</f>
        <v>0</v>
      </c>
      <c r="R580" s="85">
        <f>STATS1003B!R579/1000</f>
        <v>0</v>
      </c>
      <c r="S580" s="85">
        <f>STATS1003B!S579/1000</f>
        <v>0</v>
      </c>
      <c r="T580" s="85">
        <f>STATS1003B!T579/1000</f>
        <v>0</v>
      </c>
      <c r="U580" s="85">
        <f>STATS1003B!U579/1000</f>
        <v>0</v>
      </c>
      <c r="V580" s="85">
        <f>STATS1003B!V579/1000</f>
        <v>7490.9392600000001</v>
      </c>
      <c r="W580" s="85">
        <f>STATS1003B!W579/1000</f>
        <v>0</v>
      </c>
      <c r="X580" s="85">
        <f t="shared" si="75"/>
        <v>7490.9392600000001</v>
      </c>
      <c r="Y580" s="85">
        <f>STATS1003B!Y579/1000</f>
        <v>0</v>
      </c>
      <c r="Z580" s="85">
        <f t="shared" si="62"/>
        <v>0</v>
      </c>
      <c r="AA580" s="69">
        <f>STATS1003B!AA579/1000</f>
        <v>7490.9392600000001</v>
      </c>
      <c r="AB580" s="69">
        <f>STATS1003B!AB579/1000</f>
        <v>0</v>
      </c>
    </row>
    <row r="581" spans="1:28" hidden="1" x14ac:dyDescent="0.3">
      <c r="A581" s="117"/>
      <c r="C581" s="71" t="s">
        <v>109</v>
      </c>
      <c r="D581" s="88" t="s">
        <v>60</v>
      </c>
      <c r="E581" s="85">
        <f>STATS1003B!E580/1000</f>
        <v>2500</v>
      </c>
      <c r="F581" s="85">
        <f>STATS1003B!F580/1000</f>
        <v>2500</v>
      </c>
      <c r="G581" s="85">
        <f>STATS1003B!G580/1000</f>
        <v>0</v>
      </c>
      <c r="H581" s="85">
        <f>STATS1003B!H580/1000</f>
        <v>2500</v>
      </c>
      <c r="I581" s="85">
        <f>STATS1003B!I580/1000</f>
        <v>0</v>
      </c>
      <c r="J581" s="85">
        <f>STATS1003B!J580/1000</f>
        <v>0</v>
      </c>
      <c r="K581" s="85">
        <f>STATS1003B!K580/1000</f>
        <v>0</v>
      </c>
      <c r="L581" s="85">
        <f>STATS1003B!L580/1000</f>
        <v>0</v>
      </c>
      <c r="M581" s="85">
        <f>STATS1003B!M580/1000</f>
        <v>2500</v>
      </c>
      <c r="N581" s="85">
        <f>STATS1003B!N580/1000</f>
        <v>0</v>
      </c>
      <c r="O581" s="85">
        <f>STATS1003B!O580/1000</f>
        <v>0</v>
      </c>
      <c r="P581" s="85">
        <f>STATS1003B!P580/1000</f>
        <v>0</v>
      </c>
      <c r="Q581" s="85">
        <f>STATS1003B!Q580/1000</f>
        <v>0</v>
      </c>
      <c r="R581" s="85">
        <f>STATS1003B!R580/1000</f>
        <v>0</v>
      </c>
      <c r="S581" s="85">
        <f>STATS1003B!S580/1000</f>
        <v>0</v>
      </c>
      <c r="T581" s="85">
        <f>STATS1003B!T580/1000</f>
        <v>0</v>
      </c>
      <c r="U581" s="85">
        <f>STATS1003B!U580/1000</f>
        <v>0</v>
      </c>
      <c r="V581" s="85">
        <f>STATS1003B!V580/1000</f>
        <v>2500</v>
      </c>
      <c r="W581" s="85">
        <f>STATS1003B!W580/1000</f>
        <v>0</v>
      </c>
      <c r="X581" s="85">
        <f t="shared" si="75"/>
        <v>2500</v>
      </c>
      <c r="Y581" s="85">
        <f>STATS1003B!Y580/1000</f>
        <v>0</v>
      </c>
      <c r="Z581" s="85">
        <f t="shared" si="62"/>
        <v>0</v>
      </c>
      <c r="AA581" s="69">
        <f>STATS1003B!AA580/1000</f>
        <v>2500</v>
      </c>
      <c r="AB581" s="69">
        <f>STATS1003B!AB580/1000</f>
        <v>0</v>
      </c>
    </row>
    <row r="582" spans="1:28" hidden="1" x14ac:dyDescent="0.3">
      <c r="A582" s="117"/>
      <c r="C582" s="71" t="s">
        <v>932</v>
      </c>
      <c r="D582" s="88"/>
      <c r="E582" s="85">
        <f>STATS1003B!E581/1000</f>
        <v>700</v>
      </c>
      <c r="F582" s="85">
        <f>STATS1003B!F581/1000</f>
        <v>700</v>
      </c>
      <c r="G582" s="85">
        <f>STATS1003B!G581/1000</f>
        <v>0</v>
      </c>
      <c r="H582" s="85">
        <f>STATS1003B!H581/1000</f>
        <v>700</v>
      </c>
      <c r="I582" s="85">
        <f>STATS1003B!I581/1000</f>
        <v>0</v>
      </c>
      <c r="J582" s="85">
        <f>STATS1003B!J581/1000</f>
        <v>0</v>
      </c>
      <c r="K582" s="85">
        <f>STATS1003B!K581/1000</f>
        <v>0</v>
      </c>
      <c r="L582" s="85">
        <f>STATS1003B!L581/1000</f>
        <v>0</v>
      </c>
      <c r="M582" s="85">
        <f>STATS1003B!M581/1000</f>
        <v>700</v>
      </c>
      <c r="N582" s="85">
        <f>STATS1003B!N581/1000</f>
        <v>0</v>
      </c>
      <c r="O582" s="85">
        <f>STATS1003B!O581/1000</f>
        <v>0</v>
      </c>
      <c r="P582" s="85">
        <f>STATS1003B!P581/1000</f>
        <v>0</v>
      </c>
      <c r="Q582" s="85">
        <f>STATS1003B!Q581/1000</f>
        <v>0</v>
      </c>
      <c r="R582" s="85">
        <f>STATS1003B!R581/1000</f>
        <v>0</v>
      </c>
      <c r="S582" s="85">
        <f>STATS1003B!S581/1000</f>
        <v>0</v>
      </c>
      <c r="T582" s="85">
        <f>STATS1003B!T581/1000</f>
        <v>0</v>
      </c>
      <c r="U582" s="85">
        <f>STATS1003B!U581/1000</f>
        <v>0</v>
      </c>
      <c r="V582" s="85">
        <f>STATS1003B!V581/1000</f>
        <v>700</v>
      </c>
      <c r="W582" s="85">
        <f>STATS1003B!W581/1000</f>
        <v>0</v>
      </c>
      <c r="X582" s="85">
        <f t="shared" si="75"/>
        <v>700</v>
      </c>
      <c r="Y582" s="85">
        <f>STATS1003B!Y581/1000</f>
        <v>0</v>
      </c>
      <c r="Z582" s="85">
        <f t="shared" si="62"/>
        <v>0</v>
      </c>
      <c r="AA582" s="69">
        <f>STATS1003B!AA581/1000</f>
        <v>700</v>
      </c>
      <c r="AB582" s="69">
        <f>STATS1003B!AB581/1000</f>
        <v>0</v>
      </c>
    </row>
    <row r="583" spans="1:28" hidden="1" x14ac:dyDescent="0.3">
      <c r="A583" s="117"/>
      <c r="C583" s="71" t="s">
        <v>1127</v>
      </c>
      <c r="D583" s="89" t="s">
        <v>1126</v>
      </c>
      <c r="E583" s="85">
        <f>STATS1003B!E582/1000</f>
        <v>300</v>
      </c>
      <c r="F583" s="85">
        <f>STATS1003B!F582/1000</f>
        <v>300</v>
      </c>
      <c r="G583" s="85">
        <f>STATS1003B!G582/1000</f>
        <v>0</v>
      </c>
      <c r="H583" s="85">
        <f>STATS1003B!H582/1000</f>
        <v>300</v>
      </c>
      <c r="I583" s="85">
        <f>STATS1003B!I582/1000</f>
        <v>0</v>
      </c>
      <c r="J583" s="85">
        <f>STATS1003B!J582/1000</f>
        <v>0</v>
      </c>
      <c r="K583" s="85">
        <f>STATS1003B!K582/1000</f>
        <v>0</v>
      </c>
      <c r="L583" s="85">
        <f>STATS1003B!L582/1000</f>
        <v>0</v>
      </c>
      <c r="M583" s="85">
        <f>STATS1003B!M582/1000</f>
        <v>300</v>
      </c>
      <c r="N583" s="85">
        <f>STATS1003B!N582/1000</f>
        <v>0</v>
      </c>
      <c r="O583" s="85">
        <f>STATS1003B!O582/1000</f>
        <v>0</v>
      </c>
      <c r="P583" s="85">
        <f>STATS1003B!P582/1000</f>
        <v>0</v>
      </c>
      <c r="Q583" s="85">
        <f>STATS1003B!Q582/1000</f>
        <v>0</v>
      </c>
      <c r="R583" s="85">
        <f>STATS1003B!R582/1000</f>
        <v>0</v>
      </c>
      <c r="S583" s="85">
        <f>STATS1003B!S582/1000</f>
        <v>0</v>
      </c>
      <c r="T583" s="85">
        <f>STATS1003B!T582/1000</f>
        <v>0</v>
      </c>
      <c r="U583" s="85">
        <f>STATS1003B!U582/1000</f>
        <v>0</v>
      </c>
      <c r="V583" s="85">
        <f>STATS1003B!V582/1000</f>
        <v>300</v>
      </c>
      <c r="W583" s="85">
        <f>STATS1003B!W582/1000</f>
        <v>0</v>
      </c>
      <c r="X583" s="85">
        <f t="shared" si="75"/>
        <v>300</v>
      </c>
      <c r="Y583" s="85">
        <f>STATS1003B!Y582/1000</f>
        <v>0</v>
      </c>
      <c r="Z583" s="85">
        <f t="shared" si="62"/>
        <v>0</v>
      </c>
      <c r="AA583" s="69">
        <f>STATS1003B!AA582/1000</f>
        <v>300</v>
      </c>
      <c r="AB583" s="69">
        <f>STATS1003B!AB582/1000</f>
        <v>0</v>
      </c>
    </row>
    <row r="584" spans="1:28" hidden="1" x14ac:dyDescent="0.3">
      <c r="A584" s="117"/>
      <c r="C584" s="71" t="s">
        <v>930</v>
      </c>
      <c r="D584" s="89" t="s">
        <v>1126</v>
      </c>
      <c r="E584" s="85">
        <f>STATS1003B!E583/1000</f>
        <v>937.45222999999999</v>
      </c>
      <c r="F584" s="85">
        <f>STATS1003B!F583/1000</f>
        <v>937.45222999999999</v>
      </c>
      <c r="G584" s="85">
        <f>STATS1003B!G583/1000</f>
        <v>0</v>
      </c>
      <c r="H584" s="85">
        <f>STATS1003B!H583/1000</f>
        <v>937.45222999999999</v>
      </c>
      <c r="I584" s="85">
        <f>STATS1003B!I583/1000</f>
        <v>0</v>
      </c>
      <c r="J584" s="85">
        <f>STATS1003B!J583/1000</f>
        <v>0</v>
      </c>
      <c r="K584" s="85">
        <f>STATS1003B!K583/1000</f>
        <v>0</v>
      </c>
      <c r="L584" s="85">
        <f>STATS1003B!L583/1000</f>
        <v>0</v>
      </c>
      <c r="M584" s="85">
        <f>STATS1003B!M583/1000</f>
        <v>937.45222999999999</v>
      </c>
      <c r="N584" s="85">
        <f>STATS1003B!N583/1000</f>
        <v>0</v>
      </c>
      <c r="O584" s="85">
        <f>STATS1003B!O583/1000</f>
        <v>0</v>
      </c>
      <c r="P584" s="85">
        <f>STATS1003B!P583/1000</f>
        <v>0</v>
      </c>
      <c r="Q584" s="85">
        <f>STATS1003B!Q583/1000</f>
        <v>0</v>
      </c>
      <c r="R584" s="85">
        <f>STATS1003B!R583/1000</f>
        <v>0</v>
      </c>
      <c r="S584" s="85">
        <f>STATS1003B!S583/1000</f>
        <v>0</v>
      </c>
      <c r="T584" s="85">
        <f>STATS1003B!T583/1000</f>
        <v>0</v>
      </c>
      <c r="U584" s="85">
        <f>STATS1003B!U583/1000</f>
        <v>0</v>
      </c>
      <c r="V584" s="85">
        <f>STATS1003B!V583/1000</f>
        <v>0</v>
      </c>
      <c r="W584" s="85">
        <f>STATS1003B!W583/1000</f>
        <v>0</v>
      </c>
      <c r="X584" s="85">
        <f t="shared" si="75"/>
        <v>937.45222999999999</v>
      </c>
      <c r="Y584" s="85">
        <f>STATS1003B!Y583/1000</f>
        <v>0</v>
      </c>
      <c r="Z584" s="85">
        <f t="shared" si="62"/>
        <v>0</v>
      </c>
      <c r="AA584" s="69">
        <f>STATS1003B!AA583/1000</f>
        <v>937.45222999999999</v>
      </c>
      <c r="AB584" s="69">
        <f>STATS1003B!AB583/1000</f>
        <v>0</v>
      </c>
    </row>
    <row r="585" spans="1:28" hidden="1" x14ac:dyDescent="0.3">
      <c r="A585" s="117"/>
      <c r="C585" s="71" t="s">
        <v>1163</v>
      </c>
      <c r="D585" s="89" t="s">
        <v>1126</v>
      </c>
      <c r="E585" s="85">
        <f>STATS1003B!E584/1000</f>
        <v>400</v>
      </c>
      <c r="F585" s="85">
        <f>STATS1003B!F584/1000</f>
        <v>400</v>
      </c>
      <c r="G585" s="85">
        <f>STATS1003B!G584/1000</f>
        <v>0</v>
      </c>
      <c r="H585" s="85">
        <f>STATS1003B!H584/1000</f>
        <v>400</v>
      </c>
      <c r="I585" s="85">
        <f>STATS1003B!I584/1000</f>
        <v>0</v>
      </c>
      <c r="J585" s="85">
        <f>STATS1003B!J584/1000</f>
        <v>0</v>
      </c>
      <c r="K585" s="85">
        <f>STATS1003B!K584/1000</f>
        <v>0</v>
      </c>
      <c r="L585" s="85">
        <f>STATS1003B!L584/1000</f>
        <v>0</v>
      </c>
      <c r="M585" s="85">
        <f>STATS1003B!M584/1000</f>
        <v>400</v>
      </c>
      <c r="N585" s="85">
        <f>STATS1003B!N584/1000</f>
        <v>0</v>
      </c>
      <c r="O585" s="85">
        <f>STATS1003B!O584/1000</f>
        <v>0</v>
      </c>
      <c r="P585" s="85">
        <f>STATS1003B!P584/1000</f>
        <v>0</v>
      </c>
      <c r="Q585" s="85">
        <f>STATS1003B!Q584/1000</f>
        <v>0</v>
      </c>
      <c r="R585" s="85">
        <f>STATS1003B!R584/1000</f>
        <v>0</v>
      </c>
      <c r="S585" s="85">
        <f>STATS1003B!S584/1000</f>
        <v>0</v>
      </c>
      <c r="T585" s="85">
        <f>STATS1003B!T584/1000</f>
        <v>0</v>
      </c>
      <c r="U585" s="85">
        <f>STATS1003B!U584/1000</f>
        <v>0</v>
      </c>
      <c r="V585" s="85">
        <f>STATS1003B!V584/1000</f>
        <v>0</v>
      </c>
      <c r="W585" s="85">
        <f>STATS1003B!W584/1000</f>
        <v>0</v>
      </c>
      <c r="X585" s="85">
        <f t="shared" si="75"/>
        <v>400</v>
      </c>
      <c r="Y585" s="85">
        <f>STATS1003B!Y584/1000</f>
        <v>0</v>
      </c>
      <c r="Z585" s="85">
        <f t="shared" si="62"/>
        <v>0</v>
      </c>
      <c r="AA585" s="69">
        <f>STATS1003B!AA584/1000</f>
        <v>400</v>
      </c>
      <c r="AB585" s="69">
        <f>STATS1003B!AB584/1000</f>
        <v>0</v>
      </c>
    </row>
    <row r="586" spans="1:28" hidden="1" x14ac:dyDescent="0.3">
      <c r="A586" s="117"/>
      <c r="C586" s="71" t="s">
        <v>1192</v>
      </c>
      <c r="D586" s="89" t="s">
        <v>1126</v>
      </c>
      <c r="E586" s="85">
        <f>STATS1003B!E585/1000</f>
        <v>1885.1293500000002</v>
      </c>
      <c r="F586" s="85">
        <f>STATS1003B!F585/1000</f>
        <v>1885.1293500000002</v>
      </c>
      <c r="G586" s="85">
        <f>STATS1003B!G585/1000</f>
        <v>0</v>
      </c>
      <c r="H586" s="85">
        <f>STATS1003B!H585/1000</f>
        <v>1885.1293500000002</v>
      </c>
      <c r="I586" s="85">
        <f>STATS1003B!I585/1000</f>
        <v>0</v>
      </c>
      <c r="J586" s="85">
        <f>STATS1003B!J585/1000</f>
        <v>0</v>
      </c>
      <c r="K586" s="85">
        <f>STATS1003B!K585/1000</f>
        <v>0</v>
      </c>
      <c r="L586" s="85">
        <f>STATS1003B!L585/1000</f>
        <v>0</v>
      </c>
      <c r="M586" s="85">
        <f>STATS1003B!M585/1000</f>
        <v>1885.1293500000002</v>
      </c>
      <c r="N586" s="85">
        <f>STATS1003B!N585/1000</f>
        <v>0</v>
      </c>
      <c r="O586" s="85">
        <f>STATS1003B!O585/1000</f>
        <v>0</v>
      </c>
      <c r="P586" s="85">
        <f>STATS1003B!P585/1000</f>
        <v>0</v>
      </c>
      <c r="Q586" s="85">
        <f>STATS1003B!Q585/1000</f>
        <v>0</v>
      </c>
      <c r="R586" s="85">
        <f>STATS1003B!R585/1000</f>
        <v>0</v>
      </c>
      <c r="S586" s="85">
        <f>STATS1003B!S585/1000</f>
        <v>0</v>
      </c>
      <c r="T586" s="85">
        <f>STATS1003B!T585/1000</f>
        <v>0</v>
      </c>
      <c r="U586" s="85">
        <f>STATS1003B!U585/1000</f>
        <v>0</v>
      </c>
      <c r="V586" s="85">
        <f>STATS1003B!V585/1000</f>
        <v>0</v>
      </c>
      <c r="W586" s="85">
        <f>STATS1003B!W585/1000</f>
        <v>0</v>
      </c>
      <c r="X586" s="85">
        <f t="shared" si="75"/>
        <v>1885.1293500000002</v>
      </c>
      <c r="Y586" s="85">
        <f>STATS1003B!Y585/1000</f>
        <v>0</v>
      </c>
      <c r="Z586" s="85">
        <f t="shared" si="62"/>
        <v>0</v>
      </c>
      <c r="AA586" s="69">
        <f>STATS1003B!AA585/1000</f>
        <v>1885.1293500000002</v>
      </c>
      <c r="AB586" s="69">
        <f>STATS1003B!AB585/1000</f>
        <v>0</v>
      </c>
    </row>
    <row r="587" spans="1:28" hidden="1" x14ac:dyDescent="0.3">
      <c r="A587" s="117"/>
      <c r="C587" s="68" t="s">
        <v>57</v>
      </c>
      <c r="D587" s="89" t="s">
        <v>61</v>
      </c>
      <c r="E587" s="85">
        <f>STATS1003B!E586/1000</f>
        <v>1125.77746</v>
      </c>
      <c r="F587" s="85">
        <f>STATS1003B!F586/1000</f>
        <v>1125.77746</v>
      </c>
      <c r="G587" s="85">
        <f>STATS1003B!G586/1000</f>
        <v>0</v>
      </c>
      <c r="H587" s="85">
        <f>STATS1003B!H586/1000</f>
        <v>1125.77746</v>
      </c>
      <c r="I587" s="85">
        <f>STATS1003B!I586/1000</f>
        <v>0</v>
      </c>
      <c r="J587" s="85">
        <f>STATS1003B!J586/1000</f>
        <v>0</v>
      </c>
      <c r="K587" s="85">
        <f>STATS1003B!K586/1000</f>
        <v>0</v>
      </c>
      <c r="L587" s="85">
        <f>STATS1003B!L586/1000</f>
        <v>0</v>
      </c>
      <c r="M587" s="85">
        <f>STATS1003B!M586/1000</f>
        <v>1125.77746</v>
      </c>
      <c r="N587" s="85">
        <f>STATS1003B!N586/1000</f>
        <v>0</v>
      </c>
      <c r="O587" s="85">
        <f>STATS1003B!O586/1000</f>
        <v>0</v>
      </c>
      <c r="P587" s="85">
        <f>STATS1003B!P586/1000</f>
        <v>0</v>
      </c>
      <c r="Q587" s="85">
        <f>STATS1003B!Q586/1000</f>
        <v>0</v>
      </c>
      <c r="R587" s="85">
        <f>STATS1003B!R586/1000</f>
        <v>0</v>
      </c>
      <c r="S587" s="85">
        <f>STATS1003B!S586/1000</f>
        <v>0</v>
      </c>
      <c r="T587" s="85">
        <f>STATS1003B!T586/1000</f>
        <v>0</v>
      </c>
      <c r="U587" s="85">
        <f>STATS1003B!U586/1000</f>
        <v>0</v>
      </c>
      <c r="V587" s="85">
        <f>STATS1003B!V586/1000</f>
        <v>1125.77746</v>
      </c>
      <c r="W587" s="85">
        <f>STATS1003B!W586/1000</f>
        <v>0</v>
      </c>
      <c r="X587" s="85">
        <f t="shared" si="75"/>
        <v>1125.77746</v>
      </c>
      <c r="Y587" s="85">
        <f>STATS1003B!Y586/1000</f>
        <v>0</v>
      </c>
      <c r="Z587" s="85">
        <f t="shared" ref="Z587:Z625" si="76">+E587-X587</f>
        <v>0</v>
      </c>
      <c r="AA587" s="69">
        <f>STATS1003B!AA586/1000</f>
        <v>1125.77746</v>
      </c>
      <c r="AB587" s="69">
        <f>STATS1003B!AB586/1000</f>
        <v>0</v>
      </c>
    </row>
    <row r="588" spans="1:28" hidden="1" x14ac:dyDescent="0.3">
      <c r="A588" s="117"/>
      <c r="E588" s="86" t="s">
        <v>29</v>
      </c>
      <c r="F588" s="86" t="s">
        <v>29</v>
      </c>
      <c r="G588" s="86" t="s">
        <v>29</v>
      </c>
      <c r="H588" s="86" t="s">
        <v>29</v>
      </c>
      <c r="I588" s="86" t="s">
        <v>29</v>
      </c>
      <c r="J588" s="86" t="s">
        <v>29</v>
      </c>
      <c r="K588" s="86" t="s">
        <v>29</v>
      </c>
      <c r="L588" s="86" t="s">
        <v>29</v>
      </c>
      <c r="M588" s="86" t="s">
        <v>29</v>
      </c>
      <c r="N588" s="86" t="s">
        <v>29</v>
      </c>
      <c r="O588" s="86" t="s">
        <v>29</v>
      </c>
      <c r="P588" s="86" t="s">
        <v>29</v>
      </c>
      <c r="Q588" s="86" t="s">
        <v>29</v>
      </c>
      <c r="R588" s="86" t="s">
        <v>29</v>
      </c>
      <c r="S588" s="86" t="s">
        <v>29</v>
      </c>
      <c r="T588" s="86" t="s">
        <v>29</v>
      </c>
      <c r="U588" s="86" t="s">
        <v>29</v>
      </c>
      <c r="V588" s="86" t="s">
        <v>29</v>
      </c>
      <c r="W588" s="86" t="s">
        <v>29</v>
      </c>
      <c r="X588" s="85" t="e">
        <f t="shared" si="75"/>
        <v>#VALUE!</v>
      </c>
      <c r="Y588" s="86" t="s">
        <v>29</v>
      </c>
      <c r="Z588" s="85" t="e">
        <f t="shared" si="76"/>
        <v>#VALUE!</v>
      </c>
      <c r="AA588" s="115" t="s">
        <v>29</v>
      </c>
      <c r="AB588" s="115" t="s">
        <v>29</v>
      </c>
    </row>
    <row r="589" spans="1:28" x14ac:dyDescent="0.3">
      <c r="A589" s="116">
        <v>28</v>
      </c>
      <c r="B589" s="68" t="s">
        <v>186</v>
      </c>
      <c r="E589" s="85">
        <f>124001784.34/1000</f>
        <v>124001.78434</v>
      </c>
      <c r="F589" s="85">
        <f>SUM(F573:F587)</f>
        <v>40250.584089999997</v>
      </c>
      <c r="G589" s="85">
        <f>SUM(G573:G587)</f>
        <v>0</v>
      </c>
      <c r="H589" s="85">
        <f>112227547.4/1000</f>
        <v>112227.54740000001</v>
      </c>
      <c r="I589" s="85">
        <f t="shared" ref="I589:O589" si="77">SUM(I573:I587)</f>
        <v>0</v>
      </c>
      <c r="J589" s="85">
        <f t="shared" si="77"/>
        <v>0</v>
      </c>
      <c r="K589" s="85">
        <f t="shared" si="77"/>
        <v>0</v>
      </c>
      <c r="L589" s="85">
        <f t="shared" si="77"/>
        <v>0</v>
      </c>
      <c r="M589" s="85">
        <f t="shared" si="77"/>
        <v>40250.584089999997</v>
      </c>
      <c r="N589" s="85">
        <f t="shared" si="77"/>
        <v>11002.85333</v>
      </c>
      <c r="O589" s="85">
        <f t="shared" si="77"/>
        <v>0</v>
      </c>
      <c r="P589" s="85">
        <f>11002853/1000</f>
        <v>11002.852999999999</v>
      </c>
      <c r="Q589" s="85">
        <f t="shared" ref="Q589:W589" si="78">SUM(Q573:Q587)</f>
        <v>0</v>
      </c>
      <c r="R589" s="85">
        <f t="shared" si="78"/>
        <v>0</v>
      </c>
      <c r="S589" s="85">
        <f t="shared" si="78"/>
        <v>0</v>
      </c>
      <c r="T589" s="85">
        <f t="shared" si="78"/>
        <v>0</v>
      </c>
      <c r="U589" s="85">
        <f t="shared" si="78"/>
        <v>11002.85333</v>
      </c>
      <c r="V589" s="85">
        <f t="shared" si="78"/>
        <v>48030.855839999997</v>
      </c>
      <c r="W589" s="85">
        <f t="shared" si="78"/>
        <v>771.38360999999998</v>
      </c>
      <c r="X589" s="85">
        <f t="shared" si="75"/>
        <v>123230.40040000001</v>
      </c>
      <c r="Y589" s="85">
        <f>SUM(Y573:Y587)</f>
        <v>0</v>
      </c>
      <c r="Z589" s="85">
        <f t="shared" si="76"/>
        <v>771.38393999998516</v>
      </c>
      <c r="AA589" s="69">
        <f>SUM(AA573:AA587)</f>
        <v>51253.437420000002</v>
      </c>
      <c r="AB589" s="69">
        <f>SUM(AB573:AB587)</f>
        <v>771.38360999999998</v>
      </c>
    </row>
    <row r="590" spans="1:28" hidden="1" x14ac:dyDescent="0.3">
      <c r="A590" s="117"/>
      <c r="E590" s="86" t="s">
        <v>29</v>
      </c>
      <c r="F590" s="86" t="s">
        <v>29</v>
      </c>
      <c r="G590" s="86" t="s">
        <v>29</v>
      </c>
      <c r="H590" s="86" t="s">
        <v>29</v>
      </c>
      <c r="I590" s="86" t="s">
        <v>29</v>
      </c>
      <c r="J590" s="86" t="s">
        <v>29</v>
      </c>
      <c r="K590" s="86" t="s">
        <v>29</v>
      </c>
      <c r="L590" s="86" t="s">
        <v>29</v>
      </c>
      <c r="M590" s="86" t="s">
        <v>29</v>
      </c>
      <c r="N590" s="86" t="s">
        <v>29</v>
      </c>
      <c r="O590" s="86" t="s">
        <v>29</v>
      </c>
      <c r="P590" s="86" t="s">
        <v>29</v>
      </c>
      <c r="Q590" s="86" t="s">
        <v>29</v>
      </c>
      <c r="R590" s="86" t="s">
        <v>29</v>
      </c>
      <c r="S590" s="86" t="s">
        <v>29</v>
      </c>
      <c r="T590" s="86" t="s">
        <v>29</v>
      </c>
      <c r="U590" s="86" t="s">
        <v>29</v>
      </c>
      <c r="V590" s="86" t="s">
        <v>29</v>
      </c>
      <c r="W590" s="86" t="s">
        <v>29</v>
      </c>
      <c r="X590" s="85" t="e">
        <f t="shared" si="75"/>
        <v>#VALUE!</v>
      </c>
      <c r="Y590" s="86" t="s">
        <v>29</v>
      </c>
      <c r="Z590" s="85" t="e">
        <f t="shared" si="76"/>
        <v>#VALUE!</v>
      </c>
      <c r="AA590" s="115" t="s">
        <v>29</v>
      </c>
      <c r="AB590" s="115" t="s">
        <v>29</v>
      </c>
    </row>
    <row r="591" spans="1:28" hidden="1" x14ac:dyDescent="0.3">
      <c r="A591" s="105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5">
        <f t="shared" si="75"/>
        <v>0</v>
      </c>
      <c r="Y591" s="84"/>
      <c r="Z591" s="85">
        <f t="shared" si="76"/>
        <v>0</v>
      </c>
      <c r="AA591" s="118"/>
    </row>
    <row r="592" spans="1:28" hidden="1" x14ac:dyDescent="0.3">
      <c r="A592" s="117"/>
      <c r="C592" s="68" t="s">
        <v>75</v>
      </c>
      <c r="D592" s="88" t="s">
        <v>76</v>
      </c>
      <c r="E592" s="85">
        <f>STATS1003B!E591/1000</f>
        <v>1569</v>
      </c>
      <c r="F592" s="85">
        <f>STATS1003B!F591/1000</f>
        <v>0</v>
      </c>
      <c r="G592" s="85">
        <f>STATS1003B!G591/1000</f>
        <v>0</v>
      </c>
      <c r="H592" s="85">
        <f>STATS1003B!H591/1000</f>
        <v>0</v>
      </c>
      <c r="I592" s="85">
        <f>STATS1003B!I591/1000</f>
        <v>0</v>
      </c>
      <c r="J592" s="85">
        <f>STATS1003B!J591/1000</f>
        <v>0</v>
      </c>
      <c r="K592" s="85">
        <f>STATS1003B!K591/1000</f>
        <v>0</v>
      </c>
      <c r="L592" s="85">
        <f>STATS1003B!L591/1000</f>
        <v>0</v>
      </c>
      <c r="M592" s="85">
        <f>STATS1003B!M591/1000</f>
        <v>0</v>
      </c>
      <c r="N592" s="85">
        <f>STATS1003B!N591/1000</f>
        <v>998.39665000000002</v>
      </c>
      <c r="O592" s="85">
        <f>STATS1003B!O591/1000</f>
        <v>0</v>
      </c>
      <c r="P592" s="85">
        <f>STATS1003B!P591/1000</f>
        <v>998.39665000000002</v>
      </c>
      <c r="Q592" s="85">
        <f>STATS1003B!Q591/1000</f>
        <v>0</v>
      </c>
      <c r="R592" s="85">
        <f>STATS1003B!R591/1000</f>
        <v>0</v>
      </c>
      <c r="S592" s="85">
        <f>STATS1003B!S591/1000</f>
        <v>0</v>
      </c>
      <c r="T592" s="85">
        <f>STATS1003B!T591/1000</f>
        <v>0</v>
      </c>
      <c r="U592" s="85">
        <f>STATS1003B!U591/1000</f>
        <v>998.39665000000002</v>
      </c>
      <c r="V592" s="85">
        <f>STATS1003B!V591/1000</f>
        <v>998.39665000000002</v>
      </c>
      <c r="W592" s="85">
        <f>STATS1003B!W591/1000</f>
        <v>570.60334999999998</v>
      </c>
      <c r="X592" s="85">
        <f t="shared" si="75"/>
        <v>998.39665000000002</v>
      </c>
      <c r="Y592" s="85">
        <f>STATS1003B!Y591/1000</f>
        <v>0</v>
      </c>
      <c r="Z592" s="85">
        <f t="shared" si="76"/>
        <v>570.60334999999998</v>
      </c>
      <c r="AA592" s="69">
        <f>STATS1003B!AA591/1000</f>
        <v>998.39665000000002</v>
      </c>
      <c r="AB592" s="69">
        <f>STATS1003B!AB591/1000</f>
        <v>570.60334999999998</v>
      </c>
    </row>
    <row r="593" spans="1:28" hidden="1" x14ac:dyDescent="0.3">
      <c r="A593" s="117"/>
      <c r="C593" s="68" t="s">
        <v>149</v>
      </c>
      <c r="D593" s="88" t="s">
        <v>150</v>
      </c>
      <c r="E593" s="85">
        <f>STATS1003B!E592/1000</f>
        <v>3236.7550000000001</v>
      </c>
      <c r="F593" s="85">
        <f>STATS1003B!F592/1000</f>
        <v>2168.7214700000004</v>
      </c>
      <c r="G593" s="85">
        <f>STATS1003B!G592/1000</f>
        <v>0</v>
      </c>
      <c r="H593" s="85">
        <f>STATS1003B!H592/1000</f>
        <v>2168.7214700000004</v>
      </c>
      <c r="I593" s="85">
        <f>STATS1003B!I592/1000</f>
        <v>0</v>
      </c>
      <c r="J593" s="85">
        <f>STATS1003B!J592/1000</f>
        <v>0</v>
      </c>
      <c r="K593" s="85">
        <f>STATS1003B!K592/1000</f>
        <v>0</v>
      </c>
      <c r="L593" s="85">
        <f>STATS1003B!L592/1000</f>
        <v>0</v>
      </c>
      <c r="M593" s="85">
        <f>STATS1003B!M592/1000</f>
        <v>2168.7214700000004</v>
      </c>
      <c r="N593" s="85">
        <f>STATS1003B!N592/1000</f>
        <v>904.11999000000003</v>
      </c>
      <c r="O593" s="85">
        <f>STATS1003B!O592/1000</f>
        <v>0</v>
      </c>
      <c r="P593" s="85">
        <f>STATS1003B!P592/1000</f>
        <v>904.11999000000003</v>
      </c>
      <c r="Q593" s="85">
        <f>STATS1003B!Q592/1000</f>
        <v>0</v>
      </c>
      <c r="R593" s="85">
        <f>STATS1003B!R592/1000</f>
        <v>0</v>
      </c>
      <c r="S593" s="85">
        <f>STATS1003B!S592/1000</f>
        <v>0</v>
      </c>
      <c r="T593" s="85">
        <f>STATS1003B!T592/1000</f>
        <v>0</v>
      </c>
      <c r="U593" s="85">
        <f>STATS1003B!U592/1000</f>
        <v>904.11999000000003</v>
      </c>
      <c r="V593" s="85">
        <f>STATS1003B!V592/1000</f>
        <v>3072.8414600000001</v>
      </c>
      <c r="W593" s="85">
        <f>STATS1003B!W592/1000</f>
        <v>163.91354000000004</v>
      </c>
      <c r="X593" s="85">
        <f t="shared" si="75"/>
        <v>3072.8414600000006</v>
      </c>
      <c r="Y593" s="85">
        <f>STATS1003B!Y592/1000</f>
        <v>0</v>
      </c>
      <c r="Z593" s="85">
        <f t="shared" si="76"/>
        <v>163.91353999999956</v>
      </c>
      <c r="AA593" s="69">
        <f>STATS1003B!AA592/1000</f>
        <v>3072.8414600000001</v>
      </c>
      <c r="AB593" s="69">
        <f>STATS1003B!AB592/1000</f>
        <v>163.91354000000004</v>
      </c>
    </row>
    <row r="594" spans="1:28" hidden="1" x14ac:dyDescent="0.3">
      <c r="A594" s="117"/>
      <c r="C594" s="68" t="s">
        <v>151</v>
      </c>
      <c r="D594" s="88" t="s">
        <v>150</v>
      </c>
      <c r="E594" s="85">
        <f>STATS1003B!E593/1000</f>
        <v>174570.99476</v>
      </c>
      <c r="F594" s="85">
        <f>STATS1003B!F593/1000</f>
        <v>98849.889650000012</v>
      </c>
      <c r="G594" s="85">
        <f>STATS1003B!G593/1000</f>
        <v>0</v>
      </c>
      <c r="H594" s="85">
        <f>STATS1003B!H593/1000</f>
        <v>98849.889650000012</v>
      </c>
      <c r="I594" s="85">
        <f>STATS1003B!I593/1000</f>
        <v>0</v>
      </c>
      <c r="J594" s="85">
        <f>STATS1003B!J593/1000</f>
        <v>0</v>
      </c>
      <c r="K594" s="85">
        <f>STATS1003B!K593/1000</f>
        <v>0</v>
      </c>
      <c r="L594" s="85">
        <f>STATS1003B!L593/1000</f>
        <v>0</v>
      </c>
      <c r="M594" s="85">
        <f>STATS1003B!M593/1000</f>
        <v>98849.889650000012</v>
      </c>
      <c r="N594" s="85">
        <f>STATS1003B!N593/1000</f>
        <v>0</v>
      </c>
      <c r="O594" s="85">
        <f>STATS1003B!O593/1000</f>
        <v>0</v>
      </c>
      <c r="P594" s="85">
        <f>STATS1003B!P593/1000</f>
        <v>0</v>
      </c>
      <c r="Q594" s="85">
        <f>STATS1003B!Q593/1000</f>
        <v>0</v>
      </c>
      <c r="R594" s="85">
        <f>STATS1003B!R593/1000</f>
        <v>0</v>
      </c>
      <c r="S594" s="85">
        <f>STATS1003B!S593/1000</f>
        <v>0</v>
      </c>
      <c r="T594" s="85">
        <f>STATS1003B!T593/1000</f>
        <v>0</v>
      </c>
      <c r="U594" s="85">
        <f>STATS1003B!U593/1000</f>
        <v>0</v>
      </c>
      <c r="V594" s="85">
        <f>STATS1003B!V593/1000</f>
        <v>98849.889650000012</v>
      </c>
      <c r="W594" s="85">
        <f>STATS1003B!W593/1000</f>
        <v>75721.10510999999</v>
      </c>
      <c r="X594" s="85">
        <f t="shared" si="75"/>
        <v>98849.889650000012</v>
      </c>
      <c r="Y594" s="85">
        <f>STATS1003B!Y593/1000</f>
        <v>0</v>
      </c>
      <c r="Z594" s="85">
        <f t="shared" si="76"/>
        <v>75721.10510999999</v>
      </c>
      <c r="AA594" s="69">
        <f>STATS1003B!AA593/1000</f>
        <v>98849.889650000012</v>
      </c>
      <c r="AB594" s="69">
        <f>STATS1003B!AB593/1000</f>
        <v>75721.10510999999</v>
      </c>
    </row>
    <row r="595" spans="1:28" hidden="1" x14ac:dyDescent="0.3">
      <c r="A595" s="117"/>
      <c r="D595" s="145" t="s">
        <v>79</v>
      </c>
      <c r="E595" s="85">
        <f>STATS1003B!E594/1000</f>
        <v>0</v>
      </c>
      <c r="F595" s="85">
        <f>STATS1003B!F594/1000</f>
        <v>0</v>
      </c>
      <c r="G595" s="85">
        <f>STATS1003B!G594/1000</f>
        <v>0</v>
      </c>
      <c r="H595" s="85">
        <f>STATS1003B!H594/1000</f>
        <v>0</v>
      </c>
      <c r="I595" s="85">
        <f>STATS1003B!I594/1000</f>
        <v>0</v>
      </c>
      <c r="J595" s="85">
        <f>STATS1003B!J594/1000</f>
        <v>0</v>
      </c>
      <c r="K595" s="85">
        <f>STATS1003B!K594/1000</f>
        <v>0</v>
      </c>
      <c r="L595" s="85">
        <f>STATS1003B!L594/1000</f>
        <v>0</v>
      </c>
      <c r="M595" s="85">
        <f>STATS1003B!M594/1000</f>
        <v>0</v>
      </c>
      <c r="N595" s="85">
        <f>STATS1003B!N594/1000</f>
        <v>0</v>
      </c>
      <c r="O595" s="85">
        <f>STATS1003B!O594/1000</f>
        <v>0</v>
      </c>
      <c r="P595" s="85">
        <f>STATS1003B!P594/1000</f>
        <v>0</v>
      </c>
      <c r="Q595" s="85">
        <f>STATS1003B!Q594/1000</f>
        <v>0</v>
      </c>
      <c r="R595" s="85">
        <f>STATS1003B!R594/1000</f>
        <v>0</v>
      </c>
      <c r="S595" s="85">
        <f>STATS1003B!S594/1000</f>
        <v>0</v>
      </c>
      <c r="T595" s="85">
        <f>STATS1003B!T594/1000</f>
        <v>0</v>
      </c>
      <c r="U595" s="85">
        <f>STATS1003B!U594/1000</f>
        <v>0</v>
      </c>
      <c r="V595" s="85">
        <f>STATS1003B!V594/1000</f>
        <v>0</v>
      </c>
      <c r="W595" s="85">
        <f>STATS1003B!W594/1000</f>
        <v>0</v>
      </c>
      <c r="X595" s="85">
        <f t="shared" si="75"/>
        <v>0</v>
      </c>
      <c r="Y595" s="85">
        <f>STATS1003B!Y594/1000</f>
        <v>0</v>
      </c>
      <c r="Z595" s="85">
        <f t="shared" si="76"/>
        <v>0</v>
      </c>
      <c r="AA595" s="69">
        <f>STATS1003B!AA594/1000</f>
        <v>0</v>
      </c>
      <c r="AB595" s="69">
        <f>STATS1003B!AB594/1000</f>
        <v>0</v>
      </c>
    </row>
    <row r="596" spans="1:28" hidden="1" x14ac:dyDescent="0.3">
      <c r="A596" s="117"/>
      <c r="C596" s="68" t="s">
        <v>57</v>
      </c>
      <c r="D596" s="71" t="s">
        <v>191</v>
      </c>
      <c r="E596" s="85">
        <f>STATS1003B!E595/1000</f>
        <v>4005.9220999999998</v>
      </c>
      <c r="F596" s="85">
        <f>STATS1003B!F595/1000</f>
        <v>3555.6979000000001</v>
      </c>
      <c r="G596" s="85">
        <f>STATS1003B!G595/1000</f>
        <v>0</v>
      </c>
      <c r="H596" s="85">
        <f>STATS1003B!H595/1000</f>
        <v>3555.6979000000001</v>
      </c>
      <c r="I596" s="85">
        <f>STATS1003B!I595/1000</f>
        <v>0</v>
      </c>
      <c r="J596" s="85">
        <f>STATS1003B!J595/1000</f>
        <v>0</v>
      </c>
      <c r="K596" s="85">
        <f>STATS1003B!K595/1000</f>
        <v>0</v>
      </c>
      <c r="L596" s="85">
        <f>STATS1003B!L595/1000</f>
        <v>0</v>
      </c>
      <c r="M596" s="85">
        <f>STATS1003B!M595/1000</f>
        <v>3555.6979000000001</v>
      </c>
      <c r="N596" s="85">
        <f>STATS1003B!N595/1000</f>
        <v>450.2242</v>
      </c>
      <c r="O596" s="85">
        <f>STATS1003B!O595/1000</f>
        <v>0</v>
      </c>
      <c r="P596" s="85">
        <f>STATS1003B!P595/1000</f>
        <v>450.2242</v>
      </c>
      <c r="Q596" s="85">
        <f>STATS1003B!Q595/1000</f>
        <v>0</v>
      </c>
      <c r="R596" s="85">
        <f>STATS1003B!R595/1000</f>
        <v>0</v>
      </c>
      <c r="S596" s="85">
        <f>STATS1003B!S595/1000</f>
        <v>0</v>
      </c>
      <c r="T596" s="85">
        <f>STATS1003B!T595/1000</f>
        <v>0</v>
      </c>
      <c r="U596" s="85">
        <f>STATS1003B!U595/1000</f>
        <v>450.2242</v>
      </c>
      <c r="V596" s="85">
        <f>STATS1003B!V595/1000</f>
        <v>4005.9221000000002</v>
      </c>
      <c r="W596" s="85">
        <f>STATS1003B!W595/1000</f>
        <v>0</v>
      </c>
      <c r="X596" s="85">
        <f t="shared" si="75"/>
        <v>4005.9221000000002</v>
      </c>
      <c r="Y596" s="85">
        <f>STATS1003B!Y595/1000</f>
        <v>0</v>
      </c>
      <c r="Z596" s="85">
        <f t="shared" si="76"/>
        <v>0</v>
      </c>
      <c r="AA596" s="69">
        <f>STATS1003B!AA595/1000</f>
        <v>4005.9221000000002</v>
      </c>
      <c r="AB596" s="69">
        <f>STATS1003B!AB595/1000</f>
        <v>0</v>
      </c>
    </row>
    <row r="597" spans="1:28" hidden="1" x14ac:dyDescent="0.3">
      <c r="A597" s="117"/>
      <c r="C597" s="68" t="s">
        <v>53</v>
      </c>
      <c r="D597" s="145" t="s">
        <v>68</v>
      </c>
      <c r="E597" s="85">
        <f>STATS1003B!E596/1000</f>
        <v>1953.989</v>
      </c>
      <c r="F597" s="85">
        <f>STATS1003B!F596/1000</f>
        <v>0</v>
      </c>
      <c r="G597" s="85">
        <f>STATS1003B!G596/1000</f>
        <v>0</v>
      </c>
      <c r="H597" s="85">
        <f>STATS1003B!H596/1000</f>
        <v>0</v>
      </c>
      <c r="I597" s="85">
        <f>STATS1003B!I596/1000</f>
        <v>0</v>
      </c>
      <c r="J597" s="85">
        <f>STATS1003B!J596/1000</f>
        <v>0</v>
      </c>
      <c r="K597" s="85">
        <f>STATS1003B!K596/1000</f>
        <v>0</v>
      </c>
      <c r="L597" s="85">
        <f>STATS1003B!L596/1000</f>
        <v>0</v>
      </c>
      <c r="M597" s="85">
        <f>STATS1003B!M596/1000</f>
        <v>0</v>
      </c>
      <c r="N597" s="85">
        <f>STATS1003B!N596/1000</f>
        <v>1953.989</v>
      </c>
      <c r="O597" s="85">
        <f>STATS1003B!O596/1000</f>
        <v>0</v>
      </c>
      <c r="P597" s="85">
        <f>STATS1003B!P596/1000</f>
        <v>1953.989</v>
      </c>
      <c r="Q597" s="85">
        <f>STATS1003B!Q596/1000</f>
        <v>0</v>
      </c>
      <c r="R597" s="85">
        <f>STATS1003B!R596/1000</f>
        <v>0</v>
      </c>
      <c r="S597" s="85">
        <f>STATS1003B!S596/1000</f>
        <v>0</v>
      </c>
      <c r="T597" s="85">
        <f>STATS1003B!T596/1000</f>
        <v>0</v>
      </c>
      <c r="U597" s="85">
        <f>STATS1003B!U596/1000</f>
        <v>1953.989</v>
      </c>
      <c r="V597" s="85">
        <f>STATS1003B!V596/1000</f>
        <v>1953.989</v>
      </c>
      <c r="W597" s="85">
        <f>STATS1003B!W596/1000</f>
        <v>0</v>
      </c>
      <c r="X597" s="85">
        <f t="shared" si="75"/>
        <v>1953.989</v>
      </c>
      <c r="Y597" s="85">
        <f>STATS1003B!Y596/1000</f>
        <v>0</v>
      </c>
      <c r="Z597" s="85">
        <f t="shared" si="76"/>
        <v>0</v>
      </c>
      <c r="AA597" s="69">
        <f>STATS1003B!AA596/1000</f>
        <v>1953.989</v>
      </c>
      <c r="AB597" s="69">
        <f>STATS1003B!AB596/1000</f>
        <v>0</v>
      </c>
    </row>
    <row r="598" spans="1:28" hidden="1" x14ac:dyDescent="0.3">
      <c r="A598" s="117"/>
      <c r="C598" s="68" t="s">
        <v>55</v>
      </c>
      <c r="D598" s="145" t="s">
        <v>54</v>
      </c>
      <c r="E598" s="85">
        <f>STATS1003B!E597/1000</f>
        <v>196.1199</v>
      </c>
      <c r="F598" s="85">
        <f>STATS1003B!F597/1000</f>
        <v>0</v>
      </c>
      <c r="G598" s="85">
        <f>STATS1003B!G597/1000</f>
        <v>0</v>
      </c>
      <c r="H598" s="85">
        <f>STATS1003B!H597/1000</f>
        <v>0</v>
      </c>
      <c r="I598" s="85">
        <f>STATS1003B!I597/1000</f>
        <v>0</v>
      </c>
      <c r="J598" s="85">
        <f>STATS1003B!J597/1000</f>
        <v>0</v>
      </c>
      <c r="K598" s="85">
        <f>STATS1003B!K597/1000</f>
        <v>0</v>
      </c>
      <c r="L598" s="85">
        <f>STATS1003B!L597/1000</f>
        <v>0</v>
      </c>
      <c r="M598" s="85">
        <f>STATS1003B!M597/1000</f>
        <v>0</v>
      </c>
      <c r="N598" s="85">
        <f>STATS1003B!N597/1000</f>
        <v>196.1199</v>
      </c>
      <c r="O598" s="85">
        <f>STATS1003B!O597/1000</f>
        <v>0</v>
      </c>
      <c r="P598" s="85">
        <f>STATS1003B!P597/1000</f>
        <v>196.1199</v>
      </c>
      <c r="Q598" s="85">
        <f>STATS1003B!Q597/1000</f>
        <v>0</v>
      </c>
      <c r="R598" s="85">
        <f>STATS1003B!R597/1000</f>
        <v>0</v>
      </c>
      <c r="S598" s="85">
        <f>STATS1003B!S597/1000</f>
        <v>0</v>
      </c>
      <c r="T598" s="85">
        <f>STATS1003B!T597/1000</f>
        <v>0</v>
      </c>
      <c r="U598" s="85">
        <f>STATS1003B!U597/1000</f>
        <v>196.1199</v>
      </c>
      <c r="V598" s="85">
        <f>STATS1003B!V597/1000</f>
        <v>196.1199</v>
      </c>
      <c r="W598" s="85">
        <f>STATS1003B!W597/1000</f>
        <v>0</v>
      </c>
      <c r="X598" s="85">
        <f t="shared" si="75"/>
        <v>196.1199</v>
      </c>
      <c r="Y598" s="85">
        <f>STATS1003B!Y597/1000</f>
        <v>0</v>
      </c>
      <c r="Z598" s="85">
        <f t="shared" si="76"/>
        <v>0</v>
      </c>
      <c r="AA598" s="69">
        <f>STATS1003B!AA597/1000</f>
        <v>196.1199</v>
      </c>
      <c r="AB598" s="69">
        <f>STATS1003B!AB597/1000</f>
        <v>0</v>
      </c>
    </row>
    <row r="599" spans="1:28" hidden="1" x14ac:dyDescent="0.3">
      <c r="A599" s="117"/>
      <c r="C599" s="68" t="s">
        <v>192</v>
      </c>
      <c r="D599" s="145" t="s">
        <v>54</v>
      </c>
      <c r="E599" s="85">
        <f>STATS1003B!E598/1000</f>
        <v>955.34561999999994</v>
      </c>
      <c r="F599" s="85">
        <f>STATS1003B!F598/1000</f>
        <v>0</v>
      </c>
      <c r="G599" s="85">
        <f>STATS1003B!G598/1000</f>
        <v>0</v>
      </c>
      <c r="H599" s="85">
        <f>STATS1003B!H598/1000</f>
        <v>0</v>
      </c>
      <c r="I599" s="85">
        <f>STATS1003B!I598/1000</f>
        <v>0</v>
      </c>
      <c r="J599" s="85">
        <f>STATS1003B!J598/1000</f>
        <v>0</v>
      </c>
      <c r="K599" s="85">
        <f>STATS1003B!K598/1000</f>
        <v>0</v>
      </c>
      <c r="L599" s="85">
        <f>STATS1003B!L598/1000</f>
        <v>0</v>
      </c>
      <c r="M599" s="85">
        <f>STATS1003B!M598/1000</f>
        <v>0</v>
      </c>
      <c r="N599" s="85">
        <f>STATS1003B!N598/1000</f>
        <v>955.34561999999994</v>
      </c>
      <c r="O599" s="85">
        <f>STATS1003B!O598/1000</f>
        <v>0</v>
      </c>
      <c r="P599" s="85">
        <f>STATS1003B!P598/1000</f>
        <v>955.34561999999994</v>
      </c>
      <c r="Q599" s="85">
        <f>STATS1003B!Q598/1000</f>
        <v>0</v>
      </c>
      <c r="R599" s="85">
        <f>STATS1003B!R598/1000</f>
        <v>0</v>
      </c>
      <c r="S599" s="85">
        <f>STATS1003B!S598/1000</f>
        <v>0</v>
      </c>
      <c r="T599" s="85">
        <f>STATS1003B!T598/1000</f>
        <v>0</v>
      </c>
      <c r="U599" s="85">
        <f>STATS1003B!U598/1000</f>
        <v>955.34561999999994</v>
      </c>
      <c r="V599" s="85">
        <f>STATS1003B!V598/1000</f>
        <v>955.34561999999994</v>
      </c>
      <c r="W599" s="85">
        <f>STATS1003B!W598/1000</f>
        <v>0</v>
      </c>
      <c r="X599" s="85">
        <f t="shared" si="75"/>
        <v>955.34561999999994</v>
      </c>
      <c r="Y599" s="85">
        <f>STATS1003B!Y598/1000</f>
        <v>0</v>
      </c>
      <c r="Z599" s="85">
        <f t="shared" si="76"/>
        <v>0</v>
      </c>
      <c r="AA599" s="69">
        <f>STATS1003B!AA598/1000</f>
        <v>955.34561999999994</v>
      </c>
      <c r="AB599" s="69">
        <f>STATS1003B!AB598/1000</f>
        <v>0</v>
      </c>
    </row>
    <row r="600" spans="1:28" hidden="1" x14ac:dyDescent="0.3">
      <c r="A600" s="117"/>
      <c r="C600" s="68" t="s">
        <v>106</v>
      </c>
      <c r="D600" s="145" t="s">
        <v>85</v>
      </c>
      <c r="E600" s="85">
        <f>STATS1003B!E599/1000</f>
        <v>160</v>
      </c>
      <c r="F600" s="85">
        <f>STATS1003B!F599/1000</f>
        <v>160</v>
      </c>
      <c r="G600" s="85">
        <f>STATS1003B!G599/1000</f>
        <v>0</v>
      </c>
      <c r="H600" s="85">
        <f>STATS1003B!H599/1000</f>
        <v>160</v>
      </c>
      <c r="I600" s="85">
        <f>STATS1003B!I599/1000</f>
        <v>0</v>
      </c>
      <c r="J600" s="85">
        <f>STATS1003B!J599/1000</f>
        <v>0</v>
      </c>
      <c r="K600" s="85">
        <f>STATS1003B!K599/1000</f>
        <v>0</v>
      </c>
      <c r="L600" s="85">
        <f>STATS1003B!L599/1000</f>
        <v>0</v>
      </c>
      <c r="M600" s="85">
        <f>STATS1003B!M599/1000</f>
        <v>160</v>
      </c>
      <c r="N600" s="85">
        <f>STATS1003B!N599/1000</f>
        <v>0</v>
      </c>
      <c r="O600" s="85">
        <f>STATS1003B!O599/1000</f>
        <v>0</v>
      </c>
      <c r="P600" s="85">
        <f>STATS1003B!P599/1000</f>
        <v>0</v>
      </c>
      <c r="Q600" s="85">
        <f>STATS1003B!Q599/1000</f>
        <v>0</v>
      </c>
      <c r="R600" s="85">
        <f>STATS1003B!R599/1000</f>
        <v>0</v>
      </c>
      <c r="S600" s="85">
        <f>STATS1003B!S599/1000</f>
        <v>0</v>
      </c>
      <c r="T600" s="85">
        <f>STATS1003B!T599/1000</f>
        <v>0</v>
      </c>
      <c r="U600" s="85">
        <f>STATS1003B!U599/1000</f>
        <v>0</v>
      </c>
      <c r="V600" s="85">
        <f>STATS1003B!V599/1000</f>
        <v>160</v>
      </c>
      <c r="W600" s="85">
        <f>STATS1003B!W599/1000</f>
        <v>0</v>
      </c>
      <c r="X600" s="85">
        <f t="shared" si="75"/>
        <v>160</v>
      </c>
      <c r="Y600" s="85">
        <f>STATS1003B!Y599/1000</f>
        <v>0</v>
      </c>
      <c r="Z600" s="85">
        <f t="shared" si="76"/>
        <v>0</v>
      </c>
      <c r="AA600" s="69">
        <f>STATS1003B!AA599/1000</f>
        <v>160</v>
      </c>
      <c r="AB600" s="69">
        <f>STATS1003B!AB599/1000</f>
        <v>0</v>
      </c>
    </row>
    <row r="601" spans="1:28" hidden="1" x14ac:dyDescent="0.3">
      <c r="A601" s="117"/>
      <c r="C601" s="68" t="s">
        <v>57</v>
      </c>
      <c r="D601" s="145" t="s">
        <v>60</v>
      </c>
      <c r="E601" s="85">
        <f>STATS1003B!E600/1000</f>
        <v>2000</v>
      </c>
      <c r="F601" s="85">
        <f>STATS1003B!F600/1000</f>
        <v>2000</v>
      </c>
      <c r="G601" s="85">
        <f>STATS1003B!G600/1000</f>
        <v>0</v>
      </c>
      <c r="H601" s="85">
        <f>STATS1003B!H600/1000</f>
        <v>2000</v>
      </c>
      <c r="I601" s="85">
        <f>STATS1003B!I600/1000</f>
        <v>0</v>
      </c>
      <c r="J601" s="85">
        <f>STATS1003B!J600/1000</f>
        <v>0</v>
      </c>
      <c r="K601" s="85">
        <f>STATS1003B!K600/1000</f>
        <v>0</v>
      </c>
      <c r="L601" s="85">
        <f>STATS1003B!L600/1000</f>
        <v>0</v>
      </c>
      <c r="M601" s="85">
        <f>STATS1003B!M600/1000</f>
        <v>2000</v>
      </c>
      <c r="N601" s="85">
        <f>STATS1003B!N600/1000</f>
        <v>0</v>
      </c>
      <c r="O601" s="85">
        <f>STATS1003B!O600/1000</f>
        <v>0</v>
      </c>
      <c r="P601" s="85">
        <f>STATS1003B!P600/1000</f>
        <v>0</v>
      </c>
      <c r="Q601" s="85">
        <f>STATS1003B!Q600/1000</f>
        <v>0</v>
      </c>
      <c r="R601" s="85">
        <f>STATS1003B!R600/1000</f>
        <v>0</v>
      </c>
      <c r="S601" s="85">
        <f>STATS1003B!S600/1000</f>
        <v>0</v>
      </c>
      <c r="T601" s="85">
        <f>STATS1003B!T600/1000</f>
        <v>0</v>
      </c>
      <c r="U601" s="85">
        <f>STATS1003B!U600/1000</f>
        <v>0</v>
      </c>
      <c r="V601" s="85">
        <f>STATS1003B!V600/1000</f>
        <v>2000</v>
      </c>
      <c r="W601" s="85">
        <f>STATS1003B!W600/1000</f>
        <v>0</v>
      </c>
      <c r="X601" s="85">
        <f t="shared" si="75"/>
        <v>2000</v>
      </c>
      <c r="Y601" s="85">
        <f>STATS1003B!Y600/1000</f>
        <v>0</v>
      </c>
      <c r="Z601" s="85">
        <f t="shared" si="76"/>
        <v>0</v>
      </c>
      <c r="AA601" s="69">
        <f>STATS1003B!AA600/1000</f>
        <v>2000</v>
      </c>
      <c r="AB601" s="69">
        <f>STATS1003B!AB600/1000</f>
        <v>0</v>
      </c>
    </row>
    <row r="602" spans="1:28" hidden="1" x14ac:dyDescent="0.3">
      <c r="A602" s="117"/>
      <c r="C602" s="71" t="s">
        <v>109</v>
      </c>
      <c r="D602" s="88" t="s">
        <v>60</v>
      </c>
      <c r="E602" s="85">
        <f>STATS1003B!E601/1000</f>
        <v>2500</v>
      </c>
      <c r="F602" s="85">
        <f>STATS1003B!F601/1000</f>
        <v>2500</v>
      </c>
      <c r="G602" s="85">
        <f>STATS1003B!G601/1000</f>
        <v>0</v>
      </c>
      <c r="H602" s="85">
        <f>STATS1003B!H601/1000</f>
        <v>2500</v>
      </c>
      <c r="I602" s="85">
        <f>STATS1003B!I601/1000</f>
        <v>0</v>
      </c>
      <c r="J602" s="85">
        <f>STATS1003B!J601/1000</f>
        <v>0</v>
      </c>
      <c r="K602" s="85">
        <f>STATS1003B!K601/1000</f>
        <v>0</v>
      </c>
      <c r="L602" s="85">
        <f>STATS1003B!L601/1000</f>
        <v>0</v>
      </c>
      <c r="M602" s="85">
        <f>STATS1003B!M601/1000</f>
        <v>2500</v>
      </c>
      <c r="N602" s="85">
        <f>STATS1003B!N601/1000</f>
        <v>0</v>
      </c>
      <c r="O602" s="85">
        <f>STATS1003B!O601/1000</f>
        <v>0</v>
      </c>
      <c r="P602" s="85">
        <f>STATS1003B!P601/1000</f>
        <v>0</v>
      </c>
      <c r="Q602" s="85">
        <f>STATS1003B!Q601/1000</f>
        <v>0</v>
      </c>
      <c r="R602" s="85">
        <f>STATS1003B!R601/1000</f>
        <v>0</v>
      </c>
      <c r="S602" s="85">
        <f>STATS1003B!S601/1000</f>
        <v>0</v>
      </c>
      <c r="T602" s="85">
        <f>STATS1003B!T601/1000</f>
        <v>0</v>
      </c>
      <c r="U602" s="85">
        <f>STATS1003B!U601/1000</f>
        <v>0</v>
      </c>
      <c r="V602" s="85">
        <f>STATS1003B!V601/1000</f>
        <v>2500</v>
      </c>
      <c r="W602" s="85">
        <f>STATS1003B!W601/1000</f>
        <v>0</v>
      </c>
      <c r="X602" s="85">
        <f t="shared" si="75"/>
        <v>2500</v>
      </c>
      <c r="Y602" s="85">
        <f>STATS1003B!Y601/1000</f>
        <v>0</v>
      </c>
      <c r="Z602" s="85">
        <f t="shared" si="76"/>
        <v>0</v>
      </c>
      <c r="AA602" s="69">
        <f>STATS1003B!AA601/1000</f>
        <v>2500</v>
      </c>
      <c r="AB602" s="69">
        <f>STATS1003B!AB601/1000</f>
        <v>0</v>
      </c>
    </row>
    <row r="603" spans="1:28" hidden="1" x14ac:dyDescent="0.3">
      <c r="A603" s="117"/>
      <c r="C603" s="71" t="s">
        <v>1135</v>
      </c>
      <c r="D603" s="89" t="s">
        <v>1126</v>
      </c>
      <c r="E603" s="85">
        <f>STATS1003B!E602/1000</f>
        <v>300</v>
      </c>
      <c r="F603" s="85">
        <f>STATS1003B!F602/1000</f>
        <v>300</v>
      </c>
      <c r="G603" s="85">
        <f>STATS1003B!G602/1000</f>
        <v>0</v>
      </c>
      <c r="H603" s="85">
        <f>STATS1003B!H602/1000</f>
        <v>300</v>
      </c>
      <c r="I603" s="85">
        <f>STATS1003B!I602/1000</f>
        <v>0</v>
      </c>
      <c r="J603" s="85">
        <f>STATS1003B!J602/1000</f>
        <v>0</v>
      </c>
      <c r="K603" s="85">
        <f>STATS1003B!K602/1000</f>
        <v>0</v>
      </c>
      <c r="L603" s="85">
        <f>STATS1003B!L602/1000</f>
        <v>0</v>
      </c>
      <c r="M603" s="85">
        <f>STATS1003B!M602/1000</f>
        <v>300</v>
      </c>
      <c r="N603" s="85">
        <f>STATS1003B!N602/1000</f>
        <v>0</v>
      </c>
      <c r="O603" s="85">
        <f>STATS1003B!O602/1000</f>
        <v>0</v>
      </c>
      <c r="P603" s="85">
        <f>STATS1003B!P602/1000</f>
        <v>0</v>
      </c>
      <c r="Q603" s="85">
        <f>STATS1003B!Q602/1000</f>
        <v>0</v>
      </c>
      <c r="R603" s="85">
        <f>STATS1003B!R602/1000</f>
        <v>0</v>
      </c>
      <c r="S603" s="85">
        <f>STATS1003B!S602/1000</f>
        <v>0</v>
      </c>
      <c r="T603" s="85">
        <f>STATS1003B!T602/1000</f>
        <v>0</v>
      </c>
      <c r="U603" s="85">
        <f>STATS1003B!U602/1000</f>
        <v>0</v>
      </c>
      <c r="V603" s="85">
        <f>STATS1003B!V602/1000</f>
        <v>300</v>
      </c>
      <c r="W603" s="85">
        <f>STATS1003B!W602/1000</f>
        <v>0</v>
      </c>
      <c r="X603" s="85">
        <f t="shared" si="75"/>
        <v>300</v>
      </c>
      <c r="Y603" s="85">
        <f>STATS1003B!Y602/1000</f>
        <v>0</v>
      </c>
      <c r="Z603" s="85">
        <f t="shared" si="76"/>
        <v>0</v>
      </c>
      <c r="AA603" s="69">
        <f>STATS1003B!AA602/1000</f>
        <v>300</v>
      </c>
      <c r="AB603" s="69">
        <f>STATS1003B!AB602/1000</f>
        <v>0</v>
      </c>
    </row>
    <row r="604" spans="1:28" hidden="1" x14ac:dyDescent="0.3">
      <c r="A604" s="117"/>
      <c r="C604" s="71" t="s">
        <v>930</v>
      </c>
      <c r="D604" s="88"/>
      <c r="E604" s="85">
        <f>STATS1003B!E603/1000</f>
        <v>855.56915000000004</v>
      </c>
      <c r="F604" s="85">
        <f>STATS1003B!F603/1000</f>
        <v>838.75401999999997</v>
      </c>
      <c r="G604" s="85">
        <f>STATS1003B!G603/1000</f>
        <v>0</v>
      </c>
      <c r="H604" s="85">
        <f>STATS1003B!H603/1000</f>
        <v>838.75401999999997</v>
      </c>
      <c r="I604" s="85">
        <f>STATS1003B!I603/1000</f>
        <v>0</v>
      </c>
      <c r="J604" s="85">
        <f>STATS1003B!J603/1000</f>
        <v>0</v>
      </c>
      <c r="K604" s="85">
        <f>STATS1003B!K603/1000</f>
        <v>0</v>
      </c>
      <c r="L604" s="85">
        <f>STATS1003B!L603/1000</f>
        <v>0</v>
      </c>
      <c r="M604" s="85">
        <f>STATS1003B!M603/1000</f>
        <v>838.75401999999997</v>
      </c>
      <c r="N604" s="85">
        <f>STATS1003B!N603/1000</f>
        <v>16.81513</v>
      </c>
      <c r="O604" s="85">
        <f>STATS1003B!O603/1000</f>
        <v>0</v>
      </c>
      <c r="P604" s="85">
        <f>STATS1003B!P603/1000</f>
        <v>16.81513</v>
      </c>
      <c r="Q604" s="85">
        <f>STATS1003B!Q603/1000</f>
        <v>0</v>
      </c>
      <c r="R604" s="85">
        <f>STATS1003B!R603/1000</f>
        <v>0</v>
      </c>
      <c r="S604" s="85">
        <f>STATS1003B!S603/1000</f>
        <v>0</v>
      </c>
      <c r="T604" s="85">
        <f>STATS1003B!T603/1000</f>
        <v>0</v>
      </c>
      <c r="U604" s="85">
        <f>STATS1003B!U603/1000</f>
        <v>16.81513</v>
      </c>
      <c r="V604" s="85">
        <f>STATS1003B!V603/1000</f>
        <v>855.56915000000004</v>
      </c>
      <c r="W604" s="85">
        <f>STATS1003B!W603/1000</f>
        <v>0</v>
      </c>
      <c r="X604" s="85">
        <f t="shared" si="75"/>
        <v>855.56914999999992</v>
      </c>
      <c r="Y604" s="85">
        <f>STATS1003B!Y603/1000</f>
        <v>0</v>
      </c>
      <c r="Z604" s="85">
        <f t="shared" si="76"/>
        <v>0</v>
      </c>
      <c r="AA604" s="69">
        <f>STATS1003B!AA603/1000</f>
        <v>855.56915000000004</v>
      </c>
      <c r="AB604" s="69">
        <f>STATS1003B!AB603/1000</f>
        <v>0</v>
      </c>
    </row>
    <row r="605" spans="1:28" hidden="1" x14ac:dyDescent="0.3">
      <c r="A605" s="117"/>
      <c r="C605" s="68" t="s">
        <v>193</v>
      </c>
      <c r="D605" s="145" t="s">
        <v>194</v>
      </c>
      <c r="E605" s="85">
        <f>STATS1003B!E604/1000</f>
        <v>4579</v>
      </c>
      <c r="F605" s="85">
        <f>STATS1003B!F604/1000</f>
        <v>4579</v>
      </c>
      <c r="G605" s="85">
        <f>STATS1003B!G604/1000</f>
        <v>0</v>
      </c>
      <c r="H605" s="85">
        <f>STATS1003B!H604/1000</f>
        <v>4579</v>
      </c>
      <c r="I605" s="85">
        <f>STATS1003B!I604/1000</f>
        <v>0</v>
      </c>
      <c r="J605" s="85">
        <f>STATS1003B!J604/1000</f>
        <v>0</v>
      </c>
      <c r="K605" s="85">
        <f>STATS1003B!K604/1000</f>
        <v>0</v>
      </c>
      <c r="L605" s="85">
        <f>STATS1003B!L604/1000</f>
        <v>0</v>
      </c>
      <c r="M605" s="85">
        <f>STATS1003B!M604/1000</f>
        <v>4579</v>
      </c>
      <c r="N605" s="85">
        <f>STATS1003B!N604/1000</f>
        <v>0</v>
      </c>
      <c r="O605" s="85">
        <f>STATS1003B!O604/1000</f>
        <v>0</v>
      </c>
      <c r="P605" s="85">
        <f>STATS1003B!P604/1000</f>
        <v>0</v>
      </c>
      <c r="Q605" s="85">
        <f>STATS1003B!Q604/1000</f>
        <v>0</v>
      </c>
      <c r="R605" s="85">
        <f>STATS1003B!R604/1000</f>
        <v>0</v>
      </c>
      <c r="S605" s="85">
        <f>STATS1003B!S604/1000</f>
        <v>0</v>
      </c>
      <c r="T605" s="85">
        <f>STATS1003B!T604/1000</f>
        <v>0</v>
      </c>
      <c r="U605" s="85">
        <f>STATS1003B!U604/1000</f>
        <v>0</v>
      </c>
      <c r="V605" s="85">
        <f>STATS1003B!V604/1000</f>
        <v>4579</v>
      </c>
      <c r="W605" s="85">
        <f>STATS1003B!W604/1000</f>
        <v>0</v>
      </c>
      <c r="X605" s="85">
        <f t="shared" si="75"/>
        <v>4579</v>
      </c>
      <c r="Y605" s="85">
        <f>STATS1003B!Y604/1000</f>
        <v>0</v>
      </c>
      <c r="Z605" s="85">
        <f t="shared" si="76"/>
        <v>0</v>
      </c>
      <c r="AA605" s="69">
        <f>STATS1003B!AA604/1000</f>
        <v>4579</v>
      </c>
      <c r="AB605" s="69">
        <f>STATS1003B!AB604/1000</f>
        <v>0</v>
      </c>
    </row>
    <row r="606" spans="1:28" hidden="1" x14ac:dyDescent="0.3">
      <c r="A606" s="117"/>
      <c r="E606" s="86" t="s">
        <v>29</v>
      </c>
      <c r="F606" s="86" t="s">
        <v>29</v>
      </c>
      <c r="G606" s="86" t="s">
        <v>29</v>
      </c>
      <c r="H606" s="86" t="s">
        <v>29</v>
      </c>
      <c r="I606" s="86" t="s">
        <v>29</v>
      </c>
      <c r="J606" s="86" t="s">
        <v>29</v>
      </c>
      <c r="K606" s="86" t="s">
        <v>29</v>
      </c>
      <c r="L606" s="86" t="s">
        <v>29</v>
      </c>
      <c r="M606" s="86" t="s">
        <v>29</v>
      </c>
      <c r="N606" s="86" t="s">
        <v>29</v>
      </c>
      <c r="O606" s="86" t="s">
        <v>29</v>
      </c>
      <c r="P606" s="86" t="s">
        <v>29</v>
      </c>
      <c r="Q606" s="86" t="s">
        <v>29</v>
      </c>
      <c r="R606" s="86" t="s">
        <v>29</v>
      </c>
      <c r="S606" s="86" t="s">
        <v>29</v>
      </c>
      <c r="T606" s="86" t="s">
        <v>29</v>
      </c>
      <c r="U606" s="86" t="s">
        <v>29</v>
      </c>
      <c r="V606" s="86" t="s">
        <v>29</v>
      </c>
      <c r="W606" s="86" t="s">
        <v>29</v>
      </c>
      <c r="X606" s="85" t="e">
        <f t="shared" si="75"/>
        <v>#VALUE!</v>
      </c>
      <c r="Y606" s="86" t="s">
        <v>29</v>
      </c>
      <c r="Z606" s="85" t="e">
        <f t="shared" si="76"/>
        <v>#VALUE!</v>
      </c>
      <c r="AA606" s="115" t="s">
        <v>29</v>
      </c>
      <c r="AB606" s="115" t="s">
        <v>29</v>
      </c>
    </row>
    <row r="607" spans="1:28" x14ac:dyDescent="0.3">
      <c r="A607" s="116">
        <v>29</v>
      </c>
      <c r="B607" s="68" t="s">
        <v>190</v>
      </c>
      <c r="E607" s="85">
        <f>241576964.84/1000</f>
        <v>241576.96484</v>
      </c>
      <c r="F607" s="85">
        <f>SUM(F592:F605)</f>
        <v>114952.06304000001</v>
      </c>
      <c r="G607" s="85">
        <f>SUM(G592:G605)</f>
        <v>0</v>
      </c>
      <c r="H607" s="85">
        <f>159646332.35/1000</f>
        <v>159646.33234999998</v>
      </c>
      <c r="I607" s="85">
        <f t="shared" ref="I607:O607" si="79">SUM(I592:I605)</f>
        <v>0</v>
      </c>
      <c r="J607" s="85">
        <f t="shared" si="79"/>
        <v>0</v>
      </c>
      <c r="K607" s="85">
        <f t="shared" si="79"/>
        <v>0</v>
      </c>
      <c r="L607" s="85">
        <f t="shared" si="79"/>
        <v>0</v>
      </c>
      <c r="M607" s="85">
        <f t="shared" si="79"/>
        <v>114952.06304000001</v>
      </c>
      <c r="N607" s="85">
        <f t="shared" si="79"/>
        <v>5475.0104899999997</v>
      </c>
      <c r="O607" s="85">
        <f t="shared" si="79"/>
        <v>0</v>
      </c>
      <c r="P607" s="85">
        <f>5475010/1000</f>
        <v>5475.01</v>
      </c>
      <c r="Q607" s="85">
        <f t="shared" ref="Q607:W607" si="80">SUM(Q592:Q605)</f>
        <v>0</v>
      </c>
      <c r="R607" s="85">
        <f t="shared" si="80"/>
        <v>0</v>
      </c>
      <c r="S607" s="85">
        <f t="shared" si="80"/>
        <v>0</v>
      </c>
      <c r="T607" s="85">
        <f t="shared" si="80"/>
        <v>0</v>
      </c>
      <c r="U607" s="85">
        <f t="shared" si="80"/>
        <v>5475.0104899999997</v>
      </c>
      <c r="V607" s="85">
        <f t="shared" si="80"/>
        <v>120427.07353000001</v>
      </c>
      <c r="W607" s="85">
        <f t="shared" si="80"/>
        <v>76455.621999999988</v>
      </c>
      <c r="X607" s="85">
        <f t="shared" si="75"/>
        <v>165121.34234999999</v>
      </c>
      <c r="Y607" s="85">
        <f>SUM(Y592:Y605)</f>
        <v>0</v>
      </c>
      <c r="Z607" s="85">
        <f t="shared" si="76"/>
        <v>76455.622490000009</v>
      </c>
      <c r="AA607" s="69">
        <f>SUM(AA592:AA605)</f>
        <v>120427.07353000001</v>
      </c>
      <c r="AB607" s="69">
        <f>SUM(AB592:AB605)</f>
        <v>76455.621999999988</v>
      </c>
    </row>
    <row r="608" spans="1:28" hidden="1" x14ac:dyDescent="0.3">
      <c r="A608" s="117"/>
      <c r="E608" s="86" t="s">
        <v>29</v>
      </c>
      <c r="F608" s="86" t="s">
        <v>29</v>
      </c>
      <c r="G608" s="86" t="s">
        <v>29</v>
      </c>
      <c r="H608" s="86" t="s">
        <v>29</v>
      </c>
      <c r="I608" s="86" t="s">
        <v>29</v>
      </c>
      <c r="J608" s="86" t="s">
        <v>29</v>
      </c>
      <c r="K608" s="86" t="s">
        <v>29</v>
      </c>
      <c r="L608" s="86" t="s">
        <v>29</v>
      </c>
      <c r="M608" s="86" t="s">
        <v>29</v>
      </c>
      <c r="N608" s="86" t="s">
        <v>29</v>
      </c>
      <c r="O608" s="86" t="s">
        <v>29</v>
      </c>
      <c r="P608" s="86" t="s">
        <v>29</v>
      </c>
      <c r="Q608" s="86" t="s">
        <v>29</v>
      </c>
      <c r="R608" s="86" t="s">
        <v>29</v>
      </c>
      <c r="S608" s="86" t="s">
        <v>29</v>
      </c>
      <c r="T608" s="86" t="s">
        <v>29</v>
      </c>
      <c r="U608" s="86" t="s">
        <v>29</v>
      </c>
      <c r="V608" s="86" t="s">
        <v>29</v>
      </c>
      <c r="W608" s="86" t="s">
        <v>29</v>
      </c>
      <c r="X608" s="85" t="e">
        <f t="shared" si="75"/>
        <v>#VALUE!</v>
      </c>
      <c r="Y608" s="86" t="s">
        <v>29</v>
      </c>
      <c r="Z608" s="85" t="e">
        <f t="shared" si="76"/>
        <v>#VALUE!</v>
      </c>
      <c r="AA608" s="115" t="s">
        <v>29</v>
      </c>
      <c r="AB608" s="115" t="s">
        <v>29</v>
      </c>
    </row>
    <row r="609" spans="1:28" hidden="1" x14ac:dyDescent="0.3">
      <c r="A609" s="117"/>
      <c r="E609" s="85">
        <v>191148126.38</v>
      </c>
      <c r="F609" s="85">
        <v>109234309.02</v>
      </c>
      <c r="G609" s="85"/>
      <c r="H609" s="85">
        <v>109234309.02</v>
      </c>
      <c r="I609" s="85"/>
      <c r="J609" s="85"/>
      <c r="K609" s="85"/>
      <c r="L609" s="85"/>
      <c r="M609" s="85">
        <v>109234309.02</v>
      </c>
      <c r="N609" s="85">
        <v>5458195.3600000003</v>
      </c>
      <c r="O609" s="85"/>
      <c r="P609" s="85">
        <v>5458195.3600000003</v>
      </c>
      <c r="Q609" s="85"/>
      <c r="R609" s="85"/>
      <c r="S609" s="85"/>
      <c r="T609" s="85"/>
      <c r="U609" s="85">
        <v>5458195.3600000003</v>
      </c>
      <c r="V609" s="85"/>
      <c r="W609" s="85"/>
      <c r="X609" s="85">
        <f t="shared" si="75"/>
        <v>114692504.38</v>
      </c>
      <c r="Y609" s="85"/>
      <c r="Z609" s="85">
        <f t="shared" si="76"/>
        <v>76455622</v>
      </c>
      <c r="AA609" s="118"/>
    </row>
    <row r="610" spans="1:28" hidden="1" x14ac:dyDescent="0.3">
      <c r="A610" s="105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5">
        <f t="shared" si="75"/>
        <v>0</v>
      </c>
      <c r="Y610" s="84"/>
      <c r="Z610" s="85">
        <f t="shared" si="76"/>
        <v>0</v>
      </c>
    </row>
    <row r="611" spans="1:28" hidden="1" x14ac:dyDescent="0.3">
      <c r="A611" s="117"/>
      <c r="C611" s="68" t="s">
        <v>149</v>
      </c>
      <c r="D611" s="88" t="s">
        <v>150</v>
      </c>
      <c r="E611" s="85">
        <f>STATS1003B!E610/1000</f>
        <v>2088.0790000000002</v>
      </c>
      <c r="F611" s="85">
        <f>STATS1003B!F610/1000</f>
        <v>2088.0790000000002</v>
      </c>
      <c r="G611" s="85">
        <f>STATS1003B!G610/1000</f>
        <v>0</v>
      </c>
      <c r="H611" s="85">
        <f>STATS1003B!H610/1000</f>
        <v>2088.0790000000002</v>
      </c>
      <c r="I611" s="85">
        <f>STATS1003B!I610/1000</f>
        <v>0</v>
      </c>
      <c r="J611" s="85">
        <f>STATS1003B!J610/1000</f>
        <v>0</v>
      </c>
      <c r="K611" s="85">
        <f>STATS1003B!K610/1000</f>
        <v>0</v>
      </c>
      <c r="L611" s="85">
        <f>STATS1003B!L610/1000</f>
        <v>0</v>
      </c>
      <c r="M611" s="85">
        <f>STATS1003B!M610/1000</f>
        <v>2088.0790000000002</v>
      </c>
      <c r="N611" s="85">
        <f>STATS1003B!N610/1000</f>
        <v>0</v>
      </c>
      <c r="O611" s="85">
        <f>STATS1003B!O610/1000</f>
        <v>0</v>
      </c>
      <c r="P611" s="85">
        <f>STATS1003B!P610/1000</f>
        <v>0</v>
      </c>
      <c r="Q611" s="85">
        <f>STATS1003B!Q610/1000</f>
        <v>0</v>
      </c>
      <c r="R611" s="85">
        <f>STATS1003B!R610/1000</f>
        <v>0</v>
      </c>
      <c r="S611" s="85">
        <f>STATS1003B!S610/1000</f>
        <v>0</v>
      </c>
      <c r="T611" s="85">
        <f>STATS1003B!T610/1000</f>
        <v>0</v>
      </c>
      <c r="U611" s="85">
        <f>STATS1003B!U610/1000</f>
        <v>0</v>
      </c>
      <c r="V611" s="85">
        <f>STATS1003B!V610/1000</f>
        <v>2088.0790000000002</v>
      </c>
      <c r="W611" s="85">
        <f>STATS1003B!W610/1000</f>
        <v>0</v>
      </c>
      <c r="X611" s="85">
        <f t="shared" si="75"/>
        <v>2088.0790000000002</v>
      </c>
      <c r="Y611" s="85">
        <f>STATS1003B!Y610/1000</f>
        <v>0</v>
      </c>
      <c r="Z611" s="85">
        <f t="shared" si="76"/>
        <v>0</v>
      </c>
      <c r="AA611" s="69">
        <f>STATS1003B!AA610/1000</f>
        <v>2088.0790000000002</v>
      </c>
      <c r="AB611" s="69">
        <f>STATS1003B!AB610/1000</f>
        <v>0</v>
      </c>
    </row>
    <row r="612" spans="1:28" hidden="1" x14ac:dyDescent="0.3">
      <c r="A612" s="117"/>
      <c r="C612" s="68" t="s">
        <v>151</v>
      </c>
      <c r="D612" s="88" t="s">
        <v>150</v>
      </c>
      <c r="E612" s="85">
        <f>STATS1003B!E611/1000</f>
        <v>27568.642969999997</v>
      </c>
      <c r="F612" s="85">
        <f>STATS1003B!F611/1000</f>
        <v>20245.05143</v>
      </c>
      <c r="G612" s="85">
        <f>STATS1003B!G611/1000</f>
        <v>0</v>
      </c>
      <c r="H612" s="85">
        <f>STATS1003B!H611/1000</f>
        <v>20245.05143</v>
      </c>
      <c r="I612" s="85">
        <f>STATS1003B!I611/1000</f>
        <v>0</v>
      </c>
      <c r="J612" s="85">
        <f>STATS1003B!J611/1000</f>
        <v>0</v>
      </c>
      <c r="K612" s="85">
        <f>STATS1003B!K611/1000</f>
        <v>0</v>
      </c>
      <c r="L612" s="85">
        <f>STATS1003B!L611/1000</f>
        <v>0</v>
      </c>
      <c r="M612" s="85">
        <f>STATS1003B!M611/1000</f>
        <v>20245.05143</v>
      </c>
      <c r="N612" s="85">
        <f>STATS1003B!N611/1000</f>
        <v>143.63325</v>
      </c>
      <c r="O612" s="85">
        <f>STATS1003B!O611/1000</f>
        <v>0</v>
      </c>
      <c r="P612" s="85">
        <f>STATS1003B!P611/1000</f>
        <v>143.63325</v>
      </c>
      <c r="Q612" s="85">
        <f>STATS1003B!Q611/1000</f>
        <v>0</v>
      </c>
      <c r="R612" s="85">
        <f>STATS1003B!R611/1000</f>
        <v>0</v>
      </c>
      <c r="S612" s="85">
        <f>STATS1003B!S611/1000</f>
        <v>0</v>
      </c>
      <c r="T612" s="85">
        <f>STATS1003B!T611/1000</f>
        <v>0</v>
      </c>
      <c r="U612" s="85">
        <f>STATS1003B!U611/1000</f>
        <v>143.63325</v>
      </c>
      <c r="V612" s="85">
        <f>STATS1003B!V611/1000</f>
        <v>20388.684679999998</v>
      </c>
      <c r="W612" s="85">
        <f>STATS1003B!W611/1000</f>
        <v>7179.9582899999987</v>
      </c>
      <c r="X612" s="85">
        <f t="shared" si="75"/>
        <v>20388.684679999998</v>
      </c>
      <c r="Y612" s="85">
        <f>STATS1003B!Y611/1000</f>
        <v>0</v>
      </c>
      <c r="Z612" s="85">
        <f t="shared" si="76"/>
        <v>7179.9582899999987</v>
      </c>
      <c r="AA612" s="69">
        <f>STATS1003B!AA611/1000</f>
        <v>20388.684679999998</v>
      </c>
      <c r="AB612" s="69">
        <f>STATS1003B!AB611/1000</f>
        <v>7179.9582899999987</v>
      </c>
    </row>
    <row r="613" spans="1:28" hidden="1" x14ac:dyDescent="0.3">
      <c r="A613" s="117"/>
      <c r="C613" s="68" t="s">
        <v>57</v>
      </c>
      <c r="D613" s="145" t="s">
        <v>196</v>
      </c>
      <c r="E613" s="85">
        <f>STATS1003B!E612/1000</f>
        <v>5932.9730599999994</v>
      </c>
      <c r="F613" s="85">
        <f>STATS1003B!F612/1000</f>
        <v>5932.9730599999994</v>
      </c>
      <c r="G613" s="85">
        <f>STATS1003B!G612/1000</f>
        <v>0</v>
      </c>
      <c r="H613" s="85">
        <f>STATS1003B!H612/1000</f>
        <v>5932.9730599999994</v>
      </c>
      <c r="I613" s="85">
        <f>STATS1003B!I612/1000</f>
        <v>0</v>
      </c>
      <c r="J613" s="85">
        <f>STATS1003B!J612/1000</f>
        <v>0</v>
      </c>
      <c r="K613" s="85">
        <f>STATS1003B!K612/1000</f>
        <v>0</v>
      </c>
      <c r="L613" s="85">
        <f>STATS1003B!L612/1000</f>
        <v>0</v>
      </c>
      <c r="M613" s="85">
        <f>STATS1003B!M612/1000</f>
        <v>5932.9730599999994</v>
      </c>
      <c r="N613" s="85">
        <f>STATS1003B!N612/1000</f>
        <v>0</v>
      </c>
      <c r="O613" s="85">
        <f>STATS1003B!O612/1000</f>
        <v>0</v>
      </c>
      <c r="P613" s="85">
        <f>STATS1003B!P612/1000</f>
        <v>0</v>
      </c>
      <c r="Q613" s="85">
        <f>STATS1003B!Q612/1000</f>
        <v>0</v>
      </c>
      <c r="R613" s="85">
        <f>STATS1003B!R612/1000</f>
        <v>0</v>
      </c>
      <c r="S613" s="85">
        <f>STATS1003B!S612/1000</f>
        <v>0</v>
      </c>
      <c r="T613" s="85">
        <f>STATS1003B!T612/1000</f>
        <v>0</v>
      </c>
      <c r="U613" s="85">
        <f>STATS1003B!U612/1000</f>
        <v>0</v>
      </c>
      <c r="V613" s="85">
        <f>STATS1003B!V612/1000</f>
        <v>5932.9730599999994</v>
      </c>
      <c r="W613" s="85">
        <f>STATS1003B!W612/1000</f>
        <v>0</v>
      </c>
      <c r="X613" s="85">
        <f t="shared" si="75"/>
        <v>5932.9730599999994</v>
      </c>
      <c r="Y613" s="85">
        <f>STATS1003B!Y612/1000</f>
        <v>0</v>
      </c>
      <c r="Z613" s="85">
        <f t="shared" si="76"/>
        <v>0</v>
      </c>
      <c r="AA613" s="69">
        <f>STATS1003B!AA612/1000</f>
        <v>5932.9730599999994</v>
      </c>
      <c r="AB613" s="69">
        <f>STATS1003B!AB612/1000</f>
        <v>0</v>
      </c>
    </row>
    <row r="614" spans="1:28" hidden="1" x14ac:dyDescent="0.3">
      <c r="A614" s="117"/>
      <c r="C614" s="68" t="s">
        <v>55</v>
      </c>
      <c r="D614" s="145" t="s">
        <v>54</v>
      </c>
      <c r="E614" s="85">
        <f>STATS1003B!E613/1000</f>
        <v>34.406999999999996</v>
      </c>
      <c r="F614" s="85">
        <f>STATS1003B!F613/1000</f>
        <v>0</v>
      </c>
      <c r="G614" s="85">
        <f>STATS1003B!G613/1000</f>
        <v>0</v>
      </c>
      <c r="H614" s="85">
        <f>STATS1003B!H613/1000</f>
        <v>0</v>
      </c>
      <c r="I614" s="85">
        <f>STATS1003B!I613/1000</f>
        <v>0</v>
      </c>
      <c r="J614" s="85">
        <f>STATS1003B!J613/1000</f>
        <v>0</v>
      </c>
      <c r="K614" s="85">
        <f>STATS1003B!K613/1000</f>
        <v>0</v>
      </c>
      <c r="L614" s="85">
        <f>STATS1003B!L613/1000</f>
        <v>0</v>
      </c>
      <c r="M614" s="85">
        <f>STATS1003B!M613/1000</f>
        <v>0</v>
      </c>
      <c r="N614" s="85">
        <f>STATS1003B!N613/1000</f>
        <v>34.406999999999996</v>
      </c>
      <c r="O614" s="85">
        <f>STATS1003B!O613/1000</f>
        <v>0</v>
      </c>
      <c r="P614" s="85">
        <f>STATS1003B!P613/1000</f>
        <v>34.406999999999996</v>
      </c>
      <c r="Q614" s="85">
        <f>STATS1003B!Q613/1000</f>
        <v>0</v>
      </c>
      <c r="R614" s="85">
        <f>STATS1003B!R613/1000</f>
        <v>0</v>
      </c>
      <c r="S614" s="85">
        <f>STATS1003B!S613/1000</f>
        <v>0</v>
      </c>
      <c r="T614" s="85">
        <f>STATS1003B!T613/1000</f>
        <v>0</v>
      </c>
      <c r="U614" s="85">
        <f>STATS1003B!U613/1000</f>
        <v>34.406999999999996</v>
      </c>
      <c r="V614" s="85">
        <f>STATS1003B!V613/1000</f>
        <v>34.406999999999996</v>
      </c>
      <c r="W614" s="85">
        <f>STATS1003B!W613/1000</f>
        <v>0</v>
      </c>
      <c r="X614" s="85">
        <f t="shared" si="75"/>
        <v>34.406999999999996</v>
      </c>
      <c r="Y614" s="85">
        <f>STATS1003B!Y613/1000</f>
        <v>0</v>
      </c>
      <c r="Z614" s="85">
        <f t="shared" si="76"/>
        <v>0</v>
      </c>
      <c r="AA614" s="69">
        <f>STATS1003B!AA613/1000</f>
        <v>34.406999999999996</v>
      </c>
      <c r="AB614" s="69">
        <f>STATS1003B!AB613/1000</f>
        <v>0</v>
      </c>
    </row>
    <row r="615" spans="1:28" hidden="1" x14ac:dyDescent="0.3">
      <c r="A615" s="117"/>
      <c r="C615" s="68" t="s">
        <v>53</v>
      </c>
      <c r="D615" s="145" t="s">
        <v>85</v>
      </c>
      <c r="E615" s="85">
        <f>STATS1003B!E614/1000</f>
        <v>1767.77</v>
      </c>
      <c r="F615" s="85">
        <f>STATS1003B!F614/1000</f>
        <v>0</v>
      </c>
      <c r="G615" s="85">
        <f>STATS1003B!G614/1000</f>
        <v>0</v>
      </c>
      <c r="H615" s="85">
        <f>STATS1003B!H614/1000</f>
        <v>0</v>
      </c>
      <c r="I615" s="85">
        <f>STATS1003B!I614/1000</f>
        <v>0</v>
      </c>
      <c r="J615" s="85">
        <f>STATS1003B!J614/1000</f>
        <v>0</v>
      </c>
      <c r="K615" s="85">
        <f>STATS1003B!K614/1000</f>
        <v>0</v>
      </c>
      <c r="L615" s="85">
        <f>STATS1003B!L614/1000</f>
        <v>0</v>
      </c>
      <c r="M615" s="85">
        <f>STATS1003B!M614/1000</f>
        <v>0</v>
      </c>
      <c r="N615" s="85">
        <f>STATS1003B!N614/1000</f>
        <v>1767.77</v>
      </c>
      <c r="O615" s="85">
        <f>STATS1003B!O614/1000</f>
        <v>0</v>
      </c>
      <c r="P615" s="85">
        <f>STATS1003B!P614/1000</f>
        <v>1767.77</v>
      </c>
      <c r="Q615" s="85">
        <f>STATS1003B!Q614/1000</f>
        <v>0</v>
      </c>
      <c r="R615" s="85">
        <f>STATS1003B!R614/1000</f>
        <v>0</v>
      </c>
      <c r="S615" s="85">
        <f>STATS1003B!S614/1000</f>
        <v>0</v>
      </c>
      <c r="T615" s="85">
        <f>STATS1003B!T614/1000</f>
        <v>0</v>
      </c>
      <c r="U615" s="85">
        <f>STATS1003B!U614/1000</f>
        <v>1767.77</v>
      </c>
      <c r="V615" s="85">
        <f>STATS1003B!V614/1000</f>
        <v>1767.77</v>
      </c>
      <c r="W615" s="85">
        <f>STATS1003B!W614/1000</f>
        <v>0</v>
      </c>
      <c r="X615" s="85">
        <f t="shared" si="75"/>
        <v>1767.77</v>
      </c>
      <c r="Y615" s="85">
        <f>STATS1003B!Y614/1000</f>
        <v>0</v>
      </c>
      <c r="Z615" s="85">
        <f t="shared" si="76"/>
        <v>0</v>
      </c>
      <c r="AA615" s="69">
        <f>STATS1003B!AA614/1000</f>
        <v>1767.77</v>
      </c>
      <c r="AB615" s="69">
        <f>STATS1003B!AB614/1000</f>
        <v>0</v>
      </c>
    </row>
    <row r="616" spans="1:28" hidden="1" x14ac:dyDescent="0.3">
      <c r="A616" s="117"/>
      <c r="C616" s="68" t="s">
        <v>147</v>
      </c>
      <c r="D616" s="145" t="s">
        <v>85</v>
      </c>
      <c r="E616" s="85">
        <f>STATS1003B!E615/1000</f>
        <v>270.3</v>
      </c>
      <c r="F616" s="85">
        <f>STATS1003B!F615/1000</f>
        <v>0</v>
      </c>
      <c r="G616" s="85">
        <f>STATS1003B!G615/1000</f>
        <v>0</v>
      </c>
      <c r="H616" s="85">
        <f>STATS1003B!H615/1000</f>
        <v>0</v>
      </c>
      <c r="I616" s="85">
        <f>STATS1003B!I615/1000</f>
        <v>0</v>
      </c>
      <c r="J616" s="85">
        <f>STATS1003B!J615/1000</f>
        <v>0</v>
      </c>
      <c r="K616" s="85">
        <f>STATS1003B!K615/1000</f>
        <v>0</v>
      </c>
      <c r="L616" s="85">
        <f>STATS1003B!L615/1000</f>
        <v>0</v>
      </c>
      <c r="M616" s="85">
        <f>STATS1003B!M615/1000</f>
        <v>0</v>
      </c>
      <c r="N616" s="85">
        <f>STATS1003B!N615/1000</f>
        <v>270.3</v>
      </c>
      <c r="O616" s="85">
        <f>STATS1003B!O615/1000</f>
        <v>0</v>
      </c>
      <c r="P616" s="85">
        <f>STATS1003B!P615/1000</f>
        <v>270.3</v>
      </c>
      <c r="Q616" s="85">
        <f>STATS1003B!Q615/1000</f>
        <v>0</v>
      </c>
      <c r="R616" s="85">
        <f>STATS1003B!R615/1000</f>
        <v>0</v>
      </c>
      <c r="S616" s="85">
        <f>STATS1003B!S615/1000</f>
        <v>0</v>
      </c>
      <c r="T616" s="85">
        <f>STATS1003B!T615/1000</f>
        <v>0</v>
      </c>
      <c r="U616" s="85">
        <f>STATS1003B!U615/1000</f>
        <v>270.3</v>
      </c>
      <c r="V616" s="85">
        <f>STATS1003B!V615/1000</f>
        <v>270.3</v>
      </c>
      <c r="W616" s="85">
        <f>STATS1003B!W615/1000</f>
        <v>0</v>
      </c>
      <c r="X616" s="85">
        <f t="shared" si="75"/>
        <v>270.3</v>
      </c>
      <c r="Y616" s="85">
        <f>STATS1003B!Y615/1000</f>
        <v>0</v>
      </c>
      <c r="Z616" s="85">
        <f t="shared" si="76"/>
        <v>0</v>
      </c>
      <c r="AA616" s="69">
        <f>STATS1003B!AA615/1000</f>
        <v>270.3</v>
      </c>
      <c r="AB616" s="69">
        <f>STATS1003B!AB615/1000</f>
        <v>0</v>
      </c>
    </row>
    <row r="617" spans="1:28" hidden="1" x14ac:dyDescent="0.3">
      <c r="A617" s="117"/>
      <c r="C617" s="68" t="s">
        <v>197</v>
      </c>
      <c r="D617" s="145" t="s">
        <v>85</v>
      </c>
      <c r="E617" s="85">
        <f>STATS1003B!E616/1000</f>
        <v>1200</v>
      </c>
      <c r="F617" s="85">
        <f>STATS1003B!F616/1000</f>
        <v>1200</v>
      </c>
      <c r="G617" s="85">
        <f>STATS1003B!G616/1000</f>
        <v>0</v>
      </c>
      <c r="H617" s="85">
        <f>STATS1003B!H616/1000</f>
        <v>1200</v>
      </c>
      <c r="I617" s="85">
        <f>STATS1003B!I616/1000</f>
        <v>0</v>
      </c>
      <c r="J617" s="85">
        <f>STATS1003B!J616/1000</f>
        <v>0</v>
      </c>
      <c r="K617" s="85">
        <f>STATS1003B!K616/1000</f>
        <v>0</v>
      </c>
      <c r="L617" s="85">
        <f>STATS1003B!L616/1000</f>
        <v>0</v>
      </c>
      <c r="M617" s="85">
        <f>STATS1003B!M616/1000</f>
        <v>1200</v>
      </c>
      <c r="N617" s="85">
        <f>STATS1003B!N616/1000</f>
        <v>0</v>
      </c>
      <c r="O617" s="85">
        <f>STATS1003B!O616/1000</f>
        <v>0</v>
      </c>
      <c r="P617" s="85">
        <f>STATS1003B!P616/1000</f>
        <v>0</v>
      </c>
      <c r="Q617" s="85">
        <f>STATS1003B!Q616/1000</f>
        <v>0</v>
      </c>
      <c r="R617" s="85">
        <f>STATS1003B!R616/1000</f>
        <v>0</v>
      </c>
      <c r="S617" s="85">
        <f>STATS1003B!S616/1000</f>
        <v>0</v>
      </c>
      <c r="T617" s="85">
        <f>STATS1003B!T616/1000</f>
        <v>0</v>
      </c>
      <c r="U617" s="85">
        <f>STATS1003B!U616/1000</f>
        <v>0</v>
      </c>
      <c r="V617" s="85">
        <f>STATS1003B!V616/1000</f>
        <v>1200</v>
      </c>
      <c r="W617" s="85">
        <f>STATS1003B!W616/1000</f>
        <v>0</v>
      </c>
      <c r="X617" s="85">
        <f t="shared" si="75"/>
        <v>1200</v>
      </c>
      <c r="Y617" s="85">
        <f>STATS1003B!Y616/1000</f>
        <v>0</v>
      </c>
      <c r="Z617" s="85">
        <f t="shared" si="76"/>
        <v>0</v>
      </c>
      <c r="AA617" s="69">
        <f>STATS1003B!AA616/1000</f>
        <v>1200</v>
      </c>
      <c r="AB617" s="69">
        <f>STATS1003B!AB616/1000</f>
        <v>0</v>
      </c>
    </row>
    <row r="618" spans="1:28" hidden="1" x14ac:dyDescent="0.3">
      <c r="A618" s="117"/>
      <c r="C618" s="68" t="s">
        <v>57</v>
      </c>
      <c r="D618" s="145" t="s">
        <v>58</v>
      </c>
      <c r="E618" s="85">
        <f>STATS1003B!E617/1000</f>
        <v>5562.6350000000002</v>
      </c>
      <c r="F618" s="85">
        <f>STATS1003B!F617/1000</f>
        <v>5562.6350000000002</v>
      </c>
      <c r="G618" s="85">
        <f>STATS1003B!G617/1000</f>
        <v>0</v>
      </c>
      <c r="H618" s="85">
        <f>STATS1003B!H617/1000</f>
        <v>5562.6350000000002</v>
      </c>
      <c r="I618" s="85">
        <f>STATS1003B!I617/1000</f>
        <v>0</v>
      </c>
      <c r="J618" s="85">
        <f>STATS1003B!J617/1000</f>
        <v>0</v>
      </c>
      <c r="K618" s="85">
        <f>STATS1003B!K617/1000</f>
        <v>0</v>
      </c>
      <c r="L618" s="85">
        <f>STATS1003B!L617/1000</f>
        <v>0</v>
      </c>
      <c r="M618" s="85">
        <f>STATS1003B!M617/1000</f>
        <v>5562.6350000000002</v>
      </c>
      <c r="N618" s="85">
        <f>STATS1003B!N617/1000</f>
        <v>0</v>
      </c>
      <c r="O618" s="85">
        <f>STATS1003B!O617/1000</f>
        <v>0</v>
      </c>
      <c r="P618" s="85">
        <f>STATS1003B!P617/1000</f>
        <v>0</v>
      </c>
      <c r="Q618" s="85">
        <f>STATS1003B!Q617/1000</f>
        <v>0</v>
      </c>
      <c r="R618" s="85">
        <f>STATS1003B!R617/1000</f>
        <v>0</v>
      </c>
      <c r="S618" s="85">
        <f>STATS1003B!S617/1000</f>
        <v>0</v>
      </c>
      <c r="T618" s="85">
        <f>STATS1003B!T617/1000</f>
        <v>0</v>
      </c>
      <c r="U618" s="85">
        <f>STATS1003B!U617/1000</f>
        <v>0</v>
      </c>
      <c r="V618" s="85">
        <f>STATS1003B!V617/1000</f>
        <v>5562.6350000000002</v>
      </c>
      <c r="W618" s="85">
        <f>STATS1003B!W617/1000</f>
        <v>0</v>
      </c>
      <c r="X618" s="85">
        <f t="shared" si="75"/>
        <v>5562.6350000000002</v>
      </c>
      <c r="Y618" s="85">
        <f>STATS1003B!Y617/1000</f>
        <v>0</v>
      </c>
      <c r="Z618" s="85">
        <f t="shared" si="76"/>
        <v>0</v>
      </c>
      <c r="AA618" s="69">
        <f>STATS1003B!AA617/1000</f>
        <v>5562.6350000000002</v>
      </c>
      <c r="AB618" s="69">
        <f>STATS1003B!AB617/1000</f>
        <v>0</v>
      </c>
    </row>
    <row r="619" spans="1:28" hidden="1" x14ac:dyDescent="0.3">
      <c r="A619" s="117"/>
      <c r="C619" s="71" t="s">
        <v>109</v>
      </c>
      <c r="D619" s="88" t="s">
        <v>60</v>
      </c>
      <c r="E619" s="85">
        <f>STATS1003B!E618/1000</f>
        <v>4978.3924799999995</v>
      </c>
      <c r="F619" s="85">
        <f>STATS1003B!F618/1000</f>
        <v>4978.3924799999995</v>
      </c>
      <c r="G619" s="85">
        <f>STATS1003B!G618/1000</f>
        <v>0</v>
      </c>
      <c r="H619" s="85">
        <f>STATS1003B!H618/1000</f>
        <v>4978.3924799999995</v>
      </c>
      <c r="I619" s="85">
        <f>STATS1003B!I618/1000</f>
        <v>0</v>
      </c>
      <c r="J619" s="85">
        <f>STATS1003B!J618/1000</f>
        <v>0</v>
      </c>
      <c r="K619" s="85">
        <f>STATS1003B!K618/1000</f>
        <v>0</v>
      </c>
      <c r="L619" s="85">
        <f>STATS1003B!L618/1000</f>
        <v>0</v>
      </c>
      <c r="M619" s="85">
        <f>STATS1003B!M618/1000</f>
        <v>4978.3924799999995</v>
      </c>
      <c r="N619" s="85">
        <f>STATS1003B!N618/1000</f>
        <v>0</v>
      </c>
      <c r="O619" s="85">
        <f>STATS1003B!O618/1000</f>
        <v>0</v>
      </c>
      <c r="P619" s="85">
        <f>STATS1003B!P618/1000</f>
        <v>0</v>
      </c>
      <c r="Q619" s="85">
        <f>STATS1003B!Q618/1000</f>
        <v>0</v>
      </c>
      <c r="R619" s="85">
        <f>STATS1003B!R618/1000</f>
        <v>0</v>
      </c>
      <c r="S619" s="85">
        <f>STATS1003B!S618/1000</f>
        <v>0</v>
      </c>
      <c r="T619" s="85">
        <f>STATS1003B!T618/1000</f>
        <v>0</v>
      </c>
      <c r="U619" s="85">
        <f>STATS1003B!U618/1000</f>
        <v>0</v>
      </c>
      <c r="V619" s="85">
        <f>STATS1003B!V618/1000</f>
        <v>4978.3924799999995</v>
      </c>
      <c r="W619" s="85">
        <f>STATS1003B!W618/1000</f>
        <v>0</v>
      </c>
      <c r="X619" s="85">
        <f t="shared" si="75"/>
        <v>4978.3924799999995</v>
      </c>
      <c r="Y619" s="85">
        <f>STATS1003B!Y618/1000</f>
        <v>0</v>
      </c>
      <c r="Z619" s="85">
        <f t="shared" si="76"/>
        <v>0</v>
      </c>
      <c r="AA619" s="69">
        <f>STATS1003B!AA618/1000</f>
        <v>4978.3924799999995</v>
      </c>
      <c r="AB619" s="69">
        <f>STATS1003B!AB618/1000</f>
        <v>0</v>
      </c>
    </row>
    <row r="620" spans="1:28" hidden="1" x14ac:dyDescent="0.3">
      <c r="A620" s="117"/>
      <c r="C620" s="71" t="s">
        <v>1076</v>
      </c>
      <c r="D620" s="89" t="s">
        <v>1072</v>
      </c>
      <c r="E620" s="85">
        <f>STATS1003B!E619/1000</f>
        <v>300</v>
      </c>
      <c r="F620" s="85">
        <f>STATS1003B!F619/1000</f>
        <v>300</v>
      </c>
      <c r="G620" s="85">
        <f>STATS1003B!G619/1000</f>
        <v>0</v>
      </c>
      <c r="H620" s="85">
        <f>STATS1003B!H619/1000</f>
        <v>300</v>
      </c>
      <c r="I620" s="85">
        <f>STATS1003B!I619/1000</f>
        <v>0</v>
      </c>
      <c r="J620" s="85">
        <f>STATS1003B!J619/1000</f>
        <v>0</v>
      </c>
      <c r="K620" s="85">
        <f>STATS1003B!K619/1000</f>
        <v>0</v>
      </c>
      <c r="L620" s="85">
        <f>STATS1003B!L619/1000</f>
        <v>0</v>
      </c>
      <c r="M620" s="85">
        <f>STATS1003B!M619/1000</f>
        <v>300</v>
      </c>
      <c r="N620" s="85">
        <f>STATS1003B!N619/1000</f>
        <v>0</v>
      </c>
      <c r="O620" s="85">
        <f>STATS1003B!O619/1000</f>
        <v>0</v>
      </c>
      <c r="P620" s="85">
        <f>STATS1003B!P619/1000</f>
        <v>0</v>
      </c>
      <c r="Q620" s="85">
        <f>STATS1003B!Q619/1000</f>
        <v>0</v>
      </c>
      <c r="R620" s="85">
        <f>STATS1003B!R619/1000</f>
        <v>0</v>
      </c>
      <c r="S620" s="85">
        <f>STATS1003B!S619/1000</f>
        <v>0</v>
      </c>
      <c r="T620" s="85">
        <f>STATS1003B!T619/1000</f>
        <v>0</v>
      </c>
      <c r="U620" s="85">
        <f>STATS1003B!U619/1000</f>
        <v>0</v>
      </c>
      <c r="V620" s="85">
        <f>STATS1003B!V619/1000</f>
        <v>300</v>
      </c>
      <c r="W620" s="85">
        <f>STATS1003B!W619/1000</f>
        <v>0</v>
      </c>
      <c r="X620" s="85">
        <f t="shared" si="75"/>
        <v>300</v>
      </c>
      <c r="Y620" s="85">
        <f>STATS1003B!Y619/1000</f>
        <v>0</v>
      </c>
      <c r="Z620" s="85">
        <f t="shared" si="76"/>
        <v>0</v>
      </c>
      <c r="AA620" s="69">
        <f>STATS1003B!AA619/1000</f>
        <v>300</v>
      </c>
      <c r="AB620" s="69">
        <f>STATS1003B!AB619/1000</f>
        <v>0</v>
      </c>
    </row>
    <row r="621" spans="1:28" hidden="1" x14ac:dyDescent="0.3">
      <c r="A621" s="117"/>
      <c r="C621" s="71" t="s">
        <v>930</v>
      </c>
      <c r="D621" s="89" t="s">
        <v>1072</v>
      </c>
      <c r="E621" s="85">
        <f>STATS1003B!E620/1000</f>
        <v>239.13757000000001</v>
      </c>
      <c r="F621" s="85">
        <f>STATS1003B!F620/1000</f>
        <v>239.13757000000001</v>
      </c>
      <c r="G621" s="85">
        <f>STATS1003B!G620/1000</f>
        <v>0</v>
      </c>
      <c r="H621" s="85">
        <f>STATS1003B!H620/1000</f>
        <v>239.13757000000001</v>
      </c>
      <c r="I621" s="85">
        <f>STATS1003B!I620/1000</f>
        <v>0</v>
      </c>
      <c r="J621" s="85">
        <f>STATS1003B!J620/1000</f>
        <v>0</v>
      </c>
      <c r="K621" s="85">
        <f>STATS1003B!K620/1000</f>
        <v>0</v>
      </c>
      <c r="L621" s="85">
        <f>STATS1003B!L620/1000</f>
        <v>0</v>
      </c>
      <c r="M621" s="85">
        <f>STATS1003B!M620/1000</f>
        <v>239.13757000000001</v>
      </c>
      <c r="N621" s="85">
        <f>STATS1003B!N620/1000</f>
        <v>0</v>
      </c>
      <c r="O621" s="85">
        <f>STATS1003B!O620/1000</f>
        <v>0</v>
      </c>
      <c r="P621" s="85">
        <f>STATS1003B!P620/1000</f>
        <v>0</v>
      </c>
      <c r="Q621" s="85">
        <f>STATS1003B!Q620/1000</f>
        <v>0</v>
      </c>
      <c r="R621" s="85">
        <f>STATS1003B!R620/1000</f>
        <v>0</v>
      </c>
      <c r="S621" s="85">
        <f>STATS1003B!S620/1000</f>
        <v>0</v>
      </c>
      <c r="T621" s="85">
        <f>STATS1003B!T620/1000</f>
        <v>0</v>
      </c>
      <c r="U621" s="85">
        <f>STATS1003B!U620/1000</f>
        <v>0</v>
      </c>
      <c r="V621" s="85">
        <f>STATS1003B!V620/1000</f>
        <v>239.13757000000001</v>
      </c>
      <c r="W621" s="85">
        <f>STATS1003B!W620/1000</f>
        <v>0</v>
      </c>
      <c r="X621" s="85">
        <f t="shared" si="75"/>
        <v>239.13757000000001</v>
      </c>
      <c r="Y621" s="85">
        <f>STATS1003B!Y620/1000</f>
        <v>0</v>
      </c>
      <c r="Z621" s="85">
        <f t="shared" si="76"/>
        <v>0</v>
      </c>
      <c r="AA621" s="69">
        <f>STATS1003B!AA620/1000</f>
        <v>239.13757000000001</v>
      </c>
      <c r="AB621" s="69">
        <f>STATS1003B!AB620/1000</f>
        <v>0</v>
      </c>
    </row>
    <row r="622" spans="1:28" hidden="1" x14ac:dyDescent="0.3">
      <c r="A622" s="117"/>
      <c r="C622" s="71" t="s">
        <v>1246</v>
      </c>
      <c r="D622" s="89" t="s">
        <v>1225</v>
      </c>
      <c r="E622" s="85">
        <f>STATS1003B!E621/1000</f>
        <v>250</v>
      </c>
      <c r="F622" s="85">
        <f>STATS1003B!F621/1000</f>
        <v>250</v>
      </c>
      <c r="G622" s="85">
        <f>STATS1003B!G621/1000</f>
        <v>0</v>
      </c>
      <c r="H622" s="85">
        <f>STATS1003B!H621/1000</f>
        <v>250</v>
      </c>
      <c r="I622" s="85">
        <f>STATS1003B!I621/1000</f>
        <v>0</v>
      </c>
      <c r="J622" s="85">
        <f>STATS1003B!J621/1000</f>
        <v>0</v>
      </c>
      <c r="K622" s="85">
        <f>STATS1003B!K621/1000</f>
        <v>0</v>
      </c>
      <c r="L622" s="85">
        <f>STATS1003B!L621/1000</f>
        <v>0</v>
      </c>
      <c r="M622" s="85">
        <f>STATS1003B!M621/1000</f>
        <v>250</v>
      </c>
      <c r="N622" s="85">
        <f>STATS1003B!N621/1000</f>
        <v>0</v>
      </c>
      <c r="O622" s="85">
        <f>STATS1003B!O621/1000</f>
        <v>0</v>
      </c>
      <c r="P622" s="85">
        <f>STATS1003B!P621/1000</f>
        <v>0</v>
      </c>
      <c r="Q622" s="85">
        <f>STATS1003B!Q621/1000</f>
        <v>0</v>
      </c>
      <c r="R622" s="85">
        <f>STATS1003B!R621/1000</f>
        <v>0</v>
      </c>
      <c r="S622" s="85">
        <f>STATS1003B!S621/1000</f>
        <v>0</v>
      </c>
      <c r="T622" s="85">
        <f>STATS1003B!T621/1000</f>
        <v>0</v>
      </c>
      <c r="U622" s="85">
        <f>STATS1003B!U621/1000</f>
        <v>0</v>
      </c>
      <c r="V622" s="85">
        <f>STATS1003B!V621/1000</f>
        <v>0</v>
      </c>
      <c r="W622" s="85">
        <f>STATS1003B!W621/1000</f>
        <v>0</v>
      </c>
      <c r="X622" s="85">
        <f t="shared" si="75"/>
        <v>250</v>
      </c>
      <c r="Y622" s="85">
        <f>STATS1003B!Y621/1000</f>
        <v>0</v>
      </c>
      <c r="Z622" s="85">
        <f t="shared" si="76"/>
        <v>0</v>
      </c>
      <c r="AA622" s="69">
        <f>STATS1003B!AA621/1000</f>
        <v>250</v>
      </c>
      <c r="AB622" s="69">
        <f>STATS1003B!AB621/1000</f>
        <v>0</v>
      </c>
    </row>
    <row r="623" spans="1:28" hidden="1" x14ac:dyDescent="0.3">
      <c r="A623" s="117"/>
      <c r="C623" s="68" t="s">
        <v>57</v>
      </c>
      <c r="D623" s="89" t="s">
        <v>61</v>
      </c>
      <c r="E623" s="85">
        <f>STATS1003B!E622/1000</f>
        <v>320.14792</v>
      </c>
      <c r="F623" s="85">
        <f>STATS1003B!F622/1000</f>
        <v>320.14792</v>
      </c>
      <c r="G623" s="85">
        <f>STATS1003B!G622/1000</f>
        <v>0</v>
      </c>
      <c r="H623" s="85">
        <f>STATS1003B!H622/1000</f>
        <v>320.14792</v>
      </c>
      <c r="I623" s="85">
        <f>STATS1003B!I622/1000</f>
        <v>0</v>
      </c>
      <c r="J623" s="85">
        <f>STATS1003B!J622/1000</f>
        <v>0</v>
      </c>
      <c r="K623" s="85">
        <f>STATS1003B!K622/1000</f>
        <v>0</v>
      </c>
      <c r="L623" s="85">
        <f>STATS1003B!L622/1000</f>
        <v>0</v>
      </c>
      <c r="M623" s="85">
        <f>STATS1003B!M622/1000</f>
        <v>320.14792</v>
      </c>
      <c r="N623" s="85">
        <f>STATS1003B!N622/1000</f>
        <v>0</v>
      </c>
      <c r="O623" s="85">
        <f>STATS1003B!O622/1000</f>
        <v>0</v>
      </c>
      <c r="P623" s="85">
        <f>STATS1003B!P622/1000</f>
        <v>0</v>
      </c>
      <c r="Q623" s="85">
        <f>STATS1003B!Q622/1000</f>
        <v>0</v>
      </c>
      <c r="R623" s="85">
        <f>STATS1003B!R622/1000</f>
        <v>0</v>
      </c>
      <c r="S623" s="85">
        <f>STATS1003B!S622/1000</f>
        <v>0</v>
      </c>
      <c r="T623" s="85">
        <f>STATS1003B!T622/1000</f>
        <v>0</v>
      </c>
      <c r="U623" s="85">
        <f>STATS1003B!U622/1000</f>
        <v>0</v>
      </c>
      <c r="V623" s="85">
        <f>STATS1003B!V622/1000</f>
        <v>320.14792</v>
      </c>
      <c r="W623" s="85">
        <f>STATS1003B!W622/1000</f>
        <v>0</v>
      </c>
      <c r="X623" s="85">
        <f t="shared" si="75"/>
        <v>320.14792</v>
      </c>
      <c r="Y623" s="85">
        <f>STATS1003B!Y622/1000</f>
        <v>0</v>
      </c>
      <c r="Z623" s="85">
        <f t="shared" si="76"/>
        <v>0</v>
      </c>
      <c r="AA623" s="69">
        <f>STATS1003B!AA622/1000</f>
        <v>320.14792</v>
      </c>
      <c r="AB623" s="69">
        <f>STATS1003B!AB622/1000</f>
        <v>0</v>
      </c>
    </row>
    <row r="624" spans="1:28" hidden="1" x14ac:dyDescent="0.3">
      <c r="A624" s="117"/>
      <c r="E624" s="86" t="s">
        <v>29</v>
      </c>
      <c r="F624" s="86" t="s">
        <v>29</v>
      </c>
      <c r="G624" s="86" t="s">
        <v>29</v>
      </c>
      <c r="H624" s="86" t="s">
        <v>29</v>
      </c>
      <c r="I624" s="86" t="s">
        <v>29</v>
      </c>
      <c r="J624" s="86" t="s">
        <v>29</v>
      </c>
      <c r="K624" s="86" t="s">
        <v>29</v>
      </c>
      <c r="L624" s="86" t="s">
        <v>29</v>
      </c>
      <c r="M624" s="86" t="s">
        <v>29</v>
      </c>
      <c r="N624" s="86" t="s">
        <v>29</v>
      </c>
      <c r="O624" s="86" t="s">
        <v>29</v>
      </c>
      <c r="P624" s="86" t="s">
        <v>29</v>
      </c>
      <c r="Q624" s="86" t="s">
        <v>29</v>
      </c>
      <c r="R624" s="86" t="s">
        <v>29</v>
      </c>
      <c r="S624" s="86" t="s">
        <v>29</v>
      </c>
      <c r="T624" s="86" t="s">
        <v>29</v>
      </c>
      <c r="U624" s="86" t="s">
        <v>29</v>
      </c>
      <c r="V624" s="86" t="s">
        <v>29</v>
      </c>
      <c r="W624" s="86" t="s">
        <v>29</v>
      </c>
      <c r="X624" s="85" t="e">
        <f t="shared" si="75"/>
        <v>#VALUE!</v>
      </c>
      <c r="Y624" s="86" t="s">
        <v>29</v>
      </c>
      <c r="Z624" s="85" t="e">
        <f t="shared" si="76"/>
        <v>#VALUE!</v>
      </c>
      <c r="AA624" s="115" t="s">
        <v>29</v>
      </c>
      <c r="AB624" s="115" t="s">
        <v>29</v>
      </c>
    </row>
    <row r="625" spans="1:28" x14ac:dyDescent="0.3">
      <c r="A625" s="116">
        <v>30</v>
      </c>
      <c r="B625" s="68" t="s">
        <v>195</v>
      </c>
      <c r="E625" s="85">
        <f>77431641.61/1000</f>
        <v>77431.641610000006</v>
      </c>
      <c r="F625" s="85">
        <f>SUM(F611:F623)</f>
        <v>41116.416460000008</v>
      </c>
      <c r="G625" s="85">
        <f>SUM(G611:G623)</f>
        <v>0</v>
      </c>
      <c r="H625" s="85">
        <f>68035573.07/1000</f>
        <v>68035.573069999999</v>
      </c>
      <c r="I625" s="85">
        <f t="shared" ref="I625:O625" si="81">SUM(I611:I623)</f>
        <v>0</v>
      </c>
      <c r="J625" s="85">
        <f t="shared" si="81"/>
        <v>0</v>
      </c>
      <c r="K625" s="85">
        <f t="shared" si="81"/>
        <v>0</v>
      </c>
      <c r="L625" s="85">
        <f t="shared" si="81"/>
        <v>0</v>
      </c>
      <c r="M625" s="85">
        <f t="shared" si="81"/>
        <v>41116.416460000008</v>
      </c>
      <c r="N625" s="85">
        <f t="shared" si="81"/>
        <v>2216.1102500000002</v>
      </c>
      <c r="O625" s="85">
        <f t="shared" si="81"/>
        <v>0</v>
      </c>
      <c r="P625" s="85">
        <f>2216110/1000</f>
        <v>2216.11</v>
      </c>
      <c r="Q625" s="85">
        <f t="shared" ref="Q625:W625" si="82">SUM(Q611:Q623)</f>
        <v>0</v>
      </c>
      <c r="R625" s="85">
        <f t="shared" si="82"/>
        <v>0</v>
      </c>
      <c r="S625" s="85">
        <f t="shared" si="82"/>
        <v>0</v>
      </c>
      <c r="T625" s="85">
        <f t="shared" si="82"/>
        <v>0</v>
      </c>
      <c r="U625" s="85">
        <f t="shared" si="82"/>
        <v>2216.1102500000002</v>
      </c>
      <c r="V625" s="85">
        <f t="shared" si="82"/>
        <v>43082.526710000006</v>
      </c>
      <c r="W625" s="85">
        <f t="shared" si="82"/>
        <v>7179.9582899999987</v>
      </c>
      <c r="X625" s="85">
        <f t="shared" si="75"/>
        <v>70251.683069999999</v>
      </c>
      <c r="Y625" s="85">
        <f>SUM(Y611:Y623)</f>
        <v>0</v>
      </c>
      <c r="Z625" s="85">
        <f t="shared" si="76"/>
        <v>7179.9585400000069</v>
      </c>
      <c r="AA625" s="69">
        <f>SUM(AA611:AA623)</f>
        <v>43332.526710000006</v>
      </c>
      <c r="AB625" s="69">
        <f>SUM(AB611:AB623)</f>
        <v>7179.9582899999987</v>
      </c>
    </row>
    <row r="626" spans="1:28" hidden="1" x14ac:dyDescent="0.3">
      <c r="A626" s="117"/>
      <c r="E626" s="86" t="s">
        <v>29</v>
      </c>
      <c r="F626" s="86" t="s">
        <v>29</v>
      </c>
      <c r="G626" s="86" t="s">
        <v>29</v>
      </c>
      <c r="H626" s="86" t="s">
        <v>29</v>
      </c>
      <c r="I626" s="86" t="s">
        <v>29</v>
      </c>
      <c r="J626" s="86" t="s">
        <v>29</v>
      </c>
      <c r="K626" s="86" t="s">
        <v>29</v>
      </c>
      <c r="L626" s="86" t="s">
        <v>29</v>
      </c>
      <c r="M626" s="86" t="s">
        <v>29</v>
      </c>
      <c r="N626" s="86" t="s">
        <v>29</v>
      </c>
      <c r="O626" s="86" t="s">
        <v>29</v>
      </c>
      <c r="P626" s="86" t="s">
        <v>29</v>
      </c>
      <c r="Q626" s="86" t="s">
        <v>29</v>
      </c>
      <c r="R626" s="86" t="s">
        <v>29</v>
      </c>
      <c r="S626" s="86" t="s">
        <v>29</v>
      </c>
      <c r="T626" s="86" t="s">
        <v>29</v>
      </c>
      <c r="U626" s="86" t="s">
        <v>29</v>
      </c>
      <c r="V626" s="86" t="s">
        <v>29</v>
      </c>
      <c r="W626" s="86" t="s">
        <v>29</v>
      </c>
      <c r="X626" s="85" t="e">
        <f t="shared" si="75"/>
        <v>#VALUE!</v>
      </c>
      <c r="Y626" s="86" t="s">
        <v>29</v>
      </c>
      <c r="Z626" s="86" t="s">
        <v>29</v>
      </c>
      <c r="AA626" s="115" t="s">
        <v>29</v>
      </c>
      <c r="AB626" s="115" t="s">
        <v>29</v>
      </c>
    </row>
    <row r="627" spans="1:28" hidden="1" x14ac:dyDescent="0.3">
      <c r="A627" s="105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5">
        <f t="shared" si="75"/>
        <v>0</v>
      </c>
      <c r="Y627" s="84"/>
      <c r="Z627" s="84"/>
      <c r="AA627" s="118"/>
    </row>
    <row r="628" spans="1:28" hidden="1" x14ac:dyDescent="0.3">
      <c r="A628" s="117"/>
      <c r="C628" s="68" t="s">
        <v>149</v>
      </c>
      <c r="D628" s="88" t="s">
        <v>150</v>
      </c>
      <c r="E628" s="85">
        <f>STATS1003B!E627/1000</f>
        <v>5700.9610000000002</v>
      </c>
      <c r="F628" s="85">
        <f>STATS1003B!F627/1000</f>
        <v>4825</v>
      </c>
      <c r="G628" s="85">
        <f>STATS1003B!G627/1000</f>
        <v>0</v>
      </c>
      <c r="H628" s="85">
        <f>STATS1003B!H627/1000</f>
        <v>4825</v>
      </c>
      <c r="I628" s="85">
        <f>STATS1003B!I627/1000</f>
        <v>0</v>
      </c>
      <c r="J628" s="85">
        <f>STATS1003B!J627/1000</f>
        <v>0</v>
      </c>
      <c r="K628" s="85">
        <f>STATS1003B!K627/1000</f>
        <v>0</v>
      </c>
      <c r="L628" s="85">
        <f>STATS1003B!L627/1000</f>
        <v>0</v>
      </c>
      <c r="M628" s="85">
        <f>STATS1003B!M627/1000</f>
        <v>4825</v>
      </c>
      <c r="N628" s="85">
        <f>STATS1003B!N627/1000</f>
        <v>211.72848000000002</v>
      </c>
      <c r="O628" s="85">
        <f>STATS1003B!O627/1000</f>
        <v>0</v>
      </c>
      <c r="P628" s="85">
        <f>STATS1003B!P627/1000</f>
        <v>211.72848000000002</v>
      </c>
      <c r="Q628" s="85">
        <f>STATS1003B!Q627/1000</f>
        <v>0</v>
      </c>
      <c r="R628" s="85">
        <f>STATS1003B!R627/1000</f>
        <v>0</v>
      </c>
      <c r="S628" s="85">
        <f>STATS1003B!S627/1000</f>
        <v>0</v>
      </c>
      <c r="T628" s="85">
        <f>STATS1003B!T627/1000</f>
        <v>0</v>
      </c>
      <c r="U628" s="85">
        <f>STATS1003B!U627/1000</f>
        <v>211.72848000000002</v>
      </c>
      <c r="V628" s="85">
        <f>STATS1003B!V627/1000</f>
        <v>5036.7284800000007</v>
      </c>
      <c r="W628" s="85">
        <f>STATS1003B!W627/1000</f>
        <v>664.23251999999957</v>
      </c>
      <c r="X628" s="85">
        <f t="shared" si="75"/>
        <v>5036.7284799999998</v>
      </c>
      <c r="Y628" s="85">
        <f>STATS1003B!Y627/1000</f>
        <v>0</v>
      </c>
      <c r="Z628" s="85">
        <f>STATS1003B!Z627/1000</f>
        <v>664.23251999999957</v>
      </c>
      <c r="AA628" s="69">
        <f>STATS1003B!AA627/1000</f>
        <v>5036.7284800000007</v>
      </c>
      <c r="AB628" s="69">
        <f>STATS1003B!AB627/1000</f>
        <v>664.23251999999957</v>
      </c>
    </row>
    <row r="629" spans="1:28" hidden="1" x14ac:dyDescent="0.3">
      <c r="A629" s="117"/>
      <c r="C629" s="68" t="s">
        <v>151</v>
      </c>
      <c r="D629" s="88" t="s">
        <v>150</v>
      </c>
      <c r="E629" s="85">
        <f>STATS1003B!E628/1000</f>
        <v>20240.572550000001</v>
      </c>
      <c r="F629" s="85">
        <f>STATS1003B!F628/1000</f>
        <v>14408.445240000001</v>
      </c>
      <c r="G629" s="85">
        <f>STATS1003B!G628/1000</f>
        <v>0</v>
      </c>
      <c r="H629" s="85">
        <f>STATS1003B!H628/1000</f>
        <v>14408.445240000001</v>
      </c>
      <c r="I629" s="85">
        <f>STATS1003B!I628/1000</f>
        <v>0</v>
      </c>
      <c r="J629" s="85">
        <f>STATS1003B!J628/1000</f>
        <v>0</v>
      </c>
      <c r="K629" s="85">
        <f>STATS1003B!K628/1000</f>
        <v>0</v>
      </c>
      <c r="L629" s="85">
        <f>STATS1003B!L628/1000</f>
        <v>0</v>
      </c>
      <c r="M629" s="85">
        <f>STATS1003B!M628/1000</f>
        <v>14408.445240000001</v>
      </c>
      <c r="N629" s="85">
        <f>STATS1003B!N628/1000</f>
        <v>0</v>
      </c>
      <c r="O629" s="85">
        <f>STATS1003B!O628/1000</f>
        <v>0</v>
      </c>
      <c r="P629" s="85">
        <f>STATS1003B!P628/1000</f>
        <v>0</v>
      </c>
      <c r="Q629" s="85">
        <f>STATS1003B!Q628/1000</f>
        <v>0</v>
      </c>
      <c r="R629" s="85">
        <f>STATS1003B!R628/1000</f>
        <v>0</v>
      </c>
      <c r="S629" s="85">
        <f>STATS1003B!S628/1000</f>
        <v>0</v>
      </c>
      <c r="T629" s="85">
        <f>STATS1003B!T628/1000</f>
        <v>0</v>
      </c>
      <c r="U629" s="85">
        <f>STATS1003B!U628/1000</f>
        <v>0</v>
      </c>
      <c r="V629" s="85">
        <f>STATS1003B!V628/1000</f>
        <v>14408.445240000001</v>
      </c>
      <c r="W629" s="85">
        <f>STATS1003B!W628/1000</f>
        <v>5832.1273100000008</v>
      </c>
      <c r="X629" s="85">
        <f t="shared" si="75"/>
        <v>14408.445240000001</v>
      </c>
      <c r="Y629" s="85">
        <f>STATS1003B!Y628/1000</f>
        <v>0</v>
      </c>
      <c r="Z629" s="85">
        <f>STATS1003B!Z628/1000</f>
        <v>5832.1273100000008</v>
      </c>
      <c r="AA629" s="69">
        <f>STATS1003B!AA628/1000</f>
        <v>14408.445240000001</v>
      </c>
      <c r="AB629" s="69">
        <f>STATS1003B!AB628/1000</f>
        <v>5832.1273100000008</v>
      </c>
    </row>
    <row r="630" spans="1:28" hidden="1" x14ac:dyDescent="0.3">
      <c r="A630" s="117"/>
      <c r="C630" s="68" t="s">
        <v>57</v>
      </c>
      <c r="D630" s="145" t="s">
        <v>54</v>
      </c>
      <c r="E630" s="85">
        <f>STATS1003B!E629/1000</f>
        <v>81.05</v>
      </c>
      <c r="F630" s="85">
        <f>STATS1003B!F629/1000</f>
        <v>81.05</v>
      </c>
      <c r="G630" s="85">
        <f>STATS1003B!G629/1000</f>
        <v>0</v>
      </c>
      <c r="H630" s="85">
        <f>STATS1003B!H629/1000</f>
        <v>81.05</v>
      </c>
      <c r="I630" s="85">
        <f>STATS1003B!I629/1000</f>
        <v>0</v>
      </c>
      <c r="J630" s="85">
        <f>STATS1003B!J629/1000</f>
        <v>0</v>
      </c>
      <c r="K630" s="85">
        <f>STATS1003B!K629/1000</f>
        <v>0</v>
      </c>
      <c r="L630" s="85">
        <f>STATS1003B!L629/1000</f>
        <v>0</v>
      </c>
      <c r="M630" s="85">
        <f>STATS1003B!M629/1000</f>
        <v>81.05</v>
      </c>
      <c r="N630" s="85">
        <f>STATS1003B!N629/1000</f>
        <v>0</v>
      </c>
      <c r="O630" s="85">
        <f>STATS1003B!O629/1000</f>
        <v>0</v>
      </c>
      <c r="P630" s="85">
        <f>STATS1003B!P629/1000</f>
        <v>0</v>
      </c>
      <c r="Q630" s="85">
        <f>STATS1003B!Q629/1000</f>
        <v>0</v>
      </c>
      <c r="R630" s="85">
        <f>STATS1003B!R629/1000</f>
        <v>0</v>
      </c>
      <c r="S630" s="85">
        <f>STATS1003B!S629/1000</f>
        <v>0</v>
      </c>
      <c r="T630" s="85">
        <f>STATS1003B!T629/1000</f>
        <v>0</v>
      </c>
      <c r="U630" s="85">
        <f>STATS1003B!U629/1000</f>
        <v>0</v>
      </c>
      <c r="V630" s="85">
        <f>STATS1003B!V629/1000</f>
        <v>81.05</v>
      </c>
      <c r="W630" s="85">
        <f>STATS1003B!W629/1000</f>
        <v>0</v>
      </c>
      <c r="X630" s="85">
        <f t="shared" si="75"/>
        <v>81.05</v>
      </c>
      <c r="Y630" s="85">
        <f>STATS1003B!Y629/1000</f>
        <v>0</v>
      </c>
      <c r="Z630" s="85">
        <f>STATS1003B!Z629/1000</f>
        <v>0</v>
      </c>
      <c r="AA630" s="69">
        <f>STATS1003B!AA629/1000</f>
        <v>81.05</v>
      </c>
      <c r="AB630" s="69">
        <f>STATS1003B!AB629/1000</f>
        <v>0</v>
      </c>
    </row>
    <row r="631" spans="1:28" hidden="1" x14ac:dyDescent="0.3">
      <c r="A631" s="117"/>
      <c r="C631" s="68" t="s">
        <v>53</v>
      </c>
      <c r="D631" s="145" t="s">
        <v>85</v>
      </c>
      <c r="E631" s="85">
        <f>STATS1003B!E630/1000</f>
        <v>1950.1130000000001</v>
      </c>
      <c r="F631" s="85">
        <f>STATS1003B!F630/1000</f>
        <v>0</v>
      </c>
      <c r="G631" s="85">
        <f>STATS1003B!G630/1000</f>
        <v>0</v>
      </c>
      <c r="H631" s="85">
        <f>STATS1003B!H630/1000</f>
        <v>0</v>
      </c>
      <c r="I631" s="85">
        <f>STATS1003B!I630/1000</f>
        <v>0</v>
      </c>
      <c r="J631" s="85">
        <f>STATS1003B!J630/1000</f>
        <v>0</v>
      </c>
      <c r="K631" s="85">
        <f>STATS1003B!K630/1000</f>
        <v>0</v>
      </c>
      <c r="L631" s="85">
        <f>STATS1003B!L630/1000</f>
        <v>0</v>
      </c>
      <c r="M631" s="85">
        <f>STATS1003B!M630/1000</f>
        <v>0</v>
      </c>
      <c r="N631" s="85">
        <f>STATS1003B!N630/1000</f>
        <v>1950.1130000000001</v>
      </c>
      <c r="O631" s="85">
        <f>STATS1003B!O630/1000</f>
        <v>0</v>
      </c>
      <c r="P631" s="85">
        <f>STATS1003B!P630/1000</f>
        <v>1950.1130000000001</v>
      </c>
      <c r="Q631" s="85">
        <f>STATS1003B!Q630/1000</f>
        <v>0</v>
      </c>
      <c r="R631" s="85">
        <f>STATS1003B!R630/1000</f>
        <v>0</v>
      </c>
      <c r="S631" s="85">
        <f>STATS1003B!S630/1000</f>
        <v>0</v>
      </c>
      <c r="T631" s="85">
        <f>STATS1003B!T630/1000</f>
        <v>0</v>
      </c>
      <c r="U631" s="85">
        <f>STATS1003B!U630/1000</f>
        <v>1950.1130000000001</v>
      </c>
      <c r="V631" s="85">
        <f>STATS1003B!V630/1000</f>
        <v>1950.1130000000001</v>
      </c>
      <c r="W631" s="85">
        <f>STATS1003B!W630/1000</f>
        <v>0</v>
      </c>
      <c r="X631" s="85">
        <f t="shared" si="75"/>
        <v>1950.1130000000001</v>
      </c>
      <c r="Y631" s="85">
        <f>STATS1003B!Y630/1000</f>
        <v>0</v>
      </c>
      <c r="Z631" s="85">
        <f>STATS1003B!Z630/1000</f>
        <v>0</v>
      </c>
      <c r="AA631" s="69">
        <f>STATS1003B!AA630/1000</f>
        <v>1950.1130000000001</v>
      </c>
      <c r="AB631" s="69">
        <f>STATS1003B!AB630/1000</f>
        <v>0</v>
      </c>
    </row>
    <row r="632" spans="1:28" hidden="1" x14ac:dyDescent="0.3">
      <c r="A632" s="117"/>
      <c r="C632" s="68" t="s">
        <v>147</v>
      </c>
      <c r="D632" s="145" t="s">
        <v>128</v>
      </c>
      <c r="E632" s="85">
        <f>STATS1003B!E631/1000</f>
        <v>282.73</v>
      </c>
      <c r="F632" s="85">
        <f>STATS1003B!F631/1000</f>
        <v>0</v>
      </c>
      <c r="G632" s="85">
        <f>STATS1003B!G631/1000</f>
        <v>0</v>
      </c>
      <c r="H632" s="85">
        <f>STATS1003B!H631/1000</f>
        <v>0</v>
      </c>
      <c r="I632" s="85">
        <f>STATS1003B!I631/1000</f>
        <v>0</v>
      </c>
      <c r="J632" s="85">
        <f>STATS1003B!J631/1000</f>
        <v>0</v>
      </c>
      <c r="K632" s="85">
        <f>STATS1003B!K631/1000</f>
        <v>0</v>
      </c>
      <c r="L632" s="85">
        <f>STATS1003B!L631/1000</f>
        <v>0</v>
      </c>
      <c r="M632" s="85">
        <f>STATS1003B!M631/1000</f>
        <v>0</v>
      </c>
      <c r="N632" s="85">
        <f>STATS1003B!N631/1000</f>
        <v>282.73</v>
      </c>
      <c r="O632" s="85">
        <f>STATS1003B!O631/1000</f>
        <v>0</v>
      </c>
      <c r="P632" s="85">
        <f>STATS1003B!P631/1000</f>
        <v>282.73</v>
      </c>
      <c r="Q632" s="85">
        <f>STATS1003B!Q631/1000</f>
        <v>0</v>
      </c>
      <c r="R632" s="85">
        <f>STATS1003B!R631/1000</f>
        <v>0</v>
      </c>
      <c r="S632" s="85">
        <f>STATS1003B!S631/1000</f>
        <v>0</v>
      </c>
      <c r="T632" s="85">
        <f>STATS1003B!T631/1000</f>
        <v>0</v>
      </c>
      <c r="U632" s="85">
        <f>STATS1003B!U631/1000</f>
        <v>282.73</v>
      </c>
      <c r="V632" s="85">
        <f>STATS1003B!V631/1000</f>
        <v>282.73</v>
      </c>
      <c r="W632" s="85">
        <f>STATS1003B!W631/1000</f>
        <v>0</v>
      </c>
      <c r="X632" s="85">
        <f t="shared" si="75"/>
        <v>282.73</v>
      </c>
      <c r="Y632" s="85">
        <f>STATS1003B!Y631/1000</f>
        <v>0</v>
      </c>
      <c r="Z632" s="85">
        <f>STATS1003B!Z631/1000</f>
        <v>0</v>
      </c>
      <c r="AA632" s="69">
        <f>STATS1003B!AA631/1000</f>
        <v>282.73</v>
      </c>
      <c r="AB632" s="69">
        <f>STATS1003B!AB631/1000</f>
        <v>0</v>
      </c>
    </row>
    <row r="633" spans="1:28" hidden="1" x14ac:dyDescent="0.3">
      <c r="A633" s="117"/>
      <c r="C633" s="68" t="s">
        <v>57</v>
      </c>
      <c r="D633" s="145" t="s">
        <v>108</v>
      </c>
      <c r="E633" s="85">
        <f>STATS1003B!E632/1000</f>
        <v>2468.7566900000002</v>
      </c>
      <c r="F633" s="85">
        <f>STATS1003B!F632/1000</f>
        <v>2468.7566900000002</v>
      </c>
      <c r="G633" s="85">
        <f>STATS1003B!G632/1000</f>
        <v>0</v>
      </c>
      <c r="H633" s="85">
        <f>STATS1003B!H632/1000</f>
        <v>2468.7566900000002</v>
      </c>
      <c r="I633" s="85">
        <f>STATS1003B!I632/1000</f>
        <v>0</v>
      </c>
      <c r="J633" s="85">
        <f>STATS1003B!J632/1000</f>
        <v>0</v>
      </c>
      <c r="K633" s="85">
        <f>STATS1003B!K632/1000</f>
        <v>0</v>
      </c>
      <c r="L633" s="85">
        <f>STATS1003B!L632/1000</f>
        <v>0</v>
      </c>
      <c r="M633" s="85">
        <f>STATS1003B!M632/1000</f>
        <v>2468.7566900000002</v>
      </c>
      <c r="N633" s="85">
        <f>STATS1003B!N632/1000</f>
        <v>0</v>
      </c>
      <c r="O633" s="85">
        <f>STATS1003B!O632/1000</f>
        <v>0</v>
      </c>
      <c r="P633" s="85">
        <f>STATS1003B!P632/1000</f>
        <v>0</v>
      </c>
      <c r="Q633" s="85">
        <f>STATS1003B!Q632/1000</f>
        <v>0</v>
      </c>
      <c r="R633" s="85">
        <f>STATS1003B!R632/1000</f>
        <v>0</v>
      </c>
      <c r="S633" s="85">
        <f>STATS1003B!S632/1000</f>
        <v>0</v>
      </c>
      <c r="T633" s="85">
        <f>STATS1003B!T632/1000</f>
        <v>0</v>
      </c>
      <c r="U633" s="85">
        <f>STATS1003B!U632/1000</f>
        <v>0</v>
      </c>
      <c r="V633" s="85">
        <f>STATS1003B!V632/1000</f>
        <v>2468.7566900000002</v>
      </c>
      <c r="W633" s="85">
        <f>STATS1003B!W632/1000</f>
        <v>0</v>
      </c>
      <c r="X633" s="85">
        <f t="shared" si="75"/>
        <v>2468.7566900000002</v>
      </c>
      <c r="Y633" s="85">
        <f>STATS1003B!Y632/1000</f>
        <v>0</v>
      </c>
      <c r="Z633" s="85">
        <f>STATS1003B!Z632/1000</f>
        <v>0</v>
      </c>
      <c r="AA633" s="69">
        <f>STATS1003B!AA632/1000</f>
        <v>2468.7566900000002</v>
      </c>
      <c r="AB633" s="69">
        <f>STATS1003B!AB632/1000</f>
        <v>0</v>
      </c>
    </row>
    <row r="634" spans="1:28" hidden="1" x14ac:dyDescent="0.3">
      <c r="A634" s="117"/>
      <c r="C634" s="68" t="s">
        <v>57</v>
      </c>
      <c r="D634" s="145" t="s">
        <v>58</v>
      </c>
      <c r="E634" s="85">
        <f>STATS1003B!E633/1000</f>
        <v>4062.9070000000002</v>
      </c>
      <c r="F634" s="85">
        <f>STATS1003B!F633/1000</f>
        <v>4062.9070000000002</v>
      </c>
      <c r="G634" s="85">
        <f>STATS1003B!G633/1000</f>
        <v>0</v>
      </c>
      <c r="H634" s="85">
        <f>STATS1003B!H633/1000</f>
        <v>4062.9070000000002</v>
      </c>
      <c r="I634" s="85">
        <f>STATS1003B!I633/1000</f>
        <v>0</v>
      </c>
      <c r="J634" s="85">
        <f>STATS1003B!J633/1000</f>
        <v>0</v>
      </c>
      <c r="K634" s="85">
        <f>STATS1003B!K633/1000</f>
        <v>0</v>
      </c>
      <c r="L634" s="85">
        <f>STATS1003B!L633/1000</f>
        <v>0</v>
      </c>
      <c r="M634" s="85">
        <f>STATS1003B!M633/1000</f>
        <v>4062.9070000000002</v>
      </c>
      <c r="N634" s="85">
        <f>STATS1003B!N633/1000</f>
        <v>0</v>
      </c>
      <c r="O634" s="85">
        <f>STATS1003B!O633/1000</f>
        <v>0</v>
      </c>
      <c r="P634" s="85">
        <f>STATS1003B!P633/1000</f>
        <v>0</v>
      </c>
      <c r="Q634" s="85">
        <f>STATS1003B!Q633/1000</f>
        <v>0</v>
      </c>
      <c r="R634" s="85">
        <f>STATS1003B!R633/1000</f>
        <v>0</v>
      </c>
      <c r="S634" s="85">
        <f>STATS1003B!S633/1000</f>
        <v>0</v>
      </c>
      <c r="T634" s="85">
        <f>STATS1003B!T633/1000</f>
        <v>0</v>
      </c>
      <c r="U634" s="85">
        <f>STATS1003B!U633/1000</f>
        <v>0</v>
      </c>
      <c r="V634" s="85">
        <f>STATS1003B!V633/1000</f>
        <v>4062.9070000000002</v>
      </c>
      <c r="W634" s="85">
        <f>STATS1003B!W633/1000</f>
        <v>0</v>
      </c>
      <c r="X634" s="85">
        <f t="shared" si="75"/>
        <v>4062.9070000000002</v>
      </c>
      <c r="Y634" s="85">
        <f>STATS1003B!Y633/1000</f>
        <v>0</v>
      </c>
      <c r="Z634" s="85">
        <f>STATS1003B!Z633/1000</f>
        <v>0</v>
      </c>
      <c r="AA634" s="69">
        <f>STATS1003B!AA633/1000</f>
        <v>4062.9070000000002</v>
      </c>
      <c r="AB634" s="69">
        <f>STATS1003B!AB633/1000</f>
        <v>0</v>
      </c>
    </row>
    <row r="635" spans="1:28" hidden="1" x14ac:dyDescent="0.3">
      <c r="A635" s="117"/>
      <c r="C635" s="68" t="s">
        <v>1077</v>
      </c>
      <c r="D635" s="145"/>
      <c r="E635" s="85">
        <f>STATS1003B!E634/1000</f>
        <v>271.88514000000004</v>
      </c>
      <c r="F635" s="85">
        <f>STATS1003B!F634/1000</f>
        <v>271.88514000000004</v>
      </c>
      <c r="G635" s="85">
        <f>STATS1003B!G634/1000</f>
        <v>0</v>
      </c>
      <c r="H635" s="85">
        <f>STATS1003B!H634/1000</f>
        <v>271.88514000000004</v>
      </c>
      <c r="I635" s="85">
        <f>STATS1003B!I634/1000</f>
        <v>0</v>
      </c>
      <c r="J635" s="85">
        <f>STATS1003B!J634/1000</f>
        <v>0</v>
      </c>
      <c r="K635" s="85">
        <f>STATS1003B!K634/1000</f>
        <v>0</v>
      </c>
      <c r="L635" s="85">
        <f>STATS1003B!L634/1000</f>
        <v>0</v>
      </c>
      <c r="M635" s="85">
        <f>STATS1003B!M634/1000</f>
        <v>271.88514000000004</v>
      </c>
      <c r="N635" s="85">
        <f>STATS1003B!N634/1000</f>
        <v>0</v>
      </c>
      <c r="O635" s="85">
        <f>STATS1003B!O634/1000</f>
        <v>0</v>
      </c>
      <c r="P635" s="85">
        <f>STATS1003B!P634/1000</f>
        <v>0</v>
      </c>
      <c r="Q635" s="85">
        <f>STATS1003B!Q634/1000</f>
        <v>0</v>
      </c>
      <c r="R635" s="85">
        <f>STATS1003B!R634/1000</f>
        <v>0</v>
      </c>
      <c r="S635" s="85">
        <f>STATS1003B!S634/1000</f>
        <v>0</v>
      </c>
      <c r="T635" s="85">
        <f>STATS1003B!T634/1000</f>
        <v>0</v>
      </c>
      <c r="U635" s="85">
        <f>STATS1003B!U634/1000</f>
        <v>0</v>
      </c>
      <c r="V635" s="85">
        <f>STATS1003B!V634/1000</f>
        <v>271.88514000000004</v>
      </c>
      <c r="W635" s="85">
        <f>STATS1003B!W634/1000</f>
        <v>0</v>
      </c>
      <c r="X635" s="85">
        <f t="shared" si="75"/>
        <v>271.88514000000004</v>
      </c>
      <c r="Y635" s="85">
        <f>STATS1003B!Y634/1000</f>
        <v>0</v>
      </c>
      <c r="Z635" s="85">
        <f>STATS1003B!Z634/1000</f>
        <v>0</v>
      </c>
      <c r="AA635" s="69">
        <f>STATS1003B!AA634/1000</f>
        <v>271.88514000000004</v>
      </c>
      <c r="AB635" s="69">
        <f>STATS1003B!AB634/1000</f>
        <v>0</v>
      </c>
    </row>
    <row r="636" spans="1:28" hidden="1" x14ac:dyDescent="0.3">
      <c r="A636" s="117"/>
      <c r="C636" s="71" t="s">
        <v>199</v>
      </c>
      <c r="D636" s="145" t="s">
        <v>58</v>
      </c>
      <c r="E636" s="85">
        <f>STATS1003B!E635/1000</f>
        <v>5000</v>
      </c>
      <c r="F636" s="85">
        <f>STATS1003B!F635/1000</f>
        <v>5000</v>
      </c>
      <c r="G636" s="85">
        <f>STATS1003B!G635/1000</f>
        <v>0</v>
      </c>
      <c r="H636" s="85">
        <f>STATS1003B!H635/1000</f>
        <v>5000</v>
      </c>
      <c r="I636" s="85">
        <f>STATS1003B!I635/1000</f>
        <v>0</v>
      </c>
      <c r="J636" s="85">
        <f>STATS1003B!J635/1000</f>
        <v>0</v>
      </c>
      <c r="K636" s="85">
        <f>STATS1003B!K635/1000</f>
        <v>0</v>
      </c>
      <c r="L636" s="85">
        <f>STATS1003B!L635/1000</f>
        <v>0</v>
      </c>
      <c r="M636" s="85">
        <f>STATS1003B!M635/1000</f>
        <v>5000</v>
      </c>
      <c r="N636" s="85">
        <f>STATS1003B!N635/1000</f>
        <v>0</v>
      </c>
      <c r="O636" s="85">
        <f>STATS1003B!O635/1000</f>
        <v>0</v>
      </c>
      <c r="P636" s="85">
        <f>STATS1003B!P635/1000</f>
        <v>0</v>
      </c>
      <c r="Q636" s="85">
        <f>STATS1003B!Q635/1000</f>
        <v>0</v>
      </c>
      <c r="R636" s="85">
        <f>STATS1003B!R635/1000</f>
        <v>0</v>
      </c>
      <c r="S636" s="85">
        <f>STATS1003B!S635/1000</f>
        <v>0</v>
      </c>
      <c r="T636" s="85">
        <f>STATS1003B!T635/1000</f>
        <v>0</v>
      </c>
      <c r="U636" s="85">
        <f>STATS1003B!U635/1000</f>
        <v>0</v>
      </c>
      <c r="V636" s="85">
        <f>STATS1003B!V635/1000</f>
        <v>5000</v>
      </c>
      <c r="W636" s="85">
        <f>STATS1003B!W635/1000</f>
        <v>0</v>
      </c>
      <c r="X636" s="85">
        <f t="shared" si="75"/>
        <v>5000</v>
      </c>
      <c r="Y636" s="85">
        <f>STATS1003B!Y635/1000</f>
        <v>0</v>
      </c>
      <c r="Z636" s="85">
        <f>STATS1003B!Z635/1000</f>
        <v>0</v>
      </c>
      <c r="AA636" s="69">
        <f>STATS1003B!AA635/1000</f>
        <v>5000</v>
      </c>
      <c r="AB636" s="69">
        <f>STATS1003B!AB635/1000</f>
        <v>0</v>
      </c>
    </row>
    <row r="637" spans="1:28" hidden="1" x14ac:dyDescent="0.3">
      <c r="A637" s="117"/>
      <c r="E637" s="86" t="s">
        <v>29</v>
      </c>
      <c r="F637" s="86" t="s">
        <v>29</v>
      </c>
      <c r="G637" s="86" t="s">
        <v>29</v>
      </c>
      <c r="H637" s="86" t="s">
        <v>29</v>
      </c>
      <c r="I637" s="86" t="s">
        <v>29</v>
      </c>
      <c r="J637" s="86" t="s">
        <v>29</v>
      </c>
      <c r="K637" s="86" t="s">
        <v>29</v>
      </c>
      <c r="L637" s="86" t="s">
        <v>29</v>
      </c>
      <c r="M637" s="86" t="s">
        <v>29</v>
      </c>
      <c r="N637" s="86" t="s">
        <v>29</v>
      </c>
      <c r="O637" s="86" t="s">
        <v>29</v>
      </c>
      <c r="P637" s="86" t="s">
        <v>29</v>
      </c>
      <c r="Q637" s="86" t="s">
        <v>29</v>
      </c>
      <c r="R637" s="86" t="s">
        <v>29</v>
      </c>
      <c r="S637" s="86" t="s">
        <v>29</v>
      </c>
      <c r="T637" s="86" t="s">
        <v>29</v>
      </c>
      <c r="U637" s="86" t="s">
        <v>29</v>
      </c>
      <c r="V637" s="86" t="s">
        <v>29</v>
      </c>
      <c r="W637" s="86" t="s">
        <v>29</v>
      </c>
      <c r="X637" s="85" t="e">
        <f t="shared" si="75"/>
        <v>#VALUE!</v>
      </c>
      <c r="Y637" s="86" t="s">
        <v>29</v>
      </c>
      <c r="Z637" s="86" t="s">
        <v>29</v>
      </c>
      <c r="AA637" s="115" t="s">
        <v>29</v>
      </c>
      <c r="AB637" s="115" t="s">
        <v>29</v>
      </c>
    </row>
    <row r="638" spans="1:28" x14ac:dyDescent="0.3">
      <c r="A638" s="116">
        <v>31</v>
      </c>
      <c r="B638" s="68" t="s">
        <v>198</v>
      </c>
      <c r="E638" s="85">
        <f>83943141.22/1000</f>
        <v>83943.141220000005</v>
      </c>
      <c r="F638" s="85">
        <f>SUM(F628:F636)</f>
        <v>31118.044069999996</v>
      </c>
      <c r="G638" s="85">
        <f>SUM(G628:G636)</f>
        <v>0</v>
      </c>
      <c r="H638" s="85">
        <f>75002209.91/1000</f>
        <v>75002.20990999999</v>
      </c>
      <c r="I638" s="85">
        <f t="shared" ref="I638:O638" si="83">SUM(I628:I636)</f>
        <v>0</v>
      </c>
      <c r="J638" s="85">
        <f t="shared" si="83"/>
        <v>0</v>
      </c>
      <c r="K638" s="85">
        <f t="shared" si="83"/>
        <v>0</v>
      </c>
      <c r="L638" s="85">
        <f t="shared" si="83"/>
        <v>0</v>
      </c>
      <c r="M638" s="85">
        <f t="shared" si="83"/>
        <v>31118.044069999996</v>
      </c>
      <c r="N638" s="85">
        <f t="shared" si="83"/>
        <v>2444.5714800000001</v>
      </c>
      <c r="O638" s="85">
        <f t="shared" si="83"/>
        <v>0</v>
      </c>
      <c r="P638" s="85">
        <f>2444571/1000</f>
        <v>2444.5709999999999</v>
      </c>
      <c r="Q638" s="85">
        <f t="shared" ref="Q638:W638" si="84">SUM(Q628:Q636)</f>
        <v>0</v>
      </c>
      <c r="R638" s="85">
        <f t="shared" si="84"/>
        <v>0</v>
      </c>
      <c r="S638" s="85">
        <f t="shared" si="84"/>
        <v>0</v>
      </c>
      <c r="T638" s="85">
        <f t="shared" si="84"/>
        <v>0</v>
      </c>
      <c r="U638" s="85">
        <f t="shared" si="84"/>
        <v>2444.5714800000001</v>
      </c>
      <c r="V638" s="85">
        <f t="shared" si="84"/>
        <v>33562.615550000002</v>
      </c>
      <c r="W638" s="85">
        <f t="shared" si="84"/>
        <v>6496.3598300000003</v>
      </c>
      <c r="X638" s="85">
        <f>+H638+P638</f>
        <v>77446.780909999987</v>
      </c>
      <c r="Y638" s="85">
        <f>SUM(Y628:Y636)</f>
        <v>0</v>
      </c>
      <c r="Z638" s="85">
        <f>+E638-X638</f>
        <v>6496.3603100000182</v>
      </c>
      <c r="AA638" s="69">
        <f>SUM(AA628:AA636)</f>
        <v>33562.615550000002</v>
      </c>
      <c r="AB638" s="69">
        <f>SUM(AB628:AB636)</f>
        <v>6496.3598300000003</v>
      </c>
    </row>
    <row r="639" spans="1:28" x14ac:dyDescent="0.3">
      <c r="A639" s="117"/>
      <c r="E639" s="86"/>
      <c r="F639" s="86"/>
      <c r="G639" s="86"/>
      <c r="H639" s="86"/>
      <c r="I639" s="86"/>
      <c r="J639" s="86"/>
      <c r="K639" s="86"/>
      <c r="L639" s="86"/>
      <c r="M639" s="86"/>
      <c r="N639" s="86"/>
      <c r="O639" s="86"/>
      <c r="P639" s="86"/>
      <c r="Q639" s="86"/>
      <c r="R639" s="86"/>
      <c r="S639" s="86"/>
      <c r="T639" s="86"/>
      <c r="U639" s="86"/>
      <c r="V639" s="86"/>
      <c r="W639" s="86"/>
      <c r="X639" s="86"/>
      <c r="Y639" s="86"/>
      <c r="Z639" s="86"/>
      <c r="AA639" s="115" t="s">
        <v>29</v>
      </c>
      <c r="AB639" s="115" t="s">
        <v>29</v>
      </c>
    </row>
    <row r="640" spans="1:28" s="106" customFormat="1" x14ac:dyDescent="0.3">
      <c r="A640" s="104"/>
      <c r="B640" s="8"/>
      <c r="C640" s="7" t="s">
        <v>3</v>
      </c>
      <c r="D640" s="8"/>
      <c r="E640" s="82">
        <f>E638+E625+E607+E589+E570+E558+E545+E535+E522+E509+E500+E487+E473+E457+E563+E446+E556+E557</f>
        <v>1290640.9835500002</v>
      </c>
      <c r="F640" s="82">
        <f>F638+F625+F607+F589+F570+F558+F545+F535+F522+F509+F500+F487+F473+F457+F563+F446</f>
        <v>506926.92811000004</v>
      </c>
      <c r="G640" s="82">
        <f>G638+G625+G607+G589+G570+G558+G545+G535+G522+G509+G500+G487+G473+G457+G563+G446</f>
        <v>0</v>
      </c>
      <c r="H640" s="82">
        <f t="shared" ref="H640:Z640" si="85">H638+H625+H607+H589+H570+H558+H545+H535+H522+H509+H500+H487+H473+H457+H563+H446+H556+H557</f>
        <v>1075278.01963</v>
      </c>
      <c r="I640" s="82">
        <f t="shared" si="85"/>
        <v>1029.9882299999999</v>
      </c>
      <c r="J640" s="82">
        <f t="shared" si="85"/>
        <v>0</v>
      </c>
      <c r="K640" s="82">
        <f t="shared" si="85"/>
        <v>0</v>
      </c>
      <c r="L640" s="82">
        <f t="shared" si="85"/>
        <v>1029.9882299999999</v>
      </c>
      <c r="M640" s="82">
        <f t="shared" si="85"/>
        <v>507956.91634000005</v>
      </c>
      <c r="N640" s="82">
        <f t="shared" si="85"/>
        <v>92267.67134999999</v>
      </c>
      <c r="O640" s="82">
        <f t="shared" si="85"/>
        <v>0</v>
      </c>
      <c r="P640" s="82">
        <f t="shared" si="85"/>
        <v>92267.665000000008</v>
      </c>
      <c r="Q640" s="82">
        <f t="shared" si="85"/>
        <v>0</v>
      </c>
      <c r="R640" s="82">
        <f t="shared" si="85"/>
        <v>0</v>
      </c>
      <c r="S640" s="82">
        <f t="shared" si="85"/>
        <v>0</v>
      </c>
      <c r="T640" s="82">
        <f t="shared" si="85"/>
        <v>0</v>
      </c>
      <c r="U640" s="82">
        <f t="shared" si="85"/>
        <v>92267.67134999999</v>
      </c>
      <c r="V640" s="82">
        <f t="shared" si="85"/>
        <v>594291.36341999995</v>
      </c>
      <c r="W640" s="82">
        <f t="shared" si="85"/>
        <v>102628.47777</v>
      </c>
      <c r="X640" s="82">
        <f t="shared" si="85"/>
        <v>1167545.6846299998</v>
      </c>
      <c r="Y640" s="82">
        <f t="shared" si="85"/>
        <v>0</v>
      </c>
      <c r="Z640" s="82">
        <f t="shared" si="85"/>
        <v>123095.49892000007</v>
      </c>
      <c r="AA640" s="9">
        <f>AA638+AA625+AA607+AA589+AA570+AA558+AA545+AA535+AA522+AA509+AA500+AA487+AA473+AA457+AA563+AA446</f>
        <v>600224.58768999996</v>
      </c>
      <c r="AB640" s="9">
        <f>AB638+AB625+AB607+AB589+AB570+AB558+AB545+AB535+AB522+AB509+AB500+AB487+AB473+AB457+AB563+AB446</f>
        <v>122065.40416999999</v>
      </c>
    </row>
    <row r="641" spans="1:28" x14ac:dyDescent="0.3">
      <c r="A641" s="117"/>
      <c r="E641" s="86"/>
      <c r="F641" s="86"/>
      <c r="G641" s="86"/>
      <c r="H641" s="86"/>
      <c r="I641" s="86"/>
      <c r="J641" s="86"/>
      <c r="K641" s="86"/>
      <c r="L641" s="86"/>
      <c r="M641" s="86"/>
      <c r="N641" s="86"/>
      <c r="O641" s="86"/>
      <c r="P641" s="86"/>
      <c r="Q641" s="86"/>
      <c r="R641" s="86"/>
      <c r="S641" s="86"/>
      <c r="T641" s="86"/>
      <c r="U641" s="86"/>
      <c r="V641" s="86"/>
      <c r="W641" s="86"/>
      <c r="X641" s="92"/>
      <c r="Y641" s="86"/>
      <c r="Z641" s="86"/>
      <c r="AA641" s="115" t="s">
        <v>114</v>
      </c>
      <c r="AB641" s="115" t="s">
        <v>114</v>
      </c>
    </row>
    <row r="642" spans="1:28" x14ac:dyDescent="0.3">
      <c r="A642" s="117"/>
      <c r="B642" s="68" t="s">
        <v>594</v>
      </c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6"/>
      <c r="S642" s="86"/>
      <c r="T642" s="86"/>
      <c r="U642" s="86"/>
      <c r="V642" s="86"/>
      <c r="W642" s="86"/>
      <c r="X642" s="86"/>
      <c r="Y642" s="86"/>
      <c r="Z642" s="86"/>
    </row>
    <row r="643" spans="1:28" hidden="1" x14ac:dyDescent="0.3">
      <c r="A643" s="117"/>
      <c r="B643" s="68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6"/>
      <c r="S643" s="86"/>
      <c r="T643" s="86"/>
      <c r="U643" s="86"/>
      <c r="V643" s="86"/>
      <c r="W643" s="86"/>
      <c r="X643" s="86"/>
      <c r="Y643" s="86"/>
      <c r="Z643" s="86"/>
    </row>
    <row r="644" spans="1:28" hidden="1" x14ac:dyDescent="0.3">
      <c r="A644" s="117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6"/>
      <c r="S644" s="86"/>
      <c r="T644" s="86"/>
      <c r="U644" s="86"/>
      <c r="V644" s="86"/>
      <c r="W644" s="86"/>
      <c r="X644" s="86"/>
      <c r="Y644" s="86"/>
      <c r="Z644" s="86"/>
    </row>
    <row r="645" spans="1:28" x14ac:dyDescent="0.3">
      <c r="A645" s="117"/>
      <c r="B645" s="96" t="s">
        <v>1214</v>
      </c>
      <c r="D645" s="91" t="s">
        <v>1126</v>
      </c>
      <c r="E645" s="85">
        <f>1000000/1000</f>
        <v>1000</v>
      </c>
      <c r="F645" s="85">
        <f>STATS1003B!F645/1000</f>
        <v>1000</v>
      </c>
      <c r="G645" s="85">
        <f>STATS1003B!G645/1000</f>
        <v>0</v>
      </c>
      <c r="H645" s="85">
        <f>1000000/1000</f>
        <v>1000</v>
      </c>
      <c r="I645" s="85">
        <f>STATS1003B!I645/1000</f>
        <v>0</v>
      </c>
      <c r="J645" s="85">
        <f>STATS1003B!J645/1000</f>
        <v>0</v>
      </c>
      <c r="K645" s="85">
        <f>STATS1003B!K645/1000</f>
        <v>0</v>
      </c>
      <c r="L645" s="85">
        <f>STATS1003B!L645/1000</f>
        <v>0</v>
      </c>
      <c r="M645" s="85">
        <f>STATS1003B!M645/1000</f>
        <v>1000</v>
      </c>
      <c r="N645" s="85">
        <f>STATS1003B!N645/1000</f>
        <v>0</v>
      </c>
      <c r="O645" s="85">
        <f>STATS1003B!O645/1000</f>
        <v>0</v>
      </c>
      <c r="P645" s="85">
        <v>0</v>
      </c>
      <c r="Q645" s="85">
        <f>STATS1003B!Q645/1000</f>
        <v>0</v>
      </c>
      <c r="R645" s="85">
        <f>STATS1003B!R645/1000</f>
        <v>0</v>
      </c>
      <c r="S645" s="85">
        <f>STATS1003B!S645/1000</f>
        <v>0</v>
      </c>
      <c r="T645" s="85">
        <f>STATS1003B!T645/1000</f>
        <v>0</v>
      </c>
      <c r="U645" s="85">
        <f>STATS1003B!U645/1000</f>
        <v>0</v>
      </c>
      <c r="V645" s="85">
        <f>STATS1003B!V645/1000</f>
        <v>1000</v>
      </c>
      <c r="W645" s="85">
        <f>STATS1003B!W645/1000</f>
        <v>0</v>
      </c>
      <c r="X645" s="85">
        <f t="shared" ref="X645:X708" si="86">+H645+P645</f>
        <v>1000</v>
      </c>
      <c r="Y645" s="85">
        <f>STATS1003B!Y645/1000</f>
        <v>0</v>
      </c>
      <c r="Z645" s="85">
        <f>+E645-X645</f>
        <v>0</v>
      </c>
      <c r="AA645" s="69">
        <f>STATS1003B!AA645/1000</f>
        <v>1000</v>
      </c>
      <c r="AB645" s="69">
        <f>STATS1003B!AB645/1000</f>
        <v>0</v>
      </c>
    </row>
    <row r="646" spans="1:28" hidden="1" x14ac:dyDescent="0.3">
      <c r="A646" s="117"/>
      <c r="B646" s="68"/>
      <c r="E646" s="86" t="s">
        <v>114</v>
      </c>
      <c r="F646" s="86" t="s">
        <v>114</v>
      </c>
      <c r="G646" s="86" t="s">
        <v>114</v>
      </c>
      <c r="H646" s="86" t="s">
        <v>114</v>
      </c>
      <c r="I646" s="86" t="s">
        <v>114</v>
      </c>
      <c r="J646" s="86" t="s">
        <v>114</v>
      </c>
      <c r="K646" s="86" t="s">
        <v>114</v>
      </c>
      <c r="L646" s="86" t="s">
        <v>114</v>
      </c>
      <c r="M646" s="86" t="s">
        <v>114</v>
      </c>
      <c r="N646" s="86" t="s">
        <v>114</v>
      </c>
      <c r="O646" s="86" t="s">
        <v>114</v>
      </c>
      <c r="P646" s="86" t="s">
        <v>114</v>
      </c>
      <c r="Q646" s="86" t="s">
        <v>114</v>
      </c>
      <c r="R646" s="86" t="s">
        <v>114</v>
      </c>
      <c r="S646" s="86" t="s">
        <v>114</v>
      </c>
      <c r="T646" s="86" t="s">
        <v>114</v>
      </c>
      <c r="U646" s="86" t="s">
        <v>114</v>
      </c>
      <c r="V646" s="86" t="s">
        <v>114</v>
      </c>
      <c r="W646" s="86" t="s">
        <v>114</v>
      </c>
      <c r="X646" s="85" t="e">
        <f t="shared" si="86"/>
        <v>#VALUE!</v>
      </c>
      <c r="Y646" s="86" t="s">
        <v>114</v>
      </c>
      <c r="Z646" s="86" t="s">
        <v>114</v>
      </c>
      <c r="AA646" s="115" t="s">
        <v>114</v>
      </c>
      <c r="AB646" s="115" t="s">
        <v>114</v>
      </c>
    </row>
    <row r="647" spans="1:28" hidden="1" x14ac:dyDescent="0.3">
      <c r="A647" s="117"/>
      <c r="B647" s="68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6"/>
      <c r="S647" s="86"/>
      <c r="T647" s="86"/>
      <c r="U647" s="86"/>
      <c r="V647" s="86"/>
      <c r="W647" s="86"/>
      <c r="X647" s="85">
        <f t="shared" si="86"/>
        <v>0</v>
      </c>
      <c r="Y647" s="86"/>
      <c r="Z647" s="86"/>
    </row>
    <row r="648" spans="1:28" hidden="1" x14ac:dyDescent="0.3">
      <c r="A648" s="105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6"/>
      <c r="S648" s="86"/>
      <c r="T648" s="86"/>
      <c r="U648" s="86"/>
      <c r="V648" s="86"/>
      <c r="W648" s="86"/>
      <c r="X648" s="85">
        <f t="shared" si="86"/>
        <v>0</v>
      </c>
      <c r="Y648" s="86"/>
      <c r="Z648" s="86"/>
    </row>
    <row r="649" spans="1:28" hidden="1" x14ac:dyDescent="0.3">
      <c r="A649" s="117"/>
      <c r="C649" s="68" t="s">
        <v>535</v>
      </c>
      <c r="D649" s="145" t="s">
        <v>76</v>
      </c>
      <c r="E649" s="85">
        <f>STATS1003B!E649/1000</f>
        <v>3325.4664500000003</v>
      </c>
      <c r="F649" s="85">
        <f>STATS1003B!F649/1000</f>
        <v>2915.38492</v>
      </c>
      <c r="G649" s="85">
        <f>STATS1003B!G649/1000</f>
        <v>0</v>
      </c>
      <c r="H649" s="85">
        <f>STATS1003B!H649/1000</f>
        <v>2915.38492</v>
      </c>
      <c r="I649" s="85">
        <f>STATS1003B!I649/1000</f>
        <v>0</v>
      </c>
      <c r="J649" s="85">
        <f>STATS1003B!J649/1000</f>
        <v>2915.38492</v>
      </c>
      <c r="K649" s="85">
        <f>STATS1003B!K649/1000</f>
        <v>410.08153000000004</v>
      </c>
      <c r="L649" s="85">
        <f>STATS1003B!L649/1000</f>
        <v>0</v>
      </c>
      <c r="M649" s="85">
        <f>STATS1003B!M649/1000</f>
        <v>2915.38492</v>
      </c>
      <c r="N649" s="85">
        <f>STATS1003B!N649/1000</f>
        <v>410.08153000000004</v>
      </c>
      <c r="O649" s="85">
        <f>STATS1003B!O649/1000</f>
        <v>0</v>
      </c>
      <c r="P649" s="85">
        <f>STATS1003B!P649/1000</f>
        <v>410.08153000000004</v>
      </c>
      <c r="Q649" s="85">
        <f>STATS1003B!Q649/1000</f>
        <v>0</v>
      </c>
      <c r="R649" s="85">
        <f>STATS1003B!R649/1000</f>
        <v>0</v>
      </c>
      <c r="S649" s="85">
        <f>STATS1003B!S649/1000</f>
        <v>0</v>
      </c>
      <c r="T649" s="85">
        <f>STATS1003B!T649/1000</f>
        <v>0</v>
      </c>
      <c r="U649" s="85">
        <f>STATS1003B!U649/1000</f>
        <v>410.08153000000004</v>
      </c>
      <c r="V649" s="85">
        <f>STATS1003B!V649/1000</f>
        <v>3325.4664500000003</v>
      </c>
      <c r="W649" s="85">
        <f>STATS1003B!W649/1000</f>
        <v>0</v>
      </c>
      <c r="X649" s="85">
        <f t="shared" si="86"/>
        <v>3325.4664499999999</v>
      </c>
      <c r="Y649" s="85">
        <f>STATS1003B!Y649/1000</f>
        <v>0</v>
      </c>
      <c r="Z649" s="85">
        <f>STATS1003B!Z649/1000</f>
        <v>0</v>
      </c>
      <c r="AA649" s="69">
        <f>STATS1003B!AA649/1000</f>
        <v>3325.4664500000003</v>
      </c>
      <c r="AB649" s="69">
        <f>STATS1003B!AB649/1000</f>
        <v>0</v>
      </c>
    </row>
    <row r="650" spans="1:28" hidden="1" x14ac:dyDescent="0.3">
      <c r="A650" s="117"/>
      <c r="C650" s="68" t="s">
        <v>535</v>
      </c>
      <c r="D650" s="145" t="s">
        <v>150</v>
      </c>
      <c r="E650" s="85">
        <f>STATS1003B!E650/1000</f>
        <v>2567</v>
      </c>
      <c r="F650" s="85">
        <f>STATS1003B!F650/1000</f>
        <v>2567</v>
      </c>
      <c r="G650" s="85">
        <f>STATS1003B!G650/1000</f>
        <v>0</v>
      </c>
      <c r="H650" s="85">
        <f>STATS1003B!H650/1000</f>
        <v>2567</v>
      </c>
      <c r="I650" s="85">
        <f>STATS1003B!I650/1000</f>
        <v>0</v>
      </c>
      <c r="J650" s="85">
        <f>STATS1003B!J650/1000</f>
        <v>2567</v>
      </c>
      <c r="K650" s="85">
        <f>STATS1003B!K650/1000</f>
        <v>0</v>
      </c>
      <c r="L650" s="85">
        <f>STATS1003B!L650/1000</f>
        <v>0</v>
      </c>
      <c r="M650" s="85">
        <f>STATS1003B!M650/1000</f>
        <v>2567</v>
      </c>
      <c r="N650" s="85">
        <f>STATS1003B!N650/1000</f>
        <v>0</v>
      </c>
      <c r="O650" s="85">
        <f>STATS1003B!O650/1000</f>
        <v>0</v>
      </c>
      <c r="P650" s="85">
        <f>STATS1003B!P650/1000</f>
        <v>0</v>
      </c>
      <c r="Q650" s="85">
        <f>STATS1003B!Q650/1000</f>
        <v>0</v>
      </c>
      <c r="R650" s="85">
        <f>STATS1003B!R650/1000</f>
        <v>0</v>
      </c>
      <c r="S650" s="85">
        <f>STATS1003B!S650/1000</f>
        <v>0</v>
      </c>
      <c r="T650" s="85">
        <f>STATS1003B!T650/1000</f>
        <v>0</v>
      </c>
      <c r="U650" s="85">
        <f>STATS1003B!U650/1000</f>
        <v>0</v>
      </c>
      <c r="V650" s="85">
        <f>STATS1003B!V650/1000</f>
        <v>2567</v>
      </c>
      <c r="W650" s="85">
        <f>STATS1003B!W650/1000</f>
        <v>0</v>
      </c>
      <c r="X650" s="85">
        <f t="shared" si="86"/>
        <v>2567</v>
      </c>
      <c r="Y650" s="85">
        <f>STATS1003B!Y650/1000</f>
        <v>0</v>
      </c>
      <c r="Z650" s="85">
        <f>STATS1003B!Z650/1000</f>
        <v>0</v>
      </c>
      <c r="AA650" s="69">
        <f>STATS1003B!AA650/1000</f>
        <v>2567</v>
      </c>
      <c r="AB650" s="69">
        <f>STATS1003B!AB650/1000</f>
        <v>0</v>
      </c>
    </row>
    <row r="651" spans="1:28" hidden="1" x14ac:dyDescent="0.3">
      <c r="A651" s="117"/>
      <c r="C651" s="68" t="s">
        <v>596</v>
      </c>
      <c r="D651" s="145" t="s">
        <v>78</v>
      </c>
      <c r="E651" s="85">
        <f>STATS1003B!E651/1000</f>
        <v>767.54544999999996</v>
      </c>
      <c r="F651" s="85">
        <f>STATS1003B!F651/1000</f>
        <v>721.69299999999998</v>
      </c>
      <c r="G651" s="85">
        <f>STATS1003B!G651/1000</f>
        <v>0</v>
      </c>
      <c r="H651" s="85">
        <f>STATS1003B!H651/1000</f>
        <v>721.69299999999998</v>
      </c>
      <c r="I651" s="85">
        <f>STATS1003B!I651/1000</f>
        <v>0</v>
      </c>
      <c r="J651" s="85">
        <f>STATS1003B!J651/1000</f>
        <v>721.69299999999998</v>
      </c>
      <c r="K651" s="85">
        <f>STATS1003B!K651/1000</f>
        <v>45.852449999999997</v>
      </c>
      <c r="L651" s="85">
        <f>STATS1003B!L651/1000</f>
        <v>0</v>
      </c>
      <c r="M651" s="85">
        <f>STATS1003B!M651/1000</f>
        <v>721.69299999999998</v>
      </c>
      <c r="N651" s="85">
        <f>STATS1003B!N651/1000</f>
        <v>45.852449999999997</v>
      </c>
      <c r="O651" s="85">
        <f>STATS1003B!O651/1000</f>
        <v>0</v>
      </c>
      <c r="P651" s="85">
        <f>STATS1003B!P651/1000</f>
        <v>45.852449999999997</v>
      </c>
      <c r="Q651" s="85">
        <f>STATS1003B!Q651/1000</f>
        <v>0</v>
      </c>
      <c r="R651" s="85">
        <f>STATS1003B!R651/1000</f>
        <v>0</v>
      </c>
      <c r="S651" s="85">
        <f>STATS1003B!S651/1000</f>
        <v>0</v>
      </c>
      <c r="T651" s="85">
        <f>STATS1003B!T651/1000</f>
        <v>0</v>
      </c>
      <c r="U651" s="85">
        <f>STATS1003B!U651/1000</f>
        <v>45.852449999999997</v>
      </c>
      <c r="V651" s="85">
        <f>STATS1003B!V651/1000</f>
        <v>767.54544999999996</v>
      </c>
      <c r="W651" s="85">
        <f>STATS1003B!W651/1000</f>
        <v>0</v>
      </c>
      <c r="X651" s="85">
        <f t="shared" si="86"/>
        <v>767.54544999999996</v>
      </c>
      <c r="Y651" s="85">
        <f>STATS1003B!Y651/1000</f>
        <v>0</v>
      </c>
      <c r="Z651" s="85">
        <f>STATS1003B!Z651/1000</f>
        <v>0</v>
      </c>
      <c r="AA651" s="69">
        <f>STATS1003B!AA651/1000</f>
        <v>767.54544999999996</v>
      </c>
      <c r="AB651" s="69">
        <f>STATS1003B!AB651/1000</f>
        <v>0</v>
      </c>
    </row>
    <row r="652" spans="1:28" hidden="1" x14ac:dyDescent="0.3">
      <c r="A652" s="117"/>
      <c r="C652" s="68" t="s">
        <v>597</v>
      </c>
      <c r="D652" s="145" t="s">
        <v>78</v>
      </c>
      <c r="E652" s="85">
        <f>STATS1003B!E652/1000</f>
        <v>807.5</v>
      </c>
      <c r="F652" s="85">
        <f>STATS1003B!F652/1000</f>
        <v>807.5</v>
      </c>
      <c r="G652" s="85">
        <f>STATS1003B!G652/1000</f>
        <v>0</v>
      </c>
      <c r="H652" s="85">
        <f>STATS1003B!H652/1000</f>
        <v>807.5</v>
      </c>
      <c r="I652" s="85">
        <f>STATS1003B!I652/1000</f>
        <v>0</v>
      </c>
      <c r="J652" s="85">
        <f>STATS1003B!J652/1000</f>
        <v>807.5</v>
      </c>
      <c r="K652" s="85">
        <f>STATS1003B!K652/1000</f>
        <v>0</v>
      </c>
      <c r="L652" s="85">
        <f>STATS1003B!L652/1000</f>
        <v>0</v>
      </c>
      <c r="M652" s="85">
        <f>STATS1003B!M652/1000</f>
        <v>807.5</v>
      </c>
      <c r="N652" s="85">
        <f>STATS1003B!N652/1000</f>
        <v>0</v>
      </c>
      <c r="O652" s="85">
        <f>STATS1003B!O652/1000</f>
        <v>0</v>
      </c>
      <c r="P652" s="85">
        <f>STATS1003B!P652/1000</f>
        <v>0</v>
      </c>
      <c r="Q652" s="85">
        <f>STATS1003B!Q652/1000</f>
        <v>0</v>
      </c>
      <c r="R652" s="85">
        <f>STATS1003B!R652/1000</f>
        <v>0</v>
      </c>
      <c r="S652" s="85">
        <f>STATS1003B!S652/1000</f>
        <v>0</v>
      </c>
      <c r="T652" s="85">
        <f>STATS1003B!T652/1000</f>
        <v>0</v>
      </c>
      <c r="U652" s="85">
        <f>STATS1003B!U652/1000</f>
        <v>0</v>
      </c>
      <c r="V652" s="85">
        <f>STATS1003B!V652/1000</f>
        <v>807.5</v>
      </c>
      <c r="W652" s="85">
        <f>STATS1003B!W652/1000</f>
        <v>0</v>
      </c>
      <c r="X652" s="85">
        <f t="shared" si="86"/>
        <v>807.5</v>
      </c>
      <c r="Y652" s="85">
        <f>STATS1003B!Y652/1000</f>
        <v>0</v>
      </c>
      <c r="Z652" s="85">
        <f>STATS1003B!Z652/1000</f>
        <v>0</v>
      </c>
      <c r="AA652" s="69">
        <f>STATS1003B!AA652/1000</f>
        <v>807.5</v>
      </c>
      <c r="AB652" s="69">
        <f>STATS1003B!AB652/1000</f>
        <v>0</v>
      </c>
    </row>
    <row r="653" spans="1:28" hidden="1" x14ac:dyDescent="0.3">
      <c r="A653" s="117"/>
      <c r="C653" s="68" t="s">
        <v>535</v>
      </c>
      <c r="D653" s="145" t="s">
        <v>68</v>
      </c>
      <c r="E653" s="85">
        <f>STATS1003B!E653/1000</f>
        <v>188.76499999999999</v>
      </c>
      <c r="F653" s="85">
        <f>STATS1003B!F653/1000</f>
        <v>188.76499999999999</v>
      </c>
      <c r="G653" s="85">
        <f>STATS1003B!G653/1000</f>
        <v>0</v>
      </c>
      <c r="H653" s="85">
        <f>STATS1003B!H653/1000</f>
        <v>188.76499999999999</v>
      </c>
      <c r="I653" s="85">
        <f>STATS1003B!I653/1000</f>
        <v>0</v>
      </c>
      <c r="J653" s="85">
        <f>STATS1003B!J653/1000</f>
        <v>188.76499999999999</v>
      </c>
      <c r="K653" s="85">
        <f>STATS1003B!K653/1000</f>
        <v>0</v>
      </c>
      <c r="L653" s="85">
        <f>STATS1003B!L653/1000</f>
        <v>0</v>
      </c>
      <c r="M653" s="85">
        <f>STATS1003B!M653/1000</f>
        <v>188.76499999999999</v>
      </c>
      <c r="N653" s="85">
        <f>STATS1003B!N653/1000</f>
        <v>0</v>
      </c>
      <c r="O653" s="85">
        <f>STATS1003B!O653/1000</f>
        <v>0</v>
      </c>
      <c r="P653" s="85">
        <f>STATS1003B!P653/1000</f>
        <v>0</v>
      </c>
      <c r="Q653" s="85">
        <f>STATS1003B!Q653/1000</f>
        <v>0</v>
      </c>
      <c r="R653" s="85">
        <f>STATS1003B!R653/1000</f>
        <v>0</v>
      </c>
      <c r="S653" s="85">
        <f>STATS1003B!S653/1000</f>
        <v>0</v>
      </c>
      <c r="T653" s="85">
        <f>STATS1003B!T653/1000</f>
        <v>0</v>
      </c>
      <c r="U653" s="85">
        <f>STATS1003B!U653/1000</f>
        <v>0</v>
      </c>
      <c r="V653" s="85">
        <f>STATS1003B!V653/1000</f>
        <v>188.76499999999999</v>
      </c>
      <c r="W653" s="85">
        <f>STATS1003B!W653/1000</f>
        <v>0</v>
      </c>
      <c r="X653" s="85">
        <f t="shared" si="86"/>
        <v>188.76499999999999</v>
      </c>
      <c r="Y653" s="85">
        <f>STATS1003B!Y653/1000</f>
        <v>0</v>
      </c>
      <c r="Z653" s="85">
        <f>STATS1003B!Z653/1000</f>
        <v>0</v>
      </c>
      <c r="AA653" s="69">
        <f>STATS1003B!AA653/1000</f>
        <v>188.76499999999999</v>
      </c>
      <c r="AB653" s="69">
        <f>STATS1003B!AB653/1000</f>
        <v>0</v>
      </c>
    </row>
    <row r="654" spans="1:28" hidden="1" x14ac:dyDescent="0.3">
      <c r="A654" s="117"/>
      <c r="C654" s="68" t="s">
        <v>539</v>
      </c>
      <c r="D654" s="145" t="s">
        <v>68</v>
      </c>
      <c r="E654" s="85">
        <f>STATS1003B!E654/1000</f>
        <v>333.971</v>
      </c>
      <c r="F654" s="85">
        <f>STATS1003B!F654/1000</f>
        <v>0</v>
      </c>
      <c r="G654" s="85">
        <f>STATS1003B!G654/1000</f>
        <v>0</v>
      </c>
      <c r="H654" s="85">
        <f>STATS1003B!H654/1000</f>
        <v>0</v>
      </c>
      <c r="I654" s="85">
        <f>STATS1003B!I654/1000</f>
        <v>0</v>
      </c>
      <c r="J654" s="85">
        <f>STATS1003B!J654/1000</f>
        <v>0</v>
      </c>
      <c r="K654" s="85">
        <f>STATS1003B!K654/1000</f>
        <v>333.971</v>
      </c>
      <c r="L654" s="85">
        <f>STATS1003B!L654/1000</f>
        <v>0</v>
      </c>
      <c r="M654" s="85">
        <f>STATS1003B!M654/1000</f>
        <v>0</v>
      </c>
      <c r="N654" s="85">
        <f>STATS1003B!N654/1000</f>
        <v>333.971</v>
      </c>
      <c r="O654" s="85">
        <f>STATS1003B!O654/1000</f>
        <v>0</v>
      </c>
      <c r="P654" s="85">
        <f>STATS1003B!P654/1000</f>
        <v>333.971</v>
      </c>
      <c r="Q654" s="85">
        <f>STATS1003B!Q654/1000</f>
        <v>0</v>
      </c>
      <c r="R654" s="85">
        <f>STATS1003B!R654/1000</f>
        <v>0</v>
      </c>
      <c r="S654" s="85">
        <f>STATS1003B!S654/1000</f>
        <v>0</v>
      </c>
      <c r="T654" s="85">
        <f>STATS1003B!T654/1000</f>
        <v>0</v>
      </c>
      <c r="U654" s="85">
        <f>STATS1003B!U654/1000</f>
        <v>333.971</v>
      </c>
      <c r="V654" s="85">
        <f>STATS1003B!V654/1000</f>
        <v>333.971</v>
      </c>
      <c r="W654" s="85">
        <f>STATS1003B!W654/1000</f>
        <v>0</v>
      </c>
      <c r="X654" s="85">
        <f t="shared" si="86"/>
        <v>333.971</v>
      </c>
      <c r="Y654" s="85">
        <f>STATS1003B!Y654/1000</f>
        <v>0</v>
      </c>
      <c r="Z654" s="85">
        <f>STATS1003B!Z654/1000</f>
        <v>0</v>
      </c>
      <c r="AA654" s="69">
        <f>STATS1003B!AA654/1000</f>
        <v>333.971</v>
      </c>
      <c r="AB654" s="69">
        <f>STATS1003B!AB654/1000</f>
        <v>0</v>
      </c>
    </row>
    <row r="655" spans="1:28" hidden="1" x14ac:dyDescent="0.3">
      <c r="A655" s="117"/>
      <c r="C655" s="68" t="s">
        <v>535</v>
      </c>
      <c r="D655" s="145" t="s">
        <v>54</v>
      </c>
      <c r="E655" s="85">
        <f>STATS1003B!E655/1000</f>
        <v>149.983</v>
      </c>
      <c r="F655" s="85">
        <f>STATS1003B!F655/1000</f>
        <v>149.983</v>
      </c>
      <c r="G655" s="85">
        <f>STATS1003B!G655/1000</f>
        <v>0</v>
      </c>
      <c r="H655" s="85">
        <f>STATS1003B!H655/1000</f>
        <v>149.983</v>
      </c>
      <c r="I655" s="85">
        <f>STATS1003B!I655/1000</f>
        <v>0</v>
      </c>
      <c r="J655" s="85">
        <f>STATS1003B!J655/1000</f>
        <v>149.983</v>
      </c>
      <c r="K655" s="85">
        <f>STATS1003B!K655/1000</f>
        <v>0</v>
      </c>
      <c r="L655" s="85">
        <f>STATS1003B!L655/1000</f>
        <v>0</v>
      </c>
      <c r="M655" s="85">
        <f>STATS1003B!M655/1000</f>
        <v>149.983</v>
      </c>
      <c r="N655" s="85">
        <f>STATS1003B!N655/1000</f>
        <v>0</v>
      </c>
      <c r="O655" s="85">
        <f>STATS1003B!O655/1000</f>
        <v>0</v>
      </c>
      <c r="P655" s="85">
        <f>STATS1003B!P655/1000</f>
        <v>0</v>
      </c>
      <c r="Q655" s="85">
        <f>STATS1003B!Q655/1000</f>
        <v>0</v>
      </c>
      <c r="R655" s="85">
        <f>STATS1003B!R655/1000</f>
        <v>0</v>
      </c>
      <c r="S655" s="85">
        <f>STATS1003B!S655/1000</f>
        <v>0</v>
      </c>
      <c r="T655" s="85">
        <f>STATS1003B!T655/1000</f>
        <v>0</v>
      </c>
      <c r="U655" s="85">
        <f>STATS1003B!U655/1000</f>
        <v>0</v>
      </c>
      <c r="V655" s="85">
        <f>STATS1003B!V655/1000</f>
        <v>149.983</v>
      </c>
      <c r="W655" s="85">
        <f>STATS1003B!W655/1000</f>
        <v>0</v>
      </c>
      <c r="X655" s="85">
        <f t="shared" si="86"/>
        <v>149.983</v>
      </c>
      <c r="Y655" s="85">
        <f>STATS1003B!Y655/1000</f>
        <v>0</v>
      </c>
      <c r="Z655" s="85">
        <f>STATS1003B!Z655/1000</f>
        <v>0</v>
      </c>
      <c r="AA655" s="69">
        <f>STATS1003B!AA655/1000</f>
        <v>149.983</v>
      </c>
      <c r="AB655" s="69">
        <f>STATS1003B!AB655/1000</f>
        <v>0</v>
      </c>
    </row>
    <row r="656" spans="1:28" hidden="1" x14ac:dyDescent="0.3">
      <c r="A656" s="117"/>
      <c r="C656" s="68" t="s">
        <v>545</v>
      </c>
      <c r="D656" s="145" t="s">
        <v>54</v>
      </c>
      <c r="E656" s="85">
        <f>STATS1003B!E656/1000</f>
        <v>570.94100000000003</v>
      </c>
      <c r="F656" s="85">
        <f>STATS1003B!F656/1000</f>
        <v>0</v>
      </c>
      <c r="G656" s="85">
        <f>STATS1003B!G656/1000</f>
        <v>0</v>
      </c>
      <c r="H656" s="85">
        <f>STATS1003B!H656/1000</f>
        <v>0</v>
      </c>
      <c r="I656" s="85">
        <f>STATS1003B!I656/1000</f>
        <v>0</v>
      </c>
      <c r="J656" s="85">
        <f>STATS1003B!J656/1000</f>
        <v>0</v>
      </c>
      <c r="K656" s="85">
        <f>STATS1003B!K656/1000</f>
        <v>570.94100000000003</v>
      </c>
      <c r="L656" s="85">
        <f>STATS1003B!L656/1000</f>
        <v>0</v>
      </c>
      <c r="M656" s="85">
        <f>STATS1003B!M656/1000</f>
        <v>0</v>
      </c>
      <c r="N656" s="85">
        <f>STATS1003B!N656/1000</f>
        <v>570.94100000000003</v>
      </c>
      <c r="O656" s="85">
        <f>STATS1003B!O656/1000</f>
        <v>0</v>
      </c>
      <c r="P656" s="85">
        <f>STATS1003B!P656/1000</f>
        <v>570.94100000000003</v>
      </c>
      <c r="Q656" s="85">
        <f>STATS1003B!Q656/1000</f>
        <v>0</v>
      </c>
      <c r="R656" s="85">
        <f>STATS1003B!R656/1000</f>
        <v>0</v>
      </c>
      <c r="S656" s="85">
        <f>STATS1003B!S656/1000</f>
        <v>0</v>
      </c>
      <c r="T656" s="85">
        <f>STATS1003B!T656/1000</f>
        <v>0</v>
      </c>
      <c r="U656" s="85">
        <f>STATS1003B!U656/1000</f>
        <v>570.94100000000003</v>
      </c>
      <c r="V656" s="85">
        <f>STATS1003B!V656/1000</f>
        <v>570.94100000000003</v>
      </c>
      <c r="W656" s="85">
        <f>STATS1003B!W656/1000</f>
        <v>0</v>
      </c>
      <c r="X656" s="85">
        <f t="shared" si="86"/>
        <v>570.94100000000003</v>
      </c>
      <c r="Y656" s="85">
        <f>STATS1003B!Y656/1000</f>
        <v>0</v>
      </c>
      <c r="Z656" s="85">
        <f>STATS1003B!Z656/1000</f>
        <v>0</v>
      </c>
      <c r="AA656" s="69">
        <f>STATS1003B!AA656/1000</f>
        <v>570.94100000000003</v>
      </c>
      <c r="AB656" s="69">
        <f>STATS1003B!AB656/1000</f>
        <v>0</v>
      </c>
    </row>
    <row r="657" spans="1:28" hidden="1" x14ac:dyDescent="0.3">
      <c r="A657" s="117"/>
      <c r="C657" s="68" t="s">
        <v>535</v>
      </c>
      <c r="D657" s="145" t="s">
        <v>108</v>
      </c>
      <c r="E657" s="85">
        <f>STATS1003B!E657/1000</f>
        <v>1000</v>
      </c>
      <c r="F657" s="85">
        <f>STATS1003B!F657/1000</f>
        <v>1000</v>
      </c>
      <c r="G657" s="85">
        <f>STATS1003B!G657/1000</f>
        <v>0</v>
      </c>
      <c r="H657" s="85">
        <f>STATS1003B!H657/1000</f>
        <v>1000</v>
      </c>
      <c r="I657" s="85">
        <f>STATS1003B!I657/1000</f>
        <v>0</v>
      </c>
      <c r="J657" s="85">
        <f>STATS1003B!J657/1000</f>
        <v>1000</v>
      </c>
      <c r="K657" s="85">
        <f>STATS1003B!K657/1000</f>
        <v>0</v>
      </c>
      <c r="L657" s="85">
        <f>STATS1003B!L657/1000</f>
        <v>0</v>
      </c>
      <c r="M657" s="85">
        <f>STATS1003B!M657/1000</f>
        <v>1000</v>
      </c>
      <c r="N657" s="85">
        <f>STATS1003B!N657/1000</f>
        <v>0</v>
      </c>
      <c r="O657" s="85">
        <f>STATS1003B!O657/1000</f>
        <v>0</v>
      </c>
      <c r="P657" s="85">
        <f>STATS1003B!P657/1000</f>
        <v>0</v>
      </c>
      <c r="Q657" s="85">
        <f>STATS1003B!Q657/1000</f>
        <v>0</v>
      </c>
      <c r="R657" s="85">
        <f>STATS1003B!R657/1000</f>
        <v>0</v>
      </c>
      <c r="S657" s="85">
        <f>STATS1003B!S657/1000</f>
        <v>0</v>
      </c>
      <c r="T657" s="85">
        <f>STATS1003B!T657/1000</f>
        <v>0</v>
      </c>
      <c r="U657" s="85">
        <f>STATS1003B!U657/1000</f>
        <v>0</v>
      </c>
      <c r="V657" s="85">
        <f>STATS1003B!V657/1000</f>
        <v>1000</v>
      </c>
      <c r="W657" s="85">
        <f>STATS1003B!W657/1000</f>
        <v>0</v>
      </c>
      <c r="X657" s="85">
        <f t="shared" si="86"/>
        <v>1000</v>
      </c>
      <c r="Y657" s="85">
        <f>STATS1003B!Y657/1000</f>
        <v>0</v>
      </c>
      <c r="Z657" s="85">
        <f>STATS1003B!Z657/1000</f>
        <v>0</v>
      </c>
      <c r="AA657" s="69">
        <f>STATS1003B!AA657/1000</f>
        <v>1000</v>
      </c>
      <c r="AB657" s="69">
        <f>STATS1003B!AB657/1000</f>
        <v>0</v>
      </c>
    </row>
    <row r="658" spans="1:28" hidden="1" x14ac:dyDescent="0.3">
      <c r="A658" s="117"/>
      <c r="C658" s="68" t="s">
        <v>598</v>
      </c>
      <c r="E658" s="85">
        <f>STATS1003B!E658/1000</f>
        <v>619.14700000000005</v>
      </c>
      <c r="F658" s="85">
        <f>STATS1003B!F658/1000</f>
        <v>619.14700000000005</v>
      </c>
      <c r="G658" s="85">
        <f>STATS1003B!G658/1000</f>
        <v>0</v>
      </c>
      <c r="H658" s="85">
        <f>STATS1003B!H658/1000</f>
        <v>619.14700000000005</v>
      </c>
      <c r="I658" s="85">
        <f>STATS1003B!I658/1000</f>
        <v>0</v>
      </c>
      <c r="J658" s="85">
        <f>STATS1003B!J658/1000</f>
        <v>619.14700000000005</v>
      </c>
      <c r="K658" s="85">
        <f>STATS1003B!K658/1000</f>
        <v>0</v>
      </c>
      <c r="L658" s="85">
        <f>STATS1003B!L658/1000</f>
        <v>0</v>
      </c>
      <c r="M658" s="85">
        <f>STATS1003B!M658/1000</f>
        <v>619.14700000000005</v>
      </c>
      <c r="N658" s="85">
        <f>STATS1003B!N658/1000</f>
        <v>0</v>
      </c>
      <c r="O658" s="85">
        <f>STATS1003B!O658/1000</f>
        <v>0</v>
      </c>
      <c r="P658" s="85">
        <f>STATS1003B!P658/1000</f>
        <v>0</v>
      </c>
      <c r="Q658" s="85">
        <f>STATS1003B!Q658/1000</f>
        <v>0</v>
      </c>
      <c r="R658" s="85">
        <f>STATS1003B!R658/1000</f>
        <v>0</v>
      </c>
      <c r="S658" s="85">
        <f>STATS1003B!S658/1000</f>
        <v>0</v>
      </c>
      <c r="T658" s="85">
        <f>STATS1003B!T658/1000</f>
        <v>0</v>
      </c>
      <c r="U658" s="85">
        <f>STATS1003B!U658/1000</f>
        <v>0</v>
      </c>
      <c r="V658" s="85">
        <f>STATS1003B!V658/1000</f>
        <v>619.14700000000005</v>
      </c>
      <c r="W658" s="85">
        <f>STATS1003B!W658/1000</f>
        <v>0</v>
      </c>
      <c r="X658" s="85">
        <f t="shared" si="86"/>
        <v>619.14700000000005</v>
      </c>
      <c r="Y658" s="85">
        <f>STATS1003B!Y658/1000</f>
        <v>0</v>
      </c>
      <c r="Z658" s="85">
        <f>STATS1003B!Z658/1000</f>
        <v>0</v>
      </c>
      <c r="AA658" s="69">
        <f>STATS1003B!AA658/1000</f>
        <v>619.14700000000005</v>
      </c>
      <c r="AB658" s="69">
        <f>STATS1003B!AB658/1000</f>
        <v>0</v>
      </c>
    </row>
    <row r="659" spans="1:28" hidden="1" x14ac:dyDescent="0.3">
      <c r="A659" s="117"/>
      <c r="C659" s="68" t="s">
        <v>551</v>
      </c>
      <c r="E659" s="85">
        <f>STATS1003B!E659/1000</f>
        <v>988.4185500000001</v>
      </c>
      <c r="F659" s="85">
        <f>STATS1003B!F659/1000</f>
        <v>988.4185500000001</v>
      </c>
      <c r="G659" s="85">
        <f>STATS1003B!G659/1000</f>
        <v>0</v>
      </c>
      <c r="H659" s="85">
        <f>STATS1003B!H659/1000</f>
        <v>988.4185500000001</v>
      </c>
      <c r="I659" s="85">
        <f>STATS1003B!I659/1000</f>
        <v>0</v>
      </c>
      <c r="J659" s="85">
        <f>STATS1003B!J659/1000</f>
        <v>988.4185500000001</v>
      </c>
      <c r="K659" s="85">
        <f>STATS1003B!K659/1000</f>
        <v>0</v>
      </c>
      <c r="L659" s="85">
        <f>STATS1003B!L659/1000</f>
        <v>0</v>
      </c>
      <c r="M659" s="85">
        <f>STATS1003B!M659/1000</f>
        <v>988.4185500000001</v>
      </c>
      <c r="N659" s="85">
        <f>STATS1003B!N659/1000</f>
        <v>0</v>
      </c>
      <c r="O659" s="85">
        <f>STATS1003B!O659/1000</f>
        <v>0</v>
      </c>
      <c r="P659" s="85">
        <f>STATS1003B!P659/1000</f>
        <v>0</v>
      </c>
      <c r="Q659" s="85">
        <f>STATS1003B!Q659/1000</f>
        <v>0</v>
      </c>
      <c r="R659" s="85">
        <f>STATS1003B!R659/1000</f>
        <v>0</v>
      </c>
      <c r="S659" s="85">
        <f>STATS1003B!S659/1000</f>
        <v>0</v>
      </c>
      <c r="T659" s="85">
        <f>STATS1003B!T659/1000</f>
        <v>0</v>
      </c>
      <c r="U659" s="85">
        <f>STATS1003B!U659/1000</f>
        <v>0</v>
      </c>
      <c r="V659" s="85">
        <f>STATS1003B!V659/1000</f>
        <v>988.4185500000001</v>
      </c>
      <c r="W659" s="85">
        <f>STATS1003B!W659/1000</f>
        <v>0</v>
      </c>
      <c r="X659" s="85">
        <f t="shared" si="86"/>
        <v>988.4185500000001</v>
      </c>
      <c r="Y659" s="85">
        <f>STATS1003B!Y659/1000</f>
        <v>0</v>
      </c>
      <c r="Z659" s="85">
        <f>STATS1003B!Z659/1000</f>
        <v>0</v>
      </c>
      <c r="AA659" s="69">
        <f>STATS1003B!AA659/1000</f>
        <v>988.4185500000001</v>
      </c>
      <c r="AB659" s="69">
        <f>STATS1003B!AB659/1000</f>
        <v>0</v>
      </c>
    </row>
    <row r="660" spans="1:28" hidden="1" x14ac:dyDescent="0.3">
      <c r="A660" s="117"/>
      <c r="E660" s="86" t="s">
        <v>29</v>
      </c>
      <c r="F660" s="86" t="s">
        <v>29</v>
      </c>
      <c r="G660" s="86" t="s">
        <v>29</v>
      </c>
      <c r="H660" s="86" t="s">
        <v>29</v>
      </c>
      <c r="I660" s="86" t="s">
        <v>29</v>
      </c>
      <c r="J660" s="86" t="s">
        <v>29</v>
      </c>
      <c r="K660" s="86" t="s">
        <v>29</v>
      </c>
      <c r="L660" s="86" t="s">
        <v>29</v>
      </c>
      <c r="M660" s="86" t="s">
        <v>29</v>
      </c>
      <c r="N660" s="86" t="s">
        <v>29</v>
      </c>
      <c r="O660" s="86" t="s">
        <v>29</v>
      </c>
      <c r="P660" s="86" t="s">
        <v>29</v>
      </c>
      <c r="Q660" s="86" t="s">
        <v>29</v>
      </c>
      <c r="R660" s="86" t="s">
        <v>29</v>
      </c>
      <c r="S660" s="86" t="s">
        <v>29</v>
      </c>
      <c r="T660" s="86" t="s">
        <v>29</v>
      </c>
      <c r="U660" s="86" t="s">
        <v>29</v>
      </c>
      <c r="V660" s="86" t="s">
        <v>29</v>
      </c>
      <c r="W660" s="86" t="s">
        <v>29</v>
      </c>
      <c r="X660" s="85" t="e">
        <f t="shared" si="86"/>
        <v>#VALUE!</v>
      </c>
      <c r="Y660" s="86" t="s">
        <v>29</v>
      </c>
      <c r="Z660" s="86" t="s">
        <v>29</v>
      </c>
      <c r="AA660" s="115" t="s">
        <v>29</v>
      </c>
      <c r="AB660" s="115" t="s">
        <v>29</v>
      </c>
    </row>
    <row r="661" spans="1:28" x14ac:dyDescent="0.3">
      <c r="A661" s="116">
        <v>32</v>
      </c>
      <c r="B661" s="68" t="s">
        <v>595</v>
      </c>
      <c r="E661" s="85">
        <f>29895770.58/1000</f>
        <v>29895.770579999997</v>
      </c>
      <c r="F661" s="85">
        <f t="shared" ref="F661:Q661" si="87">SUM(F649:F660)</f>
        <v>9957.8914700000023</v>
      </c>
      <c r="G661" s="85">
        <f t="shared" si="87"/>
        <v>0</v>
      </c>
      <c r="H661" s="85">
        <f>28534924.6/1000</f>
        <v>28534.924600000002</v>
      </c>
      <c r="I661" s="85">
        <f t="shared" si="87"/>
        <v>0</v>
      </c>
      <c r="J661" s="85">
        <f t="shared" si="87"/>
        <v>9957.8914700000023</v>
      </c>
      <c r="K661" s="85">
        <f t="shared" si="87"/>
        <v>1360.8459800000001</v>
      </c>
      <c r="L661" s="85">
        <f t="shared" si="87"/>
        <v>0</v>
      </c>
      <c r="M661" s="85">
        <f t="shared" si="87"/>
        <v>9957.8914700000023</v>
      </c>
      <c r="N661" s="85">
        <f t="shared" si="87"/>
        <v>1360.8459800000001</v>
      </c>
      <c r="O661" s="85">
        <f t="shared" si="87"/>
        <v>0</v>
      </c>
      <c r="P661" s="85">
        <f>1360845/1000</f>
        <v>1360.845</v>
      </c>
      <c r="Q661" s="85">
        <f t="shared" si="87"/>
        <v>0</v>
      </c>
      <c r="R661" s="86"/>
      <c r="S661" s="86"/>
      <c r="T661" s="85">
        <f t="shared" ref="T661:Y661" si="88">SUM(T649:T660)</f>
        <v>0</v>
      </c>
      <c r="U661" s="85">
        <f t="shared" si="88"/>
        <v>1360.8459800000001</v>
      </c>
      <c r="V661" s="85">
        <f t="shared" si="88"/>
        <v>11318.737450000002</v>
      </c>
      <c r="W661" s="85">
        <f t="shared" si="88"/>
        <v>0</v>
      </c>
      <c r="X661" s="85">
        <f>+H661+P661</f>
        <v>29895.769600000003</v>
      </c>
      <c r="Y661" s="85">
        <f t="shared" si="88"/>
        <v>0</v>
      </c>
      <c r="Z661" s="85">
        <f t="shared" ref="Z661:Z724" si="89">+E661-X661</f>
        <v>9.799999934330117E-4</v>
      </c>
      <c r="AA661" s="69">
        <f>SUM(AA649:AA660)</f>
        <v>11318.737450000002</v>
      </c>
      <c r="AB661" s="69">
        <f>SUM(AB649:AB660)</f>
        <v>0</v>
      </c>
    </row>
    <row r="662" spans="1:28" hidden="1" x14ac:dyDescent="0.3">
      <c r="A662" s="117"/>
      <c r="E662" s="86" t="s">
        <v>29</v>
      </c>
      <c r="F662" s="86" t="s">
        <v>29</v>
      </c>
      <c r="G662" s="86" t="s">
        <v>29</v>
      </c>
      <c r="H662" s="86" t="s">
        <v>29</v>
      </c>
      <c r="I662" s="86" t="s">
        <v>29</v>
      </c>
      <c r="J662" s="86" t="s">
        <v>29</v>
      </c>
      <c r="K662" s="86" t="s">
        <v>29</v>
      </c>
      <c r="L662" s="86" t="s">
        <v>29</v>
      </c>
      <c r="M662" s="86" t="s">
        <v>29</v>
      </c>
      <c r="N662" s="86" t="s">
        <v>29</v>
      </c>
      <c r="O662" s="86" t="s">
        <v>29</v>
      </c>
      <c r="P662" s="86" t="s">
        <v>29</v>
      </c>
      <c r="Q662" s="86" t="s">
        <v>29</v>
      </c>
      <c r="R662" s="86" t="s">
        <v>29</v>
      </c>
      <c r="S662" s="86" t="s">
        <v>29</v>
      </c>
      <c r="T662" s="86" t="s">
        <v>29</v>
      </c>
      <c r="U662" s="86" t="s">
        <v>29</v>
      </c>
      <c r="V662" s="86" t="s">
        <v>29</v>
      </c>
      <c r="W662" s="86" t="s">
        <v>29</v>
      </c>
      <c r="X662" s="85" t="e">
        <f t="shared" si="86"/>
        <v>#VALUE!</v>
      </c>
      <c r="Y662" s="86" t="s">
        <v>29</v>
      </c>
      <c r="Z662" s="85" t="e">
        <f t="shared" si="89"/>
        <v>#VALUE!</v>
      </c>
      <c r="AA662" s="115" t="s">
        <v>29</v>
      </c>
      <c r="AB662" s="115" t="s">
        <v>29</v>
      </c>
    </row>
    <row r="663" spans="1:28" hidden="1" x14ac:dyDescent="0.3">
      <c r="A663" s="105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6"/>
      <c r="S663" s="86"/>
      <c r="T663" s="86"/>
      <c r="U663" s="86"/>
      <c r="V663" s="86"/>
      <c r="W663" s="86"/>
      <c r="X663" s="85">
        <f t="shared" si="86"/>
        <v>0</v>
      </c>
      <c r="Y663" s="86"/>
      <c r="Z663" s="85">
        <f t="shared" si="89"/>
        <v>0</v>
      </c>
      <c r="AA663" s="118"/>
    </row>
    <row r="664" spans="1:28" hidden="1" x14ac:dyDescent="0.3">
      <c r="A664" s="117"/>
      <c r="C664" s="68" t="s">
        <v>539</v>
      </c>
      <c r="D664" s="145" t="s">
        <v>68</v>
      </c>
      <c r="E664" s="85">
        <f>STATS1003B!E664/1000</f>
        <v>278.69670000000002</v>
      </c>
      <c r="F664" s="85">
        <f>STATS1003B!F664/1000</f>
        <v>0</v>
      </c>
      <c r="G664" s="85">
        <f>STATS1003B!G664/1000</f>
        <v>0</v>
      </c>
      <c r="H664" s="85">
        <f>STATS1003B!H664/1000</f>
        <v>0</v>
      </c>
      <c r="I664" s="85">
        <f>STATS1003B!I664/1000</f>
        <v>0</v>
      </c>
      <c r="J664" s="85">
        <f>STATS1003B!J664/1000</f>
        <v>0</v>
      </c>
      <c r="K664" s="85">
        <f>STATS1003B!K664/1000</f>
        <v>278.69670000000002</v>
      </c>
      <c r="L664" s="85">
        <f>STATS1003B!L664/1000</f>
        <v>0</v>
      </c>
      <c r="M664" s="85">
        <f>STATS1003B!M664/1000</f>
        <v>0</v>
      </c>
      <c r="N664" s="85">
        <f>STATS1003B!N664/1000</f>
        <v>278.69670000000002</v>
      </c>
      <c r="O664" s="85">
        <f>STATS1003B!O664/1000</f>
        <v>0</v>
      </c>
      <c r="P664" s="85">
        <f>STATS1003B!P664/1000</f>
        <v>278.69670000000002</v>
      </c>
      <c r="Q664" s="85">
        <f>STATS1003B!Q664/1000</f>
        <v>0</v>
      </c>
      <c r="R664" s="85">
        <f>STATS1003B!R664/1000</f>
        <v>0</v>
      </c>
      <c r="S664" s="85">
        <f>STATS1003B!S664/1000</f>
        <v>0</v>
      </c>
      <c r="T664" s="85">
        <f>STATS1003B!T664/1000</f>
        <v>0</v>
      </c>
      <c r="U664" s="85">
        <f>STATS1003B!U664/1000</f>
        <v>278.69670000000002</v>
      </c>
      <c r="V664" s="85">
        <f>STATS1003B!V664/1000</f>
        <v>278.69670000000002</v>
      </c>
      <c r="W664" s="85">
        <f>STATS1003B!W664/1000</f>
        <v>0</v>
      </c>
      <c r="X664" s="85">
        <f t="shared" si="86"/>
        <v>278.69670000000002</v>
      </c>
      <c r="Y664" s="85">
        <f>STATS1003B!Y664/1000</f>
        <v>0</v>
      </c>
      <c r="Z664" s="85">
        <f t="shared" si="89"/>
        <v>0</v>
      </c>
      <c r="AA664" s="69">
        <f>STATS1003B!AA664/1000</f>
        <v>278.69670000000002</v>
      </c>
      <c r="AB664" s="69">
        <f>STATS1003B!AB664/1000</f>
        <v>0</v>
      </c>
    </row>
    <row r="665" spans="1:28" hidden="1" x14ac:dyDescent="0.3">
      <c r="A665" s="117"/>
      <c r="C665" s="68" t="s">
        <v>535</v>
      </c>
      <c r="D665" s="145" t="s">
        <v>68</v>
      </c>
      <c r="E665" s="85">
        <f>STATS1003B!E665/1000</f>
        <v>1014.23443</v>
      </c>
      <c r="F665" s="85">
        <f>STATS1003B!F665/1000</f>
        <v>443.33752000000004</v>
      </c>
      <c r="G665" s="85">
        <f>STATS1003B!G665/1000</f>
        <v>0</v>
      </c>
      <c r="H665" s="85">
        <f>STATS1003B!H665/1000</f>
        <v>443.33752000000004</v>
      </c>
      <c r="I665" s="85">
        <f>STATS1003B!I665/1000</f>
        <v>0</v>
      </c>
      <c r="J665" s="85">
        <f>STATS1003B!J665/1000</f>
        <v>443.33752000000004</v>
      </c>
      <c r="K665" s="85">
        <f>STATS1003B!K665/1000</f>
        <v>570.89691000000005</v>
      </c>
      <c r="L665" s="85">
        <f>STATS1003B!L665/1000</f>
        <v>0</v>
      </c>
      <c r="M665" s="85">
        <f>STATS1003B!M665/1000</f>
        <v>443.33752000000004</v>
      </c>
      <c r="N665" s="85">
        <f>STATS1003B!N665/1000</f>
        <v>570.89691000000005</v>
      </c>
      <c r="O665" s="85">
        <f>STATS1003B!O665/1000</f>
        <v>0</v>
      </c>
      <c r="P665" s="85">
        <f>STATS1003B!P665/1000</f>
        <v>570.89691000000005</v>
      </c>
      <c r="Q665" s="85">
        <f>STATS1003B!Q665/1000</f>
        <v>0</v>
      </c>
      <c r="R665" s="85">
        <f>STATS1003B!R665/1000</f>
        <v>0</v>
      </c>
      <c r="S665" s="85">
        <f>STATS1003B!S665/1000</f>
        <v>0</v>
      </c>
      <c r="T665" s="85">
        <f>STATS1003B!T665/1000</f>
        <v>0</v>
      </c>
      <c r="U665" s="85">
        <f>STATS1003B!U665/1000</f>
        <v>570.89691000000005</v>
      </c>
      <c r="V665" s="85">
        <f>STATS1003B!V665/1000</f>
        <v>1014.2344300000001</v>
      </c>
      <c r="W665" s="85">
        <f>STATS1003B!W665/1000</f>
        <v>0</v>
      </c>
      <c r="X665" s="85">
        <f t="shared" si="86"/>
        <v>1014.2344300000001</v>
      </c>
      <c r="Y665" s="85">
        <f>STATS1003B!Y665/1000</f>
        <v>0</v>
      </c>
      <c r="Z665" s="85">
        <f t="shared" si="89"/>
        <v>0</v>
      </c>
      <c r="AA665" s="69">
        <f>STATS1003B!AA665/1000</f>
        <v>1014.2344300000001</v>
      </c>
      <c r="AB665" s="69">
        <f>STATS1003B!AB665/1000</f>
        <v>0</v>
      </c>
    </row>
    <row r="666" spans="1:28" hidden="1" x14ac:dyDescent="0.3">
      <c r="A666" s="117"/>
      <c r="C666" s="68" t="s">
        <v>535</v>
      </c>
      <c r="D666" s="145" t="s">
        <v>54</v>
      </c>
      <c r="E666" s="85">
        <f>STATS1003B!E666/1000</f>
        <v>1602.5063500000001</v>
      </c>
      <c r="F666" s="85">
        <f>STATS1003B!F666/1000</f>
        <v>1592.566</v>
      </c>
      <c r="G666" s="85">
        <f>STATS1003B!G666/1000</f>
        <v>0</v>
      </c>
      <c r="H666" s="85">
        <f>STATS1003B!H666/1000</f>
        <v>1592.566</v>
      </c>
      <c r="I666" s="85">
        <f>STATS1003B!I666/1000</f>
        <v>0</v>
      </c>
      <c r="J666" s="85">
        <f>STATS1003B!J666/1000</f>
        <v>1592.566</v>
      </c>
      <c r="K666" s="85">
        <f>STATS1003B!K666/1000</f>
        <v>9.9403500000000005</v>
      </c>
      <c r="L666" s="85">
        <f>STATS1003B!L666/1000</f>
        <v>0</v>
      </c>
      <c r="M666" s="85">
        <f>STATS1003B!M666/1000</f>
        <v>1592.566</v>
      </c>
      <c r="N666" s="85">
        <f>STATS1003B!N666/1000</f>
        <v>9.9403500000000005</v>
      </c>
      <c r="O666" s="85">
        <f>STATS1003B!O666/1000</f>
        <v>0</v>
      </c>
      <c r="P666" s="85">
        <f>STATS1003B!P666/1000</f>
        <v>9.9403500000000005</v>
      </c>
      <c r="Q666" s="85">
        <f>STATS1003B!Q666/1000</f>
        <v>0</v>
      </c>
      <c r="R666" s="85">
        <f>STATS1003B!R666/1000</f>
        <v>0</v>
      </c>
      <c r="S666" s="85">
        <f>STATS1003B!S666/1000</f>
        <v>0</v>
      </c>
      <c r="T666" s="85">
        <f>STATS1003B!T666/1000</f>
        <v>0</v>
      </c>
      <c r="U666" s="85">
        <f>STATS1003B!U666/1000</f>
        <v>9.9403500000000005</v>
      </c>
      <c r="V666" s="85">
        <f>STATS1003B!V666/1000</f>
        <v>1602.5063500000001</v>
      </c>
      <c r="W666" s="85">
        <f>STATS1003B!W666/1000</f>
        <v>0</v>
      </c>
      <c r="X666" s="85">
        <f t="shared" si="86"/>
        <v>1602.5063500000001</v>
      </c>
      <c r="Y666" s="85">
        <f>STATS1003B!Y666/1000</f>
        <v>0</v>
      </c>
      <c r="Z666" s="85">
        <f t="shared" si="89"/>
        <v>0</v>
      </c>
      <c r="AA666" s="69">
        <f>STATS1003B!AA666/1000</f>
        <v>1602.5063500000001</v>
      </c>
      <c r="AB666" s="69">
        <f>STATS1003B!AB666/1000</f>
        <v>0</v>
      </c>
    </row>
    <row r="667" spans="1:28" hidden="1" x14ac:dyDescent="0.3">
      <c r="A667" s="117"/>
      <c r="C667" s="68" t="s">
        <v>600</v>
      </c>
      <c r="D667" s="145" t="s">
        <v>54</v>
      </c>
      <c r="E667" s="85">
        <f>STATS1003B!E667/1000</f>
        <v>475</v>
      </c>
      <c r="F667" s="85">
        <f>STATS1003B!F667/1000</f>
        <v>475</v>
      </c>
      <c r="G667" s="85">
        <f>STATS1003B!G667/1000</f>
        <v>0</v>
      </c>
      <c r="H667" s="85">
        <f>STATS1003B!H667/1000</f>
        <v>475</v>
      </c>
      <c r="I667" s="85">
        <f>STATS1003B!I667/1000</f>
        <v>0</v>
      </c>
      <c r="J667" s="85">
        <f>STATS1003B!J667/1000</f>
        <v>475</v>
      </c>
      <c r="K667" s="85">
        <f>STATS1003B!K667/1000</f>
        <v>0</v>
      </c>
      <c r="L667" s="85">
        <f>STATS1003B!L667/1000</f>
        <v>0</v>
      </c>
      <c r="M667" s="85">
        <f>STATS1003B!M667/1000</f>
        <v>475</v>
      </c>
      <c r="N667" s="85">
        <f>STATS1003B!N667/1000</f>
        <v>0</v>
      </c>
      <c r="O667" s="85">
        <f>STATS1003B!O667/1000</f>
        <v>0</v>
      </c>
      <c r="P667" s="85">
        <f>STATS1003B!P667/1000</f>
        <v>0</v>
      </c>
      <c r="Q667" s="85">
        <f>STATS1003B!Q667/1000</f>
        <v>0</v>
      </c>
      <c r="R667" s="85">
        <f>STATS1003B!R667/1000</f>
        <v>0</v>
      </c>
      <c r="S667" s="85">
        <f>STATS1003B!S667/1000</f>
        <v>0</v>
      </c>
      <c r="T667" s="85">
        <f>STATS1003B!T667/1000</f>
        <v>0</v>
      </c>
      <c r="U667" s="85">
        <f>STATS1003B!U667/1000</f>
        <v>0</v>
      </c>
      <c r="V667" s="85">
        <f>STATS1003B!V667/1000</f>
        <v>475</v>
      </c>
      <c r="W667" s="85">
        <f>STATS1003B!W667/1000</f>
        <v>0</v>
      </c>
      <c r="X667" s="85">
        <f t="shared" si="86"/>
        <v>475</v>
      </c>
      <c r="Y667" s="85">
        <f>STATS1003B!Y667/1000</f>
        <v>0</v>
      </c>
      <c r="Z667" s="85">
        <f t="shared" si="89"/>
        <v>0</v>
      </c>
      <c r="AA667" s="69">
        <f>STATS1003B!AA667/1000</f>
        <v>475</v>
      </c>
      <c r="AB667" s="69">
        <f>STATS1003B!AB667/1000</f>
        <v>0</v>
      </c>
    </row>
    <row r="668" spans="1:28" hidden="1" x14ac:dyDescent="0.3">
      <c r="A668" s="117"/>
      <c r="C668" s="68" t="s">
        <v>545</v>
      </c>
      <c r="D668" s="145" t="s">
        <v>54</v>
      </c>
      <c r="E668" s="85">
        <f>STATS1003B!E668/1000</f>
        <v>2306.1060000000002</v>
      </c>
      <c r="F668" s="85">
        <f>STATS1003B!F668/1000</f>
        <v>0</v>
      </c>
      <c r="G668" s="85">
        <f>STATS1003B!G668/1000</f>
        <v>0</v>
      </c>
      <c r="H668" s="85">
        <f>STATS1003B!H668/1000</f>
        <v>0</v>
      </c>
      <c r="I668" s="85">
        <f>STATS1003B!I668/1000</f>
        <v>0</v>
      </c>
      <c r="J668" s="85">
        <f>STATS1003B!J668/1000</f>
        <v>0</v>
      </c>
      <c r="K668" s="85">
        <f>STATS1003B!K668/1000</f>
        <v>2306.1060000000002</v>
      </c>
      <c r="L668" s="85">
        <f>STATS1003B!L668/1000</f>
        <v>0</v>
      </c>
      <c r="M668" s="85">
        <f>STATS1003B!M668/1000</f>
        <v>0</v>
      </c>
      <c r="N668" s="85">
        <f>STATS1003B!N668/1000</f>
        <v>2306.1060000000002</v>
      </c>
      <c r="O668" s="85">
        <f>STATS1003B!O668/1000</f>
        <v>0</v>
      </c>
      <c r="P668" s="85">
        <f>STATS1003B!P668/1000</f>
        <v>2306.1060000000002</v>
      </c>
      <c r="Q668" s="85">
        <f>STATS1003B!Q668/1000</f>
        <v>0</v>
      </c>
      <c r="R668" s="85">
        <f>STATS1003B!R668/1000</f>
        <v>0</v>
      </c>
      <c r="S668" s="85">
        <f>STATS1003B!S668/1000</f>
        <v>0</v>
      </c>
      <c r="T668" s="85">
        <f>STATS1003B!T668/1000</f>
        <v>0</v>
      </c>
      <c r="U668" s="85">
        <f>STATS1003B!U668/1000</f>
        <v>2306.1060000000002</v>
      </c>
      <c r="V668" s="85">
        <f>STATS1003B!V668/1000</f>
        <v>2306.1060000000002</v>
      </c>
      <c r="W668" s="85">
        <f>STATS1003B!W668/1000</f>
        <v>0</v>
      </c>
      <c r="X668" s="85">
        <f t="shared" si="86"/>
        <v>2306.1060000000002</v>
      </c>
      <c r="Y668" s="85">
        <f>STATS1003B!Y668/1000</f>
        <v>0</v>
      </c>
      <c r="Z668" s="85">
        <f t="shared" si="89"/>
        <v>0</v>
      </c>
      <c r="AA668" s="69">
        <f>STATS1003B!AA668/1000</f>
        <v>2306.1060000000002</v>
      </c>
      <c r="AB668" s="69">
        <f>STATS1003B!AB668/1000</f>
        <v>0</v>
      </c>
    </row>
    <row r="669" spans="1:28" hidden="1" x14ac:dyDescent="0.3">
      <c r="A669" s="117"/>
      <c r="C669" s="68" t="s">
        <v>601</v>
      </c>
      <c r="D669" s="145" t="s">
        <v>54</v>
      </c>
      <c r="E669" s="85">
        <f>STATS1003B!E669/1000</f>
        <v>955.34561999999994</v>
      </c>
      <c r="F669" s="85">
        <f>STATS1003B!F669/1000</f>
        <v>0</v>
      </c>
      <c r="G669" s="85">
        <f>STATS1003B!G669/1000</f>
        <v>0</v>
      </c>
      <c r="H669" s="85">
        <f>STATS1003B!H669/1000</f>
        <v>0</v>
      </c>
      <c r="I669" s="85">
        <f>STATS1003B!I669/1000</f>
        <v>0</v>
      </c>
      <c r="J669" s="85">
        <f>STATS1003B!J669/1000</f>
        <v>0</v>
      </c>
      <c r="K669" s="85">
        <f>STATS1003B!K669/1000</f>
        <v>955.34561999999994</v>
      </c>
      <c r="L669" s="85">
        <f>STATS1003B!L669/1000</f>
        <v>0</v>
      </c>
      <c r="M669" s="85">
        <f>STATS1003B!M669/1000</f>
        <v>0</v>
      </c>
      <c r="N669" s="85">
        <f>STATS1003B!N669/1000</f>
        <v>955.34561999999994</v>
      </c>
      <c r="O669" s="85">
        <f>STATS1003B!O669/1000</f>
        <v>0</v>
      </c>
      <c r="P669" s="85">
        <f>STATS1003B!P669/1000</f>
        <v>955.34561999999994</v>
      </c>
      <c r="Q669" s="85">
        <f>STATS1003B!Q669/1000</f>
        <v>0</v>
      </c>
      <c r="R669" s="85">
        <f>STATS1003B!R669/1000</f>
        <v>0</v>
      </c>
      <c r="S669" s="85">
        <f>STATS1003B!S669/1000</f>
        <v>0</v>
      </c>
      <c r="T669" s="85">
        <f>STATS1003B!T669/1000</f>
        <v>0</v>
      </c>
      <c r="U669" s="85">
        <f>STATS1003B!U669/1000</f>
        <v>955.34561999999994</v>
      </c>
      <c r="V669" s="85">
        <f>STATS1003B!V669/1000</f>
        <v>955.34561999999994</v>
      </c>
      <c r="W669" s="85">
        <f>STATS1003B!W669/1000</f>
        <v>0</v>
      </c>
      <c r="X669" s="85">
        <f t="shared" si="86"/>
        <v>955.34561999999994</v>
      </c>
      <c r="Y669" s="85">
        <f>STATS1003B!Y669/1000</f>
        <v>0</v>
      </c>
      <c r="Z669" s="85">
        <f t="shared" si="89"/>
        <v>0</v>
      </c>
      <c r="AA669" s="69">
        <f>STATS1003B!AA669/1000</f>
        <v>955.34561999999994</v>
      </c>
      <c r="AB669" s="69">
        <f>STATS1003B!AB669/1000</f>
        <v>0</v>
      </c>
    </row>
    <row r="670" spans="1:28" hidden="1" x14ac:dyDescent="0.3">
      <c r="A670" s="117"/>
      <c r="C670" s="68" t="s">
        <v>535</v>
      </c>
      <c r="D670" s="145" t="s">
        <v>85</v>
      </c>
      <c r="E670" s="85">
        <f>STATS1003B!E670/1000</f>
        <v>4256.1000000000004</v>
      </c>
      <c r="F670" s="85">
        <f>STATS1003B!F670/1000</f>
        <v>4256.1000000000004</v>
      </c>
      <c r="G670" s="85">
        <f>STATS1003B!G670/1000</f>
        <v>0</v>
      </c>
      <c r="H670" s="85">
        <f>STATS1003B!H670/1000</f>
        <v>4256.1000000000004</v>
      </c>
      <c r="I670" s="85">
        <f>STATS1003B!I670/1000</f>
        <v>0</v>
      </c>
      <c r="J670" s="85">
        <f>STATS1003B!J670/1000</f>
        <v>4256.1000000000004</v>
      </c>
      <c r="K670" s="85">
        <f>STATS1003B!K670/1000</f>
        <v>0</v>
      </c>
      <c r="L670" s="85">
        <f>STATS1003B!L670/1000</f>
        <v>0</v>
      </c>
      <c r="M670" s="85">
        <f>STATS1003B!M670/1000</f>
        <v>4256.1000000000004</v>
      </c>
      <c r="N670" s="85">
        <f>STATS1003B!N670/1000</f>
        <v>0</v>
      </c>
      <c r="O670" s="85">
        <f>STATS1003B!O670/1000</f>
        <v>0</v>
      </c>
      <c r="P670" s="85">
        <f>STATS1003B!P670/1000</f>
        <v>0</v>
      </c>
      <c r="Q670" s="85">
        <f>STATS1003B!Q670/1000</f>
        <v>0</v>
      </c>
      <c r="R670" s="85">
        <f>STATS1003B!R670/1000</f>
        <v>0</v>
      </c>
      <c r="S670" s="85">
        <f>STATS1003B!S670/1000</f>
        <v>0</v>
      </c>
      <c r="T670" s="85">
        <f>STATS1003B!T670/1000</f>
        <v>0</v>
      </c>
      <c r="U670" s="85">
        <f>STATS1003B!U670/1000</f>
        <v>0</v>
      </c>
      <c r="V670" s="85">
        <f>STATS1003B!V670/1000</f>
        <v>4256.1000000000004</v>
      </c>
      <c r="W670" s="85">
        <f>STATS1003B!W670/1000</f>
        <v>0</v>
      </c>
      <c r="X670" s="85">
        <f t="shared" si="86"/>
        <v>4256.1000000000004</v>
      </c>
      <c r="Y670" s="85">
        <f>STATS1003B!Y670/1000</f>
        <v>0</v>
      </c>
      <c r="Z670" s="85">
        <f t="shared" si="89"/>
        <v>0</v>
      </c>
      <c r="AA670" s="69">
        <f>STATS1003B!AA670/1000</f>
        <v>4256.1000000000004</v>
      </c>
      <c r="AB670" s="69">
        <f>STATS1003B!AB670/1000</f>
        <v>0</v>
      </c>
    </row>
    <row r="671" spans="1:28" hidden="1" x14ac:dyDescent="0.3">
      <c r="A671" s="117"/>
      <c r="C671" s="68" t="s">
        <v>602</v>
      </c>
      <c r="D671" s="145" t="s">
        <v>85</v>
      </c>
      <c r="E671" s="85">
        <f>STATS1003B!E671/1000</f>
        <v>1000</v>
      </c>
      <c r="F671" s="85">
        <f>STATS1003B!F671/1000</f>
        <v>1000</v>
      </c>
      <c r="G671" s="85">
        <f>STATS1003B!G671/1000</f>
        <v>0</v>
      </c>
      <c r="H671" s="85">
        <f>STATS1003B!H671/1000</f>
        <v>1000</v>
      </c>
      <c r="I671" s="85">
        <f>STATS1003B!I671/1000</f>
        <v>0</v>
      </c>
      <c r="J671" s="85">
        <f>STATS1003B!J671/1000</f>
        <v>1000</v>
      </c>
      <c r="K671" s="85">
        <f>STATS1003B!K671/1000</f>
        <v>0</v>
      </c>
      <c r="L671" s="85">
        <f>STATS1003B!L671/1000</f>
        <v>0</v>
      </c>
      <c r="M671" s="85">
        <f>STATS1003B!M671/1000</f>
        <v>1000</v>
      </c>
      <c r="N671" s="85">
        <f>STATS1003B!N671/1000</f>
        <v>0</v>
      </c>
      <c r="O671" s="85">
        <f>STATS1003B!O671/1000</f>
        <v>0</v>
      </c>
      <c r="P671" s="85">
        <f>STATS1003B!P671/1000</f>
        <v>0</v>
      </c>
      <c r="Q671" s="85">
        <f>STATS1003B!Q671/1000</f>
        <v>0</v>
      </c>
      <c r="R671" s="85">
        <f>STATS1003B!R671/1000</f>
        <v>0</v>
      </c>
      <c r="S671" s="85">
        <f>STATS1003B!S671/1000</f>
        <v>0</v>
      </c>
      <c r="T671" s="85">
        <f>STATS1003B!T671/1000</f>
        <v>0</v>
      </c>
      <c r="U671" s="85">
        <f>STATS1003B!U671/1000</f>
        <v>0</v>
      </c>
      <c r="V671" s="85">
        <f>STATS1003B!V671/1000</f>
        <v>1000</v>
      </c>
      <c r="W671" s="85">
        <f>STATS1003B!W671/1000</f>
        <v>0</v>
      </c>
      <c r="X671" s="85">
        <f t="shared" si="86"/>
        <v>1000</v>
      </c>
      <c r="Y671" s="85">
        <f>STATS1003B!Y671/1000</f>
        <v>0</v>
      </c>
      <c r="Z671" s="85">
        <f t="shared" si="89"/>
        <v>0</v>
      </c>
      <c r="AA671" s="69">
        <f>STATS1003B!AA671/1000</f>
        <v>1000</v>
      </c>
      <c r="AB671" s="69">
        <f>STATS1003B!AB671/1000</f>
        <v>0</v>
      </c>
    </row>
    <row r="672" spans="1:28" hidden="1" x14ac:dyDescent="0.3">
      <c r="A672" s="117"/>
      <c r="C672" s="68" t="s">
        <v>603</v>
      </c>
      <c r="D672" s="145" t="s">
        <v>85</v>
      </c>
      <c r="E672" s="85">
        <f>STATS1003B!E672/1000</f>
        <v>80</v>
      </c>
      <c r="F672" s="85">
        <f>STATS1003B!F672/1000</f>
        <v>80</v>
      </c>
      <c r="G672" s="85">
        <f>STATS1003B!G672/1000</f>
        <v>0</v>
      </c>
      <c r="H672" s="85">
        <f>STATS1003B!H672/1000</f>
        <v>80</v>
      </c>
      <c r="I672" s="85">
        <f>STATS1003B!I672/1000</f>
        <v>0</v>
      </c>
      <c r="J672" s="85">
        <f>STATS1003B!J672/1000</f>
        <v>80</v>
      </c>
      <c r="K672" s="85">
        <f>STATS1003B!K672/1000</f>
        <v>0</v>
      </c>
      <c r="L672" s="85">
        <f>STATS1003B!L672/1000</f>
        <v>0</v>
      </c>
      <c r="M672" s="85">
        <f>STATS1003B!M672/1000</f>
        <v>80</v>
      </c>
      <c r="N672" s="85">
        <f>STATS1003B!N672/1000</f>
        <v>0</v>
      </c>
      <c r="O672" s="85">
        <f>STATS1003B!O672/1000</f>
        <v>0</v>
      </c>
      <c r="P672" s="85">
        <f>STATS1003B!P672/1000</f>
        <v>0</v>
      </c>
      <c r="Q672" s="85">
        <f>STATS1003B!Q672/1000</f>
        <v>0</v>
      </c>
      <c r="R672" s="85">
        <f>STATS1003B!R672/1000</f>
        <v>0</v>
      </c>
      <c r="S672" s="85">
        <f>STATS1003B!S672/1000</f>
        <v>0</v>
      </c>
      <c r="T672" s="85">
        <f>STATS1003B!T672/1000</f>
        <v>0</v>
      </c>
      <c r="U672" s="85">
        <f>STATS1003B!U672/1000</f>
        <v>0</v>
      </c>
      <c r="V672" s="85">
        <f>STATS1003B!V672/1000</f>
        <v>80</v>
      </c>
      <c r="W672" s="85">
        <f>STATS1003B!W672/1000</f>
        <v>0</v>
      </c>
      <c r="X672" s="85">
        <f t="shared" si="86"/>
        <v>80</v>
      </c>
      <c r="Y672" s="85">
        <f>STATS1003B!Y672/1000</f>
        <v>0</v>
      </c>
      <c r="Z672" s="85">
        <f t="shared" si="89"/>
        <v>0</v>
      </c>
      <c r="AA672" s="69">
        <f>STATS1003B!AA672/1000</f>
        <v>80</v>
      </c>
      <c r="AB672" s="69">
        <f>STATS1003B!AB672/1000</f>
        <v>0</v>
      </c>
    </row>
    <row r="673" spans="1:28" hidden="1" x14ac:dyDescent="0.3">
      <c r="A673" s="117"/>
      <c r="C673" s="68" t="s">
        <v>604</v>
      </c>
      <c r="D673" s="145" t="s">
        <v>85</v>
      </c>
      <c r="E673" s="85">
        <f>STATS1003B!E673/1000</f>
        <v>120</v>
      </c>
      <c r="F673" s="85">
        <f>STATS1003B!F673/1000</f>
        <v>120</v>
      </c>
      <c r="G673" s="85">
        <f>STATS1003B!G673/1000</f>
        <v>0</v>
      </c>
      <c r="H673" s="85">
        <f>STATS1003B!H673/1000</f>
        <v>120</v>
      </c>
      <c r="I673" s="85">
        <f>STATS1003B!I673/1000</f>
        <v>0</v>
      </c>
      <c r="J673" s="85">
        <f>STATS1003B!J673/1000</f>
        <v>120</v>
      </c>
      <c r="K673" s="85">
        <f>STATS1003B!K673/1000</f>
        <v>0</v>
      </c>
      <c r="L673" s="85">
        <f>STATS1003B!L673/1000</f>
        <v>0</v>
      </c>
      <c r="M673" s="85">
        <f>STATS1003B!M673/1000</f>
        <v>120</v>
      </c>
      <c r="N673" s="85">
        <f>STATS1003B!N673/1000</f>
        <v>0</v>
      </c>
      <c r="O673" s="85">
        <f>STATS1003B!O673/1000</f>
        <v>0</v>
      </c>
      <c r="P673" s="85">
        <f>STATS1003B!P673/1000</f>
        <v>0</v>
      </c>
      <c r="Q673" s="85">
        <f>STATS1003B!Q673/1000</f>
        <v>0</v>
      </c>
      <c r="R673" s="85">
        <f>STATS1003B!R673/1000</f>
        <v>0</v>
      </c>
      <c r="S673" s="85">
        <f>STATS1003B!S673/1000</f>
        <v>0</v>
      </c>
      <c r="T673" s="85">
        <f>STATS1003B!T673/1000</f>
        <v>0</v>
      </c>
      <c r="U673" s="85">
        <f>STATS1003B!U673/1000</f>
        <v>0</v>
      </c>
      <c r="V673" s="85">
        <f>STATS1003B!V673/1000</f>
        <v>120</v>
      </c>
      <c r="W673" s="85">
        <f>STATS1003B!W673/1000</f>
        <v>0</v>
      </c>
      <c r="X673" s="85">
        <f t="shared" si="86"/>
        <v>120</v>
      </c>
      <c r="Y673" s="85">
        <f>STATS1003B!Y673/1000</f>
        <v>0</v>
      </c>
      <c r="Z673" s="85">
        <f t="shared" si="89"/>
        <v>0</v>
      </c>
      <c r="AA673" s="69">
        <f>STATS1003B!AA673/1000</f>
        <v>120</v>
      </c>
      <c r="AB673" s="69">
        <f>STATS1003B!AB673/1000</f>
        <v>0</v>
      </c>
    </row>
    <row r="674" spans="1:28" hidden="1" x14ac:dyDescent="0.3">
      <c r="A674" s="117"/>
      <c r="C674" s="68" t="s">
        <v>535</v>
      </c>
      <c r="D674" s="145" t="s">
        <v>128</v>
      </c>
      <c r="E674" s="85">
        <f>STATS1003B!E674/1000</f>
        <v>2586.6</v>
      </c>
      <c r="F674" s="85">
        <f>STATS1003B!F674/1000</f>
        <v>2586.6</v>
      </c>
      <c r="G674" s="85">
        <f>STATS1003B!G674/1000</f>
        <v>0</v>
      </c>
      <c r="H674" s="85">
        <f>STATS1003B!H674/1000</f>
        <v>2586.6</v>
      </c>
      <c r="I674" s="85">
        <f>STATS1003B!I674/1000</f>
        <v>0</v>
      </c>
      <c r="J674" s="85">
        <f>STATS1003B!J674/1000</f>
        <v>2586.6</v>
      </c>
      <c r="K674" s="85">
        <f>STATS1003B!K674/1000</f>
        <v>0</v>
      </c>
      <c r="L674" s="85">
        <f>STATS1003B!L674/1000</f>
        <v>0</v>
      </c>
      <c r="M674" s="85">
        <f>STATS1003B!M674/1000</f>
        <v>2586.6</v>
      </c>
      <c r="N674" s="85">
        <f>STATS1003B!N674/1000</f>
        <v>0</v>
      </c>
      <c r="O674" s="85">
        <f>STATS1003B!O674/1000</f>
        <v>0</v>
      </c>
      <c r="P674" s="85">
        <f>STATS1003B!P674/1000</f>
        <v>0</v>
      </c>
      <c r="Q674" s="85">
        <f>STATS1003B!Q674/1000</f>
        <v>0</v>
      </c>
      <c r="R674" s="85">
        <f>STATS1003B!R674/1000</f>
        <v>0</v>
      </c>
      <c r="S674" s="85">
        <f>STATS1003B!S674/1000</f>
        <v>0</v>
      </c>
      <c r="T674" s="85">
        <f>STATS1003B!T674/1000</f>
        <v>0</v>
      </c>
      <c r="U674" s="85">
        <f>STATS1003B!U674/1000</f>
        <v>0</v>
      </c>
      <c r="V674" s="85">
        <f>STATS1003B!V674/1000</f>
        <v>2586.6</v>
      </c>
      <c r="W674" s="85">
        <f>STATS1003B!W674/1000</f>
        <v>0</v>
      </c>
      <c r="X674" s="85">
        <f t="shared" si="86"/>
        <v>2586.6</v>
      </c>
      <c r="Y674" s="85">
        <f>STATS1003B!Y674/1000</f>
        <v>0</v>
      </c>
      <c r="Z674" s="85">
        <f t="shared" si="89"/>
        <v>0</v>
      </c>
      <c r="AA674" s="69">
        <f>STATS1003B!AA674/1000</f>
        <v>2586.6</v>
      </c>
      <c r="AB674" s="69">
        <f>STATS1003B!AB674/1000</f>
        <v>0</v>
      </c>
    </row>
    <row r="675" spans="1:28" hidden="1" x14ac:dyDescent="0.3">
      <c r="A675" s="117"/>
      <c r="C675" s="68" t="s">
        <v>566</v>
      </c>
      <c r="D675" s="145" t="s">
        <v>128</v>
      </c>
      <c r="E675" s="85">
        <f>STATS1003B!E675/1000</f>
        <v>1000</v>
      </c>
      <c r="F675" s="85">
        <f>STATS1003B!F675/1000</f>
        <v>1000</v>
      </c>
      <c r="G675" s="85">
        <f>STATS1003B!G675/1000</f>
        <v>0</v>
      </c>
      <c r="H675" s="85">
        <f>STATS1003B!H675/1000</f>
        <v>1000</v>
      </c>
      <c r="I675" s="85">
        <f>STATS1003B!I675/1000</f>
        <v>0</v>
      </c>
      <c r="J675" s="85">
        <f>STATS1003B!J675/1000</f>
        <v>1000</v>
      </c>
      <c r="K675" s="85">
        <f>STATS1003B!K675/1000</f>
        <v>0</v>
      </c>
      <c r="L675" s="85">
        <f>STATS1003B!L675/1000</f>
        <v>0</v>
      </c>
      <c r="M675" s="85">
        <f>STATS1003B!M675/1000</f>
        <v>1000</v>
      </c>
      <c r="N675" s="85">
        <f>STATS1003B!N675/1000</f>
        <v>0</v>
      </c>
      <c r="O675" s="85">
        <f>STATS1003B!O675/1000</f>
        <v>0</v>
      </c>
      <c r="P675" s="85">
        <f>STATS1003B!P675/1000</f>
        <v>0</v>
      </c>
      <c r="Q675" s="85">
        <f>STATS1003B!Q675/1000</f>
        <v>0</v>
      </c>
      <c r="R675" s="85">
        <f>STATS1003B!R675/1000</f>
        <v>0</v>
      </c>
      <c r="S675" s="85">
        <f>STATS1003B!S675/1000</f>
        <v>0</v>
      </c>
      <c r="T675" s="85">
        <f>STATS1003B!T675/1000</f>
        <v>0</v>
      </c>
      <c r="U675" s="85">
        <f>STATS1003B!U675/1000</f>
        <v>0</v>
      </c>
      <c r="V675" s="85">
        <f>STATS1003B!V675/1000</f>
        <v>1000</v>
      </c>
      <c r="W675" s="85">
        <f>STATS1003B!W675/1000</f>
        <v>0</v>
      </c>
      <c r="X675" s="85">
        <f t="shared" si="86"/>
        <v>1000</v>
      </c>
      <c r="Y675" s="85">
        <f>STATS1003B!Y675/1000</f>
        <v>0</v>
      </c>
      <c r="Z675" s="85">
        <f t="shared" si="89"/>
        <v>0</v>
      </c>
      <c r="AA675" s="69">
        <f>STATS1003B!AA675/1000</f>
        <v>1000</v>
      </c>
      <c r="AB675" s="69">
        <f>STATS1003B!AB675/1000</f>
        <v>0</v>
      </c>
    </row>
    <row r="676" spans="1:28" hidden="1" x14ac:dyDescent="0.3">
      <c r="A676" s="117"/>
      <c r="C676" s="68" t="s">
        <v>535</v>
      </c>
      <c r="D676" s="145" t="s">
        <v>88</v>
      </c>
      <c r="E676" s="85">
        <f>STATS1003B!E676/1000</f>
        <v>2000</v>
      </c>
      <c r="F676" s="85">
        <f>STATS1003B!F676/1000</f>
        <v>2000</v>
      </c>
      <c r="G676" s="85">
        <f>STATS1003B!G676/1000</f>
        <v>0</v>
      </c>
      <c r="H676" s="85">
        <f>STATS1003B!H676/1000</f>
        <v>2000</v>
      </c>
      <c r="I676" s="85">
        <f>STATS1003B!I676/1000</f>
        <v>0</v>
      </c>
      <c r="J676" s="85">
        <f>STATS1003B!J676/1000</f>
        <v>2000</v>
      </c>
      <c r="K676" s="85">
        <f>STATS1003B!K676/1000</f>
        <v>0</v>
      </c>
      <c r="L676" s="85">
        <f>STATS1003B!L676/1000</f>
        <v>0</v>
      </c>
      <c r="M676" s="85">
        <f>STATS1003B!M676/1000</f>
        <v>2000</v>
      </c>
      <c r="N676" s="85">
        <f>STATS1003B!N676/1000</f>
        <v>0</v>
      </c>
      <c r="O676" s="85">
        <f>STATS1003B!O676/1000</f>
        <v>0</v>
      </c>
      <c r="P676" s="85">
        <f>STATS1003B!P676/1000</f>
        <v>0</v>
      </c>
      <c r="Q676" s="85">
        <f>STATS1003B!Q676/1000</f>
        <v>0</v>
      </c>
      <c r="R676" s="85">
        <f>STATS1003B!R676/1000</f>
        <v>0</v>
      </c>
      <c r="S676" s="85">
        <f>STATS1003B!S676/1000</f>
        <v>0</v>
      </c>
      <c r="T676" s="85">
        <f>STATS1003B!T676/1000</f>
        <v>0</v>
      </c>
      <c r="U676" s="85">
        <f>STATS1003B!U676/1000</f>
        <v>0</v>
      </c>
      <c r="V676" s="85">
        <f>STATS1003B!V676/1000</f>
        <v>2000</v>
      </c>
      <c r="W676" s="85">
        <f>STATS1003B!W676/1000</f>
        <v>0</v>
      </c>
      <c r="X676" s="85">
        <f t="shared" si="86"/>
        <v>2000</v>
      </c>
      <c r="Y676" s="85">
        <f>STATS1003B!Y676/1000</f>
        <v>0</v>
      </c>
      <c r="Z676" s="85">
        <f t="shared" si="89"/>
        <v>0</v>
      </c>
      <c r="AA676" s="69">
        <f>STATS1003B!AA676/1000</f>
        <v>2000</v>
      </c>
      <c r="AB676" s="69">
        <f>STATS1003B!AB676/1000</f>
        <v>0</v>
      </c>
    </row>
    <row r="677" spans="1:28" hidden="1" x14ac:dyDescent="0.3">
      <c r="A677" s="117"/>
      <c r="C677" s="68" t="s">
        <v>535</v>
      </c>
      <c r="D677" s="145" t="s">
        <v>108</v>
      </c>
      <c r="E677" s="85">
        <f>STATS1003B!E677/1000</f>
        <v>9226.4779399999989</v>
      </c>
      <c r="F677" s="85">
        <f>STATS1003B!F677/1000</f>
        <v>9226.4779400000007</v>
      </c>
      <c r="G677" s="85">
        <f>STATS1003B!G677/1000</f>
        <v>0</v>
      </c>
      <c r="H677" s="85">
        <f>STATS1003B!H677/1000</f>
        <v>9226.4779400000007</v>
      </c>
      <c r="I677" s="85">
        <f>STATS1003B!I677/1000</f>
        <v>0</v>
      </c>
      <c r="J677" s="85">
        <f>STATS1003B!J677/1000</f>
        <v>9226.4779400000007</v>
      </c>
      <c r="K677" s="85">
        <f>STATS1003B!K677/1000</f>
        <v>0</v>
      </c>
      <c r="L677" s="85">
        <f>STATS1003B!L677/1000</f>
        <v>0</v>
      </c>
      <c r="M677" s="85">
        <f>STATS1003B!M677/1000</f>
        <v>9226.4779400000007</v>
      </c>
      <c r="N677" s="85">
        <f>STATS1003B!N677/1000</f>
        <v>0</v>
      </c>
      <c r="O677" s="85">
        <f>STATS1003B!O677/1000</f>
        <v>0</v>
      </c>
      <c r="P677" s="85">
        <f>STATS1003B!P677/1000</f>
        <v>0</v>
      </c>
      <c r="Q677" s="85">
        <f>STATS1003B!Q677/1000</f>
        <v>0</v>
      </c>
      <c r="R677" s="85">
        <f>STATS1003B!R677/1000</f>
        <v>0</v>
      </c>
      <c r="S677" s="85">
        <f>STATS1003B!S677/1000</f>
        <v>0</v>
      </c>
      <c r="T677" s="85">
        <f>STATS1003B!T677/1000</f>
        <v>0</v>
      </c>
      <c r="U677" s="85">
        <f>STATS1003B!U677/1000</f>
        <v>0</v>
      </c>
      <c r="V677" s="85">
        <f>STATS1003B!V677/1000</f>
        <v>9226.4779400000007</v>
      </c>
      <c r="W677" s="85">
        <f>STATS1003B!W677/1000</f>
        <v>0</v>
      </c>
      <c r="X677" s="85">
        <f t="shared" si="86"/>
        <v>9226.4779400000007</v>
      </c>
      <c r="Y677" s="85">
        <f>STATS1003B!Y677/1000</f>
        <v>0</v>
      </c>
      <c r="Z677" s="85">
        <f t="shared" si="89"/>
        <v>0</v>
      </c>
      <c r="AA677" s="69">
        <f>STATS1003B!AA677/1000</f>
        <v>9226.4779400000007</v>
      </c>
      <c r="AB677" s="69">
        <f>STATS1003B!AB677/1000</f>
        <v>0</v>
      </c>
    </row>
    <row r="678" spans="1:28" hidden="1" x14ac:dyDescent="0.3">
      <c r="A678" s="117"/>
      <c r="B678" s="68" t="s">
        <v>605</v>
      </c>
      <c r="C678" s="68" t="s">
        <v>535</v>
      </c>
      <c r="D678" s="145" t="s">
        <v>108</v>
      </c>
      <c r="E678" s="85">
        <f>STATS1003B!E678/1000</f>
        <v>5000</v>
      </c>
      <c r="F678" s="85">
        <f>STATS1003B!F678/1000</f>
        <v>5000</v>
      </c>
      <c r="G678" s="85">
        <f>STATS1003B!G678/1000</f>
        <v>0</v>
      </c>
      <c r="H678" s="85">
        <f>STATS1003B!H678/1000</f>
        <v>5000</v>
      </c>
      <c r="I678" s="85">
        <f>STATS1003B!I678/1000</f>
        <v>0</v>
      </c>
      <c r="J678" s="85">
        <f>STATS1003B!J678/1000</f>
        <v>5000</v>
      </c>
      <c r="K678" s="85">
        <f>STATS1003B!K678/1000</f>
        <v>0</v>
      </c>
      <c r="L678" s="85">
        <f>STATS1003B!L678/1000</f>
        <v>0</v>
      </c>
      <c r="M678" s="85">
        <f>STATS1003B!M678/1000</f>
        <v>5000</v>
      </c>
      <c r="N678" s="85">
        <f>STATS1003B!N678/1000</f>
        <v>0</v>
      </c>
      <c r="O678" s="85">
        <f>STATS1003B!O678/1000</f>
        <v>0</v>
      </c>
      <c r="P678" s="85">
        <f>STATS1003B!P678/1000</f>
        <v>0</v>
      </c>
      <c r="Q678" s="85">
        <f>STATS1003B!Q678/1000</f>
        <v>0</v>
      </c>
      <c r="R678" s="85">
        <f>STATS1003B!R678/1000</f>
        <v>0</v>
      </c>
      <c r="S678" s="85">
        <f>STATS1003B!S678/1000</f>
        <v>0</v>
      </c>
      <c r="T678" s="85">
        <f>STATS1003B!T678/1000</f>
        <v>0</v>
      </c>
      <c r="U678" s="85">
        <f>STATS1003B!U678/1000</f>
        <v>0</v>
      </c>
      <c r="V678" s="85">
        <f>STATS1003B!V678/1000</f>
        <v>5000</v>
      </c>
      <c r="W678" s="85">
        <f>STATS1003B!W678/1000</f>
        <v>0</v>
      </c>
      <c r="X678" s="85">
        <f t="shared" si="86"/>
        <v>5000</v>
      </c>
      <c r="Y678" s="85">
        <f>STATS1003B!Y678/1000</f>
        <v>0</v>
      </c>
      <c r="Z678" s="85">
        <f t="shared" si="89"/>
        <v>0</v>
      </c>
      <c r="AA678" s="69">
        <f>STATS1003B!AA678/1000</f>
        <v>5000</v>
      </c>
      <c r="AB678" s="69">
        <f>STATS1003B!AB678/1000</f>
        <v>0</v>
      </c>
    </row>
    <row r="679" spans="1:28" hidden="1" x14ac:dyDescent="0.3">
      <c r="A679" s="117"/>
      <c r="C679" s="68" t="s">
        <v>535</v>
      </c>
      <c r="D679" s="145" t="s">
        <v>58</v>
      </c>
      <c r="E679" s="85">
        <f>STATS1003B!E679/1000</f>
        <v>19415.622609999999</v>
      </c>
      <c r="F679" s="85">
        <f>STATS1003B!F679/1000</f>
        <v>15364.039439999999</v>
      </c>
      <c r="G679" s="85">
        <f>STATS1003B!G679/1000</f>
        <v>0</v>
      </c>
      <c r="H679" s="85">
        <f>STATS1003B!H679/1000</f>
        <v>15364.039439999999</v>
      </c>
      <c r="I679" s="85">
        <f>STATS1003B!I679/1000</f>
        <v>4051.5831699999999</v>
      </c>
      <c r="J679" s="85">
        <f>STATS1003B!J679/1000</f>
        <v>19415.622609999999</v>
      </c>
      <c r="K679" s="85">
        <f>STATS1003B!K679/1000</f>
        <v>0</v>
      </c>
      <c r="L679" s="85">
        <f>STATS1003B!L679/1000</f>
        <v>4051.5831699999999</v>
      </c>
      <c r="M679" s="85">
        <f>STATS1003B!M679/1000</f>
        <v>19415.622609999999</v>
      </c>
      <c r="N679" s="85">
        <f>STATS1003B!N679/1000</f>
        <v>0</v>
      </c>
      <c r="O679" s="85">
        <f>STATS1003B!O679/1000</f>
        <v>0</v>
      </c>
      <c r="P679" s="85">
        <f>STATS1003B!P679/1000</f>
        <v>0</v>
      </c>
      <c r="Q679" s="85">
        <f>STATS1003B!Q679/1000</f>
        <v>0</v>
      </c>
      <c r="R679" s="85">
        <f>STATS1003B!R679/1000</f>
        <v>0</v>
      </c>
      <c r="S679" s="85">
        <f>STATS1003B!S679/1000</f>
        <v>0</v>
      </c>
      <c r="T679" s="85">
        <f>STATS1003B!T679/1000</f>
        <v>0</v>
      </c>
      <c r="U679" s="85">
        <f>STATS1003B!U679/1000</f>
        <v>0</v>
      </c>
      <c r="V679" s="85">
        <f>STATS1003B!V679/1000</f>
        <v>15364.039439999999</v>
      </c>
      <c r="W679" s="85">
        <f>STATS1003B!W679/1000</f>
        <v>4051.5831699999999</v>
      </c>
      <c r="X679" s="85">
        <f t="shared" si="86"/>
        <v>15364.039439999999</v>
      </c>
      <c r="Y679" s="85">
        <f>STATS1003B!Y679/1000</f>
        <v>0</v>
      </c>
      <c r="Z679" s="85">
        <f t="shared" si="89"/>
        <v>4051.5831699999999</v>
      </c>
      <c r="AA679" s="69">
        <f>STATS1003B!AA679/1000</f>
        <v>19415.622609999999</v>
      </c>
      <c r="AB679" s="69">
        <f>STATS1003B!AB679/1000</f>
        <v>0</v>
      </c>
    </row>
    <row r="680" spans="1:28" hidden="1" x14ac:dyDescent="0.3">
      <c r="A680" s="117"/>
      <c r="C680" s="68" t="s">
        <v>535</v>
      </c>
      <c r="D680" s="145" t="s">
        <v>60</v>
      </c>
      <c r="E680" s="85">
        <f>STATS1003B!E680/1000</f>
        <v>544.471</v>
      </c>
      <c r="F680" s="85">
        <f>STATS1003B!F680/1000</f>
        <v>544.471</v>
      </c>
      <c r="G680" s="85">
        <f>STATS1003B!G680/1000</f>
        <v>0</v>
      </c>
      <c r="H680" s="85">
        <f>STATS1003B!H680/1000</f>
        <v>544.471</v>
      </c>
      <c r="I680" s="85">
        <f>STATS1003B!I680/1000</f>
        <v>0</v>
      </c>
      <c r="J680" s="85">
        <f>STATS1003B!J680/1000</f>
        <v>544.471</v>
      </c>
      <c r="K680" s="85">
        <f>STATS1003B!K680/1000</f>
        <v>0</v>
      </c>
      <c r="L680" s="85">
        <f>STATS1003B!L680/1000</f>
        <v>0</v>
      </c>
      <c r="M680" s="85">
        <f>STATS1003B!M680/1000</f>
        <v>544.471</v>
      </c>
      <c r="N680" s="85">
        <f>STATS1003B!N680/1000</f>
        <v>0</v>
      </c>
      <c r="O680" s="85">
        <f>STATS1003B!O680/1000</f>
        <v>0</v>
      </c>
      <c r="P680" s="85">
        <f>STATS1003B!P680/1000</f>
        <v>0</v>
      </c>
      <c r="Q680" s="85">
        <f>STATS1003B!Q680/1000</f>
        <v>0</v>
      </c>
      <c r="R680" s="85">
        <f>STATS1003B!R680/1000</f>
        <v>0</v>
      </c>
      <c r="S680" s="85">
        <f>STATS1003B!S680/1000</f>
        <v>0</v>
      </c>
      <c r="T680" s="85">
        <f>STATS1003B!T680/1000</f>
        <v>0</v>
      </c>
      <c r="U680" s="85">
        <f>STATS1003B!U680/1000</f>
        <v>0</v>
      </c>
      <c r="V680" s="85">
        <f>STATS1003B!V680/1000</f>
        <v>544.471</v>
      </c>
      <c r="W680" s="85">
        <f>STATS1003B!W680/1000</f>
        <v>0</v>
      </c>
      <c r="X680" s="85">
        <f t="shared" si="86"/>
        <v>544.471</v>
      </c>
      <c r="Y680" s="85">
        <f>STATS1003B!Y680/1000</f>
        <v>0</v>
      </c>
      <c r="Z680" s="85">
        <f t="shared" si="89"/>
        <v>0</v>
      </c>
      <c r="AA680" s="69">
        <f>STATS1003B!AA680/1000</f>
        <v>544.471</v>
      </c>
      <c r="AB680" s="69">
        <f>STATS1003B!AB680/1000</f>
        <v>0</v>
      </c>
    </row>
    <row r="681" spans="1:28" hidden="1" x14ac:dyDescent="0.3">
      <c r="A681" s="117"/>
      <c r="C681" s="68" t="s">
        <v>898</v>
      </c>
      <c r="D681" s="90" t="s">
        <v>1072</v>
      </c>
      <c r="E681" s="85">
        <f>STATS1003B!E681/1000</f>
        <v>1403.1551899999999</v>
      </c>
      <c r="F681" s="85">
        <f>STATS1003B!F681/1000</f>
        <v>1403.1551899999999</v>
      </c>
      <c r="G681" s="85">
        <f>STATS1003B!G681/1000</f>
        <v>0</v>
      </c>
      <c r="H681" s="85">
        <f>STATS1003B!H681/1000</f>
        <v>1403.1551899999999</v>
      </c>
      <c r="I681" s="85">
        <f>STATS1003B!I681/1000</f>
        <v>0</v>
      </c>
      <c r="J681" s="85">
        <f>STATS1003B!J681/1000</f>
        <v>0</v>
      </c>
      <c r="K681" s="85">
        <f>STATS1003B!K681/1000</f>
        <v>0</v>
      </c>
      <c r="L681" s="85">
        <f>STATS1003B!L681/1000</f>
        <v>0</v>
      </c>
      <c r="M681" s="85">
        <f>STATS1003B!M681/1000</f>
        <v>1403.1551899999999</v>
      </c>
      <c r="N681" s="85">
        <f>STATS1003B!N681/1000</f>
        <v>0</v>
      </c>
      <c r="O681" s="85">
        <f>STATS1003B!O681/1000</f>
        <v>0</v>
      </c>
      <c r="P681" s="85">
        <f>STATS1003B!P681/1000</f>
        <v>0</v>
      </c>
      <c r="Q681" s="85">
        <f>STATS1003B!Q681/1000</f>
        <v>0</v>
      </c>
      <c r="R681" s="85">
        <f>STATS1003B!R681/1000</f>
        <v>0</v>
      </c>
      <c r="S681" s="85">
        <f>STATS1003B!S681/1000</f>
        <v>0</v>
      </c>
      <c r="T681" s="85">
        <f>STATS1003B!T681/1000</f>
        <v>0</v>
      </c>
      <c r="U681" s="85">
        <f>STATS1003B!U681/1000</f>
        <v>0</v>
      </c>
      <c r="V681" s="85">
        <f>STATS1003B!V681/1000</f>
        <v>0</v>
      </c>
      <c r="W681" s="85">
        <f>STATS1003B!W681/1000</f>
        <v>0</v>
      </c>
      <c r="X681" s="85">
        <f t="shared" si="86"/>
        <v>1403.1551899999999</v>
      </c>
      <c r="Y681" s="85">
        <f>STATS1003B!Y681/1000</f>
        <v>0</v>
      </c>
      <c r="Z681" s="85">
        <f t="shared" si="89"/>
        <v>0</v>
      </c>
      <c r="AA681" s="69">
        <f>STATS1003B!AA681/1000</f>
        <v>1403.1551899999999</v>
      </c>
      <c r="AB681" s="69">
        <f>STATS1003B!AB681/1000</f>
        <v>0</v>
      </c>
    </row>
    <row r="682" spans="1:28" hidden="1" x14ac:dyDescent="0.3">
      <c r="A682" s="117"/>
      <c r="C682" s="93" t="s">
        <v>933</v>
      </c>
      <c r="D682" s="90" t="s">
        <v>1072</v>
      </c>
      <c r="E682" s="85">
        <f>STATS1003B!E682/1000</f>
        <v>100</v>
      </c>
      <c r="F682" s="85">
        <f>STATS1003B!F682/1000</f>
        <v>100</v>
      </c>
      <c r="G682" s="85">
        <f>STATS1003B!G682/1000</f>
        <v>0</v>
      </c>
      <c r="H682" s="85">
        <f>STATS1003B!H682/1000</f>
        <v>100</v>
      </c>
      <c r="I682" s="85">
        <f>STATS1003B!I682/1000</f>
        <v>0</v>
      </c>
      <c r="J682" s="85">
        <f>STATS1003B!J682/1000</f>
        <v>0</v>
      </c>
      <c r="K682" s="85">
        <f>STATS1003B!K682/1000</f>
        <v>0</v>
      </c>
      <c r="L682" s="85">
        <f>STATS1003B!L682/1000</f>
        <v>0</v>
      </c>
      <c r="M682" s="85">
        <f>STATS1003B!M682/1000</f>
        <v>100</v>
      </c>
      <c r="N682" s="85">
        <f>STATS1003B!N682/1000</f>
        <v>0</v>
      </c>
      <c r="O682" s="85">
        <f>STATS1003B!O682/1000</f>
        <v>0</v>
      </c>
      <c r="P682" s="85">
        <f>STATS1003B!P682/1000</f>
        <v>0</v>
      </c>
      <c r="Q682" s="85">
        <f>STATS1003B!Q682/1000</f>
        <v>0</v>
      </c>
      <c r="R682" s="85">
        <f>STATS1003B!R682/1000</f>
        <v>0</v>
      </c>
      <c r="S682" s="85">
        <f>STATS1003B!S682/1000</f>
        <v>0</v>
      </c>
      <c r="T682" s="85">
        <f>STATS1003B!T682/1000</f>
        <v>0</v>
      </c>
      <c r="U682" s="85">
        <f>STATS1003B!U682/1000</f>
        <v>0</v>
      </c>
      <c r="V682" s="85">
        <f>STATS1003B!V682/1000</f>
        <v>0</v>
      </c>
      <c r="W682" s="85">
        <f>STATS1003B!W682/1000</f>
        <v>0</v>
      </c>
      <c r="X682" s="85">
        <f t="shared" si="86"/>
        <v>100</v>
      </c>
      <c r="Y682" s="85">
        <f>STATS1003B!Y682/1000</f>
        <v>0</v>
      </c>
      <c r="Z682" s="85">
        <f t="shared" si="89"/>
        <v>0</v>
      </c>
      <c r="AA682" s="69">
        <f>STATS1003B!AA682/1000</f>
        <v>100</v>
      </c>
      <c r="AB682" s="69">
        <f>STATS1003B!AB682/1000</f>
        <v>0</v>
      </c>
    </row>
    <row r="683" spans="1:28" hidden="1" x14ac:dyDescent="0.3">
      <c r="A683" s="117"/>
      <c r="C683" s="68" t="s">
        <v>1164</v>
      </c>
      <c r="D683" s="90" t="s">
        <v>1126</v>
      </c>
      <c r="E683" s="85">
        <f>STATS1003B!E683/1000</f>
        <v>1596</v>
      </c>
      <c r="F683" s="85">
        <f>STATS1003B!F683/1000</f>
        <v>1596</v>
      </c>
      <c r="G683" s="85">
        <f>STATS1003B!G683/1000</f>
        <v>0</v>
      </c>
      <c r="H683" s="85">
        <f>STATS1003B!H683/1000</f>
        <v>1596</v>
      </c>
      <c r="I683" s="85">
        <f>STATS1003B!I683/1000</f>
        <v>0</v>
      </c>
      <c r="J683" s="85">
        <f>STATS1003B!J683/1000</f>
        <v>0</v>
      </c>
      <c r="K683" s="85">
        <f>STATS1003B!K683/1000</f>
        <v>0</v>
      </c>
      <c r="L683" s="85">
        <f>STATS1003B!L683/1000</f>
        <v>0</v>
      </c>
      <c r="M683" s="85">
        <f>STATS1003B!M683/1000</f>
        <v>1596</v>
      </c>
      <c r="N683" s="85">
        <f>STATS1003B!N683/1000</f>
        <v>0</v>
      </c>
      <c r="O683" s="85">
        <f>STATS1003B!O683/1000</f>
        <v>0</v>
      </c>
      <c r="P683" s="85">
        <f>STATS1003B!P683/1000</f>
        <v>0</v>
      </c>
      <c r="Q683" s="85">
        <f>STATS1003B!Q683/1000</f>
        <v>0</v>
      </c>
      <c r="R683" s="85">
        <f>STATS1003B!R683/1000</f>
        <v>0</v>
      </c>
      <c r="S683" s="85">
        <f>STATS1003B!S683/1000</f>
        <v>0</v>
      </c>
      <c r="T683" s="85">
        <f>STATS1003B!T683/1000</f>
        <v>0</v>
      </c>
      <c r="U683" s="85">
        <f>STATS1003B!U683/1000</f>
        <v>0</v>
      </c>
      <c r="V683" s="85">
        <f>STATS1003B!V683/1000</f>
        <v>0</v>
      </c>
      <c r="W683" s="85">
        <f>STATS1003B!W683/1000</f>
        <v>0</v>
      </c>
      <c r="X683" s="85">
        <f t="shared" si="86"/>
        <v>1596</v>
      </c>
      <c r="Y683" s="85">
        <f>STATS1003B!Y683/1000</f>
        <v>0</v>
      </c>
      <c r="Z683" s="85">
        <f t="shared" si="89"/>
        <v>0</v>
      </c>
      <c r="AA683" s="69">
        <f>STATS1003B!AA683/1000</f>
        <v>1596</v>
      </c>
      <c r="AB683" s="69">
        <f>STATS1003B!AB683/1000</f>
        <v>0</v>
      </c>
    </row>
    <row r="684" spans="1:28" hidden="1" x14ac:dyDescent="0.3">
      <c r="A684" s="117"/>
      <c r="C684" s="68" t="s">
        <v>1255</v>
      </c>
      <c r="D684" s="90" t="s">
        <v>1225</v>
      </c>
      <c r="E684" s="85">
        <f>STATS1003B!E684/1000</f>
        <v>1881.6422</v>
      </c>
      <c r="F684" s="85">
        <f>STATS1003B!F684/1000</f>
        <v>0</v>
      </c>
      <c r="G684" s="85">
        <f>STATS1003B!G684/1000</f>
        <v>1881.6422</v>
      </c>
      <c r="H684" s="85">
        <f>STATS1003B!H684/1000</f>
        <v>1881.6422</v>
      </c>
      <c r="I684" s="85">
        <f>STATS1003B!I684/1000</f>
        <v>0</v>
      </c>
      <c r="J684" s="85">
        <f>STATS1003B!J684/1000</f>
        <v>0</v>
      </c>
      <c r="K684" s="85">
        <f>STATS1003B!K684/1000</f>
        <v>0</v>
      </c>
      <c r="L684" s="85">
        <f>STATS1003B!L684/1000</f>
        <v>0</v>
      </c>
      <c r="M684" s="85">
        <f>STATS1003B!M684/1000</f>
        <v>1881.6422</v>
      </c>
      <c r="N684" s="85">
        <f>STATS1003B!N684/1000</f>
        <v>0</v>
      </c>
      <c r="O684" s="85">
        <f>STATS1003B!O684/1000</f>
        <v>0</v>
      </c>
      <c r="P684" s="85">
        <f>STATS1003B!P684/1000</f>
        <v>0</v>
      </c>
      <c r="Q684" s="85">
        <f>STATS1003B!Q684/1000</f>
        <v>0</v>
      </c>
      <c r="R684" s="85">
        <f>STATS1003B!R684/1000</f>
        <v>0</v>
      </c>
      <c r="S684" s="85">
        <f>STATS1003B!S684/1000</f>
        <v>0</v>
      </c>
      <c r="T684" s="85">
        <f>STATS1003B!T684/1000</f>
        <v>0</v>
      </c>
      <c r="U684" s="85">
        <f>STATS1003B!U684/1000</f>
        <v>0</v>
      </c>
      <c r="V684" s="85">
        <f>STATS1003B!V684/1000</f>
        <v>0</v>
      </c>
      <c r="W684" s="85">
        <f>STATS1003B!W684/1000</f>
        <v>0</v>
      </c>
      <c r="X684" s="85">
        <f t="shared" si="86"/>
        <v>1881.6422</v>
      </c>
      <c r="Y684" s="85">
        <f>STATS1003B!Y684/1000</f>
        <v>0</v>
      </c>
      <c r="Z684" s="85">
        <f t="shared" si="89"/>
        <v>0</v>
      </c>
      <c r="AA684" s="69">
        <f>STATS1003B!AA684/1000</f>
        <v>1881.6422</v>
      </c>
      <c r="AB684" s="69">
        <f>STATS1003B!AB684/1000</f>
        <v>0</v>
      </c>
    </row>
    <row r="685" spans="1:28" hidden="1" x14ac:dyDescent="0.3">
      <c r="A685" s="117"/>
      <c r="C685" s="68" t="s">
        <v>577</v>
      </c>
      <c r="E685" s="85">
        <f>STATS1003B!E685/1000</f>
        <v>5334.8176900000008</v>
      </c>
      <c r="F685" s="85">
        <f>STATS1003B!F685/1000</f>
        <v>5334.8176900000008</v>
      </c>
      <c r="G685" s="85">
        <f>STATS1003B!G685/1000</f>
        <v>0</v>
      </c>
      <c r="H685" s="85">
        <f>STATS1003B!H685/1000</f>
        <v>5334.8176900000008</v>
      </c>
      <c r="I685" s="85">
        <f>STATS1003B!I685/1000</f>
        <v>0</v>
      </c>
      <c r="J685" s="85">
        <f>STATS1003B!J685/1000</f>
        <v>5334.8176900000008</v>
      </c>
      <c r="K685" s="85">
        <f>STATS1003B!K685/1000</f>
        <v>0</v>
      </c>
      <c r="L685" s="85">
        <f>STATS1003B!L685/1000</f>
        <v>0</v>
      </c>
      <c r="M685" s="85">
        <f>STATS1003B!M685/1000</f>
        <v>5334.8176900000008</v>
      </c>
      <c r="N685" s="85">
        <f>STATS1003B!N685/1000</f>
        <v>0</v>
      </c>
      <c r="O685" s="85">
        <f>STATS1003B!O685/1000</f>
        <v>0</v>
      </c>
      <c r="P685" s="85">
        <f>STATS1003B!P685/1000</f>
        <v>0</v>
      </c>
      <c r="Q685" s="85">
        <f>STATS1003B!Q685/1000</f>
        <v>0</v>
      </c>
      <c r="R685" s="85">
        <f>STATS1003B!R685/1000</f>
        <v>0</v>
      </c>
      <c r="S685" s="85">
        <f>STATS1003B!S685/1000</f>
        <v>0</v>
      </c>
      <c r="T685" s="85">
        <f>STATS1003B!T685/1000</f>
        <v>0</v>
      </c>
      <c r="U685" s="85">
        <f>STATS1003B!U685/1000</f>
        <v>0</v>
      </c>
      <c r="V685" s="85">
        <f>STATS1003B!V685/1000</f>
        <v>5334.8176900000008</v>
      </c>
      <c r="W685" s="85">
        <f>STATS1003B!W685/1000</f>
        <v>0</v>
      </c>
      <c r="X685" s="85">
        <f t="shared" si="86"/>
        <v>5334.8176900000008</v>
      </c>
      <c r="Y685" s="85">
        <f>STATS1003B!Y685/1000</f>
        <v>0</v>
      </c>
      <c r="Z685" s="85">
        <f t="shared" si="89"/>
        <v>0</v>
      </c>
      <c r="AA685" s="69">
        <f>STATS1003B!AA685/1000</f>
        <v>5334.8176900000008</v>
      </c>
      <c r="AB685" s="69">
        <f>STATS1003B!AB685/1000</f>
        <v>0</v>
      </c>
    </row>
    <row r="686" spans="1:28" hidden="1" x14ac:dyDescent="0.3">
      <c r="A686" s="117"/>
      <c r="C686" s="68" t="s">
        <v>550</v>
      </c>
      <c r="E686" s="85">
        <f>STATS1003B!E686/1000</f>
        <v>910.16600000000005</v>
      </c>
      <c r="F686" s="85">
        <f>STATS1003B!F686/1000</f>
        <v>910.16600000000005</v>
      </c>
      <c r="G686" s="85">
        <f>STATS1003B!G686/1000</f>
        <v>0</v>
      </c>
      <c r="H686" s="85">
        <f>STATS1003B!H686/1000</f>
        <v>910.16600000000005</v>
      </c>
      <c r="I686" s="85">
        <f>STATS1003B!I686/1000</f>
        <v>0</v>
      </c>
      <c r="J686" s="85">
        <f>STATS1003B!J686/1000</f>
        <v>910.16600000000005</v>
      </c>
      <c r="K686" s="85">
        <f>STATS1003B!K686/1000</f>
        <v>0</v>
      </c>
      <c r="L686" s="85">
        <f>STATS1003B!L686/1000</f>
        <v>0</v>
      </c>
      <c r="M686" s="85">
        <f>STATS1003B!M686/1000</f>
        <v>910.16600000000005</v>
      </c>
      <c r="N686" s="85">
        <f>STATS1003B!N686/1000</f>
        <v>0</v>
      </c>
      <c r="O686" s="85">
        <f>STATS1003B!O686/1000</f>
        <v>0</v>
      </c>
      <c r="P686" s="85">
        <f>STATS1003B!P686/1000</f>
        <v>0</v>
      </c>
      <c r="Q686" s="85">
        <f>STATS1003B!Q686/1000</f>
        <v>0</v>
      </c>
      <c r="R686" s="85">
        <f>STATS1003B!R686/1000</f>
        <v>0</v>
      </c>
      <c r="S686" s="85">
        <f>STATS1003B!S686/1000</f>
        <v>0</v>
      </c>
      <c r="T686" s="85">
        <f>STATS1003B!T686/1000</f>
        <v>0</v>
      </c>
      <c r="U686" s="85">
        <f>STATS1003B!U686/1000</f>
        <v>0</v>
      </c>
      <c r="V686" s="85">
        <f>STATS1003B!V686/1000</f>
        <v>910.16600000000005</v>
      </c>
      <c r="W686" s="85">
        <f>STATS1003B!W686/1000</f>
        <v>0</v>
      </c>
      <c r="X686" s="85">
        <f t="shared" si="86"/>
        <v>910.16600000000005</v>
      </c>
      <c r="Y686" s="85">
        <f>STATS1003B!Y686/1000</f>
        <v>0</v>
      </c>
      <c r="Z686" s="85">
        <f t="shared" si="89"/>
        <v>0</v>
      </c>
      <c r="AA686" s="69">
        <f>STATS1003B!AA686/1000</f>
        <v>910.16600000000005</v>
      </c>
      <c r="AB686" s="69">
        <f>STATS1003B!AB686/1000</f>
        <v>0</v>
      </c>
    </row>
    <row r="687" spans="1:28" hidden="1" x14ac:dyDescent="0.3">
      <c r="A687" s="117"/>
      <c r="C687" s="68" t="s">
        <v>569</v>
      </c>
      <c r="E687" s="85">
        <f>STATS1003B!E687/1000</f>
        <v>2856.83</v>
      </c>
      <c r="F687" s="85">
        <f>STATS1003B!F687/1000</f>
        <v>2856.83</v>
      </c>
      <c r="G687" s="85">
        <f>STATS1003B!G687/1000</f>
        <v>0</v>
      </c>
      <c r="H687" s="85">
        <f>STATS1003B!H687/1000</f>
        <v>2856.83</v>
      </c>
      <c r="I687" s="85">
        <f>STATS1003B!I687/1000</f>
        <v>0</v>
      </c>
      <c r="J687" s="85">
        <f>STATS1003B!J687/1000</f>
        <v>2856.83</v>
      </c>
      <c r="K687" s="85">
        <f>STATS1003B!K687/1000</f>
        <v>0</v>
      </c>
      <c r="L687" s="85">
        <f>STATS1003B!L687/1000</f>
        <v>0</v>
      </c>
      <c r="M687" s="85">
        <f>STATS1003B!M687/1000</f>
        <v>2856.83</v>
      </c>
      <c r="N687" s="85">
        <f>STATS1003B!N687/1000</f>
        <v>0</v>
      </c>
      <c r="O687" s="85">
        <f>STATS1003B!O687/1000</f>
        <v>0</v>
      </c>
      <c r="P687" s="85">
        <f>STATS1003B!P687/1000</f>
        <v>0</v>
      </c>
      <c r="Q687" s="85">
        <f>STATS1003B!Q687/1000</f>
        <v>0</v>
      </c>
      <c r="R687" s="85">
        <f>STATS1003B!R687/1000</f>
        <v>0</v>
      </c>
      <c r="S687" s="85">
        <f>STATS1003B!S687/1000</f>
        <v>0</v>
      </c>
      <c r="T687" s="85">
        <f>STATS1003B!T687/1000</f>
        <v>0</v>
      </c>
      <c r="U687" s="85">
        <f>STATS1003B!U687/1000</f>
        <v>0</v>
      </c>
      <c r="V687" s="85">
        <f>STATS1003B!V687/1000</f>
        <v>2856.83</v>
      </c>
      <c r="W687" s="85">
        <f>STATS1003B!W687/1000</f>
        <v>0</v>
      </c>
      <c r="X687" s="85">
        <f t="shared" si="86"/>
        <v>2856.83</v>
      </c>
      <c r="Y687" s="85">
        <f>STATS1003B!Y687/1000</f>
        <v>0</v>
      </c>
      <c r="Z687" s="85">
        <f t="shared" si="89"/>
        <v>0</v>
      </c>
      <c r="AA687" s="69">
        <f>STATS1003B!AA687/1000</f>
        <v>2856.83</v>
      </c>
      <c r="AB687" s="69">
        <f>STATS1003B!AB687/1000</f>
        <v>0</v>
      </c>
    </row>
    <row r="688" spans="1:28" hidden="1" x14ac:dyDescent="0.3">
      <c r="A688" s="117"/>
      <c r="C688" s="68" t="s">
        <v>551</v>
      </c>
      <c r="E688" s="85">
        <f>STATS1003B!E688/1000</f>
        <v>2135.6354300000003</v>
      </c>
      <c r="F688" s="85">
        <f>STATS1003B!F688/1000</f>
        <v>2135.6354300000003</v>
      </c>
      <c r="G688" s="85">
        <f>STATS1003B!G688/1000</f>
        <v>0</v>
      </c>
      <c r="H688" s="85">
        <f>STATS1003B!H688/1000</f>
        <v>2135.6354300000003</v>
      </c>
      <c r="I688" s="85">
        <f>STATS1003B!I688/1000</f>
        <v>0</v>
      </c>
      <c r="J688" s="85">
        <f>STATS1003B!J688/1000</f>
        <v>2135.6354300000003</v>
      </c>
      <c r="K688" s="85">
        <f>STATS1003B!K688/1000</f>
        <v>0</v>
      </c>
      <c r="L688" s="85">
        <f>STATS1003B!L688/1000</f>
        <v>0</v>
      </c>
      <c r="M688" s="85">
        <f>STATS1003B!M688/1000</f>
        <v>2135.6354300000003</v>
      </c>
      <c r="N688" s="85">
        <f>STATS1003B!N688/1000</f>
        <v>0</v>
      </c>
      <c r="O688" s="85">
        <f>STATS1003B!O688/1000</f>
        <v>0</v>
      </c>
      <c r="P688" s="85">
        <f>STATS1003B!P688/1000</f>
        <v>0</v>
      </c>
      <c r="Q688" s="85">
        <f>STATS1003B!Q688/1000</f>
        <v>0</v>
      </c>
      <c r="R688" s="85">
        <f>STATS1003B!R688/1000</f>
        <v>0</v>
      </c>
      <c r="S688" s="85">
        <f>STATS1003B!S688/1000</f>
        <v>0</v>
      </c>
      <c r="T688" s="85">
        <f>STATS1003B!T688/1000</f>
        <v>0</v>
      </c>
      <c r="U688" s="85">
        <f>STATS1003B!U688/1000</f>
        <v>0</v>
      </c>
      <c r="V688" s="85">
        <f>STATS1003B!V688/1000</f>
        <v>2135.6354300000003</v>
      </c>
      <c r="W688" s="85">
        <f>STATS1003B!W688/1000</f>
        <v>0</v>
      </c>
      <c r="X688" s="85">
        <f t="shared" si="86"/>
        <v>2135.6354300000003</v>
      </c>
      <c r="Y688" s="85">
        <f>STATS1003B!Y688/1000</f>
        <v>0</v>
      </c>
      <c r="Z688" s="85">
        <f t="shared" si="89"/>
        <v>0</v>
      </c>
      <c r="AA688" s="69">
        <f>STATS1003B!AA688/1000</f>
        <v>2135.6354300000003</v>
      </c>
      <c r="AB688" s="69">
        <f>STATS1003B!AB688/1000</f>
        <v>0</v>
      </c>
    </row>
    <row r="689" spans="1:28" hidden="1" x14ac:dyDescent="0.3">
      <c r="A689" s="117"/>
      <c r="C689" s="68" t="s">
        <v>606</v>
      </c>
      <c r="E689" s="85">
        <f>STATS1003B!E689/1000</f>
        <v>5000</v>
      </c>
      <c r="F689" s="85">
        <f>STATS1003B!F689/1000</f>
        <v>5000</v>
      </c>
      <c r="G689" s="85">
        <f>STATS1003B!G689/1000</f>
        <v>0</v>
      </c>
      <c r="H689" s="85">
        <f>STATS1003B!H689/1000</f>
        <v>5000</v>
      </c>
      <c r="I689" s="85">
        <f>STATS1003B!I689/1000</f>
        <v>0</v>
      </c>
      <c r="J689" s="85">
        <f>STATS1003B!J689/1000</f>
        <v>5000</v>
      </c>
      <c r="K689" s="85">
        <f>STATS1003B!K689/1000</f>
        <v>0</v>
      </c>
      <c r="L689" s="85">
        <f>STATS1003B!L689/1000</f>
        <v>0</v>
      </c>
      <c r="M689" s="85">
        <f>STATS1003B!M689/1000</f>
        <v>5000</v>
      </c>
      <c r="N689" s="85">
        <f>STATS1003B!N689/1000</f>
        <v>0</v>
      </c>
      <c r="O689" s="85">
        <f>STATS1003B!O689/1000</f>
        <v>0</v>
      </c>
      <c r="P689" s="85">
        <f>STATS1003B!P689/1000</f>
        <v>0</v>
      </c>
      <c r="Q689" s="85">
        <f>STATS1003B!Q689/1000</f>
        <v>0</v>
      </c>
      <c r="R689" s="85">
        <f>STATS1003B!R689/1000</f>
        <v>0</v>
      </c>
      <c r="S689" s="85">
        <f>STATS1003B!S689/1000</f>
        <v>0</v>
      </c>
      <c r="T689" s="85">
        <f>STATS1003B!T689/1000</f>
        <v>0</v>
      </c>
      <c r="U689" s="85">
        <f>STATS1003B!U689/1000</f>
        <v>0</v>
      </c>
      <c r="V689" s="85">
        <f>STATS1003B!V689/1000</f>
        <v>5000</v>
      </c>
      <c r="W689" s="85">
        <f>STATS1003B!W689/1000</f>
        <v>0</v>
      </c>
      <c r="X689" s="85">
        <f t="shared" si="86"/>
        <v>5000</v>
      </c>
      <c r="Y689" s="85">
        <f>STATS1003B!Y689/1000</f>
        <v>0</v>
      </c>
      <c r="Z689" s="85">
        <f t="shared" si="89"/>
        <v>0</v>
      </c>
      <c r="AA689" s="69">
        <f>STATS1003B!AA689/1000</f>
        <v>5000</v>
      </c>
      <c r="AB689" s="69">
        <f>STATS1003B!AB689/1000</f>
        <v>0</v>
      </c>
    </row>
    <row r="690" spans="1:28" hidden="1" x14ac:dyDescent="0.3">
      <c r="A690" s="117"/>
      <c r="E690" s="86" t="s">
        <v>29</v>
      </c>
      <c r="F690" s="86" t="s">
        <v>29</v>
      </c>
      <c r="G690" s="86" t="s">
        <v>29</v>
      </c>
      <c r="H690" s="86" t="s">
        <v>29</v>
      </c>
      <c r="I690" s="86" t="s">
        <v>29</v>
      </c>
      <c r="J690" s="86" t="s">
        <v>29</v>
      </c>
      <c r="K690" s="86" t="s">
        <v>29</v>
      </c>
      <c r="L690" s="86" t="s">
        <v>29</v>
      </c>
      <c r="M690" s="86" t="s">
        <v>29</v>
      </c>
      <c r="N690" s="86" t="s">
        <v>29</v>
      </c>
      <c r="O690" s="86" t="s">
        <v>29</v>
      </c>
      <c r="P690" s="86" t="s">
        <v>29</v>
      </c>
      <c r="Q690" s="86" t="s">
        <v>29</v>
      </c>
      <c r="R690" s="86" t="s">
        <v>29</v>
      </c>
      <c r="S690" s="86" t="s">
        <v>29</v>
      </c>
      <c r="T690" s="86" t="s">
        <v>29</v>
      </c>
      <c r="U690" s="86" t="s">
        <v>29</v>
      </c>
      <c r="V690" s="86" t="s">
        <v>29</v>
      </c>
      <c r="W690" s="86" t="s">
        <v>29</v>
      </c>
      <c r="X690" s="85" t="e">
        <f t="shared" si="86"/>
        <v>#VALUE!</v>
      </c>
      <c r="Y690" s="86" t="s">
        <v>29</v>
      </c>
      <c r="Z690" s="85" t="e">
        <f t="shared" si="89"/>
        <v>#VALUE!</v>
      </c>
      <c r="AA690" s="115" t="s">
        <v>29</v>
      </c>
      <c r="AB690" s="115" t="s">
        <v>29</v>
      </c>
    </row>
    <row r="691" spans="1:28" x14ac:dyDescent="0.3">
      <c r="A691" s="116">
        <v>33</v>
      </c>
      <c r="B691" s="68" t="s">
        <v>599</v>
      </c>
      <c r="E691" s="85">
        <f>211065232.22/1000</f>
        <v>211065.23222000001</v>
      </c>
      <c r="F691" s="85">
        <f t="shared" ref="F691:Q691" si="90">SUM(F664:F690)</f>
        <v>63025.196210000002</v>
      </c>
      <c r="G691" s="85">
        <f t="shared" si="90"/>
        <v>1881.6422</v>
      </c>
      <c r="H691" s="85">
        <f>202892663.47/1000</f>
        <v>202892.66347</v>
      </c>
      <c r="I691" s="85">
        <f t="shared" si="90"/>
        <v>4051.5831699999999</v>
      </c>
      <c r="J691" s="85">
        <f t="shared" si="90"/>
        <v>63977.624190000002</v>
      </c>
      <c r="K691" s="85">
        <f t="shared" si="90"/>
        <v>4120.9855800000005</v>
      </c>
      <c r="L691" s="85">
        <f t="shared" si="90"/>
        <v>4051.5831699999999</v>
      </c>
      <c r="M691" s="85">
        <f t="shared" si="90"/>
        <v>68958.421579999995</v>
      </c>
      <c r="N691" s="85">
        <f t="shared" si="90"/>
        <v>4120.9855800000005</v>
      </c>
      <c r="O691" s="85">
        <f t="shared" si="90"/>
        <v>0</v>
      </c>
      <c r="P691" s="85">
        <f>4120985/1000</f>
        <v>4120.9849999999997</v>
      </c>
      <c r="Q691" s="85">
        <f t="shared" si="90"/>
        <v>0</v>
      </c>
      <c r="R691" s="86"/>
      <c r="S691" s="86"/>
      <c r="T691" s="85">
        <f t="shared" ref="T691:Y691" si="91">SUM(T664:T690)</f>
        <v>0</v>
      </c>
      <c r="U691" s="85">
        <f t="shared" si="91"/>
        <v>4120.9855800000005</v>
      </c>
      <c r="V691" s="85">
        <f t="shared" si="91"/>
        <v>64047.026600000005</v>
      </c>
      <c r="W691" s="85">
        <f t="shared" si="91"/>
        <v>4051.5831699999999</v>
      </c>
      <c r="X691" s="85">
        <f t="shared" si="86"/>
        <v>207013.64846999999</v>
      </c>
      <c r="Y691" s="85">
        <f t="shared" si="91"/>
        <v>0</v>
      </c>
      <c r="Z691" s="85">
        <f t="shared" si="89"/>
        <v>4051.5837500000198</v>
      </c>
      <c r="AA691" s="69">
        <f>SUM(AA664:AA690)</f>
        <v>73079.407159999988</v>
      </c>
      <c r="AB691" s="69">
        <f>SUM(AB664:AB690)</f>
        <v>0</v>
      </c>
    </row>
    <row r="692" spans="1:28" hidden="1" x14ac:dyDescent="0.3">
      <c r="A692" s="117"/>
      <c r="E692" s="86" t="s">
        <v>29</v>
      </c>
      <c r="F692" s="86" t="s">
        <v>29</v>
      </c>
      <c r="G692" s="86" t="s">
        <v>29</v>
      </c>
      <c r="H692" s="86" t="s">
        <v>29</v>
      </c>
      <c r="I692" s="86" t="s">
        <v>29</v>
      </c>
      <c r="J692" s="86" t="s">
        <v>29</v>
      </c>
      <c r="K692" s="86" t="s">
        <v>29</v>
      </c>
      <c r="L692" s="86" t="s">
        <v>29</v>
      </c>
      <c r="M692" s="86" t="s">
        <v>29</v>
      </c>
      <c r="N692" s="86" t="s">
        <v>29</v>
      </c>
      <c r="O692" s="86" t="s">
        <v>29</v>
      </c>
      <c r="P692" s="86" t="s">
        <v>29</v>
      </c>
      <c r="Q692" s="86" t="s">
        <v>29</v>
      </c>
      <c r="R692" s="86" t="s">
        <v>29</v>
      </c>
      <c r="S692" s="86" t="s">
        <v>29</v>
      </c>
      <c r="T692" s="86" t="s">
        <v>29</v>
      </c>
      <c r="U692" s="86" t="s">
        <v>29</v>
      </c>
      <c r="V692" s="86" t="s">
        <v>29</v>
      </c>
      <c r="W692" s="86" t="s">
        <v>29</v>
      </c>
      <c r="X692" s="85" t="e">
        <f t="shared" si="86"/>
        <v>#VALUE!</v>
      </c>
      <c r="Y692" s="86" t="s">
        <v>29</v>
      </c>
      <c r="Z692" s="85" t="e">
        <f t="shared" si="89"/>
        <v>#VALUE!</v>
      </c>
      <c r="AA692" s="115" t="s">
        <v>29</v>
      </c>
      <c r="AB692" s="115" t="s">
        <v>29</v>
      </c>
    </row>
    <row r="693" spans="1:28" hidden="1" x14ac:dyDescent="0.3">
      <c r="A693" s="105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6"/>
      <c r="S693" s="86"/>
      <c r="T693" s="86"/>
      <c r="U693" s="86"/>
      <c r="V693" s="86"/>
      <c r="W693" s="86"/>
      <c r="X693" s="85">
        <f t="shared" si="86"/>
        <v>0</v>
      </c>
      <c r="Y693" s="86"/>
      <c r="Z693" s="85">
        <f t="shared" si="89"/>
        <v>0</v>
      </c>
      <c r="AA693" s="118"/>
    </row>
    <row r="694" spans="1:28" hidden="1" x14ac:dyDescent="0.3">
      <c r="A694" s="117"/>
      <c r="C694" s="68" t="s">
        <v>608</v>
      </c>
      <c r="D694" s="145" t="s">
        <v>76</v>
      </c>
      <c r="E694" s="85">
        <f>STATS1003B!E694/1000</f>
        <v>3228.3827700000002</v>
      </c>
      <c r="F694" s="85">
        <f>STATS1003B!F694/1000</f>
        <v>3207.0488700000001</v>
      </c>
      <c r="G694" s="85">
        <f>STATS1003B!G694/1000</f>
        <v>0</v>
      </c>
      <c r="H694" s="85">
        <f>STATS1003B!H694/1000</f>
        <v>3207.0488700000001</v>
      </c>
      <c r="I694" s="85">
        <f>STATS1003B!I694/1000</f>
        <v>0</v>
      </c>
      <c r="J694" s="85">
        <f>STATS1003B!J694/1000</f>
        <v>3207.0488700000001</v>
      </c>
      <c r="K694" s="85">
        <f>STATS1003B!K694/1000</f>
        <v>21.333899999999996</v>
      </c>
      <c r="L694" s="85">
        <f>STATS1003B!L694/1000</f>
        <v>0</v>
      </c>
      <c r="M694" s="85">
        <f>STATS1003B!M694/1000</f>
        <v>3207.0488700000001</v>
      </c>
      <c r="N694" s="85">
        <f>STATS1003B!N694/1000</f>
        <v>21.3339</v>
      </c>
      <c r="O694" s="85">
        <f>STATS1003B!O694/1000</f>
        <v>0</v>
      </c>
      <c r="P694" s="85">
        <f>STATS1003B!P694/1000</f>
        <v>21.3339</v>
      </c>
      <c r="Q694" s="85">
        <f>STATS1003B!Q694/1000</f>
        <v>3207.0488700000001</v>
      </c>
      <c r="R694" s="85">
        <f>STATS1003B!R694/1000</f>
        <v>0</v>
      </c>
      <c r="S694" s="85">
        <f>STATS1003B!S694/1000</f>
        <v>0</v>
      </c>
      <c r="T694" s="85">
        <f>STATS1003B!T694/1000</f>
        <v>0</v>
      </c>
      <c r="U694" s="85">
        <f>STATS1003B!U694/1000</f>
        <v>21.3339</v>
      </c>
      <c r="V694" s="85">
        <f>STATS1003B!V694/1000</f>
        <v>3228.3827700000002</v>
      </c>
      <c r="W694" s="85">
        <f>STATS1003B!W694/1000</f>
        <v>0</v>
      </c>
      <c r="X694" s="85">
        <f t="shared" si="86"/>
        <v>3228.3827700000002</v>
      </c>
      <c r="Y694" s="85">
        <f>STATS1003B!Y694/1000</f>
        <v>0</v>
      </c>
      <c r="Z694" s="85">
        <f t="shared" si="89"/>
        <v>0</v>
      </c>
      <c r="AA694" s="69">
        <f>STATS1003B!AA694/1000</f>
        <v>3228.3827700000002</v>
      </c>
      <c r="AB694" s="69">
        <f>STATS1003B!AB694/1000</f>
        <v>0</v>
      </c>
    </row>
    <row r="695" spans="1:28" hidden="1" x14ac:dyDescent="0.3">
      <c r="A695" s="117"/>
      <c r="C695" s="68" t="s">
        <v>608</v>
      </c>
      <c r="D695" s="145" t="s">
        <v>150</v>
      </c>
      <c r="E695" s="85">
        <f>STATS1003B!E695/1000</f>
        <v>5997</v>
      </c>
      <c r="F695" s="85">
        <f>STATS1003B!F695/1000</f>
        <v>5997</v>
      </c>
      <c r="G695" s="85">
        <f>STATS1003B!G695/1000</f>
        <v>0</v>
      </c>
      <c r="H695" s="85">
        <f>STATS1003B!H695/1000</f>
        <v>5997</v>
      </c>
      <c r="I695" s="85">
        <f>STATS1003B!I695/1000</f>
        <v>0</v>
      </c>
      <c r="J695" s="85">
        <f>STATS1003B!J695/1000</f>
        <v>5997</v>
      </c>
      <c r="K695" s="85">
        <f>STATS1003B!K695/1000</f>
        <v>0</v>
      </c>
      <c r="L695" s="85">
        <f>STATS1003B!L695/1000</f>
        <v>0</v>
      </c>
      <c r="M695" s="85">
        <f>STATS1003B!M695/1000</f>
        <v>5997</v>
      </c>
      <c r="N695" s="85">
        <f>STATS1003B!N695/1000</f>
        <v>0</v>
      </c>
      <c r="O695" s="85">
        <f>STATS1003B!O695/1000</f>
        <v>0</v>
      </c>
      <c r="P695" s="85">
        <f>STATS1003B!P695/1000</f>
        <v>0</v>
      </c>
      <c r="Q695" s="85">
        <f>STATS1003B!Q695/1000</f>
        <v>5997</v>
      </c>
      <c r="R695" s="85">
        <f>STATS1003B!R695/1000</f>
        <v>0</v>
      </c>
      <c r="S695" s="85">
        <f>STATS1003B!S695/1000</f>
        <v>0</v>
      </c>
      <c r="T695" s="85">
        <f>STATS1003B!T695/1000</f>
        <v>0</v>
      </c>
      <c r="U695" s="85">
        <f>STATS1003B!U695/1000</f>
        <v>0</v>
      </c>
      <c r="V695" s="85">
        <f>STATS1003B!V695/1000</f>
        <v>5997</v>
      </c>
      <c r="W695" s="85">
        <f>STATS1003B!W695/1000</f>
        <v>0</v>
      </c>
      <c r="X695" s="85">
        <f t="shared" si="86"/>
        <v>5997</v>
      </c>
      <c r="Y695" s="85">
        <f>STATS1003B!Y695/1000</f>
        <v>0</v>
      </c>
      <c r="Z695" s="85">
        <f t="shared" si="89"/>
        <v>0</v>
      </c>
      <c r="AA695" s="69">
        <f>STATS1003B!AA695/1000</f>
        <v>5997</v>
      </c>
      <c r="AB695" s="69">
        <f>STATS1003B!AB695/1000</f>
        <v>0</v>
      </c>
    </row>
    <row r="696" spans="1:28" hidden="1" x14ac:dyDescent="0.3">
      <c r="A696" s="117"/>
      <c r="C696" s="68" t="s">
        <v>609</v>
      </c>
      <c r="D696" s="145" t="s">
        <v>166</v>
      </c>
      <c r="E696" s="85">
        <f>STATS1003B!E696/1000</f>
        <v>2832.5366400000003</v>
      </c>
      <c r="F696" s="85">
        <f>STATS1003B!F696/1000</f>
        <v>2820.9381200000003</v>
      </c>
      <c r="G696" s="85">
        <f>STATS1003B!G696/1000</f>
        <v>0</v>
      </c>
      <c r="H696" s="85">
        <f>STATS1003B!H696/1000</f>
        <v>2820.9381200000003</v>
      </c>
      <c r="I696" s="85">
        <f>STATS1003B!I696/1000</f>
        <v>0</v>
      </c>
      <c r="J696" s="85">
        <f>STATS1003B!J696/1000</f>
        <v>2820.9381200000003</v>
      </c>
      <c r="K696" s="85">
        <f>STATS1003B!K696/1000</f>
        <v>11.598520000000001</v>
      </c>
      <c r="L696" s="85">
        <f>STATS1003B!L696/1000</f>
        <v>0</v>
      </c>
      <c r="M696" s="85">
        <f>STATS1003B!M696/1000</f>
        <v>2820.9381200000003</v>
      </c>
      <c r="N696" s="85">
        <f>STATS1003B!N696/1000</f>
        <v>11.598520000000001</v>
      </c>
      <c r="O696" s="85">
        <f>STATS1003B!O696/1000</f>
        <v>0</v>
      </c>
      <c r="P696" s="85">
        <f>STATS1003B!P696/1000</f>
        <v>11.598520000000001</v>
      </c>
      <c r="Q696" s="85">
        <f>STATS1003B!Q696/1000</f>
        <v>2820.9381200000003</v>
      </c>
      <c r="R696" s="85">
        <f>STATS1003B!R696/1000</f>
        <v>0</v>
      </c>
      <c r="S696" s="85">
        <f>STATS1003B!S696/1000</f>
        <v>0</v>
      </c>
      <c r="T696" s="85">
        <f>STATS1003B!T696/1000</f>
        <v>0</v>
      </c>
      <c r="U696" s="85">
        <f>STATS1003B!U696/1000</f>
        <v>11.598520000000001</v>
      </c>
      <c r="V696" s="85">
        <f>STATS1003B!V696/1000</f>
        <v>2832.5366400000003</v>
      </c>
      <c r="W696" s="85">
        <f>STATS1003B!W696/1000</f>
        <v>0</v>
      </c>
      <c r="X696" s="85">
        <f t="shared" si="86"/>
        <v>2832.5366400000003</v>
      </c>
      <c r="Y696" s="85">
        <f>STATS1003B!Y696/1000</f>
        <v>0</v>
      </c>
      <c r="Z696" s="85">
        <f t="shared" si="89"/>
        <v>0</v>
      </c>
      <c r="AA696" s="69">
        <f>STATS1003B!AA696/1000</f>
        <v>2832.5366400000003</v>
      </c>
      <c r="AB696" s="69">
        <f>STATS1003B!AB696/1000</f>
        <v>0</v>
      </c>
    </row>
    <row r="697" spans="1:28" hidden="1" x14ac:dyDescent="0.3">
      <c r="A697" s="117"/>
      <c r="C697" s="68" t="s">
        <v>610</v>
      </c>
      <c r="D697" s="145" t="s">
        <v>166</v>
      </c>
      <c r="E697" s="85">
        <f>STATS1003B!E697/1000</f>
        <v>3459</v>
      </c>
      <c r="F697" s="85">
        <f>STATS1003B!F697/1000</f>
        <v>3458.5568199999998</v>
      </c>
      <c r="G697" s="85">
        <f>STATS1003B!G697/1000</f>
        <v>0</v>
      </c>
      <c r="H697" s="85">
        <f>STATS1003B!H697/1000</f>
        <v>3458.5568199999998</v>
      </c>
      <c r="I697" s="85">
        <f>STATS1003B!I697/1000</f>
        <v>0</v>
      </c>
      <c r="J697" s="85">
        <f>STATS1003B!J697/1000</f>
        <v>3458.5568199999998</v>
      </c>
      <c r="K697" s="85">
        <f>STATS1003B!K697/1000</f>
        <v>0.44318000000000002</v>
      </c>
      <c r="L697" s="85">
        <f>STATS1003B!L697/1000</f>
        <v>0</v>
      </c>
      <c r="M697" s="85">
        <f>STATS1003B!M697/1000</f>
        <v>3458.5568199999998</v>
      </c>
      <c r="N697" s="85">
        <f>STATS1003B!N697/1000</f>
        <v>0.44318000000000002</v>
      </c>
      <c r="O697" s="85">
        <f>STATS1003B!O697/1000</f>
        <v>0</v>
      </c>
      <c r="P697" s="85">
        <f>STATS1003B!P697/1000</f>
        <v>0.44318000000000002</v>
      </c>
      <c r="Q697" s="85">
        <f>STATS1003B!Q697/1000</f>
        <v>3458.5568199999998</v>
      </c>
      <c r="R697" s="85">
        <f>STATS1003B!R697/1000</f>
        <v>0</v>
      </c>
      <c r="S697" s="85">
        <f>STATS1003B!S697/1000</f>
        <v>0</v>
      </c>
      <c r="T697" s="85">
        <f>STATS1003B!T697/1000</f>
        <v>0</v>
      </c>
      <c r="U697" s="85">
        <f>STATS1003B!U697/1000</f>
        <v>0.44318000000000002</v>
      </c>
      <c r="V697" s="85">
        <f>STATS1003B!V697/1000</f>
        <v>3459</v>
      </c>
      <c r="W697" s="85">
        <f>STATS1003B!W697/1000</f>
        <v>0</v>
      </c>
      <c r="X697" s="85">
        <f t="shared" si="86"/>
        <v>3459</v>
      </c>
      <c r="Y697" s="85">
        <f>STATS1003B!Y697/1000</f>
        <v>0</v>
      </c>
      <c r="Z697" s="85">
        <f t="shared" si="89"/>
        <v>0</v>
      </c>
      <c r="AA697" s="69">
        <f>STATS1003B!AA697/1000</f>
        <v>3459</v>
      </c>
      <c r="AB697" s="69">
        <f>STATS1003B!AB697/1000</f>
        <v>0</v>
      </c>
    </row>
    <row r="698" spans="1:28" hidden="1" x14ac:dyDescent="0.3">
      <c r="A698" s="117"/>
      <c r="C698" s="68" t="s">
        <v>539</v>
      </c>
      <c r="D698" s="145" t="s">
        <v>68</v>
      </c>
      <c r="E698" s="85">
        <f>STATS1003B!E698/1000</f>
        <v>1454.0656000000001</v>
      </c>
      <c r="F698" s="85">
        <f>STATS1003B!F698/1000</f>
        <v>0</v>
      </c>
      <c r="G698" s="85">
        <f>STATS1003B!G698/1000</f>
        <v>0</v>
      </c>
      <c r="H698" s="85">
        <f>STATS1003B!H698/1000</f>
        <v>0</v>
      </c>
      <c r="I698" s="85">
        <f>STATS1003B!I698/1000</f>
        <v>0</v>
      </c>
      <c r="J698" s="85">
        <f>STATS1003B!J698/1000</f>
        <v>0</v>
      </c>
      <c r="K698" s="85">
        <f>STATS1003B!K698/1000</f>
        <v>1454.0656000000001</v>
      </c>
      <c r="L698" s="85">
        <f>STATS1003B!L698/1000</f>
        <v>0</v>
      </c>
      <c r="M698" s="85">
        <f>STATS1003B!M698/1000</f>
        <v>0</v>
      </c>
      <c r="N698" s="85">
        <f>STATS1003B!N698/1000</f>
        <v>1454.0656000000001</v>
      </c>
      <c r="O698" s="85">
        <f>STATS1003B!O698/1000</f>
        <v>0</v>
      </c>
      <c r="P698" s="85">
        <f>STATS1003B!P698/1000</f>
        <v>1454.0656000000001</v>
      </c>
      <c r="Q698" s="85">
        <f>STATS1003B!Q698/1000</f>
        <v>0</v>
      </c>
      <c r="R698" s="85">
        <f>STATS1003B!R698/1000</f>
        <v>0</v>
      </c>
      <c r="S698" s="85">
        <f>STATS1003B!S698/1000</f>
        <v>0</v>
      </c>
      <c r="T698" s="85">
        <f>STATS1003B!T698/1000</f>
        <v>0</v>
      </c>
      <c r="U698" s="85">
        <f>STATS1003B!U698/1000</f>
        <v>1454.0656000000001</v>
      </c>
      <c r="V698" s="85">
        <f>STATS1003B!V698/1000</f>
        <v>1454.0656000000001</v>
      </c>
      <c r="W698" s="85">
        <f>STATS1003B!W698/1000</f>
        <v>0</v>
      </c>
      <c r="X698" s="85">
        <f t="shared" si="86"/>
        <v>1454.0656000000001</v>
      </c>
      <c r="Y698" s="85">
        <f>STATS1003B!Y698/1000</f>
        <v>0</v>
      </c>
      <c r="Z698" s="85">
        <f t="shared" si="89"/>
        <v>0</v>
      </c>
      <c r="AA698" s="69">
        <f>STATS1003B!AA698/1000</f>
        <v>1454.0656000000001</v>
      </c>
      <c r="AB698" s="69">
        <f>STATS1003B!AB698/1000</f>
        <v>0</v>
      </c>
    </row>
    <row r="699" spans="1:28" hidden="1" x14ac:dyDescent="0.3">
      <c r="A699" s="117"/>
      <c r="C699" s="68" t="s">
        <v>535</v>
      </c>
      <c r="D699" s="145" t="s">
        <v>68</v>
      </c>
      <c r="E699" s="85">
        <f>STATS1003B!E699/1000</f>
        <v>63.438330000000072</v>
      </c>
      <c r="F699" s="85">
        <f>STATS1003B!F699/1000</f>
        <v>0</v>
      </c>
      <c r="G699" s="85">
        <f>STATS1003B!G699/1000</f>
        <v>0</v>
      </c>
      <c r="H699" s="85">
        <f>STATS1003B!H699/1000</f>
        <v>0</v>
      </c>
      <c r="I699" s="85">
        <f>STATS1003B!I699/1000</f>
        <v>0</v>
      </c>
      <c r="J699" s="85">
        <f>STATS1003B!J699/1000</f>
        <v>0</v>
      </c>
      <c r="K699" s="85">
        <f>STATS1003B!K699/1000</f>
        <v>63.438330000000001</v>
      </c>
      <c r="L699" s="85">
        <f>STATS1003B!L699/1000</f>
        <v>0</v>
      </c>
      <c r="M699" s="85">
        <f>STATS1003B!M699/1000</f>
        <v>0</v>
      </c>
      <c r="N699" s="85">
        <f>STATS1003B!N699/1000</f>
        <v>63.438330000000001</v>
      </c>
      <c r="O699" s="85">
        <f>STATS1003B!O699/1000</f>
        <v>0</v>
      </c>
      <c r="P699" s="85">
        <f>STATS1003B!P699/1000</f>
        <v>63.438330000000001</v>
      </c>
      <c r="Q699" s="85">
        <f>STATS1003B!Q699/1000</f>
        <v>7.2759576141834261E-14</v>
      </c>
      <c r="R699" s="85">
        <f>STATS1003B!R699/1000</f>
        <v>0</v>
      </c>
      <c r="S699" s="85">
        <f>STATS1003B!S699/1000</f>
        <v>0</v>
      </c>
      <c r="T699" s="85">
        <f>STATS1003B!T699/1000</f>
        <v>0</v>
      </c>
      <c r="U699" s="85">
        <f>STATS1003B!U699/1000</f>
        <v>63.438330000000001</v>
      </c>
      <c r="V699" s="85">
        <f>STATS1003B!V699/1000</f>
        <v>63.438330000000001</v>
      </c>
      <c r="W699" s="85">
        <f>STATS1003B!W699/1000</f>
        <v>7.2759576141834261E-14</v>
      </c>
      <c r="X699" s="85">
        <f t="shared" si="86"/>
        <v>63.438330000000001</v>
      </c>
      <c r="Y699" s="85">
        <f>STATS1003B!Y699/1000</f>
        <v>0</v>
      </c>
      <c r="Z699" s="85">
        <f t="shared" si="89"/>
        <v>7.1054273576010019E-14</v>
      </c>
      <c r="AA699" s="69">
        <f>STATS1003B!AA699/1000</f>
        <v>63.438330000000001</v>
      </c>
      <c r="AB699" s="69">
        <f>STATS1003B!AB699/1000</f>
        <v>7.2759576141834261E-14</v>
      </c>
    </row>
    <row r="700" spans="1:28" hidden="1" x14ac:dyDescent="0.3">
      <c r="A700" s="117"/>
      <c r="C700" s="68" t="s">
        <v>600</v>
      </c>
      <c r="D700" s="145" t="s">
        <v>54</v>
      </c>
      <c r="E700" s="85">
        <f>STATS1003B!E700/1000</f>
        <v>543.875</v>
      </c>
      <c r="F700" s="85">
        <f>STATS1003B!F700/1000</f>
        <v>543.875</v>
      </c>
      <c r="G700" s="85">
        <f>STATS1003B!G700/1000</f>
        <v>0</v>
      </c>
      <c r="H700" s="85">
        <f>STATS1003B!H700/1000</f>
        <v>543.875</v>
      </c>
      <c r="I700" s="85">
        <f>STATS1003B!I700/1000</f>
        <v>0</v>
      </c>
      <c r="J700" s="85">
        <f>STATS1003B!J700/1000</f>
        <v>543.875</v>
      </c>
      <c r="K700" s="85">
        <f>STATS1003B!K700/1000</f>
        <v>0</v>
      </c>
      <c r="L700" s="85">
        <f>STATS1003B!L700/1000</f>
        <v>0</v>
      </c>
      <c r="M700" s="85">
        <f>STATS1003B!M700/1000</f>
        <v>543.875</v>
      </c>
      <c r="N700" s="85">
        <f>STATS1003B!N700/1000</f>
        <v>0</v>
      </c>
      <c r="O700" s="85">
        <f>STATS1003B!O700/1000</f>
        <v>0</v>
      </c>
      <c r="P700" s="85">
        <f>STATS1003B!P700/1000</f>
        <v>0</v>
      </c>
      <c r="Q700" s="85">
        <f>STATS1003B!Q700/1000</f>
        <v>543.875</v>
      </c>
      <c r="R700" s="85">
        <f>STATS1003B!R700/1000</f>
        <v>0</v>
      </c>
      <c r="S700" s="85">
        <f>STATS1003B!S700/1000</f>
        <v>0</v>
      </c>
      <c r="T700" s="85">
        <f>STATS1003B!T700/1000</f>
        <v>0</v>
      </c>
      <c r="U700" s="85">
        <f>STATS1003B!U700/1000</f>
        <v>0</v>
      </c>
      <c r="V700" s="85">
        <f>STATS1003B!V700/1000</f>
        <v>543.875</v>
      </c>
      <c r="W700" s="85">
        <f>STATS1003B!W700/1000</f>
        <v>0</v>
      </c>
      <c r="X700" s="85">
        <f t="shared" si="86"/>
        <v>543.875</v>
      </c>
      <c r="Y700" s="85">
        <f>STATS1003B!Y700/1000</f>
        <v>0</v>
      </c>
      <c r="Z700" s="85">
        <f t="shared" si="89"/>
        <v>0</v>
      </c>
      <c r="AA700" s="69">
        <f>STATS1003B!AA700/1000</f>
        <v>543.875</v>
      </c>
      <c r="AB700" s="69">
        <f>STATS1003B!AB700/1000</f>
        <v>0</v>
      </c>
    </row>
    <row r="701" spans="1:28" hidden="1" x14ac:dyDescent="0.3">
      <c r="A701" s="117"/>
      <c r="C701" s="68" t="s">
        <v>611</v>
      </c>
      <c r="D701" s="145" t="s">
        <v>54</v>
      </c>
      <c r="E701" s="85">
        <f>STATS1003B!E701/1000</f>
        <v>475</v>
      </c>
      <c r="F701" s="85">
        <f>STATS1003B!F701/1000</f>
        <v>475</v>
      </c>
      <c r="G701" s="85">
        <f>STATS1003B!G701/1000</f>
        <v>0</v>
      </c>
      <c r="H701" s="85">
        <f>STATS1003B!H701/1000</f>
        <v>475</v>
      </c>
      <c r="I701" s="85">
        <f>STATS1003B!I701/1000</f>
        <v>0</v>
      </c>
      <c r="J701" s="85">
        <f>STATS1003B!J701/1000</f>
        <v>475</v>
      </c>
      <c r="K701" s="85">
        <f>STATS1003B!K701/1000</f>
        <v>0</v>
      </c>
      <c r="L701" s="85">
        <f>STATS1003B!L701/1000</f>
        <v>0</v>
      </c>
      <c r="M701" s="85">
        <f>STATS1003B!M701/1000</f>
        <v>475</v>
      </c>
      <c r="N701" s="85">
        <f>STATS1003B!N701/1000</f>
        <v>0</v>
      </c>
      <c r="O701" s="85">
        <f>STATS1003B!O701/1000</f>
        <v>0</v>
      </c>
      <c r="P701" s="85">
        <f>STATS1003B!P701/1000</f>
        <v>0</v>
      </c>
      <c r="Q701" s="85">
        <f>STATS1003B!Q701/1000</f>
        <v>475</v>
      </c>
      <c r="R701" s="85">
        <f>STATS1003B!R701/1000</f>
        <v>0</v>
      </c>
      <c r="S701" s="85">
        <f>STATS1003B!S701/1000</f>
        <v>0</v>
      </c>
      <c r="T701" s="85">
        <f>STATS1003B!T701/1000</f>
        <v>0</v>
      </c>
      <c r="U701" s="85">
        <f>STATS1003B!U701/1000</f>
        <v>0</v>
      </c>
      <c r="V701" s="85">
        <f>STATS1003B!V701/1000</f>
        <v>475</v>
      </c>
      <c r="W701" s="85">
        <f>STATS1003B!W701/1000</f>
        <v>0</v>
      </c>
      <c r="X701" s="85">
        <f t="shared" si="86"/>
        <v>475</v>
      </c>
      <c r="Y701" s="85">
        <f>STATS1003B!Y701/1000</f>
        <v>0</v>
      </c>
      <c r="Z701" s="85">
        <f t="shared" si="89"/>
        <v>0</v>
      </c>
      <c r="AA701" s="69">
        <f>STATS1003B!AA701/1000</f>
        <v>475</v>
      </c>
      <c r="AB701" s="69">
        <f>STATS1003B!AB701/1000</f>
        <v>0</v>
      </c>
    </row>
    <row r="702" spans="1:28" hidden="1" x14ac:dyDescent="0.3">
      <c r="A702" s="117"/>
      <c r="C702" s="68" t="s">
        <v>545</v>
      </c>
      <c r="D702" s="145" t="s">
        <v>54</v>
      </c>
      <c r="E702" s="85">
        <f>STATS1003B!E702/1000</f>
        <v>1767.77</v>
      </c>
      <c r="F702" s="85">
        <f>STATS1003B!F702/1000</f>
        <v>0</v>
      </c>
      <c r="G702" s="85">
        <f>STATS1003B!G702/1000</f>
        <v>0</v>
      </c>
      <c r="H702" s="85">
        <f>STATS1003B!H702/1000</f>
        <v>0</v>
      </c>
      <c r="I702" s="85">
        <f>STATS1003B!I702/1000</f>
        <v>0</v>
      </c>
      <c r="J702" s="85">
        <f>STATS1003B!J702/1000</f>
        <v>0</v>
      </c>
      <c r="K702" s="85">
        <f>STATS1003B!K702/1000</f>
        <v>1767.77</v>
      </c>
      <c r="L702" s="85">
        <f>STATS1003B!L702/1000</f>
        <v>0</v>
      </c>
      <c r="M702" s="85">
        <f>STATS1003B!M702/1000</f>
        <v>0</v>
      </c>
      <c r="N702" s="85">
        <f>STATS1003B!N702/1000</f>
        <v>1767.77</v>
      </c>
      <c r="O702" s="85">
        <f>STATS1003B!O702/1000</f>
        <v>0</v>
      </c>
      <c r="P702" s="85">
        <f>STATS1003B!P702/1000</f>
        <v>1767.77</v>
      </c>
      <c r="Q702" s="85">
        <f>STATS1003B!Q702/1000</f>
        <v>0</v>
      </c>
      <c r="R702" s="85">
        <f>STATS1003B!R702/1000</f>
        <v>0</v>
      </c>
      <c r="S702" s="85">
        <f>STATS1003B!S702/1000</f>
        <v>0</v>
      </c>
      <c r="T702" s="85">
        <f>STATS1003B!T702/1000</f>
        <v>0</v>
      </c>
      <c r="U702" s="85">
        <f>STATS1003B!U702/1000</f>
        <v>1767.77</v>
      </c>
      <c r="V702" s="85">
        <f>STATS1003B!V702/1000</f>
        <v>1767.77</v>
      </c>
      <c r="W702" s="85">
        <f>STATS1003B!W702/1000</f>
        <v>0</v>
      </c>
      <c r="X702" s="85">
        <f t="shared" si="86"/>
        <v>1767.77</v>
      </c>
      <c r="Y702" s="85">
        <f>STATS1003B!Y702/1000</f>
        <v>0</v>
      </c>
      <c r="Z702" s="85">
        <f t="shared" si="89"/>
        <v>0</v>
      </c>
      <c r="AA702" s="69">
        <f>STATS1003B!AA702/1000</f>
        <v>1767.77</v>
      </c>
      <c r="AB702" s="69">
        <f>STATS1003B!AB702/1000</f>
        <v>0</v>
      </c>
    </row>
    <row r="703" spans="1:28" hidden="1" x14ac:dyDescent="0.3">
      <c r="A703" s="117"/>
      <c r="C703" s="68" t="s">
        <v>535</v>
      </c>
      <c r="D703" s="145" t="s">
        <v>85</v>
      </c>
      <c r="E703" s="85">
        <f>STATS1003B!E703/1000</f>
        <v>1025.0999999999999</v>
      </c>
      <c r="F703" s="85">
        <f>STATS1003B!F703/1000</f>
        <v>1025.0999999999999</v>
      </c>
      <c r="G703" s="85">
        <f>STATS1003B!G703/1000</f>
        <v>0</v>
      </c>
      <c r="H703" s="85">
        <f>STATS1003B!H703/1000</f>
        <v>1025.0999999999999</v>
      </c>
      <c r="I703" s="85">
        <f>STATS1003B!I703/1000</f>
        <v>0</v>
      </c>
      <c r="J703" s="85">
        <f>STATS1003B!J703/1000</f>
        <v>1025.0999999999999</v>
      </c>
      <c r="K703" s="85">
        <f>STATS1003B!K703/1000</f>
        <v>0</v>
      </c>
      <c r="L703" s="85">
        <f>STATS1003B!L703/1000</f>
        <v>0</v>
      </c>
      <c r="M703" s="85">
        <f>STATS1003B!M703/1000</f>
        <v>1025.0999999999999</v>
      </c>
      <c r="N703" s="85">
        <f>STATS1003B!N703/1000</f>
        <v>0</v>
      </c>
      <c r="O703" s="85">
        <f>STATS1003B!O703/1000</f>
        <v>0</v>
      </c>
      <c r="P703" s="85">
        <f>STATS1003B!P703/1000</f>
        <v>0</v>
      </c>
      <c r="Q703" s="85">
        <f>STATS1003B!Q703/1000</f>
        <v>1025.0999999999999</v>
      </c>
      <c r="R703" s="85">
        <f>STATS1003B!R703/1000</f>
        <v>0</v>
      </c>
      <c r="S703" s="85">
        <f>STATS1003B!S703/1000</f>
        <v>0</v>
      </c>
      <c r="T703" s="85">
        <f>STATS1003B!T703/1000</f>
        <v>0</v>
      </c>
      <c r="U703" s="85">
        <f>STATS1003B!U703/1000</f>
        <v>0</v>
      </c>
      <c r="V703" s="85">
        <f>STATS1003B!V703/1000</f>
        <v>1025.0999999999999</v>
      </c>
      <c r="W703" s="85">
        <f>STATS1003B!W703/1000</f>
        <v>0</v>
      </c>
      <c r="X703" s="85">
        <f t="shared" si="86"/>
        <v>1025.0999999999999</v>
      </c>
      <c r="Y703" s="85">
        <f>STATS1003B!Y703/1000</f>
        <v>0</v>
      </c>
      <c r="Z703" s="85">
        <f t="shared" si="89"/>
        <v>0</v>
      </c>
      <c r="AA703" s="69">
        <f>STATS1003B!AA703/1000</f>
        <v>1025.0999999999999</v>
      </c>
      <c r="AB703" s="69">
        <f>STATS1003B!AB703/1000</f>
        <v>0</v>
      </c>
    </row>
    <row r="704" spans="1:28" hidden="1" x14ac:dyDescent="0.3">
      <c r="A704" s="117"/>
      <c r="C704" s="68" t="s">
        <v>612</v>
      </c>
      <c r="D704" s="145" t="s">
        <v>85</v>
      </c>
      <c r="E704" s="85">
        <f>STATS1003B!E704/1000</f>
        <v>3010.3530000000001</v>
      </c>
      <c r="F704" s="85">
        <f>STATS1003B!F704/1000</f>
        <v>3010.3530000000001</v>
      </c>
      <c r="G704" s="85">
        <f>STATS1003B!G704/1000</f>
        <v>0</v>
      </c>
      <c r="H704" s="85">
        <f>STATS1003B!H704/1000</f>
        <v>3010.3530000000001</v>
      </c>
      <c r="I704" s="85">
        <f>STATS1003B!I704/1000</f>
        <v>0</v>
      </c>
      <c r="J704" s="85">
        <f>STATS1003B!J704/1000</f>
        <v>3010.3530000000001</v>
      </c>
      <c r="K704" s="85">
        <f>STATS1003B!K704/1000</f>
        <v>0</v>
      </c>
      <c r="L704" s="85">
        <f>STATS1003B!L704/1000</f>
        <v>0</v>
      </c>
      <c r="M704" s="85">
        <f>STATS1003B!M704/1000</f>
        <v>3010.3530000000001</v>
      </c>
      <c r="N704" s="85">
        <f>STATS1003B!N704/1000</f>
        <v>0</v>
      </c>
      <c r="O704" s="85">
        <f>STATS1003B!O704/1000</f>
        <v>0</v>
      </c>
      <c r="P704" s="85">
        <f>STATS1003B!P704/1000</f>
        <v>0</v>
      </c>
      <c r="Q704" s="85">
        <f>STATS1003B!Q704/1000</f>
        <v>3010.3530000000001</v>
      </c>
      <c r="R704" s="85">
        <f>STATS1003B!R704/1000</f>
        <v>0</v>
      </c>
      <c r="S704" s="85">
        <f>STATS1003B!S704/1000</f>
        <v>0</v>
      </c>
      <c r="T704" s="85">
        <f>STATS1003B!T704/1000</f>
        <v>0</v>
      </c>
      <c r="U704" s="85">
        <f>STATS1003B!U704/1000</f>
        <v>0</v>
      </c>
      <c r="V704" s="85">
        <f>STATS1003B!V704/1000</f>
        <v>3010.3530000000001</v>
      </c>
      <c r="W704" s="85">
        <f>STATS1003B!W704/1000</f>
        <v>0</v>
      </c>
      <c r="X704" s="85">
        <f t="shared" si="86"/>
        <v>3010.3530000000001</v>
      </c>
      <c r="Y704" s="85">
        <f>STATS1003B!Y704/1000</f>
        <v>0</v>
      </c>
      <c r="Z704" s="85">
        <f t="shared" si="89"/>
        <v>0</v>
      </c>
      <c r="AA704" s="69">
        <f>STATS1003B!AA704/1000</f>
        <v>3010.3530000000001</v>
      </c>
      <c r="AB704" s="69">
        <f>STATS1003B!AB704/1000</f>
        <v>0</v>
      </c>
    </row>
    <row r="705" spans="1:28" hidden="1" x14ac:dyDescent="0.3">
      <c r="A705" s="117"/>
      <c r="C705" s="68" t="s">
        <v>613</v>
      </c>
      <c r="D705" s="145" t="s">
        <v>85</v>
      </c>
      <c r="E705" s="85">
        <f>STATS1003B!E705/1000</f>
        <v>160</v>
      </c>
      <c r="F705" s="85">
        <f>STATS1003B!F705/1000</f>
        <v>0</v>
      </c>
      <c r="G705" s="85">
        <f>STATS1003B!G705/1000</f>
        <v>0</v>
      </c>
      <c r="H705" s="85">
        <f>STATS1003B!H705/1000</f>
        <v>0</v>
      </c>
      <c r="I705" s="85">
        <f>STATS1003B!I705/1000</f>
        <v>0</v>
      </c>
      <c r="J705" s="85">
        <f>STATS1003B!J705/1000</f>
        <v>0</v>
      </c>
      <c r="K705" s="85">
        <f>STATS1003B!K705/1000</f>
        <v>0</v>
      </c>
      <c r="L705" s="85">
        <f>STATS1003B!L705/1000</f>
        <v>0</v>
      </c>
      <c r="M705" s="85">
        <f>STATS1003B!M705/1000</f>
        <v>0</v>
      </c>
      <c r="N705" s="85">
        <f>STATS1003B!N705/1000</f>
        <v>0</v>
      </c>
      <c r="O705" s="85">
        <f>STATS1003B!O705/1000</f>
        <v>0</v>
      </c>
      <c r="P705" s="85">
        <f>STATS1003B!P705/1000</f>
        <v>0</v>
      </c>
      <c r="Q705" s="85">
        <f>STATS1003B!Q705/1000</f>
        <v>160</v>
      </c>
      <c r="R705" s="85">
        <f>STATS1003B!R705/1000</f>
        <v>0</v>
      </c>
      <c r="S705" s="85">
        <f>STATS1003B!S705/1000</f>
        <v>0</v>
      </c>
      <c r="T705" s="85">
        <f>STATS1003B!T705/1000</f>
        <v>0</v>
      </c>
      <c r="U705" s="85">
        <f>STATS1003B!U705/1000</f>
        <v>0</v>
      </c>
      <c r="V705" s="85">
        <f>STATS1003B!V705/1000</f>
        <v>0</v>
      </c>
      <c r="W705" s="85">
        <f>STATS1003B!W705/1000</f>
        <v>160</v>
      </c>
      <c r="X705" s="85">
        <f t="shared" si="86"/>
        <v>0</v>
      </c>
      <c r="Y705" s="85">
        <f>STATS1003B!Y705/1000</f>
        <v>0</v>
      </c>
      <c r="Z705" s="85">
        <f t="shared" si="89"/>
        <v>160</v>
      </c>
      <c r="AA705" s="69">
        <f>STATS1003B!AA705/1000</f>
        <v>0</v>
      </c>
      <c r="AB705" s="69">
        <f>STATS1003B!AB705/1000</f>
        <v>160</v>
      </c>
    </row>
    <row r="706" spans="1:28" hidden="1" x14ac:dyDescent="0.3">
      <c r="A706" s="117"/>
      <c r="C706" s="68" t="s">
        <v>566</v>
      </c>
      <c r="D706" s="145" t="s">
        <v>128</v>
      </c>
      <c r="E706" s="85">
        <f>STATS1003B!E706/1000</f>
        <v>2339.1</v>
      </c>
      <c r="F706" s="85">
        <f>STATS1003B!F706/1000</f>
        <v>2339.1</v>
      </c>
      <c r="G706" s="85">
        <f>STATS1003B!G706/1000</f>
        <v>0</v>
      </c>
      <c r="H706" s="85">
        <f>STATS1003B!H706/1000</f>
        <v>2339.1</v>
      </c>
      <c r="I706" s="85">
        <f>STATS1003B!I706/1000</f>
        <v>0</v>
      </c>
      <c r="J706" s="85">
        <f>STATS1003B!J706/1000</f>
        <v>2339.1</v>
      </c>
      <c r="K706" s="85">
        <f>STATS1003B!K706/1000</f>
        <v>0</v>
      </c>
      <c r="L706" s="85">
        <f>STATS1003B!L706/1000</f>
        <v>0</v>
      </c>
      <c r="M706" s="85">
        <f>STATS1003B!M706/1000</f>
        <v>2339.1</v>
      </c>
      <c r="N706" s="85">
        <f>STATS1003B!N706/1000</f>
        <v>0</v>
      </c>
      <c r="O706" s="85">
        <f>STATS1003B!O706/1000</f>
        <v>0</v>
      </c>
      <c r="P706" s="85">
        <f>STATS1003B!P706/1000</f>
        <v>0</v>
      </c>
      <c r="Q706" s="85">
        <f>STATS1003B!Q706/1000</f>
        <v>2339.1</v>
      </c>
      <c r="R706" s="85">
        <f>STATS1003B!R706/1000</f>
        <v>0</v>
      </c>
      <c r="S706" s="85">
        <f>STATS1003B!S706/1000</f>
        <v>0</v>
      </c>
      <c r="T706" s="85">
        <f>STATS1003B!T706/1000</f>
        <v>0</v>
      </c>
      <c r="U706" s="85">
        <f>STATS1003B!U706/1000</f>
        <v>0</v>
      </c>
      <c r="V706" s="85">
        <f>STATS1003B!V706/1000</f>
        <v>2339.1</v>
      </c>
      <c r="W706" s="85">
        <f>STATS1003B!W706/1000</f>
        <v>0</v>
      </c>
      <c r="X706" s="85">
        <f t="shared" si="86"/>
        <v>2339.1</v>
      </c>
      <c r="Y706" s="85">
        <f>STATS1003B!Y706/1000</f>
        <v>0</v>
      </c>
      <c r="Z706" s="85">
        <f t="shared" si="89"/>
        <v>0</v>
      </c>
      <c r="AA706" s="69">
        <f>STATS1003B!AA706/1000</f>
        <v>2339.1</v>
      </c>
      <c r="AB706" s="69">
        <f>STATS1003B!AB706/1000</f>
        <v>0</v>
      </c>
    </row>
    <row r="707" spans="1:28" hidden="1" x14ac:dyDescent="0.3">
      <c r="A707" s="117"/>
      <c r="C707" s="68" t="s">
        <v>535</v>
      </c>
      <c r="D707" s="145" t="s">
        <v>108</v>
      </c>
      <c r="E707" s="85">
        <f>STATS1003B!E707/1000</f>
        <v>2368.5</v>
      </c>
      <c r="F707" s="85">
        <f>STATS1003B!F707/1000</f>
        <v>2368.5</v>
      </c>
      <c r="G707" s="85">
        <f>STATS1003B!G707/1000</f>
        <v>0</v>
      </c>
      <c r="H707" s="85">
        <f>STATS1003B!H707/1000</f>
        <v>2368.5</v>
      </c>
      <c r="I707" s="85">
        <f>STATS1003B!I707/1000</f>
        <v>0</v>
      </c>
      <c r="J707" s="85">
        <f>STATS1003B!J707/1000</f>
        <v>2368.5</v>
      </c>
      <c r="K707" s="85">
        <f>STATS1003B!K707/1000</f>
        <v>0</v>
      </c>
      <c r="L707" s="85">
        <f>STATS1003B!L707/1000</f>
        <v>0</v>
      </c>
      <c r="M707" s="85">
        <f>STATS1003B!M707/1000</f>
        <v>2368.5</v>
      </c>
      <c r="N707" s="85">
        <f>STATS1003B!N707/1000</f>
        <v>0</v>
      </c>
      <c r="O707" s="85">
        <f>STATS1003B!O707/1000</f>
        <v>0</v>
      </c>
      <c r="P707" s="85">
        <f>STATS1003B!P707/1000</f>
        <v>0</v>
      </c>
      <c r="Q707" s="85">
        <f>STATS1003B!Q707/1000</f>
        <v>2368.5</v>
      </c>
      <c r="R707" s="85">
        <f>STATS1003B!R707/1000</f>
        <v>0</v>
      </c>
      <c r="S707" s="85">
        <f>STATS1003B!S707/1000</f>
        <v>0</v>
      </c>
      <c r="T707" s="85">
        <f>STATS1003B!T707/1000</f>
        <v>0</v>
      </c>
      <c r="U707" s="85">
        <f>STATS1003B!U707/1000</f>
        <v>0</v>
      </c>
      <c r="V707" s="85">
        <f>STATS1003B!V707/1000</f>
        <v>2368.5</v>
      </c>
      <c r="W707" s="85">
        <f>STATS1003B!W707/1000</f>
        <v>0</v>
      </c>
      <c r="X707" s="85">
        <f t="shared" si="86"/>
        <v>2368.5</v>
      </c>
      <c r="Y707" s="85">
        <f>STATS1003B!Y707/1000</f>
        <v>0</v>
      </c>
      <c r="Z707" s="85">
        <f t="shared" si="89"/>
        <v>0</v>
      </c>
      <c r="AA707" s="69">
        <f>STATS1003B!AA707/1000</f>
        <v>2368.5</v>
      </c>
      <c r="AB707" s="69">
        <f>STATS1003B!AB707/1000</f>
        <v>0</v>
      </c>
    </row>
    <row r="708" spans="1:28" hidden="1" x14ac:dyDescent="0.3">
      <c r="A708" s="117"/>
      <c r="C708" s="68" t="s">
        <v>535</v>
      </c>
      <c r="D708" s="145" t="s">
        <v>58</v>
      </c>
      <c r="E708" s="85">
        <f>STATS1003B!E708/1000</f>
        <v>3301.8975</v>
      </c>
      <c r="F708" s="85">
        <f>STATS1003B!F708/1000</f>
        <v>3301.8975</v>
      </c>
      <c r="G708" s="85">
        <f>STATS1003B!G708/1000</f>
        <v>0</v>
      </c>
      <c r="H708" s="85">
        <f>STATS1003B!H708/1000</f>
        <v>3301.8975</v>
      </c>
      <c r="I708" s="85">
        <f>STATS1003B!I708/1000</f>
        <v>0</v>
      </c>
      <c r="J708" s="85">
        <f>STATS1003B!J708/1000</f>
        <v>3301.8975</v>
      </c>
      <c r="K708" s="85">
        <f>STATS1003B!K708/1000</f>
        <v>0</v>
      </c>
      <c r="L708" s="85">
        <f>STATS1003B!L708/1000</f>
        <v>0</v>
      </c>
      <c r="M708" s="85">
        <f>STATS1003B!M708/1000</f>
        <v>3301.8975</v>
      </c>
      <c r="N708" s="85">
        <f>STATS1003B!N708/1000</f>
        <v>0</v>
      </c>
      <c r="O708" s="85">
        <f>STATS1003B!O708/1000</f>
        <v>0</v>
      </c>
      <c r="P708" s="85">
        <f>STATS1003B!P708/1000</f>
        <v>0</v>
      </c>
      <c r="Q708" s="85">
        <f>STATS1003B!Q708/1000</f>
        <v>3301.8975</v>
      </c>
      <c r="R708" s="85">
        <f>STATS1003B!R708/1000</f>
        <v>0</v>
      </c>
      <c r="S708" s="85">
        <f>STATS1003B!S708/1000</f>
        <v>0</v>
      </c>
      <c r="T708" s="85">
        <f>STATS1003B!T708/1000</f>
        <v>0</v>
      </c>
      <c r="U708" s="85">
        <f>STATS1003B!U708/1000</f>
        <v>0</v>
      </c>
      <c r="V708" s="85">
        <f>STATS1003B!V708/1000</f>
        <v>3301.8975</v>
      </c>
      <c r="W708" s="85">
        <f>STATS1003B!W708/1000</f>
        <v>0</v>
      </c>
      <c r="X708" s="85">
        <f t="shared" si="86"/>
        <v>3301.8975</v>
      </c>
      <c r="Y708" s="85">
        <f>STATS1003B!Y708/1000</f>
        <v>0</v>
      </c>
      <c r="Z708" s="85">
        <f t="shared" si="89"/>
        <v>0</v>
      </c>
      <c r="AA708" s="69">
        <f>STATS1003B!AA708/1000</f>
        <v>3301.8975</v>
      </c>
      <c r="AB708" s="69">
        <f>STATS1003B!AB708/1000</f>
        <v>0</v>
      </c>
    </row>
    <row r="709" spans="1:28" hidden="1" x14ac:dyDescent="0.3">
      <c r="A709" s="117"/>
      <c r="C709" s="68" t="s">
        <v>535</v>
      </c>
      <c r="D709" s="88" t="s">
        <v>73</v>
      </c>
      <c r="E709" s="85">
        <f>STATS1003B!E709/1000</f>
        <v>2980.8139999999999</v>
      </c>
      <c r="F709" s="85">
        <f>STATS1003B!F709/1000</f>
        <v>2980.8139999999999</v>
      </c>
      <c r="G709" s="85">
        <f>STATS1003B!G709/1000</f>
        <v>0</v>
      </c>
      <c r="H709" s="85">
        <f>STATS1003B!H709/1000</f>
        <v>2980.8139999999999</v>
      </c>
      <c r="I709" s="85">
        <f>STATS1003B!I709/1000</f>
        <v>0</v>
      </c>
      <c r="J709" s="85">
        <f>STATS1003B!J709/1000</f>
        <v>2980.8139999999999</v>
      </c>
      <c r="K709" s="85">
        <f>STATS1003B!K709/1000</f>
        <v>0</v>
      </c>
      <c r="L709" s="85">
        <f>STATS1003B!L709/1000</f>
        <v>0</v>
      </c>
      <c r="M709" s="85">
        <f>STATS1003B!M709/1000</f>
        <v>2980.8139999999999</v>
      </c>
      <c r="N709" s="85">
        <f>STATS1003B!N709/1000</f>
        <v>0</v>
      </c>
      <c r="O709" s="85">
        <f>STATS1003B!O709/1000</f>
        <v>0</v>
      </c>
      <c r="P709" s="85">
        <f>STATS1003B!P709/1000</f>
        <v>0</v>
      </c>
      <c r="Q709" s="85">
        <f>STATS1003B!Q709/1000</f>
        <v>2980.8139999999999</v>
      </c>
      <c r="R709" s="85">
        <f>STATS1003B!R709/1000</f>
        <v>0</v>
      </c>
      <c r="S709" s="85">
        <f>STATS1003B!S709/1000</f>
        <v>0</v>
      </c>
      <c r="T709" s="85">
        <f>STATS1003B!T709/1000</f>
        <v>0</v>
      </c>
      <c r="U709" s="85">
        <f>STATS1003B!U709/1000</f>
        <v>0</v>
      </c>
      <c r="V709" s="85">
        <f>STATS1003B!V709/1000</f>
        <v>2980.8139999999999</v>
      </c>
      <c r="W709" s="85">
        <f>STATS1003B!W709/1000</f>
        <v>0</v>
      </c>
      <c r="X709" s="85">
        <f t="shared" ref="X709:X772" si="92">+H709+P709</f>
        <v>2980.8139999999999</v>
      </c>
      <c r="Y709" s="85">
        <f>STATS1003B!Y709/1000</f>
        <v>0</v>
      </c>
      <c r="Z709" s="85">
        <f t="shared" si="89"/>
        <v>0</v>
      </c>
      <c r="AA709" s="69">
        <f>STATS1003B!AA709/1000</f>
        <v>2980.8139999999999</v>
      </c>
      <c r="AB709" s="69">
        <f>STATS1003B!AB709/1000</f>
        <v>0</v>
      </c>
    </row>
    <row r="710" spans="1:28" hidden="1" x14ac:dyDescent="0.3">
      <c r="A710" s="117"/>
      <c r="C710" s="71" t="s">
        <v>614</v>
      </c>
      <c r="D710" s="88" t="s">
        <v>61</v>
      </c>
      <c r="E710" s="85">
        <f>STATS1003B!E710/1000</f>
        <v>500</v>
      </c>
      <c r="F710" s="85">
        <f>STATS1003B!F710/1000</f>
        <v>500</v>
      </c>
      <c r="G710" s="85">
        <f>STATS1003B!G710/1000</f>
        <v>0</v>
      </c>
      <c r="H710" s="85">
        <f>STATS1003B!H710/1000</f>
        <v>500</v>
      </c>
      <c r="I710" s="85">
        <f>STATS1003B!I710/1000</f>
        <v>0</v>
      </c>
      <c r="J710" s="85">
        <f>STATS1003B!J710/1000</f>
        <v>500</v>
      </c>
      <c r="K710" s="85">
        <f>STATS1003B!K710/1000</f>
        <v>0</v>
      </c>
      <c r="L710" s="85">
        <f>STATS1003B!L710/1000</f>
        <v>0</v>
      </c>
      <c r="M710" s="85">
        <f>STATS1003B!M710/1000</f>
        <v>500</v>
      </c>
      <c r="N710" s="85">
        <f>STATS1003B!N710/1000</f>
        <v>0</v>
      </c>
      <c r="O710" s="85">
        <f>STATS1003B!O710/1000</f>
        <v>0</v>
      </c>
      <c r="P710" s="85">
        <f>STATS1003B!P710/1000</f>
        <v>0</v>
      </c>
      <c r="Q710" s="85">
        <f>STATS1003B!Q710/1000</f>
        <v>500</v>
      </c>
      <c r="R710" s="85">
        <f>STATS1003B!R710/1000</f>
        <v>0</v>
      </c>
      <c r="S710" s="85">
        <f>STATS1003B!S710/1000</f>
        <v>0</v>
      </c>
      <c r="T710" s="85">
        <f>STATS1003B!T710/1000</f>
        <v>0</v>
      </c>
      <c r="U710" s="85">
        <f>STATS1003B!U710/1000</f>
        <v>0</v>
      </c>
      <c r="V710" s="85">
        <f>STATS1003B!V710/1000</f>
        <v>500</v>
      </c>
      <c r="W710" s="85">
        <f>STATS1003B!W710/1000</f>
        <v>0</v>
      </c>
      <c r="X710" s="85">
        <f t="shared" si="92"/>
        <v>500</v>
      </c>
      <c r="Y710" s="85">
        <f>STATS1003B!Y710/1000</f>
        <v>0</v>
      </c>
      <c r="Z710" s="85">
        <f t="shared" si="89"/>
        <v>0</v>
      </c>
      <c r="AA710" s="69">
        <f>STATS1003B!AA710/1000</f>
        <v>500</v>
      </c>
      <c r="AB710" s="69">
        <f>STATS1003B!AB710/1000</f>
        <v>0</v>
      </c>
    </row>
    <row r="711" spans="1:28" hidden="1" x14ac:dyDescent="0.3">
      <c r="A711" s="117"/>
      <c r="C711" s="71" t="s">
        <v>568</v>
      </c>
      <c r="E711" s="85">
        <f>STATS1003B!E711/1000</f>
        <v>1719.64436</v>
      </c>
      <c r="F711" s="85">
        <f>STATS1003B!F711/1000</f>
        <v>1719.64436</v>
      </c>
      <c r="G711" s="85">
        <f>STATS1003B!G711/1000</f>
        <v>0</v>
      </c>
      <c r="H711" s="85">
        <f>STATS1003B!H711/1000</f>
        <v>1719.64436</v>
      </c>
      <c r="I711" s="85">
        <f>STATS1003B!I711/1000</f>
        <v>0</v>
      </c>
      <c r="J711" s="85">
        <f>STATS1003B!J711/1000</f>
        <v>1719.64436</v>
      </c>
      <c r="K711" s="85">
        <f>STATS1003B!K711/1000</f>
        <v>0</v>
      </c>
      <c r="L711" s="85">
        <f>STATS1003B!L711/1000</f>
        <v>0</v>
      </c>
      <c r="M711" s="85">
        <f>STATS1003B!M711/1000</f>
        <v>1719.64436</v>
      </c>
      <c r="N711" s="85">
        <f>STATS1003B!N711/1000</f>
        <v>0</v>
      </c>
      <c r="O711" s="85">
        <f>STATS1003B!O711/1000</f>
        <v>0</v>
      </c>
      <c r="P711" s="85">
        <f>STATS1003B!P711/1000</f>
        <v>0</v>
      </c>
      <c r="Q711" s="85">
        <f>STATS1003B!Q711/1000</f>
        <v>1719.64436</v>
      </c>
      <c r="R711" s="85">
        <f>STATS1003B!R711/1000</f>
        <v>0</v>
      </c>
      <c r="S711" s="85">
        <f>STATS1003B!S711/1000</f>
        <v>0</v>
      </c>
      <c r="T711" s="85">
        <f>STATS1003B!T711/1000</f>
        <v>0</v>
      </c>
      <c r="U711" s="85">
        <f>STATS1003B!U711/1000</f>
        <v>0</v>
      </c>
      <c r="V711" s="85">
        <f>STATS1003B!V711/1000</f>
        <v>1719.64436</v>
      </c>
      <c r="W711" s="85">
        <f>STATS1003B!W711/1000</f>
        <v>0</v>
      </c>
      <c r="X711" s="85">
        <f t="shared" si="92"/>
        <v>1719.64436</v>
      </c>
      <c r="Y711" s="85">
        <f>STATS1003B!Y711/1000</f>
        <v>0</v>
      </c>
      <c r="Z711" s="85">
        <f t="shared" si="89"/>
        <v>0</v>
      </c>
      <c r="AA711" s="69">
        <f>STATS1003B!AA711/1000</f>
        <v>1719.64436</v>
      </c>
      <c r="AB711" s="69">
        <f>STATS1003B!AB711/1000</f>
        <v>0</v>
      </c>
    </row>
    <row r="712" spans="1:28" hidden="1" x14ac:dyDescent="0.3">
      <c r="A712" s="117"/>
      <c r="C712" s="68" t="s">
        <v>606</v>
      </c>
      <c r="E712" s="85">
        <f>STATS1003B!E712/1000</f>
        <v>2500</v>
      </c>
      <c r="F712" s="85">
        <f>STATS1003B!F712/1000</f>
        <v>2500</v>
      </c>
      <c r="G712" s="85">
        <f>STATS1003B!G712/1000</f>
        <v>0</v>
      </c>
      <c r="H712" s="85">
        <f>STATS1003B!H712/1000</f>
        <v>2500</v>
      </c>
      <c r="I712" s="85">
        <f>STATS1003B!I712/1000</f>
        <v>0</v>
      </c>
      <c r="J712" s="85">
        <f>STATS1003B!J712/1000</f>
        <v>2500</v>
      </c>
      <c r="K712" s="85">
        <f>STATS1003B!K712/1000</f>
        <v>0</v>
      </c>
      <c r="L712" s="85">
        <f>STATS1003B!L712/1000</f>
        <v>0</v>
      </c>
      <c r="M712" s="85">
        <f>STATS1003B!M712/1000</f>
        <v>2500</v>
      </c>
      <c r="N712" s="85">
        <f>STATS1003B!N712/1000</f>
        <v>0</v>
      </c>
      <c r="O712" s="85">
        <f>STATS1003B!O712/1000</f>
        <v>0</v>
      </c>
      <c r="P712" s="85">
        <f>STATS1003B!P712/1000</f>
        <v>0</v>
      </c>
      <c r="Q712" s="85">
        <f>STATS1003B!Q712/1000</f>
        <v>2500</v>
      </c>
      <c r="R712" s="85">
        <f>STATS1003B!R712/1000</f>
        <v>0</v>
      </c>
      <c r="S712" s="85">
        <f>STATS1003B!S712/1000</f>
        <v>0</v>
      </c>
      <c r="T712" s="85">
        <f>STATS1003B!T712/1000</f>
        <v>0</v>
      </c>
      <c r="U712" s="85">
        <f>STATS1003B!U712/1000</f>
        <v>0</v>
      </c>
      <c r="V712" s="85">
        <f>STATS1003B!V712/1000</f>
        <v>2500</v>
      </c>
      <c r="W712" s="85">
        <f>STATS1003B!W712/1000</f>
        <v>0</v>
      </c>
      <c r="X712" s="85">
        <f t="shared" si="92"/>
        <v>2500</v>
      </c>
      <c r="Y712" s="85">
        <f>STATS1003B!Y712/1000</f>
        <v>0</v>
      </c>
      <c r="Z712" s="85">
        <f t="shared" si="89"/>
        <v>0</v>
      </c>
      <c r="AA712" s="69">
        <f>STATS1003B!AA712/1000</f>
        <v>2500</v>
      </c>
      <c r="AB712" s="69">
        <f>STATS1003B!AB712/1000</f>
        <v>0</v>
      </c>
    </row>
    <row r="713" spans="1:28" hidden="1" x14ac:dyDescent="0.3">
      <c r="A713" s="117"/>
      <c r="E713" s="86" t="s">
        <v>29</v>
      </c>
      <c r="F713" s="86" t="s">
        <v>29</v>
      </c>
      <c r="G713" s="86" t="s">
        <v>29</v>
      </c>
      <c r="H713" s="86" t="s">
        <v>29</v>
      </c>
      <c r="I713" s="86" t="s">
        <v>29</v>
      </c>
      <c r="J713" s="86" t="s">
        <v>29</v>
      </c>
      <c r="K713" s="86" t="s">
        <v>29</v>
      </c>
      <c r="L713" s="86" t="s">
        <v>29</v>
      </c>
      <c r="M713" s="86" t="s">
        <v>29</v>
      </c>
      <c r="N713" s="86" t="s">
        <v>29</v>
      </c>
      <c r="O713" s="86" t="s">
        <v>29</v>
      </c>
      <c r="P713" s="86" t="s">
        <v>29</v>
      </c>
      <c r="Q713" s="86" t="s">
        <v>29</v>
      </c>
      <c r="R713" s="86" t="s">
        <v>29</v>
      </c>
      <c r="S713" s="86" t="s">
        <v>29</v>
      </c>
      <c r="T713" s="86" t="s">
        <v>29</v>
      </c>
      <c r="U713" s="86" t="s">
        <v>29</v>
      </c>
      <c r="V713" s="86" t="s">
        <v>29</v>
      </c>
      <c r="W713" s="86" t="s">
        <v>29</v>
      </c>
      <c r="X713" s="85" t="e">
        <f t="shared" si="92"/>
        <v>#VALUE!</v>
      </c>
      <c r="Y713" s="86" t="s">
        <v>29</v>
      </c>
      <c r="Z713" s="85" t="e">
        <f t="shared" si="89"/>
        <v>#VALUE!</v>
      </c>
      <c r="AA713" s="115" t="s">
        <v>29</v>
      </c>
      <c r="AB713" s="115" t="s">
        <v>29</v>
      </c>
    </row>
    <row r="714" spans="1:28" x14ac:dyDescent="0.3">
      <c r="A714" s="116">
        <v>34</v>
      </c>
      <c r="B714" s="68" t="s">
        <v>607</v>
      </c>
      <c r="E714" s="85">
        <f>71775118.69/1000</f>
        <v>71775.118690000003</v>
      </c>
      <c r="F714" s="85">
        <f t="shared" ref="F714:Q714" si="93">SUM(F694:F713)</f>
        <v>36247.827669999999</v>
      </c>
      <c r="G714" s="85">
        <f t="shared" si="93"/>
        <v>0</v>
      </c>
      <c r="H714" s="85">
        <f>68296469.16/1000</f>
        <v>68296.469159999993</v>
      </c>
      <c r="I714" s="85">
        <f t="shared" si="93"/>
        <v>0</v>
      </c>
      <c r="J714" s="85">
        <f t="shared" si="93"/>
        <v>36247.827669999999</v>
      </c>
      <c r="K714" s="85">
        <f t="shared" si="93"/>
        <v>3318.6495300000001</v>
      </c>
      <c r="L714" s="85">
        <f t="shared" si="93"/>
        <v>0</v>
      </c>
      <c r="M714" s="85">
        <f t="shared" si="93"/>
        <v>36247.827669999999</v>
      </c>
      <c r="N714" s="85">
        <f t="shared" si="93"/>
        <v>3318.6495300000001</v>
      </c>
      <c r="O714" s="85">
        <f t="shared" si="93"/>
        <v>0</v>
      </c>
      <c r="P714" s="85">
        <f>3318649/1000</f>
        <v>3318.6489999999999</v>
      </c>
      <c r="Q714" s="85">
        <f t="shared" si="93"/>
        <v>36407.827669999999</v>
      </c>
      <c r="R714" s="86"/>
      <c r="S714" s="86"/>
      <c r="T714" s="85">
        <f t="shared" ref="T714:Y714" si="94">SUM(T694:T713)</f>
        <v>0</v>
      </c>
      <c r="U714" s="85">
        <f t="shared" si="94"/>
        <v>3318.6495300000001</v>
      </c>
      <c r="V714" s="85">
        <f t="shared" si="94"/>
        <v>39566.477199999994</v>
      </c>
      <c r="W714" s="85">
        <f t="shared" si="94"/>
        <v>160.00000000000009</v>
      </c>
      <c r="X714" s="85">
        <f>+H714+P714</f>
        <v>71615.118159999998</v>
      </c>
      <c r="Y714" s="85">
        <f t="shared" si="94"/>
        <v>0</v>
      </c>
      <c r="Z714" s="85">
        <f>+E714-X714</f>
        <v>160.0005300000048</v>
      </c>
      <c r="AA714" s="69">
        <f>SUM(AA694:AA713)</f>
        <v>39566.477199999994</v>
      </c>
      <c r="AB714" s="69">
        <f>SUM(AB694:AB713)</f>
        <v>160.00000000000009</v>
      </c>
    </row>
    <row r="715" spans="1:28" hidden="1" x14ac:dyDescent="0.3">
      <c r="A715" s="117"/>
      <c r="E715" s="86" t="s">
        <v>29</v>
      </c>
      <c r="F715" s="86" t="s">
        <v>29</v>
      </c>
      <c r="G715" s="86" t="s">
        <v>29</v>
      </c>
      <c r="H715" s="86" t="s">
        <v>29</v>
      </c>
      <c r="I715" s="86" t="s">
        <v>29</v>
      </c>
      <c r="J715" s="86" t="s">
        <v>29</v>
      </c>
      <c r="K715" s="86" t="s">
        <v>29</v>
      </c>
      <c r="L715" s="86" t="s">
        <v>29</v>
      </c>
      <c r="M715" s="86" t="s">
        <v>29</v>
      </c>
      <c r="N715" s="86" t="s">
        <v>29</v>
      </c>
      <c r="O715" s="86" t="s">
        <v>29</v>
      </c>
      <c r="P715" s="86" t="s">
        <v>29</v>
      </c>
      <c r="Q715" s="86" t="s">
        <v>29</v>
      </c>
      <c r="R715" s="86" t="s">
        <v>29</v>
      </c>
      <c r="S715" s="86" t="s">
        <v>29</v>
      </c>
      <c r="T715" s="86" t="s">
        <v>29</v>
      </c>
      <c r="U715" s="86" t="s">
        <v>29</v>
      </c>
      <c r="V715" s="86" t="s">
        <v>29</v>
      </c>
      <c r="W715" s="86" t="s">
        <v>29</v>
      </c>
      <c r="X715" s="85" t="e">
        <f t="shared" si="92"/>
        <v>#VALUE!</v>
      </c>
      <c r="Y715" s="86" t="s">
        <v>29</v>
      </c>
      <c r="Z715" s="85" t="e">
        <f t="shared" si="89"/>
        <v>#VALUE!</v>
      </c>
      <c r="AA715" s="115" t="s">
        <v>29</v>
      </c>
      <c r="AB715" s="115" t="s">
        <v>29</v>
      </c>
    </row>
    <row r="716" spans="1:28" hidden="1" x14ac:dyDescent="0.3">
      <c r="A716" s="105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6"/>
      <c r="S716" s="86"/>
      <c r="T716" s="86"/>
      <c r="U716" s="86"/>
      <c r="V716" s="86"/>
      <c r="W716" s="86"/>
      <c r="X716" s="85">
        <f t="shared" si="92"/>
        <v>0</v>
      </c>
      <c r="Y716" s="86"/>
      <c r="Z716" s="85">
        <f t="shared" si="89"/>
        <v>0</v>
      </c>
      <c r="AA716" s="118"/>
    </row>
    <row r="717" spans="1:28" hidden="1" x14ac:dyDescent="0.3">
      <c r="A717" s="117"/>
      <c r="C717" s="68" t="s">
        <v>535</v>
      </c>
      <c r="D717" s="145" t="s">
        <v>76</v>
      </c>
      <c r="E717" s="85">
        <f>STATS1003B!E717/1000</f>
        <v>6320</v>
      </c>
      <c r="F717" s="85">
        <f>STATS1003B!F717/1000</f>
        <v>5931.4727899999989</v>
      </c>
      <c r="G717" s="85">
        <f>STATS1003B!G717/1000</f>
        <v>0</v>
      </c>
      <c r="H717" s="85">
        <f>STATS1003B!H717/1000</f>
        <v>5931.4727899999989</v>
      </c>
      <c r="I717" s="85">
        <f>STATS1003B!I717/1000</f>
        <v>0</v>
      </c>
      <c r="J717" s="85">
        <f>STATS1003B!J717/1000</f>
        <v>5931.4727899999989</v>
      </c>
      <c r="K717" s="85">
        <f>STATS1003B!K717/1000</f>
        <v>388.52721000000003</v>
      </c>
      <c r="L717" s="85">
        <f>STATS1003B!L717/1000</f>
        <v>0</v>
      </c>
      <c r="M717" s="85">
        <f>STATS1003B!M717/1000</f>
        <v>5931.4727899999989</v>
      </c>
      <c r="N717" s="85">
        <f>STATS1003B!N717/1000</f>
        <v>388.52721000000003</v>
      </c>
      <c r="O717" s="85">
        <f>STATS1003B!O717/1000</f>
        <v>0</v>
      </c>
      <c r="P717" s="85">
        <f>STATS1003B!P717/1000</f>
        <v>388.52721000000003</v>
      </c>
      <c r="Q717" s="85">
        <f>STATS1003B!Q717/1000</f>
        <v>5931.4727899999998</v>
      </c>
      <c r="R717" s="85">
        <f>STATS1003B!R717/1000</f>
        <v>0</v>
      </c>
      <c r="S717" s="85">
        <f>STATS1003B!S717/1000</f>
        <v>0</v>
      </c>
      <c r="T717" s="85">
        <f>STATS1003B!T717/1000</f>
        <v>0</v>
      </c>
      <c r="U717" s="85">
        <f>STATS1003B!U717/1000</f>
        <v>388.52721000000003</v>
      </c>
      <c r="V717" s="85">
        <f>STATS1003B!V717/1000</f>
        <v>6319.9999999999991</v>
      </c>
      <c r="W717" s="85">
        <f>STATS1003B!W717/1000</f>
        <v>0</v>
      </c>
      <c r="X717" s="85">
        <f t="shared" si="92"/>
        <v>6319.9999999999991</v>
      </c>
      <c r="Y717" s="85">
        <f>STATS1003B!Y717/1000</f>
        <v>0</v>
      </c>
      <c r="Z717" s="85">
        <f t="shared" si="89"/>
        <v>0</v>
      </c>
      <c r="AA717" s="69">
        <f>STATS1003B!AA717/1000</f>
        <v>6319.9999999999991</v>
      </c>
      <c r="AB717" s="69">
        <f>STATS1003B!AB717/1000</f>
        <v>0</v>
      </c>
    </row>
    <row r="718" spans="1:28" hidden="1" x14ac:dyDescent="0.3">
      <c r="A718" s="117"/>
      <c r="C718" s="68" t="s">
        <v>616</v>
      </c>
      <c r="D718" s="145" t="s">
        <v>76</v>
      </c>
      <c r="E718" s="85">
        <f>STATS1003B!E718/1000</f>
        <v>4750</v>
      </c>
      <c r="F718" s="85">
        <f>STATS1003B!F718/1000</f>
        <v>4750</v>
      </c>
      <c r="G718" s="85">
        <f>STATS1003B!G718/1000</f>
        <v>0</v>
      </c>
      <c r="H718" s="85">
        <f>STATS1003B!H718/1000</f>
        <v>4750</v>
      </c>
      <c r="I718" s="85">
        <f>STATS1003B!I718/1000</f>
        <v>0</v>
      </c>
      <c r="J718" s="85">
        <f>STATS1003B!J718/1000</f>
        <v>4750</v>
      </c>
      <c r="K718" s="85">
        <f>STATS1003B!K718/1000</f>
        <v>0</v>
      </c>
      <c r="L718" s="85">
        <f>STATS1003B!L718/1000</f>
        <v>0</v>
      </c>
      <c r="M718" s="85">
        <f>STATS1003B!M718/1000</f>
        <v>4750</v>
      </c>
      <c r="N718" s="85">
        <f>STATS1003B!N718/1000</f>
        <v>0</v>
      </c>
      <c r="O718" s="85">
        <f>STATS1003B!O718/1000</f>
        <v>0</v>
      </c>
      <c r="P718" s="85">
        <f>STATS1003B!P718/1000</f>
        <v>0</v>
      </c>
      <c r="Q718" s="85">
        <f>STATS1003B!Q718/1000</f>
        <v>4750</v>
      </c>
      <c r="R718" s="85">
        <f>STATS1003B!R718/1000</f>
        <v>0</v>
      </c>
      <c r="S718" s="85">
        <f>STATS1003B!S718/1000</f>
        <v>0</v>
      </c>
      <c r="T718" s="85">
        <f>STATS1003B!T718/1000</f>
        <v>0</v>
      </c>
      <c r="U718" s="85">
        <f>STATS1003B!U718/1000</f>
        <v>0</v>
      </c>
      <c r="V718" s="85">
        <f>STATS1003B!V718/1000</f>
        <v>4750</v>
      </c>
      <c r="W718" s="85">
        <f>STATS1003B!W718/1000</f>
        <v>0</v>
      </c>
      <c r="X718" s="85">
        <f t="shared" si="92"/>
        <v>4750</v>
      </c>
      <c r="Y718" s="85">
        <f>STATS1003B!Y718/1000</f>
        <v>0</v>
      </c>
      <c r="Z718" s="85">
        <f t="shared" si="89"/>
        <v>0</v>
      </c>
      <c r="AA718" s="69">
        <f>STATS1003B!AA718/1000</f>
        <v>4750</v>
      </c>
      <c r="AB718" s="69">
        <f>STATS1003B!AB718/1000</f>
        <v>0</v>
      </c>
    </row>
    <row r="719" spans="1:28" hidden="1" x14ac:dyDescent="0.3">
      <c r="A719" s="117"/>
      <c r="C719" s="68" t="s">
        <v>535</v>
      </c>
      <c r="D719" s="145" t="s">
        <v>150</v>
      </c>
      <c r="E719" s="85">
        <f>STATS1003B!E719/1000</f>
        <v>6136.2725099999998</v>
      </c>
      <c r="F719" s="85">
        <f>STATS1003B!F719/1000</f>
        <v>4780.6039500000006</v>
      </c>
      <c r="G719" s="85">
        <f>STATS1003B!G719/1000</f>
        <v>0</v>
      </c>
      <c r="H719" s="85">
        <f>STATS1003B!H719/1000</f>
        <v>4780.6039500000006</v>
      </c>
      <c r="I719" s="85">
        <f>STATS1003B!I719/1000</f>
        <v>0</v>
      </c>
      <c r="J719" s="85">
        <f>STATS1003B!J719/1000</f>
        <v>4780.6039500000006</v>
      </c>
      <c r="K719" s="85">
        <f>STATS1003B!K719/1000</f>
        <v>1355.6685600000001</v>
      </c>
      <c r="L719" s="85">
        <f>STATS1003B!L719/1000</f>
        <v>0</v>
      </c>
      <c r="M719" s="85">
        <f>STATS1003B!M719/1000</f>
        <v>4780.6039500000006</v>
      </c>
      <c r="N719" s="85">
        <f>STATS1003B!N719/1000</f>
        <v>1355.6685600000001</v>
      </c>
      <c r="O719" s="85">
        <f>STATS1003B!O719/1000</f>
        <v>0</v>
      </c>
      <c r="P719" s="85">
        <f>STATS1003B!P719/1000</f>
        <v>1355.6685600000001</v>
      </c>
      <c r="Q719" s="85">
        <f>STATS1003B!Q719/1000</f>
        <v>4780.6039499999988</v>
      </c>
      <c r="R719" s="85">
        <f>STATS1003B!R719/1000</f>
        <v>0</v>
      </c>
      <c r="S719" s="85">
        <f>STATS1003B!S719/1000</f>
        <v>0</v>
      </c>
      <c r="T719" s="85">
        <f>STATS1003B!T719/1000</f>
        <v>0</v>
      </c>
      <c r="U719" s="85">
        <f>STATS1003B!U719/1000</f>
        <v>1355.6685600000001</v>
      </c>
      <c r="V719" s="85">
        <f>STATS1003B!V719/1000</f>
        <v>6136.2725099999998</v>
      </c>
      <c r="W719" s="85">
        <f>STATS1003B!W719/1000</f>
        <v>0</v>
      </c>
      <c r="X719" s="85">
        <f t="shared" si="92"/>
        <v>6136.2725100000007</v>
      </c>
      <c r="Y719" s="85">
        <f>STATS1003B!Y719/1000</f>
        <v>0</v>
      </c>
      <c r="Z719" s="85">
        <f t="shared" si="89"/>
        <v>0</v>
      </c>
      <c r="AA719" s="69">
        <f>STATS1003B!AA719/1000</f>
        <v>6136.2725099999998</v>
      </c>
      <c r="AB719" s="69">
        <f>STATS1003B!AB719/1000</f>
        <v>0</v>
      </c>
    </row>
    <row r="720" spans="1:28" hidden="1" x14ac:dyDescent="0.3">
      <c r="A720" s="117"/>
      <c r="C720" s="68" t="s">
        <v>616</v>
      </c>
      <c r="D720" s="145" t="s">
        <v>150</v>
      </c>
      <c r="E720" s="85">
        <f>STATS1003B!E720/1000</f>
        <v>4742</v>
      </c>
      <c r="F720" s="85">
        <f>STATS1003B!F720/1000</f>
        <v>4742</v>
      </c>
      <c r="G720" s="85">
        <f>STATS1003B!G720/1000</f>
        <v>0</v>
      </c>
      <c r="H720" s="85">
        <f>STATS1003B!H720/1000</f>
        <v>4742</v>
      </c>
      <c r="I720" s="85">
        <f>STATS1003B!I720/1000</f>
        <v>0</v>
      </c>
      <c r="J720" s="85">
        <f>STATS1003B!J720/1000</f>
        <v>4742</v>
      </c>
      <c r="K720" s="85">
        <f>STATS1003B!K720/1000</f>
        <v>0</v>
      </c>
      <c r="L720" s="85">
        <f>STATS1003B!L720/1000</f>
        <v>0</v>
      </c>
      <c r="M720" s="85">
        <f>STATS1003B!M720/1000</f>
        <v>4742</v>
      </c>
      <c r="N720" s="85">
        <f>STATS1003B!N720/1000</f>
        <v>0</v>
      </c>
      <c r="O720" s="85">
        <f>STATS1003B!O720/1000</f>
        <v>0</v>
      </c>
      <c r="P720" s="85">
        <f>STATS1003B!P720/1000</f>
        <v>0</v>
      </c>
      <c r="Q720" s="85">
        <f>STATS1003B!Q720/1000</f>
        <v>4742</v>
      </c>
      <c r="R720" s="85">
        <f>STATS1003B!R720/1000</f>
        <v>0</v>
      </c>
      <c r="S720" s="85">
        <f>STATS1003B!S720/1000</f>
        <v>0</v>
      </c>
      <c r="T720" s="85">
        <f>STATS1003B!T720/1000</f>
        <v>0</v>
      </c>
      <c r="U720" s="85">
        <f>STATS1003B!U720/1000</f>
        <v>0</v>
      </c>
      <c r="V720" s="85">
        <f>STATS1003B!V720/1000</f>
        <v>4742</v>
      </c>
      <c r="W720" s="85">
        <f>STATS1003B!W720/1000</f>
        <v>0</v>
      </c>
      <c r="X720" s="85">
        <f t="shared" si="92"/>
        <v>4742</v>
      </c>
      <c r="Y720" s="85">
        <f>STATS1003B!Y720/1000</f>
        <v>0</v>
      </c>
      <c r="Z720" s="85">
        <f t="shared" si="89"/>
        <v>0</v>
      </c>
      <c r="AA720" s="69">
        <f>STATS1003B!AA720/1000</f>
        <v>4742</v>
      </c>
      <c r="AB720" s="69">
        <f>STATS1003B!AB720/1000</f>
        <v>0</v>
      </c>
    </row>
    <row r="721" spans="1:28" hidden="1" x14ac:dyDescent="0.3">
      <c r="A721" s="117"/>
      <c r="C721" s="68" t="s">
        <v>617</v>
      </c>
      <c r="D721" s="145" t="s">
        <v>166</v>
      </c>
      <c r="E721" s="85">
        <f>STATS1003B!E721/1000</f>
        <v>512.84848</v>
      </c>
      <c r="F721" s="85">
        <f>STATS1003B!F721/1000</f>
        <v>0</v>
      </c>
      <c r="G721" s="85">
        <f>STATS1003B!G721/1000</f>
        <v>0</v>
      </c>
      <c r="H721" s="85">
        <f>STATS1003B!H721/1000</f>
        <v>0</v>
      </c>
      <c r="I721" s="85">
        <f>STATS1003B!I721/1000</f>
        <v>0</v>
      </c>
      <c r="J721" s="85">
        <f>STATS1003B!J721/1000</f>
        <v>0</v>
      </c>
      <c r="K721" s="85">
        <f>STATS1003B!K721/1000</f>
        <v>512.84848</v>
      </c>
      <c r="L721" s="85">
        <f>STATS1003B!L721/1000</f>
        <v>0</v>
      </c>
      <c r="M721" s="85">
        <f>STATS1003B!M721/1000</f>
        <v>0</v>
      </c>
      <c r="N721" s="85">
        <f>STATS1003B!N721/1000</f>
        <v>512.84848</v>
      </c>
      <c r="O721" s="85">
        <f>STATS1003B!O721/1000</f>
        <v>0</v>
      </c>
      <c r="P721" s="85">
        <f>STATS1003B!P721/1000</f>
        <v>512.84848</v>
      </c>
      <c r="Q721" s="85">
        <f>STATS1003B!Q721/1000</f>
        <v>0</v>
      </c>
      <c r="R721" s="85">
        <f>STATS1003B!R721/1000</f>
        <v>0</v>
      </c>
      <c r="S721" s="85">
        <f>STATS1003B!S721/1000</f>
        <v>0</v>
      </c>
      <c r="T721" s="85">
        <f>STATS1003B!T721/1000</f>
        <v>0</v>
      </c>
      <c r="U721" s="85">
        <f>STATS1003B!U721/1000</f>
        <v>512.84848</v>
      </c>
      <c r="V721" s="85">
        <f>STATS1003B!V721/1000</f>
        <v>512.84848</v>
      </c>
      <c r="W721" s="85">
        <f>STATS1003B!W721/1000</f>
        <v>0</v>
      </c>
      <c r="X721" s="85">
        <f t="shared" si="92"/>
        <v>512.84848</v>
      </c>
      <c r="Y721" s="85">
        <f>STATS1003B!Y721/1000</f>
        <v>0</v>
      </c>
      <c r="Z721" s="85">
        <f t="shared" si="89"/>
        <v>0</v>
      </c>
      <c r="AA721" s="69">
        <f>STATS1003B!AA721/1000</f>
        <v>512.84848</v>
      </c>
      <c r="AB721" s="69">
        <f>STATS1003B!AB721/1000</f>
        <v>0</v>
      </c>
    </row>
    <row r="722" spans="1:28" hidden="1" x14ac:dyDescent="0.3">
      <c r="A722" s="117"/>
      <c r="C722" s="68" t="s">
        <v>535</v>
      </c>
      <c r="D722" s="145" t="s">
        <v>68</v>
      </c>
      <c r="E722" s="85">
        <f>STATS1003B!E722/1000</f>
        <v>298.62330000000003</v>
      </c>
      <c r="F722" s="85">
        <f>STATS1003B!F722/1000</f>
        <v>0</v>
      </c>
      <c r="G722" s="85">
        <f>STATS1003B!G722/1000</f>
        <v>0</v>
      </c>
      <c r="H722" s="85">
        <f>STATS1003B!H722/1000</f>
        <v>0</v>
      </c>
      <c r="I722" s="85">
        <f>STATS1003B!I722/1000</f>
        <v>0</v>
      </c>
      <c r="J722" s="85">
        <f>STATS1003B!J722/1000</f>
        <v>0</v>
      </c>
      <c r="K722" s="85">
        <f>STATS1003B!K722/1000</f>
        <v>298.62329999999997</v>
      </c>
      <c r="L722" s="85">
        <f>STATS1003B!L722/1000</f>
        <v>0</v>
      </c>
      <c r="M722" s="85">
        <f>STATS1003B!M722/1000</f>
        <v>0</v>
      </c>
      <c r="N722" s="85">
        <f>STATS1003B!N722/1000</f>
        <v>298.62329999999997</v>
      </c>
      <c r="O722" s="85">
        <f>STATS1003B!O722/1000</f>
        <v>0</v>
      </c>
      <c r="P722" s="85">
        <f>STATS1003B!P722/1000</f>
        <v>298.62329999999997</v>
      </c>
      <c r="Q722" s="85">
        <f>STATS1003B!Q722/1000</f>
        <v>0</v>
      </c>
      <c r="R722" s="85">
        <f>STATS1003B!R722/1000</f>
        <v>0</v>
      </c>
      <c r="S722" s="85">
        <f>STATS1003B!S722/1000</f>
        <v>0</v>
      </c>
      <c r="T722" s="85">
        <f>STATS1003B!T722/1000</f>
        <v>0</v>
      </c>
      <c r="U722" s="85">
        <f>STATS1003B!U722/1000</f>
        <v>298.62329999999997</v>
      </c>
      <c r="V722" s="85">
        <f>STATS1003B!V722/1000</f>
        <v>298.62329999999997</v>
      </c>
      <c r="W722" s="85">
        <f>STATS1003B!W722/1000</f>
        <v>0</v>
      </c>
      <c r="X722" s="85">
        <f t="shared" si="92"/>
        <v>298.62329999999997</v>
      </c>
      <c r="Y722" s="85">
        <f>STATS1003B!Y722/1000</f>
        <v>0</v>
      </c>
      <c r="Z722" s="85">
        <f t="shared" si="89"/>
        <v>0</v>
      </c>
      <c r="AA722" s="69">
        <f>STATS1003B!AA722/1000</f>
        <v>298.62329999999997</v>
      </c>
      <c r="AB722" s="69">
        <f>STATS1003B!AB722/1000</f>
        <v>0</v>
      </c>
    </row>
    <row r="723" spans="1:28" hidden="1" x14ac:dyDescent="0.3">
      <c r="A723" s="117"/>
      <c r="C723" s="68" t="s">
        <v>539</v>
      </c>
      <c r="D723" s="145" t="s">
        <v>68</v>
      </c>
      <c r="E723" s="85">
        <f>STATS1003B!E723/1000</f>
        <v>344.07</v>
      </c>
      <c r="F723" s="85">
        <f>STATS1003B!F723/1000</f>
        <v>0</v>
      </c>
      <c r="G723" s="85">
        <f>STATS1003B!G723/1000</f>
        <v>0</v>
      </c>
      <c r="H723" s="85">
        <f>STATS1003B!H723/1000</f>
        <v>0</v>
      </c>
      <c r="I723" s="85">
        <f>STATS1003B!I723/1000</f>
        <v>0</v>
      </c>
      <c r="J723" s="85">
        <f>STATS1003B!J723/1000</f>
        <v>0</v>
      </c>
      <c r="K723" s="85">
        <f>STATS1003B!K723/1000</f>
        <v>344.07</v>
      </c>
      <c r="L723" s="85">
        <f>STATS1003B!L723/1000</f>
        <v>0</v>
      </c>
      <c r="M723" s="85">
        <f>STATS1003B!M723/1000</f>
        <v>0</v>
      </c>
      <c r="N723" s="85">
        <f>STATS1003B!N723/1000</f>
        <v>344.07</v>
      </c>
      <c r="O723" s="85">
        <f>STATS1003B!O723/1000</f>
        <v>0</v>
      </c>
      <c r="P723" s="85">
        <f>STATS1003B!P723/1000</f>
        <v>344.07</v>
      </c>
      <c r="Q723" s="85">
        <f>STATS1003B!Q723/1000</f>
        <v>0</v>
      </c>
      <c r="R723" s="85">
        <f>STATS1003B!R723/1000</f>
        <v>0</v>
      </c>
      <c r="S723" s="85">
        <f>STATS1003B!S723/1000</f>
        <v>0</v>
      </c>
      <c r="T723" s="85">
        <f>STATS1003B!T723/1000</f>
        <v>0</v>
      </c>
      <c r="U723" s="85">
        <f>STATS1003B!U723/1000</f>
        <v>344.07</v>
      </c>
      <c r="V723" s="85">
        <f>STATS1003B!V723/1000</f>
        <v>344.07</v>
      </c>
      <c r="W723" s="85">
        <f>STATS1003B!W723/1000</f>
        <v>0</v>
      </c>
      <c r="X723" s="85">
        <f t="shared" si="92"/>
        <v>344.07</v>
      </c>
      <c r="Y723" s="85">
        <f>STATS1003B!Y723/1000</f>
        <v>0</v>
      </c>
      <c r="Z723" s="85">
        <f t="shared" si="89"/>
        <v>0</v>
      </c>
      <c r="AA723" s="69">
        <f>STATS1003B!AA723/1000</f>
        <v>344.07</v>
      </c>
      <c r="AB723" s="69">
        <f>STATS1003B!AB723/1000</f>
        <v>0</v>
      </c>
    </row>
    <row r="724" spans="1:28" hidden="1" x14ac:dyDescent="0.3">
      <c r="A724" s="117"/>
      <c r="C724" s="68" t="s">
        <v>618</v>
      </c>
      <c r="D724" s="145" t="s">
        <v>68</v>
      </c>
      <c r="E724" s="85">
        <f>STATS1003B!E724/1000</f>
        <v>1745.6378</v>
      </c>
      <c r="F724" s="85">
        <f>STATS1003B!F724/1000</f>
        <v>1739.1849999999999</v>
      </c>
      <c r="G724" s="85">
        <f>STATS1003B!G724/1000</f>
        <v>0</v>
      </c>
      <c r="H724" s="85">
        <f>STATS1003B!H724/1000</f>
        <v>1739.1849999999999</v>
      </c>
      <c r="I724" s="85">
        <f>STATS1003B!I724/1000</f>
        <v>0</v>
      </c>
      <c r="J724" s="85">
        <f>STATS1003B!J724/1000</f>
        <v>1739.1849999999999</v>
      </c>
      <c r="K724" s="85">
        <f>STATS1003B!K724/1000</f>
        <v>6.4527999999999999</v>
      </c>
      <c r="L724" s="85">
        <f>STATS1003B!L724/1000</f>
        <v>0</v>
      </c>
      <c r="M724" s="85">
        <f>STATS1003B!M724/1000</f>
        <v>1739.1849999999999</v>
      </c>
      <c r="N724" s="85">
        <f>STATS1003B!N724/1000</f>
        <v>6.4527999999999999</v>
      </c>
      <c r="O724" s="85">
        <f>STATS1003B!O724/1000</f>
        <v>0</v>
      </c>
      <c r="P724" s="85">
        <f>STATS1003B!P724/1000</f>
        <v>6.4527999999999999</v>
      </c>
      <c r="Q724" s="85">
        <f>STATS1003B!Q724/1000</f>
        <v>1739.1849999999999</v>
      </c>
      <c r="R724" s="85">
        <f>STATS1003B!R724/1000</f>
        <v>0</v>
      </c>
      <c r="S724" s="85">
        <f>STATS1003B!S724/1000</f>
        <v>0</v>
      </c>
      <c r="T724" s="85">
        <f>STATS1003B!T724/1000</f>
        <v>0</v>
      </c>
      <c r="U724" s="85">
        <f>STATS1003B!U724/1000</f>
        <v>6.4527999999999999</v>
      </c>
      <c r="V724" s="85">
        <f>STATS1003B!V724/1000</f>
        <v>1745.6378</v>
      </c>
      <c r="W724" s="85">
        <f>STATS1003B!W724/1000</f>
        <v>0</v>
      </c>
      <c r="X724" s="85">
        <f t="shared" si="92"/>
        <v>1745.6378</v>
      </c>
      <c r="Y724" s="85">
        <f>STATS1003B!Y724/1000</f>
        <v>0</v>
      </c>
      <c r="Z724" s="85">
        <f t="shared" si="89"/>
        <v>0</v>
      </c>
      <c r="AA724" s="69">
        <f>STATS1003B!AA724/1000</f>
        <v>1745.6378</v>
      </c>
      <c r="AB724" s="69">
        <f>STATS1003B!AB724/1000</f>
        <v>0</v>
      </c>
    </row>
    <row r="725" spans="1:28" hidden="1" x14ac:dyDescent="0.3">
      <c r="A725" s="117"/>
      <c r="C725" s="68" t="s">
        <v>618</v>
      </c>
      <c r="D725" s="145" t="s">
        <v>54</v>
      </c>
      <c r="E725" s="85">
        <f>STATS1003B!E725/1000</f>
        <v>4037.5</v>
      </c>
      <c r="F725" s="85">
        <f>STATS1003B!F725/1000</f>
        <v>4037.5</v>
      </c>
      <c r="G725" s="85">
        <f>STATS1003B!G725/1000</f>
        <v>0</v>
      </c>
      <c r="H725" s="85">
        <f>STATS1003B!H725/1000</f>
        <v>4037.5</v>
      </c>
      <c r="I725" s="85">
        <f>STATS1003B!I725/1000</f>
        <v>0</v>
      </c>
      <c r="J725" s="85">
        <f>STATS1003B!J725/1000</f>
        <v>4037.5</v>
      </c>
      <c r="K725" s="85">
        <f>STATS1003B!K725/1000</f>
        <v>0</v>
      </c>
      <c r="L725" s="85">
        <f>STATS1003B!L725/1000</f>
        <v>0</v>
      </c>
      <c r="M725" s="85">
        <f>STATS1003B!M725/1000</f>
        <v>4037.5</v>
      </c>
      <c r="N725" s="85">
        <f>STATS1003B!N725/1000</f>
        <v>0</v>
      </c>
      <c r="O725" s="85">
        <f>STATS1003B!O725/1000</f>
        <v>0</v>
      </c>
      <c r="P725" s="85">
        <f>STATS1003B!P725/1000</f>
        <v>0</v>
      </c>
      <c r="Q725" s="85">
        <f>STATS1003B!Q725/1000</f>
        <v>4037.5</v>
      </c>
      <c r="R725" s="85">
        <f>STATS1003B!R725/1000</f>
        <v>0</v>
      </c>
      <c r="S725" s="85">
        <f>STATS1003B!S725/1000</f>
        <v>0</v>
      </c>
      <c r="T725" s="85">
        <f>STATS1003B!T725/1000</f>
        <v>0</v>
      </c>
      <c r="U725" s="85">
        <f>STATS1003B!U725/1000</f>
        <v>0</v>
      </c>
      <c r="V725" s="85">
        <f>STATS1003B!V725/1000</f>
        <v>4037.5</v>
      </c>
      <c r="W725" s="85">
        <f>STATS1003B!W725/1000</f>
        <v>0</v>
      </c>
      <c r="X725" s="85">
        <f t="shared" si="92"/>
        <v>4037.5</v>
      </c>
      <c r="Y725" s="85">
        <f>STATS1003B!Y725/1000</f>
        <v>0</v>
      </c>
      <c r="Z725" s="85">
        <f t="shared" ref="Z725:Z788" si="95">+E725-X725</f>
        <v>0</v>
      </c>
      <c r="AA725" s="69">
        <f>STATS1003B!AA725/1000</f>
        <v>4037.5</v>
      </c>
      <c r="AB725" s="69">
        <f>STATS1003B!AB725/1000</f>
        <v>0</v>
      </c>
    </row>
    <row r="726" spans="1:28" hidden="1" x14ac:dyDescent="0.3">
      <c r="A726" s="117"/>
      <c r="C726" s="68" t="s">
        <v>545</v>
      </c>
      <c r="D726" s="145" t="s">
        <v>54</v>
      </c>
      <c r="E726" s="85">
        <f>STATS1003B!E726/1000</f>
        <v>570.94100000000003</v>
      </c>
      <c r="F726" s="85">
        <f>STATS1003B!F726/1000</f>
        <v>0</v>
      </c>
      <c r="G726" s="85">
        <f>STATS1003B!G726/1000</f>
        <v>0</v>
      </c>
      <c r="H726" s="85">
        <f>STATS1003B!H726/1000</f>
        <v>0</v>
      </c>
      <c r="I726" s="85">
        <f>STATS1003B!I726/1000</f>
        <v>0</v>
      </c>
      <c r="J726" s="85">
        <f>STATS1003B!J726/1000</f>
        <v>0</v>
      </c>
      <c r="K726" s="85">
        <f>STATS1003B!K726/1000</f>
        <v>570.94100000000003</v>
      </c>
      <c r="L726" s="85">
        <f>STATS1003B!L726/1000</f>
        <v>0</v>
      </c>
      <c r="M726" s="85">
        <f>STATS1003B!M726/1000</f>
        <v>0</v>
      </c>
      <c r="N726" s="85">
        <f>STATS1003B!N726/1000</f>
        <v>570.94100000000003</v>
      </c>
      <c r="O726" s="85">
        <f>STATS1003B!O726/1000</f>
        <v>0</v>
      </c>
      <c r="P726" s="85">
        <f>STATS1003B!P726/1000</f>
        <v>570.94100000000003</v>
      </c>
      <c r="Q726" s="85">
        <f>STATS1003B!Q726/1000</f>
        <v>0</v>
      </c>
      <c r="R726" s="85">
        <f>STATS1003B!R726/1000</f>
        <v>0</v>
      </c>
      <c r="S726" s="85">
        <f>STATS1003B!S726/1000</f>
        <v>0</v>
      </c>
      <c r="T726" s="85">
        <f>STATS1003B!T726/1000</f>
        <v>0</v>
      </c>
      <c r="U726" s="85">
        <f>STATS1003B!U726/1000</f>
        <v>570.94100000000003</v>
      </c>
      <c r="V726" s="85">
        <f>STATS1003B!V726/1000</f>
        <v>570.94100000000003</v>
      </c>
      <c r="W726" s="85">
        <f>STATS1003B!W726/1000</f>
        <v>0</v>
      </c>
      <c r="X726" s="85">
        <f t="shared" si="92"/>
        <v>570.94100000000003</v>
      </c>
      <c r="Y726" s="85">
        <f>STATS1003B!Y726/1000</f>
        <v>0</v>
      </c>
      <c r="Z726" s="85">
        <f t="shared" si="95"/>
        <v>0</v>
      </c>
      <c r="AA726" s="69">
        <f>STATS1003B!AA726/1000</f>
        <v>570.94100000000003</v>
      </c>
      <c r="AB726" s="69">
        <f>STATS1003B!AB726/1000</f>
        <v>0</v>
      </c>
    </row>
    <row r="727" spans="1:28" hidden="1" x14ac:dyDescent="0.3">
      <c r="A727" s="117"/>
      <c r="C727" s="68" t="s">
        <v>535</v>
      </c>
      <c r="D727" s="145" t="s">
        <v>85</v>
      </c>
      <c r="E727" s="85">
        <f>STATS1003B!E727/1000</f>
        <v>645.29999999999995</v>
      </c>
      <c r="F727" s="85">
        <f>STATS1003B!F727/1000</f>
        <v>645.29999999999995</v>
      </c>
      <c r="G727" s="85">
        <f>STATS1003B!G727/1000</f>
        <v>0</v>
      </c>
      <c r="H727" s="85">
        <f>STATS1003B!H727/1000</f>
        <v>645.29999999999995</v>
      </c>
      <c r="I727" s="85">
        <f>STATS1003B!I727/1000</f>
        <v>0</v>
      </c>
      <c r="J727" s="85">
        <f>STATS1003B!J727/1000</f>
        <v>645.29999999999995</v>
      </c>
      <c r="K727" s="85">
        <f>STATS1003B!K727/1000</f>
        <v>0</v>
      </c>
      <c r="L727" s="85">
        <f>STATS1003B!L727/1000</f>
        <v>0</v>
      </c>
      <c r="M727" s="85">
        <f>STATS1003B!M727/1000</f>
        <v>645.29999999999995</v>
      </c>
      <c r="N727" s="85">
        <f>STATS1003B!N727/1000</f>
        <v>0</v>
      </c>
      <c r="O727" s="85">
        <f>STATS1003B!O727/1000</f>
        <v>0</v>
      </c>
      <c r="P727" s="85">
        <f>STATS1003B!P727/1000</f>
        <v>0</v>
      </c>
      <c r="Q727" s="85">
        <f>STATS1003B!Q727/1000</f>
        <v>645.29999999999995</v>
      </c>
      <c r="R727" s="85">
        <f>STATS1003B!R727/1000</f>
        <v>0</v>
      </c>
      <c r="S727" s="85">
        <f>STATS1003B!S727/1000</f>
        <v>0</v>
      </c>
      <c r="T727" s="85">
        <f>STATS1003B!T727/1000</f>
        <v>0</v>
      </c>
      <c r="U727" s="85">
        <f>STATS1003B!U727/1000</f>
        <v>0</v>
      </c>
      <c r="V727" s="85">
        <f>STATS1003B!V727/1000</f>
        <v>645.29999999999995</v>
      </c>
      <c r="W727" s="85">
        <f>STATS1003B!W727/1000</f>
        <v>0</v>
      </c>
      <c r="X727" s="85">
        <f t="shared" si="92"/>
        <v>645.29999999999995</v>
      </c>
      <c r="Y727" s="85">
        <f>STATS1003B!Y727/1000</f>
        <v>0</v>
      </c>
      <c r="Z727" s="85">
        <f t="shared" si="95"/>
        <v>0</v>
      </c>
      <c r="AA727" s="69">
        <f>STATS1003B!AA727/1000</f>
        <v>645.29999999999995</v>
      </c>
      <c r="AB727" s="69">
        <f>STATS1003B!AB727/1000</f>
        <v>0</v>
      </c>
    </row>
    <row r="728" spans="1:28" hidden="1" x14ac:dyDescent="0.3">
      <c r="A728" s="117"/>
      <c r="C728" s="68" t="s">
        <v>535</v>
      </c>
      <c r="D728" s="145" t="s">
        <v>128</v>
      </c>
      <c r="E728" s="85">
        <f>STATS1003B!E728/1000</f>
        <v>715.5</v>
      </c>
      <c r="F728" s="85">
        <f>STATS1003B!F728/1000</f>
        <v>715.5</v>
      </c>
      <c r="G728" s="85">
        <f>STATS1003B!G728/1000</f>
        <v>0</v>
      </c>
      <c r="H728" s="85">
        <f>STATS1003B!H728/1000</f>
        <v>715.5</v>
      </c>
      <c r="I728" s="85">
        <f>STATS1003B!I728/1000</f>
        <v>0</v>
      </c>
      <c r="J728" s="85">
        <f>STATS1003B!J728/1000</f>
        <v>715.5</v>
      </c>
      <c r="K728" s="85">
        <f>STATS1003B!K728/1000</f>
        <v>0</v>
      </c>
      <c r="L728" s="85">
        <f>STATS1003B!L728/1000</f>
        <v>0</v>
      </c>
      <c r="M728" s="85">
        <f>STATS1003B!M728/1000</f>
        <v>715.5</v>
      </c>
      <c r="N728" s="85">
        <f>STATS1003B!N728/1000</f>
        <v>0</v>
      </c>
      <c r="O728" s="85">
        <f>STATS1003B!O728/1000</f>
        <v>0</v>
      </c>
      <c r="P728" s="85">
        <f>STATS1003B!P728/1000</f>
        <v>0</v>
      </c>
      <c r="Q728" s="85">
        <f>STATS1003B!Q728/1000</f>
        <v>715.5</v>
      </c>
      <c r="R728" s="85">
        <f>STATS1003B!R728/1000</f>
        <v>0</v>
      </c>
      <c r="S728" s="85">
        <f>STATS1003B!S728/1000</f>
        <v>0</v>
      </c>
      <c r="T728" s="85">
        <f>STATS1003B!T728/1000</f>
        <v>0</v>
      </c>
      <c r="U728" s="85">
        <f>STATS1003B!U728/1000</f>
        <v>0</v>
      </c>
      <c r="V728" s="85">
        <f>STATS1003B!V728/1000</f>
        <v>715.5</v>
      </c>
      <c r="W728" s="85">
        <f>STATS1003B!W728/1000</f>
        <v>0</v>
      </c>
      <c r="X728" s="85">
        <f t="shared" si="92"/>
        <v>715.5</v>
      </c>
      <c r="Y728" s="85">
        <f>STATS1003B!Y728/1000</f>
        <v>0</v>
      </c>
      <c r="Z728" s="85">
        <f t="shared" si="95"/>
        <v>0</v>
      </c>
      <c r="AA728" s="69">
        <f>STATS1003B!AA728/1000</f>
        <v>715.5</v>
      </c>
      <c r="AB728" s="69">
        <f>STATS1003B!AB728/1000</f>
        <v>0</v>
      </c>
    </row>
    <row r="729" spans="1:28" hidden="1" x14ac:dyDescent="0.3">
      <c r="A729" s="117"/>
      <c r="C729" s="68" t="s">
        <v>619</v>
      </c>
      <c r="D729" s="145" t="s">
        <v>128</v>
      </c>
      <c r="E729" s="85">
        <f>STATS1003B!E729/1000</f>
        <v>400</v>
      </c>
      <c r="F729" s="85">
        <f>STATS1003B!F729/1000</f>
        <v>400</v>
      </c>
      <c r="G729" s="85">
        <f>STATS1003B!G729/1000</f>
        <v>0</v>
      </c>
      <c r="H729" s="85">
        <f>STATS1003B!H729/1000</f>
        <v>400</v>
      </c>
      <c r="I729" s="85">
        <f>STATS1003B!I729/1000</f>
        <v>0</v>
      </c>
      <c r="J729" s="85">
        <f>STATS1003B!J729/1000</f>
        <v>400</v>
      </c>
      <c r="K729" s="85">
        <f>STATS1003B!K729/1000</f>
        <v>0</v>
      </c>
      <c r="L729" s="85">
        <f>STATS1003B!L729/1000</f>
        <v>0</v>
      </c>
      <c r="M729" s="85">
        <f>STATS1003B!M729/1000</f>
        <v>400</v>
      </c>
      <c r="N729" s="85">
        <f>STATS1003B!N729/1000</f>
        <v>0</v>
      </c>
      <c r="O729" s="85">
        <f>STATS1003B!O729/1000</f>
        <v>0</v>
      </c>
      <c r="P729" s="85">
        <f>STATS1003B!P729/1000</f>
        <v>0</v>
      </c>
      <c r="Q729" s="85">
        <f>STATS1003B!Q729/1000</f>
        <v>400</v>
      </c>
      <c r="R729" s="85">
        <f>STATS1003B!R729/1000</f>
        <v>0</v>
      </c>
      <c r="S729" s="85">
        <f>STATS1003B!S729/1000</f>
        <v>0</v>
      </c>
      <c r="T729" s="85">
        <f>STATS1003B!T729/1000</f>
        <v>0</v>
      </c>
      <c r="U729" s="85">
        <f>STATS1003B!U729/1000</f>
        <v>0</v>
      </c>
      <c r="V729" s="85">
        <f>STATS1003B!V729/1000</f>
        <v>400</v>
      </c>
      <c r="W729" s="85">
        <f>STATS1003B!W729/1000</f>
        <v>0</v>
      </c>
      <c r="X729" s="85">
        <f t="shared" si="92"/>
        <v>400</v>
      </c>
      <c r="Y729" s="85">
        <f>STATS1003B!Y729/1000</f>
        <v>0</v>
      </c>
      <c r="Z729" s="85">
        <f t="shared" si="95"/>
        <v>0</v>
      </c>
      <c r="AA729" s="69">
        <f>STATS1003B!AA729/1000</f>
        <v>400</v>
      </c>
      <c r="AB729" s="69">
        <f>STATS1003B!AB729/1000</f>
        <v>0</v>
      </c>
    </row>
    <row r="730" spans="1:28" hidden="1" x14ac:dyDescent="0.3">
      <c r="A730" s="117"/>
      <c r="C730" s="68" t="s">
        <v>535</v>
      </c>
      <c r="D730" s="145" t="s">
        <v>88</v>
      </c>
      <c r="E730" s="85">
        <f>STATS1003B!E730/1000</f>
        <v>1400</v>
      </c>
      <c r="F730" s="85">
        <f>STATS1003B!F730/1000</f>
        <v>1400</v>
      </c>
      <c r="G730" s="85">
        <f>STATS1003B!G730/1000</f>
        <v>0</v>
      </c>
      <c r="H730" s="85">
        <f>STATS1003B!H730/1000</f>
        <v>1400</v>
      </c>
      <c r="I730" s="85">
        <f>STATS1003B!I730/1000</f>
        <v>0</v>
      </c>
      <c r="J730" s="85">
        <f>STATS1003B!J730/1000</f>
        <v>1400</v>
      </c>
      <c r="K730" s="85">
        <f>STATS1003B!K730/1000</f>
        <v>0</v>
      </c>
      <c r="L730" s="85">
        <f>STATS1003B!L730/1000</f>
        <v>0</v>
      </c>
      <c r="M730" s="85">
        <f>STATS1003B!M730/1000</f>
        <v>1400</v>
      </c>
      <c r="N730" s="85">
        <f>STATS1003B!N730/1000</f>
        <v>0</v>
      </c>
      <c r="O730" s="85">
        <f>STATS1003B!O730/1000</f>
        <v>0</v>
      </c>
      <c r="P730" s="85">
        <f>STATS1003B!P730/1000</f>
        <v>0</v>
      </c>
      <c r="Q730" s="85">
        <f>STATS1003B!Q730/1000</f>
        <v>1400</v>
      </c>
      <c r="R730" s="85">
        <f>STATS1003B!R730/1000</f>
        <v>0</v>
      </c>
      <c r="S730" s="85">
        <f>STATS1003B!S730/1000</f>
        <v>0</v>
      </c>
      <c r="T730" s="85">
        <f>STATS1003B!T730/1000</f>
        <v>0</v>
      </c>
      <c r="U730" s="85">
        <f>STATS1003B!U730/1000</f>
        <v>0</v>
      </c>
      <c r="V730" s="85">
        <f>STATS1003B!V730/1000</f>
        <v>1400</v>
      </c>
      <c r="W730" s="85">
        <f>STATS1003B!W730/1000</f>
        <v>0</v>
      </c>
      <c r="X730" s="85">
        <f t="shared" si="92"/>
        <v>1400</v>
      </c>
      <c r="Y730" s="85">
        <f>STATS1003B!Y730/1000</f>
        <v>0</v>
      </c>
      <c r="Z730" s="85">
        <f t="shared" si="95"/>
        <v>0</v>
      </c>
      <c r="AA730" s="69">
        <f>STATS1003B!AA730/1000</f>
        <v>1400</v>
      </c>
      <c r="AB730" s="69">
        <f>STATS1003B!AB730/1000</f>
        <v>0</v>
      </c>
    </row>
    <row r="731" spans="1:28" hidden="1" x14ac:dyDescent="0.3">
      <c r="A731" s="117"/>
      <c r="C731" s="68" t="s">
        <v>535</v>
      </c>
      <c r="D731" s="145" t="s">
        <v>58</v>
      </c>
      <c r="E731" s="85">
        <f>STATS1003B!E731/1000</f>
        <v>3662.0233399999997</v>
      </c>
      <c r="F731" s="85">
        <f>STATS1003B!F731/1000</f>
        <v>2410.0120000000002</v>
      </c>
      <c r="G731" s="85">
        <f>STATS1003B!G731/1000</f>
        <v>0</v>
      </c>
      <c r="H731" s="85">
        <f>STATS1003B!H731/1000</f>
        <v>2410.0120000000002</v>
      </c>
      <c r="I731" s="85">
        <f>STATS1003B!I731/1000</f>
        <v>1252.0233399999995</v>
      </c>
      <c r="J731" s="85">
        <f>STATS1003B!J731/1000</f>
        <v>3662.0353399999999</v>
      </c>
      <c r="K731" s="85">
        <f>STATS1003B!K731/1000</f>
        <v>0</v>
      </c>
      <c r="L731" s="85">
        <f>STATS1003B!L731/1000</f>
        <v>1252.0233400000002</v>
      </c>
      <c r="M731" s="85">
        <f>STATS1003B!M731/1000</f>
        <v>3662.0353399999999</v>
      </c>
      <c r="N731" s="85">
        <f>STATS1003B!N731/1000</f>
        <v>0</v>
      </c>
      <c r="O731" s="85">
        <f>STATS1003B!O731/1000</f>
        <v>0</v>
      </c>
      <c r="P731" s="85">
        <f>STATS1003B!P731/1000</f>
        <v>0</v>
      </c>
      <c r="Q731" s="85">
        <f>STATS1003B!Q731/1000</f>
        <v>3662.0233399999997</v>
      </c>
      <c r="R731" s="85">
        <f>STATS1003B!R731/1000</f>
        <v>0</v>
      </c>
      <c r="S731" s="85">
        <f>STATS1003B!S731/1000</f>
        <v>0</v>
      </c>
      <c r="T731" s="85">
        <f>STATS1003B!T731/1000</f>
        <v>0</v>
      </c>
      <c r="U731" s="85">
        <f>STATS1003B!U731/1000</f>
        <v>0</v>
      </c>
      <c r="V731" s="85">
        <f>STATS1003B!V731/1000</f>
        <v>2410.0120000000002</v>
      </c>
      <c r="W731" s="85">
        <f>STATS1003B!W731/1000</f>
        <v>1252.0113399999998</v>
      </c>
      <c r="X731" s="85">
        <f t="shared" si="92"/>
        <v>2410.0120000000002</v>
      </c>
      <c r="Y731" s="85">
        <f>STATS1003B!Y731/1000</f>
        <v>0</v>
      </c>
      <c r="Z731" s="85">
        <f t="shared" si="95"/>
        <v>1252.0113399999996</v>
      </c>
      <c r="AA731" s="69">
        <f>STATS1003B!AA731/1000</f>
        <v>3662.0353399999999</v>
      </c>
      <c r="AB731" s="69">
        <f>STATS1003B!AB731/1000</f>
        <v>-1.2E-2</v>
      </c>
    </row>
    <row r="732" spans="1:28" hidden="1" x14ac:dyDescent="0.3">
      <c r="A732" s="117"/>
      <c r="C732" s="68" t="s">
        <v>535</v>
      </c>
      <c r="D732" s="145" t="s">
        <v>60</v>
      </c>
      <c r="E732" s="85">
        <f>STATS1003B!E732/1000</f>
        <v>2888.8294799999999</v>
      </c>
      <c r="F732" s="85">
        <f>STATS1003B!F732/1000</f>
        <v>2888.8294799999999</v>
      </c>
      <c r="G732" s="85">
        <f>STATS1003B!G732/1000</f>
        <v>0</v>
      </c>
      <c r="H732" s="85">
        <f>STATS1003B!H732/1000</f>
        <v>2888.8294799999999</v>
      </c>
      <c r="I732" s="85">
        <f>STATS1003B!I732/1000</f>
        <v>0</v>
      </c>
      <c r="J732" s="85">
        <f>STATS1003B!J732/1000</f>
        <v>2888.8294799999999</v>
      </c>
      <c r="K732" s="85">
        <f>STATS1003B!K732/1000</f>
        <v>0</v>
      </c>
      <c r="L732" s="85">
        <f>STATS1003B!L732/1000</f>
        <v>0</v>
      </c>
      <c r="M732" s="85">
        <f>STATS1003B!M732/1000</f>
        <v>2888.8294799999999</v>
      </c>
      <c r="N732" s="85">
        <f>STATS1003B!N732/1000</f>
        <v>0</v>
      </c>
      <c r="O732" s="85">
        <f>STATS1003B!O732/1000</f>
        <v>0</v>
      </c>
      <c r="P732" s="85">
        <f>STATS1003B!P732/1000</f>
        <v>0</v>
      </c>
      <c r="Q732" s="85">
        <f>STATS1003B!Q732/1000</f>
        <v>2888.8294799999999</v>
      </c>
      <c r="R732" s="85">
        <f>STATS1003B!R732/1000</f>
        <v>0</v>
      </c>
      <c r="S732" s="85">
        <f>STATS1003B!S732/1000</f>
        <v>0</v>
      </c>
      <c r="T732" s="85">
        <f>STATS1003B!T732/1000</f>
        <v>0</v>
      </c>
      <c r="U732" s="85">
        <f>STATS1003B!U732/1000</f>
        <v>0</v>
      </c>
      <c r="V732" s="85">
        <f>STATS1003B!V732/1000</f>
        <v>2888.8294799999999</v>
      </c>
      <c r="W732" s="85">
        <f>STATS1003B!W732/1000</f>
        <v>0</v>
      </c>
      <c r="X732" s="85">
        <f t="shared" si="92"/>
        <v>2888.8294799999999</v>
      </c>
      <c r="Y732" s="85">
        <f>STATS1003B!Y732/1000</f>
        <v>0</v>
      </c>
      <c r="Z732" s="85">
        <f t="shared" si="95"/>
        <v>0</v>
      </c>
      <c r="AA732" s="69">
        <f>STATS1003B!AA732/1000</f>
        <v>2888.8294799999999</v>
      </c>
      <c r="AB732" s="69">
        <f>STATS1003B!AB732/1000</f>
        <v>0</v>
      </c>
    </row>
    <row r="733" spans="1:28" hidden="1" x14ac:dyDescent="0.3">
      <c r="A733" s="117"/>
      <c r="C733" s="68" t="s">
        <v>535</v>
      </c>
      <c r="D733" s="145" t="s">
        <v>73</v>
      </c>
      <c r="E733" s="85">
        <f>STATS1003B!E733/1000</f>
        <v>2212.0390000000002</v>
      </c>
      <c r="F733" s="85">
        <f>STATS1003B!F733/1000</f>
        <v>2212.0390000000002</v>
      </c>
      <c r="G733" s="85">
        <f>STATS1003B!G733/1000</f>
        <v>0</v>
      </c>
      <c r="H733" s="85">
        <f>STATS1003B!H733/1000</f>
        <v>2212.0390000000002</v>
      </c>
      <c r="I733" s="85">
        <f>STATS1003B!I733/1000</f>
        <v>0</v>
      </c>
      <c r="J733" s="85">
        <f>STATS1003B!J733/1000</f>
        <v>2212.0390000000002</v>
      </c>
      <c r="K733" s="85">
        <f>STATS1003B!K733/1000</f>
        <v>0</v>
      </c>
      <c r="L733" s="85">
        <f>STATS1003B!L733/1000</f>
        <v>0</v>
      </c>
      <c r="M733" s="85">
        <f>STATS1003B!M733/1000</f>
        <v>2212.0390000000002</v>
      </c>
      <c r="N733" s="85">
        <f>STATS1003B!N733/1000</f>
        <v>0</v>
      </c>
      <c r="O733" s="85">
        <f>STATS1003B!O733/1000</f>
        <v>0</v>
      </c>
      <c r="P733" s="85">
        <f>STATS1003B!P733/1000</f>
        <v>0</v>
      </c>
      <c r="Q733" s="85">
        <f>STATS1003B!Q733/1000</f>
        <v>2212.0390000000002</v>
      </c>
      <c r="R733" s="85">
        <f>STATS1003B!R733/1000</f>
        <v>0</v>
      </c>
      <c r="S733" s="85">
        <f>STATS1003B!S733/1000</f>
        <v>0</v>
      </c>
      <c r="T733" s="85">
        <f>STATS1003B!T733/1000</f>
        <v>0</v>
      </c>
      <c r="U733" s="85">
        <f>STATS1003B!U733/1000</f>
        <v>0</v>
      </c>
      <c r="V733" s="85">
        <f>STATS1003B!V733/1000</f>
        <v>2212.0390000000002</v>
      </c>
      <c r="W733" s="85">
        <f>STATS1003B!W733/1000</f>
        <v>0</v>
      </c>
      <c r="X733" s="85">
        <f t="shared" si="92"/>
        <v>2212.0390000000002</v>
      </c>
      <c r="Y733" s="85">
        <f>STATS1003B!Y733/1000</f>
        <v>0</v>
      </c>
      <c r="Z733" s="85">
        <f t="shared" si="95"/>
        <v>0</v>
      </c>
      <c r="AA733" s="69">
        <f>STATS1003B!AA733/1000</f>
        <v>2212.0390000000002</v>
      </c>
      <c r="AB733" s="69">
        <f>STATS1003B!AB733/1000</f>
        <v>0</v>
      </c>
    </row>
    <row r="734" spans="1:28" hidden="1" x14ac:dyDescent="0.3">
      <c r="A734" s="117"/>
      <c r="B734" s="71" t="s">
        <v>620</v>
      </c>
      <c r="C734" s="68" t="s">
        <v>535</v>
      </c>
      <c r="D734" s="145" t="s">
        <v>61</v>
      </c>
      <c r="E734" s="85">
        <f>STATS1003B!E734/1000</f>
        <v>1055.2968999999998</v>
      </c>
      <c r="F734" s="85">
        <f>STATS1003B!F734/1000</f>
        <v>1055.2968999999998</v>
      </c>
      <c r="G734" s="85">
        <f>STATS1003B!G734/1000</f>
        <v>0</v>
      </c>
      <c r="H734" s="85">
        <f>STATS1003B!H734/1000</f>
        <v>1055.2968999999998</v>
      </c>
      <c r="I734" s="85">
        <f>STATS1003B!I734/1000</f>
        <v>0</v>
      </c>
      <c r="J734" s="85">
        <f>STATS1003B!J734/1000</f>
        <v>1055.2968999999998</v>
      </c>
      <c r="K734" s="85">
        <f>STATS1003B!K734/1000</f>
        <v>0</v>
      </c>
      <c r="L734" s="85">
        <f>STATS1003B!L734/1000</f>
        <v>0</v>
      </c>
      <c r="M734" s="85">
        <f>STATS1003B!M734/1000</f>
        <v>1055.2968999999998</v>
      </c>
      <c r="N734" s="85">
        <f>STATS1003B!N734/1000</f>
        <v>0</v>
      </c>
      <c r="O734" s="85">
        <f>STATS1003B!O734/1000</f>
        <v>0</v>
      </c>
      <c r="P734" s="85">
        <f>STATS1003B!P734/1000</f>
        <v>0</v>
      </c>
      <c r="Q734" s="85">
        <f>STATS1003B!Q734/1000</f>
        <v>1055.2968999999998</v>
      </c>
      <c r="R734" s="85">
        <f>STATS1003B!R734/1000</f>
        <v>0</v>
      </c>
      <c r="S734" s="85">
        <f>STATS1003B!S734/1000</f>
        <v>0</v>
      </c>
      <c r="T734" s="85">
        <f>STATS1003B!T734/1000</f>
        <v>0</v>
      </c>
      <c r="U734" s="85">
        <f>STATS1003B!U734/1000</f>
        <v>0</v>
      </c>
      <c r="V734" s="85">
        <f>STATS1003B!V734/1000</f>
        <v>1055.2968999999998</v>
      </c>
      <c r="W734" s="85">
        <f>STATS1003B!W734/1000</f>
        <v>0</v>
      </c>
      <c r="X734" s="85">
        <f t="shared" si="92"/>
        <v>1055.2968999999998</v>
      </c>
      <c r="Y734" s="85">
        <f>STATS1003B!Y734/1000</f>
        <v>0</v>
      </c>
      <c r="Z734" s="85">
        <f t="shared" si="95"/>
        <v>0</v>
      </c>
      <c r="AA734" s="69">
        <f>STATS1003B!AA734/1000</f>
        <v>1055.2968999999998</v>
      </c>
      <c r="AB734" s="69">
        <f>STATS1003B!AB734/1000</f>
        <v>0</v>
      </c>
    </row>
    <row r="735" spans="1:28" hidden="1" x14ac:dyDescent="0.3">
      <c r="A735" s="117"/>
      <c r="C735" s="68" t="s">
        <v>621</v>
      </c>
      <c r="D735" s="145" t="s">
        <v>61</v>
      </c>
      <c r="E735" s="85">
        <f>STATS1003B!E735/1000</f>
        <v>1792.5467599999997</v>
      </c>
      <c r="F735" s="85">
        <f>STATS1003B!F735/1000</f>
        <v>1722.9116799999999</v>
      </c>
      <c r="G735" s="85">
        <f>STATS1003B!G735/1000</f>
        <v>0</v>
      </c>
      <c r="H735" s="85">
        <f>STATS1003B!H735/1000</f>
        <v>1722.9116799999999</v>
      </c>
      <c r="I735" s="85">
        <f>STATS1003B!I735/1000</f>
        <v>0</v>
      </c>
      <c r="J735" s="85">
        <f>STATS1003B!J735/1000</f>
        <v>1722.9116799999999</v>
      </c>
      <c r="K735" s="85">
        <f>STATS1003B!K735/1000</f>
        <v>69.635080000000002</v>
      </c>
      <c r="L735" s="85">
        <f>STATS1003B!L735/1000</f>
        <v>0</v>
      </c>
      <c r="M735" s="85">
        <f>STATS1003B!M735/1000</f>
        <v>1722.9116799999999</v>
      </c>
      <c r="N735" s="85">
        <f>STATS1003B!N735/1000</f>
        <v>69.635080000000002</v>
      </c>
      <c r="O735" s="85">
        <f>STATS1003B!O735/1000</f>
        <v>0</v>
      </c>
      <c r="P735" s="85">
        <f>STATS1003B!P735/1000</f>
        <v>69.635080000000002</v>
      </c>
      <c r="Q735" s="85">
        <f>STATS1003B!Q735/1000</f>
        <v>1722.9116799999997</v>
      </c>
      <c r="R735" s="85">
        <f>STATS1003B!R735/1000</f>
        <v>0</v>
      </c>
      <c r="S735" s="85">
        <f>STATS1003B!S735/1000</f>
        <v>0</v>
      </c>
      <c r="T735" s="85">
        <f>STATS1003B!T735/1000</f>
        <v>0</v>
      </c>
      <c r="U735" s="85">
        <f>STATS1003B!U735/1000</f>
        <v>69.635080000000002</v>
      </c>
      <c r="V735" s="85">
        <f>STATS1003B!V735/1000</f>
        <v>1792.5467599999999</v>
      </c>
      <c r="W735" s="85">
        <f>STATS1003B!W735/1000</f>
        <v>0</v>
      </c>
      <c r="X735" s="85">
        <f t="shared" si="92"/>
        <v>1792.5467599999999</v>
      </c>
      <c r="Y735" s="85">
        <f>STATS1003B!Y735/1000</f>
        <v>0</v>
      </c>
      <c r="Z735" s="85">
        <f t="shared" si="95"/>
        <v>0</v>
      </c>
      <c r="AA735" s="69">
        <f>STATS1003B!AA735/1000</f>
        <v>1792.5467599999999</v>
      </c>
      <c r="AB735" s="69">
        <f>STATS1003B!AB735/1000</f>
        <v>0</v>
      </c>
    </row>
    <row r="736" spans="1:28" hidden="1" x14ac:dyDescent="0.3">
      <c r="A736" s="117"/>
      <c r="C736" s="68" t="s">
        <v>1103</v>
      </c>
      <c r="D736" s="90" t="s">
        <v>1072</v>
      </c>
      <c r="E736" s="85">
        <f>STATS1003B!E736/1000</f>
        <v>300</v>
      </c>
      <c r="F736" s="85">
        <f>STATS1003B!F736/1000</f>
        <v>300</v>
      </c>
      <c r="G736" s="85">
        <f>STATS1003B!G736/1000</f>
        <v>0</v>
      </c>
      <c r="H736" s="85">
        <f>STATS1003B!H736/1000</f>
        <v>300</v>
      </c>
      <c r="I736" s="85">
        <f>STATS1003B!I736/1000</f>
        <v>0</v>
      </c>
      <c r="J736" s="85">
        <f>STATS1003B!J736/1000</f>
        <v>300</v>
      </c>
      <c r="K736" s="85">
        <f>STATS1003B!K736/1000</f>
        <v>0</v>
      </c>
      <c r="L736" s="85">
        <f>STATS1003B!L736/1000</f>
        <v>0</v>
      </c>
      <c r="M736" s="85">
        <f>STATS1003B!M736/1000</f>
        <v>300</v>
      </c>
      <c r="N736" s="85">
        <f>STATS1003B!N736/1000</f>
        <v>0</v>
      </c>
      <c r="O736" s="85">
        <f>STATS1003B!O736/1000</f>
        <v>0</v>
      </c>
      <c r="P736" s="85">
        <f>STATS1003B!P736/1000</f>
        <v>0</v>
      </c>
      <c r="Q736" s="85">
        <f>STATS1003B!Q736/1000</f>
        <v>0</v>
      </c>
      <c r="R736" s="85">
        <f>STATS1003B!R736/1000</f>
        <v>0</v>
      </c>
      <c r="S736" s="85">
        <f>STATS1003B!S736/1000</f>
        <v>0</v>
      </c>
      <c r="T736" s="85">
        <f>STATS1003B!T736/1000</f>
        <v>0</v>
      </c>
      <c r="U736" s="85">
        <f>STATS1003B!U736/1000</f>
        <v>0</v>
      </c>
      <c r="V736" s="85">
        <f>STATS1003B!V736/1000</f>
        <v>300</v>
      </c>
      <c r="W736" s="85">
        <f>STATS1003B!W736/1000</f>
        <v>0</v>
      </c>
      <c r="X736" s="85">
        <f t="shared" si="92"/>
        <v>300</v>
      </c>
      <c r="Y736" s="85">
        <f>STATS1003B!Y736/1000</f>
        <v>0</v>
      </c>
      <c r="Z736" s="85">
        <f t="shared" si="95"/>
        <v>0</v>
      </c>
      <c r="AA736" s="69">
        <f>STATS1003B!AA736/1000</f>
        <v>300</v>
      </c>
      <c r="AB736" s="69">
        <f>STATS1003B!AB736/1000</f>
        <v>0</v>
      </c>
    </row>
    <row r="737" spans="1:28" hidden="1" x14ac:dyDescent="0.3">
      <c r="A737" s="117"/>
      <c r="C737" s="68" t="s">
        <v>1145</v>
      </c>
      <c r="D737" s="90" t="s">
        <v>1126</v>
      </c>
      <c r="E737" s="85">
        <f>STATS1003B!E737/1000</f>
        <v>300</v>
      </c>
      <c r="F737" s="85">
        <f>STATS1003B!F737/1000</f>
        <v>300</v>
      </c>
      <c r="G737" s="85">
        <f>STATS1003B!G737/1000</f>
        <v>0</v>
      </c>
      <c r="H737" s="85">
        <f>STATS1003B!H737/1000</f>
        <v>300</v>
      </c>
      <c r="I737" s="85">
        <f>STATS1003B!I737/1000</f>
        <v>0</v>
      </c>
      <c r="J737" s="85">
        <f>STATS1003B!J737/1000</f>
        <v>300</v>
      </c>
      <c r="K737" s="85">
        <f>STATS1003B!K737/1000</f>
        <v>0</v>
      </c>
      <c r="L737" s="85">
        <f>STATS1003B!L737/1000</f>
        <v>0</v>
      </c>
      <c r="M737" s="85">
        <f>STATS1003B!M737/1000</f>
        <v>300</v>
      </c>
      <c r="N737" s="85">
        <f>STATS1003B!N737/1000</f>
        <v>0</v>
      </c>
      <c r="O737" s="85">
        <f>STATS1003B!O737/1000</f>
        <v>0</v>
      </c>
      <c r="P737" s="85">
        <f>STATS1003B!P737/1000</f>
        <v>0</v>
      </c>
      <c r="Q737" s="85">
        <f>STATS1003B!Q737/1000</f>
        <v>0</v>
      </c>
      <c r="R737" s="85">
        <f>STATS1003B!R737/1000</f>
        <v>0</v>
      </c>
      <c r="S737" s="85">
        <f>STATS1003B!S737/1000</f>
        <v>0</v>
      </c>
      <c r="T737" s="85">
        <f>STATS1003B!T737/1000</f>
        <v>0</v>
      </c>
      <c r="U737" s="85">
        <f>STATS1003B!U737/1000</f>
        <v>0</v>
      </c>
      <c r="V737" s="85">
        <f>STATS1003B!V737/1000</f>
        <v>300</v>
      </c>
      <c r="W737" s="85">
        <f>STATS1003B!W737/1000</f>
        <v>0</v>
      </c>
      <c r="X737" s="85">
        <f t="shared" si="92"/>
        <v>300</v>
      </c>
      <c r="Y737" s="85">
        <f>STATS1003B!Y737/1000</f>
        <v>0</v>
      </c>
      <c r="Z737" s="85">
        <f t="shared" si="95"/>
        <v>0</v>
      </c>
      <c r="AA737" s="69">
        <f>STATS1003B!AA737/1000</f>
        <v>300</v>
      </c>
      <c r="AB737" s="69">
        <f>STATS1003B!AB737/1000</f>
        <v>0</v>
      </c>
    </row>
    <row r="738" spans="1:28" hidden="1" x14ac:dyDescent="0.3">
      <c r="A738" s="117"/>
      <c r="C738" s="68" t="s">
        <v>933</v>
      </c>
      <c r="D738" s="90" t="s">
        <v>1072</v>
      </c>
      <c r="E738" s="85">
        <f>STATS1003B!E738/1000</f>
        <v>212</v>
      </c>
      <c r="F738" s="85">
        <f>STATS1003B!F738/1000</f>
        <v>212</v>
      </c>
      <c r="G738" s="85">
        <f>STATS1003B!G738/1000</f>
        <v>0</v>
      </c>
      <c r="H738" s="85">
        <f>STATS1003B!H738/1000</f>
        <v>212</v>
      </c>
      <c r="I738" s="85">
        <f>STATS1003B!I738/1000</f>
        <v>0</v>
      </c>
      <c r="J738" s="85">
        <f>STATS1003B!J738/1000</f>
        <v>0</v>
      </c>
      <c r="K738" s="85">
        <f>STATS1003B!K738/1000</f>
        <v>0</v>
      </c>
      <c r="L738" s="85">
        <f>STATS1003B!L738/1000</f>
        <v>0</v>
      </c>
      <c r="M738" s="85">
        <f>STATS1003B!M738/1000</f>
        <v>212</v>
      </c>
      <c r="N738" s="85">
        <f>STATS1003B!N738/1000</f>
        <v>0</v>
      </c>
      <c r="O738" s="85">
        <f>STATS1003B!O738/1000</f>
        <v>0</v>
      </c>
      <c r="P738" s="85">
        <f>STATS1003B!P738/1000</f>
        <v>0</v>
      </c>
      <c r="Q738" s="85">
        <f>STATS1003B!Q738/1000</f>
        <v>0</v>
      </c>
      <c r="R738" s="85">
        <f>STATS1003B!R738/1000</f>
        <v>0</v>
      </c>
      <c r="S738" s="85">
        <f>STATS1003B!S738/1000</f>
        <v>0</v>
      </c>
      <c r="T738" s="85">
        <f>STATS1003B!T738/1000</f>
        <v>0</v>
      </c>
      <c r="U738" s="85">
        <f>STATS1003B!U738/1000</f>
        <v>0</v>
      </c>
      <c r="V738" s="85">
        <f>STATS1003B!V738/1000</f>
        <v>212</v>
      </c>
      <c r="W738" s="85">
        <f>STATS1003B!W738/1000</f>
        <v>0</v>
      </c>
      <c r="X738" s="85">
        <f t="shared" si="92"/>
        <v>212</v>
      </c>
      <c r="Y738" s="85">
        <f>STATS1003B!Y738/1000</f>
        <v>0</v>
      </c>
      <c r="Z738" s="85">
        <f t="shared" si="95"/>
        <v>0</v>
      </c>
      <c r="AA738" s="69">
        <f>STATS1003B!AA738/1000</f>
        <v>212</v>
      </c>
      <c r="AB738" s="69">
        <f>STATS1003B!AB738/1000</f>
        <v>0</v>
      </c>
    </row>
    <row r="739" spans="1:28" hidden="1" x14ac:dyDescent="0.3">
      <c r="A739" s="117"/>
      <c r="C739" s="68" t="s">
        <v>622</v>
      </c>
      <c r="E739" s="85">
        <f>STATS1003B!E739/1000</f>
        <v>3829.9040499999996</v>
      </c>
      <c r="F739" s="85">
        <f>STATS1003B!F739/1000</f>
        <v>3791.8706499999998</v>
      </c>
      <c r="G739" s="85">
        <f>STATS1003B!G739/1000</f>
        <v>0</v>
      </c>
      <c r="H739" s="85">
        <f>STATS1003B!H739/1000</f>
        <v>3791.8706499999998</v>
      </c>
      <c r="I739" s="85">
        <f>STATS1003B!I739/1000</f>
        <v>0</v>
      </c>
      <c r="J739" s="85">
        <f>STATS1003B!J739/1000</f>
        <v>3791.8706499999998</v>
      </c>
      <c r="K739" s="85">
        <f>STATS1003B!K739/1000</f>
        <v>38.0334</v>
      </c>
      <c r="L739" s="85">
        <f>STATS1003B!L739/1000</f>
        <v>0</v>
      </c>
      <c r="M739" s="85">
        <f>STATS1003B!M739/1000</f>
        <v>3791.8706499999998</v>
      </c>
      <c r="N739" s="85">
        <f>STATS1003B!N739/1000</f>
        <v>38.0334</v>
      </c>
      <c r="O739" s="85">
        <f>STATS1003B!O739/1000</f>
        <v>0</v>
      </c>
      <c r="P739" s="85">
        <f>STATS1003B!P739/1000</f>
        <v>38.0334</v>
      </c>
      <c r="Q739" s="85">
        <f>STATS1003B!Q739/1000</f>
        <v>3791.8706499999998</v>
      </c>
      <c r="R739" s="85">
        <f>STATS1003B!R739/1000</f>
        <v>0</v>
      </c>
      <c r="S739" s="85">
        <f>STATS1003B!S739/1000</f>
        <v>0</v>
      </c>
      <c r="T739" s="85">
        <f>STATS1003B!T739/1000</f>
        <v>0</v>
      </c>
      <c r="U739" s="85">
        <f>STATS1003B!U739/1000</f>
        <v>38.0334</v>
      </c>
      <c r="V739" s="85">
        <f>STATS1003B!V739/1000</f>
        <v>3829.9040499999996</v>
      </c>
      <c r="W739" s="85">
        <f>STATS1003B!W739/1000</f>
        <v>0</v>
      </c>
      <c r="X739" s="85">
        <f t="shared" si="92"/>
        <v>3829.9040499999996</v>
      </c>
      <c r="Y739" s="85">
        <f>STATS1003B!Y739/1000</f>
        <v>0</v>
      </c>
      <c r="Z739" s="85">
        <f t="shared" si="95"/>
        <v>0</v>
      </c>
      <c r="AA739" s="69">
        <f>STATS1003B!AA739/1000</f>
        <v>3829.9040499999996</v>
      </c>
      <c r="AB739" s="69">
        <f>STATS1003B!AB739/1000</f>
        <v>0</v>
      </c>
    </row>
    <row r="740" spans="1:28" hidden="1" x14ac:dyDescent="0.3">
      <c r="A740" s="117"/>
      <c r="C740" s="68" t="s">
        <v>623</v>
      </c>
      <c r="E740" s="85">
        <f>STATS1003B!E740/1000</f>
        <v>452.86399999999998</v>
      </c>
      <c r="F740" s="85">
        <f>STATS1003B!F740/1000</f>
        <v>452.86399999999998</v>
      </c>
      <c r="G740" s="85">
        <f>STATS1003B!G740/1000</f>
        <v>0</v>
      </c>
      <c r="H740" s="85">
        <f>STATS1003B!H740/1000</f>
        <v>452.86399999999998</v>
      </c>
      <c r="I740" s="85">
        <f>STATS1003B!I740/1000</f>
        <v>0</v>
      </c>
      <c r="J740" s="85">
        <f>STATS1003B!J740/1000</f>
        <v>452.86399999999998</v>
      </c>
      <c r="K740" s="85">
        <f>STATS1003B!K740/1000</f>
        <v>0</v>
      </c>
      <c r="L740" s="85">
        <f>STATS1003B!L740/1000</f>
        <v>0</v>
      </c>
      <c r="M740" s="85">
        <f>STATS1003B!M740/1000</f>
        <v>452.86399999999998</v>
      </c>
      <c r="N740" s="85">
        <f>STATS1003B!N740/1000</f>
        <v>0</v>
      </c>
      <c r="O740" s="85">
        <f>STATS1003B!O740/1000</f>
        <v>0</v>
      </c>
      <c r="P740" s="85">
        <f>STATS1003B!P740/1000</f>
        <v>0</v>
      </c>
      <c r="Q740" s="85">
        <f>STATS1003B!Q740/1000</f>
        <v>452.86399999999998</v>
      </c>
      <c r="R740" s="85">
        <f>STATS1003B!R740/1000</f>
        <v>0</v>
      </c>
      <c r="S740" s="85">
        <f>STATS1003B!S740/1000</f>
        <v>0</v>
      </c>
      <c r="T740" s="85">
        <f>STATS1003B!T740/1000</f>
        <v>0</v>
      </c>
      <c r="U740" s="85">
        <f>STATS1003B!U740/1000</f>
        <v>0</v>
      </c>
      <c r="V740" s="85">
        <f>STATS1003B!V740/1000</f>
        <v>452.86399999999998</v>
      </c>
      <c r="W740" s="85">
        <f>STATS1003B!W740/1000</f>
        <v>0</v>
      </c>
      <c r="X740" s="85">
        <f t="shared" si="92"/>
        <v>452.86399999999998</v>
      </c>
      <c r="Y740" s="85">
        <f>STATS1003B!Y740/1000</f>
        <v>0</v>
      </c>
      <c r="Z740" s="85">
        <f t="shared" si="95"/>
        <v>0</v>
      </c>
      <c r="AA740" s="69">
        <f>STATS1003B!AA740/1000</f>
        <v>452.86399999999998</v>
      </c>
      <c r="AB740" s="69">
        <f>STATS1003B!AB740/1000</f>
        <v>0</v>
      </c>
    </row>
    <row r="741" spans="1:28" hidden="1" x14ac:dyDescent="0.3">
      <c r="A741" s="117"/>
      <c r="C741" s="68" t="s">
        <v>606</v>
      </c>
      <c r="E741" s="85">
        <f>STATS1003B!E741/1000</f>
        <v>2500</v>
      </c>
      <c r="F741" s="85">
        <f>STATS1003B!F741/1000</f>
        <v>2500</v>
      </c>
      <c r="G741" s="85">
        <f>STATS1003B!G741/1000</f>
        <v>0</v>
      </c>
      <c r="H741" s="85">
        <f>STATS1003B!H741/1000</f>
        <v>2500</v>
      </c>
      <c r="I741" s="85">
        <f>STATS1003B!I741/1000</f>
        <v>0</v>
      </c>
      <c r="J741" s="85">
        <f>STATS1003B!J741/1000</f>
        <v>2500</v>
      </c>
      <c r="K741" s="85">
        <f>STATS1003B!K741/1000</f>
        <v>0</v>
      </c>
      <c r="L741" s="85">
        <f>STATS1003B!L741/1000</f>
        <v>0</v>
      </c>
      <c r="M741" s="85">
        <f>STATS1003B!M741/1000</f>
        <v>2500</v>
      </c>
      <c r="N741" s="85">
        <f>STATS1003B!N741/1000</f>
        <v>0</v>
      </c>
      <c r="O741" s="85">
        <f>STATS1003B!O741/1000</f>
        <v>0</v>
      </c>
      <c r="P741" s="85">
        <f>STATS1003B!P741/1000</f>
        <v>0</v>
      </c>
      <c r="Q741" s="85">
        <f>STATS1003B!Q741/1000</f>
        <v>2500</v>
      </c>
      <c r="R741" s="85">
        <f>STATS1003B!R741/1000</f>
        <v>0</v>
      </c>
      <c r="S741" s="85">
        <f>STATS1003B!S741/1000</f>
        <v>0</v>
      </c>
      <c r="T741" s="85">
        <f>STATS1003B!T741/1000</f>
        <v>0</v>
      </c>
      <c r="U741" s="85">
        <f>STATS1003B!U741/1000</f>
        <v>0</v>
      </c>
      <c r="V741" s="85">
        <f>STATS1003B!V741/1000</f>
        <v>2500</v>
      </c>
      <c r="W741" s="85">
        <f>STATS1003B!W741/1000</f>
        <v>0</v>
      </c>
      <c r="X741" s="85">
        <f t="shared" si="92"/>
        <v>2500</v>
      </c>
      <c r="Y741" s="85">
        <f>STATS1003B!Y741/1000</f>
        <v>0</v>
      </c>
      <c r="Z741" s="85">
        <f t="shared" si="95"/>
        <v>0</v>
      </c>
      <c r="AA741" s="69">
        <f>STATS1003B!AA741/1000</f>
        <v>2500</v>
      </c>
      <c r="AB741" s="69">
        <f>STATS1003B!AB741/1000</f>
        <v>0</v>
      </c>
    </row>
    <row r="742" spans="1:28" hidden="1" x14ac:dyDescent="0.3">
      <c r="A742" s="117"/>
      <c r="E742" s="86" t="s">
        <v>29</v>
      </c>
      <c r="F742" s="86" t="s">
        <v>29</v>
      </c>
      <c r="G742" s="86" t="s">
        <v>29</v>
      </c>
      <c r="H742" s="86" t="s">
        <v>29</v>
      </c>
      <c r="I742" s="86" t="s">
        <v>29</v>
      </c>
      <c r="J742" s="86" t="s">
        <v>29</v>
      </c>
      <c r="K742" s="86" t="s">
        <v>29</v>
      </c>
      <c r="L742" s="86" t="s">
        <v>29</v>
      </c>
      <c r="M742" s="86" t="s">
        <v>29</v>
      </c>
      <c r="N742" s="86" t="s">
        <v>29</v>
      </c>
      <c r="O742" s="86" t="s">
        <v>29</v>
      </c>
      <c r="P742" s="86" t="s">
        <v>29</v>
      </c>
      <c r="Q742" s="86" t="s">
        <v>29</v>
      </c>
      <c r="R742" s="86" t="s">
        <v>29</v>
      </c>
      <c r="S742" s="86" t="s">
        <v>29</v>
      </c>
      <c r="T742" s="86" t="s">
        <v>29</v>
      </c>
      <c r="U742" s="86" t="s">
        <v>29</v>
      </c>
      <c r="V742" s="86" t="s">
        <v>29</v>
      </c>
      <c r="W742" s="86" t="s">
        <v>29</v>
      </c>
      <c r="X742" s="85" t="e">
        <f t="shared" si="92"/>
        <v>#VALUE!</v>
      </c>
      <c r="Y742" s="86" t="s">
        <v>29</v>
      </c>
      <c r="Z742" s="85" t="e">
        <f t="shared" si="95"/>
        <v>#VALUE!</v>
      </c>
      <c r="AA742" s="115" t="s">
        <v>29</v>
      </c>
      <c r="AB742" s="115" t="s">
        <v>29</v>
      </c>
    </row>
    <row r="743" spans="1:28" x14ac:dyDescent="0.3">
      <c r="A743" s="116">
        <v>35</v>
      </c>
      <c r="B743" s="68" t="s">
        <v>1278</v>
      </c>
      <c r="E743" s="85">
        <f>90056088.81/1000</f>
        <v>90056.088810000001</v>
      </c>
      <c r="F743" s="85">
        <f t="shared" ref="F743:Q743" si="96">SUM(F717:F742)</f>
        <v>46987.385449999994</v>
      </c>
      <c r="G743" s="85">
        <f t="shared" si="96"/>
        <v>0</v>
      </c>
      <c r="H743" s="85">
        <f>85219277.64/1000</f>
        <v>85219.27764</v>
      </c>
      <c r="I743" s="85">
        <f t="shared" si="96"/>
        <v>1252.0233399999995</v>
      </c>
      <c r="J743" s="85">
        <f t="shared" si="96"/>
        <v>48027.408789999994</v>
      </c>
      <c r="K743" s="85">
        <f t="shared" si="96"/>
        <v>3584.7998300000004</v>
      </c>
      <c r="L743" s="85">
        <f t="shared" si="96"/>
        <v>1252.0233400000002</v>
      </c>
      <c r="M743" s="85">
        <f t="shared" si="96"/>
        <v>48239.408789999994</v>
      </c>
      <c r="N743" s="85">
        <f t="shared" si="96"/>
        <v>3584.7998300000004</v>
      </c>
      <c r="O743" s="85">
        <f t="shared" si="96"/>
        <v>0</v>
      </c>
      <c r="P743" s="85">
        <f>3584799/1000</f>
        <v>3584.799</v>
      </c>
      <c r="Q743" s="85">
        <f t="shared" si="96"/>
        <v>47427.396789999992</v>
      </c>
      <c r="R743" s="86"/>
      <c r="S743" s="86"/>
      <c r="T743" s="85">
        <f t="shared" ref="T743:Y743" si="97">SUM(T717:T742)</f>
        <v>0</v>
      </c>
      <c r="U743" s="85">
        <f t="shared" si="97"/>
        <v>3584.7998300000004</v>
      </c>
      <c r="V743" s="85">
        <f t="shared" si="97"/>
        <v>50572.185279999991</v>
      </c>
      <c r="W743" s="85">
        <f t="shared" si="97"/>
        <v>1252.0113399999998</v>
      </c>
      <c r="X743" s="85">
        <f t="shared" si="92"/>
        <v>88804.076639999999</v>
      </c>
      <c r="Y743" s="85">
        <f t="shared" si="97"/>
        <v>0</v>
      </c>
      <c r="Z743" s="85">
        <f t="shared" si="95"/>
        <v>1252.0121700000018</v>
      </c>
      <c r="AA743" s="69">
        <f>SUM(AA717:AA742)</f>
        <v>51824.20861999999</v>
      </c>
      <c r="AB743" s="69">
        <f>SUM(AB717:AB742)</f>
        <v>-1.2E-2</v>
      </c>
    </row>
    <row r="744" spans="1:28" hidden="1" x14ac:dyDescent="0.3">
      <c r="A744" s="117"/>
      <c r="E744" s="86" t="s">
        <v>29</v>
      </c>
      <c r="F744" s="86" t="s">
        <v>29</v>
      </c>
      <c r="G744" s="86" t="s">
        <v>29</v>
      </c>
      <c r="H744" s="86" t="s">
        <v>29</v>
      </c>
      <c r="I744" s="86" t="s">
        <v>29</v>
      </c>
      <c r="J744" s="86" t="s">
        <v>29</v>
      </c>
      <c r="K744" s="86" t="s">
        <v>29</v>
      </c>
      <c r="L744" s="86" t="s">
        <v>29</v>
      </c>
      <c r="M744" s="86" t="s">
        <v>29</v>
      </c>
      <c r="N744" s="86" t="s">
        <v>29</v>
      </c>
      <c r="O744" s="86" t="s">
        <v>29</v>
      </c>
      <c r="P744" s="86" t="s">
        <v>29</v>
      </c>
      <c r="Q744" s="86" t="s">
        <v>29</v>
      </c>
      <c r="R744" s="86" t="s">
        <v>29</v>
      </c>
      <c r="S744" s="86" t="s">
        <v>29</v>
      </c>
      <c r="T744" s="86" t="s">
        <v>29</v>
      </c>
      <c r="U744" s="86" t="s">
        <v>29</v>
      </c>
      <c r="V744" s="86" t="s">
        <v>29</v>
      </c>
      <c r="W744" s="86" t="s">
        <v>29</v>
      </c>
      <c r="X744" s="85" t="e">
        <f t="shared" si="92"/>
        <v>#VALUE!</v>
      </c>
      <c r="Y744" s="86" t="s">
        <v>29</v>
      </c>
      <c r="Z744" s="85" t="e">
        <f t="shared" si="95"/>
        <v>#VALUE!</v>
      </c>
      <c r="AA744" s="115" t="s">
        <v>29</v>
      </c>
      <c r="AB744" s="115" t="s">
        <v>29</v>
      </c>
    </row>
    <row r="745" spans="1:28" hidden="1" x14ac:dyDescent="0.3">
      <c r="A745" s="105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6"/>
      <c r="S745" s="86"/>
      <c r="T745" s="86"/>
      <c r="U745" s="86"/>
      <c r="V745" s="86"/>
      <c r="W745" s="86"/>
      <c r="X745" s="85">
        <f t="shared" si="92"/>
        <v>0</v>
      </c>
      <c r="Y745" s="86"/>
      <c r="Z745" s="85">
        <f t="shared" si="95"/>
        <v>0</v>
      </c>
      <c r="AA745" s="118"/>
    </row>
    <row r="746" spans="1:28" hidden="1" x14ac:dyDescent="0.3">
      <c r="A746" s="117"/>
      <c r="C746" s="68" t="s">
        <v>535</v>
      </c>
      <c r="D746" s="145" t="s">
        <v>150</v>
      </c>
      <c r="E746" s="85">
        <f>STATS1003B!E746/1000</f>
        <v>1532.7944299999999</v>
      </c>
      <c r="F746" s="85">
        <f>STATS1003B!F746/1000</f>
        <v>1532.7944299999999</v>
      </c>
      <c r="G746" s="85">
        <f>STATS1003B!G746/1000</f>
        <v>0</v>
      </c>
      <c r="H746" s="85">
        <f>STATS1003B!H746/1000</f>
        <v>1532.7944299999999</v>
      </c>
      <c r="I746" s="85">
        <f>STATS1003B!I746/1000</f>
        <v>0</v>
      </c>
      <c r="J746" s="85">
        <f>STATS1003B!J746/1000</f>
        <v>1532.7944299999999</v>
      </c>
      <c r="K746" s="85">
        <f>STATS1003B!K746/1000</f>
        <v>0</v>
      </c>
      <c r="L746" s="85">
        <f>STATS1003B!L746/1000</f>
        <v>0</v>
      </c>
      <c r="M746" s="85">
        <f>STATS1003B!M746/1000</f>
        <v>1532.7944299999999</v>
      </c>
      <c r="N746" s="85">
        <f>STATS1003B!N746/1000</f>
        <v>0</v>
      </c>
      <c r="O746" s="85">
        <f>STATS1003B!O746/1000</f>
        <v>0</v>
      </c>
      <c r="P746" s="85">
        <f>STATS1003B!P746/1000</f>
        <v>0</v>
      </c>
      <c r="Q746" s="85">
        <f>STATS1003B!Q746/1000</f>
        <v>1532.7944299999999</v>
      </c>
      <c r="R746" s="85">
        <f>STATS1003B!R746/1000</f>
        <v>0</v>
      </c>
      <c r="S746" s="85">
        <f>STATS1003B!S746/1000</f>
        <v>0</v>
      </c>
      <c r="T746" s="85">
        <f>STATS1003B!T746/1000</f>
        <v>0</v>
      </c>
      <c r="U746" s="85">
        <f>STATS1003B!U746/1000</f>
        <v>0</v>
      </c>
      <c r="V746" s="85">
        <f>STATS1003B!V746/1000</f>
        <v>1532.7944299999999</v>
      </c>
      <c r="W746" s="85">
        <f>STATS1003B!W746/1000</f>
        <v>0</v>
      </c>
      <c r="X746" s="85">
        <f t="shared" si="92"/>
        <v>1532.7944299999999</v>
      </c>
      <c r="Y746" s="85">
        <f>STATS1003B!Y746/1000</f>
        <v>0</v>
      </c>
      <c r="Z746" s="85">
        <f t="shared" si="95"/>
        <v>0</v>
      </c>
      <c r="AA746" s="69">
        <f>STATS1003B!AA746/1000</f>
        <v>1532.7944299999999</v>
      </c>
      <c r="AB746" s="69">
        <f>STATS1003B!AB746/1000</f>
        <v>0</v>
      </c>
    </row>
    <row r="747" spans="1:28" hidden="1" x14ac:dyDescent="0.3">
      <c r="A747" s="117"/>
      <c r="C747" s="68" t="s">
        <v>625</v>
      </c>
      <c r="D747" s="145" t="s">
        <v>150</v>
      </c>
      <c r="E747" s="85">
        <f>STATS1003B!E747/1000</f>
        <v>4350</v>
      </c>
      <c r="F747" s="85">
        <f>STATS1003B!F747/1000</f>
        <v>4328.5010000000002</v>
      </c>
      <c r="G747" s="85">
        <f>STATS1003B!G747/1000</f>
        <v>0</v>
      </c>
      <c r="H747" s="85">
        <f>STATS1003B!H747/1000</f>
        <v>4328.5010000000002</v>
      </c>
      <c r="I747" s="85">
        <f>STATS1003B!I747/1000</f>
        <v>0</v>
      </c>
      <c r="J747" s="85">
        <f>STATS1003B!J747/1000</f>
        <v>4328.5010000000002</v>
      </c>
      <c r="K747" s="85">
        <f>STATS1003B!K747/1000</f>
        <v>21.498999999999999</v>
      </c>
      <c r="L747" s="85">
        <f>STATS1003B!L747/1000</f>
        <v>0</v>
      </c>
      <c r="M747" s="85">
        <f>STATS1003B!M747/1000</f>
        <v>4328.5010000000002</v>
      </c>
      <c r="N747" s="85">
        <f>STATS1003B!N747/1000</f>
        <v>21.498999999999999</v>
      </c>
      <c r="O747" s="85">
        <f>STATS1003B!O747/1000</f>
        <v>0</v>
      </c>
      <c r="P747" s="85">
        <f>STATS1003B!P747/1000</f>
        <v>21.498999999999999</v>
      </c>
      <c r="Q747" s="85">
        <f>STATS1003B!Q747/1000</f>
        <v>4328.5010000000002</v>
      </c>
      <c r="R747" s="85">
        <f>STATS1003B!R747/1000</f>
        <v>0</v>
      </c>
      <c r="S747" s="85">
        <f>STATS1003B!S747/1000</f>
        <v>0</v>
      </c>
      <c r="T747" s="85">
        <f>STATS1003B!T747/1000</f>
        <v>0</v>
      </c>
      <c r="U747" s="85">
        <f>STATS1003B!U747/1000</f>
        <v>21.498999999999999</v>
      </c>
      <c r="V747" s="85">
        <f>STATS1003B!V747/1000</f>
        <v>4350</v>
      </c>
      <c r="W747" s="85">
        <f>STATS1003B!W747/1000</f>
        <v>0</v>
      </c>
      <c r="X747" s="85">
        <f t="shared" si="92"/>
        <v>4350</v>
      </c>
      <c r="Y747" s="85">
        <f>STATS1003B!Y747/1000</f>
        <v>0</v>
      </c>
      <c r="Z747" s="85">
        <f t="shared" si="95"/>
        <v>0</v>
      </c>
      <c r="AA747" s="69">
        <f>STATS1003B!AA747/1000</f>
        <v>4350</v>
      </c>
      <c r="AB747" s="69">
        <f>STATS1003B!AB747/1000</f>
        <v>0</v>
      </c>
    </row>
    <row r="748" spans="1:28" hidden="1" x14ac:dyDescent="0.3">
      <c r="A748" s="117"/>
      <c r="C748" s="68" t="s">
        <v>626</v>
      </c>
      <c r="D748" s="145" t="s">
        <v>150</v>
      </c>
      <c r="E748" s="85">
        <f>STATS1003B!E748/1000</f>
        <v>1856.87943</v>
      </c>
      <c r="F748" s="85">
        <f>STATS1003B!F748/1000</f>
        <v>1375.4691200000002</v>
      </c>
      <c r="G748" s="85">
        <f>STATS1003B!G748/1000</f>
        <v>0</v>
      </c>
      <c r="H748" s="85">
        <f>STATS1003B!H748/1000</f>
        <v>1375.4691200000002</v>
      </c>
      <c r="I748" s="85">
        <f>STATS1003B!I748/1000</f>
        <v>0</v>
      </c>
      <c r="J748" s="85">
        <f>STATS1003B!J748/1000</f>
        <v>1375.4691200000002</v>
      </c>
      <c r="K748" s="85">
        <f>STATS1003B!K748/1000</f>
        <v>481.41030999999998</v>
      </c>
      <c r="L748" s="85">
        <f>STATS1003B!L748/1000</f>
        <v>0</v>
      </c>
      <c r="M748" s="85">
        <f>STATS1003B!M748/1000</f>
        <v>1375.4691200000002</v>
      </c>
      <c r="N748" s="85">
        <f>STATS1003B!N748/1000</f>
        <v>481.41030999999998</v>
      </c>
      <c r="O748" s="85">
        <f>STATS1003B!O748/1000</f>
        <v>0</v>
      </c>
      <c r="P748" s="85">
        <f>STATS1003B!P748/1000</f>
        <v>481.41030999999998</v>
      </c>
      <c r="Q748" s="85">
        <f>STATS1003B!Q748/1000</f>
        <v>1375.46912</v>
      </c>
      <c r="R748" s="85">
        <f>STATS1003B!R748/1000</f>
        <v>0</v>
      </c>
      <c r="S748" s="85">
        <f>STATS1003B!S748/1000</f>
        <v>0</v>
      </c>
      <c r="T748" s="85">
        <f>STATS1003B!T748/1000</f>
        <v>0</v>
      </c>
      <c r="U748" s="85">
        <f>STATS1003B!U748/1000</f>
        <v>481.41030999999998</v>
      </c>
      <c r="V748" s="85">
        <f>STATS1003B!V748/1000</f>
        <v>1856.8794300000002</v>
      </c>
      <c r="W748" s="85">
        <f>STATS1003B!W748/1000</f>
        <v>0</v>
      </c>
      <c r="X748" s="85">
        <f t="shared" si="92"/>
        <v>1856.8794300000002</v>
      </c>
      <c r="Y748" s="85">
        <f>STATS1003B!Y748/1000</f>
        <v>0</v>
      </c>
      <c r="Z748" s="85">
        <f t="shared" si="95"/>
        <v>0</v>
      </c>
      <c r="AA748" s="69">
        <f>STATS1003B!AA748/1000</f>
        <v>1856.8794300000002</v>
      </c>
      <c r="AB748" s="69">
        <f>STATS1003B!AB748/1000</f>
        <v>0</v>
      </c>
    </row>
    <row r="749" spans="1:28" hidden="1" x14ac:dyDescent="0.3">
      <c r="A749" s="117"/>
      <c r="C749" s="68" t="s">
        <v>535</v>
      </c>
      <c r="D749" s="145" t="s">
        <v>68</v>
      </c>
      <c r="E749" s="85">
        <f>STATS1003B!E749/1000</f>
        <v>610.48292000000004</v>
      </c>
      <c r="F749" s="85">
        <f>STATS1003B!F749/1000</f>
        <v>0</v>
      </c>
      <c r="G749" s="85">
        <f>STATS1003B!G749/1000</f>
        <v>0</v>
      </c>
      <c r="H749" s="85">
        <f>STATS1003B!H749/1000</f>
        <v>0</v>
      </c>
      <c r="I749" s="85">
        <f>STATS1003B!I749/1000</f>
        <v>0</v>
      </c>
      <c r="J749" s="85">
        <f>STATS1003B!J749/1000</f>
        <v>0</v>
      </c>
      <c r="K749" s="85">
        <f>STATS1003B!K749/1000</f>
        <v>610.48292000000004</v>
      </c>
      <c r="L749" s="85">
        <f>STATS1003B!L749/1000</f>
        <v>0</v>
      </c>
      <c r="M749" s="85">
        <f>STATS1003B!M749/1000</f>
        <v>0</v>
      </c>
      <c r="N749" s="85">
        <f>STATS1003B!N749/1000</f>
        <v>610.48292000000004</v>
      </c>
      <c r="O749" s="85">
        <f>STATS1003B!O749/1000</f>
        <v>0</v>
      </c>
      <c r="P749" s="85">
        <f>STATS1003B!P749/1000</f>
        <v>610.48292000000004</v>
      </c>
      <c r="Q749" s="85">
        <f>STATS1003B!Q749/1000</f>
        <v>0</v>
      </c>
      <c r="R749" s="85">
        <f>STATS1003B!R749/1000</f>
        <v>0</v>
      </c>
      <c r="S749" s="85">
        <f>STATS1003B!S749/1000</f>
        <v>0</v>
      </c>
      <c r="T749" s="85">
        <f>STATS1003B!T749/1000</f>
        <v>0</v>
      </c>
      <c r="U749" s="85">
        <f>STATS1003B!U749/1000</f>
        <v>610.48292000000004</v>
      </c>
      <c r="V749" s="85">
        <f>STATS1003B!V749/1000</f>
        <v>610.48292000000004</v>
      </c>
      <c r="W749" s="85">
        <f>STATS1003B!W749/1000</f>
        <v>0</v>
      </c>
      <c r="X749" s="85">
        <f t="shared" si="92"/>
        <v>610.48292000000004</v>
      </c>
      <c r="Y749" s="85">
        <f>STATS1003B!Y749/1000</f>
        <v>0</v>
      </c>
      <c r="Z749" s="85">
        <f t="shared" si="95"/>
        <v>0</v>
      </c>
      <c r="AA749" s="69">
        <f>STATS1003B!AA749/1000</f>
        <v>610.48292000000004</v>
      </c>
      <c r="AB749" s="69">
        <f>STATS1003B!AB749/1000</f>
        <v>0</v>
      </c>
    </row>
    <row r="750" spans="1:28" hidden="1" x14ac:dyDescent="0.3">
      <c r="A750" s="117"/>
      <c r="C750" s="68" t="s">
        <v>545</v>
      </c>
      <c r="D750" s="145" t="s">
        <v>54</v>
      </c>
      <c r="E750" s="85">
        <f>STATS1003B!E750/1000</f>
        <v>570.94100000000003</v>
      </c>
      <c r="F750" s="85">
        <f>STATS1003B!F750/1000</f>
        <v>0</v>
      </c>
      <c r="G750" s="85">
        <f>STATS1003B!G750/1000</f>
        <v>0</v>
      </c>
      <c r="H750" s="85">
        <f>STATS1003B!H750/1000</f>
        <v>0</v>
      </c>
      <c r="I750" s="85">
        <f>STATS1003B!I750/1000</f>
        <v>0</v>
      </c>
      <c r="J750" s="85">
        <f>STATS1003B!J750/1000</f>
        <v>0</v>
      </c>
      <c r="K750" s="85">
        <f>STATS1003B!K750/1000</f>
        <v>570.94100000000003</v>
      </c>
      <c r="L750" s="85">
        <f>STATS1003B!L750/1000</f>
        <v>0</v>
      </c>
      <c r="M750" s="85">
        <f>STATS1003B!M750/1000</f>
        <v>0</v>
      </c>
      <c r="N750" s="85">
        <f>STATS1003B!N750/1000</f>
        <v>570.94100000000003</v>
      </c>
      <c r="O750" s="85">
        <f>STATS1003B!O750/1000</f>
        <v>0</v>
      </c>
      <c r="P750" s="85">
        <f>STATS1003B!P750/1000</f>
        <v>570.94100000000003</v>
      </c>
      <c r="Q750" s="85">
        <f>STATS1003B!Q750/1000</f>
        <v>0</v>
      </c>
      <c r="R750" s="85">
        <f>STATS1003B!R750/1000</f>
        <v>0</v>
      </c>
      <c r="S750" s="85">
        <f>STATS1003B!S750/1000</f>
        <v>0</v>
      </c>
      <c r="T750" s="85">
        <f>STATS1003B!T750/1000</f>
        <v>0</v>
      </c>
      <c r="U750" s="85">
        <f>STATS1003B!U750/1000</f>
        <v>570.94100000000003</v>
      </c>
      <c r="V750" s="85">
        <f>STATS1003B!V750/1000</f>
        <v>570.94100000000003</v>
      </c>
      <c r="W750" s="85">
        <f>STATS1003B!W750/1000</f>
        <v>0</v>
      </c>
      <c r="X750" s="85">
        <f t="shared" si="92"/>
        <v>570.94100000000003</v>
      </c>
      <c r="Y750" s="85">
        <f>STATS1003B!Y750/1000</f>
        <v>0</v>
      </c>
      <c r="Z750" s="85">
        <f t="shared" si="95"/>
        <v>0</v>
      </c>
      <c r="AA750" s="69">
        <f>STATS1003B!AA750/1000</f>
        <v>570.94100000000003</v>
      </c>
      <c r="AB750" s="69">
        <f>STATS1003B!AB750/1000</f>
        <v>0</v>
      </c>
    </row>
    <row r="751" spans="1:28" hidden="1" x14ac:dyDescent="0.3">
      <c r="A751" s="117"/>
      <c r="C751" s="68" t="s">
        <v>535</v>
      </c>
      <c r="D751" s="145" t="s">
        <v>85</v>
      </c>
      <c r="E751" s="85">
        <f>STATS1003B!E751/1000</f>
        <v>511.904</v>
      </c>
      <c r="F751" s="85">
        <f>STATS1003B!F751/1000</f>
        <v>511.904</v>
      </c>
      <c r="G751" s="85">
        <f>STATS1003B!G751/1000</f>
        <v>0</v>
      </c>
      <c r="H751" s="85">
        <f>STATS1003B!H751/1000</f>
        <v>511.904</v>
      </c>
      <c r="I751" s="85">
        <f>STATS1003B!I751/1000</f>
        <v>0</v>
      </c>
      <c r="J751" s="85">
        <f>STATS1003B!J751/1000</f>
        <v>511.904</v>
      </c>
      <c r="K751" s="85">
        <f>STATS1003B!K751/1000</f>
        <v>0</v>
      </c>
      <c r="L751" s="85">
        <f>STATS1003B!L751/1000</f>
        <v>0</v>
      </c>
      <c r="M751" s="85">
        <f>STATS1003B!M751/1000</f>
        <v>511.904</v>
      </c>
      <c r="N751" s="85">
        <f>STATS1003B!N751/1000</f>
        <v>0</v>
      </c>
      <c r="O751" s="85">
        <f>STATS1003B!O751/1000</f>
        <v>0</v>
      </c>
      <c r="P751" s="85">
        <f>STATS1003B!P751/1000</f>
        <v>0</v>
      </c>
      <c r="Q751" s="85">
        <f>STATS1003B!Q751/1000</f>
        <v>511.904</v>
      </c>
      <c r="R751" s="85">
        <f>STATS1003B!R751/1000</f>
        <v>0</v>
      </c>
      <c r="S751" s="85">
        <f>STATS1003B!S751/1000</f>
        <v>0</v>
      </c>
      <c r="T751" s="85">
        <f>STATS1003B!T751/1000</f>
        <v>0</v>
      </c>
      <c r="U751" s="85">
        <f>STATS1003B!U751/1000</f>
        <v>0</v>
      </c>
      <c r="V751" s="85">
        <f>STATS1003B!V751/1000</f>
        <v>511.904</v>
      </c>
      <c r="W751" s="85">
        <f>STATS1003B!W751/1000</f>
        <v>0</v>
      </c>
      <c r="X751" s="85">
        <f t="shared" si="92"/>
        <v>511.904</v>
      </c>
      <c r="Y751" s="85">
        <f>STATS1003B!Y751/1000</f>
        <v>0</v>
      </c>
      <c r="Z751" s="85">
        <f t="shared" si="95"/>
        <v>0</v>
      </c>
      <c r="AA751" s="69">
        <f>STATS1003B!AA751/1000</f>
        <v>511.904</v>
      </c>
      <c r="AB751" s="69">
        <f>STATS1003B!AB751/1000</f>
        <v>0</v>
      </c>
    </row>
    <row r="752" spans="1:28" hidden="1" x14ac:dyDescent="0.3">
      <c r="A752" s="117"/>
      <c r="C752" s="68" t="s">
        <v>535</v>
      </c>
      <c r="D752" s="88" t="s">
        <v>73</v>
      </c>
      <c r="E752" s="85">
        <f>STATS1003B!E752/1000</f>
        <v>3203.7130000000002</v>
      </c>
      <c r="F752" s="85">
        <f>STATS1003B!F752/1000</f>
        <v>3203.7130000000002</v>
      </c>
      <c r="G752" s="85">
        <f>STATS1003B!G752/1000</f>
        <v>0</v>
      </c>
      <c r="H752" s="85">
        <f>STATS1003B!H752/1000</f>
        <v>3203.7130000000002</v>
      </c>
      <c r="I752" s="85">
        <f>STATS1003B!I752/1000</f>
        <v>0</v>
      </c>
      <c r="J752" s="85">
        <f>STATS1003B!J752/1000</f>
        <v>3203.7130000000002</v>
      </c>
      <c r="K752" s="85">
        <f>STATS1003B!K752/1000</f>
        <v>0</v>
      </c>
      <c r="L752" s="85">
        <f>STATS1003B!L752/1000</f>
        <v>0</v>
      </c>
      <c r="M752" s="85">
        <f>STATS1003B!M752/1000</f>
        <v>3203.7130000000002</v>
      </c>
      <c r="N752" s="85">
        <f>STATS1003B!N752/1000</f>
        <v>0</v>
      </c>
      <c r="O752" s="85">
        <f>STATS1003B!O752/1000</f>
        <v>0</v>
      </c>
      <c r="P752" s="85">
        <f>STATS1003B!P752/1000</f>
        <v>0</v>
      </c>
      <c r="Q752" s="85">
        <f>STATS1003B!Q752/1000</f>
        <v>3203.7130000000002</v>
      </c>
      <c r="R752" s="85">
        <f>STATS1003B!R752/1000</f>
        <v>0</v>
      </c>
      <c r="S752" s="85">
        <f>STATS1003B!S752/1000</f>
        <v>0</v>
      </c>
      <c r="T752" s="85">
        <f>STATS1003B!T752/1000</f>
        <v>0</v>
      </c>
      <c r="U752" s="85">
        <f>STATS1003B!U752/1000</f>
        <v>0</v>
      </c>
      <c r="V752" s="85">
        <f>STATS1003B!V752/1000</f>
        <v>3203.7130000000002</v>
      </c>
      <c r="W752" s="85">
        <f>STATS1003B!W752/1000</f>
        <v>0</v>
      </c>
      <c r="X752" s="85">
        <f t="shared" si="92"/>
        <v>3203.7130000000002</v>
      </c>
      <c r="Y752" s="85">
        <f>STATS1003B!Y752/1000</f>
        <v>0</v>
      </c>
      <c r="Z752" s="85">
        <f t="shared" si="95"/>
        <v>0</v>
      </c>
      <c r="AA752" s="69">
        <f>STATS1003B!AA752/1000</f>
        <v>3203.7130000000002</v>
      </c>
      <c r="AB752" s="69">
        <f>STATS1003B!AB752/1000</f>
        <v>0</v>
      </c>
    </row>
    <row r="753" spans="1:28" hidden="1" x14ac:dyDescent="0.3">
      <c r="A753" s="117"/>
      <c r="C753" s="68" t="s">
        <v>933</v>
      </c>
      <c r="D753" s="89" t="s">
        <v>1072</v>
      </c>
      <c r="E753" s="85">
        <f>STATS1003B!E753/1000</f>
        <v>756.15334999999993</v>
      </c>
      <c r="F753" s="85">
        <f>STATS1003B!F753/1000</f>
        <v>756.15334999999993</v>
      </c>
      <c r="G753" s="85">
        <f>STATS1003B!G753/1000</f>
        <v>0</v>
      </c>
      <c r="H753" s="85">
        <f>STATS1003B!H753/1000</f>
        <v>756.15334999999993</v>
      </c>
      <c r="I753" s="85">
        <f>STATS1003B!I753/1000</f>
        <v>0</v>
      </c>
      <c r="J753" s="85">
        <f>STATS1003B!J753/1000</f>
        <v>0</v>
      </c>
      <c r="K753" s="85">
        <f>STATS1003B!K753/1000</f>
        <v>0</v>
      </c>
      <c r="L753" s="85">
        <f>STATS1003B!L753/1000</f>
        <v>0</v>
      </c>
      <c r="M753" s="85">
        <f>STATS1003B!M753/1000</f>
        <v>756.15334999999993</v>
      </c>
      <c r="N753" s="85">
        <f>STATS1003B!N753/1000</f>
        <v>0</v>
      </c>
      <c r="O753" s="85">
        <f>STATS1003B!O753/1000</f>
        <v>0</v>
      </c>
      <c r="P753" s="85">
        <f>STATS1003B!P753/1000</f>
        <v>0</v>
      </c>
      <c r="Q753" s="85">
        <f>STATS1003B!Q753/1000</f>
        <v>0</v>
      </c>
      <c r="R753" s="85">
        <f>STATS1003B!R753/1000</f>
        <v>0</v>
      </c>
      <c r="S753" s="85">
        <f>STATS1003B!S753/1000</f>
        <v>0</v>
      </c>
      <c r="T753" s="85">
        <f>STATS1003B!T753/1000</f>
        <v>0</v>
      </c>
      <c r="U753" s="85">
        <f>STATS1003B!U753/1000</f>
        <v>0</v>
      </c>
      <c r="V753" s="85">
        <f>STATS1003B!V753/1000</f>
        <v>0</v>
      </c>
      <c r="W753" s="85">
        <f>STATS1003B!W753/1000</f>
        <v>0</v>
      </c>
      <c r="X753" s="85">
        <f t="shared" si="92"/>
        <v>756.15334999999993</v>
      </c>
      <c r="Y753" s="85">
        <f>STATS1003B!Y753/1000</f>
        <v>0</v>
      </c>
      <c r="Z753" s="85">
        <f t="shared" si="95"/>
        <v>0</v>
      </c>
      <c r="AA753" s="69">
        <f>STATS1003B!AA753/1000</f>
        <v>756.15334999999993</v>
      </c>
      <c r="AB753" s="69">
        <f>STATS1003B!AB753/1000</f>
        <v>0</v>
      </c>
    </row>
    <row r="754" spans="1:28" hidden="1" x14ac:dyDescent="0.3">
      <c r="A754" s="117"/>
      <c r="C754" s="68" t="s">
        <v>598</v>
      </c>
      <c r="E754" s="85">
        <f>STATS1003B!E754/1000</f>
        <v>145.41999999999999</v>
      </c>
      <c r="F754" s="85">
        <f>STATS1003B!F754/1000</f>
        <v>145.41999999999999</v>
      </c>
      <c r="G754" s="85">
        <f>STATS1003B!G754/1000</f>
        <v>0</v>
      </c>
      <c r="H754" s="85">
        <f>STATS1003B!H754/1000</f>
        <v>145.41999999999999</v>
      </c>
      <c r="I754" s="85">
        <f>STATS1003B!I754/1000</f>
        <v>0</v>
      </c>
      <c r="J754" s="85">
        <f>STATS1003B!J754/1000</f>
        <v>145.41999999999999</v>
      </c>
      <c r="K754" s="85">
        <f>STATS1003B!K754/1000</f>
        <v>0</v>
      </c>
      <c r="L754" s="85">
        <f>STATS1003B!L754/1000</f>
        <v>0</v>
      </c>
      <c r="M754" s="85">
        <f>STATS1003B!M754/1000</f>
        <v>145.41999999999999</v>
      </c>
      <c r="N754" s="85">
        <f>STATS1003B!N754/1000</f>
        <v>0</v>
      </c>
      <c r="O754" s="85">
        <f>STATS1003B!O754/1000</f>
        <v>0</v>
      </c>
      <c r="P754" s="85">
        <f>STATS1003B!P754/1000</f>
        <v>0</v>
      </c>
      <c r="Q754" s="85">
        <f>STATS1003B!Q754/1000</f>
        <v>145.41999999999999</v>
      </c>
      <c r="R754" s="85">
        <f>STATS1003B!R754/1000</f>
        <v>0</v>
      </c>
      <c r="S754" s="85">
        <f>STATS1003B!S754/1000</f>
        <v>0</v>
      </c>
      <c r="T754" s="85">
        <f>STATS1003B!T754/1000</f>
        <v>0</v>
      </c>
      <c r="U754" s="85">
        <f>STATS1003B!U754/1000</f>
        <v>0</v>
      </c>
      <c r="V754" s="85">
        <f>STATS1003B!V754/1000</f>
        <v>145.41999999999999</v>
      </c>
      <c r="W754" s="85">
        <f>STATS1003B!W754/1000</f>
        <v>0</v>
      </c>
      <c r="X754" s="85">
        <f t="shared" si="92"/>
        <v>145.41999999999999</v>
      </c>
      <c r="Y754" s="85">
        <f>STATS1003B!Y754/1000</f>
        <v>0</v>
      </c>
      <c r="Z754" s="85">
        <f t="shared" si="95"/>
        <v>0</v>
      </c>
      <c r="AA754" s="69">
        <f>STATS1003B!AA754/1000</f>
        <v>145.41999999999999</v>
      </c>
      <c r="AB754" s="69">
        <f>STATS1003B!AB754/1000</f>
        <v>0</v>
      </c>
    </row>
    <row r="755" spans="1:28" hidden="1" x14ac:dyDescent="0.3">
      <c r="A755" s="117"/>
      <c r="E755" s="86" t="s">
        <v>29</v>
      </c>
      <c r="F755" s="86" t="s">
        <v>29</v>
      </c>
      <c r="G755" s="86" t="s">
        <v>29</v>
      </c>
      <c r="H755" s="86" t="s">
        <v>29</v>
      </c>
      <c r="I755" s="86" t="s">
        <v>29</v>
      </c>
      <c r="J755" s="86" t="s">
        <v>29</v>
      </c>
      <c r="K755" s="86" t="s">
        <v>29</v>
      </c>
      <c r="L755" s="86" t="s">
        <v>29</v>
      </c>
      <c r="M755" s="86" t="s">
        <v>29</v>
      </c>
      <c r="N755" s="86" t="s">
        <v>29</v>
      </c>
      <c r="O755" s="86" t="s">
        <v>29</v>
      </c>
      <c r="P755" s="86" t="s">
        <v>29</v>
      </c>
      <c r="Q755" s="86" t="s">
        <v>29</v>
      </c>
      <c r="R755" s="86" t="s">
        <v>29</v>
      </c>
      <c r="S755" s="86" t="s">
        <v>29</v>
      </c>
      <c r="T755" s="86" t="s">
        <v>29</v>
      </c>
      <c r="U755" s="86" t="s">
        <v>29</v>
      </c>
      <c r="V755" s="86" t="s">
        <v>29</v>
      </c>
      <c r="W755" s="86" t="s">
        <v>29</v>
      </c>
      <c r="X755" s="85" t="e">
        <f t="shared" si="92"/>
        <v>#VALUE!</v>
      </c>
      <c r="Y755" s="86" t="s">
        <v>29</v>
      </c>
      <c r="Z755" s="85" t="e">
        <f t="shared" si="95"/>
        <v>#VALUE!</v>
      </c>
      <c r="AA755" s="115" t="s">
        <v>29</v>
      </c>
      <c r="AB755" s="115" t="s">
        <v>29</v>
      </c>
    </row>
    <row r="756" spans="1:28" x14ac:dyDescent="0.3">
      <c r="A756" s="116">
        <v>36</v>
      </c>
      <c r="B756" s="68" t="s">
        <v>624</v>
      </c>
      <c r="E756" s="85">
        <f>74674156.87/1000</f>
        <v>74674.156870000006</v>
      </c>
      <c r="F756" s="85">
        <f t="shared" ref="F756:Q756" si="98">SUM(F746:F755)</f>
        <v>11853.954900000001</v>
      </c>
      <c r="G756" s="85">
        <f t="shared" si="98"/>
        <v>0</v>
      </c>
      <c r="H756" s="85">
        <f>72989823.64/1000</f>
        <v>72989.823640000002</v>
      </c>
      <c r="I756" s="85">
        <f t="shared" si="98"/>
        <v>0</v>
      </c>
      <c r="J756" s="85">
        <f t="shared" si="98"/>
        <v>11097.80155</v>
      </c>
      <c r="K756" s="85">
        <f t="shared" si="98"/>
        <v>1684.33323</v>
      </c>
      <c r="L756" s="85">
        <f t="shared" si="98"/>
        <v>0</v>
      </c>
      <c r="M756" s="85">
        <f t="shared" si="98"/>
        <v>11853.954900000001</v>
      </c>
      <c r="N756" s="85">
        <f t="shared" si="98"/>
        <v>1684.33323</v>
      </c>
      <c r="O756" s="85">
        <f t="shared" si="98"/>
        <v>0</v>
      </c>
      <c r="P756" s="85">
        <f>1684333/1000</f>
        <v>1684.3330000000001</v>
      </c>
      <c r="Q756" s="85">
        <f t="shared" si="98"/>
        <v>11097.80155</v>
      </c>
      <c r="R756" s="86"/>
      <c r="S756" s="86"/>
      <c r="T756" s="85">
        <f t="shared" ref="T756:Y756" si="99">SUM(T746:T755)</f>
        <v>0</v>
      </c>
      <c r="U756" s="85">
        <f t="shared" si="99"/>
        <v>1684.33323</v>
      </c>
      <c r="V756" s="85">
        <f t="shared" si="99"/>
        <v>12782.13478</v>
      </c>
      <c r="W756" s="85">
        <f t="shared" si="99"/>
        <v>0</v>
      </c>
      <c r="X756" s="85">
        <f>+H756+P756</f>
        <v>74674.156640000001</v>
      </c>
      <c r="Y756" s="85">
        <f t="shared" si="99"/>
        <v>0</v>
      </c>
      <c r="Z756" s="85">
        <f t="shared" si="95"/>
        <v>2.3000000510364771E-4</v>
      </c>
      <c r="AA756" s="69">
        <f>SUM(AA746:AA755)</f>
        <v>13538.288130000001</v>
      </c>
      <c r="AB756" s="69">
        <f>SUM(AB746:AB755)</f>
        <v>0</v>
      </c>
    </row>
    <row r="757" spans="1:28" hidden="1" x14ac:dyDescent="0.3">
      <c r="A757" s="117"/>
      <c r="E757" s="86" t="s">
        <v>29</v>
      </c>
      <c r="F757" s="86" t="s">
        <v>29</v>
      </c>
      <c r="G757" s="86" t="s">
        <v>29</v>
      </c>
      <c r="H757" s="86" t="s">
        <v>29</v>
      </c>
      <c r="I757" s="86" t="s">
        <v>29</v>
      </c>
      <c r="J757" s="86" t="s">
        <v>29</v>
      </c>
      <c r="K757" s="86" t="s">
        <v>29</v>
      </c>
      <c r="L757" s="86" t="s">
        <v>29</v>
      </c>
      <c r="M757" s="86" t="s">
        <v>29</v>
      </c>
      <c r="N757" s="86" t="s">
        <v>29</v>
      </c>
      <c r="O757" s="86" t="s">
        <v>29</v>
      </c>
      <c r="P757" s="86" t="s">
        <v>29</v>
      </c>
      <c r="Q757" s="86" t="s">
        <v>29</v>
      </c>
      <c r="R757" s="86" t="s">
        <v>29</v>
      </c>
      <c r="S757" s="86" t="s">
        <v>29</v>
      </c>
      <c r="T757" s="86" t="s">
        <v>29</v>
      </c>
      <c r="U757" s="86" t="s">
        <v>29</v>
      </c>
      <c r="V757" s="86" t="s">
        <v>29</v>
      </c>
      <c r="W757" s="86" t="s">
        <v>29</v>
      </c>
      <c r="X757" s="85" t="e">
        <f t="shared" si="92"/>
        <v>#VALUE!</v>
      </c>
      <c r="Y757" s="86" t="s">
        <v>29</v>
      </c>
      <c r="Z757" s="85" t="e">
        <f t="shared" si="95"/>
        <v>#VALUE!</v>
      </c>
      <c r="AA757" s="115" t="s">
        <v>29</v>
      </c>
      <c r="AB757" s="115" t="s">
        <v>29</v>
      </c>
    </row>
    <row r="758" spans="1:28" hidden="1" x14ac:dyDescent="0.3">
      <c r="A758" s="117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6"/>
      <c r="S758" s="86"/>
      <c r="T758" s="86"/>
      <c r="U758" s="86"/>
      <c r="V758" s="86"/>
      <c r="W758" s="86"/>
      <c r="X758" s="85">
        <f t="shared" si="92"/>
        <v>0</v>
      </c>
      <c r="Y758" s="86"/>
      <c r="Z758" s="85">
        <f t="shared" si="95"/>
        <v>0</v>
      </c>
      <c r="AA758" s="118"/>
    </row>
    <row r="759" spans="1:28" hidden="1" x14ac:dyDescent="0.3">
      <c r="A759" s="105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6"/>
      <c r="S759" s="86"/>
      <c r="T759" s="86"/>
      <c r="U759" s="86"/>
      <c r="V759" s="86"/>
      <c r="W759" s="86"/>
      <c r="X759" s="85">
        <f t="shared" si="92"/>
        <v>0</v>
      </c>
      <c r="Y759" s="86"/>
      <c r="Z759" s="85">
        <f t="shared" si="95"/>
        <v>0</v>
      </c>
    </row>
    <row r="760" spans="1:28" hidden="1" x14ac:dyDescent="0.3">
      <c r="A760" s="117"/>
      <c r="C760" s="68" t="s">
        <v>535</v>
      </c>
      <c r="D760" s="145" t="s">
        <v>150</v>
      </c>
      <c r="E760" s="85">
        <f>STATS1003B!E760/1000</f>
        <v>3715.2800499999998</v>
      </c>
      <c r="F760" s="85">
        <f>STATS1003B!F760/1000</f>
        <v>3715.2800499999998</v>
      </c>
      <c r="G760" s="85">
        <f>STATS1003B!G760/1000</f>
        <v>0</v>
      </c>
      <c r="H760" s="85">
        <f>STATS1003B!H760/1000</f>
        <v>3715.2800499999998</v>
      </c>
      <c r="I760" s="85">
        <f>STATS1003B!I760/1000</f>
        <v>0</v>
      </c>
      <c r="J760" s="85">
        <f>STATS1003B!J760/1000</f>
        <v>3715.2800499999998</v>
      </c>
      <c r="K760" s="85">
        <f>STATS1003B!K760/1000</f>
        <v>0</v>
      </c>
      <c r="L760" s="85">
        <f>STATS1003B!L760/1000</f>
        <v>0</v>
      </c>
      <c r="M760" s="85">
        <f>STATS1003B!M760/1000</f>
        <v>3715.2800499999998</v>
      </c>
      <c r="N760" s="85">
        <f>STATS1003B!N760/1000</f>
        <v>0</v>
      </c>
      <c r="O760" s="85">
        <f>STATS1003B!O760/1000</f>
        <v>0</v>
      </c>
      <c r="P760" s="85">
        <f>STATS1003B!P760/1000</f>
        <v>0</v>
      </c>
      <c r="Q760" s="85">
        <f>STATS1003B!Q760/1000</f>
        <v>3715.2800499999998</v>
      </c>
      <c r="R760" s="85">
        <f>STATS1003B!R760/1000</f>
        <v>0</v>
      </c>
      <c r="S760" s="85">
        <f>STATS1003B!S760/1000</f>
        <v>0</v>
      </c>
      <c r="T760" s="85">
        <f>STATS1003B!T760/1000</f>
        <v>0</v>
      </c>
      <c r="U760" s="85">
        <f>STATS1003B!U760/1000</f>
        <v>0</v>
      </c>
      <c r="V760" s="85">
        <f>STATS1003B!V760/1000</f>
        <v>3715.2800499999998</v>
      </c>
      <c r="W760" s="85">
        <f>STATS1003B!W760/1000</f>
        <v>0</v>
      </c>
      <c r="X760" s="85">
        <f t="shared" si="92"/>
        <v>3715.2800499999998</v>
      </c>
      <c r="Y760" s="85">
        <f>STATS1003B!Y760/1000</f>
        <v>0</v>
      </c>
      <c r="Z760" s="85">
        <f t="shared" si="95"/>
        <v>0</v>
      </c>
      <c r="AA760" s="69">
        <f>STATS1003B!AA760/1000</f>
        <v>3715.2800499999998</v>
      </c>
      <c r="AB760" s="69">
        <f>STATS1003B!AB760/1000</f>
        <v>0</v>
      </c>
    </row>
    <row r="761" spans="1:28" hidden="1" x14ac:dyDescent="0.3">
      <c r="A761" s="117"/>
      <c r="C761" s="68" t="s">
        <v>628</v>
      </c>
      <c r="D761" s="145" t="s">
        <v>166</v>
      </c>
      <c r="E761" s="85">
        <f>STATS1003B!E761/1000</f>
        <v>550</v>
      </c>
      <c r="F761" s="85">
        <f>STATS1003B!F761/1000</f>
        <v>550</v>
      </c>
      <c r="G761" s="85">
        <f>STATS1003B!G761/1000</f>
        <v>0</v>
      </c>
      <c r="H761" s="85">
        <f>STATS1003B!H761/1000</f>
        <v>550</v>
      </c>
      <c r="I761" s="85">
        <f>STATS1003B!I761/1000</f>
        <v>0</v>
      </c>
      <c r="J761" s="85">
        <f>STATS1003B!J761/1000</f>
        <v>550</v>
      </c>
      <c r="K761" s="85">
        <f>STATS1003B!K761/1000</f>
        <v>0</v>
      </c>
      <c r="L761" s="85">
        <f>STATS1003B!L761/1000</f>
        <v>0</v>
      </c>
      <c r="M761" s="85">
        <f>STATS1003B!M761/1000</f>
        <v>550</v>
      </c>
      <c r="N761" s="85">
        <f>STATS1003B!N761/1000</f>
        <v>0</v>
      </c>
      <c r="O761" s="85">
        <f>STATS1003B!O761/1000</f>
        <v>0</v>
      </c>
      <c r="P761" s="85">
        <f>STATS1003B!P761/1000</f>
        <v>0</v>
      </c>
      <c r="Q761" s="85">
        <f>STATS1003B!Q761/1000</f>
        <v>550</v>
      </c>
      <c r="R761" s="85">
        <f>STATS1003B!R761/1000</f>
        <v>0</v>
      </c>
      <c r="S761" s="85">
        <f>STATS1003B!S761/1000</f>
        <v>0</v>
      </c>
      <c r="T761" s="85">
        <f>STATS1003B!T761/1000</f>
        <v>0</v>
      </c>
      <c r="U761" s="85">
        <f>STATS1003B!U761/1000</f>
        <v>0</v>
      </c>
      <c r="V761" s="85">
        <f>STATS1003B!V761/1000</f>
        <v>550</v>
      </c>
      <c r="W761" s="85">
        <f>STATS1003B!W761/1000</f>
        <v>0</v>
      </c>
      <c r="X761" s="85">
        <f t="shared" si="92"/>
        <v>550</v>
      </c>
      <c r="Y761" s="85">
        <f>STATS1003B!Y761/1000</f>
        <v>0</v>
      </c>
      <c r="Z761" s="85">
        <f t="shared" si="95"/>
        <v>0</v>
      </c>
      <c r="AA761" s="69">
        <f>STATS1003B!AA761/1000</f>
        <v>550</v>
      </c>
      <c r="AB761" s="69">
        <f>STATS1003B!AB761/1000</f>
        <v>0</v>
      </c>
    </row>
    <row r="762" spans="1:28" hidden="1" x14ac:dyDescent="0.3">
      <c r="A762" s="117"/>
      <c r="C762" s="68" t="s">
        <v>535</v>
      </c>
      <c r="D762" s="145" t="s">
        <v>68</v>
      </c>
      <c r="E762" s="85">
        <f>STATS1003B!E762/1000</f>
        <v>546.74014</v>
      </c>
      <c r="F762" s="85">
        <f>STATS1003B!F762/1000</f>
        <v>546.74014</v>
      </c>
      <c r="G762" s="85">
        <f>STATS1003B!G762/1000</f>
        <v>0</v>
      </c>
      <c r="H762" s="85">
        <f>STATS1003B!H762/1000</f>
        <v>546.74014</v>
      </c>
      <c r="I762" s="85">
        <f>STATS1003B!I762/1000</f>
        <v>0</v>
      </c>
      <c r="J762" s="85">
        <f>STATS1003B!J762/1000</f>
        <v>546.74014</v>
      </c>
      <c r="K762" s="85">
        <f>STATS1003B!K762/1000</f>
        <v>0</v>
      </c>
      <c r="L762" s="85">
        <f>STATS1003B!L762/1000</f>
        <v>0</v>
      </c>
      <c r="M762" s="85">
        <f>STATS1003B!M762/1000</f>
        <v>546.74014</v>
      </c>
      <c r="N762" s="85">
        <f>STATS1003B!N762/1000</f>
        <v>0</v>
      </c>
      <c r="O762" s="85">
        <f>STATS1003B!O762/1000</f>
        <v>0</v>
      </c>
      <c r="P762" s="85">
        <f>STATS1003B!P762/1000</f>
        <v>0</v>
      </c>
      <c r="Q762" s="85">
        <f>STATS1003B!Q762/1000</f>
        <v>546.74014</v>
      </c>
      <c r="R762" s="85">
        <f>STATS1003B!R762/1000</f>
        <v>0</v>
      </c>
      <c r="S762" s="85">
        <f>STATS1003B!S762/1000</f>
        <v>0</v>
      </c>
      <c r="T762" s="85">
        <f>STATS1003B!T762/1000</f>
        <v>0</v>
      </c>
      <c r="U762" s="85">
        <f>STATS1003B!U762/1000</f>
        <v>0</v>
      </c>
      <c r="V762" s="85">
        <f>STATS1003B!V762/1000</f>
        <v>546.74014</v>
      </c>
      <c r="W762" s="85">
        <f>STATS1003B!W762/1000</f>
        <v>0</v>
      </c>
      <c r="X762" s="85">
        <f t="shared" si="92"/>
        <v>546.74014</v>
      </c>
      <c r="Y762" s="85">
        <f>STATS1003B!Y762/1000</f>
        <v>0</v>
      </c>
      <c r="Z762" s="85">
        <f t="shared" si="95"/>
        <v>0</v>
      </c>
      <c r="AA762" s="69">
        <f>STATS1003B!AA762/1000</f>
        <v>546.74014</v>
      </c>
      <c r="AB762" s="69">
        <f>STATS1003B!AB762/1000</f>
        <v>0</v>
      </c>
    </row>
    <row r="763" spans="1:28" hidden="1" x14ac:dyDescent="0.3">
      <c r="A763" s="117"/>
      <c r="C763" s="68" t="s">
        <v>539</v>
      </c>
      <c r="D763" s="145" t="s">
        <v>68</v>
      </c>
      <c r="E763" s="85">
        <f>STATS1003B!E763/1000</f>
        <v>1608.8220499999998</v>
      </c>
      <c r="F763" s="85">
        <f>STATS1003B!F763/1000</f>
        <v>0</v>
      </c>
      <c r="G763" s="85">
        <f>STATS1003B!G763/1000</f>
        <v>0</v>
      </c>
      <c r="H763" s="85">
        <f>STATS1003B!H763/1000</f>
        <v>0</v>
      </c>
      <c r="I763" s="85">
        <f>STATS1003B!I763/1000</f>
        <v>0</v>
      </c>
      <c r="J763" s="85">
        <f>STATS1003B!J763/1000</f>
        <v>0</v>
      </c>
      <c r="K763" s="85">
        <f>STATS1003B!K763/1000</f>
        <v>1608.8220499999998</v>
      </c>
      <c r="L763" s="85">
        <f>STATS1003B!L763/1000</f>
        <v>0</v>
      </c>
      <c r="M763" s="85">
        <f>STATS1003B!M763/1000</f>
        <v>0</v>
      </c>
      <c r="N763" s="85">
        <f>STATS1003B!N763/1000</f>
        <v>1608.82205</v>
      </c>
      <c r="O763" s="85">
        <f>STATS1003B!O763/1000</f>
        <v>0</v>
      </c>
      <c r="P763" s="85">
        <f>STATS1003B!P763/1000</f>
        <v>1608.82205</v>
      </c>
      <c r="Q763" s="85">
        <f>STATS1003B!Q763/1000</f>
        <v>0</v>
      </c>
      <c r="R763" s="85">
        <f>STATS1003B!R763/1000</f>
        <v>0</v>
      </c>
      <c r="S763" s="85">
        <f>STATS1003B!S763/1000</f>
        <v>0</v>
      </c>
      <c r="T763" s="85">
        <f>STATS1003B!T763/1000</f>
        <v>0</v>
      </c>
      <c r="U763" s="85">
        <f>STATS1003B!U763/1000</f>
        <v>1608.82205</v>
      </c>
      <c r="V763" s="85">
        <f>STATS1003B!V763/1000</f>
        <v>1608.82205</v>
      </c>
      <c r="W763" s="85">
        <f>STATS1003B!W763/1000</f>
        <v>0</v>
      </c>
      <c r="X763" s="85">
        <f t="shared" si="92"/>
        <v>1608.82205</v>
      </c>
      <c r="Y763" s="85">
        <f>STATS1003B!Y763/1000</f>
        <v>0</v>
      </c>
      <c r="Z763" s="85">
        <f t="shared" si="95"/>
        <v>0</v>
      </c>
      <c r="AA763" s="69">
        <f>STATS1003B!AA763/1000</f>
        <v>1608.82205</v>
      </c>
      <c r="AB763" s="69">
        <f>STATS1003B!AB763/1000</f>
        <v>0</v>
      </c>
    </row>
    <row r="764" spans="1:28" hidden="1" x14ac:dyDescent="0.3">
      <c r="A764" s="117"/>
      <c r="C764" s="68" t="s">
        <v>629</v>
      </c>
      <c r="D764" s="145" t="s">
        <v>54</v>
      </c>
      <c r="E764" s="85">
        <f>STATS1003B!E764/1000</f>
        <v>1250</v>
      </c>
      <c r="F764" s="85">
        <f>STATS1003B!F764/1000</f>
        <v>1184.6344299999998</v>
      </c>
      <c r="G764" s="85">
        <f>STATS1003B!G764/1000</f>
        <v>0</v>
      </c>
      <c r="H764" s="85">
        <f>STATS1003B!H764/1000</f>
        <v>1184.6344299999998</v>
      </c>
      <c r="I764" s="85">
        <f>STATS1003B!I764/1000</f>
        <v>0</v>
      </c>
      <c r="J764" s="85">
        <f>STATS1003B!J764/1000</f>
        <v>1184.6344299999998</v>
      </c>
      <c r="K764" s="85">
        <f>STATS1003B!K764/1000</f>
        <v>65.365570000000005</v>
      </c>
      <c r="L764" s="85">
        <f>STATS1003B!L764/1000</f>
        <v>0</v>
      </c>
      <c r="M764" s="85">
        <f>STATS1003B!M764/1000</f>
        <v>1184.6344299999998</v>
      </c>
      <c r="N764" s="85">
        <f>STATS1003B!N764/1000</f>
        <v>65.365570000000005</v>
      </c>
      <c r="O764" s="85">
        <f>STATS1003B!O764/1000</f>
        <v>0</v>
      </c>
      <c r="P764" s="85">
        <f>STATS1003B!P764/1000</f>
        <v>65.365570000000005</v>
      </c>
      <c r="Q764" s="85">
        <f>STATS1003B!Q764/1000</f>
        <v>1184.6344299999998</v>
      </c>
      <c r="R764" s="85">
        <f>STATS1003B!R764/1000</f>
        <v>0</v>
      </c>
      <c r="S764" s="85">
        <f>STATS1003B!S764/1000</f>
        <v>0</v>
      </c>
      <c r="T764" s="85">
        <f>STATS1003B!T764/1000</f>
        <v>0</v>
      </c>
      <c r="U764" s="85">
        <f>STATS1003B!U764/1000</f>
        <v>65.365570000000005</v>
      </c>
      <c r="V764" s="85">
        <f>STATS1003B!V764/1000</f>
        <v>1250</v>
      </c>
      <c r="W764" s="85">
        <f>STATS1003B!W764/1000</f>
        <v>0</v>
      </c>
      <c r="X764" s="85">
        <f t="shared" si="92"/>
        <v>1249.9999999999998</v>
      </c>
      <c r="Y764" s="85">
        <f>STATS1003B!Y764/1000</f>
        <v>0</v>
      </c>
      <c r="Z764" s="85">
        <f t="shared" si="95"/>
        <v>0</v>
      </c>
      <c r="AA764" s="69">
        <f>STATS1003B!AA764/1000</f>
        <v>1250</v>
      </c>
      <c r="AB764" s="69">
        <f>STATS1003B!AB764/1000</f>
        <v>0</v>
      </c>
    </row>
    <row r="765" spans="1:28" hidden="1" x14ac:dyDescent="0.3">
      <c r="A765" s="117"/>
      <c r="C765" s="68" t="s">
        <v>545</v>
      </c>
      <c r="D765" s="145" t="s">
        <v>54</v>
      </c>
      <c r="E765" s="85">
        <f>STATS1003B!E765/1000</f>
        <v>570.94100000000003</v>
      </c>
      <c r="F765" s="85">
        <f>STATS1003B!F765/1000</f>
        <v>0</v>
      </c>
      <c r="G765" s="85">
        <f>STATS1003B!G765/1000</f>
        <v>0</v>
      </c>
      <c r="H765" s="85">
        <f>STATS1003B!H765/1000</f>
        <v>0</v>
      </c>
      <c r="I765" s="85">
        <f>STATS1003B!I765/1000</f>
        <v>0</v>
      </c>
      <c r="J765" s="85">
        <f>STATS1003B!J765/1000</f>
        <v>0</v>
      </c>
      <c r="K765" s="85">
        <f>STATS1003B!K765/1000</f>
        <v>570.94100000000003</v>
      </c>
      <c r="L765" s="85">
        <f>STATS1003B!L765/1000</f>
        <v>0</v>
      </c>
      <c r="M765" s="85">
        <f>STATS1003B!M765/1000</f>
        <v>0</v>
      </c>
      <c r="N765" s="85">
        <f>STATS1003B!N765/1000</f>
        <v>570.94100000000003</v>
      </c>
      <c r="O765" s="85">
        <f>STATS1003B!O765/1000</f>
        <v>0</v>
      </c>
      <c r="P765" s="85">
        <f>STATS1003B!P765/1000</f>
        <v>570.94100000000003</v>
      </c>
      <c r="Q765" s="85">
        <f>STATS1003B!Q765/1000</f>
        <v>0</v>
      </c>
      <c r="R765" s="85">
        <f>STATS1003B!R765/1000</f>
        <v>0</v>
      </c>
      <c r="S765" s="85">
        <f>STATS1003B!S765/1000</f>
        <v>0</v>
      </c>
      <c r="T765" s="85">
        <f>STATS1003B!T765/1000</f>
        <v>0</v>
      </c>
      <c r="U765" s="85">
        <f>STATS1003B!U765/1000</f>
        <v>570.94100000000003</v>
      </c>
      <c r="V765" s="85">
        <f>STATS1003B!V765/1000</f>
        <v>570.94100000000003</v>
      </c>
      <c r="W765" s="85">
        <f>STATS1003B!W765/1000</f>
        <v>0</v>
      </c>
      <c r="X765" s="85">
        <f t="shared" si="92"/>
        <v>570.94100000000003</v>
      </c>
      <c r="Y765" s="85">
        <f>STATS1003B!Y765/1000</f>
        <v>0</v>
      </c>
      <c r="Z765" s="85">
        <f t="shared" si="95"/>
        <v>0</v>
      </c>
      <c r="AA765" s="69">
        <f>STATS1003B!AA765/1000</f>
        <v>570.94100000000003</v>
      </c>
      <c r="AB765" s="69">
        <f>STATS1003B!AB765/1000</f>
        <v>0</v>
      </c>
    </row>
    <row r="766" spans="1:28" hidden="1" x14ac:dyDescent="0.3">
      <c r="A766" s="117"/>
      <c r="C766" s="68" t="s">
        <v>535</v>
      </c>
      <c r="D766" s="145" t="s">
        <v>54</v>
      </c>
      <c r="E766" s="85">
        <f>STATS1003B!E766/1000</f>
        <v>283</v>
      </c>
      <c r="F766" s="85">
        <f>STATS1003B!F766/1000</f>
        <v>283</v>
      </c>
      <c r="G766" s="85">
        <f>STATS1003B!G766/1000</f>
        <v>0</v>
      </c>
      <c r="H766" s="85">
        <f>STATS1003B!H766/1000</f>
        <v>283</v>
      </c>
      <c r="I766" s="85">
        <f>STATS1003B!I766/1000</f>
        <v>0</v>
      </c>
      <c r="J766" s="85">
        <f>STATS1003B!J766/1000</f>
        <v>283</v>
      </c>
      <c r="K766" s="85">
        <f>STATS1003B!K766/1000</f>
        <v>0</v>
      </c>
      <c r="L766" s="85">
        <f>STATS1003B!L766/1000</f>
        <v>0</v>
      </c>
      <c r="M766" s="85">
        <f>STATS1003B!M766/1000</f>
        <v>283</v>
      </c>
      <c r="N766" s="85">
        <f>STATS1003B!N766/1000</f>
        <v>0</v>
      </c>
      <c r="O766" s="85">
        <f>STATS1003B!O766/1000</f>
        <v>0</v>
      </c>
      <c r="P766" s="85">
        <f>STATS1003B!P766/1000</f>
        <v>0</v>
      </c>
      <c r="Q766" s="85">
        <f>STATS1003B!Q766/1000</f>
        <v>283</v>
      </c>
      <c r="R766" s="85">
        <f>STATS1003B!R766/1000</f>
        <v>0</v>
      </c>
      <c r="S766" s="85">
        <f>STATS1003B!S766/1000</f>
        <v>0</v>
      </c>
      <c r="T766" s="85">
        <f>STATS1003B!T766/1000</f>
        <v>0</v>
      </c>
      <c r="U766" s="85">
        <f>STATS1003B!U766/1000</f>
        <v>0</v>
      </c>
      <c r="V766" s="85">
        <f>STATS1003B!V766/1000</f>
        <v>283</v>
      </c>
      <c r="W766" s="85">
        <f>STATS1003B!W766/1000</f>
        <v>0</v>
      </c>
      <c r="X766" s="85">
        <f t="shared" si="92"/>
        <v>283</v>
      </c>
      <c r="Y766" s="85">
        <f>STATS1003B!Y766/1000</f>
        <v>0</v>
      </c>
      <c r="Z766" s="85">
        <f t="shared" si="95"/>
        <v>0</v>
      </c>
      <c r="AA766" s="69">
        <f>STATS1003B!AA766/1000</f>
        <v>283</v>
      </c>
      <c r="AB766" s="69">
        <f>STATS1003B!AB766/1000</f>
        <v>0</v>
      </c>
    </row>
    <row r="767" spans="1:28" hidden="1" x14ac:dyDescent="0.3">
      <c r="A767" s="117"/>
      <c r="C767" s="68" t="s">
        <v>535</v>
      </c>
      <c r="D767" s="145" t="s">
        <v>85</v>
      </c>
      <c r="E767" s="85">
        <f>STATS1003B!E767/1000</f>
        <v>432</v>
      </c>
      <c r="F767" s="85">
        <f>STATS1003B!F767/1000</f>
        <v>432</v>
      </c>
      <c r="G767" s="85">
        <f>STATS1003B!G767/1000</f>
        <v>0</v>
      </c>
      <c r="H767" s="85">
        <f>STATS1003B!H767/1000</f>
        <v>432</v>
      </c>
      <c r="I767" s="85">
        <f>STATS1003B!I767/1000</f>
        <v>0</v>
      </c>
      <c r="J767" s="85">
        <f>STATS1003B!J767/1000</f>
        <v>432</v>
      </c>
      <c r="K767" s="85">
        <f>STATS1003B!K767/1000</f>
        <v>0</v>
      </c>
      <c r="L767" s="85">
        <f>STATS1003B!L767/1000</f>
        <v>0</v>
      </c>
      <c r="M767" s="85">
        <f>STATS1003B!M767/1000</f>
        <v>432</v>
      </c>
      <c r="N767" s="85">
        <f>STATS1003B!N767/1000</f>
        <v>0</v>
      </c>
      <c r="O767" s="85">
        <f>STATS1003B!O767/1000</f>
        <v>0</v>
      </c>
      <c r="P767" s="85">
        <f>STATS1003B!P767/1000</f>
        <v>0</v>
      </c>
      <c r="Q767" s="85">
        <f>STATS1003B!Q767/1000</f>
        <v>432</v>
      </c>
      <c r="R767" s="85">
        <f>STATS1003B!R767/1000</f>
        <v>0</v>
      </c>
      <c r="S767" s="85">
        <f>STATS1003B!S767/1000</f>
        <v>0</v>
      </c>
      <c r="T767" s="85">
        <f>STATS1003B!T767/1000</f>
        <v>0</v>
      </c>
      <c r="U767" s="85">
        <f>STATS1003B!U767/1000</f>
        <v>0</v>
      </c>
      <c r="V767" s="85">
        <f>STATS1003B!V767/1000</f>
        <v>432</v>
      </c>
      <c r="W767" s="85">
        <f>STATS1003B!W767/1000</f>
        <v>0</v>
      </c>
      <c r="X767" s="85">
        <f t="shared" si="92"/>
        <v>432</v>
      </c>
      <c r="Y767" s="85">
        <f>STATS1003B!Y767/1000</f>
        <v>0</v>
      </c>
      <c r="Z767" s="85">
        <f t="shared" si="95"/>
        <v>0</v>
      </c>
      <c r="AA767" s="69">
        <f>STATS1003B!AA767/1000</f>
        <v>432</v>
      </c>
      <c r="AB767" s="69">
        <f>STATS1003B!AB767/1000</f>
        <v>0</v>
      </c>
    </row>
    <row r="768" spans="1:28" hidden="1" x14ac:dyDescent="0.3">
      <c r="A768" s="117"/>
      <c r="C768" s="68" t="s">
        <v>629</v>
      </c>
      <c r="D768" s="145" t="s">
        <v>128</v>
      </c>
      <c r="E768" s="85">
        <f>STATS1003B!E768/1000</f>
        <v>600</v>
      </c>
      <c r="F768" s="85">
        <f>STATS1003B!F768/1000</f>
        <v>600</v>
      </c>
      <c r="G768" s="85">
        <f>STATS1003B!G768/1000</f>
        <v>0</v>
      </c>
      <c r="H768" s="85">
        <f>STATS1003B!H768/1000</f>
        <v>600</v>
      </c>
      <c r="I768" s="85">
        <f>STATS1003B!I768/1000</f>
        <v>0</v>
      </c>
      <c r="J768" s="85">
        <f>STATS1003B!J768/1000</f>
        <v>600</v>
      </c>
      <c r="K768" s="85">
        <f>STATS1003B!K768/1000</f>
        <v>0</v>
      </c>
      <c r="L768" s="85">
        <f>STATS1003B!L768/1000</f>
        <v>0</v>
      </c>
      <c r="M768" s="85">
        <f>STATS1003B!M768/1000</f>
        <v>600</v>
      </c>
      <c r="N768" s="85">
        <f>STATS1003B!N768/1000</f>
        <v>0</v>
      </c>
      <c r="O768" s="85">
        <f>STATS1003B!O768/1000</f>
        <v>0</v>
      </c>
      <c r="P768" s="85">
        <f>STATS1003B!P768/1000</f>
        <v>0</v>
      </c>
      <c r="Q768" s="85">
        <f>STATS1003B!Q768/1000</f>
        <v>600</v>
      </c>
      <c r="R768" s="85">
        <f>STATS1003B!R768/1000</f>
        <v>0</v>
      </c>
      <c r="S768" s="85">
        <f>STATS1003B!S768/1000</f>
        <v>0</v>
      </c>
      <c r="T768" s="85">
        <f>STATS1003B!T768/1000</f>
        <v>0</v>
      </c>
      <c r="U768" s="85">
        <f>STATS1003B!U768/1000</f>
        <v>0</v>
      </c>
      <c r="V768" s="85">
        <f>STATS1003B!V768/1000</f>
        <v>600</v>
      </c>
      <c r="W768" s="85">
        <f>STATS1003B!W768/1000</f>
        <v>0</v>
      </c>
      <c r="X768" s="85">
        <f t="shared" si="92"/>
        <v>600</v>
      </c>
      <c r="Y768" s="85">
        <f>STATS1003B!Y768/1000</f>
        <v>0</v>
      </c>
      <c r="Z768" s="85">
        <f t="shared" si="95"/>
        <v>0</v>
      </c>
      <c r="AA768" s="69">
        <f>STATS1003B!AA768/1000</f>
        <v>600</v>
      </c>
      <c r="AB768" s="69">
        <f>STATS1003B!AB768/1000</f>
        <v>0</v>
      </c>
    </row>
    <row r="769" spans="1:28" hidden="1" x14ac:dyDescent="0.3">
      <c r="A769" s="117"/>
      <c r="C769" s="68" t="s">
        <v>535</v>
      </c>
      <c r="D769" s="145" t="s">
        <v>128</v>
      </c>
      <c r="E769" s="85">
        <f>STATS1003B!E769/1000</f>
        <v>477</v>
      </c>
      <c r="F769" s="85">
        <f>STATS1003B!F769/1000</f>
        <v>477</v>
      </c>
      <c r="G769" s="85">
        <f>STATS1003B!G769/1000</f>
        <v>0</v>
      </c>
      <c r="H769" s="85">
        <f>STATS1003B!H769/1000</f>
        <v>477</v>
      </c>
      <c r="I769" s="85">
        <f>STATS1003B!I769/1000</f>
        <v>0</v>
      </c>
      <c r="J769" s="85">
        <f>STATS1003B!J769/1000</f>
        <v>477</v>
      </c>
      <c r="K769" s="85">
        <f>STATS1003B!K769/1000</f>
        <v>0</v>
      </c>
      <c r="L769" s="85">
        <f>STATS1003B!L769/1000</f>
        <v>0</v>
      </c>
      <c r="M769" s="85">
        <f>STATS1003B!M769/1000</f>
        <v>477</v>
      </c>
      <c r="N769" s="85">
        <f>STATS1003B!N769/1000</f>
        <v>0</v>
      </c>
      <c r="O769" s="85">
        <f>STATS1003B!O769/1000</f>
        <v>0</v>
      </c>
      <c r="P769" s="85">
        <f>STATS1003B!P769/1000</f>
        <v>0</v>
      </c>
      <c r="Q769" s="85">
        <f>STATS1003B!Q769/1000</f>
        <v>477</v>
      </c>
      <c r="R769" s="85">
        <f>STATS1003B!R769/1000</f>
        <v>0</v>
      </c>
      <c r="S769" s="85">
        <f>STATS1003B!S769/1000</f>
        <v>0</v>
      </c>
      <c r="T769" s="85">
        <f>STATS1003B!T769/1000</f>
        <v>0</v>
      </c>
      <c r="U769" s="85">
        <f>STATS1003B!U769/1000</f>
        <v>0</v>
      </c>
      <c r="V769" s="85">
        <f>STATS1003B!V769/1000</f>
        <v>477</v>
      </c>
      <c r="W769" s="85">
        <f>STATS1003B!W769/1000</f>
        <v>0</v>
      </c>
      <c r="X769" s="85">
        <f t="shared" si="92"/>
        <v>477</v>
      </c>
      <c r="Y769" s="85">
        <f>STATS1003B!Y769/1000</f>
        <v>0</v>
      </c>
      <c r="Z769" s="85">
        <f t="shared" si="95"/>
        <v>0</v>
      </c>
      <c r="AA769" s="69">
        <f>STATS1003B!AA769/1000</f>
        <v>477</v>
      </c>
      <c r="AB769" s="69">
        <f>STATS1003B!AB769/1000</f>
        <v>0</v>
      </c>
    </row>
    <row r="770" spans="1:28" hidden="1" x14ac:dyDescent="0.3">
      <c r="A770" s="117"/>
      <c r="C770" s="68" t="s">
        <v>630</v>
      </c>
      <c r="D770" s="145" t="s">
        <v>128</v>
      </c>
      <c r="E770" s="85">
        <f>STATS1003B!E770/1000</f>
        <v>400</v>
      </c>
      <c r="F770" s="85">
        <f>STATS1003B!F770/1000</f>
        <v>400</v>
      </c>
      <c r="G770" s="85">
        <f>STATS1003B!G770/1000</f>
        <v>0</v>
      </c>
      <c r="H770" s="85">
        <f>STATS1003B!H770/1000</f>
        <v>400</v>
      </c>
      <c r="I770" s="85">
        <f>STATS1003B!I770/1000</f>
        <v>0</v>
      </c>
      <c r="J770" s="85">
        <f>STATS1003B!J770/1000</f>
        <v>400</v>
      </c>
      <c r="K770" s="85">
        <f>STATS1003B!K770/1000</f>
        <v>0</v>
      </c>
      <c r="L770" s="85">
        <f>STATS1003B!L770/1000</f>
        <v>0</v>
      </c>
      <c r="M770" s="85">
        <f>STATS1003B!M770/1000</f>
        <v>400</v>
      </c>
      <c r="N770" s="85">
        <f>STATS1003B!N770/1000</f>
        <v>0</v>
      </c>
      <c r="O770" s="85">
        <f>STATS1003B!O770/1000</f>
        <v>0</v>
      </c>
      <c r="P770" s="85">
        <f>STATS1003B!P770/1000</f>
        <v>0</v>
      </c>
      <c r="Q770" s="85">
        <f>STATS1003B!Q770/1000</f>
        <v>400</v>
      </c>
      <c r="R770" s="85">
        <f>STATS1003B!R770/1000</f>
        <v>0</v>
      </c>
      <c r="S770" s="85">
        <f>STATS1003B!S770/1000</f>
        <v>0</v>
      </c>
      <c r="T770" s="85">
        <f>STATS1003B!T770/1000</f>
        <v>0</v>
      </c>
      <c r="U770" s="85">
        <f>STATS1003B!U770/1000</f>
        <v>0</v>
      </c>
      <c r="V770" s="85">
        <f>STATS1003B!V770/1000</f>
        <v>400</v>
      </c>
      <c r="W770" s="85">
        <f>STATS1003B!W770/1000</f>
        <v>0</v>
      </c>
      <c r="X770" s="85">
        <f t="shared" si="92"/>
        <v>400</v>
      </c>
      <c r="Y770" s="85">
        <f>STATS1003B!Y770/1000</f>
        <v>0</v>
      </c>
      <c r="Z770" s="85">
        <f t="shared" si="95"/>
        <v>0</v>
      </c>
      <c r="AA770" s="69">
        <f>STATS1003B!AA770/1000</f>
        <v>400</v>
      </c>
      <c r="AB770" s="69">
        <f>STATS1003B!AB770/1000</f>
        <v>0</v>
      </c>
    </row>
    <row r="771" spans="1:28" hidden="1" x14ac:dyDescent="0.3">
      <c r="A771" s="117"/>
      <c r="C771" s="68" t="s">
        <v>535</v>
      </c>
      <c r="D771" s="145" t="s">
        <v>88</v>
      </c>
      <c r="E771" s="85">
        <f>STATS1003B!E771/1000</f>
        <v>1100</v>
      </c>
      <c r="F771" s="85">
        <f>STATS1003B!F771/1000</f>
        <v>1100</v>
      </c>
      <c r="G771" s="85">
        <f>STATS1003B!G771/1000</f>
        <v>0</v>
      </c>
      <c r="H771" s="85">
        <f>STATS1003B!H771/1000</f>
        <v>1100</v>
      </c>
      <c r="I771" s="85">
        <f>STATS1003B!I771/1000</f>
        <v>0</v>
      </c>
      <c r="J771" s="85">
        <f>STATS1003B!J771/1000</f>
        <v>1100</v>
      </c>
      <c r="K771" s="85">
        <f>STATS1003B!K771/1000</f>
        <v>0</v>
      </c>
      <c r="L771" s="85">
        <f>STATS1003B!L771/1000</f>
        <v>0</v>
      </c>
      <c r="M771" s="85">
        <f>STATS1003B!M771/1000</f>
        <v>1100</v>
      </c>
      <c r="N771" s="85">
        <f>STATS1003B!N771/1000</f>
        <v>0</v>
      </c>
      <c r="O771" s="85">
        <f>STATS1003B!O771/1000</f>
        <v>0</v>
      </c>
      <c r="P771" s="85">
        <f>STATS1003B!P771/1000</f>
        <v>0</v>
      </c>
      <c r="Q771" s="85">
        <f>STATS1003B!Q771/1000</f>
        <v>1100</v>
      </c>
      <c r="R771" s="85">
        <f>STATS1003B!R771/1000</f>
        <v>0</v>
      </c>
      <c r="S771" s="85">
        <f>STATS1003B!S771/1000</f>
        <v>0</v>
      </c>
      <c r="T771" s="85">
        <f>STATS1003B!T771/1000</f>
        <v>0</v>
      </c>
      <c r="U771" s="85">
        <f>STATS1003B!U771/1000</f>
        <v>0</v>
      </c>
      <c r="V771" s="85">
        <f>STATS1003B!V771/1000</f>
        <v>1100</v>
      </c>
      <c r="W771" s="85">
        <f>STATS1003B!W771/1000</f>
        <v>0</v>
      </c>
      <c r="X771" s="85">
        <f t="shared" si="92"/>
        <v>1100</v>
      </c>
      <c r="Y771" s="85">
        <f>STATS1003B!Y771/1000</f>
        <v>0</v>
      </c>
      <c r="Z771" s="85">
        <f t="shared" si="95"/>
        <v>0</v>
      </c>
      <c r="AA771" s="69">
        <f>STATS1003B!AA771/1000</f>
        <v>1100</v>
      </c>
      <c r="AB771" s="69">
        <f>STATS1003B!AB771/1000</f>
        <v>0</v>
      </c>
    </row>
    <row r="772" spans="1:28" hidden="1" x14ac:dyDescent="0.3">
      <c r="A772" s="117"/>
      <c r="C772" s="68" t="s">
        <v>535</v>
      </c>
      <c r="D772" s="145" t="s">
        <v>58</v>
      </c>
      <c r="E772" s="85">
        <f>STATS1003B!E772/1000</f>
        <v>1234.67</v>
      </c>
      <c r="F772" s="85">
        <f>STATS1003B!F772/1000</f>
        <v>1234.67</v>
      </c>
      <c r="G772" s="85">
        <f>STATS1003B!G772/1000</f>
        <v>0</v>
      </c>
      <c r="H772" s="85">
        <f>STATS1003B!H772/1000</f>
        <v>1234.67</v>
      </c>
      <c r="I772" s="85">
        <f>STATS1003B!I772/1000</f>
        <v>0</v>
      </c>
      <c r="J772" s="85">
        <f>STATS1003B!J772/1000</f>
        <v>1234.67</v>
      </c>
      <c r="K772" s="85">
        <f>STATS1003B!K772/1000</f>
        <v>0</v>
      </c>
      <c r="L772" s="85">
        <f>STATS1003B!L772/1000</f>
        <v>0</v>
      </c>
      <c r="M772" s="85">
        <f>STATS1003B!M772/1000</f>
        <v>1234.67</v>
      </c>
      <c r="N772" s="85">
        <f>STATS1003B!N772/1000</f>
        <v>0</v>
      </c>
      <c r="O772" s="85">
        <f>STATS1003B!O772/1000</f>
        <v>0</v>
      </c>
      <c r="P772" s="85">
        <f>STATS1003B!P772/1000</f>
        <v>0</v>
      </c>
      <c r="Q772" s="85">
        <f>STATS1003B!Q772/1000</f>
        <v>1234.67</v>
      </c>
      <c r="R772" s="85">
        <f>STATS1003B!R772/1000</f>
        <v>0</v>
      </c>
      <c r="S772" s="85">
        <f>STATS1003B!S772/1000</f>
        <v>0</v>
      </c>
      <c r="T772" s="85">
        <f>STATS1003B!T772/1000</f>
        <v>0</v>
      </c>
      <c r="U772" s="85">
        <f>STATS1003B!U772/1000</f>
        <v>0</v>
      </c>
      <c r="V772" s="85">
        <f>STATS1003B!V772/1000</f>
        <v>1234.67</v>
      </c>
      <c r="W772" s="85">
        <f>STATS1003B!W772/1000</f>
        <v>0</v>
      </c>
      <c r="X772" s="85">
        <f t="shared" si="92"/>
        <v>1234.67</v>
      </c>
      <c r="Y772" s="85">
        <f>STATS1003B!Y772/1000</f>
        <v>0</v>
      </c>
      <c r="Z772" s="85">
        <f t="shared" si="95"/>
        <v>0</v>
      </c>
      <c r="AA772" s="69">
        <f>STATS1003B!AA772/1000</f>
        <v>1234.67</v>
      </c>
      <c r="AB772" s="69">
        <f>STATS1003B!AB772/1000</f>
        <v>0</v>
      </c>
    </row>
    <row r="773" spans="1:28" hidden="1" x14ac:dyDescent="0.3">
      <c r="A773" s="117"/>
      <c r="C773" s="71" t="s">
        <v>535</v>
      </c>
      <c r="D773" s="88" t="s">
        <v>73</v>
      </c>
      <c r="E773" s="85">
        <f>STATS1003B!E773/1000</f>
        <v>492</v>
      </c>
      <c r="F773" s="85">
        <f>STATS1003B!F773/1000</f>
        <v>492</v>
      </c>
      <c r="G773" s="85">
        <f>STATS1003B!G773/1000</f>
        <v>0</v>
      </c>
      <c r="H773" s="85">
        <f>STATS1003B!H773/1000</f>
        <v>492</v>
      </c>
      <c r="I773" s="85">
        <f>STATS1003B!I773/1000</f>
        <v>0</v>
      </c>
      <c r="J773" s="85">
        <f>STATS1003B!J773/1000</f>
        <v>492</v>
      </c>
      <c r="K773" s="85">
        <f>STATS1003B!K773/1000</f>
        <v>0</v>
      </c>
      <c r="L773" s="85">
        <f>STATS1003B!L773/1000</f>
        <v>0</v>
      </c>
      <c r="M773" s="85">
        <f>STATS1003B!M773/1000</f>
        <v>492</v>
      </c>
      <c r="N773" s="85">
        <f>STATS1003B!N773/1000</f>
        <v>0</v>
      </c>
      <c r="O773" s="85">
        <f>STATS1003B!O773/1000</f>
        <v>0</v>
      </c>
      <c r="P773" s="85">
        <f>STATS1003B!P773/1000</f>
        <v>0</v>
      </c>
      <c r="Q773" s="85">
        <f>STATS1003B!Q773/1000</f>
        <v>492</v>
      </c>
      <c r="R773" s="85">
        <f>STATS1003B!R773/1000</f>
        <v>0</v>
      </c>
      <c r="S773" s="85">
        <f>STATS1003B!S773/1000</f>
        <v>0</v>
      </c>
      <c r="T773" s="85">
        <f>STATS1003B!T773/1000</f>
        <v>0</v>
      </c>
      <c r="U773" s="85">
        <f>STATS1003B!U773/1000</f>
        <v>0</v>
      </c>
      <c r="V773" s="85">
        <f>STATS1003B!V773/1000</f>
        <v>492</v>
      </c>
      <c r="W773" s="85">
        <f>STATS1003B!W773/1000</f>
        <v>0</v>
      </c>
      <c r="X773" s="85">
        <f t="shared" ref="X773:X836" si="100">+H773+P773</f>
        <v>492</v>
      </c>
      <c r="Y773" s="85">
        <f>STATS1003B!Y773/1000</f>
        <v>0</v>
      </c>
      <c r="Z773" s="85">
        <f t="shared" si="95"/>
        <v>0</v>
      </c>
      <c r="AA773" s="69">
        <f>STATS1003B!AA773/1000</f>
        <v>492</v>
      </c>
      <c r="AB773" s="69">
        <f>STATS1003B!AB773/1000</f>
        <v>0</v>
      </c>
    </row>
    <row r="774" spans="1:28" hidden="1" x14ac:dyDescent="0.3">
      <c r="A774" s="117"/>
      <c r="C774" s="71" t="s">
        <v>535</v>
      </c>
      <c r="D774" s="88" t="s">
        <v>61</v>
      </c>
      <c r="E774" s="85">
        <f>STATS1003B!E774/1000</f>
        <v>434</v>
      </c>
      <c r="F774" s="85">
        <f>STATS1003B!F774/1000</f>
        <v>434</v>
      </c>
      <c r="G774" s="85">
        <f>STATS1003B!G774/1000</f>
        <v>0</v>
      </c>
      <c r="H774" s="85">
        <f>STATS1003B!H774/1000</f>
        <v>434</v>
      </c>
      <c r="I774" s="85">
        <f>STATS1003B!I774/1000</f>
        <v>0</v>
      </c>
      <c r="J774" s="85">
        <f>STATS1003B!J774/1000</f>
        <v>434</v>
      </c>
      <c r="K774" s="85">
        <f>STATS1003B!K774/1000</f>
        <v>0</v>
      </c>
      <c r="L774" s="85">
        <f>STATS1003B!L774/1000</f>
        <v>0</v>
      </c>
      <c r="M774" s="85">
        <f>STATS1003B!M774/1000</f>
        <v>434</v>
      </c>
      <c r="N774" s="85">
        <f>STATS1003B!N774/1000</f>
        <v>0</v>
      </c>
      <c r="O774" s="85">
        <f>STATS1003B!O774/1000</f>
        <v>0</v>
      </c>
      <c r="P774" s="85">
        <f>STATS1003B!P774/1000</f>
        <v>0</v>
      </c>
      <c r="Q774" s="85">
        <f>STATS1003B!Q774/1000</f>
        <v>434</v>
      </c>
      <c r="R774" s="85">
        <f>STATS1003B!R774/1000</f>
        <v>0</v>
      </c>
      <c r="S774" s="85">
        <f>STATS1003B!S774/1000</f>
        <v>0</v>
      </c>
      <c r="T774" s="85">
        <f>STATS1003B!T774/1000</f>
        <v>0</v>
      </c>
      <c r="U774" s="85">
        <f>STATS1003B!U774/1000</f>
        <v>0</v>
      </c>
      <c r="V774" s="85">
        <f>STATS1003B!V774/1000</f>
        <v>434</v>
      </c>
      <c r="W774" s="85">
        <f>STATS1003B!W774/1000</f>
        <v>0</v>
      </c>
      <c r="X774" s="85">
        <f t="shared" si="100"/>
        <v>434</v>
      </c>
      <c r="Y774" s="85">
        <f>STATS1003B!Y774/1000</f>
        <v>0</v>
      </c>
      <c r="Z774" s="85">
        <f t="shared" si="95"/>
        <v>0</v>
      </c>
      <c r="AA774" s="69">
        <f>STATS1003B!AA774/1000</f>
        <v>434</v>
      </c>
      <c r="AB774" s="69">
        <f>STATS1003B!AB774/1000</f>
        <v>0</v>
      </c>
    </row>
    <row r="775" spans="1:28" hidden="1" x14ac:dyDescent="0.3">
      <c r="A775" s="117"/>
      <c r="C775" s="71" t="s">
        <v>1182</v>
      </c>
      <c r="D775" s="89" t="s">
        <v>1126</v>
      </c>
      <c r="E775" s="85">
        <f>STATS1003B!E775/1000</f>
        <v>855.20096000000001</v>
      </c>
      <c r="F775" s="85">
        <f>STATS1003B!F775/1000</f>
        <v>855.20096000000001</v>
      </c>
      <c r="G775" s="85">
        <f>STATS1003B!G775/1000</f>
        <v>0</v>
      </c>
      <c r="H775" s="85">
        <f>STATS1003B!H775/1000</f>
        <v>855.20096000000001</v>
      </c>
      <c r="I775" s="85">
        <f>STATS1003B!I775/1000</f>
        <v>0</v>
      </c>
      <c r="J775" s="85">
        <f>STATS1003B!J775/1000</f>
        <v>855.20096000000001</v>
      </c>
      <c r="K775" s="85">
        <f>STATS1003B!K775/1000</f>
        <v>0</v>
      </c>
      <c r="L775" s="85">
        <f>STATS1003B!L775/1000</f>
        <v>0</v>
      </c>
      <c r="M775" s="85">
        <f>STATS1003B!M775/1000</f>
        <v>855.20096000000001</v>
      </c>
      <c r="N775" s="85">
        <f>STATS1003B!N775/1000</f>
        <v>0</v>
      </c>
      <c r="O775" s="85">
        <f>STATS1003B!O775/1000</f>
        <v>0</v>
      </c>
      <c r="P775" s="85">
        <f>STATS1003B!P775/1000</f>
        <v>0</v>
      </c>
      <c r="Q775" s="85">
        <f>STATS1003B!Q775/1000</f>
        <v>0</v>
      </c>
      <c r="R775" s="85">
        <f>STATS1003B!R775/1000</f>
        <v>0</v>
      </c>
      <c r="S775" s="85">
        <f>STATS1003B!S775/1000</f>
        <v>0</v>
      </c>
      <c r="T775" s="85">
        <f>STATS1003B!T775/1000</f>
        <v>0</v>
      </c>
      <c r="U775" s="85">
        <f>STATS1003B!U775/1000</f>
        <v>0</v>
      </c>
      <c r="V775" s="85">
        <f>STATS1003B!V775/1000</f>
        <v>855.20096000000001</v>
      </c>
      <c r="W775" s="85">
        <f>STATS1003B!W775/1000</f>
        <v>0</v>
      </c>
      <c r="X775" s="85">
        <f t="shared" si="100"/>
        <v>855.20096000000001</v>
      </c>
      <c r="Y775" s="85">
        <f>STATS1003B!Y775/1000</f>
        <v>0</v>
      </c>
      <c r="Z775" s="85">
        <f t="shared" si="95"/>
        <v>0</v>
      </c>
      <c r="AA775" s="69">
        <f>STATS1003B!AA775/1000</f>
        <v>855.20096000000001</v>
      </c>
      <c r="AB775" s="69">
        <f>STATS1003B!AB775/1000</f>
        <v>0</v>
      </c>
    </row>
    <row r="776" spans="1:28" hidden="1" x14ac:dyDescent="0.3">
      <c r="A776" s="117"/>
      <c r="C776" s="71" t="s">
        <v>933</v>
      </c>
      <c r="D776" s="89" t="s">
        <v>1072</v>
      </c>
      <c r="E776" s="85">
        <f>STATS1003B!E776/1000</f>
        <v>343</v>
      </c>
      <c r="F776" s="85">
        <f>STATS1003B!F776/1000</f>
        <v>343</v>
      </c>
      <c r="G776" s="85">
        <f>STATS1003B!G776/1000</f>
        <v>0</v>
      </c>
      <c r="H776" s="85">
        <f>STATS1003B!H776/1000</f>
        <v>343</v>
      </c>
      <c r="I776" s="85">
        <f>STATS1003B!I776/1000</f>
        <v>0</v>
      </c>
      <c r="J776" s="85">
        <f>STATS1003B!J776/1000</f>
        <v>343</v>
      </c>
      <c r="K776" s="85">
        <f>STATS1003B!K776/1000</f>
        <v>0</v>
      </c>
      <c r="L776" s="85">
        <f>STATS1003B!L776/1000</f>
        <v>0</v>
      </c>
      <c r="M776" s="85">
        <f>STATS1003B!M776/1000</f>
        <v>343</v>
      </c>
      <c r="N776" s="85">
        <f>STATS1003B!N776/1000</f>
        <v>0</v>
      </c>
      <c r="O776" s="85">
        <f>STATS1003B!O776/1000</f>
        <v>0</v>
      </c>
      <c r="P776" s="85">
        <f>STATS1003B!P776/1000</f>
        <v>0</v>
      </c>
      <c r="Q776" s="85">
        <f>STATS1003B!Q776/1000</f>
        <v>343</v>
      </c>
      <c r="R776" s="85">
        <f>STATS1003B!R776/1000</f>
        <v>0</v>
      </c>
      <c r="S776" s="85">
        <f>STATS1003B!S776/1000</f>
        <v>0</v>
      </c>
      <c r="T776" s="85">
        <f>STATS1003B!T776/1000</f>
        <v>0</v>
      </c>
      <c r="U776" s="85">
        <f>STATS1003B!U776/1000</f>
        <v>0</v>
      </c>
      <c r="V776" s="85">
        <f>STATS1003B!V776/1000</f>
        <v>343</v>
      </c>
      <c r="W776" s="85">
        <f>STATS1003B!W776/1000</f>
        <v>0</v>
      </c>
      <c r="X776" s="85">
        <f t="shared" si="100"/>
        <v>343</v>
      </c>
      <c r="Y776" s="85">
        <f>STATS1003B!Y776/1000</f>
        <v>0</v>
      </c>
      <c r="Z776" s="85">
        <f t="shared" si="95"/>
        <v>0</v>
      </c>
      <c r="AA776" s="69">
        <f>STATS1003B!AA776/1000</f>
        <v>343</v>
      </c>
      <c r="AB776" s="69">
        <f>STATS1003B!AB776/1000</f>
        <v>0</v>
      </c>
    </row>
    <row r="777" spans="1:28" hidden="1" x14ac:dyDescent="0.3">
      <c r="A777" s="117"/>
      <c r="C777" s="71" t="s">
        <v>1257</v>
      </c>
      <c r="D777" s="89" t="s">
        <v>1225</v>
      </c>
      <c r="E777" s="85">
        <f>STATS1003B!E777/1000</f>
        <v>250</v>
      </c>
      <c r="F777" s="85">
        <f>STATS1003B!F777/1000</f>
        <v>0</v>
      </c>
      <c r="G777" s="85">
        <f>STATS1003B!G777/1000</f>
        <v>250</v>
      </c>
      <c r="H777" s="85">
        <f>STATS1003B!H777/1000</f>
        <v>250</v>
      </c>
      <c r="I777" s="85">
        <f>STATS1003B!I777/1000</f>
        <v>0</v>
      </c>
      <c r="J777" s="85">
        <f>STATS1003B!J777/1000</f>
        <v>250</v>
      </c>
      <c r="K777" s="85">
        <f>STATS1003B!K777/1000</f>
        <v>0</v>
      </c>
      <c r="L777" s="85">
        <f>STATS1003B!L777/1000</f>
        <v>0</v>
      </c>
      <c r="M777" s="85">
        <f>STATS1003B!M777/1000</f>
        <v>250</v>
      </c>
      <c r="N777" s="85">
        <f>STATS1003B!N777/1000</f>
        <v>0</v>
      </c>
      <c r="O777" s="85">
        <f>STATS1003B!O777/1000</f>
        <v>0</v>
      </c>
      <c r="P777" s="85">
        <f>STATS1003B!P777/1000</f>
        <v>0</v>
      </c>
      <c r="Q777" s="85">
        <f>STATS1003B!Q777/1000</f>
        <v>250</v>
      </c>
      <c r="R777" s="85">
        <f>STATS1003B!R777/1000</f>
        <v>0</v>
      </c>
      <c r="S777" s="85">
        <f>STATS1003B!S777/1000</f>
        <v>0</v>
      </c>
      <c r="T777" s="85">
        <f>STATS1003B!T777/1000</f>
        <v>0</v>
      </c>
      <c r="U777" s="85">
        <f>STATS1003B!U777/1000</f>
        <v>0</v>
      </c>
      <c r="V777" s="85">
        <f>STATS1003B!V777/1000</f>
        <v>250</v>
      </c>
      <c r="W777" s="85">
        <f>STATS1003B!W777/1000</f>
        <v>0</v>
      </c>
      <c r="X777" s="85">
        <f t="shared" si="100"/>
        <v>250</v>
      </c>
      <c r="Y777" s="85">
        <f>STATS1003B!Y777/1000</f>
        <v>0</v>
      </c>
      <c r="Z777" s="85">
        <f t="shared" si="95"/>
        <v>0</v>
      </c>
      <c r="AA777" s="69">
        <f>STATS1003B!AA777/1000</f>
        <v>250</v>
      </c>
      <c r="AB777" s="69">
        <f>STATS1003B!AB777/1000</f>
        <v>0</v>
      </c>
    </row>
    <row r="778" spans="1:28" hidden="1" x14ac:dyDescent="0.3">
      <c r="A778" s="117"/>
      <c r="C778" s="71" t="s">
        <v>567</v>
      </c>
      <c r="D778" s="88" t="s">
        <v>61</v>
      </c>
      <c r="E778" s="85">
        <f>STATS1003B!E778/1000</f>
        <v>500.74213000000003</v>
      </c>
      <c r="F778" s="85">
        <f>STATS1003B!F778/1000</f>
        <v>494.44582000000003</v>
      </c>
      <c r="G778" s="85">
        <f>STATS1003B!G778/1000</f>
        <v>0</v>
      </c>
      <c r="H778" s="85">
        <f>STATS1003B!H778/1000</f>
        <v>494.44582000000003</v>
      </c>
      <c r="I778" s="85">
        <f>STATS1003B!I778/1000</f>
        <v>0</v>
      </c>
      <c r="J778" s="85">
        <f>STATS1003B!J778/1000</f>
        <v>494.44582000000003</v>
      </c>
      <c r="K778" s="85">
        <f>STATS1003B!K778/1000</f>
        <v>0</v>
      </c>
      <c r="L778" s="85">
        <f>STATS1003B!L778/1000</f>
        <v>0</v>
      </c>
      <c r="M778" s="85">
        <f>STATS1003B!M778/1000</f>
        <v>494.44582000000003</v>
      </c>
      <c r="N778" s="85">
        <f>STATS1003B!N778/1000</f>
        <v>0</v>
      </c>
      <c r="O778" s="85">
        <f>STATS1003B!O778/1000</f>
        <v>0</v>
      </c>
      <c r="P778" s="85">
        <f>STATS1003B!P778/1000</f>
        <v>0</v>
      </c>
      <c r="Q778" s="85">
        <f>STATS1003B!Q778/1000</f>
        <v>500.74213000000003</v>
      </c>
      <c r="R778" s="85">
        <f>STATS1003B!R778/1000</f>
        <v>0</v>
      </c>
      <c r="S778" s="85">
        <f>STATS1003B!S778/1000</f>
        <v>0</v>
      </c>
      <c r="T778" s="85">
        <f>STATS1003B!T778/1000</f>
        <v>6.2963100000000001</v>
      </c>
      <c r="U778" s="85">
        <f>STATS1003B!U778/1000</f>
        <v>6.2963100000000001</v>
      </c>
      <c r="V778" s="85">
        <f>STATS1003B!V778/1000</f>
        <v>494.44582000000003</v>
      </c>
      <c r="W778" s="85">
        <f>STATS1003B!W778/1000</f>
        <v>6.2963099999999974</v>
      </c>
      <c r="X778" s="85">
        <f t="shared" si="100"/>
        <v>494.44582000000003</v>
      </c>
      <c r="Y778" s="85">
        <f>STATS1003B!Y778/1000</f>
        <v>0</v>
      </c>
      <c r="Z778" s="85">
        <f t="shared" si="95"/>
        <v>6.2963100000000054</v>
      </c>
      <c r="AA778" s="69">
        <f>STATS1003B!AA778/1000</f>
        <v>500.74213000000003</v>
      </c>
      <c r="AB778" s="69">
        <f>STATS1003B!AB778/1000</f>
        <v>0</v>
      </c>
    </row>
    <row r="779" spans="1:28" hidden="1" x14ac:dyDescent="0.3">
      <c r="A779" s="117"/>
      <c r="C779" s="68" t="s">
        <v>606</v>
      </c>
      <c r="E779" s="85">
        <f>STATS1003B!E779/1000</f>
        <v>2105.1361099999999</v>
      </c>
      <c r="F779" s="85">
        <f>STATS1003B!F779/1000</f>
        <v>2105.1361099999999</v>
      </c>
      <c r="G779" s="85">
        <f>STATS1003B!G779/1000</f>
        <v>0</v>
      </c>
      <c r="H779" s="85">
        <f>STATS1003B!H779/1000</f>
        <v>2105.1361099999999</v>
      </c>
      <c r="I779" s="85">
        <f>STATS1003B!I779/1000</f>
        <v>3.0000000260770321E-6</v>
      </c>
      <c r="J779" s="85">
        <f>STATS1003B!J779/1000</f>
        <v>2105.136113</v>
      </c>
      <c r="K779" s="85">
        <f>STATS1003B!K779/1000</f>
        <v>0</v>
      </c>
      <c r="L779" s="85">
        <f>STATS1003B!L779/1000</f>
        <v>0</v>
      </c>
      <c r="M779" s="85">
        <f>STATS1003B!M779/1000</f>
        <v>2105.1361099999999</v>
      </c>
      <c r="N779" s="85">
        <f>STATS1003B!N779/1000</f>
        <v>0</v>
      </c>
      <c r="O779" s="85">
        <f>STATS1003B!O779/1000</f>
        <v>0</v>
      </c>
      <c r="P779" s="85">
        <f>STATS1003B!P779/1000</f>
        <v>0</v>
      </c>
      <c r="Q779" s="85">
        <f>STATS1003B!Q779/1000</f>
        <v>2105.1361099999999</v>
      </c>
      <c r="R779" s="85">
        <f>STATS1003B!R779/1000</f>
        <v>0</v>
      </c>
      <c r="S779" s="85">
        <f>STATS1003B!S779/1000</f>
        <v>0</v>
      </c>
      <c r="T779" s="85">
        <f>STATS1003B!T779/1000</f>
        <v>0</v>
      </c>
      <c r="U779" s="85">
        <f>STATS1003B!U779/1000</f>
        <v>0</v>
      </c>
      <c r="V779" s="85">
        <f>STATS1003B!V779/1000</f>
        <v>2105.1361099999999</v>
      </c>
      <c r="W779" s="85">
        <f>STATS1003B!W779/1000</f>
        <v>0</v>
      </c>
      <c r="X779" s="85">
        <f t="shared" si="100"/>
        <v>2105.1361099999999</v>
      </c>
      <c r="Y779" s="85">
        <f>STATS1003B!Y779/1000</f>
        <v>0</v>
      </c>
      <c r="Z779" s="85">
        <f t="shared" si="95"/>
        <v>0</v>
      </c>
      <c r="AA779" s="69">
        <f>STATS1003B!AA779/1000</f>
        <v>2105.1361099999999</v>
      </c>
      <c r="AB779" s="69">
        <f>STATS1003B!AB779/1000</f>
        <v>0</v>
      </c>
    </row>
    <row r="780" spans="1:28" hidden="1" x14ac:dyDescent="0.3">
      <c r="A780" s="117"/>
      <c r="E780" s="86" t="s">
        <v>29</v>
      </c>
      <c r="F780" s="86" t="s">
        <v>29</v>
      </c>
      <c r="G780" s="86" t="s">
        <v>29</v>
      </c>
      <c r="H780" s="86" t="s">
        <v>29</v>
      </c>
      <c r="I780" s="86" t="s">
        <v>29</v>
      </c>
      <c r="J780" s="86" t="s">
        <v>29</v>
      </c>
      <c r="K780" s="86" t="s">
        <v>29</v>
      </c>
      <c r="L780" s="86" t="s">
        <v>29</v>
      </c>
      <c r="M780" s="86" t="s">
        <v>29</v>
      </c>
      <c r="N780" s="86" t="s">
        <v>29</v>
      </c>
      <c r="O780" s="86" t="s">
        <v>29</v>
      </c>
      <c r="P780" s="86" t="s">
        <v>29</v>
      </c>
      <c r="Q780" s="86" t="s">
        <v>29</v>
      </c>
      <c r="R780" s="86" t="s">
        <v>29</v>
      </c>
      <c r="S780" s="86" t="s">
        <v>29</v>
      </c>
      <c r="T780" s="86" t="s">
        <v>29</v>
      </c>
      <c r="U780" s="86" t="s">
        <v>29</v>
      </c>
      <c r="V780" s="86" t="s">
        <v>29</v>
      </c>
      <c r="W780" s="86" t="s">
        <v>29</v>
      </c>
      <c r="X780" s="85" t="e">
        <f t="shared" si="100"/>
        <v>#VALUE!</v>
      </c>
      <c r="Y780" s="86" t="s">
        <v>29</v>
      </c>
      <c r="Z780" s="85" t="e">
        <f t="shared" si="95"/>
        <v>#VALUE!</v>
      </c>
      <c r="AA780" s="115" t="s">
        <v>29</v>
      </c>
      <c r="AB780" s="115" t="s">
        <v>29</v>
      </c>
    </row>
    <row r="781" spans="1:28" x14ac:dyDescent="0.3">
      <c r="A781" s="116">
        <v>37</v>
      </c>
      <c r="B781" s="68" t="s">
        <v>627</v>
      </c>
      <c r="E781" s="85">
        <f>62440198.67/1000</f>
        <v>62440.198670000005</v>
      </c>
      <c r="F781" s="85">
        <f t="shared" ref="F781:Q781" si="101">SUM(F760:F780)</f>
        <v>15247.10751</v>
      </c>
      <c r="G781" s="85">
        <f t="shared" si="101"/>
        <v>250</v>
      </c>
      <c r="H781" s="85">
        <f>60188773.74/1000</f>
        <v>60188.773740000004</v>
      </c>
      <c r="I781" s="85">
        <f t="shared" si="101"/>
        <v>3.0000000260770321E-6</v>
      </c>
      <c r="J781" s="85">
        <f t="shared" si="101"/>
        <v>15497.107513000001</v>
      </c>
      <c r="K781" s="85">
        <f t="shared" si="101"/>
        <v>2245.1286199999995</v>
      </c>
      <c r="L781" s="85">
        <f t="shared" si="101"/>
        <v>0</v>
      </c>
      <c r="M781" s="85">
        <f t="shared" si="101"/>
        <v>15497.10751</v>
      </c>
      <c r="N781" s="85">
        <f t="shared" si="101"/>
        <v>2245.12862</v>
      </c>
      <c r="O781" s="85">
        <f t="shared" si="101"/>
        <v>0</v>
      </c>
      <c r="P781" s="85">
        <f>2245128/1000</f>
        <v>2245.1280000000002</v>
      </c>
      <c r="Q781" s="85">
        <f t="shared" si="101"/>
        <v>14648.202859999999</v>
      </c>
      <c r="R781" s="86"/>
      <c r="S781" s="86"/>
      <c r="T781" s="85">
        <f t="shared" ref="T781:Y781" si="102">SUM(T760:T780)</f>
        <v>6.2963100000000001</v>
      </c>
      <c r="U781" s="85">
        <f t="shared" si="102"/>
        <v>2251.4249300000001</v>
      </c>
      <c r="V781" s="85">
        <f t="shared" si="102"/>
        <v>17742.236130000001</v>
      </c>
      <c r="W781" s="85">
        <f t="shared" si="102"/>
        <v>6.2963099999999974</v>
      </c>
      <c r="X781" s="85">
        <f>+H781+P781</f>
        <v>62433.901740000001</v>
      </c>
      <c r="Y781" s="85">
        <f t="shared" si="102"/>
        <v>0</v>
      </c>
      <c r="Z781" s="85">
        <f t="shared" si="95"/>
        <v>6.2969300000040676</v>
      </c>
      <c r="AA781" s="69">
        <f>SUM(AA760:AA780)</f>
        <v>17748.532439999999</v>
      </c>
      <c r="AB781" s="69">
        <f>SUM(AB760:AB780)</f>
        <v>0</v>
      </c>
    </row>
    <row r="782" spans="1:28" hidden="1" x14ac:dyDescent="0.3">
      <c r="A782" s="117"/>
      <c r="E782" s="86" t="s">
        <v>29</v>
      </c>
      <c r="F782" s="86" t="s">
        <v>29</v>
      </c>
      <c r="G782" s="86" t="s">
        <v>29</v>
      </c>
      <c r="H782" s="86" t="s">
        <v>29</v>
      </c>
      <c r="I782" s="86" t="s">
        <v>29</v>
      </c>
      <c r="J782" s="86" t="s">
        <v>29</v>
      </c>
      <c r="K782" s="86" t="s">
        <v>29</v>
      </c>
      <c r="L782" s="86" t="s">
        <v>29</v>
      </c>
      <c r="M782" s="86" t="s">
        <v>29</v>
      </c>
      <c r="N782" s="86" t="s">
        <v>29</v>
      </c>
      <c r="O782" s="86" t="s">
        <v>29</v>
      </c>
      <c r="P782" s="86" t="s">
        <v>29</v>
      </c>
      <c r="Q782" s="86" t="s">
        <v>29</v>
      </c>
      <c r="R782" s="86" t="s">
        <v>29</v>
      </c>
      <c r="S782" s="86" t="s">
        <v>29</v>
      </c>
      <c r="T782" s="86" t="s">
        <v>29</v>
      </c>
      <c r="U782" s="86" t="s">
        <v>29</v>
      </c>
      <c r="V782" s="86" t="s">
        <v>29</v>
      </c>
      <c r="W782" s="86" t="s">
        <v>29</v>
      </c>
      <c r="X782" s="85" t="e">
        <f t="shared" si="100"/>
        <v>#VALUE!</v>
      </c>
      <c r="Y782" s="86" t="s">
        <v>29</v>
      </c>
      <c r="Z782" s="85" t="e">
        <f t="shared" si="95"/>
        <v>#VALUE!</v>
      </c>
      <c r="AA782" s="115" t="s">
        <v>29</v>
      </c>
      <c r="AB782" s="115" t="s">
        <v>29</v>
      </c>
    </row>
    <row r="783" spans="1:28" hidden="1" x14ac:dyDescent="0.3">
      <c r="A783" s="105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6"/>
      <c r="S783" s="86"/>
      <c r="T783" s="86"/>
      <c r="U783" s="86"/>
      <c r="V783" s="86"/>
      <c r="W783" s="86"/>
      <c r="X783" s="85">
        <f t="shared" si="100"/>
        <v>0</v>
      </c>
      <c r="Y783" s="86"/>
      <c r="Z783" s="85">
        <f t="shared" si="95"/>
        <v>0</v>
      </c>
      <c r="AA783" s="118"/>
    </row>
    <row r="784" spans="1:28" hidden="1" x14ac:dyDescent="0.3">
      <c r="A784" s="117"/>
      <c r="C784" s="68" t="s">
        <v>632</v>
      </c>
      <c r="D784" s="145" t="s">
        <v>150</v>
      </c>
      <c r="E784" s="85">
        <f>STATS1003B!E784/1000</f>
        <v>30415.36102</v>
      </c>
      <c r="F784" s="85">
        <f>STATS1003B!F784/1000</f>
        <v>29897.836059999998</v>
      </c>
      <c r="G784" s="85">
        <f>STATS1003B!G784/1000</f>
        <v>0</v>
      </c>
      <c r="H784" s="85">
        <f>STATS1003B!H784/1000</f>
        <v>29897.836059999998</v>
      </c>
      <c r="I784" s="85">
        <f>STATS1003B!I784/1000</f>
        <v>0</v>
      </c>
      <c r="J784" s="85">
        <f>STATS1003B!J784/1000</f>
        <v>29897.836059999998</v>
      </c>
      <c r="K784" s="85">
        <f>STATS1003B!K784/1000</f>
        <v>517.52495999999996</v>
      </c>
      <c r="L784" s="85">
        <f>STATS1003B!L784/1000</f>
        <v>0</v>
      </c>
      <c r="M784" s="85">
        <f>STATS1003B!M784/1000</f>
        <v>29897.836059999998</v>
      </c>
      <c r="N784" s="85">
        <f>STATS1003B!N784/1000</f>
        <v>517.52495999999996</v>
      </c>
      <c r="O784" s="85">
        <f>STATS1003B!O784/1000</f>
        <v>0</v>
      </c>
      <c r="P784" s="85">
        <f>STATS1003B!P784/1000</f>
        <v>517.52495999999996</v>
      </c>
      <c r="Q784" s="85">
        <f>STATS1003B!Q784/1000</f>
        <v>29897.836059999998</v>
      </c>
      <c r="R784" s="85">
        <f>STATS1003B!R784/1000</f>
        <v>0</v>
      </c>
      <c r="S784" s="85">
        <f>STATS1003B!S784/1000</f>
        <v>0</v>
      </c>
      <c r="T784" s="85">
        <f>STATS1003B!T784/1000</f>
        <v>0</v>
      </c>
      <c r="U784" s="85">
        <f>STATS1003B!U784/1000</f>
        <v>517.52495999999996</v>
      </c>
      <c r="V784" s="85">
        <f>STATS1003B!V784/1000</f>
        <v>30415.36102</v>
      </c>
      <c r="W784" s="85">
        <f>STATS1003B!W784/1000</f>
        <v>0</v>
      </c>
      <c r="X784" s="85">
        <f t="shared" si="100"/>
        <v>30415.361019999997</v>
      </c>
      <c r="Y784" s="85">
        <f>STATS1003B!Y784/1000</f>
        <v>0</v>
      </c>
      <c r="Z784" s="85">
        <f t="shared" si="95"/>
        <v>0</v>
      </c>
      <c r="AA784" s="69">
        <f>STATS1003B!AA784/1000</f>
        <v>30415.36102</v>
      </c>
      <c r="AB784" s="69">
        <f>STATS1003B!AB784/1000</f>
        <v>0</v>
      </c>
    </row>
    <row r="785" spans="1:28" hidden="1" x14ac:dyDescent="0.3">
      <c r="A785" s="117"/>
      <c r="C785" s="68" t="s">
        <v>633</v>
      </c>
      <c r="D785" s="145" t="s">
        <v>150</v>
      </c>
      <c r="E785" s="85">
        <f>STATS1003B!E785/1000</f>
        <v>779.67492000000004</v>
      </c>
      <c r="F785" s="85">
        <f>STATS1003B!F785/1000</f>
        <v>636.173</v>
      </c>
      <c r="G785" s="85">
        <f>STATS1003B!G785/1000</f>
        <v>0</v>
      </c>
      <c r="H785" s="85">
        <f>STATS1003B!H785/1000</f>
        <v>636.173</v>
      </c>
      <c r="I785" s="85">
        <f>STATS1003B!I785/1000</f>
        <v>0</v>
      </c>
      <c r="J785" s="85">
        <f>STATS1003B!J785/1000</f>
        <v>636.173</v>
      </c>
      <c r="K785" s="85">
        <f>STATS1003B!K785/1000</f>
        <v>143.50192000000001</v>
      </c>
      <c r="L785" s="85">
        <f>STATS1003B!L785/1000</f>
        <v>0</v>
      </c>
      <c r="M785" s="85">
        <f>STATS1003B!M785/1000</f>
        <v>636.173</v>
      </c>
      <c r="N785" s="85">
        <f>STATS1003B!N785/1000</f>
        <v>143.50192000000001</v>
      </c>
      <c r="O785" s="85">
        <f>STATS1003B!O785/1000</f>
        <v>0</v>
      </c>
      <c r="P785" s="85">
        <f>STATS1003B!P785/1000</f>
        <v>143.50192000000001</v>
      </c>
      <c r="Q785" s="85">
        <f>STATS1003B!Q785/1000</f>
        <v>636.173</v>
      </c>
      <c r="R785" s="85">
        <f>STATS1003B!R785/1000</f>
        <v>0</v>
      </c>
      <c r="S785" s="85">
        <f>STATS1003B!S785/1000</f>
        <v>0</v>
      </c>
      <c r="T785" s="85">
        <f>STATS1003B!T785/1000</f>
        <v>0</v>
      </c>
      <c r="U785" s="85">
        <f>STATS1003B!U785/1000</f>
        <v>143.50192000000001</v>
      </c>
      <c r="V785" s="85">
        <f>STATS1003B!V785/1000</f>
        <v>779.67492000000004</v>
      </c>
      <c r="W785" s="85">
        <f>STATS1003B!W785/1000</f>
        <v>0</v>
      </c>
      <c r="X785" s="85">
        <f t="shared" si="100"/>
        <v>779.67492000000004</v>
      </c>
      <c r="Y785" s="85">
        <f>STATS1003B!Y785/1000</f>
        <v>0</v>
      </c>
      <c r="Z785" s="85">
        <f t="shared" si="95"/>
        <v>0</v>
      </c>
      <c r="AA785" s="69">
        <f>STATS1003B!AA785/1000</f>
        <v>779.67492000000004</v>
      </c>
      <c r="AB785" s="69">
        <f>STATS1003B!AB785/1000</f>
        <v>0</v>
      </c>
    </row>
    <row r="786" spans="1:28" hidden="1" x14ac:dyDescent="0.3">
      <c r="A786" s="117"/>
      <c r="C786" s="68" t="s">
        <v>634</v>
      </c>
      <c r="D786" s="145" t="s">
        <v>166</v>
      </c>
      <c r="E786" s="85">
        <f>STATS1003B!E786/1000</f>
        <v>550</v>
      </c>
      <c r="F786" s="85">
        <f>STATS1003B!F786/1000</f>
        <v>550</v>
      </c>
      <c r="G786" s="85">
        <f>STATS1003B!G786/1000</f>
        <v>0</v>
      </c>
      <c r="H786" s="85">
        <f>STATS1003B!H786/1000</f>
        <v>550</v>
      </c>
      <c r="I786" s="85">
        <f>STATS1003B!I786/1000</f>
        <v>0</v>
      </c>
      <c r="J786" s="85">
        <f>STATS1003B!J786/1000</f>
        <v>550</v>
      </c>
      <c r="K786" s="85">
        <f>STATS1003B!K786/1000</f>
        <v>0</v>
      </c>
      <c r="L786" s="85">
        <f>STATS1003B!L786/1000</f>
        <v>0</v>
      </c>
      <c r="M786" s="85">
        <f>STATS1003B!M786/1000</f>
        <v>550</v>
      </c>
      <c r="N786" s="85">
        <f>STATS1003B!N786/1000</f>
        <v>0</v>
      </c>
      <c r="O786" s="85">
        <f>STATS1003B!O786/1000</f>
        <v>0</v>
      </c>
      <c r="P786" s="85">
        <f>STATS1003B!P786/1000</f>
        <v>0</v>
      </c>
      <c r="Q786" s="85">
        <f>STATS1003B!Q786/1000</f>
        <v>550</v>
      </c>
      <c r="R786" s="85">
        <f>STATS1003B!R786/1000</f>
        <v>0</v>
      </c>
      <c r="S786" s="85">
        <f>STATS1003B!S786/1000</f>
        <v>0</v>
      </c>
      <c r="T786" s="85">
        <f>STATS1003B!T786/1000</f>
        <v>0</v>
      </c>
      <c r="U786" s="85">
        <f>STATS1003B!U786/1000</f>
        <v>0</v>
      </c>
      <c r="V786" s="85">
        <f>STATS1003B!V786/1000</f>
        <v>550</v>
      </c>
      <c r="W786" s="85">
        <f>STATS1003B!W786/1000</f>
        <v>0</v>
      </c>
      <c r="X786" s="85">
        <f t="shared" si="100"/>
        <v>550</v>
      </c>
      <c r="Y786" s="85">
        <f>STATS1003B!Y786/1000</f>
        <v>0</v>
      </c>
      <c r="Z786" s="85">
        <f t="shared" si="95"/>
        <v>0</v>
      </c>
      <c r="AA786" s="69">
        <f>STATS1003B!AA786/1000</f>
        <v>550</v>
      </c>
      <c r="AB786" s="69">
        <f>STATS1003B!AB786/1000</f>
        <v>0</v>
      </c>
    </row>
    <row r="787" spans="1:28" hidden="1" x14ac:dyDescent="0.3">
      <c r="A787" s="117"/>
      <c r="C787" s="68" t="s">
        <v>635</v>
      </c>
      <c r="D787" s="145" t="s">
        <v>166</v>
      </c>
      <c r="E787" s="85">
        <f>STATS1003B!E787/1000</f>
        <v>60.142449999999954</v>
      </c>
      <c r="F787" s="85">
        <f>STATS1003B!F787/1000</f>
        <v>0</v>
      </c>
      <c r="G787" s="85">
        <f>STATS1003B!G787/1000</f>
        <v>0</v>
      </c>
      <c r="H787" s="85">
        <f>STATS1003B!H787/1000</f>
        <v>0</v>
      </c>
      <c r="I787" s="85">
        <f>STATS1003B!I787/1000</f>
        <v>0</v>
      </c>
      <c r="J787" s="85">
        <f>STATS1003B!J787/1000</f>
        <v>0</v>
      </c>
      <c r="K787" s="85">
        <f>STATS1003B!K787/1000</f>
        <v>60.142449999999997</v>
      </c>
      <c r="L787" s="85">
        <f>STATS1003B!L787/1000</f>
        <v>0</v>
      </c>
      <c r="M787" s="85">
        <f>STATS1003B!M787/1000</f>
        <v>0</v>
      </c>
      <c r="N787" s="85">
        <f>STATS1003B!N787/1000</f>
        <v>60.142449999999997</v>
      </c>
      <c r="O787" s="85">
        <f>STATS1003B!O787/1000</f>
        <v>0</v>
      </c>
      <c r="P787" s="85">
        <f>STATS1003B!P787/1000</f>
        <v>60.142449999999997</v>
      </c>
      <c r="Q787" s="85">
        <f>STATS1003B!Q787/1000</f>
        <v>0</v>
      </c>
      <c r="R787" s="85">
        <f>STATS1003B!R787/1000</f>
        <v>0</v>
      </c>
      <c r="S787" s="85">
        <f>STATS1003B!S787/1000</f>
        <v>0</v>
      </c>
      <c r="T787" s="85">
        <f>STATS1003B!T787/1000</f>
        <v>0</v>
      </c>
      <c r="U787" s="85">
        <f>STATS1003B!U787/1000</f>
        <v>60.142449999999997</v>
      </c>
      <c r="V787" s="85">
        <f>STATS1003B!V787/1000</f>
        <v>60.142449999999997</v>
      </c>
      <c r="W787" s="85">
        <f>STATS1003B!W787/1000</f>
        <v>0</v>
      </c>
      <c r="X787" s="85">
        <f t="shared" si="100"/>
        <v>60.142449999999997</v>
      </c>
      <c r="Y787" s="85">
        <f>STATS1003B!Y787/1000</f>
        <v>0</v>
      </c>
      <c r="Z787" s="85">
        <f t="shared" si="95"/>
        <v>0</v>
      </c>
      <c r="AA787" s="69">
        <f>STATS1003B!AA787/1000</f>
        <v>60.142449999999997</v>
      </c>
      <c r="AB787" s="69">
        <f>STATS1003B!AB787/1000</f>
        <v>0</v>
      </c>
    </row>
    <row r="788" spans="1:28" hidden="1" x14ac:dyDescent="0.3">
      <c r="A788" s="117"/>
      <c r="C788" s="68" t="s">
        <v>636</v>
      </c>
      <c r="D788" s="145" t="s">
        <v>78</v>
      </c>
      <c r="E788" s="85">
        <f>STATS1003B!E788/1000</f>
        <v>1623.54603</v>
      </c>
      <c r="F788" s="85">
        <f>STATS1003B!F788/1000</f>
        <v>1297.9701</v>
      </c>
      <c r="G788" s="85">
        <f>STATS1003B!G788/1000</f>
        <v>0</v>
      </c>
      <c r="H788" s="85">
        <f>STATS1003B!H788/1000</f>
        <v>1297.9701</v>
      </c>
      <c r="I788" s="85">
        <f>STATS1003B!I788/1000</f>
        <v>0</v>
      </c>
      <c r="J788" s="85">
        <f>STATS1003B!J788/1000</f>
        <v>1297.9701</v>
      </c>
      <c r="K788" s="85">
        <f>STATS1003B!K788/1000</f>
        <v>325.57592999999997</v>
      </c>
      <c r="L788" s="85">
        <f>STATS1003B!L788/1000</f>
        <v>0</v>
      </c>
      <c r="M788" s="85">
        <f>STATS1003B!M788/1000</f>
        <v>1297.9701</v>
      </c>
      <c r="N788" s="85">
        <f>STATS1003B!N788/1000</f>
        <v>325.57592999999997</v>
      </c>
      <c r="O788" s="85">
        <f>STATS1003B!O788/1000</f>
        <v>0</v>
      </c>
      <c r="P788" s="85">
        <f>STATS1003B!P788/1000</f>
        <v>325.57592999999997</v>
      </c>
      <c r="Q788" s="85">
        <f>STATS1003B!Q788/1000</f>
        <v>1297.9701</v>
      </c>
      <c r="R788" s="85">
        <f>STATS1003B!R788/1000</f>
        <v>0</v>
      </c>
      <c r="S788" s="85">
        <f>STATS1003B!S788/1000</f>
        <v>0</v>
      </c>
      <c r="T788" s="85">
        <f>STATS1003B!T788/1000</f>
        <v>0</v>
      </c>
      <c r="U788" s="85">
        <f>STATS1003B!U788/1000</f>
        <v>325.57592999999997</v>
      </c>
      <c r="V788" s="85">
        <f>STATS1003B!V788/1000</f>
        <v>1623.54603</v>
      </c>
      <c r="W788" s="85">
        <f>STATS1003B!W788/1000</f>
        <v>0</v>
      </c>
      <c r="X788" s="85">
        <f t="shared" si="100"/>
        <v>1623.54603</v>
      </c>
      <c r="Y788" s="85">
        <f>STATS1003B!Y788/1000</f>
        <v>0</v>
      </c>
      <c r="Z788" s="85">
        <f t="shared" si="95"/>
        <v>0</v>
      </c>
      <c r="AA788" s="69">
        <f>STATS1003B!AA788/1000</f>
        <v>1623.54603</v>
      </c>
      <c r="AB788" s="69">
        <f>STATS1003B!AB788/1000</f>
        <v>0</v>
      </c>
    </row>
    <row r="789" spans="1:28" hidden="1" x14ac:dyDescent="0.3">
      <c r="A789" s="117"/>
      <c r="C789" s="68" t="s">
        <v>539</v>
      </c>
      <c r="D789" s="145" t="s">
        <v>68</v>
      </c>
      <c r="E789" s="85">
        <f>STATS1003B!E789/1000</f>
        <v>1194.4390000000001</v>
      </c>
      <c r="F789" s="85">
        <f>STATS1003B!F789/1000</f>
        <v>0</v>
      </c>
      <c r="G789" s="85">
        <f>STATS1003B!G789/1000</f>
        <v>0</v>
      </c>
      <c r="H789" s="85">
        <f>STATS1003B!H789/1000</f>
        <v>0</v>
      </c>
      <c r="I789" s="85">
        <f>STATS1003B!I789/1000</f>
        <v>0</v>
      </c>
      <c r="J789" s="85">
        <f>STATS1003B!J789/1000</f>
        <v>0</v>
      </c>
      <c r="K789" s="85">
        <f>STATS1003B!K789/1000</f>
        <v>1194.4390000000001</v>
      </c>
      <c r="L789" s="85">
        <f>STATS1003B!L789/1000</f>
        <v>0</v>
      </c>
      <c r="M789" s="85">
        <f>STATS1003B!M789/1000</f>
        <v>0</v>
      </c>
      <c r="N789" s="85">
        <f>STATS1003B!N789/1000</f>
        <v>1194.4390000000001</v>
      </c>
      <c r="O789" s="85">
        <f>STATS1003B!O789/1000</f>
        <v>0</v>
      </c>
      <c r="P789" s="85">
        <f>STATS1003B!P789/1000</f>
        <v>1194.4390000000001</v>
      </c>
      <c r="Q789" s="85">
        <f>STATS1003B!Q789/1000</f>
        <v>0</v>
      </c>
      <c r="R789" s="85">
        <f>STATS1003B!R789/1000</f>
        <v>0</v>
      </c>
      <c r="S789" s="85">
        <f>STATS1003B!S789/1000</f>
        <v>0</v>
      </c>
      <c r="T789" s="85">
        <f>STATS1003B!T789/1000</f>
        <v>0</v>
      </c>
      <c r="U789" s="85">
        <f>STATS1003B!U789/1000</f>
        <v>1194.4390000000001</v>
      </c>
      <c r="V789" s="85">
        <f>STATS1003B!V789/1000</f>
        <v>1194.4390000000001</v>
      </c>
      <c r="W789" s="85">
        <f>STATS1003B!W789/1000</f>
        <v>0</v>
      </c>
      <c r="X789" s="85">
        <f t="shared" si="100"/>
        <v>1194.4390000000001</v>
      </c>
      <c r="Y789" s="85">
        <f>STATS1003B!Y789/1000</f>
        <v>0</v>
      </c>
      <c r="Z789" s="85">
        <f t="shared" ref="Z789:Z852" si="103">+E789-X789</f>
        <v>0</v>
      </c>
      <c r="AA789" s="69">
        <f>STATS1003B!AA789/1000</f>
        <v>1194.4390000000001</v>
      </c>
      <c r="AB789" s="69">
        <f>STATS1003B!AB789/1000</f>
        <v>0</v>
      </c>
    </row>
    <row r="790" spans="1:28" hidden="1" x14ac:dyDescent="0.3">
      <c r="A790" s="117"/>
      <c r="C790" s="68" t="s">
        <v>545</v>
      </c>
      <c r="D790" s="145" t="s">
        <v>54</v>
      </c>
      <c r="E790" s="85">
        <f>STATS1003B!E790/1000</f>
        <v>1767.77</v>
      </c>
      <c r="F790" s="85">
        <f>STATS1003B!F790/1000</f>
        <v>0</v>
      </c>
      <c r="G790" s="85">
        <f>STATS1003B!G790/1000</f>
        <v>0</v>
      </c>
      <c r="H790" s="85">
        <f>STATS1003B!H790/1000</f>
        <v>0</v>
      </c>
      <c r="I790" s="85">
        <f>STATS1003B!I790/1000</f>
        <v>0</v>
      </c>
      <c r="J790" s="85">
        <f>STATS1003B!J790/1000</f>
        <v>0</v>
      </c>
      <c r="K790" s="85">
        <f>STATS1003B!K790/1000</f>
        <v>1767.77</v>
      </c>
      <c r="L790" s="85">
        <f>STATS1003B!L790/1000</f>
        <v>0</v>
      </c>
      <c r="M790" s="85">
        <f>STATS1003B!M790/1000</f>
        <v>0</v>
      </c>
      <c r="N790" s="85">
        <f>STATS1003B!N790/1000</f>
        <v>1767.77</v>
      </c>
      <c r="O790" s="85">
        <f>STATS1003B!O790/1000</f>
        <v>0</v>
      </c>
      <c r="P790" s="85">
        <f>STATS1003B!P790/1000</f>
        <v>1767.77</v>
      </c>
      <c r="Q790" s="85">
        <f>STATS1003B!Q790/1000</f>
        <v>0</v>
      </c>
      <c r="R790" s="85">
        <f>STATS1003B!R790/1000</f>
        <v>0</v>
      </c>
      <c r="S790" s="85">
        <f>STATS1003B!S790/1000</f>
        <v>0</v>
      </c>
      <c r="T790" s="85">
        <f>STATS1003B!T790/1000</f>
        <v>0</v>
      </c>
      <c r="U790" s="85">
        <f>STATS1003B!U790/1000</f>
        <v>1767.77</v>
      </c>
      <c r="V790" s="85">
        <f>STATS1003B!V790/1000</f>
        <v>1767.77</v>
      </c>
      <c r="W790" s="85">
        <f>STATS1003B!W790/1000</f>
        <v>0</v>
      </c>
      <c r="X790" s="85">
        <f t="shared" si="100"/>
        <v>1767.77</v>
      </c>
      <c r="Y790" s="85">
        <f>STATS1003B!Y790/1000</f>
        <v>0</v>
      </c>
      <c r="Z790" s="85">
        <f t="shared" si="103"/>
        <v>0</v>
      </c>
      <c r="AA790" s="69">
        <f>STATS1003B!AA790/1000</f>
        <v>1767.77</v>
      </c>
      <c r="AB790" s="69">
        <f>STATS1003B!AB790/1000</f>
        <v>0</v>
      </c>
    </row>
    <row r="791" spans="1:28" hidden="1" x14ac:dyDescent="0.3">
      <c r="A791" s="117"/>
      <c r="C791" s="68" t="s">
        <v>535</v>
      </c>
      <c r="D791" s="145" t="s">
        <v>54</v>
      </c>
      <c r="E791" s="85">
        <f>STATS1003B!E791/1000</f>
        <v>950</v>
      </c>
      <c r="F791" s="85">
        <f>STATS1003B!F791/1000</f>
        <v>950</v>
      </c>
      <c r="G791" s="85">
        <f>STATS1003B!G791/1000</f>
        <v>0</v>
      </c>
      <c r="H791" s="85">
        <f>STATS1003B!H791/1000</f>
        <v>950</v>
      </c>
      <c r="I791" s="85">
        <f>STATS1003B!I791/1000</f>
        <v>0</v>
      </c>
      <c r="J791" s="85">
        <f>STATS1003B!J791/1000</f>
        <v>950</v>
      </c>
      <c r="K791" s="85">
        <f>STATS1003B!K791/1000</f>
        <v>0</v>
      </c>
      <c r="L791" s="85">
        <f>STATS1003B!L791/1000</f>
        <v>0</v>
      </c>
      <c r="M791" s="85">
        <f>STATS1003B!M791/1000</f>
        <v>950</v>
      </c>
      <c r="N791" s="85">
        <f>STATS1003B!N791/1000</f>
        <v>0</v>
      </c>
      <c r="O791" s="85">
        <f>STATS1003B!O791/1000</f>
        <v>0</v>
      </c>
      <c r="P791" s="85">
        <f>STATS1003B!P791/1000</f>
        <v>0</v>
      </c>
      <c r="Q791" s="85">
        <f>STATS1003B!Q791/1000</f>
        <v>950</v>
      </c>
      <c r="R791" s="85">
        <f>STATS1003B!R791/1000</f>
        <v>0</v>
      </c>
      <c r="S791" s="85">
        <f>STATS1003B!S791/1000</f>
        <v>0</v>
      </c>
      <c r="T791" s="85">
        <f>STATS1003B!T791/1000</f>
        <v>0</v>
      </c>
      <c r="U791" s="85">
        <f>STATS1003B!U791/1000</f>
        <v>0</v>
      </c>
      <c r="V791" s="85">
        <f>STATS1003B!V791/1000</f>
        <v>950</v>
      </c>
      <c r="W791" s="85">
        <f>STATS1003B!W791/1000</f>
        <v>0</v>
      </c>
      <c r="X791" s="85">
        <f t="shared" si="100"/>
        <v>950</v>
      </c>
      <c r="Y791" s="85">
        <f>STATS1003B!Y791/1000</f>
        <v>0</v>
      </c>
      <c r="Z791" s="85">
        <f t="shared" si="103"/>
        <v>0</v>
      </c>
      <c r="AA791" s="69">
        <f>STATS1003B!AA791/1000</f>
        <v>950</v>
      </c>
      <c r="AB791" s="69">
        <f>STATS1003B!AB791/1000</f>
        <v>0</v>
      </c>
    </row>
    <row r="792" spans="1:28" hidden="1" x14ac:dyDescent="0.3">
      <c r="A792" s="117"/>
      <c r="C792" s="68" t="s">
        <v>535</v>
      </c>
      <c r="D792" s="145" t="s">
        <v>128</v>
      </c>
      <c r="E792" s="85">
        <f>STATS1003B!E792/1000</f>
        <v>1050.481</v>
      </c>
      <c r="F792" s="85">
        <f>STATS1003B!F792/1000</f>
        <v>1050.481</v>
      </c>
      <c r="G792" s="85">
        <f>STATS1003B!G792/1000</f>
        <v>0</v>
      </c>
      <c r="H792" s="85">
        <f>STATS1003B!H792/1000</f>
        <v>1050.481</v>
      </c>
      <c r="I792" s="85">
        <f>STATS1003B!I792/1000</f>
        <v>0</v>
      </c>
      <c r="J792" s="85">
        <f>STATS1003B!J792/1000</f>
        <v>1050.481</v>
      </c>
      <c r="K792" s="85">
        <f>STATS1003B!K792/1000</f>
        <v>0</v>
      </c>
      <c r="L792" s="85">
        <f>STATS1003B!L792/1000</f>
        <v>0</v>
      </c>
      <c r="M792" s="85">
        <f>STATS1003B!M792/1000</f>
        <v>1050.481</v>
      </c>
      <c r="N792" s="85">
        <f>STATS1003B!N792/1000</f>
        <v>0</v>
      </c>
      <c r="O792" s="85">
        <f>STATS1003B!O792/1000</f>
        <v>0</v>
      </c>
      <c r="P792" s="85">
        <f>STATS1003B!P792/1000</f>
        <v>0</v>
      </c>
      <c r="Q792" s="85">
        <f>STATS1003B!Q792/1000</f>
        <v>1050.481</v>
      </c>
      <c r="R792" s="85">
        <f>STATS1003B!R792/1000</f>
        <v>0</v>
      </c>
      <c r="S792" s="85">
        <f>STATS1003B!S792/1000</f>
        <v>0</v>
      </c>
      <c r="T792" s="85">
        <f>STATS1003B!T792/1000</f>
        <v>0</v>
      </c>
      <c r="U792" s="85">
        <f>STATS1003B!U792/1000</f>
        <v>0</v>
      </c>
      <c r="V792" s="85">
        <f>STATS1003B!V792/1000</f>
        <v>1050.481</v>
      </c>
      <c r="W792" s="85">
        <f>STATS1003B!W792/1000</f>
        <v>0</v>
      </c>
      <c r="X792" s="85">
        <f t="shared" si="100"/>
        <v>1050.481</v>
      </c>
      <c r="Y792" s="85">
        <f>STATS1003B!Y792/1000</f>
        <v>0</v>
      </c>
      <c r="Z792" s="85">
        <f t="shared" si="103"/>
        <v>0</v>
      </c>
      <c r="AA792" s="69">
        <f>STATS1003B!AA792/1000</f>
        <v>1050.481</v>
      </c>
      <c r="AB792" s="69">
        <f>STATS1003B!AB792/1000</f>
        <v>0</v>
      </c>
    </row>
    <row r="793" spans="1:28" hidden="1" x14ac:dyDescent="0.3">
      <c r="A793" s="117"/>
      <c r="C793" s="68" t="s">
        <v>535</v>
      </c>
      <c r="D793" s="145" t="s">
        <v>58</v>
      </c>
      <c r="E793" s="85">
        <f>STATS1003B!E793/1000</f>
        <v>1799.1949999999999</v>
      </c>
      <c r="F793" s="85">
        <f>STATS1003B!F793/1000</f>
        <v>1799.1949999999999</v>
      </c>
      <c r="G793" s="85">
        <f>STATS1003B!G793/1000</f>
        <v>0</v>
      </c>
      <c r="H793" s="85">
        <f>STATS1003B!H793/1000</f>
        <v>1799.1949999999999</v>
      </c>
      <c r="I793" s="85">
        <f>STATS1003B!I793/1000</f>
        <v>0</v>
      </c>
      <c r="J793" s="85">
        <f>STATS1003B!J793/1000</f>
        <v>1799.1949999999999</v>
      </c>
      <c r="K793" s="85">
        <f>STATS1003B!K793/1000</f>
        <v>0</v>
      </c>
      <c r="L793" s="85">
        <f>STATS1003B!L793/1000</f>
        <v>0</v>
      </c>
      <c r="M793" s="85">
        <f>STATS1003B!M793/1000</f>
        <v>1799.1949999999999</v>
      </c>
      <c r="N793" s="85">
        <f>STATS1003B!N793/1000</f>
        <v>0</v>
      </c>
      <c r="O793" s="85">
        <f>STATS1003B!O793/1000</f>
        <v>0</v>
      </c>
      <c r="P793" s="85">
        <f>STATS1003B!P793/1000</f>
        <v>0</v>
      </c>
      <c r="Q793" s="85">
        <f>STATS1003B!Q793/1000</f>
        <v>1799.1949999999999</v>
      </c>
      <c r="R793" s="85">
        <f>STATS1003B!R793/1000</f>
        <v>0</v>
      </c>
      <c r="S793" s="85">
        <f>STATS1003B!S793/1000</f>
        <v>0</v>
      </c>
      <c r="T793" s="85">
        <f>STATS1003B!T793/1000</f>
        <v>0</v>
      </c>
      <c r="U793" s="85">
        <f>STATS1003B!U793/1000</f>
        <v>0</v>
      </c>
      <c r="V793" s="85">
        <f>STATS1003B!V793/1000</f>
        <v>1799.1949999999999</v>
      </c>
      <c r="W793" s="85">
        <f>STATS1003B!W793/1000</f>
        <v>0</v>
      </c>
      <c r="X793" s="85">
        <f t="shared" si="100"/>
        <v>1799.1949999999999</v>
      </c>
      <c r="Y793" s="85">
        <f>STATS1003B!Y793/1000</f>
        <v>0</v>
      </c>
      <c r="Z793" s="85">
        <f t="shared" si="103"/>
        <v>0</v>
      </c>
      <c r="AA793" s="69">
        <f>STATS1003B!AA793/1000</f>
        <v>1799.1949999999999</v>
      </c>
      <c r="AB793" s="69">
        <f>STATS1003B!AB793/1000</f>
        <v>0</v>
      </c>
    </row>
    <row r="794" spans="1:28" hidden="1" x14ac:dyDescent="0.3">
      <c r="A794" s="117"/>
      <c r="C794" s="71" t="s">
        <v>535</v>
      </c>
      <c r="D794" s="88" t="s">
        <v>73</v>
      </c>
      <c r="E794" s="85">
        <f>STATS1003B!E794/1000</f>
        <v>5829.8010000000004</v>
      </c>
      <c r="F794" s="85">
        <f>STATS1003B!F794/1000</f>
        <v>2454.6080000000002</v>
      </c>
      <c r="G794" s="85">
        <f>STATS1003B!G794/1000</f>
        <v>0</v>
      </c>
      <c r="H794" s="85">
        <f>STATS1003B!H794/1000</f>
        <v>2454.6080000000002</v>
      </c>
      <c r="I794" s="85">
        <f>STATS1003B!I794/1000</f>
        <v>3375.1930000000002</v>
      </c>
      <c r="J794" s="85">
        <f>STATS1003B!J794/1000</f>
        <v>5829.8010000000004</v>
      </c>
      <c r="K794" s="85">
        <f>STATS1003B!K794/1000</f>
        <v>0</v>
      </c>
      <c r="L794" s="85">
        <f>STATS1003B!L794/1000</f>
        <v>3375.1930000000002</v>
      </c>
      <c r="M794" s="85">
        <f>STATS1003B!M794/1000</f>
        <v>5829.8010000000004</v>
      </c>
      <c r="N794" s="85">
        <f>STATS1003B!N794/1000</f>
        <v>0</v>
      </c>
      <c r="O794" s="85">
        <f>STATS1003B!O794/1000</f>
        <v>0</v>
      </c>
      <c r="P794" s="85">
        <f>STATS1003B!P794/1000</f>
        <v>0</v>
      </c>
      <c r="Q794" s="85">
        <f>STATS1003B!Q794/1000</f>
        <v>5829.8010000000004</v>
      </c>
      <c r="R794" s="85">
        <f>STATS1003B!R794/1000</f>
        <v>0</v>
      </c>
      <c r="S794" s="85">
        <f>STATS1003B!S794/1000</f>
        <v>0</v>
      </c>
      <c r="T794" s="85">
        <f>STATS1003B!T794/1000</f>
        <v>0</v>
      </c>
      <c r="U794" s="85">
        <f>STATS1003B!U794/1000</f>
        <v>0</v>
      </c>
      <c r="V794" s="85">
        <f>STATS1003B!V794/1000</f>
        <v>2454.6080000000002</v>
      </c>
      <c r="W794" s="85">
        <f>STATS1003B!W794/1000</f>
        <v>3375.1930000000002</v>
      </c>
      <c r="X794" s="85">
        <f t="shared" si="100"/>
        <v>2454.6080000000002</v>
      </c>
      <c r="Y794" s="85">
        <f>STATS1003B!Y794/1000</f>
        <v>0</v>
      </c>
      <c r="Z794" s="85">
        <f t="shared" si="103"/>
        <v>3375.1930000000002</v>
      </c>
      <c r="AA794" s="69">
        <f>STATS1003B!AA794/1000</f>
        <v>5829.8010000000004</v>
      </c>
      <c r="AB794" s="69">
        <f>STATS1003B!AB794/1000</f>
        <v>0</v>
      </c>
    </row>
    <row r="795" spans="1:28" hidden="1" x14ac:dyDescent="0.3">
      <c r="A795" s="117"/>
      <c r="C795" s="71" t="s">
        <v>535</v>
      </c>
      <c r="D795" s="88" t="s">
        <v>61</v>
      </c>
      <c r="E795" s="85">
        <f>STATS1003B!E795/1000</f>
        <v>9187.105590000001</v>
      </c>
      <c r="F795" s="85">
        <f>STATS1003B!F795/1000</f>
        <v>8949.6400099999992</v>
      </c>
      <c r="G795" s="85">
        <f>STATS1003B!G795/1000</f>
        <v>0</v>
      </c>
      <c r="H795" s="85">
        <f>STATS1003B!H795/1000</f>
        <v>8949.6400099999992</v>
      </c>
      <c r="I795" s="85">
        <f>STATS1003B!I795/1000</f>
        <v>0</v>
      </c>
      <c r="J795" s="85">
        <f>STATS1003B!J795/1000</f>
        <v>8949.6400099999992</v>
      </c>
      <c r="K795" s="85">
        <f>STATS1003B!K795/1000</f>
        <v>0</v>
      </c>
      <c r="L795" s="85">
        <f>STATS1003B!L795/1000</f>
        <v>0</v>
      </c>
      <c r="M795" s="85">
        <f>STATS1003B!M795/1000</f>
        <v>8949.6400099999992</v>
      </c>
      <c r="N795" s="85">
        <f>STATS1003B!N795/1000</f>
        <v>0</v>
      </c>
      <c r="O795" s="85">
        <f>STATS1003B!O795/1000</f>
        <v>0</v>
      </c>
      <c r="P795" s="85">
        <f>STATS1003B!P795/1000</f>
        <v>0</v>
      </c>
      <c r="Q795" s="85">
        <f>STATS1003B!Q795/1000</f>
        <v>9187.105590000001</v>
      </c>
      <c r="R795" s="85">
        <f>STATS1003B!R795/1000</f>
        <v>0</v>
      </c>
      <c r="S795" s="85">
        <f>STATS1003B!S795/1000</f>
        <v>0</v>
      </c>
      <c r="T795" s="85">
        <f>STATS1003B!T795/1000</f>
        <v>237.46557999999999</v>
      </c>
      <c r="U795" s="85">
        <f>STATS1003B!U795/1000</f>
        <v>237.46557999999999</v>
      </c>
      <c r="V795" s="85">
        <f>STATS1003B!V795/1000</f>
        <v>8949.6400099999992</v>
      </c>
      <c r="W795" s="85">
        <f>STATS1003B!W795/1000</f>
        <v>237.46558000000195</v>
      </c>
      <c r="X795" s="85">
        <f t="shared" si="100"/>
        <v>8949.6400099999992</v>
      </c>
      <c r="Y795" s="85">
        <f>STATS1003B!Y795/1000</f>
        <v>0</v>
      </c>
      <c r="Z795" s="85">
        <f t="shared" si="103"/>
        <v>237.46558000000186</v>
      </c>
      <c r="AA795" s="69">
        <f>STATS1003B!AA795/1000</f>
        <v>9187.1055899999992</v>
      </c>
      <c r="AB795" s="69">
        <f>STATS1003B!AB795/1000</f>
        <v>0</v>
      </c>
    </row>
    <row r="796" spans="1:28" hidden="1" x14ac:dyDescent="0.3">
      <c r="A796" s="117"/>
      <c r="C796" s="71" t="s">
        <v>898</v>
      </c>
      <c r="D796" s="88"/>
      <c r="E796" s="85">
        <f>STATS1003B!E796/1000</f>
        <v>253.63464999999999</v>
      </c>
      <c r="F796" s="85">
        <f>STATS1003B!F796/1000</f>
        <v>0</v>
      </c>
      <c r="G796" s="85">
        <f>STATS1003B!G796/1000</f>
        <v>0</v>
      </c>
      <c r="H796" s="85">
        <f>STATS1003B!H796/1000</f>
        <v>0</v>
      </c>
      <c r="I796" s="85">
        <f>STATS1003B!I796/1000</f>
        <v>0</v>
      </c>
      <c r="J796" s="85">
        <f>STATS1003B!J796/1000</f>
        <v>0</v>
      </c>
      <c r="K796" s="85">
        <f>STATS1003B!K796/1000</f>
        <v>0</v>
      </c>
      <c r="L796" s="85">
        <f>STATS1003B!L796/1000</f>
        <v>0</v>
      </c>
      <c r="M796" s="85">
        <f>STATS1003B!M796/1000</f>
        <v>0</v>
      </c>
      <c r="N796" s="85">
        <f>STATS1003B!N796/1000</f>
        <v>253.63464999999999</v>
      </c>
      <c r="O796" s="85">
        <f>STATS1003B!O796/1000</f>
        <v>0</v>
      </c>
      <c r="P796" s="85">
        <f>STATS1003B!P796/1000</f>
        <v>253.63464999999999</v>
      </c>
      <c r="Q796" s="85">
        <f>STATS1003B!Q796/1000</f>
        <v>0</v>
      </c>
      <c r="R796" s="85">
        <f>STATS1003B!R796/1000</f>
        <v>0</v>
      </c>
      <c r="S796" s="85">
        <f>STATS1003B!S796/1000</f>
        <v>0</v>
      </c>
      <c r="T796" s="85">
        <f>STATS1003B!T796/1000</f>
        <v>0</v>
      </c>
      <c r="U796" s="85">
        <f>STATS1003B!U796/1000</f>
        <v>253.63464999999999</v>
      </c>
      <c r="V796" s="85">
        <f>STATS1003B!V796/1000</f>
        <v>253.63464999999999</v>
      </c>
      <c r="W796" s="85">
        <f>STATS1003B!W796/1000</f>
        <v>0</v>
      </c>
      <c r="X796" s="85">
        <f t="shared" si="100"/>
        <v>253.63464999999999</v>
      </c>
      <c r="Y796" s="85">
        <f>STATS1003B!Y796/1000</f>
        <v>0</v>
      </c>
      <c r="Z796" s="85">
        <f t="shared" si="103"/>
        <v>0</v>
      </c>
      <c r="AA796" s="69">
        <f>STATS1003B!AA796/1000</f>
        <v>253.63464999999999</v>
      </c>
      <c r="AB796" s="69">
        <f>STATS1003B!AB796/1000</f>
        <v>0</v>
      </c>
    </row>
    <row r="797" spans="1:28" hidden="1" x14ac:dyDescent="0.3">
      <c r="A797" s="117"/>
      <c r="C797" s="71" t="s">
        <v>933</v>
      </c>
      <c r="D797" s="89" t="s">
        <v>1072</v>
      </c>
      <c r="E797" s="85">
        <f>STATS1003B!E797/1000</f>
        <v>9200</v>
      </c>
      <c r="F797" s="85">
        <f>STATS1003B!F797/1000</f>
        <v>9200</v>
      </c>
      <c r="G797" s="85">
        <f>STATS1003B!G797/1000</f>
        <v>0</v>
      </c>
      <c r="H797" s="85">
        <f>STATS1003B!H797/1000</f>
        <v>9200</v>
      </c>
      <c r="I797" s="85">
        <f>STATS1003B!I797/1000</f>
        <v>0</v>
      </c>
      <c r="J797" s="85">
        <f>STATS1003B!J797/1000</f>
        <v>0</v>
      </c>
      <c r="K797" s="85">
        <f>STATS1003B!K797/1000</f>
        <v>0</v>
      </c>
      <c r="L797" s="85">
        <f>STATS1003B!L797/1000</f>
        <v>0</v>
      </c>
      <c r="M797" s="85">
        <f>STATS1003B!M797/1000</f>
        <v>9200</v>
      </c>
      <c r="N797" s="85">
        <f>STATS1003B!N797/1000</f>
        <v>0</v>
      </c>
      <c r="O797" s="85">
        <f>STATS1003B!O797/1000</f>
        <v>0</v>
      </c>
      <c r="P797" s="85">
        <f>STATS1003B!P797/1000</f>
        <v>0</v>
      </c>
      <c r="Q797" s="85">
        <f>STATS1003B!Q797/1000</f>
        <v>0</v>
      </c>
      <c r="R797" s="85">
        <f>STATS1003B!R797/1000</f>
        <v>0</v>
      </c>
      <c r="S797" s="85">
        <f>STATS1003B!S797/1000</f>
        <v>0</v>
      </c>
      <c r="T797" s="85">
        <f>STATS1003B!T797/1000</f>
        <v>0</v>
      </c>
      <c r="U797" s="85">
        <f>STATS1003B!U797/1000</f>
        <v>0</v>
      </c>
      <c r="V797" s="85">
        <f>STATS1003B!V797/1000</f>
        <v>0</v>
      </c>
      <c r="W797" s="85">
        <f>STATS1003B!W797/1000</f>
        <v>0</v>
      </c>
      <c r="X797" s="85">
        <f t="shared" si="100"/>
        <v>9200</v>
      </c>
      <c r="Y797" s="85">
        <f>STATS1003B!Y797/1000</f>
        <v>0</v>
      </c>
      <c r="Z797" s="85">
        <f t="shared" si="103"/>
        <v>0</v>
      </c>
      <c r="AA797" s="69">
        <f>STATS1003B!AA797/1000</f>
        <v>9200</v>
      </c>
      <c r="AB797" s="69">
        <f>STATS1003B!AB797/1000</f>
        <v>0</v>
      </c>
    </row>
    <row r="798" spans="1:28" hidden="1" x14ac:dyDescent="0.3">
      <c r="A798" s="117"/>
      <c r="C798" s="71" t="s">
        <v>1228</v>
      </c>
      <c r="D798" s="89" t="s">
        <v>1225</v>
      </c>
      <c r="E798" s="85">
        <f>STATS1003B!E798/1000</f>
        <v>400</v>
      </c>
      <c r="F798" s="85">
        <f>STATS1003B!F798/1000</f>
        <v>400</v>
      </c>
      <c r="G798" s="85">
        <f>STATS1003B!G798/1000</f>
        <v>0</v>
      </c>
      <c r="H798" s="85">
        <f>STATS1003B!H798/1000</f>
        <v>400</v>
      </c>
      <c r="I798" s="85">
        <f>STATS1003B!I798/1000</f>
        <v>0</v>
      </c>
      <c r="J798" s="85">
        <f>STATS1003B!J798/1000</f>
        <v>0</v>
      </c>
      <c r="K798" s="85">
        <f>STATS1003B!K798/1000</f>
        <v>0</v>
      </c>
      <c r="L798" s="85">
        <f>STATS1003B!L798/1000</f>
        <v>0</v>
      </c>
      <c r="M798" s="85">
        <f>STATS1003B!M798/1000</f>
        <v>400</v>
      </c>
      <c r="N798" s="85">
        <f>STATS1003B!N798/1000</f>
        <v>0</v>
      </c>
      <c r="O798" s="85">
        <f>STATS1003B!O798/1000</f>
        <v>0</v>
      </c>
      <c r="P798" s="85">
        <f>STATS1003B!P798/1000</f>
        <v>0</v>
      </c>
      <c r="Q798" s="85">
        <f>STATS1003B!Q798/1000</f>
        <v>0</v>
      </c>
      <c r="R798" s="85">
        <f>STATS1003B!R798/1000</f>
        <v>0</v>
      </c>
      <c r="S798" s="85">
        <f>STATS1003B!S798/1000</f>
        <v>0</v>
      </c>
      <c r="T798" s="85">
        <f>STATS1003B!T798/1000</f>
        <v>0</v>
      </c>
      <c r="U798" s="85">
        <f>STATS1003B!U798/1000</f>
        <v>0</v>
      </c>
      <c r="V798" s="85">
        <f>STATS1003B!V798/1000</f>
        <v>0</v>
      </c>
      <c r="W798" s="85">
        <f>STATS1003B!W798/1000</f>
        <v>0</v>
      </c>
      <c r="X798" s="85">
        <f t="shared" si="100"/>
        <v>400</v>
      </c>
      <c r="Y798" s="85">
        <f>STATS1003B!Y798/1000</f>
        <v>0</v>
      </c>
      <c r="Z798" s="85">
        <f t="shared" si="103"/>
        <v>0</v>
      </c>
      <c r="AA798" s="69">
        <f>STATS1003B!AA798/1000</f>
        <v>400</v>
      </c>
      <c r="AB798" s="69">
        <f>STATS1003B!AB798/1000</f>
        <v>0</v>
      </c>
    </row>
    <row r="799" spans="1:28" hidden="1" x14ac:dyDescent="0.3">
      <c r="A799" s="117"/>
      <c r="C799" s="71" t="s">
        <v>567</v>
      </c>
      <c r="D799" s="88" t="s">
        <v>61</v>
      </c>
      <c r="E799" s="85">
        <f>STATS1003B!E799/1000</f>
        <v>407.07816000000003</v>
      </c>
      <c r="F799" s="85">
        <f>STATS1003B!F799/1000</f>
        <v>393.83734000000004</v>
      </c>
      <c r="G799" s="85">
        <f>STATS1003B!G799/1000</f>
        <v>0</v>
      </c>
      <c r="H799" s="85">
        <f>STATS1003B!H799/1000</f>
        <v>393.83734000000004</v>
      </c>
      <c r="I799" s="85">
        <f>STATS1003B!I799/1000</f>
        <v>0</v>
      </c>
      <c r="J799" s="85">
        <f>STATS1003B!J799/1000</f>
        <v>393.83734000000004</v>
      </c>
      <c r="K799" s="85">
        <f>STATS1003B!K799/1000</f>
        <v>0</v>
      </c>
      <c r="L799" s="85">
        <f>STATS1003B!L799/1000</f>
        <v>0</v>
      </c>
      <c r="M799" s="85">
        <f>STATS1003B!M799/1000</f>
        <v>393.83734000000004</v>
      </c>
      <c r="N799" s="85">
        <f>STATS1003B!N799/1000</f>
        <v>6.2090200000000006</v>
      </c>
      <c r="O799" s="85">
        <f>STATS1003B!O799/1000</f>
        <v>0</v>
      </c>
      <c r="P799" s="85">
        <f>STATS1003B!P799/1000</f>
        <v>6.2090200000000006</v>
      </c>
      <c r="Q799" s="85">
        <f>STATS1003B!Q799/1000</f>
        <v>400.86914000000002</v>
      </c>
      <c r="R799" s="85">
        <f>STATS1003B!R799/1000</f>
        <v>0</v>
      </c>
      <c r="S799" s="85">
        <f>STATS1003B!S799/1000</f>
        <v>0</v>
      </c>
      <c r="T799" s="85">
        <f>STATS1003B!T799/1000</f>
        <v>7.0318000000000005</v>
      </c>
      <c r="U799" s="85">
        <f>STATS1003B!U799/1000</f>
        <v>13.240819999999999</v>
      </c>
      <c r="V799" s="85">
        <f>STATS1003B!V799/1000</f>
        <v>400.04636000000005</v>
      </c>
      <c r="W799" s="85">
        <f>STATS1003B!W799/1000</f>
        <v>7.0317999999999881</v>
      </c>
      <c r="X799" s="85">
        <f t="shared" si="100"/>
        <v>400.04636000000005</v>
      </c>
      <c r="Y799" s="85">
        <f>STATS1003B!Y799/1000</f>
        <v>0</v>
      </c>
      <c r="Z799" s="85">
        <f t="shared" si="103"/>
        <v>7.0317999999999756</v>
      </c>
      <c r="AA799" s="69">
        <f>STATS1003B!AA799/1000</f>
        <v>407.07816000000003</v>
      </c>
      <c r="AB799" s="69">
        <f>STATS1003B!AB799/1000</f>
        <v>0</v>
      </c>
    </row>
    <row r="800" spans="1:28" hidden="1" x14ac:dyDescent="0.3">
      <c r="A800" s="117"/>
      <c r="C800" s="68" t="s">
        <v>606</v>
      </c>
      <c r="E800" s="85">
        <f>STATS1003B!E800/1000</f>
        <v>2023.81197</v>
      </c>
      <c r="F800" s="85">
        <f>STATS1003B!F800/1000</f>
        <v>2023.81197</v>
      </c>
      <c r="G800" s="85">
        <f>STATS1003B!G800/1000</f>
        <v>0</v>
      </c>
      <c r="H800" s="85">
        <f>STATS1003B!H800/1000</f>
        <v>2023.81197</v>
      </c>
      <c r="I800" s="85">
        <f>STATS1003B!I800/1000</f>
        <v>0</v>
      </c>
      <c r="J800" s="85">
        <f>STATS1003B!J800/1000</f>
        <v>2023.81197</v>
      </c>
      <c r="K800" s="85">
        <f>STATS1003B!K800/1000</f>
        <v>0</v>
      </c>
      <c r="L800" s="85">
        <f>STATS1003B!L800/1000</f>
        <v>0</v>
      </c>
      <c r="M800" s="85">
        <f>STATS1003B!M800/1000</f>
        <v>2023.81197</v>
      </c>
      <c r="N800" s="85">
        <f>STATS1003B!N800/1000</f>
        <v>0</v>
      </c>
      <c r="O800" s="85">
        <f>STATS1003B!O800/1000</f>
        <v>0</v>
      </c>
      <c r="P800" s="85">
        <f>STATS1003B!P800/1000</f>
        <v>0</v>
      </c>
      <c r="Q800" s="85">
        <f>STATS1003B!Q800/1000</f>
        <v>2023.81197</v>
      </c>
      <c r="R800" s="85">
        <f>STATS1003B!R800/1000</f>
        <v>0</v>
      </c>
      <c r="S800" s="85">
        <f>STATS1003B!S800/1000</f>
        <v>0</v>
      </c>
      <c r="T800" s="85">
        <f>STATS1003B!T800/1000</f>
        <v>0</v>
      </c>
      <c r="U800" s="85">
        <f>STATS1003B!U800/1000</f>
        <v>0</v>
      </c>
      <c r="V800" s="85">
        <f>STATS1003B!V800/1000</f>
        <v>2023.81197</v>
      </c>
      <c r="W800" s="85">
        <f>STATS1003B!W800/1000</f>
        <v>0</v>
      </c>
      <c r="X800" s="85">
        <f t="shared" si="100"/>
        <v>2023.81197</v>
      </c>
      <c r="Y800" s="85">
        <f>STATS1003B!Y800/1000</f>
        <v>0</v>
      </c>
      <c r="Z800" s="85">
        <f t="shared" si="103"/>
        <v>0</v>
      </c>
      <c r="AA800" s="69">
        <f>STATS1003B!AA800/1000</f>
        <v>2023.81197</v>
      </c>
      <c r="AB800" s="69">
        <f>STATS1003B!AB800/1000</f>
        <v>0</v>
      </c>
    </row>
    <row r="801" spans="1:28" hidden="1" x14ac:dyDescent="0.3">
      <c r="A801" s="117"/>
      <c r="E801" s="86" t="s">
        <v>29</v>
      </c>
      <c r="F801" s="86" t="s">
        <v>29</v>
      </c>
      <c r="G801" s="86" t="s">
        <v>29</v>
      </c>
      <c r="H801" s="86" t="s">
        <v>29</v>
      </c>
      <c r="I801" s="86" t="s">
        <v>29</v>
      </c>
      <c r="J801" s="86" t="s">
        <v>29</v>
      </c>
      <c r="K801" s="86" t="s">
        <v>29</v>
      </c>
      <c r="L801" s="86" t="s">
        <v>29</v>
      </c>
      <c r="M801" s="86" t="s">
        <v>29</v>
      </c>
      <c r="N801" s="86" t="s">
        <v>29</v>
      </c>
      <c r="O801" s="86" t="s">
        <v>29</v>
      </c>
      <c r="P801" s="86" t="s">
        <v>29</v>
      </c>
      <c r="Q801" s="86" t="s">
        <v>29</v>
      </c>
      <c r="R801" s="86" t="s">
        <v>29</v>
      </c>
      <c r="S801" s="86" t="s">
        <v>29</v>
      </c>
      <c r="T801" s="86" t="s">
        <v>29</v>
      </c>
      <c r="U801" s="86" t="s">
        <v>29</v>
      </c>
      <c r="V801" s="86" t="s">
        <v>29</v>
      </c>
      <c r="W801" s="86" t="s">
        <v>29</v>
      </c>
      <c r="X801" s="85" t="e">
        <f t="shared" si="100"/>
        <v>#VALUE!</v>
      </c>
      <c r="Y801" s="86" t="s">
        <v>29</v>
      </c>
      <c r="Z801" s="85" t="e">
        <f t="shared" si="103"/>
        <v>#VALUE!</v>
      </c>
      <c r="AA801" s="115" t="s">
        <v>29</v>
      </c>
      <c r="AB801" s="115" t="s">
        <v>29</v>
      </c>
    </row>
    <row r="802" spans="1:28" x14ac:dyDescent="0.3">
      <c r="A802" s="116">
        <v>38</v>
      </c>
      <c r="B802" s="68" t="s">
        <v>631</v>
      </c>
      <c r="E802" s="85">
        <f>97061206.28/1000</f>
        <v>97061.206279999999</v>
      </c>
      <c r="F802" s="85">
        <f t="shared" ref="F802:Q802" si="104">SUM(F784:F801)</f>
        <v>59603.552479999991</v>
      </c>
      <c r="G802" s="85">
        <f t="shared" si="104"/>
        <v>0</v>
      </c>
      <c r="H802" s="85">
        <f>89172717.97/1000</f>
        <v>89172.717969999998</v>
      </c>
      <c r="I802" s="85">
        <f t="shared" si="104"/>
        <v>3375.1930000000002</v>
      </c>
      <c r="J802" s="85">
        <f t="shared" si="104"/>
        <v>53378.74547999999</v>
      </c>
      <c r="K802" s="85">
        <f t="shared" si="104"/>
        <v>4008.95426</v>
      </c>
      <c r="L802" s="85">
        <f t="shared" si="104"/>
        <v>3375.1930000000002</v>
      </c>
      <c r="M802" s="85">
        <f t="shared" si="104"/>
        <v>62978.74547999999</v>
      </c>
      <c r="N802" s="85">
        <f t="shared" si="104"/>
        <v>4268.7979300000006</v>
      </c>
      <c r="O802" s="85">
        <f t="shared" si="104"/>
        <v>0</v>
      </c>
      <c r="P802" s="85">
        <f>4268797/1000</f>
        <v>4268.7969999999996</v>
      </c>
      <c r="Q802" s="85">
        <f t="shared" si="104"/>
        <v>53623.242859999998</v>
      </c>
      <c r="R802" s="86"/>
      <c r="S802" s="86"/>
      <c r="T802" s="85">
        <f t="shared" ref="T802:Y802" si="105">SUM(T784:T801)</f>
        <v>244.49737999999999</v>
      </c>
      <c r="U802" s="85">
        <f t="shared" si="105"/>
        <v>4513.2953099999995</v>
      </c>
      <c r="V802" s="85">
        <f t="shared" si="105"/>
        <v>54272.350409999992</v>
      </c>
      <c r="W802" s="85">
        <f t="shared" si="105"/>
        <v>3619.6903800000023</v>
      </c>
      <c r="X802" s="85">
        <f>+H802+P802</f>
        <v>93441.514970000004</v>
      </c>
      <c r="Y802" s="85">
        <f t="shared" si="105"/>
        <v>0</v>
      </c>
      <c r="Z802" s="85">
        <f t="shared" si="103"/>
        <v>3619.6913099999947</v>
      </c>
      <c r="AA802" s="69">
        <f>SUM(AA784:AA801)</f>
        <v>67492.040789999985</v>
      </c>
      <c r="AB802" s="69">
        <f>SUM(AB784:AB801)</f>
        <v>0</v>
      </c>
    </row>
    <row r="803" spans="1:28" hidden="1" x14ac:dyDescent="0.3">
      <c r="A803" s="117"/>
      <c r="E803" s="86" t="s">
        <v>29</v>
      </c>
      <c r="F803" s="86" t="s">
        <v>29</v>
      </c>
      <c r="G803" s="86" t="s">
        <v>29</v>
      </c>
      <c r="H803" s="86" t="s">
        <v>29</v>
      </c>
      <c r="I803" s="86" t="s">
        <v>29</v>
      </c>
      <c r="J803" s="86" t="s">
        <v>29</v>
      </c>
      <c r="K803" s="86" t="s">
        <v>29</v>
      </c>
      <c r="L803" s="86" t="s">
        <v>29</v>
      </c>
      <c r="M803" s="86" t="s">
        <v>29</v>
      </c>
      <c r="N803" s="86" t="s">
        <v>29</v>
      </c>
      <c r="O803" s="86" t="s">
        <v>29</v>
      </c>
      <c r="P803" s="86" t="s">
        <v>29</v>
      </c>
      <c r="Q803" s="86" t="s">
        <v>29</v>
      </c>
      <c r="R803" s="86" t="s">
        <v>29</v>
      </c>
      <c r="S803" s="86" t="s">
        <v>29</v>
      </c>
      <c r="T803" s="86" t="s">
        <v>29</v>
      </c>
      <c r="U803" s="86" t="s">
        <v>29</v>
      </c>
      <c r="V803" s="86" t="s">
        <v>29</v>
      </c>
      <c r="W803" s="86" t="s">
        <v>29</v>
      </c>
      <c r="X803" s="85" t="e">
        <f t="shared" si="100"/>
        <v>#VALUE!</v>
      </c>
      <c r="Y803" s="86" t="s">
        <v>29</v>
      </c>
      <c r="Z803" s="85" t="e">
        <f t="shared" si="103"/>
        <v>#VALUE!</v>
      </c>
      <c r="AA803" s="115" t="s">
        <v>29</v>
      </c>
      <c r="AB803" s="115" t="s">
        <v>29</v>
      </c>
    </row>
    <row r="804" spans="1:28" hidden="1" x14ac:dyDescent="0.3">
      <c r="A804" s="105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6"/>
      <c r="S804" s="86"/>
      <c r="T804" s="86"/>
      <c r="U804" s="86"/>
      <c r="V804" s="86"/>
      <c r="W804" s="86"/>
      <c r="X804" s="85">
        <f t="shared" si="100"/>
        <v>0</v>
      </c>
      <c r="Y804" s="86"/>
      <c r="Z804" s="85">
        <f t="shared" si="103"/>
        <v>0</v>
      </c>
      <c r="AA804" s="118"/>
    </row>
    <row r="805" spans="1:28" hidden="1" x14ac:dyDescent="0.3">
      <c r="A805" s="117"/>
      <c r="C805" s="68" t="s">
        <v>638</v>
      </c>
      <c r="D805" s="145" t="s">
        <v>150</v>
      </c>
      <c r="E805" s="85">
        <f>STATS1003B!E805/1000</f>
        <v>3018.4</v>
      </c>
      <c r="F805" s="85">
        <f>STATS1003B!F805/1000</f>
        <v>3000</v>
      </c>
      <c r="G805" s="85">
        <f>STATS1003B!G805/1000</f>
        <v>0</v>
      </c>
      <c r="H805" s="85">
        <f>STATS1003B!H805/1000</f>
        <v>3000</v>
      </c>
      <c r="I805" s="85">
        <f>STATS1003B!I805/1000</f>
        <v>0</v>
      </c>
      <c r="J805" s="85">
        <f>STATS1003B!J805/1000</f>
        <v>3000</v>
      </c>
      <c r="K805" s="85">
        <f>STATS1003B!K805/1000</f>
        <v>18.399999999999999</v>
      </c>
      <c r="L805" s="85">
        <f>STATS1003B!L805/1000</f>
        <v>0</v>
      </c>
      <c r="M805" s="85">
        <f>STATS1003B!M805/1000</f>
        <v>3000</v>
      </c>
      <c r="N805" s="85">
        <f>STATS1003B!N805/1000</f>
        <v>18.399999999999999</v>
      </c>
      <c r="O805" s="85">
        <f>STATS1003B!O805/1000</f>
        <v>0</v>
      </c>
      <c r="P805" s="85">
        <f>STATS1003B!P805/1000</f>
        <v>18.399999999999999</v>
      </c>
      <c r="Q805" s="85">
        <f>STATS1003B!Q805/1000</f>
        <v>3000</v>
      </c>
      <c r="R805" s="85">
        <f>STATS1003B!R805/1000</f>
        <v>0</v>
      </c>
      <c r="S805" s="85">
        <f>STATS1003B!S805/1000</f>
        <v>0</v>
      </c>
      <c r="T805" s="85">
        <f>STATS1003B!T805/1000</f>
        <v>0</v>
      </c>
      <c r="U805" s="85">
        <f>STATS1003B!U805/1000</f>
        <v>18.399999999999999</v>
      </c>
      <c r="V805" s="85">
        <f>STATS1003B!V805/1000</f>
        <v>3018.4</v>
      </c>
      <c r="W805" s="85">
        <f>STATS1003B!W805/1000</f>
        <v>0</v>
      </c>
      <c r="X805" s="85">
        <f t="shared" si="100"/>
        <v>3018.4</v>
      </c>
      <c r="Y805" s="85">
        <f>STATS1003B!Y805/1000</f>
        <v>0</v>
      </c>
      <c r="Z805" s="85">
        <f t="shared" si="103"/>
        <v>0</v>
      </c>
      <c r="AA805" s="69">
        <f>STATS1003B!AA805/1000</f>
        <v>3018.4</v>
      </c>
      <c r="AB805" s="69">
        <f>STATS1003B!AB805/1000</f>
        <v>0</v>
      </c>
    </row>
    <row r="806" spans="1:28" hidden="1" x14ac:dyDescent="0.3">
      <c r="A806" s="117"/>
      <c r="C806" s="68" t="s">
        <v>535</v>
      </c>
      <c r="D806" s="145" t="s">
        <v>68</v>
      </c>
      <c r="E806" s="85">
        <f>STATS1003B!E806/1000</f>
        <v>3650.85</v>
      </c>
      <c r="F806" s="85">
        <f>STATS1003B!F806/1000</f>
        <v>1321.2</v>
      </c>
      <c r="G806" s="85">
        <f>STATS1003B!G806/1000</f>
        <v>0</v>
      </c>
      <c r="H806" s="85">
        <f>STATS1003B!H806/1000</f>
        <v>1321.2</v>
      </c>
      <c r="I806" s="85">
        <f>STATS1003B!I806/1000</f>
        <v>0</v>
      </c>
      <c r="J806" s="85">
        <f>STATS1003B!J806/1000</f>
        <v>1321.2</v>
      </c>
      <c r="K806" s="85">
        <f>STATS1003B!K806/1000</f>
        <v>2329.65</v>
      </c>
      <c r="L806" s="85">
        <f>STATS1003B!L806/1000</f>
        <v>0</v>
      </c>
      <c r="M806" s="85">
        <f>STATS1003B!M806/1000</f>
        <v>1321.2</v>
      </c>
      <c r="N806" s="85">
        <f>STATS1003B!N806/1000</f>
        <v>2329.65</v>
      </c>
      <c r="O806" s="85">
        <f>STATS1003B!O806/1000</f>
        <v>0</v>
      </c>
      <c r="P806" s="85">
        <f>STATS1003B!P806/1000</f>
        <v>2329.65</v>
      </c>
      <c r="Q806" s="85">
        <f>STATS1003B!Q806/1000</f>
        <v>1321.2</v>
      </c>
      <c r="R806" s="85">
        <f>STATS1003B!R806/1000</f>
        <v>0</v>
      </c>
      <c r="S806" s="85">
        <f>STATS1003B!S806/1000</f>
        <v>0</v>
      </c>
      <c r="T806" s="85">
        <f>STATS1003B!T806/1000</f>
        <v>0</v>
      </c>
      <c r="U806" s="85">
        <f>STATS1003B!U806/1000</f>
        <v>2329.65</v>
      </c>
      <c r="V806" s="85">
        <f>STATS1003B!V806/1000</f>
        <v>3650.85</v>
      </c>
      <c r="W806" s="85">
        <f>STATS1003B!W806/1000</f>
        <v>0</v>
      </c>
      <c r="X806" s="85">
        <f t="shared" si="100"/>
        <v>3650.8500000000004</v>
      </c>
      <c r="Y806" s="85">
        <f>STATS1003B!Y806/1000</f>
        <v>0</v>
      </c>
      <c r="Z806" s="85">
        <f t="shared" si="103"/>
        <v>0</v>
      </c>
      <c r="AA806" s="69">
        <f>STATS1003B!AA806/1000</f>
        <v>3650.85</v>
      </c>
      <c r="AB806" s="69">
        <f>STATS1003B!AB806/1000</f>
        <v>0</v>
      </c>
    </row>
    <row r="807" spans="1:28" hidden="1" x14ac:dyDescent="0.3">
      <c r="A807" s="117"/>
      <c r="C807" s="68" t="s">
        <v>539</v>
      </c>
      <c r="D807" s="145" t="s">
        <v>68</v>
      </c>
      <c r="E807" s="85">
        <f>STATS1003B!E807/1000</f>
        <v>5886.7094699999998</v>
      </c>
      <c r="F807" s="85">
        <f>STATS1003B!F807/1000</f>
        <v>0</v>
      </c>
      <c r="G807" s="85">
        <f>STATS1003B!G807/1000</f>
        <v>0</v>
      </c>
      <c r="H807" s="85">
        <f>STATS1003B!H807/1000</f>
        <v>0</v>
      </c>
      <c r="I807" s="85">
        <f>STATS1003B!I807/1000</f>
        <v>0</v>
      </c>
      <c r="J807" s="85">
        <f>STATS1003B!J807/1000</f>
        <v>0</v>
      </c>
      <c r="K807" s="85">
        <f>STATS1003B!K807/1000</f>
        <v>5886.7094699999998</v>
      </c>
      <c r="L807" s="85">
        <f>STATS1003B!L807/1000</f>
        <v>0</v>
      </c>
      <c r="M807" s="85">
        <f>STATS1003B!M807/1000</f>
        <v>0</v>
      </c>
      <c r="N807" s="85">
        <f>STATS1003B!N807/1000</f>
        <v>5886.7094699999998</v>
      </c>
      <c r="O807" s="85">
        <f>STATS1003B!O807/1000</f>
        <v>0</v>
      </c>
      <c r="P807" s="85">
        <f>STATS1003B!P807/1000</f>
        <v>5886.7094699999998</v>
      </c>
      <c r="Q807" s="85">
        <f>STATS1003B!Q807/1000</f>
        <v>0</v>
      </c>
      <c r="R807" s="85">
        <f>STATS1003B!R807/1000</f>
        <v>0</v>
      </c>
      <c r="S807" s="85">
        <f>STATS1003B!S807/1000</f>
        <v>0</v>
      </c>
      <c r="T807" s="85">
        <f>STATS1003B!T807/1000</f>
        <v>0</v>
      </c>
      <c r="U807" s="85">
        <f>STATS1003B!U807/1000</f>
        <v>5886.7094699999998</v>
      </c>
      <c r="V807" s="85">
        <f>STATS1003B!V807/1000</f>
        <v>5886.7094699999998</v>
      </c>
      <c r="W807" s="85">
        <f>STATS1003B!W807/1000</f>
        <v>0</v>
      </c>
      <c r="X807" s="85">
        <f t="shared" si="100"/>
        <v>5886.7094699999998</v>
      </c>
      <c r="Y807" s="85">
        <f>STATS1003B!Y807/1000</f>
        <v>0</v>
      </c>
      <c r="Z807" s="85">
        <f t="shared" si="103"/>
        <v>0</v>
      </c>
      <c r="AA807" s="69">
        <f>STATS1003B!AA807/1000</f>
        <v>5886.7094699999998</v>
      </c>
      <c r="AB807" s="69">
        <f>STATS1003B!AB807/1000</f>
        <v>0</v>
      </c>
    </row>
    <row r="808" spans="1:28" hidden="1" x14ac:dyDescent="0.3">
      <c r="A808" s="117"/>
      <c r="C808" s="68" t="s">
        <v>545</v>
      </c>
      <c r="D808" s="145" t="s">
        <v>54</v>
      </c>
      <c r="E808" s="85">
        <f>STATS1003B!E808/1000</f>
        <v>1767.77</v>
      </c>
      <c r="F808" s="85">
        <f>STATS1003B!F808/1000</f>
        <v>0</v>
      </c>
      <c r="G808" s="85">
        <f>STATS1003B!G808/1000</f>
        <v>0</v>
      </c>
      <c r="H808" s="85">
        <f>STATS1003B!H808/1000</f>
        <v>0</v>
      </c>
      <c r="I808" s="85">
        <f>STATS1003B!I808/1000</f>
        <v>0</v>
      </c>
      <c r="J808" s="85">
        <f>STATS1003B!J808/1000</f>
        <v>0</v>
      </c>
      <c r="K808" s="85">
        <f>STATS1003B!K808/1000</f>
        <v>1767.77</v>
      </c>
      <c r="L808" s="85">
        <f>STATS1003B!L808/1000</f>
        <v>0</v>
      </c>
      <c r="M808" s="85">
        <f>STATS1003B!M808/1000</f>
        <v>0</v>
      </c>
      <c r="N808" s="85">
        <f>STATS1003B!N808/1000</f>
        <v>1767.77</v>
      </c>
      <c r="O808" s="85">
        <f>STATS1003B!O808/1000</f>
        <v>0</v>
      </c>
      <c r="P808" s="85">
        <f>STATS1003B!P808/1000</f>
        <v>1767.77</v>
      </c>
      <c r="Q808" s="85">
        <f>STATS1003B!Q808/1000</f>
        <v>0</v>
      </c>
      <c r="R808" s="85">
        <f>STATS1003B!R808/1000</f>
        <v>0</v>
      </c>
      <c r="S808" s="85">
        <f>STATS1003B!S808/1000</f>
        <v>0</v>
      </c>
      <c r="T808" s="85">
        <f>STATS1003B!T808/1000</f>
        <v>0</v>
      </c>
      <c r="U808" s="85">
        <f>STATS1003B!U808/1000</f>
        <v>1767.77</v>
      </c>
      <c r="V808" s="85">
        <f>STATS1003B!V808/1000</f>
        <v>1767.77</v>
      </c>
      <c r="W808" s="85">
        <f>STATS1003B!W808/1000</f>
        <v>0</v>
      </c>
      <c r="X808" s="85">
        <f t="shared" si="100"/>
        <v>1767.77</v>
      </c>
      <c r="Y808" s="85">
        <f>STATS1003B!Y808/1000</f>
        <v>0</v>
      </c>
      <c r="Z808" s="85">
        <f t="shared" si="103"/>
        <v>0</v>
      </c>
      <c r="AA808" s="69">
        <f>STATS1003B!AA808/1000</f>
        <v>1767.77</v>
      </c>
      <c r="AB808" s="69">
        <f>STATS1003B!AB808/1000</f>
        <v>0</v>
      </c>
    </row>
    <row r="809" spans="1:28" hidden="1" x14ac:dyDescent="0.3">
      <c r="A809" s="117"/>
      <c r="C809" s="68" t="s">
        <v>535</v>
      </c>
      <c r="D809" s="145" t="s">
        <v>54</v>
      </c>
      <c r="E809" s="85">
        <f>STATS1003B!E809/1000</f>
        <v>439</v>
      </c>
      <c r="F809" s="85">
        <f>STATS1003B!F809/1000</f>
        <v>439</v>
      </c>
      <c r="G809" s="85">
        <f>STATS1003B!G809/1000</f>
        <v>0</v>
      </c>
      <c r="H809" s="85">
        <f>STATS1003B!H809/1000</f>
        <v>439</v>
      </c>
      <c r="I809" s="85">
        <f>STATS1003B!I809/1000</f>
        <v>0</v>
      </c>
      <c r="J809" s="85">
        <f>STATS1003B!J809/1000</f>
        <v>439</v>
      </c>
      <c r="K809" s="85">
        <f>STATS1003B!K809/1000</f>
        <v>0</v>
      </c>
      <c r="L809" s="85">
        <f>STATS1003B!L809/1000</f>
        <v>0</v>
      </c>
      <c r="M809" s="85">
        <f>STATS1003B!M809/1000</f>
        <v>439</v>
      </c>
      <c r="N809" s="85">
        <f>STATS1003B!N809/1000</f>
        <v>0</v>
      </c>
      <c r="O809" s="85">
        <f>STATS1003B!O809/1000</f>
        <v>0</v>
      </c>
      <c r="P809" s="85">
        <f>STATS1003B!P809/1000</f>
        <v>0</v>
      </c>
      <c r="Q809" s="85">
        <f>STATS1003B!Q809/1000</f>
        <v>439</v>
      </c>
      <c r="R809" s="85">
        <f>STATS1003B!R809/1000</f>
        <v>0</v>
      </c>
      <c r="S809" s="85">
        <f>STATS1003B!S809/1000</f>
        <v>0</v>
      </c>
      <c r="T809" s="85">
        <f>STATS1003B!T809/1000</f>
        <v>0</v>
      </c>
      <c r="U809" s="85">
        <f>STATS1003B!U809/1000</f>
        <v>0</v>
      </c>
      <c r="V809" s="85">
        <f>STATS1003B!V809/1000</f>
        <v>439</v>
      </c>
      <c r="W809" s="85">
        <f>STATS1003B!W809/1000</f>
        <v>0</v>
      </c>
      <c r="X809" s="85">
        <f t="shared" si="100"/>
        <v>439</v>
      </c>
      <c r="Y809" s="85">
        <f>STATS1003B!Y809/1000</f>
        <v>0</v>
      </c>
      <c r="Z809" s="85">
        <f t="shared" si="103"/>
        <v>0</v>
      </c>
      <c r="AA809" s="69">
        <f>STATS1003B!AA809/1000</f>
        <v>439</v>
      </c>
      <c r="AB809" s="69">
        <f>STATS1003B!AB809/1000</f>
        <v>0</v>
      </c>
    </row>
    <row r="810" spans="1:28" hidden="1" x14ac:dyDescent="0.3">
      <c r="A810" s="117"/>
      <c r="C810" s="68" t="s">
        <v>639</v>
      </c>
      <c r="D810" s="145" t="s">
        <v>54</v>
      </c>
      <c r="E810" s="85">
        <f>STATS1003B!E810/1000</f>
        <v>2849.98</v>
      </c>
      <c r="F810" s="85">
        <f>STATS1003B!F810/1000</f>
        <v>2849.98</v>
      </c>
      <c r="G810" s="85">
        <f>STATS1003B!G810/1000</f>
        <v>0</v>
      </c>
      <c r="H810" s="85">
        <f>STATS1003B!H810/1000</f>
        <v>2849.98</v>
      </c>
      <c r="I810" s="85">
        <f>STATS1003B!I810/1000</f>
        <v>0</v>
      </c>
      <c r="J810" s="85">
        <f>STATS1003B!J810/1000</f>
        <v>2849.98</v>
      </c>
      <c r="K810" s="85">
        <f>STATS1003B!K810/1000</f>
        <v>0</v>
      </c>
      <c r="L810" s="85">
        <f>STATS1003B!L810/1000</f>
        <v>0</v>
      </c>
      <c r="M810" s="85">
        <f>STATS1003B!M810/1000</f>
        <v>2849.98</v>
      </c>
      <c r="N810" s="85">
        <f>STATS1003B!N810/1000</f>
        <v>0</v>
      </c>
      <c r="O810" s="85">
        <f>STATS1003B!O810/1000</f>
        <v>0</v>
      </c>
      <c r="P810" s="85">
        <f>STATS1003B!P810/1000</f>
        <v>0</v>
      </c>
      <c r="Q810" s="85">
        <f>STATS1003B!Q810/1000</f>
        <v>2849.98</v>
      </c>
      <c r="R810" s="85">
        <f>STATS1003B!R810/1000</f>
        <v>0</v>
      </c>
      <c r="S810" s="85">
        <f>STATS1003B!S810/1000</f>
        <v>0</v>
      </c>
      <c r="T810" s="85">
        <f>STATS1003B!T810/1000</f>
        <v>0</v>
      </c>
      <c r="U810" s="85">
        <f>STATS1003B!U810/1000</f>
        <v>0</v>
      </c>
      <c r="V810" s="85">
        <f>STATS1003B!V810/1000</f>
        <v>2849.98</v>
      </c>
      <c r="W810" s="85">
        <f>STATS1003B!W810/1000</f>
        <v>0</v>
      </c>
      <c r="X810" s="85">
        <f t="shared" si="100"/>
        <v>2849.98</v>
      </c>
      <c r="Y810" s="85">
        <f>STATS1003B!Y810/1000</f>
        <v>0</v>
      </c>
      <c r="Z810" s="85">
        <f t="shared" si="103"/>
        <v>0</v>
      </c>
      <c r="AA810" s="69">
        <f>STATS1003B!AA810/1000</f>
        <v>2849.98</v>
      </c>
      <c r="AB810" s="69">
        <f>STATS1003B!AB810/1000</f>
        <v>0</v>
      </c>
    </row>
    <row r="811" spans="1:28" hidden="1" x14ac:dyDescent="0.3">
      <c r="A811" s="117"/>
      <c r="C811" s="68" t="s">
        <v>535</v>
      </c>
      <c r="D811" s="145" t="s">
        <v>85</v>
      </c>
      <c r="E811" s="85">
        <f>STATS1003B!E811/1000</f>
        <v>1063.8</v>
      </c>
      <c r="F811" s="85">
        <f>STATS1003B!F811/1000</f>
        <v>1063.8</v>
      </c>
      <c r="G811" s="85">
        <f>STATS1003B!G811/1000</f>
        <v>0</v>
      </c>
      <c r="H811" s="85">
        <f>STATS1003B!H811/1000</f>
        <v>1063.8</v>
      </c>
      <c r="I811" s="85">
        <f>STATS1003B!I811/1000</f>
        <v>0</v>
      </c>
      <c r="J811" s="85">
        <f>STATS1003B!J811/1000</f>
        <v>1063.8</v>
      </c>
      <c r="K811" s="85">
        <f>STATS1003B!K811/1000</f>
        <v>0</v>
      </c>
      <c r="L811" s="85">
        <f>STATS1003B!L811/1000</f>
        <v>0</v>
      </c>
      <c r="M811" s="85">
        <f>STATS1003B!M811/1000</f>
        <v>1063.8</v>
      </c>
      <c r="N811" s="85">
        <f>STATS1003B!N811/1000</f>
        <v>0</v>
      </c>
      <c r="O811" s="85">
        <f>STATS1003B!O811/1000</f>
        <v>0</v>
      </c>
      <c r="P811" s="85">
        <f>STATS1003B!P811/1000</f>
        <v>0</v>
      </c>
      <c r="Q811" s="85">
        <f>STATS1003B!Q811/1000</f>
        <v>1063.8</v>
      </c>
      <c r="R811" s="85">
        <f>STATS1003B!R811/1000</f>
        <v>0</v>
      </c>
      <c r="S811" s="85">
        <f>STATS1003B!S811/1000</f>
        <v>0</v>
      </c>
      <c r="T811" s="85">
        <f>STATS1003B!T811/1000</f>
        <v>0</v>
      </c>
      <c r="U811" s="85">
        <f>STATS1003B!U811/1000</f>
        <v>0</v>
      </c>
      <c r="V811" s="85">
        <f>STATS1003B!V811/1000</f>
        <v>1063.8</v>
      </c>
      <c r="W811" s="85">
        <f>STATS1003B!W811/1000</f>
        <v>0</v>
      </c>
      <c r="X811" s="85">
        <f t="shared" si="100"/>
        <v>1063.8</v>
      </c>
      <c r="Y811" s="85">
        <f>STATS1003B!Y811/1000</f>
        <v>0</v>
      </c>
      <c r="Z811" s="85">
        <f t="shared" si="103"/>
        <v>0</v>
      </c>
      <c r="AA811" s="69">
        <f>STATS1003B!AA811/1000</f>
        <v>1063.8</v>
      </c>
      <c r="AB811" s="69">
        <f>STATS1003B!AB811/1000</f>
        <v>0</v>
      </c>
    </row>
    <row r="812" spans="1:28" hidden="1" x14ac:dyDescent="0.3">
      <c r="A812" s="117"/>
      <c r="C812" s="68" t="s">
        <v>639</v>
      </c>
      <c r="D812" s="145" t="s">
        <v>85</v>
      </c>
      <c r="E812" s="85">
        <f>STATS1003B!E812/1000</f>
        <v>2400.0005000000001</v>
      </c>
      <c r="F812" s="85">
        <f>STATS1003B!F812/1000</f>
        <v>2400.0005000000001</v>
      </c>
      <c r="G812" s="85">
        <f>STATS1003B!G812/1000</f>
        <v>0</v>
      </c>
      <c r="H812" s="85">
        <f>STATS1003B!H812/1000</f>
        <v>2400.0005000000001</v>
      </c>
      <c r="I812" s="85">
        <f>STATS1003B!I812/1000</f>
        <v>0</v>
      </c>
      <c r="J812" s="85">
        <f>STATS1003B!J812/1000</f>
        <v>2400.0005000000001</v>
      </c>
      <c r="K812" s="85">
        <f>STATS1003B!K812/1000</f>
        <v>0</v>
      </c>
      <c r="L812" s="85">
        <f>STATS1003B!L812/1000</f>
        <v>0</v>
      </c>
      <c r="M812" s="85">
        <f>STATS1003B!M812/1000</f>
        <v>2400.0005000000001</v>
      </c>
      <c r="N812" s="85">
        <f>STATS1003B!N812/1000</f>
        <v>0</v>
      </c>
      <c r="O812" s="85">
        <f>STATS1003B!O812/1000</f>
        <v>0</v>
      </c>
      <c r="P812" s="85">
        <f>STATS1003B!P812/1000</f>
        <v>0</v>
      </c>
      <c r="Q812" s="85">
        <f>STATS1003B!Q812/1000</f>
        <v>2400.0005000000001</v>
      </c>
      <c r="R812" s="85">
        <f>STATS1003B!R812/1000</f>
        <v>0</v>
      </c>
      <c r="S812" s="85">
        <f>STATS1003B!S812/1000</f>
        <v>0</v>
      </c>
      <c r="T812" s="85">
        <f>STATS1003B!T812/1000</f>
        <v>0</v>
      </c>
      <c r="U812" s="85">
        <f>STATS1003B!U812/1000</f>
        <v>0</v>
      </c>
      <c r="V812" s="85">
        <f>STATS1003B!V812/1000</f>
        <v>2400.0005000000001</v>
      </c>
      <c r="W812" s="85">
        <f>STATS1003B!W812/1000</f>
        <v>0</v>
      </c>
      <c r="X812" s="85">
        <f t="shared" si="100"/>
        <v>2400.0005000000001</v>
      </c>
      <c r="Y812" s="85">
        <f>STATS1003B!Y812/1000</f>
        <v>0</v>
      </c>
      <c r="Z812" s="85">
        <f t="shared" si="103"/>
        <v>0</v>
      </c>
      <c r="AA812" s="69">
        <f>STATS1003B!AA812/1000</f>
        <v>2400.0005000000001</v>
      </c>
      <c r="AB812" s="69">
        <f>STATS1003B!AB812/1000</f>
        <v>0</v>
      </c>
    </row>
    <row r="813" spans="1:28" hidden="1" x14ac:dyDescent="0.3">
      <c r="A813" s="117"/>
      <c r="C813" s="68" t="s">
        <v>640</v>
      </c>
      <c r="D813" s="145" t="s">
        <v>128</v>
      </c>
      <c r="E813" s="85">
        <f>STATS1003B!E813/1000</f>
        <v>800</v>
      </c>
      <c r="F813" s="85">
        <f>STATS1003B!F813/1000</f>
        <v>800</v>
      </c>
      <c r="G813" s="85">
        <f>STATS1003B!G813/1000</f>
        <v>0</v>
      </c>
      <c r="H813" s="85">
        <f>STATS1003B!H813/1000</f>
        <v>800</v>
      </c>
      <c r="I813" s="85">
        <f>STATS1003B!I813/1000</f>
        <v>0</v>
      </c>
      <c r="J813" s="85">
        <f>STATS1003B!J813/1000</f>
        <v>800</v>
      </c>
      <c r="K813" s="85">
        <f>STATS1003B!K813/1000</f>
        <v>0</v>
      </c>
      <c r="L813" s="85">
        <f>STATS1003B!L813/1000</f>
        <v>0</v>
      </c>
      <c r="M813" s="85">
        <f>STATS1003B!M813/1000</f>
        <v>800</v>
      </c>
      <c r="N813" s="85">
        <f>STATS1003B!N813/1000</f>
        <v>0</v>
      </c>
      <c r="O813" s="85">
        <f>STATS1003B!O813/1000</f>
        <v>0</v>
      </c>
      <c r="P813" s="85">
        <f>STATS1003B!P813/1000</f>
        <v>0</v>
      </c>
      <c r="Q813" s="85">
        <f>STATS1003B!Q813/1000</f>
        <v>800</v>
      </c>
      <c r="R813" s="85">
        <f>STATS1003B!R813/1000</f>
        <v>0</v>
      </c>
      <c r="S813" s="85">
        <f>STATS1003B!S813/1000</f>
        <v>0</v>
      </c>
      <c r="T813" s="85">
        <f>STATS1003B!T813/1000</f>
        <v>0</v>
      </c>
      <c r="U813" s="85">
        <f>STATS1003B!U813/1000</f>
        <v>0</v>
      </c>
      <c r="V813" s="85">
        <f>STATS1003B!V813/1000</f>
        <v>800</v>
      </c>
      <c r="W813" s="85">
        <f>STATS1003B!W813/1000</f>
        <v>0</v>
      </c>
      <c r="X813" s="85">
        <f t="shared" si="100"/>
        <v>800</v>
      </c>
      <c r="Y813" s="85">
        <f>STATS1003B!Y813/1000</f>
        <v>0</v>
      </c>
      <c r="Z813" s="85">
        <f t="shared" si="103"/>
        <v>0</v>
      </c>
      <c r="AA813" s="69">
        <f>STATS1003B!AA813/1000</f>
        <v>800</v>
      </c>
      <c r="AB813" s="69">
        <f>STATS1003B!AB813/1000</f>
        <v>0</v>
      </c>
    </row>
    <row r="814" spans="1:28" hidden="1" x14ac:dyDescent="0.3">
      <c r="A814" s="117"/>
      <c r="C814" s="68" t="s">
        <v>641</v>
      </c>
      <c r="D814" s="145" t="s">
        <v>128</v>
      </c>
      <c r="E814" s="85">
        <f>STATS1003B!E814/1000</f>
        <v>1000</v>
      </c>
      <c r="F814" s="85">
        <f>STATS1003B!F814/1000</f>
        <v>1000</v>
      </c>
      <c r="G814" s="85">
        <f>STATS1003B!G814/1000</f>
        <v>0</v>
      </c>
      <c r="H814" s="85">
        <f>STATS1003B!H814/1000</f>
        <v>1000</v>
      </c>
      <c r="I814" s="85">
        <f>STATS1003B!I814/1000</f>
        <v>0</v>
      </c>
      <c r="J814" s="85">
        <f>STATS1003B!J814/1000</f>
        <v>1000</v>
      </c>
      <c r="K814" s="85">
        <f>STATS1003B!K814/1000</f>
        <v>0</v>
      </c>
      <c r="L814" s="85">
        <f>STATS1003B!L814/1000</f>
        <v>0</v>
      </c>
      <c r="M814" s="85">
        <f>STATS1003B!M814/1000</f>
        <v>1000</v>
      </c>
      <c r="N814" s="85">
        <f>STATS1003B!N814/1000</f>
        <v>0</v>
      </c>
      <c r="O814" s="85">
        <f>STATS1003B!O814/1000</f>
        <v>0</v>
      </c>
      <c r="P814" s="85">
        <f>STATS1003B!P814/1000</f>
        <v>0</v>
      </c>
      <c r="Q814" s="85">
        <f>STATS1003B!Q814/1000</f>
        <v>1000</v>
      </c>
      <c r="R814" s="85">
        <f>STATS1003B!R814/1000</f>
        <v>0</v>
      </c>
      <c r="S814" s="85">
        <f>STATS1003B!S814/1000</f>
        <v>0</v>
      </c>
      <c r="T814" s="85">
        <f>STATS1003B!T814/1000</f>
        <v>0</v>
      </c>
      <c r="U814" s="85">
        <f>STATS1003B!U814/1000</f>
        <v>0</v>
      </c>
      <c r="V814" s="85">
        <f>STATS1003B!V814/1000</f>
        <v>1000</v>
      </c>
      <c r="W814" s="85">
        <f>STATS1003B!W814/1000</f>
        <v>0</v>
      </c>
      <c r="X814" s="85">
        <f t="shared" si="100"/>
        <v>1000</v>
      </c>
      <c r="Y814" s="85">
        <f>STATS1003B!Y814/1000</f>
        <v>0</v>
      </c>
      <c r="Z814" s="85">
        <f t="shared" si="103"/>
        <v>0</v>
      </c>
      <c r="AA814" s="69">
        <f>STATS1003B!AA814/1000</f>
        <v>1000</v>
      </c>
      <c r="AB814" s="69">
        <f>STATS1003B!AB814/1000</f>
        <v>0</v>
      </c>
    </row>
    <row r="815" spans="1:28" hidden="1" x14ac:dyDescent="0.3">
      <c r="A815" s="117"/>
      <c r="C815" s="68" t="s">
        <v>535</v>
      </c>
      <c r="D815" s="145" t="s">
        <v>128</v>
      </c>
      <c r="E815" s="85">
        <f>STATS1003B!E815/1000</f>
        <v>3903.5</v>
      </c>
      <c r="F815" s="85">
        <f>STATS1003B!F815/1000</f>
        <v>3903.5</v>
      </c>
      <c r="G815" s="85">
        <f>STATS1003B!G815/1000</f>
        <v>0</v>
      </c>
      <c r="H815" s="85">
        <f>STATS1003B!H815/1000</f>
        <v>3903.5</v>
      </c>
      <c r="I815" s="85">
        <f>STATS1003B!I815/1000</f>
        <v>0</v>
      </c>
      <c r="J815" s="85">
        <f>STATS1003B!J815/1000</f>
        <v>3903.5</v>
      </c>
      <c r="K815" s="85">
        <f>STATS1003B!K815/1000</f>
        <v>0</v>
      </c>
      <c r="L815" s="85">
        <f>STATS1003B!L815/1000</f>
        <v>0</v>
      </c>
      <c r="M815" s="85">
        <f>STATS1003B!M815/1000</f>
        <v>3903.5</v>
      </c>
      <c r="N815" s="85">
        <f>STATS1003B!N815/1000</f>
        <v>0</v>
      </c>
      <c r="O815" s="85">
        <f>STATS1003B!O815/1000</f>
        <v>0</v>
      </c>
      <c r="P815" s="85">
        <f>STATS1003B!P815/1000</f>
        <v>0</v>
      </c>
      <c r="Q815" s="85">
        <f>STATS1003B!Q815/1000</f>
        <v>3903.5</v>
      </c>
      <c r="R815" s="85">
        <f>STATS1003B!R815/1000</f>
        <v>0</v>
      </c>
      <c r="S815" s="85">
        <f>STATS1003B!S815/1000</f>
        <v>0</v>
      </c>
      <c r="T815" s="85">
        <f>STATS1003B!T815/1000</f>
        <v>0</v>
      </c>
      <c r="U815" s="85">
        <f>STATS1003B!U815/1000</f>
        <v>0</v>
      </c>
      <c r="V815" s="85">
        <f>STATS1003B!V815/1000</f>
        <v>3903.5</v>
      </c>
      <c r="W815" s="85">
        <f>STATS1003B!W815/1000</f>
        <v>0</v>
      </c>
      <c r="X815" s="85">
        <f t="shared" si="100"/>
        <v>3903.5</v>
      </c>
      <c r="Y815" s="85">
        <f>STATS1003B!Y815/1000</f>
        <v>0</v>
      </c>
      <c r="Z815" s="85">
        <f t="shared" si="103"/>
        <v>0</v>
      </c>
      <c r="AA815" s="69">
        <f>STATS1003B!AA815/1000</f>
        <v>3903.5</v>
      </c>
      <c r="AB815" s="69">
        <f>STATS1003B!AB815/1000</f>
        <v>0</v>
      </c>
    </row>
    <row r="816" spans="1:28" hidden="1" x14ac:dyDescent="0.3">
      <c r="A816" s="117"/>
      <c r="B816" s="68" t="s">
        <v>642</v>
      </c>
      <c r="C816" s="68" t="s">
        <v>535</v>
      </c>
      <c r="D816" s="145" t="s">
        <v>108</v>
      </c>
      <c r="E816" s="85">
        <f>STATS1003B!E816/1000</f>
        <v>2000</v>
      </c>
      <c r="F816" s="85">
        <f>STATS1003B!F816/1000</f>
        <v>2000</v>
      </c>
      <c r="G816" s="85">
        <f>STATS1003B!G816/1000</f>
        <v>0</v>
      </c>
      <c r="H816" s="85">
        <f>STATS1003B!H816/1000</f>
        <v>2000</v>
      </c>
      <c r="I816" s="85">
        <f>STATS1003B!I816/1000</f>
        <v>0</v>
      </c>
      <c r="J816" s="85">
        <f>STATS1003B!J816/1000</f>
        <v>2000</v>
      </c>
      <c r="K816" s="85">
        <f>STATS1003B!K816/1000</f>
        <v>0</v>
      </c>
      <c r="L816" s="85">
        <f>STATS1003B!L816/1000</f>
        <v>0</v>
      </c>
      <c r="M816" s="85">
        <f>STATS1003B!M816/1000</f>
        <v>2000</v>
      </c>
      <c r="N816" s="85">
        <f>STATS1003B!N816/1000</f>
        <v>0</v>
      </c>
      <c r="O816" s="85">
        <f>STATS1003B!O816/1000</f>
        <v>0</v>
      </c>
      <c r="P816" s="85">
        <f>STATS1003B!P816/1000</f>
        <v>0</v>
      </c>
      <c r="Q816" s="85">
        <f>STATS1003B!Q816/1000</f>
        <v>2000</v>
      </c>
      <c r="R816" s="85">
        <f>STATS1003B!R816/1000</f>
        <v>0</v>
      </c>
      <c r="S816" s="85">
        <f>STATS1003B!S816/1000</f>
        <v>0</v>
      </c>
      <c r="T816" s="85">
        <f>STATS1003B!T816/1000</f>
        <v>0</v>
      </c>
      <c r="U816" s="85">
        <f>STATS1003B!U816/1000</f>
        <v>0</v>
      </c>
      <c r="V816" s="85">
        <f>STATS1003B!V816/1000</f>
        <v>2000</v>
      </c>
      <c r="W816" s="85">
        <f>STATS1003B!W816/1000</f>
        <v>0</v>
      </c>
      <c r="X816" s="85">
        <f t="shared" si="100"/>
        <v>2000</v>
      </c>
      <c r="Y816" s="85">
        <f>STATS1003B!Y816/1000</f>
        <v>0</v>
      </c>
      <c r="Z816" s="85">
        <f t="shared" si="103"/>
        <v>0</v>
      </c>
      <c r="AA816" s="69">
        <f>STATS1003B!AA816/1000</f>
        <v>2000</v>
      </c>
      <c r="AB816" s="69">
        <f>STATS1003B!AB816/1000</f>
        <v>0</v>
      </c>
    </row>
    <row r="817" spans="1:28" hidden="1" x14ac:dyDescent="0.3">
      <c r="A817" s="117"/>
      <c r="C817" s="68" t="s">
        <v>535</v>
      </c>
      <c r="D817" s="145" t="s">
        <v>194</v>
      </c>
      <c r="E817" s="85">
        <f>STATS1003B!E817/1000</f>
        <v>894.69569999999999</v>
      </c>
      <c r="F817" s="85">
        <f>STATS1003B!F817/1000</f>
        <v>894.69569999999999</v>
      </c>
      <c r="G817" s="85">
        <f>STATS1003B!G817/1000</f>
        <v>0</v>
      </c>
      <c r="H817" s="85">
        <f>STATS1003B!H817/1000</f>
        <v>894.69569999999999</v>
      </c>
      <c r="I817" s="85">
        <f>STATS1003B!I817/1000</f>
        <v>0</v>
      </c>
      <c r="J817" s="85">
        <f>STATS1003B!J817/1000</f>
        <v>894.69569999999999</v>
      </c>
      <c r="K817" s="85">
        <f>STATS1003B!K817/1000</f>
        <v>0</v>
      </c>
      <c r="L817" s="85">
        <f>STATS1003B!L817/1000</f>
        <v>0</v>
      </c>
      <c r="M817" s="85">
        <f>STATS1003B!M817/1000</f>
        <v>894.69569999999999</v>
      </c>
      <c r="N817" s="85">
        <f>STATS1003B!N817/1000</f>
        <v>0</v>
      </c>
      <c r="O817" s="85">
        <f>STATS1003B!O817/1000</f>
        <v>0</v>
      </c>
      <c r="P817" s="85">
        <f>STATS1003B!P817/1000</f>
        <v>0</v>
      </c>
      <c r="Q817" s="85">
        <f>STATS1003B!Q817/1000</f>
        <v>894.69569999999999</v>
      </c>
      <c r="R817" s="85">
        <f>STATS1003B!R817/1000</f>
        <v>0</v>
      </c>
      <c r="S817" s="85">
        <f>STATS1003B!S817/1000</f>
        <v>0</v>
      </c>
      <c r="T817" s="85">
        <f>STATS1003B!T817/1000</f>
        <v>0</v>
      </c>
      <c r="U817" s="85">
        <f>STATS1003B!U817/1000</f>
        <v>0</v>
      </c>
      <c r="V817" s="85">
        <f>STATS1003B!V817/1000</f>
        <v>894.69569999999999</v>
      </c>
      <c r="W817" s="85">
        <f>STATS1003B!W817/1000</f>
        <v>0</v>
      </c>
      <c r="X817" s="85">
        <f t="shared" si="100"/>
        <v>894.69569999999999</v>
      </c>
      <c r="Y817" s="85">
        <f>STATS1003B!Y817/1000</f>
        <v>0</v>
      </c>
      <c r="Z817" s="85">
        <f t="shared" si="103"/>
        <v>0</v>
      </c>
      <c r="AA817" s="69">
        <f>STATS1003B!AA817/1000</f>
        <v>894.69569999999999</v>
      </c>
      <c r="AB817" s="69">
        <f>STATS1003B!AB817/1000</f>
        <v>0</v>
      </c>
    </row>
    <row r="818" spans="1:28" hidden="1" x14ac:dyDescent="0.3">
      <c r="A818" s="117"/>
      <c r="C818" s="68" t="s">
        <v>535</v>
      </c>
      <c r="D818" s="145" t="s">
        <v>61</v>
      </c>
      <c r="E818" s="85">
        <f>STATS1003B!E818/1000</f>
        <v>628.79346999999996</v>
      </c>
      <c r="F818" s="85">
        <f>STATS1003B!F818/1000</f>
        <v>612</v>
      </c>
      <c r="G818" s="85">
        <f>STATS1003B!G818/1000</f>
        <v>0</v>
      </c>
      <c r="H818" s="85">
        <f>STATS1003B!H818/1000</f>
        <v>612</v>
      </c>
      <c r="I818" s="85">
        <f>STATS1003B!I818/1000</f>
        <v>0</v>
      </c>
      <c r="J818" s="85">
        <f>STATS1003B!J818/1000</f>
        <v>612</v>
      </c>
      <c r="K818" s="85">
        <f>STATS1003B!K818/1000</f>
        <v>0</v>
      </c>
      <c r="L818" s="85">
        <f>STATS1003B!L818/1000</f>
        <v>0</v>
      </c>
      <c r="M818" s="85">
        <f>STATS1003B!M818/1000</f>
        <v>612</v>
      </c>
      <c r="N818" s="85">
        <f>STATS1003B!N818/1000</f>
        <v>0</v>
      </c>
      <c r="O818" s="85">
        <f>STATS1003B!O818/1000</f>
        <v>0</v>
      </c>
      <c r="P818" s="85">
        <f>STATS1003B!P818/1000</f>
        <v>0</v>
      </c>
      <c r="Q818" s="85">
        <f>STATS1003B!Q818/1000</f>
        <v>628.79346999999996</v>
      </c>
      <c r="R818" s="85">
        <f>STATS1003B!R818/1000</f>
        <v>0</v>
      </c>
      <c r="S818" s="85">
        <f>STATS1003B!S818/1000</f>
        <v>0</v>
      </c>
      <c r="T818" s="85">
        <f>STATS1003B!T818/1000</f>
        <v>16.793470000000003</v>
      </c>
      <c r="U818" s="85">
        <f>STATS1003B!U818/1000</f>
        <v>16.793470000000003</v>
      </c>
      <c r="V818" s="85">
        <f>STATS1003B!V818/1000</f>
        <v>612</v>
      </c>
      <c r="W818" s="85">
        <f>STATS1003B!W818/1000</f>
        <v>16.793469999999971</v>
      </c>
      <c r="X818" s="85">
        <f t="shared" si="100"/>
        <v>612</v>
      </c>
      <c r="Y818" s="85">
        <f>STATS1003B!Y818/1000</f>
        <v>0</v>
      </c>
      <c r="Z818" s="85">
        <f t="shared" si="103"/>
        <v>16.793469999999957</v>
      </c>
      <c r="AA818" s="69">
        <f>STATS1003B!AA818/1000</f>
        <v>628.79346999999996</v>
      </c>
      <c r="AB818" s="69">
        <f>STATS1003B!AB818/1000</f>
        <v>0</v>
      </c>
    </row>
    <row r="819" spans="1:28" hidden="1" x14ac:dyDescent="0.3">
      <c r="A819" s="117"/>
      <c r="C819" s="71" t="s">
        <v>643</v>
      </c>
      <c r="D819" s="145" t="s">
        <v>61</v>
      </c>
      <c r="E819" s="85">
        <f>STATS1003B!E819/1000</f>
        <v>758.95093000000008</v>
      </c>
      <c r="F819" s="85">
        <f>STATS1003B!F819/1000</f>
        <v>758.95093000000008</v>
      </c>
      <c r="G819" s="85">
        <f>STATS1003B!G819/1000</f>
        <v>0</v>
      </c>
      <c r="H819" s="85">
        <f>STATS1003B!H819/1000</f>
        <v>758.95093000000008</v>
      </c>
      <c r="I819" s="85">
        <f>STATS1003B!I819/1000</f>
        <v>0</v>
      </c>
      <c r="J819" s="85">
        <f>STATS1003B!J819/1000</f>
        <v>758.95093000000008</v>
      </c>
      <c r="K819" s="85">
        <f>STATS1003B!K819/1000</f>
        <v>0</v>
      </c>
      <c r="L819" s="85">
        <f>STATS1003B!L819/1000</f>
        <v>0</v>
      </c>
      <c r="M819" s="85">
        <f>STATS1003B!M819/1000</f>
        <v>758.95093000000008</v>
      </c>
      <c r="N819" s="85">
        <f>STATS1003B!N819/1000</f>
        <v>0</v>
      </c>
      <c r="O819" s="85">
        <f>STATS1003B!O819/1000</f>
        <v>0</v>
      </c>
      <c r="P819" s="85">
        <f>STATS1003B!P819/1000</f>
        <v>0</v>
      </c>
      <c r="Q819" s="85">
        <f>STATS1003B!Q819/1000</f>
        <v>758.95093000000008</v>
      </c>
      <c r="R819" s="85">
        <f>STATS1003B!R819/1000</f>
        <v>0</v>
      </c>
      <c r="S819" s="85">
        <f>STATS1003B!S819/1000</f>
        <v>0</v>
      </c>
      <c r="T819" s="85">
        <f>STATS1003B!T819/1000</f>
        <v>0</v>
      </c>
      <c r="U819" s="85">
        <f>STATS1003B!U819/1000</f>
        <v>0</v>
      </c>
      <c r="V819" s="85">
        <f>STATS1003B!V819/1000</f>
        <v>758.95093000000008</v>
      </c>
      <c r="W819" s="85">
        <f>STATS1003B!W819/1000</f>
        <v>0</v>
      </c>
      <c r="X819" s="85">
        <f t="shared" si="100"/>
        <v>758.95093000000008</v>
      </c>
      <c r="Y819" s="85">
        <f>STATS1003B!Y819/1000</f>
        <v>0</v>
      </c>
      <c r="Z819" s="85">
        <f t="shared" si="103"/>
        <v>0</v>
      </c>
      <c r="AA819" s="69">
        <f>STATS1003B!AA819/1000</f>
        <v>758.95093000000008</v>
      </c>
      <c r="AB819" s="69">
        <f>STATS1003B!AB819/1000</f>
        <v>0</v>
      </c>
    </row>
    <row r="820" spans="1:28" hidden="1" x14ac:dyDescent="0.3">
      <c r="A820" s="117"/>
      <c r="C820" s="71" t="s">
        <v>923</v>
      </c>
      <c r="D820" s="145"/>
      <c r="E820" s="85">
        <f>STATS1003B!E820/1000</f>
        <v>300</v>
      </c>
      <c r="F820" s="85">
        <f>STATS1003B!F820/1000</f>
        <v>300</v>
      </c>
      <c r="G820" s="85">
        <f>STATS1003B!G820/1000</f>
        <v>0</v>
      </c>
      <c r="H820" s="85">
        <f>STATS1003B!H820/1000</f>
        <v>300</v>
      </c>
      <c r="I820" s="85">
        <f>STATS1003B!I820/1000</f>
        <v>0</v>
      </c>
      <c r="J820" s="85">
        <f>STATS1003B!J820/1000</f>
        <v>0</v>
      </c>
      <c r="K820" s="85">
        <f>STATS1003B!K820/1000</f>
        <v>0</v>
      </c>
      <c r="L820" s="85">
        <f>STATS1003B!L820/1000</f>
        <v>0</v>
      </c>
      <c r="M820" s="85">
        <f>STATS1003B!M820/1000</f>
        <v>300</v>
      </c>
      <c r="N820" s="85">
        <f>STATS1003B!N820/1000</f>
        <v>0</v>
      </c>
      <c r="O820" s="85">
        <f>STATS1003B!O820/1000</f>
        <v>0</v>
      </c>
      <c r="P820" s="85">
        <f>STATS1003B!P820/1000</f>
        <v>0</v>
      </c>
      <c r="Q820" s="85">
        <f>STATS1003B!Q820/1000</f>
        <v>0</v>
      </c>
      <c r="R820" s="85">
        <f>STATS1003B!R820/1000</f>
        <v>0</v>
      </c>
      <c r="S820" s="85">
        <f>STATS1003B!S820/1000</f>
        <v>0</v>
      </c>
      <c r="T820" s="85">
        <f>STATS1003B!T820/1000</f>
        <v>0</v>
      </c>
      <c r="U820" s="85">
        <f>STATS1003B!U820/1000</f>
        <v>0</v>
      </c>
      <c r="V820" s="85">
        <f>STATS1003B!V820/1000</f>
        <v>300</v>
      </c>
      <c r="W820" s="85">
        <f>STATS1003B!W820/1000</f>
        <v>0</v>
      </c>
      <c r="X820" s="85">
        <f t="shared" si="100"/>
        <v>300</v>
      </c>
      <c r="Y820" s="85">
        <f>STATS1003B!Y820/1000</f>
        <v>0</v>
      </c>
      <c r="Z820" s="85">
        <f t="shared" si="103"/>
        <v>0</v>
      </c>
      <c r="AA820" s="69">
        <f>STATS1003B!AA820/1000</f>
        <v>300</v>
      </c>
      <c r="AB820" s="69">
        <f>STATS1003B!AB820/1000</f>
        <v>0</v>
      </c>
    </row>
    <row r="821" spans="1:28" hidden="1" x14ac:dyDescent="0.3">
      <c r="A821" s="117"/>
      <c r="C821" s="68" t="s">
        <v>606</v>
      </c>
      <c r="E821" s="85">
        <f>STATS1003B!E821/1000</f>
        <v>2500</v>
      </c>
      <c r="F821" s="85">
        <f>STATS1003B!F821/1000</f>
        <v>2500</v>
      </c>
      <c r="G821" s="85">
        <f>STATS1003B!G821/1000</f>
        <v>0</v>
      </c>
      <c r="H821" s="85">
        <f>STATS1003B!H821/1000</f>
        <v>2500</v>
      </c>
      <c r="I821" s="85">
        <f>STATS1003B!I821/1000</f>
        <v>0</v>
      </c>
      <c r="J821" s="85">
        <f>STATS1003B!J821/1000</f>
        <v>2500</v>
      </c>
      <c r="K821" s="85">
        <f>STATS1003B!K821/1000</f>
        <v>0</v>
      </c>
      <c r="L821" s="85">
        <f>STATS1003B!L821/1000</f>
        <v>0</v>
      </c>
      <c r="M821" s="85">
        <f>STATS1003B!M821/1000</f>
        <v>2500</v>
      </c>
      <c r="N821" s="85">
        <f>STATS1003B!N821/1000</f>
        <v>0</v>
      </c>
      <c r="O821" s="85">
        <f>STATS1003B!O821/1000</f>
        <v>0</v>
      </c>
      <c r="P821" s="85">
        <f>STATS1003B!P821/1000</f>
        <v>0</v>
      </c>
      <c r="Q821" s="85">
        <f>STATS1003B!Q821/1000</f>
        <v>2500</v>
      </c>
      <c r="R821" s="85">
        <f>STATS1003B!R821/1000</f>
        <v>0</v>
      </c>
      <c r="S821" s="85">
        <f>STATS1003B!S821/1000</f>
        <v>0</v>
      </c>
      <c r="T821" s="85">
        <f>STATS1003B!T821/1000</f>
        <v>0</v>
      </c>
      <c r="U821" s="85">
        <f>STATS1003B!U821/1000</f>
        <v>0</v>
      </c>
      <c r="V821" s="85">
        <f>STATS1003B!V821/1000</f>
        <v>2500</v>
      </c>
      <c r="W821" s="85">
        <f>STATS1003B!W821/1000</f>
        <v>0</v>
      </c>
      <c r="X821" s="85">
        <f t="shared" si="100"/>
        <v>2500</v>
      </c>
      <c r="Y821" s="85">
        <f>STATS1003B!Y821/1000</f>
        <v>0</v>
      </c>
      <c r="Z821" s="85">
        <f t="shared" si="103"/>
        <v>0</v>
      </c>
      <c r="AA821" s="69">
        <f>STATS1003B!AA821/1000</f>
        <v>2500</v>
      </c>
      <c r="AB821" s="69">
        <f>STATS1003B!AB821/1000</f>
        <v>0</v>
      </c>
    </row>
    <row r="822" spans="1:28" hidden="1" x14ac:dyDescent="0.3">
      <c r="A822" s="117"/>
      <c r="E822" s="86" t="s">
        <v>29</v>
      </c>
      <c r="F822" s="86" t="s">
        <v>29</v>
      </c>
      <c r="G822" s="86" t="s">
        <v>29</v>
      </c>
      <c r="H822" s="86" t="s">
        <v>29</v>
      </c>
      <c r="I822" s="86" t="s">
        <v>29</v>
      </c>
      <c r="J822" s="86" t="s">
        <v>29</v>
      </c>
      <c r="K822" s="86" t="s">
        <v>29</v>
      </c>
      <c r="L822" s="86" t="s">
        <v>29</v>
      </c>
      <c r="M822" s="86" t="s">
        <v>29</v>
      </c>
      <c r="N822" s="86" t="s">
        <v>29</v>
      </c>
      <c r="O822" s="86" t="s">
        <v>29</v>
      </c>
      <c r="P822" s="86" t="s">
        <v>29</v>
      </c>
      <c r="Q822" s="86" t="s">
        <v>29</v>
      </c>
      <c r="R822" s="86" t="s">
        <v>29</v>
      </c>
      <c r="S822" s="86" t="s">
        <v>29</v>
      </c>
      <c r="T822" s="86" t="s">
        <v>29</v>
      </c>
      <c r="U822" s="86" t="s">
        <v>29</v>
      </c>
      <c r="V822" s="86" t="s">
        <v>29</v>
      </c>
      <c r="W822" s="86" t="s">
        <v>29</v>
      </c>
      <c r="X822" s="85" t="e">
        <f t="shared" si="100"/>
        <v>#VALUE!</v>
      </c>
      <c r="Y822" s="86" t="s">
        <v>29</v>
      </c>
      <c r="Z822" s="85" t="e">
        <f t="shared" si="103"/>
        <v>#VALUE!</v>
      </c>
      <c r="AA822" s="115" t="s">
        <v>29</v>
      </c>
      <c r="AB822" s="115" t="s">
        <v>29</v>
      </c>
    </row>
    <row r="823" spans="1:28" x14ac:dyDescent="0.3">
      <c r="A823" s="116">
        <v>39</v>
      </c>
      <c r="B823" s="68" t="s">
        <v>637</v>
      </c>
      <c r="E823" s="85">
        <f>117754601.71/1000</f>
        <v>117754.60170999999</v>
      </c>
      <c r="F823" s="85">
        <f t="shared" ref="F823:Q823" si="106">SUM(F805:F822)</f>
        <v>23843.127129999997</v>
      </c>
      <c r="G823" s="85">
        <f t="shared" si="106"/>
        <v>0</v>
      </c>
      <c r="H823" s="85">
        <f>107735278.77/1000</f>
        <v>107735.27876999999</v>
      </c>
      <c r="I823" s="85">
        <f t="shared" si="106"/>
        <v>0</v>
      </c>
      <c r="J823" s="85">
        <f t="shared" si="106"/>
        <v>23543.127129999997</v>
      </c>
      <c r="K823" s="85">
        <f t="shared" si="106"/>
        <v>10002.529470000001</v>
      </c>
      <c r="L823" s="85">
        <f t="shared" si="106"/>
        <v>0</v>
      </c>
      <c r="M823" s="85">
        <f t="shared" si="106"/>
        <v>23843.127129999997</v>
      </c>
      <c r="N823" s="85">
        <f t="shared" si="106"/>
        <v>10002.529470000001</v>
      </c>
      <c r="O823" s="85">
        <f t="shared" si="106"/>
        <v>0</v>
      </c>
      <c r="P823" s="85">
        <f>10002529/1000</f>
        <v>10002.529</v>
      </c>
      <c r="Q823" s="85">
        <f t="shared" si="106"/>
        <v>23559.920599999998</v>
      </c>
      <c r="R823" s="86"/>
      <c r="S823" s="86"/>
      <c r="T823" s="85">
        <f t="shared" ref="T823:Y823" si="107">SUM(T805:T822)</f>
        <v>16.793470000000003</v>
      </c>
      <c r="U823" s="85">
        <f t="shared" si="107"/>
        <v>10019.322940000002</v>
      </c>
      <c r="V823" s="85">
        <f t="shared" si="107"/>
        <v>33845.656600000002</v>
      </c>
      <c r="W823" s="85">
        <f t="shared" si="107"/>
        <v>16.793469999999971</v>
      </c>
      <c r="X823" s="85">
        <f t="shared" si="100"/>
        <v>117737.80776999998</v>
      </c>
      <c r="Y823" s="85">
        <f t="shared" si="107"/>
        <v>0</v>
      </c>
      <c r="Z823" s="85">
        <f t="shared" si="103"/>
        <v>16.793940000003204</v>
      </c>
      <c r="AA823" s="69">
        <f>SUM(AA805:AA822)</f>
        <v>33862.450069999999</v>
      </c>
      <c r="AB823" s="69">
        <f>SUM(AB805:AB822)</f>
        <v>0</v>
      </c>
    </row>
    <row r="824" spans="1:28" hidden="1" x14ac:dyDescent="0.3">
      <c r="A824" s="117"/>
      <c r="E824" s="86" t="s">
        <v>29</v>
      </c>
      <c r="F824" s="86" t="s">
        <v>29</v>
      </c>
      <c r="G824" s="86" t="s">
        <v>29</v>
      </c>
      <c r="H824" s="86" t="s">
        <v>29</v>
      </c>
      <c r="I824" s="86" t="s">
        <v>29</v>
      </c>
      <c r="J824" s="86" t="s">
        <v>29</v>
      </c>
      <c r="K824" s="86" t="s">
        <v>29</v>
      </c>
      <c r="L824" s="86" t="s">
        <v>29</v>
      </c>
      <c r="M824" s="86" t="s">
        <v>29</v>
      </c>
      <c r="N824" s="86" t="s">
        <v>29</v>
      </c>
      <c r="O824" s="86" t="s">
        <v>29</v>
      </c>
      <c r="P824" s="86" t="s">
        <v>29</v>
      </c>
      <c r="Q824" s="86" t="s">
        <v>29</v>
      </c>
      <c r="R824" s="86" t="s">
        <v>29</v>
      </c>
      <c r="S824" s="86" t="s">
        <v>29</v>
      </c>
      <c r="T824" s="86" t="s">
        <v>29</v>
      </c>
      <c r="U824" s="86" t="s">
        <v>29</v>
      </c>
      <c r="V824" s="86" t="s">
        <v>29</v>
      </c>
      <c r="W824" s="86" t="s">
        <v>29</v>
      </c>
      <c r="X824" s="85" t="e">
        <f t="shared" si="100"/>
        <v>#VALUE!</v>
      </c>
      <c r="Y824" s="86" t="s">
        <v>29</v>
      </c>
      <c r="Z824" s="85" t="e">
        <f t="shared" si="103"/>
        <v>#VALUE!</v>
      </c>
      <c r="AA824" s="115" t="s">
        <v>29</v>
      </c>
      <c r="AB824" s="115" t="s">
        <v>29</v>
      </c>
    </row>
    <row r="825" spans="1:28" hidden="1" x14ac:dyDescent="0.3">
      <c r="A825" s="105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6"/>
      <c r="S825" s="86"/>
      <c r="T825" s="86"/>
      <c r="U825" s="86"/>
      <c r="V825" s="86"/>
      <c r="W825" s="86"/>
      <c r="X825" s="85">
        <f t="shared" si="100"/>
        <v>0</v>
      </c>
      <c r="Y825" s="86"/>
      <c r="Z825" s="85">
        <f t="shared" si="103"/>
        <v>0</v>
      </c>
      <c r="AA825" s="118"/>
    </row>
    <row r="826" spans="1:28" hidden="1" x14ac:dyDescent="0.3">
      <c r="A826" s="117"/>
      <c r="C826" s="68" t="s">
        <v>645</v>
      </c>
      <c r="D826" s="145" t="s">
        <v>150</v>
      </c>
      <c r="E826" s="85">
        <f>STATS1003B!E826/1000</f>
        <v>2821</v>
      </c>
      <c r="F826" s="85">
        <f>STATS1003B!F826/1000</f>
        <v>2821</v>
      </c>
      <c r="G826" s="85">
        <f>STATS1003B!G826/1000</f>
        <v>0</v>
      </c>
      <c r="H826" s="85">
        <f>STATS1003B!H826/1000</f>
        <v>2821</v>
      </c>
      <c r="I826" s="85">
        <f>STATS1003B!I826/1000</f>
        <v>0</v>
      </c>
      <c r="J826" s="85">
        <f>STATS1003B!J826/1000</f>
        <v>2821</v>
      </c>
      <c r="K826" s="85">
        <f>STATS1003B!K826/1000</f>
        <v>0</v>
      </c>
      <c r="L826" s="85">
        <f>STATS1003B!L826/1000</f>
        <v>0</v>
      </c>
      <c r="M826" s="85">
        <f>STATS1003B!M826/1000</f>
        <v>2821</v>
      </c>
      <c r="N826" s="85">
        <f>STATS1003B!N826/1000</f>
        <v>0</v>
      </c>
      <c r="O826" s="85">
        <f>STATS1003B!O826/1000</f>
        <v>0</v>
      </c>
      <c r="P826" s="85">
        <f>STATS1003B!P826/1000</f>
        <v>0</v>
      </c>
      <c r="Q826" s="85">
        <f>STATS1003B!Q826/1000</f>
        <v>2821</v>
      </c>
      <c r="R826" s="85">
        <f>STATS1003B!R826/1000</f>
        <v>0</v>
      </c>
      <c r="S826" s="85">
        <f>STATS1003B!S826/1000</f>
        <v>0</v>
      </c>
      <c r="T826" s="85">
        <f>STATS1003B!T826/1000</f>
        <v>0</v>
      </c>
      <c r="U826" s="85">
        <f>STATS1003B!U826/1000</f>
        <v>0</v>
      </c>
      <c r="V826" s="85">
        <f>STATS1003B!V826/1000</f>
        <v>2821</v>
      </c>
      <c r="W826" s="85">
        <f>STATS1003B!W826/1000</f>
        <v>0</v>
      </c>
      <c r="X826" s="85">
        <f t="shared" si="100"/>
        <v>2821</v>
      </c>
      <c r="Y826" s="85">
        <f>STATS1003B!Y826/1000</f>
        <v>0</v>
      </c>
      <c r="Z826" s="85">
        <f t="shared" si="103"/>
        <v>0</v>
      </c>
      <c r="AA826" s="69">
        <f>STATS1003B!AA826/1000</f>
        <v>2821</v>
      </c>
      <c r="AB826" s="69">
        <f>STATS1003B!AB826/1000</f>
        <v>0</v>
      </c>
    </row>
    <row r="827" spans="1:28" hidden="1" x14ac:dyDescent="0.3">
      <c r="A827" s="117"/>
      <c r="C827" s="68" t="s">
        <v>539</v>
      </c>
      <c r="D827" s="145" t="s">
        <v>68</v>
      </c>
      <c r="E827" s="85">
        <f>STATS1003B!E827/1000</f>
        <v>3286.7265000000002</v>
      </c>
      <c r="F827" s="85">
        <f>STATS1003B!F827/1000</f>
        <v>0</v>
      </c>
      <c r="G827" s="85">
        <f>STATS1003B!G827/1000</f>
        <v>0</v>
      </c>
      <c r="H827" s="85">
        <f>STATS1003B!H827/1000</f>
        <v>0</v>
      </c>
      <c r="I827" s="85">
        <f>STATS1003B!I827/1000</f>
        <v>0</v>
      </c>
      <c r="J827" s="85">
        <f>STATS1003B!J827/1000</f>
        <v>0</v>
      </c>
      <c r="K827" s="85">
        <f>STATS1003B!K827/1000</f>
        <v>3286.7265000000002</v>
      </c>
      <c r="L827" s="85">
        <f>STATS1003B!L827/1000</f>
        <v>0</v>
      </c>
      <c r="M827" s="85">
        <f>STATS1003B!M827/1000</f>
        <v>0</v>
      </c>
      <c r="N827" s="85">
        <f>STATS1003B!N827/1000</f>
        <v>3286.7265000000002</v>
      </c>
      <c r="O827" s="85">
        <f>STATS1003B!O827/1000</f>
        <v>0</v>
      </c>
      <c r="P827" s="85">
        <f>STATS1003B!P827/1000</f>
        <v>3286.7265000000002</v>
      </c>
      <c r="Q827" s="85">
        <f>STATS1003B!Q827/1000</f>
        <v>0</v>
      </c>
      <c r="R827" s="85">
        <f>STATS1003B!R827/1000</f>
        <v>0</v>
      </c>
      <c r="S827" s="85">
        <f>STATS1003B!S827/1000</f>
        <v>0</v>
      </c>
      <c r="T827" s="85">
        <f>STATS1003B!T827/1000</f>
        <v>0</v>
      </c>
      <c r="U827" s="85">
        <f>STATS1003B!U827/1000</f>
        <v>3286.7265000000002</v>
      </c>
      <c r="V827" s="85">
        <f>STATS1003B!V827/1000</f>
        <v>3286.7265000000002</v>
      </c>
      <c r="W827" s="85">
        <f>STATS1003B!W827/1000</f>
        <v>0</v>
      </c>
      <c r="X827" s="85">
        <f t="shared" si="100"/>
        <v>3286.7265000000002</v>
      </c>
      <c r="Y827" s="85">
        <f>STATS1003B!Y827/1000</f>
        <v>0</v>
      </c>
      <c r="Z827" s="85">
        <f t="shared" si="103"/>
        <v>0</v>
      </c>
      <c r="AA827" s="69">
        <f>STATS1003B!AA827/1000</f>
        <v>3286.7265000000002</v>
      </c>
      <c r="AB827" s="69">
        <f>STATS1003B!AB827/1000</f>
        <v>0</v>
      </c>
    </row>
    <row r="828" spans="1:28" hidden="1" x14ac:dyDescent="0.3">
      <c r="A828" s="117"/>
      <c r="C828" s="68" t="s">
        <v>545</v>
      </c>
      <c r="D828" s="145" t="s">
        <v>54</v>
      </c>
      <c r="E828" s="85">
        <f>STATS1003B!E828/1000</f>
        <v>1767.77</v>
      </c>
      <c r="F828" s="85">
        <f>STATS1003B!F828/1000</f>
        <v>0</v>
      </c>
      <c r="G828" s="85">
        <f>STATS1003B!G828/1000</f>
        <v>0</v>
      </c>
      <c r="H828" s="85">
        <f>STATS1003B!H828/1000</f>
        <v>0</v>
      </c>
      <c r="I828" s="85">
        <f>STATS1003B!I828/1000</f>
        <v>0</v>
      </c>
      <c r="J828" s="85">
        <f>STATS1003B!J828/1000</f>
        <v>0</v>
      </c>
      <c r="K828" s="85">
        <f>STATS1003B!K828/1000</f>
        <v>1767.77</v>
      </c>
      <c r="L828" s="85">
        <f>STATS1003B!L828/1000</f>
        <v>0</v>
      </c>
      <c r="M828" s="85">
        <f>STATS1003B!M828/1000</f>
        <v>0</v>
      </c>
      <c r="N828" s="85">
        <f>STATS1003B!N828/1000</f>
        <v>1767.77</v>
      </c>
      <c r="O828" s="85">
        <f>STATS1003B!O828/1000</f>
        <v>0</v>
      </c>
      <c r="P828" s="85">
        <f>STATS1003B!P828/1000</f>
        <v>1767.77</v>
      </c>
      <c r="Q828" s="85">
        <f>STATS1003B!Q828/1000</f>
        <v>0</v>
      </c>
      <c r="R828" s="85">
        <f>STATS1003B!R828/1000</f>
        <v>0</v>
      </c>
      <c r="S828" s="85">
        <f>STATS1003B!S828/1000</f>
        <v>0</v>
      </c>
      <c r="T828" s="85">
        <f>STATS1003B!T828/1000</f>
        <v>0</v>
      </c>
      <c r="U828" s="85">
        <f>STATS1003B!U828/1000</f>
        <v>1767.77</v>
      </c>
      <c r="V828" s="85">
        <f>STATS1003B!V828/1000</f>
        <v>1767.77</v>
      </c>
      <c r="W828" s="85">
        <f>STATS1003B!W828/1000</f>
        <v>0</v>
      </c>
      <c r="X828" s="85">
        <f t="shared" si="100"/>
        <v>1767.77</v>
      </c>
      <c r="Y828" s="85">
        <f>STATS1003B!Y828/1000</f>
        <v>0</v>
      </c>
      <c r="Z828" s="85">
        <f t="shared" si="103"/>
        <v>0</v>
      </c>
      <c r="AA828" s="69">
        <f>STATS1003B!AA828/1000</f>
        <v>1767.77</v>
      </c>
      <c r="AB828" s="69">
        <f>STATS1003B!AB828/1000</f>
        <v>0</v>
      </c>
    </row>
    <row r="829" spans="1:28" hidden="1" x14ac:dyDescent="0.3">
      <c r="A829" s="117"/>
      <c r="C829" s="68" t="s">
        <v>535</v>
      </c>
      <c r="D829" s="145" t="s">
        <v>54</v>
      </c>
      <c r="E829" s="85">
        <f>STATS1003B!E829/1000</f>
        <v>556.70000000000005</v>
      </c>
      <c r="F829" s="85">
        <f>STATS1003B!F829/1000</f>
        <v>556.70000000000005</v>
      </c>
      <c r="G829" s="85">
        <f>STATS1003B!G829/1000</f>
        <v>0</v>
      </c>
      <c r="H829" s="85">
        <f>STATS1003B!H829/1000</f>
        <v>556.70000000000005</v>
      </c>
      <c r="I829" s="85">
        <f>STATS1003B!I829/1000</f>
        <v>0</v>
      </c>
      <c r="J829" s="85">
        <f>STATS1003B!J829/1000</f>
        <v>556.70000000000005</v>
      </c>
      <c r="K829" s="85">
        <f>STATS1003B!K829/1000</f>
        <v>0</v>
      </c>
      <c r="L829" s="85">
        <f>STATS1003B!L829/1000</f>
        <v>0</v>
      </c>
      <c r="M829" s="85">
        <f>STATS1003B!M829/1000</f>
        <v>556.70000000000005</v>
      </c>
      <c r="N829" s="85">
        <f>STATS1003B!N829/1000</f>
        <v>0</v>
      </c>
      <c r="O829" s="85">
        <f>STATS1003B!O829/1000</f>
        <v>0</v>
      </c>
      <c r="P829" s="85">
        <f>STATS1003B!P829/1000</f>
        <v>0</v>
      </c>
      <c r="Q829" s="85">
        <f>STATS1003B!Q829/1000</f>
        <v>556.70000000000005</v>
      </c>
      <c r="R829" s="85">
        <f>STATS1003B!R829/1000</f>
        <v>0</v>
      </c>
      <c r="S829" s="85">
        <f>STATS1003B!S829/1000</f>
        <v>0</v>
      </c>
      <c r="T829" s="85">
        <f>STATS1003B!T829/1000</f>
        <v>0</v>
      </c>
      <c r="U829" s="85">
        <f>STATS1003B!U829/1000</f>
        <v>0</v>
      </c>
      <c r="V829" s="85">
        <f>STATS1003B!V829/1000</f>
        <v>556.70000000000005</v>
      </c>
      <c r="W829" s="85">
        <f>STATS1003B!W829/1000</f>
        <v>0</v>
      </c>
      <c r="X829" s="85">
        <f t="shared" si="100"/>
        <v>556.70000000000005</v>
      </c>
      <c r="Y829" s="85">
        <f>STATS1003B!Y829/1000</f>
        <v>0</v>
      </c>
      <c r="Z829" s="85">
        <f t="shared" si="103"/>
        <v>0</v>
      </c>
      <c r="AA829" s="69">
        <f>STATS1003B!AA829/1000</f>
        <v>556.70000000000005</v>
      </c>
      <c r="AB829" s="69">
        <f>STATS1003B!AB829/1000</f>
        <v>0</v>
      </c>
    </row>
    <row r="830" spans="1:28" hidden="1" x14ac:dyDescent="0.3">
      <c r="A830" s="117"/>
      <c r="C830" s="68" t="s">
        <v>535</v>
      </c>
      <c r="D830" s="145" t="s">
        <v>85</v>
      </c>
      <c r="E830" s="85">
        <f>STATS1003B!E830/1000</f>
        <v>1006.2</v>
      </c>
      <c r="F830" s="85">
        <f>STATS1003B!F830/1000</f>
        <v>1006.2</v>
      </c>
      <c r="G830" s="85">
        <f>STATS1003B!G830/1000</f>
        <v>0</v>
      </c>
      <c r="H830" s="85">
        <f>STATS1003B!H830/1000</f>
        <v>1006.2</v>
      </c>
      <c r="I830" s="85">
        <f>STATS1003B!I830/1000</f>
        <v>0</v>
      </c>
      <c r="J830" s="85">
        <f>STATS1003B!J830/1000</f>
        <v>1006.2</v>
      </c>
      <c r="K830" s="85">
        <f>STATS1003B!K830/1000</f>
        <v>0</v>
      </c>
      <c r="L830" s="85">
        <f>STATS1003B!L830/1000</f>
        <v>0</v>
      </c>
      <c r="M830" s="85">
        <f>STATS1003B!M830/1000</f>
        <v>1006.2</v>
      </c>
      <c r="N830" s="85">
        <f>STATS1003B!N830/1000</f>
        <v>0</v>
      </c>
      <c r="O830" s="85">
        <f>STATS1003B!O830/1000</f>
        <v>0</v>
      </c>
      <c r="P830" s="85">
        <f>STATS1003B!P830/1000</f>
        <v>0</v>
      </c>
      <c r="Q830" s="85">
        <f>STATS1003B!Q830/1000</f>
        <v>1006.2</v>
      </c>
      <c r="R830" s="85">
        <f>STATS1003B!R830/1000</f>
        <v>0</v>
      </c>
      <c r="S830" s="85">
        <f>STATS1003B!S830/1000</f>
        <v>0</v>
      </c>
      <c r="T830" s="85">
        <f>STATS1003B!T830/1000</f>
        <v>0</v>
      </c>
      <c r="U830" s="85">
        <f>STATS1003B!U830/1000</f>
        <v>0</v>
      </c>
      <c r="V830" s="85">
        <f>STATS1003B!V830/1000</f>
        <v>1006.2</v>
      </c>
      <c r="W830" s="85">
        <f>STATS1003B!W830/1000</f>
        <v>0</v>
      </c>
      <c r="X830" s="85">
        <f t="shared" si="100"/>
        <v>1006.2</v>
      </c>
      <c r="Y830" s="85">
        <f>STATS1003B!Y830/1000</f>
        <v>0</v>
      </c>
      <c r="Z830" s="85">
        <f t="shared" si="103"/>
        <v>0</v>
      </c>
      <c r="AA830" s="69">
        <f>STATS1003B!AA830/1000</f>
        <v>1006.2</v>
      </c>
      <c r="AB830" s="69">
        <f>STATS1003B!AB830/1000</f>
        <v>0</v>
      </c>
    </row>
    <row r="831" spans="1:28" hidden="1" x14ac:dyDescent="0.3">
      <c r="A831" s="117"/>
      <c r="C831" s="68" t="s">
        <v>535</v>
      </c>
      <c r="D831" s="145" t="s">
        <v>128</v>
      </c>
      <c r="E831" s="85">
        <f>STATS1003B!E831/1000</f>
        <v>844.2</v>
      </c>
      <c r="F831" s="85">
        <f>STATS1003B!F831/1000</f>
        <v>844.2</v>
      </c>
      <c r="G831" s="85">
        <f>STATS1003B!G831/1000</f>
        <v>0</v>
      </c>
      <c r="H831" s="85">
        <f>STATS1003B!H831/1000</f>
        <v>844.2</v>
      </c>
      <c r="I831" s="85">
        <f>STATS1003B!I831/1000</f>
        <v>0</v>
      </c>
      <c r="J831" s="85">
        <f>STATS1003B!J831/1000</f>
        <v>844.2</v>
      </c>
      <c r="K831" s="85">
        <f>STATS1003B!K831/1000</f>
        <v>0</v>
      </c>
      <c r="L831" s="85">
        <f>STATS1003B!L831/1000</f>
        <v>0</v>
      </c>
      <c r="M831" s="85">
        <f>STATS1003B!M831/1000</f>
        <v>844.2</v>
      </c>
      <c r="N831" s="85">
        <f>STATS1003B!N831/1000</f>
        <v>0</v>
      </c>
      <c r="O831" s="85">
        <f>STATS1003B!O831/1000</f>
        <v>0</v>
      </c>
      <c r="P831" s="85">
        <f>STATS1003B!P831/1000</f>
        <v>0</v>
      </c>
      <c r="Q831" s="85">
        <f>STATS1003B!Q831/1000</f>
        <v>844.2</v>
      </c>
      <c r="R831" s="85">
        <f>STATS1003B!R831/1000</f>
        <v>0</v>
      </c>
      <c r="S831" s="85">
        <f>STATS1003B!S831/1000</f>
        <v>0</v>
      </c>
      <c r="T831" s="85">
        <f>STATS1003B!T831/1000</f>
        <v>0</v>
      </c>
      <c r="U831" s="85">
        <f>STATS1003B!U831/1000</f>
        <v>0</v>
      </c>
      <c r="V831" s="85">
        <f>STATS1003B!V831/1000</f>
        <v>844.2</v>
      </c>
      <c r="W831" s="85">
        <f>STATS1003B!W831/1000</f>
        <v>0</v>
      </c>
      <c r="X831" s="85">
        <f t="shared" si="100"/>
        <v>844.2</v>
      </c>
      <c r="Y831" s="85">
        <f>STATS1003B!Y831/1000</f>
        <v>0</v>
      </c>
      <c r="Z831" s="85">
        <f t="shared" si="103"/>
        <v>0</v>
      </c>
      <c r="AA831" s="69">
        <f>STATS1003B!AA831/1000</f>
        <v>844.2</v>
      </c>
      <c r="AB831" s="69">
        <f>STATS1003B!AB831/1000</f>
        <v>0</v>
      </c>
    </row>
    <row r="832" spans="1:28" hidden="1" x14ac:dyDescent="0.3">
      <c r="A832" s="117"/>
      <c r="C832" s="68" t="s">
        <v>646</v>
      </c>
      <c r="D832" s="145" t="s">
        <v>128</v>
      </c>
      <c r="E832" s="85">
        <f>STATS1003B!E832/1000</f>
        <v>400</v>
      </c>
      <c r="F832" s="85">
        <f>STATS1003B!F832/1000</f>
        <v>400</v>
      </c>
      <c r="G832" s="85">
        <f>STATS1003B!G832/1000</f>
        <v>0</v>
      </c>
      <c r="H832" s="85">
        <f>STATS1003B!H832/1000</f>
        <v>400</v>
      </c>
      <c r="I832" s="85">
        <f>STATS1003B!I832/1000</f>
        <v>0</v>
      </c>
      <c r="J832" s="85">
        <f>STATS1003B!J832/1000</f>
        <v>400</v>
      </c>
      <c r="K832" s="85">
        <f>STATS1003B!K832/1000</f>
        <v>0</v>
      </c>
      <c r="L832" s="85">
        <f>STATS1003B!L832/1000</f>
        <v>0</v>
      </c>
      <c r="M832" s="85">
        <f>STATS1003B!M832/1000</f>
        <v>400</v>
      </c>
      <c r="N832" s="85">
        <f>STATS1003B!N832/1000</f>
        <v>0</v>
      </c>
      <c r="O832" s="85">
        <f>STATS1003B!O832/1000</f>
        <v>0</v>
      </c>
      <c r="P832" s="85">
        <f>STATS1003B!P832/1000</f>
        <v>0</v>
      </c>
      <c r="Q832" s="85">
        <f>STATS1003B!Q832/1000</f>
        <v>400</v>
      </c>
      <c r="R832" s="85">
        <f>STATS1003B!R832/1000</f>
        <v>0</v>
      </c>
      <c r="S832" s="85">
        <f>STATS1003B!S832/1000</f>
        <v>0</v>
      </c>
      <c r="T832" s="85">
        <f>STATS1003B!T832/1000</f>
        <v>0</v>
      </c>
      <c r="U832" s="85">
        <f>STATS1003B!U832/1000</f>
        <v>0</v>
      </c>
      <c r="V832" s="85">
        <f>STATS1003B!V832/1000</f>
        <v>400</v>
      </c>
      <c r="W832" s="85">
        <f>STATS1003B!W832/1000</f>
        <v>0</v>
      </c>
      <c r="X832" s="85">
        <f t="shared" si="100"/>
        <v>400</v>
      </c>
      <c r="Y832" s="85">
        <f>STATS1003B!Y832/1000</f>
        <v>0</v>
      </c>
      <c r="Z832" s="85">
        <f t="shared" si="103"/>
        <v>0</v>
      </c>
      <c r="AA832" s="69">
        <f>STATS1003B!AA832/1000</f>
        <v>400</v>
      </c>
      <c r="AB832" s="69">
        <f>STATS1003B!AB832/1000</f>
        <v>0</v>
      </c>
    </row>
    <row r="833" spans="1:28" hidden="1" x14ac:dyDescent="0.3">
      <c r="A833" s="117"/>
      <c r="C833" s="68" t="s">
        <v>535</v>
      </c>
      <c r="D833" s="145" t="s">
        <v>58</v>
      </c>
      <c r="E833" s="85">
        <f>STATS1003B!E833/1000</f>
        <v>4842.2950000000001</v>
      </c>
      <c r="F833" s="85">
        <f>STATS1003B!F833/1000</f>
        <v>4842.2950000000001</v>
      </c>
      <c r="G833" s="85">
        <f>STATS1003B!G833/1000</f>
        <v>0</v>
      </c>
      <c r="H833" s="85">
        <f>STATS1003B!H833/1000</f>
        <v>4842.2950000000001</v>
      </c>
      <c r="I833" s="85">
        <f>STATS1003B!I833/1000</f>
        <v>0</v>
      </c>
      <c r="J833" s="85">
        <f>STATS1003B!J833/1000</f>
        <v>4842.2950000000001</v>
      </c>
      <c r="K833" s="85">
        <f>STATS1003B!K833/1000</f>
        <v>0</v>
      </c>
      <c r="L833" s="85">
        <f>STATS1003B!L833/1000</f>
        <v>0</v>
      </c>
      <c r="M833" s="85">
        <f>STATS1003B!M833/1000</f>
        <v>4842.2950000000001</v>
      </c>
      <c r="N833" s="85">
        <f>STATS1003B!N833/1000</f>
        <v>0</v>
      </c>
      <c r="O833" s="85">
        <f>STATS1003B!O833/1000</f>
        <v>0</v>
      </c>
      <c r="P833" s="85">
        <f>STATS1003B!P833/1000</f>
        <v>0</v>
      </c>
      <c r="Q833" s="85">
        <f>STATS1003B!Q833/1000</f>
        <v>4842.2950000000001</v>
      </c>
      <c r="R833" s="85">
        <f>STATS1003B!R833/1000</f>
        <v>0</v>
      </c>
      <c r="S833" s="85">
        <f>STATS1003B!S833/1000</f>
        <v>0</v>
      </c>
      <c r="T833" s="85">
        <f>STATS1003B!T833/1000</f>
        <v>0</v>
      </c>
      <c r="U833" s="85">
        <f>STATS1003B!U833/1000</f>
        <v>0</v>
      </c>
      <c r="V833" s="85">
        <f>STATS1003B!V833/1000</f>
        <v>4842.2950000000001</v>
      </c>
      <c r="W833" s="85">
        <f>STATS1003B!W833/1000</f>
        <v>0</v>
      </c>
      <c r="X833" s="85">
        <f t="shared" si="100"/>
        <v>4842.2950000000001</v>
      </c>
      <c r="Y833" s="85">
        <f>STATS1003B!Y833/1000</f>
        <v>0</v>
      </c>
      <c r="Z833" s="85">
        <f t="shared" si="103"/>
        <v>0</v>
      </c>
      <c r="AA833" s="69">
        <f>STATS1003B!AA833/1000</f>
        <v>4842.2950000000001</v>
      </c>
      <c r="AB833" s="69">
        <f>STATS1003B!AB833/1000</f>
        <v>0</v>
      </c>
    </row>
    <row r="834" spans="1:28" hidden="1" x14ac:dyDescent="0.3">
      <c r="A834" s="117"/>
      <c r="C834" s="68" t="s">
        <v>535</v>
      </c>
      <c r="D834" s="145" t="s">
        <v>60</v>
      </c>
      <c r="E834" s="85">
        <f>STATS1003B!E834/1000</f>
        <v>4034.99748</v>
      </c>
      <c r="F834" s="85">
        <f>STATS1003B!F834/1000</f>
        <v>4034.99748</v>
      </c>
      <c r="G834" s="85">
        <f>STATS1003B!G834/1000</f>
        <v>0</v>
      </c>
      <c r="H834" s="85">
        <f>STATS1003B!H834/1000</f>
        <v>4034.99748</v>
      </c>
      <c r="I834" s="85">
        <f>STATS1003B!I834/1000</f>
        <v>0</v>
      </c>
      <c r="J834" s="85">
        <f>STATS1003B!J834/1000</f>
        <v>4034.99748</v>
      </c>
      <c r="K834" s="85">
        <f>STATS1003B!K834/1000</f>
        <v>0</v>
      </c>
      <c r="L834" s="85">
        <f>STATS1003B!L834/1000</f>
        <v>0</v>
      </c>
      <c r="M834" s="85">
        <f>STATS1003B!M834/1000</f>
        <v>4034.99748</v>
      </c>
      <c r="N834" s="85">
        <f>STATS1003B!N834/1000</f>
        <v>0</v>
      </c>
      <c r="O834" s="85">
        <f>STATS1003B!O834/1000</f>
        <v>0</v>
      </c>
      <c r="P834" s="85">
        <f>STATS1003B!P834/1000</f>
        <v>0</v>
      </c>
      <c r="Q834" s="85">
        <f>STATS1003B!Q834/1000</f>
        <v>4034.99748</v>
      </c>
      <c r="R834" s="85">
        <f>STATS1003B!R834/1000</f>
        <v>0</v>
      </c>
      <c r="S834" s="85">
        <f>STATS1003B!S834/1000</f>
        <v>0</v>
      </c>
      <c r="T834" s="85">
        <f>STATS1003B!T834/1000</f>
        <v>0</v>
      </c>
      <c r="U834" s="85">
        <f>STATS1003B!U834/1000</f>
        <v>0</v>
      </c>
      <c r="V834" s="85">
        <f>STATS1003B!V834/1000</f>
        <v>4034.99748</v>
      </c>
      <c r="W834" s="85">
        <f>STATS1003B!W834/1000</f>
        <v>0</v>
      </c>
      <c r="X834" s="85">
        <f t="shared" si="100"/>
        <v>4034.99748</v>
      </c>
      <c r="Y834" s="85">
        <f>STATS1003B!Y834/1000</f>
        <v>0</v>
      </c>
      <c r="Z834" s="85">
        <f t="shared" si="103"/>
        <v>0</v>
      </c>
      <c r="AA834" s="69">
        <f>STATS1003B!AA834/1000</f>
        <v>4034.99748</v>
      </c>
      <c r="AB834" s="69">
        <f>STATS1003B!AB834/1000</f>
        <v>0</v>
      </c>
    </row>
    <row r="835" spans="1:28" hidden="1" x14ac:dyDescent="0.3">
      <c r="A835" s="117"/>
      <c r="C835" s="68" t="s">
        <v>535</v>
      </c>
      <c r="D835" s="145" t="s">
        <v>73</v>
      </c>
      <c r="E835" s="85">
        <f>STATS1003B!E835/1000</f>
        <v>3118.1392799999999</v>
      </c>
      <c r="F835" s="85">
        <f>STATS1003B!F835/1000</f>
        <v>3118.1392799999999</v>
      </c>
      <c r="G835" s="85">
        <f>STATS1003B!G835/1000</f>
        <v>0</v>
      </c>
      <c r="H835" s="85">
        <f>STATS1003B!H835/1000</f>
        <v>3118.1392799999999</v>
      </c>
      <c r="I835" s="85">
        <f>STATS1003B!I835/1000</f>
        <v>0</v>
      </c>
      <c r="J835" s="85">
        <f>STATS1003B!J835/1000</f>
        <v>3118.1392799999999</v>
      </c>
      <c r="K835" s="85">
        <f>STATS1003B!K835/1000</f>
        <v>0</v>
      </c>
      <c r="L835" s="85">
        <f>STATS1003B!L835/1000</f>
        <v>0</v>
      </c>
      <c r="M835" s="85">
        <f>STATS1003B!M835/1000</f>
        <v>3118.1392799999999</v>
      </c>
      <c r="N835" s="85">
        <f>STATS1003B!N835/1000</f>
        <v>0</v>
      </c>
      <c r="O835" s="85">
        <f>STATS1003B!O835/1000</f>
        <v>0</v>
      </c>
      <c r="P835" s="85">
        <f>STATS1003B!P835/1000</f>
        <v>0</v>
      </c>
      <c r="Q835" s="85">
        <f>STATS1003B!Q835/1000</f>
        <v>3118.1392799999999</v>
      </c>
      <c r="R835" s="85">
        <f>STATS1003B!R835/1000</f>
        <v>0</v>
      </c>
      <c r="S835" s="85">
        <f>STATS1003B!S835/1000</f>
        <v>0</v>
      </c>
      <c r="T835" s="85">
        <f>STATS1003B!T835/1000</f>
        <v>0</v>
      </c>
      <c r="U835" s="85">
        <f>STATS1003B!U835/1000</f>
        <v>0</v>
      </c>
      <c r="V835" s="85">
        <f>STATS1003B!V835/1000</f>
        <v>3118.1392799999999</v>
      </c>
      <c r="W835" s="85">
        <f>STATS1003B!W835/1000</f>
        <v>0</v>
      </c>
      <c r="X835" s="85">
        <f t="shared" si="100"/>
        <v>3118.1392799999999</v>
      </c>
      <c r="Y835" s="85">
        <f>STATS1003B!Y835/1000</f>
        <v>0</v>
      </c>
      <c r="Z835" s="85">
        <f t="shared" si="103"/>
        <v>0</v>
      </c>
      <c r="AA835" s="69">
        <f>STATS1003B!AA835/1000</f>
        <v>3118.1392799999999</v>
      </c>
      <c r="AB835" s="69">
        <f>STATS1003B!AB835/1000</f>
        <v>0</v>
      </c>
    </row>
    <row r="836" spans="1:28" hidden="1" x14ac:dyDescent="0.3">
      <c r="A836" s="117"/>
      <c r="C836" s="68" t="s">
        <v>535</v>
      </c>
      <c r="D836" s="145" t="s">
        <v>61</v>
      </c>
      <c r="E836" s="85">
        <f>STATS1003B!E836/1000</f>
        <v>499.00283000000002</v>
      </c>
      <c r="F836" s="85">
        <f>STATS1003B!F836/1000</f>
        <v>481.07040000000001</v>
      </c>
      <c r="G836" s="85">
        <f>STATS1003B!G836/1000</f>
        <v>0</v>
      </c>
      <c r="H836" s="85">
        <f>STATS1003B!H836/1000</f>
        <v>481.07040000000001</v>
      </c>
      <c r="I836" s="85">
        <f>STATS1003B!I836/1000</f>
        <v>0</v>
      </c>
      <c r="J836" s="85">
        <f>STATS1003B!J836/1000</f>
        <v>481.07040000000001</v>
      </c>
      <c r="K836" s="85">
        <f>STATS1003B!K836/1000</f>
        <v>0</v>
      </c>
      <c r="L836" s="85">
        <f>STATS1003B!L836/1000</f>
        <v>0</v>
      </c>
      <c r="M836" s="85">
        <f>STATS1003B!M836/1000</f>
        <v>481.07040000000001</v>
      </c>
      <c r="N836" s="85">
        <f>STATS1003B!N836/1000</f>
        <v>0</v>
      </c>
      <c r="O836" s="85">
        <f>STATS1003B!O836/1000</f>
        <v>0</v>
      </c>
      <c r="P836" s="85">
        <f>STATS1003B!P836/1000</f>
        <v>0</v>
      </c>
      <c r="Q836" s="85">
        <f>STATS1003B!Q836/1000</f>
        <v>499.00283000000002</v>
      </c>
      <c r="R836" s="85">
        <f>STATS1003B!R836/1000</f>
        <v>0</v>
      </c>
      <c r="S836" s="85">
        <f>STATS1003B!S836/1000</f>
        <v>0</v>
      </c>
      <c r="T836" s="85">
        <f>STATS1003B!T836/1000</f>
        <v>17.93243</v>
      </c>
      <c r="U836" s="85">
        <f>STATS1003B!U836/1000</f>
        <v>17.93243</v>
      </c>
      <c r="V836" s="85">
        <f>STATS1003B!V836/1000</f>
        <v>481.07040000000001</v>
      </c>
      <c r="W836" s="85">
        <f>STATS1003B!W836/1000</f>
        <v>17.932429999999993</v>
      </c>
      <c r="X836" s="85">
        <f t="shared" si="100"/>
        <v>481.07040000000001</v>
      </c>
      <c r="Y836" s="85">
        <f>STATS1003B!Y836/1000</f>
        <v>0</v>
      </c>
      <c r="Z836" s="85">
        <f t="shared" si="103"/>
        <v>17.932430000000011</v>
      </c>
      <c r="AA836" s="69">
        <f>STATS1003B!AA836/1000</f>
        <v>499.00283000000002</v>
      </c>
      <c r="AB836" s="69">
        <f>STATS1003B!AB836/1000</f>
        <v>0</v>
      </c>
    </row>
    <row r="837" spans="1:28" hidden="1" x14ac:dyDescent="0.3">
      <c r="A837" s="117"/>
      <c r="C837" s="93" t="s">
        <v>1128</v>
      </c>
      <c r="D837" s="90" t="s">
        <v>1126</v>
      </c>
      <c r="E837" s="85">
        <f>STATS1003B!E837/1000</f>
        <v>500</v>
      </c>
      <c r="F837" s="85">
        <f>STATS1003B!F837/1000</f>
        <v>500</v>
      </c>
      <c r="G837" s="85">
        <f>STATS1003B!G837/1000</f>
        <v>0</v>
      </c>
      <c r="H837" s="85">
        <f>STATS1003B!H837/1000</f>
        <v>500</v>
      </c>
      <c r="I837" s="85">
        <f>STATS1003B!I837/1000</f>
        <v>0</v>
      </c>
      <c r="J837" s="85">
        <f>STATS1003B!J837/1000</f>
        <v>500</v>
      </c>
      <c r="K837" s="85">
        <f>STATS1003B!K837/1000</f>
        <v>0</v>
      </c>
      <c r="L837" s="85">
        <f>STATS1003B!L837/1000</f>
        <v>0</v>
      </c>
      <c r="M837" s="85">
        <f>STATS1003B!M837/1000</f>
        <v>500</v>
      </c>
      <c r="N837" s="85">
        <f>STATS1003B!N837/1000</f>
        <v>0</v>
      </c>
      <c r="O837" s="85">
        <f>STATS1003B!O837/1000</f>
        <v>0</v>
      </c>
      <c r="P837" s="85">
        <f>STATS1003B!P837/1000</f>
        <v>0</v>
      </c>
      <c r="Q837" s="85">
        <f>STATS1003B!Q837/1000</f>
        <v>0</v>
      </c>
      <c r="R837" s="85">
        <f>STATS1003B!R837/1000</f>
        <v>0</v>
      </c>
      <c r="S837" s="85">
        <f>STATS1003B!S837/1000</f>
        <v>0</v>
      </c>
      <c r="T837" s="85">
        <f>STATS1003B!T837/1000</f>
        <v>0</v>
      </c>
      <c r="U837" s="85">
        <f>STATS1003B!U837/1000</f>
        <v>0</v>
      </c>
      <c r="V837" s="85">
        <f>STATS1003B!V837/1000</f>
        <v>500</v>
      </c>
      <c r="W837" s="85">
        <f>STATS1003B!W837/1000</f>
        <v>0</v>
      </c>
      <c r="X837" s="85">
        <f t="shared" ref="X837:X900" si="108">+H837+P837</f>
        <v>500</v>
      </c>
      <c r="Y837" s="85">
        <f>STATS1003B!Y837/1000</f>
        <v>0</v>
      </c>
      <c r="Z837" s="85">
        <f t="shared" si="103"/>
        <v>0</v>
      </c>
      <c r="AA837" s="69">
        <f>STATS1003B!AA837/1000</f>
        <v>500</v>
      </c>
      <c r="AB837" s="69">
        <f>STATS1003B!AB837/1000</f>
        <v>0</v>
      </c>
    </row>
    <row r="838" spans="1:28" hidden="1" x14ac:dyDescent="0.3">
      <c r="A838" s="117"/>
      <c r="C838" s="68" t="s">
        <v>933</v>
      </c>
      <c r="D838" s="90" t="s">
        <v>1072</v>
      </c>
      <c r="E838" s="85">
        <f>STATS1003B!E838/1000</f>
        <v>3882.5036399999999</v>
      </c>
      <c r="F838" s="85">
        <f>STATS1003B!F838/1000</f>
        <v>3882.5036399999999</v>
      </c>
      <c r="G838" s="85">
        <f>STATS1003B!G838/1000</f>
        <v>0</v>
      </c>
      <c r="H838" s="85">
        <f>STATS1003B!H838/1000</f>
        <v>3882.5036399999999</v>
      </c>
      <c r="I838" s="85">
        <f>STATS1003B!I838/1000</f>
        <v>0</v>
      </c>
      <c r="J838" s="85">
        <f>STATS1003B!J838/1000</f>
        <v>0</v>
      </c>
      <c r="K838" s="85">
        <f>STATS1003B!K838/1000</f>
        <v>0</v>
      </c>
      <c r="L838" s="85">
        <f>STATS1003B!L838/1000</f>
        <v>0</v>
      </c>
      <c r="M838" s="85">
        <f>STATS1003B!M838/1000</f>
        <v>3882.5036399999999</v>
      </c>
      <c r="N838" s="85">
        <f>STATS1003B!N838/1000</f>
        <v>0</v>
      </c>
      <c r="O838" s="85">
        <f>STATS1003B!O838/1000</f>
        <v>0</v>
      </c>
      <c r="P838" s="85">
        <f>STATS1003B!P838/1000</f>
        <v>0</v>
      </c>
      <c r="Q838" s="85">
        <f>STATS1003B!Q838/1000</f>
        <v>0</v>
      </c>
      <c r="R838" s="85">
        <f>STATS1003B!R838/1000</f>
        <v>0</v>
      </c>
      <c r="S838" s="85">
        <f>STATS1003B!S838/1000</f>
        <v>0</v>
      </c>
      <c r="T838" s="85">
        <f>STATS1003B!T838/1000</f>
        <v>0</v>
      </c>
      <c r="U838" s="85">
        <f>STATS1003B!U838/1000</f>
        <v>0</v>
      </c>
      <c r="V838" s="85">
        <f>STATS1003B!V838/1000</f>
        <v>0</v>
      </c>
      <c r="W838" s="85">
        <f>STATS1003B!W838/1000</f>
        <v>0</v>
      </c>
      <c r="X838" s="85">
        <f t="shared" si="108"/>
        <v>3882.5036399999999</v>
      </c>
      <c r="Y838" s="85">
        <f>STATS1003B!Y838/1000</f>
        <v>0</v>
      </c>
      <c r="Z838" s="85">
        <f t="shared" si="103"/>
        <v>0</v>
      </c>
      <c r="AA838" s="69">
        <f>STATS1003B!AA838/1000</f>
        <v>3882.5036399999999</v>
      </c>
      <c r="AB838" s="69">
        <f>STATS1003B!AB838/1000</f>
        <v>0</v>
      </c>
    </row>
    <row r="839" spans="1:28" hidden="1" x14ac:dyDescent="0.3">
      <c r="A839" s="117"/>
      <c r="C839" s="68" t="s">
        <v>1203</v>
      </c>
      <c r="D839" s="90" t="s">
        <v>1126</v>
      </c>
      <c r="E839" s="85">
        <f>STATS1003B!E839/1000</f>
        <v>4238.4456799999998</v>
      </c>
      <c r="F839" s="85">
        <f>STATS1003B!F839/1000</f>
        <v>4238.4456799999998</v>
      </c>
      <c r="G839" s="85">
        <f>STATS1003B!G839/1000</f>
        <v>0</v>
      </c>
      <c r="H839" s="85">
        <f>STATS1003B!H839/1000</f>
        <v>4238.4456799999998</v>
      </c>
      <c r="I839" s="85">
        <f>STATS1003B!I839/1000</f>
        <v>0</v>
      </c>
      <c r="J839" s="85">
        <f>STATS1003B!J839/1000</f>
        <v>0</v>
      </c>
      <c r="K839" s="85">
        <f>STATS1003B!K839/1000</f>
        <v>0</v>
      </c>
      <c r="L839" s="85">
        <f>STATS1003B!L839/1000</f>
        <v>0</v>
      </c>
      <c r="M839" s="85">
        <f>STATS1003B!M839/1000</f>
        <v>4238.4456799999998</v>
      </c>
      <c r="N839" s="85">
        <f>STATS1003B!N839/1000</f>
        <v>0</v>
      </c>
      <c r="O839" s="85">
        <f>STATS1003B!O839/1000</f>
        <v>0</v>
      </c>
      <c r="P839" s="85">
        <f>STATS1003B!P839/1000</f>
        <v>0</v>
      </c>
      <c r="Q839" s="85">
        <f>STATS1003B!Q839/1000</f>
        <v>0</v>
      </c>
      <c r="R839" s="85">
        <f>STATS1003B!R839/1000</f>
        <v>0</v>
      </c>
      <c r="S839" s="85">
        <f>STATS1003B!S839/1000</f>
        <v>0</v>
      </c>
      <c r="T839" s="85">
        <f>STATS1003B!T839/1000</f>
        <v>0</v>
      </c>
      <c r="U839" s="85">
        <f>STATS1003B!U839/1000</f>
        <v>0</v>
      </c>
      <c r="V839" s="85">
        <f>STATS1003B!V839/1000</f>
        <v>0</v>
      </c>
      <c r="W839" s="85">
        <f>STATS1003B!W839/1000</f>
        <v>0</v>
      </c>
      <c r="X839" s="85">
        <f t="shared" si="108"/>
        <v>4238.4456799999998</v>
      </c>
      <c r="Y839" s="85">
        <f>STATS1003B!Y839/1000</f>
        <v>0</v>
      </c>
      <c r="Z839" s="85">
        <f t="shared" si="103"/>
        <v>0</v>
      </c>
      <c r="AA839" s="69">
        <f>STATS1003B!AA839/1000</f>
        <v>4238.4456799999998</v>
      </c>
      <c r="AB839" s="69">
        <f>STATS1003B!AB839/1000</f>
        <v>0</v>
      </c>
    </row>
    <row r="840" spans="1:28" hidden="1" x14ac:dyDescent="0.3">
      <c r="A840" s="117"/>
      <c r="C840" s="68" t="s">
        <v>598</v>
      </c>
      <c r="E840" s="85">
        <f>STATS1003B!E840/1000</f>
        <v>798.72</v>
      </c>
      <c r="F840" s="85">
        <f>STATS1003B!F840/1000</f>
        <v>798.72</v>
      </c>
      <c r="G840" s="85">
        <f>STATS1003B!G840/1000</f>
        <v>0</v>
      </c>
      <c r="H840" s="85">
        <f>STATS1003B!H840/1000</f>
        <v>798.72</v>
      </c>
      <c r="I840" s="85">
        <f>STATS1003B!I840/1000</f>
        <v>0</v>
      </c>
      <c r="J840" s="85">
        <f>STATS1003B!J840/1000</f>
        <v>798.72</v>
      </c>
      <c r="K840" s="85">
        <f>STATS1003B!K840/1000</f>
        <v>0</v>
      </c>
      <c r="L840" s="85">
        <f>STATS1003B!L840/1000</f>
        <v>0</v>
      </c>
      <c r="M840" s="85">
        <f>STATS1003B!M840/1000</f>
        <v>798.72</v>
      </c>
      <c r="N840" s="85">
        <f>STATS1003B!N840/1000</f>
        <v>0</v>
      </c>
      <c r="O840" s="85">
        <f>STATS1003B!O840/1000</f>
        <v>0</v>
      </c>
      <c r="P840" s="85">
        <f>STATS1003B!P840/1000</f>
        <v>0</v>
      </c>
      <c r="Q840" s="85">
        <f>STATS1003B!Q840/1000</f>
        <v>798.72</v>
      </c>
      <c r="R840" s="85">
        <f>STATS1003B!R840/1000</f>
        <v>0</v>
      </c>
      <c r="S840" s="85">
        <f>STATS1003B!S840/1000</f>
        <v>0</v>
      </c>
      <c r="T840" s="85">
        <f>STATS1003B!T840/1000</f>
        <v>0</v>
      </c>
      <c r="U840" s="85">
        <f>STATS1003B!U840/1000</f>
        <v>0</v>
      </c>
      <c r="V840" s="85">
        <f>STATS1003B!V840/1000</f>
        <v>798.72</v>
      </c>
      <c r="W840" s="85">
        <f>STATS1003B!W840/1000</f>
        <v>0</v>
      </c>
      <c r="X840" s="85">
        <f t="shared" si="108"/>
        <v>798.72</v>
      </c>
      <c r="Y840" s="85">
        <f>STATS1003B!Y840/1000</f>
        <v>0</v>
      </c>
      <c r="Z840" s="85">
        <f t="shared" si="103"/>
        <v>0</v>
      </c>
      <c r="AA840" s="69">
        <f>STATS1003B!AA840/1000</f>
        <v>798.72</v>
      </c>
      <c r="AB840" s="69">
        <f>STATS1003B!AB840/1000</f>
        <v>0</v>
      </c>
    </row>
    <row r="841" spans="1:28" hidden="1" x14ac:dyDescent="0.3">
      <c r="A841" s="117"/>
      <c r="C841" s="68" t="s">
        <v>550</v>
      </c>
      <c r="E841" s="85">
        <f>STATS1003B!E841/1000</f>
        <v>83.548000000000002</v>
      </c>
      <c r="F841" s="85">
        <f>STATS1003B!F841/1000</f>
        <v>83.548000000000002</v>
      </c>
      <c r="G841" s="85">
        <f>STATS1003B!G841/1000</f>
        <v>0</v>
      </c>
      <c r="H841" s="85">
        <f>STATS1003B!H841/1000</f>
        <v>83.548000000000002</v>
      </c>
      <c r="I841" s="85">
        <f>STATS1003B!I841/1000</f>
        <v>0</v>
      </c>
      <c r="J841" s="85">
        <f>STATS1003B!J841/1000</f>
        <v>83.548000000000002</v>
      </c>
      <c r="K841" s="85">
        <f>STATS1003B!K841/1000</f>
        <v>0</v>
      </c>
      <c r="L841" s="85">
        <f>STATS1003B!L841/1000</f>
        <v>0</v>
      </c>
      <c r="M841" s="85">
        <f>STATS1003B!M841/1000</f>
        <v>83.548000000000002</v>
      </c>
      <c r="N841" s="85">
        <f>STATS1003B!N841/1000</f>
        <v>0</v>
      </c>
      <c r="O841" s="85">
        <f>STATS1003B!O841/1000</f>
        <v>0</v>
      </c>
      <c r="P841" s="85">
        <f>STATS1003B!P841/1000</f>
        <v>0</v>
      </c>
      <c r="Q841" s="85">
        <f>STATS1003B!Q841/1000</f>
        <v>83.548000000000002</v>
      </c>
      <c r="R841" s="85">
        <f>STATS1003B!R841/1000</f>
        <v>0</v>
      </c>
      <c r="S841" s="85">
        <f>STATS1003B!S841/1000</f>
        <v>0</v>
      </c>
      <c r="T841" s="85">
        <f>STATS1003B!T841/1000</f>
        <v>0</v>
      </c>
      <c r="U841" s="85">
        <f>STATS1003B!U841/1000</f>
        <v>0</v>
      </c>
      <c r="V841" s="85">
        <f>STATS1003B!V841/1000</f>
        <v>83.548000000000002</v>
      </c>
      <c r="W841" s="85">
        <f>STATS1003B!W841/1000</f>
        <v>0</v>
      </c>
      <c r="X841" s="85">
        <f t="shared" si="108"/>
        <v>83.548000000000002</v>
      </c>
      <c r="Y841" s="85">
        <f>STATS1003B!Y841/1000</f>
        <v>0</v>
      </c>
      <c r="Z841" s="85">
        <f t="shared" si="103"/>
        <v>0</v>
      </c>
      <c r="AA841" s="69">
        <f>STATS1003B!AA841/1000</f>
        <v>83.548000000000002</v>
      </c>
      <c r="AB841" s="69">
        <f>STATS1003B!AB841/1000</f>
        <v>0</v>
      </c>
    </row>
    <row r="842" spans="1:28" hidden="1" x14ac:dyDescent="0.3">
      <c r="A842" s="117"/>
      <c r="C842" s="68" t="s">
        <v>606</v>
      </c>
      <c r="E842" s="85">
        <f>STATS1003B!E842/1000</f>
        <v>2500</v>
      </c>
      <c r="F842" s="85">
        <f>STATS1003B!F842/1000</f>
        <v>2500</v>
      </c>
      <c r="G842" s="85">
        <f>STATS1003B!G842/1000</f>
        <v>0</v>
      </c>
      <c r="H842" s="85">
        <f>STATS1003B!H842/1000</f>
        <v>2500</v>
      </c>
      <c r="I842" s="85">
        <f>STATS1003B!I842/1000</f>
        <v>0</v>
      </c>
      <c r="J842" s="85">
        <f>STATS1003B!J842/1000</f>
        <v>2500</v>
      </c>
      <c r="K842" s="85">
        <f>STATS1003B!K842/1000</f>
        <v>0</v>
      </c>
      <c r="L842" s="85">
        <f>STATS1003B!L842/1000</f>
        <v>0</v>
      </c>
      <c r="M842" s="85">
        <f>STATS1003B!M842/1000</f>
        <v>2500</v>
      </c>
      <c r="N842" s="85">
        <f>STATS1003B!N842/1000</f>
        <v>0</v>
      </c>
      <c r="O842" s="85">
        <f>STATS1003B!O842/1000</f>
        <v>0</v>
      </c>
      <c r="P842" s="85">
        <f>STATS1003B!P842/1000</f>
        <v>0</v>
      </c>
      <c r="Q842" s="85">
        <f>STATS1003B!Q842/1000</f>
        <v>2500</v>
      </c>
      <c r="R842" s="85">
        <f>STATS1003B!R842/1000</f>
        <v>0</v>
      </c>
      <c r="S842" s="85">
        <f>STATS1003B!S842/1000</f>
        <v>0</v>
      </c>
      <c r="T842" s="85">
        <f>STATS1003B!T842/1000</f>
        <v>0</v>
      </c>
      <c r="U842" s="85">
        <f>STATS1003B!U842/1000</f>
        <v>0</v>
      </c>
      <c r="V842" s="85">
        <f>STATS1003B!V842/1000</f>
        <v>2500</v>
      </c>
      <c r="W842" s="85">
        <f>STATS1003B!W842/1000</f>
        <v>0</v>
      </c>
      <c r="X842" s="85">
        <f t="shared" si="108"/>
        <v>2500</v>
      </c>
      <c r="Y842" s="85">
        <f>STATS1003B!Y842/1000</f>
        <v>0</v>
      </c>
      <c r="Z842" s="85">
        <f t="shared" si="103"/>
        <v>0</v>
      </c>
      <c r="AA842" s="69">
        <f>STATS1003B!AA842/1000</f>
        <v>2500</v>
      </c>
      <c r="AB842" s="69">
        <f>STATS1003B!AB842/1000</f>
        <v>0</v>
      </c>
    </row>
    <row r="843" spans="1:28" hidden="1" x14ac:dyDescent="0.3">
      <c r="A843" s="117"/>
      <c r="E843" s="86" t="s">
        <v>29</v>
      </c>
      <c r="F843" s="86" t="s">
        <v>29</v>
      </c>
      <c r="G843" s="86" t="s">
        <v>29</v>
      </c>
      <c r="H843" s="86" t="s">
        <v>29</v>
      </c>
      <c r="I843" s="86" t="s">
        <v>29</v>
      </c>
      <c r="J843" s="86" t="s">
        <v>29</v>
      </c>
      <c r="K843" s="86" t="s">
        <v>29</v>
      </c>
      <c r="L843" s="86" t="s">
        <v>29</v>
      </c>
      <c r="M843" s="86" t="s">
        <v>29</v>
      </c>
      <c r="N843" s="86" t="s">
        <v>29</v>
      </c>
      <c r="O843" s="86" t="s">
        <v>29</v>
      </c>
      <c r="P843" s="86" t="s">
        <v>29</v>
      </c>
      <c r="Q843" s="86" t="s">
        <v>29</v>
      </c>
      <c r="R843" s="86" t="s">
        <v>29</v>
      </c>
      <c r="S843" s="86" t="s">
        <v>29</v>
      </c>
      <c r="T843" s="86" t="s">
        <v>29</v>
      </c>
      <c r="U843" s="86" t="s">
        <v>29</v>
      </c>
      <c r="V843" s="86" t="s">
        <v>29</v>
      </c>
      <c r="W843" s="86" t="s">
        <v>29</v>
      </c>
      <c r="X843" s="85" t="e">
        <f t="shared" si="108"/>
        <v>#VALUE!</v>
      </c>
      <c r="Y843" s="86" t="s">
        <v>29</v>
      </c>
      <c r="Z843" s="85" t="e">
        <f t="shared" si="103"/>
        <v>#VALUE!</v>
      </c>
      <c r="AA843" s="115" t="s">
        <v>29</v>
      </c>
      <c r="AB843" s="115" t="s">
        <v>29</v>
      </c>
    </row>
    <row r="844" spans="1:28" x14ac:dyDescent="0.3">
      <c r="A844" s="116">
        <v>40</v>
      </c>
      <c r="B844" s="68" t="s">
        <v>644</v>
      </c>
      <c r="E844" s="85">
        <f>169432810.42/1000</f>
        <v>169432.81041999999</v>
      </c>
      <c r="F844" s="85">
        <f t="shared" ref="F844:Q844" si="109">SUM(F826:F843)</f>
        <v>30107.819480000002</v>
      </c>
      <c r="G844" s="85">
        <f t="shared" si="109"/>
        <v>0</v>
      </c>
      <c r="H844" s="85">
        <f>164360381.49/1000</f>
        <v>164360.38149</v>
      </c>
      <c r="I844" s="85">
        <f t="shared" si="109"/>
        <v>0</v>
      </c>
      <c r="J844" s="85">
        <f t="shared" si="109"/>
        <v>21986.870160000002</v>
      </c>
      <c r="K844" s="85">
        <f t="shared" si="109"/>
        <v>5054.4965000000002</v>
      </c>
      <c r="L844" s="85">
        <f t="shared" si="109"/>
        <v>0</v>
      </c>
      <c r="M844" s="85">
        <f t="shared" si="109"/>
        <v>30107.819480000002</v>
      </c>
      <c r="N844" s="85">
        <f t="shared" si="109"/>
        <v>5054.4965000000002</v>
      </c>
      <c r="O844" s="85">
        <f t="shared" si="109"/>
        <v>0</v>
      </c>
      <c r="P844" s="85">
        <f>5054496/1000</f>
        <v>5054.4960000000001</v>
      </c>
      <c r="Q844" s="85">
        <f t="shared" si="109"/>
        <v>21504.802590000003</v>
      </c>
      <c r="R844" s="86"/>
      <c r="S844" s="86"/>
      <c r="T844" s="85">
        <f t="shared" ref="T844:Y844" si="110">SUM(T826:T843)</f>
        <v>17.93243</v>
      </c>
      <c r="U844" s="85">
        <f t="shared" si="110"/>
        <v>5072.42893</v>
      </c>
      <c r="V844" s="85">
        <f t="shared" si="110"/>
        <v>27041.366660000003</v>
      </c>
      <c r="W844" s="85">
        <f t="shared" si="110"/>
        <v>17.932429999999993</v>
      </c>
      <c r="X844" s="85">
        <f>+H844+P844</f>
        <v>169414.87749000001</v>
      </c>
      <c r="Y844" s="85">
        <f t="shared" si="110"/>
        <v>0</v>
      </c>
      <c r="Z844" s="85">
        <f t="shared" si="103"/>
        <v>17.932929999980843</v>
      </c>
      <c r="AA844" s="69">
        <f>SUM(AA826:AA843)</f>
        <v>35180.24841</v>
      </c>
      <c r="AB844" s="69">
        <f>SUM(AB826:AB843)</f>
        <v>0</v>
      </c>
    </row>
    <row r="845" spans="1:28" hidden="1" x14ac:dyDescent="0.3">
      <c r="A845" s="117"/>
      <c r="E845" s="86" t="s">
        <v>29</v>
      </c>
      <c r="F845" s="86" t="s">
        <v>29</v>
      </c>
      <c r="G845" s="86" t="s">
        <v>29</v>
      </c>
      <c r="H845" s="86" t="s">
        <v>29</v>
      </c>
      <c r="I845" s="86" t="s">
        <v>29</v>
      </c>
      <c r="J845" s="86" t="s">
        <v>29</v>
      </c>
      <c r="K845" s="86" t="s">
        <v>29</v>
      </c>
      <c r="L845" s="86" t="s">
        <v>29</v>
      </c>
      <c r="M845" s="86" t="s">
        <v>29</v>
      </c>
      <c r="N845" s="86" t="s">
        <v>29</v>
      </c>
      <c r="O845" s="86" t="s">
        <v>29</v>
      </c>
      <c r="P845" s="86" t="s">
        <v>29</v>
      </c>
      <c r="Q845" s="86" t="s">
        <v>29</v>
      </c>
      <c r="R845" s="86" t="s">
        <v>29</v>
      </c>
      <c r="S845" s="86" t="s">
        <v>29</v>
      </c>
      <c r="T845" s="86" t="s">
        <v>29</v>
      </c>
      <c r="U845" s="86" t="s">
        <v>29</v>
      </c>
      <c r="V845" s="86" t="s">
        <v>29</v>
      </c>
      <c r="W845" s="86" t="s">
        <v>29</v>
      </c>
      <c r="X845" s="85" t="e">
        <f t="shared" si="108"/>
        <v>#VALUE!</v>
      </c>
      <c r="Y845" s="86" t="s">
        <v>29</v>
      </c>
      <c r="Z845" s="85" t="e">
        <f t="shared" si="103"/>
        <v>#VALUE!</v>
      </c>
      <c r="AA845" s="115" t="s">
        <v>29</v>
      </c>
      <c r="AB845" s="115" t="s">
        <v>29</v>
      </c>
    </row>
    <row r="846" spans="1:28" hidden="1" x14ac:dyDescent="0.3">
      <c r="A846" s="105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6"/>
      <c r="S846" s="86"/>
      <c r="T846" s="86"/>
      <c r="U846" s="86"/>
      <c r="V846" s="86"/>
      <c r="W846" s="86"/>
      <c r="X846" s="85">
        <f t="shared" si="108"/>
        <v>0</v>
      </c>
      <c r="Y846" s="86"/>
      <c r="Z846" s="85">
        <f t="shared" si="103"/>
        <v>0</v>
      </c>
      <c r="AA846" s="118"/>
    </row>
    <row r="847" spans="1:28" hidden="1" x14ac:dyDescent="0.3">
      <c r="A847" s="117"/>
      <c r="C847" s="71" t="s">
        <v>648</v>
      </c>
      <c r="D847" s="88" t="s">
        <v>649</v>
      </c>
      <c r="E847" s="85">
        <f>STATS1003B!E847/1000</f>
        <v>195.54189000000002</v>
      </c>
      <c r="F847" s="85">
        <f>STATS1003B!F847/1000</f>
        <v>195.54189000000002</v>
      </c>
      <c r="G847" s="85">
        <f>STATS1003B!G847/1000</f>
        <v>0</v>
      </c>
      <c r="H847" s="85">
        <f>STATS1003B!H847/1000</f>
        <v>195.54189000000002</v>
      </c>
      <c r="I847" s="85">
        <f>STATS1003B!I847/1000</f>
        <v>0</v>
      </c>
      <c r="J847" s="85">
        <f>STATS1003B!J847/1000</f>
        <v>195.54189000000002</v>
      </c>
      <c r="K847" s="85">
        <f>STATS1003B!K847/1000</f>
        <v>0</v>
      </c>
      <c r="L847" s="85">
        <f>STATS1003B!L847/1000</f>
        <v>0</v>
      </c>
      <c r="M847" s="85">
        <f>STATS1003B!M847/1000</f>
        <v>195.54189000000002</v>
      </c>
      <c r="N847" s="85">
        <f>STATS1003B!N847/1000</f>
        <v>0</v>
      </c>
      <c r="O847" s="85">
        <f>STATS1003B!O847/1000</f>
        <v>0</v>
      </c>
      <c r="P847" s="85">
        <f>STATS1003B!P847/1000</f>
        <v>0</v>
      </c>
      <c r="Q847" s="85">
        <f>STATS1003B!Q847/1000</f>
        <v>195.54189000000002</v>
      </c>
      <c r="R847" s="85">
        <f>STATS1003B!R847/1000</f>
        <v>0</v>
      </c>
      <c r="S847" s="85">
        <f>STATS1003B!S847/1000</f>
        <v>0</v>
      </c>
      <c r="T847" s="85">
        <f>STATS1003B!T847/1000</f>
        <v>0</v>
      </c>
      <c r="U847" s="85">
        <f>STATS1003B!U847/1000</f>
        <v>0</v>
      </c>
      <c r="V847" s="85">
        <f>STATS1003B!V847/1000</f>
        <v>195.54189000000002</v>
      </c>
      <c r="W847" s="85">
        <f>STATS1003B!W847/1000</f>
        <v>0</v>
      </c>
      <c r="X847" s="85">
        <f t="shared" si="108"/>
        <v>195.54189000000002</v>
      </c>
      <c r="Y847" s="85">
        <f>STATS1003B!Y847/1000</f>
        <v>0</v>
      </c>
      <c r="Z847" s="85">
        <f t="shared" si="103"/>
        <v>0</v>
      </c>
      <c r="AA847" s="69">
        <f>STATS1003B!AA847/1000</f>
        <v>195.54189000000002</v>
      </c>
      <c r="AB847" s="69">
        <f>STATS1003B!AB847/1000</f>
        <v>0</v>
      </c>
    </row>
    <row r="848" spans="1:28" hidden="1" x14ac:dyDescent="0.3">
      <c r="A848" s="117"/>
      <c r="C848" s="68" t="s">
        <v>535</v>
      </c>
      <c r="D848" s="145" t="s">
        <v>68</v>
      </c>
      <c r="E848" s="85">
        <f>STATS1003B!E848/1000</f>
        <v>406.56723999999997</v>
      </c>
      <c r="F848" s="85">
        <f>STATS1003B!F848/1000</f>
        <v>382.94600000000003</v>
      </c>
      <c r="G848" s="85">
        <f>STATS1003B!G848/1000</f>
        <v>0</v>
      </c>
      <c r="H848" s="85">
        <f>STATS1003B!H848/1000</f>
        <v>382.94600000000003</v>
      </c>
      <c r="I848" s="85">
        <f>STATS1003B!I848/1000</f>
        <v>0</v>
      </c>
      <c r="J848" s="85">
        <f>STATS1003B!J848/1000</f>
        <v>382.94600000000003</v>
      </c>
      <c r="K848" s="85">
        <f>STATS1003B!K848/1000</f>
        <v>23.62124</v>
      </c>
      <c r="L848" s="85">
        <f>STATS1003B!L848/1000</f>
        <v>0</v>
      </c>
      <c r="M848" s="85">
        <f>STATS1003B!M848/1000</f>
        <v>382.94600000000003</v>
      </c>
      <c r="N848" s="85">
        <f>STATS1003B!N848/1000</f>
        <v>23.62124</v>
      </c>
      <c r="O848" s="85">
        <f>STATS1003B!O848/1000</f>
        <v>0</v>
      </c>
      <c r="P848" s="85">
        <f>STATS1003B!P848/1000</f>
        <v>23.62124</v>
      </c>
      <c r="Q848" s="85">
        <f>STATS1003B!Q848/1000</f>
        <v>382.94600000000003</v>
      </c>
      <c r="R848" s="85">
        <f>STATS1003B!R848/1000</f>
        <v>0</v>
      </c>
      <c r="S848" s="85">
        <f>STATS1003B!S848/1000</f>
        <v>0</v>
      </c>
      <c r="T848" s="85">
        <f>STATS1003B!T848/1000</f>
        <v>0</v>
      </c>
      <c r="U848" s="85">
        <f>STATS1003B!U848/1000</f>
        <v>23.62124</v>
      </c>
      <c r="V848" s="85">
        <f>STATS1003B!V848/1000</f>
        <v>406.56723999999997</v>
      </c>
      <c r="W848" s="85">
        <f>STATS1003B!W848/1000</f>
        <v>0</v>
      </c>
      <c r="X848" s="85">
        <f t="shared" si="108"/>
        <v>406.56724000000003</v>
      </c>
      <c r="Y848" s="85">
        <f>STATS1003B!Y848/1000</f>
        <v>0</v>
      </c>
      <c r="Z848" s="85">
        <f t="shared" si="103"/>
        <v>0</v>
      </c>
      <c r="AA848" s="69">
        <f>STATS1003B!AA848/1000</f>
        <v>406.56723999999997</v>
      </c>
      <c r="AB848" s="69">
        <f>STATS1003B!AB848/1000</f>
        <v>0</v>
      </c>
    </row>
    <row r="849" spans="1:28" hidden="1" x14ac:dyDescent="0.3">
      <c r="A849" s="117"/>
      <c r="C849" s="68" t="s">
        <v>539</v>
      </c>
      <c r="D849" s="145" t="s">
        <v>68</v>
      </c>
      <c r="E849" s="85">
        <f>STATS1003B!E849/1000</f>
        <v>4422.0830999999998</v>
      </c>
      <c r="F849" s="85">
        <f>STATS1003B!F849/1000</f>
        <v>0</v>
      </c>
      <c r="G849" s="85">
        <f>STATS1003B!G849/1000</f>
        <v>0</v>
      </c>
      <c r="H849" s="85">
        <f>STATS1003B!H849/1000</f>
        <v>0</v>
      </c>
      <c r="I849" s="85">
        <f>STATS1003B!I849/1000</f>
        <v>0</v>
      </c>
      <c r="J849" s="85">
        <f>STATS1003B!J849/1000</f>
        <v>0</v>
      </c>
      <c r="K849" s="85">
        <f>STATS1003B!K849/1000</f>
        <v>4422.0830999999998</v>
      </c>
      <c r="L849" s="85">
        <f>STATS1003B!L849/1000</f>
        <v>0</v>
      </c>
      <c r="M849" s="85">
        <f>STATS1003B!M849/1000</f>
        <v>0</v>
      </c>
      <c r="N849" s="85">
        <f>STATS1003B!N849/1000</f>
        <v>4422.0830999999998</v>
      </c>
      <c r="O849" s="85">
        <f>STATS1003B!O849/1000</f>
        <v>0</v>
      </c>
      <c r="P849" s="85">
        <f>STATS1003B!P849/1000</f>
        <v>4422.0830999999998</v>
      </c>
      <c r="Q849" s="85">
        <f>STATS1003B!Q849/1000</f>
        <v>0</v>
      </c>
      <c r="R849" s="85">
        <f>STATS1003B!R849/1000</f>
        <v>0</v>
      </c>
      <c r="S849" s="85">
        <f>STATS1003B!S849/1000</f>
        <v>0</v>
      </c>
      <c r="T849" s="85">
        <f>STATS1003B!T849/1000</f>
        <v>0</v>
      </c>
      <c r="U849" s="85">
        <f>STATS1003B!U849/1000</f>
        <v>4422.0830999999998</v>
      </c>
      <c r="V849" s="85">
        <f>STATS1003B!V849/1000</f>
        <v>4422.0830999999998</v>
      </c>
      <c r="W849" s="85">
        <f>STATS1003B!W849/1000</f>
        <v>0</v>
      </c>
      <c r="X849" s="85">
        <f t="shared" si="108"/>
        <v>4422.0830999999998</v>
      </c>
      <c r="Y849" s="85">
        <f>STATS1003B!Y849/1000</f>
        <v>0</v>
      </c>
      <c r="Z849" s="85">
        <f t="shared" si="103"/>
        <v>0</v>
      </c>
      <c r="AA849" s="69">
        <f>STATS1003B!AA849/1000</f>
        <v>4422.0830999999998</v>
      </c>
      <c r="AB849" s="69">
        <f>STATS1003B!AB849/1000</f>
        <v>0</v>
      </c>
    </row>
    <row r="850" spans="1:28" hidden="1" x14ac:dyDescent="0.3">
      <c r="A850" s="117"/>
      <c r="C850" s="68" t="s">
        <v>535</v>
      </c>
      <c r="D850" s="145" t="s">
        <v>54</v>
      </c>
      <c r="E850" s="85">
        <f>STATS1003B!E850/1000</f>
        <v>1144</v>
      </c>
      <c r="F850" s="85">
        <f>STATS1003B!F850/1000</f>
        <v>1144</v>
      </c>
      <c r="G850" s="85">
        <f>STATS1003B!G850/1000</f>
        <v>0</v>
      </c>
      <c r="H850" s="85">
        <f>STATS1003B!H850/1000</f>
        <v>1144</v>
      </c>
      <c r="I850" s="85">
        <f>STATS1003B!I850/1000</f>
        <v>0</v>
      </c>
      <c r="J850" s="85">
        <f>STATS1003B!J850/1000</f>
        <v>1144</v>
      </c>
      <c r="K850" s="85">
        <f>STATS1003B!K850/1000</f>
        <v>0</v>
      </c>
      <c r="L850" s="85">
        <f>STATS1003B!L850/1000</f>
        <v>0</v>
      </c>
      <c r="M850" s="85">
        <f>STATS1003B!M850/1000</f>
        <v>1144</v>
      </c>
      <c r="N850" s="85">
        <f>STATS1003B!N850/1000</f>
        <v>0</v>
      </c>
      <c r="O850" s="85">
        <f>STATS1003B!O850/1000</f>
        <v>0</v>
      </c>
      <c r="P850" s="85">
        <f>STATS1003B!P850/1000</f>
        <v>0</v>
      </c>
      <c r="Q850" s="85">
        <f>STATS1003B!Q850/1000</f>
        <v>1144</v>
      </c>
      <c r="R850" s="85">
        <f>STATS1003B!R850/1000</f>
        <v>0</v>
      </c>
      <c r="S850" s="85">
        <f>STATS1003B!S850/1000</f>
        <v>0</v>
      </c>
      <c r="T850" s="85">
        <f>STATS1003B!T850/1000</f>
        <v>0</v>
      </c>
      <c r="U850" s="85">
        <f>STATS1003B!U850/1000</f>
        <v>0</v>
      </c>
      <c r="V850" s="85">
        <f>STATS1003B!V850/1000</f>
        <v>1144</v>
      </c>
      <c r="W850" s="85">
        <f>STATS1003B!W850/1000</f>
        <v>0</v>
      </c>
      <c r="X850" s="85">
        <f t="shared" si="108"/>
        <v>1144</v>
      </c>
      <c r="Y850" s="85">
        <f>STATS1003B!Y850/1000</f>
        <v>0</v>
      </c>
      <c r="Z850" s="85">
        <f t="shared" si="103"/>
        <v>0</v>
      </c>
      <c r="AA850" s="69">
        <f>STATS1003B!AA850/1000</f>
        <v>1144</v>
      </c>
      <c r="AB850" s="69">
        <f>STATS1003B!AB850/1000</f>
        <v>0</v>
      </c>
    </row>
    <row r="851" spans="1:28" hidden="1" x14ac:dyDescent="0.3">
      <c r="A851" s="117"/>
      <c r="C851" s="68" t="s">
        <v>545</v>
      </c>
      <c r="D851" s="145" t="s">
        <v>54</v>
      </c>
      <c r="E851" s="85">
        <f>STATS1003B!E851/1000</f>
        <v>1953.989</v>
      </c>
      <c r="F851" s="85">
        <f>STATS1003B!F851/1000</f>
        <v>0</v>
      </c>
      <c r="G851" s="85">
        <f>STATS1003B!G851/1000</f>
        <v>0</v>
      </c>
      <c r="H851" s="85">
        <f>STATS1003B!H851/1000</f>
        <v>0</v>
      </c>
      <c r="I851" s="85">
        <f>STATS1003B!I851/1000</f>
        <v>0</v>
      </c>
      <c r="J851" s="85">
        <f>STATS1003B!J851/1000</f>
        <v>0</v>
      </c>
      <c r="K851" s="85">
        <f>STATS1003B!K851/1000</f>
        <v>1953.989</v>
      </c>
      <c r="L851" s="85">
        <f>STATS1003B!L851/1000</f>
        <v>0</v>
      </c>
      <c r="M851" s="85">
        <f>STATS1003B!M851/1000</f>
        <v>0</v>
      </c>
      <c r="N851" s="85">
        <f>STATS1003B!N851/1000</f>
        <v>1953.989</v>
      </c>
      <c r="O851" s="85">
        <f>STATS1003B!O851/1000</f>
        <v>0</v>
      </c>
      <c r="P851" s="85">
        <f>STATS1003B!P851/1000</f>
        <v>1953.989</v>
      </c>
      <c r="Q851" s="85">
        <f>STATS1003B!Q851/1000</f>
        <v>0</v>
      </c>
      <c r="R851" s="85">
        <f>STATS1003B!R851/1000</f>
        <v>0</v>
      </c>
      <c r="S851" s="85">
        <f>STATS1003B!S851/1000</f>
        <v>0</v>
      </c>
      <c r="T851" s="85">
        <f>STATS1003B!T851/1000</f>
        <v>0</v>
      </c>
      <c r="U851" s="85">
        <f>STATS1003B!U851/1000</f>
        <v>1953.989</v>
      </c>
      <c r="V851" s="85">
        <f>STATS1003B!V851/1000</f>
        <v>1953.989</v>
      </c>
      <c r="W851" s="85">
        <f>STATS1003B!W851/1000</f>
        <v>0</v>
      </c>
      <c r="X851" s="85">
        <f t="shared" si="108"/>
        <v>1953.989</v>
      </c>
      <c r="Y851" s="85">
        <f>STATS1003B!Y851/1000</f>
        <v>0</v>
      </c>
      <c r="Z851" s="85">
        <f t="shared" si="103"/>
        <v>0</v>
      </c>
      <c r="AA851" s="69">
        <f>STATS1003B!AA851/1000</f>
        <v>1953.989</v>
      </c>
      <c r="AB851" s="69">
        <f>STATS1003B!AB851/1000</f>
        <v>0</v>
      </c>
    </row>
    <row r="852" spans="1:28" hidden="1" x14ac:dyDescent="0.3">
      <c r="A852" s="117"/>
      <c r="C852" s="68" t="s">
        <v>535</v>
      </c>
      <c r="D852" s="145" t="s">
        <v>85</v>
      </c>
      <c r="E852" s="85">
        <f>STATS1003B!E852/1000</f>
        <v>2000</v>
      </c>
      <c r="F852" s="85">
        <f>STATS1003B!F852/1000</f>
        <v>2000</v>
      </c>
      <c r="G852" s="85">
        <f>STATS1003B!G852/1000</f>
        <v>0</v>
      </c>
      <c r="H852" s="85">
        <f>STATS1003B!H852/1000</f>
        <v>2000</v>
      </c>
      <c r="I852" s="85">
        <f>STATS1003B!I852/1000</f>
        <v>0</v>
      </c>
      <c r="J852" s="85">
        <f>STATS1003B!J852/1000</f>
        <v>2000</v>
      </c>
      <c r="K852" s="85">
        <f>STATS1003B!K852/1000</f>
        <v>0</v>
      </c>
      <c r="L852" s="85">
        <f>STATS1003B!L852/1000</f>
        <v>0</v>
      </c>
      <c r="M852" s="85">
        <f>STATS1003B!M852/1000</f>
        <v>2000</v>
      </c>
      <c r="N852" s="85">
        <f>STATS1003B!N852/1000</f>
        <v>0</v>
      </c>
      <c r="O852" s="85">
        <f>STATS1003B!O852/1000</f>
        <v>0</v>
      </c>
      <c r="P852" s="85">
        <f>STATS1003B!P852/1000</f>
        <v>0</v>
      </c>
      <c r="Q852" s="85">
        <f>STATS1003B!Q852/1000</f>
        <v>2000</v>
      </c>
      <c r="R852" s="85">
        <f>STATS1003B!R852/1000</f>
        <v>0</v>
      </c>
      <c r="S852" s="85">
        <f>STATS1003B!S852/1000</f>
        <v>0</v>
      </c>
      <c r="T852" s="85">
        <f>STATS1003B!T852/1000</f>
        <v>0</v>
      </c>
      <c r="U852" s="85">
        <f>STATS1003B!U852/1000</f>
        <v>0</v>
      </c>
      <c r="V852" s="85">
        <f>STATS1003B!V852/1000</f>
        <v>2000</v>
      </c>
      <c r="W852" s="85">
        <f>STATS1003B!W852/1000</f>
        <v>0</v>
      </c>
      <c r="X852" s="85">
        <f t="shared" si="108"/>
        <v>2000</v>
      </c>
      <c r="Y852" s="85">
        <f>STATS1003B!Y852/1000</f>
        <v>0</v>
      </c>
      <c r="Z852" s="85">
        <f t="shared" si="103"/>
        <v>0</v>
      </c>
      <c r="AA852" s="69">
        <f>STATS1003B!AA852/1000</f>
        <v>2000</v>
      </c>
      <c r="AB852" s="69">
        <f>STATS1003B!AB852/1000</f>
        <v>0</v>
      </c>
    </row>
    <row r="853" spans="1:28" hidden="1" x14ac:dyDescent="0.3">
      <c r="A853" s="117"/>
      <c r="C853" s="68" t="s">
        <v>650</v>
      </c>
      <c r="D853" s="145" t="s">
        <v>85</v>
      </c>
      <c r="E853" s="85">
        <f>STATS1003B!E853/1000</f>
        <v>188.98500000000001</v>
      </c>
      <c r="F853" s="85">
        <f>STATS1003B!F853/1000</f>
        <v>188.98500000000001</v>
      </c>
      <c r="G853" s="85">
        <f>STATS1003B!G853/1000</f>
        <v>0</v>
      </c>
      <c r="H853" s="85">
        <f>STATS1003B!H853/1000</f>
        <v>188.98500000000001</v>
      </c>
      <c r="I853" s="85">
        <f>STATS1003B!I853/1000</f>
        <v>0</v>
      </c>
      <c r="J853" s="85">
        <f>STATS1003B!J853/1000</f>
        <v>188.98500000000001</v>
      </c>
      <c r="K853" s="85">
        <f>STATS1003B!K853/1000</f>
        <v>0</v>
      </c>
      <c r="L853" s="85">
        <f>STATS1003B!L853/1000</f>
        <v>0</v>
      </c>
      <c r="M853" s="85">
        <f>STATS1003B!M853/1000</f>
        <v>188.98500000000001</v>
      </c>
      <c r="N853" s="85">
        <f>STATS1003B!N853/1000</f>
        <v>0</v>
      </c>
      <c r="O853" s="85">
        <f>STATS1003B!O853/1000</f>
        <v>0</v>
      </c>
      <c r="P853" s="85">
        <f>STATS1003B!P853/1000</f>
        <v>0</v>
      </c>
      <c r="Q853" s="85">
        <f>STATS1003B!Q853/1000</f>
        <v>188.98500000000001</v>
      </c>
      <c r="R853" s="85">
        <f>STATS1003B!R853/1000</f>
        <v>0</v>
      </c>
      <c r="S853" s="85">
        <f>STATS1003B!S853/1000</f>
        <v>0</v>
      </c>
      <c r="T853" s="85">
        <f>STATS1003B!T853/1000</f>
        <v>0</v>
      </c>
      <c r="U853" s="85">
        <f>STATS1003B!U853/1000</f>
        <v>0</v>
      </c>
      <c r="V853" s="85">
        <f>STATS1003B!V853/1000</f>
        <v>188.98500000000001</v>
      </c>
      <c r="W853" s="85">
        <f>STATS1003B!W853/1000</f>
        <v>0</v>
      </c>
      <c r="X853" s="85">
        <f t="shared" si="108"/>
        <v>188.98500000000001</v>
      </c>
      <c r="Y853" s="85">
        <f>STATS1003B!Y853/1000</f>
        <v>0</v>
      </c>
      <c r="Z853" s="85">
        <f t="shared" ref="Z853:Z916" si="111">+E853-X853</f>
        <v>0</v>
      </c>
      <c r="AA853" s="69">
        <f>STATS1003B!AA853/1000</f>
        <v>188.98500000000001</v>
      </c>
      <c r="AB853" s="69">
        <f>STATS1003B!AB853/1000</f>
        <v>0</v>
      </c>
    </row>
    <row r="854" spans="1:28" hidden="1" x14ac:dyDescent="0.3">
      <c r="A854" s="117"/>
      <c r="C854" s="68" t="s">
        <v>651</v>
      </c>
      <c r="D854" s="145" t="s">
        <v>128</v>
      </c>
      <c r="E854" s="85">
        <f>STATS1003B!E854/1000</f>
        <v>619.62400000000002</v>
      </c>
      <c r="F854" s="85">
        <f>STATS1003B!F854/1000</f>
        <v>619.62400000000002</v>
      </c>
      <c r="G854" s="85">
        <f>STATS1003B!G854/1000</f>
        <v>0</v>
      </c>
      <c r="H854" s="85">
        <f>STATS1003B!H854/1000</f>
        <v>619.62400000000002</v>
      </c>
      <c r="I854" s="85">
        <f>STATS1003B!I854/1000</f>
        <v>0</v>
      </c>
      <c r="J854" s="85">
        <f>STATS1003B!J854/1000</f>
        <v>619.62400000000002</v>
      </c>
      <c r="K854" s="85">
        <f>STATS1003B!K854/1000</f>
        <v>0</v>
      </c>
      <c r="L854" s="85">
        <f>STATS1003B!L854/1000</f>
        <v>0</v>
      </c>
      <c r="M854" s="85">
        <f>STATS1003B!M854/1000</f>
        <v>619.62400000000002</v>
      </c>
      <c r="N854" s="85">
        <f>STATS1003B!N854/1000</f>
        <v>0</v>
      </c>
      <c r="O854" s="85">
        <f>STATS1003B!O854/1000</f>
        <v>0</v>
      </c>
      <c r="P854" s="85">
        <f>STATS1003B!P854/1000</f>
        <v>0</v>
      </c>
      <c r="Q854" s="85">
        <f>STATS1003B!Q854/1000</f>
        <v>619.62400000000002</v>
      </c>
      <c r="R854" s="85">
        <f>STATS1003B!R854/1000</f>
        <v>0</v>
      </c>
      <c r="S854" s="85">
        <f>STATS1003B!S854/1000</f>
        <v>0</v>
      </c>
      <c r="T854" s="85">
        <f>STATS1003B!T854/1000</f>
        <v>0</v>
      </c>
      <c r="U854" s="85">
        <f>STATS1003B!U854/1000</f>
        <v>0</v>
      </c>
      <c r="V854" s="85">
        <f>STATS1003B!V854/1000</f>
        <v>619.62400000000002</v>
      </c>
      <c r="W854" s="85">
        <f>STATS1003B!W854/1000</f>
        <v>0</v>
      </c>
      <c r="X854" s="85">
        <f t="shared" si="108"/>
        <v>619.62400000000002</v>
      </c>
      <c r="Y854" s="85">
        <f>STATS1003B!Y854/1000</f>
        <v>0</v>
      </c>
      <c r="Z854" s="85">
        <f t="shared" si="111"/>
        <v>0</v>
      </c>
      <c r="AA854" s="69">
        <f>STATS1003B!AA854/1000</f>
        <v>619.62400000000002</v>
      </c>
      <c r="AB854" s="69">
        <f>STATS1003B!AB854/1000</f>
        <v>0</v>
      </c>
    </row>
    <row r="855" spans="1:28" hidden="1" x14ac:dyDescent="0.3">
      <c r="A855" s="117"/>
      <c r="C855" s="68" t="s">
        <v>535</v>
      </c>
      <c r="D855" s="145" t="s">
        <v>128</v>
      </c>
      <c r="E855" s="85">
        <f>STATS1003B!E855/1000</f>
        <v>3859.0639999999999</v>
      </c>
      <c r="F855" s="85">
        <f>STATS1003B!F855/1000</f>
        <v>3859.0639999999999</v>
      </c>
      <c r="G855" s="85">
        <f>STATS1003B!G855/1000</f>
        <v>0</v>
      </c>
      <c r="H855" s="85">
        <f>STATS1003B!H855/1000</f>
        <v>3859.0639999999999</v>
      </c>
      <c r="I855" s="85">
        <f>STATS1003B!I855/1000</f>
        <v>0</v>
      </c>
      <c r="J855" s="85">
        <f>STATS1003B!J855/1000</f>
        <v>3859.0639999999999</v>
      </c>
      <c r="K855" s="85">
        <f>STATS1003B!K855/1000</f>
        <v>0</v>
      </c>
      <c r="L855" s="85">
        <f>STATS1003B!L855/1000</f>
        <v>0</v>
      </c>
      <c r="M855" s="85">
        <f>STATS1003B!M855/1000</f>
        <v>3859.0639999999999</v>
      </c>
      <c r="N855" s="85">
        <f>STATS1003B!N855/1000</f>
        <v>0</v>
      </c>
      <c r="O855" s="85">
        <f>STATS1003B!O855/1000</f>
        <v>0</v>
      </c>
      <c r="P855" s="85">
        <f>STATS1003B!P855/1000</f>
        <v>0</v>
      </c>
      <c r="Q855" s="85">
        <f>STATS1003B!Q855/1000</f>
        <v>3859.0639999999999</v>
      </c>
      <c r="R855" s="85">
        <f>STATS1003B!R855/1000</f>
        <v>0</v>
      </c>
      <c r="S855" s="85">
        <f>STATS1003B!S855/1000</f>
        <v>0</v>
      </c>
      <c r="T855" s="85">
        <f>STATS1003B!T855/1000</f>
        <v>0</v>
      </c>
      <c r="U855" s="85">
        <f>STATS1003B!U855/1000</f>
        <v>0</v>
      </c>
      <c r="V855" s="85">
        <f>STATS1003B!V855/1000</f>
        <v>3859.0639999999999</v>
      </c>
      <c r="W855" s="85">
        <f>STATS1003B!W855/1000</f>
        <v>0</v>
      </c>
      <c r="X855" s="85">
        <f t="shared" si="108"/>
        <v>3859.0639999999999</v>
      </c>
      <c r="Y855" s="85">
        <f>STATS1003B!Y855/1000</f>
        <v>0</v>
      </c>
      <c r="Z855" s="85">
        <f t="shared" si="111"/>
        <v>0</v>
      </c>
      <c r="AA855" s="69">
        <f>STATS1003B!AA855/1000</f>
        <v>3859.0639999999999</v>
      </c>
      <c r="AB855" s="69">
        <f>STATS1003B!AB855/1000</f>
        <v>0</v>
      </c>
    </row>
    <row r="856" spans="1:28" hidden="1" x14ac:dyDescent="0.3">
      <c r="A856" s="117"/>
      <c r="C856" s="68" t="s">
        <v>535</v>
      </c>
      <c r="D856" s="145" t="s">
        <v>108</v>
      </c>
      <c r="E856" s="85">
        <f>STATS1003B!E856/1000</f>
        <v>7310.5309999999999</v>
      </c>
      <c r="F856" s="85">
        <f>STATS1003B!F856/1000</f>
        <v>7310.5309999999999</v>
      </c>
      <c r="G856" s="85">
        <f>STATS1003B!G856/1000</f>
        <v>0</v>
      </c>
      <c r="H856" s="85">
        <f>STATS1003B!H856/1000</f>
        <v>7310.5309999999999</v>
      </c>
      <c r="I856" s="85">
        <f>STATS1003B!I856/1000</f>
        <v>0</v>
      </c>
      <c r="J856" s="85">
        <f>STATS1003B!J856/1000</f>
        <v>7310.5309999999999</v>
      </c>
      <c r="K856" s="85">
        <f>STATS1003B!K856/1000</f>
        <v>0</v>
      </c>
      <c r="L856" s="85">
        <f>STATS1003B!L856/1000</f>
        <v>0</v>
      </c>
      <c r="M856" s="85">
        <f>STATS1003B!M856/1000</f>
        <v>7310.5309999999999</v>
      </c>
      <c r="N856" s="85">
        <f>STATS1003B!N856/1000</f>
        <v>0</v>
      </c>
      <c r="O856" s="85">
        <f>STATS1003B!O856/1000</f>
        <v>0</v>
      </c>
      <c r="P856" s="85">
        <f>STATS1003B!P856/1000</f>
        <v>0</v>
      </c>
      <c r="Q856" s="85">
        <f>STATS1003B!Q856/1000</f>
        <v>7310.5309999999999</v>
      </c>
      <c r="R856" s="85">
        <f>STATS1003B!R856/1000</f>
        <v>0</v>
      </c>
      <c r="S856" s="85">
        <f>STATS1003B!S856/1000</f>
        <v>0</v>
      </c>
      <c r="T856" s="85">
        <f>STATS1003B!T856/1000</f>
        <v>0</v>
      </c>
      <c r="U856" s="85">
        <f>STATS1003B!U856/1000</f>
        <v>0</v>
      </c>
      <c r="V856" s="85">
        <f>STATS1003B!V856/1000</f>
        <v>7310.5309999999999</v>
      </c>
      <c r="W856" s="85">
        <f>STATS1003B!W856/1000</f>
        <v>0</v>
      </c>
      <c r="X856" s="85">
        <f t="shared" si="108"/>
        <v>7310.5309999999999</v>
      </c>
      <c r="Y856" s="85">
        <f>STATS1003B!Y856/1000</f>
        <v>0</v>
      </c>
      <c r="Z856" s="85">
        <f t="shared" si="111"/>
        <v>0</v>
      </c>
      <c r="AA856" s="69">
        <f>STATS1003B!AA856/1000</f>
        <v>7310.5309999999999</v>
      </c>
      <c r="AB856" s="69">
        <f>STATS1003B!AB856/1000</f>
        <v>0</v>
      </c>
    </row>
    <row r="857" spans="1:28" hidden="1" x14ac:dyDescent="0.3">
      <c r="A857" s="117"/>
      <c r="C857" s="68" t="s">
        <v>535</v>
      </c>
      <c r="D857" s="145" t="s">
        <v>58</v>
      </c>
      <c r="E857" s="85">
        <f>STATS1003B!E857/1000</f>
        <v>10632.75</v>
      </c>
      <c r="F857" s="85">
        <f>STATS1003B!F857/1000</f>
        <v>10632.75</v>
      </c>
      <c r="G857" s="85">
        <f>STATS1003B!G857/1000</f>
        <v>0</v>
      </c>
      <c r="H857" s="85">
        <f>STATS1003B!H857/1000</f>
        <v>10632.75</v>
      </c>
      <c r="I857" s="85">
        <f>STATS1003B!I857/1000</f>
        <v>0</v>
      </c>
      <c r="J857" s="85">
        <f>STATS1003B!J857/1000</f>
        <v>10632.75</v>
      </c>
      <c r="K857" s="85">
        <f>STATS1003B!K857/1000</f>
        <v>0</v>
      </c>
      <c r="L857" s="85">
        <f>STATS1003B!L857/1000</f>
        <v>0</v>
      </c>
      <c r="M857" s="85">
        <f>STATS1003B!M857/1000</f>
        <v>10632.75</v>
      </c>
      <c r="N857" s="85">
        <f>STATS1003B!N857/1000</f>
        <v>0</v>
      </c>
      <c r="O857" s="85">
        <f>STATS1003B!O857/1000</f>
        <v>0</v>
      </c>
      <c r="P857" s="85">
        <f>STATS1003B!P857/1000</f>
        <v>0</v>
      </c>
      <c r="Q857" s="85">
        <f>STATS1003B!Q857/1000</f>
        <v>10632.75</v>
      </c>
      <c r="R857" s="85">
        <f>STATS1003B!R857/1000</f>
        <v>0</v>
      </c>
      <c r="S857" s="85">
        <f>STATS1003B!S857/1000</f>
        <v>0</v>
      </c>
      <c r="T857" s="85">
        <f>STATS1003B!T857/1000</f>
        <v>0</v>
      </c>
      <c r="U857" s="85">
        <f>STATS1003B!U857/1000</f>
        <v>0</v>
      </c>
      <c r="V857" s="85">
        <f>STATS1003B!V857/1000</f>
        <v>10632.75</v>
      </c>
      <c r="W857" s="85">
        <f>STATS1003B!W857/1000</f>
        <v>0</v>
      </c>
      <c r="X857" s="85">
        <f t="shared" si="108"/>
        <v>10632.75</v>
      </c>
      <c r="Y857" s="85">
        <f>STATS1003B!Y857/1000</f>
        <v>0</v>
      </c>
      <c r="Z857" s="85">
        <f t="shared" si="111"/>
        <v>0</v>
      </c>
      <c r="AA857" s="69">
        <f>STATS1003B!AA857/1000</f>
        <v>10632.75</v>
      </c>
      <c r="AB857" s="69">
        <f>STATS1003B!AB857/1000</f>
        <v>0</v>
      </c>
    </row>
    <row r="858" spans="1:28" hidden="1" x14ac:dyDescent="0.3">
      <c r="A858" s="117"/>
      <c r="C858" s="71" t="s">
        <v>652</v>
      </c>
      <c r="D858" s="88" t="s">
        <v>228</v>
      </c>
      <c r="E858" s="85">
        <f>STATS1003B!E858/1000</f>
        <v>313.8</v>
      </c>
      <c r="F858" s="85">
        <f>STATS1003B!F858/1000</f>
        <v>313.8</v>
      </c>
      <c r="G858" s="85">
        <f>STATS1003B!G858/1000</f>
        <v>0</v>
      </c>
      <c r="H858" s="85">
        <f>STATS1003B!H858/1000</f>
        <v>313.8</v>
      </c>
      <c r="I858" s="85">
        <f>STATS1003B!I858/1000</f>
        <v>0</v>
      </c>
      <c r="J858" s="85">
        <f>STATS1003B!J858/1000</f>
        <v>313.8</v>
      </c>
      <c r="K858" s="85">
        <f>STATS1003B!K858/1000</f>
        <v>0</v>
      </c>
      <c r="L858" s="85">
        <f>STATS1003B!L858/1000</f>
        <v>0</v>
      </c>
      <c r="M858" s="85">
        <f>STATS1003B!M858/1000</f>
        <v>313.8</v>
      </c>
      <c r="N858" s="85">
        <f>STATS1003B!N858/1000</f>
        <v>0</v>
      </c>
      <c r="O858" s="85">
        <f>STATS1003B!O858/1000</f>
        <v>0</v>
      </c>
      <c r="P858" s="85">
        <f>STATS1003B!P858/1000</f>
        <v>0</v>
      </c>
      <c r="Q858" s="85">
        <f>STATS1003B!Q858/1000</f>
        <v>313.8</v>
      </c>
      <c r="R858" s="85">
        <f>STATS1003B!R858/1000</f>
        <v>0</v>
      </c>
      <c r="S858" s="85">
        <f>STATS1003B!S858/1000</f>
        <v>0</v>
      </c>
      <c r="T858" s="85">
        <f>STATS1003B!T858/1000</f>
        <v>0</v>
      </c>
      <c r="U858" s="85">
        <f>STATS1003B!U858/1000</f>
        <v>0</v>
      </c>
      <c r="V858" s="85">
        <f>STATS1003B!V858/1000</f>
        <v>313.8</v>
      </c>
      <c r="W858" s="85">
        <f>STATS1003B!W858/1000</f>
        <v>0</v>
      </c>
      <c r="X858" s="85">
        <f t="shared" si="108"/>
        <v>313.8</v>
      </c>
      <c r="Y858" s="85">
        <f>STATS1003B!Y858/1000</f>
        <v>0</v>
      </c>
      <c r="Z858" s="85">
        <f t="shared" si="111"/>
        <v>0</v>
      </c>
      <c r="AA858" s="69">
        <f>STATS1003B!AA858/1000</f>
        <v>313.8</v>
      </c>
      <c r="AB858" s="69">
        <f>STATS1003B!AB858/1000</f>
        <v>0</v>
      </c>
    </row>
    <row r="859" spans="1:28" hidden="1" x14ac:dyDescent="0.3">
      <c r="A859" s="117"/>
      <c r="C859" s="68" t="s">
        <v>621</v>
      </c>
      <c r="D859" s="88" t="s">
        <v>73</v>
      </c>
      <c r="E859" s="85">
        <f>STATS1003B!E859/1000</f>
        <v>553</v>
      </c>
      <c r="F859" s="85">
        <f>STATS1003B!F859/1000</f>
        <v>553</v>
      </c>
      <c r="G859" s="85">
        <f>STATS1003B!G859/1000</f>
        <v>0</v>
      </c>
      <c r="H859" s="85">
        <f>STATS1003B!H859/1000</f>
        <v>553</v>
      </c>
      <c r="I859" s="85">
        <f>STATS1003B!I859/1000</f>
        <v>0</v>
      </c>
      <c r="J859" s="85">
        <f>STATS1003B!J859/1000</f>
        <v>553</v>
      </c>
      <c r="K859" s="85">
        <f>STATS1003B!K859/1000</f>
        <v>0</v>
      </c>
      <c r="L859" s="85">
        <f>STATS1003B!L859/1000</f>
        <v>0</v>
      </c>
      <c r="M859" s="85">
        <f>STATS1003B!M859/1000</f>
        <v>553</v>
      </c>
      <c r="N859" s="85">
        <f>STATS1003B!N859/1000</f>
        <v>0</v>
      </c>
      <c r="O859" s="85">
        <f>STATS1003B!O859/1000</f>
        <v>0</v>
      </c>
      <c r="P859" s="85">
        <f>STATS1003B!P859/1000</f>
        <v>0</v>
      </c>
      <c r="Q859" s="85">
        <f>STATS1003B!Q859/1000</f>
        <v>553</v>
      </c>
      <c r="R859" s="85">
        <f>STATS1003B!R859/1000</f>
        <v>0</v>
      </c>
      <c r="S859" s="85">
        <f>STATS1003B!S859/1000</f>
        <v>0</v>
      </c>
      <c r="T859" s="85">
        <f>STATS1003B!T859/1000</f>
        <v>0</v>
      </c>
      <c r="U859" s="85">
        <f>STATS1003B!U859/1000</f>
        <v>0</v>
      </c>
      <c r="V859" s="85">
        <f>STATS1003B!V859/1000</f>
        <v>553</v>
      </c>
      <c r="W859" s="85">
        <f>STATS1003B!W859/1000</f>
        <v>0</v>
      </c>
      <c r="X859" s="85">
        <f t="shared" si="108"/>
        <v>553</v>
      </c>
      <c r="Y859" s="85">
        <f>STATS1003B!Y859/1000</f>
        <v>0</v>
      </c>
      <c r="Z859" s="85">
        <f t="shared" si="111"/>
        <v>0</v>
      </c>
      <c r="AA859" s="69">
        <f>STATS1003B!AA859/1000</f>
        <v>553</v>
      </c>
      <c r="AB859" s="69">
        <f>STATS1003B!AB859/1000</f>
        <v>0</v>
      </c>
    </row>
    <row r="860" spans="1:28" hidden="1" x14ac:dyDescent="0.3">
      <c r="A860" s="117"/>
      <c r="C860" s="71" t="s">
        <v>567</v>
      </c>
      <c r="D860" s="88" t="s">
        <v>73</v>
      </c>
      <c r="E860" s="85">
        <f>STATS1003B!E860/1000</f>
        <v>463.88529</v>
      </c>
      <c r="F860" s="85">
        <f>STATS1003B!F860/1000</f>
        <v>463.88529</v>
      </c>
      <c r="G860" s="85">
        <f>STATS1003B!G860/1000</f>
        <v>0</v>
      </c>
      <c r="H860" s="85">
        <f>STATS1003B!H860/1000</f>
        <v>463.88529</v>
      </c>
      <c r="I860" s="85">
        <f>STATS1003B!I860/1000</f>
        <v>0</v>
      </c>
      <c r="J860" s="85">
        <f>STATS1003B!J860/1000</f>
        <v>463.88529</v>
      </c>
      <c r="K860" s="85">
        <f>STATS1003B!K860/1000</f>
        <v>0</v>
      </c>
      <c r="L860" s="85">
        <f>STATS1003B!L860/1000</f>
        <v>0</v>
      </c>
      <c r="M860" s="85">
        <f>STATS1003B!M860/1000</f>
        <v>463.88529</v>
      </c>
      <c r="N860" s="85">
        <f>STATS1003B!N860/1000</f>
        <v>0</v>
      </c>
      <c r="O860" s="85">
        <f>STATS1003B!O860/1000</f>
        <v>0</v>
      </c>
      <c r="P860" s="85">
        <f>STATS1003B!P860/1000</f>
        <v>0</v>
      </c>
      <c r="Q860" s="85">
        <f>STATS1003B!Q860/1000</f>
        <v>463.88529</v>
      </c>
      <c r="R860" s="85">
        <f>STATS1003B!R860/1000</f>
        <v>0</v>
      </c>
      <c r="S860" s="85">
        <f>STATS1003B!S860/1000</f>
        <v>0</v>
      </c>
      <c r="T860" s="85">
        <f>STATS1003B!T860/1000</f>
        <v>0</v>
      </c>
      <c r="U860" s="85">
        <f>STATS1003B!U860/1000</f>
        <v>0</v>
      </c>
      <c r="V860" s="85">
        <f>STATS1003B!V860/1000</f>
        <v>463.88529</v>
      </c>
      <c r="W860" s="85">
        <f>STATS1003B!W860/1000</f>
        <v>0</v>
      </c>
      <c r="X860" s="85">
        <f t="shared" si="108"/>
        <v>463.88529</v>
      </c>
      <c r="Y860" s="85">
        <f>STATS1003B!Y860/1000</f>
        <v>0</v>
      </c>
      <c r="Z860" s="85">
        <f t="shared" si="111"/>
        <v>0</v>
      </c>
      <c r="AA860" s="69">
        <f>STATS1003B!AA860/1000</f>
        <v>463.88529</v>
      </c>
      <c r="AB860" s="69">
        <f>STATS1003B!AB860/1000</f>
        <v>0</v>
      </c>
    </row>
    <row r="861" spans="1:28" hidden="1" x14ac:dyDescent="0.3">
      <c r="A861" s="117"/>
      <c r="C861" s="68" t="s">
        <v>535</v>
      </c>
      <c r="D861" s="145" t="s">
        <v>61</v>
      </c>
      <c r="E861" s="85">
        <f>STATS1003B!E861/1000</f>
        <v>1017</v>
      </c>
      <c r="F861" s="85">
        <f>STATS1003B!F861/1000</f>
        <v>1017</v>
      </c>
      <c r="G861" s="85">
        <f>STATS1003B!G861/1000</f>
        <v>0</v>
      </c>
      <c r="H861" s="85">
        <f>STATS1003B!H861/1000</f>
        <v>1017</v>
      </c>
      <c r="I861" s="85">
        <f>STATS1003B!I861/1000</f>
        <v>0</v>
      </c>
      <c r="J861" s="85">
        <f>STATS1003B!J861/1000</f>
        <v>1017</v>
      </c>
      <c r="K861" s="85">
        <f>STATS1003B!K861/1000</f>
        <v>0</v>
      </c>
      <c r="L861" s="85">
        <f>STATS1003B!L861/1000</f>
        <v>0</v>
      </c>
      <c r="M861" s="85">
        <f>STATS1003B!M861/1000</f>
        <v>1017</v>
      </c>
      <c r="N861" s="85">
        <f>STATS1003B!N861/1000</f>
        <v>0</v>
      </c>
      <c r="O861" s="85">
        <f>STATS1003B!O861/1000</f>
        <v>0</v>
      </c>
      <c r="P861" s="85">
        <f>STATS1003B!P861/1000</f>
        <v>0</v>
      </c>
      <c r="Q861" s="85">
        <f>STATS1003B!Q861/1000</f>
        <v>1017</v>
      </c>
      <c r="R861" s="85">
        <f>STATS1003B!R861/1000</f>
        <v>0</v>
      </c>
      <c r="S861" s="85">
        <f>STATS1003B!S861/1000</f>
        <v>0</v>
      </c>
      <c r="T861" s="85">
        <f>STATS1003B!T861/1000</f>
        <v>0</v>
      </c>
      <c r="U861" s="85">
        <f>STATS1003B!U861/1000</f>
        <v>0</v>
      </c>
      <c r="V861" s="85">
        <f>STATS1003B!V861/1000</f>
        <v>1017</v>
      </c>
      <c r="W861" s="85">
        <f>STATS1003B!W861/1000</f>
        <v>0</v>
      </c>
      <c r="X861" s="85">
        <f t="shared" si="108"/>
        <v>1017</v>
      </c>
      <c r="Y861" s="85">
        <f>STATS1003B!Y861/1000</f>
        <v>0</v>
      </c>
      <c r="Z861" s="85">
        <f t="shared" si="111"/>
        <v>0</v>
      </c>
      <c r="AA861" s="69">
        <f>STATS1003B!AA861/1000</f>
        <v>1017</v>
      </c>
      <c r="AB861" s="69">
        <f>STATS1003B!AB861/1000</f>
        <v>0</v>
      </c>
    </row>
    <row r="862" spans="1:28" hidden="1" x14ac:dyDescent="0.3">
      <c r="A862" s="117"/>
      <c r="C862" s="68" t="s">
        <v>621</v>
      </c>
      <c r="D862" s="88" t="s">
        <v>61</v>
      </c>
      <c r="E862" s="85">
        <f>STATS1003B!E862/1000</f>
        <v>1482.4371199999998</v>
      </c>
      <c r="F862" s="85">
        <f>STATS1003B!F862/1000</f>
        <v>1397.8066299999998</v>
      </c>
      <c r="G862" s="85">
        <f>STATS1003B!G862/1000</f>
        <v>0</v>
      </c>
      <c r="H862" s="85">
        <f>STATS1003B!H862/1000</f>
        <v>1397.8066299999998</v>
      </c>
      <c r="I862" s="85">
        <f>STATS1003B!I862/1000</f>
        <v>0</v>
      </c>
      <c r="J862" s="85">
        <f>STATS1003B!J862/1000</f>
        <v>1397.8066299999998</v>
      </c>
      <c r="K862" s="85">
        <f>STATS1003B!K862/1000</f>
        <v>0</v>
      </c>
      <c r="L862" s="85">
        <f>STATS1003B!L862/1000</f>
        <v>0</v>
      </c>
      <c r="M862" s="85">
        <f>STATS1003B!M862/1000</f>
        <v>1397.8066299999998</v>
      </c>
      <c r="N862" s="85">
        <f>STATS1003B!N862/1000</f>
        <v>0</v>
      </c>
      <c r="O862" s="85">
        <f>STATS1003B!O862/1000</f>
        <v>0</v>
      </c>
      <c r="P862" s="85">
        <f>STATS1003B!P862/1000</f>
        <v>0</v>
      </c>
      <c r="Q862" s="85">
        <f>STATS1003B!Q862/1000</f>
        <v>1482.4371199999998</v>
      </c>
      <c r="R862" s="85">
        <f>STATS1003B!R862/1000</f>
        <v>0</v>
      </c>
      <c r="S862" s="85">
        <f>STATS1003B!S862/1000</f>
        <v>0</v>
      </c>
      <c r="T862" s="85">
        <f>STATS1003B!T862/1000</f>
        <v>84.630490000000009</v>
      </c>
      <c r="U862" s="85">
        <f>STATS1003B!U862/1000</f>
        <v>84.630490000000009</v>
      </c>
      <c r="V862" s="85">
        <f>STATS1003B!V862/1000</f>
        <v>1397.8066299999998</v>
      </c>
      <c r="W862" s="85">
        <f>STATS1003B!W862/1000</f>
        <v>84.630489999999995</v>
      </c>
      <c r="X862" s="85">
        <f t="shared" si="108"/>
        <v>1397.8066299999998</v>
      </c>
      <c r="Y862" s="85">
        <f>STATS1003B!Y862/1000</f>
        <v>0</v>
      </c>
      <c r="Z862" s="85">
        <f t="shared" si="111"/>
        <v>84.630490000000009</v>
      </c>
      <c r="AA862" s="69">
        <f>STATS1003B!AA862/1000</f>
        <v>1482.4371199999998</v>
      </c>
      <c r="AB862" s="69">
        <f>STATS1003B!AB862/1000</f>
        <v>0</v>
      </c>
    </row>
    <row r="863" spans="1:28" hidden="1" x14ac:dyDescent="0.3">
      <c r="A863" s="117"/>
      <c r="C863" s="68" t="s">
        <v>1136</v>
      </c>
      <c r="D863" s="89" t="s">
        <v>1126</v>
      </c>
      <c r="E863" s="85">
        <f>STATS1003B!E863/1000</f>
        <v>300</v>
      </c>
      <c r="F863" s="85">
        <f>STATS1003B!F863/1000</f>
        <v>300</v>
      </c>
      <c r="G863" s="85">
        <f>STATS1003B!G863/1000</f>
        <v>0</v>
      </c>
      <c r="H863" s="85">
        <f>STATS1003B!H863/1000</f>
        <v>300</v>
      </c>
      <c r="I863" s="85">
        <f>STATS1003B!I863/1000</f>
        <v>0</v>
      </c>
      <c r="J863" s="85">
        <f>STATS1003B!J863/1000</f>
        <v>300</v>
      </c>
      <c r="K863" s="85">
        <f>STATS1003B!K863/1000</f>
        <v>0</v>
      </c>
      <c r="L863" s="85">
        <f>STATS1003B!L863/1000</f>
        <v>0</v>
      </c>
      <c r="M863" s="85">
        <f>STATS1003B!M863/1000</f>
        <v>300</v>
      </c>
      <c r="N863" s="85">
        <f>STATS1003B!N863/1000</f>
        <v>0</v>
      </c>
      <c r="O863" s="85">
        <f>STATS1003B!O863/1000</f>
        <v>0</v>
      </c>
      <c r="P863" s="85">
        <f>STATS1003B!P863/1000</f>
        <v>0</v>
      </c>
      <c r="Q863" s="85">
        <f>STATS1003B!Q863/1000</f>
        <v>0</v>
      </c>
      <c r="R863" s="85">
        <f>STATS1003B!R863/1000</f>
        <v>0</v>
      </c>
      <c r="S863" s="85">
        <f>STATS1003B!S863/1000</f>
        <v>0</v>
      </c>
      <c r="T863" s="85">
        <f>STATS1003B!T863/1000</f>
        <v>0</v>
      </c>
      <c r="U863" s="85">
        <f>STATS1003B!U863/1000</f>
        <v>0</v>
      </c>
      <c r="V863" s="85">
        <f>STATS1003B!V863/1000</f>
        <v>300</v>
      </c>
      <c r="W863" s="85">
        <f>STATS1003B!W863/1000</f>
        <v>0</v>
      </c>
      <c r="X863" s="85">
        <f t="shared" si="108"/>
        <v>300</v>
      </c>
      <c r="Y863" s="85">
        <f>STATS1003B!Y863/1000</f>
        <v>0</v>
      </c>
      <c r="Z863" s="85">
        <f t="shared" si="111"/>
        <v>0</v>
      </c>
      <c r="AA863" s="69">
        <f>STATS1003B!AA863/1000</f>
        <v>300</v>
      </c>
      <c r="AB863" s="69">
        <f>STATS1003B!AB863/1000</f>
        <v>0</v>
      </c>
    </row>
    <row r="864" spans="1:28" hidden="1" x14ac:dyDescent="0.3">
      <c r="A864" s="117"/>
      <c r="C864" s="68" t="s">
        <v>1170</v>
      </c>
      <c r="D864" s="89" t="s">
        <v>1126</v>
      </c>
      <c r="E864" s="85">
        <f>STATS1003B!E864/1000</f>
        <v>295.24890000000005</v>
      </c>
      <c r="F864" s="85">
        <f>STATS1003B!F864/1000</f>
        <v>295.24890000000005</v>
      </c>
      <c r="G864" s="85">
        <f>STATS1003B!G864/1000</f>
        <v>0</v>
      </c>
      <c r="H864" s="85">
        <f>STATS1003B!H864/1000</f>
        <v>295.24890000000005</v>
      </c>
      <c r="I864" s="85">
        <f>STATS1003B!I864/1000</f>
        <v>0</v>
      </c>
      <c r="J864" s="85">
        <f>STATS1003B!J864/1000</f>
        <v>295.24890000000005</v>
      </c>
      <c r="K864" s="85">
        <f>STATS1003B!K864/1000</f>
        <v>0</v>
      </c>
      <c r="L864" s="85">
        <f>STATS1003B!L864/1000</f>
        <v>0</v>
      </c>
      <c r="M864" s="85">
        <f>STATS1003B!M864/1000</f>
        <v>295.24890000000005</v>
      </c>
      <c r="N864" s="85">
        <f>STATS1003B!N864/1000</f>
        <v>0</v>
      </c>
      <c r="O864" s="85">
        <f>STATS1003B!O864/1000</f>
        <v>0</v>
      </c>
      <c r="P864" s="85">
        <f>STATS1003B!P864/1000</f>
        <v>0</v>
      </c>
      <c r="Q864" s="85">
        <f>STATS1003B!Q864/1000</f>
        <v>0</v>
      </c>
      <c r="R864" s="85">
        <f>STATS1003B!R864/1000</f>
        <v>0</v>
      </c>
      <c r="S864" s="85">
        <f>STATS1003B!S864/1000</f>
        <v>0</v>
      </c>
      <c r="T864" s="85">
        <f>STATS1003B!T864/1000</f>
        <v>0</v>
      </c>
      <c r="U864" s="85">
        <f>STATS1003B!U864/1000</f>
        <v>0</v>
      </c>
      <c r="V864" s="85">
        <f>STATS1003B!V864/1000</f>
        <v>295.24890000000005</v>
      </c>
      <c r="W864" s="85">
        <f>STATS1003B!W864/1000</f>
        <v>0</v>
      </c>
      <c r="X864" s="85">
        <f t="shared" si="108"/>
        <v>295.24890000000005</v>
      </c>
      <c r="Y864" s="85">
        <f>STATS1003B!Y864/1000</f>
        <v>0</v>
      </c>
      <c r="Z864" s="85">
        <f t="shared" si="111"/>
        <v>0</v>
      </c>
      <c r="AA864" s="69">
        <f>STATS1003B!AA864/1000</f>
        <v>295.24890000000005</v>
      </c>
      <c r="AB864" s="69">
        <f>STATS1003B!AB864/1000</f>
        <v>0</v>
      </c>
    </row>
    <row r="865" spans="1:28" hidden="1" x14ac:dyDescent="0.3">
      <c r="A865" s="117"/>
      <c r="C865" s="68" t="s">
        <v>1161</v>
      </c>
      <c r="D865" s="89" t="s">
        <v>1229</v>
      </c>
      <c r="E865" s="85">
        <f>STATS1003B!E865/1000</f>
        <v>2766.52916</v>
      </c>
      <c r="F865" s="85">
        <f>STATS1003B!F865/1000</f>
        <v>2766.52916</v>
      </c>
      <c r="G865" s="85">
        <f>STATS1003B!G865/1000</f>
        <v>0</v>
      </c>
      <c r="H865" s="85">
        <f>STATS1003B!H865/1000</f>
        <v>2766.52916</v>
      </c>
      <c r="I865" s="85">
        <f>STATS1003B!I865/1000</f>
        <v>0</v>
      </c>
      <c r="J865" s="85">
        <f>STATS1003B!J865/1000</f>
        <v>2766.52916</v>
      </c>
      <c r="K865" s="85">
        <f>STATS1003B!K865/1000</f>
        <v>0</v>
      </c>
      <c r="L865" s="85">
        <f>STATS1003B!L865/1000</f>
        <v>0</v>
      </c>
      <c r="M865" s="85">
        <f>STATS1003B!M865/1000</f>
        <v>2766.52916</v>
      </c>
      <c r="N865" s="85">
        <f>STATS1003B!N865/1000</f>
        <v>0</v>
      </c>
      <c r="O865" s="85">
        <f>STATS1003B!O865/1000</f>
        <v>0</v>
      </c>
      <c r="P865" s="85">
        <f>STATS1003B!P865/1000</f>
        <v>0</v>
      </c>
      <c r="Q865" s="85">
        <f>STATS1003B!Q865/1000</f>
        <v>0</v>
      </c>
      <c r="R865" s="85">
        <f>STATS1003B!R865/1000</f>
        <v>0</v>
      </c>
      <c r="S865" s="85">
        <f>STATS1003B!S865/1000</f>
        <v>0</v>
      </c>
      <c r="T865" s="85">
        <f>STATS1003B!T865/1000</f>
        <v>0</v>
      </c>
      <c r="U865" s="85">
        <f>STATS1003B!U865/1000</f>
        <v>0</v>
      </c>
      <c r="V865" s="85">
        <f>STATS1003B!V865/1000</f>
        <v>2766.52916</v>
      </c>
      <c r="W865" s="85">
        <f>STATS1003B!W865/1000</f>
        <v>0</v>
      </c>
      <c r="X865" s="85">
        <f t="shared" si="108"/>
        <v>2766.52916</v>
      </c>
      <c r="Y865" s="85">
        <f>STATS1003B!Y865/1000</f>
        <v>0</v>
      </c>
      <c r="Z865" s="85">
        <f t="shared" si="111"/>
        <v>0</v>
      </c>
      <c r="AA865" s="69">
        <f>STATS1003B!AA865/1000</f>
        <v>2766.52916</v>
      </c>
      <c r="AB865" s="69">
        <f>STATS1003B!AB865/1000</f>
        <v>0</v>
      </c>
    </row>
    <row r="866" spans="1:28" hidden="1" x14ac:dyDescent="0.3">
      <c r="A866" s="117"/>
      <c r="C866" s="68" t="s">
        <v>933</v>
      </c>
      <c r="D866" s="89" t="s">
        <v>1072</v>
      </c>
      <c r="E866" s="85">
        <f>STATS1003B!E866/1000</f>
        <v>1304</v>
      </c>
      <c r="F866" s="85">
        <f>STATS1003B!F866/1000</f>
        <v>1304</v>
      </c>
      <c r="G866" s="85">
        <f>STATS1003B!G866/1000</f>
        <v>0</v>
      </c>
      <c r="H866" s="85">
        <f>STATS1003B!H866/1000</f>
        <v>1304</v>
      </c>
      <c r="I866" s="85">
        <f>STATS1003B!I866/1000</f>
        <v>0</v>
      </c>
      <c r="J866" s="85">
        <f>STATS1003B!J866/1000</f>
        <v>1304</v>
      </c>
      <c r="K866" s="85">
        <f>STATS1003B!K866/1000</f>
        <v>0</v>
      </c>
      <c r="L866" s="85">
        <f>STATS1003B!L866/1000</f>
        <v>0</v>
      </c>
      <c r="M866" s="85">
        <f>STATS1003B!M866/1000</f>
        <v>1304</v>
      </c>
      <c r="N866" s="85">
        <f>STATS1003B!N866/1000</f>
        <v>0</v>
      </c>
      <c r="O866" s="85">
        <f>STATS1003B!O866/1000</f>
        <v>0</v>
      </c>
      <c r="P866" s="85">
        <f>STATS1003B!P866/1000</f>
        <v>0</v>
      </c>
      <c r="Q866" s="85">
        <f>STATS1003B!Q866/1000</f>
        <v>0</v>
      </c>
      <c r="R866" s="85">
        <f>STATS1003B!R866/1000</f>
        <v>0</v>
      </c>
      <c r="S866" s="85">
        <f>STATS1003B!S866/1000</f>
        <v>0</v>
      </c>
      <c r="T866" s="85">
        <f>STATS1003B!T866/1000</f>
        <v>0</v>
      </c>
      <c r="U866" s="85">
        <f>STATS1003B!U866/1000</f>
        <v>0</v>
      </c>
      <c r="V866" s="85">
        <f>STATS1003B!V866/1000</f>
        <v>1304</v>
      </c>
      <c r="W866" s="85">
        <f>STATS1003B!W866/1000</f>
        <v>0</v>
      </c>
      <c r="X866" s="85">
        <f t="shared" si="108"/>
        <v>1304</v>
      </c>
      <c r="Y866" s="85">
        <f>STATS1003B!Y866/1000</f>
        <v>0</v>
      </c>
      <c r="Z866" s="85">
        <f t="shared" si="111"/>
        <v>0</v>
      </c>
      <c r="AA866" s="69">
        <f>STATS1003B!AA866/1000</f>
        <v>1304</v>
      </c>
      <c r="AB866" s="69">
        <f>STATS1003B!AB866/1000</f>
        <v>0</v>
      </c>
    </row>
    <row r="867" spans="1:28" hidden="1" x14ac:dyDescent="0.3">
      <c r="A867" s="117"/>
      <c r="C867" s="68" t="s">
        <v>1236</v>
      </c>
      <c r="D867" s="89" t="s">
        <v>1225</v>
      </c>
      <c r="E867" s="85">
        <f>STATS1003B!E867/1000</f>
        <v>304.29722999999996</v>
      </c>
      <c r="F867" s="85">
        <f>STATS1003B!F867/1000</f>
        <v>304.29722999999996</v>
      </c>
      <c r="G867" s="85">
        <f>STATS1003B!G867/1000</f>
        <v>0</v>
      </c>
      <c r="H867" s="85">
        <f>STATS1003B!H867/1000</f>
        <v>304.29722999999996</v>
      </c>
      <c r="I867" s="85">
        <f>STATS1003B!I867/1000</f>
        <v>0</v>
      </c>
      <c r="J867" s="85">
        <f>STATS1003B!J867/1000</f>
        <v>304.29722999999996</v>
      </c>
      <c r="K867" s="85">
        <f>STATS1003B!K867/1000</f>
        <v>0</v>
      </c>
      <c r="L867" s="85">
        <f>STATS1003B!L867/1000</f>
        <v>0</v>
      </c>
      <c r="M867" s="85">
        <f>STATS1003B!M867/1000</f>
        <v>304.29722999999996</v>
      </c>
      <c r="N867" s="85">
        <f>STATS1003B!N867/1000</f>
        <v>0</v>
      </c>
      <c r="O867" s="85">
        <f>STATS1003B!O867/1000</f>
        <v>0</v>
      </c>
      <c r="P867" s="85">
        <f>STATS1003B!P867/1000</f>
        <v>0</v>
      </c>
      <c r="Q867" s="85">
        <f>STATS1003B!Q867/1000</f>
        <v>0</v>
      </c>
      <c r="R867" s="85">
        <f>STATS1003B!R867/1000</f>
        <v>0</v>
      </c>
      <c r="S867" s="85">
        <f>STATS1003B!S867/1000</f>
        <v>0</v>
      </c>
      <c r="T867" s="85">
        <f>STATS1003B!T867/1000</f>
        <v>0</v>
      </c>
      <c r="U867" s="85">
        <f>STATS1003B!U867/1000</f>
        <v>0</v>
      </c>
      <c r="V867" s="85">
        <f>STATS1003B!V867/1000</f>
        <v>304.29722999999996</v>
      </c>
      <c r="W867" s="85">
        <f>STATS1003B!W867/1000</f>
        <v>0</v>
      </c>
      <c r="X867" s="85">
        <f t="shared" si="108"/>
        <v>304.29722999999996</v>
      </c>
      <c r="Y867" s="85">
        <f>STATS1003B!Y867/1000</f>
        <v>0</v>
      </c>
      <c r="Z867" s="85">
        <f t="shared" si="111"/>
        <v>0</v>
      </c>
      <c r="AA867" s="69">
        <f>STATS1003B!AA867/1000</f>
        <v>304.29722999999996</v>
      </c>
      <c r="AB867" s="69">
        <f>STATS1003B!AB867/1000</f>
        <v>0</v>
      </c>
    </row>
    <row r="868" spans="1:28" hidden="1" x14ac:dyDescent="0.3">
      <c r="A868" s="117"/>
      <c r="C868" s="68" t="s">
        <v>1203</v>
      </c>
      <c r="D868" s="89" t="s">
        <v>1126</v>
      </c>
      <c r="E868" s="85">
        <f>STATS1003B!E868/1000</f>
        <v>531.97993000000008</v>
      </c>
      <c r="F868" s="85">
        <f>STATS1003B!F868/1000</f>
        <v>531.97993000000008</v>
      </c>
      <c r="G868" s="85">
        <f>STATS1003B!G868/1000</f>
        <v>0</v>
      </c>
      <c r="H868" s="85">
        <f>STATS1003B!H868/1000</f>
        <v>531.97993000000008</v>
      </c>
      <c r="I868" s="85">
        <f>STATS1003B!I868/1000</f>
        <v>0</v>
      </c>
      <c r="J868" s="85">
        <f>STATS1003B!J868/1000</f>
        <v>531.97993000000008</v>
      </c>
      <c r="K868" s="85">
        <f>STATS1003B!K868/1000</f>
        <v>0</v>
      </c>
      <c r="L868" s="85">
        <f>STATS1003B!L868/1000</f>
        <v>0</v>
      </c>
      <c r="M868" s="85">
        <f>STATS1003B!M868/1000</f>
        <v>531.97993000000008</v>
      </c>
      <c r="N868" s="85">
        <f>STATS1003B!N868/1000</f>
        <v>0</v>
      </c>
      <c r="O868" s="85">
        <f>STATS1003B!O868/1000</f>
        <v>0</v>
      </c>
      <c r="P868" s="85">
        <f>STATS1003B!P868/1000</f>
        <v>0</v>
      </c>
      <c r="Q868" s="85">
        <f>STATS1003B!Q868/1000</f>
        <v>0</v>
      </c>
      <c r="R868" s="85">
        <f>STATS1003B!R868/1000</f>
        <v>0</v>
      </c>
      <c r="S868" s="85">
        <f>STATS1003B!S868/1000</f>
        <v>0</v>
      </c>
      <c r="T868" s="85">
        <f>STATS1003B!T868/1000</f>
        <v>0</v>
      </c>
      <c r="U868" s="85">
        <f>STATS1003B!U868/1000</f>
        <v>0</v>
      </c>
      <c r="V868" s="85">
        <f>STATS1003B!V868/1000</f>
        <v>531.97993000000008</v>
      </c>
      <c r="W868" s="85">
        <f>STATS1003B!W868/1000</f>
        <v>0</v>
      </c>
      <c r="X868" s="85">
        <f t="shared" si="108"/>
        <v>531.97993000000008</v>
      </c>
      <c r="Y868" s="85">
        <f>STATS1003B!Y868/1000</f>
        <v>0</v>
      </c>
      <c r="Z868" s="85">
        <f t="shared" si="111"/>
        <v>0</v>
      </c>
      <c r="AA868" s="69">
        <f>STATS1003B!AA868/1000</f>
        <v>531.97993000000008</v>
      </c>
      <c r="AB868" s="69">
        <f>STATS1003B!AB868/1000</f>
        <v>0</v>
      </c>
    </row>
    <row r="869" spans="1:28" hidden="1" x14ac:dyDescent="0.3">
      <c r="A869" s="117"/>
      <c r="C869" s="68" t="s">
        <v>1228</v>
      </c>
      <c r="D869" s="89" t="s">
        <v>1225</v>
      </c>
      <c r="E869" s="85">
        <f>STATS1003B!E869/1000</f>
        <v>400</v>
      </c>
      <c r="F869" s="85">
        <f>STATS1003B!F869/1000</f>
        <v>400</v>
      </c>
      <c r="G869" s="85">
        <f>STATS1003B!G869/1000</f>
        <v>0</v>
      </c>
      <c r="H869" s="85">
        <f>STATS1003B!H869/1000</f>
        <v>400</v>
      </c>
      <c r="I869" s="85">
        <f>STATS1003B!I869/1000</f>
        <v>0</v>
      </c>
      <c r="J869" s="85">
        <f>STATS1003B!J869/1000</f>
        <v>400</v>
      </c>
      <c r="K869" s="85">
        <f>STATS1003B!K869/1000</f>
        <v>0</v>
      </c>
      <c r="L869" s="85">
        <f>STATS1003B!L869/1000</f>
        <v>0</v>
      </c>
      <c r="M869" s="85">
        <f>STATS1003B!M869/1000</f>
        <v>400</v>
      </c>
      <c r="N869" s="85">
        <f>STATS1003B!N869/1000</f>
        <v>0</v>
      </c>
      <c r="O869" s="85">
        <f>STATS1003B!O869/1000</f>
        <v>0</v>
      </c>
      <c r="P869" s="85">
        <f>STATS1003B!P869/1000</f>
        <v>0</v>
      </c>
      <c r="Q869" s="85">
        <f>STATS1003B!Q869/1000</f>
        <v>0</v>
      </c>
      <c r="R869" s="85">
        <f>STATS1003B!R869/1000</f>
        <v>0</v>
      </c>
      <c r="S869" s="85">
        <f>STATS1003B!S869/1000</f>
        <v>0</v>
      </c>
      <c r="T869" s="85">
        <f>STATS1003B!T869/1000</f>
        <v>0</v>
      </c>
      <c r="U869" s="85">
        <f>STATS1003B!U869/1000</f>
        <v>0</v>
      </c>
      <c r="V869" s="85">
        <f>STATS1003B!V869/1000</f>
        <v>400</v>
      </c>
      <c r="W869" s="85">
        <f>STATS1003B!W869/1000</f>
        <v>0</v>
      </c>
      <c r="X869" s="85">
        <f t="shared" si="108"/>
        <v>400</v>
      </c>
      <c r="Y869" s="85">
        <f>STATS1003B!Y869/1000</f>
        <v>0</v>
      </c>
      <c r="Z869" s="85">
        <f t="shared" si="111"/>
        <v>0</v>
      </c>
      <c r="AA869" s="69">
        <f>STATS1003B!AA869/1000</f>
        <v>400</v>
      </c>
      <c r="AB869" s="69">
        <f>STATS1003B!AB869/1000</f>
        <v>0</v>
      </c>
    </row>
    <row r="870" spans="1:28" hidden="1" x14ac:dyDescent="0.3">
      <c r="A870" s="117"/>
      <c r="C870" s="68" t="s">
        <v>550</v>
      </c>
      <c r="E870" s="85">
        <f>STATS1003B!E870/1000</f>
        <v>1411.241</v>
      </c>
      <c r="F870" s="85">
        <f>STATS1003B!F870/1000</f>
        <v>1411.241</v>
      </c>
      <c r="G870" s="85">
        <f>STATS1003B!G870/1000</f>
        <v>0</v>
      </c>
      <c r="H870" s="85">
        <f>STATS1003B!H870/1000</f>
        <v>1411.241</v>
      </c>
      <c r="I870" s="85">
        <f>STATS1003B!I870/1000</f>
        <v>0</v>
      </c>
      <c r="J870" s="85">
        <f>STATS1003B!J870/1000</f>
        <v>1411.241</v>
      </c>
      <c r="K870" s="85">
        <f>STATS1003B!K870/1000</f>
        <v>0</v>
      </c>
      <c r="L870" s="85">
        <f>STATS1003B!L870/1000</f>
        <v>0</v>
      </c>
      <c r="M870" s="85">
        <f>STATS1003B!M870/1000</f>
        <v>1411.241</v>
      </c>
      <c r="N870" s="85">
        <f>STATS1003B!N870/1000</f>
        <v>0</v>
      </c>
      <c r="O870" s="85">
        <f>STATS1003B!O870/1000</f>
        <v>0</v>
      </c>
      <c r="P870" s="85">
        <f>STATS1003B!P870/1000</f>
        <v>0</v>
      </c>
      <c r="Q870" s="85">
        <f>STATS1003B!Q870/1000</f>
        <v>1411.241</v>
      </c>
      <c r="R870" s="85">
        <f>STATS1003B!R870/1000</f>
        <v>0</v>
      </c>
      <c r="S870" s="85">
        <f>STATS1003B!S870/1000</f>
        <v>0</v>
      </c>
      <c r="T870" s="85">
        <f>STATS1003B!T870/1000</f>
        <v>0</v>
      </c>
      <c r="U870" s="85">
        <f>STATS1003B!U870/1000</f>
        <v>0</v>
      </c>
      <c r="V870" s="85">
        <f>STATS1003B!V870/1000</f>
        <v>1411.241</v>
      </c>
      <c r="W870" s="85">
        <f>STATS1003B!W870/1000</f>
        <v>0</v>
      </c>
      <c r="X870" s="85">
        <f t="shared" si="108"/>
        <v>1411.241</v>
      </c>
      <c r="Y870" s="85">
        <f>STATS1003B!Y870/1000</f>
        <v>0</v>
      </c>
      <c r="Z870" s="85">
        <f t="shared" si="111"/>
        <v>0</v>
      </c>
      <c r="AA870" s="69">
        <f>STATS1003B!AA870/1000</f>
        <v>1411.241</v>
      </c>
      <c r="AB870" s="69">
        <f>STATS1003B!AB870/1000</f>
        <v>0</v>
      </c>
    </row>
    <row r="871" spans="1:28" hidden="1" x14ac:dyDescent="0.3">
      <c r="A871" s="117"/>
      <c r="E871" s="86" t="s">
        <v>29</v>
      </c>
      <c r="F871" s="86" t="s">
        <v>29</v>
      </c>
      <c r="G871" s="86" t="s">
        <v>29</v>
      </c>
      <c r="H871" s="86" t="s">
        <v>29</v>
      </c>
      <c r="I871" s="86" t="s">
        <v>29</v>
      </c>
      <c r="J871" s="86" t="s">
        <v>29</v>
      </c>
      <c r="K871" s="86" t="s">
        <v>29</v>
      </c>
      <c r="L871" s="86" t="s">
        <v>29</v>
      </c>
      <c r="M871" s="86" t="s">
        <v>29</v>
      </c>
      <c r="N871" s="86" t="s">
        <v>29</v>
      </c>
      <c r="O871" s="86" t="s">
        <v>29</v>
      </c>
      <c r="P871" s="86" t="s">
        <v>29</v>
      </c>
      <c r="Q871" s="86" t="s">
        <v>29</v>
      </c>
      <c r="R871" s="86" t="s">
        <v>29</v>
      </c>
      <c r="S871" s="86" t="s">
        <v>29</v>
      </c>
      <c r="T871" s="86" t="s">
        <v>29</v>
      </c>
      <c r="U871" s="86" t="s">
        <v>29</v>
      </c>
      <c r="V871" s="86" t="s">
        <v>29</v>
      </c>
      <c r="W871" s="86" t="s">
        <v>29</v>
      </c>
      <c r="X871" s="85" t="e">
        <f t="shared" si="108"/>
        <v>#VALUE!</v>
      </c>
      <c r="Y871" s="86" t="s">
        <v>29</v>
      </c>
      <c r="Z871" s="85" t="e">
        <f t="shared" si="111"/>
        <v>#VALUE!</v>
      </c>
      <c r="AA871" s="115" t="s">
        <v>29</v>
      </c>
      <c r="AB871" s="115" t="s">
        <v>29</v>
      </c>
    </row>
    <row r="872" spans="1:28" x14ac:dyDescent="0.3">
      <c r="A872" s="116">
        <v>41</v>
      </c>
      <c r="B872" s="68" t="s">
        <v>647</v>
      </c>
      <c r="E872" s="85">
        <f>311922119.49/1000</f>
        <v>311922.11949000001</v>
      </c>
      <c r="F872" s="85">
        <f t="shared" ref="F872:Q872" si="112">SUM(F847:F871)</f>
        <v>37392.230029999999</v>
      </c>
      <c r="G872" s="85">
        <f t="shared" si="112"/>
        <v>0</v>
      </c>
      <c r="H872" s="85">
        <f>305437795.66/1000</f>
        <v>305437.79566</v>
      </c>
      <c r="I872" s="85">
        <f t="shared" si="112"/>
        <v>0</v>
      </c>
      <c r="J872" s="85">
        <f t="shared" si="112"/>
        <v>37392.230029999999</v>
      </c>
      <c r="K872" s="85">
        <f t="shared" si="112"/>
        <v>6399.6933399999998</v>
      </c>
      <c r="L872" s="85">
        <f t="shared" si="112"/>
        <v>0</v>
      </c>
      <c r="M872" s="85">
        <f t="shared" si="112"/>
        <v>37392.230029999999</v>
      </c>
      <c r="N872" s="85">
        <f t="shared" si="112"/>
        <v>6399.6933399999998</v>
      </c>
      <c r="O872" s="85">
        <f t="shared" si="112"/>
        <v>0</v>
      </c>
      <c r="P872" s="85">
        <f>6399693/1000</f>
        <v>6399.6930000000002</v>
      </c>
      <c r="Q872" s="85">
        <f t="shared" si="112"/>
        <v>31574.8053</v>
      </c>
      <c r="R872" s="86"/>
      <c r="S872" s="86"/>
      <c r="T872" s="85">
        <f t="shared" ref="T872:Y872" si="113">SUM(T847:T871)</f>
        <v>84.630490000000009</v>
      </c>
      <c r="U872" s="85">
        <f t="shared" si="113"/>
        <v>6484.3238299999994</v>
      </c>
      <c r="V872" s="85">
        <f t="shared" si="113"/>
        <v>43791.923369999997</v>
      </c>
      <c r="W872" s="85">
        <f t="shared" si="113"/>
        <v>84.630489999999995</v>
      </c>
      <c r="X872" s="85">
        <f>+H872+P872</f>
        <v>311837.48866000003</v>
      </c>
      <c r="Y872" s="85">
        <f t="shared" si="113"/>
        <v>0</v>
      </c>
      <c r="Z872" s="85">
        <f t="shared" si="111"/>
        <v>84.630829999980051</v>
      </c>
      <c r="AA872" s="69">
        <f>SUM(AA847:AA871)</f>
        <v>43876.55386</v>
      </c>
      <c r="AB872" s="69">
        <f>SUM(AB847:AB871)</f>
        <v>0</v>
      </c>
    </row>
    <row r="873" spans="1:28" hidden="1" x14ac:dyDescent="0.3">
      <c r="A873" s="117"/>
      <c r="E873" s="86" t="s">
        <v>29</v>
      </c>
      <c r="F873" s="86" t="s">
        <v>29</v>
      </c>
      <c r="G873" s="86" t="s">
        <v>29</v>
      </c>
      <c r="H873" s="86" t="s">
        <v>29</v>
      </c>
      <c r="I873" s="86" t="s">
        <v>29</v>
      </c>
      <c r="J873" s="86" t="s">
        <v>29</v>
      </c>
      <c r="K873" s="86" t="s">
        <v>29</v>
      </c>
      <c r="L873" s="86" t="s">
        <v>29</v>
      </c>
      <c r="M873" s="86" t="s">
        <v>29</v>
      </c>
      <c r="N873" s="86" t="s">
        <v>29</v>
      </c>
      <c r="O873" s="86" t="s">
        <v>29</v>
      </c>
      <c r="P873" s="86" t="s">
        <v>29</v>
      </c>
      <c r="Q873" s="86" t="s">
        <v>29</v>
      </c>
      <c r="R873" s="86" t="s">
        <v>29</v>
      </c>
      <c r="S873" s="86" t="s">
        <v>29</v>
      </c>
      <c r="T873" s="86" t="s">
        <v>29</v>
      </c>
      <c r="U873" s="86" t="s">
        <v>29</v>
      </c>
      <c r="V873" s="86" t="s">
        <v>29</v>
      </c>
      <c r="W873" s="86" t="s">
        <v>29</v>
      </c>
      <c r="X873" s="85" t="e">
        <f t="shared" si="108"/>
        <v>#VALUE!</v>
      </c>
      <c r="Y873" s="86" t="s">
        <v>29</v>
      </c>
      <c r="Z873" s="85" t="e">
        <f t="shared" si="111"/>
        <v>#VALUE!</v>
      </c>
      <c r="AA873" s="115" t="s">
        <v>29</v>
      </c>
      <c r="AB873" s="115" t="s">
        <v>29</v>
      </c>
    </row>
    <row r="874" spans="1:28" hidden="1" x14ac:dyDescent="0.3">
      <c r="A874" s="105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6"/>
      <c r="S874" s="86"/>
      <c r="T874" s="86"/>
      <c r="U874" s="86"/>
      <c r="V874" s="86"/>
      <c r="W874" s="86"/>
      <c r="X874" s="85">
        <f t="shared" si="108"/>
        <v>0</v>
      </c>
      <c r="Y874" s="86"/>
      <c r="Z874" s="85">
        <f t="shared" si="111"/>
        <v>0</v>
      </c>
      <c r="AA874" s="118"/>
    </row>
    <row r="875" spans="1:28" hidden="1" x14ac:dyDescent="0.3">
      <c r="A875" s="117"/>
      <c r="C875" s="68" t="s">
        <v>539</v>
      </c>
      <c r="D875" s="145" t="s">
        <v>68</v>
      </c>
      <c r="E875" s="85">
        <f>STATS1003B!E875/1000</f>
        <v>1745.7574999999999</v>
      </c>
      <c r="F875" s="85">
        <f>STATS1003B!F875/1000</f>
        <v>0</v>
      </c>
      <c r="G875" s="85">
        <f>STATS1003B!G875/1000</f>
        <v>0</v>
      </c>
      <c r="H875" s="85">
        <f>STATS1003B!H875/1000</f>
        <v>0</v>
      </c>
      <c r="I875" s="85">
        <f>STATS1003B!I875/1000</f>
        <v>0</v>
      </c>
      <c r="J875" s="85">
        <f>STATS1003B!J875/1000</f>
        <v>0</v>
      </c>
      <c r="K875" s="85">
        <f>STATS1003B!K875/1000</f>
        <v>1745.7574999999999</v>
      </c>
      <c r="L875" s="85">
        <f>STATS1003B!L875/1000</f>
        <v>0</v>
      </c>
      <c r="M875" s="85">
        <f>STATS1003B!M875/1000</f>
        <v>0</v>
      </c>
      <c r="N875" s="85">
        <f>STATS1003B!N875/1000</f>
        <v>1745.7574999999999</v>
      </c>
      <c r="O875" s="85">
        <f>STATS1003B!O875/1000</f>
        <v>0</v>
      </c>
      <c r="P875" s="85">
        <f>STATS1003B!P875/1000</f>
        <v>1745.7574999999999</v>
      </c>
      <c r="Q875" s="85">
        <f>STATS1003B!Q875/1000</f>
        <v>0</v>
      </c>
      <c r="R875" s="85">
        <f>STATS1003B!R875/1000</f>
        <v>0</v>
      </c>
      <c r="S875" s="85">
        <f>STATS1003B!S875/1000</f>
        <v>0</v>
      </c>
      <c r="T875" s="85">
        <f>STATS1003B!T875/1000</f>
        <v>0</v>
      </c>
      <c r="U875" s="85">
        <f>STATS1003B!U875/1000</f>
        <v>1745.7574999999999</v>
      </c>
      <c r="V875" s="85">
        <f>STATS1003B!V875/1000</f>
        <v>1745.7574999999999</v>
      </c>
      <c r="W875" s="85">
        <f>STATS1003B!W875/1000</f>
        <v>0</v>
      </c>
      <c r="X875" s="85">
        <f t="shared" si="108"/>
        <v>1745.7574999999999</v>
      </c>
      <c r="Y875" s="85">
        <f>STATS1003B!Y875/1000</f>
        <v>0</v>
      </c>
      <c r="Z875" s="85">
        <f t="shared" si="111"/>
        <v>0</v>
      </c>
      <c r="AA875" s="69">
        <f>STATS1003B!AA875/1000</f>
        <v>1745.7574999999999</v>
      </c>
      <c r="AB875" s="69">
        <f>STATS1003B!AB875/1000</f>
        <v>0</v>
      </c>
    </row>
    <row r="876" spans="1:28" hidden="1" x14ac:dyDescent="0.3">
      <c r="A876" s="117"/>
      <c r="C876" s="68" t="s">
        <v>535</v>
      </c>
      <c r="D876" s="145" t="s">
        <v>68</v>
      </c>
      <c r="E876" s="85">
        <f>STATS1003B!E876/1000</f>
        <v>634</v>
      </c>
      <c r="F876" s="85">
        <f>STATS1003B!F876/1000</f>
        <v>634</v>
      </c>
      <c r="G876" s="85">
        <f>STATS1003B!G876/1000</f>
        <v>0</v>
      </c>
      <c r="H876" s="85">
        <f>STATS1003B!H876/1000</f>
        <v>634</v>
      </c>
      <c r="I876" s="85">
        <f>STATS1003B!I876/1000</f>
        <v>0</v>
      </c>
      <c r="J876" s="85">
        <f>STATS1003B!J876/1000</f>
        <v>634</v>
      </c>
      <c r="K876" s="85">
        <f>STATS1003B!K876/1000</f>
        <v>0</v>
      </c>
      <c r="L876" s="85">
        <f>STATS1003B!L876/1000</f>
        <v>0</v>
      </c>
      <c r="M876" s="85">
        <f>STATS1003B!M876/1000</f>
        <v>634</v>
      </c>
      <c r="N876" s="85">
        <f>STATS1003B!N876/1000</f>
        <v>0</v>
      </c>
      <c r="O876" s="85">
        <f>STATS1003B!O876/1000</f>
        <v>0</v>
      </c>
      <c r="P876" s="85">
        <f>STATS1003B!P876/1000</f>
        <v>0</v>
      </c>
      <c r="Q876" s="85">
        <f>STATS1003B!Q876/1000</f>
        <v>634</v>
      </c>
      <c r="R876" s="85">
        <f>STATS1003B!R876/1000</f>
        <v>0</v>
      </c>
      <c r="S876" s="85">
        <f>STATS1003B!S876/1000</f>
        <v>0</v>
      </c>
      <c r="T876" s="85">
        <f>STATS1003B!T876/1000</f>
        <v>0</v>
      </c>
      <c r="U876" s="85">
        <f>STATS1003B!U876/1000</f>
        <v>0</v>
      </c>
      <c r="V876" s="85">
        <f>STATS1003B!V876/1000</f>
        <v>634</v>
      </c>
      <c r="W876" s="85">
        <f>STATS1003B!W876/1000</f>
        <v>0</v>
      </c>
      <c r="X876" s="85">
        <f t="shared" si="108"/>
        <v>634</v>
      </c>
      <c r="Y876" s="85">
        <f>STATS1003B!Y876/1000</f>
        <v>0</v>
      </c>
      <c r="Z876" s="85">
        <f t="shared" si="111"/>
        <v>0</v>
      </c>
      <c r="AA876" s="69">
        <f>STATS1003B!AA876/1000</f>
        <v>634</v>
      </c>
      <c r="AB876" s="69">
        <f>STATS1003B!AB876/1000</f>
        <v>0</v>
      </c>
    </row>
    <row r="877" spans="1:28" hidden="1" x14ac:dyDescent="0.3">
      <c r="A877" s="117"/>
      <c r="C877" s="68" t="s">
        <v>535</v>
      </c>
      <c r="D877" s="145" t="s">
        <v>54</v>
      </c>
      <c r="E877" s="85">
        <f>STATS1003B!E877/1000</f>
        <v>298</v>
      </c>
      <c r="F877" s="85">
        <f>STATS1003B!F877/1000</f>
        <v>298</v>
      </c>
      <c r="G877" s="85">
        <f>STATS1003B!G877/1000</f>
        <v>0</v>
      </c>
      <c r="H877" s="85">
        <f>STATS1003B!H877/1000</f>
        <v>298</v>
      </c>
      <c r="I877" s="85">
        <f>STATS1003B!I877/1000</f>
        <v>0</v>
      </c>
      <c r="J877" s="85">
        <f>STATS1003B!J877/1000</f>
        <v>298</v>
      </c>
      <c r="K877" s="85">
        <f>STATS1003B!K877/1000</f>
        <v>0</v>
      </c>
      <c r="L877" s="85">
        <f>STATS1003B!L877/1000</f>
        <v>0</v>
      </c>
      <c r="M877" s="85">
        <f>STATS1003B!M877/1000</f>
        <v>298</v>
      </c>
      <c r="N877" s="85">
        <f>STATS1003B!N877/1000</f>
        <v>0</v>
      </c>
      <c r="O877" s="85">
        <f>STATS1003B!O877/1000</f>
        <v>0</v>
      </c>
      <c r="P877" s="85">
        <f>STATS1003B!P877/1000</f>
        <v>0</v>
      </c>
      <c r="Q877" s="85">
        <f>STATS1003B!Q877/1000</f>
        <v>298</v>
      </c>
      <c r="R877" s="85">
        <f>STATS1003B!R877/1000</f>
        <v>0</v>
      </c>
      <c r="S877" s="85">
        <f>STATS1003B!S877/1000</f>
        <v>0</v>
      </c>
      <c r="T877" s="85">
        <f>STATS1003B!T877/1000</f>
        <v>0</v>
      </c>
      <c r="U877" s="85">
        <f>STATS1003B!U877/1000</f>
        <v>0</v>
      </c>
      <c r="V877" s="85">
        <f>STATS1003B!V877/1000</f>
        <v>298</v>
      </c>
      <c r="W877" s="85">
        <f>STATS1003B!W877/1000</f>
        <v>0</v>
      </c>
      <c r="X877" s="85">
        <f t="shared" si="108"/>
        <v>298</v>
      </c>
      <c r="Y877" s="85">
        <f>STATS1003B!Y877/1000</f>
        <v>0</v>
      </c>
      <c r="Z877" s="85">
        <f t="shared" si="111"/>
        <v>0</v>
      </c>
      <c r="AA877" s="69">
        <f>STATS1003B!AA877/1000</f>
        <v>298</v>
      </c>
      <c r="AB877" s="69">
        <f>STATS1003B!AB877/1000</f>
        <v>0</v>
      </c>
    </row>
    <row r="878" spans="1:28" hidden="1" x14ac:dyDescent="0.3">
      <c r="A878" s="117"/>
      <c r="C878" s="68" t="s">
        <v>654</v>
      </c>
      <c r="D878" s="145" t="s">
        <v>54</v>
      </c>
      <c r="E878" s="85">
        <f>STATS1003B!E878/1000</f>
        <v>3886.326</v>
      </c>
      <c r="F878" s="85">
        <f>STATS1003B!F878/1000</f>
        <v>3886.326</v>
      </c>
      <c r="G878" s="85">
        <f>STATS1003B!G878/1000</f>
        <v>0</v>
      </c>
      <c r="H878" s="85">
        <f>STATS1003B!H878/1000</f>
        <v>3886.326</v>
      </c>
      <c r="I878" s="85">
        <f>STATS1003B!I878/1000</f>
        <v>0</v>
      </c>
      <c r="J878" s="85">
        <f>STATS1003B!J878/1000</f>
        <v>3886.326</v>
      </c>
      <c r="K878" s="85">
        <f>STATS1003B!K878/1000</f>
        <v>0</v>
      </c>
      <c r="L878" s="85">
        <f>STATS1003B!L878/1000</f>
        <v>0</v>
      </c>
      <c r="M878" s="85">
        <f>STATS1003B!M878/1000</f>
        <v>3886.326</v>
      </c>
      <c r="N878" s="85">
        <f>STATS1003B!N878/1000</f>
        <v>0</v>
      </c>
      <c r="O878" s="85">
        <f>STATS1003B!O878/1000</f>
        <v>0</v>
      </c>
      <c r="P878" s="85">
        <f>STATS1003B!P878/1000</f>
        <v>0</v>
      </c>
      <c r="Q878" s="85">
        <f>STATS1003B!Q878/1000</f>
        <v>3886.326</v>
      </c>
      <c r="R878" s="85">
        <f>STATS1003B!R878/1000</f>
        <v>0</v>
      </c>
      <c r="S878" s="85">
        <f>STATS1003B!S878/1000</f>
        <v>0</v>
      </c>
      <c r="T878" s="85">
        <f>STATS1003B!T878/1000</f>
        <v>0</v>
      </c>
      <c r="U878" s="85">
        <f>STATS1003B!U878/1000</f>
        <v>0</v>
      </c>
      <c r="V878" s="85">
        <f>STATS1003B!V878/1000</f>
        <v>3886.326</v>
      </c>
      <c r="W878" s="85">
        <f>STATS1003B!W878/1000</f>
        <v>0</v>
      </c>
      <c r="X878" s="85">
        <f t="shared" si="108"/>
        <v>3886.326</v>
      </c>
      <c r="Y878" s="85">
        <f>STATS1003B!Y878/1000</f>
        <v>0</v>
      </c>
      <c r="Z878" s="85">
        <f t="shared" si="111"/>
        <v>0</v>
      </c>
      <c r="AA878" s="69">
        <f>STATS1003B!AA878/1000</f>
        <v>3886.326</v>
      </c>
      <c r="AB878" s="69">
        <f>STATS1003B!AB878/1000</f>
        <v>0</v>
      </c>
    </row>
    <row r="879" spans="1:28" hidden="1" x14ac:dyDescent="0.3">
      <c r="A879" s="117"/>
      <c r="C879" s="68" t="s">
        <v>545</v>
      </c>
      <c r="D879" s="145" t="s">
        <v>54</v>
      </c>
      <c r="E879" s="85">
        <f>STATS1003B!E879/1000</f>
        <v>2306.1060000000002</v>
      </c>
      <c r="F879" s="85">
        <f>STATS1003B!F879/1000</f>
        <v>0</v>
      </c>
      <c r="G879" s="85">
        <f>STATS1003B!G879/1000</f>
        <v>0</v>
      </c>
      <c r="H879" s="85">
        <f>STATS1003B!H879/1000</f>
        <v>0</v>
      </c>
      <c r="I879" s="85">
        <f>STATS1003B!I879/1000</f>
        <v>0</v>
      </c>
      <c r="J879" s="85">
        <f>STATS1003B!J879/1000</f>
        <v>0</v>
      </c>
      <c r="K879" s="85">
        <f>STATS1003B!K879/1000</f>
        <v>2306.1060000000002</v>
      </c>
      <c r="L879" s="85">
        <f>STATS1003B!L879/1000</f>
        <v>0</v>
      </c>
      <c r="M879" s="85">
        <f>STATS1003B!M879/1000</f>
        <v>0</v>
      </c>
      <c r="N879" s="85">
        <f>STATS1003B!N879/1000</f>
        <v>2306.1060000000002</v>
      </c>
      <c r="O879" s="85">
        <f>STATS1003B!O879/1000</f>
        <v>0</v>
      </c>
      <c r="P879" s="85">
        <f>STATS1003B!P879/1000</f>
        <v>2306.1060000000002</v>
      </c>
      <c r="Q879" s="85">
        <f>STATS1003B!Q879/1000</f>
        <v>0</v>
      </c>
      <c r="R879" s="85">
        <f>STATS1003B!R879/1000</f>
        <v>0</v>
      </c>
      <c r="S879" s="85">
        <f>STATS1003B!S879/1000</f>
        <v>0</v>
      </c>
      <c r="T879" s="85">
        <f>STATS1003B!T879/1000</f>
        <v>0</v>
      </c>
      <c r="U879" s="85">
        <f>STATS1003B!U879/1000</f>
        <v>2306.1060000000002</v>
      </c>
      <c r="V879" s="85">
        <f>STATS1003B!V879/1000</f>
        <v>2306.1060000000002</v>
      </c>
      <c r="W879" s="85">
        <f>STATS1003B!W879/1000</f>
        <v>0</v>
      </c>
      <c r="X879" s="85">
        <f t="shared" si="108"/>
        <v>2306.1060000000002</v>
      </c>
      <c r="Y879" s="85">
        <f>STATS1003B!Y879/1000</f>
        <v>0</v>
      </c>
      <c r="Z879" s="85">
        <f t="shared" si="111"/>
        <v>0</v>
      </c>
      <c r="AA879" s="69">
        <f>STATS1003B!AA879/1000</f>
        <v>2306.1060000000002</v>
      </c>
      <c r="AB879" s="69">
        <f>STATS1003B!AB879/1000</f>
        <v>0</v>
      </c>
    </row>
    <row r="880" spans="1:28" hidden="1" x14ac:dyDescent="0.3">
      <c r="A880" s="117"/>
      <c r="C880" s="68" t="s">
        <v>655</v>
      </c>
      <c r="D880" s="145" t="s">
        <v>54</v>
      </c>
      <c r="E880" s="85">
        <f>STATS1003B!E880/1000</f>
        <v>955.34561999999994</v>
      </c>
      <c r="F880" s="85">
        <f>STATS1003B!F880/1000</f>
        <v>0</v>
      </c>
      <c r="G880" s="85">
        <f>STATS1003B!G880/1000</f>
        <v>0</v>
      </c>
      <c r="H880" s="85">
        <f>STATS1003B!H880/1000</f>
        <v>0</v>
      </c>
      <c r="I880" s="85">
        <f>STATS1003B!I880/1000</f>
        <v>0</v>
      </c>
      <c r="J880" s="85">
        <f>STATS1003B!J880/1000</f>
        <v>0</v>
      </c>
      <c r="K880" s="85">
        <f>STATS1003B!K880/1000</f>
        <v>955.34561999999994</v>
      </c>
      <c r="L880" s="85">
        <f>STATS1003B!L880/1000</f>
        <v>0</v>
      </c>
      <c r="M880" s="85">
        <f>STATS1003B!M880/1000</f>
        <v>0</v>
      </c>
      <c r="N880" s="85">
        <f>STATS1003B!N880/1000</f>
        <v>955.34561999999994</v>
      </c>
      <c r="O880" s="85">
        <f>STATS1003B!O880/1000</f>
        <v>0</v>
      </c>
      <c r="P880" s="85">
        <f>STATS1003B!P880/1000</f>
        <v>955.34561999999994</v>
      </c>
      <c r="Q880" s="85">
        <f>STATS1003B!Q880/1000</f>
        <v>0</v>
      </c>
      <c r="R880" s="85">
        <f>STATS1003B!R880/1000</f>
        <v>0</v>
      </c>
      <c r="S880" s="85">
        <f>STATS1003B!S880/1000</f>
        <v>0</v>
      </c>
      <c r="T880" s="85">
        <f>STATS1003B!T880/1000</f>
        <v>0</v>
      </c>
      <c r="U880" s="85">
        <f>STATS1003B!U880/1000</f>
        <v>955.34561999999994</v>
      </c>
      <c r="V880" s="85">
        <f>STATS1003B!V880/1000</f>
        <v>955.34561999999994</v>
      </c>
      <c r="W880" s="85">
        <f>STATS1003B!W880/1000</f>
        <v>0</v>
      </c>
      <c r="X880" s="85">
        <f t="shared" si="108"/>
        <v>955.34561999999994</v>
      </c>
      <c r="Y880" s="85">
        <f>STATS1003B!Y880/1000</f>
        <v>0</v>
      </c>
      <c r="Z880" s="85">
        <f t="shared" si="111"/>
        <v>0</v>
      </c>
      <c r="AA880" s="69">
        <f>STATS1003B!AA880/1000</f>
        <v>955.34561999999994</v>
      </c>
      <c r="AB880" s="69">
        <f>STATS1003B!AB880/1000</f>
        <v>0</v>
      </c>
    </row>
    <row r="881" spans="1:28" hidden="1" x14ac:dyDescent="0.3">
      <c r="A881" s="117"/>
      <c r="C881" s="68" t="s">
        <v>535</v>
      </c>
      <c r="D881" s="145" t="s">
        <v>85</v>
      </c>
      <c r="E881" s="85">
        <f>STATS1003B!E881/1000</f>
        <v>342</v>
      </c>
      <c r="F881" s="85">
        <f>STATS1003B!F881/1000</f>
        <v>342</v>
      </c>
      <c r="G881" s="85">
        <f>STATS1003B!G881/1000</f>
        <v>0</v>
      </c>
      <c r="H881" s="85">
        <f>STATS1003B!H881/1000</f>
        <v>342</v>
      </c>
      <c r="I881" s="85">
        <f>STATS1003B!I881/1000</f>
        <v>0</v>
      </c>
      <c r="J881" s="85">
        <f>STATS1003B!J881/1000</f>
        <v>342</v>
      </c>
      <c r="K881" s="85">
        <f>STATS1003B!K881/1000</f>
        <v>0</v>
      </c>
      <c r="L881" s="85">
        <f>STATS1003B!L881/1000</f>
        <v>0</v>
      </c>
      <c r="M881" s="85">
        <f>STATS1003B!M881/1000</f>
        <v>342</v>
      </c>
      <c r="N881" s="85">
        <f>STATS1003B!N881/1000</f>
        <v>0</v>
      </c>
      <c r="O881" s="85">
        <f>STATS1003B!O881/1000</f>
        <v>0</v>
      </c>
      <c r="P881" s="85">
        <f>STATS1003B!P881/1000</f>
        <v>0</v>
      </c>
      <c r="Q881" s="85">
        <f>STATS1003B!Q881/1000</f>
        <v>342</v>
      </c>
      <c r="R881" s="85">
        <f>STATS1003B!R881/1000</f>
        <v>0</v>
      </c>
      <c r="S881" s="85">
        <f>STATS1003B!S881/1000</f>
        <v>0</v>
      </c>
      <c r="T881" s="85">
        <f>STATS1003B!T881/1000</f>
        <v>0</v>
      </c>
      <c r="U881" s="85">
        <f>STATS1003B!U881/1000</f>
        <v>0</v>
      </c>
      <c r="V881" s="85">
        <f>STATS1003B!V881/1000</f>
        <v>342</v>
      </c>
      <c r="W881" s="85">
        <f>STATS1003B!W881/1000</f>
        <v>0</v>
      </c>
      <c r="X881" s="85">
        <f t="shared" si="108"/>
        <v>342</v>
      </c>
      <c r="Y881" s="85">
        <f>STATS1003B!Y881/1000</f>
        <v>0</v>
      </c>
      <c r="Z881" s="85">
        <f t="shared" si="111"/>
        <v>0</v>
      </c>
      <c r="AA881" s="69">
        <f>STATS1003B!AA881/1000</f>
        <v>342</v>
      </c>
      <c r="AB881" s="69">
        <f>STATS1003B!AB881/1000</f>
        <v>0</v>
      </c>
    </row>
    <row r="882" spans="1:28" hidden="1" x14ac:dyDescent="0.3">
      <c r="A882" s="117"/>
      <c r="C882" s="68" t="s">
        <v>654</v>
      </c>
      <c r="D882" s="145" t="s">
        <v>85</v>
      </c>
      <c r="E882" s="85">
        <f>STATS1003B!E882/1000</f>
        <v>3200</v>
      </c>
      <c r="F882" s="85">
        <f>STATS1003B!F882/1000</f>
        <v>3200</v>
      </c>
      <c r="G882" s="85">
        <f>STATS1003B!G882/1000</f>
        <v>0</v>
      </c>
      <c r="H882" s="85">
        <f>STATS1003B!H882/1000</f>
        <v>3200</v>
      </c>
      <c r="I882" s="85">
        <f>STATS1003B!I882/1000</f>
        <v>0</v>
      </c>
      <c r="J882" s="85">
        <f>STATS1003B!J882/1000</f>
        <v>3200</v>
      </c>
      <c r="K882" s="85">
        <f>STATS1003B!K882/1000</f>
        <v>0</v>
      </c>
      <c r="L882" s="85">
        <f>STATS1003B!L882/1000</f>
        <v>0</v>
      </c>
      <c r="M882" s="85">
        <f>STATS1003B!M882/1000</f>
        <v>3200</v>
      </c>
      <c r="N882" s="85">
        <f>STATS1003B!N882/1000</f>
        <v>0</v>
      </c>
      <c r="O882" s="85">
        <f>STATS1003B!O882/1000</f>
        <v>0</v>
      </c>
      <c r="P882" s="85">
        <f>STATS1003B!P882/1000</f>
        <v>0</v>
      </c>
      <c r="Q882" s="85">
        <f>STATS1003B!Q882/1000</f>
        <v>3200</v>
      </c>
      <c r="R882" s="85">
        <f>STATS1003B!R882/1000</f>
        <v>0</v>
      </c>
      <c r="S882" s="85">
        <f>STATS1003B!S882/1000</f>
        <v>0</v>
      </c>
      <c r="T882" s="85">
        <f>STATS1003B!T882/1000</f>
        <v>0</v>
      </c>
      <c r="U882" s="85">
        <f>STATS1003B!U882/1000</f>
        <v>0</v>
      </c>
      <c r="V882" s="85">
        <f>STATS1003B!V882/1000</f>
        <v>3200</v>
      </c>
      <c r="W882" s="85">
        <f>STATS1003B!W882/1000</f>
        <v>0</v>
      </c>
      <c r="X882" s="85">
        <f t="shared" si="108"/>
        <v>3200</v>
      </c>
      <c r="Y882" s="85">
        <f>STATS1003B!Y882/1000</f>
        <v>0</v>
      </c>
      <c r="Z882" s="85">
        <f t="shared" si="111"/>
        <v>0</v>
      </c>
      <c r="AA882" s="69">
        <f>STATS1003B!AA882/1000</f>
        <v>3200</v>
      </c>
      <c r="AB882" s="69">
        <f>STATS1003B!AB882/1000</f>
        <v>0</v>
      </c>
    </row>
    <row r="883" spans="1:28" hidden="1" x14ac:dyDescent="0.3">
      <c r="A883" s="117"/>
      <c r="C883" s="68" t="s">
        <v>535</v>
      </c>
      <c r="D883" s="145" t="s">
        <v>128</v>
      </c>
      <c r="E883" s="85">
        <f>STATS1003B!E883/1000</f>
        <v>2000</v>
      </c>
      <c r="F883" s="85">
        <f>STATS1003B!F883/1000</f>
        <v>2000</v>
      </c>
      <c r="G883" s="85">
        <f>STATS1003B!G883/1000</f>
        <v>0</v>
      </c>
      <c r="H883" s="85">
        <f>STATS1003B!H883/1000</f>
        <v>2000</v>
      </c>
      <c r="I883" s="85">
        <f>STATS1003B!I883/1000</f>
        <v>0</v>
      </c>
      <c r="J883" s="85">
        <f>STATS1003B!J883/1000</f>
        <v>2000</v>
      </c>
      <c r="K883" s="85">
        <f>STATS1003B!K883/1000</f>
        <v>0</v>
      </c>
      <c r="L883" s="85">
        <f>STATS1003B!L883/1000</f>
        <v>0</v>
      </c>
      <c r="M883" s="85">
        <f>STATS1003B!M883/1000</f>
        <v>2000</v>
      </c>
      <c r="N883" s="85">
        <f>STATS1003B!N883/1000</f>
        <v>0</v>
      </c>
      <c r="O883" s="85">
        <f>STATS1003B!O883/1000</f>
        <v>0</v>
      </c>
      <c r="P883" s="85">
        <f>STATS1003B!P883/1000</f>
        <v>0</v>
      </c>
      <c r="Q883" s="85">
        <f>STATS1003B!Q883/1000</f>
        <v>2000</v>
      </c>
      <c r="R883" s="85">
        <f>STATS1003B!R883/1000</f>
        <v>0</v>
      </c>
      <c r="S883" s="85">
        <f>STATS1003B!S883/1000</f>
        <v>0</v>
      </c>
      <c r="T883" s="85">
        <f>STATS1003B!T883/1000</f>
        <v>0</v>
      </c>
      <c r="U883" s="85">
        <f>STATS1003B!U883/1000</f>
        <v>0</v>
      </c>
      <c r="V883" s="85">
        <f>STATS1003B!V883/1000</f>
        <v>2000</v>
      </c>
      <c r="W883" s="85">
        <f>STATS1003B!W883/1000</f>
        <v>0</v>
      </c>
      <c r="X883" s="85">
        <f t="shared" si="108"/>
        <v>2000</v>
      </c>
      <c r="Y883" s="85">
        <f>STATS1003B!Y883/1000</f>
        <v>0</v>
      </c>
      <c r="Z883" s="85">
        <f t="shared" si="111"/>
        <v>0</v>
      </c>
      <c r="AA883" s="69">
        <f>STATS1003B!AA883/1000</f>
        <v>2000</v>
      </c>
      <c r="AB883" s="69">
        <f>STATS1003B!AB883/1000</f>
        <v>0</v>
      </c>
    </row>
    <row r="884" spans="1:28" hidden="1" x14ac:dyDescent="0.3">
      <c r="A884" s="117"/>
      <c r="C884" s="68" t="s">
        <v>656</v>
      </c>
      <c r="D884" s="145" t="s">
        <v>128</v>
      </c>
      <c r="E884" s="85">
        <f>STATS1003B!E884/1000</f>
        <v>400</v>
      </c>
      <c r="F884" s="85">
        <f>STATS1003B!F884/1000</f>
        <v>400</v>
      </c>
      <c r="G884" s="85">
        <f>STATS1003B!G884/1000</f>
        <v>0</v>
      </c>
      <c r="H884" s="85">
        <f>STATS1003B!H884/1000</f>
        <v>400</v>
      </c>
      <c r="I884" s="85">
        <f>STATS1003B!I884/1000</f>
        <v>0</v>
      </c>
      <c r="J884" s="85">
        <f>STATS1003B!J884/1000</f>
        <v>400</v>
      </c>
      <c r="K884" s="85">
        <f>STATS1003B!K884/1000</f>
        <v>0</v>
      </c>
      <c r="L884" s="85">
        <f>STATS1003B!L884/1000</f>
        <v>0</v>
      </c>
      <c r="M884" s="85">
        <f>STATS1003B!M884/1000</f>
        <v>400</v>
      </c>
      <c r="N884" s="85">
        <f>STATS1003B!N884/1000</f>
        <v>0</v>
      </c>
      <c r="O884" s="85">
        <f>STATS1003B!O884/1000</f>
        <v>0</v>
      </c>
      <c r="P884" s="85">
        <f>STATS1003B!P884/1000</f>
        <v>0</v>
      </c>
      <c r="Q884" s="85">
        <f>STATS1003B!Q884/1000</f>
        <v>400</v>
      </c>
      <c r="R884" s="85">
        <f>STATS1003B!R884/1000</f>
        <v>0</v>
      </c>
      <c r="S884" s="85">
        <f>STATS1003B!S884/1000</f>
        <v>0</v>
      </c>
      <c r="T884" s="85">
        <f>STATS1003B!T884/1000</f>
        <v>0</v>
      </c>
      <c r="U884" s="85">
        <f>STATS1003B!U884/1000</f>
        <v>0</v>
      </c>
      <c r="V884" s="85">
        <f>STATS1003B!V884/1000</f>
        <v>400</v>
      </c>
      <c r="W884" s="85">
        <f>STATS1003B!W884/1000</f>
        <v>0</v>
      </c>
      <c r="X884" s="85">
        <f t="shared" si="108"/>
        <v>400</v>
      </c>
      <c r="Y884" s="85">
        <f>STATS1003B!Y884/1000</f>
        <v>0</v>
      </c>
      <c r="Z884" s="85">
        <f t="shared" si="111"/>
        <v>0</v>
      </c>
      <c r="AA884" s="69">
        <f>STATS1003B!AA884/1000</f>
        <v>400</v>
      </c>
      <c r="AB884" s="69">
        <f>STATS1003B!AB884/1000</f>
        <v>0</v>
      </c>
    </row>
    <row r="885" spans="1:28" hidden="1" x14ac:dyDescent="0.3">
      <c r="A885" s="117"/>
      <c r="C885" s="68" t="s">
        <v>535</v>
      </c>
      <c r="D885" s="145" t="s">
        <v>108</v>
      </c>
      <c r="E885" s="85">
        <f>STATS1003B!E885/1000</f>
        <v>2778.43543</v>
      </c>
      <c r="F885" s="85">
        <f>STATS1003B!F885/1000</f>
        <v>2778.43543</v>
      </c>
      <c r="G885" s="85">
        <f>STATS1003B!G885/1000</f>
        <v>0</v>
      </c>
      <c r="H885" s="85">
        <f>STATS1003B!H885/1000</f>
        <v>2778.43543</v>
      </c>
      <c r="I885" s="85">
        <f>STATS1003B!I885/1000</f>
        <v>0</v>
      </c>
      <c r="J885" s="85">
        <f>STATS1003B!J885/1000</f>
        <v>2778.43543</v>
      </c>
      <c r="K885" s="85">
        <f>STATS1003B!K885/1000</f>
        <v>0</v>
      </c>
      <c r="L885" s="85">
        <f>STATS1003B!L885/1000</f>
        <v>0</v>
      </c>
      <c r="M885" s="85">
        <f>STATS1003B!M885/1000</f>
        <v>2778.43543</v>
      </c>
      <c r="N885" s="85">
        <f>STATS1003B!N885/1000</f>
        <v>0</v>
      </c>
      <c r="O885" s="85">
        <f>STATS1003B!O885/1000</f>
        <v>0</v>
      </c>
      <c r="P885" s="85">
        <f>STATS1003B!P885/1000</f>
        <v>0</v>
      </c>
      <c r="Q885" s="85">
        <f>STATS1003B!Q885/1000</f>
        <v>2778.43543</v>
      </c>
      <c r="R885" s="85">
        <f>STATS1003B!R885/1000</f>
        <v>0</v>
      </c>
      <c r="S885" s="85">
        <f>STATS1003B!S885/1000</f>
        <v>0</v>
      </c>
      <c r="T885" s="85">
        <f>STATS1003B!T885/1000</f>
        <v>0</v>
      </c>
      <c r="U885" s="85">
        <f>STATS1003B!U885/1000</f>
        <v>0</v>
      </c>
      <c r="V885" s="85">
        <f>STATS1003B!V885/1000</f>
        <v>2778.43543</v>
      </c>
      <c r="W885" s="85">
        <f>STATS1003B!W885/1000</f>
        <v>0</v>
      </c>
      <c r="X885" s="85">
        <f t="shared" si="108"/>
        <v>2778.43543</v>
      </c>
      <c r="Y885" s="85">
        <f>STATS1003B!Y885/1000</f>
        <v>0</v>
      </c>
      <c r="Z885" s="85">
        <f t="shared" si="111"/>
        <v>0</v>
      </c>
      <c r="AA885" s="69">
        <f>STATS1003B!AA885/1000</f>
        <v>2778.43543</v>
      </c>
      <c r="AB885" s="69">
        <f>STATS1003B!AB885/1000</f>
        <v>0</v>
      </c>
    </row>
    <row r="886" spans="1:28" hidden="1" x14ac:dyDescent="0.3">
      <c r="A886" s="117"/>
      <c r="C886" s="68" t="s">
        <v>535</v>
      </c>
      <c r="D886" s="145" t="s">
        <v>60</v>
      </c>
      <c r="E886" s="85">
        <f>STATS1003B!E886/1000</f>
        <v>2957.67</v>
      </c>
      <c r="F886" s="85">
        <f>STATS1003B!F886/1000</f>
        <v>2957.67</v>
      </c>
      <c r="G886" s="85">
        <f>STATS1003B!G886/1000</f>
        <v>0</v>
      </c>
      <c r="H886" s="85">
        <f>STATS1003B!H886/1000</f>
        <v>2957.67</v>
      </c>
      <c r="I886" s="85">
        <f>STATS1003B!I886/1000</f>
        <v>0</v>
      </c>
      <c r="J886" s="85">
        <f>STATS1003B!J886/1000</f>
        <v>2957.67</v>
      </c>
      <c r="K886" s="85">
        <f>STATS1003B!K886/1000</f>
        <v>0</v>
      </c>
      <c r="L886" s="85">
        <f>STATS1003B!L886/1000</f>
        <v>0</v>
      </c>
      <c r="M886" s="85">
        <f>STATS1003B!M886/1000</f>
        <v>2957.67</v>
      </c>
      <c r="N886" s="85">
        <f>STATS1003B!N886/1000</f>
        <v>0</v>
      </c>
      <c r="O886" s="85">
        <f>STATS1003B!O886/1000</f>
        <v>0</v>
      </c>
      <c r="P886" s="85">
        <f>STATS1003B!P886/1000</f>
        <v>0</v>
      </c>
      <c r="Q886" s="85">
        <f>STATS1003B!Q886/1000</f>
        <v>2957.67</v>
      </c>
      <c r="R886" s="85">
        <f>STATS1003B!R886/1000</f>
        <v>0</v>
      </c>
      <c r="S886" s="85">
        <f>STATS1003B!S886/1000</f>
        <v>0</v>
      </c>
      <c r="T886" s="85">
        <f>STATS1003B!T886/1000</f>
        <v>0</v>
      </c>
      <c r="U886" s="85">
        <f>STATS1003B!U886/1000</f>
        <v>0</v>
      </c>
      <c r="V886" s="85">
        <f>STATS1003B!V886/1000</f>
        <v>2957.67</v>
      </c>
      <c r="W886" s="85">
        <f>STATS1003B!W886/1000</f>
        <v>0</v>
      </c>
      <c r="X886" s="85">
        <f t="shared" si="108"/>
        <v>2957.67</v>
      </c>
      <c r="Y886" s="85">
        <f>STATS1003B!Y886/1000</f>
        <v>0</v>
      </c>
      <c r="Z886" s="85">
        <f t="shared" si="111"/>
        <v>0</v>
      </c>
      <c r="AA886" s="69">
        <f>STATS1003B!AA886/1000</f>
        <v>2957.67</v>
      </c>
      <c r="AB886" s="69">
        <f>STATS1003B!AB886/1000</f>
        <v>0</v>
      </c>
    </row>
    <row r="887" spans="1:28" hidden="1" x14ac:dyDescent="0.3">
      <c r="A887" s="117"/>
      <c r="C887" s="68" t="s">
        <v>535</v>
      </c>
      <c r="D887" s="145" t="s">
        <v>61</v>
      </c>
      <c r="E887" s="85">
        <f>STATS1003B!E887/1000</f>
        <v>1326.96</v>
      </c>
      <c r="F887" s="85">
        <f>STATS1003B!F887/1000</f>
        <v>1326.96</v>
      </c>
      <c r="G887" s="85">
        <f>STATS1003B!G887/1000</f>
        <v>0</v>
      </c>
      <c r="H887" s="85">
        <f>STATS1003B!H887/1000</f>
        <v>1326.96</v>
      </c>
      <c r="I887" s="85">
        <f>STATS1003B!I887/1000</f>
        <v>0</v>
      </c>
      <c r="J887" s="85">
        <f>STATS1003B!J887/1000</f>
        <v>1326.96</v>
      </c>
      <c r="K887" s="85">
        <f>STATS1003B!K887/1000</f>
        <v>0</v>
      </c>
      <c r="L887" s="85">
        <f>STATS1003B!L887/1000</f>
        <v>0</v>
      </c>
      <c r="M887" s="85">
        <f>STATS1003B!M887/1000</f>
        <v>1326.96</v>
      </c>
      <c r="N887" s="85">
        <f>STATS1003B!N887/1000</f>
        <v>0</v>
      </c>
      <c r="O887" s="85">
        <f>STATS1003B!O887/1000</f>
        <v>0</v>
      </c>
      <c r="P887" s="85">
        <f>STATS1003B!P887/1000</f>
        <v>0</v>
      </c>
      <c r="Q887" s="85">
        <f>STATS1003B!Q887/1000</f>
        <v>1326.96</v>
      </c>
      <c r="R887" s="85">
        <f>STATS1003B!R887/1000</f>
        <v>0</v>
      </c>
      <c r="S887" s="85">
        <f>STATS1003B!S887/1000</f>
        <v>0</v>
      </c>
      <c r="T887" s="85">
        <f>STATS1003B!T887/1000</f>
        <v>0</v>
      </c>
      <c r="U887" s="85">
        <f>STATS1003B!U887/1000</f>
        <v>0</v>
      </c>
      <c r="V887" s="85">
        <f>STATS1003B!V887/1000</f>
        <v>1326.96</v>
      </c>
      <c r="W887" s="85">
        <f>STATS1003B!W887/1000</f>
        <v>0</v>
      </c>
      <c r="X887" s="85">
        <f t="shared" si="108"/>
        <v>1326.96</v>
      </c>
      <c r="Y887" s="85">
        <f>STATS1003B!Y887/1000</f>
        <v>0</v>
      </c>
      <c r="Z887" s="85">
        <f t="shared" si="111"/>
        <v>0</v>
      </c>
      <c r="AA887" s="69">
        <f>STATS1003B!AA887/1000</f>
        <v>1326.96</v>
      </c>
      <c r="AB887" s="69">
        <f>STATS1003B!AB887/1000</f>
        <v>0</v>
      </c>
    </row>
    <row r="888" spans="1:28" hidden="1" x14ac:dyDescent="0.3">
      <c r="A888" s="117"/>
      <c r="C888" s="68" t="s">
        <v>1093</v>
      </c>
      <c r="D888" s="90" t="s">
        <v>1072</v>
      </c>
      <c r="E888" s="85">
        <f>STATS1003B!E888/1000</f>
        <v>300</v>
      </c>
      <c r="F888" s="85">
        <f>STATS1003B!F888/1000</f>
        <v>300</v>
      </c>
      <c r="G888" s="85">
        <f>STATS1003B!G888/1000</f>
        <v>0</v>
      </c>
      <c r="H888" s="85">
        <f>STATS1003B!H888/1000</f>
        <v>300</v>
      </c>
      <c r="I888" s="85">
        <f>STATS1003B!I888/1000</f>
        <v>0</v>
      </c>
      <c r="J888" s="85">
        <f>STATS1003B!J888/1000</f>
        <v>0</v>
      </c>
      <c r="K888" s="85">
        <f>STATS1003B!K888/1000</f>
        <v>0</v>
      </c>
      <c r="L888" s="85">
        <f>STATS1003B!L888/1000</f>
        <v>0</v>
      </c>
      <c r="M888" s="85">
        <f>STATS1003B!M888/1000</f>
        <v>300</v>
      </c>
      <c r="N888" s="85">
        <f>STATS1003B!N888/1000</f>
        <v>0</v>
      </c>
      <c r="O888" s="85">
        <f>STATS1003B!O888/1000</f>
        <v>0</v>
      </c>
      <c r="P888" s="85">
        <f>STATS1003B!P888/1000</f>
        <v>0</v>
      </c>
      <c r="Q888" s="85">
        <f>STATS1003B!Q888/1000</f>
        <v>0</v>
      </c>
      <c r="R888" s="85">
        <f>STATS1003B!R888/1000</f>
        <v>0</v>
      </c>
      <c r="S888" s="85">
        <f>STATS1003B!S888/1000</f>
        <v>0</v>
      </c>
      <c r="T888" s="85">
        <f>STATS1003B!T888/1000</f>
        <v>0</v>
      </c>
      <c r="U888" s="85">
        <f>STATS1003B!U888/1000</f>
        <v>0</v>
      </c>
      <c r="V888" s="85">
        <f>STATS1003B!V888/1000</f>
        <v>0</v>
      </c>
      <c r="W888" s="85">
        <f>STATS1003B!W888/1000</f>
        <v>0</v>
      </c>
      <c r="X888" s="85">
        <f t="shared" si="108"/>
        <v>300</v>
      </c>
      <c r="Y888" s="85">
        <f>STATS1003B!Y888/1000</f>
        <v>0</v>
      </c>
      <c r="Z888" s="85">
        <f t="shared" si="111"/>
        <v>0</v>
      </c>
      <c r="AA888" s="69">
        <f>STATS1003B!AA888/1000</f>
        <v>300</v>
      </c>
      <c r="AB888" s="69">
        <f>STATS1003B!AB888/1000</f>
        <v>0</v>
      </c>
    </row>
    <row r="889" spans="1:28" hidden="1" x14ac:dyDescent="0.3">
      <c r="A889" s="117"/>
      <c r="C889" s="68" t="s">
        <v>933</v>
      </c>
      <c r="D889" s="90" t="s">
        <v>1072</v>
      </c>
      <c r="E889" s="85">
        <f>STATS1003B!E889/1000</f>
        <v>1109</v>
      </c>
      <c r="F889" s="85">
        <f>STATS1003B!F889/1000</f>
        <v>1109</v>
      </c>
      <c r="G889" s="85">
        <f>STATS1003B!G889/1000</f>
        <v>0</v>
      </c>
      <c r="H889" s="85">
        <f>STATS1003B!H889/1000</f>
        <v>1109</v>
      </c>
      <c r="I889" s="85">
        <f>STATS1003B!I889/1000</f>
        <v>0</v>
      </c>
      <c r="J889" s="85">
        <f>STATS1003B!J889/1000</f>
        <v>0</v>
      </c>
      <c r="K889" s="85">
        <f>STATS1003B!K889/1000</f>
        <v>0</v>
      </c>
      <c r="L889" s="85">
        <f>STATS1003B!L889/1000</f>
        <v>0</v>
      </c>
      <c r="M889" s="85">
        <f>STATS1003B!M889/1000</f>
        <v>1109</v>
      </c>
      <c r="N889" s="85">
        <f>STATS1003B!N889/1000</f>
        <v>0</v>
      </c>
      <c r="O889" s="85">
        <f>STATS1003B!O889/1000</f>
        <v>0</v>
      </c>
      <c r="P889" s="85">
        <f>STATS1003B!P889/1000</f>
        <v>0</v>
      </c>
      <c r="Q889" s="85">
        <f>STATS1003B!Q889/1000</f>
        <v>0</v>
      </c>
      <c r="R889" s="85">
        <f>STATS1003B!R889/1000</f>
        <v>0</v>
      </c>
      <c r="S889" s="85">
        <f>STATS1003B!S889/1000</f>
        <v>0</v>
      </c>
      <c r="T889" s="85">
        <f>STATS1003B!T889/1000</f>
        <v>0</v>
      </c>
      <c r="U889" s="85">
        <f>STATS1003B!U889/1000</f>
        <v>0</v>
      </c>
      <c r="V889" s="85">
        <f>STATS1003B!V889/1000</f>
        <v>0</v>
      </c>
      <c r="W889" s="85">
        <f>STATS1003B!W889/1000</f>
        <v>0</v>
      </c>
      <c r="X889" s="85">
        <f t="shared" si="108"/>
        <v>1109</v>
      </c>
      <c r="Y889" s="85">
        <f>STATS1003B!Y889/1000</f>
        <v>0</v>
      </c>
      <c r="Z889" s="85">
        <f t="shared" si="111"/>
        <v>0</v>
      </c>
      <c r="AA889" s="69">
        <f>STATS1003B!AA889/1000</f>
        <v>1109</v>
      </c>
      <c r="AB889" s="69">
        <f>STATS1003B!AB889/1000</f>
        <v>0</v>
      </c>
    </row>
    <row r="890" spans="1:28" hidden="1" x14ac:dyDescent="0.3">
      <c r="A890" s="117"/>
      <c r="C890" s="68" t="s">
        <v>1116</v>
      </c>
      <c r="D890" s="90" t="s">
        <v>1126</v>
      </c>
      <c r="E890" s="85">
        <f>STATS1003B!E890/1000</f>
        <v>79.806250000000006</v>
      </c>
      <c r="F890" s="85">
        <f>STATS1003B!F890/1000</f>
        <v>79.806250000000006</v>
      </c>
      <c r="G890" s="85">
        <f>STATS1003B!G890/1000</f>
        <v>0</v>
      </c>
      <c r="H890" s="85">
        <f>STATS1003B!H890/1000</f>
        <v>79.806250000000006</v>
      </c>
      <c r="I890" s="85">
        <f>STATS1003B!I890/1000</f>
        <v>0</v>
      </c>
      <c r="J890" s="85">
        <f>STATS1003B!J890/1000</f>
        <v>0</v>
      </c>
      <c r="K890" s="85">
        <f>STATS1003B!K890/1000</f>
        <v>0</v>
      </c>
      <c r="L890" s="85">
        <f>STATS1003B!L890/1000</f>
        <v>0</v>
      </c>
      <c r="M890" s="85">
        <f>STATS1003B!M890/1000</f>
        <v>79.806250000000006</v>
      </c>
      <c r="N890" s="85">
        <f>STATS1003B!N890/1000</f>
        <v>0</v>
      </c>
      <c r="O890" s="85">
        <f>STATS1003B!O890/1000</f>
        <v>0</v>
      </c>
      <c r="P890" s="85">
        <f>STATS1003B!P890/1000</f>
        <v>0</v>
      </c>
      <c r="Q890" s="85">
        <f>STATS1003B!Q890/1000</f>
        <v>0</v>
      </c>
      <c r="R890" s="85">
        <f>STATS1003B!R890/1000</f>
        <v>0</v>
      </c>
      <c r="S890" s="85">
        <f>STATS1003B!S890/1000</f>
        <v>0</v>
      </c>
      <c r="T890" s="85">
        <f>STATS1003B!T890/1000</f>
        <v>0</v>
      </c>
      <c r="U890" s="85">
        <f>STATS1003B!U890/1000</f>
        <v>0</v>
      </c>
      <c r="V890" s="85">
        <f>STATS1003B!V890/1000</f>
        <v>0</v>
      </c>
      <c r="W890" s="85">
        <f>STATS1003B!W890/1000</f>
        <v>0</v>
      </c>
      <c r="X890" s="85">
        <f t="shared" si="108"/>
        <v>79.806250000000006</v>
      </c>
      <c r="Y890" s="85">
        <f>STATS1003B!Y890/1000</f>
        <v>0</v>
      </c>
      <c r="Z890" s="85">
        <f t="shared" si="111"/>
        <v>0</v>
      </c>
      <c r="AA890" s="69">
        <f>STATS1003B!AA890/1000</f>
        <v>79.806250000000006</v>
      </c>
      <c r="AB890" s="69">
        <f>STATS1003B!AB890/1000</f>
        <v>0</v>
      </c>
    </row>
    <row r="891" spans="1:28" hidden="1" x14ac:dyDescent="0.3">
      <c r="A891" s="117"/>
      <c r="C891" s="68" t="s">
        <v>657</v>
      </c>
      <c r="E891" s="85">
        <f>STATS1003B!E891/1000</f>
        <v>50</v>
      </c>
      <c r="F891" s="85">
        <f>STATS1003B!F891/1000</f>
        <v>0</v>
      </c>
      <c r="G891" s="85">
        <f>STATS1003B!G891/1000</f>
        <v>0</v>
      </c>
      <c r="H891" s="85">
        <f>STATS1003B!H891/1000</f>
        <v>0</v>
      </c>
      <c r="I891" s="85">
        <f>STATS1003B!I891/1000</f>
        <v>0</v>
      </c>
      <c r="J891" s="85">
        <f>STATS1003B!J891/1000</f>
        <v>0</v>
      </c>
      <c r="K891" s="85">
        <f>STATS1003B!K891/1000</f>
        <v>0</v>
      </c>
      <c r="L891" s="85">
        <f>STATS1003B!L891/1000</f>
        <v>0</v>
      </c>
      <c r="M891" s="85">
        <f>STATS1003B!M891/1000</f>
        <v>0</v>
      </c>
      <c r="N891" s="85">
        <f>STATS1003B!N891/1000</f>
        <v>0</v>
      </c>
      <c r="O891" s="85">
        <f>STATS1003B!O891/1000</f>
        <v>0</v>
      </c>
      <c r="P891" s="85">
        <f>STATS1003B!P891/1000</f>
        <v>0</v>
      </c>
      <c r="Q891" s="85">
        <f>STATS1003B!Q891/1000</f>
        <v>50</v>
      </c>
      <c r="R891" s="85">
        <f>STATS1003B!R891/1000</f>
        <v>0</v>
      </c>
      <c r="S891" s="85">
        <f>STATS1003B!S891/1000</f>
        <v>0</v>
      </c>
      <c r="T891" s="85">
        <f>STATS1003B!T891/1000</f>
        <v>0</v>
      </c>
      <c r="U891" s="85">
        <f>STATS1003B!U891/1000</f>
        <v>0</v>
      </c>
      <c r="V891" s="85">
        <f>STATS1003B!V891/1000</f>
        <v>0</v>
      </c>
      <c r="W891" s="85">
        <f>STATS1003B!W891/1000</f>
        <v>50</v>
      </c>
      <c r="X891" s="85">
        <f t="shared" si="108"/>
        <v>0</v>
      </c>
      <c r="Y891" s="85">
        <f>STATS1003B!Y891/1000</f>
        <v>0</v>
      </c>
      <c r="Z891" s="85">
        <f t="shared" si="111"/>
        <v>50</v>
      </c>
      <c r="AA891" s="69">
        <f>STATS1003B!AA891/1000</f>
        <v>0</v>
      </c>
      <c r="AB891" s="69">
        <f>STATS1003B!AB891/1000</f>
        <v>50</v>
      </c>
    </row>
    <row r="892" spans="1:28" hidden="1" x14ac:dyDescent="0.3">
      <c r="A892" s="117"/>
      <c r="C892" s="68" t="s">
        <v>551</v>
      </c>
      <c r="E892" s="85">
        <f>STATS1003B!E892/1000</f>
        <v>23459.560989999998</v>
      </c>
      <c r="F892" s="85">
        <f>STATS1003B!F892/1000</f>
        <v>23459.560990000002</v>
      </c>
      <c r="G892" s="85">
        <f>STATS1003B!G892/1000</f>
        <v>0</v>
      </c>
      <c r="H892" s="85">
        <f>STATS1003B!H892/1000</f>
        <v>23459.560990000002</v>
      </c>
      <c r="I892" s="85">
        <f>STATS1003B!I892/1000</f>
        <v>0</v>
      </c>
      <c r="J892" s="85">
        <f>STATS1003B!J892/1000</f>
        <v>23459.560990000002</v>
      </c>
      <c r="K892" s="85">
        <f>STATS1003B!K892/1000</f>
        <v>0</v>
      </c>
      <c r="L892" s="85">
        <f>STATS1003B!L892/1000</f>
        <v>0</v>
      </c>
      <c r="M892" s="85">
        <f>STATS1003B!M892/1000</f>
        <v>23459.560990000002</v>
      </c>
      <c r="N892" s="85">
        <f>STATS1003B!N892/1000</f>
        <v>0</v>
      </c>
      <c r="O892" s="85">
        <f>STATS1003B!O892/1000</f>
        <v>0</v>
      </c>
      <c r="P892" s="85">
        <f>STATS1003B!P892/1000</f>
        <v>0</v>
      </c>
      <c r="Q892" s="85">
        <f>STATS1003B!Q892/1000</f>
        <v>23459.560989999998</v>
      </c>
      <c r="R892" s="85">
        <f>STATS1003B!R892/1000</f>
        <v>0</v>
      </c>
      <c r="S892" s="85">
        <f>STATS1003B!S892/1000</f>
        <v>0</v>
      </c>
      <c r="T892" s="85">
        <f>STATS1003B!T892/1000</f>
        <v>0</v>
      </c>
      <c r="U892" s="85">
        <f>STATS1003B!U892/1000</f>
        <v>0</v>
      </c>
      <c r="V892" s="85">
        <f>STATS1003B!V892/1000</f>
        <v>23459.560990000002</v>
      </c>
      <c r="W892" s="85">
        <f>STATS1003B!W892/1000</f>
        <v>0</v>
      </c>
      <c r="X892" s="85">
        <f t="shared" si="108"/>
        <v>23459.560990000002</v>
      </c>
      <c r="Y892" s="85">
        <f>STATS1003B!Y892/1000</f>
        <v>0</v>
      </c>
      <c r="Z892" s="85">
        <f t="shared" si="111"/>
        <v>0</v>
      </c>
      <c r="AA892" s="69">
        <f>STATS1003B!AA892/1000</f>
        <v>23459.560990000002</v>
      </c>
      <c r="AB892" s="69">
        <f>STATS1003B!AB892/1000</f>
        <v>0</v>
      </c>
    </row>
    <row r="893" spans="1:28" hidden="1" x14ac:dyDescent="0.3">
      <c r="A893" s="117"/>
      <c r="C893" s="68" t="s">
        <v>606</v>
      </c>
      <c r="E893" s="85">
        <f>STATS1003B!E893/1000</f>
        <v>1989.4285400000001</v>
      </c>
      <c r="F893" s="85">
        <f>STATS1003B!F893/1000</f>
        <v>1989.4285400000001</v>
      </c>
      <c r="G893" s="85">
        <f>STATS1003B!G893/1000</f>
        <v>0</v>
      </c>
      <c r="H893" s="85">
        <f>STATS1003B!H893/1000</f>
        <v>1989.4285400000001</v>
      </c>
      <c r="I893" s="85">
        <f>STATS1003B!I893/1000</f>
        <v>0</v>
      </c>
      <c r="J893" s="85">
        <f>STATS1003B!J893/1000</f>
        <v>1989.4285400000001</v>
      </c>
      <c r="K893" s="85">
        <f>STATS1003B!K893/1000</f>
        <v>0</v>
      </c>
      <c r="L893" s="85">
        <f>STATS1003B!L893/1000</f>
        <v>0</v>
      </c>
      <c r="M893" s="85">
        <f>STATS1003B!M893/1000</f>
        <v>1989.4285400000001</v>
      </c>
      <c r="N893" s="85">
        <f>STATS1003B!N893/1000</f>
        <v>0</v>
      </c>
      <c r="O893" s="85">
        <f>STATS1003B!O893/1000</f>
        <v>0</v>
      </c>
      <c r="P893" s="85">
        <f>STATS1003B!P893/1000</f>
        <v>0</v>
      </c>
      <c r="Q893" s="85">
        <f>STATS1003B!Q893/1000</f>
        <v>1989.4285400000001</v>
      </c>
      <c r="R893" s="85">
        <f>STATS1003B!R893/1000</f>
        <v>0</v>
      </c>
      <c r="S893" s="85">
        <f>STATS1003B!S893/1000</f>
        <v>0</v>
      </c>
      <c r="T893" s="85">
        <f>STATS1003B!T893/1000</f>
        <v>0</v>
      </c>
      <c r="U893" s="85">
        <f>STATS1003B!U893/1000</f>
        <v>0</v>
      </c>
      <c r="V893" s="85">
        <f>STATS1003B!V893/1000</f>
        <v>1989.4285400000001</v>
      </c>
      <c r="W893" s="85">
        <f>STATS1003B!W893/1000</f>
        <v>0</v>
      </c>
      <c r="X893" s="85">
        <f t="shared" si="108"/>
        <v>1989.4285400000001</v>
      </c>
      <c r="Y893" s="85">
        <f>STATS1003B!Y893/1000</f>
        <v>0</v>
      </c>
      <c r="Z893" s="85">
        <f t="shared" si="111"/>
        <v>0</v>
      </c>
      <c r="AA893" s="69">
        <f>STATS1003B!AA893/1000</f>
        <v>1989.4285400000001</v>
      </c>
      <c r="AB893" s="69">
        <f>STATS1003B!AB893/1000</f>
        <v>0</v>
      </c>
    </row>
    <row r="894" spans="1:28" hidden="1" x14ac:dyDescent="0.3">
      <c r="A894" s="117"/>
      <c r="E894" s="86" t="s">
        <v>29</v>
      </c>
      <c r="F894" s="86" t="s">
        <v>29</v>
      </c>
      <c r="G894" s="86" t="s">
        <v>29</v>
      </c>
      <c r="H894" s="86" t="s">
        <v>29</v>
      </c>
      <c r="I894" s="86" t="s">
        <v>29</v>
      </c>
      <c r="J894" s="86" t="s">
        <v>29</v>
      </c>
      <c r="K894" s="86" t="s">
        <v>29</v>
      </c>
      <c r="L894" s="86" t="s">
        <v>29</v>
      </c>
      <c r="M894" s="86" t="s">
        <v>29</v>
      </c>
      <c r="N894" s="86" t="s">
        <v>29</v>
      </c>
      <c r="O894" s="86" t="s">
        <v>29</v>
      </c>
      <c r="P894" s="86" t="s">
        <v>29</v>
      </c>
      <c r="Q894" s="86" t="s">
        <v>29</v>
      </c>
      <c r="R894" s="86" t="s">
        <v>29</v>
      </c>
      <c r="S894" s="86" t="s">
        <v>29</v>
      </c>
      <c r="T894" s="86" t="s">
        <v>29</v>
      </c>
      <c r="U894" s="86" t="s">
        <v>29</v>
      </c>
      <c r="V894" s="86" t="s">
        <v>29</v>
      </c>
      <c r="W894" s="86" t="s">
        <v>29</v>
      </c>
      <c r="X894" s="85" t="e">
        <f t="shared" si="108"/>
        <v>#VALUE!</v>
      </c>
      <c r="Y894" s="86" t="s">
        <v>29</v>
      </c>
      <c r="Z894" s="85" t="e">
        <f t="shared" si="111"/>
        <v>#VALUE!</v>
      </c>
      <c r="AA894" s="115" t="s">
        <v>29</v>
      </c>
      <c r="AB894" s="115" t="s">
        <v>29</v>
      </c>
    </row>
    <row r="895" spans="1:28" x14ac:dyDescent="0.3">
      <c r="A895" s="116">
        <v>42</v>
      </c>
      <c r="B895" s="68" t="s">
        <v>653</v>
      </c>
      <c r="E895" s="85">
        <f>99944794.73/1000</f>
        <v>99944.794730000009</v>
      </c>
      <c r="F895" s="85">
        <f t="shared" ref="F895:Q895" si="114">SUM(F875:F894)</f>
        <v>44761.187210000004</v>
      </c>
      <c r="G895" s="85">
        <f t="shared" si="114"/>
        <v>0</v>
      </c>
      <c r="H895" s="85">
        <f>94887585.61/1000</f>
        <v>94887.585609999995</v>
      </c>
      <c r="I895" s="85">
        <f t="shared" si="114"/>
        <v>0</v>
      </c>
      <c r="J895" s="85">
        <f t="shared" si="114"/>
        <v>43272.380960000002</v>
      </c>
      <c r="K895" s="85">
        <f t="shared" si="114"/>
        <v>5007.2091200000004</v>
      </c>
      <c r="L895" s="85">
        <f t="shared" si="114"/>
        <v>0</v>
      </c>
      <c r="M895" s="85">
        <f t="shared" si="114"/>
        <v>44761.187210000004</v>
      </c>
      <c r="N895" s="85">
        <f t="shared" si="114"/>
        <v>5007.2091200000004</v>
      </c>
      <c r="O895" s="85">
        <f t="shared" si="114"/>
        <v>0</v>
      </c>
      <c r="P895" s="85">
        <f>5007209/1000</f>
        <v>5007.2089999999998</v>
      </c>
      <c r="Q895" s="85">
        <f t="shared" si="114"/>
        <v>43322.380960000002</v>
      </c>
      <c r="R895" s="86"/>
      <c r="S895" s="86"/>
      <c r="T895" s="85">
        <f t="shared" ref="T895:Y895" si="115">SUM(T875:T894)</f>
        <v>0</v>
      </c>
      <c r="U895" s="85">
        <f t="shared" si="115"/>
        <v>5007.2091200000004</v>
      </c>
      <c r="V895" s="85">
        <f t="shared" si="115"/>
        <v>48279.590080000002</v>
      </c>
      <c r="W895" s="85">
        <f t="shared" si="115"/>
        <v>50</v>
      </c>
      <c r="X895" s="85">
        <f t="shared" si="108"/>
        <v>99894.794609999997</v>
      </c>
      <c r="Y895" s="85">
        <f t="shared" si="115"/>
        <v>0</v>
      </c>
      <c r="Z895" s="85">
        <f t="shared" si="111"/>
        <v>50.00012000001152</v>
      </c>
      <c r="AA895" s="69">
        <f>SUM(AA875:AA894)</f>
        <v>49768.39633000001</v>
      </c>
      <c r="AB895" s="69">
        <f>SUM(AB875:AB894)</f>
        <v>50</v>
      </c>
    </row>
    <row r="896" spans="1:28" hidden="1" x14ac:dyDescent="0.3">
      <c r="A896" s="117"/>
      <c r="E896" s="86" t="s">
        <v>29</v>
      </c>
      <c r="F896" s="86" t="s">
        <v>29</v>
      </c>
      <c r="G896" s="86" t="s">
        <v>29</v>
      </c>
      <c r="H896" s="86" t="s">
        <v>29</v>
      </c>
      <c r="I896" s="86" t="s">
        <v>29</v>
      </c>
      <c r="J896" s="86" t="s">
        <v>29</v>
      </c>
      <c r="K896" s="86" t="s">
        <v>29</v>
      </c>
      <c r="L896" s="86" t="s">
        <v>29</v>
      </c>
      <c r="M896" s="86" t="s">
        <v>29</v>
      </c>
      <c r="N896" s="86" t="s">
        <v>29</v>
      </c>
      <c r="O896" s="86" t="s">
        <v>29</v>
      </c>
      <c r="P896" s="86" t="s">
        <v>29</v>
      </c>
      <c r="Q896" s="86" t="s">
        <v>29</v>
      </c>
      <c r="R896" s="86" t="s">
        <v>29</v>
      </c>
      <c r="S896" s="86" t="s">
        <v>29</v>
      </c>
      <c r="T896" s="86" t="s">
        <v>29</v>
      </c>
      <c r="U896" s="86" t="s">
        <v>29</v>
      </c>
      <c r="V896" s="86" t="s">
        <v>29</v>
      </c>
      <c r="W896" s="86" t="s">
        <v>29</v>
      </c>
      <c r="X896" s="85" t="e">
        <f t="shared" si="108"/>
        <v>#VALUE!</v>
      </c>
      <c r="Y896" s="86" t="s">
        <v>29</v>
      </c>
      <c r="Z896" s="85" t="e">
        <f t="shared" si="111"/>
        <v>#VALUE!</v>
      </c>
      <c r="AA896" s="115" t="s">
        <v>29</v>
      </c>
      <c r="AB896" s="115" t="s">
        <v>29</v>
      </c>
    </row>
    <row r="897" spans="1:28" hidden="1" x14ac:dyDescent="0.3">
      <c r="A897" s="105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6"/>
      <c r="S897" s="86"/>
      <c r="T897" s="86"/>
      <c r="U897" s="86"/>
      <c r="V897" s="86"/>
      <c r="W897" s="86"/>
      <c r="X897" s="85">
        <f t="shared" si="108"/>
        <v>0</v>
      </c>
      <c r="Y897" s="86"/>
      <c r="Z897" s="85">
        <f t="shared" si="111"/>
        <v>0</v>
      </c>
      <c r="AA897" s="118"/>
    </row>
    <row r="898" spans="1:28" hidden="1" x14ac:dyDescent="0.3">
      <c r="A898" s="117"/>
      <c r="C898" s="68" t="s">
        <v>659</v>
      </c>
      <c r="D898" s="145" t="s">
        <v>78</v>
      </c>
      <c r="E898" s="85">
        <f>STATS1003B!E898/1000</f>
        <v>528.8279399999999</v>
      </c>
      <c r="F898" s="85">
        <f>STATS1003B!F898/1000</f>
        <v>521</v>
      </c>
      <c r="G898" s="85">
        <f>STATS1003B!G898/1000</f>
        <v>0</v>
      </c>
      <c r="H898" s="85">
        <f>STATS1003B!H898/1000</f>
        <v>521</v>
      </c>
      <c r="I898" s="85">
        <f>STATS1003B!I898/1000</f>
        <v>0</v>
      </c>
      <c r="J898" s="85">
        <f>STATS1003B!J898/1000</f>
        <v>521</v>
      </c>
      <c r="K898" s="85">
        <f>STATS1003B!K898/1000</f>
        <v>7.8279399999999999</v>
      </c>
      <c r="L898" s="85">
        <f>STATS1003B!L898/1000</f>
        <v>0</v>
      </c>
      <c r="M898" s="85">
        <f>STATS1003B!M898/1000</f>
        <v>521</v>
      </c>
      <c r="N898" s="85">
        <f>STATS1003B!N898/1000</f>
        <v>7.8279399999999999</v>
      </c>
      <c r="O898" s="85">
        <f>STATS1003B!O898/1000</f>
        <v>0</v>
      </c>
      <c r="P898" s="85">
        <f>STATS1003B!P898/1000</f>
        <v>7.8279399999999999</v>
      </c>
      <c r="Q898" s="85">
        <f>STATS1003B!Q898/1000</f>
        <v>520.99999999999989</v>
      </c>
      <c r="R898" s="85">
        <f>STATS1003B!R898/1000</f>
        <v>0</v>
      </c>
      <c r="S898" s="85">
        <f>STATS1003B!S898/1000</f>
        <v>0</v>
      </c>
      <c r="T898" s="85">
        <f>STATS1003B!T898/1000</f>
        <v>0</v>
      </c>
      <c r="U898" s="85">
        <f>STATS1003B!U898/1000</f>
        <v>7.8279399999999999</v>
      </c>
      <c r="V898" s="85">
        <f>STATS1003B!V898/1000</f>
        <v>528.8279399999999</v>
      </c>
      <c r="W898" s="85">
        <f>STATS1003B!W898/1000</f>
        <v>0</v>
      </c>
      <c r="X898" s="85">
        <f t="shared" si="108"/>
        <v>528.82794000000001</v>
      </c>
      <c r="Y898" s="85">
        <f>STATS1003B!Y898/1000</f>
        <v>0</v>
      </c>
      <c r="Z898" s="85">
        <f t="shared" si="111"/>
        <v>0</v>
      </c>
      <c r="AA898" s="69">
        <f>STATS1003B!AA898/1000</f>
        <v>528.8279399999999</v>
      </c>
      <c r="AB898" s="69">
        <f>STATS1003B!AB898/1000</f>
        <v>0</v>
      </c>
    </row>
    <row r="899" spans="1:28" hidden="1" x14ac:dyDescent="0.3">
      <c r="A899" s="117"/>
      <c r="C899" s="68" t="s">
        <v>539</v>
      </c>
      <c r="D899" s="145" t="s">
        <v>54</v>
      </c>
      <c r="E899" s="85">
        <f>STATS1003B!E899/1000</f>
        <v>17180.944649999998</v>
      </c>
      <c r="F899" s="85">
        <f>STATS1003B!F899/1000</f>
        <v>0</v>
      </c>
      <c r="G899" s="85">
        <f>STATS1003B!G899/1000</f>
        <v>0</v>
      </c>
      <c r="H899" s="85">
        <f>STATS1003B!H899/1000</f>
        <v>0</v>
      </c>
      <c r="I899" s="85">
        <f>STATS1003B!I899/1000</f>
        <v>0</v>
      </c>
      <c r="J899" s="85">
        <f>STATS1003B!J899/1000</f>
        <v>0</v>
      </c>
      <c r="K899" s="85">
        <f>STATS1003B!K899/1000</f>
        <v>17180.944649999998</v>
      </c>
      <c r="L899" s="85">
        <f>STATS1003B!L899/1000</f>
        <v>0</v>
      </c>
      <c r="M899" s="85">
        <f>STATS1003B!M899/1000</f>
        <v>0</v>
      </c>
      <c r="N899" s="85">
        <f>STATS1003B!N899/1000</f>
        <v>17180.944649999998</v>
      </c>
      <c r="O899" s="85">
        <f>STATS1003B!O899/1000</f>
        <v>0</v>
      </c>
      <c r="P899" s="85">
        <f>STATS1003B!P899/1000</f>
        <v>17180.944649999998</v>
      </c>
      <c r="Q899" s="85">
        <f>STATS1003B!Q899/1000</f>
        <v>0</v>
      </c>
      <c r="R899" s="85">
        <f>STATS1003B!R899/1000</f>
        <v>0</v>
      </c>
      <c r="S899" s="85">
        <f>STATS1003B!S899/1000</f>
        <v>0</v>
      </c>
      <c r="T899" s="85">
        <f>STATS1003B!T899/1000</f>
        <v>0</v>
      </c>
      <c r="U899" s="85">
        <f>STATS1003B!U899/1000</f>
        <v>17180.944649999998</v>
      </c>
      <c r="V899" s="85">
        <f>STATS1003B!V899/1000</f>
        <v>17180.944649999998</v>
      </c>
      <c r="W899" s="85">
        <f>STATS1003B!W899/1000</f>
        <v>0</v>
      </c>
      <c r="X899" s="85">
        <f t="shared" si="108"/>
        <v>17180.944649999998</v>
      </c>
      <c r="Y899" s="85">
        <f>STATS1003B!Y899/1000</f>
        <v>0</v>
      </c>
      <c r="Z899" s="85">
        <f t="shared" si="111"/>
        <v>0</v>
      </c>
      <c r="AA899" s="69">
        <f>STATS1003B!AA899/1000</f>
        <v>17180.944649999998</v>
      </c>
      <c r="AB899" s="69">
        <f>STATS1003B!AB899/1000</f>
        <v>0</v>
      </c>
    </row>
    <row r="900" spans="1:28" hidden="1" x14ac:dyDescent="0.3">
      <c r="A900" s="117"/>
      <c r="C900" s="68" t="s">
        <v>545</v>
      </c>
      <c r="D900" s="145" t="s">
        <v>54</v>
      </c>
      <c r="E900" s="85">
        <f>STATS1003B!E900/1000</f>
        <v>2306.1060000000002</v>
      </c>
      <c r="F900" s="85">
        <f>STATS1003B!F900/1000</f>
        <v>0</v>
      </c>
      <c r="G900" s="85">
        <f>STATS1003B!G900/1000</f>
        <v>0</v>
      </c>
      <c r="H900" s="85">
        <f>STATS1003B!H900/1000</f>
        <v>0</v>
      </c>
      <c r="I900" s="85">
        <f>STATS1003B!I900/1000</f>
        <v>0</v>
      </c>
      <c r="J900" s="85">
        <f>STATS1003B!J900/1000</f>
        <v>0</v>
      </c>
      <c r="K900" s="85">
        <f>STATS1003B!K900/1000</f>
        <v>2306.1060000000002</v>
      </c>
      <c r="L900" s="85">
        <f>STATS1003B!L900/1000</f>
        <v>0</v>
      </c>
      <c r="M900" s="85">
        <f>STATS1003B!M900/1000</f>
        <v>0</v>
      </c>
      <c r="N900" s="85">
        <f>STATS1003B!N900/1000</f>
        <v>2306.1060000000002</v>
      </c>
      <c r="O900" s="85">
        <f>STATS1003B!O900/1000</f>
        <v>0</v>
      </c>
      <c r="P900" s="85">
        <f>STATS1003B!P900/1000</f>
        <v>2306.1060000000002</v>
      </c>
      <c r="Q900" s="85">
        <f>STATS1003B!Q900/1000</f>
        <v>0</v>
      </c>
      <c r="R900" s="85">
        <f>STATS1003B!R900/1000</f>
        <v>0</v>
      </c>
      <c r="S900" s="85">
        <f>STATS1003B!S900/1000</f>
        <v>0</v>
      </c>
      <c r="T900" s="85">
        <f>STATS1003B!T900/1000</f>
        <v>0</v>
      </c>
      <c r="U900" s="85">
        <f>STATS1003B!U900/1000</f>
        <v>2306.1060000000002</v>
      </c>
      <c r="V900" s="85">
        <f>STATS1003B!V900/1000</f>
        <v>2306.1060000000002</v>
      </c>
      <c r="W900" s="85">
        <f>STATS1003B!W900/1000</f>
        <v>0</v>
      </c>
      <c r="X900" s="85">
        <f t="shared" si="108"/>
        <v>2306.1060000000002</v>
      </c>
      <c r="Y900" s="85">
        <f>STATS1003B!Y900/1000</f>
        <v>0</v>
      </c>
      <c r="Z900" s="85">
        <f t="shared" si="111"/>
        <v>0</v>
      </c>
      <c r="AA900" s="69">
        <f>STATS1003B!AA900/1000</f>
        <v>2306.1060000000002</v>
      </c>
      <c r="AB900" s="69">
        <f>STATS1003B!AB900/1000</f>
        <v>0</v>
      </c>
    </row>
    <row r="901" spans="1:28" hidden="1" x14ac:dyDescent="0.3">
      <c r="A901" s="117"/>
      <c r="C901" s="68" t="s">
        <v>535</v>
      </c>
      <c r="D901" s="145" t="s">
        <v>54</v>
      </c>
      <c r="E901" s="85">
        <f>STATS1003B!E901/1000</f>
        <v>920.25599999999997</v>
      </c>
      <c r="F901" s="85">
        <f>STATS1003B!F901/1000</f>
        <v>920.25599999999997</v>
      </c>
      <c r="G901" s="85">
        <f>STATS1003B!G901/1000</f>
        <v>0</v>
      </c>
      <c r="H901" s="85">
        <f>STATS1003B!H901/1000</f>
        <v>920.25599999999997</v>
      </c>
      <c r="I901" s="85">
        <f>STATS1003B!I901/1000</f>
        <v>0</v>
      </c>
      <c r="J901" s="85">
        <f>STATS1003B!J901/1000</f>
        <v>920.25599999999997</v>
      </c>
      <c r="K901" s="85">
        <f>STATS1003B!K901/1000</f>
        <v>0</v>
      </c>
      <c r="L901" s="85">
        <f>STATS1003B!L901/1000</f>
        <v>0</v>
      </c>
      <c r="M901" s="85">
        <f>STATS1003B!M901/1000</f>
        <v>920.25599999999997</v>
      </c>
      <c r="N901" s="85">
        <f>STATS1003B!N901/1000</f>
        <v>0</v>
      </c>
      <c r="O901" s="85">
        <f>STATS1003B!O901/1000</f>
        <v>0</v>
      </c>
      <c r="P901" s="85">
        <f>STATS1003B!P901/1000</f>
        <v>0</v>
      </c>
      <c r="Q901" s="85">
        <f>STATS1003B!Q901/1000</f>
        <v>920.25599999999997</v>
      </c>
      <c r="R901" s="85">
        <f>STATS1003B!R901/1000</f>
        <v>0</v>
      </c>
      <c r="S901" s="85">
        <f>STATS1003B!S901/1000</f>
        <v>0</v>
      </c>
      <c r="T901" s="85">
        <f>STATS1003B!T901/1000</f>
        <v>0</v>
      </c>
      <c r="U901" s="85">
        <f>STATS1003B!U901/1000</f>
        <v>0</v>
      </c>
      <c r="V901" s="85">
        <f>STATS1003B!V901/1000</f>
        <v>920.25599999999997</v>
      </c>
      <c r="W901" s="85">
        <f>STATS1003B!W901/1000</f>
        <v>0</v>
      </c>
      <c r="X901" s="85">
        <f t="shared" ref="X901:X959" si="116">+H901+P901</f>
        <v>920.25599999999997</v>
      </c>
      <c r="Y901" s="85">
        <f>STATS1003B!Y901/1000</f>
        <v>0</v>
      </c>
      <c r="Z901" s="85">
        <f t="shared" si="111"/>
        <v>0</v>
      </c>
      <c r="AA901" s="69">
        <f>STATS1003B!AA901/1000</f>
        <v>920.25599999999997</v>
      </c>
      <c r="AB901" s="69">
        <f>STATS1003B!AB901/1000</f>
        <v>0</v>
      </c>
    </row>
    <row r="902" spans="1:28" hidden="1" x14ac:dyDescent="0.3">
      <c r="A902" s="117"/>
      <c r="C902" s="68" t="s">
        <v>557</v>
      </c>
      <c r="D902" s="145" t="s">
        <v>54</v>
      </c>
      <c r="E902" s="85">
        <f>STATS1003B!E902/1000</f>
        <v>4793.7550000000001</v>
      </c>
      <c r="F902" s="85">
        <f>STATS1003B!F902/1000</f>
        <v>4793.7550000000001</v>
      </c>
      <c r="G902" s="85">
        <f>STATS1003B!G902/1000</f>
        <v>0</v>
      </c>
      <c r="H902" s="85">
        <f>STATS1003B!H902/1000</f>
        <v>4793.7550000000001</v>
      </c>
      <c r="I902" s="85">
        <f>STATS1003B!I902/1000</f>
        <v>0</v>
      </c>
      <c r="J902" s="85">
        <f>STATS1003B!J902/1000</f>
        <v>4793.7550000000001</v>
      </c>
      <c r="K902" s="85">
        <f>STATS1003B!K902/1000</f>
        <v>0</v>
      </c>
      <c r="L902" s="85">
        <f>STATS1003B!L902/1000</f>
        <v>0</v>
      </c>
      <c r="M902" s="85">
        <f>STATS1003B!M902/1000</f>
        <v>4793.7550000000001</v>
      </c>
      <c r="N902" s="85">
        <f>STATS1003B!N902/1000</f>
        <v>0</v>
      </c>
      <c r="O902" s="85">
        <f>STATS1003B!O902/1000</f>
        <v>0</v>
      </c>
      <c r="P902" s="85">
        <f>STATS1003B!P902/1000</f>
        <v>0</v>
      </c>
      <c r="Q902" s="85">
        <f>STATS1003B!Q902/1000</f>
        <v>4793.7550000000001</v>
      </c>
      <c r="R902" s="85">
        <f>STATS1003B!R902/1000</f>
        <v>0</v>
      </c>
      <c r="S902" s="85">
        <f>STATS1003B!S902/1000</f>
        <v>0</v>
      </c>
      <c r="T902" s="85">
        <f>STATS1003B!T902/1000</f>
        <v>0</v>
      </c>
      <c r="U902" s="85">
        <f>STATS1003B!U902/1000</f>
        <v>0</v>
      </c>
      <c r="V902" s="85">
        <f>STATS1003B!V902/1000</f>
        <v>4793.7550000000001</v>
      </c>
      <c r="W902" s="85">
        <f>STATS1003B!W902/1000</f>
        <v>0</v>
      </c>
      <c r="X902" s="85">
        <f t="shared" si="116"/>
        <v>4793.7550000000001</v>
      </c>
      <c r="Y902" s="85">
        <f>STATS1003B!Y902/1000</f>
        <v>0</v>
      </c>
      <c r="Z902" s="85">
        <f t="shared" si="111"/>
        <v>0</v>
      </c>
      <c r="AA902" s="69">
        <f>STATS1003B!AA902/1000</f>
        <v>4793.7550000000001</v>
      </c>
      <c r="AB902" s="69">
        <f>STATS1003B!AB902/1000</f>
        <v>0</v>
      </c>
    </row>
    <row r="903" spans="1:28" hidden="1" x14ac:dyDescent="0.3">
      <c r="A903" s="117"/>
      <c r="C903" s="68" t="s">
        <v>535</v>
      </c>
      <c r="D903" s="145" t="s">
        <v>85</v>
      </c>
      <c r="E903" s="85">
        <f>STATS1003B!E903/1000</f>
        <v>1044.9000000000001</v>
      </c>
      <c r="F903" s="85">
        <f>STATS1003B!F903/1000</f>
        <v>1044.9000000000001</v>
      </c>
      <c r="G903" s="85">
        <f>STATS1003B!G903/1000</f>
        <v>0</v>
      </c>
      <c r="H903" s="85">
        <f>STATS1003B!H903/1000</f>
        <v>1044.9000000000001</v>
      </c>
      <c r="I903" s="85">
        <f>STATS1003B!I903/1000</f>
        <v>0</v>
      </c>
      <c r="J903" s="85">
        <f>STATS1003B!J903/1000</f>
        <v>1044.9000000000001</v>
      </c>
      <c r="K903" s="85">
        <f>STATS1003B!K903/1000</f>
        <v>0</v>
      </c>
      <c r="L903" s="85">
        <f>STATS1003B!L903/1000</f>
        <v>0</v>
      </c>
      <c r="M903" s="85">
        <f>STATS1003B!M903/1000</f>
        <v>1044.9000000000001</v>
      </c>
      <c r="N903" s="85">
        <f>STATS1003B!N903/1000</f>
        <v>0</v>
      </c>
      <c r="O903" s="85">
        <f>STATS1003B!O903/1000</f>
        <v>0</v>
      </c>
      <c r="P903" s="85">
        <f>STATS1003B!P903/1000</f>
        <v>0</v>
      </c>
      <c r="Q903" s="85">
        <f>STATS1003B!Q903/1000</f>
        <v>1044.9000000000001</v>
      </c>
      <c r="R903" s="85">
        <f>STATS1003B!R903/1000</f>
        <v>0</v>
      </c>
      <c r="S903" s="85">
        <f>STATS1003B!S903/1000</f>
        <v>0</v>
      </c>
      <c r="T903" s="85">
        <f>STATS1003B!T903/1000</f>
        <v>0</v>
      </c>
      <c r="U903" s="85">
        <f>STATS1003B!U903/1000</f>
        <v>0</v>
      </c>
      <c r="V903" s="85">
        <f>STATS1003B!V903/1000</f>
        <v>1044.9000000000001</v>
      </c>
      <c r="W903" s="85">
        <f>STATS1003B!W903/1000</f>
        <v>0</v>
      </c>
      <c r="X903" s="85">
        <f t="shared" si="116"/>
        <v>1044.9000000000001</v>
      </c>
      <c r="Y903" s="85">
        <f>STATS1003B!Y903/1000</f>
        <v>0</v>
      </c>
      <c r="Z903" s="85">
        <f t="shared" si="111"/>
        <v>0</v>
      </c>
      <c r="AA903" s="69">
        <f>STATS1003B!AA903/1000</f>
        <v>1044.9000000000001</v>
      </c>
      <c r="AB903" s="69">
        <f>STATS1003B!AB903/1000</f>
        <v>0</v>
      </c>
    </row>
    <row r="904" spans="1:28" hidden="1" x14ac:dyDescent="0.3">
      <c r="A904" s="117"/>
      <c r="C904" s="68" t="s">
        <v>660</v>
      </c>
      <c r="D904" s="145" t="s">
        <v>85</v>
      </c>
      <c r="E904" s="85">
        <f>STATS1003B!E904/1000</f>
        <v>600</v>
      </c>
      <c r="F904" s="85">
        <f>STATS1003B!F904/1000</f>
        <v>600</v>
      </c>
      <c r="G904" s="85">
        <f>STATS1003B!G904/1000</f>
        <v>0</v>
      </c>
      <c r="H904" s="85">
        <f>STATS1003B!H904/1000</f>
        <v>600</v>
      </c>
      <c r="I904" s="85">
        <f>STATS1003B!I904/1000</f>
        <v>0</v>
      </c>
      <c r="J904" s="85">
        <f>STATS1003B!J904/1000</f>
        <v>600</v>
      </c>
      <c r="K904" s="85">
        <f>STATS1003B!K904/1000</f>
        <v>0</v>
      </c>
      <c r="L904" s="85">
        <f>STATS1003B!L904/1000</f>
        <v>0</v>
      </c>
      <c r="M904" s="85">
        <f>STATS1003B!M904/1000</f>
        <v>600</v>
      </c>
      <c r="N904" s="85">
        <f>STATS1003B!N904/1000</f>
        <v>0</v>
      </c>
      <c r="O904" s="85">
        <f>STATS1003B!O904/1000</f>
        <v>0</v>
      </c>
      <c r="P904" s="85">
        <f>STATS1003B!P904/1000</f>
        <v>0</v>
      </c>
      <c r="Q904" s="85">
        <f>STATS1003B!Q904/1000</f>
        <v>600</v>
      </c>
      <c r="R904" s="85">
        <f>STATS1003B!R904/1000</f>
        <v>0</v>
      </c>
      <c r="S904" s="85">
        <f>STATS1003B!S904/1000</f>
        <v>0</v>
      </c>
      <c r="T904" s="85">
        <f>STATS1003B!T904/1000</f>
        <v>0</v>
      </c>
      <c r="U904" s="85">
        <f>STATS1003B!U904/1000</f>
        <v>0</v>
      </c>
      <c r="V904" s="85">
        <f>STATS1003B!V904/1000</f>
        <v>600</v>
      </c>
      <c r="W904" s="85">
        <f>STATS1003B!W904/1000</f>
        <v>0</v>
      </c>
      <c r="X904" s="85">
        <f t="shared" si="116"/>
        <v>600</v>
      </c>
      <c r="Y904" s="85">
        <f>STATS1003B!Y904/1000</f>
        <v>0</v>
      </c>
      <c r="Z904" s="85">
        <f t="shared" si="111"/>
        <v>0</v>
      </c>
      <c r="AA904" s="69">
        <f>STATS1003B!AA904/1000</f>
        <v>600</v>
      </c>
      <c r="AB904" s="69">
        <f>STATS1003B!AB904/1000</f>
        <v>0</v>
      </c>
    </row>
    <row r="905" spans="1:28" hidden="1" x14ac:dyDescent="0.3">
      <c r="A905" s="117"/>
      <c r="C905" s="68" t="s">
        <v>660</v>
      </c>
      <c r="D905" s="145" t="s">
        <v>128</v>
      </c>
      <c r="E905" s="85">
        <f>STATS1003B!E905/1000</f>
        <v>750</v>
      </c>
      <c r="F905" s="85">
        <f>STATS1003B!F905/1000</f>
        <v>750</v>
      </c>
      <c r="G905" s="85">
        <f>STATS1003B!G905/1000</f>
        <v>0</v>
      </c>
      <c r="H905" s="85">
        <f>STATS1003B!H905/1000</f>
        <v>750</v>
      </c>
      <c r="I905" s="85">
        <f>STATS1003B!I905/1000</f>
        <v>0</v>
      </c>
      <c r="J905" s="85">
        <f>STATS1003B!J905/1000</f>
        <v>750</v>
      </c>
      <c r="K905" s="85">
        <f>STATS1003B!K905/1000</f>
        <v>0</v>
      </c>
      <c r="L905" s="85">
        <f>STATS1003B!L905/1000</f>
        <v>0</v>
      </c>
      <c r="M905" s="85">
        <f>STATS1003B!M905/1000</f>
        <v>750</v>
      </c>
      <c r="N905" s="85">
        <f>STATS1003B!N905/1000</f>
        <v>0</v>
      </c>
      <c r="O905" s="85">
        <f>STATS1003B!O905/1000</f>
        <v>0</v>
      </c>
      <c r="P905" s="85">
        <f>STATS1003B!P905/1000</f>
        <v>0</v>
      </c>
      <c r="Q905" s="85">
        <f>STATS1003B!Q905/1000</f>
        <v>750</v>
      </c>
      <c r="R905" s="85">
        <f>STATS1003B!R905/1000</f>
        <v>0</v>
      </c>
      <c r="S905" s="85">
        <f>STATS1003B!S905/1000</f>
        <v>0</v>
      </c>
      <c r="T905" s="85">
        <f>STATS1003B!T905/1000</f>
        <v>0</v>
      </c>
      <c r="U905" s="85">
        <f>STATS1003B!U905/1000</f>
        <v>0</v>
      </c>
      <c r="V905" s="85">
        <f>STATS1003B!V905/1000</f>
        <v>750</v>
      </c>
      <c r="W905" s="85">
        <f>STATS1003B!W905/1000</f>
        <v>0</v>
      </c>
      <c r="X905" s="85">
        <f t="shared" si="116"/>
        <v>750</v>
      </c>
      <c r="Y905" s="85">
        <f>STATS1003B!Y905/1000</f>
        <v>0</v>
      </c>
      <c r="Z905" s="85">
        <f t="shared" si="111"/>
        <v>0</v>
      </c>
      <c r="AA905" s="69">
        <f>STATS1003B!AA905/1000</f>
        <v>750</v>
      </c>
      <c r="AB905" s="69">
        <f>STATS1003B!AB905/1000</f>
        <v>0</v>
      </c>
    </row>
    <row r="906" spans="1:28" hidden="1" x14ac:dyDescent="0.3">
      <c r="A906" s="117"/>
      <c r="C906" s="68" t="s">
        <v>535</v>
      </c>
      <c r="D906" s="145" t="s">
        <v>88</v>
      </c>
      <c r="E906" s="85">
        <f>STATS1003B!E906/1000</f>
        <v>3418.7395299999998</v>
      </c>
      <c r="F906" s="85">
        <f>STATS1003B!F906/1000</f>
        <v>3418.7395299999998</v>
      </c>
      <c r="G906" s="85">
        <f>STATS1003B!G906/1000</f>
        <v>0</v>
      </c>
      <c r="H906" s="85">
        <f>STATS1003B!H906/1000</f>
        <v>3418.7395299999998</v>
      </c>
      <c r="I906" s="85">
        <f>STATS1003B!I906/1000</f>
        <v>0</v>
      </c>
      <c r="J906" s="85">
        <f>STATS1003B!J906/1000</f>
        <v>3418.7395299999998</v>
      </c>
      <c r="K906" s="85">
        <f>STATS1003B!K906/1000</f>
        <v>0</v>
      </c>
      <c r="L906" s="85">
        <f>STATS1003B!L906/1000</f>
        <v>0</v>
      </c>
      <c r="M906" s="85">
        <f>STATS1003B!M906/1000</f>
        <v>3418.7395299999998</v>
      </c>
      <c r="N906" s="85">
        <f>STATS1003B!N906/1000</f>
        <v>0</v>
      </c>
      <c r="O906" s="85">
        <f>STATS1003B!O906/1000</f>
        <v>0</v>
      </c>
      <c r="P906" s="85">
        <f>STATS1003B!P906/1000</f>
        <v>0</v>
      </c>
      <c r="Q906" s="85">
        <f>STATS1003B!Q906/1000</f>
        <v>3418.7395299999998</v>
      </c>
      <c r="R906" s="85">
        <f>STATS1003B!R906/1000</f>
        <v>0</v>
      </c>
      <c r="S906" s="85">
        <f>STATS1003B!S906/1000</f>
        <v>0</v>
      </c>
      <c r="T906" s="85">
        <f>STATS1003B!T906/1000</f>
        <v>0</v>
      </c>
      <c r="U906" s="85">
        <f>STATS1003B!U906/1000</f>
        <v>0</v>
      </c>
      <c r="V906" s="85">
        <f>STATS1003B!V906/1000</f>
        <v>3418.7395299999998</v>
      </c>
      <c r="W906" s="85">
        <f>STATS1003B!W906/1000</f>
        <v>0</v>
      </c>
      <c r="X906" s="85">
        <f t="shared" si="116"/>
        <v>3418.7395299999998</v>
      </c>
      <c r="Y906" s="85">
        <f>STATS1003B!Y906/1000</f>
        <v>0</v>
      </c>
      <c r="Z906" s="85">
        <f t="shared" si="111"/>
        <v>0</v>
      </c>
      <c r="AA906" s="69">
        <f>STATS1003B!AA906/1000</f>
        <v>3418.7395299999998</v>
      </c>
      <c r="AB906" s="69">
        <f>STATS1003B!AB906/1000</f>
        <v>0</v>
      </c>
    </row>
    <row r="907" spans="1:28" hidden="1" x14ac:dyDescent="0.3">
      <c r="A907" s="117"/>
      <c r="C907" s="68" t="s">
        <v>535</v>
      </c>
      <c r="D907" s="145" t="s">
        <v>108</v>
      </c>
      <c r="E907" s="85">
        <f>STATS1003B!E907/1000</f>
        <v>8753.9118100000014</v>
      </c>
      <c r="F907" s="85">
        <f>STATS1003B!F907/1000</f>
        <v>8753.9118100000014</v>
      </c>
      <c r="G907" s="85">
        <f>STATS1003B!G907/1000</f>
        <v>0</v>
      </c>
      <c r="H907" s="85">
        <f>STATS1003B!H907/1000</f>
        <v>8753.9118100000014</v>
      </c>
      <c r="I907" s="85">
        <f>STATS1003B!I907/1000</f>
        <v>0</v>
      </c>
      <c r="J907" s="85">
        <f>STATS1003B!J907/1000</f>
        <v>8753.9118100000014</v>
      </c>
      <c r="K907" s="85">
        <f>STATS1003B!K907/1000</f>
        <v>0</v>
      </c>
      <c r="L907" s="85">
        <f>STATS1003B!L907/1000</f>
        <v>0</v>
      </c>
      <c r="M907" s="85">
        <f>STATS1003B!M907/1000</f>
        <v>8753.9118100000014</v>
      </c>
      <c r="N907" s="85">
        <f>STATS1003B!N907/1000</f>
        <v>0</v>
      </c>
      <c r="O907" s="85">
        <f>STATS1003B!O907/1000</f>
        <v>0</v>
      </c>
      <c r="P907" s="85">
        <f>STATS1003B!P907/1000</f>
        <v>0</v>
      </c>
      <c r="Q907" s="85">
        <f>STATS1003B!Q907/1000</f>
        <v>8753.9118100000014</v>
      </c>
      <c r="R907" s="85">
        <f>STATS1003B!R907/1000</f>
        <v>0</v>
      </c>
      <c r="S907" s="85">
        <f>STATS1003B!S907/1000</f>
        <v>0</v>
      </c>
      <c r="T907" s="85">
        <f>STATS1003B!T907/1000</f>
        <v>0</v>
      </c>
      <c r="U907" s="85">
        <f>STATS1003B!U907/1000</f>
        <v>0</v>
      </c>
      <c r="V907" s="85">
        <f>STATS1003B!V907/1000</f>
        <v>8753.9118100000014</v>
      </c>
      <c r="W907" s="85">
        <f>STATS1003B!W907/1000</f>
        <v>0</v>
      </c>
      <c r="X907" s="85">
        <f t="shared" si="116"/>
        <v>8753.9118100000014</v>
      </c>
      <c r="Y907" s="85">
        <f>STATS1003B!Y907/1000</f>
        <v>0</v>
      </c>
      <c r="Z907" s="85">
        <f t="shared" si="111"/>
        <v>0</v>
      </c>
      <c r="AA907" s="69">
        <f>STATS1003B!AA907/1000</f>
        <v>8753.9118100000014</v>
      </c>
      <c r="AB907" s="69">
        <f>STATS1003B!AB907/1000</f>
        <v>0</v>
      </c>
    </row>
    <row r="908" spans="1:28" hidden="1" x14ac:dyDescent="0.3">
      <c r="A908" s="117"/>
      <c r="C908" s="68" t="s">
        <v>535</v>
      </c>
      <c r="D908" s="145" t="s">
        <v>58</v>
      </c>
      <c r="E908" s="85">
        <f>STATS1003B!E908/1000</f>
        <v>2925.66</v>
      </c>
      <c r="F908" s="85">
        <f>STATS1003B!F908/1000</f>
        <v>2925.66</v>
      </c>
      <c r="G908" s="85">
        <f>STATS1003B!G908/1000</f>
        <v>0</v>
      </c>
      <c r="H908" s="85">
        <f>STATS1003B!H908/1000</f>
        <v>2925.66</v>
      </c>
      <c r="I908" s="85">
        <f>STATS1003B!I908/1000</f>
        <v>0</v>
      </c>
      <c r="J908" s="85">
        <f>STATS1003B!J908/1000</f>
        <v>2925.66</v>
      </c>
      <c r="K908" s="85">
        <f>STATS1003B!K908/1000</f>
        <v>0</v>
      </c>
      <c r="L908" s="85">
        <f>STATS1003B!L908/1000</f>
        <v>0</v>
      </c>
      <c r="M908" s="85">
        <f>STATS1003B!M908/1000</f>
        <v>2925.66</v>
      </c>
      <c r="N908" s="85">
        <f>STATS1003B!N908/1000</f>
        <v>0</v>
      </c>
      <c r="O908" s="85">
        <f>STATS1003B!O908/1000</f>
        <v>0</v>
      </c>
      <c r="P908" s="85">
        <f>STATS1003B!P908/1000</f>
        <v>0</v>
      </c>
      <c r="Q908" s="85">
        <f>STATS1003B!Q908/1000</f>
        <v>2925.66</v>
      </c>
      <c r="R908" s="85">
        <f>STATS1003B!R908/1000</f>
        <v>0</v>
      </c>
      <c r="S908" s="85">
        <f>STATS1003B!S908/1000</f>
        <v>0</v>
      </c>
      <c r="T908" s="85">
        <f>STATS1003B!T908/1000</f>
        <v>0</v>
      </c>
      <c r="U908" s="85">
        <f>STATS1003B!U908/1000</f>
        <v>0</v>
      </c>
      <c r="V908" s="85">
        <f>STATS1003B!V908/1000</f>
        <v>2925.66</v>
      </c>
      <c r="W908" s="85">
        <f>STATS1003B!W908/1000</f>
        <v>0</v>
      </c>
      <c r="X908" s="85">
        <f t="shared" si="116"/>
        <v>2925.66</v>
      </c>
      <c r="Y908" s="85">
        <f>STATS1003B!Y908/1000</f>
        <v>0</v>
      </c>
      <c r="Z908" s="85">
        <f t="shared" si="111"/>
        <v>0</v>
      </c>
      <c r="AA908" s="69">
        <f>STATS1003B!AA908/1000</f>
        <v>2925.66</v>
      </c>
      <c r="AB908" s="69">
        <f>STATS1003B!AB908/1000</f>
        <v>0</v>
      </c>
    </row>
    <row r="909" spans="1:28" hidden="1" x14ac:dyDescent="0.3">
      <c r="A909" s="117"/>
      <c r="C909" s="68" t="s">
        <v>535</v>
      </c>
      <c r="D909" s="145" t="s">
        <v>60</v>
      </c>
      <c r="E909" s="85">
        <f>STATS1003B!E909/1000</f>
        <v>5629.152</v>
      </c>
      <c r="F909" s="85">
        <f>STATS1003B!F909/1000</f>
        <v>5629.152</v>
      </c>
      <c r="G909" s="85">
        <f>STATS1003B!G909/1000</f>
        <v>0</v>
      </c>
      <c r="H909" s="85">
        <f>STATS1003B!H909/1000</f>
        <v>5629.152</v>
      </c>
      <c r="I909" s="85">
        <f>STATS1003B!I909/1000</f>
        <v>0</v>
      </c>
      <c r="J909" s="85">
        <f>STATS1003B!J909/1000</f>
        <v>5629.152</v>
      </c>
      <c r="K909" s="85">
        <f>STATS1003B!K909/1000</f>
        <v>0</v>
      </c>
      <c r="L909" s="85">
        <f>STATS1003B!L909/1000</f>
        <v>0</v>
      </c>
      <c r="M909" s="85">
        <f>STATS1003B!M909/1000</f>
        <v>5629.152</v>
      </c>
      <c r="N909" s="85">
        <f>STATS1003B!N909/1000</f>
        <v>0</v>
      </c>
      <c r="O909" s="85">
        <f>STATS1003B!O909/1000</f>
        <v>0</v>
      </c>
      <c r="P909" s="85">
        <f>STATS1003B!P909/1000</f>
        <v>0</v>
      </c>
      <c r="Q909" s="85">
        <f>STATS1003B!Q909/1000</f>
        <v>5629.152</v>
      </c>
      <c r="R909" s="85">
        <f>STATS1003B!R909/1000</f>
        <v>0</v>
      </c>
      <c r="S909" s="85">
        <f>STATS1003B!S909/1000</f>
        <v>0</v>
      </c>
      <c r="T909" s="85">
        <f>STATS1003B!T909/1000</f>
        <v>0</v>
      </c>
      <c r="U909" s="85">
        <f>STATS1003B!U909/1000</f>
        <v>0</v>
      </c>
      <c r="V909" s="85">
        <f>STATS1003B!V909/1000</f>
        <v>5629.152</v>
      </c>
      <c r="W909" s="85">
        <f>STATS1003B!W909/1000</f>
        <v>0</v>
      </c>
      <c r="X909" s="85">
        <f t="shared" si="116"/>
        <v>5629.152</v>
      </c>
      <c r="Y909" s="85">
        <f>STATS1003B!Y909/1000</f>
        <v>0</v>
      </c>
      <c r="Z909" s="85">
        <f t="shared" si="111"/>
        <v>0</v>
      </c>
      <c r="AA909" s="69">
        <f>STATS1003B!AA909/1000</f>
        <v>5629.152</v>
      </c>
      <c r="AB909" s="69">
        <f>STATS1003B!AB909/1000</f>
        <v>0</v>
      </c>
    </row>
    <row r="910" spans="1:28" hidden="1" x14ac:dyDescent="0.3">
      <c r="A910" s="117"/>
      <c r="C910" s="71" t="s">
        <v>661</v>
      </c>
      <c r="D910" s="71" t="s">
        <v>194</v>
      </c>
      <c r="E910" s="85">
        <f>STATS1003B!E910/1000</f>
        <v>637.42565999999999</v>
      </c>
      <c r="F910" s="85">
        <f>STATS1003B!F910/1000</f>
        <v>637.42565999999999</v>
      </c>
      <c r="G910" s="85">
        <f>STATS1003B!G910/1000</f>
        <v>0</v>
      </c>
      <c r="H910" s="85">
        <f>STATS1003B!H910/1000</f>
        <v>637.42565999999999</v>
      </c>
      <c r="I910" s="85">
        <f>STATS1003B!I910/1000</f>
        <v>0</v>
      </c>
      <c r="J910" s="85">
        <f>STATS1003B!J910/1000</f>
        <v>637.42565999999999</v>
      </c>
      <c r="K910" s="85">
        <f>STATS1003B!K910/1000</f>
        <v>0</v>
      </c>
      <c r="L910" s="85">
        <f>STATS1003B!L910/1000</f>
        <v>0</v>
      </c>
      <c r="M910" s="85">
        <f>STATS1003B!M910/1000</f>
        <v>637.42565999999999</v>
      </c>
      <c r="N910" s="85">
        <f>STATS1003B!N910/1000</f>
        <v>0</v>
      </c>
      <c r="O910" s="85">
        <f>STATS1003B!O910/1000</f>
        <v>0</v>
      </c>
      <c r="P910" s="85">
        <f>STATS1003B!P910/1000</f>
        <v>0</v>
      </c>
      <c r="Q910" s="85">
        <f>STATS1003B!Q910/1000</f>
        <v>637.42565999999999</v>
      </c>
      <c r="R910" s="85">
        <f>STATS1003B!R910/1000</f>
        <v>0</v>
      </c>
      <c r="S910" s="85">
        <f>STATS1003B!S910/1000</f>
        <v>0</v>
      </c>
      <c r="T910" s="85">
        <f>STATS1003B!T910/1000</f>
        <v>0</v>
      </c>
      <c r="U910" s="85">
        <f>STATS1003B!U910/1000</f>
        <v>0</v>
      </c>
      <c r="V910" s="85">
        <f>STATS1003B!V910/1000</f>
        <v>637.42565999999999</v>
      </c>
      <c r="W910" s="85">
        <f>STATS1003B!W910/1000</f>
        <v>0</v>
      </c>
      <c r="X910" s="85">
        <f t="shared" si="116"/>
        <v>637.42565999999999</v>
      </c>
      <c r="Y910" s="85">
        <f>STATS1003B!Y910/1000</f>
        <v>0</v>
      </c>
      <c r="Z910" s="85">
        <f t="shared" si="111"/>
        <v>0</v>
      </c>
      <c r="AA910" s="69">
        <f>STATS1003B!AA910/1000</f>
        <v>637.42565999999999</v>
      </c>
      <c r="AB910" s="69">
        <f>STATS1003B!AB910/1000</f>
        <v>0</v>
      </c>
    </row>
    <row r="911" spans="1:28" hidden="1" x14ac:dyDescent="0.3">
      <c r="A911" s="117"/>
      <c r="C911" s="71" t="s">
        <v>621</v>
      </c>
      <c r="D911" s="88" t="s">
        <v>73</v>
      </c>
      <c r="E911" s="85">
        <f>STATS1003B!E911/1000</f>
        <v>1513</v>
      </c>
      <c r="F911" s="85">
        <f>STATS1003B!F911/1000</f>
        <v>1513</v>
      </c>
      <c r="G911" s="85">
        <f>STATS1003B!G911/1000</f>
        <v>0</v>
      </c>
      <c r="H911" s="85">
        <f>STATS1003B!H911/1000</f>
        <v>1513</v>
      </c>
      <c r="I911" s="85">
        <f>STATS1003B!I911/1000</f>
        <v>0</v>
      </c>
      <c r="J911" s="85">
        <f>STATS1003B!J911/1000</f>
        <v>1513</v>
      </c>
      <c r="K911" s="85">
        <f>STATS1003B!K911/1000</f>
        <v>0</v>
      </c>
      <c r="L911" s="85">
        <f>STATS1003B!L911/1000</f>
        <v>0</v>
      </c>
      <c r="M911" s="85">
        <f>STATS1003B!M911/1000</f>
        <v>1513</v>
      </c>
      <c r="N911" s="85">
        <f>STATS1003B!N911/1000</f>
        <v>0</v>
      </c>
      <c r="O911" s="85">
        <f>STATS1003B!O911/1000</f>
        <v>0</v>
      </c>
      <c r="P911" s="85">
        <f>STATS1003B!P911/1000</f>
        <v>0</v>
      </c>
      <c r="Q911" s="85">
        <f>STATS1003B!Q911/1000</f>
        <v>1513</v>
      </c>
      <c r="R911" s="85">
        <f>STATS1003B!R911/1000</f>
        <v>0</v>
      </c>
      <c r="S911" s="85">
        <f>STATS1003B!S911/1000</f>
        <v>0</v>
      </c>
      <c r="T911" s="85">
        <f>STATS1003B!T911/1000</f>
        <v>0</v>
      </c>
      <c r="U911" s="85">
        <f>STATS1003B!U911/1000</f>
        <v>0</v>
      </c>
      <c r="V911" s="85">
        <f>STATS1003B!V911/1000</f>
        <v>1513</v>
      </c>
      <c r="W911" s="85">
        <f>STATS1003B!W911/1000</f>
        <v>0</v>
      </c>
      <c r="X911" s="85">
        <f t="shared" si="116"/>
        <v>1513</v>
      </c>
      <c r="Y911" s="85">
        <f>STATS1003B!Y911/1000</f>
        <v>0</v>
      </c>
      <c r="Z911" s="85">
        <f t="shared" si="111"/>
        <v>0</v>
      </c>
      <c r="AA911" s="69">
        <f>STATS1003B!AA911/1000</f>
        <v>1513</v>
      </c>
      <c r="AB911" s="69">
        <f>STATS1003B!AB911/1000</f>
        <v>0</v>
      </c>
    </row>
    <row r="912" spans="1:28" hidden="1" x14ac:dyDescent="0.3">
      <c r="A912" s="117"/>
      <c r="C912" s="68" t="s">
        <v>535</v>
      </c>
      <c r="D912" s="145" t="s">
        <v>61</v>
      </c>
      <c r="E912" s="85">
        <f>STATS1003B!E912/1000</f>
        <v>1280</v>
      </c>
      <c r="F912" s="85">
        <f>STATS1003B!F912/1000</f>
        <v>1280</v>
      </c>
      <c r="G912" s="85">
        <f>STATS1003B!G912/1000</f>
        <v>0</v>
      </c>
      <c r="H912" s="85">
        <f>STATS1003B!H912/1000</f>
        <v>1280</v>
      </c>
      <c r="I912" s="85">
        <f>STATS1003B!I912/1000</f>
        <v>0</v>
      </c>
      <c r="J912" s="85">
        <f>STATS1003B!J912/1000</f>
        <v>1280</v>
      </c>
      <c r="K912" s="85">
        <f>STATS1003B!K912/1000</f>
        <v>0</v>
      </c>
      <c r="L912" s="85">
        <f>STATS1003B!L912/1000</f>
        <v>0</v>
      </c>
      <c r="M912" s="85">
        <f>STATS1003B!M912/1000</f>
        <v>1280</v>
      </c>
      <c r="N912" s="85">
        <f>STATS1003B!N912/1000</f>
        <v>0</v>
      </c>
      <c r="O912" s="85">
        <f>STATS1003B!O912/1000</f>
        <v>0</v>
      </c>
      <c r="P912" s="85">
        <f>STATS1003B!P912/1000</f>
        <v>0</v>
      </c>
      <c r="Q912" s="85">
        <f>STATS1003B!Q912/1000</f>
        <v>1280</v>
      </c>
      <c r="R912" s="85">
        <f>STATS1003B!R912/1000</f>
        <v>0</v>
      </c>
      <c r="S912" s="85">
        <f>STATS1003B!S912/1000</f>
        <v>0</v>
      </c>
      <c r="T912" s="85">
        <f>STATS1003B!T912/1000</f>
        <v>0</v>
      </c>
      <c r="U912" s="85">
        <f>STATS1003B!U912/1000</f>
        <v>0</v>
      </c>
      <c r="V912" s="85">
        <f>STATS1003B!V912/1000</f>
        <v>1280</v>
      </c>
      <c r="W912" s="85">
        <f>STATS1003B!W912/1000</f>
        <v>0</v>
      </c>
      <c r="X912" s="85">
        <f t="shared" si="116"/>
        <v>1280</v>
      </c>
      <c r="Y912" s="85">
        <f>STATS1003B!Y912/1000</f>
        <v>0</v>
      </c>
      <c r="Z912" s="85">
        <f t="shared" si="111"/>
        <v>0</v>
      </c>
      <c r="AA912" s="69">
        <f>STATS1003B!AA912/1000</f>
        <v>1280</v>
      </c>
      <c r="AB912" s="69">
        <f>STATS1003B!AB912/1000</f>
        <v>0</v>
      </c>
    </row>
    <row r="913" spans="1:28" hidden="1" x14ac:dyDescent="0.3">
      <c r="A913" s="117"/>
      <c r="C913" s="68" t="s">
        <v>1171</v>
      </c>
      <c r="D913" s="90" t="s">
        <v>1126</v>
      </c>
      <c r="E913" s="85">
        <f>STATS1003B!E913/1000</f>
        <v>300</v>
      </c>
      <c r="F913" s="85">
        <f>STATS1003B!F913/1000</f>
        <v>300</v>
      </c>
      <c r="G913" s="85">
        <f>STATS1003B!G913/1000</f>
        <v>0</v>
      </c>
      <c r="H913" s="85">
        <f>STATS1003B!H913/1000</f>
        <v>300</v>
      </c>
      <c r="I913" s="85">
        <f>STATS1003B!I913/1000</f>
        <v>0</v>
      </c>
      <c r="J913" s="85">
        <f>STATS1003B!J913/1000</f>
        <v>300</v>
      </c>
      <c r="K913" s="85">
        <f>STATS1003B!K913/1000</f>
        <v>0</v>
      </c>
      <c r="L913" s="85">
        <f>STATS1003B!L913/1000</f>
        <v>0</v>
      </c>
      <c r="M913" s="85">
        <f>STATS1003B!M913/1000</f>
        <v>300</v>
      </c>
      <c r="N913" s="85">
        <f>STATS1003B!N913/1000</f>
        <v>0</v>
      </c>
      <c r="O913" s="85">
        <f>STATS1003B!O913/1000</f>
        <v>0</v>
      </c>
      <c r="P913" s="85">
        <f>STATS1003B!P913/1000</f>
        <v>0</v>
      </c>
      <c r="Q913" s="85">
        <f>STATS1003B!Q913/1000</f>
        <v>300</v>
      </c>
      <c r="R913" s="85">
        <f>STATS1003B!R913/1000</f>
        <v>0</v>
      </c>
      <c r="S913" s="85">
        <f>STATS1003B!S913/1000</f>
        <v>0</v>
      </c>
      <c r="T913" s="85">
        <f>STATS1003B!T913/1000</f>
        <v>0</v>
      </c>
      <c r="U913" s="85">
        <f>STATS1003B!U913/1000</f>
        <v>0</v>
      </c>
      <c r="V913" s="85">
        <f>STATS1003B!V913/1000</f>
        <v>300</v>
      </c>
      <c r="W913" s="85">
        <f>STATS1003B!W913/1000</f>
        <v>0</v>
      </c>
      <c r="X913" s="85">
        <f t="shared" si="116"/>
        <v>300</v>
      </c>
      <c r="Y913" s="85">
        <f>STATS1003B!Y913/1000</f>
        <v>0</v>
      </c>
      <c r="Z913" s="85">
        <f t="shared" si="111"/>
        <v>0</v>
      </c>
      <c r="AA913" s="69">
        <f>STATS1003B!AA913/1000</f>
        <v>300</v>
      </c>
      <c r="AB913" s="69">
        <f>STATS1003B!AB913/1000</f>
        <v>0</v>
      </c>
    </row>
    <row r="914" spans="1:28" hidden="1" x14ac:dyDescent="0.3">
      <c r="A914" s="117"/>
      <c r="C914" s="93" t="s">
        <v>933</v>
      </c>
      <c r="D914" s="90" t="s">
        <v>1072</v>
      </c>
      <c r="E914" s="85">
        <f>STATS1003B!E914/1000</f>
        <v>2245.7029500000003</v>
      </c>
      <c r="F914" s="85">
        <f>STATS1003B!F914/1000</f>
        <v>2245.7029500000003</v>
      </c>
      <c r="G914" s="85">
        <f>STATS1003B!G914/1000</f>
        <v>0</v>
      </c>
      <c r="H914" s="85">
        <f>STATS1003B!H914/1000</f>
        <v>2245.7029500000003</v>
      </c>
      <c r="I914" s="85">
        <f>STATS1003B!I914/1000</f>
        <v>0</v>
      </c>
      <c r="J914" s="85">
        <f>STATS1003B!J914/1000</f>
        <v>0</v>
      </c>
      <c r="K914" s="85">
        <f>STATS1003B!K914/1000</f>
        <v>0</v>
      </c>
      <c r="L914" s="85">
        <f>STATS1003B!L914/1000</f>
        <v>0</v>
      </c>
      <c r="M914" s="85">
        <f>STATS1003B!M914/1000</f>
        <v>2245.7029500000003</v>
      </c>
      <c r="N914" s="85">
        <f>STATS1003B!N914/1000</f>
        <v>0</v>
      </c>
      <c r="O914" s="85">
        <f>STATS1003B!O914/1000</f>
        <v>0</v>
      </c>
      <c r="P914" s="85">
        <f>STATS1003B!P914/1000</f>
        <v>0</v>
      </c>
      <c r="Q914" s="85">
        <f>STATS1003B!Q914/1000</f>
        <v>0</v>
      </c>
      <c r="R914" s="85">
        <f>STATS1003B!R914/1000</f>
        <v>0</v>
      </c>
      <c r="S914" s="85">
        <f>STATS1003B!S914/1000</f>
        <v>0</v>
      </c>
      <c r="T914" s="85">
        <f>STATS1003B!T914/1000</f>
        <v>0</v>
      </c>
      <c r="U914" s="85">
        <f>STATS1003B!U914/1000</f>
        <v>0</v>
      </c>
      <c r="V914" s="85">
        <f>STATS1003B!V914/1000</f>
        <v>2245.7029500000003</v>
      </c>
      <c r="W914" s="85">
        <f>STATS1003B!W914/1000</f>
        <v>0</v>
      </c>
      <c r="X914" s="85">
        <f t="shared" si="116"/>
        <v>2245.7029500000003</v>
      </c>
      <c r="Y914" s="85">
        <f>STATS1003B!Y914/1000</f>
        <v>0</v>
      </c>
      <c r="Z914" s="85">
        <f t="shared" si="111"/>
        <v>0</v>
      </c>
      <c r="AA914" s="69">
        <f>STATS1003B!AA914/1000</f>
        <v>2245.7029500000003</v>
      </c>
      <c r="AB914" s="69">
        <f>STATS1003B!AB914/1000</f>
        <v>0</v>
      </c>
    </row>
    <row r="915" spans="1:28" hidden="1" x14ac:dyDescent="0.3">
      <c r="A915" s="117"/>
      <c r="C915" s="93" t="s">
        <v>1202</v>
      </c>
      <c r="D915" s="90" t="s">
        <v>1126</v>
      </c>
      <c r="E915" s="85">
        <f>STATS1003B!E915/1000</f>
        <v>2104.6465200000002</v>
      </c>
      <c r="F915" s="85">
        <f>STATS1003B!F915/1000</f>
        <v>2104.6465200000002</v>
      </c>
      <c r="G915" s="85">
        <f>STATS1003B!G915/1000</f>
        <v>0</v>
      </c>
      <c r="H915" s="85">
        <f>STATS1003B!H915/1000</f>
        <v>2104.6465200000002</v>
      </c>
      <c r="I915" s="85">
        <f>STATS1003B!I915/1000</f>
        <v>0</v>
      </c>
      <c r="J915" s="85">
        <f>STATS1003B!J915/1000</f>
        <v>0</v>
      </c>
      <c r="K915" s="85">
        <f>STATS1003B!K915/1000</f>
        <v>0</v>
      </c>
      <c r="L915" s="85">
        <f>STATS1003B!L915/1000</f>
        <v>0</v>
      </c>
      <c r="M915" s="85">
        <f>STATS1003B!M915/1000</f>
        <v>2104.6465200000002</v>
      </c>
      <c r="N915" s="85">
        <f>STATS1003B!N915/1000</f>
        <v>0</v>
      </c>
      <c r="O915" s="85">
        <f>STATS1003B!O915/1000</f>
        <v>0</v>
      </c>
      <c r="P915" s="85">
        <f>STATS1003B!P915/1000</f>
        <v>0</v>
      </c>
      <c r="Q915" s="85">
        <f>STATS1003B!Q915/1000</f>
        <v>0</v>
      </c>
      <c r="R915" s="85">
        <f>STATS1003B!R915/1000</f>
        <v>0</v>
      </c>
      <c r="S915" s="85">
        <f>STATS1003B!S915/1000</f>
        <v>0</v>
      </c>
      <c r="T915" s="85">
        <f>STATS1003B!T915/1000</f>
        <v>0</v>
      </c>
      <c r="U915" s="85">
        <f>STATS1003B!U915/1000</f>
        <v>0</v>
      </c>
      <c r="V915" s="85">
        <f>STATS1003B!V915/1000</f>
        <v>0</v>
      </c>
      <c r="W915" s="85">
        <f>STATS1003B!W915/1000</f>
        <v>0</v>
      </c>
      <c r="X915" s="85">
        <f t="shared" si="116"/>
        <v>2104.6465200000002</v>
      </c>
      <c r="Y915" s="85">
        <f>STATS1003B!Y915/1000</f>
        <v>0</v>
      </c>
      <c r="Z915" s="85">
        <f t="shared" si="111"/>
        <v>0</v>
      </c>
      <c r="AA915" s="69">
        <f>STATS1003B!AA915/1000</f>
        <v>2104.6465200000002</v>
      </c>
      <c r="AB915" s="69">
        <f>STATS1003B!AB915/1000</f>
        <v>0</v>
      </c>
    </row>
    <row r="916" spans="1:28" hidden="1" x14ac:dyDescent="0.3">
      <c r="A916" s="117"/>
      <c r="C916" s="68" t="s">
        <v>1250</v>
      </c>
      <c r="D916" s="90" t="s">
        <v>1225</v>
      </c>
      <c r="E916" s="85">
        <f>STATS1003B!E916/1000</f>
        <v>350</v>
      </c>
      <c r="F916" s="85">
        <f>STATS1003B!F916/1000</f>
        <v>350</v>
      </c>
      <c r="G916" s="85">
        <f>STATS1003B!G916/1000</f>
        <v>0</v>
      </c>
      <c r="H916" s="85">
        <f>STATS1003B!H916/1000</f>
        <v>350</v>
      </c>
      <c r="I916" s="85">
        <f>STATS1003B!I916/1000</f>
        <v>0</v>
      </c>
      <c r="J916" s="85">
        <f>STATS1003B!J916/1000</f>
        <v>0</v>
      </c>
      <c r="K916" s="85">
        <f>STATS1003B!K916/1000</f>
        <v>0</v>
      </c>
      <c r="L916" s="85">
        <f>STATS1003B!L916/1000</f>
        <v>0</v>
      </c>
      <c r="M916" s="85">
        <f>STATS1003B!M916/1000</f>
        <v>350</v>
      </c>
      <c r="N916" s="85">
        <f>STATS1003B!N916/1000</f>
        <v>0</v>
      </c>
      <c r="O916" s="85">
        <f>STATS1003B!O916/1000</f>
        <v>0</v>
      </c>
      <c r="P916" s="85">
        <f>STATS1003B!P916/1000</f>
        <v>0</v>
      </c>
      <c r="Q916" s="85">
        <f>STATS1003B!Q916/1000</f>
        <v>0</v>
      </c>
      <c r="R916" s="85">
        <f>STATS1003B!R916/1000</f>
        <v>0</v>
      </c>
      <c r="S916" s="85">
        <f>STATS1003B!S916/1000</f>
        <v>0</v>
      </c>
      <c r="T916" s="85">
        <f>STATS1003B!T916/1000</f>
        <v>0</v>
      </c>
      <c r="U916" s="85">
        <f>STATS1003B!U916/1000</f>
        <v>0</v>
      </c>
      <c r="V916" s="85">
        <f>STATS1003B!V916/1000</f>
        <v>0</v>
      </c>
      <c r="W916" s="85">
        <f>STATS1003B!W916/1000</f>
        <v>0</v>
      </c>
      <c r="X916" s="85">
        <f t="shared" si="116"/>
        <v>350</v>
      </c>
      <c r="Y916" s="85">
        <f>STATS1003B!Y916/1000</f>
        <v>0</v>
      </c>
      <c r="Z916" s="85">
        <f t="shared" si="111"/>
        <v>0</v>
      </c>
      <c r="AA916" s="69">
        <f>STATS1003B!AA916/1000</f>
        <v>350</v>
      </c>
      <c r="AB916" s="69">
        <f>STATS1003B!AB916/1000</f>
        <v>0</v>
      </c>
    </row>
    <row r="917" spans="1:28" hidden="1" x14ac:dyDescent="0.3">
      <c r="A917" s="117"/>
      <c r="C917" s="71" t="s">
        <v>568</v>
      </c>
      <c r="E917" s="85">
        <f>STATS1003B!E917/1000</f>
        <v>707.35249999999996</v>
      </c>
      <c r="F917" s="85">
        <f>STATS1003B!F917/1000</f>
        <v>707.35249999999996</v>
      </c>
      <c r="G917" s="85">
        <f>STATS1003B!G917/1000</f>
        <v>0</v>
      </c>
      <c r="H917" s="85">
        <f>STATS1003B!H917/1000</f>
        <v>707.35249999999996</v>
      </c>
      <c r="I917" s="85">
        <f>STATS1003B!I917/1000</f>
        <v>0</v>
      </c>
      <c r="J917" s="85">
        <f>STATS1003B!J917/1000</f>
        <v>707.35249999999996</v>
      </c>
      <c r="K917" s="85">
        <f>STATS1003B!K917/1000</f>
        <v>0</v>
      </c>
      <c r="L917" s="85">
        <f>STATS1003B!L917/1000</f>
        <v>0</v>
      </c>
      <c r="M917" s="85">
        <f>STATS1003B!M917/1000</f>
        <v>707.35249999999996</v>
      </c>
      <c r="N917" s="85">
        <f>STATS1003B!N917/1000</f>
        <v>0</v>
      </c>
      <c r="O917" s="85">
        <f>STATS1003B!O917/1000</f>
        <v>0</v>
      </c>
      <c r="P917" s="85">
        <f>STATS1003B!P917/1000</f>
        <v>0</v>
      </c>
      <c r="Q917" s="85">
        <f>STATS1003B!Q917/1000</f>
        <v>707.35249999999996</v>
      </c>
      <c r="R917" s="85">
        <f>STATS1003B!R917/1000</f>
        <v>0</v>
      </c>
      <c r="S917" s="85">
        <f>STATS1003B!S917/1000</f>
        <v>0</v>
      </c>
      <c r="T917" s="85">
        <f>STATS1003B!T917/1000</f>
        <v>0</v>
      </c>
      <c r="U917" s="85">
        <f>STATS1003B!U917/1000</f>
        <v>0</v>
      </c>
      <c r="V917" s="85">
        <f>STATS1003B!V917/1000</f>
        <v>707.35249999999996</v>
      </c>
      <c r="W917" s="85">
        <f>STATS1003B!W917/1000</f>
        <v>0</v>
      </c>
      <c r="X917" s="85">
        <f t="shared" si="116"/>
        <v>707.35249999999996</v>
      </c>
      <c r="Y917" s="85">
        <f>STATS1003B!Y917/1000</f>
        <v>0</v>
      </c>
      <c r="Z917" s="85">
        <f t="shared" ref="Z917:Z959" si="117">+E917-X917</f>
        <v>0</v>
      </c>
      <c r="AA917" s="69">
        <f>STATS1003B!AA917/1000</f>
        <v>707.35249999999996</v>
      </c>
      <c r="AB917" s="69">
        <f>STATS1003B!AB917/1000</f>
        <v>0</v>
      </c>
    </row>
    <row r="918" spans="1:28" hidden="1" x14ac:dyDescent="0.3">
      <c r="A918" s="117"/>
      <c r="C918" s="68" t="s">
        <v>662</v>
      </c>
      <c r="E918" s="85">
        <f>STATS1003B!E918/1000</f>
        <v>850</v>
      </c>
      <c r="F918" s="85">
        <f>STATS1003B!F918/1000</f>
        <v>850</v>
      </c>
      <c r="G918" s="85">
        <f>STATS1003B!G918/1000</f>
        <v>0</v>
      </c>
      <c r="H918" s="85">
        <f>STATS1003B!H918/1000</f>
        <v>850</v>
      </c>
      <c r="I918" s="85">
        <f>STATS1003B!I918/1000</f>
        <v>0</v>
      </c>
      <c r="J918" s="85">
        <f>STATS1003B!J918/1000</f>
        <v>850</v>
      </c>
      <c r="K918" s="85">
        <f>STATS1003B!K918/1000</f>
        <v>0</v>
      </c>
      <c r="L918" s="85">
        <f>STATS1003B!L918/1000</f>
        <v>0</v>
      </c>
      <c r="M918" s="85">
        <f>STATS1003B!M918/1000</f>
        <v>850</v>
      </c>
      <c r="N918" s="85">
        <f>STATS1003B!N918/1000</f>
        <v>0</v>
      </c>
      <c r="O918" s="85">
        <f>STATS1003B!O918/1000</f>
        <v>0</v>
      </c>
      <c r="P918" s="85">
        <f>STATS1003B!P918/1000</f>
        <v>0</v>
      </c>
      <c r="Q918" s="85">
        <f>STATS1003B!Q918/1000</f>
        <v>850</v>
      </c>
      <c r="R918" s="85">
        <f>STATS1003B!R918/1000</f>
        <v>0</v>
      </c>
      <c r="S918" s="85">
        <f>STATS1003B!S918/1000</f>
        <v>0</v>
      </c>
      <c r="T918" s="85">
        <f>STATS1003B!T918/1000</f>
        <v>0</v>
      </c>
      <c r="U918" s="85">
        <f>STATS1003B!U918/1000</f>
        <v>0</v>
      </c>
      <c r="V918" s="85">
        <f>STATS1003B!V918/1000</f>
        <v>850</v>
      </c>
      <c r="W918" s="85">
        <f>STATS1003B!W918/1000</f>
        <v>0</v>
      </c>
      <c r="X918" s="85">
        <f t="shared" si="116"/>
        <v>850</v>
      </c>
      <c r="Y918" s="85">
        <f>STATS1003B!Y918/1000</f>
        <v>0</v>
      </c>
      <c r="Z918" s="85">
        <f t="shared" si="117"/>
        <v>0</v>
      </c>
      <c r="AA918" s="69">
        <f>STATS1003B!AA918/1000</f>
        <v>850</v>
      </c>
      <c r="AB918" s="69">
        <f>STATS1003B!AB918/1000</f>
        <v>0</v>
      </c>
    </row>
    <row r="919" spans="1:28" hidden="1" x14ac:dyDescent="0.3">
      <c r="A919" s="117"/>
      <c r="C919" s="68" t="s">
        <v>663</v>
      </c>
      <c r="E919" s="85">
        <f>STATS1003B!E919/1000</f>
        <v>50</v>
      </c>
      <c r="F919" s="85">
        <f>STATS1003B!F919/1000</f>
        <v>50</v>
      </c>
      <c r="G919" s="85">
        <f>STATS1003B!G919/1000</f>
        <v>0</v>
      </c>
      <c r="H919" s="85">
        <f>STATS1003B!H919/1000</f>
        <v>50</v>
      </c>
      <c r="I919" s="85">
        <f>STATS1003B!I919/1000</f>
        <v>0</v>
      </c>
      <c r="J919" s="85">
        <f>STATS1003B!J919/1000</f>
        <v>50</v>
      </c>
      <c r="K919" s="85">
        <f>STATS1003B!K919/1000</f>
        <v>0</v>
      </c>
      <c r="L919" s="85">
        <f>STATS1003B!L919/1000</f>
        <v>0</v>
      </c>
      <c r="M919" s="85">
        <f>STATS1003B!M919/1000</f>
        <v>50</v>
      </c>
      <c r="N919" s="85">
        <f>STATS1003B!N919/1000</f>
        <v>0</v>
      </c>
      <c r="O919" s="85">
        <f>STATS1003B!O919/1000</f>
        <v>0</v>
      </c>
      <c r="P919" s="85">
        <f>STATS1003B!P919/1000</f>
        <v>0</v>
      </c>
      <c r="Q919" s="85">
        <f>STATS1003B!Q919/1000</f>
        <v>50</v>
      </c>
      <c r="R919" s="85">
        <f>STATS1003B!R919/1000</f>
        <v>0</v>
      </c>
      <c r="S919" s="85">
        <f>STATS1003B!S919/1000</f>
        <v>0</v>
      </c>
      <c r="T919" s="85">
        <f>STATS1003B!T919/1000</f>
        <v>0</v>
      </c>
      <c r="U919" s="85">
        <f>STATS1003B!U919/1000</f>
        <v>0</v>
      </c>
      <c r="V919" s="85">
        <f>STATS1003B!V919/1000</f>
        <v>50</v>
      </c>
      <c r="W919" s="85">
        <f>STATS1003B!W919/1000</f>
        <v>0</v>
      </c>
      <c r="X919" s="85">
        <f t="shared" si="116"/>
        <v>50</v>
      </c>
      <c r="Y919" s="85">
        <f>STATS1003B!Y919/1000</f>
        <v>0</v>
      </c>
      <c r="Z919" s="85">
        <f t="shared" si="117"/>
        <v>0</v>
      </c>
      <c r="AA919" s="69">
        <f>STATS1003B!AA919/1000</f>
        <v>50</v>
      </c>
      <c r="AB919" s="69">
        <f>STATS1003B!AB919/1000</f>
        <v>0</v>
      </c>
    </row>
    <row r="920" spans="1:28" hidden="1" x14ac:dyDescent="0.3">
      <c r="A920" s="117"/>
      <c r="C920" s="68" t="s">
        <v>606</v>
      </c>
      <c r="E920" s="85">
        <f>STATS1003B!E920/1000</f>
        <v>4722.4857400000001</v>
      </c>
      <c r="F920" s="85">
        <f>STATS1003B!F920/1000</f>
        <v>4722.4857400000001</v>
      </c>
      <c r="G920" s="85">
        <f>STATS1003B!G920/1000</f>
        <v>0</v>
      </c>
      <c r="H920" s="85">
        <f>STATS1003B!H920/1000</f>
        <v>4722.4857400000001</v>
      </c>
      <c r="I920" s="85">
        <f>STATS1003B!I920/1000</f>
        <v>0</v>
      </c>
      <c r="J920" s="85">
        <f>STATS1003B!J920/1000</f>
        <v>4722.4857400000001</v>
      </c>
      <c r="K920" s="85">
        <f>STATS1003B!K920/1000</f>
        <v>0</v>
      </c>
      <c r="L920" s="85">
        <f>STATS1003B!L920/1000</f>
        <v>0</v>
      </c>
      <c r="M920" s="85">
        <f>STATS1003B!M920/1000</f>
        <v>4722.4857400000001</v>
      </c>
      <c r="N920" s="85">
        <f>STATS1003B!N920/1000</f>
        <v>0</v>
      </c>
      <c r="O920" s="85">
        <f>STATS1003B!O920/1000</f>
        <v>0</v>
      </c>
      <c r="P920" s="85">
        <f>STATS1003B!P920/1000</f>
        <v>0</v>
      </c>
      <c r="Q920" s="85">
        <f>STATS1003B!Q920/1000</f>
        <v>4722.4857400000001</v>
      </c>
      <c r="R920" s="85">
        <f>STATS1003B!R920/1000</f>
        <v>0</v>
      </c>
      <c r="S920" s="85">
        <f>STATS1003B!S920/1000</f>
        <v>0</v>
      </c>
      <c r="T920" s="85">
        <f>STATS1003B!T920/1000</f>
        <v>0</v>
      </c>
      <c r="U920" s="85">
        <f>STATS1003B!U920/1000</f>
        <v>0</v>
      </c>
      <c r="V920" s="85">
        <f>STATS1003B!V920/1000</f>
        <v>4722.4857400000001</v>
      </c>
      <c r="W920" s="85">
        <f>STATS1003B!W920/1000</f>
        <v>0</v>
      </c>
      <c r="X920" s="85">
        <f t="shared" si="116"/>
        <v>4722.4857400000001</v>
      </c>
      <c r="Y920" s="85">
        <f>STATS1003B!Y920/1000</f>
        <v>0</v>
      </c>
      <c r="Z920" s="85">
        <f t="shared" si="117"/>
        <v>0</v>
      </c>
      <c r="AA920" s="69">
        <f>STATS1003B!AA920/1000</f>
        <v>4722.4857400000001</v>
      </c>
      <c r="AB920" s="69">
        <f>STATS1003B!AB920/1000</f>
        <v>0</v>
      </c>
    </row>
    <row r="921" spans="1:28" hidden="1" x14ac:dyDescent="0.3">
      <c r="A921" s="117"/>
      <c r="E921" s="86" t="s">
        <v>29</v>
      </c>
      <c r="F921" s="86" t="s">
        <v>29</v>
      </c>
      <c r="G921" s="86" t="s">
        <v>29</v>
      </c>
      <c r="H921" s="86" t="s">
        <v>29</v>
      </c>
      <c r="I921" s="86" t="s">
        <v>29</v>
      </c>
      <c r="J921" s="86" t="s">
        <v>29</v>
      </c>
      <c r="K921" s="86" t="s">
        <v>29</v>
      </c>
      <c r="L921" s="86" t="s">
        <v>29</v>
      </c>
      <c r="M921" s="86" t="s">
        <v>29</v>
      </c>
      <c r="N921" s="86" t="s">
        <v>29</v>
      </c>
      <c r="O921" s="86" t="s">
        <v>29</v>
      </c>
      <c r="P921" s="86" t="s">
        <v>29</v>
      </c>
      <c r="Q921" s="86" t="s">
        <v>29</v>
      </c>
      <c r="R921" s="86" t="s">
        <v>29</v>
      </c>
      <c r="S921" s="86" t="s">
        <v>29</v>
      </c>
      <c r="T921" s="86" t="s">
        <v>29</v>
      </c>
      <c r="U921" s="86" t="s">
        <v>29</v>
      </c>
      <c r="V921" s="86" t="s">
        <v>29</v>
      </c>
      <c r="W921" s="86" t="s">
        <v>29</v>
      </c>
      <c r="X921" s="85" t="e">
        <f t="shared" si="116"/>
        <v>#VALUE!</v>
      </c>
      <c r="Y921" s="86" t="s">
        <v>29</v>
      </c>
      <c r="Z921" s="85" t="e">
        <f t="shared" si="117"/>
        <v>#VALUE!</v>
      </c>
      <c r="AA921" s="115" t="s">
        <v>29</v>
      </c>
      <c r="AB921" s="115" t="s">
        <v>29</v>
      </c>
    </row>
    <row r="922" spans="1:28" x14ac:dyDescent="0.3">
      <c r="A922" s="116">
        <v>43</v>
      </c>
      <c r="B922" s="68" t="s">
        <v>658</v>
      </c>
      <c r="E922" s="85">
        <f>164112194.72/1000</f>
        <v>164112.19472</v>
      </c>
      <c r="F922" s="85">
        <f t="shared" ref="F922:Y922" si="118">SUM(F898:F921)</f>
        <v>44117.987710000001</v>
      </c>
      <c r="G922" s="85">
        <f t="shared" si="118"/>
        <v>0</v>
      </c>
      <c r="H922" s="85">
        <f>144617316.13/1000</f>
        <v>144617.31612999999</v>
      </c>
      <c r="I922" s="85">
        <f t="shared" si="118"/>
        <v>0</v>
      </c>
      <c r="J922" s="85">
        <f t="shared" si="118"/>
        <v>39417.63824</v>
      </c>
      <c r="K922" s="85">
        <f t="shared" si="118"/>
        <v>19494.878589999997</v>
      </c>
      <c r="L922" s="85">
        <f t="shared" si="118"/>
        <v>0</v>
      </c>
      <c r="M922" s="85">
        <f t="shared" si="118"/>
        <v>44117.987710000001</v>
      </c>
      <c r="N922" s="85">
        <f t="shared" si="118"/>
        <v>19494.878589999997</v>
      </c>
      <c r="O922" s="85">
        <f t="shared" si="118"/>
        <v>0</v>
      </c>
      <c r="P922" s="85">
        <f>19494878/1000</f>
        <v>19494.878000000001</v>
      </c>
      <c r="Q922" s="85">
        <f t="shared" si="118"/>
        <v>39417.63824</v>
      </c>
      <c r="R922" s="85">
        <f t="shared" si="118"/>
        <v>0</v>
      </c>
      <c r="S922" s="85">
        <f t="shared" si="118"/>
        <v>0</v>
      </c>
      <c r="T922" s="85">
        <f t="shared" si="118"/>
        <v>0</v>
      </c>
      <c r="U922" s="85">
        <f t="shared" si="118"/>
        <v>19494.878589999997</v>
      </c>
      <c r="V922" s="85">
        <f t="shared" si="118"/>
        <v>61158.219779999999</v>
      </c>
      <c r="W922" s="85">
        <f t="shared" si="118"/>
        <v>0</v>
      </c>
      <c r="X922" s="85">
        <f>+H922+P922</f>
        <v>164112.19412999999</v>
      </c>
      <c r="Y922" s="85">
        <f t="shared" si="118"/>
        <v>0</v>
      </c>
      <c r="Z922" s="85">
        <f t="shared" si="117"/>
        <v>5.90000010561198E-4</v>
      </c>
      <c r="AA922" s="69">
        <f>SUM(AA898:AA921)</f>
        <v>63612.866300000009</v>
      </c>
      <c r="AB922" s="69">
        <f>SUM(AB898:AB921)</f>
        <v>0</v>
      </c>
    </row>
    <row r="923" spans="1:28" hidden="1" x14ac:dyDescent="0.3">
      <c r="A923" s="117"/>
      <c r="E923" s="86" t="s">
        <v>29</v>
      </c>
      <c r="F923" s="86" t="s">
        <v>29</v>
      </c>
      <c r="G923" s="86" t="s">
        <v>29</v>
      </c>
      <c r="H923" s="86" t="s">
        <v>29</v>
      </c>
      <c r="I923" s="86" t="s">
        <v>29</v>
      </c>
      <c r="J923" s="86" t="s">
        <v>29</v>
      </c>
      <c r="K923" s="86" t="s">
        <v>29</v>
      </c>
      <c r="L923" s="86" t="s">
        <v>29</v>
      </c>
      <c r="M923" s="86" t="s">
        <v>29</v>
      </c>
      <c r="N923" s="86" t="s">
        <v>29</v>
      </c>
      <c r="O923" s="86" t="s">
        <v>29</v>
      </c>
      <c r="P923" s="86" t="s">
        <v>29</v>
      </c>
      <c r="Q923" s="86" t="s">
        <v>29</v>
      </c>
      <c r="R923" s="86" t="s">
        <v>29</v>
      </c>
      <c r="S923" s="86" t="s">
        <v>29</v>
      </c>
      <c r="T923" s="86" t="s">
        <v>29</v>
      </c>
      <c r="U923" s="86" t="s">
        <v>29</v>
      </c>
      <c r="V923" s="86" t="s">
        <v>29</v>
      </c>
      <c r="W923" s="86" t="s">
        <v>29</v>
      </c>
      <c r="X923" s="85" t="e">
        <f t="shared" si="116"/>
        <v>#VALUE!</v>
      </c>
      <c r="Y923" s="86" t="s">
        <v>29</v>
      </c>
      <c r="Z923" s="85" t="e">
        <f t="shared" si="117"/>
        <v>#VALUE!</v>
      </c>
      <c r="AA923" s="115" t="s">
        <v>29</v>
      </c>
      <c r="AB923" s="115" t="s">
        <v>29</v>
      </c>
    </row>
    <row r="924" spans="1:28" hidden="1" x14ac:dyDescent="0.3">
      <c r="A924" s="105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6"/>
      <c r="S924" s="86"/>
      <c r="T924" s="86"/>
      <c r="U924" s="86"/>
      <c r="V924" s="86"/>
      <c r="W924" s="86"/>
      <c r="X924" s="85">
        <f t="shared" si="116"/>
        <v>0</v>
      </c>
      <c r="Y924" s="86"/>
      <c r="Z924" s="85">
        <f t="shared" si="117"/>
        <v>0</v>
      </c>
      <c r="AA924" s="118"/>
    </row>
    <row r="925" spans="1:28" hidden="1" x14ac:dyDescent="0.3">
      <c r="A925" s="117"/>
      <c r="C925" s="68" t="s">
        <v>539</v>
      </c>
      <c r="D925" s="145" t="s">
        <v>68</v>
      </c>
      <c r="E925" s="85">
        <f>STATS1003B!E925/1000</f>
        <v>472.3433</v>
      </c>
      <c r="F925" s="85">
        <f>STATS1003B!F925/1000</f>
        <v>0</v>
      </c>
      <c r="G925" s="85">
        <f>STATS1003B!G925/1000</f>
        <v>0</v>
      </c>
      <c r="H925" s="85">
        <f>STATS1003B!H925/1000</f>
        <v>0</v>
      </c>
      <c r="I925" s="85">
        <f>STATS1003B!I925/1000</f>
        <v>0</v>
      </c>
      <c r="J925" s="85">
        <f>STATS1003B!J925/1000</f>
        <v>0</v>
      </c>
      <c r="K925" s="85">
        <f>STATS1003B!K925/1000</f>
        <v>472.3433</v>
      </c>
      <c r="L925" s="85">
        <f>STATS1003B!L925/1000</f>
        <v>0</v>
      </c>
      <c r="M925" s="85">
        <f>STATS1003B!M925/1000</f>
        <v>0</v>
      </c>
      <c r="N925" s="85">
        <f>STATS1003B!N925/1000</f>
        <v>472.3433</v>
      </c>
      <c r="O925" s="85">
        <f>STATS1003B!O925/1000</f>
        <v>0</v>
      </c>
      <c r="P925" s="85">
        <f>STATS1003B!P925/1000</f>
        <v>472.3433</v>
      </c>
      <c r="Q925" s="85">
        <f>STATS1003B!Q925/1000</f>
        <v>0</v>
      </c>
      <c r="R925" s="85">
        <f>STATS1003B!R925/1000</f>
        <v>0</v>
      </c>
      <c r="S925" s="85">
        <f>STATS1003B!S925/1000</f>
        <v>0</v>
      </c>
      <c r="T925" s="85">
        <f>STATS1003B!T925/1000</f>
        <v>0</v>
      </c>
      <c r="U925" s="85">
        <f>STATS1003B!U925/1000</f>
        <v>472.3433</v>
      </c>
      <c r="V925" s="85">
        <f>STATS1003B!V925/1000</f>
        <v>472.3433</v>
      </c>
      <c r="W925" s="85">
        <f>STATS1003B!W925/1000</f>
        <v>0</v>
      </c>
      <c r="X925" s="85">
        <f t="shared" si="116"/>
        <v>472.3433</v>
      </c>
      <c r="Y925" s="85">
        <f>STATS1003B!Y925/1000</f>
        <v>0</v>
      </c>
      <c r="Z925" s="85">
        <f t="shared" si="117"/>
        <v>0</v>
      </c>
      <c r="AA925" s="69">
        <f>STATS1003B!AA925/1000</f>
        <v>472.3433</v>
      </c>
      <c r="AB925" s="69">
        <f>STATS1003B!AB925/1000</f>
        <v>0</v>
      </c>
    </row>
    <row r="926" spans="1:28" hidden="1" x14ac:dyDescent="0.3">
      <c r="A926" s="117"/>
      <c r="C926" s="68" t="s">
        <v>665</v>
      </c>
      <c r="D926" s="145" t="s">
        <v>68</v>
      </c>
      <c r="E926" s="85">
        <f>STATS1003B!E926/1000</f>
        <v>1700</v>
      </c>
      <c r="F926" s="85">
        <f>STATS1003B!F926/1000</f>
        <v>685.94758000000013</v>
      </c>
      <c r="G926" s="85">
        <f>STATS1003B!G926/1000</f>
        <v>0</v>
      </c>
      <c r="H926" s="85">
        <f>STATS1003B!H926/1000</f>
        <v>685.94758000000013</v>
      </c>
      <c r="I926" s="85">
        <f>STATS1003B!I926/1000</f>
        <v>0</v>
      </c>
      <c r="J926" s="85">
        <f>STATS1003B!J926/1000</f>
        <v>685.94758000000013</v>
      </c>
      <c r="K926" s="85">
        <f>STATS1003B!K926/1000</f>
        <v>1014.0524200000001</v>
      </c>
      <c r="L926" s="85">
        <f>STATS1003B!L926/1000</f>
        <v>0</v>
      </c>
      <c r="M926" s="85">
        <f>STATS1003B!M926/1000</f>
        <v>685.94758000000013</v>
      </c>
      <c r="N926" s="85">
        <f>STATS1003B!N926/1000</f>
        <v>1014.0524200000001</v>
      </c>
      <c r="O926" s="85">
        <f>STATS1003B!O926/1000</f>
        <v>0</v>
      </c>
      <c r="P926" s="85">
        <f>STATS1003B!P926/1000</f>
        <v>1014.0524200000001</v>
      </c>
      <c r="Q926" s="85">
        <f>STATS1003B!Q926/1000</f>
        <v>685.9475799999999</v>
      </c>
      <c r="R926" s="85">
        <f>STATS1003B!R926/1000</f>
        <v>0</v>
      </c>
      <c r="S926" s="85">
        <f>STATS1003B!S926/1000</f>
        <v>0</v>
      </c>
      <c r="T926" s="85">
        <f>STATS1003B!T926/1000</f>
        <v>0</v>
      </c>
      <c r="U926" s="85">
        <f>STATS1003B!U926/1000</f>
        <v>1014.0524200000001</v>
      </c>
      <c r="V926" s="85">
        <f>STATS1003B!V926/1000</f>
        <v>1700</v>
      </c>
      <c r="W926" s="85">
        <f>STATS1003B!W926/1000</f>
        <v>0</v>
      </c>
      <c r="X926" s="85">
        <f t="shared" si="116"/>
        <v>1700.0000000000002</v>
      </c>
      <c r="Y926" s="85">
        <f>STATS1003B!Y926/1000</f>
        <v>0</v>
      </c>
      <c r="Z926" s="85">
        <f t="shared" si="117"/>
        <v>0</v>
      </c>
      <c r="AA926" s="69">
        <f>STATS1003B!AA926/1000</f>
        <v>1700</v>
      </c>
      <c r="AB926" s="69">
        <f>STATS1003B!AB926/1000</f>
        <v>0</v>
      </c>
    </row>
    <row r="927" spans="1:28" hidden="1" x14ac:dyDescent="0.3">
      <c r="A927" s="117"/>
      <c r="C927" s="68" t="s">
        <v>665</v>
      </c>
      <c r="D927" s="145" t="s">
        <v>68</v>
      </c>
      <c r="E927" s="85">
        <f>STATS1003B!E927/1000</f>
        <v>2550</v>
      </c>
      <c r="F927" s="85">
        <f>STATS1003B!F927/1000</f>
        <v>2545.1856699999998</v>
      </c>
      <c r="G927" s="85">
        <f>STATS1003B!G927/1000</f>
        <v>0</v>
      </c>
      <c r="H927" s="85">
        <f>STATS1003B!H927/1000</f>
        <v>2545.1856699999998</v>
      </c>
      <c r="I927" s="85">
        <f>STATS1003B!I927/1000</f>
        <v>0</v>
      </c>
      <c r="J927" s="85">
        <f>STATS1003B!J927/1000</f>
        <v>2545.1856699999998</v>
      </c>
      <c r="K927" s="85">
        <f>STATS1003B!K927/1000</f>
        <v>4.81433</v>
      </c>
      <c r="L927" s="85">
        <f>STATS1003B!L927/1000</f>
        <v>0</v>
      </c>
      <c r="M927" s="85">
        <f>STATS1003B!M927/1000</f>
        <v>2545.1856699999998</v>
      </c>
      <c r="N927" s="85">
        <f>STATS1003B!N927/1000</f>
        <v>4.81433</v>
      </c>
      <c r="O927" s="85">
        <f>STATS1003B!O927/1000</f>
        <v>0</v>
      </c>
      <c r="P927" s="85">
        <f>STATS1003B!P927/1000</f>
        <v>4.81433</v>
      </c>
      <c r="Q927" s="85">
        <f>STATS1003B!Q927/1000</f>
        <v>2545.1856699999998</v>
      </c>
      <c r="R927" s="85">
        <f>STATS1003B!R927/1000</f>
        <v>0</v>
      </c>
      <c r="S927" s="85">
        <f>STATS1003B!S927/1000</f>
        <v>0</v>
      </c>
      <c r="T927" s="85">
        <f>STATS1003B!T927/1000</f>
        <v>0</v>
      </c>
      <c r="U927" s="85">
        <f>STATS1003B!U927/1000</f>
        <v>4.81433</v>
      </c>
      <c r="V927" s="85">
        <f>STATS1003B!V927/1000</f>
        <v>2550</v>
      </c>
      <c r="W927" s="85">
        <f>STATS1003B!W927/1000</f>
        <v>0</v>
      </c>
      <c r="X927" s="85">
        <f t="shared" si="116"/>
        <v>2550</v>
      </c>
      <c r="Y927" s="85">
        <f>STATS1003B!Y927/1000</f>
        <v>0</v>
      </c>
      <c r="Z927" s="85">
        <f t="shared" si="117"/>
        <v>0</v>
      </c>
      <c r="AA927" s="69">
        <f>STATS1003B!AA927/1000</f>
        <v>2550</v>
      </c>
      <c r="AB927" s="69">
        <f>STATS1003B!AB927/1000</f>
        <v>0</v>
      </c>
    </row>
    <row r="928" spans="1:28" hidden="1" x14ac:dyDescent="0.3">
      <c r="A928" s="117"/>
      <c r="C928" s="68" t="s">
        <v>535</v>
      </c>
      <c r="D928" s="145" t="s">
        <v>54</v>
      </c>
      <c r="E928" s="85">
        <f>STATS1003B!E928/1000</f>
        <v>179.19300000000001</v>
      </c>
      <c r="F928" s="85">
        <f>STATS1003B!F928/1000</f>
        <v>179.19300000000001</v>
      </c>
      <c r="G928" s="85">
        <f>STATS1003B!G928/1000</f>
        <v>0</v>
      </c>
      <c r="H928" s="85">
        <f>STATS1003B!H928/1000</f>
        <v>179.19300000000001</v>
      </c>
      <c r="I928" s="85">
        <f>STATS1003B!I928/1000</f>
        <v>0</v>
      </c>
      <c r="J928" s="85">
        <f>STATS1003B!J928/1000</f>
        <v>179.19300000000001</v>
      </c>
      <c r="K928" s="85">
        <f>STATS1003B!K928/1000</f>
        <v>0</v>
      </c>
      <c r="L928" s="85">
        <f>STATS1003B!L928/1000</f>
        <v>0</v>
      </c>
      <c r="M928" s="85">
        <f>STATS1003B!M928/1000</f>
        <v>179.19300000000001</v>
      </c>
      <c r="N928" s="85">
        <f>STATS1003B!N928/1000</f>
        <v>0</v>
      </c>
      <c r="O928" s="85">
        <f>STATS1003B!O928/1000</f>
        <v>0</v>
      </c>
      <c r="P928" s="85">
        <f>STATS1003B!P928/1000</f>
        <v>0</v>
      </c>
      <c r="Q928" s="85">
        <f>STATS1003B!Q928/1000</f>
        <v>179.19300000000001</v>
      </c>
      <c r="R928" s="85">
        <f>STATS1003B!R928/1000</f>
        <v>0</v>
      </c>
      <c r="S928" s="85">
        <f>STATS1003B!S928/1000</f>
        <v>0</v>
      </c>
      <c r="T928" s="85">
        <f>STATS1003B!T928/1000</f>
        <v>0</v>
      </c>
      <c r="U928" s="85">
        <f>STATS1003B!U928/1000</f>
        <v>0</v>
      </c>
      <c r="V928" s="85">
        <f>STATS1003B!V928/1000</f>
        <v>179.19300000000001</v>
      </c>
      <c r="W928" s="85">
        <f>STATS1003B!W928/1000</f>
        <v>0</v>
      </c>
      <c r="X928" s="85">
        <f t="shared" si="116"/>
        <v>179.19300000000001</v>
      </c>
      <c r="Y928" s="85">
        <f>STATS1003B!Y928/1000</f>
        <v>0</v>
      </c>
      <c r="Z928" s="85">
        <f t="shared" si="117"/>
        <v>0</v>
      </c>
      <c r="AA928" s="69">
        <f>STATS1003B!AA928/1000</f>
        <v>179.19300000000001</v>
      </c>
      <c r="AB928" s="69">
        <f>STATS1003B!AB928/1000</f>
        <v>0</v>
      </c>
    </row>
    <row r="929" spans="1:28" hidden="1" x14ac:dyDescent="0.3">
      <c r="A929" s="117"/>
      <c r="C929" s="68" t="s">
        <v>545</v>
      </c>
      <c r="D929" s="145" t="s">
        <v>54</v>
      </c>
      <c r="E929" s="85">
        <f>STATS1003B!E929/1000</f>
        <v>1953.989</v>
      </c>
      <c r="F929" s="85">
        <f>STATS1003B!F929/1000</f>
        <v>0</v>
      </c>
      <c r="G929" s="85">
        <f>STATS1003B!G929/1000</f>
        <v>0</v>
      </c>
      <c r="H929" s="85">
        <f>STATS1003B!H929/1000</f>
        <v>0</v>
      </c>
      <c r="I929" s="85">
        <f>STATS1003B!I929/1000</f>
        <v>0</v>
      </c>
      <c r="J929" s="85">
        <f>STATS1003B!J929/1000</f>
        <v>0</v>
      </c>
      <c r="K929" s="85">
        <f>STATS1003B!K929/1000</f>
        <v>1953.989</v>
      </c>
      <c r="L929" s="85">
        <f>STATS1003B!L929/1000</f>
        <v>0</v>
      </c>
      <c r="M929" s="85">
        <f>STATS1003B!M929/1000</f>
        <v>0</v>
      </c>
      <c r="N929" s="85">
        <f>STATS1003B!N929/1000</f>
        <v>1953.989</v>
      </c>
      <c r="O929" s="85">
        <f>STATS1003B!O929/1000</f>
        <v>0</v>
      </c>
      <c r="P929" s="85">
        <f>STATS1003B!P929/1000</f>
        <v>1953.989</v>
      </c>
      <c r="Q929" s="85">
        <f>STATS1003B!Q929/1000</f>
        <v>0</v>
      </c>
      <c r="R929" s="85">
        <f>STATS1003B!R929/1000</f>
        <v>0</v>
      </c>
      <c r="S929" s="85">
        <f>STATS1003B!S929/1000</f>
        <v>0</v>
      </c>
      <c r="T929" s="85">
        <f>STATS1003B!T929/1000</f>
        <v>0</v>
      </c>
      <c r="U929" s="85">
        <f>STATS1003B!U929/1000</f>
        <v>1953.989</v>
      </c>
      <c r="V929" s="85">
        <f>STATS1003B!V929/1000</f>
        <v>1953.989</v>
      </c>
      <c r="W929" s="85">
        <f>STATS1003B!W929/1000</f>
        <v>0</v>
      </c>
      <c r="X929" s="85">
        <f t="shared" si="116"/>
        <v>1953.989</v>
      </c>
      <c r="Y929" s="85">
        <f>STATS1003B!Y929/1000</f>
        <v>0</v>
      </c>
      <c r="Z929" s="85">
        <f t="shared" si="117"/>
        <v>0</v>
      </c>
      <c r="AA929" s="69">
        <f>STATS1003B!AA929/1000</f>
        <v>1953.989</v>
      </c>
      <c r="AB929" s="69">
        <f>STATS1003B!AB929/1000</f>
        <v>0</v>
      </c>
    </row>
    <row r="930" spans="1:28" hidden="1" x14ac:dyDescent="0.3">
      <c r="A930" s="117"/>
      <c r="C930" s="68" t="s">
        <v>535</v>
      </c>
      <c r="D930" s="145" t="s">
        <v>85</v>
      </c>
      <c r="E930" s="85">
        <f>STATS1003B!E930/1000</f>
        <v>665.1</v>
      </c>
      <c r="F930" s="85">
        <f>STATS1003B!F930/1000</f>
        <v>665.1</v>
      </c>
      <c r="G930" s="85">
        <f>STATS1003B!G930/1000</f>
        <v>0</v>
      </c>
      <c r="H930" s="85">
        <f>STATS1003B!H930/1000</f>
        <v>665.1</v>
      </c>
      <c r="I930" s="85">
        <f>STATS1003B!I930/1000</f>
        <v>0</v>
      </c>
      <c r="J930" s="85">
        <f>STATS1003B!J930/1000</f>
        <v>665.1</v>
      </c>
      <c r="K930" s="85">
        <f>STATS1003B!K930/1000</f>
        <v>0</v>
      </c>
      <c r="L930" s="85">
        <f>STATS1003B!L930/1000</f>
        <v>0</v>
      </c>
      <c r="M930" s="85">
        <f>STATS1003B!M930/1000</f>
        <v>665.1</v>
      </c>
      <c r="N930" s="85">
        <f>STATS1003B!N930/1000</f>
        <v>0</v>
      </c>
      <c r="O930" s="85">
        <f>STATS1003B!O930/1000</f>
        <v>0</v>
      </c>
      <c r="P930" s="85">
        <f>STATS1003B!P930/1000</f>
        <v>0</v>
      </c>
      <c r="Q930" s="85">
        <f>STATS1003B!Q930/1000</f>
        <v>665.1</v>
      </c>
      <c r="R930" s="85">
        <f>STATS1003B!R930/1000</f>
        <v>0</v>
      </c>
      <c r="S930" s="85">
        <f>STATS1003B!S930/1000</f>
        <v>0</v>
      </c>
      <c r="T930" s="85">
        <f>STATS1003B!T930/1000</f>
        <v>0</v>
      </c>
      <c r="U930" s="85">
        <f>STATS1003B!U930/1000</f>
        <v>0</v>
      </c>
      <c r="V930" s="85">
        <f>STATS1003B!V930/1000</f>
        <v>665.1</v>
      </c>
      <c r="W930" s="85">
        <f>STATS1003B!W930/1000</f>
        <v>0</v>
      </c>
      <c r="X930" s="85">
        <f t="shared" si="116"/>
        <v>665.1</v>
      </c>
      <c r="Y930" s="85">
        <f>STATS1003B!Y930/1000</f>
        <v>0</v>
      </c>
      <c r="Z930" s="85">
        <f t="shared" si="117"/>
        <v>0</v>
      </c>
      <c r="AA930" s="69">
        <f>STATS1003B!AA930/1000</f>
        <v>665.1</v>
      </c>
      <c r="AB930" s="69">
        <f>STATS1003B!AB930/1000</f>
        <v>0</v>
      </c>
    </row>
    <row r="931" spans="1:28" hidden="1" x14ac:dyDescent="0.3">
      <c r="A931" s="117"/>
      <c r="C931" s="68" t="s">
        <v>535</v>
      </c>
      <c r="D931" s="145" t="s">
        <v>128</v>
      </c>
      <c r="E931" s="85">
        <f>STATS1003B!E931/1000</f>
        <v>1500</v>
      </c>
      <c r="F931" s="85">
        <f>STATS1003B!F931/1000</f>
        <v>1500</v>
      </c>
      <c r="G931" s="85">
        <f>STATS1003B!G931/1000</f>
        <v>0</v>
      </c>
      <c r="H931" s="85">
        <f>STATS1003B!H931/1000</f>
        <v>1500</v>
      </c>
      <c r="I931" s="85">
        <f>STATS1003B!I931/1000</f>
        <v>0</v>
      </c>
      <c r="J931" s="85">
        <f>STATS1003B!J931/1000</f>
        <v>1500</v>
      </c>
      <c r="K931" s="85">
        <f>STATS1003B!K931/1000</f>
        <v>0</v>
      </c>
      <c r="L931" s="85">
        <f>STATS1003B!L931/1000</f>
        <v>0</v>
      </c>
      <c r="M931" s="85">
        <f>STATS1003B!M931/1000</f>
        <v>1500</v>
      </c>
      <c r="N931" s="85">
        <f>STATS1003B!N931/1000</f>
        <v>0</v>
      </c>
      <c r="O931" s="85">
        <f>STATS1003B!O931/1000</f>
        <v>0</v>
      </c>
      <c r="P931" s="85">
        <f>STATS1003B!P931/1000</f>
        <v>0</v>
      </c>
      <c r="Q931" s="85">
        <f>STATS1003B!Q931/1000</f>
        <v>1500</v>
      </c>
      <c r="R931" s="85">
        <f>STATS1003B!R931/1000</f>
        <v>0</v>
      </c>
      <c r="S931" s="85">
        <f>STATS1003B!S931/1000</f>
        <v>0</v>
      </c>
      <c r="T931" s="85">
        <f>STATS1003B!T931/1000</f>
        <v>0</v>
      </c>
      <c r="U931" s="85">
        <f>STATS1003B!U931/1000</f>
        <v>0</v>
      </c>
      <c r="V931" s="85">
        <f>STATS1003B!V931/1000</f>
        <v>1500</v>
      </c>
      <c r="W931" s="85">
        <f>STATS1003B!W931/1000</f>
        <v>0</v>
      </c>
      <c r="X931" s="85">
        <f t="shared" si="116"/>
        <v>1500</v>
      </c>
      <c r="Y931" s="85">
        <f>STATS1003B!Y931/1000</f>
        <v>0</v>
      </c>
      <c r="Z931" s="85">
        <f t="shared" si="117"/>
        <v>0</v>
      </c>
      <c r="AA931" s="69">
        <f>STATS1003B!AA931/1000</f>
        <v>1500</v>
      </c>
      <c r="AB931" s="69">
        <f>STATS1003B!AB931/1000</f>
        <v>0</v>
      </c>
    </row>
    <row r="932" spans="1:28" hidden="1" x14ac:dyDescent="0.3">
      <c r="A932" s="117"/>
      <c r="C932" s="68" t="s">
        <v>535</v>
      </c>
      <c r="D932" s="145" t="s">
        <v>88</v>
      </c>
      <c r="E932" s="85">
        <f>STATS1003B!E932/1000</f>
        <v>516.29</v>
      </c>
      <c r="F932" s="85">
        <f>STATS1003B!F932/1000</f>
        <v>516.29</v>
      </c>
      <c r="G932" s="85">
        <f>STATS1003B!G932/1000</f>
        <v>0</v>
      </c>
      <c r="H932" s="85">
        <f>STATS1003B!H932/1000</f>
        <v>516.29</v>
      </c>
      <c r="I932" s="85">
        <f>STATS1003B!I932/1000</f>
        <v>0</v>
      </c>
      <c r="J932" s="85">
        <f>STATS1003B!J932/1000</f>
        <v>516.29</v>
      </c>
      <c r="K932" s="85">
        <f>STATS1003B!K932/1000</f>
        <v>0</v>
      </c>
      <c r="L932" s="85">
        <f>STATS1003B!L932/1000</f>
        <v>0</v>
      </c>
      <c r="M932" s="85">
        <f>STATS1003B!M932/1000</f>
        <v>516.29</v>
      </c>
      <c r="N932" s="85">
        <f>STATS1003B!N932/1000</f>
        <v>0</v>
      </c>
      <c r="O932" s="85">
        <f>STATS1003B!O932/1000</f>
        <v>0</v>
      </c>
      <c r="P932" s="85">
        <f>STATS1003B!P932/1000</f>
        <v>0</v>
      </c>
      <c r="Q932" s="85">
        <f>STATS1003B!Q932/1000</f>
        <v>516.29</v>
      </c>
      <c r="R932" s="85">
        <f>STATS1003B!R932/1000</f>
        <v>0</v>
      </c>
      <c r="S932" s="85">
        <f>STATS1003B!S932/1000</f>
        <v>0</v>
      </c>
      <c r="T932" s="85">
        <f>STATS1003B!T932/1000</f>
        <v>0</v>
      </c>
      <c r="U932" s="85">
        <f>STATS1003B!U932/1000</f>
        <v>0</v>
      </c>
      <c r="V932" s="85">
        <f>STATS1003B!V932/1000</f>
        <v>516.29</v>
      </c>
      <c r="W932" s="85">
        <f>STATS1003B!W932/1000</f>
        <v>0</v>
      </c>
      <c r="X932" s="85">
        <f t="shared" si="116"/>
        <v>516.29</v>
      </c>
      <c r="Y932" s="85">
        <f>STATS1003B!Y932/1000</f>
        <v>0</v>
      </c>
      <c r="Z932" s="85">
        <f t="shared" si="117"/>
        <v>0</v>
      </c>
      <c r="AA932" s="69">
        <f>STATS1003B!AA932/1000</f>
        <v>516.29</v>
      </c>
      <c r="AB932" s="69">
        <f>STATS1003B!AB932/1000</f>
        <v>0</v>
      </c>
    </row>
    <row r="933" spans="1:28" hidden="1" x14ac:dyDescent="0.3">
      <c r="A933" s="117"/>
      <c r="C933" s="68" t="s">
        <v>542</v>
      </c>
      <c r="D933" s="145" t="s">
        <v>88</v>
      </c>
      <c r="E933" s="85">
        <f>STATS1003B!E933/1000</f>
        <v>4500</v>
      </c>
      <c r="F933" s="85">
        <f>STATS1003B!F933/1000</f>
        <v>4500</v>
      </c>
      <c r="G933" s="85">
        <f>STATS1003B!G933/1000</f>
        <v>0</v>
      </c>
      <c r="H933" s="85">
        <f>STATS1003B!H933/1000</f>
        <v>4500</v>
      </c>
      <c r="I933" s="85">
        <f>STATS1003B!I933/1000</f>
        <v>0</v>
      </c>
      <c r="J933" s="85">
        <f>STATS1003B!J933/1000</f>
        <v>4500</v>
      </c>
      <c r="K933" s="85">
        <f>STATS1003B!K933/1000</f>
        <v>0</v>
      </c>
      <c r="L933" s="85">
        <f>STATS1003B!L933/1000</f>
        <v>0</v>
      </c>
      <c r="M933" s="85">
        <f>STATS1003B!M933/1000</f>
        <v>4500</v>
      </c>
      <c r="N933" s="85">
        <f>STATS1003B!N933/1000</f>
        <v>0</v>
      </c>
      <c r="O933" s="85">
        <f>STATS1003B!O933/1000</f>
        <v>0</v>
      </c>
      <c r="P933" s="85">
        <f>STATS1003B!P933/1000</f>
        <v>0</v>
      </c>
      <c r="Q933" s="85">
        <f>STATS1003B!Q933/1000</f>
        <v>4500</v>
      </c>
      <c r="R933" s="85">
        <f>STATS1003B!R933/1000</f>
        <v>0</v>
      </c>
      <c r="S933" s="85">
        <f>STATS1003B!S933/1000</f>
        <v>0</v>
      </c>
      <c r="T933" s="85">
        <f>STATS1003B!T933/1000</f>
        <v>0</v>
      </c>
      <c r="U933" s="85">
        <f>STATS1003B!U933/1000</f>
        <v>0</v>
      </c>
      <c r="V933" s="85">
        <f>STATS1003B!V933/1000</f>
        <v>4500</v>
      </c>
      <c r="W933" s="85">
        <f>STATS1003B!W933/1000</f>
        <v>0</v>
      </c>
      <c r="X933" s="85">
        <f t="shared" si="116"/>
        <v>4500</v>
      </c>
      <c r="Y933" s="85">
        <f>STATS1003B!Y933/1000</f>
        <v>0</v>
      </c>
      <c r="Z933" s="85">
        <f t="shared" si="117"/>
        <v>0</v>
      </c>
      <c r="AA933" s="69">
        <f>STATS1003B!AA933/1000</f>
        <v>4500</v>
      </c>
      <c r="AB933" s="69">
        <f>STATS1003B!AB933/1000</f>
        <v>0</v>
      </c>
    </row>
    <row r="934" spans="1:28" hidden="1" x14ac:dyDescent="0.3">
      <c r="A934" s="117"/>
      <c r="C934" s="68" t="s">
        <v>535</v>
      </c>
      <c r="D934" s="145" t="s">
        <v>60</v>
      </c>
      <c r="E934" s="85">
        <f>STATS1003B!E934/1000</f>
        <v>3329.1954900000001</v>
      </c>
      <c r="F934" s="85">
        <f>STATS1003B!F934/1000</f>
        <v>3329.1954900000001</v>
      </c>
      <c r="G934" s="85">
        <f>STATS1003B!G934/1000</f>
        <v>0</v>
      </c>
      <c r="H934" s="85">
        <f>STATS1003B!H934/1000</f>
        <v>3329.1954900000001</v>
      </c>
      <c r="I934" s="85">
        <f>STATS1003B!I934/1000</f>
        <v>0</v>
      </c>
      <c r="J934" s="85">
        <f>STATS1003B!J934/1000</f>
        <v>3329.1954900000001</v>
      </c>
      <c r="K934" s="85">
        <f>STATS1003B!K934/1000</f>
        <v>0</v>
      </c>
      <c r="L934" s="85">
        <f>STATS1003B!L934/1000</f>
        <v>0</v>
      </c>
      <c r="M934" s="85">
        <f>STATS1003B!M934/1000</f>
        <v>3329.1954900000001</v>
      </c>
      <c r="N934" s="85">
        <f>STATS1003B!N934/1000</f>
        <v>0</v>
      </c>
      <c r="O934" s="85">
        <f>STATS1003B!O934/1000</f>
        <v>0</v>
      </c>
      <c r="P934" s="85">
        <f>STATS1003B!P934/1000</f>
        <v>0</v>
      </c>
      <c r="Q934" s="85">
        <f>STATS1003B!Q934/1000</f>
        <v>3329.1954900000001</v>
      </c>
      <c r="R934" s="85">
        <f>STATS1003B!R934/1000</f>
        <v>0</v>
      </c>
      <c r="S934" s="85">
        <f>STATS1003B!S934/1000</f>
        <v>0</v>
      </c>
      <c r="T934" s="85">
        <f>STATS1003B!T934/1000</f>
        <v>0</v>
      </c>
      <c r="U934" s="85">
        <f>STATS1003B!U934/1000</f>
        <v>0</v>
      </c>
      <c r="V934" s="85">
        <f>STATS1003B!V934/1000</f>
        <v>3329.1954900000001</v>
      </c>
      <c r="W934" s="85">
        <f>STATS1003B!W934/1000</f>
        <v>0</v>
      </c>
      <c r="X934" s="85">
        <f t="shared" si="116"/>
        <v>3329.1954900000001</v>
      </c>
      <c r="Y934" s="85">
        <f>STATS1003B!Y934/1000</f>
        <v>0</v>
      </c>
      <c r="Z934" s="85">
        <f t="shared" si="117"/>
        <v>0</v>
      </c>
      <c r="AA934" s="69">
        <f>STATS1003B!AA934/1000</f>
        <v>3329.1954900000001</v>
      </c>
      <c r="AB934" s="69">
        <f>STATS1003B!AB934/1000</f>
        <v>0</v>
      </c>
    </row>
    <row r="935" spans="1:28" hidden="1" x14ac:dyDescent="0.3">
      <c r="A935" s="117"/>
      <c r="C935" s="68" t="s">
        <v>1125</v>
      </c>
      <c r="D935" s="90" t="s">
        <v>1126</v>
      </c>
      <c r="E935" s="85">
        <f>STATS1003B!E935/1000</f>
        <v>300</v>
      </c>
      <c r="F935" s="85">
        <f>STATS1003B!F935/1000</f>
        <v>300</v>
      </c>
      <c r="G935" s="85">
        <f>STATS1003B!G935/1000</f>
        <v>0</v>
      </c>
      <c r="H935" s="85">
        <f>STATS1003B!H935/1000</f>
        <v>300</v>
      </c>
      <c r="I935" s="85">
        <f>STATS1003B!I935/1000</f>
        <v>0</v>
      </c>
      <c r="J935" s="85">
        <f>STATS1003B!J935/1000</f>
        <v>300</v>
      </c>
      <c r="K935" s="85">
        <f>STATS1003B!K935/1000</f>
        <v>0</v>
      </c>
      <c r="L935" s="85">
        <f>STATS1003B!L935/1000</f>
        <v>0</v>
      </c>
      <c r="M935" s="85">
        <f>STATS1003B!M935/1000</f>
        <v>300</v>
      </c>
      <c r="N935" s="85">
        <f>STATS1003B!N935/1000</f>
        <v>0</v>
      </c>
      <c r="O935" s="85">
        <f>STATS1003B!O935/1000</f>
        <v>0</v>
      </c>
      <c r="P935" s="85">
        <f>STATS1003B!P935/1000</f>
        <v>0</v>
      </c>
      <c r="Q935" s="85">
        <f>STATS1003B!Q935/1000</f>
        <v>300</v>
      </c>
      <c r="R935" s="85">
        <f>STATS1003B!R935/1000</f>
        <v>0</v>
      </c>
      <c r="S935" s="85">
        <f>STATS1003B!S935/1000</f>
        <v>0</v>
      </c>
      <c r="T935" s="85">
        <f>STATS1003B!T935/1000</f>
        <v>0</v>
      </c>
      <c r="U935" s="85">
        <f>STATS1003B!U935/1000</f>
        <v>0</v>
      </c>
      <c r="V935" s="85">
        <f>STATS1003B!V935/1000</f>
        <v>300</v>
      </c>
      <c r="W935" s="85">
        <f>STATS1003B!W935/1000</f>
        <v>0</v>
      </c>
      <c r="X935" s="85">
        <f t="shared" si="116"/>
        <v>300</v>
      </c>
      <c r="Y935" s="85">
        <f>STATS1003B!Y935/1000</f>
        <v>0</v>
      </c>
      <c r="Z935" s="85">
        <f t="shared" si="117"/>
        <v>0</v>
      </c>
      <c r="AA935" s="69">
        <f>STATS1003B!AA935/1000</f>
        <v>300</v>
      </c>
      <c r="AB935" s="69">
        <f>STATS1003B!AB935/1000</f>
        <v>0</v>
      </c>
    </row>
    <row r="936" spans="1:28" hidden="1" x14ac:dyDescent="0.3">
      <c r="A936" s="117"/>
      <c r="C936" s="93" t="s">
        <v>1116</v>
      </c>
      <c r="D936" s="90" t="s">
        <v>1072</v>
      </c>
      <c r="E936" s="85">
        <f>STATS1003B!E936/1000</f>
        <v>1677.4192600000001</v>
      </c>
      <c r="F936" s="85">
        <f>STATS1003B!F936/1000</f>
        <v>1677.4192600000001</v>
      </c>
      <c r="G936" s="85">
        <f>STATS1003B!G936/1000</f>
        <v>0</v>
      </c>
      <c r="H936" s="85">
        <f>STATS1003B!H936/1000</f>
        <v>1677.4192600000001</v>
      </c>
      <c r="I936" s="85">
        <f>STATS1003B!I936/1000</f>
        <v>0</v>
      </c>
      <c r="J936" s="85">
        <f>STATS1003B!J936/1000</f>
        <v>1677.4192600000001</v>
      </c>
      <c r="K936" s="85">
        <f>STATS1003B!K936/1000</f>
        <v>0</v>
      </c>
      <c r="L936" s="85">
        <f>STATS1003B!L936/1000</f>
        <v>0</v>
      </c>
      <c r="M936" s="85">
        <f>STATS1003B!M936/1000</f>
        <v>1677.4192600000001</v>
      </c>
      <c r="N936" s="85">
        <f>STATS1003B!N936/1000</f>
        <v>0</v>
      </c>
      <c r="O936" s="85">
        <f>STATS1003B!O936/1000</f>
        <v>0</v>
      </c>
      <c r="P936" s="85">
        <f>STATS1003B!P936/1000</f>
        <v>0</v>
      </c>
      <c r="Q936" s="85">
        <f>STATS1003B!Q936/1000</f>
        <v>1677.4192600000001</v>
      </c>
      <c r="R936" s="85">
        <f>STATS1003B!R936/1000</f>
        <v>0</v>
      </c>
      <c r="S936" s="85">
        <f>STATS1003B!S936/1000</f>
        <v>0</v>
      </c>
      <c r="T936" s="85">
        <f>STATS1003B!T936/1000</f>
        <v>0</v>
      </c>
      <c r="U936" s="85">
        <f>STATS1003B!U936/1000</f>
        <v>0</v>
      </c>
      <c r="V936" s="85">
        <f>STATS1003B!V936/1000</f>
        <v>1677.4192600000001</v>
      </c>
      <c r="W936" s="85">
        <f>STATS1003B!W936/1000</f>
        <v>0</v>
      </c>
      <c r="X936" s="85">
        <f t="shared" si="116"/>
        <v>1677.4192600000001</v>
      </c>
      <c r="Y936" s="85">
        <f>STATS1003B!Y936/1000</f>
        <v>0</v>
      </c>
      <c r="Z936" s="85">
        <f t="shared" si="117"/>
        <v>0</v>
      </c>
      <c r="AA936" s="69">
        <f>STATS1003B!AA936/1000</f>
        <v>1677.4192600000001</v>
      </c>
      <c r="AB936" s="69">
        <f>STATS1003B!AB936/1000</f>
        <v>0</v>
      </c>
    </row>
    <row r="937" spans="1:28" hidden="1" x14ac:dyDescent="0.3">
      <c r="A937" s="117"/>
      <c r="C937" s="68" t="s">
        <v>562</v>
      </c>
      <c r="E937" s="85">
        <f>STATS1003B!E937/1000</f>
        <v>313.09542000000005</v>
      </c>
      <c r="F937" s="85">
        <f>STATS1003B!F937/1000</f>
        <v>313.09541999999999</v>
      </c>
      <c r="G937" s="85">
        <f>STATS1003B!G937/1000</f>
        <v>0</v>
      </c>
      <c r="H937" s="85">
        <f>STATS1003B!H937/1000</f>
        <v>313.09541999999999</v>
      </c>
      <c r="I937" s="85">
        <f>STATS1003B!I937/1000</f>
        <v>0</v>
      </c>
      <c r="J937" s="85">
        <f>STATS1003B!J937/1000</f>
        <v>313.09541999999999</v>
      </c>
      <c r="K937" s="85">
        <f>STATS1003B!K937/1000</f>
        <v>0</v>
      </c>
      <c r="L937" s="85">
        <f>STATS1003B!L937/1000</f>
        <v>0</v>
      </c>
      <c r="M937" s="85">
        <f>STATS1003B!M937/1000</f>
        <v>313.09541999999999</v>
      </c>
      <c r="N937" s="85">
        <f>STATS1003B!N937/1000</f>
        <v>0</v>
      </c>
      <c r="O937" s="85">
        <f>STATS1003B!O937/1000</f>
        <v>0</v>
      </c>
      <c r="P937" s="85">
        <f>STATS1003B!P937/1000</f>
        <v>0</v>
      </c>
      <c r="Q937" s="85">
        <f>STATS1003B!Q937/1000</f>
        <v>313.09542000000005</v>
      </c>
      <c r="R937" s="85">
        <f>STATS1003B!R937/1000</f>
        <v>0</v>
      </c>
      <c r="S937" s="85">
        <f>STATS1003B!S937/1000</f>
        <v>0</v>
      </c>
      <c r="T937" s="85">
        <f>STATS1003B!T937/1000</f>
        <v>0</v>
      </c>
      <c r="U937" s="85">
        <f>STATS1003B!U937/1000</f>
        <v>0</v>
      </c>
      <c r="V937" s="85">
        <f>STATS1003B!V937/1000</f>
        <v>313.09541999999999</v>
      </c>
      <c r="W937" s="85">
        <f>STATS1003B!W937/1000</f>
        <v>0</v>
      </c>
      <c r="X937" s="85">
        <f t="shared" si="116"/>
        <v>313.09541999999999</v>
      </c>
      <c r="Y937" s="85">
        <f>STATS1003B!Y937/1000</f>
        <v>0</v>
      </c>
      <c r="Z937" s="85">
        <f t="shared" si="117"/>
        <v>0</v>
      </c>
      <c r="AA937" s="69">
        <f>STATS1003B!AA937/1000</f>
        <v>313.09541999999999</v>
      </c>
      <c r="AB937" s="69">
        <f>STATS1003B!AB937/1000</f>
        <v>0</v>
      </c>
    </row>
    <row r="938" spans="1:28" hidden="1" x14ac:dyDescent="0.3">
      <c r="A938" s="117"/>
      <c r="C938" s="68" t="s">
        <v>551</v>
      </c>
      <c r="E938" s="85">
        <f>STATS1003B!E938/1000</f>
        <v>12184.36203</v>
      </c>
      <c r="F938" s="85">
        <f>STATS1003B!F938/1000</f>
        <v>12184.36203</v>
      </c>
      <c r="G938" s="85">
        <f>STATS1003B!G938/1000</f>
        <v>0</v>
      </c>
      <c r="H938" s="85">
        <f>STATS1003B!H938/1000</f>
        <v>12184.36203</v>
      </c>
      <c r="I938" s="85">
        <f>STATS1003B!I938/1000</f>
        <v>0</v>
      </c>
      <c r="J938" s="85">
        <f>STATS1003B!J938/1000</f>
        <v>12184.36203</v>
      </c>
      <c r="K938" s="85">
        <f>STATS1003B!K938/1000</f>
        <v>0</v>
      </c>
      <c r="L938" s="85">
        <f>STATS1003B!L938/1000</f>
        <v>0</v>
      </c>
      <c r="M938" s="85">
        <f>STATS1003B!M938/1000</f>
        <v>12184.36203</v>
      </c>
      <c r="N938" s="85">
        <f>STATS1003B!N938/1000</f>
        <v>0</v>
      </c>
      <c r="O938" s="85">
        <f>STATS1003B!O938/1000</f>
        <v>0</v>
      </c>
      <c r="P938" s="85">
        <f>STATS1003B!P938/1000</f>
        <v>0</v>
      </c>
      <c r="Q938" s="85">
        <f>STATS1003B!Q938/1000</f>
        <v>12184.36203</v>
      </c>
      <c r="R938" s="85">
        <f>STATS1003B!R938/1000</f>
        <v>0</v>
      </c>
      <c r="S938" s="85">
        <f>STATS1003B!S938/1000</f>
        <v>0</v>
      </c>
      <c r="T938" s="85">
        <f>STATS1003B!T938/1000</f>
        <v>0</v>
      </c>
      <c r="U938" s="85">
        <f>STATS1003B!U938/1000</f>
        <v>0</v>
      </c>
      <c r="V938" s="85">
        <f>STATS1003B!V938/1000</f>
        <v>12184.36203</v>
      </c>
      <c r="W938" s="85">
        <f>STATS1003B!W938/1000</f>
        <v>0</v>
      </c>
      <c r="X938" s="85">
        <f t="shared" si="116"/>
        <v>12184.36203</v>
      </c>
      <c r="Y938" s="85">
        <f>STATS1003B!Y938/1000</f>
        <v>0</v>
      </c>
      <c r="Z938" s="85">
        <f t="shared" si="117"/>
        <v>0</v>
      </c>
      <c r="AA938" s="69">
        <f>STATS1003B!AA938/1000</f>
        <v>12184.36203</v>
      </c>
      <c r="AB938" s="69">
        <f>STATS1003B!AB938/1000</f>
        <v>0</v>
      </c>
    </row>
    <row r="939" spans="1:28" hidden="1" x14ac:dyDescent="0.3">
      <c r="A939" s="117"/>
      <c r="C939" s="68" t="s">
        <v>606</v>
      </c>
      <c r="E939" s="85">
        <f>STATS1003B!E939/1000</f>
        <v>2500</v>
      </c>
      <c r="F939" s="85">
        <f>STATS1003B!F939/1000</f>
        <v>2500</v>
      </c>
      <c r="G939" s="85">
        <f>STATS1003B!G939/1000</f>
        <v>0</v>
      </c>
      <c r="H939" s="85">
        <f>STATS1003B!H939/1000</f>
        <v>2500</v>
      </c>
      <c r="I939" s="85">
        <f>STATS1003B!I939/1000</f>
        <v>0</v>
      </c>
      <c r="J939" s="85">
        <f>STATS1003B!J939/1000</f>
        <v>2500</v>
      </c>
      <c r="K939" s="85">
        <f>STATS1003B!K939/1000</f>
        <v>0</v>
      </c>
      <c r="L939" s="85">
        <f>STATS1003B!L939/1000</f>
        <v>0</v>
      </c>
      <c r="M939" s="85">
        <f>STATS1003B!M939/1000</f>
        <v>2500</v>
      </c>
      <c r="N939" s="85">
        <f>STATS1003B!N939/1000</f>
        <v>0</v>
      </c>
      <c r="O939" s="85">
        <f>STATS1003B!O939/1000</f>
        <v>0</v>
      </c>
      <c r="P939" s="85">
        <f>STATS1003B!P939/1000</f>
        <v>0</v>
      </c>
      <c r="Q939" s="85">
        <f>STATS1003B!Q939/1000</f>
        <v>2500</v>
      </c>
      <c r="R939" s="85">
        <f>STATS1003B!R939/1000</f>
        <v>0</v>
      </c>
      <c r="S939" s="85">
        <f>STATS1003B!S939/1000</f>
        <v>0</v>
      </c>
      <c r="T939" s="85">
        <f>STATS1003B!T939/1000</f>
        <v>0</v>
      </c>
      <c r="U939" s="85">
        <f>STATS1003B!U939/1000</f>
        <v>0</v>
      </c>
      <c r="V939" s="85">
        <f>STATS1003B!V939/1000</f>
        <v>2500</v>
      </c>
      <c r="W939" s="85">
        <f>STATS1003B!W939/1000</f>
        <v>0</v>
      </c>
      <c r="X939" s="85">
        <f t="shared" si="116"/>
        <v>2500</v>
      </c>
      <c r="Y939" s="85">
        <f>STATS1003B!Y939/1000</f>
        <v>0</v>
      </c>
      <c r="Z939" s="85">
        <f t="shared" si="117"/>
        <v>0</v>
      </c>
      <c r="AA939" s="69">
        <f>STATS1003B!AA939/1000</f>
        <v>2500</v>
      </c>
      <c r="AB939" s="69">
        <f>STATS1003B!AB939/1000</f>
        <v>0</v>
      </c>
    </row>
    <row r="940" spans="1:28" hidden="1" x14ac:dyDescent="0.3">
      <c r="A940" s="117"/>
      <c r="E940" s="86" t="s">
        <v>29</v>
      </c>
      <c r="F940" s="86" t="s">
        <v>29</v>
      </c>
      <c r="G940" s="86" t="s">
        <v>29</v>
      </c>
      <c r="H940" s="86" t="s">
        <v>29</v>
      </c>
      <c r="I940" s="86" t="s">
        <v>29</v>
      </c>
      <c r="J940" s="86" t="s">
        <v>29</v>
      </c>
      <c r="K940" s="86" t="s">
        <v>29</v>
      </c>
      <c r="L940" s="86" t="s">
        <v>29</v>
      </c>
      <c r="M940" s="86" t="s">
        <v>29</v>
      </c>
      <c r="N940" s="86" t="s">
        <v>29</v>
      </c>
      <c r="O940" s="86" t="s">
        <v>29</v>
      </c>
      <c r="P940" s="86" t="s">
        <v>29</v>
      </c>
      <c r="Q940" s="86" t="s">
        <v>29</v>
      </c>
      <c r="R940" s="86" t="s">
        <v>29</v>
      </c>
      <c r="S940" s="86" t="s">
        <v>29</v>
      </c>
      <c r="T940" s="86" t="s">
        <v>29</v>
      </c>
      <c r="U940" s="86" t="s">
        <v>29</v>
      </c>
      <c r="V940" s="86" t="s">
        <v>29</v>
      </c>
      <c r="W940" s="86" t="s">
        <v>29</v>
      </c>
      <c r="X940" s="85" t="e">
        <f t="shared" si="116"/>
        <v>#VALUE!</v>
      </c>
      <c r="Y940" s="86" t="s">
        <v>29</v>
      </c>
      <c r="Z940" s="85" t="e">
        <f t="shared" si="117"/>
        <v>#VALUE!</v>
      </c>
      <c r="AA940" s="115" t="s">
        <v>29</v>
      </c>
      <c r="AB940" s="115" t="s">
        <v>29</v>
      </c>
    </row>
    <row r="941" spans="1:28" x14ac:dyDescent="0.3">
      <c r="A941" s="116">
        <v>44</v>
      </c>
      <c r="B941" s="68" t="s">
        <v>664</v>
      </c>
      <c r="E941" s="85">
        <f>90559280.7/1000</f>
        <v>90559.280700000003</v>
      </c>
      <c r="F941" s="85">
        <f t="shared" ref="F941:Q941" si="119">SUM(F925:F940)</f>
        <v>30895.78845</v>
      </c>
      <c r="G941" s="85">
        <f t="shared" si="119"/>
        <v>0</v>
      </c>
      <c r="H941" s="85">
        <f>87114081.65/1000</f>
        <v>87114.081650000007</v>
      </c>
      <c r="I941" s="85">
        <f t="shared" si="119"/>
        <v>0</v>
      </c>
      <c r="J941" s="85">
        <f t="shared" si="119"/>
        <v>30895.78845</v>
      </c>
      <c r="K941" s="85">
        <f t="shared" si="119"/>
        <v>3445.1990500000002</v>
      </c>
      <c r="L941" s="85">
        <f t="shared" si="119"/>
        <v>0</v>
      </c>
      <c r="M941" s="85">
        <f t="shared" si="119"/>
        <v>30895.78845</v>
      </c>
      <c r="N941" s="85">
        <f t="shared" si="119"/>
        <v>3445.1990500000002</v>
      </c>
      <c r="O941" s="85">
        <f t="shared" si="119"/>
        <v>0</v>
      </c>
      <c r="P941" s="85">
        <f>3445199/1000</f>
        <v>3445.1990000000001</v>
      </c>
      <c r="Q941" s="85">
        <f t="shared" si="119"/>
        <v>30895.78845</v>
      </c>
      <c r="R941" s="86"/>
      <c r="S941" s="86"/>
      <c r="T941" s="85">
        <f t="shared" ref="T941:Y941" si="120">SUM(T925:T940)</f>
        <v>0</v>
      </c>
      <c r="U941" s="85">
        <f t="shared" si="120"/>
        <v>3445.1990500000002</v>
      </c>
      <c r="V941" s="85">
        <f t="shared" si="120"/>
        <v>34340.987500000003</v>
      </c>
      <c r="W941" s="85">
        <f t="shared" si="120"/>
        <v>0</v>
      </c>
      <c r="X941" s="85">
        <f t="shared" si="116"/>
        <v>90559.280650000001</v>
      </c>
      <c r="Y941" s="85">
        <f t="shared" si="120"/>
        <v>0</v>
      </c>
      <c r="Z941" s="85">
        <f t="shared" si="117"/>
        <v>5.0000002374872565E-5</v>
      </c>
      <c r="AA941" s="69">
        <f>SUM(AA925:AA940)</f>
        <v>34340.987500000003</v>
      </c>
      <c r="AB941" s="69">
        <f>SUM(AB925:AB940)</f>
        <v>0</v>
      </c>
    </row>
    <row r="942" spans="1:28" hidden="1" x14ac:dyDescent="0.3">
      <c r="A942" s="117"/>
      <c r="E942" s="86" t="s">
        <v>29</v>
      </c>
      <c r="F942" s="86" t="s">
        <v>29</v>
      </c>
      <c r="G942" s="86" t="s">
        <v>29</v>
      </c>
      <c r="H942" s="86" t="s">
        <v>29</v>
      </c>
      <c r="I942" s="86" t="s">
        <v>29</v>
      </c>
      <c r="J942" s="86" t="s">
        <v>29</v>
      </c>
      <c r="K942" s="86" t="s">
        <v>29</v>
      </c>
      <c r="L942" s="86" t="s">
        <v>29</v>
      </c>
      <c r="M942" s="86" t="s">
        <v>29</v>
      </c>
      <c r="N942" s="86" t="s">
        <v>29</v>
      </c>
      <c r="O942" s="86" t="s">
        <v>29</v>
      </c>
      <c r="P942" s="86" t="s">
        <v>29</v>
      </c>
      <c r="Q942" s="86" t="s">
        <v>29</v>
      </c>
      <c r="R942" s="86" t="s">
        <v>29</v>
      </c>
      <c r="S942" s="86" t="s">
        <v>29</v>
      </c>
      <c r="T942" s="86" t="s">
        <v>29</v>
      </c>
      <c r="U942" s="86" t="s">
        <v>29</v>
      </c>
      <c r="V942" s="86" t="s">
        <v>29</v>
      </c>
      <c r="W942" s="86" t="s">
        <v>29</v>
      </c>
      <c r="X942" s="85" t="e">
        <f t="shared" si="116"/>
        <v>#VALUE!</v>
      </c>
      <c r="Y942" s="86" t="s">
        <v>29</v>
      </c>
      <c r="Z942" s="85" t="e">
        <f t="shared" si="117"/>
        <v>#VALUE!</v>
      </c>
      <c r="AA942" s="115" t="s">
        <v>29</v>
      </c>
      <c r="AB942" s="115" t="s">
        <v>29</v>
      </c>
    </row>
    <row r="943" spans="1:28" hidden="1" x14ac:dyDescent="0.3">
      <c r="A943" s="105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6"/>
      <c r="S943" s="86"/>
      <c r="T943" s="86"/>
      <c r="U943" s="86"/>
      <c r="V943" s="86"/>
      <c r="W943" s="86"/>
      <c r="X943" s="85">
        <f t="shared" si="116"/>
        <v>0</v>
      </c>
      <c r="Y943" s="86"/>
      <c r="Z943" s="85">
        <f t="shared" si="117"/>
        <v>0</v>
      </c>
      <c r="AA943" s="118"/>
    </row>
    <row r="944" spans="1:28" hidden="1" x14ac:dyDescent="0.3">
      <c r="A944" s="117"/>
      <c r="C944" s="68" t="s">
        <v>667</v>
      </c>
      <c r="D944" s="145" t="s">
        <v>85</v>
      </c>
      <c r="E944" s="85">
        <f>STATS1003B!E944/1000</f>
        <v>280</v>
      </c>
      <c r="F944" s="85">
        <f>STATS1003B!F944/1000</f>
        <v>280</v>
      </c>
      <c r="G944" s="85">
        <f>STATS1003B!G944/1000</f>
        <v>0</v>
      </c>
      <c r="H944" s="85">
        <f>STATS1003B!H944/1000</f>
        <v>280</v>
      </c>
      <c r="I944" s="85">
        <f>STATS1003B!I944/1000</f>
        <v>0</v>
      </c>
      <c r="J944" s="85">
        <f>STATS1003B!J944/1000</f>
        <v>280</v>
      </c>
      <c r="K944" s="85">
        <f>STATS1003B!K944/1000</f>
        <v>0</v>
      </c>
      <c r="L944" s="85">
        <f>STATS1003B!L944/1000</f>
        <v>0</v>
      </c>
      <c r="M944" s="85">
        <f>STATS1003B!M944/1000</f>
        <v>280</v>
      </c>
      <c r="N944" s="85">
        <f>STATS1003B!N944/1000</f>
        <v>0</v>
      </c>
      <c r="O944" s="85">
        <f>STATS1003B!O944/1000</f>
        <v>0</v>
      </c>
      <c r="P944" s="85">
        <f>STATS1003B!P944/1000</f>
        <v>0</v>
      </c>
      <c r="Q944" s="85">
        <f>STATS1003B!Q944/1000</f>
        <v>280</v>
      </c>
      <c r="R944" s="85">
        <f>STATS1003B!R944/1000</f>
        <v>0</v>
      </c>
      <c r="S944" s="85">
        <f>STATS1003B!S944/1000</f>
        <v>0</v>
      </c>
      <c r="T944" s="85">
        <f>STATS1003B!T944/1000</f>
        <v>0</v>
      </c>
      <c r="U944" s="85">
        <f>STATS1003B!U944/1000</f>
        <v>0</v>
      </c>
      <c r="V944" s="85">
        <f>STATS1003B!V944/1000</f>
        <v>280</v>
      </c>
      <c r="W944" s="85">
        <f>STATS1003B!W944/1000</f>
        <v>0</v>
      </c>
      <c r="X944" s="85">
        <f t="shared" si="116"/>
        <v>280</v>
      </c>
      <c r="Y944" s="85">
        <f>STATS1003B!Y944/1000</f>
        <v>0</v>
      </c>
      <c r="Z944" s="85">
        <f t="shared" si="117"/>
        <v>0</v>
      </c>
      <c r="AA944" s="69">
        <f>STATS1003B!AA944/1000</f>
        <v>280</v>
      </c>
      <c r="AB944" s="69">
        <f>STATS1003B!AB944/1000</f>
        <v>0</v>
      </c>
    </row>
    <row r="945" spans="1:28" hidden="1" x14ac:dyDescent="0.3">
      <c r="A945" s="117"/>
      <c r="C945" s="68" t="s">
        <v>667</v>
      </c>
      <c r="D945" s="145" t="s">
        <v>85</v>
      </c>
      <c r="E945" s="85">
        <f>STATS1003B!E945/1000</f>
        <v>475</v>
      </c>
      <c r="F945" s="85">
        <f>STATS1003B!F945/1000</f>
        <v>475</v>
      </c>
      <c r="G945" s="85">
        <f>STATS1003B!G945/1000</f>
        <v>0</v>
      </c>
      <c r="H945" s="85">
        <f>STATS1003B!H945/1000</f>
        <v>475</v>
      </c>
      <c r="I945" s="85">
        <f>STATS1003B!I945/1000</f>
        <v>0</v>
      </c>
      <c r="J945" s="85">
        <f>STATS1003B!J945/1000</f>
        <v>475</v>
      </c>
      <c r="K945" s="85">
        <f>STATS1003B!K945/1000</f>
        <v>0</v>
      </c>
      <c r="L945" s="85">
        <f>STATS1003B!L945/1000</f>
        <v>0</v>
      </c>
      <c r="M945" s="85">
        <f>STATS1003B!M945/1000</f>
        <v>475</v>
      </c>
      <c r="N945" s="85">
        <f>STATS1003B!N945/1000</f>
        <v>0</v>
      </c>
      <c r="O945" s="85">
        <f>STATS1003B!O945/1000</f>
        <v>0</v>
      </c>
      <c r="P945" s="85">
        <f>STATS1003B!P945/1000</f>
        <v>0</v>
      </c>
      <c r="Q945" s="85">
        <f>STATS1003B!Q945/1000</f>
        <v>475</v>
      </c>
      <c r="R945" s="85">
        <f>STATS1003B!R945/1000</f>
        <v>0</v>
      </c>
      <c r="S945" s="85">
        <f>STATS1003B!S945/1000</f>
        <v>0</v>
      </c>
      <c r="T945" s="85">
        <f>STATS1003B!T945/1000</f>
        <v>0</v>
      </c>
      <c r="U945" s="85">
        <f>STATS1003B!U945/1000</f>
        <v>0</v>
      </c>
      <c r="V945" s="85">
        <f>STATS1003B!V945/1000</f>
        <v>475</v>
      </c>
      <c r="W945" s="85">
        <f>STATS1003B!W945/1000</f>
        <v>0</v>
      </c>
      <c r="X945" s="85">
        <f t="shared" si="116"/>
        <v>475</v>
      </c>
      <c r="Y945" s="85">
        <f>STATS1003B!Y945/1000</f>
        <v>0</v>
      </c>
      <c r="Z945" s="85">
        <f t="shared" si="117"/>
        <v>0</v>
      </c>
      <c r="AA945" s="69">
        <f>STATS1003B!AA945/1000</f>
        <v>475</v>
      </c>
      <c r="AB945" s="69">
        <f>STATS1003B!AB945/1000</f>
        <v>0</v>
      </c>
    </row>
    <row r="946" spans="1:28" hidden="1" x14ac:dyDescent="0.3">
      <c r="A946" s="117"/>
      <c r="E946" s="86" t="s">
        <v>29</v>
      </c>
      <c r="F946" s="86" t="s">
        <v>29</v>
      </c>
      <c r="G946" s="86" t="s">
        <v>29</v>
      </c>
      <c r="H946" s="86" t="s">
        <v>29</v>
      </c>
      <c r="I946" s="86" t="s">
        <v>29</v>
      </c>
      <c r="J946" s="86" t="s">
        <v>29</v>
      </c>
      <c r="K946" s="86" t="s">
        <v>29</v>
      </c>
      <c r="L946" s="86" t="s">
        <v>29</v>
      </c>
      <c r="M946" s="86" t="s">
        <v>29</v>
      </c>
      <c r="N946" s="86" t="s">
        <v>29</v>
      </c>
      <c r="O946" s="86" t="s">
        <v>29</v>
      </c>
      <c r="P946" s="86" t="s">
        <v>29</v>
      </c>
      <c r="Q946" s="86" t="s">
        <v>29</v>
      </c>
      <c r="R946" s="86" t="s">
        <v>29</v>
      </c>
      <c r="S946" s="86" t="s">
        <v>29</v>
      </c>
      <c r="T946" s="86" t="s">
        <v>29</v>
      </c>
      <c r="U946" s="86" t="s">
        <v>29</v>
      </c>
      <c r="V946" s="86" t="s">
        <v>29</v>
      </c>
      <c r="W946" s="86" t="s">
        <v>29</v>
      </c>
      <c r="X946" s="85" t="e">
        <f t="shared" si="116"/>
        <v>#VALUE!</v>
      </c>
      <c r="Y946" s="86" t="s">
        <v>29</v>
      </c>
      <c r="Z946" s="85" t="e">
        <f t="shared" si="117"/>
        <v>#VALUE!</v>
      </c>
      <c r="AA946" s="115" t="s">
        <v>29</v>
      </c>
      <c r="AB946" s="115" t="s">
        <v>29</v>
      </c>
    </row>
    <row r="947" spans="1:28" x14ac:dyDescent="0.3">
      <c r="A947" s="116"/>
      <c r="B947" s="68" t="s">
        <v>666</v>
      </c>
      <c r="E947" s="85">
        <f>755000/1000</f>
        <v>755</v>
      </c>
      <c r="F947" s="85">
        <f t="shared" ref="F947:Q947" si="121">SUM(F944:F946)</f>
        <v>755</v>
      </c>
      <c r="G947" s="85">
        <f t="shared" si="121"/>
        <v>0</v>
      </c>
      <c r="H947" s="85">
        <f>755000/1000</f>
        <v>755</v>
      </c>
      <c r="I947" s="85">
        <f t="shared" si="121"/>
        <v>0</v>
      </c>
      <c r="J947" s="85">
        <f t="shared" si="121"/>
        <v>755</v>
      </c>
      <c r="K947" s="85">
        <f t="shared" si="121"/>
        <v>0</v>
      </c>
      <c r="L947" s="85">
        <f t="shared" si="121"/>
        <v>0</v>
      </c>
      <c r="M947" s="85">
        <f t="shared" si="121"/>
        <v>755</v>
      </c>
      <c r="N947" s="85">
        <f t="shared" si="121"/>
        <v>0</v>
      </c>
      <c r="O947" s="85">
        <f t="shared" si="121"/>
        <v>0</v>
      </c>
      <c r="P947" s="85">
        <v>0</v>
      </c>
      <c r="Q947" s="85">
        <f t="shared" si="121"/>
        <v>755</v>
      </c>
      <c r="R947" s="86"/>
      <c r="S947" s="86"/>
      <c r="T947" s="85">
        <f t="shared" ref="T947:Y947" si="122">SUM(T944:T946)</f>
        <v>0</v>
      </c>
      <c r="U947" s="85">
        <f t="shared" si="122"/>
        <v>0</v>
      </c>
      <c r="V947" s="85">
        <f t="shared" si="122"/>
        <v>755</v>
      </c>
      <c r="W947" s="85">
        <f t="shared" si="122"/>
        <v>0</v>
      </c>
      <c r="X947" s="85">
        <f t="shared" si="116"/>
        <v>755</v>
      </c>
      <c r="Y947" s="85">
        <f t="shared" si="122"/>
        <v>0</v>
      </c>
      <c r="Z947" s="85">
        <f t="shared" si="117"/>
        <v>0</v>
      </c>
      <c r="AA947" s="69">
        <f>SUM(AA944:AA946)</f>
        <v>755</v>
      </c>
      <c r="AB947" s="69">
        <f>SUM(AB944:AB946)</f>
        <v>0</v>
      </c>
    </row>
    <row r="948" spans="1:28" hidden="1" x14ac:dyDescent="0.3">
      <c r="A948" s="117"/>
      <c r="E948" s="86" t="s">
        <v>29</v>
      </c>
      <c r="F948" s="86" t="s">
        <v>29</v>
      </c>
      <c r="G948" s="86" t="s">
        <v>29</v>
      </c>
      <c r="H948" s="86" t="s">
        <v>29</v>
      </c>
      <c r="I948" s="86" t="s">
        <v>29</v>
      </c>
      <c r="J948" s="86" t="s">
        <v>29</v>
      </c>
      <c r="K948" s="86" t="s">
        <v>29</v>
      </c>
      <c r="L948" s="86" t="s">
        <v>29</v>
      </c>
      <c r="M948" s="86" t="s">
        <v>29</v>
      </c>
      <c r="N948" s="86" t="s">
        <v>29</v>
      </c>
      <c r="O948" s="86" t="s">
        <v>29</v>
      </c>
      <c r="P948" s="86" t="s">
        <v>29</v>
      </c>
      <c r="Q948" s="86" t="s">
        <v>29</v>
      </c>
      <c r="R948" s="86" t="s">
        <v>29</v>
      </c>
      <c r="S948" s="86" t="s">
        <v>29</v>
      </c>
      <c r="T948" s="86" t="s">
        <v>29</v>
      </c>
      <c r="U948" s="86" t="s">
        <v>29</v>
      </c>
      <c r="V948" s="86" t="s">
        <v>29</v>
      </c>
      <c r="W948" s="86" t="s">
        <v>29</v>
      </c>
      <c r="X948" s="85" t="e">
        <f t="shared" si="116"/>
        <v>#VALUE!</v>
      </c>
      <c r="Y948" s="86" t="s">
        <v>29</v>
      </c>
      <c r="Z948" s="85" t="e">
        <f t="shared" si="117"/>
        <v>#VALUE!</v>
      </c>
      <c r="AA948" s="115" t="s">
        <v>29</v>
      </c>
      <c r="AB948" s="115" t="s">
        <v>29</v>
      </c>
    </row>
    <row r="949" spans="1:28" hidden="1" x14ac:dyDescent="0.3">
      <c r="A949" s="117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6"/>
      <c r="S949" s="86"/>
      <c r="T949" s="86"/>
      <c r="U949" s="86"/>
      <c r="V949" s="86"/>
      <c r="W949" s="86"/>
      <c r="X949" s="85">
        <f t="shared" si="116"/>
        <v>0</v>
      </c>
      <c r="Y949" s="86"/>
      <c r="Z949" s="85">
        <f t="shared" si="117"/>
        <v>0</v>
      </c>
    </row>
    <row r="950" spans="1:28" x14ac:dyDescent="0.3">
      <c r="A950" s="117"/>
      <c r="B950" s="68" t="s">
        <v>668</v>
      </c>
      <c r="D950" s="145" t="s">
        <v>85</v>
      </c>
      <c r="E950" s="85">
        <f>160000/1000</f>
        <v>160</v>
      </c>
      <c r="F950" s="85">
        <f>STATS1003B!F950/1000</f>
        <v>160</v>
      </c>
      <c r="G950" s="85">
        <f>STATS1003B!G950/1000</f>
        <v>0</v>
      </c>
      <c r="H950" s="85">
        <f>160000/1000</f>
        <v>160</v>
      </c>
      <c r="I950" s="85">
        <f>STATS1003B!I950/1000</f>
        <v>0</v>
      </c>
      <c r="J950" s="85">
        <f>STATS1003B!J950/1000</f>
        <v>160</v>
      </c>
      <c r="K950" s="85">
        <f>STATS1003B!K950/1000</f>
        <v>0</v>
      </c>
      <c r="L950" s="85">
        <f>STATS1003B!L950/1000</f>
        <v>0</v>
      </c>
      <c r="M950" s="85">
        <f>STATS1003B!M950/1000</f>
        <v>160</v>
      </c>
      <c r="N950" s="85">
        <f>STATS1003B!N950/1000</f>
        <v>0</v>
      </c>
      <c r="O950" s="85">
        <f>STATS1003B!O950/1000</f>
        <v>0</v>
      </c>
      <c r="P950" s="85">
        <v>0</v>
      </c>
      <c r="Q950" s="85">
        <f>STATS1003B!Q950/1000</f>
        <v>160</v>
      </c>
      <c r="R950" s="85">
        <f>STATS1003B!R950/1000</f>
        <v>0</v>
      </c>
      <c r="S950" s="85">
        <f>STATS1003B!S950/1000</f>
        <v>0</v>
      </c>
      <c r="T950" s="85">
        <f>STATS1003B!T950/1000</f>
        <v>0</v>
      </c>
      <c r="U950" s="85">
        <f>STATS1003B!U950/1000</f>
        <v>0</v>
      </c>
      <c r="V950" s="85">
        <f>STATS1003B!V950/1000</f>
        <v>160</v>
      </c>
      <c r="W950" s="85">
        <f>STATS1003B!W950/1000</f>
        <v>0</v>
      </c>
      <c r="X950" s="85">
        <f t="shared" si="116"/>
        <v>160</v>
      </c>
      <c r="Y950" s="85">
        <f>STATS1003B!Y950/1000</f>
        <v>0</v>
      </c>
      <c r="Z950" s="85">
        <f t="shared" si="117"/>
        <v>0</v>
      </c>
      <c r="AA950" s="69">
        <f>STATS1003B!AA950/1000</f>
        <v>160</v>
      </c>
      <c r="AB950" s="69">
        <f>STATS1003B!AB950/1000</f>
        <v>0</v>
      </c>
    </row>
    <row r="951" spans="1:28" hidden="1" x14ac:dyDescent="0.3">
      <c r="A951" s="117"/>
      <c r="E951" s="86" t="s">
        <v>29</v>
      </c>
      <c r="F951" s="86" t="s">
        <v>29</v>
      </c>
      <c r="G951" s="86" t="s">
        <v>29</v>
      </c>
      <c r="H951" s="86" t="s">
        <v>29</v>
      </c>
      <c r="I951" s="86" t="s">
        <v>29</v>
      </c>
      <c r="J951" s="86" t="s">
        <v>29</v>
      </c>
      <c r="K951" s="86" t="s">
        <v>29</v>
      </c>
      <c r="L951" s="86" t="s">
        <v>29</v>
      </c>
      <c r="M951" s="86" t="s">
        <v>29</v>
      </c>
      <c r="N951" s="86" t="s">
        <v>29</v>
      </c>
      <c r="O951" s="86" t="s">
        <v>29</v>
      </c>
      <c r="P951" s="86" t="s">
        <v>29</v>
      </c>
      <c r="Q951" s="86" t="s">
        <v>29</v>
      </c>
      <c r="R951" s="86" t="s">
        <v>29</v>
      </c>
      <c r="S951" s="86" t="s">
        <v>29</v>
      </c>
      <c r="T951" s="86" t="s">
        <v>29</v>
      </c>
      <c r="U951" s="86" t="s">
        <v>29</v>
      </c>
      <c r="V951" s="86" t="s">
        <v>29</v>
      </c>
      <c r="W951" s="86" t="s">
        <v>29</v>
      </c>
      <c r="X951" s="85" t="e">
        <f t="shared" si="116"/>
        <v>#VALUE!</v>
      </c>
      <c r="Y951" s="86" t="s">
        <v>29</v>
      </c>
      <c r="Z951" s="85" t="e">
        <f t="shared" si="117"/>
        <v>#VALUE!</v>
      </c>
      <c r="AA951" s="115" t="s">
        <v>29</v>
      </c>
      <c r="AB951" s="115" t="s">
        <v>29</v>
      </c>
    </row>
    <row r="952" spans="1:28" hidden="1" x14ac:dyDescent="0.3">
      <c r="A952" s="117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6"/>
      <c r="S952" s="86"/>
      <c r="T952" s="86"/>
      <c r="U952" s="86"/>
      <c r="V952" s="86"/>
      <c r="W952" s="86"/>
      <c r="X952" s="85">
        <f t="shared" si="116"/>
        <v>0</v>
      </c>
      <c r="Y952" s="86"/>
      <c r="Z952" s="85">
        <f t="shared" si="117"/>
        <v>0</v>
      </c>
    </row>
    <row r="953" spans="1:28" hidden="1" x14ac:dyDescent="0.3">
      <c r="A953" s="117"/>
      <c r="C953" s="68" t="s">
        <v>667</v>
      </c>
      <c r="D953" s="145" t="s">
        <v>85</v>
      </c>
      <c r="E953" s="85">
        <f>STATS1003B!E953/1000</f>
        <v>160</v>
      </c>
      <c r="F953" s="85">
        <f>STATS1003B!F953/1000</f>
        <v>160</v>
      </c>
      <c r="G953" s="85">
        <f>STATS1003B!G953/1000</f>
        <v>0</v>
      </c>
      <c r="H953" s="85">
        <f>STATS1003B!H953/1000</f>
        <v>160</v>
      </c>
      <c r="I953" s="85">
        <f>STATS1003B!I953/1000</f>
        <v>0</v>
      </c>
      <c r="J953" s="85">
        <f>STATS1003B!J953/1000</f>
        <v>160</v>
      </c>
      <c r="K953" s="85">
        <f>STATS1003B!K953/1000</f>
        <v>0</v>
      </c>
      <c r="L953" s="85">
        <f>STATS1003B!L953/1000</f>
        <v>0</v>
      </c>
      <c r="M953" s="85">
        <f>STATS1003B!M953/1000</f>
        <v>160</v>
      </c>
      <c r="N953" s="85">
        <f>STATS1003B!N953/1000</f>
        <v>0</v>
      </c>
      <c r="O953" s="85">
        <f>STATS1003B!O953/1000</f>
        <v>0</v>
      </c>
      <c r="P953" s="85">
        <f>STATS1003B!P953/1000</f>
        <v>0</v>
      </c>
      <c r="Q953" s="85">
        <f>STATS1003B!Q953/1000</f>
        <v>160</v>
      </c>
      <c r="R953" s="85">
        <f>STATS1003B!R953/1000</f>
        <v>0</v>
      </c>
      <c r="S953" s="85">
        <f>STATS1003B!S953/1000</f>
        <v>0</v>
      </c>
      <c r="T953" s="85">
        <f>STATS1003B!T953/1000</f>
        <v>0</v>
      </c>
      <c r="U953" s="85">
        <f>STATS1003B!U953/1000</f>
        <v>0</v>
      </c>
      <c r="V953" s="85">
        <f>STATS1003B!V953/1000</f>
        <v>160</v>
      </c>
      <c r="W953" s="85">
        <f>STATS1003B!W953/1000</f>
        <v>0</v>
      </c>
      <c r="X953" s="85">
        <f t="shared" si="116"/>
        <v>160</v>
      </c>
      <c r="Y953" s="85">
        <f>STATS1003B!Y953/1000</f>
        <v>0</v>
      </c>
      <c r="Z953" s="85">
        <f t="shared" si="117"/>
        <v>0</v>
      </c>
      <c r="AA953" s="69">
        <f>STATS1003B!AA953/1000</f>
        <v>160</v>
      </c>
      <c r="AB953" s="69">
        <f>STATS1003B!AB953/1000</f>
        <v>0</v>
      </c>
    </row>
    <row r="954" spans="1:28" hidden="1" x14ac:dyDescent="0.3">
      <c r="A954" s="117"/>
      <c r="C954" s="68" t="s">
        <v>667</v>
      </c>
      <c r="D954" s="145" t="s">
        <v>85</v>
      </c>
      <c r="E954" s="85">
        <f>STATS1003B!E954/1000</f>
        <v>400</v>
      </c>
      <c r="F954" s="85">
        <f>STATS1003B!F954/1000</f>
        <v>0</v>
      </c>
      <c r="G954" s="85">
        <f>STATS1003B!G954/1000</f>
        <v>0</v>
      </c>
      <c r="H954" s="85">
        <f>STATS1003B!H954/1000</f>
        <v>0</v>
      </c>
      <c r="I954" s="85">
        <f>STATS1003B!I954/1000</f>
        <v>0</v>
      </c>
      <c r="J954" s="85">
        <f>STATS1003B!J954/1000</f>
        <v>0</v>
      </c>
      <c r="K954" s="85">
        <f>STATS1003B!K954/1000</f>
        <v>0</v>
      </c>
      <c r="L954" s="85">
        <f>STATS1003B!L954/1000</f>
        <v>0</v>
      </c>
      <c r="M954" s="85">
        <f>STATS1003B!M954/1000</f>
        <v>0</v>
      </c>
      <c r="N954" s="85">
        <f>STATS1003B!N954/1000</f>
        <v>0</v>
      </c>
      <c r="O954" s="85">
        <f>STATS1003B!O954/1000</f>
        <v>0</v>
      </c>
      <c r="P954" s="85">
        <f>STATS1003B!P954/1000</f>
        <v>0</v>
      </c>
      <c r="Q954" s="85">
        <f>STATS1003B!Q954/1000</f>
        <v>400</v>
      </c>
      <c r="R954" s="85">
        <f>STATS1003B!R954/1000</f>
        <v>0</v>
      </c>
      <c r="S954" s="85">
        <f>STATS1003B!S954/1000</f>
        <v>0</v>
      </c>
      <c r="T954" s="85">
        <f>STATS1003B!T954/1000</f>
        <v>0</v>
      </c>
      <c r="U954" s="85">
        <f>STATS1003B!U954/1000</f>
        <v>0</v>
      </c>
      <c r="V954" s="85">
        <f>STATS1003B!V954/1000</f>
        <v>0</v>
      </c>
      <c r="W954" s="85">
        <f>STATS1003B!W954/1000</f>
        <v>400</v>
      </c>
      <c r="X954" s="85">
        <f t="shared" si="116"/>
        <v>0</v>
      </c>
      <c r="Y954" s="85">
        <f>STATS1003B!Y954/1000</f>
        <v>0</v>
      </c>
      <c r="Z954" s="85">
        <f t="shared" si="117"/>
        <v>400</v>
      </c>
      <c r="AA954" s="69">
        <f>STATS1003B!AA954/1000</f>
        <v>0</v>
      </c>
      <c r="AB954" s="69">
        <f>STATS1003B!AB954/1000</f>
        <v>400</v>
      </c>
    </row>
    <row r="955" spans="1:28" hidden="1" x14ac:dyDescent="0.3">
      <c r="A955" s="117"/>
      <c r="E955" s="86" t="s">
        <v>29</v>
      </c>
      <c r="F955" s="86" t="s">
        <v>29</v>
      </c>
      <c r="G955" s="86" t="s">
        <v>29</v>
      </c>
      <c r="H955" s="86" t="s">
        <v>29</v>
      </c>
      <c r="I955" s="86" t="s">
        <v>29</v>
      </c>
      <c r="J955" s="86" t="s">
        <v>29</v>
      </c>
      <c r="K955" s="86" t="s">
        <v>29</v>
      </c>
      <c r="L955" s="86" t="s">
        <v>29</v>
      </c>
      <c r="M955" s="86" t="s">
        <v>29</v>
      </c>
      <c r="N955" s="86" t="s">
        <v>29</v>
      </c>
      <c r="O955" s="86" t="s">
        <v>29</v>
      </c>
      <c r="P955" s="86" t="s">
        <v>29</v>
      </c>
      <c r="Q955" s="86" t="s">
        <v>29</v>
      </c>
      <c r="R955" s="86" t="s">
        <v>29</v>
      </c>
      <c r="S955" s="86" t="s">
        <v>29</v>
      </c>
      <c r="T955" s="86" t="s">
        <v>29</v>
      </c>
      <c r="U955" s="86" t="s">
        <v>29</v>
      </c>
      <c r="V955" s="86" t="s">
        <v>29</v>
      </c>
      <c r="W955" s="86" t="s">
        <v>29</v>
      </c>
      <c r="X955" s="85" t="e">
        <f t="shared" si="116"/>
        <v>#VALUE!</v>
      </c>
      <c r="Y955" s="86" t="s">
        <v>29</v>
      </c>
      <c r="Z955" s="85" t="e">
        <f t="shared" si="117"/>
        <v>#VALUE!</v>
      </c>
      <c r="AA955" s="115" t="s">
        <v>29</v>
      </c>
      <c r="AB955" s="115" t="s">
        <v>29</v>
      </c>
    </row>
    <row r="956" spans="1:28" x14ac:dyDescent="0.3">
      <c r="A956" s="117"/>
      <c r="C956" s="68" t="s">
        <v>669</v>
      </c>
      <c r="E956" s="85">
        <f>560000/1000</f>
        <v>560</v>
      </c>
      <c r="F956" s="85">
        <f t="shared" ref="F956:Q956" si="123">SUM(F953:F954)</f>
        <v>160</v>
      </c>
      <c r="G956" s="85">
        <f t="shared" si="123"/>
        <v>0</v>
      </c>
      <c r="H956" s="85">
        <f>160000/1000</f>
        <v>160</v>
      </c>
      <c r="I956" s="85">
        <f t="shared" si="123"/>
        <v>0</v>
      </c>
      <c r="J956" s="85">
        <f t="shared" si="123"/>
        <v>160</v>
      </c>
      <c r="K956" s="85">
        <f t="shared" si="123"/>
        <v>0</v>
      </c>
      <c r="L956" s="85">
        <f t="shared" si="123"/>
        <v>0</v>
      </c>
      <c r="M956" s="85">
        <f t="shared" si="123"/>
        <v>160</v>
      </c>
      <c r="N956" s="85">
        <f t="shared" si="123"/>
        <v>0</v>
      </c>
      <c r="O956" s="85">
        <f t="shared" si="123"/>
        <v>0</v>
      </c>
      <c r="P956" s="85">
        <v>0</v>
      </c>
      <c r="Q956" s="85">
        <f t="shared" si="123"/>
        <v>560</v>
      </c>
      <c r="R956" s="86"/>
      <c r="S956" s="86"/>
      <c r="T956" s="85">
        <f t="shared" ref="T956:AB956" si="124">SUM(T953:T954)</f>
        <v>0</v>
      </c>
      <c r="U956" s="85">
        <f t="shared" si="124"/>
        <v>0</v>
      </c>
      <c r="V956" s="85">
        <f t="shared" si="124"/>
        <v>160</v>
      </c>
      <c r="W956" s="85">
        <f t="shared" si="124"/>
        <v>400</v>
      </c>
      <c r="X956" s="85">
        <f t="shared" si="116"/>
        <v>160</v>
      </c>
      <c r="Y956" s="85">
        <f t="shared" si="124"/>
        <v>0</v>
      </c>
      <c r="Z956" s="85">
        <f t="shared" si="117"/>
        <v>400</v>
      </c>
      <c r="AA956" s="69">
        <f t="shared" si="124"/>
        <v>160</v>
      </c>
      <c r="AB956" s="69">
        <f t="shared" si="124"/>
        <v>400</v>
      </c>
    </row>
    <row r="957" spans="1:28" hidden="1" x14ac:dyDescent="0.3">
      <c r="A957" s="117"/>
      <c r="E957" s="86" t="s">
        <v>29</v>
      </c>
      <c r="F957" s="86" t="s">
        <v>29</v>
      </c>
      <c r="G957" s="86" t="s">
        <v>29</v>
      </c>
      <c r="H957" s="86" t="s">
        <v>29</v>
      </c>
      <c r="I957" s="86" t="s">
        <v>29</v>
      </c>
      <c r="J957" s="86" t="s">
        <v>29</v>
      </c>
      <c r="K957" s="86" t="s">
        <v>29</v>
      </c>
      <c r="L957" s="86" t="s">
        <v>29</v>
      </c>
      <c r="M957" s="86" t="s">
        <v>29</v>
      </c>
      <c r="N957" s="86" t="s">
        <v>29</v>
      </c>
      <c r="O957" s="86" t="s">
        <v>29</v>
      </c>
      <c r="P957" s="86" t="s">
        <v>29</v>
      </c>
      <c r="Q957" s="86" t="s">
        <v>29</v>
      </c>
      <c r="R957" s="86" t="s">
        <v>29</v>
      </c>
      <c r="S957" s="86" t="s">
        <v>29</v>
      </c>
      <c r="T957" s="86" t="s">
        <v>29</v>
      </c>
      <c r="U957" s="86" t="s">
        <v>29</v>
      </c>
      <c r="V957" s="86" t="s">
        <v>29</v>
      </c>
      <c r="W957" s="86" t="s">
        <v>29</v>
      </c>
      <c r="X957" s="85" t="e">
        <f t="shared" si="116"/>
        <v>#VALUE!</v>
      </c>
      <c r="Y957" s="86" t="s">
        <v>29</v>
      </c>
      <c r="Z957" s="85" t="e">
        <f t="shared" si="117"/>
        <v>#VALUE!</v>
      </c>
      <c r="AA957" s="115" t="s">
        <v>29</v>
      </c>
      <c r="AB957" s="115" t="s">
        <v>29</v>
      </c>
    </row>
    <row r="958" spans="1:28" hidden="1" x14ac:dyDescent="0.3">
      <c r="A958" s="117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6"/>
      <c r="S958" s="86"/>
      <c r="T958" s="86"/>
      <c r="U958" s="86"/>
      <c r="V958" s="86"/>
      <c r="W958" s="86"/>
      <c r="X958" s="85">
        <f t="shared" si="116"/>
        <v>0</v>
      </c>
      <c r="Y958" s="86"/>
      <c r="Z958" s="85">
        <f t="shared" si="117"/>
        <v>0</v>
      </c>
      <c r="AA958" s="115"/>
      <c r="AB958" s="115"/>
    </row>
    <row r="959" spans="1:28" x14ac:dyDescent="0.3">
      <c r="A959" s="117"/>
      <c r="B959" s="68" t="s">
        <v>670</v>
      </c>
      <c r="D959" s="145" t="s">
        <v>85</v>
      </c>
      <c r="E959" s="85">
        <f>56000/1000</f>
        <v>56</v>
      </c>
      <c r="F959" s="85">
        <f>STATS1003B!F959/1000</f>
        <v>0</v>
      </c>
      <c r="G959" s="85">
        <f>STATS1003B!G959/1000</f>
        <v>0</v>
      </c>
      <c r="H959" s="85">
        <v>0</v>
      </c>
      <c r="I959" s="85">
        <f>STATS1003B!I959/1000</f>
        <v>0</v>
      </c>
      <c r="J959" s="85">
        <f>STATS1003B!J959/1000</f>
        <v>0</v>
      </c>
      <c r="K959" s="85">
        <f>STATS1003B!K959/1000</f>
        <v>0</v>
      </c>
      <c r="L959" s="85">
        <f>STATS1003B!L959/1000</f>
        <v>0</v>
      </c>
      <c r="M959" s="85">
        <f>STATS1003B!M959/1000</f>
        <v>0</v>
      </c>
      <c r="N959" s="85">
        <f>STATS1003B!N959/1000</f>
        <v>0</v>
      </c>
      <c r="O959" s="85">
        <f>STATS1003B!O959/1000</f>
        <v>0</v>
      </c>
      <c r="P959" s="85">
        <v>0</v>
      </c>
      <c r="Q959" s="85">
        <f>STATS1003B!Q959/1000</f>
        <v>56</v>
      </c>
      <c r="R959" s="85">
        <f>STATS1003B!R959/1000</f>
        <v>0</v>
      </c>
      <c r="S959" s="85">
        <f>STATS1003B!S959/1000</f>
        <v>0</v>
      </c>
      <c r="T959" s="85">
        <f>STATS1003B!T959/1000</f>
        <v>0</v>
      </c>
      <c r="U959" s="85">
        <f>STATS1003B!U959/1000</f>
        <v>0</v>
      </c>
      <c r="V959" s="85">
        <f>STATS1003B!V959/1000</f>
        <v>0</v>
      </c>
      <c r="W959" s="85">
        <f>STATS1003B!W959/1000</f>
        <v>0</v>
      </c>
      <c r="X959" s="85">
        <f t="shared" si="116"/>
        <v>0</v>
      </c>
      <c r="Y959" s="85">
        <f>STATS1003B!Y959/1000</f>
        <v>0</v>
      </c>
      <c r="Z959" s="85">
        <f t="shared" si="117"/>
        <v>56</v>
      </c>
      <c r="AA959" s="69">
        <f>STATS1003B!AA959/1000</f>
        <v>0</v>
      </c>
      <c r="AB959" s="69">
        <f>STATS1003B!AB959/1000</f>
        <v>56</v>
      </c>
    </row>
    <row r="960" spans="1:28" x14ac:dyDescent="0.3">
      <c r="A960" s="117"/>
      <c r="E960" s="86"/>
      <c r="F960" s="86"/>
      <c r="G960" s="86"/>
      <c r="H960" s="86"/>
      <c r="I960" s="86"/>
      <c r="J960" s="86"/>
      <c r="K960" s="86"/>
      <c r="L960" s="86"/>
      <c r="M960" s="86"/>
      <c r="N960" s="86"/>
      <c r="O960" s="86"/>
      <c r="P960" s="86"/>
      <c r="Q960" s="86"/>
      <c r="R960" s="86"/>
      <c r="S960" s="86"/>
      <c r="T960" s="86"/>
      <c r="U960" s="86"/>
      <c r="V960" s="86"/>
      <c r="W960" s="86"/>
      <c r="X960" s="86"/>
      <c r="Y960" s="86"/>
      <c r="Z960" s="86"/>
      <c r="AA960" s="115" t="s">
        <v>29</v>
      </c>
      <c r="AB960" s="115" t="s">
        <v>29</v>
      </c>
    </row>
    <row r="961" spans="1:28" s="106" customFormat="1" x14ac:dyDescent="0.3">
      <c r="A961" s="104"/>
      <c r="B961" s="7" t="s">
        <v>672</v>
      </c>
      <c r="C961" s="7" t="s">
        <v>3</v>
      </c>
      <c r="D961" s="8"/>
      <c r="E961" s="82">
        <f>E661+E691+E714+E743+E756+E781+E802+E823+E844+E872+E895+E922+E941+E947+E950+E956+E959+E645</f>
        <v>1593224.5738900001</v>
      </c>
      <c r="F961" s="82">
        <f>F661+F691+F714+F743+F756+F781+F802+F823+F844+F872+F895+F922+F941+F947+F950+F956+F959+F645</f>
        <v>456116.05569999997</v>
      </c>
      <c r="G961" s="82">
        <f>G661+G691+G714+G743+G756+G781+G802+G823+G844+G872+G895+G922+G941+G947+G950+G956+G959+G645</f>
        <v>2131.6422000000002</v>
      </c>
      <c r="H961" s="82">
        <f>H661+H691+H714+H743+H756+H781+H802+H823+H844+H872+H895+H922+H941+H947+H950+H956+H959+H645</f>
        <v>1513522.08953</v>
      </c>
      <c r="I961" s="82">
        <f>I661+I691+I714+I743+I756+I781+I802+I823+I844+I872+I895+I922+I941+I947+I950+I956+I959</f>
        <v>8678.7995129999999</v>
      </c>
      <c r="J961" s="82">
        <f>J661+J691+J714+J743+J756+J781+J802+J823+J844+J872+J895+J922+J941+J947+J950+J956+J959</f>
        <v>435767.44163299992</v>
      </c>
      <c r="K961" s="82">
        <f>K661+K691+K714+K743+K756+K781+K802+K823+K844+K872+K895+K922+K941+K947+K950+K956+K959</f>
        <v>69727.703099999984</v>
      </c>
      <c r="L961" s="82">
        <f>L661+L691+L714+L743+L756+L781+L802+L823+L844+L872+L895+L922+L941+L947+L950+L956+L959+L645</f>
        <v>8678.7995100000007</v>
      </c>
      <c r="M961" s="82">
        <f>M661+M691+M714+M743+M756+M781+M802+M823+M844+M872+M895+M922+M941+M947+M950+M956+M959+M645</f>
        <v>466926.49740999995</v>
      </c>
      <c r="N961" s="82">
        <f>N661+N691+N714+N743+N756+N781+N802+N823+N844+N872+N895+N922+N941+N947+N950+N956+N959+N645</f>
        <v>69987.546769999986</v>
      </c>
      <c r="O961" s="82">
        <f>O661+O691+O714+O743+O756+O781+O802+O823+O844+O872+O895+O922+O941+O947+O950+O956+O959+O645</f>
        <v>0</v>
      </c>
      <c r="P961" s="82">
        <f>P661+P691+P714+P743+P756+P781+P802+P823+P844+P872+P895+P922+P941+P947+P950+P956+P959+P645</f>
        <v>69987.539999999994</v>
      </c>
      <c r="Q961" s="82">
        <f>Q661+Q691+Q714+Q743+Q756+Q781+Q802+Q823+Q844+Q872+Q895+Q922+Q941+Q947+Q950+Q956+Q959</f>
        <v>355010.80787000002</v>
      </c>
      <c r="R961" s="82">
        <f>R661+R691+R714+R743+R756+R781+R802+R823+R844+R872+R895+R922+R941+R947+R950+R956+R959</f>
        <v>0</v>
      </c>
      <c r="S961" s="82">
        <f>S661+S691+S714+S743+S756+S781+S802+S823+S844+S872+S895+S922+S941+S947+S950+S956+S959</f>
        <v>0</v>
      </c>
      <c r="T961" s="82">
        <f>T661+T691+T714+T743+T756+T781+T802+T823+T844+T872+T895+T922+T941+T947+T950+T956+T959+T645</f>
        <v>370.15008</v>
      </c>
      <c r="U961" s="82">
        <f>U661+U691+U714+U743+U756+U781+U802+U823+U844+U872+U895+U922+U941+U947+U950+U956+U959+U645</f>
        <v>70357.696849999993</v>
      </c>
      <c r="V961" s="82">
        <f>V661+V691+V714+V743+V756+V781+V802+V823+V844+V872+V895+V922+V941+V947+V950+V956+V959</f>
        <v>499833.89183999994</v>
      </c>
      <c r="W961" s="82">
        <f>W661+W691+W714+W743+W756+W781+W802+W823+W844+W872+W895+W922+W941+W947+W950+W956+W959</f>
        <v>9658.9375900000032</v>
      </c>
      <c r="X961" s="82">
        <f>X661+X691+X714+X743+X756+X781+X802+X823+X844+X872+X895+X922+X941+X947+X950+X956+X959+X645</f>
        <v>1583509.62953</v>
      </c>
      <c r="Y961" s="82">
        <f>Y661+Y691+Y714+Y743+Y756+Y781+Y802+Y823+Y844+Y872+Y895+Y922+Y941+Y947+Y950+Y956+Y959</f>
        <v>0</v>
      </c>
      <c r="Z961" s="82">
        <f>Z661+Z691+Z714+Z743+Z756+Z781+Z802+Z823+Z844+Z872+Z895+Z922+Z941+Z947+Z950+Z956+Z959+Z645</f>
        <v>9714.9443600000122</v>
      </c>
      <c r="AA961" s="9">
        <f>AA661+AA691+AA714+AA743+AA756+AA781+AA802+AA823+AA844+AA872+AA895+AA922+AA941+AA947+AA950+AA956+AA959+AA645</f>
        <v>537284.19426000002</v>
      </c>
      <c r="AB961" s="9">
        <f>AB661+AB691+AB714+AB743+AB756+AB781+AB802+AB823+AB844+AB872+AB895+AB922+AB941+AB947+AB950+AB956+AB959+AB645</f>
        <v>665.98800000000006</v>
      </c>
    </row>
    <row r="962" spans="1:28" x14ac:dyDescent="0.3">
      <c r="A962" s="117"/>
      <c r="E962" s="86"/>
      <c r="F962" s="86"/>
      <c r="G962" s="86"/>
      <c r="H962" s="86"/>
      <c r="I962" s="86"/>
      <c r="J962" s="86"/>
      <c r="K962" s="86"/>
      <c r="L962" s="86"/>
      <c r="M962" s="86"/>
      <c r="N962" s="86"/>
      <c r="O962" s="86"/>
      <c r="P962" s="86"/>
      <c r="Q962" s="86"/>
      <c r="R962" s="86"/>
      <c r="S962" s="86"/>
      <c r="T962" s="86"/>
      <c r="U962" s="86"/>
      <c r="V962" s="86"/>
      <c r="W962" s="86"/>
      <c r="X962" s="86"/>
      <c r="Y962" s="86"/>
      <c r="Z962" s="86"/>
      <c r="AA962" s="115" t="s">
        <v>114</v>
      </c>
      <c r="AB962" s="115" t="s">
        <v>114</v>
      </c>
    </row>
    <row r="963" spans="1:28" hidden="1" x14ac:dyDescent="0.3">
      <c r="A963" s="117"/>
      <c r="E963" s="86"/>
      <c r="F963" s="86"/>
      <c r="G963" s="86"/>
      <c r="H963" s="92"/>
      <c r="I963" s="86"/>
      <c r="J963" s="86"/>
      <c r="K963" s="86"/>
      <c r="L963" s="86"/>
      <c r="M963" s="86"/>
      <c r="N963" s="86"/>
      <c r="O963" s="86"/>
      <c r="P963" s="86"/>
      <c r="Q963" s="86"/>
      <c r="R963" s="86"/>
      <c r="S963" s="86"/>
      <c r="T963" s="86"/>
      <c r="U963" s="86"/>
      <c r="V963" s="86"/>
      <c r="W963" s="86"/>
      <c r="X963" s="86"/>
      <c r="Y963" s="86"/>
      <c r="Z963" s="97"/>
      <c r="AA963" s="118"/>
    </row>
    <row r="964" spans="1:28" x14ac:dyDescent="0.3">
      <c r="A964" s="117" t="s">
        <v>375</v>
      </c>
      <c r="B964" s="68" t="s">
        <v>201</v>
      </c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</row>
    <row r="965" spans="1:28" hidden="1" x14ac:dyDescent="0.3">
      <c r="A965" s="117"/>
      <c r="C965" s="68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</row>
    <row r="966" spans="1:28" hidden="1" x14ac:dyDescent="0.3">
      <c r="A966" s="105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</row>
    <row r="967" spans="1:28" hidden="1" x14ac:dyDescent="0.3">
      <c r="A967" s="117"/>
      <c r="D967" s="145" t="s">
        <v>203</v>
      </c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</row>
    <row r="968" spans="1:28" hidden="1" x14ac:dyDescent="0.3">
      <c r="A968" s="117"/>
      <c r="C968" s="68" t="s">
        <v>204</v>
      </c>
      <c r="D968" s="145" t="s">
        <v>205</v>
      </c>
      <c r="E968" s="85">
        <f>STATS1003B!E969/1000</f>
        <v>18538.041149999997</v>
      </c>
      <c r="F968" s="85">
        <f>STATS1003B!F969/1000</f>
        <v>15279.448480000001</v>
      </c>
      <c r="G968" s="85">
        <f>STATS1003B!G969/1000</f>
        <v>0</v>
      </c>
      <c r="H968" s="85">
        <f>STATS1003B!H969/1000</f>
        <v>15279.448480000001</v>
      </c>
      <c r="I968" s="85">
        <f>STATS1003B!I969/1000</f>
        <v>0</v>
      </c>
      <c r="J968" s="85">
        <f>STATS1003B!J969/1000</f>
        <v>0</v>
      </c>
      <c r="K968" s="85">
        <f>STATS1003B!K969/1000</f>
        <v>0</v>
      </c>
      <c r="L968" s="85">
        <f>STATS1003B!L969/1000</f>
        <v>0</v>
      </c>
      <c r="M968" s="85">
        <f>STATS1003B!M969/1000</f>
        <v>15279.448480000001</v>
      </c>
      <c r="N968" s="85">
        <f>STATS1003B!N969/1000</f>
        <v>3258.59267</v>
      </c>
      <c r="O968" s="85">
        <f>STATS1003B!O969/1000</f>
        <v>0</v>
      </c>
      <c r="P968" s="85">
        <f>STATS1003B!P969/1000</f>
        <v>3258.59267</v>
      </c>
      <c r="Q968" s="85">
        <f>STATS1003B!Q969/1000</f>
        <v>0</v>
      </c>
      <c r="R968" s="85">
        <f>STATS1003B!R969/1000</f>
        <v>0</v>
      </c>
      <c r="S968" s="85">
        <f>STATS1003B!S969/1000</f>
        <v>0</v>
      </c>
      <c r="T968" s="85">
        <f>STATS1003B!T969/1000</f>
        <v>0</v>
      </c>
      <c r="U968" s="85">
        <f>STATS1003B!U969/1000</f>
        <v>3258.59267</v>
      </c>
      <c r="V968" s="85">
        <f>STATS1003B!V969/1000</f>
        <v>18538.041149999997</v>
      </c>
      <c r="W968" s="85">
        <f>STATS1003B!W969/1000</f>
        <v>0</v>
      </c>
      <c r="X968" s="85">
        <f>STATS1003B!X969/1000</f>
        <v>18538.041149999997</v>
      </c>
      <c r="Y968" s="85">
        <f>STATS1003B!Y969/1000</f>
        <v>0</v>
      </c>
      <c r="Z968" s="85">
        <f>STATS1003B!Z969/1000</f>
        <v>0</v>
      </c>
      <c r="AA968" s="69">
        <f>STATS1003B!AA969/1000</f>
        <v>18538.041149999997</v>
      </c>
      <c r="AB968" s="69">
        <f>STATS1003B!AB969/1000</f>
        <v>0</v>
      </c>
    </row>
    <row r="969" spans="1:28" hidden="1" x14ac:dyDescent="0.3">
      <c r="A969" s="117"/>
      <c r="C969" s="68" t="s">
        <v>206</v>
      </c>
      <c r="D969" s="145" t="s">
        <v>166</v>
      </c>
      <c r="E969" s="85">
        <f>STATS1003B!E970/1000</f>
        <v>3498.1603700000001</v>
      </c>
      <c r="F969" s="85">
        <f>STATS1003B!F970/1000</f>
        <v>2652.64156</v>
      </c>
      <c r="G969" s="85">
        <f>STATS1003B!G970/1000</f>
        <v>0</v>
      </c>
      <c r="H969" s="85">
        <f>STATS1003B!H970/1000</f>
        <v>2652.64156</v>
      </c>
      <c r="I969" s="85">
        <f>STATS1003B!I970/1000</f>
        <v>0</v>
      </c>
      <c r="J969" s="85">
        <f>STATS1003B!J970/1000</f>
        <v>0</v>
      </c>
      <c r="K969" s="85">
        <f>STATS1003B!K970/1000</f>
        <v>0</v>
      </c>
      <c r="L969" s="85">
        <f>STATS1003B!L970/1000</f>
        <v>0</v>
      </c>
      <c r="M969" s="85">
        <f>STATS1003B!M970/1000</f>
        <v>2652.64156</v>
      </c>
      <c r="N969" s="85">
        <f>STATS1003B!N970/1000</f>
        <v>845.51881000000003</v>
      </c>
      <c r="O969" s="85">
        <f>STATS1003B!O970/1000</f>
        <v>0</v>
      </c>
      <c r="P969" s="85">
        <f>STATS1003B!P970/1000</f>
        <v>845.51881000000003</v>
      </c>
      <c r="Q969" s="85">
        <f>STATS1003B!Q970/1000</f>
        <v>0</v>
      </c>
      <c r="R969" s="85">
        <f>STATS1003B!R970/1000</f>
        <v>0</v>
      </c>
      <c r="S969" s="85">
        <f>STATS1003B!S970/1000</f>
        <v>0</v>
      </c>
      <c r="T969" s="85">
        <f>STATS1003B!T970/1000</f>
        <v>0</v>
      </c>
      <c r="U969" s="85">
        <f>STATS1003B!U970/1000</f>
        <v>845.51881000000003</v>
      </c>
      <c r="V969" s="85">
        <f>STATS1003B!V970/1000</f>
        <v>3498.1603700000001</v>
      </c>
      <c r="W969" s="85">
        <f>STATS1003B!W970/1000</f>
        <v>0</v>
      </c>
      <c r="X969" s="85">
        <f>STATS1003B!X970/1000</f>
        <v>3498.1603700000001</v>
      </c>
      <c r="Y969" s="85">
        <f>STATS1003B!Y970/1000</f>
        <v>0</v>
      </c>
      <c r="Z969" s="85">
        <f>STATS1003B!Z970/1000</f>
        <v>0</v>
      </c>
      <c r="AA969" s="69">
        <f>STATS1003B!AA970/1000</f>
        <v>3498.1603700000001</v>
      </c>
      <c r="AB969" s="69">
        <f>STATS1003B!AB970/1000</f>
        <v>0</v>
      </c>
    </row>
    <row r="970" spans="1:28" hidden="1" x14ac:dyDescent="0.3">
      <c r="A970" s="117"/>
      <c r="C970" s="68" t="s">
        <v>83</v>
      </c>
      <c r="D970" s="145" t="s">
        <v>67</v>
      </c>
      <c r="E970" s="85">
        <f>STATS1003B!E971/1000</f>
        <v>878.63900000000001</v>
      </c>
      <c r="F970" s="85">
        <f>STATS1003B!F971/1000</f>
        <v>878.63900000000001</v>
      </c>
      <c r="G970" s="85">
        <f>STATS1003B!G971/1000</f>
        <v>0</v>
      </c>
      <c r="H970" s="85">
        <f>STATS1003B!H971/1000</f>
        <v>878.63900000000001</v>
      </c>
      <c r="I970" s="85">
        <f>STATS1003B!I971/1000</f>
        <v>0</v>
      </c>
      <c r="J970" s="85">
        <f>STATS1003B!J971/1000</f>
        <v>0</v>
      </c>
      <c r="K970" s="85">
        <f>STATS1003B!K971/1000</f>
        <v>0</v>
      </c>
      <c r="L970" s="85">
        <f>STATS1003B!L971/1000</f>
        <v>0</v>
      </c>
      <c r="M970" s="85">
        <f>STATS1003B!M971/1000</f>
        <v>878.63900000000001</v>
      </c>
      <c r="N970" s="85">
        <f>STATS1003B!N971/1000</f>
        <v>0</v>
      </c>
      <c r="O970" s="85">
        <f>STATS1003B!O971/1000</f>
        <v>0</v>
      </c>
      <c r="P970" s="85">
        <f>STATS1003B!P971/1000</f>
        <v>0</v>
      </c>
      <c r="Q970" s="85">
        <f>STATS1003B!Q971/1000</f>
        <v>0</v>
      </c>
      <c r="R970" s="85">
        <f>STATS1003B!R971/1000</f>
        <v>0</v>
      </c>
      <c r="S970" s="85">
        <f>STATS1003B!S971/1000</f>
        <v>0</v>
      </c>
      <c r="T970" s="85">
        <f>STATS1003B!T971/1000</f>
        <v>0</v>
      </c>
      <c r="U970" s="85">
        <f>STATS1003B!U971/1000</f>
        <v>0</v>
      </c>
      <c r="V970" s="85">
        <f>STATS1003B!V971/1000</f>
        <v>878.63900000000001</v>
      </c>
      <c r="W970" s="85">
        <f>STATS1003B!W971/1000</f>
        <v>0</v>
      </c>
      <c r="X970" s="85">
        <f>STATS1003B!X971/1000</f>
        <v>878.63900000000001</v>
      </c>
      <c r="Y970" s="85">
        <f>STATS1003B!Y971/1000</f>
        <v>0</v>
      </c>
      <c r="Z970" s="85">
        <f>STATS1003B!Z971/1000</f>
        <v>0</v>
      </c>
      <c r="AA970" s="69">
        <f>STATS1003B!AA971/1000</f>
        <v>878.63900000000001</v>
      </c>
      <c r="AB970" s="69">
        <f>STATS1003B!AB971/1000</f>
        <v>0</v>
      </c>
    </row>
    <row r="971" spans="1:28" hidden="1" x14ac:dyDescent="0.3">
      <c r="A971" s="117"/>
      <c r="C971" s="68" t="s">
        <v>55</v>
      </c>
      <c r="D971" s="145" t="s">
        <v>207</v>
      </c>
      <c r="E971" s="85">
        <f>STATS1003B!E972/1000</f>
        <v>1466.7094</v>
      </c>
      <c r="F971" s="85">
        <f>STATS1003B!F972/1000</f>
        <v>0</v>
      </c>
      <c r="G971" s="85">
        <f>STATS1003B!G972/1000</f>
        <v>0</v>
      </c>
      <c r="H971" s="85">
        <f>STATS1003B!H972/1000</f>
        <v>0</v>
      </c>
      <c r="I971" s="85">
        <f>STATS1003B!I972/1000</f>
        <v>0</v>
      </c>
      <c r="J971" s="85">
        <f>STATS1003B!J972/1000</f>
        <v>0</v>
      </c>
      <c r="K971" s="85">
        <f>STATS1003B!K972/1000</f>
        <v>0</v>
      </c>
      <c r="L971" s="85">
        <f>STATS1003B!L972/1000</f>
        <v>0</v>
      </c>
      <c r="M971" s="85">
        <f>STATS1003B!M972/1000</f>
        <v>0</v>
      </c>
      <c r="N971" s="85">
        <f>STATS1003B!N972/1000</f>
        <v>1466.7094</v>
      </c>
      <c r="O971" s="85">
        <f>STATS1003B!O972/1000</f>
        <v>0</v>
      </c>
      <c r="P971" s="85">
        <f>STATS1003B!P972/1000</f>
        <v>1466.7094</v>
      </c>
      <c r="Q971" s="85">
        <f>STATS1003B!Q972/1000</f>
        <v>0</v>
      </c>
      <c r="R971" s="85">
        <f>STATS1003B!R972/1000</f>
        <v>0</v>
      </c>
      <c r="S971" s="85">
        <f>STATS1003B!S972/1000</f>
        <v>0</v>
      </c>
      <c r="T971" s="85">
        <f>STATS1003B!T972/1000</f>
        <v>0</v>
      </c>
      <c r="U971" s="85">
        <f>STATS1003B!U972/1000</f>
        <v>1466.7094</v>
      </c>
      <c r="V971" s="85">
        <f>STATS1003B!V972/1000</f>
        <v>1466.7094</v>
      </c>
      <c r="W971" s="85">
        <f>STATS1003B!W972/1000</f>
        <v>0</v>
      </c>
      <c r="X971" s="85">
        <f>STATS1003B!X972/1000</f>
        <v>1466.7094</v>
      </c>
      <c r="Y971" s="85">
        <f>STATS1003B!Y972/1000</f>
        <v>0</v>
      </c>
      <c r="Z971" s="85">
        <f>STATS1003B!Z972/1000</f>
        <v>0</v>
      </c>
      <c r="AA971" s="69">
        <f>STATS1003B!AA972/1000</f>
        <v>1466.7094</v>
      </c>
      <c r="AB971" s="69">
        <f>STATS1003B!AB972/1000</f>
        <v>0</v>
      </c>
    </row>
    <row r="972" spans="1:28" hidden="1" x14ac:dyDescent="0.3">
      <c r="A972" s="117"/>
      <c r="C972" s="68" t="s">
        <v>53</v>
      </c>
      <c r="D972" s="145" t="s">
        <v>54</v>
      </c>
      <c r="E972" s="85">
        <f>STATS1003B!E973/1000</f>
        <v>2306.1060000000002</v>
      </c>
      <c r="F972" s="85">
        <f>STATS1003B!F973/1000</f>
        <v>0</v>
      </c>
      <c r="G972" s="85">
        <f>STATS1003B!G973/1000</f>
        <v>0</v>
      </c>
      <c r="H972" s="85">
        <f>STATS1003B!H973/1000</f>
        <v>0</v>
      </c>
      <c r="I972" s="85">
        <f>STATS1003B!I973/1000</f>
        <v>0</v>
      </c>
      <c r="J972" s="85">
        <f>STATS1003B!J973/1000</f>
        <v>0</v>
      </c>
      <c r="K972" s="85">
        <f>STATS1003B!K973/1000</f>
        <v>0</v>
      </c>
      <c r="L972" s="85">
        <f>STATS1003B!L973/1000</f>
        <v>0</v>
      </c>
      <c r="M972" s="85">
        <f>STATS1003B!M973/1000</f>
        <v>0</v>
      </c>
      <c r="N972" s="85">
        <f>STATS1003B!N973/1000</f>
        <v>2306.1060000000002</v>
      </c>
      <c r="O972" s="85">
        <f>STATS1003B!O973/1000</f>
        <v>0</v>
      </c>
      <c r="P972" s="85">
        <f>STATS1003B!P973/1000</f>
        <v>2306.1060000000002</v>
      </c>
      <c r="Q972" s="85">
        <f>STATS1003B!Q973/1000</f>
        <v>0</v>
      </c>
      <c r="R972" s="85">
        <f>STATS1003B!R973/1000</f>
        <v>0</v>
      </c>
      <c r="S972" s="85">
        <f>STATS1003B!S973/1000</f>
        <v>0</v>
      </c>
      <c r="T972" s="85">
        <f>STATS1003B!T973/1000</f>
        <v>0</v>
      </c>
      <c r="U972" s="85">
        <f>STATS1003B!U973/1000</f>
        <v>2306.1060000000002</v>
      </c>
      <c r="V972" s="85">
        <f>STATS1003B!V973/1000</f>
        <v>2306.1060000000002</v>
      </c>
      <c r="W972" s="85">
        <f>STATS1003B!W973/1000</f>
        <v>0</v>
      </c>
      <c r="X972" s="85">
        <f>STATS1003B!X973/1000</f>
        <v>2306.1060000000002</v>
      </c>
      <c r="Y972" s="85">
        <f>STATS1003B!Y973/1000</f>
        <v>0</v>
      </c>
      <c r="Z972" s="85">
        <f>STATS1003B!Z973/1000</f>
        <v>0</v>
      </c>
      <c r="AA972" s="69">
        <f>STATS1003B!AA973/1000</f>
        <v>2306.1060000000002</v>
      </c>
      <c r="AB972" s="69">
        <f>STATS1003B!AB973/1000</f>
        <v>0</v>
      </c>
    </row>
    <row r="973" spans="1:28" hidden="1" x14ac:dyDescent="0.3">
      <c r="A973" s="117"/>
      <c r="C973" s="68" t="s">
        <v>208</v>
      </c>
      <c r="D973" s="145" t="s">
        <v>209</v>
      </c>
      <c r="E973" s="85">
        <f>STATS1003B!E974/1000</f>
        <v>2822.9789999999998</v>
      </c>
      <c r="F973" s="85">
        <f>STATS1003B!F974/1000</f>
        <v>2311.951</v>
      </c>
      <c r="G973" s="85">
        <f>STATS1003B!G974/1000</f>
        <v>0</v>
      </c>
      <c r="H973" s="85">
        <f>STATS1003B!H974/1000</f>
        <v>2311.951</v>
      </c>
      <c r="I973" s="85">
        <f>STATS1003B!I974/1000</f>
        <v>0</v>
      </c>
      <c r="J973" s="85">
        <f>STATS1003B!J974/1000</f>
        <v>0</v>
      </c>
      <c r="K973" s="85">
        <f>STATS1003B!K974/1000</f>
        <v>0</v>
      </c>
      <c r="L973" s="85">
        <f>STATS1003B!L974/1000</f>
        <v>0</v>
      </c>
      <c r="M973" s="85">
        <f>STATS1003B!M974/1000</f>
        <v>2311.951</v>
      </c>
      <c r="N973" s="85">
        <f>STATS1003B!N974/1000</f>
        <v>0</v>
      </c>
      <c r="O973" s="85">
        <f>STATS1003B!O974/1000</f>
        <v>0</v>
      </c>
      <c r="P973" s="85">
        <f>STATS1003B!P974/1000</f>
        <v>0</v>
      </c>
      <c r="Q973" s="85">
        <f>STATS1003B!Q974/1000</f>
        <v>0</v>
      </c>
      <c r="R973" s="85">
        <f>STATS1003B!R974/1000</f>
        <v>0</v>
      </c>
      <c r="S973" s="85">
        <f>STATS1003B!S974/1000</f>
        <v>0</v>
      </c>
      <c r="T973" s="85">
        <f>STATS1003B!T974/1000</f>
        <v>0</v>
      </c>
      <c r="U973" s="85">
        <f>STATS1003B!U974/1000</f>
        <v>0</v>
      </c>
      <c r="V973" s="85">
        <f>STATS1003B!V974/1000</f>
        <v>2311.951</v>
      </c>
      <c r="W973" s="85">
        <f>STATS1003B!W974/1000</f>
        <v>511.02800000000002</v>
      </c>
      <c r="X973" s="85">
        <f>STATS1003B!X974/1000</f>
        <v>2311.951</v>
      </c>
      <c r="Y973" s="85">
        <f>STATS1003B!Y974/1000</f>
        <v>0</v>
      </c>
      <c r="Z973" s="85">
        <f>STATS1003B!Z974/1000</f>
        <v>511.02800000000002</v>
      </c>
      <c r="AA973" s="69">
        <f>STATS1003B!AA974/1000</f>
        <v>2311.951</v>
      </c>
      <c r="AB973" s="69">
        <f>STATS1003B!AB974/1000</f>
        <v>511.02800000000002</v>
      </c>
    </row>
    <row r="974" spans="1:28" hidden="1" x14ac:dyDescent="0.3">
      <c r="A974" s="117"/>
      <c r="C974" s="68" t="s">
        <v>210</v>
      </c>
      <c r="D974" s="145" t="s">
        <v>54</v>
      </c>
      <c r="E974" s="85">
        <f>STATS1003B!E975/1000</f>
        <v>751.83299999999997</v>
      </c>
      <c r="F974" s="85">
        <f>STATS1003B!F975/1000</f>
        <v>751.83299999999997</v>
      </c>
      <c r="G974" s="85">
        <f>STATS1003B!G975/1000</f>
        <v>0</v>
      </c>
      <c r="H974" s="85">
        <f>STATS1003B!H975/1000</f>
        <v>751.83299999999997</v>
      </c>
      <c r="I974" s="85">
        <f>STATS1003B!I975/1000</f>
        <v>0</v>
      </c>
      <c r="J974" s="85">
        <f>STATS1003B!J975/1000</f>
        <v>0</v>
      </c>
      <c r="K974" s="85">
        <f>STATS1003B!K975/1000</f>
        <v>0</v>
      </c>
      <c r="L974" s="85">
        <f>STATS1003B!L975/1000</f>
        <v>0</v>
      </c>
      <c r="M974" s="85">
        <f>STATS1003B!M975/1000</f>
        <v>751.83299999999997</v>
      </c>
      <c r="N974" s="85">
        <f>STATS1003B!N975/1000</f>
        <v>0</v>
      </c>
      <c r="O974" s="85">
        <f>STATS1003B!O975/1000</f>
        <v>0</v>
      </c>
      <c r="P974" s="85">
        <f>STATS1003B!P975/1000</f>
        <v>0</v>
      </c>
      <c r="Q974" s="85">
        <f>STATS1003B!Q975/1000</f>
        <v>0</v>
      </c>
      <c r="R974" s="85">
        <f>STATS1003B!R975/1000</f>
        <v>0</v>
      </c>
      <c r="S974" s="85">
        <f>STATS1003B!S975/1000</f>
        <v>0</v>
      </c>
      <c r="T974" s="85">
        <f>STATS1003B!T975/1000</f>
        <v>0</v>
      </c>
      <c r="U974" s="85">
        <f>STATS1003B!U975/1000</f>
        <v>0</v>
      </c>
      <c r="V974" s="85">
        <f>STATS1003B!V975/1000</f>
        <v>751.83299999999997</v>
      </c>
      <c r="W974" s="85">
        <f>STATS1003B!W975/1000</f>
        <v>0</v>
      </c>
      <c r="X974" s="85">
        <f>STATS1003B!X975/1000</f>
        <v>751.83299999999997</v>
      </c>
      <c r="Y974" s="85">
        <f>STATS1003B!Y975/1000</f>
        <v>0</v>
      </c>
      <c r="Z974" s="85">
        <f>STATS1003B!Z975/1000</f>
        <v>0</v>
      </c>
      <c r="AA974" s="69">
        <f>STATS1003B!AA975/1000</f>
        <v>751.83299999999997</v>
      </c>
      <c r="AB974" s="69">
        <f>STATS1003B!AB975/1000</f>
        <v>0</v>
      </c>
    </row>
    <row r="975" spans="1:28" hidden="1" x14ac:dyDescent="0.3">
      <c r="A975" s="117"/>
      <c r="C975" s="68" t="s">
        <v>107</v>
      </c>
      <c r="D975" s="145" t="s">
        <v>211</v>
      </c>
      <c r="E975" s="85">
        <f>STATS1003B!E976/1000</f>
        <v>17375.13222</v>
      </c>
      <c r="F975" s="85">
        <f>STATS1003B!F976/1000</f>
        <v>17375.13222</v>
      </c>
      <c r="G975" s="85">
        <f>STATS1003B!G976/1000</f>
        <v>0</v>
      </c>
      <c r="H975" s="85">
        <f>STATS1003B!H976/1000</f>
        <v>17375.13222</v>
      </c>
      <c r="I975" s="85">
        <f>STATS1003B!I976/1000</f>
        <v>0</v>
      </c>
      <c r="J975" s="85">
        <f>STATS1003B!J976/1000</f>
        <v>0</v>
      </c>
      <c r="K975" s="85">
        <f>STATS1003B!K976/1000</f>
        <v>0</v>
      </c>
      <c r="L975" s="85">
        <f>STATS1003B!L976/1000</f>
        <v>0</v>
      </c>
      <c r="M975" s="85">
        <f>STATS1003B!M976/1000</f>
        <v>17375.13222</v>
      </c>
      <c r="N975" s="85">
        <f>STATS1003B!N976/1000</f>
        <v>0</v>
      </c>
      <c r="O975" s="85">
        <f>STATS1003B!O976/1000</f>
        <v>0</v>
      </c>
      <c r="P975" s="85">
        <f>STATS1003B!P976/1000</f>
        <v>0</v>
      </c>
      <c r="Q975" s="85">
        <f>STATS1003B!Q976/1000</f>
        <v>0</v>
      </c>
      <c r="R975" s="85">
        <f>STATS1003B!R976/1000</f>
        <v>0</v>
      </c>
      <c r="S975" s="85">
        <f>STATS1003B!S976/1000</f>
        <v>0</v>
      </c>
      <c r="T975" s="85">
        <f>STATS1003B!T976/1000</f>
        <v>0</v>
      </c>
      <c r="U975" s="85">
        <f>STATS1003B!U976/1000</f>
        <v>0</v>
      </c>
      <c r="V975" s="85">
        <f>STATS1003B!V976/1000</f>
        <v>17375.13222</v>
      </c>
      <c r="W975" s="85">
        <f>STATS1003B!W976/1000</f>
        <v>0</v>
      </c>
      <c r="X975" s="85">
        <f>STATS1003B!X976/1000</f>
        <v>17375.13222</v>
      </c>
      <c r="Y975" s="85">
        <f>STATS1003B!Y976/1000</f>
        <v>0</v>
      </c>
      <c r="Z975" s="85">
        <f>STATS1003B!Z976/1000</f>
        <v>0</v>
      </c>
      <c r="AA975" s="69">
        <f>STATS1003B!AA976/1000</f>
        <v>17375.13222</v>
      </c>
      <c r="AB975" s="69">
        <f>STATS1003B!AB976/1000</f>
        <v>0</v>
      </c>
    </row>
    <row r="976" spans="1:28" hidden="1" x14ac:dyDescent="0.3">
      <c r="A976" s="117"/>
      <c r="C976" s="68" t="s">
        <v>212</v>
      </c>
      <c r="D976" s="145" t="s">
        <v>85</v>
      </c>
      <c r="E976" s="85">
        <f>STATS1003B!E977/1000</f>
        <v>0</v>
      </c>
      <c r="F976" s="85">
        <f>STATS1003B!F977/1000</f>
        <v>0</v>
      </c>
      <c r="G976" s="85">
        <f>STATS1003B!G977/1000</f>
        <v>0</v>
      </c>
      <c r="H976" s="85">
        <f>STATS1003B!H977/1000</f>
        <v>0</v>
      </c>
      <c r="I976" s="85">
        <f>STATS1003B!I977/1000</f>
        <v>0</v>
      </c>
      <c r="J976" s="85">
        <f>STATS1003B!J977/1000</f>
        <v>0</v>
      </c>
      <c r="K976" s="85">
        <f>STATS1003B!K977/1000</f>
        <v>0</v>
      </c>
      <c r="L976" s="85">
        <f>STATS1003B!L977/1000</f>
        <v>0</v>
      </c>
      <c r="M976" s="85">
        <f>STATS1003B!M977/1000</f>
        <v>0</v>
      </c>
      <c r="N976" s="85">
        <f>STATS1003B!N977/1000</f>
        <v>0</v>
      </c>
      <c r="O976" s="85">
        <f>STATS1003B!O977/1000</f>
        <v>0</v>
      </c>
      <c r="P976" s="85">
        <f>STATS1003B!P977/1000</f>
        <v>0</v>
      </c>
      <c r="Q976" s="85">
        <f>STATS1003B!Q977/1000</f>
        <v>0</v>
      </c>
      <c r="R976" s="85">
        <f>STATS1003B!R977/1000</f>
        <v>0</v>
      </c>
      <c r="S976" s="85">
        <f>STATS1003B!S977/1000</f>
        <v>0</v>
      </c>
      <c r="T976" s="85">
        <f>STATS1003B!T977/1000</f>
        <v>0</v>
      </c>
      <c r="U976" s="85">
        <f>STATS1003B!U977/1000</f>
        <v>0</v>
      </c>
      <c r="V976" s="85">
        <f>STATS1003B!V977/1000</f>
        <v>0</v>
      </c>
      <c r="W976" s="85">
        <f>STATS1003B!W977/1000</f>
        <v>0</v>
      </c>
      <c r="X976" s="85">
        <f>STATS1003B!X977/1000</f>
        <v>0</v>
      </c>
      <c r="Y976" s="85">
        <f>STATS1003B!Y977/1000</f>
        <v>0</v>
      </c>
      <c r="Z976" s="85">
        <f>STATS1003B!Z977/1000</f>
        <v>0</v>
      </c>
      <c r="AA976" s="69">
        <f>STATS1003B!AA977/1000</f>
        <v>0</v>
      </c>
      <c r="AB976" s="69">
        <f>STATS1003B!AB977/1000</f>
        <v>0</v>
      </c>
    </row>
    <row r="977" spans="1:28" hidden="1" x14ac:dyDescent="0.3">
      <c r="A977" s="117"/>
      <c r="C977" s="68" t="s">
        <v>213</v>
      </c>
      <c r="D977" s="145" t="s">
        <v>128</v>
      </c>
      <c r="E977" s="85">
        <f>STATS1003B!E978/1000</f>
        <v>714.46900000000005</v>
      </c>
      <c r="F977" s="85">
        <f>STATS1003B!F978/1000</f>
        <v>714.46900000000005</v>
      </c>
      <c r="G977" s="85">
        <f>STATS1003B!G978/1000</f>
        <v>0</v>
      </c>
      <c r="H977" s="85">
        <f>STATS1003B!H978/1000</f>
        <v>714.46900000000005</v>
      </c>
      <c r="I977" s="85">
        <f>STATS1003B!I978/1000</f>
        <v>0</v>
      </c>
      <c r="J977" s="85">
        <f>STATS1003B!J978/1000</f>
        <v>0</v>
      </c>
      <c r="K977" s="85">
        <f>STATS1003B!K978/1000</f>
        <v>0</v>
      </c>
      <c r="L977" s="85">
        <f>STATS1003B!L978/1000</f>
        <v>0</v>
      </c>
      <c r="M977" s="85">
        <f>STATS1003B!M978/1000</f>
        <v>714.46900000000005</v>
      </c>
      <c r="N977" s="85">
        <f>STATS1003B!N978/1000</f>
        <v>0</v>
      </c>
      <c r="O977" s="85">
        <f>STATS1003B!O978/1000</f>
        <v>0</v>
      </c>
      <c r="P977" s="85">
        <f>STATS1003B!P978/1000</f>
        <v>0</v>
      </c>
      <c r="Q977" s="85">
        <f>STATS1003B!Q978/1000</f>
        <v>0</v>
      </c>
      <c r="R977" s="85">
        <f>STATS1003B!R978/1000</f>
        <v>0</v>
      </c>
      <c r="S977" s="85">
        <f>STATS1003B!S978/1000</f>
        <v>0</v>
      </c>
      <c r="T977" s="85">
        <f>STATS1003B!T978/1000</f>
        <v>0</v>
      </c>
      <c r="U977" s="85">
        <f>STATS1003B!U978/1000</f>
        <v>0</v>
      </c>
      <c r="V977" s="85">
        <f>STATS1003B!V978/1000</f>
        <v>714.46900000000005</v>
      </c>
      <c r="W977" s="85">
        <f>STATS1003B!W978/1000</f>
        <v>0</v>
      </c>
      <c r="X977" s="85">
        <f>STATS1003B!X978/1000</f>
        <v>714.46900000000005</v>
      </c>
      <c r="Y977" s="85">
        <f>STATS1003B!Y978/1000</f>
        <v>0</v>
      </c>
      <c r="Z977" s="85">
        <f>STATS1003B!Z978/1000</f>
        <v>0</v>
      </c>
      <c r="AA977" s="69">
        <f>STATS1003B!AA978/1000</f>
        <v>714.46900000000005</v>
      </c>
      <c r="AB977" s="69">
        <f>STATS1003B!AB978/1000</f>
        <v>0</v>
      </c>
    </row>
    <row r="978" spans="1:28" hidden="1" x14ac:dyDescent="0.3">
      <c r="A978" s="117"/>
      <c r="C978" s="68" t="s">
        <v>57</v>
      </c>
      <c r="D978" s="145" t="s">
        <v>58</v>
      </c>
      <c r="E978" s="85">
        <f>STATS1003B!E979/1000</f>
        <v>9371.2459999999992</v>
      </c>
      <c r="F978" s="85">
        <f>STATS1003B!F979/1000</f>
        <v>9371.2459999999992</v>
      </c>
      <c r="G978" s="85">
        <f>STATS1003B!G979/1000</f>
        <v>0</v>
      </c>
      <c r="H978" s="85">
        <f>STATS1003B!H979/1000</f>
        <v>9371.2459999999992</v>
      </c>
      <c r="I978" s="85">
        <f>STATS1003B!I979/1000</f>
        <v>0</v>
      </c>
      <c r="J978" s="85">
        <f>STATS1003B!J979/1000</f>
        <v>0</v>
      </c>
      <c r="K978" s="85">
        <f>STATS1003B!K979/1000</f>
        <v>0</v>
      </c>
      <c r="L978" s="85">
        <f>STATS1003B!L979/1000</f>
        <v>0</v>
      </c>
      <c r="M978" s="85">
        <f>STATS1003B!M979/1000</f>
        <v>9371.2459999999992</v>
      </c>
      <c r="N978" s="85">
        <f>STATS1003B!N979/1000</f>
        <v>0</v>
      </c>
      <c r="O978" s="85">
        <f>STATS1003B!O979/1000</f>
        <v>0</v>
      </c>
      <c r="P978" s="85">
        <f>STATS1003B!P979/1000</f>
        <v>0</v>
      </c>
      <c r="Q978" s="85">
        <f>STATS1003B!Q979/1000</f>
        <v>0</v>
      </c>
      <c r="R978" s="85">
        <f>STATS1003B!R979/1000</f>
        <v>0</v>
      </c>
      <c r="S978" s="85">
        <f>STATS1003B!S979/1000</f>
        <v>0</v>
      </c>
      <c r="T978" s="85">
        <f>STATS1003B!T979/1000</f>
        <v>0</v>
      </c>
      <c r="U978" s="85">
        <f>STATS1003B!U979/1000</f>
        <v>0</v>
      </c>
      <c r="V978" s="85">
        <f>STATS1003B!V979/1000</f>
        <v>9371.2459999999992</v>
      </c>
      <c r="W978" s="85">
        <f>STATS1003B!W979/1000</f>
        <v>0</v>
      </c>
      <c r="X978" s="85">
        <f>STATS1003B!X979/1000</f>
        <v>9371.2459999999992</v>
      </c>
      <c r="Y978" s="85">
        <f>STATS1003B!Y979/1000</f>
        <v>0</v>
      </c>
      <c r="Z978" s="85">
        <f>STATS1003B!Z979/1000</f>
        <v>0</v>
      </c>
      <c r="AA978" s="69">
        <f>STATS1003B!AA979/1000</f>
        <v>9371.2459999999992</v>
      </c>
      <c r="AB978" s="69">
        <f>STATS1003B!AB979/1000</f>
        <v>0</v>
      </c>
    </row>
    <row r="979" spans="1:28" hidden="1" x14ac:dyDescent="0.3">
      <c r="A979" s="117"/>
      <c r="C979" s="68" t="s">
        <v>214</v>
      </c>
      <c r="D979" s="145" t="s">
        <v>194</v>
      </c>
      <c r="E979" s="85">
        <f>STATS1003B!E980/1000</f>
        <v>12907.53745</v>
      </c>
      <c r="F979" s="85">
        <f>STATS1003B!F980/1000</f>
        <v>12907.53745</v>
      </c>
      <c r="G979" s="85">
        <f>STATS1003B!G980/1000</f>
        <v>0</v>
      </c>
      <c r="H979" s="85">
        <f>STATS1003B!H980/1000</f>
        <v>12907.53745</v>
      </c>
      <c r="I979" s="85">
        <f>STATS1003B!I980/1000</f>
        <v>0</v>
      </c>
      <c r="J979" s="85">
        <f>STATS1003B!J980/1000</f>
        <v>0</v>
      </c>
      <c r="K979" s="85">
        <f>STATS1003B!K980/1000</f>
        <v>0</v>
      </c>
      <c r="L979" s="85">
        <f>STATS1003B!L980/1000</f>
        <v>0</v>
      </c>
      <c r="M979" s="85">
        <f>STATS1003B!M980/1000</f>
        <v>12907.53745</v>
      </c>
      <c r="N979" s="85">
        <f>STATS1003B!N980/1000</f>
        <v>0</v>
      </c>
      <c r="O979" s="85">
        <f>STATS1003B!O980/1000</f>
        <v>0</v>
      </c>
      <c r="P979" s="85">
        <f>STATS1003B!P980/1000</f>
        <v>0</v>
      </c>
      <c r="Q979" s="85">
        <f>STATS1003B!Q980/1000</f>
        <v>0</v>
      </c>
      <c r="R979" s="85">
        <f>STATS1003B!R980/1000</f>
        <v>0</v>
      </c>
      <c r="S979" s="85">
        <f>STATS1003B!S980/1000</f>
        <v>0</v>
      </c>
      <c r="T979" s="85">
        <f>STATS1003B!T980/1000</f>
        <v>0</v>
      </c>
      <c r="U979" s="85">
        <f>STATS1003B!U980/1000</f>
        <v>0</v>
      </c>
      <c r="V979" s="85">
        <f>STATS1003B!V980/1000</f>
        <v>12907.53745</v>
      </c>
      <c r="W979" s="85">
        <f>STATS1003B!W980/1000</f>
        <v>0</v>
      </c>
      <c r="X979" s="85">
        <f>STATS1003B!X980/1000</f>
        <v>12907.53745</v>
      </c>
      <c r="Y979" s="85">
        <f>STATS1003B!Y980/1000</f>
        <v>0</v>
      </c>
      <c r="Z979" s="85">
        <f>STATS1003B!Z980/1000</f>
        <v>0</v>
      </c>
      <c r="AA979" s="69">
        <f>STATS1003B!AA980/1000</f>
        <v>12907.53745</v>
      </c>
      <c r="AB979" s="69">
        <f>STATS1003B!AB980/1000</f>
        <v>0</v>
      </c>
    </row>
    <row r="980" spans="1:28" hidden="1" x14ac:dyDescent="0.3">
      <c r="A980" s="117"/>
      <c r="C980" s="68" t="s">
        <v>1194</v>
      </c>
      <c r="D980" s="90" t="s">
        <v>1126</v>
      </c>
      <c r="E980" s="85">
        <f>STATS1003B!E981/1000</f>
        <v>883.90953000000002</v>
      </c>
      <c r="F980" s="85">
        <f>STATS1003B!F981/1000</f>
        <v>883.90953000000002</v>
      </c>
      <c r="G980" s="85">
        <f>STATS1003B!G981/1000</f>
        <v>0</v>
      </c>
      <c r="H980" s="85">
        <f>STATS1003B!H981/1000</f>
        <v>883.90953000000002</v>
      </c>
      <c r="I980" s="85">
        <f>STATS1003B!I981/1000</f>
        <v>0</v>
      </c>
      <c r="J980" s="85">
        <f>STATS1003B!J981/1000</f>
        <v>0</v>
      </c>
      <c r="K980" s="85">
        <f>STATS1003B!K981/1000</f>
        <v>0</v>
      </c>
      <c r="L980" s="85">
        <f>STATS1003B!L981/1000</f>
        <v>0</v>
      </c>
      <c r="M980" s="85">
        <f>STATS1003B!M981/1000</f>
        <v>883.90953000000002</v>
      </c>
      <c r="N980" s="85">
        <f>STATS1003B!N981/1000</f>
        <v>0</v>
      </c>
      <c r="O980" s="85">
        <f>STATS1003B!O981/1000</f>
        <v>0</v>
      </c>
      <c r="P980" s="85">
        <f>STATS1003B!P981/1000</f>
        <v>0</v>
      </c>
      <c r="Q980" s="85">
        <f>STATS1003B!Q981/1000</f>
        <v>0</v>
      </c>
      <c r="R980" s="85">
        <f>STATS1003B!R981/1000</f>
        <v>0</v>
      </c>
      <c r="S980" s="85">
        <f>STATS1003B!S981/1000</f>
        <v>0</v>
      </c>
      <c r="T980" s="85">
        <f>STATS1003B!T981/1000</f>
        <v>0</v>
      </c>
      <c r="U980" s="85">
        <f>STATS1003B!U981/1000</f>
        <v>0</v>
      </c>
      <c r="V980" s="85">
        <f>STATS1003B!V981/1000</f>
        <v>883.90953000000002</v>
      </c>
      <c r="W980" s="85">
        <f>STATS1003B!W981/1000</f>
        <v>0</v>
      </c>
      <c r="X980" s="85">
        <f>STATS1003B!X981/1000</f>
        <v>883.90953000000002</v>
      </c>
      <c r="Y980" s="85">
        <f>STATS1003B!Y981/1000</f>
        <v>0</v>
      </c>
      <c r="Z980" s="85">
        <f>STATS1003B!Z981/1000</f>
        <v>0</v>
      </c>
      <c r="AA980" s="69">
        <f>STATS1003B!AA981/1000</f>
        <v>883.90953000000002</v>
      </c>
      <c r="AB980" s="69">
        <f>STATS1003B!AB981/1000</f>
        <v>0</v>
      </c>
    </row>
    <row r="981" spans="1:28" hidden="1" x14ac:dyDescent="0.3">
      <c r="A981" s="117"/>
      <c r="C981" s="71" t="s">
        <v>109</v>
      </c>
      <c r="D981" s="88" t="s">
        <v>60</v>
      </c>
      <c r="E981" s="85">
        <f>STATS1003B!E982/1000</f>
        <v>15708.457560000001</v>
      </c>
      <c r="F981" s="85">
        <f>STATS1003B!F982/1000</f>
        <v>15708.457560000001</v>
      </c>
      <c r="G981" s="85">
        <f>STATS1003B!G982/1000</f>
        <v>0</v>
      </c>
      <c r="H981" s="85">
        <f>STATS1003B!H982/1000</f>
        <v>15708.457560000001</v>
      </c>
      <c r="I981" s="85">
        <f>STATS1003B!I982/1000</f>
        <v>0</v>
      </c>
      <c r="J981" s="85">
        <f>STATS1003B!J982/1000</f>
        <v>0</v>
      </c>
      <c r="K981" s="85">
        <f>STATS1003B!K982/1000</f>
        <v>0</v>
      </c>
      <c r="L981" s="85">
        <f>STATS1003B!L982/1000</f>
        <v>0</v>
      </c>
      <c r="M981" s="85">
        <f>STATS1003B!M982/1000</f>
        <v>15708.457560000001</v>
      </c>
      <c r="N981" s="85">
        <f>STATS1003B!N982/1000</f>
        <v>0</v>
      </c>
      <c r="O981" s="85">
        <f>STATS1003B!O982/1000</f>
        <v>0</v>
      </c>
      <c r="P981" s="85">
        <f>STATS1003B!P982/1000</f>
        <v>0</v>
      </c>
      <c r="Q981" s="85">
        <f>STATS1003B!Q982/1000</f>
        <v>0</v>
      </c>
      <c r="R981" s="85">
        <f>STATS1003B!R982/1000</f>
        <v>0</v>
      </c>
      <c r="S981" s="85">
        <f>STATS1003B!S982/1000</f>
        <v>0</v>
      </c>
      <c r="T981" s="85">
        <f>STATS1003B!T982/1000</f>
        <v>0</v>
      </c>
      <c r="U981" s="85">
        <f>STATS1003B!U982/1000</f>
        <v>0</v>
      </c>
      <c r="V981" s="85">
        <f>STATS1003B!V982/1000</f>
        <v>15708.457560000001</v>
      </c>
      <c r="W981" s="85">
        <f>STATS1003B!W982/1000</f>
        <v>0</v>
      </c>
      <c r="X981" s="85">
        <f>STATS1003B!X982/1000</f>
        <v>15708.457560000001</v>
      </c>
      <c r="Y981" s="85">
        <f>STATS1003B!Y982/1000</f>
        <v>0</v>
      </c>
      <c r="Z981" s="85">
        <f>STATS1003B!Z982/1000</f>
        <v>0</v>
      </c>
      <c r="AA981" s="69">
        <f>STATS1003B!AA982/1000</f>
        <v>15708.457560000001</v>
      </c>
      <c r="AB981" s="69">
        <f>STATS1003B!AB982/1000</f>
        <v>0</v>
      </c>
    </row>
    <row r="982" spans="1:28" hidden="1" x14ac:dyDescent="0.3">
      <c r="A982" s="117"/>
      <c r="C982" s="68" t="s">
        <v>57</v>
      </c>
      <c r="D982" s="89" t="s">
        <v>61</v>
      </c>
      <c r="E982" s="85">
        <f>STATS1003B!E983/1000</f>
        <v>715.71341000000007</v>
      </c>
      <c r="F982" s="85">
        <f>STATS1003B!F983/1000</f>
        <v>715.71341000000007</v>
      </c>
      <c r="G982" s="85">
        <f>STATS1003B!G983/1000</f>
        <v>0</v>
      </c>
      <c r="H982" s="85">
        <f>STATS1003B!H983/1000</f>
        <v>715.71341000000007</v>
      </c>
      <c r="I982" s="85">
        <f>STATS1003B!I983/1000</f>
        <v>0</v>
      </c>
      <c r="J982" s="85">
        <f>STATS1003B!J983/1000</f>
        <v>0</v>
      </c>
      <c r="K982" s="85">
        <f>STATS1003B!K983/1000</f>
        <v>0</v>
      </c>
      <c r="L982" s="85">
        <f>STATS1003B!L983/1000</f>
        <v>0</v>
      </c>
      <c r="M982" s="85">
        <f>STATS1003B!M983/1000</f>
        <v>715.71341000000007</v>
      </c>
      <c r="N982" s="85">
        <f>STATS1003B!N983/1000</f>
        <v>0</v>
      </c>
      <c r="O982" s="85">
        <f>STATS1003B!O983/1000</f>
        <v>0</v>
      </c>
      <c r="P982" s="85">
        <f>STATS1003B!P983/1000</f>
        <v>0</v>
      </c>
      <c r="Q982" s="85">
        <f>STATS1003B!Q983/1000</f>
        <v>0</v>
      </c>
      <c r="R982" s="85">
        <f>STATS1003B!R983/1000</f>
        <v>0</v>
      </c>
      <c r="S982" s="85">
        <f>STATS1003B!S983/1000</f>
        <v>0</v>
      </c>
      <c r="T982" s="85">
        <f>STATS1003B!T983/1000</f>
        <v>0</v>
      </c>
      <c r="U982" s="85">
        <f>STATS1003B!U983/1000</f>
        <v>0</v>
      </c>
      <c r="V982" s="85">
        <f>STATS1003B!V983/1000</f>
        <v>715.71341000000007</v>
      </c>
      <c r="W982" s="85">
        <f>STATS1003B!W983/1000</f>
        <v>0</v>
      </c>
      <c r="X982" s="85">
        <f>STATS1003B!X983/1000</f>
        <v>715.71341000000007</v>
      </c>
      <c r="Y982" s="85">
        <f>STATS1003B!Y983/1000</f>
        <v>0</v>
      </c>
      <c r="Z982" s="85">
        <f>STATS1003B!Z983/1000</f>
        <v>0</v>
      </c>
      <c r="AA982" s="69">
        <f>STATS1003B!AA983/1000</f>
        <v>715.71341000000007</v>
      </c>
      <c r="AB982" s="69">
        <f>STATS1003B!AB983/1000</f>
        <v>0</v>
      </c>
    </row>
    <row r="983" spans="1:28" hidden="1" x14ac:dyDescent="0.3">
      <c r="A983" s="117"/>
      <c r="E983" s="86" t="s">
        <v>29</v>
      </c>
      <c r="F983" s="86" t="s">
        <v>29</v>
      </c>
      <c r="G983" s="86" t="s">
        <v>29</v>
      </c>
      <c r="H983" s="86" t="s">
        <v>29</v>
      </c>
      <c r="I983" s="86" t="s">
        <v>29</v>
      </c>
      <c r="J983" s="86" t="s">
        <v>29</v>
      </c>
      <c r="K983" s="86" t="s">
        <v>29</v>
      </c>
      <c r="L983" s="86" t="s">
        <v>29</v>
      </c>
      <c r="M983" s="86" t="s">
        <v>29</v>
      </c>
      <c r="N983" s="86" t="s">
        <v>29</v>
      </c>
      <c r="O983" s="86" t="s">
        <v>29</v>
      </c>
      <c r="P983" s="86" t="s">
        <v>29</v>
      </c>
      <c r="Q983" s="86" t="s">
        <v>29</v>
      </c>
      <c r="R983" s="86" t="s">
        <v>29</v>
      </c>
      <c r="S983" s="86" t="s">
        <v>29</v>
      </c>
      <c r="T983" s="86" t="s">
        <v>29</v>
      </c>
      <c r="U983" s="86" t="s">
        <v>29</v>
      </c>
      <c r="V983" s="86" t="s">
        <v>29</v>
      </c>
      <c r="W983" s="86" t="s">
        <v>29</v>
      </c>
      <c r="X983" s="86" t="s">
        <v>29</v>
      </c>
      <c r="Y983" s="86" t="s">
        <v>29</v>
      </c>
      <c r="Z983" s="86" t="s">
        <v>29</v>
      </c>
      <c r="AA983" s="115" t="s">
        <v>29</v>
      </c>
      <c r="AB983" s="115" t="s">
        <v>29</v>
      </c>
    </row>
    <row r="984" spans="1:28" x14ac:dyDescent="0.3">
      <c r="A984" s="116">
        <v>45</v>
      </c>
      <c r="B984" s="68" t="s">
        <v>202</v>
      </c>
      <c r="E984" s="85">
        <f>533125624.24/1000</f>
        <v>533125.62424000003</v>
      </c>
      <c r="F984" s="85">
        <f t="shared" ref="F984:AB984" si="125">SUM(F968:F982)</f>
        <v>79550.978210000001</v>
      </c>
      <c r="G984" s="85">
        <f t="shared" si="125"/>
        <v>0</v>
      </c>
      <c r="H984" s="85">
        <f>524737669.36/1000</f>
        <v>524737.66936000006</v>
      </c>
      <c r="I984" s="85">
        <f t="shared" si="125"/>
        <v>0</v>
      </c>
      <c r="J984" s="85">
        <f t="shared" si="125"/>
        <v>0</v>
      </c>
      <c r="K984" s="85">
        <f t="shared" si="125"/>
        <v>0</v>
      </c>
      <c r="L984" s="85">
        <f t="shared" si="125"/>
        <v>0</v>
      </c>
      <c r="M984" s="85">
        <f t="shared" si="125"/>
        <v>79550.978210000001</v>
      </c>
      <c r="N984" s="85">
        <f t="shared" si="125"/>
        <v>7876.9268799999991</v>
      </c>
      <c r="O984" s="85">
        <f t="shared" si="125"/>
        <v>0</v>
      </c>
      <c r="P984" s="85">
        <f>7876926/1000</f>
        <v>7876.9260000000004</v>
      </c>
      <c r="Q984" s="85">
        <f t="shared" si="125"/>
        <v>0</v>
      </c>
      <c r="R984" s="85">
        <f t="shared" si="125"/>
        <v>0</v>
      </c>
      <c r="S984" s="85">
        <f t="shared" si="125"/>
        <v>0</v>
      </c>
      <c r="T984" s="85">
        <f t="shared" si="125"/>
        <v>0</v>
      </c>
      <c r="U984" s="85">
        <f t="shared" si="125"/>
        <v>7876.9268799999991</v>
      </c>
      <c r="V984" s="85">
        <f t="shared" si="125"/>
        <v>87427.905089999986</v>
      </c>
      <c r="W984" s="85">
        <f t="shared" si="125"/>
        <v>511.02800000000002</v>
      </c>
      <c r="X984" s="85">
        <f>+H984+P984</f>
        <v>532614.59536000004</v>
      </c>
      <c r="Y984" s="85">
        <f t="shared" si="125"/>
        <v>0</v>
      </c>
      <c r="Z984" s="85">
        <f>+E984-X984</f>
        <v>511.02887999999803</v>
      </c>
      <c r="AA984" s="69">
        <f t="shared" si="125"/>
        <v>87427.905089999986</v>
      </c>
      <c r="AB984" s="69">
        <f t="shared" si="125"/>
        <v>511.02800000000002</v>
      </c>
    </row>
    <row r="985" spans="1:28" hidden="1" x14ac:dyDescent="0.3">
      <c r="A985" s="117"/>
      <c r="E985" s="86" t="s">
        <v>29</v>
      </c>
      <c r="F985" s="86" t="s">
        <v>29</v>
      </c>
      <c r="G985" s="86" t="s">
        <v>29</v>
      </c>
      <c r="H985" s="86" t="s">
        <v>29</v>
      </c>
      <c r="I985" s="86" t="s">
        <v>29</v>
      </c>
      <c r="J985" s="86" t="s">
        <v>29</v>
      </c>
      <c r="K985" s="86" t="s">
        <v>29</v>
      </c>
      <c r="L985" s="86" t="s">
        <v>29</v>
      </c>
      <c r="M985" s="86" t="s">
        <v>29</v>
      </c>
      <c r="N985" s="86" t="s">
        <v>29</v>
      </c>
      <c r="O985" s="86" t="s">
        <v>29</v>
      </c>
      <c r="P985" s="86" t="s">
        <v>29</v>
      </c>
      <c r="Q985" s="86" t="s">
        <v>29</v>
      </c>
      <c r="R985" s="86" t="s">
        <v>29</v>
      </c>
      <c r="S985" s="86" t="s">
        <v>29</v>
      </c>
      <c r="T985" s="86" t="s">
        <v>29</v>
      </c>
      <c r="U985" s="86" t="s">
        <v>29</v>
      </c>
      <c r="V985" s="86" t="s">
        <v>29</v>
      </c>
      <c r="W985" s="86" t="s">
        <v>29</v>
      </c>
      <c r="X985" s="85" t="e">
        <f t="shared" ref="X985:X1048" si="126">+H985+P985</f>
        <v>#VALUE!</v>
      </c>
      <c r="Y985" s="86" t="s">
        <v>29</v>
      </c>
      <c r="Z985" s="86" t="s">
        <v>29</v>
      </c>
      <c r="AA985" s="115" t="s">
        <v>29</v>
      </c>
      <c r="AB985" s="115" t="s">
        <v>29</v>
      </c>
    </row>
    <row r="986" spans="1:28" hidden="1" x14ac:dyDescent="0.3">
      <c r="A986" s="117"/>
      <c r="E986" s="85">
        <f>E984-77914450.96</f>
        <v>-77381325.335759997</v>
      </c>
      <c r="F986" s="85">
        <f>F984-71185418.47</f>
        <v>-71105867.491789997</v>
      </c>
      <c r="G986" s="85">
        <f>G984-0</f>
        <v>0</v>
      </c>
      <c r="H986" s="85">
        <f>H984-71185418.47</f>
        <v>-70660680.800640002</v>
      </c>
      <c r="I986" s="85">
        <f>I984-77914450.96</f>
        <v>-77914450.959999993</v>
      </c>
      <c r="J986" s="85">
        <f>J984-77914450.96</f>
        <v>-77914450.959999993</v>
      </c>
      <c r="K986" s="85">
        <f>K984-77914450.96</f>
        <v>-77914450.959999993</v>
      </c>
      <c r="L986" s="85">
        <f>L984-0</f>
        <v>0</v>
      </c>
      <c r="M986" s="85">
        <f>M984-71185418.47</f>
        <v>-71105867.491789997</v>
      </c>
      <c r="N986" s="85">
        <f>N984-5850452.49</f>
        <v>-5842575.5631200001</v>
      </c>
      <c r="O986" s="85">
        <f>O984-0</f>
        <v>0</v>
      </c>
      <c r="P986" s="85">
        <f>P984-5850452.49</f>
        <v>-5842575.5640000002</v>
      </c>
      <c r="Q986" s="85">
        <f>Q984-77914450.96</f>
        <v>-77914450.959999993</v>
      </c>
      <c r="R986" s="85">
        <f>R984-77914450.96</f>
        <v>-77914450.959999993</v>
      </c>
      <c r="S986" s="85">
        <f>S984-77914450.96</f>
        <v>-77914450.959999993</v>
      </c>
      <c r="T986" s="85">
        <f>T984-0</f>
        <v>0</v>
      </c>
      <c r="U986" s="85">
        <f>U984-5850452.49</f>
        <v>-5842575.5631200001</v>
      </c>
      <c r="V986" s="85">
        <f>V984-77914450.96</f>
        <v>-77827023.054909989</v>
      </c>
      <c r="W986" s="85">
        <f>W984-77914450.96</f>
        <v>-77913939.931999996</v>
      </c>
      <c r="X986" s="85">
        <f t="shared" si="126"/>
        <v>-76503256.364639997</v>
      </c>
      <c r="Y986" s="85">
        <f>Y984-77914450.96</f>
        <v>-77914450.959999993</v>
      </c>
      <c r="Z986" s="85">
        <f>Z984-878580</f>
        <v>-878068.97112</v>
      </c>
    </row>
    <row r="987" spans="1:28" hidden="1" x14ac:dyDescent="0.3">
      <c r="A987" s="117"/>
      <c r="C987" s="68" t="s">
        <v>216</v>
      </c>
      <c r="D987" s="145" t="s">
        <v>128</v>
      </c>
      <c r="E987" s="85">
        <f>STATS1003B!E988/1000</f>
        <v>900</v>
      </c>
      <c r="F987" s="85">
        <f>STATS1003B!F988/1000</f>
        <v>900</v>
      </c>
      <c r="G987" s="85">
        <f>STATS1003B!G988/1000</f>
        <v>0</v>
      </c>
      <c r="H987" s="85">
        <f>STATS1003B!H988/1000</f>
        <v>900</v>
      </c>
      <c r="I987" s="85">
        <f>STATS1003B!I988/1000</f>
        <v>0</v>
      </c>
      <c r="J987" s="85">
        <f>STATS1003B!J988/1000</f>
        <v>0</v>
      </c>
      <c r="K987" s="85">
        <f>STATS1003B!K988/1000</f>
        <v>0</v>
      </c>
      <c r="L987" s="85">
        <f>STATS1003B!L988/1000</f>
        <v>0</v>
      </c>
      <c r="M987" s="85">
        <f>STATS1003B!M988/1000</f>
        <v>900</v>
      </c>
      <c r="N987" s="85">
        <f>STATS1003B!N988/1000</f>
        <v>0</v>
      </c>
      <c r="O987" s="85">
        <f>STATS1003B!O988/1000</f>
        <v>0</v>
      </c>
      <c r="P987" s="85">
        <f>STATS1003B!P988/1000</f>
        <v>0</v>
      </c>
      <c r="Q987" s="85">
        <f>STATS1003B!Q988/1000</f>
        <v>0</v>
      </c>
      <c r="R987" s="85">
        <f>STATS1003B!R988/1000</f>
        <v>0</v>
      </c>
      <c r="S987" s="85">
        <f>STATS1003B!S988/1000</f>
        <v>0</v>
      </c>
      <c r="T987" s="85">
        <f>STATS1003B!T988/1000</f>
        <v>0</v>
      </c>
      <c r="U987" s="85">
        <f>STATS1003B!U988/1000</f>
        <v>0</v>
      </c>
      <c r="V987" s="85">
        <f>STATS1003B!V988/1000</f>
        <v>900</v>
      </c>
      <c r="W987" s="85">
        <f>STATS1003B!W988/1000</f>
        <v>0</v>
      </c>
      <c r="X987" s="85">
        <f t="shared" si="126"/>
        <v>900</v>
      </c>
      <c r="Y987" s="85">
        <f>STATS1003B!Y988/1000</f>
        <v>0</v>
      </c>
      <c r="Z987" s="85">
        <f>STATS1003B!Z988/1000</f>
        <v>0</v>
      </c>
      <c r="AA987" s="69">
        <f>STATS1003B!AA988/1000</f>
        <v>900</v>
      </c>
      <c r="AB987" s="69">
        <f>STATS1003B!AB988/1000</f>
        <v>0</v>
      </c>
    </row>
    <row r="988" spans="1:28" hidden="1" x14ac:dyDescent="0.3">
      <c r="A988" s="117"/>
      <c r="E988" s="86" t="s">
        <v>29</v>
      </c>
      <c r="F988" s="86" t="s">
        <v>29</v>
      </c>
      <c r="G988" s="86" t="s">
        <v>29</v>
      </c>
      <c r="H988" s="86" t="s">
        <v>29</v>
      </c>
      <c r="I988" s="86" t="s">
        <v>29</v>
      </c>
      <c r="J988" s="86" t="s">
        <v>29</v>
      </c>
      <c r="K988" s="86" t="s">
        <v>29</v>
      </c>
      <c r="L988" s="86" t="s">
        <v>29</v>
      </c>
      <c r="M988" s="86" t="s">
        <v>29</v>
      </c>
      <c r="N988" s="86" t="s">
        <v>29</v>
      </c>
      <c r="O988" s="86" t="s">
        <v>29</v>
      </c>
      <c r="P988" s="86" t="s">
        <v>29</v>
      </c>
      <c r="Q988" s="86" t="s">
        <v>29</v>
      </c>
      <c r="R988" s="86" t="s">
        <v>29</v>
      </c>
      <c r="S988" s="86" t="s">
        <v>29</v>
      </c>
      <c r="T988" s="86" t="s">
        <v>29</v>
      </c>
      <c r="U988" s="86" t="s">
        <v>29</v>
      </c>
      <c r="V988" s="86" t="s">
        <v>29</v>
      </c>
      <c r="W988" s="86" t="s">
        <v>29</v>
      </c>
      <c r="X988" s="85" t="e">
        <f t="shared" si="126"/>
        <v>#VALUE!</v>
      </c>
      <c r="Y988" s="86" t="s">
        <v>29</v>
      </c>
      <c r="Z988" s="86" t="s">
        <v>29</v>
      </c>
      <c r="AA988" s="115" t="s">
        <v>29</v>
      </c>
      <c r="AB988" s="115" t="s">
        <v>29</v>
      </c>
    </row>
    <row r="989" spans="1:28" x14ac:dyDescent="0.3">
      <c r="A989" s="117"/>
      <c r="B989" s="68" t="s">
        <v>215</v>
      </c>
      <c r="E989" s="85">
        <f>900000/1000</f>
        <v>900</v>
      </c>
      <c r="F989" s="85">
        <f t="shared" ref="F989:AB989" si="127">F987</f>
        <v>900</v>
      </c>
      <c r="G989" s="85">
        <f t="shared" si="127"/>
        <v>0</v>
      </c>
      <c r="H989" s="85">
        <f>900000/1000</f>
        <v>900</v>
      </c>
      <c r="I989" s="85">
        <f t="shared" si="127"/>
        <v>0</v>
      </c>
      <c r="J989" s="85">
        <f t="shared" si="127"/>
        <v>0</v>
      </c>
      <c r="K989" s="85">
        <f t="shared" si="127"/>
        <v>0</v>
      </c>
      <c r="L989" s="85">
        <f t="shared" si="127"/>
        <v>0</v>
      </c>
      <c r="M989" s="85">
        <f t="shared" si="127"/>
        <v>900</v>
      </c>
      <c r="N989" s="85">
        <f t="shared" si="127"/>
        <v>0</v>
      </c>
      <c r="O989" s="85">
        <f t="shared" si="127"/>
        <v>0</v>
      </c>
      <c r="P989" s="85">
        <v>0</v>
      </c>
      <c r="Q989" s="85">
        <f t="shared" si="127"/>
        <v>0</v>
      </c>
      <c r="R989" s="85">
        <f t="shared" si="127"/>
        <v>0</v>
      </c>
      <c r="S989" s="85">
        <f t="shared" si="127"/>
        <v>0</v>
      </c>
      <c r="T989" s="85">
        <f t="shared" si="127"/>
        <v>0</v>
      </c>
      <c r="U989" s="85">
        <f t="shared" si="127"/>
        <v>0</v>
      </c>
      <c r="V989" s="85">
        <f t="shared" si="127"/>
        <v>900</v>
      </c>
      <c r="W989" s="85">
        <f t="shared" si="127"/>
        <v>0</v>
      </c>
      <c r="X989" s="85">
        <f t="shared" si="126"/>
        <v>900</v>
      </c>
      <c r="Y989" s="85">
        <f t="shared" si="127"/>
        <v>0</v>
      </c>
      <c r="Z989" s="85">
        <f t="shared" ref="Z989:Z1052" si="128">+E989-X989</f>
        <v>0</v>
      </c>
      <c r="AA989" s="69">
        <f t="shared" si="127"/>
        <v>900</v>
      </c>
      <c r="AB989" s="69">
        <f t="shared" si="127"/>
        <v>0</v>
      </c>
    </row>
    <row r="990" spans="1:28" hidden="1" x14ac:dyDescent="0.3">
      <c r="A990" s="117"/>
      <c r="E990" s="86" t="s">
        <v>29</v>
      </c>
      <c r="F990" s="86" t="s">
        <v>29</v>
      </c>
      <c r="G990" s="86" t="s">
        <v>29</v>
      </c>
      <c r="H990" s="86" t="s">
        <v>29</v>
      </c>
      <c r="I990" s="86" t="s">
        <v>29</v>
      </c>
      <c r="J990" s="86" t="s">
        <v>29</v>
      </c>
      <c r="K990" s="86" t="s">
        <v>29</v>
      </c>
      <c r="L990" s="86" t="s">
        <v>29</v>
      </c>
      <c r="M990" s="86" t="s">
        <v>29</v>
      </c>
      <c r="N990" s="86" t="s">
        <v>29</v>
      </c>
      <c r="O990" s="86" t="s">
        <v>29</v>
      </c>
      <c r="P990" s="86" t="s">
        <v>29</v>
      </c>
      <c r="Q990" s="86" t="s">
        <v>29</v>
      </c>
      <c r="R990" s="86" t="s">
        <v>29</v>
      </c>
      <c r="S990" s="86" t="s">
        <v>29</v>
      </c>
      <c r="T990" s="86" t="s">
        <v>29</v>
      </c>
      <c r="U990" s="86" t="s">
        <v>29</v>
      </c>
      <c r="V990" s="86" t="s">
        <v>29</v>
      </c>
      <c r="W990" s="86" t="s">
        <v>29</v>
      </c>
      <c r="X990" s="85" t="e">
        <f t="shared" si="126"/>
        <v>#VALUE!</v>
      </c>
      <c r="Y990" s="86" t="s">
        <v>29</v>
      </c>
      <c r="Z990" s="85" t="e">
        <f t="shared" si="128"/>
        <v>#VALUE!</v>
      </c>
      <c r="AA990" s="115" t="s">
        <v>29</v>
      </c>
      <c r="AB990" s="115" t="s">
        <v>29</v>
      </c>
    </row>
    <row r="991" spans="1:28" hidden="1" x14ac:dyDescent="0.3">
      <c r="A991" s="105"/>
      <c r="E991" s="84"/>
      <c r="F991" s="84"/>
      <c r="G991" s="84"/>
      <c r="H991" s="84"/>
      <c r="I991" s="84"/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  <c r="U991" s="84"/>
      <c r="V991" s="84"/>
      <c r="W991" s="84"/>
      <c r="X991" s="85">
        <f t="shared" si="126"/>
        <v>0</v>
      </c>
      <c r="Y991" s="84"/>
      <c r="Z991" s="85">
        <f t="shared" si="128"/>
        <v>0</v>
      </c>
    </row>
    <row r="992" spans="1:28" hidden="1" x14ac:dyDescent="0.3">
      <c r="A992" s="117"/>
      <c r="D992" s="145" t="s">
        <v>218</v>
      </c>
      <c r="E992" s="84"/>
      <c r="F992" s="84"/>
      <c r="G992" s="84"/>
      <c r="H992" s="84"/>
      <c r="I992" s="84"/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  <c r="U992" s="84"/>
      <c r="V992" s="84"/>
      <c r="W992" s="84"/>
      <c r="X992" s="85">
        <f t="shared" si="126"/>
        <v>0</v>
      </c>
      <c r="Y992" s="84"/>
      <c r="Z992" s="85">
        <f t="shared" si="128"/>
        <v>0</v>
      </c>
    </row>
    <row r="993" spans="1:28" hidden="1" x14ac:dyDescent="0.3">
      <c r="A993" s="117"/>
      <c r="C993" s="68" t="s">
        <v>219</v>
      </c>
      <c r="D993" s="71" t="s">
        <v>220</v>
      </c>
      <c r="E993" s="85">
        <f>STATS1003B!E994/1000</f>
        <v>16916.30055</v>
      </c>
      <c r="F993" s="85">
        <f>STATS1003B!F994/1000</f>
        <v>12883.74683</v>
      </c>
      <c r="G993" s="85">
        <f>STATS1003B!G994/1000</f>
        <v>0</v>
      </c>
      <c r="H993" s="85">
        <f>STATS1003B!H994/1000</f>
        <v>12883.74683</v>
      </c>
      <c r="I993" s="85">
        <f>STATS1003B!I994/1000</f>
        <v>0</v>
      </c>
      <c r="J993" s="85">
        <f>STATS1003B!J994/1000</f>
        <v>0</v>
      </c>
      <c r="K993" s="85">
        <f>STATS1003B!K994/1000</f>
        <v>0</v>
      </c>
      <c r="L993" s="85">
        <f>STATS1003B!L994/1000</f>
        <v>0</v>
      </c>
      <c r="M993" s="85">
        <f>STATS1003B!M994/1000</f>
        <v>12883.74683</v>
      </c>
      <c r="N993" s="85">
        <f>STATS1003B!N994/1000</f>
        <v>4032.5537199999999</v>
      </c>
      <c r="O993" s="85">
        <f>STATS1003B!O994/1000</f>
        <v>0</v>
      </c>
      <c r="P993" s="85">
        <f>STATS1003B!P994/1000</f>
        <v>4032.5537199999999</v>
      </c>
      <c r="Q993" s="85">
        <f>STATS1003B!Q994/1000</f>
        <v>0</v>
      </c>
      <c r="R993" s="85">
        <f>STATS1003B!R994/1000</f>
        <v>0</v>
      </c>
      <c r="S993" s="85">
        <f>STATS1003B!S994/1000</f>
        <v>0</v>
      </c>
      <c r="T993" s="85">
        <f>STATS1003B!T994/1000</f>
        <v>0</v>
      </c>
      <c r="U993" s="85">
        <f>STATS1003B!U994/1000</f>
        <v>4032.5537199999999</v>
      </c>
      <c r="V993" s="85">
        <f>STATS1003B!V994/1000</f>
        <v>16916.30055</v>
      </c>
      <c r="W993" s="85">
        <f>STATS1003B!W994/1000</f>
        <v>0</v>
      </c>
      <c r="X993" s="85">
        <f t="shared" si="126"/>
        <v>16916.30055</v>
      </c>
      <c r="Y993" s="85">
        <f>STATS1003B!Y994/1000</f>
        <v>0</v>
      </c>
      <c r="Z993" s="85">
        <f t="shared" si="128"/>
        <v>0</v>
      </c>
      <c r="AA993" s="69">
        <f>STATS1003B!AA994/1000</f>
        <v>16916.30055</v>
      </c>
      <c r="AB993" s="69">
        <f>STATS1003B!AB994/1000</f>
        <v>0</v>
      </c>
    </row>
    <row r="994" spans="1:28" hidden="1" x14ac:dyDescent="0.3">
      <c r="A994" s="117"/>
      <c r="C994" s="68" t="s">
        <v>172</v>
      </c>
      <c r="D994" s="145" t="s">
        <v>166</v>
      </c>
      <c r="E994" s="85">
        <f>STATS1003B!E995/1000</f>
        <v>1597.144</v>
      </c>
      <c r="F994" s="85">
        <f>STATS1003B!F995/1000</f>
        <v>1597.144</v>
      </c>
      <c r="G994" s="85">
        <f>STATS1003B!G995/1000</f>
        <v>0</v>
      </c>
      <c r="H994" s="85">
        <f>STATS1003B!H995/1000</f>
        <v>1597.144</v>
      </c>
      <c r="I994" s="85">
        <f>STATS1003B!I995/1000</f>
        <v>0</v>
      </c>
      <c r="J994" s="85">
        <f>STATS1003B!J995/1000</f>
        <v>0</v>
      </c>
      <c r="K994" s="85">
        <f>STATS1003B!K995/1000</f>
        <v>0</v>
      </c>
      <c r="L994" s="85">
        <f>STATS1003B!L995/1000</f>
        <v>0</v>
      </c>
      <c r="M994" s="85">
        <f>STATS1003B!M995/1000</f>
        <v>1597.144</v>
      </c>
      <c r="N994" s="85">
        <f>STATS1003B!N995/1000</f>
        <v>0</v>
      </c>
      <c r="O994" s="85">
        <f>STATS1003B!O995/1000</f>
        <v>0</v>
      </c>
      <c r="P994" s="85">
        <f>STATS1003B!P995/1000</f>
        <v>0</v>
      </c>
      <c r="Q994" s="85">
        <f>STATS1003B!Q995/1000</f>
        <v>0</v>
      </c>
      <c r="R994" s="85">
        <f>STATS1003B!R995/1000</f>
        <v>0</v>
      </c>
      <c r="S994" s="85">
        <f>STATS1003B!S995/1000</f>
        <v>0</v>
      </c>
      <c r="T994" s="85">
        <f>STATS1003B!T995/1000</f>
        <v>0</v>
      </c>
      <c r="U994" s="85">
        <f>STATS1003B!U995/1000</f>
        <v>0</v>
      </c>
      <c r="V994" s="85">
        <f>STATS1003B!V995/1000</f>
        <v>1597.144</v>
      </c>
      <c r="W994" s="85">
        <f>STATS1003B!W995/1000</f>
        <v>0</v>
      </c>
      <c r="X994" s="85">
        <f t="shared" si="126"/>
        <v>1597.144</v>
      </c>
      <c r="Y994" s="85">
        <f>STATS1003B!Y995/1000</f>
        <v>0</v>
      </c>
      <c r="Z994" s="85">
        <f t="shared" si="128"/>
        <v>0</v>
      </c>
      <c r="AA994" s="69">
        <f>STATS1003B!AA995/1000</f>
        <v>1597.144</v>
      </c>
      <c r="AB994" s="69">
        <f>STATS1003B!AB995/1000</f>
        <v>0</v>
      </c>
    </row>
    <row r="995" spans="1:28" hidden="1" x14ac:dyDescent="0.3">
      <c r="A995" s="117"/>
      <c r="C995" s="68" t="s">
        <v>221</v>
      </c>
      <c r="D995" s="90" t="s">
        <v>68</v>
      </c>
      <c r="E995" s="85">
        <f>STATS1003B!E996/1000</f>
        <v>1224.4970000000001</v>
      </c>
      <c r="F995" s="85">
        <f>STATS1003B!F996/1000</f>
        <v>1224.4970000000001</v>
      </c>
      <c r="G995" s="85">
        <f>STATS1003B!G996/1000</f>
        <v>0</v>
      </c>
      <c r="H995" s="85">
        <f>STATS1003B!H996/1000</f>
        <v>1224.4970000000001</v>
      </c>
      <c r="I995" s="85">
        <f>STATS1003B!I996/1000</f>
        <v>0</v>
      </c>
      <c r="J995" s="85">
        <f>STATS1003B!J996/1000</f>
        <v>0</v>
      </c>
      <c r="K995" s="85">
        <f>STATS1003B!K996/1000</f>
        <v>0</v>
      </c>
      <c r="L995" s="85">
        <f>STATS1003B!L996/1000</f>
        <v>0</v>
      </c>
      <c r="M995" s="85">
        <f>STATS1003B!M996/1000</f>
        <v>1224.4970000000001</v>
      </c>
      <c r="N995" s="85">
        <f>STATS1003B!N996/1000</f>
        <v>0</v>
      </c>
      <c r="O995" s="85">
        <f>STATS1003B!O996/1000</f>
        <v>0</v>
      </c>
      <c r="P995" s="85">
        <f>STATS1003B!P996/1000</f>
        <v>0</v>
      </c>
      <c r="Q995" s="85">
        <f>STATS1003B!Q996/1000</f>
        <v>0</v>
      </c>
      <c r="R995" s="85">
        <f>STATS1003B!R996/1000</f>
        <v>0</v>
      </c>
      <c r="S995" s="85">
        <f>STATS1003B!S996/1000</f>
        <v>0</v>
      </c>
      <c r="T995" s="85">
        <f>STATS1003B!T996/1000</f>
        <v>0</v>
      </c>
      <c r="U995" s="85">
        <f>STATS1003B!U996/1000</f>
        <v>0</v>
      </c>
      <c r="V995" s="85">
        <f>STATS1003B!V996/1000</f>
        <v>1224.4970000000001</v>
      </c>
      <c r="W995" s="85">
        <f>STATS1003B!W996/1000</f>
        <v>0</v>
      </c>
      <c r="X995" s="85">
        <f t="shared" si="126"/>
        <v>1224.4970000000001</v>
      </c>
      <c r="Y995" s="85">
        <f>STATS1003B!Y996/1000</f>
        <v>0</v>
      </c>
      <c r="Z995" s="85">
        <f t="shared" si="128"/>
        <v>0</v>
      </c>
      <c r="AA995" s="69">
        <f>STATS1003B!AA996/1000</f>
        <v>1224.4970000000001</v>
      </c>
      <c r="AB995" s="69">
        <f>STATS1003B!AB996/1000</f>
        <v>0</v>
      </c>
    </row>
    <row r="996" spans="1:28" hidden="1" x14ac:dyDescent="0.3">
      <c r="A996" s="117"/>
      <c r="C996" s="68" t="s">
        <v>222</v>
      </c>
      <c r="E996" s="85">
        <f>STATS1003B!E997/1000</f>
        <v>0</v>
      </c>
      <c r="F996" s="85">
        <f>STATS1003B!F997/1000</f>
        <v>0</v>
      </c>
      <c r="G996" s="85">
        <f>STATS1003B!G997/1000</f>
        <v>0</v>
      </c>
      <c r="H996" s="85">
        <f>STATS1003B!H997/1000</f>
        <v>0</v>
      </c>
      <c r="I996" s="85">
        <f>STATS1003B!I997/1000</f>
        <v>0</v>
      </c>
      <c r="J996" s="85">
        <f>STATS1003B!J997/1000</f>
        <v>0</v>
      </c>
      <c r="K996" s="85">
        <f>STATS1003B!K997/1000</f>
        <v>0</v>
      </c>
      <c r="L996" s="85">
        <f>STATS1003B!L997/1000</f>
        <v>0</v>
      </c>
      <c r="M996" s="85">
        <f>STATS1003B!M997/1000</f>
        <v>0</v>
      </c>
      <c r="N996" s="85">
        <f>STATS1003B!N997/1000</f>
        <v>0</v>
      </c>
      <c r="O996" s="85">
        <f>STATS1003B!O997/1000</f>
        <v>0</v>
      </c>
      <c r="P996" s="85">
        <f>STATS1003B!P997/1000</f>
        <v>0</v>
      </c>
      <c r="Q996" s="85">
        <f>STATS1003B!Q997/1000</f>
        <v>0</v>
      </c>
      <c r="R996" s="85">
        <f>STATS1003B!R997/1000</f>
        <v>0</v>
      </c>
      <c r="S996" s="85">
        <f>STATS1003B!S997/1000</f>
        <v>0</v>
      </c>
      <c r="T996" s="85">
        <f>STATS1003B!T997/1000</f>
        <v>0</v>
      </c>
      <c r="U996" s="85">
        <f>STATS1003B!U997/1000</f>
        <v>0</v>
      </c>
      <c r="V996" s="85">
        <f>STATS1003B!V997/1000</f>
        <v>0</v>
      </c>
      <c r="W996" s="85">
        <f>STATS1003B!W997/1000</f>
        <v>0</v>
      </c>
      <c r="X996" s="85">
        <f t="shared" si="126"/>
        <v>0</v>
      </c>
      <c r="Y996" s="85">
        <f>STATS1003B!Y997/1000</f>
        <v>0</v>
      </c>
      <c r="Z996" s="85">
        <f t="shared" si="128"/>
        <v>0</v>
      </c>
      <c r="AA996" s="69">
        <f>STATS1003B!AA997/1000</f>
        <v>0</v>
      </c>
      <c r="AB996" s="69">
        <f>STATS1003B!AB997/1000</f>
        <v>0</v>
      </c>
    </row>
    <row r="997" spans="1:28" hidden="1" x14ac:dyDescent="0.3">
      <c r="A997" s="117"/>
      <c r="C997" s="68" t="s">
        <v>53</v>
      </c>
      <c r="D997" s="145" t="s">
        <v>54</v>
      </c>
      <c r="E997" s="85">
        <f>STATS1003B!E998/1000</f>
        <v>1767.77</v>
      </c>
      <c r="F997" s="85">
        <f>STATS1003B!F998/1000</f>
        <v>0</v>
      </c>
      <c r="G997" s="85">
        <f>STATS1003B!G998/1000</f>
        <v>0</v>
      </c>
      <c r="H997" s="85">
        <f>STATS1003B!H998/1000</f>
        <v>0</v>
      </c>
      <c r="I997" s="85">
        <f>STATS1003B!I998/1000</f>
        <v>0</v>
      </c>
      <c r="J997" s="85">
        <f>STATS1003B!J998/1000</f>
        <v>0</v>
      </c>
      <c r="K997" s="85">
        <f>STATS1003B!K998/1000</f>
        <v>0</v>
      </c>
      <c r="L997" s="85">
        <f>STATS1003B!L998/1000</f>
        <v>0</v>
      </c>
      <c r="M997" s="85">
        <f>STATS1003B!M998/1000</f>
        <v>0</v>
      </c>
      <c r="N997" s="85">
        <f>STATS1003B!N998/1000</f>
        <v>1767.77</v>
      </c>
      <c r="O997" s="85">
        <f>STATS1003B!O998/1000</f>
        <v>0</v>
      </c>
      <c r="P997" s="85">
        <f>STATS1003B!P998/1000</f>
        <v>1767.77</v>
      </c>
      <c r="Q997" s="85">
        <f>STATS1003B!Q998/1000</f>
        <v>0</v>
      </c>
      <c r="R997" s="85">
        <f>STATS1003B!R998/1000</f>
        <v>0</v>
      </c>
      <c r="S997" s="85">
        <f>STATS1003B!S998/1000</f>
        <v>0</v>
      </c>
      <c r="T997" s="85">
        <f>STATS1003B!T998/1000</f>
        <v>0</v>
      </c>
      <c r="U997" s="85">
        <f>STATS1003B!U998/1000</f>
        <v>1767.77</v>
      </c>
      <c r="V997" s="85">
        <f>STATS1003B!V998/1000</f>
        <v>1767.77</v>
      </c>
      <c r="W997" s="85">
        <f>STATS1003B!W998/1000</f>
        <v>0</v>
      </c>
      <c r="X997" s="85">
        <f t="shared" si="126"/>
        <v>1767.77</v>
      </c>
      <c r="Y997" s="85">
        <f>STATS1003B!Y998/1000</f>
        <v>0</v>
      </c>
      <c r="Z997" s="85">
        <f t="shared" si="128"/>
        <v>0</v>
      </c>
      <c r="AA997" s="69">
        <f>STATS1003B!AA998/1000</f>
        <v>1767.77</v>
      </c>
      <c r="AB997" s="69">
        <f>STATS1003B!AB998/1000</f>
        <v>0</v>
      </c>
    </row>
    <row r="998" spans="1:28" hidden="1" x14ac:dyDescent="0.3">
      <c r="A998" s="117"/>
      <c r="C998" s="68" t="s">
        <v>223</v>
      </c>
      <c r="D998" s="145" t="s">
        <v>54</v>
      </c>
      <c r="E998" s="85">
        <f>STATS1003B!E999/1000</f>
        <v>543.875</v>
      </c>
      <c r="F998" s="85">
        <f>STATS1003B!F999/1000</f>
        <v>543.875</v>
      </c>
      <c r="G998" s="85">
        <f>STATS1003B!G999/1000</f>
        <v>0</v>
      </c>
      <c r="H998" s="85">
        <f>STATS1003B!H999/1000</f>
        <v>543.875</v>
      </c>
      <c r="I998" s="85">
        <f>STATS1003B!I999/1000</f>
        <v>0</v>
      </c>
      <c r="J998" s="85">
        <f>STATS1003B!J999/1000</f>
        <v>0</v>
      </c>
      <c r="K998" s="85">
        <f>STATS1003B!K999/1000</f>
        <v>0</v>
      </c>
      <c r="L998" s="85">
        <f>STATS1003B!L999/1000</f>
        <v>0</v>
      </c>
      <c r="M998" s="85">
        <f>STATS1003B!M999/1000</f>
        <v>543.875</v>
      </c>
      <c r="N998" s="85">
        <f>STATS1003B!N999/1000</f>
        <v>0</v>
      </c>
      <c r="O998" s="85">
        <f>STATS1003B!O999/1000</f>
        <v>0</v>
      </c>
      <c r="P998" s="85">
        <f>STATS1003B!P999/1000</f>
        <v>0</v>
      </c>
      <c r="Q998" s="85">
        <f>STATS1003B!Q999/1000</f>
        <v>0</v>
      </c>
      <c r="R998" s="85">
        <f>STATS1003B!R999/1000</f>
        <v>0</v>
      </c>
      <c r="S998" s="85">
        <f>STATS1003B!S999/1000</f>
        <v>0</v>
      </c>
      <c r="T998" s="85">
        <f>STATS1003B!T999/1000</f>
        <v>0</v>
      </c>
      <c r="U998" s="85">
        <f>STATS1003B!U999/1000</f>
        <v>0</v>
      </c>
      <c r="V998" s="85">
        <f>STATS1003B!V999/1000</f>
        <v>543.875</v>
      </c>
      <c r="W998" s="85">
        <f>STATS1003B!W999/1000</f>
        <v>0</v>
      </c>
      <c r="X998" s="85">
        <f t="shared" si="126"/>
        <v>543.875</v>
      </c>
      <c r="Y998" s="85">
        <f>STATS1003B!Y999/1000</f>
        <v>0</v>
      </c>
      <c r="Z998" s="85">
        <f t="shared" si="128"/>
        <v>0</v>
      </c>
      <c r="AA998" s="69">
        <f>STATS1003B!AA999/1000</f>
        <v>543.875</v>
      </c>
      <c r="AB998" s="69">
        <f>STATS1003B!AB999/1000</f>
        <v>0</v>
      </c>
    </row>
    <row r="999" spans="1:28" hidden="1" x14ac:dyDescent="0.3">
      <c r="A999" s="117"/>
      <c r="C999" s="68" t="s">
        <v>55</v>
      </c>
      <c r="D999" s="145" t="s">
        <v>224</v>
      </c>
      <c r="E999" s="85">
        <f>STATS1003B!E1000/1000</f>
        <v>4907.7460000000001</v>
      </c>
      <c r="F999" s="85">
        <f>STATS1003B!F1000/1000</f>
        <v>0</v>
      </c>
      <c r="G999" s="85">
        <f>STATS1003B!G1000/1000</f>
        <v>0</v>
      </c>
      <c r="H999" s="85">
        <f>STATS1003B!H1000/1000</f>
        <v>0</v>
      </c>
      <c r="I999" s="85">
        <f>STATS1003B!I1000/1000</f>
        <v>0</v>
      </c>
      <c r="J999" s="85">
        <f>STATS1003B!J1000/1000</f>
        <v>0</v>
      </c>
      <c r="K999" s="85">
        <f>STATS1003B!K1000/1000</f>
        <v>0</v>
      </c>
      <c r="L999" s="85">
        <f>STATS1003B!L1000/1000</f>
        <v>0</v>
      </c>
      <c r="M999" s="85">
        <f>STATS1003B!M1000/1000</f>
        <v>0</v>
      </c>
      <c r="N999" s="85">
        <f>STATS1003B!N1000/1000</f>
        <v>4907.7460000000001</v>
      </c>
      <c r="O999" s="85">
        <f>STATS1003B!O1000/1000</f>
        <v>0</v>
      </c>
      <c r="P999" s="85">
        <f>STATS1003B!P1000/1000</f>
        <v>4907.7460000000001</v>
      </c>
      <c r="Q999" s="85">
        <f>STATS1003B!Q1000/1000</f>
        <v>0</v>
      </c>
      <c r="R999" s="85">
        <f>STATS1003B!R1000/1000</f>
        <v>0</v>
      </c>
      <c r="S999" s="85">
        <f>STATS1003B!S1000/1000</f>
        <v>0</v>
      </c>
      <c r="T999" s="85">
        <f>STATS1003B!T1000/1000</f>
        <v>0</v>
      </c>
      <c r="U999" s="85">
        <f>STATS1003B!U1000/1000</f>
        <v>4907.7460000000001</v>
      </c>
      <c r="V999" s="85">
        <f>STATS1003B!V1000/1000</f>
        <v>4907.7460000000001</v>
      </c>
      <c r="W999" s="85">
        <f>STATS1003B!W1000/1000</f>
        <v>0</v>
      </c>
      <c r="X999" s="85">
        <f t="shared" si="126"/>
        <v>4907.7460000000001</v>
      </c>
      <c r="Y999" s="85">
        <f>STATS1003B!Y1000/1000</f>
        <v>0</v>
      </c>
      <c r="Z999" s="85">
        <f t="shared" si="128"/>
        <v>0</v>
      </c>
      <c r="AA999" s="69">
        <f>STATS1003B!AA1000/1000</f>
        <v>4907.7460000000001</v>
      </c>
      <c r="AB999" s="69">
        <f>STATS1003B!AB1000/1000</f>
        <v>0</v>
      </c>
    </row>
    <row r="1000" spans="1:28" hidden="1" x14ac:dyDescent="0.3">
      <c r="A1000" s="117"/>
      <c r="C1000" s="68" t="s">
        <v>225</v>
      </c>
      <c r="D1000" s="145" t="s">
        <v>85</v>
      </c>
      <c r="E1000" s="85">
        <f>STATS1003B!E1001/1000</f>
        <v>480</v>
      </c>
      <c r="F1000" s="85">
        <f>STATS1003B!F1001/1000</f>
        <v>480</v>
      </c>
      <c r="G1000" s="85">
        <f>STATS1003B!G1001/1000</f>
        <v>0</v>
      </c>
      <c r="H1000" s="85">
        <f>STATS1003B!H1001/1000</f>
        <v>480</v>
      </c>
      <c r="I1000" s="85">
        <f>STATS1003B!I1001/1000</f>
        <v>0</v>
      </c>
      <c r="J1000" s="85">
        <f>STATS1003B!J1001/1000</f>
        <v>0</v>
      </c>
      <c r="K1000" s="85">
        <f>STATS1003B!K1001/1000</f>
        <v>0</v>
      </c>
      <c r="L1000" s="85">
        <f>STATS1003B!L1001/1000</f>
        <v>0</v>
      </c>
      <c r="M1000" s="85">
        <f>STATS1003B!M1001/1000</f>
        <v>480</v>
      </c>
      <c r="N1000" s="85">
        <f>STATS1003B!N1001/1000</f>
        <v>0</v>
      </c>
      <c r="O1000" s="85">
        <f>STATS1003B!O1001/1000</f>
        <v>0</v>
      </c>
      <c r="P1000" s="85">
        <f>STATS1003B!P1001/1000</f>
        <v>0</v>
      </c>
      <c r="Q1000" s="85">
        <f>STATS1003B!Q1001/1000</f>
        <v>0</v>
      </c>
      <c r="R1000" s="85">
        <f>STATS1003B!R1001/1000</f>
        <v>0</v>
      </c>
      <c r="S1000" s="85">
        <f>STATS1003B!S1001/1000</f>
        <v>0</v>
      </c>
      <c r="T1000" s="85">
        <f>STATS1003B!T1001/1000</f>
        <v>0</v>
      </c>
      <c r="U1000" s="85">
        <f>STATS1003B!U1001/1000</f>
        <v>0</v>
      </c>
      <c r="V1000" s="85">
        <f>STATS1003B!V1001/1000</f>
        <v>480</v>
      </c>
      <c r="W1000" s="85">
        <f>STATS1003B!W1001/1000</f>
        <v>0</v>
      </c>
      <c r="X1000" s="85">
        <f t="shared" si="126"/>
        <v>480</v>
      </c>
      <c r="Y1000" s="85">
        <f>STATS1003B!Y1001/1000</f>
        <v>0</v>
      </c>
      <c r="Z1000" s="85">
        <f t="shared" si="128"/>
        <v>0</v>
      </c>
      <c r="AA1000" s="69">
        <f>STATS1003B!AA1001/1000</f>
        <v>480</v>
      </c>
      <c r="AB1000" s="69">
        <f>STATS1003B!AB1001/1000</f>
        <v>0</v>
      </c>
    </row>
    <row r="1001" spans="1:28" hidden="1" x14ac:dyDescent="0.3">
      <c r="A1001" s="117"/>
      <c r="C1001" s="68" t="s">
        <v>226</v>
      </c>
      <c r="D1001" s="145" t="s">
        <v>85</v>
      </c>
      <c r="E1001" s="85">
        <f>STATS1003B!E1002/1000</f>
        <v>8840.7080000000005</v>
      </c>
      <c r="F1001" s="85">
        <f>STATS1003B!F1002/1000</f>
        <v>8840.7080000000005</v>
      </c>
      <c r="G1001" s="85">
        <f>STATS1003B!G1002/1000</f>
        <v>0</v>
      </c>
      <c r="H1001" s="85">
        <f>STATS1003B!H1002/1000</f>
        <v>8840.7080000000005</v>
      </c>
      <c r="I1001" s="85">
        <f>STATS1003B!I1002/1000</f>
        <v>0</v>
      </c>
      <c r="J1001" s="85">
        <f>STATS1003B!J1002/1000</f>
        <v>0</v>
      </c>
      <c r="K1001" s="85">
        <f>STATS1003B!K1002/1000</f>
        <v>0</v>
      </c>
      <c r="L1001" s="85">
        <f>STATS1003B!L1002/1000</f>
        <v>0</v>
      </c>
      <c r="M1001" s="85">
        <f>STATS1003B!M1002/1000</f>
        <v>8840.7080000000005</v>
      </c>
      <c r="N1001" s="85">
        <f>STATS1003B!N1002/1000</f>
        <v>0</v>
      </c>
      <c r="O1001" s="85">
        <f>STATS1003B!O1002/1000</f>
        <v>0</v>
      </c>
      <c r="P1001" s="85">
        <f>STATS1003B!P1002/1000</f>
        <v>0</v>
      </c>
      <c r="Q1001" s="85">
        <f>STATS1003B!Q1002/1000</f>
        <v>0</v>
      </c>
      <c r="R1001" s="85">
        <f>STATS1003B!R1002/1000</f>
        <v>0</v>
      </c>
      <c r="S1001" s="85">
        <f>STATS1003B!S1002/1000</f>
        <v>0</v>
      </c>
      <c r="T1001" s="85">
        <f>STATS1003B!T1002/1000</f>
        <v>0</v>
      </c>
      <c r="U1001" s="85">
        <f>STATS1003B!U1002/1000</f>
        <v>0</v>
      </c>
      <c r="V1001" s="85">
        <f>STATS1003B!V1002/1000</f>
        <v>8840.7080000000005</v>
      </c>
      <c r="W1001" s="85">
        <f>STATS1003B!W1002/1000</f>
        <v>0</v>
      </c>
      <c r="X1001" s="85">
        <f t="shared" si="126"/>
        <v>8840.7080000000005</v>
      </c>
      <c r="Y1001" s="85">
        <f>STATS1003B!Y1002/1000</f>
        <v>0</v>
      </c>
      <c r="Z1001" s="85">
        <f t="shared" si="128"/>
        <v>0</v>
      </c>
      <c r="AA1001" s="69">
        <f>STATS1003B!AA1002/1000</f>
        <v>8840.7080000000005</v>
      </c>
      <c r="AB1001" s="69">
        <f>STATS1003B!AB1002/1000</f>
        <v>0</v>
      </c>
    </row>
    <row r="1002" spans="1:28" hidden="1" x14ac:dyDescent="0.3">
      <c r="A1002" s="117"/>
      <c r="C1002" s="68" t="s">
        <v>57</v>
      </c>
      <c r="D1002" s="145" t="s">
        <v>58</v>
      </c>
      <c r="E1002" s="85">
        <f>STATS1003B!E1003/1000</f>
        <v>3125.5210000000002</v>
      </c>
      <c r="F1002" s="85">
        <f>STATS1003B!F1003/1000</f>
        <v>3125.5210000000002</v>
      </c>
      <c r="G1002" s="85">
        <f>STATS1003B!G1003/1000</f>
        <v>0</v>
      </c>
      <c r="H1002" s="85">
        <f>STATS1003B!H1003/1000</f>
        <v>3125.5210000000002</v>
      </c>
      <c r="I1002" s="85">
        <f>STATS1003B!I1003/1000</f>
        <v>0</v>
      </c>
      <c r="J1002" s="85">
        <f>STATS1003B!J1003/1000</f>
        <v>0</v>
      </c>
      <c r="K1002" s="85">
        <f>STATS1003B!K1003/1000</f>
        <v>0</v>
      </c>
      <c r="L1002" s="85">
        <f>STATS1003B!L1003/1000</f>
        <v>0</v>
      </c>
      <c r="M1002" s="85">
        <f>STATS1003B!M1003/1000</f>
        <v>3125.5210000000002</v>
      </c>
      <c r="N1002" s="85">
        <f>STATS1003B!N1003/1000</f>
        <v>0</v>
      </c>
      <c r="O1002" s="85">
        <f>STATS1003B!O1003/1000</f>
        <v>0</v>
      </c>
      <c r="P1002" s="85">
        <f>STATS1003B!P1003/1000</f>
        <v>0</v>
      </c>
      <c r="Q1002" s="85">
        <f>STATS1003B!Q1003/1000</f>
        <v>0</v>
      </c>
      <c r="R1002" s="85">
        <f>STATS1003B!R1003/1000</f>
        <v>0</v>
      </c>
      <c r="S1002" s="85">
        <f>STATS1003B!S1003/1000</f>
        <v>0</v>
      </c>
      <c r="T1002" s="85">
        <f>STATS1003B!T1003/1000</f>
        <v>0</v>
      </c>
      <c r="U1002" s="85">
        <f>STATS1003B!U1003/1000</f>
        <v>0</v>
      </c>
      <c r="V1002" s="85">
        <f>STATS1003B!V1003/1000</f>
        <v>3125.5210000000002</v>
      </c>
      <c r="W1002" s="85">
        <f>STATS1003B!W1003/1000</f>
        <v>0</v>
      </c>
      <c r="X1002" s="85">
        <f t="shared" si="126"/>
        <v>3125.5210000000002</v>
      </c>
      <c r="Y1002" s="85">
        <f>STATS1003B!Y1003/1000</f>
        <v>0</v>
      </c>
      <c r="Z1002" s="85">
        <f t="shared" si="128"/>
        <v>0</v>
      </c>
      <c r="AA1002" s="69">
        <f>STATS1003B!AA1003/1000</f>
        <v>3125.5210000000002</v>
      </c>
      <c r="AB1002" s="69">
        <f>STATS1003B!AB1003/1000</f>
        <v>0</v>
      </c>
    </row>
    <row r="1003" spans="1:28" hidden="1" x14ac:dyDescent="0.3">
      <c r="A1003" s="117"/>
      <c r="C1003" s="68" t="s">
        <v>57</v>
      </c>
      <c r="D1003" s="145" t="s">
        <v>60</v>
      </c>
      <c r="E1003" s="85">
        <f>STATS1003B!E1004/1000</f>
        <v>3473.3953099999999</v>
      </c>
      <c r="F1003" s="85">
        <f>STATS1003B!F1004/1000</f>
        <v>3473.3953099999999</v>
      </c>
      <c r="G1003" s="85">
        <f>STATS1003B!G1004/1000</f>
        <v>0</v>
      </c>
      <c r="H1003" s="85">
        <f>STATS1003B!H1004/1000</f>
        <v>3473.3953099999999</v>
      </c>
      <c r="I1003" s="85">
        <f>STATS1003B!I1004/1000</f>
        <v>0</v>
      </c>
      <c r="J1003" s="85">
        <f>STATS1003B!J1004/1000</f>
        <v>0</v>
      </c>
      <c r="K1003" s="85">
        <f>STATS1003B!K1004/1000</f>
        <v>0</v>
      </c>
      <c r="L1003" s="85">
        <f>STATS1003B!L1004/1000</f>
        <v>0</v>
      </c>
      <c r="M1003" s="85">
        <f>STATS1003B!M1004/1000</f>
        <v>3473.3953099999999</v>
      </c>
      <c r="N1003" s="85">
        <f>STATS1003B!N1004/1000</f>
        <v>0</v>
      </c>
      <c r="O1003" s="85">
        <f>STATS1003B!O1004/1000</f>
        <v>0</v>
      </c>
      <c r="P1003" s="85">
        <f>STATS1003B!P1004/1000</f>
        <v>0</v>
      </c>
      <c r="Q1003" s="85">
        <f>STATS1003B!Q1004/1000</f>
        <v>0</v>
      </c>
      <c r="R1003" s="85">
        <f>STATS1003B!R1004/1000</f>
        <v>0</v>
      </c>
      <c r="S1003" s="85">
        <f>STATS1003B!S1004/1000</f>
        <v>0</v>
      </c>
      <c r="T1003" s="85">
        <f>STATS1003B!T1004/1000</f>
        <v>0</v>
      </c>
      <c r="U1003" s="85">
        <f>STATS1003B!U1004/1000</f>
        <v>0</v>
      </c>
      <c r="V1003" s="85">
        <f>STATS1003B!V1004/1000</f>
        <v>3473.3953099999999</v>
      </c>
      <c r="W1003" s="85">
        <f>STATS1003B!W1004/1000</f>
        <v>0</v>
      </c>
      <c r="X1003" s="85">
        <f t="shared" si="126"/>
        <v>3473.3953099999999</v>
      </c>
      <c r="Y1003" s="85">
        <f>STATS1003B!Y1004/1000</f>
        <v>0</v>
      </c>
      <c r="Z1003" s="85">
        <f t="shared" si="128"/>
        <v>0</v>
      </c>
      <c r="AA1003" s="69">
        <f>STATS1003B!AA1004/1000</f>
        <v>3473.3953099999999</v>
      </c>
      <c r="AB1003" s="69">
        <f>STATS1003B!AB1004/1000</f>
        <v>0</v>
      </c>
    </row>
    <row r="1004" spans="1:28" hidden="1" x14ac:dyDescent="0.3">
      <c r="A1004" s="117"/>
      <c r="C1004" s="71" t="s">
        <v>109</v>
      </c>
      <c r="D1004" s="88" t="s">
        <v>60</v>
      </c>
      <c r="E1004" s="85">
        <f>STATS1003B!E1005/1000</f>
        <v>3646.4539100000002</v>
      </c>
      <c r="F1004" s="85">
        <f>STATS1003B!F1005/1000</f>
        <v>3646.4539100000002</v>
      </c>
      <c r="G1004" s="85">
        <f>STATS1003B!G1005/1000</f>
        <v>0</v>
      </c>
      <c r="H1004" s="85">
        <f>STATS1003B!H1005/1000</f>
        <v>3646.4539100000002</v>
      </c>
      <c r="I1004" s="85">
        <f>STATS1003B!I1005/1000</f>
        <v>0</v>
      </c>
      <c r="J1004" s="85">
        <f>STATS1003B!J1005/1000</f>
        <v>0</v>
      </c>
      <c r="K1004" s="85">
        <f>STATS1003B!K1005/1000</f>
        <v>0</v>
      </c>
      <c r="L1004" s="85">
        <f>STATS1003B!L1005/1000</f>
        <v>0</v>
      </c>
      <c r="M1004" s="85">
        <f>STATS1003B!M1005/1000</f>
        <v>3646.4539100000002</v>
      </c>
      <c r="N1004" s="85">
        <f>STATS1003B!N1005/1000</f>
        <v>0</v>
      </c>
      <c r="O1004" s="85">
        <f>STATS1003B!O1005/1000</f>
        <v>0</v>
      </c>
      <c r="P1004" s="85">
        <f>STATS1003B!P1005/1000</f>
        <v>0</v>
      </c>
      <c r="Q1004" s="85">
        <f>STATS1003B!Q1005/1000</f>
        <v>0</v>
      </c>
      <c r="R1004" s="85">
        <f>STATS1003B!R1005/1000</f>
        <v>0</v>
      </c>
      <c r="S1004" s="85">
        <f>STATS1003B!S1005/1000</f>
        <v>0</v>
      </c>
      <c r="T1004" s="85">
        <f>STATS1003B!T1005/1000</f>
        <v>0</v>
      </c>
      <c r="U1004" s="85">
        <f>STATS1003B!U1005/1000</f>
        <v>0</v>
      </c>
      <c r="V1004" s="85">
        <f>STATS1003B!V1005/1000</f>
        <v>3646.4539100000002</v>
      </c>
      <c r="W1004" s="85">
        <f>STATS1003B!W1005/1000</f>
        <v>0</v>
      </c>
      <c r="X1004" s="85">
        <f t="shared" si="126"/>
        <v>3646.4539100000002</v>
      </c>
      <c r="Y1004" s="85">
        <f>STATS1003B!Y1005/1000</f>
        <v>0</v>
      </c>
      <c r="Z1004" s="85">
        <f t="shared" si="128"/>
        <v>0</v>
      </c>
      <c r="AA1004" s="69">
        <f>STATS1003B!AA1005/1000</f>
        <v>3646.4539100000002</v>
      </c>
      <c r="AB1004" s="69">
        <f>STATS1003B!AB1005/1000</f>
        <v>0</v>
      </c>
    </row>
    <row r="1005" spans="1:28" hidden="1" x14ac:dyDescent="0.3">
      <c r="A1005" s="117"/>
      <c r="C1005" s="71" t="s">
        <v>227</v>
      </c>
      <c r="D1005" s="145" t="s">
        <v>228</v>
      </c>
      <c r="E1005" s="85">
        <f>STATS1003B!E1006/1000</f>
        <v>572.93700000000001</v>
      </c>
      <c r="F1005" s="85">
        <f>STATS1003B!F1006/1000</f>
        <v>572.93700000000001</v>
      </c>
      <c r="G1005" s="85">
        <f>STATS1003B!G1006/1000</f>
        <v>0</v>
      </c>
      <c r="H1005" s="85">
        <f>STATS1003B!H1006/1000</f>
        <v>572.93700000000001</v>
      </c>
      <c r="I1005" s="85">
        <f>STATS1003B!I1006/1000</f>
        <v>0</v>
      </c>
      <c r="J1005" s="85">
        <f>STATS1003B!J1006/1000</f>
        <v>0</v>
      </c>
      <c r="K1005" s="85">
        <f>STATS1003B!K1006/1000</f>
        <v>0</v>
      </c>
      <c r="L1005" s="85">
        <f>STATS1003B!L1006/1000</f>
        <v>0</v>
      </c>
      <c r="M1005" s="85">
        <f>STATS1003B!M1006/1000</f>
        <v>572.93700000000001</v>
      </c>
      <c r="N1005" s="85">
        <f>STATS1003B!N1006/1000</f>
        <v>0</v>
      </c>
      <c r="O1005" s="85">
        <f>STATS1003B!O1006/1000</f>
        <v>0</v>
      </c>
      <c r="P1005" s="85">
        <f>STATS1003B!P1006/1000</f>
        <v>0</v>
      </c>
      <c r="Q1005" s="85">
        <f>STATS1003B!Q1006/1000</f>
        <v>0</v>
      </c>
      <c r="R1005" s="85">
        <f>STATS1003B!R1006/1000</f>
        <v>0</v>
      </c>
      <c r="S1005" s="85">
        <f>STATS1003B!S1006/1000</f>
        <v>0</v>
      </c>
      <c r="T1005" s="85">
        <f>STATS1003B!T1006/1000</f>
        <v>0</v>
      </c>
      <c r="U1005" s="85">
        <f>STATS1003B!U1006/1000</f>
        <v>0</v>
      </c>
      <c r="V1005" s="85">
        <f>STATS1003B!V1006/1000</f>
        <v>572.93700000000001</v>
      </c>
      <c r="W1005" s="85">
        <f>STATS1003B!W1006/1000</f>
        <v>0</v>
      </c>
      <c r="X1005" s="85">
        <f t="shared" si="126"/>
        <v>572.93700000000001</v>
      </c>
      <c r="Y1005" s="85">
        <f>STATS1003B!Y1006/1000</f>
        <v>0</v>
      </c>
      <c r="Z1005" s="85">
        <f t="shared" si="128"/>
        <v>0</v>
      </c>
      <c r="AA1005" s="69">
        <f>STATS1003B!AA1006/1000</f>
        <v>572.93700000000001</v>
      </c>
      <c r="AB1005" s="69">
        <f>STATS1003B!AB1006/1000</f>
        <v>0</v>
      </c>
    </row>
    <row r="1006" spans="1:28" hidden="1" x14ac:dyDescent="0.3">
      <c r="A1006" s="117"/>
      <c r="C1006" s="71" t="s">
        <v>229</v>
      </c>
      <c r="D1006" s="90" t="s">
        <v>239</v>
      </c>
      <c r="E1006" s="85">
        <f>STATS1003B!E1007/1000</f>
        <v>15460</v>
      </c>
      <c r="F1006" s="85">
        <f>STATS1003B!F1007/1000</f>
        <v>15460</v>
      </c>
      <c r="G1006" s="85">
        <f>STATS1003B!G1007/1000</f>
        <v>0</v>
      </c>
      <c r="H1006" s="85">
        <f>STATS1003B!H1007/1000</f>
        <v>15460</v>
      </c>
      <c r="I1006" s="85">
        <f>STATS1003B!I1007/1000</f>
        <v>10300</v>
      </c>
      <c r="J1006" s="85">
        <f>STATS1003B!J1007/1000</f>
        <v>10300</v>
      </c>
      <c r="K1006" s="85">
        <f>STATS1003B!K1007/1000</f>
        <v>0</v>
      </c>
      <c r="L1006" s="85">
        <f>STATS1003B!L1007/1000</f>
        <v>0</v>
      </c>
      <c r="M1006" s="85">
        <f>STATS1003B!M1007/1000</f>
        <v>15460</v>
      </c>
      <c r="N1006" s="85">
        <f>STATS1003B!N1007/1000</f>
        <v>0</v>
      </c>
      <c r="O1006" s="85">
        <f>STATS1003B!O1007/1000</f>
        <v>0</v>
      </c>
      <c r="P1006" s="85">
        <f>STATS1003B!P1007/1000</f>
        <v>0</v>
      </c>
      <c r="Q1006" s="85">
        <f>STATS1003B!Q1007/1000</f>
        <v>0</v>
      </c>
      <c r="R1006" s="85">
        <f>STATS1003B!R1007/1000</f>
        <v>0</v>
      </c>
      <c r="S1006" s="85">
        <f>STATS1003B!S1007/1000</f>
        <v>0</v>
      </c>
      <c r="T1006" s="85">
        <f>STATS1003B!T1007/1000</f>
        <v>0</v>
      </c>
      <c r="U1006" s="85">
        <f>STATS1003B!U1007/1000</f>
        <v>0</v>
      </c>
      <c r="V1006" s="85">
        <f>STATS1003B!V1007/1000</f>
        <v>15460</v>
      </c>
      <c r="W1006" s="85">
        <f>STATS1003B!W1007/1000</f>
        <v>0</v>
      </c>
      <c r="X1006" s="85">
        <f t="shared" si="126"/>
        <v>15460</v>
      </c>
      <c r="Y1006" s="85">
        <f>STATS1003B!Y1007/1000</f>
        <v>0</v>
      </c>
      <c r="Z1006" s="85">
        <f t="shared" si="128"/>
        <v>0</v>
      </c>
      <c r="AA1006" s="69">
        <f>STATS1003B!AA1007/1000</f>
        <v>15460</v>
      </c>
      <c r="AB1006" s="69">
        <f>STATS1003B!AB1007/1000</f>
        <v>0</v>
      </c>
    </row>
    <row r="1007" spans="1:28" hidden="1" x14ac:dyDescent="0.3">
      <c r="A1007" s="117"/>
      <c r="C1007" s="68" t="s">
        <v>57</v>
      </c>
      <c r="D1007" s="145" t="s">
        <v>73</v>
      </c>
      <c r="E1007" s="85">
        <f>STATS1003B!E1008/1000</f>
        <v>2238</v>
      </c>
      <c r="F1007" s="85">
        <f>STATS1003B!F1008/1000</f>
        <v>2238</v>
      </c>
      <c r="G1007" s="85">
        <f>STATS1003B!G1008/1000</f>
        <v>0</v>
      </c>
      <c r="H1007" s="85">
        <f>STATS1003B!H1008/1000</f>
        <v>2238</v>
      </c>
      <c r="I1007" s="85">
        <f>STATS1003B!I1008/1000</f>
        <v>0</v>
      </c>
      <c r="J1007" s="85">
        <f>STATS1003B!J1008/1000</f>
        <v>0</v>
      </c>
      <c r="K1007" s="85">
        <f>STATS1003B!K1008/1000</f>
        <v>0</v>
      </c>
      <c r="L1007" s="85">
        <f>STATS1003B!L1008/1000</f>
        <v>0</v>
      </c>
      <c r="M1007" s="85">
        <f>STATS1003B!M1008/1000</f>
        <v>2238</v>
      </c>
      <c r="N1007" s="85">
        <f>STATS1003B!N1008/1000</f>
        <v>0</v>
      </c>
      <c r="O1007" s="85">
        <f>STATS1003B!O1008/1000</f>
        <v>0</v>
      </c>
      <c r="P1007" s="85">
        <f>STATS1003B!P1008/1000</f>
        <v>0</v>
      </c>
      <c r="Q1007" s="85">
        <f>STATS1003B!Q1008/1000</f>
        <v>0</v>
      </c>
      <c r="R1007" s="85">
        <f>STATS1003B!R1008/1000</f>
        <v>0</v>
      </c>
      <c r="S1007" s="85">
        <f>STATS1003B!S1008/1000</f>
        <v>0</v>
      </c>
      <c r="T1007" s="85">
        <f>STATS1003B!T1008/1000</f>
        <v>0</v>
      </c>
      <c r="U1007" s="85">
        <f>STATS1003B!U1008/1000</f>
        <v>0</v>
      </c>
      <c r="V1007" s="85">
        <f>STATS1003B!V1008/1000</f>
        <v>2238</v>
      </c>
      <c r="W1007" s="85">
        <f>STATS1003B!W1008/1000</f>
        <v>0</v>
      </c>
      <c r="X1007" s="85">
        <f t="shared" si="126"/>
        <v>2238</v>
      </c>
      <c r="Y1007" s="85">
        <f>STATS1003B!Y1008/1000</f>
        <v>0</v>
      </c>
      <c r="Z1007" s="85">
        <f t="shared" si="128"/>
        <v>0</v>
      </c>
      <c r="AA1007" s="69">
        <f>STATS1003B!AA1008/1000</f>
        <v>2238</v>
      </c>
      <c r="AB1007" s="69">
        <f>STATS1003B!AB1008/1000</f>
        <v>0</v>
      </c>
    </row>
    <row r="1008" spans="1:28" hidden="1" x14ac:dyDescent="0.3">
      <c r="A1008" s="117"/>
      <c r="C1008" s="68" t="s">
        <v>932</v>
      </c>
      <c r="D1008" s="145"/>
      <c r="E1008" s="85">
        <f>STATS1003B!E1009/1000</f>
        <v>497.38157000000001</v>
      </c>
      <c r="F1008" s="85">
        <f>STATS1003B!F1009/1000</f>
        <v>497.38157000000001</v>
      </c>
      <c r="G1008" s="85">
        <f>STATS1003B!G1009/1000</f>
        <v>0</v>
      </c>
      <c r="H1008" s="85">
        <f>STATS1003B!H1009/1000</f>
        <v>497.38157000000001</v>
      </c>
      <c r="I1008" s="85">
        <f>STATS1003B!I1009/1000</f>
        <v>0</v>
      </c>
      <c r="J1008" s="85">
        <f>STATS1003B!J1009/1000</f>
        <v>0</v>
      </c>
      <c r="K1008" s="85">
        <f>STATS1003B!K1009/1000</f>
        <v>0</v>
      </c>
      <c r="L1008" s="85">
        <f>STATS1003B!L1009/1000</f>
        <v>0</v>
      </c>
      <c r="M1008" s="85">
        <f>STATS1003B!M1009/1000</f>
        <v>497.38157000000001</v>
      </c>
      <c r="N1008" s="85">
        <f>STATS1003B!N1009/1000</f>
        <v>0</v>
      </c>
      <c r="O1008" s="85">
        <f>STATS1003B!O1009/1000</f>
        <v>0</v>
      </c>
      <c r="P1008" s="85">
        <f>STATS1003B!P1009/1000</f>
        <v>0</v>
      </c>
      <c r="Q1008" s="85">
        <f>STATS1003B!Q1009/1000</f>
        <v>0</v>
      </c>
      <c r="R1008" s="85">
        <f>STATS1003B!R1009/1000</f>
        <v>0</v>
      </c>
      <c r="S1008" s="85">
        <f>STATS1003B!S1009/1000</f>
        <v>0</v>
      </c>
      <c r="T1008" s="85">
        <f>STATS1003B!T1009/1000</f>
        <v>0</v>
      </c>
      <c r="U1008" s="85">
        <f>STATS1003B!U1009/1000</f>
        <v>0</v>
      </c>
      <c r="V1008" s="85">
        <f>STATS1003B!V1009/1000</f>
        <v>497.38157000000001</v>
      </c>
      <c r="W1008" s="85">
        <f>STATS1003B!W1009/1000</f>
        <v>0</v>
      </c>
      <c r="X1008" s="85">
        <f t="shared" si="126"/>
        <v>497.38157000000001</v>
      </c>
      <c r="Y1008" s="85">
        <f>STATS1003B!Y1009/1000</f>
        <v>0</v>
      </c>
      <c r="Z1008" s="85">
        <f t="shared" si="128"/>
        <v>0</v>
      </c>
      <c r="AA1008" s="69">
        <f>STATS1003B!AA1009/1000</f>
        <v>497.38157000000001</v>
      </c>
      <c r="AB1008" s="69">
        <f>STATS1003B!AB1009/1000</f>
        <v>0</v>
      </c>
    </row>
    <row r="1009" spans="1:28" hidden="1" x14ac:dyDescent="0.3">
      <c r="A1009" s="117"/>
      <c r="C1009" s="68" t="s">
        <v>1187</v>
      </c>
      <c r="D1009" s="90" t="s">
        <v>1126</v>
      </c>
      <c r="E1009" s="85">
        <f>STATS1003B!E1010/1000</f>
        <v>4250</v>
      </c>
      <c r="F1009" s="85">
        <f>STATS1003B!F1010/1000</f>
        <v>4250</v>
      </c>
      <c r="G1009" s="85">
        <f>STATS1003B!G1010/1000</f>
        <v>0</v>
      </c>
      <c r="H1009" s="85">
        <f>STATS1003B!H1010/1000</f>
        <v>4250</v>
      </c>
      <c r="I1009" s="85">
        <f>STATS1003B!I1010/1000</f>
        <v>0</v>
      </c>
      <c r="J1009" s="85">
        <f>STATS1003B!J1010/1000</f>
        <v>0</v>
      </c>
      <c r="K1009" s="85">
        <f>STATS1003B!K1010/1000</f>
        <v>0</v>
      </c>
      <c r="L1009" s="85">
        <f>STATS1003B!L1010/1000</f>
        <v>0</v>
      </c>
      <c r="M1009" s="85">
        <f>STATS1003B!M1010/1000</f>
        <v>4250</v>
      </c>
      <c r="N1009" s="85">
        <f>STATS1003B!N1010/1000</f>
        <v>0</v>
      </c>
      <c r="O1009" s="85">
        <f>STATS1003B!O1010/1000</f>
        <v>0</v>
      </c>
      <c r="P1009" s="85">
        <f>STATS1003B!P1010/1000</f>
        <v>0</v>
      </c>
      <c r="Q1009" s="85">
        <f>STATS1003B!Q1010/1000</f>
        <v>0</v>
      </c>
      <c r="R1009" s="85">
        <f>STATS1003B!R1010/1000</f>
        <v>0</v>
      </c>
      <c r="S1009" s="85">
        <f>STATS1003B!S1010/1000</f>
        <v>0</v>
      </c>
      <c r="T1009" s="85">
        <f>STATS1003B!T1010/1000</f>
        <v>0</v>
      </c>
      <c r="U1009" s="85">
        <f>STATS1003B!U1010/1000</f>
        <v>0</v>
      </c>
      <c r="V1009" s="85">
        <f>STATS1003B!V1010/1000</f>
        <v>4250</v>
      </c>
      <c r="W1009" s="85">
        <f>STATS1003B!W1010/1000</f>
        <v>0</v>
      </c>
      <c r="X1009" s="85">
        <f t="shared" si="126"/>
        <v>4250</v>
      </c>
      <c r="Y1009" s="85">
        <f>STATS1003B!Y1010/1000</f>
        <v>0</v>
      </c>
      <c r="Z1009" s="85">
        <f t="shared" si="128"/>
        <v>0</v>
      </c>
      <c r="AA1009" s="69">
        <f>STATS1003B!AA1010/1000</f>
        <v>4250</v>
      </c>
      <c r="AB1009" s="69">
        <f>STATS1003B!AB1010/1000</f>
        <v>0</v>
      </c>
    </row>
    <row r="1010" spans="1:28" hidden="1" x14ac:dyDescent="0.3">
      <c r="A1010" s="117"/>
      <c r="C1010" s="68" t="s">
        <v>1186</v>
      </c>
      <c r="D1010" s="90" t="s">
        <v>1126</v>
      </c>
      <c r="E1010" s="85">
        <f>STATS1003B!E1011/1000</f>
        <v>3300</v>
      </c>
      <c r="F1010" s="85">
        <f>STATS1003B!F1011/1000</f>
        <v>3300</v>
      </c>
      <c r="G1010" s="85">
        <f>STATS1003B!G1011/1000</f>
        <v>0</v>
      </c>
      <c r="H1010" s="85">
        <f>STATS1003B!H1011/1000</f>
        <v>3300</v>
      </c>
      <c r="I1010" s="85">
        <f>STATS1003B!I1011/1000</f>
        <v>0</v>
      </c>
      <c r="J1010" s="85">
        <f>STATS1003B!J1011/1000</f>
        <v>0</v>
      </c>
      <c r="K1010" s="85">
        <f>STATS1003B!K1011/1000</f>
        <v>0</v>
      </c>
      <c r="L1010" s="85">
        <f>STATS1003B!L1011/1000</f>
        <v>0</v>
      </c>
      <c r="M1010" s="85">
        <f>STATS1003B!M1011/1000</f>
        <v>3300</v>
      </c>
      <c r="N1010" s="85">
        <f>STATS1003B!N1011/1000</f>
        <v>0</v>
      </c>
      <c r="O1010" s="85">
        <f>STATS1003B!O1011/1000</f>
        <v>0</v>
      </c>
      <c r="P1010" s="85">
        <f>STATS1003B!P1011/1000</f>
        <v>0</v>
      </c>
      <c r="Q1010" s="85">
        <f>STATS1003B!Q1011/1000</f>
        <v>0</v>
      </c>
      <c r="R1010" s="85">
        <f>STATS1003B!R1011/1000</f>
        <v>0</v>
      </c>
      <c r="S1010" s="85">
        <f>STATS1003B!S1011/1000</f>
        <v>0</v>
      </c>
      <c r="T1010" s="85">
        <f>STATS1003B!T1011/1000</f>
        <v>0</v>
      </c>
      <c r="U1010" s="85">
        <f>STATS1003B!U1011/1000</f>
        <v>0</v>
      </c>
      <c r="V1010" s="85">
        <f>STATS1003B!V1011/1000</f>
        <v>0</v>
      </c>
      <c r="W1010" s="85">
        <f>STATS1003B!W1011/1000</f>
        <v>0</v>
      </c>
      <c r="X1010" s="85">
        <f t="shared" si="126"/>
        <v>3300</v>
      </c>
      <c r="Y1010" s="85">
        <f>STATS1003B!Y1011/1000</f>
        <v>0</v>
      </c>
      <c r="Z1010" s="85">
        <f t="shared" si="128"/>
        <v>0</v>
      </c>
      <c r="AA1010" s="69">
        <f>STATS1003B!AA1011/1000</f>
        <v>3300</v>
      </c>
      <c r="AB1010" s="69">
        <f>STATS1003B!AB1011/1000</f>
        <v>0</v>
      </c>
    </row>
    <row r="1011" spans="1:28" hidden="1" x14ac:dyDescent="0.3">
      <c r="A1011" s="117"/>
      <c r="C1011" s="68" t="s">
        <v>57</v>
      </c>
      <c r="D1011" s="90" t="s">
        <v>61</v>
      </c>
      <c r="E1011" s="85">
        <f>STATS1003B!E1012/1000</f>
        <v>514</v>
      </c>
      <c r="F1011" s="85">
        <f>STATS1003B!F1012/1000</f>
        <v>514</v>
      </c>
      <c r="G1011" s="85">
        <f>STATS1003B!G1012/1000</f>
        <v>0</v>
      </c>
      <c r="H1011" s="85">
        <f>STATS1003B!H1012/1000</f>
        <v>514</v>
      </c>
      <c r="I1011" s="85">
        <f>STATS1003B!I1012/1000</f>
        <v>0</v>
      </c>
      <c r="J1011" s="85">
        <f>STATS1003B!J1012/1000</f>
        <v>0</v>
      </c>
      <c r="K1011" s="85">
        <f>STATS1003B!K1012/1000</f>
        <v>0</v>
      </c>
      <c r="L1011" s="85">
        <f>STATS1003B!L1012/1000</f>
        <v>0</v>
      </c>
      <c r="M1011" s="85">
        <f>STATS1003B!M1012/1000</f>
        <v>514</v>
      </c>
      <c r="N1011" s="85">
        <f>STATS1003B!N1012/1000</f>
        <v>0</v>
      </c>
      <c r="O1011" s="85">
        <f>STATS1003B!O1012/1000</f>
        <v>0</v>
      </c>
      <c r="P1011" s="85">
        <f>STATS1003B!P1012/1000</f>
        <v>0</v>
      </c>
      <c r="Q1011" s="85">
        <f>STATS1003B!Q1012/1000</f>
        <v>0</v>
      </c>
      <c r="R1011" s="85">
        <f>STATS1003B!R1012/1000</f>
        <v>0</v>
      </c>
      <c r="S1011" s="85">
        <f>STATS1003B!S1012/1000</f>
        <v>0</v>
      </c>
      <c r="T1011" s="85">
        <f>STATS1003B!T1012/1000</f>
        <v>0</v>
      </c>
      <c r="U1011" s="85">
        <f>STATS1003B!U1012/1000</f>
        <v>0</v>
      </c>
      <c r="V1011" s="85">
        <f>STATS1003B!V1012/1000</f>
        <v>514</v>
      </c>
      <c r="W1011" s="85">
        <f>STATS1003B!W1012/1000</f>
        <v>0</v>
      </c>
      <c r="X1011" s="85">
        <f t="shared" si="126"/>
        <v>514</v>
      </c>
      <c r="Y1011" s="85">
        <f>STATS1003B!Y1012/1000</f>
        <v>0</v>
      </c>
      <c r="Z1011" s="85">
        <f t="shared" si="128"/>
        <v>0</v>
      </c>
      <c r="AA1011" s="69">
        <f>STATS1003B!AA1012/1000</f>
        <v>514</v>
      </c>
      <c r="AB1011" s="69">
        <f>STATS1003B!AB1012/1000</f>
        <v>0</v>
      </c>
    </row>
    <row r="1012" spans="1:28" hidden="1" x14ac:dyDescent="0.3">
      <c r="A1012" s="117"/>
      <c r="E1012" s="86" t="s">
        <v>29</v>
      </c>
      <c r="F1012" s="86" t="s">
        <v>29</v>
      </c>
      <c r="G1012" s="86" t="s">
        <v>29</v>
      </c>
      <c r="H1012" s="86" t="s">
        <v>29</v>
      </c>
      <c r="I1012" s="86" t="s">
        <v>29</v>
      </c>
      <c r="J1012" s="86" t="s">
        <v>29</v>
      </c>
      <c r="K1012" s="86" t="s">
        <v>29</v>
      </c>
      <c r="L1012" s="86" t="s">
        <v>29</v>
      </c>
      <c r="M1012" s="86" t="s">
        <v>29</v>
      </c>
      <c r="N1012" s="86" t="s">
        <v>29</v>
      </c>
      <c r="O1012" s="86" t="s">
        <v>29</v>
      </c>
      <c r="P1012" s="86" t="s">
        <v>29</v>
      </c>
      <c r="Q1012" s="86" t="s">
        <v>29</v>
      </c>
      <c r="R1012" s="86" t="s">
        <v>29</v>
      </c>
      <c r="S1012" s="86" t="s">
        <v>29</v>
      </c>
      <c r="T1012" s="86" t="s">
        <v>29</v>
      </c>
      <c r="U1012" s="86" t="s">
        <v>29</v>
      </c>
      <c r="V1012" s="86" t="s">
        <v>29</v>
      </c>
      <c r="W1012" s="86" t="s">
        <v>29</v>
      </c>
      <c r="X1012" s="85" t="e">
        <f t="shared" si="126"/>
        <v>#VALUE!</v>
      </c>
      <c r="Y1012" s="86" t="s">
        <v>29</v>
      </c>
      <c r="Z1012" s="85" t="e">
        <f t="shared" si="128"/>
        <v>#VALUE!</v>
      </c>
      <c r="AA1012" s="115" t="s">
        <v>29</v>
      </c>
      <c r="AB1012" s="115" t="s">
        <v>29</v>
      </c>
    </row>
    <row r="1013" spans="1:28" x14ac:dyDescent="0.3">
      <c r="A1013" s="116">
        <v>46</v>
      </c>
      <c r="B1013" s="68" t="s">
        <v>217</v>
      </c>
      <c r="E1013" s="85">
        <f>277484248.73/1000</f>
        <v>277484.24872999999</v>
      </c>
      <c r="F1013" s="85">
        <f t="shared" ref="F1013:AB1013" si="129">SUM(F993:F1011)</f>
        <v>62647.659619999999</v>
      </c>
      <c r="G1013" s="85">
        <f t="shared" si="129"/>
        <v>0</v>
      </c>
      <c r="H1013" s="85">
        <f>266776179.01/1000</f>
        <v>266776.17900999996</v>
      </c>
      <c r="I1013" s="85">
        <f t="shared" si="129"/>
        <v>10300</v>
      </c>
      <c r="J1013" s="85">
        <f t="shared" si="129"/>
        <v>10300</v>
      </c>
      <c r="K1013" s="85">
        <f t="shared" si="129"/>
        <v>0</v>
      </c>
      <c r="L1013" s="85">
        <f t="shared" si="129"/>
        <v>0</v>
      </c>
      <c r="M1013" s="85">
        <f t="shared" si="129"/>
        <v>62647.659619999999</v>
      </c>
      <c r="N1013" s="85">
        <f t="shared" si="129"/>
        <v>10708.06972</v>
      </c>
      <c r="O1013" s="85">
        <f t="shared" si="129"/>
        <v>0</v>
      </c>
      <c r="P1013" s="85">
        <f>10708069/1000</f>
        <v>10708.069</v>
      </c>
      <c r="Q1013" s="85">
        <f t="shared" si="129"/>
        <v>0</v>
      </c>
      <c r="R1013" s="85">
        <f t="shared" si="129"/>
        <v>0</v>
      </c>
      <c r="S1013" s="85">
        <f t="shared" si="129"/>
        <v>0</v>
      </c>
      <c r="T1013" s="85">
        <f t="shared" si="129"/>
        <v>0</v>
      </c>
      <c r="U1013" s="85">
        <f t="shared" si="129"/>
        <v>10708.06972</v>
      </c>
      <c r="V1013" s="85">
        <f t="shared" si="129"/>
        <v>70055.729339999991</v>
      </c>
      <c r="W1013" s="85">
        <f t="shared" si="129"/>
        <v>0</v>
      </c>
      <c r="X1013" s="85">
        <f t="shared" si="126"/>
        <v>277484.24800999998</v>
      </c>
      <c r="Y1013" s="85">
        <f t="shared" si="129"/>
        <v>0</v>
      </c>
      <c r="Z1013" s="85">
        <f t="shared" si="128"/>
        <v>7.2000001091510057E-4</v>
      </c>
      <c r="AA1013" s="69">
        <f t="shared" si="129"/>
        <v>73355.729339999991</v>
      </c>
      <c r="AB1013" s="69">
        <f t="shared" si="129"/>
        <v>0</v>
      </c>
    </row>
    <row r="1014" spans="1:28" hidden="1" x14ac:dyDescent="0.3">
      <c r="A1014" s="117"/>
      <c r="E1014" s="86" t="s">
        <v>29</v>
      </c>
      <c r="F1014" s="86" t="s">
        <v>29</v>
      </c>
      <c r="G1014" s="86" t="s">
        <v>29</v>
      </c>
      <c r="H1014" s="86" t="s">
        <v>29</v>
      </c>
      <c r="I1014" s="86" t="s">
        <v>29</v>
      </c>
      <c r="J1014" s="86" t="s">
        <v>29</v>
      </c>
      <c r="K1014" s="86" t="s">
        <v>29</v>
      </c>
      <c r="L1014" s="86" t="s">
        <v>29</v>
      </c>
      <c r="M1014" s="86" t="s">
        <v>29</v>
      </c>
      <c r="N1014" s="86" t="s">
        <v>29</v>
      </c>
      <c r="O1014" s="86" t="s">
        <v>29</v>
      </c>
      <c r="P1014" s="86" t="s">
        <v>29</v>
      </c>
      <c r="Q1014" s="86" t="s">
        <v>29</v>
      </c>
      <c r="R1014" s="86" t="s">
        <v>29</v>
      </c>
      <c r="S1014" s="86" t="s">
        <v>29</v>
      </c>
      <c r="T1014" s="86" t="s">
        <v>29</v>
      </c>
      <c r="U1014" s="86" t="s">
        <v>29</v>
      </c>
      <c r="V1014" s="86" t="s">
        <v>29</v>
      </c>
      <c r="W1014" s="86" t="s">
        <v>29</v>
      </c>
      <c r="X1014" s="85" t="e">
        <f t="shared" si="126"/>
        <v>#VALUE!</v>
      </c>
      <c r="Y1014" s="86" t="s">
        <v>29</v>
      </c>
      <c r="Z1014" s="85" t="e">
        <f t="shared" si="128"/>
        <v>#VALUE!</v>
      </c>
      <c r="AA1014" s="115" t="s">
        <v>29</v>
      </c>
      <c r="AB1014" s="115" t="s">
        <v>29</v>
      </c>
    </row>
    <row r="1015" spans="1:28" hidden="1" x14ac:dyDescent="0.3">
      <c r="A1015" s="117"/>
      <c r="E1015" s="84"/>
      <c r="F1015" s="84"/>
      <c r="G1015" s="84"/>
      <c r="H1015" s="84"/>
      <c r="I1015" s="84"/>
      <c r="J1015" s="84"/>
      <c r="K1015" s="84"/>
      <c r="L1015" s="84"/>
      <c r="M1015" s="84"/>
      <c r="N1015" s="84"/>
      <c r="O1015" s="84"/>
      <c r="P1015" s="84"/>
      <c r="Q1015" s="84"/>
      <c r="R1015" s="84"/>
      <c r="S1015" s="84"/>
      <c r="T1015" s="84"/>
      <c r="U1015" s="84"/>
      <c r="V1015" s="84"/>
      <c r="W1015" s="84"/>
      <c r="X1015" s="85">
        <f t="shared" si="126"/>
        <v>0</v>
      </c>
      <c r="Y1015" s="84"/>
      <c r="Z1015" s="85">
        <f t="shared" si="128"/>
        <v>0</v>
      </c>
    </row>
    <row r="1016" spans="1:28" hidden="1" x14ac:dyDescent="0.3">
      <c r="A1016" s="105"/>
      <c r="E1016" s="84"/>
      <c r="F1016" s="84"/>
      <c r="G1016" s="84"/>
      <c r="H1016" s="84"/>
      <c r="I1016" s="84"/>
      <c r="J1016" s="84"/>
      <c r="K1016" s="84"/>
      <c r="L1016" s="84"/>
      <c r="M1016" s="84"/>
      <c r="N1016" s="84"/>
      <c r="O1016" s="84"/>
      <c r="P1016" s="84"/>
      <c r="Q1016" s="84"/>
      <c r="R1016" s="84"/>
      <c r="S1016" s="84"/>
      <c r="T1016" s="84"/>
      <c r="U1016" s="84"/>
      <c r="V1016" s="84"/>
      <c r="W1016" s="84"/>
      <c r="X1016" s="85">
        <f t="shared" si="126"/>
        <v>0</v>
      </c>
      <c r="Y1016" s="84"/>
      <c r="Z1016" s="85">
        <f t="shared" si="128"/>
        <v>0</v>
      </c>
    </row>
    <row r="1017" spans="1:28" hidden="1" x14ac:dyDescent="0.3">
      <c r="A1017" s="117"/>
      <c r="C1017" s="68" t="s">
        <v>172</v>
      </c>
      <c r="D1017" s="145" t="s">
        <v>231</v>
      </c>
      <c r="E1017" s="85">
        <f>STATS1003B!E1018/1000</f>
        <v>2288.835</v>
      </c>
      <c r="F1017" s="85">
        <f>STATS1003B!F1018/1000</f>
        <v>2288.835</v>
      </c>
      <c r="G1017" s="85">
        <f>STATS1003B!G1018/1000</f>
        <v>0</v>
      </c>
      <c r="H1017" s="85">
        <f>STATS1003B!H1018/1000</f>
        <v>2288.835</v>
      </c>
      <c r="I1017" s="85">
        <f>STATS1003B!I1018/1000</f>
        <v>0</v>
      </c>
      <c r="J1017" s="85">
        <f>STATS1003B!J1018/1000</f>
        <v>0</v>
      </c>
      <c r="K1017" s="85">
        <f>STATS1003B!K1018/1000</f>
        <v>0</v>
      </c>
      <c r="L1017" s="85">
        <f>STATS1003B!L1018/1000</f>
        <v>0</v>
      </c>
      <c r="M1017" s="85">
        <f>STATS1003B!M1018/1000</f>
        <v>2288.835</v>
      </c>
      <c r="N1017" s="85">
        <f>STATS1003B!N1018/1000</f>
        <v>0</v>
      </c>
      <c r="O1017" s="85">
        <f>STATS1003B!O1018/1000</f>
        <v>0</v>
      </c>
      <c r="P1017" s="85">
        <f>STATS1003B!P1018/1000</f>
        <v>0</v>
      </c>
      <c r="Q1017" s="85">
        <f>STATS1003B!Q1018/1000</f>
        <v>0</v>
      </c>
      <c r="R1017" s="85">
        <f>STATS1003B!R1018/1000</f>
        <v>0</v>
      </c>
      <c r="S1017" s="85">
        <f>STATS1003B!S1018/1000</f>
        <v>0</v>
      </c>
      <c r="T1017" s="85">
        <f>STATS1003B!T1018/1000</f>
        <v>0</v>
      </c>
      <c r="U1017" s="85">
        <f>STATS1003B!U1018/1000</f>
        <v>0</v>
      </c>
      <c r="V1017" s="85">
        <f>STATS1003B!V1018/1000</f>
        <v>2288.835</v>
      </c>
      <c r="W1017" s="85">
        <f>STATS1003B!W1018/1000</f>
        <v>0</v>
      </c>
      <c r="X1017" s="85">
        <f t="shared" si="126"/>
        <v>2288.835</v>
      </c>
      <c r="Y1017" s="85">
        <f>STATS1003B!Y1018/1000</f>
        <v>0</v>
      </c>
      <c r="Z1017" s="85">
        <f t="shared" si="128"/>
        <v>0</v>
      </c>
      <c r="AA1017" s="69">
        <f>STATS1003B!AA1018/1000</f>
        <v>2288.835</v>
      </c>
      <c r="AB1017" s="69">
        <f>STATS1003B!AB1018/1000</f>
        <v>0</v>
      </c>
    </row>
    <row r="1018" spans="1:28" hidden="1" x14ac:dyDescent="0.3">
      <c r="A1018" s="117"/>
      <c r="C1018" s="68" t="s">
        <v>57</v>
      </c>
      <c r="D1018" s="145" t="s">
        <v>232</v>
      </c>
      <c r="E1018" s="85">
        <f>STATS1003B!E1019/1000</f>
        <v>9060.0585600000013</v>
      </c>
      <c r="F1018" s="85">
        <f>STATS1003B!F1019/1000</f>
        <v>5775.6549999999997</v>
      </c>
      <c r="G1018" s="85">
        <f>STATS1003B!G1019/1000</f>
        <v>0</v>
      </c>
      <c r="H1018" s="85">
        <f>STATS1003B!H1019/1000</f>
        <v>5775.6549999999997</v>
      </c>
      <c r="I1018" s="85">
        <f>STATS1003B!I1019/1000</f>
        <v>0</v>
      </c>
      <c r="J1018" s="85">
        <f>STATS1003B!J1019/1000</f>
        <v>0</v>
      </c>
      <c r="K1018" s="85">
        <f>STATS1003B!K1019/1000</f>
        <v>0</v>
      </c>
      <c r="L1018" s="85">
        <f>STATS1003B!L1019/1000</f>
        <v>0</v>
      </c>
      <c r="M1018" s="85">
        <f>STATS1003B!M1019/1000</f>
        <v>5775.6549999999997</v>
      </c>
      <c r="N1018" s="85">
        <f>STATS1003B!N1019/1000</f>
        <v>3284.4035600000002</v>
      </c>
      <c r="O1018" s="85">
        <f>STATS1003B!O1019/1000</f>
        <v>0</v>
      </c>
      <c r="P1018" s="85">
        <f>STATS1003B!P1019/1000</f>
        <v>3284.4035600000002</v>
      </c>
      <c r="Q1018" s="85">
        <f>STATS1003B!Q1019/1000</f>
        <v>0</v>
      </c>
      <c r="R1018" s="85">
        <f>STATS1003B!R1019/1000</f>
        <v>0</v>
      </c>
      <c r="S1018" s="85">
        <f>STATS1003B!S1019/1000</f>
        <v>0</v>
      </c>
      <c r="T1018" s="85">
        <f>STATS1003B!T1019/1000</f>
        <v>0</v>
      </c>
      <c r="U1018" s="85">
        <f>STATS1003B!U1019/1000</f>
        <v>3284.4035600000002</v>
      </c>
      <c r="V1018" s="85">
        <f>STATS1003B!V1019/1000</f>
        <v>9060.0585600000013</v>
      </c>
      <c r="W1018" s="85">
        <f>STATS1003B!W1019/1000</f>
        <v>0</v>
      </c>
      <c r="X1018" s="85">
        <f t="shared" si="126"/>
        <v>9060.0585599999995</v>
      </c>
      <c r="Y1018" s="85">
        <f>STATS1003B!Y1019/1000</f>
        <v>0</v>
      </c>
      <c r="Z1018" s="85">
        <f t="shared" si="128"/>
        <v>0</v>
      </c>
      <c r="AA1018" s="69">
        <f>STATS1003B!AA1019/1000</f>
        <v>9060.0585600000013</v>
      </c>
      <c r="AB1018" s="69">
        <f>STATS1003B!AB1019/1000</f>
        <v>0</v>
      </c>
    </row>
    <row r="1019" spans="1:28" hidden="1" x14ac:dyDescent="0.3">
      <c r="A1019" s="117"/>
      <c r="C1019" s="68" t="s">
        <v>192</v>
      </c>
      <c r="D1019" s="145" t="s">
        <v>54</v>
      </c>
      <c r="E1019" s="85">
        <f>STATS1003B!E1020/1000</f>
        <v>955.34561999999994</v>
      </c>
      <c r="F1019" s="85">
        <f>STATS1003B!F1020/1000</f>
        <v>0</v>
      </c>
      <c r="G1019" s="85">
        <f>STATS1003B!G1020/1000</f>
        <v>0</v>
      </c>
      <c r="H1019" s="85">
        <f>STATS1003B!H1020/1000</f>
        <v>0</v>
      </c>
      <c r="I1019" s="85">
        <f>STATS1003B!I1020/1000</f>
        <v>0</v>
      </c>
      <c r="J1019" s="85">
        <f>STATS1003B!J1020/1000</f>
        <v>0</v>
      </c>
      <c r="K1019" s="85">
        <f>STATS1003B!K1020/1000</f>
        <v>0</v>
      </c>
      <c r="L1019" s="85">
        <f>STATS1003B!L1020/1000</f>
        <v>0</v>
      </c>
      <c r="M1019" s="85">
        <f>STATS1003B!M1020/1000</f>
        <v>0</v>
      </c>
      <c r="N1019" s="85">
        <f>STATS1003B!N1020/1000</f>
        <v>955.34561999999994</v>
      </c>
      <c r="O1019" s="85">
        <f>STATS1003B!O1020/1000</f>
        <v>0</v>
      </c>
      <c r="P1019" s="85">
        <f>STATS1003B!P1020/1000</f>
        <v>955.34561999999994</v>
      </c>
      <c r="Q1019" s="85">
        <f>STATS1003B!Q1020/1000</f>
        <v>0</v>
      </c>
      <c r="R1019" s="85">
        <f>STATS1003B!R1020/1000</f>
        <v>0</v>
      </c>
      <c r="S1019" s="85">
        <f>STATS1003B!S1020/1000</f>
        <v>0</v>
      </c>
      <c r="T1019" s="85">
        <f>STATS1003B!T1020/1000</f>
        <v>0</v>
      </c>
      <c r="U1019" s="85">
        <f>STATS1003B!U1020/1000</f>
        <v>955.34561999999994</v>
      </c>
      <c r="V1019" s="85">
        <f>STATS1003B!V1020/1000</f>
        <v>955.34561999999994</v>
      </c>
      <c r="W1019" s="85">
        <f>STATS1003B!W1020/1000</f>
        <v>0</v>
      </c>
      <c r="X1019" s="85">
        <f t="shared" si="126"/>
        <v>955.34561999999994</v>
      </c>
      <c r="Y1019" s="85">
        <f>STATS1003B!Y1020/1000</f>
        <v>0</v>
      </c>
      <c r="Z1019" s="85">
        <f t="shared" si="128"/>
        <v>0</v>
      </c>
      <c r="AA1019" s="69">
        <f>STATS1003B!AA1020/1000</f>
        <v>955.34561999999994</v>
      </c>
      <c r="AB1019" s="69">
        <f>STATS1003B!AB1020/1000</f>
        <v>0</v>
      </c>
    </row>
    <row r="1020" spans="1:28" hidden="1" x14ac:dyDescent="0.3">
      <c r="A1020" s="117"/>
      <c r="C1020" s="68" t="s">
        <v>53</v>
      </c>
      <c r="D1020" s="145" t="s">
        <v>54</v>
      </c>
      <c r="E1020" s="85">
        <f>STATS1003B!E1021/1000</f>
        <v>1953.989</v>
      </c>
      <c r="F1020" s="85">
        <f>STATS1003B!F1021/1000</f>
        <v>0</v>
      </c>
      <c r="G1020" s="85">
        <f>STATS1003B!G1021/1000</f>
        <v>0</v>
      </c>
      <c r="H1020" s="85">
        <f>STATS1003B!H1021/1000</f>
        <v>0</v>
      </c>
      <c r="I1020" s="85">
        <f>STATS1003B!I1021/1000</f>
        <v>0</v>
      </c>
      <c r="J1020" s="85">
        <f>STATS1003B!J1021/1000</f>
        <v>0</v>
      </c>
      <c r="K1020" s="85">
        <f>STATS1003B!K1021/1000</f>
        <v>0</v>
      </c>
      <c r="L1020" s="85">
        <f>STATS1003B!L1021/1000</f>
        <v>0</v>
      </c>
      <c r="M1020" s="85">
        <f>STATS1003B!M1021/1000</f>
        <v>0</v>
      </c>
      <c r="N1020" s="85">
        <f>STATS1003B!N1021/1000</f>
        <v>1953.989</v>
      </c>
      <c r="O1020" s="85">
        <f>STATS1003B!O1021/1000</f>
        <v>0</v>
      </c>
      <c r="P1020" s="85">
        <f>STATS1003B!P1021/1000</f>
        <v>1953.989</v>
      </c>
      <c r="Q1020" s="85">
        <f>STATS1003B!Q1021/1000</f>
        <v>0</v>
      </c>
      <c r="R1020" s="85">
        <f>STATS1003B!R1021/1000</f>
        <v>0</v>
      </c>
      <c r="S1020" s="85">
        <f>STATS1003B!S1021/1000</f>
        <v>0</v>
      </c>
      <c r="T1020" s="85">
        <f>STATS1003B!T1021/1000</f>
        <v>0</v>
      </c>
      <c r="U1020" s="85">
        <f>STATS1003B!U1021/1000</f>
        <v>1953.989</v>
      </c>
      <c r="V1020" s="85">
        <f>STATS1003B!V1021/1000</f>
        <v>1953.989</v>
      </c>
      <c r="W1020" s="85">
        <f>STATS1003B!W1021/1000</f>
        <v>0</v>
      </c>
      <c r="X1020" s="85">
        <f t="shared" si="126"/>
        <v>1953.989</v>
      </c>
      <c r="Y1020" s="85">
        <f>STATS1003B!Y1021/1000</f>
        <v>0</v>
      </c>
      <c r="Z1020" s="85">
        <f t="shared" si="128"/>
        <v>0</v>
      </c>
      <c r="AA1020" s="69">
        <f>STATS1003B!AA1021/1000</f>
        <v>1953.989</v>
      </c>
      <c r="AB1020" s="69">
        <f>STATS1003B!AB1021/1000</f>
        <v>0</v>
      </c>
    </row>
    <row r="1021" spans="1:28" hidden="1" x14ac:dyDescent="0.3">
      <c r="A1021" s="117"/>
      <c r="C1021" s="68" t="s">
        <v>233</v>
      </c>
      <c r="D1021" s="145" t="s">
        <v>234</v>
      </c>
      <c r="E1021" s="85">
        <f>STATS1003B!E1022/1000</f>
        <v>430</v>
      </c>
      <c r="F1021" s="85">
        <f>STATS1003B!F1022/1000</f>
        <v>430</v>
      </c>
      <c r="G1021" s="85">
        <f>STATS1003B!G1022/1000</f>
        <v>0</v>
      </c>
      <c r="H1021" s="85">
        <f>STATS1003B!H1022/1000</f>
        <v>430</v>
      </c>
      <c r="I1021" s="85">
        <f>STATS1003B!I1022/1000</f>
        <v>0</v>
      </c>
      <c r="J1021" s="85">
        <f>STATS1003B!J1022/1000</f>
        <v>0</v>
      </c>
      <c r="K1021" s="85">
        <f>STATS1003B!K1022/1000</f>
        <v>0</v>
      </c>
      <c r="L1021" s="85">
        <f>STATS1003B!L1022/1000</f>
        <v>0</v>
      </c>
      <c r="M1021" s="85">
        <f>STATS1003B!M1022/1000</f>
        <v>430</v>
      </c>
      <c r="N1021" s="85">
        <f>STATS1003B!N1022/1000</f>
        <v>0</v>
      </c>
      <c r="O1021" s="85">
        <f>STATS1003B!O1022/1000</f>
        <v>0</v>
      </c>
      <c r="P1021" s="85">
        <f>STATS1003B!P1022/1000</f>
        <v>0</v>
      </c>
      <c r="Q1021" s="85">
        <f>STATS1003B!Q1022/1000</f>
        <v>0</v>
      </c>
      <c r="R1021" s="85">
        <f>STATS1003B!R1022/1000</f>
        <v>0</v>
      </c>
      <c r="S1021" s="85">
        <f>STATS1003B!S1022/1000</f>
        <v>0</v>
      </c>
      <c r="T1021" s="85">
        <f>STATS1003B!T1022/1000</f>
        <v>0</v>
      </c>
      <c r="U1021" s="85">
        <f>STATS1003B!U1022/1000</f>
        <v>0</v>
      </c>
      <c r="V1021" s="85">
        <f>STATS1003B!V1022/1000</f>
        <v>430</v>
      </c>
      <c r="W1021" s="85">
        <f>STATS1003B!W1022/1000</f>
        <v>0</v>
      </c>
      <c r="X1021" s="85">
        <f t="shared" si="126"/>
        <v>430</v>
      </c>
      <c r="Y1021" s="85">
        <f>STATS1003B!Y1022/1000</f>
        <v>0</v>
      </c>
      <c r="Z1021" s="85">
        <f t="shared" si="128"/>
        <v>0</v>
      </c>
      <c r="AA1021" s="69">
        <f>STATS1003B!AA1022/1000</f>
        <v>430</v>
      </c>
      <c r="AB1021" s="69">
        <f>STATS1003B!AB1022/1000</f>
        <v>0</v>
      </c>
    </row>
    <row r="1022" spans="1:28" hidden="1" x14ac:dyDescent="0.3">
      <c r="A1022" s="117"/>
      <c r="C1022" s="68" t="s">
        <v>235</v>
      </c>
      <c r="D1022" s="145" t="s">
        <v>85</v>
      </c>
      <c r="E1022" s="85">
        <f>STATS1003B!E1023/1000</f>
        <v>3286.8739999999998</v>
      </c>
      <c r="F1022" s="85">
        <f>STATS1003B!F1023/1000</f>
        <v>3286.8739999999998</v>
      </c>
      <c r="G1022" s="85">
        <f>STATS1003B!G1023/1000</f>
        <v>0</v>
      </c>
      <c r="H1022" s="85">
        <f>STATS1003B!H1023/1000</f>
        <v>3286.8739999999998</v>
      </c>
      <c r="I1022" s="85">
        <f>STATS1003B!I1023/1000</f>
        <v>0</v>
      </c>
      <c r="J1022" s="85">
        <f>STATS1003B!J1023/1000</f>
        <v>0</v>
      </c>
      <c r="K1022" s="85">
        <f>STATS1003B!K1023/1000</f>
        <v>0</v>
      </c>
      <c r="L1022" s="85">
        <f>STATS1003B!L1023/1000</f>
        <v>0</v>
      </c>
      <c r="M1022" s="85">
        <f>STATS1003B!M1023/1000</f>
        <v>3286.8739999999998</v>
      </c>
      <c r="N1022" s="85">
        <f>STATS1003B!N1023/1000</f>
        <v>0</v>
      </c>
      <c r="O1022" s="85">
        <f>STATS1003B!O1023/1000</f>
        <v>0</v>
      </c>
      <c r="P1022" s="85">
        <f>STATS1003B!P1023/1000</f>
        <v>0</v>
      </c>
      <c r="Q1022" s="85">
        <f>STATS1003B!Q1023/1000</f>
        <v>0</v>
      </c>
      <c r="R1022" s="85">
        <f>STATS1003B!R1023/1000</f>
        <v>0</v>
      </c>
      <c r="S1022" s="85">
        <f>STATS1003B!S1023/1000</f>
        <v>0</v>
      </c>
      <c r="T1022" s="85">
        <f>STATS1003B!T1023/1000</f>
        <v>0</v>
      </c>
      <c r="U1022" s="85">
        <f>STATS1003B!U1023/1000</f>
        <v>0</v>
      </c>
      <c r="V1022" s="85">
        <f>STATS1003B!V1023/1000</f>
        <v>3286.8739999999998</v>
      </c>
      <c r="W1022" s="85">
        <f>STATS1003B!W1023/1000</f>
        <v>0</v>
      </c>
      <c r="X1022" s="85">
        <f t="shared" si="126"/>
        <v>3286.8739999999998</v>
      </c>
      <c r="Y1022" s="85">
        <f>STATS1003B!Y1023/1000</f>
        <v>0</v>
      </c>
      <c r="Z1022" s="85">
        <f t="shared" si="128"/>
        <v>0</v>
      </c>
      <c r="AA1022" s="69">
        <f>STATS1003B!AA1023/1000</f>
        <v>3286.8739999999998</v>
      </c>
      <c r="AB1022" s="69">
        <f>STATS1003B!AB1023/1000</f>
        <v>0</v>
      </c>
    </row>
    <row r="1023" spans="1:28" hidden="1" x14ac:dyDescent="0.3">
      <c r="A1023" s="117"/>
      <c r="C1023" s="68" t="s">
        <v>55</v>
      </c>
      <c r="D1023" s="145" t="s">
        <v>236</v>
      </c>
      <c r="E1023" s="85">
        <f>STATS1003B!E1024/1000</f>
        <v>29437.122649999998</v>
      </c>
      <c r="F1023" s="85">
        <f>STATS1003B!F1024/1000</f>
        <v>0</v>
      </c>
      <c r="G1023" s="85">
        <f>STATS1003B!G1024/1000</f>
        <v>0</v>
      </c>
      <c r="H1023" s="85">
        <f>STATS1003B!H1024/1000</f>
        <v>0</v>
      </c>
      <c r="I1023" s="85">
        <f>STATS1003B!I1024/1000</f>
        <v>0</v>
      </c>
      <c r="J1023" s="85">
        <f>STATS1003B!J1024/1000</f>
        <v>0</v>
      </c>
      <c r="K1023" s="85">
        <f>STATS1003B!K1024/1000</f>
        <v>0</v>
      </c>
      <c r="L1023" s="85">
        <f>STATS1003B!L1024/1000</f>
        <v>0</v>
      </c>
      <c r="M1023" s="85">
        <f>STATS1003B!M1024/1000</f>
        <v>0</v>
      </c>
      <c r="N1023" s="85">
        <f>STATS1003B!N1024/1000</f>
        <v>29437.122649999998</v>
      </c>
      <c r="O1023" s="85">
        <f>STATS1003B!O1024/1000</f>
        <v>0</v>
      </c>
      <c r="P1023" s="85">
        <f>STATS1003B!P1024/1000</f>
        <v>29437.122649999998</v>
      </c>
      <c r="Q1023" s="85">
        <f>STATS1003B!Q1024/1000</f>
        <v>0</v>
      </c>
      <c r="R1023" s="85">
        <f>STATS1003B!R1024/1000</f>
        <v>0</v>
      </c>
      <c r="S1023" s="85">
        <f>STATS1003B!S1024/1000</f>
        <v>0</v>
      </c>
      <c r="T1023" s="85">
        <f>STATS1003B!T1024/1000</f>
        <v>0</v>
      </c>
      <c r="U1023" s="85">
        <f>STATS1003B!U1024/1000</f>
        <v>29437.122649999998</v>
      </c>
      <c r="V1023" s="85">
        <f>STATS1003B!V1024/1000</f>
        <v>29437.122649999998</v>
      </c>
      <c r="W1023" s="85">
        <f>STATS1003B!W1024/1000</f>
        <v>0</v>
      </c>
      <c r="X1023" s="85">
        <f t="shared" si="126"/>
        <v>29437.122649999998</v>
      </c>
      <c r="Y1023" s="85">
        <f>STATS1003B!Y1024/1000</f>
        <v>0</v>
      </c>
      <c r="Z1023" s="85">
        <f t="shared" si="128"/>
        <v>0</v>
      </c>
      <c r="AA1023" s="69">
        <f>STATS1003B!AA1024/1000</f>
        <v>29437.122649999998</v>
      </c>
      <c r="AB1023" s="69">
        <f>STATS1003B!AB1024/1000</f>
        <v>0</v>
      </c>
    </row>
    <row r="1024" spans="1:28" hidden="1" x14ac:dyDescent="0.3">
      <c r="A1024" s="117"/>
      <c r="C1024" s="68" t="s">
        <v>237</v>
      </c>
      <c r="D1024" s="145" t="s">
        <v>128</v>
      </c>
      <c r="E1024" s="85">
        <f>STATS1003B!E1025/1000</f>
        <v>0</v>
      </c>
      <c r="F1024" s="85">
        <f>STATS1003B!F1025/1000</f>
        <v>0</v>
      </c>
      <c r="G1024" s="85">
        <f>STATS1003B!G1025/1000</f>
        <v>0</v>
      </c>
      <c r="H1024" s="85">
        <f>STATS1003B!H1025/1000</f>
        <v>0</v>
      </c>
      <c r="I1024" s="85">
        <f>STATS1003B!I1025/1000</f>
        <v>0</v>
      </c>
      <c r="J1024" s="85">
        <f>STATS1003B!J1025/1000</f>
        <v>0</v>
      </c>
      <c r="K1024" s="85">
        <f>STATS1003B!K1025/1000</f>
        <v>0</v>
      </c>
      <c r="L1024" s="85">
        <f>STATS1003B!L1025/1000</f>
        <v>0</v>
      </c>
      <c r="M1024" s="85">
        <f>STATS1003B!M1025/1000</f>
        <v>0</v>
      </c>
      <c r="N1024" s="85">
        <f>STATS1003B!N1025/1000</f>
        <v>0</v>
      </c>
      <c r="O1024" s="85">
        <f>STATS1003B!O1025/1000</f>
        <v>0</v>
      </c>
      <c r="P1024" s="85">
        <f>STATS1003B!P1025/1000</f>
        <v>0</v>
      </c>
      <c r="Q1024" s="85">
        <f>STATS1003B!Q1025/1000</f>
        <v>0</v>
      </c>
      <c r="R1024" s="85">
        <f>STATS1003B!R1025/1000</f>
        <v>0</v>
      </c>
      <c r="S1024" s="85">
        <f>STATS1003B!S1025/1000</f>
        <v>0</v>
      </c>
      <c r="T1024" s="85">
        <f>STATS1003B!T1025/1000</f>
        <v>0</v>
      </c>
      <c r="U1024" s="85">
        <f>STATS1003B!U1025/1000</f>
        <v>0</v>
      </c>
      <c r="V1024" s="85">
        <f>STATS1003B!V1025/1000</f>
        <v>0</v>
      </c>
      <c r="W1024" s="85">
        <f>STATS1003B!W1025/1000</f>
        <v>0</v>
      </c>
      <c r="X1024" s="85">
        <f t="shared" si="126"/>
        <v>0</v>
      </c>
      <c r="Y1024" s="85">
        <f>STATS1003B!Y1025/1000</f>
        <v>0</v>
      </c>
      <c r="Z1024" s="85">
        <f t="shared" si="128"/>
        <v>0</v>
      </c>
      <c r="AA1024" s="69">
        <f>STATS1003B!AA1025/1000</f>
        <v>0</v>
      </c>
      <c r="AB1024" s="69">
        <f>STATS1003B!AB1025/1000</f>
        <v>0</v>
      </c>
    </row>
    <row r="1025" spans="1:28" hidden="1" x14ac:dyDescent="0.3">
      <c r="A1025" s="117"/>
      <c r="C1025" s="71" t="s">
        <v>109</v>
      </c>
      <c r="D1025" s="88" t="s">
        <v>60</v>
      </c>
      <c r="E1025" s="85">
        <f>STATS1003B!E1026/1000</f>
        <v>2500</v>
      </c>
      <c r="F1025" s="85">
        <f>STATS1003B!F1026/1000</f>
        <v>2500</v>
      </c>
      <c r="G1025" s="85">
        <f>STATS1003B!G1026/1000</f>
        <v>0</v>
      </c>
      <c r="H1025" s="85">
        <f>STATS1003B!H1026/1000</f>
        <v>2500</v>
      </c>
      <c r="I1025" s="85">
        <f>STATS1003B!I1026/1000</f>
        <v>0</v>
      </c>
      <c r="J1025" s="85">
        <f>STATS1003B!J1026/1000</f>
        <v>0</v>
      </c>
      <c r="K1025" s="85">
        <f>STATS1003B!K1026/1000</f>
        <v>0</v>
      </c>
      <c r="L1025" s="85">
        <f>STATS1003B!L1026/1000</f>
        <v>0</v>
      </c>
      <c r="M1025" s="85">
        <f>STATS1003B!M1026/1000</f>
        <v>2500</v>
      </c>
      <c r="N1025" s="85">
        <f>STATS1003B!N1026/1000</f>
        <v>0</v>
      </c>
      <c r="O1025" s="85">
        <f>STATS1003B!O1026/1000</f>
        <v>0</v>
      </c>
      <c r="P1025" s="85">
        <f>STATS1003B!P1026/1000</f>
        <v>0</v>
      </c>
      <c r="Q1025" s="85">
        <f>STATS1003B!Q1026/1000</f>
        <v>0</v>
      </c>
      <c r="R1025" s="85">
        <f>STATS1003B!R1026/1000</f>
        <v>0</v>
      </c>
      <c r="S1025" s="85">
        <f>STATS1003B!S1026/1000</f>
        <v>0</v>
      </c>
      <c r="T1025" s="85">
        <f>STATS1003B!T1026/1000</f>
        <v>0</v>
      </c>
      <c r="U1025" s="85">
        <f>STATS1003B!U1026/1000</f>
        <v>0</v>
      </c>
      <c r="V1025" s="85">
        <f>STATS1003B!V1026/1000</f>
        <v>2500</v>
      </c>
      <c r="W1025" s="85">
        <f>STATS1003B!W1026/1000</f>
        <v>0</v>
      </c>
      <c r="X1025" s="85">
        <f t="shared" si="126"/>
        <v>2500</v>
      </c>
      <c r="Y1025" s="85">
        <f>STATS1003B!Y1026/1000</f>
        <v>0</v>
      </c>
      <c r="Z1025" s="85">
        <f t="shared" si="128"/>
        <v>0</v>
      </c>
      <c r="AA1025" s="69">
        <f>STATS1003B!AA1026/1000</f>
        <v>2500</v>
      </c>
      <c r="AB1025" s="69">
        <f>STATS1003B!AB1026/1000</f>
        <v>0</v>
      </c>
    </row>
    <row r="1026" spans="1:28" hidden="1" x14ac:dyDescent="0.3">
      <c r="A1026" s="117"/>
      <c r="C1026" s="71" t="s">
        <v>57</v>
      </c>
      <c r="D1026" s="88" t="s">
        <v>60</v>
      </c>
      <c r="E1026" s="85">
        <f>STATS1003B!E1027/1000</f>
        <v>714</v>
      </c>
      <c r="F1026" s="85">
        <f>STATS1003B!F1027/1000</f>
        <v>714</v>
      </c>
      <c r="G1026" s="85">
        <f>STATS1003B!G1027/1000</f>
        <v>0</v>
      </c>
      <c r="H1026" s="85">
        <f>STATS1003B!H1027/1000</f>
        <v>714</v>
      </c>
      <c r="I1026" s="85">
        <f>STATS1003B!I1027/1000</f>
        <v>0</v>
      </c>
      <c r="J1026" s="85">
        <f>STATS1003B!J1027/1000</f>
        <v>0</v>
      </c>
      <c r="K1026" s="85">
        <f>STATS1003B!K1027/1000</f>
        <v>0</v>
      </c>
      <c r="L1026" s="85">
        <f>STATS1003B!L1027/1000</f>
        <v>0</v>
      </c>
      <c r="M1026" s="85">
        <f>STATS1003B!M1027/1000</f>
        <v>714</v>
      </c>
      <c r="N1026" s="85">
        <f>STATS1003B!N1027/1000</f>
        <v>0</v>
      </c>
      <c r="O1026" s="85">
        <f>STATS1003B!O1027/1000</f>
        <v>0</v>
      </c>
      <c r="P1026" s="85">
        <f>STATS1003B!P1027/1000</f>
        <v>0</v>
      </c>
      <c r="Q1026" s="85">
        <f>STATS1003B!Q1027/1000</f>
        <v>0</v>
      </c>
      <c r="R1026" s="85">
        <f>STATS1003B!R1027/1000</f>
        <v>0</v>
      </c>
      <c r="S1026" s="85">
        <f>STATS1003B!S1027/1000</f>
        <v>0</v>
      </c>
      <c r="T1026" s="85">
        <f>STATS1003B!T1027/1000</f>
        <v>0</v>
      </c>
      <c r="U1026" s="85">
        <f>STATS1003B!U1027/1000</f>
        <v>0</v>
      </c>
      <c r="V1026" s="85">
        <f>STATS1003B!V1027/1000</f>
        <v>714</v>
      </c>
      <c r="W1026" s="85">
        <f>STATS1003B!W1027/1000</f>
        <v>0</v>
      </c>
      <c r="X1026" s="85">
        <f t="shared" si="126"/>
        <v>714</v>
      </c>
      <c r="Y1026" s="85">
        <f>STATS1003B!Y1027/1000</f>
        <v>0</v>
      </c>
      <c r="Z1026" s="85">
        <f t="shared" si="128"/>
        <v>0</v>
      </c>
      <c r="AA1026" s="69">
        <f>STATS1003B!AA1027/1000</f>
        <v>714</v>
      </c>
      <c r="AB1026" s="69">
        <f>STATS1003B!AB1027/1000</f>
        <v>0</v>
      </c>
    </row>
    <row r="1027" spans="1:28" hidden="1" x14ac:dyDescent="0.3">
      <c r="A1027" s="117"/>
      <c r="C1027" s="71" t="s">
        <v>238</v>
      </c>
      <c r="D1027" s="89" t="s">
        <v>239</v>
      </c>
      <c r="E1027" s="85">
        <f>STATS1003B!E1028/1000</f>
        <v>891.37900000000002</v>
      </c>
      <c r="F1027" s="85">
        <f>STATS1003B!F1028/1000</f>
        <v>891.37900000000002</v>
      </c>
      <c r="G1027" s="85">
        <f>STATS1003B!G1028/1000</f>
        <v>0</v>
      </c>
      <c r="H1027" s="85">
        <f>STATS1003B!H1028/1000</f>
        <v>891.37900000000002</v>
      </c>
      <c r="I1027" s="85">
        <f>STATS1003B!I1028/1000</f>
        <v>0</v>
      </c>
      <c r="J1027" s="85">
        <f>STATS1003B!J1028/1000</f>
        <v>0</v>
      </c>
      <c r="K1027" s="85">
        <f>STATS1003B!K1028/1000</f>
        <v>0</v>
      </c>
      <c r="L1027" s="85">
        <f>STATS1003B!L1028/1000</f>
        <v>0</v>
      </c>
      <c r="M1027" s="85">
        <f>STATS1003B!M1028/1000</f>
        <v>891.37900000000002</v>
      </c>
      <c r="N1027" s="85">
        <f>STATS1003B!N1028/1000</f>
        <v>0</v>
      </c>
      <c r="O1027" s="85">
        <f>STATS1003B!O1028/1000</f>
        <v>0</v>
      </c>
      <c r="P1027" s="85">
        <f>STATS1003B!P1028/1000</f>
        <v>0</v>
      </c>
      <c r="Q1027" s="85">
        <f>STATS1003B!Q1028/1000</f>
        <v>0</v>
      </c>
      <c r="R1027" s="85">
        <f>STATS1003B!R1028/1000</f>
        <v>0</v>
      </c>
      <c r="S1027" s="85">
        <f>STATS1003B!S1028/1000</f>
        <v>0</v>
      </c>
      <c r="T1027" s="85">
        <f>STATS1003B!T1028/1000</f>
        <v>0</v>
      </c>
      <c r="U1027" s="85">
        <f>STATS1003B!U1028/1000</f>
        <v>0</v>
      </c>
      <c r="V1027" s="85">
        <f>STATS1003B!V1028/1000</f>
        <v>891.37900000000002</v>
      </c>
      <c r="W1027" s="85">
        <f>STATS1003B!W1028/1000</f>
        <v>0</v>
      </c>
      <c r="X1027" s="85">
        <f t="shared" si="126"/>
        <v>891.37900000000002</v>
      </c>
      <c r="Y1027" s="85">
        <f>STATS1003B!Y1028/1000</f>
        <v>0</v>
      </c>
      <c r="Z1027" s="85">
        <f t="shared" si="128"/>
        <v>0</v>
      </c>
      <c r="AA1027" s="69">
        <f>STATS1003B!AA1028/1000</f>
        <v>891.37900000000002</v>
      </c>
      <c r="AB1027" s="69">
        <f>STATS1003B!AB1028/1000</f>
        <v>0</v>
      </c>
    </row>
    <row r="1028" spans="1:28" hidden="1" x14ac:dyDescent="0.3">
      <c r="A1028" s="117"/>
      <c r="C1028" s="71" t="s">
        <v>925</v>
      </c>
      <c r="D1028" s="89" t="s">
        <v>1072</v>
      </c>
      <c r="E1028" s="85">
        <f>STATS1003B!E1029/1000</f>
        <v>108.621</v>
      </c>
      <c r="F1028" s="85">
        <f>STATS1003B!F1029/1000</f>
        <v>108.621</v>
      </c>
      <c r="G1028" s="85">
        <f>STATS1003B!G1029/1000</f>
        <v>0</v>
      </c>
      <c r="H1028" s="85">
        <f>STATS1003B!H1029/1000</f>
        <v>108.621</v>
      </c>
      <c r="I1028" s="85">
        <f>STATS1003B!I1029/1000</f>
        <v>0</v>
      </c>
      <c r="J1028" s="85">
        <f>STATS1003B!J1029/1000</f>
        <v>0</v>
      </c>
      <c r="K1028" s="85">
        <f>STATS1003B!K1029/1000</f>
        <v>0</v>
      </c>
      <c r="L1028" s="85">
        <f>STATS1003B!L1029/1000</f>
        <v>0</v>
      </c>
      <c r="M1028" s="85">
        <f>STATS1003B!M1029/1000</f>
        <v>108.621</v>
      </c>
      <c r="N1028" s="85">
        <f>STATS1003B!N1029/1000</f>
        <v>0</v>
      </c>
      <c r="O1028" s="85">
        <f>STATS1003B!O1029/1000</f>
        <v>0</v>
      </c>
      <c r="P1028" s="85">
        <f>STATS1003B!P1029/1000</f>
        <v>0</v>
      </c>
      <c r="Q1028" s="85">
        <f>STATS1003B!Q1029/1000</f>
        <v>0</v>
      </c>
      <c r="R1028" s="85">
        <f>STATS1003B!R1029/1000</f>
        <v>0</v>
      </c>
      <c r="S1028" s="85">
        <f>STATS1003B!S1029/1000</f>
        <v>0</v>
      </c>
      <c r="T1028" s="85">
        <f>STATS1003B!T1029/1000</f>
        <v>0</v>
      </c>
      <c r="U1028" s="85">
        <f>STATS1003B!U1029/1000</f>
        <v>0</v>
      </c>
      <c r="V1028" s="85">
        <f>STATS1003B!V1029/1000</f>
        <v>108.621</v>
      </c>
      <c r="W1028" s="85">
        <f>STATS1003B!W1029/1000</f>
        <v>0</v>
      </c>
      <c r="X1028" s="85">
        <f t="shared" si="126"/>
        <v>108.621</v>
      </c>
      <c r="Y1028" s="85">
        <f>STATS1003B!Y1029/1000</f>
        <v>0</v>
      </c>
      <c r="Z1028" s="85">
        <f t="shared" si="128"/>
        <v>0</v>
      </c>
      <c r="AA1028" s="69">
        <f>STATS1003B!AA1029/1000</f>
        <v>108.621</v>
      </c>
      <c r="AB1028" s="69">
        <f>STATS1003B!AB1029/1000</f>
        <v>0</v>
      </c>
    </row>
    <row r="1029" spans="1:28" hidden="1" x14ac:dyDescent="0.3">
      <c r="A1029" s="117"/>
      <c r="C1029" s="71" t="s">
        <v>932</v>
      </c>
      <c r="D1029" s="89" t="s">
        <v>1072</v>
      </c>
      <c r="E1029" s="85">
        <f>STATS1003B!E1030/1000</f>
        <v>400</v>
      </c>
      <c r="F1029" s="85">
        <f>STATS1003B!F1030/1000</f>
        <v>400</v>
      </c>
      <c r="G1029" s="85">
        <f>STATS1003B!G1030/1000</f>
        <v>0</v>
      </c>
      <c r="H1029" s="85">
        <f>STATS1003B!H1030/1000</f>
        <v>400</v>
      </c>
      <c r="I1029" s="85">
        <f>STATS1003B!I1030/1000</f>
        <v>0</v>
      </c>
      <c r="J1029" s="85">
        <f>STATS1003B!J1030/1000</f>
        <v>0</v>
      </c>
      <c r="K1029" s="85">
        <f>STATS1003B!K1030/1000</f>
        <v>0</v>
      </c>
      <c r="L1029" s="85">
        <f>STATS1003B!L1030/1000</f>
        <v>0</v>
      </c>
      <c r="M1029" s="85">
        <f>STATS1003B!M1030/1000</f>
        <v>400</v>
      </c>
      <c r="N1029" s="85">
        <f>STATS1003B!N1030/1000</f>
        <v>0</v>
      </c>
      <c r="O1029" s="85">
        <f>STATS1003B!O1030/1000</f>
        <v>0</v>
      </c>
      <c r="P1029" s="85">
        <f>STATS1003B!P1030/1000</f>
        <v>0</v>
      </c>
      <c r="Q1029" s="85">
        <f>STATS1003B!Q1030/1000</f>
        <v>0</v>
      </c>
      <c r="R1029" s="85">
        <f>STATS1003B!R1030/1000</f>
        <v>0</v>
      </c>
      <c r="S1029" s="85">
        <f>STATS1003B!S1030/1000</f>
        <v>0</v>
      </c>
      <c r="T1029" s="85">
        <f>STATS1003B!T1030/1000</f>
        <v>0</v>
      </c>
      <c r="U1029" s="85">
        <f>STATS1003B!U1030/1000</f>
        <v>0</v>
      </c>
      <c r="V1029" s="85">
        <f>STATS1003B!V1030/1000</f>
        <v>400</v>
      </c>
      <c r="W1029" s="85">
        <f>STATS1003B!W1030/1000</f>
        <v>0</v>
      </c>
      <c r="X1029" s="85">
        <f t="shared" si="126"/>
        <v>400</v>
      </c>
      <c r="Y1029" s="85">
        <f>STATS1003B!Y1030/1000</f>
        <v>0</v>
      </c>
      <c r="Z1029" s="85">
        <f t="shared" si="128"/>
        <v>0</v>
      </c>
      <c r="AA1029" s="69">
        <f>STATS1003B!AA1030/1000</f>
        <v>400</v>
      </c>
      <c r="AB1029" s="69">
        <f>STATS1003B!AB1030/1000</f>
        <v>0</v>
      </c>
    </row>
    <row r="1030" spans="1:28" hidden="1" x14ac:dyDescent="0.3">
      <c r="A1030" s="117"/>
      <c r="C1030" s="71" t="s">
        <v>924</v>
      </c>
      <c r="D1030" s="89" t="s">
        <v>1072</v>
      </c>
      <c r="E1030" s="85">
        <f>STATS1003B!E1031/1000</f>
        <v>3.1838500000000001</v>
      </c>
      <c r="F1030" s="85">
        <f>STATS1003B!F1031/1000</f>
        <v>0</v>
      </c>
      <c r="G1030" s="85">
        <f>STATS1003B!G1031/1000</f>
        <v>0</v>
      </c>
      <c r="H1030" s="85">
        <f>STATS1003B!H1031/1000</f>
        <v>0</v>
      </c>
      <c r="I1030" s="85">
        <f>STATS1003B!I1031/1000</f>
        <v>0</v>
      </c>
      <c r="J1030" s="85">
        <f>STATS1003B!J1031/1000</f>
        <v>0</v>
      </c>
      <c r="K1030" s="85">
        <f>STATS1003B!K1031/1000</f>
        <v>0</v>
      </c>
      <c r="L1030" s="85">
        <f>STATS1003B!L1031/1000</f>
        <v>0</v>
      </c>
      <c r="M1030" s="85">
        <f>STATS1003B!M1031/1000</f>
        <v>0</v>
      </c>
      <c r="N1030" s="85">
        <f>STATS1003B!N1031/1000</f>
        <v>3.1838500000000001</v>
      </c>
      <c r="O1030" s="85">
        <f>STATS1003B!O1031/1000</f>
        <v>0</v>
      </c>
      <c r="P1030" s="85">
        <f>STATS1003B!P1031/1000</f>
        <v>3.1838500000000001</v>
      </c>
      <c r="Q1030" s="85">
        <f>STATS1003B!Q1031/1000</f>
        <v>0</v>
      </c>
      <c r="R1030" s="85">
        <f>STATS1003B!R1031/1000</f>
        <v>0</v>
      </c>
      <c r="S1030" s="85">
        <f>STATS1003B!S1031/1000</f>
        <v>0</v>
      </c>
      <c r="T1030" s="85">
        <f>STATS1003B!T1031/1000</f>
        <v>0</v>
      </c>
      <c r="U1030" s="85">
        <f>STATS1003B!U1031/1000</f>
        <v>3.1838500000000001</v>
      </c>
      <c r="V1030" s="85">
        <f>STATS1003B!V1031/1000</f>
        <v>3.1838500000000001</v>
      </c>
      <c r="W1030" s="85">
        <f>STATS1003B!W1031/1000</f>
        <v>0</v>
      </c>
      <c r="X1030" s="85">
        <f t="shared" si="126"/>
        <v>3.1838500000000001</v>
      </c>
      <c r="Y1030" s="85">
        <f>STATS1003B!Y1031/1000</f>
        <v>0</v>
      </c>
      <c r="Z1030" s="85">
        <f t="shared" si="128"/>
        <v>0</v>
      </c>
      <c r="AA1030" s="69">
        <f>STATS1003B!AA1031/1000</f>
        <v>3.1838500000000001</v>
      </c>
      <c r="AB1030" s="69">
        <f>STATS1003B!AB1031/1000</f>
        <v>0</v>
      </c>
    </row>
    <row r="1031" spans="1:28" hidden="1" x14ac:dyDescent="0.3">
      <c r="A1031" s="117"/>
      <c r="C1031" s="71" t="s">
        <v>57</v>
      </c>
      <c r="D1031" s="89" t="s">
        <v>61</v>
      </c>
      <c r="E1031" s="85">
        <f>STATS1003B!E1032/1000</f>
        <v>564</v>
      </c>
      <c r="F1031" s="85">
        <f>STATS1003B!F1032/1000</f>
        <v>564</v>
      </c>
      <c r="G1031" s="85">
        <f>STATS1003B!G1032/1000</f>
        <v>0</v>
      </c>
      <c r="H1031" s="85">
        <f>STATS1003B!H1032/1000</f>
        <v>564</v>
      </c>
      <c r="I1031" s="85">
        <f>STATS1003B!I1032/1000</f>
        <v>564</v>
      </c>
      <c r="J1031" s="85">
        <f>STATS1003B!J1032/1000</f>
        <v>564</v>
      </c>
      <c r="K1031" s="85">
        <f>STATS1003B!K1032/1000</f>
        <v>0</v>
      </c>
      <c r="L1031" s="85">
        <f>STATS1003B!L1032/1000</f>
        <v>0</v>
      </c>
      <c r="M1031" s="85">
        <f>STATS1003B!M1032/1000</f>
        <v>564</v>
      </c>
      <c r="N1031" s="85">
        <f>STATS1003B!N1032/1000</f>
        <v>0</v>
      </c>
      <c r="O1031" s="85">
        <f>STATS1003B!O1032/1000</f>
        <v>0</v>
      </c>
      <c r="P1031" s="85">
        <f>STATS1003B!P1032/1000</f>
        <v>0</v>
      </c>
      <c r="Q1031" s="85">
        <f>STATS1003B!Q1032/1000</f>
        <v>0</v>
      </c>
      <c r="R1031" s="85">
        <f>STATS1003B!R1032/1000</f>
        <v>0</v>
      </c>
      <c r="S1031" s="85">
        <f>STATS1003B!S1032/1000</f>
        <v>0</v>
      </c>
      <c r="T1031" s="85">
        <f>STATS1003B!T1032/1000</f>
        <v>0</v>
      </c>
      <c r="U1031" s="85">
        <f>STATS1003B!U1032/1000</f>
        <v>0</v>
      </c>
      <c r="V1031" s="85">
        <f>STATS1003B!V1032/1000</f>
        <v>564</v>
      </c>
      <c r="W1031" s="85">
        <f>STATS1003B!W1032/1000</f>
        <v>0</v>
      </c>
      <c r="X1031" s="85">
        <f t="shared" si="126"/>
        <v>564</v>
      </c>
      <c r="Y1031" s="85">
        <f>STATS1003B!Y1032/1000</f>
        <v>0</v>
      </c>
      <c r="Z1031" s="85">
        <f t="shared" si="128"/>
        <v>0</v>
      </c>
      <c r="AA1031" s="69">
        <f>STATS1003B!AA1032/1000</f>
        <v>564</v>
      </c>
      <c r="AB1031" s="69">
        <f>STATS1003B!AB1032/1000</f>
        <v>0</v>
      </c>
    </row>
    <row r="1032" spans="1:28" hidden="1" x14ac:dyDescent="0.3">
      <c r="A1032" s="117"/>
      <c r="E1032" s="86" t="s">
        <v>29</v>
      </c>
      <c r="F1032" s="86" t="s">
        <v>29</v>
      </c>
      <c r="G1032" s="86" t="s">
        <v>29</v>
      </c>
      <c r="H1032" s="86" t="s">
        <v>29</v>
      </c>
      <c r="I1032" s="86" t="s">
        <v>29</v>
      </c>
      <c r="J1032" s="86" t="s">
        <v>29</v>
      </c>
      <c r="K1032" s="86" t="s">
        <v>29</v>
      </c>
      <c r="L1032" s="86" t="s">
        <v>29</v>
      </c>
      <c r="M1032" s="86" t="s">
        <v>29</v>
      </c>
      <c r="N1032" s="86" t="s">
        <v>29</v>
      </c>
      <c r="O1032" s="86" t="s">
        <v>29</v>
      </c>
      <c r="P1032" s="86" t="s">
        <v>29</v>
      </c>
      <c r="Q1032" s="86" t="s">
        <v>29</v>
      </c>
      <c r="R1032" s="86" t="s">
        <v>29</v>
      </c>
      <c r="S1032" s="86" t="s">
        <v>29</v>
      </c>
      <c r="T1032" s="86" t="s">
        <v>29</v>
      </c>
      <c r="U1032" s="86" t="s">
        <v>29</v>
      </c>
      <c r="V1032" s="86" t="s">
        <v>29</v>
      </c>
      <c r="W1032" s="86" t="s">
        <v>29</v>
      </c>
      <c r="X1032" s="85" t="e">
        <f t="shared" si="126"/>
        <v>#VALUE!</v>
      </c>
      <c r="Y1032" s="86" t="s">
        <v>29</v>
      </c>
      <c r="Z1032" s="85" t="e">
        <f t="shared" si="128"/>
        <v>#VALUE!</v>
      </c>
      <c r="AA1032" s="115" t="s">
        <v>29</v>
      </c>
      <c r="AB1032" s="115" t="s">
        <v>29</v>
      </c>
    </row>
    <row r="1033" spans="1:28" x14ac:dyDescent="0.3">
      <c r="A1033" s="116">
        <v>47</v>
      </c>
      <c r="B1033" s="68" t="s">
        <v>230</v>
      </c>
      <c r="E1033" s="85">
        <f>178914870.06/1000</f>
        <v>178914.87006000002</v>
      </c>
      <c r="F1033" s="85">
        <f t="shared" ref="F1033:AB1033" si="130">SUM(F1017:F1031)</f>
        <v>16959.364000000001</v>
      </c>
      <c r="G1033" s="85">
        <f t="shared" si="130"/>
        <v>0</v>
      </c>
      <c r="H1033" s="85">
        <f>143280825.38/1000</f>
        <v>143280.82537999999</v>
      </c>
      <c r="I1033" s="85">
        <f t="shared" si="130"/>
        <v>564</v>
      </c>
      <c r="J1033" s="85">
        <f t="shared" si="130"/>
        <v>564</v>
      </c>
      <c r="K1033" s="85">
        <f t="shared" si="130"/>
        <v>0</v>
      </c>
      <c r="L1033" s="85">
        <f t="shared" si="130"/>
        <v>0</v>
      </c>
      <c r="M1033" s="85">
        <f t="shared" si="130"/>
        <v>16959.364000000001</v>
      </c>
      <c r="N1033" s="85">
        <f t="shared" si="130"/>
        <v>35634.044679999999</v>
      </c>
      <c r="O1033" s="85">
        <f t="shared" si="130"/>
        <v>0</v>
      </c>
      <c r="P1033" s="85">
        <f>35634044/1000</f>
        <v>35634.044000000002</v>
      </c>
      <c r="Q1033" s="85">
        <f t="shared" si="130"/>
        <v>0</v>
      </c>
      <c r="R1033" s="85">
        <f t="shared" si="130"/>
        <v>0</v>
      </c>
      <c r="S1033" s="85">
        <f t="shared" si="130"/>
        <v>0</v>
      </c>
      <c r="T1033" s="85">
        <f t="shared" si="130"/>
        <v>0</v>
      </c>
      <c r="U1033" s="85">
        <f t="shared" si="130"/>
        <v>35634.044679999999</v>
      </c>
      <c r="V1033" s="85">
        <f t="shared" si="130"/>
        <v>52593.40868</v>
      </c>
      <c r="W1033" s="85">
        <f t="shared" si="130"/>
        <v>0</v>
      </c>
      <c r="X1033" s="85">
        <f>+H1033+P1033</f>
        <v>178914.86937999999</v>
      </c>
      <c r="Y1033" s="85">
        <f t="shared" si="130"/>
        <v>0</v>
      </c>
      <c r="Z1033" s="85">
        <f t="shared" si="128"/>
        <v>6.800000264775008E-4</v>
      </c>
      <c r="AA1033" s="69">
        <f t="shared" si="130"/>
        <v>52593.40868</v>
      </c>
      <c r="AB1033" s="69">
        <f t="shared" si="130"/>
        <v>0</v>
      </c>
    </row>
    <row r="1034" spans="1:28" hidden="1" x14ac:dyDescent="0.3">
      <c r="A1034" s="117"/>
      <c r="E1034" s="86" t="s">
        <v>29</v>
      </c>
      <c r="F1034" s="86" t="s">
        <v>29</v>
      </c>
      <c r="G1034" s="86" t="s">
        <v>29</v>
      </c>
      <c r="H1034" s="86" t="s">
        <v>29</v>
      </c>
      <c r="I1034" s="86" t="s">
        <v>29</v>
      </c>
      <c r="J1034" s="86" t="s">
        <v>29</v>
      </c>
      <c r="K1034" s="86" t="s">
        <v>29</v>
      </c>
      <c r="L1034" s="86" t="s">
        <v>29</v>
      </c>
      <c r="M1034" s="86" t="s">
        <v>29</v>
      </c>
      <c r="N1034" s="86" t="s">
        <v>29</v>
      </c>
      <c r="O1034" s="86" t="s">
        <v>29</v>
      </c>
      <c r="P1034" s="86" t="s">
        <v>29</v>
      </c>
      <c r="Q1034" s="86" t="s">
        <v>29</v>
      </c>
      <c r="R1034" s="86" t="s">
        <v>29</v>
      </c>
      <c r="S1034" s="86" t="s">
        <v>29</v>
      </c>
      <c r="T1034" s="86" t="s">
        <v>29</v>
      </c>
      <c r="U1034" s="86" t="s">
        <v>29</v>
      </c>
      <c r="V1034" s="86" t="s">
        <v>29</v>
      </c>
      <c r="W1034" s="86" t="s">
        <v>29</v>
      </c>
      <c r="X1034" s="85" t="e">
        <f t="shared" si="126"/>
        <v>#VALUE!</v>
      </c>
      <c r="Y1034" s="86" t="s">
        <v>29</v>
      </c>
      <c r="Z1034" s="85" t="e">
        <f t="shared" si="128"/>
        <v>#VALUE!</v>
      </c>
      <c r="AA1034" s="115" t="s">
        <v>29</v>
      </c>
      <c r="AB1034" s="115" t="s">
        <v>29</v>
      </c>
    </row>
    <row r="1035" spans="1:28" hidden="1" x14ac:dyDescent="0.3">
      <c r="A1035" s="105"/>
      <c r="E1035" s="84"/>
      <c r="F1035" s="84"/>
      <c r="G1035" s="84"/>
      <c r="H1035" s="84"/>
      <c r="I1035" s="84"/>
      <c r="J1035" s="84"/>
      <c r="K1035" s="84"/>
      <c r="L1035" s="84"/>
      <c r="M1035" s="84"/>
      <c r="N1035" s="84"/>
      <c r="O1035" s="84"/>
      <c r="P1035" s="84"/>
      <c r="Q1035" s="84"/>
      <c r="R1035" s="84"/>
      <c r="S1035" s="84"/>
      <c r="T1035" s="84"/>
      <c r="U1035" s="84"/>
      <c r="V1035" s="84"/>
      <c r="W1035" s="84"/>
      <c r="X1035" s="85">
        <f t="shared" si="126"/>
        <v>0</v>
      </c>
      <c r="Y1035" s="84"/>
      <c r="Z1035" s="85">
        <f t="shared" si="128"/>
        <v>0</v>
      </c>
    </row>
    <row r="1036" spans="1:28" hidden="1" x14ac:dyDescent="0.3">
      <c r="A1036" s="117"/>
      <c r="C1036" s="68" t="s">
        <v>172</v>
      </c>
      <c r="D1036" s="145" t="s">
        <v>166</v>
      </c>
      <c r="E1036" s="85">
        <f>STATS1003B!E1037/1000</f>
        <v>1609.847</v>
      </c>
      <c r="F1036" s="85">
        <f>STATS1003B!F1037/1000</f>
        <v>1609.847</v>
      </c>
      <c r="G1036" s="85">
        <f>STATS1003B!G1037/1000</f>
        <v>0</v>
      </c>
      <c r="H1036" s="85">
        <f>STATS1003B!H1037/1000</f>
        <v>1609.847</v>
      </c>
      <c r="I1036" s="85">
        <f>STATS1003B!I1037/1000</f>
        <v>0</v>
      </c>
      <c r="J1036" s="85">
        <f>STATS1003B!J1037/1000</f>
        <v>0</v>
      </c>
      <c r="K1036" s="85">
        <f>STATS1003B!K1037/1000</f>
        <v>0</v>
      </c>
      <c r="L1036" s="85">
        <f>STATS1003B!L1037/1000</f>
        <v>0</v>
      </c>
      <c r="M1036" s="85">
        <f>STATS1003B!M1037/1000</f>
        <v>1609.847</v>
      </c>
      <c r="N1036" s="85">
        <f>STATS1003B!N1037/1000</f>
        <v>0</v>
      </c>
      <c r="O1036" s="85">
        <f>STATS1003B!O1037/1000</f>
        <v>0</v>
      </c>
      <c r="P1036" s="85">
        <f>STATS1003B!P1037/1000</f>
        <v>0</v>
      </c>
      <c r="Q1036" s="85">
        <f>STATS1003B!Q1037/1000</f>
        <v>0</v>
      </c>
      <c r="R1036" s="85">
        <f>STATS1003B!R1037/1000</f>
        <v>0</v>
      </c>
      <c r="S1036" s="85">
        <f>STATS1003B!S1037/1000</f>
        <v>0</v>
      </c>
      <c r="T1036" s="85">
        <f>STATS1003B!T1037/1000</f>
        <v>0</v>
      </c>
      <c r="U1036" s="85">
        <f>STATS1003B!U1037/1000</f>
        <v>0</v>
      </c>
      <c r="V1036" s="85">
        <f>STATS1003B!V1037/1000</f>
        <v>1609.847</v>
      </c>
      <c r="W1036" s="85">
        <f>STATS1003B!W1037/1000</f>
        <v>0</v>
      </c>
      <c r="X1036" s="85">
        <f t="shared" si="126"/>
        <v>1609.847</v>
      </c>
      <c r="Y1036" s="85">
        <f>STATS1003B!Y1037/1000</f>
        <v>0</v>
      </c>
      <c r="Z1036" s="85">
        <f t="shared" si="128"/>
        <v>0</v>
      </c>
      <c r="AA1036" s="69">
        <f>STATS1003B!AA1037/1000</f>
        <v>1609.847</v>
      </c>
      <c r="AB1036" s="69">
        <f>STATS1003B!AB1037/1000</f>
        <v>0</v>
      </c>
    </row>
    <row r="1037" spans="1:28" hidden="1" x14ac:dyDescent="0.3">
      <c r="A1037" s="117"/>
      <c r="C1037" s="68" t="s">
        <v>55</v>
      </c>
      <c r="D1037" s="145" t="s">
        <v>99</v>
      </c>
      <c r="E1037" s="85">
        <f>STATS1003B!E1038/1000</f>
        <v>20755.785250000001</v>
      </c>
      <c r="F1037" s="85">
        <f>STATS1003B!F1038/1000</f>
        <v>0</v>
      </c>
      <c r="G1037" s="85">
        <f>STATS1003B!G1038/1000</f>
        <v>0</v>
      </c>
      <c r="H1037" s="85">
        <f>STATS1003B!H1038/1000</f>
        <v>0</v>
      </c>
      <c r="I1037" s="85">
        <f>STATS1003B!I1038/1000</f>
        <v>0</v>
      </c>
      <c r="J1037" s="85">
        <f>STATS1003B!J1038/1000</f>
        <v>0</v>
      </c>
      <c r="K1037" s="85">
        <f>STATS1003B!K1038/1000</f>
        <v>0</v>
      </c>
      <c r="L1037" s="85">
        <f>STATS1003B!L1038/1000</f>
        <v>0</v>
      </c>
      <c r="M1037" s="85">
        <f>STATS1003B!M1038/1000</f>
        <v>0</v>
      </c>
      <c r="N1037" s="85">
        <f>STATS1003B!N1038/1000</f>
        <v>20755.785250000001</v>
      </c>
      <c r="O1037" s="85">
        <f>STATS1003B!O1038/1000</f>
        <v>0</v>
      </c>
      <c r="P1037" s="85">
        <f>STATS1003B!P1038/1000</f>
        <v>20755.785250000001</v>
      </c>
      <c r="Q1037" s="85">
        <f>STATS1003B!Q1038/1000</f>
        <v>0</v>
      </c>
      <c r="R1037" s="85">
        <f>STATS1003B!R1038/1000</f>
        <v>0</v>
      </c>
      <c r="S1037" s="85">
        <f>STATS1003B!S1038/1000</f>
        <v>0</v>
      </c>
      <c r="T1037" s="85">
        <f>STATS1003B!T1038/1000</f>
        <v>0</v>
      </c>
      <c r="U1037" s="85">
        <f>STATS1003B!U1038/1000</f>
        <v>20755.785250000001</v>
      </c>
      <c r="V1037" s="85">
        <f>STATS1003B!V1038/1000</f>
        <v>20755.785250000001</v>
      </c>
      <c r="W1037" s="85">
        <f>STATS1003B!W1038/1000</f>
        <v>0</v>
      </c>
      <c r="X1037" s="85">
        <f t="shared" si="126"/>
        <v>20755.785250000001</v>
      </c>
      <c r="Y1037" s="85">
        <f>STATS1003B!Y1038/1000</f>
        <v>0</v>
      </c>
      <c r="Z1037" s="85">
        <f t="shared" si="128"/>
        <v>0</v>
      </c>
      <c r="AA1037" s="69">
        <f>STATS1003B!AA1038/1000</f>
        <v>20755.785250000001</v>
      </c>
      <c r="AB1037" s="69">
        <f>STATS1003B!AB1038/1000</f>
        <v>0</v>
      </c>
    </row>
    <row r="1038" spans="1:28" hidden="1" x14ac:dyDescent="0.3">
      <c r="A1038" s="117"/>
      <c r="C1038" s="68" t="s">
        <v>57</v>
      </c>
      <c r="D1038" s="145" t="s">
        <v>79</v>
      </c>
      <c r="E1038" s="85">
        <f>STATS1003B!E1039/1000</f>
        <v>3660.1525499999998</v>
      </c>
      <c r="F1038" s="85">
        <f>STATS1003B!F1039/1000</f>
        <v>1929.4341399999998</v>
      </c>
      <c r="G1038" s="85">
        <f>STATS1003B!G1039/1000</f>
        <v>0</v>
      </c>
      <c r="H1038" s="85">
        <f>STATS1003B!H1039/1000</f>
        <v>1929.4341399999998</v>
      </c>
      <c r="I1038" s="85">
        <f>STATS1003B!I1039/1000</f>
        <v>0</v>
      </c>
      <c r="J1038" s="85">
        <f>STATS1003B!J1039/1000</f>
        <v>0</v>
      </c>
      <c r="K1038" s="85">
        <f>STATS1003B!K1039/1000</f>
        <v>0</v>
      </c>
      <c r="L1038" s="85">
        <f>STATS1003B!L1039/1000</f>
        <v>0</v>
      </c>
      <c r="M1038" s="85">
        <f>STATS1003B!M1039/1000</f>
        <v>1929.4341399999998</v>
      </c>
      <c r="N1038" s="85">
        <f>STATS1003B!N1039/1000</f>
        <v>1730.7184099999999</v>
      </c>
      <c r="O1038" s="85">
        <f>STATS1003B!O1039/1000</f>
        <v>0</v>
      </c>
      <c r="P1038" s="85">
        <f>STATS1003B!P1039/1000</f>
        <v>1730.7184099999999</v>
      </c>
      <c r="Q1038" s="85">
        <f>STATS1003B!Q1039/1000</f>
        <v>0</v>
      </c>
      <c r="R1038" s="85">
        <f>STATS1003B!R1039/1000</f>
        <v>0</v>
      </c>
      <c r="S1038" s="85">
        <f>STATS1003B!S1039/1000</f>
        <v>0</v>
      </c>
      <c r="T1038" s="85">
        <f>STATS1003B!T1039/1000</f>
        <v>0</v>
      </c>
      <c r="U1038" s="85">
        <f>STATS1003B!U1039/1000</f>
        <v>1730.7184099999999</v>
      </c>
      <c r="V1038" s="85">
        <f>STATS1003B!V1039/1000</f>
        <v>3660.1525499999998</v>
      </c>
      <c r="W1038" s="85">
        <f>STATS1003B!W1039/1000</f>
        <v>0</v>
      </c>
      <c r="X1038" s="85">
        <f t="shared" si="126"/>
        <v>3660.1525499999998</v>
      </c>
      <c r="Y1038" s="85">
        <f>STATS1003B!Y1039/1000</f>
        <v>0</v>
      </c>
      <c r="Z1038" s="85">
        <f t="shared" si="128"/>
        <v>0</v>
      </c>
      <c r="AA1038" s="69">
        <f>STATS1003B!AA1039/1000</f>
        <v>3660.1525499999998</v>
      </c>
      <c r="AB1038" s="69">
        <f>STATS1003B!AB1039/1000</f>
        <v>0</v>
      </c>
    </row>
    <row r="1039" spans="1:28" hidden="1" x14ac:dyDescent="0.3">
      <c r="A1039" s="117"/>
      <c r="C1039" s="68" t="s">
        <v>53</v>
      </c>
      <c r="D1039" s="145" t="s">
        <v>68</v>
      </c>
      <c r="E1039" s="85">
        <f>STATS1003B!E1040/1000</f>
        <v>1953.989</v>
      </c>
      <c r="F1039" s="85">
        <f>STATS1003B!F1040/1000</f>
        <v>0</v>
      </c>
      <c r="G1039" s="85">
        <f>STATS1003B!G1040/1000</f>
        <v>0</v>
      </c>
      <c r="H1039" s="85">
        <f>STATS1003B!H1040/1000</f>
        <v>0</v>
      </c>
      <c r="I1039" s="85">
        <f>STATS1003B!I1040/1000</f>
        <v>0</v>
      </c>
      <c r="J1039" s="85">
        <f>STATS1003B!J1040/1000</f>
        <v>0</v>
      </c>
      <c r="K1039" s="85">
        <f>STATS1003B!K1040/1000</f>
        <v>0</v>
      </c>
      <c r="L1039" s="85">
        <f>STATS1003B!L1040/1000</f>
        <v>0</v>
      </c>
      <c r="M1039" s="85">
        <f>STATS1003B!M1040/1000</f>
        <v>0</v>
      </c>
      <c r="N1039" s="85">
        <f>STATS1003B!N1040/1000</f>
        <v>1953.989</v>
      </c>
      <c r="O1039" s="85">
        <f>STATS1003B!O1040/1000</f>
        <v>0</v>
      </c>
      <c r="P1039" s="85">
        <f>STATS1003B!P1040/1000</f>
        <v>1953.989</v>
      </c>
      <c r="Q1039" s="85">
        <f>STATS1003B!Q1040/1000</f>
        <v>0</v>
      </c>
      <c r="R1039" s="85">
        <f>STATS1003B!R1040/1000</f>
        <v>0</v>
      </c>
      <c r="S1039" s="85">
        <f>STATS1003B!S1040/1000</f>
        <v>0</v>
      </c>
      <c r="T1039" s="85">
        <f>STATS1003B!T1040/1000</f>
        <v>0</v>
      </c>
      <c r="U1039" s="85">
        <f>STATS1003B!U1040/1000</f>
        <v>1953.989</v>
      </c>
      <c r="V1039" s="85">
        <f>STATS1003B!V1040/1000</f>
        <v>1953.989</v>
      </c>
      <c r="W1039" s="85">
        <f>STATS1003B!W1040/1000</f>
        <v>0</v>
      </c>
      <c r="X1039" s="85">
        <f t="shared" si="126"/>
        <v>1953.989</v>
      </c>
      <c r="Y1039" s="85">
        <f>STATS1003B!Y1040/1000</f>
        <v>0</v>
      </c>
      <c r="Z1039" s="85">
        <f t="shared" si="128"/>
        <v>0</v>
      </c>
      <c r="AA1039" s="69">
        <f>STATS1003B!AA1040/1000</f>
        <v>1953.989</v>
      </c>
      <c r="AB1039" s="69">
        <f>STATS1003B!AB1040/1000</f>
        <v>0</v>
      </c>
    </row>
    <row r="1040" spans="1:28" hidden="1" x14ac:dyDescent="0.3">
      <c r="A1040" s="117"/>
      <c r="C1040" s="68" t="s">
        <v>192</v>
      </c>
      <c r="D1040" s="145" t="s">
        <v>54</v>
      </c>
      <c r="E1040" s="85">
        <f>STATS1003B!E1041/1000</f>
        <v>955.34561999999994</v>
      </c>
      <c r="F1040" s="85">
        <f>STATS1003B!F1041/1000</f>
        <v>0</v>
      </c>
      <c r="G1040" s="85">
        <f>STATS1003B!G1041/1000</f>
        <v>0</v>
      </c>
      <c r="H1040" s="85">
        <f>STATS1003B!H1041/1000</f>
        <v>0</v>
      </c>
      <c r="I1040" s="85">
        <f>STATS1003B!I1041/1000</f>
        <v>0</v>
      </c>
      <c r="J1040" s="85">
        <f>STATS1003B!J1041/1000</f>
        <v>0</v>
      </c>
      <c r="K1040" s="85">
        <f>STATS1003B!K1041/1000</f>
        <v>0</v>
      </c>
      <c r="L1040" s="85">
        <f>STATS1003B!L1041/1000</f>
        <v>0</v>
      </c>
      <c r="M1040" s="85">
        <f>STATS1003B!M1041/1000</f>
        <v>0</v>
      </c>
      <c r="N1040" s="85">
        <f>STATS1003B!N1041/1000</f>
        <v>955.34561999999994</v>
      </c>
      <c r="O1040" s="85">
        <f>STATS1003B!O1041/1000</f>
        <v>0</v>
      </c>
      <c r="P1040" s="85">
        <f>STATS1003B!P1041/1000</f>
        <v>955.34561999999994</v>
      </c>
      <c r="Q1040" s="85">
        <f>STATS1003B!Q1041/1000</f>
        <v>0</v>
      </c>
      <c r="R1040" s="85">
        <f>STATS1003B!R1041/1000</f>
        <v>0</v>
      </c>
      <c r="S1040" s="85">
        <f>STATS1003B!S1041/1000</f>
        <v>0</v>
      </c>
      <c r="T1040" s="85">
        <f>STATS1003B!T1041/1000</f>
        <v>0</v>
      </c>
      <c r="U1040" s="85">
        <f>STATS1003B!U1041/1000</f>
        <v>955.34561999999994</v>
      </c>
      <c r="V1040" s="85">
        <f>STATS1003B!V1041/1000</f>
        <v>955.34561999999994</v>
      </c>
      <c r="W1040" s="85">
        <f>STATS1003B!W1041/1000</f>
        <v>0</v>
      </c>
      <c r="X1040" s="85">
        <f t="shared" si="126"/>
        <v>955.34561999999994</v>
      </c>
      <c r="Y1040" s="85">
        <f>STATS1003B!Y1041/1000</f>
        <v>0</v>
      </c>
      <c r="Z1040" s="85">
        <f t="shared" si="128"/>
        <v>0</v>
      </c>
      <c r="AA1040" s="69">
        <f>STATS1003B!AA1041/1000</f>
        <v>955.34561999999994</v>
      </c>
      <c r="AB1040" s="69">
        <f>STATS1003B!AB1041/1000</f>
        <v>0</v>
      </c>
    </row>
    <row r="1041" spans="1:28" hidden="1" x14ac:dyDescent="0.3">
      <c r="A1041" s="117"/>
      <c r="C1041" s="68" t="s">
        <v>225</v>
      </c>
      <c r="D1041" s="145" t="s">
        <v>85</v>
      </c>
      <c r="E1041" s="85">
        <f>STATS1003B!E1042/1000</f>
        <v>160</v>
      </c>
      <c r="F1041" s="85">
        <f>STATS1003B!F1042/1000</f>
        <v>160</v>
      </c>
      <c r="G1041" s="85">
        <f>STATS1003B!G1042/1000</f>
        <v>0</v>
      </c>
      <c r="H1041" s="85">
        <f>STATS1003B!H1042/1000</f>
        <v>160</v>
      </c>
      <c r="I1041" s="85">
        <f>STATS1003B!I1042/1000</f>
        <v>0</v>
      </c>
      <c r="J1041" s="85">
        <f>STATS1003B!J1042/1000</f>
        <v>0</v>
      </c>
      <c r="K1041" s="85">
        <f>STATS1003B!K1042/1000</f>
        <v>0</v>
      </c>
      <c r="L1041" s="85">
        <f>STATS1003B!L1042/1000</f>
        <v>0</v>
      </c>
      <c r="M1041" s="85">
        <f>STATS1003B!M1042/1000</f>
        <v>160</v>
      </c>
      <c r="N1041" s="85">
        <f>STATS1003B!N1042/1000</f>
        <v>0</v>
      </c>
      <c r="O1041" s="85">
        <f>STATS1003B!O1042/1000</f>
        <v>0</v>
      </c>
      <c r="P1041" s="85">
        <f>STATS1003B!P1042/1000</f>
        <v>0</v>
      </c>
      <c r="Q1041" s="85">
        <f>STATS1003B!Q1042/1000</f>
        <v>0</v>
      </c>
      <c r="R1041" s="85">
        <f>STATS1003B!R1042/1000</f>
        <v>0</v>
      </c>
      <c r="S1041" s="85">
        <f>STATS1003B!S1042/1000</f>
        <v>0</v>
      </c>
      <c r="T1041" s="85">
        <f>STATS1003B!T1042/1000</f>
        <v>0</v>
      </c>
      <c r="U1041" s="85">
        <f>STATS1003B!U1042/1000</f>
        <v>0</v>
      </c>
      <c r="V1041" s="85">
        <f>STATS1003B!V1042/1000</f>
        <v>160</v>
      </c>
      <c r="W1041" s="85">
        <f>STATS1003B!W1042/1000</f>
        <v>0</v>
      </c>
      <c r="X1041" s="85">
        <f t="shared" si="126"/>
        <v>160</v>
      </c>
      <c r="Y1041" s="85">
        <f>STATS1003B!Y1042/1000</f>
        <v>0</v>
      </c>
      <c r="Z1041" s="85">
        <f t="shared" si="128"/>
        <v>0</v>
      </c>
      <c r="AA1041" s="69">
        <f>STATS1003B!AA1042/1000</f>
        <v>160</v>
      </c>
      <c r="AB1041" s="69">
        <f>STATS1003B!AB1042/1000</f>
        <v>0</v>
      </c>
    </row>
    <row r="1042" spans="1:28" hidden="1" x14ac:dyDescent="0.3">
      <c r="A1042" s="117"/>
      <c r="C1042" s="68" t="s">
        <v>241</v>
      </c>
      <c r="D1042" s="145" t="s">
        <v>128</v>
      </c>
      <c r="E1042" s="85">
        <f>STATS1003B!E1043/1000</f>
        <v>1000</v>
      </c>
      <c r="F1042" s="85">
        <f>STATS1003B!F1043/1000</f>
        <v>1000</v>
      </c>
      <c r="G1042" s="85">
        <f>STATS1003B!G1043/1000</f>
        <v>0</v>
      </c>
      <c r="H1042" s="85">
        <f>STATS1003B!H1043/1000</f>
        <v>1000</v>
      </c>
      <c r="I1042" s="85">
        <f>STATS1003B!I1043/1000</f>
        <v>0</v>
      </c>
      <c r="J1042" s="85">
        <f>STATS1003B!J1043/1000</f>
        <v>0</v>
      </c>
      <c r="K1042" s="85">
        <f>STATS1003B!K1043/1000</f>
        <v>0</v>
      </c>
      <c r="L1042" s="85">
        <f>STATS1003B!L1043/1000</f>
        <v>0</v>
      </c>
      <c r="M1042" s="85">
        <f>STATS1003B!M1043/1000</f>
        <v>1000</v>
      </c>
      <c r="N1042" s="85">
        <f>STATS1003B!N1043/1000</f>
        <v>0</v>
      </c>
      <c r="O1042" s="85">
        <f>STATS1003B!O1043/1000</f>
        <v>0</v>
      </c>
      <c r="P1042" s="85">
        <f>STATS1003B!P1043/1000</f>
        <v>0</v>
      </c>
      <c r="Q1042" s="85">
        <f>STATS1003B!Q1043/1000</f>
        <v>0</v>
      </c>
      <c r="R1042" s="85">
        <f>STATS1003B!R1043/1000</f>
        <v>0</v>
      </c>
      <c r="S1042" s="85">
        <f>STATS1003B!S1043/1000</f>
        <v>0</v>
      </c>
      <c r="T1042" s="85">
        <f>STATS1003B!T1043/1000</f>
        <v>0</v>
      </c>
      <c r="U1042" s="85">
        <f>STATS1003B!U1043/1000</f>
        <v>0</v>
      </c>
      <c r="V1042" s="85">
        <f>STATS1003B!V1043/1000</f>
        <v>1000</v>
      </c>
      <c r="W1042" s="85">
        <f>STATS1003B!W1043/1000</f>
        <v>0</v>
      </c>
      <c r="X1042" s="85">
        <f t="shared" si="126"/>
        <v>1000</v>
      </c>
      <c r="Y1042" s="85">
        <f>STATS1003B!Y1043/1000</f>
        <v>0</v>
      </c>
      <c r="Z1042" s="85">
        <f t="shared" si="128"/>
        <v>0</v>
      </c>
      <c r="AA1042" s="69">
        <f>STATS1003B!AA1043/1000</f>
        <v>1000</v>
      </c>
      <c r="AB1042" s="69">
        <f>STATS1003B!AB1043/1000</f>
        <v>0</v>
      </c>
    </row>
    <row r="1043" spans="1:28" hidden="1" x14ac:dyDescent="0.3">
      <c r="A1043" s="117"/>
      <c r="C1043" s="68" t="s">
        <v>57</v>
      </c>
      <c r="D1043" s="145" t="s">
        <v>58</v>
      </c>
      <c r="E1043" s="85">
        <f>STATS1003B!E1044/1000</f>
        <v>2076.5189999999998</v>
      </c>
      <c r="F1043" s="85">
        <f>STATS1003B!F1044/1000</f>
        <v>2076.5189999999998</v>
      </c>
      <c r="G1043" s="85">
        <f>STATS1003B!G1044/1000</f>
        <v>0</v>
      </c>
      <c r="H1043" s="85">
        <f>STATS1003B!H1044/1000</f>
        <v>2076.5189999999998</v>
      </c>
      <c r="I1043" s="85">
        <f>STATS1003B!I1044/1000</f>
        <v>0</v>
      </c>
      <c r="J1043" s="85">
        <f>STATS1003B!J1044/1000</f>
        <v>0</v>
      </c>
      <c r="K1043" s="85">
        <f>STATS1003B!K1044/1000</f>
        <v>0</v>
      </c>
      <c r="L1043" s="85">
        <f>STATS1003B!L1044/1000</f>
        <v>0</v>
      </c>
      <c r="M1043" s="85">
        <f>STATS1003B!M1044/1000</f>
        <v>2076.5189999999998</v>
      </c>
      <c r="N1043" s="85">
        <f>STATS1003B!N1044/1000</f>
        <v>0</v>
      </c>
      <c r="O1043" s="85">
        <f>STATS1003B!O1044/1000</f>
        <v>0</v>
      </c>
      <c r="P1043" s="85">
        <f>STATS1003B!P1044/1000</f>
        <v>0</v>
      </c>
      <c r="Q1043" s="85">
        <f>STATS1003B!Q1044/1000</f>
        <v>0</v>
      </c>
      <c r="R1043" s="85">
        <f>STATS1003B!R1044/1000</f>
        <v>0</v>
      </c>
      <c r="S1043" s="85">
        <f>STATS1003B!S1044/1000</f>
        <v>0</v>
      </c>
      <c r="T1043" s="85">
        <f>STATS1003B!T1044/1000</f>
        <v>0</v>
      </c>
      <c r="U1043" s="85">
        <f>STATS1003B!U1044/1000</f>
        <v>0</v>
      </c>
      <c r="V1043" s="85">
        <f>STATS1003B!V1044/1000</f>
        <v>2076.5189999999998</v>
      </c>
      <c r="W1043" s="85">
        <f>STATS1003B!W1044/1000</f>
        <v>0</v>
      </c>
      <c r="X1043" s="85">
        <f t="shared" si="126"/>
        <v>2076.5189999999998</v>
      </c>
      <c r="Y1043" s="85">
        <f>STATS1003B!Y1044/1000</f>
        <v>0</v>
      </c>
      <c r="Z1043" s="85">
        <f t="shared" si="128"/>
        <v>0</v>
      </c>
      <c r="AA1043" s="69">
        <f>STATS1003B!AA1044/1000</f>
        <v>2076.5189999999998</v>
      </c>
      <c r="AB1043" s="69">
        <f>STATS1003B!AB1044/1000</f>
        <v>0</v>
      </c>
    </row>
    <row r="1044" spans="1:28" hidden="1" x14ac:dyDescent="0.3">
      <c r="A1044" s="117"/>
      <c r="C1044" s="68" t="s">
        <v>924</v>
      </c>
      <c r="D1044" s="145"/>
      <c r="E1044" s="85">
        <f>STATS1003B!E1045/1000</f>
        <v>450</v>
      </c>
      <c r="F1044" s="85">
        <f>STATS1003B!F1045/1000</f>
        <v>450</v>
      </c>
      <c r="G1044" s="85">
        <f>STATS1003B!G1045/1000</f>
        <v>0</v>
      </c>
      <c r="H1044" s="85">
        <f>STATS1003B!H1045/1000</f>
        <v>450</v>
      </c>
      <c r="I1044" s="85">
        <f>STATS1003B!I1045/1000</f>
        <v>0</v>
      </c>
      <c r="J1044" s="85">
        <f>STATS1003B!J1045/1000</f>
        <v>0</v>
      </c>
      <c r="K1044" s="85">
        <f>STATS1003B!K1045/1000</f>
        <v>0</v>
      </c>
      <c r="L1044" s="85">
        <f>STATS1003B!L1045/1000</f>
        <v>0</v>
      </c>
      <c r="M1044" s="85">
        <f>STATS1003B!M1045/1000</f>
        <v>450</v>
      </c>
      <c r="N1044" s="85">
        <f>STATS1003B!N1045/1000</f>
        <v>0</v>
      </c>
      <c r="O1044" s="85">
        <f>STATS1003B!O1045/1000</f>
        <v>0</v>
      </c>
      <c r="P1044" s="85">
        <f>STATS1003B!P1045/1000</f>
        <v>0</v>
      </c>
      <c r="Q1044" s="85">
        <f>STATS1003B!Q1045/1000</f>
        <v>0</v>
      </c>
      <c r="R1044" s="85">
        <f>STATS1003B!R1045/1000</f>
        <v>0</v>
      </c>
      <c r="S1044" s="85">
        <f>STATS1003B!S1045/1000</f>
        <v>0</v>
      </c>
      <c r="T1044" s="85">
        <f>STATS1003B!T1045/1000</f>
        <v>0</v>
      </c>
      <c r="U1044" s="85">
        <f>STATS1003B!U1045/1000</f>
        <v>0</v>
      </c>
      <c r="V1044" s="85">
        <f>STATS1003B!V1045/1000</f>
        <v>450</v>
      </c>
      <c r="W1044" s="85">
        <f>STATS1003B!W1045/1000</f>
        <v>0</v>
      </c>
      <c r="X1044" s="85">
        <f t="shared" si="126"/>
        <v>450</v>
      </c>
      <c r="Y1044" s="85">
        <f>STATS1003B!Y1045/1000</f>
        <v>0</v>
      </c>
      <c r="Z1044" s="85">
        <f t="shared" si="128"/>
        <v>0</v>
      </c>
      <c r="AA1044" s="69">
        <f>STATS1003B!AA1045/1000</f>
        <v>450</v>
      </c>
      <c r="AB1044" s="69">
        <f>STATS1003B!AB1045/1000</f>
        <v>0</v>
      </c>
    </row>
    <row r="1045" spans="1:28" hidden="1" x14ac:dyDescent="0.3">
      <c r="A1045" s="117"/>
      <c r="C1045" s="68" t="s">
        <v>930</v>
      </c>
      <c r="D1045" s="90" t="s">
        <v>1072</v>
      </c>
      <c r="E1045" s="85">
        <f>STATS1003B!E1046/1000</f>
        <v>767</v>
      </c>
      <c r="F1045" s="85">
        <f>STATS1003B!F1046/1000</f>
        <v>767</v>
      </c>
      <c r="G1045" s="85">
        <f>STATS1003B!G1046/1000</f>
        <v>0</v>
      </c>
      <c r="H1045" s="85">
        <f>STATS1003B!H1046/1000</f>
        <v>767</v>
      </c>
      <c r="I1045" s="85">
        <f>STATS1003B!I1046/1000</f>
        <v>0</v>
      </c>
      <c r="J1045" s="85">
        <f>STATS1003B!J1046/1000</f>
        <v>0</v>
      </c>
      <c r="K1045" s="85">
        <f>STATS1003B!K1046/1000</f>
        <v>0</v>
      </c>
      <c r="L1045" s="85">
        <f>STATS1003B!L1046/1000</f>
        <v>0</v>
      </c>
      <c r="M1045" s="85">
        <f>STATS1003B!M1046/1000</f>
        <v>767</v>
      </c>
      <c r="N1045" s="85">
        <f>STATS1003B!N1046/1000</f>
        <v>0</v>
      </c>
      <c r="O1045" s="85">
        <f>STATS1003B!O1046/1000</f>
        <v>0</v>
      </c>
      <c r="P1045" s="85">
        <f>STATS1003B!P1046/1000</f>
        <v>0</v>
      </c>
      <c r="Q1045" s="85">
        <f>STATS1003B!Q1046/1000</f>
        <v>0</v>
      </c>
      <c r="R1045" s="85">
        <f>STATS1003B!R1046/1000</f>
        <v>0</v>
      </c>
      <c r="S1045" s="85">
        <f>STATS1003B!S1046/1000</f>
        <v>0</v>
      </c>
      <c r="T1045" s="85">
        <f>STATS1003B!T1046/1000</f>
        <v>0</v>
      </c>
      <c r="U1045" s="85">
        <f>STATS1003B!U1046/1000</f>
        <v>0</v>
      </c>
      <c r="V1045" s="85">
        <f>STATS1003B!V1046/1000</f>
        <v>767</v>
      </c>
      <c r="W1045" s="85">
        <f>STATS1003B!W1046/1000</f>
        <v>0</v>
      </c>
      <c r="X1045" s="85">
        <f t="shared" si="126"/>
        <v>767</v>
      </c>
      <c r="Y1045" s="85">
        <f>STATS1003B!Y1046/1000</f>
        <v>0</v>
      </c>
      <c r="Z1045" s="85">
        <f t="shared" si="128"/>
        <v>0</v>
      </c>
      <c r="AA1045" s="69">
        <f>STATS1003B!AA1046/1000</f>
        <v>767</v>
      </c>
      <c r="AB1045" s="69">
        <f>STATS1003B!AB1046/1000</f>
        <v>0</v>
      </c>
    </row>
    <row r="1046" spans="1:28" hidden="1" x14ac:dyDescent="0.3">
      <c r="A1046" s="117"/>
      <c r="C1046" s="71" t="s">
        <v>109</v>
      </c>
      <c r="D1046" s="88" t="s">
        <v>60</v>
      </c>
      <c r="E1046" s="85">
        <f>STATS1003B!E1047/1000</f>
        <v>2500</v>
      </c>
      <c r="F1046" s="85">
        <f>STATS1003B!F1047/1000</f>
        <v>2500</v>
      </c>
      <c r="G1046" s="85">
        <f>STATS1003B!G1047/1000</f>
        <v>0</v>
      </c>
      <c r="H1046" s="85">
        <f>STATS1003B!H1047/1000</f>
        <v>2500</v>
      </c>
      <c r="I1046" s="85">
        <f>STATS1003B!I1047/1000</f>
        <v>0</v>
      </c>
      <c r="J1046" s="85">
        <f>STATS1003B!J1047/1000</f>
        <v>0</v>
      </c>
      <c r="K1046" s="85">
        <f>STATS1003B!K1047/1000</f>
        <v>0</v>
      </c>
      <c r="L1046" s="85">
        <f>STATS1003B!L1047/1000</f>
        <v>0</v>
      </c>
      <c r="M1046" s="85">
        <f>STATS1003B!M1047/1000</f>
        <v>2500</v>
      </c>
      <c r="N1046" s="85">
        <f>STATS1003B!N1047/1000</f>
        <v>0</v>
      </c>
      <c r="O1046" s="85">
        <f>STATS1003B!O1047/1000</f>
        <v>0</v>
      </c>
      <c r="P1046" s="85">
        <f>STATS1003B!P1047/1000</f>
        <v>0</v>
      </c>
      <c r="Q1046" s="85">
        <f>STATS1003B!Q1047/1000</f>
        <v>0</v>
      </c>
      <c r="R1046" s="85">
        <f>STATS1003B!R1047/1000</f>
        <v>0</v>
      </c>
      <c r="S1046" s="85">
        <f>STATS1003B!S1047/1000</f>
        <v>0</v>
      </c>
      <c r="T1046" s="85">
        <f>STATS1003B!T1047/1000</f>
        <v>0</v>
      </c>
      <c r="U1046" s="85">
        <f>STATS1003B!U1047/1000</f>
        <v>0</v>
      </c>
      <c r="V1046" s="85">
        <f>STATS1003B!V1047/1000</f>
        <v>2500</v>
      </c>
      <c r="W1046" s="85">
        <f>STATS1003B!W1047/1000</f>
        <v>0</v>
      </c>
      <c r="X1046" s="85">
        <f t="shared" si="126"/>
        <v>2500</v>
      </c>
      <c r="Y1046" s="85">
        <f>STATS1003B!Y1047/1000</f>
        <v>0</v>
      </c>
      <c r="Z1046" s="85">
        <f t="shared" si="128"/>
        <v>0</v>
      </c>
      <c r="AA1046" s="69">
        <f>STATS1003B!AA1047/1000</f>
        <v>2500</v>
      </c>
      <c r="AB1046" s="69">
        <f>STATS1003B!AB1047/1000</f>
        <v>0</v>
      </c>
    </row>
    <row r="1047" spans="1:28" hidden="1" x14ac:dyDescent="0.3">
      <c r="A1047" s="117"/>
      <c r="C1047" s="68" t="s">
        <v>57</v>
      </c>
      <c r="D1047" s="145" t="s">
        <v>60</v>
      </c>
      <c r="E1047" s="85">
        <f>STATS1003B!E1048/1000</f>
        <v>1308</v>
      </c>
      <c r="F1047" s="85">
        <f>STATS1003B!F1048/1000</f>
        <v>1308</v>
      </c>
      <c r="G1047" s="85">
        <f>STATS1003B!G1048/1000</f>
        <v>0</v>
      </c>
      <c r="H1047" s="85">
        <f>STATS1003B!H1048/1000</f>
        <v>1308</v>
      </c>
      <c r="I1047" s="85">
        <f>STATS1003B!I1048/1000</f>
        <v>0</v>
      </c>
      <c r="J1047" s="85">
        <f>STATS1003B!J1048/1000</f>
        <v>0</v>
      </c>
      <c r="K1047" s="85">
        <f>STATS1003B!K1048/1000</f>
        <v>0</v>
      </c>
      <c r="L1047" s="85">
        <f>STATS1003B!L1048/1000</f>
        <v>0</v>
      </c>
      <c r="M1047" s="85">
        <f>STATS1003B!M1048/1000</f>
        <v>1308</v>
      </c>
      <c r="N1047" s="85">
        <f>STATS1003B!N1048/1000</f>
        <v>0</v>
      </c>
      <c r="O1047" s="85">
        <f>STATS1003B!O1048/1000</f>
        <v>0</v>
      </c>
      <c r="P1047" s="85">
        <f>STATS1003B!P1048/1000</f>
        <v>0</v>
      </c>
      <c r="Q1047" s="85">
        <f>STATS1003B!Q1048/1000</f>
        <v>0</v>
      </c>
      <c r="R1047" s="85">
        <f>STATS1003B!R1048/1000</f>
        <v>0</v>
      </c>
      <c r="S1047" s="85">
        <f>STATS1003B!S1048/1000</f>
        <v>0</v>
      </c>
      <c r="T1047" s="85">
        <f>STATS1003B!T1048/1000</f>
        <v>0</v>
      </c>
      <c r="U1047" s="85">
        <f>STATS1003B!U1048/1000</f>
        <v>0</v>
      </c>
      <c r="V1047" s="85">
        <f>STATS1003B!V1048/1000</f>
        <v>1308</v>
      </c>
      <c r="W1047" s="85">
        <f>STATS1003B!W1048/1000</f>
        <v>0</v>
      </c>
      <c r="X1047" s="85">
        <f t="shared" si="126"/>
        <v>1308</v>
      </c>
      <c r="Y1047" s="85">
        <f>STATS1003B!Y1048/1000</f>
        <v>0</v>
      </c>
      <c r="Z1047" s="85">
        <f t="shared" si="128"/>
        <v>0</v>
      </c>
      <c r="AA1047" s="69">
        <f>STATS1003B!AA1048/1000</f>
        <v>1308</v>
      </c>
      <c r="AB1047" s="69">
        <f>STATS1003B!AB1048/1000</f>
        <v>0</v>
      </c>
    </row>
    <row r="1048" spans="1:28" hidden="1" x14ac:dyDescent="0.3">
      <c r="A1048" s="117"/>
      <c r="E1048" s="86" t="s">
        <v>29</v>
      </c>
      <c r="F1048" s="86" t="s">
        <v>29</v>
      </c>
      <c r="G1048" s="86" t="s">
        <v>29</v>
      </c>
      <c r="H1048" s="86" t="s">
        <v>29</v>
      </c>
      <c r="I1048" s="86" t="s">
        <v>29</v>
      </c>
      <c r="J1048" s="86" t="s">
        <v>29</v>
      </c>
      <c r="K1048" s="86" t="s">
        <v>29</v>
      </c>
      <c r="L1048" s="86" t="s">
        <v>29</v>
      </c>
      <c r="M1048" s="86" t="s">
        <v>29</v>
      </c>
      <c r="N1048" s="86" t="s">
        <v>29</v>
      </c>
      <c r="O1048" s="86" t="s">
        <v>29</v>
      </c>
      <c r="P1048" s="86" t="s">
        <v>29</v>
      </c>
      <c r="Q1048" s="86" t="s">
        <v>29</v>
      </c>
      <c r="R1048" s="86" t="s">
        <v>29</v>
      </c>
      <c r="S1048" s="86" t="s">
        <v>29</v>
      </c>
      <c r="T1048" s="86" t="s">
        <v>29</v>
      </c>
      <c r="U1048" s="86" t="s">
        <v>29</v>
      </c>
      <c r="V1048" s="86" t="s">
        <v>29</v>
      </c>
      <c r="W1048" s="86" t="s">
        <v>29</v>
      </c>
      <c r="X1048" s="85" t="e">
        <f t="shared" si="126"/>
        <v>#VALUE!</v>
      </c>
      <c r="Y1048" s="86" t="s">
        <v>29</v>
      </c>
      <c r="Z1048" s="85" t="e">
        <f t="shared" si="128"/>
        <v>#VALUE!</v>
      </c>
      <c r="AA1048" s="115" t="s">
        <v>29</v>
      </c>
      <c r="AB1048" s="115" t="s">
        <v>29</v>
      </c>
    </row>
    <row r="1049" spans="1:28" x14ac:dyDescent="0.3">
      <c r="A1049" s="116">
        <v>48</v>
      </c>
      <c r="B1049" s="68" t="s">
        <v>240</v>
      </c>
      <c r="E1049" s="85">
        <f>123160911.91/1000</f>
        <v>123160.91191</v>
      </c>
      <c r="F1049" s="85">
        <f t="shared" ref="F1049:AB1049" si="131">SUM(F1036:F1047)</f>
        <v>11800.800139999999</v>
      </c>
      <c r="G1049" s="85">
        <f t="shared" si="131"/>
        <v>0</v>
      </c>
      <c r="H1049" s="85">
        <f>97765073.63/1000</f>
        <v>97765.073629999999</v>
      </c>
      <c r="I1049" s="85">
        <f t="shared" si="131"/>
        <v>0</v>
      </c>
      <c r="J1049" s="85">
        <f t="shared" si="131"/>
        <v>0</v>
      </c>
      <c r="K1049" s="85">
        <f t="shared" si="131"/>
        <v>0</v>
      </c>
      <c r="L1049" s="85">
        <f t="shared" si="131"/>
        <v>0</v>
      </c>
      <c r="M1049" s="85">
        <f t="shared" si="131"/>
        <v>11800.800139999999</v>
      </c>
      <c r="N1049" s="85">
        <f t="shared" si="131"/>
        <v>25395.838280000004</v>
      </c>
      <c r="O1049" s="85">
        <f t="shared" si="131"/>
        <v>0</v>
      </c>
      <c r="P1049" s="85">
        <f>25395838/1000</f>
        <v>25395.838</v>
      </c>
      <c r="Q1049" s="85">
        <f t="shared" si="131"/>
        <v>0</v>
      </c>
      <c r="R1049" s="85">
        <f t="shared" si="131"/>
        <v>0</v>
      </c>
      <c r="S1049" s="85">
        <f t="shared" si="131"/>
        <v>0</v>
      </c>
      <c r="T1049" s="85">
        <f t="shared" si="131"/>
        <v>0</v>
      </c>
      <c r="U1049" s="85">
        <f t="shared" si="131"/>
        <v>25395.838280000004</v>
      </c>
      <c r="V1049" s="85">
        <f t="shared" si="131"/>
        <v>37196.638420000003</v>
      </c>
      <c r="W1049" s="85">
        <f t="shared" si="131"/>
        <v>0</v>
      </c>
      <c r="X1049" s="85">
        <f t="shared" ref="X1049:X1112" si="132">+H1049+P1049</f>
        <v>123160.91163</v>
      </c>
      <c r="Y1049" s="85">
        <f t="shared" si="131"/>
        <v>0</v>
      </c>
      <c r="Z1049" s="85">
        <f t="shared" si="128"/>
        <v>2.7999999292660505E-4</v>
      </c>
      <c r="AA1049" s="69">
        <f t="shared" si="131"/>
        <v>37196.638420000003</v>
      </c>
      <c r="AB1049" s="69">
        <f t="shared" si="131"/>
        <v>0</v>
      </c>
    </row>
    <row r="1050" spans="1:28" hidden="1" x14ac:dyDescent="0.3">
      <c r="A1050" s="117"/>
      <c r="E1050" s="86" t="s">
        <v>29</v>
      </c>
      <c r="F1050" s="86" t="s">
        <v>29</v>
      </c>
      <c r="G1050" s="86" t="s">
        <v>29</v>
      </c>
      <c r="H1050" s="86" t="s">
        <v>29</v>
      </c>
      <c r="I1050" s="86" t="s">
        <v>29</v>
      </c>
      <c r="J1050" s="86" t="s">
        <v>29</v>
      </c>
      <c r="K1050" s="86" t="s">
        <v>29</v>
      </c>
      <c r="L1050" s="86" t="s">
        <v>29</v>
      </c>
      <c r="M1050" s="86" t="s">
        <v>29</v>
      </c>
      <c r="N1050" s="86" t="s">
        <v>29</v>
      </c>
      <c r="O1050" s="86" t="s">
        <v>29</v>
      </c>
      <c r="P1050" s="86" t="s">
        <v>29</v>
      </c>
      <c r="Q1050" s="86" t="s">
        <v>29</v>
      </c>
      <c r="R1050" s="86" t="s">
        <v>29</v>
      </c>
      <c r="S1050" s="86" t="s">
        <v>29</v>
      </c>
      <c r="T1050" s="86" t="s">
        <v>29</v>
      </c>
      <c r="U1050" s="86" t="s">
        <v>29</v>
      </c>
      <c r="V1050" s="86" t="s">
        <v>29</v>
      </c>
      <c r="W1050" s="86" t="s">
        <v>29</v>
      </c>
      <c r="X1050" s="85" t="e">
        <f t="shared" si="132"/>
        <v>#VALUE!</v>
      </c>
      <c r="Y1050" s="86" t="s">
        <v>29</v>
      </c>
      <c r="Z1050" s="85" t="e">
        <f t="shared" si="128"/>
        <v>#VALUE!</v>
      </c>
      <c r="AA1050" s="115" t="s">
        <v>29</v>
      </c>
      <c r="AB1050" s="115" t="s">
        <v>29</v>
      </c>
    </row>
    <row r="1051" spans="1:28" hidden="1" x14ac:dyDescent="0.3">
      <c r="A1051" s="105"/>
      <c r="E1051" s="84"/>
      <c r="F1051" s="84"/>
      <c r="G1051" s="84"/>
      <c r="H1051" s="84"/>
      <c r="I1051" s="84"/>
      <c r="J1051" s="84"/>
      <c r="K1051" s="84"/>
      <c r="L1051" s="84"/>
      <c r="M1051" s="84"/>
      <c r="N1051" s="84"/>
      <c r="O1051" s="84"/>
      <c r="P1051" s="84"/>
      <c r="Q1051" s="84"/>
      <c r="R1051" s="84"/>
      <c r="S1051" s="84"/>
      <c r="T1051" s="84"/>
      <c r="U1051" s="84"/>
      <c r="V1051" s="84"/>
      <c r="W1051" s="84"/>
      <c r="X1051" s="85">
        <f t="shared" si="132"/>
        <v>0</v>
      </c>
      <c r="Y1051" s="84"/>
      <c r="Z1051" s="85">
        <f t="shared" si="128"/>
        <v>0</v>
      </c>
    </row>
    <row r="1052" spans="1:28" hidden="1" x14ac:dyDescent="0.3">
      <c r="A1052" s="117"/>
      <c r="C1052" s="68" t="s">
        <v>172</v>
      </c>
      <c r="D1052" s="145" t="s">
        <v>166</v>
      </c>
      <c r="E1052" s="85">
        <f>STATS1003B!E1053/1000</f>
        <v>1033.8340000000001</v>
      </c>
      <c r="F1052" s="85">
        <f>STATS1003B!F1053/1000</f>
        <v>1033.8340000000001</v>
      </c>
      <c r="G1052" s="85">
        <f>STATS1003B!G1053/1000</f>
        <v>0</v>
      </c>
      <c r="H1052" s="85">
        <f>STATS1003B!H1053/1000</f>
        <v>1033.8340000000001</v>
      </c>
      <c r="I1052" s="85">
        <f>STATS1003B!I1053/1000</f>
        <v>0</v>
      </c>
      <c r="J1052" s="85">
        <f>STATS1003B!J1053/1000</f>
        <v>0</v>
      </c>
      <c r="K1052" s="85">
        <f>STATS1003B!K1053/1000</f>
        <v>0</v>
      </c>
      <c r="L1052" s="85">
        <f>STATS1003B!L1053/1000</f>
        <v>0</v>
      </c>
      <c r="M1052" s="85">
        <f>STATS1003B!M1053/1000</f>
        <v>1033.8340000000001</v>
      </c>
      <c r="N1052" s="85">
        <f>STATS1003B!N1053/1000</f>
        <v>0</v>
      </c>
      <c r="O1052" s="85">
        <f>STATS1003B!O1053/1000</f>
        <v>0</v>
      </c>
      <c r="P1052" s="85">
        <f>STATS1003B!P1053/1000</f>
        <v>0</v>
      </c>
      <c r="Q1052" s="85">
        <f>STATS1003B!Q1053/1000</f>
        <v>0</v>
      </c>
      <c r="R1052" s="85">
        <f>STATS1003B!R1053/1000</f>
        <v>0</v>
      </c>
      <c r="S1052" s="85">
        <f>STATS1003B!S1053/1000</f>
        <v>0</v>
      </c>
      <c r="T1052" s="85">
        <f>STATS1003B!T1053/1000</f>
        <v>0</v>
      </c>
      <c r="U1052" s="85">
        <f>STATS1003B!U1053/1000</f>
        <v>0</v>
      </c>
      <c r="V1052" s="85">
        <f>STATS1003B!V1053/1000</f>
        <v>1033.8340000000001</v>
      </c>
      <c r="W1052" s="85">
        <f>STATS1003B!W1053/1000</f>
        <v>0</v>
      </c>
      <c r="X1052" s="85">
        <f t="shared" si="132"/>
        <v>1033.8340000000001</v>
      </c>
      <c r="Y1052" s="85">
        <f>STATS1003B!Y1053/1000</f>
        <v>0</v>
      </c>
      <c r="Z1052" s="85">
        <f t="shared" si="128"/>
        <v>0</v>
      </c>
      <c r="AA1052" s="69">
        <f>STATS1003B!AA1053/1000</f>
        <v>1033.8340000000001</v>
      </c>
      <c r="AB1052" s="69">
        <f>STATS1003B!AB1053/1000</f>
        <v>0</v>
      </c>
    </row>
    <row r="1053" spans="1:28" hidden="1" x14ac:dyDescent="0.3">
      <c r="A1053" s="117"/>
      <c r="D1053" s="145" t="s">
        <v>79</v>
      </c>
      <c r="E1053" s="85">
        <f>STATS1003B!E1054/1000</f>
        <v>0</v>
      </c>
      <c r="F1053" s="85">
        <f>STATS1003B!F1054/1000</f>
        <v>0</v>
      </c>
      <c r="G1053" s="85">
        <f>STATS1003B!G1054/1000</f>
        <v>0</v>
      </c>
      <c r="H1053" s="85">
        <f>STATS1003B!H1054/1000</f>
        <v>0</v>
      </c>
      <c r="I1053" s="85">
        <f>STATS1003B!I1054/1000</f>
        <v>0</v>
      </c>
      <c r="J1053" s="85">
        <f>STATS1003B!J1054/1000</f>
        <v>0</v>
      </c>
      <c r="K1053" s="85">
        <f>STATS1003B!K1054/1000</f>
        <v>0</v>
      </c>
      <c r="L1053" s="85">
        <f>STATS1003B!L1054/1000</f>
        <v>0</v>
      </c>
      <c r="M1053" s="85">
        <f>STATS1003B!M1054/1000</f>
        <v>0</v>
      </c>
      <c r="N1053" s="85">
        <f>STATS1003B!N1054/1000</f>
        <v>0</v>
      </c>
      <c r="O1053" s="85">
        <f>STATS1003B!O1054/1000</f>
        <v>0</v>
      </c>
      <c r="P1053" s="85">
        <f>STATS1003B!P1054/1000</f>
        <v>0</v>
      </c>
      <c r="Q1053" s="85">
        <f>STATS1003B!Q1054/1000</f>
        <v>0</v>
      </c>
      <c r="R1053" s="85">
        <f>STATS1003B!R1054/1000</f>
        <v>0</v>
      </c>
      <c r="S1053" s="85">
        <f>STATS1003B!S1054/1000</f>
        <v>0</v>
      </c>
      <c r="T1053" s="85">
        <f>STATS1003B!T1054/1000</f>
        <v>0</v>
      </c>
      <c r="U1053" s="85">
        <f>STATS1003B!U1054/1000</f>
        <v>0</v>
      </c>
      <c r="V1053" s="85">
        <f>STATS1003B!V1054/1000</f>
        <v>0</v>
      </c>
      <c r="W1053" s="85">
        <f>STATS1003B!W1054/1000</f>
        <v>0</v>
      </c>
      <c r="X1053" s="85">
        <f t="shared" si="132"/>
        <v>0</v>
      </c>
      <c r="Y1053" s="85">
        <f>STATS1003B!Y1054/1000</f>
        <v>0</v>
      </c>
      <c r="Z1053" s="85">
        <f t="shared" ref="Z1053:Z1116" si="133">+E1053-X1053</f>
        <v>0</v>
      </c>
      <c r="AA1053" s="69">
        <f>STATS1003B!AA1054/1000</f>
        <v>0</v>
      </c>
      <c r="AB1053" s="69">
        <f>STATS1003B!AB1054/1000</f>
        <v>0</v>
      </c>
    </row>
    <row r="1054" spans="1:28" hidden="1" x14ac:dyDescent="0.3">
      <c r="A1054" s="117"/>
      <c r="C1054" s="68" t="s">
        <v>243</v>
      </c>
      <c r="D1054" s="71" t="s">
        <v>244</v>
      </c>
      <c r="E1054" s="85">
        <f>STATS1003B!E1055/1000</f>
        <v>12085.64136</v>
      </c>
      <c r="F1054" s="85">
        <f>STATS1003B!F1055/1000</f>
        <v>11106.36434</v>
      </c>
      <c r="G1054" s="85">
        <f>STATS1003B!G1055/1000</f>
        <v>0</v>
      </c>
      <c r="H1054" s="85">
        <f>STATS1003B!H1055/1000</f>
        <v>11106.36434</v>
      </c>
      <c r="I1054" s="85">
        <f>STATS1003B!I1055/1000</f>
        <v>0</v>
      </c>
      <c r="J1054" s="85">
        <f>STATS1003B!J1055/1000</f>
        <v>0</v>
      </c>
      <c r="K1054" s="85">
        <f>STATS1003B!K1055/1000</f>
        <v>0</v>
      </c>
      <c r="L1054" s="85">
        <f>STATS1003B!L1055/1000</f>
        <v>0</v>
      </c>
      <c r="M1054" s="85">
        <f>STATS1003B!M1055/1000</f>
        <v>11106.36434</v>
      </c>
      <c r="N1054" s="85">
        <f>STATS1003B!N1055/1000</f>
        <v>979.27701999999999</v>
      </c>
      <c r="O1054" s="85">
        <f>STATS1003B!O1055/1000</f>
        <v>0</v>
      </c>
      <c r="P1054" s="85">
        <f>STATS1003B!P1055/1000</f>
        <v>979.27701999999999</v>
      </c>
      <c r="Q1054" s="85">
        <f>STATS1003B!Q1055/1000</f>
        <v>0</v>
      </c>
      <c r="R1054" s="85">
        <f>STATS1003B!R1055/1000</f>
        <v>0</v>
      </c>
      <c r="S1054" s="85">
        <f>STATS1003B!S1055/1000</f>
        <v>0</v>
      </c>
      <c r="T1054" s="85">
        <f>STATS1003B!T1055/1000</f>
        <v>0</v>
      </c>
      <c r="U1054" s="85">
        <f>STATS1003B!U1055/1000</f>
        <v>979.27701999999999</v>
      </c>
      <c r="V1054" s="85">
        <f>STATS1003B!V1055/1000</f>
        <v>12085.64136</v>
      </c>
      <c r="W1054" s="85">
        <f>STATS1003B!W1055/1000</f>
        <v>0</v>
      </c>
      <c r="X1054" s="85">
        <f t="shared" si="132"/>
        <v>12085.64136</v>
      </c>
      <c r="Y1054" s="85">
        <f>STATS1003B!Y1055/1000</f>
        <v>0</v>
      </c>
      <c r="Z1054" s="85">
        <f t="shared" si="133"/>
        <v>0</v>
      </c>
      <c r="AA1054" s="69">
        <f>STATS1003B!AA1055/1000</f>
        <v>12085.64136</v>
      </c>
      <c r="AB1054" s="69">
        <f>STATS1003B!AB1055/1000</f>
        <v>0</v>
      </c>
    </row>
    <row r="1055" spans="1:28" hidden="1" x14ac:dyDescent="0.3">
      <c r="A1055" s="117"/>
      <c r="C1055" s="68" t="s">
        <v>53</v>
      </c>
      <c r="D1055" s="145" t="s">
        <v>54</v>
      </c>
      <c r="E1055" s="85">
        <f>STATS1003B!E1056/1000</f>
        <v>1767.77</v>
      </c>
      <c r="F1055" s="85">
        <f>STATS1003B!F1056/1000</f>
        <v>0</v>
      </c>
      <c r="G1055" s="85">
        <f>STATS1003B!G1056/1000</f>
        <v>0</v>
      </c>
      <c r="H1055" s="85">
        <f>STATS1003B!H1056/1000</f>
        <v>0</v>
      </c>
      <c r="I1055" s="85">
        <f>STATS1003B!I1056/1000</f>
        <v>0</v>
      </c>
      <c r="J1055" s="85">
        <f>STATS1003B!J1056/1000</f>
        <v>0</v>
      </c>
      <c r="K1055" s="85">
        <f>STATS1003B!K1056/1000</f>
        <v>0</v>
      </c>
      <c r="L1055" s="85">
        <f>STATS1003B!L1056/1000</f>
        <v>0</v>
      </c>
      <c r="M1055" s="85">
        <f>STATS1003B!M1056/1000</f>
        <v>0</v>
      </c>
      <c r="N1055" s="85">
        <f>STATS1003B!N1056/1000</f>
        <v>1767.77</v>
      </c>
      <c r="O1055" s="85">
        <f>STATS1003B!O1056/1000</f>
        <v>0</v>
      </c>
      <c r="P1055" s="85">
        <f>STATS1003B!P1056/1000</f>
        <v>1767.77</v>
      </c>
      <c r="Q1055" s="85">
        <f>STATS1003B!Q1056/1000</f>
        <v>0</v>
      </c>
      <c r="R1055" s="85">
        <f>STATS1003B!R1056/1000</f>
        <v>0</v>
      </c>
      <c r="S1055" s="85">
        <f>STATS1003B!S1056/1000</f>
        <v>0</v>
      </c>
      <c r="T1055" s="85">
        <f>STATS1003B!T1056/1000</f>
        <v>0</v>
      </c>
      <c r="U1055" s="85">
        <f>STATS1003B!U1056/1000</f>
        <v>1767.77</v>
      </c>
      <c r="V1055" s="85">
        <f>STATS1003B!V1056/1000</f>
        <v>1767.77</v>
      </c>
      <c r="W1055" s="85">
        <f>STATS1003B!W1056/1000</f>
        <v>0</v>
      </c>
      <c r="X1055" s="85">
        <f t="shared" si="132"/>
        <v>1767.77</v>
      </c>
      <c r="Y1055" s="85">
        <f>STATS1003B!Y1056/1000</f>
        <v>0</v>
      </c>
      <c r="Z1055" s="85">
        <f t="shared" si="133"/>
        <v>0</v>
      </c>
      <c r="AA1055" s="69">
        <f>STATS1003B!AA1056/1000</f>
        <v>1767.77</v>
      </c>
      <c r="AB1055" s="69">
        <f>STATS1003B!AB1056/1000</f>
        <v>0</v>
      </c>
    </row>
    <row r="1056" spans="1:28" hidden="1" x14ac:dyDescent="0.3">
      <c r="A1056" s="117"/>
      <c r="C1056" s="68" t="s">
        <v>55</v>
      </c>
      <c r="D1056" s="145" t="s">
        <v>245</v>
      </c>
      <c r="E1056" s="85">
        <f>STATS1003B!E1057/1000</f>
        <v>2176.6713</v>
      </c>
      <c r="F1056" s="85">
        <f>STATS1003B!F1057/1000</f>
        <v>0</v>
      </c>
      <c r="G1056" s="85">
        <f>STATS1003B!G1057/1000</f>
        <v>0</v>
      </c>
      <c r="H1056" s="85">
        <f>STATS1003B!H1057/1000</f>
        <v>0</v>
      </c>
      <c r="I1056" s="85">
        <f>STATS1003B!I1057/1000</f>
        <v>0</v>
      </c>
      <c r="J1056" s="85">
        <f>STATS1003B!J1057/1000</f>
        <v>0</v>
      </c>
      <c r="K1056" s="85">
        <f>STATS1003B!K1057/1000</f>
        <v>0</v>
      </c>
      <c r="L1056" s="85">
        <f>STATS1003B!L1057/1000</f>
        <v>0</v>
      </c>
      <c r="M1056" s="85">
        <f>STATS1003B!M1057/1000</f>
        <v>0</v>
      </c>
      <c r="N1056" s="85">
        <f>STATS1003B!N1057/1000</f>
        <v>2176.6713</v>
      </c>
      <c r="O1056" s="85">
        <f>STATS1003B!O1057/1000</f>
        <v>0</v>
      </c>
      <c r="P1056" s="85">
        <f>STATS1003B!P1057/1000</f>
        <v>2176.6713</v>
      </c>
      <c r="Q1056" s="85">
        <f>STATS1003B!Q1057/1000</f>
        <v>0</v>
      </c>
      <c r="R1056" s="85">
        <f>STATS1003B!R1057/1000</f>
        <v>0</v>
      </c>
      <c r="S1056" s="85">
        <f>STATS1003B!S1057/1000</f>
        <v>0</v>
      </c>
      <c r="T1056" s="85">
        <f>STATS1003B!T1057/1000</f>
        <v>0</v>
      </c>
      <c r="U1056" s="85">
        <f>STATS1003B!U1057/1000</f>
        <v>2176.6713</v>
      </c>
      <c r="V1056" s="85">
        <f>STATS1003B!V1057/1000</f>
        <v>2176.6713</v>
      </c>
      <c r="W1056" s="85">
        <f>STATS1003B!W1057/1000</f>
        <v>0</v>
      </c>
      <c r="X1056" s="85">
        <f t="shared" si="132"/>
        <v>2176.6713</v>
      </c>
      <c r="Y1056" s="85">
        <f>STATS1003B!Y1057/1000</f>
        <v>0</v>
      </c>
      <c r="Z1056" s="85">
        <f t="shared" si="133"/>
        <v>0</v>
      </c>
      <c r="AA1056" s="69">
        <f>STATS1003B!AA1057/1000</f>
        <v>2176.6713</v>
      </c>
      <c r="AB1056" s="69">
        <f>STATS1003B!AB1057/1000</f>
        <v>0</v>
      </c>
    </row>
    <row r="1057" spans="1:28" hidden="1" x14ac:dyDescent="0.3">
      <c r="A1057" s="117"/>
      <c r="C1057" s="68" t="s">
        <v>225</v>
      </c>
      <c r="D1057" s="145" t="s">
        <v>85</v>
      </c>
      <c r="E1057" s="85">
        <f>STATS1003B!E1058/1000</f>
        <v>560</v>
      </c>
      <c r="F1057" s="85">
        <f>STATS1003B!F1058/1000</f>
        <v>486.38400000000001</v>
      </c>
      <c r="G1057" s="85">
        <f>STATS1003B!G1058/1000</f>
        <v>0</v>
      </c>
      <c r="H1057" s="85">
        <f>STATS1003B!H1058/1000</f>
        <v>486.38400000000001</v>
      </c>
      <c r="I1057" s="85">
        <f>STATS1003B!I1058/1000</f>
        <v>0</v>
      </c>
      <c r="J1057" s="85">
        <f>STATS1003B!J1058/1000</f>
        <v>0</v>
      </c>
      <c r="K1057" s="85">
        <f>STATS1003B!K1058/1000</f>
        <v>0</v>
      </c>
      <c r="L1057" s="85">
        <f>STATS1003B!L1058/1000</f>
        <v>0</v>
      </c>
      <c r="M1057" s="85">
        <f>STATS1003B!M1058/1000</f>
        <v>486.38400000000001</v>
      </c>
      <c r="N1057" s="85">
        <f>STATS1003B!N1058/1000</f>
        <v>0</v>
      </c>
      <c r="O1057" s="85">
        <f>STATS1003B!O1058/1000</f>
        <v>0</v>
      </c>
      <c r="P1057" s="85">
        <f>STATS1003B!P1058/1000</f>
        <v>0</v>
      </c>
      <c r="Q1057" s="85">
        <f>STATS1003B!Q1058/1000</f>
        <v>0</v>
      </c>
      <c r="R1057" s="85">
        <f>STATS1003B!R1058/1000</f>
        <v>0</v>
      </c>
      <c r="S1057" s="85">
        <f>STATS1003B!S1058/1000</f>
        <v>0</v>
      </c>
      <c r="T1057" s="85">
        <f>STATS1003B!T1058/1000</f>
        <v>0</v>
      </c>
      <c r="U1057" s="85">
        <f>STATS1003B!U1058/1000</f>
        <v>0</v>
      </c>
      <c r="V1057" s="85">
        <f>STATS1003B!V1058/1000</f>
        <v>486.38400000000001</v>
      </c>
      <c r="W1057" s="85">
        <f>STATS1003B!W1058/1000</f>
        <v>73.616</v>
      </c>
      <c r="X1057" s="85">
        <f t="shared" si="132"/>
        <v>486.38400000000001</v>
      </c>
      <c r="Y1057" s="85">
        <f>STATS1003B!Y1058/1000</f>
        <v>0</v>
      </c>
      <c r="Z1057" s="85">
        <f t="shared" si="133"/>
        <v>73.615999999999985</v>
      </c>
      <c r="AA1057" s="69">
        <f>STATS1003B!AA1058/1000</f>
        <v>486.38400000000001</v>
      </c>
      <c r="AB1057" s="69">
        <f>STATS1003B!AB1058/1000</f>
        <v>73.616</v>
      </c>
    </row>
    <row r="1058" spans="1:28" hidden="1" x14ac:dyDescent="0.3">
      <c r="A1058" s="117"/>
      <c r="C1058" s="68" t="s">
        <v>57</v>
      </c>
      <c r="D1058" s="145" t="s">
        <v>58</v>
      </c>
      <c r="E1058" s="85">
        <f>STATS1003B!E1059/1000</f>
        <v>1736.6479999999999</v>
      </c>
      <c r="F1058" s="85">
        <f>STATS1003B!F1059/1000</f>
        <v>1736.6479999999999</v>
      </c>
      <c r="G1058" s="85">
        <f>STATS1003B!G1059/1000</f>
        <v>0</v>
      </c>
      <c r="H1058" s="85">
        <f>STATS1003B!H1059/1000</f>
        <v>1736.6479999999999</v>
      </c>
      <c r="I1058" s="85">
        <f>STATS1003B!I1059/1000</f>
        <v>0</v>
      </c>
      <c r="J1058" s="85">
        <f>STATS1003B!J1059/1000</f>
        <v>0</v>
      </c>
      <c r="K1058" s="85">
        <f>STATS1003B!K1059/1000</f>
        <v>0</v>
      </c>
      <c r="L1058" s="85">
        <f>STATS1003B!L1059/1000</f>
        <v>0</v>
      </c>
      <c r="M1058" s="85">
        <f>STATS1003B!M1059/1000</f>
        <v>1736.6479999999999</v>
      </c>
      <c r="N1058" s="85">
        <f>STATS1003B!N1059/1000</f>
        <v>0</v>
      </c>
      <c r="O1058" s="85">
        <f>STATS1003B!O1059/1000</f>
        <v>0</v>
      </c>
      <c r="P1058" s="85">
        <f>STATS1003B!P1059/1000</f>
        <v>0</v>
      </c>
      <c r="Q1058" s="85">
        <f>STATS1003B!Q1059/1000</f>
        <v>0</v>
      </c>
      <c r="R1058" s="85">
        <f>STATS1003B!R1059/1000</f>
        <v>0</v>
      </c>
      <c r="S1058" s="85">
        <f>STATS1003B!S1059/1000</f>
        <v>0</v>
      </c>
      <c r="T1058" s="85">
        <f>STATS1003B!T1059/1000</f>
        <v>0</v>
      </c>
      <c r="U1058" s="85">
        <f>STATS1003B!U1059/1000</f>
        <v>0</v>
      </c>
      <c r="V1058" s="85">
        <f>STATS1003B!V1059/1000</f>
        <v>1736.6479999999999</v>
      </c>
      <c r="W1058" s="85">
        <f>STATS1003B!W1059/1000</f>
        <v>0</v>
      </c>
      <c r="X1058" s="85">
        <f t="shared" si="132"/>
        <v>1736.6479999999999</v>
      </c>
      <c r="Y1058" s="85">
        <f>STATS1003B!Y1059/1000</f>
        <v>0</v>
      </c>
      <c r="Z1058" s="85">
        <f t="shared" si="133"/>
        <v>0</v>
      </c>
      <c r="AA1058" s="69">
        <f>STATS1003B!AA1059/1000</f>
        <v>1736.6479999999999</v>
      </c>
      <c r="AB1058" s="69">
        <f>STATS1003B!AB1059/1000</f>
        <v>0</v>
      </c>
    </row>
    <row r="1059" spans="1:28" hidden="1" x14ac:dyDescent="0.3">
      <c r="A1059" s="117"/>
      <c r="C1059" s="68" t="s">
        <v>57</v>
      </c>
      <c r="D1059" s="145" t="s">
        <v>60</v>
      </c>
      <c r="E1059" s="85">
        <f>STATS1003B!E1060/1000</f>
        <v>5391.9449999999997</v>
      </c>
      <c r="F1059" s="85">
        <f>STATS1003B!F1060/1000</f>
        <v>5391.9449999999997</v>
      </c>
      <c r="G1059" s="85">
        <f>STATS1003B!G1060/1000</f>
        <v>0</v>
      </c>
      <c r="H1059" s="85">
        <f>STATS1003B!H1060/1000</f>
        <v>5391.9449999999997</v>
      </c>
      <c r="I1059" s="85">
        <f>STATS1003B!I1060/1000</f>
        <v>0</v>
      </c>
      <c r="J1059" s="85">
        <f>STATS1003B!J1060/1000</f>
        <v>0</v>
      </c>
      <c r="K1059" s="85">
        <f>STATS1003B!K1060/1000</f>
        <v>0</v>
      </c>
      <c r="L1059" s="85">
        <f>STATS1003B!L1060/1000</f>
        <v>0</v>
      </c>
      <c r="M1059" s="85">
        <f>STATS1003B!M1060/1000</f>
        <v>5391.9449999999997</v>
      </c>
      <c r="N1059" s="85">
        <f>STATS1003B!N1060/1000</f>
        <v>0</v>
      </c>
      <c r="O1059" s="85">
        <f>STATS1003B!O1060/1000</f>
        <v>0</v>
      </c>
      <c r="P1059" s="85">
        <f>STATS1003B!P1060/1000</f>
        <v>0</v>
      </c>
      <c r="Q1059" s="85">
        <f>STATS1003B!Q1060/1000</f>
        <v>0</v>
      </c>
      <c r="R1059" s="85">
        <f>STATS1003B!R1060/1000</f>
        <v>0</v>
      </c>
      <c r="S1059" s="85">
        <f>STATS1003B!S1060/1000</f>
        <v>0</v>
      </c>
      <c r="T1059" s="85">
        <f>STATS1003B!T1060/1000</f>
        <v>0</v>
      </c>
      <c r="U1059" s="85">
        <f>STATS1003B!U1060/1000</f>
        <v>0</v>
      </c>
      <c r="V1059" s="85">
        <f>STATS1003B!V1060/1000</f>
        <v>5391.9449999999997</v>
      </c>
      <c r="W1059" s="85">
        <f>STATS1003B!W1060/1000</f>
        <v>0</v>
      </c>
      <c r="X1059" s="85">
        <f t="shared" si="132"/>
        <v>5391.9449999999997</v>
      </c>
      <c r="Y1059" s="85">
        <f>STATS1003B!Y1060/1000</f>
        <v>0</v>
      </c>
      <c r="Z1059" s="85">
        <f t="shared" si="133"/>
        <v>0</v>
      </c>
      <c r="AA1059" s="69">
        <f>STATS1003B!AA1060/1000</f>
        <v>5391.9449999999997</v>
      </c>
      <c r="AB1059" s="69">
        <f>STATS1003B!AB1060/1000</f>
        <v>0</v>
      </c>
    </row>
    <row r="1060" spans="1:28" hidden="1" x14ac:dyDescent="0.3">
      <c r="A1060" s="117"/>
      <c r="C1060" s="68" t="s">
        <v>932</v>
      </c>
      <c r="D1060" s="90" t="s">
        <v>1126</v>
      </c>
      <c r="E1060" s="85">
        <f>STATS1003B!E1061/1000</f>
        <v>300</v>
      </c>
      <c r="F1060" s="85">
        <f>STATS1003B!F1061/1000</f>
        <v>300</v>
      </c>
      <c r="G1060" s="85">
        <f>STATS1003B!G1061/1000</f>
        <v>0</v>
      </c>
      <c r="H1060" s="85">
        <f>STATS1003B!H1061/1000</f>
        <v>300</v>
      </c>
      <c r="I1060" s="85">
        <f>STATS1003B!I1061/1000</f>
        <v>0</v>
      </c>
      <c r="J1060" s="85">
        <f>STATS1003B!J1061/1000</f>
        <v>0</v>
      </c>
      <c r="K1060" s="85">
        <f>STATS1003B!K1061/1000</f>
        <v>0</v>
      </c>
      <c r="L1060" s="85">
        <f>STATS1003B!L1061/1000</f>
        <v>0</v>
      </c>
      <c r="M1060" s="85">
        <f>STATS1003B!M1061/1000</f>
        <v>300</v>
      </c>
      <c r="N1060" s="85">
        <f>STATS1003B!N1061/1000</f>
        <v>0</v>
      </c>
      <c r="O1060" s="85">
        <f>STATS1003B!O1061/1000</f>
        <v>0</v>
      </c>
      <c r="P1060" s="85">
        <f>STATS1003B!P1061/1000</f>
        <v>0</v>
      </c>
      <c r="Q1060" s="85">
        <f>STATS1003B!Q1061/1000</f>
        <v>0</v>
      </c>
      <c r="R1060" s="85">
        <f>STATS1003B!R1061/1000</f>
        <v>0</v>
      </c>
      <c r="S1060" s="85">
        <f>STATS1003B!S1061/1000</f>
        <v>0</v>
      </c>
      <c r="T1060" s="85">
        <f>STATS1003B!T1061/1000</f>
        <v>0</v>
      </c>
      <c r="U1060" s="85">
        <f>STATS1003B!U1061/1000</f>
        <v>0</v>
      </c>
      <c r="V1060" s="85">
        <f>STATS1003B!V1061/1000</f>
        <v>300</v>
      </c>
      <c r="W1060" s="85">
        <f>STATS1003B!W1061/1000</f>
        <v>0</v>
      </c>
      <c r="X1060" s="85">
        <f t="shared" si="132"/>
        <v>300</v>
      </c>
      <c r="Y1060" s="85">
        <f>STATS1003B!Y1061/1000</f>
        <v>0</v>
      </c>
      <c r="Z1060" s="85">
        <f t="shared" si="133"/>
        <v>0</v>
      </c>
      <c r="AA1060" s="69">
        <f>STATS1003B!AA1061/1000</f>
        <v>300</v>
      </c>
      <c r="AB1060" s="69">
        <f>STATS1003B!AB1061/1000</f>
        <v>0</v>
      </c>
    </row>
    <row r="1061" spans="1:28" hidden="1" x14ac:dyDescent="0.3">
      <c r="A1061" s="117"/>
      <c r="C1061" s="68" t="s">
        <v>1234</v>
      </c>
      <c r="D1061" s="90" t="s">
        <v>1225</v>
      </c>
      <c r="E1061" s="85">
        <f>STATS1003B!E1062/1000</f>
        <v>250</v>
      </c>
      <c r="F1061" s="85">
        <f>STATS1003B!F1062/1000</f>
        <v>0</v>
      </c>
      <c r="G1061" s="85">
        <f>STATS1003B!G1062/1000</f>
        <v>250</v>
      </c>
      <c r="H1061" s="85">
        <f>STATS1003B!H1062/1000</f>
        <v>250</v>
      </c>
      <c r="I1061" s="85">
        <f>STATS1003B!I1062/1000</f>
        <v>0</v>
      </c>
      <c r="J1061" s="85">
        <f>STATS1003B!J1062/1000</f>
        <v>0</v>
      </c>
      <c r="K1061" s="85">
        <f>STATS1003B!K1062/1000</f>
        <v>0</v>
      </c>
      <c r="L1061" s="85">
        <f>STATS1003B!L1062/1000</f>
        <v>0</v>
      </c>
      <c r="M1061" s="85">
        <f>STATS1003B!M1062/1000</f>
        <v>250</v>
      </c>
      <c r="N1061" s="85">
        <f>STATS1003B!N1062/1000</f>
        <v>0</v>
      </c>
      <c r="O1061" s="85">
        <f>STATS1003B!O1062/1000</f>
        <v>0</v>
      </c>
      <c r="P1061" s="85">
        <f>STATS1003B!P1062/1000</f>
        <v>0</v>
      </c>
      <c r="Q1061" s="85">
        <f>STATS1003B!Q1062/1000</f>
        <v>0</v>
      </c>
      <c r="R1061" s="85">
        <f>STATS1003B!R1062/1000</f>
        <v>0</v>
      </c>
      <c r="S1061" s="85">
        <f>STATS1003B!S1062/1000</f>
        <v>0</v>
      </c>
      <c r="T1061" s="85">
        <f>STATS1003B!T1062/1000</f>
        <v>0</v>
      </c>
      <c r="U1061" s="85">
        <f>STATS1003B!U1062/1000</f>
        <v>0</v>
      </c>
      <c r="V1061" s="85">
        <f>STATS1003B!V1062/1000</f>
        <v>250</v>
      </c>
      <c r="W1061" s="85">
        <f>STATS1003B!W1062/1000</f>
        <v>0</v>
      </c>
      <c r="X1061" s="85">
        <f t="shared" si="132"/>
        <v>250</v>
      </c>
      <c r="Y1061" s="85">
        <f>STATS1003B!Y1062/1000</f>
        <v>0</v>
      </c>
      <c r="Z1061" s="85">
        <f t="shared" si="133"/>
        <v>0</v>
      </c>
      <c r="AA1061" s="69">
        <f>STATS1003B!AA1062/1000</f>
        <v>250</v>
      </c>
      <c r="AB1061" s="69">
        <f>STATS1003B!AB1062/1000</f>
        <v>0</v>
      </c>
    </row>
    <row r="1062" spans="1:28" hidden="1" x14ac:dyDescent="0.3">
      <c r="A1062" s="117"/>
      <c r="C1062" s="71" t="s">
        <v>109</v>
      </c>
      <c r="D1062" s="88" t="s">
        <v>60</v>
      </c>
      <c r="E1062" s="85">
        <f>STATS1003B!E1063/1000</f>
        <v>5000</v>
      </c>
      <c r="F1062" s="85">
        <f>STATS1003B!F1063/1000</f>
        <v>5000</v>
      </c>
      <c r="G1062" s="85">
        <f>STATS1003B!G1063/1000</f>
        <v>0</v>
      </c>
      <c r="H1062" s="85">
        <f>STATS1003B!H1063/1000</f>
        <v>5000</v>
      </c>
      <c r="I1062" s="85">
        <f>STATS1003B!I1063/1000</f>
        <v>0</v>
      </c>
      <c r="J1062" s="85">
        <f>STATS1003B!J1063/1000</f>
        <v>0</v>
      </c>
      <c r="K1062" s="85">
        <f>STATS1003B!K1063/1000</f>
        <v>0</v>
      </c>
      <c r="L1062" s="85">
        <f>STATS1003B!L1063/1000</f>
        <v>0</v>
      </c>
      <c r="M1062" s="85">
        <f>STATS1003B!M1063/1000</f>
        <v>5000</v>
      </c>
      <c r="N1062" s="85">
        <f>STATS1003B!N1063/1000</f>
        <v>0</v>
      </c>
      <c r="O1062" s="85">
        <f>STATS1003B!O1063/1000</f>
        <v>0</v>
      </c>
      <c r="P1062" s="85">
        <f>STATS1003B!P1063/1000</f>
        <v>0</v>
      </c>
      <c r="Q1062" s="85">
        <f>STATS1003B!Q1063/1000</f>
        <v>0</v>
      </c>
      <c r="R1062" s="85">
        <f>STATS1003B!R1063/1000</f>
        <v>0</v>
      </c>
      <c r="S1062" s="85">
        <f>STATS1003B!S1063/1000</f>
        <v>0</v>
      </c>
      <c r="T1062" s="85">
        <f>STATS1003B!T1063/1000</f>
        <v>0</v>
      </c>
      <c r="U1062" s="85">
        <f>STATS1003B!U1063/1000</f>
        <v>0</v>
      </c>
      <c r="V1062" s="85">
        <f>STATS1003B!V1063/1000</f>
        <v>5000</v>
      </c>
      <c r="W1062" s="85">
        <f>STATS1003B!W1063/1000</f>
        <v>0</v>
      </c>
      <c r="X1062" s="85">
        <f t="shared" si="132"/>
        <v>5000</v>
      </c>
      <c r="Y1062" s="85">
        <f>STATS1003B!Y1063/1000</f>
        <v>0</v>
      </c>
      <c r="Z1062" s="85">
        <f t="shared" si="133"/>
        <v>0</v>
      </c>
      <c r="AA1062" s="69">
        <f>STATS1003B!AA1063/1000</f>
        <v>5000</v>
      </c>
      <c r="AB1062" s="69">
        <f>STATS1003B!AB1063/1000</f>
        <v>0</v>
      </c>
    </row>
    <row r="1063" spans="1:28" hidden="1" x14ac:dyDescent="0.3">
      <c r="A1063" s="117"/>
      <c r="C1063" s="68" t="s">
        <v>57</v>
      </c>
      <c r="D1063" s="89" t="s">
        <v>61</v>
      </c>
      <c r="E1063" s="85">
        <f>STATS1003B!E1064/1000</f>
        <v>610</v>
      </c>
      <c r="F1063" s="85">
        <f>STATS1003B!F1064/1000</f>
        <v>610</v>
      </c>
      <c r="G1063" s="85">
        <f>STATS1003B!G1064/1000</f>
        <v>0</v>
      </c>
      <c r="H1063" s="85">
        <f>STATS1003B!H1064/1000</f>
        <v>610</v>
      </c>
      <c r="I1063" s="85">
        <f>STATS1003B!I1064/1000</f>
        <v>0</v>
      </c>
      <c r="J1063" s="85">
        <f>STATS1003B!J1064/1000</f>
        <v>0</v>
      </c>
      <c r="K1063" s="85">
        <f>STATS1003B!K1064/1000</f>
        <v>0</v>
      </c>
      <c r="L1063" s="85">
        <f>STATS1003B!L1064/1000</f>
        <v>0</v>
      </c>
      <c r="M1063" s="85">
        <f>STATS1003B!M1064/1000</f>
        <v>610</v>
      </c>
      <c r="N1063" s="85">
        <f>STATS1003B!N1064/1000</f>
        <v>0</v>
      </c>
      <c r="O1063" s="85">
        <f>STATS1003B!O1064/1000</f>
        <v>0</v>
      </c>
      <c r="P1063" s="85">
        <f>STATS1003B!P1064/1000</f>
        <v>0</v>
      </c>
      <c r="Q1063" s="85">
        <f>STATS1003B!Q1064/1000</f>
        <v>0</v>
      </c>
      <c r="R1063" s="85">
        <f>STATS1003B!R1064/1000</f>
        <v>0</v>
      </c>
      <c r="S1063" s="85">
        <f>STATS1003B!S1064/1000</f>
        <v>0</v>
      </c>
      <c r="T1063" s="85">
        <f>STATS1003B!T1064/1000</f>
        <v>0</v>
      </c>
      <c r="U1063" s="85">
        <f>STATS1003B!U1064/1000</f>
        <v>0</v>
      </c>
      <c r="V1063" s="85">
        <f>STATS1003B!V1064/1000</f>
        <v>610</v>
      </c>
      <c r="W1063" s="85">
        <f>STATS1003B!W1064/1000</f>
        <v>0</v>
      </c>
      <c r="X1063" s="85">
        <f t="shared" si="132"/>
        <v>610</v>
      </c>
      <c r="Y1063" s="85">
        <f>STATS1003B!Y1064/1000</f>
        <v>0</v>
      </c>
      <c r="Z1063" s="85">
        <f t="shared" si="133"/>
        <v>0</v>
      </c>
      <c r="AA1063" s="69">
        <f>STATS1003B!AA1064/1000</f>
        <v>610</v>
      </c>
      <c r="AB1063" s="69">
        <f>STATS1003B!AB1064/1000</f>
        <v>0</v>
      </c>
    </row>
    <row r="1064" spans="1:28" hidden="1" x14ac:dyDescent="0.3">
      <c r="A1064" s="117"/>
      <c r="E1064" s="86" t="s">
        <v>29</v>
      </c>
      <c r="F1064" s="86" t="s">
        <v>29</v>
      </c>
      <c r="G1064" s="86" t="s">
        <v>29</v>
      </c>
      <c r="H1064" s="86" t="s">
        <v>29</v>
      </c>
      <c r="I1064" s="86" t="s">
        <v>29</v>
      </c>
      <c r="J1064" s="86" t="s">
        <v>29</v>
      </c>
      <c r="K1064" s="86" t="s">
        <v>29</v>
      </c>
      <c r="L1064" s="86" t="s">
        <v>29</v>
      </c>
      <c r="M1064" s="86" t="s">
        <v>29</v>
      </c>
      <c r="N1064" s="86" t="s">
        <v>29</v>
      </c>
      <c r="O1064" s="86" t="s">
        <v>29</v>
      </c>
      <c r="P1064" s="86" t="s">
        <v>29</v>
      </c>
      <c r="Q1064" s="86" t="s">
        <v>29</v>
      </c>
      <c r="R1064" s="86" t="s">
        <v>29</v>
      </c>
      <c r="S1064" s="86" t="s">
        <v>29</v>
      </c>
      <c r="T1064" s="86" t="s">
        <v>29</v>
      </c>
      <c r="U1064" s="86" t="s">
        <v>29</v>
      </c>
      <c r="V1064" s="86" t="s">
        <v>29</v>
      </c>
      <c r="W1064" s="86" t="s">
        <v>29</v>
      </c>
      <c r="X1064" s="85" t="e">
        <f t="shared" si="132"/>
        <v>#VALUE!</v>
      </c>
      <c r="Y1064" s="86" t="s">
        <v>29</v>
      </c>
      <c r="Z1064" s="85" t="e">
        <f t="shared" si="133"/>
        <v>#VALUE!</v>
      </c>
      <c r="AA1064" s="115" t="s">
        <v>29</v>
      </c>
      <c r="AB1064" s="115" t="s">
        <v>29</v>
      </c>
    </row>
    <row r="1065" spans="1:28" x14ac:dyDescent="0.3">
      <c r="A1065" s="116">
        <v>49</v>
      </c>
      <c r="B1065" s="68" t="s">
        <v>242</v>
      </c>
      <c r="E1065" s="85">
        <f>244917384.81/1000</f>
        <v>244917.38480999999</v>
      </c>
      <c r="F1065" s="85">
        <f t="shared" ref="F1065:AB1065" si="134">SUM(F1052:F1063)</f>
        <v>25665.175340000002</v>
      </c>
      <c r="G1065" s="85">
        <f t="shared" si="134"/>
        <v>250</v>
      </c>
      <c r="H1065" s="85">
        <f>239920050.49/1000</f>
        <v>239920.05049000002</v>
      </c>
      <c r="I1065" s="85">
        <f t="shared" si="134"/>
        <v>0</v>
      </c>
      <c r="J1065" s="85">
        <f t="shared" si="134"/>
        <v>0</v>
      </c>
      <c r="K1065" s="85">
        <f t="shared" si="134"/>
        <v>0</v>
      </c>
      <c r="L1065" s="85">
        <f t="shared" si="134"/>
        <v>0</v>
      </c>
      <c r="M1065" s="85">
        <f t="shared" si="134"/>
        <v>25915.175340000002</v>
      </c>
      <c r="N1065" s="85">
        <f t="shared" si="134"/>
        <v>4923.7183199999999</v>
      </c>
      <c r="O1065" s="85">
        <f t="shared" si="134"/>
        <v>0</v>
      </c>
      <c r="P1065" s="85">
        <f>4923718/1000</f>
        <v>4923.7179999999998</v>
      </c>
      <c r="Q1065" s="85">
        <f t="shared" si="134"/>
        <v>0</v>
      </c>
      <c r="R1065" s="85">
        <f t="shared" si="134"/>
        <v>0</v>
      </c>
      <c r="S1065" s="85">
        <f t="shared" si="134"/>
        <v>0</v>
      </c>
      <c r="T1065" s="85">
        <f t="shared" si="134"/>
        <v>0</v>
      </c>
      <c r="U1065" s="85">
        <f t="shared" si="134"/>
        <v>4923.7183199999999</v>
      </c>
      <c r="V1065" s="85">
        <f t="shared" si="134"/>
        <v>30838.893660000002</v>
      </c>
      <c r="W1065" s="85">
        <f t="shared" si="134"/>
        <v>73.616</v>
      </c>
      <c r="X1065" s="85">
        <f>+H1065+P1065</f>
        <v>244843.76849000002</v>
      </c>
      <c r="Y1065" s="85">
        <f t="shared" si="134"/>
        <v>0</v>
      </c>
      <c r="Z1065" s="85">
        <f t="shared" si="133"/>
        <v>73.616319999971893</v>
      </c>
      <c r="AA1065" s="69">
        <f t="shared" si="134"/>
        <v>30838.893660000002</v>
      </c>
      <c r="AB1065" s="69">
        <f t="shared" si="134"/>
        <v>73.616</v>
      </c>
    </row>
    <row r="1066" spans="1:28" hidden="1" x14ac:dyDescent="0.3">
      <c r="A1066" s="117"/>
      <c r="E1066" s="86" t="s">
        <v>29</v>
      </c>
      <c r="F1066" s="86" t="s">
        <v>29</v>
      </c>
      <c r="G1066" s="86" t="s">
        <v>29</v>
      </c>
      <c r="H1066" s="86" t="s">
        <v>29</v>
      </c>
      <c r="I1066" s="86" t="s">
        <v>29</v>
      </c>
      <c r="J1066" s="86" t="s">
        <v>29</v>
      </c>
      <c r="K1066" s="86" t="s">
        <v>29</v>
      </c>
      <c r="L1066" s="86" t="s">
        <v>29</v>
      </c>
      <c r="M1066" s="86" t="s">
        <v>29</v>
      </c>
      <c r="N1066" s="86" t="s">
        <v>29</v>
      </c>
      <c r="O1066" s="86" t="s">
        <v>29</v>
      </c>
      <c r="P1066" s="86" t="s">
        <v>29</v>
      </c>
      <c r="Q1066" s="86" t="s">
        <v>29</v>
      </c>
      <c r="R1066" s="86" t="s">
        <v>29</v>
      </c>
      <c r="S1066" s="86" t="s">
        <v>29</v>
      </c>
      <c r="T1066" s="86" t="s">
        <v>29</v>
      </c>
      <c r="U1066" s="86" t="s">
        <v>29</v>
      </c>
      <c r="V1066" s="86" t="s">
        <v>29</v>
      </c>
      <c r="W1066" s="86" t="s">
        <v>29</v>
      </c>
      <c r="X1066" s="85" t="e">
        <f t="shared" si="132"/>
        <v>#VALUE!</v>
      </c>
      <c r="Y1066" s="86" t="s">
        <v>29</v>
      </c>
      <c r="Z1066" s="85" t="e">
        <f t="shared" si="133"/>
        <v>#VALUE!</v>
      </c>
      <c r="AA1066" s="115" t="s">
        <v>29</v>
      </c>
      <c r="AB1066" s="115" t="s">
        <v>29</v>
      </c>
    </row>
    <row r="1067" spans="1:28" hidden="1" x14ac:dyDescent="0.3">
      <c r="A1067" s="105"/>
      <c r="E1067" s="84"/>
      <c r="F1067" s="84"/>
      <c r="G1067" s="84"/>
      <c r="H1067" s="84"/>
      <c r="I1067" s="84"/>
      <c r="J1067" s="84"/>
      <c r="K1067" s="84"/>
      <c r="L1067" s="84"/>
      <c r="M1067" s="84"/>
      <c r="N1067" s="84"/>
      <c r="O1067" s="84"/>
      <c r="P1067" s="84"/>
      <c r="Q1067" s="84"/>
      <c r="R1067" s="84"/>
      <c r="S1067" s="84"/>
      <c r="T1067" s="84"/>
      <c r="U1067" s="84"/>
      <c r="V1067" s="84"/>
      <c r="W1067" s="84"/>
      <c r="X1067" s="85">
        <f t="shared" si="132"/>
        <v>0</v>
      </c>
      <c r="Y1067" s="84"/>
      <c r="Z1067" s="85">
        <f t="shared" si="133"/>
        <v>0</v>
      </c>
    </row>
    <row r="1068" spans="1:28" hidden="1" x14ac:dyDescent="0.3">
      <c r="A1068" s="117"/>
      <c r="C1068" s="68" t="s">
        <v>172</v>
      </c>
      <c r="D1068" s="145" t="s">
        <v>166</v>
      </c>
      <c r="E1068" s="85">
        <f>STATS1003B!E1069/1000</f>
        <v>2004.7280000000001</v>
      </c>
      <c r="F1068" s="85">
        <f>STATS1003B!F1069/1000</f>
        <v>2004.7280000000001</v>
      </c>
      <c r="G1068" s="85">
        <f>STATS1003B!G1069/1000</f>
        <v>0</v>
      </c>
      <c r="H1068" s="85">
        <f>STATS1003B!H1069/1000</f>
        <v>2004.7280000000001</v>
      </c>
      <c r="I1068" s="85">
        <f>STATS1003B!I1069/1000</f>
        <v>0</v>
      </c>
      <c r="J1068" s="85">
        <f>STATS1003B!J1069/1000</f>
        <v>0</v>
      </c>
      <c r="K1068" s="85">
        <f>STATS1003B!K1069/1000</f>
        <v>0</v>
      </c>
      <c r="L1068" s="85">
        <f>STATS1003B!L1069/1000</f>
        <v>0</v>
      </c>
      <c r="M1068" s="85">
        <f>STATS1003B!M1069/1000</f>
        <v>2004.7280000000001</v>
      </c>
      <c r="N1068" s="85">
        <f>STATS1003B!N1069/1000</f>
        <v>0</v>
      </c>
      <c r="O1068" s="85">
        <f>STATS1003B!O1069/1000</f>
        <v>0</v>
      </c>
      <c r="P1068" s="85">
        <f>STATS1003B!P1069/1000</f>
        <v>0</v>
      </c>
      <c r="Q1068" s="85">
        <f>STATS1003B!Q1069/1000</f>
        <v>0</v>
      </c>
      <c r="R1068" s="85">
        <f>STATS1003B!R1069/1000</f>
        <v>0</v>
      </c>
      <c r="S1068" s="85">
        <f>STATS1003B!S1069/1000</f>
        <v>0</v>
      </c>
      <c r="T1068" s="85">
        <f>STATS1003B!T1069/1000</f>
        <v>0</v>
      </c>
      <c r="U1068" s="85">
        <f>STATS1003B!U1069/1000</f>
        <v>0</v>
      </c>
      <c r="V1068" s="85">
        <f>STATS1003B!V1069/1000</f>
        <v>2004.7280000000001</v>
      </c>
      <c r="W1068" s="85">
        <f>STATS1003B!W1069/1000</f>
        <v>0</v>
      </c>
      <c r="X1068" s="85">
        <f t="shared" si="132"/>
        <v>2004.7280000000001</v>
      </c>
      <c r="Y1068" s="85">
        <f>STATS1003B!Y1069/1000</f>
        <v>0</v>
      </c>
      <c r="Z1068" s="85">
        <f t="shared" si="133"/>
        <v>0</v>
      </c>
      <c r="AA1068" s="69">
        <f>STATS1003B!AA1069/1000</f>
        <v>2004.7280000000001</v>
      </c>
      <c r="AB1068" s="69">
        <f>STATS1003B!AB1069/1000</f>
        <v>0</v>
      </c>
    </row>
    <row r="1069" spans="1:28" hidden="1" x14ac:dyDescent="0.3">
      <c r="A1069" s="117"/>
      <c r="C1069" s="68" t="s">
        <v>57</v>
      </c>
      <c r="D1069" s="145" t="s">
        <v>247</v>
      </c>
      <c r="E1069" s="85">
        <f>STATS1003B!E1070/1000</f>
        <v>4021.0395899999999</v>
      </c>
      <c r="F1069" s="85">
        <f>STATS1003B!F1070/1000</f>
        <v>3040.45</v>
      </c>
      <c r="G1069" s="85">
        <f>STATS1003B!G1070/1000</f>
        <v>0</v>
      </c>
      <c r="H1069" s="85">
        <f>STATS1003B!H1070/1000</f>
        <v>3040.45</v>
      </c>
      <c r="I1069" s="85">
        <f>STATS1003B!I1070/1000</f>
        <v>0</v>
      </c>
      <c r="J1069" s="85">
        <f>STATS1003B!J1070/1000</f>
        <v>0</v>
      </c>
      <c r="K1069" s="85">
        <f>STATS1003B!K1070/1000</f>
        <v>0</v>
      </c>
      <c r="L1069" s="85">
        <f>STATS1003B!L1070/1000</f>
        <v>0</v>
      </c>
      <c r="M1069" s="85">
        <f>STATS1003B!M1070/1000</f>
        <v>3040.45</v>
      </c>
      <c r="N1069" s="85">
        <f>STATS1003B!N1070/1000</f>
        <v>980.58958999999993</v>
      </c>
      <c r="O1069" s="85">
        <f>STATS1003B!O1070/1000</f>
        <v>0</v>
      </c>
      <c r="P1069" s="85">
        <f>STATS1003B!P1070/1000</f>
        <v>980.58958999999993</v>
      </c>
      <c r="Q1069" s="85">
        <f>STATS1003B!Q1070/1000</f>
        <v>0</v>
      </c>
      <c r="R1069" s="85">
        <f>STATS1003B!R1070/1000</f>
        <v>0</v>
      </c>
      <c r="S1069" s="85">
        <f>STATS1003B!S1070/1000</f>
        <v>0</v>
      </c>
      <c r="T1069" s="85">
        <f>STATS1003B!T1070/1000</f>
        <v>0</v>
      </c>
      <c r="U1069" s="85">
        <f>STATS1003B!U1070/1000</f>
        <v>980.58958999999993</v>
      </c>
      <c r="V1069" s="85">
        <f>STATS1003B!V1070/1000</f>
        <v>4021.0395899999999</v>
      </c>
      <c r="W1069" s="85">
        <f>STATS1003B!W1070/1000</f>
        <v>0</v>
      </c>
      <c r="X1069" s="85">
        <f t="shared" si="132"/>
        <v>4021.0395899999999</v>
      </c>
      <c r="Y1069" s="85">
        <f>STATS1003B!Y1070/1000</f>
        <v>0</v>
      </c>
      <c r="Z1069" s="85">
        <f t="shared" si="133"/>
        <v>0</v>
      </c>
      <c r="AA1069" s="69">
        <f>STATS1003B!AA1070/1000</f>
        <v>4021.0395899999999</v>
      </c>
      <c r="AB1069" s="69">
        <f>STATS1003B!AB1070/1000</f>
        <v>0</v>
      </c>
    </row>
    <row r="1070" spans="1:28" hidden="1" x14ac:dyDescent="0.3">
      <c r="A1070" s="117"/>
      <c r="C1070" s="68" t="s">
        <v>53</v>
      </c>
      <c r="D1070" s="145" t="s">
        <v>68</v>
      </c>
      <c r="E1070" s="85">
        <f>STATS1003B!E1071/1000</f>
        <v>1953.989</v>
      </c>
      <c r="F1070" s="85">
        <f>STATS1003B!F1071/1000</f>
        <v>0</v>
      </c>
      <c r="G1070" s="85">
        <f>STATS1003B!G1071/1000</f>
        <v>0</v>
      </c>
      <c r="H1070" s="85">
        <f>STATS1003B!H1071/1000</f>
        <v>0</v>
      </c>
      <c r="I1070" s="85">
        <f>STATS1003B!I1071/1000</f>
        <v>0</v>
      </c>
      <c r="J1070" s="85">
        <f>STATS1003B!J1071/1000</f>
        <v>0</v>
      </c>
      <c r="K1070" s="85">
        <f>STATS1003B!K1071/1000</f>
        <v>0</v>
      </c>
      <c r="L1070" s="85">
        <f>STATS1003B!L1071/1000</f>
        <v>0</v>
      </c>
      <c r="M1070" s="85">
        <f>STATS1003B!M1071/1000</f>
        <v>0</v>
      </c>
      <c r="N1070" s="85">
        <f>STATS1003B!N1071/1000</f>
        <v>1953.989</v>
      </c>
      <c r="O1070" s="85">
        <f>STATS1003B!O1071/1000</f>
        <v>0</v>
      </c>
      <c r="P1070" s="85">
        <f>STATS1003B!P1071/1000</f>
        <v>1953.989</v>
      </c>
      <c r="Q1070" s="85">
        <f>STATS1003B!Q1071/1000</f>
        <v>0</v>
      </c>
      <c r="R1070" s="85">
        <f>STATS1003B!R1071/1000</f>
        <v>0</v>
      </c>
      <c r="S1070" s="85">
        <f>STATS1003B!S1071/1000</f>
        <v>0</v>
      </c>
      <c r="T1070" s="85">
        <f>STATS1003B!T1071/1000</f>
        <v>0</v>
      </c>
      <c r="U1070" s="85">
        <f>STATS1003B!U1071/1000</f>
        <v>1953.989</v>
      </c>
      <c r="V1070" s="85">
        <f>STATS1003B!V1071/1000</f>
        <v>1953.989</v>
      </c>
      <c r="W1070" s="85">
        <f>STATS1003B!W1071/1000</f>
        <v>0</v>
      </c>
      <c r="X1070" s="85">
        <f t="shared" si="132"/>
        <v>1953.989</v>
      </c>
      <c r="Y1070" s="85">
        <f>STATS1003B!Y1071/1000</f>
        <v>0</v>
      </c>
      <c r="Z1070" s="85">
        <f t="shared" si="133"/>
        <v>0</v>
      </c>
      <c r="AA1070" s="69">
        <f>STATS1003B!AA1071/1000</f>
        <v>1953.989</v>
      </c>
      <c r="AB1070" s="69">
        <f>STATS1003B!AB1071/1000</f>
        <v>0</v>
      </c>
    </row>
    <row r="1071" spans="1:28" hidden="1" x14ac:dyDescent="0.3">
      <c r="A1071" s="117"/>
      <c r="C1071" s="68" t="s">
        <v>248</v>
      </c>
      <c r="D1071" s="145" t="s">
        <v>85</v>
      </c>
      <c r="E1071" s="85">
        <f>STATS1003B!E1072/1000</f>
        <v>80</v>
      </c>
      <c r="F1071" s="85">
        <f>STATS1003B!F1072/1000</f>
        <v>80</v>
      </c>
      <c r="G1071" s="85">
        <f>STATS1003B!G1072/1000</f>
        <v>0</v>
      </c>
      <c r="H1071" s="85">
        <f>STATS1003B!H1072/1000</f>
        <v>80</v>
      </c>
      <c r="I1071" s="85">
        <f>STATS1003B!I1072/1000</f>
        <v>0</v>
      </c>
      <c r="J1071" s="85">
        <f>STATS1003B!J1072/1000</f>
        <v>0</v>
      </c>
      <c r="K1071" s="85">
        <f>STATS1003B!K1072/1000</f>
        <v>0</v>
      </c>
      <c r="L1071" s="85">
        <f>STATS1003B!L1072/1000</f>
        <v>0</v>
      </c>
      <c r="M1071" s="85">
        <f>STATS1003B!M1072/1000</f>
        <v>80</v>
      </c>
      <c r="N1071" s="85">
        <f>STATS1003B!N1072/1000</f>
        <v>0</v>
      </c>
      <c r="O1071" s="85">
        <f>STATS1003B!O1072/1000</f>
        <v>0</v>
      </c>
      <c r="P1071" s="85">
        <f>STATS1003B!P1072/1000</f>
        <v>0</v>
      </c>
      <c r="Q1071" s="85">
        <f>STATS1003B!Q1072/1000</f>
        <v>0</v>
      </c>
      <c r="R1071" s="85">
        <f>STATS1003B!R1072/1000</f>
        <v>0</v>
      </c>
      <c r="S1071" s="85">
        <f>STATS1003B!S1072/1000</f>
        <v>0</v>
      </c>
      <c r="T1071" s="85">
        <f>STATS1003B!T1072/1000</f>
        <v>0</v>
      </c>
      <c r="U1071" s="85">
        <f>STATS1003B!U1072/1000</f>
        <v>0</v>
      </c>
      <c r="V1071" s="85">
        <f>STATS1003B!V1072/1000</f>
        <v>80</v>
      </c>
      <c r="W1071" s="85">
        <f>STATS1003B!W1072/1000</f>
        <v>0</v>
      </c>
      <c r="X1071" s="85">
        <f t="shared" si="132"/>
        <v>80</v>
      </c>
      <c r="Y1071" s="85">
        <f>STATS1003B!Y1072/1000</f>
        <v>0</v>
      </c>
      <c r="Z1071" s="85">
        <f t="shared" si="133"/>
        <v>0</v>
      </c>
      <c r="AA1071" s="69">
        <f>STATS1003B!AA1072/1000</f>
        <v>80</v>
      </c>
      <c r="AB1071" s="69">
        <f>STATS1003B!AB1072/1000</f>
        <v>0</v>
      </c>
    </row>
    <row r="1072" spans="1:28" hidden="1" x14ac:dyDescent="0.3">
      <c r="A1072" s="117"/>
      <c r="C1072" s="68" t="s">
        <v>249</v>
      </c>
      <c r="D1072" s="145" t="s">
        <v>128</v>
      </c>
      <c r="E1072" s="85">
        <f>STATS1003B!E1073/1000</f>
        <v>1600</v>
      </c>
      <c r="F1072" s="85">
        <f>STATS1003B!F1073/1000</f>
        <v>1600</v>
      </c>
      <c r="G1072" s="85">
        <f>STATS1003B!G1073/1000</f>
        <v>0</v>
      </c>
      <c r="H1072" s="85">
        <f>STATS1003B!H1073/1000</f>
        <v>1600</v>
      </c>
      <c r="I1072" s="85">
        <f>STATS1003B!I1073/1000</f>
        <v>0</v>
      </c>
      <c r="J1072" s="85">
        <f>STATS1003B!J1073/1000</f>
        <v>0</v>
      </c>
      <c r="K1072" s="85">
        <f>STATS1003B!K1073/1000</f>
        <v>0</v>
      </c>
      <c r="L1072" s="85">
        <f>STATS1003B!L1073/1000</f>
        <v>0</v>
      </c>
      <c r="M1072" s="85">
        <f>STATS1003B!M1073/1000</f>
        <v>1600</v>
      </c>
      <c r="N1072" s="85">
        <f>STATS1003B!N1073/1000</f>
        <v>0</v>
      </c>
      <c r="O1072" s="85">
        <f>STATS1003B!O1073/1000</f>
        <v>0</v>
      </c>
      <c r="P1072" s="85">
        <f>STATS1003B!P1073/1000</f>
        <v>0</v>
      </c>
      <c r="Q1072" s="85">
        <f>STATS1003B!Q1073/1000</f>
        <v>0</v>
      </c>
      <c r="R1072" s="85">
        <f>STATS1003B!R1073/1000</f>
        <v>0</v>
      </c>
      <c r="S1072" s="85">
        <f>STATS1003B!S1073/1000</f>
        <v>0</v>
      </c>
      <c r="T1072" s="85">
        <f>STATS1003B!T1073/1000</f>
        <v>0</v>
      </c>
      <c r="U1072" s="85">
        <f>STATS1003B!U1073/1000</f>
        <v>0</v>
      </c>
      <c r="V1072" s="85">
        <f>STATS1003B!V1073/1000</f>
        <v>1600</v>
      </c>
      <c r="W1072" s="85">
        <f>STATS1003B!W1073/1000</f>
        <v>0</v>
      </c>
      <c r="X1072" s="85">
        <f t="shared" si="132"/>
        <v>1600</v>
      </c>
      <c r="Y1072" s="85">
        <f>STATS1003B!Y1073/1000</f>
        <v>0</v>
      </c>
      <c r="Z1072" s="85">
        <f t="shared" si="133"/>
        <v>0</v>
      </c>
      <c r="AA1072" s="69">
        <f>STATS1003B!AA1073/1000</f>
        <v>1600</v>
      </c>
      <c r="AB1072" s="69">
        <f>STATS1003B!AB1073/1000</f>
        <v>0</v>
      </c>
    </row>
    <row r="1073" spans="1:28" hidden="1" x14ac:dyDescent="0.3">
      <c r="A1073" s="117"/>
      <c r="C1073" s="68" t="s">
        <v>55</v>
      </c>
      <c r="D1073" s="145" t="s">
        <v>88</v>
      </c>
      <c r="E1073" s="85">
        <f>STATS1003B!E1074/1000</f>
        <v>2249.5153</v>
      </c>
      <c r="F1073" s="85">
        <f>STATS1003B!F1074/1000</f>
        <v>0</v>
      </c>
      <c r="G1073" s="85">
        <f>STATS1003B!G1074/1000</f>
        <v>0</v>
      </c>
      <c r="H1073" s="85">
        <f>STATS1003B!H1074/1000</f>
        <v>0</v>
      </c>
      <c r="I1073" s="85">
        <f>STATS1003B!I1074/1000</f>
        <v>0</v>
      </c>
      <c r="J1073" s="85">
        <f>STATS1003B!J1074/1000</f>
        <v>0</v>
      </c>
      <c r="K1073" s="85">
        <f>STATS1003B!K1074/1000</f>
        <v>0</v>
      </c>
      <c r="L1073" s="85">
        <f>STATS1003B!L1074/1000</f>
        <v>0</v>
      </c>
      <c r="M1073" s="85">
        <f>STATS1003B!M1074/1000</f>
        <v>0</v>
      </c>
      <c r="N1073" s="85">
        <f>STATS1003B!N1074/1000</f>
        <v>2249.5153</v>
      </c>
      <c r="O1073" s="85">
        <f>STATS1003B!O1074/1000</f>
        <v>0</v>
      </c>
      <c r="P1073" s="85">
        <f>STATS1003B!P1074/1000</f>
        <v>2249.5153</v>
      </c>
      <c r="Q1073" s="85">
        <f>STATS1003B!Q1074/1000</f>
        <v>0</v>
      </c>
      <c r="R1073" s="85">
        <f>STATS1003B!R1074/1000</f>
        <v>0</v>
      </c>
      <c r="S1073" s="85">
        <f>STATS1003B!S1074/1000</f>
        <v>0</v>
      </c>
      <c r="T1073" s="85">
        <f>STATS1003B!T1074/1000</f>
        <v>0</v>
      </c>
      <c r="U1073" s="85">
        <f>STATS1003B!U1074/1000</f>
        <v>2249.5153</v>
      </c>
      <c r="V1073" s="85">
        <f>STATS1003B!V1074/1000</f>
        <v>2249.5153</v>
      </c>
      <c r="W1073" s="85">
        <f>STATS1003B!W1074/1000</f>
        <v>0</v>
      </c>
      <c r="X1073" s="85">
        <f t="shared" si="132"/>
        <v>2249.5153</v>
      </c>
      <c r="Y1073" s="85">
        <f>STATS1003B!Y1074/1000</f>
        <v>0</v>
      </c>
      <c r="Z1073" s="85">
        <f t="shared" si="133"/>
        <v>0</v>
      </c>
      <c r="AA1073" s="69">
        <f>STATS1003B!AA1074/1000</f>
        <v>2249.5153</v>
      </c>
      <c r="AB1073" s="69">
        <f>STATS1003B!AB1074/1000</f>
        <v>0</v>
      </c>
    </row>
    <row r="1074" spans="1:28" hidden="1" x14ac:dyDescent="0.3">
      <c r="A1074" s="117"/>
      <c r="C1074" s="68" t="s">
        <v>57</v>
      </c>
      <c r="D1074" s="145" t="s">
        <v>58</v>
      </c>
      <c r="E1074" s="85">
        <f>STATS1003B!E1075/1000</f>
        <v>2049.6210000000001</v>
      </c>
      <c r="F1074" s="85">
        <f>STATS1003B!F1075/1000</f>
        <v>2049.6210000000001</v>
      </c>
      <c r="G1074" s="85">
        <f>STATS1003B!G1075/1000</f>
        <v>0</v>
      </c>
      <c r="H1074" s="85">
        <f>STATS1003B!H1075/1000</f>
        <v>2049.6210000000001</v>
      </c>
      <c r="I1074" s="85">
        <f>STATS1003B!I1075/1000</f>
        <v>0</v>
      </c>
      <c r="J1074" s="85">
        <f>STATS1003B!J1075/1000</f>
        <v>0</v>
      </c>
      <c r="K1074" s="85">
        <f>STATS1003B!K1075/1000</f>
        <v>0</v>
      </c>
      <c r="L1074" s="85">
        <f>STATS1003B!L1075/1000</f>
        <v>0</v>
      </c>
      <c r="M1074" s="85">
        <f>STATS1003B!M1075/1000</f>
        <v>2049.6210000000001</v>
      </c>
      <c r="N1074" s="85">
        <f>STATS1003B!N1075/1000</f>
        <v>0</v>
      </c>
      <c r="O1074" s="85">
        <f>STATS1003B!O1075/1000</f>
        <v>0</v>
      </c>
      <c r="P1074" s="85">
        <f>STATS1003B!P1075/1000</f>
        <v>0</v>
      </c>
      <c r="Q1074" s="85">
        <f>STATS1003B!Q1075/1000</f>
        <v>0</v>
      </c>
      <c r="R1074" s="85">
        <f>STATS1003B!R1075/1000</f>
        <v>0</v>
      </c>
      <c r="S1074" s="85">
        <f>STATS1003B!S1075/1000</f>
        <v>0</v>
      </c>
      <c r="T1074" s="85">
        <f>STATS1003B!T1075/1000</f>
        <v>0</v>
      </c>
      <c r="U1074" s="85">
        <f>STATS1003B!U1075/1000</f>
        <v>0</v>
      </c>
      <c r="V1074" s="85">
        <f>STATS1003B!V1075/1000</f>
        <v>2049.6210000000001</v>
      </c>
      <c r="W1074" s="85">
        <f>STATS1003B!W1075/1000</f>
        <v>0</v>
      </c>
      <c r="X1074" s="85">
        <f t="shared" si="132"/>
        <v>2049.6210000000001</v>
      </c>
      <c r="Y1074" s="85">
        <f>STATS1003B!Y1075/1000</f>
        <v>0</v>
      </c>
      <c r="Z1074" s="85">
        <f t="shared" si="133"/>
        <v>0</v>
      </c>
      <c r="AA1074" s="69">
        <f>STATS1003B!AA1075/1000</f>
        <v>2049.6210000000001</v>
      </c>
      <c r="AB1074" s="69">
        <f>STATS1003B!AB1075/1000</f>
        <v>0</v>
      </c>
    </row>
    <row r="1075" spans="1:28" hidden="1" x14ac:dyDescent="0.3">
      <c r="A1075" s="117"/>
      <c r="C1075" s="71" t="s">
        <v>109</v>
      </c>
      <c r="D1075" s="88" t="s">
        <v>60</v>
      </c>
      <c r="E1075" s="85">
        <f>STATS1003B!E1076/1000</f>
        <v>1502.2619099999999</v>
      </c>
      <c r="F1075" s="85">
        <f>STATS1003B!F1076/1000</f>
        <v>1502.2619099999999</v>
      </c>
      <c r="G1075" s="85">
        <f>STATS1003B!G1076/1000</f>
        <v>0</v>
      </c>
      <c r="H1075" s="85">
        <f>STATS1003B!H1076/1000</f>
        <v>1502.2619099999999</v>
      </c>
      <c r="I1075" s="85">
        <f>STATS1003B!I1076/1000</f>
        <v>0</v>
      </c>
      <c r="J1075" s="85">
        <f>STATS1003B!J1076/1000</f>
        <v>0</v>
      </c>
      <c r="K1075" s="85">
        <f>STATS1003B!K1076/1000</f>
        <v>0</v>
      </c>
      <c r="L1075" s="85">
        <f>STATS1003B!L1076/1000</f>
        <v>0</v>
      </c>
      <c r="M1075" s="85">
        <f>STATS1003B!M1076/1000</f>
        <v>1502.2619099999999</v>
      </c>
      <c r="N1075" s="85">
        <f>STATS1003B!N1076/1000</f>
        <v>0</v>
      </c>
      <c r="O1075" s="85">
        <f>STATS1003B!O1076/1000</f>
        <v>0</v>
      </c>
      <c r="P1075" s="85">
        <f>STATS1003B!P1076/1000</f>
        <v>0</v>
      </c>
      <c r="Q1075" s="85">
        <f>STATS1003B!Q1076/1000</f>
        <v>0</v>
      </c>
      <c r="R1075" s="85">
        <f>STATS1003B!R1076/1000</f>
        <v>0</v>
      </c>
      <c r="S1075" s="85">
        <f>STATS1003B!S1076/1000</f>
        <v>0</v>
      </c>
      <c r="T1075" s="85">
        <f>STATS1003B!T1076/1000</f>
        <v>0</v>
      </c>
      <c r="U1075" s="85">
        <f>STATS1003B!U1076/1000</f>
        <v>0</v>
      </c>
      <c r="V1075" s="85">
        <f>STATS1003B!V1076/1000</f>
        <v>1502.2619099999999</v>
      </c>
      <c r="W1075" s="85">
        <f>STATS1003B!W1076/1000</f>
        <v>0</v>
      </c>
      <c r="X1075" s="85">
        <f t="shared" si="132"/>
        <v>1502.2619099999999</v>
      </c>
      <c r="Y1075" s="85">
        <f>STATS1003B!Y1076/1000</f>
        <v>0</v>
      </c>
      <c r="Z1075" s="85">
        <f t="shared" si="133"/>
        <v>0</v>
      </c>
      <c r="AA1075" s="69">
        <f>STATS1003B!AA1076/1000</f>
        <v>1502.2619099999999</v>
      </c>
      <c r="AB1075" s="69">
        <f>STATS1003B!AB1076/1000</f>
        <v>0</v>
      </c>
    </row>
    <row r="1076" spans="1:28" hidden="1" x14ac:dyDescent="0.3">
      <c r="A1076" s="117"/>
      <c r="C1076" s="71" t="s">
        <v>1117</v>
      </c>
      <c r="D1076" s="89" t="s">
        <v>1072</v>
      </c>
      <c r="E1076" s="85">
        <f>STATS1003B!E1077/1000</f>
        <v>300</v>
      </c>
      <c r="F1076" s="85">
        <f>STATS1003B!F1077/1000</f>
        <v>300</v>
      </c>
      <c r="G1076" s="85">
        <f>STATS1003B!G1077/1000</f>
        <v>0</v>
      </c>
      <c r="H1076" s="85">
        <f>STATS1003B!H1077/1000</f>
        <v>300</v>
      </c>
      <c r="I1076" s="85">
        <f>STATS1003B!I1077/1000</f>
        <v>0</v>
      </c>
      <c r="J1076" s="85">
        <f>STATS1003B!J1077/1000</f>
        <v>0</v>
      </c>
      <c r="K1076" s="85">
        <f>STATS1003B!K1077/1000</f>
        <v>0</v>
      </c>
      <c r="L1076" s="85">
        <f>STATS1003B!L1077/1000</f>
        <v>0</v>
      </c>
      <c r="M1076" s="85">
        <f>STATS1003B!M1077/1000</f>
        <v>300</v>
      </c>
      <c r="N1076" s="85">
        <f>STATS1003B!N1077/1000</f>
        <v>0</v>
      </c>
      <c r="O1076" s="85">
        <f>STATS1003B!O1077/1000</f>
        <v>0</v>
      </c>
      <c r="P1076" s="85">
        <f>STATS1003B!P1077/1000</f>
        <v>0</v>
      </c>
      <c r="Q1076" s="85">
        <f>STATS1003B!Q1077/1000</f>
        <v>0</v>
      </c>
      <c r="R1076" s="85">
        <f>STATS1003B!R1077/1000</f>
        <v>0</v>
      </c>
      <c r="S1076" s="85">
        <f>STATS1003B!S1077/1000</f>
        <v>0</v>
      </c>
      <c r="T1076" s="85">
        <f>STATS1003B!T1077/1000</f>
        <v>0</v>
      </c>
      <c r="U1076" s="85">
        <f>STATS1003B!U1077/1000</f>
        <v>0</v>
      </c>
      <c r="V1076" s="85">
        <f>STATS1003B!V1077/1000</f>
        <v>300</v>
      </c>
      <c r="W1076" s="85">
        <f>STATS1003B!W1077/1000</f>
        <v>0</v>
      </c>
      <c r="X1076" s="85">
        <f t="shared" si="132"/>
        <v>300</v>
      </c>
      <c r="Y1076" s="85">
        <f>STATS1003B!Y1077/1000</f>
        <v>0</v>
      </c>
      <c r="Z1076" s="85">
        <f t="shared" si="133"/>
        <v>0</v>
      </c>
      <c r="AA1076" s="69">
        <f>STATS1003B!AA1077/1000</f>
        <v>300</v>
      </c>
      <c r="AB1076" s="69">
        <f>STATS1003B!AB1077/1000</f>
        <v>0</v>
      </c>
    </row>
    <row r="1077" spans="1:28" hidden="1" x14ac:dyDescent="0.3">
      <c r="A1077" s="117"/>
      <c r="C1077" s="71" t="s">
        <v>930</v>
      </c>
      <c r="D1077" s="88"/>
      <c r="E1077" s="85">
        <f>STATS1003B!E1078/1000</f>
        <v>2163.3572899999999</v>
      </c>
      <c r="F1077" s="85">
        <f>STATS1003B!F1078/1000</f>
        <v>2163.3572899999999</v>
      </c>
      <c r="G1077" s="85">
        <f>STATS1003B!G1078/1000</f>
        <v>0</v>
      </c>
      <c r="H1077" s="85">
        <f>STATS1003B!H1078/1000</f>
        <v>2163.3572899999999</v>
      </c>
      <c r="I1077" s="85">
        <f>STATS1003B!I1078/1000</f>
        <v>0</v>
      </c>
      <c r="J1077" s="85">
        <f>STATS1003B!J1078/1000</f>
        <v>0</v>
      </c>
      <c r="K1077" s="85">
        <f>STATS1003B!K1078/1000</f>
        <v>0</v>
      </c>
      <c r="L1077" s="85">
        <f>STATS1003B!L1078/1000</f>
        <v>0</v>
      </c>
      <c r="M1077" s="85">
        <f>STATS1003B!M1078/1000</f>
        <v>2163.3572899999999</v>
      </c>
      <c r="N1077" s="85">
        <f>STATS1003B!N1078/1000</f>
        <v>0</v>
      </c>
      <c r="O1077" s="85">
        <f>STATS1003B!O1078/1000</f>
        <v>0</v>
      </c>
      <c r="P1077" s="85">
        <f>STATS1003B!P1078/1000</f>
        <v>0</v>
      </c>
      <c r="Q1077" s="85">
        <f>STATS1003B!Q1078/1000</f>
        <v>0</v>
      </c>
      <c r="R1077" s="85">
        <f>STATS1003B!R1078/1000</f>
        <v>0</v>
      </c>
      <c r="S1077" s="85">
        <f>STATS1003B!S1078/1000</f>
        <v>0</v>
      </c>
      <c r="T1077" s="85">
        <f>STATS1003B!T1078/1000</f>
        <v>0</v>
      </c>
      <c r="U1077" s="85">
        <f>STATS1003B!U1078/1000</f>
        <v>0</v>
      </c>
      <c r="V1077" s="85">
        <f>STATS1003B!V1078/1000</f>
        <v>2163.3572899999999</v>
      </c>
      <c r="W1077" s="85">
        <f>STATS1003B!W1078/1000</f>
        <v>0</v>
      </c>
      <c r="X1077" s="85">
        <f t="shared" si="132"/>
        <v>2163.3572899999999</v>
      </c>
      <c r="Y1077" s="85">
        <f>STATS1003B!Y1078/1000</f>
        <v>0</v>
      </c>
      <c r="Z1077" s="85">
        <f t="shared" si="133"/>
        <v>0</v>
      </c>
      <c r="AA1077" s="69">
        <f>STATS1003B!AA1078/1000</f>
        <v>2163.3572899999999</v>
      </c>
      <c r="AB1077" s="69">
        <f>STATS1003B!AB1078/1000</f>
        <v>0</v>
      </c>
    </row>
    <row r="1078" spans="1:28" hidden="1" x14ac:dyDescent="0.3">
      <c r="A1078" s="117"/>
      <c r="C1078" s="71" t="s">
        <v>1129</v>
      </c>
      <c r="D1078" s="89" t="s">
        <v>1126</v>
      </c>
      <c r="E1078" s="85">
        <f>STATS1003B!E1079/1000</f>
        <v>2015.8043899999998</v>
      </c>
      <c r="F1078" s="85">
        <f>STATS1003B!F1079/1000</f>
        <v>2015.8043899999998</v>
      </c>
      <c r="G1078" s="85">
        <f>STATS1003B!G1079/1000</f>
        <v>0</v>
      </c>
      <c r="H1078" s="85">
        <f>STATS1003B!H1079/1000</f>
        <v>2015.8043899999998</v>
      </c>
      <c r="I1078" s="85">
        <f>STATS1003B!I1079/1000</f>
        <v>0</v>
      </c>
      <c r="J1078" s="85">
        <f>STATS1003B!J1079/1000</f>
        <v>0</v>
      </c>
      <c r="K1078" s="85">
        <f>STATS1003B!K1079/1000</f>
        <v>0</v>
      </c>
      <c r="L1078" s="85">
        <f>STATS1003B!L1079/1000</f>
        <v>0</v>
      </c>
      <c r="M1078" s="85">
        <f>STATS1003B!M1079/1000</f>
        <v>2015.8043899999998</v>
      </c>
      <c r="N1078" s="85">
        <f>STATS1003B!N1079/1000</f>
        <v>0</v>
      </c>
      <c r="O1078" s="85">
        <f>STATS1003B!O1079/1000</f>
        <v>0</v>
      </c>
      <c r="P1078" s="85">
        <f>STATS1003B!P1079/1000</f>
        <v>0</v>
      </c>
      <c r="Q1078" s="85">
        <f>STATS1003B!Q1079/1000</f>
        <v>0</v>
      </c>
      <c r="R1078" s="85">
        <f>STATS1003B!R1079/1000</f>
        <v>0</v>
      </c>
      <c r="S1078" s="85">
        <f>STATS1003B!S1079/1000</f>
        <v>0</v>
      </c>
      <c r="T1078" s="85">
        <f>STATS1003B!T1079/1000</f>
        <v>0</v>
      </c>
      <c r="U1078" s="85">
        <f>STATS1003B!U1079/1000</f>
        <v>0</v>
      </c>
      <c r="V1078" s="85">
        <f>STATS1003B!V1079/1000</f>
        <v>0</v>
      </c>
      <c r="W1078" s="85">
        <f>STATS1003B!W1079/1000</f>
        <v>0</v>
      </c>
      <c r="X1078" s="85">
        <f t="shared" si="132"/>
        <v>2015.8043899999998</v>
      </c>
      <c r="Y1078" s="85">
        <f>STATS1003B!Y1079/1000</f>
        <v>0</v>
      </c>
      <c r="Z1078" s="85">
        <f t="shared" si="133"/>
        <v>0</v>
      </c>
      <c r="AA1078" s="69">
        <f>STATS1003B!AA1079/1000</f>
        <v>2015.8043899999998</v>
      </c>
      <c r="AB1078" s="69">
        <f>STATS1003B!AB1079/1000</f>
        <v>0</v>
      </c>
    </row>
    <row r="1079" spans="1:28" hidden="1" x14ac:dyDescent="0.3">
      <c r="A1079" s="117"/>
      <c r="C1079" s="71" t="s">
        <v>1079</v>
      </c>
      <c r="D1079" s="89" t="s">
        <v>1072</v>
      </c>
      <c r="E1079" s="85">
        <f>STATS1003B!E1080/1000</f>
        <v>2993.51316</v>
      </c>
      <c r="F1079" s="85">
        <f>STATS1003B!F1080/1000</f>
        <v>2993.51316</v>
      </c>
      <c r="G1079" s="85">
        <f>STATS1003B!G1080/1000</f>
        <v>0</v>
      </c>
      <c r="H1079" s="85">
        <f>STATS1003B!H1080/1000</f>
        <v>2993.51316</v>
      </c>
      <c r="I1079" s="85">
        <f>STATS1003B!I1080/1000</f>
        <v>0</v>
      </c>
      <c r="J1079" s="85">
        <f>STATS1003B!J1080/1000</f>
        <v>0</v>
      </c>
      <c r="K1079" s="85">
        <f>STATS1003B!K1080/1000</f>
        <v>0</v>
      </c>
      <c r="L1079" s="85">
        <f>STATS1003B!L1080/1000</f>
        <v>0</v>
      </c>
      <c r="M1079" s="85">
        <f>STATS1003B!M1080/1000</f>
        <v>2993.51316</v>
      </c>
      <c r="N1079" s="85">
        <f>STATS1003B!N1080/1000</f>
        <v>0</v>
      </c>
      <c r="O1079" s="85">
        <f>STATS1003B!O1080/1000</f>
        <v>0</v>
      </c>
      <c r="P1079" s="85">
        <f>STATS1003B!P1080/1000</f>
        <v>0</v>
      </c>
      <c r="Q1079" s="85">
        <f>STATS1003B!Q1080/1000</f>
        <v>0</v>
      </c>
      <c r="R1079" s="85">
        <f>STATS1003B!R1080/1000</f>
        <v>0</v>
      </c>
      <c r="S1079" s="85">
        <f>STATS1003B!S1080/1000</f>
        <v>0</v>
      </c>
      <c r="T1079" s="85">
        <f>STATS1003B!T1080/1000</f>
        <v>0</v>
      </c>
      <c r="U1079" s="85">
        <f>STATS1003B!U1080/1000</f>
        <v>0</v>
      </c>
      <c r="V1079" s="85">
        <f>STATS1003B!V1080/1000</f>
        <v>0</v>
      </c>
      <c r="W1079" s="85">
        <f>STATS1003B!W1080/1000</f>
        <v>0</v>
      </c>
      <c r="X1079" s="85">
        <f t="shared" si="132"/>
        <v>2993.51316</v>
      </c>
      <c r="Y1079" s="85">
        <f>STATS1003B!Y1080/1000</f>
        <v>0</v>
      </c>
      <c r="Z1079" s="85">
        <f t="shared" si="133"/>
        <v>0</v>
      </c>
      <c r="AA1079" s="69">
        <f>STATS1003B!AA1080/1000</f>
        <v>2993.51316</v>
      </c>
      <c r="AB1079" s="69">
        <f>STATS1003B!AB1080/1000</f>
        <v>0</v>
      </c>
    </row>
    <row r="1080" spans="1:28" hidden="1" x14ac:dyDescent="0.3">
      <c r="A1080" s="117"/>
      <c r="C1080" s="71" t="s">
        <v>1176</v>
      </c>
      <c r="D1080" s="89" t="s">
        <v>1126</v>
      </c>
      <c r="E1080" s="85">
        <f>STATS1003B!E1081/1000</f>
        <v>3456.0763500000003</v>
      </c>
      <c r="F1080" s="85">
        <f>STATS1003B!F1081/1000</f>
        <v>3456.0763500000003</v>
      </c>
      <c r="G1080" s="85">
        <f>STATS1003B!G1081/1000</f>
        <v>0</v>
      </c>
      <c r="H1080" s="85">
        <f>STATS1003B!H1081/1000</f>
        <v>3456.0763500000003</v>
      </c>
      <c r="I1080" s="85">
        <f>STATS1003B!I1081/1000</f>
        <v>0</v>
      </c>
      <c r="J1080" s="85">
        <f>STATS1003B!J1081/1000</f>
        <v>0</v>
      </c>
      <c r="K1080" s="85">
        <f>STATS1003B!K1081/1000</f>
        <v>0</v>
      </c>
      <c r="L1080" s="85">
        <f>STATS1003B!L1081/1000</f>
        <v>0</v>
      </c>
      <c r="M1080" s="85">
        <f>STATS1003B!M1081/1000</f>
        <v>3456.0763500000003</v>
      </c>
      <c r="N1080" s="85">
        <f>STATS1003B!N1081/1000</f>
        <v>0</v>
      </c>
      <c r="O1080" s="85">
        <f>STATS1003B!O1081/1000</f>
        <v>0</v>
      </c>
      <c r="P1080" s="85">
        <f>STATS1003B!P1081/1000</f>
        <v>0</v>
      </c>
      <c r="Q1080" s="85">
        <f>STATS1003B!Q1081/1000</f>
        <v>0</v>
      </c>
      <c r="R1080" s="85">
        <f>STATS1003B!R1081/1000</f>
        <v>0</v>
      </c>
      <c r="S1080" s="85">
        <f>STATS1003B!S1081/1000</f>
        <v>0</v>
      </c>
      <c r="T1080" s="85">
        <f>STATS1003B!T1081/1000</f>
        <v>0</v>
      </c>
      <c r="U1080" s="85">
        <f>STATS1003B!U1081/1000</f>
        <v>0</v>
      </c>
      <c r="V1080" s="85">
        <f>STATS1003B!V1081/1000</f>
        <v>0</v>
      </c>
      <c r="W1080" s="85">
        <f>STATS1003B!W1081/1000</f>
        <v>0</v>
      </c>
      <c r="X1080" s="85">
        <f t="shared" si="132"/>
        <v>3456.0763500000003</v>
      </c>
      <c r="Y1080" s="85">
        <f>STATS1003B!Y1081/1000</f>
        <v>0</v>
      </c>
      <c r="Z1080" s="85">
        <f t="shared" si="133"/>
        <v>0</v>
      </c>
      <c r="AA1080" s="69">
        <f>STATS1003B!AA1081/1000</f>
        <v>3456.0763500000003</v>
      </c>
      <c r="AB1080" s="69">
        <f>STATS1003B!AB1081/1000</f>
        <v>0</v>
      </c>
    </row>
    <row r="1081" spans="1:28" hidden="1" x14ac:dyDescent="0.3">
      <c r="A1081" s="117"/>
      <c r="C1081" s="68" t="s">
        <v>57</v>
      </c>
      <c r="D1081" s="145" t="s">
        <v>60</v>
      </c>
      <c r="E1081" s="85">
        <f>STATS1003B!E1082/1000</f>
        <v>2171.0540000000001</v>
      </c>
      <c r="F1081" s="85">
        <f>STATS1003B!F1082/1000</f>
        <v>2171.0540000000001</v>
      </c>
      <c r="G1081" s="85">
        <f>STATS1003B!G1082/1000</f>
        <v>0</v>
      </c>
      <c r="H1081" s="85">
        <f>STATS1003B!H1082/1000</f>
        <v>2171.0540000000001</v>
      </c>
      <c r="I1081" s="85">
        <f>STATS1003B!I1082/1000</f>
        <v>0</v>
      </c>
      <c r="J1081" s="85">
        <f>STATS1003B!J1082/1000</f>
        <v>0</v>
      </c>
      <c r="K1081" s="85">
        <f>STATS1003B!K1082/1000</f>
        <v>0</v>
      </c>
      <c r="L1081" s="85">
        <f>STATS1003B!L1082/1000</f>
        <v>0</v>
      </c>
      <c r="M1081" s="85">
        <f>STATS1003B!M1082/1000</f>
        <v>2171.0540000000001</v>
      </c>
      <c r="N1081" s="85">
        <f>STATS1003B!N1082/1000</f>
        <v>0</v>
      </c>
      <c r="O1081" s="85">
        <f>STATS1003B!O1082/1000</f>
        <v>0</v>
      </c>
      <c r="P1081" s="85">
        <f>STATS1003B!P1082/1000</f>
        <v>0</v>
      </c>
      <c r="Q1081" s="85">
        <f>STATS1003B!Q1082/1000</f>
        <v>0</v>
      </c>
      <c r="R1081" s="85">
        <f>STATS1003B!R1082/1000</f>
        <v>0</v>
      </c>
      <c r="S1081" s="85">
        <f>STATS1003B!S1082/1000</f>
        <v>0</v>
      </c>
      <c r="T1081" s="85">
        <f>STATS1003B!T1082/1000</f>
        <v>0</v>
      </c>
      <c r="U1081" s="85">
        <f>STATS1003B!U1082/1000</f>
        <v>0</v>
      </c>
      <c r="V1081" s="85">
        <f>STATS1003B!V1082/1000</f>
        <v>2171.0540000000001</v>
      </c>
      <c r="W1081" s="85">
        <f>STATS1003B!W1082/1000</f>
        <v>0</v>
      </c>
      <c r="X1081" s="85">
        <f t="shared" si="132"/>
        <v>2171.0540000000001</v>
      </c>
      <c r="Y1081" s="85">
        <f>STATS1003B!Y1082/1000</f>
        <v>0</v>
      </c>
      <c r="Z1081" s="85">
        <f t="shared" si="133"/>
        <v>0</v>
      </c>
      <c r="AA1081" s="69">
        <f>STATS1003B!AA1082/1000</f>
        <v>2171.0540000000001</v>
      </c>
      <c r="AB1081" s="69">
        <f>STATS1003B!AB1082/1000</f>
        <v>0</v>
      </c>
    </row>
    <row r="1082" spans="1:28" hidden="1" x14ac:dyDescent="0.3">
      <c r="A1082" s="117"/>
      <c r="C1082" s="68" t="s">
        <v>57</v>
      </c>
      <c r="D1082" s="145" t="s">
        <v>73</v>
      </c>
      <c r="E1082" s="85">
        <f>STATS1003B!E1083/1000</f>
        <v>1001</v>
      </c>
      <c r="F1082" s="85">
        <f>STATS1003B!F1083/1000</f>
        <v>1001</v>
      </c>
      <c r="G1082" s="85">
        <f>STATS1003B!G1083/1000</f>
        <v>0</v>
      </c>
      <c r="H1082" s="85">
        <f>STATS1003B!H1083/1000</f>
        <v>1001</v>
      </c>
      <c r="I1082" s="85">
        <f>STATS1003B!I1083/1000</f>
        <v>0</v>
      </c>
      <c r="J1082" s="85">
        <f>STATS1003B!J1083/1000</f>
        <v>0</v>
      </c>
      <c r="K1082" s="85">
        <f>STATS1003B!K1083/1000</f>
        <v>0</v>
      </c>
      <c r="L1082" s="85">
        <f>STATS1003B!L1083/1000</f>
        <v>0</v>
      </c>
      <c r="M1082" s="85">
        <f>STATS1003B!M1083/1000</f>
        <v>1001</v>
      </c>
      <c r="N1082" s="85">
        <f>STATS1003B!N1083/1000</f>
        <v>0</v>
      </c>
      <c r="O1082" s="85">
        <f>STATS1003B!O1083/1000</f>
        <v>0</v>
      </c>
      <c r="P1082" s="85">
        <f>STATS1003B!P1083/1000</f>
        <v>0</v>
      </c>
      <c r="Q1082" s="85">
        <f>STATS1003B!Q1083/1000</f>
        <v>0</v>
      </c>
      <c r="R1082" s="85">
        <f>STATS1003B!R1083/1000</f>
        <v>0</v>
      </c>
      <c r="S1082" s="85">
        <f>STATS1003B!S1083/1000</f>
        <v>0</v>
      </c>
      <c r="T1082" s="85">
        <f>STATS1003B!T1083/1000</f>
        <v>0</v>
      </c>
      <c r="U1082" s="85">
        <f>STATS1003B!U1083/1000</f>
        <v>0</v>
      </c>
      <c r="V1082" s="85">
        <f>STATS1003B!V1083/1000</f>
        <v>1001</v>
      </c>
      <c r="W1082" s="85">
        <f>STATS1003B!W1083/1000</f>
        <v>0</v>
      </c>
      <c r="X1082" s="85">
        <f t="shared" si="132"/>
        <v>1001</v>
      </c>
      <c r="Y1082" s="85">
        <f>STATS1003B!Y1083/1000</f>
        <v>0</v>
      </c>
      <c r="Z1082" s="85">
        <f t="shared" si="133"/>
        <v>0</v>
      </c>
      <c r="AA1082" s="69">
        <f>STATS1003B!AA1083/1000</f>
        <v>1001</v>
      </c>
      <c r="AB1082" s="69">
        <f>STATS1003B!AB1083/1000</f>
        <v>0</v>
      </c>
    </row>
    <row r="1083" spans="1:28" hidden="1" x14ac:dyDescent="0.3">
      <c r="A1083" s="117"/>
      <c r="C1083" s="68" t="s">
        <v>57</v>
      </c>
      <c r="D1083" s="90" t="s">
        <v>61</v>
      </c>
      <c r="E1083" s="85">
        <f>STATS1003B!E1084/1000</f>
        <v>787.80641000000003</v>
      </c>
      <c r="F1083" s="85">
        <f>STATS1003B!F1084/1000</f>
        <v>750</v>
      </c>
      <c r="G1083" s="85">
        <f>STATS1003B!G1084/1000</f>
        <v>0</v>
      </c>
      <c r="H1083" s="85">
        <f>STATS1003B!H1084/1000</f>
        <v>750</v>
      </c>
      <c r="I1083" s="85">
        <f>STATS1003B!I1084/1000</f>
        <v>0</v>
      </c>
      <c r="J1083" s="85">
        <f>STATS1003B!J1084/1000</f>
        <v>0</v>
      </c>
      <c r="K1083" s="85">
        <f>STATS1003B!K1084/1000</f>
        <v>0</v>
      </c>
      <c r="L1083" s="85">
        <f>STATS1003B!L1084/1000</f>
        <v>0</v>
      </c>
      <c r="M1083" s="85">
        <f>STATS1003B!M1084/1000</f>
        <v>750</v>
      </c>
      <c r="N1083" s="85">
        <f>STATS1003B!N1084/1000</f>
        <v>0</v>
      </c>
      <c r="O1083" s="85">
        <f>STATS1003B!O1084/1000</f>
        <v>0</v>
      </c>
      <c r="P1083" s="85">
        <f>STATS1003B!P1084/1000</f>
        <v>0</v>
      </c>
      <c r="Q1083" s="85">
        <f>STATS1003B!Q1084/1000</f>
        <v>37.806410000000007</v>
      </c>
      <c r="R1083" s="85">
        <f>STATS1003B!R1084/1000</f>
        <v>0</v>
      </c>
      <c r="S1083" s="85">
        <f>STATS1003B!S1084/1000</f>
        <v>0</v>
      </c>
      <c r="T1083" s="85">
        <f>STATS1003B!T1084/1000</f>
        <v>37.806410000000007</v>
      </c>
      <c r="U1083" s="85">
        <f>STATS1003B!U1084/1000</f>
        <v>37.806410000000007</v>
      </c>
      <c r="V1083" s="85">
        <f>STATS1003B!V1084/1000</f>
        <v>750</v>
      </c>
      <c r="W1083" s="85">
        <f>STATS1003B!W1084/1000</f>
        <v>37.806410000000035</v>
      </c>
      <c r="X1083" s="85">
        <f t="shared" si="132"/>
        <v>750</v>
      </c>
      <c r="Y1083" s="85">
        <f>STATS1003B!Y1084/1000</f>
        <v>0</v>
      </c>
      <c r="Z1083" s="85">
        <f t="shared" si="133"/>
        <v>37.806410000000028</v>
      </c>
      <c r="AA1083" s="69">
        <f>STATS1003B!AA1084/1000</f>
        <v>787.80641000000003</v>
      </c>
      <c r="AB1083" s="69">
        <f>STATS1003B!AB1084/1000</f>
        <v>0</v>
      </c>
    </row>
    <row r="1084" spans="1:28" hidden="1" x14ac:dyDescent="0.3">
      <c r="A1084" s="117"/>
      <c r="E1084" s="86" t="s">
        <v>29</v>
      </c>
      <c r="F1084" s="86" t="s">
        <v>29</v>
      </c>
      <c r="G1084" s="86" t="s">
        <v>29</v>
      </c>
      <c r="H1084" s="86" t="s">
        <v>29</v>
      </c>
      <c r="I1084" s="86" t="s">
        <v>29</v>
      </c>
      <c r="J1084" s="86" t="s">
        <v>29</v>
      </c>
      <c r="K1084" s="86" t="s">
        <v>29</v>
      </c>
      <c r="L1084" s="86" t="s">
        <v>29</v>
      </c>
      <c r="M1084" s="86" t="s">
        <v>29</v>
      </c>
      <c r="N1084" s="86" t="s">
        <v>29</v>
      </c>
      <c r="O1084" s="86" t="s">
        <v>29</v>
      </c>
      <c r="P1084" s="86" t="s">
        <v>29</v>
      </c>
      <c r="Q1084" s="86" t="s">
        <v>29</v>
      </c>
      <c r="R1084" s="86" t="s">
        <v>29</v>
      </c>
      <c r="S1084" s="86" t="s">
        <v>29</v>
      </c>
      <c r="T1084" s="86" t="s">
        <v>29</v>
      </c>
      <c r="U1084" s="86" t="s">
        <v>29</v>
      </c>
      <c r="V1084" s="86" t="s">
        <v>29</v>
      </c>
      <c r="W1084" s="86" t="s">
        <v>29</v>
      </c>
      <c r="X1084" s="85" t="e">
        <f t="shared" si="132"/>
        <v>#VALUE!</v>
      </c>
      <c r="Y1084" s="86" t="s">
        <v>29</v>
      </c>
      <c r="Z1084" s="85" t="e">
        <f t="shared" si="133"/>
        <v>#VALUE!</v>
      </c>
      <c r="AA1084" s="115" t="s">
        <v>29</v>
      </c>
      <c r="AB1084" s="115" t="s">
        <v>29</v>
      </c>
    </row>
    <row r="1085" spans="1:28" x14ac:dyDescent="0.3">
      <c r="A1085" s="116">
        <v>50</v>
      </c>
      <c r="B1085" s="68" t="s">
        <v>246</v>
      </c>
      <c r="E1085" s="85">
        <f>118503942.28/1000</f>
        <v>118503.94228</v>
      </c>
      <c r="F1085" s="85">
        <f t="shared" ref="F1085:AB1085" si="135">SUM(F1068:F1083)</f>
        <v>25127.866099999996</v>
      </c>
      <c r="G1085" s="85">
        <f t="shared" si="135"/>
        <v>0</v>
      </c>
      <c r="H1085" s="85">
        <f>113282041.98/1000</f>
        <v>113282.04198000001</v>
      </c>
      <c r="I1085" s="85">
        <f t="shared" si="135"/>
        <v>0</v>
      </c>
      <c r="J1085" s="85">
        <f t="shared" si="135"/>
        <v>0</v>
      </c>
      <c r="K1085" s="85">
        <f t="shared" si="135"/>
        <v>0</v>
      </c>
      <c r="L1085" s="85">
        <f t="shared" si="135"/>
        <v>0</v>
      </c>
      <c r="M1085" s="85">
        <f t="shared" si="135"/>
        <v>25127.866099999996</v>
      </c>
      <c r="N1085" s="85">
        <f t="shared" si="135"/>
        <v>5184.0938900000001</v>
      </c>
      <c r="O1085" s="85">
        <f t="shared" si="135"/>
        <v>0</v>
      </c>
      <c r="P1085" s="85">
        <f>5184093/1000</f>
        <v>5184.0929999999998</v>
      </c>
      <c r="Q1085" s="85">
        <f t="shared" si="135"/>
        <v>37.806410000000007</v>
      </c>
      <c r="R1085" s="85">
        <f t="shared" si="135"/>
        <v>0</v>
      </c>
      <c r="S1085" s="85">
        <f t="shared" si="135"/>
        <v>0</v>
      </c>
      <c r="T1085" s="85">
        <f t="shared" si="135"/>
        <v>37.806410000000007</v>
      </c>
      <c r="U1085" s="85">
        <f t="shared" si="135"/>
        <v>5221.9003000000002</v>
      </c>
      <c r="V1085" s="85">
        <f t="shared" si="135"/>
        <v>21846.566089999997</v>
      </c>
      <c r="W1085" s="85">
        <f t="shared" si="135"/>
        <v>37.806410000000035</v>
      </c>
      <c r="X1085" s="85">
        <f>+H1085+P1085</f>
        <v>118466.13498</v>
      </c>
      <c r="Y1085" s="85">
        <f t="shared" si="135"/>
        <v>0</v>
      </c>
      <c r="Z1085" s="85">
        <f t="shared" si="133"/>
        <v>37.807300000000396</v>
      </c>
      <c r="AA1085" s="69">
        <f t="shared" si="135"/>
        <v>30349.766399999997</v>
      </c>
      <c r="AB1085" s="69">
        <f t="shared" si="135"/>
        <v>0</v>
      </c>
    </row>
    <row r="1086" spans="1:28" hidden="1" x14ac:dyDescent="0.3">
      <c r="A1086" s="117"/>
      <c r="E1086" s="86" t="s">
        <v>29</v>
      </c>
      <c r="F1086" s="86" t="s">
        <v>29</v>
      </c>
      <c r="G1086" s="86" t="s">
        <v>29</v>
      </c>
      <c r="H1086" s="86" t="s">
        <v>29</v>
      </c>
      <c r="I1086" s="86" t="s">
        <v>29</v>
      </c>
      <c r="J1086" s="86" t="s">
        <v>29</v>
      </c>
      <c r="K1086" s="86" t="s">
        <v>29</v>
      </c>
      <c r="L1086" s="86" t="s">
        <v>29</v>
      </c>
      <c r="M1086" s="86" t="s">
        <v>29</v>
      </c>
      <c r="N1086" s="86" t="s">
        <v>29</v>
      </c>
      <c r="O1086" s="86" t="s">
        <v>29</v>
      </c>
      <c r="P1086" s="86" t="s">
        <v>29</v>
      </c>
      <c r="Q1086" s="86" t="s">
        <v>29</v>
      </c>
      <c r="R1086" s="86" t="s">
        <v>29</v>
      </c>
      <c r="S1086" s="86" t="s">
        <v>29</v>
      </c>
      <c r="T1086" s="86" t="s">
        <v>29</v>
      </c>
      <c r="U1086" s="86" t="s">
        <v>29</v>
      </c>
      <c r="V1086" s="86" t="s">
        <v>29</v>
      </c>
      <c r="W1086" s="86" t="s">
        <v>29</v>
      </c>
      <c r="X1086" s="85" t="e">
        <f t="shared" si="132"/>
        <v>#VALUE!</v>
      </c>
      <c r="Y1086" s="86" t="s">
        <v>29</v>
      </c>
      <c r="Z1086" s="85" t="e">
        <f t="shared" si="133"/>
        <v>#VALUE!</v>
      </c>
      <c r="AA1086" s="115" t="s">
        <v>29</v>
      </c>
      <c r="AB1086" s="115" t="s">
        <v>29</v>
      </c>
    </row>
    <row r="1087" spans="1:28" hidden="1" x14ac:dyDescent="0.3">
      <c r="A1087" s="105"/>
      <c r="E1087" s="84"/>
      <c r="F1087" s="84"/>
      <c r="G1087" s="84"/>
      <c r="H1087" s="84"/>
      <c r="I1087" s="84"/>
      <c r="J1087" s="84"/>
      <c r="K1087" s="84"/>
      <c r="L1087" s="84"/>
      <c r="M1087" s="84"/>
      <c r="N1087" s="84"/>
      <c r="O1087" s="84"/>
      <c r="P1087" s="84"/>
      <c r="Q1087" s="84"/>
      <c r="R1087" s="84"/>
      <c r="S1087" s="84"/>
      <c r="T1087" s="84"/>
      <c r="U1087" s="84"/>
      <c r="V1087" s="84"/>
      <c r="W1087" s="84"/>
      <c r="X1087" s="85">
        <f t="shared" si="132"/>
        <v>0</v>
      </c>
      <c r="Y1087" s="84"/>
      <c r="Z1087" s="85">
        <f t="shared" si="133"/>
        <v>0</v>
      </c>
    </row>
    <row r="1088" spans="1:28" hidden="1" x14ac:dyDescent="0.3">
      <c r="A1088" s="117"/>
      <c r="D1088" s="145" t="s">
        <v>251</v>
      </c>
      <c r="E1088" s="84"/>
      <c r="F1088" s="84"/>
      <c r="G1088" s="84"/>
      <c r="H1088" s="84"/>
      <c r="I1088" s="84"/>
      <c r="J1088" s="84"/>
      <c r="K1088" s="84"/>
      <c r="L1088" s="84"/>
      <c r="M1088" s="84"/>
      <c r="N1088" s="84"/>
      <c r="O1088" s="84"/>
      <c r="P1088" s="84"/>
      <c r="Q1088" s="84"/>
      <c r="R1088" s="84"/>
      <c r="S1088" s="84"/>
      <c r="T1088" s="84"/>
      <c r="U1088" s="84"/>
      <c r="V1088" s="84"/>
      <c r="W1088" s="84"/>
      <c r="X1088" s="85">
        <f t="shared" si="132"/>
        <v>0</v>
      </c>
      <c r="Y1088" s="84"/>
      <c r="Z1088" s="85">
        <f t="shared" si="133"/>
        <v>0</v>
      </c>
    </row>
    <row r="1089" spans="1:28" hidden="1" x14ac:dyDescent="0.3">
      <c r="A1089" s="117"/>
      <c r="C1089" s="68" t="s">
        <v>252</v>
      </c>
      <c r="D1089" s="71" t="s">
        <v>191</v>
      </c>
      <c r="E1089" s="85">
        <f>STATS1003B!E1090/1000</f>
        <v>25461.984629999999</v>
      </c>
      <c r="F1089" s="85">
        <f>STATS1003B!F1090/1000</f>
        <v>25305.304609999999</v>
      </c>
      <c r="G1089" s="85">
        <f>STATS1003B!G1090/1000</f>
        <v>0</v>
      </c>
      <c r="H1089" s="85">
        <f>STATS1003B!H1090/1000</f>
        <v>25305.304609999999</v>
      </c>
      <c r="I1089" s="85">
        <f>STATS1003B!I1090/1000</f>
        <v>0</v>
      </c>
      <c r="J1089" s="85">
        <f>STATS1003B!J1090/1000</f>
        <v>0</v>
      </c>
      <c r="K1089" s="85">
        <f>STATS1003B!K1090/1000</f>
        <v>0</v>
      </c>
      <c r="L1089" s="85">
        <f>STATS1003B!L1090/1000</f>
        <v>0</v>
      </c>
      <c r="M1089" s="85">
        <f>STATS1003B!M1090/1000</f>
        <v>25305.304609999999</v>
      </c>
      <c r="N1089" s="85">
        <f>STATS1003B!N1090/1000</f>
        <v>156.68001999999998</v>
      </c>
      <c r="O1089" s="85">
        <f>STATS1003B!O1090/1000</f>
        <v>0</v>
      </c>
      <c r="P1089" s="85">
        <f>STATS1003B!P1090/1000</f>
        <v>156.68001999999998</v>
      </c>
      <c r="Q1089" s="85">
        <f>STATS1003B!Q1090/1000</f>
        <v>0</v>
      </c>
      <c r="R1089" s="85">
        <f>STATS1003B!R1090/1000</f>
        <v>0</v>
      </c>
      <c r="S1089" s="85">
        <f>STATS1003B!S1090/1000</f>
        <v>0</v>
      </c>
      <c r="T1089" s="85">
        <f>STATS1003B!T1090/1000</f>
        <v>0</v>
      </c>
      <c r="U1089" s="85">
        <f>STATS1003B!U1090/1000</f>
        <v>156.68001999999998</v>
      </c>
      <c r="V1089" s="85">
        <f>STATS1003B!V1090/1000</f>
        <v>25461.984629999999</v>
      </c>
      <c r="W1089" s="85">
        <f>STATS1003B!W1090/1000</f>
        <v>0</v>
      </c>
      <c r="X1089" s="85">
        <f t="shared" si="132"/>
        <v>25461.984629999999</v>
      </c>
      <c r="Y1089" s="85">
        <f>STATS1003B!Y1090/1000</f>
        <v>0</v>
      </c>
      <c r="Z1089" s="85">
        <f t="shared" si="133"/>
        <v>0</v>
      </c>
      <c r="AA1089" s="69">
        <f>STATS1003B!AA1090/1000</f>
        <v>25461.984629999999</v>
      </c>
      <c r="AB1089" s="69">
        <f>STATS1003B!AB1090/1000</f>
        <v>0</v>
      </c>
    </row>
    <row r="1090" spans="1:28" hidden="1" x14ac:dyDescent="0.3">
      <c r="A1090" s="117"/>
      <c r="C1090" s="68" t="s">
        <v>253</v>
      </c>
      <c r="D1090" s="145" t="s">
        <v>254</v>
      </c>
      <c r="E1090" s="85">
        <f>STATS1003B!E1091/1000</f>
        <v>11726.953</v>
      </c>
      <c r="F1090" s="85">
        <f>STATS1003B!F1091/1000</f>
        <v>11726.953</v>
      </c>
      <c r="G1090" s="85">
        <f>STATS1003B!G1091/1000</f>
        <v>0</v>
      </c>
      <c r="H1090" s="85">
        <f>STATS1003B!H1091/1000</f>
        <v>11726.953</v>
      </c>
      <c r="I1090" s="85">
        <f>STATS1003B!I1091/1000</f>
        <v>0</v>
      </c>
      <c r="J1090" s="85">
        <f>STATS1003B!J1091/1000</f>
        <v>0</v>
      </c>
      <c r="K1090" s="85">
        <f>STATS1003B!K1091/1000</f>
        <v>0</v>
      </c>
      <c r="L1090" s="85">
        <f>STATS1003B!L1091/1000</f>
        <v>0</v>
      </c>
      <c r="M1090" s="85">
        <f>STATS1003B!M1091/1000</f>
        <v>11726.953</v>
      </c>
      <c r="N1090" s="85">
        <f>STATS1003B!N1091/1000</f>
        <v>0</v>
      </c>
      <c r="O1090" s="85">
        <f>STATS1003B!O1091/1000</f>
        <v>0</v>
      </c>
      <c r="P1090" s="85">
        <f>STATS1003B!P1091/1000</f>
        <v>0</v>
      </c>
      <c r="Q1090" s="85">
        <f>STATS1003B!Q1091/1000</f>
        <v>0</v>
      </c>
      <c r="R1090" s="85">
        <f>STATS1003B!R1091/1000</f>
        <v>0</v>
      </c>
      <c r="S1090" s="85">
        <f>STATS1003B!S1091/1000</f>
        <v>0</v>
      </c>
      <c r="T1090" s="85">
        <f>STATS1003B!T1091/1000</f>
        <v>0</v>
      </c>
      <c r="U1090" s="85">
        <f>STATS1003B!U1091/1000</f>
        <v>0</v>
      </c>
      <c r="V1090" s="85">
        <f>STATS1003B!V1091/1000</f>
        <v>11726.953</v>
      </c>
      <c r="W1090" s="85">
        <f>STATS1003B!W1091/1000</f>
        <v>0</v>
      </c>
      <c r="X1090" s="85">
        <f t="shared" si="132"/>
        <v>11726.953</v>
      </c>
      <c r="Y1090" s="85">
        <f>STATS1003B!Y1091/1000</f>
        <v>0</v>
      </c>
      <c r="Z1090" s="85">
        <f t="shared" si="133"/>
        <v>0</v>
      </c>
      <c r="AA1090" s="69">
        <f>STATS1003B!AA1091/1000</f>
        <v>11726.953</v>
      </c>
      <c r="AB1090" s="69">
        <f>STATS1003B!AB1091/1000</f>
        <v>0</v>
      </c>
    </row>
    <row r="1091" spans="1:28" hidden="1" x14ac:dyDescent="0.3">
      <c r="A1091" s="117"/>
      <c r="C1091" s="68" t="s">
        <v>255</v>
      </c>
      <c r="D1091" s="145" t="s">
        <v>218</v>
      </c>
      <c r="E1091" s="85">
        <f>STATS1003B!E1092/1000</f>
        <v>5193.9992999999995</v>
      </c>
      <c r="F1091" s="85">
        <f>STATS1003B!F1092/1000</f>
        <v>5193.9992999999995</v>
      </c>
      <c r="G1091" s="85">
        <f>STATS1003B!G1092/1000</f>
        <v>0</v>
      </c>
      <c r="H1091" s="85">
        <f>STATS1003B!H1092/1000</f>
        <v>5193.9992999999995</v>
      </c>
      <c r="I1091" s="85">
        <f>STATS1003B!I1092/1000</f>
        <v>0</v>
      </c>
      <c r="J1091" s="85">
        <f>STATS1003B!J1092/1000</f>
        <v>0</v>
      </c>
      <c r="K1091" s="85">
        <f>STATS1003B!K1092/1000</f>
        <v>0</v>
      </c>
      <c r="L1091" s="85">
        <f>STATS1003B!L1092/1000</f>
        <v>0</v>
      </c>
      <c r="M1091" s="85">
        <f>STATS1003B!M1092/1000</f>
        <v>5193.9992999999995</v>
      </c>
      <c r="N1091" s="85">
        <f>STATS1003B!N1092/1000</f>
        <v>0</v>
      </c>
      <c r="O1091" s="85">
        <f>STATS1003B!O1092/1000</f>
        <v>0</v>
      </c>
      <c r="P1091" s="85">
        <f>STATS1003B!P1092/1000</f>
        <v>0</v>
      </c>
      <c r="Q1091" s="85">
        <f>STATS1003B!Q1092/1000</f>
        <v>0</v>
      </c>
      <c r="R1091" s="85">
        <f>STATS1003B!R1092/1000</f>
        <v>0</v>
      </c>
      <c r="S1091" s="85">
        <f>STATS1003B!S1092/1000</f>
        <v>0</v>
      </c>
      <c r="T1091" s="85">
        <f>STATS1003B!T1092/1000</f>
        <v>0</v>
      </c>
      <c r="U1091" s="85">
        <f>STATS1003B!U1092/1000</f>
        <v>0</v>
      </c>
      <c r="V1091" s="85">
        <f>STATS1003B!V1092/1000</f>
        <v>5193.9992999999995</v>
      </c>
      <c r="W1091" s="85">
        <f>STATS1003B!W1092/1000</f>
        <v>0</v>
      </c>
      <c r="X1091" s="85">
        <f t="shared" si="132"/>
        <v>5193.9992999999995</v>
      </c>
      <c r="Y1091" s="85">
        <f>STATS1003B!Y1092/1000</f>
        <v>0</v>
      </c>
      <c r="Z1091" s="85">
        <f t="shared" si="133"/>
        <v>0</v>
      </c>
      <c r="AA1091" s="69">
        <f>STATS1003B!AA1092/1000</f>
        <v>5193.9992999999995</v>
      </c>
      <c r="AB1091" s="69">
        <f>STATS1003B!AB1092/1000</f>
        <v>0</v>
      </c>
    </row>
    <row r="1092" spans="1:28" hidden="1" x14ac:dyDescent="0.3">
      <c r="A1092" s="117"/>
      <c r="C1092" s="68" t="s">
        <v>53</v>
      </c>
      <c r="D1092" s="145" t="s">
        <v>54</v>
      </c>
      <c r="E1092" s="85">
        <f>STATS1003B!E1093/1000</f>
        <v>1767.77</v>
      </c>
      <c r="F1092" s="85">
        <f>STATS1003B!F1093/1000</f>
        <v>0</v>
      </c>
      <c r="G1092" s="85">
        <f>STATS1003B!G1093/1000</f>
        <v>0</v>
      </c>
      <c r="H1092" s="85">
        <f>STATS1003B!H1093/1000</f>
        <v>0</v>
      </c>
      <c r="I1092" s="85">
        <f>STATS1003B!I1093/1000</f>
        <v>0</v>
      </c>
      <c r="J1092" s="85">
        <f>STATS1003B!J1093/1000</f>
        <v>0</v>
      </c>
      <c r="K1092" s="85">
        <f>STATS1003B!K1093/1000</f>
        <v>0</v>
      </c>
      <c r="L1092" s="85">
        <f>STATS1003B!L1093/1000</f>
        <v>0</v>
      </c>
      <c r="M1092" s="85">
        <f>STATS1003B!M1093/1000</f>
        <v>0</v>
      </c>
      <c r="N1092" s="85">
        <f>STATS1003B!N1093/1000</f>
        <v>1767.77</v>
      </c>
      <c r="O1092" s="85">
        <f>STATS1003B!O1093/1000</f>
        <v>0</v>
      </c>
      <c r="P1092" s="85">
        <f>STATS1003B!P1093/1000</f>
        <v>1767.77</v>
      </c>
      <c r="Q1092" s="85">
        <f>STATS1003B!Q1093/1000</f>
        <v>0</v>
      </c>
      <c r="R1092" s="85">
        <f>STATS1003B!R1093/1000</f>
        <v>0</v>
      </c>
      <c r="S1092" s="85">
        <f>STATS1003B!S1093/1000</f>
        <v>0</v>
      </c>
      <c r="T1092" s="85">
        <f>STATS1003B!T1093/1000</f>
        <v>0</v>
      </c>
      <c r="U1092" s="85">
        <f>STATS1003B!U1093/1000</f>
        <v>1767.77</v>
      </c>
      <c r="V1092" s="85">
        <f>STATS1003B!V1093/1000</f>
        <v>1767.77</v>
      </c>
      <c r="W1092" s="85">
        <f>STATS1003B!W1093/1000</f>
        <v>0</v>
      </c>
      <c r="X1092" s="85">
        <f t="shared" si="132"/>
        <v>1767.77</v>
      </c>
      <c r="Y1092" s="85">
        <f>STATS1003B!Y1093/1000</f>
        <v>0</v>
      </c>
      <c r="Z1092" s="85">
        <f t="shared" si="133"/>
        <v>0</v>
      </c>
      <c r="AA1092" s="69">
        <f>STATS1003B!AA1093/1000</f>
        <v>1767.77</v>
      </c>
      <c r="AB1092" s="69">
        <f>STATS1003B!AB1093/1000</f>
        <v>0</v>
      </c>
    </row>
    <row r="1093" spans="1:28" hidden="1" x14ac:dyDescent="0.3">
      <c r="A1093" s="117"/>
      <c r="C1093" s="68" t="s">
        <v>55</v>
      </c>
      <c r="D1093" s="145" t="s">
        <v>256</v>
      </c>
      <c r="E1093" s="85">
        <f>STATS1003B!E1094/1000</f>
        <v>8117.1698499999993</v>
      </c>
      <c r="F1093" s="85">
        <f>STATS1003B!F1094/1000</f>
        <v>0</v>
      </c>
      <c r="G1093" s="85">
        <f>STATS1003B!G1094/1000</f>
        <v>0</v>
      </c>
      <c r="H1093" s="85">
        <f>STATS1003B!H1094/1000</f>
        <v>0</v>
      </c>
      <c r="I1093" s="85">
        <f>STATS1003B!I1094/1000</f>
        <v>0</v>
      </c>
      <c r="J1093" s="85">
        <f>STATS1003B!J1094/1000</f>
        <v>0</v>
      </c>
      <c r="K1093" s="85">
        <f>STATS1003B!K1094/1000</f>
        <v>0</v>
      </c>
      <c r="L1093" s="85">
        <f>STATS1003B!L1094/1000</f>
        <v>0</v>
      </c>
      <c r="M1093" s="85">
        <f>STATS1003B!M1094/1000</f>
        <v>0</v>
      </c>
      <c r="N1093" s="85">
        <f>STATS1003B!N1094/1000</f>
        <v>8117.1698499999993</v>
      </c>
      <c r="O1093" s="85">
        <f>STATS1003B!O1094/1000</f>
        <v>0</v>
      </c>
      <c r="P1093" s="85">
        <f>STATS1003B!P1094/1000</f>
        <v>8117.1698499999993</v>
      </c>
      <c r="Q1093" s="85">
        <f>STATS1003B!Q1094/1000</f>
        <v>0</v>
      </c>
      <c r="R1093" s="85">
        <f>STATS1003B!R1094/1000</f>
        <v>0</v>
      </c>
      <c r="S1093" s="85">
        <f>STATS1003B!S1094/1000</f>
        <v>0</v>
      </c>
      <c r="T1093" s="85">
        <f>STATS1003B!T1094/1000</f>
        <v>0</v>
      </c>
      <c r="U1093" s="85">
        <f>STATS1003B!U1094/1000</f>
        <v>8117.1698499999993</v>
      </c>
      <c r="V1093" s="85">
        <f>STATS1003B!V1094/1000</f>
        <v>8117.1698499999993</v>
      </c>
      <c r="W1093" s="85">
        <f>STATS1003B!W1094/1000</f>
        <v>0</v>
      </c>
      <c r="X1093" s="85">
        <f t="shared" si="132"/>
        <v>8117.1698499999993</v>
      </c>
      <c r="Y1093" s="85">
        <f>STATS1003B!Y1094/1000</f>
        <v>0</v>
      </c>
      <c r="Z1093" s="85">
        <f t="shared" si="133"/>
        <v>0</v>
      </c>
      <c r="AA1093" s="69">
        <f>STATS1003B!AA1094/1000</f>
        <v>8117.1698499999993</v>
      </c>
      <c r="AB1093" s="69">
        <f>STATS1003B!AB1094/1000</f>
        <v>0</v>
      </c>
    </row>
    <row r="1094" spans="1:28" hidden="1" x14ac:dyDescent="0.3">
      <c r="A1094" s="117"/>
      <c r="C1094" s="68" t="s">
        <v>257</v>
      </c>
      <c r="D1094" s="145" t="s">
        <v>85</v>
      </c>
      <c r="E1094" s="85">
        <f>STATS1003B!E1095/1000</f>
        <v>2000</v>
      </c>
      <c r="F1094" s="85">
        <f>STATS1003B!F1095/1000</f>
        <v>2000</v>
      </c>
      <c r="G1094" s="85">
        <f>STATS1003B!G1095/1000</f>
        <v>0</v>
      </c>
      <c r="H1094" s="85">
        <f>STATS1003B!H1095/1000</f>
        <v>2000</v>
      </c>
      <c r="I1094" s="85">
        <f>STATS1003B!I1095/1000</f>
        <v>0</v>
      </c>
      <c r="J1094" s="85">
        <f>STATS1003B!J1095/1000</f>
        <v>0</v>
      </c>
      <c r="K1094" s="85">
        <f>STATS1003B!K1095/1000</f>
        <v>0</v>
      </c>
      <c r="L1094" s="85">
        <f>STATS1003B!L1095/1000</f>
        <v>0</v>
      </c>
      <c r="M1094" s="85">
        <f>STATS1003B!M1095/1000</f>
        <v>2000</v>
      </c>
      <c r="N1094" s="85">
        <f>STATS1003B!N1095/1000</f>
        <v>0</v>
      </c>
      <c r="O1094" s="85">
        <f>STATS1003B!O1095/1000</f>
        <v>0</v>
      </c>
      <c r="P1094" s="85">
        <f>STATS1003B!P1095/1000</f>
        <v>0</v>
      </c>
      <c r="Q1094" s="85">
        <f>STATS1003B!Q1095/1000</f>
        <v>0</v>
      </c>
      <c r="R1094" s="85">
        <f>STATS1003B!R1095/1000</f>
        <v>0</v>
      </c>
      <c r="S1094" s="85">
        <f>STATS1003B!S1095/1000</f>
        <v>0</v>
      </c>
      <c r="T1094" s="85">
        <f>STATS1003B!T1095/1000</f>
        <v>0</v>
      </c>
      <c r="U1094" s="85">
        <f>STATS1003B!U1095/1000</f>
        <v>0</v>
      </c>
      <c r="V1094" s="85">
        <f>STATS1003B!V1095/1000</f>
        <v>2000</v>
      </c>
      <c r="W1094" s="85">
        <f>STATS1003B!W1095/1000</f>
        <v>0</v>
      </c>
      <c r="X1094" s="85">
        <f t="shared" si="132"/>
        <v>2000</v>
      </c>
      <c r="Y1094" s="85">
        <f>STATS1003B!Y1095/1000</f>
        <v>0</v>
      </c>
      <c r="Z1094" s="85">
        <f t="shared" si="133"/>
        <v>0</v>
      </c>
      <c r="AA1094" s="69">
        <f>STATS1003B!AA1095/1000</f>
        <v>2000</v>
      </c>
      <c r="AB1094" s="69">
        <f>STATS1003B!AB1095/1000</f>
        <v>0</v>
      </c>
    </row>
    <row r="1095" spans="1:28" hidden="1" x14ac:dyDescent="0.3">
      <c r="A1095" s="117"/>
      <c r="C1095" s="68" t="s">
        <v>258</v>
      </c>
      <c r="D1095" s="145" t="s">
        <v>85</v>
      </c>
      <c r="E1095" s="85">
        <f>STATS1003B!E1096/1000</f>
        <v>80</v>
      </c>
      <c r="F1095" s="85">
        <f>STATS1003B!F1096/1000</f>
        <v>80</v>
      </c>
      <c r="G1095" s="85">
        <f>STATS1003B!G1096/1000</f>
        <v>0</v>
      </c>
      <c r="H1095" s="85">
        <f>STATS1003B!H1096/1000</f>
        <v>80</v>
      </c>
      <c r="I1095" s="85">
        <f>STATS1003B!I1096/1000</f>
        <v>0</v>
      </c>
      <c r="J1095" s="85">
        <f>STATS1003B!J1096/1000</f>
        <v>0</v>
      </c>
      <c r="K1095" s="85">
        <f>STATS1003B!K1096/1000</f>
        <v>0</v>
      </c>
      <c r="L1095" s="85">
        <f>STATS1003B!L1096/1000</f>
        <v>0</v>
      </c>
      <c r="M1095" s="85">
        <f>STATS1003B!M1096/1000</f>
        <v>80</v>
      </c>
      <c r="N1095" s="85">
        <f>STATS1003B!N1096/1000</f>
        <v>0</v>
      </c>
      <c r="O1095" s="85">
        <f>STATS1003B!O1096/1000</f>
        <v>0</v>
      </c>
      <c r="P1095" s="85">
        <f>STATS1003B!P1096/1000</f>
        <v>0</v>
      </c>
      <c r="Q1095" s="85">
        <f>STATS1003B!Q1096/1000</f>
        <v>0</v>
      </c>
      <c r="R1095" s="85">
        <f>STATS1003B!R1096/1000</f>
        <v>0</v>
      </c>
      <c r="S1095" s="85">
        <f>STATS1003B!S1096/1000</f>
        <v>0</v>
      </c>
      <c r="T1095" s="85">
        <f>STATS1003B!T1096/1000</f>
        <v>0</v>
      </c>
      <c r="U1095" s="85">
        <f>STATS1003B!U1096/1000</f>
        <v>0</v>
      </c>
      <c r="V1095" s="85">
        <f>STATS1003B!V1096/1000</f>
        <v>80</v>
      </c>
      <c r="W1095" s="85">
        <f>STATS1003B!W1096/1000</f>
        <v>0</v>
      </c>
      <c r="X1095" s="85">
        <f t="shared" si="132"/>
        <v>80</v>
      </c>
      <c r="Y1095" s="85">
        <f>STATS1003B!Y1096/1000</f>
        <v>0</v>
      </c>
      <c r="Z1095" s="85">
        <f t="shared" si="133"/>
        <v>0</v>
      </c>
      <c r="AA1095" s="69">
        <f>STATS1003B!AA1096/1000</f>
        <v>80</v>
      </c>
      <c r="AB1095" s="69">
        <f>STATS1003B!AB1096/1000</f>
        <v>0</v>
      </c>
    </row>
    <row r="1096" spans="1:28" hidden="1" x14ac:dyDescent="0.3">
      <c r="A1096" s="117"/>
      <c r="C1096" s="68" t="s">
        <v>87</v>
      </c>
      <c r="D1096" s="145" t="s">
        <v>88</v>
      </c>
      <c r="E1096" s="85">
        <f>STATS1003B!E1097/1000</f>
        <v>3500</v>
      </c>
      <c r="F1096" s="85">
        <f>STATS1003B!F1097/1000</f>
        <v>3500</v>
      </c>
      <c r="G1096" s="85">
        <f>STATS1003B!G1097/1000</f>
        <v>0</v>
      </c>
      <c r="H1096" s="85">
        <f>STATS1003B!H1097/1000</f>
        <v>3500</v>
      </c>
      <c r="I1096" s="85">
        <f>STATS1003B!I1097/1000</f>
        <v>0</v>
      </c>
      <c r="J1096" s="85">
        <f>STATS1003B!J1097/1000</f>
        <v>0</v>
      </c>
      <c r="K1096" s="85">
        <f>STATS1003B!K1097/1000</f>
        <v>0</v>
      </c>
      <c r="L1096" s="85">
        <f>STATS1003B!L1097/1000</f>
        <v>0</v>
      </c>
      <c r="M1096" s="85">
        <f>STATS1003B!M1097/1000</f>
        <v>3500</v>
      </c>
      <c r="N1096" s="85">
        <f>STATS1003B!N1097/1000</f>
        <v>0</v>
      </c>
      <c r="O1096" s="85">
        <f>STATS1003B!O1097/1000</f>
        <v>0</v>
      </c>
      <c r="P1096" s="85">
        <f>STATS1003B!P1097/1000</f>
        <v>0</v>
      </c>
      <c r="Q1096" s="85">
        <f>STATS1003B!Q1097/1000</f>
        <v>0</v>
      </c>
      <c r="R1096" s="85">
        <f>STATS1003B!R1097/1000</f>
        <v>0</v>
      </c>
      <c r="S1096" s="85">
        <f>STATS1003B!S1097/1000</f>
        <v>0</v>
      </c>
      <c r="T1096" s="85">
        <f>STATS1003B!T1097/1000</f>
        <v>0</v>
      </c>
      <c r="U1096" s="85">
        <f>STATS1003B!U1097/1000</f>
        <v>0</v>
      </c>
      <c r="V1096" s="85">
        <f>STATS1003B!V1097/1000</f>
        <v>3500</v>
      </c>
      <c r="W1096" s="85">
        <f>STATS1003B!W1097/1000</f>
        <v>0</v>
      </c>
      <c r="X1096" s="85">
        <f t="shared" si="132"/>
        <v>3500</v>
      </c>
      <c r="Y1096" s="85">
        <f>STATS1003B!Y1097/1000</f>
        <v>0</v>
      </c>
      <c r="Z1096" s="85">
        <f t="shared" si="133"/>
        <v>0</v>
      </c>
      <c r="AA1096" s="69">
        <f>STATS1003B!AA1097/1000</f>
        <v>3500</v>
      </c>
      <c r="AB1096" s="69">
        <f>STATS1003B!AB1097/1000</f>
        <v>0</v>
      </c>
    </row>
    <row r="1097" spans="1:28" hidden="1" x14ac:dyDescent="0.3">
      <c r="A1097" s="117"/>
      <c r="C1097" s="68" t="s">
        <v>259</v>
      </c>
      <c r="D1097" s="145" t="s">
        <v>88</v>
      </c>
      <c r="E1097" s="85">
        <f>STATS1003B!E1098/1000</f>
        <v>1000</v>
      </c>
      <c r="F1097" s="85">
        <f>STATS1003B!F1098/1000</f>
        <v>1000</v>
      </c>
      <c r="G1097" s="85">
        <f>STATS1003B!G1098/1000</f>
        <v>0</v>
      </c>
      <c r="H1097" s="85">
        <f>STATS1003B!H1098/1000</f>
        <v>1000</v>
      </c>
      <c r="I1097" s="85">
        <f>STATS1003B!I1098/1000</f>
        <v>0</v>
      </c>
      <c r="J1097" s="85">
        <f>STATS1003B!J1098/1000</f>
        <v>0</v>
      </c>
      <c r="K1097" s="85">
        <f>STATS1003B!K1098/1000</f>
        <v>0</v>
      </c>
      <c r="L1097" s="85">
        <f>STATS1003B!L1098/1000</f>
        <v>0</v>
      </c>
      <c r="M1097" s="85">
        <f>STATS1003B!M1098/1000</f>
        <v>1000</v>
      </c>
      <c r="N1097" s="85">
        <f>STATS1003B!N1098/1000</f>
        <v>0</v>
      </c>
      <c r="O1097" s="85">
        <f>STATS1003B!O1098/1000</f>
        <v>0</v>
      </c>
      <c r="P1097" s="85">
        <f>STATS1003B!P1098/1000</f>
        <v>0</v>
      </c>
      <c r="Q1097" s="85">
        <f>STATS1003B!Q1098/1000</f>
        <v>0</v>
      </c>
      <c r="R1097" s="85">
        <f>STATS1003B!R1098/1000</f>
        <v>0</v>
      </c>
      <c r="S1097" s="85">
        <f>STATS1003B!S1098/1000</f>
        <v>0</v>
      </c>
      <c r="T1097" s="85">
        <f>STATS1003B!T1098/1000</f>
        <v>0</v>
      </c>
      <c r="U1097" s="85">
        <f>STATS1003B!U1098/1000</f>
        <v>0</v>
      </c>
      <c r="V1097" s="85">
        <f>STATS1003B!V1098/1000</f>
        <v>1000</v>
      </c>
      <c r="W1097" s="85">
        <f>STATS1003B!W1098/1000</f>
        <v>0</v>
      </c>
      <c r="X1097" s="85">
        <f t="shared" si="132"/>
        <v>1000</v>
      </c>
      <c r="Y1097" s="85">
        <f>STATS1003B!Y1098/1000</f>
        <v>0</v>
      </c>
      <c r="Z1097" s="85">
        <f t="shared" si="133"/>
        <v>0</v>
      </c>
      <c r="AA1097" s="69">
        <f>STATS1003B!AA1098/1000</f>
        <v>1000</v>
      </c>
      <c r="AB1097" s="69">
        <f>STATS1003B!AB1098/1000</f>
        <v>0</v>
      </c>
    </row>
    <row r="1098" spans="1:28" hidden="1" x14ac:dyDescent="0.3">
      <c r="A1098" s="117"/>
      <c r="C1098" s="68" t="s">
        <v>57</v>
      </c>
      <c r="D1098" s="145" t="s">
        <v>58</v>
      </c>
      <c r="E1098" s="85">
        <f>STATS1003B!E1099/1000</f>
        <v>3000</v>
      </c>
      <c r="F1098" s="85">
        <f>STATS1003B!F1099/1000</f>
        <v>3000</v>
      </c>
      <c r="G1098" s="85">
        <f>STATS1003B!G1099/1000</f>
        <v>0</v>
      </c>
      <c r="H1098" s="85">
        <f>STATS1003B!H1099/1000</f>
        <v>3000</v>
      </c>
      <c r="I1098" s="85">
        <f>STATS1003B!I1099/1000</f>
        <v>0</v>
      </c>
      <c r="J1098" s="85">
        <f>STATS1003B!J1099/1000</f>
        <v>0</v>
      </c>
      <c r="K1098" s="85">
        <f>STATS1003B!K1099/1000</f>
        <v>0</v>
      </c>
      <c r="L1098" s="85">
        <f>STATS1003B!L1099/1000</f>
        <v>0</v>
      </c>
      <c r="M1098" s="85">
        <f>STATS1003B!M1099/1000</f>
        <v>3000</v>
      </c>
      <c r="N1098" s="85">
        <f>STATS1003B!N1099/1000</f>
        <v>0</v>
      </c>
      <c r="O1098" s="85">
        <f>STATS1003B!O1099/1000</f>
        <v>0</v>
      </c>
      <c r="P1098" s="85">
        <f>STATS1003B!P1099/1000</f>
        <v>0</v>
      </c>
      <c r="Q1098" s="85">
        <f>STATS1003B!Q1099/1000</f>
        <v>0</v>
      </c>
      <c r="R1098" s="85">
        <f>STATS1003B!R1099/1000</f>
        <v>0</v>
      </c>
      <c r="S1098" s="85">
        <f>STATS1003B!S1099/1000</f>
        <v>0</v>
      </c>
      <c r="T1098" s="85">
        <f>STATS1003B!T1099/1000</f>
        <v>0</v>
      </c>
      <c r="U1098" s="85">
        <f>STATS1003B!U1099/1000</f>
        <v>0</v>
      </c>
      <c r="V1098" s="85">
        <f>STATS1003B!V1099/1000</f>
        <v>3000</v>
      </c>
      <c r="W1098" s="85">
        <f>STATS1003B!W1099/1000</f>
        <v>0</v>
      </c>
      <c r="X1098" s="85">
        <f t="shared" si="132"/>
        <v>3000</v>
      </c>
      <c r="Y1098" s="85">
        <f>STATS1003B!Y1099/1000</f>
        <v>0</v>
      </c>
      <c r="Z1098" s="85">
        <f t="shared" si="133"/>
        <v>0</v>
      </c>
      <c r="AA1098" s="69">
        <f>STATS1003B!AA1099/1000</f>
        <v>3000</v>
      </c>
      <c r="AB1098" s="69">
        <f>STATS1003B!AB1099/1000</f>
        <v>0</v>
      </c>
    </row>
    <row r="1099" spans="1:28" hidden="1" x14ac:dyDescent="0.3">
      <c r="A1099" s="117"/>
      <c r="C1099" s="71" t="s">
        <v>109</v>
      </c>
      <c r="D1099" s="88" t="s">
        <v>60</v>
      </c>
      <c r="E1099" s="85">
        <f>STATS1003B!E1100/1000</f>
        <v>5000</v>
      </c>
      <c r="F1099" s="85">
        <f>STATS1003B!F1100/1000</f>
        <v>5000</v>
      </c>
      <c r="G1099" s="85">
        <f>STATS1003B!G1100/1000</f>
        <v>0</v>
      </c>
      <c r="H1099" s="85">
        <f>STATS1003B!H1100/1000</f>
        <v>5000</v>
      </c>
      <c r="I1099" s="85">
        <f>STATS1003B!I1100/1000</f>
        <v>1498.18551</v>
      </c>
      <c r="J1099" s="85">
        <f>STATS1003B!J1100/1000</f>
        <v>1498.18551</v>
      </c>
      <c r="K1099" s="85">
        <f>STATS1003B!K1100/1000</f>
        <v>0</v>
      </c>
      <c r="L1099" s="85">
        <f>STATS1003B!L1100/1000</f>
        <v>0</v>
      </c>
      <c r="M1099" s="85">
        <f>STATS1003B!M1100/1000</f>
        <v>5000</v>
      </c>
      <c r="N1099" s="85">
        <f>STATS1003B!N1100/1000</f>
        <v>0</v>
      </c>
      <c r="O1099" s="85">
        <f>STATS1003B!O1100/1000</f>
        <v>0</v>
      </c>
      <c r="P1099" s="85">
        <f>STATS1003B!P1100/1000</f>
        <v>0</v>
      </c>
      <c r="Q1099" s="85">
        <f>STATS1003B!Q1100/1000</f>
        <v>0</v>
      </c>
      <c r="R1099" s="85">
        <f>STATS1003B!R1100/1000</f>
        <v>0</v>
      </c>
      <c r="S1099" s="85">
        <f>STATS1003B!S1100/1000</f>
        <v>0</v>
      </c>
      <c r="T1099" s="85">
        <f>STATS1003B!T1100/1000</f>
        <v>0</v>
      </c>
      <c r="U1099" s="85">
        <f>STATS1003B!U1100/1000</f>
        <v>0</v>
      </c>
      <c r="V1099" s="85">
        <f>STATS1003B!V1100/1000</f>
        <v>5000</v>
      </c>
      <c r="W1099" s="85">
        <f>STATS1003B!W1100/1000</f>
        <v>0</v>
      </c>
      <c r="X1099" s="85">
        <f t="shared" si="132"/>
        <v>5000</v>
      </c>
      <c r="Y1099" s="85">
        <f>STATS1003B!Y1100/1000</f>
        <v>0</v>
      </c>
      <c r="Z1099" s="85">
        <f t="shared" si="133"/>
        <v>0</v>
      </c>
      <c r="AA1099" s="69">
        <f>STATS1003B!AA1100/1000</f>
        <v>5000</v>
      </c>
      <c r="AB1099" s="69">
        <f>STATS1003B!AB1100/1000</f>
        <v>0</v>
      </c>
    </row>
    <row r="1100" spans="1:28" hidden="1" x14ac:dyDescent="0.3">
      <c r="A1100" s="117"/>
      <c r="C1100" s="68" t="s">
        <v>122</v>
      </c>
      <c r="E1100" s="85">
        <f>STATS1003B!E1101/1000</f>
        <v>1413.7035000000001</v>
      </c>
      <c r="F1100" s="85">
        <f>STATS1003B!F1101/1000</f>
        <v>1413.7035000000001</v>
      </c>
      <c r="G1100" s="85">
        <f>STATS1003B!G1101/1000</f>
        <v>0</v>
      </c>
      <c r="H1100" s="85">
        <f>STATS1003B!H1101/1000</f>
        <v>1413.7035000000001</v>
      </c>
      <c r="I1100" s="85">
        <f>STATS1003B!I1101/1000</f>
        <v>0</v>
      </c>
      <c r="J1100" s="85">
        <f>STATS1003B!J1101/1000</f>
        <v>0</v>
      </c>
      <c r="K1100" s="85">
        <f>STATS1003B!K1101/1000</f>
        <v>0</v>
      </c>
      <c r="L1100" s="85">
        <f>STATS1003B!L1101/1000</f>
        <v>0</v>
      </c>
      <c r="M1100" s="85">
        <f>STATS1003B!M1101/1000</f>
        <v>1413.7035000000001</v>
      </c>
      <c r="N1100" s="85">
        <f>STATS1003B!N1101/1000</f>
        <v>0</v>
      </c>
      <c r="O1100" s="85">
        <f>STATS1003B!O1101/1000</f>
        <v>0</v>
      </c>
      <c r="P1100" s="85">
        <f>STATS1003B!P1101/1000</f>
        <v>0</v>
      </c>
      <c r="Q1100" s="85">
        <f>STATS1003B!Q1101/1000</f>
        <v>0</v>
      </c>
      <c r="R1100" s="85">
        <f>STATS1003B!R1101/1000</f>
        <v>0</v>
      </c>
      <c r="S1100" s="85">
        <f>STATS1003B!S1101/1000</f>
        <v>0</v>
      </c>
      <c r="T1100" s="85">
        <f>STATS1003B!T1101/1000</f>
        <v>0</v>
      </c>
      <c r="U1100" s="85">
        <f>STATS1003B!U1101/1000</f>
        <v>0</v>
      </c>
      <c r="V1100" s="85">
        <f>STATS1003B!V1101/1000</f>
        <v>1413.7035000000001</v>
      </c>
      <c r="W1100" s="85">
        <f>STATS1003B!W1101/1000</f>
        <v>0</v>
      </c>
      <c r="X1100" s="85">
        <f t="shared" si="132"/>
        <v>1413.7035000000001</v>
      </c>
      <c r="Y1100" s="85">
        <f>STATS1003B!Y1101/1000</f>
        <v>0</v>
      </c>
      <c r="Z1100" s="85">
        <f t="shared" si="133"/>
        <v>0</v>
      </c>
      <c r="AA1100" s="69">
        <f>STATS1003B!AA1101/1000</f>
        <v>1413.7035000000001</v>
      </c>
      <c r="AB1100" s="69">
        <f>STATS1003B!AB1101/1000</f>
        <v>0</v>
      </c>
    </row>
    <row r="1101" spans="1:28" hidden="1" x14ac:dyDescent="0.3">
      <c r="A1101" s="117"/>
      <c r="C1101" s="68" t="s">
        <v>1078</v>
      </c>
      <c r="E1101" s="85">
        <f>STATS1003B!E1102/1000</f>
        <v>300</v>
      </c>
      <c r="F1101" s="85">
        <f>STATS1003B!F1102/1000</f>
        <v>300</v>
      </c>
      <c r="G1101" s="85">
        <f>STATS1003B!G1102/1000</f>
        <v>0</v>
      </c>
      <c r="H1101" s="85">
        <f>STATS1003B!H1102/1000</f>
        <v>300</v>
      </c>
      <c r="I1101" s="85">
        <f>STATS1003B!I1102/1000</f>
        <v>0</v>
      </c>
      <c r="J1101" s="85">
        <f>STATS1003B!J1102/1000</f>
        <v>0</v>
      </c>
      <c r="K1101" s="85">
        <f>STATS1003B!K1102/1000</f>
        <v>0</v>
      </c>
      <c r="L1101" s="85">
        <f>STATS1003B!L1102/1000</f>
        <v>0</v>
      </c>
      <c r="M1101" s="85">
        <f>STATS1003B!M1102/1000</f>
        <v>300</v>
      </c>
      <c r="N1101" s="85">
        <f>STATS1003B!N1102/1000</f>
        <v>0</v>
      </c>
      <c r="O1101" s="85">
        <f>STATS1003B!O1102/1000</f>
        <v>0</v>
      </c>
      <c r="P1101" s="85">
        <f>STATS1003B!P1102/1000</f>
        <v>0</v>
      </c>
      <c r="Q1101" s="85">
        <f>STATS1003B!Q1102/1000</f>
        <v>0</v>
      </c>
      <c r="R1101" s="85">
        <f>STATS1003B!R1102/1000</f>
        <v>0</v>
      </c>
      <c r="S1101" s="85">
        <f>STATS1003B!S1102/1000</f>
        <v>0</v>
      </c>
      <c r="T1101" s="85">
        <f>STATS1003B!T1102/1000</f>
        <v>0</v>
      </c>
      <c r="U1101" s="85">
        <f>STATS1003B!U1102/1000</f>
        <v>0</v>
      </c>
      <c r="V1101" s="85">
        <f>STATS1003B!V1102/1000</f>
        <v>300</v>
      </c>
      <c r="W1101" s="85">
        <f>STATS1003B!W1102/1000</f>
        <v>0</v>
      </c>
      <c r="X1101" s="85">
        <f t="shared" si="132"/>
        <v>300</v>
      </c>
      <c r="Y1101" s="85">
        <f>STATS1003B!Y1102/1000</f>
        <v>0</v>
      </c>
      <c r="Z1101" s="85">
        <f t="shared" si="133"/>
        <v>0</v>
      </c>
      <c r="AA1101" s="69">
        <f>STATS1003B!AA1102/1000</f>
        <v>300</v>
      </c>
      <c r="AB1101" s="69">
        <f>STATS1003B!AB1102/1000</f>
        <v>0</v>
      </c>
    </row>
    <row r="1102" spans="1:28" hidden="1" x14ac:dyDescent="0.3">
      <c r="A1102" s="117"/>
      <c r="C1102" s="68" t="s">
        <v>1106</v>
      </c>
      <c r="D1102" s="91" t="s">
        <v>1072</v>
      </c>
      <c r="E1102" s="85">
        <f>STATS1003B!E1103/1000</f>
        <v>1778.7012199999999</v>
      </c>
      <c r="F1102" s="85">
        <f>STATS1003B!F1103/1000</f>
        <v>1778.7012199999999</v>
      </c>
      <c r="G1102" s="85">
        <f>STATS1003B!G1103/1000</f>
        <v>0</v>
      </c>
      <c r="H1102" s="85">
        <f>STATS1003B!H1103/1000</f>
        <v>1778.7012199999999</v>
      </c>
      <c r="I1102" s="85">
        <f>STATS1003B!I1103/1000</f>
        <v>0</v>
      </c>
      <c r="J1102" s="85">
        <f>STATS1003B!J1103/1000</f>
        <v>0</v>
      </c>
      <c r="K1102" s="85">
        <f>STATS1003B!K1103/1000</f>
        <v>0</v>
      </c>
      <c r="L1102" s="85">
        <f>STATS1003B!L1103/1000</f>
        <v>0</v>
      </c>
      <c r="M1102" s="85">
        <f>STATS1003B!M1103/1000</f>
        <v>1778.7012199999999</v>
      </c>
      <c r="N1102" s="85">
        <f>STATS1003B!N1103/1000</f>
        <v>0</v>
      </c>
      <c r="O1102" s="85">
        <f>STATS1003B!O1103/1000</f>
        <v>0</v>
      </c>
      <c r="P1102" s="85">
        <f>STATS1003B!P1103/1000</f>
        <v>0</v>
      </c>
      <c r="Q1102" s="85">
        <f>STATS1003B!Q1103/1000</f>
        <v>0</v>
      </c>
      <c r="R1102" s="85">
        <f>STATS1003B!R1103/1000</f>
        <v>0</v>
      </c>
      <c r="S1102" s="85">
        <f>STATS1003B!S1103/1000</f>
        <v>0</v>
      </c>
      <c r="T1102" s="85">
        <f>STATS1003B!T1103/1000</f>
        <v>0</v>
      </c>
      <c r="U1102" s="85">
        <f>STATS1003B!U1103/1000</f>
        <v>0</v>
      </c>
      <c r="V1102" s="85">
        <f>STATS1003B!V1103/1000</f>
        <v>1778.7012199999999</v>
      </c>
      <c r="W1102" s="85">
        <f>STATS1003B!W1103/1000</f>
        <v>0</v>
      </c>
      <c r="X1102" s="85">
        <f t="shared" si="132"/>
        <v>1778.7012199999999</v>
      </c>
      <c r="Y1102" s="85">
        <f>STATS1003B!Y1103/1000</f>
        <v>0</v>
      </c>
      <c r="Z1102" s="85">
        <f t="shared" si="133"/>
        <v>0</v>
      </c>
      <c r="AA1102" s="69">
        <f>STATS1003B!AA1103/1000</f>
        <v>1778.7012199999999</v>
      </c>
      <c r="AB1102" s="69">
        <f>STATS1003B!AB1103/1000</f>
        <v>0</v>
      </c>
    </row>
    <row r="1103" spans="1:28" hidden="1" x14ac:dyDescent="0.3">
      <c r="A1103" s="117"/>
      <c r="C1103" s="68" t="s">
        <v>1234</v>
      </c>
      <c r="D1103" s="91" t="s">
        <v>1225</v>
      </c>
      <c r="E1103" s="85">
        <f>STATS1003B!E1104/1000</f>
        <v>300</v>
      </c>
      <c r="F1103" s="85">
        <f>STATS1003B!F1104/1000</f>
        <v>300</v>
      </c>
      <c r="G1103" s="85">
        <f>STATS1003B!G1104/1000</f>
        <v>0</v>
      </c>
      <c r="H1103" s="85">
        <f>STATS1003B!H1104/1000</f>
        <v>300</v>
      </c>
      <c r="I1103" s="85">
        <f>STATS1003B!I1104/1000</f>
        <v>0</v>
      </c>
      <c r="J1103" s="85">
        <f>STATS1003B!J1104/1000</f>
        <v>0</v>
      </c>
      <c r="K1103" s="85">
        <f>STATS1003B!K1104/1000</f>
        <v>0</v>
      </c>
      <c r="L1103" s="85">
        <f>STATS1003B!L1104/1000</f>
        <v>0</v>
      </c>
      <c r="M1103" s="85">
        <f>STATS1003B!M1104/1000</f>
        <v>300</v>
      </c>
      <c r="N1103" s="85">
        <f>STATS1003B!N1104/1000</f>
        <v>0</v>
      </c>
      <c r="O1103" s="85">
        <f>STATS1003B!O1104/1000</f>
        <v>0</v>
      </c>
      <c r="P1103" s="85">
        <f>STATS1003B!P1104/1000</f>
        <v>0</v>
      </c>
      <c r="Q1103" s="85">
        <f>STATS1003B!Q1104/1000</f>
        <v>0</v>
      </c>
      <c r="R1103" s="85">
        <f>STATS1003B!R1104/1000</f>
        <v>0</v>
      </c>
      <c r="S1103" s="85">
        <f>STATS1003B!S1104/1000</f>
        <v>0</v>
      </c>
      <c r="T1103" s="85">
        <f>STATS1003B!T1104/1000</f>
        <v>0</v>
      </c>
      <c r="U1103" s="85">
        <f>STATS1003B!U1104/1000</f>
        <v>0</v>
      </c>
      <c r="V1103" s="85">
        <f>STATS1003B!V1104/1000</f>
        <v>0</v>
      </c>
      <c r="W1103" s="85">
        <f>STATS1003B!W1104/1000</f>
        <v>0</v>
      </c>
      <c r="X1103" s="85">
        <f t="shared" si="132"/>
        <v>300</v>
      </c>
      <c r="Y1103" s="85">
        <f>STATS1003B!Y1104/1000</f>
        <v>0</v>
      </c>
      <c r="Z1103" s="85">
        <f t="shared" si="133"/>
        <v>0</v>
      </c>
      <c r="AA1103" s="69">
        <f>STATS1003B!AA1104/1000</f>
        <v>300</v>
      </c>
      <c r="AB1103" s="69">
        <f>STATS1003B!AB1104/1000</f>
        <v>0</v>
      </c>
    </row>
    <row r="1104" spans="1:28" hidden="1" x14ac:dyDescent="0.3">
      <c r="A1104" s="117"/>
      <c r="C1104" s="68" t="s">
        <v>57</v>
      </c>
      <c r="D1104" s="91" t="s">
        <v>61</v>
      </c>
      <c r="E1104" s="85">
        <f>STATS1003B!E1105/1000</f>
        <v>742.30845999999997</v>
      </c>
      <c r="F1104" s="85">
        <f>STATS1003B!F1105/1000</f>
        <v>742.30845999999997</v>
      </c>
      <c r="G1104" s="85">
        <f>STATS1003B!G1105/1000</f>
        <v>0</v>
      </c>
      <c r="H1104" s="85">
        <f>STATS1003B!H1105/1000</f>
        <v>742.30845999999997</v>
      </c>
      <c r="I1104" s="85">
        <f>STATS1003B!I1105/1000</f>
        <v>0</v>
      </c>
      <c r="J1104" s="85">
        <f>STATS1003B!J1105/1000</f>
        <v>0</v>
      </c>
      <c r="K1104" s="85">
        <f>STATS1003B!K1105/1000</f>
        <v>0</v>
      </c>
      <c r="L1104" s="85">
        <f>STATS1003B!L1105/1000</f>
        <v>0</v>
      </c>
      <c r="M1104" s="85">
        <f>STATS1003B!M1105/1000</f>
        <v>742.30845999999997</v>
      </c>
      <c r="N1104" s="85">
        <f>STATS1003B!N1105/1000</f>
        <v>0</v>
      </c>
      <c r="O1104" s="85">
        <f>STATS1003B!O1105/1000</f>
        <v>0</v>
      </c>
      <c r="P1104" s="85">
        <f>STATS1003B!P1105/1000</f>
        <v>0</v>
      </c>
      <c r="Q1104" s="85">
        <f>STATS1003B!Q1105/1000</f>
        <v>0</v>
      </c>
      <c r="R1104" s="85">
        <f>STATS1003B!R1105/1000</f>
        <v>0</v>
      </c>
      <c r="S1104" s="85">
        <f>STATS1003B!S1105/1000</f>
        <v>0</v>
      </c>
      <c r="T1104" s="85">
        <f>STATS1003B!T1105/1000</f>
        <v>0</v>
      </c>
      <c r="U1104" s="85">
        <f>STATS1003B!U1105/1000</f>
        <v>0</v>
      </c>
      <c r="V1104" s="85">
        <f>STATS1003B!V1105/1000</f>
        <v>742.30845999999997</v>
      </c>
      <c r="W1104" s="85">
        <f>STATS1003B!W1105/1000</f>
        <v>0</v>
      </c>
      <c r="X1104" s="85">
        <f t="shared" si="132"/>
        <v>742.30845999999997</v>
      </c>
      <c r="Y1104" s="85">
        <f>STATS1003B!Y1105/1000</f>
        <v>0</v>
      </c>
      <c r="Z1104" s="85">
        <f t="shared" si="133"/>
        <v>0</v>
      </c>
      <c r="AA1104" s="69">
        <f>STATS1003B!AA1105/1000</f>
        <v>742.30845999999997</v>
      </c>
      <c r="AB1104" s="69">
        <f>STATS1003B!AB1105/1000</f>
        <v>0</v>
      </c>
    </row>
    <row r="1105" spans="1:28" hidden="1" x14ac:dyDescent="0.3">
      <c r="A1105" s="117"/>
      <c r="E1105" s="86" t="s">
        <v>29</v>
      </c>
      <c r="F1105" s="86" t="s">
        <v>29</v>
      </c>
      <c r="G1105" s="86" t="s">
        <v>29</v>
      </c>
      <c r="H1105" s="86" t="s">
        <v>29</v>
      </c>
      <c r="I1105" s="86" t="s">
        <v>29</v>
      </c>
      <c r="J1105" s="86" t="s">
        <v>29</v>
      </c>
      <c r="K1105" s="86" t="s">
        <v>29</v>
      </c>
      <c r="L1105" s="86" t="s">
        <v>29</v>
      </c>
      <c r="M1105" s="86" t="s">
        <v>29</v>
      </c>
      <c r="N1105" s="86" t="s">
        <v>29</v>
      </c>
      <c r="O1105" s="86" t="s">
        <v>29</v>
      </c>
      <c r="P1105" s="86" t="s">
        <v>29</v>
      </c>
      <c r="Q1105" s="86" t="s">
        <v>29</v>
      </c>
      <c r="R1105" s="86" t="s">
        <v>29</v>
      </c>
      <c r="S1105" s="86" t="s">
        <v>29</v>
      </c>
      <c r="T1105" s="86" t="s">
        <v>29</v>
      </c>
      <c r="U1105" s="86" t="s">
        <v>29</v>
      </c>
      <c r="V1105" s="86" t="s">
        <v>29</v>
      </c>
      <c r="W1105" s="86" t="s">
        <v>29</v>
      </c>
      <c r="X1105" s="85" t="e">
        <f t="shared" si="132"/>
        <v>#VALUE!</v>
      </c>
      <c r="Y1105" s="86" t="s">
        <v>29</v>
      </c>
      <c r="Z1105" s="85" t="e">
        <f t="shared" si="133"/>
        <v>#VALUE!</v>
      </c>
      <c r="AA1105" s="115" t="s">
        <v>29</v>
      </c>
      <c r="AB1105" s="115" t="s">
        <v>29</v>
      </c>
    </row>
    <row r="1106" spans="1:28" x14ac:dyDescent="0.3">
      <c r="A1106" s="116">
        <v>51</v>
      </c>
      <c r="B1106" s="68" t="s">
        <v>250</v>
      </c>
      <c r="E1106" s="85">
        <f>157083819.75/1000</f>
        <v>157083.81975</v>
      </c>
      <c r="F1106" s="85">
        <f t="shared" ref="F1106:AB1106" si="136">SUM(F1089:F1104)</f>
        <v>61340.970090000003</v>
      </c>
      <c r="G1106" s="85">
        <f t="shared" si="136"/>
        <v>0</v>
      </c>
      <c r="H1106" s="85">
        <f>147042199.88/1000</f>
        <v>147042.19988</v>
      </c>
      <c r="I1106" s="85">
        <f t="shared" si="136"/>
        <v>1498.18551</v>
      </c>
      <c r="J1106" s="85">
        <f t="shared" si="136"/>
        <v>1498.18551</v>
      </c>
      <c r="K1106" s="85">
        <f t="shared" si="136"/>
        <v>0</v>
      </c>
      <c r="L1106" s="85">
        <f t="shared" si="136"/>
        <v>0</v>
      </c>
      <c r="M1106" s="85">
        <f t="shared" si="136"/>
        <v>61340.970090000003</v>
      </c>
      <c r="N1106" s="85">
        <f t="shared" si="136"/>
        <v>10041.619869999999</v>
      </c>
      <c r="O1106" s="85">
        <f t="shared" si="136"/>
        <v>0</v>
      </c>
      <c r="P1106" s="85">
        <f>10041619/1000</f>
        <v>10041.619000000001</v>
      </c>
      <c r="Q1106" s="85">
        <f t="shared" si="136"/>
        <v>0</v>
      </c>
      <c r="R1106" s="85">
        <f t="shared" si="136"/>
        <v>0</v>
      </c>
      <c r="S1106" s="85">
        <f t="shared" si="136"/>
        <v>0</v>
      </c>
      <c r="T1106" s="85">
        <f t="shared" si="136"/>
        <v>0</v>
      </c>
      <c r="U1106" s="85">
        <f t="shared" si="136"/>
        <v>10041.619869999999</v>
      </c>
      <c r="V1106" s="85">
        <f t="shared" si="136"/>
        <v>71082.589959999998</v>
      </c>
      <c r="W1106" s="85">
        <f t="shared" si="136"/>
        <v>0</v>
      </c>
      <c r="X1106" s="85">
        <f t="shared" si="132"/>
        <v>157083.81888000001</v>
      </c>
      <c r="Y1106" s="85">
        <f t="shared" si="136"/>
        <v>0</v>
      </c>
      <c r="Z1106" s="85">
        <f t="shared" si="133"/>
        <v>8.6999998893588781E-4</v>
      </c>
      <c r="AA1106" s="69">
        <f t="shared" si="136"/>
        <v>71382.589959999998</v>
      </c>
      <c r="AB1106" s="69">
        <f t="shared" si="136"/>
        <v>0</v>
      </c>
    </row>
    <row r="1107" spans="1:28" hidden="1" x14ac:dyDescent="0.3">
      <c r="A1107" s="117"/>
      <c r="E1107" s="86" t="s">
        <v>29</v>
      </c>
      <c r="F1107" s="86" t="s">
        <v>29</v>
      </c>
      <c r="G1107" s="86" t="s">
        <v>29</v>
      </c>
      <c r="H1107" s="86" t="s">
        <v>29</v>
      </c>
      <c r="I1107" s="86" t="s">
        <v>29</v>
      </c>
      <c r="J1107" s="86" t="s">
        <v>29</v>
      </c>
      <c r="K1107" s="86" t="s">
        <v>29</v>
      </c>
      <c r="L1107" s="86" t="s">
        <v>29</v>
      </c>
      <c r="M1107" s="86" t="s">
        <v>29</v>
      </c>
      <c r="N1107" s="86" t="s">
        <v>29</v>
      </c>
      <c r="O1107" s="86" t="s">
        <v>29</v>
      </c>
      <c r="P1107" s="86" t="s">
        <v>29</v>
      </c>
      <c r="Q1107" s="86" t="s">
        <v>29</v>
      </c>
      <c r="R1107" s="86" t="s">
        <v>29</v>
      </c>
      <c r="S1107" s="86" t="s">
        <v>29</v>
      </c>
      <c r="T1107" s="86" t="s">
        <v>29</v>
      </c>
      <c r="U1107" s="86" t="s">
        <v>29</v>
      </c>
      <c r="V1107" s="86" t="s">
        <v>29</v>
      </c>
      <c r="W1107" s="86" t="s">
        <v>29</v>
      </c>
      <c r="X1107" s="85" t="e">
        <f t="shared" si="132"/>
        <v>#VALUE!</v>
      </c>
      <c r="Y1107" s="86" t="s">
        <v>29</v>
      </c>
      <c r="Z1107" s="85" t="e">
        <f t="shared" si="133"/>
        <v>#VALUE!</v>
      </c>
      <c r="AA1107" s="115" t="s">
        <v>29</v>
      </c>
      <c r="AB1107" s="115" t="s">
        <v>29</v>
      </c>
    </row>
    <row r="1108" spans="1:28" hidden="1" x14ac:dyDescent="0.3">
      <c r="A1108" s="105"/>
      <c r="E1108" s="84"/>
      <c r="F1108" s="84"/>
      <c r="G1108" s="84"/>
      <c r="H1108" s="84"/>
      <c r="I1108" s="84"/>
      <c r="J1108" s="84"/>
      <c r="K1108" s="84"/>
      <c r="L1108" s="84"/>
      <c r="M1108" s="84"/>
      <c r="N1108" s="84"/>
      <c r="O1108" s="84"/>
      <c r="P1108" s="84"/>
      <c r="Q1108" s="84"/>
      <c r="R1108" s="84"/>
      <c r="S1108" s="84"/>
      <c r="T1108" s="84"/>
      <c r="U1108" s="84"/>
      <c r="V1108" s="84"/>
      <c r="W1108" s="84"/>
      <c r="X1108" s="85">
        <f t="shared" si="132"/>
        <v>0</v>
      </c>
      <c r="Y1108" s="84"/>
      <c r="Z1108" s="85">
        <f t="shared" si="133"/>
        <v>0</v>
      </c>
    </row>
    <row r="1109" spans="1:28" hidden="1" x14ac:dyDescent="0.3">
      <c r="A1109" s="117"/>
      <c r="C1109" s="68" t="s">
        <v>261</v>
      </c>
      <c r="D1109" s="145" t="s">
        <v>262</v>
      </c>
      <c r="E1109" s="85">
        <f>STATS1003B!E1110/1000</f>
        <v>10187.1</v>
      </c>
      <c r="F1109" s="85">
        <f>STATS1003B!F1110/1000</f>
        <v>10187.1</v>
      </c>
      <c r="G1109" s="85">
        <f>STATS1003B!G1110/1000</f>
        <v>0</v>
      </c>
      <c r="H1109" s="85">
        <f>STATS1003B!H1110/1000</f>
        <v>10187.1</v>
      </c>
      <c r="I1109" s="85">
        <f>STATS1003B!I1110/1000</f>
        <v>0</v>
      </c>
      <c r="J1109" s="85">
        <f>STATS1003B!J1110/1000</f>
        <v>0</v>
      </c>
      <c r="K1109" s="85">
        <f>STATS1003B!K1110/1000</f>
        <v>0</v>
      </c>
      <c r="L1109" s="85">
        <f>STATS1003B!L1110/1000</f>
        <v>0</v>
      </c>
      <c r="M1109" s="85">
        <f>STATS1003B!M1110/1000</f>
        <v>10187.1</v>
      </c>
      <c r="N1109" s="85">
        <f>STATS1003B!N1110/1000</f>
        <v>0</v>
      </c>
      <c r="O1109" s="85">
        <f>STATS1003B!O1110/1000</f>
        <v>0</v>
      </c>
      <c r="P1109" s="85">
        <f>STATS1003B!P1110/1000</f>
        <v>0</v>
      </c>
      <c r="Q1109" s="85">
        <f>STATS1003B!Q1110/1000</f>
        <v>0</v>
      </c>
      <c r="R1109" s="85">
        <f>STATS1003B!R1110/1000</f>
        <v>0</v>
      </c>
      <c r="S1109" s="85">
        <f>STATS1003B!S1110/1000</f>
        <v>0</v>
      </c>
      <c r="T1109" s="85">
        <f>STATS1003B!T1110/1000</f>
        <v>0</v>
      </c>
      <c r="U1109" s="85">
        <f>STATS1003B!U1110/1000</f>
        <v>0</v>
      </c>
      <c r="V1109" s="85">
        <f>STATS1003B!V1110/1000</f>
        <v>10187.1</v>
      </c>
      <c r="W1109" s="85">
        <f>STATS1003B!W1110/1000</f>
        <v>0</v>
      </c>
      <c r="X1109" s="85">
        <f t="shared" si="132"/>
        <v>10187.1</v>
      </c>
      <c r="Y1109" s="85">
        <f>STATS1003B!Y1110/1000</f>
        <v>0</v>
      </c>
      <c r="Z1109" s="85">
        <f t="shared" si="133"/>
        <v>0</v>
      </c>
      <c r="AA1109" s="69">
        <f>STATS1003B!AA1110/1000</f>
        <v>10187.1</v>
      </c>
      <c r="AB1109" s="69">
        <f>STATS1003B!AB1110/1000</f>
        <v>0</v>
      </c>
    </row>
    <row r="1110" spans="1:28" hidden="1" x14ac:dyDescent="0.3">
      <c r="A1110" s="117"/>
      <c r="C1110" s="68" t="s">
        <v>263</v>
      </c>
      <c r="D1110" s="145" t="s">
        <v>264</v>
      </c>
      <c r="E1110" s="85">
        <f>STATS1003B!E1111/1000</f>
        <v>12754.612050000002</v>
      </c>
      <c r="F1110" s="85">
        <f>STATS1003B!F1111/1000</f>
        <v>12754.612050000002</v>
      </c>
      <c r="G1110" s="85">
        <f>STATS1003B!G1111/1000</f>
        <v>0</v>
      </c>
      <c r="H1110" s="85">
        <f>STATS1003B!H1111/1000</f>
        <v>12754.612050000002</v>
      </c>
      <c r="I1110" s="85">
        <f>STATS1003B!I1111/1000</f>
        <v>0</v>
      </c>
      <c r="J1110" s="85">
        <f>STATS1003B!J1111/1000</f>
        <v>0</v>
      </c>
      <c r="K1110" s="85">
        <f>STATS1003B!K1111/1000</f>
        <v>0</v>
      </c>
      <c r="L1110" s="85">
        <f>STATS1003B!L1111/1000</f>
        <v>0</v>
      </c>
      <c r="M1110" s="85">
        <f>STATS1003B!M1111/1000</f>
        <v>12754.612050000002</v>
      </c>
      <c r="N1110" s="85">
        <f>STATS1003B!N1111/1000</f>
        <v>0</v>
      </c>
      <c r="O1110" s="85">
        <f>STATS1003B!O1111/1000</f>
        <v>0</v>
      </c>
      <c r="P1110" s="85">
        <f>STATS1003B!P1111/1000</f>
        <v>0</v>
      </c>
      <c r="Q1110" s="85">
        <f>STATS1003B!Q1111/1000</f>
        <v>0</v>
      </c>
      <c r="R1110" s="85">
        <f>STATS1003B!R1111/1000</f>
        <v>0</v>
      </c>
      <c r="S1110" s="85">
        <f>STATS1003B!S1111/1000</f>
        <v>0</v>
      </c>
      <c r="T1110" s="85">
        <f>STATS1003B!T1111/1000</f>
        <v>0</v>
      </c>
      <c r="U1110" s="85">
        <f>STATS1003B!U1111/1000</f>
        <v>0</v>
      </c>
      <c r="V1110" s="85">
        <f>STATS1003B!V1111/1000</f>
        <v>12754.612050000002</v>
      </c>
      <c r="W1110" s="85">
        <f>STATS1003B!W1111/1000</f>
        <v>0</v>
      </c>
      <c r="X1110" s="85">
        <f t="shared" si="132"/>
        <v>12754.612050000002</v>
      </c>
      <c r="Y1110" s="85">
        <f>STATS1003B!Y1111/1000</f>
        <v>0</v>
      </c>
      <c r="Z1110" s="85">
        <f t="shared" si="133"/>
        <v>0</v>
      </c>
      <c r="AA1110" s="69">
        <f>STATS1003B!AA1111/1000</f>
        <v>12754.612050000002</v>
      </c>
      <c r="AB1110" s="69">
        <f>STATS1003B!AB1111/1000</f>
        <v>0</v>
      </c>
    </row>
    <row r="1111" spans="1:28" hidden="1" x14ac:dyDescent="0.3">
      <c r="A1111" s="117"/>
      <c r="C1111" s="68" t="s">
        <v>265</v>
      </c>
      <c r="D1111" s="68" t="s">
        <v>266</v>
      </c>
      <c r="E1111" s="85">
        <f>STATS1003B!E1112/1000</f>
        <v>16331.25585</v>
      </c>
      <c r="F1111" s="85">
        <f>STATS1003B!F1112/1000</f>
        <v>16331.25585</v>
      </c>
      <c r="G1111" s="85">
        <f>STATS1003B!G1112/1000</f>
        <v>0</v>
      </c>
      <c r="H1111" s="85">
        <f>STATS1003B!H1112/1000</f>
        <v>16331.25585</v>
      </c>
      <c r="I1111" s="85">
        <f>STATS1003B!I1112/1000</f>
        <v>0</v>
      </c>
      <c r="J1111" s="85">
        <f>STATS1003B!J1112/1000</f>
        <v>0</v>
      </c>
      <c r="K1111" s="85">
        <f>STATS1003B!K1112/1000</f>
        <v>0</v>
      </c>
      <c r="L1111" s="85">
        <f>STATS1003B!L1112/1000</f>
        <v>0</v>
      </c>
      <c r="M1111" s="85">
        <f>STATS1003B!M1112/1000</f>
        <v>16331.25585</v>
      </c>
      <c r="N1111" s="85">
        <f>STATS1003B!N1112/1000</f>
        <v>0</v>
      </c>
      <c r="O1111" s="85">
        <f>STATS1003B!O1112/1000</f>
        <v>0</v>
      </c>
      <c r="P1111" s="85">
        <f>STATS1003B!P1112/1000</f>
        <v>0</v>
      </c>
      <c r="Q1111" s="85">
        <f>STATS1003B!Q1112/1000</f>
        <v>0</v>
      </c>
      <c r="R1111" s="85">
        <f>STATS1003B!R1112/1000</f>
        <v>0</v>
      </c>
      <c r="S1111" s="85">
        <f>STATS1003B!S1112/1000</f>
        <v>0</v>
      </c>
      <c r="T1111" s="85">
        <f>STATS1003B!T1112/1000</f>
        <v>0</v>
      </c>
      <c r="U1111" s="85">
        <f>STATS1003B!U1112/1000</f>
        <v>0</v>
      </c>
      <c r="V1111" s="85">
        <f>STATS1003B!V1112/1000</f>
        <v>16331.25585</v>
      </c>
      <c r="W1111" s="85">
        <f>STATS1003B!W1112/1000</f>
        <v>0</v>
      </c>
      <c r="X1111" s="85">
        <f t="shared" si="132"/>
        <v>16331.25585</v>
      </c>
      <c r="Y1111" s="85">
        <f>STATS1003B!Y1112/1000</f>
        <v>0</v>
      </c>
      <c r="Z1111" s="85">
        <f t="shared" si="133"/>
        <v>0</v>
      </c>
      <c r="AA1111" s="69">
        <f>STATS1003B!AA1112/1000</f>
        <v>16331.25585</v>
      </c>
      <c r="AB1111" s="69">
        <f>STATS1003B!AB1112/1000</f>
        <v>0</v>
      </c>
    </row>
    <row r="1112" spans="1:28" hidden="1" x14ac:dyDescent="0.3">
      <c r="A1112" s="117"/>
      <c r="D1112" s="68" t="s">
        <v>267</v>
      </c>
      <c r="E1112" s="85">
        <f>STATS1003B!E1113/1000</f>
        <v>0</v>
      </c>
      <c r="F1112" s="85">
        <f>STATS1003B!F1113/1000</f>
        <v>0</v>
      </c>
      <c r="G1112" s="85">
        <f>STATS1003B!G1113/1000</f>
        <v>0</v>
      </c>
      <c r="H1112" s="85">
        <f>STATS1003B!H1113/1000</f>
        <v>0</v>
      </c>
      <c r="I1112" s="85">
        <f>STATS1003B!I1113/1000</f>
        <v>0</v>
      </c>
      <c r="J1112" s="85">
        <f>STATS1003B!J1113/1000</f>
        <v>0</v>
      </c>
      <c r="K1112" s="85">
        <f>STATS1003B!K1113/1000</f>
        <v>0</v>
      </c>
      <c r="L1112" s="85">
        <f>STATS1003B!L1113/1000</f>
        <v>0</v>
      </c>
      <c r="M1112" s="85">
        <f>STATS1003B!M1113/1000</f>
        <v>0</v>
      </c>
      <c r="N1112" s="85">
        <f>STATS1003B!N1113/1000</f>
        <v>0</v>
      </c>
      <c r="O1112" s="85">
        <f>STATS1003B!O1113/1000</f>
        <v>0</v>
      </c>
      <c r="P1112" s="85">
        <f>STATS1003B!P1113/1000</f>
        <v>0</v>
      </c>
      <c r="Q1112" s="85">
        <f>STATS1003B!Q1113/1000</f>
        <v>0</v>
      </c>
      <c r="R1112" s="85">
        <f>STATS1003B!R1113/1000</f>
        <v>0</v>
      </c>
      <c r="S1112" s="85">
        <f>STATS1003B!S1113/1000</f>
        <v>0</v>
      </c>
      <c r="T1112" s="85">
        <f>STATS1003B!T1113/1000</f>
        <v>0</v>
      </c>
      <c r="U1112" s="85">
        <f>STATS1003B!U1113/1000</f>
        <v>0</v>
      </c>
      <c r="V1112" s="85">
        <f>STATS1003B!V1113/1000</f>
        <v>0</v>
      </c>
      <c r="W1112" s="85">
        <f>STATS1003B!W1113/1000</f>
        <v>0</v>
      </c>
      <c r="X1112" s="85">
        <f t="shared" si="132"/>
        <v>0</v>
      </c>
      <c r="Y1112" s="85">
        <f>STATS1003B!Y1113/1000</f>
        <v>0</v>
      </c>
      <c r="Z1112" s="85">
        <f t="shared" si="133"/>
        <v>0</v>
      </c>
      <c r="AA1112" s="69">
        <f>STATS1003B!AA1113/1000</f>
        <v>0</v>
      </c>
      <c r="AB1112" s="69">
        <f>STATS1003B!AB1113/1000</f>
        <v>0</v>
      </c>
    </row>
    <row r="1113" spans="1:28" hidden="1" x14ac:dyDescent="0.3">
      <c r="A1113" s="117"/>
      <c r="C1113" s="68" t="s">
        <v>172</v>
      </c>
      <c r="D1113" s="145" t="s">
        <v>166</v>
      </c>
      <c r="E1113" s="85">
        <f>STATS1003B!E1114/1000</f>
        <v>601.91300000000001</v>
      </c>
      <c r="F1113" s="85">
        <f>STATS1003B!F1114/1000</f>
        <v>601.91300000000001</v>
      </c>
      <c r="G1113" s="85">
        <f>STATS1003B!G1114/1000</f>
        <v>0</v>
      </c>
      <c r="H1113" s="85">
        <f>STATS1003B!H1114/1000</f>
        <v>601.91300000000001</v>
      </c>
      <c r="I1113" s="85">
        <f>STATS1003B!I1114/1000</f>
        <v>0</v>
      </c>
      <c r="J1113" s="85">
        <f>STATS1003B!J1114/1000</f>
        <v>0</v>
      </c>
      <c r="K1113" s="85">
        <f>STATS1003B!K1114/1000</f>
        <v>0</v>
      </c>
      <c r="L1113" s="85">
        <f>STATS1003B!L1114/1000</f>
        <v>0</v>
      </c>
      <c r="M1113" s="85">
        <f>STATS1003B!M1114/1000</f>
        <v>601.91300000000001</v>
      </c>
      <c r="N1113" s="85">
        <f>STATS1003B!N1114/1000</f>
        <v>0</v>
      </c>
      <c r="O1113" s="85">
        <f>STATS1003B!O1114/1000</f>
        <v>0</v>
      </c>
      <c r="P1113" s="85">
        <f>STATS1003B!P1114/1000</f>
        <v>0</v>
      </c>
      <c r="Q1113" s="85">
        <f>STATS1003B!Q1114/1000</f>
        <v>0</v>
      </c>
      <c r="R1113" s="85">
        <f>STATS1003B!R1114/1000</f>
        <v>0</v>
      </c>
      <c r="S1113" s="85">
        <f>STATS1003B!S1114/1000</f>
        <v>0</v>
      </c>
      <c r="T1113" s="85">
        <f>STATS1003B!T1114/1000</f>
        <v>0</v>
      </c>
      <c r="U1113" s="85">
        <f>STATS1003B!U1114/1000</f>
        <v>0</v>
      </c>
      <c r="V1113" s="85">
        <f>STATS1003B!V1114/1000</f>
        <v>601.91300000000001</v>
      </c>
      <c r="W1113" s="85">
        <f>STATS1003B!W1114/1000</f>
        <v>0</v>
      </c>
      <c r="X1113" s="85">
        <f t="shared" ref="X1113:X1176" si="137">+H1113+P1113</f>
        <v>601.91300000000001</v>
      </c>
      <c r="Y1113" s="85">
        <f>STATS1003B!Y1114/1000</f>
        <v>0</v>
      </c>
      <c r="Z1113" s="85">
        <f t="shared" si="133"/>
        <v>0</v>
      </c>
      <c r="AA1113" s="69">
        <f>STATS1003B!AA1114/1000</f>
        <v>601.91300000000001</v>
      </c>
      <c r="AB1113" s="69">
        <f>STATS1003B!AB1114/1000</f>
        <v>0</v>
      </c>
    </row>
    <row r="1114" spans="1:28" hidden="1" x14ac:dyDescent="0.3">
      <c r="A1114" s="117"/>
      <c r="C1114" s="68" t="s">
        <v>57</v>
      </c>
      <c r="D1114" s="145" t="s">
        <v>268</v>
      </c>
      <c r="E1114" s="85">
        <f>STATS1003B!E1115/1000</f>
        <v>13035.02686</v>
      </c>
      <c r="F1114" s="85">
        <f>STATS1003B!F1115/1000</f>
        <v>12990.97</v>
      </c>
      <c r="G1114" s="85">
        <f>STATS1003B!G1115/1000</f>
        <v>0</v>
      </c>
      <c r="H1114" s="85">
        <f>STATS1003B!H1115/1000</f>
        <v>12990.97</v>
      </c>
      <c r="I1114" s="85">
        <f>STATS1003B!I1115/1000</f>
        <v>0</v>
      </c>
      <c r="J1114" s="85">
        <f>STATS1003B!J1115/1000</f>
        <v>0</v>
      </c>
      <c r="K1114" s="85">
        <f>STATS1003B!K1115/1000</f>
        <v>0</v>
      </c>
      <c r="L1114" s="85">
        <f>STATS1003B!L1115/1000</f>
        <v>0</v>
      </c>
      <c r="M1114" s="85">
        <f>STATS1003B!M1115/1000</f>
        <v>12990.97</v>
      </c>
      <c r="N1114" s="85">
        <f>STATS1003B!N1115/1000</f>
        <v>44.05686</v>
      </c>
      <c r="O1114" s="85">
        <f>STATS1003B!O1115/1000</f>
        <v>0</v>
      </c>
      <c r="P1114" s="85">
        <f>STATS1003B!P1115/1000</f>
        <v>44.05686</v>
      </c>
      <c r="Q1114" s="85">
        <f>STATS1003B!Q1115/1000</f>
        <v>0</v>
      </c>
      <c r="R1114" s="85">
        <f>STATS1003B!R1115/1000</f>
        <v>0</v>
      </c>
      <c r="S1114" s="85">
        <f>STATS1003B!S1115/1000</f>
        <v>0</v>
      </c>
      <c r="T1114" s="85">
        <f>STATS1003B!T1115/1000</f>
        <v>0</v>
      </c>
      <c r="U1114" s="85">
        <f>STATS1003B!U1115/1000</f>
        <v>44.05686</v>
      </c>
      <c r="V1114" s="85">
        <f>STATS1003B!V1115/1000</f>
        <v>13035.02686</v>
      </c>
      <c r="W1114" s="85">
        <f>STATS1003B!W1115/1000</f>
        <v>0</v>
      </c>
      <c r="X1114" s="85">
        <f t="shared" si="137"/>
        <v>13035.02686</v>
      </c>
      <c r="Y1114" s="85">
        <f>STATS1003B!Y1115/1000</f>
        <v>0</v>
      </c>
      <c r="Z1114" s="85">
        <f t="shared" si="133"/>
        <v>0</v>
      </c>
      <c r="AA1114" s="69">
        <f>STATS1003B!AA1115/1000</f>
        <v>13035.02686</v>
      </c>
      <c r="AB1114" s="69">
        <f>STATS1003B!AB1115/1000</f>
        <v>0</v>
      </c>
    </row>
    <row r="1115" spans="1:28" hidden="1" x14ac:dyDescent="0.3">
      <c r="A1115" s="117"/>
      <c r="C1115" s="68" t="s">
        <v>53</v>
      </c>
      <c r="D1115" s="145" t="s">
        <v>68</v>
      </c>
      <c r="E1115" s="85">
        <f>STATS1003B!E1116/1000</f>
        <v>1767.77</v>
      </c>
      <c r="F1115" s="85">
        <f>STATS1003B!F1116/1000</f>
        <v>0</v>
      </c>
      <c r="G1115" s="85">
        <f>STATS1003B!G1116/1000</f>
        <v>0</v>
      </c>
      <c r="H1115" s="85">
        <f>STATS1003B!H1116/1000</f>
        <v>0</v>
      </c>
      <c r="I1115" s="85">
        <f>STATS1003B!I1116/1000</f>
        <v>0</v>
      </c>
      <c r="J1115" s="85">
        <f>STATS1003B!J1116/1000</f>
        <v>0</v>
      </c>
      <c r="K1115" s="85">
        <f>STATS1003B!K1116/1000</f>
        <v>0</v>
      </c>
      <c r="L1115" s="85">
        <f>STATS1003B!L1116/1000</f>
        <v>0</v>
      </c>
      <c r="M1115" s="85">
        <f>STATS1003B!M1116/1000</f>
        <v>0</v>
      </c>
      <c r="N1115" s="85">
        <f>STATS1003B!N1116/1000</f>
        <v>1767.77</v>
      </c>
      <c r="O1115" s="85">
        <f>STATS1003B!O1116/1000</f>
        <v>0</v>
      </c>
      <c r="P1115" s="85">
        <f>STATS1003B!P1116/1000</f>
        <v>1767.77</v>
      </c>
      <c r="Q1115" s="85">
        <f>STATS1003B!Q1116/1000</f>
        <v>0</v>
      </c>
      <c r="R1115" s="85">
        <f>STATS1003B!R1116/1000</f>
        <v>0</v>
      </c>
      <c r="S1115" s="85">
        <f>STATS1003B!S1116/1000</f>
        <v>0</v>
      </c>
      <c r="T1115" s="85">
        <f>STATS1003B!T1116/1000</f>
        <v>0</v>
      </c>
      <c r="U1115" s="85">
        <f>STATS1003B!U1116/1000</f>
        <v>1767.77</v>
      </c>
      <c r="V1115" s="85">
        <f>STATS1003B!V1116/1000</f>
        <v>1767.77</v>
      </c>
      <c r="W1115" s="85">
        <f>STATS1003B!W1116/1000</f>
        <v>0</v>
      </c>
      <c r="X1115" s="85">
        <f t="shared" si="137"/>
        <v>1767.77</v>
      </c>
      <c r="Y1115" s="85">
        <f>STATS1003B!Y1116/1000</f>
        <v>0</v>
      </c>
      <c r="Z1115" s="85">
        <f t="shared" si="133"/>
        <v>0</v>
      </c>
      <c r="AA1115" s="69">
        <f>STATS1003B!AA1116/1000</f>
        <v>1767.77</v>
      </c>
      <c r="AB1115" s="69">
        <f>STATS1003B!AB1116/1000</f>
        <v>0</v>
      </c>
    </row>
    <row r="1116" spans="1:28" hidden="1" x14ac:dyDescent="0.3">
      <c r="A1116" s="117"/>
      <c r="C1116" s="68" t="s">
        <v>269</v>
      </c>
      <c r="D1116" s="145" t="s">
        <v>270</v>
      </c>
      <c r="E1116" s="85">
        <f>STATS1003B!E1117/1000</f>
        <v>5950</v>
      </c>
      <c r="F1116" s="85">
        <f>STATS1003B!F1117/1000</f>
        <v>5950</v>
      </c>
      <c r="G1116" s="85">
        <f>STATS1003B!G1117/1000</f>
        <v>0</v>
      </c>
      <c r="H1116" s="85">
        <f>STATS1003B!H1117/1000</f>
        <v>5950</v>
      </c>
      <c r="I1116" s="85">
        <f>STATS1003B!I1117/1000</f>
        <v>0</v>
      </c>
      <c r="J1116" s="85">
        <f>STATS1003B!J1117/1000</f>
        <v>0</v>
      </c>
      <c r="K1116" s="85">
        <f>STATS1003B!K1117/1000</f>
        <v>0</v>
      </c>
      <c r="L1116" s="85">
        <f>STATS1003B!L1117/1000</f>
        <v>0</v>
      </c>
      <c r="M1116" s="85">
        <f>STATS1003B!M1117/1000</f>
        <v>5950</v>
      </c>
      <c r="N1116" s="85">
        <f>STATS1003B!N1117/1000</f>
        <v>0</v>
      </c>
      <c r="O1116" s="85">
        <f>STATS1003B!O1117/1000</f>
        <v>0</v>
      </c>
      <c r="P1116" s="85">
        <f>STATS1003B!P1117/1000</f>
        <v>0</v>
      </c>
      <c r="Q1116" s="85">
        <f>STATS1003B!Q1117/1000</f>
        <v>0</v>
      </c>
      <c r="R1116" s="85">
        <f>STATS1003B!R1117/1000</f>
        <v>0</v>
      </c>
      <c r="S1116" s="85">
        <f>STATS1003B!S1117/1000</f>
        <v>0</v>
      </c>
      <c r="T1116" s="85">
        <f>STATS1003B!T1117/1000</f>
        <v>0</v>
      </c>
      <c r="U1116" s="85">
        <f>STATS1003B!U1117/1000</f>
        <v>0</v>
      </c>
      <c r="V1116" s="85">
        <f>STATS1003B!V1117/1000</f>
        <v>5950</v>
      </c>
      <c r="W1116" s="85">
        <f>STATS1003B!W1117/1000</f>
        <v>0</v>
      </c>
      <c r="X1116" s="85">
        <f t="shared" si="137"/>
        <v>5950</v>
      </c>
      <c r="Y1116" s="85">
        <f>STATS1003B!Y1117/1000</f>
        <v>0</v>
      </c>
      <c r="Z1116" s="85">
        <f t="shared" si="133"/>
        <v>0</v>
      </c>
      <c r="AA1116" s="69">
        <f>STATS1003B!AA1117/1000</f>
        <v>5950</v>
      </c>
      <c r="AB1116" s="69">
        <f>STATS1003B!AB1117/1000</f>
        <v>0</v>
      </c>
    </row>
    <row r="1117" spans="1:28" hidden="1" x14ac:dyDescent="0.3">
      <c r="A1117" s="117"/>
      <c r="C1117" s="68" t="s">
        <v>57</v>
      </c>
      <c r="D1117" s="145" t="s">
        <v>58</v>
      </c>
      <c r="E1117" s="85">
        <f>STATS1003B!E1118/1000</f>
        <v>3254.4090000000001</v>
      </c>
      <c r="F1117" s="85">
        <f>STATS1003B!F1118/1000</f>
        <v>3254.4090000000001</v>
      </c>
      <c r="G1117" s="85">
        <f>STATS1003B!G1118/1000</f>
        <v>0</v>
      </c>
      <c r="H1117" s="85">
        <f>STATS1003B!H1118/1000</f>
        <v>3254.4090000000001</v>
      </c>
      <c r="I1117" s="85">
        <f>STATS1003B!I1118/1000</f>
        <v>0</v>
      </c>
      <c r="J1117" s="85">
        <f>STATS1003B!J1118/1000</f>
        <v>0</v>
      </c>
      <c r="K1117" s="85">
        <f>STATS1003B!K1118/1000</f>
        <v>0</v>
      </c>
      <c r="L1117" s="85">
        <f>STATS1003B!L1118/1000</f>
        <v>0</v>
      </c>
      <c r="M1117" s="85">
        <f>STATS1003B!M1118/1000</f>
        <v>3254.4090000000001</v>
      </c>
      <c r="N1117" s="85">
        <f>STATS1003B!N1118/1000</f>
        <v>0</v>
      </c>
      <c r="O1117" s="85">
        <f>STATS1003B!O1118/1000</f>
        <v>0</v>
      </c>
      <c r="P1117" s="85">
        <f>STATS1003B!P1118/1000</f>
        <v>0</v>
      </c>
      <c r="Q1117" s="85">
        <f>STATS1003B!Q1118/1000</f>
        <v>0</v>
      </c>
      <c r="R1117" s="85">
        <f>STATS1003B!R1118/1000</f>
        <v>0</v>
      </c>
      <c r="S1117" s="85">
        <f>STATS1003B!S1118/1000</f>
        <v>0</v>
      </c>
      <c r="T1117" s="85">
        <f>STATS1003B!T1118/1000</f>
        <v>0</v>
      </c>
      <c r="U1117" s="85">
        <f>STATS1003B!U1118/1000</f>
        <v>0</v>
      </c>
      <c r="V1117" s="85">
        <f>STATS1003B!V1118/1000</f>
        <v>3254.4090000000001</v>
      </c>
      <c r="W1117" s="85">
        <f>STATS1003B!W1118/1000</f>
        <v>0</v>
      </c>
      <c r="X1117" s="85">
        <f t="shared" si="137"/>
        <v>3254.4090000000001</v>
      </c>
      <c r="Y1117" s="85">
        <f>STATS1003B!Y1118/1000</f>
        <v>0</v>
      </c>
      <c r="Z1117" s="85">
        <f t="shared" ref="Z1117:Z1180" si="138">+E1117-X1117</f>
        <v>0</v>
      </c>
      <c r="AA1117" s="69">
        <f>STATS1003B!AA1118/1000</f>
        <v>3254.4090000000001</v>
      </c>
      <c r="AB1117" s="69">
        <f>STATS1003B!AB1118/1000</f>
        <v>0</v>
      </c>
    </row>
    <row r="1118" spans="1:28" hidden="1" x14ac:dyDescent="0.3">
      <c r="A1118" s="117"/>
      <c r="C1118" s="68" t="s">
        <v>57</v>
      </c>
      <c r="D1118" s="145" t="s">
        <v>60</v>
      </c>
      <c r="E1118" s="85">
        <f>STATS1003B!E1119/1000</f>
        <v>8844.6924799999997</v>
      </c>
      <c r="F1118" s="85">
        <f>STATS1003B!F1119/1000</f>
        <v>8844.6924799999997</v>
      </c>
      <c r="G1118" s="85">
        <f>STATS1003B!G1119/1000</f>
        <v>0</v>
      </c>
      <c r="H1118" s="85">
        <f>STATS1003B!H1119/1000</f>
        <v>8844.6924799999997</v>
      </c>
      <c r="I1118" s="85">
        <f>STATS1003B!I1119/1000</f>
        <v>0</v>
      </c>
      <c r="J1118" s="85">
        <f>STATS1003B!J1119/1000</f>
        <v>0</v>
      </c>
      <c r="K1118" s="85">
        <f>STATS1003B!K1119/1000</f>
        <v>0</v>
      </c>
      <c r="L1118" s="85">
        <f>STATS1003B!L1119/1000</f>
        <v>0</v>
      </c>
      <c r="M1118" s="85">
        <f>STATS1003B!M1119/1000</f>
        <v>8844.6924799999997</v>
      </c>
      <c r="N1118" s="85">
        <f>STATS1003B!N1119/1000</f>
        <v>0</v>
      </c>
      <c r="O1118" s="85">
        <f>STATS1003B!O1119/1000</f>
        <v>0</v>
      </c>
      <c r="P1118" s="85">
        <f>STATS1003B!P1119/1000</f>
        <v>0</v>
      </c>
      <c r="Q1118" s="85">
        <f>STATS1003B!Q1119/1000</f>
        <v>0</v>
      </c>
      <c r="R1118" s="85">
        <f>STATS1003B!R1119/1000</f>
        <v>0</v>
      </c>
      <c r="S1118" s="85">
        <f>STATS1003B!S1119/1000</f>
        <v>0</v>
      </c>
      <c r="T1118" s="85">
        <f>STATS1003B!T1119/1000</f>
        <v>0</v>
      </c>
      <c r="U1118" s="85">
        <f>STATS1003B!U1119/1000</f>
        <v>0</v>
      </c>
      <c r="V1118" s="85">
        <f>STATS1003B!V1119/1000</f>
        <v>8844.6924799999997</v>
      </c>
      <c r="W1118" s="85">
        <f>STATS1003B!W1119/1000</f>
        <v>0</v>
      </c>
      <c r="X1118" s="85">
        <f t="shared" si="137"/>
        <v>8844.6924799999997</v>
      </c>
      <c r="Y1118" s="85">
        <f>STATS1003B!Y1119/1000</f>
        <v>0</v>
      </c>
      <c r="Z1118" s="85">
        <f t="shared" si="138"/>
        <v>0</v>
      </c>
      <c r="AA1118" s="69">
        <f>STATS1003B!AA1119/1000</f>
        <v>8844.6924799999997</v>
      </c>
      <c r="AB1118" s="69">
        <f>STATS1003B!AB1119/1000</f>
        <v>0</v>
      </c>
    </row>
    <row r="1119" spans="1:28" hidden="1" x14ac:dyDescent="0.3">
      <c r="A1119" s="117"/>
      <c r="C1119" s="71" t="s">
        <v>109</v>
      </c>
      <c r="D1119" s="88" t="s">
        <v>60</v>
      </c>
      <c r="E1119" s="85">
        <f>STATS1003B!E1120/1000</f>
        <v>6692.3680000000004</v>
      </c>
      <c r="F1119" s="85">
        <f>STATS1003B!F1120/1000</f>
        <v>6692.3680000000004</v>
      </c>
      <c r="G1119" s="85">
        <f>STATS1003B!G1120/1000</f>
        <v>0</v>
      </c>
      <c r="H1119" s="85">
        <f>STATS1003B!H1120/1000</f>
        <v>6692.3680000000004</v>
      </c>
      <c r="I1119" s="85">
        <f>STATS1003B!I1120/1000</f>
        <v>0</v>
      </c>
      <c r="J1119" s="85">
        <f>STATS1003B!J1120/1000</f>
        <v>0</v>
      </c>
      <c r="K1119" s="85">
        <f>STATS1003B!K1120/1000</f>
        <v>0</v>
      </c>
      <c r="L1119" s="85">
        <f>STATS1003B!L1120/1000</f>
        <v>0</v>
      </c>
      <c r="M1119" s="85">
        <f>STATS1003B!M1120/1000</f>
        <v>6692.3680000000004</v>
      </c>
      <c r="N1119" s="85">
        <f>STATS1003B!N1120/1000</f>
        <v>0</v>
      </c>
      <c r="O1119" s="85">
        <f>STATS1003B!O1120/1000</f>
        <v>0</v>
      </c>
      <c r="P1119" s="85">
        <f>STATS1003B!P1120/1000</f>
        <v>0</v>
      </c>
      <c r="Q1119" s="85">
        <f>STATS1003B!Q1120/1000</f>
        <v>0</v>
      </c>
      <c r="R1119" s="85">
        <f>STATS1003B!R1120/1000</f>
        <v>0</v>
      </c>
      <c r="S1119" s="85">
        <f>STATS1003B!S1120/1000</f>
        <v>0</v>
      </c>
      <c r="T1119" s="85">
        <f>STATS1003B!T1120/1000</f>
        <v>0</v>
      </c>
      <c r="U1119" s="85">
        <f>STATS1003B!U1120/1000</f>
        <v>0</v>
      </c>
      <c r="V1119" s="85">
        <f>STATS1003B!V1120/1000</f>
        <v>6692.3680000000004</v>
      </c>
      <c r="W1119" s="85">
        <f>STATS1003B!W1120/1000</f>
        <v>0</v>
      </c>
      <c r="X1119" s="85">
        <f t="shared" si="137"/>
        <v>6692.3680000000004</v>
      </c>
      <c r="Y1119" s="85">
        <f>STATS1003B!Y1120/1000</f>
        <v>0</v>
      </c>
      <c r="Z1119" s="85">
        <f t="shared" si="138"/>
        <v>0</v>
      </c>
      <c r="AA1119" s="69">
        <f>STATS1003B!AA1120/1000</f>
        <v>6692.3680000000004</v>
      </c>
      <c r="AB1119" s="69">
        <f>STATS1003B!AB1120/1000</f>
        <v>0</v>
      </c>
    </row>
    <row r="1120" spans="1:28" hidden="1" x14ac:dyDescent="0.3">
      <c r="A1120" s="117"/>
      <c r="C1120" s="71" t="s">
        <v>95</v>
      </c>
      <c r="D1120" s="88" t="s">
        <v>73</v>
      </c>
      <c r="E1120" s="85">
        <f>STATS1003B!E1121/1000</f>
        <v>7518.8209799999995</v>
      </c>
      <c r="F1120" s="85">
        <f>STATS1003B!F1121/1000</f>
        <v>5604.5119999999997</v>
      </c>
      <c r="G1120" s="85">
        <f>STATS1003B!G1121/1000</f>
        <v>0</v>
      </c>
      <c r="H1120" s="85">
        <f>STATS1003B!H1121/1000</f>
        <v>5604.5119999999997</v>
      </c>
      <c r="I1120" s="85">
        <f>STATS1003B!I1121/1000</f>
        <v>0</v>
      </c>
      <c r="J1120" s="85">
        <f>STATS1003B!J1121/1000</f>
        <v>0</v>
      </c>
      <c r="K1120" s="85">
        <f>STATS1003B!K1121/1000</f>
        <v>0</v>
      </c>
      <c r="L1120" s="85">
        <f>STATS1003B!L1121/1000</f>
        <v>0</v>
      </c>
      <c r="M1120" s="85">
        <f>STATS1003B!M1121/1000</f>
        <v>5604.5119999999997</v>
      </c>
      <c r="N1120" s="85">
        <f>STATS1003B!N1121/1000</f>
        <v>1914.30898</v>
      </c>
      <c r="O1120" s="85">
        <f>STATS1003B!O1121/1000</f>
        <v>0</v>
      </c>
      <c r="P1120" s="85">
        <f>STATS1003B!P1121/1000</f>
        <v>1914.30898</v>
      </c>
      <c r="Q1120" s="85">
        <f>STATS1003B!Q1121/1000</f>
        <v>0</v>
      </c>
      <c r="R1120" s="85">
        <f>STATS1003B!R1121/1000</f>
        <v>0</v>
      </c>
      <c r="S1120" s="85">
        <f>STATS1003B!S1121/1000</f>
        <v>0</v>
      </c>
      <c r="T1120" s="85">
        <f>STATS1003B!T1121/1000</f>
        <v>0</v>
      </c>
      <c r="U1120" s="85">
        <f>STATS1003B!U1121/1000</f>
        <v>1914.30898</v>
      </c>
      <c r="V1120" s="85">
        <f>STATS1003B!V1121/1000</f>
        <v>7518.8209800000004</v>
      </c>
      <c r="W1120" s="85">
        <f>STATS1003B!W1121/1000</f>
        <v>0</v>
      </c>
      <c r="X1120" s="85">
        <f t="shared" si="137"/>
        <v>7518.8209799999995</v>
      </c>
      <c r="Y1120" s="85">
        <f>STATS1003B!Y1121/1000</f>
        <v>0</v>
      </c>
      <c r="Z1120" s="85">
        <f t="shared" si="138"/>
        <v>0</v>
      </c>
      <c r="AA1120" s="69">
        <f>STATS1003B!AA1121/1000</f>
        <v>7518.8209800000004</v>
      </c>
      <c r="AB1120" s="69">
        <f>STATS1003B!AB1121/1000</f>
        <v>0</v>
      </c>
    </row>
    <row r="1121" spans="1:28" hidden="1" x14ac:dyDescent="0.3">
      <c r="A1121" s="117"/>
      <c r="C1121" s="68" t="s">
        <v>57</v>
      </c>
      <c r="D1121" s="88" t="s">
        <v>73</v>
      </c>
      <c r="E1121" s="85">
        <f>STATS1003B!E1122/1000</f>
        <v>15459.760549999999</v>
      </c>
      <c r="F1121" s="85">
        <f>STATS1003B!F1122/1000</f>
        <v>15459.760549999999</v>
      </c>
      <c r="G1121" s="85">
        <f>STATS1003B!G1122/1000</f>
        <v>0</v>
      </c>
      <c r="H1121" s="85">
        <f>STATS1003B!H1122/1000</f>
        <v>15459.760549999999</v>
      </c>
      <c r="I1121" s="85">
        <f>STATS1003B!I1122/1000</f>
        <v>0</v>
      </c>
      <c r="J1121" s="85">
        <f>STATS1003B!J1122/1000</f>
        <v>0</v>
      </c>
      <c r="K1121" s="85">
        <f>STATS1003B!K1122/1000</f>
        <v>0</v>
      </c>
      <c r="L1121" s="85">
        <f>STATS1003B!L1122/1000</f>
        <v>0</v>
      </c>
      <c r="M1121" s="85">
        <f>STATS1003B!M1122/1000</f>
        <v>15459.760549999999</v>
      </c>
      <c r="N1121" s="85">
        <f>STATS1003B!N1122/1000</f>
        <v>0</v>
      </c>
      <c r="O1121" s="85">
        <f>STATS1003B!O1122/1000</f>
        <v>0</v>
      </c>
      <c r="P1121" s="85">
        <f>STATS1003B!P1122/1000</f>
        <v>0</v>
      </c>
      <c r="Q1121" s="85">
        <f>STATS1003B!Q1122/1000</f>
        <v>0</v>
      </c>
      <c r="R1121" s="85">
        <f>STATS1003B!R1122/1000</f>
        <v>0</v>
      </c>
      <c r="S1121" s="85">
        <f>STATS1003B!S1122/1000</f>
        <v>0</v>
      </c>
      <c r="T1121" s="85">
        <f>STATS1003B!T1122/1000</f>
        <v>0</v>
      </c>
      <c r="U1121" s="85">
        <f>STATS1003B!U1122/1000</f>
        <v>0</v>
      </c>
      <c r="V1121" s="85">
        <f>STATS1003B!V1122/1000</f>
        <v>15459.760549999999</v>
      </c>
      <c r="W1121" s="85">
        <f>STATS1003B!W1122/1000</f>
        <v>0</v>
      </c>
      <c r="X1121" s="85">
        <f t="shared" si="137"/>
        <v>15459.760549999999</v>
      </c>
      <c r="Y1121" s="85">
        <f>STATS1003B!Y1122/1000</f>
        <v>0</v>
      </c>
      <c r="Z1121" s="85">
        <f t="shared" si="138"/>
        <v>0</v>
      </c>
      <c r="AA1121" s="69">
        <f>STATS1003B!AA1122/1000</f>
        <v>15459.760549999999</v>
      </c>
      <c r="AB1121" s="69">
        <f>STATS1003B!AB1122/1000</f>
        <v>0</v>
      </c>
    </row>
    <row r="1122" spans="1:28" hidden="1" x14ac:dyDescent="0.3">
      <c r="A1122" s="117"/>
      <c r="C1122" s="68" t="str">
        <f>+C1121</f>
        <v xml:space="preserve">  EXPANSION</v>
      </c>
      <c r="D1122" s="89" t="s">
        <v>61</v>
      </c>
      <c r="E1122" s="85">
        <f>STATS1003B!E1123/1000</f>
        <v>10058.50115</v>
      </c>
      <c r="F1122" s="85">
        <f>STATS1003B!F1123/1000</f>
        <v>10058.50115</v>
      </c>
      <c r="G1122" s="85">
        <f>STATS1003B!G1123/1000</f>
        <v>0</v>
      </c>
      <c r="H1122" s="85">
        <f>STATS1003B!H1123/1000</f>
        <v>10058.50115</v>
      </c>
      <c r="I1122" s="85">
        <f>STATS1003B!I1123/1000</f>
        <v>0</v>
      </c>
      <c r="J1122" s="85">
        <f>STATS1003B!J1123/1000</f>
        <v>0</v>
      </c>
      <c r="K1122" s="85">
        <f>STATS1003B!K1123/1000</f>
        <v>0</v>
      </c>
      <c r="L1122" s="85">
        <f>STATS1003B!L1123/1000</f>
        <v>0</v>
      </c>
      <c r="M1122" s="85">
        <f>STATS1003B!M1123/1000</f>
        <v>10058.50115</v>
      </c>
      <c r="N1122" s="85">
        <f>STATS1003B!N1123/1000</f>
        <v>0</v>
      </c>
      <c r="O1122" s="85">
        <f>STATS1003B!O1123/1000</f>
        <v>0</v>
      </c>
      <c r="P1122" s="85">
        <f>STATS1003B!P1123/1000</f>
        <v>0</v>
      </c>
      <c r="Q1122" s="85">
        <f>STATS1003B!Q1123/1000</f>
        <v>0</v>
      </c>
      <c r="R1122" s="85">
        <f>STATS1003B!R1123/1000</f>
        <v>0</v>
      </c>
      <c r="S1122" s="85">
        <f>STATS1003B!S1123/1000</f>
        <v>0</v>
      </c>
      <c r="T1122" s="85">
        <f>STATS1003B!T1123/1000</f>
        <v>0</v>
      </c>
      <c r="U1122" s="85">
        <f>STATS1003B!U1123/1000</f>
        <v>0</v>
      </c>
      <c r="V1122" s="85">
        <f>STATS1003B!V1123/1000</f>
        <v>10058.50115</v>
      </c>
      <c r="W1122" s="85">
        <f>STATS1003B!W1123/1000</f>
        <v>0</v>
      </c>
      <c r="X1122" s="85">
        <f t="shared" si="137"/>
        <v>10058.50115</v>
      </c>
      <c r="Y1122" s="85">
        <f>STATS1003B!Y1123/1000</f>
        <v>0</v>
      </c>
      <c r="Z1122" s="85">
        <f t="shared" si="138"/>
        <v>0</v>
      </c>
      <c r="AA1122" s="69">
        <f>STATS1003B!AA1123/1000</f>
        <v>10058.50115</v>
      </c>
      <c r="AB1122" s="69">
        <f>STATS1003B!AB1123/1000</f>
        <v>0</v>
      </c>
    </row>
    <row r="1123" spans="1:28" hidden="1" x14ac:dyDescent="0.3">
      <c r="A1123" s="117"/>
      <c r="C1123" s="68" t="s">
        <v>924</v>
      </c>
      <c r="D1123" s="89" t="s">
        <v>1072</v>
      </c>
      <c r="E1123" s="85">
        <f>STATS1003B!E1124/1000</f>
        <v>6334.7876200000001</v>
      </c>
      <c r="F1123" s="85">
        <f>STATS1003B!F1124/1000</f>
        <v>6334.7876200000001</v>
      </c>
      <c r="G1123" s="85">
        <f>STATS1003B!G1124/1000</f>
        <v>0</v>
      </c>
      <c r="H1123" s="85">
        <f>STATS1003B!H1124/1000</f>
        <v>6334.7876200000001</v>
      </c>
      <c r="I1123" s="85">
        <f>STATS1003B!I1124/1000</f>
        <v>0</v>
      </c>
      <c r="J1123" s="85">
        <f>STATS1003B!J1124/1000</f>
        <v>0</v>
      </c>
      <c r="K1123" s="85">
        <f>STATS1003B!K1124/1000</f>
        <v>0</v>
      </c>
      <c r="L1123" s="85">
        <f>STATS1003B!L1124/1000</f>
        <v>0</v>
      </c>
      <c r="M1123" s="85">
        <f>STATS1003B!M1124/1000</f>
        <v>6334.7876200000001</v>
      </c>
      <c r="N1123" s="85">
        <f>STATS1003B!N1124/1000</f>
        <v>0</v>
      </c>
      <c r="O1123" s="85">
        <f>STATS1003B!O1124/1000</f>
        <v>0</v>
      </c>
      <c r="P1123" s="85">
        <f>STATS1003B!P1124/1000</f>
        <v>0</v>
      </c>
      <c r="Q1123" s="85">
        <f>STATS1003B!Q1124/1000</f>
        <v>0</v>
      </c>
      <c r="R1123" s="85">
        <f>STATS1003B!R1124/1000</f>
        <v>0</v>
      </c>
      <c r="S1123" s="85">
        <f>STATS1003B!S1124/1000</f>
        <v>0</v>
      </c>
      <c r="T1123" s="85">
        <f>STATS1003B!T1124/1000</f>
        <v>0</v>
      </c>
      <c r="U1123" s="85">
        <f>STATS1003B!U1124/1000</f>
        <v>0</v>
      </c>
      <c r="V1123" s="85">
        <f>STATS1003B!V1124/1000</f>
        <v>0</v>
      </c>
      <c r="W1123" s="85">
        <f>STATS1003B!W1124/1000</f>
        <v>0</v>
      </c>
      <c r="X1123" s="85">
        <f t="shared" si="137"/>
        <v>6334.7876200000001</v>
      </c>
      <c r="Y1123" s="85">
        <f>STATS1003B!Y1124/1000</f>
        <v>0</v>
      </c>
      <c r="Z1123" s="85">
        <f t="shared" si="138"/>
        <v>0</v>
      </c>
      <c r="AA1123" s="69">
        <f>STATS1003B!AA1124/1000</f>
        <v>6334.7876200000001</v>
      </c>
      <c r="AB1123" s="69">
        <f>STATS1003B!AB1124/1000</f>
        <v>0</v>
      </c>
    </row>
    <row r="1124" spans="1:28" hidden="1" x14ac:dyDescent="0.3">
      <c r="A1124" s="117"/>
      <c r="C1124" s="68" t="s">
        <v>930</v>
      </c>
      <c r="D1124" s="89" t="s">
        <v>1072</v>
      </c>
      <c r="E1124" s="85">
        <f>STATS1003B!E1125/1000</f>
        <v>4346.0541800000001</v>
      </c>
      <c r="F1124" s="85">
        <f>STATS1003B!F1125/1000</f>
        <v>4346.0541800000001</v>
      </c>
      <c r="G1124" s="85">
        <f>STATS1003B!G1125/1000</f>
        <v>0</v>
      </c>
      <c r="H1124" s="85">
        <f>STATS1003B!H1125/1000</f>
        <v>4346.0541800000001</v>
      </c>
      <c r="I1124" s="85">
        <f>STATS1003B!I1125/1000</f>
        <v>0</v>
      </c>
      <c r="J1124" s="85">
        <f>STATS1003B!J1125/1000</f>
        <v>0</v>
      </c>
      <c r="K1124" s="85">
        <f>STATS1003B!K1125/1000</f>
        <v>0</v>
      </c>
      <c r="L1124" s="85">
        <f>STATS1003B!L1125/1000</f>
        <v>0</v>
      </c>
      <c r="M1124" s="85">
        <f>STATS1003B!M1125/1000</f>
        <v>4346.0541800000001</v>
      </c>
      <c r="N1124" s="85">
        <f>STATS1003B!N1125/1000</f>
        <v>0</v>
      </c>
      <c r="O1124" s="85">
        <f>STATS1003B!O1125/1000</f>
        <v>0</v>
      </c>
      <c r="P1124" s="85">
        <f>STATS1003B!P1125/1000</f>
        <v>0</v>
      </c>
      <c r="Q1124" s="85">
        <f>STATS1003B!Q1125/1000</f>
        <v>0</v>
      </c>
      <c r="R1124" s="85">
        <f>STATS1003B!R1125/1000</f>
        <v>0</v>
      </c>
      <c r="S1124" s="85">
        <f>STATS1003B!S1125/1000</f>
        <v>0</v>
      </c>
      <c r="T1124" s="85">
        <f>STATS1003B!T1125/1000</f>
        <v>0</v>
      </c>
      <c r="U1124" s="85">
        <f>STATS1003B!U1125/1000</f>
        <v>0</v>
      </c>
      <c r="V1124" s="85">
        <f>STATS1003B!V1125/1000</f>
        <v>0</v>
      </c>
      <c r="W1124" s="85">
        <f>STATS1003B!W1125/1000</f>
        <v>0</v>
      </c>
      <c r="X1124" s="85">
        <f t="shared" si="137"/>
        <v>4346.0541800000001</v>
      </c>
      <c r="Y1124" s="85">
        <f>STATS1003B!Y1125/1000</f>
        <v>0</v>
      </c>
      <c r="Z1124" s="85">
        <f t="shared" si="138"/>
        <v>0</v>
      </c>
      <c r="AA1124" s="69">
        <f>STATS1003B!AA1125/1000</f>
        <v>4346.0541800000001</v>
      </c>
      <c r="AB1124" s="69">
        <f>STATS1003B!AB1125/1000</f>
        <v>0</v>
      </c>
    </row>
    <row r="1125" spans="1:28" hidden="1" x14ac:dyDescent="0.3">
      <c r="A1125" s="117"/>
      <c r="C1125" s="68" t="s">
        <v>1079</v>
      </c>
      <c r="D1125" s="89" t="s">
        <v>1072</v>
      </c>
      <c r="E1125" s="85">
        <f>STATS1003B!E1126/1000</f>
        <v>6757.2870800000001</v>
      </c>
      <c r="F1125" s="85">
        <f>STATS1003B!F1126/1000</f>
        <v>6757.2870800000001</v>
      </c>
      <c r="G1125" s="85">
        <f>STATS1003B!G1126/1000</f>
        <v>0</v>
      </c>
      <c r="H1125" s="85">
        <f>STATS1003B!H1126/1000</f>
        <v>6757.2870800000001</v>
      </c>
      <c r="I1125" s="85">
        <f>STATS1003B!I1126/1000</f>
        <v>0</v>
      </c>
      <c r="J1125" s="85">
        <f>STATS1003B!J1126/1000</f>
        <v>0</v>
      </c>
      <c r="K1125" s="85">
        <f>STATS1003B!K1126/1000</f>
        <v>0</v>
      </c>
      <c r="L1125" s="85">
        <f>STATS1003B!L1126/1000</f>
        <v>0</v>
      </c>
      <c r="M1125" s="85">
        <f>STATS1003B!M1126/1000</f>
        <v>6757.2870800000001</v>
      </c>
      <c r="N1125" s="85">
        <f>STATS1003B!N1126/1000</f>
        <v>0</v>
      </c>
      <c r="O1125" s="85">
        <f>STATS1003B!O1126/1000</f>
        <v>0</v>
      </c>
      <c r="P1125" s="85">
        <f>STATS1003B!P1126/1000</f>
        <v>0</v>
      </c>
      <c r="Q1125" s="85">
        <f>STATS1003B!Q1126/1000</f>
        <v>0</v>
      </c>
      <c r="R1125" s="85">
        <f>STATS1003B!R1126/1000</f>
        <v>0</v>
      </c>
      <c r="S1125" s="85">
        <f>STATS1003B!S1126/1000</f>
        <v>0</v>
      </c>
      <c r="T1125" s="85">
        <f>STATS1003B!T1126/1000</f>
        <v>0</v>
      </c>
      <c r="U1125" s="85">
        <f>STATS1003B!U1126/1000</f>
        <v>0</v>
      </c>
      <c r="V1125" s="85">
        <f>STATS1003B!V1126/1000</f>
        <v>0</v>
      </c>
      <c r="W1125" s="85">
        <f>STATS1003B!W1126/1000</f>
        <v>0</v>
      </c>
      <c r="X1125" s="85">
        <f t="shared" si="137"/>
        <v>6757.2870800000001</v>
      </c>
      <c r="Y1125" s="85">
        <f>STATS1003B!Y1126/1000</f>
        <v>0</v>
      </c>
      <c r="Z1125" s="85">
        <f t="shared" si="138"/>
        <v>0</v>
      </c>
      <c r="AA1125" s="69">
        <f>STATS1003B!AA1126/1000</f>
        <v>6757.2870800000001</v>
      </c>
      <c r="AB1125" s="69">
        <f>STATS1003B!AB1126/1000</f>
        <v>0</v>
      </c>
    </row>
    <row r="1126" spans="1:28" hidden="1" x14ac:dyDescent="0.3">
      <c r="A1126" s="117"/>
      <c r="C1126" s="68" t="s">
        <v>1176</v>
      </c>
      <c r="D1126" s="89" t="s">
        <v>1126</v>
      </c>
      <c r="E1126" s="85">
        <f>STATS1003B!E1127/1000</f>
        <v>7956.3050200000007</v>
      </c>
      <c r="F1126" s="85">
        <f>STATS1003B!F1127/1000</f>
        <v>7956.3050200000007</v>
      </c>
      <c r="G1126" s="85">
        <f>STATS1003B!G1127/1000</f>
        <v>0</v>
      </c>
      <c r="H1126" s="85">
        <f>STATS1003B!H1127/1000</f>
        <v>7956.3050200000007</v>
      </c>
      <c r="I1126" s="85">
        <f>STATS1003B!I1127/1000</f>
        <v>0</v>
      </c>
      <c r="J1126" s="85">
        <f>STATS1003B!J1127/1000</f>
        <v>0</v>
      </c>
      <c r="K1126" s="85">
        <f>STATS1003B!K1127/1000</f>
        <v>0</v>
      </c>
      <c r="L1126" s="85">
        <f>STATS1003B!L1127/1000</f>
        <v>0</v>
      </c>
      <c r="M1126" s="85">
        <f>STATS1003B!M1127/1000</f>
        <v>7956.3050200000007</v>
      </c>
      <c r="N1126" s="85">
        <f>STATS1003B!N1127/1000</f>
        <v>0</v>
      </c>
      <c r="O1126" s="85">
        <f>STATS1003B!O1127/1000</f>
        <v>0</v>
      </c>
      <c r="P1126" s="85">
        <f>STATS1003B!P1127/1000</f>
        <v>0</v>
      </c>
      <c r="Q1126" s="85">
        <f>STATS1003B!Q1127/1000</f>
        <v>0</v>
      </c>
      <c r="R1126" s="85">
        <f>STATS1003B!R1127/1000</f>
        <v>0</v>
      </c>
      <c r="S1126" s="85">
        <f>STATS1003B!S1127/1000</f>
        <v>0</v>
      </c>
      <c r="T1126" s="85">
        <f>STATS1003B!T1127/1000</f>
        <v>0</v>
      </c>
      <c r="U1126" s="85">
        <f>STATS1003B!U1127/1000</f>
        <v>0</v>
      </c>
      <c r="V1126" s="85">
        <f>STATS1003B!V1127/1000</f>
        <v>0</v>
      </c>
      <c r="W1126" s="85">
        <f>STATS1003B!W1127/1000</f>
        <v>0</v>
      </c>
      <c r="X1126" s="85">
        <f t="shared" si="137"/>
        <v>7956.3050200000007</v>
      </c>
      <c r="Y1126" s="85">
        <f>STATS1003B!Y1127/1000</f>
        <v>0</v>
      </c>
      <c r="Z1126" s="85">
        <f t="shared" si="138"/>
        <v>0</v>
      </c>
      <c r="AA1126" s="69">
        <f>STATS1003B!AA1127/1000</f>
        <v>7956.3050200000007</v>
      </c>
      <c r="AB1126" s="69">
        <f>STATS1003B!AB1127/1000</f>
        <v>0</v>
      </c>
    </row>
    <row r="1127" spans="1:28" hidden="1" x14ac:dyDescent="0.3">
      <c r="A1127" s="117"/>
      <c r="C1127" s="71" t="s">
        <v>178</v>
      </c>
      <c r="D1127" s="71" t="s">
        <v>111</v>
      </c>
      <c r="E1127" s="85">
        <f>STATS1003B!E1128/1000</f>
        <v>1873.28</v>
      </c>
      <c r="F1127" s="85">
        <f>STATS1003B!F1128/1000</f>
        <v>1873.28</v>
      </c>
      <c r="G1127" s="85">
        <f>STATS1003B!G1128/1000</f>
        <v>0</v>
      </c>
      <c r="H1127" s="85">
        <f>STATS1003B!H1128/1000</f>
        <v>1873.28</v>
      </c>
      <c r="I1127" s="85">
        <f>STATS1003B!I1128/1000</f>
        <v>0</v>
      </c>
      <c r="J1127" s="85">
        <f>STATS1003B!J1128/1000</f>
        <v>0</v>
      </c>
      <c r="K1127" s="85">
        <f>STATS1003B!K1128/1000</f>
        <v>0</v>
      </c>
      <c r="L1127" s="85">
        <f>STATS1003B!L1128/1000</f>
        <v>0</v>
      </c>
      <c r="M1127" s="85">
        <f>STATS1003B!M1128/1000</f>
        <v>1873.28</v>
      </c>
      <c r="N1127" s="85">
        <f>STATS1003B!N1128/1000</f>
        <v>0</v>
      </c>
      <c r="O1127" s="85">
        <f>STATS1003B!O1128/1000</f>
        <v>0</v>
      </c>
      <c r="P1127" s="85">
        <f>STATS1003B!P1128/1000</f>
        <v>0</v>
      </c>
      <c r="Q1127" s="85">
        <f>STATS1003B!Q1128/1000</f>
        <v>0</v>
      </c>
      <c r="R1127" s="85">
        <f>STATS1003B!R1128/1000</f>
        <v>0</v>
      </c>
      <c r="S1127" s="85">
        <f>STATS1003B!S1128/1000</f>
        <v>0</v>
      </c>
      <c r="T1127" s="85">
        <f>STATS1003B!T1128/1000</f>
        <v>0</v>
      </c>
      <c r="U1127" s="85">
        <f>STATS1003B!U1128/1000</f>
        <v>0</v>
      </c>
      <c r="V1127" s="85">
        <f>STATS1003B!V1128/1000</f>
        <v>1873.28</v>
      </c>
      <c r="W1127" s="85">
        <f>STATS1003B!W1128/1000</f>
        <v>0</v>
      </c>
      <c r="X1127" s="85">
        <f t="shared" si="137"/>
        <v>1873.28</v>
      </c>
      <c r="Y1127" s="85">
        <f>STATS1003B!Y1128/1000</f>
        <v>0</v>
      </c>
      <c r="Z1127" s="85">
        <f t="shared" si="138"/>
        <v>0</v>
      </c>
      <c r="AA1127" s="69">
        <f>STATS1003B!AA1128/1000</f>
        <v>1873.28</v>
      </c>
      <c r="AB1127" s="69">
        <f>STATS1003B!AB1128/1000</f>
        <v>0</v>
      </c>
    </row>
    <row r="1128" spans="1:28" hidden="1" x14ac:dyDescent="0.3">
      <c r="A1128" s="117"/>
      <c r="E1128" s="86" t="s">
        <v>29</v>
      </c>
      <c r="F1128" s="86" t="s">
        <v>29</v>
      </c>
      <c r="G1128" s="86" t="s">
        <v>29</v>
      </c>
      <c r="H1128" s="86" t="s">
        <v>29</v>
      </c>
      <c r="I1128" s="86" t="s">
        <v>29</v>
      </c>
      <c r="J1128" s="86" t="s">
        <v>29</v>
      </c>
      <c r="K1128" s="86" t="s">
        <v>29</v>
      </c>
      <c r="L1128" s="86" t="s">
        <v>29</v>
      </c>
      <c r="M1128" s="86" t="s">
        <v>29</v>
      </c>
      <c r="N1128" s="86" t="s">
        <v>29</v>
      </c>
      <c r="O1128" s="86" t="s">
        <v>29</v>
      </c>
      <c r="P1128" s="86" t="s">
        <v>29</v>
      </c>
      <c r="Q1128" s="86" t="s">
        <v>29</v>
      </c>
      <c r="R1128" s="86" t="s">
        <v>29</v>
      </c>
      <c r="S1128" s="86" t="s">
        <v>29</v>
      </c>
      <c r="T1128" s="86" t="s">
        <v>29</v>
      </c>
      <c r="U1128" s="86" t="s">
        <v>29</v>
      </c>
      <c r="V1128" s="86" t="s">
        <v>29</v>
      </c>
      <c r="W1128" s="86" t="s">
        <v>29</v>
      </c>
      <c r="X1128" s="85" t="e">
        <f t="shared" si="137"/>
        <v>#VALUE!</v>
      </c>
      <c r="Y1128" s="86" t="s">
        <v>29</v>
      </c>
      <c r="Z1128" s="85" t="e">
        <f t="shared" si="138"/>
        <v>#VALUE!</v>
      </c>
      <c r="AA1128" s="115" t="s">
        <v>29</v>
      </c>
      <c r="AB1128" s="115" t="s">
        <v>29</v>
      </c>
    </row>
    <row r="1129" spans="1:28" x14ac:dyDescent="0.3">
      <c r="A1129" s="116">
        <v>52</v>
      </c>
      <c r="B1129" s="68" t="s">
        <v>260</v>
      </c>
      <c r="E1129" s="85">
        <f>343616299.17/1000</f>
        <v>343616.29917000001</v>
      </c>
      <c r="F1129" s="85">
        <f t="shared" ref="F1129:AB1129" si="139">SUM(F1109:F1127)</f>
        <v>135997.80798000001</v>
      </c>
      <c r="G1129" s="85">
        <f t="shared" si="139"/>
        <v>0</v>
      </c>
      <c r="H1129" s="85">
        <f>339890163.33/1000</f>
        <v>339890.16333000001</v>
      </c>
      <c r="I1129" s="85">
        <f t="shared" si="139"/>
        <v>0</v>
      </c>
      <c r="J1129" s="85">
        <f t="shared" si="139"/>
        <v>0</v>
      </c>
      <c r="K1129" s="85">
        <f t="shared" si="139"/>
        <v>0</v>
      </c>
      <c r="L1129" s="85">
        <f t="shared" si="139"/>
        <v>0</v>
      </c>
      <c r="M1129" s="85">
        <f t="shared" si="139"/>
        <v>135997.80798000001</v>
      </c>
      <c r="N1129" s="85">
        <f t="shared" si="139"/>
        <v>3726.1358399999999</v>
      </c>
      <c r="O1129" s="85">
        <f t="shared" si="139"/>
        <v>0</v>
      </c>
      <c r="P1129" s="85">
        <f>3726135/1000</f>
        <v>3726.1350000000002</v>
      </c>
      <c r="Q1129" s="85">
        <f t="shared" si="139"/>
        <v>0</v>
      </c>
      <c r="R1129" s="85">
        <f t="shared" si="139"/>
        <v>0</v>
      </c>
      <c r="S1129" s="85">
        <f t="shared" si="139"/>
        <v>0</v>
      </c>
      <c r="T1129" s="85">
        <f t="shared" si="139"/>
        <v>0</v>
      </c>
      <c r="U1129" s="85">
        <f t="shared" si="139"/>
        <v>3726.1358399999999</v>
      </c>
      <c r="V1129" s="85">
        <f t="shared" si="139"/>
        <v>114329.50992000001</v>
      </c>
      <c r="W1129" s="85">
        <f t="shared" si="139"/>
        <v>0</v>
      </c>
      <c r="X1129" s="85">
        <f>+H1129+P1129</f>
        <v>343616.29833000002</v>
      </c>
      <c r="Y1129" s="85">
        <f t="shared" si="139"/>
        <v>0</v>
      </c>
      <c r="Z1129" s="85">
        <f t="shared" si="138"/>
        <v>8.3999999333173037E-4</v>
      </c>
      <c r="AA1129" s="69">
        <f t="shared" si="139"/>
        <v>139723.94382000001</v>
      </c>
      <c r="AB1129" s="69">
        <f t="shared" si="139"/>
        <v>0</v>
      </c>
    </row>
    <row r="1130" spans="1:28" hidden="1" x14ac:dyDescent="0.3">
      <c r="A1130" s="117"/>
      <c r="E1130" s="86" t="s">
        <v>29</v>
      </c>
      <c r="F1130" s="86" t="s">
        <v>29</v>
      </c>
      <c r="G1130" s="86" t="s">
        <v>29</v>
      </c>
      <c r="H1130" s="86" t="s">
        <v>29</v>
      </c>
      <c r="I1130" s="86" t="s">
        <v>29</v>
      </c>
      <c r="J1130" s="86" t="s">
        <v>29</v>
      </c>
      <c r="K1130" s="86" t="s">
        <v>29</v>
      </c>
      <c r="L1130" s="86" t="s">
        <v>29</v>
      </c>
      <c r="M1130" s="86" t="s">
        <v>29</v>
      </c>
      <c r="N1130" s="86" t="s">
        <v>29</v>
      </c>
      <c r="O1130" s="86" t="s">
        <v>29</v>
      </c>
      <c r="P1130" s="86" t="s">
        <v>29</v>
      </c>
      <c r="Q1130" s="86" t="s">
        <v>29</v>
      </c>
      <c r="R1130" s="86" t="s">
        <v>29</v>
      </c>
      <c r="S1130" s="86" t="s">
        <v>29</v>
      </c>
      <c r="T1130" s="86" t="s">
        <v>29</v>
      </c>
      <c r="U1130" s="86" t="s">
        <v>29</v>
      </c>
      <c r="V1130" s="86" t="s">
        <v>29</v>
      </c>
      <c r="W1130" s="86" t="s">
        <v>29</v>
      </c>
      <c r="X1130" s="85" t="e">
        <f t="shared" si="137"/>
        <v>#VALUE!</v>
      </c>
      <c r="Y1130" s="86" t="s">
        <v>29</v>
      </c>
      <c r="Z1130" s="85" t="e">
        <f t="shared" si="138"/>
        <v>#VALUE!</v>
      </c>
      <c r="AA1130" s="115" t="s">
        <v>29</v>
      </c>
      <c r="AB1130" s="115" t="s">
        <v>29</v>
      </c>
    </row>
    <row r="1131" spans="1:28" hidden="1" x14ac:dyDescent="0.3">
      <c r="A1131" s="105"/>
      <c r="E1131" s="84"/>
      <c r="F1131" s="84"/>
      <c r="G1131" s="84"/>
      <c r="H1131" s="84"/>
      <c r="I1131" s="84"/>
      <c r="J1131" s="84"/>
      <c r="K1131" s="84"/>
      <c r="L1131" s="84"/>
      <c r="M1131" s="84"/>
      <c r="N1131" s="84"/>
      <c r="O1131" s="84"/>
      <c r="P1131" s="84"/>
      <c r="Q1131" s="84"/>
      <c r="R1131" s="84"/>
      <c r="S1131" s="84"/>
      <c r="T1131" s="84"/>
      <c r="U1131" s="84"/>
      <c r="V1131" s="84"/>
      <c r="W1131" s="84"/>
      <c r="X1131" s="85">
        <f t="shared" si="137"/>
        <v>0</v>
      </c>
      <c r="Y1131" s="84"/>
      <c r="Z1131" s="85">
        <f t="shared" si="138"/>
        <v>0</v>
      </c>
    </row>
    <row r="1132" spans="1:28" hidden="1" x14ac:dyDescent="0.3">
      <c r="A1132" s="117"/>
      <c r="C1132" s="68" t="s">
        <v>272</v>
      </c>
      <c r="D1132" s="145" t="s">
        <v>273</v>
      </c>
      <c r="E1132" s="85">
        <f>STATS1003B!E1133/1000</f>
        <v>14602.828660000001</v>
      </c>
      <c r="F1132" s="85">
        <f>STATS1003B!F1133/1000</f>
        <v>13013.94664</v>
      </c>
      <c r="G1132" s="85">
        <f>STATS1003B!G1133/1000</f>
        <v>0</v>
      </c>
      <c r="H1132" s="85">
        <f>STATS1003B!H1133/1000</f>
        <v>13013.94664</v>
      </c>
      <c r="I1132" s="85">
        <f>STATS1003B!I1133/1000</f>
        <v>0</v>
      </c>
      <c r="J1132" s="85">
        <f>STATS1003B!J1133/1000</f>
        <v>0</v>
      </c>
      <c r="K1132" s="85">
        <f>STATS1003B!K1133/1000</f>
        <v>0</v>
      </c>
      <c r="L1132" s="85">
        <f>STATS1003B!L1133/1000</f>
        <v>0</v>
      </c>
      <c r="M1132" s="85">
        <f>STATS1003B!M1133/1000</f>
        <v>13013.94664</v>
      </c>
      <c r="N1132" s="85">
        <f>STATS1003B!N1133/1000</f>
        <v>1588.88202</v>
      </c>
      <c r="O1132" s="85">
        <f>STATS1003B!O1133/1000</f>
        <v>0</v>
      </c>
      <c r="P1132" s="85">
        <f>STATS1003B!P1133/1000</f>
        <v>1588.88202</v>
      </c>
      <c r="Q1132" s="85">
        <f>STATS1003B!Q1133/1000</f>
        <v>0</v>
      </c>
      <c r="R1132" s="85">
        <f>STATS1003B!R1133/1000</f>
        <v>0</v>
      </c>
      <c r="S1132" s="85">
        <f>STATS1003B!S1133/1000</f>
        <v>0</v>
      </c>
      <c r="T1132" s="85">
        <f>STATS1003B!T1133/1000</f>
        <v>0</v>
      </c>
      <c r="U1132" s="85">
        <f>STATS1003B!U1133/1000</f>
        <v>1588.88202</v>
      </c>
      <c r="V1132" s="85">
        <f>STATS1003B!V1133/1000</f>
        <v>14602.828660000001</v>
      </c>
      <c r="W1132" s="85">
        <f>STATS1003B!W1133/1000</f>
        <v>0</v>
      </c>
      <c r="X1132" s="85">
        <f t="shared" si="137"/>
        <v>14602.828659999999</v>
      </c>
      <c r="Y1132" s="85">
        <f>STATS1003B!Y1133/1000</f>
        <v>0</v>
      </c>
      <c r="Z1132" s="85">
        <f t="shared" si="138"/>
        <v>0</v>
      </c>
      <c r="AA1132" s="69">
        <f>STATS1003B!AA1133/1000</f>
        <v>14602.828660000001</v>
      </c>
      <c r="AB1132" s="69">
        <f>STATS1003B!AB1133/1000</f>
        <v>0</v>
      </c>
    </row>
    <row r="1133" spans="1:28" hidden="1" x14ac:dyDescent="0.3">
      <c r="A1133" s="117"/>
      <c r="C1133" s="68" t="s">
        <v>172</v>
      </c>
      <c r="D1133" s="145" t="s">
        <v>166</v>
      </c>
      <c r="E1133" s="85">
        <f>STATS1003B!E1134/1000</f>
        <v>279.33199999999999</v>
      </c>
      <c r="F1133" s="85">
        <f>STATS1003B!F1134/1000</f>
        <v>279.33199999999999</v>
      </c>
      <c r="G1133" s="85">
        <f>STATS1003B!G1134/1000</f>
        <v>0</v>
      </c>
      <c r="H1133" s="85">
        <f>STATS1003B!H1134/1000</f>
        <v>279.33199999999999</v>
      </c>
      <c r="I1133" s="85">
        <f>STATS1003B!I1134/1000</f>
        <v>0</v>
      </c>
      <c r="J1133" s="85">
        <f>STATS1003B!J1134/1000</f>
        <v>0</v>
      </c>
      <c r="K1133" s="85">
        <f>STATS1003B!K1134/1000</f>
        <v>0</v>
      </c>
      <c r="L1133" s="85">
        <f>STATS1003B!L1134/1000</f>
        <v>0</v>
      </c>
      <c r="M1133" s="85">
        <f>STATS1003B!M1134/1000</f>
        <v>279.33199999999999</v>
      </c>
      <c r="N1133" s="85">
        <f>STATS1003B!N1134/1000</f>
        <v>0</v>
      </c>
      <c r="O1133" s="85">
        <f>STATS1003B!O1134/1000</f>
        <v>0</v>
      </c>
      <c r="P1133" s="85">
        <f>STATS1003B!P1134/1000</f>
        <v>0</v>
      </c>
      <c r="Q1133" s="85">
        <f>STATS1003B!Q1134/1000</f>
        <v>0</v>
      </c>
      <c r="R1133" s="85">
        <f>STATS1003B!R1134/1000</f>
        <v>0</v>
      </c>
      <c r="S1133" s="85">
        <f>STATS1003B!S1134/1000</f>
        <v>0</v>
      </c>
      <c r="T1133" s="85">
        <f>STATS1003B!T1134/1000</f>
        <v>0</v>
      </c>
      <c r="U1133" s="85">
        <f>STATS1003B!U1134/1000</f>
        <v>0</v>
      </c>
      <c r="V1133" s="85">
        <f>STATS1003B!V1134/1000</f>
        <v>279.33199999999999</v>
      </c>
      <c r="W1133" s="85">
        <f>STATS1003B!W1134/1000</f>
        <v>0</v>
      </c>
      <c r="X1133" s="85">
        <f t="shared" si="137"/>
        <v>279.33199999999999</v>
      </c>
      <c r="Y1133" s="85">
        <f>STATS1003B!Y1134/1000</f>
        <v>0</v>
      </c>
      <c r="Z1133" s="85">
        <f t="shared" si="138"/>
        <v>0</v>
      </c>
      <c r="AA1133" s="69">
        <f>STATS1003B!AA1134/1000</f>
        <v>279.33199999999999</v>
      </c>
      <c r="AB1133" s="69">
        <f>STATS1003B!AB1134/1000</f>
        <v>0</v>
      </c>
    </row>
    <row r="1134" spans="1:28" hidden="1" x14ac:dyDescent="0.3">
      <c r="A1134" s="117"/>
      <c r="C1134" s="68" t="s">
        <v>57</v>
      </c>
      <c r="D1134" s="145" t="s">
        <v>274</v>
      </c>
      <c r="E1134" s="85">
        <f>STATS1003B!E1135/1000</f>
        <v>4376.9400500000002</v>
      </c>
      <c r="F1134" s="85">
        <f>STATS1003B!F1135/1000</f>
        <v>3591.92409</v>
      </c>
      <c r="G1134" s="85">
        <f>STATS1003B!G1135/1000</f>
        <v>0</v>
      </c>
      <c r="H1134" s="85">
        <f>STATS1003B!H1135/1000</f>
        <v>3591.92409</v>
      </c>
      <c r="I1134" s="85">
        <f>STATS1003B!I1135/1000</f>
        <v>0</v>
      </c>
      <c r="J1134" s="85">
        <f>STATS1003B!J1135/1000</f>
        <v>0</v>
      </c>
      <c r="K1134" s="85">
        <f>STATS1003B!K1135/1000</f>
        <v>0</v>
      </c>
      <c r="L1134" s="85">
        <f>STATS1003B!L1135/1000</f>
        <v>0</v>
      </c>
      <c r="M1134" s="85">
        <f>STATS1003B!M1135/1000</f>
        <v>3591.92409</v>
      </c>
      <c r="N1134" s="85">
        <f>STATS1003B!N1135/1000</f>
        <v>785.01595999999995</v>
      </c>
      <c r="O1134" s="85">
        <f>STATS1003B!O1135/1000</f>
        <v>0</v>
      </c>
      <c r="P1134" s="85">
        <f>STATS1003B!P1135/1000</f>
        <v>785.01595999999995</v>
      </c>
      <c r="Q1134" s="85">
        <f>STATS1003B!Q1135/1000</f>
        <v>0</v>
      </c>
      <c r="R1134" s="85">
        <f>STATS1003B!R1135/1000</f>
        <v>0</v>
      </c>
      <c r="S1134" s="85">
        <f>STATS1003B!S1135/1000</f>
        <v>0</v>
      </c>
      <c r="T1134" s="85">
        <f>STATS1003B!T1135/1000</f>
        <v>0</v>
      </c>
      <c r="U1134" s="85">
        <f>STATS1003B!U1135/1000</f>
        <v>785.01595999999995</v>
      </c>
      <c r="V1134" s="85">
        <f>STATS1003B!V1135/1000</f>
        <v>4376.9400500000002</v>
      </c>
      <c r="W1134" s="85">
        <f>STATS1003B!W1135/1000</f>
        <v>0</v>
      </c>
      <c r="X1134" s="85">
        <f t="shared" si="137"/>
        <v>4376.9400500000002</v>
      </c>
      <c r="Y1134" s="85">
        <f>STATS1003B!Y1135/1000</f>
        <v>0</v>
      </c>
      <c r="Z1134" s="85">
        <f t="shared" si="138"/>
        <v>0</v>
      </c>
      <c r="AA1134" s="69">
        <f>STATS1003B!AA1135/1000</f>
        <v>4376.9400500000002</v>
      </c>
      <c r="AB1134" s="69">
        <f>STATS1003B!AB1135/1000</f>
        <v>0</v>
      </c>
    </row>
    <row r="1135" spans="1:28" hidden="1" x14ac:dyDescent="0.3">
      <c r="A1135" s="117"/>
      <c r="C1135" s="68" t="s">
        <v>275</v>
      </c>
      <c r="D1135" s="88" t="s">
        <v>68</v>
      </c>
      <c r="E1135" s="85">
        <f>STATS1003B!E1136/1000</f>
        <v>1325.5029999999999</v>
      </c>
      <c r="F1135" s="85">
        <f>STATS1003B!F1136/1000</f>
        <v>1325.5029999999999</v>
      </c>
      <c r="G1135" s="85">
        <f>STATS1003B!G1136/1000</f>
        <v>0</v>
      </c>
      <c r="H1135" s="85">
        <f>STATS1003B!H1136/1000</f>
        <v>1325.5029999999999</v>
      </c>
      <c r="I1135" s="85">
        <f>STATS1003B!I1136/1000</f>
        <v>0</v>
      </c>
      <c r="J1135" s="85">
        <f>STATS1003B!J1136/1000</f>
        <v>0</v>
      </c>
      <c r="K1135" s="85">
        <f>STATS1003B!K1136/1000</f>
        <v>0</v>
      </c>
      <c r="L1135" s="85">
        <f>STATS1003B!L1136/1000</f>
        <v>0</v>
      </c>
      <c r="M1135" s="85">
        <f>STATS1003B!M1136/1000</f>
        <v>1325.5029999999999</v>
      </c>
      <c r="N1135" s="85">
        <f>STATS1003B!N1136/1000</f>
        <v>0</v>
      </c>
      <c r="O1135" s="85">
        <f>STATS1003B!O1136/1000</f>
        <v>0</v>
      </c>
      <c r="P1135" s="85">
        <f>STATS1003B!P1136/1000</f>
        <v>0</v>
      </c>
      <c r="Q1135" s="85">
        <f>STATS1003B!Q1136/1000</f>
        <v>0</v>
      </c>
      <c r="R1135" s="85">
        <f>STATS1003B!R1136/1000</f>
        <v>0</v>
      </c>
      <c r="S1135" s="85">
        <f>STATS1003B!S1136/1000</f>
        <v>0</v>
      </c>
      <c r="T1135" s="85">
        <f>STATS1003B!T1136/1000</f>
        <v>0</v>
      </c>
      <c r="U1135" s="85">
        <f>STATS1003B!U1136/1000</f>
        <v>0</v>
      </c>
      <c r="V1135" s="85">
        <f>STATS1003B!V1136/1000</f>
        <v>1325.5029999999999</v>
      </c>
      <c r="W1135" s="85">
        <f>STATS1003B!W1136/1000</f>
        <v>0</v>
      </c>
      <c r="X1135" s="85">
        <f t="shared" si="137"/>
        <v>1325.5029999999999</v>
      </c>
      <c r="Y1135" s="85">
        <f>STATS1003B!Y1136/1000</f>
        <v>0</v>
      </c>
      <c r="Z1135" s="85">
        <f t="shared" si="138"/>
        <v>0</v>
      </c>
      <c r="AA1135" s="69">
        <f>STATS1003B!AA1136/1000</f>
        <v>1325.5029999999999</v>
      </c>
      <c r="AB1135" s="69">
        <f>STATS1003B!AB1136/1000</f>
        <v>0</v>
      </c>
    </row>
    <row r="1136" spans="1:28" hidden="1" x14ac:dyDescent="0.3">
      <c r="A1136" s="117"/>
      <c r="C1136" s="71" t="s">
        <v>276</v>
      </c>
      <c r="D1136" s="88" t="s">
        <v>68</v>
      </c>
      <c r="E1136" s="85">
        <f>STATS1003B!E1137/1000</f>
        <v>303.02690000000001</v>
      </c>
      <c r="F1136" s="85">
        <f>STATS1003B!F1137/1000</f>
        <v>0</v>
      </c>
      <c r="G1136" s="85">
        <f>STATS1003B!G1137/1000</f>
        <v>0</v>
      </c>
      <c r="H1136" s="85">
        <f>STATS1003B!H1137/1000</f>
        <v>0</v>
      </c>
      <c r="I1136" s="85">
        <f>STATS1003B!I1137/1000</f>
        <v>0</v>
      </c>
      <c r="J1136" s="85">
        <f>STATS1003B!J1137/1000</f>
        <v>0</v>
      </c>
      <c r="K1136" s="85">
        <f>STATS1003B!K1137/1000</f>
        <v>0</v>
      </c>
      <c r="L1136" s="85">
        <f>STATS1003B!L1137/1000</f>
        <v>0</v>
      </c>
      <c r="M1136" s="85">
        <f>STATS1003B!M1137/1000</f>
        <v>0</v>
      </c>
      <c r="N1136" s="85">
        <f>STATS1003B!N1137/1000</f>
        <v>303.02690000000001</v>
      </c>
      <c r="O1136" s="85">
        <f>STATS1003B!O1137/1000</f>
        <v>0</v>
      </c>
      <c r="P1136" s="85">
        <f>STATS1003B!P1137/1000</f>
        <v>303.02690000000001</v>
      </c>
      <c r="Q1136" s="85">
        <f>STATS1003B!Q1137/1000</f>
        <v>0</v>
      </c>
      <c r="R1136" s="85">
        <f>STATS1003B!R1137/1000</f>
        <v>0</v>
      </c>
      <c r="S1136" s="85">
        <f>STATS1003B!S1137/1000</f>
        <v>0</v>
      </c>
      <c r="T1136" s="85">
        <f>STATS1003B!T1137/1000</f>
        <v>0</v>
      </c>
      <c r="U1136" s="85">
        <f>STATS1003B!U1137/1000</f>
        <v>303.02690000000001</v>
      </c>
      <c r="V1136" s="85">
        <f>STATS1003B!V1137/1000</f>
        <v>303.02690000000001</v>
      </c>
      <c r="W1136" s="85">
        <f>STATS1003B!W1137/1000</f>
        <v>0</v>
      </c>
      <c r="X1136" s="85">
        <f t="shared" si="137"/>
        <v>303.02690000000001</v>
      </c>
      <c r="Y1136" s="85">
        <f>STATS1003B!Y1137/1000</f>
        <v>0</v>
      </c>
      <c r="Z1136" s="85">
        <f t="shared" si="138"/>
        <v>0</v>
      </c>
      <c r="AA1136" s="69">
        <f>STATS1003B!AA1137/1000</f>
        <v>303.02690000000001</v>
      </c>
      <c r="AB1136" s="69">
        <f>STATS1003B!AB1137/1000</f>
        <v>0</v>
      </c>
    </row>
    <row r="1137" spans="1:28" hidden="1" x14ac:dyDescent="0.3">
      <c r="A1137" s="117"/>
      <c r="C1137" s="68" t="s">
        <v>53</v>
      </c>
      <c r="D1137" s="145" t="s">
        <v>128</v>
      </c>
      <c r="E1137" s="85">
        <f>STATS1003B!E1138/1000</f>
        <v>570.94100000000003</v>
      </c>
      <c r="F1137" s="85">
        <f>STATS1003B!F1138/1000</f>
        <v>0</v>
      </c>
      <c r="G1137" s="85">
        <f>STATS1003B!G1138/1000</f>
        <v>0</v>
      </c>
      <c r="H1137" s="85">
        <f>STATS1003B!H1138/1000</f>
        <v>0</v>
      </c>
      <c r="I1137" s="85">
        <f>STATS1003B!I1138/1000</f>
        <v>0</v>
      </c>
      <c r="J1137" s="85">
        <f>STATS1003B!J1138/1000</f>
        <v>0</v>
      </c>
      <c r="K1137" s="85">
        <f>STATS1003B!K1138/1000</f>
        <v>0</v>
      </c>
      <c r="L1137" s="85">
        <f>STATS1003B!L1138/1000</f>
        <v>0</v>
      </c>
      <c r="M1137" s="85">
        <f>STATS1003B!M1138/1000</f>
        <v>0</v>
      </c>
      <c r="N1137" s="85">
        <f>STATS1003B!N1138/1000</f>
        <v>570.94100000000003</v>
      </c>
      <c r="O1137" s="85">
        <f>STATS1003B!O1138/1000</f>
        <v>0</v>
      </c>
      <c r="P1137" s="85">
        <f>STATS1003B!P1138/1000</f>
        <v>570.94100000000003</v>
      </c>
      <c r="Q1137" s="85">
        <f>STATS1003B!Q1138/1000</f>
        <v>0</v>
      </c>
      <c r="R1137" s="85">
        <f>STATS1003B!R1138/1000</f>
        <v>0</v>
      </c>
      <c r="S1137" s="85">
        <f>STATS1003B!S1138/1000</f>
        <v>0</v>
      </c>
      <c r="T1137" s="85">
        <f>STATS1003B!T1138/1000</f>
        <v>0</v>
      </c>
      <c r="U1137" s="85">
        <f>STATS1003B!U1138/1000</f>
        <v>570.94100000000003</v>
      </c>
      <c r="V1137" s="85">
        <f>STATS1003B!V1138/1000</f>
        <v>570.94100000000003</v>
      </c>
      <c r="W1137" s="85">
        <f>STATS1003B!W1138/1000</f>
        <v>0</v>
      </c>
      <c r="X1137" s="85">
        <f t="shared" si="137"/>
        <v>570.94100000000003</v>
      </c>
      <c r="Y1137" s="85">
        <f>STATS1003B!Y1138/1000</f>
        <v>0</v>
      </c>
      <c r="Z1137" s="85">
        <f t="shared" si="138"/>
        <v>0</v>
      </c>
      <c r="AA1137" s="69">
        <f>STATS1003B!AA1138/1000</f>
        <v>570.94100000000003</v>
      </c>
      <c r="AB1137" s="69">
        <f>STATS1003B!AB1138/1000</f>
        <v>0</v>
      </c>
    </row>
    <row r="1138" spans="1:28" hidden="1" x14ac:dyDescent="0.3">
      <c r="A1138" s="117"/>
      <c r="C1138" s="68" t="s">
        <v>57</v>
      </c>
      <c r="D1138" s="145" t="s">
        <v>58</v>
      </c>
      <c r="E1138" s="85">
        <f>STATS1003B!E1139/1000</f>
        <v>2416.2660000000001</v>
      </c>
      <c r="F1138" s="85">
        <f>STATS1003B!F1139/1000</f>
        <v>2416.2660000000001</v>
      </c>
      <c r="G1138" s="85">
        <f>STATS1003B!G1139/1000</f>
        <v>0</v>
      </c>
      <c r="H1138" s="85">
        <f>STATS1003B!H1139/1000</f>
        <v>2416.2660000000001</v>
      </c>
      <c r="I1138" s="85">
        <f>STATS1003B!I1139/1000</f>
        <v>0</v>
      </c>
      <c r="J1138" s="85">
        <f>STATS1003B!J1139/1000</f>
        <v>0</v>
      </c>
      <c r="K1138" s="85">
        <f>STATS1003B!K1139/1000</f>
        <v>0</v>
      </c>
      <c r="L1138" s="85">
        <f>STATS1003B!L1139/1000</f>
        <v>0</v>
      </c>
      <c r="M1138" s="85">
        <f>STATS1003B!M1139/1000</f>
        <v>2416.2660000000001</v>
      </c>
      <c r="N1138" s="85">
        <f>STATS1003B!N1139/1000</f>
        <v>0</v>
      </c>
      <c r="O1138" s="85">
        <f>STATS1003B!O1139/1000</f>
        <v>0</v>
      </c>
      <c r="P1138" s="85">
        <f>STATS1003B!P1139/1000</f>
        <v>0</v>
      </c>
      <c r="Q1138" s="85">
        <f>STATS1003B!Q1139/1000</f>
        <v>0</v>
      </c>
      <c r="R1138" s="85">
        <f>STATS1003B!R1139/1000</f>
        <v>0</v>
      </c>
      <c r="S1138" s="85">
        <f>STATS1003B!S1139/1000</f>
        <v>0</v>
      </c>
      <c r="T1138" s="85">
        <f>STATS1003B!T1139/1000</f>
        <v>0</v>
      </c>
      <c r="U1138" s="85">
        <f>STATS1003B!U1139/1000</f>
        <v>0</v>
      </c>
      <c r="V1138" s="85">
        <f>STATS1003B!V1139/1000</f>
        <v>2416.2660000000001</v>
      </c>
      <c r="W1138" s="85">
        <f>STATS1003B!W1139/1000</f>
        <v>0</v>
      </c>
      <c r="X1138" s="85">
        <f t="shared" si="137"/>
        <v>2416.2660000000001</v>
      </c>
      <c r="Y1138" s="85">
        <f>STATS1003B!Y1139/1000</f>
        <v>0</v>
      </c>
      <c r="Z1138" s="85">
        <f t="shared" si="138"/>
        <v>0</v>
      </c>
      <c r="AA1138" s="69">
        <f>STATS1003B!AA1139/1000</f>
        <v>2416.2660000000001</v>
      </c>
      <c r="AB1138" s="69">
        <f>STATS1003B!AB1139/1000</f>
        <v>0</v>
      </c>
    </row>
    <row r="1139" spans="1:28" hidden="1" x14ac:dyDescent="0.3">
      <c r="A1139" s="117"/>
      <c r="C1139" s="68" t="s">
        <v>57</v>
      </c>
      <c r="D1139" s="145" t="s">
        <v>60</v>
      </c>
      <c r="E1139" s="85">
        <f>STATS1003B!E1140/1000</f>
        <v>3641.3130000000001</v>
      </c>
      <c r="F1139" s="85">
        <f>STATS1003B!F1140/1000</f>
        <v>3641.3130000000001</v>
      </c>
      <c r="G1139" s="85">
        <f>STATS1003B!G1140/1000</f>
        <v>0</v>
      </c>
      <c r="H1139" s="85">
        <f>STATS1003B!H1140/1000</f>
        <v>3641.3130000000001</v>
      </c>
      <c r="I1139" s="85">
        <f>STATS1003B!I1140/1000</f>
        <v>0</v>
      </c>
      <c r="J1139" s="85">
        <f>STATS1003B!J1140/1000</f>
        <v>0</v>
      </c>
      <c r="K1139" s="85">
        <f>STATS1003B!K1140/1000</f>
        <v>0</v>
      </c>
      <c r="L1139" s="85">
        <f>STATS1003B!L1140/1000</f>
        <v>0</v>
      </c>
      <c r="M1139" s="85">
        <f>STATS1003B!M1140/1000</f>
        <v>3641.3130000000001</v>
      </c>
      <c r="N1139" s="85">
        <f>STATS1003B!N1140/1000</f>
        <v>0</v>
      </c>
      <c r="O1139" s="85">
        <f>STATS1003B!O1140/1000</f>
        <v>0</v>
      </c>
      <c r="P1139" s="85">
        <f>STATS1003B!P1140/1000</f>
        <v>0</v>
      </c>
      <c r="Q1139" s="85">
        <f>STATS1003B!Q1140/1000</f>
        <v>0</v>
      </c>
      <c r="R1139" s="85">
        <f>STATS1003B!R1140/1000</f>
        <v>0</v>
      </c>
      <c r="S1139" s="85">
        <f>STATS1003B!S1140/1000</f>
        <v>0</v>
      </c>
      <c r="T1139" s="85">
        <f>STATS1003B!T1140/1000</f>
        <v>0</v>
      </c>
      <c r="U1139" s="85">
        <f>STATS1003B!U1140/1000</f>
        <v>0</v>
      </c>
      <c r="V1139" s="85">
        <f>STATS1003B!V1140/1000</f>
        <v>3641.3130000000001</v>
      </c>
      <c r="W1139" s="85">
        <f>STATS1003B!W1140/1000</f>
        <v>0</v>
      </c>
      <c r="X1139" s="85">
        <f t="shared" si="137"/>
        <v>3641.3130000000001</v>
      </c>
      <c r="Y1139" s="85">
        <f>STATS1003B!Y1140/1000</f>
        <v>0</v>
      </c>
      <c r="Z1139" s="85">
        <f t="shared" si="138"/>
        <v>0</v>
      </c>
      <c r="AA1139" s="69">
        <f>STATS1003B!AA1140/1000</f>
        <v>3641.3130000000001</v>
      </c>
      <c r="AB1139" s="69">
        <f>STATS1003B!AB1140/1000</f>
        <v>0</v>
      </c>
    </row>
    <row r="1140" spans="1:28" hidden="1" x14ac:dyDescent="0.3">
      <c r="A1140" s="117"/>
      <c r="C1140" s="71" t="s">
        <v>277</v>
      </c>
      <c r="D1140" s="88" t="s">
        <v>73</v>
      </c>
      <c r="E1140" s="85">
        <f>STATS1003B!E1141/1000</f>
        <v>1499</v>
      </c>
      <c r="F1140" s="85">
        <f>STATS1003B!F1141/1000</f>
        <v>1499</v>
      </c>
      <c r="G1140" s="85">
        <f>STATS1003B!G1141/1000</f>
        <v>0</v>
      </c>
      <c r="H1140" s="85">
        <f>STATS1003B!H1141/1000</f>
        <v>1499</v>
      </c>
      <c r="I1140" s="85">
        <f>STATS1003B!I1141/1000</f>
        <v>0</v>
      </c>
      <c r="J1140" s="85">
        <f>STATS1003B!J1141/1000</f>
        <v>0</v>
      </c>
      <c r="K1140" s="85">
        <f>STATS1003B!K1141/1000</f>
        <v>0</v>
      </c>
      <c r="L1140" s="85">
        <f>STATS1003B!L1141/1000</f>
        <v>0</v>
      </c>
      <c r="M1140" s="85">
        <f>STATS1003B!M1141/1000</f>
        <v>1499</v>
      </c>
      <c r="N1140" s="85">
        <f>STATS1003B!N1141/1000</f>
        <v>0</v>
      </c>
      <c r="O1140" s="85">
        <f>STATS1003B!O1141/1000</f>
        <v>0</v>
      </c>
      <c r="P1140" s="85">
        <f>STATS1003B!P1141/1000</f>
        <v>0</v>
      </c>
      <c r="Q1140" s="85">
        <f>STATS1003B!Q1141/1000</f>
        <v>0</v>
      </c>
      <c r="R1140" s="85">
        <f>STATS1003B!R1141/1000</f>
        <v>0</v>
      </c>
      <c r="S1140" s="85">
        <f>STATS1003B!S1141/1000</f>
        <v>0</v>
      </c>
      <c r="T1140" s="85">
        <f>STATS1003B!T1141/1000</f>
        <v>0</v>
      </c>
      <c r="U1140" s="85">
        <f>STATS1003B!U1141/1000</f>
        <v>0</v>
      </c>
      <c r="V1140" s="85">
        <f>STATS1003B!V1141/1000</f>
        <v>1499</v>
      </c>
      <c r="W1140" s="85">
        <f>STATS1003B!W1141/1000</f>
        <v>0</v>
      </c>
      <c r="X1140" s="85">
        <f t="shared" si="137"/>
        <v>1499</v>
      </c>
      <c r="Y1140" s="85">
        <f>STATS1003B!Y1141/1000</f>
        <v>0</v>
      </c>
      <c r="Z1140" s="85">
        <f t="shared" si="138"/>
        <v>0</v>
      </c>
      <c r="AA1140" s="69">
        <f>STATS1003B!AA1141/1000</f>
        <v>1499</v>
      </c>
      <c r="AB1140" s="69">
        <f>STATS1003B!AB1141/1000</f>
        <v>0</v>
      </c>
    </row>
    <row r="1141" spans="1:28" hidden="1" x14ac:dyDescent="0.3">
      <c r="A1141" s="117"/>
      <c r="C1141" s="68" t="s">
        <v>57</v>
      </c>
      <c r="D1141" s="89" t="s">
        <v>61</v>
      </c>
      <c r="E1141" s="85">
        <f>STATS1003B!E1142/1000</f>
        <v>858.67466000000002</v>
      </c>
      <c r="F1141" s="85">
        <f>STATS1003B!F1142/1000</f>
        <v>768.28392000000008</v>
      </c>
      <c r="G1141" s="85">
        <f>STATS1003B!G1142/1000</f>
        <v>0</v>
      </c>
      <c r="H1141" s="85">
        <f>STATS1003B!H1142/1000</f>
        <v>768.28392000000008</v>
      </c>
      <c r="I1141" s="85">
        <f>STATS1003B!I1142/1000</f>
        <v>768.28392000000008</v>
      </c>
      <c r="J1141" s="85">
        <f>STATS1003B!J1142/1000</f>
        <v>768.28392000000008</v>
      </c>
      <c r="K1141" s="85">
        <f>STATS1003B!K1142/1000</f>
        <v>0</v>
      </c>
      <c r="L1141" s="85">
        <f>STATS1003B!L1142/1000</f>
        <v>0</v>
      </c>
      <c r="M1141" s="85">
        <f>STATS1003B!M1142/1000</f>
        <v>768.28392000000008</v>
      </c>
      <c r="N1141" s="85">
        <f>STATS1003B!N1142/1000</f>
        <v>0</v>
      </c>
      <c r="O1141" s="85">
        <f>STATS1003B!O1142/1000</f>
        <v>0</v>
      </c>
      <c r="P1141" s="85">
        <f>STATS1003B!P1142/1000</f>
        <v>0</v>
      </c>
      <c r="Q1141" s="85">
        <f>STATS1003B!Q1142/1000</f>
        <v>0</v>
      </c>
      <c r="R1141" s="85">
        <f>STATS1003B!R1142/1000</f>
        <v>0</v>
      </c>
      <c r="S1141" s="85">
        <f>STATS1003B!S1142/1000</f>
        <v>90.390740000000008</v>
      </c>
      <c r="T1141" s="85">
        <f>STATS1003B!T1142/1000</f>
        <v>90.390740000000008</v>
      </c>
      <c r="U1141" s="85">
        <f>STATS1003B!U1142/1000</f>
        <v>90.390740000000008</v>
      </c>
      <c r="V1141" s="85">
        <f>STATS1003B!V1142/1000</f>
        <v>768.28392000000008</v>
      </c>
      <c r="W1141" s="85">
        <f>STATS1003B!W1142/1000</f>
        <v>90.390739999999994</v>
      </c>
      <c r="X1141" s="85">
        <f t="shared" si="137"/>
        <v>768.28392000000008</v>
      </c>
      <c r="Y1141" s="85">
        <f>STATS1003B!Y1142/1000</f>
        <v>0</v>
      </c>
      <c r="Z1141" s="85">
        <f t="shared" si="138"/>
        <v>90.390739999999937</v>
      </c>
      <c r="AA1141" s="69">
        <f>STATS1003B!AA1142/1000</f>
        <v>858.67466000000002</v>
      </c>
      <c r="AB1141" s="69">
        <f>STATS1003B!AB1142/1000</f>
        <v>0</v>
      </c>
    </row>
    <row r="1142" spans="1:28" hidden="1" x14ac:dyDescent="0.3">
      <c r="A1142" s="117"/>
      <c r="E1142" s="86" t="s">
        <v>29</v>
      </c>
      <c r="F1142" s="86" t="s">
        <v>29</v>
      </c>
      <c r="G1142" s="86" t="s">
        <v>29</v>
      </c>
      <c r="H1142" s="86" t="s">
        <v>29</v>
      </c>
      <c r="I1142" s="86" t="s">
        <v>29</v>
      </c>
      <c r="J1142" s="86" t="s">
        <v>29</v>
      </c>
      <c r="K1142" s="86" t="s">
        <v>29</v>
      </c>
      <c r="L1142" s="86" t="s">
        <v>29</v>
      </c>
      <c r="M1142" s="86" t="s">
        <v>29</v>
      </c>
      <c r="N1142" s="86" t="s">
        <v>29</v>
      </c>
      <c r="O1142" s="86" t="s">
        <v>29</v>
      </c>
      <c r="P1142" s="86" t="s">
        <v>29</v>
      </c>
      <c r="Q1142" s="86" t="s">
        <v>29</v>
      </c>
      <c r="R1142" s="86" t="s">
        <v>29</v>
      </c>
      <c r="S1142" s="86" t="s">
        <v>29</v>
      </c>
      <c r="T1142" s="86" t="s">
        <v>29</v>
      </c>
      <c r="U1142" s="86" t="s">
        <v>29</v>
      </c>
      <c r="V1142" s="86" t="s">
        <v>29</v>
      </c>
      <c r="W1142" s="86" t="s">
        <v>29</v>
      </c>
      <c r="X1142" s="85" t="e">
        <f t="shared" si="137"/>
        <v>#VALUE!</v>
      </c>
      <c r="Y1142" s="86" t="s">
        <v>29</v>
      </c>
      <c r="Z1142" s="85" t="e">
        <f t="shared" si="138"/>
        <v>#VALUE!</v>
      </c>
      <c r="AA1142" s="115" t="s">
        <v>29</v>
      </c>
      <c r="AB1142" s="115" t="s">
        <v>29</v>
      </c>
    </row>
    <row r="1143" spans="1:28" x14ac:dyDescent="0.3">
      <c r="A1143" s="116">
        <v>53</v>
      </c>
      <c r="B1143" s="68" t="s">
        <v>271</v>
      </c>
      <c r="E1143" s="85">
        <f>41211683.95/1000</f>
        <v>41211.683950000006</v>
      </c>
      <c r="F1143" s="85">
        <f t="shared" ref="F1143:AB1143" si="140">SUM(F1132:F1141)</f>
        <v>26535.568650000001</v>
      </c>
      <c r="G1143" s="85">
        <f t="shared" si="140"/>
        <v>0</v>
      </c>
      <c r="H1143" s="85">
        <f>37873427.33/1000</f>
        <v>37873.427329999999</v>
      </c>
      <c r="I1143" s="85">
        <f t="shared" si="140"/>
        <v>768.28392000000008</v>
      </c>
      <c r="J1143" s="85">
        <f t="shared" si="140"/>
        <v>768.28392000000008</v>
      </c>
      <c r="K1143" s="85">
        <f t="shared" si="140"/>
        <v>0</v>
      </c>
      <c r="L1143" s="85">
        <f t="shared" si="140"/>
        <v>0</v>
      </c>
      <c r="M1143" s="85">
        <f t="shared" si="140"/>
        <v>26535.568650000001</v>
      </c>
      <c r="N1143" s="85">
        <f t="shared" si="140"/>
        <v>3247.8658799999994</v>
      </c>
      <c r="O1143" s="85">
        <f t="shared" si="140"/>
        <v>0</v>
      </c>
      <c r="P1143" s="85">
        <f>3247865/1000</f>
        <v>3247.8649999999998</v>
      </c>
      <c r="Q1143" s="85">
        <f t="shared" si="140"/>
        <v>0</v>
      </c>
      <c r="R1143" s="85">
        <f t="shared" si="140"/>
        <v>0</v>
      </c>
      <c r="S1143" s="85">
        <f t="shared" si="140"/>
        <v>90.390740000000008</v>
      </c>
      <c r="T1143" s="85">
        <f t="shared" si="140"/>
        <v>90.390740000000008</v>
      </c>
      <c r="U1143" s="85">
        <f t="shared" si="140"/>
        <v>3338.2566199999992</v>
      </c>
      <c r="V1143" s="85">
        <f t="shared" si="140"/>
        <v>29783.434530000006</v>
      </c>
      <c r="W1143" s="85">
        <f t="shared" si="140"/>
        <v>90.390739999999994</v>
      </c>
      <c r="X1143" s="85">
        <f>+H1143+P1143</f>
        <v>41121.292329999997</v>
      </c>
      <c r="Y1143" s="85">
        <f t="shared" si="140"/>
        <v>0</v>
      </c>
      <c r="Z1143" s="85">
        <f t="shared" si="138"/>
        <v>90.391620000009425</v>
      </c>
      <c r="AA1143" s="69">
        <f t="shared" si="140"/>
        <v>29873.825270000005</v>
      </c>
      <c r="AB1143" s="69">
        <f t="shared" si="140"/>
        <v>0</v>
      </c>
    </row>
    <row r="1144" spans="1:28" hidden="1" x14ac:dyDescent="0.3">
      <c r="A1144" s="117"/>
      <c r="E1144" s="86" t="s">
        <v>29</v>
      </c>
      <c r="F1144" s="86" t="s">
        <v>29</v>
      </c>
      <c r="G1144" s="86" t="s">
        <v>29</v>
      </c>
      <c r="H1144" s="86" t="s">
        <v>29</v>
      </c>
      <c r="I1144" s="86" t="s">
        <v>29</v>
      </c>
      <c r="J1144" s="86" t="s">
        <v>29</v>
      </c>
      <c r="K1144" s="86" t="s">
        <v>29</v>
      </c>
      <c r="L1144" s="86" t="s">
        <v>29</v>
      </c>
      <c r="M1144" s="86" t="s">
        <v>29</v>
      </c>
      <c r="N1144" s="86" t="s">
        <v>29</v>
      </c>
      <c r="O1144" s="86" t="s">
        <v>29</v>
      </c>
      <c r="P1144" s="86" t="s">
        <v>29</v>
      </c>
      <c r="Q1144" s="86" t="s">
        <v>29</v>
      </c>
      <c r="R1144" s="86" t="s">
        <v>29</v>
      </c>
      <c r="S1144" s="86" t="s">
        <v>29</v>
      </c>
      <c r="T1144" s="86" t="s">
        <v>29</v>
      </c>
      <c r="U1144" s="86" t="s">
        <v>29</v>
      </c>
      <c r="V1144" s="86" t="s">
        <v>29</v>
      </c>
      <c r="W1144" s="86" t="s">
        <v>29</v>
      </c>
      <c r="X1144" s="85" t="e">
        <f t="shared" si="137"/>
        <v>#VALUE!</v>
      </c>
      <c r="Y1144" s="86" t="s">
        <v>29</v>
      </c>
      <c r="Z1144" s="85" t="e">
        <f t="shared" si="138"/>
        <v>#VALUE!</v>
      </c>
      <c r="AA1144" s="115" t="s">
        <v>29</v>
      </c>
      <c r="AB1144" s="115" t="s">
        <v>29</v>
      </c>
    </row>
    <row r="1145" spans="1:28" hidden="1" x14ac:dyDescent="0.3">
      <c r="A1145" s="105"/>
      <c r="E1145" s="84"/>
      <c r="F1145" s="84"/>
      <c r="G1145" s="84"/>
      <c r="H1145" s="84"/>
      <c r="I1145" s="84"/>
      <c r="J1145" s="84"/>
      <c r="K1145" s="84"/>
      <c r="L1145" s="84"/>
      <c r="M1145" s="84"/>
      <c r="N1145" s="84"/>
      <c r="O1145" s="84"/>
      <c r="P1145" s="84"/>
      <c r="Q1145" s="84"/>
      <c r="R1145" s="84"/>
      <c r="S1145" s="84"/>
      <c r="T1145" s="84"/>
      <c r="U1145" s="84"/>
      <c r="V1145" s="84"/>
      <c r="W1145" s="84"/>
      <c r="X1145" s="85">
        <f t="shared" si="137"/>
        <v>0</v>
      </c>
      <c r="Y1145" s="84"/>
      <c r="Z1145" s="85">
        <f t="shared" si="138"/>
        <v>0</v>
      </c>
    </row>
    <row r="1146" spans="1:28" hidden="1" x14ac:dyDescent="0.3">
      <c r="A1146" s="117"/>
      <c r="D1146" s="145" t="s">
        <v>218</v>
      </c>
      <c r="E1146" s="84"/>
      <c r="F1146" s="84"/>
      <c r="G1146" s="84"/>
      <c r="H1146" s="84"/>
      <c r="I1146" s="84"/>
      <c r="J1146" s="84"/>
      <c r="K1146" s="84"/>
      <c r="L1146" s="84"/>
      <c r="M1146" s="84"/>
      <c r="N1146" s="84"/>
      <c r="O1146" s="84"/>
      <c r="P1146" s="84"/>
      <c r="Q1146" s="84"/>
      <c r="R1146" s="84"/>
      <c r="S1146" s="84"/>
      <c r="T1146" s="84"/>
      <c r="U1146" s="84"/>
      <c r="V1146" s="84"/>
      <c r="W1146" s="84"/>
      <c r="X1146" s="85">
        <f t="shared" si="137"/>
        <v>0</v>
      </c>
      <c r="Y1146" s="84"/>
      <c r="Z1146" s="85">
        <f t="shared" si="138"/>
        <v>0</v>
      </c>
    </row>
    <row r="1147" spans="1:28" hidden="1" x14ac:dyDescent="0.3">
      <c r="A1147" s="117"/>
      <c r="C1147" s="68" t="s">
        <v>279</v>
      </c>
      <c r="D1147" s="71" t="s">
        <v>65</v>
      </c>
      <c r="E1147" s="85">
        <f>STATS1003B!E1148/1000</f>
        <v>9250.5238499999996</v>
      </c>
      <c r="F1147" s="85">
        <f>STATS1003B!F1148/1000</f>
        <v>8210.3072400000001</v>
      </c>
      <c r="G1147" s="85">
        <f>STATS1003B!G1148/1000</f>
        <v>0</v>
      </c>
      <c r="H1147" s="85">
        <f>STATS1003B!H1148/1000</f>
        <v>8210.3072400000001</v>
      </c>
      <c r="I1147" s="85">
        <f>STATS1003B!I1148/1000</f>
        <v>0</v>
      </c>
      <c r="J1147" s="85">
        <f>STATS1003B!J1148/1000</f>
        <v>0</v>
      </c>
      <c r="K1147" s="85">
        <f>STATS1003B!K1148/1000</f>
        <v>0</v>
      </c>
      <c r="L1147" s="85">
        <f>STATS1003B!L1148/1000</f>
        <v>0</v>
      </c>
      <c r="M1147" s="85">
        <f>STATS1003B!M1148/1000</f>
        <v>8210.3072400000001</v>
      </c>
      <c r="N1147" s="85">
        <f>STATS1003B!N1148/1000</f>
        <v>1040.2166099999999</v>
      </c>
      <c r="O1147" s="85">
        <f>STATS1003B!O1148/1000</f>
        <v>0</v>
      </c>
      <c r="P1147" s="85">
        <f>STATS1003B!P1148/1000</f>
        <v>1040.2166099999999</v>
      </c>
      <c r="Q1147" s="85">
        <f>STATS1003B!Q1148/1000</f>
        <v>0</v>
      </c>
      <c r="R1147" s="85">
        <f>STATS1003B!R1148/1000</f>
        <v>0</v>
      </c>
      <c r="S1147" s="85">
        <f>STATS1003B!S1148/1000</f>
        <v>0</v>
      </c>
      <c r="T1147" s="85">
        <f>STATS1003B!T1148/1000</f>
        <v>0</v>
      </c>
      <c r="U1147" s="85">
        <f>STATS1003B!U1148/1000</f>
        <v>1040.2166099999999</v>
      </c>
      <c r="V1147" s="85">
        <f>STATS1003B!V1148/1000</f>
        <v>9250.5238499999996</v>
      </c>
      <c r="W1147" s="85">
        <f>STATS1003B!W1148/1000</f>
        <v>0</v>
      </c>
      <c r="X1147" s="85">
        <f t="shared" si="137"/>
        <v>9250.5238499999996</v>
      </c>
      <c r="Y1147" s="85">
        <f>STATS1003B!Y1148/1000</f>
        <v>0</v>
      </c>
      <c r="Z1147" s="85">
        <f t="shared" si="138"/>
        <v>0</v>
      </c>
      <c r="AA1147" s="69">
        <f>STATS1003B!AA1148/1000</f>
        <v>9250.5238499999996</v>
      </c>
      <c r="AB1147" s="69">
        <f>STATS1003B!AB1148/1000</f>
        <v>0</v>
      </c>
    </row>
    <row r="1148" spans="1:28" hidden="1" x14ac:dyDescent="0.3">
      <c r="A1148" s="117"/>
      <c r="C1148" s="68" t="s">
        <v>172</v>
      </c>
      <c r="D1148" s="145" t="s">
        <v>166</v>
      </c>
      <c r="E1148" s="85">
        <f>STATS1003B!E1149/1000</f>
        <v>1010.957</v>
      </c>
      <c r="F1148" s="85">
        <f>STATS1003B!F1149/1000</f>
        <v>1010.957</v>
      </c>
      <c r="G1148" s="85">
        <f>STATS1003B!G1149/1000</f>
        <v>0</v>
      </c>
      <c r="H1148" s="85">
        <f>STATS1003B!H1149/1000</f>
        <v>1010.957</v>
      </c>
      <c r="I1148" s="85">
        <f>STATS1003B!I1149/1000</f>
        <v>0</v>
      </c>
      <c r="J1148" s="85">
        <f>STATS1003B!J1149/1000</f>
        <v>0</v>
      </c>
      <c r="K1148" s="85">
        <f>STATS1003B!K1149/1000</f>
        <v>0</v>
      </c>
      <c r="L1148" s="85">
        <f>STATS1003B!L1149/1000</f>
        <v>0</v>
      </c>
      <c r="M1148" s="85">
        <f>STATS1003B!M1149/1000</f>
        <v>1010.957</v>
      </c>
      <c r="N1148" s="85">
        <f>STATS1003B!N1149/1000</f>
        <v>0</v>
      </c>
      <c r="O1148" s="85">
        <f>STATS1003B!O1149/1000</f>
        <v>0</v>
      </c>
      <c r="P1148" s="85">
        <f>STATS1003B!P1149/1000</f>
        <v>0</v>
      </c>
      <c r="Q1148" s="85">
        <f>STATS1003B!Q1149/1000</f>
        <v>0</v>
      </c>
      <c r="R1148" s="85">
        <f>STATS1003B!R1149/1000</f>
        <v>0</v>
      </c>
      <c r="S1148" s="85">
        <f>STATS1003B!S1149/1000</f>
        <v>0</v>
      </c>
      <c r="T1148" s="85">
        <f>STATS1003B!T1149/1000</f>
        <v>0</v>
      </c>
      <c r="U1148" s="85">
        <f>STATS1003B!U1149/1000</f>
        <v>0</v>
      </c>
      <c r="V1148" s="85">
        <f>STATS1003B!V1149/1000</f>
        <v>1010.957</v>
      </c>
      <c r="W1148" s="85">
        <f>STATS1003B!W1149/1000</f>
        <v>0</v>
      </c>
      <c r="X1148" s="85">
        <f t="shared" si="137"/>
        <v>1010.957</v>
      </c>
      <c r="Y1148" s="85">
        <f>STATS1003B!Y1149/1000</f>
        <v>0</v>
      </c>
      <c r="Z1148" s="85">
        <f t="shared" si="138"/>
        <v>0</v>
      </c>
      <c r="AA1148" s="69">
        <f>STATS1003B!AA1149/1000</f>
        <v>1010.957</v>
      </c>
      <c r="AB1148" s="69">
        <f>STATS1003B!AB1149/1000</f>
        <v>0</v>
      </c>
    </row>
    <row r="1149" spans="1:28" hidden="1" x14ac:dyDescent="0.3">
      <c r="A1149" s="117"/>
      <c r="C1149" s="68" t="s">
        <v>53</v>
      </c>
      <c r="D1149" s="145" t="s">
        <v>68</v>
      </c>
      <c r="E1149" s="85">
        <f>STATS1003B!E1150/1000</f>
        <v>1953.989</v>
      </c>
      <c r="F1149" s="85">
        <f>STATS1003B!F1150/1000</f>
        <v>0</v>
      </c>
      <c r="G1149" s="85">
        <f>STATS1003B!G1150/1000</f>
        <v>0</v>
      </c>
      <c r="H1149" s="85">
        <f>STATS1003B!H1150/1000</f>
        <v>0</v>
      </c>
      <c r="I1149" s="85">
        <f>STATS1003B!I1150/1000</f>
        <v>0</v>
      </c>
      <c r="J1149" s="85">
        <f>STATS1003B!J1150/1000</f>
        <v>0</v>
      </c>
      <c r="K1149" s="85">
        <f>STATS1003B!K1150/1000</f>
        <v>0</v>
      </c>
      <c r="L1149" s="85">
        <f>STATS1003B!L1150/1000</f>
        <v>0</v>
      </c>
      <c r="M1149" s="85">
        <f>STATS1003B!M1150/1000</f>
        <v>0</v>
      </c>
      <c r="N1149" s="85">
        <f>STATS1003B!N1150/1000</f>
        <v>1953.989</v>
      </c>
      <c r="O1149" s="85">
        <f>STATS1003B!O1150/1000</f>
        <v>0</v>
      </c>
      <c r="P1149" s="85">
        <f>STATS1003B!P1150/1000</f>
        <v>1953.989</v>
      </c>
      <c r="Q1149" s="85">
        <f>STATS1003B!Q1150/1000</f>
        <v>0</v>
      </c>
      <c r="R1149" s="85">
        <f>STATS1003B!R1150/1000</f>
        <v>0</v>
      </c>
      <c r="S1149" s="85">
        <f>STATS1003B!S1150/1000</f>
        <v>0</v>
      </c>
      <c r="T1149" s="85">
        <f>STATS1003B!T1150/1000</f>
        <v>0</v>
      </c>
      <c r="U1149" s="85">
        <f>STATS1003B!U1150/1000</f>
        <v>1953.989</v>
      </c>
      <c r="V1149" s="85">
        <f>STATS1003B!V1150/1000</f>
        <v>1953.989</v>
      </c>
      <c r="W1149" s="85">
        <f>STATS1003B!W1150/1000</f>
        <v>0</v>
      </c>
      <c r="X1149" s="85">
        <f t="shared" si="137"/>
        <v>1953.989</v>
      </c>
      <c r="Y1149" s="85">
        <f>STATS1003B!Y1150/1000</f>
        <v>0</v>
      </c>
      <c r="Z1149" s="85">
        <f t="shared" si="138"/>
        <v>0</v>
      </c>
      <c r="AA1149" s="69">
        <f>STATS1003B!AA1150/1000</f>
        <v>1953.989</v>
      </c>
      <c r="AB1149" s="69">
        <f>STATS1003B!AB1150/1000</f>
        <v>0</v>
      </c>
    </row>
    <row r="1150" spans="1:28" hidden="1" x14ac:dyDescent="0.3">
      <c r="A1150" s="117"/>
      <c r="C1150" s="68" t="s">
        <v>280</v>
      </c>
      <c r="D1150" s="145" t="s">
        <v>68</v>
      </c>
      <c r="E1150" s="85">
        <f>STATS1003B!E1151/1000</f>
        <v>1550</v>
      </c>
      <c r="F1150" s="85">
        <f>STATS1003B!F1151/1000</f>
        <v>1488.15996</v>
      </c>
      <c r="G1150" s="85">
        <f>STATS1003B!G1151/1000</f>
        <v>0</v>
      </c>
      <c r="H1150" s="85">
        <f>STATS1003B!H1151/1000</f>
        <v>1488.15996</v>
      </c>
      <c r="I1150" s="85">
        <f>STATS1003B!I1151/1000</f>
        <v>0</v>
      </c>
      <c r="J1150" s="85">
        <f>STATS1003B!J1151/1000</f>
        <v>0</v>
      </c>
      <c r="K1150" s="85">
        <f>STATS1003B!K1151/1000</f>
        <v>0</v>
      </c>
      <c r="L1150" s="85">
        <f>STATS1003B!L1151/1000</f>
        <v>0</v>
      </c>
      <c r="M1150" s="85">
        <f>STATS1003B!M1151/1000</f>
        <v>1488.15996</v>
      </c>
      <c r="N1150" s="85">
        <f>STATS1003B!N1151/1000</f>
        <v>61.840040000000002</v>
      </c>
      <c r="O1150" s="85">
        <f>STATS1003B!O1151/1000</f>
        <v>0</v>
      </c>
      <c r="P1150" s="85">
        <f>STATS1003B!P1151/1000</f>
        <v>61.840040000000002</v>
      </c>
      <c r="Q1150" s="85">
        <f>STATS1003B!Q1151/1000</f>
        <v>0</v>
      </c>
      <c r="R1150" s="85">
        <f>STATS1003B!R1151/1000</f>
        <v>0</v>
      </c>
      <c r="S1150" s="85">
        <f>STATS1003B!S1151/1000</f>
        <v>0</v>
      </c>
      <c r="T1150" s="85">
        <f>STATS1003B!T1151/1000</f>
        <v>0</v>
      </c>
      <c r="U1150" s="85">
        <f>STATS1003B!U1151/1000</f>
        <v>61.840040000000002</v>
      </c>
      <c r="V1150" s="85">
        <f>STATS1003B!V1151/1000</f>
        <v>1550</v>
      </c>
      <c r="W1150" s="85">
        <f>STATS1003B!W1151/1000</f>
        <v>0</v>
      </c>
      <c r="X1150" s="85">
        <f t="shared" si="137"/>
        <v>1550</v>
      </c>
      <c r="Y1150" s="85">
        <f>STATS1003B!Y1151/1000</f>
        <v>0</v>
      </c>
      <c r="Z1150" s="85">
        <f t="shared" si="138"/>
        <v>0</v>
      </c>
      <c r="AA1150" s="69">
        <f>STATS1003B!AA1151/1000</f>
        <v>1550</v>
      </c>
      <c r="AB1150" s="69">
        <f>STATS1003B!AB1151/1000</f>
        <v>0</v>
      </c>
    </row>
    <row r="1151" spans="1:28" hidden="1" x14ac:dyDescent="0.3">
      <c r="A1151" s="117"/>
      <c r="C1151" s="68" t="s">
        <v>281</v>
      </c>
      <c r="D1151" s="145" t="s">
        <v>173</v>
      </c>
      <c r="E1151" s="85">
        <f>STATS1003B!E1152/1000</f>
        <v>4571.576</v>
      </c>
      <c r="F1151" s="85">
        <f>STATS1003B!F1152/1000</f>
        <v>4571.576</v>
      </c>
      <c r="G1151" s="85">
        <f>STATS1003B!G1152/1000</f>
        <v>0</v>
      </c>
      <c r="H1151" s="85">
        <f>STATS1003B!H1152/1000</f>
        <v>4571.576</v>
      </c>
      <c r="I1151" s="85">
        <f>STATS1003B!I1152/1000</f>
        <v>0</v>
      </c>
      <c r="J1151" s="85">
        <f>STATS1003B!J1152/1000</f>
        <v>0</v>
      </c>
      <c r="K1151" s="85">
        <f>STATS1003B!K1152/1000</f>
        <v>0</v>
      </c>
      <c r="L1151" s="85">
        <f>STATS1003B!L1152/1000</f>
        <v>0</v>
      </c>
      <c r="M1151" s="85">
        <f>STATS1003B!M1152/1000</f>
        <v>4571.576</v>
      </c>
      <c r="N1151" s="85">
        <f>STATS1003B!N1152/1000</f>
        <v>0</v>
      </c>
      <c r="O1151" s="85">
        <f>STATS1003B!O1152/1000</f>
        <v>0</v>
      </c>
      <c r="P1151" s="85">
        <f>STATS1003B!P1152/1000</f>
        <v>0</v>
      </c>
      <c r="Q1151" s="85">
        <f>STATS1003B!Q1152/1000</f>
        <v>0</v>
      </c>
      <c r="R1151" s="85">
        <f>STATS1003B!R1152/1000</f>
        <v>0</v>
      </c>
      <c r="S1151" s="85">
        <f>STATS1003B!S1152/1000</f>
        <v>0</v>
      </c>
      <c r="T1151" s="85">
        <f>STATS1003B!T1152/1000</f>
        <v>0</v>
      </c>
      <c r="U1151" s="85">
        <f>STATS1003B!U1152/1000</f>
        <v>0</v>
      </c>
      <c r="V1151" s="85">
        <f>STATS1003B!V1152/1000</f>
        <v>4571.576</v>
      </c>
      <c r="W1151" s="85">
        <f>STATS1003B!W1152/1000</f>
        <v>0</v>
      </c>
      <c r="X1151" s="85">
        <f t="shared" si="137"/>
        <v>4571.576</v>
      </c>
      <c r="Y1151" s="85">
        <f>STATS1003B!Y1152/1000</f>
        <v>0</v>
      </c>
      <c r="Z1151" s="85">
        <f t="shared" si="138"/>
        <v>0</v>
      </c>
      <c r="AA1151" s="69">
        <f>STATS1003B!AA1152/1000</f>
        <v>4571.576</v>
      </c>
      <c r="AB1151" s="69">
        <f>STATS1003B!AB1152/1000</f>
        <v>0</v>
      </c>
    </row>
    <row r="1152" spans="1:28" hidden="1" x14ac:dyDescent="0.3">
      <c r="A1152" s="117"/>
      <c r="C1152" s="68" t="s">
        <v>55</v>
      </c>
      <c r="D1152" s="145" t="s">
        <v>270</v>
      </c>
      <c r="E1152" s="85">
        <f>STATS1003B!E1153/1000</f>
        <v>208.8879</v>
      </c>
      <c r="F1152" s="85">
        <f>STATS1003B!F1153/1000</f>
        <v>0</v>
      </c>
      <c r="G1152" s="85">
        <f>STATS1003B!G1153/1000</f>
        <v>0</v>
      </c>
      <c r="H1152" s="85">
        <f>STATS1003B!H1153/1000</f>
        <v>0</v>
      </c>
      <c r="I1152" s="85">
        <f>STATS1003B!I1153/1000</f>
        <v>0</v>
      </c>
      <c r="J1152" s="85">
        <f>STATS1003B!J1153/1000</f>
        <v>0</v>
      </c>
      <c r="K1152" s="85">
        <f>STATS1003B!K1153/1000</f>
        <v>0</v>
      </c>
      <c r="L1152" s="85">
        <f>STATS1003B!L1153/1000</f>
        <v>0</v>
      </c>
      <c r="M1152" s="85">
        <f>STATS1003B!M1153/1000</f>
        <v>0</v>
      </c>
      <c r="N1152" s="85">
        <f>STATS1003B!N1153/1000</f>
        <v>208.8879</v>
      </c>
      <c r="O1152" s="85">
        <f>STATS1003B!O1153/1000</f>
        <v>0</v>
      </c>
      <c r="P1152" s="85">
        <f>STATS1003B!P1153/1000</f>
        <v>208.8879</v>
      </c>
      <c r="Q1152" s="85">
        <f>STATS1003B!Q1153/1000</f>
        <v>0</v>
      </c>
      <c r="R1152" s="85">
        <f>STATS1003B!R1153/1000</f>
        <v>0</v>
      </c>
      <c r="S1152" s="85">
        <f>STATS1003B!S1153/1000</f>
        <v>0</v>
      </c>
      <c r="T1152" s="85">
        <f>STATS1003B!T1153/1000</f>
        <v>0</v>
      </c>
      <c r="U1152" s="85">
        <f>STATS1003B!U1153/1000</f>
        <v>208.8879</v>
      </c>
      <c r="V1152" s="85">
        <f>STATS1003B!V1153/1000</f>
        <v>208.8879</v>
      </c>
      <c r="W1152" s="85">
        <f>STATS1003B!W1153/1000</f>
        <v>0</v>
      </c>
      <c r="X1152" s="85">
        <f t="shared" si="137"/>
        <v>208.8879</v>
      </c>
      <c r="Y1152" s="85">
        <f>STATS1003B!Y1153/1000</f>
        <v>0</v>
      </c>
      <c r="Z1152" s="85">
        <f t="shared" si="138"/>
        <v>0</v>
      </c>
      <c r="AA1152" s="69">
        <f>STATS1003B!AA1153/1000</f>
        <v>208.8879</v>
      </c>
      <c r="AB1152" s="69">
        <f>STATS1003B!AB1153/1000</f>
        <v>0</v>
      </c>
    </row>
    <row r="1153" spans="1:28" hidden="1" x14ac:dyDescent="0.3">
      <c r="A1153" s="117"/>
      <c r="C1153" s="68" t="s">
        <v>282</v>
      </c>
      <c r="D1153" s="145" t="s">
        <v>54</v>
      </c>
      <c r="E1153" s="85">
        <f>STATS1003B!E1154/1000</f>
        <v>3620.893</v>
      </c>
      <c r="F1153" s="85">
        <f>STATS1003B!F1154/1000</f>
        <v>3620.893</v>
      </c>
      <c r="G1153" s="85">
        <f>STATS1003B!G1154/1000</f>
        <v>0</v>
      </c>
      <c r="H1153" s="85">
        <f>STATS1003B!H1154/1000</f>
        <v>3620.893</v>
      </c>
      <c r="I1153" s="85">
        <f>STATS1003B!I1154/1000</f>
        <v>0</v>
      </c>
      <c r="J1153" s="85">
        <f>STATS1003B!J1154/1000</f>
        <v>0</v>
      </c>
      <c r="K1153" s="85">
        <f>STATS1003B!K1154/1000</f>
        <v>0</v>
      </c>
      <c r="L1153" s="85">
        <f>STATS1003B!L1154/1000</f>
        <v>0</v>
      </c>
      <c r="M1153" s="85">
        <f>STATS1003B!M1154/1000</f>
        <v>3620.893</v>
      </c>
      <c r="N1153" s="85">
        <f>STATS1003B!N1154/1000</f>
        <v>0</v>
      </c>
      <c r="O1153" s="85">
        <f>STATS1003B!O1154/1000</f>
        <v>0</v>
      </c>
      <c r="P1153" s="85">
        <f>STATS1003B!P1154/1000</f>
        <v>0</v>
      </c>
      <c r="Q1153" s="85">
        <f>STATS1003B!Q1154/1000</f>
        <v>0</v>
      </c>
      <c r="R1153" s="85">
        <f>STATS1003B!R1154/1000</f>
        <v>0</v>
      </c>
      <c r="S1153" s="85">
        <f>STATS1003B!S1154/1000</f>
        <v>0</v>
      </c>
      <c r="T1153" s="85">
        <f>STATS1003B!T1154/1000</f>
        <v>0</v>
      </c>
      <c r="U1153" s="85">
        <f>STATS1003B!U1154/1000</f>
        <v>0</v>
      </c>
      <c r="V1153" s="85">
        <f>STATS1003B!V1154/1000</f>
        <v>3620.893</v>
      </c>
      <c r="W1153" s="85">
        <f>STATS1003B!W1154/1000</f>
        <v>0</v>
      </c>
      <c r="X1153" s="85">
        <f t="shared" si="137"/>
        <v>3620.893</v>
      </c>
      <c r="Y1153" s="85">
        <f>STATS1003B!Y1154/1000</f>
        <v>0</v>
      </c>
      <c r="Z1153" s="85">
        <f t="shared" si="138"/>
        <v>0</v>
      </c>
      <c r="AA1153" s="69">
        <f>STATS1003B!AA1154/1000</f>
        <v>3620.893</v>
      </c>
      <c r="AB1153" s="69">
        <f>STATS1003B!AB1154/1000</f>
        <v>0</v>
      </c>
    </row>
    <row r="1154" spans="1:28" hidden="1" x14ac:dyDescent="0.3">
      <c r="A1154" s="117"/>
      <c r="C1154" s="68" t="s">
        <v>283</v>
      </c>
      <c r="D1154" s="145" t="s">
        <v>85</v>
      </c>
      <c r="E1154" s="85">
        <f>STATS1003B!E1155/1000</f>
        <v>1200</v>
      </c>
      <c r="F1154" s="85">
        <f>STATS1003B!F1155/1000</f>
        <v>1200</v>
      </c>
      <c r="G1154" s="85">
        <f>STATS1003B!G1155/1000</f>
        <v>0</v>
      </c>
      <c r="H1154" s="85">
        <f>STATS1003B!H1155/1000</f>
        <v>1200</v>
      </c>
      <c r="I1154" s="85">
        <f>STATS1003B!I1155/1000</f>
        <v>0</v>
      </c>
      <c r="J1154" s="85">
        <f>STATS1003B!J1155/1000</f>
        <v>0</v>
      </c>
      <c r="K1154" s="85">
        <f>STATS1003B!K1155/1000</f>
        <v>0</v>
      </c>
      <c r="L1154" s="85">
        <f>STATS1003B!L1155/1000</f>
        <v>0</v>
      </c>
      <c r="M1154" s="85">
        <f>STATS1003B!M1155/1000</f>
        <v>1200</v>
      </c>
      <c r="N1154" s="85">
        <f>STATS1003B!N1155/1000</f>
        <v>0</v>
      </c>
      <c r="O1154" s="85">
        <f>STATS1003B!O1155/1000</f>
        <v>0</v>
      </c>
      <c r="P1154" s="85">
        <f>STATS1003B!P1155/1000</f>
        <v>0</v>
      </c>
      <c r="Q1154" s="85">
        <f>STATS1003B!Q1155/1000</f>
        <v>0</v>
      </c>
      <c r="R1154" s="85">
        <f>STATS1003B!R1155/1000</f>
        <v>0</v>
      </c>
      <c r="S1154" s="85">
        <f>STATS1003B!S1155/1000</f>
        <v>0</v>
      </c>
      <c r="T1154" s="85">
        <f>STATS1003B!T1155/1000</f>
        <v>0</v>
      </c>
      <c r="U1154" s="85">
        <f>STATS1003B!U1155/1000</f>
        <v>0</v>
      </c>
      <c r="V1154" s="85">
        <f>STATS1003B!V1155/1000</f>
        <v>1200</v>
      </c>
      <c r="W1154" s="85">
        <f>STATS1003B!W1155/1000</f>
        <v>0</v>
      </c>
      <c r="X1154" s="85">
        <f t="shared" si="137"/>
        <v>1200</v>
      </c>
      <c r="Y1154" s="85">
        <f>STATS1003B!Y1155/1000</f>
        <v>0</v>
      </c>
      <c r="Z1154" s="85">
        <f t="shared" si="138"/>
        <v>0</v>
      </c>
      <c r="AA1154" s="69">
        <f>STATS1003B!AA1155/1000</f>
        <v>1200</v>
      </c>
      <c r="AB1154" s="69">
        <f>STATS1003B!AB1155/1000</f>
        <v>0</v>
      </c>
    </row>
    <row r="1155" spans="1:28" hidden="1" x14ac:dyDescent="0.3">
      <c r="A1155" s="117"/>
      <c r="C1155" s="68" t="s">
        <v>225</v>
      </c>
      <c r="D1155" s="145" t="s">
        <v>85</v>
      </c>
      <c r="E1155" s="85">
        <f>STATS1003B!E1156/1000</f>
        <v>160</v>
      </c>
      <c r="F1155" s="85">
        <f>STATS1003B!F1156/1000</f>
        <v>160</v>
      </c>
      <c r="G1155" s="85">
        <f>STATS1003B!G1156/1000</f>
        <v>0</v>
      </c>
      <c r="H1155" s="85">
        <f>STATS1003B!H1156/1000</f>
        <v>160</v>
      </c>
      <c r="I1155" s="85">
        <f>STATS1003B!I1156/1000</f>
        <v>0</v>
      </c>
      <c r="J1155" s="85">
        <f>STATS1003B!J1156/1000</f>
        <v>0</v>
      </c>
      <c r="K1155" s="85">
        <f>STATS1003B!K1156/1000</f>
        <v>0</v>
      </c>
      <c r="L1155" s="85">
        <f>STATS1003B!L1156/1000</f>
        <v>0</v>
      </c>
      <c r="M1155" s="85">
        <f>STATS1003B!M1156/1000</f>
        <v>160</v>
      </c>
      <c r="N1155" s="85">
        <f>STATS1003B!N1156/1000</f>
        <v>0</v>
      </c>
      <c r="O1155" s="85">
        <f>STATS1003B!O1156/1000</f>
        <v>0</v>
      </c>
      <c r="P1155" s="85">
        <f>STATS1003B!P1156/1000</f>
        <v>0</v>
      </c>
      <c r="Q1155" s="85">
        <f>STATS1003B!Q1156/1000</f>
        <v>0</v>
      </c>
      <c r="R1155" s="85">
        <f>STATS1003B!R1156/1000</f>
        <v>0</v>
      </c>
      <c r="S1155" s="85">
        <f>STATS1003B!S1156/1000</f>
        <v>0</v>
      </c>
      <c r="T1155" s="85">
        <f>STATS1003B!T1156/1000</f>
        <v>0</v>
      </c>
      <c r="U1155" s="85">
        <f>STATS1003B!U1156/1000</f>
        <v>0</v>
      </c>
      <c r="V1155" s="85">
        <f>STATS1003B!V1156/1000</f>
        <v>160</v>
      </c>
      <c r="W1155" s="85">
        <f>STATS1003B!W1156/1000</f>
        <v>0</v>
      </c>
      <c r="X1155" s="85">
        <f t="shared" si="137"/>
        <v>160</v>
      </c>
      <c r="Y1155" s="85">
        <f>STATS1003B!Y1156/1000</f>
        <v>0</v>
      </c>
      <c r="Z1155" s="85">
        <f t="shared" si="138"/>
        <v>0</v>
      </c>
      <c r="AA1155" s="69">
        <f>STATS1003B!AA1156/1000</f>
        <v>160</v>
      </c>
      <c r="AB1155" s="69">
        <f>STATS1003B!AB1156/1000</f>
        <v>0</v>
      </c>
    </row>
    <row r="1156" spans="1:28" hidden="1" x14ac:dyDescent="0.3">
      <c r="A1156" s="117"/>
      <c r="C1156" s="68" t="s">
        <v>284</v>
      </c>
      <c r="D1156" s="145" t="s">
        <v>128</v>
      </c>
      <c r="E1156" s="85">
        <f>STATS1003B!E1157/1000</f>
        <v>3000</v>
      </c>
      <c r="F1156" s="85">
        <f>STATS1003B!F1157/1000</f>
        <v>3000</v>
      </c>
      <c r="G1156" s="85">
        <f>STATS1003B!G1157/1000</f>
        <v>0</v>
      </c>
      <c r="H1156" s="85">
        <f>STATS1003B!H1157/1000</f>
        <v>3000</v>
      </c>
      <c r="I1156" s="85">
        <f>STATS1003B!I1157/1000</f>
        <v>0</v>
      </c>
      <c r="J1156" s="85">
        <f>STATS1003B!J1157/1000</f>
        <v>0</v>
      </c>
      <c r="K1156" s="85">
        <f>STATS1003B!K1157/1000</f>
        <v>0</v>
      </c>
      <c r="L1156" s="85">
        <f>STATS1003B!L1157/1000</f>
        <v>0</v>
      </c>
      <c r="M1156" s="85">
        <f>STATS1003B!M1157/1000</f>
        <v>3000</v>
      </c>
      <c r="N1156" s="85">
        <f>STATS1003B!N1157/1000</f>
        <v>0</v>
      </c>
      <c r="O1156" s="85">
        <f>STATS1003B!O1157/1000</f>
        <v>0</v>
      </c>
      <c r="P1156" s="85">
        <f>STATS1003B!P1157/1000</f>
        <v>0</v>
      </c>
      <c r="Q1156" s="85">
        <f>STATS1003B!Q1157/1000</f>
        <v>0</v>
      </c>
      <c r="R1156" s="85">
        <f>STATS1003B!R1157/1000</f>
        <v>0</v>
      </c>
      <c r="S1156" s="85">
        <f>STATS1003B!S1157/1000</f>
        <v>0</v>
      </c>
      <c r="T1156" s="85">
        <f>STATS1003B!T1157/1000</f>
        <v>0</v>
      </c>
      <c r="U1156" s="85">
        <f>STATS1003B!U1157/1000</f>
        <v>0</v>
      </c>
      <c r="V1156" s="85">
        <f>STATS1003B!V1157/1000</f>
        <v>3000</v>
      </c>
      <c r="W1156" s="85">
        <f>STATS1003B!W1157/1000</f>
        <v>0</v>
      </c>
      <c r="X1156" s="85">
        <f t="shared" si="137"/>
        <v>3000</v>
      </c>
      <c r="Y1156" s="85">
        <f>STATS1003B!Y1157/1000</f>
        <v>0</v>
      </c>
      <c r="Z1156" s="85">
        <f t="shared" si="138"/>
        <v>0</v>
      </c>
      <c r="AA1156" s="69">
        <f>STATS1003B!AA1157/1000</f>
        <v>3000</v>
      </c>
      <c r="AB1156" s="69">
        <f>STATS1003B!AB1157/1000</f>
        <v>0</v>
      </c>
    </row>
    <row r="1157" spans="1:28" hidden="1" x14ac:dyDescent="0.3">
      <c r="A1157" s="117"/>
      <c r="C1157" s="68" t="s">
        <v>57</v>
      </c>
      <c r="D1157" s="145" t="s">
        <v>58</v>
      </c>
      <c r="E1157" s="85">
        <f>STATS1003B!E1158/1000</f>
        <v>1288.82</v>
      </c>
      <c r="F1157" s="85">
        <f>STATS1003B!F1158/1000</f>
        <v>1288.82</v>
      </c>
      <c r="G1157" s="85">
        <f>STATS1003B!G1158/1000</f>
        <v>0</v>
      </c>
      <c r="H1157" s="85">
        <f>STATS1003B!H1158/1000</f>
        <v>1288.82</v>
      </c>
      <c r="I1157" s="85">
        <f>STATS1003B!I1158/1000</f>
        <v>0</v>
      </c>
      <c r="J1157" s="85">
        <f>STATS1003B!J1158/1000</f>
        <v>0</v>
      </c>
      <c r="K1157" s="85">
        <f>STATS1003B!K1158/1000</f>
        <v>0</v>
      </c>
      <c r="L1157" s="85">
        <f>STATS1003B!L1158/1000</f>
        <v>0</v>
      </c>
      <c r="M1157" s="85">
        <f>STATS1003B!M1158/1000</f>
        <v>1288.82</v>
      </c>
      <c r="N1157" s="85">
        <f>STATS1003B!N1158/1000</f>
        <v>0</v>
      </c>
      <c r="O1157" s="85">
        <f>STATS1003B!O1158/1000</f>
        <v>0</v>
      </c>
      <c r="P1157" s="85">
        <f>STATS1003B!P1158/1000</f>
        <v>0</v>
      </c>
      <c r="Q1157" s="85">
        <f>STATS1003B!Q1158/1000</f>
        <v>0</v>
      </c>
      <c r="R1157" s="85">
        <f>STATS1003B!R1158/1000</f>
        <v>0</v>
      </c>
      <c r="S1157" s="85">
        <f>STATS1003B!S1158/1000</f>
        <v>0</v>
      </c>
      <c r="T1157" s="85">
        <f>STATS1003B!T1158/1000</f>
        <v>0</v>
      </c>
      <c r="U1157" s="85">
        <f>STATS1003B!U1158/1000</f>
        <v>0</v>
      </c>
      <c r="V1157" s="85">
        <f>STATS1003B!V1158/1000</f>
        <v>1288.82</v>
      </c>
      <c r="W1157" s="85">
        <f>STATS1003B!W1158/1000</f>
        <v>0</v>
      </c>
      <c r="X1157" s="85">
        <f t="shared" si="137"/>
        <v>1288.82</v>
      </c>
      <c r="Y1157" s="85">
        <f>STATS1003B!Y1158/1000</f>
        <v>0</v>
      </c>
      <c r="Z1157" s="85">
        <f t="shared" si="138"/>
        <v>0</v>
      </c>
      <c r="AA1157" s="69">
        <f>STATS1003B!AA1158/1000</f>
        <v>1288.82</v>
      </c>
      <c r="AB1157" s="69">
        <f>STATS1003B!AB1158/1000</f>
        <v>0</v>
      </c>
    </row>
    <row r="1158" spans="1:28" hidden="1" x14ac:dyDescent="0.3">
      <c r="A1158" s="117"/>
      <c r="C1158" s="68" t="s">
        <v>57</v>
      </c>
      <c r="D1158" s="145" t="s">
        <v>60</v>
      </c>
      <c r="E1158" s="85">
        <f>STATS1003B!E1159/1000</f>
        <v>2063.0131000000001</v>
      </c>
      <c r="F1158" s="85">
        <f>STATS1003B!F1159/1000</f>
        <v>2063.0131000000001</v>
      </c>
      <c r="G1158" s="85">
        <f>STATS1003B!G1159/1000</f>
        <v>0</v>
      </c>
      <c r="H1158" s="85">
        <f>STATS1003B!H1159/1000</f>
        <v>2063.0131000000001</v>
      </c>
      <c r="I1158" s="85">
        <f>STATS1003B!I1159/1000</f>
        <v>0</v>
      </c>
      <c r="J1158" s="85">
        <f>STATS1003B!J1159/1000</f>
        <v>0</v>
      </c>
      <c r="K1158" s="85">
        <f>STATS1003B!K1159/1000</f>
        <v>0</v>
      </c>
      <c r="L1158" s="85">
        <f>STATS1003B!L1159/1000</f>
        <v>0</v>
      </c>
      <c r="M1158" s="85">
        <f>STATS1003B!M1159/1000</f>
        <v>2063.0131000000001</v>
      </c>
      <c r="N1158" s="85">
        <f>STATS1003B!N1159/1000</f>
        <v>0</v>
      </c>
      <c r="O1158" s="85">
        <f>STATS1003B!O1159/1000</f>
        <v>0</v>
      </c>
      <c r="P1158" s="85">
        <f>STATS1003B!P1159/1000</f>
        <v>0</v>
      </c>
      <c r="Q1158" s="85">
        <f>STATS1003B!Q1159/1000</f>
        <v>0</v>
      </c>
      <c r="R1158" s="85">
        <f>STATS1003B!R1159/1000</f>
        <v>0</v>
      </c>
      <c r="S1158" s="85">
        <f>STATS1003B!S1159/1000</f>
        <v>0</v>
      </c>
      <c r="T1158" s="85">
        <f>STATS1003B!T1159/1000</f>
        <v>0</v>
      </c>
      <c r="U1158" s="85">
        <f>STATS1003B!U1159/1000</f>
        <v>0</v>
      </c>
      <c r="V1158" s="85">
        <f>STATS1003B!V1159/1000</f>
        <v>2063.0131000000001</v>
      </c>
      <c r="W1158" s="85">
        <f>STATS1003B!W1159/1000</f>
        <v>0</v>
      </c>
      <c r="X1158" s="85">
        <f t="shared" si="137"/>
        <v>2063.0131000000001</v>
      </c>
      <c r="Y1158" s="85">
        <f>STATS1003B!Y1159/1000</f>
        <v>0</v>
      </c>
      <c r="Z1158" s="85">
        <f t="shared" si="138"/>
        <v>0</v>
      </c>
      <c r="AA1158" s="69">
        <f>STATS1003B!AA1159/1000</f>
        <v>2063.0131000000001</v>
      </c>
      <c r="AB1158" s="69">
        <f>STATS1003B!AB1159/1000</f>
        <v>0</v>
      </c>
    </row>
    <row r="1159" spans="1:28" hidden="1" x14ac:dyDescent="0.3">
      <c r="A1159" s="117"/>
      <c r="C1159" s="71" t="s">
        <v>109</v>
      </c>
      <c r="D1159" s="88" t="s">
        <v>60</v>
      </c>
      <c r="E1159" s="85">
        <f>STATS1003B!E1160/1000</f>
        <v>2500</v>
      </c>
      <c r="F1159" s="85">
        <f>STATS1003B!F1160/1000</f>
        <v>2500</v>
      </c>
      <c r="G1159" s="85">
        <f>STATS1003B!G1160/1000</f>
        <v>0</v>
      </c>
      <c r="H1159" s="85">
        <f>STATS1003B!H1160/1000</f>
        <v>2500</v>
      </c>
      <c r="I1159" s="85">
        <f>STATS1003B!I1160/1000</f>
        <v>0</v>
      </c>
      <c r="J1159" s="85">
        <f>STATS1003B!J1160/1000</f>
        <v>0</v>
      </c>
      <c r="K1159" s="85">
        <f>STATS1003B!K1160/1000</f>
        <v>0</v>
      </c>
      <c r="L1159" s="85">
        <f>STATS1003B!L1160/1000</f>
        <v>0</v>
      </c>
      <c r="M1159" s="85">
        <f>STATS1003B!M1160/1000</f>
        <v>2500</v>
      </c>
      <c r="N1159" s="85">
        <f>STATS1003B!N1160/1000</f>
        <v>0</v>
      </c>
      <c r="O1159" s="85">
        <f>STATS1003B!O1160/1000</f>
        <v>0</v>
      </c>
      <c r="P1159" s="85">
        <f>STATS1003B!P1160/1000</f>
        <v>0</v>
      </c>
      <c r="Q1159" s="85">
        <f>STATS1003B!Q1160/1000</f>
        <v>0</v>
      </c>
      <c r="R1159" s="85">
        <f>STATS1003B!R1160/1000</f>
        <v>0</v>
      </c>
      <c r="S1159" s="85">
        <f>STATS1003B!S1160/1000</f>
        <v>0</v>
      </c>
      <c r="T1159" s="85">
        <f>STATS1003B!T1160/1000</f>
        <v>0</v>
      </c>
      <c r="U1159" s="85">
        <f>STATS1003B!U1160/1000</f>
        <v>0</v>
      </c>
      <c r="V1159" s="85">
        <f>STATS1003B!V1160/1000</f>
        <v>2500</v>
      </c>
      <c r="W1159" s="85">
        <f>STATS1003B!W1160/1000</f>
        <v>0</v>
      </c>
      <c r="X1159" s="85">
        <f t="shared" si="137"/>
        <v>2500</v>
      </c>
      <c r="Y1159" s="85">
        <f>STATS1003B!Y1160/1000</f>
        <v>0</v>
      </c>
      <c r="Z1159" s="85">
        <f t="shared" si="138"/>
        <v>0</v>
      </c>
      <c r="AA1159" s="69">
        <f>STATS1003B!AA1160/1000</f>
        <v>2500</v>
      </c>
      <c r="AB1159" s="69">
        <f>STATS1003B!AB1160/1000</f>
        <v>0</v>
      </c>
    </row>
    <row r="1160" spans="1:28" hidden="1" x14ac:dyDescent="0.3">
      <c r="A1160" s="117"/>
      <c r="C1160" s="68" t="s">
        <v>90</v>
      </c>
      <c r="D1160" s="90" t="s">
        <v>61</v>
      </c>
      <c r="E1160" s="85">
        <f>STATS1003B!E1161/1000</f>
        <v>500</v>
      </c>
      <c r="F1160" s="85">
        <f>STATS1003B!F1161/1000</f>
        <v>500</v>
      </c>
      <c r="G1160" s="85">
        <f>STATS1003B!G1161/1000</f>
        <v>0</v>
      </c>
      <c r="H1160" s="85">
        <f>STATS1003B!H1161/1000</f>
        <v>500</v>
      </c>
      <c r="I1160" s="85">
        <f>STATS1003B!I1161/1000</f>
        <v>0</v>
      </c>
      <c r="J1160" s="85">
        <f>STATS1003B!J1161/1000</f>
        <v>0</v>
      </c>
      <c r="K1160" s="85">
        <f>STATS1003B!K1161/1000</f>
        <v>0</v>
      </c>
      <c r="L1160" s="85">
        <f>STATS1003B!L1161/1000</f>
        <v>0</v>
      </c>
      <c r="M1160" s="85">
        <f>STATS1003B!M1161/1000</f>
        <v>500</v>
      </c>
      <c r="N1160" s="85">
        <f>STATS1003B!N1161/1000</f>
        <v>0</v>
      </c>
      <c r="O1160" s="85">
        <f>STATS1003B!O1161/1000</f>
        <v>0</v>
      </c>
      <c r="P1160" s="85">
        <f>STATS1003B!P1161/1000</f>
        <v>0</v>
      </c>
      <c r="Q1160" s="85">
        <f>STATS1003B!Q1161/1000</f>
        <v>0</v>
      </c>
      <c r="R1160" s="85">
        <f>STATS1003B!R1161/1000</f>
        <v>0</v>
      </c>
      <c r="S1160" s="85">
        <f>STATS1003B!S1161/1000</f>
        <v>0</v>
      </c>
      <c r="T1160" s="85">
        <f>STATS1003B!T1161/1000</f>
        <v>0</v>
      </c>
      <c r="U1160" s="85">
        <f>STATS1003B!U1161/1000</f>
        <v>0</v>
      </c>
      <c r="V1160" s="85">
        <f>STATS1003B!V1161/1000</f>
        <v>500</v>
      </c>
      <c r="W1160" s="85">
        <f>STATS1003B!W1161/1000</f>
        <v>0</v>
      </c>
      <c r="X1160" s="85">
        <f t="shared" si="137"/>
        <v>500</v>
      </c>
      <c r="Y1160" s="85">
        <f>STATS1003B!Y1161/1000</f>
        <v>0</v>
      </c>
      <c r="Z1160" s="85">
        <f t="shared" si="138"/>
        <v>0</v>
      </c>
      <c r="AA1160" s="69">
        <f>STATS1003B!AA1161/1000</f>
        <v>500</v>
      </c>
      <c r="AB1160" s="69">
        <f>STATS1003B!AB1161/1000</f>
        <v>0</v>
      </c>
    </row>
    <row r="1161" spans="1:28" hidden="1" x14ac:dyDescent="0.3">
      <c r="A1161" s="117"/>
      <c r="C1161" s="68" t="s">
        <v>1234</v>
      </c>
      <c r="D1161" s="90" t="s">
        <v>1225</v>
      </c>
      <c r="E1161" s="85">
        <f>STATS1003B!E1162/1000</f>
        <v>400</v>
      </c>
      <c r="F1161" s="85">
        <f>STATS1003B!F1162/1000</f>
        <v>400</v>
      </c>
      <c r="G1161" s="85">
        <f>STATS1003B!G1162/1000</f>
        <v>0</v>
      </c>
      <c r="H1161" s="85">
        <f>STATS1003B!H1162/1000</f>
        <v>400</v>
      </c>
      <c r="I1161" s="85">
        <f>STATS1003B!I1162/1000</f>
        <v>0</v>
      </c>
      <c r="J1161" s="85">
        <f>STATS1003B!J1162/1000</f>
        <v>0</v>
      </c>
      <c r="K1161" s="85">
        <f>STATS1003B!K1162/1000</f>
        <v>0</v>
      </c>
      <c r="L1161" s="85">
        <f>STATS1003B!L1162/1000</f>
        <v>0</v>
      </c>
      <c r="M1161" s="85">
        <f>STATS1003B!M1162/1000</f>
        <v>400</v>
      </c>
      <c r="N1161" s="85">
        <f>STATS1003B!N1162/1000</f>
        <v>0</v>
      </c>
      <c r="O1161" s="85">
        <f>STATS1003B!O1162/1000</f>
        <v>0</v>
      </c>
      <c r="P1161" s="85">
        <f>STATS1003B!P1162/1000</f>
        <v>0</v>
      </c>
      <c r="Q1161" s="85">
        <f>STATS1003B!Q1162/1000</f>
        <v>0</v>
      </c>
      <c r="R1161" s="85">
        <f>STATS1003B!R1162/1000</f>
        <v>0</v>
      </c>
      <c r="S1161" s="85">
        <f>STATS1003B!S1162/1000</f>
        <v>0</v>
      </c>
      <c r="T1161" s="85">
        <f>STATS1003B!T1162/1000</f>
        <v>0</v>
      </c>
      <c r="U1161" s="85">
        <f>STATS1003B!U1162/1000</f>
        <v>0</v>
      </c>
      <c r="V1161" s="85">
        <f>STATS1003B!V1162/1000</f>
        <v>400</v>
      </c>
      <c r="W1161" s="85">
        <f>STATS1003B!W1162/1000</f>
        <v>0</v>
      </c>
      <c r="X1161" s="85">
        <f t="shared" si="137"/>
        <v>400</v>
      </c>
      <c r="Y1161" s="85">
        <f>STATS1003B!Y1162/1000</f>
        <v>0</v>
      </c>
      <c r="Z1161" s="85">
        <f t="shared" si="138"/>
        <v>0</v>
      </c>
      <c r="AA1161" s="69">
        <f>STATS1003B!AA1162/1000</f>
        <v>400</v>
      </c>
      <c r="AB1161" s="69">
        <f>STATS1003B!AB1162/1000</f>
        <v>0</v>
      </c>
    </row>
    <row r="1162" spans="1:28" hidden="1" x14ac:dyDescent="0.3">
      <c r="A1162" s="117"/>
      <c r="C1162" s="68" t="s">
        <v>1134</v>
      </c>
      <c r="D1162" s="90" t="s">
        <v>1126</v>
      </c>
      <c r="E1162" s="85">
        <f>STATS1003B!E1163/1000</f>
        <v>1209.0686099999998</v>
      </c>
      <c r="F1162" s="85">
        <f>STATS1003B!F1163/1000</f>
        <v>1209.0686099999998</v>
      </c>
      <c r="G1162" s="85">
        <f>STATS1003B!G1163/1000</f>
        <v>0</v>
      </c>
      <c r="H1162" s="85">
        <f>STATS1003B!H1163/1000</f>
        <v>1209.0686099999998</v>
      </c>
      <c r="I1162" s="85">
        <f>STATS1003B!I1163/1000</f>
        <v>0</v>
      </c>
      <c r="J1162" s="85">
        <f>STATS1003B!J1163/1000</f>
        <v>0</v>
      </c>
      <c r="K1162" s="85">
        <f>STATS1003B!K1163/1000</f>
        <v>0</v>
      </c>
      <c r="L1162" s="85">
        <f>STATS1003B!L1163/1000</f>
        <v>0</v>
      </c>
      <c r="M1162" s="85">
        <f>STATS1003B!M1163/1000</f>
        <v>1209.0686099999998</v>
      </c>
      <c r="N1162" s="85">
        <f>STATS1003B!N1163/1000</f>
        <v>0</v>
      </c>
      <c r="O1162" s="85">
        <f>STATS1003B!O1163/1000</f>
        <v>0</v>
      </c>
      <c r="P1162" s="85">
        <f>STATS1003B!P1163/1000</f>
        <v>0</v>
      </c>
      <c r="Q1162" s="85">
        <f>STATS1003B!Q1163/1000</f>
        <v>0</v>
      </c>
      <c r="R1162" s="85">
        <f>STATS1003B!R1163/1000</f>
        <v>0</v>
      </c>
      <c r="S1162" s="85">
        <f>STATS1003B!S1163/1000</f>
        <v>0</v>
      </c>
      <c r="T1162" s="85">
        <f>STATS1003B!T1163/1000</f>
        <v>0</v>
      </c>
      <c r="U1162" s="85">
        <f>STATS1003B!U1163/1000</f>
        <v>0</v>
      </c>
      <c r="V1162" s="85">
        <f>STATS1003B!V1163/1000</f>
        <v>1209.0686099999998</v>
      </c>
      <c r="W1162" s="85">
        <f>STATS1003B!W1163/1000</f>
        <v>0</v>
      </c>
      <c r="X1162" s="85">
        <f t="shared" si="137"/>
        <v>1209.0686099999998</v>
      </c>
      <c r="Y1162" s="85">
        <f>STATS1003B!Y1163/1000</f>
        <v>0</v>
      </c>
      <c r="Z1162" s="85">
        <f t="shared" si="138"/>
        <v>0</v>
      </c>
      <c r="AA1162" s="69">
        <f>STATS1003B!AA1163/1000</f>
        <v>1209.0686099999998</v>
      </c>
      <c r="AB1162" s="69">
        <f>STATS1003B!AB1163/1000</f>
        <v>0</v>
      </c>
    </row>
    <row r="1163" spans="1:28" hidden="1" x14ac:dyDescent="0.3">
      <c r="A1163" s="117"/>
      <c r="C1163" s="68" t="s">
        <v>930</v>
      </c>
      <c r="D1163" s="90" t="s">
        <v>1072</v>
      </c>
      <c r="E1163" s="85">
        <f>STATS1003B!E1164/1000</f>
        <v>775</v>
      </c>
      <c r="F1163" s="85">
        <f>STATS1003B!F1164/1000</f>
        <v>775</v>
      </c>
      <c r="G1163" s="85">
        <f>STATS1003B!G1164/1000</f>
        <v>0</v>
      </c>
      <c r="H1163" s="85">
        <f>STATS1003B!H1164/1000</f>
        <v>775</v>
      </c>
      <c r="I1163" s="85">
        <f>STATS1003B!I1164/1000</f>
        <v>0</v>
      </c>
      <c r="J1163" s="85">
        <f>STATS1003B!J1164/1000</f>
        <v>0</v>
      </c>
      <c r="K1163" s="85">
        <f>STATS1003B!K1164/1000</f>
        <v>0</v>
      </c>
      <c r="L1163" s="85">
        <f>STATS1003B!L1164/1000</f>
        <v>0</v>
      </c>
      <c r="M1163" s="85">
        <f>STATS1003B!M1164/1000</f>
        <v>775</v>
      </c>
      <c r="N1163" s="85">
        <f>STATS1003B!N1164/1000</f>
        <v>0</v>
      </c>
      <c r="O1163" s="85">
        <f>STATS1003B!O1164/1000</f>
        <v>0</v>
      </c>
      <c r="P1163" s="85">
        <f>STATS1003B!P1164/1000</f>
        <v>0</v>
      </c>
      <c r="Q1163" s="85">
        <f>STATS1003B!Q1164/1000</f>
        <v>0</v>
      </c>
      <c r="R1163" s="85">
        <f>STATS1003B!R1164/1000</f>
        <v>0</v>
      </c>
      <c r="S1163" s="85">
        <f>STATS1003B!S1164/1000</f>
        <v>0</v>
      </c>
      <c r="T1163" s="85">
        <f>STATS1003B!T1164/1000</f>
        <v>0</v>
      </c>
      <c r="U1163" s="85">
        <f>STATS1003B!U1164/1000</f>
        <v>0</v>
      </c>
      <c r="V1163" s="85">
        <f>STATS1003B!V1164/1000</f>
        <v>775</v>
      </c>
      <c r="W1163" s="85">
        <f>STATS1003B!W1164/1000</f>
        <v>0</v>
      </c>
      <c r="X1163" s="85">
        <f t="shared" si="137"/>
        <v>775</v>
      </c>
      <c r="Y1163" s="85">
        <f>STATS1003B!Y1164/1000</f>
        <v>0</v>
      </c>
      <c r="Z1163" s="85">
        <f t="shared" si="138"/>
        <v>0</v>
      </c>
      <c r="AA1163" s="69">
        <f>STATS1003B!AA1164/1000</f>
        <v>775</v>
      </c>
      <c r="AB1163" s="69">
        <f>STATS1003B!AB1164/1000</f>
        <v>0</v>
      </c>
    </row>
    <row r="1164" spans="1:28" hidden="1" x14ac:dyDescent="0.3">
      <c r="A1164" s="117"/>
      <c r="C1164" s="68" t="s">
        <v>57</v>
      </c>
      <c r="D1164" s="90" t="s">
        <v>61</v>
      </c>
      <c r="E1164" s="85">
        <f>STATS1003B!E1165/1000</f>
        <v>613.01013999999998</v>
      </c>
      <c r="F1164" s="85">
        <f>STATS1003B!F1165/1000</f>
        <v>613.01013999999998</v>
      </c>
      <c r="G1164" s="85">
        <f>STATS1003B!G1165/1000</f>
        <v>0</v>
      </c>
      <c r="H1164" s="85">
        <f>STATS1003B!H1165/1000</f>
        <v>613.01013999999998</v>
      </c>
      <c r="I1164" s="85">
        <f>STATS1003B!I1165/1000</f>
        <v>0</v>
      </c>
      <c r="J1164" s="85">
        <f>STATS1003B!J1165/1000</f>
        <v>0</v>
      </c>
      <c r="K1164" s="85">
        <f>STATS1003B!K1165/1000</f>
        <v>0</v>
      </c>
      <c r="L1164" s="85">
        <f>STATS1003B!L1165/1000</f>
        <v>0</v>
      </c>
      <c r="M1164" s="85">
        <f>STATS1003B!M1165/1000</f>
        <v>613.01013999999998</v>
      </c>
      <c r="N1164" s="85">
        <f>STATS1003B!N1165/1000</f>
        <v>0</v>
      </c>
      <c r="O1164" s="85">
        <f>STATS1003B!O1165/1000</f>
        <v>0</v>
      </c>
      <c r="P1164" s="85">
        <f>STATS1003B!P1165/1000</f>
        <v>0</v>
      </c>
      <c r="Q1164" s="85">
        <f>STATS1003B!Q1165/1000</f>
        <v>0</v>
      </c>
      <c r="R1164" s="85">
        <f>STATS1003B!R1165/1000</f>
        <v>0</v>
      </c>
      <c r="S1164" s="85">
        <f>STATS1003B!S1165/1000</f>
        <v>0</v>
      </c>
      <c r="T1164" s="85">
        <f>STATS1003B!T1165/1000</f>
        <v>0</v>
      </c>
      <c r="U1164" s="85">
        <f>STATS1003B!U1165/1000</f>
        <v>0</v>
      </c>
      <c r="V1164" s="85">
        <f>STATS1003B!V1165/1000</f>
        <v>613.01013999999998</v>
      </c>
      <c r="W1164" s="85">
        <f>STATS1003B!W1165/1000</f>
        <v>0</v>
      </c>
      <c r="X1164" s="85">
        <f t="shared" si="137"/>
        <v>613.01013999999998</v>
      </c>
      <c r="Y1164" s="85">
        <f>STATS1003B!Y1165/1000</f>
        <v>0</v>
      </c>
      <c r="Z1164" s="85">
        <f t="shared" si="138"/>
        <v>0</v>
      </c>
      <c r="AA1164" s="69">
        <f>STATS1003B!AA1165/1000</f>
        <v>613.01013999999998</v>
      </c>
      <c r="AB1164" s="69">
        <f>STATS1003B!AB1165/1000</f>
        <v>0</v>
      </c>
    </row>
    <row r="1165" spans="1:28" hidden="1" x14ac:dyDescent="0.3">
      <c r="A1165" s="117"/>
      <c r="E1165" s="86" t="s">
        <v>29</v>
      </c>
      <c r="F1165" s="86" t="s">
        <v>29</v>
      </c>
      <c r="G1165" s="86" t="s">
        <v>29</v>
      </c>
      <c r="H1165" s="86" t="s">
        <v>29</v>
      </c>
      <c r="I1165" s="86" t="s">
        <v>29</v>
      </c>
      <c r="J1165" s="86" t="s">
        <v>29</v>
      </c>
      <c r="K1165" s="86" t="s">
        <v>29</v>
      </c>
      <c r="L1165" s="86" t="s">
        <v>29</v>
      </c>
      <c r="M1165" s="86" t="s">
        <v>29</v>
      </c>
      <c r="N1165" s="86" t="s">
        <v>29</v>
      </c>
      <c r="O1165" s="86" t="s">
        <v>29</v>
      </c>
      <c r="P1165" s="86" t="s">
        <v>29</v>
      </c>
      <c r="Q1165" s="86" t="s">
        <v>29</v>
      </c>
      <c r="R1165" s="86" t="s">
        <v>29</v>
      </c>
      <c r="S1165" s="86" t="s">
        <v>29</v>
      </c>
      <c r="T1165" s="86" t="s">
        <v>29</v>
      </c>
      <c r="U1165" s="86" t="s">
        <v>29</v>
      </c>
      <c r="V1165" s="86" t="s">
        <v>29</v>
      </c>
      <c r="W1165" s="86" t="s">
        <v>29</v>
      </c>
      <c r="X1165" s="85" t="e">
        <f t="shared" si="137"/>
        <v>#VALUE!</v>
      </c>
      <c r="Y1165" s="86" t="s">
        <v>29</v>
      </c>
      <c r="Z1165" s="85" t="e">
        <f t="shared" si="138"/>
        <v>#VALUE!</v>
      </c>
      <c r="AA1165" s="115" t="s">
        <v>29</v>
      </c>
      <c r="AB1165" s="115" t="s">
        <v>29</v>
      </c>
    </row>
    <row r="1166" spans="1:28" x14ac:dyDescent="0.3">
      <c r="A1166" s="116">
        <v>54</v>
      </c>
      <c r="B1166" s="68" t="s">
        <v>278</v>
      </c>
      <c r="E1166" s="85">
        <f>128624114.28/1000</f>
        <v>128624.11427999999</v>
      </c>
      <c r="F1166" s="85">
        <f t="shared" ref="F1166:AB1166" si="141">SUM(F1147:F1164)</f>
        <v>32610.805049999999</v>
      </c>
      <c r="G1166" s="85">
        <f t="shared" si="141"/>
        <v>0</v>
      </c>
      <c r="H1166" s="85">
        <f>125359180.73/1000</f>
        <v>125359.18073000001</v>
      </c>
      <c r="I1166" s="85">
        <f t="shared" si="141"/>
        <v>0</v>
      </c>
      <c r="J1166" s="85">
        <f t="shared" si="141"/>
        <v>0</v>
      </c>
      <c r="K1166" s="85">
        <f t="shared" si="141"/>
        <v>0</v>
      </c>
      <c r="L1166" s="85">
        <f t="shared" si="141"/>
        <v>0</v>
      </c>
      <c r="M1166" s="85">
        <f t="shared" si="141"/>
        <v>32610.805049999999</v>
      </c>
      <c r="N1166" s="85">
        <f t="shared" si="141"/>
        <v>3264.9335500000002</v>
      </c>
      <c r="O1166" s="85">
        <f t="shared" si="141"/>
        <v>0</v>
      </c>
      <c r="P1166" s="85">
        <f>3264933.55/1000</f>
        <v>3264.9335499999997</v>
      </c>
      <c r="Q1166" s="85">
        <f t="shared" si="141"/>
        <v>0</v>
      </c>
      <c r="R1166" s="85">
        <f t="shared" si="141"/>
        <v>0</v>
      </c>
      <c r="S1166" s="85">
        <f t="shared" si="141"/>
        <v>0</v>
      </c>
      <c r="T1166" s="85">
        <f t="shared" si="141"/>
        <v>0</v>
      </c>
      <c r="U1166" s="85">
        <f t="shared" si="141"/>
        <v>3264.9335500000002</v>
      </c>
      <c r="V1166" s="85">
        <f t="shared" si="141"/>
        <v>35875.738599999997</v>
      </c>
      <c r="W1166" s="85">
        <f t="shared" si="141"/>
        <v>0</v>
      </c>
      <c r="X1166" s="85">
        <f>+H1166+P1166</f>
        <v>128624.11428000001</v>
      </c>
      <c r="Y1166" s="85">
        <f t="shared" si="141"/>
        <v>0</v>
      </c>
      <c r="Z1166" s="85">
        <f t="shared" si="138"/>
        <v>0</v>
      </c>
      <c r="AA1166" s="69">
        <f t="shared" si="141"/>
        <v>35875.738599999997</v>
      </c>
      <c r="AB1166" s="69">
        <f t="shared" si="141"/>
        <v>0</v>
      </c>
    </row>
    <row r="1167" spans="1:28" hidden="1" x14ac:dyDescent="0.3">
      <c r="A1167" s="117"/>
      <c r="E1167" s="86" t="s">
        <v>29</v>
      </c>
      <c r="F1167" s="86" t="s">
        <v>29</v>
      </c>
      <c r="G1167" s="86" t="s">
        <v>29</v>
      </c>
      <c r="H1167" s="86" t="s">
        <v>29</v>
      </c>
      <c r="I1167" s="86" t="s">
        <v>29</v>
      </c>
      <c r="J1167" s="86" t="s">
        <v>29</v>
      </c>
      <c r="K1167" s="86" t="s">
        <v>29</v>
      </c>
      <c r="L1167" s="86" t="s">
        <v>29</v>
      </c>
      <c r="M1167" s="86" t="s">
        <v>29</v>
      </c>
      <c r="N1167" s="86" t="s">
        <v>29</v>
      </c>
      <c r="O1167" s="86" t="s">
        <v>29</v>
      </c>
      <c r="P1167" s="86" t="s">
        <v>29</v>
      </c>
      <c r="Q1167" s="86" t="s">
        <v>29</v>
      </c>
      <c r="R1167" s="86" t="s">
        <v>29</v>
      </c>
      <c r="S1167" s="86" t="s">
        <v>29</v>
      </c>
      <c r="T1167" s="86" t="s">
        <v>29</v>
      </c>
      <c r="U1167" s="86" t="s">
        <v>29</v>
      </c>
      <c r="V1167" s="86" t="s">
        <v>29</v>
      </c>
      <c r="W1167" s="86" t="s">
        <v>29</v>
      </c>
      <c r="X1167" s="85" t="e">
        <f t="shared" si="137"/>
        <v>#VALUE!</v>
      </c>
      <c r="Y1167" s="86" t="s">
        <v>29</v>
      </c>
      <c r="Z1167" s="85" t="e">
        <f t="shared" si="138"/>
        <v>#VALUE!</v>
      </c>
      <c r="AA1167" s="115" t="s">
        <v>29</v>
      </c>
      <c r="AB1167" s="115" t="s">
        <v>29</v>
      </c>
    </row>
    <row r="1168" spans="1:28" hidden="1" x14ac:dyDescent="0.3">
      <c r="A1168" s="105"/>
      <c r="E1168" s="84"/>
      <c r="F1168" s="84"/>
      <c r="G1168" s="84"/>
      <c r="H1168" s="84"/>
      <c r="I1168" s="84"/>
      <c r="J1168" s="84"/>
      <c r="K1168" s="84"/>
      <c r="L1168" s="84"/>
      <c r="M1168" s="84"/>
      <c r="N1168" s="84"/>
      <c r="O1168" s="84"/>
      <c r="P1168" s="84"/>
      <c r="Q1168" s="84"/>
      <c r="R1168" s="84"/>
      <c r="S1168" s="84"/>
      <c r="T1168" s="84"/>
      <c r="U1168" s="84"/>
      <c r="V1168" s="84"/>
      <c r="W1168" s="84"/>
      <c r="X1168" s="85">
        <f t="shared" si="137"/>
        <v>0</v>
      </c>
      <c r="Y1168" s="84"/>
      <c r="Z1168" s="85">
        <f t="shared" si="138"/>
        <v>0</v>
      </c>
    </row>
    <row r="1169" spans="1:28" hidden="1" x14ac:dyDescent="0.3">
      <c r="A1169" s="117"/>
      <c r="C1169" s="68" t="s">
        <v>286</v>
      </c>
      <c r="D1169" s="145" t="s">
        <v>287</v>
      </c>
      <c r="E1169" s="85">
        <f>STATS1003B!E1170/1000</f>
        <v>5298.1496699999998</v>
      </c>
      <c r="F1169" s="85">
        <f>STATS1003B!F1170/1000</f>
        <v>4239.8325800000002</v>
      </c>
      <c r="G1169" s="85">
        <f>STATS1003B!G1170/1000</f>
        <v>0</v>
      </c>
      <c r="H1169" s="85">
        <f>STATS1003B!H1170/1000</f>
        <v>4239.8325800000002</v>
      </c>
      <c r="I1169" s="85">
        <f>STATS1003B!I1170/1000</f>
        <v>0</v>
      </c>
      <c r="J1169" s="85">
        <f>STATS1003B!J1170/1000</f>
        <v>0</v>
      </c>
      <c r="K1169" s="85">
        <f>STATS1003B!K1170/1000</f>
        <v>0</v>
      </c>
      <c r="L1169" s="85">
        <f>STATS1003B!L1170/1000</f>
        <v>0</v>
      </c>
      <c r="M1169" s="85">
        <f>STATS1003B!M1170/1000</f>
        <v>4239.8325800000002</v>
      </c>
      <c r="N1169" s="85">
        <f>STATS1003B!N1170/1000</f>
        <v>1058.31709</v>
      </c>
      <c r="O1169" s="85">
        <f>STATS1003B!O1170/1000</f>
        <v>0</v>
      </c>
      <c r="P1169" s="85">
        <f>STATS1003B!P1170/1000</f>
        <v>1058.31709</v>
      </c>
      <c r="Q1169" s="85">
        <f>STATS1003B!Q1170/1000</f>
        <v>0</v>
      </c>
      <c r="R1169" s="85">
        <f>STATS1003B!R1170/1000</f>
        <v>0</v>
      </c>
      <c r="S1169" s="85">
        <f>STATS1003B!S1170/1000</f>
        <v>0</v>
      </c>
      <c r="T1169" s="85">
        <f>STATS1003B!T1170/1000</f>
        <v>0</v>
      </c>
      <c r="U1169" s="85">
        <f>STATS1003B!U1170/1000</f>
        <v>1058.31709</v>
      </c>
      <c r="V1169" s="85">
        <f>STATS1003B!V1170/1000</f>
        <v>5298.1496699999998</v>
      </c>
      <c r="W1169" s="85">
        <f>STATS1003B!W1170/1000</f>
        <v>0</v>
      </c>
      <c r="X1169" s="85">
        <f t="shared" si="137"/>
        <v>5298.1496700000007</v>
      </c>
      <c r="Y1169" s="85">
        <f>STATS1003B!Y1170/1000</f>
        <v>0</v>
      </c>
      <c r="Z1169" s="85">
        <f t="shared" si="138"/>
        <v>0</v>
      </c>
      <c r="AA1169" s="69">
        <f>STATS1003B!AA1170/1000</f>
        <v>5298.1496699999998</v>
      </c>
      <c r="AB1169" s="69">
        <f>STATS1003B!AB1170/1000</f>
        <v>0</v>
      </c>
    </row>
    <row r="1170" spans="1:28" hidden="1" x14ac:dyDescent="0.3">
      <c r="A1170" s="117"/>
      <c r="C1170" s="68" t="s">
        <v>280</v>
      </c>
      <c r="D1170" s="145" t="s">
        <v>288</v>
      </c>
      <c r="E1170" s="85">
        <f>STATS1003B!E1171/1000</f>
        <v>3915</v>
      </c>
      <c r="F1170" s="85">
        <f>STATS1003B!F1171/1000</f>
        <v>3915</v>
      </c>
      <c r="G1170" s="85">
        <f>STATS1003B!G1171/1000</f>
        <v>0</v>
      </c>
      <c r="H1170" s="85">
        <f>STATS1003B!H1171/1000</f>
        <v>3915</v>
      </c>
      <c r="I1170" s="85">
        <f>STATS1003B!I1171/1000</f>
        <v>0</v>
      </c>
      <c r="J1170" s="85">
        <f>STATS1003B!J1171/1000</f>
        <v>0</v>
      </c>
      <c r="K1170" s="85">
        <f>STATS1003B!K1171/1000</f>
        <v>0</v>
      </c>
      <c r="L1170" s="85">
        <f>STATS1003B!L1171/1000</f>
        <v>0</v>
      </c>
      <c r="M1170" s="85">
        <f>STATS1003B!M1171/1000</f>
        <v>3915</v>
      </c>
      <c r="N1170" s="85">
        <f>STATS1003B!N1171/1000</f>
        <v>0</v>
      </c>
      <c r="O1170" s="85">
        <f>STATS1003B!O1171/1000</f>
        <v>0</v>
      </c>
      <c r="P1170" s="85">
        <f>STATS1003B!P1171/1000</f>
        <v>0</v>
      </c>
      <c r="Q1170" s="85">
        <f>STATS1003B!Q1171/1000</f>
        <v>0</v>
      </c>
      <c r="R1170" s="85">
        <f>STATS1003B!R1171/1000</f>
        <v>0</v>
      </c>
      <c r="S1170" s="85">
        <f>STATS1003B!S1171/1000</f>
        <v>0</v>
      </c>
      <c r="T1170" s="85">
        <f>STATS1003B!T1171/1000</f>
        <v>0</v>
      </c>
      <c r="U1170" s="85">
        <f>STATS1003B!U1171/1000</f>
        <v>0</v>
      </c>
      <c r="V1170" s="85">
        <f>STATS1003B!V1171/1000</f>
        <v>3915</v>
      </c>
      <c r="W1170" s="85">
        <f>STATS1003B!W1171/1000</f>
        <v>0</v>
      </c>
      <c r="X1170" s="85">
        <f t="shared" si="137"/>
        <v>3915</v>
      </c>
      <c r="Y1170" s="85">
        <f>STATS1003B!Y1171/1000</f>
        <v>0</v>
      </c>
      <c r="Z1170" s="85">
        <f t="shared" si="138"/>
        <v>0</v>
      </c>
      <c r="AA1170" s="69">
        <f>STATS1003B!AA1171/1000</f>
        <v>3915</v>
      </c>
      <c r="AB1170" s="69">
        <f>STATS1003B!AB1171/1000</f>
        <v>0</v>
      </c>
    </row>
    <row r="1171" spans="1:28" hidden="1" x14ac:dyDescent="0.3">
      <c r="A1171" s="117"/>
      <c r="C1171" s="68" t="s">
        <v>281</v>
      </c>
      <c r="D1171" s="145" t="s">
        <v>173</v>
      </c>
      <c r="E1171" s="85">
        <f>STATS1003B!E1172/1000</f>
        <v>1705.6225099999999</v>
      </c>
      <c r="F1171" s="85">
        <f>STATS1003B!F1172/1000</f>
        <v>1128.67643</v>
      </c>
      <c r="G1171" s="85">
        <f>STATS1003B!G1172/1000</f>
        <v>0</v>
      </c>
      <c r="H1171" s="85">
        <f>STATS1003B!H1172/1000</f>
        <v>1128.67643</v>
      </c>
      <c r="I1171" s="85">
        <f>STATS1003B!I1172/1000</f>
        <v>0</v>
      </c>
      <c r="J1171" s="85">
        <f>STATS1003B!J1172/1000</f>
        <v>0</v>
      </c>
      <c r="K1171" s="85">
        <f>STATS1003B!K1172/1000</f>
        <v>0</v>
      </c>
      <c r="L1171" s="85">
        <f>STATS1003B!L1172/1000</f>
        <v>0</v>
      </c>
      <c r="M1171" s="85">
        <f>STATS1003B!M1172/1000</f>
        <v>1128.67643</v>
      </c>
      <c r="N1171" s="85">
        <f>STATS1003B!N1172/1000</f>
        <v>576.94607999999994</v>
      </c>
      <c r="O1171" s="85">
        <f>STATS1003B!O1172/1000</f>
        <v>0</v>
      </c>
      <c r="P1171" s="85">
        <f>STATS1003B!P1172/1000</f>
        <v>576.94607999999994</v>
      </c>
      <c r="Q1171" s="85">
        <f>STATS1003B!Q1172/1000</f>
        <v>0</v>
      </c>
      <c r="R1171" s="85">
        <f>STATS1003B!R1172/1000</f>
        <v>0</v>
      </c>
      <c r="S1171" s="85">
        <f>STATS1003B!S1172/1000</f>
        <v>0</v>
      </c>
      <c r="T1171" s="85">
        <f>STATS1003B!T1172/1000</f>
        <v>0</v>
      </c>
      <c r="U1171" s="85">
        <f>STATS1003B!U1172/1000</f>
        <v>576.94607999999994</v>
      </c>
      <c r="V1171" s="85">
        <f>STATS1003B!V1172/1000</f>
        <v>1705.6225099999997</v>
      </c>
      <c r="W1171" s="85">
        <f>STATS1003B!W1172/1000</f>
        <v>0</v>
      </c>
      <c r="X1171" s="85">
        <f t="shared" si="137"/>
        <v>1705.6225099999999</v>
      </c>
      <c r="Y1171" s="85">
        <f>STATS1003B!Y1172/1000</f>
        <v>0</v>
      </c>
      <c r="Z1171" s="85">
        <f t="shared" si="138"/>
        <v>0</v>
      </c>
      <c r="AA1171" s="69">
        <f>STATS1003B!AA1172/1000</f>
        <v>1705.6225099999997</v>
      </c>
      <c r="AB1171" s="69">
        <f>STATS1003B!AB1172/1000</f>
        <v>0</v>
      </c>
    </row>
    <row r="1172" spans="1:28" hidden="1" x14ac:dyDescent="0.3">
      <c r="A1172" s="117"/>
      <c r="C1172" s="68" t="s">
        <v>289</v>
      </c>
      <c r="D1172" s="145" t="s">
        <v>54</v>
      </c>
      <c r="E1172" s="85">
        <f>STATS1003B!E1173/1000</f>
        <v>5779.1064000000006</v>
      </c>
      <c r="F1172" s="85">
        <f>STATS1003B!F1173/1000</f>
        <v>5779.1064000000006</v>
      </c>
      <c r="G1172" s="85">
        <f>STATS1003B!G1173/1000</f>
        <v>0</v>
      </c>
      <c r="H1172" s="85">
        <f>STATS1003B!H1173/1000</f>
        <v>5779.1064000000006</v>
      </c>
      <c r="I1172" s="85">
        <f>STATS1003B!I1173/1000</f>
        <v>0</v>
      </c>
      <c r="J1172" s="85">
        <f>STATS1003B!J1173/1000</f>
        <v>0</v>
      </c>
      <c r="K1172" s="85">
        <f>STATS1003B!K1173/1000</f>
        <v>0</v>
      </c>
      <c r="L1172" s="85">
        <f>STATS1003B!L1173/1000</f>
        <v>0</v>
      </c>
      <c r="M1172" s="85">
        <f>STATS1003B!M1173/1000</f>
        <v>5779.1064000000006</v>
      </c>
      <c r="N1172" s="85">
        <f>STATS1003B!N1173/1000</f>
        <v>0</v>
      </c>
      <c r="O1172" s="85">
        <f>STATS1003B!O1173/1000</f>
        <v>0</v>
      </c>
      <c r="P1172" s="85">
        <f>STATS1003B!P1173/1000</f>
        <v>0</v>
      </c>
      <c r="Q1172" s="85">
        <f>STATS1003B!Q1173/1000</f>
        <v>0</v>
      </c>
      <c r="R1172" s="85">
        <f>STATS1003B!R1173/1000</f>
        <v>0</v>
      </c>
      <c r="S1172" s="85">
        <f>STATS1003B!S1173/1000</f>
        <v>0</v>
      </c>
      <c r="T1172" s="85">
        <f>STATS1003B!T1173/1000</f>
        <v>0</v>
      </c>
      <c r="U1172" s="85">
        <f>STATS1003B!U1173/1000</f>
        <v>0</v>
      </c>
      <c r="V1172" s="85">
        <f>STATS1003B!V1173/1000</f>
        <v>5779.1064000000006</v>
      </c>
      <c r="W1172" s="85">
        <f>STATS1003B!W1173/1000</f>
        <v>0</v>
      </c>
      <c r="X1172" s="85">
        <f t="shared" si="137"/>
        <v>5779.1064000000006</v>
      </c>
      <c r="Y1172" s="85">
        <f>STATS1003B!Y1173/1000</f>
        <v>0</v>
      </c>
      <c r="Z1172" s="85">
        <f t="shared" si="138"/>
        <v>0</v>
      </c>
      <c r="AA1172" s="69">
        <f>STATS1003B!AA1173/1000</f>
        <v>5779.1064000000006</v>
      </c>
      <c r="AB1172" s="69">
        <f>STATS1003B!AB1173/1000</f>
        <v>0</v>
      </c>
    </row>
    <row r="1173" spans="1:28" hidden="1" x14ac:dyDescent="0.3">
      <c r="A1173" s="117"/>
      <c r="C1173" s="68" t="s">
        <v>53</v>
      </c>
      <c r="D1173" s="145" t="s">
        <v>54</v>
      </c>
      <c r="E1173" s="85">
        <f>STATS1003B!E1174/1000</f>
        <v>1953.989</v>
      </c>
      <c r="F1173" s="85">
        <f>STATS1003B!F1174/1000</f>
        <v>0</v>
      </c>
      <c r="G1173" s="85">
        <f>STATS1003B!G1174/1000</f>
        <v>0</v>
      </c>
      <c r="H1173" s="85">
        <f>STATS1003B!H1174/1000</f>
        <v>0</v>
      </c>
      <c r="I1173" s="85">
        <f>STATS1003B!I1174/1000</f>
        <v>0</v>
      </c>
      <c r="J1173" s="85">
        <f>STATS1003B!J1174/1000</f>
        <v>0</v>
      </c>
      <c r="K1173" s="85">
        <f>STATS1003B!K1174/1000</f>
        <v>0</v>
      </c>
      <c r="L1173" s="85">
        <f>STATS1003B!L1174/1000</f>
        <v>0</v>
      </c>
      <c r="M1173" s="85">
        <f>STATS1003B!M1174/1000</f>
        <v>0</v>
      </c>
      <c r="N1173" s="85">
        <f>STATS1003B!N1174/1000</f>
        <v>1953.989</v>
      </c>
      <c r="O1173" s="85">
        <f>STATS1003B!O1174/1000</f>
        <v>0</v>
      </c>
      <c r="P1173" s="85">
        <f>STATS1003B!P1174/1000</f>
        <v>1953.989</v>
      </c>
      <c r="Q1173" s="85">
        <f>STATS1003B!Q1174/1000</f>
        <v>0</v>
      </c>
      <c r="R1173" s="85">
        <f>STATS1003B!R1174/1000</f>
        <v>0</v>
      </c>
      <c r="S1173" s="85">
        <f>STATS1003B!S1174/1000</f>
        <v>0</v>
      </c>
      <c r="T1173" s="85">
        <f>STATS1003B!T1174/1000</f>
        <v>0</v>
      </c>
      <c r="U1173" s="85">
        <f>STATS1003B!U1174/1000</f>
        <v>1953.989</v>
      </c>
      <c r="V1173" s="85">
        <f>STATS1003B!V1174/1000</f>
        <v>1953.989</v>
      </c>
      <c r="W1173" s="85">
        <f>STATS1003B!W1174/1000</f>
        <v>0</v>
      </c>
      <c r="X1173" s="85">
        <f t="shared" si="137"/>
        <v>1953.989</v>
      </c>
      <c r="Y1173" s="85">
        <f>STATS1003B!Y1174/1000</f>
        <v>0</v>
      </c>
      <c r="Z1173" s="85">
        <f t="shared" si="138"/>
        <v>0</v>
      </c>
      <c r="AA1173" s="69">
        <f>STATS1003B!AA1174/1000</f>
        <v>1953.989</v>
      </c>
      <c r="AB1173" s="69">
        <f>STATS1003B!AB1174/1000</f>
        <v>0</v>
      </c>
    </row>
    <row r="1174" spans="1:28" hidden="1" x14ac:dyDescent="0.3">
      <c r="A1174" s="117"/>
      <c r="C1174" s="68" t="s">
        <v>290</v>
      </c>
      <c r="D1174" s="145" t="s">
        <v>54</v>
      </c>
      <c r="E1174" s="85">
        <f>STATS1003B!E1175/1000</f>
        <v>835.71900000000005</v>
      </c>
      <c r="F1174" s="85">
        <f>STATS1003B!F1175/1000</f>
        <v>835.71900000000005</v>
      </c>
      <c r="G1174" s="85">
        <f>STATS1003B!G1175/1000</f>
        <v>0</v>
      </c>
      <c r="H1174" s="85">
        <f>STATS1003B!H1175/1000</f>
        <v>835.71900000000005</v>
      </c>
      <c r="I1174" s="85">
        <f>STATS1003B!I1175/1000</f>
        <v>0</v>
      </c>
      <c r="J1174" s="85">
        <f>STATS1003B!J1175/1000</f>
        <v>0</v>
      </c>
      <c r="K1174" s="85">
        <f>STATS1003B!K1175/1000</f>
        <v>0</v>
      </c>
      <c r="L1174" s="85">
        <f>STATS1003B!L1175/1000</f>
        <v>0</v>
      </c>
      <c r="M1174" s="85">
        <f>STATS1003B!M1175/1000</f>
        <v>835.71900000000005</v>
      </c>
      <c r="N1174" s="85">
        <f>STATS1003B!N1175/1000</f>
        <v>0</v>
      </c>
      <c r="O1174" s="85">
        <f>STATS1003B!O1175/1000</f>
        <v>0</v>
      </c>
      <c r="P1174" s="85">
        <f>STATS1003B!P1175/1000</f>
        <v>0</v>
      </c>
      <c r="Q1174" s="85">
        <f>STATS1003B!Q1175/1000</f>
        <v>0</v>
      </c>
      <c r="R1174" s="85">
        <f>STATS1003B!R1175/1000</f>
        <v>0</v>
      </c>
      <c r="S1174" s="85">
        <f>STATS1003B!S1175/1000</f>
        <v>0</v>
      </c>
      <c r="T1174" s="85">
        <f>STATS1003B!T1175/1000</f>
        <v>0</v>
      </c>
      <c r="U1174" s="85">
        <f>STATS1003B!U1175/1000</f>
        <v>0</v>
      </c>
      <c r="V1174" s="85">
        <f>STATS1003B!V1175/1000</f>
        <v>835.71900000000005</v>
      </c>
      <c r="W1174" s="85">
        <f>STATS1003B!W1175/1000</f>
        <v>0</v>
      </c>
      <c r="X1174" s="85">
        <f t="shared" si="137"/>
        <v>835.71900000000005</v>
      </c>
      <c r="Y1174" s="85">
        <f>STATS1003B!Y1175/1000</f>
        <v>0</v>
      </c>
      <c r="Z1174" s="85">
        <f t="shared" si="138"/>
        <v>0</v>
      </c>
      <c r="AA1174" s="69">
        <f>STATS1003B!AA1175/1000</f>
        <v>835.71900000000005</v>
      </c>
      <c r="AB1174" s="69">
        <f>STATS1003B!AB1175/1000</f>
        <v>0</v>
      </c>
    </row>
    <row r="1175" spans="1:28" hidden="1" x14ac:dyDescent="0.3">
      <c r="A1175" s="117"/>
      <c r="C1175" s="68" t="s">
        <v>283</v>
      </c>
      <c r="D1175" s="145" t="s">
        <v>105</v>
      </c>
      <c r="E1175" s="85">
        <f>STATS1003B!E1176/1000</f>
        <v>5865.3959999999997</v>
      </c>
      <c r="F1175" s="85">
        <f>STATS1003B!F1176/1000</f>
        <v>5865.3959999999997</v>
      </c>
      <c r="G1175" s="85">
        <f>STATS1003B!G1176/1000</f>
        <v>0</v>
      </c>
      <c r="H1175" s="85">
        <f>STATS1003B!H1176/1000</f>
        <v>5865.3959999999997</v>
      </c>
      <c r="I1175" s="85">
        <f>STATS1003B!I1176/1000</f>
        <v>0</v>
      </c>
      <c r="J1175" s="85">
        <f>STATS1003B!J1176/1000</f>
        <v>0</v>
      </c>
      <c r="K1175" s="85">
        <f>STATS1003B!K1176/1000</f>
        <v>0</v>
      </c>
      <c r="L1175" s="85">
        <f>STATS1003B!L1176/1000</f>
        <v>0</v>
      </c>
      <c r="M1175" s="85">
        <f>STATS1003B!M1176/1000</f>
        <v>5865.3959999999997</v>
      </c>
      <c r="N1175" s="85">
        <f>STATS1003B!N1176/1000</f>
        <v>0</v>
      </c>
      <c r="O1175" s="85">
        <f>STATS1003B!O1176/1000</f>
        <v>0</v>
      </c>
      <c r="P1175" s="85">
        <f>STATS1003B!P1176/1000</f>
        <v>0</v>
      </c>
      <c r="Q1175" s="85">
        <f>STATS1003B!Q1176/1000</f>
        <v>0</v>
      </c>
      <c r="R1175" s="85">
        <f>STATS1003B!R1176/1000</f>
        <v>0</v>
      </c>
      <c r="S1175" s="85">
        <f>STATS1003B!S1176/1000</f>
        <v>0</v>
      </c>
      <c r="T1175" s="85">
        <f>STATS1003B!T1176/1000</f>
        <v>0</v>
      </c>
      <c r="U1175" s="85">
        <f>STATS1003B!U1176/1000</f>
        <v>0</v>
      </c>
      <c r="V1175" s="85">
        <f>STATS1003B!V1176/1000</f>
        <v>5865.3959999999997</v>
      </c>
      <c r="W1175" s="85">
        <f>STATS1003B!W1176/1000</f>
        <v>0</v>
      </c>
      <c r="X1175" s="85">
        <f t="shared" si="137"/>
        <v>5865.3959999999997</v>
      </c>
      <c r="Y1175" s="85">
        <f>STATS1003B!Y1176/1000</f>
        <v>0</v>
      </c>
      <c r="Z1175" s="85">
        <f t="shared" si="138"/>
        <v>0</v>
      </c>
      <c r="AA1175" s="69">
        <f>STATS1003B!AA1176/1000</f>
        <v>5865.3959999999997</v>
      </c>
      <c r="AB1175" s="69">
        <f>STATS1003B!AB1176/1000</f>
        <v>0</v>
      </c>
    </row>
    <row r="1176" spans="1:28" hidden="1" x14ac:dyDescent="0.3">
      <c r="A1176" s="117"/>
      <c r="C1176" s="68" t="s">
        <v>55</v>
      </c>
      <c r="D1176" s="145" t="s">
        <v>85</v>
      </c>
      <c r="E1176" s="85">
        <f>STATS1003B!E1177/1000</f>
        <v>283.05</v>
      </c>
      <c r="F1176" s="85">
        <f>STATS1003B!F1177/1000</f>
        <v>0</v>
      </c>
      <c r="G1176" s="85">
        <f>STATS1003B!G1177/1000</f>
        <v>0</v>
      </c>
      <c r="H1176" s="85">
        <f>STATS1003B!H1177/1000</f>
        <v>0</v>
      </c>
      <c r="I1176" s="85">
        <f>STATS1003B!I1177/1000</f>
        <v>0</v>
      </c>
      <c r="J1176" s="85">
        <f>STATS1003B!J1177/1000</f>
        <v>0</v>
      </c>
      <c r="K1176" s="85">
        <f>STATS1003B!K1177/1000</f>
        <v>0</v>
      </c>
      <c r="L1176" s="85">
        <f>STATS1003B!L1177/1000</f>
        <v>0</v>
      </c>
      <c r="M1176" s="85">
        <f>STATS1003B!M1177/1000</f>
        <v>0</v>
      </c>
      <c r="N1176" s="85">
        <f>STATS1003B!N1177/1000</f>
        <v>283.05</v>
      </c>
      <c r="O1176" s="85">
        <f>STATS1003B!O1177/1000</f>
        <v>0</v>
      </c>
      <c r="P1176" s="85">
        <f>STATS1003B!P1177/1000</f>
        <v>283.05</v>
      </c>
      <c r="Q1176" s="85">
        <f>STATS1003B!Q1177/1000</f>
        <v>0</v>
      </c>
      <c r="R1176" s="85">
        <f>STATS1003B!R1177/1000</f>
        <v>0</v>
      </c>
      <c r="S1176" s="85">
        <f>STATS1003B!S1177/1000</f>
        <v>0</v>
      </c>
      <c r="T1176" s="85">
        <f>STATS1003B!T1177/1000</f>
        <v>0</v>
      </c>
      <c r="U1176" s="85">
        <f>STATS1003B!U1177/1000</f>
        <v>283.05</v>
      </c>
      <c r="V1176" s="85">
        <f>STATS1003B!V1177/1000</f>
        <v>283.05</v>
      </c>
      <c r="W1176" s="85">
        <f>STATS1003B!W1177/1000</f>
        <v>0</v>
      </c>
      <c r="X1176" s="85">
        <f t="shared" si="137"/>
        <v>283.05</v>
      </c>
      <c r="Y1176" s="85">
        <f>STATS1003B!Y1177/1000</f>
        <v>0</v>
      </c>
      <c r="Z1176" s="85">
        <f t="shared" si="138"/>
        <v>0</v>
      </c>
      <c r="AA1176" s="69">
        <f>STATS1003B!AA1177/1000</f>
        <v>283.05</v>
      </c>
      <c r="AB1176" s="69">
        <f>STATS1003B!AB1177/1000</f>
        <v>0</v>
      </c>
    </row>
    <row r="1177" spans="1:28" hidden="1" x14ac:dyDescent="0.3">
      <c r="A1177" s="117"/>
      <c r="C1177" s="68" t="s">
        <v>248</v>
      </c>
      <c r="D1177" s="145" t="s">
        <v>85</v>
      </c>
      <c r="E1177" s="85">
        <f>STATS1003B!E1178/1000</f>
        <v>120</v>
      </c>
      <c r="F1177" s="85">
        <f>STATS1003B!F1178/1000</f>
        <v>120</v>
      </c>
      <c r="G1177" s="85">
        <f>STATS1003B!G1178/1000</f>
        <v>0</v>
      </c>
      <c r="H1177" s="85">
        <f>STATS1003B!H1178/1000</f>
        <v>120</v>
      </c>
      <c r="I1177" s="85">
        <f>STATS1003B!I1178/1000</f>
        <v>0</v>
      </c>
      <c r="J1177" s="85">
        <f>STATS1003B!J1178/1000</f>
        <v>0</v>
      </c>
      <c r="K1177" s="85">
        <f>STATS1003B!K1178/1000</f>
        <v>0</v>
      </c>
      <c r="L1177" s="85">
        <f>STATS1003B!L1178/1000</f>
        <v>0</v>
      </c>
      <c r="M1177" s="85">
        <f>STATS1003B!M1178/1000</f>
        <v>120</v>
      </c>
      <c r="N1177" s="85">
        <f>STATS1003B!N1178/1000</f>
        <v>0</v>
      </c>
      <c r="O1177" s="85">
        <f>STATS1003B!O1178/1000</f>
        <v>0</v>
      </c>
      <c r="P1177" s="85">
        <f>STATS1003B!P1178/1000</f>
        <v>0</v>
      </c>
      <c r="Q1177" s="85">
        <f>STATS1003B!Q1178/1000</f>
        <v>0</v>
      </c>
      <c r="R1177" s="85">
        <f>STATS1003B!R1178/1000</f>
        <v>0</v>
      </c>
      <c r="S1177" s="85">
        <f>STATS1003B!S1178/1000</f>
        <v>0</v>
      </c>
      <c r="T1177" s="85">
        <f>STATS1003B!T1178/1000</f>
        <v>0</v>
      </c>
      <c r="U1177" s="85">
        <f>STATS1003B!U1178/1000</f>
        <v>0</v>
      </c>
      <c r="V1177" s="85">
        <f>STATS1003B!V1178/1000</f>
        <v>120</v>
      </c>
      <c r="W1177" s="85">
        <f>STATS1003B!W1178/1000</f>
        <v>0</v>
      </c>
      <c r="X1177" s="85">
        <f t="shared" ref="X1177:X1186" si="142">+H1177+P1177</f>
        <v>120</v>
      </c>
      <c r="Y1177" s="85">
        <f>STATS1003B!Y1178/1000</f>
        <v>0</v>
      </c>
      <c r="Z1177" s="85">
        <f t="shared" si="138"/>
        <v>0</v>
      </c>
      <c r="AA1177" s="69">
        <f>STATS1003B!AA1178/1000</f>
        <v>120</v>
      </c>
      <c r="AB1177" s="69">
        <f>STATS1003B!AB1178/1000</f>
        <v>0</v>
      </c>
    </row>
    <row r="1178" spans="1:28" hidden="1" x14ac:dyDescent="0.3">
      <c r="A1178" s="117"/>
      <c r="C1178" s="68" t="s">
        <v>284</v>
      </c>
      <c r="D1178" s="145" t="s">
        <v>128</v>
      </c>
      <c r="E1178" s="85">
        <f>STATS1003B!E1179/1000</f>
        <v>5000</v>
      </c>
      <c r="F1178" s="85">
        <f>STATS1003B!F1179/1000</f>
        <v>5000</v>
      </c>
      <c r="G1178" s="85">
        <f>STATS1003B!G1179/1000</f>
        <v>0</v>
      </c>
      <c r="H1178" s="85">
        <f>STATS1003B!H1179/1000</f>
        <v>5000</v>
      </c>
      <c r="I1178" s="85">
        <f>STATS1003B!I1179/1000</f>
        <v>0</v>
      </c>
      <c r="J1178" s="85">
        <f>STATS1003B!J1179/1000</f>
        <v>0</v>
      </c>
      <c r="K1178" s="85">
        <f>STATS1003B!K1179/1000</f>
        <v>0</v>
      </c>
      <c r="L1178" s="85">
        <f>STATS1003B!L1179/1000</f>
        <v>0</v>
      </c>
      <c r="M1178" s="85">
        <f>STATS1003B!M1179/1000</f>
        <v>5000</v>
      </c>
      <c r="N1178" s="85">
        <f>STATS1003B!N1179/1000</f>
        <v>0</v>
      </c>
      <c r="O1178" s="85">
        <f>STATS1003B!O1179/1000</f>
        <v>0</v>
      </c>
      <c r="P1178" s="85">
        <f>STATS1003B!P1179/1000</f>
        <v>0</v>
      </c>
      <c r="Q1178" s="85">
        <f>STATS1003B!Q1179/1000</f>
        <v>0</v>
      </c>
      <c r="R1178" s="85">
        <f>STATS1003B!R1179/1000</f>
        <v>0</v>
      </c>
      <c r="S1178" s="85">
        <f>STATS1003B!S1179/1000</f>
        <v>0</v>
      </c>
      <c r="T1178" s="85">
        <f>STATS1003B!T1179/1000</f>
        <v>0</v>
      </c>
      <c r="U1178" s="85">
        <f>STATS1003B!U1179/1000</f>
        <v>0</v>
      </c>
      <c r="V1178" s="85">
        <f>STATS1003B!V1179/1000</f>
        <v>5000</v>
      </c>
      <c r="W1178" s="85">
        <f>STATS1003B!W1179/1000</f>
        <v>0</v>
      </c>
      <c r="X1178" s="85">
        <f t="shared" si="142"/>
        <v>5000</v>
      </c>
      <c r="Y1178" s="85">
        <f>STATS1003B!Y1179/1000</f>
        <v>0</v>
      </c>
      <c r="Z1178" s="85">
        <f t="shared" si="138"/>
        <v>0</v>
      </c>
      <c r="AA1178" s="69">
        <f>STATS1003B!AA1179/1000</f>
        <v>5000</v>
      </c>
      <c r="AB1178" s="69">
        <f>STATS1003B!AB1179/1000</f>
        <v>0</v>
      </c>
    </row>
    <row r="1179" spans="1:28" hidden="1" x14ac:dyDescent="0.3">
      <c r="A1179" s="117"/>
      <c r="C1179" s="68" t="s">
        <v>57</v>
      </c>
      <c r="D1179" s="145" t="s">
        <v>58</v>
      </c>
      <c r="E1179" s="85">
        <f>STATS1003B!E1180/1000</f>
        <v>1229.9259999999999</v>
      </c>
      <c r="F1179" s="85">
        <f>STATS1003B!F1180/1000</f>
        <v>1229.9259999999999</v>
      </c>
      <c r="G1179" s="85">
        <f>STATS1003B!G1180/1000</f>
        <v>0</v>
      </c>
      <c r="H1179" s="85">
        <f>STATS1003B!H1180/1000</f>
        <v>1229.9259999999999</v>
      </c>
      <c r="I1179" s="85">
        <f>STATS1003B!I1180/1000</f>
        <v>0</v>
      </c>
      <c r="J1179" s="85">
        <f>STATS1003B!J1180/1000</f>
        <v>0</v>
      </c>
      <c r="K1179" s="85">
        <f>STATS1003B!K1180/1000</f>
        <v>0</v>
      </c>
      <c r="L1179" s="85">
        <f>STATS1003B!L1180/1000</f>
        <v>0</v>
      </c>
      <c r="M1179" s="85">
        <f>STATS1003B!M1180/1000</f>
        <v>1229.9259999999999</v>
      </c>
      <c r="N1179" s="85">
        <f>STATS1003B!N1180/1000</f>
        <v>0</v>
      </c>
      <c r="O1179" s="85">
        <f>STATS1003B!O1180/1000</f>
        <v>0</v>
      </c>
      <c r="P1179" s="85">
        <f>STATS1003B!P1180/1000</f>
        <v>0</v>
      </c>
      <c r="Q1179" s="85">
        <f>STATS1003B!Q1180/1000</f>
        <v>0</v>
      </c>
      <c r="R1179" s="85">
        <f>STATS1003B!R1180/1000</f>
        <v>0</v>
      </c>
      <c r="S1179" s="85">
        <f>STATS1003B!S1180/1000</f>
        <v>0</v>
      </c>
      <c r="T1179" s="85">
        <f>STATS1003B!T1180/1000</f>
        <v>0</v>
      </c>
      <c r="U1179" s="85">
        <f>STATS1003B!U1180/1000</f>
        <v>0</v>
      </c>
      <c r="V1179" s="85">
        <f>STATS1003B!V1180/1000</f>
        <v>1229.9259999999999</v>
      </c>
      <c r="W1179" s="85">
        <f>STATS1003B!W1180/1000</f>
        <v>0</v>
      </c>
      <c r="X1179" s="85">
        <f t="shared" si="142"/>
        <v>1229.9259999999999</v>
      </c>
      <c r="Y1179" s="85">
        <f>STATS1003B!Y1180/1000</f>
        <v>0</v>
      </c>
      <c r="Z1179" s="85">
        <f t="shared" si="138"/>
        <v>0</v>
      </c>
      <c r="AA1179" s="69">
        <f>STATS1003B!AA1180/1000</f>
        <v>1229.9259999999999</v>
      </c>
      <c r="AB1179" s="69">
        <f>STATS1003B!AB1180/1000</f>
        <v>0</v>
      </c>
    </row>
    <row r="1180" spans="1:28" hidden="1" x14ac:dyDescent="0.3">
      <c r="A1180" s="117"/>
      <c r="C1180" s="71" t="s">
        <v>109</v>
      </c>
      <c r="D1180" s="88" t="s">
        <v>60</v>
      </c>
      <c r="E1180" s="85">
        <f>STATS1003B!E1181/1000</f>
        <v>2500</v>
      </c>
      <c r="F1180" s="85">
        <f>STATS1003B!F1181/1000</f>
        <v>2500</v>
      </c>
      <c r="G1180" s="85">
        <f>STATS1003B!G1181/1000</f>
        <v>0</v>
      </c>
      <c r="H1180" s="85">
        <f>STATS1003B!H1181/1000</f>
        <v>2500</v>
      </c>
      <c r="I1180" s="85">
        <f>STATS1003B!I1181/1000</f>
        <v>0</v>
      </c>
      <c r="J1180" s="85">
        <f>STATS1003B!J1181/1000</f>
        <v>0</v>
      </c>
      <c r="K1180" s="85">
        <f>STATS1003B!K1181/1000</f>
        <v>0</v>
      </c>
      <c r="L1180" s="85">
        <f>STATS1003B!L1181/1000</f>
        <v>0</v>
      </c>
      <c r="M1180" s="85">
        <f>STATS1003B!M1181/1000</f>
        <v>2500</v>
      </c>
      <c r="N1180" s="85">
        <f>STATS1003B!N1181/1000</f>
        <v>0</v>
      </c>
      <c r="O1180" s="85">
        <f>STATS1003B!O1181/1000</f>
        <v>0</v>
      </c>
      <c r="P1180" s="85">
        <f>STATS1003B!P1181/1000</f>
        <v>0</v>
      </c>
      <c r="Q1180" s="85">
        <f>STATS1003B!Q1181/1000</f>
        <v>0</v>
      </c>
      <c r="R1180" s="85">
        <f>STATS1003B!R1181/1000</f>
        <v>0</v>
      </c>
      <c r="S1180" s="85">
        <f>STATS1003B!S1181/1000</f>
        <v>0</v>
      </c>
      <c r="T1180" s="85">
        <f>STATS1003B!T1181/1000</f>
        <v>0</v>
      </c>
      <c r="U1180" s="85">
        <f>STATS1003B!U1181/1000</f>
        <v>0</v>
      </c>
      <c r="V1180" s="85">
        <f>STATS1003B!V1181/1000</f>
        <v>2500</v>
      </c>
      <c r="W1180" s="85">
        <f>STATS1003B!W1181/1000</f>
        <v>0</v>
      </c>
      <c r="X1180" s="85">
        <f t="shared" si="142"/>
        <v>2500</v>
      </c>
      <c r="Y1180" s="85">
        <f>STATS1003B!Y1181/1000</f>
        <v>0</v>
      </c>
      <c r="Z1180" s="85">
        <f t="shared" si="138"/>
        <v>0</v>
      </c>
      <c r="AA1180" s="69">
        <f>STATS1003B!AA1181/1000</f>
        <v>2500</v>
      </c>
      <c r="AB1180" s="69">
        <f>STATS1003B!AB1181/1000</f>
        <v>0</v>
      </c>
    </row>
    <row r="1181" spans="1:28" hidden="1" x14ac:dyDescent="0.3">
      <c r="A1181" s="117"/>
      <c r="C1181" s="71" t="s">
        <v>291</v>
      </c>
      <c r="D1181" s="88" t="s">
        <v>73</v>
      </c>
      <c r="E1181" s="85">
        <f>STATS1003B!E1182/1000</f>
        <v>2200</v>
      </c>
      <c r="F1181" s="85">
        <f>STATS1003B!F1182/1000</f>
        <v>2200</v>
      </c>
      <c r="G1181" s="85">
        <f>STATS1003B!G1182/1000</f>
        <v>0</v>
      </c>
      <c r="H1181" s="85">
        <f>STATS1003B!H1182/1000</f>
        <v>2200</v>
      </c>
      <c r="I1181" s="85">
        <f>STATS1003B!I1182/1000</f>
        <v>0</v>
      </c>
      <c r="J1181" s="85">
        <f>STATS1003B!J1182/1000</f>
        <v>0</v>
      </c>
      <c r="K1181" s="85">
        <f>STATS1003B!K1182/1000</f>
        <v>0</v>
      </c>
      <c r="L1181" s="85">
        <f>STATS1003B!L1182/1000</f>
        <v>0</v>
      </c>
      <c r="M1181" s="85">
        <f>STATS1003B!M1182/1000</f>
        <v>2200</v>
      </c>
      <c r="N1181" s="85">
        <f>STATS1003B!N1182/1000</f>
        <v>0</v>
      </c>
      <c r="O1181" s="85">
        <f>STATS1003B!O1182/1000</f>
        <v>0</v>
      </c>
      <c r="P1181" s="85">
        <f>STATS1003B!P1182/1000</f>
        <v>0</v>
      </c>
      <c r="Q1181" s="85">
        <f>STATS1003B!Q1182/1000</f>
        <v>0</v>
      </c>
      <c r="R1181" s="85">
        <f>STATS1003B!R1182/1000</f>
        <v>0</v>
      </c>
      <c r="S1181" s="85">
        <f>STATS1003B!S1182/1000</f>
        <v>0</v>
      </c>
      <c r="T1181" s="85">
        <f>STATS1003B!T1182/1000</f>
        <v>0</v>
      </c>
      <c r="U1181" s="85">
        <f>STATS1003B!U1182/1000</f>
        <v>0</v>
      </c>
      <c r="V1181" s="85">
        <f>STATS1003B!V1182/1000</f>
        <v>2200</v>
      </c>
      <c r="W1181" s="85">
        <f>STATS1003B!W1182/1000</f>
        <v>0</v>
      </c>
      <c r="X1181" s="85">
        <f t="shared" si="142"/>
        <v>2200</v>
      </c>
      <c r="Y1181" s="85">
        <f>STATS1003B!Y1182/1000</f>
        <v>0</v>
      </c>
      <c r="Z1181" s="85">
        <f t="shared" ref="Z1181:Z1188" si="143">+E1181-X1181</f>
        <v>0</v>
      </c>
      <c r="AA1181" s="69">
        <f>STATS1003B!AA1182/1000</f>
        <v>2200</v>
      </c>
      <c r="AB1181" s="69">
        <f>STATS1003B!AB1182/1000</f>
        <v>0</v>
      </c>
    </row>
    <row r="1182" spans="1:28" hidden="1" x14ac:dyDescent="0.3">
      <c r="A1182" s="117"/>
      <c r="C1182" s="68" t="s">
        <v>122</v>
      </c>
      <c r="E1182" s="85">
        <f>STATS1003B!E1183/1000</f>
        <v>794.02242000000001</v>
      </c>
      <c r="F1182" s="85">
        <f>STATS1003B!F1183/1000</f>
        <v>794.02242000000001</v>
      </c>
      <c r="G1182" s="85">
        <f>STATS1003B!G1183/1000</f>
        <v>0</v>
      </c>
      <c r="H1182" s="85">
        <f>STATS1003B!H1183/1000</f>
        <v>794.02242000000001</v>
      </c>
      <c r="I1182" s="85">
        <f>STATS1003B!I1183/1000</f>
        <v>0</v>
      </c>
      <c r="J1182" s="85">
        <f>STATS1003B!J1183/1000</f>
        <v>0</v>
      </c>
      <c r="K1182" s="85">
        <f>STATS1003B!K1183/1000</f>
        <v>0</v>
      </c>
      <c r="L1182" s="85">
        <f>STATS1003B!L1183/1000</f>
        <v>0</v>
      </c>
      <c r="M1182" s="85">
        <f>STATS1003B!M1183/1000</f>
        <v>794.02242000000001</v>
      </c>
      <c r="N1182" s="85">
        <f>STATS1003B!N1183/1000</f>
        <v>0</v>
      </c>
      <c r="O1182" s="85">
        <f>STATS1003B!O1183/1000</f>
        <v>0</v>
      </c>
      <c r="P1182" s="85">
        <f>STATS1003B!P1183/1000</f>
        <v>0</v>
      </c>
      <c r="Q1182" s="85">
        <f>STATS1003B!Q1183/1000</f>
        <v>0</v>
      </c>
      <c r="R1182" s="85">
        <f>STATS1003B!R1183/1000</f>
        <v>0</v>
      </c>
      <c r="S1182" s="85">
        <f>STATS1003B!S1183/1000</f>
        <v>0</v>
      </c>
      <c r="T1182" s="85">
        <f>STATS1003B!T1183/1000</f>
        <v>0</v>
      </c>
      <c r="U1182" s="85">
        <f>STATS1003B!U1183/1000</f>
        <v>0</v>
      </c>
      <c r="V1182" s="85">
        <f>STATS1003B!V1183/1000</f>
        <v>794.02242000000001</v>
      </c>
      <c r="W1182" s="85">
        <f>STATS1003B!W1183/1000</f>
        <v>0</v>
      </c>
      <c r="X1182" s="85">
        <f t="shared" si="142"/>
        <v>794.02242000000001</v>
      </c>
      <c r="Y1182" s="85">
        <f>STATS1003B!Y1183/1000</f>
        <v>0</v>
      </c>
      <c r="Z1182" s="85">
        <f t="shared" si="143"/>
        <v>0</v>
      </c>
      <c r="AA1182" s="69">
        <f>STATS1003B!AA1183/1000</f>
        <v>794.02242000000001</v>
      </c>
      <c r="AB1182" s="69">
        <f>STATS1003B!AB1183/1000</f>
        <v>0</v>
      </c>
    </row>
    <row r="1183" spans="1:28" hidden="1" x14ac:dyDescent="0.3">
      <c r="A1183" s="117"/>
      <c r="C1183" s="68" t="s">
        <v>924</v>
      </c>
      <c r="E1183" s="85">
        <f>STATS1003B!E1184/1000</f>
        <v>840.72231999999997</v>
      </c>
      <c r="F1183" s="85">
        <f>STATS1003B!F1184/1000</f>
        <v>836</v>
      </c>
      <c r="G1183" s="85">
        <f>STATS1003B!G1184/1000</f>
        <v>0</v>
      </c>
      <c r="H1183" s="85">
        <f>STATS1003B!H1184/1000</f>
        <v>836</v>
      </c>
      <c r="I1183" s="85">
        <f>STATS1003B!I1184/1000</f>
        <v>0</v>
      </c>
      <c r="J1183" s="85">
        <f>STATS1003B!J1184/1000</f>
        <v>0</v>
      </c>
      <c r="K1183" s="85">
        <f>STATS1003B!K1184/1000</f>
        <v>0</v>
      </c>
      <c r="L1183" s="85">
        <f>STATS1003B!L1184/1000</f>
        <v>0</v>
      </c>
      <c r="M1183" s="85">
        <f>STATS1003B!M1184/1000</f>
        <v>836</v>
      </c>
      <c r="N1183" s="85">
        <f>STATS1003B!N1184/1000</f>
        <v>4.7223199999999999</v>
      </c>
      <c r="O1183" s="85">
        <f>STATS1003B!O1184/1000</f>
        <v>0</v>
      </c>
      <c r="P1183" s="85">
        <f>STATS1003B!P1184/1000</f>
        <v>4.7223199999999999</v>
      </c>
      <c r="Q1183" s="85">
        <f>STATS1003B!Q1184/1000</f>
        <v>0</v>
      </c>
      <c r="R1183" s="85">
        <f>STATS1003B!R1184/1000</f>
        <v>0</v>
      </c>
      <c r="S1183" s="85">
        <f>STATS1003B!S1184/1000</f>
        <v>0</v>
      </c>
      <c r="T1183" s="85">
        <f>STATS1003B!T1184/1000</f>
        <v>0</v>
      </c>
      <c r="U1183" s="85">
        <f>STATS1003B!U1184/1000</f>
        <v>4.7223199999999999</v>
      </c>
      <c r="V1183" s="85">
        <f>STATS1003B!V1184/1000</f>
        <v>840.72231999999997</v>
      </c>
      <c r="W1183" s="85">
        <f>STATS1003B!W1184/1000</f>
        <v>0</v>
      </c>
      <c r="X1183" s="85">
        <f t="shared" si="142"/>
        <v>840.72231999999997</v>
      </c>
      <c r="Y1183" s="85">
        <f>STATS1003B!Y1184/1000</f>
        <v>0</v>
      </c>
      <c r="Z1183" s="85">
        <f t="shared" si="143"/>
        <v>0</v>
      </c>
      <c r="AA1183" s="69">
        <f>STATS1003B!AA1184/1000</f>
        <v>840.72231999999997</v>
      </c>
      <c r="AB1183" s="69">
        <f>STATS1003B!AB1184/1000</f>
        <v>0</v>
      </c>
    </row>
    <row r="1184" spans="1:28" hidden="1" x14ac:dyDescent="0.3">
      <c r="A1184" s="117"/>
      <c r="C1184" s="68" t="s">
        <v>1134</v>
      </c>
      <c r="D1184" s="91" t="s">
        <v>1126</v>
      </c>
      <c r="E1184" s="85">
        <f>STATS1003B!E1185/1000</f>
        <v>875.15701000000001</v>
      </c>
      <c r="F1184" s="85">
        <f>STATS1003B!F1185/1000</f>
        <v>875.15701000000001</v>
      </c>
      <c r="G1184" s="85">
        <f>STATS1003B!G1185/1000</f>
        <v>0</v>
      </c>
      <c r="H1184" s="85">
        <f>STATS1003B!H1185/1000</f>
        <v>875.15701000000001</v>
      </c>
      <c r="I1184" s="85">
        <f>STATS1003B!I1185/1000</f>
        <v>0</v>
      </c>
      <c r="J1184" s="85">
        <f>STATS1003B!J1185/1000</f>
        <v>0</v>
      </c>
      <c r="K1184" s="85">
        <f>STATS1003B!K1185/1000</f>
        <v>0</v>
      </c>
      <c r="L1184" s="85">
        <f>STATS1003B!L1185/1000</f>
        <v>0</v>
      </c>
      <c r="M1184" s="85">
        <f>STATS1003B!M1185/1000</f>
        <v>875.15701000000001</v>
      </c>
      <c r="N1184" s="85">
        <f>STATS1003B!N1185/1000</f>
        <v>0</v>
      </c>
      <c r="O1184" s="85">
        <f>STATS1003B!O1185/1000</f>
        <v>0</v>
      </c>
      <c r="P1184" s="85">
        <f>STATS1003B!P1185/1000</f>
        <v>0</v>
      </c>
      <c r="Q1184" s="85">
        <f>STATS1003B!Q1185/1000</f>
        <v>0</v>
      </c>
      <c r="R1184" s="85">
        <f>STATS1003B!R1185/1000</f>
        <v>0</v>
      </c>
      <c r="S1184" s="85">
        <f>STATS1003B!S1185/1000</f>
        <v>0</v>
      </c>
      <c r="T1184" s="85">
        <f>STATS1003B!T1185/1000</f>
        <v>0</v>
      </c>
      <c r="U1184" s="85">
        <f>STATS1003B!U1185/1000</f>
        <v>0</v>
      </c>
      <c r="V1184" s="85">
        <f>STATS1003B!V1185/1000</f>
        <v>875.15701000000001</v>
      </c>
      <c r="W1184" s="85">
        <f>STATS1003B!W1185/1000</f>
        <v>0</v>
      </c>
      <c r="X1184" s="85">
        <f t="shared" si="142"/>
        <v>875.15701000000001</v>
      </c>
      <c r="Y1184" s="85">
        <f>STATS1003B!Y1185/1000</f>
        <v>0</v>
      </c>
      <c r="Z1184" s="85">
        <f t="shared" si="143"/>
        <v>0</v>
      </c>
      <c r="AA1184" s="69">
        <f>STATS1003B!AA1185/1000</f>
        <v>875.15701000000001</v>
      </c>
      <c r="AB1184" s="69">
        <f>STATS1003B!AB1185/1000</f>
        <v>0</v>
      </c>
    </row>
    <row r="1185" spans="1:32" hidden="1" x14ac:dyDescent="0.3">
      <c r="A1185" s="117"/>
      <c r="C1185" s="68" t="s">
        <v>90</v>
      </c>
      <c r="D1185" s="91" t="s">
        <v>61</v>
      </c>
      <c r="E1185" s="85">
        <f>STATS1003B!E1186/1000</f>
        <v>300</v>
      </c>
      <c r="F1185" s="85">
        <f>STATS1003B!F1186/1000</f>
        <v>300</v>
      </c>
      <c r="G1185" s="85">
        <f>STATS1003B!G1186/1000</f>
        <v>0</v>
      </c>
      <c r="H1185" s="85">
        <f>STATS1003B!H1186/1000</f>
        <v>300</v>
      </c>
      <c r="I1185" s="85">
        <f>STATS1003B!I1186/1000</f>
        <v>300</v>
      </c>
      <c r="J1185" s="85">
        <f>STATS1003B!J1186/1000</f>
        <v>300</v>
      </c>
      <c r="K1185" s="85">
        <f>STATS1003B!K1186/1000</f>
        <v>0</v>
      </c>
      <c r="L1185" s="85">
        <f>STATS1003B!L1186/1000</f>
        <v>0</v>
      </c>
      <c r="M1185" s="85">
        <f>STATS1003B!M1186/1000</f>
        <v>300</v>
      </c>
      <c r="N1185" s="85">
        <f>STATS1003B!N1186/1000</f>
        <v>0</v>
      </c>
      <c r="O1185" s="85">
        <f>STATS1003B!O1186/1000</f>
        <v>0</v>
      </c>
      <c r="P1185" s="85">
        <f>STATS1003B!P1186/1000</f>
        <v>0</v>
      </c>
      <c r="Q1185" s="85">
        <f>STATS1003B!Q1186/1000</f>
        <v>0</v>
      </c>
      <c r="R1185" s="85">
        <f>STATS1003B!R1186/1000</f>
        <v>0</v>
      </c>
      <c r="S1185" s="85">
        <f>STATS1003B!S1186/1000</f>
        <v>0</v>
      </c>
      <c r="T1185" s="85">
        <f>STATS1003B!T1186/1000</f>
        <v>0</v>
      </c>
      <c r="U1185" s="85">
        <f>STATS1003B!U1186/1000</f>
        <v>0</v>
      </c>
      <c r="V1185" s="85">
        <f>STATS1003B!V1186/1000</f>
        <v>300</v>
      </c>
      <c r="W1185" s="85">
        <f>STATS1003B!W1186/1000</f>
        <v>0</v>
      </c>
      <c r="X1185" s="85">
        <f t="shared" si="142"/>
        <v>300</v>
      </c>
      <c r="Y1185" s="85">
        <f>STATS1003B!Y1186/1000</f>
        <v>0</v>
      </c>
      <c r="Z1185" s="85">
        <f t="shared" si="143"/>
        <v>0</v>
      </c>
      <c r="AA1185" s="69">
        <f>STATS1003B!AA1186/1000</f>
        <v>300</v>
      </c>
      <c r="AB1185" s="69">
        <f>STATS1003B!AB1186/1000</f>
        <v>0</v>
      </c>
    </row>
    <row r="1186" spans="1:32" hidden="1" x14ac:dyDescent="0.3">
      <c r="A1186" s="117"/>
      <c r="E1186" s="86" t="s">
        <v>29</v>
      </c>
      <c r="F1186" s="86" t="s">
        <v>29</v>
      </c>
      <c r="G1186" s="86" t="s">
        <v>29</v>
      </c>
      <c r="H1186" s="86" t="s">
        <v>29</v>
      </c>
      <c r="I1186" s="86" t="s">
        <v>29</v>
      </c>
      <c r="J1186" s="86" t="s">
        <v>29</v>
      </c>
      <c r="K1186" s="86" t="s">
        <v>29</v>
      </c>
      <c r="L1186" s="86" t="s">
        <v>29</v>
      </c>
      <c r="M1186" s="86" t="s">
        <v>29</v>
      </c>
      <c r="N1186" s="86" t="s">
        <v>29</v>
      </c>
      <c r="O1186" s="86" t="s">
        <v>29</v>
      </c>
      <c r="P1186" s="86" t="s">
        <v>29</v>
      </c>
      <c r="Q1186" s="86" t="s">
        <v>29</v>
      </c>
      <c r="R1186" s="86" t="s">
        <v>29</v>
      </c>
      <c r="S1186" s="86" t="s">
        <v>29</v>
      </c>
      <c r="T1186" s="86" t="s">
        <v>29</v>
      </c>
      <c r="U1186" s="86" t="s">
        <v>29</v>
      </c>
      <c r="V1186" s="86" t="s">
        <v>29</v>
      </c>
      <c r="W1186" s="86" t="s">
        <v>29</v>
      </c>
      <c r="X1186" s="85" t="e">
        <f t="shared" si="142"/>
        <v>#VALUE!</v>
      </c>
      <c r="Y1186" s="86" t="s">
        <v>29</v>
      </c>
      <c r="Z1186" s="85" t="e">
        <f t="shared" si="143"/>
        <v>#VALUE!</v>
      </c>
      <c r="AA1186" s="115" t="s">
        <v>29</v>
      </c>
      <c r="AB1186" s="115" t="s">
        <v>29</v>
      </c>
    </row>
    <row r="1187" spans="1:32" x14ac:dyDescent="0.3">
      <c r="A1187" s="117"/>
      <c r="B1187" s="6" t="s">
        <v>1308</v>
      </c>
      <c r="E1187" s="92">
        <f>4328570.42/1000</f>
        <v>4328.57042</v>
      </c>
      <c r="F1187" s="92"/>
      <c r="G1187" s="92"/>
      <c r="H1187" s="92">
        <f>4328570.42/1000</f>
        <v>4328.57042</v>
      </c>
      <c r="I1187" s="92"/>
      <c r="J1187" s="92"/>
      <c r="K1187" s="92"/>
      <c r="L1187" s="92"/>
      <c r="M1187" s="92"/>
      <c r="N1187" s="92"/>
      <c r="O1187" s="92"/>
      <c r="P1187" s="92">
        <v>0</v>
      </c>
      <c r="Q1187" s="92"/>
      <c r="R1187" s="92"/>
      <c r="S1187" s="92"/>
      <c r="T1187" s="92"/>
      <c r="U1187" s="92"/>
      <c r="V1187" s="92"/>
      <c r="W1187" s="92"/>
      <c r="X1187" s="92">
        <f>+H1187+P1187</f>
        <v>4328.57042</v>
      </c>
      <c r="Y1187" s="92"/>
      <c r="Z1187" s="92">
        <f>+E1187-X1187</f>
        <v>0</v>
      </c>
      <c r="AA1187" s="115"/>
      <c r="AB1187" s="115"/>
    </row>
    <row r="1188" spans="1:32" x14ac:dyDescent="0.3">
      <c r="A1188" s="117">
        <v>55</v>
      </c>
      <c r="B1188" s="68" t="s">
        <v>285</v>
      </c>
      <c r="E1188" s="85">
        <f>125926189.83/1000</f>
        <v>125926.18983</v>
      </c>
      <c r="F1188" s="85">
        <f t="shared" ref="F1188:AB1188" si="144">SUM(F1169:F1185)</f>
        <v>35618.83584</v>
      </c>
      <c r="G1188" s="85">
        <f t="shared" si="144"/>
        <v>0</v>
      </c>
      <c r="H1188" s="85">
        <f>122049165.34/1000</f>
        <v>122049.16534000001</v>
      </c>
      <c r="I1188" s="85">
        <f t="shared" si="144"/>
        <v>300</v>
      </c>
      <c r="J1188" s="85">
        <f t="shared" si="144"/>
        <v>300</v>
      </c>
      <c r="K1188" s="85">
        <f t="shared" si="144"/>
        <v>0</v>
      </c>
      <c r="L1188" s="85">
        <f t="shared" si="144"/>
        <v>0</v>
      </c>
      <c r="M1188" s="85">
        <f t="shared" si="144"/>
        <v>35618.83584</v>
      </c>
      <c r="N1188" s="85">
        <f t="shared" si="144"/>
        <v>3877.0244899999998</v>
      </c>
      <c r="O1188" s="85">
        <f t="shared" si="144"/>
        <v>0</v>
      </c>
      <c r="P1188" s="85">
        <f>3877024/1000</f>
        <v>3877.0239999999999</v>
      </c>
      <c r="Q1188" s="85">
        <f t="shared" si="144"/>
        <v>0</v>
      </c>
      <c r="R1188" s="85">
        <f t="shared" si="144"/>
        <v>0</v>
      </c>
      <c r="S1188" s="85">
        <f t="shared" si="144"/>
        <v>0</v>
      </c>
      <c r="T1188" s="85">
        <f t="shared" si="144"/>
        <v>0</v>
      </c>
      <c r="U1188" s="85">
        <f t="shared" si="144"/>
        <v>3877.0244899999998</v>
      </c>
      <c r="V1188" s="85">
        <f t="shared" si="144"/>
        <v>39495.860330000003</v>
      </c>
      <c r="W1188" s="85">
        <f t="shared" si="144"/>
        <v>0</v>
      </c>
      <c r="X1188" s="85">
        <f>+H1188+P1188</f>
        <v>125926.18934000001</v>
      </c>
      <c r="Y1188" s="85">
        <f t="shared" si="144"/>
        <v>0</v>
      </c>
      <c r="Z1188" s="85">
        <f t="shared" si="143"/>
        <v>4.8999999125953764E-4</v>
      </c>
      <c r="AA1188" s="69">
        <f t="shared" si="144"/>
        <v>39495.860330000003</v>
      </c>
      <c r="AB1188" s="69">
        <f t="shared" si="144"/>
        <v>0</v>
      </c>
    </row>
    <row r="1189" spans="1:32" x14ac:dyDescent="0.3">
      <c r="A1189" s="117"/>
      <c r="E1189" s="86"/>
      <c r="F1189" s="86"/>
      <c r="G1189" s="86"/>
      <c r="H1189" s="86"/>
      <c r="I1189" s="86"/>
      <c r="J1189" s="86"/>
      <c r="K1189" s="86"/>
      <c r="L1189" s="86"/>
      <c r="M1189" s="86"/>
      <c r="N1189" s="86"/>
      <c r="O1189" s="86"/>
      <c r="P1189" s="86"/>
      <c r="Q1189" s="86"/>
      <c r="R1189" s="86"/>
      <c r="S1189" s="86"/>
      <c r="T1189" s="86"/>
      <c r="U1189" s="86"/>
      <c r="V1189" s="86"/>
      <c r="W1189" s="86"/>
      <c r="X1189" s="86"/>
      <c r="Y1189" s="86"/>
      <c r="Z1189" s="86"/>
      <c r="AA1189" s="115"/>
      <c r="AB1189" s="115"/>
      <c r="AF1189" s="123"/>
    </row>
    <row r="1190" spans="1:32" x14ac:dyDescent="0.3">
      <c r="A1190" s="117"/>
      <c r="C1190" s="68" t="s">
        <v>3</v>
      </c>
      <c r="E1190" s="82">
        <f>+E984+E989+E1013+E1033+E1049+E1065+E1085+E1106+E1129+E1143+E1166+E1187+E1188</f>
        <v>2277797.65943</v>
      </c>
      <c r="F1190" s="82">
        <f t="shared" ref="F1190:AB1190" si="145">F1188+F1166+F1143+F1129+F1106+F1085+F1065+F1049+F1033+F1013+F989+F984</f>
        <v>514755.83102000004</v>
      </c>
      <c r="G1190" s="82">
        <f t="shared" si="145"/>
        <v>250</v>
      </c>
      <c r="H1190" s="82">
        <f>+H984+H989+H1013+H1033+H1049+H1065+H1085+H1106+H1129+H1143+H1166+H1187+H1188</f>
        <v>2163204.5468800003</v>
      </c>
      <c r="I1190" s="82">
        <f t="shared" si="145"/>
        <v>13430.469430000001</v>
      </c>
      <c r="J1190" s="82">
        <f t="shared" si="145"/>
        <v>13430.469430000001</v>
      </c>
      <c r="K1190" s="82">
        <f t="shared" si="145"/>
        <v>0</v>
      </c>
      <c r="L1190" s="82">
        <f t="shared" si="145"/>
        <v>0</v>
      </c>
      <c r="M1190" s="82">
        <f t="shared" si="145"/>
        <v>515005.83102000004</v>
      </c>
      <c r="N1190" s="82">
        <f t="shared" si="145"/>
        <v>113880.2714</v>
      </c>
      <c r="O1190" s="82">
        <f t="shared" si="145"/>
        <v>0</v>
      </c>
      <c r="P1190" s="82">
        <f>+P984+P989+P1013+P1033+P1049+P1065+P1085+P1106+P1129+P1143+P1166+P1187+P1188</f>
        <v>113880.26455000001</v>
      </c>
      <c r="Q1190" s="82">
        <f t="shared" si="145"/>
        <v>37.806410000000007</v>
      </c>
      <c r="R1190" s="82">
        <f t="shared" si="145"/>
        <v>0</v>
      </c>
      <c r="S1190" s="82">
        <f t="shared" si="145"/>
        <v>90.390740000000008</v>
      </c>
      <c r="T1190" s="82">
        <f t="shared" si="145"/>
        <v>128.19715000000002</v>
      </c>
      <c r="U1190" s="82">
        <f t="shared" si="145"/>
        <v>114008.46855000001</v>
      </c>
      <c r="V1190" s="82">
        <f t="shared" si="145"/>
        <v>591426.27461999992</v>
      </c>
      <c r="W1190" s="82">
        <f t="shared" si="145"/>
        <v>712.84114999999997</v>
      </c>
      <c r="X1190" s="82">
        <f>+X984+X989+X1013+X1033+X1049+X1065+X1085+X1106+X1129+X1143+X1166+X1187+X1188</f>
        <v>2277084.8114299998</v>
      </c>
      <c r="Y1190" s="82">
        <f t="shared" si="145"/>
        <v>0</v>
      </c>
      <c r="Z1190" s="82">
        <f>+Z984+Z989+Z1013+Z1033+Z1049+Z1065+Z1085+Z1106+Z1129+Z1143+Z1166+Z1187+Z1188</f>
        <v>712.84799999998359</v>
      </c>
      <c r="AA1190" s="69">
        <f t="shared" si="145"/>
        <v>629014.29957000003</v>
      </c>
      <c r="AB1190" s="69">
        <f t="shared" si="145"/>
        <v>584.64400000000001</v>
      </c>
    </row>
    <row r="1191" spans="1:32" x14ac:dyDescent="0.3">
      <c r="A1191" s="117"/>
      <c r="E1191" s="92"/>
      <c r="F1191" s="86"/>
      <c r="G1191" s="86"/>
      <c r="H1191" s="86"/>
      <c r="I1191" s="86"/>
      <c r="J1191" s="86"/>
      <c r="K1191" s="86"/>
      <c r="L1191" s="86"/>
      <c r="M1191" s="86"/>
      <c r="N1191" s="86"/>
      <c r="O1191" s="86"/>
      <c r="P1191" s="86"/>
      <c r="Q1191" s="86"/>
      <c r="R1191" s="86"/>
      <c r="S1191" s="86"/>
      <c r="T1191" s="86"/>
      <c r="U1191" s="86"/>
      <c r="V1191" s="86"/>
      <c r="W1191" s="86"/>
      <c r="X1191" s="92"/>
      <c r="Y1191" s="86"/>
      <c r="Z1191" s="86"/>
      <c r="AA1191" s="115" t="s">
        <v>114</v>
      </c>
      <c r="AB1191" s="115" t="s">
        <v>114</v>
      </c>
    </row>
    <row r="1192" spans="1:32" hidden="1" x14ac:dyDescent="0.3">
      <c r="A1192" s="117"/>
      <c r="E1192" s="86"/>
      <c r="F1192" s="86"/>
      <c r="G1192" s="86"/>
      <c r="H1192" s="86"/>
      <c r="I1192" s="86"/>
      <c r="J1192" s="86"/>
      <c r="K1192" s="86"/>
      <c r="L1192" s="86"/>
      <c r="M1192" s="86"/>
      <c r="N1192" s="86"/>
      <c r="O1192" s="86"/>
      <c r="P1192" s="86"/>
      <c r="Q1192" s="86"/>
      <c r="R1192" s="86"/>
      <c r="S1192" s="86"/>
      <c r="T1192" s="86"/>
      <c r="U1192" s="86"/>
      <c r="V1192" s="86"/>
      <c r="W1192" s="86"/>
      <c r="X1192" s="86"/>
      <c r="Y1192" s="86"/>
      <c r="Z1192" s="86"/>
      <c r="AA1192" s="118"/>
    </row>
    <row r="1193" spans="1:32" x14ac:dyDescent="0.3">
      <c r="A1193" s="117"/>
      <c r="B1193" s="68" t="s">
        <v>673</v>
      </c>
      <c r="E1193" s="84"/>
      <c r="F1193" s="84"/>
      <c r="G1193" s="84"/>
      <c r="H1193" s="84"/>
      <c r="I1193" s="84"/>
      <c r="J1193" s="84"/>
      <c r="K1193" s="84"/>
      <c r="L1193" s="84"/>
      <c r="M1193" s="84"/>
      <c r="N1193" s="84"/>
      <c r="O1193" s="84"/>
      <c r="P1193" s="84"/>
      <c r="Q1193" s="84"/>
      <c r="R1193" s="86"/>
      <c r="S1193" s="86"/>
      <c r="T1193" s="86"/>
      <c r="U1193" s="86"/>
      <c r="V1193" s="86"/>
      <c r="W1193" s="86"/>
      <c r="X1193" s="124"/>
      <c r="Y1193" s="86"/>
      <c r="Z1193" s="86"/>
    </row>
    <row r="1194" spans="1:32" hidden="1" x14ac:dyDescent="0.3">
      <c r="A1194" s="117"/>
      <c r="B1194" s="68"/>
      <c r="E1194" s="84"/>
      <c r="F1194" s="84"/>
      <c r="G1194" s="84"/>
      <c r="H1194" s="84"/>
      <c r="I1194" s="84"/>
      <c r="J1194" s="84"/>
      <c r="K1194" s="84"/>
      <c r="L1194" s="84"/>
      <c r="M1194" s="84"/>
      <c r="N1194" s="84"/>
      <c r="O1194" s="84"/>
      <c r="P1194" s="84"/>
      <c r="Q1194" s="84"/>
      <c r="R1194" s="86"/>
      <c r="S1194" s="86"/>
      <c r="T1194" s="86"/>
      <c r="U1194" s="86"/>
      <c r="V1194" s="86"/>
      <c r="W1194" s="86"/>
      <c r="X1194" s="86"/>
      <c r="Y1194" s="86"/>
      <c r="Z1194" s="86"/>
    </row>
    <row r="1195" spans="1:32" hidden="1" x14ac:dyDescent="0.3">
      <c r="A1195" s="105"/>
      <c r="E1195" s="84"/>
      <c r="F1195" s="84"/>
      <c r="G1195" s="84"/>
      <c r="H1195" s="84"/>
      <c r="I1195" s="84"/>
      <c r="J1195" s="84"/>
      <c r="K1195" s="84"/>
      <c r="L1195" s="84"/>
      <c r="M1195" s="84"/>
      <c r="N1195" s="84"/>
      <c r="O1195" s="84"/>
      <c r="P1195" s="84"/>
      <c r="Q1195" s="84"/>
      <c r="R1195" s="86"/>
      <c r="S1195" s="86"/>
      <c r="T1195" s="86"/>
      <c r="U1195" s="86"/>
      <c r="V1195" s="86"/>
      <c r="W1195" s="86"/>
      <c r="X1195" s="86"/>
      <c r="Y1195" s="86"/>
      <c r="Z1195" s="86"/>
    </row>
    <row r="1196" spans="1:32" hidden="1" x14ac:dyDescent="0.3">
      <c r="A1196" s="117"/>
      <c r="C1196" s="68" t="s">
        <v>675</v>
      </c>
      <c r="D1196" s="145" t="s">
        <v>76</v>
      </c>
      <c r="E1196" s="85">
        <f>STATS1003B!E1197/1000</f>
        <v>2232.0402200000003</v>
      </c>
      <c r="F1196" s="85">
        <f>STATS1003B!F1197/1000</f>
        <v>1833.69569</v>
      </c>
      <c r="G1196" s="85">
        <f>STATS1003B!G1197/1000</f>
        <v>0</v>
      </c>
      <c r="H1196" s="85">
        <f>STATS1003B!H1197/1000</f>
        <v>1833.69569</v>
      </c>
      <c r="I1196" s="85">
        <f>STATS1003B!I1197/1000</f>
        <v>0</v>
      </c>
      <c r="J1196" s="85">
        <f>STATS1003B!J1197/1000</f>
        <v>1833.69569</v>
      </c>
      <c r="K1196" s="85">
        <f>STATS1003B!K1197/1000</f>
        <v>398.34453000000002</v>
      </c>
      <c r="L1196" s="85">
        <f>STATS1003B!L1197/1000</f>
        <v>0</v>
      </c>
      <c r="M1196" s="85">
        <f>STATS1003B!M1197/1000</f>
        <v>1833.69569</v>
      </c>
      <c r="N1196" s="85">
        <f>STATS1003B!N1197/1000</f>
        <v>398.34453000000002</v>
      </c>
      <c r="O1196" s="85">
        <f>STATS1003B!O1197/1000</f>
        <v>0</v>
      </c>
      <c r="P1196" s="85">
        <f>STATS1003B!P1197/1000</f>
        <v>398.34453000000002</v>
      </c>
      <c r="Q1196" s="85">
        <f>STATS1003B!Q1197/1000</f>
        <v>1833.6956900000002</v>
      </c>
      <c r="R1196" s="85">
        <f>STATS1003B!R1197/1000</f>
        <v>0</v>
      </c>
      <c r="S1196" s="85">
        <f>STATS1003B!S1197/1000</f>
        <v>0</v>
      </c>
      <c r="T1196" s="85">
        <f>STATS1003B!T1197/1000</f>
        <v>0</v>
      </c>
      <c r="U1196" s="85">
        <f>STATS1003B!U1197/1000</f>
        <v>398.34453000000002</v>
      </c>
      <c r="V1196" s="85">
        <f>STATS1003B!V1197/1000</f>
        <v>2232.0402199999999</v>
      </c>
      <c r="W1196" s="85">
        <f>STATS1003B!W1197/1000</f>
        <v>0</v>
      </c>
      <c r="X1196" s="85">
        <f>STATS1003B!X1197/1000</f>
        <v>2232.0402199999999</v>
      </c>
      <c r="Y1196" s="85">
        <f>STATS1003B!Y1197/1000</f>
        <v>0</v>
      </c>
      <c r="Z1196" s="85">
        <f>STATS1003B!Z1197/1000</f>
        <v>0</v>
      </c>
      <c r="AA1196" s="69">
        <f>STATS1003B!AA1197/1000</f>
        <v>2232.0402199999999</v>
      </c>
      <c r="AB1196" s="69">
        <f>STATS1003B!AB1197/1000</f>
        <v>0</v>
      </c>
    </row>
    <row r="1197" spans="1:32" hidden="1" x14ac:dyDescent="0.3">
      <c r="A1197" s="117"/>
      <c r="C1197" s="68" t="s">
        <v>539</v>
      </c>
      <c r="D1197" s="145" t="s">
        <v>68</v>
      </c>
      <c r="E1197" s="85">
        <f>STATS1003B!E1198/1000</f>
        <v>3629.9385000000002</v>
      </c>
      <c r="F1197" s="85">
        <f>STATS1003B!F1198/1000</f>
        <v>0</v>
      </c>
      <c r="G1197" s="85">
        <f>STATS1003B!G1198/1000</f>
        <v>0</v>
      </c>
      <c r="H1197" s="85">
        <f>STATS1003B!H1198/1000</f>
        <v>0</v>
      </c>
      <c r="I1197" s="85">
        <f>STATS1003B!I1198/1000</f>
        <v>0</v>
      </c>
      <c r="J1197" s="85">
        <f>STATS1003B!J1198/1000</f>
        <v>0</v>
      </c>
      <c r="K1197" s="85">
        <f>STATS1003B!K1198/1000</f>
        <v>3629.9385000000002</v>
      </c>
      <c r="L1197" s="85">
        <f>STATS1003B!L1198/1000</f>
        <v>0</v>
      </c>
      <c r="M1197" s="85">
        <f>STATS1003B!M1198/1000</f>
        <v>0</v>
      </c>
      <c r="N1197" s="85">
        <f>STATS1003B!N1198/1000</f>
        <v>3629.9385000000002</v>
      </c>
      <c r="O1197" s="85">
        <f>STATS1003B!O1198/1000</f>
        <v>0</v>
      </c>
      <c r="P1197" s="85">
        <f>STATS1003B!P1198/1000</f>
        <v>3629.9385000000002</v>
      </c>
      <c r="Q1197" s="85">
        <f>STATS1003B!Q1198/1000</f>
        <v>0</v>
      </c>
      <c r="R1197" s="85">
        <f>STATS1003B!R1198/1000</f>
        <v>0</v>
      </c>
      <c r="S1197" s="85">
        <f>STATS1003B!S1198/1000</f>
        <v>0</v>
      </c>
      <c r="T1197" s="85">
        <f>STATS1003B!T1198/1000</f>
        <v>0</v>
      </c>
      <c r="U1197" s="85">
        <f>STATS1003B!U1198/1000</f>
        <v>3629.9385000000002</v>
      </c>
      <c r="V1197" s="85">
        <f>STATS1003B!V1198/1000</f>
        <v>3629.9385000000002</v>
      </c>
      <c r="W1197" s="85">
        <f>STATS1003B!W1198/1000</f>
        <v>0</v>
      </c>
      <c r="X1197" s="85">
        <f>STATS1003B!X1198/1000</f>
        <v>3629.9385000000002</v>
      </c>
      <c r="Y1197" s="85">
        <f>STATS1003B!Y1198/1000</f>
        <v>0</v>
      </c>
      <c r="Z1197" s="85">
        <f>STATS1003B!Z1198/1000</f>
        <v>0</v>
      </c>
      <c r="AA1197" s="69">
        <f>STATS1003B!AA1198/1000</f>
        <v>3629.9385000000002</v>
      </c>
      <c r="AB1197" s="69">
        <f>STATS1003B!AB1198/1000</f>
        <v>0</v>
      </c>
    </row>
    <row r="1198" spans="1:32" hidden="1" x14ac:dyDescent="0.3">
      <c r="A1198" s="117"/>
      <c r="C1198" s="68" t="s">
        <v>535</v>
      </c>
      <c r="D1198" s="145" t="s">
        <v>68</v>
      </c>
      <c r="E1198" s="85">
        <f>STATS1003B!E1199/1000</f>
        <v>446.10741999999993</v>
      </c>
      <c r="F1198" s="85">
        <f>STATS1003B!F1199/1000</f>
        <v>0</v>
      </c>
      <c r="G1198" s="85">
        <f>STATS1003B!G1199/1000</f>
        <v>0</v>
      </c>
      <c r="H1198" s="85">
        <f>STATS1003B!H1199/1000</f>
        <v>0</v>
      </c>
      <c r="I1198" s="85">
        <f>STATS1003B!I1199/1000</f>
        <v>0</v>
      </c>
      <c r="J1198" s="85">
        <f>STATS1003B!J1199/1000</f>
        <v>0</v>
      </c>
      <c r="K1198" s="85">
        <f>STATS1003B!K1199/1000</f>
        <v>446.10742000000005</v>
      </c>
      <c r="L1198" s="85">
        <f>STATS1003B!L1199/1000</f>
        <v>0</v>
      </c>
      <c r="M1198" s="85">
        <f>STATS1003B!M1199/1000</f>
        <v>0</v>
      </c>
      <c r="N1198" s="85">
        <f>STATS1003B!N1199/1000</f>
        <v>446.10741999999999</v>
      </c>
      <c r="O1198" s="85">
        <f>STATS1003B!O1199/1000</f>
        <v>0</v>
      </c>
      <c r="P1198" s="85">
        <f>STATS1003B!P1199/1000</f>
        <v>446.10741999999999</v>
      </c>
      <c r="Q1198" s="85">
        <f>STATS1003B!Q1199/1000</f>
        <v>0</v>
      </c>
      <c r="R1198" s="85">
        <f>STATS1003B!R1199/1000</f>
        <v>0</v>
      </c>
      <c r="S1198" s="85">
        <f>STATS1003B!S1199/1000</f>
        <v>0</v>
      </c>
      <c r="T1198" s="85">
        <f>STATS1003B!T1199/1000</f>
        <v>0</v>
      </c>
      <c r="U1198" s="85">
        <f>STATS1003B!U1199/1000</f>
        <v>446.10741999999999</v>
      </c>
      <c r="V1198" s="85">
        <f>STATS1003B!V1199/1000</f>
        <v>446.10741999999999</v>
      </c>
      <c r="W1198" s="85">
        <f>STATS1003B!W1199/1000</f>
        <v>0</v>
      </c>
      <c r="X1198" s="85">
        <f>STATS1003B!X1199/1000</f>
        <v>446.10741999999999</v>
      </c>
      <c r="Y1198" s="85">
        <f>STATS1003B!Y1199/1000</f>
        <v>0</v>
      </c>
      <c r="Z1198" s="85">
        <f>STATS1003B!Z1199/1000</f>
        <v>0</v>
      </c>
      <c r="AA1198" s="69">
        <f>STATS1003B!AA1199/1000</f>
        <v>446.10741999999999</v>
      </c>
      <c r="AB1198" s="69">
        <f>STATS1003B!AB1199/1000</f>
        <v>0</v>
      </c>
    </row>
    <row r="1199" spans="1:32" hidden="1" x14ac:dyDescent="0.3">
      <c r="A1199" s="117"/>
      <c r="C1199" s="68" t="s">
        <v>545</v>
      </c>
      <c r="D1199" s="145" t="s">
        <v>54</v>
      </c>
      <c r="E1199" s="85">
        <f>STATS1003B!E1200/1000</f>
        <v>1953.989</v>
      </c>
      <c r="F1199" s="85">
        <f>STATS1003B!F1200/1000</f>
        <v>0</v>
      </c>
      <c r="G1199" s="85">
        <f>STATS1003B!G1200/1000</f>
        <v>0</v>
      </c>
      <c r="H1199" s="85">
        <f>STATS1003B!H1200/1000</f>
        <v>0</v>
      </c>
      <c r="I1199" s="85">
        <f>STATS1003B!I1200/1000</f>
        <v>0</v>
      </c>
      <c r="J1199" s="85">
        <f>STATS1003B!J1200/1000</f>
        <v>0</v>
      </c>
      <c r="K1199" s="85">
        <f>STATS1003B!K1200/1000</f>
        <v>1953.989</v>
      </c>
      <c r="L1199" s="85">
        <f>STATS1003B!L1200/1000</f>
        <v>0</v>
      </c>
      <c r="M1199" s="85">
        <f>STATS1003B!M1200/1000</f>
        <v>0</v>
      </c>
      <c r="N1199" s="85">
        <f>STATS1003B!N1200/1000</f>
        <v>1953.989</v>
      </c>
      <c r="O1199" s="85">
        <f>STATS1003B!O1200/1000</f>
        <v>0</v>
      </c>
      <c r="P1199" s="85">
        <f>STATS1003B!P1200/1000</f>
        <v>1953.989</v>
      </c>
      <c r="Q1199" s="85">
        <f>STATS1003B!Q1200/1000</f>
        <v>0</v>
      </c>
      <c r="R1199" s="85">
        <f>STATS1003B!R1200/1000</f>
        <v>0</v>
      </c>
      <c r="S1199" s="85">
        <f>STATS1003B!S1200/1000</f>
        <v>0</v>
      </c>
      <c r="T1199" s="85">
        <f>STATS1003B!T1200/1000</f>
        <v>0</v>
      </c>
      <c r="U1199" s="85">
        <f>STATS1003B!U1200/1000</f>
        <v>1953.989</v>
      </c>
      <c r="V1199" s="85">
        <f>STATS1003B!V1200/1000</f>
        <v>1953.989</v>
      </c>
      <c r="W1199" s="85">
        <f>STATS1003B!W1200/1000</f>
        <v>0</v>
      </c>
      <c r="X1199" s="85">
        <f>STATS1003B!X1200/1000</f>
        <v>1953.989</v>
      </c>
      <c r="Y1199" s="85">
        <f>STATS1003B!Y1200/1000</f>
        <v>0</v>
      </c>
      <c r="Z1199" s="85">
        <f>STATS1003B!Z1200/1000</f>
        <v>0</v>
      </c>
      <c r="AA1199" s="69">
        <f>STATS1003B!AA1200/1000</f>
        <v>1953.989</v>
      </c>
      <c r="AB1199" s="69">
        <f>STATS1003B!AB1200/1000</f>
        <v>0</v>
      </c>
    </row>
    <row r="1200" spans="1:32" hidden="1" x14ac:dyDescent="0.3">
      <c r="A1200" s="117"/>
      <c r="C1200" s="68" t="s">
        <v>557</v>
      </c>
      <c r="D1200" s="145" t="s">
        <v>54</v>
      </c>
      <c r="E1200" s="85">
        <f>STATS1003B!E1201/1000</f>
        <v>5307</v>
      </c>
      <c r="F1200" s="85">
        <f>STATS1003B!F1201/1000</f>
        <v>5307</v>
      </c>
      <c r="G1200" s="85">
        <f>STATS1003B!G1201/1000</f>
        <v>0</v>
      </c>
      <c r="H1200" s="85">
        <f>STATS1003B!H1201/1000</f>
        <v>5307</v>
      </c>
      <c r="I1200" s="85">
        <f>STATS1003B!I1201/1000</f>
        <v>0</v>
      </c>
      <c r="J1200" s="85">
        <f>STATS1003B!J1201/1000</f>
        <v>5307</v>
      </c>
      <c r="K1200" s="85">
        <f>STATS1003B!K1201/1000</f>
        <v>0</v>
      </c>
      <c r="L1200" s="85">
        <f>STATS1003B!L1201/1000</f>
        <v>0</v>
      </c>
      <c r="M1200" s="85">
        <f>STATS1003B!M1201/1000</f>
        <v>5307</v>
      </c>
      <c r="N1200" s="85">
        <f>STATS1003B!N1201/1000</f>
        <v>0</v>
      </c>
      <c r="O1200" s="85">
        <f>STATS1003B!O1201/1000</f>
        <v>0</v>
      </c>
      <c r="P1200" s="85">
        <f>STATS1003B!P1201/1000</f>
        <v>0</v>
      </c>
      <c r="Q1200" s="85">
        <f>STATS1003B!Q1201/1000</f>
        <v>5307</v>
      </c>
      <c r="R1200" s="85">
        <f>STATS1003B!R1201/1000</f>
        <v>0</v>
      </c>
      <c r="S1200" s="85">
        <f>STATS1003B!S1201/1000</f>
        <v>0</v>
      </c>
      <c r="T1200" s="85">
        <f>STATS1003B!T1201/1000</f>
        <v>0</v>
      </c>
      <c r="U1200" s="85">
        <f>STATS1003B!U1201/1000</f>
        <v>0</v>
      </c>
      <c r="V1200" s="85">
        <f>STATS1003B!V1201/1000</f>
        <v>5307</v>
      </c>
      <c r="W1200" s="85">
        <f>STATS1003B!W1201/1000</f>
        <v>0</v>
      </c>
      <c r="X1200" s="85">
        <f>STATS1003B!X1201/1000</f>
        <v>5307</v>
      </c>
      <c r="Y1200" s="85">
        <f>STATS1003B!Y1201/1000</f>
        <v>0</v>
      </c>
      <c r="Z1200" s="85">
        <f>STATS1003B!Z1201/1000</f>
        <v>0</v>
      </c>
      <c r="AA1200" s="69">
        <f>STATS1003B!AA1201/1000</f>
        <v>5307</v>
      </c>
      <c r="AB1200" s="69">
        <f>STATS1003B!AB1201/1000</f>
        <v>0</v>
      </c>
    </row>
    <row r="1201" spans="1:28" hidden="1" x14ac:dyDescent="0.3">
      <c r="A1201" s="117"/>
      <c r="C1201" s="68" t="s">
        <v>535</v>
      </c>
      <c r="D1201" s="145" t="s">
        <v>108</v>
      </c>
      <c r="E1201" s="85">
        <f>STATS1003B!E1202/1000</f>
        <v>6610.50288</v>
      </c>
      <c r="F1201" s="85">
        <f>STATS1003B!F1202/1000</f>
        <v>6610.50288</v>
      </c>
      <c r="G1201" s="85">
        <f>STATS1003B!G1202/1000</f>
        <v>0</v>
      </c>
      <c r="H1201" s="85">
        <f>STATS1003B!H1202/1000</f>
        <v>6610.50288</v>
      </c>
      <c r="I1201" s="85">
        <f>STATS1003B!I1202/1000</f>
        <v>0</v>
      </c>
      <c r="J1201" s="85">
        <f>STATS1003B!J1202/1000</f>
        <v>6610.50288</v>
      </c>
      <c r="K1201" s="85">
        <f>STATS1003B!K1202/1000</f>
        <v>0</v>
      </c>
      <c r="L1201" s="85">
        <f>STATS1003B!L1202/1000</f>
        <v>0</v>
      </c>
      <c r="M1201" s="85">
        <f>STATS1003B!M1202/1000</f>
        <v>6610.50288</v>
      </c>
      <c r="N1201" s="85">
        <f>STATS1003B!N1202/1000</f>
        <v>0</v>
      </c>
      <c r="O1201" s="85">
        <f>STATS1003B!O1202/1000</f>
        <v>0</v>
      </c>
      <c r="P1201" s="85">
        <f>STATS1003B!P1202/1000</f>
        <v>0</v>
      </c>
      <c r="Q1201" s="85">
        <f>STATS1003B!Q1202/1000</f>
        <v>6610.50288</v>
      </c>
      <c r="R1201" s="85">
        <f>STATS1003B!R1202/1000</f>
        <v>0</v>
      </c>
      <c r="S1201" s="85">
        <f>STATS1003B!S1202/1000</f>
        <v>0</v>
      </c>
      <c r="T1201" s="85">
        <f>STATS1003B!T1202/1000</f>
        <v>0</v>
      </c>
      <c r="U1201" s="85">
        <f>STATS1003B!U1202/1000</f>
        <v>0</v>
      </c>
      <c r="V1201" s="85">
        <f>STATS1003B!V1202/1000</f>
        <v>6610.50288</v>
      </c>
      <c r="W1201" s="85">
        <f>STATS1003B!W1202/1000</f>
        <v>0</v>
      </c>
      <c r="X1201" s="85">
        <f>STATS1003B!X1202/1000</f>
        <v>6610.50288</v>
      </c>
      <c r="Y1201" s="85">
        <f>STATS1003B!Y1202/1000</f>
        <v>0</v>
      </c>
      <c r="Z1201" s="85">
        <f>STATS1003B!Z1202/1000</f>
        <v>0</v>
      </c>
      <c r="AA1201" s="69">
        <f>STATS1003B!AA1202/1000</f>
        <v>6610.50288</v>
      </c>
      <c r="AB1201" s="69">
        <f>STATS1003B!AB1202/1000</f>
        <v>0</v>
      </c>
    </row>
    <row r="1202" spans="1:28" hidden="1" x14ac:dyDescent="0.3">
      <c r="A1202" s="117"/>
      <c r="C1202" s="68" t="s">
        <v>1193</v>
      </c>
      <c r="D1202" s="90" t="s">
        <v>1126</v>
      </c>
      <c r="E1202" s="85">
        <f>STATS1003B!E1203/1000</f>
        <v>399.40199999999999</v>
      </c>
      <c r="F1202" s="85">
        <f>STATS1003B!F1203/1000</f>
        <v>399.40199999999999</v>
      </c>
      <c r="G1202" s="85">
        <f>STATS1003B!G1203/1000</f>
        <v>0</v>
      </c>
      <c r="H1202" s="85">
        <f>STATS1003B!H1203/1000</f>
        <v>399.40199999999999</v>
      </c>
      <c r="I1202" s="85">
        <f>STATS1003B!I1203/1000</f>
        <v>0</v>
      </c>
      <c r="J1202" s="85">
        <f>STATS1003B!J1203/1000</f>
        <v>399.40199999999999</v>
      </c>
      <c r="K1202" s="85">
        <f>STATS1003B!K1203/1000</f>
        <v>0</v>
      </c>
      <c r="L1202" s="85">
        <f>STATS1003B!L1203/1000</f>
        <v>0</v>
      </c>
      <c r="M1202" s="85">
        <f>STATS1003B!M1203/1000</f>
        <v>399.40199999999999</v>
      </c>
      <c r="N1202" s="85">
        <f>STATS1003B!N1203/1000</f>
        <v>0</v>
      </c>
      <c r="O1202" s="85">
        <f>STATS1003B!O1203/1000</f>
        <v>0</v>
      </c>
      <c r="P1202" s="85">
        <f>STATS1003B!P1203/1000</f>
        <v>0</v>
      </c>
      <c r="Q1202" s="85">
        <f>STATS1003B!Q1203/1000</f>
        <v>399.40199999999999</v>
      </c>
      <c r="R1202" s="85">
        <f>STATS1003B!R1203/1000</f>
        <v>0</v>
      </c>
      <c r="S1202" s="85">
        <f>STATS1003B!S1203/1000</f>
        <v>0</v>
      </c>
      <c r="T1202" s="85">
        <f>STATS1003B!T1203/1000</f>
        <v>0</v>
      </c>
      <c r="U1202" s="85">
        <f>STATS1003B!U1203/1000</f>
        <v>0</v>
      </c>
      <c r="V1202" s="85">
        <f>STATS1003B!V1203/1000</f>
        <v>399.40199999999999</v>
      </c>
      <c r="W1202" s="85">
        <f>STATS1003B!W1203/1000</f>
        <v>0</v>
      </c>
      <c r="X1202" s="85">
        <f>STATS1003B!X1203/1000</f>
        <v>399.40199999999999</v>
      </c>
      <c r="Y1202" s="85">
        <f>STATS1003B!Y1203/1000</f>
        <v>0</v>
      </c>
      <c r="Z1202" s="85">
        <f>STATS1003B!Z1203/1000</f>
        <v>0</v>
      </c>
      <c r="AA1202" s="69">
        <f>STATS1003B!AA1203/1000</f>
        <v>399.40199999999999</v>
      </c>
      <c r="AB1202" s="69">
        <f>STATS1003B!AB1203/1000</f>
        <v>0</v>
      </c>
    </row>
    <row r="1203" spans="1:28" hidden="1" x14ac:dyDescent="0.3">
      <c r="A1203" s="117"/>
      <c r="C1203" s="68" t="s">
        <v>535</v>
      </c>
      <c r="D1203" s="145" t="s">
        <v>58</v>
      </c>
      <c r="E1203" s="85">
        <f>STATS1003B!E1204/1000</f>
        <v>6526.8738400000002</v>
      </c>
      <c r="F1203" s="85">
        <f>STATS1003B!F1204/1000</f>
        <v>6526.8738400000002</v>
      </c>
      <c r="G1203" s="85">
        <f>STATS1003B!G1204/1000</f>
        <v>0</v>
      </c>
      <c r="H1203" s="85">
        <f>STATS1003B!H1204/1000</f>
        <v>6526.8738400000002</v>
      </c>
      <c r="I1203" s="85">
        <f>STATS1003B!I1204/1000</f>
        <v>0</v>
      </c>
      <c r="J1203" s="85">
        <f>STATS1003B!J1204/1000</f>
        <v>6526.8738400000002</v>
      </c>
      <c r="K1203" s="85">
        <f>STATS1003B!K1204/1000</f>
        <v>0</v>
      </c>
      <c r="L1203" s="85">
        <f>STATS1003B!L1204/1000</f>
        <v>0</v>
      </c>
      <c r="M1203" s="85">
        <f>STATS1003B!M1204/1000</f>
        <v>6526.8738400000002</v>
      </c>
      <c r="N1203" s="85">
        <f>STATS1003B!N1204/1000</f>
        <v>0</v>
      </c>
      <c r="O1203" s="85">
        <f>STATS1003B!O1204/1000</f>
        <v>0</v>
      </c>
      <c r="P1203" s="85">
        <f>STATS1003B!P1204/1000</f>
        <v>0</v>
      </c>
      <c r="Q1203" s="85">
        <f>STATS1003B!Q1204/1000</f>
        <v>6526.8738400000002</v>
      </c>
      <c r="R1203" s="85">
        <f>STATS1003B!R1204/1000</f>
        <v>0</v>
      </c>
      <c r="S1203" s="85">
        <f>STATS1003B!S1204/1000</f>
        <v>0</v>
      </c>
      <c r="T1203" s="85">
        <f>STATS1003B!T1204/1000</f>
        <v>0</v>
      </c>
      <c r="U1203" s="85">
        <f>STATS1003B!U1204/1000</f>
        <v>0</v>
      </c>
      <c r="V1203" s="85">
        <f>STATS1003B!V1204/1000</f>
        <v>6526.8738400000002</v>
      </c>
      <c r="W1203" s="85">
        <f>STATS1003B!W1204/1000</f>
        <v>0</v>
      </c>
      <c r="X1203" s="85">
        <f>STATS1003B!X1204/1000</f>
        <v>6526.8738400000002</v>
      </c>
      <c r="Y1203" s="85">
        <f>STATS1003B!Y1204/1000</f>
        <v>0</v>
      </c>
      <c r="Z1203" s="85">
        <f>STATS1003B!Z1204/1000</f>
        <v>0</v>
      </c>
      <c r="AA1203" s="69">
        <f>STATS1003B!AA1204/1000</f>
        <v>6526.8738400000002</v>
      </c>
      <c r="AB1203" s="69">
        <f>STATS1003B!AB1204/1000</f>
        <v>0</v>
      </c>
    </row>
    <row r="1204" spans="1:28" hidden="1" x14ac:dyDescent="0.3">
      <c r="A1204" s="117"/>
      <c r="C1204" s="68" t="s">
        <v>535</v>
      </c>
      <c r="D1204" s="145" t="s">
        <v>60</v>
      </c>
      <c r="E1204" s="85">
        <f>STATS1003B!E1205/1000</f>
        <v>4241.2569999999996</v>
      </c>
      <c r="F1204" s="85">
        <f>STATS1003B!F1205/1000</f>
        <v>4241.2569999999996</v>
      </c>
      <c r="G1204" s="85">
        <f>STATS1003B!G1205/1000</f>
        <v>0</v>
      </c>
      <c r="H1204" s="85">
        <f>STATS1003B!H1205/1000</f>
        <v>4241.2569999999996</v>
      </c>
      <c r="I1204" s="85">
        <f>STATS1003B!I1205/1000</f>
        <v>0</v>
      </c>
      <c r="J1204" s="85">
        <f>STATS1003B!J1205/1000</f>
        <v>4241.2569999999996</v>
      </c>
      <c r="K1204" s="85">
        <f>STATS1003B!K1205/1000</f>
        <v>0</v>
      </c>
      <c r="L1204" s="85">
        <f>STATS1003B!L1205/1000</f>
        <v>0</v>
      </c>
      <c r="M1204" s="85">
        <f>STATS1003B!M1205/1000</f>
        <v>4241.2569999999996</v>
      </c>
      <c r="N1204" s="85">
        <f>STATS1003B!N1205/1000</f>
        <v>0</v>
      </c>
      <c r="O1204" s="85">
        <f>STATS1003B!O1205/1000</f>
        <v>0</v>
      </c>
      <c r="P1204" s="85">
        <f>STATS1003B!P1205/1000</f>
        <v>0</v>
      </c>
      <c r="Q1204" s="85">
        <f>STATS1003B!Q1205/1000</f>
        <v>4241.2569999999996</v>
      </c>
      <c r="R1204" s="85">
        <f>STATS1003B!R1205/1000</f>
        <v>0</v>
      </c>
      <c r="S1204" s="85">
        <f>STATS1003B!S1205/1000</f>
        <v>0</v>
      </c>
      <c r="T1204" s="85">
        <f>STATS1003B!T1205/1000</f>
        <v>0</v>
      </c>
      <c r="U1204" s="85">
        <f>STATS1003B!U1205/1000</f>
        <v>0</v>
      </c>
      <c r="V1204" s="85">
        <f>STATS1003B!V1205/1000</f>
        <v>4241.2569999999996</v>
      </c>
      <c r="W1204" s="85">
        <f>STATS1003B!W1205/1000</f>
        <v>0</v>
      </c>
      <c r="X1204" s="85">
        <f>STATS1003B!X1205/1000</f>
        <v>4241.2569999999996</v>
      </c>
      <c r="Y1204" s="85">
        <f>STATS1003B!Y1205/1000</f>
        <v>0</v>
      </c>
      <c r="Z1204" s="85">
        <f>STATS1003B!Z1205/1000</f>
        <v>0</v>
      </c>
      <c r="AA1204" s="69">
        <f>STATS1003B!AA1205/1000</f>
        <v>4241.2569999999996</v>
      </c>
      <c r="AB1204" s="69">
        <f>STATS1003B!AB1205/1000</f>
        <v>0</v>
      </c>
    </row>
    <row r="1205" spans="1:28" hidden="1" x14ac:dyDescent="0.3">
      <c r="A1205" s="117"/>
      <c r="C1205" s="71" t="s">
        <v>535</v>
      </c>
      <c r="D1205" s="88" t="s">
        <v>73</v>
      </c>
      <c r="E1205" s="85">
        <f>STATS1003B!E1206/1000</f>
        <v>5527.7558399999998</v>
      </c>
      <c r="F1205" s="85">
        <f>STATS1003B!F1206/1000</f>
        <v>5527.7558399999998</v>
      </c>
      <c r="G1205" s="85">
        <f>STATS1003B!G1206/1000</f>
        <v>0</v>
      </c>
      <c r="H1205" s="85">
        <f>STATS1003B!H1206/1000</f>
        <v>5527.7558399999998</v>
      </c>
      <c r="I1205" s="85">
        <f>STATS1003B!I1206/1000</f>
        <v>0</v>
      </c>
      <c r="J1205" s="85">
        <f>STATS1003B!J1206/1000</f>
        <v>5527.7558399999998</v>
      </c>
      <c r="K1205" s="85">
        <f>STATS1003B!K1206/1000</f>
        <v>0</v>
      </c>
      <c r="L1205" s="85">
        <f>STATS1003B!L1206/1000</f>
        <v>0</v>
      </c>
      <c r="M1205" s="85">
        <f>STATS1003B!M1206/1000</f>
        <v>5527.7558399999998</v>
      </c>
      <c r="N1205" s="85">
        <f>STATS1003B!N1206/1000</f>
        <v>0</v>
      </c>
      <c r="O1205" s="85">
        <f>STATS1003B!O1206/1000</f>
        <v>0</v>
      </c>
      <c r="P1205" s="85">
        <f>STATS1003B!P1206/1000</f>
        <v>0</v>
      </c>
      <c r="Q1205" s="85">
        <f>STATS1003B!Q1206/1000</f>
        <v>5527.7558399999998</v>
      </c>
      <c r="R1205" s="85">
        <f>STATS1003B!R1206/1000</f>
        <v>0</v>
      </c>
      <c r="S1205" s="85">
        <f>STATS1003B!S1206/1000</f>
        <v>0</v>
      </c>
      <c r="T1205" s="85">
        <f>STATS1003B!T1206/1000</f>
        <v>0</v>
      </c>
      <c r="U1205" s="85">
        <f>STATS1003B!U1206/1000</f>
        <v>0</v>
      </c>
      <c r="V1205" s="85">
        <f>STATS1003B!V1206/1000</f>
        <v>5527.7558399999998</v>
      </c>
      <c r="W1205" s="85">
        <f>STATS1003B!W1206/1000</f>
        <v>0</v>
      </c>
      <c r="X1205" s="85">
        <f>STATS1003B!X1206/1000</f>
        <v>5527.7558399999998</v>
      </c>
      <c r="Y1205" s="85">
        <f>STATS1003B!Y1206/1000</f>
        <v>0</v>
      </c>
      <c r="Z1205" s="85">
        <f>STATS1003B!Z1206/1000</f>
        <v>0</v>
      </c>
      <c r="AA1205" s="69">
        <f>STATS1003B!AA1206/1000</f>
        <v>5527.7558399999998</v>
      </c>
      <c r="AB1205" s="69">
        <f>STATS1003B!AB1206/1000</f>
        <v>0</v>
      </c>
    </row>
    <row r="1206" spans="1:28" hidden="1" x14ac:dyDescent="0.3">
      <c r="A1206" s="117"/>
      <c r="C1206" s="71" t="s">
        <v>535</v>
      </c>
      <c r="D1206" s="88" t="s">
        <v>61</v>
      </c>
      <c r="E1206" s="85">
        <f>STATS1003B!E1207/1000</f>
        <v>4448</v>
      </c>
      <c r="F1206" s="85">
        <f>STATS1003B!F1207/1000</f>
        <v>4448</v>
      </c>
      <c r="G1206" s="85">
        <f>STATS1003B!G1207/1000</f>
        <v>0</v>
      </c>
      <c r="H1206" s="85">
        <f>STATS1003B!H1207/1000</f>
        <v>4448</v>
      </c>
      <c r="I1206" s="85">
        <f>STATS1003B!I1207/1000</f>
        <v>0</v>
      </c>
      <c r="J1206" s="85">
        <f>STATS1003B!J1207/1000</f>
        <v>4448</v>
      </c>
      <c r="K1206" s="85">
        <f>STATS1003B!K1207/1000</f>
        <v>0</v>
      </c>
      <c r="L1206" s="85">
        <f>STATS1003B!L1207/1000</f>
        <v>0</v>
      </c>
      <c r="M1206" s="85">
        <f>STATS1003B!M1207/1000</f>
        <v>4448</v>
      </c>
      <c r="N1206" s="85">
        <f>STATS1003B!N1207/1000</f>
        <v>0</v>
      </c>
      <c r="O1206" s="85">
        <f>STATS1003B!O1207/1000</f>
        <v>0</v>
      </c>
      <c r="P1206" s="85">
        <f>STATS1003B!P1207/1000</f>
        <v>0</v>
      </c>
      <c r="Q1206" s="85">
        <f>STATS1003B!Q1207/1000</f>
        <v>4448</v>
      </c>
      <c r="R1206" s="85">
        <f>STATS1003B!R1207/1000</f>
        <v>0</v>
      </c>
      <c r="S1206" s="85">
        <f>STATS1003B!S1207/1000</f>
        <v>0</v>
      </c>
      <c r="T1206" s="85">
        <f>STATS1003B!T1207/1000</f>
        <v>0</v>
      </c>
      <c r="U1206" s="85">
        <f>STATS1003B!U1207/1000</f>
        <v>0</v>
      </c>
      <c r="V1206" s="85">
        <f>STATS1003B!V1207/1000</f>
        <v>4448</v>
      </c>
      <c r="W1206" s="85">
        <f>STATS1003B!W1207/1000</f>
        <v>0</v>
      </c>
      <c r="X1206" s="85">
        <f>STATS1003B!X1207/1000</f>
        <v>4448</v>
      </c>
      <c r="Y1206" s="85">
        <f>STATS1003B!Y1207/1000</f>
        <v>0</v>
      </c>
      <c r="Z1206" s="85">
        <f>STATS1003B!Z1207/1000</f>
        <v>0</v>
      </c>
      <c r="AA1206" s="69">
        <f>STATS1003B!AA1207/1000</f>
        <v>4448</v>
      </c>
      <c r="AB1206" s="69">
        <f>STATS1003B!AB1207/1000</f>
        <v>0</v>
      </c>
    </row>
    <row r="1207" spans="1:28" hidden="1" x14ac:dyDescent="0.3">
      <c r="A1207" s="117"/>
      <c r="C1207" s="95" t="s">
        <v>933</v>
      </c>
      <c r="D1207" s="89" t="s">
        <v>1072</v>
      </c>
      <c r="E1207" s="85">
        <f>STATS1003B!E1208/1000</f>
        <v>3544</v>
      </c>
      <c r="F1207" s="85">
        <f>STATS1003B!F1208/1000</f>
        <v>3544</v>
      </c>
      <c r="G1207" s="85">
        <f>STATS1003B!G1208/1000</f>
        <v>0</v>
      </c>
      <c r="H1207" s="85">
        <f>STATS1003B!H1208/1000</f>
        <v>3544</v>
      </c>
      <c r="I1207" s="85">
        <f>STATS1003B!I1208/1000</f>
        <v>0</v>
      </c>
      <c r="J1207" s="85">
        <f>STATS1003B!J1208/1000</f>
        <v>3544</v>
      </c>
      <c r="K1207" s="85">
        <f>STATS1003B!K1208/1000</f>
        <v>0</v>
      </c>
      <c r="L1207" s="85">
        <f>STATS1003B!L1208/1000</f>
        <v>0</v>
      </c>
      <c r="M1207" s="85">
        <f>STATS1003B!M1208/1000</f>
        <v>3544</v>
      </c>
      <c r="N1207" s="85">
        <f>STATS1003B!N1208/1000</f>
        <v>0</v>
      </c>
      <c r="O1207" s="85">
        <f>STATS1003B!O1208/1000</f>
        <v>0</v>
      </c>
      <c r="P1207" s="85">
        <f>STATS1003B!P1208/1000</f>
        <v>0</v>
      </c>
      <c r="Q1207" s="85">
        <f>STATS1003B!Q1208/1000</f>
        <v>0</v>
      </c>
      <c r="R1207" s="85">
        <f>STATS1003B!R1208/1000</f>
        <v>0</v>
      </c>
      <c r="S1207" s="85">
        <f>STATS1003B!S1208/1000</f>
        <v>0</v>
      </c>
      <c r="T1207" s="85">
        <f>STATS1003B!T1208/1000</f>
        <v>0</v>
      </c>
      <c r="U1207" s="85">
        <f>STATS1003B!U1208/1000</f>
        <v>0</v>
      </c>
      <c r="V1207" s="85">
        <f>STATS1003B!V1208/1000</f>
        <v>3544</v>
      </c>
      <c r="W1207" s="85">
        <f>STATS1003B!W1208/1000</f>
        <v>0</v>
      </c>
      <c r="X1207" s="85">
        <f>STATS1003B!X1208/1000</f>
        <v>3544</v>
      </c>
      <c r="Y1207" s="85">
        <f>STATS1003B!Y1208/1000</f>
        <v>0</v>
      </c>
      <c r="Z1207" s="85">
        <f>STATS1003B!Z1208/1000</f>
        <v>0</v>
      </c>
      <c r="AA1207" s="69">
        <f>STATS1003B!AA1208/1000</f>
        <v>3544</v>
      </c>
      <c r="AB1207" s="69">
        <f>STATS1003B!AB1208/1000</f>
        <v>0</v>
      </c>
    </row>
    <row r="1208" spans="1:28" hidden="1" x14ac:dyDescent="0.3">
      <c r="A1208" s="117"/>
      <c r="C1208" s="71" t="s">
        <v>1173</v>
      </c>
      <c r="D1208" s="89" t="s">
        <v>1126</v>
      </c>
      <c r="E1208" s="85">
        <f>STATS1003B!E1209/1000</f>
        <v>6850.1305499999999</v>
      </c>
      <c r="F1208" s="85">
        <f>STATS1003B!F1209/1000</f>
        <v>6850.1305499999999</v>
      </c>
      <c r="G1208" s="85">
        <f>STATS1003B!G1209/1000</f>
        <v>0</v>
      </c>
      <c r="H1208" s="85">
        <f>STATS1003B!H1209/1000</f>
        <v>6850.1305499999999</v>
      </c>
      <c r="I1208" s="85">
        <f>STATS1003B!I1209/1000</f>
        <v>0</v>
      </c>
      <c r="J1208" s="85">
        <f>STATS1003B!J1209/1000</f>
        <v>6850.1305499999999</v>
      </c>
      <c r="K1208" s="85">
        <f>STATS1003B!K1209/1000</f>
        <v>0</v>
      </c>
      <c r="L1208" s="85">
        <f>STATS1003B!L1209/1000</f>
        <v>0</v>
      </c>
      <c r="M1208" s="85">
        <f>STATS1003B!M1209/1000</f>
        <v>6850.1305499999999</v>
      </c>
      <c r="N1208" s="85">
        <f>STATS1003B!N1209/1000</f>
        <v>0</v>
      </c>
      <c r="O1208" s="85">
        <f>STATS1003B!O1209/1000</f>
        <v>0</v>
      </c>
      <c r="P1208" s="85">
        <f>STATS1003B!P1209/1000</f>
        <v>0</v>
      </c>
      <c r="Q1208" s="85">
        <f>STATS1003B!Q1209/1000</f>
        <v>0</v>
      </c>
      <c r="R1208" s="85">
        <f>STATS1003B!R1209/1000</f>
        <v>0</v>
      </c>
      <c r="S1208" s="85">
        <f>STATS1003B!S1209/1000</f>
        <v>0</v>
      </c>
      <c r="T1208" s="85">
        <f>STATS1003B!T1209/1000</f>
        <v>0</v>
      </c>
      <c r="U1208" s="85">
        <f>STATS1003B!U1209/1000</f>
        <v>0</v>
      </c>
      <c r="V1208" s="85">
        <f>STATS1003B!V1209/1000</f>
        <v>6850.1305499999999</v>
      </c>
      <c r="W1208" s="85">
        <f>STATS1003B!W1209/1000</f>
        <v>0</v>
      </c>
      <c r="X1208" s="85">
        <f>STATS1003B!X1209/1000</f>
        <v>6850.1305499999999</v>
      </c>
      <c r="Y1208" s="85">
        <f>STATS1003B!Y1209/1000</f>
        <v>0</v>
      </c>
      <c r="Z1208" s="85">
        <f>STATS1003B!Z1209/1000</f>
        <v>0</v>
      </c>
      <c r="AA1208" s="69">
        <f>STATS1003B!AA1209/1000</f>
        <v>6850.1305499999999</v>
      </c>
      <c r="AB1208" s="69">
        <f>STATS1003B!AB1209/1000</f>
        <v>0</v>
      </c>
    </row>
    <row r="1209" spans="1:28" hidden="1" x14ac:dyDescent="0.3">
      <c r="A1209" s="117"/>
      <c r="C1209" s="71" t="s">
        <v>1245</v>
      </c>
      <c r="D1209" s="89" t="s">
        <v>1225</v>
      </c>
      <c r="E1209" s="85">
        <f>STATS1003B!E1210/1000</f>
        <v>5394.5307999999995</v>
      </c>
      <c r="F1209" s="85">
        <f>STATS1003B!F1210/1000</f>
        <v>0</v>
      </c>
      <c r="G1209" s="85">
        <f>STATS1003B!G1210/1000</f>
        <v>5394.5307999999995</v>
      </c>
      <c r="H1209" s="85">
        <f>STATS1003B!H1210/1000</f>
        <v>5394.5307999999995</v>
      </c>
      <c r="I1209" s="85">
        <f>STATS1003B!I1210/1000</f>
        <v>0</v>
      </c>
      <c r="J1209" s="85">
        <f>STATS1003B!J1210/1000</f>
        <v>0</v>
      </c>
      <c r="K1209" s="85">
        <f>STATS1003B!K1210/1000</f>
        <v>0</v>
      </c>
      <c r="L1209" s="85">
        <f>STATS1003B!L1210/1000</f>
        <v>0</v>
      </c>
      <c r="M1209" s="85">
        <f>STATS1003B!M1210/1000</f>
        <v>5394.5307999999995</v>
      </c>
      <c r="N1209" s="85">
        <f>STATS1003B!N1210/1000</f>
        <v>0</v>
      </c>
      <c r="O1209" s="85">
        <f>STATS1003B!O1210/1000</f>
        <v>0</v>
      </c>
      <c r="P1209" s="85">
        <f>STATS1003B!P1210/1000</f>
        <v>0</v>
      </c>
      <c r="Q1209" s="85">
        <f>STATS1003B!Q1210/1000</f>
        <v>0</v>
      </c>
      <c r="R1209" s="85">
        <f>STATS1003B!R1210/1000</f>
        <v>0</v>
      </c>
      <c r="S1209" s="85">
        <f>STATS1003B!S1210/1000</f>
        <v>0</v>
      </c>
      <c r="T1209" s="85">
        <f>STATS1003B!T1210/1000</f>
        <v>0</v>
      </c>
      <c r="U1209" s="85">
        <f>STATS1003B!U1210/1000</f>
        <v>0</v>
      </c>
      <c r="V1209" s="85">
        <f>STATS1003B!V1210/1000</f>
        <v>5394.5307999999995</v>
      </c>
      <c r="W1209" s="85">
        <f>STATS1003B!W1210/1000</f>
        <v>0</v>
      </c>
      <c r="X1209" s="85">
        <f>STATS1003B!X1210/1000</f>
        <v>5394.5307999999995</v>
      </c>
      <c r="Y1209" s="85">
        <f>STATS1003B!Y1210/1000</f>
        <v>0</v>
      </c>
      <c r="Z1209" s="85">
        <f>STATS1003B!Z1210/1000</f>
        <v>0</v>
      </c>
      <c r="AA1209" s="69">
        <f>STATS1003B!AA1210/1000</f>
        <v>5394.5307999999995</v>
      </c>
      <c r="AB1209" s="69">
        <f>STATS1003B!AB1210/1000</f>
        <v>0</v>
      </c>
    </row>
    <row r="1210" spans="1:28" hidden="1" x14ac:dyDescent="0.3">
      <c r="A1210" s="117"/>
      <c r="C1210" s="68" t="s">
        <v>577</v>
      </c>
      <c r="E1210" s="85">
        <f>STATS1003B!E1211/1000</f>
        <v>1089.33439</v>
      </c>
      <c r="F1210" s="85">
        <f>STATS1003B!F1211/1000</f>
        <v>1089.33439</v>
      </c>
      <c r="G1210" s="85">
        <f>STATS1003B!G1211/1000</f>
        <v>0</v>
      </c>
      <c r="H1210" s="85">
        <f>STATS1003B!H1211/1000</f>
        <v>1089.33439</v>
      </c>
      <c r="I1210" s="85">
        <f>STATS1003B!I1211/1000</f>
        <v>0</v>
      </c>
      <c r="J1210" s="85">
        <f>STATS1003B!J1211/1000</f>
        <v>1089.33439</v>
      </c>
      <c r="K1210" s="85">
        <f>STATS1003B!K1211/1000</f>
        <v>0</v>
      </c>
      <c r="L1210" s="85">
        <f>STATS1003B!L1211/1000</f>
        <v>0</v>
      </c>
      <c r="M1210" s="85">
        <f>STATS1003B!M1211/1000</f>
        <v>1089.33439</v>
      </c>
      <c r="N1210" s="85">
        <f>STATS1003B!N1211/1000</f>
        <v>0</v>
      </c>
      <c r="O1210" s="85">
        <f>STATS1003B!O1211/1000</f>
        <v>0</v>
      </c>
      <c r="P1210" s="85">
        <f>STATS1003B!P1211/1000</f>
        <v>0</v>
      </c>
      <c r="Q1210" s="85">
        <f>STATS1003B!Q1211/1000</f>
        <v>1089.33439</v>
      </c>
      <c r="R1210" s="85">
        <f>STATS1003B!R1211/1000</f>
        <v>0</v>
      </c>
      <c r="S1210" s="85">
        <f>STATS1003B!S1211/1000</f>
        <v>0</v>
      </c>
      <c r="T1210" s="85">
        <f>STATS1003B!T1211/1000</f>
        <v>0</v>
      </c>
      <c r="U1210" s="85">
        <f>STATS1003B!U1211/1000</f>
        <v>0</v>
      </c>
      <c r="V1210" s="85">
        <f>STATS1003B!V1211/1000</f>
        <v>1089.33439</v>
      </c>
      <c r="W1210" s="85">
        <f>STATS1003B!W1211/1000</f>
        <v>0</v>
      </c>
      <c r="X1210" s="85">
        <f>STATS1003B!X1211/1000</f>
        <v>1089.33439</v>
      </c>
      <c r="Y1210" s="85">
        <f>STATS1003B!Y1211/1000</f>
        <v>0</v>
      </c>
      <c r="Z1210" s="85">
        <f>STATS1003B!Z1211/1000</f>
        <v>0</v>
      </c>
      <c r="AA1210" s="69">
        <f>STATS1003B!AA1211/1000</f>
        <v>1089.33439</v>
      </c>
      <c r="AB1210" s="69">
        <f>STATS1003B!AB1211/1000</f>
        <v>0</v>
      </c>
    </row>
    <row r="1211" spans="1:28" hidden="1" x14ac:dyDescent="0.3">
      <c r="A1211" s="117"/>
      <c r="C1211" s="68" t="s">
        <v>677</v>
      </c>
      <c r="E1211" s="85">
        <f>STATS1003B!E1212/1000</f>
        <v>626.45000000000005</v>
      </c>
      <c r="F1211" s="85">
        <f>STATS1003B!F1212/1000</f>
        <v>626.45000000000005</v>
      </c>
      <c r="G1211" s="85">
        <f>STATS1003B!G1212/1000</f>
        <v>0</v>
      </c>
      <c r="H1211" s="85">
        <f>STATS1003B!H1212/1000</f>
        <v>626.45000000000005</v>
      </c>
      <c r="I1211" s="85">
        <f>STATS1003B!I1212/1000</f>
        <v>0</v>
      </c>
      <c r="J1211" s="85">
        <f>STATS1003B!J1212/1000</f>
        <v>626.45000000000005</v>
      </c>
      <c r="K1211" s="85">
        <f>STATS1003B!K1212/1000</f>
        <v>0</v>
      </c>
      <c r="L1211" s="85">
        <f>STATS1003B!L1212/1000</f>
        <v>0</v>
      </c>
      <c r="M1211" s="85">
        <f>STATS1003B!M1212/1000</f>
        <v>626.45000000000005</v>
      </c>
      <c r="N1211" s="85">
        <f>STATS1003B!N1212/1000</f>
        <v>0</v>
      </c>
      <c r="O1211" s="85">
        <f>STATS1003B!O1212/1000</f>
        <v>0</v>
      </c>
      <c r="P1211" s="85">
        <f>STATS1003B!P1212/1000</f>
        <v>0</v>
      </c>
      <c r="Q1211" s="85">
        <f>STATS1003B!Q1212/1000</f>
        <v>626.45000000000005</v>
      </c>
      <c r="R1211" s="85">
        <f>STATS1003B!R1212/1000</f>
        <v>0</v>
      </c>
      <c r="S1211" s="85">
        <f>STATS1003B!S1212/1000</f>
        <v>0</v>
      </c>
      <c r="T1211" s="85">
        <f>STATS1003B!T1212/1000</f>
        <v>0</v>
      </c>
      <c r="U1211" s="85">
        <f>STATS1003B!U1212/1000</f>
        <v>0</v>
      </c>
      <c r="V1211" s="85">
        <f>STATS1003B!V1212/1000</f>
        <v>626.45000000000005</v>
      </c>
      <c r="W1211" s="85">
        <f>STATS1003B!W1212/1000</f>
        <v>0</v>
      </c>
      <c r="X1211" s="85">
        <f>STATS1003B!X1212/1000</f>
        <v>626.45000000000005</v>
      </c>
      <c r="Y1211" s="85">
        <f>STATS1003B!Y1212/1000</f>
        <v>0</v>
      </c>
      <c r="Z1211" s="85">
        <f>STATS1003B!Z1212/1000</f>
        <v>0</v>
      </c>
      <c r="AA1211" s="69">
        <f>STATS1003B!AA1212/1000</f>
        <v>626.45000000000005</v>
      </c>
      <c r="AB1211" s="69">
        <f>STATS1003B!AB1212/1000</f>
        <v>0</v>
      </c>
    </row>
    <row r="1212" spans="1:28" hidden="1" x14ac:dyDescent="0.3">
      <c r="A1212" s="117"/>
      <c r="C1212" s="68" t="s">
        <v>678</v>
      </c>
      <c r="E1212" s="85">
        <f>STATS1003B!E1213/1000</f>
        <v>1654.06025</v>
      </c>
      <c r="F1212" s="85">
        <f>STATS1003B!F1213/1000</f>
        <v>1654.06025</v>
      </c>
      <c r="G1212" s="85">
        <f>STATS1003B!G1213/1000</f>
        <v>0</v>
      </c>
      <c r="H1212" s="85">
        <f>STATS1003B!H1213/1000</f>
        <v>1654.06025</v>
      </c>
      <c r="I1212" s="85">
        <f>STATS1003B!I1213/1000</f>
        <v>0</v>
      </c>
      <c r="J1212" s="85">
        <f>STATS1003B!J1213/1000</f>
        <v>1654.06025</v>
      </c>
      <c r="K1212" s="85">
        <f>STATS1003B!K1213/1000</f>
        <v>0</v>
      </c>
      <c r="L1212" s="85">
        <f>STATS1003B!L1213/1000</f>
        <v>0</v>
      </c>
      <c r="M1212" s="85">
        <f>STATS1003B!M1213/1000</f>
        <v>1654.06025</v>
      </c>
      <c r="N1212" s="85">
        <f>STATS1003B!N1213/1000</f>
        <v>0</v>
      </c>
      <c r="O1212" s="85">
        <f>STATS1003B!O1213/1000</f>
        <v>0</v>
      </c>
      <c r="P1212" s="85">
        <f>STATS1003B!P1213/1000</f>
        <v>0</v>
      </c>
      <c r="Q1212" s="85">
        <f>STATS1003B!Q1213/1000</f>
        <v>1654.06025</v>
      </c>
      <c r="R1212" s="85">
        <f>STATS1003B!R1213/1000</f>
        <v>0</v>
      </c>
      <c r="S1212" s="85">
        <f>STATS1003B!S1213/1000</f>
        <v>0</v>
      </c>
      <c r="T1212" s="85">
        <f>STATS1003B!T1213/1000</f>
        <v>0</v>
      </c>
      <c r="U1212" s="85">
        <f>STATS1003B!U1213/1000</f>
        <v>0</v>
      </c>
      <c r="V1212" s="85">
        <f>STATS1003B!V1213/1000</f>
        <v>1654.06025</v>
      </c>
      <c r="W1212" s="85">
        <f>STATS1003B!W1213/1000</f>
        <v>0</v>
      </c>
      <c r="X1212" s="85">
        <f>STATS1003B!X1213/1000</f>
        <v>1654.06025</v>
      </c>
      <c r="Y1212" s="85">
        <f>STATS1003B!Y1213/1000</f>
        <v>0</v>
      </c>
      <c r="Z1212" s="85">
        <f>STATS1003B!Z1213/1000</f>
        <v>0</v>
      </c>
      <c r="AA1212" s="69">
        <f>STATS1003B!AA1213/1000</f>
        <v>1654.06025</v>
      </c>
      <c r="AB1212" s="69">
        <f>STATS1003B!AB1213/1000</f>
        <v>0</v>
      </c>
    </row>
    <row r="1213" spans="1:28" hidden="1" x14ac:dyDescent="0.3">
      <c r="A1213" s="117"/>
      <c r="E1213" s="86" t="s">
        <v>29</v>
      </c>
      <c r="F1213" s="86" t="s">
        <v>29</v>
      </c>
      <c r="G1213" s="86" t="s">
        <v>29</v>
      </c>
      <c r="H1213" s="86" t="s">
        <v>29</v>
      </c>
      <c r="I1213" s="86" t="s">
        <v>29</v>
      </c>
      <c r="J1213" s="86" t="s">
        <v>29</v>
      </c>
      <c r="K1213" s="86" t="s">
        <v>29</v>
      </c>
      <c r="L1213" s="86" t="s">
        <v>29</v>
      </c>
      <c r="M1213" s="86" t="s">
        <v>29</v>
      </c>
      <c r="N1213" s="86" t="s">
        <v>29</v>
      </c>
      <c r="O1213" s="86" t="s">
        <v>29</v>
      </c>
      <c r="P1213" s="86" t="s">
        <v>29</v>
      </c>
      <c r="Q1213" s="86" t="s">
        <v>29</v>
      </c>
      <c r="R1213" s="86" t="s">
        <v>29</v>
      </c>
      <c r="S1213" s="86" t="s">
        <v>29</v>
      </c>
      <c r="T1213" s="86" t="s">
        <v>29</v>
      </c>
      <c r="U1213" s="86" t="s">
        <v>29</v>
      </c>
      <c r="V1213" s="86" t="s">
        <v>29</v>
      </c>
      <c r="W1213" s="86" t="s">
        <v>29</v>
      </c>
      <c r="X1213" s="86" t="s">
        <v>29</v>
      </c>
      <c r="Y1213" s="86" t="s">
        <v>29</v>
      </c>
      <c r="Z1213" s="86" t="s">
        <v>29</v>
      </c>
      <c r="AA1213" s="115" t="s">
        <v>29</v>
      </c>
      <c r="AB1213" s="115" t="s">
        <v>29</v>
      </c>
    </row>
    <row r="1214" spans="1:28" x14ac:dyDescent="0.3">
      <c r="A1214" s="116">
        <v>56</v>
      </c>
      <c r="B1214" s="68" t="s">
        <v>674</v>
      </c>
      <c r="E1214" s="85">
        <f>150810519/1000</f>
        <v>150810.519</v>
      </c>
      <c r="F1214" s="85">
        <f t="shared" ref="F1214:Q1214" si="146">SUM(F1196:F1213)</f>
        <v>48658.462439999996</v>
      </c>
      <c r="G1214" s="85">
        <f t="shared" si="146"/>
        <v>5394.5307999999995</v>
      </c>
      <c r="H1214" s="85">
        <f>144382139.55/1000</f>
        <v>144382.13955000002</v>
      </c>
      <c r="I1214" s="85">
        <f t="shared" si="146"/>
        <v>0</v>
      </c>
      <c r="J1214" s="85">
        <f t="shared" si="146"/>
        <v>48658.462439999996</v>
      </c>
      <c r="K1214" s="85">
        <f t="shared" si="146"/>
        <v>6428.3794500000004</v>
      </c>
      <c r="L1214" s="85">
        <f t="shared" si="146"/>
        <v>0</v>
      </c>
      <c r="M1214" s="85">
        <f t="shared" si="146"/>
        <v>54052.993240000003</v>
      </c>
      <c r="N1214" s="85">
        <f t="shared" si="146"/>
        <v>6428.3794500000004</v>
      </c>
      <c r="O1214" s="85">
        <f t="shared" si="146"/>
        <v>0</v>
      </c>
      <c r="P1214" s="85">
        <f>6428379/1000</f>
        <v>6428.3789999999999</v>
      </c>
      <c r="Q1214" s="85">
        <f t="shared" si="146"/>
        <v>38264.331889999994</v>
      </c>
      <c r="R1214" s="86"/>
      <c r="S1214" s="86"/>
      <c r="T1214" s="85">
        <f t="shared" ref="T1214:Y1214" si="147">SUM(T1196:T1213)</f>
        <v>0</v>
      </c>
      <c r="U1214" s="85">
        <f t="shared" si="147"/>
        <v>6428.3794500000004</v>
      </c>
      <c r="V1214" s="85">
        <f t="shared" si="147"/>
        <v>60481.372689999997</v>
      </c>
      <c r="W1214" s="85">
        <f t="shared" si="147"/>
        <v>0</v>
      </c>
      <c r="X1214" s="85">
        <f>+H1214+P1214</f>
        <v>150810.51855000001</v>
      </c>
      <c r="Y1214" s="85">
        <f t="shared" si="147"/>
        <v>0</v>
      </c>
      <c r="Z1214" s="85">
        <f>+E1214-X1214</f>
        <v>4.4999999227002263E-4</v>
      </c>
      <c r="AA1214" s="69">
        <f>SUM(AA1196:AA1213)</f>
        <v>60481.372689999997</v>
      </c>
      <c r="AB1214" s="69">
        <f>SUM(AB1196:AB1213)</f>
        <v>0</v>
      </c>
    </row>
    <row r="1215" spans="1:28" hidden="1" x14ac:dyDescent="0.3">
      <c r="A1215" s="117"/>
      <c r="E1215" s="86" t="s">
        <v>29</v>
      </c>
      <c r="F1215" s="86" t="s">
        <v>29</v>
      </c>
      <c r="G1215" s="86" t="s">
        <v>29</v>
      </c>
      <c r="H1215" s="86" t="s">
        <v>29</v>
      </c>
      <c r="I1215" s="86" t="s">
        <v>29</v>
      </c>
      <c r="J1215" s="86" t="s">
        <v>29</v>
      </c>
      <c r="K1215" s="86" t="s">
        <v>29</v>
      </c>
      <c r="L1215" s="86" t="s">
        <v>29</v>
      </c>
      <c r="M1215" s="86" t="s">
        <v>29</v>
      </c>
      <c r="N1215" s="86" t="s">
        <v>29</v>
      </c>
      <c r="O1215" s="86" t="s">
        <v>29</v>
      </c>
      <c r="P1215" s="86" t="s">
        <v>29</v>
      </c>
      <c r="Q1215" s="86" t="s">
        <v>29</v>
      </c>
      <c r="R1215" s="86" t="s">
        <v>29</v>
      </c>
      <c r="S1215" s="86" t="s">
        <v>29</v>
      </c>
      <c r="T1215" s="86" t="s">
        <v>29</v>
      </c>
      <c r="U1215" s="86" t="s">
        <v>29</v>
      </c>
      <c r="V1215" s="86" t="s">
        <v>29</v>
      </c>
      <c r="W1215" s="86" t="s">
        <v>29</v>
      </c>
      <c r="X1215" s="85" t="e">
        <f t="shared" ref="X1215:X1278" si="148">+H1215+P1215</f>
        <v>#VALUE!</v>
      </c>
      <c r="Y1215" s="86" t="s">
        <v>29</v>
      </c>
      <c r="Z1215" s="86" t="s">
        <v>29</v>
      </c>
      <c r="AA1215" s="115" t="s">
        <v>29</v>
      </c>
      <c r="AB1215" s="115" t="s">
        <v>29</v>
      </c>
    </row>
    <row r="1216" spans="1:28" hidden="1" x14ac:dyDescent="0.3">
      <c r="A1216" s="105"/>
      <c r="E1216" s="84"/>
      <c r="F1216" s="84"/>
      <c r="G1216" s="84"/>
      <c r="H1216" s="84"/>
      <c r="I1216" s="84"/>
      <c r="J1216" s="84"/>
      <c r="K1216" s="84"/>
      <c r="L1216" s="84"/>
      <c r="M1216" s="84"/>
      <c r="N1216" s="84"/>
      <c r="O1216" s="84"/>
      <c r="P1216" s="84"/>
      <c r="Q1216" s="84"/>
      <c r="R1216" s="86"/>
      <c r="S1216" s="86"/>
      <c r="T1216" s="86"/>
      <c r="U1216" s="86"/>
      <c r="V1216" s="86"/>
      <c r="W1216" s="86"/>
      <c r="X1216" s="85">
        <f t="shared" si="148"/>
        <v>0</v>
      </c>
      <c r="Y1216" s="86"/>
      <c r="Z1216" s="86"/>
    </row>
    <row r="1217" spans="1:28" hidden="1" x14ac:dyDescent="0.3">
      <c r="A1217" s="117"/>
      <c r="C1217" s="68" t="s">
        <v>680</v>
      </c>
      <c r="D1217" s="145" t="s">
        <v>166</v>
      </c>
      <c r="E1217" s="85">
        <f>STATS1003B!E1218/1000</f>
        <v>1265</v>
      </c>
      <c r="F1217" s="85">
        <f>STATS1003B!F1218/1000</f>
        <v>1265</v>
      </c>
      <c r="G1217" s="85">
        <f>STATS1003B!G1218/1000</f>
        <v>0</v>
      </c>
      <c r="H1217" s="85">
        <f>STATS1003B!H1218/1000</f>
        <v>1265</v>
      </c>
      <c r="I1217" s="85">
        <f>STATS1003B!I1218/1000</f>
        <v>0</v>
      </c>
      <c r="J1217" s="85">
        <f>STATS1003B!J1218/1000</f>
        <v>1265</v>
      </c>
      <c r="K1217" s="85">
        <f>STATS1003B!K1218/1000</f>
        <v>0</v>
      </c>
      <c r="L1217" s="85">
        <f>STATS1003B!L1218/1000</f>
        <v>0</v>
      </c>
      <c r="M1217" s="85">
        <f>STATS1003B!M1218/1000</f>
        <v>1265</v>
      </c>
      <c r="N1217" s="85">
        <f>STATS1003B!N1218/1000</f>
        <v>0</v>
      </c>
      <c r="O1217" s="85">
        <f>STATS1003B!O1218/1000</f>
        <v>0</v>
      </c>
      <c r="P1217" s="85">
        <f>STATS1003B!P1218/1000</f>
        <v>0</v>
      </c>
      <c r="Q1217" s="85">
        <f>STATS1003B!Q1218/1000</f>
        <v>1265</v>
      </c>
      <c r="R1217" s="85">
        <f>STATS1003B!R1218/1000</f>
        <v>0</v>
      </c>
      <c r="S1217" s="85">
        <f>STATS1003B!S1218/1000</f>
        <v>0</v>
      </c>
      <c r="T1217" s="85">
        <f>STATS1003B!T1218/1000</f>
        <v>0</v>
      </c>
      <c r="U1217" s="85">
        <f>STATS1003B!U1218/1000</f>
        <v>0</v>
      </c>
      <c r="V1217" s="85">
        <f>STATS1003B!V1218/1000</f>
        <v>1265</v>
      </c>
      <c r="W1217" s="85">
        <f>STATS1003B!W1218/1000</f>
        <v>0</v>
      </c>
      <c r="X1217" s="85">
        <f t="shared" si="148"/>
        <v>1265</v>
      </c>
      <c r="Y1217" s="85">
        <f>STATS1003B!Y1218/1000</f>
        <v>0</v>
      </c>
      <c r="Z1217" s="85">
        <f>STATS1003B!Z1218/1000</f>
        <v>0</v>
      </c>
      <c r="AA1217" s="69">
        <f>STATS1003B!AA1218/1000</f>
        <v>1265</v>
      </c>
      <c r="AB1217" s="69">
        <f>STATS1003B!AB1218/1000</f>
        <v>0</v>
      </c>
    </row>
    <row r="1218" spans="1:28" hidden="1" x14ac:dyDescent="0.3">
      <c r="A1218" s="117"/>
      <c r="C1218" s="68" t="s">
        <v>535</v>
      </c>
      <c r="D1218" s="145" t="s">
        <v>68</v>
      </c>
      <c r="E1218" s="85">
        <f>STATS1003B!E1219/1000</f>
        <v>2382.11859</v>
      </c>
      <c r="F1218" s="85">
        <f>STATS1003B!F1219/1000</f>
        <v>1936</v>
      </c>
      <c r="G1218" s="85">
        <f>STATS1003B!G1219/1000</f>
        <v>0</v>
      </c>
      <c r="H1218" s="85">
        <f>STATS1003B!H1219/1000</f>
        <v>1936</v>
      </c>
      <c r="I1218" s="85">
        <f>STATS1003B!I1219/1000</f>
        <v>0</v>
      </c>
      <c r="J1218" s="85">
        <f>STATS1003B!J1219/1000</f>
        <v>1936</v>
      </c>
      <c r="K1218" s="85">
        <f>STATS1003B!K1219/1000</f>
        <v>446.11858999999998</v>
      </c>
      <c r="L1218" s="85">
        <f>STATS1003B!L1219/1000</f>
        <v>0</v>
      </c>
      <c r="M1218" s="85">
        <f>STATS1003B!M1219/1000</f>
        <v>1936</v>
      </c>
      <c r="N1218" s="85">
        <f>STATS1003B!N1219/1000</f>
        <v>446.11859000000004</v>
      </c>
      <c r="O1218" s="85">
        <f>STATS1003B!O1219/1000</f>
        <v>0</v>
      </c>
      <c r="P1218" s="85">
        <f>STATS1003B!P1219/1000</f>
        <v>446.11859000000004</v>
      </c>
      <c r="Q1218" s="85">
        <f>STATS1003B!Q1219/1000</f>
        <v>1935.9999999999998</v>
      </c>
      <c r="R1218" s="85">
        <f>STATS1003B!R1219/1000</f>
        <v>0</v>
      </c>
      <c r="S1218" s="85">
        <f>STATS1003B!S1219/1000</f>
        <v>0</v>
      </c>
      <c r="T1218" s="85">
        <f>STATS1003B!T1219/1000</f>
        <v>0</v>
      </c>
      <c r="U1218" s="85">
        <f>STATS1003B!U1219/1000</f>
        <v>446.11859000000004</v>
      </c>
      <c r="V1218" s="85">
        <f>STATS1003B!V1219/1000</f>
        <v>2382.11859</v>
      </c>
      <c r="W1218" s="85">
        <f>STATS1003B!W1219/1000</f>
        <v>0</v>
      </c>
      <c r="X1218" s="85">
        <f t="shared" si="148"/>
        <v>2382.11859</v>
      </c>
      <c r="Y1218" s="85">
        <f>STATS1003B!Y1219/1000</f>
        <v>0</v>
      </c>
      <c r="Z1218" s="85">
        <f>STATS1003B!Z1219/1000</f>
        <v>0</v>
      </c>
      <c r="AA1218" s="69">
        <f>STATS1003B!AA1219/1000</f>
        <v>2382.11859</v>
      </c>
      <c r="AB1218" s="69">
        <f>STATS1003B!AB1219/1000</f>
        <v>0</v>
      </c>
    </row>
    <row r="1219" spans="1:28" hidden="1" x14ac:dyDescent="0.3">
      <c r="A1219" s="117"/>
      <c r="C1219" s="68" t="s">
        <v>539</v>
      </c>
      <c r="D1219" s="145" t="s">
        <v>68</v>
      </c>
      <c r="E1219" s="85">
        <f>STATS1003B!E1220/1000</f>
        <v>395.68049999999999</v>
      </c>
      <c r="F1219" s="85">
        <f>STATS1003B!F1220/1000</f>
        <v>0</v>
      </c>
      <c r="G1219" s="85">
        <f>STATS1003B!G1220/1000</f>
        <v>0</v>
      </c>
      <c r="H1219" s="85">
        <f>STATS1003B!H1220/1000</f>
        <v>0</v>
      </c>
      <c r="I1219" s="85">
        <f>STATS1003B!I1220/1000</f>
        <v>0</v>
      </c>
      <c r="J1219" s="85">
        <f>STATS1003B!J1220/1000</f>
        <v>0</v>
      </c>
      <c r="K1219" s="85">
        <f>STATS1003B!K1220/1000</f>
        <v>395.68049999999999</v>
      </c>
      <c r="L1219" s="85">
        <f>STATS1003B!L1220/1000</f>
        <v>0</v>
      </c>
      <c r="M1219" s="85">
        <f>STATS1003B!M1220/1000</f>
        <v>0</v>
      </c>
      <c r="N1219" s="85">
        <f>STATS1003B!N1220/1000</f>
        <v>395.68049999999999</v>
      </c>
      <c r="O1219" s="85">
        <f>STATS1003B!O1220/1000</f>
        <v>0</v>
      </c>
      <c r="P1219" s="85">
        <f>STATS1003B!P1220/1000</f>
        <v>395.68049999999999</v>
      </c>
      <c r="Q1219" s="85">
        <f>STATS1003B!Q1220/1000</f>
        <v>0</v>
      </c>
      <c r="R1219" s="85">
        <f>STATS1003B!R1220/1000</f>
        <v>0</v>
      </c>
      <c r="S1219" s="85">
        <f>STATS1003B!S1220/1000</f>
        <v>0</v>
      </c>
      <c r="T1219" s="85">
        <f>STATS1003B!T1220/1000</f>
        <v>0</v>
      </c>
      <c r="U1219" s="85">
        <f>STATS1003B!U1220/1000</f>
        <v>395.68049999999999</v>
      </c>
      <c r="V1219" s="85">
        <f>STATS1003B!V1220/1000</f>
        <v>395.68049999999999</v>
      </c>
      <c r="W1219" s="85">
        <f>STATS1003B!W1220/1000</f>
        <v>0</v>
      </c>
      <c r="X1219" s="85">
        <f t="shared" si="148"/>
        <v>395.68049999999999</v>
      </c>
      <c r="Y1219" s="85">
        <f>STATS1003B!Y1220/1000</f>
        <v>0</v>
      </c>
      <c r="Z1219" s="85">
        <f>STATS1003B!Z1220/1000</f>
        <v>0</v>
      </c>
      <c r="AA1219" s="69">
        <f>STATS1003B!AA1220/1000</f>
        <v>395.68049999999999</v>
      </c>
      <c r="AB1219" s="69">
        <f>STATS1003B!AB1220/1000</f>
        <v>0</v>
      </c>
    </row>
    <row r="1220" spans="1:28" hidden="1" x14ac:dyDescent="0.3">
      <c r="A1220" s="117"/>
      <c r="C1220" s="68" t="s">
        <v>557</v>
      </c>
      <c r="D1220" s="145" t="s">
        <v>68</v>
      </c>
      <c r="E1220" s="85">
        <f>STATS1003B!E1221/1000</f>
        <v>655.70257000000026</v>
      </c>
      <c r="F1220" s="85">
        <f>STATS1003B!F1221/1000</f>
        <v>594.05898999999999</v>
      </c>
      <c r="G1220" s="85">
        <f>STATS1003B!G1221/1000</f>
        <v>0</v>
      </c>
      <c r="H1220" s="85">
        <f>STATS1003B!H1221/1000</f>
        <v>594.05898999999999</v>
      </c>
      <c r="I1220" s="85">
        <f>STATS1003B!I1221/1000</f>
        <v>0</v>
      </c>
      <c r="J1220" s="85">
        <f>STATS1003B!J1221/1000</f>
        <v>594.05898999999999</v>
      </c>
      <c r="K1220" s="85">
        <f>STATS1003B!K1221/1000</f>
        <v>61.64358</v>
      </c>
      <c r="L1220" s="85">
        <f>STATS1003B!L1221/1000</f>
        <v>0</v>
      </c>
      <c r="M1220" s="85">
        <f>STATS1003B!M1221/1000</f>
        <v>594.05898999999999</v>
      </c>
      <c r="N1220" s="85">
        <f>STATS1003B!N1221/1000</f>
        <v>61.64358</v>
      </c>
      <c r="O1220" s="85">
        <f>STATS1003B!O1221/1000</f>
        <v>0</v>
      </c>
      <c r="P1220" s="85">
        <f>STATS1003B!P1221/1000</f>
        <v>61.64358</v>
      </c>
      <c r="Q1220" s="85">
        <f>STATS1003B!Q1221/1000</f>
        <v>594.05899000000034</v>
      </c>
      <c r="R1220" s="85">
        <f>STATS1003B!R1221/1000</f>
        <v>0</v>
      </c>
      <c r="S1220" s="85">
        <f>STATS1003B!S1221/1000</f>
        <v>0</v>
      </c>
      <c r="T1220" s="85">
        <f>STATS1003B!T1221/1000</f>
        <v>0</v>
      </c>
      <c r="U1220" s="85">
        <f>STATS1003B!U1221/1000</f>
        <v>61.64358</v>
      </c>
      <c r="V1220" s="85">
        <f>STATS1003B!V1221/1000</f>
        <v>655.70256999999992</v>
      </c>
      <c r="W1220" s="85">
        <f>STATS1003B!W1221/1000</f>
        <v>0</v>
      </c>
      <c r="X1220" s="85">
        <f t="shared" si="148"/>
        <v>655.70257000000004</v>
      </c>
      <c r="Y1220" s="85">
        <f>STATS1003B!Y1221/1000</f>
        <v>0</v>
      </c>
      <c r="Z1220" s="85">
        <f>STATS1003B!Z1221/1000</f>
        <v>0</v>
      </c>
      <c r="AA1220" s="69">
        <f>STATS1003B!AA1221/1000</f>
        <v>655.70256999999992</v>
      </c>
      <c r="AB1220" s="69">
        <f>STATS1003B!AB1221/1000</f>
        <v>0</v>
      </c>
    </row>
    <row r="1221" spans="1:28" hidden="1" x14ac:dyDescent="0.3">
      <c r="A1221" s="117"/>
      <c r="C1221" s="68" t="s">
        <v>545</v>
      </c>
      <c r="D1221" s="145" t="s">
        <v>54</v>
      </c>
      <c r="E1221" s="85">
        <f>STATS1003B!E1222/1000</f>
        <v>1767.77</v>
      </c>
      <c r="F1221" s="85">
        <f>STATS1003B!F1222/1000</f>
        <v>0</v>
      </c>
      <c r="G1221" s="85">
        <f>STATS1003B!G1222/1000</f>
        <v>0</v>
      </c>
      <c r="H1221" s="85">
        <f>STATS1003B!H1222/1000</f>
        <v>0</v>
      </c>
      <c r="I1221" s="85">
        <f>STATS1003B!I1222/1000</f>
        <v>0</v>
      </c>
      <c r="J1221" s="85">
        <f>STATS1003B!J1222/1000</f>
        <v>0</v>
      </c>
      <c r="K1221" s="85">
        <f>STATS1003B!K1222/1000</f>
        <v>1767.77</v>
      </c>
      <c r="L1221" s="85">
        <f>STATS1003B!L1222/1000</f>
        <v>0</v>
      </c>
      <c r="M1221" s="85">
        <f>STATS1003B!M1222/1000</f>
        <v>0</v>
      </c>
      <c r="N1221" s="85">
        <f>STATS1003B!N1222/1000</f>
        <v>1767.77</v>
      </c>
      <c r="O1221" s="85">
        <f>STATS1003B!O1222/1000</f>
        <v>0</v>
      </c>
      <c r="P1221" s="85">
        <f>STATS1003B!P1222/1000</f>
        <v>1767.77</v>
      </c>
      <c r="Q1221" s="85">
        <f>STATS1003B!Q1222/1000</f>
        <v>0</v>
      </c>
      <c r="R1221" s="85">
        <f>STATS1003B!R1222/1000</f>
        <v>0</v>
      </c>
      <c r="S1221" s="85">
        <f>STATS1003B!S1222/1000</f>
        <v>0</v>
      </c>
      <c r="T1221" s="85">
        <f>STATS1003B!T1222/1000</f>
        <v>0</v>
      </c>
      <c r="U1221" s="85">
        <f>STATS1003B!U1222/1000</f>
        <v>1767.77</v>
      </c>
      <c r="V1221" s="85">
        <f>STATS1003B!V1222/1000</f>
        <v>1767.77</v>
      </c>
      <c r="W1221" s="85">
        <f>STATS1003B!W1222/1000</f>
        <v>0</v>
      </c>
      <c r="X1221" s="85">
        <f t="shared" si="148"/>
        <v>1767.77</v>
      </c>
      <c r="Y1221" s="85">
        <f>STATS1003B!Y1222/1000</f>
        <v>0</v>
      </c>
      <c r="Z1221" s="85">
        <f>STATS1003B!Z1222/1000</f>
        <v>0</v>
      </c>
      <c r="AA1221" s="69">
        <f>STATS1003B!AA1222/1000</f>
        <v>1767.77</v>
      </c>
      <c r="AB1221" s="69">
        <f>STATS1003B!AB1222/1000</f>
        <v>0</v>
      </c>
    </row>
    <row r="1222" spans="1:28" hidden="1" x14ac:dyDescent="0.3">
      <c r="A1222" s="117"/>
      <c r="C1222" s="68" t="s">
        <v>535</v>
      </c>
      <c r="D1222" s="145" t="s">
        <v>54</v>
      </c>
      <c r="E1222" s="85">
        <f>STATS1003B!E1223/1000</f>
        <v>684</v>
      </c>
      <c r="F1222" s="85">
        <f>STATS1003B!F1223/1000</f>
        <v>684</v>
      </c>
      <c r="G1222" s="85">
        <f>STATS1003B!G1223/1000</f>
        <v>0</v>
      </c>
      <c r="H1222" s="85">
        <f>STATS1003B!H1223/1000</f>
        <v>684</v>
      </c>
      <c r="I1222" s="85">
        <f>STATS1003B!I1223/1000</f>
        <v>0</v>
      </c>
      <c r="J1222" s="85">
        <f>STATS1003B!J1223/1000</f>
        <v>684</v>
      </c>
      <c r="K1222" s="85">
        <f>STATS1003B!K1223/1000</f>
        <v>0</v>
      </c>
      <c r="L1222" s="85">
        <f>STATS1003B!L1223/1000</f>
        <v>0</v>
      </c>
      <c r="M1222" s="85">
        <f>STATS1003B!M1223/1000</f>
        <v>684</v>
      </c>
      <c r="N1222" s="85">
        <f>STATS1003B!N1223/1000</f>
        <v>0</v>
      </c>
      <c r="O1222" s="85">
        <f>STATS1003B!O1223/1000</f>
        <v>0</v>
      </c>
      <c r="P1222" s="85">
        <f>STATS1003B!P1223/1000</f>
        <v>0</v>
      </c>
      <c r="Q1222" s="85">
        <f>STATS1003B!Q1223/1000</f>
        <v>684</v>
      </c>
      <c r="R1222" s="85">
        <f>STATS1003B!R1223/1000</f>
        <v>0</v>
      </c>
      <c r="S1222" s="85">
        <f>STATS1003B!S1223/1000</f>
        <v>0</v>
      </c>
      <c r="T1222" s="85">
        <f>STATS1003B!T1223/1000</f>
        <v>0</v>
      </c>
      <c r="U1222" s="85">
        <f>STATS1003B!U1223/1000</f>
        <v>0</v>
      </c>
      <c r="V1222" s="85">
        <f>STATS1003B!V1223/1000</f>
        <v>684</v>
      </c>
      <c r="W1222" s="85">
        <f>STATS1003B!W1223/1000</f>
        <v>0</v>
      </c>
      <c r="X1222" s="85">
        <f t="shared" si="148"/>
        <v>684</v>
      </c>
      <c r="Y1222" s="85">
        <f>STATS1003B!Y1223/1000</f>
        <v>0</v>
      </c>
      <c r="Z1222" s="85">
        <f>STATS1003B!Z1223/1000</f>
        <v>0</v>
      </c>
      <c r="AA1222" s="69">
        <f>STATS1003B!AA1223/1000</f>
        <v>684</v>
      </c>
      <c r="AB1222" s="69">
        <f>STATS1003B!AB1223/1000</f>
        <v>0</v>
      </c>
    </row>
    <row r="1223" spans="1:28" hidden="1" x14ac:dyDescent="0.3">
      <c r="A1223" s="117"/>
      <c r="C1223" s="68" t="s">
        <v>535</v>
      </c>
      <c r="D1223" s="145" t="s">
        <v>85</v>
      </c>
      <c r="E1223" s="85">
        <f>STATS1003B!E1224/1000</f>
        <v>2545.94</v>
      </c>
      <c r="F1223" s="85">
        <f>STATS1003B!F1224/1000</f>
        <v>2545.94</v>
      </c>
      <c r="G1223" s="85">
        <f>STATS1003B!G1224/1000</f>
        <v>0</v>
      </c>
      <c r="H1223" s="85">
        <f>STATS1003B!H1224/1000</f>
        <v>2545.94</v>
      </c>
      <c r="I1223" s="85">
        <f>STATS1003B!I1224/1000</f>
        <v>0</v>
      </c>
      <c r="J1223" s="85">
        <f>STATS1003B!J1224/1000</f>
        <v>2545.94</v>
      </c>
      <c r="K1223" s="85">
        <f>STATS1003B!K1224/1000</f>
        <v>0</v>
      </c>
      <c r="L1223" s="85">
        <f>STATS1003B!L1224/1000</f>
        <v>0</v>
      </c>
      <c r="M1223" s="85">
        <f>STATS1003B!M1224/1000</f>
        <v>2545.94</v>
      </c>
      <c r="N1223" s="85">
        <f>STATS1003B!N1224/1000</f>
        <v>0</v>
      </c>
      <c r="O1223" s="85">
        <f>STATS1003B!O1224/1000</f>
        <v>0</v>
      </c>
      <c r="P1223" s="85">
        <f>STATS1003B!P1224/1000</f>
        <v>0</v>
      </c>
      <c r="Q1223" s="85">
        <f>STATS1003B!Q1224/1000</f>
        <v>2545.94</v>
      </c>
      <c r="R1223" s="85">
        <f>STATS1003B!R1224/1000</f>
        <v>0</v>
      </c>
      <c r="S1223" s="85">
        <f>STATS1003B!S1224/1000</f>
        <v>0</v>
      </c>
      <c r="T1223" s="85">
        <f>STATS1003B!T1224/1000</f>
        <v>0</v>
      </c>
      <c r="U1223" s="85">
        <f>STATS1003B!U1224/1000</f>
        <v>0</v>
      </c>
      <c r="V1223" s="85">
        <f>STATS1003B!V1224/1000</f>
        <v>2545.94</v>
      </c>
      <c r="W1223" s="85">
        <f>STATS1003B!W1224/1000</f>
        <v>0</v>
      </c>
      <c r="X1223" s="85">
        <f t="shared" si="148"/>
        <v>2545.94</v>
      </c>
      <c r="Y1223" s="85">
        <f>STATS1003B!Y1224/1000</f>
        <v>0</v>
      </c>
      <c r="Z1223" s="85">
        <f>STATS1003B!Z1224/1000</f>
        <v>0</v>
      </c>
      <c r="AA1223" s="69">
        <f>STATS1003B!AA1224/1000</f>
        <v>2545.94</v>
      </c>
      <c r="AB1223" s="69">
        <f>STATS1003B!AB1224/1000</f>
        <v>0</v>
      </c>
    </row>
    <row r="1224" spans="1:28" hidden="1" x14ac:dyDescent="0.3">
      <c r="A1224" s="117"/>
      <c r="C1224" s="68" t="s">
        <v>681</v>
      </c>
      <c r="D1224" s="145" t="s">
        <v>85</v>
      </c>
      <c r="E1224" s="85">
        <f>STATS1003B!E1225/1000</f>
        <v>1185</v>
      </c>
      <c r="F1224" s="85">
        <f>STATS1003B!F1225/1000</f>
        <v>1185</v>
      </c>
      <c r="G1224" s="85">
        <f>STATS1003B!G1225/1000</f>
        <v>0</v>
      </c>
      <c r="H1224" s="85">
        <f>STATS1003B!H1225/1000</f>
        <v>1185</v>
      </c>
      <c r="I1224" s="85">
        <f>STATS1003B!I1225/1000</f>
        <v>0</v>
      </c>
      <c r="J1224" s="85">
        <f>STATS1003B!J1225/1000</f>
        <v>1185</v>
      </c>
      <c r="K1224" s="85">
        <f>STATS1003B!K1225/1000</f>
        <v>0</v>
      </c>
      <c r="L1224" s="85">
        <f>STATS1003B!L1225/1000</f>
        <v>0</v>
      </c>
      <c r="M1224" s="85">
        <f>STATS1003B!M1225/1000</f>
        <v>1185</v>
      </c>
      <c r="N1224" s="85">
        <f>STATS1003B!N1225/1000</f>
        <v>0</v>
      </c>
      <c r="O1224" s="85">
        <f>STATS1003B!O1225/1000</f>
        <v>0</v>
      </c>
      <c r="P1224" s="85">
        <f>STATS1003B!P1225/1000</f>
        <v>0</v>
      </c>
      <c r="Q1224" s="85">
        <f>STATS1003B!Q1225/1000</f>
        <v>1185</v>
      </c>
      <c r="R1224" s="85">
        <f>STATS1003B!R1225/1000</f>
        <v>0</v>
      </c>
      <c r="S1224" s="85">
        <f>STATS1003B!S1225/1000</f>
        <v>0</v>
      </c>
      <c r="T1224" s="85">
        <f>STATS1003B!T1225/1000</f>
        <v>0</v>
      </c>
      <c r="U1224" s="85">
        <f>STATS1003B!U1225/1000</f>
        <v>0</v>
      </c>
      <c r="V1224" s="85">
        <f>STATS1003B!V1225/1000</f>
        <v>1185</v>
      </c>
      <c r="W1224" s="85">
        <f>STATS1003B!W1225/1000</f>
        <v>0</v>
      </c>
      <c r="X1224" s="85">
        <f t="shared" si="148"/>
        <v>1185</v>
      </c>
      <c r="Y1224" s="85">
        <f>STATS1003B!Y1225/1000</f>
        <v>0</v>
      </c>
      <c r="Z1224" s="85">
        <f>STATS1003B!Z1225/1000</f>
        <v>0</v>
      </c>
      <c r="AA1224" s="69">
        <f>STATS1003B!AA1225/1000</f>
        <v>1185</v>
      </c>
      <c r="AB1224" s="69">
        <f>STATS1003B!AB1225/1000</f>
        <v>0</v>
      </c>
    </row>
    <row r="1225" spans="1:28" hidden="1" x14ac:dyDescent="0.3">
      <c r="A1225" s="117"/>
      <c r="C1225" s="68" t="s">
        <v>557</v>
      </c>
      <c r="D1225" s="145" t="s">
        <v>85</v>
      </c>
      <c r="E1225" s="85">
        <f>STATS1003B!E1226/1000</f>
        <v>2249</v>
      </c>
      <c r="F1225" s="85">
        <f>STATS1003B!F1226/1000</f>
        <v>2249</v>
      </c>
      <c r="G1225" s="85">
        <f>STATS1003B!G1226/1000</f>
        <v>0</v>
      </c>
      <c r="H1225" s="85">
        <f>STATS1003B!H1226/1000</f>
        <v>2249</v>
      </c>
      <c r="I1225" s="85">
        <f>STATS1003B!I1226/1000</f>
        <v>0</v>
      </c>
      <c r="J1225" s="85">
        <f>STATS1003B!J1226/1000</f>
        <v>2249</v>
      </c>
      <c r="K1225" s="85">
        <f>STATS1003B!K1226/1000</f>
        <v>0</v>
      </c>
      <c r="L1225" s="85">
        <f>STATS1003B!L1226/1000</f>
        <v>0</v>
      </c>
      <c r="M1225" s="85">
        <f>STATS1003B!M1226/1000</f>
        <v>2249</v>
      </c>
      <c r="N1225" s="85">
        <f>STATS1003B!N1226/1000</f>
        <v>0</v>
      </c>
      <c r="O1225" s="85">
        <f>STATS1003B!O1226/1000</f>
        <v>0</v>
      </c>
      <c r="P1225" s="85">
        <f>STATS1003B!P1226/1000</f>
        <v>0</v>
      </c>
      <c r="Q1225" s="85">
        <f>STATS1003B!Q1226/1000</f>
        <v>2249</v>
      </c>
      <c r="R1225" s="85">
        <f>STATS1003B!R1226/1000</f>
        <v>0</v>
      </c>
      <c r="S1225" s="85">
        <f>STATS1003B!S1226/1000</f>
        <v>0</v>
      </c>
      <c r="T1225" s="85">
        <f>STATS1003B!T1226/1000</f>
        <v>0</v>
      </c>
      <c r="U1225" s="85">
        <f>STATS1003B!U1226/1000</f>
        <v>0</v>
      </c>
      <c r="V1225" s="85">
        <f>STATS1003B!V1226/1000</f>
        <v>2249</v>
      </c>
      <c r="W1225" s="85">
        <f>STATS1003B!W1226/1000</f>
        <v>0</v>
      </c>
      <c r="X1225" s="85">
        <f t="shared" si="148"/>
        <v>2249</v>
      </c>
      <c r="Y1225" s="85">
        <f>STATS1003B!Y1226/1000</f>
        <v>0</v>
      </c>
      <c r="Z1225" s="85">
        <f>STATS1003B!Z1226/1000</f>
        <v>0</v>
      </c>
      <c r="AA1225" s="69">
        <f>STATS1003B!AA1226/1000</f>
        <v>2249</v>
      </c>
      <c r="AB1225" s="69">
        <f>STATS1003B!AB1226/1000</f>
        <v>0</v>
      </c>
    </row>
    <row r="1226" spans="1:28" hidden="1" x14ac:dyDescent="0.3">
      <c r="A1226" s="117"/>
      <c r="C1226" s="68" t="s">
        <v>682</v>
      </c>
      <c r="D1226" s="145" t="s">
        <v>128</v>
      </c>
      <c r="E1226" s="85">
        <f>STATS1003B!E1227/1000</f>
        <v>0</v>
      </c>
      <c r="F1226" s="85">
        <f>STATS1003B!F1227/1000</f>
        <v>0</v>
      </c>
      <c r="G1226" s="85">
        <f>STATS1003B!G1227/1000</f>
        <v>0</v>
      </c>
      <c r="H1226" s="85">
        <f>STATS1003B!H1227/1000</f>
        <v>0</v>
      </c>
      <c r="I1226" s="85">
        <f>STATS1003B!I1227/1000</f>
        <v>0</v>
      </c>
      <c r="J1226" s="85">
        <f>STATS1003B!J1227/1000</f>
        <v>0</v>
      </c>
      <c r="K1226" s="85">
        <f>STATS1003B!K1227/1000</f>
        <v>0</v>
      </c>
      <c r="L1226" s="85">
        <f>STATS1003B!L1227/1000</f>
        <v>0</v>
      </c>
      <c r="M1226" s="85">
        <f>STATS1003B!M1227/1000</f>
        <v>0</v>
      </c>
      <c r="N1226" s="85">
        <f>STATS1003B!N1227/1000</f>
        <v>0</v>
      </c>
      <c r="O1226" s="85">
        <f>STATS1003B!O1227/1000</f>
        <v>0</v>
      </c>
      <c r="P1226" s="85">
        <f>STATS1003B!P1227/1000</f>
        <v>0</v>
      </c>
      <c r="Q1226" s="85">
        <f>STATS1003B!Q1227/1000</f>
        <v>0</v>
      </c>
      <c r="R1226" s="85">
        <f>STATS1003B!R1227/1000</f>
        <v>0</v>
      </c>
      <c r="S1226" s="85">
        <f>STATS1003B!S1227/1000</f>
        <v>0</v>
      </c>
      <c r="T1226" s="85">
        <f>STATS1003B!T1227/1000</f>
        <v>0</v>
      </c>
      <c r="U1226" s="85">
        <f>STATS1003B!U1227/1000</f>
        <v>0</v>
      </c>
      <c r="V1226" s="85">
        <f>STATS1003B!V1227/1000</f>
        <v>0</v>
      </c>
      <c r="W1226" s="85">
        <f>STATS1003B!W1227/1000</f>
        <v>0</v>
      </c>
      <c r="X1226" s="85">
        <f t="shared" si="148"/>
        <v>0</v>
      </c>
      <c r="Y1226" s="85">
        <f>STATS1003B!Y1227/1000</f>
        <v>0</v>
      </c>
      <c r="Z1226" s="85">
        <f>STATS1003B!Z1227/1000</f>
        <v>0</v>
      </c>
      <c r="AA1226" s="69">
        <f>STATS1003B!AA1227/1000</f>
        <v>0</v>
      </c>
      <c r="AB1226" s="69">
        <f>STATS1003B!AB1227/1000</f>
        <v>0</v>
      </c>
    </row>
    <row r="1227" spans="1:28" hidden="1" x14ac:dyDescent="0.3">
      <c r="A1227" s="117"/>
      <c r="C1227" s="68" t="s">
        <v>535</v>
      </c>
      <c r="D1227" s="145" t="s">
        <v>88</v>
      </c>
      <c r="E1227" s="85">
        <f>STATS1003B!E1228/1000</f>
        <v>1854.932</v>
      </c>
      <c r="F1227" s="85">
        <f>STATS1003B!F1228/1000</f>
        <v>1854.932</v>
      </c>
      <c r="G1227" s="85">
        <f>STATS1003B!G1228/1000</f>
        <v>0</v>
      </c>
      <c r="H1227" s="85">
        <f>STATS1003B!H1228/1000</f>
        <v>1854.932</v>
      </c>
      <c r="I1227" s="85">
        <f>STATS1003B!I1228/1000</f>
        <v>0</v>
      </c>
      <c r="J1227" s="85">
        <f>STATS1003B!J1228/1000</f>
        <v>1854.932</v>
      </c>
      <c r="K1227" s="85">
        <f>STATS1003B!K1228/1000</f>
        <v>0</v>
      </c>
      <c r="L1227" s="85">
        <f>STATS1003B!L1228/1000</f>
        <v>0</v>
      </c>
      <c r="M1227" s="85">
        <f>STATS1003B!M1228/1000</f>
        <v>1854.932</v>
      </c>
      <c r="N1227" s="85">
        <f>STATS1003B!N1228/1000</f>
        <v>0</v>
      </c>
      <c r="O1227" s="85">
        <f>STATS1003B!O1228/1000</f>
        <v>0</v>
      </c>
      <c r="P1227" s="85">
        <f>STATS1003B!P1228/1000</f>
        <v>0</v>
      </c>
      <c r="Q1227" s="85">
        <f>STATS1003B!Q1228/1000</f>
        <v>1854.932</v>
      </c>
      <c r="R1227" s="85">
        <f>STATS1003B!R1228/1000</f>
        <v>0</v>
      </c>
      <c r="S1227" s="85">
        <f>STATS1003B!S1228/1000</f>
        <v>0</v>
      </c>
      <c r="T1227" s="85">
        <f>STATS1003B!T1228/1000</f>
        <v>0</v>
      </c>
      <c r="U1227" s="85">
        <f>STATS1003B!U1228/1000</f>
        <v>0</v>
      </c>
      <c r="V1227" s="85">
        <f>STATS1003B!V1228/1000</f>
        <v>1854.932</v>
      </c>
      <c r="W1227" s="85">
        <f>STATS1003B!W1228/1000</f>
        <v>0</v>
      </c>
      <c r="X1227" s="85">
        <f t="shared" si="148"/>
        <v>1854.932</v>
      </c>
      <c r="Y1227" s="85">
        <f>STATS1003B!Y1228/1000</f>
        <v>0</v>
      </c>
      <c r="Z1227" s="85">
        <f>STATS1003B!Z1228/1000</f>
        <v>0</v>
      </c>
      <c r="AA1227" s="69">
        <f>STATS1003B!AA1228/1000</f>
        <v>1854.932</v>
      </c>
      <c r="AB1227" s="69">
        <f>STATS1003B!AB1228/1000</f>
        <v>0</v>
      </c>
    </row>
    <row r="1228" spans="1:28" hidden="1" x14ac:dyDescent="0.3">
      <c r="A1228" s="117"/>
      <c r="C1228" s="68" t="s">
        <v>683</v>
      </c>
      <c r="D1228" s="145" t="s">
        <v>88</v>
      </c>
      <c r="E1228" s="85">
        <f>STATS1003B!E1229/1000</f>
        <v>250</v>
      </c>
      <c r="F1228" s="85">
        <f>STATS1003B!F1229/1000</f>
        <v>250</v>
      </c>
      <c r="G1228" s="85">
        <f>STATS1003B!G1229/1000</f>
        <v>0</v>
      </c>
      <c r="H1228" s="85">
        <f>STATS1003B!H1229/1000</f>
        <v>250</v>
      </c>
      <c r="I1228" s="85">
        <f>STATS1003B!I1229/1000</f>
        <v>0</v>
      </c>
      <c r="J1228" s="85">
        <f>STATS1003B!J1229/1000</f>
        <v>250</v>
      </c>
      <c r="K1228" s="85">
        <f>STATS1003B!K1229/1000</f>
        <v>0</v>
      </c>
      <c r="L1228" s="85">
        <f>STATS1003B!L1229/1000</f>
        <v>0</v>
      </c>
      <c r="M1228" s="85">
        <f>STATS1003B!M1229/1000</f>
        <v>250</v>
      </c>
      <c r="N1228" s="85">
        <f>STATS1003B!N1229/1000</f>
        <v>0</v>
      </c>
      <c r="O1228" s="85">
        <f>STATS1003B!O1229/1000</f>
        <v>0</v>
      </c>
      <c r="P1228" s="85">
        <f>STATS1003B!P1229/1000</f>
        <v>0</v>
      </c>
      <c r="Q1228" s="85">
        <f>STATS1003B!Q1229/1000</f>
        <v>250</v>
      </c>
      <c r="R1228" s="85">
        <f>STATS1003B!R1229/1000</f>
        <v>0</v>
      </c>
      <c r="S1228" s="85">
        <f>STATS1003B!S1229/1000</f>
        <v>0</v>
      </c>
      <c r="T1228" s="85">
        <f>STATS1003B!T1229/1000</f>
        <v>0</v>
      </c>
      <c r="U1228" s="85">
        <f>STATS1003B!U1229/1000</f>
        <v>0</v>
      </c>
      <c r="V1228" s="85">
        <f>STATS1003B!V1229/1000</f>
        <v>250</v>
      </c>
      <c r="W1228" s="85">
        <f>STATS1003B!W1229/1000</f>
        <v>0</v>
      </c>
      <c r="X1228" s="85">
        <f t="shared" si="148"/>
        <v>250</v>
      </c>
      <c r="Y1228" s="85">
        <f>STATS1003B!Y1229/1000</f>
        <v>0</v>
      </c>
      <c r="Z1228" s="85">
        <f>STATS1003B!Z1229/1000</f>
        <v>0</v>
      </c>
      <c r="AA1228" s="69">
        <f>STATS1003B!AA1229/1000</f>
        <v>250</v>
      </c>
      <c r="AB1228" s="69">
        <f>STATS1003B!AB1229/1000</f>
        <v>0</v>
      </c>
    </row>
    <row r="1229" spans="1:28" hidden="1" x14ac:dyDescent="0.3">
      <c r="A1229" s="117"/>
      <c r="C1229" s="68" t="s">
        <v>535</v>
      </c>
      <c r="D1229" s="145" t="s">
        <v>108</v>
      </c>
      <c r="E1229" s="85">
        <f>STATS1003B!E1230/1000</f>
        <v>2000</v>
      </c>
      <c r="F1229" s="85">
        <f>STATS1003B!F1230/1000</f>
        <v>2000</v>
      </c>
      <c r="G1229" s="85">
        <f>STATS1003B!G1230/1000</f>
        <v>0</v>
      </c>
      <c r="H1229" s="85">
        <f>STATS1003B!H1230/1000</f>
        <v>2000</v>
      </c>
      <c r="I1229" s="85">
        <f>STATS1003B!I1230/1000</f>
        <v>0</v>
      </c>
      <c r="J1229" s="85">
        <f>STATS1003B!J1230/1000</f>
        <v>2000</v>
      </c>
      <c r="K1229" s="85">
        <f>STATS1003B!K1230/1000</f>
        <v>0</v>
      </c>
      <c r="L1229" s="85">
        <f>STATS1003B!L1230/1000</f>
        <v>0</v>
      </c>
      <c r="M1229" s="85">
        <f>STATS1003B!M1230/1000</f>
        <v>2000</v>
      </c>
      <c r="N1229" s="85">
        <f>STATS1003B!N1230/1000</f>
        <v>0</v>
      </c>
      <c r="O1229" s="85">
        <f>STATS1003B!O1230/1000</f>
        <v>0</v>
      </c>
      <c r="P1229" s="85">
        <f>STATS1003B!P1230/1000</f>
        <v>0</v>
      </c>
      <c r="Q1229" s="85">
        <f>STATS1003B!Q1230/1000</f>
        <v>2000</v>
      </c>
      <c r="R1229" s="85">
        <f>STATS1003B!R1230/1000</f>
        <v>0</v>
      </c>
      <c r="S1229" s="85">
        <f>STATS1003B!S1230/1000</f>
        <v>0</v>
      </c>
      <c r="T1229" s="85">
        <f>STATS1003B!T1230/1000</f>
        <v>0</v>
      </c>
      <c r="U1229" s="85">
        <f>STATS1003B!U1230/1000</f>
        <v>0</v>
      </c>
      <c r="V1229" s="85">
        <f>STATS1003B!V1230/1000</f>
        <v>2000</v>
      </c>
      <c r="W1229" s="85">
        <f>STATS1003B!W1230/1000</f>
        <v>0</v>
      </c>
      <c r="X1229" s="85">
        <f t="shared" si="148"/>
        <v>2000</v>
      </c>
      <c r="Y1229" s="85">
        <f>STATS1003B!Y1230/1000</f>
        <v>0</v>
      </c>
      <c r="Z1229" s="85">
        <f>STATS1003B!Z1230/1000</f>
        <v>0</v>
      </c>
      <c r="AA1229" s="69">
        <f>STATS1003B!AA1230/1000</f>
        <v>2000</v>
      </c>
      <c r="AB1229" s="69">
        <f>STATS1003B!AB1230/1000</f>
        <v>0</v>
      </c>
    </row>
    <row r="1230" spans="1:28" hidden="1" x14ac:dyDescent="0.3">
      <c r="A1230" s="117"/>
      <c r="C1230" s="68" t="s">
        <v>535</v>
      </c>
      <c r="D1230" s="145" t="s">
        <v>58</v>
      </c>
      <c r="E1230" s="85">
        <f>STATS1003B!E1231/1000</f>
        <v>1853.6</v>
      </c>
      <c r="F1230" s="85">
        <f>STATS1003B!F1231/1000</f>
        <v>1853.6</v>
      </c>
      <c r="G1230" s="85">
        <f>STATS1003B!G1231/1000</f>
        <v>0</v>
      </c>
      <c r="H1230" s="85">
        <f>STATS1003B!H1231/1000</f>
        <v>1853.6</v>
      </c>
      <c r="I1230" s="85">
        <f>STATS1003B!I1231/1000</f>
        <v>0</v>
      </c>
      <c r="J1230" s="85">
        <f>STATS1003B!J1231/1000</f>
        <v>1853.6</v>
      </c>
      <c r="K1230" s="85">
        <f>STATS1003B!K1231/1000</f>
        <v>0</v>
      </c>
      <c r="L1230" s="85">
        <f>STATS1003B!L1231/1000</f>
        <v>0</v>
      </c>
      <c r="M1230" s="85">
        <f>STATS1003B!M1231/1000</f>
        <v>1853.6</v>
      </c>
      <c r="N1230" s="85">
        <f>STATS1003B!N1231/1000</f>
        <v>0</v>
      </c>
      <c r="O1230" s="85">
        <f>STATS1003B!O1231/1000</f>
        <v>0</v>
      </c>
      <c r="P1230" s="85">
        <f>STATS1003B!P1231/1000</f>
        <v>0</v>
      </c>
      <c r="Q1230" s="85">
        <f>STATS1003B!Q1231/1000</f>
        <v>1853.6</v>
      </c>
      <c r="R1230" s="85">
        <f>STATS1003B!R1231/1000</f>
        <v>0</v>
      </c>
      <c r="S1230" s="85">
        <f>STATS1003B!S1231/1000</f>
        <v>0</v>
      </c>
      <c r="T1230" s="85">
        <f>STATS1003B!T1231/1000</f>
        <v>0</v>
      </c>
      <c r="U1230" s="85">
        <f>STATS1003B!U1231/1000</f>
        <v>0</v>
      </c>
      <c r="V1230" s="85">
        <f>STATS1003B!V1231/1000</f>
        <v>1853.6</v>
      </c>
      <c r="W1230" s="85">
        <f>STATS1003B!W1231/1000</f>
        <v>0</v>
      </c>
      <c r="X1230" s="85">
        <f t="shared" si="148"/>
        <v>1853.6</v>
      </c>
      <c r="Y1230" s="85">
        <f>STATS1003B!Y1231/1000</f>
        <v>0</v>
      </c>
      <c r="Z1230" s="85">
        <f>STATS1003B!Z1231/1000</f>
        <v>0</v>
      </c>
      <c r="AA1230" s="69">
        <f>STATS1003B!AA1231/1000</f>
        <v>1853.6</v>
      </c>
      <c r="AB1230" s="69">
        <f>STATS1003B!AB1231/1000</f>
        <v>0</v>
      </c>
    </row>
    <row r="1231" spans="1:28" hidden="1" x14ac:dyDescent="0.3">
      <c r="A1231" s="117"/>
      <c r="C1231" s="68" t="s">
        <v>535</v>
      </c>
      <c r="D1231" s="145" t="s">
        <v>60</v>
      </c>
      <c r="E1231" s="85">
        <f>STATS1003B!E1232/1000</f>
        <v>8884.1491900000001</v>
      </c>
      <c r="F1231" s="85">
        <f>STATS1003B!F1232/1000</f>
        <v>8884.1491900000001</v>
      </c>
      <c r="G1231" s="85">
        <f>STATS1003B!G1232/1000</f>
        <v>0</v>
      </c>
      <c r="H1231" s="85">
        <f>STATS1003B!H1232/1000</f>
        <v>8884.1491900000001</v>
      </c>
      <c r="I1231" s="85">
        <f>STATS1003B!I1232/1000</f>
        <v>0</v>
      </c>
      <c r="J1231" s="85">
        <f>STATS1003B!J1232/1000</f>
        <v>8884.1491900000001</v>
      </c>
      <c r="K1231" s="85">
        <f>STATS1003B!K1232/1000</f>
        <v>0</v>
      </c>
      <c r="L1231" s="85">
        <f>STATS1003B!L1232/1000</f>
        <v>0</v>
      </c>
      <c r="M1231" s="85">
        <f>STATS1003B!M1232/1000</f>
        <v>8884.1491900000001</v>
      </c>
      <c r="N1231" s="85">
        <f>STATS1003B!N1232/1000</f>
        <v>0</v>
      </c>
      <c r="O1231" s="85">
        <f>STATS1003B!O1232/1000</f>
        <v>0</v>
      </c>
      <c r="P1231" s="85">
        <f>STATS1003B!P1232/1000</f>
        <v>0</v>
      </c>
      <c r="Q1231" s="85">
        <f>STATS1003B!Q1232/1000</f>
        <v>8884.1491900000001</v>
      </c>
      <c r="R1231" s="85">
        <f>STATS1003B!R1232/1000</f>
        <v>0</v>
      </c>
      <c r="S1231" s="85">
        <f>STATS1003B!S1232/1000</f>
        <v>0</v>
      </c>
      <c r="T1231" s="85">
        <f>STATS1003B!T1232/1000</f>
        <v>0</v>
      </c>
      <c r="U1231" s="85">
        <f>STATS1003B!U1232/1000</f>
        <v>0</v>
      </c>
      <c r="V1231" s="85">
        <f>STATS1003B!V1232/1000</f>
        <v>8884.1491900000001</v>
      </c>
      <c r="W1231" s="85">
        <f>STATS1003B!W1232/1000</f>
        <v>0</v>
      </c>
      <c r="X1231" s="85">
        <f t="shared" si="148"/>
        <v>8884.1491900000001</v>
      </c>
      <c r="Y1231" s="85">
        <f>STATS1003B!Y1232/1000</f>
        <v>0</v>
      </c>
      <c r="Z1231" s="85">
        <f>STATS1003B!Z1232/1000</f>
        <v>0</v>
      </c>
      <c r="AA1231" s="69">
        <f>STATS1003B!AA1232/1000</f>
        <v>8884.1491900000001</v>
      </c>
      <c r="AB1231" s="69">
        <f>STATS1003B!AB1232/1000</f>
        <v>0</v>
      </c>
    </row>
    <row r="1232" spans="1:28" hidden="1" x14ac:dyDescent="0.3">
      <c r="A1232" s="117"/>
      <c r="C1232" s="71" t="s">
        <v>684</v>
      </c>
      <c r="D1232" s="145" t="s">
        <v>60</v>
      </c>
      <c r="E1232" s="85">
        <f>STATS1003B!E1233/1000</f>
        <v>149.65492999999998</v>
      </c>
      <c r="F1232" s="85">
        <f>STATS1003B!F1233/1000</f>
        <v>149.65492999999998</v>
      </c>
      <c r="G1232" s="85">
        <f>STATS1003B!G1233/1000</f>
        <v>0</v>
      </c>
      <c r="H1232" s="85">
        <f>STATS1003B!H1233/1000</f>
        <v>149.65492999999998</v>
      </c>
      <c r="I1232" s="85">
        <f>STATS1003B!I1233/1000</f>
        <v>0</v>
      </c>
      <c r="J1232" s="85">
        <f>STATS1003B!J1233/1000</f>
        <v>149.65492999999998</v>
      </c>
      <c r="K1232" s="85">
        <f>STATS1003B!K1233/1000</f>
        <v>0</v>
      </c>
      <c r="L1232" s="85">
        <f>STATS1003B!L1233/1000</f>
        <v>0</v>
      </c>
      <c r="M1232" s="85">
        <f>STATS1003B!M1233/1000</f>
        <v>149.65492999999998</v>
      </c>
      <c r="N1232" s="85">
        <f>STATS1003B!N1233/1000</f>
        <v>0</v>
      </c>
      <c r="O1232" s="85">
        <f>STATS1003B!O1233/1000</f>
        <v>0</v>
      </c>
      <c r="P1232" s="85">
        <f>STATS1003B!P1233/1000</f>
        <v>0</v>
      </c>
      <c r="Q1232" s="85">
        <f>STATS1003B!Q1233/1000</f>
        <v>149.65492999999998</v>
      </c>
      <c r="R1232" s="85">
        <f>STATS1003B!R1233/1000</f>
        <v>0</v>
      </c>
      <c r="S1232" s="85">
        <f>STATS1003B!S1233/1000</f>
        <v>0</v>
      </c>
      <c r="T1232" s="85">
        <f>STATS1003B!T1233/1000</f>
        <v>0</v>
      </c>
      <c r="U1232" s="85">
        <f>STATS1003B!U1233/1000</f>
        <v>0</v>
      </c>
      <c r="V1232" s="85">
        <f>STATS1003B!V1233/1000</f>
        <v>149.65492999999998</v>
      </c>
      <c r="W1232" s="85">
        <f>STATS1003B!W1233/1000</f>
        <v>0</v>
      </c>
      <c r="X1232" s="85">
        <f t="shared" si="148"/>
        <v>149.65492999999998</v>
      </c>
      <c r="Y1232" s="85">
        <f>STATS1003B!Y1233/1000</f>
        <v>0</v>
      </c>
      <c r="Z1232" s="85">
        <f>STATS1003B!Z1233/1000</f>
        <v>0</v>
      </c>
      <c r="AA1232" s="69">
        <f>STATS1003B!AA1233/1000</f>
        <v>149.65492999999998</v>
      </c>
      <c r="AB1232" s="69">
        <f>STATS1003B!AB1233/1000</f>
        <v>0</v>
      </c>
    </row>
    <row r="1233" spans="1:28" hidden="1" x14ac:dyDescent="0.3">
      <c r="A1233" s="117"/>
      <c r="C1233" s="68" t="s">
        <v>535</v>
      </c>
      <c r="D1233" s="145" t="s">
        <v>73</v>
      </c>
      <c r="E1233" s="85">
        <f>STATS1003B!E1234/1000</f>
        <v>9357.004429999999</v>
      </c>
      <c r="F1233" s="85">
        <f>STATS1003B!F1234/1000</f>
        <v>9357.004429999999</v>
      </c>
      <c r="G1233" s="85">
        <f>STATS1003B!G1234/1000</f>
        <v>0</v>
      </c>
      <c r="H1233" s="85">
        <f>STATS1003B!H1234/1000</f>
        <v>9357.004429999999</v>
      </c>
      <c r="I1233" s="85">
        <f>STATS1003B!I1234/1000</f>
        <v>0</v>
      </c>
      <c r="J1233" s="85">
        <f>STATS1003B!J1234/1000</f>
        <v>9357.004429999999</v>
      </c>
      <c r="K1233" s="85">
        <f>STATS1003B!K1234/1000</f>
        <v>0</v>
      </c>
      <c r="L1233" s="85">
        <f>STATS1003B!L1234/1000</f>
        <v>0</v>
      </c>
      <c r="M1233" s="85">
        <f>STATS1003B!M1234/1000</f>
        <v>9357.004429999999</v>
      </c>
      <c r="N1233" s="85">
        <f>STATS1003B!N1234/1000</f>
        <v>0</v>
      </c>
      <c r="O1233" s="85">
        <f>STATS1003B!O1234/1000</f>
        <v>0</v>
      </c>
      <c r="P1233" s="85">
        <f>STATS1003B!P1234/1000</f>
        <v>0</v>
      </c>
      <c r="Q1233" s="85">
        <f>STATS1003B!Q1234/1000</f>
        <v>9357.004429999999</v>
      </c>
      <c r="R1233" s="85">
        <f>STATS1003B!R1234/1000</f>
        <v>0</v>
      </c>
      <c r="S1233" s="85">
        <f>STATS1003B!S1234/1000</f>
        <v>0</v>
      </c>
      <c r="T1233" s="85">
        <f>STATS1003B!T1234/1000</f>
        <v>0</v>
      </c>
      <c r="U1233" s="85">
        <f>STATS1003B!U1234/1000</f>
        <v>0</v>
      </c>
      <c r="V1233" s="85">
        <f>STATS1003B!V1234/1000</f>
        <v>9357.004429999999</v>
      </c>
      <c r="W1233" s="85">
        <f>STATS1003B!W1234/1000</f>
        <v>0</v>
      </c>
      <c r="X1233" s="85">
        <f t="shared" si="148"/>
        <v>9357.004429999999</v>
      </c>
      <c r="Y1233" s="85">
        <f>STATS1003B!Y1234/1000</f>
        <v>0</v>
      </c>
      <c r="Z1233" s="85">
        <f>STATS1003B!Z1234/1000</f>
        <v>0</v>
      </c>
      <c r="AA1233" s="69">
        <f>STATS1003B!AA1234/1000</f>
        <v>9357.004429999999</v>
      </c>
      <c r="AB1233" s="69">
        <f>STATS1003B!AB1234/1000</f>
        <v>0</v>
      </c>
    </row>
    <row r="1234" spans="1:28" hidden="1" x14ac:dyDescent="0.3">
      <c r="A1234" s="117"/>
      <c r="C1234" s="68" t="s">
        <v>535</v>
      </c>
      <c r="D1234" s="145" t="s">
        <v>61</v>
      </c>
      <c r="E1234" s="85">
        <f>STATS1003B!E1235/1000</f>
        <v>8497.03701</v>
      </c>
      <c r="F1234" s="85">
        <f>STATS1003B!F1235/1000</f>
        <v>7890.9913999999999</v>
      </c>
      <c r="G1234" s="85">
        <f>STATS1003B!G1235/1000</f>
        <v>0</v>
      </c>
      <c r="H1234" s="85">
        <f>STATS1003B!H1235/1000</f>
        <v>7890.9913999999999</v>
      </c>
      <c r="I1234" s="85">
        <f>STATS1003B!I1235/1000</f>
        <v>0</v>
      </c>
      <c r="J1234" s="85">
        <f>STATS1003B!J1235/1000</f>
        <v>7890.9913999999999</v>
      </c>
      <c r="K1234" s="85">
        <f>STATS1003B!K1235/1000</f>
        <v>0</v>
      </c>
      <c r="L1234" s="85">
        <f>STATS1003B!L1235/1000</f>
        <v>0</v>
      </c>
      <c r="M1234" s="85">
        <f>STATS1003B!M1235/1000</f>
        <v>7890.9913999999999</v>
      </c>
      <c r="N1234" s="85">
        <f>STATS1003B!N1235/1000</f>
        <v>0</v>
      </c>
      <c r="O1234" s="85">
        <f>STATS1003B!O1235/1000</f>
        <v>0</v>
      </c>
      <c r="P1234" s="85">
        <f>STATS1003B!P1235/1000</f>
        <v>0</v>
      </c>
      <c r="Q1234" s="85">
        <f>STATS1003B!Q1235/1000</f>
        <v>8497.03701</v>
      </c>
      <c r="R1234" s="85">
        <f>STATS1003B!R1235/1000</f>
        <v>0</v>
      </c>
      <c r="S1234" s="85">
        <f>STATS1003B!S1235/1000</f>
        <v>0</v>
      </c>
      <c r="T1234" s="85">
        <f>STATS1003B!T1235/1000</f>
        <v>606.04561000000001</v>
      </c>
      <c r="U1234" s="85">
        <f>STATS1003B!U1235/1000</f>
        <v>606.04561000000001</v>
      </c>
      <c r="V1234" s="85">
        <f>STATS1003B!V1235/1000</f>
        <v>7890.9913999999999</v>
      </c>
      <c r="W1234" s="85">
        <f>STATS1003B!W1235/1000</f>
        <v>606.04561000000035</v>
      </c>
      <c r="X1234" s="85">
        <f t="shared" si="148"/>
        <v>7890.9913999999999</v>
      </c>
      <c r="Y1234" s="85">
        <f>STATS1003B!Y1235/1000</f>
        <v>0</v>
      </c>
      <c r="Z1234" s="85">
        <f>STATS1003B!Z1235/1000</f>
        <v>606.04561000000035</v>
      </c>
      <c r="AA1234" s="69">
        <f>STATS1003B!AA1235/1000</f>
        <v>8497.03701</v>
      </c>
      <c r="AB1234" s="69">
        <f>STATS1003B!AB1235/1000</f>
        <v>0</v>
      </c>
    </row>
    <row r="1235" spans="1:28" hidden="1" x14ac:dyDescent="0.3">
      <c r="A1235" s="117"/>
      <c r="C1235" s="68" t="s">
        <v>1156</v>
      </c>
      <c r="D1235" s="90" t="s">
        <v>1126</v>
      </c>
      <c r="E1235" s="85">
        <f>STATS1003B!E1236/1000</f>
        <v>836.48076000000003</v>
      </c>
      <c r="F1235" s="85">
        <f>STATS1003B!F1236/1000</f>
        <v>836.48076000000003</v>
      </c>
      <c r="G1235" s="85">
        <f>STATS1003B!G1236/1000</f>
        <v>0</v>
      </c>
      <c r="H1235" s="85">
        <f>STATS1003B!H1236/1000</f>
        <v>836.48076000000003</v>
      </c>
      <c r="I1235" s="85">
        <f>STATS1003B!I1236/1000</f>
        <v>0</v>
      </c>
      <c r="J1235" s="85">
        <f>STATS1003B!J1236/1000</f>
        <v>836.48076000000003</v>
      </c>
      <c r="K1235" s="85">
        <f>STATS1003B!K1236/1000</f>
        <v>0</v>
      </c>
      <c r="L1235" s="85">
        <f>STATS1003B!L1236/1000</f>
        <v>0</v>
      </c>
      <c r="M1235" s="85">
        <f>STATS1003B!M1236/1000</f>
        <v>836.48076000000003</v>
      </c>
      <c r="N1235" s="85">
        <f>STATS1003B!N1236/1000</f>
        <v>0</v>
      </c>
      <c r="O1235" s="85">
        <f>STATS1003B!O1236/1000</f>
        <v>0</v>
      </c>
      <c r="P1235" s="85">
        <f>STATS1003B!P1236/1000</f>
        <v>0</v>
      </c>
      <c r="Q1235" s="85">
        <f>STATS1003B!Q1236/1000</f>
        <v>0</v>
      </c>
      <c r="R1235" s="85">
        <f>STATS1003B!R1236/1000</f>
        <v>0</v>
      </c>
      <c r="S1235" s="85">
        <f>STATS1003B!S1236/1000</f>
        <v>0</v>
      </c>
      <c r="T1235" s="85">
        <f>STATS1003B!T1236/1000</f>
        <v>0</v>
      </c>
      <c r="U1235" s="85">
        <f>STATS1003B!U1236/1000</f>
        <v>0</v>
      </c>
      <c r="V1235" s="85">
        <f>STATS1003B!V1236/1000</f>
        <v>0</v>
      </c>
      <c r="W1235" s="85">
        <f>STATS1003B!W1236/1000</f>
        <v>0</v>
      </c>
      <c r="X1235" s="85">
        <f t="shared" si="148"/>
        <v>836.48076000000003</v>
      </c>
      <c r="Y1235" s="85">
        <f>STATS1003B!Y1236/1000</f>
        <v>0</v>
      </c>
      <c r="Z1235" s="85">
        <f>STATS1003B!Z1236/1000</f>
        <v>0</v>
      </c>
      <c r="AA1235" s="69">
        <f>STATS1003B!AA1236/1000</f>
        <v>836.48076000000003</v>
      </c>
      <c r="AB1235" s="69">
        <f>STATS1003B!AB1236/1000</f>
        <v>0</v>
      </c>
    </row>
    <row r="1236" spans="1:28" hidden="1" x14ac:dyDescent="0.3">
      <c r="A1236" s="117"/>
      <c r="C1236" s="68" t="s">
        <v>898</v>
      </c>
      <c r="D1236" s="90" t="s">
        <v>1126</v>
      </c>
      <c r="E1236" s="85">
        <f>STATS1003B!E1237/1000</f>
        <v>599.47973000000002</v>
      </c>
      <c r="F1236" s="85">
        <f>STATS1003B!F1237/1000</f>
        <v>0</v>
      </c>
      <c r="G1236" s="85">
        <f>STATS1003B!G1237/1000</f>
        <v>0</v>
      </c>
      <c r="H1236" s="85">
        <f>STATS1003B!H1237/1000</f>
        <v>0</v>
      </c>
      <c r="I1236" s="85">
        <f>STATS1003B!I1237/1000</f>
        <v>0</v>
      </c>
      <c r="J1236" s="85">
        <f>STATS1003B!J1237/1000</f>
        <v>0</v>
      </c>
      <c r="K1236" s="85">
        <f>STATS1003B!K1237/1000</f>
        <v>0</v>
      </c>
      <c r="L1236" s="85">
        <f>STATS1003B!L1237/1000</f>
        <v>0</v>
      </c>
      <c r="M1236" s="85">
        <f>STATS1003B!M1237/1000</f>
        <v>0</v>
      </c>
      <c r="N1236" s="85">
        <f>STATS1003B!N1237/1000</f>
        <v>599.47973000000002</v>
      </c>
      <c r="O1236" s="85">
        <f>STATS1003B!O1237/1000</f>
        <v>0</v>
      </c>
      <c r="P1236" s="85">
        <f>STATS1003B!P1237/1000</f>
        <v>599.47973000000002</v>
      </c>
      <c r="Q1236" s="85">
        <f>STATS1003B!Q1237/1000</f>
        <v>0</v>
      </c>
      <c r="R1236" s="85">
        <f>STATS1003B!R1237/1000</f>
        <v>0</v>
      </c>
      <c r="S1236" s="85">
        <f>STATS1003B!S1237/1000</f>
        <v>0</v>
      </c>
      <c r="T1236" s="85">
        <f>STATS1003B!T1237/1000</f>
        <v>0</v>
      </c>
      <c r="U1236" s="85">
        <f>STATS1003B!U1237/1000</f>
        <v>599.47973000000002</v>
      </c>
      <c r="V1236" s="85">
        <f>STATS1003B!V1237/1000</f>
        <v>0</v>
      </c>
      <c r="W1236" s="85">
        <f>STATS1003B!W1237/1000</f>
        <v>0</v>
      </c>
      <c r="X1236" s="85">
        <f t="shared" si="148"/>
        <v>599.47973000000002</v>
      </c>
      <c r="Y1236" s="85">
        <f>STATS1003B!Y1237/1000</f>
        <v>0</v>
      </c>
      <c r="Z1236" s="85">
        <f>STATS1003B!Z1237/1000</f>
        <v>0</v>
      </c>
      <c r="AA1236" s="69">
        <f>STATS1003B!AA1237/1000</f>
        <v>599.47973000000002</v>
      </c>
      <c r="AB1236" s="69">
        <f>STATS1003B!AB1237/1000</f>
        <v>0</v>
      </c>
    </row>
    <row r="1237" spans="1:28" hidden="1" x14ac:dyDescent="0.3">
      <c r="A1237" s="117"/>
      <c r="C1237" s="68" t="s">
        <v>1062</v>
      </c>
      <c r="D1237" s="145"/>
      <c r="E1237" s="85">
        <f>STATS1003B!E1238/1000</f>
        <v>475</v>
      </c>
      <c r="F1237" s="85">
        <f>STATS1003B!F1238/1000</f>
        <v>475</v>
      </c>
      <c r="G1237" s="85">
        <f>STATS1003B!G1238/1000</f>
        <v>0</v>
      </c>
      <c r="H1237" s="85">
        <f>STATS1003B!H1238/1000</f>
        <v>475</v>
      </c>
      <c r="I1237" s="85">
        <f>STATS1003B!I1238/1000</f>
        <v>0</v>
      </c>
      <c r="J1237" s="85">
        <f>STATS1003B!J1238/1000</f>
        <v>0</v>
      </c>
      <c r="K1237" s="85">
        <f>STATS1003B!K1238/1000</f>
        <v>0</v>
      </c>
      <c r="L1237" s="85">
        <f>STATS1003B!L1238/1000</f>
        <v>0</v>
      </c>
      <c r="M1237" s="85">
        <f>STATS1003B!M1238/1000</f>
        <v>475</v>
      </c>
      <c r="N1237" s="85">
        <f>STATS1003B!N1238/1000</f>
        <v>0</v>
      </c>
      <c r="O1237" s="85">
        <f>STATS1003B!O1238/1000</f>
        <v>0</v>
      </c>
      <c r="P1237" s="85">
        <f>STATS1003B!P1238/1000</f>
        <v>0</v>
      </c>
      <c r="Q1237" s="85">
        <f>STATS1003B!Q1238/1000</f>
        <v>0</v>
      </c>
      <c r="R1237" s="85">
        <f>STATS1003B!R1238/1000</f>
        <v>0</v>
      </c>
      <c r="S1237" s="85">
        <f>STATS1003B!S1238/1000</f>
        <v>0</v>
      </c>
      <c r="T1237" s="85">
        <f>STATS1003B!T1238/1000</f>
        <v>0</v>
      </c>
      <c r="U1237" s="85">
        <f>STATS1003B!U1238/1000</f>
        <v>0</v>
      </c>
      <c r="V1237" s="85">
        <f>STATS1003B!V1238/1000</f>
        <v>475</v>
      </c>
      <c r="W1237" s="85">
        <f>STATS1003B!W1238/1000</f>
        <v>0</v>
      </c>
      <c r="X1237" s="85">
        <f t="shared" si="148"/>
        <v>475</v>
      </c>
      <c r="Y1237" s="85">
        <f>STATS1003B!Y1238/1000</f>
        <v>0</v>
      </c>
      <c r="Z1237" s="85">
        <f>STATS1003B!Z1238/1000</f>
        <v>0</v>
      </c>
      <c r="AA1237" s="69">
        <f>STATS1003B!AA1238/1000</f>
        <v>475</v>
      </c>
      <c r="AB1237" s="69">
        <f>STATS1003B!AB1238/1000</f>
        <v>0</v>
      </c>
    </row>
    <row r="1238" spans="1:28" hidden="1" x14ac:dyDescent="0.3">
      <c r="A1238" s="117"/>
      <c r="C1238" s="68" t="s">
        <v>1155</v>
      </c>
      <c r="D1238" s="90" t="s">
        <v>1126</v>
      </c>
      <c r="E1238" s="85">
        <f>STATS1003B!E1239/1000</f>
        <v>248.08826000000002</v>
      </c>
      <c r="F1238" s="85">
        <f>STATS1003B!F1239/1000</f>
        <v>248.08826000000002</v>
      </c>
      <c r="G1238" s="85">
        <f>STATS1003B!G1239/1000</f>
        <v>0</v>
      </c>
      <c r="H1238" s="85">
        <f>STATS1003B!H1239/1000</f>
        <v>248.08826000000002</v>
      </c>
      <c r="I1238" s="85">
        <f>STATS1003B!I1239/1000</f>
        <v>0</v>
      </c>
      <c r="J1238" s="85">
        <f>STATS1003B!J1239/1000</f>
        <v>0</v>
      </c>
      <c r="K1238" s="85">
        <f>STATS1003B!K1239/1000</f>
        <v>0</v>
      </c>
      <c r="L1238" s="85">
        <f>STATS1003B!L1239/1000</f>
        <v>0</v>
      </c>
      <c r="M1238" s="85">
        <f>STATS1003B!M1239/1000</f>
        <v>248.08826000000002</v>
      </c>
      <c r="N1238" s="85">
        <f>STATS1003B!N1239/1000</f>
        <v>0</v>
      </c>
      <c r="O1238" s="85">
        <f>STATS1003B!O1239/1000</f>
        <v>0</v>
      </c>
      <c r="P1238" s="85">
        <f>STATS1003B!P1239/1000</f>
        <v>0</v>
      </c>
      <c r="Q1238" s="85">
        <f>STATS1003B!Q1239/1000</f>
        <v>0</v>
      </c>
      <c r="R1238" s="85">
        <f>STATS1003B!R1239/1000</f>
        <v>0</v>
      </c>
      <c r="S1238" s="85">
        <f>STATS1003B!S1239/1000</f>
        <v>0</v>
      </c>
      <c r="T1238" s="85">
        <f>STATS1003B!T1239/1000</f>
        <v>0</v>
      </c>
      <c r="U1238" s="85">
        <f>STATS1003B!U1239/1000</f>
        <v>0</v>
      </c>
      <c r="V1238" s="85">
        <f>STATS1003B!V1239/1000</f>
        <v>248.08826000000002</v>
      </c>
      <c r="W1238" s="85">
        <f>STATS1003B!W1239/1000</f>
        <v>0</v>
      </c>
      <c r="X1238" s="85">
        <f t="shared" si="148"/>
        <v>248.08826000000002</v>
      </c>
      <c r="Y1238" s="85">
        <f>STATS1003B!Y1239/1000</f>
        <v>0</v>
      </c>
      <c r="Z1238" s="85">
        <f>STATS1003B!Z1239/1000</f>
        <v>0</v>
      </c>
      <c r="AA1238" s="69">
        <f>STATS1003B!AA1239/1000</f>
        <v>248.08826000000002</v>
      </c>
      <c r="AB1238" s="69">
        <f>STATS1003B!AB1239/1000</f>
        <v>0</v>
      </c>
    </row>
    <row r="1239" spans="1:28" hidden="1" x14ac:dyDescent="0.3">
      <c r="A1239" s="117"/>
      <c r="C1239" s="93" t="s">
        <v>1205</v>
      </c>
      <c r="D1239" s="90" t="s">
        <v>1126</v>
      </c>
      <c r="E1239" s="85">
        <f>STATS1003B!E1240/1000</f>
        <v>281.34780999999998</v>
      </c>
      <c r="F1239" s="85">
        <f>STATS1003B!F1240/1000</f>
        <v>277.25680999999997</v>
      </c>
      <c r="G1239" s="85">
        <f>STATS1003B!G1240/1000</f>
        <v>0</v>
      </c>
      <c r="H1239" s="85">
        <f>STATS1003B!H1240/1000</f>
        <v>277.25680999999997</v>
      </c>
      <c r="I1239" s="85">
        <f>STATS1003B!I1240/1000</f>
        <v>0</v>
      </c>
      <c r="J1239" s="85">
        <f>STATS1003B!J1240/1000</f>
        <v>0</v>
      </c>
      <c r="K1239" s="85">
        <f>STATS1003B!K1240/1000</f>
        <v>0</v>
      </c>
      <c r="L1239" s="85">
        <f>STATS1003B!L1240/1000</f>
        <v>0</v>
      </c>
      <c r="M1239" s="85">
        <f>STATS1003B!M1240/1000</f>
        <v>277.25680999999997</v>
      </c>
      <c r="N1239" s="85">
        <f>STATS1003B!N1240/1000</f>
        <v>4.0910000000000002</v>
      </c>
      <c r="O1239" s="85">
        <f>STATS1003B!O1240/1000</f>
        <v>0</v>
      </c>
      <c r="P1239" s="85">
        <f>STATS1003B!P1240/1000</f>
        <v>4.0910000000000002</v>
      </c>
      <c r="Q1239" s="85">
        <f>STATS1003B!Q1240/1000</f>
        <v>0</v>
      </c>
      <c r="R1239" s="85">
        <f>STATS1003B!R1240/1000</f>
        <v>0</v>
      </c>
      <c r="S1239" s="85">
        <f>STATS1003B!S1240/1000</f>
        <v>0</v>
      </c>
      <c r="T1239" s="85">
        <f>STATS1003B!T1240/1000</f>
        <v>0</v>
      </c>
      <c r="U1239" s="85">
        <f>STATS1003B!U1240/1000</f>
        <v>4.0910000000000002</v>
      </c>
      <c r="V1239" s="85">
        <f>STATS1003B!V1240/1000</f>
        <v>281.34780999999998</v>
      </c>
      <c r="W1239" s="85">
        <f>STATS1003B!W1240/1000</f>
        <v>0</v>
      </c>
      <c r="X1239" s="85">
        <f t="shared" si="148"/>
        <v>281.34780999999998</v>
      </c>
      <c r="Y1239" s="85">
        <f>STATS1003B!Y1240/1000</f>
        <v>0</v>
      </c>
      <c r="Z1239" s="85">
        <f>STATS1003B!Z1240/1000</f>
        <v>0</v>
      </c>
      <c r="AA1239" s="69">
        <f>STATS1003B!AA1240/1000</f>
        <v>281.34780999999998</v>
      </c>
      <c r="AB1239" s="69">
        <f>STATS1003B!AB1240/1000</f>
        <v>0</v>
      </c>
    </row>
    <row r="1240" spans="1:28" hidden="1" x14ac:dyDescent="0.3">
      <c r="A1240" s="117"/>
      <c r="C1240" s="68" t="s">
        <v>1173</v>
      </c>
      <c r="D1240" s="90" t="s">
        <v>1126</v>
      </c>
      <c r="E1240" s="85">
        <f>STATS1003B!E1241/1000</f>
        <v>6870.3457400000007</v>
      </c>
      <c r="F1240" s="85">
        <f>STATS1003B!F1241/1000</f>
        <v>6870.3457400000007</v>
      </c>
      <c r="G1240" s="85">
        <f>STATS1003B!G1241/1000</f>
        <v>0</v>
      </c>
      <c r="H1240" s="85">
        <f>STATS1003B!H1241/1000</f>
        <v>6870.3457400000007</v>
      </c>
      <c r="I1240" s="85">
        <f>STATS1003B!I1241/1000</f>
        <v>0</v>
      </c>
      <c r="J1240" s="85">
        <f>STATS1003B!J1241/1000</f>
        <v>0</v>
      </c>
      <c r="K1240" s="85">
        <f>STATS1003B!K1241/1000</f>
        <v>0</v>
      </c>
      <c r="L1240" s="85">
        <f>STATS1003B!L1241/1000</f>
        <v>0</v>
      </c>
      <c r="M1240" s="85">
        <f>STATS1003B!M1241/1000</f>
        <v>6870.3457400000007</v>
      </c>
      <c r="N1240" s="85">
        <f>STATS1003B!N1241/1000</f>
        <v>0</v>
      </c>
      <c r="O1240" s="85">
        <f>STATS1003B!O1241/1000</f>
        <v>0</v>
      </c>
      <c r="P1240" s="85">
        <f>STATS1003B!P1241/1000</f>
        <v>0</v>
      </c>
      <c r="Q1240" s="85">
        <f>STATS1003B!Q1241/1000</f>
        <v>0</v>
      </c>
      <c r="R1240" s="85">
        <f>STATS1003B!R1241/1000</f>
        <v>0</v>
      </c>
      <c r="S1240" s="85">
        <f>STATS1003B!S1241/1000</f>
        <v>0</v>
      </c>
      <c r="T1240" s="85">
        <f>STATS1003B!T1241/1000</f>
        <v>0</v>
      </c>
      <c r="U1240" s="85">
        <f>STATS1003B!U1241/1000</f>
        <v>0</v>
      </c>
      <c r="V1240" s="85">
        <f>STATS1003B!V1241/1000</f>
        <v>6870.3457400000007</v>
      </c>
      <c r="W1240" s="85">
        <f>STATS1003B!W1241/1000</f>
        <v>0</v>
      </c>
      <c r="X1240" s="85">
        <f t="shared" si="148"/>
        <v>6870.3457400000007</v>
      </c>
      <c r="Y1240" s="85">
        <f>STATS1003B!Y1241/1000</f>
        <v>0</v>
      </c>
      <c r="Z1240" s="85">
        <f>STATS1003B!Z1241/1000</f>
        <v>0</v>
      </c>
      <c r="AA1240" s="69">
        <f>STATS1003B!AA1241/1000</f>
        <v>6870.3457400000007</v>
      </c>
      <c r="AB1240" s="69">
        <f>STATS1003B!AB1241/1000</f>
        <v>0</v>
      </c>
    </row>
    <row r="1241" spans="1:28" hidden="1" x14ac:dyDescent="0.3">
      <c r="A1241" s="117"/>
      <c r="C1241" s="68" t="s">
        <v>1080</v>
      </c>
      <c r="D1241" s="90" t="s">
        <v>1072</v>
      </c>
      <c r="E1241" s="85">
        <f>STATS1003B!E1242/1000</f>
        <v>6916.4997300000005</v>
      </c>
      <c r="F1241" s="85">
        <f>STATS1003B!F1242/1000</f>
        <v>6916.4997300000005</v>
      </c>
      <c r="G1241" s="85">
        <f>STATS1003B!G1242/1000</f>
        <v>0</v>
      </c>
      <c r="H1241" s="85">
        <f>STATS1003B!H1242/1000</f>
        <v>6916.4997300000005</v>
      </c>
      <c r="I1241" s="85">
        <f>STATS1003B!I1242/1000</f>
        <v>0</v>
      </c>
      <c r="J1241" s="85">
        <f>STATS1003B!J1242/1000</f>
        <v>0</v>
      </c>
      <c r="K1241" s="85">
        <f>STATS1003B!K1242/1000</f>
        <v>0</v>
      </c>
      <c r="L1241" s="85">
        <f>STATS1003B!L1242/1000</f>
        <v>0</v>
      </c>
      <c r="M1241" s="85">
        <f>STATS1003B!M1242/1000</f>
        <v>6916.4997300000005</v>
      </c>
      <c r="N1241" s="85">
        <f>STATS1003B!N1242/1000</f>
        <v>0</v>
      </c>
      <c r="O1241" s="85">
        <f>STATS1003B!O1242/1000</f>
        <v>0</v>
      </c>
      <c r="P1241" s="85">
        <f>STATS1003B!P1242/1000</f>
        <v>0</v>
      </c>
      <c r="Q1241" s="85">
        <f>STATS1003B!Q1242/1000</f>
        <v>0</v>
      </c>
      <c r="R1241" s="85">
        <f>STATS1003B!R1242/1000</f>
        <v>0</v>
      </c>
      <c r="S1241" s="85">
        <f>STATS1003B!S1242/1000</f>
        <v>0</v>
      </c>
      <c r="T1241" s="85">
        <f>STATS1003B!T1242/1000</f>
        <v>0</v>
      </c>
      <c r="U1241" s="85">
        <f>STATS1003B!U1242/1000</f>
        <v>0</v>
      </c>
      <c r="V1241" s="85">
        <f>STATS1003B!V1242/1000</f>
        <v>0</v>
      </c>
      <c r="W1241" s="85">
        <f>STATS1003B!W1242/1000</f>
        <v>0</v>
      </c>
      <c r="X1241" s="85">
        <f t="shared" si="148"/>
        <v>6916.4997300000005</v>
      </c>
      <c r="Y1241" s="85">
        <f>STATS1003B!Y1242/1000</f>
        <v>0</v>
      </c>
      <c r="Z1241" s="85">
        <f>STATS1003B!Z1242/1000</f>
        <v>0</v>
      </c>
      <c r="AA1241" s="69">
        <f>STATS1003B!AA1242/1000</f>
        <v>6916.4997300000005</v>
      </c>
      <c r="AB1241" s="69">
        <f>STATS1003B!AB1242/1000</f>
        <v>0</v>
      </c>
    </row>
    <row r="1242" spans="1:28" hidden="1" x14ac:dyDescent="0.3">
      <c r="A1242" s="117"/>
      <c r="C1242" s="68" t="s">
        <v>678</v>
      </c>
      <c r="E1242" s="85">
        <f>STATS1003B!E1243/1000</f>
        <v>4341.7813200000001</v>
      </c>
      <c r="F1242" s="85">
        <f>STATS1003B!F1243/1000</f>
        <v>4341.7813200000001</v>
      </c>
      <c r="G1242" s="85">
        <f>STATS1003B!G1243/1000</f>
        <v>0</v>
      </c>
      <c r="H1242" s="85">
        <f>STATS1003B!H1243/1000</f>
        <v>4341.7813200000001</v>
      </c>
      <c r="I1242" s="85">
        <f>STATS1003B!I1243/1000</f>
        <v>0</v>
      </c>
      <c r="J1242" s="85">
        <f>STATS1003B!J1243/1000</f>
        <v>4341.7813200000001</v>
      </c>
      <c r="K1242" s="85">
        <f>STATS1003B!K1243/1000</f>
        <v>0</v>
      </c>
      <c r="L1242" s="85">
        <f>STATS1003B!L1243/1000</f>
        <v>0</v>
      </c>
      <c r="M1242" s="85">
        <f>STATS1003B!M1243/1000</f>
        <v>4341.7813200000001</v>
      </c>
      <c r="N1242" s="85">
        <f>STATS1003B!N1243/1000</f>
        <v>0</v>
      </c>
      <c r="O1242" s="85">
        <f>STATS1003B!O1243/1000</f>
        <v>0</v>
      </c>
      <c r="P1242" s="85">
        <f>STATS1003B!P1243/1000</f>
        <v>0</v>
      </c>
      <c r="Q1242" s="85">
        <f>STATS1003B!Q1243/1000</f>
        <v>4341.7813200000001</v>
      </c>
      <c r="R1242" s="85">
        <f>STATS1003B!R1243/1000</f>
        <v>0</v>
      </c>
      <c r="S1242" s="85">
        <f>STATS1003B!S1243/1000</f>
        <v>0</v>
      </c>
      <c r="T1242" s="85">
        <f>STATS1003B!T1243/1000</f>
        <v>0</v>
      </c>
      <c r="U1242" s="85">
        <f>STATS1003B!U1243/1000</f>
        <v>0</v>
      </c>
      <c r="V1242" s="85">
        <f>STATS1003B!V1243/1000</f>
        <v>4341.7813200000001</v>
      </c>
      <c r="W1242" s="85">
        <f>STATS1003B!W1243/1000</f>
        <v>0</v>
      </c>
      <c r="X1242" s="85">
        <f t="shared" si="148"/>
        <v>4341.7813200000001</v>
      </c>
      <c r="Y1242" s="85">
        <f>STATS1003B!Y1243/1000</f>
        <v>0</v>
      </c>
      <c r="Z1242" s="85">
        <f>STATS1003B!Z1243/1000</f>
        <v>0</v>
      </c>
      <c r="AA1242" s="69">
        <f>STATS1003B!AA1243/1000</f>
        <v>4341.7813200000001</v>
      </c>
      <c r="AB1242" s="69">
        <f>STATS1003B!AB1243/1000</f>
        <v>0</v>
      </c>
    </row>
    <row r="1243" spans="1:28" hidden="1" x14ac:dyDescent="0.3">
      <c r="A1243" s="117"/>
      <c r="E1243" s="86" t="s">
        <v>29</v>
      </c>
      <c r="F1243" s="86" t="s">
        <v>29</v>
      </c>
      <c r="G1243" s="86" t="s">
        <v>29</v>
      </c>
      <c r="H1243" s="86" t="s">
        <v>29</v>
      </c>
      <c r="I1243" s="86" t="s">
        <v>29</v>
      </c>
      <c r="J1243" s="86" t="s">
        <v>29</v>
      </c>
      <c r="K1243" s="86" t="s">
        <v>29</v>
      </c>
      <c r="L1243" s="86" t="s">
        <v>29</v>
      </c>
      <c r="M1243" s="86" t="s">
        <v>29</v>
      </c>
      <c r="N1243" s="86" t="s">
        <v>29</v>
      </c>
      <c r="O1243" s="86" t="s">
        <v>29</v>
      </c>
      <c r="P1243" s="86" t="s">
        <v>29</v>
      </c>
      <c r="Q1243" s="86" t="s">
        <v>29</v>
      </c>
      <c r="R1243" s="86" t="s">
        <v>29</v>
      </c>
      <c r="S1243" s="86" t="s">
        <v>29</v>
      </c>
      <c r="T1243" s="86" t="s">
        <v>29</v>
      </c>
      <c r="U1243" s="86" t="s">
        <v>29</v>
      </c>
      <c r="V1243" s="86" t="s">
        <v>29</v>
      </c>
      <c r="W1243" s="86" t="s">
        <v>29</v>
      </c>
      <c r="X1243" s="85" t="e">
        <f t="shared" si="148"/>
        <v>#VALUE!</v>
      </c>
      <c r="Y1243" s="86" t="s">
        <v>29</v>
      </c>
      <c r="Z1243" s="86" t="s">
        <v>29</v>
      </c>
      <c r="AA1243" s="115" t="s">
        <v>29</v>
      </c>
      <c r="AB1243" s="115" t="s">
        <v>29</v>
      </c>
    </row>
    <row r="1244" spans="1:28" x14ac:dyDescent="0.3">
      <c r="A1244" s="116">
        <v>57</v>
      </c>
      <c r="B1244" s="68" t="s">
        <v>679</v>
      </c>
      <c r="E1244" s="85">
        <f>144679000.78/1000</f>
        <v>144679.00078</v>
      </c>
      <c r="F1244" s="85">
        <f t="shared" ref="F1244:Q1244" si="149">SUM(F1217:F1243)</f>
        <v>62664.783559999996</v>
      </c>
      <c r="G1244" s="85">
        <f t="shared" si="149"/>
        <v>0</v>
      </c>
      <c r="H1244" s="85">
        <f>140798171.77/1000</f>
        <v>140798.17177000002</v>
      </c>
      <c r="I1244" s="85">
        <f t="shared" si="149"/>
        <v>0</v>
      </c>
      <c r="J1244" s="85">
        <f t="shared" si="149"/>
        <v>47877.59302</v>
      </c>
      <c r="K1244" s="85">
        <f t="shared" si="149"/>
        <v>2671.2126699999999</v>
      </c>
      <c r="L1244" s="85">
        <f t="shared" si="149"/>
        <v>0</v>
      </c>
      <c r="M1244" s="85">
        <f t="shared" si="149"/>
        <v>62664.783559999996</v>
      </c>
      <c r="N1244" s="85">
        <f t="shared" si="149"/>
        <v>3274.7833999999998</v>
      </c>
      <c r="O1244" s="85">
        <f t="shared" si="149"/>
        <v>0</v>
      </c>
      <c r="P1244" s="85">
        <f>3274783/1000</f>
        <v>3274.7829999999999</v>
      </c>
      <c r="Q1244" s="85">
        <f t="shared" si="149"/>
        <v>47647.157870000003</v>
      </c>
      <c r="R1244" s="86"/>
      <c r="S1244" s="86"/>
      <c r="T1244" s="85">
        <f t="shared" ref="T1244:Y1244" si="150">SUM(T1217:T1243)</f>
        <v>606.04561000000001</v>
      </c>
      <c r="U1244" s="85">
        <f t="shared" si="150"/>
        <v>3880.8290099999999</v>
      </c>
      <c r="V1244" s="85">
        <f t="shared" si="150"/>
        <v>57587.106739999996</v>
      </c>
      <c r="W1244" s="85">
        <f t="shared" si="150"/>
        <v>606.04561000000035</v>
      </c>
      <c r="X1244" s="85">
        <f>+H1244+P1244</f>
        <v>144072.95477000001</v>
      </c>
      <c r="Y1244" s="85">
        <f t="shared" si="150"/>
        <v>0</v>
      </c>
      <c r="Z1244" s="85">
        <f t="shared" ref="Z1244:Z1307" si="151">+E1244-X1244</f>
        <v>606.04600999999093</v>
      </c>
      <c r="AA1244" s="69">
        <f>SUM(AA1217:AA1243)</f>
        <v>66545.612569999998</v>
      </c>
      <c r="AB1244" s="69">
        <f>SUM(AB1217:AB1243)</f>
        <v>0</v>
      </c>
    </row>
    <row r="1245" spans="1:28" hidden="1" x14ac:dyDescent="0.3">
      <c r="A1245" s="117"/>
      <c r="E1245" s="86" t="s">
        <v>29</v>
      </c>
      <c r="F1245" s="86" t="s">
        <v>29</v>
      </c>
      <c r="G1245" s="86" t="s">
        <v>29</v>
      </c>
      <c r="H1245" s="86" t="s">
        <v>29</v>
      </c>
      <c r="I1245" s="86" t="s">
        <v>29</v>
      </c>
      <c r="J1245" s="86" t="s">
        <v>29</v>
      </c>
      <c r="K1245" s="86" t="s">
        <v>29</v>
      </c>
      <c r="L1245" s="86" t="s">
        <v>29</v>
      </c>
      <c r="M1245" s="86" t="s">
        <v>29</v>
      </c>
      <c r="N1245" s="86" t="s">
        <v>29</v>
      </c>
      <c r="O1245" s="86" t="s">
        <v>29</v>
      </c>
      <c r="P1245" s="86" t="s">
        <v>29</v>
      </c>
      <c r="Q1245" s="86" t="s">
        <v>29</v>
      </c>
      <c r="R1245" s="86" t="s">
        <v>29</v>
      </c>
      <c r="S1245" s="86" t="s">
        <v>29</v>
      </c>
      <c r="T1245" s="86" t="s">
        <v>29</v>
      </c>
      <c r="U1245" s="86" t="s">
        <v>29</v>
      </c>
      <c r="V1245" s="86" t="s">
        <v>29</v>
      </c>
      <c r="W1245" s="86" t="s">
        <v>29</v>
      </c>
      <c r="X1245" s="85" t="e">
        <f t="shared" si="148"/>
        <v>#VALUE!</v>
      </c>
      <c r="Y1245" s="86" t="s">
        <v>29</v>
      </c>
      <c r="Z1245" s="85" t="e">
        <f t="shared" si="151"/>
        <v>#VALUE!</v>
      </c>
      <c r="AA1245" s="115" t="s">
        <v>29</v>
      </c>
      <c r="AB1245" s="115" t="s">
        <v>29</v>
      </c>
    </row>
    <row r="1246" spans="1:28" hidden="1" x14ac:dyDescent="0.3">
      <c r="A1246" s="105"/>
      <c r="E1246" s="84"/>
      <c r="F1246" s="84"/>
      <c r="G1246" s="84"/>
      <c r="H1246" s="84"/>
      <c r="I1246" s="84"/>
      <c r="J1246" s="84"/>
      <c r="K1246" s="84"/>
      <c r="L1246" s="84"/>
      <c r="M1246" s="84"/>
      <c r="N1246" s="84"/>
      <c r="O1246" s="84"/>
      <c r="P1246" s="84"/>
      <c r="Q1246" s="84"/>
      <c r="R1246" s="86"/>
      <c r="S1246" s="86"/>
      <c r="T1246" s="86"/>
      <c r="U1246" s="86"/>
      <c r="V1246" s="86"/>
      <c r="W1246" s="86"/>
      <c r="X1246" s="85">
        <f t="shared" si="148"/>
        <v>0</v>
      </c>
      <c r="Y1246" s="86"/>
      <c r="Z1246" s="85">
        <f t="shared" si="151"/>
        <v>0</v>
      </c>
    </row>
    <row r="1247" spans="1:28" hidden="1" x14ac:dyDescent="0.3">
      <c r="A1247" s="117"/>
      <c r="C1247" s="68" t="s">
        <v>539</v>
      </c>
      <c r="D1247" s="145" t="s">
        <v>68</v>
      </c>
      <c r="E1247" s="85">
        <f>STATS1003B!E1248/1000</f>
        <v>1575.80124</v>
      </c>
      <c r="F1247" s="85">
        <f>STATS1003B!F1248/1000</f>
        <v>0</v>
      </c>
      <c r="G1247" s="85">
        <f>STATS1003B!G1248/1000</f>
        <v>0</v>
      </c>
      <c r="H1247" s="85">
        <f>STATS1003B!H1248/1000</f>
        <v>0</v>
      </c>
      <c r="I1247" s="85">
        <f>STATS1003B!I1248/1000</f>
        <v>0</v>
      </c>
      <c r="J1247" s="85">
        <f>STATS1003B!J1248/1000</f>
        <v>0</v>
      </c>
      <c r="K1247" s="85">
        <f>STATS1003B!K1248/1000</f>
        <v>1575.80124</v>
      </c>
      <c r="L1247" s="85">
        <f>STATS1003B!L1248/1000</f>
        <v>0</v>
      </c>
      <c r="M1247" s="85">
        <f>STATS1003B!M1248/1000</f>
        <v>0</v>
      </c>
      <c r="N1247" s="85">
        <f>STATS1003B!N1248/1000</f>
        <v>1575.80124</v>
      </c>
      <c r="O1247" s="85">
        <f>STATS1003B!O1248/1000</f>
        <v>0</v>
      </c>
      <c r="P1247" s="85">
        <f>STATS1003B!P1248/1000</f>
        <v>1575.80124</v>
      </c>
      <c r="Q1247" s="85">
        <f>STATS1003B!Q1248/1000</f>
        <v>0</v>
      </c>
      <c r="R1247" s="85">
        <f>STATS1003B!R1248/1000</f>
        <v>0</v>
      </c>
      <c r="S1247" s="85">
        <f>STATS1003B!S1248/1000</f>
        <v>0</v>
      </c>
      <c r="T1247" s="85">
        <f>STATS1003B!T1248/1000</f>
        <v>0</v>
      </c>
      <c r="U1247" s="85">
        <f>STATS1003B!U1248/1000</f>
        <v>1575.80124</v>
      </c>
      <c r="V1247" s="85">
        <f>STATS1003B!V1248/1000</f>
        <v>1575.80124</v>
      </c>
      <c r="W1247" s="85">
        <f>STATS1003B!W1248/1000</f>
        <v>0</v>
      </c>
      <c r="X1247" s="85">
        <f t="shared" si="148"/>
        <v>1575.80124</v>
      </c>
      <c r="Y1247" s="85">
        <f>STATS1003B!Y1248/1000</f>
        <v>0</v>
      </c>
      <c r="Z1247" s="85">
        <f t="shared" si="151"/>
        <v>0</v>
      </c>
      <c r="AA1247" s="69">
        <f>STATS1003B!AA1248/1000</f>
        <v>1575.80124</v>
      </c>
      <c r="AB1247" s="69">
        <f>STATS1003B!AB1248/1000</f>
        <v>0</v>
      </c>
    </row>
    <row r="1248" spans="1:28" hidden="1" x14ac:dyDescent="0.3">
      <c r="A1248" s="117"/>
      <c r="C1248" s="68" t="s">
        <v>535</v>
      </c>
      <c r="D1248" s="145" t="s">
        <v>68</v>
      </c>
      <c r="E1248" s="85">
        <f>STATS1003B!E1249/1000</f>
        <v>52.572229999999983</v>
      </c>
      <c r="F1248" s="85">
        <f>STATS1003B!F1249/1000</f>
        <v>0</v>
      </c>
      <c r="G1248" s="85">
        <f>STATS1003B!G1249/1000</f>
        <v>0</v>
      </c>
      <c r="H1248" s="85">
        <f>STATS1003B!H1249/1000</f>
        <v>0</v>
      </c>
      <c r="I1248" s="85">
        <f>STATS1003B!I1249/1000</f>
        <v>0</v>
      </c>
      <c r="J1248" s="85">
        <f>STATS1003B!J1249/1000</f>
        <v>0</v>
      </c>
      <c r="K1248" s="85">
        <f>STATS1003B!K1249/1000</f>
        <v>52.572230000000005</v>
      </c>
      <c r="L1248" s="85">
        <f>STATS1003B!L1249/1000</f>
        <v>0</v>
      </c>
      <c r="M1248" s="85">
        <f>STATS1003B!M1249/1000</f>
        <v>0</v>
      </c>
      <c r="N1248" s="85">
        <f>STATS1003B!N1249/1000</f>
        <v>52.572230000000005</v>
      </c>
      <c r="O1248" s="85">
        <f>STATS1003B!O1249/1000</f>
        <v>0</v>
      </c>
      <c r="P1248" s="85">
        <f>STATS1003B!P1249/1000</f>
        <v>52.572230000000005</v>
      </c>
      <c r="Q1248" s="85">
        <f>STATS1003B!Q1249/1000</f>
        <v>0</v>
      </c>
      <c r="R1248" s="85">
        <f>STATS1003B!R1249/1000</f>
        <v>0</v>
      </c>
      <c r="S1248" s="85">
        <f>STATS1003B!S1249/1000</f>
        <v>0</v>
      </c>
      <c r="T1248" s="85">
        <f>STATS1003B!T1249/1000</f>
        <v>0</v>
      </c>
      <c r="U1248" s="85">
        <f>STATS1003B!U1249/1000</f>
        <v>52.572230000000005</v>
      </c>
      <c r="V1248" s="85">
        <f>STATS1003B!V1249/1000</f>
        <v>52.572230000000005</v>
      </c>
      <c r="W1248" s="85">
        <f>STATS1003B!W1249/1000</f>
        <v>0</v>
      </c>
      <c r="X1248" s="85">
        <f t="shared" si="148"/>
        <v>52.572230000000005</v>
      </c>
      <c r="Y1248" s="85">
        <f>STATS1003B!Y1249/1000</f>
        <v>0</v>
      </c>
      <c r="Z1248" s="85">
        <f t="shared" si="151"/>
        <v>0</v>
      </c>
      <c r="AA1248" s="69">
        <f>STATS1003B!AA1249/1000</f>
        <v>52.572230000000005</v>
      </c>
      <c r="AB1248" s="69">
        <f>STATS1003B!AB1249/1000</f>
        <v>0</v>
      </c>
    </row>
    <row r="1249" spans="1:28" hidden="1" x14ac:dyDescent="0.3">
      <c r="A1249" s="117"/>
      <c r="C1249" s="68" t="s">
        <v>686</v>
      </c>
      <c r="D1249" s="145" t="s">
        <v>68</v>
      </c>
      <c r="E1249" s="85">
        <f>STATS1003B!E1250/1000</f>
        <v>3854.78811</v>
      </c>
      <c r="F1249" s="85">
        <f>STATS1003B!F1250/1000</f>
        <v>3854.78811</v>
      </c>
      <c r="G1249" s="85">
        <f>STATS1003B!G1250/1000</f>
        <v>0</v>
      </c>
      <c r="H1249" s="85">
        <f>STATS1003B!H1250/1000</f>
        <v>3854.78811</v>
      </c>
      <c r="I1249" s="85">
        <f>STATS1003B!I1250/1000</f>
        <v>0</v>
      </c>
      <c r="J1249" s="85">
        <f>STATS1003B!J1250/1000</f>
        <v>3854.78811</v>
      </c>
      <c r="K1249" s="85">
        <f>STATS1003B!K1250/1000</f>
        <v>0</v>
      </c>
      <c r="L1249" s="85">
        <f>STATS1003B!L1250/1000</f>
        <v>0</v>
      </c>
      <c r="M1249" s="85">
        <f>STATS1003B!M1250/1000</f>
        <v>3854.78811</v>
      </c>
      <c r="N1249" s="85">
        <f>STATS1003B!N1250/1000</f>
        <v>0</v>
      </c>
      <c r="O1249" s="85">
        <f>STATS1003B!O1250/1000</f>
        <v>0</v>
      </c>
      <c r="P1249" s="85">
        <f>STATS1003B!P1250/1000</f>
        <v>0</v>
      </c>
      <c r="Q1249" s="85">
        <f>STATS1003B!Q1250/1000</f>
        <v>3854.78811</v>
      </c>
      <c r="R1249" s="85">
        <f>STATS1003B!R1250/1000</f>
        <v>0</v>
      </c>
      <c r="S1249" s="85">
        <f>STATS1003B!S1250/1000</f>
        <v>0</v>
      </c>
      <c r="T1249" s="85">
        <f>STATS1003B!T1250/1000</f>
        <v>0</v>
      </c>
      <c r="U1249" s="85">
        <f>STATS1003B!U1250/1000</f>
        <v>0</v>
      </c>
      <c r="V1249" s="85">
        <f>STATS1003B!V1250/1000</f>
        <v>3854.78811</v>
      </c>
      <c r="W1249" s="85">
        <f>STATS1003B!W1250/1000</f>
        <v>0</v>
      </c>
      <c r="X1249" s="85">
        <f t="shared" si="148"/>
        <v>3854.78811</v>
      </c>
      <c r="Y1249" s="85">
        <f>STATS1003B!Y1250/1000</f>
        <v>0</v>
      </c>
      <c r="Z1249" s="85">
        <f t="shared" si="151"/>
        <v>0</v>
      </c>
      <c r="AA1249" s="69">
        <f>STATS1003B!AA1250/1000</f>
        <v>3854.78811</v>
      </c>
      <c r="AB1249" s="69">
        <f>STATS1003B!AB1250/1000</f>
        <v>0</v>
      </c>
    </row>
    <row r="1250" spans="1:28" hidden="1" x14ac:dyDescent="0.3">
      <c r="A1250" s="117"/>
      <c r="C1250" s="68" t="s">
        <v>604</v>
      </c>
      <c r="D1250" s="145" t="s">
        <v>68</v>
      </c>
      <c r="E1250" s="85">
        <f>STATS1003B!E1251/1000</f>
        <v>340</v>
      </c>
      <c r="F1250" s="85">
        <f>STATS1003B!F1251/1000</f>
        <v>340</v>
      </c>
      <c r="G1250" s="85">
        <f>STATS1003B!G1251/1000</f>
        <v>0</v>
      </c>
      <c r="H1250" s="85">
        <f>STATS1003B!H1251/1000</f>
        <v>340</v>
      </c>
      <c r="I1250" s="85">
        <f>STATS1003B!I1251/1000</f>
        <v>0</v>
      </c>
      <c r="J1250" s="85">
        <f>STATS1003B!J1251/1000</f>
        <v>340</v>
      </c>
      <c r="K1250" s="85">
        <f>STATS1003B!K1251/1000</f>
        <v>0</v>
      </c>
      <c r="L1250" s="85">
        <f>STATS1003B!L1251/1000</f>
        <v>0</v>
      </c>
      <c r="M1250" s="85">
        <f>STATS1003B!M1251/1000</f>
        <v>340</v>
      </c>
      <c r="N1250" s="85">
        <f>STATS1003B!N1251/1000</f>
        <v>0</v>
      </c>
      <c r="O1250" s="85">
        <f>STATS1003B!O1251/1000</f>
        <v>0</v>
      </c>
      <c r="P1250" s="85">
        <f>STATS1003B!P1251/1000</f>
        <v>0</v>
      </c>
      <c r="Q1250" s="85">
        <f>STATS1003B!Q1251/1000</f>
        <v>340</v>
      </c>
      <c r="R1250" s="85">
        <f>STATS1003B!R1251/1000</f>
        <v>0</v>
      </c>
      <c r="S1250" s="85">
        <f>STATS1003B!S1251/1000</f>
        <v>0</v>
      </c>
      <c r="T1250" s="85">
        <f>STATS1003B!T1251/1000</f>
        <v>0</v>
      </c>
      <c r="U1250" s="85">
        <f>STATS1003B!U1251/1000</f>
        <v>0</v>
      </c>
      <c r="V1250" s="85">
        <f>STATS1003B!V1251/1000</f>
        <v>340</v>
      </c>
      <c r="W1250" s="85">
        <f>STATS1003B!W1251/1000</f>
        <v>0</v>
      </c>
      <c r="X1250" s="85">
        <f t="shared" si="148"/>
        <v>340</v>
      </c>
      <c r="Y1250" s="85">
        <f>STATS1003B!Y1251/1000</f>
        <v>0</v>
      </c>
      <c r="Z1250" s="85">
        <f t="shared" si="151"/>
        <v>0</v>
      </c>
      <c r="AA1250" s="69">
        <f>STATS1003B!AA1251/1000</f>
        <v>340</v>
      </c>
      <c r="AB1250" s="69">
        <f>STATS1003B!AB1251/1000</f>
        <v>0</v>
      </c>
    </row>
    <row r="1251" spans="1:28" hidden="1" x14ac:dyDescent="0.3">
      <c r="A1251" s="117"/>
      <c r="C1251" s="68" t="s">
        <v>535</v>
      </c>
      <c r="D1251" s="145" t="s">
        <v>54</v>
      </c>
      <c r="E1251" s="85">
        <f>STATS1003B!E1252/1000</f>
        <v>285</v>
      </c>
      <c r="F1251" s="85">
        <f>STATS1003B!F1252/1000</f>
        <v>285</v>
      </c>
      <c r="G1251" s="85">
        <f>STATS1003B!G1252/1000</f>
        <v>0</v>
      </c>
      <c r="H1251" s="85">
        <f>STATS1003B!H1252/1000</f>
        <v>285</v>
      </c>
      <c r="I1251" s="85">
        <f>STATS1003B!I1252/1000</f>
        <v>0</v>
      </c>
      <c r="J1251" s="85">
        <f>STATS1003B!J1252/1000</f>
        <v>285</v>
      </c>
      <c r="K1251" s="85">
        <f>STATS1003B!K1252/1000</f>
        <v>0</v>
      </c>
      <c r="L1251" s="85">
        <f>STATS1003B!L1252/1000</f>
        <v>0</v>
      </c>
      <c r="M1251" s="85">
        <f>STATS1003B!M1252/1000</f>
        <v>285</v>
      </c>
      <c r="N1251" s="85">
        <f>STATS1003B!N1252/1000</f>
        <v>0</v>
      </c>
      <c r="O1251" s="85">
        <f>STATS1003B!O1252/1000</f>
        <v>0</v>
      </c>
      <c r="P1251" s="85">
        <f>STATS1003B!P1252/1000</f>
        <v>0</v>
      </c>
      <c r="Q1251" s="85">
        <f>STATS1003B!Q1252/1000</f>
        <v>285</v>
      </c>
      <c r="R1251" s="85">
        <f>STATS1003B!R1252/1000</f>
        <v>0</v>
      </c>
      <c r="S1251" s="85">
        <f>STATS1003B!S1252/1000</f>
        <v>0</v>
      </c>
      <c r="T1251" s="85">
        <f>STATS1003B!T1252/1000</f>
        <v>0</v>
      </c>
      <c r="U1251" s="85">
        <f>STATS1003B!U1252/1000</f>
        <v>0</v>
      </c>
      <c r="V1251" s="85">
        <f>STATS1003B!V1252/1000</f>
        <v>285</v>
      </c>
      <c r="W1251" s="85">
        <f>STATS1003B!W1252/1000</f>
        <v>0</v>
      </c>
      <c r="X1251" s="85">
        <f t="shared" si="148"/>
        <v>285</v>
      </c>
      <c r="Y1251" s="85">
        <f>STATS1003B!Y1252/1000</f>
        <v>0</v>
      </c>
      <c r="Z1251" s="85">
        <f t="shared" si="151"/>
        <v>0</v>
      </c>
      <c r="AA1251" s="69">
        <f>STATS1003B!AA1252/1000</f>
        <v>285</v>
      </c>
      <c r="AB1251" s="69">
        <f>STATS1003B!AB1252/1000</f>
        <v>0</v>
      </c>
    </row>
    <row r="1252" spans="1:28" hidden="1" x14ac:dyDescent="0.3">
      <c r="A1252" s="117"/>
      <c r="C1252" s="68" t="s">
        <v>545</v>
      </c>
      <c r="D1252" s="145" t="s">
        <v>54</v>
      </c>
      <c r="E1252" s="85">
        <f>STATS1003B!E1253/1000</f>
        <v>2306.1060000000002</v>
      </c>
      <c r="F1252" s="85">
        <f>STATS1003B!F1253/1000</f>
        <v>0</v>
      </c>
      <c r="G1252" s="85">
        <f>STATS1003B!G1253/1000</f>
        <v>0</v>
      </c>
      <c r="H1252" s="85">
        <f>STATS1003B!H1253/1000</f>
        <v>0</v>
      </c>
      <c r="I1252" s="85">
        <f>STATS1003B!I1253/1000</f>
        <v>0</v>
      </c>
      <c r="J1252" s="85">
        <f>STATS1003B!J1253/1000</f>
        <v>0</v>
      </c>
      <c r="K1252" s="85">
        <f>STATS1003B!K1253/1000</f>
        <v>2306.1060000000002</v>
      </c>
      <c r="L1252" s="85">
        <f>STATS1003B!L1253/1000</f>
        <v>0</v>
      </c>
      <c r="M1252" s="85">
        <f>STATS1003B!M1253/1000</f>
        <v>0</v>
      </c>
      <c r="N1252" s="85">
        <f>STATS1003B!N1253/1000</f>
        <v>2306.1060000000002</v>
      </c>
      <c r="O1252" s="85">
        <f>STATS1003B!O1253/1000</f>
        <v>0</v>
      </c>
      <c r="P1252" s="85">
        <f>STATS1003B!P1253/1000</f>
        <v>2306.1060000000002</v>
      </c>
      <c r="Q1252" s="85">
        <f>STATS1003B!Q1253/1000</f>
        <v>0</v>
      </c>
      <c r="R1252" s="85">
        <f>STATS1003B!R1253/1000</f>
        <v>0</v>
      </c>
      <c r="S1252" s="85">
        <f>STATS1003B!S1253/1000</f>
        <v>0</v>
      </c>
      <c r="T1252" s="85">
        <f>STATS1003B!T1253/1000</f>
        <v>0</v>
      </c>
      <c r="U1252" s="85">
        <f>STATS1003B!U1253/1000</f>
        <v>2306.1060000000002</v>
      </c>
      <c r="V1252" s="85">
        <f>STATS1003B!V1253/1000</f>
        <v>2306.1060000000002</v>
      </c>
      <c r="W1252" s="85">
        <f>STATS1003B!W1253/1000</f>
        <v>0</v>
      </c>
      <c r="X1252" s="85">
        <f t="shared" si="148"/>
        <v>2306.1060000000002</v>
      </c>
      <c r="Y1252" s="85">
        <f>STATS1003B!Y1253/1000</f>
        <v>0</v>
      </c>
      <c r="Z1252" s="85">
        <f t="shared" si="151"/>
        <v>0</v>
      </c>
      <c r="AA1252" s="69">
        <f>STATS1003B!AA1253/1000</f>
        <v>2306.1060000000002</v>
      </c>
      <c r="AB1252" s="69">
        <f>STATS1003B!AB1253/1000</f>
        <v>0</v>
      </c>
    </row>
    <row r="1253" spans="1:28" hidden="1" x14ac:dyDescent="0.3">
      <c r="A1253" s="117"/>
      <c r="C1253" s="68" t="s">
        <v>655</v>
      </c>
      <c r="D1253" s="145" t="s">
        <v>54</v>
      </c>
      <c r="E1253" s="85">
        <f>STATS1003B!E1254/1000</f>
        <v>955.34561999999994</v>
      </c>
      <c r="F1253" s="85">
        <f>STATS1003B!F1254/1000</f>
        <v>0</v>
      </c>
      <c r="G1253" s="85">
        <f>STATS1003B!G1254/1000</f>
        <v>0</v>
      </c>
      <c r="H1253" s="85">
        <f>STATS1003B!H1254/1000</f>
        <v>0</v>
      </c>
      <c r="I1253" s="85">
        <f>STATS1003B!I1254/1000</f>
        <v>0</v>
      </c>
      <c r="J1253" s="85">
        <f>STATS1003B!J1254/1000</f>
        <v>0</v>
      </c>
      <c r="K1253" s="85">
        <f>STATS1003B!K1254/1000</f>
        <v>955.34561999999994</v>
      </c>
      <c r="L1253" s="85">
        <f>STATS1003B!L1254/1000</f>
        <v>0</v>
      </c>
      <c r="M1253" s="85">
        <f>STATS1003B!M1254/1000</f>
        <v>0</v>
      </c>
      <c r="N1253" s="85">
        <f>STATS1003B!N1254/1000</f>
        <v>955.34561999999994</v>
      </c>
      <c r="O1253" s="85">
        <f>STATS1003B!O1254/1000</f>
        <v>0</v>
      </c>
      <c r="P1253" s="85">
        <f>STATS1003B!P1254/1000</f>
        <v>955.34561999999994</v>
      </c>
      <c r="Q1253" s="85">
        <f>STATS1003B!Q1254/1000</f>
        <v>0</v>
      </c>
      <c r="R1253" s="85">
        <f>STATS1003B!R1254/1000</f>
        <v>0</v>
      </c>
      <c r="S1253" s="85">
        <f>STATS1003B!S1254/1000</f>
        <v>0</v>
      </c>
      <c r="T1253" s="85">
        <f>STATS1003B!T1254/1000</f>
        <v>0</v>
      </c>
      <c r="U1253" s="85">
        <f>STATS1003B!U1254/1000</f>
        <v>955.34561999999994</v>
      </c>
      <c r="V1253" s="85">
        <f>STATS1003B!V1254/1000</f>
        <v>955.34561999999994</v>
      </c>
      <c r="W1253" s="85">
        <f>STATS1003B!W1254/1000</f>
        <v>0</v>
      </c>
      <c r="X1253" s="85">
        <f t="shared" si="148"/>
        <v>955.34561999999994</v>
      </c>
      <c r="Y1253" s="85">
        <f>STATS1003B!Y1254/1000</f>
        <v>0</v>
      </c>
      <c r="Z1253" s="85">
        <f t="shared" si="151"/>
        <v>0</v>
      </c>
      <c r="AA1253" s="69">
        <f>STATS1003B!AA1254/1000</f>
        <v>955.34561999999994</v>
      </c>
      <c r="AB1253" s="69">
        <f>STATS1003B!AB1254/1000</f>
        <v>0</v>
      </c>
    </row>
    <row r="1254" spans="1:28" hidden="1" x14ac:dyDescent="0.3">
      <c r="A1254" s="117"/>
      <c r="C1254" s="68" t="s">
        <v>687</v>
      </c>
      <c r="D1254" s="145" t="s">
        <v>85</v>
      </c>
      <c r="E1254" s="85">
        <f>STATS1003B!E1255/1000</f>
        <v>100</v>
      </c>
      <c r="F1254" s="85">
        <f>STATS1003B!F1255/1000</f>
        <v>100</v>
      </c>
      <c r="G1254" s="85">
        <f>STATS1003B!G1255/1000</f>
        <v>0</v>
      </c>
      <c r="H1254" s="85">
        <f>STATS1003B!H1255/1000</f>
        <v>100</v>
      </c>
      <c r="I1254" s="85">
        <f>STATS1003B!I1255/1000</f>
        <v>0</v>
      </c>
      <c r="J1254" s="85">
        <f>STATS1003B!J1255/1000</f>
        <v>100</v>
      </c>
      <c r="K1254" s="85">
        <f>STATS1003B!K1255/1000</f>
        <v>0</v>
      </c>
      <c r="L1254" s="85">
        <f>STATS1003B!L1255/1000</f>
        <v>0</v>
      </c>
      <c r="M1254" s="85">
        <f>STATS1003B!M1255/1000</f>
        <v>100</v>
      </c>
      <c r="N1254" s="85">
        <f>STATS1003B!N1255/1000</f>
        <v>0</v>
      </c>
      <c r="O1254" s="85">
        <f>STATS1003B!O1255/1000</f>
        <v>0</v>
      </c>
      <c r="P1254" s="85">
        <f>STATS1003B!P1255/1000</f>
        <v>0</v>
      </c>
      <c r="Q1254" s="85">
        <f>STATS1003B!Q1255/1000</f>
        <v>100</v>
      </c>
      <c r="R1254" s="85">
        <f>STATS1003B!R1255/1000</f>
        <v>0</v>
      </c>
      <c r="S1254" s="85">
        <f>STATS1003B!S1255/1000</f>
        <v>0</v>
      </c>
      <c r="T1254" s="85">
        <f>STATS1003B!T1255/1000</f>
        <v>0</v>
      </c>
      <c r="U1254" s="85">
        <f>STATS1003B!U1255/1000</f>
        <v>0</v>
      </c>
      <c r="V1254" s="85">
        <f>STATS1003B!V1255/1000</f>
        <v>100</v>
      </c>
      <c r="W1254" s="85">
        <f>STATS1003B!W1255/1000</f>
        <v>0</v>
      </c>
      <c r="X1254" s="85">
        <f t="shared" si="148"/>
        <v>100</v>
      </c>
      <c r="Y1254" s="85">
        <f>STATS1003B!Y1255/1000</f>
        <v>0</v>
      </c>
      <c r="Z1254" s="85">
        <f t="shared" si="151"/>
        <v>0</v>
      </c>
      <c r="AA1254" s="69">
        <f>STATS1003B!AA1255/1000</f>
        <v>100</v>
      </c>
      <c r="AB1254" s="69">
        <f>STATS1003B!AB1255/1000</f>
        <v>0</v>
      </c>
    </row>
    <row r="1255" spans="1:28" hidden="1" x14ac:dyDescent="0.3">
      <c r="A1255" s="117"/>
      <c r="B1255" s="68" t="s">
        <v>688</v>
      </c>
      <c r="E1255" s="85">
        <f>STATS1003B!E1256/1000</f>
        <v>400</v>
      </c>
      <c r="F1255" s="85">
        <f>STATS1003B!F1256/1000</f>
        <v>400</v>
      </c>
      <c r="G1255" s="85">
        <f>STATS1003B!G1256/1000</f>
        <v>0</v>
      </c>
      <c r="H1255" s="85">
        <f>STATS1003B!H1256/1000</f>
        <v>400</v>
      </c>
      <c r="I1255" s="85">
        <f>STATS1003B!I1256/1000</f>
        <v>0</v>
      </c>
      <c r="J1255" s="85">
        <f>STATS1003B!J1256/1000</f>
        <v>400</v>
      </c>
      <c r="K1255" s="85">
        <f>STATS1003B!K1256/1000</f>
        <v>0</v>
      </c>
      <c r="L1255" s="85">
        <f>STATS1003B!L1256/1000</f>
        <v>0</v>
      </c>
      <c r="M1255" s="85">
        <f>STATS1003B!M1256/1000</f>
        <v>400</v>
      </c>
      <c r="N1255" s="85">
        <f>STATS1003B!N1256/1000</f>
        <v>0</v>
      </c>
      <c r="O1255" s="85">
        <f>STATS1003B!O1256/1000</f>
        <v>0</v>
      </c>
      <c r="P1255" s="85">
        <f>STATS1003B!P1256/1000</f>
        <v>0</v>
      </c>
      <c r="Q1255" s="85">
        <f>STATS1003B!Q1256/1000</f>
        <v>400</v>
      </c>
      <c r="R1255" s="85">
        <f>STATS1003B!R1256/1000</f>
        <v>0</v>
      </c>
      <c r="S1255" s="85">
        <f>STATS1003B!S1256/1000</f>
        <v>0</v>
      </c>
      <c r="T1255" s="85">
        <f>STATS1003B!T1256/1000</f>
        <v>0</v>
      </c>
      <c r="U1255" s="85">
        <f>STATS1003B!U1256/1000</f>
        <v>0</v>
      </c>
      <c r="V1255" s="85">
        <f>STATS1003B!V1256/1000</f>
        <v>400</v>
      </c>
      <c r="W1255" s="85">
        <f>STATS1003B!W1256/1000</f>
        <v>0</v>
      </c>
      <c r="X1255" s="85">
        <f t="shared" si="148"/>
        <v>400</v>
      </c>
      <c r="Y1255" s="85">
        <f>STATS1003B!Y1256/1000</f>
        <v>0</v>
      </c>
      <c r="Z1255" s="85">
        <f t="shared" si="151"/>
        <v>0</v>
      </c>
      <c r="AA1255" s="69">
        <f>STATS1003B!AA1256/1000</f>
        <v>400</v>
      </c>
      <c r="AB1255" s="69">
        <f>STATS1003B!AB1256/1000</f>
        <v>0</v>
      </c>
    </row>
    <row r="1256" spans="1:28" hidden="1" x14ac:dyDescent="0.3">
      <c r="A1256" s="117"/>
      <c r="B1256" s="68" t="s">
        <v>688</v>
      </c>
      <c r="E1256" s="85">
        <f>STATS1003B!E1257/1000</f>
        <v>0</v>
      </c>
      <c r="F1256" s="85">
        <f>STATS1003B!F1257/1000</f>
        <v>0</v>
      </c>
      <c r="G1256" s="85">
        <f>STATS1003B!G1257/1000</f>
        <v>0</v>
      </c>
      <c r="H1256" s="85">
        <f>STATS1003B!H1257/1000</f>
        <v>0</v>
      </c>
      <c r="I1256" s="85">
        <f>STATS1003B!I1257/1000</f>
        <v>0</v>
      </c>
      <c r="J1256" s="85">
        <f>STATS1003B!J1257/1000</f>
        <v>0</v>
      </c>
      <c r="K1256" s="85">
        <f>STATS1003B!K1257/1000</f>
        <v>0</v>
      </c>
      <c r="L1256" s="85">
        <f>STATS1003B!L1257/1000</f>
        <v>0</v>
      </c>
      <c r="M1256" s="85">
        <f>STATS1003B!M1257/1000</f>
        <v>0</v>
      </c>
      <c r="N1256" s="85">
        <f>STATS1003B!N1257/1000</f>
        <v>0</v>
      </c>
      <c r="O1256" s="85">
        <f>STATS1003B!O1257/1000</f>
        <v>0</v>
      </c>
      <c r="P1256" s="85">
        <f>STATS1003B!P1257/1000</f>
        <v>0</v>
      </c>
      <c r="Q1256" s="85">
        <f>STATS1003B!Q1257/1000</f>
        <v>0</v>
      </c>
      <c r="R1256" s="85">
        <f>STATS1003B!R1257/1000</f>
        <v>0</v>
      </c>
      <c r="S1256" s="85">
        <f>STATS1003B!S1257/1000</f>
        <v>0</v>
      </c>
      <c r="T1256" s="85">
        <f>STATS1003B!T1257/1000</f>
        <v>0</v>
      </c>
      <c r="U1256" s="85">
        <f>STATS1003B!U1257/1000</f>
        <v>0</v>
      </c>
      <c r="V1256" s="85">
        <f>STATS1003B!V1257/1000</f>
        <v>0</v>
      </c>
      <c r="W1256" s="85">
        <f>STATS1003B!W1257/1000</f>
        <v>0</v>
      </c>
      <c r="X1256" s="85">
        <f t="shared" si="148"/>
        <v>0</v>
      </c>
      <c r="Y1256" s="85">
        <f>STATS1003B!Y1257/1000</f>
        <v>0</v>
      </c>
      <c r="Z1256" s="85">
        <f t="shared" si="151"/>
        <v>0</v>
      </c>
      <c r="AA1256" s="69">
        <f>STATS1003B!AA1257/1000</f>
        <v>0</v>
      </c>
      <c r="AB1256" s="69">
        <f>STATS1003B!AB1257/1000</f>
        <v>0</v>
      </c>
    </row>
    <row r="1257" spans="1:28" hidden="1" x14ac:dyDescent="0.3">
      <c r="A1257" s="117"/>
      <c r="C1257" s="68" t="s">
        <v>535</v>
      </c>
      <c r="D1257" s="145" t="s">
        <v>88</v>
      </c>
      <c r="E1257" s="85">
        <f>STATS1003B!E1258/1000</f>
        <v>3036.3992899999998</v>
      </c>
      <c r="F1257" s="85">
        <f>STATS1003B!F1258/1000</f>
        <v>3036.3992899999998</v>
      </c>
      <c r="G1257" s="85">
        <f>STATS1003B!G1258/1000</f>
        <v>0</v>
      </c>
      <c r="H1257" s="85">
        <f>STATS1003B!H1258/1000</f>
        <v>3036.3992899999998</v>
      </c>
      <c r="I1257" s="85">
        <f>STATS1003B!I1258/1000</f>
        <v>0</v>
      </c>
      <c r="J1257" s="85">
        <f>STATS1003B!J1258/1000</f>
        <v>3036.3992899999998</v>
      </c>
      <c r="K1257" s="85">
        <f>STATS1003B!K1258/1000</f>
        <v>0</v>
      </c>
      <c r="L1257" s="85">
        <f>STATS1003B!L1258/1000</f>
        <v>0</v>
      </c>
      <c r="M1257" s="85">
        <f>STATS1003B!M1258/1000</f>
        <v>3036.3992899999998</v>
      </c>
      <c r="N1257" s="85">
        <f>STATS1003B!N1258/1000</f>
        <v>0</v>
      </c>
      <c r="O1257" s="85">
        <f>STATS1003B!O1258/1000</f>
        <v>0</v>
      </c>
      <c r="P1257" s="85">
        <f>STATS1003B!P1258/1000</f>
        <v>0</v>
      </c>
      <c r="Q1257" s="85">
        <f>STATS1003B!Q1258/1000</f>
        <v>3036.3992899999998</v>
      </c>
      <c r="R1257" s="85">
        <f>STATS1003B!R1258/1000</f>
        <v>0</v>
      </c>
      <c r="S1257" s="85">
        <f>STATS1003B!S1258/1000</f>
        <v>0</v>
      </c>
      <c r="T1257" s="85">
        <f>STATS1003B!T1258/1000</f>
        <v>0</v>
      </c>
      <c r="U1257" s="85">
        <f>STATS1003B!U1258/1000</f>
        <v>0</v>
      </c>
      <c r="V1257" s="85">
        <f>STATS1003B!V1258/1000</f>
        <v>3036.3992899999998</v>
      </c>
      <c r="W1257" s="85">
        <f>STATS1003B!W1258/1000</f>
        <v>0</v>
      </c>
      <c r="X1257" s="85">
        <f t="shared" si="148"/>
        <v>3036.3992899999998</v>
      </c>
      <c r="Y1257" s="85">
        <f>STATS1003B!Y1258/1000</f>
        <v>0</v>
      </c>
      <c r="Z1257" s="85">
        <f t="shared" si="151"/>
        <v>0</v>
      </c>
      <c r="AA1257" s="69">
        <f>STATS1003B!AA1258/1000</f>
        <v>3036.3992899999998</v>
      </c>
      <c r="AB1257" s="69">
        <f>STATS1003B!AB1258/1000</f>
        <v>0</v>
      </c>
    </row>
    <row r="1258" spans="1:28" hidden="1" x14ac:dyDescent="0.3">
      <c r="A1258" s="117"/>
      <c r="B1258" s="68" t="s">
        <v>642</v>
      </c>
      <c r="C1258" s="68" t="s">
        <v>535</v>
      </c>
      <c r="D1258" s="145" t="s">
        <v>108</v>
      </c>
      <c r="E1258" s="85">
        <f>STATS1003B!E1259/1000</f>
        <v>1517.4739999999999</v>
      </c>
      <c r="F1258" s="85">
        <f>STATS1003B!F1259/1000</f>
        <v>1517.4739999999999</v>
      </c>
      <c r="G1258" s="85">
        <f>STATS1003B!G1259/1000</f>
        <v>0</v>
      </c>
      <c r="H1258" s="85">
        <f>STATS1003B!H1259/1000</f>
        <v>1517.4739999999999</v>
      </c>
      <c r="I1258" s="85">
        <f>STATS1003B!I1259/1000</f>
        <v>0</v>
      </c>
      <c r="J1258" s="85">
        <f>STATS1003B!J1259/1000</f>
        <v>1517.4739999999999</v>
      </c>
      <c r="K1258" s="85">
        <f>STATS1003B!K1259/1000</f>
        <v>0</v>
      </c>
      <c r="L1258" s="85">
        <f>STATS1003B!L1259/1000</f>
        <v>0</v>
      </c>
      <c r="M1258" s="85">
        <f>STATS1003B!M1259/1000</f>
        <v>1517.4739999999999</v>
      </c>
      <c r="N1258" s="85">
        <f>STATS1003B!N1259/1000</f>
        <v>0</v>
      </c>
      <c r="O1258" s="85">
        <f>STATS1003B!O1259/1000</f>
        <v>0</v>
      </c>
      <c r="P1258" s="85">
        <f>STATS1003B!P1259/1000</f>
        <v>0</v>
      </c>
      <c r="Q1258" s="85">
        <f>STATS1003B!Q1259/1000</f>
        <v>1517.4739999999999</v>
      </c>
      <c r="R1258" s="85">
        <f>STATS1003B!R1259/1000</f>
        <v>0</v>
      </c>
      <c r="S1258" s="85">
        <f>STATS1003B!S1259/1000</f>
        <v>0</v>
      </c>
      <c r="T1258" s="85">
        <f>STATS1003B!T1259/1000</f>
        <v>0</v>
      </c>
      <c r="U1258" s="85">
        <f>STATS1003B!U1259/1000</f>
        <v>0</v>
      </c>
      <c r="V1258" s="85">
        <f>STATS1003B!V1259/1000</f>
        <v>1517.4739999999999</v>
      </c>
      <c r="W1258" s="85">
        <f>STATS1003B!W1259/1000</f>
        <v>0</v>
      </c>
      <c r="X1258" s="85">
        <f t="shared" si="148"/>
        <v>1517.4739999999999</v>
      </c>
      <c r="Y1258" s="85">
        <f>STATS1003B!Y1259/1000</f>
        <v>0</v>
      </c>
      <c r="Z1258" s="85">
        <f t="shared" si="151"/>
        <v>0</v>
      </c>
      <c r="AA1258" s="69">
        <f>STATS1003B!AA1259/1000</f>
        <v>1517.4739999999999</v>
      </c>
      <c r="AB1258" s="69">
        <f>STATS1003B!AB1259/1000</f>
        <v>0</v>
      </c>
    </row>
    <row r="1259" spans="1:28" hidden="1" x14ac:dyDescent="0.3">
      <c r="A1259" s="117"/>
      <c r="C1259" s="68" t="s">
        <v>535</v>
      </c>
      <c r="D1259" s="145" t="s">
        <v>108</v>
      </c>
      <c r="E1259" s="85">
        <f>STATS1003B!E1260/1000</f>
        <v>10685.838689999999</v>
      </c>
      <c r="F1259" s="85">
        <f>STATS1003B!F1260/1000</f>
        <v>10685.838689999999</v>
      </c>
      <c r="G1259" s="85">
        <f>STATS1003B!G1260/1000</f>
        <v>0</v>
      </c>
      <c r="H1259" s="85">
        <f>STATS1003B!H1260/1000</f>
        <v>10685.838689999999</v>
      </c>
      <c r="I1259" s="85">
        <f>STATS1003B!I1260/1000</f>
        <v>0</v>
      </c>
      <c r="J1259" s="85">
        <f>STATS1003B!J1260/1000</f>
        <v>10685.838689999999</v>
      </c>
      <c r="K1259" s="85">
        <f>STATS1003B!K1260/1000</f>
        <v>0</v>
      </c>
      <c r="L1259" s="85">
        <f>STATS1003B!L1260/1000</f>
        <v>0</v>
      </c>
      <c r="M1259" s="85">
        <f>STATS1003B!M1260/1000</f>
        <v>10685.838689999999</v>
      </c>
      <c r="N1259" s="85">
        <f>STATS1003B!N1260/1000</f>
        <v>0</v>
      </c>
      <c r="O1259" s="85">
        <f>STATS1003B!O1260/1000</f>
        <v>0</v>
      </c>
      <c r="P1259" s="85">
        <f>STATS1003B!P1260/1000</f>
        <v>0</v>
      </c>
      <c r="Q1259" s="85">
        <f>STATS1003B!Q1260/1000</f>
        <v>10685.838689999999</v>
      </c>
      <c r="R1259" s="85">
        <f>STATS1003B!R1260/1000</f>
        <v>0</v>
      </c>
      <c r="S1259" s="85">
        <f>STATS1003B!S1260/1000</f>
        <v>0</v>
      </c>
      <c r="T1259" s="85">
        <f>STATS1003B!T1260/1000</f>
        <v>0</v>
      </c>
      <c r="U1259" s="85">
        <f>STATS1003B!U1260/1000</f>
        <v>0</v>
      </c>
      <c r="V1259" s="85">
        <f>STATS1003B!V1260/1000</f>
        <v>10685.838689999999</v>
      </c>
      <c r="W1259" s="85">
        <f>STATS1003B!W1260/1000</f>
        <v>0</v>
      </c>
      <c r="X1259" s="85">
        <f t="shared" si="148"/>
        <v>10685.838689999999</v>
      </c>
      <c r="Y1259" s="85">
        <f>STATS1003B!Y1260/1000</f>
        <v>0</v>
      </c>
      <c r="Z1259" s="85">
        <f t="shared" si="151"/>
        <v>0</v>
      </c>
      <c r="AA1259" s="69">
        <f>STATS1003B!AA1260/1000</f>
        <v>10685.838689999999</v>
      </c>
      <c r="AB1259" s="69">
        <f>STATS1003B!AB1260/1000</f>
        <v>0</v>
      </c>
    </row>
    <row r="1260" spans="1:28" hidden="1" x14ac:dyDescent="0.3">
      <c r="A1260" s="117"/>
      <c r="C1260" s="68" t="s">
        <v>535</v>
      </c>
      <c r="D1260" s="145" t="s">
        <v>58</v>
      </c>
      <c r="E1260" s="85">
        <f>STATS1003B!E1261/1000</f>
        <v>6684.8990000000003</v>
      </c>
      <c r="F1260" s="85">
        <f>STATS1003B!F1261/1000</f>
        <v>6684.8990000000003</v>
      </c>
      <c r="G1260" s="85">
        <f>STATS1003B!G1261/1000</f>
        <v>0</v>
      </c>
      <c r="H1260" s="85">
        <f>STATS1003B!H1261/1000</f>
        <v>6684.8990000000003</v>
      </c>
      <c r="I1260" s="85">
        <f>STATS1003B!I1261/1000</f>
        <v>0</v>
      </c>
      <c r="J1260" s="85">
        <f>STATS1003B!J1261/1000</f>
        <v>6684.8990000000003</v>
      </c>
      <c r="K1260" s="85">
        <f>STATS1003B!K1261/1000</f>
        <v>0</v>
      </c>
      <c r="L1260" s="85">
        <f>STATS1003B!L1261/1000</f>
        <v>0</v>
      </c>
      <c r="M1260" s="85">
        <f>STATS1003B!M1261/1000</f>
        <v>6684.8990000000003</v>
      </c>
      <c r="N1260" s="85">
        <f>STATS1003B!N1261/1000</f>
        <v>0</v>
      </c>
      <c r="O1260" s="85">
        <f>STATS1003B!O1261/1000</f>
        <v>0</v>
      </c>
      <c r="P1260" s="85">
        <f>STATS1003B!P1261/1000</f>
        <v>0</v>
      </c>
      <c r="Q1260" s="85">
        <f>STATS1003B!Q1261/1000</f>
        <v>6684.8990000000003</v>
      </c>
      <c r="R1260" s="85">
        <f>STATS1003B!R1261/1000</f>
        <v>0</v>
      </c>
      <c r="S1260" s="85">
        <f>STATS1003B!S1261/1000</f>
        <v>0</v>
      </c>
      <c r="T1260" s="85">
        <f>STATS1003B!T1261/1000</f>
        <v>0</v>
      </c>
      <c r="U1260" s="85">
        <f>STATS1003B!U1261/1000</f>
        <v>0</v>
      </c>
      <c r="V1260" s="85">
        <f>STATS1003B!V1261/1000</f>
        <v>6684.8990000000003</v>
      </c>
      <c r="W1260" s="85">
        <f>STATS1003B!W1261/1000</f>
        <v>0</v>
      </c>
      <c r="X1260" s="85">
        <f t="shared" si="148"/>
        <v>6684.8990000000003</v>
      </c>
      <c r="Y1260" s="85">
        <f>STATS1003B!Y1261/1000</f>
        <v>0</v>
      </c>
      <c r="Z1260" s="85">
        <f t="shared" si="151"/>
        <v>0</v>
      </c>
      <c r="AA1260" s="69">
        <f>STATS1003B!AA1261/1000</f>
        <v>6684.8990000000003</v>
      </c>
      <c r="AB1260" s="69">
        <f>STATS1003B!AB1261/1000</f>
        <v>0</v>
      </c>
    </row>
    <row r="1261" spans="1:28" hidden="1" x14ac:dyDescent="0.3">
      <c r="A1261" s="117"/>
      <c r="C1261" s="68" t="s">
        <v>535</v>
      </c>
      <c r="D1261" s="145" t="s">
        <v>60</v>
      </c>
      <c r="E1261" s="85">
        <f>STATS1003B!E1262/1000</f>
        <v>746.75</v>
      </c>
      <c r="F1261" s="85">
        <f>STATS1003B!F1262/1000</f>
        <v>746.75</v>
      </c>
      <c r="G1261" s="85">
        <f>STATS1003B!G1262/1000</f>
        <v>0</v>
      </c>
      <c r="H1261" s="85">
        <f>STATS1003B!H1262/1000</f>
        <v>746.75</v>
      </c>
      <c r="I1261" s="85">
        <f>STATS1003B!I1262/1000</f>
        <v>0</v>
      </c>
      <c r="J1261" s="85">
        <f>STATS1003B!J1262/1000</f>
        <v>746.75</v>
      </c>
      <c r="K1261" s="85">
        <f>STATS1003B!K1262/1000</f>
        <v>0</v>
      </c>
      <c r="L1261" s="85">
        <f>STATS1003B!L1262/1000</f>
        <v>0</v>
      </c>
      <c r="M1261" s="85">
        <f>STATS1003B!M1262/1000</f>
        <v>746.75</v>
      </c>
      <c r="N1261" s="85">
        <f>STATS1003B!N1262/1000</f>
        <v>0</v>
      </c>
      <c r="O1261" s="85">
        <f>STATS1003B!O1262/1000</f>
        <v>0</v>
      </c>
      <c r="P1261" s="85">
        <f>STATS1003B!P1262/1000</f>
        <v>0</v>
      </c>
      <c r="Q1261" s="85">
        <f>STATS1003B!Q1262/1000</f>
        <v>746.75</v>
      </c>
      <c r="R1261" s="85">
        <f>STATS1003B!R1262/1000</f>
        <v>0</v>
      </c>
      <c r="S1261" s="85">
        <f>STATS1003B!S1262/1000</f>
        <v>0</v>
      </c>
      <c r="T1261" s="85">
        <f>STATS1003B!T1262/1000</f>
        <v>0</v>
      </c>
      <c r="U1261" s="85">
        <f>STATS1003B!U1262/1000</f>
        <v>0</v>
      </c>
      <c r="V1261" s="85">
        <f>STATS1003B!V1262/1000</f>
        <v>746.75</v>
      </c>
      <c r="W1261" s="85">
        <f>STATS1003B!W1262/1000</f>
        <v>0</v>
      </c>
      <c r="X1261" s="85">
        <f t="shared" si="148"/>
        <v>746.75</v>
      </c>
      <c r="Y1261" s="85">
        <f>STATS1003B!Y1262/1000</f>
        <v>0</v>
      </c>
      <c r="Z1261" s="85">
        <f t="shared" si="151"/>
        <v>0</v>
      </c>
      <c r="AA1261" s="69">
        <f>STATS1003B!AA1262/1000</f>
        <v>746.75</v>
      </c>
      <c r="AB1261" s="69">
        <f>STATS1003B!AB1262/1000</f>
        <v>0</v>
      </c>
    </row>
    <row r="1262" spans="1:28" hidden="1" x14ac:dyDescent="0.3">
      <c r="A1262" s="117"/>
      <c r="C1262" s="71" t="s">
        <v>689</v>
      </c>
      <c r="D1262" s="88" t="s">
        <v>194</v>
      </c>
      <c r="E1262" s="85">
        <f>STATS1003B!E1263/1000</f>
        <v>283.52193</v>
      </c>
      <c r="F1262" s="85">
        <f>STATS1003B!F1263/1000</f>
        <v>283.52193</v>
      </c>
      <c r="G1262" s="85">
        <f>STATS1003B!G1263/1000</f>
        <v>0</v>
      </c>
      <c r="H1262" s="85">
        <f>STATS1003B!H1263/1000</f>
        <v>283.52193</v>
      </c>
      <c r="I1262" s="85">
        <f>STATS1003B!I1263/1000</f>
        <v>0</v>
      </c>
      <c r="J1262" s="85">
        <f>STATS1003B!J1263/1000</f>
        <v>283.52193</v>
      </c>
      <c r="K1262" s="85">
        <f>STATS1003B!K1263/1000</f>
        <v>0</v>
      </c>
      <c r="L1262" s="85">
        <f>STATS1003B!L1263/1000</f>
        <v>0</v>
      </c>
      <c r="M1262" s="85">
        <f>STATS1003B!M1263/1000</f>
        <v>283.52193</v>
      </c>
      <c r="N1262" s="85">
        <f>STATS1003B!N1263/1000</f>
        <v>0</v>
      </c>
      <c r="O1262" s="85">
        <f>STATS1003B!O1263/1000</f>
        <v>0</v>
      </c>
      <c r="P1262" s="85">
        <f>STATS1003B!P1263/1000</f>
        <v>0</v>
      </c>
      <c r="Q1262" s="85">
        <f>STATS1003B!Q1263/1000</f>
        <v>283.52193</v>
      </c>
      <c r="R1262" s="85">
        <f>STATS1003B!R1263/1000</f>
        <v>0</v>
      </c>
      <c r="S1262" s="85">
        <f>STATS1003B!S1263/1000</f>
        <v>0</v>
      </c>
      <c r="T1262" s="85">
        <f>STATS1003B!T1263/1000</f>
        <v>0</v>
      </c>
      <c r="U1262" s="85">
        <f>STATS1003B!U1263/1000</f>
        <v>0</v>
      </c>
      <c r="V1262" s="85">
        <f>STATS1003B!V1263/1000</f>
        <v>283.52193</v>
      </c>
      <c r="W1262" s="85">
        <f>STATS1003B!W1263/1000</f>
        <v>0</v>
      </c>
      <c r="X1262" s="85">
        <f t="shared" si="148"/>
        <v>283.52193</v>
      </c>
      <c r="Y1262" s="85">
        <f>STATS1003B!Y1263/1000</f>
        <v>0</v>
      </c>
      <c r="Z1262" s="85">
        <f t="shared" si="151"/>
        <v>0</v>
      </c>
      <c r="AA1262" s="69">
        <f>STATS1003B!AA1263/1000</f>
        <v>283.52193</v>
      </c>
      <c r="AB1262" s="69">
        <f>STATS1003B!AB1263/1000</f>
        <v>0</v>
      </c>
    </row>
    <row r="1263" spans="1:28" hidden="1" x14ac:dyDescent="0.3">
      <c r="A1263" s="117"/>
      <c r="C1263" s="68" t="s">
        <v>535</v>
      </c>
      <c r="D1263" s="145" t="s">
        <v>73</v>
      </c>
      <c r="E1263" s="85">
        <f>STATS1003B!E1264/1000</f>
        <v>799</v>
      </c>
      <c r="F1263" s="85">
        <f>STATS1003B!F1264/1000</f>
        <v>799</v>
      </c>
      <c r="G1263" s="85">
        <f>STATS1003B!G1264/1000</f>
        <v>0</v>
      </c>
      <c r="H1263" s="85">
        <f>STATS1003B!H1264/1000</f>
        <v>799</v>
      </c>
      <c r="I1263" s="85">
        <f>STATS1003B!I1264/1000</f>
        <v>0</v>
      </c>
      <c r="J1263" s="85">
        <f>STATS1003B!J1264/1000</f>
        <v>799</v>
      </c>
      <c r="K1263" s="85">
        <f>STATS1003B!K1264/1000</f>
        <v>0</v>
      </c>
      <c r="L1263" s="85">
        <f>STATS1003B!L1264/1000</f>
        <v>0</v>
      </c>
      <c r="M1263" s="85">
        <f>STATS1003B!M1264/1000</f>
        <v>799</v>
      </c>
      <c r="N1263" s="85">
        <f>STATS1003B!N1264/1000</f>
        <v>0</v>
      </c>
      <c r="O1263" s="85">
        <f>STATS1003B!O1264/1000</f>
        <v>0</v>
      </c>
      <c r="P1263" s="85">
        <f>STATS1003B!P1264/1000</f>
        <v>0</v>
      </c>
      <c r="Q1263" s="85">
        <f>STATS1003B!Q1264/1000</f>
        <v>799</v>
      </c>
      <c r="R1263" s="85">
        <f>STATS1003B!R1264/1000</f>
        <v>0</v>
      </c>
      <c r="S1263" s="85">
        <f>STATS1003B!S1264/1000</f>
        <v>0</v>
      </c>
      <c r="T1263" s="85">
        <f>STATS1003B!T1264/1000</f>
        <v>0</v>
      </c>
      <c r="U1263" s="85">
        <f>STATS1003B!U1264/1000</f>
        <v>0</v>
      </c>
      <c r="V1263" s="85">
        <f>STATS1003B!V1264/1000</f>
        <v>799</v>
      </c>
      <c r="W1263" s="85">
        <f>STATS1003B!W1264/1000</f>
        <v>0</v>
      </c>
      <c r="X1263" s="85">
        <f t="shared" si="148"/>
        <v>799</v>
      </c>
      <c r="Y1263" s="85">
        <f>STATS1003B!Y1264/1000</f>
        <v>0</v>
      </c>
      <c r="Z1263" s="85">
        <f t="shared" si="151"/>
        <v>0</v>
      </c>
      <c r="AA1263" s="69">
        <f>STATS1003B!AA1264/1000</f>
        <v>799</v>
      </c>
      <c r="AB1263" s="69">
        <f>STATS1003B!AB1264/1000</f>
        <v>0</v>
      </c>
    </row>
    <row r="1264" spans="1:28" hidden="1" x14ac:dyDescent="0.3">
      <c r="A1264" s="117"/>
      <c r="C1264" s="71" t="s">
        <v>690</v>
      </c>
      <c r="D1264" s="88" t="s">
        <v>73</v>
      </c>
      <c r="E1264" s="85">
        <f>STATS1003B!E1265/1000</f>
        <v>272.22500000000002</v>
      </c>
      <c r="F1264" s="85">
        <f>STATS1003B!F1265/1000</f>
        <v>272.22500000000002</v>
      </c>
      <c r="G1264" s="85">
        <f>STATS1003B!G1265/1000</f>
        <v>0</v>
      </c>
      <c r="H1264" s="85">
        <f>STATS1003B!H1265/1000</f>
        <v>272.22500000000002</v>
      </c>
      <c r="I1264" s="85">
        <f>STATS1003B!I1265/1000</f>
        <v>0</v>
      </c>
      <c r="J1264" s="85">
        <f>STATS1003B!J1265/1000</f>
        <v>272.22500000000002</v>
      </c>
      <c r="K1264" s="85">
        <f>STATS1003B!K1265/1000</f>
        <v>0</v>
      </c>
      <c r="L1264" s="85">
        <f>STATS1003B!L1265/1000</f>
        <v>0</v>
      </c>
      <c r="M1264" s="85">
        <f>STATS1003B!M1265/1000</f>
        <v>272.22500000000002</v>
      </c>
      <c r="N1264" s="85">
        <f>STATS1003B!N1265/1000</f>
        <v>0</v>
      </c>
      <c r="O1264" s="85">
        <f>STATS1003B!O1265/1000</f>
        <v>0</v>
      </c>
      <c r="P1264" s="85">
        <f>STATS1003B!P1265/1000</f>
        <v>0</v>
      </c>
      <c r="Q1264" s="85">
        <f>STATS1003B!Q1265/1000</f>
        <v>272.22500000000002</v>
      </c>
      <c r="R1264" s="85">
        <f>STATS1003B!R1265/1000</f>
        <v>0</v>
      </c>
      <c r="S1264" s="85">
        <f>STATS1003B!S1265/1000</f>
        <v>0</v>
      </c>
      <c r="T1264" s="85">
        <f>STATS1003B!T1265/1000</f>
        <v>0</v>
      </c>
      <c r="U1264" s="85">
        <f>STATS1003B!U1265/1000</f>
        <v>0</v>
      </c>
      <c r="V1264" s="85">
        <f>STATS1003B!V1265/1000</f>
        <v>272.22500000000002</v>
      </c>
      <c r="W1264" s="85">
        <f>STATS1003B!W1265/1000</f>
        <v>0</v>
      </c>
      <c r="X1264" s="85">
        <f t="shared" si="148"/>
        <v>272.22500000000002</v>
      </c>
      <c r="Y1264" s="85">
        <f>STATS1003B!Y1265/1000</f>
        <v>0</v>
      </c>
      <c r="Z1264" s="85">
        <f t="shared" si="151"/>
        <v>0</v>
      </c>
      <c r="AA1264" s="69">
        <f>STATS1003B!AA1265/1000</f>
        <v>272.22500000000002</v>
      </c>
      <c r="AB1264" s="69">
        <f>STATS1003B!AB1265/1000</f>
        <v>0</v>
      </c>
    </row>
    <row r="1265" spans="1:28" hidden="1" x14ac:dyDescent="0.3">
      <c r="A1265" s="117"/>
      <c r="C1265" s="71" t="s">
        <v>691</v>
      </c>
      <c r="D1265" s="88" t="s">
        <v>73</v>
      </c>
      <c r="E1265" s="85">
        <f>STATS1003B!E1266/1000</f>
        <v>443.56567000000001</v>
      </c>
      <c r="F1265" s="85">
        <f>STATS1003B!F1266/1000</f>
        <v>443.56567000000001</v>
      </c>
      <c r="G1265" s="85">
        <f>STATS1003B!G1266/1000</f>
        <v>0</v>
      </c>
      <c r="H1265" s="85">
        <f>STATS1003B!H1266/1000</f>
        <v>443.56567000000001</v>
      </c>
      <c r="I1265" s="85">
        <f>STATS1003B!I1266/1000</f>
        <v>0</v>
      </c>
      <c r="J1265" s="85">
        <f>STATS1003B!J1266/1000</f>
        <v>443.56567000000001</v>
      </c>
      <c r="K1265" s="85">
        <f>STATS1003B!K1266/1000</f>
        <v>0</v>
      </c>
      <c r="L1265" s="85">
        <f>STATS1003B!L1266/1000</f>
        <v>0</v>
      </c>
      <c r="M1265" s="85">
        <f>STATS1003B!M1266/1000</f>
        <v>443.56567000000001</v>
      </c>
      <c r="N1265" s="85">
        <f>STATS1003B!N1266/1000</f>
        <v>0</v>
      </c>
      <c r="O1265" s="85">
        <f>STATS1003B!O1266/1000</f>
        <v>0</v>
      </c>
      <c r="P1265" s="85">
        <f>STATS1003B!P1266/1000</f>
        <v>0</v>
      </c>
      <c r="Q1265" s="85">
        <f>STATS1003B!Q1266/1000</f>
        <v>443.56567000000001</v>
      </c>
      <c r="R1265" s="85">
        <f>STATS1003B!R1266/1000</f>
        <v>0</v>
      </c>
      <c r="S1265" s="85">
        <f>STATS1003B!S1266/1000</f>
        <v>0</v>
      </c>
      <c r="T1265" s="85">
        <f>STATS1003B!T1266/1000</f>
        <v>0</v>
      </c>
      <c r="U1265" s="85">
        <f>STATS1003B!U1266/1000</f>
        <v>0</v>
      </c>
      <c r="V1265" s="85">
        <f>STATS1003B!V1266/1000</f>
        <v>443.56567000000001</v>
      </c>
      <c r="W1265" s="85">
        <f>STATS1003B!W1266/1000</f>
        <v>0</v>
      </c>
      <c r="X1265" s="85">
        <f t="shared" si="148"/>
        <v>443.56567000000001</v>
      </c>
      <c r="Y1265" s="85">
        <f>STATS1003B!Y1266/1000</f>
        <v>0</v>
      </c>
      <c r="Z1265" s="85">
        <f t="shared" si="151"/>
        <v>0</v>
      </c>
      <c r="AA1265" s="69">
        <f>STATS1003B!AA1266/1000</f>
        <v>443.56567000000001</v>
      </c>
      <c r="AB1265" s="69">
        <f>STATS1003B!AB1266/1000</f>
        <v>0</v>
      </c>
    </row>
    <row r="1266" spans="1:28" hidden="1" x14ac:dyDescent="0.3">
      <c r="A1266" s="117"/>
      <c r="C1266" s="68" t="s">
        <v>535</v>
      </c>
      <c r="D1266" s="145" t="s">
        <v>61</v>
      </c>
      <c r="E1266" s="85">
        <f>STATS1003B!E1267/1000</f>
        <v>2239.8599199999999</v>
      </c>
      <c r="F1266" s="85">
        <f>STATS1003B!F1267/1000</f>
        <v>2239.8599199999999</v>
      </c>
      <c r="G1266" s="85">
        <f>STATS1003B!G1267/1000</f>
        <v>0</v>
      </c>
      <c r="H1266" s="85">
        <f>STATS1003B!H1267/1000</f>
        <v>2239.8599199999999</v>
      </c>
      <c r="I1266" s="85">
        <f>STATS1003B!I1267/1000</f>
        <v>0</v>
      </c>
      <c r="J1266" s="85">
        <f>STATS1003B!J1267/1000</f>
        <v>2239.8599199999999</v>
      </c>
      <c r="K1266" s="85">
        <f>STATS1003B!K1267/1000</f>
        <v>0</v>
      </c>
      <c r="L1266" s="85">
        <f>STATS1003B!L1267/1000</f>
        <v>0</v>
      </c>
      <c r="M1266" s="85">
        <f>STATS1003B!M1267/1000</f>
        <v>2239.8599199999999</v>
      </c>
      <c r="N1266" s="85">
        <f>STATS1003B!N1267/1000</f>
        <v>0</v>
      </c>
      <c r="O1266" s="85">
        <f>STATS1003B!O1267/1000</f>
        <v>0</v>
      </c>
      <c r="P1266" s="85">
        <f>STATS1003B!P1267/1000</f>
        <v>0</v>
      </c>
      <c r="Q1266" s="85">
        <f>STATS1003B!Q1267/1000</f>
        <v>2239.8599199999999</v>
      </c>
      <c r="R1266" s="85">
        <f>STATS1003B!R1267/1000</f>
        <v>0</v>
      </c>
      <c r="S1266" s="85">
        <f>STATS1003B!S1267/1000</f>
        <v>0</v>
      </c>
      <c r="T1266" s="85">
        <f>STATS1003B!T1267/1000</f>
        <v>0</v>
      </c>
      <c r="U1266" s="85">
        <f>STATS1003B!U1267/1000</f>
        <v>0</v>
      </c>
      <c r="V1266" s="85">
        <f>STATS1003B!V1267/1000</f>
        <v>2239.8599199999999</v>
      </c>
      <c r="W1266" s="85">
        <f>STATS1003B!W1267/1000</f>
        <v>0</v>
      </c>
      <c r="X1266" s="85">
        <f t="shared" si="148"/>
        <v>2239.8599199999999</v>
      </c>
      <c r="Y1266" s="85">
        <f>STATS1003B!Y1267/1000</f>
        <v>0</v>
      </c>
      <c r="Z1266" s="85">
        <f t="shared" si="151"/>
        <v>0</v>
      </c>
      <c r="AA1266" s="69">
        <f>STATS1003B!AA1267/1000</f>
        <v>2239.8599199999999</v>
      </c>
      <c r="AB1266" s="69">
        <f>STATS1003B!AB1267/1000</f>
        <v>0</v>
      </c>
    </row>
    <row r="1267" spans="1:28" hidden="1" x14ac:dyDescent="0.3">
      <c r="A1267" s="117"/>
      <c r="C1267" s="68" t="s">
        <v>621</v>
      </c>
      <c r="D1267" s="145" t="s">
        <v>61</v>
      </c>
      <c r="E1267" s="85">
        <f>STATS1003B!E1268/1000</f>
        <v>634.59322999999995</v>
      </c>
      <c r="F1267" s="85">
        <f>STATS1003B!F1268/1000</f>
        <v>634.59322999999995</v>
      </c>
      <c r="G1267" s="85">
        <f>STATS1003B!G1268/1000</f>
        <v>0</v>
      </c>
      <c r="H1267" s="85">
        <f>STATS1003B!H1268/1000</f>
        <v>634.59322999999995</v>
      </c>
      <c r="I1267" s="85">
        <f>STATS1003B!I1268/1000</f>
        <v>0</v>
      </c>
      <c r="J1267" s="85">
        <f>STATS1003B!J1268/1000</f>
        <v>634.59322999999995</v>
      </c>
      <c r="K1267" s="85">
        <f>STATS1003B!K1268/1000</f>
        <v>0</v>
      </c>
      <c r="L1267" s="85">
        <f>STATS1003B!L1268/1000</f>
        <v>0</v>
      </c>
      <c r="M1267" s="85">
        <f>STATS1003B!M1268/1000</f>
        <v>634.59322999999995</v>
      </c>
      <c r="N1267" s="85">
        <f>STATS1003B!N1268/1000</f>
        <v>0</v>
      </c>
      <c r="O1267" s="85">
        <f>STATS1003B!O1268/1000</f>
        <v>0</v>
      </c>
      <c r="P1267" s="85">
        <f>STATS1003B!P1268/1000</f>
        <v>0</v>
      </c>
      <c r="Q1267" s="85">
        <f>STATS1003B!Q1268/1000</f>
        <v>634.59322999999995</v>
      </c>
      <c r="R1267" s="85">
        <f>STATS1003B!R1268/1000</f>
        <v>0</v>
      </c>
      <c r="S1267" s="85">
        <f>STATS1003B!S1268/1000</f>
        <v>0</v>
      </c>
      <c r="T1267" s="85">
        <f>STATS1003B!T1268/1000</f>
        <v>0</v>
      </c>
      <c r="U1267" s="85">
        <f>STATS1003B!U1268/1000</f>
        <v>0</v>
      </c>
      <c r="V1267" s="85">
        <f>STATS1003B!V1268/1000</f>
        <v>634.59322999999995</v>
      </c>
      <c r="W1267" s="85">
        <f>STATS1003B!W1268/1000</f>
        <v>0</v>
      </c>
      <c r="X1267" s="85">
        <f t="shared" si="148"/>
        <v>634.59322999999995</v>
      </c>
      <c r="Y1267" s="85">
        <f>STATS1003B!Y1268/1000</f>
        <v>0</v>
      </c>
      <c r="Z1267" s="85">
        <f t="shared" si="151"/>
        <v>0</v>
      </c>
      <c r="AA1267" s="69">
        <f>STATS1003B!AA1268/1000</f>
        <v>634.59322999999995</v>
      </c>
      <c r="AB1267" s="69">
        <f>STATS1003B!AB1268/1000</f>
        <v>0</v>
      </c>
    </row>
    <row r="1268" spans="1:28" hidden="1" x14ac:dyDescent="0.3">
      <c r="A1268" s="117"/>
      <c r="C1268" s="71" t="s">
        <v>692</v>
      </c>
      <c r="D1268" s="145" t="s">
        <v>61</v>
      </c>
      <c r="E1268" s="85">
        <f>STATS1003B!E1269/1000</f>
        <v>3161.98542</v>
      </c>
      <c r="F1268" s="85">
        <f>STATS1003B!F1269/1000</f>
        <v>3161.98542</v>
      </c>
      <c r="G1268" s="85">
        <f>STATS1003B!G1269/1000</f>
        <v>0</v>
      </c>
      <c r="H1268" s="85">
        <f>STATS1003B!H1269/1000</f>
        <v>3161.98542</v>
      </c>
      <c r="I1268" s="85">
        <f>STATS1003B!I1269/1000</f>
        <v>0</v>
      </c>
      <c r="J1268" s="85">
        <f>STATS1003B!J1269/1000</f>
        <v>3161.98542</v>
      </c>
      <c r="K1268" s="85">
        <f>STATS1003B!K1269/1000</f>
        <v>0</v>
      </c>
      <c r="L1268" s="85">
        <f>STATS1003B!L1269/1000</f>
        <v>0</v>
      </c>
      <c r="M1268" s="85">
        <f>STATS1003B!M1269/1000</f>
        <v>3161.98542</v>
      </c>
      <c r="N1268" s="85">
        <f>STATS1003B!N1269/1000</f>
        <v>0</v>
      </c>
      <c r="O1268" s="85">
        <f>STATS1003B!O1269/1000</f>
        <v>0</v>
      </c>
      <c r="P1268" s="85">
        <f>STATS1003B!P1269/1000</f>
        <v>0</v>
      </c>
      <c r="Q1268" s="85">
        <f>STATS1003B!Q1269/1000</f>
        <v>3161.98542</v>
      </c>
      <c r="R1268" s="85">
        <f>STATS1003B!R1269/1000</f>
        <v>0</v>
      </c>
      <c r="S1268" s="85">
        <f>STATS1003B!S1269/1000</f>
        <v>0</v>
      </c>
      <c r="T1268" s="85">
        <f>STATS1003B!T1269/1000</f>
        <v>0</v>
      </c>
      <c r="U1268" s="85">
        <f>STATS1003B!U1269/1000</f>
        <v>0</v>
      </c>
      <c r="V1268" s="85">
        <f>STATS1003B!V1269/1000</f>
        <v>3161.98542</v>
      </c>
      <c r="W1268" s="85">
        <f>STATS1003B!W1269/1000</f>
        <v>0</v>
      </c>
      <c r="X1268" s="85">
        <f t="shared" si="148"/>
        <v>3161.98542</v>
      </c>
      <c r="Y1268" s="85">
        <f>STATS1003B!Y1269/1000</f>
        <v>0</v>
      </c>
      <c r="Z1268" s="85">
        <f t="shared" si="151"/>
        <v>0</v>
      </c>
      <c r="AA1268" s="69">
        <f>STATS1003B!AA1269/1000</f>
        <v>3161.98542</v>
      </c>
      <c r="AB1268" s="69">
        <f>STATS1003B!AB1269/1000</f>
        <v>0</v>
      </c>
    </row>
    <row r="1269" spans="1:28" hidden="1" x14ac:dyDescent="0.3">
      <c r="A1269" s="117"/>
      <c r="C1269" s="71" t="s">
        <v>693</v>
      </c>
      <c r="D1269" s="145" t="s">
        <v>61</v>
      </c>
      <c r="E1269" s="85">
        <f>STATS1003B!E1270/1000</f>
        <v>1433.5264999999999</v>
      </c>
      <c r="F1269" s="85">
        <f>STATS1003B!F1270/1000</f>
        <v>1433.5264999999999</v>
      </c>
      <c r="G1269" s="85">
        <f>STATS1003B!G1270/1000</f>
        <v>0</v>
      </c>
      <c r="H1269" s="85">
        <f>STATS1003B!H1270/1000</f>
        <v>1433.5264999999999</v>
      </c>
      <c r="I1269" s="85">
        <f>STATS1003B!I1270/1000</f>
        <v>0</v>
      </c>
      <c r="J1269" s="85">
        <f>STATS1003B!J1270/1000</f>
        <v>1433.5264999999999</v>
      </c>
      <c r="K1269" s="85">
        <f>STATS1003B!K1270/1000</f>
        <v>0</v>
      </c>
      <c r="L1269" s="85">
        <f>STATS1003B!L1270/1000</f>
        <v>0</v>
      </c>
      <c r="M1269" s="85">
        <f>STATS1003B!M1270/1000</f>
        <v>1433.5264999999999</v>
      </c>
      <c r="N1269" s="85">
        <f>STATS1003B!N1270/1000</f>
        <v>0</v>
      </c>
      <c r="O1269" s="85">
        <f>STATS1003B!O1270/1000</f>
        <v>0</v>
      </c>
      <c r="P1269" s="85">
        <f>STATS1003B!P1270/1000</f>
        <v>0</v>
      </c>
      <c r="Q1269" s="85">
        <f>STATS1003B!Q1270/1000</f>
        <v>1433.5264999999999</v>
      </c>
      <c r="R1269" s="85">
        <f>STATS1003B!R1270/1000</f>
        <v>0</v>
      </c>
      <c r="S1269" s="85">
        <f>STATS1003B!S1270/1000</f>
        <v>0</v>
      </c>
      <c r="T1269" s="85">
        <f>STATS1003B!T1270/1000</f>
        <v>0</v>
      </c>
      <c r="U1269" s="85">
        <f>STATS1003B!U1270/1000</f>
        <v>0</v>
      </c>
      <c r="V1269" s="85">
        <f>STATS1003B!V1270/1000</f>
        <v>1433.5264999999999</v>
      </c>
      <c r="W1269" s="85">
        <f>STATS1003B!W1270/1000</f>
        <v>0</v>
      </c>
      <c r="X1269" s="85">
        <f t="shared" si="148"/>
        <v>1433.5264999999999</v>
      </c>
      <c r="Y1269" s="85">
        <f>STATS1003B!Y1270/1000</f>
        <v>0</v>
      </c>
      <c r="Z1269" s="85">
        <f t="shared" si="151"/>
        <v>0</v>
      </c>
      <c r="AA1269" s="69">
        <f>STATS1003B!AA1270/1000</f>
        <v>1433.5264999999999</v>
      </c>
      <c r="AB1269" s="69">
        <f>STATS1003B!AB1270/1000</f>
        <v>0</v>
      </c>
    </row>
    <row r="1270" spans="1:28" hidden="1" x14ac:dyDescent="0.3">
      <c r="A1270" s="117"/>
      <c r="C1270" s="95" t="s">
        <v>1081</v>
      </c>
      <c r="D1270" s="90" t="s">
        <v>1072</v>
      </c>
      <c r="E1270" s="85">
        <f>STATS1003B!E1271/1000</f>
        <v>3018.3636099999999</v>
      </c>
      <c r="F1270" s="85">
        <f>STATS1003B!F1271/1000</f>
        <v>3018.3636099999999</v>
      </c>
      <c r="G1270" s="85">
        <f>STATS1003B!G1271/1000</f>
        <v>0</v>
      </c>
      <c r="H1270" s="85">
        <f>STATS1003B!H1271/1000</f>
        <v>3018.3636099999999</v>
      </c>
      <c r="I1270" s="85">
        <f>STATS1003B!I1271/1000</f>
        <v>0</v>
      </c>
      <c r="J1270" s="85">
        <f>STATS1003B!J1271/1000</f>
        <v>0</v>
      </c>
      <c r="K1270" s="85">
        <f>STATS1003B!K1271/1000</f>
        <v>0</v>
      </c>
      <c r="L1270" s="85">
        <f>STATS1003B!L1271/1000</f>
        <v>0</v>
      </c>
      <c r="M1270" s="85">
        <f>STATS1003B!M1271/1000</f>
        <v>3018.3636099999999</v>
      </c>
      <c r="N1270" s="85">
        <f>STATS1003B!N1271/1000</f>
        <v>0</v>
      </c>
      <c r="O1270" s="85">
        <f>STATS1003B!O1271/1000</f>
        <v>0</v>
      </c>
      <c r="P1270" s="85">
        <f>STATS1003B!P1271/1000</f>
        <v>0</v>
      </c>
      <c r="Q1270" s="85">
        <f>STATS1003B!Q1271/1000</f>
        <v>0</v>
      </c>
      <c r="R1270" s="85">
        <f>STATS1003B!R1271/1000</f>
        <v>0</v>
      </c>
      <c r="S1270" s="85">
        <f>STATS1003B!S1271/1000</f>
        <v>0</v>
      </c>
      <c r="T1270" s="85">
        <f>STATS1003B!T1271/1000</f>
        <v>0</v>
      </c>
      <c r="U1270" s="85">
        <f>STATS1003B!U1271/1000</f>
        <v>0</v>
      </c>
      <c r="V1270" s="85">
        <f>STATS1003B!V1271/1000</f>
        <v>3018.3636099999999</v>
      </c>
      <c r="W1270" s="85">
        <f>STATS1003B!W1271/1000</f>
        <v>0</v>
      </c>
      <c r="X1270" s="85">
        <f t="shared" si="148"/>
        <v>3018.3636099999999</v>
      </c>
      <c r="Y1270" s="85">
        <f>STATS1003B!Y1271/1000</f>
        <v>0</v>
      </c>
      <c r="Z1270" s="85">
        <f t="shared" si="151"/>
        <v>0</v>
      </c>
      <c r="AA1270" s="69">
        <f>STATS1003B!AA1271/1000</f>
        <v>3018.3636099999999</v>
      </c>
      <c r="AB1270" s="69">
        <f>STATS1003B!AB1271/1000</f>
        <v>0</v>
      </c>
    </row>
    <row r="1271" spans="1:28" hidden="1" x14ac:dyDescent="0.3">
      <c r="A1271" s="117"/>
      <c r="C1271" s="68" t="s">
        <v>569</v>
      </c>
      <c r="E1271" s="85">
        <f>STATS1003B!E1272/1000</f>
        <v>1183.806</v>
      </c>
      <c r="F1271" s="85">
        <f>STATS1003B!F1272/1000</f>
        <v>1183.806</v>
      </c>
      <c r="G1271" s="85">
        <f>STATS1003B!G1272/1000</f>
        <v>0</v>
      </c>
      <c r="H1271" s="85">
        <f>STATS1003B!H1272/1000</f>
        <v>1183.806</v>
      </c>
      <c r="I1271" s="85">
        <f>STATS1003B!I1272/1000</f>
        <v>0</v>
      </c>
      <c r="J1271" s="85">
        <f>STATS1003B!J1272/1000</f>
        <v>1183.806</v>
      </c>
      <c r="K1271" s="85">
        <f>STATS1003B!K1272/1000</f>
        <v>0</v>
      </c>
      <c r="L1271" s="85">
        <f>STATS1003B!L1272/1000</f>
        <v>0</v>
      </c>
      <c r="M1271" s="85">
        <f>STATS1003B!M1272/1000</f>
        <v>1183.806</v>
      </c>
      <c r="N1271" s="85">
        <f>STATS1003B!N1272/1000</f>
        <v>0</v>
      </c>
      <c r="O1271" s="85">
        <f>STATS1003B!O1272/1000</f>
        <v>0</v>
      </c>
      <c r="P1271" s="85">
        <f>STATS1003B!P1272/1000</f>
        <v>0</v>
      </c>
      <c r="Q1271" s="85">
        <f>STATS1003B!Q1272/1000</f>
        <v>1183.806</v>
      </c>
      <c r="R1271" s="85">
        <f>STATS1003B!R1272/1000</f>
        <v>0</v>
      </c>
      <c r="S1271" s="85">
        <f>STATS1003B!S1272/1000</f>
        <v>0</v>
      </c>
      <c r="T1271" s="85">
        <f>STATS1003B!T1272/1000</f>
        <v>0</v>
      </c>
      <c r="U1271" s="85">
        <f>STATS1003B!U1272/1000</f>
        <v>0</v>
      </c>
      <c r="V1271" s="85">
        <f>STATS1003B!V1272/1000</f>
        <v>1183.806</v>
      </c>
      <c r="W1271" s="85">
        <f>STATS1003B!W1272/1000</f>
        <v>0</v>
      </c>
      <c r="X1271" s="85">
        <f t="shared" si="148"/>
        <v>1183.806</v>
      </c>
      <c r="Y1271" s="85">
        <f>STATS1003B!Y1272/1000</f>
        <v>0</v>
      </c>
      <c r="Z1271" s="85">
        <f t="shared" si="151"/>
        <v>0</v>
      </c>
      <c r="AA1271" s="69">
        <f>STATS1003B!AA1272/1000</f>
        <v>1183.806</v>
      </c>
      <c r="AB1271" s="69">
        <f>STATS1003B!AB1272/1000</f>
        <v>0</v>
      </c>
    </row>
    <row r="1272" spans="1:28" hidden="1" x14ac:dyDescent="0.3">
      <c r="A1272" s="117"/>
      <c r="C1272" s="68" t="s">
        <v>694</v>
      </c>
      <c r="E1272" s="85">
        <f>STATS1003B!E1273/1000</f>
        <v>400</v>
      </c>
      <c r="F1272" s="85">
        <f>STATS1003B!F1273/1000</f>
        <v>400</v>
      </c>
      <c r="G1272" s="85">
        <f>STATS1003B!G1273/1000</f>
        <v>0</v>
      </c>
      <c r="H1272" s="85">
        <f>STATS1003B!H1273/1000</f>
        <v>400</v>
      </c>
      <c r="I1272" s="85">
        <f>STATS1003B!I1273/1000</f>
        <v>0</v>
      </c>
      <c r="J1272" s="85">
        <f>STATS1003B!J1273/1000</f>
        <v>400</v>
      </c>
      <c r="K1272" s="85">
        <f>STATS1003B!K1273/1000</f>
        <v>0</v>
      </c>
      <c r="L1272" s="85">
        <f>STATS1003B!L1273/1000</f>
        <v>0</v>
      </c>
      <c r="M1272" s="85">
        <f>STATS1003B!M1273/1000</f>
        <v>400</v>
      </c>
      <c r="N1272" s="85">
        <f>STATS1003B!N1273/1000</f>
        <v>0</v>
      </c>
      <c r="O1272" s="85">
        <f>STATS1003B!O1273/1000</f>
        <v>0</v>
      </c>
      <c r="P1272" s="85">
        <f>STATS1003B!P1273/1000</f>
        <v>0</v>
      </c>
      <c r="Q1272" s="85">
        <f>STATS1003B!Q1273/1000</f>
        <v>400</v>
      </c>
      <c r="R1272" s="85">
        <f>STATS1003B!R1273/1000</f>
        <v>0</v>
      </c>
      <c r="S1272" s="85">
        <f>STATS1003B!S1273/1000</f>
        <v>0</v>
      </c>
      <c r="T1272" s="85">
        <f>STATS1003B!T1273/1000</f>
        <v>0</v>
      </c>
      <c r="U1272" s="85">
        <f>STATS1003B!U1273/1000</f>
        <v>0</v>
      </c>
      <c r="V1272" s="85">
        <f>STATS1003B!V1273/1000</f>
        <v>400</v>
      </c>
      <c r="W1272" s="85">
        <f>STATS1003B!W1273/1000</f>
        <v>0</v>
      </c>
      <c r="X1272" s="85">
        <f t="shared" si="148"/>
        <v>400</v>
      </c>
      <c r="Y1272" s="85">
        <f>STATS1003B!Y1273/1000</f>
        <v>0</v>
      </c>
      <c r="Z1272" s="85">
        <f t="shared" si="151"/>
        <v>0</v>
      </c>
      <c r="AA1272" s="69">
        <f>STATS1003B!AA1273/1000</f>
        <v>400</v>
      </c>
      <c r="AB1272" s="69">
        <f>STATS1003B!AB1273/1000</f>
        <v>0</v>
      </c>
    </row>
    <row r="1273" spans="1:28" hidden="1" x14ac:dyDescent="0.3">
      <c r="A1273" s="117"/>
      <c r="C1273" s="68" t="s">
        <v>1216</v>
      </c>
      <c r="D1273" s="91" t="s">
        <v>1126</v>
      </c>
      <c r="E1273" s="85">
        <f>STATS1003B!E1274/1000</f>
        <v>56.434330000000003</v>
      </c>
      <c r="F1273" s="85">
        <f>STATS1003B!F1274/1000</f>
        <v>56.434330000000003</v>
      </c>
      <c r="G1273" s="85">
        <f>STATS1003B!G1274/1000</f>
        <v>0</v>
      </c>
      <c r="H1273" s="85">
        <f>STATS1003B!H1274/1000</f>
        <v>56.434330000000003</v>
      </c>
      <c r="I1273" s="85">
        <f>STATS1003B!I1274/1000</f>
        <v>0</v>
      </c>
      <c r="J1273" s="85">
        <f>STATS1003B!J1274/1000</f>
        <v>56.434330000000003</v>
      </c>
      <c r="K1273" s="85">
        <f>STATS1003B!K1274/1000</f>
        <v>0</v>
      </c>
      <c r="L1273" s="85">
        <f>STATS1003B!L1274/1000</f>
        <v>0</v>
      </c>
      <c r="M1273" s="85">
        <f>STATS1003B!M1274/1000</f>
        <v>56.434330000000003</v>
      </c>
      <c r="N1273" s="85">
        <f>STATS1003B!N1274/1000</f>
        <v>0</v>
      </c>
      <c r="O1273" s="85">
        <f>STATS1003B!O1274/1000</f>
        <v>0</v>
      </c>
      <c r="P1273" s="85">
        <f>STATS1003B!P1274/1000</f>
        <v>0</v>
      </c>
      <c r="Q1273" s="85">
        <f>STATS1003B!Q1274/1000</f>
        <v>56.434330000000003</v>
      </c>
      <c r="R1273" s="85">
        <f>STATS1003B!R1274/1000</f>
        <v>0</v>
      </c>
      <c r="S1273" s="85">
        <f>STATS1003B!S1274/1000</f>
        <v>0</v>
      </c>
      <c r="T1273" s="85">
        <f>STATS1003B!T1274/1000</f>
        <v>0</v>
      </c>
      <c r="U1273" s="85">
        <f>STATS1003B!U1274/1000</f>
        <v>0</v>
      </c>
      <c r="V1273" s="85">
        <f>STATS1003B!V1274/1000</f>
        <v>56.434330000000003</v>
      </c>
      <c r="W1273" s="85">
        <f>STATS1003B!W1274/1000</f>
        <v>0</v>
      </c>
      <c r="X1273" s="85">
        <f t="shared" si="148"/>
        <v>56.434330000000003</v>
      </c>
      <c r="Y1273" s="85">
        <f>STATS1003B!Y1274/1000</f>
        <v>0</v>
      </c>
      <c r="Z1273" s="85">
        <f t="shared" si="151"/>
        <v>0</v>
      </c>
      <c r="AA1273" s="69">
        <f>STATS1003B!AA1274/1000</f>
        <v>56.434330000000003</v>
      </c>
      <c r="AB1273" s="69">
        <f>STATS1003B!AB1274/1000</f>
        <v>0</v>
      </c>
    </row>
    <row r="1274" spans="1:28" hidden="1" x14ac:dyDescent="0.3">
      <c r="A1274" s="117"/>
      <c r="C1274" s="68" t="s">
        <v>929</v>
      </c>
      <c r="E1274" s="85">
        <f>STATS1003B!E1275/1000</f>
        <v>489</v>
      </c>
      <c r="F1274" s="85">
        <f>STATS1003B!F1275/1000</f>
        <v>489</v>
      </c>
      <c r="G1274" s="85">
        <f>STATS1003B!G1275/1000</f>
        <v>0</v>
      </c>
      <c r="H1274" s="85">
        <f>STATS1003B!H1275/1000</f>
        <v>489</v>
      </c>
      <c r="I1274" s="85">
        <f>STATS1003B!I1275/1000</f>
        <v>0</v>
      </c>
      <c r="J1274" s="85">
        <f>STATS1003B!J1275/1000</f>
        <v>0</v>
      </c>
      <c r="K1274" s="85">
        <f>STATS1003B!K1275/1000</f>
        <v>0</v>
      </c>
      <c r="L1274" s="85">
        <f>STATS1003B!L1275/1000</f>
        <v>0</v>
      </c>
      <c r="M1274" s="85">
        <f>STATS1003B!M1275/1000</f>
        <v>489</v>
      </c>
      <c r="N1274" s="85">
        <f>STATS1003B!N1275/1000</f>
        <v>0</v>
      </c>
      <c r="O1274" s="85">
        <f>STATS1003B!O1275/1000</f>
        <v>0</v>
      </c>
      <c r="P1274" s="85">
        <f>STATS1003B!P1275/1000</f>
        <v>0</v>
      </c>
      <c r="Q1274" s="85">
        <f>STATS1003B!Q1275/1000</f>
        <v>0</v>
      </c>
      <c r="R1274" s="85">
        <f>STATS1003B!R1275/1000</f>
        <v>0</v>
      </c>
      <c r="S1274" s="85">
        <f>STATS1003B!S1275/1000</f>
        <v>0</v>
      </c>
      <c r="T1274" s="85">
        <f>STATS1003B!T1275/1000</f>
        <v>0</v>
      </c>
      <c r="U1274" s="85">
        <f>STATS1003B!U1275/1000</f>
        <v>0</v>
      </c>
      <c r="V1274" s="85">
        <f>STATS1003B!V1275/1000</f>
        <v>0</v>
      </c>
      <c r="W1274" s="85">
        <f>STATS1003B!W1275/1000</f>
        <v>0</v>
      </c>
      <c r="X1274" s="85">
        <f t="shared" si="148"/>
        <v>489</v>
      </c>
      <c r="Y1274" s="85">
        <f>STATS1003B!Y1275/1000</f>
        <v>0</v>
      </c>
      <c r="Z1274" s="85">
        <f t="shared" si="151"/>
        <v>0</v>
      </c>
      <c r="AA1274" s="69">
        <f>STATS1003B!AA1275/1000</f>
        <v>489</v>
      </c>
      <c r="AB1274" s="69">
        <f>STATS1003B!AB1275/1000</f>
        <v>0</v>
      </c>
    </row>
    <row r="1275" spans="1:28" hidden="1" x14ac:dyDescent="0.3">
      <c r="A1275" s="117"/>
      <c r="C1275" s="68" t="s">
        <v>1258</v>
      </c>
      <c r="D1275" s="91" t="s">
        <v>1126</v>
      </c>
      <c r="E1275" s="85">
        <f>STATS1003B!E1276/1000</f>
        <v>508</v>
      </c>
      <c r="F1275" s="85">
        <f>STATS1003B!F1276/1000</f>
        <v>508</v>
      </c>
      <c r="G1275" s="85">
        <f>STATS1003B!G1276/1000</f>
        <v>0</v>
      </c>
      <c r="H1275" s="85">
        <f>STATS1003B!H1276/1000</f>
        <v>508</v>
      </c>
      <c r="I1275" s="85">
        <f>STATS1003B!I1276/1000</f>
        <v>0</v>
      </c>
      <c r="J1275" s="85">
        <f>STATS1003B!J1276/1000</f>
        <v>0</v>
      </c>
      <c r="K1275" s="85">
        <f>STATS1003B!K1276/1000</f>
        <v>0</v>
      </c>
      <c r="L1275" s="85">
        <f>STATS1003B!L1276/1000</f>
        <v>0</v>
      </c>
      <c r="M1275" s="85">
        <f>STATS1003B!M1276/1000</f>
        <v>508</v>
      </c>
      <c r="N1275" s="85">
        <f>STATS1003B!N1276/1000</f>
        <v>0</v>
      </c>
      <c r="O1275" s="85">
        <f>STATS1003B!O1276/1000</f>
        <v>0</v>
      </c>
      <c r="P1275" s="85">
        <f>STATS1003B!P1276/1000</f>
        <v>0</v>
      </c>
      <c r="Q1275" s="85">
        <f>STATS1003B!Q1276/1000</f>
        <v>0</v>
      </c>
      <c r="R1275" s="85">
        <f>STATS1003B!R1276/1000</f>
        <v>0</v>
      </c>
      <c r="S1275" s="85">
        <f>STATS1003B!S1276/1000</f>
        <v>0</v>
      </c>
      <c r="T1275" s="85">
        <f>STATS1003B!T1276/1000</f>
        <v>0</v>
      </c>
      <c r="U1275" s="85">
        <f>STATS1003B!U1276/1000</f>
        <v>0</v>
      </c>
      <c r="V1275" s="85">
        <f>STATS1003B!V1276/1000</f>
        <v>0</v>
      </c>
      <c r="W1275" s="85">
        <f>STATS1003B!W1276/1000</f>
        <v>0</v>
      </c>
      <c r="X1275" s="85">
        <f t="shared" si="148"/>
        <v>508</v>
      </c>
      <c r="Y1275" s="85">
        <f>STATS1003B!Y1276/1000</f>
        <v>0</v>
      </c>
      <c r="Z1275" s="85">
        <f t="shared" si="151"/>
        <v>0</v>
      </c>
      <c r="AA1275" s="69">
        <f>STATS1003B!AA1276/1000</f>
        <v>508</v>
      </c>
      <c r="AB1275" s="69">
        <f>STATS1003B!AB1276/1000</f>
        <v>0</v>
      </c>
    </row>
    <row r="1276" spans="1:28" hidden="1" x14ac:dyDescent="0.3">
      <c r="A1276" s="117"/>
      <c r="C1276" s="68" t="s">
        <v>1259</v>
      </c>
      <c r="D1276" s="91" t="s">
        <v>1225</v>
      </c>
      <c r="E1276" s="85">
        <f>STATS1003B!E1277/1000</f>
        <v>2196.4178900000002</v>
      </c>
      <c r="F1276" s="85">
        <f>STATS1003B!F1277/1000</f>
        <v>0</v>
      </c>
      <c r="G1276" s="85">
        <f>STATS1003B!G1277/1000</f>
        <v>2196.4178900000002</v>
      </c>
      <c r="H1276" s="85">
        <f>STATS1003B!H1277/1000</f>
        <v>2196.4178900000002</v>
      </c>
      <c r="I1276" s="85">
        <f>STATS1003B!I1277/1000</f>
        <v>0</v>
      </c>
      <c r="J1276" s="85">
        <f>STATS1003B!J1277/1000</f>
        <v>0</v>
      </c>
      <c r="K1276" s="85">
        <f>STATS1003B!K1277/1000</f>
        <v>0</v>
      </c>
      <c r="L1276" s="85">
        <f>STATS1003B!L1277/1000</f>
        <v>0</v>
      </c>
      <c r="M1276" s="85">
        <f>STATS1003B!M1277/1000</f>
        <v>2196.4178900000002</v>
      </c>
      <c r="N1276" s="85">
        <f>STATS1003B!N1277/1000</f>
        <v>0</v>
      </c>
      <c r="O1276" s="85">
        <f>STATS1003B!O1277/1000</f>
        <v>0</v>
      </c>
      <c r="P1276" s="85">
        <f>STATS1003B!P1277/1000</f>
        <v>0</v>
      </c>
      <c r="Q1276" s="85">
        <f>STATS1003B!Q1277/1000</f>
        <v>0</v>
      </c>
      <c r="R1276" s="85">
        <f>STATS1003B!R1277/1000</f>
        <v>0</v>
      </c>
      <c r="S1276" s="85">
        <f>STATS1003B!S1277/1000</f>
        <v>0</v>
      </c>
      <c r="T1276" s="85">
        <f>STATS1003B!T1277/1000</f>
        <v>0</v>
      </c>
      <c r="U1276" s="85">
        <f>STATS1003B!U1277/1000</f>
        <v>0</v>
      </c>
      <c r="V1276" s="85">
        <f>STATS1003B!V1277/1000</f>
        <v>0</v>
      </c>
      <c r="W1276" s="85">
        <f>STATS1003B!W1277/1000</f>
        <v>0</v>
      </c>
      <c r="X1276" s="85">
        <f t="shared" si="148"/>
        <v>2196.4178900000002</v>
      </c>
      <c r="Y1276" s="85">
        <f>STATS1003B!Y1277/1000</f>
        <v>0</v>
      </c>
      <c r="Z1276" s="85">
        <f t="shared" si="151"/>
        <v>0</v>
      </c>
      <c r="AA1276" s="69">
        <f>STATS1003B!AA1277/1000</f>
        <v>2196.4178900000002</v>
      </c>
      <c r="AB1276" s="69">
        <f>STATS1003B!AB1277/1000</f>
        <v>0</v>
      </c>
    </row>
    <row r="1277" spans="1:28" hidden="1" x14ac:dyDescent="0.3">
      <c r="A1277" s="117"/>
      <c r="C1277" s="68" t="s">
        <v>1240</v>
      </c>
      <c r="D1277" s="91" t="s">
        <v>1225</v>
      </c>
      <c r="E1277" s="85">
        <f>STATS1003B!E1278/1000</f>
        <v>1424.39409</v>
      </c>
      <c r="F1277" s="85">
        <f>STATS1003B!F1278/1000</f>
        <v>1424.39409</v>
      </c>
      <c r="G1277" s="85">
        <f>STATS1003B!G1278/1000</f>
        <v>0</v>
      </c>
      <c r="H1277" s="85">
        <f>STATS1003B!H1278/1000</f>
        <v>1424.39409</v>
      </c>
      <c r="I1277" s="85">
        <f>STATS1003B!I1278/1000</f>
        <v>0</v>
      </c>
      <c r="J1277" s="85">
        <f>STATS1003B!J1278/1000</f>
        <v>0</v>
      </c>
      <c r="K1277" s="85">
        <f>STATS1003B!K1278/1000</f>
        <v>0</v>
      </c>
      <c r="L1277" s="85">
        <f>STATS1003B!L1278/1000</f>
        <v>0</v>
      </c>
      <c r="M1277" s="85">
        <f>STATS1003B!M1278/1000</f>
        <v>1424.39409</v>
      </c>
      <c r="N1277" s="85">
        <f>STATS1003B!N1278/1000</f>
        <v>0</v>
      </c>
      <c r="O1277" s="85">
        <f>STATS1003B!O1278/1000</f>
        <v>0</v>
      </c>
      <c r="P1277" s="85">
        <f>STATS1003B!P1278/1000</f>
        <v>0</v>
      </c>
      <c r="Q1277" s="85">
        <f>STATS1003B!Q1278/1000</f>
        <v>0</v>
      </c>
      <c r="R1277" s="85">
        <f>STATS1003B!R1278/1000</f>
        <v>0</v>
      </c>
      <c r="S1277" s="85">
        <f>STATS1003B!S1278/1000</f>
        <v>0</v>
      </c>
      <c r="T1277" s="85">
        <f>STATS1003B!T1278/1000</f>
        <v>0</v>
      </c>
      <c r="U1277" s="85">
        <f>STATS1003B!U1278/1000</f>
        <v>0</v>
      </c>
      <c r="V1277" s="85">
        <f>STATS1003B!V1278/1000</f>
        <v>0</v>
      </c>
      <c r="W1277" s="85">
        <f>STATS1003B!W1278/1000</f>
        <v>0</v>
      </c>
      <c r="X1277" s="85">
        <f t="shared" si="148"/>
        <v>1424.39409</v>
      </c>
      <c r="Y1277" s="85">
        <f>STATS1003B!Y1278/1000</f>
        <v>0</v>
      </c>
      <c r="Z1277" s="85">
        <f t="shared" si="151"/>
        <v>0</v>
      </c>
      <c r="AA1277" s="69">
        <f>STATS1003B!AA1278/1000</f>
        <v>1424.39409</v>
      </c>
      <c r="AB1277" s="69">
        <f>STATS1003B!AB1278/1000</f>
        <v>0</v>
      </c>
    </row>
    <row r="1278" spans="1:28" hidden="1" x14ac:dyDescent="0.3">
      <c r="A1278" s="117"/>
      <c r="C1278" s="98" t="s">
        <v>1206</v>
      </c>
      <c r="D1278" s="91" t="s">
        <v>1126</v>
      </c>
      <c r="E1278" s="85">
        <f>STATS1003B!E1279/1000</f>
        <v>486.21085999999997</v>
      </c>
      <c r="F1278" s="85">
        <f>STATS1003B!F1279/1000</f>
        <v>486.21085999999997</v>
      </c>
      <c r="G1278" s="85">
        <f>STATS1003B!G1279/1000</f>
        <v>0</v>
      </c>
      <c r="H1278" s="85">
        <f>STATS1003B!H1279/1000</f>
        <v>486.21085999999997</v>
      </c>
      <c r="I1278" s="85">
        <f>STATS1003B!I1279/1000</f>
        <v>0</v>
      </c>
      <c r="J1278" s="85">
        <f>STATS1003B!J1279/1000</f>
        <v>0</v>
      </c>
      <c r="K1278" s="85">
        <f>STATS1003B!K1279/1000</f>
        <v>0</v>
      </c>
      <c r="L1278" s="85">
        <f>STATS1003B!L1279/1000</f>
        <v>0</v>
      </c>
      <c r="M1278" s="85">
        <f>STATS1003B!M1279/1000</f>
        <v>486.21085999999997</v>
      </c>
      <c r="N1278" s="85">
        <f>STATS1003B!N1279/1000</f>
        <v>0</v>
      </c>
      <c r="O1278" s="85">
        <f>STATS1003B!O1279/1000</f>
        <v>0</v>
      </c>
      <c r="P1278" s="85">
        <f>STATS1003B!P1279/1000</f>
        <v>0</v>
      </c>
      <c r="Q1278" s="85">
        <f>STATS1003B!Q1279/1000</f>
        <v>0</v>
      </c>
      <c r="R1278" s="85">
        <f>STATS1003B!R1279/1000</f>
        <v>0</v>
      </c>
      <c r="S1278" s="85">
        <f>STATS1003B!S1279/1000</f>
        <v>0</v>
      </c>
      <c r="T1278" s="85">
        <f>STATS1003B!T1279/1000</f>
        <v>0</v>
      </c>
      <c r="U1278" s="85">
        <f>STATS1003B!U1279/1000</f>
        <v>0</v>
      </c>
      <c r="V1278" s="85">
        <f>STATS1003B!V1279/1000</f>
        <v>0</v>
      </c>
      <c r="W1278" s="85">
        <f>STATS1003B!W1279/1000</f>
        <v>0</v>
      </c>
      <c r="X1278" s="85">
        <f t="shared" si="148"/>
        <v>486.21085999999997</v>
      </c>
      <c r="Y1278" s="85">
        <f>STATS1003B!Y1279/1000</f>
        <v>0</v>
      </c>
      <c r="Z1278" s="85">
        <f t="shared" si="151"/>
        <v>0</v>
      </c>
      <c r="AA1278" s="69">
        <f>STATS1003B!AA1279/1000</f>
        <v>486.21085999999997</v>
      </c>
      <c r="AB1278" s="69">
        <f>STATS1003B!AB1279/1000</f>
        <v>0</v>
      </c>
    </row>
    <row r="1279" spans="1:28" hidden="1" x14ac:dyDescent="0.3">
      <c r="A1279" s="117"/>
      <c r="C1279" s="68" t="s">
        <v>678</v>
      </c>
      <c r="D1279" s="99"/>
      <c r="E1279" s="85">
        <f>STATS1003B!E1280/1000</f>
        <v>6332.9068799999995</v>
      </c>
      <c r="F1279" s="85">
        <f>STATS1003B!F1280/1000</f>
        <v>6332.9068799999995</v>
      </c>
      <c r="G1279" s="85">
        <f>STATS1003B!G1280/1000</f>
        <v>0</v>
      </c>
      <c r="H1279" s="85">
        <f>STATS1003B!H1280/1000</f>
        <v>6332.9068799999995</v>
      </c>
      <c r="I1279" s="85">
        <f>STATS1003B!I1280/1000</f>
        <v>0</v>
      </c>
      <c r="J1279" s="85">
        <f>STATS1003B!J1280/1000</f>
        <v>6332.9068799999995</v>
      </c>
      <c r="K1279" s="85">
        <f>STATS1003B!K1280/1000</f>
        <v>0</v>
      </c>
      <c r="L1279" s="85">
        <f>STATS1003B!L1280/1000</f>
        <v>0</v>
      </c>
      <c r="M1279" s="85">
        <f>STATS1003B!M1280/1000</f>
        <v>6332.9068799999995</v>
      </c>
      <c r="N1279" s="85">
        <f>STATS1003B!N1280/1000</f>
        <v>0</v>
      </c>
      <c r="O1279" s="85">
        <f>STATS1003B!O1280/1000</f>
        <v>0</v>
      </c>
      <c r="P1279" s="85">
        <f>STATS1003B!P1280/1000</f>
        <v>0</v>
      </c>
      <c r="Q1279" s="85">
        <f>STATS1003B!Q1280/1000</f>
        <v>6332.9068799999995</v>
      </c>
      <c r="R1279" s="85">
        <f>STATS1003B!R1280/1000</f>
        <v>0</v>
      </c>
      <c r="S1279" s="85">
        <f>STATS1003B!S1280/1000</f>
        <v>0</v>
      </c>
      <c r="T1279" s="85">
        <f>STATS1003B!T1280/1000</f>
        <v>0</v>
      </c>
      <c r="U1279" s="85">
        <f>STATS1003B!U1280/1000</f>
        <v>0</v>
      </c>
      <c r="V1279" s="85">
        <f>STATS1003B!V1280/1000</f>
        <v>6332.9068799999995</v>
      </c>
      <c r="W1279" s="85">
        <f>STATS1003B!W1280/1000</f>
        <v>0</v>
      </c>
      <c r="X1279" s="85">
        <f t="shared" ref="X1279:X1342" si="152">+H1279+P1279</f>
        <v>6332.9068799999995</v>
      </c>
      <c r="Y1279" s="85">
        <f>STATS1003B!Y1280/1000</f>
        <v>0</v>
      </c>
      <c r="Z1279" s="85">
        <f t="shared" si="151"/>
        <v>0</v>
      </c>
      <c r="AA1279" s="69">
        <f>STATS1003B!AA1280/1000</f>
        <v>6332.9068799999995</v>
      </c>
      <c r="AB1279" s="69">
        <f>STATS1003B!AB1280/1000</f>
        <v>0</v>
      </c>
    </row>
    <row r="1280" spans="1:28" hidden="1" x14ac:dyDescent="0.3">
      <c r="A1280" s="117"/>
      <c r="E1280" s="86" t="s">
        <v>29</v>
      </c>
      <c r="F1280" s="86" t="s">
        <v>29</v>
      </c>
      <c r="G1280" s="86" t="s">
        <v>29</v>
      </c>
      <c r="H1280" s="86" t="s">
        <v>29</v>
      </c>
      <c r="I1280" s="86" t="s">
        <v>29</v>
      </c>
      <c r="J1280" s="86" t="s">
        <v>29</v>
      </c>
      <c r="K1280" s="86" t="s">
        <v>29</v>
      </c>
      <c r="L1280" s="86" t="s">
        <v>29</v>
      </c>
      <c r="M1280" s="86" t="s">
        <v>29</v>
      </c>
      <c r="N1280" s="86" t="s">
        <v>29</v>
      </c>
      <c r="O1280" s="86" t="s">
        <v>29</v>
      </c>
      <c r="P1280" s="86" t="s">
        <v>29</v>
      </c>
      <c r="Q1280" s="86" t="s">
        <v>29</v>
      </c>
      <c r="R1280" s="86" t="s">
        <v>29</v>
      </c>
      <c r="S1280" s="86" t="s">
        <v>29</v>
      </c>
      <c r="T1280" s="86" t="s">
        <v>29</v>
      </c>
      <c r="U1280" s="86" t="s">
        <v>29</v>
      </c>
      <c r="V1280" s="86" t="s">
        <v>29</v>
      </c>
      <c r="W1280" s="86" t="s">
        <v>29</v>
      </c>
      <c r="X1280" s="85" t="e">
        <f t="shared" si="152"/>
        <v>#VALUE!</v>
      </c>
      <c r="Y1280" s="86" t="s">
        <v>29</v>
      </c>
      <c r="Z1280" s="85" t="e">
        <f t="shared" si="151"/>
        <v>#VALUE!</v>
      </c>
      <c r="AA1280" s="115" t="s">
        <v>29</v>
      </c>
      <c r="AB1280" s="115" t="s">
        <v>29</v>
      </c>
    </row>
    <row r="1281" spans="1:28" x14ac:dyDescent="0.3">
      <c r="A1281" s="116">
        <v>58</v>
      </c>
      <c r="B1281" s="68" t="s">
        <v>685</v>
      </c>
      <c r="E1281" s="85">
        <f>146557410.21/1000</f>
        <v>146557.41021</v>
      </c>
      <c r="F1281" s="85">
        <f t="shared" ref="F1281:Q1281" si="153">SUM(F1247:F1280)</f>
        <v>50818.542529999992</v>
      </c>
      <c r="G1281" s="85">
        <f t="shared" si="153"/>
        <v>2196.4178900000002</v>
      </c>
      <c r="H1281" s="85">
        <f>141667585.12/1000</f>
        <v>141667.58512</v>
      </c>
      <c r="I1281" s="85">
        <f t="shared" si="153"/>
        <v>0</v>
      </c>
      <c r="J1281" s="85">
        <f t="shared" si="153"/>
        <v>44892.57396999999</v>
      </c>
      <c r="K1281" s="85">
        <f t="shared" si="153"/>
        <v>4889.8250900000003</v>
      </c>
      <c r="L1281" s="85">
        <f t="shared" si="153"/>
        <v>0</v>
      </c>
      <c r="M1281" s="85">
        <f t="shared" si="153"/>
        <v>53014.960419999989</v>
      </c>
      <c r="N1281" s="85">
        <f t="shared" si="153"/>
        <v>4889.8250900000003</v>
      </c>
      <c r="O1281" s="85">
        <f t="shared" si="153"/>
        <v>0</v>
      </c>
      <c r="P1281" s="85">
        <f>4889825/1000</f>
        <v>4889.8249999999998</v>
      </c>
      <c r="Q1281" s="85">
        <f t="shared" si="153"/>
        <v>44892.57396999999</v>
      </c>
      <c r="R1281" s="86"/>
      <c r="S1281" s="86"/>
      <c r="T1281" s="85">
        <f t="shared" ref="T1281:Y1281" si="154">SUM(T1247:T1280)</f>
        <v>0</v>
      </c>
      <c r="U1281" s="85">
        <f t="shared" si="154"/>
        <v>4889.8250900000003</v>
      </c>
      <c r="V1281" s="85">
        <f t="shared" si="154"/>
        <v>52800.762669999996</v>
      </c>
      <c r="W1281" s="85">
        <f t="shared" si="154"/>
        <v>0</v>
      </c>
      <c r="X1281" s="85">
        <f>+H1281+P1281</f>
        <v>146557.41012000002</v>
      </c>
      <c r="Y1281" s="85">
        <f t="shared" si="154"/>
        <v>0</v>
      </c>
      <c r="Z1281" s="85">
        <f t="shared" si="151"/>
        <v>8.9999986812472343E-5</v>
      </c>
      <c r="AA1281" s="69">
        <f>SUM(AA1247:AA1280)</f>
        <v>57904.785509999994</v>
      </c>
      <c r="AB1281" s="69">
        <f>SUM(AB1247:AB1280)</f>
        <v>0</v>
      </c>
    </row>
    <row r="1282" spans="1:28" hidden="1" x14ac:dyDescent="0.3">
      <c r="A1282" s="117"/>
      <c r="E1282" s="86" t="s">
        <v>29</v>
      </c>
      <c r="F1282" s="86" t="s">
        <v>29</v>
      </c>
      <c r="G1282" s="86" t="s">
        <v>29</v>
      </c>
      <c r="H1282" s="86" t="s">
        <v>29</v>
      </c>
      <c r="I1282" s="86" t="s">
        <v>29</v>
      </c>
      <c r="J1282" s="86" t="s">
        <v>29</v>
      </c>
      <c r="K1282" s="86" t="s">
        <v>29</v>
      </c>
      <c r="L1282" s="86" t="s">
        <v>29</v>
      </c>
      <c r="M1282" s="86" t="s">
        <v>29</v>
      </c>
      <c r="N1282" s="86" t="s">
        <v>29</v>
      </c>
      <c r="O1282" s="86" t="s">
        <v>29</v>
      </c>
      <c r="P1282" s="86" t="s">
        <v>29</v>
      </c>
      <c r="Q1282" s="86" t="s">
        <v>29</v>
      </c>
      <c r="R1282" s="86" t="s">
        <v>29</v>
      </c>
      <c r="S1282" s="86" t="s">
        <v>29</v>
      </c>
      <c r="T1282" s="86" t="s">
        <v>29</v>
      </c>
      <c r="U1282" s="86" t="s">
        <v>29</v>
      </c>
      <c r="V1282" s="86" t="s">
        <v>29</v>
      </c>
      <c r="W1282" s="86" t="s">
        <v>29</v>
      </c>
      <c r="X1282" s="85" t="e">
        <f t="shared" si="152"/>
        <v>#VALUE!</v>
      </c>
      <c r="Y1282" s="86" t="s">
        <v>29</v>
      </c>
      <c r="Z1282" s="85" t="e">
        <f t="shared" si="151"/>
        <v>#VALUE!</v>
      </c>
      <c r="AA1282" s="115" t="s">
        <v>29</v>
      </c>
      <c r="AB1282" s="115" t="s">
        <v>29</v>
      </c>
    </row>
    <row r="1283" spans="1:28" hidden="1" x14ac:dyDescent="0.3">
      <c r="A1283" s="105"/>
      <c r="E1283" s="84"/>
      <c r="F1283" s="84"/>
      <c r="G1283" s="84"/>
      <c r="H1283" s="84"/>
      <c r="I1283" s="84"/>
      <c r="J1283" s="84"/>
      <c r="K1283" s="84"/>
      <c r="L1283" s="84"/>
      <c r="M1283" s="84"/>
      <c r="N1283" s="84"/>
      <c r="O1283" s="84"/>
      <c r="P1283" s="84"/>
      <c r="Q1283" s="84"/>
      <c r="R1283" s="86"/>
      <c r="S1283" s="86"/>
      <c r="T1283" s="86"/>
      <c r="U1283" s="86"/>
      <c r="V1283" s="86"/>
      <c r="W1283" s="86"/>
      <c r="X1283" s="85">
        <f t="shared" si="152"/>
        <v>0</v>
      </c>
      <c r="Y1283" s="86"/>
      <c r="Z1283" s="85">
        <f t="shared" si="151"/>
        <v>0</v>
      </c>
    </row>
    <row r="1284" spans="1:28" hidden="1" x14ac:dyDescent="0.3">
      <c r="A1284" s="117"/>
      <c r="C1284" s="68" t="s">
        <v>539</v>
      </c>
      <c r="D1284" s="145" t="s">
        <v>68</v>
      </c>
      <c r="E1284" s="85">
        <f>STATS1003B!E1285/1000</f>
        <v>12810.063249999997</v>
      </c>
      <c r="F1284" s="85">
        <f>STATS1003B!F1285/1000</f>
        <v>0</v>
      </c>
      <c r="G1284" s="85">
        <f>STATS1003B!G1285/1000</f>
        <v>0</v>
      </c>
      <c r="H1284" s="85">
        <f>STATS1003B!H1285/1000</f>
        <v>0</v>
      </c>
      <c r="I1284" s="85">
        <f>STATS1003B!I1285/1000</f>
        <v>0</v>
      </c>
      <c r="J1284" s="85">
        <f>STATS1003B!J1285/1000</f>
        <v>0</v>
      </c>
      <c r="K1284" s="85">
        <f>STATS1003B!K1285/1000</f>
        <v>12810.063249999997</v>
      </c>
      <c r="L1284" s="85">
        <f>STATS1003B!L1285/1000</f>
        <v>0</v>
      </c>
      <c r="M1284" s="85">
        <f>STATS1003B!M1285/1000</f>
        <v>0</v>
      </c>
      <c r="N1284" s="85">
        <f>STATS1003B!N1285/1000</f>
        <v>12810.063249999999</v>
      </c>
      <c r="O1284" s="85">
        <f>STATS1003B!O1285/1000</f>
        <v>0</v>
      </c>
      <c r="P1284" s="85">
        <f>STATS1003B!P1285/1000</f>
        <v>12810.063249999999</v>
      </c>
      <c r="Q1284" s="85">
        <f>STATS1003B!Q1285/1000</f>
        <v>0</v>
      </c>
      <c r="R1284" s="85">
        <f>STATS1003B!R1285/1000</f>
        <v>0</v>
      </c>
      <c r="S1284" s="85">
        <f>STATS1003B!S1285/1000</f>
        <v>0</v>
      </c>
      <c r="T1284" s="85">
        <f>STATS1003B!T1285/1000</f>
        <v>0</v>
      </c>
      <c r="U1284" s="85">
        <f>STATS1003B!U1285/1000</f>
        <v>12810.063249999999</v>
      </c>
      <c r="V1284" s="85">
        <f>STATS1003B!V1285/1000</f>
        <v>12810.063249999999</v>
      </c>
      <c r="W1284" s="85">
        <f>STATS1003B!W1285/1000</f>
        <v>0</v>
      </c>
      <c r="X1284" s="85">
        <f t="shared" si="152"/>
        <v>12810.063249999999</v>
      </c>
      <c r="Y1284" s="85">
        <f>STATS1003B!Y1285/1000</f>
        <v>0</v>
      </c>
      <c r="Z1284" s="85">
        <f t="shared" si="151"/>
        <v>0</v>
      </c>
      <c r="AA1284" s="69">
        <f>STATS1003B!AA1285/1000</f>
        <v>12810.063249999999</v>
      </c>
      <c r="AB1284" s="69">
        <f>STATS1003B!AB1285/1000</f>
        <v>0</v>
      </c>
    </row>
    <row r="1285" spans="1:28" hidden="1" x14ac:dyDescent="0.3">
      <c r="A1285" s="117"/>
      <c r="C1285" s="68" t="s">
        <v>535</v>
      </c>
      <c r="D1285" s="145" t="s">
        <v>68</v>
      </c>
      <c r="E1285" s="85">
        <f>STATS1003B!E1286/1000</f>
        <v>1448.75</v>
      </c>
      <c r="F1285" s="85">
        <f>STATS1003B!F1286/1000</f>
        <v>910.32299999999998</v>
      </c>
      <c r="G1285" s="85">
        <f>STATS1003B!G1286/1000</f>
        <v>0</v>
      </c>
      <c r="H1285" s="85">
        <f>STATS1003B!H1286/1000</f>
        <v>910.32299999999998</v>
      </c>
      <c r="I1285" s="85">
        <f>STATS1003B!I1286/1000</f>
        <v>0</v>
      </c>
      <c r="J1285" s="85">
        <f>STATS1003B!J1286/1000</f>
        <v>910.32299999999998</v>
      </c>
      <c r="K1285" s="85">
        <f>STATS1003B!K1286/1000</f>
        <v>538.42700000000002</v>
      </c>
      <c r="L1285" s="85">
        <f>STATS1003B!L1286/1000</f>
        <v>0</v>
      </c>
      <c r="M1285" s="85">
        <f>STATS1003B!M1286/1000</f>
        <v>910.32299999999998</v>
      </c>
      <c r="N1285" s="85">
        <f>STATS1003B!N1286/1000</f>
        <v>538.42700000000002</v>
      </c>
      <c r="O1285" s="85">
        <f>STATS1003B!O1286/1000</f>
        <v>0</v>
      </c>
      <c r="P1285" s="85">
        <f>STATS1003B!P1286/1000</f>
        <v>538.42700000000002</v>
      </c>
      <c r="Q1285" s="85">
        <f>STATS1003B!Q1286/1000</f>
        <v>910.32299999999998</v>
      </c>
      <c r="R1285" s="85">
        <f>STATS1003B!R1286/1000</f>
        <v>0</v>
      </c>
      <c r="S1285" s="85">
        <f>STATS1003B!S1286/1000</f>
        <v>0</v>
      </c>
      <c r="T1285" s="85">
        <f>STATS1003B!T1286/1000</f>
        <v>0</v>
      </c>
      <c r="U1285" s="85">
        <f>STATS1003B!U1286/1000</f>
        <v>538.42700000000002</v>
      </c>
      <c r="V1285" s="85">
        <f>STATS1003B!V1286/1000</f>
        <v>1448.75</v>
      </c>
      <c r="W1285" s="85">
        <f>STATS1003B!W1286/1000</f>
        <v>0</v>
      </c>
      <c r="X1285" s="85">
        <f t="shared" si="152"/>
        <v>1448.75</v>
      </c>
      <c r="Y1285" s="85">
        <f>STATS1003B!Y1286/1000</f>
        <v>0</v>
      </c>
      <c r="Z1285" s="85">
        <f t="shared" si="151"/>
        <v>0</v>
      </c>
      <c r="AA1285" s="69">
        <f>STATS1003B!AA1286/1000</f>
        <v>1448.75</v>
      </c>
      <c r="AB1285" s="69">
        <f>STATS1003B!AB1286/1000</f>
        <v>0</v>
      </c>
    </row>
    <row r="1286" spans="1:28" hidden="1" x14ac:dyDescent="0.3">
      <c r="A1286" s="117"/>
      <c r="C1286" s="68" t="s">
        <v>535</v>
      </c>
      <c r="D1286" s="145" t="s">
        <v>54</v>
      </c>
      <c r="E1286" s="85">
        <f>STATS1003B!E1287/1000</f>
        <v>627</v>
      </c>
      <c r="F1286" s="85">
        <f>STATS1003B!F1287/1000</f>
        <v>467.17700000000002</v>
      </c>
      <c r="G1286" s="85">
        <f>STATS1003B!G1287/1000</f>
        <v>0</v>
      </c>
      <c r="H1286" s="85">
        <f>STATS1003B!H1287/1000</f>
        <v>467.17700000000002</v>
      </c>
      <c r="I1286" s="85">
        <f>STATS1003B!I1287/1000</f>
        <v>0</v>
      </c>
      <c r="J1286" s="85">
        <f>STATS1003B!J1287/1000</f>
        <v>467.17700000000002</v>
      </c>
      <c r="K1286" s="85">
        <f>STATS1003B!K1287/1000</f>
        <v>159.82300000000001</v>
      </c>
      <c r="L1286" s="85">
        <f>STATS1003B!L1287/1000</f>
        <v>0</v>
      </c>
      <c r="M1286" s="85">
        <f>STATS1003B!M1287/1000</f>
        <v>467.17700000000002</v>
      </c>
      <c r="N1286" s="85">
        <f>STATS1003B!N1287/1000</f>
        <v>159.82300000000001</v>
      </c>
      <c r="O1286" s="85">
        <f>STATS1003B!O1287/1000</f>
        <v>0</v>
      </c>
      <c r="P1286" s="85">
        <f>STATS1003B!P1287/1000</f>
        <v>159.82300000000001</v>
      </c>
      <c r="Q1286" s="85">
        <f>STATS1003B!Q1287/1000</f>
        <v>467.17700000000002</v>
      </c>
      <c r="R1286" s="85">
        <f>STATS1003B!R1287/1000</f>
        <v>0</v>
      </c>
      <c r="S1286" s="85">
        <f>STATS1003B!S1287/1000</f>
        <v>0</v>
      </c>
      <c r="T1286" s="85">
        <f>STATS1003B!T1287/1000</f>
        <v>0</v>
      </c>
      <c r="U1286" s="85">
        <f>STATS1003B!U1287/1000</f>
        <v>159.82300000000001</v>
      </c>
      <c r="V1286" s="85">
        <f>STATS1003B!V1287/1000</f>
        <v>627</v>
      </c>
      <c r="W1286" s="85">
        <f>STATS1003B!W1287/1000</f>
        <v>0</v>
      </c>
      <c r="X1286" s="85">
        <f t="shared" si="152"/>
        <v>627</v>
      </c>
      <c r="Y1286" s="85">
        <f>STATS1003B!Y1287/1000</f>
        <v>0</v>
      </c>
      <c r="Z1286" s="85">
        <f t="shared" si="151"/>
        <v>0</v>
      </c>
      <c r="AA1286" s="69">
        <f>STATS1003B!AA1287/1000</f>
        <v>627</v>
      </c>
      <c r="AB1286" s="69">
        <f>STATS1003B!AB1287/1000</f>
        <v>0</v>
      </c>
    </row>
    <row r="1287" spans="1:28" hidden="1" x14ac:dyDescent="0.3">
      <c r="A1287" s="117"/>
      <c r="C1287" s="68" t="s">
        <v>696</v>
      </c>
      <c r="D1287" s="145" t="s">
        <v>54</v>
      </c>
      <c r="E1287" s="85">
        <f>STATS1003B!E1288/1000</f>
        <v>285</v>
      </c>
      <c r="F1287" s="85">
        <f>STATS1003B!F1288/1000</f>
        <v>285</v>
      </c>
      <c r="G1287" s="85">
        <f>STATS1003B!G1288/1000</f>
        <v>0</v>
      </c>
      <c r="H1287" s="85">
        <f>STATS1003B!H1288/1000</f>
        <v>285</v>
      </c>
      <c r="I1287" s="85">
        <f>STATS1003B!I1288/1000</f>
        <v>0</v>
      </c>
      <c r="J1287" s="85">
        <f>STATS1003B!J1288/1000</f>
        <v>285</v>
      </c>
      <c r="K1287" s="85">
        <f>STATS1003B!K1288/1000</f>
        <v>0</v>
      </c>
      <c r="L1287" s="85">
        <f>STATS1003B!L1288/1000</f>
        <v>0</v>
      </c>
      <c r="M1287" s="85">
        <f>STATS1003B!M1288/1000</f>
        <v>285</v>
      </c>
      <c r="N1287" s="85">
        <f>STATS1003B!N1288/1000</f>
        <v>0</v>
      </c>
      <c r="O1287" s="85">
        <f>STATS1003B!O1288/1000</f>
        <v>0</v>
      </c>
      <c r="P1287" s="85">
        <f>STATS1003B!P1288/1000</f>
        <v>0</v>
      </c>
      <c r="Q1287" s="85">
        <f>STATS1003B!Q1288/1000</f>
        <v>285</v>
      </c>
      <c r="R1287" s="85">
        <f>STATS1003B!R1288/1000</f>
        <v>0</v>
      </c>
      <c r="S1287" s="85">
        <f>STATS1003B!S1288/1000</f>
        <v>0</v>
      </c>
      <c r="T1287" s="85">
        <f>STATS1003B!T1288/1000</f>
        <v>0</v>
      </c>
      <c r="U1287" s="85">
        <f>STATS1003B!U1288/1000</f>
        <v>0</v>
      </c>
      <c r="V1287" s="85">
        <f>STATS1003B!V1288/1000</f>
        <v>285</v>
      </c>
      <c r="W1287" s="85">
        <f>STATS1003B!W1288/1000</f>
        <v>0</v>
      </c>
      <c r="X1287" s="85">
        <f t="shared" si="152"/>
        <v>285</v>
      </c>
      <c r="Y1287" s="85">
        <f>STATS1003B!Y1288/1000</f>
        <v>0</v>
      </c>
      <c r="Z1287" s="85">
        <f t="shared" si="151"/>
        <v>0</v>
      </c>
      <c r="AA1287" s="69">
        <f>STATS1003B!AA1288/1000</f>
        <v>285</v>
      </c>
      <c r="AB1287" s="69">
        <f>STATS1003B!AB1288/1000</f>
        <v>0</v>
      </c>
    </row>
    <row r="1288" spans="1:28" hidden="1" x14ac:dyDescent="0.3">
      <c r="A1288" s="117"/>
      <c r="C1288" s="68" t="s">
        <v>545</v>
      </c>
      <c r="D1288" s="145" t="s">
        <v>54</v>
      </c>
      <c r="E1288" s="85">
        <f>STATS1003B!E1289/1000</f>
        <v>1953.989</v>
      </c>
      <c r="F1288" s="85">
        <f>STATS1003B!F1289/1000</f>
        <v>0</v>
      </c>
      <c r="G1288" s="85">
        <f>STATS1003B!G1289/1000</f>
        <v>0</v>
      </c>
      <c r="H1288" s="85">
        <f>STATS1003B!H1289/1000</f>
        <v>0</v>
      </c>
      <c r="I1288" s="85">
        <f>STATS1003B!I1289/1000</f>
        <v>0</v>
      </c>
      <c r="J1288" s="85">
        <f>STATS1003B!J1289/1000</f>
        <v>0</v>
      </c>
      <c r="K1288" s="85">
        <f>STATS1003B!K1289/1000</f>
        <v>1953.989</v>
      </c>
      <c r="L1288" s="85">
        <f>STATS1003B!L1289/1000</f>
        <v>0</v>
      </c>
      <c r="M1288" s="85">
        <f>STATS1003B!M1289/1000</f>
        <v>0</v>
      </c>
      <c r="N1288" s="85">
        <f>STATS1003B!N1289/1000</f>
        <v>1953.989</v>
      </c>
      <c r="O1288" s="85">
        <f>STATS1003B!O1289/1000</f>
        <v>0</v>
      </c>
      <c r="P1288" s="85">
        <f>STATS1003B!P1289/1000</f>
        <v>1953.989</v>
      </c>
      <c r="Q1288" s="85">
        <f>STATS1003B!Q1289/1000</f>
        <v>0</v>
      </c>
      <c r="R1288" s="85">
        <f>STATS1003B!R1289/1000</f>
        <v>0</v>
      </c>
      <c r="S1288" s="85">
        <f>STATS1003B!S1289/1000</f>
        <v>0</v>
      </c>
      <c r="T1288" s="85">
        <f>STATS1003B!T1289/1000</f>
        <v>0</v>
      </c>
      <c r="U1288" s="85">
        <f>STATS1003B!U1289/1000</f>
        <v>1953.989</v>
      </c>
      <c r="V1288" s="85">
        <f>STATS1003B!V1289/1000</f>
        <v>1953.989</v>
      </c>
      <c r="W1288" s="85">
        <f>STATS1003B!W1289/1000</f>
        <v>0</v>
      </c>
      <c r="X1288" s="85">
        <f t="shared" si="152"/>
        <v>1953.989</v>
      </c>
      <c r="Y1288" s="85">
        <f>STATS1003B!Y1289/1000</f>
        <v>0</v>
      </c>
      <c r="Z1288" s="85">
        <f t="shared" si="151"/>
        <v>0</v>
      </c>
      <c r="AA1288" s="69">
        <f>STATS1003B!AA1289/1000</f>
        <v>1953.989</v>
      </c>
      <c r="AB1288" s="69">
        <f>STATS1003B!AB1289/1000</f>
        <v>0</v>
      </c>
    </row>
    <row r="1289" spans="1:28" hidden="1" x14ac:dyDescent="0.3">
      <c r="A1289" s="117"/>
      <c r="C1289" s="68" t="s">
        <v>655</v>
      </c>
      <c r="D1289" s="145" t="s">
        <v>54</v>
      </c>
      <c r="E1289" s="85">
        <f>STATS1003B!E1290/1000</f>
        <v>955.34561999999994</v>
      </c>
      <c r="F1289" s="85">
        <f>STATS1003B!F1290/1000</f>
        <v>0</v>
      </c>
      <c r="G1289" s="85">
        <f>STATS1003B!G1290/1000</f>
        <v>0</v>
      </c>
      <c r="H1289" s="85">
        <f>STATS1003B!H1290/1000</f>
        <v>0</v>
      </c>
      <c r="I1289" s="85">
        <f>STATS1003B!I1290/1000</f>
        <v>0</v>
      </c>
      <c r="J1289" s="85">
        <f>STATS1003B!J1290/1000</f>
        <v>0</v>
      </c>
      <c r="K1289" s="85">
        <f>STATS1003B!K1290/1000</f>
        <v>955.34561999999994</v>
      </c>
      <c r="L1289" s="85">
        <f>STATS1003B!L1290/1000</f>
        <v>0</v>
      </c>
      <c r="M1289" s="85">
        <f>STATS1003B!M1290/1000</f>
        <v>0</v>
      </c>
      <c r="N1289" s="85">
        <f>STATS1003B!N1290/1000</f>
        <v>955.34561999999994</v>
      </c>
      <c r="O1289" s="85">
        <f>STATS1003B!O1290/1000</f>
        <v>0</v>
      </c>
      <c r="P1289" s="85">
        <f>STATS1003B!P1290/1000</f>
        <v>955.34561999999994</v>
      </c>
      <c r="Q1289" s="85">
        <f>STATS1003B!Q1290/1000</f>
        <v>0</v>
      </c>
      <c r="R1289" s="85">
        <f>STATS1003B!R1290/1000</f>
        <v>0</v>
      </c>
      <c r="S1289" s="85">
        <f>STATS1003B!S1290/1000</f>
        <v>0</v>
      </c>
      <c r="T1289" s="85">
        <f>STATS1003B!T1290/1000</f>
        <v>0</v>
      </c>
      <c r="U1289" s="85">
        <f>STATS1003B!U1290/1000</f>
        <v>955.34561999999994</v>
      </c>
      <c r="V1289" s="85">
        <f>STATS1003B!V1290/1000</f>
        <v>955.34561999999994</v>
      </c>
      <c r="W1289" s="85">
        <f>STATS1003B!W1290/1000</f>
        <v>0</v>
      </c>
      <c r="X1289" s="85">
        <f t="shared" si="152"/>
        <v>955.34561999999994</v>
      </c>
      <c r="Y1289" s="85">
        <f>STATS1003B!Y1290/1000</f>
        <v>0</v>
      </c>
      <c r="Z1289" s="85">
        <f t="shared" si="151"/>
        <v>0</v>
      </c>
      <c r="AA1289" s="69">
        <f>STATS1003B!AA1290/1000</f>
        <v>955.34561999999994</v>
      </c>
      <c r="AB1289" s="69">
        <f>STATS1003B!AB1290/1000</f>
        <v>0</v>
      </c>
    </row>
    <row r="1290" spans="1:28" hidden="1" x14ac:dyDescent="0.3">
      <c r="A1290" s="117"/>
      <c r="C1290" s="68" t="s">
        <v>535</v>
      </c>
      <c r="D1290" s="145" t="s">
        <v>85</v>
      </c>
      <c r="E1290" s="85">
        <f>STATS1003B!E1291/1000</f>
        <v>1186.2000500000001</v>
      </c>
      <c r="F1290" s="85">
        <f>STATS1003B!F1291/1000</f>
        <v>1057.6659999999999</v>
      </c>
      <c r="G1290" s="85">
        <f>STATS1003B!G1291/1000</f>
        <v>0</v>
      </c>
      <c r="H1290" s="85">
        <f>STATS1003B!H1291/1000</f>
        <v>1057.6659999999999</v>
      </c>
      <c r="I1290" s="85">
        <f>STATS1003B!I1291/1000</f>
        <v>0</v>
      </c>
      <c r="J1290" s="85">
        <f>STATS1003B!J1291/1000</f>
        <v>1057.6659999999999</v>
      </c>
      <c r="K1290" s="85">
        <f>STATS1003B!K1291/1000</f>
        <v>128.53405000000001</v>
      </c>
      <c r="L1290" s="85">
        <f>STATS1003B!L1291/1000</f>
        <v>0</v>
      </c>
      <c r="M1290" s="85">
        <f>STATS1003B!M1291/1000</f>
        <v>1057.6659999999999</v>
      </c>
      <c r="N1290" s="85">
        <f>STATS1003B!N1291/1000</f>
        <v>128.53405000000001</v>
      </c>
      <c r="O1290" s="85">
        <f>STATS1003B!O1291/1000</f>
        <v>0</v>
      </c>
      <c r="P1290" s="85">
        <f>STATS1003B!P1291/1000</f>
        <v>128.53405000000001</v>
      </c>
      <c r="Q1290" s="85">
        <f>STATS1003B!Q1291/1000</f>
        <v>1057.6659999999999</v>
      </c>
      <c r="R1290" s="85">
        <f>STATS1003B!R1291/1000</f>
        <v>0</v>
      </c>
      <c r="S1290" s="85">
        <f>STATS1003B!S1291/1000</f>
        <v>0</v>
      </c>
      <c r="T1290" s="85">
        <f>STATS1003B!T1291/1000</f>
        <v>0</v>
      </c>
      <c r="U1290" s="85">
        <f>STATS1003B!U1291/1000</f>
        <v>128.53405000000001</v>
      </c>
      <c r="V1290" s="85">
        <f>STATS1003B!V1291/1000</f>
        <v>1186.2000500000001</v>
      </c>
      <c r="W1290" s="85">
        <f>STATS1003B!W1291/1000</f>
        <v>0</v>
      </c>
      <c r="X1290" s="85">
        <f t="shared" si="152"/>
        <v>1186.2000499999999</v>
      </c>
      <c r="Y1290" s="85">
        <f>STATS1003B!Y1291/1000</f>
        <v>0</v>
      </c>
      <c r="Z1290" s="85">
        <f t="shared" si="151"/>
        <v>0</v>
      </c>
      <c r="AA1290" s="69">
        <f>STATS1003B!AA1291/1000</f>
        <v>1186.2000500000001</v>
      </c>
      <c r="AB1290" s="69">
        <f>STATS1003B!AB1291/1000</f>
        <v>0</v>
      </c>
    </row>
    <row r="1291" spans="1:28" hidden="1" x14ac:dyDescent="0.3">
      <c r="A1291" s="117"/>
      <c r="C1291" s="68" t="s">
        <v>667</v>
      </c>
      <c r="D1291" s="145" t="s">
        <v>85</v>
      </c>
      <c r="E1291" s="85">
        <f>STATS1003B!E1292/1000</f>
        <v>80</v>
      </c>
      <c r="F1291" s="85">
        <f>STATS1003B!F1292/1000</f>
        <v>80</v>
      </c>
      <c r="G1291" s="85">
        <f>STATS1003B!G1292/1000</f>
        <v>0</v>
      </c>
      <c r="H1291" s="85">
        <f>STATS1003B!H1292/1000</f>
        <v>80</v>
      </c>
      <c r="I1291" s="85">
        <f>STATS1003B!I1292/1000</f>
        <v>0</v>
      </c>
      <c r="J1291" s="85">
        <f>STATS1003B!J1292/1000</f>
        <v>80</v>
      </c>
      <c r="K1291" s="85">
        <f>STATS1003B!K1292/1000</f>
        <v>0</v>
      </c>
      <c r="L1291" s="85">
        <f>STATS1003B!L1292/1000</f>
        <v>0</v>
      </c>
      <c r="M1291" s="85">
        <f>STATS1003B!M1292/1000</f>
        <v>80</v>
      </c>
      <c r="N1291" s="85">
        <f>STATS1003B!N1292/1000</f>
        <v>0</v>
      </c>
      <c r="O1291" s="85">
        <f>STATS1003B!O1292/1000</f>
        <v>0</v>
      </c>
      <c r="P1291" s="85">
        <f>STATS1003B!P1292/1000</f>
        <v>0</v>
      </c>
      <c r="Q1291" s="85">
        <f>STATS1003B!Q1292/1000</f>
        <v>80</v>
      </c>
      <c r="R1291" s="85">
        <f>STATS1003B!R1292/1000</f>
        <v>0</v>
      </c>
      <c r="S1291" s="85">
        <f>STATS1003B!S1292/1000</f>
        <v>0</v>
      </c>
      <c r="T1291" s="85">
        <f>STATS1003B!T1292/1000</f>
        <v>0</v>
      </c>
      <c r="U1291" s="85">
        <f>STATS1003B!U1292/1000</f>
        <v>0</v>
      </c>
      <c r="V1291" s="85">
        <f>STATS1003B!V1292/1000</f>
        <v>80</v>
      </c>
      <c r="W1291" s="85">
        <f>STATS1003B!W1292/1000</f>
        <v>0</v>
      </c>
      <c r="X1291" s="85">
        <f t="shared" si="152"/>
        <v>80</v>
      </c>
      <c r="Y1291" s="85">
        <f>STATS1003B!Y1292/1000</f>
        <v>0</v>
      </c>
      <c r="Z1291" s="85">
        <f t="shared" si="151"/>
        <v>0</v>
      </c>
      <c r="AA1291" s="69">
        <f>STATS1003B!AA1292/1000</f>
        <v>80</v>
      </c>
      <c r="AB1291" s="69">
        <f>STATS1003B!AB1292/1000</f>
        <v>0</v>
      </c>
    </row>
    <row r="1292" spans="1:28" hidden="1" x14ac:dyDescent="0.3">
      <c r="A1292" s="117"/>
      <c r="C1292" s="68" t="s">
        <v>697</v>
      </c>
      <c r="D1292" s="145" t="s">
        <v>85</v>
      </c>
      <c r="E1292" s="85">
        <f>STATS1003B!E1293/1000</f>
        <v>277.60000000000002</v>
      </c>
      <c r="F1292" s="85">
        <f>STATS1003B!F1293/1000</f>
        <v>0</v>
      </c>
      <c r="G1292" s="85">
        <f>STATS1003B!G1293/1000</f>
        <v>0</v>
      </c>
      <c r="H1292" s="85">
        <f>STATS1003B!H1293/1000</f>
        <v>0</v>
      </c>
      <c r="I1292" s="85">
        <f>STATS1003B!I1293/1000</f>
        <v>0</v>
      </c>
      <c r="J1292" s="85">
        <f>STATS1003B!J1293/1000</f>
        <v>0</v>
      </c>
      <c r="K1292" s="85">
        <f>STATS1003B!K1293/1000</f>
        <v>0</v>
      </c>
      <c r="L1292" s="85">
        <f>STATS1003B!L1293/1000</f>
        <v>0</v>
      </c>
      <c r="M1292" s="85">
        <f>STATS1003B!M1293/1000</f>
        <v>0</v>
      </c>
      <c r="N1292" s="85">
        <f>STATS1003B!N1293/1000</f>
        <v>0</v>
      </c>
      <c r="O1292" s="85">
        <f>STATS1003B!O1293/1000</f>
        <v>0</v>
      </c>
      <c r="P1292" s="85">
        <f>STATS1003B!P1293/1000</f>
        <v>0</v>
      </c>
      <c r="Q1292" s="85">
        <f>STATS1003B!Q1293/1000</f>
        <v>277.60000000000002</v>
      </c>
      <c r="R1292" s="85">
        <f>STATS1003B!R1293/1000</f>
        <v>0</v>
      </c>
      <c r="S1292" s="85">
        <f>STATS1003B!S1293/1000</f>
        <v>0</v>
      </c>
      <c r="T1292" s="85">
        <f>STATS1003B!T1293/1000</f>
        <v>0</v>
      </c>
      <c r="U1292" s="85">
        <f>STATS1003B!U1293/1000</f>
        <v>0</v>
      </c>
      <c r="V1292" s="85">
        <f>STATS1003B!V1293/1000</f>
        <v>0</v>
      </c>
      <c r="W1292" s="85">
        <f>STATS1003B!W1293/1000</f>
        <v>277.60000000000002</v>
      </c>
      <c r="X1292" s="85">
        <f t="shared" si="152"/>
        <v>0</v>
      </c>
      <c r="Y1292" s="85">
        <f>STATS1003B!Y1293/1000</f>
        <v>0</v>
      </c>
      <c r="Z1292" s="85">
        <f t="shared" si="151"/>
        <v>277.60000000000002</v>
      </c>
      <c r="AA1292" s="69">
        <f>STATS1003B!AA1293/1000</f>
        <v>0</v>
      </c>
      <c r="AB1292" s="69">
        <f>STATS1003B!AB1293/1000</f>
        <v>277.60000000000002</v>
      </c>
    </row>
    <row r="1293" spans="1:28" hidden="1" x14ac:dyDescent="0.3">
      <c r="A1293" s="117"/>
      <c r="C1293" s="68" t="s">
        <v>698</v>
      </c>
      <c r="D1293" s="145" t="s">
        <v>128</v>
      </c>
      <c r="E1293" s="85">
        <f>STATS1003B!E1294/1000</f>
        <v>1600</v>
      </c>
      <c r="F1293" s="85">
        <f>STATS1003B!F1294/1000</f>
        <v>1600</v>
      </c>
      <c r="G1293" s="85">
        <f>STATS1003B!G1294/1000</f>
        <v>0</v>
      </c>
      <c r="H1293" s="85">
        <f>STATS1003B!H1294/1000</f>
        <v>1600</v>
      </c>
      <c r="I1293" s="85">
        <f>STATS1003B!I1294/1000</f>
        <v>0</v>
      </c>
      <c r="J1293" s="85">
        <f>STATS1003B!J1294/1000</f>
        <v>1600</v>
      </c>
      <c r="K1293" s="85">
        <f>STATS1003B!K1294/1000</f>
        <v>0</v>
      </c>
      <c r="L1293" s="85">
        <f>STATS1003B!L1294/1000</f>
        <v>0</v>
      </c>
      <c r="M1293" s="85">
        <f>STATS1003B!M1294/1000</f>
        <v>1600</v>
      </c>
      <c r="N1293" s="85">
        <f>STATS1003B!N1294/1000</f>
        <v>0</v>
      </c>
      <c r="O1293" s="85">
        <f>STATS1003B!O1294/1000</f>
        <v>0</v>
      </c>
      <c r="P1293" s="85">
        <f>STATS1003B!P1294/1000</f>
        <v>0</v>
      </c>
      <c r="Q1293" s="85">
        <f>STATS1003B!Q1294/1000</f>
        <v>1600</v>
      </c>
      <c r="R1293" s="85">
        <f>STATS1003B!R1294/1000</f>
        <v>0</v>
      </c>
      <c r="S1293" s="85">
        <f>STATS1003B!S1294/1000</f>
        <v>0</v>
      </c>
      <c r="T1293" s="85">
        <f>STATS1003B!T1294/1000</f>
        <v>0</v>
      </c>
      <c r="U1293" s="85">
        <f>STATS1003B!U1294/1000</f>
        <v>0</v>
      </c>
      <c r="V1293" s="85">
        <f>STATS1003B!V1294/1000</f>
        <v>1600</v>
      </c>
      <c r="W1293" s="85">
        <f>STATS1003B!W1294/1000</f>
        <v>0</v>
      </c>
      <c r="X1293" s="85">
        <f t="shared" si="152"/>
        <v>1600</v>
      </c>
      <c r="Y1293" s="85">
        <f>STATS1003B!Y1294/1000</f>
        <v>0</v>
      </c>
      <c r="Z1293" s="85">
        <f t="shared" si="151"/>
        <v>0</v>
      </c>
      <c r="AA1293" s="69">
        <f>STATS1003B!AA1294/1000</f>
        <v>1600</v>
      </c>
      <c r="AB1293" s="69">
        <f>STATS1003B!AB1294/1000</f>
        <v>0</v>
      </c>
    </row>
    <row r="1294" spans="1:28" hidden="1" x14ac:dyDescent="0.3">
      <c r="A1294" s="117"/>
      <c r="C1294" s="68" t="s">
        <v>699</v>
      </c>
      <c r="D1294" s="145" t="s">
        <v>128</v>
      </c>
      <c r="E1294" s="85">
        <f>STATS1003B!E1295/1000</f>
        <v>800</v>
      </c>
      <c r="F1294" s="85">
        <f>STATS1003B!F1295/1000</f>
        <v>800</v>
      </c>
      <c r="G1294" s="85">
        <f>STATS1003B!G1295/1000</f>
        <v>0</v>
      </c>
      <c r="H1294" s="85">
        <f>STATS1003B!H1295/1000</f>
        <v>800</v>
      </c>
      <c r="I1294" s="85">
        <f>STATS1003B!I1295/1000</f>
        <v>0</v>
      </c>
      <c r="J1294" s="85">
        <f>STATS1003B!J1295/1000</f>
        <v>800</v>
      </c>
      <c r="K1294" s="85">
        <f>STATS1003B!K1295/1000</f>
        <v>0</v>
      </c>
      <c r="L1294" s="85">
        <f>STATS1003B!L1295/1000</f>
        <v>0</v>
      </c>
      <c r="M1294" s="85">
        <f>STATS1003B!M1295/1000</f>
        <v>800</v>
      </c>
      <c r="N1294" s="85">
        <f>STATS1003B!N1295/1000</f>
        <v>0</v>
      </c>
      <c r="O1294" s="85">
        <f>STATS1003B!O1295/1000</f>
        <v>0</v>
      </c>
      <c r="P1294" s="85">
        <f>STATS1003B!P1295/1000</f>
        <v>0</v>
      </c>
      <c r="Q1294" s="85">
        <f>STATS1003B!Q1295/1000</f>
        <v>800</v>
      </c>
      <c r="R1294" s="85">
        <f>STATS1003B!R1295/1000</f>
        <v>0</v>
      </c>
      <c r="S1294" s="85">
        <f>STATS1003B!S1295/1000</f>
        <v>0</v>
      </c>
      <c r="T1294" s="85">
        <f>STATS1003B!T1295/1000</f>
        <v>0</v>
      </c>
      <c r="U1294" s="85">
        <f>STATS1003B!U1295/1000</f>
        <v>0</v>
      </c>
      <c r="V1294" s="85">
        <f>STATS1003B!V1295/1000</f>
        <v>800</v>
      </c>
      <c r="W1294" s="85">
        <f>STATS1003B!W1295/1000</f>
        <v>0</v>
      </c>
      <c r="X1294" s="85">
        <f t="shared" si="152"/>
        <v>800</v>
      </c>
      <c r="Y1294" s="85">
        <f>STATS1003B!Y1295/1000</f>
        <v>0</v>
      </c>
      <c r="Z1294" s="85">
        <f t="shared" si="151"/>
        <v>0</v>
      </c>
      <c r="AA1294" s="69">
        <f>STATS1003B!AA1295/1000</f>
        <v>800</v>
      </c>
      <c r="AB1294" s="69">
        <f>STATS1003B!AB1295/1000</f>
        <v>0</v>
      </c>
    </row>
    <row r="1295" spans="1:28" hidden="1" x14ac:dyDescent="0.3">
      <c r="A1295" s="117"/>
      <c r="C1295" s="68" t="s">
        <v>535</v>
      </c>
      <c r="D1295" s="145" t="s">
        <v>128</v>
      </c>
      <c r="E1295" s="85">
        <f>STATS1003B!E1296/1000</f>
        <v>859.5</v>
      </c>
      <c r="F1295" s="85">
        <f>STATS1003B!F1296/1000</f>
        <v>859.5</v>
      </c>
      <c r="G1295" s="85">
        <f>STATS1003B!G1296/1000</f>
        <v>0</v>
      </c>
      <c r="H1295" s="85">
        <f>STATS1003B!H1296/1000</f>
        <v>859.5</v>
      </c>
      <c r="I1295" s="85">
        <f>STATS1003B!I1296/1000</f>
        <v>0</v>
      </c>
      <c r="J1295" s="85">
        <f>STATS1003B!J1296/1000</f>
        <v>859.5</v>
      </c>
      <c r="K1295" s="85">
        <f>STATS1003B!K1296/1000</f>
        <v>0</v>
      </c>
      <c r="L1295" s="85">
        <f>STATS1003B!L1296/1000</f>
        <v>0</v>
      </c>
      <c r="M1295" s="85">
        <f>STATS1003B!M1296/1000</f>
        <v>859.5</v>
      </c>
      <c r="N1295" s="85">
        <f>STATS1003B!N1296/1000</f>
        <v>0</v>
      </c>
      <c r="O1295" s="85">
        <f>STATS1003B!O1296/1000</f>
        <v>0</v>
      </c>
      <c r="P1295" s="85">
        <f>STATS1003B!P1296/1000</f>
        <v>0</v>
      </c>
      <c r="Q1295" s="85">
        <f>STATS1003B!Q1296/1000</f>
        <v>859.5</v>
      </c>
      <c r="R1295" s="85">
        <f>STATS1003B!R1296/1000</f>
        <v>0</v>
      </c>
      <c r="S1295" s="85">
        <f>STATS1003B!S1296/1000</f>
        <v>0</v>
      </c>
      <c r="T1295" s="85">
        <f>STATS1003B!T1296/1000</f>
        <v>0</v>
      </c>
      <c r="U1295" s="85">
        <f>STATS1003B!U1296/1000</f>
        <v>0</v>
      </c>
      <c r="V1295" s="85">
        <f>STATS1003B!V1296/1000</f>
        <v>859.5</v>
      </c>
      <c r="W1295" s="85">
        <f>STATS1003B!W1296/1000</f>
        <v>0</v>
      </c>
      <c r="X1295" s="85">
        <f t="shared" si="152"/>
        <v>859.5</v>
      </c>
      <c r="Y1295" s="85">
        <f>STATS1003B!Y1296/1000</f>
        <v>0</v>
      </c>
      <c r="Z1295" s="85">
        <f t="shared" si="151"/>
        <v>0</v>
      </c>
      <c r="AA1295" s="69">
        <f>STATS1003B!AA1296/1000</f>
        <v>859.5</v>
      </c>
      <c r="AB1295" s="69">
        <f>STATS1003B!AB1296/1000</f>
        <v>0</v>
      </c>
    </row>
    <row r="1296" spans="1:28" hidden="1" x14ac:dyDescent="0.3">
      <c r="A1296" s="117"/>
      <c r="C1296" s="68" t="s">
        <v>535</v>
      </c>
      <c r="D1296" s="145" t="s">
        <v>88</v>
      </c>
      <c r="E1296" s="85">
        <f>STATS1003B!E1297/1000</f>
        <v>7044.4797199999994</v>
      </c>
      <c r="F1296" s="85">
        <f>STATS1003B!F1297/1000</f>
        <v>7044.4797199999994</v>
      </c>
      <c r="G1296" s="85">
        <f>STATS1003B!G1297/1000</f>
        <v>0</v>
      </c>
      <c r="H1296" s="85">
        <f>STATS1003B!H1297/1000</f>
        <v>7044.4797199999994</v>
      </c>
      <c r="I1296" s="85">
        <f>STATS1003B!I1297/1000</f>
        <v>0</v>
      </c>
      <c r="J1296" s="85">
        <f>STATS1003B!J1297/1000</f>
        <v>7044.4797199999994</v>
      </c>
      <c r="K1296" s="85">
        <f>STATS1003B!K1297/1000</f>
        <v>0</v>
      </c>
      <c r="L1296" s="85">
        <f>STATS1003B!L1297/1000</f>
        <v>0</v>
      </c>
      <c r="M1296" s="85">
        <f>STATS1003B!M1297/1000</f>
        <v>7044.4797199999994</v>
      </c>
      <c r="N1296" s="85">
        <f>STATS1003B!N1297/1000</f>
        <v>0</v>
      </c>
      <c r="O1296" s="85">
        <f>STATS1003B!O1297/1000</f>
        <v>0</v>
      </c>
      <c r="P1296" s="85">
        <f>STATS1003B!P1297/1000</f>
        <v>0</v>
      </c>
      <c r="Q1296" s="85">
        <f>STATS1003B!Q1297/1000</f>
        <v>7044.4797199999994</v>
      </c>
      <c r="R1296" s="85">
        <f>STATS1003B!R1297/1000</f>
        <v>0</v>
      </c>
      <c r="S1296" s="85">
        <f>STATS1003B!S1297/1000</f>
        <v>0</v>
      </c>
      <c r="T1296" s="85">
        <f>STATS1003B!T1297/1000</f>
        <v>0</v>
      </c>
      <c r="U1296" s="85">
        <f>STATS1003B!U1297/1000</f>
        <v>0</v>
      </c>
      <c r="V1296" s="85">
        <f>STATS1003B!V1297/1000</f>
        <v>7044.4797199999994</v>
      </c>
      <c r="W1296" s="85">
        <f>STATS1003B!W1297/1000</f>
        <v>0</v>
      </c>
      <c r="X1296" s="85">
        <f t="shared" si="152"/>
        <v>7044.4797199999994</v>
      </c>
      <c r="Y1296" s="85">
        <f>STATS1003B!Y1297/1000</f>
        <v>0</v>
      </c>
      <c r="Z1296" s="85">
        <f t="shared" si="151"/>
        <v>0</v>
      </c>
      <c r="AA1296" s="69">
        <f>STATS1003B!AA1297/1000</f>
        <v>7044.4797199999994</v>
      </c>
      <c r="AB1296" s="69">
        <f>STATS1003B!AB1297/1000</f>
        <v>0</v>
      </c>
    </row>
    <row r="1297" spans="1:28" hidden="1" x14ac:dyDescent="0.3">
      <c r="A1297" s="117"/>
      <c r="C1297" s="68" t="s">
        <v>535</v>
      </c>
      <c r="D1297" s="145" t="s">
        <v>108</v>
      </c>
      <c r="E1297" s="85">
        <f>STATS1003B!E1298/1000</f>
        <v>1543.038</v>
      </c>
      <c r="F1297" s="85">
        <f>STATS1003B!F1298/1000</f>
        <v>1543.038</v>
      </c>
      <c r="G1297" s="85">
        <f>STATS1003B!G1298/1000</f>
        <v>0</v>
      </c>
      <c r="H1297" s="85">
        <f>STATS1003B!H1298/1000</f>
        <v>1543.038</v>
      </c>
      <c r="I1297" s="85">
        <f>STATS1003B!I1298/1000</f>
        <v>0</v>
      </c>
      <c r="J1297" s="85">
        <f>STATS1003B!J1298/1000</f>
        <v>1543.038</v>
      </c>
      <c r="K1297" s="85">
        <f>STATS1003B!K1298/1000</f>
        <v>0</v>
      </c>
      <c r="L1297" s="85">
        <f>STATS1003B!L1298/1000</f>
        <v>0</v>
      </c>
      <c r="M1297" s="85">
        <f>STATS1003B!M1298/1000</f>
        <v>1543.038</v>
      </c>
      <c r="N1297" s="85">
        <f>STATS1003B!N1298/1000</f>
        <v>0</v>
      </c>
      <c r="O1297" s="85">
        <f>STATS1003B!O1298/1000</f>
        <v>0</v>
      </c>
      <c r="P1297" s="85">
        <f>STATS1003B!P1298/1000</f>
        <v>0</v>
      </c>
      <c r="Q1297" s="85">
        <f>STATS1003B!Q1298/1000</f>
        <v>1543.038</v>
      </c>
      <c r="R1297" s="85">
        <f>STATS1003B!R1298/1000</f>
        <v>0</v>
      </c>
      <c r="S1297" s="85">
        <f>STATS1003B!S1298/1000</f>
        <v>0</v>
      </c>
      <c r="T1297" s="85">
        <f>STATS1003B!T1298/1000</f>
        <v>0</v>
      </c>
      <c r="U1297" s="85">
        <f>STATS1003B!U1298/1000</f>
        <v>0</v>
      </c>
      <c r="V1297" s="85">
        <f>STATS1003B!V1298/1000</f>
        <v>1543.038</v>
      </c>
      <c r="W1297" s="85">
        <f>STATS1003B!W1298/1000</f>
        <v>0</v>
      </c>
      <c r="X1297" s="85">
        <f t="shared" si="152"/>
        <v>1543.038</v>
      </c>
      <c r="Y1297" s="85">
        <f>STATS1003B!Y1298/1000</f>
        <v>0</v>
      </c>
      <c r="Z1297" s="85">
        <f t="shared" si="151"/>
        <v>0</v>
      </c>
      <c r="AA1297" s="69">
        <f>STATS1003B!AA1298/1000</f>
        <v>1543.038</v>
      </c>
      <c r="AB1297" s="69">
        <f>STATS1003B!AB1298/1000</f>
        <v>0</v>
      </c>
    </row>
    <row r="1298" spans="1:28" hidden="1" x14ac:dyDescent="0.3">
      <c r="A1298" s="117"/>
      <c r="C1298" s="68" t="s">
        <v>535</v>
      </c>
      <c r="D1298" s="145" t="s">
        <v>58</v>
      </c>
      <c r="E1298" s="85">
        <f>STATS1003B!E1299/1000</f>
        <v>8321.86</v>
      </c>
      <c r="F1298" s="85">
        <f>STATS1003B!F1299/1000</f>
        <v>6832.48</v>
      </c>
      <c r="G1298" s="85">
        <f>STATS1003B!G1299/1000</f>
        <v>0</v>
      </c>
      <c r="H1298" s="85">
        <f>STATS1003B!H1299/1000</f>
        <v>6832.48</v>
      </c>
      <c r="I1298" s="85">
        <f>STATS1003B!I1299/1000</f>
        <v>1489.38</v>
      </c>
      <c r="J1298" s="85">
        <f>STATS1003B!J1299/1000</f>
        <v>8321.86</v>
      </c>
      <c r="K1298" s="85">
        <f>STATS1003B!K1299/1000</f>
        <v>0</v>
      </c>
      <c r="L1298" s="85">
        <f>STATS1003B!L1299/1000</f>
        <v>1489.38</v>
      </c>
      <c r="M1298" s="85">
        <f>STATS1003B!M1299/1000</f>
        <v>8321.86</v>
      </c>
      <c r="N1298" s="85">
        <f>STATS1003B!N1299/1000</f>
        <v>0</v>
      </c>
      <c r="O1298" s="85">
        <f>STATS1003B!O1299/1000</f>
        <v>0</v>
      </c>
      <c r="P1298" s="85">
        <f>STATS1003B!P1299/1000</f>
        <v>0</v>
      </c>
      <c r="Q1298" s="85">
        <f>STATS1003B!Q1299/1000</f>
        <v>8321.86</v>
      </c>
      <c r="R1298" s="85">
        <f>STATS1003B!R1299/1000</f>
        <v>0</v>
      </c>
      <c r="S1298" s="85">
        <f>STATS1003B!S1299/1000</f>
        <v>0</v>
      </c>
      <c r="T1298" s="85">
        <f>STATS1003B!T1299/1000</f>
        <v>0</v>
      </c>
      <c r="U1298" s="85">
        <f>STATS1003B!U1299/1000</f>
        <v>0</v>
      </c>
      <c r="V1298" s="85">
        <f>STATS1003B!V1299/1000</f>
        <v>6832.48</v>
      </c>
      <c r="W1298" s="85">
        <f>STATS1003B!W1299/1000</f>
        <v>1489.38</v>
      </c>
      <c r="X1298" s="85">
        <f t="shared" si="152"/>
        <v>6832.48</v>
      </c>
      <c r="Y1298" s="85">
        <f>STATS1003B!Y1299/1000</f>
        <v>0</v>
      </c>
      <c r="Z1298" s="85">
        <f t="shared" si="151"/>
        <v>1489.380000000001</v>
      </c>
      <c r="AA1298" s="69">
        <f>STATS1003B!AA1299/1000</f>
        <v>8321.86</v>
      </c>
      <c r="AB1298" s="69">
        <f>STATS1003B!AB1299/1000</f>
        <v>0</v>
      </c>
    </row>
    <row r="1299" spans="1:28" hidden="1" x14ac:dyDescent="0.3">
      <c r="A1299" s="117"/>
      <c r="C1299" s="68" t="s">
        <v>535</v>
      </c>
      <c r="D1299" s="145" t="s">
        <v>60</v>
      </c>
      <c r="E1299" s="85">
        <f>STATS1003B!E1300/1000</f>
        <v>1296.45</v>
      </c>
      <c r="F1299" s="85">
        <f>STATS1003B!F1300/1000</f>
        <v>1296.45</v>
      </c>
      <c r="G1299" s="85">
        <f>STATS1003B!G1300/1000</f>
        <v>0</v>
      </c>
      <c r="H1299" s="85">
        <f>STATS1003B!H1300/1000</f>
        <v>1296.45</v>
      </c>
      <c r="I1299" s="85">
        <f>STATS1003B!I1300/1000</f>
        <v>0</v>
      </c>
      <c r="J1299" s="85">
        <f>STATS1003B!J1300/1000</f>
        <v>1296.45</v>
      </c>
      <c r="K1299" s="85">
        <f>STATS1003B!K1300/1000</f>
        <v>0</v>
      </c>
      <c r="L1299" s="85">
        <f>STATS1003B!L1300/1000</f>
        <v>0</v>
      </c>
      <c r="M1299" s="85">
        <f>STATS1003B!M1300/1000</f>
        <v>1296.45</v>
      </c>
      <c r="N1299" s="85">
        <f>STATS1003B!N1300/1000</f>
        <v>0</v>
      </c>
      <c r="O1299" s="85">
        <f>STATS1003B!O1300/1000</f>
        <v>0</v>
      </c>
      <c r="P1299" s="85">
        <f>STATS1003B!P1300/1000</f>
        <v>0</v>
      </c>
      <c r="Q1299" s="85">
        <f>STATS1003B!Q1300/1000</f>
        <v>1296.45</v>
      </c>
      <c r="R1299" s="85">
        <f>STATS1003B!R1300/1000</f>
        <v>0</v>
      </c>
      <c r="S1299" s="85">
        <f>STATS1003B!S1300/1000</f>
        <v>0</v>
      </c>
      <c r="T1299" s="85">
        <f>STATS1003B!T1300/1000</f>
        <v>0</v>
      </c>
      <c r="U1299" s="85">
        <f>STATS1003B!U1300/1000</f>
        <v>0</v>
      </c>
      <c r="V1299" s="85">
        <f>STATS1003B!V1300/1000</f>
        <v>1296.45</v>
      </c>
      <c r="W1299" s="85">
        <f>STATS1003B!W1300/1000</f>
        <v>0</v>
      </c>
      <c r="X1299" s="85">
        <f t="shared" si="152"/>
        <v>1296.45</v>
      </c>
      <c r="Y1299" s="85">
        <f>STATS1003B!Y1300/1000</f>
        <v>0</v>
      </c>
      <c r="Z1299" s="85">
        <f t="shared" si="151"/>
        <v>0</v>
      </c>
      <c r="AA1299" s="69">
        <f>STATS1003B!AA1300/1000</f>
        <v>1296.45</v>
      </c>
      <c r="AB1299" s="69">
        <f>STATS1003B!AB1300/1000</f>
        <v>0</v>
      </c>
    </row>
    <row r="1300" spans="1:28" hidden="1" x14ac:dyDescent="0.3">
      <c r="A1300" s="117"/>
      <c r="C1300" s="68" t="s">
        <v>535</v>
      </c>
      <c r="D1300" s="145" t="s">
        <v>73</v>
      </c>
      <c r="E1300" s="85">
        <f>STATS1003B!E1301/1000</f>
        <v>1284.73</v>
      </c>
      <c r="F1300" s="85">
        <f>STATS1003B!F1301/1000</f>
        <v>1284.73</v>
      </c>
      <c r="G1300" s="85">
        <f>STATS1003B!G1301/1000</f>
        <v>0</v>
      </c>
      <c r="H1300" s="85">
        <f>STATS1003B!H1301/1000</f>
        <v>1284.73</v>
      </c>
      <c r="I1300" s="85">
        <f>STATS1003B!I1301/1000</f>
        <v>0</v>
      </c>
      <c r="J1300" s="85">
        <f>STATS1003B!J1301/1000</f>
        <v>1284.73</v>
      </c>
      <c r="K1300" s="85">
        <f>STATS1003B!K1301/1000</f>
        <v>0</v>
      </c>
      <c r="L1300" s="85">
        <f>STATS1003B!L1301/1000</f>
        <v>0</v>
      </c>
      <c r="M1300" s="85">
        <f>STATS1003B!M1301/1000</f>
        <v>1284.73</v>
      </c>
      <c r="N1300" s="85">
        <f>STATS1003B!N1301/1000</f>
        <v>0</v>
      </c>
      <c r="O1300" s="85">
        <f>STATS1003B!O1301/1000</f>
        <v>0</v>
      </c>
      <c r="P1300" s="85">
        <f>STATS1003B!P1301/1000</f>
        <v>0</v>
      </c>
      <c r="Q1300" s="85">
        <f>STATS1003B!Q1301/1000</f>
        <v>1284.73</v>
      </c>
      <c r="R1300" s="85">
        <f>STATS1003B!R1301/1000</f>
        <v>0</v>
      </c>
      <c r="S1300" s="85">
        <f>STATS1003B!S1301/1000</f>
        <v>0</v>
      </c>
      <c r="T1300" s="85">
        <f>STATS1003B!T1301/1000</f>
        <v>0</v>
      </c>
      <c r="U1300" s="85">
        <f>STATS1003B!U1301/1000</f>
        <v>0</v>
      </c>
      <c r="V1300" s="85">
        <f>STATS1003B!V1301/1000</f>
        <v>1284.73</v>
      </c>
      <c r="W1300" s="85">
        <f>STATS1003B!W1301/1000</f>
        <v>0</v>
      </c>
      <c r="X1300" s="85">
        <f t="shared" si="152"/>
        <v>1284.73</v>
      </c>
      <c r="Y1300" s="85">
        <f>STATS1003B!Y1301/1000</f>
        <v>0</v>
      </c>
      <c r="Z1300" s="85">
        <f t="shared" si="151"/>
        <v>0</v>
      </c>
      <c r="AA1300" s="69">
        <f>STATS1003B!AA1301/1000</f>
        <v>1284.73</v>
      </c>
      <c r="AB1300" s="69">
        <f>STATS1003B!AB1301/1000</f>
        <v>0</v>
      </c>
    </row>
    <row r="1301" spans="1:28" hidden="1" x14ac:dyDescent="0.3">
      <c r="A1301" s="117"/>
      <c r="C1301" s="68" t="s">
        <v>535</v>
      </c>
      <c r="D1301" s="145" t="s">
        <v>61</v>
      </c>
      <c r="E1301" s="85">
        <f>STATS1003B!E1302/1000</f>
        <v>900</v>
      </c>
      <c r="F1301" s="85">
        <f>STATS1003B!F1302/1000</f>
        <v>900</v>
      </c>
      <c r="G1301" s="85">
        <f>STATS1003B!G1302/1000</f>
        <v>0</v>
      </c>
      <c r="H1301" s="85">
        <f>STATS1003B!H1302/1000</f>
        <v>900</v>
      </c>
      <c r="I1301" s="85">
        <f>STATS1003B!I1302/1000</f>
        <v>0</v>
      </c>
      <c r="J1301" s="85">
        <f>STATS1003B!J1302/1000</f>
        <v>900</v>
      </c>
      <c r="K1301" s="85">
        <f>STATS1003B!K1302/1000</f>
        <v>0</v>
      </c>
      <c r="L1301" s="85">
        <f>STATS1003B!L1302/1000</f>
        <v>0</v>
      </c>
      <c r="M1301" s="85">
        <f>STATS1003B!M1302/1000</f>
        <v>900</v>
      </c>
      <c r="N1301" s="85">
        <f>STATS1003B!N1302/1000</f>
        <v>0</v>
      </c>
      <c r="O1301" s="85">
        <f>STATS1003B!O1302/1000</f>
        <v>0</v>
      </c>
      <c r="P1301" s="85">
        <f>STATS1003B!P1302/1000</f>
        <v>0</v>
      </c>
      <c r="Q1301" s="85">
        <f>STATS1003B!Q1302/1000</f>
        <v>900</v>
      </c>
      <c r="R1301" s="85">
        <f>STATS1003B!R1302/1000</f>
        <v>0</v>
      </c>
      <c r="S1301" s="85">
        <f>STATS1003B!S1302/1000</f>
        <v>0</v>
      </c>
      <c r="T1301" s="85">
        <f>STATS1003B!T1302/1000</f>
        <v>0</v>
      </c>
      <c r="U1301" s="85">
        <f>STATS1003B!U1302/1000</f>
        <v>0</v>
      </c>
      <c r="V1301" s="85">
        <f>STATS1003B!V1302/1000</f>
        <v>900</v>
      </c>
      <c r="W1301" s="85">
        <f>STATS1003B!W1302/1000</f>
        <v>0</v>
      </c>
      <c r="X1301" s="85">
        <f t="shared" si="152"/>
        <v>900</v>
      </c>
      <c r="Y1301" s="85">
        <f>STATS1003B!Y1302/1000</f>
        <v>0</v>
      </c>
      <c r="Z1301" s="85">
        <f t="shared" si="151"/>
        <v>0</v>
      </c>
      <c r="AA1301" s="69">
        <f>STATS1003B!AA1302/1000</f>
        <v>900</v>
      </c>
      <c r="AB1301" s="69">
        <f>STATS1003B!AB1302/1000</f>
        <v>0</v>
      </c>
    </row>
    <row r="1302" spans="1:28" hidden="1" x14ac:dyDescent="0.3">
      <c r="A1302" s="117"/>
      <c r="C1302" s="68" t="s">
        <v>929</v>
      </c>
      <c r="D1302" s="90" t="s">
        <v>1072</v>
      </c>
      <c r="E1302" s="85">
        <f>STATS1003B!E1303/1000</f>
        <v>2988.3620000000001</v>
      </c>
      <c r="F1302" s="85">
        <f>STATS1003B!F1303/1000</f>
        <v>2988.3620000000001</v>
      </c>
      <c r="G1302" s="85">
        <f>STATS1003B!G1303/1000</f>
        <v>0</v>
      </c>
      <c r="H1302" s="85">
        <f>STATS1003B!H1303/1000</f>
        <v>2988.3620000000001</v>
      </c>
      <c r="I1302" s="85">
        <f>STATS1003B!I1303/1000</f>
        <v>0</v>
      </c>
      <c r="J1302" s="85">
        <f>STATS1003B!J1303/1000</f>
        <v>0</v>
      </c>
      <c r="K1302" s="85">
        <f>STATS1003B!K1303/1000</f>
        <v>0</v>
      </c>
      <c r="L1302" s="85">
        <f>STATS1003B!L1303/1000</f>
        <v>0</v>
      </c>
      <c r="M1302" s="85">
        <f>STATS1003B!M1303/1000</f>
        <v>2988.3620000000001</v>
      </c>
      <c r="N1302" s="85">
        <f>STATS1003B!N1303/1000</f>
        <v>0</v>
      </c>
      <c r="O1302" s="85">
        <f>STATS1003B!O1303/1000</f>
        <v>0</v>
      </c>
      <c r="P1302" s="85">
        <f>STATS1003B!P1303/1000</f>
        <v>0</v>
      </c>
      <c r="Q1302" s="85">
        <f>STATS1003B!Q1303/1000</f>
        <v>0</v>
      </c>
      <c r="R1302" s="85">
        <f>STATS1003B!R1303/1000</f>
        <v>0</v>
      </c>
      <c r="S1302" s="85">
        <f>STATS1003B!S1303/1000</f>
        <v>0</v>
      </c>
      <c r="T1302" s="85">
        <f>STATS1003B!T1303/1000</f>
        <v>0</v>
      </c>
      <c r="U1302" s="85">
        <f>STATS1003B!U1303/1000</f>
        <v>0</v>
      </c>
      <c r="V1302" s="85">
        <f>STATS1003B!V1303/1000</f>
        <v>2988.3620000000001</v>
      </c>
      <c r="W1302" s="85">
        <f>STATS1003B!W1303/1000</f>
        <v>0</v>
      </c>
      <c r="X1302" s="85">
        <f t="shared" si="152"/>
        <v>2988.3620000000001</v>
      </c>
      <c r="Y1302" s="85">
        <f>STATS1003B!Y1303/1000</f>
        <v>0</v>
      </c>
      <c r="Z1302" s="85">
        <f t="shared" si="151"/>
        <v>0</v>
      </c>
      <c r="AA1302" s="69">
        <f>STATS1003B!AA1303/1000</f>
        <v>2988.3620000000001</v>
      </c>
      <c r="AB1302" s="69">
        <f>STATS1003B!AB1303/1000</f>
        <v>0</v>
      </c>
    </row>
    <row r="1303" spans="1:28" hidden="1" x14ac:dyDescent="0.3">
      <c r="A1303" s="117"/>
      <c r="C1303" s="68" t="s">
        <v>569</v>
      </c>
      <c r="E1303" s="85">
        <f>STATS1003B!E1304/1000</f>
        <v>1704.53</v>
      </c>
      <c r="F1303" s="85">
        <f>STATS1003B!F1304/1000</f>
        <v>1704.53</v>
      </c>
      <c r="G1303" s="85">
        <f>STATS1003B!G1304/1000</f>
        <v>0</v>
      </c>
      <c r="H1303" s="85">
        <f>STATS1003B!H1304/1000</f>
        <v>1704.53</v>
      </c>
      <c r="I1303" s="85">
        <f>STATS1003B!I1304/1000</f>
        <v>0</v>
      </c>
      <c r="J1303" s="85">
        <f>STATS1003B!J1304/1000</f>
        <v>1704.53</v>
      </c>
      <c r="K1303" s="85">
        <f>STATS1003B!K1304/1000</f>
        <v>0</v>
      </c>
      <c r="L1303" s="85">
        <f>STATS1003B!L1304/1000</f>
        <v>0</v>
      </c>
      <c r="M1303" s="85">
        <f>STATS1003B!M1304/1000</f>
        <v>1704.53</v>
      </c>
      <c r="N1303" s="85">
        <f>STATS1003B!N1304/1000</f>
        <v>0</v>
      </c>
      <c r="O1303" s="85">
        <f>STATS1003B!O1304/1000</f>
        <v>0</v>
      </c>
      <c r="P1303" s="85">
        <f>STATS1003B!P1304/1000</f>
        <v>0</v>
      </c>
      <c r="Q1303" s="85">
        <f>STATS1003B!Q1304/1000</f>
        <v>1704.53</v>
      </c>
      <c r="R1303" s="85">
        <f>STATS1003B!R1304/1000</f>
        <v>0</v>
      </c>
      <c r="S1303" s="85">
        <f>STATS1003B!S1304/1000</f>
        <v>0</v>
      </c>
      <c r="T1303" s="85">
        <f>STATS1003B!T1304/1000</f>
        <v>0</v>
      </c>
      <c r="U1303" s="85">
        <f>STATS1003B!U1304/1000</f>
        <v>0</v>
      </c>
      <c r="V1303" s="85">
        <f>STATS1003B!V1304/1000</f>
        <v>1704.53</v>
      </c>
      <c r="W1303" s="85">
        <f>STATS1003B!W1304/1000</f>
        <v>0</v>
      </c>
      <c r="X1303" s="85">
        <f t="shared" si="152"/>
        <v>1704.53</v>
      </c>
      <c r="Y1303" s="85">
        <f>STATS1003B!Y1304/1000</f>
        <v>0</v>
      </c>
      <c r="Z1303" s="85">
        <f t="shared" si="151"/>
        <v>0</v>
      </c>
      <c r="AA1303" s="69">
        <f>STATS1003B!AA1304/1000</f>
        <v>1704.53</v>
      </c>
      <c r="AB1303" s="69">
        <f>STATS1003B!AB1304/1000</f>
        <v>0</v>
      </c>
    </row>
    <row r="1304" spans="1:28" hidden="1" x14ac:dyDescent="0.3">
      <c r="A1304" s="117"/>
      <c r="C1304" s="68" t="s">
        <v>700</v>
      </c>
      <c r="E1304" s="85">
        <f>STATS1003B!E1305/1000</f>
        <v>274.97762</v>
      </c>
      <c r="F1304" s="85">
        <f>STATS1003B!F1305/1000</f>
        <v>225.63897</v>
      </c>
      <c r="G1304" s="85">
        <f>STATS1003B!G1305/1000</f>
        <v>0</v>
      </c>
      <c r="H1304" s="85">
        <f>STATS1003B!H1305/1000</f>
        <v>225.63897</v>
      </c>
      <c r="I1304" s="85">
        <f>STATS1003B!I1305/1000</f>
        <v>0</v>
      </c>
      <c r="J1304" s="85">
        <f>STATS1003B!J1305/1000</f>
        <v>225.63897</v>
      </c>
      <c r="K1304" s="85">
        <f>STATS1003B!K1305/1000</f>
        <v>49.338650000000001</v>
      </c>
      <c r="L1304" s="85">
        <f>STATS1003B!L1305/1000</f>
        <v>0</v>
      </c>
      <c r="M1304" s="85">
        <f>STATS1003B!M1305/1000</f>
        <v>225.63897</v>
      </c>
      <c r="N1304" s="85">
        <f>STATS1003B!N1305/1000</f>
        <v>49.338650000000001</v>
      </c>
      <c r="O1304" s="85">
        <f>STATS1003B!O1305/1000</f>
        <v>0</v>
      </c>
      <c r="P1304" s="85">
        <f>STATS1003B!P1305/1000</f>
        <v>49.338650000000001</v>
      </c>
      <c r="Q1304" s="85">
        <f>STATS1003B!Q1305/1000</f>
        <v>225.63897</v>
      </c>
      <c r="R1304" s="85">
        <f>STATS1003B!R1305/1000</f>
        <v>0</v>
      </c>
      <c r="S1304" s="85">
        <f>STATS1003B!S1305/1000</f>
        <v>0</v>
      </c>
      <c r="T1304" s="85">
        <f>STATS1003B!T1305/1000</f>
        <v>0</v>
      </c>
      <c r="U1304" s="85">
        <f>STATS1003B!U1305/1000</f>
        <v>49.338650000000001</v>
      </c>
      <c r="V1304" s="85">
        <f>STATS1003B!V1305/1000</f>
        <v>274.97762</v>
      </c>
      <c r="W1304" s="85">
        <f>STATS1003B!W1305/1000</f>
        <v>0</v>
      </c>
      <c r="X1304" s="85">
        <f t="shared" si="152"/>
        <v>274.97762</v>
      </c>
      <c r="Y1304" s="85">
        <f>STATS1003B!Y1305/1000</f>
        <v>0</v>
      </c>
      <c r="Z1304" s="85">
        <f t="shared" si="151"/>
        <v>0</v>
      </c>
      <c r="AA1304" s="69">
        <f>STATS1003B!AA1305/1000</f>
        <v>274.97762</v>
      </c>
      <c r="AB1304" s="69">
        <f>STATS1003B!AB1305/1000</f>
        <v>0</v>
      </c>
    </row>
    <row r="1305" spans="1:28" hidden="1" x14ac:dyDescent="0.3">
      <c r="A1305" s="117"/>
      <c r="C1305" s="68" t="s">
        <v>701</v>
      </c>
      <c r="E1305" s="85">
        <f>STATS1003B!E1306/1000</f>
        <v>0</v>
      </c>
      <c r="F1305" s="85">
        <f>STATS1003B!F1306/1000</f>
        <v>0</v>
      </c>
      <c r="G1305" s="85">
        <f>STATS1003B!G1306/1000</f>
        <v>0</v>
      </c>
      <c r="H1305" s="85">
        <f>STATS1003B!H1306/1000</f>
        <v>0</v>
      </c>
      <c r="I1305" s="85">
        <f>STATS1003B!I1306/1000</f>
        <v>0</v>
      </c>
      <c r="J1305" s="85">
        <f>STATS1003B!J1306/1000</f>
        <v>0</v>
      </c>
      <c r="K1305" s="85">
        <f>STATS1003B!K1306/1000</f>
        <v>0</v>
      </c>
      <c r="L1305" s="85">
        <f>STATS1003B!L1306/1000</f>
        <v>0</v>
      </c>
      <c r="M1305" s="85">
        <f>STATS1003B!M1306/1000</f>
        <v>0</v>
      </c>
      <c r="N1305" s="85">
        <f>STATS1003B!N1306/1000</f>
        <v>0</v>
      </c>
      <c r="O1305" s="85">
        <f>STATS1003B!O1306/1000</f>
        <v>0</v>
      </c>
      <c r="P1305" s="85">
        <f>STATS1003B!P1306/1000</f>
        <v>0</v>
      </c>
      <c r="Q1305" s="85">
        <f>STATS1003B!Q1306/1000</f>
        <v>0</v>
      </c>
      <c r="R1305" s="85">
        <f>STATS1003B!R1306/1000</f>
        <v>0</v>
      </c>
      <c r="S1305" s="85">
        <f>STATS1003B!S1306/1000</f>
        <v>0</v>
      </c>
      <c r="T1305" s="85">
        <f>STATS1003B!T1306/1000</f>
        <v>0</v>
      </c>
      <c r="U1305" s="85">
        <f>STATS1003B!U1306/1000</f>
        <v>0</v>
      </c>
      <c r="V1305" s="85">
        <f>STATS1003B!V1306/1000</f>
        <v>0</v>
      </c>
      <c r="W1305" s="85">
        <f>STATS1003B!W1306/1000</f>
        <v>0</v>
      </c>
      <c r="X1305" s="85">
        <f t="shared" si="152"/>
        <v>0</v>
      </c>
      <c r="Y1305" s="85">
        <f>STATS1003B!Y1306/1000</f>
        <v>0</v>
      </c>
      <c r="Z1305" s="85">
        <f t="shared" si="151"/>
        <v>0</v>
      </c>
      <c r="AA1305" s="69">
        <f>STATS1003B!AA1306/1000</f>
        <v>0</v>
      </c>
      <c r="AB1305" s="69">
        <f>STATS1003B!AB1306/1000</f>
        <v>0</v>
      </c>
    </row>
    <row r="1306" spans="1:28" hidden="1" x14ac:dyDescent="0.3">
      <c r="A1306" s="117"/>
      <c r="C1306" s="68" t="s">
        <v>702</v>
      </c>
      <c r="E1306" s="85">
        <f>STATS1003B!E1307/1000</f>
        <v>87.63</v>
      </c>
      <c r="F1306" s="85">
        <f>STATS1003B!F1307/1000</f>
        <v>0</v>
      </c>
      <c r="G1306" s="85">
        <f>STATS1003B!G1307/1000</f>
        <v>0</v>
      </c>
      <c r="H1306" s="85">
        <f>STATS1003B!H1307/1000</f>
        <v>0</v>
      </c>
      <c r="I1306" s="85">
        <f>STATS1003B!I1307/1000</f>
        <v>0</v>
      </c>
      <c r="J1306" s="85">
        <f>STATS1003B!J1307/1000</f>
        <v>0</v>
      </c>
      <c r="K1306" s="85">
        <f>STATS1003B!K1307/1000</f>
        <v>87.63</v>
      </c>
      <c r="L1306" s="85">
        <f>STATS1003B!L1307/1000</f>
        <v>0</v>
      </c>
      <c r="M1306" s="85">
        <f>STATS1003B!M1307/1000</f>
        <v>0</v>
      </c>
      <c r="N1306" s="85">
        <f>STATS1003B!N1307/1000</f>
        <v>87.63</v>
      </c>
      <c r="O1306" s="85">
        <f>STATS1003B!O1307/1000</f>
        <v>0</v>
      </c>
      <c r="P1306" s="85">
        <f>STATS1003B!P1307/1000</f>
        <v>87.63</v>
      </c>
      <c r="Q1306" s="85">
        <f>STATS1003B!Q1307/1000</f>
        <v>0</v>
      </c>
      <c r="R1306" s="85">
        <f>STATS1003B!R1307/1000</f>
        <v>0</v>
      </c>
      <c r="S1306" s="85">
        <f>STATS1003B!S1307/1000</f>
        <v>0</v>
      </c>
      <c r="T1306" s="85">
        <f>STATS1003B!T1307/1000</f>
        <v>0</v>
      </c>
      <c r="U1306" s="85">
        <f>STATS1003B!U1307/1000</f>
        <v>87.63</v>
      </c>
      <c r="V1306" s="85">
        <f>STATS1003B!V1307/1000</f>
        <v>87.63</v>
      </c>
      <c r="W1306" s="85">
        <f>STATS1003B!W1307/1000</f>
        <v>0</v>
      </c>
      <c r="X1306" s="85">
        <f t="shared" si="152"/>
        <v>87.63</v>
      </c>
      <c r="Y1306" s="85">
        <f>STATS1003B!Y1307/1000</f>
        <v>0</v>
      </c>
      <c r="Z1306" s="85">
        <f t="shared" si="151"/>
        <v>0</v>
      </c>
      <c r="AA1306" s="69">
        <f>STATS1003B!AA1307/1000</f>
        <v>87.63</v>
      </c>
      <c r="AB1306" s="69">
        <f>STATS1003B!AB1307/1000</f>
        <v>0</v>
      </c>
    </row>
    <row r="1307" spans="1:28" hidden="1" x14ac:dyDescent="0.3">
      <c r="A1307" s="117"/>
      <c r="C1307" s="68" t="s">
        <v>678</v>
      </c>
      <c r="E1307" s="85">
        <f>STATS1003B!E1308/1000</f>
        <v>7500</v>
      </c>
      <c r="F1307" s="85">
        <f>STATS1003B!F1308/1000</f>
        <v>7500</v>
      </c>
      <c r="G1307" s="85">
        <f>STATS1003B!G1308/1000</f>
        <v>0</v>
      </c>
      <c r="H1307" s="85">
        <f>STATS1003B!H1308/1000</f>
        <v>7500</v>
      </c>
      <c r="I1307" s="85">
        <f>STATS1003B!I1308/1000</f>
        <v>0</v>
      </c>
      <c r="J1307" s="85">
        <f>STATS1003B!J1308/1000</f>
        <v>7500</v>
      </c>
      <c r="K1307" s="85">
        <f>STATS1003B!K1308/1000</f>
        <v>0</v>
      </c>
      <c r="L1307" s="85">
        <f>STATS1003B!L1308/1000</f>
        <v>0</v>
      </c>
      <c r="M1307" s="85">
        <f>STATS1003B!M1308/1000</f>
        <v>7500</v>
      </c>
      <c r="N1307" s="85">
        <f>STATS1003B!N1308/1000</f>
        <v>0</v>
      </c>
      <c r="O1307" s="85">
        <f>STATS1003B!O1308/1000</f>
        <v>0</v>
      </c>
      <c r="P1307" s="85">
        <f>STATS1003B!P1308/1000</f>
        <v>0</v>
      </c>
      <c r="Q1307" s="85">
        <f>STATS1003B!Q1308/1000</f>
        <v>7500</v>
      </c>
      <c r="R1307" s="85">
        <f>STATS1003B!R1308/1000</f>
        <v>0</v>
      </c>
      <c r="S1307" s="85">
        <f>STATS1003B!S1308/1000</f>
        <v>0</v>
      </c>
      <c r="T1307" s="85">
        <f>STATS1003B!T1308/1000</f>
        <v>0</v>
      </c>
      <c r="U1307" s="85">
        <f>STATS1003B!U1308/1000</f>
        <v>0</v>
      </c>
      <c r="V1307" s="85">
        <f>STATS1003B!V1308/1000</f>
        <v>7500</v>
      </c>
      <c r="W1307" s="85">
        <f>STATS1003B!W1308/1000</f>
        <v>0</v>
      </c>
      <c r="X1307" s="85">
        <f t="shared" si="152"/>
        <v>7500</v>
      </c>
      <c r="Y1307" s="85">
        <f>STATS1003B!Y1308/1000</f>
        <v>0</v>
      </c>
      <c r="Z1307" s="85">
        <f t="shared" si="151"/>
        <v>0</v>
      </c>
      <c r="AA1307" s="69">
        <f>STATS1003B!AA1308/1000</f>
        <v>7500</v>
      </c>
      <c r="AB1307" s="69">
        <f>STATS1003B!AB1308/1000</f>
        <v>0</v>
      </c>
    </row>
    <row r="1308" spans="1:28" hidden="1" x14ac:dyDescent="0.3">
      <c r="A1308" s="117"/>
      <c r="E1308" s="86" t="s">
        <v>29</v>
      </c>
      <c r="F1308" s="86" t="s">
        <v>29</v>
      </c>
      <c r="G1308" s="86" t="s">
        <v>29</v>
      </c>
      <c r="H1308" s="86" t="s">
        <v>29</v>
      </c>
      <c r="I1308" s="86" t="s">
        <v>29</v>
      </c>
      <c r="J1308" s="86" t="s">
        <v>29</v>
      </c>
      <c r="K1308" s="86" t="s">
        <v>29</v>
      </c>
      <c r="L1308" s="86" t="s">
        <v>29</v>
      </c>
      <c r="M1308" s="86" t="s">
        <v>29</v>
      </c>
      <c r="N1308" s="86" t="s">
        <v>29</v>
      </c>
      <c r="O1308" s="86" t="s">
        <v>29</v>
      </c>
      <c r="P1308" s="86" t="s">
        <v>29</v>
      </c>
      <c r="Q1308" s="86" t="s">
        <v>29</v>
      </c>
      <c r="R1308" s="86" t="s">
        <v>29</v>
      </c>
      <c r="S1308" s="86" t="s">
        <v>29</v>
      </c>
      <c r="T1308" s="86" t="s">
        <v>29</v>
      </c>
      <c r="U1308" s="86" t="s">
        <v>29</v>
      </c>
      <c r="V1308" s="86" t="s">
        <v>29</v>
      </c>
      <c r="W1308" s="86" t="s">
        <v>29</v>
      </c>
      <c r="X1308" s="85" t="e">
        <f t="shared" si="152"/>
        <v>#VALUE!</v>
      </c>
      <c r="Y1308" s="86" t="s">
        <v>29</v>
      </c>
      <c r="Z1308" s="85" t="e">
        <f t="shared" ref="Z1308:Z1371" si="155">+E1308-X1308</f>
        <v>#VALUE!</v>
      </c>
      <c r="AA1308" s="115" t="s">
        <v>29</v>
      </c>
      <c r="AB1308" s="115" t="s">
        <v>29</v>
      </c>
    </row>
    <row r="1309" spans="1:28" x14ac:dyDescent="0.3">
      <c r="A1309" s="116">
        <v>59</v>
      </c>
      <c r="B1309" s="68" t="s">
        <v>695</v>
      </c>
      <c r="E1309" s="85">
        <f>130622725.99/1000</f>
        <v>130622.72598999999</v>
      </c>
      <c r="F1309" s="85">
        <f t="shared" ref="F1309:Q1309" si="156">SUM(F1284:F1308)</f>
        <v>37379.374689999997</v>
      </c>
      <c r="G1309" s="85">
        <f t="shared" si="156"/>
        <v>0</v>
      </c>
      <c r="H1309" s="85">
        <f>112172595.42/1000</f>
        <v>112172.59542</v>
      </c>
      <c r="I1309" s="85">
        <f t="shared" si="156"/>
        <v>1489.38</v>
      </c>
      <c r="J1309" s="85">
        <f t="shared" si="156"/>
        <v>35880.392690000001</v>
      </c>
      <c r="K1309" s="85">
        <f t="shared" si="156"/>
        <v>16683.150569999998</v>
      </c>
      <c r="L1309" s="85">
        <f t="shared" si="156"/>
        <v>1489.38</v>
      </c>
      <c r="M1309" s="85">
        <f t="shared" si="156"/>
        <v>38868.754690000002</v>
      </c>
      <c r="N1309" s="85">
        <f t="shared" si="156"/>
        <v>16683.150569999998</v>
      </c>
      <c r="O1309" s="85">
        <f t="shared" si="156"/>
        <v>0</v>
      </c>
      <c r="P1309" s="85">
        <f>16683150/1000</f>
        <v>16683.150000000001</v>
      </c>
      <c r="Q1309" s="85">
        <f t="shared" si="156"/>
        <v>36157.992689999999</v>
      </c>
      <c r="R1309" s="86"/>
      <c r="S1309" s="86"/>
      <c r="T1309" s="85">
        <f t="shared" ref="T1309:Y1309" si="157">SUM(T1284:T1308)</f>
        <v>0</v>
      </c>
      <c r="U1309" s="85">
        <f t="shared" si="157"/>
        <v>16683.150569999998</v>
      </c>
      <c r="V1309" s="85">
        <f t="shared" si="157"/>
        <v>54062.525259999995</v>
      </c>
      <c r="W1309" s="85">
        <f t="shared" si="157"/>
        <v>1766.98</v>
      </c>
      <c r="X1309" s="85">
        <f t="shared" si="152"/>
        <v>128855.74541999999</v>
      </c>
      <c r="Y1309" s="85">
        <f t="shared" si="157"/>
        <v>0</v>
      </c>
      <c r="Z1309" s="85">
        <f t="shared" si="155"/>
        <v>1766.9805699999997</v>
      </c>
      <c r="AA1309" s="69">
        <f>SUM(AA1284:AA1308)</f>
        <v>55551.90526</v>
      </c>
      <c r="AB1309" s="69">
        <f>SUM(AB1284:AB1308)</f>
        <v>277.60000000000002</v>
      </c>
    </row>
    <row r="1310" spans="1:28" hidden="1" x14ac:dyDescent="0.3">
      <c r="A1310" s="117"/>
      <c r="E1310" s="86" t="s">
        <v>29</v>
      </c>
      <c r="F1310" s="86" t="s">
        <v>29</v>
      </c>
      <c r="G1310" s="86" t="s">
        <v>29</v>
      </c>
      <c r="H1310" s="86" t="s">
        <v>29</v>
      </c>
      <c r="I1310" s="86" t="s">
        <v>29</v>
      </c>
      <c r="J1310" s="86" t="s">
        <v>29</v>
      </c>
      <c r="K1310" s="86" t="s">
        <v>29</v>
      </c>
      <c r="L1310" s="86" t="s">
        <v>29</v>
      </c>
      <c r="M1310" s="86" t="s">
        <v>29</v>
      </c>
      <c r="N1310" s="86" t="s">
        <v>29</v>
      </c>
      <c r="O1310" s="86" t="s">
        <v>29</v>
      </c>
      <c r="P1310" s="86" t="s">
        <v>29</v>
      </c>
      <c r="Q1310" s="86" t="s">
        <v>29</v>
      </c>
      <c r="R1310" s="86" t="s">
        <v>29</v>
      </c>
      <c r="S1310" s="86" t="s">
        <v>29</v>
      </c>
      <c r="T1310" s="86" t="s">
        <v>29</v>
      </c>
      <c r="U1310" s="86" t="s">
        <v>29</v>
      </c>
      <c r="V1310" s="86" t="s">
        <v>29</v>
      </c>
      <c r="W1310" s="86" t="s">
        <v>29</v>
      </c>
      <c r="X1310" s="85" t="e">
        <f t="shared" si="152"/>
        <v>#VALUE!</v>
      </c>
      <c r="Y1310" s="86" t="s">
        <v>29</v>
      </c>
      <c r="Z1310" s="85" t="e">
        <f t="shared" si="155"/>
        <v>#VALUE!</v>
      </c>
      <c r="AA1310" s="115" t="s">
        <v>29</v>
      </c>
      <c r="AB1310" s="115" t="s">
        <v>29</v>
      </c>
    </row>
    <row r="1311" spans="1:28" hidden="1" x14ac:dyDescent="0.3">
      <c r="A1311" s="105"/>
      <c r="E1311" s="84"/>
      <c r="F1311" s="84"/>
      <c r="G1311" s="84"/>
      <c r="H1311" s="84"/>
      <c r="I1311" s="84"/>
      <c r="J1311" s="84"/>
      <c r="K1311" s="84"/>
      <c r="L1311" s="84"/>
      <c r="M1311" s="84"/>
      <c r="N1311" s="84"/>
      <c r="O1311" s="84"/>
      <c r="P1311" s="84"/>
      <c r="Q1311" s="84"/>
      <c r="R1311" s="86"/>
      <c r="S1311" s="86"/>
      <c r="T1311" s="86"/>
      <c r="U1311" s="86"/>
      <c r="V1311" s="86"/>
      <c r="W1311" s="86"/>
      <c r="X1311" s="85">
        <f t="shared" si="152"/>
        <v>0</v>
      </c>
      <c r="Y1311" s="86"/>
      <c r="Z1311" s="85">
        <f t="shared" si="155"/>
        <v>0</v>
      </c>
    </row>
    <row r="1312" spans="1:28" hidden="1" x14ac:dyDescent="0.3">
      <c r="A1312" s="117"/>
      <c r="C1312" s="68" t="s">
        <v>539</v>
      </c>
      <c r="D1312" s="145" t="s">
        <v>68</v>
      </c>
      <c r="E1312" s="85">
        <f>STATS1003B!E1313/1000</f>
        <v>982.8125</v>
      </c>
      <c r="F1312" s="85">
        <f>STATS1003B!F1313/1000</f>
        <v>0</v>
      </c>
      <c r="G1312" s="85">
        <f>STATS1003B!G1313/1000</f>
        <v>0</v>
      </c>
      <c r="H1312" s="85">
        <f>STATS1003B!H1313/1000</f>
        <v>0</v>
      </c>
      <c r="I1312" s="85">
        <f>STATS1003B!I1313/1000</f>
        <v>0</v>
      </c>
      <c r="J1312" s="85">
        <f>STATS1003B!J1313/1000</f>
        <v>0</v>
      </c>
      <c r="K1312" s="85">
        <f>STATS1003B!K1313/1000</f>
        <v>982.8125</v>
      </c>
      <c r="L1312" s="85">
        <f>STATS1003B!L1313/1000</f>
        <v>0</v>
      </c>
      <c r="M1312" s="85">
        <f>STATS1003B!M1313/1000</f>
        <v>0</v>
      </c>
      <c r="N1312" s="85">
        <f>STATS1003B!N1313/1000</f>
        <v>982.8125</v>
      </c>
      <c r="O1312" s="85">
        <f>STATS1003B!O1313/1000</f>
        <v>0</v>
      </c>
      <c r="P1312" s="85">
        <f>STATS1003B!P1313/1000</f>
        <v>982.8125</v>
      </c>
      <c r="Q1312" s="85">
        <f>STATS1003B!Q1313/1000</f>
        <v>0</v>
      </c>
      <c r="R1312" s="85">
        <f>STATS1003B!R1313/1000</f>
        <v>0</v>
      </c>
      <c r="S1312" s="85">
        <f>STATS1003B!S1313/1000</f>
        <v>0</v>
      </c>
      <c r="T1312" s="85">
        <f>STATS1003B!T1313/1000</f>
        <v>0</v>
      </c>
      <c r="U1312" s="85">
        <f>STATS1003B!U1313/1000</f>
        <v>982.8125</v>
      </c>
      <c r="V1312" s="85">
        <f>STATS1003B!V1313/1000</f>
        <v>982.8125</v>
      </c>
      <c r="W1312" s="85">
        <f>STATS1003B!W1313/1000</f>
        <v>0</v>
      </c>
      <c r="X1312" s="85">
        <f t="shared" si="152"/>
        <v>982.8125</v>
      </c>
      <c r="Y1312" s="85">
        <f>STATS1003B!Y1313/1000</f>
        <v>0</v>
      </c>
      <c r="Z1312" s="85">
        <f t="shared" si="155"/>
        <v>0</v>
      </c>
      <c r="AA1312" s="69">
        <f>STATS1003B!AA1313/1000</f>
        <v>982.8125</v>
      </c>
      <c r="AB1312" s="69">
        <f>STATS1003B!AB1313/1000</f>
        <v>0</v>
      </c>
    </row>
    <row r="1313" spans="1:28" hidden="1" x14ac:dyDescent="0.3">
      <c r="A1313" s="117"/>
      <c r="C1313" s="68" t="s">
        <v>704</v>
      </c>
      <c r="D1313" s="145" t="s">
        <v>68</v>
      </c>
      <c r="E1313" s="85">
        <f>STATS1003B!E1314/1000</f>
        <v>2550</v>
      </c>
      <c r="F1313" s="85">
        <f>STATS1003B!F1314/1000</f>
        <v>2550</v>
      </c>
      <c r="G1313" s="85">
        <f>STATS1003B!G1314/1000</f>
        <v>0</v>
      </c>
      <c r="H1313" s="85">
        <f>STATS1003B!H1314/1000</f>
        <v>2550</v>
      </c>
      <c r="I1313" s="85">
        <f>STATS1003B!I1314/1000</f>
        <v>0</v>
      </c>
      <c r="J1313" s="85">
        <f>STATS1003B!J1314/1000</f>
        <v>2550</v>
      </c>
      <c r="K1313" s="85">
        <f>STATS1003B!K1314/1000</f>
        <v>0</v>
      </c>
      <c r="L1313" s="85">
        <f>STATS1003B!L1314/1000</f>
        <v>0</v>
      </c>
      <c r="M1313" s="85">
        <f>STATS1003B!M1314/1000</f>
        <v>2550</v>
      </c>
      <c r="N1313" s="85">
        <f>STATS1003B!N1314/1000</f>
        <v>0</v>
      </c>
      <c r="O1313" s="85">
        <f>STATS1003B!O1314/1000</f>
        <v>0</v>
      </c>
      <c r="P1313" s="85">
        <f>STATS1003B!P1314/1000</f>
        <v>0</v>
      </c>
      <c r="Q1313" s="85">
        <f>STATS1003B!Q1314/1000</f>
        <v>2550</v>
      </c>
      <c r="R1313" s="85">
        <f>STATS1003B!R1314/1000</f>
        <v>0</v>
      </c>
      <c r="S1313" s="85">
        <f>STATS1003B!S1314/1000</f>
        <v>0</v>
      </c>
      <c r="T1313" s="85">
        <f>STATS1003B!T1314/1000</f>
        <v>0</v>
      </c>
      <c r="U1313" s="85">
        <f>STATS1003B!U1314/1000</f>
        <v>0</v>
      </c>
      <c r="V1313" s="85">
        <f>STATS1003B!V1314/1000</f>
        <v>2550</v>
      </c>
      <c r="W1313" s="85">
        <f>STATS1003B!W1314/1000</f>
        <v>0</v>
      </c>
      <c r="X1313" s="85">
        <f t="shared" si="152"/>
        <v>2550</v>
      </c>
      <c r="Y1313" s="85">
        <f>STATS1003B!Y1314/1000</f>
        <v>0</v>
      </c>
      <c r="Z1313" s="85">
        <f t="shared" si="155"/>
        <v>0</v>
      </c>
      <c r="AA1313" s="69">
        <f>STATS1003B!AA1314/1000</f>
        <v>2550</v>
      </c>
      <c r="AB1313" s="69">
        <f>STATS1003B!AB1314/1000</f>
        <v>0</v>
      </c>
    </row>
    <row r="1314" spans="1:28" hidden="1" x14ac:dyDescent="0.3">
      <c r="A1314" s="117"/>
      <c r="C1314" s="68" t="s">
        <v>535</v>
      </c>
      <c r="D1314" s="145" t="s">
        <v>54</v>
      </c>
      <c r="E1314" s="85">
        <f>STATS1003B!E1315/1000</f>
        <v>911.05</v>
      </c>
      <c r="F1314" s="85">
        <f>STATS1003B!F1315/1000</f>
        <v>911.05</v>
      </c>
      <c r="G1314" s="85">
        <f>STATS1003B!G1315/1000</f>
        <v>0</v>
      </c>
      <c r="H1314" s="85">
        <f>STATS1003B!H1315/1000</f>
        <v>911.05</v>
      </c>
      <c r="I1314" s="85">
        <f>STATS1003B!I1315/1000</f>
        <v>0</v>
      </c>
      <c r="J1314" s="85">
        <f>STATS1003B!J1315/1000</f>
        <v>911.05</v>
      </c>
      <c r="K1314" s="85">
        <f>STATS1003B!K1315/1000</f>
        <v>0</v>
      </c>
      <c r="L1314" s="85">
        <f>STATS1003B!L1315/1000</f>
        <v>0</v>
      </c>
      <c r="M1314" s="85">
        <f>STATS1003B!M1315/1000</f>
        <v>911.05</v>
      </c>
      <c r="N1314" s="85">
        <f>STATS1003B!N1315/1000</f>
        <v>0</v>
      </c>
      <c r="O1314" s="85">
        <f>STATS1003B!O1315/1000</f>
        <v>0</v>
      </c>
      <c r="P1314" s="85">
        <f>STATS1003B!P1315/1000</f>
        <v>0</v>
      </c>
      <c r="Q1314" s="85">
        <f>STATS1003B!Q1315/1000</f>
        <v>911.05</v>
      </c>
      <c r="R1314" s="85">
        <f>STATS1003B!R1315/1000</f>
        <v>0</v>
      </c>
      <c r="S1314" s="85">
        <f>STATS1003B!S1315/1000</f>
        <v>0</v>
      </c>
      <c r="T1314" s="85">
        <f>STATS1003B!T1315/1000</f>
        <v>0</v>
      </c>
      <c r="U1314" s="85">
        <f>STATS1003B!U1315/1000</f>
        <v>0</v>
      </c>
      <c r="V1314" s="85">
        <f>STATS1003B!V1315/1000</f>
        <v>911.05</v>
      </c>
      <c r="W1314" s="85">
        <f>STATS1003B!W1315/1000</f>
        <v>0</v>
      </c>
      <c r="X1314" s="85">
        <f t="shared" si="152"/>
        <v>911.05</v>
      </c>
      <c r="Y1314" s="85">
        <f>STATS1003B!Y1315/1000</f>
        <v>0</v>
      </c>
      <c r="Z1314" s="85">
        <f t="shared" si="155"/>
        <v>0</v>
      </c>
      <c r="AA1314" s="69">
        <f>STATS1003B!AA1315/1000</f>
        <v>911.05</v>
      </c>
      <c r="AB1314" s="69">
        <f>STATS1003B!AB1315/1000</f>
        <v>0</v>
      </c>
    </row>
    <row r="1315" spans="1:28" hidden="1" x14ac:dyDescent="0.3">
      <c r="A1315" s="117"/>
      <c r="C1315" s="68" t="s">
        <v>704</v>
      </c>
      <c r="D1315" s="145" t="s">
        <v>54</v>
      </c>
      <c r="E1315" s="85">
        <f>STATS1003B!E1316/1000</f>
        <v>5985</v>
      </c>
      <c r="F1315" s="85">
        <f>STATS1003B!F1316/1000</f>
        <v>5985</v>
      </c>
      <c r="G1315" s="85">
        <f>STATS1003B!G1316/1000</f>
        <v>0</v>
      </c>
      <c r="H1315" s="85">
        <f>STATS1003B!H1316/1000</f>
        <v>5985</v>
      </c>
      <c r="I1315" s="85">
        <f>STATS1003B!I1316/1000</f>
        <v>0</v>
      </c>
      <c r="J1315" s="85">
        <f>STATS1003B!J1316/1000</f>
        <v>5985</v>
      </c>
      <c r="K1315" s="85">
        <f>STATS1003B!K1316/1000</f>
        <v>0</v>
      </c>
      <c r="L1315" s="85">
        <f>STATS1003B!L1316/1000</f>
        <v>0</v>
      </c>
      <c r="M1315" s="85">
        <f>STATS1003B!M1316/1000</f>
        <v>5985</v>
      </c>
      <c r="N1315" s="85">
        <f>STATS1003B!N1316/1000</f>
        <v>0</v>
      </c>
      <c r="O1315" s="85">
        <f>STATS1003B!O1316/1000</f>
        <v>0</v>
      </c>
      <c r="P1315" s="85">
        <f>STATS1003B!P1316/1000</f>
        <v>0</v>
      </c>
      <c r="Q1315" s="85">
        <f>STATS1003B!Q1316/1000</f>
        <v>5985</v>
      </c>
      <c r="R1315" s="85">
        <f>STATS1003B!R1316/1000</f>
        <v>0</v>
      </c>
      <c r="S1315" s="85">
        <f>STATS1003B!S1316/1000</f>
        <v>0</v>
      </c>
      <c r="T1315" s="85">
        <f>STATS1003B!T1316/1000</f>
        <v>0</v>
      </c>
      <c r="U1315" s="85">
        <f>STATS1003B!U1316/1000</f>
        <v>0</v>
      </c>
      <c r="V1315" s="85">
        <f>STATS1003B!V1316/1000</f>
        <v>5985</v>
      </c>
      <c r="W1315" s="85">
        <f>STATS1003B!W1316/1000</f>
        <v>0</v>
      </c>
      <c r="X1315" s="85">
        <f t="shared" si="152"/>
        <v>5985</v>
      </c>
      <c r="Y1315" s="85">
        <f>STATS1003B!Y1316/1000</f>
        <v>0</v>
      </c>
      <c r="Z1315" s="85">
        <f t="shared" si="155"/>
        <v>0</v>
      </c>
      <c r="AA1315" s="69">
        <f>STATS1003B!AA1316/1000</f>
        <v>5985</v>
      </c>
      <c r="AB1315" s="69">
        <f>STATS1003B!AB1316/1000</f>
        <v>0</v>
      </c>
    </row>
    <row r="1316" spans="1:28" hidden="1" x14ac:dyDescent="0.3">
      <c r="A1316" s="117"/>
      <c r="C1316" s="68" t="s">
        <v>696</v>
      </c>
      <c r="D1316" s="145" t="s">
        <v>54</v>
      </c>
      <c r="E1316" s="85">
        <f>STATS1003B!E1317/1000</f>
        <v>190</v>
      </c>
      <c r="F1316" s="85">
        <f>STATS1003B!F1317/1000</f>
        <v>190</v>
      </c>
      <c r="G1316" s="85">
        <f>STATS1003B!G1317/1000</f>
        <v>0</v>
      </c>
      <c r="H1316" s="85">
        <f>STATS1003B!H1317/1000</f>
        <v>190</v>
      </c>
      <c r="I1316" s="85">
        <f>STATS1003B!I1317/1000</f>
        <v>0</v>
      </c>
      <c r="J1316" s="85">
        <f>STATS1003B!J1317/1000</f>
        <v>190</v>
      </c>
      <c r="K1316" s="85">
        <f>STATS1003B!K1317/1000</f>
        <v>0</v>
      </c>
      <c r="L1316" s="85">
        <f>STATS1003B!L1317/1000</f>
        <v>0</v>
      </c>
      <c r="M1316" s="85">
        <f>STATS1003B!M1317/1000</f>
        <v>190</v>
      </c>
      <c r="N1316" s="85">
        <f>STATS1003B!N1317/1000</f>
        <v>0</v>
      </c>
      <c r="O1316" s="85">
        <f>STATS1003B!O1317/1000</f>
        <v>0</v>
      </c>
      <c r="P1316" s="85">
        <f>STATS1003B!P1317/1000</f>
        <v>0</v>
      </c>
      <c r="Q1316" s="85">
        <f>STATS1003B!Q1317/1000</f>
        <v>190</v>
      </c>
      <c r="R1316" s="85">
        <f>STATS1003B!R1317/1000</f>
        <v>0</v>
      </c>
      <c r="S1316" s="85">
        <f>STATS1003B!S1317/1000</f>
        <v>0</v>
      </c>
      <c r="T1316" s="85">
        <f>STATS1003B!T1317/1000</f>
        <v>0</v>
      </c>
      <c r="U1316" s="85">
        <f>STATS1003B!U1317/1000</f>
        <v>0</v>
      </c>
      <c r="V1316" s="85">
        <f>STATS1003B!V1317/1000</f>
        <v>190</v>
      </c>
      <c r="W1316" s="85">
        <f>STATS1003B!W1317/1000</f>
        <v>0</v>
      </c>
      <c r="X1316" s="85">
        <f t="shared" si="152"/>
        <v>190</v>
      </c>
      <c r="Y1316" s="85">
        <f>STATS1003B!Y1317/1000</f>
        <v>0</v>
      </c>
      <c r="Z1316" s="85">
        <f t="shared" si="155"/>
        <v>0</v>
      </c>
      <c r="AA1316" s="69">
        <f>STATS1003B!AA1317/1000</f>
        <v>190</v>
      </c>
      <c r="AB1316" s="69">
        <f>STATS1003B!AB1317/1000</f>
        <v>0</v>
      </c>
    </row>
    <row r="1317" spans="1:28" hidden="1" x14ac:dyDescent="0.3">
      <c r="A1317" s="117"/>
      <c r="C1317" s="68" t="s">
        <v>655</v>
      </c>
      <c r="D1317" s="145" t="s">
        <v>54</v>
      </c>
      <c r="E1317" s="85">
        <f>STATS1003B!E1318/1000</f>
        <v>955.34561999999994</v>
      </c>
      <c r="F1317" s="85">
        <f>STATS1003B!F1318/1000</f>
        <v>0</v>
      </c>
      <c r="G1317" s="85">
        <f>STATS1003B!G1318/1000</f>
        <v>0</v>
      </c>
      <c r="H1317" s="85">
        <f>STATS1003B!H1318/1000</f>
        <v>0</v>
      </c>
      <c r="I1317" s="85">
        <f>STATS1003B!I1318/1000</f>
        <v>0</v>
      </c>
      <c r="J1317" s="85">
        <f>STATS1003B!J1318/1000</f>
        <v>0</v>
      </c>
      <c r="K1317" s="85">
        <f>STATS1003B!K1318/1000</f>
        <v>955.34561999999994</v>
      </c>
      <c r="L1317" s="85">
        <f>STATS1003B!L1318/1000</f>
        <v>0</v>
      </c>
      <c r="M1317" s="85">
        <f>STATS1003B!M1318/1000</f>
        <v>0</v>
      </c>
      <c r="N1317" s="85">
        <f>STATS1003B!N1318/1000</f>
        <v>955.34561999999994</v>
      </c>
      <c r="O1317" s="85">
        <f>STATS1003B!O1318/1000</f>
        <v>0</v>
      </c>
      <c r="P1317" s="85">
        <f>STATS1003B!P1318/1000</f>
        <v>955.34561999999994</v>
      </c>
      <c r="Q1317" s="85">
        <f>STATS1003B!Q1318/1000</f>
        <v>0</v>
      </c>
      <c r="R1317" s="85">
        <f>STATS1003B!R1318/1000</f>
        <v>0</v>
      </c>
      <c r="S1317" s="85">
        <f>STATS1003B!S1318/1000</f>
        <v>0</v>
      </c>
      <c r="T1317" s="85">
        <f>STATS1003B!T1318/1000</f>
        <v>0</v>
      </c>
      <c r="U1317" s="85">
        <f>STATS1003B!U1318/1000</f>
        <v>955.34561999999994</v>
      </c>
      <c r="V1317" s="85">
        <f>STATS1003B!V1318/1000</f>
        <v>955.34561999999994</v>
      </c>
      <c r="W1317" s="85">
        <f>STATS1003B!W1318/1000</f>
        <v>0</v>
      </c>
      <c r="X1317" s="85">
        <f t="shared" si="152"/>
        <v>955.34561999999994</v>
      </c>
      <c r="Y1317" s="85">
        <f>STATS1003B!Y1318/1000</f>
        <v>0</v>
      </c>
      <c r="Z1317" s="85">
        <f t="shared" si="155"/>
        <v>0</v>
      </c>
      <c r="AA1317" s="69">
        <f>STATS1003B!AA1318/1000</f>
        <v>955.34561999999994</v>
      </c>
      <c r="AB1317" s="69">
        <f>STATS1003B!AB1318/1000</f>
        <v>0</v>
      </c>
    </row>
    <row r="1318" spans="1:28" hidden="1" x14ac:dyDescent="0.3">
      <c r="A1318" s="117"/>
      <c r="C1318" s="68" t="s">
        <v>545</v>
      </c>
      <c r="D1318" s="145" t="s">
        <v>54</v>
      </c>
      <c r="E1318" s="85">
        <f>STATS1003B!E1319/1000</f>
        <v>1953.989</v>
      </c>
      <c r="F1318" s="85">
        <f>STATS1003B!F1319/1000</f>
        <v>0</v>
      </c>
      <c r="G1318" s="85">
        <f>STATS1003B!G1319/1000</f>
        <v>0</v>
      </c>
      <c r="H1318" s="85">
        <f>STATS1003B!H1319/1000</f>
        <v>0</v>
      </c>
      <c r="I1318" s="85">
        <f>STATS1003B!I1319/1000</f>
        <v>0</v>
      </c>
      <c r="J1318" s="85">
        <f>STATS1003B!J1319/1000</f>
        <v>0</v>
      </c>
      <c r="K1318" s="85">
        <f>STATS1003B!K1319/1000</f>
        <v>1953.989</v>
      </c>
      <c r="L1318" s="85">
        <f>STATS1003B!L1319/1000</f>
        <v>0</v>
      </c>
      <c r="M1318" s="85">
        <f>STATS1003B!M1319/1000</f>
        <v>0</v>
      </c>
      <c r="N1318" s="85">
        <f>STATS1003B!N1319/1000</f>
        <v>1953.989</v>
      </c>
      <c r="O1318" s="85">
        <f>STATS1003B!O1319/1000</f>
        <v>0</v>
      </c>
      <c r="P1318" s="85">
        <f>STATS1003B!P1319/1000</f>
        <v>1953.989</v>
      </c>
      <c r="Q1318" s="85">
        <f>STATS1003B!Q1319/1000</f>
        <v>0</v>
      </c>
      <c r="R1318" s="85">
        <f>STATS1003B!R1319/1000</f>
        <v>0</v>
      </c>
      <c r="S1318" s="85">
        <f>STATS1003B!S1319/1000</f>
        <v>0</v>
      </c>
      <c r="T1318" s="85">
        <f>STATS1003B!T1319/1000</f>
        <v>0</v>
      </c>
      <c r="U1318" s="85">
        <f>STATS1003B!U1319/1000</f>
        <v>1953.989</v>
      </c>
      <c r="V1318" s="85">
        <f>STATS1003B!V1319/1000</f>
        <v>1953.989</v>
      </c>
      <c r="W1318" s="85">
        <f>STATS1003B!W1319/1000</f>
        <v>0</v>
      </c>
      <c r="X1318" s="85">
        <f t="shared" si="152"/>
        <v>1953.989</v>
      </c>
      <c r="Y1318" s="85">
        <f>STATS1003B!Y1319/1000</f>
        <v>0</v>
      </c>
      <c r="Z1318" s="85">
        <f t="shared" si="155"/>
        <v>0</v>
      </c>
      <c r="AA1318" s="69">
        <f>STATS1003B!AA1319/1000</f>
        <v>1953.989</v>
      </c>
      <c r="AB1318" s="69">
        <f>STATS1003B!AB1319/1000</f>
        <v>0</v>
      </c>
    </row>
    <row r="1319" spans="1:28" hidden="1" x14ac:dyDescent="0.3">
      <c r="A1319" s="117"/>
      <c r="C1319" s="68" t="s">
        <v>535</v>
      </c>
      <c r="D1319" s="145" t="s">
        <v>85</v>
      </c>
      <c r="E1319" s="85">
        <f>STATS1003B!E1320/1000</f>
        <v>4962.6000000000004</v>
      </c>
      <c r="F1319" s="85">
        <f>STATS1003B!F1320/1000</f>
        <v>4962.6000000000004</v>
      </c>
      <c r="G1319" s="85">
        <f>STATS1003B!G1320/1000</f>
        <v>0</v>
      </c>
      <c r="H1319" s="85">
        <f>STATS1003B!H1320/1000</f>
        <v>4962.6000000000004</v>
      </c>
      <c r="I1319" s="85">
        <f>STATS1003B!I1320/1000</f>
        <v>0</v>
      </c>
      <c r="J1319" s="85">
        <f>STATS1003B!J1320/1000</f>
        <v>4962.6000000000004</v>
      </c>
      <c r="K1319" s="85">
        <f>STATS1003B!K1320/1000</f>
        <v>0</v>
      </c>
      <c r="L1319" s="85">
        <f>STATS1003B!L1320/1000</f>
        <v>0</v>
      </c>
      <c r="M1319" s="85">
        <f>STATS1003B!M1320/1000</f>
        <v>4962.6000000000004</v>
      </c>
      <c r="N1319" s="85">
        <f>STATS1003B!N1320/1000</f>
        <v>0</v>
      </c>
      <c r="O1319" s="85">
        <f>STATS1003B!O1320/1000</f>
        <v>0</v>
      </c>
      <c r="P1319" s="85">
        <f>STATS1003B!P1320/1000</f>
        <v>0</v>
      </c>
      <c r="Q1319" s="85">
        <f>STATS1003B!Q1320/1000</f>
        <v>4962.6000000000004</v>
      </c>
      <c r="R1319" s="85">
        <f>STATS1003B!R1320/1000</f>
        <v>0</v>
      </c>
      <c r="S1319" s="85">
        <f>STATS1003B!S1320/1000</f>
        <v>0</v>
      </c>
      <c r="T1319" s="85">
        <f>STATS1003B!T1320/1000</f>
        <v>0</v>
      </c>
      <c r="U1319" s="85">
        <f>STATS1003B!U1320/1000</f>
        <v>0</v>
      </c>
      <c r="V1319" s="85">
        <f>STATS1003B!V1320/1000</f>
        <v>4962.6000000000004</v>
      </c>
      <c r="W1319" s="85">
        <f>STATS1003B!W1320/1000</f>
        <v>0</v>
      </c>
      <c r="X1319" s="85">
        <f t="shared" si="152"/>
        <v>4962.6000000000004</v>
      </c>
      <c r="Y1319" s="85">
        <f>STATS1003B!Y1320/1000</f>
        <v>0</v>
      </c>
      <c r="Z1319" s="85">
        <f t="shared" si="155"/>
        <v>0</v>
      </c>
      <c r="AA1319" s="69">
        <f>STATS1003B!AA1320/1000</f>
        <v>4962.6000000000004</v>
      </c>
      <c r="AB1319" s="69">
        <f>STATS1003B!AB1320/1000</f>
        <v>0</v>
      </c>
    </row>
    <row r="1320" spans="1:28" hidden="1" x14ac:dyDescent="0.3">
      <c r="A1320" s="117"/>
      <c r="C1320" s="68" t="s">
        <v>650</v>
      </c>
      <c r="D1320" s="145" t="s">
        <v>85</v>
      </c>
      <c r="E1320" s="85">
        <f>STATS1003B!E1321/1000</f>
        <v>160</v>
      </c>
      <c r="F1320" s="85">
        <f>STATS1003B!F1321/1000</f>
        <v>160</v>
      </c>
      <c r="G1320" s="85">
        <f>STATS1003B!G1321/1000</f>
        <v>0</v>
      </c>
      <c r="H1320" s="85">
        <f>STATS1003B!H1321/1000</f>
        <v>160</v>
      </c>
      <c r="I1320" s="85">
        <f>STATS1003B!I1321/1000</f>
        <v>0</v>
      </c>
      <c r="J1320" s="85">
        <f>STATS1003B!J1321/1000</f>
        <v>160</v>
      </c>
      <c r="K1320" s="85">
        <f>STATS1003B!K1321/1000</f>
        <v>0</v>
      </c>
      <c r="L1320" s="85">
        <f>STATS1003B!L1321/1000</f>
        <v>0</v>
      </c>
      <c r="M1320" s="85">
        <f>STATS1003B!M1321/1000</f>
        <v>160</v>
      </c>
      <c r="N1320" s="85">
        <f>STATS1003B!N1321/1000</f>
        <v>0</v>
      </c>
      <c r="O1320" s="85">
        <f>STATS1003B!O1321/1000</f>
        <v>0</v>
      </c>
      <c r="P1320" s="85">
        <f>STATS1003B!P1321/1000</f>
        <v>0</v>
      </c>
      <c r="Q1320" s="85">
        <f>STATS1003B!Q1321/1000</f>
        <v>160</v>
      </c>
      <c r="R1320" s="85">
        <f>STATS1003B!R1321/1000</f>
        <v>0</v>
      </c>
      <c r="S1320" s="85">
        <f>STATS1003B!S1321/1000</f>
        <v>0</v>
      </c>
      <c r="T1320" s="85">
        <f>STATS1003B!T1321/1000</f>
        <v>0</v>
      </c>
      <c r="U1320" s="85">
        <f>STATS1003B!U1321/1000</f>
        <v>0</v>
      </c>
      <c r="V1320" s="85">
        <f>STATS1003B!V1321/1000</f>
        <v>160</v>
      </c>
      <c r="W1320" s="85">
        <f>STATS1003B!W1321/1000</f>
        <v>0</v>
      </c>
      <c r="X1320" s="85">
        <f t="shared" si="152"/>
        <v>160</v>
      </c>
      <c r="Y1320" s="85">
        <f>STATS1003B!Y1321/1000</f>
        <v>0</v>
      </c>
      <c r="Z1320" s="85">
        <f t="shared" si="155"/>
        <v>0</v>
      </c>
      <c r="AA1320" s="69">
        <f>STATS1003B!AA1321/1000</f>
        <v>160</v>
      </c>
      <c r="AB1320" s="69">
        <f>STATS1003B!AB1321/1000</f>
        <v>0</v>
      </c>
    </row>
    <row r="1321" spans="1:28" hidden="1" x14ac:dyDescent="0.3">
      <c r="A1321" s="117"/>
      <c r="C1321" s="68" t="s">
        <v>697</v>
      </c>
      <c r="D1321" s="145" t="s">
        <v>85</v>
      </c>
      <c r="E1321" s="85">
        <f>STATS1003B!E1322/1000</f>
        <v>14</v>
      </c>
      <c r="F1321" s="85">
        <f>STATS1003B!F1322/1000</f>
        <v>14</v>
      </c>
      <c r="G1321" s="85">
        <f>STATS1003B!G1322/1000</f>
        <v>0</v>
      </c>
      <c r="H1321" s="85">
        <f>STATS1003B!H1322/1000</f>
        <v>14</v>
      </c>
      <c r="I1321" s="85">
        <f>STATS1003B!I1322/1000</f>
        <v>0</v>
      </c>
      <c r="J1321" s="85">
        <f>STATS1003B!J1322/1000</f>
        <v>14</v>
      </c>
      <c r="K1321" s="85">
        <f>STATS1003B!K1322/1000</f>
        <v>0</v>
      </c>
      <c r="L1321" s="85">
        <f>STATS1003B!L1322/1000</f>
        <v>0</v>
      </c>
      <c r="M1321" s="85">
        <f>STATS1003B!M1322/1000</f>
        <v>14</v>
      </c>
      <c r="N1321" s="85">
        <f>STATS1003B!N1322/1000</f>
        <v>0</v>
      </c>
      <c r="O1321" s="85">
        <f>STATS1003B!O1322/1000</f>
        <v>0</v>
      </c>
      <c r="P1321" s="85">
        <f>STATS1003B!P1322/1000</f>
        <v>0</v>
      </c>
      <c r="Q1321" s="85">
        <f>STATS1003B!Q1322/1000</f>
        <v>14</v>
      </c>
      <c r="R1321" s="85">
        <f>STATS1003B!R1322/1000</f>
        <v>0</v>
      </c>
      <c r="S1321" s="85">
        <f>STATS1003B!S1322/1000</f>
        <v>0</v>
      </c>
      <c r="T1321" s="85">
        <f>STATS1003B!T1322/1000</f>
        <v>0</v>
      </c>
      <c r="U1321" s="85">
        <f>STATS1003B!U1322/1000</f>
        <v>0</v>
      </c>
      <c r="V1321" s="85">
        <f>STATS1003B!V1322/1000</f>
        <v>14</v>
      </c>
      <c r="W1321" s="85">
        <f>STATS1003B!W1322/1000</f>
        <v>0</v>
      </c>
      <c r="X1321" s="85">
        <f t="shared" si="152"/>
        <v>14</v>
      </c>
      <c r="Y1321" s="85">
        <f>STATS1003B!Y1322/1000</f>
        <v>0</v>
      </c>
      <c r="Z1321" s="85">
        <f t="shared" si="155"/>
        <v>0</v>
      </c>
      <c r="AA1321" s="69">
        <f>STATS1003B!AA1322/1000</f>
        <v>14</v>
      </c>
      <c r="AB1321" s="69">
        <f>STATS1003B!AB1322/1000</f>
        <v>0</v>
      </c>
    </row>
    <row r="1322" spans="1:28" hidden="1" x14ac:dyDescent="0.3">
      <c r="A1322" s="117"/>
      <c r="C1322" s="68" t="s">
        <v>535</v>
      </c>
      <c r="D1322" s="145" t="s">
        <v>88</v>
      </c>
      <c r="E1322" s="85">
        <f>STATS1003B!E1323/1000</f>
        <v>4000</v>
      </c>
      <c r="F1322" s="85">
        <f>STATS1003B!F1323/1000</f>
        <v>4000</v>
      </c>
      <c r="G1322" s="85">
        <f>STATS1003B!G1323/1000</f>
        <v>0</v>
      </c>
      <c r="H1322" s="85">
        <f>STATS1003B!H1323/1000</f>
        <v>4000</v>
      </c>
      <c r="I1322" s="85">
        <f>STATS1003B!I1323/1000</f>
        <v>0</v>
      </c>
      <c r="J1322" s="85">
        <f>STATS1003B!J1323/1000</f>
        <v>4000</v>
      </c>
      <c r="K1322" s="85">
        <f>STATS1003B!K1323/1000</f>
        <v>0</v>
      </c>
      <c r="L1322" s="85">
        <f>STATS1003B!L1323/1000</f>
        <v>0</v>
      </c>
      <c r="M1322" s="85">
        <f>STATS1003B!M1323/1000</f>
        <v>4000</v>
      </c>
      <c r="N1322" s="85">
        <f>STATS1003B!N1323/1000</f>
        <v>0</v>
      </c>
      <c r="O1322" s="85">
        <f>STATS1003B!O1323/1000</f>
        <v>0</v>
      </c>
      <c r="P1322" s="85">
        <f>STATS1003B!P1323/1000</f>
        <v>0</v>
      </c>
      <c r="Q1322" s="85">
        <f>STATS1003B!Q1323/1000</f>
        <v>4000</v>
      </c>
      <c r="R1322" s="85">
        <f>STATS1003B!R1323/1000</f>
        <v>0</v>
      </c>
      <c r="S1322" s="85">
        <f>STATS1003B!S1323/1000</f>
        <v>0</v>
      </c>
      <c r="T1322" s="85">
        <f>STATS1003B!T1323/1000</f>
        <v>0</v>
      </c>
      <c r="U1322" s="85">
        <f>STATS1003B!U1323/1000</f>
        <v>0</v>
      </c>
      <c r="V1322" s="85">
        <f>STATS1003B!V1323/1000</f>
        <v>4000</v>
      </c>
      <c r="W1322" s="85">
        <f>STATS1003B!W1323/1000</f>
        <v>0</v>
      </c>
      <c r="X1322" s="85">
        <f t="shared" si="152"/>
        <v>4000</v>
      </c>
      <c r="Y1322" s="85">
        <f>STATS1003B!Y1323/1000</f>
        <v>0</v>
      </c>
      <c r="Z1322" s="85">
        <f t="shared" si="155"/>
        <v>0</v>
      </c>
      <c r="AA1322" s="69">
        <f>STATS1003B!AA1323/1000</f>
        <v>4000</v>
      </c>
      <c r="AB1322" s="69">
        <f>STATS1003B!AB1323/1000</f>
        <v>0</v>
      </c>
    </row>
    <row r="1323" spans="1:28" hidden="1" x14ac:dyDescent="0.3">
      <c r="A1323" s="117"/>
      <c r="C1323" s="68" t="s">
        <v>705</v>
      </c>
      <c r="D1323" s="145" t="s">
        <v>88</v>
      </c>
      <c r="E1323" s="85">
        <f>STATS1003B!E1324/1000</f>
        <v>969.38800000000003</v>
      </c>
      <c r="F1323" s="85">
        <f>STATS1003B!F1324/1000</f>
        <v>969.38800000000003</v>
      </c>
      <c r="G1323" s="85">
        <f>STATS1003B!G1324/1000</f>
        <v>0</v>
      </c>
      <c r="H1323" s="85">
        <f>STATS1003B!H1324/1000</f>
        <v>969.38800000000003</v>
      </c>
      <c r="I1323" s="85">
        <f>STATS1003B!I1324/1000</f>
        <v>0</v>
      </c>
      <c r="J1323" s="85">
        <f>STATS1003B!J1324/1000</f>
        <v>969.38800000000003</v>
      </c>
      <c r="K1323" s="85">
        <f>STATS1003B!K1324/1000</f>
        <v>0</v>
      </c>
      <c r="L1323" s="85">
        <f>STATS1003B!L1324/1000</f>
        <v>0</v>
      </c>
      <c r="M1323" s="85">
        <f>STATS1003B!M1324/1000</f>
        <v>969.38800000000003</v>
      </c>
      <c r="N1323" s="85">
        <f>STATS1003B!N1324/1000</f>
        <v>0</v>
      </c>
      <c r="O1323" s="85">
        <f>STATS1003B!O1324/1000</f>
        <v>0</v>
      </c>
      <c r="P1323" s="85">
        <f>STATS1003B!P1324/1000</f>
        <v>0</v>
      </c>
      <c r="Q1323" s="85">
        <f>STATS1003B!Q1324/1000</f>
        <v>969.38800000000003</v>
      </c>
      <c r="R1323" s="85">
        <f>STATS1003B!R1324/1000</f>
        <v>0</v>
      </c>
      <c r="S1323" s="85">
        <f>STATS1003B!S1324/1000</f>
        <v>0</v>
      </c>
      <c r="T1323" s="85">
        <f>STATS1003B!T1324/1000</f>
        <v>0</v>
      </c>
      <c r="U1323" s="85">
        <f>STATS1003B!U1324/1000</f>
        <v>0</v>
      </c>
      <c r="V1323" s="85">
        <f>STATS1003B!V1324/1000</f>
        <v>969.38800000000003</v>
      </c>
      <c r="W1323" s="85">
        <f>STATS1003B!W1324/1000</f>
        <v>0</v>
      </c>
      <c r="X1323" s="85">
        <f t="shared" si="152"/>
        <v>969.38800000000003</v>
      </c>
      <c r="Y1323" s="85">
        <f>STATS1003B!Y1324/1000</f>
        <v>0</v>
      </c>
      <c r="Z1323" s="85">
        <f t="shared" si="155"/>
        <v>0</v>
      </c>
      <c r="AA1323" s="69">
        <f>STATS1003B!AA1324/1000</f>
        <v>969.38800000000003</v>
      </c>
      <c r="AB1323" s="69">
        <f>STATS1003B!AB1324/1000</f>
        <v>0</v>
      </c>
    </row>
    <row r="1324" spans="1:28" hidden="1" x14ac:dyDescent="0.3">
      <c r="A1324" s="117"/>
      <c r="C1324" s="68" t="s">
        <v>535</v>
      </c>
      <c r="D1324" s="145" t="s">
        <v>108</v>
      </c>
      <c r="E1324" s="85">
        <f>STATS1003B!E1325/1000</f>
        <v>1384.694</v>
      </c>
      <c r="F1324" s="85">
        <f>STATS1003B!F1325/1000</f>
        <v>1384.694</v>
      </c>
      <c r="G1324" s="85">
        <f>STATS1003B!G1325/1000</f>
        <v>0</v>
      </c>
      <c r="H1324" s="85">
        <f>STATS1003B!H1325/1000</f>
        <v>1384.694</v>
      </c>
      <c r="I1324" s="85">
        <f>STATS1003B!I1325/1000</f>
        <v>0</v>
      </c>
      <c r="J1324" s="85">
        <f>STATS1003B!J1325/1000</f>
        <v>1384.694</v>
      </c>
      <c r="K1324" s="85">
        <f>STATS1003B!K1325/1000</f>
        <v>0</v>
      </c>
      <c r="L1324" s="85">
        <f>STATS1003B!L1325/1000</f>
        <v>0</v>
      </c>
      <c r="M1324" s="85">
        <f>STATS1003B!M1325/1000</f>
        <v>1384.694</v>
      </c>
      <c r="N1324" s="85">
        <f>STATS1003B!N1325/1000</f>
        <v>0</v>
      </c>
      <c r="O1324" s="85">
        <f>STATS1003B!O1325/1000</f>
        <v>0</v>
      </c>
      <c r="P1324" s="85">
        <f>STATS1003B!P1325/1000</f>
        <v>0</v>
      </c>
      <c r="Q1324" s="85">
        <f>STATS1003B!Q1325/1000</f>
        <v>1384.694</v>
      </c>
      <c r="R1324" s="85">
        <f>STATS1003B!R1325/1000</f>
        <v>0</v>
      </c>
      <c r="S1324" s="85">
        <f>STATS1003B!S1325/1000</f>
        <v>0</v>
      </c>
      <c r="T1324" s="85">
        <f>STATS1003B!T1325/1000</f>
        <v>0</v>
      </c>
      <c r="U1324" s="85">
        <f>STATS1003B!U1325/1000</f>
        <v>0</v>
      </c>
      <c r="V1324" s="85">
        <f>STATS1003B!V1325/1000</f>
        <v>1384.694</v>
      </c>
      <c r="W1324" s="85">
        <f>STATS1003B!W1325/1000</f>
        <v>0</v>
      </c>
      <c r="X1324" s="85">
        <f t="shared" si="152"/>
        <v>1384.694</v>
      </c>
      <c r="Y1324" s="85">
        <f>STATS1003B!Y1325/1000</f>
        <v>0</v>
      </c>
      <c r="Z1324" s="85">
        <f t="shared" si="155"/>
        <v>0</v>
      </c>
      <c r="AA1324" s="69">
        <f>STATS1003B!AA1325/1000</f>
        <v>1384.694</v>
      </c>
      <c r="AB1324" s="69">
        <f>STATS1003B!AB1325/1000</f>
        <v>0</v>
      </c>
    </row>
    <row r="1325" spans="1:28" hidden="1" x14ac:dyDescent="0.3">
      <c r="A1325" s="117"/>
      <c r="C1325" s="68" t="s">
        <v>535</v>
      </c>
      <c r="D1325" s="145" t="s">
        <v>58</v>
      </c>
      <c r="E1325" s="85">
        <f>STATS1003B!E1326/1000</f>
        <v>2080.9430000000002</v>
      </c>
      <c r="F1325" s="85">
        <f>STATS1003B!F1326/1000</f>
        <v>2080.9430000000002</v>
      </c>
      <c r="G1325" s="85">
        <f>STATS1003B!G1326/1000</f>
        <v>0</v>
      </c>
      <c r="H1325" s="85">
        <f>STATS1003B!H1326/1000</f>
        <v>2080.9430000000002</v>
      </c>
      <c r="I1325" s="85">
        <f>STATS1003B!I1326/1000</f>
        <v>0</v>
      </c>
      <c r="J1325" s="85">
        <f>STATS1003B!J1326/1000</f>
        <v>2080.9430000000002</v>
      </c>
      <c r="K1325" s="85">
        <f>STATS1003B!K1326/1000</f>
        <v>0</v>
      </c>
      <c r="L1325" s="85">
        <f>STATS1003B!L1326/1000</f>
        <v>0</v>
      </c>
      <c r="M1325" s="85">
        <f>STATS1003B!M1326/1000</f>
        <v>2080.9430000000002</v>
      </c>
      <c r="N1325" s="85">
        <f>STATS1003B!N1326/1000</f>
        <v>0</v>
      </c>
      <c r="O1325" s="85">
        <f>STATS1003B!O1326/1000</f>
        <v>0</v>
      </c>
      <c r="P1325" s="85">
        <f>STATS1003B!P1326/1000</f>
        <v>0</v>
      </c>
      <c r="Q1325" s="85">
        <f>STATS1003B!Q1326/1000</f>
        <v>2080.9430000000002</v>
      </c>
      <c r="R1325" s="85">
        <f>STATS1003B!R1326/1000</f>
        <v>0</v>
      </c>
      <c r="S1325" s="85">
        <f>STATS1003B!S1326/1000</f>
        <v>0</v>
      </c>
      <c r="T1325" s="85">
        <f>STATS1003B!T1326/1000</f>
        <v>0</v>
      </c>
      <c r="U1325" s="85">
        <f>STATS1003B!U1326/1000</f>
        <v>0</v>
      </c>
      <c r="V1325" s="85">
        <f>STATS1003B!V1326/1000</f>
        <v>2080.9430000000002</v>
      </c>
      <c r="W1325" s="85">
        <f>STATS1003B!W1326/1000</f>
        <v>0</v>
      </c>
      <c r="X1325" s="85">
        <f t="shared" si="152"/>
        <v>2080.9430000000002</v>
      </c>
      <c r="Y1325" s="85">
        <f>STATS1003B!Y1326/1000</f>
        <v>0</v>
      </c>
      <c r="Z1325" s="85">
        <f t="shared" si="155"/>
        <v>0</v>
      </c>
      <c r="AA1325" s="69">
        <f>STATS1003B!AA1326/1000</f>
        <v>2080.9430000000002</v>
      </c>
      <c r="AB1325" s="69">
        <f>STATS1003B!AB1326/1000</f>
        <v>0</v>
      </c>
    </row>
    <row r="1326" spans="1:28" hidden="1" x14ac:dyDescent="0.3">
      <c r="A1326" s="117"/>
      <c r="C1326" s="68" t="s">
        <v>706</v>
      </c>
      <c r="D1326" s="145" t="s">
        <v>58</v>
      </c>
      <c r="E1326" s="85">
        <f>STATS1003B!E1327/1000</f>
        <v>1140.569</v>
      </c>
      <c r="F1326" s="85">
        <f>STATS1003B!F1327/1000</f>
        <v>1140.569</v>
      </c>
      <c r="G1326" s="85">
        <f>STATS1003B!G1327/1000</f>
        <v>0</v>
      </c>
      <c r="H1326" s="85">
        <f>STATS1003B!H1327/1000</f>
        <v>1140.569</v>
      </c>
      <c r="I1326" s="85">
        <f>STATS1003B!I1327/1000</f>
        <v>0</v>
      </c>
      <c r="J1326" s="85">
        <f>STATS1003B!J1327/1000</f>
        <v>1140.569</v>
      </c>
      <c r="K1326" s="85">
        <f>STATS1003B!K1327/1000</f>
        <v>0</v>
      </c>
      <c r="L1326" s="85">
        <f>STATS1003B!L1327/1000</f>
        <v>0</v>
      </c>
      <c r="M1326" s="85">
        <f>STATS1003B!M1327/1000</f>
        <v>1140.569</v>
      </c>
      <c r="N1326" s="85">
        <f>STATS1003B!N1327/1000</f>
        <v>0</v>
      </c>
      <c r="O1326" s="85">
        <f>STATS1003B!O1327/1000</f>
        <v>0</v>
      </c>
      <c r="P1326" s="85">
        <f>STATS1003B!P1327/1000</f>
        <v>0</v>
      </c>
      <c r="Q1326" s="85">
        <f>STATS1003B!Q1327/1000</f>
        <v>1140.569</v>
      </c>
      <c r="R1326" s="85">
        <f>STATS1003B!R1327/1000</f>
        <v>0</v>
      </c>
      <c r="S1326" s="85">
        <f>STATS1003B!S1327/1000</f>
        <v>0</v>
      </c>
      <c r="T1326" s="85">
        <f>STATS1003B!T1327/1000</f>
        <v>0</v>
      </c>
      <c r="U1326" s="85">
        <f>STATS1003B!U1327/1000</f>
        <v>0</v>
      </c>
      <c r="V1326" s="85">
        <f>STATS1003B!V1327/1000</f>
        <v>1140.569</v>
      </c>
      <c r="W1326" s="85">
        <f>STATS1003B!W1327/1000</f>
        <v>0</v>
      </c>
      <c r="X1326" s="85">
        <f t="shared" si="152"/>
        <v>1140.569</v>
      </c>
      <c r="Y1326" s="85">
        <f>STATS1003B!Y1327/1000</f>
        <v>0</v>
      </c>
      <c r="Z1326" s="85">
        <f t="shared" si="155"/>
        <v>0</v>
      </c>
      <c r="AA1326" s="69">
        <f>STATS1003B!AA1327/1000</f>
        <v>1140.569</v>
      </c>
      <c r="AB1326" s="69">
        <f>STATS1003B!AB1327/1000</f>
        <v>0</v>
      </c>
    </row>
    <row r="1327" spans="1:28" hidden="1" x14ac:dyDescent="0.3">
      <c r="A1327" s="117"/>
      <c r="C1327" s="68" t="s">
        <v>535</v>
      </c>
      <c r="D1327" s="88" t="s">
        <v>60</v>
      </c>
      <c r="E1327" s="85">
        <f>STATS1003B!E1328/1000</f>
        <v>5799.6419999999998</v>
      </c>
      <c r="F1327" s="85">
        <f>STATS1003B!F1328/1000</f>
        <v>5799.6419999999998</v>
      </c>
      <c r="G1327" s="85">
        <f>STATS1003B!G1328/1000</f>
        <v>0</v>
      </c>
      <c r="H1327" s="85">
        <f>STATS1003B!H1328/1000</f>
        <v>5799.6419999999998</v>
      </c>
      <c r="I1327" s="85">
        <f>STATS1003B!I1328/1000</f>
        <v>0</v>
      </c>
      <c r="J1327" s="85">
        <f>STATS1003B!J1328/1000</f>
        <v>5799.6419999999998</v>
      </c>
      <c r="K1327" s="85">
        <f>STATS1003B!K1328/1000</f>
        <v>0</v>
      </c>
      <c r="L1327" s="85">
        <f>STATS1003B!L1328/1000</f>
        <v>0</v>
      </c>
      <c r="M1327" s="85">
        <f>STATS1003B!M1328/1000</f>
        <v>5799.6419999999998</v>
      </c>
      <c r="N1327" s="85">
        <f>STATS1003B!N1328/1000</f>
        <v>0</v>
      </c>
      <c r="O1327" s="85">
        <f>STATS1003B!O1328/1000</f>
        <v>0</v>
      </c>
      <c r="P1327" s="85">
        <f>STATS1003B!P1328/1000</f>
        <v>0</v>
      </c>
      <c r="Q1327" s="85">
        <f>STATS1003B!Q1328/1000</f>
        <v>5799.6419999999998</v>
      </c>
      <c r="R1327" s="85">
        <f>STATS1003B!R1328/1000</f>
        <v>0</v>
      </c>
      <c r="S1327" s="85">
        <f>STATS1003B!S1328/1000</f>
        <v>0</v>
      </c>
      <c r="T1327" s="85">
        <f>STATS1003B!T1328/1000</f>
        <v>0</v>
      </c>
      <c r="U1327" s="85">
        <f>STATS1003B!U1328/1000</f>
        <v>0</v>
      </c>
      <c r="V1327" s="85">
        <f>STATS1003B!V1328/1000</f>
        <v>5799.6419999999998</v>
      </c>
      <c r="W1327" s="85">
        <f>STATS1003B!W1328/1000</f>
        <v>0</v>
      </c>
      <c r="X1327" s="85">
        <f t="shared" si="152"/>
        <v>5799.6419999999998</v>
      </c>
      <c r="Y1327" s="85">
        <f>STATS1003B!Y1328/1000</f>
        <v>0</v>
      </c>
      <c r="Z1327" s="85">
        <f t="shared" si="155"/>
        <v>0</v>
      </c>
      <c r="AA1327" s="69">
        <f>STATS1003B!AA1328/1000</f>
        <v>5799.6419999999998</v>
      </c>
      <c r="AB1327" s="69">
        <f>STATS1003B!AB1328/1000</f>
        <v>0</v>
      </c>
    </row>
    <row r="1328" spans="1:28" hidden="1" x14ac:dyDescent="0.3">
      <c r="A1328" s="117"/>
      <c r="C1328" s="71" t="s">
        <v>535</v>
      </c>
      <c r="D1328" s="88" t="s">
        <v>73</v>
      </c>
      <c r="E1328" s="85">
        <f>STATS1003B!E1329/1000</f>
        <v>6352</v>
      </c>
      <c r="F1328" s="85">
        <f>STATS1003B!F1329/1000</f>
        <v>6352</v>
      </c>
      <c r="G1328" s="85">
        <f>STATS1003B!G1329/1000</f>
        <v>0</v>
      </c>
      <c r="H1328" s="85">
        <f>STATS1003B!H1329/1000</f>
        <v>6352</v>
      </c>
      <c r="I1328" s="85">
        <f>STATS1003B!I1329/1000</f>
        <v>0</v>
      </c>
      <c r="J1328" s="85">
        <f>STATS1003B!J1329/1000</f>
        <v>6352</v>
      </c>
      <c r="K1328" s="85">
        <f>STATS1003B!K1329/1000</f>
        <v>0</v>
      </c>
      <c r="L1328" s="85">
        <f>STATS1003B!L1329/1000</f>
        <v>0</v>
      </c>
      <c r="M1328" s="85">
        <f>STATS1003B!M1329/1000</f>
        <v>6352</v>
      </c>
      <c r="N1328" s="85">
        <f>STATS1003B!N1329/1000</f>
        <v>0</v>
      </c>
      <c r="O1328" s="85">
        <f>STATS1003B!O1329/1000</f>
        <v>0</v>
      </c>
      <c r="P1328" s="85">
        <f>STATS1003B!P1329/1000</f>
        <v>0</v>
      </c>
      <c r="Q1328" s="85">
        <f>STATS1003B!Q1329/1000</f>
        <v>6352</v>
      </c>
      <c r="R1328" s="85">
        <f>STATS1003B!R1329/1000</f>
        <v>0</v>
      </c>
      <c r="S1328" s="85">
        <f>STATS1003B!S1329/1000</f>
        <v>0</v>
      </c>
      <c r="T1328" s="85">
        <f>STATS1003B!T1329/1000</f>
        <v>0</v>
      </c>
      <c r="U1328" s="85">
        <f>STATS1003B!U1329/1000</f>
        <v>0</v>
      </c>
      <c r="V1328" s="85">
        <f>STATS1003B!V1329/1000</f>
        <v>6352</v>
      </c>
      <c r="W1328" s="85">
        <f>STATS1003B!W1329/1000</f>
        <v>0</v>
      </c>
      <c r="X1328" s="85">
        <f t="shared" si="152"/>
        <v>6352</v>
      </c>
      <c r="Y1328" s="85">
        <f>STATS1003B!Y1329/1000</f>
        <v>0</v>
      </c>
      <c r="Z1328" s="85">
        <f t="shared" si="155"/>
        <v>0</v>
      </c>
      <c r="AA1328" s="69">
        <f>STATS1003B!AA1329/1000</f>
        <v>6352</v>
      </c>
      <c r="AB1328" s="69">
        <f>STATS1003B!AB1329/1000</f>
        <v>0</v>
      </c>
    </row>
    <row r="1329" spans="1:28" hidden="1" x14ac:dyDescent="0.3">
      <c r="A1329" s="117"/>
      <c r="C1329" s="71" t="s">
        <v>535</v>
      </c>
      <c r="D1329" s="88" t="s">
        <v>61</v>
      </c>
      <c r="E1329" s="85">
        <f>STATS1003B!E1330/1000</f>
        <v>3923.5998100000002</v>
      </c>
      <c r="F1329" s="85">
        <f>STATS1003B!F1330/1000</f>
        <v>3836</v>
      </c>
      <c r="G1329" s="85">
        <f>STATS1003B!G1330/1000</f>
        <v>0</v>
      </c>
      <c r="H1329" s="85">
        <f>STATS1003B!H1330/1000</f>
        <v>3836</v>
      </c>
      <c r="I1329" s="85">
        <f>STATS1003B!I1330/1000</f>
        <v>0</v>
      </c>
      <c r="J1329" s="85">
        <f>STATS1003B!J1330/1000</f>
        <v>3836</v>
      </c>
      <c r="K1329" s="85">
        <f>STATS1003B!K1330/1000</f>
        <v>0</v>
      </c>
      <c r="L1329" s="85">
        <f>STATS1003B!L1330/1000</f>
        <v>0</v>
      </c>
      <c r="M1329" s="85">
        <f>STATS1003B!M1330/1000</f>
        <v>3836</v>
      </c>
      <c r="N1329" s="85">
        <f>STATS1003B!N1330/1000</f>
        <v>0</v>
      </c>
      <c r="O1329" s="85">
        <f>STATS1003B!O1330/1000</f>
        <v>0</v>
      </c>
      <c r="P1329" s="85">
        <f>STATS1003B!P1330/1000</f>
        <v>0</v>
      </c>
      <c r="Q1329" s="85">
        <f>STATS1003B!Q1330/1000</f>
        <v>3923.5998100000002</v>
      </c>
      <c r="R1329" s="85">
        <f>STATS1003B!R1330/1000</f>
        <v>0</v>
      </c>
      <c r="S1329" s="85">
        <f>STATS1003B!S1330/1000</f>
        <v>0</v>
      </c>
      <c r="T1329" s="85">
        <f>STATS1003B!T1330/1000</f>
        <v>87.599809999999991</v>
      </c>
      <c r="U1329" s="85">
        <f>STATS1003B!U1330/1000</f>
        <v>87.599809999999991</v>
      </c>
      <c r="V1329" s="85">
        <f>STATS1003B!V1330/1000</f>
        <v>3836</v>
      </c>
      <c r="W1329" s="85">
        <f>STATS1003B!W1330/1000</f>
        <v>87.599810000000062</v>
      </c>
      <c r="X1329" s="85">
        <f t="shared" si="152"/>
        <v>3836</v>
      </c>
      <c r="Y1329" s="85">
        <f>STATS1003B!Y1330/1000</f>
        <v>0</v>
      </c>
      <c r="Z1329" s="85">
        <f t="shared" si="155"/>
        <v>87.599810000000161</v>
      </c>
      <c r="AA1329" s="69">
        <f>STATS1003B!AA1330/1000</f>
        <v>3923.5998100000002</v>
      </c>
      <c r="AB1329" s="69">
        <f>STATS1003B!AB1330/1000</f>
        <v>0</v>
      </c>
    </row>
    <row r="1330" spans="1:28" hidden="1" x14ac:dyDescent="0.3">
      <c r="A1330" s="117"/>
      <c r="C1330" s="95" t="s">
        <v>1072</v>
      </c>
      <c r="D1330" s="88"/>
      <c r="E1330" s="85">
        <f>STATS1003B!E1331/1000</f>
        <v>3074</v>
      </c>
      <c r="F1330" s="85">
        <f>STATS1003B!F1331/1000</f>
        <v>3074</v>
      </c>
      <c r="G1330" s="85">
        <f>STATS1003B!G1331/1000</f>
        <v>0</v>
      </c>
      <c r="H1330" s="85">
        <f>STATS1003B!H1331/1000</f>
        <v>3074</v>
      </c>
      <c r="I1330" s="85">
        <f>STATS1003B!I1331/1000</f>
        <v>0</v>
      </c>
      <c r="J1330" s="85">
        <f>STATS1003B!J1331/1000</f>
        <v>0</v>
      </c>
      <c r="K1330" s="85">
        <f>STATS1003B!K1331/1000</f>
        <v>0</v>
      </c>
      <c r="L1330" s="85">
        <f>STATS1003B!L1331/1000</f>
        <v>0</v>
      </c>
      <c r="M1330" s="85">
        <f>STATS1003B!M1331/1000</f>
        <v>3074</v>
      </c>
      <c r="N1330" s="85">
        <f>STATS1003B!N1331/1000</f>
        <v>0</v>
      </c>
      <c r="O1330" s="85">
        <f>STATS1003B!O1331/1000</f>
        <v>0</v>
      </c>
      <c r="P1330" s="85">
        <f>STATS1003B!P1331/1000</f>
        <v>0</v>
      </c>
      <c r="Q1330" s="85">
        <f>STATS1003B!Q1331/1000</f>
        <v>0</v>
      </c>
      <c r="R1330" s="85">
        <f>STATS1003B!R1331/1000</f>
        <v>0</v>
      </c>
      <c r="S1330" s="85">
        <f>STATS1003B!S1331/1000</f>
        <v>0</v>
      </c>
      <c r="T1330" s="85">
        <f>STATS1003B!T1331/1000</f>
        <v>0</v>
      </c>
      <c r="U1330" s="85">
        <f>STATS1003B!U1331/1000</f>
        <v>0</v>
      </c>
      <c r="V1330" s="85">
        <f>STATS1003B!V1331/1000</f>
        <v>0</v>
      </c>
      <c r="W1330" s="85">
        <f>STATS1003B!W1331/1000</f>
        <v>0</v>
      </c>
      <c r="X1330" s="85">
        <f t="shared" si="152"/>
        <v>3074</v>
      </c>
      <c r="Y1330" s="85">
        <f>STATS1003B!Y1331/1000</f>
        <v>0</v>
      </c>
      <c r="Z1330" s="85">
        <f t="shared" si="155"/>
        <v>0</v>
      </c>
      <c r="AA1330" s="69">
        <f>STATS1003B!AA1331/1000</f>
        <v>3074</v>
      </c>
      <c r="AB1330" s="69">
        <f>STATS1003B!AB1331/1000</f>
        <v>0</v>
      </c>
    </row>
    <row r="1331" spans="1:28" hidden="1" x14ac:dyDescent="0.3">
      <c r="A1331" s="117"/>
      <c r="C1331" s="71" t="s">
        <v>1173</v>
      </c>
      <c r="D1331" s="89" t="s">
        <v>1126</v>
      </c>
      <c r="E1331" s="85">
        <f>STATS1003B!E1332/1000</f>
        <v>5126</v>
      </c>
      <c r="F1331" s="85">
        <f>STATS1003B!F1332/1000</f>
        <v>5126</v>
      </c>
      <c r="G1331" s="85">
        <f>STATS1003B!G1332/1000</f>
        <v>0</v>
      </c>
      <c r="H1331" s="85">
        <f>STATS1003B!H1332/1000</f>
        <v>5126</v>
      </c>
      <c r="I1331" s="85">
        <f>STATS1003B!I1332/1000</f>
        <v>0</v>
      </c>
      <c r="J1331" s="85">
        <f>STATS1003B!J1332/1000</f>
        <v>0</v>
      </c>
      <c r="K1331" s="85">
        <f>STATS1003B!K1332/1000</f>
        <v>0</v>
      </c>
      <c r="L1331" s="85">
        <f>STATS1003B!L1332/1000</f>
        <v>0</v>
      </c>
      <c r="M1331" s="85">
        <f>STATS1003B!M1332/1000</f>
        <v>5126</v>
      </c>
      <c r="N1331" s="85">
        <f>STATS1003B!N1332/1000</f>
        <v>0</v>
      </c>
      <c r="O1331" s="85">
        <f>STATS1003B!O1332/1000</f>
        <v>0</v>
      </c>
      <c r="P1331" s="85">
        <f>STATS1003B!P1332/1000</f>
        <v>0</v>
      </c>
      <c r="Q1331" s="85">
        <f>STATS1003B!Q1332/1000</f>
        <v>0</v>
      </c>
      <c r="R1331" s="85">
        <f>STATS1003B!R1332/1000</f>
        <v>0</v>
      </c>
      <c r="S1331" s="85">
        <f>STATS1003B!S1332/1000</f>
        <v>0</v>
      </c>
      <c r="T1331" s="85">
        <f>STATS1003B!T1332/1000</f>
        <v>0</v>
      </c>
      <c r="U1331" s="85">
        <f>STATS1003B!U1332/1000</f>
        <v>0</v>
      </c>
      <c r="V1331" s="85">
        <f>STATS1003B!V1332/1000</f>
        <v>0</v>
      </c>
      <c r="W1331" s="85">
        <f>STATS1003B!W1332/1000</f>
        <v>0</v>
      </c>
      <c r="X1331" s="85">
        <f t="shared" si="152"/>
        <v>5126</v>
      </c>
      <c r="Y1331" s="85">
        <f>STATS1003B!Y1332/1000</f>
        <v>0</v>
      </c>
      <c r="Z1331" s="85">
        <f t="shared" si="155"/>
        <v>0</v>
      </c>
      <c r="AA1331" s="69">
        <f>STATS1003B!AA1332/1000</f>
        <v>5126</v>
      </c>
      <c r="AB1331" s="69">
        <f>STATS1003B!AB1332/1000</f>
        <v>0</v>
      </c>
    </row>
    <row r="1332" spans="1:28" hidden="1" x14ac:dyDescent="0.3">
      <c r="A1332" s="117"/>
      <c r="C1332" s="71" t="s">
        <v>1245</v>
      </c>
      <c r="D1332" s="89" t="s">
        <v>1225</v>
      </c>
      <c r="E1332" s="85">
        <f>STATS1003B!E1333/1000</f>
        <v>2385.72127</v>
      </c>
      <c r="F1332" s="85">
        <f>STATS1003B!F1333/1000</f>
        <v>2385.72127</v>
      </c>
      <c r="G1332" s="85">
        <f>STATS1003B!G1333/1000</f>
        <v>0</v>
      </c>
      <c r="H1332" s="85">
        <f>STATS1003B!H1333/1000</f>
        <v>2385.72127</v>
      </c>
      <c r="I1332" s="85">
        <f>STATS1003B!I1333/1000</f>
        <v>0</v>
      </c>
      <c r="J1332" s="85">
        <f>STATS1003B!J1333/1000</f>
        <v>0</v>
      </c>
      <c r="K1332" s="85">
        <f>STATS1003B!K1333/1000</f>
        <v>0</v>
      </c>
      <c r="L1332" s="85">
        <f>STATS1003B!L1333/1000</f>
        <v>0</v>
      </c>
      <c r="M1332" s="85">
        <f>STATS1003B!M1333/1000</f>
        <v>2385.72127</v>
      </c>
      <c r="N1332" s="85">
        <f>STATS1003B!N1333/1000</f>
        <v>0</v>
      </c>
      <c r="O1332" s="85">
        <f>STATS1003B!O1333/1000</f>
        <v>0</v>
      </c>
      <c r="P1332" s="85">
        <f>STATS1003B!P1333/1000</f>
        <v>0</v>
      </c>
      <c r="Q1332" s="85">
        <f>STATS1003B!Q1333/1000</f>
        <v>0</v>
      </c>
      <c r="R1332" s="85">
        <f>STATS1003B!R1333/1000</f>
        <v>0</v>
      </c>
      <c r="S1332" s="85">
        <f>STATS1003B!S1333/1000</f>
        <v>0</v>
      </c>
      <c r="T1332" s="85">
        <f>STATS1003B!T1333/1000</f>
        <v>0</v>
      </c>
      <c r="U1332" s="85">
        <f>STATS1003B!U1333/1000</f>
        <v>0</v>
      </c>
      <c r="V1332" s="85">
        <f>STATS1003B!V1333/1000</f>
        <v>0</v>
      </c>
      <c r="W1332" s="85">
        <f>STATS1003B!W1333/1000</f>
        <v>0</v>
      </c>
      <c r="X1332" s="85">
        <f t="shared" si="152"/>
        <v>2385.72127</v>
      </c>
      <c r="Y1332" s="85">
        <f>STATS1003B!Y1333/1000</f>
        <v>0</v>
      </c>
      <c r="Z1332" s="85">
        <f t="shared" si="155"/>
        <v>0</v>
      </c>
      <c r="AA1332" s="69">
        <f>STATS1003B!AA1333/1000</f>
        <v>2385.72127</v>
      </c>
      <c r="AB1332" s="69">
        <f>STATS1003B!AB1333/1000</f>
        <v>0</v>
      </c>
    </row>
    <row r="1333" spans="1:28" hidden="1" x14ac:dyDescent="0.3">
      <c r="A1333" s="117"/>
      <c r="C1333" s="68" t="s">
        <v>577</v>
      </c>
      <c r="E1333" s="85">
        <f>STATS1003B!E1334/1000</f>
        <v>4005.0149999999999</v>
      </c>
      <c r="F1333" s="85">
        <f>STATS1003B!F1334/1000</f>
        <v>4005.0149999999999</v>
      </c>
      <c r="G1333" s="85">
        <f>STATS1003B!G1334/1000</f>
        <v>0</v>
      </c>
      <c r="H1333" s="85">
        <f>STATS1003B!H1334/1000</f>
        <v>4005.0149999999999</v>
      </c>
      <c r="I1333" s="85">
        <f>STATS1003B!I1334/1000</f>
        <v>0</v>
      </c>
      <c r="J1333" s="85">
        <f>STATS1003B!J1334/1000</f>
        <v>4005.0149999999999</v>
      </c>
      <c r="K1333" s="85">
        <f>STATS1003B!K1334/1000</f>
        <v>0</v>
      </c>
      <c r="L1333" s="85">
        <f>STATS1003B!L1334/1000</f>
        <v>0</v>
      </c>
      <c r="M1333" s="85">
        <f>STATS1003B!M1334/1000</f>
        <v>4005.0149999999999</v>
      </c>
      <c r="N1333" s="85">
        <f>STATS1003B!N1334/1000</f>
        <v>0</v>
      </c>
      <c r="O1333" s="85">
        <f>STATS1003B!O1334/1000</f>
        <v>0</v>
      </c>
      <c r="P1333" s="85">
        <f>STATS1003B!P1334/1000</f>
        <v>0</v>
      </c>
      <c r="Q1333" s="85">
        <f>STATS1003B!Q1334/1000</f>
        <v>4005.0149999999999</v>
      </c>
      <c r="R1333" s="85">
        <f>STATS1003B!R1334/1000</f>
        <v>0</v>
      </c>
      <c r="S1333" s="85">
        <f>STATS1003B!S1334/1000</f>
        <v>0</v>
      </c>
      <c r="T1333" s="85">
        <f>STATS1003B!T1334/1000</f>
        <v>0</v>
      </c>
      <c r="U1333" s="85">
        <f>STATS1003B!U1334/1000</f>
        <v>0</v>
      </c>
      <c r="V1333" s="85">
        <f>STATS1003B!V1334/1000</f>
        <v>4005.0149999999999</v>
      </c>
      <c r="W1333" s="85">
        <f>STATS1003B!W1334/1000</f>
        <v>0</v>
      </c>
      <c r="X1333" s="85">
        <f t="shared" si="152"/>
        <v>4005.0149999999999</v>
      </c>
      <c r="Y1333" s="85">
        <f>STATS1003B!Y1334/1000</f>
        <v>0</v>
      </c>
      <c r="Z1333" s="85">
        <f t="shared" si="155"/>
        <v>0</v>
      </c>
      <c r="AA1333" s="69">
        <f>STATS1003B!AA1334/1000</f>
        <v>4005.0149999999999</v>
      </c>
      <c r="AB1333" s="69">
        <f>STATS1003B!AB1334/1000</f>
        <v>0</v>
      </c>
    </row>
    <row r="1334" spans="1:28" hidden="1" x14ac:dyDescent="0.3">
      <c r="A1334" s="117"/>
      <c r="C1334" s="68" t="s">
        <v>707</v>
      </c>
      <c r="E1334" s="85">
        <f>STATS1003B!E1335/1000</f>
        <v>600</v>
      </c>
      <c r="F1334" s="85">
        <f>STATS1003B!F1335/1000</f>
        <v>600</v>
      </c>
      <c r="G1334" s="85">
        <f>STATS1003B!G1335/1000</f>
        <v>0</v>
      </c>
      <c r="H1334" s="85">
        <f>STATS1003B!H1335/1000</f>
        <v>600</v>
      </c>
      <c r="I1334" s="85">
        <f>STATS1003B!I1335/1000</f>
        <v>0</v>
      </c>
      <c r="J1334" s="85">
        <f>STATS1003B!J1335/1000</f>
        <v>600</v>
      </c>
      <c r="K1334" s="85">
        <f>STATS1003B!K1335/1000</f>
        <v>0</v>
      </c>
      <c r="L1334" s="85">
        <f>STATS1003B!L1335/1000</f>
        <v>0</v>
      </c>
      <c r="M1334" s="85">
        <f>STATS1003B!M1335/1000</f>
        <v>600</v>
      </c>
      <c r="N1334" s="85">
        <f>STATS1003B!N1335/1000</f>
        <v>0</v>
      </c>
      <c r="O1334" s="85">
        <f>STATS1003B!O1335/1000</f>
        <v>0</v>
      </c>
      <c r="P1334" s="85">
        <f>STATS1003B!P1335/1000</f>
        <v>0</v>
      </c>
      <c r="Q1334" s="85">
        <f>STATS1003B!Q1335/1000</f>
        <v>600</v>
      </c>
      <c r="R1334" s="85">
        <f>STATS1003B!R1335/1000</f>
        <v>0</v>
      </c>
      <c r="S1334" s="85">
        <f>STATS1003B!S1335/1000</f>
        <v>0</v>
      </c>
      <c r="T1334" s="85">
        <f>STATS1003B!T1335/1000</f>
        <v>0</v>
      </c>
      <c r="U1334" s="85">
        <f>STATS1003B!U1335/1000</f>
        <v>0</v>
      </c>
      <c r="V1334" s="85">
        <f>STATS1003B!V1335/1000</f>
        <v>600</v>
      </c>
      <c r="W1334" s="85">
        <f>STATS1003B!W1335/1000</f>
        <v>0</v>
      </c>
      <c r="X1334" s="85">
        <f t="shared" si="152"/>
        <v>600</v>
      </c>
      <c r="Y1334" s="85">
        <f>STATS1003B!Y1335/1000</f>
        <v>0</v>
      </c>
      <c r="Z1334" s="85">
        <f t="shared" si="155"/>
        <v>0</v>
      </c>
      <c r="AA1334" s="69">
        <f>STATS1003B!AA1335/1000</f>
        <v>600</v>
      </c>
      <c r="AB1334" s="69">
        <f>STATS1003B!AB1335/1000</f>
        <v>0</v>
      </c>
    </row>
    <row r="1335" spans="1:28" hidden="1" x14ac:dyDescent="0.3">
      <c r="A1335" s="117"/>
      <c r="C1335" s="68" t="s">
        <v>708</v>
      </c>
      <c r="E1335" s="85">
        <f>STATS1003B!E1336/1000</f>
        <v>1050</v>
      </c>
      <c r="F1335" s="85">
        <f>STATS1003B!F1336/1000</f>
        <v>1050</v>
      </c>
      <c r="G1335" s="85">
        <f>STATS1003B!G1336/1000</f>
        <v>0</v>
      </c>
      <c r="H1335" s="85">
        <f>STATS1003B!H1336/1000</f>
        <v>1050</v>
      </c>
      <c r="I1335" s="85">
        <f>STATS1003B!I1336/1000</f>
        <v>0</v>
      </c>
      <c r="J1335" s="85">
        <f>STATS1003B!J1336/1000</f>
        <v>1050</v>
      </c>
      <c r="K1335" s="85">
        <f>STATS1003B!K1336/1000</f>
        <v>0</v>
      </c>
      <c r="L1335" s="85">
        <f>STATS1003B!L1336/1000</f>
        <v>0</v>
      </c>
      <c r="M1335" s="85">
        <f>STATS1003B!M1336/1000</f>
        <v>1050</v>
      </c>
      <c r="N1335" s="85">
        <f>STATS1003B!N1336/1000</f>
        <v>0</v>
      </c>
      <c r="O1335" s="85">
        <f>STATS1003B!O1336/1000</f>
        <v>0</v>
      </c>
      <c r="P1335" s="85">
        <f>STATS1003B!P1336/1000</f>
        <v>0</v>
      </c>
      <c r="Q1335" s="85">
        <f>STATS1003B!Q1336/1000</f>
        <v>1050</v>
      </c>
      <c r="R1335" s="85">
        <f>STATS1003B!R1336/1000</f>
        <v>0</v>
      </c>
      <c r="S1335" s="85">
        <f>STATS1003B!S1336/1000</f>
        <v>0</v>
      </c>
      <c r="T1335" s="85">
        <f>STATS1003B!T1336/1000</f>
        <v>0</v>
      </c>
      <c r="U1335" s="85">
        <f>STATS1003B!U1336/1000</f>
        <v>0</v>
      </c>
      <c r="V1335" s="85">
        <f>STATS1003B!V1336/1000</f>
        <v>1050</v>
      </c>
      <c r="W1335" s="85">
        <f>STATS1003B!W1336/1000</f>
        <v>0</v>
      </c>
      <c r="X1335" s="85">
        <f t="shared" si="152"/>
        <v>1050</v>
      </c>
      <c r="Y1335" s="85">
        <f>STATS1003B!Y1336/1000</f>
        <v>0</v>
      </c>
      <c r="Z1335" s="85">
        <f t="shared" si="155"/>
        <v>0</v>
      </c>
      <c r="AA1335" s="69">
        <f>STATS1003B!AA1336/1000</f>
        <v>1050</v>
      </c>
      <c r="AB1335" s="69">
        <f>STATS1003B!AB1336/1000</f>
        <v>0</v>
      </c>
    </row>
    <row r="1336" spans="1:28" hidden="1" x14ac:dyDescent="0.3">
      <c r="A1336" s="117"/>
      <c r="B1336" s="145" t="s">
        <v>709</v>
      </c>
      <c r="C1336" s="68" t="s">
        <v>710</v>
      </c>
      <c r="E1336" s="85">
        <f>STATS1003B!E1337/1000</f>
        <v>2000</v>
      </c>
      <c r="F1336" s="85">
        <f>STATS1003B!F1337/1000</f>
        <v>2000</v>
      </c>
      <c r="G1336" s="85">
        <f>STATS1003B!G1337/1000</f>
        <v>0</v>
      </c>
      <c r="H1336" s="85">
        <f>STATS1003B!H1337/1000</f>
        <v>2000</v>
      </c>
      <c r="I1336" s="85">
        <f>STATS1003B!I1337/1000</f>
        <v>0</v>
      </c>
      <c r="J1336" s="85">
        <f>STATS1003B!J1337/1000</f>
        <v>2000</v>
      </c>
      <c r="K1336" s="85">
        <f>STATS1003B!K1337/1000</f>
        <v>0</v>
      </c>
      <c r="L1336" s="85">
        <f>STATS1003B!L1337/1000</f>
        <v>0</v>
      </c>
      <c r="M1336" s="85">
        <f>STATS1003B!M1337/1000</f>
        <v>2000</v>
      </c>
      <c r="N1336" s="85">
        <f>STATS1003B!N1337/1000</f>
        <v>0</v>
      </c>
      <c r="O1336" s="85">
        <f>STATS1003B!O1337/1000</f>
        <v>0</v>
      </c>
      <c r="P1336" s="85">
        <f>STATS1003B!P1337/1000</f>
        <v>0</v>
      </c>
      <c r="Q1336" s="85">
        <f>STATS1003B!Q1337/1000</f>
        <v>2000</v>
      </c>
      <c r="R1336" s="85">
        <f>STATS1003B!R1337/1000</f>
        <v>0</v>
      </c>
      <c r="S1336" s="85">
        <f>STATS1003B!S1337/1000</f>
        <v>0</v>
      </c>
      <c r="T1336" s="85">
        <f>STATS1003B!T1337/1000</f>
        <v>0</v>
      </c>
      <c r="U1336" s="85">
        <f>STATS1003B!U1337/1000</f>
        <v>0</v>
      </c>
      <c r="V1336" s="85">
        <f>STATS1003B!V1337/1000</f>
        <v>2000</v>
      </c>
      <c r="W1336" s="85">
        <f>STATS1003B!W1337/1000</f>
        <v>0</v>
      </c>
      <c r="X1336" s="85">
        <f t="shared" si="152"/>
        <v>2000</v>
      </c>
      <c r="Y1336" s="85">
        <f>STATS1003B!Y1337/1000</f>
        <v>0</v>
      </c>
      <c r="Z1336" s="85">
        <f t="shared" si="155"/>
        <v>0</v>
      </c>
      <c r="AA1336" s="69">
        <f>STATS1003B!AA1337/1000</f>
        <v>2000</v>
      </c>
      <c r="AB1336" s="69">
        <f>STATS1003B!AB1337/1000</f>
        <v>0</v>
      </c>
    </row>
    <row r="1337" spans="1:28" hidden="1" x14ac:dyDescent="0.3">
      <c r="A1337" s="117"/>
      <c r="C1337" s="68" t="s">
        <v>678</v>
      </c>
      <c r="E1337" s="85">
        <f>STATS1003B!E1338/1000</f>
        <v>5000</v>
      </c>
      <c r="F1337" s="85">
        <f>STATS1003B!F1338/1000</f>
        <v>5000</v>
      </c>
      <c r="G1337" s="85">
        <f>STATS1003B!G1338/1000</f>
        <v>0</v>
      </c>
      <c r="H1337" s="85">
        <f>STATS1003B!H1338/1000</f>
        <v>5000</v>
      </c>
      <c r="I1337" s="85">
        <f>STATS1003B!I1338/1000</f>
        <v>0</v>
      </c>
      <c r="J1337" s="85">
        <f>STATS1003B!J1338/1000</f>
        <v>5000</v>
      </c>
      <c r="K1337" s="85">
        <f>STATS1003B!K1338/1000</f>
        <v>0</v>
      </c>
      <c r="L1337" s="85">
        <f>STATS1003B!L1338/1000</f>
        <v>0</v>
      </c>
      <c r="M1337" s="85">
        <f>STATS1003B!M1338/1000</f>
        <v>5000</v>
      </c>
      <c r="N1337" s="85">
        <f>STATS1003B!N1338/1000</f>
        <v>0</v>
      </c>
      <c r="O1337" s="85">
        <f>STATS1003B!O1338/1000</f>
        <v>0</v>
      </c>
      <c r="P1337" s="85">
        <f>STATS1003B!P1338/1000</f>
        <v>0</v>
      </c>
      <c r="Q1337" s="85">
        <f>STATS1003B!Q1338/1000</f>
        <v>5000</v>
      </c>
      <c r="R1337" s="85">
        <f>STATS1003B!R1338/1000</f>
        <v>0</v>
      </c>
      <c r="S1337" s="85">
        <f>STATS1003B!S1338/1000</f>
        <v>0</v>
      </c>
      <c r="T1337" s="85">
        <f>STATS1003B!T1338/1000</f>
        <v>0</v>
      </c>
      <c r="U1337" s="85">
        <f>STATS1003B!U1338/1000</f>
        <v>0</v>
      </c>
      <c r="V1337" s="85">
        <f>STATS1003B!V1338/1000</f>
        <v>5000</v>
      </c>
      <c r="W1337" s="85">
        <f>STATS1003B!W1338/1000</f>
        <v>0</v>
      </c>
      <c r="X1337" s="85">
        <f t="shared" si="152"/>
        <v>5000</v>
      </c>
      <c r="Y1337" s="85">
        <f>STATS1003B!Y1338/1000</f>
        <v>0</v>
      </c>
      <c r="Z1337" s="85">
        <f t="shared" si="155"/>
        <v>0</v>
      </c>
      <c r="AA1337" s="69">
        <f>STATS1003B!AA1338/1000</f>
        <v>5000</v>
      </c>
      <c r="AB1337" s="69">
        <f>STATS1003B!AB1338/1000</f>
        <v>0</v>
      </c>
    </row>
    <row r="1338" spans="1:28" hidden="1" x14ac:dyDescent="0.3">
      <c r="A1338" s="117"/>
      <c r="E1338" s="86" t="s">
        <v>29</v>
      </c>
      <c r="F1338" s="86" t="s">
        <v>29</v>
      </c>
      <c r="G1338" s="86" t="s">
        <v>29</v>
      </c>
      <c r="H1338" s="86" t="s">
        <v>29</v>
      </c>
      <c r="I1338" s="86" t="s">
        <v>29</v>
      </c>
      <c r="J1338" s="86" t="s">
        <v>29</v>
      </c>
      <c r="K1338" s="86" t="s">
        <v>29</v>
      </c>
      <c r="L1338" s="86" t="s">
        <v>29</v>
      </c>
      <c r="M1338" s="86" t="s">
        <v>29</v>
      </c>
      <c r="N1338" s="86" t="s">
        <v>29</v>
      </c>
      <c r="O1338" s="86" t="s">
        <v>29</v>
      </c>
      <c r="P1338" s="86" t="s">
        <v>29</v>
      </c>
      <c r="Q1338" s="86" t="s">
        <v>29</v>
      </c>
      <c r="R1338" s="86" t="s">
        <v>29</v>
      </c>
      <c r="S1338" s="86" t="s">
        <v>29</v>
      </c>
      <c r="T1338" s="86" t="s">
        <v>29</v>
      </c>
      <c r="U1338" s="86" t="s">
        <v>29</v>
      </c>
      <c r="V1338" s="86" t="s">
        <v>29</v>
      </c>
      <c r="W1338" s="86" t="s">
        <v>29</v>
      </c>
      <c r="X1338" s="85" t="e">
        <f t="shared" si="152"/>
        <v>#VALUE!</v>
      </c>
      <c r="Y1338" s="86" t="s">
        <v>29</v>
      </c>
      <c r="Z1338" s="85" t="e">
        <f t="shared" si="155"/>
        <v>#VALUE!</v>
      </c>
      <c r="AA1338" s="115" t="s">
        <v>29</v>
      </c>
      <c r="AB1338" s="115" t="s">
        <v>29</v>
      </c>
    </row>
    <row r="1339" spans="1:28" x14ac:dyDescent="0.3">
      <c r="A1339" s="125">
        <v>60</v>
      </c>
      <c r="B1339" s="68" t="s">
        <v>703</v>
      </c>
      <c r="E1339" s="85">
        <f>137332149.06/1000</f>
        <v>137332.14906</v>
      </c>
      <c r="F1339" s="85">
        <f t="shared" ref="F1339:Q1339" si="158">SUM(F1312:F1338)</f>
        <v>63576.62227</v>
      </c>
      <c r="G1339" s="85">
        <f t="shared" si="158"/>
        <v>0</v>
      </c>
      <c r="H1339" s="85">
        <f>133352402.13/1000</f>
        <v>133352.40213</v>
      </c>
      <c r="I1339" s="85">
        <f t="shared" si="158"/>
        <v>0</v>
      </c>
      <c r="J1339" s="85">
        <f t="shared" si="158"/>
        <v>52990.900999999998</v>
      </c>
      <c r="K1339" s="85">
        <f t="shared" si="158"/>
        <v>3892.1471200000001</v>
      </c>
      <c r="L1339" s="85">
        <f t="shared" si="158"/>
        <v>0</v>
      </c>
      <c r="M1339" s="85">
        <f t="shared" si="158"/>
        <v>63576.62227</v>
      </c>
      <c r="N1339" s="85">
        <f t="shared" si="158"/>
        <v>3892.1471200000001</v>
      </c>
      <c r="O1339" s="85">
        <f t="shared" si="158"/>
        <v>0</v>
      </c>
      <c r="P1339" s="85">
        <f>3892147/1000</f>
        <v>3892.1469999999999</v>
      </c>
      <c r="Q1339" s="85">
        <f t="shared" si="158"/>
        <v>53078.500809999998</v>
      </c>
      <c r="R1339" s="86"/>
      <c r="S1339" s="86"/>
      <c r="T1339" s="85">
        <f t="shared" ref="T1339:Y1339" si="159">SUM(T1312:T1338)</f>
        <v>87.599809999999991</v>
      </c>
      <c r="U1339" s="85">
        <f t="shared" si="159"/>
        <v>3979.7469300000002</v>
      </c>
      <c r="V1339" s="85">
        <f t="shared" si="159"/>
        <v>56883.048119999992</v>
      </c>
      <c r="W1339" s="85">
        <f t="shared" si="159"/>
        <v>87.599810000000062</v>
      </c>
      <c r="X1339" s="85">
        <f t="shared" si="152"/>
        <v>137244.54913</v>
      </c>
      <c r="Y1339" s="85">
        <f t="shared" si="159"/>
        <v>0</v>
      </c>
      <c r="Z1339" s="85">
        <f t="shared" si="155"/>
        <v>87.599929999996675</v>
      </c>
      <c r="AA1339" s="69">
        <f>SUM(AA1312:AA1338)</f>
        <v>67556.369199999986</v>
      </c>
      <c r="AB1339" s="69">
        <f>SUM(AB1312:AB1338)</f>
        <v>0</v>
      </c>
    </row>
    <row r="1340" spans="1:28" hidden="1" x14ac:dyDescent="0.3">
      <c r="A1340" s="117"/>
      <c r="E1340" s="86" t="s">
        <v>29</v>
      </c>
      <c r="F1340" s="86" t="s">
        <v>29</v>
      </c>
      <c r="G1340" s="86" t="s">
        <v>29</v>
      </c>
      <c r="H1340" s="86" t="s">
        <v>29</v>
      </c>
      <c r="I1340" s="86" t="s">
        <v>29</v>
      </c>
      <c r="J1340" s="86" t="s">
        <v>29</v>
      </c>
      <c r="K1340" s="86" t="s">
        <v>29</v>
      </c>
      <c r="L1340" s="86" t="s">
        <v>29</v>
      </c>
      <c r="M1340" s="86" t="s">
        <v>29</v>
      </c>
      <c r="N1340" s="86" t="s">
        <v>29</v>
      </c>
      <c r="O1340" s="86" t="s">
        <v>29</v>
      </c>
      <c r="P1340" s="86" t="s">
        <v>29</v>
      </c>
      <c r="Q1340" s="86" t="s">
        <v>29</v>
      </c>
      <c r="R1340" s="86" t="s">
        <v>29</v>
      </c>
      <c r="S1340" s="86" t="s">
        <v>29</v>
      </c>
      <c r="T1340" s="86" t="s">
        <v>29</v>
      </c>
      <c r="U1340" s="86" t="s">
        <v>29</v>
      </c>
      <c r="V1340" s="86" t="s">
        <v>29</v>
      </c>
      <c r="W1340" s="86" t="s">
        <v>29</v>
      </c>
      <c r="X1340" s="85" t="e">
        <f t="shared" si="152"/>
        <v>#VALUE!</v>
      </c>
      <c r="Y1340" s="86" t="s">
        <v>29</v>
      </c>
      <c r="Z1340" s="85" t="e">
        <f t="shared" si="155"/>
        <v>#VALUE!</v>
      </c>
      <c r="AA1340" s="115" t="s">
        <v>29</v>
      </c>
      <c r="AB1340" s="115" t="s">
        <v>29</v>
      </c>
    </row>
    <row r="1341" spans="1:28" hidden="1" x14ac:dyDescent="0.3">
      <c r="A1341" s="105"/>
      <c r="E1341" s="84"/>
      <c r="F1341" s="84"/>
      <c r="G1341" s="84"/>
      <c r="H1341" s="84"/>
      <c r="I1341" s="84"/>
      <c r="J1341" s="84"/>
      <c r="K1341" s="84"/>
      <c r="L1341" s="84"/>
      <c r="M1341" s="84"/>
      <c r="N1341" s="84"/>
      <c r="O1341" s="84"/>
      <c r="P1341" s="84"/>
      <c r="Q1341" s="84"/>
      <c r="R1341" s="86"/>
      <c r="S1341" s="86"/>
      <c r="T1341" s="86"/>
      <c r="U1341" s="86"/>
      <c r="V1341" s="86"/>
      <c r="W1341" s="86"/>
      <c r="X1341" s="85">
        <f t="shared" si="152"/>
        <v>0</v>
      </c>
      <c r="Y1341" s="86"/>
      <c r="Z1341" s="85">
        <f t="shared" si="155"/>
        <v>0</v>
      </c>
    </row>
    <row r="1342" spans="1:28" hidden="1" x14ac:dyDescent="0.3">
      <c r="A1342" s="117"/>
      <c r="C1342" s="68" t="s">
        <v>535</v>
      </c>
      <c r="D1342" s="145" t="s">
        <v>68</v>
      </c>
      <c r="E1342" s="85">
        <f>STATS1003B!E1343/1000</f>
        <v>776.33708000000001</v>
      </c>
      <c r="F1342" s="85">
        <f>STATS1003B!F1343/1000</f>
        <v>776.33708000000001</v>
      </c>
      <c r="G1342" s="85">
        <f>STATS1003B!G1343/1000</f>
        <v>0</v>
      </c>
      <c r="H1342" s="85">
        <f>STATS1003B!H1343/1000</f>
        <v>776.33708000000001</v>
      </c>
      <c r="I1342" s="85">
        <f>STATS1003B!I1343/1000</f>
        <v>0</v>
      </c>
      <c r="J1342" s="85">
        <f>STATS1003B!J1343/1000</f>
        <v>776.33708000000001</v>
      </c>
      <c r="K1342" s="85">
        <f>STATS1003B!K1343/1000</f>
        <v>0</v>
      </c>
      <c r="L1342" s="85">
        <f>STATS1003B!L1343/1000</f>
        <v>0</v>
      </c>
      <c r="M1342" s="85">
        <f>STATS1003B!M1343/1000</f>
        <v>776.33708000000001</v>
      </c>
      <c r="N1342" s="85">
        <f>STATS1003B!N1343/1000</f>
        <v>0</v>
      </c>
      <c r="O1342" s="85">
        <f>STATS1003B!O1343/1000</f>
        <v>0</v>
      </c>
      <c r="P1342" s="85">
        <f>STATS1003B!P1343/1000</f>
        <v>0</v>
      </c>
      <c r="Q1342" s="85">
        <f>STATS1003B!Q1343/1000</f>
        <v>776.33708000000001</v>
      </c>
      <c r="R1342" s="85">
        <f>STATS1003B!R1343/1000</f>
        <v>0</v>
      </c>
      <c r="S1342" s="85">
        <f>STATS1003B!S1343/1000</f>
        <v>0</v>
      </c>
      <c r="T1342" s="85">
        <f>STATS1003B!T1343/1000</f>
        <v>0</v>
      </c>
      <c r="U1342" s="85">
        <f>STATS1003B!U1343/1000</f>
        <v>0</v>
      </c>
      <c r="V1342" s="85">
        <f>STATS1003B!V1343/1000</f>
        <v>776.33708000000001</v>
      </c>
      <c r="W1342" s="85">
        <f>STATS1003B!W1343/1000</f>
        <v>0</v>
      </c>
      <c r="X1342" s="85">
        <f t="shared" si="152"/>
        <v>776.33708000000001</v>
      </c>
      <c r="Y1342" s="85">
        <f>STATS1003B!Y1343/1000</f>
        <v>0</v>
      </c>
      <c r="Z1342" s="85">
        <f t="shared" si="155"/>
        <v>0</v>
      </c>
      <c r="AA1342" s="69">
        <f>STATS1003B!AA1343/1000</f>
        <v>776.33708000000001</v>
      </c>
      <c r="AB1342" s="69">
        <f>STATS1003B!AB1343/1000</f>
        <v>0</v>
      </c>
    </row>
    <row r="1343" spans="1:28" hidden="1" x14ac:dyDescent="0.3">
      <c r="A1343" s="117"/>
      <c r="C1343" s="68" t="s">
        <v>712</v>
      </c>
      <c r="D1343" s="145" t="s">
        <v>68</v>
      </c>
      <c r="E1343" s="85">
        <f>STATS1003B!E1344/1000</f>
        <v>745.34811999999999</v>
      </c>
      <c r="F1343" s="85">
        <f>STATS1003B!F1344/1000</f>
        <v>597.78966000000003</v>
      </c>
      <c r="G1343" s="85">
        <f>STATS1003B!G1344/1000</f>
        <v>0</v>
      </c>
      <c r="H1343" s="85">
        <f>STATS1003B!H1344/1000</f>
        <v>597.78966000000003</v>
      </c>
      <c r="I1343" s="85">
        <f>STATS1003B!I1344/1000</f>
        <v>0</v>
      </c>
      <c r="J1343" s="85">
        <f>STATS1003B!J1344/1000</f>
        <v>597.78966000000003</v>
      </c>
      <c r="K1343" s="85">
        <f>STATS1003B!K1344/1000</f>
        <v>147.55846000000003</v>
      </c>
      <c r="L1343" s="85">
        <f>STATS1003B!L1344/1000</f>
        <v>0</v>
      </c>
      <c r="M1343" s="85">
        <f>STATS1003B!M1344/1000</f>
        <v>597.78966000000003</v>
      </c>
      <c r="N1343" s="85">
        <f>STATS1003B!N1344/1000</f>
        <v>147.55846</v>
      </c>
      <c r="O1343" s="85">
        <f>STATS1003B!O1344/1000</f>
        <v>0</v>
      </c>
      <c r="P1343" s="85">
        <f>STATS1003B!P1344/1000</f>
        <v>147.55846</v>
      </c>
      <c r="Q1343" s="85">
        <f>STATS1003B!Q1344/1000</f>
        <v>597.78966000000003</v>
      </c>
      <c r="R1343" s="85">
        <f>STATS1003B!R1344/1000</f>
        <v>0</v>
      </c>
      <c r="S1343" s="85">
        <f>STATS1003B!S1344/1000</f>
        <v>0</v>
      </c>
      <c r="T1343" s="85">
        <f>STATS1003B!T1344/1000</f>
        <v>0</v>
      </c>
      <c r="U1343" s="85">
        <f>STATS1003B!U1344/1000</f>
        <v>147.55846</v>
      </c>
      <c r="V1343" s="85">
        <f>STATS1003B!V1344/1000</f>
        <v>745.34811999999999</v>
      </c>
      <c r="W1343" s="85">
        <f>STATS1003B!W1344/1000</f>
        <v>0</v>
      </c>
      <c r="X1343" s="85">
        <f t="shared" ref="X1343:X1406" si="160">+H1343+P1343</f>
        <v>745.34811999999999</v>
      </c>
      <c r="Y1343" s="85">
        <f>STATS1003B!Y1344/1000</f>
        <v>0</v>
      </c>
      <c r="Z1343" s="85">
        <f t="shared" si="155"/>
        <v>0</v>
      </c>
      <c r="AA1343" s="69">
        <f>STATS1003B!AA1344/1000</f>
        <v>745.34811999999999</v>
      </c>
      <c r="AB1343" s="69">
        <f>STATS1003B!AB1344/1000</f>
        <v>0</v>
      </c>
    </row>
    <row r="1344" spans="1:28" hidden="1" x14ac:dyDescent="0.3">
      <c r="A1344" s="117"/>
      <c r="C1344" s="68" t="s">
        <v>539</v>
      </c>
      <c r="D1344" s="145" t="s">
        <v>68</v>
      </c>
      <c r="E1344" s="85">
        <f>STATS1003B!E1345/1000</f>
        <v>3027.1309999999999</v>
      </c>
      <c r="F1344" s="85">
        <f>STATS1003B!F1345/1000</f>
        <v>0</v>
      </c>
      <c r="G1344" s="85">
        <f>STATS1003B!G1345/1000</f>
        <v>0</v>
      </c>
      <c r="H1344" s="85">
        <f>STATS1003B!H1345/1000</f>
        <v>0</v>
      </c>
      <c r="I1344" s="85">
        <f>STATS1003B!I1345/1000</f>
        <v>0</v>
      </c>
      <c r="J1344" s="85">
        <f>STATS1003B!J1345/1000</f>
        <v>0</v>
      </c>
      <c r="K1344" s="85">
        <f>STATS1003B!K1345/1000</f>
        <v>3027.1309999999999</v>
      </c>
      <c r="L1344" s="85">
        <f>STATS1003B!L1345/1000</f>
        <v>0</v>
      </c>
      <c r="M1344" s="85">
        <f>STATS1003B!M1345/1000</f>
        <v>0</v>
      </c>
      <c r="N1344" s="85">
        <f>STATS1003B!N1345/1000</f>
        <v>3027.1309999999999</v>
      </c>
      <c r="O1344" s="85">
        <f>STATS1003B!O1345/1000</f>
        <v>0</v>
      </c>
      <c r="P1344" s="85">
        <f>STATS1003B!P1345/1000</f>
        <v>3027.1309999999999</v>
      </c>
      <c r="Q1344" s="85">
        <f>STATS1003B!Q1345/1000</f>
        <v>0</v>
      </c>
      <c r="R1344" s="85">
        <f>STATS1003B!R1345/1000</f>
        <v>0</v>
      </c>
      <c r="S1344" s="85">
        <f>STATS1003B!S1345/1000</f>
        <v>0</v>
      </c>
      <c r="T1344" s="85">
        <f>STATS1003B!T1345/1000</f>
        <v>0</v>
      </c>
      <c r="U1344" s="85">
        <f>STATS1003B!U1345/1000</f>
        <v>3027.1309999999999</v>
      </c>
      <c r="V1344" s="85">
        <f>STATS1003B!V1345/1000</f>
        <v>3027.1309999999999</v>
      </c>
      <c r="W1344" s="85">
        <f>STATS1003B!W1345/1000</f>
        <v>0</v>
      </c>
      <c r="X1344" s="85">
        <f t="shared" si="160"/>
        <v>3027.1309999999999</v>
      </c>
      <c r="Y1344" s="85">
        <f>STATS1003B!Y1345/1000</f>
        <v>0</v>
      </c>
      <c r="Z1344" s="85">
        <f t="shared" si="155"/>
        <v>0</v>
      </c>
      <c r="AA1344" s="69">
        <f>STATS1003B!AA1345/1000</f>
        <v>3027.1309999999999</v>
      </c>
      <c r="AB1344" s="69">
        <f>STATS1003B!AB1345/1000</f>
        <v>0</v>
      </c>
    </row>
    <row r="1345" spans="1:28" hidden="1" x14ac:dyDescent="0.3">
      <c r="A1345" s="117"/>
      <c r="C1345" s="68" t="s">
        <v>535</v>
      </c>
      <c r="D1345" s="145" t="s">
        <v>54</v>
      </c>
      <c r="E1345" s="85">
        <f>STATS1003B!E1346/1000</f>
        <v>797.05</v>
      </c>
      <c r="F1345" s="85">
        <f>STATS1003B!F1346/1000</f>
        <v>797.05</v>
      </c>
      <c r="G1345" s="85">
        <f>STATS1003B!G1346/1000</f>
        <v>0</v>
      </c>
      <c r="H1345" s="85">
        <f>STATS1003B!H1346/1000</f>
        <v>797.05</v>
      </c>
      <c r="I1345" s="85">
        <f>STATS1003B!I1346/1000</f>
        <v>0</v>
      </c>
      <c r="J1345" s="85">
        <f>STATS1003B!J1346/1000</f>
        <v>797.05</v>
      </c>
      <c r="K1345" s="85">
        <f>STATS1003B!K1346/1000</f>
        <v>0</v>
      </c>
      <c r="L1345" s="85">
        <f>STATS1003B!L1346/1000</f>
        <v>0</v>
      </c>
      <c r="M1345" s="85">
        <f>STATS1003B!M1346/1000</f>
        <v>797.05</v>
      </c>
      <c r="N1345" s="85">
        <f>STATS1003B!N1346/1000</f>
        <v>0</v>
      </c>
      <c r="O1345" s="85">
        <f>STATS1003B!O1346/1000</f>
        <v>0</v>
      </c>
      <c r="P1345" s="85">
        <f>STATS1003B!P1346/1000</f>
        <v>0</v>
      </c>
      <c r="Q1345" s="85">
        <f>STATS1003B!Q1346/1000</f>
        <v>797.05</v>
      </c>
      <c r="R1345" s="85">
        <f>STATS1003B!R1346/1000</f>
        <v>0</v>
      </c>
      <c r="S1345" s="85">
        <f>STATS1003B!S1346/1000</f>
        <v>0</v>
      </c>
      <c r="T1345" s="85">
        <f>STATS1003B!T1346/1000</f>
        <v>0</v>
      </c>
      <c r="U1345" s="85">
        <f>STATS1003B!U1346/1000</f>
        <v>0</v>
      </c>
      <c r="V1345" s="85">
        <f>STATS1003B!V1346/1000</f>
        <v>797.05</v>
      </c>
      <c r="W1345" s="85">
        <f>STATS1003B!W1346/1000</f>
        <v>0</v>
      </c>
      <c r="X1345" s="85">
        <f t="shared" si="160"/>
        <v>797.05</v>
      </c>
      <c r="Y1345" s="85">
        <f>STATS1003B!Y1346/1000</f>
        <v>0</v>
      </c>
      <c r="Z1345" s="85">
        <f t="shared" si="155"/>
        <v>0</v>
      </c>
      <c r="AA1345" s="69">
        <f>STATS1003B!AA1346/1000</f>
        <v>797.05</v>
      </c>
      <c r="AB1345" s="69">
        <f>STATS1003B!AB1346/1000</f>
        <v>0</v>
      </c>
    </row>
    <row r="1346" spans="1:28" hidden="1" x14ac:dyDescent="0.3">
      <c r="A1346" s="117"/>
      <c r="C1346" s="68" t="s">
        <v>545</v>
      </c>
      <c r="D1346" s="145" t="s">
        <v>54</v>
      </c>
      <c r="E1346" s="85">
        <f>STATS1003B!E1347/1000</f>
        <v>1767.77</v>
      </c>
      <c r="F1346" s="85">
        <f>STATS1003B!F1347/1000</f>
        <v>0</v>
      </c>
      <c r="G1346" s="85">
        <f>STATS1003B!G1347/1000</f>
        <v>0</v>
      </c>
      <c r="H1346" s="85">
        <f>STATS1003B!H1347/1000</f>
        <v>0</v>
      </c>
      <c r="I1346" s="85">
        <f>STATS1003B!I1347/1000</f>
        <v>0</v>
      </c>
      <c r="J1346" s="85">
        <f>STATS1003B!J1347/1000</f>
        <v>0</v>
      </c>
      <c r="K1346" s="85">
        <f>STATS1003B!K1347/1000</f>
        <v>1767.77</v>
      </c>
      <c r="L1346" s="85">
        <f>STATS1003B!L1347/1000</f>
        <v>0</v>
      </c>
      <c r="M1346" s="85">
        <f>STATS1003B!M1347/1000</f>
        <v>0</v>
      </c>
      <c r="N1346" s="85">
        <f>STATS1003B!N1347/1000</f>
        <v>1767.77</v>
      </c>
      <c r="O1346" s="85">
        <f>STATS1003B!O1347/1000</f>
        <v>0</v>
      </c>
      <c r="P1346" s="85">
        <f>STATS1003B!P1347/1000</f>
        <v>1767.77</v>
      </c>
      <c r="Q1346" s="85">
        <f>STATS1003B!Q1347/1000</f>
        <v>0</v>
      </c>
      <c r="R1346" s="85">
        <f>STATS1003B!R1347/1000</f>
        <v>0</v>
      </c>
      <c r="S1346" s="85">
        <f>STATS1003B!S1347/1000</f>
        <v>0</v>
      </c>
      <c r="T1346" s="85">
        <f>STATS1003B!T1347/1000</f>
        <v>0</v>
      </c>
      <c r="U1346" s="85">
        <f>STATS1003B!U1347/1000</f>
        <v>1767.77</v>
      </c>
      <c r="V1346" s="85">
        <f>STATS1003B!V1347/1000</f>
        <v>1767.77</v>
      </c>
      <c r="W1346" s="85">
        <f>STATS1003B!W1347/1000</f>
        <v>0</v>
      </c>
      <c r="X1346" s="85">
        <f t="shared" si="160"/>
        <v>1767.77</v>
      </c>
      <c r="Y1346" s="85">
        <f>STATS1003B!Y1347/1000</f>
        <v>0</v>
      </c>
      <c r="Z1346" s="85">
        <f t="shared" si="155"/>
        <v>0</v>
      </c>
      <c r="AA1346" s="69">
        <f>STATS1003B!AA1347/1000</f>
        <v>1767.77</v>
      </c>
      <c r="AB1346" s="69">
        <f>STATS1003B!AB1347/1000</f>
        <v>0</v>
      </c>
    </row>
    <row r="1347" spans="1:28" hidden="1" x14ac:dyDescent="0.3">
      <c r="A1347" s="117"/>
      <c r="C1347" s="68" t="s">
        <v>557</v>
      </c>
      <c r="D1347" s="145" t="s">
        <v>54</v>
      </c>
      <c r="E1347" s="85">
        <f>STATS1003B!E1348/1000</f>
        <v>3130.45</v>
      </c>
      <c r="F1347" s="85">
        <f>STATS1003B!F1348/1000</f>
        <v>3130.45</v>
      </c>
      <c r="G1347" s="85">
        <f>STATS1003B!G1348/1000</f>
        <v>0</v>
      </c>
      <c r="H1347" s="85">
        <f>STATS1003B!H1348/1000</f>
        <v>3130.45</v>
      </c>
      <c r="I1347" s="85">
        <f>STATS1003B!I1348/1000</f>
        <v>0</v>
      </c>
      <c r="J1347" s="85">
        <f>STATS1003B!J1348/1000</f>
        <v>3130.45</v>
      </c>
      <c r="K1347" s="85">
        <f>STATS1003B!K1348/1000</f>
        <v>0</v>
      </c>
      <c r="L1347" s="85">
        <f>STATS1003B!L1348/1000</f>
        <v>0</v>
      </c>
      <c r="M1347" s="85">
        <f>STATS1003B!M1348/1000</f>
        <v>3130.45</v>
      </c>
      <c r="N1347" s="85">
        <f>STATS1003B!N1348/1000</f>
        <v>0</v>
      </c>
      <c r="O1347" s="85">
        <f>STATS1003B!O1348/1000</f>
        <v>0</v>
      </c>
      <c r="P1347" s="85">
        <f>STATS1003B!P1348/1000</f>
        <v>0</v>
      </c>
      <c r="Q1347" s="85">
        <f>STATS1003B!Q1348/1000</f>
        <v>3130.45</v>
      </c>
      <c r="R1347" s="85">
        <f>STATS1003B!R1348/1000</f>
        <v>0</v>
      </c>
      <c r="S1347" s="85">
        <f>STATS1003B!S1348/1000</f>
        <v>0</v>
      </c>
      <c r="T1347" s="85">
        <f>STATS1003B!T1348/1000</f>
        <v>0</v>
      </c>
      <c r="U1347" s="85">
        <f>STATS1003B!U1348/1000</f>
        <v>0</v>
      </c>
      <c r="V1347" s="85">
        <f>STATS1003B!V1348/1000</f>
        <v>3130.45</v>
      </c>
      <c r="W1347" s="85">
        <f>STATS1003B!W1348/1000</f>
        <v>0</v>
      </c>
      <c r="X1347" s="85">
        <f t="shared" si="160"/>
        <v>3130.45</v>
      </c>
      <c r="Y1347" s="85">
        <f>STATS1003B!Y1348/1000</f>
        <v>0</v>
      </c>
      <c r="Z1347" s="85">
        <f t="shared" si="155"/>
        <v>0</v>
      </c>
      <c r="AA1347" s="69">
        <f>STATS1003B!AA1348/1000</f>
        <v>3130.45</v>
      </c>
      <c r="AB1347" s="69">
        <f>STATS1003B!AB1348/1000</f>
        <v>0</v>
      </c>
    </row>
    <row r="1348" spans="1:28" hidden="1" x14ac:dyDescent="0.3">
      <c r="A1348" s="117"/>
      <c r="C1348" s="68" t="s">
        <v>704</v>
      </c>
      <c r="D1348" s="145" t="s">
        <v>54</v>
      </c>
      <c r="E1348" s="85">
        <f>STATS1003B!E1349/1000</f>
        <v>1500</v>
      </c>
      <c r="F1348" s="85">
        <f>STATS1003B!F1349/1000</f>
        <v>1500</v>
      </c>
      <c r="G1348" s="85">
        <f>STATS1003B!G1349/1000</f>
        <v>0</v>
      </c>
      <c r="H1348" s="85">
        <f>STATS1003B!H1349/1000</f>
        <v>1500</v>
      </c>
      <c r="I1348" s="85">
        <f>STATS1003B!I1349/1000</f>
        <v>0</v>
      </c>
      <c r="J1348" s="85">
        <f>STATS1003B!J1349/1000</f>
        <v>1500</v>
      </c>
      <c r="K1348" s="85">
        <f>STATS1003B!K1349/1000</f>
        <v>0</v>
      </c>
      <c r="L1348" s="85">
        <f>STATS1003B!L1349/1000</f>
        <v>0</v>
      </c>
      <c r="M1348" s="85">
        <f>STATS1003B!M1349/1000</f>
        <v>1500</v>
      </c>
      <c r="N1348" s="85">
        <f>STATS1003B!N1349/1000</f>
        <v>0</v>
      </c>
      <c r="O1348" s="85">
        <f>STATS1003B!O1349/1000</f>
        <v>0</v>
      </c>
      <c r="P1348" s="85">
        <f>STATS1003B!P1349/1000</f>
        <v>0</v>
      </c>
      <c r="Q1348" s="85">
        <f>STATS1003B!Q1349/1000</f>
        <v>1500</v>
      </c>
      <c r="R1348" s="85">
        <f>STATS1003B!R1349/1000</f>
        <v>0</v>
      </c>
      <c r="S1348" s="85">
        <f>STATS1003B!S1349/1000</f>
        <v>0</v>
      </c>
      <c r="T1348" s="85">
        <f>STATS1003B!T1349/1000</f>
        <v>0</v>
      </c>
      <c r="U1348" s="85">
        <f>STATS1003B!U1349/1000</f>
        <v>0</v>
      </c>
      <c r="V1348" s="85">
        <f>STATS1003B!V1349/1000</f>
        <v>1500</v>
      </c>
      <c r="W1348" s="85">
        <f>STATS1003B!W1349/1000</f>
        <v>0</v>
      </c>
      <c r="X1348" s="85">
        <f t="shared" si="160"/>
        <v>1500</v>
      </c>
      <c r="Y1348" s="85">
        <f>STATS1003B!Y1349/1000</f>
        <v>0</v>
      </c>
      <c r="Z1348" s="85">
        <f t="shared" si="155"/>
        <v>0</v>
      </c>
      <c r="AA1348" s="69">
        <f>STATS1003B!AA1349/1000</f>
        <v>1500</v>
      </c>
      <c r="AB1348" s="69">
        <f>STATS1003B!AB1349/1000</f>
        <v>0</v>
      </c>
    </row>
    <row r="1349" spans="1:28" hidden="1" x14ac:dyDescent="0.3">
      <c r="A1349" s="117"/>
      <c r="C1349" s="68" t="s">
        <v>713</v>
      </c>
      <c r="D1349" s="145" t="s">
        <v>54</v>
      </c>
      <c r="E1349" s="85">
        <f>STATS1003B!E1350/1000</f>
        <v>3028.6</v>
      </c>
      <c r="F1349" s="85">
        <f>STATS1003B!F1350/1000</f>
        <v>3028.6</v>
      </c>
      <c r="G1349" s="85">
        <f>STATS1003B!G1350/1000</f>
        <v>0</v>
      </c>
      <c r="H1349" s="85">
        <f>STATS1003B!H1350/1000</f>
        <v>3028.6</v>
      </c>
      <c r="I1349" s="85">
        <f>STATS1003B!I1350/1000</f>
        <v>0</v>
      </c>
      <c r="J1349" s="85">
        <f>STATS1003B!J1350/1000</f>
        <v>3028.6</v>
      </c>
      <c r="K1349" s="85">
        <f>STATS1003B!K1350/1000</f>
        <v>0</v>
      </c>
      <c r="L1349" s="85">
        <f>STATS1003B!L1350/1000</f>
        <v>0</v>
      </c>
      <c r="M1349" s="85">
        <f>STATS1003B!M1350/1000</f>
        <v>3028.6</v>
      </c>
      <c r="N1349" s="85">
        <f>STATS1003B!N1350/1000</f>
        <v>0</v>
      </c>
      <c r="O1349" s="85">
        <f>STATS1003B!O1350/1000</f>
        <v>0</v>
      </c>
      <c r="P1349" s="85">
        <f>STATS1003B!P1350/1000</f>
        <v>0</v>
      </c>
      <c r="Q1349" s="85">
        <f>STATS1003B!Q1350/1000</f>
        <v>3028.6</v>
      </c>
      <c r="R1349" s="85">
        <f>STATS1003B!R1350/1000</f>
        <v>0</v>
      </c>
      <c r="S1349" s="85">
        <f>STATS1003B!S1350/1000</f>
        <v>0</v>
      </c>
      <c r="T1349" s="85">
        <f>STATS1003B!T1350/1000</f>
        <v>0</v>
      </c>
      <c r="U1349" s="85">
        <f>STATS1003B!U1350/1000</f>
        <v>0</v>
      </c>
      <c r="V1349" s="85">
        <f>STATS1003B!V1350/1000</f>
        <v>3028.6</v>
      </c>
      <c r="W1349" s="85">
        <f>STATS1003B!W1350/1000</f>
        <v>0</v>
      </c>
      <c r="X1349" s="85">
        <f t="shared" si="160"/>
        <v>3028.6</v>
      </c>
      <c r="Y1349" s="85">
        <f>STATS1003B!Y1350/1000</f>
        <v>0</v>
      </c>
      <c r="Z1349" s="85">
        <f t="shared" si="155"/>
        <v>0</v>
      </c>
      <c r="AA1349" s="69">
        <f>STATS1003B!AA1350/1000</f>
        <v>3028.6</v>
      </c>
      <c r="AB1349" s="69">
        <f>STATS1003B!AB1350/1000</f>
        <v>0</v>
      </c>
    </row>
    <row r="1350" spans="1:28" hidden="1" x14ac:dyDescent="0.3">
      <c r="A1350" s="117"/>
      <c r="C1350" s="68" t="s">
        <v>696</v>
      </c>
      <c r="D1350" s="145" t="s">
        <v>54</v>
      </c>
      <c r="E1350" s="85">
        <f>STATS1003B!E1351/1000</f>
        <v>237.5</v>
      </c>
      <c r="F1350" s="85">
        <f>STATS1003B!F1351/1000</f>
        <v>228.73699999999999</v>
      </c>
      <c r="G1350" s="85">
        <f>STATS1003B!G1351/1000</f>
        <v>0</v>
      </c>
      <c r="H1350" s="85">
        <f>STATS1003B!H1351/1000</f>
        <v>228.73699999999999</v>
      </c>
      <c r="I1350" s="85">
        <f>STATS1003B!I1351/1000</f>
        <v>0</v>
      </c>
      <c r="J1350" s="85">
        <f>STATS1003B!J1351/1000</f>
        <v>228.73699999999999</v>
      </c>
      <c r="K1350" s="85">
        <f>STATS1003B!K1351/1000</f>
        <v>0</v>
      </c>
      <c r="L1350" s="85">
        <f>STATS1003B!L1351/1000</f>
        <v>0</v>
      </c>
      <c r="M1350" s="85">
        <f>STATS1003B!M1351/1000</f>
        <v>228.73699999999999</v>
      </c>
      <c r="N1350" s="85">
        <f>STATS1003B!N1351/1000</f>
        <v>0</v>
      </c>
      <c r="O1350" s="85">
        <f>STATS1003B!O1351/1000</f>
        <v>0</v>
      </c>
      <c r="P1350" s="85">
        <f>STATS1003B!P1351/1000</f>
        <v>0</v>
      </c>
      <c r="Q1350" s="85">
        <f>STATS1003B!Q1351/1000</f>
        <v>237.5</v>
      </c>
      <c r="R1350" s="85">
        <f>STATS1003B!R1351/1000</f>
        <v>0</v>
      </c>
      <c r="S1350" s="85">
        <f>STATS1003B!S1351/1000</f>
        <v>0</v>
      </c>
      <c r="T1350" s="85">
        <f>STATS1003B!T1351/1000</f>
        <v>0</v>
      </c>
      <c r="U1350" s="85">
        <f>STATS1003B!U1351/1000</f>
        <v>0</v>
      </c>
      <c r="V1350" s="85">
        <f>STATS1003B!V1351/1000</f>
        <v>228.73699999999999</v>
      </c>
      <c r="W1350" s="85">
        <f>STATS1003B!W1351/1000</f>
        <v>8.7629999999999999</v>
      </c>
      <c r="X1350" s="85">
        <f t="shared" si="160"/>
        <v>228.73699999999999</v>
      </c>
      <c r="Y1350" s="85">
        <f>STATS1003B!Y1351/1000</f>
        <v>0</v>
      </c>
      <c r="Z1350" s="85">
        <f t="shared" si="155"/>
        <v>8.7630000000000052</v>
      </c>
      <c r="AA1350" s="69">
        <f>STATS1003B!AA1351/1000</f>
        <v>228.73699999999999</v>
      </c>
      <c r="AB1350" s="69">
        <f>STATS1003B!AB1351/1000</f>
        <v>8.7629999999999999</v>
      </c>
    </row>
    <row r="1351" spans="1:28" hidden="1" x14ac:dyDescent="0.3">
      <c r="A1351" s="117"/>
      <c r="C1351" s="68" t="s">
        <v>714</v>
      </c>
      <c r="D1351" s="145" t="s">
        <v>85</v>
      </c>
      <c r="E1351" s="85">
        <f>STATS1003B!E1352/1000</f>
        <v>2400</v>
      </c>
      <c r="F1351" s="85">
        <f>STATS1003B!F1352/1000</f>
        <v>2138.377</v>
      </c>
      <c r="G1351" s="85">
        <f>STATS1003B!G1352/1000</f>
        <v>0</v>
      </c>
      <c r="H1351" s="85">
        <f>STATS1003B!H1352/1000</f>
        <v>2138.377</v>
      </c>
      <c r="I1351" s="85">
        <f>STATS1003B!I1352/1000</f>
        <v>0</v>
      </c>
      <c r="J1351" s="85">
        <f>STATS1003B!J1352/1000</f>
        <v>2138.377</v>
      </c>
      <c r="K1351" s="85">
        <f>STATS1003B!K1352/1000</f>
        <v>0</v>
      </c>
      <c r="L1351" s="85">
        <f>STATS1003B!L1352/1000</f>
        <v>0</v>
      </c>
      <c r="M1351" s="85">
        <f>STATS1003B!M1352/1000</f>
        <v>2138.377</v>
      </c>
      <c r="N1351" s="85">
        <f>STATS1003B!N1352/1000</f>
        <v>0</v>
      </c>
      <c r="O1351" s="85">
        <f>STATS1003B!O1352/1000</f>
        <v>0</v>
      </c>
      <c r="P1351" s="85">
        <f>STATS1003B!P1352/1000</f>
        <v>0</v>
      </c>
      <c r="Q1351" s="85">
        <f>STATS1003B!Q1352/1000</f>
        <v>2400</v>
      </c>
      <c r="R1351" s="85">
        <f>STATS1003B!R1352/1000</f>
        <v>0</v>
      </c>
      <c r="S1351" s="85">
        <f>STATS1003B!S1352/1000</f>
        <v>0</v>
      </c>
      <c r="T1351" s="85">
        <f>STATS1003B!T1352/1000</f>
        <v>0</v>
      </c>
      <c r="U1351" s="85">
        <f>STATS1003B!U1352/1000</f>
        <v>0</v>
      </c>
      <c r="V1351" s="85">
        <f>STATS1003B!V1352/1000</f>
        <v>2138.377</v>
      </c>
      <c r="W1351" s="85">
        <f>STATS1003B!W1352/1000</f>
        <v>261.62299999999999</v>
      </c>
      <c r="X1351" s="85">
        <f t="shared" si="160"/>
        <v>2138.377</v>
      </c>
      <c r="Y1351" s="85">
        <f>STATS1003B!Y1352/1000</f>
        <v>0</v>
      </c>
      <c r="Z1351" s="85">
        <f t="shared" si="155"/>
        <v>261.62300000000005</v>
      </c>
      <c r="AA1351" s="69">
        <f>STATS1003B!AA1352/1000</f>
        <v>2138.377</v>
      </c>
      <c r="AB1351" s="69">
        <f>STATS1003B!AB1352/1000</f>
        <v>261.62299999999999</v>
      </c>
    </row>
    <row r="1352" spans="1:28" hidden="1" x14ac:dyDescent="0.3">
      <c r="A1352" s="117"/>
      <c r="C1352" s="68" t="s">
        <v>671</v>
      </c>
      <c r="D1352" s="145" t="s">
        <v>85</v>
      </c>
      <c r="E1352" s="85">
        <f>STATS1003B!E1353/1000</f>
        <v>42</v>
      </c>
      <c r="F1352" s="85">
        <f>STATS1003B!F1353/1000</f>
        <v>0</v>
      </c>
      <c r="G1352" s="85">
        <f>STATS1003B!G1353/1000</f>
        <v>0</v>
      </c>
      <c r="H1352" s="85">
        <f>STATS1003B!H1353/1000</f>
        <v>0</v>
      </c>
      <c r="I1352" s="85">
        <f>STATS1003B!I1353/1000</f>
        <v>0</v>
      </c>
      <c r="J1352" s="85">
        <f>STATS1003B!J1353/1000</f>
        <v>0</v>
      </c>
      <c r="K1352" s="85">
        <f>STATS1003B!K1353/1000</f>
        <v>0</v>
      </c>
      <c r="L1352" s="85">
        <f>STATS1003B!L1353/1000</f>
        <v>0</v>
      </c>
      <c r="M1352" s="85">
        <f>STATS1003B!M1353/1000</f>
        <v>0</v>
      </c>
      <c r="N1352" s="85">
        <f>STATS1003B!N1353/1000</f>
        <v>0</v>
      </c>
      <c r="O1352" s="85">
        <f>STATS1003B!O1353/1000</f>
        <v>0</v>
      </c>
      <c r="P1352" s="85">
        <f>STATS1003B!P1353/1000</f>
        <v>0</v>
      </c>
      <c r="Q1352" s="85">
        <f>STATS1003B!Q1353/1000</f>
        <v>42</v>
      </c>
      <c r="R1352" s="85">
        <f>STATS1003B!R1353/1000</f>
        <v>0</v>
      </c>
      <c r="S1352" s="85">
        <f>STATS1003B!S1353/1000</f>
        <v>0</v>
      </c>
      <c r="T1352" s="85">
        <f>STATS1003B!T1353/1000</f>
        <v>0</v>
      </c>
      <c r="U1352" s="85">
        <f>STATS1003B!U1353/1000</f>
        <v>0</v>
      </c>
      <c r="V1352" s="85">
        <f>STATS1003B!V1353/1000</f>
        <v>0</v>
      </c>
      <c r="W1352" s="85">
        <f>STATS1003B!W1353/1000</f>
        <v>42</v>
      </c>
      <c r="X1352" s="85">
        <f t="shared" si="160"/>
        <v>0</v>
      </c>
      <c r="Y1352" s="85">
        <f>STATS1003B!Y1353/1000</f>
        <v>0</v>
      </c>
      <c r="Z1352" s="85">
        <f t="shared" si="155"/>
        <v>42</v>
      </c>
      <c r="AA1352" s="69">
        <f>STATS1003B!AA1353/1000</f>
        <v>0</v>
      </c>
      <c r="AB1352" s="69">
        <f>STATS1003B!AB1353/1000</f>
        <v>42</v>
      </c>
    </row>
    <row r="1353" spans="1:28" hidden="1" x14ac:dyDescent="0.3">
      <c r="A1353" s="117"/>
      <c r="C1353" s="68" t="s">
        <v>535</v>
      </c>
      <c r="D1353" s="145" t="s">
        <v>88</v>
      </c>
      <c r="E1353" s="85">
        <f>STATS1003B!E1354/1000</f>
        <v>4135.5083700000005</v>
      </c>
      <c r="F1353" s="85">
        <f>STATS1003B!F1354/1000</f>
        <v>4135.5083700000005</v>
      </c>
      <c r="G1353" s="85">
        <f>STATS1003B!G1354/1000</f>
        <v>0</v>
      </c>
      <c r="H1353" s="85">
        <f>STATS1003B!H1354/1000</f>
        <v>4135.5083700000005</v>
      </c>
      <c r="I1353" s="85">
        <f>STATS1003B!I1354/1000</f>
        <v>0</v>
      </c>
      <c r="J1353" s="85">
        <f>STATS1003B!J1354/1000</f>
        <v>4135.5083700000005</v>
      </c>
      <c r="K1353" s="85">
        <f>STATS1003B!K1354/1000</f>
        <v>0</v>
      </c>
      <c r="L1353" s="85">
        <f>STATS1003B!L1354/1000</f>
        <v>0</v>
      </c>
      <c r="M1353" s="85">
        <f>STATS1003B!M1354/1000</f>
        <v>4135.5083700000005</v>
      </c>
      <c r="N1353" s="85">
        <f>STATS1003B!N1354/1000</f>
        <v>0</v>
      </c>
      <c r="O1353" s="85">
        <f>STATS1003B!O1354/1000</f>
        <v>0</v>
      </c>
      <c r="P1353" s="85">
        <f>STATS1003B!P1354/1000</f>
        <v>0</v>
      </c>
      <c r="Q1353" s="85">
        <f>STATS1003B!Q1354/1000</f>
        <v>4135.5083700000005</v>
      </c>
      <c r="R1353" s="85">
        <f>STATS1003B!R1354/1000</f>
        <v>0</v>
      </c>
      <c r="S1353" s="85">
        <f>STATS1003B!S1354/1000</f>
        <v>0</v>
      </c>
      <c r="T1353" s="85">
        <f>STATS1003B!T1354/1000</f>
        <v>0</v>
      </c>
      <c r="U1353" s="85">
        <f>STATS1003B!U1354/1000</f>
        <v>0</v>
      </c>
      <c r="V1353" s="85">
        <f>STATS1003B!V1354/1000</f>
        <v>4135.5083700000005</v>
      </c>
      <c r="W1353" s="85">
        <f>STATS1003B!W1354/1000</f>
        <v>0</v>
      </c>
      <c r="X1353" s="85">
        <f t="shared" si="160"/>
        <v>4135.5083700000005</v>
      </c>
      <c r="Y1353" s="85">
        <f>STATS1003B!Y1354/1000</f>
        <v>0</v>
      </c>
      <c r="Z1353" s="85">
        <f t="shared" si="155"/>
        <v>0</v>
      </c>
      <c r="AA1353" s="69">
        <f>STATS1003B!AA1354/1000</f>
        <v>4135.5083700000005</v>
      </c>
      <c r="AB1353" s="69">
        <f>STATS1003B!AB1354/1000</f>
        <v>0</v>
      </c>
    </row>
    <row r="1354" spans="1:28" hidden="1" x14ac:dyDescent="0.3">
      <c r="A1354" s="117"/>
      <c r="C1354" s="68" t="s">
        <v>715</v>
      </c>
      <c r="D1354" s="145" t="s">
        <v>108</v>
      </c>
      <c r="E1354" s="85">
        <f>STATS1003B!E1355/1000</f>
        <v>2208.0883100000001</v>
      </c>
      <c r="F1354" s="85">
        <f>STATS1003B!F1355/1000</f>
        <v>2208.0883100000001</v>
      </c>
      <c r="G1354" s="85">
        <f>STATS1003B!G1355/1000</f>
        <v>0</v>
      </c>
      <c r="H1354" s="85">
        <f>STATS1003B!H1355/1000</f>
        <v>2208.0883100000001</v>
      </c>
      <c r="I1354" s="85">
        <f>STATS1003B!I1355/1000</f>
        <v>0</v>
      </c>
      <c r="J1354" s="85">
        <f>STATS1003B!J1355/1000</f>
        <v>2208.0883100000001</v>
      </c>
      <c r="K1354" s="85">
        <f>STATS1003B!K1355/1000</f>
        <v>0</v>
      </c>
      <c r="L1354" s="85">
        <f>STATS1003B!L1355/1000</f>
        <v>0</v>
      </c>
      <c r="M1354" s="85">
        <f>STATS1003B!M1355/1000</f>
        <v>2208.0883100000001</v>
      </c>
      <c r="N1354" s="85">
        <f>STATS1003B!N1355/1000</f>
        <v>0</v>
      </c>
      <c r="O1354" s="85">
        <f>STATS1003B!O1355/1000</f>
        <v>0</v>
      </c>
      <c r="P1354" s="85">
        <f>STATS1003B!P1355/1000</f>
        <v>0</v>
      </c>
      <c r="Q1354" s="85">
        <f>STATS1003B!Q1355/1000</f>
        <v>2208.0883100000001</v>
      </c>
      <c r="R1354" s="85">
        <f>STATS1003B!R1355/1000</f>
        <v>0</v>
      </c>
      <c r="S1354" s="85">
        <f>STATS1003B!S1355/1000</f>
        <v>0</v>
      </c>
      <c r="T1354" s="85">
        <f>STATS1003B!T1355/1000</f>
        <v>0</v>
      </c>
      <c r="U1354" s="85">
        <f>STATS1003B!U1355/1000</f>
        <v>0</v>
      </c>
      <c r="V1354" s="85">
        <f>STATS1003B!V1355/1000</f>
        <v>2208.0883100000001</v>
      </c>
      <c r="W1354" s="85">
        <f>STATS1003B!W1355/1000</f>
        <v>0</v>
      </c>
      <c r="X1354" s="85">
        <f t="shared" si="160"/>
        <v>2208.0883100000001</v>
      </c>
      <c r="Y1354" s="85">
        <f>STATS1003B!Y1355/1000</f>
        <v>0</v>
      </c>
      <c r="Z1354" s="85">
        <f t="shared" si="155"/>
        <v>0</v>
      </c>
      <c r="AA1354" s="69">
        <f>STATS1003B!AA1355/1000</f>
        <v>2208.0883100000001</v>
      </c>
      <c r="AB1354" s="69">
        <f>STATS1003B!AB1355/1000</f>
        <v>0</v>
      </c>
    </row>
    <row r="1355" spans="1:28" hidden="1" x14ac:dyDescent="0.3">
      <c r="A1355" s="117"/>
      <c r="C1355" s="68" t="s">
        <v>715</v>
      </c>
      <c r="D1355" s="145" t="s">
        <v>58</v>
      </c>
      <c r="E1355" s="85">
        <f>STATS1003B!E1356/1000</f>
        <v>1944.431</v>
      </c>
      <c r="F1355" s="85">
        <f>STATS1003B!F1356/1000</f>
        <v>1944.431</v>
      </c>
      <c r="G1355" s="85">
        <f>STATS1003B!G1356/1000</f>
        <v>0</v>
      </c>
      <c r="H1355" s="85">
        <f>STATS1003B!H1356/1000</f>
        <v>1944.431</v>
      </c>
      <c r="I1355" s="85">
        <f>STATS1003B!I1356/1000</f>
        <v>0</v>
      </c>
      <c r="J1355" s="85">
        <f>STATS1003B!J1356/1000</f>
        <v>1944.431</v>
      </c>
      <c r="K1355" s="85">
        <f>STATS1003B!K1356/1000</f>
        <v>0</v>
      </c>
      <c r="L1355" s="85">
        <f>STATS1003B!L1356/1000</f>
        <v>0</v>
      </c>
      <c r="M1355" s="85">
        <f>STATS1003B!M1356/1000</f>
        <v>1944.431</v>
      </c>
      <c r="N1355" s="85">
        <f>STATS1003B!N1356/1000</f>
        <v>0</v>
      </c>
      <c r="O1355" s="85">
        <f>STATS1003B!O1356/1000</f>
        <v>0</v>
      </c>
      <c r="P1355" s="85">
        <f>STATS1003B!P1356/1000</f>
        <v>0</v>
      </c>
      <c r="Q1355" s="85">
        <f>STATS1003B!Q1356/1000</f>
        <v>1944.431</v>
      </c>
      <c r="R1355" s="85">
        <f>STATS1003B!R1356/1000</f>
        <v>0</v>
      </c>
      <c r="S1355" s="85">
        <f>STATS1003B!S1356/1000</f>
        <v>0</v>
      </c>
      <c r="T1355" s="85">
        <f>STATS1003B!T1356/1000</f>
        <v>0</v>
      </c>
      <c r="U1355" s="85">
        <f>STATS1003B!U1356/1000</f>
        <v>0</v>
      </c>
      <c r="V1355" s="85">
        <f>STATS1003B!V1356/1000</f>
        <v>1944.431</v>
      </c>
      <c r="W1355" s="85">
        <f>STATS1003B!W1356/1000</f>
        <v>0</v>
      </c>
      <c r="X1355" s="85">
        <f t="shared" si="160"/>
        <v>1944.431</v>
      </c>
      <c r="Y1355" s="85">
        <f>STATS1003B!Y1356/1000</f>
        <v>0</v>
      </c>
      <c r="Z1355" s="85">
        <f t="shared" si="155"/>
        <v>0</v>
      </c>
      <c r="AA1355" s="69">
        <f>STATS1003B!AA1356/1000</f>
        <v>1944.431</v>
      </c>
      <c r="AB1355" s="69">
        <f>STATS1003B!AB1356/1000</f>
        <v>0</v>
      </c>
    </row>
    <row r="1356" spans="1:28" hidden="1" x14ac:dyDescent="0.3">
      <c r="A1356" s="117"/>
      <c r="C1356" s="68" t="s">
        <v>535</v>
      </c>
      <c r="D1356" s="145" t="s">
        <v>58</v>
      </c>
      <c r="E1356" s="85">
        <f>STATS1003B!E1357/1000</f>
        <v>6615.8820199999991</v>
      </c>
      <c r="F1356" s="85">
        <f>STATS1003B!F1357/1000</f>
        <v>6615.8820199999991</v>
      </c>
      <c r="G1356" s="85">
        <f>STATS1003B!G1357/1000</f>
        <v>0</v>
      </c>
      <c r="H1356" s="85">
        <f>STATS1003B!H1357/1000</f>
        <v>6615.8820199999991</v>
      </c>
      <c r="I1356" s="85">
        <f>STATS1003B!I1357/1000</f>
        <v>0</v>
      </c>
      <c r="J1356" s="85">
        <f>STATS1003B!J1357/1000</f>
        <v>6615.8820199999991</v>
      </c>
      <c r="K1356" s="85">
        <f>STATS1003B!K1357/1000</f>
        <v>0</v>
      </c>
      <c r="L1356" s="85">
        <f>STATS1003B!L1357/1000</f>
        <v>0</v>
      </c>
      <c r="M1356" s="85">
        <f>STATS1003B!M1357/1000</f>
        <v>6615.8820199999991</v>
      </c>
      <c r="N1356" s="85">
        <f>STATS1003B!N1357/1000</f>
        <v>0</v>
      </c>
      <c r="O1356" s="85">
        <f>STATS1003B!O1357/1000</f>
        <v>0</v>
      </c>
      <c r="P1356" s="85">
        <f>STATS1003B!P1357/1000</f>
        <v>0</v>
      </c>
      <c r="Q1356" s="85">
        <f>STATS1003B!Q1357/1000</f>
        <v>6615.8820199999991</v>
      </c>
      <c r="R1356" s="85">
        <f>STATS1003B!R1357/1000</f>
        <v>0</v>
      </c>
      <c r="S1356" s="85">
        <f>STATS1003B!S1357/1000</f>
        <v>0</v>
      </c>
      <c r="T1356" s="85">
        <f>STATS1003B!T1357/1000</f>
        <v>0</v>
      </c>
      <c r="U1356" s="85">
        <f>STATS1003B!U1357/1000</f>
        <v>0</v>
      </c>
      <c r="V1356" s="85">
        <f>STATS1003B!V1357/1000</f>
        <v>6615.8820199999991</v>
      </c>
      <c r="W1356" s="85">
        <f>STATS1003B!W1357/1000</f>
        <v>0</v>
      </c>
      <c r="X1356" s="85">
        <f t="shared" si="160"/>
        <v>6615.8820199999991</v>
      </c>
      <c r="Y1356" s="85">
        <f>STATS1003B!Y1357/1000</f>
        <v>0</v>
      </c>
      <c r="Z1356" s="85">
        <f t="shared" si="155"/>
        <v>0</v>
      </c>
      <c r="AA1356" s="69">
        <f>STATS1003B!AA1357/1000</f>
        <v>6615.8820199999991</v>
      </c>
      <c r="AB1356" s="69">
        <f>STATS1003B!AB1357/1000</f>
        <v>0</v>
      </c>
    </row>
    <row r="1357" spans="1:28" hidden="1" x14ac:dyDescent="0.3">
      <c r="A1357" s="117"/>
      <c r="C1357" s="68" t="s">
        <v>535</v>
      </c>
      <c r="D1357" s="145" t="s">
        <v>60</v>
      </c>
      <c r="E1357" s="85">
        <f>STATS1003B!E1358/1000</f>
        <v>4722.8402300000007</v>
      </c>
      <c r="F1357" s="85">
        <f>STATS1003B!F1358/1000</f>
        <v>4722.8402300000007</v>
      </c>
      <c r="G1357" s="85">
        <f>STATS1003B!G1358/1000</f>
        <v>0</v>
      </c>
      <c r="H1357" s="85">
        <f>STATS1003B!H1358/1000</f>
        <v>4722.8402300000007</v>
      </c>
      <c r="I1357" s="85">
        <f>STATS1003B!I1358/1000</f>
        <v>0</v>
      </c>
      <c r="J1357" s="85">
        <f>STATS1003B!J1358/1000</f>
        <v>4722.8402300000007</v>
      </c>
      <c r="K1357" s="85">
        <f>STATS1003B!K1358/1000</f>
        <v>0</v>
      </c>
      <c r="L1357" s="85">
        <f>STATS1003B!L1358/1000</f>
        <v>0</v>
      </c>
      <c r="M1357" s="85">
        <f>STATS1003B!M1358/1000</f>
        <v>4722.8402300000007</v>
      </c>
      <c r="N1357" s="85">
        <f>STATS1003B!N1358/1000</f>
        <v>0</v>
      </c>
      <c r="O1357" s="85">
        <f>STATS1003B!O1358/1000</f>
        <v>0</v>
      </c>
      <c r="P1357" s="85">
        <f>STATS1003B!P1358/1000</f>
        <v>0</v>
      </c>
      <c r="Q1357" s="85">
        <f>STATS1003B!Q1358/1000</f>
        <v>4722.8402300000007</v>
      </c>
      <c r="R1357" s="85">
        <f>STATS1003B!R1358/1000</f>
        <v>0</v>
      </c>
      <c r="S1357" s="85">
        <f>STATS1003B!S1358/1000</f>
        <v>0</v>
      </c>
      <c r="T1357" s="85">
        <f>STATS1003B!T1358/1000</f>
        <v>0</v>
      </c>
      <c r="U1357" s="85">
        <f>STATS1003B!U1358/1000</f>
        <v>0</v>
      </c>
      <c r="V1357" s="85">
        <f>STATS1003B!V1358/1000</f>
        <v>4722.8402300000007</v>
      </c>
      <c r="W1357" s="85">
        <f>STATS1003B!W1358/1000</f>
        <v>0</v>
      </c>
      <c r="X1357" s="85">
        <f t="shared" si="160"/>
        <v>4722.8402300000007</v>
      </c>
      <c r="Y1357" s="85">
        <f>STATS1003B!Y1358/1000</f>
        <v>0</v>
      </c>
      <c r="Z1357" s="85">
        <f t="shared" si="155"/>
        <v>0</v>
      </c>
      <c r="AA1357" s="69">
        <f>STATS1003B!AA1358/1000</f>
        <v>4722.8402300000007</v>
      </c>
      <c r="AB1357" s="69">
        <f>STATS1003B!AB1358/1000</f>
        <v>0</v>
      </c>
    </row>
    <row r="1358" spans="1:28" hidden="1" x14ac:dyDescent="0.3">
      <c r="A1358" s="117"/>
      <c r="C1358" s="68" t="s">
        <v>716</v>
      </c>
      <c r="D1358" s="88" t="s">
        <v>60</v>
      </c>
      <c r="E1358" s="85">
        <f>STATS1003B!E1359/1000</f>
        <v>212.17500000000001</v>
      </c>
      <c r="F1358" s="85">
        <f>STATS1003B!F1359/1000</f>
        <v>212.17500000000001</v>
      </c>
      <c r="G1358" s="85">
        <f>STATS1003B!G1359/1000</f>
        <v>0</v>
      </c>
      <c r="H1358" s="85">
        <f>STATS1003B!H1359/1000</f>
        <v>212.17500000000001</v>
      </c>
      <c r="I1358" s="85">
        <f>STATS1003B!I1359/1000</f>
        <v>0</v>
      </c>
      <c r="J1358" s="85">
        <f>STATS1003B!J1359/1000</f>
        <v>212.17500000000001</v>
      </c>
      <c r="K1358" s="85">
        <f>STATS1003B!K1359/1000</f>
        <v>0</v>
      </c>
      <c r="L1358" s="85">
        <f>STATS1003B!L1359/1000</f>
        <v>0</v>
      </c>
      <c r="M1358" s="85">
        <f>STATS1003B!M1359/1000</f>
        <v>212.17500000000001</v>
      </c>
      <c r="N1358" s="85">
        <f>STATS1003B!N1359/1000</f>
        <v>0</v>
      </c>
      <c r="O1358" s="85">
        <f>STATS1003B!O1359/1000</f>
        <v>0</v>
      </c>
      <c r="P1358" s="85">
        <f>STATS1003B!P1359/1000</f>
        <v>0</v>
      </c>
      <c r="Q1358" s="85">
        <f>STATS1003B!Q1359/1000</f>
        <v>212.17500000000001</v>
      </c>
      <c r="R1358" s="85">
        <f>STATS1003B!R1359/1000</f>
        <v>0</v>
      </c>
      <c r="S1358" s="85">
        <f>STATS1003B!S1359/1000</f>
        <v>0</v>
      </c>
      <c r="T1358" s="85">
        <f>STATS1003B!T1359/1000</f>
        <v>0</v>
      </c>
      <c r="U1358" s="85">
        <f>STATS1003B!U1359/1000</f>
        <v>0</v>
      </c>
      <c r="V1358" s="85">
        <f>STATS1003B!V1359/1000</f>
        <v>212.17500000000001</v>
      </c>
      <c r="W1358" s="85">
        <f>STATS1003B!W1359/1000</f>
        <v>0</v>
      </c>
      <c r="X1358" s="85">
        <f t="shared" si="160"/>
        <v>212.17500000000001</v>
      </c>
      <c r="Y1358" s="85">
        <f>STATS1003B!Y1359/1000</f>
        <v>0</v>
      </c>
      <c r="Z1358" s="85">
        <f t="shared" si="155"/>
        <v>0</v>
      </c>
      <c r="AA1358" s="69">
        <f>STATS1003B!AA1359/1000</f>
        <v>212.17500000000001</v>
      </c>
      <c r="AB1358" s="69">
        <f>STATS1003B!AB1359/1000</f>
        <v>0</v>
      </c>
    </row>
    <row r="1359" spans="1:28" hidden="1" x14ac:dyDescent="0.3">
      <c r="A1359" s="117"/>
      <c r="C1359" s="68" t="s">
        <v>535</v>
      </c>
      <c r="D1359" s="88" t="s">
        <v>73</v>
      </c>
      <c r="E1359" s="85">
        <f>STATS1003B!E1360/1000</f>
        <v>4471.3280000000004</v>
      </c>
      <c r="F1359" s="85">
        <f>STATS1003B!F1360/1000</f>
        <v>4471.3280000000004</v>
      </c>
      <c r="G1359" s="85">
        <f>STATS1003B!G1360/1000</f>
        <v>0</v>
      </c>
      <c r="H1359" s="85">
        <f>STATS1003B!H1360/1000</f>
        <v>4471.3280000000004</v>
      </c>
      <c r="I1359" s="85">
        <f>STATS1003B!I1360/1000</f>
        <v>0</v>
      </c>
      <c r="J1359" s="85">
        <f>STATS1003B!J1360/1000</f>
        <v>4471.3280000000004</v>
      </c>
      <c r="K1359" s="85">
        <f>STATS1003B!K1360/1000</f>
        <v>0</v>
      </c>
      <c r="L1359" s="85">
        <f>STATS1003B!L1360/1000</f>
        <v>0</v>
      </c>
      <c r="M1359" s="85">
        <f>STATS1003B!M1360/1000</f>
        <v>4471.3280000000004</v>
      </c>
      <c r="N1359" s="85">
        <f>STATS1003B!N1360/1000</f>
        <v>0</v>
      </c>
      <c r="O1359" s="85">
        <f>STATS1003B!O1360/1000</f>
        <v>0</v>
      </c>
      <c r="P1359" s="85">
        <f>STATS1003B!P1360/1000</f>
        <v>0</v>
      </c>
      <c r="Q1359" s="85">
        <f>STATS1003B!Q1360/1000</f>
        <v>4471.3280000000004</v>
      </c>
      <c r="R1359" s="85">
        <f>STATS1003B!R1360/1000</f>
        <v>0</v>
      </c>
      <c r="S1359" s="85">
        <f>STATS1003B!S1360/1000</f>
        <v>0</v>
      </c>
      <c r="T1359" s="85">
        <f>STATS1003B!T1360/1000</f>
        <v>0</v>
      </c>
      <c r="U1359" s="85">
        <f>STATS1003B!U1360/1000</f>
        <v>0</v>
      </c>
      <c r="V1359" s="85">
        <f>STATS1003B!V1360/1000</f>
        <v>4471.3280000000004</v>
      </c>
      <c r="W1359" s="85">
        <f>STATS1003B!W1360/1000</f>
        <v>0</v>
      </c>
      <c r="X1359" s="85">
        <f t="shared" si="160"/>
        <v>4471.3280000000004</v>
      </c>
      <c r="Y1359" s="85">
        <f>STATS1003B!Y1360/1000</f>
        <v>0</v>
      </c>
      <c r="Z1359" s="85">
        <f t="shared" si="155"/>
        <v>0</v>
      </c>
      <c r="AA1359" s="69">
        <f>STATS1003B!AA1360/1000</f>
        <v>4471.3280000000004</v>
      </c>
      <c r="AB1359" s="69">
        <f>STATS1003B!AB1360/1000</f>
        <v>0</v>
      </c>
    </row>
    <row r="1360" spans="1:28" hidden="1" x14ac:dyDescent="0.3">
      <c r="A1360" s="117"/>
      <c r="C1360" s="68" t="s">
        <v>535</v>
      </c>
      <c r="D1360" s="88" t="s">
        <v>61</v>
      </c>
      <c r="E1360" s="85">
        <f>STATS1003B!E1361/1000</f>
        <v>3552.71677</v>
      </c>
      <c r="F1360" s="85">
        <f>STATS1003B!F1361/1000</f>
        <v>3552.71677</v>
      </c>
      <c r="G1360" s="85">
        <f>STATS1003B!G1361/1000</f>
        <v>0</v>
      </c>
      <c r="H1360" s="85">
        <f>STATS1003B!H1361/1000</f>
        <v>3552.71677</v>
      </c>
      <c r="I1360" s="85">
        <f>STATS1003B!I1361/1000</f>
        <v>0</v>
      </c>
      <c r="J1360" s="85">
        <f>STATS1003B!J1361/1000</f>
        <v>3552.71677</v>
      </c>
      <c r="K1360" s="85">
        <f>STATS1003B!K1361/1000</f>
        <v>0</v>
      </c>
      <c r="L1360" s="85">
        <f>STATS1003B!L1361/1000</f>
        <v>0</v>
      </c>
      <c r="M1360" s="85">
        <f>STATS1003B!M1361/1000</f>
        <v>3552.71677</v>
      </c>
      <c r="N1360" s="85">
        <f>STATS1003B!N1361/1000</f>
        <v>0</v>
      </c>
      <c r="O1360" s="85">
        <f>STATS1003B!O1361/1000</f>
        <v>0</v>
      </c>
      <c r="P1360" s="85">
        <f>STATS1003B!P1361/1000</f>
        <v>0</v>
      </c>
      <c r="Q1360" s="85">
        <f>STATS1003B!Q1361/1000</f>
        <v>3552.71677</v>
      </c>
      <c r="R1360" s="85">
        <f>STATS1003B!R1361/1000</f>
        <v>0</v>
      </c>
      <c r="S1360" s="85">
        <f>STATS1003B!S1361/1000</f>
        <v>0</v>
      </c>
      <c r="T1360" s="85">
        <f>STATS1003B!T1361/1000</f>
        <v>0</v>
      </c>
      <c r="U1360" s="85">
        <f>STATS1003B!U1361/1000</f>
        <v>0</v>
      </c>
      <c r="V1360" s="85">
        <f>STATS1003B!V1361/1000</f>
        <v>3552.71677</v>
      </c>
      <c r="W1360" s="85">
        <f>STATS1003B!W1361/1000</f>
        <v>0</v>
      </c>
      <c r="X1360" s="85">
        <f t="shared" si="160"/>
        <v>3552.71677</v>
      </c>
      <c r="Y1360" s="85">
        <f>STATS1003B!Y1361/1000</f>
        <v>0</v>
      </c>
      <c r="Z1360" s="85">
        <f t="shared" si="155"/>
        <v>0</v>
      </c>
      <c r="AA1360" s="69">
        <f>STATS1003B!AA1361/1000</f>
        <v>3552.71677</v>
      </c>
      <c r="AB1360" s="69">
        <f>STATS1003B!AB1361/1000</f>
        <v>0</v>
      </c>
    </row>
    <row r="1361" spans="1:28" hidden="1" x14ac:dyDescent="0.3">
      <c r="A1361" s="117"/>
      <c r="C1361" s="68" t="s">
        <v>1178</v>
      </c>
      <c r="D1361" s="89" t="s">
        <v>1126</v>
      </c>
      <c r="E1361" s="85">
        <f>STATS1003B!E1362/1000</f>
        <v>500</v>
      </c>
      <c r="F1361" s="85">
        <f>STATS1003B!F1362/1000</f>
        <v>500</v>
      </c>
      <c r="G1361" s="85">
        <f>STATS1003B!G1362/1000</f>
        <v>0</v>
      </c>
      <c r="H1361" s="85">
        <f>STATS1003B!H1362/1000</f>
        <v>500</v>
      </c>
      <c r="I1361" s="85">
        <f>STATS1003B!I1362/1000</f>
        <v>0</v>
      </c>
      <c r="J1361" s="85">
        <f>STATS1003B!J1362/1000</f>
        <v>500</v>
      </c>
      <c r="K1361" s="85">
        <f>STATS1003B!K1362/1000</f>
        <v>0</v>
      </c>
      <c r="L1361" s="85">
        <f>STATS1003B!L1362/1000</f>
        <v>0</v>
      </c>
      <c r="M1361" s="85">
        <f>STATS1003B!M1362/1000</f>
        <v>500</v>
      </c>
      <c r="N1361" s="85">
        <f>STATS1003B!N1362/1000</f>
        <v>0</v>
      </c>
      <c r="O1361" s="85">
        <f>STATS1003B!O1362/1000</f>
        <v>0</v>
      </c>
      <c r="P1361" s="85">
        <f>STATS1003B!P1362/1000</f>
        <v>0</v>
      </c>
      <c r="Q1361" s="85">
        <f>STATS1003B!Q1362/1000</f>
        <v>0</v>
      </c>
      <c r="R1361" s="85">
        <f>STATS1003B!R1362/1000</f>
        <v>0</v>
      </c>
      <c r="S1361" s="85">
        <f>STATS1003B!S1362/1000</f>
        <v>0</v>
      </c>
      <c r="T1361" s="85">
        <f>STATS1003B!T1362/1000</f>
        <v>0</v>
      </c>
      <c r="U1361" s="85">
        <f>STATS1003B!U1362/1000</f>
        <v>0</v>
      </c>
      <c r="V1361" s="85">
        <f>STATS1003B!V1362/1000</f>
        <v>500</v>
      </c>
      <c r="W1361" s="85">
        <f>STATS1003B!W1362/1000</f>
        <v>0</v>
      </c>
      <c r="X1361" s="85">
        <f t="shared" si="160"/>
        <v>500</v>
      </c>
      <c r="Y1361" s="85">
        <f>STATS1003B!Y1362/1000</f>
        <v>0</v>
      </c>
      <c r="Z1361" s="85">
        <f t="shared" si="155"/>
        <v>0</v>
      </c>
      <c r="AA1361" s="69">
        <f>STATS1003B!AA1362/1000</f>
        <v>500</v>
      </c>
      <c r="AB1361" s="69">
        <f>STATS1003B!AB1362/1000</f>
        <v>0</v>
      </c>
    </row>
    <row r="1362" spans="1:28" hidden="1" x14ac:dyDescent="0.3">
      <c r="A1362" s="117"/>
      <c r="C1362" s="68" t="s">
        <v>1180</v>
      </c>
      <c r="D1362" s="89" t="s">
        <v>1126</v>
      </c>
      <c r="E1362" s="85">
        <f>STATS1003B!E1363/1000</f>
        <v>283.38198999999997</v>
      </c>
      <c r="F1362" s="85">
        <f>STATS1003B!F1363/1000</f>
        <v>283.38198999999997</v>
      </c>
      <c r="G1362" s="85">
        <f>STATS1003B!G1363/1000</f>
        <v>0</v>
      </c>
      <c r="H1362" s="85">
        <f>STATS1003B!H1363/1000</f>
        <v>283.38198999999997</v>
      </c>
      <c r="I1362" s="85">
        <f>STATS1003B!I1363/1000</f>
        <v>0</v>
      </c>
      <c r="J1362" s="85">
        <f>STATS1003B!J1363/1000</f>
        <v>283.38198999999997</v>
      </c>
      <c r="K1362" s="85">
        <f>STATS1003B!K1363/1000</f>
        <v>0</v>
      </c>
      <c r="L1362" s="85">
        <f>STATS1003B!L1363/1000</f>
        <v>0</v>
      </c>
      <c r="M1362" s="85">
        <f>STATS1003B!M1363/1000</f>
        <v>283.38198999999997</v>
      </c>
      <c r="N1362" s="85">
        <f>STATS1003B!N1363/1000</f>
        <v>0</v>
      </c>
      <c r="O1362" s="85">
        <f>STATS1003B!O1363/1000</f>
        <v>0</v>
      </c>
      <c r="P1362" s="85">
        <f>STATS1003B!P1363/1000</f>
        <v>0</v>
      </c>
      <c r="Q1362" s="85">
        <f>STATS1003B!Q1363/1000</f>
        <v>0</v>
      </c>
      <c r="R1362" s="85">
        <f>STATS1003B!R1363/1000</f>
        <v>0</v>
      </c>
      <c r="S1362" s="85">
        <f>STATS1003B!S1363/1000</f>
        <v>0</v>
      </c>
      <c r="T1362" s="85">
        <f>STATS1003B!T1363/1000</f>
        <v>0</v>
      </c>
      <c r="U1362" s="85">
        <f>STATS1003B!U1363/1000</f>
        <v>0</v>
      </c>
      <c r="V1362" s="85">
        <f>STATS1003B!V1363/1000</f>
        <v>283.38198999999997</v>
      </c>
      <c r="W1362" s="85">
        <f>STATS1003B!W1363/1000</f>
        <v>0</v>
      </c>
      <c r="X1362" s="85">
        <f t="shared" si="160"/>
        <v>283.38198999999997</v>
      </c>
      <c r="Y1362" s="85">
        <f>STATS1003B!Y1363/1000</f>
        <v>0</v>
      </c>
      <c r="Z1362" s="85">
        <f t="shared" si="155"/>
        <v>0</v>
      </c>
      <c r="AA1362" s="69">
        <f>STATS1003B!AA1363/1000</f>
        <v>283.38198999999997</v>
      </c>
      <c r="AB1362" s="69">
        <f>STATS1003B!AB1363/1000</f>
        <v>0</v>
      </c>
    </row>
    <row r="1363" spans="1:28" hidden="1" x14ac:dyDescent="0.3">
      <c r="A1363" s="117"/>
      <c r="C1363" s="68" t="s">
        <v>933</v>
      </c>
      <c r="D1363" s="89" t="s">
        <v>1072</v>
      </c>
      <c r="E1363" s="85">
        <f>STATS1003B!E1364/1000</f>
        <v>982.35659999999996</v>
      </c>
      <c r="F1363" s="85">
        <f>STATS1003B!F1364/1000</f>
        <v>982.35659999999996</v>
      </c>
      <c r="G1363" s="85">
        <f>STATS1003B!G1364/1000</f>
        <v>0</v>
      </c>
      <c r="H1363" s="85">
        <f>STATS1003B!H1364/1000</f>
        <v>982.35659999999996</v>
      </c>
      <c r="I1363" s="85">
        <f>STATS1003B!I1364/1000</f>
        <v>0</v>
      </c>
      <c r="J1363" s="85">
        <f>STATS1003B!J1364/1000</f>
        <v>982.35659999999996</v>
      </c>
      <c r="K1363" s="85">
        <f>STATS1003B!K1364/1000</f>
        <v>0</v>
      </c>
      <c r="L1363" s="85">
        <f>STATS1003B!L1364/1000</f>
        <v>0</v>
      </c>
      <c r="M1363" s="85">
        <f>STATS1003B!M1364/1000</f>
        <v>982.35659999999996</v>
      </c>
      <c r="N1363" s="85">
        <f>STATS1003B!N1364/1000</f>
        <v>0</v>
      </c>
      <c r="O1363" s="85">
        <f>STATS1003B!O1364/1000</f>
        <v>0</v>
      </c>
      <c r="P1363" s="85">
        <f>STATS1003B!P1364/1000</f>
        <v>0</v>
      </c>
      <c r="Q1363" s="85">
        <f>STATS1003B!Q1364/1000</f>
        <v>0</v>
      </c>
      <c r="R1363" s="85">
        <f>STATS1003B!R1364/1000</f>
        <v>0</v>
      </c>
      <c r="S1363" s="85">
        <f>STATS1003B!S1364/1000</f>
        <v>0</v>
      </c>
      <c r="T1363" s="85">
        <f>STATS1003B!T1364/1000</f>
        <v>0</v>
      </c>
      <c r="U1363" s="85">
        <f>STATS1003B!U1364/1000</f>
        <v>0</v>
      </c>
      <c r="V1363" s="85">
        <f>STATS1003B!V1364/1000</f>
        <v>982.35659999999996</v>
      </c>
      <c r="W1363" s="85">
        <f>STATS1003B!W1364/1000</f>
        <v>0</v>
      </c>
      <c r="X1363" s="85">
        <f t="shared" si="160"/>
        <v>982.35659999999996</v>
      </c>
      <c r="Y1363" s="85">
        <f>STATS1003B!Y1364/1000</f>
        <v>0</v>
      </c>
      <c r="Z1363" s="85">
        <f t="shared" si="155"/>
        <v>0</v>
      </c>
      <c r="AA1363" s="69">
        <f>STATS1003B!AA1364/1000</f>
        <v>982.35659999999996</v>
      </c>
      <c r="AB1363" s="69">
        <f>STATS1003B!AB1364/1000</f>
        <v>0</v>
      </c>
    </row>
    <row r="1364" spans="1:28" hidden="1" x14ac:dyDescent="0.3">
      <c r="A1364" s="117"/>
      <c r="C1364" s="68" t="s">
        <v>1177</v>
      </c>
      <c r="D1364" s="89" t="s">
        <v>1126</v>
      </c>
      <c r="E1364" s="85">
        <f>STATS1003B!E1365/1000</f>
        <v>1000</v>
      </c>
      <c r="F1364" s="85">
        <f>STATS1003B!F1365/1000</f>
        <v>1000</v>
      </c>
      <c r="G1364" s="85">
        <f>STATS1003B!G1365/1000</f>
        <v>0</v>
      </c>
      <c r="H1364" s="85">
        <f>STATS1003B!H1365/1000</f>
        <v>1000</v>
      </c>
      <c r="I1364" s="85">
        <f>STATS1003B!I1365/1000</f>
        <v>0</v>
      </c>
      <c r="J1364" s="85">
        <f>STATS1003B!J1365/1000</f>
        <v>1000</v>
      </c>
      <c r="K1364" s="85">
        <f>STATS1003B!K1365/1000</f>
        <v>0</v>
      </c>
      <c r="L1364" s="85">
        <f>STATS1003B!L1365/1000</f>
        <v>0</v>
      </c>
      <c r="M1364" s="85">
        <f>STATS1003B!M1365/1000</f>
        <v>1000</v>
      </c>
      <c r="N1364" s="85">
        <f>STATS1003B!N1365/1000</f>
        <v>0</v>
      </c>
      <c r="O1364" s="85">
        <f>STATS1003B!O1365/1000</f>
        <v>0</v>
      </c>
      <c r="P1364" s="85">
        <f>STATS1003B!P1365/1000</f>
        <v>0</v>
      </c>
      <c r="Q1364" s="85">
        <f>STATS1003B!Q1365/1000</f>
        <v>0</v>
      </c>
      <c r="R1364" s="85">
        <f>STATS1003B!R1365/1000</f>
        <v>0</v>
      </c>
      <c r="S1364" s="85">
        <f>STATS1003B!S1365/1000</f>
        <v>0</v>
      </c>
      <c r="T1364" s="85">
        <f>STATS1003B!T1365/1000</f>
        <v>0</v>
      </c>
      <c r="U1364" s="85">
        <f>STATS1003B!U1365/1000</f>
        <v>0</v>
      </c>
      <c r="V1364" s="85">
        <f>STATS1003B!V1365/1000</f>
        <v>1000</v>
      </c>
      <c r="W1364" s="85">
        <f>STATS1003B!W1365/1000</f>
        <v>0</v>
      </c>
      <c r="X1364" s="85">
        <f t="shared" si="160"/>
        <v>1000</v>
      </c>
      <c r="Y1364" s="85">
        <f>STATS1003B!Y1365/1000</f>
        <v>0</v>
      </c>
      <c r="Z1364" s="85">
        <f t="shared" si="155"/>
        <v>0</v>
      </c>
      <c r="AA1364" s="69">
        <f>STATS1003B!AA1365/1000</f>
        <v>1000</v>
      </c>
      <c r="AB1364" s="69">
        <f>STATS1003B!AB1365/1000</f>
        <v>0</v>
      </c>
    </row>
    <row r="1365" spans="1:28" hidden="1" x14ac:dyDescent="0.3">
      <c r="A1365" s="117"/>
      <c r="C1365" s="68" t="s">
        <v>1252</v>
      </c>
      <c r="D1365" s="89" t="s">
        <v>1225</v>
      </c>
      <c r="E1365" s="85">
        <f>STATS1003B!E1366/1000</f>
        <v>500</v>
      </c>
      <c r="F1365" s="85">
        <f>STATS1003B!F1366/1000</f>
        <v>500</v>
      </c>
      <c r="G1365" s="85">
        <f>STATS1003B!G1366/1000</f>
        <v>0</v>
      </c>
      <c r="H1365" s="85">
        <f>STATS1003B!H1366/1000</f>
        <v>500</v>
      </c>
      <c r="I1365" s="85">
        <f>STATS1003B!I1366/1000</f>
        <v>0</v>
      </c>
      <c r="J1365" s="85">
        <f>STATS1003B!J1366/1000</f>
        <v>500</v>
      </c>
      <c r="K1365" s="85">
        <f>STATS1003B!K1366/1000</f>
        <v>0</v>
      </c>
      <c r="L1365" s="85">
        <f>STATS1003B!L1366/1000</f>
        <v>0</v>
      </c>
      <c r="M1365" s="85">
        <f>STATS1003B!M1366/1000</f>
        <v>500</v>
      </c>
      <c r="N1365" s="85">
        <f>STATS1003B!N1366/1000</f>
        <v>0</v>
      </c>
      <c r="O1365" s="85">
        <f>STATS1003B!O1366/1000</f>
        <v>0</v>
      </c>
      <c r="P1365" s="85">
        <f>STATS1003B!P1366/1000</f>
        <v>0</v>
      </c>
      <c r="Q1365" s="85">
        <f>STATS1003B!Q1366/1000</f>
        <v>0</v>
      </c>
      <c r="R1365" s="85">
        <f>STATS1003B!R1366/1000</f>
        <v>0</v>
      </c>
      <c r="S1365" s="85">
        <f>STATS1003B!S1366/1000</f>
        <v>0</v>
      </c>
      <c r="T1365" s="85">
        <f>STATS1003B!T1366/1000</f>
        <v>0</v>
      </c>
      <c r="U1365" s="85">
        <f>STATS1003B!U1366/1000</f>
        <v>0</v>
      </c>
      <c r="V1365" s="85">
        <f>STATS1003B!V1366/1000</f>
        <v>500</v>
      </c>
      <c r="W1365" s="85">
        <f>STATS1003B!W1366/1000</f>
        <v>0</v>
      </c>
      <c r="X1365" s="85">
        <f t="shared" si="160"/>
        <v>500</v>
      </c>
      <c r="Y1365" s="85">
        <f>STATS1003B!Y1366/1000</f>
        <v>0</v>
      </c>
      <c r="Z1365" s="85">
        <f t="shared" si="155"/>
        <v>0</v>
      </c>
      <c r="AA1365" s="69">
        <f>STATS1003B!AA1366/1000</f>
        <v>500</v>
      </c>
      <c r="AB1365" s="69">
        <f>STATS1003B!AB1366/1000</f>
        <v>0</v>
      </c>
    </row>
    <row r="1366" spans="1:28" hidden="1" x14ac:dyDescent="0.3">
      <c r="A1366" s="117"/>
      <c r="C1366" s="68" t="s">
        <v>577</v>
      </c>
      <c r="E1366" s="85">
        <f>STATS1003B!E1367/1000</f>
        <v>8916.5998299999992</v>
      </c>
      <c r="F1366" s="85">
        <f>STATS1003B!F1367/1000</f>
        <v>8916.5998299999992</v>
      </c>
      <c r="G1366" s="85">
        <f>STATS1003B!G1367/1000</f>
        <v>0</v>
      </c>
      <c r="H1366" s="85">
        <f>STATS1003B!H1367/1000</f>
        <v>8916.5998299999992</v>
      </c>
      <c r="I1366" s="85">
        <f>STATS1003B!I1367/1000</f>
        <v>0</v>
      </c>
      <c r="J1366" s="85">
        <f>STATS1003B!J1367/1000</f>
        <v>8916.5998299999992</v>
      </c>
      <c r="K1366" s="85">
        <f>STATS1003B!K1367/1000</f>
        <v>0</v>
      </c>
      <c r="L1366" s="85">
        <f>STATS1003B!L1367/1000</f>
        <v>0</v>
      </c>
      <c r="M1366" s="85">
        <f>STATS1003B!M1367/1000</f>
        <v>8916.5998299999992</v>
      </c>
      <c r="N1366" s="85">
        <f>STATS1003B!N1367/1000</f>
        <v>0</v>
      </c>
      <c r="O1366" s="85">
        <f>STATS1003B!O1367/1000</f>
        <v>0</v>
      </c>
      <c r="P1366" s="85">
        <f>STATS1003B!P1367/1000</f>
        <v>0</v>
      </c>
      <c r="Q1366" s="85">
        <f>STATS1003B!Q1367/1000</f>
        <v>8916.5998299999992</v>
      </c>
      <c r="R1366" s="85">
        <f>STATS1003B!R1367/1000</f>
        <v>0</v>
      </c>
      <c r="S1366" s="85">
        <f>STATS1003B!S1367/1000</f>
        <v>0</v>
      </c>
      <c r="T1366" s="85">
        <f>STATS1003B!T1367/1000</f>
        <v>0</v>
      </c>
      <c r="U1366" s="85">
        <f>STATS1003B!U1367/1000</f>
        <v>0</v>
      </c>
      <c r="V1366" s="85">
        <f>STATS1003B!V1367/1000</f>
        <v>8916.5998299999992</v>
      </c>
      <c r="W1366" s="85">
        <f>STATS1003B!W1367/1000</f>
        <v>0</v>
      </c>
      <c r="X1366" s="85">
        <f t="shared" si="160"/>
        <v>8916.5998299999992</v>
      </c>
      <c r="Y1366" s="85">
        <f>STATS1003B!Y1367/1000</f>
        <v>0</v>
      </c>
      <c r="Z1366" s="85">
        <f t="shared" si="155"/>
        <v>0</v>
      </c>
      <c r="AA1366" s="69">
        <f>STATS1003B!AA1367/1000</f>
        <v>8916.5998299999992</v>
      </c>
      <c r="AB1366" s="69">
        <f>STATS1003B!AB1367/1000</f>
        <v>0</v>
      </c>
    </row>
    <row r="1367" spans="1:28" hidden="1" x14ac:dyDescent="0.3">
      <c r="A1367" s="117"/>
      <c r="C1367" s="68" t="s">
        <v>550</v>
      </c>
      <c r="E1367" s="85">
        <f>STATS1003B!E1368/1000</f>
        <v>497.399</v>
      </c>
      <c r="F1367" s="85">
        <f>STATS1003B!F1368/1000</f>
        <v>497.399</v>
      </c>
      <c r="G1367" s="85">
        <f>STATS1003B!G1368/1000</f>
        <v>0</v>
      </c>
      <c r="H1367" s="85">
        <f>STATS1003B!H1368/1000</f>
        <v>497.399</v>
      </c>
      <c r="I1367" s="85">
        <f>STATS1003B!I1368/1000</f>
        <v>0</v>
      </c>
      <c r="J1367" s="85">
        <f>STATS1003B!J1368/1000</f>
        <v>497.399</v>
      </c>
      <c r="K1367" s="85">
        <f>STATS1003B!K1368/1000</f>
        <v>0</v>
      </c>
      <c r="L1367" s="85">
        <f>STATS1003B!L1368/1000</f>
        <v>0</v>
      </c>
      <c r="M1367" s="85">
        <f>STATS1003B!M1368/1000</f>
        <v>497.399</v>
      </c>
      <c r="N1367" s="85">
        <f>STATS1003B!N1368/1000</f>
        <v>0</v>
      </c>
      <c r="O1367" s="85">
        <f>STATS1003B!O1368/1000</f>
        <v>0</v>
      </c>
      <c r="P1367" s="85">
        <f>STATS1003B!P1368/1000</f>
        <v>0</v>
      </c>
      <c r="Q1367" s="85">
        <f>STATS1003B!Q1368/1000</f>
        <v>497.399</v>
      </c>
      <c r="R1367" s="85">
        <f>STATS1003B!R1368/1000</f>
        <v>0</v>
      </c>
      <c r="S1367" s="85">
        <f>STATS1003B!S1368/1000</f>
        <v>0</v>
      </c>
      <c r="T1367" s="85">
        <f>STATS1003B!T1368/1000</f>
        <v>0</v>
      </c>
      <c r="U1367" s="85">
        <f>STATS1003B!U1368/1000</f>
        <v>0</v>
      </c>
      <c r="V1367" s="85">
        <f>STATS1003B!V1368/1000</f>
        <v>497.399</v>
      </c>
      <c r="W1367" s="85">
        <f>STATS1003B!W1368/1000</f>
        <v>0</v>
      </c>
      <c r="X1367" s="85">
        <f t="shared" si="160"/>
        <v>497.399</v>
      </c>
      <c r="Y1367" s="85">
        <f>STATS1003B!Y1368/1000</f>
        <v>0</v>
      </c>
      <c r="Z1367" s="85">
        <f t="shared" si="155"/>
        <v>0</v>
      </c>
      <c r="AA1367" s="69">
        <f>STATS1003B!AA1368/1000</f>
        <v>497.399</v>
      </c>
      <c r="AB1367" s="69">
        <f>STATS1003B!AB1368/1000</f>
        <v>0</v>
      </c>
    </row>
    <row r="1368" spans="1:28" hidden="1" x14ac:dyDescent="0.3">
      <c r="A1368" s="117"/>
      <c r="C1368" s="68" t="s">
        <v>569</v>
      </c>
      <c r="E1368" s="85">
        <f>STATS1003B!E1369/1000</f>
        <v>813.51099999999997</v>
      </c>
      <c r="F1368" s="85">
        <f>STATS1003B!F1369/1000</f>
        <v>813.51099999999997</v>
      </c>
      <c r="G1368" s="85">
        <f>STATS1003B!G1369/1000</f>
        <v>0</v>
      </c>
      <c r="H1368" s="85">
        <f>STATS1003B!H1369/1000</f>
        <v>813.51099999999997</v>
      </c>
      <c r="I1368" s="85">
        <f>STATS1003B!I1369/1000</f>
        <v>0</v>
      </c>
      <c r="J1368" s="85">
        <f>STATS1003B!J1369/1000</f>
        <v>813.51099999999997</v>
      </c>
      <c r="K1368" s="85">
        <f>STATS1003B!K1369/1000</f>
        <v>0</v>
      </c>
      <c r="L1368" s="85">
        <f>STATS1003B!L1369/1000</f>
        <v>0</v>
      </c>
      <c r="M1368" s="85">
        <f>STATS1003B!M1369/1000</f>
        <v>813.51099999999997</v>
      </c>
      <c r="N1368" s="85">
        <f>STATS1003B!N1369/1000</f>
        <v>0</v>
      </c>
      <c r="O1368" s="85">
        <f>STATS1003B!O1369/1000</f>
        <v>0</v>
      </c>
      <c r="P1368" s="85">
        <f>STATS1003B!P1369/1000</f>
        <v>0</v>
      </c>
      <c r="Q1368" s="85">
        <f>STATS1003B!Q1369/1000</f>
        <v>813.51099999999997</v>
      </c>
      <c r="R1368" s="85">
        <f>STATS1003B!R1369/1000</f>
        <v>0</v>
      </c>
      <c r="S1368" s="85">
        <f>STATS1003B!S1369/1000</f>
        <v>0</v>
      </c>
      <c r="T1368" s="85">
        <f>STATS1003B!T1369/1000</f>
        <v>0</v>
      </c>
      <c r="U1368" s="85">
        <f>STATS1003B!U1369/1000</f>
        <v>0</v>
      </c>
      <c r="V1368" s="85">
        <f>STATS1003B!V1369/1000</f>
        <v>813.51099999999997</v>
      </c>
      <c r="W1368" s="85">
        <f>STATS1003B!W1369/1000</f>
        <v>0</v>
      </c>
      <c r="X1368" s="85">
        <f t="shared" si="160"/>
        <v>813.51099999999997</v>
      </c>
      <c r="Y1368" s="85">
        <f>STATS1003B!Y1369/1000</f>
        <v>0</v>
      </c>
      <c r="Z1368" s="85">
        <f t="shared" si="155"/>
        <v>0</v>
      </c>
      <c r="AA1368" s="69">
        <f>STATS1003B!AA1369/1000</f>
        <v>813.51099999999997</v>
      </c>
      <c r="AB1368" s="69">
        <f>STATS1003B!AB1369/1000</f>
        <v>0</v>
      </c>
    </row>
    <row r="1369" spans="1:28" hidden="1" x14ac:dyDescent="0.3">
      <c r="A1369" s="117"/>
      <c r="C1369" s="68" t="s">
        <v>717</v>
      </c>
      <c r="E1369" s="85">
        <f>STATS1003B!E1370/1000</f>
        <v>300</v>
      </c>
      <c r="F1369" s="85">
        <f>STATS1003B!F1370/1000</f>
        <v>300</v>
      </c>
      <c r="G1369" s="85">
        <f>STATS1003B!G1370/1000</f>
        <v>0</v>
      </c>
      <c r="H1369" s="85">
        <f>STATS1003B!H1370/1000</f>
        <v>300</v>
      </c>
      <c r="I1369" s="85">
        <f>STATS1003B!I1370/1000</f>
        <v>0</v>
      </c>
      <c r="J1369" s="85">
        <f>STATS1003B!J1370/1000</f>
        <v>300</v>
      </c>
      <c r="K1369" s="85">
        <f>STATS1003B!K1370/1000</f>
        <v>0</v>
      </c>
      <c r="L1369" s="85">
        <f>STATS1003B!L1370/1000</f>
        <v>0</v>
      </c>
      <c r="M1369" s="85">
        <f>STATS1003B!M1370/1000</f>
        <v>300</v>
      </c>
      <c r="N1369" s="85">
        <f>STATS1003B!N1370/1000</f>
        <v>0</v>
      </c>
      <c r="O1369" s="85">
        <f>STATS1003B!O1370/1000</f>
        <v>0</v>
      </c>
      <c r="P1369" s="85">
        <f>STATS1003B!P1370/1000</f>
        <v>0</v>
      </c>
      <c r="Q1369" s="85">
        <f>STATS1003B!Q1370/1000</f>
        <v>300</v>
      </c>
      <c r="R1369" s="85">
        <f>STATS1003B!R1370/1000</f>
        <v>0</v>
      </c>
      <c r="S1369" s="85">
        <f>STATS1003B!S1370/1000</f>
        <v>0</v>
      </c>
      <c r="T1369" s="85">
        <f>STATS1003B!T1370/1000</f>
        <v>0</v>
      </c>
      <c r="U1369" s="85">
        <f>STATS1003B!U1370/1000</f>
        <v>0</v>
      </c>
      <c r="V1369" s="85">
        <f>STATS1003B!V1370/1000</f>
        <v>300</v>
      </c>
      <c r="W1369" s="85">
        <f>STATS1003B!W1370/1000</f>
        <v>0</v>
      </c>
      <c r="X1369" s="85">
        <f t="shared" si="160"/>
        <v>300</v>
      </c>
      <c r="Y1369" s="85">
        <f>STATS1003B!Y1370/1000</f>
        <v>0</v>
      </c>
      <c r="Z1369" s="85">
        <f t="shared" si="155"/>
        <v>0</v>
      </c>
      <c r="AA1369" s="69">
        <f>STATS1003B!AA1370/1000</f>
        <v>300</v>
      </c>
      <c r="AB1369" s="69">
        <f>STATS1003B!AB1370/1000</f>
        <v>0</v>
      </c>
    </row>
    <row r="1370" spans="1:28" hidden="1" x14ac:dyDescent="0.3">
      <c r="A1370" s="117"/>
      <c r="C1370" s="68" t="s">
        <v>718</v>
      </c>
      <c r="E1370" s="85">
        <f>STATS1003B!E1371/1000</f>
        <v>500</v>
      </c>
      <c r="F1370" s="85">
        <f>STATS1003B!F1371/1000</f>
        <v>497.43599999999998</v>
      </c>
      <c r="G1370" s="85">
        <f>STATS1003B!G1371/1000</f>
        <v>0</v>
      </c>
      <c r="H1370" s="85">
        <f>STATS1003B!H1371/1000</f>
        <v>497.43599999999998</v>
      </c>
      <c r="I1370" s="85">
        <f>STATS1003B!I1371/1000</f>
        <v>0</v>
      </c>
      <c r="J1370" s="85">
        <f>STATS1003B!J1371/1000</f>
        <v>497.43599999999998</v>
      </c>
      <c r="K1370" s="85">
        <f>STATS1003B!K1371/1000</f>
        <v>0</v>
      </c>
      <c r="L1370" s="85">
        <f>STATS1003B!L1371/1000</f>
        <v>0</v>
      </c>
      <c r="M1370" s="85">
        <f>STATS1003B!M1371/1000</f>
        <v>497.43599999999998</v>
      </c>
      <c r="N1370" s="85">
        <f>STATS1003B!N1371/1000</f>
        <v>0</v>
      </c>
      <c r="O1370" s="85">
        <f>STATS1003B!O1371/1000</f>
        <v>0</v>
      </c>
      <c r="P1370" s="85">
        <f>STATS1003B!P1371/1000</f>
        <v>0</v>
      </c>
      <c r="Q1370" s="85">
        <f>STATS1003B!Q1371/1000</f>
        <v>500</v>
      </c>
      <c r="R1370" s="85">
        <f>STATS1003B!R1371/1000</f>
        <v>0</v>
      </c>
      <c r="S1370" s="85">
        <f>STATS1003B!S1371/1000</f>
        <v>0</v>
      </c>
      <c r="T1370" s="85">
        <f>STATS1003B!T1371/1000</f>
        <v>0</v>
      </c>
      <c r="U1370" s="85">
        <f>STATS1003B!U1371/1000</f>
        <v>0</v>
      </c>
      <c r="V1370" s="85">
        <f>STATS1003B!V1371/1000</f>
        <v>497.43599999999998</v>
      </c>
      <c r="W1370" s="85">
        <f>STATS1003B!W1371/1000</f>
        <v>2.5640000000000001</v>
      </c>
      <c r="X1370" s="85">
        <f t="shared" si="160"/>
        <v>497.43599999999998</v>
      </c>
      <c r="Y1370" s="85">
        <f>STATS1003B!Y1371/1000</f>
        <v>0</v>
      </c>
      <c r="Z1370" s="85">
        <f t="shared" si="155"/>
        <v>2.5640000000000214</v>
      </c>
      <c r="AA1370" s="69">
        <f>STATS1003B!AA1371/1000</f>
        <v>497.43599999999998</v>
      </c>
      <c r="AB1370" s="69">
        <f>STATS1003B!AB1371/1000</f>
        <v>2.5640000000000001</v>
      </c>
    </row>
    <row r="1371" spans="1:28" hidden="1" x14ac:dyDescent="0.3">
      <c r="A1371" s="117"/>
      <c r="C1371" s="68" t="s">
        <v>702</v>
      </c>
      <c r="E1371" s="85">
        <f>STATS1003B!E1372/1000</f>
        <v>300</v>
      </c>
      <c r="F1371" s="85">
        <f>STATS1003B!F1372/1000</f>
        <v>0</v>
      </c>
      <c r="G1371" s="85">
        <f>STATS1003B!G1372/1000</f>
        <v>0</v>
      </c>
      <c r="H1371" s="85">
        <f>STATS1003B!H1372/1000</f>
        <v>0</v>
      </c>
      <c r="I1371" s="85">
        <f>STATS1003B!I1372/1000</f>
        <v>0</v>
      </c>
      <c r="J1371" s="85">
        <f>STATS1003B!J1372/1000</f>
        <v>0</v>
      </c>
      <c r="K1371" s="85">
        <f>STATS1003B!K1372/1000</f>
        <v>300</v>
      </c>
      <c r="L1371" s="85">
        <f>STATS1003B!L1372/1000</f>
        <v>0</v>
      </c>
      <c r="M1371" s="85">
        <f>STATS1003B!M1372/1000</f>
        <v>0</v>
      </c>
      <c r="N1371" s="85">
        <f>STATS1003B!N1372/1000</f>
        <v>300</v>
      </c>
      <c r="O1371" s="85">
        <f>STATS1003B!O1372/1000</f>
        <v>0</v>
      </c>
      <c r="P1371" s="85">
        <f>STATS1003B!P1372/1000</f>
        <v>300</v>
      </c>
      <c r="Q1371" s="85">
        <f>STATS1003B!Q1372/1000</f>
        <v>0</v>
      </c>
      <c r="R1371" s="85">
        <f>STATS1003B!R1372/1000</f>
        <v>0</v>
      </c>
      <c r="S1371" s="85">
        <f>STATS1003B!S1372/1000</f>
        <v>0</v>
      </c>
      <c r="T1371" s="85">
        <f>STATS1003B!T1372/1000</f>
        <v>0</v>
      </c>
      <c r="U1371" s="85">
        <f>STATS1003B!U1372/1000</f>
        <v>300</v>
      </c>
      <c r="V1371" s="85">
        <f>STATS1003B!V1372/1000</f>
        <v>300</v>
      </c>
      <c r="W1371" s="85">
        <f>STATS1003B!W1372/1000</f>
        <v>0</v>
      </c>
      <c r="X1371" s="85">
        <f t="shared" si="160"/>
        <v>300</v>
      </c>
      <c r="Y1371" s="85">
        <f>STATS1003B!Y1372/1000</f>
        <v>0</v>
      </c>
      <c r="Z1371" s="85">
        <f t="shared" si="155"/>
        <v>0</v>
      </c>
      <c r="AA1371" s="69">
        <f>STATS1003B!AA1372/1000</f>
        <v>300</v>
      </c>
      <c r="AB1371" s="69">
        <f>STATS1003B!AB1372/1000</f>
        <v>0</v>
      </c>
    </row>
    <row r="1372" spans="1:28" hidden="1" x14ac:dyDescent="0.3">
      <c r="A1372" s="117"/>
      <c r="C1372" s="68" t="s">
        <v>551</v>
      </c>
      <c r="E1372" s="85">
        <f>STATS1003B!E1373/1000</f>
        <v>387.14815000000004</v>
      </c>
      <c r="F1372" s="85">
        <f>STATS1003B!F1373/1000</f>
        <v>387.14815000000004</v>
      </c>
      <c r="G1372" s="85">
        <f>STATS1003B!G1373/1000</f>
        <v>0</v>
      </c>
      <c r="H1372" s="85">
        <f>STATS1003B!H1373/1000</f>
        <v>387.14815000000004</v>
      </c>
      <c r="I1372" s="85">
        <f>STATS1003B!I1373/1000</f>
        <v>0</v>
      </c>
      <c r="J1372" s="85">
        <f>STATS1003B!J1373/1000</f>
        <v>387.14815000000004</v>
      </c>
      <c r="K1372" s="85">
        <f>STATS1003B!K1373/1000</f>
        <v>0</v>
      </c>
      <c r="L1372" s="85">
        <f>STATS1003B!L1373/1000</f>
        <v>0</v>
      </c>
      <c r="M1372" s="85">
        <f>STATS1003B!M1373/1000</f>
        <v>387.14815000000004</v>
      </c>
      <c r="N1372" s="85">
        <f>STATS1003B!N1373/1000</f>
        <v>0</v>
      </c>
      <c r="O1372" s="85">
        <f>STATS1003B!O1373/1000</f>
        <v>0</v>
      </c>
      <c r="P1372" s="85">
        <f>STATS1003B!P1373/1000</f>
        <v>0</v>
      </c>
      <c r="Q1372" s="85">
        <f>STATS1003B!Q1373/1000</f>
        <v>387.14815000000004</v>
      </c>
      <c r="R1372" s="85">
        <f>STATS1003B!R1373/1000</f>
        <v>0</v>
      </c>
      <c r="S1372" s="85">
        <f>STATS1003B!S1373/1000</f>
        <v>0</v>
      </c>
      <c r="T1372" s="85">
        <f>STATS1003B!T1373/1000</f>
        <v>0</v>
      </c>
      <c r="U1372" s="85">
        <f>STATS1003B!U1373/1000</f>
        <v>0</v>
      </c>
      <c r="V1372" s="85">
        <f>STATS1003B!V1373/1000</f>
        <v>387.14815000000004</v>
      </c>
      <c r="W1372" s="85">
        <f>STATS1003B!W1373/1000</f>
        <v>0</v>
      </c>
      <c r="X1372" s="85">
        <f t="shared" si="160"/>
        <v>387.14815000000004</v>
      </c>
      <c r="Y1372" s="85">
        <f>STATS1003B!Y1373/1000</f>
        <v>0</v>
      </c>
      <c r="Z1372" s="85">
        <f t="shared" ref="Z1372:Z1435" si="161">+E1372-X1372</f>
        <v>0</v>
      </c>
      <c r="AA1372" s="69">
        <f>STATS1003B!AA1373/1000</f>
        <v>387.14815000000004</v>
      </c>
      <c r="AB1372" s="69">
        <f>STATS1003B!AB1373/1000</f>
        <v>0</v>
      </c>
    </row>
    <row r="1373" spans="1:28" hidden="1" x14ac:dyDescent="0.3">
      <c r="A1373" s="117"/>
      <c r="C1373" s="68" t="s">
        <v>678</v>
      </c>
      <c r="E1373" s="85">
        <f>STATS1003B!E1374/1000</f>
        <v>5000</v>
      </c>
      <c r="F1373" s="85">
        <f>STATS1003B!F1374/1000</f>
        <v>5000</v>
      </c>
      <c r="G1373" s="85">
        <f>STATS1003B!G1374/1000</f>
        <v>0</v>
      </c>
      <c r="H1373" s="85">
        <f>STATS1003B!H1374/1000</f>
        <v>5000</v>
      </c>
      <c r="I1373" s="85">
        <f>STATS1003B!I1374/1000</f>
        <v>0</v>
      </c>
      <c r="J1373" s="85">
        <f>STATS1003B!J1374/1000</f>
        <v>5000</v>
      </c>
      <c r="K1373" s="85">
        <f>STATS1003B!K1374/1000</f>
        <v>0</v>
      </c>
      <c r="L1373" s="85">
        <f>STATS1003B!L1374/1000</f>
        <v>0</v>
      </c>
      <c r="M1373" s="85">
        <f>STATS1003B!M1374/1000</f>
        <v>5000</v>
      </c>
      <c r="N1373" s="85">
        <f>STATS1003B!N1374/1000</f>
        <v>0</v>
      </c>
      <c r="O1373" s="85">
        <f>STATS1003B!O1374/1000</f>
        <v>0</v>
      </c>
      <c r="P1373" s="85">
        <f>STATS1003B!P1374/1000</f>
        <v>0</v>
      </c>
      <c r="Q1373" s="85">
        <f>STATS1003B!Q1374/1000</f>
        <v>5000</v>
      </c>
      <c r="R1373" s="85">
        <f>STATS1003B!R1374/1000</f>
        <v>0</v>
      </c>
      <c r="S1373" s="85">
        <f>STATS1003B!S1374/1000</f>
        <v>0</v>
      </c>
      <c r="T1373" s="85">
        <f>STATS1003B!T1374/1000</f>
        <v>0</v>
      </c>
      <c r="U1373" s="85">
        <f>STATS1003B!U1374/1000</f>
        <v>0</v>
      </c>
      <c r="V1373" s="85">
        <f>STATS1003B!V1374/1000</f>
        <v>5000</v>
      </c>
      <c r="W1373" s="85">
        <f>STATS1003B!W1374/1000</f>
        <v>0</v>
      </c>
      <c r="X1373" s="85">
        <f t="shared" si="160"/>
        <v>5000</v>
      </c>
      <c r="Y1373" s="85">
        <f>STATS1003B!Y1374/1000</f>
        <v>0</v>
      </c>
      <c r="Z1373" s="85">
        <f t="shared" si="161"/>
        <v>0</v>
      </c>
      <c r="AA1373" s="69">
        <f>STATS1003B!AA1374/1000</f>
        <v>5000</v>
      </c>
      <c r="AB1373" s="69">
        <f>STATS1003B!AB1374/1000</f>
        <v>0</v>
      </c>
    </row>
    <row r="1374" spans="1:28" hidden="1" x14ac:dyDescent="0.3">
      <c r="A1374" s="117"/>
      <c r="E1374" s="86" t="s">
        <v>29</v>
      </c>
      <c r="F1374" s="86" t="s">
        <v>29</v>
      </c>
      <c r="G1374" s="86" t="s">
        <v>29</v>
      </c>
      <c r="H1374" s="86" t="s">
        <v>29</v>
      </c>
      <c r="I1374" s="86" t="s">
        <v>29</v>
      </c>
      <c r="J1374" s="86" t="s">
        <v>29</v>
      </c>
      <c r="K1374" s="86" t="s">
        <v>29</v>
      </c>
      <c r="L1374" s="86" t="s">
        <v>29</v>
      </c>
      <c r="M1374" s="86" t="s">
        <v>29</v>
      </c>
      <c r="N1374" s="86" t="s">
        <v>29</v>
      </c>
      <c r="O1374" s="86" t="s">
        <v>29</v>
      </c>
      <c r="P1374" s="86" t="s">
        <v>29</v>
      </c>
      <c r="Q1374" s="86" t="s">
        <v>29</v>
      </c>
      <c r="R1374" s="86" t="s">
        <v>29</v>
      </c>
      <c r="S1374" s="86" t="s">
        <v>29</v>
      </c>
      <c r="T1374" s="86" t="s">
        <v>29</v>
      </c>
      <c r="U1374" s="86" t="s">
        <v>29</v>
      </c>
      <c r="V1374" s="86" t="s">
        <v>29</v>
      </c>
      <c r="W1374" s="86" t="s">
        <v>29</v>
      </c>
      <c r="X1374" s="85" t="e">
        <f t="shared" si="160"/>
        <v>#VALUE!</v>
      </c>
      <c r="Y1374" s="86" t="s">
        <v>29</v>
      </c>
      <c r="Z1374" s="85" t="e">
        <f t="shared" si="161"/>
        <v>#VALUE!</v>
      </c>
      <c r="AA1374" s="115" t="s">
        <v>29</v>
      </c>
      <c r="AB1374" s="115" t="s">
        <v>29</v>
      </c>
    </row>
    <row r="1375" spans="1:28" x14ac:dyDescent="0.3">
      <c r="A1375" s="116">
        <v>61</v>
      </c>
      <c r="B1375" s="68" t="s">
        <v>711</v>
      </c>
      <c r="E1375" s="85">
        <f>129406350.78/1000</f>
        <v>129406.35078000001</v>
      </c>
      <c r="F1375" s="85">
        <f t="shared" ref="F1375:Q1375" si="162">SUM(F1342:F1374)</f>
        <v>59738.143009999993</v>
      </c>
      <c r="G1375" s="85">
        <f t="shared" si="162"/>
        <v>0</v>
      </c>
      <c r="H1375" s="85">
        <f>123848941.32/1000</f>
        <v>123848.94132</v>
      </c>
      <c r="I1375" s="85">
        <f t="shared" si="162"/>
        <v>0</v>
      </c>
      <c r="J1375" s="85">
        <f t="shared" si="162"/>
        <v>59738.143009999993</v>
      </c>
      <c r="K1375" s="85">
        <f t="shared" si="162"/>
        <v>5242.45946</v>
      </c>
      <c r="L1375" s="85">
        <f t="shared" si="162"/>
        <v>0</v>
      </c>
      <c r="M1375" s="85">
        <f t="shared" si="162"/>
        <v>59738.143009999993</v>
      </c>
      <c r="N1375" s="85">
        <f t="shared" si="162"/>
        <v>5242.45946</v>
      </c>
      <c r="O1375" s="85">
        <f t="shared" si="162"/>
        <v>0</v>
      </c>
      <c r="P1375" s="85">
        <f>5242459/1000</f>
        <v>5242.4589999999998</v>
      </c>
      <c r="Q1375" s="85">
        <f t="shared" si="162"/>
        <v>56787.354419999996</v>
      </c>
      <c r="R1375" s="86"/>
      <c r="S1375" s="86"/>
      <c r="T1375" s="85">
        <f t="shared" ref="T1375:Y1375" si="163">SUM(T1342:T1374)</f>
        <v>0</v>
      </c>
      <c r="U1375" s="85">
        <f t="shared" si="163"/>
        <v>5242.45946</v>
      </c>
      <c r="V1375" s="85">
        <f t="shared" si="163"/>
        <v>64980.602469999998</v>
      </c>
      <c r="W1375" s="85">
        <f t="shared" si="163"/>
        <v>314.95</v>
      </c>
      <c r="X1375" s="85">
        <f>+H1375+P1375</f>
        <v>129091.40032</v>
      </c>
      <c r="Y1375" s="85">
        <f t="shared" si="163"/>
        <v>0</v>
      </c>
      <c r="Z1375" s="85">
        <f t="shared" si="161"/>
        <v>314.9504600000073</v>
      </c>
      <c r="AA1375" s="69">
        <f>SUM(AA1342:AA1374)</f>
        <v>64980.602469999998</v>
      </c>
      <c r="AB1375" s="69">
        <f>SUM(AB1342:AB1374)</f>
        <v>314.95</v>
      </c>
    </row>
    <row r="1376" spans="1:28" hidden="1" x14ac:dyDescent="0.3">
      <c r="A1376" s="117"/>
      <c r="E1376" s="86" t="s">
        <v>29</v>
      </c>
      <c r="F1376" s="86" t="s">
        <v>29</v>
      </c>
      <c r="G1376" s="86" t="s">
        <v>29</v>
      </c>
      <c r="H1376" s="86" t="s">
        <v>29</v>
      </c>
      <c r="I1376" s="86" t="s">
        <v>29</v>
      </c>
      <c r="J1376" s="86" t="s">
        <v>29</v>
      </c>
      <c r="K1376" s="86" t="s">
        <v>29</v>
      </c>
      <c r="L1376" s="86" t="s">
        <v>29</v>
      </c>
      <c r="M1376" s="86" t="s">
        <v>29</v>
      </c>
      <c r="N1376" s="86" t="s">
        <v>29</v>
      </c>
      <c r="O1376" s="86" t="s">
        <v>29</v>
      </c>
      <c r="P1376" s="86" t="s">
        <v>29</v>
      </c>
      <c r="Q1376" s="86" t="s">
        <v>29</v>
      </c>
      <c r="R1376" s="86" t="s">
        <v>29</v>
      </c>
      <c r="S1376" s="86" t="s">
        <v>29</v>
      </c>
      <c r="T1376" s="86" t="s">
        <v>29</v>
      </c>
      <c r="U1376" s="86" t="s">
        <v>29</v>
      </c>
      <c r="V1376" s="86" t="s">
        <v>29</v>
      </c>
      <c r="W1376" s="86" t="s">
        <v>29</v>
      </c>
      <c r="X1376" s="85" t="e">
        <f t="shared" si="160"/>
        <v>#VALUE!</v>
      </c>
      <c r="Y1376" s="86" t="s">
        <v>29</v>
      </c>
      <c r="Z1376" s="85" t="e">
        <f t="shared" si="161"/>
        <v>#VALUE!</v>
      </c>
      <c r="AA1376" s="115" t="s">
        <v>29</v>
      </c>
      <c r="AB1376" s="115" t="s">
        <v>29</v>
      </c>
    </row>
    <row r="1377" spans="1:28" hidden="1" x14ac:dyDescent="0.3">
      <c r="A1377" s="105"/>
      <c r="E1377" s="84"/>
      <c r="F1377" s="84"/>
      <c r="G1377" s="84"/>
      <c r="H1377" s="84"/>
      <c r="I1377" s="84"/>
      <c r="J1377" s="84"/>
      <c r="K1377" s="84"/>
      <c r="L1377" s="84"/>
      <c r="M1377" s="84"/>
      <c r="N1377" s="84"/>
      <c r="O1377" s="84"/>
      <c r="P1377" s="84"/>
      <c r="Q1377" s="84"/>
      <c r="R1377" s="86"/>
      <c r="S1377" s="86"/>
      <c r="T1377" s="86"/>
      <c r="U1377" s="86"/>
      <c r="V1377" s="86"/>
      <c r="W1377" s="86"/>
      <c r="X1377" s="85">
        <f t="shared" si="160"/>
        <v>0</v>
      </c>
      <c r="Y1377" s="86"/>
      <c r="Z1377" s="85">
        <f t="shared" si="161"/>
        <v>0</v>
      </c>
    </row>
    <row r="1378" spans="1:28" hidden="1" x14ac:dyDescent="0.3">
      <c r="A1378" s="117"/>
      <c r="C1378" s="68" t="s">
        <v>720</v>
      </c>
      <c r="D1378" s="145" t="s">
        <v>78</v>
      </c>
      <c r="E1378" s="85">
        <f>STATS1003B!E1379/1000</f>
        <v>242.54361999999998</v>
      </c>
      <c r="F1378" s="85">
        <f>STATS1003B!F1379/1000</f>
        <v>84.6</v>
      </c>
      <c r="G1378" s="85">
        <f>STATS1003B!G1379/1000</f>
        <v>0</v>
      </c>
      <c r="H1378" s="85">
        <f>STATS1003B!H1379/1000</f>
        <v>84.6</v>
      </c>
      <c r="I1378" s="85">
        <f>STATS1003B!I1379/1000</f>
        <v>0</v>
      </c>
      <c r="J1378" s="85">
        <f>STATS1003B!J1379/1000</f>
        <v>84.6</v>
      </c>
      <c r="K1378" s="85">
        <f>STATS1003B!K1379/1000</f>
        <v>157.94361999999998</v>
      </c>
      <c r="L1378" s="85">
        <f>STATS1003B!L1379/1000</f>
        <v>0</v>
      </c>
      <c r="M1378" s="85">
        <f>STATS1003B!M1379/1000</f>
        <v>84.6</v>
      </c>
      <c r="N1378" s="85">
        <f>STATS1003B!N1379/1000</f>
        <v>157.94361999999998</v>
      </c>
      <c r="O1378" s="85">
        <f>STATS1003B!O1379/1000</f>
        <v>0</v>
      </c>
      <c r="P1378" s="85">
        <f>STATS1003B!P1379/1000</f>
        <v>157.94361999999998</v>
      </c>
      <c r="Q1378" s="85">
        <f>STATS1003B!Q1379/1000</f>
        <v>84.599999999999966</v>
      </c>
      <c r="R1378" s="85">
        <f>STATS1003B!R1379/1000</f>
        <v>0</v>
      </c>
      <c r="S1378" s="85">
        <f>STATS1003B!S1379/1000</f>
        <v>0</v>
      </c>
      <c r="T1378" s="85">
        <f>STATS1003B!T1379/1000</f>
        <v>0</v>
      </c>
      <c r="U1378" s="85">
        <f>STATS1003B!U1379/1000</f>
        <v>157.94361999999998</v>
      </c>
      <c r="V1378" s="85">
        <f>STATS1003B!V1379/1000</f>
        <v>242.54362</v>
      </c>
      <c r="W1378" s="85">
        <f>STATS1003B!W1379/1000</f>
        <v>0</v>
      </c>
      <c r="X1378" s="85">
        <f t="shared" si="160"/>
        <v>242.54361999999998</v>
      </c>
      <c r="Y1378" s="85">
        <f>STATS1003B!Y1379/1000</f>
        <v>0</v>
      </c>
      <c r="Z1378" s="85">
        <f t="shared" si="161"/>
        <v>0</v>
      </c>
      <c r="AA1378" s="69">
        <f>STATS1003B!AA1379/1000</f>
        <v>242.54362</v>
      </c>
      <c r="AB1378" s="69">
        <f>STATS1003B!AB1379/1000</f>
        <v>0</v>
      </c>
    </row>
    <row r="1379" spans="1:28" hidden="1" x14ac:dyDescent="0.3">
      <c r="A1379" s="117"/>
      <c r="C1379" s="68" t="s">
        <v>535</v>
      </c>
      <c r="D1379" s="145" t="s">
        <v>68</v>
      </c>
      <c r="E1379" s="85">
        <f>STATS1003B!E1380/1000</f>
        <v>743.09152999999981</v>
      </c>
      <c r="F1379" s="85">
        <f>STATS1003B!F1380/1000</f>
        <v>596.39244999999994</v>
      </c>
      <c r="G1379" s="85">
        <f>STATS1003B!G1380/1000</f>
        <v>0</v>
      </c>
      <c r="H1379" s="85">
        <f>STATS1003B!H1380/1000</f>
        <v>596.39244999999994</v>
      </c>
      <c r="I1379" s="85">
        <f>STATS1003B!I1380/1000</f>
        <v>0</v>
      </c>
      <c r="J1379" s="85">
        <f>STATS1003B!J1380/1000</f>
        <v>596.39244999999994</v>
      </c>
      <c r="K1379" s="85">
        <f>STATS1003B!K1380/1000</f>
        <v>146.69907999999998</v>
      </c>
      <c r="L1379" s="85">
        <f>STATS1003B!L1380/1000</f>
        <v>0</v>
      </c>
      <c r="M1379" s="85">
        <f>STATS1003B!M1380/1000</f>
        <v>596.39244999999994</v>
      </c>
      <c r="N1379" s="85">
        <f>STATS1003B!N1380/1000</f>
        <v>146.69907999999998</v>
      </c>
      <c r="O1379" s="85">
        <f>STATS1003B!O1380/1000</f>
        <v>0</v>
      </c>
      <c r="P1379" s="85">
        <f>STATS1003B!P1380/1000</f>
        <v>146.69907999999998</v>
      </c>
      <c r="Q1379" s="85">
        <f>STATS1003B!Q1380/1000</f>
        <v>596.39244999999983</v>
      </c>
      <c r="R1379" s="85">
        <f>STATS1003B!R1380/1000</f>
        <v>0</v>
      </c>
      <c r="S1379" s="85">
        <f>STATS1003B!S1380/1000</f>
        <v>0</v>
      </c>
      <c r="T1379" s="85">
        <f>STATS1003B!T1380/1000</f>
        <v>0</v>
      </c>
      <c r="U1379" s="85">
        <f>STATS1003B!U1380/1000</f>
        <v>146.69907999999998</v>
      </c>
      <c r="V1379" s="85">
        <f>STATS1003B!V1380/1000</f>
        <v>743.09152999999992</v>
      </c>
      <c r="W1379" s="85">
        <f>STATS1003B!W1380/1000</f>
        <v>0</v>
      </c>
      <c r="X1379" s="85">
        <f t="shared" si="160"/>
        <v>743.09152999999992</v>
      </c>
      <c r="Y1379" s="85">
        <f>STATS1003B!Y1380/1000</f>
        <v>0</v>
      </c>
      <c r="Z1379" s="85">
        <f t="shared" si="161"/>
        <v>0</v>
      </c>
      <c r="AA1379" s="69">
        <f>STATS1003B!AA1380/1000</f>
        <v>743.09152999999992</v>
      </c>
      <c r="AB1379" s="69">
        <f>STATS1003B!AB1380/1000</f>
        <v>0</v>
      </c>
    </row>
    <row r="1380" spans="1:28" hidden="1" x14ac:dyDescent="0.3">
      <c r="A1380" s="117"/>
      <c r="C1380" s="68" t="s">
        <v>539</v>
      </c>
      <c r="D1380" s="145" t="s">
        <v>68</v>
      </c>
      <c r="E1380" s="85">
        <f>STATS1003B!E1381/1000</f>
        <v>4456.424</v>
      </c>
      <c r="F1380" s="85">
        <f>STATS1003B!F1381/1000</f>
        <v>0</v>
      </c>
      <c r="G1380" s="85">
        <f>STATS1003B!G1381/1000</f>
        <v>0</v>
      </c>
      <c r="H1380" s="85">
        <f>STATS1003B!H1381/1000</f>
        <v>0</v>
      </c>
      <c r="I1380" s="85">
        <f>STATS1003B!I1381/1000</f>
        <v>0</v>
      </c>
      <c r="J1380" s="85">
        <f>STATS1003B!J1381/1000</f>
        <v>0</v>
      </c>
      <c r="K1380" s="85">
        <f>STATS1003B!K1381/1000</f>
        <v>4456.424</v>
      </c>
      <c r="L1380" s="85">
        <f>STATS1003B!L1381/1000</f>
        <v>0</v>
      </c>
      <c r="M1380" s="85">
        <f>STATS1003B!M1381/1000</f>
        <v>0</v>
      </c>
      <c r="N1380" s="85">
        <f>STATS1003B!N1381/1000</f>
        <v>4456.424</v>
      </c>
      <c r="O1380" s="85">
        <f>STATS1003B!O1381/1000</f>
        <v>0</v>
      </c>
      <c r="P1380" s="85">
        <f>STATS1003B!P1381/1000</f>
        <v>4456.424</v>
      </c>
      <c r="Q1380" s="85">
        <f>STATS1003B!Q1381/1000</f>
        <v>0</v>
      </c>
      <c r="R1380" s="85">
        <f>STATS1003B!R1381/1000</f>
        <v>0</v>
      </c>
      <c r="S1380" s="85">
        <f>STATS1003B!S1381/1000</f>
        <v>0</v>
      </c>
      <c r="T1380" s="85">
        <f>STATS1003B!T1381/1000</f>
        <v>0</v>
      </c>
      <c r="U1380" s="85">
        <f>STATS1003B!U1381/1000</f>
        <v>4456.424</v>
      </c>
      <c r="V1380" s="85">
        <f>STATS1003B!V1381/1000</f>
        <v>4456.424</v>
      </c>
      <c r="W1380" s="85">
        <f>STATS1003B!W1381/1000</f>
        <v>0</v>
      </c>
      <c r="X1380" s="85">
        <f t="shared" si="160"/>
        <v>4456.424</v>
      </c>
      <c r="Y1380" s="85">
        <f>STATS1003B!Y1381/1000</f>
        <v>0</v>
      </c>
      <c r="Z1380" s="85">
        <f t="shared" si="161"/>
        <v>0</v>
      </c>
      <c r="AA1380" s="69">
        <f>STATS1003B!AA1381/1000</f>
        <v>4456.424</v>
      </c>
      <c r="AB1380" s="69">
        <f>STATS1003B!AB1381/1000</f>
        <v>0</v>
      </c>
    </row>
    <row r="1381" spans="1:28" hidden="1" x14ac:dyDescent="0.3">
      <c r="A1381" s="117"/>
      <c r="C1381" s="68" t="s">
        <v>557</v>
      </c>
      <c r="D1381" s="145" t="s">
        <v>68</v>
      </c>
      <c r="E1381" s="85">
        <f>STATS1003B!E1382/1000</f>
        <v>2057.8486000000003</v>
      </c>
      <c r="F1381" s="85">
        <f>STATS1003B!F1382/1000</f>
        <v>1932.0930000000001</v>
      </c>
      <c r="G1381" s="85">
        <f>STATS1003B!G1382/1000</f>
        <v>0</v>
      </c>
      <c r="H1381" s="85">
        <f>STATS1003B!H1382/1000</f>
        <v>1932.0930000000001</v>
      </c>
      <c r="I1381" s="85">
        <f>STATS1003B!I1382/1000</f>
        <v>0</v>
      </c>
      <c r="J1381" s="85">
        <f>STATS1003B!J1382/1000</f>
        <v>1932.0930000000001</v>
      </c>
      <c r="K1381" s="85">
        <f>STATS1003B!K1382/1000</f>
        <v>125.7556</v>
      </c>
      <c r="L1381" s="85">
        <f>STATS1003B!L1382/1000</f>
        <v>0</v>
      </c>
      <c r="M1381" s="85">
        <f>STATS1003B!M1382/1000</f>
        <v>1932.0930000000001</v>
      </c>
      <c r="N1381" s="85">
        <f>STATS1003B!N1382/1000</f>
        <v>125.7556</v>
      </c>
      <c r="O1381" s="85">
        <f>STATS1003B!O1382/1000</f>
        <v>0</v>
      </c>
      <c r="P1381" s="85">
        <f>STATS1003B!P1382/1000</f>
        <v>125.7556</v>
      </c>
      <c r="Q1381" s="85">
        <f>STATS1003B!Q1382/1000</f>
        <v>1932.0930000000001</v>
      </c>
      <c r="R1381" s="85">
        <f>STATS1003B!R1382/1000</f>
        <v>0</v>
      </c>
      <c r="S1381" s="85">
        <f>STATS1003B!S1382/1000</f>
        <v>0</v>
      </c>
      <c r="T1381" s="85">
        <f>STATS1003B!T1382/1000</f>
        <v>0</v>
      </c>
      <c r="U1381" s="85">
        <f>STATS1003B!U1382/1000</f>
        <v>125.7556</v>
      </c>
      <c r="V1381" s="85">
        <f>STATS1003B!V1382/1000</f>
        <v>2057.8486000000003</v>
      </c>
      <c r="W1381" s="85">
        <f>STATS1003B!W1382/1000</f>
        <v>0</v>
      </c>
      <c r="X1381" s="85">
        <f t="shared" si="160"/>
        <v>2057.8486000000003</v>
      </c>
      <c r="Y1381" s="85">
        <f>STATS1003B!Y1382/1000</f>
        <v>0</v>
      </c>
      <c r="Z1381" s="85">
        <f t="shared" si="161"/>
        <v>0</v>
      </c>
      <c r="AA1381" s="69">
        <f>STATS1003B!AA1382/1000</f>
        <v>2057.8486000000003</v>
      </c>
      <c r="AB1381" s="69">
        <f>STATS1003B!AB1382/1000</f>
        <v>0</v>
      </c>
    </row>
    <row r="1382" spans="1:28" hidden="1" x14ac:dyDescent="0.3">
      <c r="A1382" s="117"/>
      <c r="C1382" s="68" t="s">
        <v>535</v>
      </c>
      <c r="D1382" s="145" t="s">
        <v>54</v>
      </c>
      <c r="E1382" s="85">
        <f>STATS1003B!E1383/1000</f>
        <v>570</v>
      </c>
      <c r="F1382" s="85">
        <f>STATS1003B!F1383/1000</f>
        <v>570</v>
      </c>
      <c r="G1382" s="85">
        <f>STATS1003B!G1383/1000</f>
        <v>0</v>
      </c>
      <c r="H1382" s="85">
        <f>STATS1003B!H1383/1000</f>
        <v>570</v>
      </c>
      <c r="I1382" s="85">
        <f>STATS1003B!I1383/1000</f>
        <v>0</v>
      </c>
      <c r="J1382" s="85">
        <f>STATS1003B!J1383/1000</f>
        <v>570</v>
      </c>
      <c r="K1382" s="85">
        <f>STATS1003B!K1383/1000</f>
        <v>0</v>
      </c>
      <c r="L1382" s="85">
        <f>STATS1003B!L1383/1000</f>
        <v>0</v>
      </c>
      <c r="M1382" s="85">
        <f>STATS1003B!M1383/1000</f>
        <v>570</v>
      </c>
      <c r="N1382" s="85">
        <f>STATS1003B!N1383/1000</f>
        <v>0</v>
      </c>
      <c r="O1382" s="85">
        <f>STATS1003B!O1383/1000</f>
        <v>0</v>
      </c>
      <c r="P1382" s="85">
        <f>STATS1003B!P1383/1000</f>
        <v>0</v>
      </c>
      <c r="Q1382" s="85">
        <f>STATS1003B!Q1383/1000</f>
        <v>570</v>
      </c>
      <c r="R1382" s="85">
        <f>STATS1003B!R1383/1000</f>
        <v>0</v>
      </c>
      <c r="S1382" s="85">
        <f>STATS1003B!S1383/1000</f>
        <v>0</v>
      </c>
      <c r="T1382" s="85">
        <f>STATS1003B!T1383/1000</f>
        <v>0</v>
      </c>
      <c r="U1382" s="85">
        <f>STATS1003B!U1383/1000</f>
        <v>0</v>
      </c>
      <c r="V1382" s="85">
        <f>STATS1003B!V1383/1000</f>
        <v>570</v>
      </c>
      <c r="W1382" s="85">
        <f>STATS1003B!W1383/1000</f>
        <v>0</v>
      </c>
      <c r="X1382" s="85">
        <f t="shared" si="160"/>
        <v>570</v>
      </c>
      <c r="Y1382" s="85">
        <f>STATS1003B!Y1383/1000</f>
        <v>0</v>
      </c>
      <c r="Z1382" s="85">
        <f t="shared" si="161"/>
        <v>0</v>
      </c>
      <c r="AA1382" s="69">
        <f>STATS1003B!AA1383/1000</f>
        <v>570</v>
      </c>
      <c r="AB1382" s="69">
        <f>STATS1003B!AB1383/1000</f>
        <v>0</v>
      </c>
    </row>
    <row r="1383" spans="1:28" hidden="1" x14ac:dyDescent="0.3">
      <c r="A1383" s="117"/>
      <c r="C1383" s="68" t="s">
        <v>545</v>
      </c>
      <c r="D1383" s="145" t="s">
        <v>54</v>
      </c>
      <c r="E1383" s="85">
        <f>STATS1003B!E1384/1000</f>
        <v>1767.77</v>
      </c>
      <c r="F1383" s="85">
        <f>STATS1003B!F1384/1000</f>
        <v>0</v>
      </c>
      <c r="G1383" s="85">
        <f>STATS1003B!G1384/1000</f>
        <v>0</v>
      </c>
      <c r="H1383" s="85">
        <f>STATS1003B!H1384/1000</f>
        <v>0</v>
      </c>
      <c r="I1383" s="85">
        <f>STATS1003B!I1384/1000</f>
        <v>0</v>
      </c>
      <c r="J1383" s="85">
        <f>STATS1003B!J1384/1000</f>
        <v>0</v>
      </c>
      <c r="K1383" s="85">
        <f>STATS1003B!K1384/1000</f>
        <v>1767.77</v>
      </c>
      <c r="L1383" s="85">
        <f>STATS1003B!L1384/1000</f>
        <v>0</v>
      </c>
      <c r="M1383" s="85">
        <f>STATS1003B!M1384/1000</f>
        <v>0</v>
      </c>
      <c r="N1383" s="85">
        <f>STATS1003B!N1384/1000</f>
        <v>1767.77</v>
      </c>
      <c r="O1383" s="85">
        <f>STATS1003B!O1384/1000</f>
        <v>0</v>
      </c>
      <c r="P1383" s="85">
        <f>STATS1003B!P1384/1000</f>
        <v>1767.77</v>
      </c>
      <c r="Q1383" s="85">
        <f>STATS1003B!Q1384/1000</f>
        <v>0</v>
      </c>
      <c r="R1383" s="85">
        <f>STATS1003B!R1384/1000</f>
        <v>0</v>
      </c>
      <c r="S1383" s="85">
        <f>STATS1003B!S1384/1000</f>
        <v>0</v>
      </c>
      <c r="T1383" s="85">
        <f>STATS1003B!T1384/1000</f>
        <v>0</v>
      </c>
      <c r="U1383" s="85">
        <f>STATS1003B!U1384/1000</f>
        <v>1767.77</v>
      </c>
      <c r="V1383" s="85">
        <f>STATS1003B!V1384/1000</f>
        <v>1767.77</v>
      </c>
      <c r="W1383" s="85">
        <f>STATS1003B!W1384/1000</f>
        <v>0</v>
      </c>
      <c r="X1383" s="85">
        <f t="shared" si="160"/>
        <v>1767.77</v>
      </c>
      <c r="Y1383" s="85">
        <f>STATS1003B!Y1384/1000</f>
        <v>0</v>
      </c>
      <c r="Z1383" s="85">
        <f t="shared" si="161"/>
        <v>0</v>
      </c>
      <c r="AA1383" s="69">
        <f>STATS1003B!AA1384/1000</f>
        <v>1767.77</v>
      </c>
      <c r="AB1383" s="69">
        <f>STATS1003B!AB1384/1000</f>
        <v>0</v>
      </c>
    </row>
    <row r="1384" spans="1:28" hidden="1" x14ac:dyDescent="0.3">
      <c r="A1384" s="117"/>
      <c r="C1384" s="68" t="s">
        <v>535</v>
      </c>
      <c r="D1384" s="145" t="s">
        <v>85</v>
      </c>
      <c r="E1384" s="85">
        <f>STATS1003B!E1385/1000</f>
        <v>2000</v>
      </c>
      <c r="F1384" s="85">
        <f>STATS1003B!F1385/1000</f>
        <v>2000</v>
      </c>
      <c r="G1384" s="85">
        <f>STATS1003B!G1385/1000</f>
        <v>0</v>
      </c>
      <c r="H1384" s="85">
        <f>STATS1003B!H1385/1000</f>
        <v>2000</v>
      </c>
      <c r="I1384" s="85">
        <f>STATS1003B!I1385/1000</f>
        <v>0</v>
      </c>
      <c r="J1384" s="85">
        <f>STATS1003B!J1385/1000</f>
        <v>2000</v>
      </c>
      <c r="K1384" s="85">
        <f>STATS1003B!K1385/1000</f>
        <v>0</v>
      </c>
      <c r="L1384" s="85">
        <f>STATS1003B!L1385/1000</f>
        <v>0</v>
      </c>
      <c r="M1384" s="85">
        <f>STATS1003B!M1385/1000</f>
        <v>2000</v>
      </c>
      <c r="N1384" s="85">
        <f>STATS1003B!N1385/1000</f>
        <v>0</v>
      </c>
      <c r="O1384" s="85">
        <f>STATS1003B!O1385/1000</f>
        <v>0</v>
      </c>
      <c r="P1384" s="85">
        <f>STATS1003B!P1385/1000</f>
        <v>0</v>
      </c>
      <c r="Q1384" s="85">
        <f>STATS1003B!Q1385/1000</f>
        <v>2000</v>
      </c>
      <c r="R1384" s="85">
        <f>STATS1003B!R1385/1000</f>
        <v>0</v>
      </c>
      <c r="S1384" s="85">
        <f>STATS1003B!S1385/1000</f>
        <v>0</v>
      </c>
      <c r="T1384" s="85">
        <f>STATS1003B!T1385/1000</f>
        <v>0</v>
      </c>
      <c r="U1384" s="85">
        <f>STATS1003B!U1385/1000</f>
        <v>0</v>
      </c>
      <c r="V1384" s="85">
        <f>STATS1003B!V1385/1000</f>
        <v>2000</v>
      </c>
      <c r="W1384" s="85">
        <f>STATS1003B!W1385/1000</f>
        <v>0</v>
      </c>
      <c r="X1384" s="85">
        <f t="shared" si="160"/>
        <v>2000</v>
      </c>
      <c r="Y1384" s="85">
        <f>STATS1003B!Y1385/1000</f>
        <v>0</v>
      </c>
      <c r="Z1384" s="85">
        <f t="shared" si="161"/>
        <v>0</v>
      </c>
      <c r="AA1384" s="69">
        <f>STATS1003B!AA1385/1000</f>
        <v>2000</v>
      </c>
      <c r="AB1384" s="69">
        <f>STATS1003B!AB1385/1000</f>
        <v>0</v>
      </c>
    </row>
    <row r="1385" spans="1:28" hidden="1" x14ac:dyDescent="0.3">
      <c r="A1385" s="117"/>
      <c r="C1385" s="68" t="s">
        <v>557</v>
      </c>
      <c r="D1385" s="145" t="s">
        <v>85</v>
      </c>
      <c r="E1385" s="85">
        <f>STATS1003B!E1386/1000</f>
        <v>2000</v>
      </c>
      <c r="F1385" s="85">
        <f>STATS1003B!F1386/1000</f>
        <v>2000</v>
      </c>
      <c r="G1385" s="85">
        <f>STATS1003B!G1386/1000</f>
        <v>0</v>
      </c>
      <c r="H1385" s="85">
        <f>STATS1003B!H1386/1000</f>
        <v>2000</v>
      </c>
      <c r="I1385" s="85">
        <f>STATS1003B!I1386/1000</f>
        <v>0</v>
      </c>
      <c r="J1385" s="85">
        <f>STATS1003B!J1386/1000</f>
        <v>2000</v>
      </c>
      <c r="K1385" s="85">
        <f>STATS1003B!K1386/1000</f>
        <v>0</v>
      </c>
      <c r="L1385" s="85">
        <f>STATS1003B!L1386/1000</f>
        <v>0</v>
      </c>
      <c r="M1385" s="85">
        <f>STATS1003B!M1386/1000</f>
        <v>2000</v>
      </c>
      <c r="N1385" s="85">
        <f>STATS1003B!N1386/1000</f>
        <v>0</v>
      </c>
      <c r="O1385" s="85">
        <f>STATS1003B!O1386/1000</f>
        <v>0</v>
      </c>
      <c r="P1385" s="85">
        <f>STATS1003B!P1386/1000</f>
        <v>0</v>
      </c>
      <c r="Q1385" s="85">
        <f>STATS1003B!Q1386/1000</f>
        <v>2000</v>
      </c>
      <c r="R1385" s="85">
        <f>STATS1003B!R1386/1000</f>
        <v>0</v>
      </c>
      <c r="S1385" s="85">
        <f>STATS1003B!S1386/1000</f>
        <v>0</v>
      </c>
      <c r="T1385" s="85">
        <f>STATS1003B!T1386/1000</f>
        <v>0</v>
      </c>
      <c r="U1385" s="85">
        <f>STATS1003B!U1386/1000</f>
        <v>0</v>
      </c>
      <c r="V1385" s="85">
        <f>STATS1003B!V1386/1000</f>
        <v>2000</v>
      </c>
      <c r="W1385" s="85">
        <f>STATS1003B!W1386/1000</f>
        <v>0</v>
      </c>
      <c r="X1385" s="85">
        <f t="shared" si="160"/>
        <v>2000</v>
      </c>
      <c r="Y1385" s="85">
        <f>STATS1003B!Y1386/1000</f>
        <v>0</v>
      </c>
      <c r="Z1385" s="85">
        <f t="shared" si="161"/>
        <v>0</v>
      </c>
      <c r="AA1385" s="69">
        <f>STATS1003B!AA1386/1000</f>
        <v>2000</v>
      </c>
      <c r="AB1385" s="69">
        <f>STATS1003B!AB1386/1000</f>
        <v>0</v>
      </c>
    </row>
    <row r="1386" spans="1:28" hidden="1" x14ac:dyDescent="0.3">
      <c r="A1386" s="117"/>
      <c r="C1386" s="68" t="s">
        <v>566</v>
      </c>
      <c r="D1386" s="145" t="s">
        <v>128</v>
      </c>
      <c r="E1386" s="85">
        <f>STATS1003B!E1387/1000</f>
        <v>786</v>
      </c>
      <c r="F1386" s="85">
        <f>STATS1003B!F1387/1000</f>
        <v>786</v>
      </c>
      <c r="G1386" s="85">
        <f>STATS1003B!G1387/1000</f>
        <v>0</v>
      </c>
      <c r="H1386" s="85">
        <f>STATS1003B!H1387/1000</f>
        <v>786</v>
      </c>
      <c r="I1386" s="85">
        <f>STATS1003B!I1387/1000</f>
        <v>0</v>
      </c>
      <c r="J1386" s="85">
        <f>STATS1003B!J1387/1000</f>
        <v>786</v>
      </c>
      <c r="K1386" s="85">
        <f>STATS1003B!K1387/1000</f>
        <v>0</v>
      </c>
      <c r="L1386" s="85">
        <f>STATS1003B!L1387/1000</f>
        <v>0</v>
      </c>
      <c r="M1386" s="85">
        <f>STATS1003B!M1387/1000</f>
        <v>786</v>
      </c>
      <c r="N1386" s="85">
        <f>STATS1003B!N1387/1000</f>
        <v>0</v>
      </c>
      <c r="O1386" s="85">
        <f>STATS1003B!O1387/1000</f>
        <v>0</v>
      </c>
      <c r="P1386" s="85">
        <f>STATS1003B!P1387/1000</f>
        <v>0</v>
      </c>
      <c r="Q1386" s="85">
        <f>STATS1003B!Q1387/1000</f>
        <v>786</v>
      </c>
      <c r="R1386" s="85">
        <f>STATS1003B!R1387/1000</f>
        <v>0</v>
      </c>
      <c r="S1386" s="85">
        <f>STATS1003B!S1387/1000</f>
        <v>0</v>
      </c>
      <c r="T1386" s="85">
        <f>STATS1003B!T1387/1000</f>
        <v>0</v>
      </c>
      <c r="U1386" s="85">
        <f>STATS1003B!U1387/1000</f>
        <v>0</v>
      </c>
      <c r="V1386" s="85">
        <f>STATS1003B!V1387/1000</f>
        <v>786</v>
      </c>
      <c r="W1386" s="85">
        <f>STATS1003B!W1387/1000</f>
        <v>0</v>
      </c>
      <c r="X1386" s="85">
        <f t="shared" si="160"/>
        <v>786</v>
      </c>
      <c r="Y1386" s="85">
        <f>STATS1003B!Y1387/1000</f>
        <v>0</v>
      </c>
      <c r="Z1386" s="85">
        <f t="shared" si="161"/>
        <v>0</v>
      </c>
      <c r="AA1386" s="69">
        <f>STATS1003B!AA1387/1000</f>
        <v>786</v>
      </c>
      <c r="AB1386" s="69">
        <f>STATS1003B!AB1387/1000</f>
        <v>0</v>
      </c>
    </row>
    <row r="1387" spans="1:28" hidden="1" x14ac:dyDescent="0.3">
      <c r="A1387" s="117"/>
      <c r="C1387" s="68" t="s">
        <v>535</v>
      </c>
      <c r="D1387" s="145" t="s">
        <v>88</v>
      </c>
      <c r="E1387" s="85">
        <f>STATS1003B!E1388/1000</f>
        <v>1694.1410000000001</v>
      </c>
      <c r="F1387" s="85">
        <f>STATS1003B!F1388/1000</f>
        <v>1694.1410000000001</v>
      </c>
      <c r="G1387" s="85">
        <f>STATS1003B!G1388/1000</f>
        <v>0</v>
      </c>
      <c r="H1387" s="85">
        <f>STATS1003B!H1388/1000</f>
        <v>1694.1410000000001</v>
      </c>
      <c r="I1387" s="85">
        <f>STATS1003B!I1388/1000</f>
        <v>0</v>
      </c>
      <c r="J1387" s="85">
        <f>STATS1003B!J1388/1000</f>
        <v>1694.1410000000001</v>
      </c>
      <c r="K1387" s="85">
        <f>STATS1003B!K1388/1000</f>
        <v>0</v>
      </c>
      <c r="L1387" s="85">
        <f>STATS1003B!L1388/1000</f>
        <v>0</v>
      </c>
      <c r="M1387" s="85">
        <f>STATS1003B!M1388/1000</f>
        <v>1694.1410000000001</v>
      </c>
      <c r="N1387" s="85">
        <f>STATS1003B!N1388/1000</f>
        <v>0</v>
      </c>
      <c r="O1387" s="85">
        <f>STATS1003B!O1388/1000</f>
        <v>0</v>
      </c>
      <c r="P1387" s="85">
        <f>STATS1003B!P1388/1000</f>
        <v>0</v>
      </c>
      <c r="Q1387" s="85">
        <f>STATS1003B!Q1388/1000</f>
        <v>1694.1410000000001</v>
      </c>
      <c r="R1387" s="85">
        <f>STATS1003B!R1388/1000</f>
        <v>0</v>
      </c>
      <c r="S1387" s="85">
        <f>STATS1003B!S1388/1000</f>
        <v>0</v>
      </c>
      <c r="T1387" s="85">
        <f>STATS1003B!T1388/1000</f>
        <v>0</v>
      </c>
      <c r="U1387" s="85">
        <f>STATS1003B!U1388/1000</f>
        <v>0</v>
      </c>
      <c r="V1387" s="85">
        <f>STATS1003B!V1388/1000</f>
        <v>1694.1410000000001</v>
      </c>
      <c r="W1387" s="85">
        <f>STATS1003B!W1388/1000</f>
        <v>0</v>
      </c>
      <c r="X1387" s="85">
        <f t="shared" si="160"/>
        <v>1694.1410000000001</v>
      </c>
      <c r="Y1387" s="85">
        <f>STATS1003B!Y1388/1000</f>
        <v>0</v>
      </c>
      <c r="Z1387" s="85">
        <f t="shared" si="161"/>
        <v>0</v>
      </c>
      <c r="AA1387" s="69">
        <f>STATS1003B!AA1388/1000</f>
        <v>1694.1410000000001</v>
      </c>
      <c r="AB1387" s="69">
        <f>STATS1003B!AB1388/1000</f>
        <v>0</v>
      </c>
    </row>
    <row r="1388" spans="1:28" hidden="1" x14ac:dyDescent="0.3">
      <c r="A1388" s="117"/>
      <c r="C1388" s="68" t="s">
        <v>535</v>
      </c>
      <c r="D1388" s="145" t="s">
        <v>58</v>
      </c>
      <c r="E1388" s="85">
        <f>STATS1003B!E1389/1000</f>
        <v>4311.6510499999995</v>
      </c>
      <c r="F1388" s="85">
        <f>STATS1003B!F1389/1000</f>
        <v>4311.6510499999995</v>
      </c>
      <c r="G1388" s="85">
        <f>STATS1003B!G1389/1000</f>
        <v>0</v>
      </c>
      <c r="H1388" s="85">
        <f>STATS1003B!H1389/1000</f>
        <v>4311.6510499999995</v>
      </c>
      <c r="I1388" s="85">
        <f>STATS1003B!I1389/1000</f>
        <v>0</v>
      </c>
      <c r="J1388" s="85">
        <f>STATS1003B!J1389/1000</f>
        <v>4311.6510499999995</v>
      </c>
      <c r="K1388" s="85">
        <f>STATS1003B!K1389/1000</f>
        <v>0</v>
      </c>
      <c r="L1388" s="85">
        <f>STATS1003B!L1389/1000</f>
        <v>0</v>
      </c>
      <c r="M1388" s="85">
        <f>STATS1003B!M1389/1000</f>
        <v>4311.6510499999995</v>
      </c>
      <c r="N1388" s="85">
        <f>STATS1003B!N1389/1000</f>
        <v>0</v>
      </c>
      <c r="O1388" s="85">
        <f>STATS1003B!O1389/1000</f>
        <v>0</v>
      </c>
      <c r="P1388" s="85">
        <f>STATS1003B!P1389/1000</f>
        <v>0</v>
      </c>
      <c r="Q1388" s="85">
        <f>STATS1003B!Q1389/1000</f>
        <v>4311.6510499999995</v>
      </c>
      <c r="R1388" s="85">
        <f>STATS1003B!R1389/1000</f>
        <v>0</v>
      </c>
      <c r="S1388" s="85">
        <f>STATS1003B!S1389/1000</f>
        <v>0</v>
      </c>
      <c r="T1388" s="85">
        <f>STATS1003B!T1389/1000</f>
        <v>0</v>
      </c>
      <c r="U1388" s="85">
        <f>STATS1003B!U1389/1000</f>
        <v>0</v>
      </c>
      <c r="V1388" s="85">
        <f>STATS1003B!V1389/1000</f>
        <v>4311.6510499999995</v>
      </c>
      <c r="W1388" s="85">
        <f>STATS1003B!W1389/1000</f>
        <v>0</v>
      </c>
      <c r="X1388" s="85">
        <f t="shared" si="160"/>
        <v>4311.6510499999995</v>
      </c>
      <c r="Y1388" s="85">
        <f>STATS1003B!Y1389/1000</f>
        <v>0</v>
      </c>
      <c r="Z1388" s="85">
        <f t="shared" si="161"/>
        <v>0</v>
      </c>
      <c r="AA1388" s="69">
        <f>STATS1003B!AA1389/1000</f>
        <v>4311.6510499999995</v>
      </c>
      <c r="AB1388" s="69">
        <f>STATS1003B!AB1389/1000</f>
        <v>0</v>
      </c>
    </row>
    <row r="1389" spans="1:28" hidden="1" x14ac:dyDescent="0.3">
      <c r="A1389" s="117"/>
      <c r="C1389" s="68" t="s">
        <v>721</v>
      </c>
      <c r="D1389" s="88" t="s">
        <v>60</v>
      </c>
      <c r="E1389" s="85">
        <f>STATS1003B!E1390/1000</f>
        <v>4300</v>
      </c>
      <c r="F1389" s="85">
        <f>STATS1003B!F1390/1000</f>
        <v>4300</v>
      </c>
      <c r="G1389" s="85">
        <f>STATS1003B!G1390/1000</f>
        <v>0</v>
      </c>
      <c r="H1389" s="85">
        <f>STATS1003B!H1390/1000</f>
        <v>4300</v>
      </c>
      <c r="I1389" s="85">
        <f>STATS1003B!I1390/1000</f>
        <v>0</v>
      </c>
      <c r="J1389" s="85">
        <f>STATS1003B!J1390/1000</f>
        <v>4300</v>
      </c>
      <c r="K1389" s="85">
        <f>STATS1003B!K1390/1000</f>
        <v>0</v>
      </c>
      <c r="L1389" s="85">
        <f>STATS1003B!L1390/1000</f>
        <v>0</v>
      </c>
      <c r="M1389" s="85">
        <f>STATS1003B!M1390/1000</f>
        <v>4300</v>
      </c>
      <c r="N1389" s="85">
        <f>STATS1003B!N1390/1000</f>
        <v>0</v>
      </c>
      <c r="O1389" s="85">
        <f>STATS1003B!O1390/1000</f>
        <v>0</v>
      </c>
      <c r="P1389" s="85">
        <f>STATS1003B!P1390/1000</f>
        <v>0</v>
      </c>
      <c r="Q1389" s="85">
        <f>STATS1003B!Q1390/1000</f>
        <v>4300</v>
      </c>
      <c r="R1389" s="85">
        <f>STATS1003B!R1390/1000</f>
        <v>0</v>
      </c>
      <c r="S1389" s="85">
        <f>STATS1003B!S1390/1000</f>
        <v>0</v>
      </c>
      <c r="T1389" s="85">
        <f>STATS1003B!T1390/1000</f>
        <v>0</v>
      </c>
      <c r="U1389" s="85">
        <f>STATS1003B!U1390/1000</f>
        <v>0</v>
      </c>
      <c r="V1389" s="85">
        <f>STATS1003B!V1390/1000</f>
        <v>4300</v>
      </c>
      <c r="W1389" s="85">
        <f>STATS1003B!W1390/1000</f>
        <v>0</v>
      </c>
      <c r="X1389" s="85">
        <f t="shared" si="160"/>
        <v>4300</v>
      </c>
      <c r="Y1389" s="85">
        <f>STATS1003B!Y1390/1000</f>
        <v>0</v>
      </c>
      <c r="Z1389" s="85">
        <f t="shared" si="161"/>
        <v>0</v>
      </c>
      <c r="AA1389" s="69">
        <f>STATS1003B!AA1390/1000</f>
        <v>4300</v>
      </c>
      <c r="AB1389" s="69">
        <f>STATS1003B!AB1390/1000</f>
        <v>0</v>
      </c>
    </row>
    <row r="1390" spans="1:28" hidden="1" x14ac:dyDescent="0.3">
      <c r="A1390" s="117"/>
      <c r="C1390" s="68" t="s">
        <v>535</v>
      </c>
      <c r="D1390" s="88" t="s">
        <v>60</v>
      </c>
      <c r="E1390" s="85">
        <f>STATS1003B!E1391/1000</f>
        <v>2113.15</v>
      </c>
      <c r="F1390" s="85">
        <f>STATS1003B!F1391/1000</f>
        <v>2113.15</v>
      </c>
      <c r="G1390" s="85">
        <f>STATS1003B!G1391/1000</f>
        <v>0</v>
      </c>
      <c r="H1390" s="85">
        <f>STATS1003B!H1391/1000</f>
        <v>2113.15</v>
      </c>
      <c r="I1390" s="85">
        <f>STATS1003B!I1391/1000</f>
        <v>0</v>
      </c>
      <c r="J1390" s="85">
        <f>STATS1003B!J1391/1000</f>
        <v>2113.15</v>
      </c>
      <c r="K1390" s="85">
        <f>STATS1003B!K1391/1000</f>
        <v>0</v>
      </c>
      <c r="L1390" s="85">
        <f>STATS1003B!L1391/1000</f>
        <v>0</v>
      </c>
      <c r="M1390" s="85">
        <f>STATS1003B!M1391/1000</f>
        <v>2113.15</v>
      </c>
      <c r="N1390" s="85">
        <f>STATS1003B!N1391/1000</f>
        <v>0</v>
      </c>
      <c r="O1390" s="85">
        <f>STATS1003B!O1391/1000</f>
        <v>0</v>
      </c>
      <c r="P1390" s="85">
        <f>STATS1003B!P1391/1000</f>
        <v>0</v>
      </c>
      <c r="Q1390" s="85">
        <f>STATS1003B!Q1391/1000</f>
        <v>2113.15</v>
      </c>
      <c r="R1390" s="85">
        <f>STATS1003B!R1391/1000</f>
        <v>0</v>
      </c>
      <c r="S1390" s="85">
        <f>STATS1003B!S1391/1000</f>
        <v>0</v>
      </c>
      <c r="T1390" s="85">
        <f>STATS1003B!T1391/1000</f>
        <v>0</v>
      </c>
      <c r="U1390" s="85">
        <f>STATS1003B!U1391/1000</f>
        <v>0</v>
      </c>
      <c r="V1390" s="85">
        <f>STATS1003B!V1391/1000</f>
        <v>2113.15</v>
      </c>
      <c r="W1390" s="85">
        <f>STATS1003B!W1391/1000</f>
        <v>0</v>
      </c>
      <c r="X1390" s="85">
        <f t="shared" si="160"/>
        <v>2113.15</v>
      </c>
      <c r="Y1390" s="85">
        <f>STATS1003B!Y1391/1000</f>
        <v>0</v>
      </c>
      <c r="Z1390" s="85">
        <f t="shared" si="161"/>
        <v>0</v>
      </c>
      <c r="AA1390" s="69">
        <f>STATS1003B!AA1391/1000</f>
        <v>2113.15</v>
      </c>
      <c r="AB1390" s="69">
        <f>STATS1003B!AB1391/1000</f>
        <v>0</v>
      </c>
    </row>
    <row r="1391" spans="1:28" hidden="1" x14ac:dyDescent="0.3">
      <c r="A1391" s="117"/>
      <c r="C1391" s="68" t="s">
        <v>535</v>
      </c>
      <c r="D1391" s="88" t="s">
        <v>73</v>
      </c>
      <c r="E1391" s="85">
        <f>STATS1003B!E1392/1000</f>
        <v>1887.7744</v>
      </c>
      <c r="F1391" s="85">
        <f>STATS1003B!F1392/1000</f>
        <v>1887.7744</v>
      </c>
      <c r="G1391" s="85">
        <f>STATS1003B!G1392/1000</f>
        <v>0</v>
      </c>
      <c r="H1391" s="85">
        <f>STATS1003B!H1392/1000</f>
        <v>1887.7744</v>
      </c>
      <c r="I1391" s="85">
        <f>STATS1003B!I1392/1000</f>
        <v>0</v>
      </c>
      <c r="J1391" s="85">
        <f>STATS1003B!J1392/1000</f>
        <v>1887.7744</v>
      </c>
      <c r="K1391" s="85">
        <f>STATS1003B!K1392/1000</f>
        <v>0</v>
      </c>
      <c r="L1391" s="85">
        <f>STATS1003B!L1392/1000</f>
        <v>0</v>
      </c>
      <c r="M1391" s="85">
        <f>STATS1003B!M1392/1000</f>
        <v>1887.7744</v>
      </c>
      <c r="N1391" s="85">
        <f>STATS1003B!N1392/1000</f>
        <v>0</v>
      </c>
      <c r="O1391" s="85">
        <f>STATS1003B!O1392/1000</f>
        <v>0</v>
      </c>
      <c r="P1391" s="85">
        <f>STATS1003B!P1392/1000</f>
        <v>0</v>
      </c>
      <c r="Q1391" s="85">
        <f>STATS1003B!Q1392/1000</f>
        <v>1887.7744</v>
      </c>
      <c r="R1391" s="85">
        <f>STATS1003B!R1392/1000</f>
        <v>0</v>
      </c>
      <c r="S1391" s="85">
        <f>STATS1003B!S1392/1000</f>
        <v>0</v>
      </c>
      <c r="T1391" s="85">
        <f>STATS1003B!T1392/1000</f>
        <v>0</v>
      </c>
      <c r="U1391" s="85">
        <f>STATS1003B!U1392/1000</f>
        <v>0</v>
      </c>
      <c r="V1391" s="85">
        <f>STATS1003B!V1392/1000</f>
        <v>1887.7744</v>
      </c>
      <c r="W1391" s="85">
        <f>STATS1003B!W1392/1000</f>
        <v>0</v>
      </c>
      <c r="X1391" s="85">
        <f t="shared" si="160"/>
        <v>1887.7744</v>
      </c>
      <c r="Y1391" s="85">
        <f>STATS1003B!Y1392/1000</f>
        <v>0</v>
      </c>
      <c r="Z1391" s="85">
        <f t="shared" si="161"/>
        <v>0</v>
      </c>
      <c r="AA1391" s="69">
        <f>STATS1003B!AA1392/1000</f>
        <v>1887.7744</v>
      </c>
      <c r="AB1391" s="69">
        <f>STATS1003B!AB1392/1000</f>
        <v>0</v>
      </c>
    </row>
    <row r="1392" spans="1:28" hidden="1" x14ac:dyDescent="0.3">
      <c r="A1392" s="117"/>
      <c r="C1392" s="71" t="s">
        <v>721</v>
      </c>
      <c r="D1392" s="88" t="s">
        <v>73</v>
      </c>
      <c r="E1392" s="85">
        <f>STATS1003B!E1393/1000</f>
        <v>4750</v>
      </c>
      <c r="F1392" s="85">
        <f>STATS1003B!F1393/1000</f>
        <v>4750</v>
      </c>
      <c r="G1392" s="85">
        <f>STATS1003B!G1393/1000</f>
        <v>0</v>
      </c>
      <c r="H1392" s="85">
        <f>STATS1003B!H1393/1000</f>
        <v>4750</v>
      </c>
      <c r="I1392" s="85">
        <f>STATS1003B!I1393/1000</f>
        <v>0</v>
      </c>
      <c r="J1392" s="85">
        <f>STATS1003B!J1393/1000</f>
        <v>4750</v>
      </c>
      <c r="K1392" s="85">
        <f>STATS1003B!K1393/1000</f>
        <v>0</v>
      </c>
      <c r="L1392" s="85">
        <f>STATS1003B!L1393/1000</f>
        <v>0</v>
      </c>
      <c r="M1392" s="85">
        <f>STATS1003B!M1393/1000</f>
        <v>4750</v>
      </c>
      <c r="N1392" s="85">
        <f>STATS1003B!N1393/1000</f>
        <v>0</v>
      </c>
      <c r="O1392" s="85">
        <f>STATS1003B!O1393/1000</f>
        <v>0</v>
      </c>
      <c r="P1392" s="85">
        <f>STATS1003B!P1393/1000</f>
        <v>0</v>
      </c>
      <c r="Q1392" s="85">
        <f>STATS1003B!Q1393/1000</f>
        <v>4750</v>
      </c>
      <c r="R1392" s="85">
        <f>STATS1003B!R1393/1000</f>
        <v>0</v>
      </c>
      <c r="S1392" s="85">
        <f>STATS1003B!S1393/1000</f>
        <v>0</v>
      </c>
      <c r="T1392" s="85">
        <f>STATS1003B!T1393/1000</f>
        <v>0</v>
      </c>
      <c r="U1392" s="85">
        <f>STATS1003B!U1393/1000</f>
        <v>0</v>
      </c>
      <c r="V1392" s="85">
        <f>STATS1003B!V1393/1000</f>
        <v>4750</v>
      </c>
      <c r="W1392" s="85">
        <f>STATS1003B!W1393/1000</f>
        <v>0</v>
      </c>
      <c r="X1392" s="85">
        <f t="shared" si="160"/>
        <v>4750</v>
      </c>
      <c r="Y1392" s="85">
        <f>STATS1003B!Y1393/1000</f>
        <v>0</v>
      </c>
      <c r="Z1392" s="85">
        <f t="shared" si="161"/>
        <v>0</v>
      </c>
      <c r="AA1392" s="69">
        <f>STATS1003B!AA1393/1000</f>
        <v>4750</v>
      </c>
      <c r="AB1392" s="69">
        <f>STATS1003B!AB1393/1000</f>
        <v>0</v>
      </c>
    </row>
    <row r="1393" spans="1:28" hidden="1" x14ac:dyDescent="0.3">
      <c r="A1393" s="117"/>
      <c r="C1393" s="71" t="s">
        <v>535</v>
      </c>
      <c r="D1393" s="88" t="s">
        <v>61</v>
      </c>
      <c r="E1393" s="85">
        <f>STATS1003B!E1394/1000</f>
        <v>2438</v>
      </c>
      <c r="F1393" s="85">
        <f>STATS1003B!F1394/1000</f>
        <v>2438</v>
      </c>
      <c r="G1393" s="85">
        <f>STATS1003B!G1394/1000</f>
        <v>0</v>
      </c>
      <c r="H1393" s="85">
        <f>STATS1003B!H1394/1000</f>
        <v>2438</v>
      </c>
      <c r="I1393" s="85">
        <f>STATS1003B!I1394/1000</f>
        <v>0</v>
      </c>
      <c r="J1393" s="85">
        <f>STATS1003B!J1394/1000</f>
        <v>2438</v>
      </c>
      <c r="K1393" s="85">
        <f>STATS1003B!K1394/1000</f>
        <v>0</v>
      </c>
      <c r="L1393" s="85">
        <f>STATS1003B!L1394/1000</f>
        <v>0</v>
      </c>
      <c r="M1393" s="85">
        <f>STATS1003B!M1394/1000</f>
        <v>2438</v>
      </c>
      <c r="N1393" s="85">
        <f>STATS1003B!N1394/1000</f>
        <v>0</v>
      </c>
      <c r="O1393" s="85">
        <f>STATS1003B!O1394/1000</f>
        <v>0</v>
      </c>
      <c r="P1393" s="85">
        <f>STATS1003B!P1394/1000</f>
        <v>0</v>
      </c>
      <c r="Q1393" s="85">
        <f>STATS1003B!Q1394/1000</f>
        <v>2438</v>
      </c>
      <c r="R1393" s="85">
        <f>STATS1003B!R1394/1000</f>
        <v>0</v>
      </c>
      <c r="S1393" s="85">
        <f>STATS1003B!S1394/1000</f>
        <v>0</v>
      </c>
      <c r="T1393" s="85">
        <f>STATS1003B!T1394/1000</f>
        <v>0</v>
      </c>
      <c r="U1393" s="85">
        <f>STATS1003B!U1394/1000</f>
        <v>0</v>
      </c>
      <c r="V1393" s="85">
        <f>STATS1003B!V1394/1000</f>
        <v>2438</v>
      </c>
      <c r="W1393" s="85">
        <f>STATS1003B!W1394/1000</f>
        <v>0</v>
      </c>
      <c r="X1393" s="85">
        <f t="shared" si="160"/>
        <v>2438</v>
      </c>
      <c r="Y1393" s="85">
        <f>STATS1003B!Y1394/1000</f>
        <v>0</v>
      </c>
      <c r="Z1393" s="85">
        <f t="shared" si="161"/>
        <v>0</v>
      </c>
      <c r="AA1393" s="69">
        <f>STATS1003B!AA1394/1000</f>
        <v>2438</v>
      </c>
      <c r="AB1393" s="69">
        <f>STATS1003B!AB1394/1000</f>
        <v>0</v>
      </c>
    </row>
    <row r="1394" spans="1:28" hidden="1" x14ac:dyDescent="0.3">
      <c r="A1394" s="117"/>
      <c r="C1394" s="71" t="s">
        <v>1140</v>
      </c>
      <c r="D1394" s="89" t="s">
        <v>1126</v>
      </c>
      <c r="E1394" s="85">
        <f>STATS1003B!E1395/1000</f>
        <v>500</v>
      </c>
      <c r="F1394" s="85">
        <f>STATS1003B!F1395/1000</f>
        <v>500</v>
      </c>
      <c r="G1394" s="85">
        <f>STATS1003B!G1395/1000</f>
        <v>0</v>
      </c>
      <c r="H1394" s="85">
        <f>STATS1003B!H1395/1000</f>
        <v>500</v>
      </c>
      <c r="I1394" s="85">
        <f>STATS1003B!I1395/1000</f>
        <v>0</v>
      </c>
      <c r="J1394" s="85">
        <f>STATS1003B!J1395/1000</f>
        <v>500</v>
      </c>
      <c r="K1394" s="85">
        <f>STATS1003B!K1395/1000</f>
        <v>0</v>
      </c>
      <c r="L1394" s="85">
        <f>STATS1003B!L1395/1000</f>
        <v>0</v>
      </c>
      <c r="M1394" s="85">
        <f>STATS1003B!M1395/1000</f>
        <v>500</v>
      </c>
      <c r="N1394" s="85">
        <f>STATS1003B!N1395/1000</f>
        <v>0</v>
      </c>
      <c r="O1394" s="85">
        <f>STATS1003B!O1395/1000</f>
        <v>0</v>
      </c>
      <c r="P1394" s="85">
        <f>STATS1003B!P1395/1000</f>
        <v>0</v>
      </c>
      <c r="Q1394" s="85">
        <f>STATS1003B!Q1395/1000</f>
        <v>500</v>
      </c>
      <c r="R1394" s="85">
        <f>STATS1003B!R1395/1000</f>
        <v>0</v>
      </c>
      <c r="S1394" s="85">
        <f>STATS1003B!S1395/1000</f>
        <v>0</v>
      </c>
      <c r="T1394" s="85">
        <f>STATS1003B!T1395/1000</f>
        <v>0</v>
      </c>
      <c r="U1394" s="85">
        <f>STATS1003B!U1395/1000</f>
        <v>0</v>
      </c>
      <c r="V1394" s="85">
        <f>STATS1003B!V1395/1000</f>
        <v>500</v>
      </c>
      <c r="W1394" s="85">
        <f>STATS1003B!W1395/1000</f>
        <v>0</v>
      </c>
      <c r="X1394" s="85">
        <f t="shared" si="160"/>
        <v>500</v>
      </c>
      <c r="Y1394" s="85">
        <f>STATS1003B!Y1395/1000</f>
        <v>0</v>
      </c>
      <c r="Z1394" s="85">
        <f t="shared" si="161"/>
        <v>0</v>
      </c>
      <c r="AA1394" s="69">
        <f>STATS1003B!AA1395/1000</f>
        <v>500</v>
      </c>
      <c r="AB1394" s="69">
        <f>STATS1003B!AB1395/1000</f>
        <v>0</v>
      </c>
    </row>
    <row r="1395" spans="1:28" hidden="1" x14ac:dyDescent="0.3">
      <c r="A1395" s="117"/>
      <c r="C1395" s="71" t="s">
        <v>933</v>
      </c>
      <c r="D1395" s="89" t="s">
        <v>1072</v>
      </c>
      <c r="E1395" s="85">
        <f>STATS1003B!E1396/1000</f>
        <v>1172</v>
      </c>
      <c r="F1395" s="85">
        <f>STATS1003B!F1396/1000</f>
        <v>1172</v>
      </c>
      <c r="G1395" s="85">
        <f>STATS1003B!G1396/1000</f>
        <v>0</v>
      </c>
      <c r="H1395" s="85">
        <f>STATS1003B!H1396/1000</f>
        <v>1172</v>
      </c>
      <c r="I1395" s="85">
        <f>STATS1003B!I1396/1000</f>
        <v>0</v>
      </c>
      <c r="J1395" s="85">
        <f>STATS1003B!J1396/1000</f>
        <v>1172</v>
      </c>
      <c r="K1395" s="85">
        <f>STATS1003B!K1396/1000</f>
        <v>0</v>
      </c>
      <c r="L1395" s="85">
        <f>STATS1003B!L1396/1000</f>
        <v>0</v>
      </c>
      <c r="M1395" s="85">
        <f>STATS1003B!M1396/1000</f>
        <v>1172</v>
      </c>
      <c r="N1395" s="85">
        <f>STATS1003B!N1396/1000</f>
        <v>0</v>
      </c>
      <c r="O1395" s="85">
        <f>STATS1003B!O1396/1000</f>
        <v>0</v>
      </c>
      <c r="P1395" s="85">
        <f>STATS1003B!P1396/1000</f>
        <v>0</v>
      </c>
      <c r="Q1395" s="85">
        <f>STATS1003B!Q1396/1000</f>
        <v>0</v>
      </c>
      <c r="R1395" s="85">
        <f>STATS1003B!R1396/1000</f>
        <v>0</v>
      </c>
      <c r="S1395" s="85">
        <f>STATS1003B!S1396/1000</f>
        <v>0</v>
      </c>
      <c r="T1395" s="85">
        <f>STATS1003B!T1396/1000</f>
        <v>0</v>
      </c>
      <c r="U1395" s="85">
        <f>STATS1003B!U1396/1000</f>
        <v>0</v>
      </c>
      <c r="V1395" s="85">
        <f>STATS1003B!V1396/1000</f>
        <v>1172</v>
      </c>
      <c r="W1395" s="85">
        <f>STATS1003B!W1396/1000</f>
        <v>0</v>
      </c>
      <c r="X1395" s="85">
        <f t="shared" si="160"/>
        <v>1172</v>
      </c>
      <c r="Y1395" s="85">
        <f>STATS1003B!Y1396/1000</f>
        <v>0</v>
      </c>
      <c r="Z1395" s="85">
        <f t="shared" si="161"/>
        <v>0</v>
      </c>
      <c r="AA1395" s="69">
        <f>STATS1003B!AA1396/1000</f>
        <v>1172</v>
      </c>
      <c r="AB1395" s="69">
        <f>STATS1003B!AB1396/1000</f>
        <v>0</v>
      </c>
    </row>
    <row r="1396" spans="1:28" hidden="1" x14ac:dyDescent="0.3">
      <c r="A1396" s="117"/>
      <c r="C1396" s="71" t="s">
        <v>1203</v>
      </c>
      <c r="D1396" s="89" t="s">
        <v>1126</v>
      </c>
      <c r="E1396" s="85">
        <f>STATS1003B!E1397/1000</f>
        <v>1000</v>
      </c>
      <c r="F1396" s="85">
        <f>STATS1003B!F1397/1000</f>
        <v>1000</v>
      </c>
      <c r="G1396" s="85">
        <f>STATS1003B!G1397/1000</f>
        <v>0</v>
      </c>
      <c r="H1396" s="85">
        <f>STATS1003B!H1397/1000</f>
        <v>1000</v>
      </c>
      <c r="I1396" s="85">
        <f>STATS1003B!I1397/1000</f>
        <v>0</v>
      </c>
      <c r="J1396" s="85">
        <f>STATS1003B!J1397/1000</f>
        <v>0</v>
      </c>
      <c r="K1396" s="85">
        <f>STATS1003B!K1397/1000</f>
        <v>0</v>
      </c>
      <c r="L1396" s="85">
        <f>STATS1003B!L1397/1000</f>
        <v>0</v>
      </c>
      <c r="M1396" s="85">
        <f>STATS1003B!M1397/1000</f>
        <v>1000</v>
      </c>
      <c r="N1396" s="85">
        <f>STATS1003B!N1397/1000</f>
        <v>0</v>
      </c>
      <c r="O1396" s="85">
        <f>STATS1003B!O1397/1000</f>
        <v>0</v>
      </c>
      <c r="P1396" s="85">
        <f>STATS1003B!P1397/1000</f>
        <v>0</v>
      </c>
      <c r="Q1396" s="85">
        <f>STATS1003B!Q1397/1000</f>
        <v>0</v>
      </c>
      <c r="R1396" s="85">
        <f>STATS1003B!R1397/1000</f>
        <v>0</v>
      </c>
      <c r="S1396" s="85">
        <f>STATS1003B!S1397/1000</f>
        <v>0</v>
      </c>
      <c r="T1396" s="85">
        <f>STATS1003B!T1397/1000</f>
        <v>0</v>
      </c>
      <c r="U1396" s="85">
        <f>STATS1003B!U1397/1000</f>
        <v>0</v>
      </c>
      <c r="V1396" s="85">
        <f>STATS1003B!V1397/1000</f>
        <v>0</v>
      </c>
      <c r="W1396" s="85">
        <f>STATS1003B!W1397/1000</f>
        <v>0</v>
      </c>
      <c r="X1396" s="85">
        <f t="shared" si="160"/>
        <v>1000</v>
      </c>
      <c r="Y1396" s="85">
        <f>STATS1003B!Y1397/1000</f>
        <v>0</v>
      </c>
      <c r="Z1396" s="85">
        <f t="shared" si="161"/>
        <v>0</v>
      </c>
      <c r="AA1396" s="69">
        <f>STATS1003B!AA1397/1000</f>
        <v>1000</v>
      </c>
      <c r="AB1396" s="69">
        <f>STATS1003B!AB1397/1000</f>
        <v>0</v>
      </c>
    </row>
    <row r="1397" spans="1:28" hidden="1" x14ac:dyDescent="0.3">
      <c r="A1397" s="117"/>
      <c r="C1397" s="68" t="s">
        <v>550</v>
      </c>
      <c r="E1397" s="85">
        <f>STATS1003B!E1398/1000</f>
        <v>742.29499999999996</v>
      </c>
      <c r="F1397" s="85">
        <f>STATS1003B!F1398/1000</f>
        <v>742.29499999999996</v>
      </c>
      <c r="G1397" s="85">
        <f>STATS1003B!G1398/1000</f>
        <v>0</v>
      </c>
      <c r="H1397" s="85">
        <f>STATS1003B!H1398/1000</f>
        <v>742.29499999999996</v>
      </c>
      <c r="I1397" s="85">
        <f>STATS1003B!I1398/1000</f>
        <v>0</v>
      </c>
      <c r="J1397" s="85">
        <f>STATS1003B!J1398/1000</f>
        <v>742.29499999999996</v>
      </c>
      <c r="K1397" s="85">
        <f>STATS1003B!K1398/1000</f>
        <v>0</v>
      </c>
      <c r="L1397" s="85">
        <f>STATS1003B!L1398/1000</f>
        <v>0</v>
      </c>
      <c r="M1397" s="85">
        <f>STATS1003B!M1398/1000</f>
        <v>742.29499999999996</v>
      </c>
      <c r="N1397" s="85">
        <f>STATS1003B!N1398/1000</f>
        <v>0</v>
      </c>
      <c r="O1397" s="85">
        <f>STATS1003B!O1398/1000</f>
        <v>0</v>
      </c>
      <c r="P1397" s="85">
        <f>STATS1003B!P1398/1000</f>
        <v>0</v>
      </c>
      <c r="Q1397" s="85">
        <f>STATS1003B!Q1398/1000</f>
        <v>742.29499999999996</v>
      </c>
      <c r="R1397" s="85">
        <f>STATS1003B!R1398/1000</f>
        <v>0</v>
      </c>
      <c r="S1397" s="85">
        <f>STATS1003B!S1398/1000</f>
        <v>0</v>
      </c>
      <c r="T1397" s="85">
        <f>STATS1003B!T1398/1000</f>
        <v>0</v>
      </c>
      <c r="U1397" s="85">
        <f>STATS1003B!U1398/1000</f>
        <v>0</v>
      </c>
      <c r="V1397" s="85">
        <f>STATS1003B!V1398/1000</f>
        <v>742.29499999999996</v>
      </c>
      <c r="W1397" s="85">
        <f>STATS1003B!W1398/1000</f>
        <v>0</v>
      </c>
      <c r="X1397" s="85">
        <f t="shared" si="160"/>
        <v>742.29499999999996</v>
      </c>
      <c r="Y1397" s="85">
        <f>STATS1003B!Y1398/1000</f>
        <v>0</v>
      </c>
      <c r="Z1397" s="85">
        <f t="shared" si="161"/>
        <v>0</v>
      </c>
      <c r="AA1397" s="69">
        <f>STATS1003B!AA1398/1000</f>
        <v>742.29499999999996</v>
      </c>
      <c r="AB1397" s="69">
        <f>STATS1003B!AB1398/1000</f>
        <v>0</v>
      </c>
    </row>
    <row r="1398" spans="1:28" hidden="1" x14ac:dyDescent="0.3">
      <c r="A1398" s="117"/>
      <c r="C1398" s="68" t="s">
        <v>702</v>
      </c>
      <c r="E1398" s="85">
        <f>STATS1003B!E1399/1000</f>
        <v>300</v>
      </c>
      <c r="F1398" s="85">
        <f>STATS1003B!F1399/1000</f>
        <v>0</v>
      </c>
      <c r="G1398" s="85">
        <f>STATS1003B!G1399/1000</f>
        <v>0</v>
      </c>
      <c r="H1398" s="85">
        <f>STATS1003B!H1399/1000</f>
        <v>0</v>
      </c>
      <c r="I1398" s="85">
        <f>STATS1003B!I1399/1000</f>
        <v>0</v>
      </c>
      <c r="J1398" s="85">
        <f>STATS1003B!J1399/1000</f>
        <v>0</v>
      </c>
      <c r="K1398" s="85">
        <f>STATS1003B!K1399/1000</f>
        <v>300</v>
      </c>
      <c r="L1398" s="85">
        <f>STATS1003B!L1399/1000</f>
        <v>0</v>
      </c>
      <c r="M1398" s="85">
        <f>STATS1003B!M1399/1000</f>
        <v>0</v>
      </c>
      <c r="N1398" s="85">
        <f>STATS1003B!N1399/1000</f>
        <v>300</v>
      </c>
      <c r="O1398" s="85">
        <f>STATS1003B!O1399/1000</f>
        <v>0</v>
      </c>
      <c r="P1398" s="85">
        <f>STATS1003B!P1399/1000</f>
        <v>300</v>
      </c>
      <c r="Q1398" s="85">
        <f>STATS1003B!Q1399/1000</f>
        <v>0</v>
      </c>
      <c r="R1398" s="85">
        <f>STATS1003B!R1399/1000</f>
        <v>0</v>
      </c>
      <c r="S1398" s="85">
        <f>STATS1003B!S1399/1000</f>
        <v>0</v>
      </c>
      <c r="T1398" s="85">
        <f>STATS1003B!T1399/1000</f>
        <v>0</v>
      </c>
      <c r="U1398" s="85">
        <f>STATS1003B!U1399/1000</f>
        <v>300</v>
      </c>
      <c r="V1398" s="85">
        <f>STATS1003B!V1399/1000</f>
        <v>300</v>
      </c>
      <c r="W1398" s="85">
        <f>STATS1003B!W1399/1000</f>
        <v>0</v>
      </c>
      <c r="X1398" s="85">
        <f t="shared" si="160"/>
        <v>300</v>
      </c>
      <c r="Y1398" s="85">
        <f>STATS1003B!Y1399/1000</f>
        <v>0</v>
      </c>
      <c r="Z1398" s="85">
        <f t="shared" si="161"/>
        <v>0</v>
      </c>
      <c r="AA1398" s="69">
        <f>STATS1003B!AA1399/1000</f>
        <v>300</v>
      </c>
      <c r="AB1398" s="69">
        <f>STATS1003B!AB1399/1000</f>
        <v>0</v>
      </c>
    </row>
    <row r="1399" spans="1:28" hidden="1" x14ac:dyDescent="0.3">
      <c r="A1399" s="117"/>
      <c r="C1399" s="68" t="s">
        <v>592</v>
      </c>
      <c r="E1399" s="85">
        <f>STATS1003B!E1400/1000</f>
        <v>213.06200000000004</v>
      </c>
      <c r="F1399" s="85">
        <f>STATS1003B!F1400/1000</f>
        <v>213.06200000000001</v>
      </c>
      <c r="G1399" s="85">
        <f>STATS1003B!G1400/1000</f>
        <v>0</v>
      </c>
      <c r="H1399" s="85">
        <f>STATS1003B!H1400/1000</f>
        <v>213.06200000000001</v>
      </c>
      <c r="I1399" s="85">
        <f>STATS1003B!I1400/1000</f>
        <v>0</v>
      </c>
      <c r="J1399" s="85">
        <f>STATS1003B!J1400/1000</f>
        <v>213.06200000000001</v>
      </c>
      <c r="K1399" s="85">
        <f>STATS1003B!K1400/1000</f>
        <v>0</v>
      </c>
      <c r="L1399" s="85">
        <f>STATS1003B!L1400/1000</f>
        <v>0</v>
      </c>
      <c r="M1399" s="85">
        <f>STATS1003B!M1400/1000</f>
        <v>213.06200000000001</v>
      </c>
      <c r="N1399" s="85">
        <f>STATS1003B!N1400/1000</f>
        <v>0</v>
      </c>
      <c r="O1399" s="85">
        <f>STATS1003B!O1400/1000</f>
        <v>0</v>
      </c>
      <c r="P1399" s="85">
        <f>STATS1003B!P1400/1000</f>
        <v>0</v>
      </c>
      <c r="Q1399" s="85">
        <f>STATS1003B!Q1400/1000</f>
        <v>213.06200000000004</v>
      </c>
      <c r="R1399" s="85">
        <f>STATS1003B!R1400/1000</f>
        <v>0</v>
      </c>
      <c r="S1399" s="85">
        <f>STATS1003B!S1400/1000</f>
        <v>0</v>
      </c>
      <c r="T1399" s="85">
        <f>STATS1003B!T1400/1000</f>
        <v>0</v>
      </c>
      <c r="U1399" s="85">
        <f>STATS1003B!U1400/1000</f>
        <v>0</v>
      </c>
      <c r="V1399" s="85">
        <f>STATS1003B!V1400/1000</f>
        <v>213.06200000000001</v>
      </c>
      <c r="W1399" s="85">
        <f>STATS1003B!W1400/1000</f>
        <v>0</v>
      </c>
      <c r="X1399" s="85">
        <f t="shared" si="160"/>
        <v>213.06200000000001</v>
      </c>
      <c r="Y1399" s="85">
        <f>STATS1003B!Y1400/1000</f>
        <v>0</v>
      </c>
      <c r="Z1399" s="85">
        <f t="shared" si="161"/>
        <v>0</v>
      </c>
      <c r="AA1399" s="69">
        <f>STATS1003B!AA1400/1000</f>
        <v>213.06200000000001</v>
      </c>
      <c r="AB1399" s="69">
        <f>STATS1003B!AB1400/1000</f>
        <v>0</v>
      </c>
    </row>
    <row r="1400" spans="1:28" hidden="1" x14ac:dyDescent="0.3">
      <c r="A1400" s="117"/>
      <c r="C1400" s="68" t="s">
        <v>678</v>
      </c>
      <c r="E1400" s="85">
        <f>STATS1003B!E1401/1000</f>
        <v>7181.1092500000004</v>
      </c>
      <c r="F1400" s="85">
        <f>STATS1003B!F1401/1000</f>
        <v>7181.1092500000004</v>
      </c>
      <c r="G1400" s="85">
        <f>STATS1003B!G1401/1000</f>
        <v>0</v>
      </c>
      <c r="H1400" s="85">
        <f>STATS1003B!H1401/1000</f>
        <v>7181.1092500000004</v>
      </c>
      <c r="I1400" s="85">
        <f>STATS1003B!I1401/1000</f>
        <v>0</v>
      </c>
      <c r="J1400" s="85">
        <f>STATS1003B!J1401/1000</f>
        <v>7181.1092500000004</v>
      </c>
      <c r="K1400" s="85">
        <f>STATS1003B!K1401/1000</f>
        <v>0</v>
      </c>
      <c r="L1400" s="85">
        <f>STATS1003B!L1401/1000</f>
        <v>0</v>
      </c>
      <c r="M1400" s="85">
        <f>STATS1003B!M1401/1000</f>
        <v>7181.1092500000004</v>
      </c>
      <c r="N1400" s="85">
        <f>STATS1003B!N1401/1000</f>
        <v>0</v>
      </c>
      <c r="O1400" s="85">
        <f>STATS1003B!O1401/1000</f>
        <v>0</v>
      </c>
      <c r="P1400" s="85">
        <f>STATS1003B!P1401/1000</f>
        <v>0</v>
      </c>
      <c r="Q1400" s="85">
        <f>STATS1003B!Q1401/1000</f>
        <v>7181.1092500000004</v>
      </c>
      <c r="R1400" s="85">
        <f>STATS1003B!R1401/1000</f>
        <v>0</v>
      </c>
      <c r="S1400" s="85">
        <f>STATS1003B!S1401/1000</f>
        <v>0</v>
      </c>
      <c r="T1400" s="85">
        <f>STATS1003B!T1401/1000</f>
        <v>0</v>
      </c>
      <c r="U1400" s="85">
        <f>STATS1003B!U1401/1000</f>
        <v>0</v>
      </c>
      <c r="V1400" s="85">
        <f>STATS1003B!V1401/1000</f>
        <v>7181.1092500000004</v>
      </c>
      <c r="W1400" s="85">
        <f>STATS1003B!W1401/1000</f>
        <v>0</v>
      </c>
      <c r="X1400" s="85">
        <f t="shared" si="160"/>
        <v>7181.1092500000004</v>
      </c>
      <c r="Y1400" s="85">
        <f>STATS1003B!Y1401/1000</f>
        <v>0</v>
      </c>
      <c r="Z1400" s="85">
        <f t="shared" si="161"/>
        <v>0</v>
      </c>
      <c r="AA1400" s="69">
        <f>STATS1003B!AA1401/1000</f>
        <v>7181.1092500000004</v>
      </c>
      <c r="AB1400" s="69">
        <f>STATS1003B!AB1401/1000</f>
        <v>0</v>
      </c>
    </row>
    <row r="1401" spans="1:28" hidden="1" x14ac:dyDescent="0.3">
      <c r="A1401" s="117"/>
      <c r="E1401" s="86" t="s">
        <v>29</v>
      </c>
      <c r="F1401" s="86" t="s">
        <v>29</v>
      </c>
      <c r="G1401" s="86" t="s">
        <v>29</v>
      </c>
      <c r="H1401" s="86" t="s">
        <v>29</v>
      </c>
      <c r="I1401" s="86" t="s">
        <v>29</v>
      </c>
      <c r="J1401" s="86" t="s">
        <v>29</v>
      </c>
      <c r="K1401" s="86" t="s">
        <v>29</v>
      </c>
      <c r="L1401" s="86" t="s">
        <v>29</v>
      </c>
      <c r="M1401" s="86" t="s">
        <v>29</v>
      </c>
      <c r="N1401" s="86" t="s">
        <v>29</v>
      </c>
      <c r="O1401" s="86" t="s">
        <v>29</v>
      </c>
      <c r="P1401" s="86" t="s">
        <v>29</v>
      </c>
      <c r="Q1401" s="86" t="s">
        <v>29</v>
      </c>
      <c r="R1401" s="86" t="s">
        <v>29</v>
      </c>
      <c r="S1401" s="86" t="s">
        <v>29</v>
      </c>
      <c r="T1401" s="86" t="s">
        <v>29</v>
      </c>
      <c r="U1401" s="86" t="s">
        <v>29</v>
      </c>
      <c r="V1401" s="86" t="s">
        <v>29</v>
      </c>
      <c r="W1401" s="86" t="s">
        <v>29</v>
      </c>
      <c r="X1401" s="85" t="e">
        <f t="shared" si="160"/>
        <v>#VALUE!</v>
      </c>
      <c r="Y1401" s="86" t="s">
        <v>29</v>
      </c>
      <c r="Z1401" s="85" t="e">
        <f t="shared" si="161"/>
        <v>#VALUE!</v>
      </c>
      <c r="AA1401" s="115" t="s">
        <v>29</v>
      </c>
      <c r="AB1401" s="115" t="s">
        <v>29</v>
      </c>
    </row>
    <row r="1402" spans="1:28" x14ac:dyDescent="0.3">
      <c r="A1402" s="116">
        <v>62</v>
      </c>
      <c r="B1402" s="68" t="s">
        <v>719</v>
      </c>
      <c r="E1402" s="85">
        <f>106775992.6/1000</f>
        <v>106775.9926</v>
      </c>
      <c r="F1402" s="85">
        <f t="shared" ref="F1402:Q1402" si="164">SUM(F1378:F1401)</f>
        <v>40272.268149999996</v>
      </c>
      <c r="G1402" s="85">
        <f t="shared" si="164"/>
        <v>0</v>
      </c>
      <c r="H1402" s="85">
        <f>99821400.3/1000</f>
        <v>99821.400299999994</v>
      </c>
      <c r="I1402" s="85">
        <f t="shared" si="164"/>
        <v>0</v>
      </c>
      <c r="J1402" s="85">
        <f t="shared" si="164"/>
        <v>39272.268149999996</v>
      </c>
      <c r="K1402" s="85">
        <f t="shared" si="164"/>
        <v>6954.5923000000003</v>
      </c>
      <c r="L1402" s="85">
        <f t="shared" si="164"/>
        <v>0</v>
      </c>
      <c r="M1402" s="85">
        <f t="shared" si="164"/>
        <v>40272.268149999996</v>
      </c>
      <c r="N1402" s="85">
        <f t="shared" si="164"/>
        <v>6954.5923000000003</v>
      </c>
      <c r="O1402" s="85">
        <f t="shared" si="164"/>
        <v>0</v>
      </c>
      <c r="P1402" s="85">
        <f>6954592/1000</f>
        <v>6954.5919999999996</v>
      </c>
      <c r="Q1402" s="85">
        <f t="shared" si="164"/>
        <v>38100.268149999996</v>
      </c>
      <c r="R1402" s="86"/>
      <c r="S1402" s="86"/>
      <c r="T1402" s="85">
        <f t="shared" ref="T1402:Y1402" si="165">SUM(T1378:T1401)</f>
        <v>0</v>
      </c>
      <c r="U1402" s="85">
        <f t="shared" si="165"/>
        <v>6954.5923000000003</v>
      </c>
      <c r="V1402" s="85">
        <f t="shared" si="165"/>
        <v>46226.860449999993</v>
      </c>
      <c r="W1402" s="85">
        <f t="shared" si="165"/>
        <v>0</v>
      </c>
      <c r="X1402" s="85">
        <f t="shared" si="160"/>
        <v>106775.9923</v>
      </c>
      <c r="Y1402" s="85">
        <f t="shared" si="165"/>
        <v>0</v>
      </c>
      <c r="Z1402" s="85">
        <f t="shared" si="161"/>
        <v>2.9999999969732016E-4</v>
      </c>
      <c r="AA1402" s="69">
        <f>SUM(AA1378:AA1401)</f>
        <v>47226.860449999993</v>
      </c>
      <c r="AB1402" s="69">
        <f>SUM(AB1378:AB1401)</f>
        <v>0</v>
      </c>
    </row>
    <row r="1403" spans="1:28" hidden="1" x14ac:dyDescent="0.3">
      <c r="A1403" s="117"/>
      <c r="E1403" s="86" t="s">
        <v>29</v>
      </c>
      <c r="F1403" s="86" t="s">
        <v>29</v>
      </c>
      <c r="G1403" s="86" t="s">
        <v>29</v>
      </c>
      <c r="H1403" s="86" t="s">
        <v>29</v>
      </c>
      <c r="I1403" s="86" t="s">
        <v>29</v>
      </c>
      <c r="J1403" s="86" t="s">
        <v>29</v>
      </c>
      <c r="K1403" s="86" t="s">
        <v>29</v>
      </c>
      <c r="L1403" s="86" t="s">
        <v>29</v>
      </c>
      <c r="M1403" s="86" t="s">
        <v>29</v>
      </c>
      <c r="N1403" s="86" t="s">
        <v>29</v>
      </c>
      <c r="O1403" s="86" t="s">
        <v>29</v>
      </c>
      <c r="P1403" s="86" t="s">
        <v>29</v>
      </c>
      <c r="Q1403" s="86" t="s">
        <v>29</v>
      </c>
      <c r="R1403" s="86" t="s">
        <v>29</v>
      </c>
      <c r="S1403" s="86" t="s">
        <v>29</v>
      </c>
      <c r="T1403" s="86" t="s">
        <v>29</v>
      </c>
      <c r="U1403" s="86" t="s">
        <v>29</v>
      </c>
      <c r="V1403" s="86" t="s">
        <v>29</v>
      </c>
      <c r="W1403" s="86" t="s">
        <v>29</v>
      </c>
      <c r="X1403" s="85" t="e">
        <f t="shared" si="160"/>
        <v>#VALUE!</v>
      </c>
      <c r="Y1403" s="86" t="s">
        <v>29</v>
      </c>
      <c r="Z1403" s="85" t="e">
        <f t="shared" si="161"/>
        <v>#VALUE!</v>
      </c>
      <c r="AA1403" s="115" t="s">
        <v>29</v>
      </c>
      <c r="AB1403" s="115" t="s">
        <v>29</v>
      </c>
    </row>
    <row r="1404" spans="1:28" hidden="1" x14ac:dyDescent="0.3">
      <c r="A1404" s="105"/>
      <c r="E1404" s="84"/>
      <c r="F1404" s="84"/>
      <c r="G1404" s="84"/>
      <c r="H1404" s="84"/>
      <c r="I1404" s="84"/>
      <c r="J1404" s="84"/>
      <c r="K1404" s="84"/>
      <c r="L1404" s="84"/>
      <c r="M1404" s="84"/>
      <c r="N1404" s="84"/>
      <c r="O1404" s="84"/>
      <c r="P1404" s="84"/>
      <c r="Q1404" s="84"/>
      <c r="R1404" s="86"/>
      <c r="S1404" s="86"/>
      <c r="T1404" s="86"/>
      <c r="U1404" s="86"/>
      <c r="V1404" s="86"/>
      <c r="W1404" s="86"/>
      <c r="X1404" s="85">
        <f t="shared" si="160"/>
        <v>0</v>
      </c>
      <c r="Y1404" s="86"/>
      <c r="Z1404" s="85">
        <f t="shared" si="161"/>
        <v>0</v>
      </c>
    </row>
    <row r="1405" spans="1:28" hidden="1" x14ac:dyDescent="0.3">
      <c r="A1405" s="117"/>
      <c r="C1405" s="68" t="s">
        <v>535</v>
      </c>
      <c r="D1405" s="145" t="s">
        <v>68</v>
      </c>
      <c r="E1405" s="85">
        <f>STATS1003B!E1406/1000</f>
        <v>1382.348</v>
      </c>
      <c r="F1405" s="85">
        <f>STATS1003B!F1406/1000</f>
        <v>1382.348</v>
      </c>
      <c r="G1405" s="85">
        <f>STATS1003B!G1406/1000</f>
        <v>0</v>
      </c>
      <c r="H1405" s="85">
        <f>STATS1003B!H1406/1000</f>
        <v>1382.348</v>
      </c>
      <c r="I1405" s="85">
        <f>STATS1003B!I1406/1000</f>
        <v>0</v>
      </c>
      <c r="J1405" s="85">
        <f>STATS1003B!J1406/1000</f>
        <v>1382.348</v>
      </c>
      <c r="K1405" s="85">
        <f>STATS1003B!K1406/1000</f>
        <v>0</v>
      </c>
      <c r="L1405" s="85">
        <f>STATS1003B!L1406/1000</f>
        <v>0</v>
      </c>
      <c r="M1405" s="85">
        <f>STATS1003B!M1406/1000</f>
        <v>1382.348</v>
      </c>
      <c r="N1405" s="85">
        <f>STATS1003B!N1406/1000</f>
        <v>0</v>
      </c>
      <c r="O1405" s="85">
        <f>STATS1003B!O1406/1000</f>
        <v>0</v>
      </c>
      <c r="P1405" s="85">
        <f>STATS1003B!P1406/1000</f>
        <v>0</v>
      </c>
      <c r="Q1405" s="85">
        <f>STATS1003B!Q1406/1000</f>
        <v>1382.348</v>
      </c>
      <c r="R1405" s="85">
        <f>STATS1003B!R1406/1000</f>
        <v>0</v>
      </c>
      <c r="S1405" s="85">
        <f>STATS1003B!S1406/1000</f>
        <v>0</v>
      </c>
      <c r="T1405" s="85">
        <f>STATS1003B!T1406/1000</f>
        <v>0</v>
      </c>
      <c r="U1405" s="85">
        <f>STATS1003B!U1406/1000</f>
        <v>0</v>
      </c>
      <c r="V1405" s="85">
        <f>STATS1003B!V1406/1000</f>
        <v>1382.348</v>
      </c>
      <c r="W1405" s="85">
        <f>STATS1003B!W1406/1000</f>
        <v>0</v>
      </c>
      <c r="X1405" s="85">
        <f t="shared" si="160"/>
        <v>1382.348</v>
      </c>
      <c r="Y1405" s="85">
        <f>STATS1003B!Y1406/1000</f>
        <v>0</v>
      </c>
      <c r="Z1405" s="85">
        <f t="shared" si="161"/>
        <v>0</v>
      </c>
      <c r="AA1405" s="69">
        <f>STATS1003B!AA1406/1000</f>
        <v>1382.348</v>
      </c>
      <c r="AB1405" s="69">
        <f>STATS1003B!AB1406/1000</f>
        <v>0</v>
      </c>
    </row>
    <row r="1406" spans="1:28" hidden="1" x14ac:dyDescent="0.3">
      <c r="A1406" s="117"/>
      <c r="C1406" s="68" t="s">
        <v>723</v>
      </c>
      <c r="D1406" s="145" t="s">
        <v>68</v>
      </c>
      <c r="E1406" s="85">
        <f>STATS1003B!E1407/1000</f>
        <v>146.33799999999999</v>
      </c>
      <c r="F1406" s="85">
        <f>STATS1003B!F1407/1000</f>
        <v>146.33799999999999</v>
      </c>
      <c r="G1406" s="85">
        <f>STATS1003B!G1407/1000</f>
        <v>0</v>
      </c>
      <c r="H1406" s="85">
        <f>STATS1003B!H1407/1000</f>
        <v>146.33799999999999</v>
      </c>
      <c r="I1406" s="85">
        <f>STATS1003B!I1407/1000</f>
        <v>0</v>
      </c>
      <c r="J1406" s="85">
        <f>STATS1003B!J1407/1000</f>
        <v>146.33799999999999</v>
      </c>
      <c r="K1406" s="85">
        <f>STATS1003B!K1407/1000</f>
        <v>0</v>
      </c>
      <c r="L1406" s="85">
        <f>STATS1003B!L1407/1000</f>
        <v>0</v>
      </c>
      <c r="M1406" s="85">
        <f>STATS1003B!M1407/1000</f>
        <v>146.33799999999999</v>
      </c>
      <c r="N1406" s="85">
        <f>STATS1003B!N1407/1000</f>
        <v>0</v>
      </c>
      <c r="O1406" s="85">
        <f>STATS1003B!O1407/1000</f>
        <v>0</v>
      </c>
      <c r="P1406" s="85">
        <f>STATS1003B!P1407/1000</f>
        <v>0</v>
      </c>
      <c r="Q1406" s="85">
        <f>STATS1003B!Q1407/1000</f>
        <v>146.33799999999999</v>
      </c>
      <c r="R1406" s="85">
        <f>STATS1003B!R1407/1000</f>
        <v>0</v>
      </c>
      <c r="S1406" s="85">
        <f>STATS1003B!S1407/1000</f>
        <v>0</v>
      </c>
      <c r="T1406" s="85">
        <f>STATS1003B!T1407/1000</f>
        <v>0</v>
      </c>
      <c r="U1406" s="85">
        <f>STATS1003B!U1407/1000</f>
        <v>0</v>
      </c>
      <c r="V1406" s="85">
        <f>STATS1003B!V1407/1000</f>
        <v>146.33799999999999</v>
      </c>
      <c r="W1406" s="85">
        <f>STATS1003B!W1407/1000</f>
        <v>0</v>
      </c>
      <c r="X1406" s="85">
        <f t="shared" si="160"/>
        <v>146.33799999999999</v>
      </c>
      <c r="Y1406" s="85">
        <f>STATS1003B!Y1407/1000</f>
        <v>0</v>
      </c>
      <c r="Z1406" s="85">
        <f t="shared" si="161"/>
        <v>0</v>
      </c>
      <c r="AA1406" s="69">
        <f>STATS1003B!AA1407/1000</f>
        <v>146.33799999999999</v>
      </c>
      <c r="AB1406" s="69">
        <f>STATS1003B!AB1407/1000</f>
        <v>0</v>
      </c>
    </row>
    <row r="1407" spans="1:28" hidden="1" x14ac:dyDescent="0.3">
      <c r="A1407" s="117"/>
      <c r="C1407" s="68" t="s">
        <v>539</v>
      </c>
      <c r="D1407" s="145" t="s">
        <v>68</v>
      </c>
      <c r="E1407" s="85">
        <f>STATS1003B!E1408/1000</f>
        <v>3574.547</v>
      </c>
      <c r="F1407" s="85">
        <f>STATS1003B!F1408/1000</f>
        <v>0</v>
      </c>
      <c r="G1407" s="85">
        <f>STATS1003B!G1408/1000</f>
        <v>0</v>
      </c>
      <c r="H1407" s="85">
        <f>STATS1003B!H1408/1000</f>
        <v>0</v>
      </c>
      <c r="I1407" s="85">
        <f>STATS1003B!I1408/1000</f>
        <v>0</v>
      </c>
      <c r="J1407" s="85">
        <f>STATS1003B!J1408/1000</f>
        <v>0</v>
      </c>
      <c r="K1407" s="85">
        <f>STATS1003B!K1408/1000</f>
        <v>3574.547</v>
      </c>
      <c r="L1407" s="85">
        <f>STATS1003B!L1408/1000</f>
        <v>0</v>
      </c>
      <c r="M1407" s="85">
        <f>STATS1003B!M1408/1000</f>
        <v>0</v>
      </c>
      <c r="N1407" s="85">
        <f>STATS1003B!N1408/1000</f>
        <v>3574.547</v>
      </c>
      <c r="O1407" s="85">
        <f>STATS1003B!O1408/1000</f>
        <v>0</v>
      </c>
      <c r="P1407" s="85">
        <f>STATS1003B!P1408/1000</f>
        <v>3574.547</v>
      </c>
      <c r="Q1407" s="85">
        <f>STATS1003B!Q1408/1000</f>
        <v>0</v>
      </c>
      <c r="R1407" s="85">
        <f>STATS1003B!R1408/1000</f>
        <v>0</v>
      </c>
      <c r="S1407" s="85">
        <f>STATS1003B!S1408/1000</f>
        <v>0</v>
      </c>
      <c r="T1407" s="85">
        <f>STATS1003B!T1408/1000</f>
        <v>0</v>
      </c>
      <c r="U1407" s="85">
        <f>STATS1003B!U1408/1000</f>
        <v>3574.547</v>
      </c>
      <c r="V1407" s="85">
        <f>STATS1003B!V1408/1000</f>
        <v>3574.547</v>
      </c>
      <c r="W1407" s="85">
        <f>STATS1003B!W1408/1000</f>
        <v>0</v>
      </c>
      <c r="X1407" s="85">
        <f t="shared" ref="X1407:X1470" si="166">+H1407+P1407</f>
        <v>3574.547</v>
      </c>
      <c r="Y1407" s="85">
        <f>STATS1003B!Y1408/1000</f>
        <v>0</v>
      </c>
      <c r="Z1407" s="85">
        <f t="shared" si="161"/>
        <v>0</v>
      </c>
      <c r="AA1407" s="69">
        <f>STATS1003B!AA1408/1000</f>
        <v>3574.547</v>
      </c>
      <c r="AB1407" s="69">
        <f>STATS1003B!AB1408/1000</f>
        <v>0</v>
      </c>
    </row>
    <row r="1408" spans="1:28" hidden="1" x14ac:dyDescent="0.3">
      <c r="A1408" s="117"/>
      <c r="C1408" s="68" t="s">
        <v>724</v>
      </c>
      <c r="D1408" s="145" t="s">
        <v>54</v>
      </c>
      <c r="E1408" s="85">
        <f>STATS1003B!E1409/1000</f>
        <v>190</v>
      </c>
      <c r="F1408" s="85">
        <f>STATS1003B!F1409/1000</f>
        <v>190</v>
      </c>
      <c r="G1408" s="85">
        <f>STATS1003B!G1409/1000</f>
        <v>0</v>
      </c>
      <c r="H1408" s="85">
        <f>STATS1003B!H1409/1000</f>
        <v>190</v>
      </c>
      <c r="I1408" s="85">
        <f>STATS1003B!I1409/1000</f>
        <v>0</v>
      </c>
      <c r="J1408" s="85">
        <f>STATS1003B!J1409/1000</f>
        <v>190</v>
      </c>
      <c r="K1408" s="85">
        <f>STATS1003B!K1409/1000</f>
        <v>0</v>
      </c>
      <c r="L1408" s="85">
        <f>STATS1003B!L1409/1000</f>
        <v>0</v>
      </c>
      <c r="M1408" s="85">
        <f>STATS1003B!M1409/1000</f>
        <v>190</v>
      </c>
      <c r="N1408" s="85">
        <f>STATS1003B!N1409/1000</f>
        <v>0</v>
      </c>
      <c r="O1408" s="85">
        <f>STATS1003B!O1409/1000</f>
        <v>0</v>
      </c>
      <c r="P1408" s="85">
        <f>STATS1003B!P1409/1000</f>
        <v>0</v>
      </c>
      <c r="Q1408" s="85">
        <f>STATS1003B!Q1409/1000</f>
        <v>190</v>
      </c>
      <c r="R1408" s="85">
        <f>STATS1003B!R1409/1000</f>
        <v>0</v>
      </c>
      <c r="S1408" s="85">
        <f>STATS1003B!S1409/1000</f>
        <v>0</v>
      </c>
      <c r="T1408" s="85">
        <f>STATS1003B!T1409/1000</f>
        <v>0</v>
      </c>
      <c r="U1408" s="85">
        <f>STATS1003B!U1409/1000</f>
        <v>0</v>
      </c>
      <c r="V1408" s="85">
        <f>STATS1003B!V1409/1000</f>
        <v>190</v>
      </c>
      <c r="W1408" s="85">
        <f>STATS1003B!W1409/1000</f>
        <v>0</v>
      </c>
      <c r="X1408" s="85">
        <f t="shared" si="166"/>
        <v>190</v>
      </c>
      <c r="Y1408" s="85">
        <f>STATS1003B!Y1409/1000</f>
        <v>0</v>
      </c>
      <c r="Z1408" s="85">
        <f t="shared" si="161"/>
        <v>0</v>
      </c>
      <c r="AA1408" s="69">
        <f>STATS1003B!AA1409/1000</f>
        <v>190</v>
      </c>
      <c r="AB1408" s="69">
        <f>STATS1003B!AB1409/1000</f>
        <v>0</v>
      </c>
    </row>
    <row r="1409" spans="1:28" hidden="1" x14ac:dyDescent="0.3">
      <c r="A1409" s="117"/>
      <c r="C1409" s="68" t="s">
        <v>545</v>
      </c>
      <c r="D1409" s="145" t="s">
        <v>54</v>
      </c>
      <c r="E1409" s="85">
        <f>STATS1003B!E1410/1000</f>
        <v>1953.989</v>
      </c>
      <c r="F1409" s="85">
        <f>STATS1003B!F1410/1000</f>
        <v>0</v>
      </c>
      <c r="G1409" s="85">
        <f>STATS1003B!G1410/1000</f>
        <v>0</v>
      </c>
      <c r="H1409" s="85">
        <f>STATS1003B!H1410/1000</f>
        <v>0</v>
      </c>
      <c r="I1409" s="85">
        <f>STATS1003B!I1410/1000</f>
        <v>0</v>
      </c>
      <c r="J1409" s="85">
        <f>STATS1003B!J1410/1000</f>
        <v>0</v>
      </c>
      <c r="K1409" s="85">
        <f>STATS1003B!K1410/1000</f>
        <v>1953.989</v>
      </c>
      <c r="L1409" s="85">
        <f>STATS1003B!L1410/1000</f>
        <v>0</v>
      </c>
      <c r="M1409" s="85">
        <f>STATS1003B!M1410/1000</f>
        <v>0</v>
      </c>
      <c r="N1409" s="85">
        <f>STATS1003B!N1410/1000</f>
        <v>1953.989</v>
      </c>
      <c r="O1409" s="85">
        <f>STATS1003B!O1410/1000</f>
        <v>0</v>
      </c>
      <c r="P1409" s="85">
        <f>STATS1003B!P1410/1000</f>
        <v>1953.989</v>
      </c>
      <c r="Q1409" s="85">
        <f>STATS1003B!Q1410/1000</f>
        <v>0</v>
      </c>
      <c r="R1409" s="85">
        <f>STATS1003B!R1410/1000</f>
        <v>0</v>
      </c>
      <c r="S1409" s="85">
        <f>STATS1003B!S1410/1000</f>
        <v>0</v>
      </c>
      <c r="T1409" s="85">
        <f>STATS1003B!T1410/1000</f>
        <v>0</v>
      </c>
      <c r="U1409" s="85">
        <f>STATS1003B!U1410/1000</f>
        <v>1953.989</v>
      </c>
      <c r="V1409" s="85">
        <f>STATS1003B!V1410/1000</f>
        <v>1953.989</v>
      </c>
      <c r="W1409" s="85">
        <f>STATS1003B!W1410/1000</f>
        <v>0</v>
      </c>
      <c r="X1409" s="85">
        <f t="shared" si="166"/>
        <v>1953.989</v>
      </c>
      <c r="Y1409" s="85">
        <f>STATS1003B!Y1410/1000</f>
        <v>0</v>
      </c>
      <c r="Z1409" s="85">
        <f t="shared" si="161"/>
        <v>0</v>
      </c>
      <c r="AA1409" s="69">
        <f>STATS1003B!AA1410/1000</f>
        <v>1953.989</v>
      </c>
      <c r="AB1409" s="69">
        <f>STATS1003B!AB1410/1000</f>
        <v>0</v>
      </c>
    </row>
    <row r="1410" spans="1:28" hidden="1" x14ac:dyDescent="0.3">
      <c r="A1410" s="117"/>
      <c r="C1410" s="68" t="s">
        <v>725</v>
      </c>
      <c r="D1410" s="145" t="s">
        <v>54</v>
      </c>
      <c r="E1410" s="85">
        <f>STATS1003B!E1411/1000</f>
        <v>955.34561999999994</v>
      </c>
      <c r="F1410" s="85">
        <f>STATS1003B!F1411/1000</f>
        <v>0</v>
      </c>
      <c r="G1410" s="85">
        <f>STATS1003B!G1411/1000</f>
        <v>0</v>
      </c>
      <c r="H1410" s="85">
        <f>STATS1003B!H1411/1000</f>
        <v>0</v>
      </c>
      <c r="I1410" s="85">
        <f>STATS1003B!I1411/1000</f>
        <v>0</v>
      </c>
      <c r="J1410" s="85">
        <f>STATS1003B!J1411/1000</f>
        <v>0</v>
      </c>
      <c r="K1410" s="85">
        <f>STATS1003B!K1411/1000</f>
        <v>955.34561999999994</v>
      </c>
      <c r="L1410" s="85">
        <f>STATS1003B!L1411/1000</f>
        <v>0</v>
      </c>
      <c r="M1410" s="85">
        <f>STATS1003B!M1411/1000</f>
        <v>0</v>
      </c>
      <c r="N1410" s="85">
        <f>STATS1003B!N1411/1000</f>
        <v>955.34561999999994</v>
      </c>
      <c r="O1410" s="85">
        <f>STATS1003B!O1411/1000</f>
        <v>0</v>
      </c>
      <c r="P1410" s="85">
        <f>STATS1003B!P1411/1000</f>
        <v>955.34561999999994</v>
      </c>
      <c r="Q1410" s="85">
        <f>STATS1003B!Q1411/1000</f>
        <v>0</v>
      </c>
      <c r="R1410" s="85">
        <f>STATS1003B!R1411/1000</f>
        <v>0</v>
      </c>
      <c r="S1410" s="85">
        <f>STATS1003B!S1411/1000</f>
        <v>0</v>
      </c>
      <c r="T1410" s="85">
        <f>STATS1003B!T1411/1000</f>
        <v>0</v>
      </c>
      <c r="U1410" s="85">
        <f>STATS1003B!U1411/1000</f>
        <v>955.34561999999994</v>
      </c>
      <c r="V1410" s="85">
        <f>STATS1003B!V1411/1000</f>
        <v>955.34561999999994</v>
      </c>
      <c r="W1410" s="85">
        <f>STATS1003B!W1411/1000</f>
        <v>0</v>
      </c>
      <c r="X1410" s="85">
        <f t="shared" si="166"/>
        <v>955.34561999999994</v>
      </c>
      <c r="Y1410" s="85">
        <f>STATS1003B!Y1411/1000</f>
        <v>0</v>
      </c>
      <c r="Z1410" s="85">
        <f t="shared" si="161"/>
        <v>0</v>
      </c>
      <c r="AA1410" s="69">
        <f>STATS1003B!AA1411/1000</f>
        <v>955.34561999999994</v>
      </c>
      <c r="AB1410" s="69">
        <f>STATS1003B!AB1411/1000</f>
        <v>0</v>
      </c>
    </row>
    <row r="1411" spans="1:28" hidden="1" x14ac:dyDescent="0.3">
      <c r="A1411" s="117"/>
      <c r="C1411" s="68" t="s">
        <v>535</v>
      </c>
      <c r="D1411" s="145" t="s">
        <v>85</v>
      </c>
      <c r="E1411" s="85">
        <f>STATS1003B!E1412/1000</f>
        <v>2555</v>
      </c>
      <c r="F1411" s="85">
        <f>STATS1003B!F1412/1000</f>
        <v>2555</v>
      </c>
      <c r="G1411" s="85">
        <f>STATS1003B!G1412/1000</f>
        <v>0</v>
      </c>
      <c r="H1411" s="85">
        <f>STATS1003B!H1412/1000</f>
        <v>2555</v>
      </c>
      <c r="I1411" s="85">
        <f>STATS1003B!I1412/1000</f>
        <v>0</v>
      </c>
      <c r="J1411" s="85">
        <f>STATS1003B!J1412/1000</f>
        <v>2555</v>
      </c>
      <c r="K1411" s="85">
        <f>STATS1003B!K1412/1000</f>
        <v>0</v>
      </c>
      <c r="L1411" s="85">
        <f>STATS1003B!L1412/1000</f>
        <v>0</v>
      </c>
      <c r="M1411" s="85">
        <f>STATS1003B!M1412/1000</f>
        <v>2555</v>
      </c>
      <c r="N1411" s="85">
        <f>STATS1003B!N1412/1000</f>
        <v>0</v>
      </c>
      <c r="O1411" s="85">
        <f>STATS1003B!O1412/1000</f>
        <v>0</v>
      </c>
      <c r="P1411" s="85">
        <f>STATS1003B!P1412/1000</f>
        <v>0</v>
      </c>
      <c r="Q1411" s="85">
        <f>STATS1003B!Q1412/1000</f>
        <v>2555</v>
      </c>
      <c r="R1411" s="85">
        <f>STATS1003B!R1412/1000</f>
        <v>0</v>
      </c>
      <c r="S1411" s="85">
        <f>STATS1003B!S1412/1000</f>
        <v>0</v>
      </c>
      <c r="T1411" s="85">
        <f>STATS1003B!T1412/1000</f>
        <v>0</v>
      </c>
      <c r="U1411" s="85">
        <f>STATS1003B!U1412/1000</f>
        <v>0</v>
      </c>
      <c r="V1411" s="85">
        <f>STATS1003B!V1412/1000</f>
        <v>2555</v>
      </c>
      <c r="W1411" s="85">
        <f>STATS1003B!W1412/1000</f>
        <v>0</v>
      </c>
      <c r="X1411" s="85">
        <f t="shared" si="166"/>
        <v>2555</v>
      </c>
      <c r="Y1411" s="85">
        <f>STATS1003B!Y1412/1000</f>
        <v>0</v>
      </c>
      <c r="Z1411" s="85">
        <f t="shared" si="161"/>
        <v>0</v>
      </c>
      <c r="AA1411" s="69">
        <f>STATS1003B!AA1412/1000</f>
        <v>2555</v>
      </c>
      <c r="AB1411" s="69">
        <f>STATS1003B!AB1412/1000</f>
        <v>0</v>
      </c>
    </row>
    <row r="1412" spans="1:28" hidden="1" x14ac:dyDescent="0.3">
      <c r="A1412" s="117"/>
      <c r="C1412" s="68" t="s">
        <v>557</v>
      </c>
      <c r="D1412" s="145" t="s">
        <v>85</v>
      </c>
      <c r="E1412" s="85">
        <f>STATS1003B!E1413/1000</f>
        <v>2721.36148</v>
      </c>
      <c r="F1412" s="85">
        <f>STATS1003B!F1413/1000</f>
        <v>2721.36148</v>
      </c>
      <c r="G1412" s="85">
        <f>STATS1003B!G1413/1000</f>
        <v>0</v>
      </c>
      <c r="H1412" s="85">
        <f>STATS1003B!H1413/1000</f>
        <v>2721.36148</v>
      </c>
      <c r="I1412" s="85">
        <f>STATS1003B!I1413/1000</f>
        <v>0</v>
      </c>
      <c r="J1412" s="85">
        <f>STATS1003B!J1413/1000</f>
        <v>2721.36148</v>
      </c>
      <c r="K1412" s="85">
        <f>STATS1003B!K1413/1000</f>
        <v>0</v>
      </c>
      <c r="L1412" s="85">
        <f>STATS1003B!L1413/1000</f>
        <v>0</v>
      </c>
      <c r="M1412" s="85">
        <f>STATS1003B!M1413/1000</f>
        <v>2721.36148</v>
      </c>
      <c r="N1412" s="85">
        <f>STATS1003B!N1413/1000</f>
        <v>0</v>
      </c>
      <c r="O1412" s="85">
        <f>STATS1003B!O1413/1000</f>
        <v>0</v>
      </c>
      <c r="P1412" s="85">
        <f>STATS1003B!P1413/1000</f>
        <v>0</v>
      </c>
      <c r="Q1412" s="85">
        <f>STATS1003B!Q1413/1000</f>
        <v>2721.36148</v>
      </c>
      <c r="R1412" s="85">
        <f>STATS1003B!R1413/1000</f>
        <v>0</v>
      </c>
      <c r="S1412" s="85">
        <f>STATS1003B!S1413/1000</f>
        <v>0</v>
      </c>
      <c r="T1412" s="85">
        <f>STATS1003B!T1413/1000</f>
        <v>0</v>
      </c>
      <c r="U1412" s="85">
        <f>STATS1003B!U1413/1000</f>
        <v>0</v>
      </c>
      <c r="V1412" s="85">
        <f>STATS1003B!V1413/1000</f>
        <v>2721.36148</v>
      </c>
      <c r="W1412" s="85">
        <f>STATS1003B!W1413/1000</f>
        <v>0</v>
      </c>
      <c r="X1412" s="85">
        <f t="shared" si="166"/>
        <v>2721.36148</v>
      </c>
      <c r="Y1412" s="85">
        <f>STATS1003B!Y1413/1000</f>
        <v>0</v>
      </c>
      <c r="Z1412" s="85">
        <f t="shared" si="161"/>
        <v>0</v>
      </c>
      <c r="AA1412" s="69">
        <f>STATS1003B!AA1413/1000</f>
        <v>2721.36148</v>
      </c>
      <c r="AB1412" s="69">
        <f>STATS1003B!AB1413/1000</f>
        <v>0</v>
      </c>
    </row>
    <row r="1413" spans="1:28" hidden="1" x14ac:dyDescent="0.3">
      <c r="A1413" s="117"/>
      <c r="C1413" s="68" t="s">
        <v>726</v>
      </c>
      <c r="D1413" s="145" t="s">
        <v>85</v>
      </c>
      <c r="E1413" s="85">
        <f>STATS1003B!E1414/1000</f>
        <v>80</v>
      </c>
      <c r="F1413" s="85">
        <f>STATS1003B!F1414/1000</f>
        <v>80</v>
      </c>
      <c r="G1413" s="85">
        <f>STATS1003B!G1414/1000</f>
        <v>0</v>
      </c>
      <c r="H1413" s="85">
        <f>STATS1003B!H1414/1000</f>
        <v>80</v>
      </c>
      <c r="I1413" s="85">
        <f>STATS1003B!I1414/1000</f>
        <v>0</v>
      </c>
      <c r="J1413" s="85">
        <f>STATS1003B!J1414/1000</f>
        <v>80</v>
      </c>
      <c r="K1413" s="85">
        <f>STATS1003B!K1414/1000</f>
        <v>0</v>
      </c>
      <c r="L1413" s="85">
        <f>STATS1003B!L1414/1000</f>
        <v>0</v>
      </c>
      <c r="M1413" s="85">
        <f>STATS1003B!M1414/1000</f>
        <v>80</v>
      </c>
      <c r="N1413" s="85">
        <f>STATS1003B!N1414/1000</f>
        <v>0</v>
      </c>
      <c r="O1413" s="85">
        <f>STATS1003B!O1414/1000</f>
        <v>0</v>
      </c>
      <c r="P1413" s="85">
        <f>STATS1003B!P1414/1000</f>
        <v>0</v>
      </c>
      <c r="Q1413" s="85">
        <f>STATS1003B!Q1414/1000</f>
        <v>80</v>
      </c>
      <c r="R1413" s="85">
        <f>STATS1003B!R1414/1000</f>
        <v>0</v>
      </c>
      <c r="S1413" s="85">
        <f>STATS1003B!S1414/1000</f>
        <v>0</v>
      </c>
      <c r="T1413" s="85">
        <f>STATS1003B!T1414/1000</f>
        <v>0</v>
      </c>
      <c r="U1413" s="85">
        <f>STATS1003B!U1414/1000</f>
        <v>0</v>
      </c>
      <c r="V1413" s="85">
        <f>STATS1003B!V1414/1000</f>
        <v>80</v>
      </c>
      <c r="W1413" s="85">
        <f>STATS1003B!W1414/1000</f>
        <v>0</v>
      </c>
      <c r="X1413" s="85">
        <f t="shared" si="166"/>
        <v>80</v>
      </c>
      <c r="Y1413" s="85">
        <f>STATS1003B!Y1414/1000</f>
        <v>0</v>
      </c>
      <c r="Z1413" s="85">
        <f t="shared" si="161"/>
        <v>0</v>
      </c>
      <c r="AA1413" s="69">
        <f>STATS1003B!AA1414/1000</f>
        <v>80</v>
      </c>
      <c r="AB1413" s="69">
        <f>STATS1003B!AB1414/1000</f>
        <v>0</v>
      </c>
    </row>
    <row r="1414" spans="1:28" hidden="1" x14ac:dyDescent="0.3">
      <c r="A1414" s="117"/>
      <c r="C1414" s="68" t="s">
        <v>727</v>
      </c>
      <c r="D1414" s="145" t="s">
        <v>85</v>
      </c>
      <c r="E1414" s="85">
        <f>STATS1003B!E1415/1000</f>
        <v>186.55</v>
      </c>
      <c r="F1414" s="85">
        <f>STATS1003B!F1415/1000</f>
        <v>186.55</v>
      </c>
      <c r="G1414" s="85">
        <f>STATS1003B!G1415/1000</f>
        <v>0</v>
      </c>
      <c r="H1414" s="85">
        <f>STATS1003B!H1415/1000</f>
        <v>186.55</v>
      </c>
      <c r="I1414" s="85">
        <f>STATS1003B!I1415/1000</f>
        <v>0</v>
      </c>
      <c r="J1414" s="85">
        <f>STATS1003B!J1415/1000</f>
        <v>186.55</v>
      </c>
      <c r="K1414" s="85">
        <f>STATS1003B!K1415/1000</f>
        <v>0</v>
      </c>
      <c r="L1414" s="85">
        <f>STATS1003B!L1415/1000</f>
        <v>0</v>
      </c>
      <c r="M1414" s="85">
        <f>STATS1003B!M1415/1000</f>
        <v>186.55</v>
      </c>
      <c r="N1414" s="85">
        <f>STATS1003B!N1415/1000</f>
        <v>0</v>
      </c>
      <c r="O1414" s="85">
        <f>STATS1003B!O1415/1000</f>
        <v>0</v>
      </c>
      <c r="P1414" s="85">
        <f>STATS1003B!P1415/1000</f>
        <v>0</v>
      </c>
      <c r="Q1414" s="85">
        <f>STATS1003B!Q1415/1000</f>
        <v>186.55</v>
      </c>
      <c r="R1414" s="85">
        <f>STATS1003B!R1415/1000</f>
        <v>0</v>
      </c>
      <c r="S1414" s="85">
        <f>STATS1003B!S1415/1000</f>
        <v>0</v>
      </c>
      <c r="T1414" s="85">
        <f>STATS1003B!T1415/1000</f>
        <v>0</v>
      </c>
      <c r="U1414" s="85">
        <f>STATS1003B!U1415/1000</f>
        <v>0</v>
      </c>
      <c r="V1414" s="85">
        <f>STATS1003B!V1415/1000</f>
        <v>186.55</v>
      </c>
      <c r="W1414" s="85">
        <f>STATS1003B!W1415/1000</f>
        <v>0</v>
      </c>
      <c r="X1414" s="85">
        <f t="shared" si="166"/>
        <v>186.55</v>
      </c>
      <c r="Y1414" s="85">
        <f>STATS1003B!Y1415/1000</f>
        <v>0</v>
      </c>
      <c r="Z1414" s="85">
        <f t="shared" si="161"/>
        <v>0</v>
      </c>
      <c r="AA1414" s="69">
        <f>STATS1003B!AA1415/1000</f>
        <v>186.55</v>
      </c>
      <c r="AB1414" s="69">
        <f>STATS1003B!AB1415/1000</f>
        <v>0</v>
      </c>
    </row>
    <row r="1415" spans="1:28" hidden="1" x14ac:dyDescent="0.3">
      <c r="A1415" s="117"/>
      <c r="C1415" s="68" t="s">
        <v>671</v>
      </c>
      <c r="D1415" s="145" t="s">
        <v>85</v>
      </c>
      <c r="E1415" s="85">
        <f>STATS1003B!E1416/1000</f>
        <v>0</v>
      </c>
      <c r="F1415" s="85">
        <f>STATS1003B!F1416/1000</f>
        <v>0</v>
      </c>
      <c r="G1415" s="85">
        <f>STATS1003B!G1416/1000</f>
        <v>0</v>
      </c>
      <c r="H1415" s="85">
        <f>STATS1003B!H1416/1000</f>
        <v>0</v>
      </c>
      <c r="I1415" s="85">
        <f>STATS1003B!I1416/1000</f>
        <v>0</v>
      </c>
      <c r="J1415" s="85">
        <f>STATS1003B!J1416/1000</f>
        <v>0</v>
      </c>
      <c r="K1415" s="85">
        <f>STATS1003B!K1416/1000</f>
        <v>0</v>
      </c>
      <c r="L1415" s="85">
        <f>STATS1003B!L1416/1000</f>
        <v>0</v>
      </c>
      <c r="M1415" s="85">
        <f>STATS1003B!M1416/1000</f>
        <v>0</v>
      </c>
      <c r="N1415" s="85">
        <f>STATS1003B!N1416/1000</f>
        <v>0</v>
      </c>
      <c r="O1415" s="85">
        <f>STATS1003B!O1416/1000</f>
        <v>0</v>
      </c>
      <c r="P1415" s="85">
        <f>STATS1003B!P1416/1000</f>
        <v>0</v>
      </c>
      <c r="Q1415" s="85">
        <f>STATS1003B!Q1416/1000</f>
        <v>0</v>
      </c>
      <c r="R1415" s="85">
        <f>STATS1003B!R1416/1000</f>
        <v>0</v>
      </c>
      <c r="S1415" s="85">
        <f>STATS1003B!S1416/1000</f>
        <v>0</v>
      </c>
      <c r="T1415" s="85">
        <f>STATS1003B!T1416/1000</f>
        <v>0</v>
      </c>
      <c r="U1415" s="85">
        <f>STATS1003B!U1416/1000</f>
        <v>0</v>
      </c>
      <c r="V1415" s="85">
        <f>STATS1003B!V1416/1000</f>
        <v>0</v>
      </c>
      <c r="W1415" s="85">
        <f>STATS1003B!W1416/1000</f>
        <v>0</v>
      </c>
      <c r="X1415" s="85">
        <f t="shared" si="166"/>
        <v>0</v>
      </c>
      <c r="Y1415" s="85">
        <f>STATS1003B!Y1416/1000</f>
        <v>0</v>
      </c>
      <c r="Z1415" s="85">
        <f t="shared" si="161"/>
        <v>0</v>
      </c>
      <c r="AA1415" s="69">
        <f>STATS1003B!AA1416/1000</f>
        <v>0</v>
      </c>
      <c r="AB1415" s="69">
        <f>STATS1003B!AB1416/1000</f>
        <v>0</v>
      </c>
    </row>
    <row r="1416" spans="1:28" hidden="1" x14ac:dyDescent="0.3">
      <c r="A1416" s="117"/>
      <c r="C1416" s="68" t="s">
        <v>535</v>
      </c>
      <c r="D1416" s="145" t="s">
        <v>128</v>
      </c>
      <c r="E1416" s="85">
        <f>STATS1003B!E1417/1000</f>
        <v>1845</v>
      </c>
      <c r="F1416" s="85">
        <f>STATS1003B!F1417/1000</f>
        <v>1845</v>
      </c>
      <c r="G1416" s="85">
        <f>STATS1003B!G1417/1000</f>
        <v>0</v>
      </c>
      <c r="H1416" s="85">
        <f>STATS1003B!H1417/1000</f>
        <v>1845</v>
      </c>
      <c r="I1416" s="85">
        <f>STATS1003B!I1417/1000</f>
        <v>0</v>
      </c>
      <c r="J1416" s="85">
        <f>STATS1003B!J1417/1000</f>
        <v>1845</v>
      </c>
      <c r="K1416" s="85">
        <f>STATS1003B!K1417/1000</f>
        <v>0</v>
      </c>
      <c r="L1416" s="85">
        <f>STATS1003B!L1417/1000</f>
        <v>0</v>
      </c>
      <c r="M1416" s="85">
        <f>STATS1003B!M1417/1000</f>
        <v>1845</v>
      </c>
      <c r="N1416" s="85">
        <f>STATS1003B!N1417/1000</f>
        <v>0</v>
      </c>
      <c r="O1416" s="85">
        <f>STATS1003B!O1417/1000</f>
        <v>0</v>
      </c>
      <c r="P1416" s="85">
        <f>STATS1003B!P1417/1000</f>
        <v>0</v>
      </c>
      <c r="Q1416" s="85">
        <f>STATS1003B!Q1417/1000</f>
        <v>1845</v>
      </c>
      <c r="R1416" s="85">
        <f>STATS1003B!R1417/1000</f>
        <v>0</v>
      </c>
      <c r="S1416" s="85">
        <f>STATS1003B!S1417/1000</f>
        <v>0</v>
      </c>
      <c r="T1416" s="85">
        <f>STATS1003B!T1417/1000</f>
        <v>0</v>
      </c>
      <c r="U1416" s="85">
        <f>STATS1003B!U1417/1000</f>
        <v>0</v>
      </c>
      <c r="V1416" s="85">
        <f>STATS1003B!V1417/1000</f>
        <v>1845</v>
      </c>
      <c r="W1416" s="85">
        <f>STATS1003B!W1417/1000</f>
        <v>0</v>
      </c>
      <c r="X1416" s="85">
        <f t="shared" si="166"/>
        <v>1845</v>
      </c>
      <c r="Y1416" s="85">
        <f>STATS1003B!Y1417/1000</f>
        <v>0</v>
      </c>
      <c r="Z1416" s="85">
        <f t="shared" si="161"/>
        <v>0</v>
      </c>
      <c r="AA1416" s="69">
        <f>STATS1003B!AA1417/1000</f>
        <v>1845</v>
      </c>
      <c r="AB1416" s="69">
        <f>STATS1003B!AB1417/1000</f>
        <v>0</v>
      </c>
    </row>
    <row r="1417" spans="1:28" hidden="1" x14ac:dyDescent="0.3">
      <c r="A1417" s="117"/>
      <c r="C1417" s="68" t="s">
        <v>535</v>
      </c>
      <c r="D1417" s="145" t="s">
        <v>88</v>
      </c>
      <c r="E1417" s="85">
        <f>STATS1003B!E1418/1000</f>
        <v>5079.89192</v>
      </c>
      <c r="F1417" s="85">
        <f>STATS1003B!F1418/1000</f>
        <v>5079.89192</v>
      </c>
      <c r="G1417" s="85">
        <f>STATS1003B!G1418/1000</f>
        <v>0</v>
      </c>
      <c r="H1417" s="85">
        <f>STATS1003B!H1418/1000</f>
        <v>5079.89192</v>
      </c>
      <c r="I1417" s="85">
        <f>STATS1003B!I1418/1000</f>
        <v>0</v>
      </c>
      <c r="J1417" s="85">
        <f>STATS1003B!J1418/1000</f>
        <v>5079.89192</v>
      </c>
      <c r="K1417" s="85">
        <f>STATS1003B!K1418/1000</f>
        <v>0</v>
      </c>
      <c r="L1417" s="85">
        <f>STATS1003B!L1418/1000</f>
        <v>0</v>
      </c>
      <c r="M1417" s="85">
        <f>STATS1003B!M1418/1000</f>
        <v>5079.89192</v>
      </c>
      <c r="N1417" s="85">
        <f>STATS1003B!N1418/1000</f>
        <v>0</v>
      </c>
      <c r="O1417" s="85">
        <f>STATS1003B!O1418/1000</f>
        <v>0</v>
      </c>
      <c r="P1417" s="85">
        <f>STATS1003B!P1418/1000</f>
        <v>0</v>
      </c>
      <c r="Q1417" s="85">
        <f>STATS1003B!Q1418/1000</f>
        <v>5079.89192</v>
      </c>
      <c r="R1417" s="85">
        <f>STATS1003B!R1418/1000</f>
        <v>0</v>
      </c>
      <c r="S1417" s="85">
        <f>STATS1003B!S1418/1000</f>
        <v>0</v>
      </c>
      <c r="T1417" s="85">
        <f>STATS1003B!T1418/1000</f>
        <v>0</v>
      </c>
      <c r="U1417" s="85">
        <f>STATS1003B!U1418/1000</f>
        <v>0</v>
      </c>
      <c r="V1417" s="85">
        <f>STATS1003B!V1418/1000</f>
        <v>5079.89192</v>
      </c>
      <c r="W1417" s="85">
        <f>STATS1003B!W1418/1000</f>
        <v>0</v>
      </c>
      <c r="X1417" s="85">
        <f t="shared" si="166"/>
        <v>5079.89192</v>
      </c>
      <c r="Y1417" s="85">
        <f>STATS1003B!Y1418/1000</f>
        <v>0</v>
      </c>
      <c r="Z1417" s="85">
        <f t="shared" si="161"/>
        <v>0</v>
      </c>
      <c r="AA1417" s="69">
        <f>STATS1003B!AA1418/1000</f>
        <v>5079.89192</v>
      </c>
      <c r="AB1417" s="69">
        <f>STATS1003B!AB1418/1000</f>
        <v>0</v>
      </c>
    </row>
    <row r="1418" spans="1:28" hidden="1" x14ac:dyDescent="0.3">
      <c r="A1418" s="117"/>
      <c r="C1418" s="68" t="s">
        <v>535</v>
      </c>
      <c r="D1418" s="145" t="s">
        <v>108</v>
      </c>
      <c r="E1418" s="85">
        <f>STATS1003B!E1419/1000</f>
        <v>2000</v>
      </c>
      <c r="F1418" s="85">
        <f>STATS1003B!F1419/1000</f>
        <v>2000</v>
      </c>
      <c r="G1418" s="85">
        <f>STATS1003B!G1419/1000</f>
        <v>0</v>
      </c>
      <c r="H1418" s="85">
        <f>STATS1003B!H1419/1000</f>
        <v>2000</v>
      </c>
      <c r="I1418" s="85">
        <f>STATS1003B!I1419/1000</f>
        <v>0</v>
      </c>
      <c r="J1418" s="85">
        <f>STATS1003B!J1419/1000</f>
        <v>2000</v>
      </c>
      <c r="K1418" s="85">
        <f>STATS1003B!K1419/1000</f>
        <v>0</v>
      </c>
      <c r="L1418" s="85">
        <f>STATS1003B!L1419/1000</f>
        <v>0</v>
      </c>
      <c r="M1418" s="85">
        <f>STATS1003B!M1419/1000</f>
        <v>2000</v>
      </c>
      <c r="N1418" s="85">
        <f>STATS1003B!N1419/1000</f>
        <v>0</v>
      </c>
      <c r="O1418" s="85">
        <f>STATS1003B!O1419/1000</f>
        <v>0</v>
      </c>
      <c r="P1418" s="85">
        <f>STATS1003B!P1419/1000</f>
        <v>0</v>
      </c>
      <c r="Q1418" s="85">
        <f>STATS1003B!Q1419/1000</f>
        <v>2000</v>
      </c>
      <c r="R1418" s="85">
        <f>STATS1003B!R1419/1000</f>
        <v>0</v>
      </c>
      <c r="S1418" s="85">
        <f>STATS1003B!S1419/1000</f>
        <v>0</v>
      </c>
      <c r="T1418" s="85">
        <f>STATS1003B!T1419/1000</f>
        <v>0</v>
      </c>
      <c r="U1418" s="85">
        <f>STATS1003B!U1419/1000</f>
        <v>0</v>
      </c>
      <c r="V1418" s="85">
        <f>STATS1003B!V1419/1000</f>
        <v>2000</v>
      </c>
      <c r="W1418" s="85">
        <f>STATS1003B!W1419/1000</f>
        <v>0</v>
      </c>
      <c r="X1418" s="85">
        <f t="shared" si="166"/>
        <v>2000</v>
      </c>
      <c r="Y1418" s="85">
        <f>STATS1003B!Y1419/1000</f>
        <v>0</v>
      </c>
      <c r="Z1418" s="85">
        <f t="shared" si="161"/>
        <v>0</v>
      </c>
      <c r="AA1418" s="69">
        <f>STATS1003B!AA1419/1000</f>
        <v>2000</v>
      </c>
      <c r="AB1418" s="69">
        <f>STATS1003B!AB1419/1000</f>
        <v>0</v>
      </c>
    </row>
    <row r="1419" spans="1:28" hidden="1" x14ac:dyDescent="0.3">
      <c r="A1419" s="117"/>
      <c r="C1419" s="68" t="s">
        <v>728</v>
      </c>
      <c r="D1419" s="145" t="s">
        <v>108</v>
      </c>
      <c r="E1419" s="85">
        <f>STATS1003B!E1420/1000</f>
        <v>800</v>
      </c>
      <c r="F1419" s="85">
        <f>STATS1003B!F1420/1000</f>
        <v>800</v>
      </c>
      <c r="G1419" s="85">
        <f>STATS1003B!G1420/1000</f>
        <v>0</v>
      </c>
      <c r="H1419" s="85">
        <f>STATS1003B!H1420/1000</f>
        <v>800</v>
      </c>
      <c r="I1419" s="85">
        <f>STATS1003B!I1420/1000</f>
        <v>0</v>
      </c>
      <c r="J1419" s="85">
        <f>STATS1003B!J1420/1000</f>
        <v>800</v>
      </c>
      <c r="K1419" s="85">
        <f>STATS1003B!K1420/1000</f>
        <v>0</v>
      </c>
      <c r="L1419" s="85">
        <f>STATS1003B!L1420/1000</f>
        <v>0</v>
      </c>
      <c r="M1419" s="85">
        <f>STATS1003B!M1420/1000</f>
        <v>800</v>
      </c>
      <c r="N1419" s="85">
        <f>STATS1003B!N1420/1000</f>
        <v>0</v>
      </c>
      <c r="O1419" s="85">
        <f>STATS1003B!O1420/1000</f>
        <v>0</v>
      </c>
      <c r="P1419" s="85">
        <f>STATS1003B!P1420/1000</f>
        <v>0</v>
      </c>
      <c r="Q1419" s="85">
        <f>STATS1003B!Q1420/1000</f>
        <v>800</v>
      </c>
      <c r="R1419" s="85">
        <f>STATS1003B!R1420/1000</f>
        <v>0</v>
      </c>
      <c r="S1419" s="85">
        <f>STATS1003B!S1420/1000</f>
        <v>0</v>
      </c>
      <c r="T1419" s="85">
        <f>STATS1003B!T1420/1000</f>
        <v>0</v>
      </c>
      <c r="U1419" s="85">
        <f>STATS1003B!U1420/1000</f>
        <v>0</v>
      </c>
      <c r="V1419" s="85">
        <f>STATS1003B!V1420/1000</f>
        <v>800</v>
      </c>
      <c r="W1419" s="85">
        <f>STATS1003B!W1420/1000</f>
        <v>0</v>
      </c>
      <c r="X1419" s="85">
        <f t="shared" si="166"/>
        <v>800</v>
      </c>
      <c r="Y1419" s="85">
        <f>STATS1003B!Y1420/1000</f>
        <v>0</v>
      </c>
      <c r="Z1419" s="85">
        <f t="shared" si="161"/>
        <v>0</v>
      </c>
      <c r="AA1419" s="69">
        <f>STATS1003B!AA1420/1000</f>
        <v>800</v>
      </c>
      <c r="AB1419" s="69">
        <f>STATS1003B!AB1420/1000</f>
        <v>0</v>
      </c>
    </row>
    <row r="1420" spans="1:28" hidden="1" x14ac:dyDescent="0.3">
      <c r="A1420" s="117"/>
      <c r="C1420" s="68" t="s">
        <v>729</v>
      </c>
      <c r="D1420" s="145" t="s">
        <v>108</v>
      </c>
      <c r="E1420" s="85">
        <f>STATS1003B!E1421/1000</f>
        <v>3800</v>
      </c>
      <c r="F1420" s="85">
        <f>STATS1003B!F1421/1000</f>
        <v>3800</v>
      </c>
      <c r="G1420" s="85">
        <f>STATS1003B!G1421/1000</f>
        <v>0</v>
      </c>
      <c r="H1420" s="85">
        <f>STATS1003B!H1421/1000</f>
        <v>3800</v>
      </c>
      <c r="I1420" s="85">
        <f>STATS1003B!I1421/1000</f>
        <v>0</v>
      </c>
      <c r="J1420" s="85">
        <f>STATS1003B!J1421/1000</f>
        <v>3800</v>
      </c>
      <c r="K1420" s="85">
        <f>STATS1003B!K1421/1000</f>
        <v>0</v>
      </c>
      <c r="L1420" s="85">
        <f>STATS1003B!L1421/1000</f>
        <v>0</v>
      </c>
      <c r="M1420" s="85">
        <f>STATS1003B!M1421/1000</f>
        <v>3800</v>
      </c>
      <c r="N1420" s="85">
        <f>STATS1003B!N1421/1000</f>
        <v>0</v>
      </c>
      <c r="O1420" s="85">
        <f>STATS1003B!O1421/1000</f>
        <v>0</v>
      </c>
      <c r="P1420" s="85">
        <f>STATS1003B!P1421/1000</f>
        <v>0</v>
      </c>
      <c r="Q1420" s="85">
        <f>STATS1003B!Q1421/1000</f>
        <v>3800</v>
      </c>
      <c r="R1420" s="85">
        <f>STATS1003B!R1421/1000</f>
        <v>0</v>
      </c>
      <c r="S1420" s="85">
        <f>STATS1003B!S1421/1000</f>
        <v>0</v>
      </c>
      <c r="T1420" s="85">
        <f>STATS1003B!T1421/1000</f>
        <v>0</v>
      </c>
      <c r="U1420" s="85">
        <f>STATS1003B!U1421/1000</f>
        <v>0</v>
      </c>
      <c r="V1420" s="85">
        <f>STATS1003B!V1421/1000</f>
        <v>3800</v>
      </c>
      <c r="W1420" s="85">
        <f>STATS1003B!W1421/1000</f>
        <v>0</v>
      </c>
      <c r="X1420" s="85">
        <f t="shared" si="166"/>
        <v>3800</v>
      </c>
      <c r="Y1420" s="85">
        <f>STATS1003B!Y1421/1000</f>
        <v>0</v>
      </c>
      <c r="Z1420" s="85">
        <f t="shared" si="161"/>
        <v>0</v>
      </c>
      <c r="AA1420" s="69">
        <f>STATS1003B!AA1421/1000</f>
        <v>3800</v>
      </c>
      <c r="AB1420" s="69">
        <f>STATS1003B!AB1421/1000</f>
        <v>0</v>
      </c>
    </row>
    <row r="1421" spans="1:28" hidden="1" x14ac:dyDescent="0.3">
      <c r="A1421" s="117"/>
      <c r="C1421" s="68" t="s">
        <v>535</v>
      </c>
      <c r="D1421" s="88" t="s">
        <v>60</v>
      </c>
      <c r="E1421" s="85">
        <f>STATS1003B!E1422/1000</f>
        <v>5448.9489999999996</v>
      </c>
      <c r="F1421" s="85">
        <f>STATS1003B!F1422/1000</f>
        <v>5448.9489999999996</v>
      </c>
      <c r="G1421" s="85">
        <f>STATS1003B!G1422/1000</f>
        <v>0</v>
      </c>
      <c r="H1421" s="85">
        <f>STATS1003B!H1422/1000</f>
        <v>5448.9489999999996</v>
      </c>
      <c r="I1421" s="85">
        <f>STATS1003B!I1422/1000</f>
        <v>0</v>
      </c>
      <c r="J1421" s="85">
        <f>STATS1003B!J1422/1000</f>
        <v>5448.9489999999996</v>
      </c>
      <c r="K1421" s="85">
        <f>STATS1003B!K1422/1000</f>
        <v>0</v>
      </c>
      <c r="L1421" s="85">
        <f>STATS1003B!L1422/1000</f>
        <v>0</v>
      </c>
      <c r="M1421" s="85">
        <f>STATS1003B!M1422/1000</f>
        <v>5448.9489999999996</v>
      </c>
      <c r="N1421" s="85">
        <f>STATS1003B!N1422/1000</f>
        <v>0</v>
      </c>
      <c r="O1421" s="85">
        <f>STATS1003B!O1422/1000</f>
        <v>0</v>
      </c>
      <c r="P1421" s="85">
        <f>STATS1003B!P1422/1000</f>
        <v>0</v>
      </c>
      <c r="Q1421" s="85">
        <f>STATS1003B!Q1422/1000</f>
        <v>5448.9489999999996</v>
      </c>
      <c r="R1421" s="85">
        <f>STATS1003B!R1422/1000</f>
        <v>0</v>
      </c>
      <c r="S1421" s="85">
        <f>STATS1003B!S1422/1000</f>
        <v>0</v>
      </c>
      <c r="T1421" s="85">
        <f>STATS1003B!T1422/1000</f>
        <v>0</v>
      </c>
      <c r="U1421" s="85">
        <f>STATS1003B!U1422/1000</f>
        <v>0</v>
      </c>
      <c r="V1421" s="85">
        <f>STATS1003B!V1422/1000</f>
        <v>5448.9489999999996</v>
      </c>
      <c r="W1421" s="85">
        <f>STATS1003B!W1422/1000</f>
        <v>0</v>
      </c>
      <c r="X1421" s="85">
        <f t="shared" si="166"/>
        <v>5448.9489999999996</v>
      </c>
      <c r="Y1421" s="85">
        <f>STATS1003B!Y1422/1000</f>
        <v>0</v>
      </c>
      <c r="Z1421" s="85">
        <f t="shared" si="161"/>
        <v>0</v>
      </c>
      <c r="AA1421" s="69">
        <f>STATS1003B!AA1422/1000</f>
        <v>5448.9489999999996</v>
      </c>
      <c r="AB1421" s="69">
        <f>STATS1003B!AB1422/1000</f>
        <v>0</v>
      </c>
    </row>
    <row r="1422" spans="1:28" hidden="1" x14ac:dyDescent="0.3">
      <c r="A1422" s="117"/>
      <c r="C1422" s="68" t="s">
        <v>730</v>
      </c>
      <c r="D1422" s="88" t="s">
        <v>194</v>
      </c>
      <c r="E1422" s="85">
        <f>STATS1003B!E1423/1000</f>
        <v>751.37214000000006</v>
      </c>
      <c r="F1422" s="85">
        <f>STATS1003B!F1423/1000</f>
        <v>751.37214000000006</v>
      </c>
      <c r="G1422" s="85">
        <f>STATS1003B!G1423/1000</f>
        <v>0</v>
      </c>
      <c r="H1422" s="85">
        <f>STATS1003B!H1423/1000</f>
        <v>751.37214000000006</v>
      </c>
      <c r="I1422" s="85">
        <f>STATS1003B!I1423/1000</f>
        <v>0</v>
      </c>
      <c r="J1422" s="85">
        <f>STATS1003B!J1423/1000</f>
        <v>751.37214000000006</v>
      </c>
      <c r="K1422" s="85">
        <f>STATS1003B!K1423/1000</f>
        <v>0</v>
      </c>
      <c r="L1422" s="85">
        <f>STATS1003B!L1423/1000</f>
        <v>0</v>
      </c>
      <c r="M1422" s="85">
        <f>STATS1003B!M1423/1000</f>
        <v>751.37214000000006</v>
      </c>
      <c r="N1422" s="85">
        <f>STATS1003B!N1423/1000</f>
        <v>0</v>
      </c>
      <c r="O1422" s="85">
        <f>STATS1003B!O1423/1000</f>
        <v>0</v>
      </c>
      <c r="P1422" s="85">
        <f>STATS1003B!P1423/1000</f>
        <v>0</v>
      </c>
      <c r="Q1422" s="85">
        <f>STATS1003B!Q1423/1000</f>
        <v>751.37214000000006</v>
      </c>
      <c r="R1422" s="85">
        <f>STATS1003B!R1423/1000</f>
        <v>0</v>
      </c>
      <c r="S1422" s="85">
        <f>STATS1003B!S1423/1000</f>
        <v>0</v>
      </c>
      <c r="T1422" s="85">
        <f>STATS1003B!T1423/1000</f>
        <v>0</v>
      </c>
      <c r="U1422" s="85">
        <f>STATS1003B!U1423/1000</f>
        <v>0</v>
      </c>
      <c r="V1422" s="85">
        <f>STATS1003B!V1423/1000</f>
        <v>751.37214000000006</v>
      </c>
      <c r="W1422" s="85">
        <f>STATS1003B!W1423/1000</f>
        <v>0</v>
      </c>
      <c r="X1422" s="85">
        <f t="shared" si="166"/>
        <v>751.37214000000006</v>
      </c>
      <c r="Y1422" s="85">
        <f>STATS1003B!Y1423/1000</f>
        <v>0</v>
      </c>
      <c r="Z1422" s="85">
        <f t="shared" si="161"/>
        <v>0</v>
      </c>
      <c r="AA1422" s="69">
        <f>STATS1003B!AA1423/1000</f>
        <v>751.37214000000006</v>
      </c>
      <c r="AB1422" s="69">
        <f>STATS1003B!AB1423/1000</f>
        <v>0</v>
      </c>
    </row>
    <row r="1423" spans="1:28" hidden="1" x14ac:dyDescent="0.3">
      <c r="A1423" s="117"/>
      <c r="C1423" s="68" t="s">
        <v>535</v>
      </c>
      <c r="D1423" s="88" t="s">
        <v>73</v>
      </c>
      <c r="E1423" s="85">
        <f>STATS1003B!E1424/1000</f>
        <v>5644.6472599999997</v>
      </c>
      <c r="F1423" s="85">
        <f>STATS1003B!F1424/1000</f>
        <v>5644.6472599999997</v>
      </c>
      <c r="G1423" s="85">
        <f>STATS1003B!G1424/1000</f>
        <v>0</v>
      </c>
      <c r="H1423" s="85">
        <f>STATS1003B!H1424/1000</f>
        <v>5644.6472599999997</v>
      </c>
      <c r="I1423" s="85">
        <f>STATS1003B!I1424/1000</f>
        <v>0</v>
      </c>
      <c r="J1423" s="85">
        <f>STATS1003B!J1424/1000</f>
        <v>5644.6472599999997</v>
      </c>
      <c r="K1423" s="85">
        <f>STATS1003B!K1424/1000</f>
        <v>0</v>
      </c>
      <c r="L1423" s="85">
        <f>STATS1003B!L1424/1000</f>
        <v>0</v>
      </c>
      <c r="M1423" s="85">
        <f>STATS1003B!M1424/1000</f>
        <v>5644.6472599999997</v>
      </c>
      <c r="N1423" s="85">
        <f>STATS1003B!N1424/1000</f>
        <v>0</v>
      </c>
      <c r="O1423" s="85">
        <f>STATS1003B!O1424/1000</f>
        <v>0</v>
      </c>
      <c r="P1423" s="85">
        <f>STATS1003B!P1424/1000</f>
        <v>0</v>
      </c>
      <c r="Q1423" s="85">
        <f>STATS1003B!Q1424/1000</f>
        <v>5644.6472599999997</v>
      </c>
      <c r="R1423" s="85">
        <f>STATS1003B!R1424/1000</f>
        <v>0</v>
      </c>
      <c r="S1423" s="85">
        <f>STATS1003B!S1424/1000</f>
        <v>0</v>
      </c>
      <c r="T1423" s="85">
        <f>STATS1003B!T1424/1000</f>
        <v>0</v>
      </c>
      <c r="U1423" s="85">
        <f>STATS1003B!U1424/1000</f>
        <v>0</v>
      </c>
      <c r="V1423" s="85">
        <f>STATS1003B!V1424/1000</f>
        <v>5644.6472599999997</v>
      </c>
      <c r="W1423" s="85">
        <f>STATS1003B!W1424/1000</f>
        <v>0</v>
      </c>
      <c r="X1423" s="85">
        <f t="shared" si="166"/>
        <v>5644.6472599999997</v>
      </c>
      <c r="Y1423" s="85">
        <f>STATS1003B!Y1424/1000</f>
        <v>0</v>
      </c>
      <c r="Z1423" s="85">
        <f t="shared" si="161"/>
        <v>0</v>
      </c>
      <c r="AA1423" s="69">
        <f>STATS1003B!AA1424/1000</f>
        <v>5644.6472599999997</v>
      </c>
      <c r="AB1423" s="69">
        <f>STATS1003B!AB1424/1000</f>
        <v>0</v>
      </c>
    </row>
    <row r="1424" spans="1:28" hidden="1" x14ac:dyDescent="0.3">
      <c r="A1424" s="117"/>
      <c r="C1424" s="71" t="s">
        <v>621</v>
      </c>
      <c r="D1424" s="88" t="s">
        <v>73</v>
      </c>
      <c r="E1424" s="85">
        <f>STATS1003B!E1425/1000</f>
        <v>2299.712</v>
      </c>
      <c r="F1424" s="85">
        <f>STATS1003B!F1425/1000</f>
        <v>2299.712</v>
      </c>
      <c r="G1424" s="85">
        <f>STATS1003B!G1425/1000</f>
        <v>0</v>
      </c>
      <c r="H1424" s="85">
        <f>STATS1003B!H1425/1000</f>
        <v>2299.712</v>
      </c>
      <c r="I1424" s="85">
        <f>STATS1003B!I1425/1000</f>
        <v>0</v>
      </c>
      <c r="J1424" s="85">
        <f>STATS1003B!J1425/1000</f>
        <v>2299.712</v>
      </c>
      <c r="K1424" s="85">
        <f>STATS1003B!K1425/1000</f>
        <v>0</v>
      </c>
      <c r="L1424" s="85">
        <f>STATS1003B!L1425/1000</f>
        <v>0</v>
      </c>
      <c r="M1424" s="85">
        <f>STATS1003B!M1425/1000</f>
        <v>2299.712</v>
      </c>
      <c r="N1424" s="85">
        <f>STATS1003B!N1425/1000</f>
        <v>0</v>
      </c>
      <c r="O1424" s="85">
        <f>STATS1003B!O1425/1000</f>
        <v>0</v>
      </c>
      <c r="P1424" s="85">
        <f>STATS1003B!P1425/1000</f>
        <v>0</v>
      </c>
      <c r="Q1424" s="85">
        <f>STATS1003B!Q1425/1000</f>
        <v>2299.712</v>
      </c>
      <c r="R1424" s="85">
        <f>STATS1003B!R1425/1000</f>
        <v>0</v>
      </c>
      <c r="S1424" s="85">
        <f>STATS1003B!S1425/1000</f>
        <v>0</v>
      </c>
      <c r="T1424" s="85">
        <f>STATS1003B!T1425/1000</f>
        <v>0</v>
      </c>
      <c r="U1424" s="85">
        <f>STATS1003B!U1425/1000</f>
        <v>0</v>
      </c>
      <c r="V1424" s="85">
        <f>STATS1003B!V1425/1000</f>
        <v>2299.712</v>
      </c>
      <c r="W1424" s="85">
        <f>STATS1003B!W1425/1000</f>
        <v>0</v>
      </c>
      <c r="X1424" s="85">
        <f t="shared" si="166"/>
        <v>2299.712</v>
      </c>
      <c r="Y1424" s="85">
        <f>STATS1003B!Y1425/1000</f>
        <v>0</v>
      </c>
      <c r="Z1424" s="85">
        <f t="shared" si="161"/>
        <v>0</v>
      </c>
      <c r="AA1424" s="69">
        <f>STATS1003B!AA1425/1000</f>
        <v>2299.712</v>
      </c>
      <c r="AB1424" s="69">
        <f>STATS1003B!AB1425/1000</f>
        <v>0</v>
      </c>
    </row>
    <row r="1425" spans="1:28" hidden="1" x14ac:dyDescent="0.3">
      <c r="A1425" s="117"/>
      <c r="C1425" s="71" t="s">
        <v>535</v>
      </c>
      <c r="D1425" s="88" t="s">
        <v>61</v>
      </c>
      <c r="E1425" s="85">
        <f>STATS1003B!E1426/1000</f>
        <v>9393.0918399999991</v>
      </c>
      <c r="F1425" s="85">
        <f>STATS1003B!F1426/1000</f>
        <v>9393.0918399999991</v>
      </c>
      <c r="G1425" s="85">
        <f>STATS1003B!G1426/1000</f>
        <v>0</v>
      </c>
      <c r="H1425" s="85">
        <f>STATS1003B!H1426/1000</f>
        <v>9393.0918399999991</v>
      </c>
      <c r="I1425" s="85">
        <f>STATS1003B!I1426/1000</f>
        <v>0</v>
      </c>
      <c r="J1425" s="85">
        <f>STATS1003B!J1426/1000</f>
        <v>9393.0918399999991</v>
      </c>
      <c r="K1425" s="85">
        <f>STATS1003B!K1426/1000</f>
        <v>0</v>
      </c>
      <c r="L1425" s="85">
        <f>STATS1003B!L1426/1000</f>
        <v>0</v>
      </c>
      <c r="M1425" s="85">
        <f>STATS1003B!M1426/1000</f>
        <v>9393.0918399999991</v>
      </c>
      <c r="N1425" s="85">
        <f>STATS1003B!N1426/1000</f>
        <v>0</v>
      </c>
      <c r="O1425" s="85">
        <f>STATS1003B!O1426/1000</f>
        <v>0</v>
      </c>
      <c r="P1425" s="85">
        <f>STATS1003B!P1426/1000</f>
        <v>0</v>
      </c>
      <c r="Q1425" s="85">
        <f>STATS1003B!Q1426/1000</f>
        <v>9393.0918399999991</v>
      </c>
      <c r="R1425" s="85">
        <f>STATS1003B!R1426/1000</f>
        <v>0</v>
      </c>
      <c r="S1425" s="85">
        <f>STATS1003B!S1426/1000</f>
        <v>0</v>
      </c>
      <c r="T1425" s="85">
        <f>STATS1003B!T1426/1000</f>
        <v>0</v>
      </c>
      <c r="U1425" s="85">
        <f>STATS1003B!U1426/1000</f>
        <v>0</v>
      </c>
      <c r="V1425" s="85">
        <f>STATS1003B!V1426/1000</f>
        <v>9393.0918399999991</v>
      </c>
      <c r="W1425" s="85">
        <f>STATS1003B!W1426/1000</f>
        <v>0</v>
      </c>
      <c r="X1425" s="85">
        <f t="shared" si="166"/>
        <v>9393.0918399999991</v>
      </c>
      <c r="Y1425" s="85">
        <f>STATS1003B!Y1426/1000</f>
        <v>0</v>
      </c>
      <c r="Z1425" s="85">
        <f t="shared" si="161"/>
        <v>0</v>
      </c>
      <c r="AA1425" s="69">
        <f>STATS1003B!AA1426/1000</f>
        <v>9393.0918399999991</v>
      </c>
      <c r="AB1425" s="69">
        <f>STATS1003B!AB1426/1000</f>
        <v>0</v>
      </c>
    </row>
    <row r="1426" spans="1:28" hidden="1" x14ac:dyDescent="0.3">
      <c r="A1426" s="117"/>
      <c r="C1426" s="71" t="s">
        <v>621</v>
      </c>
      <c r="D1426" s="88" t="s">
        <v>61</v>
      </c>
      <c r="E1426" s="85">
        <f>STATS1003B!E1427/1000</f>
        <v>1444.90717</v>
      </c>
      <c r="F1426" s="85">
        <f>STATS1003B!F1427/1000</f>
        <v>1444.90717</v>
      </c>
      <c r="G1426" s="85">
        <f>STATS1003B!G1427/1000</f>
        <v>0</v>
      </c>
      <c r="H1426" s="85">
        <f>STATS1003B!H1427/1000</f>
        <v>1444.90717</v>
      </c>
      <c r="I1426" s="85">
        <f>STATS1003B!I1427/1000</f>
        <v>0</v>
      </c>
      <c r="J1426" s="85">
        <f>STATS1003B!J1427/1000</f>
        <v>1444.90717</v>
      </c>
      <c r="K1426" s="85">
        <f>STATS1003B!K1427/1000</f>
        <v>0</v>
      </c>
      <c r="L1426" s="85">
        <f>STATS1003B!L1427/1000</f>
        <v>0</v>
      </c>
      <c r="M1426" s="85">
        <f>STATS1003B!M1427/1000</f>
        <v>1444.90717</v>
      </c>
      <c r="N1426" s="85">
        <f>STATS1003B!N1427/1000</f>
        <v>0</v>
      </c>
      <c r="O1426" s="85">
        <f>STATS1003B!O1427/1000</f>
        <v>0</v>
      </c>
      <c r="P1426" s="85">
        <f>STATS1003B!P1427/1000</f>
        <v>0</v>
      </c>
      <c r="Q1426" s="85">
        <f>STATS1003B!Q1427/1000</f>
        <v>1444.90717</v>
      </c>
      <c r="R1426" s="85">
        <f>STATS1003B!R1427/1000</f>
        <v>0</v>
      </c>
      <c r="S1426" s="85">
        <f>STATS1003B!S1427/1000</f>
        <v>0</v>
      </c>
      <c r="T1426" s="85">
        <f>STATS1003B!T1427/1000</f>
        <v>0</v>
      </c>
      <c r="U1426" s="85">
        <f>STATS1003B!U1427/1000</f>
        <v>0</v>
      </c>
      <c r="V1426" s="85">
        <f>STATS1003B!V1427/1000</f>
        <v>1444.90717</v>
      </c>
      <c r="W1426" s="85">
        <f>STATS1003B!W1427/1000</f>
        <v>0</v>
      </c>
      <c r="X1426" s="85">
        <f t="shared" si="166"/>
        <v>1444.90717</v>
      </c>
      <c r="Y1426" s="85">
        <f>STATS1003B!Y1427/1000</f>
        <v>0</v>
      </c>
      <c r="Z1426" s="85">
        <f t="shared" si="161"/>
        <v>0</v>
      </c>
      <c r="AA1426" s="69">
        <f>STATS1003B!AA1427/1000</f>
        <v>1444.90717</v>
      </c>
      <c r="AB1426" s="69">
        <f>STATS1003B!AB1427/1000</f>
        <v>0</v>
      </c>
    </row>
    <row r="1427" spans="1:28" hidden="1" x14ac:dyDescent="0.3">
      <c r="A1427" s="117"/>
      <c r="C1427" s="71" t="s">
        <v>929</v>
      </c>
      <c r="D1427" s="89" t="s">
        <v>1072</v>
      </c>
      <c r="E1427" s="85">
        <f>STATS1003B!E1428/1000</f>
        <v>3957.6431000000002</v>
      </c>
      <c r="F1427" s="85">
        <f>STATS1003B!F1428/1000</f>
        <v>3957.6431000000002</v>
      </c>
      <c r="G1427" s="85">
        <f>STATS1003B!G1428/1000</f>
        <v>0</v>
      </c>
      <c r="H1427" s="85">
        <f>STATS1003B!H1428/1000</f>
        <v>3957.6431000000002</v>
      </c>
      <c r="I1427" s="85">
        <f>STATS1003B!I1428/1000</f>
        <v>0</v>
      </c>
      <c r="J1427" s="85">
        <f>STATS1003B!J1428/1000</f>
        <v>0</v>
      </c>
      <c r="K1427" s="85">
        <f>STATS1003B!K1428/1000</f>
        <v>0</v>
      </c>
      <c r="L1427" s="85">
        <f>STATS1003B!L1428/1000</f>
        <v>0</v>
      </c>
      <c r="M1427" s="85">
        <f>STATS1003B!M1428/1000</f>
        <v>3957.6431000000002</v>
      </c>
      <c r="N1427" s="85">
        <f>STATS1003B!N1428/1000</f>
        <v>0</v>
      </c>
      <c r="O1427" s="85">
        <f>STATS1003B!O1428/1000</f>
        <v>0</v>
      </c>
      <c r="P1427" s="85">
        <f>STATS1003B!P1428/1000</f>
        <v>0</v>
      </c>
      <c r="Q1427" s="85">
        <f>STATS1003B!Q1428/1000</f>
        <v>0</v>
      </c>
      <c r="R1427" s="85">
        <f>STATS1003B!R1428/1000</f>
        <v>0</v>
      </c>
      <c r="S1427" s="85">
        <f>STATS1003B!S1428/1000</f>
        <v>0</v>
      </c>
      <c r="T1427" s="85">
        <f>STATS1003B!T1428/1000</f>
        <v>0</v>
      </c>
      <c r="U1427" s="85">
        <f>STATS1003B!U1428/1000</f>
        <v>0</v>
      </c>
      <c r="V1427" s="85">
        <f>STATS1003B!V1428/1000</f>
        <v>3957.6431000000002</v>
      </c>
      <c r="W1427" s="85">
        <f>STATS1003B!W1428/1000</f>
        <v>0</v>
      </c>
      <c r="X1427" s="85">
        <f t="shared" si="166"/>
        <v>3957.6431000000002</v>
      </c>
      <c r="Y1427" s="85">
        <f>STATS1003B!Y1428/1000</f>
        <v>0</v>
      </c>
      <c r="Z1427" s="85">
        <f t="shared" si="161"/>
        <v>0</v>
      </c>
      <c r="AA1427" s="69">
        <f>STATS1003B!AA1428/1000</f>
        <v>3957.6431000000002</v>
      </c>
      <c r="AB1427" s="69">
        <f>STATS1003B!AB1428/1000</f>
        <v>0</v>
      </c>
    </row>
    <row r="1428" spans="1:28" hidden="1" x14ac:dyDescent="0.3">
      <c r="A1428" s="117"/>
      <c r="C1428" s="71" t="s">
        <v>1203</v>
      </c>
      <c r="D1428" s="89" t="s">
        <v>1126</v>
      </c>
      <c r="E1428" s="85">
        <f>STATS1003B!E1429/1000</f>
        <v>8747.5142800000012</v>
      </c>
      <c r="F1428" s="85">
        <f>STATS1003B!F1429/1000</f>
        <v>8747.5142800000012</v>
      </c>
      <c r="G1428" s="85">
        <f>STATS1003B!G1429/1000</f>
        <v>0</v>
      </c>
      <c r="H1428" s="85">
        <f>STATS1003B!H1429/1000</f>
        <v>8747.5142800000012</v>
      </c>
      <c r="I1428" s="85">
        <f>STATS1003B!I1429/1000</f>
        <v>0</v>
      </c>
      <c r="J1428" s="85">
        <f>STATS1003B!J1429/1000</f>
        <v>0</v>
      </c>
      <c r="K1428" s="85">
        <f>STATS1003B!K1429/1000</f>
        <v>0</v>
      </c>
      <c r="L1428" s="85">
        <f>STATS1003B!L1429/1000</f>
        <v>0</v>
      </c>
      <c r="M1428" s="85">
        <f>STATS1003B!M1429/1000</f>
        <v>8747.5142800000012</v>
      </c>
      <c r="N1428" s="85">
        <f>STATS1003B!N1429/1000</f>
        <v>0</v>
      </c>
      <c r="O1428" s="85">
        <f>STATS1003B!O1429/1000</f>
        <v>0</v>
      </c>
      <c r="P1428" s="85">
        <f>STATS1003B!P1429/1000</f>
        <v>0</v>
      </c>
      <c r="Q1428" s="85">
        <f>STATS1003B!Q1429/1000</f>
        <v>0</v>
      </c>
      <c r="R1428" s="85">
        <f>STATS1003B!R1429/1000</f>
        <v>0</v>
      </c>
      <c r="S1428" s="85">
        <f>STATS1003B!S1429/1000</f>
        <v>0</v>
      </c>
      <c r="T1428" s="85">
        <f>STATS1003B!T1429/1000</f>
        <v>0</v>
      </c>
      <c r="U1428" s="85">
        <f>STATS1003B!U1429/1000</f>
        <v>0</v>
      </c>
      <c r="V1428" s="85">
        <f>STATS1003B!V1429/1000</f>
        <v>8747.5142800000012</v>
      </c>
      <c r="W1428" s="85">
        <f>STATS1003B!W1429/1000</f>
        <v>0</v>
      </c>
      <c r="X1428" s="85">
        <f t="shared" si="166"/>
        <v>8747.5142800000012</v>
      </c>
      <c r="Y1428" s="85">
        <f>STATS1003B!Y1429/1000</f>
        <v>0</v>
      </c>
      <c r="Z1428" s="85">
        <f t="shared" si="161"/>
        <v>0</v>
      </c>
      <c r="AA1428" s="69">
        <f>STATS1003B!AA1429/1000</f>
        <v>8747.5142800000012</v>
      </c>
      <c r="AB1428" s="69">
        <f>STATS1003B!AB1429/1000</f>
        <v>0</v>
      </c>
    </row>
    <row r="1429" spans="1:28" hidden="1" x14ac:dyDescent="0.3">
      <c r="A1429" s="117"/>
      <c r="C1429" s="68" t="s">
        <v>577</v>
      </c>
      <c r="E1429" s="85">
        <f>STATS1003B!E1430/1000</f>
        <v>39.02711</v>
      </c>
      <c r="F1429" s="85">
        <f>STATS1003B!F1430/1000</f>
        <v>0</v>
      </c>
      <c r="G1429" s="85">
        <f>STATS1003B!G1430/1000</f>
        <v>0</v>
      </c>
      <c r="H1429" s="85">
        <f>STATS1003B!H1430/1000</f>
        <v>0</v>
      </c>
      <c r="I1429" s="85">
        <f>STATS1003B!I1430/1000</f>
        <v>0</v>
      </c>
      <c r="J1429" s="85">
        <f>STATS1003B!J1430/1000</f>
        <v>0</v>
      </c>
      <c r="K1429" s="85">
        <f>STATS1003B!K1430/1000</f>
        <v>39.02711</v>
      </c>
      <c r="L1429" s="85">
        <f>STATS1003B!L1430/1000</f>
        <v>0</v>
      </c>
      <c r="M1429" s="85">
        <f>STATS1003B!M1430/1000</f>
        <v>0</v>
      </c>
      <c r="N1429" s="85">
        <f>STATS1003B!N1430/1000</f>
        <v>39.02711</v>
      </c>
      <c r="O1429" s="85">
        <f>STATS1003B!O1430/1000</f>
        <v>0</v>
      </c>
      <c r="P1429" s="85">
        <f>STATS1003B!P1430/1000</f>
        <v>39.02711</v>
      </c>
      <c r="Q1429" s="85">
        <f>STATS1003B!Q1430/1000</f>
        <v>0</v>
      </c>
      <c r="R1429" s="85">
        <f>STATS1003B!R1430/1000</f>
        <v>0</v>
      </c>
      <c r="S1429" s="85">
        <f>STATS1003B!S1430/1000</f>
        <v>0</v>
      </c>
      <c r="T1429" s="85">
        <f>STATS1003B!T1430/1000</f>
        <v>0</v>
      </c>
      <c r="U1429" s="85">
        <f>STATS1003B!U1430/1000</f>
        <v>39.02711</v>
      </c>
      <c r="V1429" s="85">
        <f>STATS1003B!V1430/1000</f>
        <v>39.02711</v>
      </c>
      <c r="W1429" s="85">
        <f>STATS1003B!W1430/1000</f>
        <v>0</v>
      </c>
      <c r="X1429" s="85">
        <f t="shared" si="166"/>
        <v>39.02711</v>
      </c>
      <c r="Y1429" s="85">
        <f>STATS1003B!Y1430/1000</f>
        <v>0</v>
      </c>
      <c r="Z1429" s="85">
        <f t="shared" si="161"/>
        <v>0</v>
      </c>
      <c r="AA1429" s="69">
        <f>STATS1003B!AA1430/1000</f>
        <v>39.02711</v>
      </c>
      <c r="AB1429" s="69">
        <f>STATS1003B!AB1430/1000</f>
        <v>0</v>
      </c>
    </row>
    <row r="1430" spans="1:28" hidden="1" x14ac:dyDescent="0.3">
      <c r="A1430" s="117"/>
      <c r="C1430" s="68" t="s">
        <v>592</v>
      </c>
      <c r="E1430" s="85">
        <f>STATS1003B!E1431/1000</f>
        <v>2244.0192499999998</v>
      </c>
      <c r="F1430" s="85">
        <f>STATS1003B!F1431/1000</f>
        <v>2241.9070000000002</v>
      </c>
      <c r="G1430" s="85">
        <f>STATS1003B!G1431/1000</f>
        <v>0</v>
      </c>
      <c r="H1430" s="85">
        <f>STATS1003B!H1431/1000</f>
        <v>2241.9070000000002</v>
      </c>
      <c r="I1430" s="85">
        <f>STATS1003B!I1431/1000</f>
        <v>0</v>
      </c>
      <c r="J1430" s="85">
        <f>STATS1003B!J1431/1000</f>
        <v>2241.9070000000002</v>
      </c>
      <c r="K1430" s="85">
        <f>STATS1003B!K1431/1000</f>
        <v>2.11225</v>
      </c>
      <c r="L1430" s="85">
        <f>STATS1003B!L1431/1000</f>
        <v>0</v>
      </c>
      <c r="M1430" s="85">
        <f>STATS1003B!M1431/1000</f>
        <v>2241.9070000000002</v>
      </c>
      <c r="N1430" s="85">
        <f>STATS1003B!N1431/1000</f>
        <v>2.11225</v>
      </c>
      <c r="O1430" s="85">
        <f>STATS1003B!O1431/1000</f>
        <v>0</v>
      </c>
      <c r="P1430" s="85">
        <f>STATS1003B!P1431/1000</f>
        <v>2.11225</v>
      </c>
      <c r="Q1430" s="85">
        <f>STATS1003B!Q1431/1000</f>
        <v>2241.9070000000002</v>
      </c>
      <c r="R1430" s="85">
        <f>STATS1003B!R1431/1000</f>
        <v>0</v>
      </c>
      <c r="S1430" s="85">
        <f>STATS1003B!S1431/1000</f>
        <v>0</v>
      </c>
      <c r="T1430" s="85">
        <f>STATS1003B!T1431/1000</f>
        <v>0</v>
      </c>
      <c r="U1430" s="85">
        <f>STATS1003B!U1431/1000</f>
        <v>2.11225</v>
      </c>
      <c r="V1430" s="85">
        <f>STATS1003B!V1431/1000</f>
        <v>2244.0192499999998</v>
      </c>
      <c r="W1430" s="85">
        <f>STATS1003B!W1431/1000</f>
        <v>0</v>
      </c>
      <c r="X1430" s="85">
        <f t="shared" si="166"/>
        <v>2244.0192500000003</v>
      </c>
      <c r="Y1430" s="85">
        <f>STATS1003B!Y1431/1000</f>
        <v>0</v>
      </c>
      <c r="Z1430" s="85">
        <f t="shared" si="161"/>
        <v>0</v>
      </c>
      <c r="AA1430" s="69">
        <f>STATS1003B!AA1431/1000</f>
        <v>2244.0192499999998</v>
      </c>
      <c r="AB1430" s="69">
        <f>STATS1003B!AB1431/1000</f>
        <v>0</v>
      </c>
    </row>
    <row r="1431" spans="1:28" hidden="1" x14ac:dyDescent="0.3">
      <c r="A1431" s="117"/>
      <c r="C1431" s="68" t="s">
        <v>678</v>
      </c>
      <c r="E1431" s="85">
        <f>STATS1003B!E1432/1000</f>
        <v>9781.0543100000014</v>
      </c>
      <c r="F1431" s="85">
        <f>STATS1003B!F1432/1000</f>
        <v>7920.6910900000003</v>
      </c>
      <c r="G1431" s="85">
        <f>STATS1003B!G1432/1000</f>
        <v>0</v>
      </c>
      <c r="H1431" s="85">
        <f>STATS1003B!H1432/1000</f>
        <v>7920.6910900000003</v>
      </c>
      <c r="I1431" s="85">
        <f>STATS1003B!I1432/1000</f>
        <v>1860.36322</v>
      </c>
      <c r="J1431" s="85">
        <f>STATS1003B!J1432/1000</f>
        <v>9781.0543100000014</v>
      </c>
      <c r="K1431" s="85">
        <f>STATS1003B!K1432/1000</f>
        <v>0</v>
      </c>
      <c r="L1431" s="85">
        <f>STATS1003B!L1432/1000</f>
        <v>1860.36322</v>
      </c>
      <c r="M1431" s="85">
        <f>STATS1003B!M1432/1000</f>
        <v>9781.0543100000014</v>
      </c>
      <c r="N1431" s="85">
        <f>STATS1003B!N1432/1000</f>
        <v>0</v>
      </c>
      <c r="O1431" s="85">
        <f>STATS1003B!O1432/1000</f>
        <v>0</v>
      </c>
      <c r="P1431" s="85">
        <f>STATS1003B!P1432/1000</f>
        <v>0</v>
      </c>
      <c r="Q1431" s="85">
        <f>STATS1003B!Q1432/1000</f>
        <v>9781.0543100000014</v>
      </c>
      <c r="R1431" s="85">
        <f>STATS1003B!R1432/1000</f>
        <v>0</v>
      </c>
      <c r="S1431" s="85">
        <f>STATS1003B!S1432/1000</f>
        <v>0</v>
      </c>
      <c r="T1431" s="85">
        <f>STATS1003B!T1432/1000</f>
        <v>0</v>
      </c>
      <c r="U1431" s="85">
        <f>STATS1003B!U1432/1000</f>
        <v>0</v>
      </c>
      <c r="V1431" s="85">
        <f>STATS1003B!V1432/1000</f>
        <v>7920.6910900000003</v>
      </c>
      <c r="W1431" s="85">
        <f>STATS1003B!W1432/1000</f>
        <v>1860.3632200000006</v>
      </c>
      <c r="X1431" s="85">
        <f t="shared" si="166"/>
        <v>7920.6910900000003</v>
      </c>
      <c r="Y1431" s="85">
        <f>STATS1003B!Y1432/1000</f>
        <v>0</v>
      </c>
      <c r="Z1431" s="85">
        <f t="shared" si="161"/>
        <v>1860.3632200000011</v>
      </c>
      <c r="AA1431" s="69">
        <f>STATS1003B!AA1432/1000</f>
        <v>9781.0543100000014</v>
      </c>
      <c r="AB1431" s="69">
        <f>STATS1003B!AB1432/1000</f>
        <v>0</v>
      </c>
    </row>
    <row r="1432" spans="1:28" hidden="1" x14ac:dyDescent="0.3">
      <c r="A1432" s="117"/>
      <c r="E1432" s="86" t="s">
        <v>29</v>
      </c>
      <c r="F1432" s="86" t="s">
        <v>29</v>
      </c>
      <c r="G1432" s="86" t="s">
        <v>29</v>
      </c>
      <c r="H1432" s="86" t="s">
        <v>29</v>
      </c>
      <c r="I1432" s="86" t="s">
        <v>29</v>
      </c>
      <c r="J1432" s="86" t="s">
        <v>29</v>
      </c>
      <c r="K1432" s="86" t="s">
        <v>29</v>
      </c>
      <c r="L1432" s="86" t="s">
        <v>29</v>
      </c>
      <c r="M1432" s="86" t="s">
        <v>29</v>
      </c>
      <c r="N1432" s="86" t="s">
        <v>29</v>
      </c>
      <c r="O1432" s="86" t="s">
        <v>29</v>
      </c>
      <c r="P1432" s="86" t="s">
        <v>29</v>
      </c>
      <c r="Q1432" s="86" t="s">
        <v>29</v>
      </c>
      <c r="R1432" s="86" t="s">
        <v>29</v>
      </c>
      <c r="S1432" s="86" t="s">
        <v>29</v>
      </c>
      <c r="T1432" s="86" t="s">
        <v>29</v>
      </c>
      <c r="U1432" s="86" t="s">
        <v>29</v>
      </c>
      <c r="V1432" s="86" t="s">
        <v>29</v>
      </c>
      <c r="W1432" s="86" t="s">
        <v>29</v>
      </c>
      <c r="X1432" s="85" t="e">
        <f t="shared" si="166"/>
        <v>#VALUE!</v>
      </c>
      <c r="Y1432" s="86" t="s">
        <v>29</v>
      </c>
      <c r="Z1432" s="85" t="e">
        <f t="shared" si="161"/>
        <v>#VALUE!</v>
      </c>
      <c r="AA1432" s="115" t="s">
        <v>29</v>
      </c>
      <c r="AB1432" s="115" t="s">
        <v>29</v>
      </c>
    </row>
    <row r="1433" spans="1:28" x14ac:dyDescent="0.3">
      <c r="A1433" s="116">
        <v>63</v>
      </c>
      <c r="B1433" s="68" t="s">
        <v>722</v>
      </c>
      <c r="E1433" s="85">
        <f>207904928.5/1000</f>
        <v>207904.92850000001</v>
      </c>
      <c r="F1433" s="85">
        <f t="shared" ref="F1433:Q1433" si="167">SUM(F1405:F1432)</f>
        <v>68636.924280000007</v>
      </c>
      <c r="G1433" s="85">
        <f t="shared" si="167"/>
        <v>0</v>
      </c>
      <c r="H1433" s="85">
        <f>199519544.3/1000</f>
        <v>199519.54430000001</v>
      </c>
      <c r="I1433" s="85">
        <f t="shared" si="167"/>
        <v>1860.36322</v>
      </c>
      <c r="J1433" s="85">
        <f t="shared" si="167"/>
        <v>57792.130119999994</v>
      </c>
      <c r="K1433" s="85">
        <f t="shared" si="167"/>
        <v>6525.0209800000002</v>
      </c>
      <c r="L1433" s="85">
        <f t="shared" si="167"/>
        <v>1860.36322</v>
      </c>
      <c r="M1433" s="85">
        <f t="shared" si="167"/>
        <v>70497.287500000006</v>
      </c>
      <c r="N1433" s="85">
        <f t="shared" si="167"/>
        <v>6525.0209800000002</v>
      </c>
      <c r="O1433" s="85">
        <f t="shared" si="167"/>
        <v>0</v>
      </c>
      <c r="P1433" s="85">
        <f>6525020/1000</f>
        <v>6525.02</v>
      </c>
      <c r="Q1433" s="85">
        <f t="shared" si="167"/>
        <v>57792.130119999994</v>
      </c>
      <c r="R1433" s="86"/>
      <c r="S1433" s="86"/>
      <c r="T1433" s="85">
        <f t="shared" ref="T1433:Y1433" si="168">SUM(T1405:T1432)</f>
        <v>0</v>
      </c>
      <c r="U1433" s="85">
        <f t="shared" si="168"/>
        <v>6525.0209800000002</v>
      </c>
      <c r="V1433" s="85">
        <f t="shared" si="168"/>
        <v>75161.945260000008</v>
      </c>
      <c r="W1433" s="85">
        <f t="shared" si="168"/>
        <v>1860.3632200000006</v>
      </c>
      <c r="X1433" s="85">
        <f>+H1433+P1433</f>
        <v>206044.5643</v>
      </c>
      <c r="Y1433" s="85">
        <f t="shared" si="168"/>
        <v>0</v>
      </c>
      <c r="Z1433" s="85">
        <f t="shared" si="161"/>
        <v>1860.3642000000109</v>
      </c>
      <c r="AA1433" s="69">
        <f>SUM(AA1405:AA1432)</f>
        <v>77022.308480000007</v>
      </c>
      <c r="AB1433" s="69">
        <f>SUM(AB1405:AB1432)</f>
        <v>0</v>
      </c>
    </row>
    <row r="1434" spans="1:28" hidden="1" x14ac:dyDescent="0.3">
      <c r="A1434" s="117"/>
      <c r="E1434" s="86" t="s">
        <v>29</v>
      </c>
      <c r="F1434" s="86" t="s">
        <v>29</v>
      </c>
      <c r="G1434" s="86" t="s">
        <v>29</v>
      </c>
      <c r="H1434" s="86" t="s">
        <v>29</v>
      </c>
      <c r="I1434" s="86" t="s">
        <v>29</v>
      </c>
      <c r="J1434" s="86" t="s">
        <v>29</v>
      </c>
      <c r="K1434" s="86" t="s">
        <v>29</v>
      </c>
      <c r="L1434" s="86" t="s">
        <v>29</v>
      </c>
      <c r="M1434" s="86" t="s">
        <v>29</v>
      </c>
      <c r="N1434" s="86" t="s">
        <v>29</v>
      </c>
      <c r="O1434" s="86" t="s">
        <v>29</v>
      </c>
      <c r="P1434" s="86" t="s">
        <v>29</v>
      </c>
      <c r="Q1434" s="86" t="s">
        <v>29</v>
      </c>
      <c r="R1434" s="86" t="s">
        <v>29</v>
      </c>
      <c r="S1434" s="86" t="s">
        <v>29</v>
      </c>
      <c r="T1434" s="86" t="s">
        <v>29</v>
      </c>
      <c r="U1434" s="86" t="s">
        <v>29</v>
      </c>
      <c r="V1434" s="86" t="s">
        <v>29</v>
      </c>
      <c r="W1434" s="86" t="s">
        <v>29</v>
      </c>
      <c r="X1434" s="85" t="e">
        <f t="shared" si="166"/>
        <v>#VALUE!</v>
      </c>
      <c r="Y1434" s="86" t="s">
        <v>29</v>
      </c>
      <c r="Z1434" s="85" t="e">
        <f t="shared" si="161"/>
        <v>#VALUE!</v>
      </c>
      <c r="AA1434" s="115" t="s">
        <v>29</v>
      </c>
      <c r="AB1434" s="115" t="s">
        <v>29</v>
      </c>
    </row>
    <row r="1435" spans="1:28" hidden="1" x14ac:dyDescent="0.3">
      <c r="A1435" s="105"/>
      <c r="E1435" s="84"/>
      <c r="F1435" s="84"/>
      <c r="G1435" s="84"/>
      <c r="H1435" s="84"/>
      <c r="I1435" s="84"/>
      <c r="J1435" s="84"/>
      <c r="K1435" s="84"/>
      <c r="L1435" s="84"/>
      <c r="M1435" s="84"/>
      <c r="N1435" s="84"/>
      <c r="O1435" s="84"/>
      <c r="P1435" s="84"/>
      <c r="Q1435" s="84"/>
      <c r="R1435" s="86"/>
      <c r="S1435" s="86"/>
      <c r="T1435" s="86"/>
      <c r="U1435" s="86"/>
      <c r="V1435" s="86"/>
      <c r="W1435" s="86"/>
      <c r="X1435" s="85">
        <f t="shared" si="166"/>
        <v>0</v>
      </c>
      <c r="Y1435" s="86"/>
      <c r="Z1435" s="85">
        <f t="shared" si="161"/>
        <v>0</v>
      </c>
    </row>
    <row r="1436" spans="1:28" hidden="1" x14ac:dyDescent="0.3">
      <c r="A1436" s="117"/>
      <c r="C1436" s="68" t="s">
        <v>535</v>
      </c>
      <c r="D1436" s="145" t="s">
        <v>78</v>
      </c>
      <c r="E1436" s="85">
        <f>STATS1003B!E1437/1000</f>
        <v>1322.8562299999999</v>
      </c>
      <c r="F1436" s="85">
        <f>STATS1003B!F1437/1000</f>
        <v>785.8</v>
      </c>
      <c r="G1436" s="85">
        <f>STATS1003B!G1437/1000</f>
        <v>0</v>
      </c>
      <c r="H1436" s="85">
        <f>STATS1003B!H1437/1000</f>
        <v>785.8</v>
      </c>
      <c r="I1436" s="85">
        <f>STATS1003B!I1437/1000</f>
        <v>0</v>
      </c>
      <c r="J1436" s="85">
        <f>STATS1003B!J1437/1000</f>
        <v>785.8</v>
      </c>
      <c r="K1436" s="85">
        <f>STATS1003B!K1437/1000</f>
        <v>537.05623000000003</v>
      </c>
      <c r="L1436" s="85">
        <f>STATS1003B!L1437/1000</f>
        <v>0</v>
      </c>
      <c r="M1436" s="85">
        <f>STATS1003B!M1437/1000</f>
        <v>785.8</v>
      </c>
      <c r="N1436" s="85">
        <f>STATS1003B!N1437/1000</f>
        <v>537.05623000000003</v>
      </c>
      <c r="O1436" s="85">
        <f>STATS1003B!O1437/1000</f>
        <v>0</v>
      </c>
      <c r="P1436" s="85">
        <f>STATS1003B!P1437/1000</f>
        <v>537.05623000000003</v>
      </c>
      <c r="Q1436" s="85">
        <f>STATS1003B!Q1437/1000</f>
        <v>785.8</v>
      </c>
      <c r="R1436" s="85">
        <f>STATS1003B!R1437/1000</f>
        <v>0</v>
      </c>
      <c r="S1436" s="85">
        <f>STATS1003B!S1437/1000</f>
        <v>0</v>
      </c>
      <c r="T1436" s="85">
        <f>STATS1003B!T1437/1000</f>
        <v>0</v>
      </c>
      <c r="U1436" s="85">
        <f>STATS1003B!U1437/1000</f>
        <v>537.05623000000003</v>
      </c>
      <c r="V1436" s="85">
        <f>STATS1003B!V1437/1000</f>
        <v>1322.8562299999999</v>
      </c>
      <c r="W1436" s="85">
        <f>STATS1003B!W1437/1000</f>
        <v>0</v>
      </c>
      <c r="X1436" s="85">
        <f t="shared" si="166"/>
        <v>1322.8562299999999</v>
      </c>
      <c r="Y1436" s="85">
        <f>STATS1003B!Y1437/1000</f>
        <v>0</v>
      </c>
      <c r="Z1436" s="85">
        <f t="shared" ref="Z1436:Z1499" si="169">+E1436-X1436</f>
        <v>0</v>
      </c>
      <c r="AA1436" s="69">
        <f>STATS1003B!AA1437/1000</f>
        <v>1322.8562299999999</v>
      </c>
      <c r="AB1436" s="69">
        <f>STATS1003B!AB1437/1000</f>
        <v>0</v>
      </c>
    </row>
    <row r="1437" spans="1:28" hidden="1" x14ac:dyDescent="0.3">
      <c r="A1437" s="117"/>
      <c r="C1437" s="68" t="s">
        <v>604</v>
      </c>
      <c r="D1437" s="145" t="s">
        <v>68</v>
      </c>
      <c r="E1437" s="85">
        <f>STATS1003B!E1438/1000</f>
        <v>850</v>
      </c>
      <c r="F1437" s="85">
        <f>STATS1003B!F1438/1000</f>
        <v>850</v>
      </c>
      <c r="G1437" s="85">
        <f>STATS1003B!G1438/1000</f>
        <v>0</v>
      </c>
      <c r="H1437" s="85">
        <f>STATS1003B!H1438/1000</f>
        <v>850</v>
      </c>
      <c r="I1437" s="85">
        <f>STATS1003B!I1438/1000</f>
        <v>0</v>
      </c>
      <c r="J1437" s="85">
        <f>STATS1003B!J1438/1000</f>
        <v>850</v>
      </c>
      <c r="K1437" s="85">
        <f>STATS1003B!K1438/1000</f>
        <v>0</v>
      </c>
      <c r="L1437" s="85">
        <f>STATS1003B!L1438/1000</f>
        <v>0</v>
      </c>
      <c r="M1437" s="85">
        <f>STATS1003B!M1438/1000</f>
        <v>850</v>
      </c>
      <c r="N1437" s="85">
        <f>STATS1003B!N1438/1000</f>
        <v>0</v>
      </c>
      <c r="O1437" s="85">
        <f>STATS1003B!O1438/1000</f>
        <v>0</v>
      </c>
      <c r="P1437" s="85">
        <f>STATS1003B!P1438/1000</f>
        <v>0</v>
      </c>
      <c r="Q1437" s="85">
        <f>STATS1003B!Q1438/1000</f>
        <v>850</v>
      </c>
      <c r="R1437" s="85">
        <f>STATS1003B!R1438/1000</f>
        <v>0</v>
      </c>
      <c r="S1437" s="85">
        <f>STATS1003B!S1438/1000</f>
        <v>0</v>
      </c>
      <c r="T1437" s="85">
        <f>STATS1003B!T1438/1000</f>
        <v>0</v>
      </c>
      <c r="U1437" s="85">
        <f>STATS1003B!U1438/1000</f>
        <v>0</v>
      </c>
      <c r="V1437" s="85">
        <f>STATS1003B!V1438/1000</f>
        <v>850</v>
      </c>
      <c r="W1437" s="85">
        <f>STATS1003B!W1438/1000</f>
        <v>0</v>
      </c>
      <c r="X1437" s="85">
        <f t="shared" si="166"/>
        <v>850</v>
      </c>
      <c r="Y1437" s="85">
        <f>STATS1003B!Y1438/1000</f>
        <v>0</v>
      </c>
      <c r="Z1437" s="85">
        <f t="shared" si="169"/>
        <v>0</v>
      </c>
      <c r="AA1437" s="69">
        <f>STATS1003B!AA1438/1000</f>
        <v>850</v>
      </c>
      <c r="AB1437" s="69">
        <f>STATS1003B!AB1438/1000</f>
        <v>0</v>
      </c>
    </row>
    <row r="1438" spans="1:28" hidden="1" x14ac:dyDescent="0.3">
      <c r="A1438" s="117"/>
      <c r="C1438" s="68" t="s">
        <v>604</v>
      </c>
      <c r="D1438" s="145" t="s">
        <v>68</v>
      </c>
      <c r="E1438" s="85">
        <f>STATS1003B!E1439/1000</f>
        <v>317.41619000000003</v>
      </c>
      <c r="F1438" s="85">
        <f>STATS1003B!F1439/1000</f>
        <v>239.6</v>
      </c>
      <c r="G1438" s="85">
        <f>STATS1003B!G1439/1000</f>
        <v>0</v>
      </c>
      <c r="H1438" s="85">
        <f>STATS1003B!H1439/1000</f>
        <v>239.6</v>
      </c>
      <c r="I1438" s="85">
        <f>STATS1003B!I1439/1000</f>
        <v>0</v>
      </c>
      <c r="J1438" s="85">
        <f>STATS1003B!J1439/1000</f>
        <v>239.6</v>
      </c>
      <c r="K1438" s="85">
        <f>STATS1003B!K1439/1000</f>
        <v>77.816190000000006</v>
      </c>
      <c r="L1438" s="85">
        <f>STATS1003B!L1439/1000</f>
        <v>0</v>
      </c>
      <c r="M1438" s="85">
        <f>STATS1003B!M1439/1000</f>
        <v>239.6</v>
      </c>
      <c r="N1438" s="85">
        <f>STATS1003B!N1439/1000</f>
        <v>77.816190000000006</v>
      </c>
      <c r="O1438" s="85">
        <f>STATS1003B!O1439/1000</f>
        <v>0</v>
      </c>
      <c r="P1438" s="85">
        <f>STATS1003B!P1439/1000</f>
        <v>77.816190000000006</v>
      </c>
      <c r="Q1438" s="85">
        <f>STATS1003B!Q1439/1000</f>
        <v>239.6</v>
      </c>
      <c r="R1438" s="85">
        <f>STATS1003B!R1439/1000</f>
        <v>0</v>
      </c>
      <c r="S1438" s="85">
        <f>STATS1003B!S1439/1000</f>
        <v>0</v>
      </c>
      <c r="T1438" s="85">
        <f>STATS1003B!T1439/1000</f>
        <v>0</v>
      </c>
      <c r="U1438" s="85">
        <f>STATS1003B!U1439/1000</f>
        <v>77.816190000000006</v>
      </c>
      <c r="V1438" s="85">
        <f>STATS1003B!V1439/1000</f>
        <v>317.41619000000003</v>
      </c>
      <c r="W1438" s="85">
        <f>STATS1003B!W1439/1000</f>
        <v>0</v>
      </c>
      <c r="X1438" s="85">
        <f t="shared" si="166"/>
        <v>317.41619000000003</v>
      </c>
      <c r="Y1438" s="85">
        <f>STATS1003B!Y1439/1000</f>
        <v>0</v>
      </c>
      <c r="Z1438" s="85">
        <f t="shared" si="169"/>
        <v>0</v>
      </c>
      <c r="AA1438" s="69">
        <f>STATS1003B!AA1439/1000</f>
        <v>317.41619000000003</v>
      </c>
      <c r="AB1438" s="69">
        <f>STATS1003B!AB1439/1000</f>
        <v>0</v>
      </c>
    </row>
    <row r="1439" spans="1:28" hidden="1" x14ac:dyDescent="0.3">
      <c r="A1439" s="117"/>
      <c r="C1439" s="68" t="s">
        <v>732</v>
      </c>
      <c r="D1439" s="145" t="s">
        <v>68</v>
      </c>
      <c r="E1439" s="85">
        <f>STATS1003B!E1440/1000</f>
        <v>1700</v>
      </c>
      <c r="F1439" s="85">
        <f>STATS1003B!F1440/1000</f>
        <v>1700</v>
      </c>
      <c r="G1439" s="85">
        <f>STATS1003B!G1440/1000</f>
        <v>0</v>
      </c>
      <c r="H1439" s="85">
        <f>STATS1003B!H1440/1000</f>
        <v>1700</v>
      </c>
      <c r="I1439" s="85">
        <f>STATS1003B!I1440/1000</f>
        <v>0</v>
      </c>
      <c r="J1439" s="85">
        <f>STATS1003B!J1440/1000</f>
        <v>1700</v>
      </c>
      <c r="K1439" s="85">
        <f>STATS1003B!K1440/1000</f>
        <v>0</v>
      </c>
      <c r="L1439" s="85">
        <f>STATS1003B!L1440/1000</f>
        <v>0</v>
      </c>
      <c r="M1439" s="85">
        <f>STATS1003B!M1440/1000</f>
        <v>1700</v>
      </c>
      <c r="N1439" s="85">
        <f>STATS1003B!N1440/1000</f>
        <v>0</v>
      </c>
      <c r="O1439" s="85">
        <f>STATS1003B!O1440/1000</f>
        <v>0</v>
      </c>
      <c r="P1439" s="85">
        <f>STATS1003B!P1440/1000</f>
        <v>0</v>
      </c>
      <c r="Q1439" s="85">
        <f>STATS1003B!Q1440/1000</f>
        <v>1700</v>
      </c>
      <c r="R1439" s="85">
        <f>STATS1003B!R1440/1000</f>
        <v>0</v>
      </c>
      <c r="S1439" s="85">
        <f>STATS1003B!S1440/1000</f>
        <v>0</v>
      </c>
      <c r="T1439" s="85">
        <f>STATS1003B!T1440/1000</f>
        <v>0</v>
      </c>
      <c r="U1439" s="85">
        <f>STATS1003B!U1440/1000</f>
        <v>0</v>
      </c>
      <c r="V1439" s="85">
        <f>STATS1003B!V1440/1000</f>
        <v>1700</v>
      </c>
      <c r="W1439" s="85">
        <f>STATS1003B!W1440/1000</f>
        <v>0</v>
      </c>
      <c r="X1439" s="85">
        <f t="shared" si="166"/>
        <v>1700</v>
      </c>
      <c r="Y1439" s="85">
        <f>STATS1003B!Y1440/1000</f>
        <v>0</v>
      </c>
      <c r="Z1439" s="85">
        <f t="shared" si="169"/>
        <v>0</v>
      </c>
      <c r="AA1439" s="69">
        <f>STATS1003B!AA1440/1000</f>
        <v>1700</v>
      </c>
      <c r="AB1439" s="69">
        <f>STATS1003B!AB1440/1000</f>
        <v>0</v>
      </c>
    </row>
    <row r="1440" spans="1:28" hidden="1" x14ac:dyDescent="0.3">
      <c r="A1440" s="117"/>
      <c r="C1440" s="68" t="s">
        <v>686</v>
      </c>
      <c r="D1440" s="145" t="s">
        <v>68</v>
      </c>
      <c r="E1440" s="85">
        <f>STATS1003B!E1441/1000</f>
        <v>116.87</v>
      </c>
      <c r="F1440" s="85">
        <f>STATS1003B!F1441/1000</f>
        <v>116.87</v>
      </c>
      <c r="G1440" s="85">
        <f>STATS1003B!G1441/1000</f>
        <v>0</v>
      </c>
      <c r="H1440" s="85">
        <f>STATS1003B!H1441/1000</f>
        <v>116.87</v>
      </c>
      <c r="I1440" s="85">
        <f>STATS1003B!I1441/1000</f>
        <v>0</v>
      </c>
      <c r="J1440" s="85">
        <f>STATS1003B!J1441/1000</f>
        <v>116.87</v>
      </c>
      <c r="K1440" s="85">
        <f>STATS1003B!K1441/1000</f>
        <v>0</v>
      </c>
      <c r="L1440" s="85">
        <f>STATS1003B!L1441/1000</f>
        <v>0</v>
      </c>
      <c r="M1440" s="85">
        <f>STATS1003B!M1441/1000</f>
        <v>116.87</v>
      </c>
      <c r="N1440" s="85">
        <f>STATS1003B!N1441/1000</f>
        <v>0</v>
      </c>
      <c r="O1440" s="85">
        <f>STATS1003B!O1441/1000</f>
        <v>0</v>
      </c>
      <c r="P1440" s="85">
        <f>STATS1003B!P1441/1000</f>
        <v>0</v>
      </c>
      <c r="Q1440" s="85">
        <f>STATS1003B!Q1441/1000</f>
        <v>116.87</v>
      </c>
      <c r="R1440" s="85">
        <f>STATS1003B!R1441/1000</f>
        <v>0</v>
      </c>
      <c r="S1440" s="85">
        <f>STATS1003B!S1441/1000</f>
        <v>0</v>
      </c>
      <c r="T1440" s="85">
        <f>STATS1003B!T1441/1000</f>
        <v>0</v>
      </c>
      <c r="U1440" s="85">
        <f>STATS1003B!U1441/1000</f>
        <v>0</v>
      </c>
      <c r="V1440" s="85">
        <f>STATS1003B!V1441/1000</f>
        <v>116.87</v>
      </c>
      <c r="W1440" s="85">
        <f>STATS1003B!W1441/1000</f>
        <v>0</v>
      </c>
      <c r="X1440" s="85">
        <f t="shared" si="166"/>
        <v>116.87</v>
      </c>
      <c r="Y1440" s="85">
        <f>STATS1003B!Y1441/1000</f>
        <v>0</v>
      </c>
      <c r="Z1440" s="85">
        <f t="shared" si="169"/>
        <v>0</v>
      </c>
      <c r="AA1440" s="69">
        <f>STATS1003B!AA1441/1000</f>
        <v>116.87</v>
      </c>
      <c r="AB1440" s="69">
        <f>STATS1003B!AB1441/1000</f>
        <v>0</v>
      </c>
    </row>
    <row r="1441" spans="1:28" hidden="1" x14ac:dyDescent="0.3">
      <c r="A1441" s="117"/>
      <c r="C1441" s="68" t="s">
        <v>535</v>
      </c>
      <c r="D1441" s="145" t="s">
        <v>54</v>
      </c>
      <c r="E1441" s="85">
        <f>STATS1003B!E1442/1000</f>
        <v>513</v>
      </c>
      <c r="F1441" s="85">
        <f>STATS1003B!F1442/1000</f>
        <v>513</v>
      </c>
      <c r="G1441" s="85">
        <f>STATS1003B!G1442/1000</f>
        <v>0</v>
      </c>
      <c r="H1441" s="85">
        <f>STATS1003B!H1442/1000</f>
        <v>513</v>
      </c>
      <c r="I1441" s="85">
        <f>STATS1003B!I1442/1000</f>
        <v>0</v>
      </c>
      <c r="J1441" s="85">
        <f>STATS1003B!J1442/1000</f>
        <v>513</v>
      </c>
      <c r="K1441" s="85">
        <f>STATS1003B!K1442/1000</f>
        <v>0</v>
      </c>
      <c r="L1441" s="85">
        <f>STATS1003B!L1442/1000</f>
        <v>0</v>
      </c>
      <c r="M1441" s="85">
        <f>STATS1003B!M1442/1000</f>
        <v>513</v>
      </c>
      <c r="N1441" s="85">
        <f>STATS1003B!N1442/1000</f>
        <v>0</v>
      </c>
      <c r="O1441" s="85">
        <f>STATS1003B!O1442/1000</f>
        <v>0</v>
      </c>
      <c r="P1441" s="85">
        <f>STATS1003B!P1442/1000</f>
        <v>0</v>
      </c>
      <c r="Q1441" s="85">
        <f>STATS1003B!Q1442/1000</f>
        <v>513</v>
      </c>
      <c r="R1441" s="85">
        <f>STATS1003B!R1442/1000</f>
        <v>0</v>
      </c>
      <c r="S1441" s="85">
        <f>STATS1003B!S1442/1000</f>
        <v>0</v>
      </c>
      <c r="T1441" s="85">
        <f>STATS1003B!T1442/1000</f>
        <v>0</v>
      </c>
      <c r="U1441" s="85">
        <f>STATS1003B!U1442/1000</f>
        <v>0</v>
      </c>
      <c r="V1441" s="85">
        <f>STATS1003B!V1442/1000</f>
        <v>513</v>
      </c>
      <c r="W1441" s="85">
        <f>STATS1003B!W1442/1000</f>
        <v>0</v>
      </c>
      <c r="X1441" s="85">
        <f t="shared" si="166"/>
        <v>513</v>
      </c>
      <c r="Y1441" s="85">
        <f>STATS1003B!Y1442/1000</f>
        <v>0</v>
      </c>
      <c r="Z1441" s="85">
        <f t="shared" si="169"/>
        <v>0</v>
      </c>
      <c r="AA1441" s="69">
        <f>STATS1003B!AA1442/1000</f>
        <v>513</v>
      </c>
      <c r="AB1441" s="69">
        <f>STATS1003B!AB1442/1000</f>
        <v>0</v>
      </c>
    </row>
    <row r="1442" spans="1:28" hidden="1" x14ac:dyDescent="0.3">
      <c r="A1442" s="117"/>
      <c r="C1442" s="68" t="s">
        <v>604</v>
      </c>
      <c r="D1442" s="145" t="s">
        <v>54</v>
      </c>
      <c r="E1442" s="85">
        <f>STATS1003B!E1443/1000</f>
        <v>285</v>
      </c>
      <c r="F1442" s="85">
        <f>STATS1003B!F1443/1000</f>
        <v>285</v>
      </c>
      <c r="G1442" s="85">
        <f>STATS1003B!G1443/1000</f>
        <v>0</v>
      </c>
      <c r="H1442" s="85">
        <f>STATS1003B!H1443/1000</f>
        <v>285</v>
      </c>
      <c r="I1442" s="85">
        <f>STATS1003B!I1443/1000</f>
        <v>0</v>
      </c>
      <c r="J1442" s="85">
        <f>STATS1003B!J1443/1000</f>
        <v>285</v>
      </c>
      <c r="K1442" s="85">
        <f>STATS1003B!K1443/1000</f>
        <v>0</v>
      </c>
      <c r="L1442" s="85">
        <f>STATS1003B!L1443/1000</f>
        <v>0</v>
      </c>
      <c r="M1442" s="85">
        <f>STATS1003B!M1443/1000</f>
        <v>285</v>
      </c>
      <c r="N1442" s="85">
        <f>STATS1003B!N1443/1000</f>
        <v>0</v>
      </c>
      <c r="O1442" s="85">
        <f>STATS1003B!O1443/1000</f>
        <v>0</v>
      </c>
      <c r="P1442" s="85">
        <f>STATS1003B!P1443/1000</f>
        <v>0</v>
      </c>
      <c r="Q1442" s="85">
        <f>STATS1003B!Q1443/1000</f>
        <v>285</v>
      </c>
      <c r="R1442" s="85">
        <f>STATS1003B!R1443/1000</f>
        <v>0</v>
      </c>
      <c r="S1442" s="85">
        <f>STATS1003B!S1443/1000</f>
        <v>0</v>
      </c>
      <c r="T1442" s="85">
        <f>STATS1003B!T1443/1000</f>
        <v>0</v>
      </c>
      <c r="U1442" s="85">
        <f>STATS1003B!U1443/1000</f>
        <v>0</v>
      </c>
      <c r="V1442" s="85">
        <f>STATS1003B!V1443/1000</f>
        <v>285</v>
      </c>
      <c r="W1442" s="85">
        <f>STATS1003B!W1443/1000</f>
        <v>0</v>
      </c>
      <c r="X1442" s="85">
        <f t="shared" si="166"/>
        <v>285</v>
      </c>
      <c r="Y1442" s="85">
        <f>STATS1003B!Y1443/1000</f>
        <v>0</v>
      </c>
      <c r="Z1442" s="85">
        <f t="shared" si="169"/>
        <v>0</v>
      </c>
      <c r="AA1442" s="69">
        <f>STATS1003B!AA1443/1000</f>
        <v>285</v>
      </c>
      <c r="AB1442" s="69">
        <f>STATS1003B!AB1443/1000</f>
        <v>0</v>
      </c>
    </row>
    <row r="1443" spans="1:28" hidden="1" x14ac:dyDescent="0.3">
      <c r="A1443" s="117"/>
      <c r="C1443" s="68" t="s">
        <v>733</v>
      </c>
      <c r="D1443" s="145" t="s">
        <v>54</v>
      </c>
      <c r="E1443" s="85">
        <f>STATS1003B!E1444/1000</f>
        <v>1608.61</v>
      </c>
      <c r="F1443" s="85">
        <f>STATS1003B!F1444/1000</f>
        <v>1608.61</v>
      </c>
      <c r="G1443" s="85">
        <f>STATS1003B!G1444/1000</f>
        <v>0</v>
      </c>
      <c r="H1443" s="85">
        <f>STATS1003B!H1444/1000</f>
        <v>1608.61</v>
      </c>
      <c r="I1443" s="85">
        <f>STATS1003B!I1444/1000</f>
        <v>0</v>
      </c>
      <c r="J1443" s="85">
        <f>STATS1003B!J1444/1000</f>
        <v>1608.61</v>
      </c>
      <c r="K1443" s="85">
        <f>STATS1003B!K1444/1000</f>
        <v>0</v>
      </c>
      <c r="L1443" s="85">
        <f>STATS1003B!L1444/1000</f>
        <v>0</v>
      </c>
      <c r="M1443" s="85">
        <f>STATS1003B!M1444/1000</f>
        <v>1608.61</v>
      </c>
      <c r="N1443" s="85">
        <f>STATS1003B!N1444/1000</f>
        <v>0</v>
      </c>
      <c r="O1443" s="85">
        <f>STATS1003B!O1444/1000</f>
        <v>0</v>
      </c>
      <c r="P1443" s="85">
        <f>STATS1003B!P1444/1000</f>
        <v>0</v>
      </c>
      <c r="Q1443" s="85">
        <f>STATS1003B!Q1444/1000</f>
        <v>1608.61</v>
      </c>
      <c r="R1443" s="85">
        <f>STATS1003B!R1444/1000</f>
        <v>0</v>
      </c>
      <c r="S1443" s="85">
        <f>STATS1003B!S1444/1000</f>
        <v>0</v>
      </c>
      <c r="T1443" s="85">
        <f>STATS1003B!T1444/1000</f>
        <v>0</v>
      </c>
      <c r="U1443" s="85">
        <f>STATS1003B!U1444/1000</f>
        <v>0</v>
      </c>
      <c r="V1443" s="85">
        <f>STATS1003B!V1444/1000</f>
        <v>1608.61</v>
      </c>
      <c r="W1443" s="85">
        <f>STATS1003B!W1444/1000</f>
        <v>0</v>
      </c>
      <c r="X1443" s="85">
        <f t="shared" si="166"/>
        <v>1608.61</v>
      </c>
      <c r="Y1443" s="85">
        <f>STATS1003B!Y1444/1000</f>
        <v>0</v>
      </c>
      <c r="Z1443" s="85">
        <f t="shared" si="169"/>
        <v>0</v>
      </c>
      <c r="AA1443" s="69">
        <f>STATS1003B!AA1444/1000</f>
        <v>1608.61</v>
      </c>
      <c r="AB1443" s="69">
        <f>STATS1003B!AB1444/1000</f>
        <v>0</v>
      </c>
    </row>
    <row r="1444" spans="1:28" hidden="1" x14ac:dyDescent="0.3">
      <c r="A1444" s="117"/>
      <c r="C1444" s="68" t="s">
        <v>733</v>
      </c>
      <c r="D1444" s="145" t="s">
        <v>54</v>
      </c>
      <c r="E1444" s="85">
        <f>STATS1003B!E1445/1000</f>
        <v>0</v>
      </c>
      <c r="F1444" s="85">
        <f>STATS1003B!F1445/1000</f>
        <v>0</v>
      </c>
      <c r="G1444" s="85">
        <f>STATS1003B!G1445/1000</f>
        <v>0</v>
      </c>
      <c r="H1444" s="85">
        <f>STATS1003B!H1445/1000</f>
        <v>0</v>
      </c>
      <c r="I1444" s="85">
        <f>STATS1003B!I1445/1000</f>
        <v>0</v>
      </c>
      <c r="J1444" s="85">
        <f>STATS1003B!J1445/1000</f>
        <v>0</v>
      </c>
      <c r="K1444" s="85">
        <f>STATS1003B!K1445/1000</f>
        <v>0</v>
      </c>
      <c r="L1444" s="85">
        <f>STATS1003B!L1445/1000</f>
        <v>0</v>
      </c>
      <c r="M1444" s="85">
        <f>STATS1003B!M1445/1000</f>
        <v>0</v>
      </c>
      <c r="N1444" s="85">
        <f>STATS1003B!N1445/1000</f>
        <v>0</v>
      </c>
      <c r="O1444" s="85">
        <f>STATS1003B!O1445/1000</f>
        <v>0</v>
      </c>
      <c r="P1444" s="85">
        <f>STATS1003B!P1445/1000</f>
        <v>0</v>
      </c>
      <c r="Q1444" s="85">
        <f>STATS1003B!Q1445/1000</f>
        <v>0</v>
      </c>
      <c r="R1444" s="85">
        <f>STATS1003B!R1445/1000</f>
        <v>0</v>
      </c>
      <c r="S1444" s="85">
        <f>STATS1003B!S1445/1000</f>
        <v>0</v>
      </c>
      <c r="T1444" s="85">
        <f>STATS1003B!T1445/1000</f>
        <v>0</v>
      </c>
      <c r="U1444" s="85">
        <f>STATS1003B!U1445/1000</f>
        <v>0</v>
      </c>
      <c r="V1444" s="85">
        <f>STATS1003B!V1445/1000</f>
        <v>0</v>
      </c>
      <c r="W1444" s="85">
        <f>STATS1003B!W1445/1000</f>
        <v>0</v>
      </c>
      <c r="X1444" s="85">
        <f t="shared" si="166"/>
        <v>0</v>
      </c>
      <c r="Y1444" s="85">
        <f>STATS1003B!Y1445/1000</f>
        <v>0</v>
      </c>
      <c r="Z1444" s="85">
        <f t="shared" si="169"/>
        <v>0</v>
      </c>
      <c r="AA1444" s="69">
        <f>STATS1003B!AA1445/1000</f>
        <v>0</v>
      </c>
      <c r="AB1444" s="69">
        <f>STATS1003B!AB1445/1000</f>
        <v>0</v>
      </c>
    </row>
    <row r="1445" spans="1:28" hidden="1" x14ac:dyDescent="0.3">
      <c r="A1445" s="117"/>
      <c r="C1445" s="68" t="s">
        <v>545</v>
      </c>
      <c r="D1445" s="145" t="s">
        <v>54</v>
      </c>
      <c r="E1445" s="85">
        <f>STATS1003B!E1446/1000</f>
        <v>1953.989</v>
      </c>
      <c r="F1445" s="85">
        <f>STATS1003B!F1446/1000</f>
        <v>0</v>
      </c>
      <c r="G1445" s="85">
        <f>STATS1003B!G1446/1000</f>
        <v>0</v>
      </c>
      <c r="H1445" s="85">
        <f>STATS1003B!H1446/1000</f>
        <v>0</v>
      </c>
      <c r="I1445" s="85">
        <f>STATS1003B!I1446/1000</f>
        <v>0</v>
      </c>
      <c r="J1445" s="85">
        <f>STATS1003B!J1446/1000</f>
        <v>0</v>
      </c>
      <c r="K1445" s="85">
        <f>STATS1003B!K1446/1000</f>
        <v>1953.989</v>
      </c>
      <c r="L1445" s="85">
        <f>STATS1003B!L1446/1000</f>
        <v>0</v>
      </c>
      <c r="M1445" s="85">
        <f>STATS1003B!M1446/1000</f>
        <v>0</v>
      </c>
      <c r="N1445" s="85">
        <f>STATS1003B!N1446/1000</f>
        <v>1953.989</v>
      </c>
      <c r="O1445" s="85">
        <f>STATS1003B!O1446/1000</f>
        <v>0</v>
      </c>
      <c r="P1445" s="85">
        <f>STATS1003B!P1446/1000</f>
        <v>1953.989</v>
      </c>
      <c r="Q1445" s="85">
        <f>STATS1003B!Q1446/1000</f>
        <v>0</v>
      </c>
      <c r="R1445" s="85">
        <f>STATS1003B!R1446/1000</f>
        <v>0</v>
      </c>
      <c r="S1445" s="85">
        <f>STATS1003B!S1446/1000</f>
        <v>0</v>
      </c>
      <c r="T1445" s="85">
        <f>STATS1003B!T1446/1000</f>
        <v>0</v>
      </c>
      <c r="U1445" s="85">
        <f>STATS1003B!U1446/1000</f>
        <v>1953.989</v>
      </c>
      <c r="V1445" s="85">
        <f>STATS1003B!V1446/1000</f>
        <v>1953.989</v>
      </c>
      <c r="W1445" s="85">
        <f>STATS1003B!W1446/1000</f>
        <v>0</v>
      </c>
      <c r="X1445" s="85">
        <f t="shared" si="166"/>
        <v>1953.989</v>
      </c>
      <c r="Y1445" s="85">
        <f>STATS1003B!Y1446/1000</f>
        <v>0</v>
      </c>
      <c r="Z1445" s="85">
        <f t="shared" si="169"/>
        <v>0</v>
      </c>
      <c r="AA1445" s="69">
        <f>STATS1003B!AA1446/1000</f>
        <v>1953.989</v>
      </c>
      <c r="AB1445" s="69">
        <f>STATS1003B!AB1446/1000</f>
        <v>0</v>
      </c>
    </row>
    <row r="1446" spans="1:28" hidden="1" x14ac:dyDescent="0.3">
      <c r="A1446" s="117"/>
      <c r="C1446" s="68" t="s">
        <v>612</v>
      </c>
      <c r="D1446" s="145" t="s">
        <v>85</v>
      </c>
      <c r="E1446" s="85">
        <f>STATS1003B!E1447/1000</f>
        <v>125.68300000000001</v>
      </c>
      <c r="F1446" s="85">
        <f>STATS1003B!F1447/1000</f>
        <v>125.68300000000001</v>
      </c>
      <c r="G1446" s="85">
        <f>STATS1003B!G1447/1000</f>
        <v>0</v>
      </c>
      <c r="H1446" s="85">
        <f>STATS1003B!H1447/1000</f>
        <v>125.68300000000001</v>
      </c>
      <c r="I1446" s="85">
        <f>STATS1003B!I1447/1000</f>
        <v>0</v>
      </c>
      <c r="J1446" s="85">
        <f>STATS1003B!J1447/1000</f>
        <v>125.68300000000001</v>
      </c>
      <c r="K1446" s="85">
        <f>STATS1003B!K1447/1000</f>
        <v>0</v>
      </c>
      <c r="L1446" s="85">
        <f>STATS1003B!L1447/1000</f>
        <v>0</v>
      </c>
      <c r="M1446" s="85">
        <f>STATS1003B!M1447/1000</f>
        <v>125.68300000000001</v>
      </c>
      <c r="N1446" s="85">
        <f>STATS1003B!N1447/1000</f>
        <v>0</v>
      </c>
      <c r="O1446" s="85">
        <f>STATS1003B!O1447/1000</f>
        <v>0</v>
      </c>
      <c r="P1446" s="85">
        <f>STATS1003B!P1447/1000</f>
        <v>0</v>
      </c>
      <c r="Q1446" s="85">
        <f>STATS1003B!Q1447/1000</f>
        <v>125.68300000000001</v>
      </c>
      <c r="R1446" s="85">
        <f>STATS1003B!R1447/1000</f>
        <v>0</v>
      </c>
      <c r="S1446" s="85">
        <f>STATS1003B!S1447/1000</f>
        <v>0</v>
      </c>
      <c r="T1446" s="85">
        <f>STATS1003B!T1447/1000</f>
        <v>0</v>
      </c>
      <c r="U1446" s="85">
        <f>STATS1003B!U1447/1000</f>
        <v>0</v>
      </c>
      <c r="V1446" s="85">
        <f>STATS1003B!V1447/1000</f>
        <v>125.68300000000001</v>
      </c>
      <c r="W1446" s="85">
        <f>STATS1003B!W1447/1000</f>
        <v>0</v>
      </c>
      <c r="X1446" s="85">
        <f t="shared" si="166"/>
        <v>125.68300000000001</v>
      </c>
      <c r="Y1446" s="85">
        <f>STATS1003B!Y1447/1000</f>
        <v>0</v>
      </c>
      <c r="Z1446" s="85">
        <f t="shared" si="169"/>
        <v>0</v>
      </c>
      <c r="AA1446" s="69">
        <f>STATS1003B!AA1447/1000</f>
        <v>125.68300000000001</v>
      </c>
      <c r="AB1446" s="69">
        <f>STATS1003B!AB1447/1000</f>
        <v>0</v>
      </c>
    </row>
    <row r="1447" spans="1:28" hidden="1" x14ac:dyDescent="0.3">
      <c r="A1447" s="117"/>
      <c r="C1447" s="68" t="s">
        <v>667</v>
      </c>
      <c r="D1447" s="145" t="s">
        <v>85</v>
      </c>
      <c r="E1447" s="85">
        <f>STATS1003B!E1448/1000</f>
        <v>340</v>
      </c>
      <c r="F1447" s="85">
        <f>STATS1003B!F1448/1000</f>
        <v>340</v>
      </c>
      <c r="G1447" s="85">
        <f>STATS1003B!G1448/1000</f>
        <v>0</v>
      </c>
      <c r="H1447" s="85">
        <f>STATS1003B!H1448/1000</f>
        <v>340</v>
      </c>
      <c r="I1447" s="85">
        <f>STATS1003B!I1448/1000</f>
        <v>0</v>
      </c>
      <c r="J1447" s="85">
        <f>STATS1003B!J1448/1000</f>
        <v>340</v>
      </c>
      <c r="K1447" s="85">
        <f>STATS1003B!K1448/1000</f>
        <v>0</v>
      </c>
      <c r="L1447" s="85">
        <f>STATS1003B!L1448/1000</f>
        <v>0</v>
      </c>
      <c r="M1447" s="85">
        <f>STATS1003B!M1448/1000</f>
        <v>340</v>
      </c>
      <c r="N1447" s="85">
        <f>STATS1003B!N1448/1000</f>
        <v>0</v>
      </c>
      <c r="O1447" s="85">
        <f>STATS1003B!O1448/1000</f>
        <v>0</v>
      </c>
      <c r="P1447" s="85">
        <f>STATS1003B!P1448/1000</f>
        <v>0</v>
      </c>
      <c r="Q1447" s="85">
        <f>STATS1003B!Q1448/1000</f>
        <v>340</v>
      </c>
      <c r="R1447" s="85">
        <f>STATS1003B!R1448/1000</f>
        <v>0</v>
      </c>
      <c r="S1447" s="85">
        <f>STATS1003B!S1448/1000</f>
        <v>0</v>
      </c>
      <c r="T1447" s="85">
        <f>STATS1003B!T1448/1000</f>
        <v>0</v>
      </c>
      <c r="U1447" s="85">
        <f>STATS1003B!U1448/1000</f>
        <v>0</v>
      </c>
      <c r="V1447" s="85">
        <f>STATS1003B!V1448/1000</f>
        <v>340</v>
      </c>
      <c r="W1447" s="85">
        <f>STATS1003B!W1448/1000</f>
        <v>0</v>
      </c>
      <c r="X1447" s="85">
        <f t="shared" si="166"/>
        <v>340</v>
      </c>
      <c r="Y1447" s="85">
        <f>STATS1003B!Y1448/1000</f>
        <v>0</v>
      </c>
      <c r="Z1447" s="85">
        <f t="shared" si="169"/>
        <v>0</v>
      </c>
      <c r="AA1447" s="69">
        <f>STATS1003B!AA1448/1000</f>
        <v>340</v>
      </c>
      <c r="AB1447" s="69">
        <f>STATS1003B!AB1448/1000</f>
        <v>0</v>
      </c>
    </row>
    <row r="1448" spans="1:28" hidden="1" x14ac:dyDescent="0.3">
      <c r="A1448" s="117"/>
      <c r="C1448" s="68" t="s">
        <v>734</v>
      </c>
      <c r="D1448" s="145" t="s">
        <v>85</v>
      </c>
      <c r="E1448" s="85">
        <f>STATS1003B!E1449/1000</f>
        <v>1599.0139999999999</v>
      </c>
      <c r="F1448" s="85">
        <f>STATS1003B!F1449/1000</f>
        <v>1599.0139999999999</v>
      </c>
      <c r="G1448" s="85">
        <f>STATS1003B!G1449/1000</f>
        <v>0</v>
      </c>
      <c r="H1448" s="85">
        <f>STATS1003B!H1449/1000</f>
        <v>1599.0139999999999</v>
      </c>
      <c r="I1448" s="85">
        <f>STATS1003B!I1449/1000</f>
        <v>0</v>
      </c>
      <c r="J1448" s="85">
        <f>STATS1003B!J1449/1000</f>
        <v>1599.0139999999999</v>
      </c>
      <c r="K1448" s="85">
        <f>STATS1003B!K1449/1000</f>
        <v>0</v>
      </c>
      <c r="L1448" s="85">
        <f>STATS1003B!L1449/1000</f>
        <v>0</v>
      </c>
      <c r="M1448" s="85">
        <f>STATS1003B!M1449/1000</f>
        <v>1599.0139999999999</v>
      </c>
      <c r="N1448" s="85">
        <f>STATS1003B!N1449/1000</f>
        <v>0</v>
      </c>
      <c r="O1448" s="85">
        <f>STATS1003B!O1449/1000</f>
        <v>0</v>
      </c>
      <c r="P1448" s="85">
        <f>STATS1003B!P1449/1000</f>
        <v>0</v>
      </c>
      <c r="Q1448" s="85">
        <f>STATS1003B!Q1449/1000</f>
        <v>1599.0139999999999</v>
      </c>
      <c r="R1448" s="85">
        <f>STATS1003B!R1449/1000</f>
        <v>0</v>
      </c>
      <c r="S1448" s="85">
        <f>STATS1003B!S1449/1000</f>
        <v>0</v>
      </c>
      <c r="T1448" s="85">
        <f>STATS1003B!T1449/1000</f>
        <v>0</v>
      </c>
      <c r="U1448" s="85">
        <f>STATS1003B!U1449/1000</f>
        <v>0</v>
      </c>
      <c r="V1448" s="85">
        <f>STATS1003B!V1449/1000</f>
        <v>1599.0139999999999</v>
      </c>
      <c r="W1448" s="85">
        <f>STATS1003B!W1449/1000</f>
        <v>0</v>
      </c>
      <c r="X1448" s="85">
        <f t="shared" si="166"/>
        <v>1599.0139999999999</v>
      </c>
      <c r="Y1448" s="85">
        <f>STATS1003B!Y1449/1000</f>
        <v>0</v>
      </c>
      <c r="Z1448" s="85">
        <f t="shared" si="169"/>
        <v>0</v>
      </c>
      <c r="AA1448" s="69">
        <f>STATS1003B!AA1449/1000</f>
        <v>1599.0139999999999</v>
      </c>
      <c r="AB1448" s="69">
        <f>STATS1003B!AB1449/1000</f>
        <v>0</v>
      </c>
    </row>
    <row r="1449" spans="1:28" hidden="1" x14ac:dyDescent="0.3">
      <c r="A1449" s="117"/>
      <c r="C1449" s="68" t="s">
        <v>535</v>
      </c>
      <c r="D1449" s="145" t="s">
        <v>128</v>
      </c>
      <c r="E1449" s="85">
        <f>STATS1003B!E1450/1000</f>
        <v>3480.0120000000002</v>
      </c>
      <c r="F1449" s="85">
        <f>STATS1003B!F1450/1000</f>
        <v>3480.0120000000002</v>
      </c>
      <c r="G1449" s="85">
        <f>STATS1003B!G1450/1000</f>
        <v>0</v>
      </c>
      <c r="H1449" s="85">
        <f>STATS1003B!H1450/1000</f>
        <v>3480.0120000000002</v>
      </c>
      <c r="I1449" s="85">
        <f>STATS1003B!I1450/1000</f>
        <v>0</v>
      </c>
      <c r="J1449" s="85">
        <f>STATS1003B!J1450/1000</f>
        <v>3480.0120000000002</v>
      </c>
      <c r="K1449" s="85">
        <f>STATS1003B!K1450/1000</f>
        <v>0</v>
      </c>
      <c r="L1449" s="85">
        <f>STATS1003B!L1450/1000</f>
        <v>0</v>
      </c>
      <c r="M1449" s="85">
        <f>STATS1003B!M1450/1000</f>
        <v>3480.0120000000002</v>
      </c>
      <c r="N1449" s="85">
        <f>STATS1003B!N1450/1000</f>
        <v>0</v>
      </c>
      <c r="O1449" s="85">
        <f>STATS1003B!O1450/1000</f>
        <v>0</v>
      </c>
      <c r="P1449" s="85">
        <f>STATS1003B!P1450/1000</f>
        <v>0</v>
      </c>
      <c r="Q1449" s="85">
        <f>STATS1003B!Q1450/1000</f>
        <v>3480.0120000000002</v>
      </c>
      <c r="R1449" s="85">
        <f>STATS1003B!R1450/1000</f>
        <v>0</v>
      </c>
      <c r="S1449" s="85">
        <f>STATS1003B!S1450/1000</f>
        <v>0</v>
      </c>
      <c r="T1449" s="85">
        <f>STATS1003B!T1450/1000</f>
        <v>0</v>
      </c>
      <c r="U1449" s="85">
        <f>STATS1003B!U1450/1000</f>
        <v>0</v>
      </c>
      <c r="V1449" s="85">
        <f>STATS1003B!V1450/1000</f>
        <v>3480.0120000000002</v>
      </c>
      <c r="W1449" s="85">
        <f>STATS1003B!W1450/1000</f>
        <v>0</v>
      </c>
      <c r="X1449" s="85">
        <f t="shared" si="166"/>
        <v>3480.0120000000002</v>
      </c>
      <c r="Y1449" s="85">
        <f>STATS1003B!Y1450/1000</f>
        <v>0</v>
      </c>
      <c r="Z1449" s="85">
        <f t="shared" si="169"/>
        <v>0</v>
      </c>
      <c r="AA1449" s="69">
        <f>STATS1003B!AA1450/1000</f>
        <v>3480.0120000000002</v>
      </c>
      <c r="AB1449" s="69">
        <f>STATS1003B!AB1450/1000</f>
        <v>0</v>
      </c>
    </row>
    <row r="1450" spans="1:28" hidden="1" x14ac:dyDescent="0.3">
      <c r="A1450" s="117"/>
      <c r="C1450" s="68" t="s">
        <v>535</v>
      </c>
      <c r="D1450" s="145" t="s">
        <v>88</v>
      </c>
      <c r="E1450" s="85">
        <f>STATS1003B!E1451/1000</f>
        <v>1512.63168</v>
      </c>
      <c r="F1450" s="85">
        <f>STATS1003B!F1451/1000</f>
        <v>1512.6316800000002</v>
      </c>
      <c r="G1450" s="85">
        <f>STATS1003B!G1451/1000</f>
        <v>0</v>
      </c>
      <c r="H1450" s="85">
        <f>STATS1003B!H1451/1000</f>
        <v>1512.6316800000002</v>
      </c>
      <c r="I1450" s="85">
        <f>STATS1003B!I1451/1000</f>
        <v>0</v>
      </c>
      <c r="J1450" s="85">
        <f>STATS1003B!J1451/1000</f>
        <v>1512.6316800000002</v>
      </c>
      <c r="K1450" s="85">
        <f>STATS1003B!K1451/1000</f>
        <v>0</v>
      </c>
      <c r="L1450" s="85">
        <f>STATS1003B!L1451/1000</f>
        <v>0</v>
      </c>
      <c r="M1450" s="85">
        <f>STATS1003B!M1451/1000</f>
        <v>1512.6316800000002</v>
      </c>
      <c r="N1450" s="85">
        <f>STATS1003B!N1451/1000</f>
        <v>0</v>
      </c>
      <c r="O1450" s="85">
        <f>STATS1003B!O1451/1000</f>
        <v>0</v>
      </c>
      <c r="P1450" s="85">
        <f>STATS1003B!P1451/1000</f>
        <v>0</v>
      </c>
      <c r="Q1450" s="85">
        <f>STATS1003B!Q1451/1000</f>
        <v>1512.63168</v>
      </c>
      <c r="R1450" s="85">
        <f>STATS1003B!R1451/1000</f>
        <v>0</v>
      </c>
      <c r="S1450" s="85">
        <f>STATS1003B!S1451/1000</f>
        <v>0</v>
      </c>
      <c r="T1450" s="85">
        <f>STATS1003B!T1451/1000</f>
        <v>0</v>
      </c>
      <c r="U1450" s="85">
        <f>STATS1003B!U1451/1000</f>
        <v>0</v>
      </c>
      <c r="V1450" s="85">
        <f>STATS1003B!V1451/1000</f>
        <v>1512.6316800000002</v>
      </c>
      <c r="W1450" s="85">
        <f>STATS1003B!W1451/1000</f>
        <v>0</v>
      </c>
      <c r="X1450" s="85">
        <f t="shared" si="166"/>
        <v>1512.6316800000002</v>
      </c>
      <c r="Y1450" s="85">
        <f>STATS1003B!Y1451/1000</f>
        <v>0</v>
      </c>
      <c r="Z1450" s="85">
        <f t="shared" si="169"/>
        <v>0</v>
      </c>
      <c r="AA1450" s="69">
        <f>STATS1003B!AA1451/1000</f>
        <v>1512.6316800000002</v>
      </c>
      <c r="AB1450" s="69">
        <f>STATS1003B!AB1451/1000</f>
        <v>0</v>
      </c>
    </row>
    <row r="1451" spans="1:28" hidden="1" x14ac:dyDescent="0.3">
      <c r="A1451" s="117"/>
      <c r="B1451" s="68" t="s">
        <v>642</v>
      </c>
      <c r="C1451" s="68" t="s">
        <v>535</v>
      </c>
      <c r="D1451" s="145" t="s">
        <v>108</v>
      </c>
      <c r="E1451" s="85">
        <f>STATS1003B!E1452/1000</f>
        <v>1039.2265500000001</v>
      </c>
      <c r="F1451" s="85">
        <f>STATS1003B!F1452/1000</f>
        <v>1039.2265500000001</v>
      </c>
      <c r="G1451" s="85">
        <f>STATS1003B!G1452/1000</f>
        <v>0</v>
      </c>
      <c r="H1451" s="85">
        <f>STATS1003B!H1452/1000</f>
        <v>1039.2265500000001</v>
      </c>
      <c r="I1451" s="85">
        <f>STATS1003B!I1452/1000</f>
        <v>0</v>
      </c>
      <c r="J1451" s="85">
        <f>STATS1003B!J1452/1000</f>
        <v>1039.2265500000001</v>
      </c>
      <c r="K1451" s="85">
        <f>STATS1003B!K1452/1000</f>
        <v>0</v>
      </c>
      <c r="L1451" s="85">
        <f>STATS1003B!L1452/1000</f>
        <v>0</v>
      </c>
      <c r="M1451" s="85">
        <f>STATS1003B!M1452/1000</f>
        <v>1039.2265500000001</v>
      </c>
      <c r="N1451" s="85">
        <f>STATS1003B!N1452/1000</f>
        <v>0</v>
      </c>
      <c r="O1451" s="85">
        <f>STATS1003B!O1452/1000</f>
        <v>0</v>
      </c>
      <c r="P1451" s="85">
        <f>STATS1003B!P1452/1000</f>
        <v>0</v>
      </c>
      <c r="Q1451" s="85">
        <f>STATS1003B!Q1452/1000</f>
        <v>1039.2265500000001</v>
      </c>
      <c r="R1451" s="85">
        <f>STATS1003B!R1452/1000</f>
        <v>0</v>
      </c>
      <c r="S1451" s="85">
        <f>STATS1003B!S1452/1000</f>
        <v>0</v>
      </c>
      <c r="T1451" s="85">
        <f>STATS1003B!T1452/1000</f>
        <v>0</v>
      </c>
      <c r="U1451" s="85">
        <f>STATS1003B!U1452/1000</f>
        <v>0</v>
      </c>
      <c r="V1451" s="85">
        <f>STATS1003B!V1452/1000</f>
        <v>1039.2265500000001</v>
      </c>
      <c r="W1451" s="85">
        <f>STATS1003B!W1452/1000</f>
        <v>0</v>
      </c>
      <c r="X1451" s="85">
        <f t="shared" si="166"/>
        <v>1039.2265500000001</v>
      </c>
      <c r="Y1451" s="85">
        <f>STATS1003B!Y1452/1000</f>
        <v>0</v>
      </c>
      <c r="Z1451" s="85">
        <f t="shared" si="169"/>
        <v>0</v>
      </c>
      <c r="AA1451" s="69">
        <f>STATS1003B!AA1452/1000</f>
        <v>1039.2265500000001</v>
      </c>
      <c r="AB1451" s="69">
        <f>STATS1003B!AB1452/1000</f>
        <v>0</v>
      </c>
    </row>
    <row r="1452" spans="1:28" hidden="1" x14ac:dyDescent="0.3">
      <c r="A1452" s="117"/>
      <c r="C1452" s="68" t="s">
        <v>535</v>
      </c>
      <c r="D1452" s="145" t="s">
        <v>58</v>
      </c>
      <c r="E1452" s="85">
        <f>STATS1003B!E1453/1000</f>
        <v>1659.191</v>
      </c>
      <c r="F1452" s="85">
        <f>STATS1003B!F1453/1000</f>
        <v>1659.191</v>
      </c>
      <c r="G1452" s="85">
        <f>STATS1003B!G1453/1000</f>
        <v>0</v>
      </c>
      <c r="H1452" s="85">
        <f>STATS1003B!H1453/1000</f>
        <v>1659.191</v>
      </c>
      <c r="I1452" s="85">
        <f>STATS1003B!I1453/1000</f>
        <v>0</v>
      </c>
      <c r="J1452" s="85">
        <f>STATS1003B!J1453/1000</f>
        <v>1659.191</v>
      </c>
      <c r="K1452" s="85">
        <f>STATS1003B!K1453/1000</f>
        <v>0</v>
      </c>
      <c r="L1452" s="85">
        <f>STATS1003B!L1453/1000</f>
        <v>0</v>
      </c>
      <c r="M1452" s="85">
        <f>STATS1003B!M1453/1000</f>
        <v>1659.191</v>
      </c>
      <c r="N1452" s="85">
        <f>STATS1003B!N1453/1000</f>
        <v>0</v>
      </c>
      <c r="O1452" s="85">
        <f>STATS1003B!O1453/1000</f>
        <v>0</v>
      </c>
      <c r="P1452" s="85">
        <f>STATS1003B!P1453/1000</f>
        <v>0</v>
      </c>
      <c r="Q1452" s="85">
        <f>STATS1003B!Q1453/1000</f>
        <v>1659.191</v>
      </c>
      <c r="R1452" s="85">
        <f>STATS1003B!R1453/1000</f>
        <v>0</v>
      </c>
      <c r="S1452" s="85">
        <f>STATS1003B!S1453/1000</f>
        <v>0</v>
      </c>
      <c r="T1452" s="85">
        <f>STATS1003B!T1453/1000</f>
        <v>0</v>
      </c>
      <c r="U1452" s="85">
        <f>STATS1003B!U1453/1000</f>
        <v>0</v>
      </c>
      <c r="V1452" s="85">
        <f>STATS1003B!V1453/1000</f>
        <v>1659.191</v>
      </c>
      <c r="W1452" s="85">
        <f>STATS1003B!W1453/1000</f>
        <v>0</v>
      </c>
      <c r="X1452" s="85">
        <f t="shared" si="166"/>
        <v>1659.191</v>
      </c>
      <c r="Y1452" s="85">
        <f>STATS1003B!Y1453/1000</f>
        <v>0</v>
      </c>
      <c r="Z1452" s="85">
        <f t="shared" si="169"/>
        <v>0</v>
      </c>
      <c r="AA1452" s="69">
        <f>STATS1003B!AA1453/1000</f>
        <v>1659.191</v>
      </c>
      <c r="AB1452" s="69">
        <f>STATS1003B!AB1453/1000</f>
        <v>0</v>
      </c>
    </row>
    <row r="1453" spans="1:28" hidden="1" x14ac:dyDescent="0.3">
      <c r="A1453" s="117"/>
      <c r="C1453" s="68" t="s">
        <v>735</v>
      </c>
      <c r="D1453" s="88" t="s">
        <v>60</v>
      </c>
      <c r="E1453" s="85">
        <f>STATS1003B!E1454/1000</f>
        <v>1461.24422</v>
      </c>
      <c r="F1453" s="85">
        <f>STATS1003B!F1454/1000</f>
        <v>1461.24422</v>
      </c>
      <c r="G1453" s="85">
        <f>STATS1003B!G1454/1000</f>
        <v>0</v>
      </c>
      <c r="H1453" s="85">
        <f>STATS1003B!H1454/1000</f>
        <v>1461.24422</v>
      </c>
      <c r="I1453" s="85">
        <f>STATS1003B!I1454/1000</f>
        <v>0</v>
      </c>
      <c r="J1453" s="85">
        <f>STATS1003B!J1454/1000</f>
        <v>1461.24422</v>
      </c>
      <c r="K1453" s="85">
        <f>STATS1003B!K1454/1000</f>
        <v>0</v>
      </c>
      <c r="L1453" s="85">
        <f>STATS1003B!L1454/1000</f>
        <v>0</v>
      </c>
      <c r="M1453" s="85">
        <f>STATS1003B!M1454/1000</f>
        <v>1461.24422</v>
      </c>
      <c r="N1453" s="85">
        <f>STATS1003B!N1454/1000</f>
        <v>0</v>
      </c>
      <c r="O1453" s="85">
        <f>STATS1003B!O1454/1000</f>
        <v>0</v>
      </c>
      <c r="P1453" s="85">
        <f>STATS1003B!P1454/1000</f>
        <v>0</v>
      </c>
      <c r="Q1453" s="85">
        <f>STATS1003B!Q1454/1000</f>
        <v>1461.24422</v>
      </c>
      <c r="R1453" s="85">
        <f>STATS1003B!R1454/1000</f>
        <v>0</v>
      </c>
      <c r="S1453" s="85">
        <f>STATS1003B!S1454/1000</f>
        <v>0</v>
      </c>
      <c r="T1453" s="85">
        <f>STATS1003B!T1454/1000</f>
        <v>0</v>
      </c>
      <c r="U1453" s="85">
        <f>STATS1003B!U1454/1000</f>
        <v>0</v>
      </c>
      <c r="V1453" s="85">
        <f>STATS1003B!V1454/1000</f>
        <v>1461.24422</v>
      </c>
      <c r="W1453" s="85">
        <f>STATS1003B!W1454/1000</f>
        <v>0</v>
      </c>
      <c r="X1453" s="85">
        <f t="shared" si="166"/>
        <v>1461.24422</v>
      </c>
      <c r="Y1453" s="85">
        <f>STATS1003B!Y1454/1000</f>
        <v>0</v>
      </c>
      <c r="Z1453" s="85">
        <f t="shared" si="169"/>
        <v>0</v>
      </c>
      <c r="AA1453" s="69">
        <f>STATS1003B!AA1454/1000</f>
        <v>1461.24422</v>
      </c>
      <c r="AB1453" s="69">
        <f>STATS1003B!AB1454/1000</f>
        <v>0</v>
      </c>
    </row>
    <row r="1454" spans="1:28" hidden="1" x14ac:dyDescent="0.3">
      <c r="A1454" s="117"/>
      <c r="C1454" s="68" t="s">
        <v>535</v>
      </c>
      <c r="D1454" s="88" t="s">
        <v>60</v>
      </c>
      <c r="E1454" s="85">
        <f>STATS1003B!E1455/1000</f>
        <v>1441.2860000000001</v>
      </c>
      <c r="F1454" s="85">
        <f>STATS1003B!F1455/1000</f>
        <v>1441.2860000000001</v>
      </c>
      <c r="G1454" s="85">
        <f>STATS1003B!G1455/1000</f>
        <v>0</v>
      </c>
      <c r="H1454" s="85">
        <f>STATS1003B!H1455/1000</f>
        <v>1441.2860000000001</v>
      </c>
      <c r="I1454" s="85">
        <f>STATS1003B!I1455/1000</f>
        <v>0</v>
      </c>
      <c r="J1454" s="85">
        <f>STATS1003B!J1455/1000</f>
        <v>1441.2860000000001</v>
      </c>
      <c r="K1454" s="85">
        <f>STATS1003B!K1455/1000</f>
        <v>0</v>
      </c>
      <c r="L1454" s="85">
        <f>STATS1003B!L1455/1000</f>
        <v>0</v>
      </c>
      <c r="M1454" s="85">
        <f>STATS1003B!M1455/1000</f>
        <v>1441.2860000000001</v>
      </c>
      <c r="N1454" s="85">
        <f>STATS1003B!N1455/1000</f>
        <v>0</v>
      </c>
      <c r="O1454" s="85">
        <f>STATS1003B!O1455/1000</f>
        <v>0</v>
      </c>
      <c r="P1454" s="85">
        <f>STATS1003B!P1455/1000</f>
        <v>0</v>
      </c>
      <c r="Q1454" s="85">
        <f>STATS1003B!Q1455/1000</f>
        <v>1441.2860000000001</v>
      </c>
      <c r="R1454" s="85">
        <f>STATS1003B!R1455/1000</f>
        <v>0</v>
      </c>
      <c r="S1454" s="85">
        <f>STATS1003B!S1455/1000</f>
        <v>0</v>
      </c>
      <c r="T1454" s="85">
        <f>STATS1003B!T1455/1000</f>
        <v>0</v>
      </c>
      <c r="U1454" s="85">
        <f>STATS1003B!U1455/1000</f>
        <v>0</v>
      </c>
      <c r="V1454" s="85">
        <f>STATS1003B!V1455/1000</f>
        <v>1441.2860000000001</v>
      </c>
      <c r="W1454" s="85">
        <f>STATS1003B!W1455/1000</f>
        <v>0</v>
      </c>
      <c r="X1454" s="85">
        <f t="shared" si="166"/>
        <v>1441.2860000000001</v>
      </c>
      <c r="Y1454" s="85">
        <f>STATS1003B!Y1455/1000</f>
        <v>0</v>
      </c>
      <c r="Z1454" s="85">
        <f t="shared" si="169"/>
        <v>0</v>
      </c>
      <c r="AA1454" s="69">
        <f>STATS1003B!AA1455/1000</f>
        <v>1441.2860000000001</v>
      </c>
      <c r="AB1454" s="69">
        <f>STATS1003B!AB1455/1000</f>
        <v>0</v>
      </c>
    </row>
    <row r="1455" spans="1:28" hidden="1" x14ac:dyDescent="0.3">
      <c r="A1455" s="117"/>
      <c r="C1455" s="71" t="s">
        <v>736</v>
      </c>
      <c r="D1455" s="88" t="s">
        <v>60</v>
      </c>
      <c r="E1455" s="85">
        <f>STATS1003B!E1456/1000</f>
        <v>5000</v>
      </c>
      <c r="F1455" s="85">
        <f>STATS1003B!F1456/1000</f>
        <v>5000</v>
      </c>
      <c r="G1455" s="85">
        <f>STATS1003B!G1456/1000</f>
        <v>0</v>
      </c>
      <c r="H1455" s="85">
        <f>STATS1003B!H1456/1000</f>
        <v>5000</v>
      </c>
      <c r="I1455" s="85">
        <f>STATS1003B!I1456/1000</f>
        <v>0</v>
      </c>
      <c r="J1455" s="85">
        <f>STATS1003B!J1456/1000</f>
        <v>5000</v>
      </c>
      <c r="K1455" s="85">
        <f>STATS1003B!K1456/1000</f>
        <v>0</v>
      </c>
      <c r="L1455" s="85">
        <f>STATS1003B!L1456/1000</f>
        <v>0</v>
      </c>
      <c r="M1455" s="85">
        <f>STATS1003B!M1456/1000</f>
        <v>5000</v>
      </c>
      <c r="N1455" s="85">
        <f>STATS1003B!N1456/1000</f>
        <v>0</v>
      </c>
      <c r="O1455" s="85">
        <f>STATS1003B!O1456/1000</f>
        <v>0</v>
      </c>
      <c r="P1455" s="85">
        <f>STATS1003B!P1456/1000</f>
        <v>0</v>
      </c>
      <c r="Q1455" s="85">
        <f>STATS1003B!Q1456/1000</f>
        <v>5000</v>
      </c>
      <c r="R1455" s="85">
        <f>STATS1003B!R1456/1000</f>
        <v>0</v>
      </c>
      <c r="S1455" s="85">
        <f>STATS1003B!S1456/1000</f>
        <v>0</v>
      </c>
      <c r="T1455" s="85">
        <f>STATS1003B!T1456/1000</f>
        <v>0</v>
      </c>
      <c r="U1455" s="85">
        <f>STATS1003B!U1456/1000</f>
        <v>0</v>
      </c>
      <c r="V1455" s="85">
        <f>STATS1003B!V1456/1000</f>
        <v>5000</v>
      </c>
      <c r="W1455" s="85">
        <f>STATS1003B!W1456/1000</f>
        <v>0</v>
      </c>
      <c r="X1455" s="85">
        <f t="shared" si="166"/>
        <v>5000</v>
      </c>
      <c r="Y1455" s="85">
        <f>STATS1003B!Y1456/1000</f>
        <v>0</v>
      </c>
      <c r="Z1455" s="85">
        <f t="shared" si="169"/>
        <v>0</v>
      </c>
      <c r="AA1455" s="69">
        <f>STATS1003B!AA1456/1000</f>
        <v>5000</v>
      </c>
      <c r="AB1455" s="69">
        <f>STATS1003B!AB1456/1000</f>
        <v>0</v>
      </c>
    </row>
    <row r="1456" spans="1:28" hidden="1" x14ac:dyDescent="0.3">
      <c r="A1456" s="117"/>
      <c r="C1456" s="68" t="s">
        <v>535</v>
      </c>
      <c r="D1456" s="88" t="s">
        <v>73</v>
      </c>
      <c r="E1456" s="85">
        <f>STATS1003B!E1457/1000</f>
        <v>945</v>
      </c>
      <c r="F1456" s="85">
        <f>STATS1003B!F1457/1000</f>
        <v>945</v>
      </c>
      <c r="G1456" s="85">
        <f>STATS1003B!G1457/1000</f>
        <v>0</v>
      </c>
      <c r="H1456" s="85">
        <f>STATS1003B!H1457/1000</f>
        <v>945</v>
      </c>
      <c r="I1456" s="85">
        <f>STATS1003B!I1457/1000</f>
        <v>0</v>
      </c>
      <c r="J1456" s="85">
        <f>STATS1003B!J1457/1000</f>
        <v>945</v>
      </c>
      <c r="K1456" s="85">
        <f>STATS1003B!K1457/1000</f>
        <v>0</v>
      </c>
      <c r="L1456" s="85">
        <f>STATS1003B!L1457/1000</f>
        <v>0</v>
      </c>
      <c r="M1456" s="85">
        <f>STATS1003B!M1457/1000</f>
        <v>945</v>
      </c>
      <c r="N1456" s="85">
        <f>STATS1003B!N1457/1000</f>
        <v>0</v>
      </c>
      <c r="O1456" s="85">
        <f>STATS1003B!O1457/1000</f>
        <v>0</v>
      </c>
      <c r="P1456" s="85">
        <f>STATS1003B!P1457/1000</f>
        <v>0</v>
      </c>
      <c r="Q1456" s="85">
        <f>STATS1003B!Q1457/1000</f>
        <v>945</v>
      </c>
      <c r="R1456" s="85">
        <f>STATS1003B!R1457/1000</f>
        <v>0</v>
      </c>
      <c r="S1456" s="85">
        <f>STATS1003B!S1457/1000</f>
        <v>0</v>
      </c>
      <c r="T1456" s="85">
        <f>STATS1003B!T1457/1000</f>
        <v>0</v>
      </c>
      <c r="U1456" s="85">
        <f>STATS1003B!U1457/1000</f>
        <v>0</v>
      </c>
      <c r="V1456" s="85">
        <f>STATS1003B!V1457/1000</f>
        <v>945</v>
      </c>
      <c r="W1456" s="85">
        <f>STATS1003B!W1457/1000</f>
        <v>0</v>
      </c>
      <c r="X1456" s="85">
        <f t="shared" si="166"/>
        <v>945</v>
      </c>
      <c r="Y1456" s="85">
        <f>STATS1003B!Y1457/1000</f>
        <v>0</v>
      </c>
      <c r="Z1456" s="85">
        <f t="shared" si="169"/>
        <v>0</v>
      </c>
      <c r="AA1456" s="69">
        <f>STATS1003B!AA1457/1000</f>
        <v>945</v>
      </c>
      <c r="AB1456" s="69">
        <f>STATS1003B!AB1457/1000</f>
        <v>0</v>
      </c>
    </row>
    <row r="1457" spans="1:28" hidden="1" x14ac:dyDescent="0.3">
      <c r="A1457" s="117"/>
      <c r="C1457" s="71" t="s">
        <v>737</v>
      </c>
      <c r="D1457" s="88" t="s">
        <v>73</v>
      </c>
      <c r="E1457" s="85">
        <f>STATS1003B!E1458/1000</f>
        <v>1260.7750000000001</v>
      </c>
      <c r="F1457" s="85">
        <f>STATS1003B!F1458/1000</f>
        <v>1260.7750000000001</v>
      </c>
      <c r="G1457" s="85">
        <f>STATS1003B!G1458/1000</f>
        <v>0</v>
      </c>
      <c r="H1457" s="85">
        <f>STATS1003B!H1458/1000</f>
        <v>1260.7750000000001</v>
      </c>
      <c r="I1457" s="85">
        <f>STATS1003B!I1458/1000</f>
        <v>0</v>
      </c>
      <c r="J1457" s="85">
        <f>STATS1003B!J1458/1000</f>
        <v>1260.7750000000001</v>
      </c>
      <c r="K1457" s="85">
        <f>STATS1003B!K1458/1000</f>
        <v>0</v>
      </c>
      <c r="L1457" s="85">
        <f>STATS1003B!L1458/1000</f>
        <v>0</v>
      </c>
      <c r="M1457" s="85">
        <f>STATS1003B!M1458/1000</f>
        <v>1260.7750000000001</v>
      </c>
      <c r="N1457" s="85">
        <f>STATS1003B!N1458/1000</f>
        <v>0</v>
      </c>
      <c r="O1457" s="85">
        <f>STATS1003B!O1458/1000</f>
        <v>0</v>
      </c>
      <c r="P1457" s="85">
        <f>STATS1003B!P1458/1000</f>
        <v>0</v>
      </c>
      <c r="Q1457" s="85">
        <f>STATS1003B!Q1458/1000</f>
        <v>1260.7750000000001</v>
      </c>
      <c r="R1457" s="85">
        <f>STATS1003B!R1458/1000</f>
        <v>0</v>
      </c>
      <c r="S1457" s="85">
        <f>STATS1003B!S1458/1000</f>
        <v>0</v>
      </c>
      <c r="T1457" s="85">
        <f>STATS1003B!T1458/1000</f>
        <v>0</v>
      </c>
      <c r="U1457" s="85">
        <f>STATS1003B!U1458/1000</f>
        <v>0</v>
      </c>
      <c r="V1457" s="85">
        <f>STATS1003B!V1458/1000</f>
        <v>1260.7750000000001</v>
      </c>
      <c r="W1457" s="85">
        <f>STATS1003B!W1458/1000</f>
        <v>0</v>
      </c>
      <c r="X1457" s="85">
        <f t="shared" si="166"/>
        <v>1260.7750000000001</v>
      </c>
      <c r="Y1457" s="85">
        <f>STATS1003B!Y1458/1000</f>
        <v>0</v>
      </c>
      <c r="Z1457" s="85">
        <f t="shared" si="169"/>
        <v>0</v>
      </c>
      <c r="AA1457" s="69">
        <f>STATS1003B!AA1458/1000</f>
        <v>1260.7750000000001</v>
      </c>
      <c r="AB1457" s="69">
        <f>STATS1003B!AB1458/1000</f>
        <v>0</v>
      </c>
    </row>
    <row r="1458" spans="1:28" hidden="1" x14ac:dyDescent="0.3">
      <c r="A1458" s="117"/>
      <c r="C1458" s="95" t="s">
        <v>1141</v>
      </c>
      <c r="D1458" s="89" t="s">
        <v>1126</v>
      </c>
      <c r="E1458" s="85">
        <f>STATS1003B!E1459/1000</f>
        <v>98.861919999999998</v>
      </c>
      <c r="F1458" s="85">
        <f>STATS1003B!F1459/1000</f>
        <v>98.861919999999998</v>
      </c>
      <c r="G1458" s="85">
        <f>STATS1003B!G1459/1000</f>
        <v>0</v>
      </c>
      <c r="H1458" s="85">
        <f>STATS1003B!H1459/1000</f>
        <v>98.861919999999998</v>
      </c>
      <c r="I1458" s="85">
        <f>STATS1003B!I1459/1000</f>
        <v>0</v>
      </c>
      <c r="J1458" s="85">
        <f>STATS1003B!J1459/1000</f>
        <v>98.861919999999998</v>
      </c>
      <c r="K1458" s="85">
        <f>STATS1003B!K1459/1000</f>
        <v>0</v>
      </c>
      <c r="L1458" s="85">
        <f>STATS1003B!L1459/1000</f>
        <v>0</v>
      </c>
      <c r="M1458" s="85">
        <f>STATS1003B!M1459/1000</f>
        <v>98.861919999999998</v>
      </c>
      <c r="N1458" s="85">
        <f>STATS1003B!N1459/1000</f>
        <v>0</v>
      </c>
      <c r="O1458" s="85">
        <f>STATS1003B!O1459/1000</f>
        <v>0</v>
      </c>
      <c r="P1458" s="85">
        <f>STATS1003B!P1459/1000</f>
        <v>0</v>
      </c>
      <c r="Q1458" s="85">
        <f>STATS1003B!Q1459/1000</f>
        <v>0</v>
      </c>
      <c r="R1458" s="85">
        <f>STATS1003B!R1459/1000</f>
        <v>0</v>
      </c>
      <c r="S1458" s="85">
        <f>STATS1003B!S1459/1000</f>
        <v>0</v>
      </c>
      <c r="T1458" s="85">
        <f>STATS1003B!T1459/1000</f>
        <v>0</v>
      </c>
      <c r="U1458" s="85">
        <f>STATS1003B!U1459/1000</f>
        <v>0</v>
      </c>
      <c r="V1458" s="85">
        <f>STATS1003B!V1459/1000</f>
        <v>98.861919999999998</v>
      </c>
      <c r="W1458" s="85">
        <f>STATS1003B!W1459/1000</f>
        <v>0</v>
      </c>
      <c r="X1458" s="85">
        <f t="shared" si="166"/>
        <v>98.861919999999998</v>
      </c>
      <c r="Y1458" s="85">
        <f>STATS1003B!Y1459/1000</f>
        <v>0</v>
      </c>
      <c r="Z1458" s="85">
        <f t="shared" si="169"/>
        <v>0</v>
      </c>
      <c r="AA1458" s="69">
        <f>STATS1003B!AA1459/1000</f>
        <v>98.861919999999998</v>
      </c>
      <c r="AB1458" s="69">
        <f>STATS1003B!AB1459/1000</f>
        <v>0</v>
      </c>
    </row>
    <row r="1459" spans="1:28" hidden="1" x14ac:dyDescent="0.3">
      <c r="A1459" s="117"/>
      <c r="C1459" s="71" t="s">
        <v>1159</v>
      </c>
      <c r="D1459" s="89" t="s">
        <v>1126</v>
      </c>
      <c r="E1459" s="85">
        <f>STATS1003B!E1460/1000</f>
        <v>1000</v>
      </c>
      <c r="F1459" s="85">
        <f>STATS1003B!F1460/1000</f>
        <v>1000</v>
      </c>
      <c r="G1459" s="85">
        <f>STATS1003B!G1460/1000</f>
        <v>0</v>
      </c>
      <c r="H1459" s="85">
        <f>STATS1003B!H1460/1000</f>
        <v>1000</v>
      </c>
      <c r="I1459" s="85">
        <f>STATS1003B!I1460/1000</f>
        <v>0</v>
      </c>
      <c r="J1459" s="85">
        <f>STATS1003B!J1460/1000</f>
        <v>1000</v>
      </c>
      <c r="K1459" s="85">
        <f>STATS1003B!K1460/1000</f>
        <v>0</v>
      </c>
      <c r="L1459" s="85">
        <f>STATS1003B!L1460/1000</f>
        <v>0</v>
      </c>
      <c r="M1459" s="85">
        <f>STATS1003B!M1460/1000</f>
        <v>1000</v>
      </c>
      <c r="N1459" s="85">
        <f>STATS1003B!N1460/1000</f>
        <v>0</v>
      </c>
      <c r="O1459" s="85">
        <f>STATS1003B!O1460/1000</f>
        <v>0</v>
      </c>
      <c r="P1459" s="85">
        <f>STATS1003B!P1460/1000</f>
        <v>0</v>
      </c>
      <c r="Q1459" s="85">
        <f>STATS1003B!Q1460/1000</f>
        <v>0</v>
      </c>
      <c r="R1459" s="85">
        <f>STATS1003B!R1460/1000</f>
        <v>0</v>
      </c>
      <c r="S1459" s="85">
        <f>STATS1003B!S1460/1000</f>
        <v>0</v>
      </c>
      <c r="T1459" s="85">
        <f>STATS1003B!T1460/1000</f>
        <v>0</v>
      </c>
      <c r="U1459" s="85">
        <f>STATS1003B!U1460/1000</f>
        <v>0</v>
      </c>
      <c r="V1459" s="85">
        <f>STATS1003B!V1460/1000</f>
        <v>1000</v>
      </c>
      <c r="W1459" s="85">
        <f>STATS1003B!W1460/1000</f>
        <v>0</v>
      </c>
      <c r="X1459" s="85">
        <f t="shared" si="166"/>
        <v>1000</v>
      </c>
      <c r="Y1459" s="85">
        <f>STATS1003B!Y1460/1000</f>
        <v>0</v>
      </c>
      <c r="Z1459" s="85">
        <f t="shared" si="169"/>
        <v>0</v>
      </c>
      <c r="AA1459" s="69">
        <f>STATS1003B!AA1460/1000</f>
        <v>1000</v>
      </c>
      <c r="AB1459" s="69">
        <f>STATS1003B!AB1460/1000</f>
        <v>0</v>
      </c>
    </row>
    <row r="1460" spans="1:28" hidden="1" x14ac:dyDescent="0.3">
      <c r="A1460" s="117"/>
      <c r="C1460" s="68" t="s">
        <v>535</v>
      </c>
      <c r="D1460" s="88" t="s">
        <v>61</v>
      </c>
      <c r="E1460" s="85">
        <f>STATS1003B!E1461/1000</f>
        <v>1692.7279900000001</v>
      </c>
      <c r="F1460" s="85">
        <f>STATS1003B!F1461/1000</f>
        <v>1692.7279900000001</v>
      </c>
      <c r="G1460" s="85">
        <f>STATS1003B!G1461/1000</f>
        <v>0</v>
      </c>
      <c r="H1460" s="85">
        <f>STATS1003B!H1461/1000</f>
        <v>1692.7279900000001</v>
      </c>
      <c r="I1460" s="85">
        <f>STATS1003B!I1461/1000</f>
        <v>0</v>
      </c>
      <c r="J1460" s="85">
        <f>STATS1003B!J1461/1000</f>
        <v>1692.7279900000001</v>
      </c>
      <c r="K1460" s="85">
        <f>STATS1003B!K1461/1000</f>
        <v>0</v>
      </c>
      <c r="L1460" s="85">
        <f>STATS1003B!L1461/1000</f>
        <v>0</v>
      </c>
      <c r="M1460" s="85">
        <f>STATS1003B!M1461/1000</f>
        <v>1692.7279900000001</v>
      </c>
      <c r="N1460" s="85">
        <f>STATS1003B!N1461/1000</f>
        <v>0</v>
      </c>
      <c r="O1460" s="85">
        <f>STATS1003B!O1461/1000</f>
        <v>0</v>
      </c>
      <c r="P1460" s="85">
        <f>STATS1003B!P1461/1000</f>
        <v>0</v>
      </c>
      <c r="Q1460" s="85">
        <f>STATS1003B!Q1461/1000</f>
        <v>1692.7279900000001</v>
      </c>
      <c r="R1460" s="85">
        <f>STATS1003B!R1461/1000</f>
        <v>0</v>
      </c>
      <c r="S1460" s="85">
        <f>STATS1003B!S1461/1000</f>
        <v>0</v>
      </c>
      <c r="T1460" s="85">
        <f>STATS1003B!T1461/1000</f>
        <v>0</v>
      </c>
      <c r="U1460" s="85">
        <f>STATS1003B!U1461/1000</f>
        <v>0</v>
      </c>
      <c r="V1460" s="85">
        <f>STATS1003B!V1461/1000</f>
        <v>1692.7279900000001</v>
      </c>
      <c r="W1460" s="85">
        <f>STATS1003B!W1461/1000</f>
        <v>0</v>
      </c>
      <c r="X1460" s="85">
        <f t="shared" si="166"/>
        <v>1692.7279900000001</v>
      </c>
      <c r="Y1460" s="85">
        <f>STATS1003B!Y1461/1000</f>
        <v>0</v>
      </c>
      <c r="Z1460" s="85">
        <f t="shared" si="169"/>
        <v>0</v>
      </c>
      <c r="AA1460" s="69">
        <f>STATS1003B!AA1461/1000</f>
        <v>1692.7279900000001</v>
      </c>
      <c r="AB1460" s="69">
        <f>STATS1003B!AB1461/1000</f>
        <v>0</v>
      </c>
    </row>
    <row r="1461" spans="1:28" hidden="1" x14ac:dyDescent="0.3">
      <c r="A1461" s="117"/>
      <c r="C1461" s="71" t="s">
        <v>738</v>
      </c>
      <c r="D1461" s="88" t="s">
        <v>61</v>
      </c>
      <c r="E1461" s="85">
        <f>STATS1003B!E1462/1000</f>
        <v>2448.1098900000002</v>
      </c>
      <c r="F1461" s="85">
        <f>STATS1003B!F1462/1000</f>
        <v>2448.1098900000002</v>
      </c>
      <c r="G1461" s="85">
        <f>STATS1003B!G1462/1000</f>
        <v>0</v>
      </c>
      <c r="H1461" s="85">
        <f>STATS1003B!H1462/1000</f>
        <v>2448.1098900000002</v>
      </c>
      <c r="I1461" s="85">
        <f>STATS1003B!I1462/1000</f>
        <v>0</v>
      </c>
      <c r="J1461" s="85">
        <f>STATS1003B!J1462/1000</f>
        <v>2448.1098900000002</v>
      </c>
      <c r="K1461" s="85">
        <f>STATS1003B!K1462/1000</f>
        <v>0</v>
      </c>
      <c r="L1461" s="85">
        <f>STATS1003B!L1462/1000</f>
        <v>0</v>
      </c>
      <c r="M1461" s="85">
        <f>STATS1003B!M1462/1000</f>
        <v>2448.1098900000002</v>
      </c>
      <c r="N1461" s="85">
        <f>STATS1003B!N1462/1000</f>
        <v>0</v>
      </c>
      <c r="O1461" s="85">
        <f>STATS1003B!O1462/1000</f>
        <v>0</v>
      </c>
      <c r="P1461" s="85">
        <f>STATS1003B!P1462/1000</f>
        <v>0</v>
      </c>
      <c r="Q1461" s="85">
        <f>STATS1003B!Q1462/1000</f>
        <v>2448.1098900000002</v>
      </c>
      <c r="R1461" s="85">
        <f>STATS1003B!R1462/1000</f>
        <v>0</v>
      </c>
      <c r="S1461" s="85">
        <f>STATS1003B!S1462/1000</f>
        <v>0</v>
      </c>
      <c r="T1461" s="85">
        <f>STATS1003B!T1462/1000</f>
        <v>0</v>
      </c>
      <c r="U1461" s="85">
        <f>STATS1003B!U1462/1000</f>
        <v>0</v>
      </c>
      <c r="V1461" s="85">
        <f>STATS1003B!V1462/1000</f>
        <v>2448.1098900000002</v>
      </c>
      <c r="W1461" s="85">
        <f>STATS1003B!W1462/1000</f>
        <v>0</v>
      </c>
      <c r="X1461" s="85">
        <f t="shared" si="166"/>
        <v>2448.1098900000002</v>
      </c>
      <c r="Y1461" s="85">
        <f>STATS1003B!Y1462/1000</f>
        <v>0</v>
      </c>
      <c r="Z1461" s="85">
        <f t="shared" si="169"/>
        <v>0</v>
      </c>
      <c r="AA1461" s="69">
        <f>STATS1003B!AA1462/1000</f>
        <v>2448.1098900000002</v>
      </c>
      <c r="AB1461" s="69">
        <f>STATS1003B!AB1462/1000</f>
        <v>0</v>
      </c>
    </row>
    <row r="1462" spans="1:28" hidden="1" x14ac:dyDescent="0.3">
      <c r="A1462" s="117"/>
      <c r="C1462" s="68" t="s">
        <v>739</v>
      </c>
      <c r="E1462" s="85">
        <f>STATS1003B!E1463/1000</f>
        <v>567.82500000000005</v>
      </c>
      <c r="F1462" s="85">
        <f>STATS1003B!F1463/1000</f>
        <v>567.82500000000005</v>
      </c>
      <c r="G1462" s="85">
        <f>STATS1003B!G1463/1000</f>
        <v>0</v>
      </c>
      <c r="H1462" s="85">
        <f>STATS1003B!H1463/1000</f>
        <v>567.82500000000005</v>
      </c>
      <c r="I1462" s="85">
        <f>STATS1003B!I1463/1000</f>
        <v>0</v>
      </c>
      <c r="J1462" s="85">
        <f>STATS1003B!J1463/1000</f>
        <v>567.82500000000005</v>
      </c>
      <c r="K1462" s="85">
        <f>STATS1003B!K1463/1000</f>
        <v>0</v>
      </c>
      <c r="L1462" s="85">
        <f>STATS1003B!L1463/1000</f>
        <v>0</v>
      </c>
      <c r="M1462" s="85">
        <f>STATS1003B!M1463/1000</f>
        <v>567.82500000000005</v>
      </c>
      <c r="N1462" s="85">
        <f>STATS1003B!N1463/1000</f>
        <v>0</v>
      </c>
      <c r="O1462" s="85">
        <f>STATS1003B!O1463/1000</f>
        <v>0</v>
      </c>
      <c r="P1462" s="85">
        <f>STATS1003B!P1463/1000</f>
        <v>0</v>
      </c>
      <c r="Q1462" s="85">
        <f>STATS1003B!Q1463/1000</f>
        <v>567.82500000000005</v>
      </c>
      <c r="R1462" s="85">
        <f>STATS1003B!R1463/1000</f>
        <v>0</v>
      </c>
      <c r="S1462" s="85">
        <f>STATS1003B!S1463/1000</f>
        <v>0</v>
      </c>
      <c r="T1462" s="85">
        <f>STATS1003B!T1463/1000</f>
        <v>0</v>
      </c>
      <c r="U1462" s="85">
        <f>STATS1003B!U1463/1000</f>
        <v>0</v>
      </c>
      <c r="V1462" s="85">
        <f>STATS1003B!V1463/1000</f>
        <v>567.82500000000005</v>
      </c>
      <c r="W1462" s="85">
        <f>STATS1003B!W1463/1000</f>
        <v>0</v>
      </c>
      <c r="X1462" s="85">
        <f t="shared" si="166"/>
        <v>567.82500000000005</v>
      </c>
      <c r="Y1462" s="85">
        <f>STATS1003B!Y1463/1000</f>
        <v>0</v>
      </c>
      <c r="Z1462" s="85">
        <f t="shared" si="169"/>
        <v>0</v>
      </c>
      <c r="AA1462" s="69">
        <f>STATS1003B!AA1463/1000</f>
        <v>567.82500000000005</v>
      </c>
      <c r="AB1462" s="69">
        <f>STATS1003B!AB1463/1000</f>
        <v>0</v>
      </c>
    </row>
    <row r="1463" spans="1:28" hidden="1" x14ac:dyDescent="0.3">
      <c r="A1463" s="117"/>
      <c r="C1463" s="68" t="s">
        <v>739</v>
      </c>
      <c r="E1463" s="85">
        <f>STATS1003B!E1464/1000</f>
        <v>1202.204</v>
      </c>
      <c r="F1463" s="85">
        <f>STATS1003B!F1464/1000</f>
        <v>1202.204</v>
      </c>
      <c r="G1463" s="85">
        <f>STATS1003B!G1464/1000</f>
        <v>0</v>
      </c>
      <c r="H1463" s="85">
        <f>STATS1003B!H1464/1000</f>
        <v>1202.204</v>
      </c>
      <c r="I1463" s="85">
        <f>STATS1003B!I1464/1000</f>
        <v>0</v>
      </c>
      <c r="J1463" s="85">
        <f>STATS1003B!J1464/1000</f>
        <v>1202.204</v>
      </c>
      <c r="K1463" s="85">
        <f>STATS1003B!K1464/1000</f>
        <v>0</v>
      </c>
      <c r="L1463" s="85">
        <f>STATS1003B!L1464/1000</f>
        <v>0</v>
      </c>
      <c r="M1463" s="85">
        <f>STATS1003B!M1464/1000</f>
        <v>1202.204</v>
      </c>
      <c r="N1463" s="85">
        <f>STATS1003B!N1464/1000</f>
        <v>0</v>
      </c>
      <c r="O1463" s="85">
        <f>STATS1003B!O1464/1000</f>
        <v>0</v>
      </c>
      <c r="P1463" s="85">
        <f>STATS1003B!P1464/1000</f>
        <v>0</v>
      </c>
      <c r="Q1463" s="85">
        <f>STATS1003B!Q1464/1000</f>
        <v>1202.204</v>
      </c>
      <c r="R1463" s="85">
        <f>STATS1003B!R1464/1000</f>
        <v>0</v>
      </c>
      <c r="S1463" s="85">
        <f>STATS1003B!S1464/1000</f>
        <v>0</v>
      </c>
      <c r="T1463" s="85">
        <f>STATS1003B!T1464/1000</f>
        <v>0</v>
      </c>
      <c r="U1463" s="85">
        <f>STATS1003B!U1464/1000</f>
        <v>0</v>
      </c>
      <c r="V1463" s="85">
        <f>STATS1003B!V1464/1000</f>
        <v>1202.204</v>
      </c>
      <c r="W1463" s="85">
        <f>STATS1003B!W1464/1000</f>
        <v>0</v>
      </c>
      <c r="X1463" s="85">
        <f t="shared" si="166"/>
        <v>1202.204</v>
      </c>
      <c r="Y1463" s="85">
        <f>STATS1003B!Y1464/1000</f>
        <v>0</v>
      </c>
      <c r="Z1463" s="85">
        <f t="shared" si="169"/>
        <v>0</v>
      </c>
      <c r="AA1463" s="69">
        <f>STATS1003B!AA1464/1000</f>
        <v>1202.204</v>
      </c>
      <c r="AB1463" s="69">
        <f>STATS1003B!AB1464/1000</f>
        <v>0</v>
      </c>
    </row>
    <row r="1464" spans="1:28" hidden="1" x14ac:dyDescent="0.3">
      <c r="A1464" s="117"/>
      <c r="C1464" s="68" t="s">
        <v>1116</v>
      </c>
      <c r="D1464" s="91" t="s">
        <v>1126</v>
      </c>
      <c r="E1464" s="85">
        <f>STATS1003B!E1465/1000</f>
        <v>845.24639999999999</v>
      </c>
      <c r="F1464" s="85">
        <f>STATS1003B!F1465/1000</f>
        <v>845.24639999999999</v>
      </c>
      <c r="G1464" s="85">
        <f>STATS1003B!G1465/1000</f>
        <v>0</v>
      </c>
      <c r="H1464" s="85">
        <f>STATS1003B!H1465/1000</f>
        <v>845.24639999999999</v>
      </c>
      <c r="I1464" s="85">
        <f>STATS1003B!I1465/1000</f>
        <v>0</v>
      </c>
      <c r="J1464" s="85">
        <f>STATS1003B!J1465/1000</f>
        <v>845.24639999999999</v>
      </c>
      <c r="K1464" s="85">
        <f>STATS1003B!K1465/1000</f>
        <v>0</v>
      </c>
      <c r="L1464" s="85">
        <f>STATS1003B!L1465/1000</f>
        <v>0</v>
      </c>
      <c r="M1464" s="85">
        <f>STATS1003B!M1465/1000</f>
        <v>845.24639999999999</v>
      </c>
      <c r="N1464" s="85">
        <f>STATS1003B!N1465/1000</f>
        <v>0</v>
      </c>
      <c r="O1464" s="85">
        <f>STATS1003B!O1465/1000</f>
        <v>0</v>
      </c>
      <c r="P1464" s="85">
        <f>STATS1003B!P1465/1000</f>
        <v>0</v>
      </c>
      <c r="Q1464" s="85">
        <f>STATS1003B!Q1465/1000</f>
        <v>0</v>
      </c>
      <c r="R1464" s="85">
        <f>STATS1003B!R1465/1000</f>
        <v>0</v>
      </c>
      <c r="S1464" s="85">
        <f>STATS1003B!S1465/1000</f>
        <v>0</v>
      </c>
      <c r="T1464" s="85">
        <f>STATS1003B!T1465/1000</f>
        <v>0</v>
      </c>
      <c r="U1464" s="85">
        <f>STATS1003B!U1465/1000</f>
        <v>0</v>
      </c>
      <c r="V1464" s="85">
        <f>STATS1003B!V1465/1000</f>
        <v>845.24639999999999</v>
      </c>
      <c r="W1464" s="85">
        <f>STATS1003B!W1465/1000</f>
        <v>0</v>
      </c>
      <c r="X1464" s="85">
        <f t="shared" si="166"/>
        <v>845.24639999999999</v>
      </c>
      <c r="Y1464" s="85">
        <f>STATS1003B!Y1465/1000</f>
        <v>0</v>
      </c>
      <c r="Z1464" s="85">
        <f t="shared" si="169"/>
        <v>0</v>
      </c>
      <c r="AA1464" s="69">
        <f>STATS1003B!AA1465/1000</f>
        <v>845.24639999999999</v>
      </c>
      <c r="AB1464" s="69">
        <f>STATS1003B!AB1465/1000</f>
        <v>0</v>
      </c>
    </row>
    <row r="1465" spans="1:28" hidden="1" x14ac:dyDescent="0.3">
      <c r="A1465" s="117"/>
      <c r="C1465" s="68" t="s">
        <v>933</v>
      </c>
      <c r="D1465" s="91" t="s">
        <v>1072</v>
      </c>
      <c r="E1465" s="85">
        <f>STATS1003B!E1466/1000</f>
        <v>1290.89861</v>
      </c>
      <c r="F1465" s="85">
        <f>STATS1003B!F1466/1000</f>
        <v>1290.89861</v>
      </c>
      <c r="G1465" s="85">
        <f>STATS1003B!G1466/1000</f>
        <v>0</v>
      </c>
      <c r="H1465" s="85">
        <f>STATS1003B!H1466/1000</f>
        <v>1290.89861</v>
      </c>
      <c r="I1465" s="85">
        <f>STATS1003B!I1466/1000</f>
        <v>0</v>
      </c>
      <c r="J1465" s="85">
        <f>STATS1003B!J1466/1000</f>
        <v>1290.89861</v>
      </c>
      <c r="K1465" s="85">
        <f>STATS1003B!K1466/1000</f>
        <v>0</v>
      </c>
      <c r="L1465" s="85">
        <f>STATS1003B!L1466/1000</f>
        <v>0</v>
      </c>
      <c r="M1465" s="85">
        <f>STATS1003B!M1466/1000</f>
        <v>1290.89861</v>
      </c>
      <c r="N1465" s="85">
        <f>STATS1003B!N1466/1000</f>
        <v>0</v>
      </c>
      <c r="O1465" s="85">
        <f>STATS1003B!O1466/1000</f>
        <v>0</v>
      </c>
      <c r="P1465" s="85">
        <f>STATS1003B!P1466/1000</f>
        <v>0</v>
      </c>
      <c r="Q1465" s="85">
        <f>STATS1003B!Q1466/1000</f>
        <v>0</v>
      </c>
      <c r="R1465" s="85">
        <f>STATS1003B!R1466/1000</f>
        <v>0</v>
      </c>
      <c r="S1465" s="85">
        <f>STATS1003B!S1466/1000</f>
        <v>0</v>
      </c>
      <c r="T1465" s="85">
        <f>STATS1003B!T1466/1000</f>
        <v>0</v>
      </c>
      <c r="U1465" s="85">
        <f>STATS1003B!U1466/1000</f>
        <v>0</v>
      </c>
      <c r="V1465" s="85">
        <f>STATS1003B!V1466/1000</f>
        <v>1290.89861</v>
      </c>
      <c r="W1465" s="85">
        <f>STATS1003B!W1466/1000</f>
        <v>0</v>
      </c>
      <c r="X1465" s="85">
        <f t="shared" si="166"/>
        <v>1290.89861</v>
      </c>
      <c r="Y1465" s="85">
        <f>STATS1003B!Y1466/1000</f>
        <v>0</v>
      </c>
      <c r="Z1465" s="85">
        <f t="shared" si="169"/>
        <v>0</v>
      </c>
      <c r="AA1465" s="69">
        <f>STATS1003B!AA1466/1000</f>
        <v>1290.89861</v>
      </c>
      <c r="AB1465" s="69">
        <f>STATS1003B!AB1466/1000</f>
        <v>0</v>
      </c>
    </row>
    <row r="1466" spans="1:28" hidden="1" x14ac:dyDescent="0.3">
      <c r="A1466" s="117"/>
      <c r="C1466" s="68" t="s">
        <v>1219</v>
      </c>
      <c r="D1466" s="91" t="s">
        <v>1229</v>
      </c>
      <c r="E1466" s="85">
        <f>STATS1003B!E1467/1000</f>
        <v>1613.9065499999999</v>
      </c>
      <c r="F1466" s="85">
        <f>STATS1003B!F1467/1000</f>
        <v>1613.9065499999999</v>
      </c>
      <c r="G1466" s="85">
        <f>STATS1003B!G1467/1000</f>
        <v>0</v>
      </c>
      <c r="H1466" s="85">
        <f>STATS1003B!H1467/1000</f>
        <v>1613.9065499999999</v>
      </c>
      <c r="I1466" s="85">
        <f>STATS1003B!I1467/1000</f>
        <v>0</v>
      </c>
      <c r="J1466" s="85">
        <f>STATS1003B!J1467/1000</f>
        <v>0</v>
      </c>
      <c r="K1466" s="85">
        <f>STATS1003B!K1467/1000</f>
        <v>0</v>
      </c>
      <c r="L1466" s="85">
        <f>STATS1003B!L1467/1000</f>
        <v>0</v>
      </c>
      <c r="M1466" s="85">
        <f>STATS1003B!M1467/1000</f>
        <v>1613.9065499999999</v>
      </c>
      <c r="N1466" s="85">
        <f>STATS1003B!N1467/1000</f>
        <v>0</v>
      </c>
      <c r="O1466" s="85">
        <f>STATS1003B!O1467/1000</f>
        <v>0</v>
      </c>
      <c r="P1466" s="85">
        <f>STATS1003B!P1467/1000</f>
        <v>0</v>
      </c>
      <c r="Q1466" s="85">
        <f>STATS1003B!Q1467/1000</f>
        <v>0</v>
      </c>
      <c r="R1466" s="85">
        <f>STATS1003B!R1467/1000</f>
        <v>0</v>
      </c>
      <c r="S1466" s="85">
        <f>STATS1003B!S1467/1000</f>
        <v>0</v>
      </c>
      <c r="T1466" s="85">
        <f>STATS1003B!T1467/1000</f>
        <v>0</v>
      </c>
      <c r="U1466" s="85">
        <f>STATS1003B!U1467/1000</f>
        <v>0</v>
      </c>
      <c r="V1466" s="85">
        <f>STATS1003B!V1467/1000</f>
        <v>1613.9065499999999</v>
      </c>
      <c r="W1466" s="85">
        <f>STATS1003B!W1467/1000</f>
        <v>0</v>
      </c>
      <c r="X1466" s="85">
        <f t="shared" si="166"/>
        <v>1613.9065499999999</v>
      </c>
      <c r="Y1466" s="85">
        <f>STATS1003B!Y1467/1000</f>
        <v>0</v>
      </c>
      <c r="Z1466" s="85">
        <f t="shared" si="169"/>
        <v>0</v>
      </c>
      <c r="AA1466" s="69">
        <f>STATS1003B!AA1467/1000</f>
        <v>1613.9065499999999</v>
      </c>
      <c r="AB1466" s="69">
        <f>STATS1003B!AB1467/1000</f>
        <v>0</v>
      </c>
    </row>
    <row r="1467" spans="1:28" hidden="1" x14ac:dyDescent="0.3">
      <c r="A1467" s="117"/>
      <c r="C1467" s="98" t="s">
        <v>1226</v>
      </c>
      <c r="D1467" s="91" t="s">
        <v>1225</v>
      </c>
      <c r="E1467" s="85">
        <f>STATS1003B!E1468/1000</f>
        <v>2000</v>
      </c>
      <c r="F1467" s="85">
        <f>STATS1003B!F1468/1000</f>
        <v>2000</v>
      </c>
      <c r="G1467" s="85">
        <f>STATS1003B!G1468/1000</f>
        <v>0</v>
      </c>
      <c r="H1467" s="85">
        <f>STATS1003B!H1468/1000</f>
        <v>2000</v>
      </c>
      <c r="I1467" s="85">
        <f>STATS1003B!I1468/1000</f>
        <v>0</v>
      </c>
      <c r="J1467" s="85">
        <f>STATS1003B!J1468/1000</f>
        <v>0</v>
      </c>
      <c r="K1467" s="85">
        <f>STATS1003B!K1468/1000</f>
        <v>0</v>
      </c>
      <c r="L1467" s="85">
        <f>STATS1003B!L1468/1000</f>
        <v>0</v>
      </c>
      <c r="M1467" s="85">
        <f>STATS1003B!M1468/1000</f>
        <v>2000</v>
      </c>
      <c r="N1467" s="85">
        <f>STATS1003B!N1468/1000</f>
        <v>0</v>
      </c>
      <c r="O1467" s="85">
        <f>STATS1003B!O1468/1000</f>
        <v>0</v>
      </c>
      <c r="P1467" s="85">
        <f>STATS1003B!P1468/1000</f>
        <v>0</v>
      </c>
      <c r="Q1467" s="85">
        <f>STATS1003B!Q1468/1000</f>
        <v>0</v>
      </c>
      <c r="R1467" s="85">
        <f>STATS1003B!R1468/1000</f>
        <v>0</v>
      </c>
      <c r="S1467" s="85">
        <f>STATS1003B!S1468/1000</f>
        <v>0</v>
      </c>
      <c r="T1467" s="85">
        <f>STATS1003B!T1468/1000</f>
        <v>0</v>
      </c>
      <c r="U1467" s="85">
        <f>STATS1003B!U1468/1000</f>
        <v>0</v>
      </c>
      <c r="V1467" s="85">
        <f>STATS1003B!V1468/1000</f>
        <v>0</v>
      </c>
      <c r="W1467" s="85">
        <f>STATS1003B!W1468/1000</f>
        <v>0</v>
      </c>
      <c r="X1467" s="85">
        <f t="shared" si="166"/>
        <v>2000</v>
      </c>
      <c r="Y1467" s="85">
        <f>STATS1003B!Y1468/1000</f>
        <v>0</v>
      </c>
      <c r="Z1467" s="85">
        <f t="shared" si="169"/>
        <v>0</v>
      </c>
      <c r="AA1467" s="69">
        <f>STATS1003B!AA1468/1000</f>
        <v>2000</v>
      </c>
      <c r="AB1467" s="69">
        <f>STATS1003B!AB1468/1000</f>
        <v>0</v>
      </c>
    </row>
    <row r="1468" spans="1:28" hidden="1" x14ac:dyDescent="0.3">
      <c r="A1468" s="117"/>
      <c r="C1468" s="68" t="s">
        <v>1245</v>
      </c>
      <c r="D1468" s="91" t="s">
        <v>1225</v>
      </c>
      <c r="E1468" s="85">
        <f>STATS1003B!E1469/1000</f>
        <v>7485.27016</v>
      </c>
      <c r="F1468" s="85">
        <f>STATS1003B!F1469/1000</f>
        <v>7485.27016</v>
      </c>
      <c r="G1468" s="85">
        <f>STATS1003B!G1469/1000</f>
        <v>0</v>
      </c>
      <c r="H1468" s="85">
        <f>STATS1003B!H1469/1000</f>
        <v>7485.27016</v>
      </c>
      <c r="I1468" s="85">
        <f>STATS1003B!I1469/1000</f>
        <v>0</v>
      </c>
      <c r="J1468" s="85">
        <f>STATS1003B!J1469/1000</f>
        <v>0</v>
      </c>
      <c r="K1468" s="85">
        <f>STATS1003B!K1469/1000</f>
        <v>0</v>
      </c>
      <c r="L1468" s="85">
        <f>STATS1003B!L1469/1000</f>
        <v>0</v>
      </c>
      <c r="M1468" s="85">
        <f>STATS1003B!M1469/1000</f>
        <v>7485.27016</v>
      </c>
      <c r="N1468" s="85">
        <f>STATS1003B!N1469/1000</f>
        <v>0</v>
      </c>
      <c r="O1468" s="85">
        <f>STATS1003B!O1469/1000</f>
        <v>0</v>
      </c>
      <c r="P1468" s="85">
        <f>STATS1003B!P1469/1000</f>
        <v>0</v>
      </c>
      <c r="Q1468" s="85">
        <f>STATS1003B!Q1469/1000</f>
        <v>0</v>
      </c>
      <c r="R1468" s="85">
        <f>STATS1003B!R1469/1000</f>
        <v>0</v>
      </c>
      <c r="S1468" s="85">
        <f>STATS1003B!S1469/1000</f>
        <v>0</v>
      </c>
      <c r="T1468" s="85">
        <f>STATS1003B!T1469/1000</f>
        <v>0</v>
      </c>
      <c r="U1468" s="85">
        <f>STATS1003B!U1469/1000</f>
        <v>0</v>
      </c>
      <c r="V1468" s="85">
        <f>STATS1003B!V1469/1000</f>
        <v>0</v>
      </c>
      <c r="W1468" s="85">
        <f>STATS1003B!W1469/1000</f>
        <v>0</v>
      </c>
      <c r="X1468" s="85">
        <f t="shared" si="166"/>
        <v>7485.27016</v>
      </c>
      <c r="Y1468" s="85">
        <f>STATS1003B!Y1469/1000</f>
        <v>0</v>
      </c>
      <c r="Z1468" s="85">
        <f t="shared" si="169"/>
        <v>0</v>
      </c>
      <c r="AA1468" s="69">
        <f>STATS1003B!AA1469/1000</f>
        <v>7485.27016</v>
      </c>
      <c r="AB1468" s="69">
        <f>STATS1003B!AB1469/1000</f>
        <v>0</v>
      </c>
    </row>
    <row r="1469" spans="1:28" hidden="1" x14ac:dyDescent="0.3">
      <c r="A1469" s="117"/>
      <c r="C1469" s="68" t="s">
        <v>678</v>
      </c>
      <c r="E1469" s="85">
        <f>STATS1003B!E1470/1000</f>
        <v>4741.7132300000003</v>
      </c>
      <c r="F1469" s="85">
        <f>STATS1003B!F1470/1000</f>
        <v>4741.7132300000003</v>
      </c>
      <c r="G1469" s="85">
        <f>STATS1003B!G1470/1000</f>
        <v>0</v>
      </c>
      <c r="H1469" s="85">
        <f>STATS1003B!H1470/1000</f>
        <v>4741.7132300000003</v>
      </c>
      <c r="I1469" s="85">
        <f>STATS1003B!I1470/1000</f>
        <v>0</v>
      </c>
      <c r="J1469" s="85">
        <f>STATS1003B!J1470/1000</f>
        <v>4741.7132300000003</v>
      </c>
      <c r="K1469" s="85">
        <f>STATS1003B!K1470/1000</f>
        <v>0</v>
      </c>
      <c r="L1469" s="85">
        <f>STATS1003B!L1470/1000</f>
        <v>0</v>
      </c>
      <c r="M1469" s="85">
        <f>STATS1003B!M1470/1000</f>
        <v>4741.7132300000003</v>
      </c>
      <c r="N1469" s="85">
        <f>STATS1003B!N1470/1000</f>
        <v>0</v>
      </c>
      <c r="O1469" s="85">
        <f>STATS1003B!O1470/1000</f>
        <v>0</v>
      </c>
      <c r="P1469" s="85">
        <f>STATS1003B!P1470/1000</f>
        <v>0</v>
      </c>
      <c r="Q1469" s="85">
        <f>STATS1003B!Q1470/1000</f>
        <v>4741.7132300000003</v>
      </c>
      <c r="R1469" s="85">
        <f>STATS1003B!R1470/1000</f>
        <v>0</v>
      </c>
      <c r="S1469" s="85">
        <f>STATS1003B!S1470/1000</f>
        <v>0</v>
      </c>
      <c r="T1469" s="85">
        <f>STATS1003B!T1470/1000</f>
        <v>0</v>
      </c>
      <c r="U1469" s="85">
        <f>STATS1003B!U1470/1000</f>
        <v>0</v>
      </c>
      <c r="V1469" s="85">
        <f>STATS1003B!V1470/1000</f>
        <v>4741.7132300000003</v>
      </c>
      <c r="W1469" s="85">
        <f>STATS1003B!W1470/1000</f>
        <v>0</v>
      </c>
      <c r="X1469" s="85">
        <f t="shared" si="166"/>
        <v>4741.7132300000003</v>
      </c>
      <c r="Y1469" s="85">
        <f>STATS1003B!Y1470/1000</f>
        <v>0</v>
      </c>
      <c r="Z1469" s="85">
        <f t="shared" si="169"/>
        <v>0</v>
      </c>
      <c r="AA1469" s="69">
        <f>STATS1003B!AA1470/1000</f>
        <v>4741.7132300000003</v>
      </c>
      <c r="AB1469" s="69">
        <f>STATS1003B!AB1470/1000</f>
        <v>0</v>
      </c>
    </row>
    <row r="1470" spans="1:28" hidden="1" x14ac:dyDescent="0.3">
      <c r="A1470" s="117"/>
      <c r="E1470" s="86" t="s">
        <v>29</v>
      </c>
      <c r="F1470" s="86" t="s">
        <v>29</v>
      </c>
      <c r="G1470" s="86" t="s">
        <v>29</v>
      </c>
      <c r="H1470" s="86" t="s">
        <v>29</v>
      </c>
      <c r="I1470" s="86" t="s">
        <v>29</v>
      </c>
      <c r="J1470" s="86" t="s">
        <v>29</v>
      </c>
      <c r="K1470" s="86" t="s">
        <v>29</v>
      </c>
      <c r="L1470" s="86" t="s">
        <v>29</v>
      </c>
      <c r="M1470" s="86" t="s">
        <v>29</v>
      </c>
      <c r="N1470" s="86" t="s">
        <v>29</v>
      </c>
      <c r="O1470" s="86" t="s">
        <v>29</v>
      </c>
      <c r="P1470" s="86" t="s">
        <v>29</v>
      </c>
      <c r="Q1470" s="86" t="s">
        <v>29</v>
      </c>
      <c r="R1470" s="86" t="s">
        <v>29</v>
      </c>
      <c r="S1470" s="86" t="s">
        <v>29</v>
      </c>
      <c r="T1470" s="86" t="s">
        <v>29</v>
      </c>
      <c r="U1470" s="86" t="s">
        <v>29</v>
      </c>
      <c r="V1470" s="86" t="s">
        <v>29</v>
      </c>
      <c r="W1470" s="86" t="s">
        <v>29</v>
      </c>
      <c r="X1470" s="85" t="e">
        <f t="shared" si="166"/>
        <v>#VALUE!</v>
      </c>
      <c r="Y1470" s="86" t="s">
        <v>29</v>
      </c>
      <c r="Z1470" s="85" t="e">
        <f t="shared" si="169"/>
        <v>#VALUE!</v>
      </c>
      <c r="AA1470" s="115" t="s">
        <v>29</v>
      </c>
      <c r="AB1470" s="115" t="s">
        <v>29</v>
      </c>
    </row>
    <row r="1471" spans="1:28" x14ac:dyDescent="0.3">
      <c r="A1471" s="116">
        <v>64</v>
      </c>
      <c r="B1471" s="68" t="s">
        <v>731</v>
      </c>
      <c r="E1471" s="85">
        <f>136850814.28/1000</f>
        <v>136850.81427999999</v>
      </c>
      <c r="F1471" s="85">
        <f t="shared" ref="F1471:Q1471" si="170">SUM(F1436:F1470)</f>
        <v>50949.707200000004</v>
      </c>
      <c r="G1471" s="85">
        <f t="shared" si="170"/>
        <v>0</v>
      </c>
      <c r="H1471" s="85">
        <f>134281952.86/1000</f>
        <v>134281.95286000002</v>
      </c>
      <c r="I1471" s="85">
        <f t="shared" si="170"/>
        <v>0</v>
      </c>
      <c r="J1471" s="85">
        <f t="shared" si="170"/>
        <v>39850.530490000005</v>
      </c>
      <c r="K1471" s="85">
        <f t="shared" si="170"/>
        <v>2568.8614200000002</v>
      </c>
      <c r="L1471" s="85">
        <f t="shared" si="170"/>
        <v>0</v>
      </c>
      <c r="M1471" s="85">
        <f t="shared" si="170"/>
        <v>50949.707200000004</v>
      </c>
      <c r="N1471" s="85">
        <f t="shared" si="170"/>
        <v>2568.8614200000002</v>
      </c>
      <c r="O1471" s="85">
        <f t="shared" si="170"/>
        <v>0</v>
      </c>
      <c r="P1471" s="85">
        <f>2568891/1000</f>
        <v>2568.8910000000001</v>
      </c>
      <c r="Q1471" s="85">
        <f t="shared" si="170"/>
        <v>36615.523560000001</v>
      </c>
      <c r="R1471" s="86"/>
      <c r="S1471" s="86"/>
      <c r="T1471" s="85">
        <f t="shared" ref="T1471:Y1471" si="171">SUM(T1436:T1470)</f>
        <v>0</v>
      </c>
      <c r="U1471" s="85">
        <f t="shared" si="171"/>
        <v>2568.8614200000002</v>
      </c>
      <c r="V1471" s="85">
        <f t="shared" si="171"/>
        <v>44033.298459999991</v>
      </c>
      <c r="W1471" s="85">
        <f t="shared" si="171"/>
        <v>0</v>
      </c>
      <c r="X1471" s="85">
        <f>+H1471+P1471</f>
        <v>136850.84386000002</v>
      </c>
      <c r="Y1471" s="85">
        <f t="shared" si="171"/>
        <v>0</v>
      </c>
      <c r="Z1471" s="85">
        <f>+X1471-E1471</f>
        <v>2.9580000031273812E-2</v>
      </c>
      <c r="AA1471" s="69">
        <f>SUM(AA1436:AA1470)</f>
        <v>53518.568619999991</v>
      </c>
      <c r="AB1471" s="69">
        <f>SUM(AB1436:AB1470)</f>
        <v>0</v>
      </c>
    </row>
    <row r="1472" spans="1:28" hidden="1" x14ac:dyDescent="0.3">
      <c r="A1472" s="117"/>
      <c r="E1472" s="86" t="s">
        <v>29</v>
      </c>
      <c r="F1472" s="86" t="s">
        <v>29</v>
      </c>
      <c r="G1472" s="86" t="s">
        <v>29</v>
      </c>
      <c r="H1472" s="86" t="s">
        <v>29</v>
      </c>
      <c r="I1472" s="86" t="s">
        <v>29</v>
      </c>
      <c r="J1472" s="86" t="s">
        <v>29</v>
      </c>
      <c r="K1472" s="86" t="s">
        <v>29</v>
      </c>
      <c r="L1472" s="86" t="s">
        <v>29</v>
      </c>
      <c r="M1472" s="86" t="s">
        <v>29</v>
      </c>
      <c r="N1472" s="86" t="s">
        <v>29</v>
      </c>
      <c r="O1472" s="86" t="s">
        <v>29</v>
      </c>
      <c r="P1472" s="86" t="s">
        <v>29</v>
      </c>
      <c r="Q1472" s="86" t="s">
        <v>29</v>
      </c>
      <c r="R1472" s="86" t="s">
        <v>29</v>
      </c>
      <c r="S1472" s="86" t="s">
        <v>29</v>
      </c>
      <c r="T1472" s="86" t="s">
        <v>29</v>
      </c>
      <c r="U1472" s="86" t="s">
        <v>29</v>
      </c>
      <c r="V1472" s="86" t="s">
        <v>29</v>
      </c>
      <c r="W1472" s="86" t="s">
        <v>29</v>
      </c>
      <c r="X1472" s="85" t="e">
        <f t="shared" ref="X1472:X1535" si="172">+H1472+P1472</f>
        <v>#VALUE!</v>
      </c>
      <c r="Y1472" s="86" t="s">
        <v>29</v>
      </c>
      <c r="Z1472" s="85" t="e">
        <f t="shared" si="169"/>
        <v>#VALUE!</v>
      </c>
      <c r="AA1472" s="115" t="s">
        <v>29</v>
      </c>
      <c r="AB1472" s="115" t="s">
        <v>29</v>
      </c>
    </row>
    <row r="1473" spans="1:28" hidden="1" x14ac:dyDescent="0.3">
      <c r="A1473" s="105"/>
      <c r="E1473" s="84"/>
      <c r="F1473" s="84"/>
      <c r="G1473" s="84"/>
      <c r="H1473" s="84"/>
      <c r="I1473" s="84"/>
      <c r="J1473" s="84"/>
      <c r="K1473" s="84"/>
      <c r="L1473" s="84"/>
      <c r="M1473" s="84"/>
      <c r="N1473" s="84"/>
      <c r="O1473" s="84"/>
      <c r="P1473" s="84"/>
      <c r="Q1473" s="84"/>
      <c r="R1473" s="86"/>
      <c r="S1473" s="86"/>
      <c r="T1473" s="86"/>
      <c r="U1473" s="86"/>
      <c r="V1473" s="86"/>
      <c r="W1473" s="86"/>
      <c r="X1473" s="85">
        <f t="shared" si="172"/>
        <v>0</v>
      </c>
      <c r="Y1473" s="86"/>
      <c r="Z1473" s="85">
        <f t="shared" si="169"/>
        <v>0</v>
      </c>
    </row>
    <row r="1474" spans="1:28" hidden="1" x14ac:dyDescent="0.3">
      <c r="A1474" s="117"/>
      <c r="C1474" s="68" t="s">
        <v>535</v>
      </c>
      <c r="D1474" s="145" t="s">
        <v>68</v>
      </c>
      <c r="E1474" s="85">
        <f>STATS1003B!E1475/1000</f>
        <v>1447.37781</v>
      </c>
      <c r="F1474" s="85">
        <f>STATS1003B!F1475/1000</f>
        <v>998.4</v>
      </c>
      <c r="G1474" s="85">
        <f>STATS1003B!G1475/1000</f>
        <v>0</v>
      </c>
      <c r="H1474" s="85">
        <f>STATS1003B!H1475/1000</f>
        <v>998.4</v>
      </c>
      <c r="I1474" s="85">
        <f>STATS1003B!I1475/1000</f>
        <v>0</v>
      </c>
      <c r="J1474" s="85">
        <f>STATS1003B!J1475/1000</f>
        <v>998.4</v>
      </c>
      <c r="K1474" s="85">
        <f>STATS1003B!K1475/1000</f>
        <v>448.97780999999998</v>
      </c>
      <c r="L1474" s="85">
        <f>STATS1003B!L1475/1000</f>
        <v>0</v>
      </c>
      <c r="M1474" s="85">
        <f>STATS1003B!M1475/1000</f>
        <v>998.4</v>
      </c>
      <c r="N1474" s="85">
        <f>STATS1003B!N1475/1000</f>
        <v>448.97780999999998</v>
      </c>
      <c r="O1474" s="85">
        <f>STATS1003B!O1475/1000</f>
        <v>0</v>
      </c>
      <c r="P1474" s="85">
        <f>STATS1003B!P1475/1000</f>
        <v>448.97780999999998</v>
      </c>
      <c r="Q1474" s="85">
        <f>STATS1003B!Q1475/1000</f>
        <v>998.4</v>
      </c>
      <c r="R1474" s="85">
        <f>STATS1003B!R1475/1000</f>
        <v>0</v>
      </c>
      <c r="S1474" s="85">
        <f>STATS1003B!S1475/1000</f>
        <v>0</v>
      </c>
      <c r="T1474" s="85">
        <f>STATS1003B!T1475/1000</f>
        <v>0</v>
      </c>
      <c r="U1474" s="85">
        <f>STATS1003B!U1475/1000</f>
        <v>448.97780999999998</v>
      </c>
      <c r="V1474" s="85">
        <f>STATS1003B!V1475/1000</f>
        <v>1447.37781</v>
      </c>
      <c r="W1474" s="85">
        <f>STATS1003B!W1475/1000</f>
        <v>0</v>
      </c>
      <c r="X1474" s="85">
        <f t="shared" si="172"/>
        <v>1447.37781</v>
      </c>
      <c r="Y1474" s="85">
        <f>STATS1003B!Y1475/1000</f>
        <v>0</v>
      </c>
      <c r="Z1474" s="85">
        <f t="shared" si="169"/>
        <v>0</v>
      </c>
      <c r="AA1474" s="69">
        <f>STATS1003B!AA1475/1000</f>
        <v>1447.37781</v>
      </c>
      <c r="AB1474" s="69">
        <f>STATS1003B!AB1475/1000</f>
        <v>0</v>
      </c>
    </row>
    <row r="1475" spans="1:28" hidden="1" x14ac:dyDescent="0.3">
      <c r="A1475" s="117"/>
      <c r="C1475" s="68" t="s">
        <v>704</v>
      </c>
      <c r="D1475" s="145" t="s">
        <v>68</v>
      </c>
      <c r="E1475" s="85">
        <f>STATS1003B!E1476/1000</f>
        <v>5100</v>
      </c>
      <c r="F1475" s="85">
        <f>STATS1003B!F1476/1000</f>
        <v>3280.0190200000002</v>
      </c>
      <c r="G1475" s="85">
        <f>STATS1003B!G1476/1000</f>
        <v>0</v>
      </c>
      <c r="H1475" s="85">
        <f>STATS1003B!H1476/1000</f>
        <v>3280.0190200000002</v>
      </c>
      <c r="I1475" s="85">
        <f>STATS1003B!I1476/1000</f>
        <v>0</v>
      </c>
      <c r="J1475" s="85">
        <f>STATS1003B!J1476/1000</f>
        <v>3280.0190200000002</v>
      </c>
      <c r="K1475" s="85">
        <f>STATS1003B!K1476/1000</f>
        <v>1804.24252</v>
      </c>
      <c r="L1475" s="85">
        <f>STATS1003B!L1476/1000</f>
        <v>0</v>
      </c>
      <c r="M1475" s="85">
        <f>STATS1003B!M1476/1000</f>
        <v>3280.0190200000002</v>
      </c>
      <c r="N1475" s="85">
        <f>STATS1003B!N1476/1000</f>
        <v>1804.24252</v>
      </c>
      <c r="O1475" s="85">
        <f>STATS1003B!O1476/1000</f>
        <v>0</v>
      </c>
      <c r="P1475" s="85">
        <f>STATS1003B!P1476/1000</f>
        <v>1804.24252</v>
      </c>
      <c r="Q1475" s="85">
        <f>STATS1003B!Q1476/1000</f>
        <v>3295.7574799999998</v>
      </c>
      <c r="R1475" s="85">
        <f>STATS1003B!R1476/1000</f>
        <v>0</v>
      </c>
      <c r="S1475" s="85">
        <f>STATS1003B!S1476/1000</f>
        <v>0</v>
      </c>
      <c r="T1475" s="85">
        <f>STATS1003B!T1476/1000</f>
        <v>0</v>
      </c>
      <c r="U1475" s="85">
        <f>STATS1003B!U1476/1000</f>
        <v>1804.24252</v>
      </c>
      <c r="V1475" s="85">
        <f>STATS1003B!V1476/1000</f>
        <v>5084.2615400000004</v>
      </c>
      <c r="W1475" s="85">
        <f>STATS1003B!W1476/1000</f>
        <v>15.738459999999963</v>
      </c>
      <c r="X1475" s="85">
        <f t="shared" si="172"/>
        <v>5084.2615400000004</v>
      </c>
      <c r="Y1475" s="85">
        <f>STATS1003B!Y1476/1000</f>
        <v>0</v>
      </c>
      <c r="Z1475" s="85">
        <f t="shared" si="169"/>
        <v>15.738459999999577</v>
      </c>
      <c r="AA1475" s="69">
        <f>STATS1003B!AA1476/1000</f>
        <v>5084.2615400000004</v>
      </c>
      <c r="AB1475" s="69">
        <f>STATS1003B!AB1476/1000</f>
        <v>15.738459999999963</v>
      </c>
    </row>
    <row r="1476" spans="1:28" hidden="1" x14ac:dyDescent="0.3">
      <c r="A1476" s="117"/>
      <c r="C1476" s="68" t="s">
        <v>535</v>
      </c>
      <c r="D1476" s="145" t="s">
        <v>54</v>
      </c>
      <c r="E1476" s="85">
        <f>STATS1003B!E1477/1000</f>
        <v>197.6</v>
      </c>
      <c r="F1476" s="85">
        <f>STATS1003B!F1477/1000</f>
        <v>197.6</v>
      </c>
      <c r="G1476" s="85">
        <f>STATS1003B!G1477/1000</f>
        <v>0</v>
      </c>
      <c r="H1476" s="85">
        <f>STATS1003B!H1477/1000</f>
        <v>197.6</v>
      </c>
      <c r="I1476" s="85">
        <f>STATS1003B!I1477/1000</f>
        <v>0</v>
      </c>
      <c r="J1476" s="85">
        <f>STATS1003B!J1477/1000</f>
        <v>197.6</v>
      </c>
      <c r="K1476" s="85">
        <f>STATS1003B!K1477/1000</f>
        <v>0</v>
      </c>
      <c r="L1476" s="85">
        <f>STATS1003B!L1477/1000</f>
        <v>0</v>
      </c>
      <c r="M1476" s="85">
        <f>STATS1003B!M1477/1000</f>
        <v>197.6</v>
      </c>
      <c r="N1476" s="85">
        <f>STATS1003B!N1477/1000</f>
        <v>0</v>
      </c>
      <c r="O1476" s="85">
        <f>STATS1003B!O1477/1000</f>
        <v>0</v>
      </c>
      <c r="P1476" s="85">
        <f>STATS1003B!P1477/1000</f>
        <v>0</v>
      </c>
      <c r="Q1476" s="85">
        <f>STATS1003B!Q1477/1000</f>
        <v>197.6</v>
      </c>
      <c r="R1476" s="85">
        <f>STATS1003B!R1477/1000</f>
        <v>0</v>
      </c>
      <c r="S1476" s="85">
        <f>STATS1003B!S1477/1000</f>
        <v>0</v>
      </c>
      <c r="T1476" s="85">
        <f>STATS1003B!T1477/1000</f>
        <v>0</v>
      </c>
      <c r="U1476" s="85">
        <f>STATS1003B!U1477/1000</f>
        <v>0</v>
      </c>
      <c r="V1476" s="85">
        <f>STATS1003B!V1477/1000</f>
        <v>197.6</v>
      </c>
      <c r="W1476" s="85">
        <f>STATS1003B!W1477/1000</f>
        <v>0</v>
      </c>
      <c r="X1476" s="85">
        <f t="shared" si="172"/>
        <v>197.6</v>
      </c>
      <c r="Y1476" s="85">
        <f>STATS1003B!Y1477/1000</f>
        <v>0</v>
      </c>
      <c r="Z1476" s="85">
        <f t="shared" si="169"/>
        <v>0</v>
      </c>
      <c r="AA1476" s="69">
        <f>STATS1003B!AA1477/1000</f>
        <v>197.6</v>
      </c>
      <c r="AB1476" s="69">
        <f>STATS1003B!AB1477/1000</f>
        <v>0</v>
      </c>
    </row>
    <row r="1477" spans="1:28" hidden="1" x14ac:dyDescent="0.3">
      <c r="A1477" s="117"/>
      <c r="C1477" s="68" t="s">
        <v>603</v>
      </c>
      <c r="D1477" s="145" t="s">
        <v>54</v>
      </c>
      <c r="E1477" s="85">
        <f>STATS1003B!E1478/1000</f>
        <v>950</v>
      </c>
      <c r="F1477" s="85">
        <f>STATS1003B!F1478/1000</f>
        <v>856.53499999999997</v>
      </c>
      <c r="G1477" s="85">
        <f>STATS1003B!G1478/1000</f>
        <v>0</v>
      </c>
      <c r="H1477" s="85">
        <f>STATS1003B!H1478/1000</f>
        <v>856.53499999999997</v>
      </c>
      <c r="I1477" s="85">
        <f>STATS1003B!I1478/1000</f>
        <v>0</v>
      </c>
      <c r="J1477" s="85">
        <f>STATS1003B!J1478/1000</f>
        <v>856.53499999999997</v>
      </c>
      <c r="K1477" s="85">
        <f>STATS1003B!K1478/1000</f>
        <v>0</v>
      </c>
      <c r="L1477" s="85">
        <f>STATS1003B!L1478/1000</f>
        <v>0</v>
      </c>
      <c r="M1477" s="85">
        <f>STATS1003B!M1478/1000</f>
        <v>856.53499999999997</v>
      </c>
      <c r="N1477" s="85">
        <f>STATS1003B!N1478/1000</f>
        <v>0</v>
      </c>
      <c r="O1477" s="85">
        <f>STATS1003B!O1478/1000</f>
        <v>0</v>
      </c>
      <c r="P1477" s="85">
        <f>STATS1003B!P1478/1000</f>
        <v>0</v>
      </c>
      <c r="Q1477" s="85">
        <f>STATS1003B!Q1478/1000</f>
        <v>950</v>
      </c>
      <c r="R1477" s="85">
        <f>STATS1003B!R1478/1000</f>
        <v>0</v>
      </c>
      <c r="S1477" s="85">
        <f>STATS1003B!S1478/1000</f>
        <v>0</v>
      </c>
      <c r="T1477" s="85">
        <f>STATS1003B!T1478/1000</f>
        <v>0</v>
      </c>
      <c r="U1477" s="85">
        <f>STATS1003B!U1478/1000</f>
        <v>0</v>
      </c>
      <c r="V1477" s="85">
        <f>STATS1003B!V1478/1000</f>
        <v>856.53499999999997</v>
      </c>
      <c r="W1477" s="85">
        <f>STATS1003B!W1478/1000</f>
        <v>93.465000000000003</v>
      </c>
      <c r="X1477" s="85">
        <f t="shared" si="172"/>
        <v>856.53499999999997</v>
      </c>
      <c r="Y1477" s="85">
        <f>STATS1003B!Y1478/1000</f>
        <v>0</v>
      </c>
      <c r="Z1477" s="85">
        <f t="shared" si="169"/>
        <v>93.465000000000032</v>
      </c>
      <c r="AA1477" s="69">
        <f>STATS1003B!AA1478/1000</f>
        <v>856.53499999999997</v>
      </c>
      <c r="AB1477" s="69">
        <f>STATS1003B!AB1478/1000</f>
        <v>93.465000000000003</v>
      </c>
    </row>
    <row r="1478" spans="1:28" hidden="1" x14ac:dyDescent="0.3">
      <c r="A1478" s="117"/>
      <c r="C1478" s="68" t="s">
        <v>540</v>
      </c>
      <c r="D1478" s="145" t="s">
        <v>54</v>
      </c>
      <c r="E1478" s="85">
        <f>STATS1003B!E1479/1000</f>
        <v>570.94100000000003</v>
      </c>
      <c r="F1478" s="85">
        <f>STATS1003B!F1479/1000</f>
        <v>0</v>
      </c>
      <c r="G1478" s="85">
        <f>STATS1003B!G1479/1000</f>
        <v>0</v>
      </c>
      <c r="H1478" s="85">
        <f>STATS1003B!H1479/1000</f>
        <v>0</v>
      </c>
      <c r="I1478" s="85">
        <f>STATS1003B!I1479/1000</f>
        <v>0</v>
      </c>
      <c r="J1478" s="85">
        <f>STATS1003B!J1479/1000</f>
        <v>0</v>
      </c>
      <c r="K1478" s="85">
        <f>STATS1003B!K1479/1000</f>
        <v>570.94100000000003</v>
      </c>
      <c r="L1478" s="85">
        <f>STATS1003B!L1479/1000</f>
        <v>0</v>
      </c>
      <c r="M1478" s="85">
        <f>STATS1003B!M1479/1000</f>
        <v>0</v>
      </c>
      <c r="N1478" s="85">
        <f>STATS1003B!N1479/1000</f>
        <v>570.94100000000003</v>
      </c>
      <c r="O1478" s="85">
        <f>STATS1003B!O1479/1000</f>
        <v>0</v>
      </c>
      <c r="P1478" s="85">
        <f>STATS1003B!P1479/1000</f>
        <v>570.94100000000003</v>
      </c>
      <c r="Q1478" s="85">
        <f>STATS1003B!Q1479/1000</f>
        <v>0</v>
      </c>
      <c r="R1478" s="85">
        <f>STATS1003B!R1479/1000</f>
        <v>0</v>
      </c>
      <c r="S1478" s="85">
        <f>STATS1003B!S1479/1000</f>
        <v>0</v>
      </c>
      <c r="T1478" s="85">
        <f>STATS1003B!T1479/1000</f>
        <v>0</v>
      </c>
      <c r="U1478" s="85">
        <f>STATS1003B!U1479/1000</f>
        <v>570.94100000000003</v>
      </c>
      <c r="V1478" s="85">
        <f>STATS1003B!V1479/1000</f>
        <v>570.94100000000003</v>
      </c>
      <c r="W1478" s="85">
        <f>STATS1003B!W1479/1000</f>
        <v>0</v>
      </c>
      <c r="X1478" s="85">
        <f t="shared" si="172"/>
        <v>570.94100000000003</v>
      </c>
      <c r="Y1478" s="85">
        <f>STATS1003B!Y1479/1000</f>
        <v>0</v>
      </c>
      <c r="Z1478" s="85">
        <f t="shared" si="169"/>
        <v>0</v>
      </c>
      <c r="AA1478" s="69">
        <f>STATS1003B!AA1479/1000</f>
        <v>570.94100000000003</v>
      </c>
      <c r="AB1478" s="69">
        <f>STATS1003B!AB1479/1000</f>
        <v>0</v>
      </c>
    </row>
    <row r="1479" spans="1:28" hidden="1" x14ac:dyDescent="0.3">
      <c r="A1479" s="117"/>
      <c r="C1479" s="68" t="s">
        <v>535</v>
      </c>
      <c r="D1479" s="145" t="s">
        <v>85</v>
      </c>
      <c r="E1479" s="85">
        <f>STATS1003B!E1480/1000</f>
        <v>1672.597</v>
      </c>
      <c r="F1479" s="85">
        <f>STATS1003B!F1480/1000</f>
        <v>1672.597</v>
      </c>
      <c r="G1479" s="85">
        <f>STATS1003B!G1480/1000</f>
        <v>0</v>
      </c>
      <c r="H1479" s="85">
        <f>STATS1003B!H1480/1000</f>
        <v>1672.597</v>
      </c>
      <c r="I1479" s="85">
        <f>STATS1003B!I1480/1000</f>
        <v>0</v>
      </c>
      <c r="J1479" s="85">
        <f>STATS1003B!J1480/1000</f>
        <v>1672.597</v>
      </c>
      <c r="K1479" s="85">
        <f>STATS1003B!K1480/1000</f>
        <v>0</v>
      </c>
      <c r="L1479" s="85">
        <f>STATS1003B!L1480/1000</f>
        <v>0</v>
      </c>
      <c r="M1479" s="85">
        <f>STATS1003B!M1480/1000</f>
        <v>1672.597</v>
      </c>
      <c r="N1479" s="85">
        <f>STATS1003B!N1480/1000</f>
        <v>0</v>
      </c>
      <c r="O1479" s="85">
        <f>STATS1003B!O1480/1000</f>
        <v>0</v>
      </c>
      <c r="P1479" s="85">
        <f>STATS1003B!P1480/1000</f>
        <v>0</v>
      </c>
      <c r="Q1479" s="85">
        <f>STATS1003B!Q1480/1000</f>
        <v>1672.597</v>
      </c>
      <c r="R1479" s="85">
        <f>STATS1003B!R1480/1000</f>
        <v>0</v>
      </c>
      <c r="S1479" s="85">
        <f>STATS1003B!S1480/1000</f>
        <v>0</v>
      </c>
      <c r="T1479" s="85">
        <f>STATS1003B!T1480/1000</f>
        <v>0</v>
      </c>
      <c r="U1479" s="85">
        <f>STATS1003B!U1480/1000</f>
        <v>0</v>
      </c>
      <c r="V1479" s="85">
        <f>STATS1003B!V1480/1000</f>
        <v>1672.597</v>
      </c>
      <c r="W1479" s="85">
        <f>STATS1003B!W1480/1000</f>
        <v>0</v>
      </c>
      <c r="X1479" s="85">
        <f t="shared" si="172"/>
        <v>1672.597</v>
      </c>
      <c r="Y1479" s="85">
        <f>STATS1003B!Y1480/1000</f>
        <v>0</v>
      </c>
      <c r="Z1479" s="85">
        <f t="shared" si="169"/>
        <v>0</v>
      </c>
      <c r="AA1479" s="69">
        <f>STATS1003B!AA1480/1000</f>
        <v>1672.597</v>
      </c>
      <c r="AB1479" s="69">
        <f>STATS1003B!AB1480/1000</f>
        <v>0</v>
      </c>
    </row>
    <row r="1480" spans="1:28" hidden="1" x14ac:dyDescent="0.3">
      <c r="A1480" s="117"/>
      <c r="C1480" s="68" t="s">
        <v>667</v>
      </c>
      <c r="D1480" s="145" t="s">
        <v>85</v>
      </c>
      <c r="E1480" s="85">
        <f>STATS1003B!E1481/1000</f>
        <v>120</v>
      </c>
      <c r="F1480" s="85">
        <f>STATS1003B!F1481/1000</f>
        <v>120</v>
      </c>
      <c r="G1480" s="85">
        <f>STATS1003B!G1481/1000</f>
        <v>0</v>
      </c>
      <c r="H1480" s="85">
        <f>STATS1003B!H1481/1000</f>
        <v>120</v>
      </c>
      <c r="I1480" s="85">
        <f>STATS1003B!I1481/1000</f>
        <v>0</v>
      </c>
      <c r="J1480" s="85">
        <f>STATS1003B!J1481/1000</f>
        <v>120</v>
      </c>
      <c r="K1480" s="85">
        <f>STATS1003B!K1481/1000</f>
        <v>0</v>
      </c>
      <c r="L1480" s="85">
        <f>STATS1003B!L1481/1000</f>
        <v>0</v>
      </c>
      <c r="M1480" s="85">
        <f>STATS1003B!M1481/1000</f>
        <v>120</v>
      </c>
      <c r="N1480" s="85">
        <f>STATS1003B!N1481/1000</f>
        <v>0</v>
      </c>
      <c r="O1480" s="85">
        <f>STATS1003B!O1481/1000</f>
        <v>0</v>
      </c>
      <c r="P1480" s="85">
        <f>STATS1003B!P1481/1000</f>
        <v>0</v>
      </c>
      <c r="Q1480" s="85">
        <f>STATS1003B!Q1481/1000</f>
        <v>120</v>
      </c>
      <c r="R1480" s="85">
        <f>STATS1003B!R1481/1000</f>
        <v>0</v>
      </c>
      <c r="S1480" s="85">
        <f>STATS1003B!S1481/1000</f>
        <v>0</v>
      </c>
      <c r="T1480" s="85">
        <f>STATS1003B!T1481/1000</f>
        <v>0</v>
      </c>
      <c r="U1480" s="85">
        <f>STATS1003B!U1481/1000</f>
        <v>0</v>
      </c>
      <c r="V1480" s="85">
        <f>STATS1003B!V1481/1000</f>
        <v>120</v>
      </c>
      <c r="W1480" s="85">
        <f>STATS1003B!W1481/1000</f>
        <v>0</v>
      </c>
      <c r="X1480" s="85">
        <f t="shared" si="172"/>
        <v>120</v>
      </c>
      <c r="Y1480" s="85">
        <f>STATS1003B!Y1481/1000</f>
        <v>0</v>
      </c>
      <c r="Z1480" s="85">
        <f t="shared" si="169"/>
        <v>0</v>
      </c>
      <c r="AA1480" s="69">
        <f>STATS1003B!AA1481/1000</f>
        <v>120</v>
      </c>
      <c r="AB1480" s="69">
        <f>STATS1003B!AB1481/1000</f>
        <v>0</v>
      </c>
    </row>
    <row r="1481" spans="1:28" hidden="1" x14ac:dyDescent="0.3">
      <c r="A1481" s="117"/>
      <c r="C1481" s="68" t="s">
        <v>535</v>
      </c>
      <c r="D1481" s="145" t="s">
        <v>128</v>
      </c>
      <c r="E1481" s="85">
        <f>STATS1003B!E1482/1000</f>
        <v>3084.9026600000002</v>
      </c>
      <c r="F1481" s="85">
        <f>STATS1003B!F1482/1000</f>
        <v>3084.9026600000002</v>
      </c>
      <c r="G1481" s="85">
        <f>STATS1003B!G1482/1000</f>
        <v>0</v>
      </c>
      <c r="H1481" s="85">
        <f>STATS1003B!H1482/1000</f>
        <v>3084.9026600000002</v>
      </c>
      <c r="I1481" s="85">
        <f>STATS1003B!I1482/1000</f>
        <v>0</v>
      </c>
      <c r="J1481" s="85">
        <f>STATS1003B!J1482/1000</f>
        <v>3084.9026600000002</v>
      </c>
      <c r="K1481" s="85">
        <f>STATS1003B!K1482/1000</f>
        <v>0</v>
      </c>
      <c r="L1481" s="85">
        <f>STATS1003B!L1482/1000</f>
        <v>0</v>
      </c>
      <c r="M1481" s="85">
        <f>STATS1003B!M1482/1000</f>
        <v>3084.9026600000002</v>
      </c>
      <c r="N1481" s="85">
        <f>STATS1003B!N1482/1000</f>
        <v>0</v>
      </c>
      <c r="O1481" s="85">
        <f>STATS1003B!O1482/1000</f>
        <v>0</v>
      </c>
      <c r="P1481" s="85">
        <f>STATS1003B!P1482/1000</f>
        <v>0</v>
      </c>
      <c r="Q1481" s="85">
        <f>STATS1003B!Q1482/1000</f>
        <v>3084.9026600000002</v>
      </c>
      <c r="R1481" s="85">
        <f>STATS1003B!R1482/1000</f>
        <v>0</v>
      </c>
      <c r="S1481" s="85">
        <f>STATS1003B!S1482/1000</f>
        <v>0</v>
      </c>
      <c r="T1481" s="85">
        <f>STATS1003B!T1482/1000</f>
        <v>0</v>
      </c>
      <c r="U1481" s="85">
        <f>STATS1003B!U1482/1000</f>
        <v>0</v>
      </c>
      <c r="V1481" s="85">
        <f>STATS1003B!V1482/1000</f>
        <v>3084.9026600000002</v>
      </c>
      <c r="W1481" s="85">
        <f>STATS1003B!W1482/1000</f>
        <v>0</v>
      </c>
      <c r="X1481" s="85">
        <f t="shared" si="172"/>
        <v>3084.9026600000002</v>
      </c>
      <c r="Y1481" s="85">
        <f>STATS1003B!Y1482/1000</f>
        <v>0</v>
      </c>
      <c r="Z1481" s="85">
        <f t="shared" si="169"/>
        <v>0</v>
      </c>
      <c r="AA1481" s="69">
        <f>STATS1003B!AA1482/1000</f>
        <v>3084.9026600000002</v>
      </c>
      <c r="AB1481" s="69">
        <f>STATS1003B!AB1482/1000</f>
        <v>0</v>
      </c>
    </row>
    <row r="1482" spans="1:28" hidden="1" x14ac:dyDescent="0.3">
      <c r="A1482" s="117"/>
      <c r="C1482" s="68" t="s">
        <v>741</v>
      </c>
      <c r="D1482" s="145" t="s">
        <v>128</v>
      </c>
      <c r="E1482" s="85">
        <f>STATS1003B!E1483/1000</f>
        <v>716</v>
      </c>
      <c r="F1482" s="85">
        <f>STATS1003B!F1483/1000</f>
        <v>716</v>
      </c>
      <c r="G1482" s="85">
        <f>STATS1003B!G1483/1000</f>
        <v>0</v>
      </c>
      <c r="H1482" s="85">
        <f>STATS1003B!H1483/1000</f>
        <v>716</v>
      </c>
      <c r="I1482" s="85">
        <f>STATS1003B!I1483/1000</f>
        <v>0</v>
      </c>
      <c r="J1482" s="85">
        <f>STATS1003B!J1483/1000</f>
        <v>716</v>
      </c>
      <c r="K1482" s="85">
        <f>STATS1003B!K1483/1000</f>
        <v>0</v>
      </c>
      <c r="L1482" s="85">
        <f>STATS1003B!L1483/1000</f>
        <v>0</v>
      </c>
      <c r="M1482" s="85">
        <f>STATS1003B!M1483/1000</f>
        <v>716</v>
      </c>
      <c r="N1482" s="85">
        <f>STATS1003B!N1483/1000</f>
        <v>0</v>
      </c>
      <c r="O1482" s="85">
        <f>STATS1003B!O1483/1000</f>
        <v>0</v>
      </c>
      <c r="P1482" s="85">
        <f>STATS1003B!P1483/1000</f>
        <v>0</v>
      </c>
      <c r="Q1482" s="85">
        <f>STATS1003B!Q1483/1000</f>
        <v>716</v>
      </c>
      <c r="R1482" s="85">
        <f>STATS1003B!R1483/1000</f>
        <v>0</v>
      </c>
      <c r="S1482" s="85">
        <f>STATS1003B!S1483/1000</f>
        <v>0</v>
      </c>
      <c r="T1482" s="85">
        <f>STATS1003B!T1483/1000</f>
        <v>0</v>
      </c>
      <c r="U1482" s="85">
        <f>STATS1003B!U1483/1000</f>
        <v>0</v>
      </c>
      <c r="V1482" s="85">
        <f>STATS1003B!V1483/1000</f>
        <v>716</v>
      </c>
      <c r="W1482" s="85">
        <f>STATS1003B!W1483/1000</f>
        <v>0</v>
      </c>
      <c r="X1482" s="85">
        <f t="shared" si="172"/>
        <v>716</v>
      </c>
      <c r="Y1482" s="85">
        <f>STATS1003B!Y1483/1000</f>
        <v>0</v>
      </c>
      <c r="Z1482" s="85">
        <f t="shared" si="169"/>
        <v>0</v>
      </c>
      <c r="AA1482" s="69">
        <f>STATS1003B!AA1483/1000</f>
        <v>716</v>
      </c>
      <c r="AB1482" s="69">
        <f>STATS1003B!AB1483/1000</f>
        <v>0</v>
      </c>
    </row>
    <row r="1483" spans="1:28" hidden="1" x14ac:dyDescent="0.3">
      <c r="A1483" s="117"/>
      <c r="C1483" s="68" t="s">
        <v>535</v>
      </c>
      <c r="D1483" s="145" t="s">
        <v>88</v>
      </c>
      <c r="E1483" s="85">
        <f>STATS1003B!E1484/1000</f>
        <v>5901.2789700000003</v>
      </c>
      <c r="F1483" s="85">
        <f>STATS1003B!F1484/1000</f>
        <v>5901.2789699999994</v>
      </c>
      <c r="G1483" s="85">
        <f>STATS1003B!G1484/1000</f>
        <v>0</v>
      </c>
      <c r="H1483" s="85">
        <f>STATS1003B!H1484/1000</f>
        <v>5901.2789699999994</v>
      </c>
      <c r="I1483" s="85">
        <f>STATS1003B!I1484/1000</f>
        <v>0</v>
      </c>
      <c r="J1483" s="85">
        <f>STATS1003B!J1484/1000</f>
        <v>5901.2789699999994</v>
      </c>
      <c r="K1483" s="85">
        <f>STATS1003B!K1484/1000</f>
        <v>0</v>
      </c>
      <c r="L1483" s="85">
        <f>STATS1003B!L1484/1000</f>
        <v>0</v>
      </c>
      <c r="M1483" s="85">
        <f>STATS1003B!M1484/1000</f>
        <v>5901.2789699999994</v>
      </c>
      <c r="N1483" s="85">
        <f>STATS1003B!N1484/1000</f>
        <v>0</v>
      </c>
      <c r="O1483" s="85">
        <f>STATS1003B!O1484/1000</f>
        <v>0</v>
      </c>
      <c r="P1483" s="85">
        <f>STATS1003B!P1484/1000</f>
        <v>0</v>
      </c>
      <c r="Q1483" s="85">
        <f>STATS1003B!Q1484/1000</f>
        <v>5901.2789700000003</v>
      </c>
      <c r="R1483" s="85">
        <f>STATS1003B!R1484/1000</f>
        <v>0</v>
      </c>
      <c r="S1483" s="85">
        <f>STATS1003B!S1484/1000</f>
        <v>0</v>
      </c>
      <c r="T1483" s="85">
        <f>STATS1003B!T1484/1000</f>
        <v>0</v>
      </c>
      <c r="U1483" s="85">
        <f>STATS1003B!U1484/1000</f>
        <v>0</v>
      </c>
      <c r="V1483" s="85">
        <f>STATS1003B!V1484/1000</f>
        <v>5901.2789699999994</v>
      </c>
      <c r="W1483" s="85">
        <f>STATS1003B!W1484/1000</f>
        <v>0</v>
      </c>
      <c r="X1483" s="85">
        <f t="shared" si="172"/>
        <v>5901.2789699999994</v>
      </c>
      <c r="Y1483" s="85">
        <f>STATS1003B!Y1484/1000</f>
        <v>0</v>
      </c>
      <c r="Z1483" s="85">
        <f t="shared" si="169"/>
        <v>0</v>
      </c>
      <c r="AA1483" s="69">
        <f>STATS1003B!AA1484/1000</f>
        <v>5901.2789699999994</v>
      </c>
      <c r="AB1483" s="69">
        <f>STATS1003B!AB1484/1000</f>
        <v>0</v>
      </c>
    </row>
    <row r="1484" spans="1:28" hidden="1" x14ac:dyDescent="0.3">
      <c r="A1484" s="117"/>
      <c r="C1484" s="68" t="s">
        <v>603</v>
      </c>
      <c r="D1484" s="145" t="s">
        <v>108</v>
      </c>
      <c r="E1484" s="85">
        <f>STATS1003B!E1485/1000</f>
        <v>93.465000000000003</v>
      </c>
      <c r="F1484" s="85">
        <f>STATS1003B!F1485/1000</f>
        <v>93.465000000000003</v>
      </c>
      <c r="G1484" s="85">
        <f>STATS1003B!G1485/1000</f>
        <v>0</v>
      </c>
      <c r="H1484" s="85">
        <f>STATS1003B!H1485/1000</f>
        <v>93.465000000000003</v>
      </c>
      <c r="I1484" s="85">
        <f>STATS1003B!I1485/1000</f>
        <v>0</v>
      </c>
      <c r="J1484" s="85">
        <f>STATS1003B!J1485/1000</f>
        <v>93.465000000000003</v>
      </c>
      <c r="K1484" s="85">
        <f>STATS1003B!K1485/1000</f>
        <v>0</v>
      </c>
      <c r="L1484" s="85">
        <f>STATS1003B!L1485/1000</f>
        <v>0</v>
      </c>
      <c r="M1484" s="85">
        <f>STATS1003B!M1485/1000</f>
        <v>93.465000000000003</v>
      </c>
      <c r="N1484" s="85">
        <f>STATS1003B!N1485/1000</f>
        <v>0</v>
      </c>
      <c r="O1484" s="85">
        <f>STATS1003B!O1485/1000</f>
        <v>0</v>
      </c>
      <c r="P1484" s="85">
        <f>STATS1003B!P1485/1000</f>
        <v>0</v>
      </c>
      <c r="Q1484" s="85">
        <f>STATS1003B!Q1485/1000</f>
        <v>93.465000000000003</v>
      </c>
      <c r="R1484" s="85">
        <f>STATS1003B!R1485/1000</f>
        <v>0</v>
      </c>
      <c r="S1484" s="85">
        <f>STATS1003B!S1485/1000</f>
        <v>0</v>
      </c>
      <c r="T1484" s="85">
        <f>STATS1003B!T1485/1000</f>
        <v>0</v>
      </c>
      <c r="U1484" s="85">
        <f>STATS1003B!U1485/1000</f>
        <v>0</v>
      </c>
      <c r="V1484" s="85">
        <f>STATS1003B!V1485/1000</f>
        <v>93.465000000000003</v>
      </c>
      <c r="W1484" s="85">
        <f>STATS1003B!W1485/1000</f>
        <v>0</v>
      </c>
      <c r="X1484" s="85">
        <f t="shared" si="172"/>
        <v>93.465000000000003</v>
      </c>
      <c r="Y1484" s="85">
        <f>STATS1003B!Y1485/1000</f>
        <v>0</v>
      </c>
      <c r="Z1484" s="85">
        <f t="shared" si="169"/>
        <v>0</v>
      </c>
      <c r="AA1484" s="69">
        <f>STATS1003B!AA1485/1000</f>
        <v>93.465000000000003</v>
      </c>
      <c r="AB1484" s="69">
        <f>STATS1003B!AB1485/1000</f>
        <v>0</v>
      </c>
    </row>
    <row r="1485" spans="1:28" hidden="1" x14ac:dyDescent="0.3">
      <c r="A1485" s="117"/>
      <c r="C1485" s="68" t="s">
        <v>535</v>
      </c>
      <c r="D1485" s="145" t="s">
        <v>58</v>
      </c>
      <c r="E1485" s="85">
        <f>STATS1003B!E1486/1000</f>
        <v>3548.386</v>
      </c>
      <c r="F1485" s="85">
        <f>STATS1003B!F1486/1000</f>
        <v>3548.386</v>
      </c>
      <c r="G1485" s="85">
        <f>STATS1003B!G1486/1000</f>
        <v>0</v>
      </c>
      <c r="H1485" s="85">
        <f>STATS1003B!H1486/1000</f>
        <v>3548.386</v>
      </c>
      <c r="I1485" s="85">
        <f>STATS1003B!I1486/1000</f>
        <v>0</v>
      </c>
      <c r="J1485" s="85">
        <f>STATS1003B!J1486/1000</f>
        <v>3548.386</v>
      </c>
      <c r="K1485" s="85">
        <f>STATS1003B!K1486/1000</f>
        <v>0</v>
      </c>
      <c r="L1485" s="85">
        <f>STATS1003B!L1486/1000</f>
        <v>0</v>
      </c>
      <c r="M1485" s="85">
        <f>STATS1003B!M1486/1000</f>
        <v>3548.386</v>
      </c>
      <c r="N1485" s="85">
        <f>STATS1003B!N1486/1000</f>
        <v>0</v>
      </c>
      <c r="O1485" s="85">
        <f>STATS1003B!O1486/1000</f>
        <v>0</v>
      </c>
      <c r="P1485" s="85">
        <f>STATS1003B!P1486/1000</f>
        <v>0</v>
      </c>
      <c r="Q1485" s="85">
        <f>STATS1003B!Q1486/1000</f>
        <v>3548.386</v>
      </c>
      <c r="R1485" s="85">
        <f>STATS1003B!R1486/1000</f>
        <v>0</v>
      </c>
      <c r="S1485" s="85">
        <f>STATS1003B!S1486/1000</f>
        <v>0</v>
      </c>
      <c r="T1485" s="85">
        <f>STATS1003B!T1486/1000</f>
        <v>0</v>
      </c>
      <c r="U1485" s="85">
        <f>STATS1003B!U1486/1000</f>
        <v>0</v>
      </c>
      <c r="V1485" s="85">
        <f>STATS1003B!V1486/1000</f>
        <v>3548.386</v>
      </c>
      <c r="W1485" s="85">
        <f>STATS1003B!W1486/1000</f>
        <v>0</v>
      </c>
      <c r="X1485" s="85">
        <f t="shared" si="172"/>
        <v>3548.386</v>
      </c>
      <c r="Y1485" s="85">
        <f>STATS1003B!Y1486/1000</f>
        <v>0</v>
      </c>
      <c r="Z1485" s="85">
        <f t="shared" si="169"/>
        <v>0</v>
      </c>
      <c r="AA1485" s="69">
        <f>STATS1003B!AA1486/1000</f>
        <v>3548.386</v>
      </c>
      <c r="AB1485" s="69">
        <f>STATS1003B!AB1486/1000</f>
        <v>0</v>
      </c>
    </row>
    <row r="1486" spans="1:28" hidden="1" x14ac:dyDescent="0.3">
      <c r="A1486" s="117"/>
      <c r="C1486" s="71" t="s">
        <v>742</v>
      </c>
      <c r="D1486" s="145" t="s">
        <v>58</v>
      </c>
      <c r="E1486" s="85">
        <f>STATS1003B!E1487/1000</f>
        <v>150</v>
      </c>
      <c r="F1486" s="85">
        <f>STATS1003B!F1487/1000</f>
        <v>150</v>
      </c>
      <c r="G1486" s="85">
        <f>STATS1003B!G1487/1000</f>
        <v>0</v>
      </c>
      <c r="H1486" s="85">
        <f>STATS1003B!H1487/1000</f>
        <v>150</v>
      </c>
      <c r="I1486" s="85">
        <f>STATS1003B!I1487/1000</f>
        <v>0</v>
      </c>
      <c r="J1486" s="85">
        <f>STATS1003B!J1487/1000</f>
        <v>150</v>
      </c>
      <c r="K1486" s="85">
        <f>STATS1003B!K1487/1000</f>
        <v>0</v>
      </c>
      <c r="L1486" s="85">
        <f>STATS1003B!L1487/1000</f>
        <v>0</v>
      </c>
      <c r="M1486" s="85">
        <f>STATS1003B!M1487/1000</f>
        <v>150</v>
      </c>
      <c r="N1486" s="85">
        <f>STATS1003B!N1487/1000</f>
        <v>0</v>
      </c>
      <c r="O1486" s="85">
        <f>STATS1003B!O1487/1000</f>
        <v>0</v>
      </c>
      <c r="P1486" s="85">
        <f>STATS1003B!P1487/1000</f>
        <v>0</v>
      </c>
      <c r="Q1486" s="85">
        <f>STATS1003B!Q1487/1000</f>
        <v>150</v>
      </c>
      <c r="R1486" s="85">
        <f>STATS1003B!R1487/1000</f>
        <v>0</v>
      </c>
      <c r="S1486" s="85">
        <f>STATS1003B!S1487/1000</f>
        <v>0</v>
      </c>
      <c r="T1486" s="85">
        <f>STATS1003B!T1487/1000</f>
        <v>0</v>
      </c>
      <c r="U1486" s="85">
        <f>STATS1003B!U1487/1000</f>
        <v>0</v>
      </c>
      <c r="V1486" s="85">
        <f>STATS1003B!V1487/1000</f>
        <v>150</v>
      </c>
      <c r="W1486" s="85">
        <f>STATS1003B!W1487/1000</f>
        <v>0</v>
      </c>
      <c r="X1486" s="85">
        <f t="shared" si="172"/>
        <v>150</v>
      </c>
      <c r="Y1486" s="85">
        <f>STATS1003B!Y1487/1000</f>
        <v>0</v>
      </c>
      <c r="Z1486" s="85">
        <f t="shared" si="169"/>
        <v>0</v>
      </c>
      <c r="AA1486" s="69">
        <f>STATS1003B!AA1487/1000</f>
        <v>150</v>
      </c>
      <c r="AB1486" s="69">
        <f>STATS1003B!AB1487/1000</f>
        <v>0</v>
      </c>
    </row>
    <row r="1487" spans="1:28" hidden="1" x14ac:dyDescent="0.3">
      <c r="A1487" s="117"/>
      <c r="C1487" s="68" t="s">
        <v>743</v>
      </c>
      <c r="D1487" s="145" t="s">
        <v>60</v>
      </c>
      <c r="E1487" s="85">
        <f>STATS1003B!E1488/1000</f>
        <v>878</v>
      </c>
      <c r="F1487" s="85">
        <f>STATS1003B!F1488/1000</f>
        <v>878</v>
      </c>
      <c r="G1487" s="85">
        <f>STATS1003B!G1488/1000</f>
        <v>0</v>
      </c>
      <c r="H1487" s="85">
        <f>STATS1003B!H1488/1000</f>
        <v>878</v>
      </c>
      <c r="I1487" s="85">
        <f>STATS1003B!I1488/1000</f>
        <v>0</v>
      </c>
      <c r="J1487" s="85">
        <f>STATS1003B!J1488/1000</f>
        <v>878</v>
      </c>
      <c r="K1487" s="85">
        <f>STATS1003B!K1488/1000</f>
        <v>0</v>
      </c>
      <c r="L1487" s="85">
        <f>STATS1003B!L1488/1000</f>
        <v>0</v>
      </c>
      <c r="M1487" s="85">
        <f>STATS1003B!M1488/1000</f>
        <v>878</v>
      </c>
      <c r="N1487" s="85">
        <f>STATS1003B!N1488/1000</f>
        <v>0</v>
      </c>
      <c r="O1487" s="85">
        <f>STATS1003B!O1488/1000</f>
        <v>0</v>
      </c>
      <c r="P1487" s="85">
        <f>STATS1003B!P1488/1000</f>
        <v>0</v>
      </c>
      <c r="Q1487" s="85">
        <f>STATS1003B!Q1488/1000</f>
        <v>878</v>
      </c>
      <c r="R1487" s="85">
        <f>STATS1003B!R1488/1000</f>
        <v>0</v>
      </c>
      <c r="S1487" s="85">
        <f>STATS1003B!S1488/1000</f>
        <v>0</v>
      </c>
      <c r="T1487" s="85">
        <f>STATS1003B!T1488/1000</f>
        <v>0</v>
      </c>
      <c r="U1487" s="85">
        <f>STATS1003B!U1488/1000</f>
        <v>0</v>
      </c>
      <c r="V1487" s="85">
        <f>STATS1003B!V1488/1000</f>
        <v>878</v>
      </c>
      <c r="W1487" s="85">
        <f>STATS1003B!W1488/1000</f>
        <v>0</v>
      </c>
      <c r="X1487" s="85">
        <f t="shared" si="172"/>
        <v>878</v>
      </c>
      <c r="Y1487" s="85">
        <f>STATS1003B!Y1488/1000</f>
        <v>0</v>
      </c>
      <c r="Z1487" s="85">
        <f t="shared" si="169"/>
        <v>0</v>
      </c>
      <c r="AA1487" s="69">
        <f>STATS1003B!AA1488/1000</f>
        <v>878</v>
      </c>
      <c r="AB1487" s="69">
        <f>STATS1003B!AB1488/1000</f>
        <v>0</v>
      </c>
    </row>
    <row r="1488" spans="1:28" hidden="1" x14ac:dyDescent="0.3">
      <c r="A1488" s="117"/>
      <c r="C1488" s="68" t="s">
        <v>743</v>
      </c>
      <c r="D1488" s="145" t="s">
        <v>73</v>
      </c>
      <c r="E1488" s="85">
        <f>STATS1003B!E1489/1000</f>
        <v>3416.6410000000001</v>
      </c>
      <c r="F1488" s="85">
        <f>STATS1003B!F1489/1000</f>
        <v>3416.6410000000001</v>
      </c>
      <c r="G1488" s="85">
        <f>STATS1003B!G1489/1000</f>
        <v>0</v>
      </c>
      <c r="H1488" s="85">
        <f>STATS1003B!H1489/1000</f>
        <v>3416.6410000000001</v>
      </c>
      <c r="I1488" s="85">
        <f>STATS1003B!I1489/1000</f>
        <v>0</v>
      </c>
      <c r="J1488" s="85">
        <f>STATS1003B!J1489/1000</f>
        <v>3416.6410000000001</v>
      </c>
      <c r="K1488" s="85">
        <f>STATS1003B!K1489/1000</f>
        <v>0</v>
      </c>
      <c r="L1488" s="85">
        <f>STATS1003B!L1489/1000</f>
        <v>0</v>
      </c>
      <c r="M1488" s="85">
        <f>STATS1003B!M1489/1000</f>
        <v>3416.6410000000001</v>
      </c>
      <c r="N1488" s="85">
        <f>STATS1003B!N1489/1000</f>
        <v>0</v>
      </c>
      <c r="O1488" s="85">
        <f>STATS1003B!O1489/1000</f>
        <v>0</v>
      </c>
      <c r="P1488" s="85">
        <f>STATS1003B!P1489/1000</f>
        <v>0</v>
      </c>
      <c r="Q1488" s="85">
        <f>STATS1003B!Q1489/1000</f>
        <v>3416.6410000000001</v>
      </c>
      <c r="R1488" s="85">
        <f>STATS1003B!R1489/1000</f>
        <v>0</v>
      </c>
      <c r="S1488" s="85">
        <f>STATS1003B!S1489/1000</f>
        <v>0</v>
      </c>
      <c r="T1488" s="85">
        <f>STATS1003B!T1489/1000</f>
        <v>0</v>
      </c>
      <c r="U1488" s="85">
        <f>STATS1003B!U1489/1000</f>
        <v>0</v>
      </c>
      <c r="V1488" s="85">
        <f>STATS1003B!V1489/1000</f>
        <v>3416.6410000000001</v>
      </c>
      <c r="W1488" s="85">
        <f>STATS1003B!W1489/1000</f>
        <v>0</v>
      </c>
      <c r="X1488" s="85">
        <f t="shared" si="172"/>
        <v>3416.6410000000001</v>
      </c>
      <c r="Y1488" s="85">
        <f>STATS1003B!Y1489/1000</f>
        <v>0</v>
      </c>
      <c r="Z1488" s="85">
        <f t="shared" si="169"/>
        <v>0</v>
      </c>
      <c r="AA1488" s="69">
        <f>STATS1003B!AA1489/1000</f>
        <v>3416.6410000000001</v>
      </c>
      <c r="AB1488" s="69">
        <f>STATS1003B!AB1489/1000</f>
        <v>0</v>
      </c>
    </row>
    <row r="1489" spans="1:28" hidden="1" x14ac:dyDescent="0.3">
      <c r="A1489" s="117"/>
      <c r="C1489" s="68" t="s">
        <v>743</v>
      </c>
      <c r="D1489" s="145" t="s">
        <v>61</v>
      </c>
      <c r="E1489" s="85">
        <f>STATS1003B!E1490/1000</f>
        <v>719</v>
      </c>
      <c r="F1489" s="85">
        <f>STATS1003B!F1490/1000</f>
        <v>719</v>
      </c>
      <c r="G1489" s="85">
        <f>STATS1003B!G1490/1000</f>
        <v>0</v>
      </c>
      <c r="H1489" s="85">
        <f>STATS1003B!H1490/1000</f>
        <v>719</v>
      </c>
      <c r="I1489" s="85">
        <f>STATS1003B!I1490/1000</f>
        <v>0</v>
      </c>
      <c r="J1489" s="85">
        <f>STATS1003B!J1490/1000</f>
        <v>719</v>
      </c>
      <c r="K1489" s="85">
        <f>STATS1003B!K1490/1000</f>
        <v>0</v>
      </c>
      <c r="L1489" s="85">
        <f>STATS1003B!L1490/1000</f>
        <v>0</v>
      </c>
      <c r="M1489" s="85">
        <f>STATS1003B!M1490/1000</f>
        <v>719</v>
      </c>
      <c r="N1489" s="85">
        <f>STATS1003B!N1490/1000</f>
        <v>0</v>
      </c>
      <c r="O1489" s="85">
        <f>STATS1003B!O1490/1000</f>
        <v>0</v>
      </c>
      <c r="P1489" s="85">
        <f>STATS1003B!P1490/1000</f>
        <v>0</v>
      </c>
      <c r="Q1489" s="85">
        <f>STATS1003B!Q1490/1000</f>
        <v>719</v>
      </c>
      <c r="R1489" s="85">
        <f>STATS1003B!R1490/1000</f>
        <v>0</v>
      </c>
      <c r="S1489" s="85">
        <f>STATS1003B!S1490/1000</f>
        <v>0</v>
      </c>
      <c r="T1489" s="85">
        <f>STATS1003B!T1490/1000</f>
        <v>0</v>
      </c>
      <c r="U1489" s="85">
        <f>STATS1003B!U1490/1000</f>
        <v>0</v>
      </c>
      <c r="V1489" s="85">
        <f>STATS1003B!V1490/1000</f>
        <v>719</v>
      </c>
      <c r="W1489" s="85">
        <f>STATS1003B!W1490/1000</f>
        <v>0</v>
      </c>
      <c r="X1489" s="85">
        <f t="shared" si="172"/>
        <v>719</v>
      </c>
      <c r="Y1489" s="85">
        <f>STATS1003B!Y1490/1000</f>
        <v>0</v>
      </c>
      <c r="Z1489" s="85">
        <f t="shared" si="169"/>
        <v>0</v>
      </c>
      <c r="AA1489" s="69">
        <f>STATS1003B!AA1490/1000</f>
        <v>719</v>
      </c>
      <c r="AB1489" s="69">
        <f>STATS1003B!AB1490/1000</f>
        <v>0</v>
      </c>
    </row>
    <row r="1490" spans="1:28" hidden="1" x14ac:dyDescent="0.3">
      <c r="A1490" s="117"/>
      <c r="C1490" s="68" t="s">
        <v>933</v>
      </c>
      <c r="D1490" s="90" t="s">
        <v>1072</v>
      </c>
      <c r="E1490" s="85">
        <f>STATS1003B!E1491/1000</f>
        <v>1718</v>
      </c>
      <c r="F1490" s="85">
        <f>STATS1003B!F1491/1000</f>
        <v>1718</v>
      </c>
      <c r="G1490" s="85">
        <f>STATS1003B!G1491/1000</f>
        <v>0</v>
      </c>
      <c r="H1490" s="85">
        <f>STATS1003B!H1491/1000</f>
        <v>1718</v>
      </c>
      <c r="I1490" s="85">
        <f>STATS1003B!I1491/1000</f>
        <v>0</v>
      </c>
      <c r="J1490" s="85">
        <f>STATS1003B!J1491/1000</f>
        <v>1718</v>
      </c>
      <c r="K1490" s="85">
        <f>STATS1003B!K1491/1000</f>
        <v>0</v>
      </c>
      <c r="L1490" s="85">
        <f>STATS1003B!L1491/1000</f>
        <v>0</v>
      </c>
      <c r="M1490" s="85">
        <f>STATS1003B!M1491/1000</f>
        <v>1718</v>
      </c>
      <c r="N1490" s="85">
        <f>STATS1003B!N1491/1000</f>
        <v>0</v>
      </c>
      <c r="O1490" s="85">
        <f>STATS1003B!O1491/1000</f>
        <v>0</v>
      </c>
      <c r="P1490" s="85">
        <f>STATS1003B!P1491/1000</f>
        <v>0</v>
      </c>
      <c r="Q1490" s="85">
        <f>STATS1003B!Q1491/1000</f>
        <v>1718</v>
      </c>
      <c r="R1490" s="85">
        <f>STATS1003B!R1491/1000</f>
        <v>0</v>
      </c>
      <c r="S1490" s="85">
        <f>STATS1003B!S1491/1000</f>
        <v>0</v>
      </c>
      <c r="T1490" s="85">
        <f>STATS1003B!T1491/1000</f>
        <v>0</v>
      </c>
      <c r="U1490" s="85">
        <f>STATS1003B!U1491/1000</f>
        <v>0</v>
      </c>
      <c r="V1490" s="85">
        <f>STATS1003B!V1491/1000</f>
        <v>1718</v>
      </c>
      <c r="W1490" s="85">
        <f>STATS1003B!W1491/1000</f>
        <v>0</v>
      </c>
      <c r="X1490" s="85">
        <f t="shared" si="172"/>
        <v>1718</v>
      </c>
      <c r="Y1490" s="85">
        <f>STATS1003B!Y1491/1000</f>
        <v>0</v>
      </c>
      <c r="Z1490" s="85">
        <f t="shared" si="169"/>
        <v>0</v>
      </c>
      <c r="AA1490" s="69">
        <f>STATS1003B!AA1491/1000</f>
        <v>1718</v>
      </c>
      <c r="AB1490" s="69">
        <f>STATS1003B!AB1491/1000</f>
        <v>0</v>
      </c>
    </row>
    <row r="1491" spans="1:28" hidden="1" x14ac:dyDescent="0.3">
      <c r="A1491" s="117"/>
      <c r="C1491" s="68" t="s">
        <v>1203</v>
      </c>
      <c r="D1491" s="90" t="s">
        <v>1126</v>
      </c>
      <c r="E1491" s="85">
        <f>STATS1003B!E1492/1000</f>
        <v>1424.5440100000001</v>
      </c>
      <c r="F1491" s="85">
        <f>STATS1003B!F1492/1000</f>
        <v>1424.5440100000001</v>
      </c>
      <c r="G1491" s="85">
        <f>STATS1003B!G1492/1000</f>
        <v>0</v>
      </c>
      <c r="H1491" s="85">
        <f>STATS1003B!H1492/1000</f>
        <v>1424.5440100000001</v>
      </c>
      <c r="I1491" s="85">
        <f>STATS1003B!I1492/1000</f>
        <v>0</v>
      </c>
      <c r="J1491" s="85">
        <f>STATS1003B!J1492/1000</f>
        <v>1424.5440100000001</v>
      </c>
      <c r="K1491" s="85">
        <f>STATS1003B!K1492/1000</f>
        <v>0</v>
      </c>
      <c r="L1491" s="85">
        <f>STATS1003B!L1492/1000</f>
        <v>0</v>
      </c>
      <c r="M1491" s="85">
        <f>STATS1003B!M1492/1000</f>
        <v>1424.5440100000001</v>
      </c>
      <c r="N1491" s="85">
        <f>STATS1003B!N1492/1000</f>
        <v>0</v>
      </c>
      <c r="O1491" s="85">
        <f>STATS1003B!O1492/1000</f>
        <v>0</v>
      </c>
      <c r="P1491" s="85">
        <f>STATS1003B!P1492/1000</f>
        <v>0</v>
      </c>
      <c r="Q1491" s="85">
        <f>STATS1003B!Q1492/1000</f>
        <v>1424.5440100000001</v>
      </c>
      <c r="R1491" s="85">
        <f>STATS1003B!R1492/1000</f>
        <v>0</v>
      </c>
      <c r="S1491" s="85">
        <f>STATS1003B!S1492/1000</f>
        <v>0</v>
      </c>
      <c r="T1491" s="85">
        <f>STATS1003B!T1492/1000</f>
        <v>0</v>
      </c>
      <c r="U1491" s="85">
        <f>STATS1003B!U1492/1000</f>
        <v>0</v>
      </c>
      <c r="V1491" s="85">
        <f>STATS1003B!V1492/1000</f>
        <v>1424.5440100000001</v>
      </c>
      <c r="W1491" s="85">
        <f>STATS1003B!W1492/1000</f>
        <v>0</v>
      </c>
      <c r="X1491" s="85">
        <f t="shared" si="172"/>
        <v>1424.5440100000001</v>
      </c>
      <c r="Y1491" s="85">
        <f>STATS1003B!Y1492/1000</f>
        <v>0</v>
      </c>
      <c r="Z1491" s="85">
        <f t="shared" si="169"/>
        <v>0</v>
      </c>
      <c r="AA1491" s="69">
        <f>STATS1003B!AA1492/1000</f>
        <v>1424.5440100000001</v>
      </c>
      <c r="AB1491" s="69">
        <f>STATS1003B!AB1492/1000</f>
        <v>0</v>
      </c>
    </row>
    <row r="1492" spans="1:28" hidden="1" x14ac:dyDescent="0.3">
      <c r="A1492" s="117"/>
      <c r="C1492" s="68" t="s">
        <v>598</v>
      </c>
      <c r="E1492" s="85">
        <f>STATS1003B!E1493/1000</f>
        <v>792.76857999999993</v>
      </c>
      <c r="F1492" s="85">
        <f>STATS1003B!F1493/1000</f>
        <v>792.76857999999993</v>
      </c>
      <c r="G1492" s="85">
        <f>STATS1003B!G1493/1000</f>
        <v>0</v>
      </c>
      <c r="H1492" s="85">
        <f>STATS1003B!H1493/1000</f>
        <v>792.76857999999993</v>
      </c>
      <c r="I1492" s="85">
        <f>STATS1003B!I1493/1000</f>
        <v>0</v>
      </c>
      <c r="J1492" s="85">
        <f>STATS1003B!J1493/1000</f>
        <v>792.76857999999993</v>
      </c>
      <c r="K1492" s="85">
        <f>STATS1003B!K1493/1000</f>
        <v>0</v>
      </c>
      <c r="L1492" s="85">
        <f>STATS1003B!L1493/1000</f>
        <v>0</v>
      </c>
      <c r="M1492" s="85">
        <f>STATS1003B!M1493/1000</f>
        <v>792.76857999999993</v>
      </c>
      <c r="N1492" s="85">
        <f>STATS1003B!N1493/1000</f>
        <v>0</v>
      </c>
      <c r="O1492" s="85">
        <f>STATS1003B!O1493/1000</f>
        <v>0</v>
      </c>
      <c r="P1492" s="85">
        <f>STATS1003B!P1493/1000</f>
        <v>0</v>
      </c>
      <c r="Q1492" s="85">
        <f>STATS1003B!Q1493/1000</f>
        <v>792.76857999999993</v>
      </c>
      <c r="R1492" s="85">
        <f>STATS1003B!R1493/1000</f>
        <v>0</v>
      </c>
      <c r="S1492" s="85">
        <f>STATS1003B!S1493/1000</f>
        <v>0</v>
      </c>
      <c r="T1492" s="85">
        <f>STATS1003B!T1493/1000</f>
        <v>0</v>
      </c>
      <c r="U1492" s="85">
        <f>STATS1003B!U1493/1000</f>
        <v>0</v>
      </c>
      <c r="V1492" s="85">
        <f>STATS1003B!V1493/1000</f>
        <v>792.76857999999993</v>
      </c>
      <c r="W1492" s="85">
        <f>STATS1003B!W1493/1000</f>
        <v>0</v>
      </c>
      <c r="X1492" s="85">
        <f t="shared" si="172"/>
        <v>792.76857999999993</v>
      </c>
      <c r="Y1492" s="85">
        <f>STATS1003B!Y1493/1000</f>
        <v>0</v>
      </c>
      <c r="Z1492" s="85">
        <f t="shared" si="169"/>
        <v>0</v>
      </c>
      <c r="AA1492" s="69">
        <f>STATS1003B!AA1493/1000</f>
        <v>792.76857999999993</v>
      </c>
      <c r="AB1492" s="69">
        <f>STATS1003B!AB1493/1000</f>
        <v>0</v>
      </c>
    </row>
    <row r="1493" spans="1:28" hidden="1" x14ac:dyDescent="0.3">
      <c r="A1493" s="117"/>
      <c r="C1493" s="68" t="s">
        <v>569</v>
      </c>
      <c r="E1493" s="85">
        <f>STATS1003B!E1494/1000</f>
        <v>424</v>
      </c>
      <c r="F1493" s="85">
        <f>STATS1003B!F1494/1000</f>
        <v>424</v>
      </c>
      <c r="G1493" s="85">
        <f>STATS1003B!G1494/1000</f>
        <v>0</v>
      </c>
      <c r="H1493" s="85">
        <f>STATS1003B!H1494/1000</f>
        <v>424</v>
      </c>
      <c r="I1493" s="85">
        <f>STATS1003B!I1494/1000</f>
        <v>0</v>
      </c>
      <c r="J1493" s="85">
        <f>STATS1003B!J1494/1000</f>
        <v>424</v>
      </c>
      <c r="K1493" s="85">
        <f>STATS1003B!K1494/1000</f>
        <v>0</v>
      </c>
      <c r="L1493" s="85">
        <f>STATS1003B!L1494/1000</f>
        <v>0</v>
      </c>
      <c r="M1493" s="85">
        <f>STATS1003B!M1494/1000</f>
        <v>424</v>
      </c>
      <c r="N1493" s="85">
        <f>STATS1003B!N1494/1000</f>
        <v>0</v>
      </c>
      <c r="O1493" s="85">
        <f>STATS1003B!O1494/1000</f>
        <v>0</v>
      </c>
      <c r="P1493" s="85">
        <f>STATS1003B!P1494/1000</f>
        <v>0</v>
      </c>
      <c r="Q1493" s="85">
        <f>STATS1003B!Q1494/1000</f>
        <v>424</v>
      </c>
      <c r="R1493" s="85">
        <f>STATS1003B!R1494/1000</f>
        <v>0</v>
      </c>
      <c r="S1493" s="85">
        <f>STATS1003B!S1494/1000</f>
        <v>0</v>
      </c>
      <c r="T1493" s="85">
        <f>STATS1003B!T1494/1000</f>
        <v>0</v>
      </c>
      <c r="U1493" s="85">
        <f>STATS1003B!U1494/1000</f>
        <v>0</v>
      </c>
      <c r="V1493" s="85">
        <f>STATS1003B!V1494/1000</f>
        <v>424</v>
      </c>
      <c r="W1493" s="85">
        <f>STATS1003B!W1494/1000</f>
        <v>0</v>
      </c>
      <c r="X1493" s="85">
        <f t="shared" si="172"/>
        <v>424</v>
      </c>
      <c r="Y1493" s="85">
        <f>STATS1003B!Y1494/1000</f>
        <v>0</v>
      </c>
      <c r="Z1493" s="85">
        <f t="shared" si="169"/>
        <v>0</v>
      </c>
      <c r="AA1493" s="69">
        <f>STATS1003B!AA1494/1000</f>
        <v>424</v>
      </c>
      <c r="AB1493" s="69">
        <f>STATS1003B!AB1494/1000</f>
        <v>0</v>
      </c>
    </row>
    <row r="1494" spans="1:28" hidden="1" x14ac:dyDescent="0.3">
      <c r="A1494" s="117"/>
      <c r="C1494" s="68" t="s">
        <v>702</v>
      </c>
      <c r="E1494" s="85">
        <f>STATS1003B!E1495/1000</f>
        <v>300</v>
      </c>
      <c r="F1494" s="85">
        <f>STATS1003B!F1495/1000</f>
        <v>0</v>
      </c>
      <c r="G1494" s="85">
        <f>STATS1003B!G1495/1000</f>
        <v>0</v>
      </c>
      <c r="H1494" s="85">
        <f>STATS1003B!H1495/1000</f>
        <v>0</v>
      </c>
      <c r="I1494" s="85">
        <f>STATS1003B!I1495/1000</f>
        <v>0</v>
      </c>
      <c r="J1494" s="85">
        <f>STATS1003B!J1495/1000</f>
        <v>0</v>
      </c>
      <c r="K1494" s="85">
        <f>STATS1003B!K1495/1000</f>
        <v>300</v>
      </c>
      <c r="L1494" s="85">
        <f>STATS1003B!L1495/1000</f>
        <v>0</v>
      </c>
      <c r="M1494" s="85">
        <f>STATS1003B!M1495/1000</f>
        <v>0</v>
      </c>
      <c r="N1494" s="85">
        <f>STATS1003B!N1495/1000</f>
        <v>300</v>
      </c>
      <c r="O1494" s="85">
        <f>STATS1003B!O1495/1000</f>
        <v>0</v>
      </c>
      <c r="P1494" s="85">
        <f>STATS1003B!P1495/1000</f>
        <v>300</v>
      </c>
      <c r="Q1494" s="85">
        <f>STATS1003B!Q1495/1000</f>
        <v>0</v>
      </c>
      <c r="R1494" s="85">
        <f>STATS1003B!R1495/1000</f>
        <v>0</v>
      </c>
      <c r="S1494" s="85">
        <f>STATS1003B!S1495/1000</f>
        <v>0</v>
      </c>
      <c r="T1494" s="85">
        <f>STATS1003B!T1495/1000</f>
        <v>0</v>
      </c>
      <c r="U1494" s="85">
        <f>STATS1003B!U1495/1000</f>
        <v>300</v>
      </c>
      <c r="V1494" s="85">
        <f>STATS1003B!V1495/1000</f>
        <v>300</v>
      </c>
      <c r="W1494" s="85">
        <f>STATS1003B!W1495/1000</f>
        <v>0</v>
      </c>
      <c r="X1494" s="85">
        <f t="shared" si="172"/>
        <v>300</v>
      </c>
      <c r="Y1494" s="85">
        <f>STATS1003B!Y1495/1000</f>
        <v>0</v>
      </c>
      <c r="Z1494" s="85">
        <f t="shared" si="169"/>
        <v>0</v>
      </c>
      <c r="AA1494" s="69">
        <f>STATS1003B!AA1495/1000</f>
        <v>300</v>
      </c>
      <c r="AB1494" s="69">
        <f>STATS1003B!AB1495/1000</f>
        <v>0</v>
      </c>
    </row>
    <row r="1495" spans="1:28" hidden="1" x14ac:dyDescent="0.3">
      <c r="A1495" s="117"/>
      <c r="C1495" s="68" t="s">
        <v>678</v>
      </c>
      <c r="E1495" s="85">
        <f>STATS1003B!E1496/1000</f>
        <v>2500</v>
      </c>
      <c r="F1495" s="85">
        <f>STATS1003B!F1496/1000</f>
        <v>2500</v>
      </c>
      <c r="G1495" s="85">
        <f>STATS1003B!G1496/1000</f>
        <v>0</v>
      </c>
      <c r="H1495" s="85">
        <f>STATS1003B!H1496/1000</f>
        <v>2500</v>
      </c>
      <c r="I1495" s="85">
        <f>STATS1003B!I1496/1000</f>
        <v>0</v>
      </c>
      <c r="J1495" s="85">
        <f>STATS1003B!J1496/1000</f>
        <v>2500</v>
      </c>
      <c r="K1495" s="85">
        <f>STATS1003B!K1496/1000</f>
        <v>0</v>
      </c>
      <c r="L1495" s="85">
        <f>STATS1003B!L1496/1000</f>
        <v>0</v>
      </c>
      <c r="M1495" s="85">
        <f>STATS1003B!M1496/1000</f>
        <v>2500</v>
      </c>
      <c r="N1495" s="85">
        <f>STATS1003B!N1496/1000</f>
        <v>0</v>
      </c>
      <c r="O1495" s="85">
        <f>STATS1003B!O1496/1000</f>
        <v>0</v>
      </c>
      <c r="P1495" s="85">
        <f>STATS1003B!P1496/1000</f>
        <v>0</v>
      </c>
      <c r="Q1495" s="85">
        <f>STATS1003B!Q1496/1000</f>
        <v>2500</v>
      </c>
      <c r="R1495" s="85">
        <f>STATS1003B!R1496/1000</f>
        <v>0</v>
      </c>
      <c r="S1495" s="85">
        <f>STATS1003B!S1496/1000</f>
        <v>0</v>
      </c>
      <c r="T1495" s="85">
        <f>STATS1003B!T1496/1000</f>
        <v>0</v>
      </c>
      <c r="U1495" s="85">
        <f>STATS1003B!U1496/1000</f>
        <v>0</v>
      </c>
      <c r="V1495" s="85">
        <f>STATS1003B!V1496/1000</f>
        <v>2500</v>
      </c>
      <c r="W1495" s="85">
        <f>STATS1003B!W1496/1000</f>
        <v>0</v>
      </c>
      <c r="X1495" s="85">
        <f t="shared" si="172"/>
        <v>2500</v>
      </c>
      <c r="Y1495" s="85">
        <f>STATS1003B!Y1496/1000</f>
        <v>0</v>
      </c>
      <c r="Z1495" s="85">
        <f t="shared" si="169"/>
        <v>0</v>
      </c>
      <c r="AA1495" s="69">
        <f>STATS1003B!AA1496/1000</f>
        <v>2500</v>
      </c>
      <c r="AB1495" s="69">
        <f>STATS1003B!AB1496/1000</f>
        <v>0</v>
      </c>
    </row>
    <row r="1496" spans="1:28" hidden="1" x14ac:dyDescent="0.3">
      <c r="A1496" s="117"/>
      <c r="E1496" s="86" t="s">
        <v>29</v>
      </c>
      <c r="F1496" s="86" t="s">
        <v>29</v>
      </c>
      <c r="G1496" s="86" t="s">
        <v>29</v>
      </c>
      <c r="H1496" s="86" t="s">
        <v>29</v>
      </c>
      <c r="I1496" s="86" t="s">
        <v>29</v>
      </c>
      <c r="J1496" s="86" t="s">
        <v>29</v>
      </c>
      <c r="K1496" s="86" t="s">
        <v>29</v>
      </c>
      <c r="L1496" s="86" t="s">
        <v>29</v>
      </c>
      <c r="M1496" s="86" t="s">
        <v>29</v>
      </c>
      <c r="N1496" s="86" t="s">
        <v>29</v>
      </c>
      <c r="O1496" s="86" t="s">
        <v>29</v>
      </c>
      <c r="P1496" s="86" t="s">
        <v>29</v>
      </c>
      <c r="Q1496" s="86" t="s">
        <v>29</v>
      </c>
      <c r="R1496" s="86" t="s">
        <v>29</v>
      </c>
      <c r="S1496" s="86" t="s">
        <v>29</v>
      </c>
      <c r="T1496" s="86" t="s">
        <v>29</v>
      </c>
      <c r="U1496" s="86" t="s">
        <v>29</v>
      </c>
      <c r="V1496" s="86" t="s">
        <v>29</v>
      </c>
      <c r="W1496" s="86" t="s">
        <v>29</v>
      </c>
      <c r="X1496" s="85" t="e">
        <f t="shared" si="172"/>
        <v>#VALUE!</v>
      </c>
      <c r="Y1496" s="86" t="s">
        <v>29</v>
      </c>
      <c r="Z1496" s="85" t="e">
        <f t="shared" si="169"/>
        <v>#VALUE!</v>
      </c>
      <c r="AA1496" s="115" t="s">
        <v>29</v>
      </c>
      <c r="AB1496" s="115" t="s">
        <v>29</v>
      </c>
    </row>
    <row r="1497" spans="1:28" x14ac:dyDescent="0.3">
      <c r="A1497" s="116">
        <v>65</v>
      </c>
      <c r="B1497" s="68" t="s">
        <v>740</v>
      </c>
      <c r="E1497" s="85">
        <f>52586226.29/1000</f>
        <v>52586.226289999999</v>
      </c>
      <c r="F1497" s="85">
        <f t="shared" ref="F1497:Q1497" si="173">SUM(F1474:F1496)</f>
        <v>32492.13724</v>
      </c>
      <c r="G1497" s="85">
        <f>SUM(G1474:G1495)</f>
        <v>0</v>
      </c>
      <c r="H1497" s="85">
        <f>49352861.5/1000</f>
        <v>49352.861499999999</v>
      </c>
      <c r="I1497" s="85">
        <f t="shared" si="173"/>
        <v>0</v>
      </c>
      <c r="J1497" s="85">
        <f t="shared" si="173"/>
        <v>32492.13724</v>
      </c>
      <c r="K1497" s="85">
        <f t="shared" si="173"/>
        <v>3124.1613299999999</v>
      </c>
      <c r="L1497" s="85">
        <f t="shared" si="173"/>
        <v>0</v>
      </c>
      <c r="M1497" s="85">
        <f t="shared" si="173"/>
        <v>32492.13724</v>
      </c>
      <c r="N1497" s="85">
        <f t="shared" si="173"/>
        <v>3124.1613299999999</v>
      </c>
      <c r="O1497" s="85"/>
      <c r="P1497" s="85">
        <f>3124161/1000</f>
        <v>3124.1610000000001</v>
      </c>
      <c r="Q1497" s="85">
        <f t="shared" si="173"/>
        <v>32601.340700000001</v>
      </c>
      <c r="R1497" s="86"/>
      <c r="S1497" s="86"/>
      <c r="T1497" s="85">
        <f t="shared" ref="T1497:Y1497" si="174">SUM(T1474:T1496)</f>
        <v>0</v>
      </c>
      <c r="U1497" s="85">
        <f t="shared" si="174"/>
        <v>3124.1613299999999</v>
      </c>
      <c r="V1497" s="85">
        <f t="shared" si="174"/>
        <v>35616.298569999999</v>
      </c>
      <c r="W1497" s="85">
        <f t="shared" si="174"/>
        <v>109.20345999999996</v>
      </c>
      <c r="X1497" s="85">
        <f t="shared" si="172"/>
        <v>52477.022499999999</v>
      </c>
      <c r="Y1497" s="85">
        <f t="shared" si="174"/>
        <v>0</v>
      </c>
      <c r="Z1497" s="85">
        <f t="shared" si="169"/>
        <v>109.20378999999957</v>
      </c>
      <c r="AA1497" s="69">
        <f>SUM(AA1474:AA1496)</f>
        <v>35616.298569999999</v>
      </c>
      <c r="AB1497" s="69">
        <f>SUM(AB1474:AB1496)</f>
        <v>109.20345999999996</v>
      </c>
    </row>
    <row r="1498" spans="1:28" hidden="1" x14ac:dyDescent="0.3">
      <c r="A1498" s="117"/>
      <c r="E1498" s="86" t="s">
        <v>29</v>
      </c>
      <c r="F1498" s="86" t="s">
        <v>29</v>
      </c>
      <c r="G1498" s="86" t="s">
        <v>29</v>
      </c>
      <c r="H1498" s="86" t="s">
        <v>29</v>
      </c>
      <c r="I1498" s="86" t="s">
        <v>29</v>
      </c>
      <c r="J1498" s="86" t="s">
        <v>29</v>
      </c>
      <c r="K1498" s="86" t="s">
        <v>29</v>
      </c>
      <c r="L1498" s="86" t="s">
        <v>29</v>
      </c>
      <c r="M1498" s="86" t="s">
        <v>29</v>
      </c>
      <c r="N1498" s="86" t="s">
        <v>29</v>
      </c>
      <c r="O1498" s="86" t="s">
        <v>29</v>
      </c>
      <c r="P1498" s="86" t="s">
        <v>29</v>
      </c>
      <c r="Q1498" s="86" t="s">
        <v>29</v>
      </c>
      <c r="R1498" s="86" t="s">
        <v>29</v>
      </c>
      <c r="S1498" s="86" t="s">
        <v>29</v>
      </c>
      <c r="T1498" s="86" t="s">
        <v>29</v>
      </c>
      <c r="U1498" s="86" t="s">
        <v>29</v>
      </c>
      <c r="V1498" s="86" t="s">
        <v>29</v>
      </c>
      <c r="W1498" s="86" t="s">
        <v>29</v>
      </c>
      <c r="X1498" s="85" t="e">
        <f t="shared" si="172"/>
        <v>#VALUE!</v>
      </c>
      <c r="Y1498" s="86" t="s">
        <v>29</v>
      </c>
      <c r="Z1498" s="85" t="e">
        <f t="shared" si="169"/>
        <v>#VALUE!</v>
      </c>
      <c r="AA1498" s="115" t="s">
        <v>29</v>
      </c>
      <c r="AB1498" s="115" t="s">
        <v>29</v>
      </c>
    </row>
    <row r="1499" spans="1:28" hidden="1" x14ac:dyDescent="0.3">
      <c r="A1499" s="117"/>
      <c r="E1499" s="84"/>
      <c r="F1499" s="84"/>
      <c r="G1499" s="84"/>
      <c r="H1499" s="84"/>
      <c r="I1499" s="84"/>
      <c r="J1499" s="84"/>
      <c r="K1499" s="84"/>
      <c r="L1499" s="84"/>
      <c r="M1499" s="84"/>
      <c r="N1499" s="84"/>
      <c r="O1499" s="84"/>
      <c r="P1499" s="84"/>
      <c r="Q1499" s="84"/>
      <c r="R1499" s="86"/>
      <c r="S1499" s="86"/>
      <c r="T1499" s="86"/>
      <c r="U1499" s="86"/>
      <c r="V1499" s="86"/>
      <c r="W1499" s="86"/>
      <c r="X1499" s="85">
        <f t="shared" si="172"/>
        <v>0</v>
      </c>
      <c r="Y1499" s="86"/>
      <c r="Z1499" s="85">
        <f t="shared" si="169"/>
        <v>0</v>
      </c>
    </row>
    <row r="1500" spans="1:28" x14ac:dyDescent="0.3">
      <c r="A1500" s="117"/>
      <c r="C1500" s="68" t="s">
        <v>744</v>
      </c>
      <c r="D1500" s="145" t="s">
        <v>54</v>
      </c>
      <c r="E1500" s="85">
        <f>95000/1000</f>
        <v>95</v>
      </c>
      <c r="F1500" s="85">
        <f>STATS1003B!F1501/1000</f>
        <v>95</v>
      </c>
      <c r="G1500" s="85">
        <f>STATS1003B!G1501/1000</f>
        <v>0</v>
      </c>
      <c r="H1500" s="85">
        <f>STATS1003B!H1501/1000</f>
        <v>95</v>
      </c>
      <c r="I1500" s="85">
        <f>STATS1003B!I1501/1000</f>
        <v>0</v>
      </c>
      <c r="J1500" s="85">
        <f>STATS1003B!J1501/1000</f>
        <v>95</v>
      </c>
      <c r="K1500" s="85">
        <f>STATS1003B!K1501/1000</f>
        <v>0</v>
      </c>
      <c r="L1500" s="85">
        <f>STATS1003B!L1501/1000</f>
        <v>0</v>
      </c>
      <c r="M1500" s="85">
        <f>STATS1003B!M1501/1000</f>
        <v>95</v>
      </c>
      <c r="N1500" s="85">
        <f>STATS1003B!N1501/1000</f>
        <v>0</v>
      </c>
      <c r="O1500" s="85">
        <f>STATS1003B!O1501/1000</f>
        <v>0</v>
      </c>
      <c r="P1500" s="85">
        <f>STATS1003B!P1501/1000</f>
        <v>0</v>
      </c>
      <c r="Q1500" s="85">
        <f>STATS1003B!Q1501/1000</f>
        <v>95</v>
      </c>
      <c r="R1500" s="85">
        <f>STATS1003B!R1501/1000</f>
        <v>0</v>
      </c>
      <c r="S1500" s="85">
        <f>STATS1003B!S1501/1000</f>
        <v>0</v>
      </c>
      <c r="T1500" s="85">
        <f>STATS1003B!T1501/1000</f>
        <v>0</v>
      </c>
      <c r="U1500" s="85">
        <f>STATS1003B!U1501/1000</f>
        <v>0</v>
      </c>
      <c r="V1500" s="85">
        <f>STATS1003B!V1501/1000</f>
        <v>95</v>
      </c>
      <c r="W1500" s="85">
        <f>STATS1003B!W1501/1000</f>
        <v>0</v>
      </c>
      <c r="X1500" s="85">
        <f t="shared" si="172"/>
        <v>95</v>
      </c>
      <c r="Y1500" s="85">
        <f>STATS1003B!Y1501/1000</f>
        <v>0</v>
      </c>
      <c r="Z1500" s="85">
        <f t="shared" ref="Z1500:Z1539" si="175">+E1500-X1500</f>
        <v>0</v>
      </c>
      <c r="AA1500" s="69">
        <f>STATS1003B!AA1501/1000</f>
        <v>95</v>
      </c>
      <c r="AB1500" s="69">
        <f>STATS1003B!AB1501/1000</f>
        <v>0</v>
      </c>
    </row>
    <row r="1501" spans="1:28" hidden="1" x14ac:dyDescent="0.3">
      <c r="A1501" s="117"/>
      <c r="E1501" s="86" t="s">
        <v>29</v>
      </c>
      <c r="F1501" s="86" t="s">
        <v>29</v>
      </c>
      <c r="G1501" s="86" t="s">
        <v>29</v>
      </c>
      <c r="H1501" s="86" t="s">
        <v>29</v>
      </c>
      <c r="I1501" s="86" t="s">
        <v>29</v>
      </c>
      <c r="J1501" s="86" t="s">
        <v>29</v>
      </c>
      <c r="K1501" s="86" t="s">
        <v>29</v>
      </c>
      <c r="L1501" s="86" t="s">
        <v>29</v>
      </c>
      <c r="M1501" s="86" t="s">
        <v>29</v>
      </c>
      <c r="N1501" s="86" t="s">
        <v>29</v>
      </c>
      <c r="O1501" s="86" t="s">
        <v>29</v>
      </c>
      <c r="P1501" s="86" t="s">
        <v>29</v>
      </c>
      <c r="Q1501" s="86" t="s">
        <v>29</v>
      </c>
      <c r="R1501" s="86" t="s">
        <v>29</v>
      </c>
      <c r="S1501" s="86" t="s">
        <v>29</v>
      </c>
      <c r="T1501" s="86" t="s">
        <v>29</v>
      </c>
      <c r="U1501" s="86" t="s">
        <v>29</v>
      </c>
      <c r="V1501" s="86" t="s">
        <v>29</v>
      </c>
      <c r="W1501" s="86" t="s">
        <v>29</v>
      </c>
      <c r="X1501" s="85" t="e">
        <f t="shared" si="172"/>
        <v>#VALUE!</v>
      </c>
      <c r="Y1501" s="86" t="s">
        <v>29</v>
      </c>
      <c r="Z1501" s="85" t="e">
        <f t="shared" si="175"/>
        <v>#VALUE!</v>
      </c>
      <c r="AA1501" s="115" t="s">
        <v>29</v>
      </c>
      <c r="AB1501" s="115" t="s">
        <v>29</v>
      </c>
    </row>
    <row r="1502" spans="1:28" hidden="1" x14ac:dyDescent="0.3">
      <c r="A1502" s="117"/>
      <c r="E1502" s="84"/>
      <c r="F1502" s="84"/>
      <c r="G1502" s="84"/>
      <c r="H1502" s="84"/>
      <c r="I1502" s="84"/>
      <c r="J1502" s="84"/>
      <c r="K1502" s="84"/>
      <c r="L1502" s="84"/>
      <c r="M1502" s="84"/>
      <c r="N1502" s="84"/>
      <c r="O1502" s="84"/>
      <c r="P1502" s="84"/>
      <c r="Q1502" s="84"/>
      <c r="R1502" s="86"/>
      <c r="S1502" s="86"/>
      <c r="T1502" s="86"/>
      <c r="U1502" s="86"/>
      <c r="V1502" s="86"/>
      <c r="W1502" s="86"/>
      <c r="X1502" s="85">
        <f t="shared" si="172"/>
        <v>0</v>
      </c>
      <c r="Y1502" s="86"/>
      <c r="Z1502" s="85">
        <f t="shared" si="175"/>
        <v>0</v>
      </c>
    </row>
    <row r="1503" spans="1:28" x14ac:dyDescent="0.3">
      <c r="A1503" s="117"/>
      <c r="C1503" s="68" t="s">
        <v>746</v>
      </c>
      <c r="D1503" s="145" t="s">
        <v>54</v>
      </c>
      <c r="E1503" s="85">
        <f>285000/1000</f>
        <v>285</v>
      </c>
      <c r="F1503" s="85">
        <f>STATS1003B!F1504/1000</f>
        <v>285</v>
      </c>
      <c r="G1503" s="85">
        <f>STATS1003B!G1504/1000</f>
        <v>0</v>
      </c>
      <c r="H1503" s="85">
        <f>STATS1003B!H1504/1000</f>
        <v>285</v>
      </c>
      <c r="I1503" s="85">
        <f>STATS1003B!I1504/1000</f>
        <v>0</v>
      </c>
      <c r="J1503" s="85">
        <f>STATS1003B!J1504/1000</f>
        <v>285</v>
      </c>
      <c r="K1503" s="85">
        <f>STATS1003B!K1504/1000</f>
        <v>0</v>
      </c>
      <c r="L1503" s="85">
        <f>STATS1003B!L1504/1000</f>
        <v>0</v>
      </c>
      <c r="M1503" s="85">
        <f>STATS1003B!M1504/1000</f>
        <v>285</v>
      </c>
      <c r="N1503" s="85">
        <f>STATS1003B!N1504/1000</f>
        <v>0</v>
      </c>
      <c r="O1503" s="85">
        <f>STATS1003B!O1504/1000</f>
        <v>0</v>
      </c>
      <c r="P1503" s="85">
        <f>STATS1003B!P1504/1000</f>
        <v>0</v>
      </c>
      <c r="Q1503" s="85">
        <f>STATS1003B!Q1504/1000</f>
        <v>285</v>
      </c>
      <c r="R1503" s="85">
        <f>STATS1003B!R1504/1000</f>
        <v>0</v>
      </c>
      <c r="S1503" s="85">
        <f>STATS1003B!S1504/1000</f>
        <v>0</v>
      </c>
      <c r="T1503" s="85">
        <f>STATS1003B!T1504/1000</f>
        <v>0</v>
      </c>
      <c r="U1503" s="85">
        <f>STATS1003B!U1504/1000</f>
        <v>0</v>
      </c>
      <c r="V1503" s="85">
        <f>STATS1003B!V1504/1000</f>
        <v>285</v>
      </c>
      <c r="W1503" s="85">
        <f>STATS1003B!W1504/1000</f>
        <v>0</v>
      </c>
      <c r="X1503" s="85">
        <f t="shared" si="172"/>
        <v>285</v>
      </c>
      <c r="Y1503" s="85">
        <f>STATS1003B!Y1504/1000</f>
        <v>0</v>
      </c>
      <c r="Z1503" s="85">
        <f t="shared" si="175"/>
        <v>0</v>
      </c>
      <c r="AA1503" s="69">
        <f>STATS1003B!AA1504/1000</f>
        <v>285</v>
      </c>
      <c r="AB1503" s="69">
        <f>STATS1003B!AB1504/1000</f>
        <v>0</v>
      </c>
    </row>
    <row r="1504" spans="1:28" hidden="1" x14ac:dyDescent="0.3">
      <c r="A1504" s="117"/>
      <c r="E1504" s="86" t="s">
        <v>29</v>
      </c>
      <c r="F1504" s="86" t="s">
        <v>29</v>
      </c>
      <c r="G1504" s="86" t="s">
        <v>29</v>
      </c>
      <c r="H1504" s="86" t="s">
        <v>29</v>
      </c>
      <c r="I1504" s="86" t="s">
        <v>29</v>
      </c>
      <c r="J1504" s="86" t="s">
        <v>29</v>
      </c>
      <c r="K1504" s="86" t="s">
        <v>29</v>
      </c>
      <c r="L1504" s="86" t="s">
        <v>29</v>
      </c>
      <c r="M1504" s="86" t="s">
        <v>29</v>
      </c>
      <c r="N1504" s="86" t="s">
        <v>29</v>
      </c>
      <c r="O1504" s="86" t="s">
        <v>29</v>
      </c>
      <c r="P1504" s="86" t="s">
        <v>29</v>
      </c>
      <c r="Q1504" s="86" t="s">
        <v>29</v>
      </c>
      <c r="R1504" s="86" t="s">
        <v>29</v>
      </c>
      <c r="S1504" s="86" t="s">
        <v>29</v>
      </c>
      <c r="T1504" s="86" t="s">
        <v>29</v>
      </c>
      <c r="U1504" s="86" t="s">
        <v>29</v>
      </c>
      <c r="V1504" s="86" t="s">
        <v>29</v>
      </c>
      <c r="W1504" s="86" t="s">
        <v>29</v>
      </c>
      <c r="X1504" s="85" t="e">
        <f t="shared" si="172"/>
        <v>#VALUE!</v>
      </c>
      <c r="Y1504" s="86" t="s">
        <v>29</v>
      </c>
      <c r="Z1504" s="85" t="e">
        <f t="shared" si="175"/>
        <v>#VALUE!</v>
      </c>
      <c r="AA1504" s="115" t="s">
        <v>29</v>
      </c>
      <c r="AB1504" s="115" t="s">
        <v>29</v>
      </c>
    </row>
    <row r="1505" spans="1:28" hidden="1" x14ac:dyDescent="0.3">
      <c r="A1505" s="117"/>
      <c r="E1505" s="84"/>
      <c r="F1505" s="84"/>
      <c r="G1505" s="84"/>
      <c r="H1505" s="84"/>
      <c r="I1505" s="84"/>
      <c r="J1505" s="84"/>
      <c r="K1505" s="84"/>
      <c r="L1505" s="84"/>
      <c r="M1505" s="84"/>
      <c r="N1505" s="84"/>
      <c r="O1505" s="84"/>
      <c r="P1505" s="84"/>
      <c r="Q1505" s="84"/>
      <c r="R1505" s="86"/>
      <c r="S1505" s="86"/>
      <c r="T1505" s="86"/>
      <c r="U1505" s="86"/>
      <c r="V1505" s="86"/>
      <c r="W1505" s="86"/>
      <c r="X1505" s="85">
        <f t="shared" si="172"/>
        <v>0</v>
      </c>
      <c r="Y1505" s="86"/>
      <c r="Z1505" s="85">
        <f t="shared" si="175"/>
        <v>0</v>
      </c>
    </row>
    <row r="1506" spans="1:28" x14ac:dyDescent="0.3">
      <c r="A1506" s="117"/>
      <c r="C1506" s="68" t="s">
        <v>747</v>
      </c>
      <c r="D1506" s="145" t="s">
        <v>54</v>
      </c>
      <c r="E1506" s="85">
        <f>237500/1000</f>
        <v>237.5</v>
      </c>
      <c r="F1506" s="85">
        <f>STATS1003B!F1507/1000</f>
        <v>237.5</v>
      </c>
      <c r="G1506" s="85">
        <f>STATS1003B!G1507/1000</f>
        <v>0</v>
      </c>
      <c r="H1506" s="85">
        <f>STATS1003B!H1507/1000</f>
        <v>237.5</v>
      </c>
      <c r="I1506" s="85">
        <f>STATS1003B!I1507/1000</f>
        <v>0</v>
      </c>
      <c r="J1506" s="85">
        <f>STATS1003B!J1507/1000</f>
        <v>237.5</v>
      </c>
      <c r="K1506" s="85">
        <f>STATS1003B!K1507/1000</f>
        <v>0</v>
      </c>
      <c r="L1506" s="85">
        <f>STATS1003B!L1507/1000</f>
        <v>0</v>
      </c>
      <c r="M1506" s="85">
        <f>STATS1003B!M1507/1000</f>
        <v>237.5</v>
      </c>
      <c r="N1506" s="85">
        <f>STATS1003B!N1507/1000</f>
        <v>0</v>
      </c>
      <c r="O1506" s="85">
        <f>STATS1003B!O1507/1000</f>
        <v>0</v>
      </c>
      <c r="P1506" s="85">
        <f>STATS1003B!P1507/1000</f>
        <v>0</v>
      </c>
      <c r="Q1506" s="85">
        <f>STATS1003B!Q1507/1000</f>
        <v>237.5</v>
      </c>
      <c r="R1506" s="85">
        <f>STATS1003B!R1507/1000</f>
        <v>0</v>
      </c>
      <c r="S1506" s="85">
        <f>STATS1003B!S1507/1000</f>
        <v>0</v>
      </c>
      <c r="T1506" s="85">
        <f>STATS1003B!T1507/1000</f>
        <v>0</v>
      </c>
      <c r="U1506" s="85">
        <f>STATS1003B!U1507/1000</f>
        <v>0</v>
      </c>
      <c r="V1506" s="85">
        <f>STATS1003B!V1507/1000</f>
        <v>237.5</v>
      </c>
      <c r="W1506" s="85">
        <f>STATS1003B!W1507/1000</f>
        <v>0</v>
      </c>
      <c r="X1506" s="85">
        <f t="shared" si="172"/>
        <v>237.5</v>
      </c>
      <c r="Y1506" s="85">
        <f>STATS1003B!Y1507/1000</f>
        <v>0</v>
      </c>
      <c r="Z1506" s="85">
        <f t="shared" si="175"/>
        <v>0</v>
      </c>
      <c r="AA1506" s="69">
        <f>STATS1003B!AA1507/1000</f>
        <v>237.5</v>
      </c>
      <c r="AB1506" s="69">
        <f>STATS1003B!AB1507/1000</f>
        <v>0</v>
      </c>
    </row>
    <row r="1507" spans="1:28" hidden="1" x14ac:dyDescent="0.3">
      <c r="A1507" s="117"/>
      <c r="E1507" s="86" t="s">
        <v>29</v>
      </c>
      <c r="F1507" s="86" t="s">
        <v>29</v>
      </c>
      <c r="G1507" s="86" t="s">
        <v>29</v>
      </c>
      <c r="H1507" s="86" t="s">
        <v>29</v>
      </c>
      <c r="I1507" s="86" t="s">
        <v>29</v>
      </c>
      <c r="J1507" s="86" t="s">
        <v>29</v>
      </c>
      <c r="K1507" s="86" t="s">
        <v>29</v>
      </c>
      <c r="L1507" s="86" t="s">
        <v>29</v>
      </c>
      <c r="M1507" s="86" t="s">
        <v>29</v>
      </c>
      <c r="N1507" s="86" t="s">
        <v>29</v>
      </c>
      <c r="O1507" s="86" t="s">
        <v>29</v>
      </c>
      <c r="P1507" s="86" t="s">
        <v>29</v>
      </c>
      <c r="Q1507" s="86" t="s">
        <v>29</v>
      </c>
      <c r="R1507" s="86" t="s">
        <v>29</v>
      </c>
      <c r="S1507" s="86" t="s">
        <v>29</v>
      </c>
      <c r="T1507" s="86" t="s">
        <v>29</v>
      </c>
      <c r="U1507" s="86" t="s">
        <v>29</v>
      </c>
      <c r="V1507" s="86" t="s">
        <v>29</v>
      </c>
      <c r="W1507" s="86" t="s">
        <v>29</v>
      </c>
      <c r="X1507" s="85" t="e">
        <f t="shared" si="172"/>
        <v>#VALUE!</v>
      </c>
      <c r="Y1507" s="86" t="s">
        <v>29</v>
      </c>
      <c r="Z1507" s="85" t="e">
        <f t="shared" si="175"/>
        <v>#VALUE!</v>
      </c>
      <c r="AA1507" s="115" t="s">
        <v>29</v>
      </c>
      <c r="AB1507" s="115" t="s">
        <v>29</v>
      </c>
    </row>
    <row r="1508" spans="1:28" hidden="1" x14ac:dyDescent="0.3">
      <c r="A1508" s="117"/>
      <c r="E1508" s="84"/>
      <c r="F1508" s="84"/>
      <c r="G1508" s="84"/>
      <c r="H1508" s="84"/>
      <c r="I1508" s="84"/>
      <c r="J1508" s="84"/>
      <c r="K1508" s="84"/>
      <c r="L1508" s="84"/>
      <c r="M1508" s="84"/>
      <c r="N1508" s="84"/>
      <c r="O1508" s="84"/>
      <c r="P1508" s="84"/>
      <c r="Q1508" s="84"/>
      <c r="R1508" s="86"/>
      <c r="S1508" s="86"/>
      <c r="T1508" s="86"/>
      <c r="U1508" s="86"/>
      <c r="V1508" s="86"/>
      <c r="W1508" s="86"/>
      <c r="X1508" s="85">
        <f t="shared" si="172"/>
        <v>0</v>
      </c>
      <c r="Y1508" s="86"/>
      <c r="Z1508" s="85">
        <f t="shared" si="175"/>
        <v>0</v>
      </c>
    </row>
    <row r="1509" spans="1:28" x14ac:dyDescent="0.3">
      <c r="A1509" s="117"/>
      <c r="C1509" s="68" t="s">
        <v>748</v>
      </c>
      <c r="D1509" s="145" t="s">
        <v>54</v>
      </c>
      <c r="E1509" s="85">
        <f>285000/1000</f>
        <v>285</v>
      </c>
      <c r="F1509" s="85">
        <f>STATS1003B!F1510/1000</f>
        <v>285</v>
      </c>
      <c r="G1509" s="85">
        <f>STATS1003B!G1510/1000</f>
        <v>0</v>
      </c>
      <c r="H1509" s="85">
        <f>STATS1003B!H1510/1000</f>
        <v>285</v>
      </c>
      <c r="I1509" s="85">
        <f>STATS1003B!I1510/1000</f>
        <v>0</v>
      </c>
      <c r="J1509" s="85">
        <f>STATS1003B!J1510/1000</f>
        <v>285</v>
      </c>
      <c r="K1509" s="85">
        <f>STATS1003B!K1510/1000</f>
        <v>0</v>
      </c>
      <c r="L1509" s="85">
        <f>STATS1003B!L1510/1000</f>
        <v>0</v>
      </c>
      <c r="M1509" s="85">
        <f>STATS1003B!M1510/1000</f>
        <v>285</v>
      </c>
      <c r="N1509" s="85">
        <f>STATS1003B!N1510/1000</f>
        <v>0</v>
      </c>
      <c r="O1509" s="85">
        <f>STATS1003B!O1510/1000</f>
        <v>0</v>
      </c>
      <c r="P1509" s="85">
        <f>STATS1003B!P1510/1000</f>
        <v>0</v>
      </c>
      <c r="Q1509" s="85">
        <f>STATS1003B!Q1510/1000</f>
        <v>285</v>
      </c>
      <c r="R1509" s="85">
        <f>STATS1003B!R1510/1000</f>
        <v>0</v>
      </c>
      <c r="S1509" s="85">
        <f>STATS1003B!S1510/1000</f>
        <v>0</v>
      </c>
      <c r="T1509" s="85">
        <f>STATS1003B!T1510/1000</f>
        <v>0</v>
      </c>
      <c r="U1509" s="85">
        <f>STATS1003B!U1510/1000</f>
        <v>0</v>
      </c>
      <c r="V1509" s="85">
        <f>STATS1003B!V1510/1000</f>
        <v>285</v>
      </c>
      <c r="W1509" s="85">
        <f>STATS1003B!W1510/1000</f>
        <v>0</v>
      </c>
      <c r="X1509" s="85">
        <f t="shared" si="172"/>
        <v>285</v>
      </c>
      <c r="Y1509" s="85">
        <f>STATS1003B!Y1510/1000</f>
        <v>0</v>
      </c>
      <c r="Z1509" s="85">
        <f t="shared" si="175"/>
        <v>0</v>
      </c>
      <c r="AA1509" s="69">
        <f>STATS1003B!AA1510/1000</f>
        <v>285</v>
      </c>
      <c r="AB1509" s="69">
        <f>STATS1003B!AB1510/1000</f>
        <v>0</v>
      </c>
    </row>
    <row r="1510" spans="1:28" hidden="1" x14ac:dyDescent="0.3">
      <c r="A1510" s="117"/>
      <c r="E1510" s="86" t="s">
        <v>29</v>
      </c>
      <c r="F1510" s="86" t="s">
        <v>29</v>
      </c>
      <c r="G1510" s="86" t="s">
        <v>29</v>
      </c>
      <c r="H1510" s="86" t="s">
        <v>29</v>
      </c>
      <c r="I1510" s="86" t="s">
        <v>29</v>
      </c>
      <c r="J1510" s="86" t="s">
        <v>29</v>
      </c>
      <c r="K1510" s="86" t="s">
        <v>29</v>
      </c>
      <c r="L1510" s="86" t="s">
        <v>29</v>
      </c>
      <c r="M1510" s="86" t="s">
        <v>29</v>
      </c>
      <c r="N1510" s="86" t="s">
        <v>29</v>
      </c>
      <c r="O1510" s="86" t="s">
        <v>29</v>
      </c>
      <c r="P1510" s="86" t="s">
        <v>29</v>
      </c>
      <c r="Q1510" s="86" t="s">
        <v>29</v>
      </c>
      <c r="R1510" s="86" t="s">
        <v>29</v>
      </c>
      <c r="S1510" s="86" t="s">
        <v>29</v>
      </c>
      <c r="T1510" s="86" t="s">
        <v>29</v>
      </c>
      <c r="U1510" s="86" t="s">
        <v>29</v>
      </c>
      <c r="V1510" s="86" t="s">
        <v>29</v>
      </c>
      <c r="W1510" s="86" t="s">
        <v>29</v>
      </c>
      <c r="X1510" s="85" t="e">
        <f t="shared" si="172"/>
        <v>#VALUE!</v>
      </c>
      <c r="Y1510" s="86" t="s">
        <v>29</v>
      </c>
      <c r="Z1510" s="85" t="e">
        <f t="shared" si="175"/>
        <v>#VALUE!</v>
      </c>
      <c r="AA1510" s="115" t="s">
        <v>29</v>
      </c>
      <c r="AB1510" s="115" t="s">
        <v>29</v>
      </c>
    </row>
    <row r="1511" spans="1:28" hidden="1" x14ac:dyDescent="0.3">
      <c r="A1511" s="117"/>
      <c r="E1511" s="84"/>
      <c r="F1511" s="84"/>
      <c r="G1511" s="84"/>
      <c r="H1511" s="84"/>
      <c r="I1511" s="84"/>
      <c r="J1511" s="84"/>
      <c r="K1511" s="84"/>
      <c r="L1511" s="84"/>
      <c r="M1511" s="84"/>
      <c r="N1511" s="84"/>
      <c r="O1511" s="84"/>
      <c r="P1511" s="84"/>
      <c r="Q1511" s="84"/>
      <c r="R1511" s="86"/>
      <c r="S1511" s="86"/>
      <c r="T1511" s="86"/>
      <c r="U1511" s="86"/>
      <c r="V1511" s="86"/>
      <c r="W1511" s="86"/>
      <c r="X1511" s="85">
        <f t="shared" si="172"/>
        <v>0</v>
      </c>
      <c r="Y1511" s="86"/>
      <c r="Z1511" s="85">
        <f t="shared" si="175"/>
        <v>0</v>
      </c>
    </row>
    <row r="1512" spans="1:28" x14ac:dyDescent="0.3">
      <c r="A1512" s="117"/>
      <c r="C1512" s="68" t="s">
        <v>749</v>
      </c>
      <c r="D1512" s="145" t="s">
        <v>54</v>
      </c>
      <c r="E1512" s="85">
        <f>475000/1000</f>
        <v>475</v>
      </c>
      <c r="F1512" s="85">
        <f>STATS1003B!F1513/1000</f>
        <v>475</v>
      </c>
      <c r="G1512" s="85">
        <f>STATS1003B!G1513/1000</f>
        <v>0</v>
      </c>
      <c r="H1512" s="85">
        <f>STATS1003B!H1513/1000</f>
        <v>475</v>
      </c>
      <c r="I1512" s="85">
        <f>STATS1003B!I1513/1000</f>
        <v>0</v>
      </c>
      <c r="J1512" s="85">
        <f>STATS1003B!J1513/1000</f>
        <v>475</v>
      </c>
      <c r="K1512" s="85">
        <f>STATS1003B!K1513/1000</f>
        <v>0</v>
      </c>
      <c r="L1512" s="85">
        <f>STATS1003B!L1513/1000</f>
        <v>0</v>
      </c>
      <c r="M1512" s="85">
        <f>STATS1003B!M1513/1000</f>
        <v>475</v>
      </c>
      <c r="N1512" s="85">
        <f>STATS1003B!N1513/1000</f>
        <v>0</v>
      </c>
      <c r="O1512" s="85">
        <f>STATS1003B!O1513/1000</f>
        <v>0</v>
      </c>
      <c r="P1512" s="85">
        <f>STATS1003B!P1513/1000</f>
        <v>0</v>
      </c>
      <c r="Q1512" s="85">
        <f>STATS1003B!Q1513/1000</f>
        <v>475</v>
      </c>
      <c r="R1512" s="85">
        <f>STATS1003B!R1513/1000</f>
        <v>0</v>
      </c>
      <c r="S1512" s="85">
        <f>STATS1003B!S1513/1000</f>
        <v>0</v>
      </c>
      <c r="T1512" s="85">
        <f>STATS1003B!T1513/1000</f>
        <v>0</v>
      </c>
      <c r="U1512" s="85">
        <f>STATS1003B!U1513/1000</f>
        <v>0</v>
      </c>
      <c r="V1512" s="85">
        <f>STATS1003B!V1513/1000</f>
        <v>475</v>
      </c>
      <c r="W1512" s="85">
        <f>STATS1003B!W1513/1000</f>
        <v>0</v>
      </c>
      <c r="X1512" s="85">
        <f t="shared" si="172"/>
        <v>475</v>
      </c>
      <c r="Y1512" s="85">
        <f>STATS1003B!Y1513/1000</f>
        <v>0</v>
      </c>
      <c r="Z1512" s="85">
        <f t="shared" si="175"/>
        <v>0</v>
      </c>
      <c r="AA1512" s="69">
        <f>STATS1003B!AA1513/1000</f>
        <v>475</v>
      </c>
      <c r="AB1512" s="69">
        <f>STATS1003B!AB1513/1000</f>
        <v>0</v>
      </c>
    </row>
    <row r="1513" spans="1:28" hidden="1" x14ac:dyDescent="0.3">
      <c r="A1513" s="117"/>
      <c r="E1513" s="86" t="s">
        <v>29</v>
      </c>
      <c r="F1513" s="86" t="s">
        <v>29</v>
      </c>
      <c r="G1513" s="86" t="s">
        <v>29</v>
      </c>
      <c r="H1513" s="86" t="s">
        <v>29</v>
      </c>
      <c r="I1513" s="86" t="s">
        <v>29</v>
      </c>
      <c r="J1513" s="86" t="s">
        <v>29</v>
      </c>
      <c r="K1513" s="86" t="s">
        <v>29</v>
      </c>
      <c r="L1513" s="86" t="s">
        <v>29</v>
      </c>
      <c r="M1513" s="86" t="s">
        <v>29</v>
      </c>
      <c r="N1513" s="86" t="s">
        <v>29</v>
      </c>
      <c r="O1513" s="86" t="s">
        <v>29</v>
      </c>
      <c r="P1513" s="86" t="s">
        <v>29</v>
      </c>
      <c r="Q1513" s="86" t="s">
        <v>29</v>
      </c>
      <c r="R1513" s="86" t="s">
        <v>29</v>
      </c>
      <c r="S1513" s="86" t="s">
        <v>29</v>
      </c>
      <c r="T1513" s="86" t="s">
        <v>29</v>
      </c>
      <c r="U1513" s="86" t="s">
        <v>29</v>
      </c>
      <c r="V1513" s="86" t="s">
        <v>29</v>
      </c>
      <c r="W1513" s="86" t="s">
        <v>29</v>
      </c>
      <c r="X1513" s="85" t="e">
        <f t="shared" si="172"/>
        <v>#VALUE!</v>
      </c>
      <c r="Y1513" s="86" t="s">
        <v>29</v>
      </c>
      <c r="Z1513" s="85" t="e">
        <f t="shared" si="175"/>
        <v>#VALUE!</v>
      </c>
      <c r="AA1513" s="115" t="s">
        <v>29</v>
      </c>
      <c r="AB1513" s="115" t="s">
        <v>29</v>
      </c>
    </row>
    <row r="1514" spans="1:28" hidden="1" x14ac:dyDescent="0.3">
      <c r="A1514" s="117"/>
      <c r="E1514" s="84"/>
      <c r="F1514" s="84"/>
      <c r="G1514" s="84"/>
      <c r="H1514" s="84"/>
      <c r="I1514" s="84"/>
      <c r="J1514" s="84"/>
      <c r="K1514" s="84"/>
      <c r="L1514" s="84"/>
      <c r="M1514" s="84"/>
      <c r="N1514" s="84"/>
      <c r="O1514" s="84"/>
      <c r="P1514" s="84"/>
      <c r="Q1514" s="84"/>
      <c r="R1514" s="86"/>
      <c r="S1514" s="86"/>
      <c r="T1514" s="86"/>
      <c r="U1514" s="86"/>
      <c r="V1514" s="86"/>
      <c r="W1514" s="86"/>
      <c r="X1514" s="85">
        <f t="shared" si="172"/>
        <v>0</v>
      </c>
      <c r="Y1514" s="86"/>
      <c r="Z1514" s="85">
        <f t="shared" si="175"/>
        <v>0</v>
      </c>
    </row>
    <row r="1515" spans="1:28" x14ac:dyDescent="0.3">
      <c r="A1515" s="117"/>
      <c r="C1515" s="68" t="s">
        <v>750</v>
      </c>
      <c r="D1515" s="145" t="s">
        <v>54</v>
      </c>
      <c r="E1515" s="85">
        <f>190000/1000</f>
        <v>190</v>
      </c>
      <c r="F1515" s="85">
        <f>STATS1003B!F1516/1000</f>
        <v>190</v>
      </c>
      <c r="G1515" s="85">
        <f>STATS1003B!G1516/1000</f>
        <v>0</v>
      </c>
      <c r="H1515" s="85">
        <f>STATS1003B!H1516/1000</f>
        <v>190</v>
      </c>
      <c r="I1515" s="85">
        <f>STATS1003B!I1516/1000</f>
        <v>0</v>
      </c>
      <c r="J1515" s="85">
        <f>STATS1003B!J1516/1000</f>
        <v>190</v>
      </c>
      <c r="K1515" s="85">
        <f>STATS1003B!K1516/1000</f>
        <v>0</v>
      </c>
      <c r="L1515" s="85">
        <f>STATS1003B!L1516/1000</f>
        <v>0</v>
      </c>
      <c r="M1515" s="85">
        <f>STATS1003B!M1516/1000</f>
        <v>190</v>
      </c>
      <c r="N1515" s="85">
        <f>STATS1003B!N1516/1000</f>
        <v>0</v>
      </c>
      <c r="O1515" s="85">
        <f>STATS1003B!O1516/1000</f>
        <v>0</v>
      </c>
      <c r="P1515" s="85">
        <f>STATS1003B!P1516/1000</f>
        <v>0</v>
      </c>
      <c r="Q1515" s="85">
        <f>STATS1003B!Q1516/1000</f>
        <v>190</v>
      </c>
      <c r="R1515" s="85">
        <f>STATS1003B!R1516/1000</f>
        <v>0</v>
      </c>
      <c r="S1515" s="85">
        <f>STATS1003B!S1516/1000</f>
        <v>0</v>
      </c>
      <c r="T1515" s="85">
        <f>STATS1003B!T1516/1000</f>
        <v>0</v>
      </c>
      <c r="U1515" s="85">
        <f>STATS1003B!U1516/1000</f>
        <v>0</v>
      </c>
      <c r="V1515" s="85">
        <f>STATS1003B!V1516/1000</f>
        <v>190</v>
      </c>
      <c r="W1515" s="85">
        <f>STATS1003B!W1516/1000</f>
        <v>0</v>
      </c>
      <c r="X1515" s="85">
        <f t="shared" si="172"/>
        <v>190</v>
      </c>
      <c r="Y1515" s="85">
        <f>STATS1003B!Y1516/1000</f>
        <v>0</v>
      </c>
      <c r="Z1515" s="85">
        <f t="shared" si="175"/>
        <v>0</v>
      </c>
      <c r="AA1515" s="69">
        <f>STATS1003B!AA1516/1000</f>
        <v>190</v>
      </c>
      <c r="AB1515" s="69">
        <f>STATS1003B!AB1516/1000</f>
        <v>0</v>
      </c>
    </row>
    <row r="1516" spans="1:28" hidden="1" x14ac:dyDescent="0.3">
      <c r="A1516" s="117"/>
      <c r="E1516" s="86" t="s">
        <v>29</v>
      </c>
      <c r="F1516" s="86" t="s">
        <v>29</v>
      </c>
      <c r="G1516" s="86" t="s">
        <v>29</v>
      </c>
      <c r="H1516" s="86" t="s">
        <v>29</v>
      </c>
      <c r="I1516" s="86" t="s">
        <v>29</v>
      </c>
      <c r="J1516" s="86" t="s">
        <v>29</v>
      </c>
      <c r="K1516" s="86" t="s">
        <v>29</v>
      </c>
      <c r="L1516" s="86" t="s">
        <v>29</v>
      </c>
      <c r="M1516" s="86" t="s">
        <v>29</v>
      </c>
      <c r="N1516" s="86" t="s">
        <v>29</v>
      </c>
      <c r="O1516" s="86" t="s">
        <v>29</v>
      </c>
      <c r="P1516" s="86" t="s">
        <v>29</v>
      </c>
      <c r="Q1516" s="86" t="s">
        <v>29</v>
      </c>
      <c r="R1516" s="86" t="s">
        <v>29</v>
      </c>
      <c r="S1516" s="86" t="s">
        <v>29</v>
      </c>
      <c r="T1516" s="86" t="s">
        <v>29</v>
      </c>
      <c r="U1516" s="86" t="s">
        <v>29</v>
      </c>
      <c r="V1516" s="86" t="s">
        <v>29</v>
      </c>
      <c r="W1516" s="86" t="s">
        <v>29</v>
      </c>
      <c r="X1516" s="85" t="e">
        <f t="shared" si="172"/>
        <v>#VALUE!</v>
      </c>
      <c r="Y1516" s="86" t="s">
        <v>29</v>
      </c>
      <c r="Z1516" s="85" t="e">
        <f t="shared" si="175"/>
        <v>#VALUE!</v>
      </c>
      <c r="AA1516" s="115" t="s">
        <v>29</v>
      </c>
      <c r="AB1516" s="115" t="s">
        <v>29</v>
      </c>
    </row>
    <row r="1517" spans="1:28" hidden="1" x14ac:dyDescent="0.3">
      <c r="A1517" s="117"/>
      <c r="E1517" s="84"/>
      <c r="F1517" s="84"/>
      <c r="G1517" s="84"/>
      <c r="H1517" s="84"/>
      <c r="I1517" s="84"/>
      <c r="J1517" s="84"/>
      <c r="K1517" s="84"/>
      <c r="L1517" s="84"/>
      <c r="M1517" s="84"/>
      <c r="N1517" s="84"/>
      <c r="O1517" s="84"/>
      <c r="P1517" s="84"/>
      <c r="Q1517" s="84"/>
      <c r="R1517" s="86"/>
      <c r="S1517" s="86"/>
      <c r="T1517" s="86"/>
      <c r="U1517" s="86"/>
      <c r="V1517" s="86"/>
      <c r="W1517" s="86"/>
      <c r="X1517" s="85">
        <f t="shared" si="172"/>
        <v>0</v>
      </c>
      <c r="Y1517" s="86"/>
      <c r="Z1517" s="85">
        <f t="shared" si="175"/>
        <v>0</v>
      </c>
    </row>
    <row r="1518" spans="1:28" x14ac:dyDescent="0.3">
      <c r="A1518" s="117"/>
      <c r="C1518" s="68" t="s">
        <v>751</v>
      </c>
      <c r="D1518" s="145" t="s">
        <v>54</v>
      </c>
      <c r="E1518" s="85">
        <f>190000/1000</f>
        <v>190</v>
      </c>
      <c r="F1518" s="85">
        <f>STATS1003B!F1519/1000</f>
        <v>190</v>
      </c>
      <c r="G1518" s="85">
        <f>STATS1003B!G1519/1000</f>
        <v>0</v>
      </c>
      <c r="H1518" s="85">
        <f>STATS1003B!H1519/1000</f>
        <v>190</v>
      </c>
      <c r="I1518" s="85">
        <f>STATS1003B!I1519/1000</f>
        <v>0</v>
      </c>
      <c r="J1518" s="85">
        <f>STATS1003B!J1519/1000</f>
        <v>190</v>
      </c>
      <c r="K1518" s="85">
        <f>STATS1003B!K1519/1000</f>
        <v>0</v>
      </c>
      <c r="L1518" s="85">
        <f>STATS1003B!L1519/1000</f>
        <v>0</v>
      </c>
      <c r="M1518" s="85">
        <f>STATS1003B!M1519/1000</f>
        <v>190</v>
      </c>
      <c r="N1518" s="85">
        <f>STATS1003B!N1519/1000</f>
        <v>0</v>
      </c>
      <c r="O1518" s="85">
        <f>STATS1003B!O1519/1000</f>
        <v>0</v>
      </c>
      <c r="P1518" s="85">
        <f>STATS1003B!P1519/1000</f>
        <v>0</v>
      </c>
      <c r="Q1518" s="85">
        <f>STATS1003B!Q1519/1000</f>
        <v>190</v>
      </c>
      <c r="R1518" s="85">
        <f>STATS1003B!R1519/1000</f>
        <v>0</v>
      </c>
      <c r="S1518" s="85">
        <f>STATS1003B!S1519/1000</f>
        <v>0</v>
      </c>
      <c r="T1518" s="85">
        <f>STATS1003B!T1519/1000</f>
        <v>0</v>
      </c>
      <c r="U1518" s="85">
        <f>STATS1003B!U1519/1000</f>
        <v>0</v>
      </c>
      <c r="V1518" s="85">
        <f>STATS1003B!V1519/1000</f>
        <v>190</v>
      </c>
      <c r="W1518" s="85">
        <f>STATS1003B!W1519/1000</f>
        <v>0</v>
      </c>
      <c r="X1518" s="85">
        <f t="shared" si="172"/>
        <v>190</v>
      </c>
      <c r="Y1518" s="85">
        <f>STATS1003B!Y1519/1000</f>
        <v>0</v>
      </c>
      <c r="Z1518" s="85">
        <f t="shared" si="175"/>
        <v>0</v>
      </c>
      <c r="AA1518" s="69">
        <f>STATS1003B!AA1519/1000</f>
        <v>190</v>
      </c>
      <c r="AB1518" s="69">
        <f>STATS1003B!AB1519/1000</f>
        <v>0</v>
      </c>
    </row>
    <row r="1519" spans="1:28" hidden="1" x14ac:dyDescent="0.3">
      <c r="A1519" s="117"/>
      <c r="E1519" s="86" t="s">
        <v>29</v>
      </c>
      <c r="F1519" s="86" t="s">
        <v>29</v>
      </c>
      <c r="G1519" s="86" t="s">
        <v>29</v>
      </c>
      <c r="H1519" s="86" t="s">
        <v>29</v>
      </c>
      <c r="I1519" s="86" t="s">
        <v>29</v>
      </c>
      <c r="J1519" s="86" t="s">
        <v>29</v>
      </c>
      <c r="K1519" s="86" t="s">
        <v>29</v>
      </c>
      <c r="L1519" s="86" t="s">
        <v>29</v>
      </c>
      <c r="M1519" s="86" t="s">
        <v>29</v>
      </c>
      <c r="N1519" s="86" t="s">
        <v>29</v>
      </c>
      <c r="O1519" s="86" t="s">
        <v>29</v>
      </c>
      <c r="P1519" s="86" t="s">
        <v>29</v>
      </c>
      <c r="Q1519" s="86" t="s">
        <v>29</v>
      </c>
      <c r="R1519" s="86" t="s">
        <v>29</v>
      </c>
      <c r="S1519" s="86" t="s">
        <v>29</v>
      </c>
      <c r="T1519" s="86" t="s">
        <v>29</v>
      </c>
      <c r="U1519" s="86" t="s">
        <v>29</v>
      </c>
      <c r="V1519" s="86" t="s">
        <v>29</v>
      </c>
      <c r="W1519" s="86" t="s">
        <v>29</v>
      </c>
      <c r="X1519" s="85" t="e">
        <f t="shared" si="172"/>
        <v>#VALUE!</v>
      </c>
      <c r="Y1519" s="86" t="s">
        <v>29</v>
      </c>
      <c r="Z1519" s="85" t="e">
        <f t="shared" si="175"/>
        <v>#VALUE!</v>
      </c>
      <c r="AA1519" s="115" t="s">
        <v>29</v>
      </c>
      <c r="AB1519" s="115" t="s">
        <v>29</v>
      </c>
    </row>
    <row r="1520" spans="1:28" hidden="1" x14ac:dyDescent="0.3">
      <c r="A1520" s="117"/>
      <c r="E1520" s="84"/>
      <c r="F1520" s="84"/>
      <c r="G1520" s="84"/>
      <c r="H1520" s="84"/>
      <c r="I1520" s="84"/>
      <c r="J1520" s="84"/>
      <c r="K1520" s="84"/>
      <c r="L1520" s="84"/>
      <c r="M1520" s="84"/>
      <c r="N1520" s="84"/>
      <c r="O1520" s="84"/>
      <c r="P1520" s="84"/>
      <c r="Q1520" s="84"/>
      <c r="R1520" s="86"/>
      <c r="S1520" s="86"/>
      <c r="T1520" s="86"/>
      <c r="U1520" s="86"/>
      <c r="V1520" s="86"/>
      <c r="W1520" s="86"/>
      <c r="X1520" s="85">
        <f t="shared" si="172"/>
        <v>0</v>
      </c>
      <c r="Y1520" s="86"/>
      <c r="Z1520" s="85">
        <f t="shared" si="175"/>
        <v>0</v>
      </c>
    </row>
    <row r="1521" spans="1:28" x14ac:dyDescent="0.3">
      <c r="A1521" s="117"/>
      <c r="C1521" s="68" t="s">
        <v>752</v>
      </c>
      <c r="D1521" s="145" t="s">
        <v>54</v>
      </c>
      <c r="E1521" s="85">
        <f>138000/1000</f>
        <v>138</v>
      </c>
      <c r="F1521" s="85">
        <f>STATS1003B!F1522/1000</f>
        <v>137.75</v>
      </c>
      <c r="G1521" s="85">
        <f>STATS1003B!G1522/1000</f>
        <v>0</v>
      </c>
      <c r="H1521" s="85">
        <f>STATS1003B!H1522/1000</f>
        <v>137.75</v>
      </c>
      <c r="I1521" s="85">
        <f>STATS1003B!I1522/1000</f>
        <v>0</v>
      </c>
      <c r="J1521" s="85">
        <f>STATS1003B!J1522/1000</f>
        <v>137.75</v>
      </c>
      <c r="K1521" s="85">
        <f>STATS1003B!K1522/1000</f>
        <v>0</v>
      </c>
      <c r="L1521" s="85">
        <f>STATS1003B!L1522/1000</f>
        <v>0</v>
      </c>
      <c r="M1521" s="85">
        <f>STATS1003B!M1522/1000</f>
        <v>137.75</v>
      </c>
      <c r="N1521" s="85">
        <f>STATS1003B!N1522/1000</f>
        <v>0</v>
      </c>
      <c r="O1521" s="85">
        <f>STATS1003B!O1522/1000</f>
        <v>0</v>
      </c>
      <c r="P1521" s="85">
        <f>STATS1003B!P1522/1000</f>
        <v>0</v>
      </c>
      <c r="Q1521" s="85">
        <f>STATS1003B!Q1522/1000</f>
        <v>137.75</v>
      </c>
      <c r="R1521" s="85">
        <f>STATS1003B!R1522/1000</f>
        <v>0</v>
      </c>
      <c r="S1521" s="85">
        <f>STATS1003B!S1522/1000</f>
        <v>0</v>
      </c>
      <c r="T1521" s="85">
        <f>STATS1003B!T1522/1000</f>
        <v>0</v>
      </c>
      <c r="U1521" s="85">
        <f>STATS1003B!U1522/1000</f>
        <v>0</v>
      </c>
      <c r="V1521" s="85">
        <f>STATS1003B!V1522/1000</f>
        <v>137.75</v>
      </c>
      <c r="W1521" s="85">
        <f>STATS1003B!W1522/1000</f>
        <v>0</v>
      </c>
      <c r="X1521" s="85">
        <f t="shared" si="172"/>
        <v>137.75</v>
      </c>
      <c r="Y1521" s="85">
        <f>STATS1003B!Y1522/1000</f>
        <v>0</v>
      </c>
      <c r="Z1521" s="85">
        <f t="shared" si="175"/>
        <v>0.25</v>
      </c>
      <c r="AA1521" s="69">
        <f>STATS1003B!AA1522/1000</f>
        <v>137.75</v>
      </c>
      <c r="AB1521" s="69">
        <f>STATS1003B!AB1522/1000</f>
        <v>0</v>
      </c>
    </row>
    <row r="1522" spans="1:28" hidden="1" x14ac:dyDescent="0.3">
      <c r="A1522" s="117"/>
      <c r="E1522" s="86" t="s">
        <v>29</v>
      </c>
      <c r="F1522" s="86" t="s">
        <v>29</v>
      </c>
      <c r="G1522" s="86" t="s">
        <v>29</v>
      </c>
      <c r="H1522" s="86" t="s">
        <v>29</v>
      </c>
      <c r="I1522" s="86" t="s">
        <v>29</v>
      </c>
      <c r="J1522" s="86" t="s">
        <v>29</v>
      </c>
      <c r="K1522" s="86" t="s">
        <v>29</v>
      </c>
      <c r="L1522" s="86" t="s">
        <v>29</v>
      </c>
      <c r="M1522" s="86" t="s">
        <v>29</v>
      </c>
      <c r="N1522" s="86" t="s">
        <v>29</v>
      </c>
      <c r="O1522" s="86" t="s">
        <v>29</v>
      </c>
      <c r="P1522" s="86" t="s">
        <v>29</v>
      </c>
      <c r="Q1522" s="86" t="s">
        <v>29</v>
      </c>
      <c r="R1522" s="86" t="s">
        <v>29</v>
      </c>
      <c r="S1522" s="86" t="s">
        <v>29</v>
      </c>
      <c r="T1522" s="86" t="s">
        <v>29</v>
      </c>
      <c r="U1522" s="86" t="s">
        <v>29</v>
      </c>
      <c r="V1522" s="86" t="s">
        <v>29</v>
      </c>
      <c r="W1522" s="86" t="s">
        <v>29</v>
      </c>
      <c r="X1522" s="85" t="e">
        <f t="shared" si="172"/>
        <v>#VALUE!</v>
      </c>
      <c r="Y1522" s="86" t="s">
        <v>29</v>
      </c>
      <c r="Z1522" s="85" t="e">
        <f t="shared" si="175"/>
        <v>#VALUE!</v>
      </c>
      <c r="AA1522" s="115" t="s">
        <v>29</v>
      </c>
      <c r="AB1522" s="115" t="s">
        <v>29</v>
      </c>
    </row>
    <row r="1523" spans="1:28" hidden="1" x14ac:dyDescent="0.3">
      <c r="A1523" s="117"/>
      <c r="E1523" s="84"/>
      <c r="F1523" s="84"/>
      <c r="G1523" s="84"/>
      <c r="H1523" s="84"/>
      <c r="I1523" s="84"/>
      <c r="J1523" s="84"/>
      <c r="K1523" s="84"/>
      <c r="L1523" s="84"/>
      <c r="M1523" s="84"/>
      <c r="N1523" s="84"/>
      <c r="O1523" s="84"/>
      <c r="P1523" s="84"/>
      <c r="Q1523" s="84"/>
      <c r="R1523" s="86"/>
      <c r="S1523" s="86"/>
      <c r="T1523" s="86"/>
      <c r="U1523" s="86"/>
      <c r="V1523" s="86"/>
      <c r="W1523" s="86"/>
      <c r="X1523" s="85">
        <f t="shared" si="172"/>
        <v>0</v>
      </c>
      <c r="Y1523" s="86"/>
      <c r="Z1523" s="85">
        <f t="shared" si="175"/>
        <v>0</v>
      </c>
    </row>
    <row r="1524" spans="1:28" x14ac:dyDescent="0.3">
      <c r="A1524" s="117"/>
      <c r="C1524" s="68" t="s">
        <v>753</v>
      </c>
      <c r="D1524" s="145" t="s">
        <v>54</v>
      </c>
      <c r="E1524" s="85">
        <f>190000/1000</f>
        <v>190</v>
      </c>
      <c r="F1524" s="85">
        <f>STATS1003B!F1525/1000</f>
        <v>190</v>
      </c>
      <c r="G1524" s="85">
        <f>STATS1003B!G1525/1000</f>
        <v>0</v>
      </c>
      <c r="H1524" s="85">
        <f>STATS1003B!H1525/1000</f>
        <v>190</v>
      </c>
      <c r="I1524" s="85">
        <f>STATS1003B!I1525/1000</f>
        <v>0</v>
      </c>
      <c r="J1524" s="85">
        <f>STATS1003B!J1525/1000</f>
        <v>190</v>
      </c>
      <c r="K1524" s="85">
        <f>STATS1003B!K1525/1000</f>
        <v>0</v>
      </c>
      <c r="L1524" s="85">
        <f>STATS1003B!L1525/1000</f>
        <v>0</v>
      </c>
      <c r="M1524" s="85">
        <f>STATS1003B!M1525/1000</f>
        <v>190</v>
      </c>
      <c r="N1524" s="85">
        <f>STATS1003B!N1525/1000</f>
        <v>0</v>
      </c>
      <c r="O1524" s="85">
        <f>STATS1003B!O1525/1000</f>
        <v>0</v>
      </c>
      <c r="P1524" s="85">
        <f>STATS1003B!P1525/1000</f>
        <v>0</v>
      </c>
      <c r="Q1524" s="85">
        <f>STATS1003B!Q1525/1000</f>
        <v>190</v>
      </c>
      <c r="R1524" s="85">
        <f>STATS1003B!R1525/1000</f>
        <v>0</v>
      </c>
      <c r="S1524" s="85">
        <f>STATS1003B!S1525/1000</f>
        <v>0</v>
      </c>
      <c r="T1524" s="85">
        <f>STATS1003B!T1525/1000</f>
        <v>0</v>
      </c>
      <c r="U1524" s="85">
        <f>STATS1003B!U1525/1000</f>
        <v>0</v>
      </c>
      <c r="V1524" s="85">
        <f>STATS1003B!V1525/1000</f>
        <v>190</v>
      </c>
      <c r="W1524" s="85">
        <f>STATS1003B!W1525/1000</f>
        <v>0</v>
      </c>
      <c r="X1524" s="85">
        <f t="shared" si="172"/>
        <v>190</v>
      </c>
      <c r="Y1524" s="85">
        <f>STATS1003B!Y1525/1000</f>
        <v>0</v>
      </c>
      <c r="Z1524" s="85">
        <f t="shared" si="175"/>
        <v>0</v>
      </c>
      <c r="AA1524" s="69">
        <f>STATS1003B!AA1525/1000</f>
        <v>190</v>
      </c>
      <c r="AB1524" s="69">
        <f>STATS1003B!AB1525/1000</f>
        <v>0</v>
      </c>
    </row>
    <row r="1525" spans="1:28" hidden="1" x14ac:dyDescent="0.3">
      <c r="A1525" s="117"/>
      <c r="E1525" s="86" t="s">
        <v>29</v>
      </c>
      <c r="F1525" s="86" t="s">
        <v>29</v>
      </c>
      <c r="G1525" s="86" t="s">
        <v>29</v>
      </c>
      <c r="H1525" s="86" t="s">
        <v>29</v>
      </c>
      <c r="I1525" s="86" t="s">
        <v>29</v>
      </c>
      <c r="J1525" s="86" t="s">
        <v>29</v>
      </c>
      <c r="K1525" s="86" t="s">
        <v>29</v>
      </c>
      <c r="L1525" s="86" t="s">
        <v>29</v>
      </c>
      <c r="M1525" s="86" t="s">
        <v>29</v>
      </c>
      <c r="N1525" s="86" t="s">
        <v>29</v>
      </c>
      <c r="O1525" s="86" t="s">
        <v>29</v>
      </c>
      <c r="P1525" s="86" t="s">
        <v>29</v>
      </c>
      <c r="Q1525" s="86" t="s">
        <v>29</v>
      </c>
      <c r="R1525" s="86" t="s">
        <v>29</v>
      </c>
      <c r="S1525" s="86" t="s">
        <v>29</v>
      </c>
      <c r="T1525" s="86" t="s">
        <v>29</v>
      </c>
      <c r="U1525" s="86" t="s">
        <v>29</v>
      </c>
      <c r="V1525" s="86" t="s">
        <v>29</v>
      </c>
      <c r="W1525" s="86" t="s">
        <v>29</v>
      </c>
      <c r="X1525" s="85" t="e">
        <f t="shared" si="172"/>
        <v>#VALUE!</v>
      </c>
      <c r="Y1525" s="86" t="s">
        <v>29</v>
      </c>
      <c r="Z1525" s="85" t="e">
        <f t="shared" si="175"/>
        <v>#VALUE!</v>
      </c>
      <c r="AA1525" s="115" t="s">
        <v>29</v>
      </c>
      <c r="AB1525" s="115" t="s">
        <v>29</v>
      </c>
    </row>
    <row r="1526" spans="1:28" hidden="1" x14ac:dyDescent="0.3">
      <c r="A1526" s="117"/>
      <c r="E1526" s="84"/>
      <c r="F1526" s="84"/>
      <c r="G1526" s="84"/>
      <c r="H1526" s="84"/>
      <c r="I1526" s="84"/>
      <c r="J1526" s="84"/>
      <c r="K1526" s="84"/>
      <c r="L1526" s="84"/>
      <c r="M1526" s="84"/>
      <c r="N1526" s="84"/>
      <c r="O1526" s="84"/>
      <c r="P1526" s="84"/>
      <c r="Q1526" s="84"/>
      <c r="R1526" s="86"/>
      <c r="S1526" s="86"/>
      <c r="T1526" s="86"/>
      <c r="U1526" s="86"/>
      <c r="V1526" s="86"/>
      <c r="W1526" s="86"/>
      <c r="X1526" s="85">
        <f t="shared" si="172"/>
        <v>0</v>
      </c>
      <c r="Y1526" s="86"/>
      <c r="Z1526" s="85">
        <f t="shared" si="175"/>
        <v>0</v>
      </c>
    </row>
    <row r="1527" spans="1:28" x14ac:dyDescent="0.3">
      <c r="A1527" s="117"/>
      <c r="C1527" s="68" t="s">
        <v>754</v>
      </c>
      <c r="D1527" s="145" t="s">
        <v>54</v>
      </c>
      <c r="E1527" s="85">
        <f>95000/1000</f>
        <v>95</v>
      </c>
      <c r="F1527" s="85">
        <f>STATS1003B!F1528/1000</f>
        <v>95</v>
      </c>
      <c r="G1527" s="85">
        <f>STATS1003B!G1528/1000</f>
        <v>0</v>
      </c>
      <c r="H1527" s="85">
        <f>STATS1003B!H1528/1000</f>
        <v>95</v>
      </c>
      <c r="I1527" s="85">
        <f>STATS1003B!I1528/1000</f>
        <v>0</v>
      </c>
      <c r="J1527" s="85">
        <f>STATS1003B!J1528/1000</f>
        <v>95</v>
      </c>
      <c r="K1527" s="85">
        <f>STATS1003B!K1528/1000</f>
        <v>0</v>
      </c>
      <c r="L1527" s="85">
        <f>STATS1003B!L1528/1000</f>
        <v>0</v>
      </c>
      <c r="M1527" s="85">
        <f>STATS1003B!M1528/1000</f>
        <v>95</v>
      </c>
      <c r="N1527" s="85">
        <f>STATS1003B!N1528/1000</f>
        <v>0</v>
      </c>
      <c r="O1527" s="85">
        <f>STATS1003B!O1528/1000</f>
        <v>0</v>
      </c>
      <c r="P1527" s="85">
        <f>STATS1003B!P1528/1000</f>
        <v>0</v>
      </c>
      <c r="Q1527" s="85">
        <f>STATS1003B!Q1528/1000</f>
        <v>95</v>
      </c>
      <c r="R1527" s="85">
        <f>STATS1003B!R1528/1000</f>
        <v>0</v>
      </c>
      <c r="S1527" s="85">
        <f>STATS1003B!S1528/1000</f>
        <v>0</v>
      </c>
      <c r="T1527" s="85">
        <f>STATS1003B!T1528/1000</f>
        <v>0</v>
      </c>
      <c r="U1527" s="85">
        <f>STATS1003B!U1528/1000</f>
        <v>0</v>
      </c>
      <c r="V1527" s="85">
        <f>STATS1003B!V1528/1000</f>
        <v>95</v>
      </c>
      <c r="W1527" s="85">
        <f>STATS1003B!W1528/1000</f>
        <v>0</v>
      </c>
      <c r="X1527" s="85">
        <f t="shared" si="172"/>
        <v>95</v>
      </c>
      <c r="Y1527" s="85">
        <f>STATS1003B!Y1528/1000</f>
        <v>0</v>
      </c>
      <c r="Z1527" s="85">
        <f t="shared" si="175"/>
        <v>0</v>
      </c>
      <c r="AA1527" s="69">
        <f>STATS1003B!AA1528/1000</f>
        <v>95</v>
      </c>
      <c r="AB1527" s="69">
        <f>STATS1003B!AB1528/1000</f>
        <v>0</v>
      </c>
    </row>
    <row r="1528" spans="1:28" hidden="1" x14ac:dyDescent="0.3">
      <c r="A1528" s="117"/>
      <c r="E1528" s="86" t="s">
        <v>29</v>
      </c>
      <c r="F1528" s="86" t="s">
        <v>29</v>
      </c>
      <c r="G1528" s="86" t="s">
        <v>29</v>
      </c>
      <c r="H1528" s="86" t="s">
        <v>29</v>
      </c>
      <c r="I1528" s="86" t="s">
        <v>29</v>
      </c>
      <c r="J1528" s="86" t="s">
        <v>29</v>
      </c>
      <c r="K1528" s="86" t="s">
        <v>29</v>
      </c>
      <c r="L1528" s="86" t="s">
        <v>29</v>
      </c>
      <c r="M1528" s="86" t="s">
        <v>29</v>
      </c>
      <c r="N1528" s="86" t="s">
        <v>29</v>
      </c>
      <c r="O1528" s="86" t="s">
        <v>29</v>
      </c>
      <c r="P1528" s="86" t="s">
        <v>29</v>
      </c>
      <c r="Q1528" s="86" t="s">
        <v>29</v>
      </c>
      <c r="R1528" s="86" t="s">
        <v>29</v>
      </c>
      <c r="S1528" s="86" t="s">
        <v>29</v>
      </c>
      <c r="T1528" s="86" t="s">
        <v>29</v>
      </c>
      <c r="U1528" s="86" t="s">
        <v>29</v>
      </c>
      <c r="V1528" s="86" t="s">
        <v>29</v>
      </c>
      <c r="W1528" s="86" t="s">
        <v>29</v>
      </c>
      <c r="X1528" s="85" t="e">
        <f t="shared" si="172"/>
        <v>#VALUE!</v>
      </c>
      <c r="Y1528" s="86" t="s">
        <v>29</v>
      </c>
      <c r="Z1528" s="85" t="e">
        <f t="shared" si="175"/>
        <v>#VALUE!</v>
      </c>
      <c r="AA1528" s="115" t="s">
        <v>29</v>
      </c>
      <c r="AB1528" s="115" t="s">
        <v>29</v>
      </c>
    </row>
    <row r="1529" spans="1:28" hidden="1" x14ac:dyDescent="0.3">
      <c r="A1529" s="117"/>
      <c r="E1529" s="84"/>
      <c r="F1529" s="84"/>
      <c r="G1529" s="84"/>
      <c r="H1529" s="84"/>
      <c r="I1529" s="84"/>
      <c r="J1529" s="84"/>
      <c r="K1529" s="84"/>
      <c r="L1529" s="84"/>
      <c r="M1529" s="84"/>
      <c r="N1529" s="84"/>
      <c r="O1529" s="84"/>
      <c r="P1529" s="84"/>
      <c r="Q1529" s="84"/>
      <c r="R1529" s="86"/>
      <c r="S1529" s="86"/>
      <c r="T1529" s="86"/>
      <c r="U1529" s="86"/>
      <c r="V1529" s="86"/>
      <c r="W1529" s="86"/>
      <c r="X1529" s="85">
        <f t="shared" si="172"/>
        <v>0</v>
      </c>
      <c r="Y1529" s="86"/>
      <c r="Z1529" s="85">
        <f t="shared" si="175"/>
        <v>0</v>
      </c>
    </row>
    <row r="1530" spans="1:28" x14ac:dyDescent="0.3">
      <c r="A1530" s="117"/>
      <c r="C1530" s="68" t="s">
        <v>755</v>
      </c>
      <c r="D1530" s="145" t="s">
        <v>54</v>
      </c>
      <c r="E1530" s="85">
        <f>190000/1000</f>
        <v>190</v>
      </c>
      <c r="F1530" s="85">
        <f>STATS1003B!F1531/1000</f>
        <v>190</v>
      </c>
      <c r="G1530" s="85">
        <f>STATS1003B!G1531/1000</f>
        <v>0</v>
      </c>
      <c r="H1530" s="85">
        <f>STATS1003B!H1531/1000</f>
        <v>190</v>
      </c>
      <c r="I1530" s="85">
        <f>STATS1003B!I1531/1000</f>
        <v>0</v>
      </c>
      <c r="J1530" s="85">
        <f>STATS1003B!J1531/1000</f>
        <v>190</v>
      </c>
      <c r="K1530" s="85">
        <f>STATS1003B!K1531/1000</f>
        <v>0</v>
      </c>
      <c r="L1530" s="85">
        <f>STATS1003B!L1531/1000</f>
        <v>0</v>
      </c>
      <c r="M1530" s="85">
        <f>STATS1003B!M1531/1000</f>
        <v>190</v>
      </c>
      <c r="N1530" s="85">
        <f>STATS1003B!N1531/1000</f>
        <v>0</v>
      </c>
      <c r="O1530" s="85">
        <f>STATS1003B!O1531/1000</f>
        <v>0</v>
      </c>
      <c r="P1530" s="85">
        <f>STATS1003B!P1531/1000</f>
        <v>0</v>
      </c>
      <c r="Q1530" s="85">
        <f>STATS1003B!Q1531/1000</f>
        <v>190</v>
      </c>
      <c r="R1530" s="85">
        <f>STATS1003B!R1531/1000</f>
        <v>0</v>
      </c>
      <c r="S1530" s="85">
        <f>STATS1003B!S1531/1000</f>
        <v>0</v>
      </c>
      <c r="T1530" s="85">
        <f>STATS1003B!T1531/1000</f>
        <v>0</v>
      </c>
      <c r="U1530" s="85">
        <f>STATS1003B!U1531/1000</f>
        <v>0</v>
      </c>
      <c r="V1530" s="85">
        <f>STATS1003B!V1531/1000</f>
        <v>190</v>
      </c>
      <c r="W1530" s="85">
        <f>STATS1003B!W1531/1000</f>
        <v>0</v>
      </c>
      <c r="X1530" s="85">
        <f t="shared" si="172"/>
        <v>190</v>
      </c>
      <c r="Y1530" s="85">
        <f>STATS1003B!Y1531/1000</f>
        <v>0</v>
      </c>
      <c r="Z1530" s="85">
        <f t="shared" si="175"/>
        <v>0</v>
      </c>
      <c r="AA1530" s="69">
        <f>STATS1003B!AA1531/1000</f>
        <v>190</v>
      </c>
      <c r="AB1530" s="69">
        <f>STATS1003B!AB1531/1000</f>
        <v>0</v>
      </c>
    </row>
    <row r="1531" spans="1:28" hidden="1" x14ac:dyDescent="0.3">
      <c r="A1531" s="117"/>
      <c r="E1531" s="86" t="s">
        <v>29</v>
      </c>
      <c r="F1531" s="86" t="s">
        <v>29</v>
      </c>
      <c r="G1531" s="86" t="s">
        <v>29</v>
      </c>
      <c r="H1531" s="86" t="s">
        <v>29</v>
      </c>
      <c r="I1531" s="86" t="s">
        <v>29</v>
      </c>
      <c r="J1531" s="86" t="s">
        <v>29</v>
      </c>
      <c r="K1531" s="86" t="s">
        <v>29</v>
      </c>
      <c r="L1531" s="86" t="s">
        <v>29</v>
      </c>
      <c r="M1531" s="86" t="s">
        <v>29</v>
      </c>
      <c r="N1531" s="86" t="s">
        <v>29</v>
      </c>
      <c r="O1531" s="86" t="s">
        <v>29</v>
      </c>
      <c r="P1531" s="86" t="s">
        <v>29</v>
      </c>
      <c r="Q1531" s="86" t="s">
        <v>29</v>
      </c>
      <c r="R1531" s="86" t="s">
        <v>29</v>
      </c>
      <c r="S1531" s="86" t="s">
        <v>29</v>
      </c>
      <c r="T1531" s="86" t="s">
        <v>29</v>
      </c>
      <c r="U1531" s="86" t="s">
        <v>29</v>
      </c>
      <c r="V1531" s="86" t="s">
        <v>29</v>
      </c>
      <c r="W1531" s="86" t="s">
        <v>29</v>
      </c>
      <c r="X1531" s="85" t="e">
        <f t="shared" si="172"/>
        <v>#VALUE!</v>
      </c>
      <c r="Y1531" s="86" t="s">
        <v>29</v>
      </c>
      <c r="Z1531" s="85" t="e">
        <f t="shared" si="175"/>
        <v>#VALUE!</v>
      </c>
      <c r="AA1531" s="115" t="s">
        <v>29</v>
      </c>
      <c r="AB1531" s="115" t="s">
        <v>29</v>
      </c>
    </row>
    <row r="1532" spans="1:28" hidden="1" x14ac:dyDescent="0.3">
      <c r="A1532" s="117"/>
      <c r="E1532" s="84"/>
      <c r="F1532" s="84"/>
      <c r="G1532" s="84"/>
      <c r="H1532" s="84"/>
      <c r="I1532" s="84"/>
      <c r="J1532" s="84"/>
      <c r="K1532" s="84"/>
      <c r="L1532" s="84"/>
      <c r="M1532" s="84"/>
      <c r="N1532" s="84"/>
      <c r="O1532" s="84"/>
      <c r="P1532" s="84"/>
      <c r="Q1532" s="84"/>
      <c r="R1532" s="86"/>
      <c r="S1532" s="86"/>
      <c r="T1532" s="86"/>
      <c r="U1532" s="86"/>
      <c r="V1532" s="86"/>
      <c r="W1532" s="86"/>
      <c r="X1532" s="85">
        <f t="shared" si="172"/>
        <v>0</v>
      </c>
      <c r="Y1532" s="86"/>
      <c r="Z1532" s="85">
        <f t="shared" si="175"/>
        <v>0</v>
      </c>
    </row>
    <row r="1533" spans="1:28" x14ac:dyDescent="0.3">
      <c r="A1533" s="117"/>
      <c r="C1533" s="68" t="s">
        <v>756</v>
      </c>
      <c r="D1533" s="145" t="s">
        <v>54</v>
      </c>
      <c r="E1533" s="85">
        <f>95000/1000</f>
        <v>95</v>
      </c>
      <c r="F1533" s="85">
        <f>STATS1003B!F1534/1000</f>
        <v>95</v>
      </c>
      <c r="G1533" s="85">
        <f>STATS1003B!G1534/1000</f>
        <v>0</v>
      </c>
      <c r="H1533" s="85">
        <f>STATS1003B!H1534/1000</f>
        <v>95</v>
      </c>
      <c r="I1533" s="85">
        <f>STATS1003B!I1534/1000</f>
        <v>0</v>
      </c>
      <c r="J1533" s="85">
        <f>STATS1003B!J1534/1000</f>
        <v>95</v>
      </c>
      <c r="K1533" s="85">
        <f>STATS1003B!K1534/1000</f>
        <v>0</v>
      </c>
      <c r="L1533" s="85">
        <f>STATS1003B!L1534/1000</f>
        <v>0</v>
      </c>
      <c r="M1533" s="85">
        <f>STATS1003B!M1534/1000</f>
        <v>95</v>
      </c>
      <c r="N1533" s="85">
        <f>STATS1003B!N1534/1000</f>
        <v>0</v>
      </c>
      <c r="O1533" s="85">
        <f>STATS1003B!O1534/1000</f>
        <v>0</v>
      </c>
      <c r="P1533" s="85">
        <f>STATS1003B!P1534/1000</f>
        <v>0</v>
      </c>
      <c r="Q1533" s="85">
        <f>STATS1003B!Q1534/1000</f>
        <v>95</v>
      </c>
      <c r="R1533" s="85">
        <f>STATS1003B!R1534/1000</f>
        <v>0</v>
      </c>
      <c r="S1533" s="85">
        <f>STATS1003B!S1534/1000</f>
        <v>0</v>
      </c>
      <c r="T1533" s="85">
        <f>STATS1003B!T1534/1000</f>
        <v>0</v>
      </c>
      <c r="U1533" s="85">
        <f>STATS1003B!U1534/1000</f>
        <v>0</v>
      </c>
      <c r="V1533" s="85">
        <f>STATS1003B!V1534/1000</f>
        <v>95</v>
      </c>
      <c r="W1533" s="85">
        <f>STATS1003B!W1534/1000</f>
        <v>0</v>
      </c>
      <c r="X1533" s="85">
        <f t="shared" si="172"/>
        <v>95</v>
      </c>
      <c r="Y1533" s="85">
        <f>STATS1003B!Y1534/1000</f>
        <v>0</v>
      </c>
      <c r="Z1533" s="85">
        <f t="shared" si="175"/>
        <v>0</v>
      </c>
      <c r="AA1533" s="69">
        <f>STATS1003B!AA1534/1000</f>
        <v>95</v>
      </c>
      <c r="AB1533" s="69">
        <f>STATS1003B!AB1534/1000</f>
        <v>0</v>
      </c>
    </row>
    <row r="1534" spans="1:28" hidden="1" x14ac:dyDescent="0.3">
      <c r="A1534" s="117"/>
      <c r="E1534" s="86" t="s">
        <v>29</v>
      </c>
      <c r="F1534" s="86" t="s">
        <v>29</v>
      </c>
      <c r="G1534" s="86" t="s">
        <v>29</v>
      </c>
      <c r="H1534" s="86" t="s">
        <v>29</v>
      </c>
      <c r="I1534" s="86" t="s">
        <v>29</v>
      </c>
      <c r="J1534" s="86" t="s">
        <v>29</v>
      </c>
      <c r="K1534" s="86" t="s">
        <v>29</v>
      </c>
      <c r="L1534" s="86" t="s">
        <v>29</v>
      </c>
      <c r="M1534" s="86" t="s">
        <v>29</v>
      </c>
      <c r="N1534" s="86" t="s">
        <v>29</v>
      </c>
      <c r="O1534" s="86" t="s">
        <v>29</v>
      </c>
      <c r="P1534" s="86" t="s">
        <v>29</v>
      </c>
      <c r="Q1534" s="86" t="s">
        <v>29</v>
      </c>
      <c r="R1534" s="86" t="s">
        <v>29</v>
      </c>
      <c r="S1534" s="86" t="s">
        <v>29</v>
      </c>
      <c r="T1534" s="86" t="s">
        <v>29</v>
      </c>
      <c r="U1534" s="86" t="s">
        <v>29</v>
      </c>
      <c r="V1534" s="86" t="s">
        <v>29</v>
      </c>
      <c r="W1534" s="86" t="s">
        <v>29</v>
      </c>
      <c r="X1534" s="85" t="e">
        <f t="shared" si="172"/>
        <v>#VALUE!</v>
      </c>
      <c r="Y1534" s="86" t="s">
        <v>29</v>
      </c>
      <c r="Z1534" s="85" t="e">
        <f t="shared" si="175"/>
        <v>#VALUE!</v>
      </c>
      <c r="AA1534" s="115" t="s">
        <v>29</v>
      </c>
      <c r="AB1534" s="115" t="s">
        <v>29</v>
      </c>
    </row>
    <row r="1535" spans="1:28" hidden="1" x14ac:dyDescent="0.3">
      <c r="A1535" s="117"/>
      <c r="E1535" s="84"/>
      <c r="F1535" s="84"/>
      <c r="G1535" s="84"/>
      <c r="H1535" s="84"/>
      <c r="I1535" s="84"/>
      <c r="J1535" s="84"/>
      <c r="K1535" s="84"/>
      <c r="L1535" s="84"/>
      <c r="M1535" s="84"/>
      <c r="N1535" s="84"/>
      <c r="O1535" s="84"/>
      <c r="P1535" s="84"/>
      <c r="Q1535" s="84"/>
      <c r="R1535" s="86"/>
      <c r="S1535" s="86"/>
      <c r="T1535" s="86"/>
      <c r="U1535" s="86"/>
      <c r="V1535" s="86"/>
      <c r="W1535" s="86"/>
      <c r="X1535" s="85">
        <f t="shared" si="172"/>
        <v>0</v>
      </c>
      <c r="Y1535" s="86"/>
      <c r="Z1535" s="85">
        <f t="shared" si="175"/>
        <v>0</v>
      </c>
    </row>
    <row r="1536" spans="1:28" x14ac:dyDescent="0.3">
      <c r="A1536" s="117"/>
      <c r="C1536" s="68" t="s">
        <v>757</v>
      </c>
      <c r="D1536" s="145" t="s">
        <v>54</v>
      </c>
      <c r="E1536" s="85">
        <f>475000/1000</f>
        <v>475</v>
      </c>
      <c r="F1536" s="85">
        <f>STATS1003B!F1537/1000</f>
        <v>475</v>
      </c>
      <c r="G1536" s="85">
        <f>STATS1003B!G1537/1000</f>
        <v>0</v>
      </c>
      <c r="H1536" s="85">
        <f>STATS1003B!H1537/1000</f>
        <v>475</v>
      </c>
      <c r="I1536" s="85">
        <f>STATS1003B!I1537/1000</f>
        <v>0</v>
      </c>
      <c r="J1536" s="85">
        <f>STATS1003B!J1537/1000</f>
        <v>475</v>
      </c>
      <c r="K1536" s="85">
        <f>STATS1003B!K1537/1000</f>
        <v>0</v>
      </c>
      <c r="L1536" s="85">
        <f>STATS1003B!L1537/1000</f>
        <v>0</v>
      </c>
      <c r="M1536" s="85">
        <f>STATS1003B!M1537/1000</f>
        <v>475</v>
      </c>
      <c r="N1536" s="85">
        <f>STATS1003B!N1537/1000</f>
        <v>0</v>
      </c>
      <c r="O1536" s="85">
        <f>STATS1003B!O1537/1000</f>
        <v>0</v>
      </c>
      <c r="P1536" s="85">
        <f>STATS1003B!P1537/1000</f>
        <v>0</v>
      </c>
      <c r="Q1536" s="85">
        <f>STATS1003B!Q1537/1000</f>
        <v>475</v>
      </c>
      <c r="R1536" s="85">
        <f>STATS1003B!R1537/1000</f>
        <v>0</v>
      </c>
      <c r="S1536" s="85">
        <f>STATS1003B!S1537/1000</f>
        <v>0</v>
      </c>
      <c r="T1536" s="85">
        <f>STATS1003B!T1537/1000</f>
        <v>0</v>
      </c>
      <c r="U1536" s="85">
        <f>STATS1003B!U1537/1000</f>
        <v>0</v>
      </c>
      <c r="V1536" s="85">
        <f>STATS1003B!V1537/1000</f>
        <v>475</v>
      </c>
      <c r="W1536" s="85">
        <f>STATS1003B!W1537/1000</f>
        <v>0</v>
      </c>
      <c r="X1536" s="85">
        <f t="shared" ref="X1536:X1539" si="176">+H1536+P1536</f>
        <v>475</v>
      </c>
      <c r="Y1536" s="85">
        <f>STATS1003B!Y1537/1000</f>
        <v>0</v>
      </c>
      <c r="Z1536" s="85">
        <f t="shared" si="175"/>
        <v>0</v>
      </c>
      <c r="AA1536" s="69">
        <f>STATS1003B!AA1537/1000</f>
        <v>475</v>
      </c>
      <c r="AB1536" s="69">
        <f>STATS1003B!AB1537/1000</f>
        <v>0</v>
      </c>
    </row>
    <row r="1537" spans="1:28" hidden="1" x14ac:dyDescent="0.3">
      <c r="A1537" s="117"/>
      <c r="E1537" s="86" t="s">
        <v>29</v>
      </c>
      <c r="F1537" s="86" t="s">
        <v>29</v>
      </c>
      <c r="G1537" s="86" t="s">
        <v>29</v>
      </c>
      <c r="H1537" s="86" t="s">
        <v>29</v>
      </c>
      <c r="I1537" s="86" t="s">
        <v>29</v>
      </c>
      <c r="J1537" s="86" t="s">
        <v>29</v>
      </c>
      <c r="K1537" s="86" t="s">
        <v>29</v>
      </c>
      <c r="L1537" s="86" t="s">
        <v>29</v>
      </c>
      <c r="M1537" s="86" t="s">
        <v>29</v>
      </c>
      <c r="N1537" s="86" t="s">
        <v>29</v>
      </c>
      <c r="O1537" s="86" t="s">
        <v>29</v>
      </c>
      <c r="P1537" s="86" t="s">
        <v>29</v>
      </c>
      <c r="Q1537" s="86" t="s">
        <v>29</v>
      </c>
      <c r="R1537" s="86" t="s">
        <v>29</v>
      </c>
      <c r="S1537" s="86" t="s">
        <v>29</v>
      </c>
      <c r="T1537" s="86" t="s">
        <v>29</v>
      </c>
      <c r="U1537" s="86" t="s">
        <v>29</v>
      </c>
      <c r="V1537" s="86" t="s">
        <v>29</v>
      </c>
      <c r="W1537" s="86" t="s">
        <v>29</v>
      </c>
      <c r="X1537" s="85" t="e">
        <f t="shared" si="176"/>
        <v>#VALUE!</v>
      </c>
      <c r="Y1537" s="86" t="s">
        <v>29</v>
      </c>
      <c r="Z1537" s="85" t="e">
        <f t="shared" si="175"/>
        <v>#VALUE!</v>
      </c>
      <c r="AA1537" s="115" t="s">
        <v>29</v>
      </c>
      <c r="AB1537" s="115" t="s">
        <v>29</v>
      </c>
    </row>
    <row r="1538" spans="1:28" hidden="1" x14ac:dyDescent="0.3">
      <c r="A1538" s="117"/>
      <c r="E1538" s="84"/>
      <c r="F1538" s="84"/>
      <c r="G1538" s="84"/>
      <c r="H1538" s="84"/>
      <c r="I1538" s="84"/>
      <c r="J1538" s="84"/>
      <c r="K1538" s="84"/>
      <c r="L1538" s="84"/>
      <c r="M1538" s="84"/>
      <c r="N1538" s="84"/>
      <c r="O1538" s="84"/>
      <c r="P1538" s="84"/>
      <c r="Q1538" s="84"/>
      <c r="R1538" s="86"/>
      <c r="S1538" s="86"/>
      <c r="T1538" s="86"/>
      <c r="U1538" s="86"/>
      <c r="V1538" s="86"/>
      <c r="W1538" s="86"/>
      <c r="X1538" s="85">
        <f t="shared" si="176"/>
        <v>0</v>
      </c>
      <c r="Y1538" s="86"/>
      <c r="Z1538" s="85">
        <f t="shared" si="175"/>
        <v>0</v>
      </c>
    </row>
    <row r="1539" spans="1:28" x14ac:dyDescent="0.3">
      <c r="A1539" s="117"/>
      <c r="C1539" s="68" t="s">
        <v>758</v>
      </c>
      <c r="D1539" s="145" t="s">
        <v>54</v>
      </c>
      <c r="E1539" s="85">
        <f>STATS1003B!E1540/1000</f>
        <v>285</v>
      </c>
      <c r="F1539" s="85">
        <f>STATS1003B!F1540/1000</f>
        <v>285</v>
      </c>
      <c r="G1539" s="85">
        <f>STATS1003B!G1540/1000</f>
        <v>0</v>
      </c>
      <c r="H1539" s="85">
        <f>STATS1003B!H1540/1000</f>
        <v>285</v>
      </c>
      <c r="I1539" s="85">
        <f>STATS1003B!I1540/1000</f>
        <v>0</v>
      </c>
      <c r="J1539" s="85">
        <f>STATS1003B!J1540/1000</f>
        <v>285</v>
      </c>
      <c r="K1539" s="85">
        <f>STATS1003B!K1540/1000</f>
        <v>0</v>
      </c>
      <c r="L1539" s="85">
        <f>STATS1003B!L1540/1000</f>
        <v>0</v>
      </c>
      <c r="M1539" s="85">
        <f>STATS1003B!M1540/1000</f>
        <v>285</v>
      </c>
      <c r="N1539" s="85">
        <f>STATS1003B!N1540/1000</f>
        <v>0</v>
      </c>
      <c r="O1539" s="85">
        <f>STATS1003B!O1540/1000</f>
        <v>0</v>
      </c>
      <c r="P1539" s="85">
        <f>STATS1003B!P1540/1000</f>
        <v>0</v>
      </c>
      <c r="Q1539" s="85">
        <f>STATS1003B!Q1540/1000</f>
        <v>285</v>
      </c>
      <c r="R1539" s="85">
        <f>STATS1003B!R1540/1000</f>
        <v>0</v>
      </c>
      <c r="S1539" s="85">
        <f>STATS1003B!S1540/1000</f>
        <v>0</v>
      </c>
      <c r="T1539" s="85">
        <f>STATS1003B!T1540/1000</f>
        <v>0</v>
      </c>
      <c r="U1539" s="85">
        <f>STATS1003B!U1540/1000</f>
        <v>0</v>
      </c>
      <c r="V1539" s="85">
        <f>STATS1003B!V1540/1000</f>
        <v>285</v>
      </c>
      <c r="W1539" s="85">
        <f>STATS1003B!W1540/1000</f>
        <v>0</v>
      </c>
      <c r="X1539" s="85">
        <f t="shared" si="176"/>
        <v>285</v>
      </c>
      <c r="Y1539" s="85">
        <f>STATS1003B!Y1540/1000</f>
        <v>0</v>
      </c>
      <c r="Z1539" s="85">
        <f t="shared" si="175"/>
        <v>0</v>
      </c>
      <c r="AA1539" s="69">
        <f>STATS1003B!AA1540/1000</f>
        <v>285</v>
      </c>
      <c r="AB1539" s="69">
        <f>STATS1003B!AB1540/1000</f>
        <v>0</v>
      </c>
    </row>
    <row r="1540" spans="1:28" hidden="1" x14ac:dyDescent="0.3">
      <c r="A1540" s="117"/>
      <c r="E1540" s="86" t="s">
        <v>29</v>
      </c>
      <c r="F1540" s="86" t="s">
        <v>29</v>
      </c>
      <c r="G1540" s="86" t="s">
        <v>29</v>
      </c>
      <c r="H1540" s="86" t="s">
        <v>29</v>
      </c>
      <c r="I1540" s="86" t="s">
        <v>29</v>
      </c>
      <c r="J1540" s="86" t="s">
        <v>29</v>
      </c>
      <c r="K1540" s="86" t="s">
        <v>29</v>
      </c>
      <c r="L1540" s="86" t="s">
        <v>29</v>
      </c>
      <c r="M1540" s="86" t="s">
        <v>29</v>
      </c>
      <c r="N1540" s="86" t="s">
        <v>29</v>
      </c>
      <c r="O1540" s="86" t="s">
        <v>29</v>
      </c>
      <c r="P1540" s="86" t="s">
        <v>29</v>
      </c>
      <c r="Q1540" s="86" t="s">
        <v>29</v>
      </c>
      <c r="R1540" s="86" t="s">
        <v>29</v>
      </c>
      <c r="S1540" s="86" t="s">
        <v>29</v>
      </c>
      <c r="T1540" s="86" t="s">
        <v>29</v>
      </c>
      <c r="U1540" s="86" t="s">
        <v>29</v>
      </c>
      <c r="V1540" s="86" t="s">
        <v>29</v>
      </c>
      <c r="W1540" s="86" t="s">
        <v>29</v>
      </c>
      <c r="X1540" s="86" t="s">
        <v>29</v>
      </c>
      <c r="Y1540" s="86" t="s">
        <v>29</v>
      </c>
      <c r="Z1540" s="86" t="s">
        <v>29</v>
      </c>
      <c r="AA1540" s="115" t="s">
        <v>29</v>
      </c>
      <c r="AB1540" s="115" t="s">
        <v>29</v>
      </c>
    </row>
    <row r="1541" spans="1:28" hidden="1" x14ac:dyDescent="0.3">
      <c r="A1541" s="117"/>
      <c r="E1541" s="85">
        <f t="shared" ref="E1541:AB1541" si="177">SUM(E1500:E1539)</f>
        <v>3225.5</v>
      </c>
      <c r="F1541" s="85">
        <f t="shared" si="177"/>
        <v>3225.25</v>
      </c>
      <c r="G1541" s="85"/>
      <c r="H1541" s="85">
        <f t="shared" si="177"/>
        <v>3225.25</v>
      </c>
      <c r="I1541" s="85">
        <f t="shared" si="177"/>
        <v>0</v>
      </c>
      <c r="J1541" s="85">
        <f t="shared" si="177"/>
        <v>3225.25</v>
      </c>
      <c r="K1541" s="85">
        <f t="shared" si="177"/>
        <v>0</v>
      </c>
      <c r="L1541" s="85">
        <f t="shared" si="177"/>
        <v>0</v>
      </c>
      <c r="M1541" s="85">
        <f t="shared" si="177"/>
        <v>3225.25</v>
      </c>
      <c r="N1541" s="85">
        <f t="shared" si="177"/>
        <v>0</v>
      </c>
      <c r="O1541" s="85">
        <f t="shared" si="177"/>
        <v>0</v>
      </c>
      <c r="P1541" s="85">
        <f t="shared" si="177"/>
        <v>0</v>
      </c>
      <c r="Q1541" s="85">
        <f t="shared" si="177"/>
        <v>3225.25</v>
      </c>
      <c r="R1541" s="85">
        <f t="shared" si="177"/>
        <v>0</v>
      </c>
      <c r="S1541" s="85">
        <f t="shared" si="177"/>
        <v>0</v>
      </c>
      <c r="T1541" s="85">
        <f t="shared" si="177"/>
        <v>0</v>
      </c>
      <c r="U1541" s="85">
        <f t="shared" si="177"/>
        <v>0</v>
      </c>
      <c r="V1541" s="85">
        <f t="shared" si="177"/>
        <v>3225.25</v>
      </c>
      <c r="W1541" s="85">
        <f t="shared" si="177"/>
        <v>0</v>
      </c>
      <c r="X1541" s="85" t="e">
        <f t="shared" si="177"/>
        <v>#VALUE!</v>
      </c>
      <c r="Y1541" s="85">
        <f t="shared" si="177"/>
        <v>0</v>
      </c>
      <c r="Z1541" s="85" t="e">
        <f t="shared" si="177"/>
        <v>#VALUE!</v>
      </c>
      <c r="AA1541" s="69">
        <f t="shared" si="177"/>
        <v>3225.25</v>
      </c>
      <c r="AB1541" s="69">
        <f t="shared" si="177"/>
        <v>0</v>
      </c>
    </row>
    <row r="1542" spans="1:28" x14ac:dyDescent="0.3">
      <c r="A1542" s="117"/>
      <c r="E1542" s="86"/>
      <c r="F1542" s="86" t="s">
        <v>29</v>
      </c>
      <c r="G1542" s="86" t="s">
        <v>29</v>
      </c>
      <c r="H1542" s="86"/>
      <c r="I1542" s="86"/>
      <c r="J1542" s="86"/>
      <c r="K1542" s="86"/>
      <c r="L1542" s="86"/>
      <c r="M1542" s="86"/>
      <c r="N1542" s="86"/>
      <c r="O1542" s="86"/>
      <c r="P1542" s="86"/>
      <c r="Q1542" s="86"/>
      <c r="R1542" s="86"/>
      <c r="S1542" s="86"/>
      <c r="T1542" s="86"/>
      <c r="U1542" s="86"/>
      <c r="V1542" s="86"/>
      <c r="W1542" s="86"/>
      <c r="X1542" s="86"/>
      <c r="Y1542" s="86"/>
      <c r="Z1542" s="86"/>
      <c r="AA1542" s="115" t="s">
        <v>29</v>
      </c>
      <c r="AB1542" s="115" t="s">
        <v>29</v>
      </c>
    </row>
    <row r="1543" spans="1:28" s="106" customFormat="1" x14ac:dyDescent="0.3">
      <c r="A1543" s="104"/>
      <c r="B1543" s="7" t="s">
        <v>759</v>
      </c>
      <c r="C1543" s="7" t="s">
        <v>3</v>
      </c>
      <c r="D1543" s="8"/>
      <c r="E1543" s="82">
        <f t="shared" ref="E1543:AB1543" si="178">E1214+E1244+E1281+E1309+E1339+E1375+E1402+E1433+E1471+E1497+E1541</f>
        <v>1346751.6174899999</v>
      </c>
      <c r="F1543" s="82">
        <f t="shared" si="178"/>
        <v>518412.21536999999</v>
      </c>
      <c r="G1543" s="82">
        <f t="shared" si="178"/>
        <v>7590.9486899999993</v>
      </c>
      <c r="H1543" s="82">
        <f t="shared" si="178"/>
        <v>1282422.8442700002</v>
      </c>
      <c r="I1543" s="82">
        <f t="shared" si="178"/>
        <v>3349.7432200000003</v>
      </c>
      <c r="J1543" s="82">
        <f t="shared" si="178"/>
        <v>462670.38212999998</v>
      </c>
      <c r="K1543" s="82">
        <f t="shared" si="178"/>
        <v>58979.810389999999</v>
      </c>
      <c r="L1543" s="82">
        <f t="shared" si="178"/>
        <v>3349.7432200000003</v>
      </c>
      <c r="M1543" s="82">
        <f t="shared" si="178"/>
        <v>529352.90728000004</v>
      </c>
      <c r="N1543" s="82">
        <f t="shared" si="178"/>
        <v>59583.381120000005</v>
      </c>
      <c r="O1543" s="82">
        <f t="shared" si="178"/>
        <v>0</v>
      </c>
      <c r="P1543" s="82">
        <f t="shared" si="178"/>
        <v>59583.406999999999</v>
      </c>
      <c r="Q1543" s="82">
        <f t="shared" si="178"/>
        <v>445162.42417999997</v>
      </c>
      <c r="R1543" s="82">
        <f t="shared" si="178"/>
        <v>0</v>
      </c>
      <c r="S1543" s="82">
        <f t="shared" si="178"/>
        <v>0</v>
      </c>
      <c r="T1543" s="82">
        <f t="shared" si="178"/>
        <v>693.64542000000006</v>
      </c>
      <c r="U1543" s="82">
        <f t="shared" si="178"/>
        <v>60277.026540000006</v>
      </c>
      <c r="V1543" s="82">
        <f t="shared" si="178"/>
        <v>551059.07068999996</v>
      </c>
      <c r="W1543" s="82">
        <f t="shared" si="178"/>
        <v>4745.1421000000009</v>
      </c>
      <c r="X1543" s="82">
        <f>+X1214+X1244+X1281+X1309+X1339+X1375+X1402+X1433+X1471+X1497+X1500+X1503+X1506+X1509+X1512+X1515+X1518+X1521+X1524+X1527+X1530+X1533+X1536+X1539</f>
        <v>1342006.2512699999</v>
      </c>
      <c r="Y1543" s="82">
        <f t="shared" si="178"/>
        <v>0</v>
      </c>
      <c r="Z1543" s="82">
        <f>+Z1214+Z1244+Z1281+Z1309+Z1339+Z1375+Z1402+Z1433+Z1471+Z1497+Z1500+Z1503+Z1506+Z1509+Z1512+Z1515+Z1518+Z1521+Z1524+Z1527+Z1530+Z1533+Z1536+Z1539</f>
        <v>4745.4253800000151</v>
      </c>
      <c r="AA1543" s="9">
        <f t="shared" si="178"/>
        <v>589629.93381999992</v>
      </c>
      <c r="AB1543" s="9">
        <f t="shared" si="178"/>
        <v>701.7534599999999</v>
      </c>
    </row>
    <row r="1544" spans="1:28" x14ac:dyDescent="0.3">
      <c r="A1544" s="117"/>
      <c r="E1544" s="86"/>
      <c r="F1544" s="86"/>
      <c r="G1544" s="86"/>
      <c r="H1544" s="86"/>
      <c r="I1544" s="86"/>
      <c r="J1544" s="86"/>
      <c r="K1544" s="86"/>
      <c r="L1544" s="86"/>
      <c r="M1544" s="86"/>
      <c r="N1544" s="86"/>
      <c r="O1544" s="86"/>
      <c r="P1544" s="86"/>
      <c r="Q1544" s="86"/>
      <c r="R1544" s="86"/>
      <c r="S1544" s="86"/>
      <c r="T1544" s="86"/>
      <c r="U1544" s="86"/>
      <c r="V1544" s="86"/>
      <c r="W1544" s="86"/>
      <c r="X1544" s="86"/>
      <c r="Y1544" s="86"/>
      <c r="Z1544" s="86"/>
      <c r="AA1544" s="115" t="s">
        <v>114</v>
      </c>
      <c r="AB1544" s="115" t="s">
        <v>114</v>
      </c>
    </row>
    <row r="1545" spans="1:28" x14ac:dyDescent="0.3">
      <c r="A1545" s="117"/>
      <c r="B1545" s="68" t="s">
        <v>293</v>
      </c>
      <c r="E1545" s="84"/>
      <c r="F1545" s="84"/>
      <c r="G1545" s="84"/>
      <c r="H1545" s="84"/>
      <c r="I1545" s="84"/>
      <c r="J1545" s="84"/>
      <c r="K1545" s="84"/>
      <c r="L1545" s="84"/>
      <c r="M1545" s="84"/>
      <c r="N1545" s="84"/>
      <c r="O1545" s="84"/>
      <c r="P1545" s="84"/>
      <c r="Q1545" s="84"/>
      <c r="R1545" s="84"/>
      <c r="S1545" s="84"/>
      <c r="T1545" s="84"/>
      <c r="U1545" s="84"/>
      <c r="V1545" s="84"/>
      <c r="W1545" s="84"/>
      <c r="X1545" s="84"/>
      <c r="Y1545" s="84"/>
      <c r="Z1545" s="84"/>
    </row>
    <row r="1546" spans="1:28" hidden="1" x14ac:dyDescent="0.3">
      <c r="A1546" s="117"/>
      <c r="C1546" s="68"/>
      <c r="E1546" s="84"/>
      <c r="F1546" s="84"/>
      <c r="G1546" s="84"/>
      <c r="H1546" s="84"/>
      <c r="I1546" s="84"/>
      <c r="J1546" s="84"/>
      <c r="K1546" s="84"/>
      <c r="L1546" s="84"/>
      <c r="M1546" s="84"/>
      <c r="N1546" s="84"/>
      <c r="O1546" s="84"/>
      <c r="P1546" s="84"/>
      <c r="Q1546" s="84"/>
      <c r="R1546" s="84"/>
      <c r="S1546" s="84"/>
      <c r="T1546" s="84"/>
      <c r="U1546" s="84"/>
      <c r="V1546" s="84"/>
      <c r="W1546" s="84"/>
      <c r="X1546" s="84"/>
      <c r="Y1546" s="84"/>
      <c r="Z1546" s="84"/>
    </row>
    <row r="1547" spans="1:28" hidden="1" x14ac:dyDescent="0.3">
      <c r="A1547" s="105"/>
      <c r="E1547" s="84"/>
      <c r="F1547" s="84"/>
      <c r="G1547" s="84"/>
      <c r="H1547" s="84"/>
      <c r="I1547" s="84"/>
      <c r="J1547" s="84"/>
      <c r="K1547" s="84"/>
      <c r="L1547" s="84"/>
      <c r="M1547" s="84"/>
      <c r="N1547" s="84"/>
      <c r="O1547" s="84"/>
      <c r="P1547" s="84"/>
      <c r="Q1547" s="84"/>
      <c r="R1547" s="84"/>
      <c r="S1547" s="84"/>
      <c r="T1547" s="84"/>
      <c r="U1547" s="84"/>
      <c r="V1547" s="84"/>
      <c r="W1547" s="84"/>
      <c r="X1547" s="84"/>
      <c r="Y1547" s="84"/>
      <c r="Z1547" s="84"/>
    </row>
    <row r="1548" spans="1:28" hidden="1" x14ac:dyDescent="0.3">
      <c r="A1548" s="117"/>
      <c r="C1548" s="68" t="s">
        <v>295</v>
      </c>
      <c r="D1548" s="145" t="s">
        <v>296</v>
      </c>
      <c r="E1548" s="85">
        <f>STATS1003B!E1551/1000</f>
        <v>190</v>
      </c>
      <c r="F1548" s="85">
        <f>STATS1003B!F1551/1000</f>
        <v>190</v>
      </c>
      <c r="G1548" s="85">
        <f>STATS1003B!G1551/1000</f>
        <v>0</v>
      </c>
      <c r="H1548" s="85">
        <f>STATS1003B!H1551/1000</f>
        <v>190</v>
      </c>
      <c r="I1548" s="85">
        <f>STATS1003B!I1551/1000</f>
        <v>0</v>
      </c>
      <c r="J1548" s="85">
        <f>STATS1003B!J1551/1000</f>
        <v>0</v>
      </c>
      <c r="K1548" s="85">
        <f>STATS1003B!K1551/1000</f>
        <v>0</v>
      </c>
      <c r="L1548" s="85">
        <f>STATS1003B!L1551/1000</f>
        <v>0</v>
      </c>
      <c r="M1548" s="85">
        <f>STATS1003B!M1551/1000</f>
        <v>190</v>
      </c>
      <c r="N1548" s="85">
        <f>STATS1003B!N1551/1000</f>
        <v>0</v>
      </c>
      <c r="O1548" s="85">
        <f>STATS1003B!O1551/1000</f>
        <v>0</v>
      </c>
      <c r="P1548" s="85">
        <f>STATS1003B!P1551/1000</f>
        <v>0</v>
      </c>
      <c r="Q1548" s="85">
        <f>STATS1003B!Q1551/1000</f>
        <v>0</v>
      </c>
      <c r="R1548" s="85">
        <f>STATS1003B!R1551/1000</f>
        <v>0</v>
      </c>
      <c r="S1548" s="85">
        <f>STATS1003B!S1551/1000</f>
        <v>0</v>
      </c>
      <c r="T1548" s="85">
        <f>STATS1003B!T1551/1000</f>
        <v>0</v>
      </c>
      <c r="U1548" s="85">
        <f>STATS1003B!U1551/1000</f>
        <v>0</v>
      </c>
      <c r="V1548" s="85">
        <f>STATS1003B!V1551/1000</f>
        <v>190</v>
      </c>
      <c r="W1548" s="85">
        <f>STATS1003B!W1551/1000</f>
        <v>0</v>
      </c>
      <c r="X1548" s="85">
        <f>STATS1003B!X1551/1000</f>
        <v>190</v>
      </c>
      <c r="Y1548" s="85">
        <f>STATS1003B!Y1551/1000</f>
        <v>0</v>
      </c>
      <c r="Z1548" s="85">
        <f>STATS1003B!Z1551/1000</f>
        <v>0</v>
      </c>
      <c r="AA1548" s="69">
        <f>STATS1003B!AA1551/1000</f>
        <v>190</v>
      </c>
      <c r="AB1548" s="69">
        <f>STATS1003B!AB1551/1000</f>
        <v>0</v>
      </c>
    </row>
    <row r="1549" spans="1:28" hidden="1" x14ac:dyDescent="0.3">
      <c r="A1549" s="117"/>
      <c r="C1549" s="68" t="s">
        <v>297</v>
      </c>
      <c r="D1549" s="88" t="s">
        <v>78</v>
      </c>
      <c r="E1549" s="85">
        <f>STATS1003B!E1552/1000</f>
        <v>894.32985999999994</v>
      </c>
      <c r="F1549" s="85">
        <f>STATS1003B!F1552/1000</f>
        <v>445.822</v>
      </c>
      <c r="G1549" s="85">
        <f>STATS1003B!G1552/1000</f>
        <v>0</v>
      </c>
      <c r="H1549" s="85">
        <f>STATS1003B!H1552/1000</f>
        <v>445.822</v>
      </c>
      <c r="I1549" s="85">
        <f>STATS1003B!I1552/1000</f>
        <v>0</v>
      </c>
      <c r="J1549" s="85">
        <f>STATS1003B!J1552/1000</f>
        <v>0</v>
      </c>
      <c r="K1549" s="85">
        <f>STATS1003B!K1552/1000</f>
        <v>0</v>
      </c>
      <c r="L1549" s="85">
        <f>STATS1003B!L1552/1000</f>
        <v>0</v>
      </c>
      <c r="M1549" s="85">
        <f>STATS1003B!M1552/1000</f>
        <v>445.822</v>
      </c>
      <c r="N1549" s="85">
        <f>STATS1003B!N1552/1000</f>
        <v>448.50785999999999</v>
      </c>
      <c r="O1549" s="85">
        <f>STATS1003B!O1552/1000</f>
        <v>0</v>
      </c>
      <c r="P1549" s="85">
        <f>STATS1003B!P1552/1000</f>
        <v>448.50785999999999</v>
      </c>
      <c r="Q1549" s="85">
        <f>STATS1003B!Q1552/1000</f>
        <v>0</v>
      </c>
      <c r="R1549" s="85">
        <f>STATS1003B!R1552/1000</f>
        <v>0</v>
      </c>
      <c r="S1549" s="85">
        <f>STATS1003B!S1552/1000</f>
        <v>0</v>
      </c>
      <c r="T1549" s="85">
        <f>STATS1003B!T1552/1000</f>
        <v>0</v>
      </c>
      <c r="U1549" s="85">
        <f>STATS1003B!U1552/1000</f>
        <v>448.50785999999999</v>
      </c>
      <c r="V1549" s="85">
        <f>STATS1003B!V1552/1000</f>
        <v>894.32985999999994</v>
      </c>
      <c r="W1549" s="85">
        <f>STATS1003B!W1552/1000</f>
        <v>0</v>
      </c>
      <c r="X1549" s="85">
        <f>STATS1003B!X1552/1000</f>
        <v>894.32985999999994</v>
      </c>
      <c r="Y1549" s="85">
        <f>STATS1003B!Y1552/1000</f>
        <v>0</v>
      </c>
      <c r="Z1549" s="85">
        <f>STATS1003B!Z1552/1000</f>
        <v>0</v>
      </c>
      <c r="AA1549" s="69">
        <f>STATS1003B!AA1552/1000</f>
        <v>894.32985999999994</v>
      </c>
      <c r="AB1549" s="69">
        <f>STATS1003B!AB1552/1000</f>
        <v>0</v>
      </c>
    </row>
    <row r="1550" spans="1:28" hidden="1" x14ac:dyDescent="0.3">
      <c r="A1550" s="117"/>
      <c r="C1550" s="68" t="s">
        <v>298</v>
      </c>
      <c r="D1550" s="145" t="s">
        <v>78</v>
      </c>
      <c r="E1550" s="85">
        <f>STATS1003B!E1553/1000</f>
        <v>127</v>
      </c>
      <c r="F1550" s="85">
        <f>STATS1003B!F1553/1000</f>
        <v>127</v>
      </c>
      <c r="G1550" s="85">
        <f>STATS1003B!G1553/1000</f>
        <v>0</v>
      </c>
      <c r="H1550" s="85">
        <f>STATS1003B!H1553/1000</f>
        <v>127</v>
      </c>
      <c r="I1550" s="85">
        <f>STATS1003B!I1553/1000</f>
        <v>0</v>
      </c>
      <c r="J1550" s="85">
        <f>STATS1003B!J1553/1000</f>
        <v>0</v>
      </c>
      <c r="K1550" s="85">
        <f>STATS1003B!K1553/1000</f>
        <v>0</v>
      </c>
      <c r="L1550" s="85">
        <f>STATS1003B!L1553/1000</f>
        <v>0</v>
      </c>
      <c r="M1550" s="85">
        <f>STATS1003B!M1553/1000</f>
        <v>127</v>
      </c>
      <c r="N1550" s="85">
        <f>STATS1003B!N1553/1000</f>
        <v>0</v>
      </c>
      <c r="O1550" s="85">
        <f>STATS1003B!O1553/1000</f>
        <v>0</v>
      </c>
      <c r="P1550" s="85">
        <f>STATS1003B!P1553/1000</f>
        <v>0</v>
      </c>
      <c r="Q1550" s="85">
        <f>STATS1003B!Q1553/1000</f>
        <v>0</v>
      </c>
      <c r="R1550" s="85">
        <f>STATS1003B!R1553/1000</f>
        <v>0</v>
      </c>
      <c r="S1550" s="85">
        <f>STATS1003B!S1553/1000</f>
        <v>0</v>
      </c>
      <c r="T1550" s="85">
        <f>STATS1003B!T1553/1000</f>
        <v>0</v>
      </c>
      <c r="U1550" s="85">
        <f>STATS1003B!U1553/1000</f>
        <v>0</v>
      </c>
      <c r="V1550" s="85">
        <f>STATS1003B!V1553/1000</f>
        <v>127</v>
      </c>
      <c r="W1550" s="85">
        <f>STATS1003B!W1553/1000</f>
        <v>0</v>
      </c>
      <c r="X1550" s="85">
        <f>STATS1003B!X1553/1000</f>
        <v>127</v>
      </c>
      <c r="Y1550" s="85">
        <f>STATS1003B!Y1553/1000</f>
        <v>0</v>
      </c>
      <c r="Z1550" s="85">
        <f>STATS1003B!Z1553/1000</f>
        <v>0</v>
      </c>
      <c r="AA1550" s="69">
        <f>STATS1003B!AA1553/1000</f>
        <v>127</v>
      </c>
      <c r="AB1550" s="69">
        <f>STATS1003B!AB1553/1000</f>
        <v>0</v>
      </c>
    </row>
    <row r="1551" spans="1:28" hidden="1" x14ac:dyDescent="0.3">
      <c r="A1551" s="117"/>
      <c r="C1551" s="68" t="s">
        <v>1082</v>
      </c>
      <c r="D1551" s="90" t="s">
        <v>1072</v>
      </c>
      <c r="E1551" s="85">
        <f>STATS1003B!E1554/1000</f>
        <v>277.99897999999996</v>
      </c>
      <c r="F1551" s="85">
        <f>STATS1003B!F1554/1000</f>
        <v>0</v>
      </c>
      <c r="G1551" s="85">
        <f>STATS1003B!G1554/1000</f>
        <v>0</v>
      </c>
      <c r="H1551" s="85">
        <f>STATS1003B!H1554/1000</f>
        <v>0</v>
      </c>
      <c r="I1551" s="85">
        <f>STATS1003B!I1554/1000</f>
        <v>0</v>
      </c>
      <c r="J1551" s="85">
        <f>STATS1003B!J1554/1000</f>
        <v>0</v>
      </c>
      <c r="K1551" s="85">
        <f>STATS1003B!K1554/1000</f>
        <v>0</v>
      </c>
      <c r="L1551" s="85">
        <f>STATS1003B!L1554/1000</f>
        <v>0</v>
      </c>
      <c r="M1551" s="85">
        <f>STATS1003B!M1554/1000</f>
        <v>0</v>
      </c>
      <c r="N1551" s="85">
        <f>STATS1003B!N1554/1000</f>
        <v>277.99897999999996</v>
      </c>
      <c r="O1551" s="85">
        <f>STATS1003B!O1554/1000</f>
        <v>0</v>
      </c>
      <c r="P1551" s="85">
        <f>STATS1003B!P1554/1000</f>
        <v>277.99897999999996</v>
      </c>
      <c r="Q1551" s="85">
        <f>STATS1003B!Q1554/1000</f>
        <v>0</v>
      </c>
      <c r="R1551" s="85">
        <f>STATS1003B!R1554/1000</f>
        <v>0</v>
      </c>
      <c r="S1551" s="85">
        <f>STATS1003B!S1554/1000</f>
        <v>0</v>
      </c>
      <c r="T1551" s="85">
        <f>STATS1003B!T1554/1000</f>
        <v>0</v>
      </c>
      <c r="U1551" s="85">
        <f>STATS1003B!U1554/1000</f>
        <v>277.99897999999996</v>
      </c>
      <c r="V1551" s="85">
        <f>STATS1003B!V1554/1000</f>
        <v>277.99897999999996</v>
      </c>
      <c r="W1551" s="85">
        <f>STATS1003B!W1554/1000</f>
        <v>0</v>
      </c>
      <c r="X1551" s="85">
        <f>STATS1003B!X1554/1000</f>
        <v>277.99897999999996</v>
      </c>
      <c r="Y1551" s="85">
        <f>STATS1003B!Y1554/1000</f>
        <v>0</v>
      </c>
      <c r="Z1551" s="85">
        <f>STATS1003B!Z1554/1000</f>
        <v>0</v>
      </c>
      <c r="AA1551" s="69">
        <f>STATS1003B!AA1554/1000</f>
        <v>277.99897999999996</v>
      </c>
      <c r="AB1551" s="69">
        <f>STATS1003B!AB1554/1000</f>
        <v>0</v>
      </c>
    </row>
    <row r="1552" spans="1:28" hidden="1" x14ac:dyDescent="0.3">
      <c r="A1552" s="117"/>
      <c r="C1552" s="68" t="s">
        <v>57</v>
      </c>
      <c r="D1552" s="145" t="s">
        <v>152</v>
      </c>
      <c r="E1552" s="85">
        <f>STATS1003B!E1555/1000</f>
        <v>3848.94886</v>
      </c>
      <c r="F1552" s="85">
        <f>STATS1003B!F1555/1000</f>
        <v>3301.9520000000002</v>
      </c>
      <c r="G1552" s="85">
        <f>STATS1003B!G1555/1000</f>
        <v>0</v>
      </c>
      <c r="H1552" s="85">
        <f>STATS1003B!H1555/1000</f>
        <v>3301.9520000000002</v>
      </c>
      <c r="I1552" s="85">
        <f>STATS1003B!I1555/1000</f>
        <v>0</v>
      </c>
      <c r="J1552" s="85">
        <f>STATS1003B!J1555/1000</f>
        <v>0</v>
      </c>
      <c r="K1552" s="85">
        <f>STATS1003B!K1555/1000</f>
        <v>0</v>
      </c>
      <c r="L1552" s="85">
        <f>STATS1003B!L1555/1000</f>
        <v>0</v>
      </c>
      <c r="M1552" s="85">
        <f>STATS1003B!M1555/1000</f>
        <v>3301.9520000000002</v>
      </c>
      <c r="N1552" s="85">
        <f>STATS1003B!N1555/1000</f>
        <v>546.99685999999997</v>
      </c>
      <c r="O1552" s="85">
        <f>STATS1003B!O1555/1000</f>
        <v>0</v>
      </c>
      <c r="P1552" s="85">
        <f>STATS1003B!P1555/1000</f>
        <v>546.99685999999997</v>
      </c>
      <c r="Q1552" s="85">
        <f>STATS1003B!Q1555/1000</f>
        <v>0</v>
      </c>
      <c r="R1552" s="85">
        <f>STATS1003B!R1555/1000</f>
        <v>0</v>
      </c>
      <c r="S1552" s="85">
        <f>STATS1003B!S1555/1000</f>
        <v>0</v>
      </c>
      <c r="T1552" s="85">
        <f>STATS1003B!T1555/1000</f>
        <v>0</v>
      </c>
      <c r="U1552" s="85">
        <f>STATS1003B!U1555/1000</f>
        <v>546.99685999999997</v>
      </c>
      <c r="V1552" s="85">
        <f>STATS1003B!V1555/1000</f>
        <v>3848.94886</v>
      </c>
      <c r="W1552" s="85">
        <f>STATS1003B!W1555/1000</f>
        <v>0</v>
      </c>
      <c r="X1552" s="85">
        <f>STATS1003B!X1555/1000</f>
        <v>3848.94886</v>
      </c>
      <c r="Y1552" s="85">
        <f>STATS1003B!Y1555/1000</f>
        <v>0</v>
      </c>
      <c r="Z1552" s="85">
        <f>STATS1003B!Z1555/1000</f>
        <v>0</v>
      </c>
      <c r="AA1552" s="69">
        <f>STATS1003B!AA1555/1000</f>
        <v>3848.94886</v>
      </c>
      <c r="AB1552" s="69">
        <f>STATS1003B!AB1555/1000</f>
        <v>0</v>
      </c>
    </row>
    <row r="1553" spans="1:28" hidden="1" x14ac:dyDescent="0.3">
      <c r="A1553" s="117"/>
      <c r="C1553" s="68" t="s">
        <v>53</v>
      </c>
      <c r="D1553" s="145" t="s">
        <v>68</v>
      </c>
      <c r="E1553" s="85">
        <f>STATS1003B!E1556/1000</f>
        <v>1953.989</v>
      </c>
      <c r="F1553" s="85">
        <f>STATS1003B!F1556/1000</f>
        <v>0</v>
      </c>
      <c r="G1553" s="85">
        <f>STATS1003B!G1556/1000</f>
        <v>0</v>
      </c>
      <c r="H1553" s="85">
        <f>STATS1003B!H1556/1000</f>
        <v>0</v>
      </c>
      <c r="I1553" s="85">
        <f>STATS1003B!I1556/1000</f>
        <v>0</v>
      </c>
      <c r="J1553" s="85">
        <f>STATS1003B!J1556/1000</f>
        <v>0</v>
      </c>
      <c r="K1553" s="85">
        <f>STATS1003B!K1556/1000</f>
        <v>0</v>
      </c>
      <c r="L1553" s="85">
        <f>STATS1003B!L1556/1000</f>
        <v>0</v>
      </c>
      <c r="M1553" s="85">
        <f>STATS1003B!M1556/1000</f>
        <v>0</v>
      </c>
      <c r="N1553" s="85">
        <f>STATS1003B!N1556/1000</f>
        <v>1953.989</v>
      </c>
      <c r="O1553" s="85">
        <f>STATS1003B!O1556/1000</f>
        <v>0</v>
      </c>
      <c r="P1553" s="85">
        <f>STATS1003B!P1556/1000</f>
        <v>1953.989</v>
      </c>
      <c r="Q1553" s="85">
        <f>STATS1003B!Q1556/1000</f>
        <v>0</v>
      </c>
      <c r="R1553" s="85">
        <f>STATS1003B!R1556/1000</f>
        <v>0</v>
      </c>
      <c r="S1553" s="85">
        <f>STATS1003B!S1556/1000</f>
        <v>0</v>
      </c>
      <c r="T1553" s="85">
        <f>STATS1003B!T1556/1000</f>
        <v>0</v>
      </c>
      <c r="U1553" s="85">
        <f>STATS1003B!U1556/1000</f>
        <v>1953.989</v>
      </c>
      <c r="V1553" s="85">
        <f>STATS1003B!V1556/1000</f>
        <v>1953.989</v>
      </c>
      <c r="W1553" s="85">
        <f>STATS1003B!W1556/1000</f>
        <v>0</v>
      </c>
      <c r="X1553" s="85">
        <f>STATS1003B!X1556/1000</f>
        <v>1953.989</v>
      </c>
      <c r="Y1553" s="85">
        <f>STATS1003B!Y1556/1000</f>
        <v>0</v>
      </c>
      <c r="Z1553" s="85">
        <f>STATS1003B!Z1556/1000</f>
        <v>0</v>
      </c>
      <c r="AA1553" s="69">
        <f>STATS1003B!AA1556/1000</f>
        <v>1953.989</v>
      </c>
      <c r="AB1553" s="69">
        <f>STATS1003B!AB1556/1000</f>
        <v>0</v>
      </c>
    </row>
    <row r="1554" spans="1:28" hidden="1" x14ac:dyDescent="0.3">
      <c r="A1554" s="117"/>
      <c r="C1554" s="68" t="s">
        <v>69</v>
      </c>
      <c r="D1554" s="145" t="s">
        <v>54</v>
      </c>
      <c r="E1554" s="85">
        <f>STATS1003B!E1557/1000</f>
        <v>955.34561999999994</v>
      </c>
      <c r="F1554" s="85">
        <f>STATS1003B!F1557/1000</f>
        <v>0</v>
      </c>
      <c r="G1554" s="85">
        <f>STATS1003B!G1557/1000</f>
        <v>0</v>
      </c>
      <c r="H1554" s="85">
        <f>STATS1003B!H1557/1000</f>
        <v>0</v>
      </c>
      <c r="I1554" s="85">
        <f>STATS1003B!I1557/1000</f>
        <v>0</v>
      </c>
      <c r="J1554" s="85">
        <f>STATS1003B!J1557/1000</f>
        <v>0</v>
      </c>
      <c r="K1554" s="85">
        <f>STATS1003B!K1557/1000</f>
        <v>0</v>
      </c>
      <c r="L1554" s="85">
        <f>STATS1003B!L1557/1000</f>
        <v>0</v>
      </c>
      <c r="M1554" s="85">
        <f>STATS1003B!M1557/1000</f>
        <v>0</v>
      </c>
      <c r="N1554" s="85">
        <f>STATS1003B!N1557/1000</f>
        <v>955.34561999999994</v>
      </c>
      <c r="O1554" s="85">
        <f>STATS1003B!O1557/1000</f>
        <v>0</v>
      </c>
      <c r="P1554" s="85">
        <f>STATS1003B!P1557/1000</f>
        <v>955.34561999999994</v>
      </c>
      <c r="Q1554" s="85">
        <f>STATS1003B!Q1557/1000</f>
        <v>0</v>
      </c>
      <c r="R1554" s="85">
        <f>STATS1003B!R1557/1000</f>
        <v>0</v>
      </c>
      <c r="S1554" s="85">
        <f>STATS1003B!S1557/1000</f>
        <v>0</v>
      </c>
      <c r="T1554" s="85">
        <f>STATS1003B!T1557/1000</f>
        <v>0</v>
      </c>
      <c r="U1554" s="85">
        <f>STATS1003B!U1557/1000</f>
        <v>955.34561999999994</v>
      </c>
      <c r="V1554" s="85">
        <f>STATS1003B!V1557/1000</f>
        <v>955.34561999999994</v>
      </c>
      <c r="W1554" s="85">
        <f>STATS1003B!W1557/1000</f>
        <v>0</v>
      </c>
      <c r="X1554" s="85">
        <f>STATS1003B!X1557/1000</f>
        <v>955.34561999999994</v>
      </c>
      <c r="Y1554" s="85">
        <f>STATS1003B!Y1557/1000</f>
        <v>0</v>
      </c>
      <c r="Z1554" s="85">
        <f>STATS1003B!Z1557/1000</f>
        <v>0</v>
      </c>
      <c r="AA1554" s="69">
        <f>STATS1003B!AA1557/1000</f>
        <v>955.34561999999994</v>
      </c>
      <c r="AB1554" s="69">
        <f>STATS1003B!AB1557/1000</f>
        <v>0</v>
      </c>
    </row>
    <row r="1555" spans="1:28" hidden="1" x14ac:dyDescent="0.3">
      <c r="A1555" s="117"/>
      <c r="C1555" s="68" t="s">
        <v>299</v>
      </c>
      <c r="D1555" s="145" t="s">
        <v>54</v>
      </c>
      <c r="E1555" s="85">
        <f>STATS1003B!E1558/1000</f>
        <v>1900</v>
      </c>
      <c r="F1555" s="85">
        <f>STATS1003B!F1558/1000</f>
        <v>1900</v>
      </c>
      <c r="G1555" s="85">
        <f>STATS1003B!G1558/1000</f>
        <v>0</v>
      </c>
      <c r="H1555" s="85">
        <f>STATS1003B!H1558/1000</f>
        <v>1900</v>
      </c>
      <c r="I1555" s="85">
        <f>STATS1003B!I1558/1000</f>
        <v>0</v>
      </c>
      <c r="J1555" s="85">
        <f>STATS1003B!J1558/1000</f>
        <v>0</v>
      </c>
      <c r="K1555" s="85">
        <f>STATS1003B!K1558/1000</f>
        <v>0</v>
      </c>
      <c r="L1555" s="85">
        <f>STATS1003B!L1558/1000</f>
        <v>0</v>
      </c>
      <c r="M1555" s="85">
        <f>STATS1003B!M1558/1000</f>
        <v>1900</v>
      </c>
      <c r="N1555" s="85">
        <f>STATS1003B!N1558/1000</f>
        <v>0</v>
      </c>
      <c r="O1555" s="85">
        <f>STATS1003B!O1558/1000</f>
        <v>0</v>
      </c>
      <c r="P1555" s="85">
        <f>STATS1003B!P1558/1000</f>
        <v>0</v>
      </c>
      <c r="Q1555" s="85">
        <f>STATS1003B!Q1558/1000</f>
        <v>0</v>
      </c>
      <c r="R1555" s="85">
        <f>STATS1003B!R1558/1000</f>
        <v>0</v>
      </c>
      <c r="S1555" s="85">
        <f>STATS1003B!S1558/1000</f>
        <v>0</v>
      </c>
      <c r="T1555" s="85">
        <f>STATS1003B!T1558/1000</f>
        <v>0</v>
      </c>
      <c r="U1555" s="85">
        <f>STATS1003B!U1558/1000</f>
        <v>0</v>
      </c>
      <c r="V1555" s="85">
        <f>STATS1003B!V1558/1000</f>
        <v>1900</v>
      </c>
      <c r="W1555" s="85">
        <f>STATS1003B!W1558/1000</f>
        <v>0</v>
      </c>
      <c r="X1555" s="85">
        <f>STATS1003B!X1558/1000</f>
        <v>1900</v>
      </c>
      <c r="Y1555" s="85">
        <f>STATS1003B!Y1558/1000</f>
        <v>0</v>
      </c>
      <c r="Z1555" s="85">
        <f>STATS1003B!Z1558/1000</f>
        <v>0</v>
      </c>
      <c r="AA1555" s="69">
        <f>STATS1003B!AA1558/1000</f>
        <v>1900</v>
      </c>
      <c r="AB1555" s="69">
        <f>STATS1003B!AB1558/1000</f>
        <v>0</v>
      </c>
    </row>
    <row r="1556" spans="1:28" hidden="1" x14ac:dyDescent="0.3">
      <c r="A1556" s="117"/>
      <c r="C1556" s="68" t="s">
        <v>300</v>
      </c>
      <c r="D1556" s="145" t="s">
        <v>54</v>
      </c>
      <c r="E1556" s="85">
        <f>STATS1003B!E1559/1000</f>
        <v>570</v>
      </c>
      <c r="F1556" s="85">
        <f>STATS1003B!F1559/1000</f>
        <v>570</v>
      </c>
      <c r="G1556" s="85">
        <f>STATS1003B!G1559/1000</f>
        <v>0</v>
      </c>
      <c r="H1556" s="85">
        <f>STATS1003B!H1559/1000</f>
        <v>570</v>
      </c>
      <c r="I1556" s="85">
        <f>STATS1003B!I1559/1000</f>
        <v>0</v>
      </c>
      <c r="J1556" s="85">
        <f>STATS1003B!J1559/1000</f>
        <v>0</v>
      </c>
      <c r="K1556" s="85">
        <f>STATS1003B!K1559/1000</f>
        <v>0</v>
      </c>
      <c r="L1556" s="85">
        <f>STATS1003B!L1559/1000</f>
        <v>0</v>
      </c>
      <c r="M1556" s="85">
        <f>STATS1003B!M1559/1000</f>
        <v>570</v>
      </c>
      <c r="N1556" s="85">
        <f>STATS1003B!N1559/1000</f>
        <v>0</v>
      </c>
      <c r="O1556" s="85">
        <f>STATS1003B!O1559/1000</f>
        <v>0</v>
      </c>
      <c r="P1556" s="85">
        <f>STATS1003B!P1559/1000</f>
        <v>0</v>
      </c>
      <c r="Q1556" s="85">
        <f>STATS1003B!Q1559/1000</f>
        <v>0</v>
      </c>
      <c r="R1556" s="85">
        <f>STATS1003B!R1559/1000</f>
        <v>0</v>
      </c>
      <c r="S1556" s="85">
        <f>STATS1003B!S1559/1000</f>
        <v>0</v>
      </c>
      <c r="T1556" s="85">
        <f>STATS1003B!T1559/1000</f>
        <v>0</v>
      </c>
      <c r="U1556" s="85">
        <f>STATS1003B!U1559/1000</f>
        <v>0</v>
      </c>
      <c r="V1556" s="85">
        <f>STATS1003B!V1559/1000</f>
        <v>570</v>
      </c>
      <c r="W1556" s="85">
        <f>STATS1003B!W1559/1000</f>
        <v>0</v>
      </c>
      <c r="X1556" s="85">
        <f>STATS1003B!X1559/1000</f>
        <v>570</v>
      </c>
      <c r="Y1556" s="85">
        <f>STATS1003B!Y1559/1000</f>
        <v>0</v>
      </c>
      <c r="Z1556" s="85">
        <f>STATS1003B!Z1559/1000</f>
        <v>0</v>
      </c>
      <c r="AA1556" s="69">
        <f>STATS1003B!AA1559/1000</f>
        <v>570</v>
      </c>
      <c r="AB1556" s="69">
        <f>STATS1003B!AB1559/1000</f>
        <v>0</v>
      </c>
    </row>
    <row r="1557" spans="1:28" hidden="1" x14ac:dyDescent="0.3">
      <c r="A1557" s="117"/>
      <c r="C1557" s="68" t="s">
        <v>301</v>
      </c>
      <c r="D1557" s="145" t="s">
        <v>234</v>
      </c>
      <c r="E1557" s="85">
        <f>STATS1003B!E1560/1000</f>
        <v>799.5</v>
      </c>
      <c r="F1557" s="85">
        <f>STATS1003B!F1560/1000</f>
        <v>765.24699999999996</v>
      </c>
      <c r="G1557" s="85">
        <f>STATS1003B!G1560/1000</f>
        <v>0</v>
      </c>
      <c r="H1557" s="85">
        <f>STATS1003B!H1560/1000</f>
        <v>765.24699999999996</v>
      </c>
      <c r="I1557" s="85">
        <f>STATS1003B!I1560/1000</f>
        <v>0</v>
      </c>
      <c r="J1557" s="85">
        <f>STATS1003B!J1560/1000</f>
        <v>0</v>
      </c>
      <c r="K1557" s="85">
        <f>STATS1003B!K1560/1000</f>
        <v>0</v>
      </c>
      <c r="L1557" s="85">
        <f>STATS1003B!L1560/1000</f>
        <v>0</v>
      </c>
      <c r="M1557" s="85">
        <f>STATS1003B!M1560/1000</f>
        <v>765.24699999999996</v>
      </c>
      <c r="N1557" s="85">
        <f>STATS1003B!N1560/1000</f>
        <v>0</v>
      </c>
      <c r="O1557" s="85">
        <f>STATS1003B!O1560/1000</f>
        <v>0</v>
      </c>
      <c r="P1557" s="85">
        <f>STATS1003B!P1560/1000</f>
        <v>0</v>
      </c>
      <c r="Q1557" s="85">
        <f>STATS1003B!Q1560/1000</f>
        <v>0</v>
      </c>
      <c r="R1557" s="85">
        <f>STATS1003B!R1560/1000</f>
        <v>0</v>
      </c>
      <c r="S1557" s="85">
        <f>STATS1003B!S1560/1000</f>
        <v>0</v>
      </c>
      <c r="T1557" s="85">
        <f>STATS1003B!T1560/1000</f>
        <v>0</v>
      </c>
      <c r="U1557" s="85">
        <f>STATS1003B!U1560/1000</f>
        <v>0</v>
      </c>
      <c r="V1557" s="85">
        <f>STATS1003B!V1560/1000</f>
        <v>765.24699999999996</v>
      </c>
      <c r="W1557" s="85">
        <f>STATS1003B!W1560/1000</f>
        <v>34.253</v>
      </c>
      <c r="X1557" s="85">
        <f>STATS1003B!X1560/1000</f>
        <v>765.24699999999996</v>
      </c>
      <c r="Y1557" s="85">
        <f>STATS1003B!Y1560/1000</f>
        <v>0</v>
      </c>
      <c r="Z1557" s="85">
        <f>STATS1003B!Z1560/1000</f>
        <v>34.253</v>
      </c>
      <c r="AA1557" s="69">
        <f>STATS1003B!AA1560/1000</f>
        <v>765.24699999999996</v>
      </c>
      <c r="AB1557" s="69">
        <f>STATS1003B!AB1560/1000</f>
        <v>34.253</v>
      </c>
    </row>
    <row r="1558" spans="1:28" hidden="1" x14ac:dyDescent="0.3">
      <c r="A1558" s="117"/>
      <c r="C1558" s="68" t="s">
        <v>302</v>
      </c>
      <c r="D1558" s="145" t="s">
        <v>85</v>
      </c>
      <c r="E1558" s="85">
        <f>STATS1003B!E1561/1000</f>
        <v>120</v>
      </c>
      <c r="F1558" s="85">
        <f>STATS1003B!F1561/1000</f>
        <v>120</v>
      </c>
      <c r="G1558" s="85">
        <f>STATS1003B!G1561/1000</f>
        <v>0</v>
      </c>
      <c r="H1558" s="85">
        <f>STATS1003B!H1561/1000</f>
        <v>120</v>
      </c>
      <c r="I1558" s="85">
        <f>STATS1003B!I1561/1000</f>
        <v>0</v>
      </c>
      <c r="J1558" s="85">
        <f>STATS1003B!J1561/1000</f>
        <v>0</v>
      </c>
      <c r="K1558" s="85">
        <f>STATS1003B!K1561/1000</f>
        <v>0</v>
      </c>
      <c r="L1558" s="85">
        <f>STATS1003B!L1561/1000</f>
        <v>0</v>
      </c>
      <c r="M1558" s="85">
        <f>STATS1003B!M1561/1000</f>
        <v>120</v>
      </c>
      <c r="N1558" s="85">
        <f>STATS1003B!N1561/1000</f>
        <v>0</v>
      </c>
      <c r="O1558" s="85">
        <f>STATS1003B!O1561/1000</f>
        <v>0</v>
      </c>
      <c r="P1558" s="85">
        <f>STATS1003B!P1561/1000</f>
        <v>0</v>
      </c>
      <c r="Q1558" s="85">
        <f>STATS1003B!Q1561/1000</f>
        <v>0</v>
      </c>
      <c r="R1558" s="85">
        <f>STATS1003B!R1561/1000</f>
        <v>0</v>
      </c>
      <c r="S1558" s="85">
        <f>STATS1003B!S1561/1000</f>
        <v>0</v>
      </c>
      <c r="T1558" s="85">
        <f>STATS1003B!T1561/1000</f>
        <v>0</v>
      </c>
      <c r="U1558" s="85">
        <f>STATS1003B!U1561/1000</f>
        <v>0</v>
      </c>
      <c r="V1558" s="85">
        <f>STATS1003B!V1561/1000</f>
        <v>120</v>
      </c>
      <c r="W1558" s="85">
        <f>STATS1003B!W1561/1000</f>
        <v>0</v>
      </c>
      <c r="X1558" s="85">
        <f>STATS1003B!X1561/1000</f>
        <v>120</v>
      </c>
      <c r="Y1558" s="85">
        <f>STATS1003B!Y1561/1000</f>
        <v>0</v>
      </c>
      <c r="Z1558" s="85">
        <f>STATS1003B!Z1561/1000</f>
        <v>0</v>
      </c>
      <c r="AA1558" s="69">
        <f>STATS1003B!AA1561/1000</f>
        <v>120</v>
      </c>
      <c r="AB1558" s="69">
        <f>STATS1003B!AB1561/1000</f>
        <v>0</v>
      </c>
    </row>
    <row r="1559" spans="1:28" hidden="1" x14ac:dyDescent="0.3">
      <c r="A1559" s="117"/>
      <c r="C1559" s="68" t="s">
        <v>55</v>
      </c>
      <c r="D1559" s="145" t="s">
        <v>88</v>
      </c>
      <c r="E1559" s="85">
        <f>STATS1003B!E1562/1000</f>
        <v>822.67200000000003</v>
      </c>
      <c r="F1559" s="85">
        <f>STATS1003B!F1562/1000</f>
        <v>0</v>
      </c>
      <c r="G1559" s="85">
        <f>STATS1003B!G1562/1000</f>
        <v>0</v>
      </c>
      <c r="H1559" s="85">
        <f>STATS1003B!H1562/1000</f>
        <v>0</v>
      </c>
      <c r="I1559" s="85">
        <f>STATS1003B!I1562/1000</f>
        <v>0</v>
      </c>
      <c r="J1559" s="85">
        <f>STATS1003B!J1562/1000</f>
        <v>0</v>
      </c>
      <c r="K1559" s="85">
        <f>STATS1003B!K1562/1000</f>
        <v>0</v>
      </c>
      <c r="L1559" s="85">
        <f>STATS1003B!L1562/1000</f>
        <v>0</v>
      </c>
      <c r="M1559" s="85">
        <f>STATS1003B!M1562/1000</f>
        <v>0</v>
      </c>
      <c r="N1559" s="85">
        <f>STATS1003B!N1562/1000</f>
        <v>822.67200000000003</v>
      </c>
      <c r="O1559" s="85">
        <f>STATS1003B!O1562/1000</f>
        <v>0</v>
      </c>
      <c r="P1559" s="85">
        <f>STATS1003B!P1562/1000</f>
        <v>822.67200000000003</v>
      </c>
      <c r="Q1559" s="85">
        <f>STATS1003B!Q1562/1000</f>
        <v>0</v>
      </c>
      <c r="R1559" s="85">
        <f>STATS1003B!R1562/1000</f>
        <v>0</v>
      </c>
      <c r="S1559" s="85">
        <f>STATS1003B!S1562/1000</f>
        <v>0</v>
      </c>
      <c r="T1559" s="85">
        <f>STATS1003B!T1562/1000</f>
        <v>0</v>
      </c>
      <c r="U1559" s="85">
        <f>STATS1003B!U1562/1000</f>
        <v>822.67200000000003</v>
      </c>
      <c r="V1559" s="85">
        <f>STATS1003B!V1562/1000</f>
        <v>822.67200000000003</v>
      </c>
      <c r="W1559" s="85">
        <f>STATS1003B!W1562/1000</f>
        <v>0</v>
      </c>
      <c r="X1559" s="85">
        <f>STATS1003B!X1562/1000</f>
        <v>822.67200000000003</v>
      </c>
      <c r="Y1559" s="85">
        <f>STATS1003B!Y1562/1000</f>
        <v>0</v>
      </c>
      <c r="Z1559" s="85">
        <f>STATS1003B!Z1562/1000</f>
        <v>0</v>
      </c>
      <c r="AA1559" s="69">
        <f>STATS1003B!AA1562/1000</f>
        <v>822.67200000000003</v>
      </c>
      <c r="AB1559" s="69">
        <f>STATS1003B!AB1562/1000</f>
        <v>0</v>
      </c>
    </row>
    <row r="1560" spans="1:28" hidden="1" x14ac:dyDescent="0.3">
      <c r="A1560" s="117"/>
      <c r="C1560" s="68" t="s">
        <v>153</v>
      </c>
      <c r="D1560" s="145" t="s">
        <v>88</v>
      </c>
      <c r="E1560" s="85">
        <f>STATS1003B!E1563/1000</f>
        <v>187.69264000000001</v>
      </c>
      <c r="F1560" s="85">
        <f>STATS1003B!F1563/1000</f>
        <v>187.69264000000001</v>
      </c>
      <c r="G1560" s="85">
        <f>STATS1003B!G1563/1000</f>
        <v>0</v>
      </c>
      <c r="H1560" s="85">
        <f>STATS1003B!H1563/1000</f>
        <v>187.69264000000001</v>
      </c>
      <c r="I1560" s="85">
        <f>STATS1003B!I1563/1000</f>
        <v>0</v>
      </c>
      <c r="J1560" s="85">
        <f>STATS1003B!J1563/1000</f>
        <v>0</v>
      </c>
      <c r="K1560" s="85">
        <f>STATS1003B!K1563/1000</f>
        <v>0</v>
      </c>
      <c r="L1560" s="85">
        <f>STATS1003B!L1563/1000</f>
        <v>0</v>
      </c>
      <c r="M1560" s="85">
        <f>STATS1003B!M1563/1000</f>
        <v>187.69264000000001</v>
      </c>
      <c r="N1560" s="85">
        <f>STATS1003B!N1563/1000</f>
        <v>0</v>
      </c>
      <c r="O1560" s="85">
        <f>STATS1003B!O1563/1000</f>
        <v>0</v>
      </c>
      <c r="P1560" s="85">
        <f>STATS1003B!P1563/1000</f>
        <v>0</v>
      </c>
      <c r="Q1560" s="85">
        <f>STATS1003B!Q1563/1000</f>
        <v>0</v>
      </c>
      <c r="R1560" s="85">
        <f>STATS1003B!R1563/1000</f>
        <v>0</v>
      </c>
      <c r="S1560" s="85">
        <f>STATS1003B!S1563/1000</f>
        <v>0</v>
      </c>
      <c r="T1560" s="85">
        <f>STATS1003B!T1563/1000</f>
        <v>0</v>
      </c>
      <c r="U1560" s="85">
        <f>STATS1003B!U1563/1000</f>
        <v>0</v>
      </c>
      <c r="V1560" s="85">
        <f>STATS1003B!V1563/1000</f>
        <v>187.69264000000001</v>
      </c>
      <c r="W1560" s="85">
        <f>STATS1003B!W1563/1000</f>
        <v>0</v>
      </c>
      <c r="X1560" s="85">
        <f>STATS1003B!X1563/1000</f>
        <v>187.69264000000001</v>
      </c>
      <c r="Y1560" s="85">
        <f>STATS1003B!Y1563/1000</f>
        <v>0</v>
      </c>
      <c r="Z1560" s="85">
        <f>STATS1003B!Z1563/1000</f>
        <v>0</v>
      </c>
      <c r="AA1560" s="69">
        <f>STATS1003B!AA1563/1000</f>
        <v>187.69264000000001</v>
      </c>
      <c r="AB1560" s="69">
        <f>STATS1003B!AB1563/1000</f>
        <v>0</v>
      </c>
    </row>
    <row r="1561" spans="1:28" hidden="1" x14ac:dyDescent="0.3">
      <c r="A1561" s="117"/>
      <c r="C1561" s="68" t="s">
        <v>1137</v>
      </c>
      <c r="D1561" s="145" t="s">
        <v>58</v>
      </c>
      <c r="E1561" s="85">
        <f>STATS1003B!E1564/1000</f>
        <v>1050</v>
      </c>
      <c r="F1561" s="85">
        <f>STATS1003B!F1564/1000</f>
        <v>1050</v>
      </c>
      <c r="G1561" s="85">
        <f>STATS1003B!G1564/1000</f>
        <v>0</v>
      </c>
      <c r="H1561" s="85">
        <f>STATS1003B!H1564/1000</f>
        <v>1050</v>
      </c>
      <c r="I1561" s="85">
        <f>STATS1003B!I1564/1000</f>
        <v>0</v>
      </c>
      <c r="J1561" s="85">
        <f>STATS1003B!J1564/1000</f>
        <v>0</v>
      </c>
      <c r="K1561" s="85">
        <f>STATS1003B!K1564/1000</f>
        <v>0</v>
      </c>
      <c r="L1561" s="85">
        <f>STATS1003B!L1564/1000</f>
        <v>0</v>
      </c>
      <c r="M1561" s="85">
        <f>STATS1003B!M1564/1000</f>
        <v>1050</v>
      </c>
      <c r="N1561" s="85">
        <f>STATS1003B!N1564/1000</f>
        <v>0</v>
      </c>
      <c r="O1561" s="85">
        <f>STATS1003B!O1564/1000</f>
        <v>0</v>
      </c>
      <c r="P1561" s="85">
        <f>STATS1003B!P1564/1000</f>
        <v>0</v>
      </c>
      <c r="Q1561" s="85">
        <f>STATS1003B!Q1564/1000</f>
        <v>0</v>
      </c>
      <c r="R1561" s="85">
        <f>STATS1003B!R1564/1000</f>
        <v>0</v>
      </c>
      <c r="S1561" s="85">
        <f>STATS1003B!S1564/1000</f>
        <v>0</v>
      </c>
      <c r="T1561" s="85">
        <f>STATS1003B!T1564/1000</f>
        <v>0</v>
      </c>
      <c r="U1561" s="85">
        <f>STATS1003B!U1564/1000</f>
        <v>0</v>
      </c>
      <c r="V1561" s="85">
        <f>STATS1003B!V1564/1000</f>
        <v>1050</v>
      </c>
      <c r="W1561" s="85">
        <f>STATS1003B!W1564/1000</f>
        <v>0</v>
      </c>
      <c r="X1561" s="85">
        <f>STATS1003B!X1564/1000</f>
        <v>1050</v>
      </c>
      <c r="Y1561" s="85">
        <f>STATS1003B!Y1564/1000</f>
        <v>0</v>
      </c>
      <c r="Z1561" s="85">
        <f>STATS1003B!Z1564/1000</f>
        <v>0</v>
      </c>
      <c r="AA1561" s="69">
        <f>STATS1003B!AA1564/1000</f>
        <v>1050</v>
      </c>
      <c r="AB1561" s="69">
        <f>STATS1003B!AB1564/1000</f>
        <v>0</v>
      </c>
    </row>
    <row r="1562" spans="1:28" hidden="1" x14ac:dyDescent="0.3">
      <c r="A1562" s="117"/>
      <c r="C1562" s="71" t="s">
        <v>109</v>
      </c>
      <c r="D1562" s="88" t="s">
        <v>60</v>
      </c>
      <c r="E1562" s="85">
        <f>STATS1003B!E1565/1000</f>
        <v>2500</v>
      </c>
      <c r="F1562" s="85">
        <f>STATS1003B!F1565/1000</f>
        <v>2500</v>
      </c>
      <c r="G1562" s="85">
        <f>STATS1003B!G1565/1000</f>
        <v>0</v>
      </c>
      <c r="H1562" s="85">
        <f>STATS1003B!H1565/1000</f>
        <v>2500</v>
      </c>
      <c r="I1562" s="85">
        <f>STATS1003B!I1565/1000</f>
        <v>0</v>
      </c>
      <c r="J1562" s="85">
        <f>STATS1003B!J1565/1000</f>
        <v>0</v>
      </c>
      <c r="K1562" s="85">
        <f>STATS1003B!K1565/1000</f>
        <v>0</v>
      </c>
      <c r="L1562" s="85">
        <f>STATS1003B!L1565/1000</f>
        <v>0</v>
      </c>
      <c r="M1562" s="85">
        <f>STATS1003B!M1565/1000</f>
        <v>2500</v>
      </c>
      <c r="N1562" s="85">
        <f>STATS1003B!N1565/1000</f>
        <v>0</v>
      </c>
      <c r="O1562" s="85">
        <f>STATS1003B!O1565/1000</f>
        <v>0</v>
      </c>
      <c r="P1562" s="85">
        <f>STATS1003B!P1565/1000</f>
        <v>0</v>
      </c>
      <c r="Q1562" s="85">
        <f>STATS1003B!Q1565/1000</f>
        <v>0</v>
      </c>
      <c r="R1562" s="85">
        <f>STATS1003B!R1565/1000</f>
        <v>0</v>
      </c>
      <c r="S1562" s="85">
        <f>STATS1003B!S1565/1000</f>
        <v>0</v>
      </c>
      <c r="T1562" s="85">
        <f>STATS1003B!T1565/1000</f>
        <v>0</v>
      </c>
      <c r="U1562" s="85">
        <f>STATS1003B!U1565/1000</f>
        <v>0</v>
      </c>
      <c r="V1562" s="85">
        <f>STATS1003B!V1565/1000</f>
        <v>2500</v>
      </c>
      <c r="W1562" s="85">
        <f>STATS1003B!W1565/1000</f>
        <v>0</v>
      </c>
      <c r="X1562" s="85">
        <f>STATS1003B!X1565/1000</f>
        <v>2500</v>
      </c>
      <c r="Y1562" s="85">
        <f>STATS1003B!Y1565/1000</f>
        <v>0</v>
      </c>
      <c r="Z1562" s="85">
        <f>STATS1003B!Z1565/1000</f>
        <v>0</v>
      </c>
      <c r="AA1562" s="69">
        <f>STATS1003B!AA1565/1000</f>
        <v>2500</v>
      </c>
      <c r="AB1562" s="69">
        <f>STATS1003B!AB1565/1000</f>
        <v>0</v>
      </c>
    </row>
    <row r="1563" spans="1:28" hidden="1" x14ac:dyDescent="0.3">
      <c r="A1563" s="117"/>
      <c r="C1563" s="68" t="s">
        <v>122</v>
      </c>
      <c r="E1563" s="85">
        <f>STATS1003B!E1566/1000</f>
        <v>228.46299999999999</v>
      </c>
      <c r="F1563" s="85">
        <f>STATS1003B!F1566/1000</f>
        <v>228.46299999999999</v>
      </c>
      <c r="G1563" s="85">
        <f>STATS1003B!G1566/1000</f>
        <v>0</v>
      </c>
      <c r="H1563" s="85">
        <f>STATS1003B!H1566/1000</f>
        <v>228.46299999999999</v>
      </c>
      <c r="I1563" s="85">
        <f>STATS1003B!I1566/1000</f>
        <v>0</v>
      </c>
      <c r="J1563" s="85">
        <f>STATS1003B!J1566/1000</f>
        <v>0</v>
      </c>
      <c r="K1563" s="85">
        <f>STATS1003B!K1566/1000</f>
        <v>0</v>
      </c>
      <c r="L1563" s="85">
        <f>STATS1003B!L1566/1000</f>
        <v>0</v>
      </c>
      <c r="M1563" s="85">
        <f>STATS1003B!M1566/1000</f>
        <v>228.46299999999999</v>
      </c>
      <c r="N1563" s="85">
        <f>STATS1003B!N1566/1000</f>
        <v>0</v>
      </c>
      <c r="O1563" s="85">
        <f>STATS1003B!O1566/1000</f>
        <v>0</v>
      </c>
      <c r="P1563" s="85">
        <f>STATS1003B!P1566/1000</f>
        <v>0</v>
      </c>
      <c r="Q1563" s="85">
        <f>STATS1003B!Q1566/1000</f>
        <v>0</v>
      </c>
      <c r="R1563" s="85">
        <f>STATS1003B!R1566/1000</f>
        <v>0</v>
      </c>
      <c r="S1563" s="85">
        <f>STATS1003B!S1566/1000</f>
        <v>0</v>
      </c>
      <c r="T1563" s="85">
        <f>STATS1003B!T1566/1000</f>
        <v>0</v>
      </c>
      <c r="U1563" s="85">
        <f>STATS1003B!U1566/1000</f>
        <v>0</v>
      </c>
      <c r="V1563" s="85">
        <f>STATS1003B!V1566/1000</f>
        <v>228.46299999999999</v>
      </c>
      <c r="W1563" s="85">
        <f>STATS1003B!W1566/1000</f>
        <v>0</v>
      </c>
      <c r="X1563" s="85">
        <f>STATS1003B!X1566/1000</f>
        <v>228.46299999999999</v>
      </c>
      <c r="Y1563" s="85">
        <f>STATS1003B!Y1566/1000</f>
        <v>0</v>
      </c>
      <c r="Z1563" s="85">
        <f>STATS1003B!Z1566/1000</f>
        <v>0</v>
      </c>
      <c r="AA1563" s="69">
        <f>STATS1003B!AA1566/1000</f>
        <v>228.46299999999999</v>
      </c>
      <c r="AB1563" s="69">
        <f>STATS1003B!AB1566/1000</f>
        <v>0</v>
      </c>
    </row>
    <row r="1564" spans="1:28" hidden="1" x14ac:dyDescent="0.3">
      <c r="A1564" s="117"/>
      <c r="C1564" s="68" t="s">
        <v>930</v>
      </c>
      <c r="E1564" s="85">
        <f>STATS1003B!E1567/1000</f>
        <v>1218.4912400000001</v>
      </c>
      <c r="F1564" s="85">
        <f>STATS1003B!F1567/1000</f>
        <v>1218.4912400000001</v>
      </c>
      <c r="G1564" s="85">
        <f>STATS1003B!G1567/1000</f>
        <v>0</v>
      </c>
      <c r="H1564" s="85">
        <f>STATS1003B!H1567/1000</f>
        <v>1218.4912400000001</v>
      </c>
      <c r="I1564" s="85">
        <f>STATS1003B!I1567/1000</f>
        <v>0</v>
      </c>
      <c r="J1564" s="85">
        <f>STATS1003B!J1567/1000</f>
        <v>0</v>
      </c>
      <c r="K1564" s="85">
        <f>STATS1003B!K1567/1000</f>
        <v>0</v>
      </c>
      <c r="L1564" s="85">
        <f>STATS1003B!L1567/1000</f>
        <v>0</v>
      </c>
      <c r="M1564" s="85">
        <f>STATS1003B!M1567/1000</f>
        <v>1218.4912400000001</v>
      </c>
      <c r="N1564" s="85">
        <f>STATS1003B!N1567/1000</f>
        <v>0</v>
      </c>
      <c r="O1564" s="85">
        <f>STATS1003B!O1567/1000</f>
        <v>0</v>
      </c>
      <c r="P1564" s="85">
        <f>STATS1003B!P1567/1000</f>
        <v>0</v>
      </c>
      <c r="Q1564" s="85">
        <f>STATS1003B!Q1567/1000</f>
        <v>0</v>
      </c>
      <c r="R1564" s="85">
        <f>STATS1003B!R1567/1000</f>
        <v>0</v>
      </c>
      <c r="S1564" s="85">
        <f>STATS1003B!S1567/1000</f>
        <v>0</v>
      </c>
      <c r="T1564" s="85">
        <f>STATS1003B!T1567/1000</f>
        <v>0</v>
      </c>
      <c r="U1564" s="85">
        <f>STATS1003B!U1567/1000</f>
        <v>0</v>
      </c>
      <c r="V1564" s="85">
        <f>STATS1003B!V1567/1000</f>
        <v>1218.4912400000001</v>
      </c>
      <c r="W1564" s="85">
        <f>STATS1003B!W1567/1000</f>
        <v>0</v>
      </c>
      <c r="X1564" s="85">
        <f>STATS1003B!X1567/1000</f>
        <v>1218.4912400000001</v>
      </c>
      <c r="Y1564" s="85">
        <f>STATS1003B!Y1567/1000</f>
        <v>0</v>
      </c>
      <c r="Z1564" s="85">
        <f>STATS1003B!Z1567/1000</f>
        <v>0</v>
      </c>
      <c r="AA1564" s="69">
        <f>STATS1003B!AA1567/1000</f>
        <v>1218.4912400000001</v>
      </c>
      <c r="AB1564" s="69">
        <f>STATS1003B!AB1567/1000</f>
        <v>0</v>
      </c>
    </row>
    <row r="1565" spans="1:28" hidden="1" x14ac:dyDescent="0.3">
      <c r="A1565" s="117"/>
      <c r="C1565" s="68" t="s">
        <v>1158</v>
      </c>
      <c r="D1565" s="91" t="s">
        <v>1126</v>
      </c>
      <c r="E1565" s="85">
        <f>STATS1003B!E1568/1000</f>
        <v>225</v>
      </c>
      <c r="F1565" s="85">
        <f>STATS1003B!F1568/1000</f>
        <v>225</v>
      </c>
      <c r="G1565" s="85">
        <f>STATS1003B!G1568/1000</f>
        <v>0</v>
      </c>
      <c r="H1565" s="85">
        <f>STATS1003B!H1568/1000</f>
        <v>225</v>
      </c>
      <c r="I1565" s="85">
        <f>STATS1003B!I1568/1000</f>
        <v>0</v>
      </c>
      <c r="J1565" s="85">
        <f>STATS1003B!J1568/1000</f>
        <v>0</v>
      </c>
      <c r="K1565" s="85">
        <f>STATS1003B!K1568/1000</f>
        <v>0</v>
      </c>
      <c r="L1565" s="85">
        <f>STATS1003B!L1568/1000</f>
        <v>0</v>
      </c>
      <c r="M1565" s="85">
        <f>STATS1003B!M1568/1000</f>
        <v>225</v>
      </c>
      <c r="N1565" s="85">
        <f>STATS1003B!N1568/1000</f>
        <v>0</v>
      </c>
      <c r="O1565" s="85">
        <f>STATS1003B!O1568/1000</f>
        <v>0</v>
      </c>
      <c r="P1565" s="85">
        <f>STATS1003B!P1568/1000</f>
        <v>0</v>
      </c>
      <c r="Q1565" s="85">
        <f>STATS1003B!Q1568/1000</f>
        <v>0</v>
      </c>
      <c r="R1565" s="85">
        <f>STATS1003B!R1568/1000</f>
        <v>0</v>
      </c>
      <c r="S1565" s="85">
        <f>STATS1003B!S1568/1000</f>
        <v>0</v>
      </c>
      <c r="T1565" s="85">
        <f>STATS1003B!T1568/1000</f>
        <v>0</v>
      </c>
      <c r="U1565" s="85">
        <f>STATS1003B!U1568/1000</f>
        <v>0</v>
      </c>
      <c r="V1565" s="85">
        <f>STATS1003B!V1568/1000</f>
        <v>225</v>
      </c>
      <c r="W1565" s="85">
        <f>STATS1003B!W1568/1000</f>
        <v>0</v>
      </c>
      <c r="X1565" s="85">
        <f>STATS1003B!X1568/1000</f>
        <v>225</v>
      </c>
      <c r="Y1565" s="85">
        <f>STATS1003B!Y1568/1000</f>
        <v>0</v>
      </c>
      <c r="Z1565" s="85">
        <f>STATS1003B!Z1568/1000</f>
        <v>0</v>
      </c>
      <c r="AA1565" s="69">
        <f>STATS1003B!AA1568/1000</f>
        <v>225</v>
      </c>
      <c r="AB1565" s="69">
        <f>STATS1003B!AB1568/1000</f>
        <v>0</v>
      </c>
    </row>
    <row r="1566" spans="1:28" hidden="1" x14ac:dyDescent="0.3">
      <c r="A1566" s="117"/>
      <c r="C1566" s="68" t="s">
        <v>57</v>
      </c>
      <c r="D1566" s="91" t="s">
        <v>61</v>
      </c>
      <c r="E1566" s="85">
        <f>STATS1003B!E1569/1000</f>
        <v>1561</v>
      </c>
      <c r="F1566" s="85">
        <f>STATS1003B!F1569/1000</f>
        <v>1561</v>
      </c>
      <c r="G1566" s="85">
        <f>STATS1003B!G1569/1000</f>
        <v>0</v>
      </c>
      <c r="H1566" s="85">
        <f>STATS1003B!H1569/1000</f>
        <v>1561</v>
      </c>
      <c r="I1566" s="85">
        <f>STATS1003B!I1569/1000</f>
        <v>0</v>
      </c>
      <c r="J1566" s="85">
        <f>STATS1003B!J1569/1000</f>
        <v>0</v>
      </c>
      <c r="K1566" s="85">
        <f>STATS1003B!K1569/1000</f>
        <v>0</v>
      </c>
      <c r="L1566" s="85">
        <f>STATS1003B!L1569/1000</f>
        <v>0</v>
      </c>
      <c r="M1566" s="85">
        <f>STATS1003B!M1569/1000</f>
        <v>1561</v>
      </c>
      <c r="N1566" s="85">
        <f>STATS1003B!N1569/1000</f>
        <v>0</v>
      </c>
      <c r="O1566" s="85">
        <f>STATS1003B!O1569/1000</f>
        <v>0</v>
      </c>
      <c r="P1566" s="85">
        <f>STATS1003B!P1569/1000</f>
        <v>0</v>
      </c>
      <c r="Q1566" s="85">
        <f>STATS1003B!Q1569/1000</f>
        <v>0</v>
      </c>
      <c r="R1566" s="85">
        <f>STATS1003B!R1569/1000</f>
        <v>0</v>
      </c>
      <c r="S1566" s="85">
        <f>STATS1003B!S1569/1000</f>
        <v>0</v>
      </c>
      <c r="T1566" s="85">
        <f>STATS1003B!T1569/1000</f>
        <v>0</v>
      </c>
      <c r="U1566" s="85">
        <f>STATS1003B!U1569/1000</f>
        <v>0</v>
      </c>
      <c r="V1566" s="85">
        <f>STATS1003B!V1569/1000</f>
        <v>1561</v>
      </c>
      <c r="W1566" s="85">
        <f>STATS1003B!W1569/1000</f>
        <v>0</v>
      </c>
      <c r="X1566" s="85">
        <f>STATS1003B!X1569/1000</f>
        <v>1561</v>
      </c>
      <c r="Y1566" s="85">
        <f>STATS1003B!Y1569/1000</f>
        <v>0</v>
      </c>
      <c r="Z1566" s="85">
        <f>STATS1003B!Z1569/1000</f>
        <v>0</v>
      </c>
      <c r="AA1566" s="69">
        <f>STATS1003B!AA1569/1000</f>
        <v>1561</v>
      </c>
      <c r="AB1566" s="69">
        <f>STATS1003B!AB1569/1000</f>
        <v>0</v>
      </c>
    </row>
    <row r="1567" spans="1:28" hidden="1" x14ac:dyDescent="0.3">
      <c r="A1567" s="117"/>
      <c r="E1567" s="86" t="s">
        <v>29</v>
      </c>
      <c r="F1567" s="86" t="s">
        <v>29</v>
      </c>
      <c r="G1567" s="86" t="s">
        <v>29</v>
      </c>
      <c r="H1567" s="86" t="s">
        <v>29</v>
      </c>
      <c r="I1567" s="86" t="s">
        <v>29</v>
      </c>
      <c r="J1567" s="86" t="s">
        <v>29</v>
      </c>
      <c r="K1567" s="86" t="s">
        <v>29</v>
      </c>
      <c r="L1567" s="86" t="s">
        <v>29</v>
      </c>
      <c r="M1567" s="86" t="s">
        <v>29</v>
      </c>
      <c r="N1567" s="86" t="s">
        <v>29</v>
      </c>
      <c r="O1567" s="86" t="s">
        <v>29</v>
      </c>
      <c r="P1567" s="86" t="s">
        <v>29</v>
      </c>
      <c r="Q1567" s="86" t="s">
        <v>29</v>
      </c>
      <c r="R1567" s="86" t="s">
        <v>29</v>
      </c>
      <c r="S1567" s="86" t="s">
        <v>29</v>
      </c>
      <c r="T1567" s="86" t="s">
        <v>29</v>
      </c>
      <c r="U1567" s="86" t="s">
        <v>29</v>
      </c>
      <c r="V1567" s="86" t="s">
        <v>29</v>
      </c>
      <c r="W1567" s="86" t="s">
        <v>29</v>
      </c>
      <c r="X1567" s="86" t="s">
        <v>29</v>
      </c>
      <c r="Y1567" s="86" t="s">
        <v>29</v>
      </c>
      <c r="Z1567" s="86" t="s">
        <v>29</v>
      </c>
      <c r="AA1567" s="115" t="s">
        <v>29</v>
      </c>
      <c r="AB1567" s="115" t="s">
        <v>29</v>
      </c>
    </row>
    <row r="1568" spans="1:28" x14ac:dyDescent="0.3">
      <c r="A1568" s="116">
        <v>66</v>
      </c>
      <c r="B1568" s="68" t="s">
        <v>294</v>
      </c>
      <c r="E1568" s="85">
        <f>73290971.32/1000</f>
        <v>73290.971319999997</v>
      </c>
      <c r="F1568" s="85">
        <f t="shared" ref="F1568:AB1568" si="179">SUM(F1548:F1566)</f>
        <v>14390.667880000001</v>
      </c>
      <c r="G1568" s="85">
        <f t="shared" si="179"/>
        <v>0</v>
      </c>
      <c r="H1568" s="85">
        <f>68251208/1000</f>
        <v>68251.207999999999</v>
      </c>
      <c r="I1568" s="85">
        <f t="shared" si="179"/>
        <v>0</v>
      </c>
      <c r="J1568" s="85">
        <f t="shared" si="179"/>
        <v>0</v>
      </c>
      <c r="K1568" s="85">
        <f t="shared" si="179"/>
        <v>0</v>
      </c>
      <c r="L1568" s="85">
        <f t="shared" si="179"/>
        <v>0</v>
      </c>
      <c r="M1568" s="85">
        <f t="shared" si="179"/>
        <v>14390.667880000001</v>
      </c>
      <c r="N1568" s="85">
        <f t="shared" si="179"/>
        <v>5005.5103199999994</v>
      </c>
      <c r="O1568" s="85">
        <f t="shared" si="179"/>
        <v>0</v>
      </c>
      <c r="P1568" s="85">
        <f>5005510/1000</f>
        <v>5005.51</v>
      </c>
      <c r="Q1568" s="85">
        <f t="shared" si="179"/>
        <v>0</v>
      </c>
      <c r="R1568" s="85">
        <f t="shared" si="179"/>
        <v>0</v>
      </c>
      <c r="S1568" s="85">
        <f t="shared" si="179"/>
        <v>0</v>
      </c>
      <c r="T1568" s="85">
        <f t="shared" si="179"/>
        <v>0</v>
      </c>
      <c r="U1568" s="85">
        <f t="shared" si="179"/>
        <v>5005.5103199999994</v>
      </c>
      <c r="V1568" s="85">
        <f t="shared" si="179"/>
        <v>19396.178199999998</v>
      </c>
      <c r="W1568" s="85">
        <f t="shared" si="179"/>
        <v>34.253</v>
      </c>
      <c r="X1568" s="85">
        <f>+H1568+P1568</f>
        <v>73256.717999999993</v>
      </c>
      <c r="Y1568" s="85">
        <f t="shared" si="179"/>
        <v>0</v>
      </c>
      <c r="Z1568" s="85">
        <f t="shared" si="179"/>
        <v>34.253</v>
      </c>
      <c r="AA1568" s="69">
        <f t="shared" si="179"/>
        <v>19396.178199999998</v>
      </c>
      <c r="AB1568" s="69">
        <f t="shared" si="179"/>
        <v>34.253</v>
      </c>
    </row>
    <row r="1569" spans="1:28" hidden="1" x14ac:dyDescent="0.3">
      <c r="A1569" s="117"/>
      <c r="E1569" s="86" t="s">
        <v>29</v>
      </c>
      <c r="F1569" s="86" t="s">
        <v>29</v>
      </c>
      <c r="G1569" s="86" t="s">
        <v>29</v>
      </c>
      <c r="H1569" s="86" t="s">
        <v>29</v>
      </c>
      <c r="I1569" s="86" t="s">
        <v>29</v>
      </c>
      <c r="J1569" s="86" t="s">
        <v>29</v>
      </c>
      <c r="K1569" s="86" t="s">
        <v>29</v>
      </c>
      <c r="L1569" s="86" t="s">
        <v>29</v>
      </c>
      <c r="M1569" s="86" t="s">
        <v>29</v>
      </c>
      <c r="N1569" s="86" t="s">
        <v>29</v>
      </c>
      <c r="O1569" s="86" t="s">
        <v>29</v>
      </c>
      <c r="P1569" s="86" t="s">
        <v>29</v>
      </c>
      <c r="Q1569" s="86" t="s">
        <v>29</v>
      </c>
      <c r="R1569" s="86" t="s">
        <v>29</v>
      </c>
      <c r="S1569" s="86" t="s">
        <v>29</v>
      </c>
      <c r="T1569" s="86" t="s">
        <v>29</v>
      </c>
      <c r="U1569" s="86" t="s">
        <v>29</v>
      </c>
      <c r="V1569" s="86" t="s">
        <v>29</v>
      </c>
      <c r="W1569" s="86" t="s">
        <v>29</v>
      </c>
      <c r="X1569" s="86" t="s">
        <v>29</v>
      </c>
      <c r="Y1569" s="86" t="s">
        <v>29</v>
      </c>
      <c r="Z1569" s="86" t="s">
        <v>29</v>
      </c>
      <c r="AA1569" s="115" t="s">
        <v>29</v>
      </c>
      <c r="AB1569" s="115" t="s">
        <v>29</v>
      </c>
    </row>
    <row r="1570" spans="1:28" hidden="1" x14ac:dyDescent="0.3">
      <c r="A1570" s="105"/>
      <c r="D1570" s="145" t="s">
        <v>304</v>
      </c>
      <c r="E1570" s="84"/>
      <c r="F1570" s="84"/>
      <c r="G1570" s="84"/>
      <c r="H1570" s="84"/>
      <c r="I1570" s="84"/>
      <c r="J1570" s="84"/>
      <c r="K1570" s="84"/>
      <c r="L1570" s="84"/>
      <c r="M1570" s="84"/>
      <c r="N1570" s="84"/>
      <c r="O1570" s="84"/>
      <c r="P1570" s="84"/>
      <c r="Q1570" s="84"/>
      <c r="R1570" s="84"/>
      <c r="S1570" s="84"/>
      <c r="T1570" s="84"/>
      <c r="U1570" s="84"/>
      <c r="V1570" s="84"/>
      <c r="W1570" s="84"/>
      <c r="X1570" s="84"/>
      <c r="Y1570" s="84"/>
      <c r="Z1570" s="84"/>
    </row>
    <row r="1571" spans="1:28" hidden="1" x14ac:dyDescent="0.3">
      <c r="A1571" s="117"/>
      <c r="C1571" s="68" t="s">
        <v>305</v>
      </c>
      <c r="D1571" s="71" t="s">
        <v>52</v>
      </c>
      <c r="E1571" s="85">
        <f>STATS1003B!E1574/1000</f>
        <v>16277.62996</v>
      </c>
      <c r="F1571" s="85">
        <f>STATS1003B!F1574/1000</f>
        <v>15424.535179999999</v>
      </c>
      <c r="G1571" s="85">
        <f>STATS1003B!G1574/1000</f>
        <v>0</v>
      </c>
      <c r="H1571" s="85">
        <f>STATS1003B!H1574/1000</f>
        <v>15424.535179999999</v>
      </c>
      <c r="I1571" s="85">
        <f>STATS1003B!I1574/1000</f>
        <v>0</v>
      </c>
      <c r="J1571" s="85">
        <f>STATS1003B!J1574/1000</f>
        <v>0</v>
      </c>
      <c r="K1571" s="85">
        <f>STATS1003B!K1574/1000</f>
        <v>0</v>
      </c>
      <c r="L1571" s="85">
        <f>STATS1003B!L1574/1000</f>
        <v>0</v>
      </c>
      <c r="M1571" s="85">
        <f>STATS1003B!M1574/1000</f>
        <v>15424.535179999999</v>
      </c>
      <c r="N1571" s="85">
        <f>STATS1003B!N1574/1000</f>
        <v>853.09478000000001</v>
      </c>
      <c r="O1571" s="85">
        <f>STATS1003B!O1574/1000</f>
        <v>0</v>
      </c>
      <c r="P1571" s="85">
        <f>STATS1003B!P1574/1000</f>
        <v>853.09478000000001</v>
      </c>
      <c r="Q1571" s="85">
        <f>STATS1003B!Q1574/1000</f>
        <v>0</v>
      </c>
      <c r="R1571" s="85">
        <f>STATS1003B!R1574/1000</f>
        <v>0</v>
      </c>
      <c r="S1571" s="85">
        <f>STATS1003B!S1574/1000</f>
        <v>0</v>
      </c>
      <c r="T1571" s="85">
        <f>STATS1003B!T1574/1000</f>
        <v>0</v>
      </c>
      <c r="U1571" s="85">
        <f>STATS1003B!U1574/1000</f>
        <v>853.09478000000001</v>
      </c>
      <c r="V1571" s="85">
        <f>STATS1003B!V1574/1000</f>
        <v>16277.629959999998</v>
      </c>
      <c r="W1571" s="85">
        <f>STATS1003B!W1574/1000</f>
        <v>0</v>
      </c>
      <c r="X1571" s="85">
        <f>STATS1003B!X1574/1000</f>
        <v>16277.629959999998</v>
      </c>
      <c r="Y1571" s="85">
        <f>STATS1003B!Y1574/1000</f>
        <v>0</v>
      </c>
      <c r="Z1571" s="85">
        <f>STATS1003B!Z1574/1000</f>
        <v>0</v>
      </c>
      <c r="AA1571" s="69">
        <f>STATS1003B!AA1574/1000</f>
        <v>16277.629959999998</v>
      </c>
      <c r="AB1571" s="69">
        <f>STATS1003B!AB1574/1000</f>
        <v>0</v>
      </c>
    </row>
    <row r="1572" spans="1:28" hidden="1" x14ac:dyDescent="0.3">
      <c r="A1572" s="117"/>
      <c r="C1572" s="68" t="s">
        <v>172</v>
      </c>
      <c r="D1572" s="145" t="s">
        <v>166</v>
      </c>
      <c r="E1572" s="85">
        <f>STATS1003B!E1575/1000</f>
        <v>663.83900000000006</v>
      </c>
      <c r="F1572" s="85">
        <f>STATS1003B!F1575/1000</f>
        <v>663.83900000000006</v>
      </c>
      <c r="G1572" s="85">
        <f>STATS1003B!G1575/1000</f>
        <v>0</v>
      </c>
      <c r="H1572" s="85">
        <f>STATS1003B!H1575/1000</f>
        <v>663.83900000000006</v>
      </c>
      <c r="I1572" s="85">
        <f>STATS1003B!I1575/1000</f>
        <v>0</v>
      </c>
      <c r="J1572" s="85">
        <f>STATS1003B!J1575/1000</f>
        <v>0</v>
      </c>
      <c r="K1572" s="85">
        <f>STATS1003B!K1575/1000</f>
        <v>0</v>
      </c>
      <c r="L1572" s="85">
        <f>STATS1003B!L1575/1000</f>
        <v>0</v>
      </c>
      <c r="M1572" s="85">
        <f>STATS1003B!M1575/1000</f>
        <v>663.83900000000006</v>
      </c>
      <c r="N1572" s="85">
        <f>STATS1003B!N1575/1000</f>
        <v>0</v>
      </c>
      <c r="O1572" s="85">
        <f>STATS1003B!O1575/1000</f>
        <v>0</v>
      </c>
      <c r="P1572" s="85">
        <f>STATS1003B!P1575/1000</f>
        <v>0</v>
      </c>
      <c r="Q1572" s="85">
        <f>STATS1003B!Q1575/1000</f>
        <v>0</v>
      </c>
      <c r="R1572" s="85">
        <f>STATS1003B!R1575/1000</f>
        <v>0</v>
      </c>
      <c r="S1572" s="85">
        <f>STATS1003B!S1575/1000</f>
        <v>0</v>
      </c>
      <c r="T1572" s="85">
        <f>STATS1003B!T1575/1000</f>
        <v>0</v>
      </c>
      <c r="U1572" s="85">
        <f>STATS1003B!U1575/1000</f>
        <v>0</v>
      </c>
      <c r="V1572" s="85">
        <f>STATS1003B!V1575/1000</f>
        <v>663.83900000000006</v>
      </c>
      <c r="W1572" s="85">
        <f>STATS1003B!W1575/1000</f>
        <v>0</v>
      </c>
      <c r="X1572" s="85">
        <f>STATS1003B!X1575/1000</f>
        <v>663.83900000000006</v>
      </c>
      <c r="Y1572" s="85">
        <f>STATS1003B!Y1575/1000</f>
        <v>0</v>
      </c>
      <c r="Z1572" s="85">
        <f>STATS1003B!Z1575/1000</f>
        <v>0</v>
      </c>
      <c r="AA1572" s="69">
        <f>STATS1003B!AA1575/1000</f>
        <v>663.83900000000006</v>
      </c>
      <c r="AB1572" s="69">
        <f>STATS1003B!AB1575/1000</f>
        <v>0</v>
      </c>
    </row>
    <row r="1573" spans="1:28" hidden="1" x14ac:dyDescent="0.3">
      <c r="A1573" s="117"/>
      <c r="C1573" s="68" t="s">
        <v>295</v>
      </c>
      <c r="D1573" s="145" t="s">
        <v>306</v>
      </c>
      <c r="E1573" s="85">
        <f>STATS1003B!E1576/1000</f>
        <v>60</v>
      </c>
      <c r="F1573" s="85">
        <f>STATS1003B!F1576/1000</f>
        <v>0</v>
      </c>
      <c r="G1573" s="85">
        <f>STATS1003B!G1576/1000</f>
        <v>0</v>
      </c>
      <c r="H1573" s="85">
        <f>STATS1003B!H1576/1000</f>
        <v>0</v>
      </c>
      <c r="I1573" s="85">
        <f>STATS1003B!I1576/1000</f>
        <v>0</v>
      </c>
      <c r="J1573" s="85">
        <f>STATS1003B!J1576/1000</f>
        <v>0</v>
      </c>
      <c r="K1573" s="85">
        <f>STATS1003B!K1576/1000</f>
        <v>0</v>
      </c>
      <c r="L1573" s="85">
        <f>STATS1003B!L1576/1000</f>
        <v>0</v>
      </c>
      <c r="M1573" s="85">
        <f>STATS1003B!M1576/1000</f>
        <v>0</v>
      </c>
      <c r="N1573" s="85">
        <f>STATS1003B!N1576/1000</f>
        <v>0</v>
      </c>
      <c r="O1573" s="85">
        <f>STATS1003B!O1576/1000</f>
        <v>0</v>
      </c>
      <c r="P1573" s="85">
        <f>STATS1003B!P1576/1000</f>
        <v>0</v>
      </c>
      <c r="Q1573" s="85">
        <f>STATS1003B!Q1576/1000</f>
        <v>0</v>
      </c>
      <c r="R1573" s="85">
        <f>STATS1003B!R1576/1000</f>
        <v>0</v>
      </c>
      <c r="S1573" s="85">
        <f>STATS1003B!S1576/1000</f>
        <v>0</v>
      </c>
      <c r="T1573" s="85">
        <f>STATS1003B!T1576/1000</f>
        <v>0</v>
      </c>
      <c r="U1573" s="85">
        <f>STATS1003B!U1576/1000</f>
        <v>0</v>
      </c>
      <c r="V1573" s="85">
        <f>STATS1003B!V1576/1000</f>
        <v>0</v>
      </c>
      <c r="W1573" s="85">
        <f>STATS1003B!W1576/1000</f>
        <v>60</v>
      </c>
      <c r="X1573" s="85">
        <f>STATS1003B!X1576/1000</f>
        <v>0</v>
      </c>
      <c r="Y1573" s="85">
        <f>STATS1003B!Y1576/1000</f>
        <v>0</v>
      </c>
      <c r="Z1573" s="85">
        <f>STATS1003B!Z1576/1000</f>
        <v>60</v>
      </c>
      <c r="AA1573" s="69">
        <f>STATS1003B!AA1576/1000</f>
        <v>0</v>
      </c>
      <c r="AB1573" s="69">
        <f>STATS1003B!AB1576/1000</f>
        <v>60</v>
      </c>
    </row>
    <row r="1574" spans="1:28" hidden="1" x14ac:dyDescent="0.3">
      <c r="A1574" s="117"/>
      <c r="C1574" s="68" t="s">
        <v>53</v>
      </c>
      <c r="D1574" s="145" t="s">
        <v>54</v>
      </c>
      <c r="E1574" s="85">
        <f>STATS1003B!E1577/1000</f>
        <v>1767.77</v>
      </c>
      <c r="F1574" s="85">
        <f>STATS1003B!F1577/1000</f>
        <v>0</v>
      </c>
      <c r="G1574" s="85">
        <f>STATS1003B!G1577/1000</f>
        <v>0</v>
      </c>
      <c r="H1574" s="85">
        <f>STATS1003B!H1577/1000</f>
        <v>0</v>
      </c>
      <c r="I1574" s="85">
        <f>STATS1003B!I1577/1000</f>
        <v>0</v>
      </c>
      <c r="J1574" s="85">
        <f>STATS1003B!J1577/1000</f>
        <v>0</v>
      </c>
      <c r="K1574" s="85">
        <f>STATS1003B!K1577/1000</f>
        <v>0</v>
      </c>
      <c r="L1574" s="85">
        <f>STATS1003B!L1577/1000</f>
        <v>0</v>
      </c>
      <c r="M1574" s="85">
        <f>STATS1003B!M1577/1000</f>
        <v>0</v>
      </c>
      <c r="N1574" s="85">
        <f>STATS1003B!N1577/1000</f>
        <v>1767.77</v>
      </c>
      <c r="O1574" s="85">
        <f>STATS1003B!O1577/1000</f>
        <v>0</v>
      </c>
      <c r="P1574" s="85">
        <f>STATS1003B!P1577/1000</f>
        <v>1767.77</v>
      </c>
      <c r="Q1574" s="85">
        <f>STATS1003B!Q1577/1000</f>
        <v>0</v>
      </c>
      <c r="R1574" s="85">
        <f>STATS1003B!R1577/1000</f>
        <v>0</v>
      </c>
      <c r="S1574" s="85">
        <f>STATS1003B!S1577/1000</f>
        <v>0</v>
      </c>
      <c r="T1574" s="85">
        <f>STATS1003B!T1577/1000</f>
        <v>0</v>
      </c>
      <c r="U1574" s="85">
        <f>STATS1003B!U1577/1000</f>
        <v>1767.77</v>
      </c>
      <c r="V1574" s="85">
        <f>STATS1003B!V1577/1000</f>
        <v>1767.77</v>
      </c>
      <c r="W1574" s="85">
        <f>STATS1003B!W1577/1000</f>
        <v>0</v>
      </c>
      <c r="X1574" s="85">
        <f>STATS1003B!X1577/1000</f>
        <v>1767.77</v>
      </c>
      <c r="Y1574" s="85">
        <f>STATS1003B!Y1577/1000</f>
        <v>0</v>
      </c>
      <c r="Z1574" s="85">
        <f>STATS1003B!Z1577/1000</f>
        <v>0</v>
      </c>
      <c r="AA1574" s="69">
        <f>STATS1003B!AA1577/1000</f>
        <v>1767.77</v>
      </c>
      <c r="AB1574" s="69">
        <f>STATS1003B!AB1577/1000</f>
        <v>0</v>
      </c>
    </row>
    <row r="1575" spans="1:28" hidden="1" x14ac:dyDescent="0.3">
      <c r="A1575" s="117"/>
      <c r="C1575" s="68" t="s">
        <v>307</v>
      </c>
      <c r="D1575" s="145" t="s">
        <v>308</v>
      </c>
      <c r="E1575" s="85">
        <f>STATS1003B!E1578/1000</f>
        <v>1750</v>
      </c>
      <c r="F1575" s="85">
        <f>STATS1003B!F1578/1000</f>
        <v>1750</v>
      </c>
      <c r="G1575" s="85">
        <f>STATS1003B!G1578/1000</f>
        <v>0</v>
      </c>
      <c r="H1575" s="85">
        <f>STATS1003B!H1578/1000</f>
        <v>1750</v>
      </c>
      <c r="I1575" s="85">
        <f>STATS1003B!I1578/1000</f>
        <v>0</v>
      </c>
      <c r="J1575" s="85">
        <f>STATS1003B!J1578/1000</f>
        <v>0</v>
      </c>
      <c r="K1575" s="85">
        <f>STATS1003B!K1578/1000</f>
        <v>0</v>
      </c>
      <c r="L1575" s="85">
        <f>STATS1003B!L1578/1000</f>
        <v>0</v>
      </c>
      <c r="M1575" s="85">
        <f>STATS1003B!M1578/1000</f>
        <v>1750</v>
      </c>
      <c r="N1575" s="85">
        <f>STATS1003B!N1578/1000</f>
        <v>0</v>
      </c>
      <c r="O1575" s="85">
        <f>STATS1003B!O1578/1000</f>
        <v>0</v>
      </c>
      <c r="P1575" s="85">
        <f>STATS1003B!P1578/1000</f>
        <v>0</v>
      </c>
      <c r="Q1575" s="85">
        <f>STATS1003B!Q1578/1000</f>
        <v>0</v>
      </c>
      <c r="R1575" s="85">
        <f>STATS1003B!R1578/1000</f>
        <v>0</v>
      </c>
      <c r="S1575" s="85">
        <f>STATS1003B!S1578/1000</f>
        <v>0</v>
      </c>
      <c r="T1575" s="85">
        <f>STATS1003B!T1578/1000</f>
        <v>0</v>
      </c>
      <c r="U1575" s="85">
        <f>STATS1003B!U1578/1000</f>
        <v>0</v>
      </c>
      <c r="V1575" s="85">
        <f>STATS1003B!V1578/1000</f>
        <v>1750</v>
      </c>
      <c r="W1575" s="85">
        <f>STATS1003B!W1578/1000</f>
        <v>0</v>
      </c>
      <c r="X1575" s="85">
        <f>STATS1003B!X1578/1000</f>
        <v>1750</v>
      </c>
      <c r="Y1575" s="85">
        <f>STATS1003B!Y1578/1000</f>
        <v>0</v>
      </c>
      <c r="Z1575" s="85">
        <f>STATS1003B!Z1578/1000</f>
        <v>0</v>
      </c>
      <c r="AA1575" s="69">
        <f>STATS1003B!AA1578/1000</f>
        <v>1750</v>
      </c>
      <c r="AB1575" s="69">
        <f>STATS1003B!AB1578/1000</f>
        <v>0</v>
      </c>
    </row>
    <row r="1576" spans="1:28" hidden="1" x14ac:dyDescent="0.3">
      <c r="A1576" s="117"/>
      <c r="C1576" s="68" t="s">
        <v>300</v>
      </c>
      <c r="D1576" s="145" t="s">
        <v>234</v>
      </c>
      <c r="E1576" s="85">
        <f>STATS1003B!E1579/1000</f>
        <v>605</v>
      </c>
      <c r="F1576" s="85">
        <f>STATS1003B!F1579/1000</f>
        <v>605</v>
      </c>
      <c r="G1576" s="85">
        <f>STATS1003B!G1579/1000</f>
        <v>0</v>
      </c>
      <c r="H1576" s="85">
        <f>STATS1003B!H1579/1000</f>
        <v>605</v>
      </c>
      <c r="I1576" s="85">
        <f>STATS1003B!I1579/1000</f>
        <v>0</v>
      </c>
      <c r="J1576" s="85">
        <f>STATS1003B!J1579/1000</f>
        <v>0</v>
      </c>
      <c r="K1576" s="85">
        <f>STATS1003B!K1579/1000</f>
        <v>0</v>
      </c>
      <c r="L1576" s="85">
        <f>STATS1003B!L1579/1000</f>
        <v>0</v>
      </c>
      <c r="M1576" s="85">
        <f>STATS1003B!M1579/1000</f>
        <v>605</v>
      </c>
      <c r="N1576" s="85">
        <f>STATS1003B!N1579/1000</f>
        <v>0</v>
      </c>
      <c r="O1576" s="85">
        <f>STATS1003B!O1579/1000</f>
        <v>0</v>
      </c>
      <c r="P1576" s="85">
        <f>STATS1003B!P1579/1000</f>
        <v>0</v>
      </c>
      <c r="Q1576" s="85">
        <f>STATS1003B!Q1579/1000</f>
        <v>0</v>
      </c>
      <c r="R1576" s="85">
        <f>STATS1003B!R1579/1000</f>
        <v>0</v>
      </c>
      <c r="S1576" s="85">
        <f>STATS1003B!S1579/1000</f>
        <v>0</v>
      </c>
      <c r="T1576" s="85">
        <f>STATS1003B!T1579/1000</f>
        <v>0</v>
      </c>
      <c r="U1576" s="85">
        <f>STATS1003B!U1579/1000</f>
        <v>0</v>
      </c>
      <c r="V1576" s="85">
        <f>STATS1003B!V1579/1000</f>
        <v>605</v>
      </c>
      <c r="W1576" s="85">
        <f>STATS1003B!W1579/1000</f>
        <v>0</v>
      </c>
      <c r="X1576" s="85">
        <f>STATS1003B!X1579/1000</f>
        <v>605</v>
      </c>
      <c r="Y1576" s="85">
        <f>STATS1003B!Y1579/1000</f>
        <v>0</v>
      </c>
      <c r="Z1576" s="85">
        <f>STATS1003B!Z1579/1000</f>
        <v>0</v>
      </c>
      <c r="AA1576" s="69">
        <f>STATS1003B!AA1579/1000</f>
        <v>605</v>
      </c>
      <c r="AB1576" s="69">
        <f>STATS1003B!AB1579/1000</f>
        <v>0</v>
      </c>
    </row>
    <row r="1577" spans="1:28" hidden="1" x14ac:dyDescent="0.3">
      <c r="A1577" s="117"/>
      <c r="C1577" s="68" t="s">
        <v>106</v>
      </c>
      <c r="D1577" s="145" t="s">
        <v>234</v>
      </c>
      <c r="E1577" s="85">
        <f>STATS1003B!E1580/1000</f>
        <v>307.5</v>
      </c>
      <c r="F1577" s="85">
        <f>STATS1003B!F1580/1000</f>
        <v>219.04</v>
      </c>
      <c r="G1577" s="85">
        <f>STATS1003B!G1580/1000</f>
        <v>0</v>
      </c>
      <c r="H1577" s="85">
        <f>STATS1003B!H1580/1000</f>
        <v>219.04</v>
      </c>
      <c r="I1577" s="85">
        <f>STATS1003B!I1580/1000</f>
        <v>0</v>
      </c>
      <c r="J1577" s="85">
        <f>STATS1003B!J1580/1000</f>
        <v>0</v>
      </c>
      <c r="K1577" s="85">
        <f>STATS1003B!K1580/1000</f>
        <v>0</v>
      </c>
      <c r="L1577" s="85">
        <f>STATS1003B!L1580/1000</f>
        <v>0</v>
      </c>
      <c r="M1577" s="85">
        <f>STATS1003B!M1580/1000</f>
        <v>219.04</v>
      </c>
      <c r="N1577" s="85">
        <f>STATS1003B!N1580/1000</f>
        <v>0</v>
      </c>
      <c r="O1577" s="85">
        <f>STATS1003B!O1580/1000</f>
        <v>0</v>
      </c>
      <c r="P1577" s="85">
        <f>STATS1003B!P1580/1000</f>
        <v>0</v>
      </c>
      <c r="Q1577" s="85">
        <f>STATS1003B!Q1580/1000</f>
        <v>0</v>
      </c>
      <c r="R1577" s="85">
        <f>STATS1003B!R1580/1000</f>
        <v>0</v>
      </c>
      <c r="S1577" s="85">
        <f>STATS1003B!S1580/1000</f>
        <v>0</v>
      </c>
      <c r="T1577" s="85">
        <f>STATS1003B!T1580/1000</f>
        <v>0</v>
      </c>
      <c r="U1577" s="85">
        <f>STATS1003B!U1580/1000</f>
        <v>0</v>
      </c>
      <c r="V1577" s="85">
        <f>STATS1003B!V1580/1000</f>
        <v>219.04</v>
      </c>
      <c r="W1577" s="85">
        <f>STATS1003B!W1580/1000</f>
        <v>88.46</v>
      </c>
      <c r="X1577" s="85">
        <f>STATS1003B!X1580/1000</f>
        <v>219.04</v>
      </c>
      <c r="Y1577" s="85">
        <f>STATS1003B!Y1580/1000</f>
        <v>0</v>
      </c>
      <c r="Z1577" s="85">
        <f>STATS1003B!Z1580/1000</f>
        <v>88.46</v>
      </c>
      <c r="AA1577" s="69">
        <f>STATS1003B!AA1580/1000</f>
        <v>219.04</v>
      </c>
      <c r="AB1577" s="69">
        <f>STATS1003B!AB1580/1000</f>
        <v>88.46</v>
      </c>
    </row>
    <row r="1578" spans="1:28" hidden="1" x14ac:dyDescent="0.3">
      <c r="A1578" s="117"/>
      <c r="C1578" s="68" t="s">
        <v>309</v>
      </c>
      <c r="D1578" s="145" t="s">
        <v>234</v>
      </c>
      <c r="E1578" s="85">
        <f>STATS1003B!E1581/1000</f>
        <v>2700</v>
      </c>
      <c r="F1578" s="85">
        <f>STATS1003B!F1581/1000</f>
        <v>2700</v>
      </c>
      <c r="G1578" s="85">
        <f>STATS1003B!G1581/1000</f>
        <v>0</v>
      </c>
      <c r="H1578" s="85">
        <f>STATS1003B!H1581/1000</f>
        <v>2700</v>
      </c>
      <c r="I1578" s="85">
        <f>STATS1003B!I1581/1000</f>
        <v>0</v>
      </c>
      <c r="J1578" s="85">
        <f>STATS1003B!J1581/1000</f>
        <v>0</v>
      </c>
      <c r="K1578" s="85">
        <f>STATS1003B!K1581/1000</f>
        <v>0</v>
      </c>
      <c r="L1578" s="85">
        <f>STATS1003B!L1581/1000</f>
        <v>0</v>
      </c>
      <c r="M1578" s="85">
        <f>STATS1003B!M1581/1000</f>
        <v>2700</v>
      </c>
      <c r="N1578" s="85">
        <f>STATS1003B!N1581/1000</f>
        <v>0</v>
      </c>
      <c r="O1578" s="85">
        <f>STATS1003B!O1581/1000</f>
        <v>0</v>
      </c>
      <c r="P1578" s="85">
        <f>STATS1003B!P1581/1000</f>
        <v>0</v>
      </c>
      <c r="Q1578" s="85">
        <f>STATS1003B!Q1581/1000</f>
        <v>0</v>
      </c>
      <c r="R1578" s="85">
        <f>STATS1003B!R1581/1000</f>
        <v>0</v>
      </c>
      <c r="S1578" s="85">
        <f>STATS1003B!S1581/1000</f>
        <v>0</v>
      </c>
      <c r="T1578" s="85">
        <f>STATS1003B!T1581/1000</f>
        <v>0</v>
      </c>
      <c r="U1578" s="85">
        <f>STATS1003B!U1581/1000</f>
        <v>0</v>
      </c>
      <c r="V1578" s="85">
        <f>STATS1003B!V1581/1000</f>
        <v>2700</v>
      </c>
      <c r="W1578" s="85">
        <f>STATS1003B!W1581/1000</f>
        <v>0</v>
      </c>
      <c r="X1578" s="85">
        <f>STATS1003B!X1581/1000</f>
        <v>2700</v>
      </c>
      <c r="Y1578" s="85">
        <f>STATS1003B!Y1581/1000</f>
        <v>0</v>
      </c>
      <c r="Z1578" s="85">
        <f>STATS1003B!Z1581/1000</f>
        <v>0</v>
      </c>
      <c r="AA1578" s="69">
        <f>STATS1003B!AA1581/1000</f>
        <v>2700</v>
      </c>
      <c r="AB1578" s="69">
        <f>STATS1003B!AB1581/1000</f>
        <v>0</v>
      </c>
    </row>
    <row r="1579" spans="1:28" hidden="1" x14ac:dyDescent="0.3">
      <c r="A1579" s="117"/>
      <c r="C1579" s="68" t="s">
        <v>302</v>
      </c>
      <c r="D1579" s="145" t="s">
        <v>85</v>
      </c>
      <c r="E1579" s="85">
        <f>STATS1003B!E1582/1000</f>
        <v>200</v>
      </c>
      <c r="F1579" s="85">
        <f>STATS1003B!F1582/1000</f>
        <v>200</v>
      </c>
      <c r="G1579" s="85">
        <f>STATS1003B!G1582/1000</f>
        <v>0</v>
      </c>
      <c r="H1579" s="85">
        <f>STATS1003B!H1582/1000</f>
        <v>200</v>
      </c>
      <c r="I1579" s="85">
        <f>STATS1003B!I1582/1000</f>
        <v>0</v>
      </c>
      <c r="J1579" s="85">
        <f>STATS1003B!J1582/1000</f>
        <v>0</v>
      </c>
      <c r="K1579" s="85">
        <f>STATS1003B!K1582/1000</f>
        <v>0</v>
      </c>
      <c r="L1579" s="85">
        <f>STATS1003B!L1582/1000</f>
        <v>0</v>
      </c>
      <c r="M1579" s="85">
        <f>STATS1003B!M1582/1000</f>
        <v>200</v>
      </c>
      <c r="N1579" s="85">
        <f>STATS1003B!N1582/1000</f>
        <v>0</v>
      </c>
      <c r="O1579" s="85">
        <f>STATS1003B!O1582/1000</f>
        <v>0</v>
      </c>
      <c r="P1579" s="85">
        <f>STATS1003B!P1582/1000</f>
        <v>0</v>
      </c>
      <c r="Q1579" s="85">
        <f>STATS1003B!Q1582/1000</f>
        <v>0</v>
      </c>
      <c r="R1579" s="85">
        <f>STATS1003B!R1582/1000</f>
        <v>0</v>
      </c>
      <c r="S1579" s="85">
        <f>STATS1003B!S1582/1000</f>
        <v>0</v>
      </c>
      <c r="T1579" s="85">
        <f>STATS1003B!T1582/1000</f>
        <v>0</v>
      </c>
      <c r="U1579" s="85">
        <f>STATS1003B!U1582/1000</f>
        <v>0</v>
      </c>
      <c r="V1579" s="85">
        <f>STATS1003B!V1582/1000</f>
        <v>200</v>
      </c>
      <c r="W1579" s="85">
        <f>STATS1003B!W1582/1000</f>
        <v>0</v>
      </c>
      <c r="X1579" s="85">
        <f>STATS1003B!X1582/1000</f>
        <v>200</v>
      </c>
      <c r="Y1579" s="85">
        <f>STATS1003B!Y1582/1000</f>
        <v>0</v>
      </c>
      <c r="Z1579" s="85">
        <f>STATS1003B!Z1582/1000</f>
        <v>0</v>
      </c>
      <c r="AA1579" s="69">
        <f>STATS1003B!AA1582/1000</f>
        <v>200</v>
      </c>
      <c r="AB1579" s="69">
        <f>STATS1003B!AB1582/1000</f>
        <v>0</v>
      </c>
    </row>
    <row r="1580" spans="1:28" hidden="1" x14ac:dyDescent="0.3">
      <c r="A1580" s="117"/>
      <c r="C1580" s="68" t="s">
        <v>55</v>
      </c>
      <c r="D1580" s="145" t="s">
        <v>88</v>
      </c>
      <c r="E1580" s="85">
        <f>STATS1003B!E1583/1000</f>
        <v>812.32349999999997</v>
      </c>
      <c r="F1580" s="85">
        <f>STATS1003B!F1583/1000</f>
        <v>0</v>
      </c>
      <c r="G1580" s="85">
        <f>STATS1003B!G1583/1000</f>
        <v>0</v>
      </c>
      <c r="H1580" s="85">
        <f>STATS1003B!H1583/1000</f>
        <v>0</v>
      </c>
      <c r="I1580" s="85">
        <f>STATS1003B!I1583/1000</f>
        <v>0</v>
      </c>
      <c r="J1580" s="85">
        <f>STATS1003B!J1583/1000</f>
        <v>0</v>
      </c>
      <c r="K1580" s="85">
        <f>STATS1003B!K1583/1000</f>
        <v>0</v>
      </c>
      <c r="L1580" s="85">
        <f>STATS1003B!L1583/1000</f>
        <v>0</v>
      </c>
      <c r="M1580" s="85">
        <f>STATS1003B!M1583/1000</f>
        <v>0</v>
      </c>
      <c r="N1580" s="85">
        <f>STATS1003B!N1583/1000</f>
        <v>812.32349999999997</v>
      </c>
      <c r="O1580" s="85">
        <f>STATS1003B!O1583/1000</f>
        <v>0</v>
      </c>
      <c r="P1580" s="85">
        <f>STATS1003B!P1583/1000</f>
        <v>812.32349999999997</v>
      </c>
      <c r="Q1580" s="85">
        <f>STATS1003B!Q1583/1000</f>
        <v>0</v>
      </c>
      <c r="R1580" s="85">
        <f>STATS1003B!R1583/1000</f>
        <v>0</v>
      </c>
      <c r="S1580" s="85">
        <f>STATS1003B!S1583/1000</f>
        <v>0</v>
      </c>
      <c r="T1580" s="85">
        <f>STATS1003B!T1583/1000</f>
        <v>0</v>
      </c>
      <c r="U1580" s="85">
        <f>STATS1003B!U1583/1000</f>
        <v>812.32349999999997</v>
      </c>
      <c r="V1580" s="85">
        <f>STATS1003B!V1583/1000</f>
        <v>812.32349999999997</v>
      </c>
      <c r="W1580" s="85">
        <f>STATS1003B!W1583/1000</f>
        <v>0</v>
      </c>
      <c r="X1580" s="85">
        <f>STATS1003B!X1583/1000</f>
        <v>812.32349999999997</v>
      </c>
      <c r="Y1580" s="85">
        <f>STATS1003B!Y1583/1000</f>
        <v>0</v>
      </c>
      <c r="Z1580" s="85">
        <f>STATS1003B!Z1583/1000</f>
        <v>0</v>
      </c>
      <c r="AA1580" s="69">
        <f>STATS1003B!AA1583/1000</f>
        <v>812.32349999999997</v>
      </c>
      <c r="AB1580" s="69">
        <f>STATS1003B!AB1583/1000</f>
        <v>0</v>
      </c>
    </row>
    <row r="1581" spans="1:28" hidden="1" x14ac:dyDescent="0.3">
      <c r="A1581" s="117"/>
      <c r="C1581" s="68" t="s">
        <v>57</v>
      </c>
      <c r="D1581" s="145" t="s">
        <v>58</v>
      </c>
      <c r="E1581" s="85">
        <f>STATS1003B!E1584/1000</f>
        <v>8148</v>
      </c>
      <c r="F1581" s="85">
        <f>STATS1003B!F1584/1000</f>
        <v>8148</v>
      </c>
      <c r="G1581" s="85">
        <f>STATS1003B!G1584/1000</f>
        <v>0</v>
      </c>
      <c r="H1581" s="85">
        <f>STATS1003B!H1584/1000</f>
        <v>8148</v>
      </c>
      <c r="I1581" s="85">
        <f>STATS1003B!I1584/1000</f>
        <v>0</v>
      </c>
      <c r="J1581" s="85">
        <f>STATS1003B!J1584/1000</f>
        <v>0</v>
      </c>
      <c r="K1581" s="85">
        <f>STATS1003B!K1584/1000</f>
        <v>0</v>
      </c>
      <c r="L1581" s="85">
        <f>STATS1003B!L1584/1000</f>
        <v>0</v>
      </c>
      <c r="M1581" s="85">
        <f>STATS1003B!M1584/1000</f>
        <v>8148</v>
      </c>
      <c r="N1581" s="85">
        <f>STATS1003B!N1584/1000</f>
        <v>0</v>
      </c>
      <c r="O1581" s="85">
        <f>STATS1003B!O1584/1000</f>
        <v>0</v>
      </c>
      <c r="P1581" s="85">
        <f>STATS1003B!P1584/1000</f>
        <v>0</v>
      </c>
      <c r="Q1581" s="85">
        <f>STATS1003B!Q1584/1000</f>
        <v>0</v>
      </c>
      <c r="R1581" s="85">
        <f>STATS1003B!R1584/1000</f>
        <v>0</v>
      </c>
      <c r="S1581" s="85">
        <f>STATS1003B!S1584/1000</f>
        <v>0</v>
      </c>
      <c r="T1581" s="85">
        <f>STATS1003B!T1584/1000</f>
        <v>0</v>
      </c>
      <c r="U1581" s="85">
        <f>STATS1003B!U1584/1000</f>
        <v>0</v>
      </c>
      <c r="V1581" s="85">
        <f>STATS1003B!V1584/1000</f>
        <v>8148</v>
      </c>
      <c r="W1581" s="85">
        <f>STATS1003B!W1584/1000</f>
        <v>0</v>
      </c>
      <c r="X1581" s="85">
        <f>STATS1003B!X1584/1000</f>
        <v>8148</v>
      </c>
      <c r="Y1581" s="85">
        <f>STATS1003B!Y1584/1000</f>
        <v>0</v>
      </c>
      <c r="Z1581" s="85">
        <f>STATS1003B!Z1584/1000</f>
        <v>0</v>
      </c>
      <c r="AA1581" s="69">
        <f>STATS1003B!AA1584/1000</f>
        <v>8148</v>
      </c>
      <c r="AB1581" s="69">
        <f>STATS1003B!AB1584/1000</f>
        <v>0</v>
      </c>
    </row>
    <row r="1582" spans="1:28" hidden="1" x14ac:dyDescent="0.3">
      <c r="A1582" s="117"/>
      <c r="C1582" s="71" t="s">
        <v>310</v>
      </c>
      <c r="D1582" s="88" t="s">
        <v>58</v>
      </c>
      <c r="E1582" s="85">
        <f>STATS1003B!E1585/1000</f>
        <v>500</v>
      </c>
      <c r="F1582" s="85">
        <f>STATS1003B!F1585/1000</f>
        <v>500</v>
      </c>
      <c r="G1582" s="85">
        <f>STATS1003B!G1585/1000</f>
        <v>0</v>
      </c>
      <c r="H1582" s="85">
        <f>STATS1003B!H1585/1000</f>
        <v>500</v>
      </c>
      <c r="I1582" s="85">
        <f>STATS1003B!I1585/1000</f>
        <v>0</v>
      </c>
      <c r="J1582" s="85">
        <f>STATS1003B!J1585/1000</f>
        <v>0</v>
      </c>
      <c r="K1582" s="85">
        <f>STATS1003B!K1585/1000</f>
        <v>0</v>
      </c>
      <c r="L1582" s="85">
        <f>STATS1003B!L1585/1000</f>
        <v>0</v>
      </c>
      <c r="M1582" s="85">
        <f>STATS1003B!M1585/1000</f>
        <v>500</v>
      </c>
      <c r="N1582" s="85">
        <f>STATS1003B!N1585/1000</f>
        <v>0</v>
      </c>
      <c r="O1582" s="85">
        <f>STATS1003B!O1585/1000</f>
        <v>0</v>
      </c>
      <c r="P1582" s="85">
        <f>STATS1003B!P1585/1000</f>
        <v>0</v>
      </c>
      <c r="Q1582" s="85">
        <f>STATS1003B!Q1585/1000</f>
        <v>0</v>
      </c>
      <c r="R1582" s="85">
        <f>STATS1003B!R1585/1000</f>
        <v>0</v>
      </c>
      <c r="S1582" s="85">
        <f>STATS1003B!S1585/1000</f>
        <v>0</v>
      </c>
      <c r="T1582" s="85">
        <f>STATS1003B!T1585/1000</f>
        <v>0</v>
      </c>
      <c r="U1582" s="85">
        <f>STATS1003B!U1585/1000</f>
        <v>0</v>
      </c>
      <c r="V1582" s="85">
        <f>STATS1003B!V1585/1000</f>
        <v>500</v>
      </c>
      <c r="W1582" s="85">
        <f>STATS1003B!W1585/1000</f>
        <v>0</v>
      </c>
      <c r="X1582" s="85">
        <f>STATS1003B!X1585/1000</f>
        <v>500</v>
      </c>
      <c r="Y1582" s="85">
        <f>STATS1003B!Y1585/1000</f>
        <v>0</v>
      </c>
      <c r="Z1582" s="85">
        <f>STATS1003B!Z1585/1000</f>
        <v>0</v>
      </c>
      <c r="AA1582" s="69">
        <f>STATS1003B!AA1585/1000</f>
        <v>500</v>
      </c>
      <c r="AB1582" s="69">
        <f>STATS1003B!AB1585/1000</f>
        <v>0</v>
      </c>
    </row>
    <row r="1583" spans="1:28" hidden="1" x14ac:dyDescent="0.3">
      <c r="A1583" s="117"/>
      <c r="C1583" s="71" t="s">
        <v>311</v>
      </c>
      <c r="D1583" s="88" t="s">
        <v>60</v>
      </c>
      <c r="E1583" s="85">
        <f>STATS1003B!E1586/1000</f>
        <v>400</v>
      </c>
      <c r="F1583" s="85">
        <f>STATS1003B!F1586/1000</f>
        <v>400</v>
      </c>
      <c r="G1583" s="85">
        <f>STATS1003B!G1586/1000</f>
        <v>0</v>
      </c>
      <c r="H1583" s="85">
        <f>STATS1003B!H1586/1000</f>
        <v>400</v>
      </c>
      <c r="I1583" s="85">
        <f>STATS1003B!I1586/1000</f>
        <v>0</v>
      </c>
      <c r="J1583" s="85">
        <f>STATS1003B!J1586/1000</f>
        <v>0</v>
      </c>
      <c r="K1583" s="85">
        <f>STATS1003B!K1586/1000</f>
        <v>0</v>
      </c>
      <c r="L1583" s="85">
        <f>STATS1003B!L1586/1000</f>
        <v>0</v>
      </c>
      <c r="M1583" s="85">
        <f>STATS1003B!M1586/1000</f>
        <v>400</v>
      </c>
      <c r="N1583" s="85">
        <f>STATS1003B!N1586/1000</f>
        <v>0</v>
      </c>
      <c r="O1583" s="85">
        <f>STATS1003B!O1586/1000</f>
        <v>0</v>
      </c>
      <c r="P1583" s="85">
        <f>STATS1003B!P1586/1000</f>
        <v>0</v>
      </c>
      <c r="Q1583" s="85">
        <f>STATS1003B!Q1586/1000</f>
        <v>0</v>
      </c>
      <c r="R1583" s="85">
        <f>STATS1003B!R1586/1000</f>
        <v>0</v>
      </c>
      <c r="S1583" s="85">
        <f>STATS1003B!S1586/1000</f>
        <v>0</v>
      </c>
      <c r="T1583" s="85">
        <f>STATS1003B!T1586/1000</f>
        <v>0</v>
      </c>
      <c r="U1583" s="85">
        <f>STATS1003B!U1586/1000</f>
        <v>0</v>
      </c>
      <c r="V1583" s="85">
        <f>STATS1003B!V1586/1000</f>
        <v>400</v>
      </c>
      <c r="W1583" s="85">
        <f>STATS1003B!W1586/1000</f>
        <v>0</v>
      </c>
      <c r="X1583" s="85">
        <f>STATS1003B!X1586/1000</f>
        <v>400</v>
      </c>
      <c r="Y1583" s="85">
        <f>STATS1003B!Y1586/1000</f>
        <v>0</v>
      </c>
      <c r="Z1583" s="85">
        <f>STATS1003B!Z1586/1000</f>
        <v>0</v>
      </c>
      <c r="AA1583" s="69">
        <f>STATS1003B!AA1586/1000</f>
        <v>400</v>
      </c>
      <c r="AB1583" s="69">
        <f>STATS1003B!AB1586/1000</f>
        <v>0</v>
      </c>
    </row>
    <row r="1584" spans="1:28" hidden="1" x14ac:dyDescent="0.3">
      <c r="A1584" s="117"/>
      <c r="C1584" s="71" t="s">
        <v>109</v>
      </c>
      <c r="D1584" s="88" t="s">
        <v>60</v>
      </c>
      <c r="E1584" s="85">
        <f>STATS1003B!E1587/1000</f>
        <v>2500</v>
      </c>
      <c r="F1584" s="85">
        <f>STATS1003B!F1587/1000</f>
        <v>2500</v>
      </c>
      <c r="G1584" s="85">
        <f>STATS1003B!G1587/1000</f>
        <v>0</v>
      </c>
      <c r="H1584" s="85">
        <f>STATS1003B!H1587/1000</f>
        <v>2500</v>
      </c>
      <c r="I1584" s="85">
        <f>STATS1003B!I1587/1000</f>
        <v>0</v>
      </c>
      <c r="J1584" s="85">
        <f>STATS1003B!J1587/1000</f>
        <v>0</v>
      </c>
      <c r="K1584" s="85">
        <f>STATS1003B!K1587/1000</f>
        <v>0</v>
      </c>
      <c r="L1584" s="85">
        <f>STATS1003B!L1587/1000</f>
        <v>0</v>
      </c>
      <c r="M1584" s="85">
        <f>STATS1003B!M1587/1000</f>
        <v>2500</v>
      </c>
      <c r="N1584" s="85">
        <f>STATS1003B!N1587/1000</f>
        <v>0</v>
      </c>
      <c r="O1584" s="85">
        <f>STATS1003B!O1587/1000</f>
        <v>0</v>
      </c>
      <c r="P1584" s="85">
        <f>STATS1003B!P1587/1000</f>
        <v>0</v>
      </c>
      <c r="Q1584" s="85">
        <f>STATS1003B!Q1587/1000</f>
        <v>0</v>
      </c>
      <c r="R1584" s="85">
        <f>STATS1003B!R1587/1000</f>
        <v>0</v>
      </c>
      <c r="S1584" s="85">
        <f>STATS1003B!S1587/1000</f>
        <v>0</v>
      </c>
      <c r="T1584" s="85">
        <f>STATS1003B!T1587/1000</f>
        <v>0</v>
      </c>
      <c r="U1584" s="85">
        <f>STATS1003B!U1587/1000</f>
        <v>0</v>
      </c>
      <c r="V1584" s="85">
        <f>STATS1003B!V1587/1000</f>
        <v>2500</v>
      </c>
      <c r="W1584" s="85">
        <f>STATS1003B!W1587/1000</f>
        <v>0</v>
      </c>
      <c r="X1584" s="85">
        <f>STATS1003B!X1587/1000</f>
        <v>2500</v>
      </c>
      <c r="Y1584" s="85">
        <f>STATS1003B!Y1587/1000</f>
        <v>0</v>
      </c>
      <c r="Z1584" s="85">
        <f>STATS1003B!Z1587/1000</f>
        <v>0</v>
      </c>
      <c r="AA1584" s="69">
        <f>STATS1003B!AA1587/1000</f>
        <v>2500</v>
      </c>
      <c r="AB1584" s="69">
        <f>STATS1003B!AB1587/1000</f>
        <v>0</v>
      </c>
    </row>
    <row r="1585" spans="1:28" hidden="1" x14ac:dyDescent="0.3">
      <c r="A1585" s="117"/>
      <c r="C1585" s="68" t="s">
        <v>57</v>
      </c>
      <c r="D1585" s="145" t="s">
        <v>60</v>
      </c>
      <c r="E1585" s="85">
        <f>STATS1003B!E1588/1000</f>
        <v>3023</v>
      </c>
      <c r="F1585" s="85">
        <f>STATS1003B!F1588/1000</f>
        <v>3023</v>
      </c>
      <c r="G1585" s="85">
        <f>STATS1003B!G1588/1000</f>
        <v>0</v>
      </c>
      <c r="H1585" s="85">
        <f>STATS1003B!H1588/1000</f>
        <v>3023</v>
      </c>
      <c r="I1585" s="85">
        <f>STATS1003B!I1588/1000</f>
        <v>0</v>
      </c>
      <c r="J1585" s="85">
        <f>STATS1003B!J1588/1000</f>
        <v>0</v>
      </c>
      <c r="K1585" s="85">
        <f>STATS1003B!K1588/1000</f>
        <v>0</v>
      </c>
      <c r="L1585" s="85">
        <f>STATS1003B!L1588/1000</f>
        <v>0</v>
      </c>
      <c r="M1585" s="85">
        <f>STATS1003B!M1588/1000</f>
        <v>3023</v>
      </c>
      <c r="N1585" s="85">
        <f>STATS1003B!N1588/1000</f>
        <v>0</v>
      </c>
      <c r="O1585" s="85">
        <f>STATS1003B!O1588/1000</f>
        <v>0</v>
      </c>
      <c r="P1585" s="85">
        <f>STATS1003B!P1588/1000</f>
        <v>0</v>
      </c>
      <c r="Q1585" s="85">
        <f>STATS1003B!Q1588/1000</f>
        <v>0</v>
      </c>
      <c r="R1585" s="85">
        <f>STATS1003B!R1588/1000</f>
        <v>0</v>
      </c>
      <c r="S1585" s="85">
        <f>STATS1003B!S1588/1000</f>
        <v>0</v>
      </c>
      <c r="T1585" s="85">
        <f>STATS1003B!T1588/1000</f>
        <v>0</v>
      </c>
      <c r="U1585" s="85">
        <f>STATS1003B!U1588/1000</f>
        <v>0</v>
      </c>
      <c r="V1585" s="85">
        <f>STATS1003B!V1588/1000</f>
        <v>3023</v>
      </c>
      <c r="W1585" s="85">
        <f>STATS1003B!W1588/1000</f>
        <v>0</v>
      </c>
      <c r="X1585" s="85">
        <f>STATS1003B!X1588/1000</f>
        <v>3023</v>
      </c>
      <c r="Y1585" s="85">
        <f>STATS1003B!Y1588/1000</f>
        <v>0</v>
      </c>
      <c r="Z1585" s="85">
        <f>STATS1003B!Z1588/1000</f>
        <v>0</v>
      </c>
      <c r="AA1585" s="69">
        <f>STATS1003B!AA1588/1000</f>
        <v>3023</v>
      </c>
      <c r="AB1585" s="69">
        <f>STATS1003B!AB1588/1000</f>
        <v>0</v>
      </c>
    </row>
    <row r="1586" spans="1:28" hidden="1" x14ac:dyDescent="0.3">
      <c r="A1586" s="117"/>
      <c r="C1586" s="68" t="s">
        <v>57</v>
      </c>
      <c r="D1586" s="145" t="s">
        <v>73</v>
      </c>
      <c r="E1586" s="85">
        <f>STATS1003B!E1589/1000</f>
        <v>912.01900000000001</v>
      </c>
      <c r="F1586" s="85">
        <f>STATS1003B!F1589/1000</f>
        <v>912.01900000000001</v>
      </c>
      <c r="G1586" s="85">
        <f>STATS1003B!G1589/1000</f>
        <v>0</v>
      </c>
      <c r="H1586" s="85">
        <f>STATS1003B!H1589/1000</f>
        <v>912.01900000000001</v>
      </c>
      <c r="I1586" s="85">
        <f>STATS1003B!I1589/1000</f>
        <v>0</v>
      </c>
      <c r="J1586" s="85">
        <f>STATS1003B!J1589/1000</f>
        <v>0</v>
      </c>
      <c r="K1586" s="85">
        <f>STATS1003B!K1589/1000</f>
        <v>0</v>
      </c>
      <c r="L1586" s="85">
        <f>STATS1003B!L1589/1000</f>
        <v>0</v>
      </c>
      <c r="M1586" s="85">
        <f>STATS1003B!M1589/1000</f>
        <v>912.01900000000001</v>
      </c>
      <c r="N1586" s="85">
        <f>STATS1003B!N1589/1000</f>
        <v>0</v>
      </c>
      <c r="O1586" s="85">
        <f>STATS1003B!O1589/1000</f>
        <v>0</v>
      </c>
      <c r="P1586" s="85">
        <f>STATS1003B!P1589/1000</f>
        <v>0</v>
      </c>
      <c r="Q1586" s="85">
        <f>STATS1003B!Q1589/1000</f>
        <v>0</v>
      </c>
      <c r="R1586" s="85">
        <f>STATS1003B!R1589/1000</f>
        <v>0</v>
      </c>
      <c r="S1586" s="85">
        <f>STATS1003B!S1589/1000</f>
        <v>0</v>
      </c>
      <c r="T1586" s="85">
        <f>STATS1003B!T1589/1000</f>
        <v>0</v>
      </c>
      <c r="U1586" s="85">
        <f>STATS1003B!U1589/1000</f>
        <v>0</v>
      </c>
      <c r="V1586" s="85">
        <f>STATS1003B!V1589/1000</f>
        <v>912.01900000000001</v>
      </c>
      <c r="W1586" s="85">
        <f>STATS1003B!W1589/1000</f>
        <v>0</v>
      </c>
      <c r="X1586" s="85">
        <f>STATS1003B!X1589/1000</f>
        <v>912.01900000000001</v>
      </c>
      <c r="Y1586" s="85">
        <f>STATS1003B!Y1589/1000</f>
        <v>0</v>
      </c>
      <c r="Z1586" s="85">
        <f>STATS1003B!Z1589/1000</f>
        <v>0</v>
      </c>
      <c r="AA1586" s="69">
        <f>STATS1003B!AA1589/1000</f>
        <v>912.01900000000001</v>
      </c>
      <c r="AB1586" s="69">
        <f>STATS1003B!AB1589/1000</f>
        <v>0</v>
      </c>
    </row>
    <row r="1587" spans="1:28" hidden="1" x14ac:dyDescent="0.3">
      <c r="A1587" s="117"/>
      <c r="C1587" s="68" t="s">
        <v>930</v>
      </c>
      <c r="D1587" s="145"/>
      <c r="E1587" s="85">
        <f>STATS1003B!E1590/1000</f>
        <v>2129.8342200000002</v>
      </c>
      <c r="F1587" s="85">
        <f>STATS1003B!F1590/1000</f>
        <v>2129.8342200000002</v>
      </c>
      <c r="G1587" s="85">
        <f>STATS1003B!G1590/1000</f>
        <v>0</v>
      </c>
      <c r="H1587" s="85">
        <f>STATS1003B!H1590/1000</f>
        <v>2129.8342200000002</v>
      </c>
      <c r="I1587" s="85">
        <f>STATS1003B!I1590/1000</f>
        <v>0</v>
      </c>
      <c r="J1587" s="85">
        <f>STATS1003B!J1590/1000</f>
        <v>0</v>
      </c>
      <c r="K1587" s="85">
        <f>STATS1003B!K1590/1000</f>
        <v>0</v>
      </c>
      <c r="L1587" s="85">
        <f>STATS1003B!L1590/1000</f>
        <v>0</v>
      </c>
      <c r="M1587" s="85">
        <f>STATS1003B!M1590/1000</f>
        <v>2129.8342200000002</v>
      </c>
      <c r="N1587" s="85">
        <f>STATS1003B!N1590/1000</f>
        <v>0</v>
      </c>
      <c r="O1587" s="85">
        <f>STATS1003B!O1590/1000</f>
        <v>0</v>
      </c>
      <c r="P1587" s="85">
        <f>STATS1003B!P1590/1000</f>
        <v>0</v>
      </c>
      <c r="Q1587" s="85">
        <f>STATS1003B!Q1590/1000</f>
        <v>0</v>
      </c>
      <c r="R1587" s="85">
        <f>STATS1003B!R1590/1000</f>
        <v>0</v>
      </c>
      <c r="S1587" s="85">
        <f>STATS1003B!S1590/1000</f>
        <v>0</v>
      </c>
      <c r="T1587" s="85">
        <f>STATS1003B!T1590/1000</f>
        <v>0</v>
      </c>
      <c r="U1587" s="85">
        <f>STATS1003B!U1590/1000</f>
        <v>0</v>
      </c>
      <c r="V1587" s="85">
        <f>STATS1003B!V1590/1000</f>
        <v>2129.8342200000002</v>
      </c>
      <c r="W1587" s="85">
        <f>STATS1003B!W1590/1000</f>
        <v>0</v>
      </c>
      <c r="X1587" s="85">
        <f>STATS1003B!X1590/1000</f>
        <v>2129.8342200000002</v>
      </c>
      <c r="Y1587" s="85">
        <f>STATS1003B!Y1590/1000</f>
        <v>0</v>
      </c>
      <c r="Z1587" s="85">
        <f>STATS1003B!Z1590/1000</f>
        <v>0</v>
      </c>
      <c r="AA1587" s="69">
        <f>STATS1003B!AA1590/1000</f>
        <v>2129.8342200000002</v>
      </c>
      <c r="AB1587" s="69">
        <f>STATS1003B!AB1590/1000</f>
        <v>0</v>
      </c>
    </row>
    <row r="1588" spans="1:28" hidden="1" x14ac:dyDescent="0.3">
      <c r="A1588" s="117"/>
      <c r="C1588" s="68" t="s">
        <v>1188</v>
      </c>
      <c r="D1588" s="90" t="s">
        <v>1126</v>
      </c>
      <c r="E1588" s="85">
        <f>STATS1003B!E1591/1000</f>
        <v>250</v>
      </c>
      <c r="F1588" s="85">
        <f>STATS1003B!F1591/1000</f>
        <v>250</v>
      </c>
      <c r="G1588" s="85">
        <f>STATS1003B!G1591/1000</f>
        <v>0</v>
      </c>
      <c r="H1588" s="85">
        <f>STATS1003B!H1591/1000</f>
        <v>250</v>
      </c>
      <c r="I1588" s="85">
        <f>STATS1003B!I1591/1000</f>
        <v>0</v>
      </c>
      <c r="J1588" s="85">
        <f>STATS1003B!J1591/1000</f>
        <v>0</v>
      </c>
      <c r="K1588" s="85">
        <f>STATS1003B!K1591/1000</f>
        <v>0</v>
      </c>
      <c r="L1588" s="85">
        <f>STATS1003B!L1591/1000</f>
        <v>0</v>
      </c>
      <c r="M1588" s="85">
        <f>STATS1003B!M1591/1000</f>
        <v>250</v>
      </c>
      <c r="N1588" s="85">
        <f>STATS1003B!N1591/1000</f>
        <v>0</v>
      </c>
      <c r="O1588" s="85">
        <f>STATS1003B!O1591/1000</f>
        <v>0</v>
      </c>
      <c r="P1588" s="85">
        <f>STATS1003B!P1591/1000</f>
        <v>0</v>
      </c>
      <c r="Q1588" s="85">
        <f>STATS1003B!Q1591/1000</f>
        <v>0</v>
      </c>
      <c r="R1588" s="85">
        <f>STATS1003B!R1591/1000</f>
        <v>0</v>
      </c>
      <c r="S1588" s="85">
        <f>STATS1003B!S1591/1000</f>
        <v>0</v>
      </c>
      <c r="T1588" s="85">
        <f>STATS1003B!T1591/1000</f>
        <v>0</v>
      </c>
      <c r="U1588" s="85">
        <f>STATS1003B!U1591/1000</f>
        <v>0</v>
      </c>
      <c r="V1588" s="85">
        <f>STATS1003B!V1591/1000</f>
        <v>250</v>
      </c>
      <c r="W1588" s="85">
        <f>STATS1003B!W1591/1000</f>
        <v>0</v>
      </c>
      <c r="X1588" s="85">
        <f>STATS1003B!X1591/1000</f>
        <v>250</v>
      </c>
      <c r="Y1588" s="85">
        <f>STATS1003B!Y1591/1000</f>
        <v>0</v>
      </c>
      <c r="Z1588" s="85">
        <f>STATS1003B!Z1591/1000</f>
        <v>0</v>
      </c>
      <c r="AA1588" s="69">
        <f>STATS1003B!AA1591/1000</f>
        <v>250</v>
      </c>
      <c r="AB1588" s="69">
        <f>STATS1003B!AB1591/1000</f>
        <v>0</v>
      </c>
    </row>
    <row r="1589" spans="1:28" hidden="1" x14ac:dyDescent="0.3">
      <c r="A1589" s="117"/>
      <c r="C1589" s="68" t="s">
        <v>1262</v>
      </c>
      <c r="D1589" s="90" t="s">
        <v>1225</v>
      </c>
      <c r="E1589" s="85">
        <f>STATS1003B!E1592/1000</f>
        <v>330</v>
      </c>
      <c r="F1589" s="85">
        <f>STATS1003B!F1592/1000</f>
        <v>0</v>
      </c>
      <c r="G1589" s="85">
        <f>STATS1003B!G1592/1000</f>
        <v>330</v>
      </c>
      <c r="H1589" s="85">
        <f>STATS1003B!H1592/1000</f>
        <v>330</v>
      </c>
      <c r="I1589" s="85">
        <f>STATS1003B!I1592/1000</f>
        <v>0</v>
      </c>
      <c r="J1589" s="85">
        <f>STATS1003B!J1592/1000</f>
        <v>0</v>
      </c>
      <c r="K1589" s="85">
        <f>STATS1003B!K1592/1000</f>
        <v>0</v>
      </c>
      <c r="L1589" s="85">
        <f>STATS1003B!L1592/1000</f>
        <v>0</v>
      </c>
      <c r="M1589" s="85">
        <f>STATS1003B!M1592/1000</f>
        <v>330</v>
      </c>
      <c r="N1589" s="85">
        <f>STATS1003B!N1592/1000</f>
        <v>0</v>
      </c>
      <c r="O1589" s="85">
        <f>STATS1003B!O1592/1000</f>
        <v>0</v>
      </c>
      <c r="P1589" s="85">
        <f>STATS1003B!P1592/1000</f>
        <v>0</v>
      </c>
      <c r="Q1589" s="85">
        <f>STATS1003B!Q1592/1000</f>
        <v>0</v>
      </c>
      <c r="R1589" s="85">
        <f>STATS1003B!R1592/1000</f>
        <v>0</v>
      </c>
      <c r="S1589" s="85">
        <f>STATS1003B!S1592/1000</f>
        <v>0</v>
      </c>
      <c r="T1589" s="85">
        <f>STATS1003B!T1592/1000</f>
        <v>0</v>
      </c>
      <c r="U1589" s="85">
        <f>STATS1003B!U1592/1000</f>
        <v>0</v>
      </c>
      <c r="V1589" s="85">
        <f>STATS1003B!V1592/1000</f>
        <v>0</v>
      </c>
      <c r="W1589" s="85">
        <f>STATS1003B!W1592/1000</f>
        <v>0</v>
      </c>
      <c r="X1589" s="85">
        <f>STATS1003B!X1592/1000</f>
        <v>330</v>
      </c>
      <c r="Y1589" s="85">
        <f>STATS1003B!Y1592/1000</f>
        <v>0</v>
      </c>
      <c r="Z1589" s="85">
        <f>STATS1003B!Z1592/1000</f>
        <v>0</v>
      </c>
      <c r="AA1589" s="69">
        <f>STATS1003B!AA1592/1000</f>
        <v>330</v>
      </c>
      <c r="AB1589" s="69">
        <f>STATS1003B!AB1592/1000</f>
        <v>0</v>
      </c>
    </row>
    <row r="1590" spans="1:28" hidden="1" x14ac:dyDescent="0.3">
      <c r="A1590" s="117"/>
      <c r="C1590" s="68" t="s">
        <v>57</v>
      </c>
      <c r="D1590" s="90" t="s">
        <v>61</v>
      </c>
      <c r="E1590" s="85">
        <f>STATS1003B!E1593/1000</f>
        <v>794</v>
      </c>
      <c r="F1590" s="85">
        <f>STATS1003B!F1593/1000</f>
        <v>794</v>
      </c>
      <c r="G1590" s="85">
        <f>STATS1003B!G1593/1000</f>
        <v>0</v>
      </c>
      <c r="H1590" s="85">
        <f>STATS1003B!H1593/1000</f>
        <v>794</v>
      </c>
      <c r="I1590" s="85">
        <f>STATS1003B!I1593/1000</f>
        <v>0</v>
      </c>
      <c r="J1590" s="85">
        <f>STATS1003B!J1593/1000</f>
        <v>0</v>
      </c>
      <c r="K1590" s="85">
        <f>STATS1003B!K1593/1000</f>
        <v>0</v>
      </c>
      <c r="L1590" s="85">
        <f>STATS1003B!L1593/1000</f>
        <v>0</v>
      </c>
      <c r="M1590" s="85">
        <f>STATS1003B!M1593/1000</f>
        <v>794</v>
      </c>
      <c r="N1590" s="85">
        <f>STATS1003B!N1593/1000</f>
        <v>0</v>
      </c>
      <c r="O1590" s="85">
        <f>STATS1003B!O1593/1000</f>
        <v>0</v>
      </c>
      <c r="P1590" s="85">
        <f>STATS1003B!P1593/1000</f>
        <v>0</v>
      </c>
      <c r="Q1590" s="85">
        <f>STATS1003B!Q1593/1000</f>
        <v>0</v>
      </c>
      <c r="R1590" s="85">
        <f>STATS1003B!R1593/1000</f>
        <v>0</v>
      </c>
      <c r="S1590" s="85">
        <f>STATS1003B!S1593/1000</f>
        <v>0</v>
      </c>
      <c r="T1590" s="85">
        <f>STATS1003B!T1593/1000</f>
        <v>0</v>
      </c>
      <c r="U1590" s="85">
        <f>STATS1003B!U1593/1000</f>
        <v>0</v>
      </c>
      <c r="V1590" s="85">
        <f>STATS1003B!V1593/1000</f>
        <v>794</v>
      </c>
      <c r="W1590" s="85">
        <f>STATS1003B!W1593/1000</f>
        <v>0</v>
      </c>
      <c r="X1590" s="85">
        <f>STATS1003B!X1593/1000</f>
        <v>794</v>
      </c>
      <c r="Y1590" s="85">
        <f>STATS1003B!Y1593/1000</f>
        <v>0</v>
      </c>
      <c r="Z1590" s="85">
        <f>STATS1003B!Z1593/1000</f>
        <v>0</v>
      </c>
      <c r="AA1590" s="69">
        <f>STATS1003B!AA1593/1000</f>
        <v>794</v>
      </c>
      <c r="AB1590" s="69">
        <f>STATS1003B!AB1593/1000</f>
        <v>0</v>
      </c>
    </row>
    <row r="1591" spans="1:28" hidden="1" x14ac:dyDescent="0.3">
      <c r="A1591" s="117"/>
      <c r="E1591" s="86" t="s">
        <v>29</v>
      </c>
      <c r="F1591" s="86" t="s">
        <v>29</v>
      </c>
      <c r="G1591" s="86" t="s">
        <v>29</v>
      </c>
      <c r="H1591" s="86" t="s">
        <v>29</v>
      </c>
      <c r="I1591" s="86" t="s">
        <v>29</v>
      </c>
      <c r="J1591" s="86" t="s">
        <v>29</v>
      </c>
      <c r="K1591" s="86" t="s">
        <v>29</v>
      </c>
      <c r="L1591" s="86" t="s">
        <v>29</v>
      </c>
      <c r="M1591" s="86" t="s">
        <v>29</v>
      </c>
      <c r="N1591" s="86" t="s">
        <v>29</v>
      </c>
      <c r="O1591" s="86" t="s">
        <v>29</v>
      </c>
      <c r="P1591" s="86" t="s">
        <v>29</v>
      </c>
      <c r="Q1591" s="86" t="s">
        <v>29</v>
      </c>
      <c r="R1591" s="86" t="s">
        <v>29</v>
      </c>
      <c r="S1591" s="86" t="s">
        <v>29</v>
      </c>
      <c r="T1591" s="86" t="s">
        <v>29</v>
      </c>
      <c r="U1591" s="86" t="s">
        <v>29</v>
      </c>
      <c r="V1591" s="86" t="s">
        <v>29</v>
      </c>
      <c r="W1591" s="86" t="s">
        <v>29</v>
      </c>
      <c r="X1591" s="86" t="s">
        <v>29</v>
      </c>
      <c r="Y1591" s="86" t="s">
        <v>29</v>
      </c>
      <c r="Z1591" s="86" t="s">
        <v>29</v>
      </c>
      <c r="AA1591" s="115" t="s">
        <v>29</v>
      </c>
      <c r="AB1591" s="115" t="s">
        <v>29</v>
      </c>
    </row>
    <row r="1592" spans="1:28" x14ac:dyDescent="0.3">
      <c r="A1592" s="116">
        <v>67</v>
      </c>
      <c r="B1592" s="68" t="s">
        <v>303</v>
      </c>
      <c r="E1592" s="85">
        <f>160656004.56/1000</f>
        <v>160656.00456</v>
      </c>
      <c r="F1592" s="85">
        <f t="shared" ref="F1592:AB1592" si="180">SUM(F1571:F1590)</f>
        <v>40219.267399999997</v>
      </c>
      <c r="G1592" s="85">
        <f t="shared" si="180"/>
        <v>330</v>
      </c>
      <c r="H1592" s="85">
        <f>157074356.28/1000</f>
        <v>157074.35628000001</v>
      </c>
      <c r="I1592" s="85">
        <f t="shared" si="180"/>
        <v>0</v>
      </c>
      <c r="J1592" s="85">
        <f t="shared" si="180"/>
        <v>0</v>
      </c>
      <c r="K1592" s="85">
        <f t="shared" si="180"/>
        <v>0</v>
      </c>
      <c r="L1592" s="85">
        <f t="shared" si="180"/>
        <v>0</v>
      </c>
      <c r="M1592" s="85">
        <f t="shared" si="180"/>
        <v>40549.267399999997</v>
      </c>
      <c r="N1592" s="85">
        <f t="shared" si="180"/>
        <v>3433.1882799999998</v>
      </c>
      <c r="O1592" s="85">
        <f t="shared" si="180"/>
        <v>0</v>
      </c>
      <c r="P1592" s="85">
        <f>3433188/1000</f>
        <v>3433.1880000000001</v>
      </c>
      <c r="Q1592" s="85">
        <f t="shared" si="180"/>
        <v>0</v>
      </c>
      <c r="R1592" s="85">
        <f t="shared" si="180"/>
        <v>0</v>
      </c>
      <c r="S1592" s="85">
        <f t="shared" si="180"/>
        <v>0</v>
      </c>
      <c r="T1592" s="85">
        <f t="shared" si="180"/>
        <v>0</v>
      </c>
      <c r="U1592" s="85">
        <f t="shared" si="180"/>
        <v>3433.1882799999998</v>
      </c>
      <c r="V1592" s="85">
        <f t="shared" si="180"/>
        <v>43652.455679999992</v>
      </c>
      <c r="W1592" s="85">
        <f t="shared" si="180"/>
        <v>148.45999999999998</v>
      </c>
      <c r="X1592" s="85">
        <f t="shared" ref="X1592:X1655" si="181">+H1592+P1592</f>
        <v>160507.54428</v>
      </c>
      <c r="Y1592" s="85">
        <f t="shared" si="180"/>
        <v>0</v>
      </c>
      <c r="Z1592" s="85">
        <f t="shared" si="180"/>
        <v>148.45999999999998</v>
      </c>
      <c r="AA1592" s="69">
        <f t="shared" si="180"/>
        <v>43982.455679999992</v>
      </c>
      <c r="AB1592" s="69">
        <f t="shared" si="180"/>
        <v>148.45999999999998</v>
      </c>
    </row>
    <row r="1593" spans="1:28" hidden="1" x14ac:dyDescent="0.3">
      <c r="A1593" s="117"/>
      <c r="E1593" s="86" t="s">
        <v>29</v>
      </c>
      <c r="F1593" s="86" t="s">
        <v>29</v>
      </c>
      <c r="G1593" s="86" t="s">
        <v>29</v>
      </c>
      <c r="H1593" s="86" t="s">
        <v>29</v>
      </c>
      <c r="I1593" s="86" t="s">
        <v>29</v>
      </c>
      <c r="J1593" s="86" t="s">
        <v>29</v>
      </c>
      <c r="K1593" s="86" t="s">
        <v>29</v>
      </c>
      <c r="L1593" s="86" t="s">
        <v>29</v>
      </c>
      <c r="M1593" s="86" t="s">
        <v>29</v>
      </c>
      <c r="N1593" s="86" t="s">
        <v>29</v>
      </c>
      <c r="O1593" s="86" t="s">
        <v>29</v>
      </c>
      <c r="P1593" s="86" t="s">
        <v>29</v>
      </c>
      <c r="Q1593" s="86" t="s">
        <v>29</v>
      </c>
      <c r="R1593" s="86" t="s">
        <v>29</v>
      </c>
      <c r="S1593" s="86" t="s">
        <v>29</v>
      </c>
      <c r="T1593" s="86" t="s">
        <v>29</v>
      </c>
      <c r="U1593" s="86" t="s">
        <v>29</v>
      </c>
      <c r="V1593" s="86" t="s">
        <v>29</v>
      </c>
      <c r="W1593" s="86" t="s">
        <v>29</v>
      </c>
      <c r="X1593" s="85" t="e">
        <f t="shared" si="181"/>
        <v>#VALUE!</v>
      </c>
      <c r="Y1593" s="86" t="s">
        <v>29</v>
      </c>
      <c r="Z1593" s="86" t="s">
        <v>29</v>
      </c>
      <c r="AA1593" s="115" t="s">
        <v>29</v>
      </c>
      <c r="AB1593" s="115" t="s">
        <v>29</v>
      </c>
    </row>
    <row r="1594" spans="1:28" hidden="1" x14ac:dyDescent="0.3">
      <c r="A1594" s="105"/>
      <c r="E1594" s="84"/>
      <c r="F1594" s="84"/>
      <c r="G1594" s="84"/>
      <c r="H1594" s="84"/>
      <c r="I1594" s="84"/>
      <c r="J1594" s="84"/>
      <c r="K1594" s="84"/>
      <c r="L1594" s="84"/>
      <c r="M1594" s="84"/>
      <c r="N1594" s="84"/>
      <c r="O1594" s="84"/>
      <c r="P1594" s="84"/>
      <c r="Q1594" s="84"/>
      <c r="R1594" s="84"/>
      <c r="S1594" s="84"/>
      <c r="T1594" s="84"/>
      <c r="U1594" s="84"/>
      <c r="V1594" s="84"/>
      <c r="W1594" s="84"/>
      <c r="X1594" s="85">
        <f t="shared" si="181"/>
        <v>0</v>
      </c>
      <c r="Y1594" s="84"/>
      <c r="Z1594" s="84"/>
    </row>
    <row r="1595" spans="1:28" hidden="1" x14ac:dyDescent="0.3">
      <c r="A1595" s="117"/>
      <c r="D1595" s="145" t="s">
        <v>79</v>
      </c>
      <c r="E1595" s="84"/>
      <c r="F1595" s="84"/>
      <c r="G1595" s="84"/>
      <c r="H1595" s="84"/>
      <c r="I1595" s="84"/>
      <c r="J1595" s="84"/>
      <c r="K1595" s="84"/>
      <c r="L1595" s="84"/>
      <c r="M1595" s="84"/>
      <c r="N1595" s="84"/>
      <c r="O1595" s="84"/>
      <c r="P1595" s="84"/>
      <c r="Q1595" s="84"/>
      <c r="R1595" s="84"/>
      <c r="S1595" s="84"/>
      <c r="T1595" s="84"/>
      <c r="U1595" s="84"/>
      <c r="V1595" s="84"/>
      <c r="W1595" s="84"/>
      <c r="X1595" s="85">
        <f t="shared" si="181"/>
        <v>0</v>
      </c>
      <c r="Y1595" s="84"/>
      <c r="Z1595" s="84"/>
    </row>
    <row r="1596" spans="1:28" hidden="1" x14ac:dyDescent="0.3">
      <c r="A1596" s="117"/>
      <c r="C1596" s="68" t="s">
        <v>313</v>
      </c>
      <c r="D1596" s="71" t="s">
        <v>314</v>
      </c>
      <c r="E1596" s="85">
        <f>STATS1003B!E1599/1000</f>
        <v>18444.555510000002</v>
      </c>
      <c r="F1596" s="85">
        <f>STATS1003B!F1599/1000</f>
        <v>17305.50589</v>
      </c>
      <c r="G1596" s="85">
        <f>STATS1003B!G1599/1000</f>
        <v>0</v>
      </c>
      <c r="H1596" s="85">
        <f>STATS1003B!H1599/1000</f>
        <v>17305.50589</v>
      </c>
      <c r="I1596" s="85">
        <f>STATS1003B!I1599/1000</f>
        <v>0</v>
      </c>
      <c r="J1596" s="85">
        <f>STATS1003B!J1599/1000</f>
        <v>0</v>
      </c>
      <c r="K1596" s="85">
        <f>STATS1003B!K1599/1000</f>
        <v>0</v>
      </c>
      <c r="L1596" s="85">
        <f>STATS1003B!L1599/1000</f>
        <v>0</v>
      </c>
      <c r="M1596" s="85">
        <f>STATS1003B!M1599/1000</f>
        <v>17305.50589</v>
      </c>
      <c r="N1596" s="85">
        <f>STATS1003B!N1599/1000</f>
        <v>1139.04962</v>
      </c>
      <c r="O1596" s="85">
        <f>STATS1003B!O1599/1000</f>
        <v>0</v>
      </c>
      <c r="P1596" s="85">
        <f>STATS1003B!P1599/1000</f>
        <v>1139.04962</v>
      </c>
      <c r="Q1596" s="85">
        <f>STATS1003B!Q1599/1000</f>
        <v>0</v>
      </c>
      <c r="R1596" s="85">
        <f>STATS1003B!R1599/1000</f>
        <v>0</v>
      </c>
      <c r="S1596" s="85">
        <f>STATS1003B!S1599/1000</f>
        <v>0</v>
      </c>
      <c r="T1596" s="85">
        <f>STATS1003B!T1599/1000</f>
        <v>0</v>
      </c>
      <c r="U1596" s="85">
        <f>STATS1003B!U1599/1000</f>
        <v>1139.04962</v>
      </c>
      <c r="V1596" s="85">
        <f>STATS1003B!V1599/1000</f>
        <v>18444.555510000002</v>
      </c>
      <c r="W1596" s="85">
        <f>STATS1003B!W1599/1000</f>
        <v>0</v>
      </c>
      <c r="X1596" s="85">
        <f t="shared" si="181"/>
        <v>18444.555510000002</v>
      </c>
      <c r="Y1596" s="85">
        <f>STATS1003B!Y1599/1000</f>
        <v>0</v>
      </c>
      <c r="Z1596" s="85">
        <f>STATS1003B!Z1599/1000</f>
        <v>0</v>
      </c>
      <c r="AA1596" s="69">
        <f>STATS1003B!AA1599/1000</f>
        <v>18444.555510000002</v>
      </c>
      <c r="AB1596" s="69">
        <f>STATS1003B!AB1599/1000</f>
        <v>0</v>
      </c>
    </row>
    <row r="1597" spans="1:28" hidden="1" x14ac:dyDescent="0.3">
      <c r="A1597" s="117"/>
      <c r="C1597" s="68" t="s">
        <v>53</v>
      </c>
      <c r="D1597" s="145" t="s">
        <v>54</v>
      </c>
      <c r="E1597" s="85">
        <f>STATS1003B!E1600/1000</f>
        <v>1953.989</v>
      </c>
      <c r="F1597" s="85">
        <f>STATS1003B!F1600/1000</f>
        <v>0</v>
      </c>
      <c r="G1597" s="85">
        <f>STATS1003B!G1600/1000</f>
        <v>0</v>
      </c>
      <c r="H1597" s="85">
        <f>STATS1003B!H1600/1000</f>
        <v>0</v>
      </c>
      <c r="I1597" s="85">
        <f>STATS1003B!I1600/1000</f>
        <v>0</v>
      </c>
      <c r="J1597" s="85">
        <f>STATS1003B!J1600/1000</f>
        <v>0</v>
      </c>
      <c r="K1597" s="85">
        <f>STATS1003B!K1600/1000</f>
        <v>0</v>
      </c>
      <c r="L1597" s="85">
        <f>STATS1003B!L1600/1000</f>
        <v>0</v>
      </c>
      <c r="M1597" s="85">
        <f>STATS1003B!M1600/1000</f>
        <v>0</v>
      </c>
      <c r="N1597" s="85">
        <f>STATS1003B!N1600/1000</f>
        <v>1953.989</v>
      </c>
      <c r="O1597" s="85">
        <f>STATS1003B!O1600/1000</f>
        <v>0</v>
      </c>
      <c r="P1597" s="85">
        <f>STATS1003B!P1600/1000</f>
        <v>1953.989</v>
      </c>
      <c r="Q1597" s="85">
        <f>STATS1003B!Q1600/1000</f>
        <v>0</v>
      </c>
      <c r="R1597" s="85">
        <f>STATS1003B!R1600/1000</f>
        <v>0</v>
      </c>
      <c r="S1597" s="85">
        <f>STATS1003B!S1600/1000</f>
        <v>0</v>
      </c>
      <c r="T1597" s="85">
        <f>STATS1003B!T1600/1000</f>
        <v>0</v>
      </c>
      <c r="U1597" s="85">
        <f>STATS1003B!U1600/1000</f>
        <v>1953.989</v>
      </c>
      <c r="V1597" s="85">
        <f>STATS1003B!V1600/1000</f>
        <v>1953.989</v>
      </c>
      <c r="W1597" s="85">
        <f>STATS1003B!W1600/1000</f>
        <v>0</v>
      </c>
      <c r="X1597" s="85">
        <f t="shared" si="181"/>
        <v>1953.989</v>
      </c>
      <c r="Y1597" s="85">
        <f>STATS1003B!Y1600/1000</f>
        <v>0</v>
      </c>
      <c r="Z1597" s="85">
        <f>STATS1003B!Z1600/1000</f>
        <v>0</v>
      </c>
      <c r="AA1597" s="69">
        <f>STATS1003B!AA1600/1000</f>
        <v>1953.989</v>
      </c>
      <c r="AB1597" s="69">
        <f>STATS1003B!AB1600/1000</f>
        <v>0</v>
      </c>
    </row>
    <row r="1598" spans="1:28" hidden="1" x14ac:dyDescent="0.3">
      <c r="A1598" s="117"/>
      <c r="C1598" s="68" t="s">
        <v>315</v>
      </c>
      <c r="D1598" s="145" t="s">
        <v>54</v>
      </c>
      <c r="E1598" s="85">
        <f>STATS1003B!E1601/1000</f>
        <v>2255.88</v>
      </c>
      <c r="F1598" s="85">
        <f>STATS1003B!F1601/1000</f>
        <v>2255.88</v>
      </c>
      <c r="G1598" s="85">
        <f>STATS1003B!G1601/1000</f>
        <v>0</v>
      </c>
      <c r="H1598" s="85">
        <f>STATS1003B!H1601/1000</f>
        <v>2255.88</v>
      </c>
      <c r="I1598" s="85">
        <f>STATS1003B!I1601/1000</f>
        <v>0</v>
      </c>
      <c r="J1598" s="85">
        <f>STATS1003B!J1601/1000</f>
        <v>0</v>
      </c>
      <c r="K1598" s="85">
        <f>STATS1003B!K1601/1000</f>
        <v>0</v>
      </c>
      <c r="L1598" s="85">
        <f>STATS1003B!L1601/1000</f>
        <v>0</v>
      </c>
      <c r="M1598" s="85">
        <f>STATS1003B!M1601/1000</f>
        <v>2255.88</v>
      </c>
      <c r="N1598" s="85">
        <f>STATS1003B!N1601/1000</f>
        <v>0</v>
      </c>
      <c r="O1598" s="85">
        <f>STATS1003B!O1601/1000</f>
        <v>0</v>
      </c>
      <c r="P1598" s="85">
        <f>STATS1003B!P1601/1000</f>
        <v>0</v>
      </c>
      <c r="Q1598" s="85">
        <f>STATS1003B!Q1601/1000</f>
        <v>0</v>
      </c>
      <c r="R1598" s="85">
        <f>STATS1003B!R1601/1000</f>
        <v>0</v>
      </c>
      <c r="S1598" s="85">
        <f>STATS1003B!S1601/1000</f>
        <v>0</v>
      </c>
      <c r="T1598" s="85">
        <f>STATS1003B!T1601/1000</f>
        <v>0</v>
      </c>
      <c r="U1598" s="85">
        <f>STATS1003B!U1601/1000</f>
        <v>0</v>
      </c>
      <c r="V1598" s="85">
        <f>STATS1003B!V1601/1000</f>
        <v>2255.88</v>
      </c>
      <c r="W1598" s="85">
        <f>STATS1003B!W1601/1000</f>
        <v>0</v>
      </c>
      <c r="X1598" s="85">
        <f t="shared" si="181"/>
        <v>2255.88</v>
      </c>
      <c r="Y1598" s="85">
        <f>STATS1003B!Y1601/1000</f>
        <v>0</v>
      </c>
      <c r="Z1598" s="85">
        <f>STATS1003B!Z1601/1000</f>
        <v>0</v>
      </c>
      <c r="AA1598" s="69">
        <f>STATS1003B!AA1601/1000</f>
        <v>2255.88</v>
      </c>
      <c r="AB1598" s="69">
        <f>STATS1003B!AB1601/1000</f>
        <v>0</v>
      </c>
    </row>
    <row r="1599" spans="1:28" hidden="1" x14ac:dyDescent="0.3">
      <c r="A1599" s="117"/>
      <c r="C1599" s="68" t="s">
        <v>316</v>
      </c>
      <c r="D1599" s="145" t="s">
        <v>234</v>
      </c>
      <c r="E1599" s="85">
        <f>STATS1003B!E1602/1000</f>
        <v>721.4</v>
      </c>
      <c r="F1599" s="85">
        <f>STATS1003B!F1602/1000</f>
        <v>685.41372999999999</v>
      </c>
      <c r="G1599" s="85">
        <f>STATS1003B!G1602/1000</f>
        <v>0</v>
      </c>
      <c r="H1599" s="85">
        <f>STATS1003B!H1602/1000</f>
        <v>685.41372999999999</v>
      </c>
      <c r="I1599" s="85">
        <f>STATS1003B!I1602/1000</f>
        <v>0</v>
      </c>
      <c r="J1599" s="85">
        <f>STATS1003B!J1602/1000</f>
        <v>0</v>
      </c>
      <c r="K1599" s="85">
        <f>STATS1003B!K1602/1000</f>
        <v>0</v>
      </c>
      <c r="L1599" s="85">
        <f>STATS1003B!L1602/1000</f>
        <v>0</v>
      </c>
      <c r="M1599" s="85">
        <f>STATS1003B!M1602/1000</f>
        <v>685.41372999999999</v>
      </c>
      <c r="N1599" s="85">
        <f>STATS1003B!N1602/1000</f>
        <v>0</v>
      </c>
      <c r="O1599" s="85">
        <f>STATS1003B!O1602/1000</f>
        <v>0</v>
      </c>
      <c r="P1599" s="85">
        <f>STATS1003B!P1602/1000</f>
        <v>0</v>
      </c>
      <c r="Q1599" s="85">
        <f>STATS1003B!Q1602/1000</f>
        <v>0</v>
      </c>
      <c r="R1599" s="85">
        <f>STATS1003B!R1602/1000</f>
        <v>0</v>
      </c>
      <c r="S1599" s="85">
        <f>STATS1003B!S1602/1000</f>
        <v>0</v>
      </c>
      <c r="T1599" s="85">
        <f>STATS1003B!T1602/1000</f>
        <v>0</v>
      </c>
      <c r="U1599" s="85">
        <f>STATS1003B!U1602/1000</f>
        <v>0</v>
      </c>
      <c r="V1599" s="85">
        <f>STATS1003B!V1602/1000</f>
        <v>685.41372999999999</v>
      </c>
      <c r="W1599" s="85">
        <f>STATS1003B!W1602/1000</f>
        <v>35.986270000000019</v>
      </c>
      <c r="X1599" s="85">
        <f t="shared" si="181"/>
        <v>685.41372999999999</v>
      </c>
      <c r="Y1599" s="85">
        <f>STATS1003B!Y1602/1000</f>
        <v>0</v>
      </c>
      <c r="Z1599" s="85">
        <f>STATS1003B!Z1602/1000</f>
        <v>35.986270000000019</v>
      </c>
      <c r="AA1599" s="69">
        <f>STATS1003B!AA1602/1000</f>
        <v>685.41372999999999</v>
      </c>
      <c r="AB1599" s="69">
        <f>STATS1003B!AB1602/1000</f>
        <v>35.986270000000019</v>
      </c>
    </row>
    <row r="1600" spans="1:28" hidden="1" x14ac:dyDescent="0.3">
      <c r="A1600" s="117"/>
      <c r="C1600" s="68" t="s">
        <v>300</v>
      </c>
      <c r="D1600" s="145" t="s">
        <v>85</v>
      </c>
      <c r="E1600" s="85">
        <f>STATS1003B!E1603/1000</f>
        <v>160</v>
      </c>
      <c r="F1600" s="85">
        <f>STATS1003B!F1603/1000</f>
        <v>160</v>
      </c>
      <c r="G1600" s="85">
        <f>STATS1003B!G1603/1000</f>
        <v>0</v>
      </c>
      <c r="H1600" s="85">
        <f>STATS1003B!H1603/1000</f>
        <v>160</v>
      </c>
      <c r="I1600" s="85">
        <f>STATS1003B!I1603/1000</f>
        <v>0</v>
      </c>
      <c r="J1600" s="85">
        <f>STATS1003B!J1603/1000</f>
        <v>0</v>
      </c>
      <c r="K1600" s="85">
        <f>STATS1003B!K1603/1000</f>
        <v>0</v>
      </c>
      <c r="L1600" s="85">
        <f>STATS1003B!L1603/1000</f>
        <v>0</v>
      </c>
      <c r="M1600" s="85">
        <f>STATS1003B!M1603/1000</f>
        <v>160</v>
      </c>
      <c r="N1600" s="85">
        <f>STATS1003B!N1603/1000</f>
        <v>0</v>
      </c>
      <c r="O1600" s="85">
        <f>STATS1003B!O1603/1000</f>
        <v>0</v>
      </c>
      <c r="P1600" s="85">
        <f>STATS1003B!P1603/1000</f>
        <v>0</v>
      </c>
      <c r="Q1600" s="85">
        <f>STATS1003B!Q1603/1000</f>
        <v>0</v>
      </c>
      <c r="R1600" s="85">
        <f>STATS1003B!R1603/1000</f>
        <v>0</v>
      </c>
      <c r="S1600" s="85">
        <f>STATS1003B!S1603/1000</f>
        <v>0</v>
      </c>
      <c r="T1600" s="85">
        <f>STATS1003B!T1603/1000</f>
        <v>0</v>
      </c>
      <c r="U1600" s="85">
        <f>STATS1003B!U1603/1000</f>
        <v>0</v>
      </c>
      <c r="V1600" s="85">
        <f>STATS1003B!V1603/1000</f>
        <v>160</v>
      </c>
      <c r="W1600" s="85">
        <f>STATS1003B!W1603/1000</f>
        <v>0</v>
      </c>
      <c r="X1600" s="85">
        <f t="shared" si="181"/>
        <v>160</v>
      </c>
      <c r="Y1600" s="85">
        <f>STATS1003B!Y1603/1000</f>
        <v>0</v>
      </c>
      <c r="Z1600" s="85">
        <f>STATS1003B!Z1603/1000</f>
        <v>0</v>
      </c>
      <c r="AA1600" s="69">
        <f>STATS1003B!AA1603/1000</f>
        <v>160</v>
      </c>
      <c r="AB1600" s="69">
        <f>STATS1003B!AB1603/1000</f>
        <v>0</v>
      </c>
    </row>
    <row r="1601" spans="1:28" hidden="1" x14ac:dyDescent="0.3">
      <c r="A1601" s="117"/>
      <c r="C1601" s="68" t="s">
        <v>317</v>
      </c>
      <c r="D1601" s="145" t="s">
        <v>85</v>
      </c>
      <c r="E1601" s="85">
        <f>STATS1003B!E1604/1000</f>
        <v>4340.9930000000004</v>
      </c>
      <c r="F1601" s="85">
        <f>STATS1003B!F1604/1000</f>
        <v>4340.9930000000004</v>
      </c>
      <c r="G1601" s="85">
        <f>STATS1003B!G1604/1000</f>
        <v>0</v>
      </c>
      <c r="H1601" s="85">
        <f>STATS1003B!H1604/1000</f>
        <v>4340.9930000000004</v>
      </c>
      <c r="I1601" s="85">
        <f>STATS1003B!I1604/1000</f>
        <v>0</v>
      </c>
      <c r="J1601" s="85">
        <f>STATS1003B!J1604/1000</f>
        <v>0</v>
      </c>
      <c r="K1601" s="85">
        <f>STATS1003B!K1604/1000</f>
        <v>0</v>
      </c>
      <c r="L1601" s="85">
        <f>STATS1003B!L1604/1000</f>
        <v>0</v>
      </c>
      <c r="M1601" s="85">
        <f>STATS1003B!M1604/1000</f>
        <v>4340.9930000000004</v>
      </c>
      <c r="N1601" s="85">
        <f>STATS1003B!N1604/1000</f>
        <v>0</v>
      </c>
      <c r="O1601" s="85">
        <f>STATS1003B!O1604/1000</f>
        <v>0</v>
      </c>
      <c r="P1601" s="85">
        <f>STATS1003B!P1604/1000</f>
        <v>0</v>
      </c>
      <c r="Q1601" s="85">
        <f>STATS1003B!Q1604/1000</f>
        <v>0</v>
      </c>
      <c r="R1601" s="85">
        <f>STATS1003B!R1604/1000</f>
        <v>0</v>
      </c>
      <c r="S1601" s="85">
        <f>STATS1003B!S1604/1000</f>
        <v>0</v>
      </c>
      <c r="T1601" s="85">
        <f>STATS1003B!T1604/1000</f>
        <v>0</v>
      </c>
      <c r="U1601" s="85">
        <f>STATS1003B!U1604/1000</f>
        <v>0</v>
      </c>
      <c r="V1601" s="85">
        <f>STATS1003B!V1604/1000</f>
        <v>4340.9930000000004</v>
      </c>
      <c r="W1601" s="85">
        <f>STATS1003B!W1604/1000</f>
        <v>0</v>
      </c>
      <c r="X1601" s="85">
        <f t="shared" si="181"/>
        <v>4340.9930000000004</v>
      </c>
      <c r="Y1601" s="85">
        <f>STATS1003B!Y1604/1000</f>
        <v>0</v>
      </c>
      <c r="Z1601" s="85">
        <f>STATS1003B!Z1604/1000</f>
        <v>0</v>
      </c>
      <c r="AA1601" s="69">
        <f>STATS1003B!AA1604/1000</f>
        <v>4340.9930000000004</v>
      </c>
      <c r="AB1601" s="69">
        <f>STATS1003B!AB1604/1000</f>
        <v>0</v>
      </c>
    </row>
    <row r="1602" spans="1:28" hidden="1" x14ac:dyDescent="0.3">
      <c r="A1602" s="117"/>
      <c r="C1602" s="68" t="s">
        <v>302</v>
      </c>
      <c r="D1602" s="145" t="s">
        <v>85</v>
      </c>
      <c r="E1602" s="85">
        <f>STATS1003B!E1605/1000</f>
        <v>320</v>
      </c>
      <c r="F1602" s="85">
        <f>STATS1003B!F1605/1000</f>
        <v>320</v>
      </c>
      <c r="G1602" s="85">
        <f>STATS1003B!G1605/1000</f>
        <v>0</v>
      </c>
      <c r="H1602" s="85">
        <f>STATS1003B!H1605/1000</f>
        <v>320</v>
      </c>
      <c r="I1602" s="85">
        <f>STATS1003B!I1605/1000</f>
        <v>0</v>
      </c>
      <c r="J1602" s="85">
        <f>STATS1003B!J1605/1000</f>
        <v>0</v>
      </c>
      <c r="K1602" s="85">
        <f>STATS1003B!K1605/1000</f>
        <v>0</v>
      </c>
      <c r="L1602" s="85">
        <f>STATS1003B!L1605/1000</f>
        <v>0</v>
      </c>
      <c r="M1602" s="85">
        <f>STATS1003B!M1605/1000</f>
        <v>320</v>
      </c>
      <c r="N1602" s="85">
        <f>STATS1003B!N1605/1000</f>
        <v>0</v>
      </c>
      <c r="O1602" s="85">
        <f>STATS1003B!O1605/1000</f>
        <v>0</v>
      </c>
      <c r="P1602" s="85">
        <f>STATS1003B!P1605/1000</f>
        <v>0</v>
      </c>
      <c r="Q1602" s="85">
        <f>STATS1003B!Q1605/1000</f>
        <v>0</v>
      </c>
      <c r="R1602" s="85">
        <f>STATS1003B!R1605/1000</f>
        <v>0</v>
      </c>
      <c r="S1602" s="85">
        <f>STATS1003B!S1605/1000</f>
        <v>0</v>
      </c>
      <c r="T1602" s="85">
        <f>STATS1003B!T1605/1000</f>
        <v>0</v>
      </c>
      <c r="U1602" s="85">
        <f>STATS1003B!U1605/1000</f>
        <v>0</v>
      </c>
      <c r="V1602" s="85">
        <f>STATS1003B!V1605/1000</f>
        <v>320</v>
      </c>
      <c r="W1602" s="85">
        <f>STATS1003B!W1605/1000</f>
        <v>0</v>
      </c>
      <c r="X1602" s="85">
        <f t="shared" si="181"/>
        <v>320</v>
      </c>
      <c r="Y1602" s="85">
        <f>STATS1003B!Y1605/1000</f>
        <v>0</v>
      </c>
      <c r="Z1602" s="85">
        <f>STATS1003B!Z1605/1000</f>
        <v>0</v>
      </c>
      <c r="AA1602" s="69">
        <f>STATS1003B!AA1605/1000</f>
        <v>320</v>
      </c>
      <c r="AB1602" s="69">
        <f>STATS1003B!AB1605/1000</f>
        <v>0</v>
      </c>
    </row>
    <row r="1603" spans="1:28" hidden="1" x14ac:dyDescent="0.3">
      <c r="A1603" s="117"/>
      <c r="C1603" s="68" t="s">
        <v>318</v>
      </c>
      <c r="D1603" s="145" t="s">
        <v>85</v>
      </c>
      <c r="E1603" s="85">
        <f>STATS1003B!E1606/1000</f>
        <v>6331.0860000000002</v>
      </c>
      <c r="F1603" s="85">
        <f>STATS1003B!F1606/1000</f>
        <v>6331.0860000000002</v>
      </c>
      <c r="G1603" s="85">
        <f>STATS1003B!G1606/1000</f>
        <v>0</v>
      </c>
      <c r="H1603" s="85">
        <f>STATS1003B!H1606/1000</f>
        <v>6331.0860000000002</v>
      </c>
      <c r="I1603" s="85">
        <f>STATS1003B!I1606/1000</f>
        <v>0</v>
      </c>
      <c r="J1603" s="85">
        <f>STATS1003B!J1606/1000</f>
        <v>0</v>
      </c>
      <c r="K1603" s="85">
        <f>STATS1003B!K1606/1000</f>
        <v>0</v>
      </c>
      <c r="L1603" s="85">
        <f>STATS1003B!L1606/1000</f>
        <v>0</v>
      </c>
      <c r="M1603" s="85">
        <f>STATS1003B!M1606/1000</f>
        <v>6331.0860000000002</v>
      </c>
      <c r="N1603" s="85">
        <f>STATS1003B!N1606/1000</f>
        <v>0</v>
      </c>
      <c r="O1603" s="85">
        <f>STATS1003B!O1606/1000</f>
        <v>0</v>
      </c>
      <c r="P1603" s="85">
        <f>STATS1003B!P1606/1000</f>
        <v>0</v>
      </c>
      <c r="Q1603" s="85">
        <f>STATS1003B!Q1606/1000</f>
        <v>0</v>
      </c>
      <c r="R1603" s="85">
        <f>STATS1003B!R1606/1000</f>
        <v>0</v>
      </c>
      <c r="S1603" s="85">
        <f>STATS1003B!S1606/1000</f>
        <v>0</v>
      </c>
      <c r="T1603" s="85">
        <f>STATS1003B!T1606/1000</f>
        <v>0</v>
      </c>
      <c r="U1603" s="85">
        <f>STATS1003B!U1606/1000</f>
        <v>0</v>
      </c>
      <c r="V1603" s="85">
        <f>STATS1003B!V1606/1000</f>
        <v>6331.0860000000002</v>
      </c>
      <c r="W1603" s="85">
        <f>STATS1003B!W1606/1000</f>
        <v>0</v>
      </c>
      <c r="X1603" s="85">
        <f t="shared" si="181"/>
        <v>6331.0860000000002</v>
      </c>
      <c r="Y1603" s="85">
        <f>STATS1003B!Y1606/1000</f>
        <v>0</v>
      </c>
      <c r="Z1603" s="85">
        <f>STATS1003B!Z1606/1000</f>
        <v>0</v>
      </c>
      <c r="AA1603" s="69">
        <f>STATS1003B!AA1606/1000</f>
        <v>6331.0860000000002</v>
      </c>
      <c r="AB1603" s="69">
        <f>STATS1003B!AB1606/1000</f>
        <v>0</v>
      </c>
    </row>
    <row r="1604" spans="1:28" hidden="1" x14ac:dyDescent="0.3">
      <c r="A1604" s="117"/>
      <c r="C1604" s="68" t="s">
        <v>319</v>
      </c>
      <c r="E1604" s="85">
        <f>STATS1003B!E1607/1000</f>
        <v>0</v>
      </c>
      <c r="F1604" s="85">
        <f>STATS1003B!F1607/1000</f>
        <v>0</v>
      </c>
      <c r="G1604" s="85">
        <f>STATS1003B!G1607/1000</f>
        <v>0</v>
      </c>
      <c r="H1604" s="85">
        <f>STATS1003B!H1607/1000</f>
        <v>0</v>
      </c>
      <c r="I1604" s="85">
        <f>STATS1003B!I1607/1000</f>
        <v>0</v>
      </c>
      <c r="J1604" s="85">
        <f>STATS1003B!J1607/1000</f>
        <v>0</v>
      </c>
      <c r="K1604" s="85">
        <f>STATS1003B!K1607/1000</f>
        <v>0</v>
      </c>
      <c r="L1604" s="85">
        <f>STATS1003B!L1607/1000</f>
        <v>0</v>
      </c>
      <c r="M1604" s="85">
        <f>STATS1003B!M1607/1000</f>
        <v>0</v>
      </c>
      <c r="N1604" s="85">
        <f>STATS1003B!N1607/1000</f>
        <v>0</v>
      </c>
      <c r="O1604" s="85">
        <f>STATS1003B!O1607/1000</f>
        <v>0</v>
      </c>
      <c r="P1604" s="85">
        <f>STATS1003B!P1607/1000</f>
        <v>0</v>
      </c>
      <c r="Q1604" s="85">
        <f>STATS1003B!Q1607/1000</f>
        <v>0</v>
      </c>
      <c r="R1604" s="85">
        <f>STATS1003B!R1607/1000</f>
        <v>0</v>
      </c>
      <c r="S1604" s="85">
        <f>STATS1003B!S1607/1000</f>
        <v>0</v>
      </c>
      <c r="T1604" s="85">
        <f>STATS1003B!T1607/1000</f>
        <v>0</v>
      </c>
      <c r="U1604" s="85">
        <f>STATS1003B!U1607/1000</f>
        <v>0</v>
      </c>
      <c r="V1604" s="85">
        <f>STATS1003B!V1607/1000</f>
        <v>0</v>
      </c>
      <c r="W1604" s="85">
        <f>STATS1003B!W1607/1000</f>
        <v>0</v>
      </c>
      <c r="X1604" s="85">
        <f t="shared" si="181"/>
        <v>0</v>
      </c>
      <c r="Y1604" s="85">
        <f>STATS1003B!Y1607/1000</f>
        <v>0</v>
      </c>
      <c r="Z1604" s="85">
        <f>STATS1003B!Z1607/1000</f>
        <v>0</v>
      </c>
      <c r="AA1604" s="69">
        <f>STATS1003B!AA1607/1000</f>
        <v>0</v>
      </c>
      <c r="AB1604" s="69">
        <f>STATS1003B!AB1607/1000</f>
        <v>0</v>
      </c>
    </row>
    <row r="1605" spans="1:28" hidden="1" x14ac:dyDescent="0.3">
      <c r="A1605" s="117"/>
      <c r="C1605" s="71" t="s">
        <v>109</v>
      </c>
      <c r="D1605" s="88" t="s">
        <v>60</v>
      </c>
      <c r="E1605" s="85">
        <f>STATS1003B!E1608/1000</f>
        <v>6977.3729999999996</v>
      </c>
      <c r="F1605" s="85">
        <f>STATS1003B!F1608/1000</f>
        <v>6977.3729999999996</v>
      </c>
      <c r="G1605" s="85">
        <f>STATS1003B!G1608/1000</f>
        <v>0</v>
      </c>
      <c r="H1605" s="85">
        <f>STATS1003B!H1608/1000</f>
        <v>6977.3729999999996</v>
      </c>
      <c r="I1605" s="85">
        <f>STATS1003B!I1608/1000</f>
        <v>0</v>
      </c>
      <c r="J1605" s="85">
        <f>STATS1003B!J1608/1000</f>
        <v>0</v>
      </c>
      <c r="K1605" s="85">
        <f>STATS1003B!K1608/1000</f>
        <v>0</v>
      </c>
      <c r="L1605" s="85">
        <f>STATS1003B!L1608/1000</f>
        <v>0</v>
      </c>
      <c r="M1605" s="85">
        <f>STATS1003B!M1608/1000</f>
        <v>6977.3729999999996</v>
      </c>
      <c r="N1605" s="85">
        <f>STATS1003B!N1608/1000</f>
        <v>0</v>
      </c>
      <c r="O1605" s="85">
        <f>STATS1003B!O1608/1000</f>
        <v>0</v>
      </c>
      <c r="P1605" s="85">
        <f>STATS1003B!P1608/1000</f>
        <v>0</v>
      </c>
      <c r="Q1605" s="85">
        <f>STATS1003B!Q1608/1000</f>
        <v>0</v>
      </c>
      <c r="R1605" s="85">
        <f>STATS1003B!R1608/1000</f>
        <v>0</v>
      </c>
      <c r="S1605" s="85">
        <f>STATS1003B!S1608/1000</f>
        <v>0</v>
      </c>
      <c r="T1605" s="85">
        <f>STATS1003B!T1608/1000</f>
        <v>0</v>
      </c>
      <c r="U1605" s="85">
        <f>STATS1003B!U1608/1000</f>
        <v>0</v>
      </c>
      <c r="V1605" s="85">
        <f>STATS1003B!V1608/1000</f>
        <v>6977.3729999999996</v>
      </c>
      <c r="W1605" s="85">
        <f>STATS1003B!W1608/1000</f>
        <v>0</v>
      </c>
      <c r="X1605" s="85">
        <f t="shared" si="181"/>
        <v>6977.3729999999996</v>
      </c>
      <c r="Y1605" s="85">
        <f>STATS1003B!Y1608/1000</f>
        <v>0</v>
      </c>
      <c r="Z1605" s="85">
        <f>STATS1003B!Z1608/1000</f>
        <v>0</v>
      </c>
      <c r="AA1605" s="69">
        <f>STATS1003B!AA1608/1000</f>
        <v>6977.3729999999996</v>
      </c>
      <c r="AB1605" s="69">
        <f>STATS1003B!AB1608/1000</f>
        <v>0</v>
      </c>
    </row>
    <row r="1606" spans="1:28" hidden="1" x14ac:dyDescent="0.3">
      <c r="A1606" s="117"/>
      <c r="C1606" s="71" t="s">
        <v>57</v>
      </c>
      <c r="D1606" s="88" t="s">
        <v>60</v>
      </c>
      <c r="E1606" s="85">
        <f>STATS1003B!E1609/1000</f>
        <v>2642.7510000000002</v>
      </c>
      <c r="F1606" s="85">
        <f>STATS1003B!F1609/1000</f>
        <v>2642.7510000000002</v>
      </c>
      <c r="G1606" s="85">
        <f>STATS1003B!G1609/1000</f>
        <v>0</v>
      </c>
      <c r="H1606" s="85">
        <f>STATS1003B!H1609/1000</f>
        <v>2642.7510000000002</v>
      </c>
      <c r="I1606" s="85">
        <f>STATS1003B!I1609/1000</f>
        <v>0</v>
      </c>
      <c r="J1606" s="85">
        <f>STATS1003B!J1609/1000</f>
        <v>0</v>
      </c>
      <c r="K1606" s="85">
        <f>STATS1003B!K1609/1000</f>
        <v>0</v>
      </c>
      <c r="L1606" s="85">
        <f>STATS1003B!L1609/1000</f>
        <v>0</v>
      </c>
      <c r="M1606" s="85">
        <f>STATS1003B!M1609/1000</f>
        <v>2642.7510000000002</v>
      </c>
      <c r="N1606" s="85">
        <f>STATS1003B!N1609/1000</f>
        <v>0</v>
      </c>
      <c r="O1606" s="85">
        <f>STATS1003B!O1609/1000</f>
        <v>0</v>
      </c>
      <c r="P1606" s="85">
        <f>STATS1003B!P1609/1000</f>
        <v>0</v>
      </c>
      <c r="Q1606" s="85">
        <f>STATS1003B!Q1609/1000</f>
        <v>0</v>
      </c>
      <c r="R1606" s="85">
        <f>STATS1003B!R1609/1000</f>
        <v>0</v>
      </c>
      <c r="S1606" s="85">
        <f>STATS1003B!S1609/1000</f>
        <v>0</v>
      </c>
      <c r="T1606" s="85">
        <f>STATS1003B!T1609/1000</f>
        <v>0</v>
      </c>
      <c r="U1606" s="85">
        <f>STATS1003B!U1609/1000</f>
        <v>0</v>
      </c>
      <c r="V1606" s="85">
        <f>STATS1003B!V1609/1000</f>
        <v>2642.7510000000002</v>
      </c>
      <c r="W1606" s="85">
        <f>STATS1003B!W1609/1000</f>
        <v>0</v>
      </c>
      <c r="X1606" s="85">
        <f t="shared" si="181"/>
        <v>2642.7510000000002</v>
      </c>
      <c r="Y1606" s="85">
        <f>STATS1003B!Y1609/1000</f>
        <v>0</v>
      </c>
      <c r="Z1606" s="85">
        <f>STATS1003B!Z1609/1000</f>
        <v>0</v>
      </c>
      <c r="AA1606" s="69">
        <f>STATS1003B!AA1609/1000</f>
        <v>2642.7510000000002</v>
      </c>
      <c r="AB1606" s="69">
        <f>STATS1003B!AB1609/1000</f>
        <v>0</v>
      </c>
    </row>
    <row r="1607" spans="1:28" hidden="1" x14ac:dyDescent="0.3">
      <c r="A1607" s="117"/>
      <c r="C1607" s="71" t="s">
        <v>320</v>
      </c>
      <c r="D1607" s="88" t="s">
        <v>60</v>
      </c>
      <c r="E1607" s="85">
        <f>STATS1003B!E1610/1000</f>
        <v>379.84699999999998</v>
      </c>
      <c r="F1607" s="85">
        <f>STATS1003B!F1610/1000</f>
        <v>379.84699999999998</v>
      </c>
      <c r="G1607" s="85">
        <f>STATS1003B!G1610/1000</f>
        <v>0</v>
      </c>
      <c r="H1607" s="85">
        <f>STATS1003B!H1610/1000</f>
        <v>379.84699999999998</v>
      </c>
      <c r="I1607" s="85">
        <f>STATS1003B!I1610/1000</f>
        <v>379.84699999999998</v>
      </c>
      <c r="J1607" s="85">
        <f>STATS1003B!J1610/1000</f>
        <v>379.84699999999998</v>
      </c>
      <c r="K1607" s="85">
        <f>STATS1003B!K1610/1000</f>
        <v>0</v>
      </c>
      <c r="L1607" s="85">
        <f>STATS1003B!L1610/1000</f>
        <v>0</v>
      </c>
      <c r="M1607" s="85">
        <f>STATS1003B!M1610/1000</f>
        <v>379.84699999999998</v>
      </c>
      <c r="N1607" s="85">
        <f>STATS1003B!N1610/1000</f>
        <v>0</v>
      </c>
      <c r="O1607" s="85">
        <f>STATS1003B!O1610/1000</f>
        <v>0</v>
      </c>
      <c r="P1607" s="85">
        <f>STATS1003B!P1610/1000</f>
        <v>0</v>
      </c>
      <c r="Q1607" s="85">
        <f>STATS1003B!Q1610/1000</f>
        <v>0</v>
      </c>
      <c r="R1607" s="85">
        <f>STATS1003B!R1610/1000</f>
        <v>0</v>
      </c>
      <c r="S1607" s="85">
        <f>STATS1003B!S1610/1000</f>
        <v>0</v>
      </c>
      <c r="T1607" s="85">
        <f>STATS1003B!T1610/1000</f>
        <v>0</v>
      </c>
      <c r="U1607" s="85">
        <f>STATS1003B!U1610/1000</f>
        <v>0</v>
      </c>
      <c r="V1607" s="85">
        <f>STATS1003B!V1610/1000</f>
        <v>379.84699999999998</v>
      </c>
      <c r="W1607" s="85">
        <f>STATS1003B!W1610/1000</f>
        <v>0</v>
      </c>
      <c r="X1607" s="85">
        <f t="shared" si="181"/>
        <v>379.84699999999998</v>
      </c>
      <c r="Y1607" s="85">
        <f>STATS1003B!Y1610/1000</f>
        <v>0</v>
      </c>
      <c r="Z1607" s="85">
        <f>STATS1003B!Z1610/1000</f>
        <v>0</v>
      </c>
      <c r="AA1607" s="69">
        <f>STATS1003B!AA1610/1000</f>
        <v>379.84699999999998</v>
      </c>
      <c r="AB1607" s="69">
        <f>STATS1003B!AB1610/1000</f>
        <v>0</v>
      </c>
    </row>
    <row r="1608" spans="1:28" hidden="1" x14ac:dyDescent="0.3">
      <c r="A1608" s="117"/>
      <c r="C1608" s="71" t="s">
        <v>57</v>
      </c>
      <c r="D1608" s="88" t="s">
        <v>73</v>
      </c>
      <c r="E1608" s="85">
        <f>STATS1003B!E1611/1000</f>
        <v>3857</v>
      </c>
      <c r="F1608" s="85">
        <f>STATS1003B!F1611/1000</f>
        <v>3857</v>
      </c>
      <c r="G1608" s="85">
        <f>STATS1003B!G1611/1000</f>
        <v>0</v>
      </c>
      <c r="H1608" s="85">
        <f>STATS1003B!H1611/1000</f>
        <v>3857</v>
      </c>
      <c r="I1608" s="85">
        <f>STATS1003B!I1611/1000</f>
        <v>0</v>
      </c>
      <c r="J1608" s="85">
        <f>STATS1003B!J1611/1000</f>
        <v>0</v>
      </c>
      <c r="K1608" s="85">
        <f>STATS1003B!K1611/1000</f>
        <v>0</v>
      </c>
      <c r="L1608" s="85">
        <f>STATS1003B!L1611/1000</f>
        <v>0</v>
      </c>
      <c r="M1608" s="85">
        <f>STATS1003B!M1611/1000</f>
        <v>3857</v>
      </c>
      <c r="N1608" s="85">
        <f>STATS1003B!N1611/1000</f>
        <v>0</v>
      </c>
      <c r="O1608" s="85">
        <f>STATS1003B!O1611/1000</f>
        <v>0</v>
      </c>
      <c r="P1608" s="85">
        <f>STATS1003B!P1611/1000</f>
        <v>0</v>
      </c>
      <c r="Q1608" s="85">
        <f>STATS1003B!Q1611/1000</f>
        <v>0</v>
      </c>
      <c r="R1608" s="85">
        <f>STATS1003B!R1611/1000</f>
        <v>0</v>
      </c>
      <c r="S1608" s="85">
        <f>STATS1003B!S1611/1000</f>
        <v>0</v>
      </c>
      <c r="T1608" s="85">
        <f>STATS1003B!T1611/1000</f>
        <v>0</v>
      </c>
      <c r="U1608" s="85">
        <f>STATS1003B!U1611/1000</f>
        <v>0</v>
      </c>
      <c r="V1608" s="85">
        <f>STATS1003B!V1611/1000</f>
        <v>3857</v>
      </c>
      <c r="W1608" s="85">
        <f>STATS1003B!W1611/1000</f>
        <v>0</v>
      </c>
      <c r="X1608" s="85">
        <f t="shared" si="181"/>
        <v>3857</v>
      </c>
      <c r="Y1608" s="85">
        <f>STATS1003B!Y1611/1000</f>
        <v>0</v>
      </c>
      <c r="Z1608" s="85">
        <f>STATS1003B!Z1611/1000</f>
        <v>0</v>
      </c>
      <c r="AA1608" s="69">
        <f>STATS1003B!AA1611/1000</f>
        <v>3857</v>
      </c>
      <c r="AB1608" s="69">
        <f>STATS1003B!AB1611/1000</f>
        <v>0</v>
      </c>
    </row>
    <row r="1609" spans="1:28" hidden="1" x14ac:dyDescent="0.3">
      <c r="A1609" s="117"/>
      <c r="C1609" s="71" t="s">
        <v>95</v>
      </c>
      <c r="D1609" s="88" t="s">
        <v>73</v>
      </c>
      <c r="E1609" s="85">
        <f>STATS1003B!E1612/1000</f>
        <v>272.40364</v>
      </c>
      <c r="F1609" s="85">
        <f>STATS1003B!F1612/1000</f>
        <v>272.40364</v>
      </c>
      <c r="G1609" s="85">
        <f>STATS1003B!G1612/1000</f>
        <v>0</v>
      </c>
      <c r="H1609" s="85">
        <f>STATS1003B!H1612/1000</f>
        <v>272.40364</v>
      </c>
      <c r="I1609" s="85">
        <f>STATS1003B!I1612/1000</f>
        <v>0</v>
      </c>
      <c r="J1609" s="85">
        <f>STATS1003B!J1612/1000</f>
        <v>0</v>
      </c>
      <c r="K1609" s="85">
        <f>STATS1003B!K1612/1000</f>
        <v>0</v>
      </c>
      <c r="L1609" s="85">
        <f>STATS1003B!L1612/1000</f>
        <v>0</v>
      </c>
      <c r="M1609" s="85">
        <f>STATS1003B!M1612/1000</f>
        <v>272.40364</v>
      </c>
      <c r="N1609" s="85">
        <f>STATS1003B!N1612/1000</f>
        <v>0</v>
      </c>
      <c r="O1609" s="85">
        <f>STATS1003B!O1612/1000</f>
        <v>0</v>
      </c>
      <c r="P1609" s="85">
        <f>STATS1003B!P1612/1000</f>
        <v>0</v>
      </c>
      <c r="Q1609" s="85">
        <f>STATS1003B!Q1612/1000</f>
        <v>0</v>
      </c>
      <c r="R1609" s="85">
        <f>STATS1003B!R1612/1000</f>
        <v>0</v>
      </c>
      <c r="S1609" s="85">
        <f>STATS1003B!S1612/1000</f>
        <v>0</v>
      </c>
      <c r="T1609" s="85">
        <f>STATS1003B!T1612/1000</f>
        <v>0</v>
      </c>
      <c r="U1609" s="85">
        <f>STATS1003B!U1612/1000</f>
        <v>0</v>
      </c>
      <c r="V1609" s="85">
        <f>STATS1003B!V1612/1000</f>
        <v>272.40364</v>
      </c>
      <c r="W1609" s="85">
        <f>STATS1003B!W1612/1000</f>
        <v>0</v>
      </c>
      <c r="X1609" s="85">
        <f t="shared" si="181"/>
        <v>272.40364</v>
      </c>
      <c r="Y1609" s="85">
        <f>STATS1003B!Y1612/1000</f>
        <v>0</v>
      </c>
      <c r="Z1609" s="85">
        <f>STATS1003B!Z1612/1000</f>
        <v>0</v>
      </c>
      <c r="AA1609" s="69">
        <f>STATS1003B!AA1612/1000</f>
        <v>272.40364</v>
      </c>
      <c r="AB1609" s="69">
        <f>STATS1003B!AB1612/1000</f>
        <v>0</v>
      </c>
    </row>
    <row r="1610" spans="1:28" hidden="1" x14ac:dyDescent="0.3">
      <c r="A1610" s="117"/>
      <c r="C1610" s="71" t="s">
        <v>57</v>
      </c>
      <c r="D1610" s="89" t="s">
        <v>61</v>
      </c>
      <c r="E1610" s="85">
        <f>STATS1003B!E1613/1000</f>
        <v>2377.40931</v>
      </c>
      <c r="F1610" s="85">
        <f>STATS1003B!F1613/1000</f>
        <v>2377.40931</v>
      </c>
      <c r="G1610" s="85">
        <f>STATS1003B!G1613/1000</f>
        <v>0</v>
      </c>
      <c r="H1610" s="85">
        <f>STATS1003B!H1613/1000</f>
        <v>2377.40931</v>
      </c>
      <c r="I1610" s="85">
        <f>STATS1003B!I1613/1000</f>
        <v>0</v>
      </c>
      <c r="J1610" s="85">
        <f>STATS1003B!J1613/1000</f>
        <v>0</v>
      </c>
      <c r="K1610" s="85">
        <f>STATS1003B!K1613/1000</f>
        <v>0</v>
      </c>
      <c r="L1610" s="85">
        <f>STATS1003B!L1613/1000</f>
        <v>0</v>
      </c>
      <c r="M1610" s="85">
        <f>STATS1003B!M1613/1000</f>
        <v>2377.40931</v>
      </c>
      <c r="N1610" s="85">
        <f>STATS1003B!N1613/1000</f>
        <v>0</v>
      </c>
      <c r="O1610" s="85">
        <f>STATS1003B!O1613/1000</f>
        <v>0</v>
      </c>
      <c r="P1610" s="85">
        <f>STATS1003B!P1613/1000</f>
        <v>0</v>
      </c>
      <c r="Q1610" s="85">
        <f>STATS1003B!Q1613/1000</f>
        <v>0</v>
      </c>
      <c r="R1610" s="85">
        <f>STATS1003B!R1613/1000</f>
        <v>0</v>
      </c>
      <c r="S1610" s="85">
        <f>STATS1003B!S1613/1000</f>
        <v>0</v>
      </c>
      <c r="T1610" s="85">
        <f>STATS1003B!T1613/1000</f>
        <v>0</v>
      </c>
      <c r="U1610" s="85">
        <f>STATS1003B!U1613/1000</f>
        <v>0</v>
      </c>
      <c r="V1610" s="85">
        <f>STATS1003B!V1613/1000</f>
        <v>2377.40931</v>
      </c>
      <c r="W1610" s="85">
        <f>STATS1003B!W1613/1000</f>
        <v>0</v>
      </c>
      <c r="X1610" s="85">
        <f t="shared" si="181"/>
        <v>2377.40931</v>
      </c>
      <c r="Y1610" s="85">
        <f>STATS1003B!Y1613/1000</f>
        <v>0</v>
      </c>
      <c r="Z1610" s="85">
        <f>STATS1003B!Z1613/1000</f>
        <v>0</v>
      </c>
      <c r="AA1610" s="69">
        <f>STATS1003B!AA1613/1000</f>
        <v>2377.40931</v>
      </c>
      <c r="AB1610" s="69">
        <f>STATS1003B!AB1613/1000</f>
        <v>0</v>
      </c>
    </row>
    <row r="1611" spans="1:28" hidden="1" x14ac:dyDescent="0.3">
      <c r="A1611" s="117"/>
      <c r="C1611" s="71" t="s">
        <v>1248</v>
      </c>
      <c r="D1611" s="89" t="s">
        <v>1225</v>
      </c>
      <c r="E1611" s="85">
        <f>STATS1003B!E1614/1000</f>
        <v>710.13427999999999</v>
      </c>
      <c r="F1611" s="85">
        <f>STATS1003B!F1614/1000</f>
        <v>710.13427999999999</v>
      </c>
      <c r="G1611" s="85">
        <f>STATS1003B!G1614/1000</f>
        <v>0</v>
      </c>
      <c r="H1611" s="85">
        <f>STATS1003B!H1614/1000</f>
        <v>710.13427999999999</v>
      </c>
      <c r="I1611" s="85">
        <f>STATS1003B!I1614/1000</f>
        <v>0</v>
      </c>
      <c r="J1611" s="85">
        <f>STATS1003B!J1614/1000</f>
        <v>0</v>
      </c>
      <c r="K1611" s="85">
        <f>STATS1003B!K1614/1000</f>
        <v>0</v>
      </c>
      <c r="L1611" s="85">
        <f>STATS1003B!L1614/1000</f>
        <v>0</v>
      </c>
      <c r="M1611" s="85">
        <f>STATS1003B!M1614/1000</f>
        <v>710.13427999999999</v>
      </c>
      <c r="N1611" s="85">
        <f>STATS1003B!N1614/1000</f>
        <v>0</v>
      </c>
      <c r="O1611" s="85">
        <f>STATS1003B!O1614/1000</f>
        <v>0</v>
      </c>
      <c r="P1611" s="85">
        <f>STATS1003B!P1614/1000</f>
        <v>0</v>
      </c>
      <c r="Q1611" s="85">
        <f>STATS1003B!Q1614/1000</f>
        <v>0</v>
      </c>
      <c r="R1611" s="85">
        <f>STATS1003B!R1614/1000</f>
        <v>0</v>
      </c>
      <c r="S1611" s="85">
        <f>STATS1003B!S1614/1000</f>
        <v>0</v>
      </c>
      <c r="T1611" s="85">
        <f>STATS1003B!T1614/1000</f>
        <v>0</v>
      </c>
      <c r="U1611" s="85">
        <f>STATS1003B!U1614/1000</f>
        <v>0</v>
      </c>
      <c r="V1611" s="85">
        <f>STATS1003B!V1614/1000</f>
        <v>710.13427999999999</v>
      </c>
      <c r="W1611" s="85">
        <f>STATS1003B!W1614/1000</f>
        <v>0</v>
      </c>
      <c r="X1611" s="85">
        <f t="shared" si="181"/>
        <v>710.13427999999999</v>
      </c>
      <c r="Y1611" s="85">
        <f>STATS1003B!Y1614/1000</f>
        <v>0</v>
      </c>
      <c r="Z1611" s="85">
        <f>STATS1003B!Z1614/1000</f>
        <v>0</v>
      </c>
      <c r="AA1611" s="69">
        <f>STATS1003B!AA1614/1000</f>
        <v>710.13427999999999</v>
      </c>
      <c r="AB1611" s="69">
        <f>STATS1003B!AB1614/1000</f>
        <v>0</v>
      </c>
    </row>
    <row r="1612" spans="1:28" hidden="1" x14ac:dyDescent="0.3">
      <c r="A1612" s="117"/>
      <c r="C1612" s="71" t="s">
        <v>1138</v>
      </c>
      <c r="D1612" s="89" t="s">
        <v>1126</v>
      </c>
      <c r="E1612" s="85">
        <f>STATS1003B!E1615/1000</f>
        <v>3350.6888900000004</v>
      </c>
      <c r="F1612" s="85">
        <f>STATS1003B!F1615/1000</f>
        <v>3350.6888900000004</v>
      </c>
      <c r="G1612" s="85">
        <f>STATS1003B!G1615/1000</f>
        <v>0</v>
      </c>
      <c r="H1612" s="85">
        <f>STATS1003B!H1615/1000</f>
        <v>3350.6888900000004</v>
      </c>
      <c r="I1612" s="85">
        <f>STATS1003B!I1615/1000</f>
        <v>0</v>
      </c>
      <c r="J1612" s="85">
        <f>STATS1003B!J1615/1000</f>
        <v>0</v>
      </c>
      <c r="K1612" s="85">
        <f>STATS1003B!K1615/1000</f>
        <v>0</v>
      </c>
      <c r="L1612" s="85">
        <f>STATS1003B!L1615/1000</f>
        <v>0</v>
      </c>
      <c r="M1612" s="85">
        <f>STATS1003B!M1615/1000</f>
        <v>3350.6888900000004</v>
      </c>
      <c r="N1612" s="85">
        <f>STATS1003B!N1615/1000</f>
        <v>0</v>
      </c>
      <c r="O1612" s="85">
        <f>STATS1003B!O1615/1000</f>
        <v>0</v>
      </c>
      <c r="P1612" s="85">
        <f>STATS1003B!P1615/1000</f>
        <v>0</v>
      </c>
      <c r="Q1612" s="85">
        <f>STATS1003B!Q1615/1000</f>
        <v>0</v>
      </c>
      <c r="R1612" s="85">
        <f>STATS1003B!R1615/1000</f>
        <v>0</v>
      </c>
      <c r="S1612" s="85">
        <f>STATS1003B!S1615/1000</f>
        <v>0</v>
      </c>
      <c r="T1612" s="85">
        <f>STATS1003B!T1615/1000</f>
        <v>0</v>
      </c>
      <c r="U1612" s="85">
        <f>STATS1003B!U1615/1000</f>
        <v>0</v>
      </c>
      <c r="V1612" s="85">
        <f>STATS1003B!V1615/1000</f>
        <v>3350.6888900000004</v>
      </c>
      <c r="W1612" s="85">
        <f>STATS1003B!W1615/1000</f>
        <v>0</v>
      </c>
      <c r="X1612" s="85">
        <f t="shared" si="181"/>
        <v>3350.6888900000004</v>
      </c>
      <c r="Y1612" s="85">
        <f>STATS1003B!Y1615/1000</f>
        <v>0</v>
      </c>
      <c r="Z1612" s="85">
        <f>STATS1003B!Z1615/1000</f>
        <v>0</v>
      </c>
      <c r="AA1612" s="69">
        <f>STATS1003B!AA1615/1000</f>
        <v>3350.6888900000004</v>
      </c>
      <c r="AB1612" s="69">
        <f>STATS1003B!AB1615/1000</f>
        <v>0</v>
      </c>
    </row>
    <row r="1613" spans="1:28" hidden="1" x14ac:dyDescent="0.3">
      <c r="A1613" s="117"/>
      <c r="C1613" s="71" t="s">
        <v>930</v>
      </c>
      <c r="D1613" s="89" t="s">
        <v>1072</v>
      </c>
      <c r="E1613" s="85">
        <f>STATS1003B!E1616/1000</f>
        <v>1897</v>
      </c>
      <c r="F1613" s="85">
        <f>STATS1003B!F1616/1000</f>
        <v>1897</v>
      </c>
      <c r="G1613" s="85">
        <f>STATS1003B!G1616/1000</f>
        <v>0</v>
      </c>
      <c r="H1613" s="85">
        <f>STATS1003B!H1616/1000</f>
        <v>1897</v>
      </c>
      <c r="I1613" s="85">
        <f>STATS1003B!I1616/1000</f>
        <v>0</v>
      </c>
      <c r="J1613" s="85">
        <f>STATS1003B!J1616/1000</f>
        <v>0</v>
      </c>
      <c r="K1613" s="85">
        <f>STATS1003B!K1616/1000</f>
        <v>0</v>
      </c>
      <c r="L1613" s="85">
        <f>STATS1003B!L1616/1000</f>
        <v>0</v>
      </c>
      <c r="M1613" s="85">
        <f>STATS1003B!M1616/1000</f>
        <v>1897</v>
      </c>
      <c r="N1613" s="85">
        <f>STATS1003B!N1616/1000</f>
        <v>0</v>
      </c>
      <c r="O1613" s="85">
        <f>STATS1003B!O1616/1000</f>
        <v>0</v>
      </c>
      <c r="P1613" s="85">
        <f>STATS1003B!P1616/1000</f>
        <v>0</v>
      </c>
      <c r="Q1613" s="85">
        <f>STATS1003B!Q1616/1000</f>
        <v>0</v>
      </c>
      <c r="R1613" s="85">
        <f>STATS1003B!R1616/1000</f>
        <v>0</v>
      </c>
      <c r="S1613" s="85">
        <f>STATS1003B!S1616/1000</f>
        <v>0</v>
      </c>
      <c r="T1613" s="85">
        <f>STATS1003B!T1616/1000</f>
        <v>0</v>
      </c>
      <c r="U1613" s="85">
        <f>STATS1003B!U1616/1000</f>
        <v>0</v>
      </c>
      <c r="V1613" s="85">
        <f>STATS1003B!V1616/1000</f>
        <v>1897</v>
      </c>
      <c r="W1613" s="85">
        <f>STATS1003B!W1616/1000</f>
        <v>0</v>
      </c>
      <c r="X1613" s="85">
        <f t="shared" si="181"/>
        <v>1897</v>
      </c>
      <c r="Y1613" s="85">
        <f>STATS1003B!Y1616/1000</f>
        <v>0</v>
      </c>
      <c r="Z1613" s="85">
        <f>STATS1003B!Z1616/1000</f>
        <v>0</v>
      </c>
      <c r="AA1613" s="69">
        <f>STATS1003B!AA1616/1000</f>
        <v>1897</v>
      </c>
      <c r="AB1613" s="69">
        <f>STATS1003B!AB1616/1000</f>
        <v>0</v>
      </c>
    </row>
    <row r="1614" spans="1:28" hidden="1" x14ac:dyDescent="0.3">
      <c r="A1614" s="117"/>
      <c r="C1614" s="71" t="s">
        <v>1241</v>
      </c>
      <c r="D1614" s="89" t="s">
        <v>1225</v>
      </c>
      <c r="E1614" s="85">
        <f>STATS1003B!E1617/1000</f>
        <v>400</v>
      </c>
      <c r="F1614" s="85">
        <f>STATS1003B!F1617/1000</f>
        <v>400</v>
      </c>
      <c r="G1614" s="85">
        <f>STATS1003B!G1617/1000</f>
        <v>0</v>
      </c>
      <c r="H1614" s="85">
        <f>STATS1003B!H1617/1000</f>
        <v>400</v>
      </c>
      <c r="I1614" s="85">
        <f>STATS1003B!I1617/1000</f>
        <v>0</v>
      </c>
      <c r="J1614" s="85">
        <f>STATS1003B!J1617/1000</f>
        <v>0</v>
      </c>
      <c r="K1614" s="85">
        <f>STATS1003B!K1617/1000</f>
        <v>0</v>
      </c>
      <c r="L1614" s="85">
        <f>STATS1003B!L1617/1000</f>
        <v>0</v>
      </c>
      <c r="M1614" s="85">
        <f>STATS1003B!M1617/1000</f>
        <v>400</v>
      </c>
      <c r="N1614" s="85">
        <f>STATS1003B!N1617/1000</f>
        <v>0</v>
      </c>
      <c r="O1614" s="85">
        <f>STATS1003B!O1617/1000</f>
        <v>0</v>
      </c>
      <c r="P1614" s="85">
        <f>STATS1003B!P1617/1000</f>
        <v>0</v>
      </c>
      <c r="Q1614" s="85">
        <f>STATS1003B!Q1617/1000</f>
        <v>0</v>
      </c>
      <c r="R1614" s="85">
        <f>STATS1003B!R1617/1000</f>
        <v>0</v>
      </c>
      <c r="S1614" s="85">
        <f>STATS1003B!S1617/1000</f>
        <v>0</v>
      </c>
      <c r="T1614" s="85">
        <f>STATS1003B!T1617/1000</f>
        <v>0</v>
      </c>
      <c r="U1614" s="85">
        <f>STATS1003B!U1617/1000</f>
        <v>0</v>
      </c>
      <c r="V1614" s="85">
        <f>STATS1003B!V1617/1000</f>
        <v>400</v>
      </c>
      <c r="W1614" s="85">
        <f>STATS1003B!W1617/1000</f>
        <v>0</v>
      </c>
      <c r="X1614" s="85">
        <f t="shared" si="181"/>
        <v>400</v>
      </c>
      <c r="Y1614" s="85">
        <f>STATS1003B!Y1617/1000</f>
        <v>0</v>
      </c>
      <c r="Z1614" s="85">
        <f>STATS1003B!Z1617/1000</f>
        <v>0</v>
      </c>
      <c r="AA1614" s="69">
        <f>STATS1003B!AA1617/1000</f>
        <v>400</v>
      </c>
      <c r="AB1614" s="69">
        <f>STATS1003B!AB1617/1000</f>
        <v>0</v>
      </c>
    </row>
    <row r="1615" spans="1:28" hidden="1" x14ac:dyDescent="0.3">
      <c r="A1615" s="117"/>
      <c r="C1615" s="100" t="s">
        <v>1256</v>
      </c>
      <c r="D1615" s="89" t="s">
        <v>1225</v>
      </c>
      <c r="E1615" s="85">
        <f>STATS1003B!E1618/1000</f>
        <v>500</v>
      </c>
      <c r="F1615" s="85">
        <f>STATS1003B!F1618/1000</f>
        <v>0</v>
      </c>
      <c r="G1615" s="85">
        <f>STATS1003B!G1618/1000</f>
        <v>500</v>
      </c>
      <c r="H1615" s="85">
        <f>STATS1003B!H1618/1000</f>
        <v>500</v>
      </c>
      <c r="I1615" s="85">
        <f>STATS1003B!I1618/1000</f>
        <v>0</v>
      </c>
      <c r="J1615" s="85">
        <f>STATS1003B!J1618/1000</f>
        <v>0</v>
      </c>
      <c r="K1615" s="85">
        <f>STATS1003B!K1618/1000</f>
        <v>0</v>
      </c>
      <c r="L1615" s="85">
        <f>STATS1003B!L1618/1000</f>
        <v>0</v>
      </c>
      <c r="M1615" s="85">
        <f>STATS1003B!M1618/1000</f>
        <v>500</v>
      </c>
      <c r="N1615" s="85">
        <f>STATS1003B!N1618/1000</f>
        <v>0</v>
      </c>
      <c r="O1615" s="85">
        <f>STATS1003B!O1618/1000</f>
        <v>0</v>
      </c>
      <c r="P1615" s="85">
        <f>STATS1003B!P1618/1000</f>
        <v>0</v>
      </c>
      <c r="Q1615" s="85">
        <f>STATS1003B!Q1618/1000</f>
        <v>0</v>
      </c>
      <c r="R1615" s="85">
        <f>STATS1003B!R1618/1000</f>
        <v>0</v>
      </c>
      <c r="S1615" s="85">
        <f>STATS1003B!S1618/1000</f>
        <v>0</v>
      </c>
      <c r="T1615" s="85">
        <f>STATS1003B!T1618/1000</f>
        <v>0</v>
      </c>
      <c r="U1615" s="85">
        <f>STATS1003B!U1618/1000</f>
        <v>0</v>
      </c>
      <c r="V1615" s="85">
        <f>STATS1003B!V1618/1000</f>
        <v>0</v>
      </c>
      <c r="W1615" s="85">
        <f>STATS1003B!W1618/1000</f>
        <v>0</v>
      </c>
      <c r="X1615" s="85">
        <f t="shared" si="181"/>
        <v>500</v>
      </c>
      <c r="Y1615" s="85">
        <f>STATS1003B!Y1618/1000</f>
        <v>0</v>
      </c>
      <c r="Z1615" s="85">
        <f>STATS1003B!Z1618/1000</f>
        <v>0</v>
      </c>
      <c r="AA1615" s="69">
        <f>STATS1003B!AA1618/1000</f>
        <v>500</v>
      </c>
      <c r="AB1615" s="69">
        <f>STATS1003B!AB1618/1000</f>
        <v>0</v>
      </c>
    </row>
    <row r="1616" spans="1:28" hidden="1" x14ac:dyDescent="0.3">
      <c r="A1616" s="117"/>
      <c r="C1616" s="68" t="s">
        <v>321</v>
      </c>
      <c r="E1616" s="85">
        <f>STATS1003B!E1619/1000</f>
        <v>2308.5700000000002</v>
      </c>
      <c r="F1616" s="85">
        <f>STATS1003B!F1619/1000</f>
        <v>2308.5700000000002</v>
      </c>
      <c r="G1616" s="85">
        <f>STATS1003B!G1619/1000</f>
        <v>0</v>
      </c>
      <c r="H1616" s="85">
        <f>STATS1003B!H1619/1000</f>
        <v>2308.5700000000002</v>
      </c>
      <c r="I1616" s="85">
        <f>STATS1003B!I1619/1000</f>
        <v>0</v>
      </c>
      <c r="J1616" s="85">
        <f>STATS1003B!J1619/1000</f>
        <v>0</v>
      </c>
      <c r="K1616" s="85">
        <f>STATS1003B!K1619/1000</f>
        <v>0</v>
      </c>
      <c r="L1616" s="85">
        <f>STATS1003B!L1619/1000</f>
        <v>0</v>
      </c>
      <c r="M1616" s="85">
        <f>STATS1003B!M1619/1000</f>
        <v>2308.5700000000002</v>
      </c>
      <c r="N1616" s="85">
        <f>STATS1003B!N1619/1000</f>
        <v>0</v>
      </c>
      <c r="O1616" s="85">
        <f>STATS1003B!O1619/1000</f>
        <v>0</v>
      </c>
      <c r="P1616" s="85">
        <f>STATS1003B!P1619/1000</f>
        <v>0</v>
      </c>
      <c r="Q1616" s="85">
        <f>STATS1003B!Q1619/1000</f>
        <v>0</v>
      </c>
      <c r="R1616" s="85">
        <f>STATS1003B!R1619/1000</f>
        <v>0</v>
      </c>
      <c r="S1616" s="85">
        <f>STATS1003B!S1619/1000</f>
        <v>0</v>
      </c>
      <c r="T1616" s="85">
        <f>STATS1003B!T1619/1000</f>
        <v>0</v>
      </c>
      <c r="U1616" s="85">
        <f>STATS1003B!U1619/1000</f>
        <v>0</v>
      </c>
      <c r="V1616" s="85">
        <f>STATS1003B!V1619/1000</f>
        <v>2308.5700000000002</v>
      </c>
      <c r="W1616" s="85">
        <f>STATS1003B!W1619/1000</f>
        <v>0</v>
      </c>
      <c r="X1616" s="85">
        <f t="shared" si="181"/>
        <v>2308.5700000000002</v>
      </c>
      <c r="Y1616" s="85">
        <f>STATS1003B!Y1619/1000</f>
        <v>0</v>
      </c>
      <c r="Z1616" s="85">
        <f>STATS1003B!Z1619/1000</f>
        <v>0</v>
      </c>
      <c r="AA1616" s="69">
        <f>STATS1003B!AA1619/1000</f>
        <v>2308.5700000000002</v>
      </c>
      <c r="AB1616" s="69">
        <f>STATS1003B!AB1619/1000</f>
        <v>0</v>
      </c>
    </row>
    <row r="1617" spans="1:28" hidden="1" x14ac:dyDescent="0.3">
      <c r="A1617" s="117"/>
      <c r="E1617" s="86" t="s">
        <v>29</v>
      </c>
      <c r="F1617" s="86" t="s">
        <v>29</v>
      </c>
      <c r="G1617" s="86" t="s">
        <v>29</v>
      </c>
      <c r="H1617" s="86" t="s">
        <v>29</v>
      </c>
      <c r="I1617" s="86" t="s">
        <v>29</v>
      </c>
      <c r="J1617" s="86" t="s">
        <v>29</v>
      </c>
      <c r="K1617" s="86" t="s">
        <v>29</v>
      </c>
      <c r="L1617" s="86" t="s">
        <v>29</v>
      </c>
      <c r="M1617" s="86" t="s">
        <v>29</v>
      </c>
      <c r="N1617" s="86" t="s">
        <v>29</v>
      </c>
      <c r="O1617" s="86" t="s">
        <v>29</v>
      </c>
      <c r="P1617" s="86" t="s">
        <v>29</v>
      </c>
      <c r="Q1617" s="86" t="s">
        <v>29</v>
      </c>
      <c r="R1617" s="86" t="s">
        <v>29</v>
      </c>
      <c r="S1617" s="86" t="s">
        <v>29</v>
      </c>
      <c r="T1617" s="86" t="s">
        <v>29</v>
      </c>
      <c r="U1617" s="86" t="s">
        <v>29</v>
      </c>
      <c r="V1617" s="86" t="s">
        <v>29</v>
      </c>
      <c r="W1617" s="86" t="s">
        <v>29</v>
      </c>
      <c r="X1617" s="85" t="e">
        <f t="shared" si="181"/>
        <v>#VALUE!</v>
      </c>
      <c r="Y1617" s="86" t="s">
        <v>29</v>
      </c>
      <c r="Z1617" s="86" t="s">
        <v>29</v>
      </c>
      <c r="AA1617" s="115" t="s">
        <v>29</v>
      </c>
      <c r="AB1617" s="115" t="s">
        <v>29</v>
      </c>
    </row>
    <row r="1618" spans="1:28" x14ac:dyDescent="0.3">
      <c r="A1618" s="116">
        <v>68</v>
      </c>
      <c r="B1618" s="68" t="s">
        <v>312</v>
      </c>
      <c r="E1618" s="85">
        <f>208147932.95/1000</f>
        <v>208147.93294999999</v>
      </c>
      <c r="F1618" s="85">
        <f t="shared" ref="F1618:AB1618" si="182">SUM(F1596:F1616)</f>
        <v>56572.055739999996</v>
      </c>
      <c r="G1618" s="85">
        <f t="shared" si="182"/>
        <v>500</v>
      </c>
      <c r="H1618" s="85">
        <f>205018908.06/1000</f>
        <v>205018.90806000002</v>
      </c>
      <c r="I1618" s="85">
        <f t="shared" si="182"/>
        <v>379.84699999999998</v>
      </c>
      <c r="J1618" s="85">
        <f t="shared" si="182"/>
        <v>379.84699999999998</v>
      </c>
      <c r="K1618" s="85">
        <f t="shared" si="182"/>
        <v>0</v>
      </c>
      <c r="L1618" s="85">
        <f t="shared" si="182"/>
        <v>0</v>
      </c>
      <c r="M1618" s="85">
        <f t="shared" si="182"/>
        <v>57072.055739999996</v>
      </c>
      <c r="N1618" s="85">
        <f t="shared" si="182"/>
        <v>3093.0386200000003</v>
      </c>
      <c r="O1618" s="85">
        <f t="shared" si="182"/>
        <v>0</v>
      </c>
      <c r="P1618" s="85">
        <f>3093038/1000</f>
        <v>3093.038</v>
      </c>
      <c r="Q1618" s="85">
        <f t="shared" si="182"/>
        <v>0</v>
      </c>
      <c r="R1618" s="85">
        <f t="shared" si="182"/>
        <v>0</v>
      </c>
      <c r="S1618" s="85">
        <f t="shared" si="182"/>
        <v>0</v>
      </c>
      <c r="T1618" s="85">
        <f t="shared" si="182"/>
        <v>0</v>
      </c>
      <c r="U1618" s="85">
        <f t="shared" si="182"/>
        <v>3093.0386200000003</v>
      </c>
      <c r="V1618" s="85">
        <f t="shared" si="182"/>
        <v>59665.094360000003</v>
      </c>
      <c r="W1618" s="85">
        <f t="shared" si="182"/>
        <v>35.986270000000019</v>
      </c>
      <c r="X1618" s="85">
        <f>+H1618+P1618</f>
        <v>208111.94606000002</v>
      </c>
      <c r="Y1618" s="85">
        <f t="shared" si="182"/>
        <v>0</v>
      </c>
      <c r="Z1618" s="85">
        <f>+E1618-X1618</f>
        <v>35.986889999971027</v>
      </c>
      <c r="AA1618" s="69">
        <f t="shared" si="182"/>
        <v>60165.094360000003</v>
      </c>
      <c r="AB1618" s="69">
        <f t="shared" si="182"/>
        <v>35.986270000000019</v>
      </c>
    </row>
    <row r="1619" spans="1:28" hidden="1" x14ac:dyDescent="0.3">
      <c r="A1619" s="117"/>
      <c r="E1619" s="86" t="s">
        <v>29</v>
      </c>
      <c r="F1619" s="86" t="s">
        <v>29</v>
      </c>
      <c r="G1619" s="86" t="s">
        <v>29</v>
      </c>
      <c r="H1619" s="86" t="s">
        <v>29</v>
      </c>
      <c r="I1619" s="86" t="s">
        <v>29</v>
      </c>
      <c r="J1619" s="86" t="s">
        <v>29</v>
      </c>
      <c r="K1619" s="86" t="s">
        <v>29</v>
      </c>
      <c r="L1619" s="86" t="s">
        <v>29</v>
      </c>
      <c r="M1619" s="86" t="s">
        <v>29</v>
      </c>
      <c r="N1619" s="86" t="s">
        <v>29</v>
      </c>
      <c r="O1619" s="86" t="s">
        <v>29</v>
      </c>
      <c r="P1619" s="86" t="s">
        <v>29</v>
      </c>
      <c r="Q1619" s="86" t="s">
        <v>29</v>
      </c>
      <c r="R1619" s="86" t="s">
        <v>29</v>
      </c>
      <c r="S1619" s="86" t="s">
        <v>29</v>
      </c>
      <c r="T1619" s="86" t="s">
        <v>29</v>
      </c>
      <c r="U1619" s="86" t="s">
        <v>29</v>
      </c>
      <c r="V1619" s="86" t="s">
        <v>29</v>
      </c>
      <c r="W1619" s="86" t="s">
        <v>29</v>
      </c>
      <c r="X1619" s="85" t="e">
        <f t="shared" si="181"/>
        <v>#VALUE!</v>
      </c>
      <c r="Y1619" s="86" t="s">
        <v>29</v>
      </c>
      <c r="Z1619" s="86" t="s">
        <v>29</v>
      </c>
      <c r="AA1619" s="115" t="s">
        <v>29</v>
      </c>
      <c r="AB1619" s="115" t="s">
        <v>29</v>
      </c>
    </row>
    <row r="1620" spans="1:28" hidden="1" x14ac:dyDescent="0.3">
      <c r="A1620" s="105"/>
      <c r="E1620" s="84"/>
      <c r="F1620" s="84"/>
      <c r="G1620" s="84"/>
      <c r="H1620" s="84"/>
      <c r="I1620" s="84"/>
      <c r="J1620" s="84"/>
      <c r="K1620" s="84"/>
      <c r="L1620" s="84"/>
      <c r="M1620" s="84"/>
      <c r="N1620" s="84"/>
      <c r="O1620" s="84"/>
      <c r="P1620" s="84"/>
      <c r="Q1620" s="84"/>
      <c r="R1620" s="84"/>
      <c r="S1620" s="84"/>
      <c r="T1620" s="84"/>
      <c r="U1620" s="84"/>
      <c r="V1620" s="84"/>
      <c r="W1620" s="84"/>
      <c r="X1620" s="85">
        <f t="shared" si="181"/>
        <v>0</v>
      </c>
      <c r="Y1620" s="84"/>
      <c r="Z1620" s="84"/>
    </row>
    <row r="1621" spans="1:28" hidden="1" x14ac:dyDescent="0.3">
      <c r="A1621" s="117"/>
      <c r="C1621" s="68" t="s">
        <v>323</v>
      </c>
      <c r="D1621" s="145" t="s">
        <v>68</v>
      </c>
      <c r="E1621" s="85">
        <f>STATS1003B!E1624/1000</f>
        <v>700</v>
      </c>
      <c r="F1621" s="85">
        <f>STATS1003B!F1624/1000</f>
        <v>700</v>
      </c>
      <c r="G1621" s="85">
        <f>STATS1003B!G1624/1000</f>
        <v>0</v>
      </c>
      <c r="H1621" s="85">
        <f>STATS1003B!H1624/1000</f>
        <v>700</v>
      </c>
      <c r="I1621" s="85">
        <f>STATS1003B!I1624/1000</f>
        <v>0</v>
      </c>
      <c r="J1621" s="85">
        <f>STATS1003B!J1624/1000</f>
        <v>0</v>
      </c>
      <c r="K1621" s="85">
        <f>STATS1003B!K1624/1000</f>
        <v>0</v>
      </c>
      <c r="L1621" s="85">
        <f>STATS1003B!L1624/1000</f>
        <v>0</v>
      </c>
      <c r="M1621" s="85">
        <f>STATS1003B!M1624/1000</f>
        <v>700</v>
      </c>
      <c r="N1621" s="85">
        <f>STATS1003B!N1624/1000</f>
        <v>0</v>
      </c>
      <c r="O1621" s="85">
        <f>STATS1003B!O1624/1000</f>
        <v>0</v>
      </c>
      <c r="P1621" s="85">
        <f>STATS1003B!P1624/1000</f>
        <v>0</v>
      </c>
      <c r="Q1621" s="85">
        <f>STATS1003B!Q1624/1000</f>
        <v>0</v>
      </c>
      <c r="R1621" s="85">
        <f>STATS1003B!R1624/1000</f>
        <v>0</v>
      </c>
      <c r="S1621" s="85">
        <f>STATS1003B!S1624/1000</f>
        <v>0</v>
      </c>
      <c r="T1621" s="85">
        <f>STATS1003B!T1624/1000</f>
        <v>0</v>
      </c>
      <c r="U1621" s="85">
        <f>STATS1003B!U1624/1000</f>
        <v>0</v>
      </c>
      <c r="V1621" s="85">
        <f>STATS1003B!V1624/1000</f>
        <v>700</v>
      </c>
      <c r="W1621" s="85">
        <f>STATS1003B!W1624/1000</f>
        <v>0</v>
      </c>
      <c r="X1621" s="85">
        <f t="shared" si="181"/>
        <v>700</v>
      </c>
      <c r="Y1621" s="85">
        <f>STATS1003B!Y1624/1000</f>
        <v>0</v>
      </c>
      <c r="Z1621" s="85">
        <f>STATS1003B!Z1624/1000</f>
        <v>0</v>
      </c>
      <c r="AA1621" s="69">
        <f>STATS1003B!AA1624/1000</f>
        <v>700</v>
      </c>
      <c r="AB1621" s="69">
        <f>STATS1003B!AB1624/1000</f>
        <v>0</v>
      </c>
    </row>
    <row r="1622" spans="1:28" hidden="1" x14ac:dyDescent="0.3">
      <c r="A1622" s="117"/>
      <c r="C1622" s="68" t="s">
        <v>324</v>
      </c>
      <c r="D1622" s="145" t="s">
        <v>68</v>
      </c>
      <c r="E1622" s="85">
        <f>STATS1003B!E1625/1000</f>
        <v>40</v>
      </c>
      <c r="F1622" s="85">
        <f>STATS1003B!F1625/1000</f>
        <v>40</v>
      </c>
      <c r="G1622" s="85">
        <f>STATS1003B!G1625/1000</f>
        <v>0</v>
      </c>
      <c r="H1622" s="85">
        <f>STATS1003B!H1625/1000</f>
        <v>40</v>
      </c>
      <c r="I1622" s="85">
        <f>STATS1003B!I1625/1000</f>
        <v>0</v>
      </c>
      <c r="J1622" s="85">
        <f>STATS1003B!J1625/1000</f>
        <v>0</v>
      </c>
      <c r="K1622" s="85">
        <f>STATS1003B!K1625/1000</f>
        <v>0</v>
      </c>
      <c r="L1622" s="85">
        <f>STATS1003B!L1625/1000</f>
        <v>0</v>
      </c>
      <c r="M1622" s="85">
        <f>STATS1003B!M1625/1000</f>
        <v>40</v>
      </c>
      <c r="N1622" s="85">
        <f>STATS1003B!N1625/1000</f>
        <v>0</v>
      </c>
      <c r="O1622" s="85">
        <f>STATS1003B!O1625/1000</f>
        <v>0</v>
      </c>
      <c r="P1622" s="85">
        <f>STATS1003B!P1625/1000</f>
        <v>0</v>
      </c>
      <c r="Q1622" s="85">
        <f>STATS1003B!Q1625/1000</f>
        <v>0</v>
      </c>
      <c r="R1622" s="85">
        <f>STATS1003B!R1625/1000</f>
        <v>0</v>
      </c>
      <c r="S1622" s="85">
        <f>STATS1003B!S1625/1000</f>
        <v>0</v>
      </c>
      <c r="T1622" s="85">
        <f>STATS1003B!T1625/1000</f>
        <v>0</v>
      </c>
      <c r="U1622" s="85">
        <f>STATS1003B!U1625/1000</f>
        <v>0</v>
      </c>
      <c r="V1622" s="85">
        <f>STATS1003B!V1625/1000</f>
        <v>40</v>
      </c>
      <c r="W1622" s="85">
        <f>STATS1003B!W1625/1000</f>
        <v>0</v>
      </c>
      <c r="X1622" s="85">
        <f t="shared" si="181"/>
        <v>40</v>
      </c>
      <c r="Y1622" s="85">
        <f>STATS1003B!Y1625/1000</f>
        <v>0</v>
      </c>
      <c r="Z1622" s="85">
        <f>STATS1003B!Z1625/1000</f>
        <v>0</v>
      </c>
      <c r="AA1622" s="69">
        <f>STATS1003B!AA1625/1000</f>
        <v>40</v>
      </c>
      <c r="AB1622" s="69">
        <f>STATS1003B!AB1625/1000</f>
        <v>0</v>
      </c>
    </row>
    <row r="1623" spans="1:28" hidden="1" x14ac:dyDescent="0.3">
      <c r="A1623" s="117"/>
      <c r="C1623" s="68" t="s">
        <v>174</v>
      </c>
      <c r="D1623" s="145" t="s">
        <v>325</v>
      </c>
      <c r="E1623" s="85">
        <f>STATS1003B!E1626/1000</f>
        <v>4274.7310199999993</v>
      </c>
      <c r="F1623" s="85">
        <f>STATS1003B!F1626/1000</f>
        <v>4026.4380000000001</v>
      </c>
      <c r="G1623" s="85">
        <f>STATS1003B!G1626/1000</f>
        <v>0</v>
      </c>
      <c r="H1623" s="85">
        <f>STATS1003B!H1626/1000</f>
        <v>4026.4380000000001</v>
      </c>
      <c r="I1623" s="85">
        <f>STATS1003B!I1626/1000</f>
        <v>0</v>
      </c>
      <c r="J1623" s="85">
        <f>STATS1003B!J1626/1000</f>
        <v>0</v>
      </c>
      <c r="K1623" s="85">
        <f>STATS1003B!K1626/1000</f>
        <v>0</v>
      </c>
      <c r="L1623" s="85">
        <f>STATS1003B!L1626/1000</f>
        <v>0</v>
      </c>
      <c r="M1623" s="85">
        <f>STATS1003B!M1626/1000</f>
        <v>4026.4380000000001</v>
      </c>
      <c r="N1623" s="85">
        <f>STATS1003B!N1626/1000</f>
        <v>248.29301999999998</v>
      </c>
      <c r="O1623" s="85">
        <f>STATS1003B!O1626/1000</f>
        <v>0</v>
      </c>
      <c r="P1623" s="85">
        <f>STATS1003B!P1626/1000</f>
        <v>248.29301999999998</v>
      </c>
      <c r="Q1623" s="85">
        <f>STATS1003B!Q1626/1000</f>
        <v>0</v>
      </c>
      <c r="R1623" s="85">
        <f>STATS1003B!R1626/1000</f>
        <v>0</v>
      </c>
      <c r="S1623" s="85">
        <f>STATS1003B!S1626/1000</f>
        <v>0</v>
      </c>
      <c r="T1623" s="85">
        <f>STATS1003B!T1626/1000</f>
        <v>0</v>
      </c>
      <c r="U1623" s="85">
        <f>STATS1003B!U1626/1000</f>
        <v>248.29301999999998</v>
      </c>
      <c r="V1623" s="85">
        <f>STATS1003B!V1626/1000</f>
        <v>4274.7310199999993</v>
      </c>
      <c r="W1623" s="85">
        <f>STATS1003B!W1626/1000</f>
        <v>0</v>
      </c>
      <c r="X1623" s="85">
        <f t="shared" si="181"/>
        <v>4274.7310200000002</v>
      </c>
      <c r="Y1623" s="85">
        <f>STATS1003B!Y1626/1000</f>
        <v>0</v>
      </c>
      <c r="Z1623" s="85">
        <f>STATS1003B!Z1626/1000</f>
        <v>0</v>
      </c>
      <c r="AA1623" s="69">
        <f>STATS1003B!AA1626/1000</f>
        <v>4274.7310199999993</v>
      </c>
      <c r="AB1623" s="69">
        <f>STATS1003B!AB1626/1000</f>
        <v>0</v>
      </c>
    </row>
    <row r="1624" spans="1:28" hidden="1" x14ac:dyDescent="0.3">
      <c r="A1624" s="117"/>
      <c r="C1624" s="68" t="s">
        <v>326</v>
      </c>
      <c r="D1624" s="145" t="s">
        <v>68</v>
      </c>
      <c r="E1624" s="85">
        <f>STATS1003B!E1627/1000</f>
        <v>7744.63</v>
      </c>
      <c r="F1624" s="85">
        <f>STATS1003B!F1627/1000</f>
        <v>7473.5679500000006</v>
      </c>
      <c r="G1624" s="85">
        <f>STATS1003B!G1627/1000</f>
        <v>0</v>
      </c>
      <c r="H1624" s="85">
        <f>STATS1003B!H1627/1000</f>
        <v>7473.5679500000006</v>
      </c>
      <c r="I1624" s="85">
        <f>STATS1003B!I1627/1000</f>
        <v>0</v>
      </c>
      <c r="J1624" s="85">
        <f>STATS1003B!J1627/1000</f>
        <v>0</v>
      </c>
      <c r="K1624" s="85">
        <f>STATS1003B!K1627/1000</f>
        <v>0</v>
      </c>
      <c r="L1624" s="85">
        <f>STATS1003B!L1627/1000</f>
        <v>0</v>
      </c>
      <c r="M1624" s="85">
        <f>STATS1003B!M1627/1000</f>
        <v>7473.5679500000006</v>
      </c>
      <c r="N1624" s="85">
        <f>STATS1003B!N1627/1000</f>
        <v>0</v>
      </c>
      <c r="O1624" s="85">
        <f>STATS1003B!O1627/1000</f>
        <v>0</v>
      </c>
      <c r="P1624" s="85">
        <f>STATS1003B!P1627/1000</f>
        <v>0</v>
      </c>
      <c r="Q1624" s="85">
        <f>STATS1003B!Q1627/1000</f>
        <v>0</v>
      </c>
      <c r="R1624" s="85">
        <f>STATS1003B!R1627/1000</f>
        <v>0</v>
      </c>
      <c r="S1624" s="85">
        <f>STATS1003B!S1627/1000</f>
        <v>0</v>
      </c>
      <c r="T1624" s="85">
        <f>STATS1003B!T1627/1000</f>
        <v>0</v>
      </c>
      <c r="U1624" s="85">
        <f>STATS1003B!U1627/1000</f>
        <v>0</v>
      </c>
      <c r="V1624" s="85">
        <f>STATS1003B!V1627/1000</f>
        <v>7473.5679500000006</v>
      </c>
      <c r="W1624" s="85">
        <f>STATS1003B!W1627/1000</f>
        <v>271.06204999999983</v>
      </c>
      <c r="X1624" s="85">
        <f t="shared" si="181"/>
        <v>7473.5679500000006</v>
      </c>
      <c r="Y1624" s="85">
        <f>STATS1003B!Y1627/1000</f>
        <v>0</v>
      </c>
      <c r="Z1624" s="85">
        <f>STATS1003B!Z1627/1000</f>
        <v>271.06204999999983</v>
      </c>
      <c r="AA1624" s="69">
        <f>STATS1003B!AA1627/1000</f>
        <v>7473.5679500000006</v>
      </c>
      <c r="AB1624" s="69">
        <f>STATS1003B!AB1627/1000</f>
        <v>271.06204999999983</v>
      </c>
    </row>
    <row r="1625" spans="1:28" hidden="1" x14ac:dyDescent="0.3">
      <c r="A1625" s="117"/>
      <c r="C1625" s="68" t="s">
        <v>53</v>
      </c>
      <c r="D1625" s="145" t="s">
        <v>54</v>
      </c>
      <c r="E1625" s="85">
        <f>STATS1003B!E1628/1000</f>
        <v>1953.989</v>
      </c>
      <c r="F1625" s="85">
        <f>STATS1003B!F1628/1000</f>
        <v>0</v>
      </c>
      <c r="G1625" s="85">
        <f>STATS1003B!G1628/1000</f>
        <v>0</v>
      </c>
      <c r="H1625" s="85">
        <f>STATS1003B!H1628/1000</f>
        <v>0</v>
      </c>
      <c r="I1625" s="85">
        <f>STATS1003B!I1628/1000</f>
        <v>0</v>
      </c>
      <c r="J1625" s="85">
        <f>STATS1003B!J1628/1000</f>
        <v>0</v>
      </c>
      <c r="K1625" s="85">
        <f>STATS1003B!K1628/1000</f>
        <v>0</v>
      </c>
      <c r="L1625" s="85">
        <f>STATS1003B!L1628/1000</f>
        <v>0</v>
      </c>
      <c r="M1625" s="85">
        <f>STATS1003B!M1628/1000</f>
        <v>0</v>
      </c>
      <c r="N1625" s="85">
        <f>STATS1003B!N1628/1000</f>
        <v>1953.989</v>
      </c>
      <c r="O1625" s="85">
        <f>STATS1003B!O1628/1000</f>
        <v>0</v>
      </c>
      <c r="P1625" s="85">
        <f>STATS1003B!P1628/1000</f>
        <v>1953.989</v>
      </c>
      <c r="Q1625" s="85">
        <f>STATS1003B!Q1628/1000</f>
        <v>0</v>
      </c>
      <c r="R1625" s="85">
        <f>STATS1003B!R1628/1000</f>
        <v>0</v>
      </c>
      <c r="S1625" s="85">
        <f>STATS1003B!S1628/1000</f>
        <v>0</v>
      </c>
      <c r="T1625" s="85">
        <f>STATS1003B!T1628/1000</f>
        <v>0</v>
      </c>
      <c r="U1625" s="85">
        <f>STATS1003B!U1628/1000</f>
        <v>1953.989</v>
      </c>
      <c r="V1625" s="85">
        <f>STATS1003B!V1628/1000</f>
        <v>1953.989</v>
      </c>
      <c r="W1625" s="85">
        <f>STATS1003B!W1628/1000</f>
        <v>0</v>
      </c>
      <c r="X1625" s="85">
        <f t="shared" si="181"/>
        <v>1953.989</v>
      </c>
      <c r="Y1625" s="85">
        <f>STATS1003B!Y1628/1000</f>
        <v>0</v>
      </c>
      <c r="Z1625" s="85">
        <f>STATS1003B!Z1628/1000</f>
        <v>0</v>
      </c>
      <c r="AA1625" s="69">
        <f>STATS1003B!AA1628/1000</f>
        <v>1953.989</v>
      </c>
      <c r="AB1625" s="69">
        <f>STATS1003B!AB1628/1000</f>
        <v>0</v>
      </c>
    </row>
    <row r="1626" spans="1:28" hidden="1" x14ac:dyDescent="0.3">
      <c r="A1626" s="117"/>
      <c r="C1626" s="68" t="s">
        <v>326</v>
      </c>
      <c r="D1626" s="145" t="s">
        <v>234</v>
      </c>
      <c r="E1626" s="85">
        <f>STATS1003B!E1629/1000</f>
        <v>419.6</v>
      </c>
      <c r="F1626" s="85">
        <f>STATS1003B!F1629/1000</f>
        <v>229.6</v>
      </c>
      <c r="G1626" s="85">
        <f>STATS1003B!G1629/1000</f>
        <v>0</v>
      </c>
      <c r="H1626" s="85">
        <f>STATS1003B!H1629/1000</f>
        <v>229.6</v>
      </c>
      <c r="I1626" s="85">
        <f>STATS1003B!I1629/1000</f>
        <v>0</v>
      </c>
      <c r="J1626" s="85">
        <f>STATS1003B!J1629/1000</f>
        <v>0</v>
      </c>
      <c r="K1626" s="85">
        <f>STATS1003B!K1629/1000</f>
        <v>0</v>
      </c>
      <c r="L1626" s="85">
        <f>STATS1003B!L1629/1000</f>
        <v>0</v>
      </c>
      <c r="M1626" s="85">
        <f>STATS1003B!M1629/1000</f>
        <v>229.6</v>
      </c>
      <c r="N1626" s="85">
        <f>STATS1003B!N1629/1000</f>
        <v>0</v>
      </c>
      <c r="O1626" s="85">
        <f>STATS1003B!O1629/1000</f>
        <v>0</v>
      </c>
      <c r="P1626" s="85">
        <f>STATS1003B!P1629/1000</f>
        <v>0</v>
      </c>
      <c r="Q1626" s="85">
        <f>STATS1003B!Q1629/1000</f>
        <v>0</v>
      </c>
      <c r="R1626" s="85">
        <f>STATS1003B!R1629/1000</f>
        <v>0</v>
      </c>
      <c r="S1626" s="85">
        <f>STATS1003B!S1629/1000</f>
        <v>0</v>
      </c>
      <c r="T1626" s="85">
        <f>STATS1003B!T1629/1000</f>
        <v>0</v>
      </c>
      <c r="U1626" s="85">
        <f>STATS1003B!U1629/1000</f>
        <v>0</v>
      </c>
      <c r="V1626" s="85">
        <f>STATS1003B!V1629/1000</f>
        <v>229.6</v>
      </c>
      <c r="W1626" s="85">
        <f>STATS1003B!W1629/1000</f>
        <v>190</v>
      </c>
      <c r="X1626" s="85">
        <f t="shared" si="181"/>
        <v>229.6</v>
      </c>
      <c r="Y1626" s="85">
        <f>STATS1003B!Y1629/1000</f>
        <v>0</v>
      </c>
      <c r="Z1626" s="85">
        <f>STATS1003B!Z1629/1000</f>
        <v>190</v>
      </c>
      <c r="AA1626" s="69">
        <f>STATS1003B!AA1629/1000</f>
        <v>229.6</v>
      </c>
      <c r="AB1626" s="69">
        <f>STATS1003B!AB1629/1000</f>
        <v>190</v>
      </c>
    </row>
    <row r="1627" spans="1:28" hidden="1" x14ac:dyDescent="0.3">
      <c r="A1627" s="117"/>
      <c r="C1627" s="68" t="s">
        <v>300</v>
      </c>
      <c r="D1627" s="145" t="s">
        <v>85</v>
      </c>
      <c r="E1627" s="85">
        <f>STATS1003B!E1630/1000</f>
        <v>80</v>
      </c>
      <c r="F1627" s="85">
        <f>STATS1003B!F1630/1000</f>
        <v>0</v>
      </c>
      <c r="G1627" s="85">
        <f>STATS1003B!G1630/1000</f>
        <v>0</v>
      </c>
      <c r="H1627" s="85">
        <f>STATS1003B!H1630/1000</f>
        <v>0</v>
      </c>
      <c r="I1627" s="85">
        <f>STATS1003B!I1630/1000</f>
        <v>0</v>
      </c>
      <c r="J1627" s="85">
        <f>STATS1003B!J1630/1000</f>
        <v>0</v>
      </c>
      <c r="K1627" s="85">
        <f>STATS1003B!K1630/1000</f>
        <v>0</v>
      </c>
      <c r="L1627" s="85">
        <f>STATS1003B!L1630/1000</f>
        <v>0</v>
      </c>
      <c r="M1627" s="85">
        <f>STATS1003B!M1630/1000</f>
        <v>0</v>
      </c>
      <c r="N1627" s="85">
        <f>STATS1003B!N1630/1000</f>
        <v>0</v>
      </c>
      <c r="O1627" s="85">
        <f>STATS1003B!O1630/1000</f>
        <v>0</v>
      </c>
      <c r="P1627" s="85">
        <f>STATS1003B!P1630/1000</f>
        <v>0</v>
      </c>
      <c r="Q1627" s="85">
        <f>STATS1003B!Q1630/1000</f>
        <v>0</v>
      </c>
      <c r="R1627" s="85">
        <f>STATS1003B!R1630/1000</f>
        <v>0</v>
      </c>
      <c r="S1627" s="85">
        <f>STATS1003B!S1630/1000</f>
        <v>0</v>
      </c>
      <c r="T1627" s="85">
        <f>STATS1003B!T1630/1000</f>
        <v>0</v>
      </c>
      <c r="U1627" s="85">
        <f>STATS1003B!U1630/1000</f>
        <v>0</v>
      </c>
      <c r="V1627" s="85">
        <f>STATS1003B!V1630/1000</f>
        <v>0</v>
      </c>
      <c r="W1627" s="85">
        <f>STATS1003B!W1630/1000</f>
        <v>80</v>
      </c>
      <c r="X1627" s="85">
        <f t="shared" si="181"/>
        <v>0</v>
      </c>
      <c r="Y1627" s="85">
        <f>STATS1003B!Y1630/1000</f>
        <v>0</v>
      </c>
      <c r="Z1627" s="85">
        <f>STATS1003B!Z1630/1000</f>
        <v>80</v>
      </c>
      <c r="AA1627" s="69">
        <f>STATS1003B!AA1630/1000</f>
        <v>0</v>
      </c>
      <c r="AB1627" s="69">
        <f>STATS1003B!AB1630/1000</f>
        <v>80</v>
      </c>
    </row>
    <row r="1628" spans="1:28" hidden="1" x14ac:dyDescent="0.3">
      <c r="A1628" s="117"/>
      <c r="C1628" s="68" t="s">
        <v>302</v>
      </c>
      <c r="D1628" s="145" t="s">
        <v>85</v>
      </c>
      <c r="E1628" s="85">
        <f>STATS1003B!E1631/1000</f>
        <v>200</v>
      </c>
      <c r="F1628" s="85">
        <f>STATS1003B!F1631/1000</f>
        <v>0</v>
      </c>
      <c r="G1628" s="85">
        <f>STATS1003B!G1631/1000</f>
        <v>0</v>
      </c>
      <c r="H1628" s="85">
        <f>STATS1003B!H1631/1000</f>
        <v>0</v>
      </c>
      <c r="I1628" s="85">
        <f>STATS1003B!I1631/1000</f>
        <v>0</v>
      </c>
      <c r="J1628" s="85">
        <f>STATS1003B!J1631/1000</f>
        <v>0</v>
      </c>
      <c r="K1628" s="85">
        <f>STATS1003B!K1631/1000</f>
        <v>0</v>
      </c>
      <c r="L1628" s="85">
        <f>STATS1003B!L1631/1000</f>
        <v>0</v>
      </c>
      <c r="M1628" s="85">
        <f>STATS1003B!M1631/1000</f>
        <v>0</v>
      </c>
      <c r="N1628" s="85">
        <f>STATS1003B!N1631/1000</f>
        <v>0</v>
      </c>
      <c r="O1628" s="85">
        <f>STATS1003B!O1631/1000</f>
        <v>0</v>
      </c>
      <c r="P1628" s="85">
        <f>STATS1003B!P1631/1000</f>
        <v>0</v>
      </c>
      <c r="Q1628" s="85">
        <f>STATS1003B!Q1631/1000</f>
        <v>0</v>
      </c>
      <c r="R1628" s="85">
        <f>STATS1003B!R1631/1000</f>
        <v>0</v>
      </c>
      <c r="S1628" s="85">
        <f>STATS1003B!S1631/1000</f>
        <v>0</v>
      </c>
      <c r="T1628" s="85">
        <f>STATS1003B!T1631/1000</f>
        <v>0</v>
      </c>
      <c r="U1628" s="85">
        <f>STATS1003B!U1631/1000</f>
        <v>0</v>
      </c>
      <c r="V1628" s="85">
        <f>STATS1003B!V1631/1000</f>
        <v>0</v>
      </c>
      <c r="W1628" s="85">
        <f>STATS1003B!W1631/1000</f>
        <v>200</v>
      </c>
      <c r="X1628" s="85">
        <f t="shared" si="181"/>
        <v>0</v>
      </c>
      <c r="Y1628" s="85">
        <f>STATS1003B!Y1631/1000</f>
        <v>0</v>
      </c>
      <c r="Z1628" s="85">
        <f>STATS1003B!Z1631/1000</f>
        <v>200</v>
      </c>
      <c r="AA1628" s="69">
        <f>STATS1003B!AA1631/1000</f>
        <v>0</v>
      </c>
      <c r="AB1628" s="69">
        <f>STATS1003B!AB1631/1000</f>
        <v>200</v>
      </c>
    </row>
    <row r="1629" spans="1:28" hidden="1" x14ac:dyDescent="0.3">
      <c r="A1629" s="117"/>
      <c r="C1629" s="71" t="s">
        <v>109</v>
      </c>
      <c r="D1629" s="88" t="s">
        <v>60</v>
      </c>
      <c r="E1629" s="85">
        <f>STATS1003B!E1632/1000</f>
        <v>2500</v>
      </c>
      <c r="F1629" s="85">
        <f>STATS1003B!F1632/1000</f>
        <v>2500</v>
      </c>
      <c r="G1629" s="85">
        <f>STATS1003B!G1632/1000</f>
        <v>0</v>
      </c>
      <c r="H1629" s="85">
        <f>STATS1003B!H1632/1000</f>
        <v>2500</v>
      </c>
      <c r="I1629" s="85">
        <f>STATS1003B!I1632/1000</f>
        <v>0</v>
      </c>
      <c r="J1629" s="85">
        <f>STATS1003B!J1632/1000</f>
        <v>0</v>
      </c>
      <c r="K1629" s="85">
        <f>STATS1003B!K1632/1000</f>
        <v>0</v>
      </c>
      <c r="L1629" s="85">
        <f>STATS1003B!L1632/1000</f>
        <v>0</v>
      </c>
      <c r="M1629" s="85">
        <f>STATS1003B!M1632/1000</f>
        <v>2500</v>
      </c>
      <c r="N1629" s="85">
        <f>STATS1003B!N1632/1000</f>
        <v>0</v>
      </c>
      <c r="O1629" s="85">
        <f>STATS1003B!O1632/1000</f>
        <v>0</v>
      </c>
      <c r="P1629" s="85">
        <f>STATS1003B!P1632/1000</f>
        <v>0</v>
      </c>
      <c r="Q1629" s="85">
        <f>STATS1003B!Q1632/1000</f>
        <v>0</v>
      </c>
      <c r="R1629" s="85">
        <f>STATS1003B!R1632/1000</f>
        <v>0</v>
      </c>
      <c r="S1629" s="85">
        <f>STATS1003B!S1632/1000</f>
        <v>0</v>
      </c>
      <c r="T1629" s="85">
        <f>STATS1003B!T1632/1000</f>
        <v>0</v>
      </c>
      <c r="U1629" s="85">
        <f>STATS1003B!U1632/1000</f>
        <v>0</v>
      </c>
      <c r="V1629" s="85">
        <f>STATS1003B!V1632/1000</f>
        <v>2500</v>
      </c>
      <c r="W1629" s="85">
        <f>STATS1003B!W1632/1000</f>
        <v>0</v>
      </c>
      <c r="X1629" s="85">
        <f t="shared" si="181"/>
        <v>2500</v>
      </c>
      <c r="Y1629" s="85">
        <f>STATS1003B!Y1632/1000</f>
        <v>0</v>
      </c>
      <c r="Z1629" s="85">
        <f>STATS1003B!Z1632/1000</f>
        <v>0</v>
      </c>
      <c r="AA1629" s="69">
        <f>STATS1003B!AA1632/1000</f>
        <v>2500</v>
      </c>
      <c r="AB1629" s="69">
        <f>STATS1003B!AB1632/1000</f>
        <v>0</v>
      </c>
    </row>
    <row r="1630" spans="1:28" hidden="1" x14ac:dyDescent="0.3">
      <c r="A1630" s="117"/>
      <c r="C1630" s="71" t="s">
        <v>57</v>
      </c>
      <c r="D1630" s="88" t="s">
        <v>60</v>
      </c>
      <c r="E1630" s="85">
        <f>STATS1003B!E1633/1000</f>
        <v>2404</v>
      </c>
      <c r="F1630" s="85">
        <f>STATS1003B!F1633/1000</f>
        <v>2404</v>
      </c>
      <c r="G1630" s="85">
        <f>STATS1003B!G1633/1000</f>
        <v>0</v>
      </c>
      <c r="H1630" s="85">
        <f>STATS1003B!H1633/1000</f>
        <v>2404</v>
      </c>
      <c r="I1630" s="85">
        <f>STATS1003B!I1633/1000</f>
        <v>0</v>
      </c>
      <c r="J1630" s="85">
        <f>STATS1003B!J1633/1000</f>
        <v>0</v>
      </c>
      <c r="K1630" s="85">
        <f>STATS1003B!K1633/1000</f>
        <v>0</v>
      </c>
      <c r="L1630" s="85">
        <f>STATS1003B!L1633/1000</f>
        <v>0</v>
      </c>
      <c r="M1630" s="85">
        <f>STATS1003B!M1633/1000</f>
        <v>2404</v>
      </c>
      <c r="N1630" s="85">
        <f>STATS1003B!N1633/1000</f>
        <v>0</v>
      </c>
      <c r="O1630" s="85">
        <f>STATS1003B!O1633/1000</f>
        <v>0</v>
      </c>
      <c r="P1630" s="85">
        <f>STATS1003B!P1633/1000</f>
        <v>0</v>
      </c>
      <c r="Q1630" s="85">
        <f>STATS1003B!Q1633/1000</f>
        <v>0</v>
      </c>
      <c r="R1630" s="85">
        <f>STATS1003B!R1633/1000</f>
        <v>0</v>
      </c>
      <c r="S1630" s="85">
        <f>STATS1003B!S1633/1000</f>
        <v>0</v>
      </c>
      <c r="T1630" s="85">
        <f>STATS1003B!T1633/1000</f>
        <v>0</v>
      </c>
      <c r="U1630" s="85">
        <f>STATS1003B!U1633/1000</f>
        <v>0</v>
      </c>
      <c r="V1630" s="85">
        <f>STATS1003B!V1633/1000</f>
        <v>2404</v>
      </c>
      <c r="W1630" s="85">
        <f>STATS1003B!W1633/1000</f>
        <v>0</v>
      </c>
      <c r="X1630" s="85">
        <f t="shared" si="181"/>
        <v>2404</v>
      </c>
      <c r="Y1630" s="85">
        <f>STATS1003B!Y1633/1000</f>
        <v>0</v>
      </c>
      <c r="Z1630" s="85">
        <f>STATS1003B!Z1633/1000</f>
        <v>0</v>
      </c>
      <c r="AA1630" s="69">
        <f>STATS1003B!AA1633/1000</f>
        <v>2404</v>
      </c>
      <c r="AB1630" s="69">
        <f>STATS1003B!AB1633/1000</f>
        <v>0</v>
      </c>
    </row>
    <row r="1631" spans="1:28" hidden="1" x14ac:dyDescent="0.3">
      <c r="A1631" s="117"/>
      <c r="C1631" s="71" t="s">
        <v>327</v>
      </c>
      <c r="D1631" s="88" t="s">
        <v>194</v>
      </c>
      <c r="E1631" s="85">
        <f>STATS1003B!E1634/1000</f>
        <v>7377.6465600000001</v>
      </c>
      <c r="F1631" s="85">
        <f>STATS1003B!F1634/1000</f>
        <v>7377.6465600000001</v>
      </c>
      <c r="G1631" s="85">
        <f>STATS1003B!G1634/1000</f>
        <v>0</v>
      </c>
      <c r="H1631" s="85">
        <f>STATS1003B!H1634/1000</f>
        <v>7377.6465600000001</v>
      </c>
      <c r="I1631" s="85">
        <f>STATS1003B!I1634/1000</f>
        <v>0</v>
      </c>
      <c r="J1631" s="85">
        <f>STATS1003B!J1634/1000</f>
        <v>0</v>
      </c>
      <c r="K1631" s="85">
        <f>STATS1003B!K1634/1000</f>
        <v>0</v>
      </c>
      <c r="L1631" s="85">
        <f>STATS1003B!L1634/1000</f>
        <v>0</v>
      </c>
      <c r="M1631" s="85">
        <f>STATS1003B!M1634/1000</f>
        <v>7377.6465600000001</v>
      </c>
      <c r="N1631" s="85">
        <f>STATS1003B!N1634/1000</f>
        <v>0</v>
      </c>
      <c r="O1631" s="85">
        <f>STATS1003B!O1634/1000</f>
        <v>0</v>
      </c>
      <c r="P1631" s="85">
        <f>STATS1003B!P1634/1000</f>
        <v>0</v>
      </c>
      <c r="Q1631" s="85">
        <f>STATS1003B!Q1634/1000</f>
        <v>0</v>
      </c>
      <c r="R1631" s="85">
        <f>STATS1003B!R1634/1000</f>
        <v>0</v>
      </c>
      <c r="S1631" s="85">
        <f>STATS1003B!S1634/1000</f>
        <v>0</v>
      </c>
      <c r="T1631" s="85">
        <f>STATS1003B!T1634/1000</f>
        <v>0</v>
      </c>
      <c r="U1631" s="85">
        <f>STATS1003B!U1634/1000</f>
        <v>0</v>
      </c>
      <c r="V1631" s="85">
        <f>STATS1003B!V1634/1000</f>
        <v>7377.6465600000001</v>
      </c>
      <c r="W1631" s="85">
        <f>STATS1003B!W1634/1000</f>
        <v>0</v>
      </c>
      <c r="X1631" s="85">
        <f t="shared" si="181"/>
        <v>7377.6465600000001</v>
      </c>
      <c r="Y1631" s="85">
        <f>STATS1003B!Y1634/1000</f>
        <v>0</v>
      </c>
      <c r="Z1631" s="85">
        <f>STATS1003B!Z1634/1000</f>
        <v>0</v>
      </c>
      <c r="AA1631" s="69">
        <f>STATS1003B!AA1634/1000</f>
        <v>7377.6465600000001</v>
      </c>
      <c r="AB1631" s="69">
        <f>STATS1003B!AB1634/1000</f>
        <v>0</v>
      </c>
    </row>
    <row r="1632" spans="1:28" hidden="1" x14ac:dyDescent="0.3">
      <c r="A1632" s="117"/>
      <c r="C1632" s="71" t="s">
        <v>1223</v>
      </c>
      <c r="D1632" s="89" t="s">
        <v>1126</v>
      </c>
      <c r="E1632" s="85">
        <f>STATS1003B!E1635/1000</f>
        <v>800</v>
      </c>
      <c r="F1632" s="85">
        <f>STATS1003B!F1635/1000</f>
        <v>800</v>
      </c>
      <c r="G1632" s="85">
        <f>STATS1003B!G1635/1000</f>
        <v>0</v>
      </c>
      <c r="H1632" s="85">
        <f>STATS1003B!H1635/1000</f>
        <v>800</v>
      </c>
      <c r="I1632" s="85">
        <f>STATS1003B!I1635/1000</f>
        <v>0</v>
      </c>
      <c r="J1632" s="85">
        <f>STATS1003B!J1635/1000</f>
        <v>0</v>
      </c>
      <c r="K1632" s="85">
        <f>STATS1003B!K1635/1000</f>
        <v>0</v>
      </c>
      <c r="L1632" s="85">
        <f>STATS1003B!L1635/1000</f>
        <v>0</v>
      </c>
      <c r="M1632" s="85">
        <f>STATS1003B!M1635/1000</f>
        <v>800</v>
      </c>
      <c r="N1632" s="85">
        <f>STATS1003B!N1635/1000</f>
        <v>0</v>
      </c>
      <c r="O1632" s="85">
        <f>STATS1003B!O1635/1000</f>
        <v>0</v>
      </c>
      <c r="P1632" s="85">
        <f>STATS1003B!P1635/1000</f>
        <v>0</v>
      </c>
      <c r="Q1632" s="85">
        <f>STATS1003B!Q1635/1000</f>
        <v>0</v>
      </c>
      <c r="R1632" s="85">
        <f>STATS1003B!R1635/1000</f>
        <v>0</v>
      </c>
      <c r="S1632" s="85">
        <f>STATS1003B!S1635/1000</f>
        <v>0</v>
      </c>
      <c r="T1632" s="85">
        <f>STATS1003B!T1635/1000</f>
        <v>0</v>
      </c>
      <c r="U1632" s="85">
        <f>STATS1003B!U1635/1000</f>
        <v>0</v>
      </c>
      <c r="V1632" s="85">
        <f>STATS1003B!V1635/1000</f>
        <v>800</v>
      </c>
      <c r="W1632" s="85">
        <f>STATS1003B!W1635/1000</f>
        <v>0</v>
      </c>
      <c r="X1632" s="85">
        <f t="shared" si="181"/>
        <v>800</v>
      </c>
      <c r="Y1632" s="85">
        <f>STATS1003B!Y1635/1000</f>
        <v>0</v>
      </c>
      <c r="Z1632" s="85">
        <f>STATS1003B!Z1635/1000</f>
        <v>0</v>
      </c>
      <c r="AA1632" s="69">
        <f>STATS1003B!AA1635/1000</f>
        <v>800</v>
      </c>
      <c r="AB1632" s="69">
        <f>STATS1003B!AB1635/1000</f>
        <v>0</v>
      </c>
    </row>
    <row r="1633" spans="1:28" hidden="1" x14ac:dyDescent="0.3">
      <c r="A1633" s="117"/>
      <c r="C1633" s="68" t="s">
        <v>122</v>
      </c>
      <c r="E1633" s="85">
        <f>STATS1003B!E1636/1000</f>
        <v>1015.3869999999999</v>
      </c>
      <c r="F1633" s="85">
        <f>STATS1003B!F1636/1000</f>
        <v>1015.3869999999999</v>
      </c>
      <c r="G1633" s="85">
        <f>STATS1003B!G1636/1000</f>
        <v>0</v>
      </c>
      <c r="H1633" s="85">
        <f>STATS1003B!H1636/1000</f>
        <v>1015.3869999999999</v>
      </c>
      <c r="I1633" s="85">
        <f>STATS1003B!I1636/1000</f>
        <v>0</v>
      </c>
      <c r="J1633" s="85">
        <f>STATS1003B!J1636/1000</f>
        <v>0</v>
      </c>
      <c r="K1633" s="85">
        <f>STATS1003B!K1636/1000</f>
        <v>0</v>
      </c>
      <c r="L1633" s="85">
        <f>STATS1003B!L1636/1000</f>
        <v>0</v>
      </c>
      <c r="M1633" s="85">
        <f>STATS1003B!M1636/1000</f>
        <v>1015.3869999999999</v>
      </c>
      <c r="N1633" s="85">
        <f>STATS1003B!N1636/1000</f>
        <v>0</v>
      </c>
      <c r="O1633" s="85">
        <f>STATS1003B!O1636/1000</f>
        <v>0</v>
      </c>
      <c r="P1633" s="85">
        <f>STATS1003B!P1636/1000</f>
        <v>0</v>
      </c>
      <c r="Q1633" s="85">
        <f>STATS1003B!Q1636/1000</f>
        <v>0</v>
      </c>
      <c r="R1633" s="85">
        <f>STATS1003B!R1636/1000</f>
        <v>0</v>
      </c>
      <c r="S1633" s="85">
        <f>STATS1003B!S1636/1000</f>
        <v>0</v>
      </c>
      <c r="T1633" s="85">
        <f>STATS1003B!T1636/1000</f>
        <v>0</v>
      </c>
      <c r="U1633" s="85">
        <f>STATS1003B!U1636/1000</f>
        <v>0</v>
      </c>
      <c r="V1633" s="85">
        <f>STATS1003B!V1636/1000</f>
        <v>1015.3869999999999</v>
      </c>
      <c r="W1633" s="85">
        <f>STATS1003B!W1636/1000</f>
        <v>0</v>
      </c>
      <c r="X1633" s="85">
        <f t="shared" si="181"/>
        <v>1015.3869999999999</v>
      </c>
      <c r="Y1633" s="85">
        <f>STATS1003B!Y1636/1000</f>
        <v>0</v>
      </c>
      <c r="Z1633" s="85">
        <f>STATS1003B!Z1636/1000</f>
        <v>0</v>
      </c>
      <c r="AA1633" s="69">
        <f>STATS1003B!AA1636/1000</f>
        <v>1015.3869999999999</v>
      </c>
      <c r="AB1633" s="69">
        <f>STATS1003B!AB1636/1000</f>
        <v>0</v>
      </c>
    </row>
    <row r="1634" spans="1:28" hidden="1" x14ac:dyDescent="0.3">
      <c r="A1634" s="117"/>
      <c r="C1634" s="68" t="s">
        <v>1063</v>
      </c>
      <c r="D1634" s="91" t="s">
        <v>1072</v>
      </c>
      <c r="E1634" s="85">
        <f>STATS1003B!E1637/1000</f>
        <v>1116.84322</v>
      </c>
      <c r="F1634" s="85">
        <f>STATS1003B!F1637/1000</f>
        <v>1116.84322</v>
      </c>
      <c r="G1634" s="85">
        <f>STATS1003B!G1637/1000</f>
        <v>0</v>
      </c>
      <c r="H1634" s="85">
        <f>STATS1003B!H1637/1000</f>
        <v>1116.84322</v>
      </c>
      <c r="I1634" s="85">
        <f>STATS1003B!I1637/1000</f>
        <v>0</v>
      </c>
      <c r="J1634" s="85">
        <f>STATS1003B!J1637/1000</f>
        <v>0</v>
      </c>
      <c r="K1634" s="85">
        <f>STATS1003B!K1637/1000</f>
        <v>0</v>
      </c>
      <c r="L1634" s="85">
        <f>STATS1003B!L1637/1000</f>
        <v>0</v>
      </c>
      <c r="M1634" s="85">
        <f>STATS1003B!M1637/1000</f>
        <v>1116.84322</v>
      </c>
      <c r="N1634" s="85">
        <f>STATS1003B!N1637/1000</f>
        <v>0</v>
      </c>
      <c r="O1634" s="85">
        <f>STATS1003B!O1637/1000</f>
        <v>0</v>
      </c>
      <c r="P1634" s="85">
        <f>STATS1003B!P1637/1000</f>
        <v>0</v>
      </c>
      <c r="Q1634" s="85">
        <f>STATS1003B!Q1637/1000</f>
        <v>0</v>
      </c>
      <c r="R1634" s="85">
        <f>STATS1003B!R1637/1000</f>
        <v>0</v>
      </c>
      <c r="S1634" s="85">
        <f>STATS1003B!S1637/1000</f>
        <v>0</v>
      </c>
      <c r="T1634" s="85">
        <f>STATS1003B!T1637/1000</f>
        <v>0</v>
      </c>
      <c r="U1634" s="85">
        <f>STATS1003B!U1637/1000</f>
        <v>0</v>
      </c>
      <c r="V1634" s="85">
        <f>STATS1003B!V1637/1000</f>
        <v>1116.84322</v>
      </c>
      <c r="W1634" s="85">
        <f>STATS1003B!W1637/1000</f>
        <v>0</v>
      </c>
      <c r="X1634" s="85">
        <f t="shared" si="181"/>
        <v>1116.84322</v>
      </c>
      <c r="Y1634" s="85">
        <f>STATS1003B!Y1637/1000</f>
        <v>0</v>
      </c>
      <c r="Z1634" s="85">
        <f>STATS1003B!Z1637/1000</f>
        <v>0</v>
      </c>
      <c r="AA1634" s="69">
        <f>STATS1003B!AA1637/1000</f>
        <v>1116.84322</v>
      </c>
      <c r="AB1634" s="69">
        <f>STATS1003B!AB1637/1000</f>
        <v>0</v>
      </c>
    </row>
    <row r="1635" spans="1:28" hidden="1" x14ac:dyDescent="0.3">
      <c r="A1635" s="117"/>
      <c r="C1635" s="68" t="s">
        <v>1095</v>
      </c>
      <c r="D1635" s="91" t="s">
        <v>1072</v>
      </c>
      <c r="E1635" s="85">
        <f>STATS1003B!E1638/1000</f>
        <v>1272</v>
      </c>
      <c r="F1635" s="85">
        <f>STATS1003B!F1638/1000</f>
        <v>1272</v>
      </c>
      <c r="G1635" s="85">
        <f>STATS1003B!G1638/1000</f>
        <v>0</v>
      </c>
      <c r="H1635" s="85">
        <f>STATS1003B!H1638/1000</f>
        <v>1272</v>
      </c>
      <c r="I1635" s="85">
        <f>STATS1003B!I1638/1000</f>
        <v>0</v>
      </c>
      <c r="J1635" s="85">
        <f>STATS1003B!J1638/1000</f>
        <v>0</v>
      </c>
      <c r="K1635" s="85">
        <f>STATS1003B!K1638/1000</f>
        <v>0</v>
      </c>
      <c r="L1635" s="85">
        <f>STATS1003B!L1638/1000</f>
        <v>0</v>
      </c>
      <c r="M1635" s="85">
        <f>STATS1003B!M1638/1000</f>
        <v>1272</v>
      </c>
      <c r="N1635" s="85">
        <f>STATS1003B!N1638/1000</f>
        <v>0</v>
      </c>
      <c r="O1635" s="85">
        <f>STATS1003B!O1638/1000</f>
        <v>0</v>
      </c>
      <c r="P1635" s="85">
        <f>STATS1003B!P1638/1000</f>
        <v>0</v>
      </c>
      <c r="Q1635" s="85">
        <f>STATS1003B!Q1638/1000</f>
        <v>0</v>
      </c>
      <c r="R1635" s="85">
        <f>STATS1003B!R1638/1000</f>
        <v>0</v>
      </c>
      <c r="S1635" s="85">
        <f>STATS1003B!S1638/1000</f>
        <v>0</v>
      </c>
      <c r="T1635" s="85">
        <f>STATS1003B!T1638/1000</f>
        <v>0</v>
      </c>
      <c r="U1635" s="85">
        <f>STATS1003B!U1638/1000</f>
        <v>0</v>
      </c>
      <c r="V1635" s="85">
        <f>STATS1003B!V1638/1000</f>
        <v>1272</v>
      </c>
      <c r="W1635" s="85">
        <f>STATS1003B!W1638/1000</f>
        <v>0</v>
      </c>
      <c r="X1635" s="85">
        <f t="shared" si="181"/>
        <v>1272</v>
      </c>
      <c r="Y1635" s="85">
        <f>STATS1003B!Y1638/1000</f>
        <v>0</v>
      </c>
      <c r="Z1635" s="85">
        <f>STATS1003B!Z1638/1000</f>
        <v>0</v>
      </c>
      <c r="AA1635" s="69">
        <f>STATS1003B!AA1638/1000</f>
        <v>1272</v>
      </c>
      <c r="AB1635" s="69">
        <f>STATS1003B!AB1638/1000</f>
        <v>0</v>
      </c>
    </row>
    <row r="1636" spans="1:28" hidden="1" x14ac:dyDescent="0.3">
      <c r="A1636" s="117"/>
      <c r="C1636" s="68" t="s">
        <v>1239</v>
      </c>
      <c r="D1636" s="91" t="s">
        <v>1225</v>
      </c>
      <c r="E1636" s="85">
        <f>STATS1003B!E1639/1000</f>
        <v>1200</v>
      </c>
      <c r="F1636" s="85">
        <f>STATS1003B!F1639/1000</f>
        <v>1200</v>
      </c>
      <c r="G1636" s="85">
        <f>STATS1003B!G1639/1000</f>
        <v>0</v>
      </c>
      <c r="H1636" s="85">
        <f>STATS1003B!H1639/1000</f>
        <v>1200</v>
      </c>
      <c r="I1636" s="85">
        <f>STATS1003B!I1639/1000</f>
        <v>0</v>
      </c>
      <c r="J1636" s="85">
        <f>STATS1003B!J1639/1000</f>
        <v>0</v>
      </c>
      <c r="K1636" s="85">
        <f>STATS1003B!K1639/1000</f>
        <v>0</v>
      </c>
      <c r="L1636" s="85">
        <f>STATS1003B!L1639/1000</f>
        <v>0</v>
      </c>
      <c r="M1636" s="85">
        <f>STATS1003B!M1639/1000</f>
        <v>1200</v>
      </c>
      <c r="N1636" s="85">
        <f>STATS1003B!N1639/1000</f>
        <v>0</v>
      </c>
      <c r="O1636" s="85">
        <f>STATS1003B!O1639/1000</f>
        <v>0</v>
      </c>
      <c r="P1636" s="85">
        <f>STATS1003B!P1639/1000</f>
        <v>0</v>
      </c>
      <c r="Q1636" s="85">
        <f>STATS1003B!Q1639/1000</f>
        <v>0</v>
      </c>
      <c r="R1636" s="85">
        <f>STATS1003B!R1639/1000</f>
        <v>0</v>
      </c>
      <c r="S1636" s="85">
        <f>STATS1003B!S1639/1000</f>
        <v>0</v>
      </c>
      <c r="T1636" s="85">
        <f>STATS1003B!T1639/1000</f>
        <v>0</v>
      </c>
      <c r="U1636" s="85">
        <f>STATS1003B!U1639/1000</f>
        <v>0</v>
      </c>
      <c r="V1636" s="85">
        <f>STATS1003B!V1639/1000</f>
        <v>0</v>
      </c>
      <c r="W1636" s="85">
        <f>STATS1003B!W1639/1000</f>
        <v>0</v>
      </c>
      <c r="X1636" s="85">
        <f t="shared" si="181"/>
        <v>1200</v>
      </c>
      <c r="Y1636" s="85">
        <f>STATS1003B!Y1639/1000</f>
        <v>0</v>
      </c>
      <c r="Z1636" s="85">
        <f>STATS1003B!Z1639/1000</f>
        <v>0</v>
      </c>
      <c r="AA1636" s="69">
        <f>STATS1003B!AA1639/1000</f>
        <v>1200</v>
      </c>
      <c r="AB1636" s="69">
        <f>STATS1003B!AB1639/1000</f>
        <v>0</v>
      </c>
    </row>
    <row r="1637" spans="1:28" hidden="1" x14ac:dyDescent="0.3">
      <c r="A1637" s="117"/>
      <c r="C1637" s="71" t="s">
        <v>57</v>
      </c>
      <c r="D1637" s="89" t="s">
        <v>61</v>
      </c>
      <c r="E1637" s="85">
        <f>STATS1003B!E1640/1000</f>
        <v>3450.7885099999999</v>
      </c>
      <c r="F1637" s="85">
        <f>STATS1003B!F1640/1000</f>
        <v>3402</v>
      </c>
      <c r="G1637" s="85">
        <f>STATS1003B!G1640/1000</f>
        <v>0</v>
      </c>
      <c r="H1637" s="85">
        <f>STATS1003B!H1640/1000</f>
        <v>3402</v>
      </c>
      <c r="I1637" s="85">
        <f>STATS1003B!I1640/1000</f>
        <v>3054.1669999999999</v>
      </c>
      <c r="J1637" s="85">
        <f>STATS1003B!J1640/1000</f>
        <v>0</v>
      </c>
      <c r="K1637" s="85">
        <f>STATS1003B!K1640/1000</f>
        <v>0</v>
      </c>
      <c r="L1637" s="85">
        <f>STATS1003B!L1640/1000</f>
        <v>0</v>
      </c>
      <c r="M1637" s="85">
        <f>STATS1003B!M1640/1000</f>
        <v>3402</v>
      </c>
      <c r="N1637" s="85">
        <f>STATS1003B!N1640/1000</f>
        <v>0</v>
      </c>
      <c r="O1637" s="85">
        <f>STATS1003B!O1640/1000</f>
        <v>0</v>
      </c>
      <c r="P1637" s="85">
        <f>STATS1003B!P1640/1000</f>
        <v>0</v>
      </c>
      <c r="Q1637" s="85">
        <f>STATS1003B!Q1640/1000</f>
        <v>48.788510000000002</v>
      </c>
      <c r="R1637" s="85">
        <f>STATS1003B!R1640/1000</f>
        <v>0</v>
      </c>
      <c r="S1637" s="85">
        <f>STATS1003B!S1640/1000</f>
        <v>0</v>
      </c>
      <c r="T1637" s="85">
        <f>STATS1003B!T1640/1000</f>
        <v>48.788510000000002</v>
      </c>
      <c r="U1637" s="85">
        <f>STATS1003B!U1640/1000</f>
        <v>48.788510000000002</v>
      </c>
      <c r="V1637" s="85">
        <f>STATS1003B!V1640/1000</f>
        <v>3402</v>
      </c>
      <c r="W1637" s="85">
        <f>STATS1003B!W1640/1000</f>
        <v>48.788509999999775</v>
      </c>
      <c r="X1637" s="85">
        <f t="shared" si="181"/>
        <v>3402</v>
      </c>
      <c r="Y1637" s="85">
        <f>STATS1003B!Y1640/1000</f>
        <v>0</v>
      </c>
      <c r="Z1637" s="85">
        <f>STATS1003B!Z1640/1000</f>
        <v>48.788509999999775</v>
      </c>
      <c r="AA1637" s="69">
        <f>STATS1003B!AA1640/1000</f>
        <v>3450.7885099999999</v>
      </c>
      <c r="AB1637" s="69">
        <f>STATS1003B!AB1640/1000</f>
        <v>0</v>
      </c>
    </row>
    <row r="1638" spans="1:28" hidden="1" x14ac:dyDescent="0.3">
      <c r="A1638" s="117"/>
      <c r="E1638" s="86" t="s">
        <v>29</v>
      </c>
      <c r="F1638" s="86" t="s">
        <v>29</v>
      </c>
      <c r="G1638" s="86" t="s">
        <v>29</v>
      </c>
      <c r="H1638" s="86" t="s">
        <v>29</v>
      </c>
      <c r="I1638" s="86" t="s">
        <v>29</v>
      </c>
      <c r="J1638" s="86" t="s">
        <v>29</v>
      </c>
      <c r="K1638" s="86" t="s">
        <v>29</v>
      </c>
      <c r="L1638" s="86" t="s">
        <v>29</v>
      </c>
      <c r="M1638" s="86" t="s">
        <v>29</v>
      </c>
      <c r="N1638" s="86" t="s">
        <v>29</v>
      </c>
      <c r="O1638" s="86" t="s">
        <v>29</v>
      </c>
      <c r="P1638" s="86" t="s">
        <v>29</v>
      </c>
      <c r="Q1638" s="86" t="s">
        <v>29</v>
      </c>
      <c r="R1638" s="86" t="s">
        <v>29</v>
      </c>
      <c r="S1638" s="86" t="s">
        <v>29</v>
      </c>
      <c r="T1638" s="86" t="s">
        <v>29</v>
      </c>
      <c r="U1638" s="86" t="s">
        <v>29</v>
      </c>
      <c r="V1638" s="86" t="s">
        <v>29</v>
      </c>
      <c r="W1638" s="86" t="s">
        <v>29</v>
      </c>
      <c r="X1638" s="85" t="e">
        <f t="shared" si="181"/>
        <v>#VALUE!</v>
      </c>
      <c r="Y1638" s="86" t="s">
        <v>29</v>
      </c>
      <c r="Z1638" s="86" t="s">
        <v>29</v>
      </c>
      <c r="AA1638" s="115" t="s">
        <v>29</v>
      </c>
      <c r="AB1638" s="115" t="s">
        <v>29</v>
      </c>
    </row>
    <row r="1639" spans="1:28" x14ac:dyDescent="0.3">
      <c r="A1639" s="116">
        <v>69</v>
      </c>
      <c r="B1639" s="68" t="s">
        <v>322</v>
      </c>
      <c r="E1639" s="85">
        <f>128943516.64/1000</f>
        <v>128943.51664</v>
      </c>
      <c r="F1639" s="85">
        <f t="shared" ref="F1639:AB1639" si="183">SUM(F1621:F1637)</f>
        <v>33557.482730000003</v>
      </c>
      <c r="G1639" s="85">
        <f t="shared" si="183"/>
        <v>0</v>
      </c>
      <c r="H1639" s="85">
        <f>125951384.06/1000</f>
        <v>125951.38406</v>
      </c>
      <c r="I1639" s="85">
        <f t="shared" si="183"/>
        <v>3054.1669999999999</v>
      </c>
      <c r="J1639" s="85">
        <f t="shared" si="183"/>
        <v>0</v>
      </c>
      <c r="K1639" s="85">
        <f t="shared" si="183"/>
        <v>0</v>
      </c>
      <c r="L1639" s="85">
        <f t="shared" si="183"/>
        <v>0</v>
      </c>
      <c r="M1639" s="85">
        <f t="shared" si="183"/>
        <v>33557.482730000003</v>
      </c>
      <c r="N1639" s="85">
        <f t="shared" si="183"/>
        <v>2202.2820200000001</v>
      </c>
      <c r="O1639" s="85">
        <f t="shared" si="183"/>
        <v>0</v>
      </c>
      <c r="P1639" s="85">
        <f>2202282/1000</f>
        <v>2202.2820000000002</v>
      </c>
      <c r="Q1639" s="85">
        <f t="shared" si="183"/>
        <v>48.788510000000002</v>
      </c>
      <c r="R1639" s="85">
        <f t="shared" si="183"/>
        <v>0</v>
      </c>
      <c r="S1639" s="85">
        <f t="shared" si="183"/>
        <v>0</v>
      </c>
      <c r="T1639" s="85">
        <f t="shared" si="183"/>
        <v>48.788510000000002</v>
      </c>
      <c r="U1639" s="85">
        <f t="shared" si="183"/>
        <v>2251.07053</v>
      </c>
      <c r="V1639" s="85">
        <f t="shared" si="183"/>
        <v>34559.764750000002</v>
      </c>
      <c r="W1639" s="85">
        <f t="shared" si="183"/>
        <v>789.85055999999952</v>
      </c>
      <c r="X1639" s="85">
        <f>+H1639+P1639</f>
        <v>128153.66606</v>
      </c>
      <c r="Y1639" s="85">
        <f t="shared" si="183"/>
        <v>0</v>
      </c>
      <c r="Z1639" s="85">
        <f>+E1639-X1639</f>
        <v>789.85057999999844</v>
      </c>
      <c r="AA1639" s="69">
        <f t="shared" si="183"/>
        <v>35808.553260000001</v>
      </c>
      <c r="AB1639" s="69">
        <f t="shared" si="183"/>
        <v>741.06204999999977</v>
      </c>
    </row>
    <row r="1640" spans="1:28" hidden="1" x14ac:dyDescent="0.3">
      <c r="A1640" s="117"/>
      <c r="E1640" s="86" t="s">
        <v>29</v>
      </c>
      <c r="F1640" s="86" t="s">
        <v>29</v>
      </c>
      <c r="G1640" s="86" t="s">
        <v>29</v>
      </c>
      <c r="H1640" s="86" t="s">
        <v>29</v>
      </c>
      <c r="I1640" s="86" t="s">
        <v>29</v>
      </c>
      <c r="J1640" s="86" t="s">
        <v>29</v>
      </c>
      <c r="K1640" s="86" t="s">
        <v>29</v>
      </c>
      <c r="L1640" s="86" t="s">
        <v>29</v>
      </c>
      <c r="M1640" s="86" t="s">
        <v>29</v>
      </c>
      <c r="N1640" s="86" t="s">
        <v>29</v>
      </c>
      <c r="O1640" s="86" t="s">
        <v>29</v>
      </c>
      <c r="P1640" s="86" t="s">
        <v>29</v>
      </c>
      <c r="Q1640" s="86" t="s">
        <v>29</v>
      </c>
      <c r="R1640" s="86" t="s">
        <v>29</v>
      </c>
      <c r="S1640" s="86" t="s">
        <v>29</v>
      </c>
      <c r="T1640" s="86" t="s">
        <v>29</v>
      </c>
      <c r="U1640" s="86" t="s">
        <v>29</v>
      </c>
      <c r="V1640" s="86" t="s">
        <v>29</v>
      </c>
      <c r="W1640" s="86" t="s">
        <v>29</v>
      </c>
      <c r="X1640" s="85" t="e">
        <f t="shared" si="181"/>
        <v>#VALUE!</v>
      </c>
      <c r="Y1640" s="86" t="s">
        <v>29</v>
      </c>
      <c r="Z1640" s="86" t="s">
        <v>29</v>
      </c>
      <c r="AA1640" s="115" t="s">
        <v>29</v>
      </c>
      <c r="AB1640" s="115" t="s">
        <v>29</v>
      </c>
    </row>
    <row r="1641" spans="1:28" hidden="1" x14ac:dyDescent="0.3">
      <c r="A1641" s="105"/>
      <c r="E1641" s="84"/>
      <c r="F1641" s="84"/>
      <c r="G1641" s="84"/>
      <c r="H1641" s="84"/>
      <c r="I1641" s="84"/>
      <c r="J1641" s="84"/>
      <c r="K1641" s="84"/>
      <c r="L1641" s="84"/>
      <c r="M1641" s="84"/>
      <c r="N1641" s="84"/>
      <c r="O1641" s="84"/>
      <c r="P1641" s="84"/>
      <c r="Q1641" s="84"/>
      <c r="R1641" s="84"/>
      <c r="S1641" s="84"/>
      <c r="T1641" s="84"/>
      <c r="U1641" s="84"/>
      <c r="V1641" s="84"/>
      <c r="W1641" s="84"/>
      <c r="X1641" s="85">
        <f t="shared" si="181"/>
        <v>0</v>
      </c>
      <c r="Y1641" s="84"/>
      <c r="Z1641" s="84"/>
    </row>
    <row r="1642" spans="1:28" hidden="1" x14ac:dyDescent="0.3">
      <c r="A1642" s="117"/>
      <c r="C1642" s="68" t="s">
        <v>329</v>
      </c>
      <c r="D1642" s="145" t="s">
        <v>68</v>
      </c>
      <c r="E1642" s="85">
        <f>STATS1003B!E1645/1000</f>
        <v>0</v>
      </c>
      <c r="F1642" s="85">
        <f>STATS1003B!F1645/1000</f>
        <v>0</v>
      </c>
      <c r="G1642" s="85">
        <f>STATS1003B!G1645/1000</f>
        <v>0</v>
      </c>
      <c r="H1642" s="85">
        <f>STATS1003B!H1645/1000</f>
        <v>0</v>
      </c>
      <c r="I1642" s="85">
        <f>STATS1003B!I1645/1000</f>
        <v>0</v>
      </c>
      <c r="J1642" s="85">
        <f>STATS1003B!J1645/1000</f>
        <v>0</v>
      </c>
      <c r="K1642" s="85">
        <f>STATS1003B!K1645/1000</f>
        <v>0</v>
      </c>
      <c r="L1642" s="85">
        <f>STATS1003B!L1645/1000</f>
        <v>0</v>
      </c>
      <c r="M1642" s="85">
        <f>STATS1003B!M1645/1000</f>
        <v>0</v>
      </c>
      <c r="N1642" s="85">
        <f>STATS1003B!N1645/1000</f>
        <v>0</v>
      </c>
      <c r="O1642" s="85">
        <f>STATS1003B!O1645/1000</f>
        <v>0</v>
      </c>
      <c r="P1642" s="85">
        <f>STATS1003B!P1645/1000</f>
        <v>0</v>
      </c>
      <c r="Q1642" s="85">
        <f>STATS1003B!Q1645/1000</f>
        <v>0</v>
      </c>
      <c r="R1642" s="85">
        <f>STATS1003B!R1645/1000</f>
        <v>0</v>
      </c>
      <c r="S1642" s="85">
        <f>STATS1003B!S1645/1000</f>
        <v>0</v>
      </c>
      <c r="T1642" s="85">
        <f>STATS1003B!T1645/1000</f>
        <v>0</v>
      </c>
      <c r="U1642" s="85">
        <f>STATS1003B!U1645/1000</f>
        <v>0</v>
      </c>
      <c r="V1642" s="85">
        <f>STATS1003B!V1645/1000</f>
        <v>0</v>
      </c>
      <c r="W1642" s="85">
        <f>STATS1003B!W1645/1000</f>
        <v>0</v>
      </c>
      <c r="X1642" s="85">
        <f t="shared" si="181"/>
        <v>0</v>
      </c>
      <c r="Y1642" s="85">
        <f>STATS1003B!Y1645/1000</f>
        <v>0</v>
      </c>
      <c r="Z1642" s="85">
        <f>STATS1003B!Z1645/1000</f>
        <v>0</v>
      </c>
      <c r="AA1642" s="69">
        <f>STATS1003B!AA1645/1000</f>
        <v>0</v>
      </c>
      <c r="AB1642" s="69">
        <f>STATS1003B!AB1645/1000</f>
        <v>0</v>
      </c>
    </row>
    <row r="1643" spans="1:28" hidden="1" x14ac:dyDescent="0.3">
      <c r="A1643" s="117"/>
      <c r="C1643" s="68" t="s">
        <v>330</v>
      </c>
      <c r="D1643" s="145" t="s">
        <v>234</v>
      </c>
      <c r="E1643" s="85">
        <f>STATS1003B!E1646/1000</f>
        <v>14339.6</v>
      </c>
      <c r="F1643" s="85">
        <f>STATS1003B!F1646/1000</f>
        <v>14313.752109999999</v>
      </c>
      <c r="G1643" s="85">
        <f>STATS1003B!G1646/1000</f>
        <v>0</v>
      </c>
      <c r="H1643" s="85">
        <f>STATS1003B!H1646/1000</f>
        <v>14313.752109999999</v>
      </c>
      <c r="I1643" s="85">
        <f>STATS1003B!I1646/1000</f>
        <v>0</v>
      </c>
      <c r="J1643" s="85">
        <f>STATS1003B!J1646/1000</f>
        <v>0</v>
      </c>
      <c r="K1643" s="85">
        <f>STATS1003B!K1646/1000</f>
        <v>0</v>
      </c>
      <c r="L1643" s="85">
        <f>STATS1003B!L1646/1000</f>
        <v>0</v>
      </c>
      <c r="M1643" s="85">
        <f>STATS1003B!M1646/1000</f>
        <v>14313.752109999999</v>
      </c>
      <c r="N1643" s="85">
        <f>STATS1003B!N1646/1000</f>
        <v>0</v>
      </c>
      <c r="O1643" s="85">
        <f>STATS1003B!O1646/1000</f>
        <v>0</v>
      </c>
      <c r="P1643" s="85">
        <f>STATS1003B!P1646/1000</f>
        <v>0</v>
      </c>
      <c r="Q1643" s="85">
        <f>STATS1003B!Q1646/1000</f>
        <v>0</v>
      </c>
      <c r="R1643" s="85">
        <f>STATS1003B!R1646/1000</f>
        <v>0</v>
      </c>
      <c r="S1643" s="85">
        <f>STATS1003B!S1646/1000</f>
        <v>0</v>
      </c>
      <c r="T1643" s="85">
        <f>STATS1003B!T1646/1000</f>
        <v>0</v>
      </c>
      <c r="U1643" s="85">
        <f>STATS1003B!U1646/1000</f>
        <v>0</v>
      </c>
      <c r="V1643" s="85">
        <f>STATS1003B!V1646/1000</f>
        <v>14313.752109999999</v>
      </c>
      <c r="W1643" s="85">
        <f>STATS1003B!W1646/1000</f>
        <v>25.847890000000596</v>
      </c>
      <c r="X1643" s="85">
        <f t="shared" si="181"/>
        <v>14313.752109999999</v>
      </c>
      <c r="Y1643" s="85">
        <f>STATS1003B!Y1646/1000</f>
        <v>0</v>
      </c>
      <c r="Z1643" s="85">
        <f>STATS1003B!Z1646/1000</f>
        <v>25.847890000000596</v>
      </c>
      <c r="AA1643" s="69">
        <f>STATS1003B!AA1646/1000</f>
        <v>14313.752109999999</v>
      </c>
      <c r="AB1643" s="69">
        <f>STATS1003B!AB1646/1000</f>
        <v>25.847890000000596</v>
      </c>
    </row>
    <row r="1644" spans="1:28" hidden="1" x14ac:dyDescent="0.3">
      <c r="A1644" s="117"/>
      <c r="C1644" s="68" t="s">
        <v>57</v>
      </c>
      <c r="D1644" s="145" t="s">
        <v>105</v>
      </c>
      <c r="E1644" s="85">
        <f>STATS1003B!E1647/1000</f>
        <v>3210.8209999999999</v>
      </c>
      <c r="F1644" s="85">
        <f>STATS1003B!F1647/1000</f>
        <v>3210.8209999999999</v>
      </c>
      <c r="G1644" s="85">
        <f>STATS1003B!G1647/1000</f>
        <v>0</v>
      </c>
      <c r="H1644" s="85">
        <f>STATS1003B!H1647/1000</f>
        <v>3210.8209999999999</v>
      </c>
      <c r="I1644" s="85">
        <f>STATS1003B!I1647/1000</f>
        <v>0</v>
      </c>
      <c r="J1644" s="85">
        <f>STATS1003B!J1647/1000</f>
        <v>0</v>
      </c>
      <c r="K1644" s="85">
        <f>STATS1003B!K1647/1000</f>
        <v>0</v>
      </c>
      <c r="L1644" s="85">
        <f>STATS1003B!L1647/1000</f>
        <v>0</v>
      </c>
      <c r="M1644" s="85">
        <f>STATS1003B!M1647/1000</f>
        <v>3210.8209999999999</v>
      </c>
      <c r="N1644" s="85">
        <f>STATS1003B!N1647/1000</f>
        <v>0</v>
      </c>
      <c r="O1644" s="85">
        <f>STATS1003B!O1647/1000</f>
        <v>0</v>
      </c>
      <c r="P1644" s="85">
        <f>STATS1003B!P1647/1000</f>
        <v>0</v>
      </c>
      <c r="Q1644" s="85">
        <f>STATS1003B!Q1647/1000</f>
        <v>0</v>
      </c>
      <c r="R1644" s="85">
        <f>STATS1003B!R1647/1000</f>
        <v>0</v>
      </c>
      <c r="S1644" s="85">
        <f>STATS1003B!S1647/1000</f>
        <v>0</v>
      </c>
      <c r="T1644" s="85">
        <f>STATS1003B!T1647/1000</f>
        <v>0</v>
      </c>
      <c r="U1644" s="85">
        <f>STATS1003B!U1647/1000</f>
        <v>0</v>
      </c>
      <c r="V1644" s="85">
        <f>STATS1003B!V1647/1000</f>
        <v>3210.8209999999999</v>
      </c>
      <c r="W1644" s="85">
        <f>STATS1003B!W1647/1000</f>
        <v>0</v>
      </c>
      <c r="X1644" s="85">
        <f t="shared" si="181"/>
        <v>3210.8209999999999</v>
      </c>
      <c r="Y1644" s="85">
        <f>STATS1003B!Y1647/1000</f>
        <v>0</v>
      </c>
      <c r="Z1644" s="85">
        <f>STATS1003B!Z1647/1000</f>
        <v>0</v>
      </c>
      <c r="AA1644" s="69">
        <f>STATS1003B!AA1647/1000</f>
        <v>3210.8209999999999</v>
      </c>
      <c r="AB1644" s="69">
        <f>STATS1003B!AB1647/1000</f>
        <v>0</v>
      </c>
    </row>
    <row r="1645" spans="1:28" hidden="1" x14ac:dyDescent="0.3">
      <c r="A1645" s="117"/>
      <c r="C1645" s="68" t="s">
        <v>192</v>
      </c>
      <c r="D1645" s="145" t="s">
        <v>128</v>
      </c>
      <c r="E1645" s="85">
        <f>STATS1003B!E1648/1000</f>
        <v>955.34561999999994</v>
      </c>
      <c r="F1645" s="85">
        <f>STATS1003B!F1648/1000</f>
        <v>0</v>
      </c>
      <c r="G1645" s="85">
        <f>STATS1003B!G1648/1000</f>
        <v>0</v>
      </c>
      <c r="H1645" s="85">
        <f>STATS1003B!H1648/1000</f>
        <v>0</v>
      </c>
      <c r="I1645" s="85">
        <f>STATS1003B!I1648/1000</f>
        <v>0</v>
      </c>
      <c r="J1645" s="85">
        <f>STATS1003B!J1648/1000</f>
        <v>0</v>
      </c>
      <c r="K1645" s="85">
        <f>STATS1003B!K1648/1000</f>
        <v>0</v>
      </c>
      <c r="L1645" s="85">
        <f>STATS1003B!L1648/1000</f>
        <v>0</v>
      </c>
      <c r="M1645" s="85">
        <f>STATS1003B!M1648/1000</f>
        <v>0</v>
      </c>
      <c r="N1645" s="85">
        <f>STATS1003B!N1648/1000</f>
        <v>955.34561999999994</v>
      </c>
      <c r="O1645" s="85">
        <f>STATS1003B!O1648/1000</f>
        <v>0</v>
      </c>
      <c r="P1645" s="85">
        <f>STATS1003B!P1648/1000</f>
        <v>955.34561999999994</v>
      </c>
      <c r="Q1645" s="85">
        <f>STATS1003B!Q1648/1000</f>
        <v>0</v>
      </c>
      <c r="R1645" s="85">
        <f>STATS1003B!R1648/1000</f>
        <v>0</v>
      </c>
      <c r="S1645" s="85">
        <f>STATS1003B!S1648/1000</f>
        <v>0</v>
      </c>
      <c r="T1645" s="85">
        <f>STATS1003B!T1648/1000</f>
        <v>0</v>
      </c>
      <c r="U1645" s="85">
        <f>STATS1003B!U1648/1000</f>
        <v>955.34561999999994</v>
      </c>
      <c r="V1645" s="85">
        <f>STATS1003B!V1648/1000</f>
        <v>955.34561999999994</v>
      </c>
      <c r="W1645" s="85">
        <f>STATS1003B!W1648/1000</f>
        <v>0</v>
      </c>
      <c r="X1645" s="85">
        <f t="shared" si="181"/>
        <v>955.34561999999994</v>
      </c>
      <c r="Y1645" s="85">
        <f>STATS1003B!Y1648/1000</f>
        <v>0</v>
      </c>
      <c r="Z1645" s="85">
        <f>STATS1003B!Z1648/1000</f>
        <v>0</v>
      </c>
      <c r="AA1645" s="69">
        <f>STATS1003B!AA1648/1000</f>
        <v>955.34561999999994</v>
      </c>
      <c r="AB1645" s="69">
        <f>STATS1003B!AB1648/1000</f>
        <v>0</v>
      </c>
    </row>
    <row r="1646" spans="1:28" hidden="1" x14ac:dyDescent="0.3">
      <c r="A1646" s="117"/>
      <c r="C1646" s="68" t="s">
        <v>331</v>
      </c>
      <c r="D1646" s="145" t="s">
        <v>85</v>
      </c>
      <c r="E1646" s="85">
        <f>STATS1003B!E1649/1000</f>
        <v>1550.885</v>
      </c>
      <c r="F1646" s="85">
        <f>STATS1003B!F1649/1000</f>
        <v>1550.885</v>
      </c>
      <c r="G1646" s="85">
        <f>STATS1003B!G1649/1000</f>
        <v>0</v>
      </c>
      <c r="H1646" s="85">
        <f>STATS1003B!H1649/1000</f>
        <v>1550.885</v>
      </c>
      <c r="I1646" s="85">
        <f>STATS1003B!I1649/1000</f>
        <v>0</v>
      </c>
      <c r="J1646" s="85">
        <f>STATS1003B!J1649/1000</f>
        <v>0</v>
      </c>
      <c r="K1646" s="85">
        <f>STATS1003B!K1649/1000</f>
        <v>0</v>
      </c>
      <c r="L1646" s="85">
        <f>STATS1003B!L1649/1000</f>
        <v>0</v>
      </c>
      <c r="M1646" s="85">
        <f>STATS1003B!M1649/1000</f>
        <v>1550.885</v>
      </c>
      <c r="N1646" s="85">
        <f>STATS1003B!N1649/1000</f>
        <v>0</v>
      </c>
      <c r="O1646" s="85">
        <f>STATS1003B!O1649/1000</f>
        <v>0</v>
      </c>
      <c r="P1646" s="85">
        <f>STATS1003B!P1649/1000</f>
        <v>0</v>
      </c>
      <c r="Q1646" s="85">
        <f>STATS1003B!Q1649/1000</f>
        <v>0</v>
      </c>
      <c r="R1646" s="85">
        <f>STATS1003B!R1649/1000</f>
        <v>0</v>
      </c>
      <c r="S1646" s="85">
        <f>STATS1003B!S1649/1000</f>
        <v>0</v>
      </c>
      <c r="T1646" s="85">
        <f>STATS1003B!T1649/1000</f>
        <v>0</v>
      </c>
      <c r="U1646" s="85">
        <f>STATS1003B!U1649/1000</f>
        <v>0</v>
      </c>
      <c r="V1646" s="85">
        <f>STATS1003B!V1649/1000</f>
        <v>1550.885</v>
      </c>
      <c r="W1646" s="85">
        <f>STATS1003B!W1649/1000</f>
        <v>0</v>
      </c>
      <c r="X1646" s="85">
        <f t="shared" si="181"/>
        <v>1550.885</v>
      </c>
      <c r="Y1646" s="85">
        <f>STATS1003B!Y1649/1000</f>
        <v>0</v>
      </c>
      <c r="Z1646" s="85">
        <f>STATS1003B!Z1649/1000</f>
        <v>0</v>
      </c>
      <c r="AA1646" s="69">
        <f>STATS1003B!AA1649/1000</f>
        <v>1550.885</v>
      </c>
      <c r="AB1646" s="69">
        <f>STATS1003B!AB1649/1000</f>
        <v>0</v>
      </c>
    </row>
    <row r="1647" spans="1:28" hidden="1" x14ac:dyDescent="0.3">
      <c r="A1647" s="117"/>
      <c r="C1647" s="68" t="s">
        <v>318</v>
      </c>
      <c r="D1647" s="145" t="s">
        <v>85</v>
      </c>
      <c r="E1647" s="85">
        <f>STATS1003B!E1650/1000</f>
        <v>4428.2060000000001</v>
      </c>
      <c r="F1647" s="85">
        <f>STATS1003B!F1650/1000</f>
        <v>4258.1239999999998</v>
      </c>
      <c r="G1647" s="85">
        <f>STATS1003B!G1650/1000</f>
        <v>0</v>
      </c>
      <c r="H1647" s="85">
        <f>STATS1003B!H1650/1000</f>
        <v>4258.1239999999998</v>
      </c>
      <c r="I1647" s="85">
        <f>STATS1003B!I1650/1000</f>
        <v>0</v>
      </c>
      <c r="J1647" s="85">
        <f>STATS1003B!J1650/1000</f>
        <v>0</v>
      </c>
      <c r="K1647" s="85">
        <f>STATS1003B!K1650/1000</f>
        <v>0</v>
      </c>
      <c r="L1647" s="85">
        <f>STATS1003B!L1650/1000</f>
        <v>0</v>
      </c>
      <c r="M1647" s="85">
        <f>STATS1003B!M1650/1000</f>
        <v>4258.1239999999998</v>
      </c>
      <c r="N1647" s="85">
        <f>STATS1003B!N1650/1000</f>
        <v>0</v>
      </c>
      <c r="O1647" s="85">
        <f>STATS1003B!O1650/1000</f>
        <v>0</v>
      </c>
      <c r="P1647" s="85">
        <f>STATS1003B!P1650/1000</f>
        <v>0</v>
      </c>
      <c r="Q1647" s="85">
        <f>STATS1003B!Q1650/1000</f>
        <v>0</v>
      </c>
      <c r="R1647" s="85">
        <f>STATS1003B!R1650/1000</f>
        <v>0</v>
      </c>
      <c r="S1647" s="85">
        <f>STATS1003B!S1650/1000</f>
        <v>0</v>
      </c>
      <c r="T1647" s="85">
        <f>STATS1003B!T1650/1000</f>
        <v>0</v>
      </c>
      <c r="U1647" s="85">
        <f>STATS1003B!U1650/1000</f>
        <v>0</v>
      </c>
      <c r="V1647" s="85">
        <f>STATS1003B!V1650/1000</f>
        <v>4258.1239999999998</v>
      </c>
      <c r="W1647" s="85">
        <f>STATS1003B!W1650/1000</f>
        <v>170.08199999999999</v>
      </c>
      <c r="X1647" s="85">
        <f t="shared" si="181"/>
        <v>4258.1239999999998</v>
      </c>
      <c r="Y1647" s="85">
        <f>STATS1003B!Y1650/1000</f>
        <v>0</v>
      </c>
      <c r="Z1647" s="85">
        <f>STATS1003B!Z1650/1000</f>
        <v>170.08199999999999</v>
      </c>
      <c r="AA1647" s="69">
        <f>STATS1003B!AA1650/1000</f>
        <v>4258.1239999999998</v>
      </c>
      <c r="AB1647" s="69">
        <f>STATS1003B!AB1650/1000</f>
        <v>170.08199999999999</v>
      </c>
    </row>
    <row r="1648" spans="1:28" hidden="1" x14ac:dyDescent="0.3">
      <c r="A1648" s="117"/>
      <c r="C1648" s="68" t="s">
        <v>332</v>
      </c>
      <c r="E1648" s="85">
        <f>STATS1003B!E1651/1000</f>
        <v>0</v>
      </c>
      <c r="F1648" s="85">
        <f>STATS1003B!F1651/1000</f>
        <v>0</v>
      </c>
      <c r="G1648" s="85">
        <f>STATS1003B!G1651/1000</f>
        <v>0</v>
      </c>
      <c r="H1648" s="85">
        <f>STATS1003B!H1651/1000</f>
        <v>0</v>
      </c>
      <c r="I1648" s="85">
        <f>STATS1003B!I1651/1000</f>
        <v>0</v>
      </c>
      <c r="J1648" s="85">
        <f>STATS1003B!J1651/1000</f>
        <v>0</v>
      </c>
      <c r="K1648" s="85">
        <f>STATS1003B!K1651/1000</f>
        <v>0</v>
      </c>
      <c r="L1648" s="85">
        <f>STATS1003B!L1651/1000</f>
        <v>0</v>
      </c>
      <c r="M1648" s="85">
        <f>STATS1003B!M1651/1000</f>
        <v>0</v>
      </c>
      <c r="N1648" s="85">
        <f>STATS1003B!N1651/1000</f>
        <v>0</v>
      </c>
      <c r="O1648" s="85">
        <f>STATS1003B!O1651/1000</f>
        <v>0</v>
      </c>
      <c r="P1648" s="85">
        <f>STATS1003B!P1651/1000</f>
        <v>0</v>
      </c>
      <c r="Q1648" s="85">
        <f>STATS1003B!Q1651/1000</f>
        <v>0</v>
      </c>
      <c r="R1648" s="85">
        <f>STATS1003B!R1651/1000</f>
        <v>0</v>
      </c>
      <c r="S1648" s="85">
        <f>STATS1003B!S1651/1000</f>
        <v>0</v>
      </c>
      <c r="T1648" s="85">
        <f>STATS1003B!T1651/1000</f>
        <v>0</v>
      </c>
      <c r="U1648" s="85">
        <f>STATS1003B!U1651/1000</f>
        <v>0</v>
      </c>
      <c r="V1648" s="85">
        <f>STATS1003B!V1651/1000</f>
        <v>0</v>
      </c>
      <c r="W1648" s="85">
        <f>STATS1003B!W1651/1000</f>
        <v>0</v>
      </c>
      <c r="X1648" s="85">
        <f t="shared" si="181"/>
        <v>0</v>
      </c>
      <c r="Y1648" s="85">
        <f>STATS1003B!Y1651/1000</f>
        <v>0</v>
      </c>
      <c r="Z1648" s="85">
        <f>STATS1003B!Z1651/1000</f>
        <v>0</v>
      </c>
      <c r="AA1648" s="69">
        <f>STATS1003B!AA1651/1000</f>
        <v>0</v>
      </c>
      <c r="AB1648" s="69">
        <f>STATS1003B!AB1651/1000</f>
        <v>0</v>
      </c>
    </row>
    <row r="1649" spans="1:28" hidden="1" x14ac:dyDescent="0.3">
      <c r="A1649" s="117"/>
      <c r="C1649" s="68" t="s">
        <v>333</v>
      </c>
      <c r="D1649" s="145" t="s">
        <v>58</v>
      </c>
      <c r="E1649" s="85">
        <f>STATS1003B!E1652/1000</f>
        <v>700</v>
      </c>
      <c r="F1649" s="85">
        <f>STATS1003B!F1652/1000</f>
        <v>700</v>
      </c>
      <c r="G1649" s="85">
        <f>STATS1003B!G1652/1000</f>
        <v>0</v>
      </c>
      <c r="H1649" s="85">
        <f>STATS1003B!H1652/1000</f>
        <v>700</v>
      </c>
      <c r="I1649" s="85">
        <f>STATS1003B!I1652/1000</f>
        <v>0</v>
      </c>
      <c r="J1649" s="85">
        <f>STATS1003B!J1652/1000</f>
        <v>0</v>
      </c>
      <c r="K1649" s="85">
        <f>STATS1003B!K1652/1000</f>
        <v>0</v>
      </c>
      <c r="L1649" s="85">
        <f>STATS1003B!L1652/1000</f>
        <v>0</v>
      </c>
      <c r="M1649" s="85">
        <f>STATS1003B!M1652/1000</f>
        <v>700</v>
      </c>
      <c r="N1649" s="85">
        <f>STATS1003B!N1652/1000</f>
        <v>0</v>
      </c>
      <c r="O1649" s="85">
        <f>STATS1003B!O1652/1000</f>
        <v>0</v>
      </c>
      <c r="P1649" s="85">
        <f>STATS1003B!P1652/1000</f>
        <v>0</v>
      </c>
      <c r="Q1649" s="85">
        <f>STATS1003B!Q1652/1000</f>
        <v>0</v>
      </c>
      <c r="R1649" s="85">
        <f>STATS1003B!R1652/1000</f>
        <v>0</v>
      </c>
      <c r="S1649" s="85">
        <f>STATS1003B!S1652/1000</f>
        <v>0</v>
      </c>
      <c r="T1649" s="85">
        <f>STATS1003B!T1652/1000</f>
        <v>0</v>
      </c>
      <c r="U1649" s="85">
        <f>STATS1003B!U1652/1000</f>
        <v>0</v>
      </c>
      <c r="V1649" s="85">
        <f>STATS1003B!V1652/1000</f>
        <v>700</v>
      </c>
      <c r="W1649" s="85">
        <f>STATS1003B!W1652/1000</f>
        <v>0</v>
      </c>
      <c r="X1649" s="85">
        <f t="shared" si="181"/>
        <v>700</v>
      </c>
      <c r="Y1649" s="85">
        <f>STATS1003B!Y1652/1000</f>
        <v>0</v>
      </c>
      <c r="Z1649" s="85">
        <f>STATS1003B!Z1652/1000</f>
        <v>0</v>
      </c>
      <c r="AA1649" s="69">
        <f>STATS1003B!AA1652/1000</f>
        <v>700</v>
      </c>
      <c r="AB1649" s="69">
        <f>STATS1003B!AB1652/1000</f>
        <v>0</v>
      </c>
    </row>
    <row r="1650" spans="1:28" hidden="1" x14ac:dyDescent="0.3">
      <c r="A1650" s="117"/>
      <c r="C1650" s="71" t="s">
        <v>109</v>
      </c>
      <c r="D1650" s="88" t="s">
        <v>60</v>
      </c>
      <c r="E1650" s="85">
        <f>STATS1003B!E1653/1000</f>
        <v>2500</v>
      </c>
      <c r="F1650" s="85">
        <f>STATS1003B!F1653/1000</f>
        <v>2500</v>
      </c>
      <c r="G1650" s="85">
        <f>STATS1003B!G1653/1000</f>
        <v>0</v>
      </c>
      <c r="H1650" s="85">
        <f>STATS1003B!H1653/1000</f>
        <v>2500</v>
      </c>
      <c r="I1650" s="85">
        <f>STATS1003B!I1653/1000</f>
        <v>0</v>
      </c>
      <c r="J1650" s="85">
        <f>STATS1003B!J1653/1000</f>
        <v>0</v>
      </c>
      <c r="K1650" s="85">
        <f>STATS1003B!K1653/1000</f>
        <v>0</v>
      </c>
      <c r="L1650" s="85">
        <f>STATS1003B!L1653/1000</f>
        <v>0</v>
      </c>
      <c r="M1650" s="85">
        <f>STATS1003B!M1653/1000</f>
        <v>2500</v>
      </c>
      <c r="N1650" s="85">
        <f>STATS1003B!N1653/1000</f>
        <v>0</v>
      </c>
      <c r="O1650" s="85">
        <f>STATS1003B!O1653/1000</f>
        <v>0</v>
      </c>
      <c r="P1650" s="85">
        <f>STATS1003B!P1653/1000</f>
        <v>0</v>
      </c>
      <c r="Q1650" s="85">
        <f>STATS1003B!Q1653/1000</f>
        <v>0</v>
      </c>
      <c r="R1650" s="85">
        <f>STATS1003B!R1653/1000</f>
        <v>0</v>
      </c>
      <c r="S1650" s="85">
        <f>STATS1003B!S1653/1000</f>
        <v>0</v>
      </c>
      <c r="T1650" s="85">
        <f>STATS1003B!T1653/1000</f>
        <v>0</v>
      </c>
      <c r="U1650" s="85">
        <f>STATS1003B!U1653/1000</f>
        <v>0</v>
      </c>
      <c r="V1650" s="85">
        <f>STATS1003B!V1653/1000</f>
        <v>2500</v>
      </c>
      <c r="W1650" s="85">
        <f>STATS1003B!W1653/1000</f>
        <v>0</v>
      </c>
      <c r="X1650" s="85">
        <f t="shared" si="181"/>
        <v>2500</v>
      </c>
      <c r="Y1650" s="85">
        <f>STATS1003B!Y1653/1000</f>
        <v>0</v>
      </c>
      <c r="Z1650" s="85">
        <f>STATS1003B!Z1653/1000</f>
        <v>0</v>
      </c>
      <c r="AA1650" s="69">
        <f>STATS1003B!AA1653/1000</f>
        <v>2500</v>
      </c>
      <c r="AB1650" s="69">
        <f>STATS1003B!AB1653/1000</f>
        <v>0</v>
      </c>
    </row>
    <row r="1651" spans="1:28" hidden="1" x14ac:dyDescent="0.3">
      <c r="A1651" s="117"/>
      <c r="C1651" s="71" t="s">
        <v>57</v>
      </c>
      <c r="D1651" s="88" t="s">
        <v>60</v>
      </c>
      <c r="E1651" s="85">
        <f>STATS1003B!E1654/1000</f>
        <v>1098</v>
      </c>
      <c r="F1651" s="85">
        <f>STATS1003B!F1654/1000</f>
        <v>1098</v>
      </c>
      <c r="G1651" s="85">
        <f>STATS1003B!G1654/1000</f>
        <v>0</v>
      </c>
      <c r="H1651" s="85">
        <f>STATS1003B!H1654/1000</f>
        <v>1098</v>
      </c>
      <c r="I1651" s="85">
        <f>STATS1003B!I1654/1000</f>
        <v>0</v>
      </c>
      <c r="J1651" s="85">
        <f>STATS1003B!J1654/1000</f>
        <v>0</v>
      </c>
      <c r="K1651" s="85">
        <f>STATS1003B!K1654/1000</f>
        <v>0</v>
      </c>
      <c r="L1651" s="85">
        <f>STATS1003B!L1654/1000</f>
        <v>0</v>
      </c>
      <c r="M1651" s="85">
        <f>STATS1003B!M1654/1000</f>
        <v>1098</v>
      </c>
      <c r="N1651" s="85">
        <f>STATS1003B!N1654/1000</f>
        <v>0</v>
      </c>
      <c r="O1651" s="85">
        <f>STATS1003B!O1654/1000</f>
        <v>0</v>
      </c>
      <c r="P1651" s="85">
        <f>STATS1003B!P1654/1000</f>
        <v>0</v>
      </c>
      <c r="Q1651" s="85">
        <f>STATS1003B!Q1654/1000</f>
        <v>0</v>
      </c>
      <c r="R1651" s="85">
        <f>STATS1003B!R1654/1000</f>
        <v>0</v>
      </c>
      <c r="S1651" s="85">
        <f>STATS1003B!S1654/1000</f>
        <v>0</v>
      </c>
      <c r="T1651" s="85">
        <f>STATS1003B!T1654/1000</f>
        <v>0</v>
      </c>
      <c r="U1651" s="85">
        <f>STATS1003B!U1654/1000</f>
        <v>0</v>
      </c>
      <c r="V1651" s="85">
        <f>STATS1003B!V1654/1000</f>
        <v>1098</v>
      </c>
      <c r="W1651" s="85">
        <f>STATS1003B!W1654/1000</f>
        <v>0</v>
      </c>
      <c r="X1651" s="85">
        <f t="shared" si="181"/>
        <v>1098</v>
      </c>
      <c r="Y1651" s="85">
        <f>STATS1003B!Y1654/1000</f>
        <v>0</v>
      </c>
      <c r="Z1651" s="85">
        <f>STATS1003B!Z1654/1000</f>
        <v>0</v>
      </c>
      <c r="AA1651" s="69">
        <f>STATS1003B!AA1654/1000</f>
        <v>1098</v>
      </c>
      <c r="AB1651" s="69">
        <f>STATS1003B!AB1654/1000</f>
        <v>0</v>
      </c>
    </row>
    <row r="1652" spans="1:28" hidden="1" x14ac:dyDescent="0.3">
      <c r="A1652" s="117"/>
      <c r="C1652" s="71" t="s">
        <v>57</v>
      </c>
      <c r="D1652" s="88" t="s">
        <v>73</v>
      </c>
      <c r="E1652" s="85">
        <f>STATS1003B!E1655/1000</f>
        <v>4098</v>
      </c>
      <c r="F1652" s="85">
        <f>STATS1003B!F1655/1000</f>
        <v>4098</v>
      </c>
      <c r="G1652" s="85">
        <f>STATS1003B!G1655/1000</f>
        <v>0</v>
      </c>
      <c r="H1652" s="85">
        <f>STATS1003B!H1655/1000</f>
        <v>4098</v>
      </c>
      <c r="I1652" s="85">
        <f>STATS1003B!I1655/1000</f>
        <v>0</v>
      </c>
      <c r="J1652" s="85">
        <f>STATS1003B!J1655/1000</f>
        <v>0</v>
      </c>
      <c r="K1652" s="85">
        <f>STATS1003B!K1655/1000</f>
        <v>0</v>
      </c>
      <c r="L1652" s="85">
        <f>STATS1003B!L1655/1000</f>
        <v>0</v>
      </c>
      <c r="M1652" s="85">
        <f>STATS1003B!M1655/1000</f>
        <v>4098</v>
      </c>
      <c r="N1652" s="85">
        <f>STATS1003B!N1655/1000</f>
        <v>0</v>
      </c>
      <c r="O1652" s="85">
        <f>STATS1003B!O1655/1000</f>
        <v>0</v>
      </c>
      <c r="P1652" s="85">
        <f>STATS1003B!P1655/1000</f>
        <v>0</v>
      </c>
      <c r="Q1652" s="85">
        <f>STATS1003B!Q1655/1000</f>
        <v>0</v>
      </c>
      <c r="R1652" s="85">
        <f>STATS1003B!R1655/1000</f>
        <v>0</v>
      </c>
      <c r="S1652" s="85">
        <f>STATS1003B!S1655/1000</f>
        <v>0</v>
      </c>
      <c r="T1652" s="85">
        <f>STATS1003B!T1655/1000</f>
        <v>0</v>
      </c>
      <c r="U1652" s="85">
        <f>STATS1003B!U1655/1000</f>
        <v>0</v>
      </c>
      <c r="V1652" s="85">
        <f>STATS1003B!V1655/1000</f>
        <v>4098</v>
      </c>
      <c r="W1652" s="85">
        <f>STATS1003B!W1655/1000</f>
        <v>0</v>
      </c>
      <c r="X1652" s="85">
        <f t="shared" si="181"/>
        <v>4098</v>
      </c>
      <c r="Y1652" s="85">
        <f>STATS1003B!Y1655/1000</f>
        <v>0</v>
      </c>
      <c r="Z1652" s="85">
        <f>STATS1003B!Z1655/1000</f>
        <v>0</v>
      </c>
      <c r="AA1652" s="69">
        <f>STATS1003B!AA1655/1000</f>
        <v>4098</v>
      </c>
      <c r="AB1652" s="69">
        <f>STATS1003B!AB1655/1000</f>
        <v>0</v>
      </c>
    </row>
    <row r="1653" spans="1:28" hidden="1" x14ac:dyDescent="0.3">
      <c r="A1653" s="117"/>
      <c r="C1653" s="68" t="s">
        <v>122</v>
      </c>
      <c r="E1653" s="85">
        <f>STATS1003B!E1656/1000</f>
        <v>977.77499999999998</v>
      </c>
      <c r="F1653" s="85">
        <f>STATS1003B!F1656/1000</f>
        <v>977.77499999999998</v>
      </c>
      <c r="G1653" s="85">
        <f>STATS1003B!G1656/1000</f>
        <v>0</v>
      </c>
      <c r="H1653" s="85">
        <f>STATS1003B!H1656/1000</f>
        <v>977.77499999999998</v>
      </c>
      <c r="I1653" s="85">
        <f>STATS1003B!I1656/1000</f>
        <v>0</v>
      </c>
      <c r="J1653" s="85">
        <f>STATS1003B!J1656/1000</f>
        <v>0</v>
      </c>
      <c r="K1653" s="85">
        <f>STATS1003B!K1656/1000</f>
        <v>0</v>
      </c>
      <c r="L1653" s="85">
        <f>STATS1003B!L1656/1000</f>
        <v>0</v>
      </c>
      <c r="M1653" s="85">
        <f>STATS1003B!M1656/1000</f>
        <v>977.77499999999998</v>
      </c>
      <c r="N1653" s="85">
        <f>STATS1003B!N1656/1000</f>
        <v>0</v>
      </c>
      <c r="O1653" s="85">
        <f>STATS1003B!O1656/1000</f>
        <v>0</v>
      </c>
      <c r="P1653" s="85">
        <f>STATS1003B!P1656/1000</f>
        <v>0</v>
      </c>
      <c r="Q1653" s="85">
        <f>STATS1003B!Q1656/1000</f>
        <v>0</v>
      </c>
      <c r="R1653" s="85">
        <f>STATS1003B!R1656/1000</f>
        <v>0</v>
      </c>
      <c r="S1653" s="85">
        <f>STATS1003B!S1656/1000</f>
        <v>0</v>
      </c>
      <c r="T1653" s="85">
        <f>STATS1003B!T1656/1000</f>
        <v>0</v>
      </c>
      <c r="U1653" s="85">
        <f>STATS1003B!U1656/1000</f>
        <v>0</v>
      </c>
      <c r="V1653" s="85">
        <f>STATS1003B!V1656/1000</f>
        <v>977.77499999999998</v>
      </c>
      <c r="W1653" s="85">
        <f>STATS1003B!W1656/1000</f>
        <v>0</v>
      </c>
      <c r="X1653" s="85">
        <f t="shared" si="181"/>
        <v>977.77499999999998</v>
      </c>
      <c r="Y1653" s="85">
        <f>STATS1003B!Y1656/1000</f>
        <v>0</v>
      </c>
      <c r="Z1653" s="85">
        <f>STATS1003B!Z1656/1000</f>
        <v>0</v>
      </c>
      <c r="AA1653" s="69">
        <f>STATS1003B!AA1656/1000</f>
        <v>977.77499999999998</v>
      </c>
      <c r="AB1653" s="69">
        <f>STATS1003B!AB1656/1000</f>
        <v>0</v>
      </c>
    </row>
    <row r="1654" spans="1:28" hidden="1" x14ac:dyDescent="0.3">
      <c r="A1654" s="117"/>
      <c r="C1654" s="68" t="s">
        <v>1183</v>
      </c>
      <c r="D1654" s="91" t="s">
        <v>1126</v>
      </c>
      <c r="E1654" s="85">
        <f>STATS1003B!E1657/1000</f>
        <v>2539.0013799999997</v>
      </c>
      <c r="F1654" s="85">
        <f>STATS1003B!F1657/1000</f>
        <v>2539.0013799999997</v>
      </c>
      <c r="G1654" s="85">
        <f>STATS1003B!G1657/1000</f>
        <v>0</v>
      </c>
      <c r="H1654" s="85">
        <f>STATS1003B!H1657/1000</f>
        <v>2539.0013799999997</v>
      </c>
      <c r="I1654" s="85">
        <f>STATS1003B!I1657/1000</f>
        <v>0</v>
      </c>
      <c r="J1654" s="85">
        <f>STATS1003B!J1657/1000</f>
        <v>0</v>
      </c>
      <c r="K1654" s="85">
        <f>STATS1003B!K1657/1000</f>
        <v>0</v>
      </c>
      <c r="L1654" s="85">
        <f>STATS1003B!L1657/1000</f>
        <v>0</v>
      </c>
      <c r="M1654" s="85">
        <f>STATS1003B!M1657/1000</f>
        <v>2539.0013799999997</v>
      </c>
      <c r="N1654" s="85">
        <f>STATS1003B!N1657/1000</f>
        <v>0</v>
      </c>
      <c r="O1654" s="85">
        <f>STATS1003B!O1657/1000</f>
        <v>0</v>
      </c>
      <c r="P1654" s="85">
        <f>STATS1003B!P1657/1000</f>
        <v>0</v>
      </c>
      <c r="Q1654" s="85">
        <f>STATS1003B!Q1657/1000</f>
        <v>0</v>
      </c>
      <c r="R1654" s="85">
        <f>STATS1003B!R1657/1000</f>
        <v>0</v>
      </c>
      <c r="S1654" s="85">
        <f>STATS1003B!S1657/1000</f>
        <v>0</v>
      </c>
      <c r="T1654" s="85">
        <f>STATS1003B!T1657/1000</f>
        <v>0</v>
      </c>
      <c r="U1654" s="85">
        <f>STATS1003B!U1657/1000</f>
        <v>0</v>
      </c>
      <c r="V1654" s="85">
        <f>STATS1003B!V1657/1000</f>
        <v>2539.0013799999997</v>
      </c>
      <c r="W1654" s="85">
        <f>STATS1003B!W1657/1000</f>
        <v>0</v>
      </c>
      <c r="X1654" s="85">
        <f t="shared" si="181"/>
        <v>2539.0013799999997</v>
      </c>
      <c r="Y1654" s="85">
        <f>STATS1003B!Y1657/1000</f>
        <v>0</v>
      </c>
      <c r="Z1654" s="85">
        <f>STATS1003B!Z1657/1000</f>
        <v>0</v>
      </c>
      <c r="AA1654" s="69">
        <f>STATS1003B!AA1657/1000</f>
        <v>2539.0013799999997</v>
      </c>
      <c r="AB1654" s="69">
        <f>STATS1003B!AB1657/1000</f>
        <v>0</v>
      </c>
    </row>
    <row r="1655" spans="1:28" hidden="1" x14ac:dyDescent="0.3">
      <c r="A1655" s="117"/>
      <c r="C1655" s="68" t="s">
        <v>1200</v>
      </c>
      <c r="D1655" s="91" t="s">
        <v>1126</v>
      </c>
      <c r="E1655" s="85">
        <f>STATS1003B!E1658/1000</f>
        <v>333.18081999999998</v>
      </c>
      <c r="F1655" s="85">
        <f>STATS1003B!F1658/1000</f>
        <v>333.18081999999998</v>
      </c>
      <c r="G1655" s="85">
        <f>STATS1003B!G1658/1000</f>
        <v>0</v>
      </c>
      <c r="H1655" s="85">
        <f>STATS1003B!H1658/1000</f>
        <v>333.18081999999998</v>
      </c>
      <c r="I1655" s="85">
        <f>STATS1003B!I1658/1000</f>
        <v>0</v>
      </c>
      <c r="J1655" s="85">
        <f>STATS1003B!J1658/1000</f>
        <v>0</v>
      </c>
      <c r="K1655" s="85">
        <f>STATS1003B!K1658/1000</f>
        <v>0</v>
      </c>
      <c r="L1655" s="85">
        <f>STATS1003B!L1658/1000</f>
        <v>0</v>
      </c>
      <c r="M1655" s="85">
        <f>STATS1003B!M1658/1000</f>
        <v>333.18081999999998</v>
      </c>
      <c r="N1655" s="85">
        <f>STATS1003B!N1658/1000</f>
        <v>0</v>
      </c>
      <c r="O1655" s="85">
        <f>STATS1003B!O1658/1000</f>
        <v>0</v>
      </c>
      <c r="P1655" s="85">
        <f>STATS1003B!P1658/1000</f>
        <v>0</v>
      </c>
      <c r="Q1655" s="85">
        <f>STATS1003B!Q1658/1000</f>
        <v>0</v>
      </c>
      <c r="R1655" s="85">
        <f>STATS1003B!R1658/1000</f>
        <v>0</v>
      </c>
      <c r="S1655" s="85">
        <f>STATS1003B!S1658/1000</f>
        <v>0</v>
      </c>
      <c r="T1655" s="85">
        <f>STATS1003B!T1658/1000</f>
        <v>0</v>
      </c>
      <c r="U1655" s="85">
        <f>STATS1003B!U1658/1000</f>
        <v>0</v>
      </c>
      <c r="V1655" s="85">
        <f>STATS1003B!V1658/1000</f>
        <v>333.18081999999998</v>
      </c>
      <c r="W1655" s="85">
        <f>STATS1003B!W1658/1000</f>
        <v>0</v>
      </c>
      <c r="X1655" s="85">
        <f t="shared" si="181"/>
        <v>333.18081999999998</v>
      </c>
      <c r="Y1655" s="85">
        <f>STATS1003B!Y1658/1000</f>
        <v>0</v>
      </c>
      <c r="Z1655" s="85">
        <f>STATS1003B!Z1658/1000</f>
        <v>0</v>
      </c>
      <c r="AA1655" s="69">
        <f>STATS1003B!AA1658/1000</f>
        <v>333.18081999999998</v>
      </c>
      <c r="AB1655" s="69">
        <f>STATS1003B!AB1658/1000</f>
        <v>0</v>
      </c>
    </row>
    <row r="1656" spans="1:28" hidden="1" x14ac:dyDescent="0.3">
      <c r="A1656" s="117"/>
      <c r="C1656" s="68" t="s">
        <v>1222</v>
      </c>
      <c r="D1656" s="91" t="s">
        <v>1126</v>
      </c>
      <c r="E1656" s="85">
        <f>STATS1003B!E1659/1000</f>
        <v>288.36964</v>
      </c>
      <c r="F1656" s="85">
        <f>STATS1003B!F1659/1000</f>
        <v>288.36964</v>
      </c>
      <c r="G1656" s="85">
        <f>STATS1003B!G1659/1000</f>
        <v>0</v>
      </c>
      <c r="H1656" s="85">
        <f>STATS1003B!H1659/1000</f>
        <v>288.36964</v>
      </c>
      <c r="I1656" s="85">
        <f>STATS1003B!I1659/1000</f>
        <v>0</v>
      </c>
      <c r="J1656" s="85">
        <f>STATS1003B!J1659/1000</f>
        <v>0</v>
      </c>
      <c r="K1656" s="85">
        <f>STATS1003B!K1659/1000</f>
        <v>0</v>
      </c>
      <c r="L1656" s="85">
        <f>STATS1003B!L1659/1000</f>
        <v>0</v>
      </c>
      <c r="M1656" s="85">
        <f>STATS1003B!M1659/1000</f>
        <v>288.36964</v>
      </c>
      <c r="N1656" s="85">
        <f>STATS1003B!N1659/1000</f>
        <v>0</v>
      </c>
      <c r="O1656" s="85">
        <f>STATS1003B!O1659/1000</f>
        <v>0</v>
      </c>
      <c r="P1656" s="85">
        <f>STATS1003B!P1659/1000</f>
        <v>0</v>
      </c>
      <c r="Q1656" s="85">
        <f>STATS1003B!Q1659/1000</f>
        <v>0</v>
      </c>
      <c r="R1656" s="85">
        <f>STATS1003B!R1659/1000</f>
        <v>0</v>
      </c>
      <c r="S1656" s="85">
        <f>STATS1003B!S1659/1000</f>
        <v>0</v>
      </c>
      <c r="T1656" s="85">
        <f>STATS1003B!T1659/1000</f>
        <v>0</v>
      </c>
      <c r="U1656" s="85">
        <f>STATS1003B!U1659/1000</f>
        <v>0</v>
      </c>
      <c r="V1656" s="85">
        <f>STATS1003B!V1659/1000</f>
        <v>288.36964</v>
      </c>
      <c r="W1656" s="85">
        <f>STATS1003B!W1659/1000</f>
        <v>0</v>
      </c>
      <c r="X1656" s="85">
        <f t="shared" ref="X1656:X1719" si="184">+H1656+P1656</f>
        <v>288.36964</v>
      </c>
      <c r="Y1656" s="85">
        <f>STATS1003B!Y1659/1000</f>
        <v>0</v>
      </c>
      <c r="Z1656" s="85">
        <f>STATS1003B!Z1659/1000</f>
        <v>0</v>
      </c>
      <c r="AA1656" s="69">
        <f>STATS1003B!AA1659/1000</f>
        <v>288.36964</v>
      </c>
      <c r="AB1656" s="69">
        <f>STATS1003B!AB1659/1000</f>
        <v>0</v>
      </c>
    </row>
    <row r="1657" spans="1:28" hidden="1" x14ac:dyDescent="0.3">
      <c r="A1657" s="117"/>
      <c r="C1657" s="71" t="s">
        <v>57</v>
      </c>
      <c r="D1657" s="89" t="s">
        <v>61</v>
      </c>
      <c r="E1657" s="85">
        <f>STATS1003B!E1660/1000</f>
        <v>4645.9120000000003</v>
      </c>
      <c r="F1657" s="85">
        <f>STATS1003B!F1660/1000</f>
        <v>1591.7449999999999</v>
      </c>
      <c r="G1657" s="85">
        <f>STATS1003B!G1660/1000</f>
        <v>0</v>
      </c>
      <c r="H1657" s="85">
        <f>STATS1003B!H1660/1000</f>
        <v>1591.7449999999999</v>
      </c>
      <c r="I1657" s="85">
        <f>STATS1003B!I1660/1000</f>
        <v>0</v>
      </c>
      <c r="J1657" s="85">
        <f>STATS1003B!J1660/1000</f>
        <v>0</v>
      </c>
      <c r="K1657" s="85">
        <f>STATS1003B!K1660/1000</f>
        <v>0</v>
      </c>
      <c r="L1657" s="85">
        <f>STATS1003B!L1660/1000</f>
        <v>0</v>
      </c>
      <c r="M1657" s="85">
        <f>STATS1003B!M1660/1000</f>
        <v>1591.7449999999999</v>
      </c>
      <c r="N1657" s="85">
        <f>STATS1003B!N1660/1000</f>
        <v>0</v>
      </c>
      <c r="O1657" s="85">
        <f>STATS1003B!O1660/1000</f>
        <v>0</v>
      </c>
      <c r="P1657" s="85">
        <f>STATS1003B!P1660/1000</f>
        <v>0</v>
      </c>
      <c r="Q1657" s="85">
        <f>STATS1003B!Q1660/1000</f>
        <v>0</v>
      </c>
      <c r="R1657" s="85">
        <f>STATS1003B!R1660/1000</f>
        <v>0</v>
      </c>
      <c r="S1657" s="85">
        <f>STATS1003B!S1660/1000</f>
        <v>0</v>
      </c>
      <c r="T1657" s="85">
        <f>STATS1003B!T1660/1000</f>
        <v>0</v>
      </c>
      <c r="U1657" s="85">
        <f>STATS1003B!U1660/1000</f>
        <v>0</v>
      </c>
      <c r="V1657" s="85">
        <f>STATS1003B!V1660/1000</f>
        <v>1591.7449999999999</v>
      </c>
      <c r="W1657" s="85">
        <f>STATS1003B!W1660/1000</f>
        <v>3054.1669999999999</v>
      </c>
      <c r="X1657" s="85">
        <f t="shared" si="184"/>
        <v>1591.7449999999999</v>
      </c>
      <c r="Y1657" s="85">
        <f>STATS1003B!Y1660/1000</f>
        <v>0</v>
      </c>
      <c r="Z1657" s="85">
        <f>STATS1003B!Z1660/1000</f>
        <v>3054.1669999999999</v>
      </c>
      <c r="AA1657" s="69">
        <f>STATS1003B!AA1660/1000</f>
        <v>1591.7449999999999</v>
      </c>
      <c r="AB1657" s="69">
        <f>STATS1003B!AB1660/1000</f>
        <v>3054.1669999999999</v>
      </c>
    </row>
    <row r="1658" spans="1:28" hidden="1" x14ac:dyDescent="0.3">
      <c r="A1658" s="117"/>
      <c r="E1658" s="86" t="s">
        <v>29</v>
      </c>
      <c r="F1658" s="86" t="s">
        <v>29</v>
      </c>
      <c r="G1658" s="86" t="s">
        <v>29</v>
      </c>
      <c r="H1658" s="86" t="s">
        <v>29</v>
      </c>
      <c r="I1658" s="86" t="s">
        <v>29</v>
      </c>
      <c r="J1658" s="86" t="s">
        <v>29</v>
      </c>
      <c r="K1658" s="86" t="s">
        <v>29</v>
      </c>
      <c r="L1658" s="86" t="s">
        <v>29</v>
      </c>
      <c r="M1658" s="86" t="s">
        <v>29</v>
      </c>
      <c r="N1658" s="86" t="s">
        <v>29</v>
      </c>
      <c r="O1658" s="86" t="s">
        <v>29</v>
      </c>
      <c r="P1658" s="86" t="s">
        <v>29</v>
      </c>
      <c r="Q1658" s="86" t="s">
        <v>29</v>
      </c>
      <c r="R1658" s="86" t="s">
        <v>29</v>
      </c>
      <c r="S1658" s="86" t="s">
        <v>29</v>
      </c>
      <c r="T1658" s="86" t="s">
        <v>29</v>
      </c>
      <c r="U1658" s="86" t="s">
        <v>29</v>
      </c>
      <c r="V1658" s="86" t="s">
        <v>29</v>
      </c>
      <c r="W1658" s="86" t="s">
        <v>29</v>
      </c>
      <c r="X1658" s="85" t="e">
        <f t="shared" si="184"/>
        <v>#VALUE!</v>
      </c>
      <c r="Y1658" s="86" t="s">
        <v>29</v>
      </c>
      <c r="Z1658" s="86" t="s">
        <v>29</v>
      </c>
      <c r="AA1658" s="115" t="s">
        <v>29</v>
      </c>
      <c r="AB1658" s="115" t="s">
        <v>29</v>
      </c>
    </row>
    <row r="1659" spans="1:28" x14ac:dyDescent="0.3">
      <c r="A1659" s="116">
        <v>70</v>
      </c>
      <c r="B1659" s="68" t="s">
        <v>328</v>
      </c>
      <c r="E1659" s="85">
        <f>111477862.48/1000</f>
        <v>111477.86248000001</v>
      </c>
      <c r="F1659" s="85">
        <f t="shared" ref="F1659:AB1659" si="185">SUM(F1642:F1657)</f>
        <v>37459.65395</v>
      </c>
      <c r="G1659" s="85">
        <f t="shared" si="185"/>
        <v>0</v>
      </c>
      <c r="H1659" s="85">
        <f>107272419.97/1000</f>
        <v>107272.41997</v>
      </c>
      <c r="I1659" s="85">
        <f t="shared" si="185"/>
        <v>0</v>
      </c>
      <c r="J1659" s="85">
        <f t="shared" si="185"/>
        <v>0</v>
      </c>
      <c r="K1659" s="85">
        <f t="shared" si="185"/>
        <v>0</v>
      </c>
      <c r="L1659" s="85">
        <f t="shared" si="185"/>
        <v>0</v>
      </c>
      <c r="M1659" s="85">
        <f t="shared" si="185"/>
        <v>37459.65395</v>
      </c>
      <c r="N1659" s="85">
        <f t="shared" si="185"/>
        <v>955.34561999999994</v>
      </c>
      <c r="O1659" s="85">
        <f t="shared" si="185"/>
        <v>0</v>
      </c>
      <c r="P1659" s="85">
        <f>955345/1000</f>
        <v>955.34500000000003</v>
      </c>
      <c r="Q1659" s="85">
        <f t="shared" si="185"/>
        <v>0</v>
      </c>
      <c r="R1659" s="85">
        <f t="shared" si="185"/>
        <v>0</v>
      </c>
      <c r="S1659" s="85">
        <f t="shared" si="185"/>
        <v>0</v>
      </c>
      <c r="T1659" s="85">
        <f t="shared" si="185"/>
        <v>0</v>
      </c>
      <c r="U1659" s="85">
        <f t="shared" si="185"/>
        <v>955.34561999999994</v>
      </c>
      <c r="V1659" s="85">
        <f t="shared" si="185"/>
        <v>38414.99957</v>
      </c>
      <c r="W1659" s="85">
        <f t="shared" si="185"/>
        <v>3250.0968900000007</v>
      </c>
      <c r="X1659" s="85">
        <f t="shared" si="184"/>
        <v>108227.76497</v>
      </c>
      <c r="Y1659" s="85">
        <f t="shared" si="185"/>
        <v>0</v>
      </c>
      <c r="Z1659" s="85">
        <f t="shared" si="185"/>
        <v>3250.0968900000007</v>
      </c>
      <c r="AA1659" s="69">
        <f t="shared" si="185"/>
        <v>38414.99957</v>
      </c>
      <c r="AB1659" s="69">
        <f t="shared" si="185"/>
        <v>3250.0968900000007</v>
      </c>
    </row>
    <row r="1660" spans="1:28" hidden="1" x14ac:dyDescent="0.3">
      <c r="A1660" s="117"/>
      <c r="E1660" s="86" t="s">
        <v>29</v>
      </c>
      <c r="F1660" s="86" t="s">
        <v>29</v>
      </c>
      <c r="G1660" s="86" t="s">
        <v>29</v>
      </c>
      <c r="H1660" s="86" t="s">
        <v>29</v>
      </c>
      <c r="I1660" s="86" t="s">
        <v>29</v>
      </c>
      <c r="J1660" s="86" t="s">
        <v>29</v>
      </c>
      <c r="K1660" s="86" t="s">
        <v>29</v>
      </c>
      <c r="L1660" s="86" t="s">
        <v>29</v>
      </c>
      <c r="M1660" s="86" t="s">
        <v>29</v>
      </c>
      <c r="N1660" s="86" t="s">
        <v>29</v>
      </c>
      <c r="O1660" s="86" t="s">
        <v>29</v>
      </c>
      <c r="P1660" s="86" t="s">
        <v>29</v>
      </c>
      <c r="Q1660" s="86" t="s">
        <v>29</v>
      </c>
      <c r="R1660" s="86" t="s">
        <v>29</v>
      </c>
      <c r="S1660" s="86" t="s">
        <v>29</v>
      </c>
      <c r="T1660" s="86" t="s">
        <v>29</v>
      </c>
      <c r="U1660" s="86" t="s">
        <v>29</v>
      </c>
      <c r="V1660" s="86" t="s">
        <v>29</v>
      </c>
      <c r="W1660" s="86" t="s">
        <v>29</v>
      </c>
      <c r="X1660" s="85" t="e">
        <f t="shared" si="184"/>
        <v>#VALUE!</v>
      </c>
      <c r="Y1660" s="86" t="s">
        <v>29</v>
      </c>
      <c r="Z1660" s="86" t="s">
        <v>29</v>
      </c>
      <c r="AA1660" s="115" t="s">
        <v>29</v>
      </c>
      <c r="AB1660" s="115" t="s">
        <v>29</v>
      </c>
    </row>
    <row r="1661" spans="1:28" hidden="1" x14ac:dyDescent="0.3">
      <c r="A1661" s="105"/>
      <c r="E1661" s="84"/>
      <c r="F1661" s="84"/>
      <c r="G1661" s="84"/>
      <c r="H1661" s="84"/>
      <c r="I1661" s="84"/>
      <c r="J1661" s="84"/>
      <c r="K1661" s="84"/>
      <c r="L1661" s="84"/>
      <c r="M1661" s="84"/>
      <c r="N1661" s="84"/>
      <c r="O1661" s="84"/>
      <c r="P1661" s="84"/>
      <c r="Q1661" s="84"/>
      <c r="R1661" s="84"/>
      <c r="S1661" s="84"/>
      <c r="T1661" s="84"/>
      <c r="U1661" s="84"/>
      <c r="V1661" s="84"/>
      <c r="W1661" s="84"/>
      <c r="X1661" s="85">
        <f t="shared" si="184"/>
        <v>0</v>
      </c>
      <c r="Y1661" s="84"/>
      <c r="Z1661" s="84"/>
    </row>
    <row r="1662" spans="1:28" hidden="1" x14ac:dyDescent="0.3">
      <c r="A1662" s="117"/>
      <c r="C1662" s="68" t="s">
        <v>53</v>
      </c>
      <c r="D1662" s="145" t="s">
        <v>68</v>
      </c>
      <c r="E1662" s="85">
        <f>STATS1003B!E1665/1000</f>
        <v>1767.77</v>
      </c>
      <c r="F1662" s="85">
        <f>STATS1003B!F1665/1000</f>
        <v>0</v>
      </c>
      <c r="G1662" s="85">
        <f>STATS1003B!G1665/1000</f>
        <v>0</v>
      </c>
      <c r="H1662" s="85">
        <f>STATS1003B!H1665/1000</f>
        <v>0</v>
      </c>
      <c r="I1662" s="85">
        <f>STATS1003B!I1665/1000</f>
        <v>0</v>
      </c>
      <c r="J1662" s="85">
        <f>STATS1003B!J1665/1000</f>
        <v>0</v>
      </c>
      <c r="K1662" s="85">
        <f>STATS1003B!K1665/1000</f>
        <v>0</v>
      </c>
      <c r="L1662" s="85">
        <f>STATS1003B!L1665/1000</f>
        <v>0</v>
      </c>
      <c r="M1662" s="85">
        <f>STATS1003B!M1665/1000</f>
        <v>0</v>
      </c>
      <c r="N1662" s="85">
        <f>STATS1003B!N1665/1000</f>
        <v>1767.77</v>
      </c>
      <c r="O1662" s="85">
        <f>STATS1003B!O1665/1000</f>
        <v>0</v>
      </c>
      <c r="P1662" s="85">
        <f>STATS1003B!P1665/1000</f>
        <v>1767.77</v>
      </c>
      <c r="Q1662" s="85">
        <f>STATS1003B!Q1665/1000</f>
        <v>0</v>
      </c>
      <c r="R1662" s="85">
        <f>STATS1003B!R1665/1000</f>
        <v>0</v>
      </c>
      <c r="S1662" s="85">
        <f>STATS1003B!S1665/1000</f>
        <v>0</v>
      </c>
      <c r="T1662" s="85">
        <f>STATS1003B!T1665/1000</f>
        <v>0</v>
      </c>
      <c r="U1662" s="85">
        <f>STATS1003B!U1665/1000</f>
        <v>1767.77</v>
      </c>
      <c r="V1662" s="85">
        <f>STATS1003B!V1665/1000</f>
        <v>1767.77</v>
      </c>
      <c r="W1662" s="85">
        <f>STATS1003B!W1665/1000</f>
        <v>0</v>
      </c>
      <c r="X1662" s="85">
        <f t="shared" si="184"/>
        <v>1767.77</v>
      </c>
      <c r="Y1662" s="85">
        <f>STATS1003B!Y1665/1000</f>
        <v>0</v>
      </c>
      <c r="Z1662" s="85">
        <f>STATS1003B!Z1665/1000</f>
        <v>0</v>
      </c>
      <c r="AA1662" s="69">
        <f>STATS1003B!AA1665/1000</f>
        <v>1767.77</v>
      </c>
      <c r="AB1662" s="69">
        <f>STATS1003B!AB1665/1000</f>
        <v>0</v>
      </c>
    </row>
    <row r="1663" spans="1:28" hidden="1" x14ac:dyDescent="0.3">
      <c r="A1663" s="117"/>
      <c r="C1663" s="68" t="s">
        <v>57</v>
      </c>
      <c r="D1663" s="145" t="s">
        <v>335</v>
      </c>
      <c r="E1663" s="85">
        <f>STATS1003B!E1666/1000</f>
        <v>11818.84108</v>
      </c>
      <c r="F1663" s="85">
        <f>STATS1003B!F1666/1000</f>
        <v>11818.84108</v>
      </c>
      <c r="G1663" s="85">
        <f>STATS1003B!G1666/1000</f>
        <v>0</v>
      </c>
      <c r="H1663" s="85">
        <f>STATS1003B!H1666/1000</f>
        <v>11818.84108</v>
      </c>
      <c r="I1663" s="85">
        <f>STATS1003B!I1666/1000</f>
        <v>0</v>
      </c>
      <c r="J1663" s="85">
        <f>STATS1003B!J1666/1000</f>
        <v>0</v>
      </c>
      <c r="K1663" s="85">
        <f>STATS1003B!K1666/1000</f>
        <v>0</v>
      </c>
      <c r="L1663" s="85">
        <f>STATS1003B!L1666/1000</f>
        <v>0</v>
      </c>
      <c r="M1663" s="85">
        <f>STATS1003B!M1666/1000</f>
        <v>11818.84108</v>
      </c>
      <c r="N1663" s="85">
        <f>STATS1003B!N1666/1000</f>
        <v>0</v>
      </c>
      <c r="O1663" s="85">
        <f>STATS1003B!O1666/1000</f>
        <v>0</v>
      </c>
      <c r="P1663" s="85">
        <f>STATS1003B!P1666/1000</f>
        <v>0</v>
      </c>
      <c r="Q1663" s="85">
        <f>STATS1003B!Q1666/1000</f>
        <v>0</v>
      </c>
      <c r="R1663" s="85">
        <f>STATS1003B!R1666/1000</f>
        <v>0</v>
      </c>
      <c r="S1663" s="85">
        <f>STATS1003B!S1666/1000</f>
        <v>0</v>
      </c>
      <c r="T1663" s="85">
        <f>STATS1003B!T1666/1000</f>
        <v>0</v>
      </c>
      <c r="U1663" s="85">
        <f>STATS1003B!U1666/1000</f>
        <v>0</v>
      </c>
      <c r="V1663" s="85">
        <f>STATS1003B!V1666/1000</f>
        <v>11818.84108</v>
      </c>
      <c r="W1663" s="85">
        <f>STATS1003B!W1666/1000</f>
        <v>0</v>
      </c>
      <c r="X1663" s="85">
        <f t="shared" si="184"/>
        <v>11818.84108</v>
      </c>
      <c r="Y1663" s="85">
        <f>STATS1003B!Y1666/1000</f>
        <v>0</v>
      </c>
      <c r="Z1663" s="85">
        <f>STATS1003B!Z1666/1000</f>
        <v>0</v>
      </c>
      <c r="AA1663" s="69">
        <f>STATS1003B!AA1666/1000</f>
        <v>11818.84108</v>
      </c>
      <c r="AB1663" s="69">
        <f>STATS1003B!AB1666/1000</f>
        <v>0</v>
      </c>
    </row>
    <row r="1664" spans="1:28" hidden="1" x14ac:dyDescent="0.3">
      <c r="A1664" s="117"/>
      <c r="C1664" s="68" t="s">
        <v>336</v>
      </c>
      <c r="D1664" s="145" t="s">
        <v>108</v>
      </c>
      <c r="E1664" s="85">
        <f>STATS1003B!E1667/1000</f>
        <v>500</v>
      </c>
      <c r="F1664" s="85">
        <f>STATS1003B!F1667/1000</f>
        <v>500</v>
      </c>
      <c r="G1664" s="85">
        <f>STATS1003B!G1667/1000</f>
        <v>0</v>
      </c>
      <c r="H1664" s="85">
        <f>STATS1003B!H1667/1000</f>
        <v>500</v>
      </c>
      <c r="I1664" s="85">
        <f>STATS1003B!I1667/1000</f>
        <v>0</v>
      </c>
      <c r="J1664" s="85">
        <f>STATS1003B!J1667/1000</f>
        <v>0</v>
      </c>
      <c r="K1664" s="85">
        <f>STATS1003B!K1667/1000</f>
        <v>0</v>
      </c>
      <c r="L1664" s="85">
        <f>STATS1003B!L1667/1000</f>
        <v>0</v>
      </c>
      <c r="M1664" s="85">
        <f>STATS1003B!M1667/1000</f>
        <v>500</v>
      </c>
      <c r="N1664" s="85">
        <f>STATS1003B!N1667/1000</f>
        <v>0</v>
      </c>
      <c r="O1664" s="85">
        <f>STATS1003B!O1667/1000</f>
        <v>0</v>
      </c>
      <c r="P1664" s="85">
        <f>STATS1003B!P1667/1000</f>
        <v>0</v>
      </c>
      <c r="Q1664" s="85">
        <f>STATS1003B!Q1667/1000</f>
        <v>0</v>
      </c>
      <c r="R1664" s="85">
        <f>STATS1003B!R1667/1000</f>
        <v>0</v>
      </c>
      <c r="S1664" s="85">
        <f>STATS1003B!S1667/1000</f>
        <v>0</v>
      </c>
      <c r="T1664" s="85">
        <f>STATS1003B!T1667/1000</f>
        <v>0</v>
      </c>
      <c r="U1664" s="85">
        <f>STATS1003B!U1667/1000</f>
        <v>0</v>
      </c>
      <c r="V1664" s="85">
        <f>STATS1003B!V1667/1000</f>
        <v>500</v>
      </c>
      <c r="W1664" s="85">
        <f>STATS1003B!W1667/1000</f>
        <v>0</v>
      </c>
      <c r="X1664" s="85">
        <f t="shared" si="184"/>
        <v>500</v>
      </c>
      <c r="Y1664" s="85">
        <f>STATS1003B!Y1667/1000</f>
        <v>0</v>
      </c>
      <c r="Z1664" s="85">
        <f>STATS1003B!Z1667/1000</f>
        <v>0</v>
      </c>
      <c r="AA1664" s="69">
        <f>STATS1003B!AA1667/1000</f>
        <v>500</v>
      </c>
      <c r="AB1664" s="69">
        <f>STATS1003B!AB1667/1000</f>
        <v>0</v>
      </c>
    </row>
    <row r="1665" spans="1:28" hidden="1" x14ac:dyDescent="0.3">
      <c r="A1665" s="117"/>
      <c r="C1665" s="68" t="s">
        <v>337</v>
      </c>
      <c r="D1665" s="145" t="s">
        <v>108</v>
      </c>
      <c r="E1665" s="85">
        <f>STATS1003B!E1668/1000</f>
        <v>277.26150000000001</v>
      </c>
      <c r="F1665" s="85">
        <f>STATS1003B!F1668/1000</f>
        <v>277.26150000000001</v>
      </c>
      <c r="G1665" s="85">
        <f>STATS1003B!G1668/1000</f>
        <v>0</v>
      </c>
      <c r="H1665" s="85">
        <f>STATS1003B!H1668/1000</f>
        <v>277.26150000000001</v>
      </c>
      <c r="I1665" s="85">
        <f>STATS1003B!I1668/1000</f>
        <v>0</v>
      </c>
      <c r="J1665" s="85">
        <f>STATS1003B!J1668/1000</f>
        <v>0</v>
      </c>
      <c r="K1665" s="85">
        <f>STATS1003B!K1668/1000</f>
        <v>0</v>
      </c>
      <c r="L1665" s="85">
        <f>STATS1003B!L1668/1000</f>
        <v>0</v>
      </c>
      <c r="M1665" s="85">
        <f>STATS1003B!M1668/1000</f>
        <v>277.26150000000001</v>
      </c>
      <c r="N1665" s="85">
        <f>STATS1003B!N1668/1000</f>
        <v>0</v>
      </c>
      <c r="O1665" s="85">
        <f>STATS1003B!O1668/1000</f>
        <v>0</v>
      </c>
      <c r="P1665" s="85">
        <f>STATS1003B!P1668/1000</f>
        <v>0</v>
      </c>
      <c r="Q1665" s="85">
        <f>STATS1003B!Q1668/1000</f>
        <v>0</v>
      </c>
      <c r="R1665" s="85">
        <f>STATS1003B!R1668/1000</f>
        <v>0</v>
      </c>
      <c r="S1665" s="85">
        <f>STATS1003B!S1668/1000</f>
        <v>0</v>
      </c>
      <c r="T1665" s="85">
        <f>STATS1003B!T1668/1000</f>
        <v>0</v>
      </c>
      <c r="U1665" s="85">
        <f>STATS1003B!U1668/1000</f>
        <v>0</v>
      </c>
      <c r="V1665" s="85">
        <f>STATS1003B!V1668/1000</f>
        <v>277.26150000000001</v>
      </c>
      <c r="W1665" s="85">
        <f>STATS1003B!W1668/1000</f>
        <v>0</v>
      </c>
      <c r="X1665" s="85">
        <f t="shared" si="184"/>
        <v>277.26150000000001</v>
      </c>
      <c r="Y1665" s="85">
        <f>STATS1003B!Y1668/1000</f>
        <v>0</v>
      </c>
      <c r="Z1665" s="85">
        <f>STATS1003B!Z1668/1000</f>
        <v>0</v>
      </c>
      <c r="AA1665" s="69">
        <f>STATS1003B!AA1668/1000</f>
        <v>277.26150000000001</v>
      </c>
      <c r="AB1665" s="69">
        <f>STATS1003B!AB1668/1000</f>
        <v>0</v>
      </c>
    </row>
    <row r="1666" spans="1:28" hidden="1" x14ac:dyDescent="0.3">
      <c r="A1666" s="117"/>
      <c r="C1666" s="68" t="s">
        <v>57</v>
      </c>
      <c r="D1666" s="145" t="s">
        <v>58</v>
      </c>
      <c r="E1666" s="85">
        <f>STATS1003B!E1669/1000</f>
        <v>8498.1550000000007</v>
      </c>
      <c r="F1666" s="85">
        <f>STATS1003B!F1669/1000</f>
        <v>8498.1550000000007</v>
      </c>
      <c r="G1666" s="85">
        <f>STATS1003B!G1669/1000</f>
        <v>0</v>
      </c>
      <c r="H1666" s="85">
        <f>STATS1003B!H1669/1000</f>
        <v>8498.1550000000007</v>
      </c>
      <c r="I1666" s="85">
        <f>STATS1003B!I1669/1000</f>
        <v>0</v>
      </c>
      <c r="J1666" s="85">
        <f>STATS1003B!J1669/1000</f>
        <v>0</v>
      </c>
      <c r="K1666" s="85">
        <f>STATS1003B!K1669/1000</f>
        <v>0</v>
      </c>
      <c r="L1666" s="85">
        <f>STATS1003B!L1669/1000</f>
        <v>0</v>
      </c>
      <c r="M1666" s="85">
        <f>STATS1003B!M1669/1000</f>
        <v>8498.1550000000007</v>
      </c>
      <c r="N1666" s="85">
        <f>STATS1003B!N1669/1000</f>
        <v>0</v>
      </c>
      <c r="O1666" s="85">
        <f>STATS1003B!O1669/1000</f>
        <v>0</v>
      </c>
      <c r="P1666" s="85">
        <f>STATS1003B!P1669/1000</f>
        <v>0</v>
      </c>
      <c r="Q1666" s="85">
        <f>STATS1003B!Q1669/1000</f>
        <v>0</v>
      </c>
      <c r="R1666" s="85">
        <f>STATS1003B!R1669/1000</f>
        <v>0</v>
      </c>
      <c r="S1666" s="85">
        <f>STATS1003B!S1669/1000</f>
        <v>0</v>
      </c>
      <c r="T1666" s="85">
        <f>STATS1003B!T1669/1000</f>
        <v>0</v>
      </c>
      <c r="U1666" s="85">
        <f>STATS1003B!U1669/1000</f>
        <v>0</v>
      </c>
      <c r="V1666" s="85">
        <f>STATS1003B!V1669/1000</f>
        <v>8498.1550000000007</v>
      </c>
      <c r="W1666" s="85">
        <f>STATS1003B!W1669/1000</f>
        <v>0</v>
      </c>
      <c r="X1666" s="85">
        <f t="shared" si="184"/>
        <v>8498.1550000000007</v>
      </c>
      <c r="Y1666" s="85">
        <f>STATS1003B!Y1669/1000</f>
        <v>0</v>
      </c>
      <c r="Z1666" s="85">
        <f>STATS1003B!Z1669/1000</f>
        <v>0</v>
      </c>
      <c r="AA1666" s="69">
        <f>STATS1003B!AA1669/1000</f>
        <v>8498.1550000000007</v>
      </c>
      <c r="AB1666" s="69">
        <f>STATS1003B!AB1669/1000</f>
        <v>0</v>
      </c>
    </row>
    <row r="1667" spans="1:28" hidden="1" x14ac:dyDescent="0.3">
      <c r="A1667" s="117"/>
      <c r="C1667" s="68" t="s">
        <v>57</v>
      </c>
      <c r="D1667" s="145" t="s">
        <v>60</v>
      </c>
      <c r="E1667" s="85">
        <f>STATS1003B!E1670/1000</f>
        <v>5563.875</v>
      </c>
      <c r="F1667" s="85">
        <f>STATS1003B!F1670/1000</f>
        <v>5563.875</v>
      </c>
      <c r="G1667" s="85">
        <f>STATS1003B!G1670/1000</f>
        <v>0</v>
      </c>
      <c r="H1667" s="85">
        <f>STATS1003B!H1670/1000</f>
        <v>5563.875</v>
      </c>
      <c r="I1667" s="85">
        <f>STATS1003B!I1670/1000</f>
        <v>0</v>
      </c>
      <c r="J1667" s="85">
        <f>STATS1003B!J1670/1000</f>
        <v>0</v>
      </c>
      <c r="K1667" s="85">
        <f>STATS1003B!K1670/1000</f>
        <v>0</v>
      </c>
      <c r="L1667" s="85">
        <f>STATS1003B!L1670/1000</f>
        <v>0</v>
      </c>
      <c r="M1667" s="85">
        <f>STATS1003B!M1670/1000</f>
        <v>5563.875</v>
      </c>
      <c r="N1667" s="85">
        <f>STATS1003B!N1670/1000</f>
        <v>0</v>
      </c>
      <c r="O1667" s="85">
        <f>STATS1003B!O1670/1000</f>
        <v>0</v>
      </c>
      <c r="P1667" s="85">
        <f>STATS1003B!P1670/1000</f>
        <v>0</v>
      </c>
      <c r="Q1667" s="85">
        <f>STATS1003B!Q1670/1000</f>
        <v>0</v>
      </c>
      <c r="R1667" s="85">
        <f>STATS1003B!R1670/1000</f>
        <v>0</v>
      </c>
      <c r="S1667" s="85">
        <f>STATS1003B!S1670/1000</f>
        <v>0</v>
      </c>
      <c r="T1667" s="85">
        <f>STATS1003B!T1670/1000</f>
        <v>0</v>
      </c>
      <c r="U1667" s="85">
        <f>STATS1003B!U1670/1000</f>
        <v>0</v>
      </c>
      <c r="V1667" s="85">
        <f>STATS1003B!V1670/1000</f>
        <v>5563.875</v>
      </c>
      <c r="W1667" s="85">
        <f>STATS1003B!W1670/1000</f>
        <v>0</v>
      </c>
      <c r="X1667" s="85">
        <f t="shared" si="184"/>
        <v>5563.875</v>
      </c>
      <c r="Y1667" s="85">
        <f>STATS1003B!Y1670/1000</f>
        <v>0</v>
      </c>
      <c r="Z1667" s="85">
        <f>STATS1003B!Z1670/1000</f>
        <v>0</v>
      </c>
      <c r="AA1667" s="69">
        <f>STATS1003B!AA1670/1000</f>
        <v>5563.875</v>
      </c>
      <c r="AB1667" s="69">
        <f>STATS1003B!AB1670/1000</f>
        <v>0</v>
      </c>
    </row>
    <row r="1668" spans="1:28" hidden="1" x14ac:dyDescent="0.3">
      <c r="A1668" s="117"/>
      <c r="C1668" s="71" t="s">
        <v>109</v>
      </c>
      <c r="D1668" s="88" t="s">
        <v>60</v>
      </c>
      <c r="E1668" s="85">
        <f>STATS1003B!E1671/1000</f>
        <v>4605.2440500000002</v>
      </c>
      <c r="F1668" s="85">
        <f>STATS1003B!F1671/1000</f>
        <v>4605.2440500000002</v>
      </c>
      <c r="G1668" s="85">
        <f>STATS1003B!G1671/1000</f>
        <v>0</v>
      </c>
      <c r="H1668" s="85">
        <f>STATS1003B!H1671/1000</f>
        <v>4605.2440500000002</v>
      </c>
      <c r="I1668" s="85">
        <f>STATS1003B!I1671/1000</f>
        <v>0</v>
      </c>
      <c r="J1668" s="85">
        <f>STATS1003B!J1671/1000</f>
        <v>0</v>
      </c>
      <c r="K1668" s="85">
        <f>STATS1003B!K1671/1000</f>
        <v>0</v>
      </c>
      <c r="L1668" s="85">
        <f>STATS1003B!L1671/1000</f>
        <v>0</v>
      </c>
      <c r="M1668" s="85">
        <f>STATS1003B!M1671/1000</f>
        <v>4605.2440500000002</v>
      </c>
      <c r="N1668" s="85">
        <f>STATS1003B!N1671/1000</f>
        <v>0</v>
      </c>
      <c r="O1668" s="85">
        <f>STATS1003B!O1671/1000</f>
        <v>0</v>
      </c>
      <c r="P1668" s="85">
        <f>STATS1003B!P1671/1000</f>
        <v>0</v>
      </c>
      <c r="Q1668" s="85">
        <f>STATS1003B!Q1671/1000</f>
        <v>0</v>
      </c>
      <c r="R1668" s="85">
        <f>STATS1003B!R1671/1000</f>
        <v>0</v>
      </c>
      <c r="S1668" s="85">
        <f>STATS1003B!S1671/1000</f>
        <v>0</v>
      </c>
      <c r="T1668" s="85">
        <f>STATS1003B!T1671/1000</f>
        <v>0</v>
      </c>
      <c r="U1668" s="85">
        <f>STATS1003B!U1671/1000</f>
        <v>0</v>
      </c>
      <c r="V1668" s="85">
        <f>STATS1003B!V1671/1000</f>
        <v>4605.2440500000002</v>
      </c>
      <c r="W1668" s="85">
        <f>STATS1003B!W1671/1000</f>
        <v>0</v>
      </c>
      <c r="X1668" s="85">
        <f t="shared" si="184"/>
        <v>4605.2440500000002</v>
      </c>
      <c r="Y1668" s="85">
        <f>STATS1003B!Y1671/1000</f>
        <v>0</v>
      </c>
      <c r="Z1668" s="85">
        <f>STATS1003B!Z1671/1000</f>
        <v>0</v>
      </c>
      <c r="AA1668" s="69">
        <f>STATS1003B!AA1671/1000</f>
        <v>4605.2440500000002</v>
      </c>
      <c r="AB1668" s="69">
        <f>STATS1003B!AB1671/1000</f>
        <v>0</v>
      </c>
    </row>
    <row r="1669" spans="1:28" hidden="1" x14ac:dyDescent="0.3">
      <c r="A1669" s="117"/>
      <c r="C1669" s="68" t="s">
        <v>57</v>
      </c>
      <c r="D1669" s="145" t="s">
        <v>73</v>
      </c>
      <c r="E1669" s="85">
        <f>STATS1003B!E1672/1000</f>
        <v>3293.0340000000001</v>
      </c>
      <c r="F1669" s="85">
        <f>STATS1003B!F1672/1000</f>
        <v>3293.0340000000001</v>
      </c>
      <c r="G1669" s="85">
        <f>STATS1003B!G1672/1000</f>
        <v>0</v>
      </c>
      <c r="H1669" s="85">
        <f>STATS1003B!H1672/1000</f>
        <v>3293.0340000000001</v>
      </c>
      <c r="I1669" s="85">
        <f>STATS1003B!I1672/1000</f>
        <v>0</v>
      </c>
      <c r="J1669" s="85">
        <f>STATS1003B!J1672/1000</f>
        <v>0</v>
      </c>
      <c r="K1669" s="85">
        <f>STATS1003B!K1672/1000</f>
        <v>0</v>
      </c>
      <c r="L1669" s="85">
        <f>STATS1003B!L1672/1000</f>
        <v>0</v>
      </c>
      <c r="M1669" s="85">
        <f>STATS1003B!M1672/1000</f>
        <v>3293.0340000000001</v>
      </c>
      <c r="N1669" s="85">
        <f>STATS1003B!N1672/1000</f>
        <v>0</v>
      </c>
      <c r="O1669" s="85">
        <f>STATS1003B!O1672/1000</f>
        <v>0</v>
      </c>
      <c r="P1669" s="85">
        <f>STATS1003B!P1672/1000</f>
        <v>0</v>
      </c>
      <c r="Q1669" s="85">
        <f>STATS1003B!Q1672/1000</f>
        <v>0</v>
      </c>
      <c r="R1669" s="85">
        <f>STATS1003B!R1672/1000</f>
        <v>0</v>
      </c>
      <c r="S1669" s="85">
        <f>STATS1003B!S1672/1000</f>
        <v>0</v>
      </c>
      <c r="T1669" s="85">
        <f>STATS1003B!T1672/1000</f>
        <v>0</v>
      </c>
      <c r="U1669" s="85">
        <f>STATS1003B!U1672/1000</f>
        <v>0</v>
      </c>
      <c r="V1669" s="85">
        <f>STATS1003B!V1672/1000</f>
        <v>3293.0340000000001</v>
      </c>
      <c r="W1669" s="85">
        <f>STATS1003B!W1672/1000</f>
        <v>0</v>
      </c>
      <c r="X1669" s="85">
        <f t="shared" si="184"/>
        <v>3293.0340000000001</v>
      </c>
      <c r="Y1669" s="85">
        <f>STATS1003B!Y1672/1000</f>
        <v>0</v>
      </c>
      <c r="Z1669" s="85">
        <f>STATS1003B!Z1672/1000</f>
        <v>0</v>
      </c>
      <c r="AA1669" s="69">
        <f>STATS1003B!AA1672/1000</f>
        <v>3293.0340000000001</v>
      </c>
      <c r="AB1669" s="69">
        <f>STATS1003B!AB1672/1000</f>
        <v>0</v>
      </c>
    </row>
    <row r="1670" spans="1:28" hidden="1" x14ac:dyDescent="0.3">
      <c r="A1670" s="117"/>
      <c r="C1670" s="68" t="s">
        <v>57</v>
      </c>
      <c r="D1670" s="90" t="s">
        <v>61</v>
      </c>
      <c r="E1670" s="85">
        <f>STATS1003B!E1673/1000</f>
        <v>750</v>
      </c>
      <c r="F1670" s="85">
        <f>STATS1003B!F1673/1000</f>
        <v>750</v>
      </c>
      <c r="G1670" s="85">
        <f>STATS1003B!G1673/1000</f>
        <v>0</v>
      </c>
      <c r="H1670" s="85">
        <f>STATS1003B!H1673/1000</f>
        <v>750</v>
      </c>
      <c r="I1670" s="85">
        <f>STATS1003B!I1673/1000</f>
        <v>0</v>
      </c>
      <c r="J1670" s="85">
        <f>STATS1003B!J1673/1000</f>
        <v>0</v>
      </c>
      <c r="K1670" s="85">
        <f>STATS1003B!K1673/1000</f>
        <v>0</v>
      </c>
      <c r="L1670" s="85">
        <f>STATS1003B!L1673/1000</f>
        <v>0</v>
      </c>
      <c r="M1670" s="85">
        <f>STATS1003B!M1673/1000</f>
        <v>750</v>
      </c>
      <c r="N1670" s="85">
        <f>STATS1003B!N1673/1000</f>
        <v>0</v>
      </c>
      <c r="O1670" s="85">
        <f>STATS1003B!O1673/1000</f>
        <v>0</v>
      </c>
      <c r="P1670" s="85">
        <f>STATS1003B!P1673/1000</f>
        <v>0</v>
      </c>
      <c r="Q1670" s="85">
        <f>STATS1003B!Q1673/1000</f>
        <v>0</v>
      </c>
      <c r="R1670" s="85">
        <f>STATS1003B!R1673/1000</f>
        <v>0</v>
      </c>
      <c r="S1670" s="85">
        <f>STATS1003B!S1673/1000</f>
        <v>0</v>
      </c>
      <c r="T1670" s="85">
        <f>STATS1003B!T1673/1000</f>
        <v>0</v>
      </c>
      <c r="U1670" s="85">
        <f>STATS1003B!U1673/1000</f>
        <v>0</v>
      </c>
      <c r="V1670" s="85">
        <f>STATS1003B!V1673/1000</f>
        <v>750</v>
      </c>
      <c r="W1670" s="85">
        <f>STATS1003B!W1673/1000</f>
        <v>0</v>
      </c>
      <c r="X1670" s="85">
        <f t="shared" si="184"/>
        <v>750</v>
      </c>
      <c r="Y1670" s="85">
        <f>STATS1003B!Y1673/1000</f>
        <v>0</v>
      </c>
      <c r="Z1670" s="85">
        <f>STATS1003B!Z1673/1000</f>
        <v>0</v>
      </c>
      <c r="AA1670" s="69">
        <f>STATS1003B!AA1673/1000</f>
        <v>750</v>
      </c>
      <c r="AB1670" s="69">
        <f>STATS1003B!AB1673/1000</f>
        <v>0</v>
      </c>
    </row>
    <row r="1671" spans="1:28" hidden="1" x14ac:dyDescent="0.3">
      <c r="A1671" s="117"/>
      <c r="C1671" s="68" t="s">
        <v>1165</v>
      </c>
      <c r="D1671" s="90" t="s">
        <v>1126</v>
      </c>
      <c r="E1671" s="85">
        <f>STATS1003B!E1674/1000</f>
        <v>300</v>
      </c>
      <c r="F1671" s="85">
        <f>STATS1003B!F1674/1000</f>
        <v>300</v>
      </c>
      <c r="G1671" s="85">
        <f>STATS1003B!G1674/1000</f>
        <v>0</v>
      </c>
      <c r="H1671" s="85">
        <f>STATS1003B!H1674/1000</f>
        <v>300</v>
      </c>
      <c r="I1671" s="85">
        <f>STATS1003B!I1674/1000</f>
        <v>0</v>
      </c>
      <c r="J1671" s="85">
        <f>STATS1003B!J1674/1000</f>
        <v>0</v>
      </c>
      <c r="K1671" s="85">
        <f>STATS1003B!K1674/1000</f>
        <v>0</v>
      </c>
      <c r="L1671" s="85">
        <f>STATS1003B!L1674/1000</f>
        <v>0</v>
      </c>
      <c r="M1671" s="85">
        <f>STATS1003B!M1674/1000</f>
        <v>300</v>
      </c>
      <c r="N1671" s="85">
        <f>STATS1003B!N1674/1000</f>
        <v>0</v>
      </c>
      <c r="O1671" s="85">
        <f>STATS1003B!O1674/1000</f>
        <v>0</v>
      </c>
      <c r="P1671" s="85">
        <f>STATS1003B!P1674/1000</f>
        <v>0</v>
      </c>
      <c r="Q1671" s="85">
        <f>STATS1003B!Q1674/1000</f>
        <v>0</v>
      </c>
      <c r="R1671" s="85">
        <f>STATS1003B!R1674/1000</f>
        <v>0</v>
      </c>
      <c r="S1671" s="85">
        <f>STATS1003B!S1674/1000</f>
        <v>0</v>
      </c>
      <c r="T1671" s="85">
        <f>STATS1003B!T1674/1000</f>
        <v>0</v>
      </c>
      <c r="U1671" s="85">
        <f>STATS1003B!U1674/1000</f>
        <v>0</v>
      </c>
      <c r="V1671" s="85">
        <f>STATS1003B!V1674/1000</f>
        <v>300</v>
      </c>
      <c r="W1671" s="85">
        <f>STATS1003B!W1674/1000</f>
        <v>0</v>
      </c>
      <c r="X1671" s="85">
        <f t="shared" si="184"/>
        <v>300</v>
      </c>
      <c r="Y1671" s="85">
        <f>STATS1003B!Y1674/1000</f>
        <v>0</v>
      </c>
      <c r="Z1671" s="85">
        <f>STATS1003B!Z1674/1000</f>
        <v>0</v>
      </c>
      <c r="AA1671" s="69">
        <f>STATS1003B!AA1674/1000</f>
        <v>300</v>
      </c>
      <c r="AB1671" s="69">
        <f>STATS1003B!AB1674/1000</f>
        <v>0</v>
      </c>
    </row>
    <row r="1672" spans="1:28" hidden="1" x14ac:dyDescent="0.3">
      <c r="A1672" s="117"/>
      <c r="C1672" s="68" t="s">
        <v>930</v>
      </c>
      <c r="D1672" s="90" t="s">
        <v>1072</v>
      </c>
      <c r="E1672" s="85">
        <f>STATS1003B!E1675/1000</f>
        <v>4444.9385400000001</v>
      </c>
      <c r="F1672" s="85">
        <f>STATS1003B!F1675/1000</f>
        <v>4444.9385380000003</v>
      </c>
      <c r="G1672" s="85">
        <f>STATS1003B!G1675/1000</f>
        <v>0</v>
      </c>
      <c r="H1672" s="85">
        <f>STATS1003B!H1675/1000</f>
        <v>4444.9385380000003</v>
      </c>
      <c r="I1672" s="85">
        <f>STATS1003B!I1675/1000</f>
        <v>0</v>
      </c>
      <c r="J1672" s="85">
        <f>STATS1003B!J1675/1000</f>
        <v>0</v>
      </c>
      <c r="K1672" s="85">
        <f>STATS1003B!K1675/1000</f>
        <v>0</v>
      </c>
      <c r="L1672" s="85">
        <f>STATS1003B!L1675/1000</f>
        <v>0</v>
      </c>
      <c r="M1672" s="85">
        <f>STATS1003B!M1675/1000</f>
        <v>4444.9385380000003</v>
      </c>
      <c r="N1672" s="85">
        <f>STATS1003B!N1675/1000</f>
        <v>0</v>
      </c>
      <c r="O1672" s="85">
        <f>STATS1003B!O1675/1000</f>
        <v>0</v>
      </c>
      <c r="P1672" s="85">
        <f>STATS1003B!P1675/1000</f>
        <v>0</v>
      </c>
      <c r="Q1672" s="85">
        <f>STATS1003B!Q1675/1000</f>
        <v>0</v>
      </c>
      <c r="R1672" s="85">
        <f>STATS1003B!R1675/1000</f>
        <v>0</v>
      </c>
      <c r="S1672" s="85">
        <f>STATS1003B!S1675/1000</f>
        <v>0</v>
      </c>
      <c r="T1672" s="85">
        <f>STATS1003B!T1675/1000</f>
        <v>0</v>
      </c>
      <c r="U1672" s="85">
        <f>STATS1003B!U1675/1000</f>
        <v>0</v>
      </c>
      <c r="V1672" s="85">
        <f>STATS1003B!V1675/1000</f>
        <v>4444.9385380000003</v>
      </c>
      <c r="W1672" s="85">
        <f>STATS1003B!W1675/1000</f>
        <v>1.9999993965029718E-6</v>
      </c>
      <c r="X1672" s="85">
        <f t="shared" si="184"/>
        <v>4444.9385380000003</v>
      </c>
      <c r="Y1672" s="85">
        <f>STATS1003B!Y1675/1000</f>
        <v>0</v>
      </c>
      <c r="Z1672" s="85">
        <f>STATS1003B!Z1675/1000</f>
        <v>1.9999993965029718E-6</v>
      </c>
      <c r="AA1672" s="69">
        <f>STATS1003B!AA1675/1000</f>
        <v>4444.9385380000003</v>
      </c>
      <c r="AB1672" s="69">
        <f>STATS1003B!AB1675/1000</f>
        <v>1.9999993965029718E-6</v>
      </c>
    </row>
    <row r="1673" spans="1:28" hidden="1" x14ac:dyDescent="0.3">
      <c r="A1673" s="117"/>
      <c r="C1673" s="68" t="s">
        <v>1194</v>
      </c>
      <c r="D1673" s="90" t="s">
        <v>1126</v>
      </c>
      <c r="E1673" s="85">
        <f>STATS1003B!E1676/1000</f>
        <v>1040.2108800000001</v>
      </c>
      <c r="F1673" s="85">
        <f>STATS1003B!F1676/1000</f>
        <v>1040.2108800000001</v>
      </c>
      <c r="G1673" s="85">
        <f>STATS1003B!G1676/1000</f>
        <v>0</v>
      </c>
      <c r="H1673" s="85">
        <f>STATS1003B!H1676/1000</f>
        <v>1040.2108800000001</v>
      </c>
      <c r="I1673" s="85">
        <f>STATS1003B!I1676/1000</f>
        <v>0</v>
      </c>
      <c r="J1673" s="85">
        <f>STATS1003B!J1676/1000</f>
        <v>0</v>
      </c>
      <c r="K1673" s="85">
        <f>STATS1003B!K1676/1000</f>
        <v>0</v>
      </c>
      <c r="L1673" s="85">
        <f>STATS1003B!L1676/1000</f>
        <v>0</v>
      </c>
      <c r="M1673" s="85">
        <f>STATS1003B!M1676/1000</f>
        <v>1040.2108800000001</v>
      </c>
      <c r="N1673" s="85">
        <f>STATS1003B!N1676/1000</f>
        <v>0</v>
      </c>
      <c r="O1673" s="85">
        <f>STATS1003B!O1676/1000</f>
        <v>0</v>
      </c>
      <c r="P1673" s="85">
        <f>STATS1003B!P1676/1000</f>
        <v>0</v>
      </c>
      <c r="Q1673" s="85">
        <f>STATS1003B!Q1676/1000</f>
        <v>0</v>
      </c>
      <c r="R1673" s="85">
        <f>STATS1003B!R1676/1000</f>
        <v>0</v>
      </c>
      <c r="S1673" s="85">
        <f>STATS1003B!S1676/1000</f>
        <v>0</v>
      </c>
      <c r="T1673" s="85">
        <f>STATS1003B!T1676/1000</f>
        <v>0</v>
      </c>
      <c r="U1673" s="85">
        <f>STATS1003B!U1676/1000</f>
        <v>0</v>
      </c>
      <c r="V1673" s="85">
        <f>STATS1003B!V1676/1000</f>
        <v>1040.2108800000001</v>
      </c>
      <c r="W1673" s="85">
        <f>STATS1003B!W1676/1000</f>
        <v>0</v>
      </c>
      <c r="X1673" s="85">
        <f t="shared" si="184"/>
        <v>1040.2108800000001</v>
      </c>
      <c r="Y1673" s="85">
        <f>STATS1003B!Y1676/1000</f>
        <v>0</v>
      </c>
      <c r="Z1673" s="85">
        <f>STATS1003B!Z1676/1000</f>
        <v>0</v>
      </c>
      <c r="AA1673" s="69">
        <f>STATS1003B!AA1676/1000</f>
        <v>1040.2108800000001</v>
      </c>
      <c r="AB1673" s="69">
        <f>STATS1003B!AB1676/1000</f>
        <v>0</v>
      </c>
    </row>
    <row r="1674" spans="1:28" hidden="1" x14ac:dyDescent="0.3">
      <c r="A1674" s="117"/>
      <c r="C1674" s="68" t="s">
        <v>1227</v>
      </c>
      <c r="D1674" s="91" t="s">
        <v>1225</v>
      </c>
      <c r="E1674" s="85">
        <f>STATS1003B!E1677/1000</f>
        <v>2124.0136600000001</v>
      </c>
      <c r="F1674" s="85">
        <f>STATS1003B!F1677/1000</f>
        <v>324.01365999999996</v>
      </c>
      <c r="G1674" s="85">
        <f>STATS1003B!G1677/1000</f>
        <v>1800</v>
      </c>
      <c r="H1674" s="85">
        <f>STATS1003B!H1677/1000</f>
        <v>2124.0136600000001</v>
      </c>
      <c r="I1674" s="85">
        <f>STATS1003B!I1677/1000</f>
        <v>0</v>
      </c>
      <c r="J1674" s="85">
        <f>STATS1003B!J1677/1000</f>
        <v>0</v>
      </c>
      <c r="K1674" s="85">
        <f>STATS1003B!K1677/1000</f>
        <v>0</v>
      </c>
      <c r="L1674" s="85">
        <f>STATS1003B!L1677/1000</f>
        <v>0</v>
      </c>
      <c r="M1674" s="85">
        <f>STATS1003B!M1677/1000</f>
        <v>2124.0136600000001</v>
      </c>
      <c r="N1674" s="85">
        <f>STATS1003B!N1677/1000</f>
        <v>0</v>
      </c>
      <c r="O1674" s="85">
        <f>STATS1003B!O1677/1000</f>
        <v>0</v>
      </c>
      <c r="P1674" s="85">
        <f>STATS1003B!P1677/1000</f>
        <v>0</v>
      </c>
      <c r="Q1674" s="85">
        <f>STATS1003B!Q1677/1000</f>
        <v>0</v>
      </c>
      <c r="R1674" s="85">
        <f>STATS1003B!R1677/1000</f>
        <v>0</v>
      </c>
      <c r="S1674" s="85">
        <f>STATS1003B!S1677/1000</f>
        <v>0</v>
      </c>
      <c r="T1674" s="85">
        <f>STATS1003B!T1677/1000</f>
        <v>0</v>
      </c>
      <c r="U1674" s="85">
        <f>STATS1003B!U1677/1000</f>
        <v>0</v>
      </c>
      <c r="V1674" s="85">
        <f>STATS1003B!V1677/1000</f>
        <v>2124.0136600000001</v>
      </c>
      <c r="W1674" s="85">
        <f>STATS1003B!W1677/1000</f>
        <v>0</v>
      </c>
      <c r="X1674" s="85">
        <f t="shared" si="184"/>
        <v>2124.0136600000001</v>
      </c>
      <c r="Y1674" s="85">
        <f>STATS1003B!Y1677/1000</f>
        <v>0</v>
      </c>
      <c r="Z1674" s="85">
        <f>STATS1003B!Z1677/1000</f>
        <v>0</v>
      </c>
      <c r="AA1674" s="69">
        <f>STATS1003B!AA1677/1000</f>
        <v>2124.0136600000001</v>
      </c>
      <c r="AB1674" s="69">
        <f>STATS1003B!AB1677/1000</f>
        <v>0</v>
      </c>
    </row>
    <row r="1675" spans="1:28" hidden="1" x14ac:dyDescent="0.3">
      <c r="A1675" s="117"/>
      <c r="C1675" s="68" t="s">
        <v>338</v>
      </c>
      <c r="D1675" s="90" t="s">
        <v>61</v>
      </c>
      <c r="E1675" s="85">
        <f>STATS1003B!E1678/1000</f>
        <v>500</v>
      </c>
      <c r="F1675" s="85">
        <f>STATS1003B!F1678/1000</f>
        <v>500</v>
      </c>
      <c r="G1675" s="85">
        <f>STATS1003B!G1678/1000</f>
        <v>0</v>
      </c>
      <c r="H1675" s="85">
        <f>STATS1003B!H1678/1000</f>
        <v>500</v>
      </c>
      <c r="I1675" s="85">
        <f>STATS1003B!I1678/1000</f>
        <v>500</v>
      </c>
      <c r="J1675" s="85">
        <f>STATS1003B!J1678/1000</f>
        <v>500</v>
      </c>
      <c r="K1675" s="85">
        <f>STATS1003B!K1678/1000</f>
        <v>0</v>
      </c>
      <c r="L1675" s="85">
        <f>STATS1003B!L1678/1000</f>
        <v>0</v>
      </c>
      <c r="M1675" s="85">
        <f>STATS1003B!M1678/1000</f>
        <v>500</v>
      </c>
      <c r="N1675" s="85">
        <f>STATS1003B!N1678/1000</f>
        <v>0</v>
      </c>
      <c r="O1675" s="85">
        <f>STATS1003B!O1678/1000</f>
        <v>0</v>
      </c>
      <c r="P1675" s="85">
        <f>STATS1003B!P1678/1000</f>
        <v>0</v>
      </c>
      <c r="Q1675" s="85">
        <f>STATS1003B!Q1678/1000</f>
        <v>0</v>
      </c>
      <c r="R1675" s="85">
        <f>STATS1003B!R1678/1000</f>
        <v>0</v>
      </c>
      <c r="S1675" s="85">
        <f>STATS1003B!S1678/1000</f>
        <v>0</v>
      </c>
      <c r="T1675" s="85">
        <f>STATS1003B!T1678/1000</f>
        <v>0</v>
      </c>
      <c r="U1675" s="85">
        <f>STATS1003B!U1678/1000</f>
        <v>0</v>
      </c>
      <c r="V1675" s="85">
        <f>STATS1003B!V1678/1000</f>
        <v>500</v>
      </c>
      <c r="W1675" s="85">
        <f>STATS1003B!W1678/1000</f>
        <v>0</v>
      </c>
      <c r="X1675" s="85">
        <f t="shared" si="184"/>
        <v>500</v>
      </c>
      <c r="Y1675" s="85">
        <f>STATS1003B!Y1678/1000</f>
        <v>0</v>
      </c>
      <c r="Z1675" s="85">
        <f>STATS1003B!Z1678/1000</f>
        <v>0</v>
      </c>
      <c r="AA1675" s="69">
        <f>STATS1003B!AA1678/1000</f>
        <v>500</v>
      </c>
      <c r="AB1675" s="69">
        <f>STATS1003B!AB1678/1000</f>
        <v>0</v>
      </c>
    </row>
    <row r="1676" spans="1:28" hidden="1" x14ac:dyDescent="0.3">
      <c r="A1676" s="117"/>
      <c r="C1676" s="68" t="s">
        <v>507</v>
      </c>
      <c r="D1676" s="90"/>
      <c r="E1676" s="85">
        <f>STATS1003B!E1679/1000</f>
        <v>2626.0839900000001</v>
      </c>
      <c r="F1676" s="85">
        <f>STATS1003B!F1679/1000</f>
        <v>2626.0839900000001</v>
      </c>
      <c r="G1676" s="85">
        <f>STATS1003B!G1679/1000</f>
        <v>0</v>
      </c>
      <c r="H1676" s="85">
        <f>STATS1003B!H1679/1000</f>
        <v>2626.0839900000001</v>
      </c>
      <c r="I1676" s="85">
        <f>STATS1003B!I1679/1000</f>
        <v>500</v>
      </c>
      <c r="J1676" s="85">
        <f>STATS1003B!J1679/1000</f>
        <v>500</v>
      </c>
      <c r="K1676" s="85">
        <f>STATS1003B!K1679/1000</f>
        <v>0</v>
      </c>
      <c r="L1676" s="85">
        <f>STATS1003B!L1679/1000</f>
        <v>0</v>
      </c>
      <c r="M1676" s="85">
        <f>STATS1003B!M1679/1000</f>
        <v>2626.0839900000001</v>
      </c>
      <c r="N1676" s="85">
        <f>STATS1003B!N1679/1000</f>
        <v>0</v>
      </c>
      <c r="O1676" s="85">
        <f>STATS1003B!O1679/1000</f>
        <v>0</v>
      </c>
      <c r="P1676" s="85">
        <f>STATS1003B!P1679/1000</f>
        <v>0</v>
      </c>
      <c r="Q1676" s="85">
        <f>STATS1003B!Q1679/1000</f>
        <v>0</v>
      </c>
      <c r="R1676" s="85">
        <f>STATS1003B!R1679/1000</f>
        <v>0</v>
      </c>
      <c r="S1676" s="85">
        <f>STATS1003B!S1679/1000</f>
        <v>0</v>
      </c>
      <c r="T1676" s="85">
        <f>STATS1003B!T1679/1000</f>
        <v>0</v>
      </c>
      <c r="U1676" s="85">
        <f>STATS1003B!U1679/1000</f>
        <v>0</v>
      </c>
      <c r="V1676" s="85">
        <f>STATS1003B!V1679/1000</f>
        <v>2626.0839900000001</v>
      </c>
      <c r="W1676" s="85">
        <f>STATS1003B!W1679/1000</f>
        <v>0</v>
      </c>
      <c r="X1676" s="85">
        <f t="shared" si="184"/>
        <v>2626.0839900000001</v>
      </c>
      <c r="Y1676" s="85">
        <f>STATS1003B!Y1679/1000</f>
        <v>0</v>
      </c>
      <c r="Z1676" s="85">
        <f>STATS1003B!Z1679/1000</f>
        <v>0</v>
      </c>
      <c r="AA1676" s="69">
        <f>STATS1003B!AA1679/1000</f>
        <v>2626.0839900000001</v>
      </c>
      <c r="AB1676" s="69">
        <f>STATS1003B!AB1679/1000</f>
        <v>0</v>
      </c>
    </row>
    <row r="1677" spans="1:28" hidden="1" x14ac:dyDescent="0.3">
      <c r="A1677" s="117"/>
      <c r="E1677" s="86" t="s">
        <v>29</v>
      </c>
      <c r="F1677" s="86" t="s">
        <v>29</v>
      </c>
      <c r="G1677" s="86" t="s">
        <v>29</v>
      </c>
      <c r="H1677" s="86" t="s">
        <v>29</v>
      </c>
      <c r="I1677" s="86" t="s">
        <v>29</v>
      </c>
      <c r="J1677" s="86" t="s">
        <v>29</v>
      </c>
      <c r="K1677" s="86" t="s">
        <v>29</v>
      </c>
      <c r="L1677" s="86" t="s">
        <v>29</v>
      </c>
      <c r="M1677" s="86" t="s">
        <v>29</v>
      </c>
      <c r="N1677" s="86" t="s">
        <v>29</v>
      </c>
      <c r="O1677" s="86" t="s">
        <v>29</v>
      </c>
      <c r="P1677" s="86" t="s">
        <v>29</v>
      </c>
      <c r="Q1677" s="86" t="s">
        <v>29</v>
      </c>
      <c r="R1677" s="86" t="s">
        <v>29</v>
      </c>
      <c r="S1677" s="86" t="s">
        <v>29</v>
      </c>
      <c r="T1677" s="86" t="s">
        <v>29</v>
      </c>
      <c r="U1677" s="86" t="s">
        <v>29</v>
      </c>
      <c r="V1677" s="86" t="s">
        <v>29</v>
      </c>
      <c r="W1677" s="86" t="s">
        <v>29</v>
      </c>
      <c r="X1677" s="85" t="e">
        <f t="shared" si="184"/>
        <v>#VALUE!</v>
      </c>
      <c r="Y1677" s="86" t="s">
        <v>29</v>
      </c>
      <c r="Z1677" s="86" t="s">
        <v>29</v>
      </c>
      <c r="AA1677" s="115" t="s">
        <v>29</v>
      </c>
      <c r="AB1677" s="115" t="s">
        <v>29</v>
      </c>
    </row>
    <row r="1678" spans="1:28" x14ac:dyDescent="0.3">
      <c r="A1678" s="116">
        <v>71</v>
      </c>
      <c r="B1678" s="68" t="s">
        <v>334</v>
      </c>
      <c r="E1678" s="85">
        <f>120527449.96/1000</f>
        <v>120527.44996</v>
      </c>
      <c r="F1678" s="85">
        <f t="shared" ref="F1678:AB1678" si="186">SUM(F1662:F1676)</f>
        <v>44541.657698000003</v>
      </c>
      <c r="G1678" s="85">
        <f t="shared" si="186"/>
        <v>1800</v>
      </c>
      <c r="H1678" s="85">
        <f>118759679.96/1000</f>
        <v>118759.67995999999</v>
      </c>
      <c r="I1678" s="85">
        <f t="shared" si="186"/>
        <v>1000</v>
      </c>
      <c r="J1678" s="85">
        <f t="shared" si="186"/>
        <v>1000</v>
      </c>
      <c r="K1678" s="85">
        <f t="shared" si="186"/>
        <v>0</v>
      </c>
      <c r="L1678" s="85">
        <f t="shared" si="186"/>
        <v>0</v>
      </c>
      <c r="M1678" s="85">
        <f t="shared" si="186"/>
        <v>46341.657698000003</v>
      </c>
      <c r="N1678" s="85">
        <f t="shared" si="186"/>
        <v>1767.77</v>
      </c>
      <c r="O1678" s="85">
        <f t="shared" si="186"/>
        <v>0</v>
      </c>
      <c r="P1678" s="85">
        <f>1767770/1000</f>
        <v>1767.77</v>
      </c>
      <c r="Q1678" s="85">
        <f t="shared" si="186"/>
        <v>0</v>
      </c>
      <c r="R1678" s="85">
        <f t="shared" si="186"/>
        <v>0</v>
      </c>
      <c r="S1678" s="85">
        <f t="shared" si="186"/>
        <v>0</v>
      </c>
      <c r="T1678" s="85">
        <f t="shared" si="186"/>
        <v>0</v>
      </c>
      <c r="U1678" s="85">
        <f t="shared" si="186"/>
        <v>1767.77</v>
      </c>
      <c r="V1678" s="85">
        <f t="shared" si="186"/>
        <v>48109.427698</v>
      </c>
      <c r="W1678" s="85">
        <f t="shared" si="186"/>
        <v>1.9999993965029718E-6</v>
      </c>
      <c r="X1678" s="85">
        <f>+H1678+P1678</f>
        <v>120527.44996</v>
      </c>
      <c r="Y1678" s="85">
        <f t="shared" si="186"/>
        <v>0</v>
      </c>
      <c r="Z1678" s="85">
        <f>+E1678-X1678</f>
        <v>0</v>
      </c>
      <c r="AA1678" s="69">
        <f t="shared" si="186"/>
        <v>48109.427698</v>
      </c>
      <c r="AB1678" s="69">
        <f t="shared" si="186"/>
        <v>1.9999993965029718E-6</v>
      </c>
    </row>
    <row r="1679" spans="1:28" hidden="1" x14ac:dyDescent="0.3">
      <c r="A1679" s="117"/>
      <c r="E1679" s="86" t="s">
        <v>29</v>
      </c>
      <c r="F1679" s="86" t="s">
        <v>29</v>
      </c>
      <c r="G1679" s="86" t="s">
        <v>29</v>
      </c>
      <c r="H1679" s="86" t="s">
        <v>29</v>
      </c>
      <c r="I1679" s="86" t="s">
        <v>29</v>
      </c>
      <c r="J1679" s="86" t="s">
        <v>29</v>
      </c>
      <c r="K1679" s="86" t="s">
        <v>29</v>
      </c>
      <c r="L1679" s="86" t="s">
        <v>29</v>
      </c>
      <c r="M1679" s="86" t="s">
        <v>29</v>
      </c>
      <c r="N1679" s="86" t="s">
        <v>29</v>
      </c>
      <c r="O1679" s="86" t="s">
        <v>29</v>
      </c>
      <c r="P1679" s="86" t="s">
        <v>29</v>
      </c>
      <c r="Q1679" s="86" t="s">
        <v>29</v>
      </c>
      <c r="R1679" s="86" t="s">
        <v>29</v>
      </c>
      <c r="S1679" s="86" t="s">
        <v>29</v>
      </c>
      <c r="T1679" s="86" t="s">
        <v>29</v>
      </c>
      <c r="U1679" s="86" t="s">
        <v>29</v>
      </c>
      <c r="V1679" s="86" t="s">
        <v>29</v>
      </c>
      <c r="W1679" s="86" t="s">
        <v>29</v>
      </c>
      <c r="X1679" s="85" t="e">
        <f t="shared" si="184"/>
        <v>#VALUE!</v>
      </c>
      <c r="Y1679" s="86" t="s">
        <v>29</v>
      </c>
      <c r="Z1679" s="86" t="s">
        <v>29</v>
      </c>
      <c r="AA1679" s="115" t="s">
        <v>29</v>
      </c>
      <c r="AB1679" s="115" t="s">
        <v>29</v>
      </c>
    </row>
    <row r="1680" spans="1:28" hidden="1" x14ac:dyDescent="0.3">
      <c r="A1680" s="105"/>
      <c r="E1680" s="84"/>
      <c r="F1680" s="84"/>
      <c r="G1680" s="84"/>
      <c r="H1680" s="84"/>
      <c r="I1680" s="84"/>
      <c r="J1680" s="84"/>
      <c r="K1680" s="84"/>
      <c r="L1680" s="84"/>
      <c r="M1680" s="84"/>
      <c r="N1680" s="84"/>
      <c r="O1680" s="84"/>
      <c r="P1680" s="84"/>
      <c r="Q1680" s="84"/>
      <c r="R1680" s="84"/>
      <c r="S1680" s="84"/>
      <c r="T1680" s="84"/>
      <c r="U1680" s="84"/>
      <c r="V1680" s="84"/>
      <c r="W1680" s="84"/>
      <c r="X1680" s="85">
        <f t="shared" si="184"/>
        <v>0</v>
      </c>
      <c r="Y1680" s="84"/>
      <c r="Z1680" s="84"/>
    </row>
    <row r="1681" spans="1:28" hidden="1" x14ac:dyDescent="0.3">
      <c r="A1681" s="117"/>
      <c r="C1681" s="68" t="s">
        <v>57</v>
      </c>
      <c r="D1681" s="145" t="s">
        <v>340</v>
      </c>
      <c r="E1681" s="85">
        <f>STATS1003B!E1684/1000</f>
        <v>10504.91784</v>
      </c>
      <c r="F1681" s="85">
        <f>STATS1003B!F1684/1000</f>
        <v>10500</v>
      </c>
      <c r="G1681" s="85">
        <f>STATS1003B!G1684/1000</f>
        <v>0</v>
      </c>
      <c r="H1681" s="85">
        <f>STATS1003B!H1684/1000</f>
        <v>10500</v>
      </c>
      <c r="I1681" s="85">
        <f>STATS1003B!I1684/1000</f>
        <v>0</v>
      </c>
      <c r="J1681" s="85">
        <f>STATS1003B!J1684/1000</f>
        <v>0</v>
      </c>
      <c r="K1681" s="85">
        <f>STATS1003B!K1684/1000</f>
        <v>0</v>
      </c>
      <c r="L1681" s="85">
        <f>STATS1003B!L1684/1000</f>
        <v>0</v>
      </c>
      <c r="M1681" s="85">
        <f>STATS1003B!M1684/1000</f>
        <v>10500</v>
      </c>
      <c r="N1681" s="85">
        <f>STATS1003B!N1684/1000</f>
        <v>4.91784</v>
      </c>
      <c r="O1681" s="85">
        <f>STATS1003B!O1684/1000</f>
        <v>0</v>
      </c>
      <c r="P1681" s="85">
        <f>STATS1003B!P1684/1000</f>
        <v>4.91784</v>
      </c>
      <c r="Q1681" s="85">
        <f>STATS1003B!Q1684/1000</f>
        <v>0</v>
      </c>
      <c r="R1681" s="85">
        <f>STATS1003B!R1684/1000</f>
        <v>0</v>
      </c>
      <c r="S1681" s="85">
        <f>STATS1003B!S1684/1000</f>
        <v>0</v>
      </c>
      <c r="T1681" s="85">
        <f>STATS1003B!T1684/1000</f>
        <v>0</v>
      </c>
      <c r="U1681" s="85">
        <f>STATS1003B!U1684/1000</f>
        <v>4.91784</v>
      </c>
      <c r="V1681" s="85">
        <f>STATS1003B!V1684/1000</f>
        <v>10504.91784</v>
      </c>
      <c r="W1681" s="85">
        <f>STATS1003B!W1684/1000</f>
        <v>0</v>
      </c>
      <c r="X1681" s="85">
        <f t="shared" si="184"/>
        <v>10504.91784</v>
      </c>
      <c r="Y1681" s="85">
        <f>STATS1003B!Y1684/1000</f>
        <v>0</v>
      </c>
      <c r="Z1681" s="85">
        <f>STATS1003B!Z1684/1000</f>
        <v>0</v>
      </c>
      <c r="AA1681" s="69">
        <f>STATS1003B!AA1684/1000</f>
        <v>10504.91784</v>
      </c>
      <c r="AB1681" s="69">
        <f>STATS1003B!AB1684/1000</f>
        <v>0</v>
      </c>
    </row>
    <row r="1682" spans="1:28" hidden="1" x14ac:dyDescent="0.3">
      <c r="A1682" s="117"/>
      <c r="C1682" s="68" t="s">
        <v>53</v>
      </c>
      <c r="D1682" s="145" t="s">
        <v>54</v>
      </c>
      <c r="E1682" s="85">
        <f>STATS1003B!E1685/1000</f>
        <v>1953.989</v>
      </c>
      <c r="F1682" s="85">
        <f>STATS1003B!F1685/1000</f>
        <v>0</v>
      </c>
      <c r="G1682" s="85">
        <f>STATS1003B!G1685/1000</f>
        <v>0</v>
      </c>
      <c r="H1682" s="85">
        <f>STATS1003B!H1685/1000</f>
        <v>0</v>
      </c>
      <c r="I1682" s="85">
        <f>STATS1003B!I1685/1000</f>
        <v>0</v>
      </c>
      <c r="J1682" s="85">
        <f>STATS1003B!J1685/1000</f>
        <v>0</v>
      </c>
      <c r="K1682" s="85">
        <f>STATS1003B!K1685/1000</f>
        <v>0</v>
      </c>
      <c r="L1682" s="85">
        <f>STATS1003B!L1685/1000</f>
        <v>0</v>
      </c>
      <c r="M1682" s="85">
        <f>STATS1003B!M1685/1000</f>
        <v>0</v>
      </c>
      <c r="N1682" s="85">
        <f>STATS1003B!N1685/1000</f>
        <v>1953.989</v>
      </c>
      <c r="O1682" s="85">
        <f>STATS1003B!O1685/1000</f>
        <v>0</v>
      </c>
      <c r="P1682" s="85">
        <f>STATS1003B!P1685/1000</f>
        <v>1953.989</v>
      </c>
      <c r="Q1682" s="85">
        <f>STATS1003B!Q1685/1000</f>
        <v>0</v>
      </c>
      <c r="R1682" s="85">
        <f>STATS1003B!R1685/1000</f>
        <v>0</v>
      </c>
      <c r="S1682" s="85">
        <f>STATS1003B!S1685/1000</f>
        <v>0</v>
      </c>
      <c r="T1682" s="85">
        <f>STATS1003B!T1685/1000</f>
        <v>0</v>
      </c>
      <c r="U1682" s="85">
        <f>STATS1003B!U1685/1000</f>
        <v>1953.989</v>
      </c>
      <c r="V1682" s="85">
        <f>STATS1003B!V1685/1000</f>
        <v>1953.989</v>
      </c>
      <c r="W1682" s="85">
        <f>STATS1003B!W1685/1000</f>
        <v>0</v>
      </c>
      <c r="X1682" s="85">
        <f t="shared" si="184"/>
        <v>1953.989</v>
      </c>
      <c r="Y1682" s="85">
        <f>STATS1003B!Y1685/1000</f>
        <v>0</v>
      </c>
      <c r="Z1682" s="85">
        <f>STATS1003B!Z1685/1000</f>
        <v>0</v>
      </c>
      <c r="AA1682" s="69">
        <f>STATS1003B!AA1685/1000</f>
        <v>1953.989</v>
      </c>
      <c r="AB1682" s="69">
        <f>STATS1003B!AB1685/1000</f>
        <v>0</v>
      </c>
    </row>
    <row r="1683" spans="1:28" hidden="1" x14ac:dyDescent="0.3">
      <c r="A1683" s="117"/>
      <c r="C1683" s="68" t="s">
        <v>330</v>
      </c>
      <c r="D1683" s="145" t="s">
        <v>54</v>
      </c>
      <c r="E1683" s="85">
        <f>STATS1003B!E1686/1000</f>
        <v>0</v>
      </c>
      <c r="F1683" s="85">
        <f>STATS1003B!F1686/1000</f>
        <v>0</v>
      </c>
      <c r="G1683" s="85">
        <f>STATS1003B!G1686/1000</f>
        <v>0</v>
      </c>
      <c r="H1683" s="85">
        <f>STATS1003B!H1686/1000</f>
        <v>0</v>
      </c>
      <c r="I1683" s="85">
        <f>STATS1003B!I1686/1000</f>
        <v>0</v>
      </c>
      <c r="J1683" s="85">
        <f>STATS1003B!J1686/1000</f>
        <v>0</v>
      </c>
      <c r="K1683" s="85">
        <f>STATS1003B!K1686/1000</f>
        <v>0</v>
      </c>
      <c r="L1683" s="85">
        <f>STATS1003B!L1686/1000</f>
        <v>0</v>
      </c>
      <c r="M1683" s="85">
        <f>STATS1003B!M1686/1000</f>
        <v>0</v>
      </c>
      <c r="N1683" s="85">
        <f>STATS1003B!N1686/1000</f>
        <v>0</v>
      </c>
      <c r="O1683" s="85">
        <f>STATS1003B!O1686/1000</f>
        <v>0</v>
      </c>
      <c r="P1683" s="85">
        <f>STATS1003B!P1686/1000</f>
        <v>0</v>
      </c>
      <c r="Q1683" s="85">
        <f>STATS1003B!Q1686/1000</f>
        <v>0</v>
      </c>
      <c r="R1683" s="85">
        <f>STATS1003B!R1686/1000</f>
        <v>0</v>
      </c>
      <c r="S1683" s="85">
        <f>STATS1003B!S1686/1000</f>
        <v>0</v>
      </c>
      <c r="T1683" s="85">
        <f>STATS1003B!T1686/1000</f>
        <v>0</v>
      </c>
      <c r="U1683" s="85">
        <f>STATS1003B!U1686/1000</f>
        <v>0</v>
      </c>
      <c r="V1683" s="85">
        <f>STATS1003B!V1686/1000</f>
        <v>0</v>
      </c>
      <c r="W1683" s="85">
        <f>STATS1003B!W1686/1000</f>
        <v>0</v>
      </c>
      <c r="X1683" s="85">
        <f t="shared" si="184"/>
        <v>0</v>
      </c>
      <c r="Y1683" s="85">
        <f>STATS1003B!Y1686/1000</f>
        <v>0</v>
      </c>
      <c r="Z1683" s="85">
        <f>STATS1003B!Z1686/1000</f>
        <v>0</v>
      </c>
      <c r="AA1683" s="69">
        <f>STATS1003B!AA1686/1000</f>
        <v>0</v>
      </c>
      <c r="AB1683" s="69">
        <f>STATS1003B!AB1686/1000</f>
        <v>0</v>
      </c>
    </row>
    <row r="1684" spans="1:28" hidden="1" x14ac:dyDescent="0.3">
      <c r="A1684" s="117" t="s">
        <v>1107</v>
      </c>
      <c r="C1684" s="68" t="s">
        <v>55</v>
      </c>
      <c r="D1684" s="145" t="s">
        <v>88</v>
      </c>
      <c r="E1684" s="85">
        <f>STATS1003B!E1687/1000</f>
        <v>688.14</v>
      </c>
      <c r="F1684" s="85">
        <f>STATS1003B!F1687/1000</f>
        <v>0</v>
      </c>
      <c r="G1684" s="85">
        <f>STATS1003B!G1687/1000</f>
        <v>0</v>
      </c>
      <c r="H1684" s="85">
        <f>STATS1003B!H1687/1000</f>
        <v>0</v>
      </c>
      <c r="I1684" s="85">
        <f>STATS1003B!I1687/1000</f>
        <v>0</v>
      </c>
      <c r="J1684" s="85">
        <f>STATS1003B!J1687/1000</f>
        <v>0</v>
      </c>
      <c r="K1684" s="85">
        <f>STATS1003B!K1687/1000</f>
        <v>0</v>
      </c>
      <c r="L1684" s="85">
        <f>STATS1003B!L1687/1000</f>
        <v>0</v>
      </c>
      <c r="M1684" s="85">
        <f>STATS1003B!M1687/1000</f>
        <v>0</v>
      </c>
      <c r="N1684" s="85">
        <f>STATS1003B!N1687/1000</f>
        <v>688.14</v>
      </c>
      <c r="O1684" s="85">
        <f>STATS1003B!O1687/1000</f>
        <v>0</v>
      </c>
      <c r="P1684" s="85">
        <f>STATS1003B!P1687/1000</f>
        <v>688.14</v>
      </c>
      <c r="Q1684" s="85">
        <f>STATS1003B!Q1687/1000</f>
        <v>0</v>
      </c>
      <c r="R1684" s="85">
        <f>STATS1003B!R1687/1000</f>
        <v>0</v>
      </c>
      <c r="S1684" s="85">
        <f>STATS1003B!S1687/1000</f>
        <v>0</v>
      </c>
      <c r="T1684" s="85">
        <f>STATS1003B!T1687/1000</f>
        <v>0</v>
      </c>
      <c r="U1684" s="85">
        <f>STATS1003B!U1687/1000</f>
        <v>688.14</v>
      </c>
      <c r="V1684" s="85">
        <f>STATS1003B!V1687/1000</f>
        <v>688.14</v>
      </c>
      <c r="W1684" s="85">
        <f>STATS1003B!W1687/1000</f>
        <v>0</v>
      </c>
      <c r="X1684" s="85">
        <f t="shared" si="184"/>
        <v>688.14</v>
      </c>
      <c r="Y1684" s="85">
        <f>STATS1003B!Y1687/1000</f>
        <v>0</v>
      </c>
      <c r="Z1684" s="85">
        <f>STATS1003B!Z1687/1000</f>
        <v>0</v>
      </c>
      <c r="AA1684" s="69">
        <f>STATS1003B!AA1687/1000</f>
        <v>688.14</v>
      </c>
      <c r="AB1684" s="69">
        <f>STATS1003B!AB1687/1000</f>
        <v>0</v>
      </c>
    </row>
    <row r="1685" spans="1:28" hidden="1" x14ac:dyDescent="0.3">
      <c r="A1685" s="117"/>
      <c r="C1685" s="68" t="s">
        <v>341</v>
      </c>
      <c r="D1685" s="145" t="s">
        <v>88</v>
      </c>
      <c r="E1685" s="85">
        <f>STATS1003B!E1688/1000</f>
        <v>4465.2441600000002</v>
      </c>
      <c r="F1685" s="85">
        <f>STATS1003B!F1688/1000</f>
        <v>4465.2441600000002</v>
      </c>
      <c r="G1685" s="85">
        <f>STATS1003B!G1688/1000</f>
        <v>0</v>
      </c>
      <c r="H1685" s="85">
        <f>STATS1003B!H1688/1000</f>
        <v>4465.2441600000002</v>
      </c>
      <c r="I1685" s="85">
        <f>STATS1003B!I1688/1000</f>
        <v>0</v>
      </c>
      <c r="J1685" s="85">
        <f>STATS1003B!J1688/1000</f>
        <v>0</v>
      </c>
      <c r="K1685" s="85">
        <f>STATS1003B!K1688/1000</f>
        <v>0</v>
      </c>
      <c r="L1685" s="85">
        <f>STATS1003B!L1688/1000</f>
        <v>0</v>
      </c>
      <c r="M1685" s="85">
        <f>STATS1003B!M1688/1000</f>
        <v>4465.2441600000002</v>
      </c>
      <c r="N1685" s="85">
        <f>STATS1003B!N1688/1000</f>
        <v>0</v>
      </c>
      <c r="O1685" s="85">
        <f>STATS1003B!O1688/1000</f>
        <v>0</v>
      </c>
      <c r="P1685" s="85">
        <f>STATS1003B!P1688/1000</f>
        <v>0</v>
      </c>
      <c r="Q1685" s="85">
        <f>STATS1003B!Q1688/1000</f>
        <v>0</v>
      </c>
      <c r="R1685" s="85">
        <f>STATS1003B!R1688/1000</f>
        <v>0</v>
      </c>
      <c r="S1685" s="85">
        <f>STATS1003B!S1688/1000</f>
        <v>0</v>
      </c>
      <c r="T1685" s="85">
        <f>STATS1003B!T1688/1000</f>
        <v>0</v>
      </c>
      <c r="U1685" s="85">
        <f>STATS1003B!U1688/1000</f>
        <v>0</v>
      </c>
      <c r="V1685" s="85">
        <f>STATS1003B!V1688/1000</f>
        <v>4465.2441600000002</v>
      </c>
      <c r="W1685" s="85">
        <f>STATS1003B!W1688/1000</f>
        <v>0</v>
      </c>
      <c r="X1685" s="85">
        <f t="shared" si="184"/>
        <v>4465.2441600000002</v>
      </c>
      <c r="Y1685" s="85">
        <f>STATS1003B!Y1688/1000</f>
        <v>0</v>
      </c>
      <c r="Z1685" s="85">
        <f>STATS1003B!Z1688/1000</f>
        <v>0</v>
      </c>
      <c r="AA1685" s="69">
        <f>STATS1003B!AA1688/1000</f>
        <v>4465.2441600000002</v>
      </c>
      <c r="AB1685" s="69">
        <f>STATS1003B!AB1688/1000</f>
        <v>0</v>
      </c>
    </row>
    <row r="1686" spans="1:28" hidden="1" x14ac:dyDescent="0.3">
      <c r="A1686" s="117"/>
      <c r="C1686" s="68" t="s">
        <v>57</v>
      </c>
      <c r="D1686" s="145" t="s">
        <v>58</v>
      </c>
      <c r="E1686" s="85">
        <f>STATS1003B!E1689/1000</f>
        <v>5372.4920599999996</v>
      </c>
      <c r="F1686" s="85">
        <f>STATS1003B!F1689/1000</f>
        <v>5372.4920599999996</v>
      </c>
      <c r="G1686" s="85">
        <f>STATS1003B!G1689/1000</f>
        <v>0</v>
      </c>
      <c r="H1686" s="85">
        <f>STATS1003B!H1689/1000</f>
        <v>5372.4920599999996</v>
      </c>
      <c r="I1686" s="85">
        <f>STATS1003B!I1689/1000</f>
        <v>0</v>
      </c>
      <c r="J1686" s="85">
        <f>STATS1003B!J1689/1000</f>
        <v>0</v>
      </c>
      <c r="K1686" s="85">
        <f>STATS1003B!K1689/1000</f>
        <v>0</v>
      </c>
      <c r="L1686" s="85">
        <f>STATS1003B!L1689/1000</f>
        <v>0</v>
      </c>
      <c r="M1686" s="85">
        <f>STATS1003B!M1689/1000</f>
        <v>5372.4920599999996</v>
      </c>
      <c r="N1686" s="85">
        <f>STATS1003B!N1689/1000</f>
        <v>0</v>
      </c>
      <c r="O1686" s="85">
        <f>STATS1003B!O1689/1000</f>
        <v>0</v>
      </c>
      <c r="P1686" s="85">
        <f>STATS1003B!P1689/1000</f>
        <v>0</v>
      </c>
      <c r="Q1686" s="85">
        <f>STATS1003B!Q1689/1000</f>
        <v>0</v>
      </c>
      <c r="R1686" s="85">
        <f>STATS1003B!R1689/1000</f>
        <v>0</v>
      </c>
      <c r="S1686" s="85">
        <f>STATS1003B!S1689/1000</f>
        <v>0</v>
      </c>
      <c r="T1686" s="85">
        <f>STATS1003B!T1689/1000</f>
        <v>0</v>
      </c>
      <c r="U1686" s="85">
        <f>STATS1003B!U1689/1000</f>
        <v>0</v>
      </c>
      <c r="V1686" s="85">
        <f>STATS1003B!V1689/1000</f>
        <v>5372.4920599999996</v>
      </c>
      <c r="W1686" s="85">
        <f>STATS1003B!W1689/1000</f>
        <v>0</v>
      </c>
      <c r="X1686" s="85">
        <f t="shared" si="184"/>
        <v>5372.4920599999996</v>
      </c>
      <c r="Y1686" s="85">
        <f>STATS1003B!Y1689/1000</f>
        <v>0</v>
      </c>
      <c r="Z1686" s="85">
        <f>STATS1003B!Z1689/1000</f>
        <v>0</v>
      </c>
      <c r="AA1686" s="69">
        <f>STATS1003B!AA1689/1000</f>
        <v>5372.4920599999996</v>
      </c>
      <c r="AB1686" s="69">
        <f>STATS1003B!AB1689/1000</f>
        <v>0</v>
      </c>
    </row>
    <row r="1687" spans="1:28" hidden="1" x14ac:dyDescent="0.3">
      <c r="A1687" s="117"/>
      <c r="C1687" s="68" t="s">
        <v>57</v>
      </c>
      <c r="D1687" s="145" t="s">
        <v>60</v>
      </c>
      <c r="E1687" s="85">
        <f>STATS1003B!E1690/1000</f>
        <v>4347.3649999999998</v>
      </c>
      <c r="F1687" s="85">
        <f>STATS1003B!F1690/1000</f>
        <v>4347.3649999999998</v>
      </c>
      <c r="G1687" s="85">
        <f>STATS1003B!G1690/1000</f>
        <v>0</v>
      </c>
      <c r="H1687" s="85">
        <f>STATS1003B!H1690/1000</f>
        <v>4347.3649999999998</v>
      </c>
      <c r="I1687" s="85">
        <f>STATS1003B!I1690/1000</f>
        <v>0</v>
      </c>
      <c r="J1687" s="85">
        <f>STATS1003B!J1690/1000</f>
        <v>0</v>
      </c>
      <c r="K1687" s="85">
        <f>STATS1003B!K1690/1000</f>
        <v>0</v>
      </c>
      <c r="L1687" s="85">
        <f>STATS1003B!L1690/1000</f>
        <v>0</v>
      </c>
      <c r="M1687" s="85">
        <f>STATS1003B!M1690/1000</f>
        <v>4347.3649999999998</v>
      </c>
      <c r="N1687" s="85">
        <f>STATS1003B!N1690/1000</f>
        <v>0</v>
      </c>
      <c r="O1687" s="85">
        <f>STATS1003B!O1690/1000</f>
        <v>0</v>
      </c>
      <c r="P1687" s="85">
        <f>STATS1003B!P1690/1000</f>
        <v>0</v>
      </c>
      <c r="Q1687" s="85">
        <f>STATS1003B!Q1690/1000</f>
        <v>0</v>
      </c>
      <c r="R1687" s="85">
        <f>STATS1003B!R1690/1000</f>
        <v>0</v>
      </c>
      <c r="S1687" s="85">
        <f>STATS1003B!S1690/1000</f>
        <v>0</v>
      </c>
      <c r="T1687" s="85">
        <f>STATS1003B!T1690/1000</f>
        <v>0</v>
      </c>
      <c r="U1687" s="85">
        <f>STATS1003B!U1690/1000</f>
        <v>0</v>
      </c>
      <c r="V1687" s="85">
        <f>STATS1003B!V1690/1000</f>
        <v>4347.3649999999998</v>
      </c>
      <c r="W1687" s="85">
        <f>STATS1003B!W1690/1000</f>
        <v>0</v>
      </c>
      <c r="X1687" s="85">
        <f t="shared" si="184"/>
        <v>4347.3649999999998</v>
      </c>
      <c r="Y1687" s="85">
        <f>STATS1003B!Y1690/1000</f>
        <v>0</v>
      </c>
      <c r="Z1687" s="85">
        <f>STATS1003B!Z1690/1000</f>
        <v>0</v>
      </c>
      <c r="AA1687" s="69">
        <f>STATS1003B!AA1690/1000</f>
        <v>4347.3649999999998</v>
      </c>
      <c r="AB1687" s="69">
        <f>STATS1003B!AB1690/1000</f>
        <v>0</v>
      </c>
    </row>
    <row r="1688" spans="1:28" hidden="1" x14ac:dyDescent="0.3">
      <c r="A1688" s="117"/>
      <c r="C1688" s="68" t="s">
        <v>57</v>
      </c>
      <c r="D1688" s="145" t="s">
        <v>73</v>
      </c>
      <c r="E1688" s="85">
        <f>STATS1003B!E1691/1000</f>
        <v>1141</v>
      </c>
      <c r="F1688" s="85">
        <f>STATS1003B!F1691/1000</f>
        <v>1141</v>
      </c>
      <c r="G1688" s="85">
        <f>STATS1003B!G1691/1000</f>
        <v>0</v>
      </c>
      <c r="H1688" s="85">
        <f>STATS1003B!H1691/1000</f>
        <v>1141</v>
      </c>
      <c r="I1688" s="85">
        <f>STATS1003B!I1691/1000</f>
        <v>0</v>
      </c>
      <c r="J1688" s="85">
        <f>STATS1003B!J1691/1000</f>
        <v>0</v>
      </c>
      <c r="K1688" s="85">
        <f>STATS1003B!K1691/1000</f>
        <v>0</v>
      </c>
      <c r="L1688" s="85">
        <f>STATS1003B!L1691/1000</f>
        <v>0</v>
      </c>
      <c r="M1688" s="85">
        <f>STATS1003B!M1691/1000</f>
        <v>1141</v>
      </c>
      <c r="N1688" s="85">
        <f>STATS1003B!N1691/1000</f>
        <v>0</v>
      </c>
      <c r="O1688" s="85">
        <f>STATS1003B!O1691/1000</f>
        <v>0</v>
      </c>
      <c r="P1688" s="85">
        <f>STATS1003B!P1691/1000</f>
        <v>0</v>
      </c>
      <c r="Q1688" s="85">
        <f>STATS1003B!Q1691/1000</f>
        <v>0</v>
      </c>
      <c r="R1688" s="85">
        <f>STATS1003B!R1691/1000</f>
        <v>0</v>
      </c>
      <c r="S1688" s="85">
        <f>STATS1003B!S1691/1000</f>
        <v>0</v>
      </c>
      <c r="T1688" s="85">
        <f>STATS1003B!T1691/1000</f>
        <v>0</v>
      </c>
      <c r="U1688" s="85">
        <f>STATS1003B!U1691/1000</f>
        <v>0</v>
      </c>
      <c r="V1688" s="85">
        <f>STATS1003B!V1691/1000</f>
        <v>1141</v>
      </c>
      <c r="W1688" s="85">
        <f>STATS1003B!W1691/1000</f>
        <v>0</v>
      </c>
      <c r="X1688" s="85">
        <f t="shared" si="184"/>
        <v>1141</v>
      </c>
      <c r="Y1688" s="85">
        <f>STATS1003B!Y1691/1000</f>
        <v>0</v>
      </c>
      <c r="Z1688" s="85">
        <f>STATS1003B!Z1691/1000</f>
        <v>0</v>
      </c>
      <c r="AA1688" s="69">
        <f>STATS1003B!AA1691/1000</f>
        <v>1141</v>
      </c>
      <c r="AB1688" s="69">
        <f>STATS1003B!AB1691/1000</f>
        <v>0</v>
      </c>
    </row>
    <row r="1689" spans="1:28" hidden="1" x14ac:dyDescent="0.3">
      <c r="A1689" s="117"/>
      <c r="C1689" s="71" t="s">
        <v>109</v>
      </c>
      <c r="D1689" s="88" t="s">
        <v>60</v>
      </c>
      <c r="E1689" s="85">
        <f>STATS1003B!E1692/1000</f>
        <v>5000</v>
      </c>
      <c r="F1689" s="85">
        <f>STATS1003B!F1692/1000</f>
        <v>5000</v>
      </c>
      <c r="G1689" s="85">
        <f>STATS1003B!G1692/1000</f>
        <v>0</v>
      </c>
      <c r="H1689" s="85">
        <f>STATS1003B!H1692/1000</f>
        <v>5000</v>
      </c>
      <c r="I1689" s="85">
        <f>STATS1003B!I1692/1000</f>
        <v>0</v>
      </c>
      <c r="J1689" s="85">
        <f>STATS1003B!J1692/1000</f>
        <v>0</v>
      </c>
      <c r="K1689" s="85">
        <f>STATS1003B!K1692/1000</f>
        <v>0</v>
      </c>
      <c r="L1689" s="85">
        <f>STATS1003B!L1692/1000</f>
        <v>0</v>
      </c>
      <c r="M1689" s="85">
        <f>STATS1003B!M1692/1000</f>
        <v>5000</v>
      </c>
      <c r="N1689" s="85">
        <f>STATS1003B!N1692/1000</f>
        <v>0</v>
      </c>
      <c r="O1689" s="85">
        <f>STATS1003B!O1692/1000</f>
        <v>0</v>
      </c>
      <c r="P1689" s="85">
        <f>STATS1003B!P1692/1000</f>
        <v>0</v>
      </c>
      <c r="Q1689" s="85">
        <f>STATS1003B!Q1692/1000</f>
        <v>0</v>
      </c>
      <c r="R1689" s="85">
        <f>STATS1003B!R1692/1000</f>
        <v>0</v>
      </c>
      <c r="S1689" s="85">
        <f>STATS1003B!S1692/1000</f>
        <v>0</v>
      </c>
      <c r="T1689" s="85">
        <f>STATS1003B!T1692/1000</f>
        <v>0</v>
      </c>
      <c r="U1689" s="85">
        <f>STATS1003B!U1692/1000</f>
        <v>0</v>
      </c>
      <c r="V1689" s="85">
        <f>STATS1003B!V1692/1000</f>
        <v>5000</v>
      </c>
      <c r="W1689" s="85">
        <f>STATS1003B!W1692/1000</f>
        <v>0</v>
      </c>
      <c r="X1689" s="85">
        <f t="shared" si="184"/>
        <v>5000</v>
      </c>
      <c r="Y1689" s="85">
        <f>STATS1003B!Y1692/1000</f>
        <v>0</v>
      </c>
      <c r="Z1689" s="85">
        <f>STATS1003B!Z1692/1000</f>
        <v>0</v>
      </c>
      <c r="AA1689" s="69">
        <f>STATS1003B!AA1692/1000</f>
        <v>5000</v>
      </c>
      <c r="AB1689" s="69">
        <f>STATS1003B!AB1692/1000</f>
        <v>0</v>
      </c>
    </row>
    <row r="1690" spans="1:28" hidden="1" x14ac:dyDescent="0.3">
      <c r="A1690" s="117"/>
      <c r="C1690" s="68" t="s">
        <v>342</v>
      </c>
      <c r="D1690" s="90" t="s">
        <v>194</v>
      </c>
      <c r="E1690" s="85">
        <f>STATS1003B!E1693/1000</f>
        <v>2921.9171200000001</v>
      </c>
      <c r="F1690" s="85">
        <f>STATS1003B!F1693/1000</f>
        <v>2921.9171200000001</v>
      </c>
      <c r="G1690" s="85">
        <f>STATS1003B!G1693/1000</f>
        <v>0</v>
      </c>
      <c r="H1690" s="85">
        <f>STATS1003B!H1693/1000</f>
        <v>2921.9171200000001</v>
      </c>
      <c r="I1690" s="85">
        <f>STATS1003B!I1693/1000</f>
        <v>0</v>
      </c>
      <c r="J1690" s="85">
        <f>STATS1003B!J1693/1000</f>
        <v>0</v>
      </c>
      <c r="K1690" s="85">
        <f>STATS1003B!K1693/1000</f>
        <v>0</v>
      </c>
      <c r="L1690" s="85">
        <f>STATS1003B!L1693/1000</f>
        <v>0</v>
      </c>
      <c r="M1690" s="85">
        <f>STATS1003B!M1693/1000</f>
        <v>2921.9171200000001</v>
      </c>
      <c r="N1690" s="85">
        <f>STATS1003B!N1693/1000</f>
        <v>0</v>
      </c>
      <c r="O1690" s="85">
        <f>STATS1003B!O1693/1000</f>
        <v>0</v>
      </c>
      <c r="P1690" s="85">
        <f>STATS1003B!P1693/1000</f>
        <v>0</v>
      </c>
      <c r="Q1690" s="85">
        <f>STATS1003B!Q1693/1000</f>
        <v>0</v>
      </c>
      <c r="R1690" s="85">
        <f>STATS1003B!R1693/1000</f>
        <v>0</v>
      </c>
      <c r="S1690" s="85">
        <f>STATS1003B!S1693/1000</f>
        <v>0</v>
      </c>
      <c r="T1690" s="85">
        <f>STATS1003B!T1693/1000</f>
        <v>0</v>
      </c>
      <c r="U1690" s="85">
        <f>STATS1003B!U1693/1000</f>
        <v>0</v>
      </c>
      <c r="V1690" s="85">
        <f>STATS1003B!V1693/1000</f>
        <v>2921.9171200000001</v>
      </c>
      <c r="W1690" s="85">
        <f>STATS1003B!W1693/1000</f>
        <v>0</v>
      </c>
      <c r="X1690" s="85">
        <f t="shared" si="184"/>
        <v>2921.9171200000001</v>
      </c>
      <c r="Y1690" s="85">
        <f>STATS1003B!Y1693/1000</f>
        <v>0</v>
      </c>
      <c r="Z1690" s="85">
        <f>STATS1003B!Z1693/1000</f>
        <v>0</v>
      </c>
      <c r="AA1690" s="69">
        <f>STATS1003B!AA1693/1000</f>
        <v>2921.9171200000001</v>
      </c>
      <c r="AB1690" s="69">
        <f>STATS1003B!AB1693/1000</f>
        <v>0</v>
      </c>
    </row>
    <row r="1691" spans="1:28" hidden="1" x14ac:dyDescent="0.3">
      <c r="A1691" s="117"/>
      <c r="C1691" s="68" t="s">
        <v>1166</v>
      </c>
      <c r="D1691" s="90" t="s">
        <v>1126</v>
      </c>
      <c r="E1691" s="85">
        <f>STATS1003B!E1694/1000</f>
        <v>300</v>
      </c>
      <c r="F1691" s="85">
        <f>STATS1003B!F1694/1000</f>
        <v>300</v>
      </c>
      <c r="G1691" s="85">
        <f>STATS1003B!G1694/1000</f>
        <v>0</v>
      </c>
      <c r="H1691" s="85">
        <f>STATS1003B!H1694/1000</f>
        <v>300</v>
      </c>
      <c r="I1691" s="85">
        <f>STATS1003B!I1694/1000</f>
        <v>0</v>
      </c>
      <c r="J1691" s="85">
        <f>STATS1003B!J1694/1000</f>
        <v>0</v>
      </c>
      <c r="K1691" s="85">
        <f>STATS1003B!K1694/1000</f>
        <v>0</v>
      </c>
      <c r="L1691" s="85">
        <f>STATS1003B!L1694/1000</f>
        <v>0</v>
      </c>
      <c r="M1691" s="85">
        <f>STATS1003B!M1694/1000</f>
        <v>300</v>
      </c>
      <c r="N1691" s="85">
        <f>STATS1003B!N1694/1000</f>
        <v>0</v>
      </c>
      <c r="O1691" s="85">
        <f>STATS1003B!O1694/1000</f>
        <v>0</v>
      </c>
      <c r="P1691" s="85">
        <f>STATS1003B!P1694/1000</f>
        <v>0</v>
      </c>
      <c r="Q1691" s="85">
        <f>STATS1003B!Q1694/1000</f>
        <v>0</v>
      </c>
      <c r="R1691" s="85">
        <f>STATS1003B!R1694/1000</f>
        <v>0</v>
      </c>
      <c r="S1691" s="85">
        <f>STATS1003B!S1694/1000</f>
        <v>0</v>
      </c>
      <c r="T1691" s="85">
        <f>STATS1003B!T1694/1000</f>
        <v>0</v>
      </c>
      <c r="U1691" s="85">
        <f>STATS1003B!U1694/1000</f>
        <v>0</v>
      </c>
      <c r="V1691" s="85">
        <f>STATS1003B!V1694/1000</f>
        <v>300</v>
      </c>
      <c r="W1691" s="85">
        <f>STATS1003B!W1694/1000</f>
        <v>0</v>
      </c>
      <c r="X1691" s="85">
        <f t="shared" si="184"/>
        <v>300</v>
      </c>
      <c r="Y1691" s="85">
        <f>STATS1003B!Y1694/1000</f>
        <v>0</v>
      </c>
      <c r="Z1691" s="85">
        <f>STATS1003B!Z1694/1000</f>
        <v>0</v>
      </c>
      <c r="AA1691" s="69">
        <f>STATS1003B!AA1694/1000</f>
        <v>300</v>
      </c>
      <c r="AB1691" s="69">
        <f>STATS1003B!AB1694/1000</f>
        <v>0</v>
      </c>
    </row>
    <row r="1692" spans="1:28" hidden="1" x14ac:dyDescent="0.3">
      <c r="A1692" s="117"/>
      <c r="C1692" s="68" t="s">
        <v>1157</v>
      </c>
      <c r="D1692" s="90" t="s">
        <v>1126</v>
      </c>
      <c r="E1692" s="85">
        <f>STATS1003B!E1695/1000</f>
        <v>750</v>
      </c>
      <c r="F1692" s="85">
        <f>STATS1003B!F1695/1000</f>
        <v>750</v>
      </c>
      <c r="G1692" s="85">
        <f>STATS1003B!G1695/1000</f>
        <v>0</v>
      </c>
      <c r="H1692" s="85">
        <f>STATS1003B!H1695/1000</f>
        <v>750</v>
      </c>
      <c r="I1692" s="85">
        <f>STATS1003B!I1695/1000</f>
        <v>0</v>
      </c>
      <c r="J1692" s="85">
        <f>STATS1003B!J1695/1000</f>
        <v>0</v>
      </c>
      <c r="K1692" s="85">
        <f>STATS1003B!K1695/1000</f>
        <v>0</v>
      </c>
      <c r="L1692" s="85">
        <f>STATS1003B!L1695/1000</f>
        <v>0</v>
      </c>
      <c r="M1692" s="85">
        <f>STATS1003B!M1695/1000</f>
        <v>750</v>
      </c>
      <c r="N1692" s="85">
        <f>STATS1003B!N1695/1000</f>
        <v>0</v>
      </c>
      <c r="O1692" s="85">
        <f>STATS1003B!O1695/1000</f>
        <v>0</v>
      </c>
      <c r="P1692" s="85">
        <f>STATS1003B!P1695/1000</f>
        <v>0</v>
      </c>
      <c r="Q1692" s="85">
        <f>STATS1003B!Q1695/1000</f>
        <v>0</v>
      </c>
      <c r="R1692" s="85">
        <f>STATS1003B!R1695/1000</f>
        <v>0</v>
      </c>
      <c r="S1692" s="85">
        <f>STATS1003B!S1695/1000</f>
        <v>0</v>
      </c>
      <c r="T1692" s="85">
        <f>STATS1003B!T1695/1000</f>
        <v>0</v>
      </c>
      <c r="U1692" s="85">
        <f>STATS1003B!U1695/1000</f>
        <v>0</v>
      </c>
      <c r="V1692" s="85">
        <f>STATS1003B!V1695/1000</f>
        <v>750</v>
      </c>
      <c r="W1692" s="85">
        <f>STATS1003B!W1695/1000</f>
        <v>0</v>
      </c>
      <c r="X1692" s="85">
        <f t="shared" si="184"/>
        <v>750</v>
      </c>
      <c r="Y1692" s="85">
        <f>STATS1003B!Y1695/1000</f>
        <v>0</v>
      </c>
      <c r="Z1692" s="85">
        <f>STATS1003B!Z1695/1000</f>
        <v>0</v>
      </c>
      <c r="AA1692" s="69">
        <f>STATS1003B!AA1695/1000</f>
        <v>750</v>
      </c>
      <c r="AB1692" s="69">
        <f>STATS1003B!AB1695/1000</f>
        <v>0</v>
      </c>
    </row>
    <row r="1693" spans="1:28" hidden="1" x14ac:dyDescent="0.3">
      <c r="A1693" s="117"/>
      <c r="C1693" s="68" t="s">
        <v>1167</v>
      </c>
      <c r="D1693" s="90" t="s">
        <v>1126</v>
      </c>
      <c r="E1693" s="85">
        <f>STATS1003B!E1696/1000</f>
        <v>200</v>
      </c>
      <c r="F1693" s="85">
        <f>STATS1003B!F1696/1000</f>
        <v>200</v>
      </c>
      <c r="G1693" s="85">
        <f>STATS1003B!G1696/1000</f>
        <v>0</v>
      </c>
      <c r="H1693" s="85">
        <f>STATS1003B!H1696/1000</f>
        <v>200</v>
      </c>
      <c r="I1693" s="85">
        <f>STATS1003B!I1696/1000</f>
        <v>0</v>
      </c>
      <c r="J1693" s="85">
        <f>STATS1003B!J1696/1000</f>
        <v>0</v>
      </c>
      <c r="K1693" s="85">
        <f>STATS1003B!K1696/1000</f>
        <v>0</v>
      </c>
      <c r="L1693" s="85">
        <f>STATS1003B!L1696/1000</f>
        <v>0</v>
      </c>
      <c r="M1693" s="85">
        <f>STATS1003B!M1696/1000</f>
        <v>200</v>
      </c>
      <c r="N1693" s="85">
        <f>STATS1003B!N1696/1000</f>
        <v>0</v>
      </c>
      <c r="O1693" s="85">
        <f>STATS1003B!O1696/1000</f>
        <v>0</v>
      </c>
      <c r="P1693" s="85">
        <f>STATS1003B!P1696/1000</f>
        <v>0</v>
      </c>
      <c r="Q1693" s="85">
        <f>STATS1003B!Q1696/1000</f>
        <v>0</v>
      </c>
      <c r="R1693" s="85">
        <f>STATS1003B!R1696/1000</f>
        <v>0</v>
      </c>
      <c r="S1693" s="85">
        <f>STATS1003B!S1696/1000</f>
        <v>0</v>
      </c>
      <c r="T1693" s="85">
        <f>STATS1003B!T1696/1000</f>
        <v>0</v>
      </c>
      <c r="U1693" s="85">
        <f>STATS1003B!U1696/1000</f>
        <v>0</v>
      </c>
      <c r="V1693" s="85">
        <f>STATS1003B!V1696/1000</f>
        <v>200</v>
      </c>
      <c r="W1693" s="85">
        <f>STATS1003B!W1696/1000</f>
        <v>0</v>
      </c>
      <c r="X1693" s="85">
        <f t="shared" si="184"/>
        <v>200</v>
      </c>
      <c r="Y1693" s="85">
        <f>STATS1003B!Y1696/1000</f>
        <v>0</v>
      </c>
      <c r="Z1693" s="85">
        <f>STATS1003B!Z1696/1000</f>
        <v>0</v>
      </c>
      <c r="AA1693" s="69">
        <f>STATS1003B!AA1696/1000</f>
        <v>200</v>
      </c>
      <c r="AB1693" s="69">
        <f>STATS1003B!AB1696/1000</f>
        <v>0</v>
      </c>
    </row>
    <row r="1694" spans="1:28" hidden="1" x14ac:dyDescent="0.3">
      <c r="A1694" s="117"/>
      <c r="C1694" s="68" t="s">
        <v>930</v>
      </c>
      <c r="D1694" s="90" t="s">
        <v>1072</v>
      </c>
      <c r="E1694" s="85">
        <f>STATS1003B!E1697/1000</f>
        <v>3755</v>
      </c>
      <c r="F1694" s="85">
        <f>STATS1003B!F1697/1000</f>
        <v>3755</v>
      </c>
      <c r="G1694" s="85">
        <f>STATS1003B!G1697/1000</f>
        <v>0</v>
      </c>
      <c r="H1694" s="85">
        <f>STATS1003B!H1697/1000</f>
        <v>3755</v>
      </c>
      <c r="I1694" s="85">
        <f>STATS1003B!I1697/1000</f>
        <v>0</v>
      </c>
      <c r="J1694" s="85">
        <f>STATS1003B!J1697/1000</f>
        <v>0</v>
      </c>
      <c r="K1694" s="85">
        <f>STATS1003B!K1697/1000</f>
        <v>0</v>
      </c>
      <c r="L1694" s="85">
        <f>STATS1003B!L1697/1000</f>
        <v>0</v>
      </c>
      <c r="M1694" s="85">
        <f>STATS1003B!M1697/1000</f>
        <v>3755</v>
      </c>
      <c r="N1694" s="85">
        <f>STATS1003B!N1697/1000</f>
        <v>0</v>
      </c>
      <c r="O1694" s="85">
        <f>STATS1003B!O1697/1000</f>
        <v>0</v>
      </c>
      <c r="P1694" s="85">
        <f>STATS1003B!P1697/1000</f>
        <v>0</v>
      </c>
      <c r="Q1694" s="85">
        <f>STATS1003B!Q1697/1000</f>
        <v>0</v>
      </c>
      <c r="R1694" s="85">
        <f>STATS1003B!R1697/1000</f>
        <v>0</v>
      </c>
      <c r="S1694" s="85">
        <f>STATS1003B!S1697/1000</f>
        <v>0</v>
      </c>
      <c r="T1694" s="85">
        <f>STATS1003B!T1697/1000</f>
        <v>0</v>
      </c>
      <c r="U1694" s="85">
        <f>STATS1003B!U1697/1000</f>
        <v>0</v>
      </c>
      <c r="V1694" s="85">
        <f>STATS1003B!V1697/1000</f>
        <v>3755</v>
      </c>
      <c r="W1694" s="85">
        <f>STATS1003B!W1697/1000</f>
        <v>0</v>
      </c>
      <c r="X1694" s="85">
        <f t="shared" si="184"/>
        <v>3755</v>
      </c>
      <c r="Y1694" s="85">
        <f>STATS1003B!Y1697/1000</f>
        <v>0</v>
      </c>
      <c r="Z1694" s="85">
        <f>STATS1003B!Z1697/1000</f>
        <v>0</v>
      </c>
      <c r="AA1694" s="69">
        <f>STATS1003B!AA1697/1000</f>
        <v>3755</v>
      </c>
      <c r="AB1694" s="69">
        <f>STATS1003B!AB1697/1000</f>
        <v>0</v>
      </c>
    </row>
    <row r="1695" spans="1:28" hidden="1" x14ac:dyDescent="0.3">
      <c r="A1695" s="117"/>
      <c r="C1695" s="68" t="s">
        <v>924</v>
      </c>
      <c r="D1695" s="90" t="s">
        <v>61</v>
      </c>
      <c r="E1695" s="85">
        <f>STATS1003B!E1698/1000</f>
        <v>1135.4025200000001</v>
      </c>
      <c r="F1695" s="85">
        <f>STATS1003B!F1698/1000</f>
        <v>1110.5959700000001</v>
      </c>
      <c r="G1695" s="85">
        <f>STATS1003B!G1698/1000</f>
        <v>0</v>
      </c>
      <c r="H1695" s="85">
        <f>STATS1003B!H1698/1000</f>
        <v>1110.5959700000001</v>
      </c>
      <c r="I1695" s="85">
        <f>STATS1003B!I1698/1000</f>
        <v>0</v>
      </c>
      <c r="J1695" s="85">
        <f>STATS1003B!J1698/1000</f>
        <v>0</v>
      </c>
      <c r="K1695" s="85">
        <f>STATS1003B!K1698/1000</f>
        <v>0</v>
      </c>
      <c r="L1695" s="85">
        <f>STATS1003B!L1698/1000</f>
        <v>0</v>
      </c>
      <c r="M1695" s="85">
        <f>STATS1003B!M1698/1000</f>
        <v>1110.5959700000001</v>
      </c>
      <c r="N1695" s="85">
        <f>STATS1003B!N1698/1000</f>
        <v>23.3794</v>
      </c>
      <c r="O1695" s="85">
        <f>STATS1003B!O1698/1000</f>
        <v>0</v>
      </c>
      <c r="P1695" s="85">
        <f>STATS1003B!P1698/1000</f>
        <v>23.3794</v>
      </c>
      <c r="Q1695" s="85">
        <f>STATS1003B!Q1698/1000</f>
        <v>24.806549999999998</v>
      </c>
      <c r="R1695" s="85">
        <f>STATS1003B!R1698/1000</f>
        <v>0</v>
      </c>
      <c r="S1695" s="85">
        <f>STATS1003B!S1698/1000</f>
        <v>0</v>
      </c>
      <c r="T1695" s="85">
        <f>STATS1003B!T1698/1000</f>
        <v>1.4271500000000001</v>
      </c>
      <c r="U1695" s="85">
        <f>STATS1003B!U1698/1000</f>
        <v>24.806550000000001</v>
      </c>
      <c r="V1695" s="85">
        <f>STATS1003B!V1698/1000</f>
        <v>1133.9753699999999</v>
      </c>
      <c r="W1695" s="85">
        <f>STATS1003B!W1698/1000</f>
        <v>1.4271500000001398</v>
      </c>
      <c r="X1695" s="85">
        <f t="shared" si="184"/>
        <v>1133.9753700000001</v>
      </c>
      <c r="Y1695" s="85">
        <f>STATS1003B!Y1698/1000</f>
        <v>0</v>
      </c>
      <c r="Z1695" s="85">
        <f>STATS1003B!Z1698/1000</f>
        <v>1.4271500000001398</v>
      </c>
      <c r="AA1695" s="69">
        <f>STATS1003B!AA1698/1000</f>
        <v>1135.4025200000001</v>
      </c>
      <c r="AB1695" s="69">
        <f>STATS1003B!AB1698/1000</f>
        <v>0</v>
      </c>
    </row>
    <row r="1696" spans="1:28" hidden="1" x14ac:dyDescent="0.3">
      <c r="A1696" s="117"/>
      <c r="E1696" s="86" t="s">
        <v>29</v>
      </c>
      <c r="F1696" s="86" t="s">
        <v>29</v>
      </c>
      <c r="G1696" s="86" t="s">
        <v>29</v>
      </c>
      <c r="H1696" s="86" t="s">
        <v>29</v>
      </c>
      <c r="I1696" s="86" t="s">
        <v>29</v>
      </c>
      <c r="J1696" s="86" t="s">
        <v>29</v>
      </c>
      <c r="K1696" s="86" t="s">
        <v>29</v>
      </c>
      <c r="L1696" s="86" t="s">
        <v>29</v>
      </c>
      <c r="M1696" s="86" t="s">
        <v>29</v>
      </c>
      <c r="N1696" s="86" t="s">
        <v>29</v>
      </c>
      <c r="O1696" s="86" t="s">
        <v>29</v>
      </c>
      <c r="P1696" s="86" t="s">
        <v>29</v>
      </c>
      <c r="Q1696" s="86" t="s">
        <v>29</v>
      </c>
      <c r="R1696" s="86" t="s">
        <v>29</v>
      </c>
      <c r="S1696" s="86" t="s">
        <v>29</v>
      </c>
      <c r="T1696" s="86" t="s">
        <v>29</v>
      </c>
      <c r="U1696" s="86" t="s">
        <v>29</v>
      </c>
      <c r="V1696" s="86" t="s">
        <v>29</v>
      </c>
      <c r="W1696" s="86" t="s">
        <v>29</v>
      </c>
      <c r="X1696" s="85" t="e">
        <f t="shared" si="184"/>
        <v>#VALUE!</v>
      </c>
      <c r="Y1696" s="86" t="s">
        <v>29</v>
      </c>
      <c r="Z1696" s="86" t="s">
        <v>29</v>
      </c>
      <c r="AA1696" s="115" t="s">
        <v>29</v>
      </c>
      <c r="AB1696" s="115" t="s">
        <v>29</v>
      </c>
    </row>
    <row r="1697" spans="1:28" x14ac:dyDescent="0.3">
      <c r="A1697" s="116">
        <v>72</v>
      </c>
      <c r="B1697" s="68" t="s">
        <v>339</v>
      </c>
      <c r="E1697" s="85">
        <f>77991264.53/1000</f>
        <v>77991.26453</v>
      </c>
      <c r="F1697" s="85">
        <f t="shared" ref="F1697:AB1697" si="187">SUM(F1681:F1695)</f>
        <v>39863.614309999997</v>
      </c>
      <c r="G1697" s="85">
        <f t="shared" si="187"/>
        <v>0</v>
      </c>
      <c r="H1697" s="85">
        <f>75319411.14/1000</f>
        <v>75319.411139999997</v>
      </c>
      <c r="I1697" s="85">
        <f t="shared" si="187"/>
        <v>0</v>
      </c>
      <c r="J1697" s="85">
        <f t="shared" si="187"/>
        <v>0</v>
      </c>
      <c r="K1697" s="85">
        <f t="shared" si="187"/>
        <v>0</v>
      </c>
      <c r="L1697" s="85">
        <f t="shared" si="187"/>
        <v>0</v>
      </c>
      <c r="M1697" s="85">
        <f t="shared" si="187"/>
        <v>39863.614309999997</v>
      </c>
      <c r="N1697" s="85">
        <f t="shared" si="187"/>
        <v>2670.4262399999998</v>
      </c>
      <c r="O1697" s="85">
        <f t="shared" si="187"/>
        <v>0</v>
      </c>
      <c r="P1697" s="85">
        <f>2670426/1000</f>
        <v>2670.4259999999999</v>
      </c>
      <c r="Q1697" s="85">
        <f t="shared" si="187"/>
        <v>24.806549999999998</v>
      </c>
      <c r="R1697" s="85">
        <f t="shared" si="187"/>
        <v>0</v>
      </c>
      <c r="S1697" s="85">
        <f t="shared" si="187"/>
        <v>0</v>
      </c>
      <c r="T1697" s="85">
        <f t="shared" si="187"/>
        <v>1.4271500000000001</v>
      </c>
      <c r="U1697" s="85">
        <f t="shared" si="187"/>
        <v>2671.8533899999998</v>
      </c>
      <c r="V1697" s="85">
        <f t="shared" si="187"/>
        <v>42534.040549999998</v>
      </c>
      <c r="W1697" s="85">
        <f t="shared" si="187"/>
        <v>1.4271500000001398</v>
      </c>
      <c r="X1697" s="85">
        <f>+H1697+P1697</f>
        <v>77989.837140000003</v>
      </c>
      <c r="Y1697" s="85">
        <f t="shared" si="187"/>
        <v>0</v>
      </c>
      <c r="Z1697" s="85">
        <f>+E1697-X1697</f>
        <v>1.4273899999971036</v>
      </c>
      <c r="AA1697" s="69">
        <f t="shared" si="187"/>
        <v>42535.467700000001</v>
      </c>
      <c r="AB1697" s="69">
        <f t="shared" si="187"/>
        <v>0</v>
      </c>
    </row>
    <row r="1698" spans="1:28" hidden="1" x14ac:dyDescent="0.3">
      <c r="A1698" s="117"/>
      <c r="E1698" s="86" t="s">
        <v>29</v>
      </c>
      <c r="F1698" s="86" t="s">
        <v>29</v>
      </c>
      <c r="G1698" s="86" t="s">
        <v>29</v>
      </c>
      <c r="H1698" s="86" t="s">
        <v>29</v>
      </c>
      <c r="I1698" s="86" t="s">
        <v>29</v>
      </c>
      <c r="J1698" s="86" t="s">
        <v>29</v>
      </c>
      <c r="K1698" s="86" t="s">
        <v>29</v>
      </c>
      <c r="L1698" s="86" t="s">
        <v>29</v>
      </c>
      <c r="M1698" s="86" t="s">
        <v>29</v>
      </c>
      <c r="N1698" s="86" t="s">
        <v>29</v>
      </c>
      <c r="O1698" s="86" t="s">
        <v>29</v>
      </c>
      <c r="P1698" s="86" t="s">
        <v>29</v>
      </c>
      <c r="Q1698" s="86" t="s">
        <v>29</v>
      </c>
      <c r="R1698" s="86" t="s">
        <v>29</v>
      </c>
      <c r="S1698" s="86" t="s">
        <v>29</v>
      </c>
      <c r="T1698" s="86" t="s">
        <v>29</v>
      </c>
      <c r="U1698" s="86" t="s">
        <v>29</v>
      </c>
      <c r="V1698" s="86" t="s">
        <v>29</v>
      </c>
      <c r="W1698" s="86" t="s">
        <v>29</v>
      </c>
      <c r="X1698" s="85" t="e">
        <f t="shared" si="184"/>
        <v>#VALUE!</v>
      </c>
      <c r="Y1698" s="86" t="s">
        <v>29</v>
      </c>
      <c r="Z1698" s="86" t="s">
        <v>29</v>
      </c>
      <c r="AA1698" s="115" t="s">
        <v>29</v>
      </c>
      <c r="AB1698" s="115" t="s">
        <v>29</v>
      </c>
    </row>
    <row r="1699" spans="1:28" hidden="1" x14ac:dyDescent="0.3">
      <c r="A1699" s="105"/>
      <c r="E1699" s="84"/>
      <c r="F1699" s="84"/>
      <c r="G1699" s="84"/>
      <c r="H1699" s="84"/>
      <c r="I1699" s="84"/>
      <c r="J1699" s="84"/>
      <c r="K1699" s="84"/>
      <c r="L1699" s="84"/>
      <c r="M1699" s="84"/>
      <c r="N1699" s="84"/>
      <c r="O1699" s="84"/>
      <c r="P1699" s="84"/>
      <c r="Q1699" s="84"/>
      <c r="R1699" s="84"/>
      <c r="S1699" s="84"/>
      <c r="T1699" s="84"/>
      <c r="U1699" s="84"/>
      <c r="V1699" s="84"/>
      <c r="W1699" s="84"/>
      <c r="X1699" s="85">
        <f t="shared" si="184"/>
        <v>0</v>
      </c>
      <c r="Y1699" s="84"/>
      <c r="Z1699" s="84"/>
    </row>
    <row r="1700" spans="1:28" hidden="1" x14ac:dyDescent="0.3">
      <c r="A1700" s="117"/>
      <c r="C1700" s="68" t="s">
        <v>344</v>
      </c>
      <c r="D1700" s="145" t="s">
        <v>166</v>
      </c>
      <c r="E1700" s="85">
        <f>STATS1003B!E1703/1000</f>
        <v>5173.6499999999996</v>
      </c>
      <c r="F1700" s="85">
        <f>STATS1003B!F1703/1000</f>
        <v>5173.6499999999996</v>
      </c>
      <c r="G1700" s="85">
        <f>STATS1003B!G1703/1000</f>
        <v>0</v>
      </c>
      <c r="H1700" s="85">
        <f>STATS1003B!H1703/1000</f>
        <v>5173.6499999999996</v>
      </c>
      <c r="I1700" s="85">
        <f>STATS1003B!I1703/1000</f>
        <v>0</v>
      </c>
      <c r="J1700" s="85">
        <f>STATS1003B!J1703/1000</f>
        <v>0</v>
      </c>
      <c r="K1700" s="85">
        <f>STATS1003B!K1703/1000</f>
        <v>0</v>
      </c>
      <c r="L1700" s="85">
        <f>STATS1003B!L1703/1000</f>
        <v>0</v>
      </c>
      <c r="M1700" s="85">
        <f>STATS1003B!M1703/1000</f>
        <v>5173.6499999999996</v>
      </c>
      <c r="N1700" s="85">
        <f>STATS1003B!N1703/1000</f>
        <v>0</v>
      </c>
      <c r="O1700" s="85">
        <f>STATS1003B!O1703/1000</f>
        <v>0</v>
      </c>
      <c r="P1700" s="85">
        <f>STATS1003B!P1703/1000</f>
        <v>0</v>
      </c>
      <c r="Q1700" s="85">
        <f>STATS1003B!Q1703/1000</f>
        <v>0</v>
      </c>
      <c r="R1700" s="85">
        <f>STATS1003B!R1703/1000</f>
        <v>0</v>
      </c>
      <c r="S1700" s="85">
        <f>STATS1003B!S1703/1000</f>
        <v>0</v>
      </c>
      <c r="T1700" s="85">
        <f>STATS1003B!T1703/1000</f>
        <v>0</v>
      </c>
      <c r="U1700" s="85">
        <f>STATS1003B!U1703/1000</f>
        <v>0</v>
      </c>
      <c r="V1700" s="85">
        <f>STATS1003B!V1703/1000</f>
        <v>5173.6499999999996</v>
      </c>
      <c r="W1700" s="85">
        <f>STATS1003B!W1703/1000</f>
        <v>0</v>
      </c>
      <c r="X1700" s="85">
        <f t="shared" si="184"/>
        <v>5173.6499999999996</v>
      </c>
      <c r="Y1700" s="85">
        <f>STATS1003B!Y1703/1000</f>
        <v>0</v>
      </c>
      <c r="Z1700" s="85">
        <f>STATS1003B!Z1703/1000</f>
        <v>0</v>
      </c>
      <c r="AA1700" s="69">
        <f>STATS1003B!AA1703/1000</f>
        <v>5173.6499999999996</v>
      </c>
      <c r="AB1700" s="69">
        <f>STATS1003B!AB1703/1000</f>
        <v>0</v>
      </c>
    </row>
    <row r="1701" spans="1:28" hidden="1" x14ac:dyDescent="0.3">
      <c r="A1701" s="117"/>
      <c r="C1701" s="68" t="s">
        <v>57</v>
      </c>
      <c r="D1701" s="145" t="s">
        <v>68</v>
      </c>
      <c r="E1701" s="85">
        <f>STATS1003B!E1704/1000</f>
        <v>490.59611999999998</v>
      </c>
      <c r="F1701" s="85">
        <f>STATS1003B!F1704/1000</f>
        <v>0</v>
      </c>
      <c r="G1701" s="85">
        <f>STATS1003B!G1704/1000</f>
        <v>0</v>
      </c>
      <c r="H1701" s="85">
        <f>STATS1003B!H1704/1000</f>
        <v>0</v>
      </c>
      <c r="I1701" s="85">
        <f>STATS1003B!I1704/1000</f>
        <v>0</v>
      </c>
      <c r="J1701" s="85">
        <f>STATS1003B!J1704/1000</f>
        <v>0</v>
      </c>
      <c r="K1701" s="85">
        <f>STATS1003B!K1704/1000</f>
        <v>0</v>
      </c>
      <c r="L1701" s="85">
        <f>STATS1003B!L1704/1000</f>
        <v>0</v>
      </c>
      <c r="M1701" s="85">
        <f>STATS1003B!M1704/1000</f>
        <v>0</v>
      </c>
      <c r="N1701" s="85">
        <f>STATS1003B!N1704/1000</f>
        <v>490.59611999999998</v>
      </c>
      <c r="O1701" s="85">
        <f>STATS1003B!O1704/1000</f>
        <v>0</v>
      </c>
      <c r="P1701" s="85">
        <f>STATS1003B!P1704/1000</f>
        <v>490.59611999999998</v>
      </c>
      <c r="Q1701" s="85">
        <f>STATS1003B!Q1704/1000</f>
        <v>0</v>
      </c>
      <c r="R1701" s="85">
        <f>STATS1003B!R1704/1000</f>
        <v>0</v>
      </c>
      <c r="S1701" s="85">
        <f>STATS1003B!S1704/1000</f>
        <v>0</v>
      </c>
      <c r="T1701" s="85">
        <f>STATS1003B!T1704/1000</f>
        <v>0</v>
      </c>
      <c r="U1701" s="85">
        <f>STATS1003B!U1704/1000</f>
        <v>490.59611999999998</v>
      </c>
      <c r="V1701" s="85">
        <f>STATS1003B!V1704/1000</f>
        <v>490.59611999999998</v>
      </c>
      <c r="W1701" s="85">
        <f>STATS1003B!W1704/1000</f>
        <v>0</v>
      </c>
      <c r="X1701" s="85">
        <f t="shared" si="184"/>
        <v>490.59611999999998</v>
      </c>
      <c r="Y1701" s="85">
        <f>STATS1003B!Y1704/1000</f>
        <v>0</v>
      </c>
      <c r="Z1701" s="85">
        <f>STATS1003B!Z1704/1000</f>
        <v>0</v>
      </c>
      <c r="AA1701" s="69">
        <f>STATS1003B!AA1704/1000</f>
        <v>490.59611999999998</v>
      </c>
      <c r="AB1701" s="69">
        <f>STATS1003B!AB1704/1000</f>
        <v>0</v>
      </c>
    </row>
    <row r="1702" spans="1:28" hidden="1" x14ac:dyDescent="0.3">
      <c r="A1702" s="117"/>
      <c r="C1702" s="68" t="s">
        <v>53</v>
      </c>
      <c r="D1702" s="145" t="s">
        <v>54</v>
      </c>
      <c r="E1702" s="85">
        <f>STATS1003B!E1705/1000</f>
        <v>570.94100000000003</v>
      </c>
      <c r="F1702" s="85">
        <f>STATS1003B!F1705/1000</f>
        <v>0</v>
      </c>
      <c r="G1702" s="85">
        <f>STATS1003B!G1705/1000</f>
        <v>0</v>
      </c>
      <c r="H1702" s="85">
        <f>STATS1003B!H1705/1000</f>
        <v>0</v>
      </c>
      <c r="I1702" s="85">
        <f>STATS1003B!I1705/1000</f>
        <v>0</v>
      </c>
      <c r="J1702" s="85">
        <f>STATS1003B!J1705/1000</f>
        <v>0</v>
      </c>
      <c r="K1702" s="85">
        <f>STATS1003B!K1705/1000</f>
        <v>0</v>
      </c>
      <c r="L1702" s="85">
        <f>STATS1003B!L1705/1000</f>
        <v>0</v>
      </c>
      <c r="M1702" s="85">
        <f>STATS1003B!M1705/1000</f>
        <v>0</v>
      </c>
      <c r="N1702" s="85">
        <f>STATS1003B!N1705/1000</f>
        <v>570.94100000000003</v>
      </c>
      <c r="O1702" s="85">
        <f>STATS1003B!O1705/1000</f>
        <v>0</v>
      </c>
      <c r="P1702" s="85">
        <f>STATS1003B!P1705/1000</f>
        <v>570.94100000000003</v>
      </c>
      <c r="Q1702" s="85">
        <f>STATS1003B!Q1705/1000</f>
        <v>0</v>
      </c>
      <c r="R1702" s="85">
        <f>STATS1003B!R1705/1000</f>
        <v>0</v>
      </c>
      <c r="S1702" s="85">
        <f>STATS1003B!S1705/1000</f>
        <v>0</v>
      </c>
      <c r="T1702" s="85">
        <f>STATS1003B!T1705/1000</f>
        <v>0</v>
      </c>
      <c r="U1702" s="85">
        <f>STATS1003B!U1705/1000</f>
        <v>570.94100000000003</v>
      </c>
      <c r="V1702" s="85">
        <f>STATS1003B!V1705/1000</f>
        <v>570.94100000000003</v>
      </c>
      <c r="W1702" s="85">
        <f>STATS1003B!W1705/1000</f>
        <v>0</v>
      </c>
      <c r="X1702" s="85">
        <f t="shared" si="184"/>
        <v>570.94100000000003</v>
      </c>
      <c r="Y1702" s="85">
        <f>STATS1003B!Y1705/1000</f>
        <v>0</v>
      </c>
      <c r="Z1702" s="85">
        <f>STATS1003B!Z1705/1000</f>
        <v>0</v>
      </c>
      <c r="AA1702" s="69">
        <f>STATS1003B!AA1705/1000</f>
        <v>570.94100000000003</v>
      </c>
      <c r="AB1702" s="69">
        <f>STATS1003B!AB1705/1000</f>
        <v>0</v>
      </c>
    </row>
    <row r="1703" spans="1:28" hidden="1" x14ac:dyDescent="0.3">
      <c r="A1703" s="117"/>
      <c r="C1703" s="68" t="s">
        <v>345</v>
      </c>
      <c r="D1703" s="145" t="s">
        <v>54</v>
      </c>
      <c r="E1703" s="85">
        <f>STATS1003B!E1706/1000</f>
        <v>104</v>
      </c>
      <c r="F1703" s="85">
        <f>STATS1003B!F1706/1000</f>
        <v>104</v>
      </c>
      <c r="G1703" s="85">
        <f>STATS1003B!G1706/1000</f>
        <v>0</v>
      </c>
      <c r="H1703" s="85">
        <f>STATS1003B!H1706/1000</f>
        <v>104</v>
      </c>
      <c r="I1703" s="85">
        <f>STATS1003B!I1706/1000</f>
        <v>0</v>
      </c>
      <c r="J1703" s="85">
        <f>STATS1003B!J1706/1000</f>
        <v>0</v>
      </c>
      <c r="K1703" s="85">
        <f>STATS1003B!K1706/1000</f>
        <v>0</v>
      </c>
      <c r="L1703" s="85">
        <f>STATS1003B!L1706/1000</f>
        <v>0</v>
      </c>
      <c r="M1703" s="85">
        <f>STATS1003B!M1706/1000</f>
        <v>104</v>
      </c>
      <c r="N1703" s="85">
        <f>STATS1003B!N1706/1000</f>
        <v>0</v>
      </c>
      <c r="O1703" s="85">
        <f>STATS1003B!O1706/1000</f>
        <v>0</v>
      </c>
      <c r="P1703" s="85">
        <f>STATS1003B!P1706/1000</f>
        <v>0</v>
      </c>
      <c r="Q1703" s="85">
        <f>STATS1003B!Q1706/1000</f>
        <v>0</v>
      </c>
      <c r="R1703" s="85">
        <f>STATS1003B!R1706/1000</f>
        <v>0</v>
      </c>
      <c r="S1703" s="85">
        <f>STATS1003B!S1706/1000</f>
        <v>0</v>
      </c>
      <c r="T1703" s="85">
        <f>STATS1003B!T1706/1000</f>
        <v>0</v>
      </c>
      <c r="U1703" s="85">
        <f>STATS1003B!U1706/1000</f>
        <v>0</v>
      </c>
      <c r="V1703" s="85">
        <f>STATS1003B!V1706/1000</f>
        <v>104</v>
      </c>
      <c r="W1703" s="85">
        <f>STATS1003B!W1706/1000</f>
        <v>0</v>
      </c>
      <c r="X1703" s="85">
        <f t="shared" si="184"/>
        <v>104</v>
      </c>
      <c r="Y1703" s="85">
        <f>STATS1003B!Y1706/1000</f>
        <v>0</v>
      </c>
      <c r="Z1703" s="85">
        <f>STATS1003B!Z1706/1000</f>
        <v>0</v>
      </c>
      <c r="AA1703" s="69">
        <f>STATS1003B!AA1706/1000</f>
        <v>104</v>
      </c>
      <c r="AB1703" s="69">
        <f>STATS1003B!AB1706/1000</f>
        <v>0</v>
      </c>
    </row>
    <row r="1704" spans="1:28" hidden="1" x14ac:dyDescent="0.3">
      <c r="A1704" s="117"/>
      <c r="C1704" s="68" t="s">
        <v>57</v>
      </c>
      <c r="D1704" s="145" t="s">
        <v>85</v>
      </c>
      <c r="E1704" s="85">
        <f>STATS1003B!E1707/1000</f>
        <v>450</v>
      </c>
      <c r="F1704" s="85">
        <f>STATS1003B!F1707/1000</f>
        <v>450</v>
      </c>
      <c r="G1704" s="85">
        <f>STATS1003B!G1707/1000</f>
        <v>0</v>
      </c>
      <c r="H1704" s="85">
        <f>STATS1003B!H1707/1000</f>
        <v>450</v>
      </c>
      <c r="I1704" s="85">
        <f>STATS1003B!I1707/1000</f>
        <v>0</v>
      </c>
      <c r="J1704" s="85">
        <f>STATS1003B!J1707/1000</f>
        <v>0</v>
      </c>
      <c r="K1704" s="85">
        <f>STATS1003B!K1707/1000</f>
        <v>0</v>
      </c>
      <c r="L1704" s="85">
        <f>STATS1003B!L1707/1000</f>
        <v>0</v>
      </c>
      <c r="M1704" s="85">
        <f>STATS1003B!M1707/1000</f>
        <v>450</v>
      </c>
      <c r="N1704" s="85">
        <f>STATS1003B!N1707/1000</f>
        <v>0</v>
      </c>
      <c r="O1704" s="85">
        <f>STATS1003B!O1707/1000</f>
        <v>0</v>
      </c>
      <c r="P1704" s="85">
        <f>STATS1003B!P1707/1000</f>
        <v>0</v>
      </c>
      <c r="Q1704" s="85">
        <f>STATS1003B!Q1707/1000</f>
        <v>0</v>
      </c>
      <c r="R1704" s="85">
        <f>STATS1003B!R1707/1000</f>
        <v>0</v>
      </c>
      <c r="S1704" s="85">
        <f>STATS1003B!S1707/1000</f>
        <v>0</v>
      </c>
      <c r="T1704" s="85">
        <f>STATS1003B!T1707/1000</f>
        <v>0</v>
      </c>
      <c r="U1704" s="85">
        <f>STATS1003B!U1707/1000</f>
        <v>0</v>
      </c>
      <c r="V1704" s="85">
        <f>STATS1003B!V1707/1000</f>
        <v>450</v>
      </c>
      <c r="W1704" s="85">
        <f>STATS1003B!W1707/1000</f>
        <v>0</v>
      </c>
      <c r="X1704" s="85">
        <f t="shared" si="184"/>
        <v>450</v>
      </c>
      <c r="Y1704" s="85">
        <f>STATS1003B!Y1707/1000</f>
        <v>0</v>
      </c>
      <c r="Z1704" s="85">
        <f>STATS1003B!Z1707/1000</f>
        <v>0</v>
      </c>
      <c r="AA1704" s="69">
        <f>STATS1003B!AA1707/1000</f>
        <v>450</v>
      </c>
      <c r="AB1704" s="69">
        <f>STATS1003B!AB1707/1000</f>
        <v>0</v>
      </c>
    </row>
    <row r="1705" spans="1:28" hidden="1" x14ac:dyDescent="0.3">
      <c r="A1705" s="117"/>
      <c r="C1705" s="68" t="s">
        <v>346</v>
      </c>
      <c r="D1705" s="145" t="s">
        <v>85</v>
      </c>
      <c r="E1705" s="85">
        <f>STATS1003B!E1708/1000</f>
        <v>102.4</v>
      </c>
      <c r="F1705" s="85">
        <f>STATS1003B!F1708/1000</f>
        <v>102.4</v>
      </c>
      <c r="G1705" s="85">
        <f>STATS1003B!G1708/1000</f>
        <v>0</v>
      </c>
      <c r="H1705" s="85">
        <f>STATS1003B!H1708/1000</f>
        <v>102.4</v>
      </c>
      <c r="I1705" s="85">
        <f>STATS1003B!I1708/1000</f>
        <v>0</v>
      </c>
      <c r="J1705" s="85">
        <f>STATS1003B!J1708/1000</f>
        <v>0</v>
      </c>
      <c r="K1705" s="85">
        <f>STATS1003B!K1708/1000</f>
        <v>0</v>
      </c>
      <c r="L1705" s="85">
        <f>STATS1003B!L1708/1000</f>
        <v>0</v>
      </c>
      <c r="M1705" s="85">
        <f>STATS1003B!M1708/1000</f>
        <v>102.4</v>
      </c>
      <c r="N1705" s="85">
        <f>STATS1003B!N1708/1000</f>
        <v>0</v>
      </c>
      <c r="O1705" s="85">
        <f>STATS1003B!O1708/1000</f>
        <v>0</v>
      </c>
      <c r="P1705" s="85">
        <f>STATS1003B!P1708/1000</f>
        <v>0</v>
      </c>
      <c r="Q1705" s="85">
        <f>STATS1003B!Q1708/1000</f>
        <v>0</v>
      </c>
      <c r="R1705" s="85">
        <f>STATS1003B!R1708/1000</f>
        <v>0</v>
      </c>
      <c r="S1705" s="85">
        <f>STATS1003B!S1708/1000</f>
        <v>0</v>
      </c>
      <c r="T1705" s="85">
        <f>STATS1003B!T1708/1000</f>
        <v>0</v>
      </c>
      <c r="U1705" s="85">
        <f>STATS1003B!U1708/1000</f>
        <v>0</v>
      </c>
      <c r="V1705" s="85">
        <f>STATS1003B!V1708/1000</f>
        <v>102.4</v>
      </c>
      <c r="W1705" s="85">
        <f>STATS1003B!W1708/1000</f>
        <v>0</v>
      </c>
      <c r="X1705" s="85">
        <f t="shared" si="184"/>
        <v>102.4</v>
      </c>
      <c r="Y1705" s="85">
        <f>STATS1003B!Y1708/1000</f>
        <v>0</v>
      </c>
      <c r="Z1705" s="85">
        <f>STATS1003B!Z1708/1000</f>
        <v>0</v>
      </c>
      <c r="AA1705" s="69">
        <f>STATS1003B!AA1708/1000</f>
        <v>102.4</v>
      </c>
      <c r="AB1705" s="69">
        <f>STATS1003B!AB1708/1000</f>
        <v>0</v>
      </c>
    </row>
    <row r="1706" spans="1:28" hidden="1" x14ac:dyDescent="0.3">
      <c r="A1706" s="117"/>
      <c r="C1706" s="68" t="s">
        <v>57</v>
      </c>
      <c r="D1706" s="145" t="s">
        <v>60</v>
      </c>
      <c r="E1706" s="85">
        <f>STATS1003B!E1709/1000</f>
        <v>2244.2869999999998</v>
      </c>
      <c r="F1706" s="85">
        <f>STATS1003B!F1709/1000</f>
        <v>2244.2869999999998</v>
      </c>
      <c r="G1706" s="85">
        <f>STATS1003B!G1709/1000</f>
        <v>0</v>
      </c>
      <c r="H1706" s="85">
        <f>STATS1003B!H1709/1000</f>
        <v>2244.2869999999998</v>
      </c>
      <c r="I1706" s="85">
        <f>STATS1003B!I1709/1000</f>
        <v>0</v>
      </c>
      <c r="J1706" s="85">
        <f>STATS1003B!J1709/1000</f>
        <v>0</v>
      </c>
      <c r="K1706" s="85">
        <f>STATS1003B!K1709/1000</f>
        <v>0</v>
      </c>
      <c r="L1706" s="85">
        <f>STATS1003B!L1709/1000</f>
        <v>0</v>
      </c>
      <c r="M1706" s="85">
        <f>STATS1003B!M1709/1000</f>
        <v>2244.2869999999998</v>
      </c>
      <c r="N1706" s="85">
        <f>STATS1003B!N1709/1000</f>
        <v>0</v>
      </c>
      <c r="O1706" s="85">
        <f>STATS1003B!O1709/1000</f>
        <v>0</v>
      </c>
      <c r="P1706" s="85">
        <f>STATS1003B!P1709/1000</f>
        <v>0</v>
      </c>
      <c r="Q1706" s="85">
        <f>STATS1003B!Q1709/1000</f>
        <v>0</v>
      </c>
      <c r="R1706" s="85">
        <f>STATS1003B!R1709/1000</f>
        <v>0</v>
      </c>
      <c r="S1706" s="85">
        <f>STATS1003B!S1709/1000</f>
        <v>0</v>
      </c>
      <c r="T1706" s="85">
        <f>STATS1003B!T1709/1000</f>
        <v>0</v>
      </c>
      <c r="U1706" s="85">
        <f>STATS1003B!U1709/1000</f>
        <v>0</v>
      </c>
      <c r="V1706" s="85">
        <f>STATS1003B!V1709/1000</f>
        <v>2244.2869999999998</v>
      </c>
      <c r="W1706" s="85">
        <f>STATS1003B!W1709/1000</f>
        <v>0</v>
      </c>
      <c r="X1706" s="85">
        <f t="shared" si="184"/>
        <v>2244.2869999999998</v>
      </c>
      <c r="Y1706" s="85">
        <f>STATS1003B!Y1709/1000</f>
        <v>0</v>
      </c>
      <c r="Z1706" s="85">
        <f>STATS1003B!Z1709/1000</f>
        <v>0</v>
      </c>
      <c r="AA1706" s="69">
        <f>STATS1003B!AA1709/1000</f>
        <v>2244.2869999999998</v>
      </c>
      <c r="AB1706" s="69">
        <f>STATS1003B!AB1709/1000</f>
        <v>0</v>
      </c>
    </row>
    <row r="1707" spans="1:28" hidden="1" x14ac:dyDescent="0.3">
      <c r="A1707" s="117"/>
      <c r="C1707" s="68" t="s">
        <v>57</v>
      </c>
      <c r="D1707" s="90" t="s">
        <v>61</v>
      </c>
      <c r="E1707" s="85">
        <f>STATS1003B!E1710/1000</f>
        <v>250</v>
      </c>
      <c r="F1707" s="85">
        <f>STATS1003B!F1710/1000</f>
        <v>250</v>
      </c>
      <c r="G1707" s="85">
        <f>STATS1003B!G1710/1000</f>
        <v>0</v>
      </c>
      <c r="H1707" s="85">
        <f>STATS1003B!H1710/1000</f>
        <v>250</v>
      </c>
      <c r="I1707" s="85">
        <f>STATS1003B!I1710/1000</f>
        <v>0</v>
      </c>
      <c r="J1707" s="85">
        <f>STATS1003B!J1710/1000</f>
        <v>0</v>
      </c>
      <c r="K1707" s="85">
        <f>STATS1003B!K1710/1000</f>
        <v>0</v>
      </c>
      <c r="L1707" s="85">
        <f>STATS1003B!L1710/1000</f>
        <v>0</v>
      </c>
      <c r="M1707" s="85">
        <f>STATS1003B!M1710/1000</f>
        <v>250</v>
      </c>
      <c r="N1707" s="85">
        <f>STATS1003B!N1710/1000</f>
        <v>0</v>
      </c>
      <c r="O1707" s="85">
        <f>STATS1003B!O1710/1000</f>
        <v>0</v>
      </c>
      <c r="P1707" s="85">
        <f>STATS1003B!P1710/1000</f>
        <v>0</v>
      </c>
      <c r="Q1707" s="85">
        <f>STATS1003B!Q1710/1000</f>
        <v>0</v>
      </c>
      <c r="R1707" s="85">
        <f>STATS1003B!R1710/1000</f>
        <v>0</v>
      </c>
      <c r="S1707" s="85">
        <f>STATS1003B!S1710/1000</f>
        <v>0</v>
      </c>
      <c r="T1707" s="85">
        <f>STATS1003B!T1710/1000</f>
        <v>0</v>
      </c>
      <c r="U1707" s="85">
        <f>STATS1003B!U1710/1000</f>
        <v>0</v>
      </c>
      <c r="V1707" s="85">
        <f>STATS1003B!V1710/1000</f>
        <v>250</v>
      </c>
      <c r="W1707" s="85">
        <f>STATS1003B!W1710/1000</f>
        <v>0</v>
      </c>
      <c r="X1707" s="85">
        <f t="shared" si="184"/>
        <v>250</v>
      </c>
      <c r="Y1707" s="85">
        <f>STATS1003B!Y1710/1000</f>
        <v>0</v>
      </c>
      <c r="Z1707" s="85">
        <f>STATS1003B!Z1710/1000</f>
        <v>0</v>
      </c>
      <c r="AA1707" s="69">
        <f>STATS1003B!AA1710/1000</f>
        <v>250</v>
      </c>
      <c r="AB1707" s="69">
        <f>STATS1003B!AB1710/1000</f>
        <v>0</v>
      </c>
    </row>
    <row r="1708" spans="1:28" hidden="1" x14ac:dyDescent="0.3">
      <c r="A1708" s="117"/>
      <c r="E1708" s="86" t="s">
        <v>29</v>
      </c>
      <c r="F1708" s="86" t="s">
        <v>29</v>
      </c>
      <c r="G1708" s="86" t="s">
        <v>29</v>
      </c>
      <c r="H1708" s="86" t="s">
        <v>29</v>
      </c>
      <c r="I1708" s="86" t="s">
        <v>29</v>
      </c>
      <c r="J1708" s="86" t="s">
        <v>29</v>
      </c>
      <c r="K1708" s="86" t="s">
        <v>29</v>
      </c>
      <c r="L1708" s="86" t="s">
        <v>29</v>
      </c>
      <c r="M1708" s="86" t="s">
        <v>29</v>
      </c>
      <c r="N1708" s="86" t="s">
        <v>29</v>
      </c>
      <c r="O1708" s="86" t="s">
        <v>29</v>
      </c>
      <c r="P1708" s="86" t="s">
        <v>29</v>
      </c>
      <c r="Q1708" s="86" t="s">
        <v>29</v>
      </c>
      <c r="R1708" s="86" t="s">
        <v>29</v>
      </c>
      <c r="S1708" s="86" t="s">
        <v>29</v>
      </c>
      <c r="T1708" s="86" t="s">
        <v>29</v>
      </c>
      <c r="U1708" s="86" t="s">
        <v>29</v>
      </c>
      <c r="V1708" s="86" t="s">
        <v>29</v>
      </c>
      <c r="W1708" s="86" t="s">
        <v>29</v>
      </c>
      <c r="X1708" s="85" t="e">
        <f t="shared" si="184"/>
        <v>#VALUE!</v>
      </c>
      <c r="Y1708" s="86" t="s">
        <v>29</v>
      </c>
      <c r="Z1708" s="86" t="s">
        <v>29</v>
      </c>
      <c r="AA1708" s="115" t="s">
        <v>29</v>
      </c>
      <c r="AB1708" s="115" t="s">
        <v>29</v>
      </c>
    </row>
    <row r="1709" spans="1:28" x14ac:dyDescent="0.3">
      <c r="A1709" s="116">
        <v>73</v>
      </c>
      <c r="B1709" s="68" t="s">
        <v>343</v>
      </c>
      <c r="E1709" s="85">
        <f>37160166.65/1000</f>
        <v>37160.166649999999</v>
      </c>
      <c r="F1709" s="85">
        <f t="shared" ref="F1709:AB1709" si="188">SUM(F1700:F1707)</f>
        <v>8324.3369999999995</v>
      </c>
      <c r="G1709" s="85">
        <f t="shared" si="188"/>
        <v>0</v>
      </c>
      <c r="H1709" s="85">
        <f>36098629.53/1000</f>
        <v>36098.629529999998</v>
      </c>
      <c r="I1709" s="85">
        <f t="shared" si="188"/>
        <v>0</v>
      </c>
      <c r="J1709" s="85">
        <f t="shared" si="188"/>
        <v>0</v>
      </c>
      <c r="K1709" s="85">
        <f t="shared" si="188"/>
        <v>0</v>
      </c>
      <c r="L1709" s="85">
        <f t="shared" si="188"/>
        <v>0</v>
      </c>
      <c r="M1709" s="85">
        <f t="shared" si="188"/>
        <v>8324.3369999999995</v>
      </c>
      <c r="N1709" s="85">
        <f t="shared" si="188"/>
        <v>1061.53712</v>
      </c>
      <c r="O1709" s="85">
        <f t="shared" si="188"/>
        <v>0</v>
      </c>
      <c r="P1709" s="85">
        <f>1061537/1000</f>
        <v>1061.537</v>
      </c>
      <c r="Q1709" s="85">
        <f t="shared" si="188"/>
        <v>0</v>
      </c>
      <c r="R1709" s="85">
        <f t="shared" si="188"/>
        <v>0</v>
      </c>
      <c r="S1709" s="85">
        <f t="shared" si="188"/>
        <v>0</v>
      </c>
      <c r="T1709" s="85">
        <f t="shared" si="188"/>
        <v>0</v>
      </c>
      <c r="U1709" s="85">
        <f t="shared" si="188"/>
        <v>1061.53712</v>
      </c>
      <c r="V1709" s="85">
        <f t="shared" si="188"/>
        <v>9385.8741199999986</v>
      </c>
      <c r="W1709" s="85">
        <f t="shared" si="188"/>
        <v>0</v>
      </c>
      <c r="X1709" s="85">
        <f t="shared" si="184"/>
        <v>37160.166529999995</v>
      </c>
      <c r="Y1709" s="85">
        <f t="shared" si="188"/>
        <v>0</v>
      </c>
      <c r="Z1709" s="85">
        <f t="shared" si="188"/>
        <v>0</v>
      </c>
      <c r="AA1709" s="69">
        <f t="shared" si="188"/>
        <v>9385.8741199999986</v>
      </c>
      <c r="AB1709" s="69">
        <f t="shared" si="188"/>
        <v>0</v>
      </c>
    </row>
    <row r="1710" spans="1:28" hidden="1" x14ac:dyDescent="0.3">
      <c r="A1710" s="117"/>
      <c r="E1710" s="86" t="s">
        <v>29</v>
      </c>
      <c r="F1710" s="86" t="s">
        <v>29</v>
      </c>
      <c r="G1710" s="86" t="s">
        <v>29</v>
      </c>
      <c r="H1710" s="86" t="s">
        <v>29</v>
      </c>
      <c r="I1710" s="86" t="s">
        <v>29</v>
      </c>
      <c r="J1710" s="86" t="s">
        <v>29</v>
      </c>
      <c r="K1710" s="86" t="s">
        <v>29</v>
      </c>
      <c r="L1710" s="86" t="s">
        <v>29</v>
      </c>
      <c r="M1710" s="86" t="s">
        <v>29</v>
      </c>
      <c r="N1710" s="86" t="s">
        <v>29</v>
      </c>
      <c r="O1710" s="86" t="s">
        <v>29</v>
      </c>
      <c r="P1710" s="86" t="s">
        <v>29</v>
      </c>
      <c r="Q1710" s="86" t="s">
        <v>29</v>
      </c>
      <c r="R1710" s="86" t="s">
        <v>29</v>
      </c>
      <c r="S1710" s="86" t="s">
        <v>29</v>
      </c>
      <c r="T1710" s="86" t="s">
        <v>29</v>
      </c>
      <c r="U1710" s="86" t="s">
        <v>29</v>
      </c>
      <c r="V1710" s="86" t="s">
        <v>29</v>
      </c>
      <c r="W1710" s="86" t="s">
        <v>29</v>
      </c>
      <c r="X1710" s="85" t="e">
        <f t="shared" si="184"/>
        <v>#VALUE!</v>
      </c>
      <c r="Y1710" s="86" t="s">
        <v>29</v>
      </c>
      <c r="Z1710" s="86" t="s">
        <v>29</v>
      </c>
      <c r="AA1710" s="115" t="s">
        <v>29</v>
      </c>
      <c r="AB1710" s="115" t="s">
        <v>29</v>
      </c>
    </row>
    <row r="1711" spans="1:28" hidden="1" x14ac:dyDescent="0.3">
      <c r="A1711" s="105"/>
      <c r="E1711" s="84"/>
      <c r="F1711" s="84"/>
      <c r="G1711" s="84"/>
      <c r="H1711" s="84"/>
      <c r="I1711" s="84"/>
      <c r="J1711" s="84"/>
      <c r="K1711" s="84"/>
      <c r="L1711" s="84"/>
      <c r="M1711" s="84"/>
      <c r="N1711" s="84"/>
      <c r="O1711" s="84"/>
      <c r="P1711" s="84"/>
      <c r="Q1711" s="84"/>
      <c r="R1711" s="84"/>
      <c r="S1711" s="84"/>
      <c r="T1711" s="84"/>
      <c r="U1711" s="84"/>
      <c r="V1711" s="84"/>
      <c r="W1711" s="84"/>
      <c r="X1711" s="85">
        <f t="shared" si="184"/>
        <v>0</v>
      </c>
      <c r="Y1711" s="84"/>
      <c r="Z1711" s="84"/>
    </row>
    <row r="1712" spans="1:28" hidden="1" x14ac:dyDescent="0.3">
      <c r="A1712" s="117"/>
      <c r="C1712" s="68" t="s">
        <v>348</v>
      </c>
      <c r="D1712" s="145" t="s">
        <v>166</v>
      </c>
      <c r="E1712" s="85">
        <f>STATS1003B!E1715/1000</f>
        <v>1924</v>
      </c>
      <c r="F1712" s="85">
        <f>STATS1003B!F1715/1000</f>
        <v>1924</v>
      </c>
      <c r="G1712" s="85">
        <f>STATS1003B!G1715/1000</f>
        <v>0</v>
      </c>
      <c r="H1712" s="85">
        <f>STATS1003B!H1715/1000</f>
        <v>1924</v>
      </c>
      <c r="I1712" s="85">
        <f>STATS1003B!I1715/1000</f>
        <v>0</v>
      </c>
      <c r="J1712" s="85">
        <f>STATS1003B!J1715/1000</f>
        <v>0</v>
      </c>
      <c r="K1712" s="85">
        <f>STATS1003B!K1715/1000</f>
        <v>0</v>
      </c>
      <c r="L1712" s="85">
        <f>STATS1003B!L1715/1000</f>
        <v>0</v>
      </c>
      <c r="M1712" s="85">
        <f>STATS1003B!M1715/1000</f>
        <v>1924</v>
      </c>
      <c r="N1712" s="85">
        <f>STATS1003B!N1715/1000</f>
        <v>0</v>
      </c>
      <c r="O1712" s="85">
        <f>STATS1003B!O1715/1000</f>
        <v>0</v>
      </c>
      <c r="P1712" s="85">
        <f>STATS1003B!P1715/1000</f>
        <v>0</v>
      </c>
      <c r="Q1712" s="85">
        <f>STATS1003B!Q1715/1000</f>
        <v>0</v>
      </c>
      <c r="R1712" s="85">
        <f>STATS1003B!R1715/1000</f>
        <v>0</v>
      </c>
      <c r="S1712" s="85">
        <f>STATS1003B!S1715/1000</f>
        <v>0</v>
      </c>
      <c r="T1712" s="85">
        <f>STATS1003B!T1715/1000</f>
        <v>0</v>
      </c>
      <c r="U1712" s="85">
        <f>STATS1003B!U1715/1000</f>
        <v>0</v>
      </c>
      <c r="V1712" s="85">
        <f>STATS1003B!V1715/1000</f>
        <v>1924</v>
      </c>
      <c r="W1712" s="85">
        <f>STATS1003B!W1715/1000</f>
        <v>0</v>
      </c>
      <c r="X1712" s="85">
        <f t="shared" si="184"/>
        <v>1924</v>
      </c>
      <c r="Y1712" s="85">
        <f>STATS1003B!Y1715/1000</f>
        <v>0</v>
      </c>
      <c r="Z1712" s="85">
        <f>STATS1003B!Z1715/1000</f>
        <v>0</v>
      </c>
      <c r="AA1712" s="69">
        <f>STATS1003B!AA1715/1000</f>
        <v>1924</v>
      </c>
      <c r="AB1712" s="69">
        <f>STATS1003B!AB1715/1000</f>
        <v>0</v>
      </c>
    </row>
    <row r="1713" spans="1:28" hidden="1" x14ac:dyDescent="0.3">
      <c r="A1713" s="117"/>
      <c r="C1713" s="68" t="s">
        <v>57</v>
      </c>
      <c r="D1713" s="145" t="s">
        <v>68</v>
      </c>
      <c r="E1713" s="85">
        <f>STATS1003B!E1716/1000</f>
        <v>548.63834999999995</v>
      </c>
      <c r="F1713" s="85">
        <f>STATS1003B!F1716/1000</f>
        <v>329.83300000000003</v>
      </c>
      <c r="G1713" s="85">
        <f>STATS1003B!G1716/1000</f>
        <v>0</v>
      </c>
      <c r="H1713" s="85">
        <f>STATS1003B!H1716/1000</f>
        <v>329.83300000000003</v>
      </c>
      <c r="I1713" s="85">
        <f>STATS1003B!I1716/1000</f>
        <v>0</v>
      </c>
      <c r="J1713" s="85">
        <f>STATS1003B!J1716/1000</f>
        <v>0</v>
      </c>
      <c r="K1713" s="85">
        <f>STATS1003B!K1716/1000</f>
        <v>0</v>
      </c>
      <c r="L1713" s="85">
        <f>STATS1003B!L1716/1000</f>
        <v>0</v>
      </c>
      <c r="M1713" s="85">
        <f>STATS1003B!M1716/1000</f>
        <v>329.83300000000003</v>
      </c>
      <c r="N1713" s="85">
        <f>STATS1003B!N1716/1000</f>
        <v>218.80535</v>
      </c>
      <c r="O1713" s="85">
        <f>STATS1003B!O1716/1000</f>
        <v>0</v>
      </c>
      <c r="P1713" s="85">
        <f>STATS1003B!P1716/1000</f>
        <v>218.80535</v>
      </c>
      <c r="Q1713" s="85">
        <f>STATS1003B!Q1716/1000</f>
        <v>0</v>
      </c>
      <c r="R1713" s="85">
        <f>STATS1003B!R1716/1000</f>
        <v>0</v>
      </c>
      <c r="S1713" s="85">
        <f>STATS1003B!S1716/1000</f>
        <v>0</v>
      </c>
      <c r="T1713" s="85">
        <f>STATS1003B!T1716/1000</f>
        <v>0</v>
      </c>
      <c r="U1713" s="85">
        <f>STATS1003B!U1716/1000</f>
        <v>218.80535</v>
      </c>
      <c r="V1713" s="85">
        <f>STATS1003B!V1716/1000</f>
        <v>548.63834999999995</v>
      </c>
      <c r="W1713" s="85">
        <f>STATS1003B!W1716/1000</f>
        <v>0</v>
      </c>
      <c r="X1713" s="85">
        <f t="shared" si="184"/>
        <v>548.63835000000006</v>
      </c>
      <c r="Y1713" s="85">
        <f>STATS1003B!Y1716/1000</f>
        <v>0</v>
      </c>
      <c r="Z1713" s="85">
        <f>STATS1003B!Z1716/1000</f>
        <v>0</v>
      </c>
      <c r="AA1713" s="69">
        <f>STATS1003B!AA1716/1000</f>
        <v>548.63834999999995</v>
      </c>
      <c r="AB1713" s="69">
        <f>STATS1003B!AB1716/1000</f>
        <v>0</v>
      </c>
    </row>
    <row r="1714" spans="1:28" hidden="1" x14ac:dyDescent="0.3">
      <c r="A1714" s="117"/>
      <c r="C1714" s="68" t="s">
        <v>53</v>
      </c>
      <c r="D1714" s="145" t="s">
        <v>68</v>
      </c>
      <c r="E1714" s="85">
        <f>STATS1003B!E1717/1000</f>
        <v>570.94100000000003</v>
      </c>
      <c r="F1714" s="85">
        <f>STATS1003B!F1717/1000</f>
        <v>0</v>
      </c>
      <c r="G1714" s="85">
        <f>STATS1003B!G1717/1000</f>
        <v>0</v>
      </c>
      <c r="H1714" s="85">
        <f>STATS1003B!H1717/1000</f>
        <v>0</v>
      </c>
      <c r="I1714" s="85">
        <f>STATS1003B!I1717/1000</f>
        <v>0</v>
      </c>
      <c r="J1714" s="85">
        <f>STATS1003B!J1717/1000</f>
        <v>0</v>
      </c>
      <c r="K1714" s="85">
        <f>STATS1003B!K1717/1000</f>
        <v>0</v>
      </c>
      <c r="L1714" s="85">
        <f>STATS1003B!L1717/1000</f>
        <v>0</v>
      </c>
      <c r="M1714" s="85">
        <f>STATS1003B!M1717/1000</f>
        <v>0</v>
      </c>
      <c r="N1714" s="85">
        <f>STATS1003B!N1717/1000</f>
        <v>570.94100000000003</v>
      </c>
      <c r="O1714" s="85">
        <f>STATS1003B!O1717/1000</f>
        <v>0</v>
      </c>
      <c r="P1714" s="85">
        <f>STATS1003B!P1717/1000</f>
        <v>570.94100000000003</v>
      </c>
      <c r="Q1714" s="85">
        <f>STATS1003B!Q1717/1000</f>
        <v>0</v>
      </c>
      <c r="R1714" s="85">
        <f>STATS1003B!R1717/1000</f>
        <v>0</v>
      </c>
      <c r="S1714" s="85">
        <f>STATS1003B!S1717/1000</f>
        <v>0</v>
      </c>
      <c r="T1714" s="85">
        <f>STATS1003B!T1717/1000</f>
        <v>0</v>
      </c>
      <c r="U1714" s="85">
        <f>STATS1003B!U1717/1000</f>
        <v>570.94100000000003</v>
      </c>
      <c r="V1714" s="85">
        <f>STATS1003B!V1717/1000</f>
        <v>570.94100000000003</v>
      </c>
      <c r="W1714" s="85">
        <f>STATS1003B!W1717/1000</f>
        <v>0</v>
      </c>
      <c r="X1714" s="85">
        <f t="shared" si="184"/>
        <v>570.94100000000003</v>
      </c>
      <c r="Y1714" s="85">
        <f>STATS1003B!Y1717/1000</f>
        <v>0</v>
      </c>
      <c r="Z1714" s="85">
        <f>STATS1003B!Z1717/1000</f>
        <v>0</v>
      </c>
      <c r="AA1714" s="69">
        <f>STATS1003B!AA1717/1000</f>
        <v>570.94100000000003</v>
      </c>
      <c r="AB1714" s="69">
        <f>STATS1003B!AB1717/1000</f>
        <v>0</v>
      </c>
    </row>
    <row r="1715" spans="1:28" hidden="1" x14ac:dyDescent="0.3">
      <c r="A1715" s="117"/>
      <c r="C1715" s="68" t="s">
        <v>57</v>
      </c>
      <c r="D1715" s="145" t="s">
        <v>60</v>
      </c>
      <c r="E1715" s="85">
        <f>STATS1003B!E1718/1000</f>
        <v>6401.1009999999997</v>
      </c>
      <c r="F1715" s="85">
        <f>STATS1003B!F1718/1000</f>
        <v>6401.1009999999997</v>
      </c>
      <c r="G1715" s="85">
        <f>STATS1003B!G1718/1000</f>
        <v>0</v>
      </c>
      <c r="H1715" s="85">
        <f>STATS1003B!H1718/1000</f>
        <v>6401.1009999999997</v>
      </c>
      <c r="I1715" s="85">
        <f>STATS1003B!I1718/1000</f>
        <v>0</v>
      </c>
      <c r="J1715" s="85">
        <f>STATS1003B!J1718/1000</f>
        <v>0</v>
      </c>
      <c r="K1715" s="85">
        <f>STATS1003B!K1718/1000</f>
        <v>0</v>
      </c>
      <c r="L1715" s="85">
        <f>STATS1003B!L1718/1000</f>
        <v>0</v>
      </c>
      <c r="M1715" s="85">
        <f>STATS1003B!M1718/1000</f>
        <v>6401.1009999999997</v>
      </c>
      <c r="N1715" s="85">
        <f>STATS1003B!N1718/1000</f>
        <v>0</v>
      </c>
      <c r="O1715" s="85">
        <f>STATS1003B!O1718/1000</f>
        <v>0</v>
      </c>
      <c r="P1715" s="85">
        <f>STATS1003B!P1718/1000</f>
        <v>0</v>
      </c>
      <c r="Q1715" s="85">
        <f>STATS1003B!Q1718/1000</f>
        <v>0</v>
      </c>
      <c r="R1715" s="85">
        <f>STATS1003B!R1718/1000</f>
        <v>0</v>
      </c>
      <c r="S1715" s="85">
        <f>STATS1003B!S1718/1000</f>
        <v>0</v>
      </c>
      <c r="T1715" s="85">
        <f>STATS1003B!T1718/1000</f>
        <v>0</v>
      </c>
      <c r="U1715" s="85">
        <f>STATS1003B!U1718/1000</f>
        <v>0</v>
      </c>
      <c r="V1715" s="85">
        <f>STATS1003B!V1718/1000</f>
        <v>6401.1009999999997</v>
      </c>
      <c r="W1715" s="85">
        <f>STATS1003B!W1718/1000</f>
        <v>0</v>
      </c>
      <c r="X1715" s="85">
        <f t="shared" si="184"/>
        <v>6401.1009999999997</v>
      </c>
      <c r="Y1715" s="85">
        <f>STATS1003B!Y1718/1000</f>
        <v>0</v>
      </c>
      <c r="Z1715" s="85">
        <f>STATS1003B!Z1718/1000</f>
        <v>0</v>
      </c>
      <c r="AA1715" s="69">
        <f>STATS1003B!AA1718/1000</f>
        <v>6401.1009999999997</v>
      </c>
      <c r="AB1715" s="69">
        <f>STATS1003B!AB1718/1000</f>
        <v>0</v>
      </c>
    </row>
    <row r="1716" spans="1:28" hidden="1" x14ac:dyDescent="0.3">
      <c r="A1716" s="117"/>
      <c r="C1716" s="68" t="s">
        <v>924</v>
      </c>
      <c r="D1716" s="145"/>
      <c r="E1716" s="85">
        <f>STATS1003B!E1719/1000</f>
        <v>281.63</v>
      </c>
      <c r="F1716" s="85">
        <f>STATS1003B!F1719/1000</f>
        <v>281.63</v>
      </c>
      <c r="G1716" s="85">
        <f>STATS1003B!G1719/1000</f>
        <v>0</v>
      </c>
      <c r="H1716" s="85">
        <f>STATS1003B!H1719/1000</f>
        <v>281.63</v>
      </c>
      <c r="I1716" s="85">
        <f>STATS1003B!I1719/1000</f>
        <v>0</v>
      </c>
      <c r="J1716" s="85">
        <f>STATS1003B!J1719/1000</f>
        <v>0</v>
      </c>
      <c r="K1716" s="85">
        <f>STATS1003B!K1719/1000</f>
        <v>0</v>
      </c>
      <c r="L1716" s="85">
        <f>STATS1003B!L1719/1000</f>
        <v>0</v>
      </c>
      <c r="M1716" s="85">
        <f>STATS1003B!M1719/1000</f>
        <v>281.63</v>
      </c>
      <c r="N1716" s="85">
        <f>STATS1003B!N1719/1000</f>
        <v>0</v>
      </c>
      <c r="O1716" s="85">
        <f>STATS1003B!O1719/1000</f>
        <v>0</v>
      </c>
      <c r="P1716" s="85">
        <f>STATS1003B!P1719/1000</f>
        <v>0</v>
      </c>
      <c r="Q1716" s="85">
        <f>STATS1003B!Q1719/1000</f>
        <v>0</v>
      </c>
      <c r="R1716" s="85">
        <f>STATS1003B!R1719/1000</f>
        <v>0</v>
      </c>
      <c r="S1716" s="85">
        <f>STATS1003B!S1719/1000</f>
        <v>0</v>
      </c>
      <c r="T1716" s="85">
        <f>STATS1003B!T1719/1000</f>
        <v>0</v>
      </c>
      <c r="U1716" s="85">
        <f>STATS1003B!U1719/1000</f>
        <v>0</v>
      </c>
      <c r="V1716" s="85">
        <f>STATS1003B!V1719/1000</f>
        <v>281.63</v>
      </c>
      <c r="W1716" s="85">
        <f>STATS1003B!W1719/1000</f>
        <v>0</v>
      </c>
      <c r="X1716" s="85">
        <f t="shared" si="184"/>
        <v>281.63</v>
      </c>
      <c r="Y1716" s="85">
        <f>STATS1003B!Y1719/1000</f>
        <v>0</v>
      </c>
      <c r="Z1716" s="85">
        <f>STATS1003B!Z1719/1000</f>
        <v>0</v>
      </c>
      <c r="AA1716" s="69">
        <f>STATS1003B!AA1719/1000</f>
        <v>281.63</v>
      </c>
      <c r="AB1716" s="69">
        <f>STATS1003B!AB1719/1000</f>
        <v>0</v>
      </c>
    </row>
    <row r="1717" spans="1:28" hidden="1" x14ac:dyDescent="0.3">
      <c r="A1717" s="117"/>
      <c r="C1717" s="68" t="s">
        <v>930</v>
      </c>
      <c r="D1717" s="90" t="s">
        <v>1072</v>
      </c>
      <c r="E1717" s="85">
        <f>STATS1003B!E1720/1000</f>
        <v>764.12492000000009</v>
      </c>
      <c r="F1717" s="85">
        <f>STATS1003B!F1720/1000</f>
        <v>764.12492000000009</v>
      </c>
      <c r="G1717" s="85">
        <f>STATS1003B!G1720/1000</f>
        <v>0</v>
      </c>
      <c r="H1717" s="85">
        <f>STATS1003B!H1720/1000</f>
        <v>764.12492000000009</v>
      </c>
      <c r="I1717" s="85">
        <f>STATS1003B!I1720/1000</f>
        <v>0</v>
      </c>
      <c r="J1717" s="85">
        <f>STATS1003B!J1720/1000</f>
        <v>0</v>
      </c>
      <c r="K1717" s="85">
        <f>STATS1003B!K1720/1000</f>
        <v>0</v>
      </c>
      <c r="L1717" s="85">
        <f>STATS1003B!L1720/1000</f>
        <v>0</v>
      </c>
      <c r="M1717" s="85">
        <f>STATS1003B!M1720/1000</f>
        <v>764.12492000000009</v>
      </c>
      <c r="N1717" s="85">
        <f>STATS1003B!N1720/1000</f>
        <v>0</v>
      </c>
      <c r="O1717" s="85">
        <f>STATS1003B!O1720/1000</f>
        <v>0</v>
      </c>
      <c r="P1717" s="85">
        <f>STATS1003B!P1720/1000</f>
        <v>0</v>
      </c>
      <c r="Q1717" s="85">
        <f>STATS1003B!Q1720/1000</f>
        <v>0</v>
      </c>
      <c r="R1717" s="85">
        <f>STATS1003B!R1720/1000</f>
        <v>0</v>
      </c>
      <c r="S1717" s="85">
        <f>STATS1003B!S1720/1000</f>
        <v>0</v>
      </c>
      <c r="T1717" s="85">
        <f>STATS1003B!T1720/1000</f>
        <v>0</v>
      </c>
      <c r="U1717" s="85">
        <f>STATS1003B!U1720/1000</f>
        <v>0</v>
      </c>
      <c r="V1717" s="85">
        <f>STATS1003B!V1720/1000</f>
        <v>764.12492000000009</v>
      </c>
      <c r="W1717" s="85">
        <f>STATS1003B!W1720/1000</f>
        <v>0</v>
      </c>
      <c r="X1717" s="85">
        <f t="shared" si="184"/>
        <v>764.12492000000009</v>
      </c>
      <c r="Y1717" s="85">
        <f>STATS1003B!Y1720/1000</f>
        <v>0</v>
      </c>
      <c r="Z1717" s="85">
        <f>STATS1003B!Z1720/1000</f>
        <v>0</v>
      </c>
      <c r="AA1717" s="69">
        <f>STATS1003B!AA1720/1000</f>
        <v>764.12492000000009</v>
      </c>
      <c r="AB1717" s="69">
        <f>STATS1003B!AB1720/1000</f>
        <v>0</v>
      </c>
    </row>
    <row r="1718" spans="1:28" hidden="1" x14ac:dyDescent="0.3">
      <c r="A1718" s="117"/>
      <c r="C1718" s="68" t="s">
        <v>57</v>
      </c>
      <c r="D1718" s="90" t="s">
        <v>61</v>
      </c>
      <c r="E1718" s="85">
        <f>STATS1003B!E1721/1000</f>
        <v>281.63</v>
      </c>
      <c r="F1718" s="85">
        <f>STATS1003B!F1721/1000</f>
        <v>281.63</v>
      </c>
      <c r="G1718" s="85">
        <f>STATS1003B!G1721/1000</f>
        <v>0</v>
      </c>
      <c r="H1718" s="85">
        <f>STATS1003B!H1721/1000</f>
        <v>281.63</v>
      </c>
      <c r="I1718" s="85">
        <f>STATS1003B!I1721/1000</f>
        <v>0</v>
      </c>
      <c r="J1718" s="85">
        <f>STATS1003B!J1721/1000</f>
        <v>0</v>
      </c>
      <c r="K1718" s="85">
        <f>STATS1003B!K1721/1000</f>
        <v>0</v>
      </c>
      <c r="L1718" s="85">
        <f>STATS1003B!L1721/1000</f>
        <v>0</v>
      </c>
      <c r="M1718" s="85">
        <f>STATS1003B!M1721/1000</f>
        <v>281.63</v>
      </c>
      <c r="N1718" s="85">
        <f>STATS1003B!N1721/1000</f>
        <v>0</v>
      </c>
      <c r="O1718" s="85">
        <f>STATS1003B!O1721/1000</f>
        <v>0</v>
      </c>
      <c r="P1718" s="85">
        <f>STATS1003B!P1721/1000</f>
        <v>0</v>
      </c>
      <c r="Q1718" s="85">
        <f>STATS1003B!Q1721/1000</f>
        <v>0</v>
      </c>
      <c r="R1718" s="85">
        <f>STATS1003B!R1721/1000</f>
        <v>0</v>
      </c>
      <c r="S1718" s="85">
        <f>STATS1003B!S1721/1000</f>
        <v>0</v>
      </c>
      <c r="T1718" s="85">
        <f>STATS1003B!T1721/1000</f>
        <v>0</v>
      </c>
      <c r="U1718" s="85">
        <f>STATS1003B!U1721/1000</f>
        <v>0</v>
      </c>
      <c r="V1718" s="85">
        <f>STATS1003B!V1721/1000</f>
        <v>281.63</v>
      </c>
      <c r="W1718" s="85">
        <f>STATS1003B!W1721/1000</f>
        <v>0</v>
      </c>
      <c r="X1718" s="85">
        <f t="shared" si="184"/>
        <v>281.63</v>
      </c>
      <c r="Y1718" s="85">
        <f>STATS1003B!Y1721/1000</f>
        <v>0</v>
      </c>
      <c r="Z1718" s="85">
        <f>STATS1003B!Z1721/1000</f>
        <v>0</v>
      </c>
      <c r="AA1718" s="69">
        <f>STATS1003B!AA1721/1000</f>
        <v>281.63</v>
      </c>
      <c r="AB1718" s="69">
        <f>STATS1003B!AB1721/1000</f>
        <v>0</v>
      </c>
    </row>
    <row r="1719" spans="1:28" hidden="1" x14ac:dyDescent="0.3">
      <c r="A1719" s="117"/>
      <c r="C1719" s="69"/>
      <c r="E1719" s="86" t="s">
        <v>29</v>
      </c>
      <c r="F1719" s="86" t="s">
        <v>29</v>
      </c>
      <c r="G1719" s="86" t="s">
        <v>29</v>
      </c>
      <c r="H1719" s="86" t="s">
        <v>29</v>
      </c>
      <c r="I1719" s="86" t="s">
        <v>29</v>
      </c>
      <c r="J1719" s="86" t="s">
        <v>29</v>
      </c>
      <c r="K1719" s="86" t="s">
        <v>29</v>
      </c>
      <c r="L1719" s="86" t="s">
        <v>29</v>
      </c>
      <c r="M1719" s="86" t="s">
        <v>29</v>
      </c>
      <c r="N1719" s="86" t="s">
        <v>29</v>
      </c>
      <c r="O1719" s="86" t="s">
        <v>29</v>
      </c>
      <c r="P1719" s="86" t="s">
        <v>29</v>
      </c>
      <c r="Q1719" s="86" t="s">
        <v>29</v>
      </c>
      <c r="R1719" s="86" t="s">
        <v>29</v>
      </c>
      <c r="S1719" s="86" t="s">
        <v>29</v>
      </c>
      <c r="T1719" s="86" t="s">
        <v>29</v>
      </c>
      <c r="U1719" s="86" t="s">
        <v>29</v>
      </c>
      <c r="V1719" s="86" t="s">
        <v>29</v>
      </c>
      <c r="W1719" s="86" t="s">
        <v>29</v>
      </c>
      <c r="X1719" s="85" t="e">
        <f t="shared" si="184"/>
        <v>#VALUE!</v>
      </c>
      <c r="Y1719" s="86" t="s">
        <v>29</v>
      </c>
      <c r="Z1719" s="86" t="s">
        <v>29</v>
      </c>
      <c r="AA1719" s="115" t="s">
        <v>29</v>
      </c>
      <c r="AB1719" s="115" t="s">
        <v>29</v>
      </c>
    </row>
    <row r="1720" spans="1:28" x14ac:dyDescent="0.3">
      <c r="A1720" s="116">
        <v>74</v>
      </c>
      <c r="B1720" s="68" t="s">
        <v>347</v>
      </c>
      <c r="E1720" s="85">
        <f>19332486.47/1000</f>
        <v>19332.48647</v>
      </c>
      <c r="F1720" s="85">
        <f t="shared" ref="F1720:AB1720" si="189">SUM(F1712:F1718)</f>
        <v>9982.3189199999979</v>
      </c>
      <c r="G1720" s="85">
        <f t="shared" si="189"/>
        <v>0</v>
      </c>
      <c r="H1720" s="85">
        <f>18542740.12/1000</f>
        <v>18542.740120000002</v>
      </c>
      <c r="I1720" s="85">
        <f t="shared" si="189"/>
        <v>0</v>
      </c>
      <c r="J1720" s="85">
        <f t="shared" si="189"/>
        <v>0</v>
      </c>
      <c r="K1720" s="85">
        <f t="shared" si="189"/>
        <v>0</v>
      </c>
      <c r="L1720" s="85">
        <f t="shared" si="189"/>
        <v>0</v>
      </c>
      <c r="M1720" s="85">
        <f t="shared" si="189"/>
        <v>9982.3189199999979</v>
      </c>
      <c r="N1720" s="85">
        <f t="shared" si="189"/>
        <v>789.74635000000001</v>
      </c>
      <c r="O1720" s="85">
        <f t="shared" si="189"/>
        <v>0</v>
      </c>
      <c r="P1720" s="85">
        <f>789746/1000</f>
        <v>789.74599999999998</v>
      </c>
      <c r="Q1720" s="85">
        <f t="shared" si="189"/>
        <v>0</v>
      </c>
      <c r="R1720" s="85">
        <f t="shared" si="189"/>
        <v>0</v>
      </c>
      <c r="S1720" s="85">
        <f t="shared" si="189"/>
        <v>0</v>
      </c>
      <c r="T1720" s="85">
        <f t="shared" si="189"/>
        <v>0</v>
      </c>
      <c r="U1720" s="85">
        <f t="shared" si="189"/>
        <v>789.74635000000001</v>
      </c>
      <c r="V1720" s="85">
        <f t="shared" si="189"/>
        <v>10772.065269999997</v>
      </c>
      <c r="W1720" s="85">
        <f t="shared" si="189"/>
        <v>0</v>
      </c>
      <c r="X1720" s="85">
        <f t="shared" ref="X1720:X1737" si="190">+H1720+P1720</f>
        <v>19332.486120000001</v>
      </c>
      <c r="Y1720" s="85">
        <f t="shared" si="189"/>
        <v>0</v>
      </c>
      <c r="Z1720" s="85">
        <f t="shared" si="189"/>
        <v>0</v>
      </c>
      <c r="AA1720" s="69">
        <f t="shared" si="189"/>
        <v>10772.065269999997</v>
      </c>
      <c r="AB1720" s="69">
        <f t="shared" si="189"/>
        <v>0</v>
      </c>
    </row>
    <row r="1721" spans="1:28" hidden="1" x14ac:dyDescent="0.3">
      <c r="A1721" s="117"/>
      <c r="E1721" s="86" t="s">
        <v>29</v>
      </c>
      <c r="F1721" s="86" t="s">
        <v>29</v>
      </c>
      <c r="G1721" s="86" t="s">
        <v>29</v>
      </c>
      <c r="H1721" s="86" t="s">
        <v>29</v>
      </c>
      <c r="I1721" s="86" t="s">
        <v>29</v>
      </c>
      <c r="J1721" s="86" t="s">
        <v>29</v>
      </c>
      <c r="K1721" s="86" t="s">
        <v>29</v>
      </c>
      <c r="L1721" s="86" t="s">
        <v>29</v>
      </c>
      <c r="M1721" s="86" t="s">
        <v>29</v>
      </c>
      <c r="N1721" s="86" t="s">
        <v>29</v>
      </c>
      <c r="O1721" s="86" t="s">
        <v>29</v>
      </c>
      <c r="P1721" s="86" t="s">
        <v>29</v>
      </c>
      <c r="Q1721" s="86" t="s">
        <v>29</v>
      </c>
      <c r="R1721" s="86" t="s">
        <v>29</v>
      </c>
      <c r="S1721" s="86" t="s">
        <v>29</v>
      </c>
      <c r="T1721" s="86" t="s">
        <v>29</v>
      </c>
      <c r="U1721" s="86" t="s">
        <v>29</v>
      </c>
      <c r="V1721" s="86" t="s">
        <v>29</v>
      </c>
      <c r="W1721" s="86" t="s">
        <v>29</v>
      </c>
      <c r="X1721" s="85" t="e">
        <f t="shared" si="190"/>
        <v>#VALUE!</v>
      </c>
      <c r="Y1721" s="86" t="s">
        <v>29</v>
      </c>
      <c r="Z1721" s="86" t="s">
        <v>29</v>
      </c>
      <c r="AA1721" s="115" t="s">
        <v>29</v>
      </c>
      <c r="AB1721" s="115" t="s">
        <v>29</v>
      </c>
    </row>
    <row r="1722" spans="1:28" hidden="1" x14ac:dyDescent="0.3">
      <c r="A1722" s="105"/>
      <c r="E1722" s="84"/>
      <c r="F1722" s="84"/>
      <c r="G1722" s="84"/>
      <c r="H1722" s="84"/>
      <c r="I1722" s="84"/>
      <c r="J1722" s="84"/>
      <c r="K1722" s="84"/>
      <c r="L1722" s="84"/>
      <c r="M1722" s="84"/>
      <c r="N1722" s="84"/>
      <c r="O1722" s="84"/>
      <c r="P1722" s="84"/>
      <c r="Q1722" s="84"/>
      <c r="R1722" s="84"/>
      <c r="S1722" s="84"/>
      <c r="T1722" s="84"/>
      <c r="U1722" s="84"/>
      <c r="V1722" s="84"/>
      <c r="W1722" s="84"/>
      <c r="X1722" s="85">
        <f t="shared" si="190"/>
        <v>0</v>
      </c>
      <c r="Y1722" s="84"/>
      <c r="Z1722" s="84"/>
    </row>
    <row r="1723" spans="1:28" hidden="1" x14ac:dyDescent="0.3">
      <c r="A1723" s="117"/>
      <c r="C1723" s="68" t="s">
        <v>57</v>
      </c>
      <c r="D1723" s="145" t="s">
        <v>68</v>
      </c>
      <c r="E1723" s="85">
        <f>STATS1003B!E1726/1000</f>
        <v>323.23899999999998</v>
      </c>
      <c r="F1723" s="85">
        <f>STATS1003B!F1726/1000</f>
        <v>323.23899999999998</v>
      </c>
      <c r="G1723" s="85">
        <f>STATS1003B!G1726/1000</f>
        <v>0</v>
      </c>
      <c r="H1723" s="85">
        <f>STATS1003B!H1726/1000</f>
        <v>323.23899999999998</v>
      </c>
      <c r="I1723" s="85">
        <f>STATS1003B!I1726/1000</f>
        <v>0</v>
      </c>
      <c r="J1723" s="85">
        <f>STATS1003B!J1726/1000</f>
        <v>0</v>
      </c>
      <c r="K1723" s="85">
        <f>STATS1003B!K1726/1000</f>
        <v>0</v>
      </c>
      <c r="L1723" s="85">
        <f>STATS1003B!L1726/1000</f>
        <v>0</v>
      </c>
      <c r="M1723" s="85">
        <f>STATS1003B!M1726/1000</f>
        <v>323.23899999999998</v>
      </c>
      <c r="N1723" s="85">
        <f>STATS1003B!N1726/1000</f>
        <v>0</v>
      </c>
      <c r="O1723" s="85">
        <f>STATS1003B!O1726/1000</f>
        <v>0</v>
      </c>
      <c r="P1723" s="85">
        <f>STATS1003B!P1726/1000</f>
        <v>0</v>
      </c>
      <c r="Q1723" s="85">
        <f>STATS1003B!Q1726/1000</f>
        <v>0</v>
      </c>
      <c r="R1723" s="85">
        <f>STATS1003B!R1726/1000</f>
        <v>0</v>
      </c>
      <c r="S1723" s="85">
        <f>STATS1003B!S1726/1000</f>
        <v>0</v>
      </c>
      <c r="T1723" s="85">
        <f>STATS1003B!T1726/1000</f>
        <v>0</v>
      </c>
      <c r="U1723" s="85">
        <f>STATS1003B!U1726/1000</f>
        <v>0</v>
      </c>
      <c r="V1723" s="85">
        <f>STATS1003B!V1726/1000</f>
        <v>323.23899999999998</v>
      </c>
      <c r="W1723" s="85">
        <f>STATS1003B!W1726/1000</f>
        <v>0</v>
      </c>
      <c r="X1723" s="85">
        <f t="shared" si="190"/>
        <v>323.23899999999998</v>
      </c>
      <c r="Y1723" s="85">
        <f>STATS1003B!Y1726/1000</f>
        <v>0</v>
      </c>
      <c r="Z1723" s="85">
        <f>STATS1003B!Z1726/1000</f>
        <v>0</v>
      </c>
      <c r="AA1723" s="69">
        <f>STATS1003B!AA1726/1000</f>
        <v>323.23899999999998</v>
      </c>
      <c r="AB1723" s="69">
        <f>STATS1003B!AB1726/1000</f>
        <v>0</v>
      </c>
    </row>
    <row r="1724" spans="1:28" hidden="1" x14ac:dyDescent="0.3">
      <c r="A1724" s="117"/>
      <c r="C1724" s="68" t="s">
        <v>53</v>
      </c>
      <c r="D1724" s="145" t="s">
        <v>68</v>
      </c>
      <c r="E1724" s="85">
        <f>STATS1003B!E1727/1000</f>
        <v>570.94100000000003</v>
      </c>
      <c r="F1724" s="85">
        <f>STATS1003B!F1727/1000</f>
        <v>0</v>
      </c>
      <c r="G1724" s="85">
        <f>STATS1003B!G1727/1000</f>
        <v>0</v>
      </c>
      <c r="H1724" s="85">
        <f>STATS1003B!H1727/1000</f>
        <v>0</v>
      </c>
      <c r="I1724" s="85">
        <f>STATS1003B!I1727/1000</f>
        <v>0</v>
      </c>
      <c r="J1724" s="85">
        <f>STATS1003B!J1727/1000</f>
        <v>0</v>
      </c>
      <c r="K1724" s="85">
        <f>STATS1003B!K1727/1000</f>
        <v>0</v>
      </c>
      <c r="L1724" s="85">
        <f>STATS1003B!L1727/1000</f>
        <v>0</v>
      </c>
      <c r="M1724" s="85">
        <f>STATS1003B!M1727/1000</f>
        <v>0</v>
      </c>
      <c r="N1724" s="85">
        <f>STATS1003B!N1727/1000</f>
        <v>570.94100000000003</v>
      </c>
      <c r="O1724" s="85">
        <f>STATS1003B!O1727/1000</f>
        <v>0</v>
      </c>
      <c r="P1724" s="85">
        <f>STATS1003B!P1727/1000</f>
        <v>570.94100000000003</v>
      </c>
      <c r="Q1724" s="85">
        <f>STATS1003B!Q1727/1000</f>
        <v>0</v>
      </c>
      <c r="R1724" s="85">
        <f>STATS1003B!R1727/1000</f>
        <v>0</v>
      </c>
      <c r="S1724" s="85">
        <f>STATS1003B!S1727/1000</f>
        <v>0</v>
      </c>
      <c r="T1724" s="85">
        <f>STATS1003B!T1727/1000</f>
        <v>0</v>
      </c>
      <c r="U1724" s="85">
        <f>STATS1003B!U1727/1000</f>
        <v>570.94100000000003</v>
      </c>
      <c r="V1724" s="85">
        <f>STATS1003B!V1727/1000</f>
        <v>570.94100000000003</v>
      </c>
      <c r="W1724" s="85">
        <f>STATS1003B!W1727/1000</f>
        <v>0</v>
      </c>
      <c r="X1724" s="85">
        <f t="shared" si="190"/>
        <v>570.94100000000003</v>
      </c>
      <c r="Y1724" s="85">
        <f>STATS1003B!Y1727/1000</f>
        <v>0</v>
      </c>
      <c r="Z1724" s="85">
        <f>STATS1003B!Z1727/1000</f>
        <v>0</v>
      </c>
      <c r="AA1724" s="69">
        <f>STATS1003B!AA1727/1000</f>
        <v>570.94100000000003</v>
      </c>
      <c r="AB1724" s="69">
        <f>STATS1003B!AB1727/1000</f>
        <v>0</v>
      </c>
    </row>
    <row r="1725" spans="1:28" hidden="1" x14ac:dyDescent="0.3">
      <c r="A1725" s="117"/>
      <c r="C1725" s="68" t="s">
        <v>350</v>
      </c>
      <c r="D1725" s="145" t="s">
        <v>234</v>
      </c>
      <c r="E1725" s="85">
        <f>STATS1003B!E1728/1000</f>
        <v>3989.3530000000001</v>
      </c>
      <c r="F1725" s="85">
        <f>STATS1003B!F1728/1000</f>
        <v>3989.3530000000001</v>
      </c>
      <c r="G1725" s="85">
        <f>STATS1003B!G1728/1000</f>
        <v>0</v>
      </c>
      <c r="H1725" s="85">
        <f>STATS1003B!H1728/1000</f>
        <v>3989.3530000000001</v>
      </c>
      <c r="I1725" s="85">
        <f>STATS1003B!I1728/1000</f>
        <v>0</v>
      </c>
      <c r="J1725" s="85">
        <f>STATS1003B!J1728/1000</f>
        <v>0</v>
      </c>
      <c r="K1725" s="85">
        <f>STATS1003B!K1728/1000</f>
        <v>0</v>
      </c>
      <c r="L1725" s="85">
        <f>STATS1003B!L1728/1000</f>
        <v>0</v>
      </c>
      <c r="M1725" s="85">
        <f>STATS1003B!M1728/1000</f>
        <v>3989.3530000000001</v>
      </c>
      <c r="N1725" s="85">
        <f>STATS1003B!N1728/1000</f>
        <v>0</v>
      </c>
      <c r="O1725" s="85">
        <f>STATS1003B!O1728/1000</f>
        <v>0</v>
      </c>
      <c r="P1725" s="85">
        <f>STATS1003B!P1728/1000</f>
        <v>0</v>
      </c>
      <c r="Q1725" s="85">
        <f>STATS1003B!Q1728/1000</f>
        <v>0</v>
      </c>
      <c r="R1725" s="85">
        <f>STATS1003B!R1728/1000</f>
        <v>0</v>
      </c>
      <c r="S1725" s="85">
        <f>STATS1003B!S1728/1000</f>
        <v>0</v>
      </c>
      <c r="T1725" s="85">
        <f>STATS1003B!T1728/1000</f>
        <v>0</v>
      </c>
      <c r="U1725" s="85">
        <f>STATS1003B!U1728/1000</f>
        <v>0</v>
      </c>
      <c r="V1725" s="85">
        <f>STATS1003B!V1728/1000</f>
        <v>3989.3530000000001</v>
      </c>
      <c r="W1725" s="85">
        <f>STATS1003B!W1728/1000</f>
        <v>0</v>
      </c>
      <c r="X1725" s="85">
        <f t="shared" si="190"/>
        <v>3989.3530000000001</v>
      </c>
      <c r="Y1725" s="85">
        <f>STATS1003B!Y1728/1000</f>
        <v>0</v>
      </c>
      <c r="Z1725" s="85">
        <f>STATS1003B!Z1728/1000</f>
        <v>0</v>
      </c>
      <c r="AA1725" s="69">
        <f>STATS1003B!AA1728/1000</f>
        <v>3989.3530000000001</v>
      </c>
      <c r="AB1725" s="69">
        <f>STATS1003B!AB1728/1000</f>
        <v>0</v>
      </c>
    </row>
    <row r="1726" spans="1:28" hidden="1" x14ac:dyDescent="0.3">
      <c r="A1726" s="117"/>
      <c r="C1726" s="68" t="s">
        <v>57</v>
      </c>
      <c r="D1726" s="145" t="s">
        <v>54</v>
      </c>
      <c r="E1726" s="85">
        <f>STATS1003B!E1729/1000</f>
        <v>137.47800000000001</v>
      </c>
      <c r="F1726" s="85">
        <f>STATS1003B!F1729/1000</f>
        <v>137.47800000000001</v>
      </c>
      <c r="G1726" s="85">
        <f>STATS1003B!G1729/1000</f>
        <v>0</v>
      </c>
      <c r="H1726" s="85">
        <f>STATS1003B!H1729/1000</f>
        <v>137.47800000000001</v>
      </c>
      <c r="I1726" s="85">
        <f>STATS1003B!I1729/1000</f>
        <v>0</v>
      </c>
      <c r="J1726" s="85">
        <f>STATS1003B!J1729/1000</f>
        <v>0</v>
      </c>
      <c r="K1726" s="85">
        <f>STATS1003B!K1729/1000</f>
        <v>0</v>
      </c>
      <c r="L1726" s="85">
        <f>STATS1003B!L1729/1000</f>
        <v>0</v>
      </c>
      <c r="M1726" s="85">
        <f>STATS1003B!M1729/1000</f>
        <v>137.47800000000001</v>
      </c>
      <c r="N1726" s="85">
        <f>STATS1003B!N1729/1000</f>
        <v>0</v>
      </c>
      <c r="O1726" s="85">
        <f>STATS1003B!O1729/1000</f>
        <v>0</v>
      </c>
      <c r="P1726" s="85">
        <f>STATS1003B!P1729/1000</f>
        <v>0</v>
      </c>
      <c r="Q1726" s="85">
        <f>STATS1003B!Q1729/1000</f>
        <v>0</v>
      </c>
      <c r="R1726" s="85">
        <f>STATS1003B!R1729/1000</f>
        <v>0</v>
      </c>
      <c r="S1726" s="85">
        <f>STATS1003B!S1729/1000</f>
        <v>0</v>
      </c>
      <c r="T1726" s="85">
        <f>STATS1003B!T1729/1000</f>
        <v>0</v>
      </c>
      <c r="U1726" s="85">
        <f>STATS1003B!U1729/1000</f>
        <v>0</v>
      </c>
      <c r="V1726" s="85">
        <f>STATS1003B!V1729/1000</f>
        <v>137.47800000000001</v>
      </c>
      <c r="W1726" s="85">
        <f>STATS1003B!W1729/1000</f>
        <v>0</v>
      </c>
      <c r="X1726" s="85">
        <f t="shared" si="190"/>
        <v>137.47800000000001</v>
      </c>
      <c r="Y1726" s="85">
        <f>STATS1003B!Y1729/1000</f>
        <v>0</v>
      </c>
      <c r="Z1726" s="85">
        <f>STATS1003B!Z1729/1000</f>
        <v>0</v>
      </c>
      <c r="AA1726" s="69">
        <f>STATS1003B!AA1729/1000</f>
        <v>137.47800000000001</v>
      </c>
      <c r="AB1726" s="69">
        <f>STATS1003B!AB1729/1000</f>
        <v>0</v>
      </c>
    </row>
    <row r="1727" spans="1:28" hidden="1" x14ac:dyDescent="0.3">
      <c r="A1727" s="117"/>
      <c r="C1727" s="68" t="s">
        <v>351</v>
      </c>
      <c r="D1727" s="145" t="s">
        <v>234</v>
      </c>
      <c r="E1727" s="85">
        <f>STATS1003B!E1730/1000</f>
        <v>232</v>
      </c>
      <c r="F1727" s="85">
        <f>STATS1003B!F1730/1000</f>
        <v>232</v>
      </c>
      <c r="G1727" s="85">
        <f>STATS1003B!G1730/1000</f>
        <v>0</v>
      </c>
      <c r="H1727" s="85">
        <f>STATS1003B!H1730/1000</f>
        <v>232</v>
      </c>
      <c r="I1727" s="85">
        <f>STATS1003B!I1730/1000</f>
        <v>0</v>
      </c>
      <c r="J1727" s="85">
        <f>STATS1003B!J1730/1000</f>
        <v>0</v>
      </c>
      <c r="K1727" s="85">
        <f>STATS1003B!K1730/1000</f>
        <v>0</v>
      </c>
      <c r="L1727" s="85">
        <f>STATS1003B!L1730/1000</f>
        <v>0</v>
      </c>
      <c r="M1727" s="85">
        <f>STATS1003B!M1730/1000</f>
        <v>232</v>
      </c>
      <c r="N1727" s="85">
        <f>STATS1003B!N1730/1000</f>
        <v>0</v>
      </c>
      <c r="O1727" s="85">
        <f>STATS1003B!O1730/1000</f>
        <v>0</v>
      </c>
      <c r="P1727" s="85">
        <f>STATS1003B!P1730/1000</f>
        <v>0</v>
      </c>
      <c r="Q1727" s="85">
        <f>STATS1003B!Q1730/1000</f>
        <v>0</v>
      </c>
      <c r="R1727" s="85">
        <f>STATS1003B!R1730/1000</f>
        <v>0</v>
      </c>
      <c r="S1727" s="85">
        <f>STATS1003B!S1730/1000</f>
        <v>0</v>
      </c>
      <c r="T1727" s="85">
        <f>STATS1003B!T1730/1000</f>
        <v>0</v>
      </c>
      <c r="U1727" s="85">
        <f>STATS1003B!U1730/1000</f>
        <v>0</v>
      </c>
      <c r="V1727" s="85">
        <f>STATS1003B!V1730/1000</f>
        <v>232</v>
      </c>
      <c r="W1727" s="85">
        <f>STATS1003B!W1730/1000</f>
        <v>0</v>
      </c>
      <c r="X1727" s="85">
        <f t="shared" si="190"/>
        <v>232</v>
      </c>
      <c r="Y1727" s="85">
        <f>STATS1003B!Y1730/1000</f>
        <v>0</v>
      </c>
      <c r="Z1727" s="85">
        <f>STATS1003B!Z1730/1000</f>
        <v>0</v>
      </c>
      <c r="AA1727" s="69">
        <f>STATS1003B!AA1730/1000</f>
        <v>232</v>
      </c>
      <c r="AB1727" s="69">
        <f>STATS1003B!AB1730/1000</f>
        <v>0</v>
      </c>
    </row>
    <row r="1728" spans="1:28" hidden="1" x14ac:dyDescent="0.3">
      <c r="A1728" s="117"/>
      <c r="C1728" s="68" t="s">
        <v>57</v>
      </c>
      <c r="D1728" s="145" t="s">
        <v>85</v>
      </c>
      <c r="E1728" s="85">
        <f>STATS1003B!E1731/1000</f>
        <v>900</v>
      </c>
      <c r="F1728" s="85">
        <f>STATS1003B!F1731/1000</f>
        <v>900</v>
      </c>
      <c r="G1728" s="85">
        <f>STATS1003B!G1731/1000</f>
        <v>0</v>
      </c>
      <c r="H1728" s="85">
        <f>STATS1003B!H1731/1000</f>
        <v>900</v>
      </c>
      <c r="I1728" s="85">
        <f>STATS1003B!I1731/1000</f>
        <v>0</v>
      </c>
      <c r="J1728" s="85">
        <f>STATS1003B!J1731/1000</f>
        <v>0</v>
      </c>
      <c r="K1728" s="85">
        <f>STATS1003B!K1731/1000</f>
        <v>0</v>
      </c>
      <c r="L1728" s="85">
        <f>STATS1003B!L1731/1000</f>
        <v>0</v>
      </c>
      <c r="M1728" s="85">
        <f>STATS1003B!M1731/1000</f>
        <v>900</v>
      </c>
      <c r="N1728" s="85">
        <f>STATS1003B!N1731/1000</f>
        <v>0</v>
      </c>
      <c r="O1728" s="85">
        <f>STATS1003B!O1731/1000</f>
        <v>0</v>
      </c>
      <c r="P1728" s="85">
        <f>STATS1003B!P1731/1000</f>
        <v>0</v>
      </c>
      <c r="Q1728" s="85">
        <f>STATS1003B!Q1731/1000</f>
        <v>0</v>
      </c>
      <c r="R1728" s="85">
        <f>STATS1003B!R1731/1000</f>
        <v>0</v>
      </c>
      <c r="S1728" s="85">
        <f>STATS1003B!S1731/1000</f>
        <v>0</v>
      </c>
      <c r="T1728" s="85">
        <f>STATS1003B!T1731/1000</f>
        <v>0</v>
      </c>
      <c r="U1728" s="85">
        <f>STATS1003B!U1731/1000</f>
        <v>0</v>
      </c>
      <c r="V1728" s="85">
        <f>STATS1003B!V1731/1000</f>
        <v>900</v>
      </c>
      <c r="W1728" s="85">
        <f>STATS1003B!W1731/1000</f>
        <v>0</v>
      </c>
      <c r="X1728" s="85">
        <f t="shared" si="190"/>
        <v>900</v>
      </c>
      <c r="Y1728" s="85">
        <f>STATS1003B!Y1731/1000</f>
        <v>0</v>
      </c>
      <c r="Z1728" s="85">
        <f>STATS1003B!Z1731/1000</f>
        <v>0</v>
      </c>
      <c r="AA1728" s="69">
        <f>STATS1003B!AA1731/1000</f>
        <v>900</v>
      </c>
      <c r="AB1728" s="69">
        <f>STATS1003B!AB1731/1000</f>
        <v>0</v>
      </c>
    </row>
    <row r="1729" spans="1:28" hidden="1" x14ac:dyDescent="0.3">
      <c r="A1729" s="117"/>
      <c r="C1729" s="68" t="s">
        <v>302</v>
      </c>
      <c r="D1729" s="145" t="s">
        <v>85</v>
      </c>
      <c r="E1729" s="85">
        <f>STATS1003B!E1732/1000</f>
        <v>160</v>
      </c>
      <c r="F1729" s="85">
        <f>STATS1003B!F1732/1000</f>
        <v>160</v>
      </c>
      <c r="G1729" s="85">
        <f>STATS1003B!G1732/1000</f>
        <v>0</v>
      </c>
      <c r="H1729" s="85">
        <f>STATS1003B!H1732/1000</f>
        <v>160</v>
      </c>
      <c r="I1729" s="85">
        <f>STATS1003B!I1732/1000</f>
        <v>0</v>
      </c>
      <c r="J1729" s="85">
        <f>STATS1003B!J1732/1000</f>
        <v>0</v>
      </c>
      <c r="K1729" s="85">
        <f>STATS1003B!K1732/1000</f>
        <v>0</v>
      </c>
      <c r="L1729" s="85">
        <f>STATS1003B!L1732/1000</f>
        <v>0</v>
      </c>
      <c r="M1729" s="85">
        <f>STATS1003B!M1732/1000</f>
        <v>160</v>
      </c>
      <c r="N1729" s="85">
        <f>STATS1003B!N1732/1000</f>
        <v>0</v>
      </c>
      <c r="O1729" s="85">
        <f>STATS1003B!O1732/1000</f>
        <v>0</v>
      </c>
      <c r="P1729" s="85">
        <f>STATS1003B!P1732/1000</f>
        <v>0</v>
      </c>
      <c r="Q1729" s="85">
        <f>STATS1003B!Q1732/1000</f>
        <v>0</v>
      </c>
      <c r="R1729" s="85">
        <f>STATS1003B!R1732/1000</f>
        <v>0</v>
      </c>
      <c r="S1729" s="85">
        <f>STATS1003B!S1732/1000</f>
        <v>0</v>
      </c>
      <c r="T1729" s="85">
        <f>STATS1003B!T1732/1000</f>
        <v>0</v>
      </c>
      <c r="U1729" s="85">
        <f>STATS1003B!U1732/1000</f>
        <v>0</v>
      </c>
      <c r="V1729" s="85">
        <f>STATS1003B!V1732/1000</f>
        <v>160</v>
      </c>
      <c r="W1729" s="85">
        <f>STATS1003B!W1732/1000</f>
        <v>0</v>
      </c>
      <c r="X1729" s="85">
        <f t="shared" si="190"/>
        <v>160</v>
      </c>
      <c r="Y1729" s="85">
        <f>STATS1003B!Y1732/1000</f>
        <v>0</v>
      </c>
      <c r="Z1729" s="85">
        <f>STATS1003B!Z1732/1000</f>
        <v>0</v>
      </c>
      <c r="AA1729" s="69">
        <f>STATS1003B!AA1732/1000</f>
        <v>160</v>
      </c>
      <c r="AB1729" s="69">
        <f>STATS1003B!AB1732/1000</f>
        <v>0</v>
      </c>
    </row>
    <row r="1730" spans="1:28" hidden="1" x14ac:dyDescent="0.3">
      <c r="A1730" s="117"/>
      <c r="C1730" s="68" t="s">
        <v>57</v>
      </c>
      <c r="D1730" s="145" t="s">
        <v>128</v>
      </c>
      <c r="E1730" s="85">
        <f>STATS1003B!E1733/1000</f>
        <v>594</v>
      </c>
      <c r="F1730" s="85">
        <f>STATS1003B!F1733/1000</f>
        <v>594</v>
      </c>
      <c r="G1730" s="85">
        <f>STATS1003B!G1733/1000</f>
        <v>0</v>
      </c>
      <c r="H1730" s="85">
        <f>STATS1003B!H1733/1000</f>
        <v>594</v>
      </c>
      <c r="I1730" s="85">
        <f>STATS1003B!I1733/1000</f>
        <v>0</v>
      </c>
      <c r="J1730" s="85">
        <f>STATS1003B!J1733/1000</f>
        <v>0</v>
      </c>
      <c r="K1730" s="85">
        <f>STATS1003B!K1733/1000</f>
        <v>0</v>
      </c>
      <c r="L1730" s="85">
        <f>STATS1003B!L1733/1000</f>
        <v>0</v>
      </c>
      <c r="M1730" s="85">
        <f>STATS1003B!M1733/1000</f>
        <v>594</v>
      </c>
      <c r="N1730" s="85">
        <f>STATS1003B!N1733/1000</f>
        <v>0</v>
      </c>
      <c r="O1730" s="85">
        <f>STATS1003B!O1733/1000</f>
        <v>0</v>
      </c>
      <c r="P1730" s="85">
        <f>STATS1003B!P1733/1000</f>
        <v>0</v>
      </c>
      <c r="Q1730" s="85">
        <f>STATS1003B!Q1733/1000</f>
        <v>0</v>
      </c>
      <c r="R1730" s="85">
        <f>STATS1003B!R1733/1000</f>
        <v>0</v>
      </c>
      <c r="S1730" s="85">
        <f>STATS1003B!S1733/1000</f>
        <v>0</v>
      </c>
      <c r="T1730" s="85">
        <f>STATS1003B!T1733/1000</f>
        <v>0</v>
      </c>
      <c r="U1730" s="85">
        <f>STATS1003B!U1733/1000</f>
        <v>0</v>
      </c>
      <c r="V1730" s="85">
        <f>STATS1003B!V1733/1000</f>
        <v>594</v>
      </c>
      <c r="W1730" s="85">
        <f>STATS1003B!W1733/1000</f>
        <v>0</v>
      </c>
      <c r="X1730" s="85">
        <f t="shared" si="190"/>
        <v>594</v>
      </c>
      <c r="Y1730" s="85">
        <f>STATS1003B!Y1733/1000</f>
        <v>0</v>
      </c>
      <c r="Z1730" s="85">
        <f>STATS1003B!Z1733/1000</f>
        <v>0</v>
      </c>
      <c r="AA1730" s="69">
        <f>STATS1003B!AA1733/1000</f>
        <v>594</v>
      </c>
      <c r="AB1730" s="69">
        <f>STATS1003B!AB1733/1000</f>
        <v>0</v>
      </c>
    </row>
    <row r="1731" spans="1:28" hidden="1" x14ac:dyDescent="0.3">
      <c r="A1731" s="117"/>
      <c r="C1731" s="68" t="s">
        <v>57</v>
      </c>
      <c r="D1731" s="145" t="s">
        <v>60</v>
      </c>
      <c r="E1731" s="85">
        <f>STATS1003B!E1734/1000</f>
        <v>777.16399999999999</v>
      </c>
      <c r="F1731" s="85">
        <f>STATS1003B!F1734/1000</f>
        <v>777.16399999999999</v>
      </c>
      <c r="G1731" s="85">
        <f>STATS1003B!G1734/1000</f>
        <v>0</v>
      </c>
      <c r="H1731" s="85">
        <f>STATS1003B!H1734/1000</f>
        <v>777.16399999999999</v>
      </c>
      <c r="I1731" s="85">
        <f>STATS1003B!I1734/1000</f>
        <v>0</v>
      </c>
      <c r="J1731" s="85">
        <f>STATS1003B!J1734/1000</f>
        <v>0</v>
      </c>
      <c r="K1731" s="85">
        <f>STATS1003B!K1734/1000</f>
        <v>0</v>
      </c>
      <c r="L1731" s="85">
        <f>STATS1003B!L1734/1000</f>
        <v>0</v>
      </c>
      <c r="M1731" s="85">
        <f>STATS1003B!M1734/1000</f>
        <v>777.16399999999999</v>
      </c>
      <c r="N1731" s="85">
        <f>STATS1003B!N1734/1000</f>
        <v>0</v>
      </c>
      <c r="O1731" s="85">
        <f>STATS1003B!O1734/1000</f>
        <v>0</v>
      </c>
      <c r="P1731" s="85">
        <f>STATS1003B!P1734/1000</f>
        <v>0</v>
      </c>
      <c r="Q1731" s="85">
        <f>STATS1003B!Q1734/1000</f>
        <v>0</v>
      </c>
      <c r="R1731" s="85">
        <f>STATS1003B!R1734/1000</f>
        <v>0</v>
      </c>
      <c r="S1731" s="85">
        <f>STATS1003B!S1734/1000</f>
        <v>0</v>
      </c>
      <c r="T1731" s="85">
        <f>STATS1003B!T1734/1000</f>
        <v>0</v>
      </c>
      <c r="U1731" s="85">
        <f>STATS1003B!U1734/1000</f>
        <v>0</v>
      </c>
      <c r="V1731" s="85">
        <f>STATS1003B!V1734/1000</f>
        <v>777.16399999999999</v>
      </c>
      <c r="W1731" s="85">
        <f>STATS1003B!W1734/1000</f>
        <v>0</v>
      </c>
      <c r="X1731" s="85">
        <f t="shared" si="190"/>
        <v>777.16399999999999</v>
      </c>
      <c r="Y1731" s="85">
        <f>STATS1003B!Y1734/1000</f>
        <v>0</v>
      </c>
      <c r="Z1731" s="85">
        <f>STATS1003B!Z1734/1000</f>
        <v>0</v>
      </c>
      <c r="AA1731" s="69">
        <f>STATS1003B!AA1734/1000</f>
        <v>777.16399999999999</v>
      </c>
      <c r="AB1731" s="69">
        <f>STATS1003B!AB1734/1000</f>
        <v>0</v>
      </c>
    </row>
    <row r="1732" spans="1:28" hidden="1" x14ac:dyDescent="0.3">
      <c r="A1732" s="117"/>
      <c r="C1732" s="68" t="s">
        <v>57</v>
      </c>
      <c r="D1732" s="145" t="s">
        <v>73</v>
      </c>
      <c r="E1732" s="85">
        <f>STATS1003B!E1735/1000</f>
        <v>1326</v>
      </c>
      <c r="F1732" s="85">
        <f>STATS1003B!F1735/1000</f>
        <v>1326</v>
      </c>
      <c r="G1732" s="85">
        <f>STATS1003B!G1735/1000</f>
        <v>0</v>
      </c>
      <c r="H1732" s="85">
        <f>STATS1003B!H1735/1000</f>
        <v>1326</v>
      </c>
      <c r="I1732" s="85">
        <f>STATS1003B!I1735/1000</f>
        <v>0</v>
      </c>
      <c r="J1732" s="85">
        <f>STATS1003B!J1735/1000</f>
        <v>0</v>
      </c>
      <c r="K1732" s="85">
        <f>STATS1003B!K1735/1000</f>
        <v>0</v>
      </c>
      <c r="L1732" s="85">
        <f>STATS1003B!L1735/1000</f>
        <v>0</v>
      </c>
      <c r="M1732" s="85">
        <f>STATS1003B!M1735/1000</f>
        <v>1326</v>
      </c>
      <c r="N1732" s="85">
        <f>STATS1003B!N1735/1000</f>
        <v>0</v>
      </c>
      <c r="O1732" s="85">
        <f>STATS1003B!O1735/1000</f>
        <v>0</v>
      </c>
      <c r="P1732" s="85">
        <f>STATS1003B!P1735/1000</f>
        <v>0</v>
      </c>
      <c r="Q1732" s="85">
        <f>STATS1003B!Q1735/1000</f>
        <v>0</v>
      </c>
      <c r="R1732" s="85">
        <f>STATS1003B!R1735/1000</f>
        <v>0</v>
      </c>
      <c r="S1732" s="85">
        <f>STATS1003B!S1735/1000</f>
        <v>0</v>
      </c>
      <c r="T1732" s="85">
        <f>STATS1003B!T1735/1000</f>
        <v>0</v>
      </c>
      <c r="U1732" s="85">
        <f>STATS1003B!U1735/1000</f>
        <v>0</v>
      </c>
      <c r="V1732" s="85">
        <f>STATS1003B!V1735/1000</f>
        <v>1326</v>
      </c>
      <c r="W1732" s="85">
        <f>STATS1003B!W1735/1000</f>
        <v>0</v>
      </c>
      <c r="X1732" s="85">
        <f t="shared" si="190"/>
        <v>1326</v>
      </c>
      <c r="Y1732" s="85">
        <f>STATS1003B!Y1735/1000</f>
        <v>0</v>
      </c>
      <c r="Z1732" s="85">
        <f>STATS1003B!Z1735/1000</f>
        <v>0</v>
      </c>
      <c r="AA1732" s="69">
        <f>STATS1003B!AA1735/1000</f>
        <v>1326</v>
      </c>
      <c r="AB1732" s="69">
        <f>STATS1003B!AB1735/1000</f>
        <v>0</v>
      </c>
    </row>
    <row r="1733" spans="1:28" hidden="1" x14ac:dyDescent="0.3">
      <c r="A1733" s="117"/>
      <c r="C1733" s="68" t="s">
        <v>925</v>
      </c>
      <c r="D1733" s="145"/>
      <c r="E1733" s="85">
        <f>STATS1003B!E1736/1000</f>
        <v>494.67884000000004</v>
      </c>
      <c r="F1733" s="85">
        <f>STATS1003B!F1736/1000</f>
        <v>494.67884000000004</v>
      </c>
      <c r="G1733" s="85">
        <f>STATS1003B!G1736/1000</f>
        <v>0</v>
      </c>
      <c r="H1733" s="85">
        <f>STATS1003B!H1736/1000</f>
        <v>494.67884000000004</v>
      </c>
      <c r="I1733" s="85">
        <f>STATS1003B!I1736/1000</f>
        <v>0</v>
      </c>
      <c r="J1733" s="85">
        <f>STATS1003B!J1736/1000</f>
        <v>0</v>
      </c>
      <c r="K1733" s="85">
        <f>STATS1003B!K1736/1000</f>
        <v>0</v>
      </c>
      <c r="L1733" s="85">
        <f>STATS1003B!L1736/1000</f>
        <v>0</v>
      </c>
      <c r="M1733" s="85">
        <f>STATS1003B!M1736/1000</f>
        <v>494.67884000000004</v>
      </c>
      <c r="N1733" s="85">
        <f>STATS1003B!N1736/1000</f>
        <v>0</v>
      </c>
      <c r="O1733" s="85">
        <f>STATS1003B!O1736/1000</f>
        <v>0</v>
      </c>
      <c r="P1733" s="85">
        <f>STATS1003B!P1736/1000</f>
        <v>0</v>
      </c>
      <c r="Q1733" s="85">
        <f>STATS1003B!Q1736/1000</f>
        <v>0</v>
      </c>
      <c r="R1733" s="85">
        <f>STATS1003B!R1736/1000</f>
        <v>0</v>
      </c>
      <c r="S1733" s="85">
        <f>STATS1003B!S1736/1000</f>
        <v>0</v>
      </c>
      <c r="T1733" s="85">
        <f>STATS1003B!T1736/1000</f>
        <v>0</v>
      </c>
      <c r="U1733" s="85">
        <f>STATS1003B!U1736/1000</f>
        <v>0</v>
      </c>
      <c r="V1733" s="85">
        <f>STATS1003B!V1736/1000</f>
        <v>494.67884000000004</v>
      </c>
      <c r="W1733" s="85">
        <f>STATS1003B!W1736/1000</f>
        <v>0</v>
      </c>
      <c r="X1733" s="85">
        <f t="shared" si="190"/>
        <v>494.67884000000004</v>
      </c>
      <c r="Y1733" s="85">
        <f>STATS1003B!Y1736/1000</f>
        <v>0</v>
      </c>
      <c r="Z1733" s="85">
        <f>STATS1003B!Z1736/1000</f>
        <v>0</v>
      </c>
      <c r="AA1733" s="69">
        <f>STATS1003B!AA1736/1000</f>
        <v>494.67884000000004</v>
      </c>
      <c r="AB1733" s="69">
        <f>STATS1003B!AB1736/1000</f>
        <v>0</v>
      </c>
    </row>
    <row r="1734" spans="1:28" hidden="1" x14ac:dyDescent="0.3">
      <c r="A1734" s="117"/>
      <c r="C1734" s="68" t="s">
        <v>930</v>
      </c>
      <c r="D1734" s="90" t="s">
        <v>1072</v>
      </c>
      <c r="E1734" s="85">
        <f>STATS1003B!E1737/1000</f>
        <v>556.19592</v>
      </c>
      <c r="F1734" s="85">
        <f>STATS1003B!F1737/1000</f>
        <v>556.19592</v>
      </c>
      <c r="G1734" s="85">
        <f>STATS1003B!G1737/1000</f>
        <v>0</v>
      </c>
      <c r="H1734" s="85">
        <f>STATS1003B!H1737/1000</f>
        <v>556.19592</v>
      </c>
      <c r="I1734" s="85">
        <f>STATS1003B!I1737/1000</f>
        <v>0</v>
      </c>
      <c r="J1734" s="85">
        <f>STATS1003B!J1737/1000</f>
        <v>0</v>
      </c>
      <c r="K1734" s="85">
        <f>STATS1003B!K1737/1000</f>
        <v>0</v>
      </c>
      <c r="L1734" s="85">
        <f>STATS1003B!L1737/1000</f>
        <v>0</v>
      </c>
      <c r="M1734" s="85">
        <f>STATS1003B!M1737/1000</f>
        <v>556.19592</v>
      </c>
      <c r="N1734" s="85">
        <f>STATS1003B!N1737/1000</f>
        <v>0</v>
      </c>
      <c r="O1734" s="85">
        <f>STATS1003B!O1737/1000</f>
        <v>0</v>
      </c>
      <c r="P1734" s="85">
        <f>STATS1003B!P1737/1000</f>
        <v>0</v>
      </c>
      <c r="Q1734" s="85">
        <f>STATS1003B!Q1737/1000</f>
        <v>0</v>
      </c>
      <c r="R1734" s="85">
        <f>STATS1003B!R1737/1000</f>
        <v>0</v>
      </c>
      <c r="S1734" s="85">
        <f>STATS1003B!S1737/1000</f>
        <v>0</v>
      </c>
      <c r="T1734" s="85">
        <f>STATS1003B!T1737/1000</f>
        <v>0</v>
      </c>
      <c r="U1734" s="85">
        <f>STATS1003B!U1737/1000</f>
        <v>0</v>
      </c>
      <c r="V1734" s="85">
        <f>STATS1003B!V1737/1000</f>
        <v>556.19592</v>
      </c>
      <c r="W1734" s="85">
        <f>STATS1003B!W1737/1000</f>
        <v>0</v>
      </c>
      <c r="X1734" s="85">
        <f t="shared" si="190"/>
        <v>556.19592</v>
      </c>
      <c r="Y1734" s="85">
        <f>STATS1003B!Y1737/1000</f>
        <v>0</v>
      </c>
      <c r="Z1734" s="85">
        <f>STATS1003B!Z1737/1000</f>
        <v>0</v>
      </c>
      <c r="AA1734" s="69">
        <f>STATS1003B!AA1737/1000</f>
        <v>556.19592</v>
      </c>
      <c r="AB1734" s="69">
        <f>STATS1003B!AB1737/1000</f>
        <v>0</v>
      </c>
    </row>
    <row r="1735" spans="1:28" hidden="1" x14ac:dyDescent="0.3">
      <c r="A1735" s="117"/>
      <c r="C1735" s="68" t="s">
        <v>57</v>
      </c>
      <c r="D1735" s="90" t="s">
        <v>61</v>
      </c>
      <c r="E1735" s="85">
        <f>STATS1003B!E1738/1000</f>
        <v>644.65904</v>
      </c>
      <c r="F1735" s="85">
        <f>STATS1003B!F1738/1000</f>
        <v>639.17200000000003</v>
      </c>
      <c r="G1735" s="85">
        <f>STATS1003B!G1738/1000</f>
        <v>0</v>
      </c>
      <c r="H1735" s="85">
        <f>STATS1003B!H1738/1000</f>
        <v>639.17200000000003</v>
      </c>
      <c r="I1735" s="85">
        <f>STATS1003B!I1738/1000</f>
        <v>639.17200000000003</v>
      </c>
      <c r="J1735" s="85">
        <f>STATS1003B!J1738/1000</f>
        <v>0</v>
      </c>
      <c r="K1735" s="85">
        <f>STATS1003B!K1738/1000</f>
        <v>0</v>
      </c>
      <c r="L1735" s="85">
        <f>STATS1003B!L1738/1000</f>
        <v>0</v>
      </c>
      <c r="M1735" s="85">
        <f>STATS1003B!M1738/1000</f>
        <v>639.17200000000003</v>
      </c>
      <c r="N1735" s="85">
        <f>STATS1003B!N1738/1000</f>
        <v>0</v>
      </c>
      <c r="O1735" s="85">
        <f>STATS1003B!O1738/1000</f>
        <v>0</v>
      </c>
      <c r="P1735" s="85">
        <f>STATS1003B!P1738/1000</f>
        <v>0</v>
      </c>
      <c r="Q1735" s="85">
        <f>STATS1003B!Q1738/1000</f>
        <v>5.4870400000000004</v>
      </c>
      <c r="R1735" s="85">
        <f>STATS1003B!R1738/1000</f>
        <v>0</v>
      </c>
      <c r="S1735" s="85">
        <f>STATS1003B!S1738/1000</f>
        <v>0</v>
      </c>
      <c r="T1735" s="85">
        <f>STATS1003B!T1738/1000</f>
        <v>5.4870400000000004</v>
      </c>
      <c r="U1735" s="85">
        <f>STATS1003B!U1738/1000</f>
        <v>5.4870400000000004</v>
      </c>
      <c r="V1735" s="85">
        <f>STATS1003B!V1738/1000</f>
        <v>639.17200000000003</v>
      </c>
      <c r="W1735" s="85">
        <f>STATS1003B!W1738/1000</f>
        <v>5.4870400000000377</v>
      </c>
      <c r="X1735" s="85">
        <f t="shared" si="190"/>
        <v>639.17200000000003</v>
      </c>
      <c r="Y1735" s="85">
        <f>STATS1003B!Y1738/1000</f>
        <v>0</v>
      </c>
      <c r="Z1735" s="85">
        <f>STATS1003B!Z1738/1000</f>
        <v>5.4870400000000377</v>
      </c>
      <c r="AA1735" s="69">
        <f>STATS1003B!AA1738/1000</f>
        <v>644.65904</v>
      </c>
      <c r="AB1735" s="69">
        <f>STATS1003B!AB1738/1000</f>
        <v>0</v>
      </c>
    </row>
    <row r="1736" spans="1:28" hidden="1" x14ac:dyDescent="0.3">
      <c r="A1736" s="117"/>
      <c r="E1736" s="86" t="s">
        <v>29</v>
      </c>
      <c r="F1736" s="86" t="s">
        <v>29</v>
      </c>
      <c r="G1736" s="86" t="s">
        <v>29</v>
      </c>
      <c r="H1736" s="86" t="s">
        <v>29</v>
      </c>
      <c r="I1736" s="86" t="s">
        <v>29</v>
      </c>
      <c r="J1736" s="86" t="s">
        <v>29</v>
      </c>
      <c r="K1736" s="86" t="s">
        <v>29</v>
      </c>
      <c r="L1736" s="86" t="s">
        <v>29</v>
      </c>
      <c r="M1736" s="86" t="s">
        <v>29</v>
      </c>
      <c r="N1736" s="86" t="s">
        <v>29</v>
      </c>
      <c r="O1736" s="86" t="s">
        <v>29</v>
      </c>
      <c r="P1736" s="86" t="s">
        <v>29</v>
      </c>
      <c r="Q1736" s="86" t="s">
        <v>29</v>
      </c>
      <c r="R1736" s="86" t="s">
        <v>29</v>
      </c>
      <c r="S1736" s="86" t="s">
        <v>29</v>
      </c>
      <c r="T1736" s="86" t="s">
        <v>29</v>
      </c>
      <c r="U1736" s="86" t="s">
        <v>29</v>
      </c>
      <c r="V1736" s="86" t="s">
        <v>29</v>
      </c>
      <c r="W1736" s="86" t="s">
        <v>29</v>
      </c>
      <c r="X1736" s="85" t="e">
        <f t="shared" si="190"/>
        <v>#VALUE!</v>
      </c>
      <c r="Y1736" s="86" t="s">
        <v>29</v>
      </c>
      <c r="Z1736" s="86" t="s">
        <v>29</v>
      </c>
      <c r="AA1736" s="115" t="s">
        <v>29</v>
      </c>
      <c r="AB1736" s="115" t="s">
        <v>29</v>
      </c>
    </row>
    <row r="1737" spans="1:28" x14ac:dyDescent="0.3">
      <c r="A1737" s="116">
        <v>75</v>
      </c>
      <c r="B1737" s="68" t="s">
        <v>349</v>
      </c>
      <c r="E1737" s="85">
        <f>20182831.69/1000</f>
        <v>20182.831690000003</v>
      </c>
      <c r="F1737" s="85">
        <f t="shared" ref="F1737:AB1737" si="191">SUM(F1723:F1735)</f>
        <v>10129.280760000001</v>
      </c>
      <c r="G1737" s="85">
        <f t="shared" si="191"/>
        <v>0</v>
      </c>
      <c r="H1737" s="85">
        <f>19606403.65/1000</f>
        <v>19606.40365</v>
      </c>
      <c r="I1737" s="85">
        <f t="shared" si="191"/>
        <v>639.17200000000003</v>
      </c>
      <c r="J1737" s="85">
        <f t="shared" si="191"/>
        <v>0</v>
      </c>
      <c r="K1737" s="85">
        <f t="shared" si="191"/>
        <v>0</v>
      </c>
      <c r="L1737" s="85">
        <f t="shared" si="191"/>
        <v>0</v>
      </c>
      <c r="M1737" s="85">
        <f t="shared" si="191"/>
        <v>10129.280760000001</v>
      </c>
      <c r="N1737" s="85">
        <f t="shared" si="191"/>
        <v>570.94100000000003</v>
      </c>
      <c r="O1737" s="85">
        <f t="shared" si="191"/>
        <v>0</v>
      </c>
      <c r="P1737" s="85">
        <f>570941/1000</f>
        <v>570.94100000000003</v>
      </c>
      <c r="Q1737" s="85">
        <f t="shared" si="191"/>
        <v>5.4870400000000004</v>
      </c>
      <c r="R1737" s="85">
        <f t="shared" si="191"/>
        <v>0</v>
      </c>
      <c r="S1737" s="85">
        <f t="shared" si="191"/>
        <v>0</v>
      </c>
      <c r="T1737" s="85">
        <f t="shared" si="191"/>
        <v>5.4870400000000004</v>
      </c>
      <c r="U1737" s="85">
        <f t="shared" si="191"/>
        <v>576.42804000000001</v>
      </c>
      <c r="V1737" s="85">
        <f t="shared" si="191"/>
        <v>10700.22176</v>
      </c>
      <c r="W1737" s="85">
        <f t="shared" si="191"/>
        <v>5.4870400000000377</v>
      </c>
      <c r="X1737" s="85">
        <f t="shared" si="190"/>
        <v>20177.344649999999</v>
      </c>
      <c r="Y1737" s="85">
        <f t="shared" si="191"/>
        <v>0</v>
      </c>
      <c r="Z1737" s="85">
        <f t="shared" si="191"/>
        <v>5.4870400000000377</v>
      </c>
      <c r="AA1737" s="69">
        <f t="shared" si="191"/>
        <v>10705.7088</v>
      </c>
      <c r="AB1737" s="69">
        <f t="shared" si="191"/>
        <v>0</v>
      </c>
    </row>
    <row r="1738" spans="1:28" x14ac:dyDescent="0.3">
      <c r="A1738" s="117"/>
      <c r="E1738" s="86"/>
      <c r="F1738" s="86"/>
      <c r="G1738" s="86"/>
      <c r="H1738" s="86"/>
      <c r="I1738" s="86"/>
      <c r="J1738" s="86"/>
      <c r="K1738" s="86"/>
      <c r="L1738" s="86"/>
      <c r="M1738" s="86"/>
      <c r="N1738" s="86"/>
      <c r="O1738" s="86"/>
      <c r="P1738" s="86"/>
      <c r="Q1738" s="86"/>
      <c r="R1738" s="86"/>
      <c r="S1738" s="86"/>
      <c r="T1738" s="86"/>
      <c r="U1738" s="86"/>
      <c r="V1738" s="86"/>
      <c r="W1738" s="86"/>
      <c r="X1738" s="86"/>
      <c r="Y1738" s="86"/>
      <c r="Z1738" s="86"/>
      <c r="AA1738" s="115" t="s">
        <v>29</v>
      </c>
      <c r="AB1738" s="115" t="s">
        <v>29</v>
      </c>
    </row>
    <row r="1739" spans="1:28" s="106" customFormat="1" x14ac:dyDescent="0.3">
      <c r="A1739" s="104"/>
      <c r="B1739" s="8"/>
      <c r="C1739" s="7" t="s">
        <v>3</v>
      </c>
      <c r="D1739" s="8"/>
      <c r="E1739" s="82">
        <f t="shared" ref="E1739:AB1739" si="192">E1737+E1720+E1709+E1697+E1678+E1659+E1639+E1618+E1592+E1568</f>
        <v>957710.48725000001</v>
      </c>
      <c r="F1739" s="82">
        <f t="shared" si="192"/>
        <v>295040.336388</v>
      </c>
      <c r="G1739" s="82">
        <f t="shared" si="192"/>
        <v>2630</v>
      </c>
      <c r="H1739" s="82">
        <f t="shared" si="192"/>
        <v>931895.14077000006</v>
      </c>
      <c r="I1739" s="82">
        <f t="shared" si="192"/>
        <v>5073.1859999999997</v>
      </c>
      <c r="J1739" s="82">
        <f t="shared" si="192"/>
        <v>1379.847</v>
      </c>
      <c r="K1739" s="82">
        <f t="shared" si="192"/>
        <v>0</v>
      </c>
      <c r="L1739" s="82">
        <f t="shared" si="192"/>
        <v>0</v>
      </c>
      <c r="M1739" s="82">
        <f t="shared" si="192"/>
        <v>297670.336388</v>
      </c>
      <c r="N1739" s="82">
        <f t="shared" si="192"/>
        <v>21549.78557</v>
      </c>
      <c r="O1739" s="82">
        <f t="shared" si="192"/>
        <v>0</v>
      </c>
      <c r="P1739" s="82">
        <f t="shared" si="192"/>
        <v>21549.783000000003</v>
      </c>
      <c r="Q1739" s="82">
        <f t="shared" si="192"/>
        <v>79.082099999999997</v>
      </c>
      <c r="R1739" s="82">
        <f t="shared" si="192"/>
        <v>0</v>
      </c>
      <c r="S1739" s="82">
        <f t="shared" si="192"/>
        <v>0</v>
      </c>
      <c r="T1739" s="82">
        <f t="shared" si="192"/>
        <v>55.7027</v>
      </c>
      <c r="U1739" s="82">
        <f t="shared" si="192"/>
        <v>21605.488269999994</v>
      </c>
      <c r="V1739" s="82">
        <f t="shared" si="192"/>
        <v>317190.12195800006</v>
      </c>
      <c r="W1739" s="82">
        <f t="shared" si="192"/>
        <v>4265.560911999999</v>
      </c>
      <c r="X1739" s="82">
        <f t="shared" si="192"/>
        <v>953444.92377000011</v>
      </c>
      <c r="Y1739" s="82">
        <f t="shared" si="192"/>
        <v>0</v>
      </c>
      <c r="Z1739" s="82">
        <f t="shared" si="192"/>
        <v>4265.561789999967</v>
      </c>
      <c r="AA1739" s="9">
        <f t="shared" si="192"/>
        <v>319275.82465800003</v>
      </c>
      <c r="AB1739" s="9">
        <f t="shared" si="192"/>
        <v>4209.8582119999992</v>
      </c>
    </row>
    <row r="1740" spans="1:28" x14ac:dyDescent="0.3">
      <c r="A1740" s="117"/>
      <c r="E1740" s="86"/>
      <c r="F1740" s="86"/>
      <c r="G1740" s="86"/>
      <c r="H1740" s="86"/>
      <c r="I1740" s="86"/>
      <c r="J1740" s="86"/>
      <c r="K1740" s="86"/>
      <c r="L1740" s="86"/>
      <c r="M1740" s="86"/>
      <c r="N1740" s="86"/>
      <c r="O1740" s="86"/>
      <c r="P1740" s="86"/>
      <c r="Q1740" s="86"/>
      <c r="R1740" s="86"/>
      <c r="S1740" s="86"/>
      <c r="T1740" s="86"/>
      <c r="U1740" s="86"/>
      <c r="V1740" s="86"/>
      <c r="W1740" s="86"/>
      <c r="X1740" s="86"/>
      <c r="Y1740" s="86"/>
      <c r="Z1740" s="86"/>
      <c r="AA1740" s="115" t="s">
        <v>114</v>
      </c>
      <c r="AB1740" s="115" t="s">
        <v>114</v>
      </c>
    </row>
    <row r="1741" spans="1:28" x14ac:dyDescent="0.3">
      <c r="A1741" s="117"/>
      <c r="E1741" s="86"/>
      <c r="F1741" s="86"/>
      <c r="G1741" s="86"/>
      <c r="H1741" s="86"/>
      <c r="I1741" s="86"/>
      <c r="J1741" s="86"/>
      <c r="K1741" s="86"/>
      <c r="L1741" s="86"/>
      <c r="M1741" s="86"/>
      <c r="N1741" s="86"/>
      <c r="O1741" s="86"/>
      <c r="P1741" s="86"/>
      <c r="Q1741" s="86"/>
      <c r="R1741" s="86"/>
      <c r="S1741" s="86"/>
      <c r="T1741" s="86"/>
      <c r="U1741" s="86"/>
      <c r="V1741" s="86"/>
      <c r="W1741" s="86"/>
      <c r="X1741" s="86"/>
      <c r="Y1741" s="86"/>
      <c r="Z1741" s="86"/>
    </row>
    <row r="1742" spans="1:28" x14ac:dyDescent="0.3">
      <c r="A1742" s="117"/>
      <c r="B1742" s="68" t="s">
        <v>760</v>
      </c>
      <c r="E1742" s="84"/>
      <c r="F1742" s="84"/>
      <c r="G1742" s="84"/>
      <c r="H1742" s="84"/>
      <c r="I1742" s="84"/>
      <c r="J1742" s="84"/>
      <c r="K1742" s="84"/>
      <c r="L1742" s="84"/>
      <c r="M1742" s="84"/>
      <c r="N1742" s="84"/>
      <c r="O1742" s="84"/>
      <c r="P1742" s="84"/>
      <c r="Q1742" s="84"/>
      <c r="R1742" s="86"/>
      <c r="S1742" s="86"/>
      <c r="T1742" s="86"/>
      <c r="U1742" s="86"/>
      <c r="V1742" s="86"/>
      <c r="W1742" s="86"/>
      <c r="X1742" s="86"/>
      <c r="Y1742" s="86"/>
      <c r="Z1742" s="86"/>
    </row>
    <row r="1743" spans="1:28" hidden="1" x14ac:dyDescent="0.3">
      <c r="A1743" s="117"/>
      <c r="B1743" s="68"/>
      <c r="E1743" s="84"/>
      <c r="F1743" s="84"/>
      <c r="G1743" s="84"/>
      <c r="H1743" s="84"/>
      <c r="I1743" s="84"/>
      <c r="J1743" s="84"/>
      <c r="K1743" s="84"/>
      <c r="L1743" s="84"/>
      <c r="M1743" s="84"/>
      <c r="N1743" s="84"/>
      <c r="O1743" s="84"/>
      <c r="P1743" s="84"/>
      <c r="Q1743" s="84"/>
      <c r="R1743" s="86"/>
      <c r="S1743" s="86"/>
      <c r="T1743" s="86"/>
      <c r="U1743" s="86"/>
      <c r="V1743" s="86"/>
      <c r="W1743" s="86"/>
      <c r="X1743" s="86"/>
      <c r="Y1743" s="86"/>
      <c r="Z1743" s="86"/>
    </row>
    <row r="1744" spans="1:28" hidden="1" x14ac:dyDescent="0.3">
      <c r="A1744" s="105"/>
      <c r="E1744" s="84"/>
      <c r="F1744" s="84"/>
      <c r="G1744" s="84"/>
      <c r="H1744" s="84"/>
      <c r="I1744" s="84"/>
      <c r="J1744" s="84"/>
      <c r="K1744" s="84"/>
      <c r="L1744" s="84"/>
      <c r="M1744" s="84"/>
      <c r="N1744" s="84"/>
      <c r="O1744" s="84"/>
      <c r="P1744" s="84"/>
      <c r="Q1744" s="84"/>
      <c r="R1744" s="86"/>
      <c r="S1744" s="86"/>
      <c r="T1744" s="86"/>
      <c r="U1744" s="86"/>
      <c r="V1744" s="86"/>
      <c r="W1744" s="86"/>
      <c r="X1744" s="86"/>
      <c r="Y1744" s="86"/>
      <c r="Z1744" s="86"/>
    </row>
    <row r="1745" spans="1:28" hidden="1" x14ac:dyDescent="0.3">
      <c r="A1745" s="117"/>
      <c r="C1745" s="68" t="s">
        <v>535</v>
      </c>
      <c r="D1745" s="145" t="s">
        <v>68</v>
      </c>
      <c r="E1745" s="85">
        <f>STATS1003B!E1749/1000</f>
        <v>219.27060999999998</v>
      </c>
      <c r="F1745" s="85">
        <f>STATS1003B!F1749/1000</f>
        <v>103.895</v>
      </c>
      <c r="G1745" s="85">
        <f>STATS1003B!G1749/1000</f>
        <v>0</v>
      </c>
      <c r="H1745" s="85">
        <f>STATS1003B!H1749/1000</f>
        <v>103.895</v>
      </c>
      <c r="I1745" s="85">
        <f>STATS1003B!I1749/1000</f>
        <v>0</v>
      </c>
      <c r="J1745" s="85">
        <f>STATS1003B!J1749/1000</f>
        <v>103.895</v>
      </c>
      <c r="K1745" s="85">
        <f>STATS1003B!K1749/1000</f>
        <v>115.37560999999999</v>
      </c>
      <c r="L1745" s="85">
        <f>STATS1003B!L1749/1000</f>
        <v>0</v>
      </c>
      <c r="M1745" s="85">
        <f>STATS1003B!M1749/1000</f>
        <v>103.895</v>
      </c>
      <c r="N1745" s="85">
        <f>STATS1003B!N1749/1000</f>
        <v>115.37560999999999</v>
      </c>
      <c r="O1745" s="85">
        <f>STATS1003B!O1749/1000</f>
        <v>0</v>
      </c>
      <c r="P1745" s="85">
        <f>STATS1003B!P1749/1000</f>
        <v>115.37560999999999</v>
      </c>
      <c r="Q1745" s="85">
        <f>STATS1003B!Q1749/1000</f>
        <v>103.89499999999998</v>
      </c>
      <c r="R1745" s="85">
        <f>STATS1003B!R1749/1000</f>
        <v>0</v>
      </c>
      <c r="S1745" s="85">
        <f>STATS1003B!S1749/1000</f>
        <v>0</v>
      </c>
      <c r="T1745" s="85">
        <f>STATS1003B!T1749/1000</f>
        <v>0</v>
      </c>
      <c r="U1745" s="85">
        <f>STATS1003B!U1749/1000</f>
        <v>115.37560999999999</v>
      </c>
      <c r="V1745" s="85">
        <f>STATS1003B!V1749/1000</f>
        <v>0</v>
      </c>
      <c r="W1745" s="85">
        <f>STATS1003B!W1749/1000</f>
        <v>0</v>
      </c>
      <c r="X1745" s="85">
        <f>STATS1003B!X1749/1000</f>
        <v>219.27060999999998</v>
      </c>
      <c r="Y1745" s="85">
        <f>STATS1003B!Y1749/1000</f>
        <v>0</v>
      </c>
      <c r="Z1745" s="85">
        <f>STATS1003B!Z1749/1000</f>
        <v>0</v>
      </c>
      <c r="AA1745" s="69">
        <f>STATS1003B!AA1749/1000</f>
        <v>219.27060999999998</v>
      </c>
      <c r="AB1745" s="69">
        <f>STATS1003B!AB1749/1000</f>
        <v>0</v>
      </c>
    </row>
    <row r="1746" spans="1:28" hidden="1" x14ac:dyDescent="0.3">
      <c r="A1746" s="117"/>
      <c r="C1746" s="68" t="s">
        <v>539</v>
      </c>
      <c r="D1746" s="145" t="s">
        <v>68</v>
      </c>
      <c r="E1746" s="85">
        <f>STATS1003B!E1750/1000</f>
        <v>759.62135999999998</v>
      </c>
      <c r="F1746" s="85">
        <f>STATS1003B!F1750/1000</f>
        <v>0</v>
      </c>
      <c r="G1746" s="85">
        <f>STATS1003B!G1750/1000</f>
        <v>0</v>
      </c>
      <c r="H1746" s="85">
        <f>STATS1003B!H1750/1000</f>
        <v>0</v>
      </c>
      <c r="I1746" s="85">
        <f>STATS1003B!I1750/1000</f>
        <v>0</v>
      </c>
      <c r="J1746" s="85">
        <f>STATS1003B!J1750/1000</f>
        <v>0</v>
      </c>
      <c r="K1746" s="85">
        <f>STATS1003B!K1750/1000</f>
        <v>759.62135999999998</v>
      </c>
      <c r="L1746" s="85">
        <f>STATS1003B!L1750/1000</f>
        <v>0</v>
      </c>
      <c r="M1746" s="85">
        <f>STATS1003B!M1750/1000</f>
        <v>0</v>
      </c>
      <c r="N1746" s="85">
        <f>STATS1003B!N1750/1000</f>
        <v>759.62135999999998</v>
      </c>
      <c r="O1746" s="85">
        <f>STATS1003B!O1750/1000</f>
        <v>0</v>
      </c>
      <c r="P1746" s="85">
        <f>STATS1003B!P1750/1000</f>
        <v>759.62135999999998</v>
      </c>
      <c r="Q1746" s="85">
        <f>STATS1003B!Q1750/1000</f>
        <v>0</v>
      </c>
      <c r="R1746" s="85">
        <f>STATS1003B!R1750/1000</f>
        <v>0</v>
      </c>
      <c r="S1746" s="85">
        <f>STATS1003B!S1750/1000</f>
        <v>0</v>
      </c>
      <c r="T1746" s="85">
        <f>STATS1003B!T1750/1000</f>
        <v>0</v>
      </c>
      <c r="U1746" s="85">
        <f>STATS1003B!U1750/1000</f>
        <v>759.62135999999998</v>
      </c>
      <c r="V1746" s="85">
        <f>STATS1003B!V1750/1000</f>
        <v>0</v>
      </c>
      <c r="W1746" s="85">
        <f>STATS1003B!W1750/1000</f>
        <v>0</v>
      </c>
      <c r="X1746" s="85">
        <f>STATS1003B!X1750/1000</f>
        <v>759.62135999999998</v>
      </c>
      <c r="Y1746" s="85">
        <f>STATS1003B!Y1750/1000</f>
        <v>0</v>
      </c>
      <c r="Z1746" s="85">
        <f>STATS1003B!Z1750/1000</f>
        <v>0</v>
      </c>
      <c r="AA1746" s="69">
        <f>STATS1003B!AA1750/1000</f>
        <v>759.62135999999998</v>
      </c>
      <c r="AB1746" s="69">
        <f>STATS1003B!AB1750/1000</f>
        <v>0</v>
      </c>
    </row>
    <row r="1747" spans="1:28" hidden="1" x14ac:dyDescent="0.3">
      <c r="A1747" s="117"/>
      <c r="C1747" s="68" t="s">
        <v>535</v>
      </c>
      <c r="D1747" s="145" t="s">
        <v>54</v>
      </c>
      <c r="E1747" s="85">
        <f>STATS1003B!E1751/1000</f>
        <v>838.82899999999995</v>
      </c>
      <c r="F1747" s="85">
        <f>STATS1003B!F1751/1000</f>
        <v>838.82899999999995</v>
      </c>
      <c r="G1747" s="85">
        <f>STATS1003B!G1751/1000</f>
        <v>0</v>
      </c>
      <c r="H1747" s="85">
        <f>STATS1003B!H1751/1000</f>
        <v>838.82899999999995</v>
      </c>
      <c r="I1747" s="85">
        <f>STATS1003B!I1751/1000</f>
        <v>0</v>
      </c>
      <c r="J1747" s="85">
        <f>STATS1003B!J1751/1000</f>
        <v>838.82899999999995</v>
      </c>
      <c r="K1747" s="85">
        <f>STATS1003B!K1751/1000</f>
        <v>0</v>
      </c>
      <c r="L1747" s="85">
        <f>STATS1003B!L1751/1000</f>
        <v>0</v>
      </c>
      <c r="M1747" s="85">
        <f>STATS1003B!M1751/1000</f>
        <v>838.82899999999995</v>
      </c>
      <c r="N1747" s="85">
        <f>STATS1003B!N1751/1000</f>
        <v>0</v>
      </c>
      <c r="O1747" s="85">
        <f>STATS1003B!O1751/1000</f>
        <v>0</v>
      </c>
      <c r="P1747" s="85">
        <f>STATS1003B!P1751/1000</f>
        <v>0</v>
      </c>
      <c r="Q1747" s="85">
        <f>STATS1003B!Q1751/1000</f>
        <v>838.82899999999995</v>
      </c>
      <c r="R1747" s="85">
        <f>STATS1003B!R1751/1000</f>
        <v>0</v>
      </c>
      <c r="S1747" s="85">
        <f>STATS1003B!S1751/1000</f>
        <v>0</v>
      </c>
      <c r="T1747" s="85">
        <f>STATS1003B!T1751/1000</f>
        <v>0</v>
      </c>
      <c r="U1747" s="85">
        <f>STATS1003B!U1751/1000</f>
        <v>0</v>
      </c>
      <c r="V1747" s="85">
        <f>STATS1003B!V1751/1000</f>
        <v>0</v>
      </c>
      <c r="W1747" s="85">
        <f>STATS1003B!W1751/1000</f>
        <v>0</v>
      </c>
      <c r="X1747" s="85">
        <f>STATS1003B!X1751/1000</f>
        <v>838.82899999999995</v>
      </c>
      <c r="Y1747" s="85">
        <f>STATS1003B!Y1751/1000</f>
        <v>0</v>
      </c>
      <c r="Z1747" s="85">
        <f>STATS1003B!Z1751/1000</f>
        <v>0</v>
      </c>
      <c r="AA1747" s="69">
        <f>STATS1003B!AA1751/1000</f>
        <v>838.82899999999995</v>
      </c>
      <c r="AB1747" s="69">
        <f>STATS1003B!AB1751/1000</f>
        <v>0</v>
      </c>
    </row>
    <row r="1748" spans="1:28" hidden="1" x14ac:dyDescent="0.3">
      <c r="A1748" s="117"/>
      <c r="C1748" s="68" t="s">
        <v>545</v>
      </c>
      <c r="D1748" s="145" t="s">
        <v>54</v>
      </c>
      <c r="E1748" s="85">
        <f>STATS1003B!E1752/1000</f>
        <v>1953.989</v>
      </c>
      <c r="F1748" s="85">
        <f>STATS1003B!F1752/1000</f>
        <v>0</v>
      </c>
      <c r="G1748" s="85">
        <f>STATS1003B!G1752/1000</f>
        <v>0</v>
      </c>
      <c r="H1748" s="85">
        <f>STATS1003B!H1752/1000</f>
        <v>0</v>
      </c>
      <c r="I1748" s="85">
        <f>STATS1003B!I1752/1000</f>
        <v>0</v>
      </c>
      <c r="J1748" s="85">
        <f>STATS1003B!J1752/1000</f>
        <v>0</v>
      </c>
      <c r="K1748" s="85">
        <f>STATS1003B!K1752/1000</f>
        <v>1953.989</v>
      </c>
      <c r="L1748" s="85">
        <f>STATS1003B!L1752/1000</f>
        <v>0</v>
      </c>
      <c r="M1748" s="85">
        <f>STATS1003B!M1752/1000</f>
        <v>0</v>
      </c>
      <c r="N1748" s="85">
        <f>STATS1003B!N1752/1000</f>
        <v>1953.989</v>
      </c>
      <c r="O1748" s="85">
        <f>STATS1003B!O1752/1000</f>
        <v>0</v>
      </c>
      <c r="P1748" s="85">
        <f>STATS1003B!P1752/1000</f>
        <v>1953.989</v>
      </c>
      <c r="Q1748" s="85">
        <f>STATS1003B!Q1752/1000</f>
        <v>0</v>
      </c>
      <c r="R1748" s="85">
        <f>STATS1003B!R1752/1000</f>
        <v>0</v>
      </c>
      <c r="S1748" s="85">
        <f>STATS1003B!S1752/1000</f>
        <v>0</v>
      </c>
      <c r="T1748" s="85">
        <f>STATS1003B!T1752/1000</f>
        <v>0</v>
      </c>
      <c r="U1748" s="85">
        <f>STATS1003B!U1752/1000</f>
        <v>1953.989</v>
      </c>
      <c r="V1748" s="85">
        <f>STATS1003B!V1752/1000</f>
        <v>0</v>
      </c>
      <c r="W1748" s="85">
        <f>STATS1003B!W1752/1000</f>
        <v>0</v>
      </c>
      <c r="X1748" s="85">
        <f>STATS1003B!X1752/1000</f>
        <v>1953.989</v>
      </c>
      <c r="Y1748" s="85">
        <f>STATS1003B!Y1752/1000</f>
        <v>0</v>
      </c>
      <c r="Z1748" s="85">
        <f>STATS1003B!Z1752/1000</f>
        <v>0</v>
      </c>
      <c r="AA1748" s="69">
        <f>STATS1003B!AA1752/1000</f>
        <v>1953.989</v>
      </c>
      <c r="AB1748" s="69">
        <f>STATS1003B!AB1752/1000</f>
        <v>0</v>
      </c>
    </row>
    <row r="1749" spans="1:28" hidden="1" x14ac:dyDescent="0.3">
      <c r="A1749" s="117"/>
      <c r="C1749" s="68" t="s">
        <v>535</v>
      </c>
      <c r="D1749" s="145" t="s">
        <v>85</v>
      </c>
      <c r="E1749" s="85">
        <f>STATS1003B!E1753/1000</f>
        <v>2540.3890000000001</v>
      </c>
      <c r="F1749" s="85">
        <f>STATS1003B!F1753/1000</f>
        <v>2540.3890000000001</v>
      </c>
      <c r="G1749" s="85">
        <f>STATS1003B!G1753/1000</f>
        <v>0</v>
      </c>
      <c r="H1749" s="85">
        <f>STATS1003B!H1753/1000</f>
        <v>2540.3890000000001</v>
      </c>
      <c r="I1749" s="85">
        <f>STATS1003B!I1753/1000</f>
        <v>0</v>
      </c>
      <c r="J1749" s="85">
        <f>STATS1003B!J1753/1000</f>
        <v>2540.3890000000001</v>
      </c>
      <c r="K1749" s="85">
        <f>STATS1003B!K1753/1000</f>
        <v>0</v>
      </c>
      <c r="L1749" s="85">
        <f>STATS1003B!L1753/1000</f>
        <v>0</v>
      </c>
      <c r="M1749" s="85">
        <f>STATS1003B!M1753/1000</f>
        <v>2540.3890000000001</v>
      </c>
      <c r="N1749" s="85">
        <f>STATS1003B!N1753/1000</f>
        <v>0</v>
      </c>
      <c r="O1749" s="85">
        <f>STATS1003B!O1753/1000</f>
        <v>0</v>
      </c>
      <c r="P1749" s="85">
        <f>STATS1003B!P1753/1000</f>
        <v>0</v>
      </c>
      <c r="Q1749" s="85">
        <f>STATS1003B!Q1753/1000</f>
        <v>2540.3890000000001</v>
      </c>
      <c r="R1749" s="85">
        <f>STATS1003B!R1753/1000</f>
        <v>0</v>
      </c>
      <c r="S1749" s="85">
        <f>STATS1003B!S1753/1000</f>
        <v>0</v>
      </c>
      <c r="T1749" s="85">
        <f>STATS1003B!T1753/1000</f>
        <v>0</v>
      </c>
      <c r="U1749" s="85">
        <f>STATS1003B!U1753/1000</f>
        <v>0</v>
      </c>
      <c r="V1749" s="85">
        <f>STATS1003B!V1753/1000</f>
        <v>0</v>
      </c>
      <c r="W1749" s="85">
        <f>STATS1003B!W1753/1000</f>
        <v>0</v>
      </c>
      <c r="X1749" s="85">
        <f>STATS1003B!X1753/1000</f>
        <v>2540.3890000000001</v>
      </c>
      <c r="Y1749" s="85">
        <f>STATS1003B!Y1753/1000</f>
        <v>0</v>
      </c>
      <c r="Z1749" s="85">
        <f>STATS1003B!Z1753/1000</f>
        <v>0</v>
      </c>
      <c r="AA1749" s="69">
        <f>STATS1003B!AA1753/1000</f>
        <v>2540.3890000000001</v>
      </c>
      <c r="AB1749" s="69">
        <f>STATS1003B!AB1753/1000</f>
        <v>0</v>
      </c>
    </row>
    <row r="1750" spans="1:28" hidden="1" x14ac:dyDescent="0.3">
      <c r="A1750" s="117"/>
      <c r="C1750" s="68" t="s">
        <v>535</v>
      </c>
      <c r="D1750" s="145" t="s">
        <v>128</v>
      </c>
      <c r="E1750" s="85">
        <f>STATS1003B!E1754/1000</f>
        <v>1200</v>
      </c>
      <c r="F1750" s="85">
        <f>STATS1003B!F1754/1000</f>
        <v>1200</v>
      </c>
      <c r="G1750" s="85">
        <f>STATS1003B!G1754/1000</f>
        <v>0</v>
      </c>
      <c r="H1750" s="85">
        <f>STATS1003B!H1754/1000</f>
        <v>1200</v>
      </c>
      <c r="I1750" s="85">
        <f>STATS1003B!I1754/1000</f>
        <v>0</v>
      </c>
      <c r="J1750" s="85">
        <f>STATS1003B!J1754/1000</f>
        <v>1200</v>
      </c>
      <c r="K1750" s="85">
        <f>STATS1003B!K1754/1000</f>
        <v>0</v>
      </c>
      <c r="L1750" s="85">
        <f>STATS1003B!L1754/1000</f>
        <v>0</v>
      </c>
      <c r="M1750" s="85">
        <f>STATS1003B!M1754/1000</f>
        <v>1200</v>
      </c>
      <c r="N1750" s="85">
        <f>STATS1003B!N1754/1000</f>
        <v>0</v>
      </c>
      <c r="O1750" s="85">
        <f>STATS1003B!O1754/1000</f>
        <v>0</v>
      </c>
      <c r="P1750" s="85">
        <f>STATS1003B!P1754/1000</f>
        <v>0</v>
      </c>
      <c r="Q1750" s="85">
        <f>STATS1003B!Q1754/1000</f>
        <v>1200</v>
      </c>
      <c r="R1750" s="85">
        <f>STATS1003B!R1754/1000</f>
        <v>0</v>
      </c>
      <c r="S1750" s="85">
        <f>STATS1003B!S1754/1000</f>
        <v>0</v>
      </c>
      <c r="T1750" s="85">
        <f>STATS1003B!T1754/1000</f>
        <v>0</v>
      </c>
      <c r="U1750" s="85">
        <f>STATS1003B!U1754/1000</f>
        <v>0</v>
      </c>
      <c r="V1750" s="85">
        <f>STATS1003B!V1754/1000</f>
        <v>0</v>
      </c>
      <c r="W1750" s="85">
        <f>STATS1003B!W1754/1000</f>
        <v>0</v>
      </c>
      <c r="X1750" s="85">
        <f>STATS1003B!X1754/1000</f>
        <v>1200</v>
      </c>
      <c r="Y1750" s="85">
        <f>STATS1003B!Y1754/1000</f>
        <v>0</v>
      </c>
      <c r="Z1750" s="85">
        <f>STATS1003B!Z1754/1000</f>
        <v>0</v>
      </c>
      <c r="AA1750" s="69">
        <f>STATS1003B!AA1754/1000</f>
        <v>1200</v>
      </c>
      <c r="AB1750" s="69">
        <f>STATS1003B!AB1754/1000</f>
        <v>0</v>
      </c>
    </row>
    <row r="1751" spans="1:28" hidden="1" x14ac:dyDescent="0.3">
      <c r="A1751" s="117"/>
      <c r="C1751" s="68" t="s">
        <v>535</v>
      </c>
      <c r="D1751" s="145" t="s">
        <v>60</v>
      </c>
      <c r="E1751" s="85">
        <f>STATS1003B!E1755/1000</f>
        <v>2334.0659999999998</v>
      </c>
      <c r="F1751" s="85">
        <f>STATS1003B!F1755/1000</f>
        <v>2334.0659999999998</v>
      </c>
      <c r="G1751" s="85">
        <f>STATS1003B!G1755/1000</f>
        <v>0</v>
      </c>
      <c r="H1751" s="85">
        <f>STATS1003B!H1755/1000</f>
        <v>2334.0659999999998</v>
      </c>
      <c r="I1751" s="85">
        <f>STATS1003B!I1755/1000</f>
        <v>0</v>
      </c>
      <c r="J1751" s="85">
        <f>STATS1003B!J1755/1000</f>
        <v>2334.0659999999998</v>
      </c>
      <c r="K1751" s="85">
        <f>STATS1003B!K1755/1000</f>
        <v>0</v>
      </c>
      <c r="L1751" s="85">
        <f>STATS1003B!L1755/1000</f>
        <v>0</v>
      </c>
      <c r="M1751" s="85">
        <f>STATS1003B!M1755/1000</f>
        <v>2334.0659999999998</v>
      </c>
      <c r="N1751" s="85">
        <f>STATS1003B!N1755/1000</f>
        <v>0</v>
      </c>
      <c r="O1751" s="85">
        <f>STATS1003B!O1755/1000</f>
        <v>0</v>
      </c>
      <c r="P1751" s="85">
        <f>STATS1003B!P1755/1000</f>
        <v>0</v>
      </c>
      <c r="Q1751" s="85">
        <f>STATS1003B!Q1755/1000</f>
        <v>2334.0659999999998</v>
      </c>
      <c r="R1751" s="85">
        <f>STATS1003B!R1755/1000</f>
        <v>0</v>
      </c>
      <c r="S1751" s="85">
        <f>STATS1003B!S1755/1000</f>
        <v>0</v>
      </c>
      <c r="T1751" s="85">
        <f>STATS1003B!T1755/1000</f>
        <v>0</v>
      </c>
      <c r="U1751" s="85">
        <f>STATS1003B!U1755/1000</f>
        <v>0</v>
      </c>
      <c r="V1751" s="85">
        <f>STATS1003B!V1755/1000</f>
        <v>0</v>
      </c>
      <c r="W1751" s="85">
        <f>STATS1003B!W1755/1000</f>
        <v>0</v>
      </c>
      <c r="X1751" s="85">
        <f>STATS1003B!X1755/1000</f>
        <v>2334.0659999999998</v>
      </c>
      <c r="Y1751" s="85">
        <f>STATS1003B!Y1755/1000</f>
        <v>0</v>
      </c>
      <c r="Z1751" s="85">
        <f>STATS1003B!Z1755/1000</f>
        <v>0</v>
      </c>
      <c r="AA1751" s="69">
        <f>STATS1003B!AA1755/1000</f>
        <v>2334.0659999999998</v>
      </c>
      <c r="AB1751" s="69">
        <f>STATS1003B!AB1755/1000</f>
        <v>0</v>
      </c>
    </row>
    <row r="1752" spans="1:28" hidden="1" x14ac:dyDescent="0.3">
      <c r="A1752" s="117"/>
      <c r="C1752" s="71" t="s">
        <v>535</v>
      </c>
      <c r="D1752" s="88" t="s">
        <v>73</v>
      </c>
      <c r="E1752" s="85">
        <f>STATS1003B!E1756/1000</f>
        <v>1579.0152399999999</v>
      </c>
      <c r="F1752" s="85">
        <f>STATS1003B!F1756/1000</f>
        <v>1579.0152399999999</v>
      </c>
      <c r="G1752" s="85">
        <f>STATS1003B!G1756/1000</f>
        <v>0</v>
      </c>
      <c r="H1752" s="85">
        <f>STATS1003B!H1756/1000</f>
        <v>1579.0152399999999</v>
      </c>
      <c r="I1752" s="85">
        <f>STATS1003B!I1756/1000</f>
        <v>0</v>
      </c>
      <c r="J1752" s="85">
        <f>STATS1003B!J1756/1000</f>
        <v>1579.0152399999999</v>
      </c>
      <c r="K1752" s="85">
        <f>STATS1003B!K1756/1000</f>
        <v>0</v>
      </c>
      <c r="L1752" s="85">
        <f>STATS1003B!L1756/1000</f>
        <v>0</v>
      </c>
      <c r="M1752" s="85">
        <f>STATS1003B!M1756/1000</f>
        <v>1579.0152399999999</v>
      </c>
      <c r="N1752" s="85">
        <f>STATS1003B!N1756/1000</f>
        <v>0</v>
      </c>
      <c r="O1752" s="85">
        <f>STATS1003B!O1756/1000</f>
        <v>0</v>
      </c>
      <c r="P1752" s="85">
        <f>STATS1003B!P1756/1000</f>
        <v>0</v>
      </c>
      <c r="Q1752" s="85">
        <f>STATS1003B!Q1756/1000</f>
        <v>1579.0152399999999</v>
      </c>
      <c r="R1752" s="85">
        <f>STATS1003B!R1756/1000</f>
        <v>0</v>
      </c>
      <c r="S1752" s="85">
        <f>STATS1003B!S1756/1000</f>
        <v>0</v>
      </c>
      <c r="T1752" s="85">
        <f>STATS1003B!T1756/1000</f>
        <v>0</v>
      </c>
      <c r="U1752" s="85">
        <f>STATS1003B!U1756/1000</f>
        <v>0</v>
      </c>
      <c r="V1752" s="85">
        <f>STATS1003B!V1756/1000</f>
        <v>0</v>
      </c>
      <c r="W1752" s="85">
        <f>STATS1003B!W1756/1000</f>
        <v>0</v>
      </c>
      <c r="X1752" s="85">
        <f>STATS1003B!X1756/1000</f>
        <v>1579.0152399999999</v>
      </c>
      <c r="Y1752" s="85">
        <f>STATS1003B!Y1756/1000</f>
        <v>0</v>
      </c>
      <c r="Z1752" s="85">
        <f>STATS1003B!Z1756/1000</f>
        <v>0</v>
      </c>
      <c r="AA1752" s="69">
        <f>STATS1003B!AA1756/1000</f>
        <v>1579.0152399999999</v>
      </c>
      <c r="AB1752" s="69">
        <f>STATS1003B!AB1756/1000</f>
        <v>0</v>
      </c>
    </row>
    <row r="1753" spans="1:28" hidden="1" x14ac:dyDescent="0.3">
      <c r="A1753" s="117"/>
      <c r="B1753" s="71" t="s">
        <v>762</v>
      </c>
      <c r="C1753" s="71" t="s">
        <v>535</v>
      </c>
      <c r="D1753" s="88" t="s">
        <v>61</v>
      </c>
      <c r="E1753" s="85">
        <f>STATS1003B!E1757/1000</f>
        <v>1357.2180000000001</v>
      </c>
      <c r="F1753" s="85">
        <f>STATS1003B!F1757/1000</f>
        <v>1357.2180000000001</v>
      </c>
      <c r="G1753" s="85">
        <f>STATS1003B!G1757/1000</f>
        <v>0</v>
      </c>
      <c r="H1753" s="85">
        <f>STATS1003B!H1757/1000</f>
        <v>1357.2180000000001</v>
      </c>
      <c r="I1753" s="85">
        <f>STATS1003B!I1757/1000</f>
        <v>0</v>
      </c>
      <c r="J1753" s="85">
        <f>STATS1003B!J1757/1000</f>
        <v>1357.2180000000001</v>
      </c>
      <c r="K1753" s="85">
        <f>STATS1003B!K1757/1000</f>
        <v>0</v>
      </c>
      <c r="L1753" s="85">
        <f>STATS1003B!L1757/1000</f>
        <v>0</v>
      </c>
      <c r="M1753" s="85">
        <f>STATS1003B!M1757/1000</f>
        <v>1357.2180000000001</v>
      </c>
      <c r="N1753" s="85">
        <f>STATS1003B!N1757/1000</f>
        <v>0</v>
      </c>
      <c r="O1753" s="85">
        <f>STATS1003B!O1757/1000</f>
        <v>0</v>
      </c>
      <c r="P1753" s="85">
        <f>STATS1003B!P1757/1000</f>
        <v>0</v>
      </c>
      <c r="Q1753" s="85">
        <f>STATS1003B!Q1757/1000</f>
        <v>1357.2180000000001</v>
      </c>
      <c r="R1753" s="85">
        <f>STATS1003B!R1757/1000</f>
        <v>0</v>
      </c>
      <c r="S1753" s="85">
        <f>STATS1003B!S1757/1000</f>
        <v>0</v>
      </c>
      <c r="T1753" s="85">
        <f>STATS1003B!T1757/1000</f>
        <v>0</v>
      </c>
      <c r="U1753" s="85">
        <f>STATS1003B!U1757/1000</f>
        <v>0</v>
      </c>
      <c r="V1753" s="85">
        <f>STATS1003B!V1757/1000</f>
        <v>0</v>
      </c>
      <c r="W1753" s="85">
        <f>STATS1003B!W1757/1000</f>
        <v>0</v>
      </c>
      <c r="X1753" s="85">
        <f>STATS1003B!X1757/1000</f>
        <v>1357.2180000000001</v>
      </c>
      <c r="Y1753" s="85">
        <f>STATS1003B!Y1757/1000</f>
        <v>0</v>
      </c>
      <c r="Z1753" s="85">
        <f>STATS1003B!Z1757/1000</f>
        <v>0</v>
      </c>
      <c r="AA1753" s="69">
        <f>STATS1003B!AA1757/1000</f>
        <v>1357.2180000000001</v>
      </c>
      <c r="AB1753" s="69">
        <f>STATS1003B!AB1757/1000</f>
        <v>0</v>
      </c>
    </row>
    <row r="1754" spans="1:28" hidden="1" x14ac:dyDescent="0.3">
      <c r="A1754" s="117"/>
      <c r="B1754" s="71"/>
      <c r="C1754" s="71" t="s">
        <v>1120</v>
      </c>
      <c r="D1754" s="89" t="s">
        <v>1072</v>
      </c>
      <c r="E1754" s="85">
        <f>STATS1003B!E1758/1000</f>
        <v>70</v>
      </c>
      <c r="F1754" s="85">
        <f>STATS1003B!F1758/1000</f>
        <v>70</v>
      </c>
      <c r="G1754" s="85">
        <f>STATS1003B!G1758/1000</f>
        <v>0</v>
      </c>
      <c r="H1754" s="85">
        <f>STATS1003B!H1758/1000</f>
        <v>70</v>
      </c>
      <c r="I1754" s="85">
        <f>STATS1003B!I1758/1000</f>
        <v>0</v>
      </c>
      <c r="J1754" s="85">
        <f>STATS1003B!J1758/1000</f>
        <v>70</v>
      </c>
      <c r="K1754" s="85">
        <f>STATS1003B!K1758/1000</f>
        <v>0</v>
      </c>
      <c r="L1754" s="85">
        <f>STATS1003B!L1758/1000</f>
        <v>0</v>
      </c>
      <c r="M1754" s="85">
        <f>STATS1003B!M1758/1000</f>
        <v>70</v>
      </c>
      <c r="N1754" s="85">
        <f>STATS1003B!N1758/1000</f>
        <v>0</v>
      </c>
      <c r="O1754" s="85">
        <f>STATS1003B!O1758/1000</f>
        <v>0</v>
      </c>
      <c r="P1754" s="85">
        <f>STATS1003B!P1758/1000</f>
        <v>0</v>
      </c>
      <c r="Q1754" s="85">
        <f>STATS1003B!Q1758/1000</f>
        <v>70</v>
      </c>
      <c r="R1754" s="85">
        <f>STATS1003B!R1758/1000</f>
        <v>0</v>
      </c>
      <c r="S1754" s="85">
        <f>STATS1003B!S1758/1000</f>
        <v>0</v>
      </c>
      <c r="T1754" s="85">
        <f>STATS1003B!T1758/1000</f>
        <v>0</v>
      </c>
      <c r="U1754" s="85">
        <f>STATS1003B!U1758/1000</f>
        <v>0</v>
      </c>
      <c r="V1754" s="85">
        <f>STATS1003B!V1758/1000</f>
        <v>0</v>
      </c>
      <c r="W1754" s="85">
        <f>STATS1003B!W1758/1000</f>
        <v>0</v>
      </c>
      <c r="X1754" s="85">
        <f>STATS1003B!X1758/1000</f>
        <v>70</v>
      </c>
      <c r="Y1754" s="85">
        <f>STATS1003B!Y1758/1000</f>
        <v>0</v>
      </c>
      <c r="Z1754" s="85">
        <f>STATS1003B!Z1758/1000</f>
        <v>0</v>
      </c>
      <c r="AA1754" s="69">
        <f>STATS1003B!AA1758/1000</f>
        <v>70</v>
      </c>
      <c r="AB1754" s="69">
        <f>STATS1003B!AB1758/1000</f>
        <v>0</v>
      </c>
    </row>
    <row r="1755" spans="1:28" hidden="1" x14ac:dyDescent="0.3">
      <c r="A1755" s="117"/>
      <c r="B1755" s="71"/>
      <c r="C1755" s="71" t="s">
        <v>933</v>
      </c>
      <c r="D1755" s="89" t="s">
        <v>1072</v>
      </c>
      <c r="E1755" s="85">
        <f>STATS1003B!E1759/1000</f>
        <v>1139</v>
      </c>
      <c r="F1755" s="85">
        <f>STATS1003B!F1759/1000</f>
        <v>1139</v>
      </c>
      <c r="G1755" s="85">
        <f>STATS1003B!G1759/1000</f>
        <v>0</v>
      </c>
      <c r="H1755" s="85">
        <f>STATS1003B!H1759/1000</f>
        <v>1139</v>
      </c>
      <c r="I1755" s="85">
        <f>STATS1003B!I1759/1000</f>
        <v>0</v>
      </c>
      <c r="J1755" s="85">
        <f>STATS1003B!J1759/1000</f>
        <v>1139</v>
      </c>
      <c r="K1755" s="85">
        <f>STATS1003B!K1759/1000</f>
        <v>0</v>
      </c>
      <c r="L1755" s="85">
        <f>STATS1003B!L1759/1000</f>
        <v>0</v>
      </c>
      <c r="M1755" s="85">
        <f>STATS1003B!M1759/1000</f>
        <v>1139</v>
      </c>
      <c r="N1755" s="85">
        <f>STATS1003B!N1759/1000</f>
        <v>0</v>
      </c>
      <c r="O1755" s="85">
        <f>STATS1003B!O1759/1000</f>
        <v>0</v>
      </c>
      <c r="P1755" s="85">
        <f>STATS1003B!P1759/1000</f>
        <v>0</v>
      </c>
      <c r="Q1755" s="85">
        <f>STATS1003B!Q1759/1000</f>
        <v>0</v>
      </c>
      <c r="R1755" s="85">
        <f>STATS1003B!R1759/1000</f>
        <v>0</v>
      </c>
      <c r="S1755" s="85">
        <f>STATS1003B!S1759/1000</f>
        <v>0</v>
      </c>
      <c r="T1755" s="85">
        <f>STATS1003B!T1759/1000</f>
        <v>0</v>
      </c>
      <c r="U1755" s="85">
        <f>STATS1003B!U1759/1000</f>
        <v>0</v>
      </c>
      <c r="V1755" s="85">
        <f>STATS1003B!V1759/1000</f>
        <v>0</v>
      </c>
      <c r="W1755" s="85">
        <f>STATS1003B!W1759/1000</f>
        <v>0</v>
      </c>
      <c r="X1755" s="85">
        <f>STATS1003B!X1759/1000</f>
        <v>1139</v>
      </c>
      <c r="Y1755" s="85">
        <f>STATS1003B!Y1759/1000</f>
        <v>0</v>
      </c>
      <c r="Z1755" s="85">
        <f>STATS1003B!Z1759/1000</f>
        <v>0</v>
      </c>
      <c r="AA1755" s="69">
        <f>STATS1003B!AA1759/1000</f>
        <v>1139</v>
      </c>
      <c r="AB1755" s="69">
        <f>STATS1003B!AB1759/1000</f>
        <v>0</v>
      </c>
    </row>
    <row r="1756" spans="1:28" hidden="1" x14ac:dyDescent="0.3">
      <c r="A1756" s="117"/>
      <c r="C1756" s="68" t="s">
        <v>592</v>
      </c>
      <c r="E1756" s="85">
        <f>STATS1003B!E1760/1000</f>
        <v>373.18334999999996</v>
      </c>
      <c r="F1756" s="85">
        <f>STATS1003B!F1760/1000</f>
        <v>373.18334999999996</v>
      </c>
      <c r="G1756" s="85">
        <f>STATS1003B!G1760/1000</f>
        <v>0</v>
      </c>
      <c r="H1756" s="85">
        <f>STATS1003B!H1760/1000</f>
        <v>373.18334999999996</v>
      </c>
      <c r="I1756" s="85">
        <f>STATS1003B!I1760/1000</f>
        <v>0</v>
      </c>
      <c r="J1756" s="85">
        <f>STATS1003B!J1760/1000</f>
        <v>373.18334999999996</v>
      </c>
      <c r="K1756" s="85">
        <f>STATS1003B!K1760/1000</f>
        <v>0</v>
      </c>
      <c r="L1756" s="85">
        <f>STATS1003B!L1760/1000</f>
        <v>0</v>
      </c>
      <c r="M1756" s="85">
        <f>STATS1003B!M1760/1000</f>
        <v>373.18334999999996</v>
      </c>
      <c r="N1756" s="85">
        <f>STATS1003B!N1760/1000</f>
        <v>0</v>
      </c>
      <c r="O1756" s="85">
        <f>STATS1003B!O1760/1000</f>
        <v>0</v>
      </c>
      <c r="P1756" s="85">
        <f>STATS1003B!P1760/1000</f>
        <v>0</v>
      </c>
      <c r="Q1756" s="85">
        <f>STATS1003B!Q1760/1000</f>
        <v>373.18334999999996</v>
      </c>
      <c r="R1756" s="85">
        <f>STATS1003B!R1760/1000</f>
        <v>0</v>
      </c>
      <c r="S1756" s="85">
        <f>STATS1003B!S1760/1000</f>
        <v>0</v>
      </c>
      <c r="T1756" s="85">
        <f>STATS1003B!T1760/1000</f>
        <v>0</v>
      </c>
      <c r="U1756" s="85">
        <f>STATS1003B!U1760/1000</f>
        <v>0</v>
      </c>
      <c r="V1756" s="85">
        <f>STATS1003B!V1760/1000</f>
        <v>0</v>
      </c>
      <c r="W1756" s="85">
        <f>STATS1003B!W1760/1000</f>
        <v>0</v>
      </c>
      <c r="X1756" s="85">
        <f>STATS1003B!X1760/1000</f>
        <v>373.18334999999996</v>
      </c>
      <c r="Y1756" s="85">
        <f>STATS1003B!Y1760/1000</f>
        <v>0</v>
      </c>
      <c r="Z1756" s="85">
        <f>STATS1003B!Z1760/1000</f>
        <v>0</v>
      </c>
      <c r="AA1756" s="69">
        <f>STATS1003B!AA1760/1000</f>
        <v>373.18334999999996</v>
      </c>
      <c r="AB1756" s="69">
        <f>STATS1003B!AB1760/1000</f>
        <v>0</v>
      </c>
    </row>
    <row r="1757" spans="1:28" hidden="1" x14ac:dyDescent="0.3">
      <c r="A1757" s="117"/>
      <c r="E1757" s="86" t="s">
        <v>29</v>
      </c>
      <c r="F1757" s="86" t="s">
        <v>29</v>
      </c>
      <c r="G1757" s="86" t="s">
        <v>29</v>
      </c>
      <c r="H1757" s="86" t="s">
        <v>29</v>
      </c>
      <c r="I1757" s="86" t="s">
        <v>29</v>
      </c>
      <c r="J1757" s="86" t="s">
        <v>29</v>
      </c>
      <c r="K1757" s="86" t="s">
        <v>29</v>
      </c>
      <c r="L1757" s="86" t="s">
        <v>29</v>
      </c>
      <c r="M1757" s="86" t="s">
        <v>29</v>
      </c>
      <c r="N1757" s="86" t="s">
        <v>29</v>
      </c>
      <c r="O1757" s="86" t="s">
        <v>29</v>
      </c>
      <c r="P1757" s="86" t="s">
        <v>29</v>
      </c>
      <c r="Q1757" s="86" t="s">
        <v>29</v>
      </c>
      <c r="R1757" s="86"/>
      <c r="S1757" s="86"/>
      <c r="T1757" s="86"/>
      <c r="U1757" s="86" t="s">
        <v>29</v>
      </c>
      <c r="V1757" s="86" t="s">
        <v>29</v>
      </c>
      <c r="W1757" s="86" t="s">
        <v>29</v>
      </c>
      <c r="X1757" s="86"/>
      <c r="Y1757" s="86" t="s">
        <v>29</v>
      </c>
      <c r="Z1757" s="86"/>
      <c r="AA1757" s="115"/>
      <c r="AB1757" s="115"/>
    </row>
    <row r="1758" spans="1:28" x14ac:dyDescent="0.3">
      <c r="A1758" s="116">
        <v>76</v>
      </c>
      <c r="B1758" s="68" t="s">
        <v>761</v>
      </c>
      <c r="E1758" s="85">
        <f>86054844.26/1000</f>
        <v>86054.844260000013</v>
      </c>
      <c r="F1758" s="85">
        <f t="shared" ref="F1758:Q1758" si="193">SUM(F1745:F1757)</f>
        <v>11535.595590000001</v>
      </c>
      <c r="G1758" s="85">
        <f t="shared" si="193"/>
        <v>0</v>
      </c>
      <c r="H1758" s="85">
        <f>83225858.29/1000</f>
        <v>83225.858290000004</v>
      </c>
      <c r="I1758" s="85">
        <f t="shared" si="193"/>
        <v>0</v>
      </c>
      <c r="J1758" s="85">
        <f t="shared" si="193"/>
        <v>11535.595590000001</v>
      </c>
      <c r="K1758" s="85">
        <f t="shared" si="193"/>
        <v>2828.9859699999997</v>
      </c>
      <c r="L1758" s="85">
        <f t="shared" si="193"/>
        <v>0</v>
      </c>
      <c r="M1758" s="85">
        <f t="shared" si="193"/>
        <v>11535.595590000001</v>
      </c>
      <c r="N1758" s="85">
        <f t="shared" si="193"/>
        <v>2828.9859699999997</v>
      </c>
      <c r="O1758" s="85">
        <f t="shared" si="193"/>
        <v>0</v>
      </c>
      <c r="P1758" s="85">
        <f>2828985/1000</f>
        <v>2828.9850000000001</v>
      </c>
      <c r="Q1758" s="85">
        <f t="shared" si="193"/>
        <v>10396.595590000001</v>
      </c>
      <c r="R1758" s="86"/>
      <c r="S1758" s="86"/>
      <c r="T1758" s="85">
        <f>SUM(T1745:T1757)</f>
        <v>0</v>
      </c>
      <c r="U1758" s="85">
        <f>SUM(U1745:U1757)</f>
        <v>2828.9859699999997</v>
      </c>
      <c r="V1758" s="85">
        <f>SUM(V1745:V1757)</f>
        <v>0</v>
      </c>
      <c r="W1758" s="85">
        <f>SUM(W1745:W1757)</f>
        <v>0</v>
      </c>
      <c r="X1758" s="85">
        <f t="shared" ref="X1758:X1821" si="194">+H1758+P1758</f>
        <v>86054.843290000004</v>
      </c>
      <c r="Y1758" s="84"/>
      <c r="Z1758" s="85">
        <f>+E1758-X1758</f>
        <v>9.7000000823754817E-4</v>
      </c>
      <c r="AA1758" s="69">
        <f>SUM(AA1745:AA1756)</f>
        <v>14364.581560000001</v>
      </c>
      <c r="AB1758" s="69">
        <f>+G1758-Z1758</f>
        <v>-9.7000000823754817E-4</v>
      </c>
    </row>
    <row r="1759" spans="1:28" hidden="1" x14ac:dyDescent="0.3">
      <c r="A1759" s="117"/>
      <c r="E1759" s="86" t="s">
        <v>29</v>
      </c>
      <c r="F1759" s="86" t="s">
        <v>29</v>
      </c>
      <c r="G1759" s="86" t="s">
        <v>29</v>
      </c>
      <c r="H1759" s="86" t="s">
        <v>29</v>
      </c>
      <c r="I1759" s="86" t="s">
        <v>29</v>
      </c>
      <c r="J1759" s="86" t="s">
        <v>29</v>
      </c>
      <c r="K1759" s="86" t="s">
        <v>29</v>
      </c>
      <c r="L1759" s="86" t="s">
        <v>29</v>
      </c>
      <c r="M1759" s="86" t="s">
        <v>29</v>
      </c>
      <c r="N1759" s="86" t="s">
        <v>29</v>
      </c>
      <c r="O1759" s="86" t="s">
        <v>29</v>
      </c>
      <c r="P1759" s="86" t="s">
        <v>29</v>
      </c>
      <c r="Q1759" s="86" t="s">
        <v>29</v>
      </c>
      <c r="R1759" s="86"/>
      <c r="S1759" s="86"/>
      <c r="T1759" s="86"/>
      <c r="U1759" s="86" t="s">
        <v>29</v>
      </c>
      <c r="V1759" s="86" t="s">
        <v>29</v>
      </c>
      <c r="W1759" s="86" t="s">
        <v>29</v>
      </c>
      <c r="X1759" s="85" t="e">
        <f t="shared" si="194"/>
        <v>#VALUE!</v>
      </c>
      <c r="Y1759" s="86" t="s">
        <v>29</v>
      </c>
      <c r="Z1759" s="86"/>
      <c r="AA1759" s="115" t="s">
        <v>29</v>
      </c>
      <c r="AB1759" s="115" t="s">
        <v>29</v>
      </c>
    </row>
    <row r="1760" spans="1:28" hidden="1" x14ac:dyDescent="0.3">
      <c r="A1760" s="105"/>
      <c r="E1760" s="84"/>
      <c r="F1760" s="84"/>
      <c r="G1760" s="84"/>
      <c r="H1760" s="84"/>
      <c r="I1760" s="84"/>
      <c r="J1760" s="84"/>
      <c r="K1760" s="84"/>
      <c r="L1760" s="84"/>
      <c r="M1760" s="84"/>
      <c r="N1760" s="84"/>
      <c r="O1760" s="84"/>
      <c r="P1760" s="84"/>
      <c r="Q1760" s="84"/>
      <c r="R1760" s="86"/>
      <c r="S1760" s="86"/>
      <c r="T1760" s="86"/>
      <c r="U1760" s="86"/>
      <c r="V1760" s="86"/>
      <c r="W1760" s="86"/>
      <c r="X1760" s="85">
        <f t="shared" si="194"/>
        <v>0</v>
      </c>
      <c r="Y1760" s="86"/>
      <c r="Z1760" s="97"/>
      <c r="AA1760" s="118"/>
    </row>
    <row r="1761" spans="1:28" hidden="1" x14ac:dyDescent="0.3">
      <c r="A1761" s="117"/>
      <c r="C1761" s="68" t="s">
        <v>535</v>
      </c>
      <c r="D1761" s="145" t="s">
        <v>68</v>
      </c>
      <c r="E1761" s="85">
        <f>STATS1003B!E1765/1000</f>
        <v>1155.3854099999999</v>
      </c>
      <c r="F1761" s="85">
        <f>STATS1003B!F1765/1000</f>
        <v>542.54399999999998</v>
      </c>
      <c r="G1761" s="85">
        <f>STATS1003B!G1765/1000</f>
        <v>0</v>
      </c>
      <c r="H1761" s="85">
        <f>STATS1003B!H1765/1000</f>
        <v>542.54399999999998</v>
      </c>
      <c r="I1761" s="85">
        <f>STATS1003B!I1765/1000</f>
        <v>0</v>
      </c>
      <c r="J1761" s="85">
        <f>STATS1003B!J1765/1000</f>
        <v>542.54399999999998</v>
      </c>
      <c r="K1761" s="85">
        <f>STATS1003B!K1765/1000</f>
        <v>612.84141</v>
      </c>
      <c r="L1761" s="85">
        <f>STATS1003B!L1765/1000</f>
        <v>0</v>
      </c>
      <c r="M1761" s="85">
        <f>STATS1003B!M1765/1000</f>
        <v>542.54399999999998</v>
      </c>
      <c r="N1761" s="85">
        <f>STATS1003B!N1765/1000</f>
        <v>612.84141</v>
      </c>
      <c r="O1761" s="85">
        <f>STATS1003B!O1765/1000</f>
        <v>0</v>
      </c>
      <c r="P1761" s="85">
        <f>STATS1003B!P1765/1000</f>
        <v>612.84141</v>
      </c>
      <c r="Q1761" s="85">
        <f>STATS1003B!Q1765/1000</f>
        <v>542.54399999999987</v>
      </c>
      <c r="R1761" s="85">
        <f>STATS1003B!R1765/1000</f>
        <v>0</v>
      </c>
      <c r="S1761" s="85">
        <f>STATS1003B!S1765/1000</f>
        <v>0</v>
      </c>
      <c r="T1761" s="85">
        <f>STATS1003B!T1765/1000</f>
        <v>0</v>
      </c>
      <c r="U1761" s="85">
        <f>STATS1003B!U1765/1000</f>
        <v>612.84141</v>
      </c>
      <c r="V1761" s="85">
        <f>STATS1003B!V1765/1000</f>
        <v>0</v>
      </c>
      <c r="W1761" s="85">
        <f>STATS1003B!W1765/1000</f>
        <v>0</v>
      </c>
      <c r="X1761" s="85">
        <f t="shared" si="194"/>
        <v>1155.3854099999999</v>
      </c>
      <c r="Y1761" s="85">
        <f>STATS1003B!Y1765/1000</f>
        <v>0</v>
      </c>
      <c r="Z1761" s="85">
        <f>STATS1003B!Z1765/1000</f>
        <v>0</v>
      </c>
      <c r="AA1761" s="69">
        <f>STATS1003B!AA1765/1000</f>
        <v>1155.3854100000001</v>
      </c>
      <c r="AB1761" s="69">
        <f>STATS1003B!AB1765/1000</f>
        <v>0</v>
      </c>
    </row>
    <row r="1762" spans="1:28" hidden="1" x14ac:dyDescent="0.3">
      <c r="A1762" s="117"/>
      <c r="C1762" s="68" t="s">
        <v>539</v>
      </c>
      <c r="D1762" s="145" t="s">
        <v>68</v>
      </c>
      <c r="E1762" s="85">
        <f>STATS1003B!E1766/1000</f>
        <v>314.5</v>
      </c>
      <c r="F1762" s="85">
        <f>STATS1003B!F1766/1000</f>
        <v>0</v>
      </c>
      <c r="G1762" s="85">
        <f>STATS1003B!G1766/1000</f>
        <v>0</v>
      </c>
      <c r="H1762" s="85">
        <f>STATS1003B!H1766/1000</f>
        <v>0</v>
      </c>
      <c r="I1762" s="85">
        <f>STATS1003B!I1766/1000</f>
        <v>0</v>
      </c>
      <c r="J1762" s="85">
        <f>STATS1003B!J1766/1000</f>
        <v>0</v>
      </c>
      <c r="K1762" s="85">
        <f>STATS1003B!K1766/1000</f>
        <v>314.5</v>
      </c>
      <c r="L1762" s="85">
        <f>STATS1003B!L1766/1000</f>
        <v>0</v>
      </c>
      <c r="M1762" s="85">
        <f>STATS1003B!M1766/1000</f>
        <v>0</v>
      </c>
      <c r="N1762" s="85">
        <f>STATS1003B!N1766/1000</f>
        <v>314.5</v>
      </c>
      <c r="O1762" s="85">
        <f>STATS1003B!O1766/1000</f>
        <v>0</v>
      </c>
      <c r="P1762" s="85">
        <f>STATS1003B!P1766/1000</f>
        <v>314.5</v>
      </c>
      <c r="Q1762" s="85">
        <f>STATS1003B!Q1766/1000</f>
        <v>0</v>
      </c>
      <c r="R1762" s="85">
        <f>STATS1003B!R1766/1000</f>
        <v>0</v>
      </c>
      <c r="S1762" s="85">
        <f>STATS1003B!S1766/1000</f>
        <v>0</v>
      </c>
      <c r="T1762" s="85">
        <f>STATS1003B!T1766/1000</f>
        <v>0</v>
      </c>
      <c r="U1762" s="85">
        <f>STATS1003B!U1766/1000</f>
        <v>314.5</v>
      </c>
      <c r="V1762" s="85">
        <f>STATS1003B!V1766/1000</f>
        <v>0</v>
      </c>
      <c r="W1762" s="85">
        <f>STATS1003B!W1766/1000</f>
        <v>0</v>
      </c>
      <c r="X1762" s="85">
        <f t="shared" si="194"/>
        <v>314.5</v>
      </c>
      <c r="Y1762" s="85">
        <f>STATS1003B!Y1766/1000</f>
        <v>0</v>
      </c>
      <c r="Z1762" s="85">
        <f>STATS1003B!Z1766/1000</f>
        <v>0</v>
      </c>
      <c r="AA1762" s="69">
        <f>STATS1003B!AA1766/1000</f>
        <v>314.5</v>
      </c>
      <c r="AB1762" s="69">
        <f>STATS1003B!AB1766/1000</f>
        <v>0</v>
      </c>
    </row>
    <row r="1763" spans="1:28" hidden="1" x14ac:dyDescent="0.3">
      <c r="A1763" s="117"/>
      <c r="C1763" s="68" t="s">
        <v>535</v>
      </c>
      <c r="D1763" s="145" t="s">
        <v>54</v>
      </c>
      <c r="E1763" s="85">
        <f>STATS1003B!E1767/1000</f>
        <v>408.5</v>
      </c>
      <c r="F1763" s="85">
        <f>STATS1003B!F1767/1000</f>
        <v>408.5</v>
      </c>
      <c r="G1763" s="85">
        <f>STATS1003B!G1767/1000</f>
        <v>0</v>
      </c>
      <c r="H1763" s="85">
        <f>STATS1003B!H1767/1000</f>
        <v>408.5</v>
      </c>
      <c r="I1763" s="85">
        <f>STATS1003B!I1767/1000</f>
        <v>0</v>
      </c>
      <c r="J1763" s="85">
        <f>STATS1003B!J1767/1000</f>
        <v>408.5</v>
      </c>
      <c r="K1763" s="85">
        <f>STATS1003B!K1767/1000</f>
        <v>0</v>
      </c>
      <c r="L1763" s="85">
        <f>STATS1003B!L1767/1000</f>
        <v>0</v>
      </c>
      <c r="M1763" s="85">
        <f>STATS1003B!M1767/1000</f>
        <v>408.5</v>
      </c>
      <c r="N1763" s="85">
        <f>STATS1003B!N1767/1000</f>
        <v>0</v>
      </c>
      <c r="O1763" s="85">
        <f>STATS1003B!O1767/1000</f>
        <v>0</v>
      </c>
      <c r="P1763" s="85">
        <f>STATS1003B!P1767/1000</f>
        <v>0</v>
      </c>
      <c r="Q1763" s="85">
        <f>STATS1003B!Q1767/1000</f>
        <v>408.5</v>
      </c>
      <c r="R1763" s="85">
        <f>STATS1003B!R1767/1000</f>
        <v>0</v>
      </c>
      <c r="S1763" s="85">
        <f>STATS1003B!S1767/1000</f>
        <v>0</v>
      </c>
      <c r="T1763" s="85">
        <f>STATS1003B!T1767/1000</f>
        <v>0</v>
      </c>
      <c r="U1763" s="85">
        <f>STATS1003B!U1767/1000</f>
        <v>0</v>
      </c>
      <c r="V1763" s="85">
        <f>STATS1003B!V1767/1000</f>
        <v>0</v>
      </c>
      <c r="W1763" s="85">
        <f>STATS1003B!W1767/1000</f>
        <v>0</v>
      </c>
      <c r="X1763" s="85">
        <f t="shared" si="194"/>
        <v>408.5</v>
      </c>
      <c r="Y1763" s="85">
        <f>STATS1003B!Y1767/1000</f>
        <v>0</v>
      </c>
      <c r="Z1763" s="85">
        <f>STATS1003B!Z1767/1000</f>
        <v>0</v>
      </c>
      <c r="AA1763" s="69">
        <f>STATS1003B!AA1767/1000</f>
        <v>408.5</v>
      </c>
      <c r="AB1763" s="69">
        <f>STATS1003B!AB1767/1000</f>
        <v>0</v>
      </c>
    </row>
    <row r="1764" spans="1:28" hidden="1" x14ac:dyDescent="0.3">
      <c r="A1764" s="117"/>
      <c r="C1764" s="68" t="s">
        <v>545</v>
      </c>
      <c r="D1764" s="145" t="s">
        <v>54</v>
      </c>
      <c r="E1764" s="85">
        <f>STATS1003B!E1768/1000</f>
        <v>1953.989</v>
      </c>
      <c r="F1764" s="85">
        <f>STATS1003B!F1768/1000</f>
        <v>0</v>
      </c>
      <c r="G1764" s="85">
        <f>STATS1003B!G1768/1000</f>
        <v>0</v>
      </c>
      <c r="H1764" s="85">
        <f>STATS1003B!H1768/1000</f>
        <v>0</v>
      </c>
      <c r="I1764" s="85">
        <f>STATS1003B!I1768/1000</f>
        <v>0</v>
      </c>
      <c r="J1764" s="85">
        <f>STATS1003B!J1768/1000</f>
        <v>0</v>
      </c>
      <c r="K1764" s="85">
        <f>STATS1003B!K1768/1000</f>
        <v>1953.989</v>
      </c>
      <c r="L1764" s="85">
        <f>STATS1003B!L1768/1000</f>
        <v>0</v>
      </c>
      <c r="M1764" s="85">
        <f>STATS1003B!M1768/1000</f>
        <v>0</v>
      </c>
      <c r="N1764" s="85">
        <f>STATS1003B!N1768/1000</f>
        <v>1953.989</v>
      </c>
      <c r="O1764" s="85">
        <f>STATS1003B!O1768/1000</f>
        <v>0</v>
      </c>
      <c r="P1764" s="85">
        <f>STATS1003B!P1768/1000</f>
        <v>1953.989</v>
      </c>
      <c r="Q1764" s="85">
        <f>STATS1003B!Q1768/1000</f>
        <v>0</v>
      </c>
      <c r="R1764" s="85">
        <f>STATS1003B!R1768/1000</f>
        <v>0</v>
      </c>
      <c r="S1764" s="85">
        <f>STATS1003B!S1768/1000</f>
        <v>0</v>
      </c>
      <c r="T1764" s="85">
        <f>STATS1003B!T1768/1000</f>
        <v>0</v>
      </c>
      <c r="U1764" s="85">
        <f>STATS1003B!U1768/1000</f>
        <v>1953.989</v>
      </c>
      <c r="V1764" s="85">
        <f>STATS1003B!V1768/1000</f>
        <v>0</v>
      </c>
      <c r="W1764" s="85">
        <f>STATS1003B!W1768/1000</f>
        <v>0</v>
      </c>
      <c r="X1764" s="85">
        <f t="shared" si="194"/>
        <v>1953.989</v>
      </c>
      <c r="Y1764" s="85">
        <f>STATS1003B!Y1768/1000</f>
        <v>0</v>
      </c>
      <c r="Z1764" s="85">
        <f>STATS1003B!Z1768/1000</f>
        <v>0</v>
      </c>
      <c r="AA1764" s="69">
        <f>STATS1003B!AA1768/1000</f>
        <v>1953.989</v>
      </c>
      <c r="AB1764" s="69">
        <f>STATS1003B!AB1768/1000</f>
        <v>0</v>
      </c>
    </row>
    <row r="1765" spans="1:28" hidden="1" x14ac:dyDescent="0.3">
      <c r="A1765" s="117"/>
      <c r="C1765" s="68" t="s">
        <v>535</v>
      </c>
      <c r="D1765" s="145" t="s">
        <v>85</v>
      </c>
      <c r="E1765" s="85">
        <f>STATS1003B!E1769/1000</f>
        <v>716.35299999999995</v>
      </c>
      <c r="F1765" s="85">
        <f>STATS1003B!F1769/1000</f>
        <v>716.35299999999995</v>
      </c>
      <c r="G1765" s="85">
        <f>STATS1003B!G1769/1000</f>
        <v>0</v>
      </c>
      <c r="H1765" s="85">
        <f>STATS1003B!H1769/1000</f>
        <v>716.35299999999995</v>
      </c>
      <c r="I1765" s="85">
        <f>STATS1003B!I1769/1000</f>
        <v>0</v>
      </c>
      <c r="J1765" s="85">
        <f>STATS1003B!J1769/1000</f>
        <v>716.35299999999995</v>
      </c>
      <c r="K1765" s="85">
        <f>STATS1003B!K1769/1000</f>
        <v>0</v>
      </c>
      <c r="L1765" s="85">
        <f>STATS1003B!L1769/1000</f>
        <v>0</v>
      </c>
      <c r="M1765" s="85">
        <f>STATS1003B!M1769/1000</f>
        <v>716.35299999999995</v>
      </c>
      <c r="N1765" s="85">
        <f>STATS1003B!N1769/1000</f>
        <v>0</v>
      </c>
      <c r="O1765" s="85">
        <f>STATS1003B!O1769/1000</f>
        <v>0</v>
      </c>
      <c r="P1765" s="85">
        <f>STATS1003B!P1769/1000</f>
        <v>0</v>
      </c>
      <c r="Q1765" s="85">
        <f>STATS1003B!Q1769/1000</f>
        <v>716.35299999999995</v>
      </c>
      <c r="R1765" s="85">
        <f>STATS1003B!R1769/1000</f>
        <v>0</v>
      </c>
      <c r="S1765" s="85">
        <f>STATS1003B!S1769/1000</f>
        <v>0</v>
      </c>
      <c r="T1765" s="85">
        <f>STATS1003B!T1769/1000</f>
        <v>0</v>
      </c>
      <c r="U1765" s="85">
        <f>STATS1003B!U1769/1000</f>
        <v>0</v>
      </c>
      <c r="V1765" s="85">
        <f>STATS1003B!V1769/1000</f>
        <v>0</v>
      </c>
      <c r="W1765" s="85">
        <f>STATS1003B!W1769/1000</f>
        <v>0</v>
      </c>
      <c r="X1765" s="85">
        <f t="shared" si="194"/>
        <v>716.35299999999995</v>
      </c>
      <c r="Y1765" s="85">
        <f>STATS1003B!Y1769/1000</f>
        <v>0</v>
      </c>
      <c r="Z1765" s="85">
        <f>STATS1003B!Z1769/1000</f>
        <v>0</v>
      </c>
      <c r="AA1765" s="69">
        <f>STATS1003B!AA1769/1000</f>
        <v>716.35299999999995</v>
      </c>
      <c r="AB1765" s="69">
        <f>STATS1003B!AB1769/1000</f>
        <v>0</v>
      </c>
    </row>
    <row r="1766" spans="1:28" hidden="1" x14ac:dyDescent="0.3">
      <c r="A1766" s="117"/>
      <c r="E1766" s="86" t="s">
        <v>29</v>
      </c>
      <c r="F1766" s="86" t="s">
        <v>29</v>
      </c>
      <c r="G1766" s="86" t="s">
        <v>29</v>
      </c>
      <c r="H1766" s="86" t="s">
        <v>29</v>
      </c>
      <c r="I1766" s="86" t="s">
        <v>29</v>
      </c>
      <c r="J1766" s="86" t="s">
        <v>29</v>
      </c>
      <c r="K1766" s="86" t="s">
        <v>29</v>
      </c>
      <c r="L1766" s="86" t="s">
        <v>29</v>
      </c>
      <c r="M1766" s="86" t="s">
        <v>29</v>
      </c>
      <c r="N1766" s="86" t="s">
        <v>29</v>
      </c>
      <c r="O1766" s="86" t="s">
        <v>29</v>
      </c>
      <c r="P1766" s="86" t="s">
        <v>29</v>
      </c>
      <c r="Q1766" s="86" t="s">
        <v>29</v>
      </c>
      <c r="R1766" s="86"/>
      <c r="S1766" s="86"/>
      <c r="T1766" s="86"/>
      <c r="U1766" s="86" t="s">
        <v>29</v>
      </c>
      <c r="V1766" s="86" t="s">
        <v>29</v>
      </c>
      <c r="W1766" s="86" t="s">
        <v>29</v>
      </c>
      <c r="X1766" s="85" t="e">
        <f t="shared" si="194"/>
        <v>#VALUE!</v>
      </c>
      <c r="Y1766" s="86" t="s">
        <v>29</v>
      </c>
      <c r="Z1766" s="86"/>
      <c r="AA1766" s="115"/>
      <c r="AB1766" s="115"/>
    </row>
    <row r="1767" spans="1:28" x14ac:dyDescent="0.3">
      <c r="A1767" s="116">
        <v>77</v>
      </c>
      <c r="B1767" s="68" t="s">
        <v>763</v>
      </c>
      <c r="E1767" s="85">
        <f>43878810.2/1000</f>
        <v>43878.8102</v>
      </c>
      <c r="F1767" s="85">
        <f t="shared" ref="F1767:Q1767" si="195">SUM(F1761:F1766)</f>
        <v>1667.3969999999999</v>
      </c>
      <c r="G1767" s="85">
        <f t="shared" si="195"/>
        <v>0</v>
      </c>
      <c r="H1767" s="85">
        <f>40997479.79/1000</f>
        <v>40997.479789999998</v>
      </c>
      <c r="I1767" s="85">
        <f t="shared" si="195"/>
        <v>0</v>
      </c>
      <c r="J1767" s="85">
        <f t="shared" si="195"/>
        <v>1667.3969999999999</v>
      </c>
      <c r="K1767" s="85">
        <f t="shared" si="195"/>
        <v>2881.33041</v>
      </c>
      <c r="L1767" s="85">
        <f t="shared" si="195"/>
        <v>0</v>
      </c>
      <c r="M1767" s="85">
        <f t="shared" si="195"/>
        <v>1667.3969999999999</v>
      </c>
      <c r="N1767" s="85">
        <f t="shared" si="195"/>
        <v>2881.33041</v>
      </c>
      <c r="O1767" s="85">
        <f t="shared" si="195"/>
        <v>0</v>
      </c>
      <c r="P1767" s="85">
        <f>2881330/1000</f>
        <v>2881.33</v>
      </c>
      <c r="Q1767" s="85">
        <f t="shared" si="195"/>
        <v>1667.3969999999999</v>
      </c>
      <c r="R1767" s="86"/>
      <c r="S1767" s="86"/>
      <c r="T1767" s="85">
        <f>SUM(T1761:T1766)</f>
        <v>0</v>
      </c>
      <c r="U1767" s="85">
        <f>SUM(U1761:U1766)</f>
        <v>2881.33041</v>
      </c>
      <c r="V1767" s="85">
        <f>SUM(V1761:V1766)</f>
        <v>0</v>
      </c>
      <c r="W1767" s="85">
        <f>SUM(W1761:W1766)</f>
        <v>0</v>
      </c>
      <c r="X1767" s="85">
        <f t="shared" si="194"/>
        <v>43878.809789999999</v>
      </c>
      <c r="Y1767" s="84"/>
      <c r="Z1767" s="85">
        <f t="shared" ref="Z1767:Z1830" si="196">+E1767-X1767</f>
        <v>4.1000000055646524E-4</v>
      </c>
      <c r="AA1767" s="69">
        <f>SUM(AA1761:AA1765)</f>
        <v>4548.7274100000004</v>
      </c>
      <c r="AB1767" s="69">
        <f>+G1767-Z1767</f>
        <v>-4.1000000055646524E-4</v>
      </c>
    </row>
    <row r="1768" spans="1:28" hidden="1" x14ac:dyDescent="0.3">
      <c r="A1768" s="117"/>
      <c r="E1768" s="86" t="s">
        <v>29</v>
      </c>
      <c r="F1768" s="86" t="s">
        <v>29</v>
      </c>
      <c r="G1768" s="86" t="s">
        <v>29</v>
      </c>
      <c r="H1768" s="86" t="s">
        <v>29</v>
      </c>
      <c r="I1768" s="86" t="s">
        <v>29</v>
      </c>
      <c r="J1768" s="86" t="s">
        <v>29</v>
      </c>
      <c r="K1768" s="86" t="s">
        <v>29</v>
      </c>
      <c r="L1768" s="86" t="s">
        <v>29</v>
      </c>
      <c r="M1768" s="86" t="s">
        <v>29</v>
      </c>
      <c r="N1768" s="86" t="s">
        <v>29</v>
      </c>
      <c r="O1768" s="86" t="s">
        <v>29</v>
      </c>
      <c r="P1768" s="86" t="s">
        <v>29</v>
      </c>
      <c r="Q1768" s="86" t="s">
        <v>29</v>
      </c>
      <c r="R1768" s="86"/>
      <c r="S1768" s="86"/>
      <c r="T1768" s="86"/>
      <c r="U1768" s="86" t="s">
        <v>29</v>
      </c>
      <c r="V1768" s="86" t="s">
        <v>29</v>
      </c>
      <c r="W1768" s="86" t="s">
        <v>29</v>
      </c>
      <c r="X1768" s="85" t="e">
        <f t="shared" si="194"/>
        <v>#VALUE!</v>
      </c>
      <c r="Y1768" s="86" t="s">
        <v>29</v>
      </c>
      <c r="Z1768" s="85" t="e">
        <f t="shared" si="196"/>
        <v>#VALUE!</v>
      </c>
      <c r="AA1768" s="115"/>
      <c r="AB1768" s="115"/>
    </row>
    <row r="1769" spans="1:28" hidden="1" x14ac:dyDescent="0.3">
      <c r="A1769" s="105"/>
      <c r="E1769" s="84"/>
      <c r="F1769" s="84"/>
      <c r="G1769" s="84"/>
      <c r="H1769" s="84"/>
      <c r="I1769" s="84"/>
      <c r="J1769" s="84"/>
      <c r="K1769" s="84"/>
      <c r="L1769" s="84"/>
      <c r="M1769" s="84"/>
      <c r="N1769" s="84"/>
      <c r="O1769" s="84"/>
      <c r="P1769" s="84"/>
      <c r="Q1769" s="84"/>
      <c r="R1769" s="86"/>
      <c r="S1769" s="86"/>
      <c r="T1769" s="86"/>
      <c r="U1769" s="92"/>
      <c r="V1769" s="86"/>
      <c r="W1769" s="86"/>
      <c r="X1769" s="85">
        <f t="shared" si="194"/>
        <v>0</v>
      </c>
      <c r="Y1769" s="86"/>
      <c r="Z1769" s="85">
        <f t="shared" si="196"/>
        <v>0</v>
      </c>
      <c r="AA1769" s="118"/>
    </row>
    <row r="1770" spans="1:28" hidden="1" x14ac:dyDescent="0.3">
      <c r="A1770" s="117"/>
      <c r="C1770" s="68" t="s">
        <v>539</v>
      </c>
      <c r="D1770" s="145" t="s">
        <v>68</v>
      </c>
      <c r="E1770" s="85">
        <f>STATS1003B!E1774/1000</f>
        <v>391.67975000000001</v>
      </c>
      <c r="F1770" s="85">
        <f>STATS1003B!F1774/1000</f>
        <v>0</v>
      </c>
      <c r="G1770" s="85">
        <f>STATS1003B!G1774/1000</f>
        <v>0</v>
      </c>
      <c r="H1770" s="85">
        <f>STATS1003B!H1774/1000</f>
        <v>0</v>
      </c>
      <c r="I1770" s="85">
        <f>STATS1003B!I1774/1000</f>
        <v>0</v>
      </c>
      <c r="J1770" s="85">
        <f>STATS1003B!J1774/1000</f>
        <v>0</v>
      </c>
      <c r="K1770" s="85">
        <f>STATS1003B!K1774/1000</f>
        <v>391.67975000000001</v>
      </c>
      <c r="L1770" s="85">
        <f>STATS1003B!L1774/1000</f>
        <v>0</v>
      </c>
      <c r="M1770" s="85">
        <f>STATS1003B!M1774/1000</f>
        <v>0</v>
      </c>
      <c r="N1770" s="85">
        <f>STATS1003B!N1774/1000</f>
        <v>391.67975000000001</v>
      </c>
      <c r="O1770" s="85">
        <f>STATS1003B!O1774/1000</f>
        <v>0</v>
      </c>
      <c r="P1770" s="85">
        <f>STATS1003B!P1774/1000</f>
        <v>391.67975000000001</v>
      </c>
      <c r="Q1770" s="85">
        <f>STATS1003B!Q1774/1000</f>
        <v>0</v>
      </c>
      <c r="R1770" s="85">
        <f>STATS1003B!R1774/1000</f>
        <v>0</v>
      </c>
      <c r="S1770" s="85">
        <f>STATS1003B!S1774/1000</f>
        <v>0</v>
      </c>
      <c r="T1770" s="85">
        <f>STATS1003B!T1774/1000</f>
        <v>0</v>
      </c>
      <c r="U1770" s="85">
        <f>STATS1003B!U1774/1000</f>
        <v>391.67975000000001</v>
      </c>
      <c r="V1770" s="85">
        <f>STATS1003B!V1774/1000</f>
        <v>0</v>
      </c>
      <c r="W1770" s="85">
        <f>STATS1003B!W1774/1000</f>
        <v>0</v>
      </c>
      <c r="X1770" s="85">
        <f t="shared" si="194"/>
        <v>391.67975000000001</v>
      </c>
      <c r="Y1770" s="85">
        <f>STATS1003B!Y1774/1000</f>
        <v>0</v>
      </c>
      <c r="Z1770" s="85">
        <f t="shared" si="196"/>
        <v>0</v>
      </c>
      <c r="AA1770" s="69">
        <f>STATS1003B!AA1774/1000</f>
        <v>391.67975000000001</v>
      </c>
      <c r="AB1770" s="69">
        <f>STATS1003B!AB1774/1000</f>
        <v>0</v>
      </c>
    </row>
    <row r="1771" spans="1:28" hidden="1" x14ac:dyDescent="0.3">
      <c r="A1771" s="117"/>
      <c r="C1771" s="68" t="s">
        <v>535</v>
      </c>
      <c r="D1771" s="145" t="s">
        <v>68</v>
      </c>
      <c r="E1771" s="85">
        <f>STATS1003B!E1775/1000</f>
        <v>1717</v>
      </c>
      <c r="F1771" s="85">
        <f>STATS1003B!F1775/1000</f>
        <v>596.23</v>
      </c>
      <c r="G1771" s="85">
        <f>STATS1003B!G1775/1000</f>
        <v>0</v>
      </c>
      <c r="H1771" s="85">
        <f>STATS1003B!H1775/1000</f>
        <v>596.23</v>
      </c>
      <c r="I1771" s="85">
        <f>STATS1003B!I1775/1000</f>
        <v>0</v>
      </c>
      <c r="J1771" s="85">
        <f>STATS1003B!J1775/1000</f>
        <v>596.23</v>
      </c>
      <c r="K1771" s="85">
        <f>STATS1003B!K1775/1000</f>
        <v>1120.77</v>
      </c>
      <c r="L1771" s="85">
        <f>STATS1003B!L1775/1000</f>
        <v>0</v>
      </c>
      <c r="M1771" s="85">
        <f>STATS1003B!M1775/1000</f>
        <v>596.23</v>
      </c>
      <c r="N1771" s="85">
        <f>STATS1003B!N1775/1000</f>
        <v>1120.77</v>
      </c>
      <c r="O1771" s="85">
        <f>STATS1003B!O1775/1000</f>
        <v>0</v>
      </c>
      <c r="P1771" s="85">
        <f>STATS1003B!P1775/1000</f>
        <v>1120.77</v>
      </c>
      <c r="Q1771" s="85">
        <f>STATS1003B!Q1775/1000</f>
        <v>596.23</v>
      </c>
      <c r="R1771" s="85">
        <f>STATS1003B!R1775/1000</f>
        <v>0</v>
      </c>
      <c r="S1771" s="85">
        <f>STATS1003B!S1775/1000</f>
        <v>0</v>
      </c>
      <c r="T1771" s="85">
        <f>STATS1003B!T1775/1000</f>
        <v>0</v>
      </c>
      <c r="U1771" s="85">
        <f>STATS1003B!U1775/1000</f>
        <v>1120.77</v>
      </c>
      <c r="V1771" s="85">
        <f>STATS1003B!V1775/1000</f>
        <v>0</v>
      </c>
      <c r="W1771" s="85">
        <f>STATS1003B!W1775/1000</f>
        <v>0</v>
      </c>
      <c r="X1771" s="85">
        <f t="shared" si="194"/>
        <v>1717</v>
      </c>
      <c r="Y1771" s="85">
        <f>STATS1003B!Y1775/1000</f>
        <v>0</v>
      </c>
      <c r="Z1771" s="85">
        <f t="shared" si="196"/>
        <v>0</v>
      </c>
      <c r="AA1771" s="69">
        <f>STATS1003B!AA1775/1000</f>
        <v>1717</v>
      </c>
      <c r="AB1771" s="69">
        <f>STATS1003B!AB1775/1000</f>
        <v>0</v>
      </c>
    </row>
    <row r="1772" spans="1:28" hidden="1" x14ac:dyDescent="0.3">
      <c r="A1772" s="117"/>
      <c r="C1772" s="68" t="s">
        <v>545</v>
      </c>
      <c r="D1772" s="145" t="s">
        <v>54</v>
      </c>
      <c r="E1772" s="85">
        <f>STATS1003B!E1776/1000</f>
        <v>1767.77</v>
      </c>
      <c r="F1772" s="85">
        <f>STATS1003B!F1776/1000</f>
        <v>0</v>
      </c>
      <c r="G1772" s="85">
        <f>STATS1003B!G1776/1000</f>
        <v>0</v>
      </c>
      <c r="H1772" s="85">
        <f>STATS1003B!H1776/1000</f>
        <v>0</v>
      </c>
      <c r="I1772" s="85">
        <f>STATS1003B!I1776/1000</f>
        <v>0</v>
      </c>
      <c r="J1772" s="85">
        <f>STATS1003B!J1776/1000</f>
        <v>0</v>
      </c>
      <c r="K1772" s="85">
        <f>STATS1003B!K1776/1000</f>
        <v>1767.77</v>
      </c>
      <c r="L1772" s="85">
        <f>STATS1003B!L1776/1000</f>
        <v>0</v>
      </c>
      <c r="M1772" s="85">
        <f>STATS1003B!M1776/1000</f>
        <v>0</v>
      </c>
      <c r="N1772" s="85">
        <f>STATS1003B!N1776/1000</f>
        <v>1767.77</v>
      </c>
      <c r="O1772" s="85">
        <f>STATS1003B!O1776/1000</f>
        <v>0</v>
      </c>
      <c r="P1772" s="85">
        <f>STATS1003B!P1776/1000</f>
        <v>1767.77</v>
      </c>
      <c r="Q1772" s="85">
        <f>STATS1003B!Q1776/1000</f>
        <v>0</v>
      </c>
      <c r="R1772" s="85">
        <f>STATS1003B!R1776/1000</f>
        <v>0</v>
      </c>
      <c r="S1772" s="85">
        <f>STATS1003B!S1776/1000</f>
        <v>0</v>
      </c>
      <c r="T1772" s="85">
        <f>STATS1003B!T1776/1000</f>
        <v>0</v>
      </c>
      <c r="U1772" s="85">
        <f>STATS1003B!U1776/1000</f>
        <v>1767.77</v>
      </c>
      <c r="V1772" s="85">
        <f>STATS1003B!V1776/1000</f>
        <v>0</v>
      </c>
      <c r="W1772" s="85">
        <f>STATS1003B!W1776/1000</f>
        <v>0</v>
      </c>
      <c r="X1772" s="85">
        <f t="shared" si="194"/>
        <v>1767.77</v>
      </c>
      <c r="Y1772" s="85">
        <f>STATS1003B!Y1776/1000</f>
        <v>0</v>
      </c>
      <c r="Z1772" s="85">
        <f t="shared" si="196"/>
        <v>0</v>
      </c>
      <c r="AA1772" s="69">
        <f>STATS1003B!AA1776/1000</f>
        <v>1767.77</v>
      </c>
      <c r="AB1772" s="69">
        <f>STATS1003B!AB1776/1000</f>
        <v>0</v>
      </c>
    </row>
    <row r="1773" spans="1:28" hidden="1" x14ac:dyDescent="0.3">
      <c r="A1773" s="117"/>
      <c r="C1773" s="68" t="s">
        <v>535</v>
      </c>
      <c r="D1773" s="145" t="s">
        <v>54</v>
      </c>
      <c r="E1773" s="85">
        <f>STATS1003B!E1777/1000</f>
        <v>1245.45</v>
      </c>
      <c r="F1773" s="85">
        <f>STATS1003B!F1777/1000</f>
        <v>1245.45</v>
      </c>
      <c r="G1773" s="85">
        <f>STATS1003B!G1777/1000</f>
        <v>0</v>
      </c>
      <c r="H1773" s="85">
        <f>STATS1003B!H1777/1000</f>
        <v>1245.45</v>
      </c>
      <c r="I1773" s="85">
        <f>STATS1003B!I1777/1000</f>
        <v>0</v>
      </c>
      <c r="J1773" s="85">
        <f>STATS1003B!J1777/1000</f>
        <v>1245.45</v>
      </c>
      <c r="K1773" s="85">
        <f>STATS1003B!K1777/1000</f>
        <v>0</v>
      </c>
      <c r="L1773" s="85">
        <f>STATS1003B!L1777/1000</f>
        <v>0</v>
      </c>
      <c r="M1773" s="85">
        <f>STATS1003B!M1777/1000</f>
        <v>1245.45</v>
      </c>
      <c r="N1773" s="85">
        <f>STATS1003B!N1777/1000</f>
        <v>0</v>
      </c>
      <c r="O1773" s="85">
        <f>STATS1003B!O1777/1000</f>
        <v>0</v>
      </c>
      <c r="P1773" s="85">
        <f>STATS1003B!P1777/1000</f>
        <v>0</v>
      </c>
      <c r="Q1773" s="85">
        <f>STATS1003B!Q1777/1000</f>
        <v>1245.45</v>
      </c>
      <c r="R1773" s="85">
        <f>STATS1003B!R1777/1000</f>
        <v>0</v>
      </c>
      <c r="S1773" s="85">
        <f>STATS1003B!S1777/1000</f>
        <v>0</v>
      </c>
      <c r="T1773" s="85">
        <f>STATS1003B!T1777/1000</f>
        <v>0</v>
      </c>
      <c r="U1773" s="85">
        <f>STATS1003B!U1777/1000</f>
        <v>0</v>
      </c>
      <c r="V1773" s="85">
        <f>STATS1003B!V1777/1000</f>
        <v>0</v>
      </c>
      <c r="W1773" s="85">
        <f>STATS1003B!W1777/1000</f>
        <v>0</v>
      </c>
      <c r="X1773" s="85">
        <f t="shared" si="194"/>
        <v>1245.45</v>
      </c>
      <c r="Y1773" s="85">
        <f>STATS1003B!Y1777/1000</f>
        <v>0</v>
      </c>
      <c r="Z1773" s="85">
        <f t="shared" si="196"/>
        <v>0</v>
      </c>
      <c r="AA1773" s="69">
        <f>STATS1003B!AA1777/1000</f>
        <v>1245.45</v>
      </c>
      <c r="AB1773" s="69">
        <f>STATS1003B!AB1777/1000</f>
        <v>0</v>
      </c>
    </row>
    <row r="1774" spans="1:28" hidden="1" x14ac:dyDescent="0.3">
      <c r="A1774" s="117"/>
      <c r="C1774" s="68" t="s">
        <v>535</v>
      </c>
      <c r="D1774" s="145" t="s">
        <v>85</v>
      </c>
      <c r="E1774" s="85">
        <f>STATS1003B!E1778/1000</f>
        <v>2267.1</v>
      </c>
      <c r="F1774" s="85">
        <f>STATS1003B!F1778/1000</f>
        <v>2267.1</v>
      </c>
      <c r="G1774" s="85">
        <f>STATS1003B!G1778/1000</f>
        <v>0</v>
      </c>
      <c r="H1774" s="85">
        <f>STATS1003B!H1778/1000</f>
        <v>2267.1</v>
      </c>
      <c r="I1774" s="85">
        <f>STATS1003B!I1778/1000</f>
        <v>0</v>
      </c>
      <c r="J1774" s="85">
        <f>STATS1003B!J1778/1000</f>
        <v>2267.1</v>
      </c>
      <c r="K1774" s="85">
        <f>STATS1003B!K1778/1000</f>
        <v>0</v>
      </c>
      <c r="L1774" s="85">
        <f>STATS1003B!L1778/1000</f>
        <v>0</v>
      </c>
      <c r="M1774" s="85">
        <f>STATS1003B!M1778/1000</f>
        <v>2267.1</v>
      </c>
      <c r="N1774" s="85">
        <f>STATS1003B!N1778/1000</f>
        <v>0</v>
      </c>
      <c r="O1774" s="85">
        <f>STATS1003B!O1778/1000</f>
        <v>0</v>
      </c>
      <c r="P1774" s="85">
        <f>STATS1003B!P1778/1000</f>
        <v>0</v>
      </c>
      <c r="Q1774" s="85">
        <f>STATS1003B!Q1778/1000</f>
        <v>2267.1</v>
      </c>
      <c r="R1774" s="85">
        <f>STATS1003B!R1778/1000</f>
        <v>0</v>
      </c>
      <c r="S1774" s="85">
        <f>STATS1003B!S1778/1000</f>
        <v>0</v>
      </c>
      <c r="T1774" s="85">
        <f>STATS1003B!T1778/1000</f>
        <v>0</v>
      </c>
      <c r="U1774" s="85">
        <f>STATS1003B!U1778/1000</f>
        <v>0</v>
      </c>
      <c r="V1774" s="85">
        <f>STATS1003B!V1778/1000</f>
        <v>0</v>
      </c>
      <c r="W1774" s="85">
        <f>STATS1003B!W1778/1000</f>
        <v>0</v>
      </c>
      <c r="X1774" s="85">
        <f t="shared" si="194"/>
        <v>2267.1</v>
      </c>
      <c r="Y1774" s="85">
        <f>STATS1003B!Y1778/1000</f>
        <v>0</v>
      </c>
      <c r="Z1774" s="85">
        <f t="shared" si="196"/>
        <v>0</v>
      </c>
      <c r="AA1774" s="69">
        <f>STATS1003B!AA1778/1000</f>
        <v>2267.1</v>
      </c>
      <c r="AB1774" s="69">
        <f>STATS1003B!AB1778/1000</f>
        <v>0</v>
      </c>
    </row>
    <row r="1775" spans="1:28" hidden="1" x14ac:dyDescent="0.3">
      <c r="A1775" s="117"/>
      <c r="C1775" s="68" t="s">
        <v>535</v>
      </c>
      <c r="D1775" s="145" t="s">
        <v>128</v>
      </c>
      <c r="E1775" s="85">
        <f>STATS1003B!E1779/1000</f>
        <v>869.94500000000005</v>
      </c>
      <c r="F1775" s="85">
        <f>STATS1003B!F1779/1000</f>
        <v>869.94500000000005</v>
      </c>
      <c r="G1775" s="85">
        <f>STATS1003B!G1779/1000</f>
        <v>0</v>
      </c>
      <c r="H1775" s="85">
        <f>STATS1003B!H1779/1000</f>
        <v>869.94500000000005</v>
      </c>
      <c r="I1775" s="85">
        <f>STATS1003B!I1779/1000</f>
        <v>0</v>
      </c>
      <c r="J1775" s="85">
        <f>STATS1003B!J1779/1000</f>
        <v>869.94500000000005</v>
      </c>
      <c r="K1775" s="85">
        <f>STATS1003B!K1779/1000</f>
        <v>0</v>
      </c>
      <c r="L1775" s="85">
        <f>STATS1003B!L1779/1000</f>
        <v>0</v>
      </c>
      <c r="M1775" s="85">
        <f>STATS1003B!M1779/1000</f>
        <v>869.94500000000005</v>
      </c>
      <c r="N1775" s="85">
        <f>STATS1003B!N1779/1000</f>
        <v>0</v>
      </c>
      <c r="O1775" s="85">
        <f>STATS1003B!O1779/1000</f>
        <v>0</v>
      </c>
      <c r="P1775" s="85">
        <f>STATS1003B!P1779/1000</f>
        <v>0</v>
      </c>
      <c r="Q1775" s="85">
        <f>STATS1003B!Q1779/1000</f>
        <v>869.94500000000005</v>
      </c>
      <c r="R1775" s="85">
        <f>STATS1003B!R1779/1000</f>
        <v>0</v>
      </c>
      <c r="S1775" s="85">
        <f>STATS1003B!S1779/1000</f>
        <v>0</v>
      </c>
      <c r="T1775" s="85">
        <f>STATS1003B!T1779/1000</f>
        <v>0</v>
      </c>
      <c r="U1775" s="85">
        <f>STATS1003B!U1779/1000</f>
        <v>0</v>
      </c>
      <c r="V1775" s="85">
        <f>STATS1003B!V1779/1000</f>
        <v>0</v>
      </c>
      <c r="W1775" s="85">
        <f>STATS1003B!W1779/1000</f>
        <v>0</v>
      </c>
      <c r="X1775" s="85">
        <f t="shared" si="194"/>
        <v>869.94500000000005</v>
      </c>
      <c r="Y1775" s="85">
        <f>STATS1003B!Y1779/1000</f>
        <v>0</v>
      </c>
      <c r="Z1775" s="85">
        <f t="shared" si="196"/>
        <v>0</v>
      </c>
      <c r="AA1775" s="69">
        <f>STATS1003B!AA1779/1000</f>
        <v>869.94500000000005</v>
      </c>
      <c r="AB1775" s="69">
        <f>STATS1003B!AB1779/1000</f>
        <v>0</v>
      </c>
    </row>
    <row r="1776" spans="1:28" hidden="1" x14ac:dyDescent="0.3">
      <c r="A1776" s="117"/>
      <c r="C1776" s="68" t="s">
        <v>535</v>
      </c>
      <c r="D1776" s="145" t="s">
        <v>88</v>
      </c>
      <c r="E1776" s="85">
        <f>STATS1003B!E1780/1000</f>
        <v>2715.2953499999999</v>
      </c>
      <c r="F1776" s="85">
        <f>STATS1003B!F1780/1000</f>
        <v>2715.2953499999999</v>
      </c>
      <c r="G1776" s="85">
        <f>STATS1003B!G1780/1000</f>
        <v>0</v>
      </c>
      <c r="H1776" s="85">
        <f>STATS1003B!H1780/1000</f>
        <v>2715.2953499999999</v>
      </c>
      <c r="I1776" s="85">
        <f>STATS1003B!I1780/1000</f>
        <v>0</v>
      </c>
      <c r="J1776" s="85">
        <f>STATS1003B!J1780/1000</f>
        <v>2715.2953499999999</v>
      </c>
      <c r="K1776" s="85">
        <f>STATS1003B!K1780/1000</f>
        <v>0</v>
      </c>
      <c r="L1776" s="85">
        <f>STATS1003B!L1780/1000</f>
        <v>0</v>
      </c>
      <c r="M1776" s="85">
        <f>STATS1003B!M1780/1000</f>
        <v>2715.2953499999999</v>
      </c>
      <c r="N1776" s="85">
        <f>STATS1003B!N1780/1000</f>
        <v>0</v>
      </c>
      <c r="O1776" s="85">
        <f>STATS1003B!O1780/1000</f>
        <v>0</v>
      </c>
      <c r="P1776" s="85">
        <f>STATS1003B!P1780/1000</f>
        <v>0</v>
      </c>
      <c r="Q1776" s="85">
        <f>STATS1003B!Q1780/1000</f>
        <v>2715.2953499999999</v>
      </c>
      <c r="R1776" s="85">
        <f>STATS1003B!R1780/1000</f>
        <v>0</v>
      </c>
      <c r="S1776" s="85">
        <f>STATS1003B!S1780/1000</f>
        <v>0</v>
      </c>
      <c r="T1776" s="85">
        <f>STATS1003B!T1780/1000</f>
        <v>0</v>
      </c>
      <c r="U1776" s="85">
        <f>STATS1003B!U1780/1000</f>
        <v>0</v>
      </c>
      <c r="V1776" s="85">
        <f>STATS1003B!V1780/1000</f>
        <v>0</v>
      </c>
      <c r="W1776" s="85">
        <f>STATS1003B!W1780/1000</f>
        <v>0</v>
      </c>
      <c r="X1776" s="85">
        <f t="shared" si="194"/>
        <v>2715.2953499999999</v>
      </c>
      <c r="Y1776" s="85">
        <f>STATS1003B!Y1780/1000</f>
        <v>0</v>
      </c>
      <c r="Z1776" s="85">
        <f t="shared" si="196"/>
        <v>0</v>
      </c>
      <c r="AA1776" s="69">
        <f>STATS1003B!AA1780/1000</f>
        <v>2715.2953499999999</v>
      </c>
      <c r="AB1776" s="69">
        <f>STATS1003B!AB1780/1000</f>
        <v>0</v>
      </c>
    </row>
    <row r="1777" spans="1:28" hidden="1" x14ac:dyDescent="0.3">
      <c r="A1777" s="117"/>
      <c r="C1777" s="68" t="s">
        <v>535</v>
      </c>
      <c r="D1777" s="145" t="s">
        <v>58</v>
      </c>
      <c r="E1777" s="85">
        <f>STATS1003B!E1781/1000</f>
        <v>2013</v>
      </c>
      <c r="F1777" s="85">
        <f>STATS1003B!F1781/1000</f>
        <v>0</v>
      </c>
      <c r="G1777" s="85">
        <f>STATS1003B!G1781/1000</f>
        <v>0</v>
      </c>
      <c r="H1777" s="85">
        <f>STATS1003B!H1781/1000</f>
        <v>0</v>
      </c>
      <c r="I1777" s="85">
        <f>STATS1003B!I1781/1000</f>
        <v>2013</v>
      </c>
      <c r="J1777" s="85">
        <f>STATS1003B!J1781/1000</f>
        <v>2013</v>
      </c>
      <c r="K1777" s="85">
        <f>STATS1003B!K1781/1000</f>
        <v>0</v>
      </c>
      <c r="L1777" s="85">
        <f>STATS1003B!L1781/1000</f>
        <v>2013</v>
      </c>
      <c r="M1777" s="85">
        <f>STATS1003B!M1781/1000</f>
        <v>2013</v>
      </c>
      <c r="N1777" s="85">
        <f>STATS1003B!N1781/1000</f>
        <v>0</v>
      </c>
      <c r="O1777" s="85">
        <f>STATS1003B!O1781/1000</f>
        <v>0</v>
      </c>
      <c r="P1777" s="85">
        <f>STATS1003B!P1781/1000</f>
        <v>0</v>
      </c>
      <c r="Q1777" s="85">
        <f>STATS1003B!Q1781/1000</f>
        <v>2013</v>
      </c>
      <c r="R1777" s="85">
        <f>STATS1003B!R1781/1000</f>
        <v>0</v>
      </c>
      <c r="S1777" s="85">
        <f>STATS1003B!S1781/1000</f>
        <v>0</v>
      </c>
      <c r="T1777" s="85">
        <f>STATS1003B!T1781/1000</f>
        <v>0</v>
      </c>
      <c r="U1777" s="85">
        <f>STATS1003B!U1781/1000</f>
        <v>0</v>
      </c>
      <c r="V1777" s="85">
        <f>STATS1003B!V1781/1000</f>
        <v>0</v>
      </c>
      <c r="W1777" s="85">
        <f>STATS1003B!W1781/1000</f>
        <v>0</v>
      </c>
      <c r="X1777" s="85">
        <f t="shared" si="194"/>
        <v>0</v>
      </c>
      <c r="Y1777" s="85">
        <f>STATS1003B!Y1781/1000</f>
        <v>0</v>
      </c>
      <c r="Z1777" s="85">
        <f t="shared" si="196"/>
        <v>2013</v>
      </c>
      <c r="AA1777" s="69">
        <f>STATS1003B!AA1781/1000</f>
        <v>2013</v>
      </c>
      <c r="AB1777" s="69">
        <f>STATS1003B!AB1781/1000</f>
        <v>0</v>
      </c>
    </row>
    <row r="1778" spans="1:28" hidden="1" x14ac:dyDescent="0.3">
      <c r="A1778" s="117"/>
      <c r="C1778" s="71" t="s">
        <v>621</v>
      </c>
      <c r="D1778" s="88" t="s">
        <v>73</v>
      </c>
      <c r="E1778" s="85">
        <f>STATS1003B!E1782/1000</f>
        <v>773.72199999999998</v>
      </c>
      <c r="F1778" s="85">
        <f>STATS1003B!F1782/1000</f>
        <v>773.72199999999998</v>
      </c>
      <c r="G1778" s="85">
        <f>STATS1003B!G1782/1000</f>
        <v>0</v>
      </c>
      <c r="H1778" s="85">
        <f>STATS1003B!H1782/1000</f>
        <v>773.72199999999998</v>
      </c>
      <c r="I1778" s="85">
        <f>STATS1003B!I1782/1000</f>
        <v>0</v>
      </c>
      <c r="J1778" s="85">
        <f>STATS1003B!J1782/1000</f>
        <v>773.72199999999998</v>
      </c>
      <c r="K1778" s="85">
        <f>STATS1003B!K1782/1000</f>
        <v>0</v>
      </c>
      <c r="L1778" s="85">
        <f>STATS1003B!L1782/1000</f>
        <v>0</v>
      </c>
      <c r="M1778" s="85">
        <f>STATS1003B!M1782/1000</f>
        <v>773.72199999999998</v>
      </c>
      <c r="N1778" s="85">
        <f>STATS1003B!N1782/1000</f>
        <v>0</v>
      </c>
      <c r="O1778" s="85">
        <f>STATS1003B!O1782/1000</f>
        <v>0</v>
      </c>
      <c r="P1778" s="85">
        <f>STATS1003B!P1782/1000</f>
        <v>0</v>
      </c>
      <c r="Q1778" s="85">
        <f>STATS1003B!Q1782/1000</f>
        <v>773.72199999999998</v>
      </c>
      <c r="R1778" s="85">
        <f>STATS1003B!R1782/1000</f>
        <v>0</v>
      </c>
      <c r="S1778" s="85">
        <f>STATS1003B!S1782/1000</f>
        <v>0</v>
      </c>
      <c r="T1778" s="85">
        <f>STATS1003B!T1782/1000</f>
        <v>0</v>
      </c>
      <c r="U1778" s="85">
        <f>STATS1003B!U1782/1000</f>
        <v>0</v>
      </c>
      <c r="V1778" s="85">
        <f>STATS1003B!V1782/1000</f>
        <v>0</v>
      </c>
      <c r="W1778" s="85">
        <f>STATS1003B!W1782/1000</f>
        <v>0</v>
      </c>
      <c r="X1778" s="85">
        <f t="shared" si="194"/>
        <v>773.72199999999998</v>
      </c>
      <c r="Y1778" s="85">
        <f>STATS1003B!Y1782/1000</f>
        <v>0</v>
      </c>
      <c r="Z1778" s="85">
        <f t="shared" si="196"/>
        <v>0</v>
      </c>
      <c r="AA1778" s="69">
        <f>STATS1003B!AA1782/1000</f>
        <v>773.72199999999998</v>
      </c>
      <c r="AB1778" s="69">
        <f>STATS1003B!AB1782/1000</f>
        <v>0</v>
      </c>
    </row>
    <row r="1779" spans="1:28" hidden="1" x14ac:dyDescent="0.3">
      <c r="A1779" s="117"/>
      <c r="C1779" s="68" t="s">
        <v>535</v>
      </c>
      <c r="D1779" s="145" t="s">
        <v>61</v>
      </c>
      <c r="E1779" s="85">
        <f>STATS1003B!E1783/1000</f>
        <v>780</v>
      </c>
      <c r="F1779" s="85">
        <f>STATS1003B!F1783/1000</f>
        <v>780</v>
      </c>
      <c r="G1779" s="85">
        <f>STATS1003B!G1783/1000</f>
        <v>0</v>
      </c>
      <c r="H1779" s="85">
        <f>STATS1003B!H1783/1000</f>
        <v>780</v>
      </c>
      <c r="I1779" s="85">
        <f>STATS1003B!I1783/1000</f>
        <v>0</v>
      </c>
      <c r="J1779" s="85">
        <f>STATS1003B!J1783/1000</f>
        <v>780</v>
      </c>
      <c r="K1779" s="85">
        <f>STATS1003B!K1783/1000</f>
        <v>0</v>
      </c>
      <c r="L1779" s="85">
        <f>STATS1003B!L1783/1000</f>
        <v>0</v>
      </c>
      <c r="M1779" s="85">
        <f>STATS1003B!M1783/1000</f>
        <v>780</v>
      </c>
      <c r="N1779" s="85">
        <f>STATS1003B!N1783/1000</f>
        <v>0</v>
      </c>
      <c r="O1779" s="85">
        <f>STATS1003B!O1783/1000</f>
        <v>0</v>
      </c>
      <c r="P1779" s="85">
        <f>STATS1003B!P1783/1000</f>
        <v>0</v>
      </c>
      <c r="Q1779" s="85">
        <f>STATS1003B!Q1783/1000</f>
        <v>780</v>
      </c>
      <c r="R1779" s="85">
        <f>STATS1003B!R1783/1000</f>
        <v>0</v>
      </c>
      <c r="S1779" s="85">
        <f>STATS1003B!S1783/1000</f>
        <v>0</v>
      </c>
      <c r="T1779" s="85">
        <f>STATS1003B!T1783/1000</f>
        <v>0</v>
      </c>
      <c r="U1779" s="85">
        <f>STATS1003B!U1783/1000</f>
        <v>0</v>
      </c>
      <c r="V1779" s="85">
        <f>STATS1003B!V1783/1000</f>
        <v>0</v>
      </c>
      <c r="W1779" s="85">
        <f>STATS1003B!W1783/1000</f>
        <v>0</v>
      </c>
      <c r="X1779" s="85">
        <f t="shared" si="194"/>
        <v>780</v>
      </c>
      <c r="Y1779" s="85">
        <f>STATS1003B!Y1783/1000</f>
        <v>0</v>
      </c>
      <c r="Z1779" s="85">
        <f t="shared" si="196"/>
        <v>0</v>
      </c>
      <c r="AA1779" s="69">
        <f>STATS1003B!AA1783/1000</f>
        <v>780</v>
      </c>
      <c r="AB1779" s="69">
        <f>STATS1003B!AB1783/1000</f>
        <v>0</v>
      </c>
    </row>
    <row r="1780" spans="1:28" hidden="1" x14ac:dyDescent="0.3">
      <c r="A1780" s="117"/>
      <c r="C1780" s="68" t="s">
        <v>1119</v>
      </c>
      <c r="D1780" s="90" t="s">
        <v>1072</v>
      </c>
      <c r="E1780" s="85">
        <f>STATS1003B!E1784/1000</f>
        <v>70</v>
      </c>
      <c r="F1780" s="85">
        <f>STATS1003B!F1784/1000</f>
        <v>70</v>
      </c>
      <c r="G1780" s="85">
        <f>STATS1003B!G1784/1000</f>
        <v>0</v>
      </c>
      <c r="H1780" s="85">
        <f>STATS1003B!H1784/1000</f>
        <v>70</v>
      </c>
      <c r="I1780" s="85">
        <f>STATS1003B!I1784/1000</f>
        <v>0</v>
      </c>
      <c r="J1780" s="85">
        <f>STATS1003B!J1784/1000</f>
        <v>70</v>
      </c>
      <c r="K1780" s="85">
        <f>STATS1003B!K1784/1000</f>
        <v>0</v>
      </c>
      <c r="L1780" s="85">
        <f>STATS1003B!L1784/1000</f>
        <v>0</v>
      </c>
      <c r="M1780" s="85">
        <f>STATS1003B!M1784/1000</f>
        <v>70</v>
      </c>
      <c r="N1780" s="85">
        <f>STATS1003B!N1784/1000</f>
        <v>0</v>
      </c>
      <c r="O1780" s="85">
        <f>STATS1003B!O1784/1000</f>
        <v>0</v>
      </c>
      <c r="P1780" s="85">
        <f>STATS1003B!P1784/1000</f>
        <v>0</v>
      </c>
      <c r="Q1780" s="85">
        <f>STATS1003B!Q1784/1000</f>
        <v>70</v>
      </c>
      <c r="R1780" s="85">
        <f>STATS1003B!R1784/1000</f>
        <v>0</v>
      </c>
      <c r="S1780" s="85">
        <f>STATS1003B!S1784/1000</f>
        <v>0</v>
      </c>
      <c r="T1780" s="85">
        <f>STATS1003B!T1784/1000</f>
        <v>0</v>
      </c>
      <c r="U1780" s="85">
        <f>STATS1003B!U1784/1000</f>
        <v>0</v>
      </c>
      <c r="V1780" s="85">
        <f>STATS1003B!V1784/1000</f>
        <v>0</v>
      </c>
      <c r="W1780" s="85">
        <f>STATS1003B!W1784/1000</f>
        <v>0</v>
      </c>
      <c r="X1780" s="85">
        <f t="shared" si="194"/>
        <v>70</v>
      </c>
      <c r="Y1780" s="85">
        <f>STATS1003B!Y1784/1000</f>
        <v>0</v>
      </c>
      <c r="Z1780" s="85">
        <f t="shared" si="196"/>
        <v>0</v>
      </c>
      <c r="AA1780" s="69">
        <f>STATS1003B!AA1784/1000</f>
        <v>70</v>
      </c>
      <c r="AB1780" s="69">
        <f>STATS1003B!AB1784/1000</f>
        <v>0</v>
      </c>
    </row>
    <row r="1781" spans="1:28" hidden="1" x14ac:dyDescent="0.3">
      <c r="A1781" s="117"/>
      <c r="C1781" s="68" t="s">
        <v>592</v>
      </c>
      <c r="E1781" s="85">
        <f>STATS1003B!E1785/1000</f>
        <v>468.99086</v>
      </c>
      <c r="F1781" s="85">
        <f>STATS1003B!F1785/1000</f>
        <v>288.36200000000002</v>
      </c>
      <c r="G1781" s="85">
        <f>STATS1003B!G1785/1000</f>
        <v>0</v>
      </c>
      <c r="H1781" s="85">
        <f>STATS1003B!H1785/1000</f>
        <v>288.36200000000002</v>
      </c>
      <c r="I1781" s="85">
        <f>STATS1003B!I1785/1000</f>
        <v>0</v>
      </c>
      <c r="J1781" s="85">
        <f>STATS1003B!J1785/1000</f>
        <v>288.36200000000002</v>
      </c>
      <c r="K1781" s="85">
        <f>STATS1003B!K1785/1000</f>
        <v>180.62885999999997</v>
      </c>
      <c r="L1781" s="85">
        <f>STATS1003B!L1785/1000</f>
        <v>0</v>
      </c>
      <c r="M1781" s="85">
        <f>STATS1003B!M1785/1000</f>
        <v>288.36200000000002</v>
      </c>
      <c r="N1781" s="85">
        <f>STATS1003B!N1785/1000</f>
        <v>180.62885999999997</v>
      </c>
      <c r="O1781" s="85">
        <f>STATS1003B!O1785/1000</f>
        <v>0</v>
      </c>
      <c r="P1781" s="85">
        <f>STATS1003B!P1785/1000</f>
        <v>180.62885999999997</v>
      </c>
      <c r="Q1781" s="85">
        <f>STATS1003B!Q1785/1000</f>
        <v>288.36200000000002</v>
      </c>
      <c r="R1781" s="85">
        <f>STATS1003B!R1785/1000</f>
        <v>0</v>
      </c>
      <c r="S1781" s="85">
        <f>STATS1003B!S1785/1000</f>
        <v>0</v>
      </c>
      <c r="T1781" s="85">
        <f>STATS1003B!T1785/1000</f>
        <v>0</v>
      </c>
      <c r="U1781" s="85">
        <f>STATS1003B!U1785/1000</f>
        <v>180.62885999999997</v>
      </c>
      <c r="V1781" s="85">
        <f>STATS1003B!V1785/1000</f>
        <v>0</v>
      </c>
      <c r="W1781" s="85">
        <f>STATS1003B!W1785/1000</f>
        <v>0</v>
      </c>
      <c r="X1781" s="85">
        <f t="shared" si="194"/>
        <v>468.99086</v>
      </c>
      <c r="Y1781" s="85">
        <f>STATS1003B!Y1785/1000</f>
        <v>0</v>
      </c>
      <c r="Z1781" s="85">
        <f t="shared" si="196"/>
        <v>0</v>
      </c>
      <c r="AA1781" s="69">
        <f>STATS1003B!AA1785/1000</f>
        <v>468.99086</v>
      </c>
      <c r="AB1781" s="69">
        <f>STATS1003B!AB1785/1000</f>
        <v>0</v>
      </c>
    </row>
    <row r="1782" spans="1:28" hidden="1" x14ac:dyDescent="0.3">
      <c r="A1782" s="117"/>
      <c r="C1782" s="68" t="s">
        <v>606</v>
      </c>
      <c r="E1782" s="85">
        <f>STATS1003B!E1786/1000</f>
        <v>2500</v>
      </c>
      <c r="F1782" s="85">
        <f>STATS1003B!F1786/1000</f>
        <v>2500</v>
      </c>
      <c r="G1782" s="85">
        <f>STATS1003B!G1786/1000</f>
        <v>0</v>
      </c>
      <c r="H1782" s="85">
        <f>STATS1003B!H1786/1000</f>
        <v>2500</v>
      </c>
      <c r="I1782" s="85">
        <f>STATS1003B!I1786/1000</f>
        <v>0</v>
      </c>
      <c r="J1782" s="85">
        <f>STATS1003B!J1786/1000</f>
        <v>2500</v>
      </c>
      <c r="K1782" s="85">
        <f>STATS1003B!K1786/1000</f>
        <v>0</v>
      </c>
      <c r="L1782" s="85">
        <f>STATS1003B!L1786/1000</f>
        <v>0</v>
      </c>
      <c r="M1782" s="85">
        <f>STATS1003B!M1786/1000</f>
        <v>2500</v>
      </c>
      <c r="N1782" s="85">
        <f>STATS1003B!N1786/1000</f>
        <v>0</v>
      </c>
      <c r="O1782" s="85">
        <f>STATS1003B!O1786/1000</f>
        <v>0</v>
      </c>
      <c r="P1782" s="85">
        <f>STATS1003B!P1786/1000</f>
        <v>0</v>
      </c>
      <c r="Q1782" s="85">
        <f>STATS1003B!Q1786/1000</f>
        <v>2500</v>
      </c>
      <c r="R1782" s="85">
        <f>STATS1003B!R1786/1000</f>
        <v>0</v>
      </c>
      <c r="S1782" s="85">
        <f>STATS1003B!S1786/1000</f>
        <v>0</v>
      </c>
      <c r="T1782" s="85">
        <f>STATS1003B!T1786/1000</f>
        <v>0</v>
      </c>
      <c r="U1782" s="85">
        <f>STATS1003B!U1786/1000</f>
        <v>0</v>
      </c>
      <c r="V1782" s="85">
        <f>STATS1003B!V1786/1000</f>
        <v>0</v>
      </c>
      <c r="W1782" s="85">
        <f>STATS1003B!W1786/1000</f>
        <v>0</v>
      </c>
      <c r="X1782" s="85">
        <f t="shared" si="194"/>
        <v>2500</v>
      </c>
      <c r="Y1782" s="85">
        <f>STATS1003B!Y1786/1000</f>
        <v>0</v>
      </c>
      <c r="Z1782" s="85">
        <f t="shared" si="196"/>
        <v>0</v>
      </c>
      <c r="AA1782" s="69">
        <f>STATS1003B!AA1786/1000</f>
        <v>2500</v>
      </c>
      <c r="AB1782" s="69">
        <f>STATS1003B!AB1786/1000</f>
        <v>0</v>
      </c>
    </row>
    <row r="1783" spans="1:28" hidden="1" x14ac:dyDescent="0.3">
      <c r="A1783" s="117"/>
      <c r="E1783" s="86" t="s">
        <v>29</v>
      </c>
      <c r="F1783" s="86" t="s">
        <v>29</v>
      </c>
      <c r="G1783" s="86" t="s">
        <v>29</v>
      </c>
      <c r="H1783" s="86" t="s">
        <v>29</v>
      </c>
      <c r="I1783" s="86" t="s">
        <v>29</v>
      </c>
      <c r="J1783" s="86" t="s">
        <v>29</v>
      </c>
      <c r="K1783" s="86" t="s">
        <v>29</v>
      </c>
      <c r="L1783" s="86" t="s">
        <v>29</v>
      </c>
      <c r="M1783" s="86" t="s">
        <v>29</v>
      </c>
      <c r="N1783" s="86" t="s">
        <v>29</v>
      </c>
      <c r="O1783" s="86" t="s">
        <v>29</v>
      </c>
      <c r="P1783" s="86" t="s">
        <v>29</v>
      </c>
      <c r="Q1783" s="86" t="s">
        <v>29</v>
      </c>
      <c r="R1783" s="86"/>
      <c r="S1783" s="86"/>
      <c r="T1783" s="86"/>
      <c r="U1783" s="86" t="s">
        <v>29</v>
      </c>
      <c r="V1783" s="86" t="s">
        <v>29</v>
      </c>
      <c r="W1783" s="86" t="s">
        <v>29</v>
      </c>
      <c r="X1783" s="85" t="e">
        <f t="shared" si="194"/>
        <v>#VALUE!</v>
      </c>
      <c r="Y1783" s="86" t="s">
        <v>29</v>
      </c>
      <c r="Z1783" s="85" t="e">
        <f t="shared" si="196"/>
        <v>#VALUE!</v>
      </c>
      <c r="AA1783" s="115"/>
      <c r="AB1783" s="115"/>
    </row>
    <row r="1784" spans="1:28" x14ac:dyDescent="0.3">
      <c r="A1784" s="116">
        <v>78</v>
      </c>
      <c r="B1784" s="68" t="s">
        <v>764</v>
      </c>
      <c r="E1784" s="85">
        <f>47245910.6/1000</f>
        <v>47245.910600000003</v>
      </c>
      <c r="F1784" s="85">
        <f t="shared" ref="F1784:Q1784" si="197">SUM(F1770:F1783)</f>
        <v>12106.104349999998</v>
      </c>
      <c r="G1784" s="85">
        <f t="shared" si="197"/>
        <v>0</v>
      </c>
      <c r="H1784" s="85">
        <f>41772061.99/1000</f>
        <v>41772.061990000002</v>
      </c>
      <c r="I1784" s="85">
        <f t="shared" si="197"/>
        <v>2013</v>
      </c>
      <c r="J1784" s="85">
        <f t="shared" si="197"/>
        <v>14119.104349999998</v>
      </c>
      <c r="K1784" s="85">
        <f t="shared" si="197"/>
        <v>3460.84861</v>
      </c>
      <c r="L1784" s="85">
        <f t="shared" si="197"/>
        <v>2013</v>
      </c>
      <c r="M1784" s="85">
        <f t="shared" si="197"/>
        <v>14119.104349999998</v>
      </c>
      <c r="N1784" s="85">
        <f t="shared" si="197"/>
        <v>3460.84861</v>
      </c>
      <c r="O1784" s="85">
        <f t="shared" si="197"/>
        <v>0</v>
      </c>
      <c r="P1784" s="85">
        <f>3460848/1000</f>
        <v>3460.848</v>
      </c>
      <c r="Q1784" s="85">
        <f t="shared" si="197"/>
        <v>14119.104349999998</v>
      </c>
      <c r="R1784" s="86"/>
      <c r="S1784" s="86"/>
      <c r="T1784" s="85">
        <f t="shared" ref="T1784:Y1784" si="198">SUM(T1770:T1783)</f>
        <v>0</v>
      </c>
      <c r="U1784" s="85">
        <f t="shared" si="198"/>
        <v>3460.84861</v>
      </c>
      <c r="V1784" s="85">
        <f t="shared" si="198"/>
        <v>0</v>
      </c>
      <c r="W1784" s="85">
        <f t="shared" si="198"/>
        <v>0</v>
      </c>
      <c r="X1784" s="85">
        <f t="shared" si="194"/>
        <v>45232.90999</v>
      </c>
      <c r="Y1784" s="85">
        <f t="shared" si="198"/>
        <v>0</v>
      </c>
      <c r="Z1784" s="85">
        <f t="shared" si="196"/>
        <v>2013.0006100000028</v>
      </c>
      <c r="AA1784" s="69">
        <f>SUM(AA1770:AA1783)</f>
        <v>17579.952960000002</v>
      </c>
      <c r="AB1784" s="69">
        <f>SUM(AB1770:AB1783)</f>
        <v>0</v>
      </c>
    </row>
    <row r="1785" spans="1:28" hidden="1" x14ac:dyDescent="0.3">
      <c r="A1785" s="117"/>
      <c r="E1785" s="86" t="s">
        <v>29</v>
      </c>
      <c r="F1785" s="86" t="s">
        <v>29</v>
      </c>
      <c r="G1785" s="86" t="s">
        <v>29</v>
      </c>
      <c r="H1785" s="86" t="s">
        <v>29</v>
      </c>
      <c r="I1785" s="86" t="s">
        <v>29</v>
      </c>
      <c r="J1785" s="86" t="s">
        <v>29</v>
      </c>
      <c r="K1785" s="86" t="s">
        <v>29</v>
      </c>
      <c r="L1785" s="86" t="s">
        <v>29</v>
      </c>
      <c r="M1785" s="86" t="s">
        <v>29</v>
      </c>
      <c r="N1785" s="86" t="s">
        <v>29</v>
      </c>
      <c r="O1785" s="86" t="s">
        <v>29</v>
      </c>
      <c r="P1785" s="86" t="s">
        <v>29</v>
      </c>
      <c r="Q1785" s="86" t="s">
        <v>29</v>
      </c>
      <c r="R1785" s="86"/>
      <c r="S1785" s="86"/>
      <c r="T1785" s="86"/>
      <c r="U1785" s="86" t="s">
        <v>29</v>
      </c>
      <c r="V1785" s="86" t="s">
        <v>29</v>
      </c>
      <c r="W1785" s="86" t="s">
        <v>29</v>
      </c>
      <c r="X1785" s="85" t="e">
        <f t="shared" si="194"/>
        <v>#VALUE!</v>
      </c>
      <c r="Y1785" s="86" t="s">
        <v>29</v>
      </c>
      <c r="Z1785" s="85" t="e">
        <f t="shared" si="196"/>
        <v>#VALUE!</v>
      </c>
      <c r="AA1785" s="115"/>
      <c r="AB1785" s="115"/>
    </row>
    <row r="1786" spans="1:28" hidden="1" x14ac:dyDescent="0.3">
      <c r="A1786" s="105"/>
      <c r="E1786" s="84"/>
      <c r="F1786" s="84"/>
      <c r="G1786" s="84"/>
      <c r="H1786" s="84"/>
      <c r="I1786" s="84"/>
      <c r="J1786" s="84"/>
      <c r="K1786" s="84"/>
      <c r="L1786" s="84"/>
      <c r="M1786" s="84"/>
      <c r="N1786" s="84"/>
      <c r="O1786" s="84"/>
      <c r="P1786" s="84"/>
      <c r="Q1786" s="84"/>
      <c r="R1786" s="86"/>
      <c r="S1786" s="86"/>
      <c r="T1786" s="86"/>
      <c r="U1786" s="86"/>
      <c r="V1786" s="86"/>
      <c r="W1786" s="86"/>
      <c r="X1786" s="85">
        <f t="shared" si="194"/>
        <v>0</v>
      </c>
      <c r="Y1786" s="86"/>
      <c r="Z1786" s="85">
        <f t="shared" si="196"/>
        <v>0</v>
      </c>
    </row>
    <row r="1787" spans="1:28" hidden="1" x14ac:dyDescent="0.3">
      <c r="A1787" s="117"/>
      <c r="C1787" s="68" t="s">
        <v>535</v>
      </c>
      <c r="D1787" s="145" t="s">
        <v>68</v>
      </c>
      <c r="E1787" s="85">
        <f>STATS1003B!E1791/1000</f>
        <v>1336.1883</v>
      </c>
      <c r="F1787" s="85">
        <f>STATS1003B!F1791/1000</f>
        <v>0</v>
      </c>
      <c r="G1787" s="85">
        <f>STATS1003B!G1791/1000</f>
        <v>0</v>
      </c>
      <c r="H1787" s="85">
        <f>STATS1003B!H1791/1000</f>
        <v>0</v>
      </c>
      <c r="I1787" s="85">
        <f>STATS1003B!I1791/1000</f>
        <v>0</v>
      </c>
      <c r="J1787" s="85">
        <f>STATS1003B!J1791/1000</f>
        <v>0</v>
      </c>
      <c r="K1787" s="85">
        <f>STATS1003B!K1791/1000</f>
        <v>1336.1883</v>
      </c>
      <c r="L1787" s="85">
        <f>STATS1003B!L1791/1000</f>
        <v>0</v>
      </c>
      <c r="M1787" s="85">
        <f>STATS1003B!M1791/1000</f>
        <v>0</v>
      </c>
      <c r="N1787" s="85">
        <f>STATS1003B!N1791/1000</f>
        <v>1336.1883</v>
      </c>
      <c r="O1787" s="85">
        <f>STATS1003B!O1791/1000</f>
        <v>0</v>
      </c>
      <c r="P1787" s="85">
        <f>STATS1003B!P1791/1000</f>
        <v>1336.1883</v>
      </c>
      <c r="Q1787" s="85">
        <f>STATS1003B!Q1791/1000</f>
        <v>0</v>
      </c>
      <c r="R1787" s="85">
        <f>STATS1003B!R1791/1000</f>
        <v>0</v>
      </c>
      <c r="S1787" s="85">
        <f>STATS1003B!S1791/1000</f>
        <v>0</v>
      </c>
      <c r="T1787" s="85">
        <f>STATS1003B!T1791/1000</f>
        <v>0</v>
      </c>
      <c r="U1787" s="85">
        <f>STATS1003B!U1791/1000</f>
        <v>1336.1883</v>
      </c>
      <c r="V1787" s="85">
        <f>STATS1003B!V1791/1000</f>
        <v>0</v>
      </c>
      <c r="W1787" s="85">
        <f>STATS1003B!W1791/1000</f>
        <v>0</v>
      </c>
      <c r="X1787" s="85">
        <f t="shared" si="194"/>
        <v>1336.1883</v>
      </c>
      <c r="Y1787" s="85">
        <f>STATS1003B!Y1791/1000</f>
        <v>0</v>
      </c>
      <c r="Z1787" s="85">
        <f t="shared" si="196"/>
        <v>0</v>
      </c>
      <c r="AA1787" s="69">
        <f>STATS1003B!AA1791/1000</f>
        <v>1336.1883</v>
      </c>
      <c r="AB1787" s="69">
        <f>STATS1003B!AB1791/1000</f>
        <v>0</v>
      </c>
    </row>
    <row r="1788" spans="1:28" hidden="1" x14ac:dyDescent="0.3">
      <c r="A1788" s="117"/>
      <c r="C1788" s="68" t="s">
        <v>535</v>
      </c>
      <c r="D1788" s="145" t="s">
        <v>54</v>
      </c>
      <c r="E1788" s="85">
        <f>STATS1003B!E1792/1000</f>
        <v>870.83</v>
      </c>
      <c r="F1788" s="85">
        <f>STATS1003B!F1792/1000</f>
        <v>870.83</v>
      </c>
      <c r="G1788" s="85">
        <f>STATS1003B!G1792/1000</f>
        <v>0</v>
      </c>
      <c r="H1788" s="85">
        <f>STATS1003B!H1792/1000</f>
        <v>870.83</v>
      </c>
      <c r="I1788" s="85">
        <f>STATS1003B!I1792/1000</f>
        <v>0</v>
      </c>
      <c r="J1788" s="85">
        <f>STATS1003B!J1792/1000</f>
        <v>870.83</v>
      </c>
      <c r="K1788" s="85">
        <f>STATS1003B!K1792/1000</f>
        <v>0</v>
      </c>
      <c r="L1788" s="85">
        <f>STATS1003B!L1792/1000</f>
        <v>0</v>
      </c>
      <c r="M1788" s="85">
        <f>STATS1003B!M1792/1000</f>
        <v>870.83</v>
      </c>
      <c r="N1788" s="85">
        <f>STATS1003B!N1792/1000</f>
        <v>0</v>
      </c>
      <c r="O1788" s="85">
        <f>STATS1003B!O1792/1000</f>
        <v>0</v>
      </c>
      <c r="P1788" s="85">
        <f>STATS1003B!P1792/1000</f>
        <v>0</v>
      </c>
      <c r="Q1788" s="85">
        <f>STATS1003B!Q1792/1000</f>
        <v>870.83</v>
      </c>
      <c r="R1788" s="85">
        <f>STATS1003B!R1792/1000</f>
        <v>0</v>
      </c>
      <c r="S1788" s="85">
        <f>STATS1003B!S1792/1000</f>
        <v>0</v>
      </c>
      <c r="T1788" s="85">
        <f>STATS1003B!T1792/1000</f>
        <v>0</v>
      </c>
      <c r="U1788" s="85">
        <f>STATS1003B!U1792/1000</f>
        <v>0</v>
      </c>
      <c r="V1788" s="85">
        <f>STATS1003B!V1792/1000</f>
        <v>0</v>
      </c>
      <c r="W1788" s="85">
        <f>STATS1003B!W1792/1000</f>
        <v>0</v>
      </c>
      <c r="X1788" s="85">
        <f t="shared" si="194"/>
        <v>870.83</v>
      </c>
      <c r="Y1788" s="85">
        <f>STATS1003B!Y1792/1000</f>
        <v>0</v>
      </c>
      <c r="Z1788" s="85">
        <f t="shared" si="196"/>
        <v>0</v>
      </c>
      <c r="AA1788" s="69">
        <f>STATS1003B!AA1792/1000</f>
        <v>870.83</v>
      </c>
      <c r="AB1788" s="69">
        <f>STATS1003B!AB1792/1000</f>
        <v>0</v>
      </c>
    </row>
    <row r="1789" spans="1:28" hidden="1" x14ac:dyDescent="0.3">
      <c r="A1789" s="117"/>
      <c r="C1789" s="68" t="s">
        <v>545</v>
      </c>
      <c r="D1789" s="145" t="s">
        <v>54</v>
      </c>
      <c r="E1789" s="85">
        <f>STATS1003B!E1793/1000</f>
        <v>1767.77</v>
      </c>
      <c r="F1789" s="85">
        <f>STATS1003B!F1793/1000</f>
        <v>0</v>
      </c>
      <c r="G1789" s="85">
        <f>STATS1003B!G1793/1000</f>
        <v>0</v>
      </c>
      <c r="H1789" s="85">
        <f>STATS1003B!H1793/1000</f>
        <v>0</v>
      </c>
      <c r="I1789" s="85">
        <f>STATS1003B!I1793/1000</f>
        <v>0</v>
      </c>
      <c r="J1789" s="85">
        <f>STATS1003B!J1793/1000</f>
        <v>0</v>
      </c>
      <c r="K1789" s="85">
        <f>STATS1003B!K1793/1000</f>
        <v>1767.77</v>
      </c>
      <c r="L1789" s="85">
        <f>STATS1003B!L1793/1000</f>
        <v>0</v>
      </c>
      <c r="M1789" s="85">
        <f>STATS1003B!M1793/1000</f>
        <v>0</v>
      </c>
      <c r="N1789" s="85">
        <f>STATS1003B!N1793/1000</f>
        <v>1767.77</v>
      </c>
      <c r="O1789" s="85">
        <f>STATS1003B!O1793/1000</f>
        <v>0</v>
      </c>
      <c r="P1789" s="85">
        <f>STATS1003B!P1793/1000</f>
        <v>1767.77</v>
      </c>
      <c r="Q1789" s="85">
        <f>STATS1003B!Q1793/1000</f>
        <v>0</v>
      </c>
      <c r="R1789" s="85">
        <f>STATS1003B!R1793/1000</f>
        <v>0</v>
      </c>
      <c r="S1789" s="85">
        <f>STATS1003B!S1793/1000</f>
        <v>0</v>
      </c>
      <c r="T1789" s="85">
        <f>STATS1003B!T1793/1000</f>
        <v>0</v>
      </c>
      <c r="U1789" s="85">
        <f>STATS1003B!U1793/1000</f>
        <v>1767.77</v>
      </c>
      <c r="V1789" s="85">
        <f>STATS1003B!V1793/1000</f>
        <v>0</v>
      </c>
      <c r="W1789" s="85">
        <f>STATS1003B!W1793/1000</f>
        <v>0</v>
      </c>
      <c r="X1789" s="85">
        <f t="shared" si="194"/>
        <v>1767.77</v>
      </c>
      <c r="Y1789" s="85">
        <f>STATS1003B!Y1793/1000</f>
        <v>0</v>
      </c>
      <c r="Z1789" s="85">
        <f t="shared" si="196"/>
        <v>0</v>
      </c>
      <c r="AA1789" s="69">
        <f>STATS1003B!AA1793/1000</f>
        <v>1767.77</v>
      </c>
      <c r="AB1789" s="69">
        <f>STATS1003B!AB1793/1000</f>
        <v>0</v>
      </c>
    </row>
    <row r="1790" spans="1:28" hidden="1" x14ac:dyDescent="0.3">
      <c r="A1790" s="117"/>
      <c r="C1790" s="68" t="s">
        <v>535</v>
      </c>
      <c r="D1790" s="145" t="s">
        <v>85</v>
      </c>
      <c r="E1790" s="85">
        <f>STATS1003B!E1794/1000</f>
        <v>1597.04</v>
      </c>
      <c r="F1790" s="85">
        <f>STATS1003B!F1794/1000</f>
        <v>1597.04</v>
      </c>
      <c r="G1790" s="85">
        <f>STATS1003B!G1794/1000</f>
        <v>0</v>
      </c>
      <c r="H1790" s="85">
        <f>STATS1003B!H1794/1000</f>
        <v>1597.04</v>
      </c>
      <c r="I1790" s="85">
        <f>STATS1003B!I1794/1000</f>
        <v>0</v>
      </c>
      <c r="J1790" s="85">
        <f>STATS1003B!J1794/1000</f>
        <v>1597.04</v>
      </c>
      <c r="K1790" s="85">
        <f>STATS1003B!K1794/1000</f>
        <v>0</v>
      </c>
      <c r="L1790" s="85">
        <f>STATS1003B!L1794/1000</f>
        <v>0</v>
      </c>
      <c r="M1790" s="85">
        <f>STATS1003B!M1794/1000</f>
        <v>1597.04</v>
      </c>
      <c r="N1790" s="85">
        <f>STATS1003B!N1794/1000</f>
        <v>0</v>
      </c>
      <c r="O1790" s="85">
        <f>STATS1003B!O1794/1000</f>
        <v>0</v>
      </c>
      <c r="P1790" s="85">
        <f>STATS1003B!P1794/1000</f>
        <v>0</v>
      </c>
      <c r="Q1790" s="85">
        <f>STATS1003B!Q1794/1000</f>
        <v>1597.04</v>
      </c>
      <c r="R1790" s="85">
        <f>STATS1003B!R1794/1000</f>
        <v>0</v>
      </c>
      <c r="S1790" s="85">
        <f>STATS1003B!S1794/1000</f>
        <v>0</v>
      </c>
      <c r="T1790" s="85">
        <f>STATS1003B!T1794/1000</f>
        <v>0</v>
      </c>
      <c r="U1790" s="85">
        <f>STATS1003B!U1794/1000</f>
        <v>0</v>
      </c>
      <c r="V1790" s="85">
        <f>STATS1003B!V1794/1000</f>
        <v>0</v>
      </c>
      <c r="W1790" s="85">
        <f>STATS1003B!W1794/1000</f>
        <v>0</v>
      </c>
      <c r="X1790" s="85">
        <f t="shared" si="194"/>
        <v>1597.04</v>
      </c>
      <c r="Y1790" s="85">
        <f>STATS1003B!Y1794/1000</f>
        <v>0</v>
      </c>
      <c r="Z1790" s="85">
        <f t="shared" si="196"/>
        <v>0</v>
      </c>
      <c r="AA1790" s="69">
        <f>STATS1003B!AA1794/1000</f>
        <v>1597.04</v>
      </c>
      <c r="AB1790" s="69">
        <f>STATS1003B!AB1794/1000</f>
        <v>0</v>
      </c>
    </row>
    <row r="1791" spans="1:28" hidden="1" x14ac:dyDescent="0.3">
      <c r="A1791" s="117"/>
      <c r="C1791" s="68" t="s">
        <v>766</v>
      </c>
      <c r="D1791" s="145" t="s">
        <v>85</v>
      </c>
      <c r="E1791" s="85">
        <f>STATS1003B!E1795/1000</f>
        <v>800</v>
      </c>
      <c r="F1791" s="85">
        <f>STATS1003B!F1795/1000</f>
        <v>800</v>
      </c>
      <c r="G1791" s="85">
        <f>STATS1003B!G1795/1000</f>
        <v>0</v>
      </c>
      <c r="H1791" s="85">
        <f>STATS1003B!H1795/1000</f>
        <v>800</v>
      </c>
      <c r="I1791" s="85">
        <f>STATS1003B!I1795/1000</f>
        <v>0</v>
      </c>
      <c r="J1791" s="85">
        <f>STATS1003B!J1795/1000</f>
        <v>800</v>
      </c>
      <c r="K1791" s="85">
        <f>STATS1003B!K1795/1000</f>
        <v>0</v>
      </c>
      <c r="L1791" s="85">
        <f>STATS1003B!L1795/1000</f>
        <v>0</v>
      </c>
      <c r="M1791" s="85">
        <f>STATS1003B!M1795/1000</f>
        <v>800</v>
      </c>
      <c r="N1791" s="85">
        <f>STATS1003B!N1795/1000</f>
        <v>0</v>
      </c>
      <c r="O1791" s="85">
        <f>STATS1003B!O1795/1000</f>
        <v>0</v>
      </c>
      <c r="P1791" s="85">
        <f>STATS1003B!P1795/1000</f>
        <v>0</v>
      </c>
      <c r="Q1791" s="85">
        <f>STATS1003B!Q1795/1000</f>
        <v>800</v>
      </c>
      <c r="R1791" s="85">
        <f>STATS1003B!R1795/1000</f>
        <v>0</v>
      </c>
      <c r="S1791" s="85">
        <f>STATS1003B!S1795/1000</f>
        <v>0</v>
      </c>
      <c r="T1791" s="85">
        <f>STATS1003B!T1795/1000</f>
        <v>0</v>
      </c>
      <c r="U1791" s="85">
        <f>STATS1003B!U1795/1000</f>
        <v>0</v>
      </c>
      <c r="V1791" s="85">
        <f>STATS1003B!V1795/1000</f>
        <v>0</v>
      </c>
      <c r="W1791" s="85">
        <f>STATS1003B!W1795/1000</f>
        <v>0</v>
      </c>
      <c r="X1791" s="85">
        <f t="shared" si="194"/>
        <v>800</v>
      </c>
      <c r="Y1791" s="85">
        <f>STATS1003B!Y1795/1000</f>
        <v>0</v>
      </c>
      <c r="Z1791" s="85">
        <f t="shared" si="196"/>
        <v>0</v>
      </c>
      <c r="AA1791" s="69">
        <f>STATS1003B!AA1795/1000</f>
        <v>800</v>
      </c>
      <c r="AB1791" s="69">
        <f>STATS1003B!AB1795/1000</f>
        <v>0</v>
      </c>
    </row>
    <row r="1792" spans="1:28" hidden="1" x14ac:dyDescent="0.3">
      <c r="A1792" s="117"/>
      <c r="C1792" s="68" t="s">
        <v>535</v>
      </c>
      <c r="D1792" s="145" t="s">
        <v>128</v>
      </c>
      <c r="E1792" s="85">
        <f>STATS1003B!E1796/1000</f>
        <v>1200</v>
      </c>
      <c r="F1792" s="85">
        <f>STATS1003B!F1796/1000</f>
        <v>1200</v>
      </c>
      <c r="G1792" s="85">
        <f>STATS1003B!G1796/1000</f>
        <v>0</v>
      </c>
      <c r="H1792" s="85">
        <f>STATS1003B!H1796/1000</f>
        <v>1200</v>
      </c>
      <c r="I1792" s="85">
        <f>STATS1003B!I1796/1000</f>
        <v>0</v>
      </c>
      <c r="J1792" s="85">
        <f>STATS1003B!J1796/1000</f>
        <v>1200</v>
      </c>
      <c r="K1792" s="85">
        <f>STATS1003B!K1796/1000</f>
        <v>0</v>
      </c>
      <c r="L1792" s="85">
        <f>STATS1003B!L1796/1000</f>
        <v>0</v>
      </c>
      <c r="M1792" s="85">
        <f>STATS1003B!M1796/1000</f>
        <v>1200</v>
      </c>
      <c r="N1792" s="85">
        <f>STATS1003B!N1796/1000</f>
        <v>0</v>
      </c>
      <c r="O1792" s="85">
        <f>STATS1003B!O1796/1000</f>
        <v>0</v>
      </c>
      <c r="P1792" s="85">
        <f>STATS1003B!P1796/1000</f>
        <v>0</v>
      </c>
      <c r="Q1792" s="85">
        <f>STATS1003B!Q1796/1000</f>
        <v>1200</v>
      </c>
      <c r="R1792" s="85">
        <f>STATS1003B!R1796/1000</f>
        <v>0</v>
      </c>
      <c r="S1792" s="85">
        <f>STATS1003B!S1796/1000</f>
        <v>0</v>
      </c>
      <c r="T1792" s="85">
        <f>STATS1003B!T1796/1000</f>
        <v>0</v>
      </c>
      <c r="U1792" s="85">
        <f>STATS1003B!U1796/1000</f>
        <v>0</v>
      </c>
      <c r="V1792" s="85">
        <f>STATS1003B!V1796/1000</f>
        <v>0</v>
      </c>
      <c r="W1792" s="85">
        <f>STATS1003B!W1796/1000</f>
        <v>0</v>
      </c>
      <c r="X1792" s="85">
        <f t="shared" si="194"/>
        <v>1200</v>
      </c>
      <c r="Y1792" s="85">
        <f>STATS1003B!Y1796/1000</f>
        <v>0</v>
      </c>
      <c r="Z1792" s="85">
        <f t="shared" si="196"/>
        <v>0</v>
      </c>
      <c r="AA1792" s="69">
        <f>STATS1003B!AA1796/1000</f>
        <v>1200</v>
      </c>
      <c r="AB1792" s="69">
        <f>STATS1003B!AB1796/1000</f>
        <v>0</v>
      </c>
    </row>
    <row r="1793" spans="1:28" hidden="1" x14ac:dyDescent="0.3">
      <c r="A1793" s="117"/>
      <c r="C1793" s="68" t="s">
        <v>535</v>
      </c>
      <c r="D1793" s="88" t="s">
        <v>60</v>
      </c>
      <c r="E1793" s="85">
        <f>STATS1003B!E1797/1000</f>
        <v>1922</v>
      </c>
      <c r="F1793" s="85">
        <f>STATS1003B!F1797/1000</f>
        <v>1922</v>
      </c>
      <c r="G1793" s="85">
        <f>STATS1003B!G1797/1000</f>
        <v>0</v>
      </c>
      <c r="H1793" s="85">
        <f>STATS1003B!H1797/1000</f>
        <v>1922</v>
      </c>
      <c r="I1793" s="85">
        <f>STATS1003B!I1797/1000</f>
        <v>0</v>
      </c>
      <c r="J1793" s="85">
        <f>STATS1003B!J1797/1000</f>
        <v>1922</v>
      </c>
      <c r="K1793" s="85">
        <f>STATS1003B!K1797/1000</f>
        <v>0</v>
      </c>
      <c r="L1793" s="85">
        <f>STATS1003B!L1797/1000</f>
        <v>0</v>
      </c>
      <c r="M1793" s="85">
        <f>STATS1003B!M1797/1000</f>
        <v>1922</v>
      </c>
      <c r="N1793" s="85">
        <f>STATS1003B!N1797/1000</f>
        <v>0</v>
      </c>
      <c r="O1793" s="85">
        <f>STATS1003B!O1797/1000</f>
        <v>0</v>
      </c>
      <c r="P1793" s="85">
        <f>STATS1003B!P1797/1000</f>
        <v>0</v>
      </c>
      <c r="Q1793" s="85">
        <f>STATS1003B!Q1797/1000</f>
        <v>1922</v>
      </c>
      <c r="R1793" s="85">
        <f>STATS1003B!R1797/1000</f>
        <v>0</v>
      </c>
      <c r="S1793" s="85">
        <f>STATS1003B!S1797/1000</f>
        <v>0</v>
      </c>
      <c r="T1793" s="85">
        <f>STATS1003B!T1797/1000</f>
        <v>0</v>
      </c>
      <c r="U1793" s="85">
        <f>STATS1003B!U1797/1000</f>
        <v>0</v>
      </c>
      <c r="V1793" s="85">
        <f>STATS1003B!V1797/1000</f>
        <v>0</v>
      </c>
      <c r="W1793" s="85">
        <f>STATS1003B!W1797/1000</f>
        <v>0</v>
      </c>
      <c r="X1793" s="85">
        <f t="shared" si="194"/>
        <v>1922</v>
      </c>
      <c r="Y1793" s="85">
        <f>STATS1003B!Y1797/1000</f>
        <v>0</v>
      </c>
      <c r="Z1793" s="85">
        <f t="shared" si="196"/>
        <v>0</v>
      </c>
      <c r="AA1793" s="69">
        <f>STATS1003B!AA1797/1000</f>
        <v>1922</v>
      </c>
      <c r="AB1793" s="69">
        <f>STATS1003B!AB1797/1000</f>
        <v>0</v>
      </c>
    </row>
    <row r="1794" spans="1:28" hidden="1" x14ac:dyDescent="0.3">
      <c r="A1794" s="117"/>
      <c r="C1794" s="71" t="s">
        <v>535</v>
      </c>
      <c r="D1794" s="88" t="s">
        <v>73</v>
      </c>
      <c r="E1794" s="85">
        <f>STATS1003B!E1798/1000</f>
        <v>612.20000000000005</v>
      </c>
      <c r="F1794" s="85">
        <f>STATS1003B!F1798/1000</f>
        <v>612.20000000000005</v>
      </c>
      <c r="G1794" s="85">
        <f>STATS1003B!G1798/1000</f>
        <v>0</v>
      </c>
      <c r="H1794" s="85">
        <f>STATS1003B!H1798/1000</f>
        <v>612.20000000000005</v>
      </c>
      <c r="I1794" s="85">
        <f>STATS1003B!I1798/1000</f>
        <v>0</v>
      </c>
      <c r="J1794" s="85">
        <f>STATS1003B!J1798/1000</f>
        <v>612.20000000000005</v>
      </c>
      <c r="K1794" s="85">
        <f>STATS1003B!K1798/1000</f>
        <v>0</v>
      </c>
      <c r="L1794" s="85">
        <f>STATS1003B!L1798/1000</f>
        <v>0</v>
      </c>
      <c r="M1794" s="85">
        <f>STATS1003B!M1798/1000</f>
        <v>612.20000000000005</v>
      </c>
      <c r="N1794" s="85">
        <f>STATS1003B!N1798/1000</f>
        <v>0</v>
      </c>
      <c r="O1794" s="85">
        <f>STATS1003B!O1798/1000</f>
        <v>0</v>
      </c>
      <c r="P1794" s="85">
        <f>STATS1003B!P1798/1000</f>
        <v>0</v>
      </c>
      <c r="Q1794" s="85">
        <f>STATS1003B!Q1798/1000</f>
        <v>612.20000000000005</v>
      </c>
      <c r="R1794" s="85">
        <f>STATS1003B!R1798/1000</f>
        <v>0</v>
      </c>
      <c r="S1794" s="85">
        <f>STATS1003B!S1798/1000</f>
        <v>0</v>
      </c>
      <c r="T1794" s="85">
        <f>STATS1003B!T1798/1000</f>
        <v>0</v>
      </c>
      <c r="U1794" s="85">
        <f>STATS1003B!U1798/1000</f>
        <v>0</v>
      </c>
      <c r="V1794" s="85">
        <f>STATS1003B!V1798/1000</f>
        <v>0</v>
      </c>
      <c r="W1794" s="85">
        <f>STATS1003B!W1798/1000</f>
        <v>0</v>
      </c>
      <c r="X1794" s="85">
        <f t="shared" si="194"/>
        <v>612.20000000000005</v>
      </c>
      <c r="Y1794" s="85">
        <f>STATS1003B!Y1798/1000</f>
        <v>0</v>
      </c>
      <c r="Z1794" s="85">
        <f t="shared" si="196"/>
        <v>0</v>
      </c>
      <c r="AA1794" s="69">
        <f>STATS1003B!AA1798/1000</f>
        <v>612.20000000000005</v>
      </c>
      <c r="AB1794" s="69">
        <f>STATS1003B!AB1798/1000</f>
        <v>0</v>
      </c>
    </row>
    <row r="1795" spans="1:28" hidden="1" x14ac:dyDescent="0.3">
      <c r="A1795" s="117"/>
      <c r="C1795" s="71" t="s">
        <v>535</v>
      </c>
      <c r="D1795" s="88" t="s">
        <v>61</v>
      </c>
      <c r="E1795" s="85">
        <f>STATS1003B!E1799/1000</f>
        <v>452.79212000000001</v>
      </c>
      <c r="F1795" s="85">
        <f>STATS1003B!F1799/1000</f>
        <v>452.79212000000001</v>
      </c>
      <c r="G1795" s="85">
        <f>STATS1003B!G1799/1000</f>
        <v>0</v>
      </c>
      <c r="H1795" s="85">
        <f>STATS1003B!H1799/1000</f>
        <v>452.79212000000001</v>
      </c>
      <c r="I1795" s="85">
        <f>STATS1003B!I1799/1000</f>
        <v>0</v>
      </c>
      <c r="J1795" s="85">
        <f>STATS1003B!J1799/1000</f>
        <v>452.79212000000001</v>
      </c>
      <c r="K1795" s="85">
        <f>STATS1003B!K1799/1000</f>
        <v>0</v>
      </c>
      <c r="L1795" s="85">
        <f>STATS1003B!L1799/1000</f>
        <v>0</v>
      </c>
      <c r="M1795" s="85">
        <f>STATS1003B!M1799/1000</f>
        <v>452.79212000000001</v>
      </c>
      <c r="N1795" s="85">
        <f>STATS1003B!N1799/1000</f>
        <v>0</v>
      </c>
      <c r="O1795" s="85">
        <f>STATS1003B!O1799/1000</f>
        <v>0</v>
      </c>
      <c r="P1795" s="85">
        <f>STATS1003B!P1799/1000</f>
        <v>0</v>
      </c>
      <c r="Q1795" s="85">
        <f>STATS1003B!Q1799/1000</f>
        <v>452.79212000000001</v>
      </c>
      <c r="R1795" s="85">
        <f>STATS1003B!R1799/1000</f>
        <v>0</v>
      </c>
      <c r="S1795" s="85">
        <f>STATS1003B!S1799/1000</f>
        <v>0</v>
      </c>
      <c r="T1795" s="85">
        <f>STATS1003B!T1799/1000</f>
        <v>0</v>
      </c>
      <c r="U1795" s="85">
        <f>STATS1003B!U1799/1000</f>
        <v>0</v>
      </c>
      <c r="V1795" s="85">
        <f>STATS1003B!V1799/1000</f>
        <v>0</v>
      </c>
      <c r="W1795" s="85">
        <f>STATS1003B!W1799/1000</f>
        <v>0</v>
      </c>
      <c r="X1795" s="85">
        <f t="shared" si="194"/>
        <v>452.79212000000001</v>
      </c>
      <c r="Y1795" s="85">
        <f>STATS1003B!Y1799/1000</f>
        <v>0</v>
      </c>
      <c r="Z1795" s="85">
        <f t="shared" si="196"/>
        <v>0</v>
      </c>
      <c r="AA1795" s="69">
        <f>STATS1003B!AA1799/1000</f>
        <v>452.79212000000001</v>
      </c>
      <c r="AB1795" s="69">
        <f>STATS1003B!AB1799/1000</f>
        <v>0</v>
      </c>
    </row>
    <row r="1796" spans="1:28" hidden="1" x14ac:dyDescent="0.3">
      <c r="A1796" s="117"/>
      <c r="C1796" s="71" t="s">
        <v>933</v>
      </c>
      <c r="D1796" s="89" t="s">
        <v>1072</v>
      </c>
      <c r="E1796" s="85">
        <f>STATS1003B!E1800/1000</f>
        <v>506</v>
      </c>
      <c r="F1796" s="85">
        <f>STATS1003B!F1800/1000</f>
        <v>506</v>
      </c>
      <c r="G1796" s="85">
        <f>STATS1003B!G1800/1000</f>
        <v>0</v>
      </c>
      <c r="H1796" s="85">
        <f>STATS1003B!H1800/1000</f>
        <v>506</v>
      </c>
      <c r="I1796" s="85">
        <f>STATS1003B!I1800/1000</f>
        <v>0</v>
      </c>
      <c r="J1796" s="85">
        <f>STATS1003B!J1800/1000</f>
        <v>506</v>
      </c>
      <c r="K1796" s="85">
        <f>STATS1003B!K1800/1000</f>
        <v>0</v>
      </c>
      <c r="L1796" s="85">
        <f>STATS1003B!L1800/1000</f>
        <v>0</v>
      </c>
      <c r="M1796" s="85">
        <f>STATS1003B!M1800/1000</f>
        <v>506</v>
      </c>
      <c r="N1796" s="85">
        <f>STATS1003B!N1800/1000</f>
        <v>0</v>
      </c>
      <c r="O1796" s="85">
        <f>STATS1003B!O1800/1000</f>
        <v>0</v>
      </c>
      <c r="P1796" s="85">
        <f>STATS1003B!P1800/1000</f>
        <v>0</v>
      </c>
      <c r="Q1796" s="85">
        <f>STATS1003B!Q1800/1000</f>
        <v>506</v>
      </c>
      <c r="R1796" s="85">
        <f>STATS1003B!R1800/1000</f>
        <v>0</v>
      </c>
      <c r="S1796" s="85">
        <f>STATS1003B!S1800/1000</f>
        <v>0</v>
      </c>
      <c r="T1796" s="85">
        <f>STATS1003B!T1800/1000</f>
        <v>0</v>
      </c>
      <c r="U1796" s="85">
        <f>STATS1003B!U1800/1000</f>
        <v>0</v>
      </c>
      <c r="V1796" s="85">
        <f>STATS1003B!V1800/1000</f>
        <v>0</v>
      </c>
      <c r="W1796" s="85">
        <f>STATS1003B!W1800/1000</f>
        <v>0</v>
      </c>
      <c r="X1796" s="85">
        <f t="shared" si="194"/>
        <v>506</v>
      </c>
      <c r="Y1796" s="85">
        <f>STATS1003B!Y1800/1000</f>
        <v>0</v>
      </c>
      <c r="Z1796" s="85">
        <f t="shared" si="196"/>
        <v>0</v>
      </c>
      <c r="AA1796" s="69">
        <f>STATS1003B!AA1800/1000</f>
        <v>506</v>
      </c>
      <c r="AB1796" s="69">
        <f>STATS1003B!AB1800/1000</f>
        <v>0</v>
      </c>
    </row>
    <row r="1797" spans="1:28" hidden="1" x14ac:dyDescent="0.3">
      <c r="A1797" s="117"/>
      <c r="C1797" s="71" t="s">
        <v>1116</v>
      </c>
      <c r="D1797" s="89" t="s">
        <v>1126</v>
      </c>
      <c r="E1797" s="85">
        <f>STATS1003B!E1801/1000</f>
        <v>1545.4146599999999</v>
      </c>
      <c r="F1797" s="85">
        <f>STATS1003B!F1801/1000</f>
        <v>1545.4146599999999</v>
      </c>
      <c r="G1797" s="85">
        <f>STATS1003B!G1801/1000</f>
        <v>0</v>
      </c>
      <c r="H1797" s="85">
        <f>STATS1003B!H1801/1000</f>
        <v>1545.4146599999999</v>
      </c>
      <c r="I1797" s="85">
        <f>STATS1003B!I1801/1000</f>
        <v>0</v>
      </c>
      <c r="J1797" s="85">
        <f>STATS1003B!J1801/1000</f>
        <v>1545.4146599999999</v>
      </c>
      <c r="K1797" s="85">
        <f>STATS1003B!K1801/1000</f>
        <v>0</v>
      </c>
      <c r="L1797" s="85">
        <f>STATS1003B!L1801/1000</f>
        <v>0</v>
      </c>
      <c r="M1797" s="85">
        <f>STATS1003B!M1801/1000</f>
        <v>1545.4146599999999</v>
      </c>
      <c r="N1797" s="85">
        <f>STATS1003B!N1801/1000</f>
        <v>0</v>
      </c>
      <c r="O1797" s="85">
        <f>STATS1003B!O1801/1000</f>
        <v>0</v>
      </c>
      <c r="P1797" s="85">
        <f>STATS1003B!P1801/1000</f>
        <v>0</v>
      </c>
      <c r="Q1797" s="85">
        <f>STATS1003B!Q1801/1000</f>
        <v>1545.4146599999999</v>
      </c>
      <c r="R1797" s="85">
        <f>STATS1003B!R1801/1000</f>
        <v>0</v>
      </c>
      <c r="S1797" s="85">
        <f>STATS1003B!S1801/1000</f>
        <v>0</v>
      </c>
      <c r="T1797" s="85">
        <f>STATS1003B!T1801/1000</f>
        <v>0</v>
      </c>
      <c r="U1797" s="85">
        <f>STATS1003B!U1801/1000</f>
        <v>0</v>
      </c>
      <c r="V1797" s="85">
        <f>STATS1003B!V1801/1000</f>
        <v>0</v>
      </c>
      <c r="W1797" s="85">
        <f>STATS1003B!W1801/1000</f>
        <v>0</v>
      </c>
      <c r="X1797" s="85">
        <f t="shared" si="194"/>
        <v>1545.4146599999999</v>
      </c>
      <c r="Y1797" s="85">
        <f>STATS1003B!Y1801/1000</f>
        <v>0</v>
      </c>
      <c r="Z1797" s="85">
        <f t="shared" si="196"/>
        <v>0</v>
      </c>
      <c r="AA1797" s="69">
        <f>STATS1003B!AA1801/1000</f>
        <v>1545.4146599999999</v>
      </c>
      <c r="AB1797" s="69">
        <f>STATS1003B!AB1801/1000</f>
        <v>0</v>
      </c>
    </row>
    <row r="1798" spans="1:28" hidden="1" x14ac:dyDescent="0.3">
      <c r="A1798" s="117"/>
      <c r="C1798" s="68" t="s">
        <v>598</v>
      </c>
      <c r="E1798" s="85">
        <f>STATS1003B!E1802/1000</f>
        <v>305.28403000000003</v>
      </c>
      <c r="F1798" s="85">
        <f>STATS1003B!F1802/1000</f>
        <v>305.28403000000003</v>
      </c>
      <c r="G1798" s="85">
        <f>STATS1003B!G1802/1000</f>
        <v>0</v>
      </c>
      <c r="H1798" s="85">
        <f>STATS1003B!H1802/1000</f>
        <v>305.28403000000003</v>
      </c>
      <c r="I1798" s="85">
        <f>STATS1003B!I1802/1000</f>
        <v>0</v>
      </c>
      <c r="J1798" s="85">
        <f>STATS1003B!J1802/1000</f>
        <v>305.28403000000003</v>
      </c>
      <c r="K1798" s="85">
        <f>STATS1003B!K1802/1000</f>
        <v>0</v>
      </c>
      <c r="L1798" s="85">
        <f>STATS1003B!L1802/1000</f>
        <v>0</v>
      </c>
      <c r="M1798" s="85">
        <f>STATS1003B!M1802/1000</f>
        <v>305.28403000000003</v>
      </c>
      <c r="N1798" s="85">
        <f>STATS1003B!N1802/1000</f>
        <v>0</v>
      </c>
      <c r="O1798" s="85">
        <f>STATS1003B!O1802/1000</f>
        <v>0</v>
      </c>
      <c r="P1798" s="85">
        <f>STATS1003B!P1802/1000</f>
        <v>0</v>
      </c>
      <c r="Q1798" s="85">
        <f>STATS1003B!Q1802/1000</f>
        <v>305.28403000000003</v>
      </c>
      <c r="R1798" s="85">
        <f>STATS1003B!R1802/1000</f>
        <v>0</v>
      </c>
      <c r="S1798" s="85">
        <f>STATS1003B!S1802/1000</f>
        <v>0</v>
      </c>
      <c r="T1798" s="85">
        <f>STATS1003B!T1802/1000</f>
        <v>0</v>
      </c>
      <c r="U1798" s="85">
        <f>STATS1003B!U1802/1000</f>
        <v>0</v>
      </c>
      <c r="V1798" s="85">
        <f>STATS1003B!V1802/1000</f>
        <v>0</v>
      </c>
      <c r="W1798" s="85">
        <f>STATS1003B!W1802/1000</f>
        <v>0</v>
      </c>
      <c r="X1798" s="85">
        <f t="shared" si="194"/>
        <v>305.28403000000003</v>
      </c>
      <c r="Y1798" s="85">
        <f>STATS1003B!Y1802/1000</f>
        <v>0</v>
      </c>
      <c r="Z1798" s="85">
        <f t="shared" si="196"/>
        <v>0</v>
      </c>
      <c r="AA1798" s="69">
        <f>STATS1003B!AA1802/1000</f>
        <v>305.28403000000003</v>
      </c>
      <c r="AB1798" s="69">
        <f>STATS1003B!AB1802/1000</f>
        <v>0</v>
      </c>
    </row>
    <row r="1799" spans="1:28" hidden="1" x14ac:dyDescent="0.3">
      <c r="A1799" s="117"/>
      <c r="C1799" s="68" t="s">
        <v>550</v>
      </c>
      <c r="E1799" s="85">
        <f>STATS1003B!E1803/1000</f>
        <v>296.25</v>
      </c>
      <c r="F1799" s="85">
        <f>STATS1003B!F1803/1000</f>
        <v>296.25</v>
      </c>
      <c r="G1799" s="85">
        <f>STATS1003B!G1803/1000</f>
        <v>0</v>
      </c>
      <c r="H1799" s="85">
        <f>STATS1003B!H1803/1000</f>
        <v>296.25</v>
      </c>
      <c r="I1799" s="85">
        <f>STATS1003B!I1803/1000</f>
        <v>0</v>
      </c>
      <c r="J1799" s="85">
        <f>STATS1003B!J1803/1000</f>
        <v>296.25</v>
      </c>
      <c r="K1799" s="85">
        <f>STATS1003B!K1803/1000</f>
        <v>0</v>
      </c>
      <c r="L1799" s="85">
        <f>STATS1003B!L1803/1000</f>
        <v>0</v>
      </c>
      <c r="M1799" s="85">
        <f>STATS1003B!M1803/1000</f>
        <v>296.25</v>
      </c>
      <c r="N1799" s="85">
        <f>STATS1003B!N1803/1000</f>
        <v>0</v>
      </c>
      <c r="O1799" s="85">
        <f>STATS1003B!O1803/1000</f>
        <v>0</v>
      </c>
      <c r="P1799" s="85">
        <f>STATS1003B!P1803/1000</f>
        <v>0</v>
      </c>
      <c r="Q1799" s="85">
        <f>STATS1003B!Q1803/1000</f>
        <v>296.25</v>
      </c>
      <c r="R1799" s="85">
        <f>STATS1003B!R1803/1000</f>
        <v>0</v>
      </c>
      <c r="S1799" s="85">
        <f>STATS1003B!S1803/1000</f>
        <v>0</v>
      </c>
      <c r="T1799" s="85">
        <f>STATS1003B!T1803/1000</f>
        <v>0</v>
      </c>
      <c r="U1799" s="85">
        <f>STATS1003B!U1803/1000</f>
        <v>0</v>
      </c>
      <c r="V1799" s="85">
        <f>STATS1003B!V1803/1000</f>
        <v>0</v>
      </c>
      <c r="W1799" s="85">
        <f>STATS1003B!W1803/1000</f>
        <v>0</v>
      </c>
      <c r="X1799" s="85">
        <f t="shared" si="194"/>
        <v>296.25</v>
      </c>
      <c r="Y1799" s="85">
        <f>STATS1003B!Y1803/1000</f>
        <v>0</v>
      </c>
      <c r="Z1799" s="85">
        <f t="shared" si="196"/>
        <v>0</v>
      </c>
      <c r="AA1799" s="69">
        <f>STATS1003B!AA1803/1000</f>
        <v>296.25</v>
      </c>
      <c r="AB1799" s="69">
        <f>STATS1003B!AB1803/1000</f>
        <v>0</v>
      </c>
    </row>
    <row r="1800" spans="1:28" hidden="1" x14ac:dyDescent="0.3">
      <c r="A1800" s="117"/>
      <c r="C1800" s="68" t="s">
        <v>606</v>
      </c>
      <c r="E1800" s="85">
        <f>STATS1003B!E1804/1000</f>
        <v>2500</v>
      </c>
      <c r="F1800" s="85">
        <f>STATS1003B!F1804/1000</f>
        <v>2500</v>
      </c>
      <c r="G1800" s="85">
        <f>STATS1003B!G1804/1000</f>
        <v>0</v>
      </c>
      <c r="H1800" s="85">
        <f>STATS1003B!H1804/1000</f>
        <v>2500</v>
      </c>
      <c r="I1800" s="85">
        <f>STATS1003B!I1804/1000</f>
        <v>0</v>
      </c>
      <c r="J1800" s="85">
        <f>STATS1003B!J1804/1000</f>
        <v>2500</v>
      </c>
      <c r="K1800" s="85">
        <f>STATS1003B!K1804/1000</f>
        <v>0</v>
      </c>
      <c r="L1800" s="85">
        <f>STATS1003B!L1804/1000</f>
        <v>0</v>
      </c>
      <c r="M1800" s="85">
        <f>STATS1003B!M1804/1000</f>
        <v>2500</v>
      </c>
      <c r="N1800" s="85">
        <f>STATS1003B!N1804/1000</f>
        <v>0</v>
      </c>
      <c r="O1800" s="85">
        <f>STATS1003B!O1804/1000</f>
        <v>0</v>
      </c>
      <c r="P1800" s="85">
        <f>STATS1003B!P1804/1000</f>
        <v>0</v>
      </c>
      <c r="Q1800" s="85">
        <f>STATS1003B!Q1804/1000</f>
        <v>2500</v>
      </c>
      <c r="R1800" s="85">
        <f>STATS1003B!R1804/1000</f>
        <v>0</v>
      </c>
      <c r="S1800" s="85">
        <f>STATS1003B!S1804/1000</f>
        <v>0</v>
      </c>
      <c r="T1800" s="85">
        <f>STATS1003B!T1804/1000</f>
        <v>0</v>
      </c>
      <c r="U1800" s="85">
        <f>STATS1003B!U1804/1000</f>
        <v>0</v>
      </c>
      <c r="V1800" s="85">
        <f>STATS1003B!V1804/1000</f>
        <v>0</v>
      </c>
      <c r="W1800" s="85">
        <f>STATS1003B!W1804/1000</f>
        <v>0</v>
      </c>
      <c r="X1800" s="85">
        <f t="shared" si="194"/>
        <v>2500</v>
      </c>
      <c r="Y1800" s="85">
        <f>STATS1003B!Y1804/1000</f>
        <v>0</v>
      </c>
      <c r="Z1800" s="85">
        <f t="shared" si="196"/>
        <v>0</v>
      </c>
      <c r="AA1800" s="69">
        <f>STATS1003B!AA1804/1000</f>
        <v>2500</v>
      </c>
      <c r="AB1800" s="69">
        <f>STATS1003B!AB1804/1000</f>
        <v>0</v>
      </c>
    </row>
    <row r="1801" spans="1:28" hidden="1" x14ac:dyDescent="0.3">
      <c r="A1801" s="117"/>
      <c r="E1801" s="86" t="s">
        <v>29</v>
      </c>
      <c r="F1801" s="86" t="s">
        <v>29</v>
      </c>
      <c r="G1801" s="86" t="s">
        <v>29</v>
      </c>
      <c r="H1801" s="86" t="s">
        <v>29</v>
      </c>
      <c r="I1801" s="86" t="s">
        <v>29</v>
      </c>
      <c r="J1801" s="86" t="s">
        <v>29</v>
      </c>
      <c r="K1801" s="86" t="s">
        <v>29</v>
      </c>
      <c r="L1801" s="86" t="s">
        <v>29</v>
      </c>
      <c r="M1801" s="86" t="s">
        <v>29</v>
      </c>
      <c r="N1801" s="86" t="s">
        <v>29</v>
      </c>
      <c r="O1801" s="86" t="s">
        <v>29</v>
      </c>
      <c r="P1801" s="86" t="s">
        <v>29</v>
      </c>
      <c r="Q1801" s="86" t="s">
        <v>29</v>
      </c>
      <c r="R1801" s="86"/>
      <c r="S1801" s="86"/>
      <c r="T1801" s="86"/>
      <c r="U1801" s="86" t="s">
        <v>29</v>
      </c>
      <c r="V1801" s="86"/>
      <c r="W1801" s="86"/>
      <c r="X1801" s="85" t="e">
        <f t="shared" si="194"/>
        <v>#VALUE!</v>
      </c>
      <c r="Y1801" s="86"/>
      <c r="Z1801" s="85" t="e">
        <f t="shared" si="196"/>
        <v>#VALUE!</v>
      </c>
      <c r="AA1801" s="115" t="s">
        <v>29</v>
      </c>
      <c r="AB1801" s="115" t="s">
        <v>29</v>
      </c>
    </row>
    <row r="1802" spans="1:28" x14ac:dyDescent="0.3">
      <c r="A1802" s="116">
        <v>79</v>
      </c>
      <c r="B1802" s="68" t="s">
        <v>765</v>
      </c>
      <c r="E1802" s="85">
        <f>44026760.48/1000</f>
        <v>44026.760479999997</v>
      </c>
      <c r="F1802" s="85">
        <f t="shared" ref="F1802:Q1802" si="199">SUM(F1787:F1801)</f>
        <v>12607.810810000001</v>
      </c>
      <c r="G1802" s="85">
        <f t="shared" si="199"/>
        <v>0</v>
      </c>
      <c r="H1802" s="85">
        <f>40922802.18/1000</f>
        <v>40922.802179999999</v>
      </c>
      <c r="I1802" s="85">
        <f t="shared" si="199"/>
        <v>0</v>
      </c>
      <c r="J1802" s="85">
        <f t="shared" si="199"/>
        <v>12607.810810000001</v>
      </c>
      <c r="K1802" s="85">
        <f t="shared" si="199"/>
        <v>3103.9583000000002</v>
      </c>
      <c r="L1802" s="85">
        <f t="shared" si="199"/>
        <v>0</v>
      </c>
      <c r="M1802" s="85">
        <f t="shared" si="199"/>
        <v>12607.810810000001</v>
      </c>
      <c r="N1802" s="85">
        <f t="shared" si="199"/>
        <v>3103.9583000000002</v>
      </c>
      <c r="O1802" s="85">
        <f t="shared" si="199"/>
        <v>0</v>
      </c>
      <c r="P1802" s="85">
        <f>3103958/1000</f>
        <v>3103.9580000000001</v>
      </c>
      <c r="Q1802" s="85">
        <f t="shared" si="199"/>
        <v>12607.810810000001</v>
      </c>
      <c r="R1802" s="86"/>
      <c r="S1802" s="86"/>
      <c r="T1802" s="92">
        <v>0</v>
      </c>
      <c r="U1802" s="85">
        <f>SUM(U1787:U1801)</f>
        <v>3103.9583000000002</v>
      </c>
      <c r="V1802" s="85">
        <f>SUM(V1787:V1801)</f>
        <v>0</v>
      </c>
      <c r="W1802" s="85">
        <f>SUM(W1787:W1801)</f>
        <v>0</v>
      </c>
      <c r="X1802" s="85">
        <f t="shared" si="194"/>
        <v>44026.760179999997</v>
      </c>
      <c r="Y1802" s="85">
        <f>SUM(Y1787:Y1801)</f>
        <v>0</v>
      </c>
      <c r="Z1802" s="85">
        <f t="shared" si="196"/>
        <v>2.9999999969732016E-4</v>
      </c>
      <c r="AA1802" s="69">
        <f>SUM(AA1787:AA1801)</f>
        <v>15711.769110000003</v>
      </c>
      <c r="AB1802" s="69">
        <f>SUM(AB1787:AB1801)</f>
        <v>0</v>
      </c>
    </row>
    <row r="1803" spans="1:28" hidden="1" x14ac:dyDescent="0.3">
      <c r="A1803" s="117"/>
      <c r="E1803" s="86" t="s">
        <v>29</v>
      </c>
      <c r="F1803" s="86" t="s">
        <v>29</v>
      </c>
      <c r="G1803" s="86" t="s">
        <v>29</v>
      </c>
      <c r="H1803" s="86" t="s">
        <v>29</v>
      </c>
      <c r="I1803" s="86" t="s">
        <v>29</v>
      </c>
      <c r="J1803" s="86" t="s">
        <v>29</v>
      </c>
      <c r="K1803" s="86" t="s">
        <v>29</v>
      </c>
      <c r="L1803" s="86" t="s">
        <v>29</v>
      </c>
      <c r="M1803" s="86" t="s">
        <v>29</v>
      </c>
      <c r="N1803" s="86" t="s">
        <v>29</v>
      </c>
      <c r="O1803" s="86" t="s">
        <v>29</v>
      </c>
      <c r="P1803" s="86" t="s">
        <v>29</v>
      </c>
      <c r="Q1803" s="86" t="s">
        <v>29</v>
      </c>
      <c r="R1803" s="86"/>
      <c r="S1803" s="86"/>
      <c r="T1803" s="86"/>
      <c r="U1803" s="86" t="s">
        <v>29</v>
      </c>
      <c r="V1803" s="86" t="s">
        <v>29</v>
      </c>
      <c r="W1803" s="86" t="s">
        <v>29</v>
      </c>
      <c r="X1803" s="85" t="e">
        <f t="shared" si="194"/>
        <v>#VALUE!</v>
      </c>
      <c r="Y1803" s="86"/>
      <c r="Z1803" s="85" t="e">
        <f t="shared" si="196"/>
        <v>#VALUE!</v>
      </c>
      <c r="AA1803" s="115" t="s">
        <v>29</v>
      </c>
      <c r="AB1803" s="115" t="s">
        <v>29</v>
      </c>
    </row>
    <row r="1804" spans="1:28" hidden="1" x14ac:dyDescent="0.3">
      <c r="A1804" s="105"/>
      <c r="E1804" s="84"/>
      <c r="F1804" s="84"/>
      <c r="G1804" s="84"/>
      <c r="H1804" s="84"/>
      <c r="I1804" s="84"/>
      <c r="J1804" s="84"/>
      <c r="K1804" s="84"/>
      <c r="L1804" s="84"/>
      <c r="M1804" s="84"/>
      <c r="N1804" s="84"/>
      <c r="O1804" s="84"/>
      <c r="P1804" s="84"/>
      <c r="Q1804" s="84"/>
      <c r="R1804" s="86"/>
      <c r="S1804" s="86"/>
      <c r="T1804" s="86"/>
      <c r="U1804" s="86"/>
      <c r="V1804" s="86"/>
      <c r="W1804" s="86"/>
      <c r="X1804" s="85">
        <f t="shared" si="194"/>
        <v>0</v>
      </c>
      <c r="Y1804" s="86"/>
      <c r="Z1804" s="85">
        <f t="shared" si="196"/>
        <v>0</v>
      </c>
    </row>
    <row r="1805" spans="1:28" hidden="1" x14ac:dyDescent="0.3">
      <c r="A1805" s="117"/>
      <c r="C1805" s="68" t="s">
        <v>535</v>
      </c>
      <c r="D1805" s="145" t="s">
        <v>68</v>
      </c>
      <c r="E1805" s="85">
        <f>STATS1003B!E1809/1000</f>
        <v>48.317999999999998</v>
      </c>
      <c r="F1805" s="85">
        <f>STATS1003B!F1809/1000</f>
        <v>0</v>
      </c>
      <c r="G1805" s="85">
        <f>STATS1003B!G1809/1000</f>
        <v>0</v>
      </c>
      <c r="H1805" s="85">
        <f>STATS1003B!H1809/1000</f>
        <v>0</v>
      </c>
      <c r="I1805" s="85">
        <f>STATS1003B!I1809/1000</f>
        <v>0</v>
      </c>
      <c r="J1805" s="85">
        <f>STATS1003B!J1809/1000</f>
        <v>0</v>
      </c>
      <c r="K1805" s="85">
        <f>STATS1003B!K1809/1000</f>
        <v>48.317999999999998</v>
      </c>
      <c r="L1805" s="85">
        <f>STATS1003B!L1809/1000</f>
        <v>0</v>
      </c>
      <c r="M1805" s="85">
        <f>STATS1003B!M1809/1000</f>
        <v>0</v>
      </c>
      <c r="N1805" s="85">
        <f>STATS1003B!N1809/1000</f>
        <v>48.317999999999998</v>
      </c>
      <c r="O1805" s="85">
        <f>STATS1003B!O1809/1000</f>
        <v>0</v>
      </c>
      <c r="P1805" s="85">
        <f>STATS1003B!P1809/1000</f>
        <v>48.317999999999998</v>
      </c>
      <c r="Q1805" s="85">
        <f>STATS1003B!Q1809/1000</f>
        <v>0</v>
      </c>
      <c r="R1805" s="85">
        <f>STATS1003B!R1809/1000</f>
        <v>0</v>
      </c>
      <c r="S1805" s="85">
        <f>STATS1003B!S1809/1000</f>
        <v>0</v>
      </c>
      <c r="T1805" s="85">
        <f>STATS1003B!T1809/1000</f>
        <v>0</v>
      </c>
      <c r="U1805" s="85">
        <f>STATS1003B!U1809/1000</f>
        <v>48.317999999999998</v>
      </c>
      <c r="V1805" s="85">
        <f>STATS1003B!V1809/1000</f>
        <v>0</v>
      </c>
      <c r="W1805" s="85">
        <f>STATS1003B!W1809/1000</f>
        <v>0</v>
      </c>
      <c r="X1805" s="85">
        <f t="shared" si="194"/>
        <v>48.317999999999998</v>
      </c>
      <c r="Y1805" s="85">
        <f>STATS1003B!Y1809/1000</f>
        <v>0</v>
      </c>
      <c r="Z1805" s="85">
        <f t="shared" si="196"/>
        <v>0</v>
      </c>
      <c r="AA1805" s="69">
        <f>STATS1003B!AA1809/1000</f>
        <v>48.317999999999998</v>
      </c>
      <c r="AB1805" s="69">
        <f>STATS1003B!AB1809/1000</f>
        <v>0</v>
      </c>
    </row>
    <row r="1806" spans="1:28" hidden="1" x14ac:dyDescent="0.3">
      <c r="A1806" s="117"/>
      <c r="C1806" s="68" t="s">
        <v>539</v>
      </c>
      <c r="D1806" s="145" t="s">
        <v>68</v>
      </c>
      <c r="E1806" s="85">
        <f>STATS1003B!E1810/1000</f>
        <v>1224.7453500000001</v>
      </c>
      <c r="F1806" s="85">
        <f>STATS1003B!F1810/1000</f>
        <v>0</v>
      </c>
      <c r="G1806" s="85">
        <f>STATS1003B!G1810/1000</f>
        <v>0</v>
      </c>
      <c r="H1806" s="85">
        <f>STATS1003B!H1810/1000</f>
        <v>0</v>
      </c>
      <c r="I1806" s="85">
        <f>STATS1003B!I1810/1000</f>
        <v>0</v>
      </c>
      <c r="J1806" s="85">
        <f>STATS1003B!J1810/1000</f>
        <v>0</v>
      </c>
      <c r="K1806" s="85">
        <f>STATS1003B!K1810/1000</f>
        <v>1224.7453500000001</v>
      </c>
      <c r="L1806" s="85">
        <f>STATS1003B!L1810/1000</f>
        <v>0</v>
      </c>
      <c r="M1806" s="85">
        <f>STATS1003B!M1810/1000</f>
        <v>0</v>
      </c>
      <c r="N1806" s="85">
        <f>STATS1003B!N1810/1000</f>
        <v>1224.7453500000001</v>
      </c>
      <c r="O1806" s="85">
        <f>STATS1003B!O1810/1000</f>
        <v>0</v>
      </c>
      <c r="P1806" s="85">
        <f>STATS1003B!P1810/1000</f>
        <v>1224.7453500000001</v>
      </c>
      <c r="Q1806" s="85">
        <f>STATS1003B!Q1810/1000</f>
        <v>0</v>
      </c>
      <c r="R1806" s="85">
        <f>STATS1003B!R1810/1000</f>
        <v>0</v>
      </c>
      <c r="S1806" s="85">
        <f>STATS1003B!S1810/1000</f>
        <v>0</v>
      </c>
      <c r="T1806" s="85">
        <f>STATS1003B!T1810/1000</f>
        <v>0</v>
      </c>
      <c r="U1806" s="85">
        <f>STATS1003B!U1810/1000</f>
        <v>1224.7453500000001</v>
      </c>
      <c r="V1806" s="85">
        <f>STATS1003B!V1810/1000</f>
        <v>0</v>
      </c>
      <c r="W1806" s="85">
        <f>STATS1003B!W1810/1000</f>
        <v>0</v>
      </c>
      <c r="X1806" s="85">
        <f t="shared" si="194"/>
        <v>1224.7453500000001</v>
      </c>
      <c r="Y1806" s="85">
        <f>STATS1003B!Y1810/1000</f>
        <v>0</v>
      </c>
      <c r="Z1806" s="85">
        <f t="shared" si="196"/>
        <v>0</v>
      </c>
      <c r="AA1806" s="69">
        <f>STATS1003B!AA1810/1000</f>
        <v>1224.7453500000001</v>
      </c>
      <c r="AB1806" s="69">
        <f>STATS1003B!AB1810/1000</f>
        <v>0</v>
      </c>
    </row>
    <row r="1807" spans="1:28" hidden="1" x14ac:dyDescent="0.3">
      <c r="A1807" s="117"/>
      <c r="C1807" s="68" t="s">
        <v>545</v>
      </c>
      <c r="D1807" s="145" t="s">
        <v>54</v>
      </c>
      <c r="E1807" s="85">
        <f>STATS1003B!E1811/1000</f>
        <v>1953.989</v>
      </c>
      <c r="F1807" s="85">
        <f>STATS1003B!F1811/1000</f>
        <v>0</v>
      </c>
      <c r="G1807" s="85">
        <f>STATS1003B!G1811/1000</f>
        <v>0</v>
      </c>
      <c r="H1807" s="85">
        <f>STATS1003B!H1811/1000</f>
        <v>0</v>
      </c>
      <c r="I1807" s="85">
        <f>STATS1003B!I1811/1000</f>
        <v>0</v>
      </c>
      <c r="J1807" s="85">
        <f>STATS1003B!J1811/1000</f>
        <v>0</v>
      </c>
      <c r="K1807" s="85">
        <f>STATS1003B!K1811/1000</f>
        <v>1953.989</v>
      </c>
      <c r="L1807" s="85">
        <f>STATS1003B!L1811/1000</f>
        <v>0</v>
      </c>
      <c r="M1807" s="85">
        <f>STATS1003B!M1811/1000</f>
        <v>0</v>
      </c>
      <c r="N1807" s="85">
        <f>STATS1003B!N1811/1000</f>
        <v>1953.989</v>
      </c>
      <c r="O1807" s="85">
        <f>STATS1003B!O1811/1000</f>
        <v>0</v>
      </c>
      <c r="P1807" s="85">
        <f>STATS1003B!P1811/1000</f>
        <v>1953.989</v>
      </c>
      <c r="Q1807" s="85">
        <f>STATS1003B!Q1811/1000</f>
        <v>0</v>
      </c>
      <c r="R1807" s="85">
        <f>STATS1003B!R1811/1000</f>
        <v>0</v>
      </c>
      <c r="S1807" s="85">
        <f>STATS1003B!S1811/1000</f>
        <v>0</v>
      </c>
      <c r="T1807" s="85">
        <f>STATS1003B!T1811/1000</f>
        <v>0</v>
      </c>
      <c r="U1807" s="85">
        <f>STATS1003B!U1811/1000</f>
        <v>1953.989</v>
      </c>
      <c r="V1807" s="85">
        <f>STATS1003B!V1811/1000</f>
        <v>0</v>
      </c>
      <c r="W1807" s="85">
        <f>STATS1003B!W1811/1000</f>
        <v>0</v>
      </c>
      <c r="X1807" s="85">
        <f t="shared" si="194"/>
        <v>1953.989</v>
      </c>
      <c r="Y1807" s="85">
        <f>STATS1003B!Y1811/1000</f>
        <v>0</v>
      </c>
      <c r="Z1807" s="85">
        <f t="shared" si="196"/>
        <v>0</v>
      </c>
      <c r="AA1807" s="69">
        <f>STATS1003B!AA1811/1000</f>
        <v>1953.989</v>
      </c>
      <c r="AB1807" s="69">
        <f>STATS1003B!AB1811/1000</f>
        <v>0</v>
      </c>
    </row>
    <row r="1808" spans="1:28" hidden="1" x14ac:dyDescent="0.3">
      <c r="A1808" s="117"/>
      <c r="C1808" s="68" t="s">
        <v>535</v>
      </c>
      <c r="D1808" s="145" t="s">
        <v>85</v>
      </c>
      <c r="E1808" s="85">
        <f>STATS1003B!E1812/1000</f>
        <v>2000</v>
      </c>
      <c r="F1808" s="85">
        <f>STATS1003B!F1812/1000</f>
        <v>2000</v>
      </c>
      <c r="G1808" s="85">
        <f>STATS1003B!G1812/1000</f>
        <v>0</v>
      </c>
      <c r="H1808" s="85">
        <f>STATS1003B!H1812/1000</f>
        <v>2000</v>
      </c>
      <c r="I1808" s="85">
        <f>STATS1003B!I1812/1000</f>
        <v>0</v>
      </c>
      <c r="J1808" s="85">
        <f>STATS1003B!J1812/1000</f>
        <v>2000</v>
      </c>
      <c r="K1808" s="85">
        <f>STATS1003B!K1812/1000</f>
        <v>0</v>
      </c>
      <c r="L1808" s="85">
        <f>STATS1003B!L1812/1000</f>
        <v>0</v>
      </c>
      <c r="M1808" s="85">
        <f>STATS1003B!M1812/1000</f>
        <v>2000</v>
      </c>
      <c r="N1808" s="85">
        <f>STATS1003B!N1812/1000</f>
        <v>0</v>
      </c>
      <c r="O1808" s="85">
        <f>STATS1003B!O1812/1000</f>
        <v>0</v>
      </c>
      <c r="P1808" s="85">
        <f>STATS1003B!P1812/1000</f>
        <v>0</v>
      </c>
      <c r="Q1808" s="85">
        <f>STATS1003B!Q1812/1000</f>
        <v>2000</v>
      </c>
      <c r="R1808" s="85">
        <f>STATS1003B!R1812/1000</f>
        <v>0</v>
      </c>
      <c r="S1808" s="85">
        <f>STATS1003B!S1812/1000</f>
        <v>0</v>
      </c>
      <c r="T1808" s="85">
        <f>STATS1003B!T1812/1000</f>
        <v>0</v>
      </c>
      <c r="U1808" s="85">
        <f>STATS1003B!U1812/1000</f>
        <v>0</v>
      </c>
      <c r="V1808" s="85">
        <f>STATS1003B!V1812/1000</f>
        <v>0</v>
      </c>
      <c r="W1808" s="85">
        <f>STATS1003B!W1812/1000</f>
        <v>0</v>
      </c>
      <c r="X1808" s="85">
        <f t="shared" si="194"/>
        <v>2000</v>
      </c>
      <c r="Y1808" s="85">
        <f>STATS1003B!Y1812/1000</f>
        <v>0</v>
      </c>
      <c r="Z1808" s="85">
        <f t="shared" si="196"/>
        <v>0</v>
      </c>
      <c r="AA1808" s="69">
        <f>STATS1003B!AA1812/1000</f>
        <v>2000</v>
      </c>
      <c r="AB1808" s="69">
        <f>STATS1003B!AB1812/1000</f>
        <v>0</v>
      </c>
    </row>
    <row r="1809" spans="1:28" hidden="1" x14ac:dyDescent="0.3">
      <c r="A1809" s="117"/>
      <c r="C1809" s="68" t="s">
        <v>603</v>
      </c>
      <c r="D1809" s="145" t="s">
        <v>85</v>
      </c>
      <c r="E1809" s="85">
        <f>STATS1003B!E1813/1000</f>
        <v>80</v>
      </c>
      <c r="F1809" s="85">
        <f>STATS1003B!F1813/1000</f>
        <v>80</v>
      </c>
      <c r="G1809" s="85">
        <f>STATS1003B!G1813/1000</f>
        <v>0</v>
      </c>
      <c r="H1809" s="85">
        <f>STATS1003B!H1813/1000</f>
        <v>80</v>
      </c>
      <c r="I1809" s="85">
        <f>STATS1003B!I1813/1000</f>
        <v>0</v>
      </c>
      <c r="J1809" s="85">
        <f>STATS1003B!J1813/1000</f>
        <v>80</v>
      </c>
      <c r="K1809" s="85">
        <f>STATS1003B!K1813/1000</f>
        <v>0</v>
      </c>
      <c r="L1809" s="85">
        <f>STATS1003B!L1813/1000</f>
        <v>0</v>
      </c>
      <c r="M1809" s="85">
        <f>STATS1003B!M1813/1000</f>
        <v>80</v>
      </c>
      <c r="N1809" s="85">
        <f>STATS1003B!N1813/1000</f>
        <v>0</v>
      </c>
      <c r="O1809" s="85">
        <f>STATS1003B!O1813/1000</f>
        <v>0</v>
      </c>
      <c r="P1809" s="85">
        <f>STATS1003B!P1813/1000</f>
        <v>0</v>
      </c>
      <c r="Q1809" s="85">
        <f>STATS1003B!Q1813/1000</f>
        <v>80</v>
      </c>
      <c r="R1809" s="85">
        <f>STATS1003B!R1813/1000</f>
        <v>0</v>
      </c>
      <c r="S1809" s="85">
        <f>STATS1003B!S1813/1000</f>
        <v>0</v>
      </c>
      <c r="T1809" s="85">
        <f>STATS1003B!T1813/1000</f>
        <v>0</v>
      </c>
      <c r="U1809" s="85">
        <f>STATS1003B!U1813/1000</f>
        <v>0</v>
      </c>
      <c r="V1809" s="85">
        <f>STATS1003B!V1813/1000</f>
        <v>0</v>
      </c>
      <c r="W1809" s="85">
        <f>STATS1003B!W1813/1000</f>
        <v>0</v>
      </c>
      <c r="X1809" s="85">
        <f t="shared" si="194"/>
        <v>80</v>
      </c>
      <c r="Y1809" s="85">
        <f>STATS1003B!Y1813/1000</f>
        <v>0</v>
      </c>
      <c r="Z1809" s="85">
        <f t="shared" si="196"/>
        <v>0</v>
      </c>
      <c r="AA1809" s="69">
        <f>STATS1003B!AA1813/1000</f>
        <v>80</v>
      </c>
      <c r="AB1809" s="69">
        <f>STATS1003B!AB1813/1000</f>
        <v>0</v>
      </c>
    </row>
    <row r="1810" spans="1:28" hidden="1" x14ac:dyDescent="0.3">
      <c r="A1810" s="117"/>
      <c r="C1810" s="68" t="s">
        <v>535</v>
      </c>
      <c r="D1810" s="145" t="s">
        <v>128</v>
      </c>
      <c r="E1810" s="85">
        <f>STATS1003B!E1814/1000</f>
        <v>2400</v>
      </c>
      <c r="F1810" s="85">
        <f>STATS1003B!F1814/1000</f>
        <v>2400</v>
      </c>
      <c r="G1810" s="85">
        <f>STATS1003B!G1814/1000</f>
        <v>0</v>
      </c>
      <c r="H1810" s="85">
        <f>STATS1003B!H1814/1000</f>
        <v>2400</v>
      </c>
      <c r="I1810" s="85">
        <f>STATS1003B!I1814/1000</f>
        <v>0</v>
      </c>
      <c r="J1810" s="85">
        <f>STATS1003B!J1814/1000</f>
        <v>2400</v>
      </c>
      <c r="K1810" s="85">
        <f>STATS1003B!K1814/1000</f>
        <v>0</v>
      </c>
      <c r="L1810" s="85">
        <f>STATS1003B!L1814/1000</f>
        <v>0</v>
      </c>
      <c r="M1810" s="85">
        <f>STATS1003B!M1814/1000</f>
        <v>2400</v>
      </c>
      <c r="N1810" s="85">
        <f>STATS1003B!N1814/1000</f>
        <v>0</v>
      </c>
      <c r="O1810" s="85">
        <f>STATS1003B!O1814/1000</f>
        <v>0</v>
      </c>
      <c r="P1810" s="85">
        <f>STATS1003B!P1814/1000</f>
        <v>0</v>
      </c>
      <c r="Q1810" s="85">
        <f>STATS1003B!Q1814/1000</f>
        <v>2400</v>
      </c>
      <c r="R1810" s="85">
        <f>STATS1003B!R1814/1000</f>
        <v>0</v>
      </c>
      <c r="S1810" s="85">
        <f>STATS1003B!S1814/1000</f>
        <v>0</v>
      </c>
      <c r="T1810" s="85">
        <f>STATS1003B!T1814/1000</f>
        <v>0</v>
      </c>
      <c r="U1810" s="85">
        <f>STATS1003B!U1814/1000</f>
        <v>0</v>
      </c>
      <c r="V1810" s="85">
        <f>STATS1003B!V1814/1000</f>
        <v>0</v>
      </c>
      <c r="W1810" s="85">
        <f>STATS1003B!W1814/1000</f>
        <v>0</v>
      </c>
      <c r="X1810" s="85">
        <f t="shared" si="194"/>
        <v>2400</v>
      </c>
      <c r="Y1810" s="85">
        <f>STATS1003B!Y1814/1000</f>
        <v>0</v>
      </c>
      <c r="Z1810" s="85">
        <f t="shared" si="196"/>
        <v>0</v>
      </c>
      <c r="AA1810" s="69">
        <f>STATS1003B!AA1814/1000</f>
        <v>2400</v>
      </c>
      <c r="AB1810" s="69">
        <f>STATS1003B!AB1814/1000</f>
        <v>0</v>
      </c>
    </row>
    <row r="1811" spans="1:28" hidden="1" x14ac:dyDescent="0.3">
      <c r="A1811" s="117"/>
      <c r="C1811" s="68" t="s">
        <v>535</v>
      </c>
      <c r="D1811" s="145" t="s">
        <v>108</v>
      </c>
      <c r="E1811" s="85">
        <f>STATS1003B!E1815/1000</f>
        <v>5540.8475099999996</v>
      </c>
      <c r="F1811" s="85">
        <f>STATS1003B!F1815/1000</f>
        <v>5540.8475099999996</v>
      </c>
      <c r="G1811" s="85">
        <f>STATS1003B!G1815/1000</f>
        <v>0</v>
      </c>
      <c r="H1811" s="85">
        <f>STATS1003B!H1815/1000</f>
        <v>5540.8475099999996</v>
      </c>
      <c r="I1811" s="85">
        <f>STATS1003B!I1815/1000</f>
        <v>0</v>
      </c>
      <c r="J1811" s="85">
        <f>STATS1003B!J1815/1000</f>
        <v>5540.8475099999996</v>
      </c>
      <c r="K1811" s="85">
        <f>STATS1003B!K1815/1000</f>
        <v>0</v>
      </c>
      <c r="L1811" s="85">
        <f>STATS1003B!L1815/1000</f>
        <v>0</v>
      </c>
      <c r="M1811" s="85">
        <f>STATS1003B!M1815/1000</f>
        <v>5540.8475099999996</v>
      </c>
      <c r="N1811" s="85">
        <f>STATS1003B!N1815/1000</f>
        <v>0</v>
      </c>
      <c r="O1811" s="85">
        <f>STATS1003B!O1815/1000</f>
        <v>0</v>
      </c>
      <c r="P1811" s="85">
        <f>STATS1003B!P1815/1000</f>
        <v>0</v>
      </c>
      <c r="Q1811" s="85">
        <f>STATS1003B!Q1815/1000</f>
        <v>5540.8475099999996</v>
      </c>
      <c r="R1811" s="85">
        <f>STATS1003B!R1815/1000</f>
        <v>0</v>
      </c>
      <c r="S1811" s="85">
        <f>STATS1003B!S1815/1000</f>
        <v>0</v>
      </c>
      <c r="T1811" s="85">
        <f>STATS1003B!T1815/1000</f>
        <v>0</v>
      </c>
      <c r="U1811" s="85">
        <f>STATS1003B!U1815/1000</f>
        <v>0</v>
      </c>
      <c r="V1811" s="85">
        <f>STATS1003B!V1815/1000</f>
        <v>0</v>
      </c>
      <c r="W1811" s="85">
        <f>STATS1003B!W1815/1000</f>
        <v>0</v>
      </c>
      <c r="X1811" s="85">
        <f t="shared" si="194"/>
        <v>5540.8475099999996</v>
      </c>
      <c r="Y1811" s="85">
        <f>STATS1003B!Y1815/1000</f>
        <v>0</v>
      </c>
      <c r="Z1811" s="85">
        <f t="shared" si="196"/>
        <v>0</v>
      </c>
      <c r="AA1811" s="69">
        <f>STATS1003B!AA1815/1000</f>
        <v>5540.8475099999996</v>
      </c>
      <c r="AB1811" s="69">
        <f>STATS1003B!AB1815/1000</f>
        <v>0</v>
      </c>
    </row>
    <row r="1812" spans="1:28" hidden="1" x14ac:dyDescent="0.3">
      <c r="A1812" s="117"/>
      <c r="C1812" s="68" t="s">
        <v>535</v>
      </c>
      <c r="D1812" s="145" t="s">
        <v>58</v>
      </c>
      <c r="E1812" s="85">
        <f>STATS1003B!E1816/1000</f>
        <v>2116.018</v>
      </c>
      <c r="F1812" s="85">
        <f>STATS1003B!F1816/1000</f>
        <v>2116.018</v>
      </c>
      <c r="G1812" s="85">
        <f>STATS1003B!G1816/1000</f>
        <v>0</v>
      </c>
      <c r="H1812" s="85">
        <f>STATS1003B!H1816/1000</f>
        <v>2116.018</v>
      </c>
      <c r="I1812" s="85">
        <f>STATS1003B!I1816/1000</f>
        <v>0</v>
      </c>
      <c r="J1812" s="85">
        <f>STATS1003B!J1816/1000</f>
        <v>2116.018</v>
      </c>
      <c r="K1812" s="85">
        <f>STATS1003B!K1816/1000</f>
        <v>0</v>
      </c>
      <c r="L1812" s="85">
        <f>STATS1003B!L1816/1000</f>
        <v>0</v>
      </c>
      <c r="M1812" s="85">
        <f>STATS1003B!M1816/1000</f>
        <v>2116.018</v>
      </c>
      <c r="N1812" s="85">
        <f>STATS1003B!N1816/1000</f>
        <v>0</v>
      </c>
      <c r="O1812" s="85">
        <f>STATS1003B!O1816/1000</f>
        <v>0</v>
      </c>
      <c r="P1812" s="85">
        <f>STATS1003B!P1816/1000</f>
        <v>0</v>
      </c>
      <c r="Q1812" s="85">
        <f>STATS1003B!Q1816/1000</f>
        <v>2116.018</v>
      </c>
      <c r="R1812" s="85">
        <f>STATS1003B!R1816/1000</f>
        <v>0</v>
      </c>
      <c r="S1812" s="85">
        <f>STATS1003B!S1816/1000</f>
        <v>0</v>
      </c>
      <c r="T1812" s="85">
        <f>STATS1003B!T1816/1000</f>
        <v>0</v>
      </c>
      <c r="U1812" s="85">
        <f>STATS1003B!U1816/1000</f>
        <v>0</v>
      </c>
      <c r="V1812" s="85">
        <f>STATS1003B!V1816/1000</f>
        <v>0</v>
      </c>
      <c r="W1812" s="85">
        <f>STATS1003B!W1816/1000</f>
        <v>0</v>
      </c>
      <c r="X1812" s="85">
        <f t="shared" si="194"/>
        <v>2116.018</v>
      </c>
      <c r="Y1812" s="85">
        <f>STATS1003B!Y1816/1000</f>
        <v>0</v>
      </c>
      <c r="Z1812" s="85">
        <f t="shared" si="196"/>
        <v>0</v>
      </c>
      <c r="AA1812" s="69">
        <f>STATS1003B!AA1816/1000</f>
        <v>2116.018</v>
      </c>
      <c r="AB1812" s="69">
        <f>STATS1003B!AB1816/1000</f>
        <v>0</v>
      </c>
    </row>
    <row r="1813" spans="1:28" hidden="1" x14ac:dyDescent="0.3">
      <c r="A1813" s="117"/>
      <c r="C1813" s="68" t="s">
        <v>535</v>
      </c>
      <c r="D1813" s="145" t="s">
        <v>60</v>
      </c>
      <c r="E1813" s="85">
        <f>STATS1003B!E1817/1000</f>
        <v>615</v>
      </c>
      <c r="F1813" s="85">
        <f>STATS1003B!F1817/1000</f>
        <v>615</v>
      </c>
      <c r="G1813" s="85">
        <f>STATS1003B!G1817/1000</f>
        <v>0</v>
      </c>
      <c r="H1813" s="85">
        <f>STATS1003B!H1817/1000</f>
        <v>615</v>
      </c>
      <c r="I1813" s="85">
        <f>STATS1003B!I1817/1000</f>
        <v>0</v>
      </c>
      <c r="J1813" s="85">
        <f>STATS1003B!J1817/1000</f>
        <v>615</v>
      </c>
      <c r="K1813" s="85">
        <f>STATS1003B!K1817/1000</f>
        <v>0</v>
      </c>
      <c r="L1813" s="85">
        <f>STATS1003B!L1817/1000</f>
        <v>0</v>
      </c>
      <c r="M1813" s="85">
        <f>STATS1003B!M1817/1000</f>
        <v>615</v>
      </c>
      <c r="N1813" s="85">
        <f>STATS1003B!N1817/1000</f>
        <v>0</v>
      </c>
      <c r="O1813" s="85">
        <f>STATS1003B!O1817/1000</f>
        <v>0</v>
      </c>
      <c r="P1813" s="85">
        <f>STATS1003B!P1817/1000</f>
        <v>0</v>
      </c>
      <c r="Q1813" s="85">
        <f>STATS1003B!Q1817/1000</f>
        <v>615</v>
      </c>
      <c r="R1813" s="85">
        <f>STATS1003B!R1817/1000</f>
        <v>0</v>
      </c>
      <c r="S1813" s="85">
        <f>STATS1003B!S1817/1000</f>
        <v>0</v>
      </c>
      <c r="T1813" s="85">
        <f>STATS1003B!T1817/1000</f>
        <v>0</v>
      </c>
      <c r="U1813" s="85">
        <f>STATS1003B!U1817/1000</f>
        <v>0</v>
      </c>
      <c r="V1813" s="85">
        <f>STATS1003B!V1817/1000</f>
        <v>0</v>
      </c>
      <c r="W1813" s="85">
        <f>STATS1003B!W1817/1000</f>
        <v>0</v>
      </c>
      <c r="X1813" s="85">
        <f t="shared" si="194"/>
        <v>615</v>
      </c>
      <c r="Y1813" s="85">
        <f>STATS1003B!Y1817/1000</f>
        <v>0</v>
      </c>
      <c r="Z1813" s="85">
        <f t="shared" si="196"/>
        <v>0</v>
      </c>
      <c r="AA1813" s="69">
        <f>STATS1003B!AA1817/1000</f>
        <v>615</v>
      </c>
      <c r="AB1813" s="69">
        <f>STATS1003B!AB1817/1000</f>
        <v>0</v>
      </c>
    </row>
    <row r="1814" spans="1:28" hidden="1" x14ac:dyDescent="0.3">
      <c r="A1814" s="117"/>
      <c r="C1814" s="71" t="s">
        <v>535</v>
      </c>
      <c r="D1814" s="88" t="s">
        <v>73</v>
      </c>
      <c r="E1814" s="85">
        <f>STATS1003B!E1818/1000</f>
        <v>1478.4449999999999</v>
      </c>
      <c r="F1814" s="85">
        <f>STATS1003B!F1818/1000</f>
        <v>1478.4449999999999</v>
      </c>
      <c r="G1814" s="85">
        <f>STATS1003B!G1818/1000</f>
        <v>0</v>
      </c>
      <c r="H1814" s="85">
        <f>STATS1003B!H1818/1000</f>
        <v>1478.4449999999999</v>
      </c>
      <c r="I1814" s="85">
        <f>STATS1003B!I1818/1000</f>
        <v>0</v>
      </c>
      <c r="J1814" s="85">
        <f>STATS1003B!J1818/1000</f>
        <v>1478.4449999999999</v>
      </c>
      <c r="K1814" s="85">
        <f>STATS1003B!K1818/1000</f>
        <v>0</v>
      </c>
      <c r="L1814" s="85">
        <f>STATS1003B!L1818/1000</f>
        <v>0</v>
      </c>
      <c r="M1814" s="85">
        <f>STATS1003B!M1818/1000</f>
        <v>1478.4449999999999</v>
      </c>
      <c r="N1814" s="85">
        <f>STATS1003B!N1818/1000</f>
        <v>0</v>
      </c>
      <c r="O1814" s="85">
        <f>STATS1003B!O1818/1000</f>
        <v>0</v>
      </c>
      <c r="P1814" s="85">
        <f>STATS1003B!P1818/1000</f>
        <v>0</v>
      </c>
      <c r="Q1814" s="85">
        <f>STATS1003B!Q1818/1000</f>
        <v>1478.4449999999999</v>
      </c>
      <c r="R1814" s="85">
        <f>STATS1003B!R1818/1000</f>
        <v>0</v>
      </c>
      <c r="S1814" s="85">
        <f>STATS1003B!S1818/1000</f>
        <v>0</v>
      </c>
      <c r="T1814" s="85">
        <f>STATS1003B!T1818/1000</f>
        <v>0</v>
      </c>
      <c r="U1814" s="85">
        <f>STATS1003B!U1818/1000</f>
        <v>0</v>
      </c>
      <c r="V1814" s="85">
        <f>STATS1003B!V1818/1000</f>
        <v>0</v>
      </c>
      <c r="W1814" s="85">
        <f>STATS1003B!W1818/1000</f>
        <v>0</v>
      </c>
      <c r="X1814" s="85">
        <f t="shared" si="194"/>
        <v>1478.4449999999999</v>
      </c>
      <c r="Y1814" s="85">
        <f>STATS1003B!Y1818/1000</f>
        <v>0</v>
      </c>
      <c r="Z1814" s="85">
        <f t="shared" si="196"/>
        <v>0</v>
      </c>
      <c r="AA1814" s="69">
        <f>STATS1003B!AA1818/1000</f>
        <v>1478.4449999999999</v>
      </c>
      <c r="AB1814" s="69">
        <f>STATS1003B!AB1818/1000</f>
        <v>0</v>
      </c>
    </row>
    <row r="1815" spans="1:28" hidden="1" x14ac:dyDescent="0.3">
      <c r="A1815" s="117"/>
      <c r="C1815" s="71" t="s">
        <v>535</v>
      </c>
      <c r="D1815" s="88" t="s">
        <v>61</v>
      </c>
      <c r="E1815" s="85">
        <f>STATS1003B!E1819/1000</f>
        <v>1477.1061800000002</v>
      </c>
      <c r="F1815" s="85">
        <f>STATS1003B!F1819/1000</f>
        <v>1477.1061800000002</v>
      </c>
      <c r="G1815" s="85">
        <f>STATS1003B!G1819/1000</f>
        <v>0</v>
      </c>
      <c r="H1815" s="85">
        <f>STATS1003B!H1819/1000</f>
        <v>1477.1061800000002</v>
      </c>
      <c r="I1815" s="85">
        <f>STATS1003B!I1819/1000</f>
        <v>0</v>
      </c>
      <c r="J1815" s="85">
        <f>STATS1003B!J1819/1000</f>
        <v>1477.1061800000002</v>
      </c>
      <c r="K1815" s="85">
        <f>STATS1003B!K1819/1000</f>
        <v>0</v>
      </c>
      <c r="L1815" s="85">
        <f>STATS1003B!L1819/1000</f>
        <v>0</v>
      </c>
      <c r="M1815" s="85">
        <f>STATS1003B!M1819/1000</f>
        <v>1477.1061800000002</v>
      </c>
      <c r="N1815" s="85">
        <f>STATS1003B!N1819/1000</f>
        <v>0</v>
      </c>
      <c r="O1815" s="85">
        <f>STATS1003B!O1819/1000</f>
        <v>0</v>
      </c>
      <c r="P1815" s="85">
        <f>STATS1003B!P1819/1000</f>
        <v>0</v>
      </c>
      <c r="Q1815" s="85">
        <f>STATS1003B!Q1819/1000</f>
        <v>1477.1061800000002</v>
      </c>
      <c r="R1815" s="85">
        <f>STATS1003B!R1819/1000</f>
        <v>0</v>
      </c>
      <c r="S1815" s="85">
        <f>STATS1003B!S1819/1000</f>
        <v>0</v>
      </c>
      <c r="T1815" s="85">
        <f>STATS1003B!T1819/1000</f>
        <v>0</v>
      </c>
      <c r="U1815" s="85">
        <f>STATS1003B!U1819/1000</f>
        <v>0</v>
      </c>
      <c r="V1815" s="85">
        <f>STATS1003B!V1819/1000</f>
        <v>0</v>
      </c>
      <c r="W1815" s="85">
        <f>STATS1003B!W1819/1000</f>
        <v>0</v>
      </c>
      <c r="X1815" s="85">
        <f t="shared" si="194"/>
        <v>1477.1061800000002</v>
      </c>
      <c r="Y1815" s="85">
        <f>STATS1003B!Y1819/1000</f>
        <v>0</v>
      </c>
      <c r="Z1815" s="85">
        <f t="shared" si="196"/>
        <v>0</v>
      </c>
      <c r="AA1815" s="69">
        <f>STATS1003B!AA1819/1000</f>
        <v>1477.1061800000002</v>
      </c>
      <c r="AB1815" s="69">
        <f>STATS1003B!AB1819/1000</f>
        <v>0</v>
      </c>
    </row>
    <row r="1816" spans="1:28" hidden="1" x14ac:dyDescent="0.3">
      <c r="A1816" s="117"/>
      <c r="C1816" s="71" t="s">
        <v>933</v>
      </c>
      <c r="D1816" s="89" t="s">
        <v>1072</v>
      </c>
      <c r="E1816" s="85">
        <f>STATS1003B!E1820/1000</f>
        <v>1274</v>
      </c>
      <c r="F1816" s="85">
        <f>STATS1003B!F1820/1000</f>
        <v>1274</v>
      </c>
      <c r="G1816" s="85">
        <f>STATS1003B!G1820/1000</f>
        <v>0</v>
      </c>
      <c r="H1816" s="85">
        <f>STATS1003B!H1820/1000</f>
        <v>1274</v>
      </c>
      <c r="I1816" s="85">
        <f>STATS1003B!I1820/1000</f>
        <v>0</v>
      </c>
      <c r="J1816" s="85">
        <f>STATS1003B!J1820/1000</f>
        <v>0</v>
      </c>
      <c r="K1816" s="85">
        <f>STATS1003B!K1820/1000</f>
        <v>0</v>
      </c>
      <c r="L1816" s="85">
        <f>STATS1003B!L1820/1000</f>
        <v>0</v>
      </c>
      <c r="M1816" s="85">
        <f>STATS1003B!M1820/1000</f>
        <v>1274</v>
      </c>
      <c r="N1816" s="85">
        <f>STATS1003B!N1820/1000</f>
        <v>0</v>
      </c>
      <c r="O1816" s="85">
        <f>STATS1003B!O1820/1000</f>
        <v>0</v>
      </c>
      <c r="P1816" s="85">
        <f>STATS1003B!P1820/1000</f>
        <v>0</v>
      </c>
      <c r="Q1816" s="85">
        <f>STATS1003B!Q1820/1000</f>
        <v>0</v>
      </c>
      <c r="R1816" s="85">
        <f>STATS1003B!R1820/1000</f>
        <v>0</v>
      </c>
      <c r="S1816" s="85">
        <f>STATS1003B!S1820/1000</f>
        <v>0</v>
      </c>
      <c r="T1816" s="85">
        <f>STATS1003B!T1820/1000</f>
        <v>0</v>
      </c>
      <c r="U1816" s="85">
        <f>STATS1003B!U1820/1000</f>
        <v>0</v>
      </c>
      <c r="V1816" s="85">
        <f>STATS1003B!V1820/1000</f>
        <v>0</v>
      </c>
      <c r="W1816" s="85">
        <f>STATS1003B!W1820/1000</f>
        <v>0</v>
      </c>
      <c r="X1816" s="85">
        <f t="shared" si="194"/>
        <v>1274</v>
      </c>
      <c r="Y1816" s="85">
        <f>STATS1003B!Y1820/1000</f>
        <v>0</v>
      </c>
      <c r="Z1816" s="85">
        <f t="shared" si="196"/>
        <v>0</v>
      </c>
      <c r="AA1816" s="69">
        <f>STATS1003B!AA1820/1000</f>
        <v>1274</v>
      </c>
      <c r="AB1816" s="69">
        <f>STATS1003B!AB1820/1000</f>
        <v>0</v>
      </c>
    </row>
    <row r="1817" spans="1:28" hidden="1" x14ac:dyDescent="0.3">
      <c r="A1817" s="117"/>
      <c r="C1817" s="68" t="s">
        <v>551</v>
      </c>
      <c r="E1817" s="85">
        <f>STATS1003B!E1821/1000</f>
        <v>3106.63789</v>
      </c>
      <c r="F1817" s="85">
        <f>STATS1003B!F1821/1000</f>
        <v>3106.63789</v>
      </c>
      <c r="G1817" s="85">
        <f>STATS1003B!G1821/1000</f>
        <v>0</v>
      </c>
      <c r="H1817" s="85">
        <f>STATS1003B!H1821/1000</f>
        <v>3106.63789</v>
      </c>
      <c r="I1817" s="85">
        <f>STATS1003B!I1821/1000</f>
        <v>0</v>
      </c>
      <c r="J1817" s="85">
        <f>STATS1003B!J1821/1000</f>
        <v>3106.63789</v>
      </c>
      <c r="K1817" s="85">
        <f>STATS1003B!K1821/1000</f>
        <v>0</v>
      </c>
      <c r="L1817" s="85">
        <f>STATS1003B!L1821/1000</f>
        <v>0</v>
      </c>
      <c r="M1817" s="85">
        <f>STATS1003B!M1821/1000</f>
        <v>3106.63789</v>
      </c>
      <c r="N1817" s="85">
        <f>STATS1003B!N1821/1000</f>
        <v>0</v>
      </c>
      <c r="O1817" s="85">
        <f>STATS1003B!O1821/1000</f>
        <v>0</v>
      </c>
      <c r="P1817" s="85">
        <f>STATS1003B!P1821/1000</f>
        <v>0</v>
      </c>
      <c r="Q1817" s="85">
        <f>STATS1003B!Q1821/1000</f>
        <v>3106.63789</v>
      </c>
      <c r="R1817" s="85">
        <f>STATS1003B!R1821/1000</f>
        <v>0</v>
      </c>
      <c r="S1817" s="85">
        <f>STATS1003B!S1821/1000</f>
        <v>0</v>
      </c>
      <c r="T1817" s="85">
        <f>STATS1003B!T1821/1000</f>
        <v>0</v>
      </c>
      <c r="U1817" s="85">
        <f>STATS1003B!U1821/1000</f>
        <v>0</v>
      </c>
      <c r="V1817" s="85">
        <f>STATS1003B!V1821/1000</f>
        <v>0</v>
      </c>
      <c r="W1817" s="85">
        <f>STATS1003B!W1821/1000</f>
        <v>0</v>
      </c>
      <c r="X1817" s="85">
        <f t="shared" si="194"/>
        <v>3106.63789</v>
      </c>
      <c r="Y1817" s="85">
        <f>STATS1003B!Y1821/1000</f>
        <v>0</v>
      </c>
      <c r="Z1817" s="85">
        <f t="shared" si="196"/>
        <v>0</v>
      </c>
      <c r="AA1817" s="69">
        <f>STATS1003B!AA1821/1000</f>
        <v>3106.63789</v>
      </c>
      <c r="AB1817" s="69">
        <f>STATS1003B!AB1821/1000</f>
        <v>0</v>
      </c>
    </row>
    <row r="1818" spans="1:28" hidden="1" x14ac:dyDescent="0.3">
      <c r="A1818" s="117"/>
      <c r="C1818" s="68" t="s">
        <v>606</v>
      </c>
      <c r="E1818" s="85">
        <f>STATS1003B!E1822/1000</f>
        <v>8302.3900400000002</v>
      </c>
      <c r="F1818" s="85">
        <f>STATS1003B!F1822/1000</f>
        <v>5000</v>
      </c>
      <c r="G1818" s="85">
        <f>STATS1003B!G1822/1000</f>
        <v>0</v>
      </c>
      <c r="H1818" s="85">
        <f>STATS1003B!H1822/1000</f>
        <v>5000</v>
      </c>
      <c r="I1818" s="85">
        <f>STATS1003B!I1822/1000</f>
        <v>3302.3900400000002</v>
      </c>
      <c r="J1818" s="85">
        <f>STATS1003B!J1822/1000</f>
        <v>8302.3900400000002</v>
      </c>
      <c r="K1818" s="85">
        <f>STATS1003B!K1822/1000</f>
        <v>0</v>
      </c>
      <c r="L1818" s="85">
        <f>STATS1003B!L1822/1000</f>
        <v>3302.3900400000002</v>
      </c>
      <c r="M1818" s="85">
        <f>STATS1003B!M1822/1000</f>
        <v>8302.3900400000002</v>
      </c>
      <c r="N1818" s="85">
        <f>STATS1003B!N1822/1000</f>
        <v>0</v>
      </c>
      <c r="O1818" s="85">
        <f>STATS1003B!O1822/1000</f>
        <v>0</v>
      </c>
      <c r="P1818" s="85">
        <f>STATS1003B!P1822/1000</f>
        <v>0</v>
      </c>
      <c r="Q1818" s="85">
        <f>STATS1003B!Q1822/1000</f>
        <v>8302.3900400000002</v>
      </c>
      <c r="R1818" s="85">
        <f>STATS1003B!R1822/1000</f>
        <v>0</v>
      </c>
      <c r="S1818" s="85">
        <f>STATS1003B!S1822/1000</f>
        <v>0</v>
      </c>
      <c r="T1818" s="85">
        <f>STATS1003B!T1822/1000</f>
        <v>0</v>
      </c>
      <c r="U1818" s="85">
        <f>STATS1003B!U1822/1000</f>
        <v>0</v>
      </c>
      <c r="V1818" s="85">
        <f>STATS1003B!V1822/1000</f>
        <v>0</v>
      </c>
      <c r="W1818" s="85">
        <f>STATS1003B!W1822/1000</f>
        <v>0</v>
      </c>
      <c r="X1818" s="85">
        <f t="shared" si="194"/>
        <v>5000</v>
      </c>
      <c r="Y1818" s="85">
        <f>STATS1003B!Y1822/1000</f>
        <v>0</v>
      </c>
      <c r="Z1818" s="85">
        <f t="shared" si="196"/>
        <v>3302.3900400000002</v>
      </c>
      <c r="AA1818" s="69">
        <f>STATS1003B!AA1822/1000</f>
        <v>8302.3900400000002</v>
      </c>
      <c r="AB1818" s="69">
        <f>STATS1003B!AB1822/1000</f>
        <v>0</v>
      </c>
    </row>
    <row r="1819" spans="1:28" hidden="1" x14ac:dyDescent="0.3">
      <c r="A1819" s="117"/>
      <c r="E1819" s="86" t="s">
        <v>29</v>
      </c>
      <c r="F1819" s="86" t="s">
        <v>29</v>
      </c>
      <c r="G1819" s="86" t="s">
        <v>29</v>
      </c>
      <c r="H1819" s="86" t="s">
        <v>29</v>
      </c>
      <c r="I1819" s="86" t="s">
        <v>29</v>
      </c>
      <c r="J1819" s="86" t="s">
        <v>29</v>
      </c>
      <c r="K1819" s="86" t="s">
        <v>29</v>
      </c>
      <c r="L1819" s="86" t="s">
        <v>29</v>
      </c>
      <c r="M1819" s="86" t="s">
        <v>29</v>
      </c>
      <c r="N1819" s="86" t="s">
        <v>29</v>
      </c>
      <c r="O1819" s="86" t="s">
        <v>29</v>
      </c>
      <c r="P1819" s="86" t="s">
        <v>29</v>
      </c>
      <c r="Q1819" s="86" t="s">
        <v>29</v>
      </c>
      <c r="R1819" s="86"/>
      <c r="S1819" s="86"/>
      <c r="T1819" s="86"/>
      <c r="U1819" s="86"/>
      <c r="V1819" s="86"/>
      <c r="W1819" s="86"/>
      <c r="X1819" s="85" t="e">
        <f t="shared" si="194"/>
        <v>#VALUE!</v>
      </c>
      <c r="Y1819" s="86"/>
      <c r="Z1819" s="85" t="e">
        <f t="shared" si="196"/>
        <v>#VALUE!</v>
      </c>
      <c r="AA1819" s="115" t="s">
        <v>29</v>
      </c>
      <c r="AB1819" s="115" t="s">
        <v>29</v>
      </c>
    </row>
    <row r="1820" spans="1:28" x14ac:dyDescent="0.3">
      <c r="A1820" s="116">
        <v>80</v>
      </c>
      <c r="B1820" s="68" t="s">
        <v>767</v>
      </c>
      <c r="E1820" s="85">
        <f>117067832.32/1000</f>
        <v>117067.83231999999</v>
      </c>
      <c r="F1820" s="85">
        <f t="shared" ref="F1820:Q1820" si="200">SUM(F1805:F1819)</f>
        <v>25088.054579999996</v>
      </c>
      <c r="G1820" s="85">
        <f t="shared" si="200"/>
        <v>0</v>
      </c>
      <c r="H1820" s="85">
        <f>110538389.93/1000</f>
        <v>110538.38993</v>
      </c>
      <c r="I1820" s="85">
        <f t="shared" si="200"/>
        <v>3302.3900400000002</v>
      </c>
      <c r="J1820" s="85">
        <f t="shared" si="200"/>
        <v>27116.444620000002</v>
      </c>
      <c r="K1820" s="85">
        <f t="shared" si="200"/>
        <v>3227.0523499999999</v>
      </c>
      <c r="L1820" s="85">
        <f t="shared" si="200"/>
        <v>3302.3900400000002</v>
      </c>
      <c r="M1820" s="85">
        <f t="shared" si="200"/>
        <v>28390.444619999995</v>
      </c>
      <c r="N1820" s="85">
        <f t="shared" si="200"/>
        <v>3227.0523499999999</v>
      </c>
      <c r="O1820" s="85">
        <f t="shared" si="200"/>
        <v>0</v>
      </c>
      <c r="P1820" s="85">
        <f>3227052/1000</f>
        <v>3227.0520000000001</v>
      </c>
      <c r="Q1820" s="85">
        <f t="shared" si="200"/>
        <v>27116.444620000002</v>
      </c>
      <c r="R1820" s="86"/>
      <c r="S1820" s="86"/>
      <c r="T1820" s="85">
        <f t="shared" ref="T1820:Y1820" si="201">SUM(T1805:T1819)</f>
        <v>0</v>
      </c>
      <c r="U1820" s="85">
        <f t="shared" si="201"/>
        <v>3227.0523499999999</v>
      </c>
      <c r="V1820" s="85">
        <f t="shared" si="201"/>
        <v>0</v>
      </c>
      <c r="W1820" s="85">
        <f t="shared" si="201"/>
        <v>0</v>
      </c>
      <c r="X1820" s="85">
        <f t="shared" si="194"/>
        <v>113765.44193</v>
      </c>
      <c r="Y1820" s="85">
        <f t="shared" si="201"/>
        <v>0</v>
      </c>
      <c r="Z1820" s="85">
        <f t="shared" si="196"/>
        <v>3302.3903899999859</v>
      </c>
      <c r="AA1820" s="69">
        <f>SUM(AA1805:AA1819)</f>
        <v>31617.49697</v>
      </c>
      <c r="AB1820" s="69">
        <f>SUM(AB1805:AB1819)</f>
        <v>0</v>
      </c>
    </row>
    <row r="1821" spans="1:28" hidden="1" x14ac:dyDescent="0.3">
      <c r="A1821" s="117"/>
      <c r="E1821" s="86" t="s">
        <v>29</v>
      </c>
      <c r="F1821" s="86" t="s">
        <v>29</v>
      </c>
      <c r="G1821" s="86" t="s">
        <v>29</v>
      </c>
      <c r="H1821" s="86" t="s">
        <v>29</v>
      </c>
      <c r="I1821" s="86" t="s">
        <v>29</v>
      </c>
      <c r="J1821" s="86" t="s">
        <v>29</v>
      </c>
      <c r="K1821" s="86" t="s">
        <v>29</v>
      </c>
      <c r="L1821" s="86" t="s">
        <v>29</v>
      </c>
      <c r="M1821" s="86" t="s">
        <v>29</v>
      </c>
      <c r="N1821" s="86" t="s">
        <v>29</v>
      </c>
      <c r="O1821" s="86" t="s">
        <v>29</v>
      </c>
      <c r="P1821" s="86" t="s">
        <v>29</v>
      </c>
      <c r="Q1821" s="86" t="s">
        <v>29</v>
      </c>
      <c r="R1821" s="86"/>
      <c r="S1821" s="86"/>
      <c r="T1821" s="86"/>
      <c r="U1821" s="86"/>
      <c r="V1821" s="86"/>
      <c r="W1821" s="86"/>
      <c r="X1821" s="85" t="e">
        <f t="shared" si="194"/>
        <v>#VALUE!</v>
      </c>
      <c r="Y1821" s="86"/>
      <c r="Z1821" s="85" t="e">
        <f t="shared" si="196"/>
        <v>#VALUE!</v>
      </c>
      <c r="AA1821" s="115" t="s">
        <v>29</v>
      </c>
      <c r="AB1821" s="115" t="s">
        <v>29</v>
      </c>
    </row>
    <row r="1822" spans="1:28" hidden="1" x14ac:dyDescent="0.3">
      <c r="A1822" s="105"/>
      <c r="E1822" s="84"/>
      <c r="F1822" s="84"/>
      <c r="G1822" s="84"/>
      <c r="H1822" s="84"/>
      <c r="I1822" s="84"/>
      <c r="J1822" s="84"/>
      <c r="K1822" s="84"/>
      <c r="L1822" s="84"/>
      <c r="M1822" s="84"/>
      <c r="N1822" s="84"/>
      <c r="O1822" s="84"/>
      <c r="P1822" s="84"/>
      <c r="Q1822" s="84"/>
      <c r="R1822" s="86"/>
      <c r="S1822" s="86"/>
      <c r="T1822" s="86"/>
      <c r="U1822" s="86"/>
      <c r="V1822" s="86"/>
      <c r="W1822" s="86"/>
      <c r="X1822" s="85">
        <f t="shared" ref="X1822:X1885" si="202">+H1822+P1822</f>
        <v>0</v>
      </c>
      <c r="Y1822" s="86"/>
      <c r="Z1822" s="85">
        <f t="shared" si="196"/>
        <v>0</v>
      </c>
    </row>
    <row r="1823" spans="1:28" hidden="1" x14ac:dyDescent="0.3">
      <c r="A1823" s="117"/>
      <c r="C1823" s="68" t="s">
        <v>769</v>
      </c>
      <c r="D1823" s="145" t="s">
        <v>166</v>
      </c>
      <c r="E1823" s="85">
        <f>STATS1003B!E1827/1000</f>
        <v>3163</v>
      </c>
      <c r="F1823" s="85">
        <f>STATS1003B!F1827/1000</f>
        <v>3163</v>
      </c>
      <c r="G1823" s="85">
        <f>STATS1003B!G1827/1000</f>
        <v>0</v>
      </c>
      <c r="H1823" s="85">
        <f>STATS1003B!H1827/1000</f>
        <v>3163</v>
      </c>
      <c r="I1823" s="85">
        <f>STATS1003B!I1827/1000</f>
        <v>0</v>
      </c>
      <c r="J1823" s="85">
        <f>STATS1003B!J1827/1000</f>
        <v>3163</v>
      </c>
      <c r="K1823" s="85">
        <f>STATS1003B!K1827/1000</f>
        <v>0</v>
      </c>
      <c r="L1823" s="85">
        <f>STATS1003B!L1827/1000</f>
        <v>0</v>
      </c>
      <c r="M1823" s="85">
        <f>STATS1003B!M1827/1000</f>
        <v>3163</v>
      </c>
      <c r="N1823" s="85">
        <f>STATS1003B!N1827/1000</f>
        <v>0</v>
      </c>
      <c r="O1823" s="85">
        <f>STATS1003B!O1827/1000</f>
        <v>0</v>
      </c>
      <c r="P1823" s="85">
        <f>STATS1003B!P1827/1000</f>
        <v>0</v>
      </c>
      <c r="Q1823" s="85">
        <f>STATS1003B!Q1827/1000</f>
        <v>3163</v>
      </c>
      <c r="R1823" s="85">
        <f>STATS1003B!R1827/1000</f>
        <v>0</v>
      </c>
      <c r="S1823" s="85">
        <f>STATS1003B!S1827/1000</f>
        <v>0</v>
      </c>
      <c r="T1823" s="85">
        <f>STATS1003B!T1827/1000</f>
        <v>0</v>
      </c>
      <c r="U1823" s="85">
        <f>STATS1003B!U1827/1000</f>
        <v>0</v>
      </c>
      <c r="V1823" s="85">
        <f>STATS1003B!V1827/1000</f>
        <v>0</v>
      </c>
      <c r="W1823" s="85">
        <f>STATS1003B!W1827/1000</f>
        <v>0</v>
      </c>
      <c r="X1823" s="85">
        <f t="shared" si="202"/>
        <v>3163</v>
      </c>
      <c r="Y1823" s="85">
        <f>STATS1003B!Y1827/1000</f>
        <v>0</v>
      </c>
      <c r="Z1823" s="85">
        <f t="shared" si="196"/>
        <v>0</v>
      </c>
      <c r="AA1823" s="69">
        <f>STATS1003B!AA1827/1000</f>
        <v>3163</v>
      </c>
      <c r="AB1823" s="69">
        <f>STATS1003B!AB1827/1000</f>
        <v>0</v>
      </c>
    </row>
    <row r="1824" spans="1:28" hidden="1" x14ac:dyDescent="0.3">
      <c r="A1824" s="117"/>
      <c r="C1824" s="68" t="s">
        <v>535</v>
      </c>
      <c r="D1824" s="145" t="s">
        <v>68</v>
      </c>
      <c r="E1824" s="85">
        <f>STATS1003B!E1828/1000</f>
        <v>5735</v>
      </c>
      <c r="F1824" s="85">
        <f>STATS1003B!F1828/1000</f>
        <v>5735</v>
      </c>
      <c r="G1824" s="85">
        <f>STATS1003B!G1828/1000</f>
        <v>0</v>
      </c>
      <c r="H1824" s="85">
        <f>STATS1003B!H1828/1000</f>
        <v>5735</v>
      </c>
      <c r="I1824" s="85">
        <f>STATS1003B!I1828/1000</f>
        <v>0</v>
      </c>
      <c r="J1824" s="85">
        <f>STATS1003B!J1828/1000</f>
        <v>5735</v>
      </c>
      <c r="K1824" s="85">
        <f>STATS1003B!K1828/1000</f>
        <v>0</v>
      </c>
      <c r="L1824" s="85">
        <f>STATS1003B!L1828/1000</f>
        <v>0</v>
      </c>
      <c r="M1824" s="85">
        <f>STATS1003B!M1828/1000</f>
        <v>5735</v>
      </c>
      <c r="N1824" s="85">
        <f>STATS1003B!N1828/1000</f>
        <v>0</v>
      </c>
      <c r="O1824" s="85">
        <f>STATS1003B!O1828/1000</f>
        <v>0</v>
      </c>
      <c r="P1824" s="85">
        <f>STATS1003B!P1828/1000</f>
        <v>0</v>
      </c>
      <c r="Q1824" s="85">
        <f>STATS1003B!Q1828/1000</f>
        <v>5735</v>
      </c>
      <c r="R1824" s="85">
        <f>STATS1003B!R1828/1000</f>
        <v>0</v>
      </c>
      <c r="S1824" s="85">
        <f>STATS1003B!S1828/1000</f>
        <v>0</v>
      </c>
      <c r="T1824" s="85">
        <f>STATS1003B!T1828/1000</f>
        <v>0</v>
      </c>
      <c r="U1824" s="85">
        <f>STATS1003B!U1828/1000</f>
        <v>0</v>
      </c>
      <c r="V1824" s="85">
        <f>STATS1003B!V1828/1000</f>
        <v>0</v>
      </c>
      <c r="W1824" s="85">
        <f>STATS1003B!W1828/1000</f>
        <v>0</v>
      </c>
      <c r="X1824" s="85">
        <f t="shared" si="202"/>
        <v>5735</v>
      </c>
      <c r="Y1824" s="85">
        <f>STATS1003B!Y1828/1000</f>
        <v>0</v>
      </c>
      <c r="Z1824" s="85">
        <f t="shared" si="196"/>
        <v>0</v>
      </c>
      <c r="AA1824" s="69">
        <f>STATS1003B!AA1828/1000</f>
        <v>5735</v>
      </c>
      <c r="AB1824" s="69">
        <f>STATS1003B!AB1828/1000</f>
        <v>0</v>
      </c>
    </row>
    <row r="1825" spans="1:28" hidden="1" x14ac:dyDescent="0.3">
      <c r="A1825" s="117"/>
      <c r="C1825" s="68" t="s">
        <v>535</v>
      </c>
      <c r="D1825" s="145" t="s">
        <v>54</v>
      </c>
      <c r="E1825" s="85">
        <f>STATS1003B!E1829/1000</f>
        <v>1049.44175</v>
      </c>
      <c r="F1825" s="85">
        <f>STATS1003B!F1829/1000</f>
        <v>1049.44175</v>
      </c>
      <c r="G1825" s="85">
        <f>STATS1003B!G1829/1000</f>
        <v>0</v>
      </c>
      <c r="H1825" s="85">
        <f>STATS1003B!H1829/1000</f>
        <v>1049.44175</v>
      </c>
      <c r="I1825" s="85">
        <f>STATS1003B!I1829/1000</f>
        <v>0</v>
      </c>
      <c r="J1825" s="85">
        <f>STATS1003B!J1829/1000</f>
        <v>1049.44175</v>
      </c>
      <c r="K1825" s="85">
        <f>STATS1003B!K1829/1000</f>
        <v>0</v>
      </c>
      <c r="L1825" s="85">
        <f>STATS1003B!L1829/1000</f>
        <v>0</v>
      </c>
      <c r="M1825" s="85">
        <f>STATS1003B!M1829/1000</f>
        <v>1049.44175</v>
      </c>
      <c r="N1825" s="85">
        <f>STATS1003B!N1829/1000</f>
        <v>0</v>
      </c>
      <c r="O1825" s="85">
        <f>STATS1003B!O1829/1000</f>
        <v>0</v>
      </c>
      <c r="P1825" s="85">
        <f>STATS1003B!P1829/1000</f>
        <v>0</v>
      </c>
      <c r="Q1825" s="85">
        <f>STATS1003B!Q1829/1000</f>
        <v>1049.44175</v>
      </c>
      <c r="R1825" s="85">
        <f>STATS1003B!R1829/1000</f>
        <v>0</v>
      </c>
      <c r="S1825" s="85">
        <f>STATS1003B!S1829/1000</f>
        <v>0</v>
      </c>
      <c r="T1825" s="85">
        <f>STATS1003B!T1829/1000</f>
        <v>0</v>
      </c>
      <c r="U1825" s="85">
        <f>STATS1003B!U1829/1000</f>
        <v>0</v>
      </c>
      <c r="V1825" s="85">
        <f>STATS1003B!V1829/1000</f>
        <v>0</v>
      </c>
      <c r="W1825" s="85">
        <f>STATS1003B!W1829/1000</f>
        <v>0</v>
      </c>
      <c r="X1825" s="85">
        <f t="shared" si="202"/>
        <v>1049.44175</v>
      </c>
      <c r="Y1825" s="85">
        <f>STATS1003B!Y1829/1000</f>
        <v>0</v>
      </c>
      <c r="Z1825" s="85">
        <f t="shared" si="196"/>
        <v>0</v>
      </c>
      <c r="AA1825" s="69">
        <f>STATS1003B!AA1829/1000</f>
        <v>1049.44175</v>
      </c>
      <c r="AB1825" s="69">
        <f>STATS1003B!AB1829/1000</f>
        <v>0</v>
      </c>
    </row>
    <row r="1826" spans="1:28" hidden="1" x14ac:dyDescent="0.3">
      <c r="A1826" s="117"/>
      <c r="C1826" s="68" t="s">
        <v>545</v>
      </c>
      <c r="D1826" s="145" t="s">
        <v>54</v>
      </c>
      <c r="E1826" s="85">
        <f>STATS1003B!E1830/1000</f>
        <v>1953.989</v>
      </c>
      <c r="F1826" s="85">
        <f>STATS1003B!F1830/1000</f>
        <v>0</v>
      </c>
      <c r="G1826" s="85">
        <f>STATS1003B!G1830/1000</f>
        <v>0</v>
      </c>
      <c r="H1826" s="85">
        <f>STATS1003B!H1830/1000</f>
        <v>0</v>
      </c>
      <c r="I1826" s="85">
        <f>STATS1003B!I1830/1000</f>
        <v>0</v>
      </c>
      <c r="J1826" s="85">
        <f>STATS1003B!J1830/1000</f>
        <v>0</v>
      </c>
      <c r="K1826" s="85">
        <f>STATS1003B!K1830/1000</f>
        <v>1953.989</v>
      </c>
      <c r="L1826" s="85">
        <f>STATS1003B!L1830/1000</f>
        <v>0</v>
      </c>
      <c r="M1826" s="85">
        <f>STATS1003B!M1830/1000</f>
        <v>0</v>
      </c>
      <c r="N1826" s="85">
        <f>STATS1003B!N1830/1000</f>
        <v>1953.989</v>
      </c>
      <c r="O1826" s="85">
        <f>STATS1003B!O1830/1000</f>
        <v>0</v>
      </c>
      <c r="P1826" s="85">
        <f>STATS1003B!P1830/1000</f>
        <v>1953.989</v>
      </c>
      <c r="Q1826" s="85">
        <f>STATS1003B!Q1830/1000</f>
        <v>0</v>
      </c>
      <c r="R1826" s="85">
        <f>STATS1003B!R1830/1000</f>
        <v>0</v>
      </c>
      <c r="S1826" s="85">
        <f>STATS1003B!S1830/1000</f>
        <v>0</v>
      </c>
      <c r="T1826" s="85">
        <f>STATS1003B!T1830/1000</f>
        <v>0</v>
      </c>
      <c r="U1826" s="85">
        <f>STATS1003B!U1830/1000</f>
        <v>1953.989</v>
      </c>
      <c r="V1826" s="85">
        <f>STATS1003B!V1830/1000</f>
        <v>0</v>
      </c>
      <c r="W1826" s="85">
        <f>STATS1003B!W1830/1000</f>
        <v>0</v>
      </c>
      <c r="X1826" s="85">
        <f t="shared" si="202"/>
        <v>1953.989</v>
      </c>
      <c r="Y1826" s="85">
        <f>STATS1003B!Y1830/1000</f>
        <v>0</v>
      </c>
      <c r="Z1826" s="85">
        <f t="shared" si="196"/>
        <v>0</v>
      </c>
      <c r="AA1826" s="69">
        <f>STATS1003B!AA1830/1000</f>
        <v>1953.989</v>
      </c>
      <c r="AB1826" s="69">
        <f>STATS1003B!AB1830/1000</f>
        <v>0</v>
      </c>
    </row>
    <row r="1827" spans="1:28" hidden="1" x14ac:dyDescent="0.3">
      <c r="A1827" s="117"/>
      <c r="C1827" s="68" t="s">
        <v>535</v>
      </c>
      <c r="D1827" s="145" t="s">
        <v>85</v>
      </c>
      <c r="E1827" s="85">
        <f>STATS1003B!E1831/1000</f>
        <v>2000</v>
      </c>
      <c r="F1827" s="85">
        <f>STATS1003B!F1831/1000</f>
        <v>2000</v>
      </c>
      <c r="G1827" s="85">
        <f>STATS1003B!G1831/1000</f>
        <v>0</v>
      </c>
      <c r="H1827" s="85">
        <f>STATS1003B!H1831/1000</f>
        <v>2000</v>
      </c>
      <c r="I1827" s="85">
        <f>STATS1003B!I1831/1000</f>
        <v>0</v>
      </c>
      <c r="J1827" s="85">
        <f>STATS1003B!J1831/1000</f>
        <v>2000</v>
      </c>
      <c r="K1827" s="85">
        <f>STATS1003B!K1831/1000</f>
        <v>0</v>
      </c>
      <c r="L1827" s="85">
        <f>STATS1003B!L1831/1000</f>
        <v>0</v>
      </c>
      <c r="M1827" s="85">
        <f>STATS1003B!M1831/1000</f>
        <v>2000</v>
      </c>
      <c r="N1827" s="85">
        <f>STATS1003B!N1831/1000</f>
        <v>0</v>
      </c>
      <c r="O1827" s="85">
        <f>STATS1003B!O1831/1000</f>
        <v>0</v>
      </c>
      <c r="P1827" s="85">
        <f>STATS1003B!P1831/1000</f>
        <v>0</v>
      </c>
      <c r="Q1827" s="85">
        <f>STATS1003B!Q1831/1000</f>
        <v>2000</v>
      </c>
      <c r="R1827" s="85">
        <f>STATS1003B!R1831/1000</f>
        <v>0</v>
      </c>
      <c r="S1827" s="85">
        <f>STATS1003B!S1831/1000</f>
        <v>0</v>
      </c>
      <c r="T1827" s="85">
        <f>STATS1003B!T1831/1000</f>
        <v>0</v>
      </c>
      <c r="U1827" s="85">
        <f>STATS1003B!U1831/1000</f>
        <v>0</v>
      </c>
      <c r="V1827" s="85">
        <f>STATS1003B!V1831/1000</f>
        <v>0</v>
      </c>
      <c r="W1827" s="85">
        <f>STATS1003B!W1831/1000</f>
        <v>0</v>
      </c>
      <c r="X1827" s="85">
        <f t="shared" si="202"/>
        <v>2000</v>
      </c>
      <c r="Y1827" s="85">
        <f>STATS1003B!Y1831/1000</f>
        <v>0</v>
      </c>
      <c r="Z1827" s="85">
        <f t="shared" si="196"/>
        <v>0</v>
      </c>
      <c r="AA1827" s="69">
        <f>STATS1003B!AA1831/1000</f>
        <v>2000</v>
      </c>
      <c r="AB1827" s="69">
        <f>STATS1003B!AB1831/1000</f>
        <v>0</v>
      </c>
    </row>
    <row r="1828" spans="1:28" hidden="1" x14ac:dyDescent="0.3">
      <c r="A1828" s="117"/>
      <c r="C1828" s="68" t="s">
        <v>770</v>
      </c>
      <c r="D1828" s="145" t="s">
        <v>85</v>
      </c>
      <c r="E1828" s="85">
        <f>STATS1003B!E1832/1000</f>
        <v>1000</v>
      </c>
      <c r="F1828" s="85">
        <f>STATS1003B!F1832/1000</f>
        <v>1000</v>
      </c>
      <c r="G1828" s="85">
        <f>STATS1003B!G1832/1000</f>
        <v>0</v>
      </c>
      <c r="H1828" s="85">
        <f>STATS1003B!H1832/1000</f>
        <v>1000</v>
      </c>
      <c r="I1828" s="85">
        <f>STATS1003B!I1832/1000</f>
        <v>0</v>
      </c>
      <c r="J1828" s="85">
        <f>STATS1003B!J1832/1000</f>
        <v>1000</v>
      </c>
      <c r="K1828" s="85">
        <f>STATS1003B!K1832/1000</f>
        <v>0</v>
      </c>
      <c r="L1828" s="85">
        <f>STATS1003B!L1832/1000</f>
        <v>0</v>
      </c>
      <c r="M1828" s="85">
        <f>STATS1003B!M1832/1000</f>
        <v>1000</v>
      </c>
      <c r="N1828" s="85">
        <f>STATS1003B!N1832/1000</f>
        <v>0</v>
      </c>
      <c r="O1828" s="85">
        <f>STATS1003B!O1832/1000</f>
        <v>0</v>
      </c>
      <c r="P1828" s="85">
        <f>STATS1003B!P1832/1000</f>
        <v>0</v>
      </c>
      <c r="Q1828" s="85">
        <f>STATS1003B!Q1832/1000</f>
        <v>1000</v>
      </c>
      <c r="R1828" s="85">
        <f>STATS1003B!R1832/1000</f>
        <v>0</v>
      </c>
      <c r="S1828" s="85">
        <f>STATS1003B!S1832/1000</f>
        <v>0</v>
      </c>
      <c r="T1828" s="85">
        <f>STATS1003B!T1832/1000</f>
        <v>0</v>
      </c>
      <c r="U1828" s="85">
        <f>STATS1003B!U1832/1000</f>
        <v>0</v>
      </c>
      <c r="V1828" s="85">
        <f>STATS1003B!V1832/1000</f>
        <v>0</v>
      </c>
      <c r="W1828" s="85">
        <f>STATS1003B!W1832/1000</f>
        <v>0</v>
      </c>
      <c r="X1828" s="85">
        <f t="shared" si="202"/>
        <v>1000</v>
      </c>
      <c r="Y1828" s="85">
        <f>STATS1003B!Y1832/1000</f>
        <v>0</v>
      </c>
      <c r="Z1828" s="85">
        <f t="shared" si="196"/>
        <v>0</v>
      </c>
      <c r="AA1828" s="69">
        <f>STATS1003B!AA1832/1000</f>
        <v>1000</v>
      </c>
      <c r="AB1828" s="69">
        <f>STATS1003B!AB1832/1000</f>
        <v>0</v>
      </c>
    </row>
    <row r="1829" spans="1:28" hidden="1" x14ac:dyDescent="0.3">
      <c r="A1829" s="117"/>
      <c r="C1829" s="68" t="s">
        <v>771</v>
      </c>
      <c r="D1829" s="145" t="s">
        <v>85</v>
      </c>
      <c r="E1829" s="85">
        <f>STATS1003B!E1833/1000</f>
        <v>800</v>
      </c>
      <c r="F1829" s="85">
        <f>STATS1003B!F1833/1000</f>
        <v>800</v>
      </c>
      <c r="G1829" s="85">
        <f>STATS1003B!G1833/1000</f>
        <v>0</v>
      </c>
      <c r="H1829" s="85">
        <f>STATS1003B!H1833/1000</f>
        <v>800</v>
      </c>
      <c r="I1829" s="85">
        <f>STATS1003B!I1833/1000</f>
        <v>0</v>
      </c>
      <c r="J1829" s="85">
        <f>STATS1003B!J1833/1000</f>
        <v>800</v>
      </c>
      <c r="K1829" s="85">
        <f>STATS1003B!K1833/1000</f>
        <v>0</v>
      </c>
      <c r="L1829" s="85">
        <f>STATS1003B!L1833/1000</f>
        <v>0</v>
      </c>
      <c r="M1829" s="85">
        <f>STATS1003B!M1833/1000</f>
        <v>800</v>
      </c>
      <c r="N1829" s="85">
        <f>STATS1003B!N1833/1000</f>
        <v>0</v>
      </c>
      <c r="O1829" s="85">
        <f>STATS1003B!O1833/1000</f>
        <v>0</v>
      </c>
      <c r="P1829" s="85">
        <f>STATS1003B!P1833/1000</f>
        <v>0</v>
      </c>
      <c r="Q1829" s="85">
        <f>STATS1003B!Q1833/1000</f>
        <v>800</v>
      </c>
      <c r="R1829" s="85">
        <f>STATS1003B!R1833/1000</f>
        <v>0</v>
      </c>
      <c r="S1829" s="85">
        <f>STATS1003B!S1833/1000</f>
        <v>0</v>
      </c>
      <c r="T1829" s="85">
        <f>STATS1003B!T1833/1000</f>
        <v>0</v>
      </c>
      <c r="U1829" s="85">
        <f>STATS1003B!U1833/1000</f>
        <v>0</v>
      </c>
      <c r="V1829" s="85">
        <f>STATS1003B!V1833/1000</f>
        <v>0</v>
      </c>
      <c r="W1829" s="85">
        <f>STATS1003B!W1833/1000</f>
        <v>0</v>
      </c>
      <c r="X1829" s="85">
        <f t="shared" si="202"/>
        <v>800</v>
      </c>
      <c r="Y1829" s="85">
        <f>STATS1003B!Y1833/1000</f>
        <v>0</v>
      </c>
      <c r="Z1829" s="85">
        <f t="shared" si="196"/>
        <v>0</v>
      </c>
      <c r="AA1829" s="69">
        <f>STATS1003B!AA1833/1000</f>
        <v>800</v>
      </c>
      <c r="AB1829" s="69">
        <f>STATS1003B!AB1833/1000</f>
        <v>0</v>
      </c>
    </row>
    <row r="1830" spans="1:28" hidden="1" x14ac:dyDescent="0.3">
      <c r="A1830" s="117"/>
      <c r="C1830" s="68" t="s">
        <v>535</v>
      </c>
      <c r="D1830" s="145" t="s">
        <v>88</v>
      </c>
      <c r="E1830" s="85">
        <f>STATS1003B!E1834/1000</f>
        <v>2851.8</v>
      </c>
      <c r="F1830" s="85">
        <f>STATS1003B!F1834/1000</f>
        <v>2851.8</v>
      </c>
      <c r="G1830" s="85">
        <f>STATS1003B!G1834/1000</f>
        <v>0</v>
      </c>
      <c r="H1830" s="85">
        <f>STATS1003B!H1834/1000</f>
        <v>2851.8</v>
      </c>
      <c r="I1830" s="85">
        <f>STATS1003B!I1834/1000</f>
        <v>0</v>
      </c>
      <c r="J1830" s="85">
        <f>STATS1003B!J1834/1000</f>
        <v>2851.8</v>
      </c>
      <c r="K1830" s="85">
        <f>STATS1003B!K1834/1000</f>
        <v>0</v>
      </c>
      <c r="L1830" s="85">
        <f>STATS1003B!L1834/1000</f>
        <v>0</v>
      </c>
      <c r="M1830" s="85">
        <f>STATS1003B!M1834/1000</f>
        <v>2851.8</v>
      </c>
      <c r="N1830" s="85">
        <f>STATS1003B!N1834/1000</f>
        <v>0</v>
      </c>
      <c r="O1830" s="85">
        <f>STATS1003B!O1834/1000</f>
        <v>0</v>
      </c>
      <c r="P1830" s="85">
        <f>STATS1003B!P1834/1000</f>
        <v>0</v>
      </c>
      <c r="Q1830" s="85">
        <f>STATS1003B!Q1834/1000</f>
        <v>2851.8</v>
      </c>
      <c r="R1830" s="85">
        <f>STATS1003B!R1834/1000</f>
        <v>0</v>
      </c>
      <c r="S1830" s="85">
        <f>STATS1003B!S1834/1000</f>
        <v>0</v>
      </c>
      <c r="T1830" s="85">
        <f>STATS1003B!T1834/1000</f>
        <v>0</v>
      </c>
      <c r="U1830" s="85">
        <f>STATS1003B!U1834/1000</f>
        <v>0</v>
      </c>
      <c r="V1830" s="85">
        <f>STATS1003B!V1834/1000</f>
        <v>0</v>
      </c>
      <c r="W1830" s="85">
        <f>STATS1003B!W1834/1000</f>
        <v>0</v>
      </c>
      <c r="X1830" s="85">
        <f t="shared" si="202"/>
        <v>2851.8</v>
      </c>
      <c r="Y1830" s="85">
        <f>STATS1003B!Y1834/1000</f>
        <v>0</v>
      </c>
      <c r="Z1830" s="85">
        <f t="shared" si="196"/>
        <v>0</v>
      </c>
      <c r="AA1830" s="69">
        <f>STATS1003B!AA1834/1000</f>
        <v>2851.8</v>
      </c>
      <c r="AB1830" s="69">
        <f>STATS1003B!AB1834/1000</f>
        <v>0</v>
      </c>
    </row>
    <row r="1831" spans="1:28" hidden="1" x14ac:dyDescent="0.3">
      <c r="A1831" s="117"/>
      <c r="C1831" s="68" t="s">
        <v>535</v>
      </c>
      <c r="D1831" s="145" t="s">
        <v>58</v>
      </c>
      <c r="E1831" s="85">
        <f>STATS1003B!E1835/1000</f>
        <v>2183.8850000000002</v>
      </c>
      <c r="F1831" s="85">
        <f>STATS1003B!F1835/1000</f>
        <v>2183.8850000000002</v>
      </c>
      <c r="G1831" s="85">
        <f>STATS1003B!G1835/1000</f>
        <v>0</v>
      </c>
      <c r="H1831" s="85">
        <f>STATS1003B!H1835/1000</f>
        <v>2183.8850000000002</v>
      </c>
      <c r="I1831" s="85">
        <f>STATS1003B!I1835/1000</f>
        <v>0</v>
      </c>
      <c r="J1831" s="85">
        <f>STATS1003B!J1835/1000</f>
        <v>2183.8850000000002</v>
      </c>
      <c r="K1831" s="85">
        <f>STATS1003B!K1835/1000</f>
        <v>0</v>
      </c>
      <c r="L1831" s="85">
        <f>STATS1003B!L1835/1000</f>
        <v>0</v>
      </c>
      <c r="M1831" s="85">
        <f>STATS1003B!M1835/1000</f>
        <v>2183.8850000000002</v>
      </c>
      <c r="N1831" s="85">
        <f>STATS1003B!N1835/1000</f>
        <v>0</v>
      </c>
      <c r="O1831" s="85">
        <f>STATS1003B!O1835/1000</f>
        <v>0</v>
      </c>
      <c r="P1831" s="85">
        <f>STATS1003B!P1835/1000</f>
        <v>0</v>
      </c>
      <c r="Q1831" s="85">
        <f>STATS1003B!Q1835/1000</f>
        <v>2183.8850000000002</v>
      </c>
      <c r="R1831" s="85">
        <f>STATS1003B!R1835/1000</f>
        <v>0</v>
      </c>
      <c r="S1831" s="85">
        <f>STATS1003B!S1835/1000</f>
        <v>0</v>
      </c>
      <c r="T1831" s="85">
        <f>STATS1003B!T1835/1000</f>
        <v>0</v>
      </c>
      <c r="U1831" s="85">
        <f>STATS1003B!U1835/1000</f>
        <v>0</v>
      </c>
      <c r="V1831" s="85">
        <f>STATS1003B!V1835/1000</f>
        <v>0</v>
      </c>
      <c r="W1831" s="85">
        <f>STATS1003B!W1835/1000</f>
        <v>0</v>
      </c>
      <c r="X1831" s="85">
        <f t="shared" si="202"/>
        <v>2183.8850000000002</v>
      </c>
      <c r="Y1831" s="85">
        <f>STATS1003B!Y1835/1000</f>
        <v>0</v>
      </c>
      <c r="Z1831" s="85">
        <f t="shared" ref="Z1831:Z1894" si="203">+E1831-X1831</f>
        <v>0</v>
      </c>
      <c r="AA1831" s="69">
        <f>STATS1003B!AA1835/1000</f>
        <v>2183.8850000000002</v>
      </c>
      <c r="AB1831" s="69">
        <f>STATS1003B!AB1835/1000</f>
        <v>0</v>
      </c>
    </row>
    <row r="1832" spans="1:28" hidden="1" x14ac:dyDescent="0.3">
      <c r="A1832" s="117"/>
      <c r="C1832" s="68" t="s">
        <v>535</v>
      </c>
      <c r="D1832" s="88" t="s">
        <v>60</v>
      </c>
      <c r="E1832" s="85">
        <f>STATS1003B!E1836/1000</f>
        <v>3363.54</v>
      </c>
      <c r="F1832" s="85">
        <f>STATS1003B!F1836/1000</f>
        <v>3363.54</v>
      </c>
      <c r="G1832" s="85">
        <f>STATS1003B!G1836/1000</f>
        <v>0</v>
      </c>
      <c r="H1832" s="85">
        <f>STATS1003B!H1836/1000</f>
        <v>3363.54</v>
      </c>
      <c r="I1832" s="85">
        <f>STATS1003B!I1836/1000</f>
        <v>0</v>
      </c>
      <c r="J1832" s="85">
        <f>STATS1003B!J1836/1000</f>
        <v>3363.54</v>
      </c>
      <c r="K1832" s="85">
        <f>STATS1003B!K1836/1000</f>
        <v>0</v>
      </c>
      <c r="L1832" s="85">
        <f>STATS1003B!L1836/1000</f>
        <v>0</v>
      </c>
      <c r="M1832" s="85">
        <f>STATS1003B!M1836/1000</f>
        <v>3363.54</v>
      </c>
      <c r="N1832" s="85">
        <f>STATS1003B!N1836/1000</f>
        <v>0</v>
      </c>
      <c r="O1832" s="85">
        <f>STATS1003B!O1836/1000</f>
        <v>0</v>
      </c>
      <c r="P1832" s="85">
        <f>STATS1003B!P1836/1000</f>
        <v>0</v>
      </c>
      <c r="Q1832" s="85">
        <f>STATS1003B!Q1836/1000</f>
        <v>3363.54</v>
      </c>
      <c r="R1832" s="85">
        <f>STATS1003B!R1836/1000</f>
        <v>0</v>
      </c>
      <c r="S1832" s="85">
        <f>STATS1003B!S1836/1000</f>
        <v>0</v>
      </c>
      <c r="T1832" s="85">
        <f>STATS1003B!T1836/1000</f>
        <v>0</v>
      </c>
      <c r="U1832" s="85">
        <f>STATS1003B!U1836/1000</f>
        <v>0</v>
      </c>
      <c r="V1832" s="85">
        <f>STATS1003B!V1836/1000</f>
        <v>0</v>
      </c>
      <c r="W1832" s="85">
        <f>STATS1003B!W1836/1000</f>
        <v>0</v>
      </c>
      <c r="X1832" s="85">
        <f t="shared" si="202"/>
        <v>3363.54</v>
      </c>
      <c r="Y1832" s="85">
        <f>STATS1003B!Y1836/1000</f>
        <v>0</v>
      </c>
      <c r="Z1832" s="85">
        <f t="shared" si="203"/>
        <v>0</v>
      </c>
      <c r="AA1832" s="69">
        <f>STATS1003B!AA1836/1000</f>
        <v>3363.54</v>
      </c>
      <c r="AB1832" s="69">
        <f>STATS1003B!AB1836/1000</f>
        <v>0</v>
      </c>
    </row>
    <row r="1833" spans="1:28" hidden="1" x14ac:dyDescent="0.3">
      <c r="A1833" s="117"/>
      <c r="C1833" s="71" t="s">
        <v>661</v>
      </c>
      <c r="D1833" s="88" t="s">
        <v>772</v>
      </c>
      <c r="E1833" s="85">
        <f>STATS1003B!E1837/1000</f>
        <v>579</v>
      </c>
      <c r="F1833" s="85">
        <f>STATS1003B!F1837/1000</f>
        <v>579</v>
      </c>
      <c r="G1833" s="85">
        <f>STATS1003B!G1837/1000</f>
        <v>0</v>
      </c>
      <c r="H1833" s="85">
        <f>STATS1003B!H1837/1000</f>
        <v>579</v>
      </c>
      <c r="I1833" s="85">
        <f>STATS1003B!I1837/1000</f>
        <v>0</v>
      </c>
      <c r="J1833" s="85">
        <f>STATS1003B!J1837/1000</f>
        <v>579</v>
      </c>
      <c r="K1833" s="85">
        <f>STATS1003B!K1837/1000</f>
        <v>0</v>
      </c>
      <c r="L1833" s="85">
        <f>STATS1003B!L1837/1000</f>
        <v>0</v>
      </c>
      <c r="M1833" s="85">
        <f>STATS1003B!M1837/1000</f>
        <v>579</v>
      </c>
      <c r="N1833" s="85">
        <f>STATS1003B!N1837/1000</f>
        <v>0</v>
      </c>
      <c r="O1833" s="85">
        <f>STATS1003B!O1837/1000</f>
        <v>0</v>
      </c>
      <c r="P1833" s="85">
        <f>STATS1003B!P1837/1000</f>
        <v>0</v>
      </c>
      <c r="Q1833" s="85">
        <f>STATS1003B!Q1837/1000</f>
        <v>579</v>
      </c>
      <c r="R1833" s="85">
        <f>STATS1003B!R1837/1000</f>
        <v>0</v>
      </c>
      <c r="S1833" s="85">
        <f>STATS1003B!S1837/1000</f>
        <v>0</v>
      </c>
      <c r="T1833" s="85">
        <f>STATS1003B!T1837/1000</f>
        <v>0</v>
      </c>
      <c r="U1833" s="85">
        <f>STATS1003B!U1837/1000</f>
        <v>0</v>
      </c>
      <c r="V1833" s="85">
        <f>STATS1003B!V1837/1000</f>
        <v>0</v>
      </c>
      <c r="W1833" s="85">
        <f>STATS1003B!W1837/1000</f>
        <v>0</v>
      </c>
      <c r="X1833" s="85">
        <f t="shared" si="202"/>
        <v>579</v>
      </c>
      <c r="Y1833" s="85">
        <f>STATS1003B!Y1837/1000</f>
        <v>0</v>
      </c>
      <c r="Z1833" s="85">
        <f t="shared" si="203"/>
        <v>0</v>
      </c>
      <c r="AA1833" s="69">
        <f>STATS1003B!AA1837/1000</f>
        <v>579</v>
      </c>
      <c r="AB1833" s="69">
        <f>STATS1003B!AB1837/1000</f>
        <v>0</v>
      </c>
    </row>
    <row r="1834" spans="1:28" hidden="1" x14ac:dyDescent="0.3">
      <c r="A1834" s="117"/>
      <c r="C1834" s="68" t="s">
        <v>535</v>
      </c>
      <c r="D1834" s="88" t="s">
        <v>73</v>
      </c>
      <c r="E1834" s="85">
        <f>STATS1003B!E1838/1000</f>
        <v>7754.7677000000003</v>
      </c>
      <c r="F1834" s="85">
        <f>STATS1003B!F1838/1000</f>
        <v>7754.7677000000003</v>
      </c>
      <c r="G1834" s="85">
        <f>STATS1003B!G1838/1000</f>
        <v>0</v>
      </c>
      <c r="H1834" s="85">
        <f>STATS1003B!H1838/1000</f>
        <v>7754.7677000000003</v>
      </c>
      <c r="I1834" s="85">
        <f>STATS1003B!I1838/1000</f>
        <v>0</v>
      </c>
      <c r="J1834" s="85">
        <f>STATS1003B!J1838/1000</f>
        <v>7754.7677000000003</v>
      </c>
      <c r="K1834" s="85">
        <f>STATS1003B!K1838/1000</f>
        <v>0</v>
      </c>
      <c r="L1834" s="85">
        <f>STATS1003B!L1838/1000</f>
        <v>0</v>
      </c>
      <c r="M1834" s="85">
        <f>STATS1003B!M1838/1000</f>
        <v>7754.7677000000003</v>
      </c>
      <c r="N1834" s="85">
        <f>STATS1003B!N1838/1000</f>
        <v>0</v>
      </c>
      <c r="O1834" s="85">
        <f>STATS1003B!O1838/1000</f>
        <v>0</v>
      </c>
      <c r="P1834" s="85">
        <f>STATS1003B!P1838/1000</f>
        <v>0</v>
      </c>
      <c r="Q1834" s="85">
        <f>STATS1003B!Q1838/1000</f>
        <v>7754.7677000000003</v>
      </c>
      <c r="R1834" s="85">
        <f>STATS1003B!R1838/1000</f>
        <v>0</v>
      </c>
      <c r="S1834" s="85">
        <f>STATS1003B!S1838/1000</f>
        <v>0</v>
      </c>
      <c r="T1834" s="85">
        <f>STATS1003B!T1838/1000</f>
        <v>0</v>
      </c>
      <c r="U1834" s="85">
        <f>STATS1003B!U1838/1000</f>
        <v>0</v>
      </c>
      <c r="V1834" s="85">
        <f>STATS1003B!V1838/1000</f>
        <v>0</v>
      </c>
      <c r="W1834" s="85">
        <f>STATS1003B!W1838/1000</f>
        <v>0</v>
      </c>
      <c r="X1834" s="85">
        <f t="shared" si="202"/>
        <v>7754.7677000000003</v>
      </c>
      <c r="Y1834" s="85">
        <f>STATS1003B!Y1838/1000</f>
        <v>0</v>
      </c>
      <c r="Z1834" s="85">
        <f t="shared" si="203"/>
        <v>0</v>
      </c>
      <c r="AA1834" s="69">
        <f>STATS1003B!AA1838/1000</f>
        <v>7754.7677000000003</v>
      </c>
      <c r="AB1834" s="69">
        <f>STATS1003B!AB1838/1000</f>
        <v>0</v>
      </c>
    </row>
    <row r="1835" spans="1:28" hidden="1" x14ac:dyDescent="0.3">
      <c r="A1835" s="117"/>
      <c r="B1835" s="71" t="s">
        <v>762</v>
      </c>
      <c r="C1835" s="68" t="s">
        <v>535</v>
      </c>
      <c r="D1835" s="88" t="s">
        <v>61</v>
      </c>
      <c r="E1835" s="85">
        <f>STATS1003B!E1839/1000</f>
        <v>1355.346</v>
      </c>
      <c r="F1835" s="85">
        <f>STATS1003B!F1839/1000</f>
        <v>1355.346</v>
      </c>
      <c r="G1835" s="85">
        <f>STATS1003B!G1839/1000</f>
        <v>0</v>
      </c>
      <c r="H1835" s="85">
        <f>STATS1003B!H1839/1000</f>
        <v>1355.346</v>
      </c>
      <c r="I1835" s="85">
        <f>STATS1003B!I1839/1000</f>
        <v>0</v>
      </c>
      <c r="J1835" s="85">
        <f>STATS1003B!J1839/1000</f>
        <v>1355.346</v>
      </c>
      <c r="K1835" s="85">
        <f>STATS1003B!K1839/1000</f>
        <v>0</v>
      </c>
      <c r="L1835" s="85">
        <f>STATS1003B!L1839/1000</f>
        <v>0</v>
      </c>
      <c r="M1835" s="85">
        <f>STATS1003B!M1839/1000</f>
        <v>1355.346</v>
      </c>
      <c r="N1835" s="85">
        <f>STATS1003B!N1839/1000</f>
        <v>0</v>
      </c>
      <c r="O1835" s="85">
        <f>STATS1003B!O1839/1000</f>
        <v>0</v>
      </c>
      <c r="P1835" s="85">
        <f>STATS1003B!P1839/1000</f>
        <v>0</v>
      </c>
      <c r="Q1835" s="85">
        <f>STATS1003B!Q1839/1000</f>
        <v>1355.346</v>
      </c>
      <c r="R1835" s="85">
        <f>STATS1003B!R1839/1000</f>
        <v>0</v>
      </c>
      <c r="S1835" s="85">
        <f>STATS1003B!S1839/1000</f>
        <v>0</v>
      </c>
      <c r="T1835" s="85">
        <f>STATS1003B!T1839/1000</f>
        <v>0</v>
      </c>
      <c r="U1835" s="85">
        <f>STATS1003B!U1839/1000</f>
        <v>0</v>
      </c>
      <c r="V1835" s="85">
        <f>STATS1003B!V1839/1000</f>
        <v>0</v>
      </c>
      <c r="W1835" s="85">
        <f>STATS1003B!W1839/1000</f>
        <v>0</v>
      </c>
      <c r="X1835" s="85">
        <f t="shared" si="202"/>
        <v>1355.346</v>
      </c>
      <c r="Y1835" s="85">
        <f>STATS1003B!Y1839/1000</f>
        <v>0</v>
      </c>
      <c r="Z1835" s="85">
        <f t="shared" si="203"/>
        <v>0</v>
      </c>
      <c r="AA1835" s="69">
        <f>STATS1003B!AA1839/1000</f>
        <v>1355.346</v>
      </c>
      <c r="AB1835" s="69">
        <f>STATS1003B!AB1839/1000</f>
        <v>0</v>
      </c>
    </row>
    <row r="1836" spans="1:28" hidden="1" x14ac:dyDescent="0.3">
      <c r="A1836" s="117"/>
      <c r="B1836" s="71"/>
      <c r="C1836" s="93" t="s">
        <v>933</v>
      </c>
      <c r="D1836" s="88"/>
      <c r="E1836" s="85">
        <f>STATS1003B!E1840/1000</f>
        <v>1772</v>
      </c>
      <c r="F1836" s="85">
        <f>STATS1003B!F1840/1000</f>
        <v>1772</v>
      </c>
      <c r="G1836" s="85">
        <f>STATS1003B!G1840/1000</f>
        <v>0</v>
      </c>
      <c r="H1836" s="85">
        <f>STATS1003B!H1840/1000</f>
        <v>1772</v>
      </c>
      <c r="I1836" s="85">
        <f>STATS1003B!I1840/1000</f>
        <v>0</v>
      </c>
      <c r="J1836" s="85">
        <f>STATS1003B!J1840/1000</f>
        <v>0</v>
      </c>
      <c r="K1836" s="85">
        <f>STATS1003B!K1840/1000</f>
        <v>0</v>
      </c>
      <c r="L1836" s="85">
        <f>STATS1003B!L1840/1000</f>
        <v>0</v>
      </c>
      <c r="M1836" s="85">
        <f>STATS1003B!M1840/1000</f>
        <v>1772</v>
      </c>
      <c r="N1836" s="85">
        <f>STATS1003B!N1840/1000</f>
        <v>0</v>
      </c>
      <c r="O1836" s="85">
        <f>STATS1003B!O1840/1000</f>
        <v>0</v>
      </c>
      <c r="P1836" s="85">
        <f>STATS1003B!P1840/1000</f>
        <v>0</v>
      </c>
      <c r="Q1836" s="85">
        <f>STATS1003B!Q1840/1000</f>
        <v>0</v>
      </c>
      <c r="R1836" s="85">
        <f>STATS1003B!R1840/1000</f>
        <v>0</v>
      </c>
      <c r="S1836" s="85">
        <f>STATS1003B!S1840/1000</f>
        <v>0</v>
      </c>
      <c r="T1836" s="85">
        <f>STATS1003B!T1840/1000</f>
        <v>0</v>
      </c>
      <c r="U1836" s="85">
        <f>STATS1003B!U1840/1000</f>
        <v>0</v>
      </c>
      <c r="V1836" s="85">
        <f>STATS1003B!V1840/1000</f>
        <v>0</v>
      </c>
      <c r="W1836" s="85">
        <f>STATS1003B!W1840/1000</f>
        <v>0</v>
      </c>
      <c r="X1836" s="85">
        <f t="shared" si="202"/>
        <v>1772</v>
      </c>
      <c r="Y1836" s="85">
        <f>STATS1003B!Y1840/1000</f>
        <v>0</v>
      </c>
      <c r="Z1836" s="85">
        <f t="shared" si="203"/>
        <v>0</v>
      </c>
      <c r="AA1836" s="69">
        <f>STATS1003B!AA1840/1000</f>
        <v>1772</v>
      </c>
      <c r="AB1836" s="69">
        <f>STATS1003B!AB1840/1000</f>
        <v>0</v>
      </c>
    </row>
    <row r="1837" spans="1:28" hidden="1" x14ac:dyDescent="0.3">
      <c r="A1837" s="117"/>
      <c r="B1837" s="71"/>
      <c r="C1837" s="68" t="s">
        <v>1173</v>
      </c>
      <c r="D1837" s="89" t="s">
        <v>1126</v>
      </c>
      <c r="E1837" s="85">
        <f>STATS1003B!E1841/1000</f>
        <v>1206.12907</v>
      </c>
      <c r="F1837" s="85">
        <f>STATS1003B!F1841/1000</f>
        <v>1206.12907</v>
      </c>
      <c r="G1837" s="85">
        <f>STATS1003B!G1841/1000</f>
        <v>0</v>
      </c>
      <c r="H1837" s="85">
        <f>STATS1003B!H1841/1000</f>
        <v>1206.12907</v>
      </c>
      <c r="I1837" s="85">
        <f>STATS1003B!I1841/1000</f>
        <v>0</v>
      </c>
      <c r="J1837" s="85">
        <f>STATS1003B!J1841/1000</f>
        <v>0</v>
      </c>
      <c r="K1837" s="85">
        <f>STATS1003B!K1841/1000</f>
        <v>0</v>
      </c>
      <c r="L1837" s="85">
        <f>STATS1003B!L1841/1000</f>
        <v>0</v>
      </c>
      <c r="M1837" s="85">
        <f>STATS1003B!M1841/1000</f>
        <v>1206.12907</v>
      </c>
      <c r="N1837" s="85">
        <f>STATS1003B!N1841/1000</f>
        <v>0</v>
      </c>
      <c r="O1837" s="85">
        <f>STATS1003B!O1841/1000</f>
        <v>0</v>
      </c>
      <c r="P1837" s="85">
        <f>STATS1003B!P1841/1000</f>
        <v>0</v>
      </c>
      <c r="Q1837" s="85">
        <f>STATS1003B!Q1841/1000</f>
        <v>0</v>
      </c>
      <c r="R1837" s="85">
        <f>STATS1003B!R1841/1000</f>
        <v>0</v>
      </c>
      <c r="S1837" s="85">
        <f>STATS1003B!S1841/1000</f>
        <v>0</v>
      </c>
      <c r="T1837" s="85">
        <f>STATS1003B!T1841/1000</f>
        <v>0</v>
      </c>
      <c r="U1837" s="85">
        <f>STATS1003B!U1841/1000</f>
        <v>0</v>
      </c>
      <c r="V1837" s="85">
        <f>STATS1003B!V1841/1000</f>
        <v>0</v>
      </c>
      <c r="W1837" s="85">
        <f>STATS1003B!W1841/1000</f>
        <v>0</v>
      </c>
      <c r="X1837" s="85">
        <f t="shared" si="202"/>
        <v>1206.12907</v>
      </c>
      <c r="Y1837" s="85">
        <f>STATS1003B!Y1841/1000</f>
        <v>0</v>
      </c>
      <c r="Z1837" s="85">
        <f t="shared" si="203"/>
        <v>0</v>
      </c>
      <c r="AA1837" s="69">
        <f>STATS1003B!AA1841/1000</f>
        <v>1206.12907</v>
      </c>
      <c r="AB1837" s="69">
        <f>STATS1003B!AB1841/1000</f>
        <v>0</v>
      </c>
    </row>
    <row r="1838" spans="1:28" hidden="1" x14ac:dyDescent="0.3">
      <c r="A1838" s="117"/>
      <c r="B1838" s="71"/>
      <c r="C1838" s="68" t="s">
        <v>1243</v>
      </c>
      <c r="D1838" s="89" t="s">
        <v>1225</v>
      </c>
      <c r="E1838" s="85">
        <f>STATS1003B!E1842/1000</f>
        <v>100</v>
      </c>
      <c r="F1838" s="85">
        <f>STATS1003B!F1842/1000</f>
        <v>100</v>
      </c>
      <c r="G1838" s="85">
        <f>STATS1003B!G1842/1000</f>
        <v>0</v>
      </c>
      <c r="H1838" s="85">
        <f>STATS1003B!H1842/1000</f>
        <v>100</v>
      </c>
      <c r="I1838" s="85">
        <f>STATS1003B!I1842/1000</f>
        <v>0</v>
      </c>
      <c r="J1838" s="85">
        <f>STATS1003B!J1842/1000</f>
        <v>0</v>
      </c>
      <c r="K1838" s="85">
        <f>STATS1003B!K1842/1000</f>
        <v>0</v>
      </c>
      <c r="L1838" s="85">
        <f>STATS1003B!L1842/1000</f>
        <v>0</v>
      </c>
      <c r="M1838" s="85">
        <f>STATS1003B!M1842/1000</f>
        <v>100</v>
      </c>
      <c r="N1838" s="85">
        <f>STATS1003B!N1842/1000</f>
        <v>0</v>
      </c>
      <c r="O1838" s="85">
        <f>STATS1003B!O1842/1000</f>
        <v>0</v>
      </c>
      <c r="P1838" s="85">
        <f>STATS1003B!P1842/1000</f>
        <v>0</v>
      </c>
      <c r="Q1838" s="85">
        <f>STATS1003B!Q1842/1000</f>
        <v>0</v>
      </c>
      <c r="R1838" s="85">
        <f>STATS1003B!R1842/1000</f>
        <v>0</v>
      </c>
      <c r="S1838" s="85">
        <f>STATS1003B!S1842/1000</f>
        <v>0</v>
      </c>
      <c r="T1838" s="85">
        <f>STATS1003B!T1842/1000</f>
        <v>0</v>
      </c>
      <c r="U1838" s="85">
        <f>STATS1003B!U1842/1000</f>
        <v>0</v>
      </c>
      <c r="V1838" s="85">
        <f>STATS1003B!V1842/1000</f>
        <v>0</v>
      </c>
      <c r="W1838" s="85">
        <f>STATS1003B!W1842/1000</f>
        <v>0</v>
      </c>
      <c r="X1838" s="85">
        <f t="shared" si="202"/>
        <v>100</v>
      </c>
      <c r="Y1838" s="85">
        <f>STATS1003B!Y1842/1000</f>
        <v>0</v>
      </c>
      <c r="Z1838" s="85">
        <f t="shared" si="203"/>
        <v>0</v>
      </c>
      <c r="AA1838" s="69">
        <f>STATS1003B!AA1842/1000</f>
        <v>100</v>
      </c>
      <c r="AB1838" s="69">
        <f>STATS1003B!AB1842/1000</f>
        <v>0</v>
      </c>
    </row>
    <row r="1839" spans="1:28" hidden="1" x14ac:dyDescent="0.3">
      <c r="A1839" s="117"/>
      <c r="C1839" s="68" t="s">
        <v>550</v>
      </c>
      <c r="E1839" s="85">
        <f>STATS1003B!E1843/1000</f>
        <v>721.39499999999998</v>
      </c>
      <c r="F1839" s="85">
        <f>STATS1003B!F1843/1000</f>
        <v>721.39499999999998</v>
      </c>
      <c r="G1839" s="85">
        <f>STATS1003B!G1843/1000</f>
        <v>0</v>
      </c>
      <c r="H1839" s="85">
        <f>STATS1003B!H1843/1000</f>
        <v>721.39499999999998</v>
      </c>
      <c r="I1839" s="85">
        <f>STATS1003B!I1843/1000</f>
        <v>0</v>
      </c>
      <c r="J1839" s="85">
        <f>STATS1003B!J1843/1000</f>
        <v>721.39499999999998</v>
      </c>
      <c r="K1839" s="85">
        <f>STATS1003B!K1843/1000</f>
        <v>0</v>
      </c>
      <c r="L1839" s="85">
        <f>STATS1003B!L1843/1000</f>
        <v>0</v>
      </c>
      <c r="M1839" s="85">
        <f>STATS1003B!M1843/1000</f>
        <v>721.39499999999998</v>
      </c>
      <c r="N1839" s="85">
        <f>STATS1003B!N1843/1000</f>
        <v>0</v>
      </c>
      <c r="O1839" s="85">
        <f>STATS1003B!O1843/1000</f>
        <v>0</v>
      </c>
      <c r="P1839" s="85">
        <f>STATS1003B!P1843/1000</f>
        <v>0</v>
      </c>
      <c r="Q1839" s="85">
        <f>STATS1003B!Q1843/1000</f>
        <v>721.39499999999998</v>
      </c>
      <c r="R1839" s="85">
        <f>STATS1003B!R1843/1000</f>
        <v>0</v>
      </c>
      <c r="S1839" s="85">
        <f>STATS1003B!S1843/1000</f>
        <v>0</v>
      </c>
      <c r="T1839" s="85">
        <f>STATS1003B!T1843/1000</f>
        <v>0</v>
      </c>
      <c r="U1839" s="85">
        <f>STATS1003B!U1843/1000</f>
        <v>0</v>
      </c>
      <c r="V1839" s="85">
        <f>STATS1003B!V1843/1000</f>
        <v>0</v>
      </c>
      <c r="W1839" s="85">
        <f>STATS1003B!W1843/1000</f>
        <v>0</v>
      </c>
      <c r="X1839" s="85">
        <f t="shared" si="202"/>
        <v>721.39499999999998</v>
      </c>
      <c r="Y1839" s="85">
        <f>STATS1003B!Y1843/1000</f>
        <v>0</v>
      </c>
      <c r="Z1839" s="85">
        <f t="shared" si="203"/>
        <v>0</v>
      </c>
      <c r="AA1839" s="69">
        <f>STATS1003B!AA1843/1000</f>
        <v>721.39499999999998</v>
      </c>
      <c r="AB1839" s="69">
        <f>STATS1003B!AB1843/1000</f>
        <v>0</v>
      </c>
    </row>
    <row r="1840" spans="1:28" hidden="1" x14ac:dyDescent="0.3">
      <c r="A1840" s="117"/>
      <c r="C1840" s="68" t="s">
        <v>592</v>
      </c>
      <c r="E1840" s="85">
        <f>STATS1003B!E1844/1000</f>
        <v>1807.8457900000001</v>
      </c>
      <c r="F1840" s="85">
        <f>STATS1003B!F1844/1000</f>
        <v>1473.9941199999998</v>
      </c>
      <c r="G1840" s="85">
        <f>STATS1003B!G1844/1000</f>
        <v>0</v>
      </c>
      <c r="H1840" s="85">
        <f>STATS1003B!H1844/1000</f>
        <v>1473.9941199999998</v>
      </c>
      <c r="I1840" s="85">
        <f>STATS1003B!I1844/1000</f>
        <v>0</v>
      </c>
      <c r="J1840" s="85">
        <f>STATS1003B!J1844/1000</f>
        <v>1473.9941199999998</v>
      </c>
      <c r="K1840" s="85">
        <f>STATS1003B!K1844/1000</f>
        <v>333.85166999999996</v>
      </c>
      <c r="L1840" s="85">
        <f>STATS1003B!L1844/1000</f>
        <v>0</v>
      </c>
      <c r="M1840" s="85">
        <f>STATS1003B!M1844/1000</f>
        <v>1473.9941199999998</v>
      </c>
      <c r="N1840" s="85">
        <f>STATS1003B!N1844/1000</f>
        <v>333.85166999999996</v>
      </c>
      <c r="O1840" s="85">
        <f>STATS1003B!O1844/1000</f>
        <v>0</v>
      </c>
      <c r="P1840" s="85">
        <f>STATS1003B!P1844/1000</f>
        <v>333.85166999999996</v>
      </c>
      <c r="Q1840" s="85">
        <f>STATS1003B!Q1844/1000</f>
        <v>1473.9941200000001</v>
      </c>
      <c r="R1840" s="85">
        <f>STATS1003B!R1844/1000</f>
        <v>0</v>
      </c>
      <c r="S1840" s="85">
        <f>STATS1003B!S1844/1000</f>
        <v>0</v>
      </c>
      <c r="T1840" s="85">
        <f>STATS1003B!T1844/1000</f>
        <v>0</v>
      </c>
      <c r="U1840" s="85">
        <f>STATS1003B!U1844/1000</f>
        <v>333.85166999999996</v>
      </c>
      <c r="V1840" s="85">
        <f>STATS1003B!V1844/1000</f>
        <v>0</v>
      </c>
      <c r="W1840" s="85">
        <f>STATS1003B!W1844/1000</f>
        <v>0</v>
      </c>
      <c r="X1840" s="85">
        <f t="shared" si="202"/>
        <v>1807.8457899999999</v>
      </c>
      <c r="Y1840" s="85">
        <f>STATS1003B!Y1844/1000</f>
        <v>0</v>
      </c>
      <c r="Z1840" s="85">
        <f t="shared" si="203"/>
        <v>0</v>
      </c>
      <c r="AA1840" s="69">
        <f>STATS1003B!AA1844/1000</f>
        <v>1807.8457899999999</v>
      </c>
      <c r="AB1840" s="69">
        <f>STATS1003B!AB1844/1000</f>
        <v>0</v>
      </c>
    </row>
    <row r="1841" spans="1:28" hidden="1" x14ac:dyDescent="0.3">
      <c r="A1841" s="117"/>
      <c r="C1841" s="68" t="s">
        <v>606</v>
      </c>
      <c r="E1841" s="85">
        <f>STATS1003B!E1845/1000</f>
        <v>5886.9363899999998</v>
      </c>
      <c r="F1841" s="85">
        <f>STATS1003B!F1845/1000</f>
        <v>5886.9363899999998</v>
      </c>
      <c r="G1841" s="85">
        <f>STATS1003B!G1845/1000</f>
        <v>0</v>
      </c>
      <c r="H1841" s="85">
        <f>STATS1003B!H1845/1000</f>
        <v>5886.9363899999998</v>
      </c>
      <c r="I1841" s="85">
        <f>STATS1003B!I1845/1000</f>
        <v>0</v>
      </c>
      <c r="J1841" s="85">
        <f>STATS1003B!J1845/1000</f>
        <v>5886.9363899999998</v>
      </c>
      <c r="K1841" s="85">
        <f>STATS1003B!K1845/1000</f>
        <v>0</v>
      </c>
      <c r="L1841" s="85">
        <f>STATS1003B!L1845/1000</f>
        <v>0</v>
      </c>
      <c r="M1841" s="85">
        <f>STATS1003B!M1845/1000</f>
        <v>5886.9363899999998</v>
      </c>
      <c r="N1841" s="85">
        <f>STATS1003B!N1845/1000</f>
        <v>0</v>
      </c>
      <c r="O1841" s="85">
        <f>STATS1003B!O1845/1000</f>
        <v>0</v>
      </c>
      <c r="P1841" s="85">
        <f>STATS1003B!P1845/1000</f>
        <v>0</v>
      </c>
      <c r="Q1841" s="85">
        <f>STATS1003B!Q1845/1000</f>
        <v>5886.9363899999998</v>
      </c>
      <c r="R1841" s="85">
        <f>STATS1003B!R1845/1000</f>
        <v>0</v>
      </c>
      <c r="S1841" s="85">
        <f>STATS1003B!S1845/1000</f>
        <v>0</v>
      </c>
      <c r="T1841" s="85">
        <f>STATS1003B!T1845/1000</f>
        <v>0</v>
      </c>
      <c r="U1841" s="85">
        <f>STATS1003B!U1845/1000</f>
        <v>0</v>
      </c>
      <c r="V1841" s="85">
        <f>STATS1003B!V1845/1000</f>
        <v>0</v>
      </c>
      <c r="W1841" s="85">
        <f>STATS1003B!W1845/1000</f>
        <v>0</v>
      </c>
      <c r="X1841" s="85">
        <f t="shared" si="202"/>
        <v>5886.9363899999998</v>
      </c>
      <c r="Y1841" s="85">
        <f>STATS1003B!Y1845/1000</f>
        <v>0</v>
      </c>
      <c r="Z1841" s="85">
        <f t="shared" si="203"/>
        <v>0</v>
      </c>
      <c r="AA1841" s="69">
        <f>STATS1003B!AA1845/1000</f>
        <v>5886.9363899999998</v>
      </c>
      <c r="AB1841" s="69">
        <f>STATS1003B!AB1845/1000</f>
        <v>0</v>
      </c>
    </row>
    <row r="1842" spans="1:28" hidden="1" x14ac:dyDescent="0.3">
      <c r="A1842" s="117"/>
      <c r="E1842" s="86" t="s">
        <v>29</v>
      </c>
      <c r="F1842" s="86" t="s">
        <v>29</v>
      </c>
      <c r="G1842" s="86" t="s">
        <v>29</v>
      </c>
      <c r="H1842" s="86" t="s">
        <v>29</v>
      </c>
      <c r="I1842" s="86" t="s">
        <v>29</v>
      </c>
      <c r="J1842" s="86" t="s">
        <v>29</v>
      </c>
      <c r="K1842" s="86" t="s">
        <v>29</v>
      </c>
      <c r="L1842" s="86" t="s">
        <v>29</v>
      </c>
      <c r="M1842" s="86" t="s">
        <v>29</v>
      </c>
      <c r="N1842" s="86" t="s">
        <v>29</v>
      </c>
      <c r="O1842" s="86" t="s">
        <v>29</v>
      </c>
      <c r="P1842" s="86" t="s">
        <v>29</v>
      </c>
      <c r="Q1842" s="86" t="s">
        <v>29</v>
      </c>
      <c r="R1842" s="86"/>
      <c r="S1842" s="86"/>
      <c r="T1842" s="86"/>
      <c r="U1842" s="86"/>
      <c r="V1842" s="86"/>
      <c r="W1842" s="86"/>
      <c r="X1842" s="85" t="e">
        <f t="shared" si="202"/>
        <v>#VALUE!</v>
      </c>
      <c r="Y1842" s="86"/>
      <c r="Z1842" s="85" t="e">
        <f t="shared" si="203"/>
        <v>#VALUE!</v>
      </c>
      <c r="AA1842" s="115"/>
      <c r="AB1842" s="115" t="s">
        <v>29</v>
      </c>
    </row>
    <row r="1843" spans="1:28" x14ac:dyDescent="0.3">
      <c r="A1843" s="116">
        <v>81</v>
      </c>
      <c r="B1843" s="68" t="s">
        <v>768</v>
      </c>
      <c r="E1843" s="85">
        <f>82367629.85/1000</f>
        <v>82367.629849999998</v>
      </c>
      <c r="F1843" s="85">
        <f t="shared" ref="F1843:Q1843" si="204">SUM(F1823:F1842)</f>
        <v>42996.235030000011</v>
      </c>
      <c r="G1843" s="85">
        <f t="shared" si="204"/>
        <v>0</v>
      </c>
      <c r="H1843" s="85">
        <f>80079789.18/1000</f>
        <v>80079.789180000007</v>
      </c>
      <c r="I1843" s="85">
        <f t="shared" si="204"/>
        <v>0</v>
      </c>
      <c r="J1843" s="85">
        <f t="shared" si="204"/>
        <v>39918.105960000008</v>
      </c>
      <c r="K1843" s="85">
        <f t="shared" si="204"/>
        <v>2287.84067</v>
      </c>
      <c r="L1843" s="85">
        <f t="shared" si="204"/>
        <v>0</v>
      </c>
      <c r="M1843" s="85">
        <f t="shared" si="204"/>
        <v>42996.235030000011</v>
      </c>
      <c r="N1843" s="85">
        <f t="shared" si="204"/>
        <v>2287.84067</v>
      </c>
      <c r="O1843" s="85">
        <f t="shared" si="204"/>
        <v>0</v>
      </c>
      <c r="P1843" s="85">
        <f>2287840/1000</f>
        <v>2287.84</v>
      </c>
      <c r="Q1843" s="85">
        <f t="shared" si="204"/>
        <v>39918.105960000008</v>
      </c>
      <c r="R1843" s="86"/>
      <c r="S1843" s="86"/>
      <c r="T1843" s="85">
        <f t="shared" ref="T1843:Y1843" si="205">SUM(T1823:T1842)</f>
        <v>0</v>
      </c>
      <c r="U1843" s="85">
        <f t="shared" si="205"/>
        <v>2287.84067</v>
      </c>
      <c r="V1843" s="85">
        <f t="shared" si="205"/>
        <v>0</v>
      </c>
      <c r="W1843" s="85">
        <f t="shared" si="205"/>
        <v>0</v>
      </c>
      <c r="X1843" s="85">
        <f t="shared" si="202"/>
        <v>82367.629180000004</v>
      </c>
      <c r="Y1843" s="85">
        <f t="shared" si="205"/>
        <v>0</v>
      </c>
      <c r="Z1843" s="85">
        <f>+E1843-X1843</f>
        <v>6.6999999398831278E-4</v>
      </c>
      <c r="AA1843" s="69">
        <f>SUM(AA1823:AA1842)</f>
        <v>45284.075700000001</v>
      </c>
      <c r="AB1843" s="69">
        <f>SUM(AB1823:AB1842)</f>
        <v>0</v>
      </c>
    </row>
    <row r="1844" spans="1:28" hidden="1" x14ac:dyDescent="0.3">
      <c r="A1844" s="117"/>
      <c r="E1844" s="86" t="s">
        <v>29</v>
      </c>
      <c r="F1844" s="86" t="s">
        <v>29</v>
      </c>
      <c r="G1844" s="86" t="s">
        <v>29</v>
      </c>
      <c r="H1844" s="86" t="s">
        <v>29</v>
      </c>
      <c r="I1844" s="86" t="s">
        <v>29</v>
      </c>
      <c r="J1844" s="86" t="s">
        <v>29</v>
      </c>
      <c r="K1844" s="86" t="s">
        <v>29</v>
      </c>
      <c r="L1844" s="86" t="s">
        <v>29</v>
      </c>
      <c r="M1844" s="86" t="s">
        <v>29</v>
      </c>
      <c r="N1844" s="86" t="s">
        <v>29</v>
      </c>
      <c r="O1844" s="86" t="s">
        <v>29</v>
      </c>
      <c r="P1844" s="86" t="s">
        <v>29</v>
      </c>
      <c r="Q1844" s="86" t="s">
        <v>29</v>
      </c>
      <c r="R1844" s="86"/>
      <c r="S1844" s="86"/>
      <c r="T1844" s="86"/>
      <c r="U1844" s="86"/>
      <c r="V1844" s="86"/>
      <c r="W1844" s="86"/>
      <c r="X1844" s="85" t="e">
        <f t="shared" si="202"/>
        <v>#VALUE!</v>
      </c>
      <c r="Y1844" s="86"/>
      <c r="Z1844" s="85" t="e">
        <f t="shared" si="203"/>
        <v>#VALUE!</v>
      </c>
      <c r="AA1844" s="115" t="s">
        <v>29</v>
      </c>
      <c r="AB1844" s="115" t="s">
        <v>29</v>
      </c>
    </row>
    <row r="1845" spans="1:28" hidden="1" x14ac:dyDescent="0.3">
      <c r="A1845" s="105"/>
      <c r="E1845" s="84"/>
      <c r="F1845" s="84"/>
      <c r="G1845" s="84"/>
      <c r="H1845" s="84"/>
      <c r="I1845" s="84"/>
      <c r="J1845" s="84"/>
      <c r="K1845" s="84"/>
      <c r="L1845" s="84"/>
      <c r="M1845" s="84"/>
      <c r="N1845" s="84"/>
      <c r="O1845" s="84"/>
      <c r="P1845" s="84"/>
      <c r="Q1845" s="84"/>
      <c r="R1845" s="86"/>
      <c r="S1845" s="86"/>
      <c r="T1845" s="86"/>
      <c r="U1845" s="86"/>
      <c r="V1845" s="86"/>
      <c r="W1845" s="86"/>
      <c r="X1845" s="85">
        <f t="shared" si="202"/>
        <v>0</v>
      </c>
      <c r="Y1845" s="86"/>
      <c r="Z1845" s="85">
        <f t="shared" si="203"/>
        <v>0</v>
      </c>
    </row>
    <row r="1846" spans="1:28" hidden="1" x14ac:dyDescent="0.3">
      <c r="A1846" s="117"/>
      <c r="C1846" s="68" t="s">
        <v>774</v>
      </c>
      <c r="D1846" s="145" t="s">
        <v>166</v>
      </c>
      <c r="E1846" s="85">
        <f>STATS1003B!E1850/1000</f>
        <v>401.625</v>
      </c>
      <c r="F1846" s="85">
        <f>STATS1003B!F1850/1000</f>
        <v>401.625</v>
      </c>
      <c r="G1846" s="85">
        <f>STATS1003B!G1850/1000</f>
        <v>0</v>
      </c>
      <c r="H1846" s="85">
        <f>STATS1003B!H1850/1000</f>
        <v>401.625</v>
      </c>
      <c r="I1846" s="85">
        <f>STATS1003B!I1850/1000</f>
        <v>0</v>
      </c>
      <c r="J1846" s="85">
        <f>STATS1003B!J1850/1000</f>
        <v>401.625</v>
      </c>
      <c r="K1846" s="85">
        <f>STATS1003B!K1850/1000</f>
        <v>0</v>
      </c>
      <c r="L1846" s="85">
        <f>STATS1003B!L1850/1000</f>
        <v>0</v>
      </c>
      <c r="M1846" s="85">
        <f>STATS1003B!M1850/1000</f>
        <v>401.625</v>
      </c>
      <c r="N1846" s="85">
        <f>STATS1003B!N1850/1000</f>
        <v>0</v>
      </c>
      <c r="O1846" s="85">
        <f>STATS1003B!O1850/1000</f>
        <v>0</v>
      </c>
      <c r="P1846" s="85">
        <f>STATS1003B!P1850/1000</f>
        <v>0</v>
      </c>
      <c r="Q1846" s="85">
        <f>STATS1003B!Q1850/1000</f>
        <v>401.625</v>
      </c>
      <c r="R1846" s="85">
        <f>STATS1003B!R1850/1000</f>
        <v>0</v>
      </c>
      <c r="S1846" s="85">
        <f>STATS1003B!S1850/1000</f>
        <v>0</v>
      </c>
      <c r="T1846" s="85">
        <f>STATS1003B!T1850/1000</f>
        <v>0</v>
      </c>
      <c r="U1846" s="85">
        <f>STATS1003B!U1850/1000</f>
        <v>0</v>
      </c>
      <c r="V1846" s="85">
        <f>STATS1003B!V1850/1000</f>
        <v>0</v>
      </c>
      <c r="W1846" s="85">
        <f>STATS1003B!W1850/1000</f>
        <v>0</v>
      </c>
      <c r="X1846" s="85">
        <f t="shared" si="202"/>
        <v>401.625</v>
      </c>
      <c r="Y1846" s="85">
        <f>STATS1003B!Y1850/1000</f>
        <v>0</v>
      </c>
      <c r="Z1846" s="85">
        <f t="shared" si="203"/>
        <v>0</v>
      </c>
      <c r="AA1846" s="69">
        <f>STATS1003B!AA1850/1000</f>
        <v>401.625</v>
      </c>
      <c r="AB1846" s="69">
        <f>STATS1003B!AB1850/1000</f>
        <v>0</v>
      </c>
    </row>
    <row r="1847" spans="1:28" hidden="1" x14ac:dyDescent="0.3">
      <c r="A1847" s="117"/>
      <c r="C1847" s="68" t="s">
        <v>775</v>
      </c>
      <c r="D1847" s="145" t="s">
        <v>166</v>
      </c>
      <c r="E1847" s="85">
        <f>STATS1003B!E1851/1000</f>
        <v>388.86399999999998</v>
      </c>
      <c r="F1847" s="85">
        <f>STATS1003B!F1851/1000</f>
        <v>388.86399999999998</v>
      </c>
      <c r="G1847" s="85">
        <f>STATS1003B!G1851/1000</f>
        <v>0</v>
      </c>
      <c r="H1847" s="85">
        <f>STATS1003B!H1851/1000</f>
        <v>388.86399999999998</v>
      </c>
      <c r="I1847" s="85">
        <f>STATS1003B!I1851/1000</f>
        <v>0</v>
      </c>
      <c r="J1847" s="85">
        <f>STATS1003B!J1851/1000</f>
        <v>388.86399999999998</v>
      </c>
      <c r="K1847" s="85">
        <f>STATS1003B!K1851/1000</f>
        <v>0</v>
      </c>
      <c r="L1847" s="85">
        <f>STATS1003B!L1851/1000</f>
        <v>0</v>
      </c>
      <c r="M1847" s="85">
        <f>STATS1003B!M1851/1000</f>
        <v>388.86399999999998</v>
      </c>
      <c r="N1847" s="85">
        <f>STATS1003B!N1851/1000</f>
        <v>0</v>
      </c>
      <c r="O1847" s="85">
        <f>STATS1003B!O1851/1000</f>
        <v>0</v>
      </c>
      <c r="P1847" s="85">
        <f>STATS1003B!P1851/1000</f>
        <v>0</v>
      </c>
      <c r="Q1847" s="85">
        <f>STATS1003B!Q1851/1000</f>
        <v>388.86399999999998</v>
      </c>
      <c r="R1847" s="85">
        <f>STATS1003B!R1851/1000</f>
        <v>0</v>
      </c>
      <c r="S1847" s="85">
        <f>STATS1003B!S1851/1000</f>
        <v>0</v>
      </c>
      <c r="T1847" s="85">
        <f>STATS1003B!T1851/1000</f>
        <v>0</v>
      </c>
      <c r="U1847" s="85">
        <f>STATS1003B!U1851/1000</f>
        <v>0</v>
      </c>
      <c r="V1847" s="85">
        <f>STATS1003B!V1851/1000</f>
        <v>0</v>
      </c>
      <c r="W1847" s="85">
        <f>STATS1003B!W1851/1000</f>
        <v>0</v>
      </c>
      <c r="X1847" s="85">
        <f t="shared" si="202"/>
        <v>388.86399999999998</v>
      </c>
      <c r="Y1847" s="85">
        <f>STATS1003B!Y1851/1000</f>
        <v>0</v>
      </c>
      <c r="Z1847" s="85">
        <f t="shared" si="203"/>
        <v>0</v>
      </c>
      <c r="AA1847" s="69">
        <f>STATS1003B!AA1851/1000</f>
        <v>388.86399999999998</v>
      </c>
      <c r="AB1847" s="69">
        <f>STATS1003B!AB1851/1000</f>
        <v>0</v>
      </c>
    </row>
    <row r="1848" spans="1:28" hidden="1" x14ac:dyDescent="0.3">
      <c r="A1848" s="117"/>
      <c r="C1848" s="68" t="s">
        <v>776</v>
      </c>
      <c r="D1848" s="145" t="s">
        <v>166</v>
      </c>
      <c r="E1848" s="85">
        <f>STATS1003B!E1852/1000</f>
        <v>450.5</v>
      </c>
      <c r="F1848" s="85">
        <f>STATS1003B!F1852/1000</f>
        <v>450.5</v>
      </c>
      <c r="G1848" s="85">
        <f>STATS1003B!G1852/1000</f>
        <v>0</v>
      </c>
      <c r="H1848" s="85">
        <f>STATS1003B!H1852/1000</f>
        <v>450.5</v>
      </c>
      <c r="I1848" s="85">
        <f>STATS1003B!I1852/1000</f>
        <v>0</v>
      </c>
      <c r="J1848" s="85">
        <f>STATS1003B!J1852/1000</f>
        <v>450.5</v>
      </c>
      <c r="K1848" s="85">
        <f>STATS1003B!K1852/1000</f>
        <v>0</v>
      </c>
      <c r="L1848" s="85">
        <f>STATS1003B!L1852/1000</f>
        <v>0</v>
      </c>
      <c r="M1848" s="85">
        <f>STATS1003B!M1852/1000</f>
        <v>450.5</v>
      </c>
      <c r="N1848" s="85">
        <f>STATS1003B!N1852/1000</f>
        <v>0</v>
      </c>
      <c r="O1848" s="85">
        <f>STATS1003B!O1852/1000</f>
        <v>0</v>
      </c>
      <c r="P1848" s="85">
        <f>STATS1003B!P1852/1000</f>
        <v>0</v>
      </c>
      <c r="Q1848" s="85">
        <f>STATS1003B!Q1852/1000</f>
        <v>450.5</v>
      </c>
      <c r="R1848" s="85">
        <f>STATS1003B!R1852/1000</f>
        <v>0</v>
      </c>
      <c r="S1848" s="85">
        <f>STATS1003B!S1852/1000</f>
        <v>0</v>
      </c>
      <c r="T1848" s="85">
        <f>STATS1003B!T1852/1000</f>
        <v>0</v>
      </c>
      <c r="U1848" s="85">
        <f>STATS1003B!U1852/1000</f>
        <v>0</v>
      </c>
      <c r="V1848" s="85">
        <f>STATS1003B!V1852/1000</f>
        <v>0</v>
      </c>
      <c r="W1848" s="85">
        <f>STATS1003B!W1852/1000</f>
        <v>0</v>
      </c>
      <c r="X1848" s="85">
        <f t="shared" si="202"/>
        <v>450.5</v>
      </c>
      <c r="Y1848" s="85">
        <f>STATS1003B!Y1852/1000</f>
        <v>0</v>
      </c>
      <c r="Z1848" s="85">
        <f t="shared" si="203"/>
        <v>0</v>
      </c>
      <c r="AA1848" s="69">
        <f>STATS1003B!AA1852/1000</f>
        <v>450.5</v>
      </c>
      <c r="AB1848" s="69">
        <f>STATS1003B!AB1852/1000</f>
        <v>0</v>
      </c>
    </row>
    <row r="1849" spans="1:28" hidden="1" x14ac:dyDescent="0.3">
      <c r="A1849" s="117"/>
      <c r="C1849" s="68" t="s">
        <v>777</v>
      </c>
      <c r="D1849" s="145" t="s">
        <v>78</v>
      </c>
      <c r="E1849" s="85">
        <f>STATS1003B!E1853/1000</f>
        <v>1973.0609999999999</v>
      </c>
      <c r="F1849" s="85">
        <f>STATS1003B!F1853/1000</f>
        <v>1973.0609999999999</v>
      </c>
      <c r="G1849" s="85">
        <f>STATS1003B!G1853/1000</f>
        <v>0</v>
      </c>
      <c r="H1849" s="85">
        <f>STATS1003B!H1853/1000</f>
        <v>1973.0609999999999</v>
      </c>
      <c r="I1849" s="85">
        <f>STATS1003B!I1853/1000</f>
        <v>0</v>
      </c>
      <c r="J1849" s="85">
        <f>STATS1003B!J1853/1000</f>
        <v>1973.0609999999999</v>
      </c>
      <c r="K1849" s="85">
        <f>STATS1003B!K1853/1000</f>
        <v>0</v>
      </c>
      <c r="L1849" s="85">
        <f>STATS1003B!L1853/1000</f>
        <v>0</v>
      </c>
      <c r="M1849" s="85">
        <f>STATS1003B!M1853/1000</f>
        <v>1973.0609999999999</v>
      </c>
      <c r="N1849" s="85">
        <f>STATS1003B!N1853/1000</f>
        <v>0</v>
      </c>
      <c r="O1849" s="85">
        <f>STATS1003B!O1853/1000</f>
        <v>0</v>
      </c>
      <c r="P1849" s="85">
        <f>STATS1003B!P1853/1000</f>
        <v>0</v>
      </c>
      <c r="Q1849" s="85">
        <f>STATS1003B!Q1853/1000</f>
        <v>1973.0609999999999</v>
      </c>
      <c r="R1849" s="85">
        <f>STATS1003B!R1853/1000</f>
        <v>0</v>
      </c>
      <c r="S1849" s="85">
        <f>STATS1003B!S1853/1000</f>
        <v>0</v>
      </c>
      <c r="T1849" s="85">
        <f>STATS1003B!T1853/1000</f>
        <v>0</v>
      </c>
      <c r="U1849" s="85">
        <f>STATS1003B!U1853/1000</f>
        <v>0</v>
      </c>
      <c r="V1849" s="85">
        <f>STATS1003B!V1853/1000</f>
        <v>0</v>
      </c>
      <c r="W1849" s="85">
        <f>STATS1003B!W1853/1000</f>
        <v>0</v>
      </c>
      <c r="X1849" s="85">
        <f t="shared" si="202"/>
        <v>1973.0609999999999</v>
      </c>
      <c r="Y1849" s="85">
        <f>STATS1003B!Y1853/1000</f>
        <v>0</v>
      </c>
      <c r="Z1849" s="85">
        <f t="shared" si="203"/>
        <v>0</v>
      </c>
      <c r="AA1849" s="69">
        <f>STATS1003B!AA1853/1000</f>
        <v>1973.0609999999999</v>
      </c>
      <c r="AB1849" s="69">
        <f>STATS1003B!AB1853/1000</f>
        <v>0</v>
      </c>
    </row>
    <row r="1850" spans="1:28" hidden="1" x14ac:dyDescent="0.3">
      <c r="A1850" s="117"/>
      <c r="C1850" s="68" t="s">
        <v>535</v>
      </c>
      <c r="D1850" s="145" t="s">
        <v>68</v>
      </c>
      <c r="E1850" s="85">
        <f>STATS1003B!E1854/1000</f>
        <v>3540.5880000000002</v>
      </c>
      <c r="F1850" s="85">
        <f>STATS1003B!F1854/1000</f>
        <v>1337.27</v>
      </c>
      <c r="G1850" s="85">
        <f>STATS1003B!G1854/1000</f>
        <v>0</v>
      </c>
      <c r="H1850" s="85">
        <f>STATS1003B!H1854/1000</f>
        <v>1337.27</v>
      </c>
      <c r="I1850" s="85">
        <f>STATS1003B!I1854/1000</f>
        <v>0</v>
      </c>
      <c r="J1850" s="85">
        <f>STATS1003B!J1854/1000</f>
        <v>1337.27</v>
      </c>
      <c r="K1850" s="85">
        <f>STATS1003B!K1854/1000</f>
        <v>2203.3180000000002</v>
      </c>
      <c r="L1850" s="85">
        <f>STATS1003B!L1854/1000</f>
        <v>0</v>
      </c>
      <c r="M1850" s="85">
        <f>STATS1003B!M1854/1000</f>
        <v>1337.27</v>
      </c>
      <c r="N1850" s="85">
        <f>STATS1003B!N1854/1000</f>
        <v>2203.3180000000002</v>
      </c>
      <c r="O1850" s="85">
        <f>STATS1003B!O1854/1000</f>
        <v>0</v>
      </c>
      <c r="P1850" s="85">
        <f>STATS1003B!P1854/1000</f>
        <v>2203.3180000000002</v>
      </c>
      <c r="Q1850" s="85">
        <f>STATS1003B!Q1854/1000</f>
        <v>1337.27</v>
      </c>
      <c r="R1850" s="85">
        <f>STATS1003B!R1854/1000</f>
        <v>0</v>
      </c>
      <c r="S1850" s="85">
        <f>STATS1003B!S1854/1000</f>
        <v>0</v>
      </c>
      <c r="T1850" s="85">
        <f>STATS1003B!T1854/1000</f>
        <v>0</v>
      </c>
      <c r="U1850" s="85">
        <f>STATS1003B!U1854/1000</f>
        <v>2203.3180000000002</v>
      </c>
      <c r="V1850" s="85">
        <f>STATS1003B!V1854/1000</f>
        <v>0</v>
      </c>
      <c r="W1850" s="85">
        <f>STATS1003B!W1854/1000</f>
        <v>0</v>
      </c>
      <c r="X1850" s="85">
        <f t="shared" si="202"/>
        <v>3540.5880000000002</v>
      </c>
      <c r="Y1850" s="85">
        <f>STATS1003B!Y1854/1000</f>
        <v>0</v>
      </c>
      <c r="Z1850" s="85">
        <f t="shared" si="203"/>
        <v>0</v>
      </c>
      <c r="AA1850" s="69">
        <f>STATS1003B!AA1854/1000</f>
        <v>3540.5880000000002</v>
      </c>
      <c r="AB1850" s="69">
        <f>STATS1003B!AB1854/1000</f>
        <v>0</v>
      </c>
    </row>
    <row r="1851" spans="1:28" hidden="1" x14ac:dyDescent="0.3">
      <c r="A1851" s="117"/>
      <c r="C1851" s="68" t="s">
        <v>539</v>
      </c>
      <c r="D1851" s="145" t="s">
        <v>68</v>
      </c>
      <c r="E1851" s="85">
        <f>STATS1003B!E1855/1000</f>
        <v>2672.5347000000002</v>
      </c>
      <c r="F1851" s="85">
        <f>STATS1003B!F1855/1000</f>
        <v>0</v>
      </c>
      <c r="G1851" s="85">
        <f>STATS1003B!G1855/1000</f>
        <v>0</v>
      </c>
      <c r="H1851" s="85">
        <f>STATS1003B!H1855/1000</f>
        <v>0</v>
      </c>
      <c r="I1851" s="85">
        <f>STATS1003B!I1855/1000</f>
        <v>0</v>
      </c>
      <c r="J1851" s="85">
        <f>STATS1003B!J1855/1000</f>
        <v>0</v>
      </c>
      <c r="K1851" s="85">
        <f>STATS1003B!K1855/1000</f>
        <v>2672.5347000000002</v>
      </c>
      <c r="L1851" s="85">
        <f>STATS1003B!L1855/1000</f>
        <v>0</v>
      </c>
      <c r="M1851" s="85">
        <f>STATS1003B!M1855/1000</f>
        <v>0</v>
      </c>
      <c r="N1851" s="85">
        <f>STATS1003B!N1855/1000</f>
        <v>2672.5347000000002</v>
      </c>
      <c r="O1851" s="85">
        <f>STATS1003B!O1855/1000</f>
        <v>0</v>
      </c>
      <c r="P1851" s="85">
        <f>STATS1003B!P1855/1000</f>
        <v>2672.5347000000002</v>
      </c>
      <c r="Q1851" s="85">
        <f>STATS1003B!Q1855/1000</f>
        <v>0</v>
      </c>
      <c r="R1851" s="85">
        <f>STATS1003B!R1855/1000</f>
        <v>0</v>
      </c>
      <c r="S1851" s="85">
        <f>STATS1003B!S1855/1000</f>
        <v>0</v>
      </c>
      <c r="T1851" s="85">
        <f>STATS1003B!T1855/1000</f>
        <v>0</v>
      </c>
      <c r="U1851" s="85">
        <f>STATS1003B!U1855/1000</f>
        <v>2672.5347000000002</v>
      </c>
      <c r="V1851" s="85">
        <f>STATS1003B!V1855/1000</f>
        <v>0</v>
      </c>
      <c r="W1851" s="85">
        <f>STATS1003B!W1855/1000</f>
        <v>0</v>
      </c>
      <c r="X1851" s="85">
        <f t="shared" si="202"/>
        <v>2672.5347000000002</v>
      </c>
      <c r="Y1851" s="85">
        <f>STATS1003B!Y1855/1000</f>
        <v>0</v>
      </c>
      <c r="Z1851" s="85">
        <f t="shared" si="203"/>
        <v>0</v>
      </c>
      <c r="AA1851" s="69">
        <f>STATS1003B!AA1855/1000</f>
        <v>2672.5347000000002</v>
      </c>
      <c r="AB1851" s="69">
        <f>STATS1003B!AB1855/1000</f>
        <v>0</v>
      </c>
    </row>
    <row r="1852" spans="1:28" hidden="1" x14ac:dyDescent="0.3">
      <c r="A1852" s="117"/>
      <c r="C1852" s="68" t="s">
        <v>545</v>
      </c>
      <c r="D1852" s="145" t="s">
        <v>54</v>
      </c>
      <c r="E1852" s="85">
        <f>STATS1003B!E1856/1000</f>
        <v>1767.77</v>
      </c>
      <c r="F1852" s="85">
        <f>STATS1003B!F1856/1000</f>
        <v>0</v>
      </c>
      <c r="G1852" s="85">
        <f>STATS1003B!G1856/1000</f>
        <v>0</v>
      </c>
      <c r="H1852" s="85">
        <f>STATS1003B!H1856/1000</f>
        <v>0</v>
      </c>
      <c r="I1852" s="85">
        <f>STATS1003B!I1856/1000</f>
        <v>0</v>
      </c>
      <c r="J1852" s="85">
        <f>STATS1003B!J1856/1000</f>
        <v>0</v>
      </c>
      <c r="K1852" s="85">
        <f>STATS1003B!K1856/1000</f>
        <v>1767.77</v>
      </c>
      <c r="L1852" s="85">
        <f>STATS1003B!L1856/1000</f>
        <v>0</v>
      </c>
      <c r="M1852" s="85">
        <f>STATS1003B!M1856/1000</f>
        <v>0</v>
      </c>
      <c r="N1852" s="85">
        <f>STATS1003B!N1856/1000</f>
        <v>1767.77</v>
      </c>
      <c r="O1852" s="85">
        <f>STATS1003B!O1856/1000</f>
        <v>0</v>
      </c>
      <c r="P1852" s="85">
        <f>STATS1003B!P1856/1000</f>
        <v>1767.77</v>
      </c>
      <c r="Q1852" s="85">
        <f>STATS1003B!Q1856/1000</f>
        <v>0</v>
      </c>
      <c r="R1852" s="85">
        <f>STATS1003B!R1856/1000</f>
        <v>0</v>
      </c>
      <c r="S1852" s="85">
        <f>STATS1003B!S1856/1000</f>
        <v>0</v>
      </c>
      <c r="T1852" s="85">
        <f>STATS1003B!T1856/1000</f>
        <v>0</v>
      </c>
      <c r="U1852" s="85">
        <f>STATS1003B!U1856/1000</f>
        <v>1767.77</v>
      </c>
      <c r="V1852" s="85">
        <f>STATS1003B!V1856/1000</f>
        <v>0</v>
      </c>
      <c r="W1852" s="85">
        <f>STATS1003B!W1856/1000</f>
        <v>0</v>
      </c>
      <c r="X1852" s="85">
        <f t="shared" si="202"/>
        <v>1767.77</v>
      </c>
      <c r="Y1852" s="85">
        <f>STATS1003B!Y1856/1000</f>
        <v>0</v>
      </c>
      <c r="Z1852" s="85">
        <f t="shared" si="203"/>
        <v>0</v>
      </c>
      <c r="AA1852" s="69">
        <f>STATS1003B!AA1856/1000</f>
        <v>1767.77</v>
      </c>
      <c r="AB1852" s="69">
        <f>STATS1003B!AB1856/1000</f>
        <v>0</v>
      </c>
    </row>
    <row r="1853" spans="1:28" hidden="1" x14ac:dyDescent="0.3">
      <c r="A1853" s="117"/>
      <c r="C1853" s="68" t="s">
        <v>778</v>
      </c>
      <c r="D1853" s="145" t="s">
        <v>54</v>
      </c>
      <c r="E1853" s="85">
        <f>STATS1003B!E1857/1000</f>
        <v>1900</v>
      </c>
      <c r="F1853" s="85">
        <f>STATS1003B!F1857/1000</f>
        <v>1900</v>
      </c>
      <c r="G1853" s="85">
        <f>STATS1003B!G1857/1000</f>
        <v>0</v>
      </c>
      <c r="H1853" s="85">
        <f>STATS1003B!H1857/1000</f>
        <v>1900</v>
      </c>
      <c r="I1853" s="85">
        <f>STATS1003B!I1857/1000</f>
        <v>0</v>
      </c>
      <c r="J1853" s="85">
        <f>STATS1003B!J1857/1000</f>
        <v>1900</v>
      </c>
      <c r="K1853" s="85">
        <f>STATS1003B!K1857/1000</f>
        <v>0</v>
      </c>
      <c r="L1853" s="85">
        <f>STATS1003B!L1857/1000</f>
        <v>0</v>
      </c>
      <c r="M1853" s="85">
        <f>STATS1003B!M1857/1000</f>
        <v>1900</v>
      </c>
      <c r="N1853" s="85">
        <f>STATS1003B!N1857/1000</f>
        <v>0</v>
      </c>
      <c r="O1853" s="85">
        <f>STATS1003B!O1857/1000</f>
        <v>0</v>
      </c>
      <c r="P1853" s="85">
        <f>STATS1003B!P1857/1000</f>
        <v>0</v>
      </c>
      <c r="Q1853" s="85">
        <f>STATS1003B!Q1857/1000</f>
        <v>1900</v>
      </c>
      <c r="R1853" s="85">
        <f>STATS1003B!R1857/1000</f>
        <v>0</v>
      </c>
      <c r="S1853" s="85">
        <f>STATS1003B!S1857/1000</f>
        <v>0</v>
      </c>
      <c r="T1853" s="85">
        <f>STATS1003B!T1857/1000</f>
        <v>0</v>
      </c>
      <c r="U1853" s="85">
        <f>STATS1003B!U1857/1000</f>
        <v>0</v>
      </c>
      <c r="V1853" s="85">
        <f>STATS1003B!V1857/1000</f>
        <v>0</v>
      </c>
      <c r="W1853" s="85">
        <f>STATS1003B!W1857/1000</f>
        <v>0</v>
      </c>
      <c r="X1853" s="85">
        <f t="shared" si="202"/>
        <v>1900</v>
      </c>
      <c r="Y1853" s="85">
        <f>STATS1003B!Y1857/1000</f>
        <v>0</v>
      </c>
      <c r="Z1853" s="85">
        <f t="shared" si="203"/>
        <v>0</v>
      </c>
      <c r="AA1853" s="69">
        <f>STATS1003B!AA1857/1000</f>
        <v>1900</v>
      </c>
      <c r="AB1853" s="69">
        <f>STATS1003B!AB1857/1000</f>
        <v>0</v>
      </c>
    </row>
    <row r="1854" spans="1:28" hidden="1" x14ac:dyDescent="0.3">
      <c r="A1854" s="117"/>
      <c r="C1854" s="68" t="s">
        <v>535</v>
      </c>
      <c r="D1854" s="145" t="s">
        <v>85</v>
      </c>
      <c r="E1854" s="85">
        <f>STATS1003B!E1858/1000</f>
        <v>1859.41</v>
      </c>
      <c r="F1854" s="85">
        <f>STATS1003B!F1858/1000</f>
        <v>1859.41</v>
      </c>
      <c r="G1854" s="85">
        <f>STATS1003B!G1858/1000</f>
        <v>0</v>
      </c>
      <c r="H1854" s="85">
        <f>STATS1003B!H1858/1000</f>
        <v>1859.41</v>
      </c>
      <c r="I1854" s="85">
        <f>STATS1003B!I1858/1000</f>
        <v>0</v>
      </c>
      <c r="J1854" s="85">
        <f>STATS1003B!J1858/1000</f>
        <v>1859.41</v>
      </c>
      <c r="K1854" s="85">
        <f>STATS1003B!K1858/1000</f>
        <v>0</v>
      </c>
      <c r="L1854" s="85">
        <f>STATS1003B!L1858/1000</f>
        <v>0</v>
      </c>
      <c r="M1854" s="85">
        <f>STATS1003B!M1858/1000</f>
        <v>1859.41</v>
      </c>
      <c r="N1854" s="85">
        <f>STATS1003B!N1858/1000</f>
        <v>0</v>
      </c>
      <c r="O1854" s="85">
        <f>STATS1003B!O1858/1000</f>
        <v>0</v>
      </c>
      <c r="P1854" s="85">
        <f>STATS1003B!P1858/1000</f>
        <v>0</v>
      </c>
      <c r="Q1854" s="85">
        <f>STATS1003B!Q1858/1000</f>
        <v>1859.41</v>
      </c>
      <c r="R1854" s="85">
        <f>STATS1003B!R1858/1000</f>
        <v>0</v>
      </c>
      <c r="S1854" s="85">
        <f>STATS1003B!S1858/1000</f>
        <v>0</v>
      </c>
      <c r="T1854" s="85">
        <f>STATS1003B!T1858/1000</f>
        <v>0</v>
      </c>
      <c r="U1854" s="85">
        <f>STATS1003B!U1858/1000</f>
        <v>0</v>
      </c>
      <c r="V1854" s="85">
        <f>STATS1003B!V1858/1000</f>
        <v>0</v>
      </c>
      <c r="W1854" s="85">
        <f>STATS1003B!W1858/1000</f>
        <v>0</v>
      </c>
      <c r="X1854" s="85">
        <f t="shared" si="202"/>
        <v>1859.41</v>
      </c>
      <c r="Y1854" s="85">
        <f>STATS1003B!Y1858/1000</f>
        <v>0</v>
      </c>
      <c r="Z1854" s="85">
        <f t="shared" si="203"/>
        <v>0</v>
      </c>
      <c r="AA1854" s="69">
        <f>STATS1003B!AA1858/1000</f>
        <v>1859.41</v>
      </c>
      <c r="AB1854" s="69">
        <f>STATS1003B!AB1858/1000</f>
        <v>0</v>
      </c>
    </row>
    <row r="1855" spans="1:28" hidden="1" x14ac:dyDescent="0.3">
      <c r="A1855" s="117"/>
      <c r="C1855" s="68" t="s">
        <v>535</v>
      </c>
      <c r="D1855" s="145" t="s">
        <v>88</v>
      </c>
      <c r="E1855" s="85">
        <f>STATS1003B!E1859/1000</f>
        <v>1624.0928200000001</v>
      </c>
      <c r="F1855" s="85">
        <f>STATS1003B!F1859/1000</f>
        <v>1624.0928200000001</v>
      </c>
      <c r="G1855" s="85">
        <f>STATS1003B!G1859/1000</f>
        <v>0</v>
      </c>
      <c r="H1855" s="85">
        <f>STATS1003B!H1859/1000</f>
        <v>1624.0928200000001</v>
      </c>
      <c r="I1855" s="85">
        <f>STATS1003B!I1859/1000</f>
        <v>0</v>
      </c>
      <c r="J1855" s="85">
        <f>STATS1003B!J1859/1000</f>
        <v>1624.0928200000001</v>
      </c>
      <c r="K1855" s="85">
        <f>STATS1003B!K1859/1000</f>
        <v>0</v>
      </c>
      <c r="L1855" s="85">
        <f>STATS1003B!L1859/1000</f>
        <v>0</v>
      </c>
      <c r="M1855" s="85">
        <f>STATS1003B!M1859/1000</f>
        <v>1624.0928200000001</v>
      </c>
      <c r="N1855" s="85">
        <f>STATS1003B!N1859/1000</f>
        <v>0</v>
      </c>
      <c r="O1855" s="85">
        <f>STATS1003B!O1859/1000</f>
        <v>0</v>
      </c>
      <c r="P1855" s="85">
        <f>STATS1003B!P1859/1000</f>
        <v>0</v>
      </c>
      <c r="Q1855" s="85">
        <f>STATS1003B!Q1859/1000</f>
        <v>1624.0928200000001</v>
      </c>
      <c r="R1855" s="85">
        <f>STATS1003B!R1859/1000</f>
        <v>0</v>
      </c>
      <c r="S1855" s="85">
        <f>STATS1003B!S1859/1000</f>
        <v>0</v>
      </c>
      <c r="T1855" s="85">
        <f>STATS1003B!T1859/1000</f>
        <v>0</v>
      </c>
      <c r="U1855" s="85">
        <f>STATS1003B!U1859/1000</f>
        <v>0</v>
      </c>
      <c r="V1855" s="85">
        <f>STATS1003B!V1859/1000</f>
        <v>0</v>
      </c>
      <c r="W1855" s="85">
        <f>STATS1003B!W1859/1000</f>
        <v>0</v>
      </c>
      <c r="X1855" s="85">
        <f t="shared" si="202"/>
        <v>1624.0928200000001</v>
      </c>
      <c r="Y1855" s="85">
        <f>STATS1003B!Y1859/1000</f>
        <v>0</v>
      </c>
      <c r="Z1855" s="85">
        <f t="shared" si="203"/>
        <v>0</v>
      </c>
      <c r="AA1855" s="69">
        <f>STATS1003B!AA1859/1000</f>
        <v>1624.0928200000001</v>
      </c>
      <c r="AB1855" s="69">
        <f>STATS1003B!AB1859/1000</f>
        <v>0</v>
      </c>
    </row>
    <row r="1856" spans="1:28" hidden="1" x14ac:dyDescent="0.3">
      <c r="A1856" s="117"/>
      <c r="C1856" s="68" t="s">
        <v>535</v>
      </c>
      <c r="D1856" s="145" t="s">
        <v>58</v>
      </c>
      <c r="E1856" s="85">
        <f>STATS1003B!E1860/1000</f>
        <v>1886.4</v>
      </c>
      <c r="F1856" s="85">
        <f>STATS1003B!F1860/1000</f>
        <v>1886.4</v>
      </c>
      <c r="G1856" s="85">
        <f>STATS1003B!G1860/1000</f>
        <v>0</v>
      </c>
      <c r="H1856" s="85">
        <f>STATS1003B!H1860/1000</f>
        <v>1886.4</v>
      </c>
      <c r="I1856" s="85">
        <f>STATS1003B!I1860/1000</f>
        <v>0</v>
      </c>
      <c r="J1856" s="85">
        <f>STATS1003B!J1860/1000</f>
        <v>1886.4</v>
      </c>
      <c r="K1856" s="85">
        <f>STATS1003B!K1860/1000</f>
        <v>0</v>
      </c>
      <c r="L1856" s="85">
        <f>STATS1003B!L1860/1000</f>
        <v>0</v>
      </c>
      <c r="M1856" s="85">
        <f>STATS1003B!M1860/1000</f>
        <v>1886.4</v>
      </c>
      <c r="N1856" s="85">
        <f>STATS1003B!N1860/1000</f>
        <v>0</v>
      </c>
      <c r="O1856" s="85">
        <f>STATS1003B!O1860/1000</f>
        <v>0</v>
      </c>
      <c r="P1856" s="85">
        <f>STATS1003B!P1860/1000</f>
        <v>0</v>
      </c>
      <c r="Q1856" s="85">
        <f>STATS1003B!Q1860/1000</f>
        <v>1886.4</v>
      </c>
      <c r="R1856" s="85">
        <f>STATS1003B!R1860/1000</f>
        <v>0</v>
      </c>
      <c r="S1856" s="85">
        <f>STATS1003B!S1860/1000</f>
        <v>0</v>
      </c>
      <c r="T1856" s="85">
        <f>STATS1003B!T1860/1000</f>
        <v>0</v>
      </c>
      <c r="U1856" s="85">
        <f>STATS1003B!U1860/1000</f>
        <v>0</v>
      </c>
      <c r="V1856" s="85">
        <f>STATS1003B!V1860/1000</f>
        <v>0</v>
      </c>
      <c r="W1856" s="85">
        <f>STATS1003B!W1860/1000</f>
        <v>0</v>
      </c>
      <c r="X1856" s="85">
        <f t="shared" si="202"/>
        <v>1886.4</v>
      </c>
      <c r="Y1856" s="85">
        <f>STATS1003B!Y1860/1000</f>
        <v>0</v>
      </c>
      <c r="Z1856" s="85">
        <f t="shared" si="203"/>
        <v>0</v>
      </c>
      <c r="AA1856" s="69">
        <f>STATS1003B!AA1860/1000</f>
        <v>1886.4</v>
      </c>
      <c r="AB1856" s="69">
        <f>STATS1003B!AB1860/1000</f>
        <v>0</v>
      </c>
    </row>
    <row r="1857" spans="1:28" hidden="1" x14ac:dyDescent="0.3">
      <c r="A1857" s="117"/>
      <c r="C1857" s="68" t="s">
        <v>535</v>
      </c>
      <c r="D1857" s="145" t="s">
        <v>60</v>
      </c>
      <c r="E1857" s="85">
        <f>STATS1003B!E1861/1000</f>
        <v>6485.0910000000003</v>
      </c>
      <c r="F1857" s="85">
        <f>STATS1003B!F1861/1000</f>
        <v>6485.0910000000003</v>
      </c>
      <c r="G1857" s="85">
        <f>STATS1003B!G1861/1000</f>
        <v>0</v>
      </c>
      <c r="H1857" s="85">
        <f>STATS1003B!H1861/1000</f>
        <v>6485.0910000000003</v>
      </c>
      <c r="I1857" s="85">
        <f>STATS1003B!I1861/1000</f>
        <v>0</v>
      </c>
      <c r="J1857" s="85">
        <f>STATS1003B!J1861/1000</f>
        <v>6485.0910000000003</v>
      </c>
      <c r="K1857" s="85">
        <f>STATS1003B!K1861/1000</f>
        <v>0</v>
      </c>
      <c r="L1857" s="85">
        <f>STATS1003B!L1861/1000</f>
        <v>0</v>
      </c>
      <c r="M1857" s="85">
        <f>STATS1003B!M1861/1000</f>
        <v>6485.0910000000003</v>
      </c>
      <c r="N1857" s="85">
        <f>STATS1003B!N1861/1000</f>
        <v>0</v>
      </c>
      <c r="O1857" s="85">
        <f>STATS1003B!O1861/1000</f>
        <v>0</v>
      </c>
      <c r="P1857" s="85">
        <f>STATS1003B!P1861/1000</f>
        <v>0</v>
      </c>
      <c r="Q1857" s="85">
        <f>STATS1003B!Q1861/1000</f>
        <v>6485.0910000000003</v>
      </c>
      <c r="R1857" s="85">
        <f>STATS1003B!R1861/1000</f>
        <v>0</v>
      </c>
      <c r="S1857" s="85">
        <f>STATS1003B!S1861/1000</f>
        <v>0</v>
      </c>
      <c r="T1857" s="85">
        <f>STATS1003B!T1861/1000</f>
        <v>0</v>
      </c>
      <c r="U1857" s="85">
        <f>STATS1003B!U1861/1000</f>
        <v>0</v>
      </c>
      <c r="V1857" s="85">
        <f>STATS1003B!V1861/1000</f>
        <v>0</v>
      </c>
      <c r="W1857" s="85">
        <f>STATS1003B!W1861/1000</f>
        <v>0</v>
      </c>
      <c r="X1857" s="85">
        <f t="shared" si="202"/>
        <v>6485.0910000000003</v>
      </c>
      <c r="Y1857" s="85">
        <f>STATS1003B!Y1861/1000</f>
        <v>0</v>
      </c>
      <c r="Z1857" s="85">
        <f t="shared" si="203"/>
        <v>0</v>
      </c>
      <c r="AA1857" s="69">
        <f>STATS1003B!AA1861/1000</f>
        <v>6485.0910000000003</v>
      </c>
      <c r="AB1857" s="69">
        <f>STATS1003B!AB1861/1000</f>
        <v>0</v>
      </c>
    </row>
    <row r="1858" spans="1:28" hidden="1" x14ac:dyDescent="0.3">
      <c r="A1858" s="117"/>
      <c r="C1858" s="71" t="s">
        <v>535</v>
      </c>
      <c r="D1858" s="88" t="s">
        <v>73</v>
      </c>
      <c r="E1858" s="85">
        <f>STATS1003B!E1862/1000</f>
        <v>9207.3799999999992</v>
      </c>
      <c r="F1858" s="85">
        <f>STATS1003B!F1862/1000</f>
        <v>9207.3799999999992</v>
      </c>
      <c r="G1858" s="85">
        <f>STATS1003B!G1862/1000</f>
        <v>0</v>
      </c>
      <c r="H1858" s="85">
        <f>STATS1003B!H1862/1000</f>
        <v>9207.3799999999992</v>
      </c>
      <c r="I1858" s="85">
        <f>STATS1003B!I1862/1000</f>
        <v>0</v>
      </c>
      <c r="J1858" s="85">
        <f>STATS1003B!J1862/1000</f>
        <v>9207.3799999999992</v>
      </c>
      <c r="K1858" s="85">
        <f>STATS1003B!K1862/1000</f>
        <v>0</v>
      </c>
      <c r="L1858" s="85">
        <f>STATS1003B!L1862/1000</f>
        <v>0</v>
      </c>
      <c r="M1858" s="85">
        <f>STATS1003B!M1862/1000</f>
        <v>9207.3799999999992</v>
      </c>
      <c r="N1858" s="85">
        <f>STATS1003B!N1862/1000</f>
        <v>0</v>
      </c>
      <c r="O1858" s="85">
        <f>STATS1003B!O1862/1000</f>
        <v>0</v>
      </c>
      <c r="P1858" s="85">
        <f>STATS1003B!P1862/1000</f>
        <v>0</v>
      </c>
      <c r="Q1858" s="85">
        <f>STATS1003B!Q1862/1000</f>
        <v>9207.3799999999992</v>
      </c>
      <c r="R1858" s="85">
        <f>STATS1003B!R1862/1000</f>
        <v>0</v>
      </c>
      <c r="S1858" s="85">
        <f>STATS1003B!S1862/1000</f>
        <v>0</v>
      </c>
      <c r="T1858" s="85">
        <f>STATS1003B!T1862/1000</f>
        <v>0</v>
      </c>
      <c r="U1858" s="85">
        <f>STATS1003B!U1862/1000</f>
        <v>0</v>
      </c>
      <c r="V1858" s="85">
        <f>STATS1003B!V1862/1000</f>
        <v>0</v>
      </c>
      <c r="W1858" s="85">
        <f>STATS1003B!W1862/1000</f>
        <v>0</v>
      </c>
      <c r="X1858" s="85">
        <f t="shared" si="202"/>
        <v>9207.3799999999992</v>
      </c>
      <c r="Y1858" s="85">
        <f>STATS1003B!Y1862/1000</f>
        <v>0</v>
      </c>
      <c r="Z1858" s="85">
        <f t="shared" si="203"/>
        <v>0</v>
      </c>
      <c r="AA1858" s="69">
        <f>STATS1003B!AA1862/1000</f>
        <v>9207.3799999999992</v>
      </c>
      <c r="AB1858" s="69">
        <f>STATS1003B!AB1862/1000</f>
        <v>0</v>
      </c>
    </row>
    <row r="1859" spans="1:28" hidden="1" x14ac:dyDescent="0.3">
      <c r="A1859" s="117"/>
      <c r="C1859" s="71" t="s">
        <v>535</v>
      </c>
      <c r="D1859" s="88" t="s">
        <v>61</v>
      </c>
      <c r="E1859" s="85">
        <f>STATS1003B!E1863/1000</f>
        <v>9191</v>
      </c>
      <c r="F1859" s="85">
        <f>STATS1003B!F1863/1000</f>
        <v>9191</v>
      </c>
      <c r="G1859" s="85">
        <f>STATS1003B!G1863/1000</f>
        <v>0</v>
      </c>
      <c r="H1859" s="85">
        <f>STATS1003B!H1863/1000</f>
        <v>9191</v>
      </c>
      <c r="I1859" s="85">
        <f>STATS1003B!I1863/1000</f>
        <v>0</v>
      </c>
      <c r="J1859" s="85">
        <f>STATS1003B!J1863/1000</f>
        <v>9191</v>
      </c>
      <c r="K1859" s="85">
        <f>STATS1003B!K1863/1000</f>
        <v>0</v>
      </c>
      <c r="L1859" s="85">
        <f>STATS1003B!L1863/1000</f>
        <v>0</v>
      </c>
      <c r="M1859" s="85">
        <f>STATS1003B!M1863/1000</f>
        <v>9191</v>
      </c>
      <c r="N1859" s="85">
        <f>STATS1003B!N1863/1000</f>
        <v>0</v>
      </c>
      <c r="O1859" s="85">
        <f>STATS1003B!O1863/1000</f>
        <v>0</v>
      </c>
      <c r="P1859" s="85">
        <f>STATS1003B!P1863/1000</f>
        <v>0</v>
      </c>
      <c r="Q1859" s="85">
        <f>STATS1003B!Q1863/1000</f>
        <v>9191</v>
      </c>
      <c r="R1859" s="85">
        <f>STATS1003B!R1863/1000</f>
        <v>0</v>
      </c>
      <c r="S1859" s="85">
        <f>STATS1003B!S1863/1000</f>
        <v>0</v>
      </c>
      <c r="T1859" s="85">
        <f>STATS1003B!T1863/1000</f>
        <v>0</v>
      </c>
      <c r="U1859" s="85">
        <f>STATS1003B!U1863/1000</f>
        <v>0</v>
      </c>
      <c r="V1859" s="85">
        <f>STATS1003B!V1863/1000</f>
        <v>0</v>
      </c>
      <c r="W1859" s="85">
        <f>STATS1003B!W1863/1000</f>
        <v>0</v>
      </c>
      <c r="X1859" s="85">
        <f t="shared" si="202"/>
        <v>9191</v>
      </c>
      <c r="Y1859" s="85">
        <f>STATS1003B!Y1863/1000</f>
        <v>0</v>
      </c>
      <c r="Z1859" s="85">
        <f t="shared" si="203"/>
        <v>0</v>
      </c>
      <c r="AA1859" s="69">
        <f>STATS1003B!AA1863/1000</f>
        <v>9191</v>
      </c>
      <c r="AB1859" s="69">
        <f>STATS1003B!AB1863/1000</f>
        <v>0</v>
      </c>
    </row>
    <row r="1860" spans="1:28" hidden="1" x14ac:dyDescent="0.3">
      <c r="A1860" s="117"/>
      <c r="C1860" s="71" t="s">
        <v>933</v>
      </c>
      <c r="D1860" s="89" t="s">
        <v>1072</v>
      </c>
      <c r="E1860" s="85">
        <f>STATS1003B!E1864/1000</f>
        <v>6912.1541799999995</v>
      </c>
      <c r="F1860" s="85">
        <f>STATS1003B!F1864/1000</f>
        <v>6912.1541799999995</v>
      </c>
      <c r="G1860" s="85">
        <f>STATS1003B!G1864/1000</f>
        <v>0</v>
      </c>
      <c r="H1860" s="85">
        <f>STATS1003B!H1864/1000</f>
        <v>6912.1541799999995</v>
      </c>
      <c r="I1860" s="85">
        <f>STATS1003B!I1864/1000</f>
        <v>0</v>
      </c>
      <c r="J1860" s="85">
        <f>STATS1003B!J1864/1000</f>
        <v>0</v>
      </c>
      <c r="K1860" s="85">
        <f>STATS1003B!K1864/1000</f>
        <v>0</v>
      </c>
      <c r="L1860" s="85">
        <f>STATS1003B!L1864/1000</f>
        <v>0</v>
      </c>
      <c r="M1860" s="85">
        <f>STATS1003B!M1864/1000</f>
        <v>6912.1541799999995</v>
      </c>
      <c r="N1860" s="85">
        <f>STATS1003B!N1864/1000</f>
        <v>0</v>
      </c>
      <c r="O1860" s="85">
        <f>STATS1003B!O1864/1000</f>
        <v>0</v>
      </c>
      <c r="P1860" s="85">
        <f>STATS1003B!P1864/1000</f>
        <v>0</v>
      </c>
      <c r="Q1860" s="85">
        <f>STATS1003B!Q1864/1000</f>
        <v>0</v>
      </c>
      <c r="R1860" s="85">
        <f>STATS1003B!R1864/1000</f>
        <v>0</v>
      </c>
      <c r="S1860" s="85">
        <f>STATS1003B!S1864/1000</f>
        <v>0</v>
      </c>
      <c r="T1860" s="85">
        <f>STATS1003B!T1864/1000</f>
        <v>0</v>
      </c>
      <c r="U1860" s="85">
        <f>STATS1003B!U1864/1000</f>
        <v>0</v>
      </c>
      <c r="V1860" s="85">
        <f>STATS1003B!V1864/1000</f>
        <v>0</v>
      </c>
      <c r="W1860" s="85">
        <f>STATS1003B!W1864/1000</f>
        <v>0</v>
      </c>
      <c r="X1860" s="85">
        <f t="shared" si="202"/>
        <v>6912.1541799999995</v>
      </c>
      <c r="Y1860" s="85">
        <f>STATS1003B!Y1864/1000</f>
        <v>0</v>
      </c>
      <c r="Z1860" s="85">
        <f t="shared" si="203"/>
        <v>0</v>
      </c>
      <c r="AA1860" s="69">
        <f>STATS1003B!AA1864/1000</f>
        <v>6912.1541799999995</v>
      </c>
      <c r="AB1860" s="69">
        <f>STATS1003B!AB1864/1000</f>
        <v>0</v>
      </c>
    </row>
    <row r="1861" spans="1:28" hidden="1" x14ac:dyDescent="0.3">
      <c r="A1861" s="117"/>
      <c r="C1861" s="71" t="s">
        <v>1173</v>
      </c>
      <c r="D1861" s="89" t="s">
        <v>1126</v>
      </c>
      <c r="E1861" s="85">
        <f>STATS1003B!E1865/1000</f>
        <v>12568.668079999999</v>
      </c>
      <c r="F1861" s="85">
        <f>STATS1003B!F1865/1000</f>
        <v>12568.668079999999</v>
      </c>
      <c r="G1861" s="85">
        <f>STATS1003B!G1865/1000</f>
        <v>0</v>
      </c>
      <c r="H1861" s="85">
        <f>STATS1003B!H1865/1000</f>
        <v>12568.668079999999</v>
      </c>
      <c r="I1861" s="85">
        <f>STATS1003B!I1865/1000</f>
        <v>0</v>
      </c>
      <c r="J1861" s="85">
        <f>STATS1003B!J1865/1000</f>
        <v>0</v>
      </c>
      <c r="K1861" s="85">
        <f>STATS1003B!K1865/1000</f>
        <v>0</v>
      </c>
      <c r="L1861" s="85">
        <f>STATS1003B!L1865/1000</f>
        <v>0</v>
      </c>
      <c r="M1861" s="85">
        <f>STATS1003B!M1865/1000</f>
        <v>12568.668079999999</v>
      </c>
      <c r="N1861" s="85">
        <f>STATS1003B!N1865/1000</f>
        <v>0</v>
      </c>
      <c r="O1861" s="85">
        <f>STATS1003B!O1865/1000</f>
        <v>0</v>
      </c>
      <c r="P1861" s="85">
        <f>STATS1003B!P1865/1000</f>
        <v>0</v>
      </c>
      <c r="Q1861" s="85">
        <f>STATS1003B!Q1865/1000</f>
        <v>0</v>
      </c>
      <c r="R1861" s="85">
        <f>STATS1003B!R1865/1000</f>
        <v>0</v>
      </c>
      <c r="S1861" s="85">
        <f>STATS1003B!S1865/1000</f>
        <v>0</v>
      </c>
      <c r="T1861" s="85">
        <f>STATS1003B!T1865/1000</f>
        <v>0</v>
      </c>
      <c r="U1861" s="85">
        <f>STATS1003B!U1865/1000</f>
        <v>0</v>
      </c>
      <c r="V1861" s="85">
        <f>STATS1003B!V1865/1000</f>
        <v>0</v>
      </c>
      <c r="W1861" s="85">
        <f>STATS1003B!W1865/1000</f>
        <v>0</v>
      </c>
      <c r="X1861" s="85">
        <f t="shared" si="202"/>
        <v>12568.668079999999</v>
      </c>
      <c r="Y1861" s="85">
        <f>STATS1003B!Y1865/1000</f>
        <v>0</v>
      </c>
      <c r="Z1861" s="85">
        <f t="shared" si="203"/>
        <v>0</v>
      </c>
      <c r="AA1861" s="69">
        <f>STATS1003B!AA1865/1000</f>
        <v>12568.668079999999</v>
      </c>
      <c r="AB1861" s="69">
        <f>STATS1003B!AB1865/1000</f>
        <v>0</v>
      </c>
    </row>
    <row r="1862" spans="1:28" hidden="1" x14ac:dyDescent="0.3">
      <c r="A1862" s="117"/>
      <c r="C1862" s="71" t="s">
        <v>1245</v>
      </c>
      <c r="D1862" s="89" t="s">
        <v>1225</v>
      </c>
      <c r="E1862" s="85">
        <f>STATS1003B!E1866/1000</f>
        <v>20788.013859999999</v>
      </c>
      <c r="F1862" s="85">
        <f>STATS1003B!F1866/1000</f>
        <v>8630.5394800000013</v>
      </c>
      <c r="G1862" s="85">
        <f>STATS1003B!G1866/1000</f>
        <v>12157.474380000001</v>
      </c>
      <c r="H1862" s="85">
        <f>STATS1003B!H1866/1000</f>
        <v>20788.013859999999</v>
      </c>
      <c r="I1862" s="85">
        <f>STATS1003B!I1866/1000</f>
        <v>0</v>
      </c>
      <c r="J1862" s="85">
        <f>STATS1003B!J1866/1000</f>
        <v>0</v>
      </c>
      <c r="K1862" s="85">
        <f>STATS1003B!K1866/1000</f>
        <v>0</v>
      </c>
      <c r="L1862" s="85">
        <f>STATS1003B!L1866/1000</f>
        <v>0</v>
      </c>
      <c r="M1862" s="85">
        <f>STATS1003B!M1866/1000</f>
        <v>20788.013859999999</v>
      </c>
      <c r="N1862" s="85">
        <f>STATS1003B!N1866/1000</f>
        <v>0</v>
      </c>
      <c r="O1862" s="85">
        <f>STATS1003B!O1866/1000</f>
        <v>0</v>
      </c>
      <c r="P1862" s="85">
        <f>STATS1003B!P1866/1000</f>
        <v>0</v>
      </c>
      <c r="Q1862" s="85">
        <f>STATS1003B!Q1866/1000</f>
        <v>0</v>
      </c>
      <c r="R1862" s="85">
        <f>STATS1003B!R1866/1000</f>
        <v>0</v>
      </c>
      <c r="S1862" s="85">
        <f>STATS1003B!S1866/1000</f>
        <v>0</v>
      </c>
      <c r="T1862" s="85">
        <f>STATS1003B!T1866/1000</f>
        <v>0</v>
      </c>
      <c r="U1862" s="85">
        <f>STATS1003B!U1866/1000</f>
        <v>0</v>
      </c>
      <c r="V1862" s="85">
        <f>STATS1003B!V1866/1000</f>
        <v>0</v>
      </c>
      <c r="W1862" s="85">
        <f>STATS1003B!W1866/1000</f>
        <v>0</v>
      </c>
      <c r="X1862" s="85">
        <f t="shared" si="202"/>
        <v>20788.013859999999</v>
      </c>
      <c r="Y1862" s="85">
        <f>STATS1003B!Y1866/1000</f>
        <v>0</v>
      </c>
      <c r="Z1862" s="85">
        <f t="shared" si="203"/>
        <v>0</v>
      </c>
      <c r="AA1862" s="69">
        <f>STATS1003B!AA1866/1000</f>
        <v>20788.013859999999</v>
      </c>
      <c r="AB1862" s="69">
        <f>STATS1003B!AB1866/1000</f>
        <v>0</v>
      </c>
    </row>
    <row r="1863" spans="1:28" hidden="1" x14ac:dyDescent="0.3">
      <c r="A1863" s="117"/>
      <c r="C1863" s="68" t="s">
        <v>606</v>
      </c>
      <c r="E1863" s="85">
        <f>STATS1003B!E1867/1000</f>
        <v>3799.8701000000001</v>
      </c>
      <c r="F1863" s="85">
        <f>STATS1003B!F1867/1000</f>
        <v>2500</v>
      </c>
      <c r="G1863" s="85">
        <f>STATS1003B!G1867/1000</f>
        <v>0</v>
      </c>
      <c r="H1863" s="85">
        <f>STATS1003B!H1867/1000</f>
        <v>2500</v>
      </c>
      <c r="I1863" s="85">
        <f>STATS1003B!I1867/1000</f>
        <v>1299.8701000000001</v>
      </c>
      <c r="J1863" s="85">
        <f>STATS1003B!J1867/1000</f>
        <v>3799.8701000000001</v>
      </c>
      <c r="K1863" s="85">
        <f>STATS1003B!K1867/1000</f>
        <v>0</v>
      </c>
      <c r="L1863" s="85">
        <f>STATS1003B!L1867/1000</f>
        <v>1299.8701000000001</v>
      </c>
      <c r="M1863" s="85">
        <f>STATS1003B!M1867/1000</f>
        <v>3799.8701000000001</v>
      </c>
      <c r="N1863" s="85">
        <f>STATS1003B!N1867/1000</f>
        <v>0</v>
      </c>
      <c r="O1863" s="85">
        <f>STATS1003B!O1867/1000</f>
        <v>0</v>
      </c>
      <c r="P1863" s="85">
        <f>STATS1003B!P1867/1000</f>
        <v>0</v>
      </c>
      <c r="Q1863" s="85">
        <f>STATS1003B!Q1867/1000</f>
        <v>3799.8701000000001</v>
      </c>
      <c r="R1863" s="85">
        <f>STATS1003B!R1867/1000</f>
        <v>0</v>
      </c>
      <c r="S1863" s="85">
        <f>STATS1003B!S1867/1000</f>
        <v>0</v>
      </c>
      <c r="T1863" s="85">
        <f>STATS1003B!T1867/1000</f>
        <v>0</v>
      </c>
      <c r="U1863" s="85">
        <f>STATS1003B!U1867/1000</f>
        <v>0</v>
      </c>
      <c r="V1863" s="85">
        <f>STATS1003B!V1867/1000</f>
        <v>0</v>
      </c>
      <c r="W1863" s="85">
        <f>STATS1003B!W1867/1000</f>
        <v>0</v>
      </c>
      <c r="X1863" s="85">
        <f t="shared" si="202"/>
        <v>2500</v>
      </c>
      <c r="Y1863" s="85">
        <f>STATS1003B!Y1867/1000</f>
        <v>0</v>
      </c>
      <c r="Z1863" s="85">
        <f t="shared" si="203"/>
        <v>1299.8701000000001</v>
      </c>
      <c r="AA1863" s="69">
        <f>STATS1003B!AA1867/1000</f>
        <v>3799.8701000000001</v>
      </c>
      <c r="AB1863" s="69">
        <f>STATS1003B!AB1867/1000</f>
        <v>0</v>
      </c>
    </row>
    <row r="1864" spans="1:28" hidden="1" x14ac:dyDescent="0.3">
      <c r="A1864" s="117"/>
      <c r="E1864" s="86" t="s">
        <v>29</v>
      </c>
      <c r="F1864" s="86" t="s">
        <v>29</v>
      </c>
      <c r="G1864" s="86" t="s">
        <v>29</v>
      </c>
      <c r="H1864" s="86" t="s">
        <v>29</v>
      </c>
      <c r="I1864" s="86" t="s">
        <v>29</v>
      </c>
      <c r="J1864" s="86" t="s">
        <v>29</v>
      </c>
      <c r="K1864" s="86" t="s">
        <v>29</v>
      </c>
      <c r="L1864" s="86" t="s">
        <v>29</v>
      </c>
      <c r="M1864" s="86" t="s">
        <v>29</v>
      </c>
      <c r="N1864" s="86" t="s">
        <v>29</v>
      </c>
      <c r="O1864" s="86" t="s">
        <v>29</v>
      </c>
      <c r="P1864" s="86" t="s">
        <v>29</v>
      </c>
      <c r="Q1864" s="86" t="s">
        <v>29</v>
      </c>
      <c r="R1864" s="86"/>
      <c r="S1864" s="86"/>
      <c r="T1864" s="86"/>
      <c r="U1864" s="86"/>
      <c r="V1864" s="86"/>
      <c r="W1864" s="86"/>
      <c r="X1864" s="85" t="e">
        <f t="shared" si="202"/>
        <v>#VALUE!</v>
      </c>
      <c r="Y1864" s="86"/>
      <c r="Z1864" s="85" t="e">
        <f t="shared" si="203"/>
        <v>#VALUE!</v>
      </c>
      <c r="AA1864" s="115" t="s">
        <v>29</v>
      </c>
      <c r="AB1864" s="115" t="s">
        <v>29</v>
      </c>
    </row>
    <row r="1865" spans="1:28" x14ac:dyDescent="0.3">
      <c r="A1865" s="116">
        <v>82</v>
      </c>
      <c r="B1865" s="68" t="s">
        <v>773</v>
      </c>
      <c r="E1865" s="85">
        <f>114400798.75/1000</f>
        <v>114400.79875</v>
      </c>
      <c r="F1865" s="85">
        <f t="shared" ref="F1865:Q1865" si="206">SUM(F1846:F1864)</f>
        <v>67316.055560000008</v>
      </c>
      <c r="G1865" s="85">
        <f t="shared" si="206"/>
        <v>12157.474380000001</v>
      </c>
      <c r="H1865" s="85">
        <f>106457305.95/1000</f>
        <v>106457.30595000001</v>
      </c>
      <c r="I1865" s="85">
        <f t="shared" si="206"/>
        <v>1299.8701000000001</v>
      </c>
      <c r="J1865" s="85">
        <f t="shared" si="206"/>
        <v>40504.563920000001</v>
      </c>
      <c r="K1865" s="85">
        <f t="shared" si="206"/>
        <v>6643.6226999999999</v>
      </c>
      <c r="L1865" s="85">
        <f t="shared" si="206"/>
        <v>1299.8701000000001</v>
      </c>
      <c r="M1865" s="85">
        <f t="shared" si="206"/>
        <v>80773.400040000008</v>
      </c>
      <c r="N1865" s="85">
        <f t="shared" si="206"/>
        <v>6643.6226999999999</v>
      </c>
      <c r="O1865" s="85">
        <f t="shared" si="206"/>
        <v>0</v>
      </c>
      <c r="P1865" s="85">
        <f>6643622/1000</f>
        <v>6643.6220000000003</v>
      </c>
      <c r="Q1865" s="85">
        <f t="shared" si="206"/>
        <v>40504.563920000001</v>
      </c>
      <c r="R1865" s="86"/>
      <c r="S1865" s="86"/>
      <c r="T1865" s="85">
        <f t="shared" ref="T1865:Y1865" si="207">SUM(T1846:T1864)</f>
        <v>0</v>
      </c>
      <c r="U1865" s="85">
        <f t="shared" si="207"/>
        <v>6643.6226999999999</v>
      </c>
      <c r="V1865" s="85">
        <f t="shared" si="207"/>
        <v>0</v>
      </c>
      <c r="W1865" s="85">
        <f t="shared" si="207"/>
        <v>0</v>
      </c>
      <c r="X1865" s="85">
        <f t="shared" si="202"/>
        <v>113100.92795000001</v>
      </c>
      <c r="Y1865" s="85">
        <f t="shared" si="207"/>
        <v>0</v>
      </c>
      <c r="Z1865" s="85">
        <f t="shared" si="203"/>
        <v>1299.8707999999897</v>
      </c>
      <c r="AA1865" s="69">
        <f>SUM(AA1846:AA1864)</f>
        <v>87417.022739999986</v>
      </c>
      <c r="AB1865" s="69">
        <f>SUM(AB1846:AB1864)</f>
        <v>0</v>
      </c>
    </row>
    <row r="1866" spans="1:28" hidden="1" x14ac:dyDescent="0.3">
      <c r="A1866" s="117"/>
      <c r="E1866" s="86" t="s">
        <v>29</v>
      </c>
      <c r="F1866" s="86" t="s">
        <v>29</v>
      </c>
      <c r="G1866" s="86" t="s">
        <v>29</v>
      </c>
      <c r="H1866" s="86" t="s">
        <v>29</v>
      </c>
      <c r="I1866" s="86" t="s">
        <v>29</v>
      </c>
      <c r="J1866" s="86" t="s">
        <v>29</v>
      </c>
      <c r="K1866" s="86" t="s">
        <v>29</v>
      </c>
      <c r="L1866" s="86" t="s">
        <v>29</v>
      </c>
      <c r="M1866" s="86" t="s">
        <v>29</v>
      </c>
      <c r="N1866" s="86" t="s">
        <v>29</v>
      </c>
      <c r="O1866" s="86" t="s">
        <v>29</v>
      </c>
      <c r="P1866" s="86" t="s">
        <v>29</v>
      </c>
      <c r="Q1866" s="86" t="s">
        <v>29</v>
      </c>
      <c r="R1866" s="86"/>
      <c r="S1866" s="86"/>
      <c r="T1866" s="86"/>
      <c r="U1866" s="86"/>
      <c r="V1866" s="86"/>
      <c r="W1866" s="86"/>
      <c r="X1866" s="85" t="e">
        <f t="shared" si="202"/>
        <v>#VALUE!</v>
      </c>
      <c r="Y1866" s="86"/>
      <c r="Z1866" s="85" t="e">
        <f t="shared" si="203"/>
        <v>#VALUE!</v>
      </c>
      <c r="AA1866" s="115" t="s">
        <v>29</v>
      </c>
      <c r="AB1866" s="115" t="s">
        <v>29</v>
      </c>
    </row>
    <row r="1867" spans="1:28" hidden="1" x14ac:dyDescent="0.3">
      <c r="A1867" s="105"/>
      <c r="E1867" s="84"/>
      <c r="F1867" s="84"/>
      <c r="G1867" s="84"/>
      <c r="H1867" s="84"/>
      <c r="I1867" s="84"/>
      <c r="J1867" s="84"/>
      <c r="K1867" s="84"/>
      <c r="L1867" s="84"/>
      <c r="M1867" s="84"/>
      <c r="N1867" s="84"/>
      <c r="O1867" s="84"/>
      <c r="P1867" s="84"/>
      <c r="Q1867" s="84"/>
      <c r="R1867" s="86"/>
      <c r="S1867" s="86"/>
      <c r="T1867" s="86"/>
      <c r="U1867" s="86"/>
      <c r="V1867" s="86"/>
      <c r="W1867" s="86"/>
      <c r="X1867" s="85">
        <f t="shared" si="202"/>
        <v>0</v>
      </c>
      <c r="Y1867" s="86"/>
      <c r="Z1867" s="85">
        <f t="shared" si="203"/>
        <v>0</v>
      </c>
    </row>
    <row r="1868" spans="1:28" hidden="1" x14ac:dyDescent="0.3">
      <c r="A1868" s="117"/>
      <c r="C1868" s="68" t="s">
        <v>780</v>
      </c>
      <c r="D1868" s="145" t="s">
        <v>166</v>
      </c>
      <c r="E1868" s="85">
        <f>STATS1003B!E1872/1000</f>
        <v>778.19600000000003</v>
      </c>
      <c r="F1868" s="85">
        <f>STATS1003B!F1872/1000</f>
        <v>778.19600000000003</v>
      </c>
      <c r="G1868" s="85">
        <f>STATS1003B!G1872/1000</f>
        <v>0</v>
      </c>
      <c r="H1868" s="85">
        <f>STATS1003B!H1872/1000</f>
        <v>778.19600000000003</v>
      </c>
      <c r="I1868" s="85">
        <f>STATS1003B!I1872/1000</f>
        <v>0</v>
      </c>
      <c r="J1868" s="85">
        <f>STATS1003B!J1872/1000</f>
        <v>778.19600000000003</v>
      </c>
      <c r="K1868" s="85">
        <f>STATS1003B!K1872/1000</f>
        <v>0</v>
      </c>
      <c r="L1868" s="85">
        <f>STATS1003B!L1872/1000</f>
        <v>0</v>
      </c>
      <c r="M1868" s="85">
        <f>STATS1003B!M1872/1000</f>
        <v>778.19600000000003</v>
      </c>
      <c r="N1868" s="85">
        <f>STATS1003B!N1872/1000</f>
        <v>0</v>
      </c>
      <c r="O1868" s="85">
        <f>STATS1003B!O1872/1000</f>
        <v>0</v>
      </c>
      <c r="P1868" s="85">
        <f>STATS1003B!P1872/1000</f>
        <v>0</v>
      </c>
      <c r="Q1868" s="85">
        <f>STATS1003B!Q1872/1000</f>
        <v>778.19600000000003</v>
      </c>
      <c r="R1868" s="85">
        <f>STATS1003B!R1872/1000</f>
        <v>0</v>
      </c>
      <c r="S1868" s="85">
        <f>STATS1003B!S1872/1000</f>
        <v>0</v>
      </c>
      <c r="T1868" s="85">
        <f>STATS1003B!T1872/1000</f>
        <v>0</v>
      </c>
      <c r="U1868" s="85">
        <f>STATS1003B!U1872/1000</f>
        <v>0</v>
      </c>
      <c r="V1868" s="85">
        <f>STATS1003B!V1872/1000</f>
        <v>0</v>
      </c>
      <c r="W1868" s="85">
        <f>STATS1003B!W1872/1000</f>
        <v>0</v>
      </c>
      <c r="X1868" s="85">
        <f t="shared" si="202"/>
        <v>778.19600000000003</v>
      </c>
      <c r="Y1868" s="85">
        <f>STATS1003B!Y1872/1000</f>
        <v>0</v>
      </c>
      <c r="Z1868" s="85">
        <f t="shared" si="203"/>
        <v>0</v>
      </c>
      <c r="AA1868" s="69">
        <f>STATS1003B!AA1872/1000</f>
        <v>778.19600000000003</v>
      </c>
      <c r="AB1868" s="69">
        <f>STATS1003B!AB1872/1000</f>
        <v>0</v>
      </c>
    </row>
    <row r="1869" spans="1:28" hidden="1" x14ac:dyDescent="0.3">
      <c r="A1869" s="117"/>
      <c r="C1869" s="68" t="s">
        <v>781</v>
      </c>
      <c r="D1869" s="145" t="s">
        <v>166</v>
      </c>
      <c r="E1869" s="85">
        <f>STATS1003B!E1873/1000</f>
        <v>550</v>
      </c>
      <c r="F1869" s="85">
        <f>STATS1003B!F1873/1000</f>
        <v>550</v>
      </c>
      <c r="G1869" s="85">
        <f>STATS1003B!G1873/1000</f>
        <v>0</v>
      </c>
      <c r="H1869" s="85">
        <f>STATS1003B!H1873/1000</f>
        <v>550</v>
      </c>
      <c r="I1869" s="85">
        <f>STATS1003B!I1873/1000</f>
        <v>0</v>
      </c>
      <c r="J1869" s="85">
        <f>STATS1003B!J1873/1000</f>
        <v>550</v>
      </c>
      <c r="K1869" s="85">
        <f>STATS1003B!K1873/1000</f>
        <v>0</v>
      </c>
      <c r="L1869" s="85">
        <f>STATS1003B!L1873/1000</f>
        <v>0</v>
      </c>
      <c r="M1869" s="85">
        <f>STATS1003B!M1873/1000</f>
        <v>550</v>
      </c>
      <c r="N1869" s="85">
        <f>STATS1003B!N1873/1000</f>
        <v>0</v>
      </c>
      <c r="O1869" s="85">
        <f>STATS1003B!O1873/1000</f>
        <v>0</v>
      </c>
      <c r="P1869" s="85">
        <f>STATS1003B!P1873/1000</f>
        <v>0</v>
      </c>
      <c r="Q1869" s="85">
        <f>STATS1003B!Q1873/1000</f>
        <v>550</v>
      </c>
      <c r="R1869" s="85">
        <f>STATS1003B!R1873/1000</f>
        <v>0</v>
      </c>
      <c r="S1869" s="85">
        <f>STATS1003B!S1873/1000</f>
        <v>0</v>
      </c>
      <c r="T1869" s="85">
        <f>STATS1003B!T1873/1000</f>
        <v>0</v>
      </c>
      <c r="U1869" s="85">
        <f>STATS1003B!U1873/1000</f>
        <v>0</v>
      </c>
      <c r="V1869" s="85">
        <f>STATS1003B!V1873/1000</f>
        <v>0</v>
      </c>
      <c r="W1869" s="85">
        <f>STATS1003B!W1873/1000</f>
        <v>0</v>
      </c>
      <c r="X1869" s="85">
        <f t="shared" si="202"/>
        <v>550</v>
      </c>
      <c r="Y1869" s="85">
        <f>STATS1003B!Y1873/1000</f>
        <v>0</v>
      </c>
      <c r="Z1869" s="85">
        <f t="shared" si="203"/>
        <v>0</v>
      </c>
      <c r="AA1869" s="69">
        <f>STATS1003B!AA1873/1000</f>
        <v>550</v>
      </c>
      <c r="AB1869" s="69">
        <f>STATS1003B!AB1873/1000</f>
        <v>0</v>
      </c>
    </row>
    <row r="1870" spans="1:28" hidden="1" x14ac:dyDescent="0.3">
      <c r="A1870" s="117"/>
      <c r="C1870" s="68" t="s">
        <v>782</v>
      </c>
      <c r="D1870" s="145" t="s">
        <v>166</v>
      </c>
      <c r="E1870" s="85">
        <f>STATS1003B!E1874/1000</f>
        <v>7417.3023600000006</v>
      </c>
      <c r="F1870" s="85">
        <f>STATS1003B!F1874/1000</f>
        <v>7404.7259999999997</v>
      </c>
      <c r="G1870" s="85">
        <f>STATS1003B!G1874/1000</f>
        <v>0</v>
      </c>
      <c r="H1870" s="85">
        <f>STATS1003B!H1874/1000</f>
        <v>7404.7259999999997</v>
      </c>
      <c r="I1870" s="85">
        <f>STATS1003B!I1874/1000</f>
        <v>0</v>
      </c>
      <c r="J1870" s="85">
        <f>STATS1003B!J1874/1000</f>
        <v>7404.7259999999997</v>
      </c>
      <c r="K1870" s="85">
        <f>STATS1003B!K1874/1000</f>
        <v>12.576360000000015</v>
      </c>
      <c r="L1870" s="85">
        <f>STATS1003B!L1874/1000</f>
        <v>0</v>
      </c>
      <c r="M1870" s="85">
        <f>STATS1003B!M1874/1000</f>
        <v>7404.7259999999997</v>
      </c>
      <c r="N1870" s="85">
        <f>STATS1003B!N1874/1000</f>
        <v>12.576360000000001</v>
      </c>
      <c r="O1870" s="85">
        <f>STATS1003B!O1874/1000</f>
        <v>0</v>
      </c>
      <c r="P1870" s="85">
        <f>STATS1003B!P1874/1000</f>
        <v>12.576360000000001</v>
      </c>
      <c r="Q1870" s="85">
        <f>STATS1003B!Q1874/1000</f>
        <v>7404.7259999999997</v>
      </c>
      <c r="R1870" s="85">
        <f>STATS1003B!R1874/1000</f>
        <v>0</v>
      </c>
      <c r="S1870" s="85">
        <f>STATS1003B!S1874/1000</f>
        <v>0</v>
      </c>
      <c r="T1870" s="85">
        <f>STATS1003B!T1874/1000</f>
        <v>0</v>
      </c>
      <c r="U1870" s="85">
        <f>STATS1003B!U1874/1000</f>
        <v>12.576360000000001</v>
      </c>
      <c r="V1870" s="85">
        <f>STATS1003B!V1874/1000</f>
        <v>0</v>
      </c>
      <c r="W1870" s="85">
        <f>STATS1003B!W1874/1000</f>
        <v>0</v>
      </c>
      <c r="X1870" s="85">
        <f t="shared" si="202"/>
        <v>7417.3023599999997</v>
      </c>
      <c r="Y1870" s="85">
        <f>STATS1003B!Y1874/1000</f>
        <v>0</v>
      </c>
      <c r="Z1870" s="85">
        <f t="shared" si="203"/>
        <v>0</v>
      </c>
      <c r="AA1870" s="69">
        <f>STATS1003B!AA1874/1000</f>
        <v>7417.3023600000006</v>
      </c>
      <c r="AB1870" s="69">
        <f>STATS1003B!AB1874/1000</f>
        <v>0</v>
      </c>
    </row>
    <row r="1871" spans="1:28" hidden="1" x14ac:dyDescent="0.3">
      <c r="A1871" s="117"/>
      <c r="C1871" s="68" t="s">
        <v>535</v>
      </c>
      <c r="D1871" s="145" t="s">
        <v>68</v>
      </c>
      <c r="E1871" s="85">
        <f>STATS1003B!E1875/1000</f>
        <v>2660</v>
      </c>
      <c r="F1871" s="85">
        <f>STATS1003B!F1875/1000</f>
        <v>1102.7588999999998</v>
      </c>
      <c r="G1871" s="85">
        <f>STATS1003B!G1875/1000</f>
        <v>0</v>
      </c>
      <c r="H1871" s="85">
        <f>STATS1003B!H1875/1000</f>
        <v>1102.7588999999998</v>
      </c>
      <c r="I1871" s="85">
        <f>STATS1003B!I1875/1000</f>
        <v>0</v>
      </c>
      <c r="J1871" s="85">
        <f>STATS1003B!J1875/1000</f>
        <v>1102.7588999999998</v>
      </c>
      <c r="K1871" s="85">
        <f>STATS1003B!K1875/1000</f>
        <v>1557.2411000000002</v>
      </c>
      <c r="L1871" s="85">
        <f>STATS1003B!L1875/1000</f>
        <v>0</v>
      </c>
      <c r="M1871" s="85">
        <f>STATS1003B!M1875/1000</f>
        <v>1102.7588999999998</v>
      </c>
      <c r="N1871" s="85">
        <f>STATS1003B!N1875/1000</f>
        <v>1557.2411000000002</v>
      </c>
      <c r="O1871" s="85">
        <f>STATS1003B!O1875/1000</f>
        <v>0</v>
      </c>
      <c r="P1871" s="85">
        <f>STATS1003B!P1875/1000</f>
        <v>1557.2411000000002</v>
      </c>
      <c r="Q1871" s="85">
        <f>STATS1003B!Q1875/1000</f>
        <v>1102.7588999999998</v>
      </c>
      <c r="R1871" s="85">
        <f>STATS1003B!R1875/1000</f>
        <v>0</v>
      </c>
      <c r="S1871" s="85">
        <f>STATS1003B!S1875/1000</f>
        <v>0</v>
      </c>
      <c r="T1871" s="85">
        <f>STATS1003B!T1875/1000</f>
        <v>0</v>
      </c>
      <c r="U1871" s="85">
        <f>STATS1003B!U1875/1000</f>
        <v>1557.2411000000002</v>
      </c>
      <c r="V1871" s="85">
        <f>STATS1003B!V1875/1000</f>
        <v>0</v>
      </c>
      <c r="W1871" s="85">
        <f>STATS1003B!W1875/1000</f>
        <v>0</v>
      </c>
      <c r="X1871" s="85">
        <f t="shared" si="202"/>
        <v>2660</v>
      </c>
      <c r="Y1871" s="85">
        <f>STATS1003B!Y1875/1000</f>
        <v>0</v>
      </c>
      <c r="Z1871" s="85">
        <f t="shared" si="203"/>
        <v>0</v>
      </c>
      <c r="AA1871" s="69">
        <f>STATS1003B!AA1875/1000</f>
        <v>2660</v>
      </c>
      <c r="AB1871" s="69">
        <f>STATS1003B!AB1875/1000</f>
        <v>0</v>
      </c>
    </row>
    <row r="1872" spans="1:28" hidden="1" x14ac:dyDescent="0.3">
      <c r="A1872" s="117"/>
      <c r="C1872" s="68" t="s">
        <v>539</v>
      </c>
      <c r="D1872" s="145" t="s">
        <v>68</v>
      </c>
      <c r="E1872" s="85">
        <f>STATS1003B!E1876/1000</f>
        <v>429.54700000000003</v>
      </c>
      <c r="F1872" s="85">
        <f>STATS1003B!F1876/1000</f>
        <v>0</v>
      </c>
      <c r="G1872" s="85">
        <f>STATS1003B!G1876/1000</f>
        <v>0</v>
      </c>
      <c r="H1872" s="85">
        <f>STATS1003B!H1876/1000</f>
        <v>0</v>
      </c>
      <c r="I1872" s="85">
        <f>STATS1003B!I1876/1000</f>
        <v>0</v>
      </c>
      <c r="J1872" s="85">
        <f>STATS1003B!J1876/1000</f>
        <v>0</v>
      </c>
      <c r="K1872" s="85">
        <f>STATS1003B!K1876/1000</f>
        <v>429.54700000000003</v>
      </c>
      <c r="L1872" s="85">
        <f>STATS1003B!L1876/1000</f>
        <v>0</v>
      </c>
      <c r="M1872" s="85">
        <f>STATS1003B!M1876/1000</f>
        <v>0</v>
      </c>
      <c r="N1872" s="85">
        <f>STATS1003B!N1876/1000</f>
        <v>429.54700000000003</v>
      </c>
      <c r="O1872" s="85">
        <f>STATS1003B!O1876/1000</f>
        <v>0</v>
      </c>
      <c r="P1872" s="85">
        <f>STATS1003B!P1876/1000</f>
        <v>429.54700000000003</v>
      </c>
      <c r="Q1872" s="85">
        <f>STATS1003B!Q1876/1000</f>
        <v>0</v>
      </c>
      <c r="R1872" s="85">
        <f>STATS1003B!R1876/1000</f>
        <v>0</v>
      </c>
      <c r="S1872" s="85">
        <f>STATS1003B!S1876/1000</f>
        <v>0</v>
      </c>
      <c r="T1872" s="85">
        <f>STATS1003B!T1876/1000</f>
        <v>0</v>
      </c>
      <c r="U1872" s="85">
        <f>STATS1003B!U1876/1000</f>
        <v>429.54700000000003</v>
      </c>
      <c r="V1872" s="85">
        <f>STATS1003B!V1876/1000</f>
        <v>0</v>
      </c>
      <c r="W1872" s="85">
        <f>STATS1003B!W1876/1000</f>
        <v>0</v>
      </c>
      <c r="X1872" s="85">
        <f t="shared" si="202"/>
        <v>429.54700000000003</v>
      </c>
      <c r="Y1872" s="85">
        <f>STATS1003B!Y1876/1000</f>
        <v>0</v>
      </c>
      <c r="Z1872" s="85">
        <f t="shared" si="203"/>
        <v>0</v>
      </c>
      <c r="AA1872" s="69">
        <f>STATS1003B!AA1876/1000</f>
        <v>429.54700000000003</v>
      </c>
      <c r="AB1872" s="69">
        <f>STATS1003B!AB1876/1000</f>
        <v>0</v>
      </c>
    </row>
    <row r="1873" spans="1:28" hidden="1" x14ac:dyDescent="0.3">
      <c r="A1873" s="117"/>
      <c r="C1873" s="68" t="s">
        <v>535</v>
      </c>
      <c r="D1873" s="145" t="s">
        <v>54</v>
      </c>
      <c r="E1873" s="85">
        <f>STATS1003B!E1877/1000</f>
        <v>1547.8420000000001</v>
      </c>
      <c r="F1873" s="85">
        <f>STATS1003B!F1877/1000</f>
        <v>1547.8420000000001</v>
      </c>
      <c r="G1873" s="85">
        <f>STATS1003B!G1877/1000</f>
        <v>0</v>
      </c>
      <c r="H1873" s="85">
        <f>STATS1003B!H1877/1000</f>
        <v>1547.8420000000001</v>
      </c>
      <c r="I1873" s="85">
        <f>STATS1003B!I1877/1000</f>
        <v>0</v>
      </c>
      <c r="J1873" s="85">
        <f>STATS1003B!J1877/1000</f>
        <v>1547.8420000000001</v>
      </c>
      <c r="K1873" s="85">
        <f>STATS1003B!K1877/1000</f>
        <v>0</v>
      </c>
      <c r="L1873" s="85">
        <f>STATS1003B!L1877/1000</f>
        <v>0</v>
      </c>
      <c r="M1873" s="85">
        <f>STATS1003B!M1877/1000</f>
        <v>1547.8420000000001</v>
      </c>
      <c r="N1873" s="85">
        <f>STATS1003B!N1877/1000</f>
        <v>0</v>
      </c>
      <c r="O1873" s="85">
        <f>STATS1003B!O1877/1000</f>
        <v>0</v>
      </c>
      <c r="P1873" s="85">
        <f>STATS1003B!P1877/1000</f>
        <v>0</v>
      </c>
      <c r="Q1873" s="85">
        <f>STATS1003B!Q1877/1000</f>
        <v>1547.8420000000001</v>
      </c>
      <c r="R1873" s="85">
        <f>STATS1003B!R1877/1000</f>
        <v>0</v>
      </c>
      <c r="S1873" s="85">
        <f>STATS1003B!S1877/1000</f>
        <v>0</v>
      </c>
      <c r="T1873" s="85">
        <f>STATS1003B!T1877/1000</f>
        <v>0</v>
      </c>
      <c r="U1873" s="85">
        <f>STATS1003B!U1877/1000</f>
        <v>0</v>
      </c>
      <c r="V1873" s="85">
        <f>STATS1003B!V1877/1000</f>
        <v>0</v>
      </c>
      <c r="W1873" s="85">
        <f>STATS1003B!W1877/1000</f>
        <v>0</v>
      </c>
      <c r="X1873" s="85">
        <f t="shared" si="202"/>
        <v>1547.8420000000001</v>
      </c>
      <c r="Y1873" s="85">
        <f>STATS1003B!Y1877/1000</f>
        <v>0</v>
      </c>
      <c r="Z1873" s="85">
        <f t="shared" si="203"/>
        <v>0</v>
      </c>
      <c r="AA1873" s="69">
        <f>STATS1003B!AA1877/1000</f>
        <v>1547.8420000000001</v>
      </c>
      <c r="AB1873" s="69">
        <f>STATS1003B!AB1877/1000</f>
        <v>0</v>
      </c>
    </row>
    <row r="1874" spans="1:28" hidden="1" x14ac:dyDescent="0.3">
      <c r="A1874" s="117"/>
      <c r="C1874" s="68" t="s">
        <v>545</v>
      </c>
      <c r="D1874" s="145" t="s">
        <v>54</v>
      </c>
      <c r="E1874" s="85">
        <f>STATS1003B!E1878/1000</f>
        <v>1767.77</v>
      </c>
      <c r="F1874" s="85">
        <f>STATS1003B!F1878/1000</f>
        <v>0</v>
      </c>
      <c r="G1874" s="85">
        <f>STATS1003B!G1878/1000</f>
        <v>0</v>
      </c>
      <c r="H1874" s="85">
        <f>STATS1003B!H1878/1000</f>
        <v>0</v>
      </c>
      <c r="I1874" s="85">
        <f>STATS1003B!I1878/1000</f>
        <v>0</v>
      </c>
      <c r="J1874" s="85">
        <f>STATS1003B!J1878/1000</f>
        <v>0</v>
      </c>
      <c r="K1874" s="85">
        <f>STATS1003B!K1878/1000</f>
        <v>1767.77</v>
      </c>
      <c r="L1874" s="85">
        <f>STATS1003B!L1878/1000</f>
        <v>0</v>
      </c>
      <c r="M1874" s="85">
        <f>STATS1003B!M1878/1000</f>
        <v>0</v>
      </c>
      <c r="N1874" s="85">
        <f>STATS1003B!N1878/1000</f>
        <v>1767.77</v>
      </c>
      <c r="O1874" s="85">
        <f>STATS1003B!O1878/1000</f>
        <v>0</v>
      </c>
      <c r="P1874" s="85">
        <f>STATS1003B!P1878/1000</f>
        <v>1767.77</v>
      </c>
      <c r="Q1874" s="85">
        <f>STATS1003B!Q1878/1000</f>
        <v>0</v>
      </c>
      <c r="R1874" s="85">
        <f>STATS1003B!R1878/1000</f>
        <v>0</v>
      </c>
      <c r="S1874" s="85">
        <f>STATS1003B!S1878/1000</f>
        <v>0</v>
      </c>
      <c r="T1874" s="85">
        <f>STATS1003B!T1878/1000</f>
        <v>0</v>
      </c>
      <c r="U1874" s="85">
        <f>STATS1003B!U1878/1000</f>
        <v>1767.77</v>
      </c>
      <c r="V1874" s="85">
        <f>STATS1003B!V1878/1000</f>
        <v>0</v>
      </c>
      <c r="W1874" s="85">
        <f>STATS1003B!W1878/1000</f>
        <v>0</v>
      </c>
      <c r="X1874" s="85">
        <f t="shared" si="202"/>
        <v>1767.77</v>
      </c>
      <c r="Y1874" s="85">
        <f>STATS1003B!Y1878/1000</f>
        <v>0</v>
      </c>
      <c r="Z1874" s="85">
        <f t="shared" si="203"/>
        <v>0</v>
      </c>
      <c r="AA1874" s="69">
        <f>STATS1003B!AA1878/1000</f>
        <v>1767.77</v>
      </c>
      <c r="AB1874" s="69">
        <f>STATS1003B!AB1878/1000</f>
        <v>0</v>
      </c>
    </row>
    <row r="1875" spans="1:28" hidden="1" x14ac:dyDescent="0.3">
      <c r="A1875" s="117"/>
      <c r="C1875" s="68" t="s">
        <v>535</v>
      </c>
      <c r="D1875" s="145" t="s">
        <v>85</v>
      </c>
      <c r="E1875" s="85">
        <f>STATS1003B!E1879/1000</f>
        <v>4045.0160000000001</v>
      </c>
      <c r="F1875" s="85">
        <f>STATS1003B!F1879/1000</f>
        <v>4045.0160000000001</v>
      </c>
      <c r="G1875" s="85">
        <f>STATS1003B!G1879/1000</f>
        <v>0</v>
      </c>
      <c r="H1875" s="85">
        <f>STATS1003B!H1879/1000</f>
        <v>4045.0160000000001</v>
      </c>
      <c r="I1875" s="85">
        <f>STATS1003B!I1879/1000</f>
        <v>0</v>
      </c>
      <c r="J1875" s="85">
        <f>STATS1003B!J1879/1000</f>
        <v>4045.0160000000001</v>
      </c>
      <c r="K1875" s="85">
        <f>STATS1003B!K1879/1000</f>
        <v>0</v>
      </c>
      <c r="L1875" s="85">
        <f>STATS1003B!L1879/1000</f>
        <v>0</v>
      </c>
      <c r="M1875" s="85">
        <f>STATS1003B!M1879/1000</f>
        <v>4045.0160000000001</v>
      </c>
      <c r="N1875" s="85">
        <f>STATS1003B!N1879/1000</f>
        <v>0</v>
      </c>
      <c r="O1875" s="85">
        <f>STATS1003B!O1879/1000</f>
        <v>0</v>
      </c>
      <c r="P1875" s="85">
        <f>STATS1003B!P1879/1000</f>
        <v>0</v>
      </c>
      <c r="Q1875" s="85">
        <f>STATS1003B!Q1879/1000</f>
        <v>4045.0160000000001</v>
      </c>
      <c r="R1875" s="85">
        <f>STATS1003B!R1879/1000</f>
        <v>0</v>
      </c>
      <c r="S1875" s="85">
        <f>STATS1003B!S1879/1000</f>
        <v>0</v>
      </c>
      <c r="T1875" s="85">
        <f>STATS1003B!T1879/1000</f>
        <v>0</v>
      </c>
      <c r="U1875" s="85">
        <f>STATS1003B!U1879/1000</f>
        <v>0</v>
      </c>
      <c r="V1875" s="85">
        <f>STATS1003B!V1879/1000</f>
        <v>0</v>
      </c>
      <c r="W1875" s="85">
        <f>STATS1003B!W1879/1000</f>
        <v>0</v>
      </c>
      <c r="X1875" s="85">
        <f t="shared" si="202"/>
        <v>4045.0160000000001</v>
      </c>
      <c r="Y1875" s="85">
        <f>STATS1003B!Y1879/1000</f>
        <v>0</v>
      </c>
      <c r="Z1875" s="85">
        <f t="shared" si="203"/>
        <v>0</v>
      </c>
      <c r="AA1875" s="69">
        <f>STATS1003B!AA1879/1000</f>
        <v>4045.0160000000001</v>
      </c>
      <c r="AB1875" s="69">
        <f>STATS1003B!AB1879/1000</f>
        <v>0</v>
      </c>
    </row>
    <row r="1876" spans="1:28" hidden="1" x14ac:dyDescent="0.3">
      <c r="A1876" s="117"/>
      <c r="C1876" s="68" t="s">
        <v>783</v>
      </c>
      <c r="D1876" s="145" t="s">
        <v>85</v>
      </c>
      <c r="E1876" s="85">
        <f>STATS1003B!E1880/1000</f>
        <v>2874.71884</v>
      </c>
      <c r="F1876" s="85">
        <f>STATS1003B!F1880/1000</f>
        <v>2874.71884</v>
      </c>
      <c r="G1876" s="85">
        <f>STATS1003B!G1880/1000</f>
        <v>0</v>
      </c>
      <c r="H1876" s="85">
        <f>STATS1003B!H1880/1000</f>
        <v>2874.71884</v>
      </c>
      <c r="I1876" s="85">
        <f>STATS1003B!I1880/1000</f>
        <v>0</v>
      </c>
      <c r="J1876" s="85">
        <f>STATS1003B!J1880/1000</f>
        <v>2874.71884</v>
      </c>
      <c r="K1876" s="85">
        <f>STATS1003B!K1880/1000</f>
        <v>0</v>
      </c>
      <c r="L1876" s="85">
        <f>STATS1003B!L1880/1000</f>
        <v>0</v>
      </c>
      <c r="M1876" s="85">
        <f>STATS1003B!M1880/1000</f>
        <v>2874.71884</v>
      </c>
      <c r="N1876" s="85">
        <f>STATS1003B!N1880/1000</f>
        <v>0</v>
      </c>
      <c r="O1876" s="85">
        <f>STATS1003B!O1880/1000</f>
        <v>0</v>
      </c>
      <c r="P1876" s="85">
        <f>STATS1003B!P1880/1000</f>
        <v>0</v>
      </c>
      <c r="Q1876" s="85">
        <f>STATS1003B!Q1880/1000</f>
        <v>2874.71884</v>
      </c>
      <c r="R1876" s="85">
        <f>STATS1003B!R1880/1000</f>
        <v>0</v>
      </c>
      <c r="S1876" s="85">
        <f>STATS1003B!S1880/1000</f>
        <v>0</v>
      </c>
      <c r="T1876" s="85">
        <f>STATS1003B!T1880/1000</f>
        <v>0</v>
      </c>
      <c r="U1876" s="85">
        <f>STATS1003B!U1880/1000</f>
        <v>0</v>
      </c>
      <c r="V1876" s="85">
        <f>STATS1003B!V1880/1000</f>
        <v>0</v>
      </c>
      <c r="W1876" s="85">
        <f>STATS1003B!W1880/1000</f>
        <v>0</v>
      </c>
      <c r="X1876" s="85">
        <f t="shared" si="202"/>
        <v>2874.71884</v>
      </c>
      <c r="Y1876" s="85">
        <f>STATS1003B!Y1880/1000</f>
        <v>0</v>
      </c>
      <c r="Z1876" s="85">
        <f t="shared" si="203"/>
        <v>0</v>
      </c>
      <c r="AA1876" s="69">
        <f>STATS1003B!AA1880/1000</f>
        <v>2874.71884</v>
      </c>
      <c r="AB1876" s="69">
        <f>STATS1003B!AB1880/1000</f>
        <v>0</v>
      </c>
    </row>
    <row r="1877" spans="1:28" hidden="1" x14ac:dyDescent="0.3">
      <c r="A1877" s="117"/>
      <c r="C1877" s="68" t="s">
        <v>603</v>
      </c>
      <c r="D1877" s="145" t="s">
        <v>85</v>
      </c>
      <c r="E1877" s="85">
        <f>STATS1003B!E1881/1000</f>
        <v>160</v>
      </c>
      <c r="F1877" s="85">
        <f>STATS1003B!F1881/1000</f>
        <v>160</v>
      </c>
      <c r="G1877" s="85">
        <f>STATS1003B!G1881/1000</f>
        <v>0</v>
      </c>
      <c r="H1877" s="85">
        <f>STATS1003B!H1881/1000</f>
        <v>160</v>
      </c>
      <c r="I1877" s="85">
        <f>STATS1003B!I1881/1000</f>
        <v>0</v>
      </c>
      <c r="J1877" s="85">
        <f>STATS1003B!J1881/1000</f>
        <v>160</v>
      </c>
      <c r="K1877" s="85">
        <f>STATS1003B!K1881/1000</f>
        <v>0</v>
      </c>
      <c r="L1877" s="85">
        <f>STATS1003B!L1881/1000</f>
        <v>0</v>
      </c>
      <c r="M1877" s="85">
        <f>STATS1003B!M1881/1000</f>
        <v>160</v>
      </c>
      <c r="N1877" s="85">
        <f>STATS1003B!N1881/1000</f>
        <v>0</v>
      </c>
      <c r="O1877" s="85">
        <f>STATS1003B!O1881/1000</f>
        <v>0</v>
      </c>
      <c r="P1877" s="85">
        <f>STATS1003B!P1881/1000</f>
        <v>0</v>
      </c>
      <c r="Q1877" s="85">
        <f>STATS1003B!Q1881/1000</f>
        <v>160</v>
      </c>
      <c r="R1877" s="85">
        <f>STATS1003B!R1881/1000</f>
        <v>0</v>
      </c>
      <c r="S1877" s="85">
        <f>STATS1003B!S1881/1000</f>
        <v>0</v>
      </c>
      <c r="T1877" s="85">
        <f>STATS1003B!T1881/1000</f>
        <v>0</v>
      </c>
      <c r="U1877" s="85">
        <f>STATS1003B!U1881/1000</f>
        <v>0</v>
      </c>
      <c r="V1877" s="85">
        <f>STATS1003B!V1881/1000</f>
        <v>0</v>
      </c>
      <c r="W1877" s="85">
        <f>STATS1003B!W1881/1000</f>
        <v>0</v>
      </c>
      <c r="X1877" s="85">
        <f t="shared" si="202"/>
        <v>160</v>
      </c>
      <c r="Y1877" s="85">
        <f>STATS1003B!Y1881/1000</f>
        <v>0</v>
      </c>
      <c r="Z1877" s="85">
        <f t="shared" si="203"/>
        <v>0</v>
      </c>
      <c r="AA1877" s="69">
        <f>STATS1003B!AA1881/1000</f>
        <v>160</v>
      </c>
      <c r="AB1877" s="69">
        <f>STATS1003B!AB1881/1000</f>
        <v>0</v>
      </c>
    </row>
    <row r="1878" spans="1:28" hidden="1" x14ac:dyDescent="0.3">
      <c r="A1878" s="117"/>
      <c r="C1878" s="68" t="s">
        <v>667</v>
      </c>
      <c r="D1878" s="145" t="s">
        <v>85</v>
      </c>
      <c r="E1878" s="85">
        <f>STATS1003B!E1882/1000</f>
        <v>120</v>
      </c>
      <c r="F1878" s="85">
        <f>STATS1003B!F1882/1000</f>
        <v>120</v>
      </c>
      <c r="G1878" s="85">
        <f>STATS1003B!G1882/1000</f>
        <v>0</v>
      </c>
      <c r="H1878" s="85">
        <f>STATS1003B!H1882/1000</f>
        <v>120</v>
      </c>
      <c r="I1878" s="85">
        <f>STATS1003B!I1882/1000</f>
        <v>0</v>
      </c>
      <c r="J1878" s="85">
        <f>STATS1003B!J1882/1000</f>
        <v>120</v>
      </c>
      <c r="K1878" s="85">
        <f>STATS1003B!K1882/1000</f>
        <v>0</v>
      </c>
      <c r="L1878" s="85">
        <f>STATS1003B!L1882/1000</f>
        <v>0</v>
      </c>
      <c r="M1878" s="85">
        <f>STATS1003B!M1882/1000</f>
        <v>120</v>
      </c>
      <c r="N1878" s="85">
        <f>STATS1003B!N1882/1000</f>
        <v>0</v>
      </c>
      <c r="O1878" s="85">
        <f>STATS1003B!O1882/1000</f>
        <v>0</v>
      </c>
      <c r="P1878" s="85">
        <f>STATS1003B!P1882/1000</f>
        <v>0</v>
      </c>
      <c r="Q1878" s="85">
        <f>STATS1003B!Q1882/1000</f>
        <v>120</v>
      </c>
      <c r="R1878" s="85">
        <f>STATS1003B!R1882/1000</f>
        <v>0</v>
      </c>
      <c r="S1878" s="85">
        <f>STATS1003B!S1882/1000</f>
        <v>0</v>
      </c>
      <c r="T1878" s="85">
        <f>STATS1003B!T1882/1000</f>
        <v>0</v>
      </c>
      <c r="U1878" s="85">
        <f>STATS1003B!U1882/1000</f>
        <v>0</v>
      </c>
      <c r="V1878" s="85">
        <f>STATS1003B!V1882/1000</f>
        <v>0</v>
      </c>
      <c r="W1878" s="85">
        <f>STATS1003B!W1882/1000</f>
        <v>0</v>
      </c>
      <c r="X1878" s="85">
        <f t="shared" si="202"/>
        <v>120</v>
      </c>
      <c r="Y1878" s="85">
        <f>STATS1003B!Y1882/1000</f>
        <v>0</v>
      </c>
      <c r="Z1878" s="85">
        <f t="shared" si="203"/>
        <v>0</v>
      </c>
      <c r="AA1878" s="69">
        <f>STATS1003B!AA1882/1000</f>
        <v>120</v>
      </c>
      <c r="AB1878" s="69">
        <f>STATS1003B!AB1882/1000</f>
        <v>0</v>
      </c>
    </row>
    <row r="1879" spans="1:28" hidden="1" x14ac:dyDescent="0.3">
      <c r="A1879" s="117"/>
      <c r="C1879" s="68" t="s">
        <v>671</v>
      </c>
      <c r="D1879" s="145" t="s">
        <v>85</v>
      </c>
      <c r="E1879" s="85">
        <f>STATS1003B!E1883/1000</f>
        <v>240</v>
      </c>
      <c r="F1879" s="85">
        <f>STATS1003B!F1883/1000</f>
        <v>240</v>
      </c>
      <c r="G1879" s="85">
        <f>STATS1003B!G1883/1000</f>
        <v>0</v>
      </c>
      <c r="H1879" s="85">
        <f>STATS1003B!H1883/1000</f>
        <v>240</v>
      </c>
      <c r="I1879" s="85">
        <f>STATS1003B!I1883/1000</f>
        <v>0</v>
      </c>
      <c r="J1879" s="85">
        <f>STATS1003B!J1883/1000</f>
        <v>240</v>
      </c>
      <c r="K1879" s="85">
        <f>STATS1003B!K1883/1000</f>
        <v>0</v>
      </c>
      <c r="L1879" s="85">
        <f>STATS1003B!L1883/1000</f>
        <v>0</v>
      </c>
      <c r="M1879" s="85">
        <f>STATS1003B!M1883/1000</f>
        <v>240</v>
      </c>
      <c r="N1879" s="85">
        <f>STATS1003B!N1883/1000</f>
        <v>0</v>
      </c>
      <c r="O1879" s="85">
        <f>STATS1003B!O1883/1000</f>
        <v>0</v>
      </c>
      <c r="P1879" s="85">
        <f>STATS1003B!P1883/1000</f>
        <v>0</v>
      </c>
      <c r="Q1879" s="85">
        <f>STATS1003B!Q1883/1000</f>
        <v>240</v>
      </c>
      <c r="R1879" s="85">
        <f>STATS1003B!R1883/1000</f>
        <v>0</v>
      </c>
      <c r="S1879" s="85">
        <f>STATS1003B!S1883/1000</f>
        <v>0</v>
      </c>
      <c r="T1879" s="85">
        <f>STATS1003B!T1883/1000</f>
        <v>0</v>
      </c>
      <c r="U1879" s="85">
        <f>STATS1003B!U1883/1000</f>
        <v>0</v>
      </c>
      <c r="V1879" s="85">
        <f>STATS1003B!V1883/1000</f>
        <v>0</v>
      </c>
      <c r="W1879" s="85">
        <f>STATS1003B!W1883/1000</f>
        <v>0</v>
      </c>
      <c r="X1879" s="85">
        <f t="shared" si="202"/>
        <v>240</v>
      </c>
      <c r="Y1879" s="85">
        <f>STATS1003B!Y1883/1000</f>
        <v>0</v>
      </c>
      <c r="Z1879" s="85">
        <f t="shared" si="203"/>
        <v>0</v>
      </c>
      <c r="AA1879" s="69">
        <f>STATS1003B!AA1883/1000</f>
        <v>240</v>
      </c>
      <c r="AB1879" s="69">
        <f>STATS1003B!AB1883/1000</f>
        <v>0</v>
      </c>
    </row>
    <row r="1880" spans="1:28" hidden="1" x14ac:dyDescent="0.3">
      <c r="A1880" s="117"/>
      <c r="C1880" s="68" t="s">
        <v>535</v>
      </c>
      <c r="D1880" s="145" t="s">
        <v>128</v>
      </c>
      <c r="E1880" s="85">
        <f>STATS1003B!E1884/1000</f>
        <v>524.24199999999996</v>
      </c>
      <c r="F1880" s="85">
        <f>STATS1003B!F1884/1000</f>
        <v>524.24199999999996</v>
      </c>
      <c r="G1880" s="85">
        <f>STATS1003B!G1884/1000</f>
        <v>0</v>
      </c>
      <c r="H1880" s="85">
        <f>STATS1003B!H1884/1000</f>
        <v>524.24199999999996</v>
      </c>
      <c r="I1880" s="85">
        <f>STATS1003B!I1884/1000</f>
        <v>0</v>
      </c>
      <c r="J1880" s="85">
        <f>STATS1003B!J1884/1000</f>
        <v>524.24199999999996</v>
      </c>
      <c r="K1880" s="85">
        <f>STATS1003B!K1884/1000</f>
        <v>0</v>
      </c>
      <c r="L1880" s="85">
        <f>STATS1003B!L1884/1000</f>
        <v>0</v>
      </c>
      <c r="M1880" s="85">
        <f>STATS1003B!M1884/1000</f>
        <v>524.24199999999996</v>
      </c>
      <c r="N1880" s="85">
        <f>STATS1003B!N1884/1000</f>
        <v>0</v>
      </c>
      <c r="O1880" s="85">
        <f>STATS1003B!O1884/1000</f>
        <v>0</v>
      </c>
      <c r="P1880" s="85">
        <f>STATS1003B!P1884/1000</f>
        <v>0</v>
      </c>
      <c r="Q1880" s="85">
        <f>STATS1003B!Q1884/1000</f>
        <v>524.24199999999996</v>
      </c>
      <c r="R1880" s="85">
        <f>STATS1003B!R1884/1000</f>
        <v>0</v>
      </c>
      <c r="S1880" s="85">
        <f>STATS1003B!S1884/1000</f>
        <v>0</v>
      </c>
      <c r="T1880" s="85">
        <f>STATS1003B!T1884/1000</f>
        <v>0</v>
      </c>
      <c r="U1880" s="85">
        <f>STATS1003B!U1884/1000</f>
        <v>0</v>
      </c>
      <c r="V1880" s="85">
        <f>STATS1003B!V1884/1000</f>
        <v>0</v>
      </c>
      <c r="W1880" s="85">
        <f>STATS1003B!W1884/1000</f>
        <v>0</v>
      </c>
      <c r="X1880" s="85">
        <f t="shared" si="202"/>
        <v>524.24199999999996</v>
      </c>
      <c r="Y1880" s="85">
        <f>STATS1003B!Y1884/1000</f>
        <v>0</v>
      </c>
      <c r="Z1880" s="85">
        <f t="shared" si="203"/>
        <v>0</v>
      </c>
      <c r="AA1880" s="69">
        <f>STATS1003B!AA1884/1000</f>
        <v>524.24199999999996</v>
      </c>
      <c r="AB1880" s="69">
        <f>STATS1003B!AB1884/1000</f>
        <v>0</v>
      </c>
    </row>
    <row r="1881" spans="1:28" hidden="1" x14ac:dyDescent="0.3">
      <c r="A1881" s="117"/>
      <c r="C1881" s="68" t="s">
        <v>784</v>
      </c>
      <c r="D1881" s="145" t="s">
        <v>128</v>
      </c>
      <c r="E1881" s="85">
        <f>STATS1003B!E1885/1000</f>
        <v>1100</v>
      </c>
      <c r="F1881" s="85">
        <f>STATS1003B!F1885/1000</f>
        <v>1100</v>
      </c>
      <c r="G1881" s="85">
        <f>STATS1003B!G1885/1000</f>
        <v>0</v>
      </c>
      <c r="H1881" s="85">
        <f>STATS1003B!H1885/1000</f>
        <v>1100</v>
      </c>
      <c r="I1881" s="85">
        <f>STATS1003B!I1885/1000</f>
        <v>0</v>
      </c>
      <c r="J1881" s="85">
        <f>STATS1003B!J1885/1000</f>
        <v>1100</v>
      </c>
      <c r="K1881" s="85">
        <f>STATS1003B!K1885/1000</f>
        <v>0</v>
      </c>
      <c r="L1881" s="85">
        <f>STATS1003B!L1885/1000</f>
        <v>0</v>
      </c>
      <c r="M1881" s="85">
        <f>STATS1003B!M1885/1000</f>
        <v>1100</v>
      </c>
      <c r="N1881" s="85">
        <f>STATS1003B!N1885/1000</f>
        <v>0</v>
      </c>
      <c r="O1881" s="85">
        <f>STATS1003B!O1885/1000</f>
        <v>0</v>
      </c>
      <c r="P1881" s="85">
        <f>STATS1003B!P1885/1000</f>
        <v>0</v>
      </c>
      <c r="Q1881" s="85">
        <f>STATS1003B!Q1885/1000</f>
        <v>1100</v>
      </c>
      <c r="R1881" s="85">
        <f>STATS1003B!R1885/1000</f>
        <v>0</v>
      </c>
      <c r="S1881" s="85">
        <f>STATS1003B!S1885/1000</f>
        <v>0</v>
      </c>
      <c r="T1881" s="85">
        <f>STATS1003B!T1885/1000</f>
        <v>0</v>
      </c>
      <c r="U1881" s="85">
        <f>STATS1003B!U1885/1000</f>
        <v>0</v>
      </c>
      <c r="V1881" s="85">
        <f>STATS1003B!V1885/1000</f>
        <v>0</v>
      </c>
      <c r="W1881" s="85">
        <f>STATS1003B!W1885/1000</f>
        <v>0</v>
      </c>
      <c r="X1881" s="85">
        <f t="shared" si="202"/>
        <v>1100</v>
      </c>
      <c r="Y1881" s="85">
        <f>STATS1003B!Y1885/1000</f>
        <v>0</v>
      </c>
      <c r="Z1881" s="85">
        <f t="shared" si="203"/>
        <v>0</v>
      </c>
      <c r="AA1881" s="69">
        <f>STATS1003B!AA1885/1000</f>
        <v>1100</v>
      </c>
      <c r="AB1881" s="69">
        <f>STATS1003B!AB1885/1000</f>
        <v>0</v>
      </c>
    </row>
    <row r="1882" spans="1:28" hidden="1" x14ac:dyDescent="0.3">
      <c r="A1882" s="117"/>
      <c r="C1882" s="68" t="s">
        <v>535</v>
      </c>
      <c r="D1882" s="145" t="s">
        <v>128</v>
      </c>
      <c r="E1882" s="85">
        <f>STATS1003B!E1886/1000</f>
        <v>1012.491</v>
      </c>
      <c r="F1882" s="85">
        <f>STATS1003B!F1886/1000</f>
        <v>1012.491</v>
      </c>
      <c r="G1882" s="85">
        <f>STATS1003B!G1886/1000</f>
        <v>0</v>
      </c>
      <c r="H1882" s="85">
        <f>STATS1003B!H1886/1000</f>
        <v>1012.491</v>
      </c>
      <c r="I1882" s="85">
        <f>STATS1003B!I1886/1000</f>
        <v>0</v>
      </c>
      <c r="J1882" s="85">
        <f>STATS1003B!J1886/1000</f>
        <v>1012.491</v>
      </c>
      <c r="K1882" s="85">
        <f>STATS1003B!K1886/1000</f>
        <v>0</v>
      </c>
      <c r="L1882" s="85">
        <f>STATS1003B!L1886/1000</f>
        <v>0</v>
      </c>
      <c r="M1882" s="85">
        <f>STATS1003B!M1886/1000</f>
        <v>1012.491</v>
      </c>
      <c r="N1882" s="85">
        <f>STATS1003B!N1886/1000</f>
        <v>0</v>
      </c>
      <c r="O1882" s="85">
        <f>STATS1003B!O1886/1000</f>
        <v>0</v>
      </c>
      <c r="P1882" s="85">
        <f>STATS1003B!P1886/1000</f>
        <v>0</v>
      </c>
      <c r="Q1882" s="85">
        <f>STATS1003B!Q1886/1000</f>
        <v>1012.491</v>
      </c>
      <c r="R1882" s="85">
        <f>STATS1003B!R1886/1000</f>
        <v>0</v>
      </c>
      <c r="S1882" s="85">
        <f>STATS1003B!S1886/1000</f>
        <v>0</v>
      </c>
      <c r="T1882" s="85">
        <f>STATS1003B!T1886/1000</f>
        <v>0</v>
      </c>
      <c r="U1882" s="85">
        <f>STATS1003B!U1886/1000</f>
        <v>0</v>
      </c>
      <c r="V1882" s="85">
        <f>STATS1003B!V1886/1000</f>
        <v>0</v>
      </c>
      <c r="W1882" s="85">
        <f>STATS1003B!W1886/1000</f>
        <v>0</v>
      </c>
      <c r="X1882" s="85">
        <f t="shared" si="202"/>
        <v>1012.491</v>
      </c>
      <c r="Y1882" s="85">
        <f>STATS1003B!Y1886/1000</f>
        <v>0</v>
      </c>
      <c r="Z1882" s="85">
        <f t="shared" si="203"/>
        <v>0</v>
      </c>
      <c r="AA1882" s="69">
        <f>STATS1003B!AA1886/1000</f>
        <v>1012.491</v>
      </c>
      <c r="AB1882" s="69">
        <f>STATS1003B!AB1886/1000</f>
        <v>0</v>
      </c>
    </row>
    <row r="1883" spans="1:28" hidden="1" x14ac:dyDescent="0.3">
      <c r="A1883" s="117"/>
      <c r="C1883" s="68" t="s">
        <v>535</v>
      </c>
      <c r="D1883" s="145" t="s">
        <v>88</v>
      </c>
      <c r="E1883" s="85">
        <f>STATS1003B!E1887/1000</f>
        <v>5074.9549999999999</v>
      </c>
      <c r="F1883" s="85">
        <f>STATS1003B!F1887/1000</f>
        <v>5074.9549999999999</v>
      </c>
      <c r="G1883" s="85">
        <f>STATS1003B!G1887/1000</f>
        <v>0</v>
      </c>
      <c r="H1883" s="85">
        <f>STATS1003B!H1887/1000</f>
        <v>5074.9549999999999</v>
      </c>
      <c r="I1883" s="85">
        <f>STATS1003B!I1887/1000</f>
        <v>0</v>
      </c>
      <c r="J1883" s="85">
        <f>STATS1003B!J1887/1000</f>
        <v>5074.9549999999999</v>
      </c>
      <c r="K1883" s="85">
        <f>STATS1003B!K1887/1000</f>
        <v>0</v>
      </c>
      <c r="L1883" s="85">
        <f>STATS1003B!L1887/1000</f>
        <v>0</v>
      </c>
      <c r="M1883" s="85">
        <f>STATS1003B!M1887/1000</f>
        <v>5074.9549999999999</v>
      </c>
      <c r="N1883" s="85">
        <f>STATS1003B!N1887/1000</f>
        <v>0</v>
      </c>
      <c r="O1883" s="85">
        <f>STATS1003B!O1887/1000</f>
        <v>0</v>
      </c>
      <c r="P1883" s="85">
        <f>STATS1003B!P1887/1000</f>
        <v>0</v>
      </c>
      <c r="Q1883" s="85">
        <f>STATS1003B!Q1887/1000</f>
        <v>5074.9549999999999</v>
      </c>
      <c r="R1883" s="85">
        <f>STATS1003B!R1887/1000</f>
        <v>0</v>
      </c>
      <c r="S1883" s="85">
        <f>STATS1003B!S1887/1000</f>
        <v>0</v>
      </c>
      <c r="T1883" s="85">
        <f>STATS1003B!T1887/1000</f>
        <v>0</v>
      </c>
      <c r="U1883" s="85">
        <f>STATS1003B!U1887/1000</f>
        <v>0</v>
      </c>
      <c r="V1883" s="85">
        <f>STATS1003B!V1887/1000</f>
        <v>0</v>
      </c>
      <c r="W1883" s="85">
        <f>STATS1003B!W1887/1000</f>
        <v>0</v>
      </c>
      <c r="X1883" s="85">
        <f t="shared" si="202"/>
        <v>5074.9549999999999</v>
      </c>
      <c r="Y1883" s="85">
        <f>STATS1003B!Y1887/1000</f>
        <v>0</v>
      </c>
      <c r="Z1883" s="85">
        <f t="shared" si="203"/>
        <v>0</v>
      </c>
      <c r="AA1883" s="69">
        <f>STATS1003B!AA1887/1000</f>
        <v>5074.9549999999999</v>
      </c>
      <c r="AB1883" s="69">
        <f>STATS1003B!AB1887/1000</f>
        <v>0</v>
      </c>
    </row>
    <row r="1884" spans="1:28" hidden="1" x14ac:dyDescent="0.3">
      <c r="A1884" s="117"/>
      <c r="C1884" s="68" t="s">
        <v>535</v>
      </c>
      <c r="D1884" s="145" t="s">
        <v>58</v>
      </c>
      <c r="E1884" s="85">
        <f>STATS1003B!E1888/1000</f>
        <v>9561.7260000000006</v>
      </c>
      <c r="F1884" s="85">
        <f>STATS1003B!F1888/1000</f>
        <v>9561.7260000000006</v>
      </c>
      <c r="G1884" s="85">
        <f>STATS1003B!G1888/1000</f>
        <v>0</v>
      </c>
      <c r="H1884" s="85">
        <f>STATS1003B!H1888/1000</f>
        <v>9561.7260000000006</v>
      </c>
      <c r="I1884" s="85">
        <f>STATS1003B!I1888/1000</f>
        <v>0</v>
      </c>
      <c r="J1884" s="85">
        <f>STATS1003B!J1888/1000</f>
        <v>9561.7260000000006</v>
      </c>
      <c r="K1884" s="85">
        <f>STATS1003B!K1888/1000</f>
        <v>0</v>
      </c>
      <c r="L1884" s="85">
        <f>STATS1003B!L1888/1000</f>
        <v>0</v>
      </c>
      <c r="M1884" s="85">
        <f>STATS1003B!M1888/1000</f>
        <v>9561.7260000000006</v>
      </c>
      <c r="N1884" s="85">
        <f>STATS1003B!N1888/1000</f>
        <v>0</v>
      </c>
      <c r="O1884" s="85">
        <f>STATS1003B!O1888/1000</f>
        <v>0</v>
      </c>
      <c r="P1884" s="85">
        <f>STATS1003B!P1888/1000</f>
        <v>0</v>
      </c>
      <c r="Q1884" s="85">
        <f>STATS1003B!Q1888/1000</f>
        <v>9561.7260000000006</v>
      </c>
      <c r="R1884" s="85">
        <f>STATS1003B!R1888/1000</f>
        <v>0</v>
      </c>
      <c r="S1884" s="85">
        <f>STATS1003B!S1888/1000</f>
        <v>0</v>
      </c>
      <c r="T1884" s="85">
        <f>STATS1003B!T1888/1000</f>
        <v>0</v>
      </c>
      <c r="U1884" s="85">
        <f>STATS1003B!U1888/1000</f>
        <v>0</v>
      </c>
      <c r="V1884" s="85">
        <f>STATS1003B!V1888/1000</f>
        <v>0</v>
      </c>
      <c r="W1884" s="85">
        <f>STATS1003B!W1888/1000</f>
        <v>0</v>
      </c>
      <c r="X1884" s="85">
        <f t="shared" si="202"/>
        <v>9561.7260000000006</v>
      </c>
      <c r="Y1884" s="85">
        <f>STATS1003B!Y1888/1000</f>
        <v>0</v>
      </c>
      <c r="Z1884" s="85">
        <f t="shared" si="203"/>
        <v>0</v>
      </c>
      <c r="AA1884" s="69">
        <f>STATS1003B!AA1888/1000</f>
        <v>9561.7260000000006</v>
      </c>
      <c r="AB1884" s="69">
        <f>STATS1003B!AB1888/1000</f>
        <v>0</v>
      </c>
    </row>
    <row r="1885" spans="1:28" hidden="1" x14ac:dyDescent="0.3">
      <c r="A1885" s="117"/>
      <c r="C1885" s="68" t="s">
        <v>535</v>
      </c>
      <c r="D1885" s="145" t="s">
        <v>60</v>
      </c>
      <c r="E1885" s="85">
        <f>STATS1003B!E1889/1000</f>
        <v>8196.7822099999994</v>
      </c>
      <c r="F1885" s="85">
        <f>STATS1003B!F1889/1000</f>
        <v>8196.7822099999994</v>
      </c>
      <c r="G1885" s="85">
        <f>STATS1003B!G1889/1000</f>
        <v>0</v>
      </c>
      <c r="H1885" s="85">
        <f>STATS1003B!H1889/1000</f>
        <v>8196.7822099999994</v>
      </c>
      <c r="I1885" s="85">
        <f>STATS1003B!I1889/1000</f>
        <v>0</v>
      </c>
      <c r="J1885" s="85">
        <f>STATS1003B!J1889/1000</f>
        <v>8196.7822099999994</v>
      </c>
      <c r="K1885" s="85">
        <f>STATS1003B!K1889/1000</f>
        <v>0</v>
      </c>
      <c r="L1885" s="85">
        <f>STATS1003B!L1889/1000</f>
        <v>0</v>
      </c>
      <c r="M1885" s="85">
        <f>STATS1003B!M1889/1000</f>
        <v>8196.7822099999994</v>
      </c>
      <c r="N1885" s="85">
        <f>STATS1003B!N1889/1000</f>
        <v>0</v>
      </c>
      <c r="O1885" s="85">
        <f>STATS1003B!O1889/1000</f>
        <v>0</v>
      </c>
      <c r="P1885" s="85">
        <f>STATS1003B!P1889/1000</f>
        <v>0</v>
      </c>
      <c r="Q1885" s="85">
        <f>STATS1003B!Q1889/1000</f>
        <v>8196.7822099999994</v>
      </c>
      <c r="R1885" s="85">
        <f>STATS1003B!R1889/1000</f>
        <v>0</v>
      </c>
      <c r="S1885" s="85">
        <f>STATS1003B!S1889/1000</f>
        <v>0</v>
      </c>
      <c r="T1885" s="85">
        <f>STATS1003B!T1889/1000</f>
        <v>0</v>
      </c>
      <c r="U1885" s="85">
        <f>STATS1003B!U1889/1000</f>
        <v>0</v>
      </c>
      <c r="V1885" s="85">
        <f>STATS1003B!V1889/1000</f>
        <v>0</v>
      </c>
      <c r="W1885" s="85">
        <f>STATS1003B!W1889/1000</f>
        <v>0</v>
      </c>
      <c r="X1885" s="85">
        <f t="shared" si="202"/>
        <v>8196.7822099999994</v>
      </c>
      <c r="Y1885" s="85">
        <f>STATS1003B!Y1889/1000</f>
        <v>0</v>
      </c>
      <c r="Z1885" s="85">
        <f t="shared" si="203"/>
        <v>0</v>
      </c>
      <c r="AA1885" s="69">
        <f>STATS1003B!AA1889/1000</f>
        <v>8196.7822099999994</v>
      </c>
      <c r="AB1885" s="69">
        <f>STATS1003B!AB1889/1000</f>
        <v>0</v>
      </c>
    </row>
    <row r="1886" spans="1:28" hidden="1" x14ac:dyDescent="0.3">
      <c r="A1886" s="117"/>
      <c r="C1886" s="68" t="s">
        <v>1182</v>
      </c>
      <c r="D1886" s="90" t="s">
        <v>1126</v>
      </c>
      <c r="E1886" s="85">
        <f>STATS1003B!E1890/1000</f>
        <v>500</v>
      </c>
      <c r="F1886" s="85">
        <f>STATS1003B!F1890/1000</f>
        <v>500</v>
      </c>
      <c r="G1886" s="85">
        <f>STATS1003B!G1890/1000</f>
        <v>0</v>
      </c>
      <c r="H1886" s="85">
        <f>STATS1003B!H1890/1000</f>
        <v>500</v>
      </c>
      <c r="I1886" s="85">
        <f>STATS1003B!I1890/1000</f>
        <v>0</v>
      </c>
      <c r="J1886" s="85">
        <f>STATS1003B!J1890/1000</f>
        <v>500</v>
      </c>
      <c r="K1886" s="85">
        <f>STATS1003B!K1890/1000</f>
        <v>0</v>
      </c>
      <c r="L1886" s="85">
        <f>STATS1003B!L1890/1000</f>
        <v>0</v>
      </c>
      <c r="M1886" s="85">
        <f>STATS1003B!M1890/1000</f>
        <v>500</v>
      </c>
      <c r="N1886" s="85">
        <f>STATS1003B!N1890/1000</f>
        <v>0</v>
      </c>
      <c r="O1886" s="85">
        <f>STATS1003B!O1890/1000</f>
        <v>0</v>
      </c>
      <c r="P1886" s="85">
        <f>STATS1003B!P1890/1000</f>
        <v>0</v>
      </c>
      <c r="Q1886" s="85">
        <f>STATS1003B!Q1890/1000</f>
        <v>0</v>
      </c>
      <c r="R1886" s="85">
        <f>STATS1003B!R1890/1000</f>
        <v>0</v>
      </c>
      <c r="S1886" s="85">
        <f>STATS1003B!S1890/1000</f>
        <v>0</v>
      </c>
      <c r="T1886" s="85">
        <f>STATS1003B!T1890/1000</f>
        <v>0</v>
      </c>
      <c r="U1886" s="85">
        <f>STATS1003B!U1890/1000</f>
        <v>0</v>
      </c>
      <c r="V1886" s="85">
        <f>STATS1003B!V1890/1000</f>
        <v>0</v>
      </c>
      <c r="W1886" s="85">
        <f>STATS1003B!W1890/1000</f>
        <v>0</v>
      </c>
      <c r="X1886" s="85">
        <f t="shared" ref="X1886:X1949" si="208">+H1886+P1886</f>
        <v>500</v>
      </c>
      <c r="Y1886" s="85">
        <f>STATS1003B!Y1890/1000</f>
        <v>0</v>
      </c>
      <c r="Z1886" s="85">
        <f t="shared" si="203"/>
        <v>0</v>
      </c>
      <c r="AA1886" s="69">
        <f>STATS1003B!AA1890/1000</f>
        <v>500</v>
      </c>
      <c r="AB1886" s="69">
        <f>STATS1003B!AB1890/1000</f>
        <v>0</v>
      </c>
    </row>
    <row r="1887" spans="1:28" hidden="1" x14ac:dyDescent="0.3">
      <c r="A1887" s="117"/>
      <c r="C1887" s="68" t="s">
        <v>1173</v>
      </c>
      <c r="D1887" s="90" t="s">
        <v>1126</v>
      </c>
      <c r="E1887" s="85">
        <f>STATS1003B!E1891/1000</f>
        <v>30872.020490000003</v>
      </c>
      <c r="F1887" s="85">
        <f>STATS1003B!F1891/1000</f>
        <v>30872.020490000003</v>
      </c>
      <c r="G1887" s="85">
        <f>STATS1003B!G1891/1000</f>
        <v>0</v>
      </c>
      <c r="H1887" s="85">
        <f>STATS1003B!H1891/1000</f>
        <v>30872.020490000003</v>
      </c>
      <c r="I1887" s="85">
        <f>STATS1003B!I1891/1000</f>
        <v>0</v>
      </c>
      <c r="J1887" s="85">
        <f>STATS1003B!J1891/1000</f>
        <v>30872.020490000003</v>
      </c>
      <c r="K1887" s="85">
        <f>STATS1003B!K1891/1000</f>
        <v>0</v>
      </c>
      <c r="L1887" s="85">
        <f>STATS1003B!L1891/1000</f>
        <v>0</v>
      </c>
      <c r="M1887" s="85">
        <f>STATS1003B!M1891/1000</f>
        <v>30872.020490000003</v>
      </c>
      <c r="N1887" s="85">
        <f>STATS1003B!N1891/1000</f>
        <v>0</v>
      </c>
      <c r="O1887" s="85">
        <f>STATS1003B!O1891/1000</f>
        <v>0</v>
      </c>
      <c r="P1887" s="85">
        <f>STATS1003B!P1891/1000</f>
        <v>0</v>
      </c>
      <c r="Q1887" s="85">
        <f>STATS1003B!Q1891/1000</f>
        <v>0</v>
      </c>
      <c r="R1887" s="85">
        <f>STATS1003B!R1891/1000</f>
        <v>0</v>
      </c>
      <c r="S1887" s="85">
        <f>STATS1003B!S1891/1000</f>
        <v>0</v>
      </c>
      <c r="T1887" s="85">
        <f>STATS1003B!T1891/1000</f>
        <v>0</v>
      </c>
      <c r="U1887" s="85">
        <f>STATS1003B!U1891/1000</f>
        <v>0</v>
      </c>
      <c r="V1887" s="85">
        <f>STATS1003B!V1891/1000</f>
        <v>0</v>
      </c>
      <c r="W1887" s="85">
        <f>STATS1003B!W1891/1000</f>
        <v>0</v>
      </c>
      <c r="X1887" s="85">
        <f t="shared" si="208"/>
        <v>30872.020490000003</v>
      </c>
      <c r="Y1887" s="85">
        <f>STATS1003B!Y1891/1000</f>
        <v>0</v>
      </c>
      <c r="Z1887" s="85">
        <f t="shared" si="203"/>
        <v>0</v>
      </c>
      <c r="AA1887" s="69">
        <f>STATS1003B!AA1891/1000</f>
        <v>30872.020490000003</v>
      </c>
      <c r="AB1887" s="69">
        <f>STATS1003B!AB1891/1000</f>
        <v>0</v>
      </c>
    </row>
    <row r="1888" spans="1:28" hidden="1" x14ac:dyDescent="0.3">
      <c r="A1888" s="117"/>
      <c r="C1888" s="68" t="s">
        <v>1245</v>
      </c>
      <c r="D1888" s="90" t="s">
        <v>1225</v>
      </c>
      <c r="E1888" s="85">
        <f>STATS1003B!E1892/1000</f>
        <v>10217.873850000002</v>
      </c>
      <c r="F1888" s="85">
        <f>STATS1003B!F1892/1000</f>
        <v>0</v>
      </c>
      <c r="G1888" s="85">
        <f>STATS1003B!G1892/1000</f>
        <v>10217.87385</v>
      </c>
      <c r="H1888" s="85">
        <f>STATS1003B!H1892/1000</f>
        <v>10217.87385</v>
      </c>
      <c r="I1888" s="85">
        <f>STATS1003B!I1892/1000</f>
        <v>0</v>
      </c>
      <c r="J1888" s="85">
        <f>STATS1003B!J1892/1000</f>
        <v>10217.87385</v>
      </c>
      <c r="K1888" s="85">
        <f>STATS1003B!K1892/1000</f>
        <v>0</v>
      </c>
      <c r="L1888" s="85">
        <f>STATS1003B!L1892/1000</f>
        <v>0</v>
      </c>
      <c r="M1888" s="85">
        <f>STATS1003B!M1892/1000</f>
        <v>10217.87385</v>
      </c>
      <c r="N1888" s="85">
        <f>STATS1003B!N1892/1000</f>
        <v>0</v>
      </c>
      <c r="O1888" s="85">
        <f>STATS1003B!O1892/1000</f>
        <v>0</v>
      </c>
      <c r="P1888" s="85">
        <f>STATS1003B!P1892/1000</f>
        <v>0</v>
      </c>
      <c r="Q1888" s="85">
        <f>STATS1003B!Q1892/1000</f>
        <v>0</v>
      </c>
      <c r="R1888" s="85">
        <f>STATS1003B!R1892/1000</f>
        <v>0</v>
      </c>
      <c r="S1888" s="85">
        <f>STATS1003B!S1892/1000</f>
        <v>0</v>
      </c>
      <c r="T1888" s="85">
        <f>STATS1003B!T1892/1000</f>
        <v>0</v>
      </c>
      <c r="U1888" s="85">
        <f>STATS1003B!U1892/1000</f>
        <v>0</v>
      </c>
      <c r="V1888" s="85">
        <f>STATS1003B!V1892/1000</f>
        <v>0</v>
      </c>
      <c r="W1888" s="85">
        <f>STATS1003B!W1892/1000</f>
        <v>0</v>
      </c>
      <c r="X1888" s="85">
        <f t="shared" si="208"/>
        <v>10217.87385</v>
      </c>
      <c r="Y1888" s="85">
        <f>STATS1003B!Y1892/1000</f>
        <v>0</v>
      </c>
      <c r="Z1888" s="85">
        <f t="shared" si="203"/>
        <v>0</v>
      </c>
      <c r="AA1888" s="69">
        <f>STATS1003B!AA1892/1000</f>
        <v>10217.87385</v>
      </c>
      <c r="AB1888" s="69">
        <f>STATS1003B!AB1892/1000</f>
        <v>0</v>
      </c>
    </row>
    <row r="1889" spans="1:28" hidden="1" x14ac:dyDescent="0.3">
      <c r="A1889" s="117"/>
      <c r="C1889" s="68" t="s">
        <v>785</v>
      </c>
      <c r="D1889" s="145" t="s">
        <v>60</v>
      </c>
      <c r="E1889" s="85">
        <f>STATS1003B!E1893/1000</f>
        <v>1000</v>
      </c>
      <c r="F1889" s="85">
        <f>STATS1003B!F1893/1000</f>
        <v>1000</v>
      </c>
      <c r="G1889" s="85">
        <f>STATS1003B!G1893/1000</f>
        <v>0</v>
      </c>
      <c r="H1889" s="85">
        <f>STATS1003B!H1893/1000</f>
        <v>1000</v>
      </c>
      <c r="I1889" s="85">
        <f>STATS1003B!I1893/1000</f>
        <v>0</v>
      </c>
      <c r="J1889" s="85">
        <f>STATS1003B!J1893/1000</f>
        <v>1000</v>
      </c>
      <c r="K1889" s="85">
        <f>STATS1003B!K1893/1000</f>
        <v>0</v>
      </c>
      <c r="L1889" s="85">
        <f>STATS1003B!L1893/1000</f>
        <v>0</v>
      </c>
      <c r="M1889" s="85">
        <f>STATS1003B!M1893/1000</f>
        <v>1000</v>
      </c>
      <c r="N1889" s="85">
        <f>STATS1003B!N1893/1000</f>
        <v>0</v>
      </c>
      <c r="O1889" s="85">
        <f>STATS1003B!O1893/1000</f>
        <v>0</v>
      </c>
      <c r="P1889" s="85">
        <f>STATS1003B!P1893/1000</f>
        <v>0</v>
      </c>
      <c r="Q1889" s="85">
        <f>STATS1003B!Q1893/1000</f>
        <v>1000</v>
      </c>
      <c r="R1889" s="85">
        <f>STATS1003B!R1893/1000</f>
        <v>0</v>
      </c>
      <c r="S1889" s="85">
        <f>STATS1003B!S1893/1000</f>
        <v>0</v>
      </c>
      <c r="T1889" s="85">
        <f>STATS1003B!T1893/1000</f>
        <v>0</v>
      </c>
      <c r="U1889" s="85">
        <f>STATS1003B!U1893/1000</f>
        <v>0</v>
      </c>
      <c r="V1889" s="85">
        <f>STATS1003B!V1893/1000</f>
        <v>0</v>
      </c>
      <c r="W1889" s="85">
        <f>STATS1003B!W1893/1000</f>
        <v>0</v>
      </c>
      <c r="X1889" s="85">
        <f t="shared" si="208"/>
        <v>1000</v>
      </c>
      <c r="Y1889" s="85">
        <f>STATS1003B!Y1893/1000</f>
        <v>0</v>
      </c>
      <c r="Z1889" s="85">
        <f t="shared" si="203"/>
        <v>0</v>
      </c>
      <c r="AA1889" s="69">
        <f>STATS1003B!AA1893/1000</f>
        <v>1000</v>
      </c>
      <c r="AB1889" s="69">
        <f>STATS1003B!AB1893/1000</f>
        <v>0</v>
      </c>
    </row>
    <row r="1890" spans="1:28" hidden="1" x14ac:dyDescent="0.3">
      <c r="A1890" s="117"/>
      <c r="C1890" s="68" t="s">
        <v>535</v>
      </c>
      <c r="D1890" s="88" t="s">
        <v>73</v>
      </c>
      <c r="E1890" s="85">
        <f>STATS1003B!E1894/1000</f>
        <v>8480.7080000000005</v>
      </c>
      <c r="F1890" s="85">
        <f>STATS1003B!F1894/1000</f>
        <v>8480.7080000000005</v>
      </c>
      <c r="G1890" s="85">
        <f>STATS1003B!G1894/1000</f>
        <v>0</v>
      </c>
      <c r="H1890" s="85">
        <f>STATS1003B!H1894/1000</f>
        <v>8480.7080000000005</v>
      </c>
      <c r="I1890" s="85">
        <f>STATS1003B!I1894/1000</f>
        <v>0</v>
      </c>
      <c r="J1890" s="85">
        <f>STATS1003B!J1894/1000</f>
        <v>8480.7080000000005</v>
      </c>
      <c r="K1890" s="85">
        <f>STATS1003B!K1894/1000</f>
        <v>0</v>
      </c>
      <c r="L1890" s="85">
        <f>STATS1003B!L1894/1000</f>
        <v>0</v>
      </c>
      <c r="M1890" s="85">
        <f>STATS1003B!M1894/1000</f>
        <v>8480.7080000000005</v>
      </c>
      <c r="N1890" s="85">
        <f>STATS1003B!N1894/1000</f>
        <v>0</v>
      </c>
      <c r="O1890" s="85">
        <f>STATS1003B!O1894/1000</f>
        <v>0</v>
      </c>
      <c r="P1890" s="85">
        <f>STATS1003B!P1894/1000</f>
        <v>0</v>
      </c>
      <c r="Q1890" s="85">
        <f>STATS1003B!Q1894/1000</f>
        <v>8480.7080000000005</v>
      </c>
      <c r="R1890" s="85">
        <f>STATS1003B!R1894/1000</f>
        <v>0</v>
      </c>
      <c r="S1890" s="85">
        <f>STATS1003B!S1894/1000</f>
        <v>0</v>
      </c>
      <c r="T1890" s="85">
        <f>STATS1003B!T1894/1000</f>
        <v>0</v>
      </c>
      <c r="U1890" s="85">
        <f>STATS1003B!U1894/1000</f>
        <v>0</v>
      </c>
      <c r="V1890" s="85">
        <f>STATS1003B!V1894/1000</f>
        <v>0</v>
      </c>
      <c r="W1890" s="85">
        <f>STATS1003B!W1894/1000</f>
        <v>0</v>
      </c>
      <c r="X1890" s="85">
        <f t="shared" si="208"/>
        <v>8480.7080000000005</v>
      </c>
      <c r="Y1890" s="85">
        <f>STATS1003B!Y1894/1000</f>
        <v>0</v>
      </c>
      <c r="Z1890" s="85">
        <f t="shared" si="203"/>
        <v>0</v>
      </c>
      <c r="AA1890" s="69">
        <f>STATS1003B!AA1894/1000</f>
        <v>8480.7080000000005</v>
      </c>
      <c r="AB1890" s="69">
        <f>STATS1003B!AB1894/1000</f>
        <v>0</v>
      </c>
    </row>
    <row r="1891" spans="1:28" hidden="1" x14ac:dyDescent="0.3">
      <c r="A1891" s="117"/>
      <c r="C1891" s="68" t="s">
        <v>535</v>
      </c>
      <c r="D1891" s="88" t="s">
        <v>61</v>
      </c>
      <c r="E1891" s="85">
        <f>STATS1003B!E1895/1000</f>
        <v>8027.6912700000003</v>
      </c>
      <c r="F1891" s="85">
        <f>STATS1003B!F1895/1000</f>
        <v>7861.6587399999999</v>
      </c>
      <c r="G1891" s="85">
        <f>STATS1003B!G1895/1000</f>
        <v>0</v>
      </c>
      <c r="H1891" s="85">
        <f>STATS1003B!H1895/1000</f>
        <v>7861.6587399999999</v>
      </c>
      <c r="I1891" s="85">
        <f>STATS1003B!I1895/1000</f>
        <v>0</v>
      </c>
      <c r="J1891" s="85">
        <f>STATS1003B!J1895/1000</f>
        <v>7861.6587399999999</v>
      </c>
      <c r="K1891" s="85">
        <f>STATS1003B!K1895/1000</f>
        <v>0</v>
      </c>
      <c r="L1891" s="85">
        <f>STATS1003B!L1895/1000</f>
        <v>0</v>
      </c>
      <c r="M1891" s="85">
        <f>STATS1003B!M1895/1000</f>
        <v>7861.6587399999999</v>
      </c>
      <c r="N1891" s="85">
        <f>STATS1003B!N1895/1000</f>
        <v>0</v>
      </c>
      <c r="O1891" s="85">
        <f>STATS1003B!O1895/1000</f>
        <v>0</v>
      </c>
      <c r="P1891" s="85">
        <f>STATS1003B!P1895/1000</f>
        <v>0</v>
      </c>
      <c r="Q1891" s="85">
        <f>STATS1003B!Q1895/1000</f>
        <v>8027.6912700000003</v>
      </c>
      <c r="R1891" s="85">
        <f>STATS1003B!R1895/1000</f>
        <v>0</v>
      </c>
      <c r="S1891" s="85">
        <f>STATS1003B!S1895/1000</f>
        <v>0</v>
      </c>
      <c r="T1891" s="85">
        <f>STATS1003B!T1895/1000</f>
        <v>166.03253000000001</v>
      </c>
      <c r="U1891" s="85">
        <f>STATS1003B!U1895/1000</f>
        <v>166.03253000000001</v>
      </c>
      <c r="V1891" s="85">
        <f>STATS1003B!V1895/1000</f>
        <v>0</v>
      </c>
      <c r="W1891" s="85">
        <f>STATS1003B!W1895/1000</f>
        <v>0</v>
      </c>
      <c r="X1891" s="85">
        <f t="shared" si="208"/>
        <v>7861.6587399999999</v>
      </c>
      <c r="Y1891" s="85">
        <f>STATS1003B!Y1895/1000</f>
        <v>0</v>
      </c>
      <c r="Z1891" s="85">
        <f t="shared" si="203"/>
        <v>166.03253000000041</v>
      </c>
      <c r="AA1891" s="69">
        <f>STATS1003B!AA1895/1000</f>
        <v>8027.6912700000003</v>
      </c>
      <c r="AB1891" s="69">
        <f>STATS1003B!AB1895/1000</f>
        <v>0</v>
      </c>
    </row>
    <row r="1892" spans="1:28" hidden="1" x14ac:dyDescent="0.3">
      <c r="A1892" s="117"/>
      <c r="C1892" s="68" t="s">
        <v>702</v>
      </c>
      <c r="E1892" s="85">
        <f>STATS1003B!E1896/1000</f>
        <v>273</v>
      </c>
      <c r="F1892" s="85">
        <f>STATS1003B!F1896/1000</f>
        <v>0</v>
      </c>
      <c r="G1892" s="85">
        <f>STATS1003B!G1896/1000</f>
        <v>0</v>
      </c>
      <c r="H1892" s="85">
        <f>STATS1003B!H1896/1000</f>
        <v>0</v>
      </c>
      <c r="I1892" s="85">
        <f>STATS1003B!I1896/1000</f>
        <v>0</v>
      </c>
      <c r="J1892" s="85">
        <f>STATS1003B!J1896/1000</f>
        <v>0</v>
      </c>
      <c r="K1892" s="85">
        <f>STATS1003B!K1896/1000</f>
        <v>273</v>
      </c>
      <c r="L1892" s="85">
        <f>STATS1003B!L1896/1000</f>
        <v>0</v>
      </c>
      <c r="M1892" s="85">
        <f>STATS1003B!M1896/1000</f>
        <v>0</v>
      </c>
      <c r="N1892" s="85">
        <f>STATS1003B!N1896/1000</f>
        <v>273</v>
      </c>
      <c r="O1892" s="85">
        <f>STATS1003B!O1896/1000</f>
        <v>0</v>
      </c>
      <c r="P1892" s="85">
        <f>STATS1003B!P1896/1000</f>
        <v>273</v>
      </c>
      <c r="Q1892" s="85">
        <f>STATS1003B!Q1896/1000</f>
        <v>0</v>
      </c>
      <c r="R1892" s="85">
        <f>STATS1003B!R1896/1000</f>
        <v>0</v>
      </c>
      <c r="S1892" s="85">
        <f>STATS1003B!S1896/1000</f>
        <v>0</v>
      </c>
      <c r="T1892" s="85">
        <f>STATS1003B!T1896/1000</f>
        <v>0</v>
      </c>
      <c r="U1892" s="85">
        <f>STATS1003B!U1896/1000</f>
        <v>273</v>
      </c>
      <c r="V1892" s="85">
        <f>STATS1003B!V1896/1000</f>
        <v>0</v>
      </c>
      <c r="W1892" s="85">
        <f>STATS1003B!W1896/1000</f>
        <v>0</v>
      </c>
      <c r="X1892" s="85">
        <f t="shared" si="208"/>
        <v>273</v>
      </c>
      <c r="Y1892" s="85">
        <f>STATS1003B!Y1896/1000</f>
        <v>0</v>
      </c>
      <c r="Z1892" s="85">
        <f t="shared" si="203"/>
        <v>0</v>
      </c>
      <c r="AA1892" s="69">
        <f>STATS1003B!AA1896/1000</f>
        <v>273</v>
      </c>
      <c r="AB1892" s="69">
        <f>STATS1003B!AB1896/1000</f>
        <v>0</v>
      </c>
    </row>
    <row r="1893" spans="1:28" hidden="1" x14ac:dyDescent="0.3">
      <c r="A1893" s="117"/>
      <c r="C1893" s="68" t="s">
        <v>592</v>
      </c>
      <c r="E1893" s="85">
        <f>STATS1003B!E1897/1000</f>
        <v>1999.99766</v>
      </c>
      <c r="F1893" s="85">
        <f>STATS1003B!F1897/1000</f>
        <v>1948.1426600000002</v>
      </c>
      <c r="G1893" s="85">
        <f>STATS1003B!G1897/1000</f>
        <v>0</v>
      </c>
      <c r="H1893" s="85">
        <f>STATS1003B!H1897/1000</f>
        <v>1948.1426600000002</v>
      </c>
      <c r="I1893" s="85">
        <f>STATS1003B!I1897/1000</f>
        <v>0</v>
      </c>
      <c r="J1893" s="85">
        <f>STATS1003B!J1897/1000</f>
        <v>1948.1426600000002</v>
      </c>
      <c r="K1893" s="85">
        <f>STATS1003B!K1897/1000</f>
        <v>51.854999999999997</v>
      </c>
      <c r="L1893" s="85">
        <f>STATS1003B!L1897/1000</f>
        <v>0</v>
      </c>
      <c r="M1893" s="85">
        <f>STATS1003B!M1897/1000</f>
        <v>1948.1426600000002</v>
      </c>
      <c r="N1893" s="85">
        <f>STATS1003B!N1897/1000</f>
        <v>51.854999999999997</v>
      </c>
      <c r="O1893" s="85">
        <f>STATS1003B!O1897/1000</f>
        <v>0</v>
      </c>
      <c r="P1893" s="85">
        <f>STATS1003B!P1897/1000</f>
        <v>51.854999999999997</v>
      </c>
      <c r="Q1893" s="85">
        <f>STATS1003B!Q1897/1000</f>
        <v>1948.14266</v>
      </c>
      <c r="R1893" s="85">
        <f>STATS1003B!R1897/1000</f>
        <v>0</v>
      </c>
      <c r="S1893" s="85">
        <f>STATS1003B!S1897/1000</f>
        <v>0</v>
      </c>
      <c r="T1893" s="85">
        <f>STATS1003B!T1897/1000</f>
        <v>0</v>
      </c>
      <c r="U1893" s="85">
        <f>STATS1003B!U1897/1000</f>
        <v>51.854999999999997</v>
      </c>
      <c r="V1893" s="85">
        <f>STATS1003B!V1897/1000</f>
        <v>0</v>
      </c>
      <c r="W1893" s="85">
        <f>STATS1003B!W1897/1000</f>
        <v>0</v>
      </c>
      <c r="X1893" s="85">
        <f t="shared" si="208"/>
        <v>1999.9976600000002</v>
      </c>
      <c r="Y1893" s="85">
        <f>STATS1003B!Y1897/1000</f>
        <v>0</v>
      </c>
      <c r="Z1893" s="85">
        <f t="shared" si="203"/>
        <v>0</v>
      </c>
      <c r="AA1893" s="69">
        <f>STATS1003B!AA1897/1000</f>
        <v>1999.9976600000002</v>
      </c>
      <c r="AB1893" s="69">
        <f>STATS1003B!AB1897/1000</f>
        <v>0</v>
      </c>
    </row>
    <row r="1894" spans="1:28" hidden="1" x14ac:dyDescent="0.3">
      <c r="A1894" s="117"/>
      <c r="C1894" s="68" t="s">
        <v>598</v>
      </c>
      <c r="E1894" s="85">
        <f>STATS1003B!E1898/1000</f>
        <v>217.21299999999999</v>
      </c>
      <c r="F1894" s="85">
        <f>STATS1003B!F1898/1000</f>
        <v>217.21299999999999</v>
      </c>
      <c r="G1894" s="85">
        <f>STATS1003B!G1898/1000</f>
        <v>0</v>
      </c>
      <c r="H1894" s="85">
        <f>STATS1003B!H1898/1000</f>
        <v>217.21299999999999</v>
      </c>
      <c r="I1894" s="85">
        <f>STATS1003B!I1898/1000</f>
        <v>0</v>
      </c>
      <c r="J1894" s="85">
        <f>STATS1003B!J1898/1000</f>
        <v>217.21299999999999</v>
      </c>
      <c r="K1894" s="85">
        <f>STATS1003B!K1898/1000</f>
        <v>0</v>
      </c>
      <c r="L1894" s="85">
        <f>STATS1003B!L1898/1000</f>
        <v>0</v>
      </c>
      <c r="M1894" s="85">
        <f>STATS1003B!M1898/1000</f>
        <v>217.21299999999999</v>
      </c>
      <c r="N1894" s="85">
        <f>STATS1003B!N1898/1000</f>
        <v>0</v>
      </c>
      <c r="O1894" s="85">
        <f>STATS1003B!O1898/1000</f>
        <v>0</v>
      </c>
      <c r="P1894" s="85">
        <f>STATS1003B!P1898/1000</f>
        <v>0</v>
      </c>
      <c r="Q1894" s="85">
        <f>STATS1003B!Q1898/1000</f>
        <v>217.21299999999999</v>
      </c>
      <c r="R1894" s="85">
        <f>STATS1003B!R1898/1000</f>
        <v>0</v>
      </c>
      <c r="S1894" s="85">
        <f>STATS1003B!S1898/1000</f>
        <v>0</v>
      </c>
      <c r="T1894" s="85">
        <f>STATS1003B!T1898/1000</f>
        <v>0</v>
      </c>
      <c r="U1894" s="85">
        <f>STATS1003B!U1898/1000</f>
        <v>0</v>
      </c>
      <c r="V1894" s="85">
        <f>STATS1003B!V1898/1000</f>
        <v>0</v>
      </c>
      <c r="W1894" s="85">
        <f>STATS1003B!W1898/1000</f>
        <v>0</v>
      </c>
      <c r="X1894" s="85">
        <f t="shared" si="208"/>
        <v>217.21299999999999</v>
      </c>
      <c r="Y1894" s="85">
        <f>STATS1003B!Y1898/1000</f>
        <v>0</v>
      </c>
      <c r="Z1894" s="85">
        <f t="shared" si="203"/>
        <v>0</v>
      </c>
      <c r="AA1894" s="69">
        <f>STATS1003B!AA1898/1000</f>
        <v>217.21299999999999</v>
      </c>
      <c r="AB1894" s="69">
        <f>STATS1003B!AB1898/1000</f>
        <v>0</v>
      </c>
    </row>
    <row r="1895" spans="1:28" hidden="1" x14ac:dyDescent="0.3">
      <c r="A1895" s="117"/>
      <c r="C1895" s="68" t="s">
        <v>1083</v>
      </c>
      <c r="E1895" s="85">
        <f>STATS1003B!E1899/1000</f>
        <v>12886.418089999999</v>
      </c>
      <c r="F1895" s="85">
        <f>STATS1003B!F1899/1000</f>
        <v>12886.418089999999</v>
      </c>
      <c r="G1895" s="85">
        <f>STATS1003B!G1899/1000</f>
        <v>0</v>
      </c>
      <c r="H1895" s="85">
        <f>STATS1003B!H1899/1000</f>
        <v>12886.418089999999</v>
      </c>
      <c r="I1895" s="85">
        <f>STATS1003B!I1899/1000</f>
        <v>0</v>
      </c>
      <c r="J1895" s="85">
        <f>STATS1003B!J1899/1000</f>
        <v>0</v>
      </c>
      <c r="K1895" s="85">
        <f>STATS1003B!K1899/1000</f>
        <v>0</v>
      </c>
      <c r="L1895" s="85">
        <f>STATS1003B!L1899/1000</f>
        <v>0</v>
      </c>
      <c r="M1895" s="85">
        <f>STATS1003B!M1899/1000</f>
        <v>12886.418089999999</v>
      </c>
      <c r="N1895" s="85">
        <f>STATS1003B!N1899/1000</f>
        <v>0</v>
      </c>
      <c r="O1895" s="85">
        <f>STATS1003B!O1899/1000</f>
        <v>0</v>
      </c>
      <c r="P1895" s="85">
        <f>STATS1003B!P1899/1000</f>
        <v>0</v>
      </c>
      <c r="Q1895" s="85">
        <f>STATS1003B!Q1899/1000</f>
        <v>0</v>
      </c>
      <c r="R1895" s="85">
        <f>STATS1003B!R1899/1000</f>
        <v>0</v>
      </c>
      <c r="S1895" s="85">
        <f>STATS1003B!S1899/1000</f>
        <v>0</v>
      </c>
      <c r="T1895" s="85">
        <f>STATS1003B!T1899/1000</f>
        <v>0</v>
      </c>
      <c r="U1895" s="85">
        <f>STATS1003B!U1899/1000</f>
        <v>0</v>
      </c>
      <c r="V1895" s="85">
        <f>STATS1003B!V1899/1000</f>
        <v>0</v>
      </c>
      <c r="W1895" s="85">
        <f>STATS1003B!W1899/1000</f>
        <v>0</v>
      </c>
      <c r="X1895" s="85">
        <f t="shared" si="208"/>
        <v>12886.418089999999</v>
      </c>
      <c r="Y1895" s="85">
        <f>STATS1003B!Y1899/1000</f>
        <v>0</v>
      </c>
      <c r="Z1895" s="85">
        <f t="shared" ref="Z1895:Z1958" si="209">+E1895-X1895</f>
        <v>0</v>
      </c>
      <c r="AA1895" s="69">
        <f>STATS1003B!AA1899/1000</f>
        <v>12886.418089999999</v>
      </c>
      <c r="AB1895" s="69">
        <f>STATS1003B!AB1899/1000</f>
        <v>0</v>
      </c>
    </row>
    <row r="1896" spans="1:28" hidden="1" x14ac:dyDescent="0.3">
      <c r="A1896" s="117"/>
      <c r="C1896" s="68" t="s">
        <v>1074</v>
      </c>
      <c r="D1896" s="91" t="s">
        <v>1072</v>
      </c>
      <c r="E1896" s="85">
        <f>STATS1003B!E1900/1000</f>
        <v>6162.5879999999997</v>
      </c>
      <c r="F1896" s="85">
        <f>STATS1003B!F1900/1000</f>
        <v>6162.5879999999997</v>
      </c>
      <c r="G1896" s="85">
        <f>STATS1003B!G1900/1000</f>
        <v>0</v>
      </c>
      <c r="H1896" s="85">
        <f>STATS1003B!H1900/1000</f>
        <v>6162.5879999999997</v>
      </c>
      <c r="I1896" s="85">
        <f>STATS1003B!I1900/1000</f>
        <v>0</v>
      </c>
      <c r="J1896" s="85">
        <f>STATS1003B!J1900/1000</f>
        <v>0</v>
      </c>
      <c r="K1896" s="85">
        <f>STATS1003B!K1900/1000</f>
        <v>0</v>
      </c>
      <c r="L1896" s="85">
        <f>STATS1003B!L1900/1000</f>
        <v>0</v>
      </c>
      <c r="M1896" s="85">
        <f>STATS1003B!M1900/1000</f>
        <v>6162.5879999999997</v>
      </c>
      <c r="N1896" s="85">
        <f>STATS1003B!N1900/1000</f>
        <v>0</v>
      </c>
      <c r="O1896" s="85">
        <f>STATS1003B!O1900/1000</f>
        <v>0</v>
      </c>
      <c r="P1896" s="85">
        <f>STATS1003B!P1900/1000</f>
        <v>0</v>
      </c>
      <c r="Q1896" s="85">
        <f>STATS1003B!Q1900/1000</f>
        <v>0</v>
      </c>
      <c r="R1896" s="85">
        <f>STATS1003B!R1900/1000</f>
        <v>0</v>
      </c>
      <c r="S1896" s="85">
        <f>STATS1003B!S1900/1000</f>
        <v>0</v>
      </c>
      <c r="T1896" s="85">
        <f>STATS1003B!T1900/1000</f>
        <v>0</v>
      </c>
      <c r="U1896" s="85">
        <f>STATS1003B!U1900/1000</f>
        <v>0</v>
      </c>
      <c r="V1896" s="85">
        <f>STATS1003B!V1900/1000</f>
        <v>0</v>
      </c>
      <c r="W1896" s="85">
        <f>STATS1003B!W1900/1000</f>
        <v>0</v>
      </c>
      <c r="X1896" s="85">
        <f t="shared" si="208"/>
        <v>6162.5879999999997</v>
      </c>
      <c r="Y1896" s="85">
        <f>STATS1003B!Y1900/1000</f>
        <v>0</v>
      </c>
      <c r="Z1896" s="85">
        <f t="shared" si="209"/>
        <v>0</v>
      </c>
      <c r="AA1896" s="69">
        <f>STATS1003B!AA1900/1000</f>
        <v>6162.5879999999997</v>
      </c>
      <c r="AB1896" s="69">
        <f>STATS1003B!AB1900/1000</f>
        <v>0</v>
      </c>
    </row>
    <row r="1897" spans="1:28" hidden="1" x14ac:dyDescent="0.3">
      <c r="A1897" s="117"/>
      <c r="C1897" s="68" t="s">
        <v>606</v>
      </c>
      <c r="E1897" s="85">
        <f>STATS1003B!E1901/1000</f>
        <v>5338.4664599999996</v>
      </c>
      <c r="F1897" s="85">
        <f>STATS1003B!F1901/1000</f>
        <v>4240.70507</v>
      </c>
      <c r="G1897" s="85">
        <f>STATS1003B!G1901/1000</f>
        <v>0</v>
      </c>
      <c r="H1897" s="85">
        <f>STATS1003B!H1901/1000</f>
        <v>4240.70507</v>
      </c>
      <c r="I1897" s="85">
        <f>STATS1003B!I1901/1000</f>
        <v>1097.7613899999997</v>
      </c>
      <c r="J1897" s="85">
        <f>STATS1003B!J1901/1000</f>
        <v>5338.4664599999996</v>
      </c>
      <c r="K1897" s="85">
        <f>STATS1003B!K1901/1000</f>
        <v>0</v>
      </c>
      <c r="L1897" s="85">
        <f>STATS1003B!L1901/1000</f>
        <v>1097.7613899999999</v>
      </c>
      <c r="M1897" s="85">
        <f>STATS1003B!M1901/1000</f>
        <v>5338.4664599999996</v>
      </c>
      <c r="N1897" s="85">
        <f>STATS1003B!N1901/1000</f>
        <v>0</v>
      </c>
      <c r="O1897" s="85">
        <f>STATS1003B!O1901/1000</f>
        <v>0</v>
      </c>
      <c r="P1897" s="85">
        <f>STATS1003B!P1901/1000</f>
        <v>0</v>
      </c>
      <c r="Q1897" s="85">
        <f>STATS1003B!Q1901/1000</f>
        <v>5338.4664599999996</v>
      </c>
      <c r="R1897" s="85">
        <f>STATS1003B!R1901/1000</f>
        <v>0</v>
      </c>
      <c r="S1897" s="85">
        <f>STATS1003B!S1901/1000</f>
        <v>0</v>
      </c>
      <c r="T1897" s="85">
        <f>STATS1003B!T1901/1000</f>
        <v>0</v>
      </c>
      <c r="U1897" s="85">
        <f>STATS1003B!U1901/1000</f>
        <v>0</v>
      </c>
      <c r="V1897" s="85">
        <f>STATS1003B!V1901/1000</f>
        <v>0</v>
      </c>
      <c r="W1897" s="85">
        <f>STATS1003B!W1901/1000</f>
        <v>0</v>
      </c>
      <c r="X1897" s="85">
        <f t="shared" si="208"/>
        <v>4240.70507</v>
      </c>
      <c r="Y1897" s="85">
        <f>STATS1003B!Y1901/1000</f>
        <v>0</v>
      </c>
      <c r="Z1897" s="85">
        <f t="shared" si="209"/>
        <v>1097.7613899999997</v>
      </c>
      <c r="AA1897" s="69">
        <f>STATS1003B!AA1901/1000</f>
        <v>5338.4664599999996</v>
      </c>
      <c r="AB1897" s="69">
        <f>STATS1003B!AB1901/1000</f>
        <v>0</v>
      </c>
    </row>
    <row r="1898" spans="1:28" hidden="1" x14ac:dyDescent="0.3">
      <c r="A1898" s="117"/>
      <c r="E1898" s="86" t="s">
        <v>29</v>
      </c>
      <c r="F1898" s="86" t="s">
        <v>29</v>
      </c>
      <c r="G1898" s="86" t="s">
        <v>29</v>
      </c>
      <c r="H1898" s="86" t="s">
        <v>29</v>
      </c>
      <c r="I1898" s="86" t="s">
        <v>29</v>
      </c>
      <c r="J1898" s="86" t="s">
        <v>29</v>
      </c>
      <c r="K1898" s="86" t="s">
        <v>29</v>
      </c>
      <c r="L1898" s="86" t="s">
        <v>29</v>
      </c>
      <c r="M1898" s="86" t="s">
        <v>29</v>
      </c>
      <c r="N1898" s="86" t="s">
        <v>29</v>
      </c>
      <c r="O1898" s="86" t="s">
        <v>29</v>
      </c>
      <c r="P1898" s="86" t="s">
        <v>29</v>
      </c>
      <c r="Q1898" s="86" t="s">
        <v>29</v>
      </c>
      <c r="R1898" s="86"/>
      <c r="S1898" s="86"/>
      <c r="T1898" s="86"/>
      <c r="U1898" s="86"/>
      <c r="V1898" s="86"/>
      <c r="W1898" s="86"/>
      <c r="X1898" s="85" t="e">
        <f t="shared" si="208"/>
        <v>#VALUE!</v>
      </c>
      <c r="Y1898" s="86"/>
      <c r="Z1898" s="85" t="e">
        <f t="shared" si="209"/>
        <v>#VALUE!</v>
      </c>
      <c r="AA1898" s="115" t="s">
        <v>29</v>
      </c>
      <c r="AB1898" s="115" t="s">
        <v>29</v>
      </c>
    </row>
    <row r="1899" spans="1:28" x14ac:dyDescent="0.3">
      <c r="A1899" s="116">
        <v>83</v>
      </c>
      <c r="B1899" s="68" t="s">
        <v>779</v>
      </c>
      <c r="E1899" s="85">
        <f>208313040.74/1000</f>
        <v>208313.04074</v>
      </c>
      <c r="F1899" s="85">
        <f t="shared" ref="F1899:Q1899" si="210">SUM(F1868:F1898)</f>
        <v>118462.90800000001</v>
      </c>
      <c r="G1899" s="85">
        <f t="shared" si="210"/>
        <v>10217.87385</v>
      </c>
      <c r="H1899" s="85">
        <f>202957257.36/1000</f>
        <v>202957.25736000002</v>
      </c>
      <c r="I1899" s="85">
        <f t="shared" si="210"/>
        <v>1097.7613899999997</v>
      </c>
      <c r="J1899" s="85">
        <f t="shared" si="210"/>
        <v>110729.53715</v>
      </c>
      <c r="K1899" s="85">
        <f t="shared" si="210"/>
        <v>4091.9894600000002</v>
      </c>
      <c r="L1899" s="85">
        <f t="shared" si="210"/>
        <v>1097.7613899999999</v>
      </c>
      <c r="M1899" s="85">
        <f t="shared" si="210"/>
        <v>129778.54324000001</v>
      </c>
      <c r="N1899" s="85">
        <f t="shared" si="210"/>
        <v>4091.9894600000002</v>
      </c>
      <c r="O1899" s="85">
        <f t="shared" si="210"/>
        <v>0</v>
      </c>
      <c r="P1899" s="85">
        <f>4091989/1000</f>
        <v>4091.989</v>
      </c>
      <c r="Q1899" s="85">
        <f t="shared" si="210"/>
        <v>69305.675340000002</v>
      </c>
      <c r="R1899" s="86"/>
      <c r="S1899" s="86"/>
      <c r="T1899" s="85">
        <f t="shared" ref="T1899:Y1899" si="211">SUM(T1868:T1898)</f>
        <v>166.03253000000001</v>
      </c>
      <c r="U1899" s="85">
        <f t="shared" si="211"/>
        <v>4258.0219899999993</v>
      </c>
      <c r="V1899" s="85">
        <f t="shared" si="211"/>
        <v>0</v>
      </c>
      <c r="W1899" s="85">
        <f t="shared" si="211"/>
        <v>0</v>
      </c>
      <c r="X1899" s="85">
        <f t="shared" si="208"/>
        <v>207049.24636000002</v>
      </c>
      <c r="Y1899" s="85">
        <f t="shared" si="211"/>
        <v>0</v>
      </c>
      <c r="Z1899" s="85">
        <f t="shared" si="209"/>
        <v>1263.7943799999775</v>
      </c>
      <c r="AA1899" s="69">
        <f>SUM(AA1868:AA1898)</f>
        <v>134036.56523000001</v>
      </c>
      <c r="AB1899" s="69">
        <f>SUM(AB1868:AB1898)</f>
        <v>0</v>
      </c>
    </row>
    <row r="1900" spans="1:28" hidden="1" x14ac:dyDescent="0.3">
      <c r="A1900" s="117"/>
      <c r="E1900" s="86" t="s">
        <v>29</v>
      </c>
      <c r="F1900" s="86" t="s">
        <v>29</v>
      </c>
      <c r="G1900" s="86" t="s">
        <v>29</v>
      </c>
      <c r="H1900" s="86" t="s">
        <v>29</v>
      </c>
      <c r="I1900" s="86" t="s">
        <v>29</v>
      </c>
      <c r="J1900" s="86" t="s">
        <v>29</v>
      </c>
      <c r="K1900" s="86" t="s">
        <v>29</v>
      </c>
      <c r="L1900" s="86" t="s">
        <v>29</v>
      </c>
      <c r="M1900" s="86" t="s">
        <v>29</v>
      </c>
      <c r="N1900" s="86" t="s">
        <v>29</v>
      </c>
      <c r="O1900" s="86" t="s">
        <v>29</v>
      </c>
      <c r="P1900" s="86" t="s">
        <v>29</v>
      </c>
      <c r="Q1900" s="86" t="s">
        <v>29</v>
      </c>
      <c r="R1900" s="86"/>
      <c r="S1900" s="86"/>
      <c r="T1900" s="86"/>
      <c r="U1900" s="86"/>
      <c r="V1900" s="86"/>
      <c r="W1900" s="86"/>
      <c r="X1900" s="85" t="e">
        <f t="shared" si="208"/>
        <v>#VALUE!</v>
      </c>
      <c r="Y1900" s="86"/>
      <c r="Z1900" s="85" t="e">
        <f t="shared" si="209"/>
        <v>#VALUE!</v>
      </c>
      <c r="AA1900" s="115" t="s">
        <v>29</v>
      </c>
      <c r="AB1900" s="115" t="s">
        <v>29</v>
      </c>
    </row>
    <row r="1901" spans="1:28" hidden="1" x14ac:dyDescent="0.3">
      <c r="A1901" s="105"/>
      <c r="E1901" s="84"/>
      <c r="F1901" s="84"/>
      <c r="G1901" s="84"/>
      <c r="H1901" s="84"/>
      <c r="I1901" s="84"/>
      <c r="J1901" s="84"/>
      <c r="K1901" s="84"/>
      <c r="L1901" s="84"/>
      <c r="M1901" s="84"/>
      <c r="N1901" s="84"/>
      <c r="O1901" s="84"/>
      <c r="P1901" s="84"/>
      <c r="Q1901" s="84"/>
      <c r="R1901" s="86"/>
      <c r="S1901" s="86"/>
      <c r="T1901" s="86"/>
      <c r="U1901" s="86"/>
      <c r="V1901" s="86"/>
      <c r="W1901" s="86"/>
      <c r="X1901" s="85">
        <f t="shared" si="208"/>
        <v>0</v>
      </c>
      <c r="Y1901" s="86"/>
      <c r="Z1901" s="85">
        <f t="shared" si="209"/>
        <v>0</v>
      </c>
    </row>
    <row r="1902" spans="1:28" hidden="1" x14ac:dyDescent="0.3">
      <c r="A1902" s="117"/>
      <c r="C1902" s="68" t="s">
        <v>787</v>
      </c>
      <c r="D1902" s="145" t="s">
        <v>150</v>
      </c>
      <c r="E1902" s="85">
        <f>STATS1003B!E1906/1000</f>
        <v>8851</v>
      </c>
      <c r="F1902" s="85">
        <f>STATS1003B!F1906/1000</f>
        <v>8851</v>
      </c>
      <c r="G1902" s="85">
        <f>STATS1003B!G1906/1000</f>
        <v>0</v>
      </c>
      <c r="H1902" s="85">
        <f>STATS1003B!H1906/1000</f>
        <v>8851</v>
      </c>
      <c r="I1902" s="85">
        <f>STATS1003B!I1906/1000</f>
        <v>0</v>
      </c>
      <c r="J1902" s="85">
        <f>STATS1003B!J1906/1000</f>
        <v>8851</v>
      </c>
      <c r="K1902" s="85">
        <f>STATS1003B!K1906/1000</f>
        <v>0</v>
      </c>
      <c r="L1902" s="85">
        <f>STATS1003B!L1906/1000</f>
        <v>0</v>
      </c>
      <c r="M1902" s="85">
        <f>STATS1003B!M1906/1000</f>
        <v>8851</v>
      </c>
      <c r="N1902" s="85">
        <f>STATS1003B!N1906/1000</f>
        <v>0</v>
      </c>
      <c r="O1902" s="85">
        <f>STATS1003B!O1906/1000</f>
        <v>0</v>
      </c>
      <c r="P1902" s="85">
        <f>STATS1003B!P1906/1000</f>
        <v>0</v>
      </c>
      <c r="Q1902" s="85">
        <f>STATS1003B!Q1906/1000</f>
        <v>8851</v>
      </c>
      <c r="R1902" s="85">
        <f>STATS1003B!R1906/1000</f>
        <v>0</v>
      </c>
      <c r="S1902" s="85">
        <f>STATS1003B!S1906/1000</f>
        <v>0</v>
      </c>
      <c r="T1902" s="85">
        <f>STATS1003B!T1906/1000</f>
        <v>0</v>
      </c>
      <c r="U1902" s="85">
        <f>STATS1003B!U1906/1000</f>
        <v>0</v>
      </c>
      <c r="V1902" s="85">
        <f>STATS1003B!V1906/1000</f>
        <v>0</v>
      </c>
      <c r="W1902" s="85">
        <f>STATS1003B!W1906/1000</f>
        <v>0</v>
      </c>
      <c r="X1902" s="85">
        <f t="shared" si="208"/>
        <v>8851</v>
      </c>
      <c r="Y1902" s="85">
        <f>STATS1003B!Y1906/1000</f>
        <v>0</v>
      </c>
      <c r="Z1902" s="85">
        <f t="shared" si="209"/>
        <v>0</v>
      </c>
      <c r="AA1902" s="69">
        <f>STATS1003B!AA1906/1000</f>
        <v>8851</v>
      </c>
      <c r="AB1902" s="69">
        <f>STATS1003B!AB1906/1000</f>
        <v>0</v>
      </c>
    </row>
    <row r="1903" spans="1:28" hidden="1" x14ac:dyDescent="0.3">
      <c r="A1903" s="117"/>
      <c r="C1903" s="68" t="s">
        <v>777</v>
      </c>
      <c r="D1903" s="145" t="s">
        <v>78</v>
      </c>
      <c r="E1903" s="85">
        <f>STATS1003B!E1907/1000</f>
        <v>5074.0987500000001</v>
      </c>
      <c r="F1903" s="85">
        <f>STATS1003B!F1907/1000</f>
        <v>5074.0987500000001</v>
      </c>
      <c r="G1903" s="85">
        <f>STATS1003B!G1907/1000</f>
        <v>0</v>
      </c>
      <c r="H1903" s="85">
        <f>STATS1003B!H1907/1000</f>
        <v>5074.0987500000001</v>
      </c>
      <c r="I1903" s="85">
        <f>STATS1003B!I1907/1000</f>
        <v>0</v>
      </c>
      <c r="J1903" s="85">
        <f>STATS1003B!J1907/1000</f>
        <v>5074.0987500000001</v>
      </c>
      <c r="K1903" s="85">
        <f>STATS1003B!K1907/1000</f>
        <v>0</v>
      </c>
      <c r="L1903" s="85">
        <f>STATS1003B!L1907/1000</f>
        <v>0</v>
      </c>
      <c r="M1903" s="85">
        <f>STATS1003B!M1907/1000</f>
        <v>5074.0987500000001</v>
      </c>
      <c r="N1903" s="85">
        <f>STATS1003B!N1907/1000</f>
        <v>0</v>
      </c>
      <c r="O1903" s="85">
        <f>STATS1003B!O1907/1000</f>
        <v>0</v>
      </c>
      <c r="P1903" s="85">
        <f>STATS1003B!P1907/1000</f>
        <v>0</v>
      </c>
      <c r="Q1903" s="85">
        <f>STATS1003B!Q1907/1000</f>
        <v>5074.0987500000001</v>
      </c>
      <c r="R1903" s="85">
        <f>STATS1003B!R1907/1000</f>
        <v>0</v>
      </c>
      <c r="S1903" s="85">
        <f>STATS1003B!S1907/1000</f>
        <v>0</v>
      </c>
      <c r="T1903" s="85">
        <f>STATS1003B!T1907/1000</f>
        <v>0</v>
      </c>
      <c r="U1903" s="85">
        <f>STATS1003B!U1907/1000</f>
        <v>0</v>
      </c>
      <c r="V1903" s="85">
        <f>STATS1003B!V1907/1000</f>
        <v>0</v>
      </c>
      <c r="W1903" s="85">
        <f>STATS1003B!W1907/1000</f>
        <v>0</v>
      </c>
      <c r="X1903" s="85">
        <f t="shared" si="208"/>
        <v>5074.0987500000001</v>
      </c>
      <c r="Y1903" s="85">
        <f>STATS1003B!Y1907/1000</f>
        <v>0</v>
      </c>
      <c r="Z1903" s="85">
        <f t="shared" si="209"/>
        <v>0</v>
      </c>
      <c r="AA1903" s="69">
        <f>STATS1003B!AA1907/1000</f>
        <v>5074.0987500000001</v>
      </c>
      <c r="AB1903" s="69">
        <f>STATS1003B!AB1907/1000</f>
        <v>0</v>
      </c>
    </row>
    <row r="1904" spans="1:28" hidden="1" x14ac:dyDescent="0.3">
      <c r="A1904" s="117"/>
      <c r="C1904" s="68" t="s">
        <v>535</v>
      </c>
      <c r="D1904" s="145" t="s">
        <v>68</v>
      </c>
      <c r="E1904" s="85">
        <f>STATS1003B!E1908/1000</f>
        <v>18516.84852</v>
      </c>
      <c r="F1904" s="85">
        <f>STATS1003B!F1908/1000</f>
        <v>5792.1814100000001</v>
      </c>
      <c r="G1904" s="85">
        <f>STATS1003B!G1908/1000</f>
        <v>0</v>
      </c>
      <c r="H1904" s="85">
        <f>STATS1003B!H1908/1000</f>
        <v>5792.1814100000001</v>
      </c>
      <c r="I1904" s="85">
        <f>STATS1003B!I1908/1000</f>
        <v>0</v>
      </c>
      <c r="J1904" s="85">
        <f>STATS1003B!J1908/1000</f>
        <v>5792.1814100000001</v>
      </c>
      <c r="K1904" s="85">
        <f>STATS1003B!K1908/1000</f>
        <v>12724.667109999999</v>
      </c>
      <c r="L1904" s="85">
        <f>STATS1003B!L1908/1000</f>
        <v>0</v>
      </c>
      <c r="M1904" s="85">
        <f>STATS1003B!M1908/1000</f>
        <v>5792.1814100000001</v>
      </c>
      <c r="N1904" s="85">
        <f>STATS1003B!N1908/1000</f>
        <v>12724.667109999999</v>
      </c>
      <c r="O1904" s="85">
        <f>STATS1003B!O1908/1000</f>
        <v>0</v>
      </c>
      <c r="P1904" s="85">
        <f>STATS1003B!P1908/1000</f>
        <v>12724.667109999999</v>
      </c>
      <c r="Q1904" s="85">
        <f>STATS1003B!Q1908/1000</f>
        <v>5792.1814100000001</v>
      </c>
      <c r="R1904" s="85">
        <f>STATS1003B!R1908/1000</f>
        <v>0</v>
      </c>
      <c r="S1904" s="85">
        <f>STATS1003B!S1908/1000</f>
        <v>0</v>
      </c>
      <c r="T1904" s="85">
        <f>STATS1003B!T1908/1000</f>
        <v>0</v>
      </c>
      <c r="U1904" s="85">
        <f>STATS1003B!U1908/1000</f>
        <v>12724.667109999999</v>
      </c>
      <c r="V1904" s="85">
        <f>STATS1003B!V1908/1000</f>
        <v>0</v>
      </c>
      <c r="W1904" s="85">
        <f>STATS1003B!W1908/1000</f>
        <v>0</v>
      </c>
      <c r="X1904" s="85">
        <f t="shared" si="208"/>
        <v>18516.84852</v>
      </c>
      <c r="Y1904" s="85">
        <f>STATS1003B!Y1908/1000</f>
        <v>0</v>
      </c>
      <c r="Z1904" s="85">
        <f t="shared" si="209"/>
        <v>0</v>
      </c>
      <c r="AA1904" s="69">
        <f>STATS1003B!AA1908/1000</f>
        <v>18516.84852</v>
      </c>
      <c r="AB1904" s="69">
        <f>STATS1003B!AB1908/1000</f>
        <v>0</v>
      </c>
    </row>
    <row r="1905" spans="1:28" hidden="1" x14ac:dyDescent="0.3">
      <c r="A1905" s="117"/>
      <c r="C1905" s="68" t="s">
        <v>539</v>
      </c>
      <c r="D1905" s="145" t="s">
        <v>68</v>
      </c>
      <c r="E1905" s="85">
        <f>STATS1003B!E1909/1000</f>
        <v>1105.7925</v>
      </c>
      <c r="F1905" s="85">
        <f>STATS1003B!F1909/1000</f>
        <v>0</v>
      </c>
      <c r="G1905" s="85">
        <f>STATS1003B!G1909/1000</f>
        <v>0</v>
      </c>
      <c r="H1905" s="85">
        <f>STATS1003B!H1909/1000</f>
        <v>0</v>
      </c>
      <c r="I1905" s="85">
        <f>STATS1003B!I1909/1000</f>
        <v>0</v>
      </c>
      <c r="J1905" s="85">
        <f>STATS1003B!J1909/1000</f>
        <v>0</v>
      </c>
      <c r="K1905" s="85">
        <f>STATS1003B!K1909/1000</f>
        <v>1105.7925</v>
      </c>
      <c r="L1905" s="85">
        <f>STATS1003B!L1909/1000</f>
        <v>0</v>
      </c>
      <c r="M1905" s="85">
        <f>STATS1003B!M1909/1000</f>
        <v>0</v>
      </c>
      <c r="N1905" s="85">
        <f>STATS1003B!N1909/1000</f>
        <v>1105.7925</v>
      </c>
      <c r="O1905" s="85">
        <f>STATS1003B!O1909/1000</f>
        <v>0</v>
      </c>
      <c r="P1905" s="85">
        <f>STATS1003B!P1909/1000</f>
        <v>1105.7925</v>
      </c>
      <c r="Q1905" s="85">
        <f>STATS1003B!Q1909/1000</f>
        <v>0</v>
      </c>
      <c r="R1905" s="85">
        <f>STATS1003B!R1909/1000</f>
        <v>0</v>
      </c>
      <c r="S1905" s="85">
        <f>STATS1003B!S1909/1000</f>
        <v>0</v>
      </c>
      <c r="T1905" s="85">
        <f>STATS1003B!T1909/1000</f>
        <v>0</v>
      </c>
      <c r="U1905" s="85">
        <f>STATS1003B!U1909/1000</f>
        <v>1105.7925</v>
      </c>
      <c r="V1905" s="85">
        <f>STATS1003B!V1909/1000</f>
        <v>0</v>
      </c>
      <c r="W1905" s="85">
        <f>STATS1003B!W1909/1000</f>
        <v>0</v>
      </c>
      <c r="X1905" s="85">
        <f t="shared" si="208"/>
        <v>1105.7925</v>
      </c>
      <c r="Y1905" s="85">
        <f>STATS1003B!Y1909/1000</f>
        <v>0</v>
      </c>
      <c r="Z1905" s="85">
        <f t="shared" si="209"/>
        <v>0</v>
      </c>
      <c r="AA1905" s="69">
        <f>STATS1003B!AA1909/1000</f>
        <v>1105.7925</v>
      </c>
      <c r="AB1905" s="69">
        <f>STATS1003B!AB1909/1000</f>
        <v>0</v>
      </c>
    </row>
    <row r="1906" spans="1:28" hidden="1" x14ac:dyDescent="0.3">
      <c r="A1906" s="117"/>
      <c r="C1906" s="68" t="s">
        <v>535</v>
      </c>
      <c r="D1906" s="145" t="s">
        <v>54</v>
      </c>
      <c r="E1906" s="85">
        <f>STATS1003B!E1910/1000</f>
        <v>2034.636</v>
      </c>
      <c r="F1906" s="85">
        <f>STATS1003B!F1910/1000</f>
        <v>2034.636</v>
      </c>
      <c r="G1906" s="85">
        <f>STATS1003B!G1910/1000</f>
        <v>0</v>
      </c>
      <c r="H1906" s="85">
        <f>STATS1003B!H1910/1000</f>
        <v>2034.636</v>
      </c>
      <c r="I1906" s="85">
        <f>STATS1003B!I1910/1000</f>
        <v>0</v>
      </c>
      <c r="J1906" s="85">
        <f>STATS1003B!J1910/1000</f>
        <v>2034.636</v>
      </c>
      <c r="K1906" s="85">
        <f>STATS1003B!K1910/1000</f>
        <v>0</v>
      </c>
      <c r="L1906" s="85">
        <f>STATS1003B!L1910/1000</f>
        <v>0</v>
      </c>
      <c r="M1906" s="85">
        <f>STATS1003B!M1910/1000</f>
        <v>2034.636</v>
      </c>
      <c r="N1906" s="85">
        <f>STATS1003B!N1910/1000</f>
        <v>0</v>
      </c>
      <c r="O1906" s="85">
        <f>STATS1003B!O1910/1000</f>
        <v>0</v>
      </c>
      <c r="P1906" s="85">
        <f>STATS1003B!P1910/1000</f>
        <v>0</v>
      </c>
      <c r="Q1906" s="85">
        <f>STATS1003B!Q1910/1000</f>
        <v>2034.636</v>
      </c>
      <c r="R1906" s="85">
        <f>STATS1003B!R1910/1000</f>
        <v>0</v>
      </c>
      <c r="S1906" s="85">
        <f>STATS1003B!S1910/1000</f>
        <v>0</v>
      </c>
      <c r="T1906" s="85">
        <f>STATS1003B!T1910/1000</f>
        <v>0</v>
      </c>
      <c r="U1906" s="85">
        <f>STATS1003B!U1910/1000</f>
        <v>0</v>
      </c>
      <c r="V1906" s="85">
        <f>STATS1003B!V1910/1000</f>
        <v>0</v>
      </c>
      <c r="W1906" s="85">
        <f>STATS1003B!W1910/1000</f>
        <v>0</v>
      </c>
      <c r="X1906" s="85">
        <f t="shared" si="208"/>
        <v>2034.636</v>
      </c>
      <c r="Y1906" s="85">
        <f>STATS1003B!Y1910/1000</f>
        <v>0</v>
      </c>
      <c r="Z1906" s="85">
        <f t="shared" si="209"/>
        <v>0</v>
      </c>
      <c r="AA1906" s="69">
        <f>STATS1003B!AA1910/1000</f>
        <v>2034.636</v>
      </c>
      <c r="AB1906" s="69">
        <f>STATS1003B!AB1910/1000</f>
        <v>0</v>
      </c>
    </row>
    <row r="1907" spans="1:28" hidden="1" x14ac:dyDescent="0.3">
      <c r="A1907" s="117"/>
      <c r="C1907" s="68" t="s">
        <v>545</v>
      </c>
      <c r="D1907" s="145" t="s">
        <v>54</v>
      </c>
      <c r="E1907" s="85">
        <f>STATS1003B!E1911/1000</f>
        <v>1767.77</v>
      </c>
      <c r="F1907" s="85">
        <f>STATS1003B!F1911/1000</f>
        <v>0</v>
      </c>
      <c r="G1907" s="85">
        <f>STATS1003B!G1911/1000</f>
        <v>0</v>
      </c>
      <c r="H1907" s="85">
        <f>STATS1003B!H1911/1000</f>
        <v>0</v>
      </c>
      <c r="I1907" s="85">
        <f>STATS1003B!I1911/1000</f>
        <v>0</v>
      </c>
      <c r="J1907" s="85">
        <f>STATS1003B!J1911/1000</f>
        <v>0</v>
      </c>
      <c r="K1907" s="85">
        <f>STATS1003B!K1911/1000</f>
        <v>1767.77</v>
      </c>
      <c r="L1907" s="85">
        <f>STATS1003B!L1911/1000</f>
        <v>0</v>
      </c>
      <c r="M1907" s="85">
        <f>STATS1003B!M1911/1000</f>
        <v>0</v>
      </c>
      <c r="N1907" s="85">
        <f>STATS1003B!N1911/1000</f>
        <v>1767.77</v>
      </c>
      <c r="O1907" s="85">
        <f>STATS1003B!O1911/1000</f>
        <v>0</v>
      </c>
      <c r="P1907" s="85">
        <f>STATS1003B!P1911/1000</f>
        <v>1767.77</v>
      </c>
      <c r="Q1907" s="85">
        <f>STATS1003B!Q1911/1000</f>
        <v>0</v>
      </c>
      <c r="R1907" s="85">
        <f>STATS1003B!R1911/1000</f>
        <v>0</v>
      </c>
      <c r="S1907" s="85">
        <f>STATS1003B!S1911/1000</f>
        <v>0</v>
      </c>
      <c r="T1907" s="85">
        <f>STATS1003B!T1911/1000</f>
        <v>0</v>
      </c>
      <c r="U1907" s="85">
        <f>STATS1003B!U1911/1000</f>
        <v>1767.77</v>
      </c>
      <c r="V1907" s="85">
        <f>STATS1003B!V1911/1000</f>
        <v>0</v>
      </c>
      <c r="W1907" s="85">
        <f>STATS1003B!W1911/1000</f>
        <v>0</v>
      </c>
      <c r="X1907" s="85">
        <f t="shared" si="208"/>
        <v>1767.77</v>
      </c>
      <c r="Y1907" s="85">
        <f>STATS1003B!Y1911/1000</f>
        <v>0</v>
      </c>
      <c r="Z1907" s="85">
        <f t="shared" si="209"/>
        <v>0</v>
      </c>
      <c r="AA1907" s="69">
        <f>STATS1003B!AA1911/1000</f>
        <v>1767.77</v>
      </c>
      <c r="AB1907" s="69">
        <f>STATS1003B!AB1911/1000</f>
        <v>0</v>
      </c>
    </row>
    <row r="1908" spans="1:28" hidden="1" x14ac:dyDescent="0.3">
      <c r="A1908" s="117"/>
      <c r="C1908" s="68" t="s">
        <v>535</v>
      </c>
      <c r="D1908" s="145" t="s">
        <v>85</v>
      </c>
      <c r="E1908" s="85">
        <f>STATS1003B!E1912/1000</f>
        <v>5841.9</v>
      </c>
      <c r="F1908" s="85">
        <f>STATS1003B!F1912/1000</f>
        <v>5841.9</v>
      </c>
      <c r="G1908" s="85">
        <f>STATS1003B!G1912/1000</f>
        <v>0</v>
      </c>
      <c r="H1908" s="85">
        <f>STATS1003B!H1912/1000</f>
        <v>5841.9</v>
      </c>
      <c r="I1908" s="85">
        <f>STATS1003B!I1912/1000</f>
        <v>0</v>
      </c>
      <c r="J1908" s="85">
        <f>STATS1003B!J1912/1000</f>
        <v>5841.9</v>
      </c>
      <c r="K1908" s="85">
        <f>STATS1003B!K1912/1000</f>
        <v>0</v>
      </c>
      <c r="L1908" s="85">
        <f>STATS1003B!L1912/1000</f>
        <v>0</v>
      </c>
      <c r="M1908" s="85">
        <f>STATS1003B!M1912/1000</f>
        <v>5841.9</v>
      </c>
      <c r="N1908" s="85">
        <f>STATS1003B!N1912/1000</f>
        <v>0</v>
      </c>
      <c r="O1908" s="85">
        <f>STATS1003B!O1912/1000</f>
        <v>0</v>
      </c>
      <c r="P1908" s="85">
        <f>STATS1003B!P1912/1000</f>
        <v>0</v>
      </c>
      <c r="Q1908" s="85">
        <f>STATS1003B!Q1912/1000</f>
        <v>5841.9</v>
      </c>
      <c r="R1908" s="85">
        <f>STATS1003B!R1912/1000</f>
        <v>0</v>
      </c>
      <c r="S1908" s="85">
        <f>STATS1003B!S1912/1000</f>
        <v>0</v>
      </c>
      <c r="T1908" s="85">
        <f>STATS1003B!T1912/1000</f>
        <v>0</v>
      </c>
      <c r="U1908" s="85">
        <f>STATS1003B!U1912/1000</f>
        <v>0</v>
      </c>
      <c r="V1908" s="85">
        <f>STATS1003B!V1912/1000</f>
        <v>0</v>
      </c>
      <c r="W1908" s="85">
        <f>STATS1003B!W1912/1000</f>
        <v>0</v>
      </c>
      <c r="X1908" s="85">
        <f t="shared" si="208"/>
        <v>5841.9</v>
      </c>
      <c r="Y1908" s="85">
        <f>STATS1003B!Y1912/1000</f>
        <v>0</v>
      </c>
      <c r="Z1908" s="85">
        <f t="shared" si="209"/>
        <v>0</v>
      </c>
      <c r="AA1908" s="69">
        <f>STATS1003B!AA1912/1000</f>
        <v>5841.9</v>
      </c>
      <c r="AB1908" s="69">
        <f>STATS1003B!AB1912/1000</f>
        <v>0</v>
      </c>
    </row>
    <row r="1909" spans="1:28" hidden="1" x14ac:dyDescent="0.3">
      <c r="A1909" s="117"/>
      <c r="C1909" s="68" t="s">
        <v>603</v>
      </c>
      <c r="D1909" s="145" t="s">
        <v>85</v>
      </c>
      <c r="E1909" s="85">
        <f>STATS1003B!E1913/1000</f>
        <v>0</v>
      </c>
      <c r="F1909" s="85">
        <f>STATS1003B!F1913/1000</f>
        <v>0</v>
      </c>
      <c r="G1909" s="85">
        <f>STATS1003B!G1913/1000</f>
        <v>0</v>
      </c>
      <c r="H1909" s="85">
        <f>STATS1003B!H1913/1000</f>
        <v>0</v>
      </c>
      <c r="I1909" s="85">
        <f>STATS1003B!I1913/1000</f>
        <v>0</v>
      </c>
      <c r="J1909" s="85">
        <f>STATS1003B!J1913/1000</f>
        <v>0</v>
      </c>
      <c r="K1909" s="85">
        <f>STATS1003B!K1913/1000</f>
        <v>0</v>
      </c>
      <c r="L1909" s="85">
        <f>STATS1003B!L1913/1000</f>
        <v>0</v>
      </c>
      <c r="M1909" s="85">
        <f>STATS1003B!M1913/1000</f>
        <v>0</v>
      </c>
      <c r="N1909" s="85">
        <f>STATS1003B!N1913/1000</f>
        <v>0</v>
      </c>
      <c r="O1909" s="85">
        <f>STATS1003B!O1913/1000</f>
        <v>0</v>
      </c>
      <c r="P1909" s="85">
        <f>STATS1003B!P1913/1000</f>
        <v>0</v>
      </c>
      <c r="Q1909" s="85">
        <f>STATS1003B!Q1913/1000</f>
        <v>0</v>
      </c>
      <c r="R1909" s="85">
        <f>STATS1003B!R1913/1000</f>
        <v>0</v>
      </c>
      <c r="S1909" s="85">
        <f>STATS1003B!S1913/1000</f>
        <v>0</v>
      </c>
      <c r="T1909" s="85">
        <f>STATS1003B!T1913/1000</f>
        <v>0</v>
      </c>
      <c r="U1909" s="85">
        <f>STATS1003B!U1913/1000</f>
        <v>0</v>
      </c>
      <c r="V1909" s="85">
        <f>STATS1003B!V1913/1000</f>
        <v>0</v>
      </c>
      <c r="W1909" s="85">
        <f>STATS1003B!W1913/1000</f>
        <v>0</v>
      </c>
      <c r="X1909" s="85">
        <f t="shared" si="208"/>
        <v>0</v>
      </c>
      <c r="Y1909" s="85">
        <f>STATS1003B!Y1913/1000</f>
        <v>0</v>
      </c>
      <c r="Z1909" s="85">
        <f t="shared" si="209"/>
        <v>0</v>
      </c>
      <c r="AA1909" s="69">
        <f>STATS1003B!AA1913/1000</f>
        <v>0</v>
      </c>
      <c r="AB1909" s="69">
        <f>STATS1003B!AB1913/1000</f>
        <v>0</v>
      </c>
    </row>
    <row r="1910" spans="1:28" hidden="1" x14ac:dyDescent="0.3">
      <c r="A1910" s="117"/>
      <c r="C1910" s="68" t="s">
        <v>1224</v>
      </c>
      <c r="D1910" s="90" t="s">
        <v>1126</v>
      </c>
      <c r="E1910" s="85">
        <f>STATS1003B!E1914/1000</f>
        <v>2386.9214300000003</v>
      </c>
      <c r="F1910" s="85">
        <f>STATS1003B!F1914/1000</f>
        <v>2386.9214300000003</v>
      </c>
      <c r="G1910" s="85">
        <f>STATS1003B!G1914/1000</f>
        <v>0</v>
      </c>
      <c r="H1910" s="85">
        <f>STATS1003B!H1914/1000</f>
        <v>2386.9214300000003</v>
      </c>
      <c r="I1910" s="85">
        <f>STATS1003B!I1914/1000</f>
        <v>0</v>
      </c>
      <c r="J1910" s="85">
        <f>STATS1003B!J1914/1000</f>
        <v>2386.9214300000003</v>
      </c>
      <c r="K1910" s="85">
        <f>STATS1003B!K1914/1000</f>
        <v>0</v>
      </c>
      <c r="L1910" s="85">
        <f>STATS1003B!L1914/1000</f>
        <v>0</v>
      </c>
      <c r="M1910" s="85">
        <f>STATS1003B!M1914/1000</f>
        <v>2386.9214300000003</v>
      </c>
      <c r="N1910" s="85">
        <f>STATS1003B!N1914/1000</f>
        <v>0</v>
      </c>
      <c r="O1910" s="85">
        <f>STATS1003B!O1914/1000</f>
        <v>0</v>
      </c>
      <c r="P1910" s="85">
        <f>STATS1003B!P1914/1000</f>
        <v>0</v>
      </c>
      <c r="Q1910" s="85">
        <f>STATS1003B!Q1914/1000</f>
        <v>0</v>
      </c>
      <c r="R1910" s="85">
        <f>STATS1003B!R1914/1000</f>
        <v>0</v>
      </c>
      <c r="S1910" s="85">
        <f>STATS1003B!S1914/1000</f>
        <v>0</v>
      </c>
      <c r="T1910" s="85">
        <f>STATS1003B!T1914/1000</f>
        <v>0</v>
      </c>
      <c r="U1910" s="85">
        <f>STATS1003B!U1914/1000</f>
        <v>0</v>
      </c>
      <c r="V1910" s="85">
        <f>STATS1003B!V1914/1000</f>
        <v>0</v>
      </c>
      <c r="W1910" s="85">
        <f>STATS1003B!W1914/1000</f>
        <v>0</v>
      </c>
      <c r="X1910" s="85">
        <f t="shared" si="208"/>
        <v>2386.9214300000003</v>
      </c>
      <c r="Y1910" s="85">
        <f>STATS1003B!Y1914/1000</f>
        <v>0</v>
      </c>
      <c r="Z1910" s="85">
        <f t="shared" si="209"/>
        <v>0</v>
      </c>
      <c r="AA1910" s="69">
        <f>STATS1003B!AA1914/1000</f>
        <v>2386.9214300000003</v>
      </c>
      <c r="AB1910" s="69">
        <f>STATS1003B!AB1914/1000</f>
        <v>0</v>
      </c>
    </row>
    <row r="1911" spans="1:28" hidden="1" x14ac:dyDescent="0.3">
      <c r="A1911" s="117"/>
      <c r="C1911" s="68" t="s">
        <v>1173</v>
      </c>
      <c r="D1911" s="90" t="s">
        <v>1126</v>
      </c>
      <c r="E1911" s="85">
        <f>STATS1003B!E1915/1000</f>
        <v>8139.4835499999999</v>
      </c>
      <c r="F1911" s="85">
        <f>STATS1003B!F1915/1000</f>
        <v>8139.4835499999999</v>
      </c>
      <c r="G1911" s="85">
        <f>STATS1003B!G1915/1000</f>
        <v>0</v>
      </c>
      <c r="H1911" s="85">
        <f>STATS1003B!H1915/1000</f>
        <v>8139.4835499999999</v>
      </c>
      <c r="I1911" s="85">
        <f>STATS1003B!I1915/1000</f>
        <v>0</v>
      </c>
      <c r="J1911" s="85">
        <f>STATS1003B!J1915/1000</f>
        <v>8139.4835499999999</v>
      </c>
      <c r="K1911" s="85">
        <f>STATS1003B!K1915/1000</f>
        <v>0</v>
      </c>
      <c r="L1911" s="85">
        <f>STATS1003B!L1915/1000</f>
        <v>0</v>
      </c>
      <c r="M1911" s="85">
        <f>STATS1003B!M1915/1000</f>
        <v>8139.4835499999999</v>
      </c>
      <c r="N1911" s="85">
        <f>STATS1003B!N1915/1000</f>
        <v>0</v>
      </c>
      <c r="O1911" s="85">
        <f>STATS1003B!O1915/1000</f>
        <v>0</v>
      </c>
      <c r="P1911" s="85">
        <f>STATS1003B!P1915/1000</f>
        <v>0</v>
      </c>
      <c r="Q1911" s="85">
        <f>STATS1003B!Q1915/1000</f>
        <v>0</v>
      </c>
      <c r="R1911" s="85">
        <f>STATS1003B!R1915/1000</f>
        <v>0</v>
      </c>
      <c r="S1911" s="85">
        <f>STATS1003B!S1915/1000</f>
        <v>0</v>
      </c>
      <c r="T1911" s="85">
        <f>STATS1003B!T1915/1000</f>
        <v>0</v>
      </c>
      <c r="U1911" s="85">
        <f>STATS1003B!U1915/1000</f>
        <v>0</v>
      </c>
      <c r="V1911" s="85">
        <f>STATS1003B!V1915/1000</f>
        <v>0</v>
      </c>
      <c r="W1911" s="85">
        <f>STATS1003B!W1915/1000</f>
        <v>0</v>
      </c>
      <c r="X1911" s="85">
        <f t="shared" si="208"/>
        <v>8139.4835499999999</v>
      </c>
      <c r="Y1911" s="85">
        <f>STATS1003B!Y1915/1000</f>
        <v>0</v>
      </c>
      <c r="Z1911" s="85">
        <f t="shared" si="209"/>
        <v>0</v>
      </c>
      <c r="AA1911" s="69">
        <f>STATS1003B!AA1915/1000</f>
        <v>8139.4835499999999</v>
      </c>
      <c r="AB1911" s="69">
        <f>STATS1003B!AB1915/1000</f>
        <v>0</v>
      </c>
    </row>
    <row r="1912" spans="1:28" hidden="1" x14ac:dyDescent="0.3">
      <c r="A1912" s="117"/>
      <c r="C1912" s="68" t="s">
        <v>1245</v>
      </c>
      <c r="D1912" s="90" t="s">
        <v>1225</v>
      </c>
      <c r="E1912" s="85">
        <f>STATS1003B!E1916/1000</f>
        <v>11165.974699999999</v>
      </c>
      <c r="F1912" s="85">
        <f>STATS1003B!F1916/1000</f>
        <v>0</v>
      </c>
      <c r="G1912" s="85">
        <f>STATS1003B!G1916/1000</f>
        <v>11165.974699999999</v>
      </c>
      <c r="H1912" s="85">
        <f>STATS1003B!H1916/1000</f>
        <v>11165.974699999999</v>
      </c>
      <c r="I1912" s="85">
        <f>STATS1003B!I1916/1000</f>
        <v>0</v>
      </c>
      <c r="J1912" s="85">
        <f>STATS1003B!J1916/1000</f>
        <v>0</v>
      </c>
      <c r="K1912" s="85">
        <f>STATS1003B!K1916/1000</f>
        <v>0</v>
      </c>
      <c r="L1912" s="85">
        <f>STATS1003B!L1916/1000</f>
        <v>0</v>
      </c>
      <c r="M1912" s="85">
        <f>STATS1003B!M1916/1000</f>
        <v>11165.974699999999</v>
      </c>
      <c r="N1912" s="85">
        <f>STATS1003B!N1916/1000</f>
        <v>0</v>
      </c>
      <c r="O1912" s="85">
        <f>STATS1003B!O1916/1000</f>
        <v>0</v>
      </c>
      <c r="P1912" s="85">
        <f>STATS1003B!P1916/1000</f>
        <v>0</v>
      </c>
      <c r="Q1912" s="85">
        <f>STATS1003B!Q1916/1000</f>
        <v>0</v>
      </c>
      <c r="R1912" s="85">
        <f>STATS1003B!R1916/1000</f>
        <v>0</v>
      </c>
      <c r="S1912" s="85">
        <f>STATS1003B!S1916/1000</f>
        <v>0</v>
      </c>
      <c r="T1912" s="85">
        <f>STATS1003B!T1916/1000</f>
        <v>0</v>
      </c>
      <c r="U1912" s="85">
        <f>STATS1003B!U1916/1000</f>
        <v>0</v>
      </c>
      <c r="V1912" s="85">
        <f>STATS1003B!V1916/1000</f>
        <v>0</v>
      </c>
      <c r="W1912" s="85">
        <f>STATS1003B!W1916/1000</f>
        <v>0</v>
      </c>
      <c r="X1912" s="85">
        <f t="shared" si="208"/>
        <v>11165.974699999999</v>
      </c>
      <c r="Y1912" s="85">
        <f>STATS1003B!Y1916/1000</f>
        <v>0</v>
      </c>
      <c r="Z1912" s="85">
        <f t="shared" si="209"/>
        <v>0</v>
      </c>
      <c r="AA1912" s="69">
        <f>STATS1003B!AA1916/1000</f>
        <v>11165.974699999999</v>
      </c>
      <c r="AB1912" s="69">
        <f>STATS1003B!AB1916/1000</f>
        <v>0</v>
      </c>
    </row>
    <row r="1913" spans="1:28" hidden="1" x14ac:dyDescent="0.3">
      <c r="A1913" s="117"/>
      <c r="C1913" s="68" t="s">
        <v>535</v>
      </c>
      <c r="D1913" s="145" t="s">
        <v>128</v>
      </c>
      <c r="E1913" s="85">
        <f>STATS1003B!E1917/1000</f>
        <v>2000</v>
      </c>
      <c r="F1913" s="85">
        <f>STATS1003B!F1917/1000</f>
        <v>2000</v>
      </c>
      <c r="G1913" s="85">
        <f>STATS1003B!G1917/1000</f>
        <v>0</v>
      </c>
      <c r="H1913" s="85">
        <f>STATS1003B!H1917/1000</f>
        <v>2000</v>
      </c>
      <c r="I1913" s="85">
        <f>STATS1003B!I1917/1000</f>
        <v>0</v>
      </c>
      <c r="J1913" s="85">
        <f>STATS1003B!J1917/1000</f>
        <v>2000</v>
      </c>
      <c r="K1913" s="85">
        <f>STATS1003B!K1917/1000</f>
        <v>0</v>
      </c>
      <c r="L1913" s="85">
        <f>STATS1003B!L1917/1000</f>
        <v>0</v>
      </c>
      <c r="M1913" s="85">
        <f>STATS1003B!M1917/1000</f>
        <v>2000</v>
      </c>
      <c r="N1913" s="85">
        <f>STATS1003B!N1917/1000</f>
        <v>0</v>
      </c>
      <c r="O1913" s="85">
        <f>STATS1003B!O1917/1000</f>
        <v>0</v>
      </c>
      <c r="P1913" s="85">
        <f>STATS1003B!P1917/1000</f>
        <v>0</v>
      </c>
      <c r="Q1913" s="85">
        <f>STATS1003B!Q1917/1000</f>
        <v>2000</v>
      </c>
      <c r="R1913" s="85">
        <f>STATS1003B!R1917/1000</f>
        <v>0</v>
      </c>
      <c r="S1913" s="85">
        <f>STATS1003B!S1917/1000</f>
        <v>0</v>
      </c>
      <c r="T1913" s="85">
        <f>STATS1003B!T1917/1000</f>
        <v>0</v>
      </c>
      <c r="U1913" s="85">
        <f>STATS1003B!U1917/1000</f>
        <v>0</v>
      </c>
      <c r="V1913" s="85">
        <f>STATS1003B!V1917/1000</f>
        <v>0</v>
      </c>
      <c r="W1913" s="85">
        <f>STATS1003B!W1917/1000</f>
        <v>0</v>
      </c>
      <c r="X1913" s="85">
        <f t="shared" si="208"/>
        <v>2000</v>
      </c>
      <c r="Y1913" s="85">
        <f>STATS1003B!Y1917/1000</f>
        <v>0</v>
      </c>
      <c r="Z1913" s="85">
        <f t="shared" si="209"/>
        <v>0</v>
      </c>
      <c r="AA1913" s="69">
        <f>STATS1003B!AA1917/1000</f>
        <v>2000</v>
      </c>
      <c r="AB1913" s="69">
        <f>STATS1003B!AB1917/1000</f>
        <v>0</v>
      </c>
    </row>
    <row r="1914" spans="1:28" hidden="1" x14ac:dyDescent="0.3">
      <c r="A1914" s="117"/>
      <c r="C1914" s="68" t="s">
        <v>535</v>
      </c>
      <c r="D1914" s="145" t="s">
        <v>88</v>
      </c>
      <c r="E1914" s="85">
        <f>STATS1003B!E1918/1000</f>
        <v>2281.8389999999999</v>
      </c>
      <c r="F1914" s="85">
        <f>STATS1003B!F1918/1000</f>
        <v>2281.8389999999999</v>
      </c>
      <c r="G1914" s="85">
        <f>STATS1003B!G1918/1000</f>
        <v>0</v>
      </c>
      <c r="H1914" s="85">
        <f>STATS1003B!H1918/1000</f>
        <v>2281.8389999999999</v>
      </c>
      <c r="I1914" s="85">
        <f>STATS1003B!I1918/1000</f>
        <v>0</v>
      </c>
      <c r="J1914" s="85">
        <f>STATS1003B!J1918/1000</f>
        <v>2281.8389999999999</v>
      </c>
      <c r="K1914" s="85">
        <f>STATS1003B!K1918/1000</f>
        <v>0</v>
      </c>
      <c r="L1914" s="85">
        <f>STATS1003B!L1918/1000</f>
        <v>0</v>
      </c>
      <c r="M1914" s="85">
        <f>STATS1003B!M1918/1000</f>
        <v>2281.8389999999999</v>
      </c>
      <c r="N1914" s="85">
        <f>STATS1003B!N1918/1000</f>
        <v>0</v>
      </c>
      <c r="O1914" s="85">
        <f>STATS1003B!O1918/1000</f>
        <v>0</v>
      </c>
      <c r="P1914" s="85">
        <f>STATS1003B!P1918/1000</f>
        <v>0</v>
      </c>
      <c r="Q1914" s="85">
        <f>STATS1003B!Q1918/1000</f>
        <v>2281.8389999999999</v>
      </c>
      <c r="R1914" s="85">
        <f>STATS1003B!R1918/1000</f>
        <v>0</v>
      </c>
      <c r="S1914" s="85">
        <f>STATS1003B!S1918/1000</f>
        <v>0</v>
      </c>
      <c r="T1914" s="85">
        <f>STATS1003B!T1918/1000</f>
        <v>0</v>
      </c>
      <c r="U1914" s="85">
        <f>STATS1003B!U1918/1000</f>
        <v>0</v>
      </c>
      <c r="V1914" s="85">
        <f>STATS1003B!V1918/1000</f>
        <v>0</v>
      </c>
      <c r="W1914" s="85">
        <f>STATS1003B!W1918/1000</f>
        <v>0</v>
      </c>
      <c r="X1914" s="85">
        <f t="shared" si="208"/>
        <v>2281.8389999999999</v>
      </c>
      <c r="Y1914" s="85">
        <f>STATS1003B!Y1918/1000</f>
        <v>0</v>
      </c>
      <c r="Z1914" s="85">
        <f t="shared" si="209"/>
        <v>0</v>
      </c>
      <c r="AA1914" s="69">
        <f>STATS1003B!AA1918/1000</f>
        <v>2281.8389999999999</v>
      </c>
      <c r="AB1914" s="69">
        <f>STATS1003B!AB1918/1000</f>
        <v>0</v>
      </c>
    </row>
    <row r="1915" spans="1:28" hidden="1" x14ac:dyDescent="0.3">
      <c r="A1915" s="117"/>
      <c r="C1915" s="68" t="s">
        <v>535</v>
      </c>
      <c r="D1915" s="145" t="s">
        <v>58</v>
      </c>
      <c r="E1915" s="85">
        <f>STATS1003B!E1919/1000</f>
        <v>358.15778999999998</v>
      </c>
      <c r="F1915" s="85">
        <f>STATS1003B!F1919/1000</f>
        <v>358.15778999999998</v>
      </c>
      <c r="G1915" s="85">
        <f>STATS1003B!G1919/1000</f>
        <v>0</v>
      </c>
      <c r="H1915" s="85">
        <f>STATS1003B!H1919/1000</f>
        <v>358.15778999999998</v>
      </c>
      <c r="I1915" s="85">
        <f>STATS1003B!I1919/1000</f>
        <v>0</v>
      </c>
      <c r="J1915" s="85">
        <f>STATS1003B!J1919/1000</f>
        <v>358.15778999999998</v>
      </c>
      <c r="K1915" s="85">
        <f>STATS1003B!K1919/1000</f>
        <v>0</v>
      </c>
      <c r="L1915" s="85">
        <f>STATS1003B!L1919/1000</f>
        <v>0</v>
      </c>
      <c r="M1915" s="85">
        <f>STATS1003B!M1919/1000</f>
        <v>358.15778999999998</v>
      </c>
      <c r="N1915" s="85">
        <f>STATS1003B!N1919/1000</f>
        <v>0</v>
      </c>
      <c r="O1915" s="85">
        <f>STATS1003B!O1919/1000</f>
        <v>0</v>
      </c>
      <c r="P1915" s="85">
        <f>STATS1003B!P1919/1000</f>
        <v>0</v>
      </c>
      <c r="Q1915" s="85">
        <f>STATS1003B!Q1919/1000</f>
        <v>358.15778999999998</v>
      </c>
      <c r="R1915" s="85">
        <f>STATS1003B!R1919/1000</f>
        <v>0</v>
      </c>
      <c r="S1915" s="85">
        <f>STATS1003B!S1919/1000</f>
        <v>0</v>
      </c>
      <c r="T1915" s="85">
        <f>STATS1003B!T1919/1000</f>
        <v>0</v>
      </c>
      <c r="U1915" s="85">
        <f>STATS1003B!U1919/1000</f>
        <v>0</v>
      </c>
      <c r="V1915" s="85">
        <f>STATS1003B!V1919/1000</f>
        <v>0</v>
      </c>
      <c r="W1915" s="85">
        <f>STATS1003B!W1919/1000</f>
        <v>0</v>
      </c>
      <c r="X1915" s="85">
        <f t="shared" si="208"/>
        <v>358.15778999999998</v>
      </c>
      <c r="Y1915" s="85">
        <f>STATS1003B!Y1919/1000</f>
        <v>0</v>
      </c>
      <c r="Z1915" s="85">
        <f t="shared" si="209"/>
        <v>0</v>
      </c>
      <c r="AA1915" s="69">
        <f>STATS1003B!AA1919/1000</f>
        <v>358.15778999999998</v>
      </c>
      <c r="AB1915" s="69">
        <f>STATS1003B!AB1919/1000</f>
        <v>0</v>
      </c>
    </row>
    <row r="1916" spans="1:28" hidden="1" x14ac:dyDescent="0.3">
      <c r="A1916" s="117"/>
      <c r="C1916" s="68" t="s">
        <v>535</v>
      </c>
      <c r="D1916" s="145" t="s">
        <v>60</v>
      </c>
      <c r="E1916" s="85">
        <f>STATS1003B!E1920/1000</f>
        <v>10021.915000000001</v>
      </c>
      <c r="F1916" s="85">
        <f>STATS1003B!F1920/1000</f>
        <v>10021.915000000001</v>
      </c>
      <c r="G1916" s="85">
        <f>STATS1003B!G1920/1000</f>
        <v>0</v>
      </c>
      <c r="H1916" s="85">
        <f>STATS1003B!H1920/1000</f>
        <v>10021.915000000001</v>
      </c>
      <c r="I1916" s="85">
        <f>STATS1003B!I1920/1000</f>
        <v>0</v>
      </c>
      <c r="J1916" s="85">
        <f>STATS1003B!J1920/1000</f>
        <v>10021.915000000001</v>
      </c>
      <c r="K1916" s="85">
        <f>STATS1003B!K1920/1000</f>
        <v>0</v>
      </c>
      <c r="L1916" s="85">
        <f>STATS1003B!L1920/1000</f>
        <v>0</v>
      </c>
      <c r="M1916" s="85">
        <f>STATS1003B!M1920/1000</f>
        <v>10021.915000000001</v>
      </c>
      <c r="N1916" s="85">
        <f>STATS1003B!N1920/1000</f>
        <v>0</v>
      </c>
      <c r="O1916" s="85">
        <f>STATS1003B!O1920/1000</f>
        <v>0</v>
      </c>
      <c r="P1916" s="85">
        <f>STATS1003B!P1920/1000</f>
        <v>0</v>
      </c>
      <c r="Q1916" s="85">
        <f>STATS1003B!Q1920/1000</f>
        <v>10021.915000000001</v>
      </c>
      <c r="R1916" s="85">
        <f>STATS1003B!R1920/1000</f>
        <v>0</v>
      </c>
      <c r="S1916" s="85">
        <f>STATS1003B!S1920/1000</f>
        <v>0</v>
      </c>
      <c r="T1916" s="85">
        <f>STATS1003B!T1920/1000</f>
        <v>0</v>
      </c>
      <c r="U1916" s="85">
        <f>STATS1003B!U1920/1000</f>
        <v>0</v>
      </c>
      <c r="V1916" s="85">
        <f>STATS1003B!V1920/1000</f>
        <v>0</v>
      </c>
      <c r="W1916" s="85">
        <f>STATS1003B!W1920/1000</f>
        <v>0</v>
      </c>
      <c r="X1916" s="85">
        <f t="shared" si="208"/>
        <v>10021.915000000001</v>
      </c>
      <c r="Y1916" s="85">
        <f>STATS1003B!Y1920/1000</f>
        <v>0</v>
      </c>
      <c r="Z1916" s="85">
        <f t="shared" si="209"/>
        <v>0</v>
      </c>
      <c r="AA1916" s="69">
        <f>STATS1003B!AA1920/1000</f>
        <v>10021.915000000001</v>
      </c>
      <c r="AB1916" s="69">
        <f>STATS1003B!AB1920/1000</f>
        <v>0</v>
      </c>
    </row>
    <row r="1917" spans="1:28" hidden="1" x14ac:dyDescent="0.3">
      <c r="A1917" s="117"/>
      <c r="C1917" s="68" t="s">
        <v>535</v>
      </c>
      <c r="D1917" s="145" t="s">
        <v>73</v>
      </c>
      <c r="E1917" s="85">
        <f>STATS1003B!E1921/1000</f>
        <v>6739</v>
      </c>
      <c r="F1917" s="85">
        <f>STATS1003B!F1921/1000</f>
        <v>6739</v>
      </c>
      <c r="G1917" s="85">
        <f>STATS1003B!G1921/1000</f>
        <v>0</v>
      </c>
      <c r="H1917" s="85">
        <f>STATS1003B!H1921/1000</f>
        <v>6739</v>
      </c>
      <c r="I1917" s="85">
        <f>STATS1003B!I1921/1000</f>
        <v>0</v>
      </c>
      <c r="J1917" s="85">
        <f>STATS1003B!J1921/1000</f>
        <v>6739</v>
      </c>
      <c r="K1917" s="85">
        <f>STATS1003B!K1921/1000</f>
        <v>0</v>
      </c>
      <c r="L1917" s="85">
        <f>STATS1003B!L1921/1000</f>
        <v>0</v>
      </c>
      <c r="M1917" s="85">
        <f>STATS1003B!M1921/1000</f>
        <v>6739</v>
      </c>
      <c r="N1917" s="85">
        <f>STATS1003B!N1921/1000</f>
        <v>0</v>
      </c>
      <c r="O1917" s="85">
        <f>STATS1003B!O1921/1000</f>
        <v>0</v>
      </c>
      <c r="P1917" s="85">
        <f>STATS1003B!P1921/1000</f>
        <v>0</v>
      </c>
      <c r="Q1917" s="85">
        <f>STATS1003B!Q1921/1000</f>
        <v>6739</v>
      </c>
      <c r="R1917" s="85">
        <f>STATS1003B!R1921/1000</f>
        <v>0</v>
      </c>
      <c r="S1917" s="85">
        <f>STATS1003B!S1921/1000</f>
        <v>0</v>
      </c>
      <c r="T1917" s="85">
        <f>STATS1003B!T1921/1000</f>
        <v>0</v>
      </c>
      <c r="U1917" s="85">
        <f>STATS1003B!U1921/1000</f>
        <v>0</v>
      </c>
      <c r="V1917" s="85">
        <f>STATS1003B!V1921/1000</f>
        <v>0</v>
      </c>
      <c r="W1917" s="85">
        <f>STATS1003B!W1921/1000</f>
        <v>0</v>
      </c>
      <c r="X1917" s="85">
        <f t="shared" si="208"/>
        <v>6739</v>
      </c>
      <c r="Y1917" s="85">
        <f>STATS1003B!Y1921/1000</f>
        <v>0</v>
      </c>
      <c r="Z1917" s="85">
        <f t="shared" si="209"/>
        <v>0</v>
      </c>
      <c r="AA1917" s="69">
        <f>STATS1003B!AA1921/1000</f>
        <v>6739</v>
      </c>
      <c r="AB1917" s="69">
        <f>STATS1003B!AB1921/1000</f>
        <v>0</v>
      </c>
    </row>
    <row r="1918" spans="1:28" hidden="1" x14ac:dyDescent="0.3">
      <c r="A1918" s="117"/>
      <c r="C1918" s="68" t="s">
        <v>535</v>
      </c>
      <c r="D1918" s="145" t="s">
        <v>61</v>
      </c>
      <c r="E1918" s="85">
        <f>STATS1003B!E1922/1000</f>
        <v>8072</v>
      </c>
      <c r="F1918" s="85">
        <f>STATS1003B!F1922/1000</f>
        <v>8072</v>
      </c>
      <c r="G1918" s="85">
        <f>STATS1003B!G1922/1000</f>
        <v>0</v>
      </c>
      <c r="H1918" s="85">
        <f>STATS1003B!H1922/1000</f>
        <v>8072</v>
      </c>
      <c r="I1918" s="85">
        <f>STATS1003B!I1922/1000</f>
        <v>0</v>
      </c>
      <c r="J1918" s="85">
        <f>STATS1003B!J1922/1000</f>
        <v>8072</v>
      </c>
      <c r="K1918" s="85">
        <f>STATS1003B!K1922/1000</f>
        <v>0</v>
      </c>
      <c r="L1918" s="85">
        <f>STATS1003B!L1922/1000</f>
        <v>0</v>
      </c>
      <c r="M1918" s="85">
        <f>STATS1003B!M1922/1000</f>
        <v>8072</v>
      </c>
      <c r="N1918" s="85">
        <f>STATS1003B!N1922/1000</f>
        <v>0</v>
      </c>
      <c r="O1918" s="85">
        <f>STATS1003B!O1922/1000</f>
        <v>0</v>
      </c>
      <c r="P1918" s="85">
        <f>STATS1003B!P1922/1000</f>
        <v>0</v>
      </c>
      <c r="Q1918" s="85">
        <f>STATS1003B!Q1922/1000</f>
        <v>8072</v>
      </c>
      <c r="R1918" s="85">
        <f>STATS1003B!R1922/1000</f>
        <v>0</v>
      </c>
      <c r="S1918" s="85">
        <f>STATS1003B!S1922/1000</f>
        <v>0</v>
      </c>
      <c r="T1918" s="85">
        <f>STATS1003B!T1922/1000</f>
        <v>0</v>
      </c>
      <c r="U1918" s="85">
        <f>STATS1003B!U1922/1000</f>
        <v>0</v>
      </c>
      <c r="V1918" s="85">
        <f>STATS1003B!V1922/1000</f>
        <v>0</v>
      </c>
      <c r="W1918" s="85">
        <f>STATS1003B!W1922/1000</f>
        <v>0</v>
      </c>
      <c r="X1918" s="85">
        <f t="shared" si="208"/>
        <v>8072</v>
      </c>
      <c r="Y1918" s="85">
        <f>STATS1003B!Y1922/1000</f>
        <v>0</v>
      </c>
      <c r="Z1918" s="85">
        <f t="shared" si="209"/>
        <v>0</v>
      </c>
      <c r="AA1918" s="69">
        <f>STATS1003B!AA1922/1000</f>
        <v>8072</v>
      </c>
      <c r="AB1918" s="69">
        <f>STATS1003B!AB1922/1000</f>
        <v>0</v>
      </c>
    </row>
    <row r="1919" spans="1:28" hidden="1" x14ac:dyDescent="0.3">
      <c r="A1919" s="117"/>
      <c r="C1919" s="68" t="s">
        <v>550</v>
      </c>
      <c r="E1919" s="85">
        <f>STATS1003B!E1923/1000</f>
        <v>85.766000000000005</v>
      </c>
      <c r="F1919" s="85">
        <f>STATS1003B!F1923/1000</f>
        <v>85.766000000000005</v>
      </c>
      <c r="G1919" s="85">
        <f>STATS1003B!G1923/1000</f>
        <v>0</v>
      </c>
      <c r="H1919" s="85">
        <f>STATS1003B!H1923/1000</f>
        <v>85.766000000000005</v>
      </c>
      <c r="I1919" s="85">
        <f>STATS1003B!I1923/1000</f>
        <v>0</v>
      </c>
      <c r="J1919" s="85">
        <f>STATS1003B!J1923/1000</f>
        <v>85.766000000000005</v>
      </c>
      <c r="K1919" s="85">
        <f>STATS1003B!K1923/1000</f>
        <v>0</v>
      </c>
      <c r="L1919" s="85">
        <f>STATS1003B!L1923/1000</f>
        <v>0</v>
      </c>
      <c r="M1919" s="85">
        <f>STATS1003B!M1923/1000</f>
        <v>85.766000000000005</v>
      </c>
      <c r="N1919" s="85">
        <f>STATS1003B!N1923/1000</f>
        <v>0</v>
      </c>
      <c r="O1919" s="85">
        <f>STATS1003B!O1923/1000</f>
        <v>0</v>
      </c>
      <c r="P1919" s="85">
        <f>STATS1003B!P1923/1000</f>
        <v>0</v>
      </c>
      <c r="Q1919" s="85">
        <f>STATS1003B!Q1923/1000</f>
        <v>85.766000000000005</v>
      </c>
      <c r="R1919" s="85">
        <f>STATS1003B!R1923/1000</f>
        <v>0</v>
      </c>
      <c r="S1919" s="85">
        <f>STATS1003B!S1923/1000</f>
        <v>0</v>
      </c>
      <c r="T1919" s="85">
        <f>STATS1003B!T1923/1000</f>
        <v>0</v>
      </c>
      <c r="U1919" s="85">
        <f>STATS1003B!U1923/1000</f>
        <v>0</v>
      </c>
      <c r="V1919" s="85">
        <f>STATS1003B!V1923/1000</f>
        <v>0</v>
      </c>
      <c r="W1919" s="85">
        <f>STATS1003B!W1923/1000</f>
        <v>0</v>
      </c>
      <c r="X1919" s="85">
        <f t="shared" si="208"/>
        <v>85.766000000000005</v>
      </c>
      <c r="Y1919" s="85">
        <f>STATS1003B!Y1923/1000</f>
        <v>0</v>
      </c>
      <c r="Z1919" s="85">
        <f t="shared" si="209"/>
        <v>0</v>
      </c>
      <c r="AA1919" s="69">
        <f>STATS1003B!AA1923/1000</f>
        <v>85.766000000000005</v>
      </c>
      <c r="AB1919" s="69">
        <f>STATS1003B!AB1923/1000</f>
        <v>0</v>
      </c>
    </row>
    <row r="1920" spans="1:28" hidden="1" x14ac:dyDescent="0.3">
      <c r="A1920" s="117"/>
      <c r="C1920" s="68" t="s">
        <v>606</v>
      </c>
      <c r="E1920" s="85">
        <f>STATS1003B!E1924/1000</f>
        <v>2500</v>
      </c>
      <c r="F1920" s="85">
        <f>STATS1003B!F1924/1000</f>
        <v>2500</v>
      </c>
      <c r="G1920" s="85">
        <f>STATS1003B!G1924/1000</f>
        <v>0</v>
      </c>
      <c r="H1920" s="85">
        <f>STATS1003B!H1924/1000</f>
        <v>2500</v>
      </c>
      <c r="I1920" s="85">
        <f>STATS1003B!I1924/1000</f>
        <v>0</v>
      </c>
      <c r="J1920" s="85">
        <f>STATS1003B!J1924/1000</f>
        <v>2500</v>
      </c>
      <c r="K1920" s="85">
        <f>STATS1003B!K1924/1000</f>
        <v>0</v>
      </c>
      <c r="L1920" s="85">
        <f>STATS1003B!L1924/1000</f>
        <v>0</v>
      </c>
      <c r="M1920" s="85">
        <f>STATS1003B!M1924/1000</f>
        <v>2500</v>
      </c>
      <c r="N1920" s="85">
        <f>STATS1003B!N1924/1000</f>
        <v>0</v>
      </c>
      <c r="O1920" s="85">
        <f>STATS1003B!O1924/1000</f>
        <v>0</v>
      </c>
      <c r="P1920" s="85">
        <f>STATS1003B!P1924/1000</f>
        <v>0</v>
      </c>
      <c r="Q1920" s="85">
        <f>STATS1003B!Q1924/1000</f>
        <v>2500</v>
      </c>
      <c r="R1920" s="85">
        <f>STATS1003B!R1924/1000</f>
        <v>0</v>
      </c>
      <c r="S1920" s="85">
        <f>STATS1003B!S1924/1000</f>
        <v>0</v>
      </c>
      <c r="T1920" s="85">
        <f>STATS1003B!T1924/1000</f>
        <v>0</v>
      </c>
      <c r="U1920" s="85">
        <f>STATS1003B!U1924/1000</f>
        <v>0</v>
      </c>
      <c r="V1920" s="85">
        <f>STATS1003B!V1924/1000</f>
        <v>0</v>
      </c>
      <c r="W1920" s="85">
        <f>STATS1003B!W1924/1000</f>
        <v>0</v>
      </c>
      <c r="X1920" s="85">
        <f t="shared" si="208"/>
        <v>2500</v>
      </c>
      <c r="Y1920" s="85">
        <f>STATS1003B!Y1924/1000</f>
        <v>0</v>
      </c>
      <c r="Z1920" s="85">
        <f t="shared" si="209"/>
        <v>0</v>
      </c>
      <c r="AA1920" s="69">
        <f>STATS1003B!AA1924/1000</f>
        <v>2500</v>
      </c>
      <c r="AB1920" s="69">
        <f>STATS1003B!AB1924/1000</f>
        <v>0</v>
      </c>
    </row>
    <row r="1921" spans="1:28" hidden="1" x14ac:dyDescent="0.3">
      <c r="A1921" s="117"/>
      <c r="E1921" s="86" t="s">
        <v>29</v>
      </c>
      <c r="F1921" s="86" t="s">
        <v>29</v>
      </c>
      <c r="G1921" s="86" t="s">
        <v>29</v>
      </c>
      <c r="H1921" s="86" t="s">
        <v>29</v>
      </c>
      <c r="I1921" s="86" t="s">
        <v>29</v>
      </c>
      <c r="J1921" s="86" t="s">
        <v>29</v>
      </c>
      <c r="K1921" s="86" t="s">
        <v>29</v>
      </c>
      <c r="L1921" s="86" t="s">
        <v>29</v>
      </c>
      <c r="M1921" s="86" t="s">
        <v>29</v>
      </c>
      <c r="N1921" s="86" t="s">
        <v>29</v>
      </c>
      <c r="O1921" s="86" t="s">
        <v>29</v>
      </c>
      <c r="P1921" s="86" t="s">
        <v>29</v>
      </c>
      <c r="Q1921" s="86" t="s">
        <v>29</v>
      </c>
      <c r="R1921" s="86"/>
      <c r="S1921" s="86"/>
      <c r="T1921" s="86"/>
      <c r="U1921" s="86" t="s">
        <v>29</v>
      </c>
      <c r="V1921" s="86"/>
      <c r="W1921" s="86"/>
      <c r="X1921" s="85" t="e">
        <f t="shared" si="208"/>
        <v>#VALUE!</v>
      </c>
      <c r="Y1921" s="86"/>
      <c r="Z1921" s="85" t="e">
        <f t="shared" si="209"/>
        <v>#VALUE!</v>
      </c>
      <c r="AA1921" s="115" t="s">
        <v>29</v>
      </c>
      <c r="AB1921" s="115" t="s">
        <v>29</v>
      </c>
    </row>
    <row r="1922" spans="1:28" x14ac:dyDescent="0.3">
      <c r="A1922" s="117">
        <v>84</v>
      </c>
      <c r="B1922" s="68" t="s">
        <v>786</v>
      </c>
      <c r="E1922" s="85">
        <f>280214196.17/1000</f>
        <v>280214.19617000001</v>
      </c>
      <c r="F1922" s="85">
        <f t="shared" ref="F1922:Q1922" si="212">SUM(F1902:F1921)</f>
        <v>70178.898929999996</v>
      </c>
      <c r="G1922" s="85">
        <f t="shared" si="212"/>
        <v>11165.974699999999</v>
      </c>
      <c r="H1922" s="85">
        <f>264615966.56/1000</f>
        <v>264615.96656000003</v>
      </c>
      <c r="I1922" s="85">
        <f t="shared" si="212"/>
        <v>0</v>
      </c>
      <c r="J1922" s="85">
        <f t="shared" si="212"/>
        <v>70178.898929999996</v>
      </c>
      <c r="K1922" s="85">
        <f t="shared" si="212"/>
        <v>15598.229609999999</v>
      </c>
      <c r="L1922" s="85">
        <f t="shared" si="212"/>
        <v>0</v>
      </c>
      <c r="M1922" s="85">
        <f t="shared" si="212"/>
        <v>81344.873630000002</v>
      </c>
      <c r="N1922" s="85">
        <f t="shared" si="212"/>
        <v>15598.229609999999</v>
      </c>
      <c r="O1922" s="85">
        <f t="shared" si="212"/>
        <v>0</v>
      </c>
      <c r="P1922" s="85">
        <f>15598229/1000</f>
        <v>15598.228999999999</v>
      </c>
      <c r="Q1922" s="85">
        <f t="shared" si="212"/>
        <v>59652.493950000004</v>
      </c>
      <c r="R1922" s="86"/>
      <c r="S1922" s="86"/>
      <c r="T1922" s="85">
        <f t="shared" ref="T1922:Y1922" si="213">SUM(T1902:T1921)</f>
        <v>0</v>
      </c>
      <c r="U1922" s="85">
        <f t="shared" si="213"/>
        <v>15598.229609999999</v>
      </c>
      <c r="V1922" s="85">
        <f t="shared" si="213"/>
        <v>0</v>
      </c>
      <c r="W1922" s="85">
        <f t="shared" si="213"/>
        <v>0</v>
      </c>
      <c r="X1922" s="85">
        <f>+H1922+P1922</f>
        <v>280214.19556000002</v>
      </c>
      <c r="Y1922" s="85">
        <f t="shared" si="213"/>
        <v>0</v>
      </c>
      <c r="Z1922" s="85">
        <f t="shared" si="209"/>
        <v>6.0999998822808266E-4</v>
      </c>
      <c r="AA1922" s="69">
        <f>SUM(AA1902:AA1921)</f>
        <v>96943.103239999997</v>
      </c>
      <c r="AB1922" s="69">
        <f>SUM(AB1902:AB1921)</f>
        <v>0</v>
      </c>
    </row>
    <row r="1923" spans="1:28" hidden="1" x14ac:dyDescent="0.3">
      <c r="A1923" s="117"/>
      <c r="E1923" s="86" t="s">
        <v>29</v>
      </c>
      <c r="F1923" s="86" t="s">
        <v>29</v>
      </c>
      <c r="G1923" s="86" t="s">
        <v>29</v>
      </c>
      <c r="H1923" s="86" t="s">
        <v>29</v>
      </c>
      <c r="I1923" s="86" t="s">
        <v>29</v>
      </c>
      <c r="J1923" s="86" t="s">
        <v>29</v>
      </c>
      <c r="K1923" s="86" t="s">
        <v>29</v>
      </c>
      <c r="L1923" s="86" t="s">
        <v>29</v>
      </c>
      <c r="M1923" s="86" t="s">
        <v>29</v>
      </c>
      <c r="N1923" s="86" t="s">
        <v>29</v>
      </c>
      <c r="O1923" s="86" t="s">
        <v>29</v>
      </c>
      <c r="P1923" s="86" t="s">
        <v>29</v>
      </c>
      <c r="Q1923" s="86" t="s">
        <v>29</v>
      </c>
      <c r="R1923" s="86"/>
      <c r="S1923" s="86"/>
      <c r="T1923" s="86"/>
      <c r="U1923" s="86" t="s">
        <v>29</v>
      </c>
      <c r="V1923" s="86"/>
      <c r="W1923" s="86"/>
      <c r="X1923" s="85" t="e">
        <f t="shared" si="208"/>
        <v>#VALUE!</v>
      </c>
      <c r="Y1923" s="86"/>
      <c r="Z1923" s="85" t="e">
        <f t="shared" si="209"/>
        <v>#VALUE!</v>
      </c>
      <c r="AA1923" s="115" t="s">
        <v>29</v>
      </c>
      <c r="AB1923" s="115" t="s">
        <v>29</v>
      </c>
    </row>
    <row r="1924" spans="1:28" hidden="1" x14ac:dyDescent="0.3">
      <c r="A1924" s="105"/>
      <c r="E1924" s="84"/>
      <c r="F1924" s="84"/>
      <c r="G1924" s="84"/>
      <c r="H1924" s="84"/>
      <c r="I1924" s="84"/>
      <c r="J1924" s="84"/>
      <c r="K1924" s="84"/>
      <c r="L1924" s="84"/>
      <c r="M1924" s="84"/>
      <c r="N1924" s="84"/>
      <c r="O1924" s="84"/>
      <c r="P1924" s="84"/>
      <c r="Q1924" s="84"/>
      <c r="R1924" s="86"/>
      <c r="S1924" s="86"/>
      <c r="T1924" s="86"/>
      <c r="U1924" s="86"/>
      <c r="V1924" s="86"/>
      <c r="W1924" s="86"/>
      <c r="X1924" s="85">
        <f t="shared" si="208"/>
        <v>0</v>
      </c>
      <c r="Y1924" s="86"/>
      <c r="Z1924" s="85">
        <f t="shared" si="209"/>
        <v>0</v>
      </c>
    </row>
    <row r="1925" spans="1:28" hidden="1" x14ac:dyDescent="0.3">
      <c r="A1925" s="117"/>
      <c r="C1925" s="68" t="s">
        <v>535</v>
      </c>
      <c r="D1925" s="145" t="s">
        <v>150</v>
      </c>
      <c r="E1925" s="85">
        <f>STATS1003B!E1929/1000</f>
        <v>9493.8161999999993</v>
      </c>
      <c r="F1925" s="85">
        <f>STATS1003B!F1929/1000</f>
        <v>8323.8746900000006</v>
      </c>
      <c r="G1925" s="85">
        <f>STATS1003B!G1929/1000</f>
        <v>0</v>
      </c>
      <c r="H1925" s="85">
        <f>STATS1003B!H1929/1000</f>
        <v>8323.8746900000006</v>
      </c>
      <c r="I1925" s="85">
        <f>STATS1003B!I1929/1000</f>
        <v>0</v>
      </c>
      <c r="J1925" s="85">
        <f>STATS1003B!J1929/1000</f>
        <v>8323.8746900000006</v>
      </c>
      <c r="K1925" s="85">
        <f>STATS1003B!K1929/1000</f>
        <v>1169.9415100000001</v>
      </c>
      <c r="L1925" s="85">
        <f>STATS1003B!L1929/1000</f>
        <v>0</v>
      </c>
      <c r="M1925" s="85">
        <f>STATS1003B!M1929/1000</f>
        <v>8323.8746900000006</v>
      </c>
      <c r="N1925" s="85">
        <f>STATS1003B!N1929/1000</f>
        <v>1169.9415100000001</v>
      </c>
      <c r="O1925" s="85">
        <f>STATS1003B!O1929/1000</f>
        <v>0</v>
      </c>
      <c r="P1925" s="85">
        <f>STATS1003B!P1929/1000</f>
        <v>1169.9415100000001</v>
      </c>
      <c r="Q1925" s="85">
        <f>STATS1003B!Q1929/1000</f>
        <v>8323.8746899999987</v>
      </c>
      <c r="R1925" s="85">
        <f>STATS1003B!R1929/1000</f>
        <v>0</v>
      </c>
      <c r="S1925" s="85">
        <f>STATS1003B!S1929/1000</f>
        <v>0</v>
      </c>
      <c r="T1925" s="85">
        <f>STATS1003B!T1929/1000</f>
        <v>0</v>
      </c>
      <c r="U1925" s="85">
        <f>STATS1003B!U1929/1000</f>
        <v>1169.9415100000001</v>
      </c>
      <c r="V1925" s="85">
        <f>STATS1003B!V1929/1000</f>
        <v>0</v>
      </c>
      <c r="W1925" s="85">
        <f>STATS1003B!W1929/1000</f>
        <v>0</v>
      </c>
      <c r="X1925" s="85">
        <f t="shared" si="208"/>
        <v>9493.8162000000011</v>
      </c>
      <c r="Y1925" s="85">
        <f>STATS1003B!Y1929/1000</f>
        <v>0</v>
      </c>
      <c r="Z1925" s="85">
        <f t="shared" si="209"/>
        <v>0</v>
      </c>
      <c r="AA1925" s="69">
        <f>STATS1003B!AA1929/1000</f>
        <v>9493.8162000000011</v>
      </c>
      <c r="AB1925" s="69">
        <f>STATS1003B!AB1929/1000</f>
        <v>0</v>
      </c>
    </row>
    <row r="1926" spans="1:28" hidden="1" x14ac:dyDescent="0.3">
      <c r="A1926" s="117"/>
      <c r="C1926" s="68" t="s">
        <v>789</v>
      </c>
      <c r="D1926" s="145" t="s">
        <v>150</v>
      </c>
      <c r="E1926" s="85">
        <f>STATS1003B!E1930/1000</f>
        <v>5895</v>
      </c>
      <c r="F1926" s="85">
        <f>STATS1003B!F1930/1000</f>
        <v>5895</v>
      </c>
      <c r="G1926" s="85">
        <f>STATS1003B!G1930/1000</f>
        <v>0</v>
      </c>
      <c r="H1926" s="85">
        <f>STATS1003B!H1930/1000</f>
        <v>5895</v>
      </c>
      <c r="I1926" s="85">
        <f>STATS1003B!I1930/1000</f>
        <v>0</v>
      </c>
      <c r="J1926" s="85">
        <f>STATS1003B!J1930/1000</f>
        <v>5895</v>
      </c>
      <c r="K1926" s="85">
        <f>STATS1003B!K1930/1000</f>
        <v>0</v>
      </c>
      <c r="L1926" s="85">
        <f>STATS1003B!L1930/1000</f>
        <v>0</v>
      </c>
      <c r="M1926" s="85">
        <f>STATS1003B!M1930/1000</f>
        <v>5895</v>
      </c>
      <c r="N1926" s="85">
        <f>STATS1003B!N1930/1000</f>
        <v>0</v>
      </c>
      <c r="O1926" s="85">
        <f>STATS1003B!O1930/1000</f>
        <v>0</v>
      </c>
      <c r="P1926" s="85">
        <f>STATS1003B!P1930/1000</f>
        <v>0</v>
      </c>
      <c r="Q1926" s="85">
        <f>STATS1003B!Q1930/1000</f>
        <v>5895</v>
      </c>
      <c r="R1926" s="85">
        <f>STATS1003B!R1930/1000</f>
        <v>0</v>
      </c>
      <c r="S1926" s="85">
        <f>STATS1003B!S1930/1000</f>
        <v>0</v>
      </c>
      <c r="T1926" s="85">
        <f>STATS1003B!T1930/1000</f>
        <v>0</v>
      </c>
      <c r="U1926" s="85">
        <f>STATS1003B!U1930/1000</f>
        <v>0</v>
      </c>
      <c r="V1926" s="85">
        <f>STATS1003B!V1930/1000</f>
        <v>0</v>
      </c>
      <c r="W1926" s="85">
        <f>STATS1003B!W1930/1000</f>
        <v>0</v>
      </c>
      <c r="X1926" s="85">
        <f t="shared" si="208"/>
        <v>5895</v>
      </c>
      <c r="Y1926" s="85">
        <f>STATS1003B!Y1930/1000</f>
        <v>0</v>
      </c>
      <c r="Z1926" s="85">
        <f t="shared" si="209"/>
        <v>0</v>
      </c>
      <c r="AA1926" s="69">
        <f>STATS1003B!AA1930/1000</f>
        <v>5895</v>
      </c>
      <c r="AB1926" s="69">
        <f>STATS1003B!AB1930/1000</f>
        <v>0</v>
      </c>
    </row>
    <row r="1927" spans="1:28" hidden="1" x14ac:dyDescent="0.3">
      <c r="A1927" s="117"/>
      <c r="C1927" s="68" t="s">
        <v>790</v>
      </c>
      <c r="D1927" s="145" t="s">
        <v>166</v>
      </c>
      <c r="E1927" s="85">
        <f>STATS1003B!E1931/1000</f>
        <v>4651</v>
      </c>
      <c r="F1927" s="85">
        <f>STATS1003B!F1931/1000</f>
        <v>4651</v>
      </c>
      <c r="G1927" s="85">
        <f>STATS1003B!G1931/1000</f>
        <v>0</v>
      </c>
      <c r="H1927" s="85">
        <f>STATS1003B!H1931/1000</f>
        <v>4651</v>
      </c>
      <c r="I1927" s="85">
        <f>STATS1003B!I1931/1000</f>
        <v>0</v>
      </c>
      <c r="J1927" s="85">
        <f>STATS1003B!J1931/1000</f>
        <v>4651</v>
      </c>
      <c r="K1927" s="85">
        <f>STATS1003B!K1931/1000</f>
        <v>0</v>
      </c>
      <c r="L1927" s="85">
        <f>STATS1003B!L1931/1000</f>
        <v>0</v>
      </c>
      <c r="M1927" s="85">
        <f>STATS1003B!M1931/1000</f>
        <v>4651</v>
      </c>
      <c r="N1927" s="85">
        <f>STATS1003B!N1931/1000</f>
        <v>0</v>
      </c>
      <c r="O1927" s="85">
        <f>STATS1003B!O1931/1000</f>
        <v>0</v>
      </c>
      <c r="P1927" s="85">
        <f>STATS1003B!P1931/1000</f>
        <v>0</v>
      </c>
      <c r="Q1927" s="85">
        <f>STATS1003B!Q1931/1000</f>
        <v>4651</v>
      </c>
      <c r="R1927" s="85">
        <f>STATS1003B!R1931/1000</f>
        <v>0</v>
      </c>
      <c r="S1927" s="85">
        <f>STATS1003B!S1931/1000</f>
        <v>0</v>
      </c>
      <c r="T1927" s="85">
        <f>STATS1003B!T1931/1000</f>
        <v>0</v>
      </c>
      <c r="U1927" s="85">
        <f>STATS1003B!U1931/1000</f>
        <v>0</v>
      </c>
      <c r="V1927" s="85">
        <f>STATS1003B!V1931/1000</f>
        <v>0</v>
      </c>
      <c r="W1927" s="85">
        <f>STATS1003B!W1931/1000</f>
        <v>0</v>
      </c>
      <c r="X1927" s="85">
        <f t="shared" si="208"/>
        <v>4651</v>
      </c>
      <c r="Y1927" s="85">
        <f>STATS1003B!Y1931/1000</f>
        <v>0</v>
      </c>
      <c r="Z1927" s="85">
        <f t="shared" si="209"/>
        <v>0</v>
      </c>
      <c r="AA1927" s="69">
        <f>STATS1003B!AA1931/1000</f>
        <v>4651</v>
      </c>
      <c r="AB1927" s="69">
        <f>STATS1003B!AB1931/1000</f>
        <v>0</v>
      </c>
    </row>
    <row r="1928" spans="1:28" hidden="1" x14ac:dyDescent="0.3">
      <c r="A1928" s="117"/>
      <c r="C1928" s="68" t="s">
        <v>791</v>
      </c>
      <c r="D1928" s="145" t="s">
        <v>166</v>
      </c>
      <c r="E1928" s="85">
        <f>STATS1003B!E1932/1000</f>
        <v>4195.6875499999996</v>
      </c>
      <c r="F1928" s="85">
        <f>STATS1003B!F1932/1000</f>
        <v>4195.6875499999996</v>
      </c>
      <c r="G1928" s="85">
        <f>STATS1003B!G1932/1000</f>
        <v>0</v>
      </c>
      <c r="H1928" s="85">
        <f>STATS1003B!H1932/1000</f>
        <v>4195.6875499999996</v>
      </c>
      <c r="I1928" s="85">
        <f>STATS1003B!I1932/1000</f>
        <v>0</v>
      </c>
      <c r="J1928" s="85">
        <f>STATS1003B!J1932/1000</f>
        <v>4195.6875499999996</v>
      </c>
      <c r="K1928" s="85">
        <f>STATS1003B!K1932/1000</f>
        <v>0</v>
      </c>
      <c r="L1928" s="85">
        <f>STATS1003B!L1932/1000</f>
        <v>0</v>
      </c>
      <c r="M1928" s="85">
        <f>STATS1003B!M1932/1000</f>
        <v>4195.6875499999996</v>
      </c>
      <c r="N1928" s="85">
        <f>STATS1003B!N1932/1000</f>
        <v>0</v>
      </c>
      <c r="O1928" s="85">
        <f>STATS1003B!O1932/1000</f>
        <v>0</v>
      </c>
      <c r="P1928" s="85">
        <f>STATS1003B!P1932/1000</f>
        <v>0</v>
      </c>
      <c r="Q1928" s="85">
        <f>STATS1003B!Q1932/1000</f>
        <v>4195.6875499999996</v>
      </c>
      <c r="R1928" s="85">
        <f>STATS1003B!R1932/1000</f>
        <v>0</v>
      </c>
      <c r="S1928" s="85">
        <f>STATS1003B!S1932/1000</f>
        <v>0</v>
      </c>
      <c r="T1928" s="85">
        <f>STATS1003B!T1932/1000</f>
        <v>0</v>
      </c>
      <c r="U1928" s="85">
        <f>STATS1003B!U1932/1000</f>
        <v>0</v>
      </c>
      <c r="V1928" s="85">
        <f>STATS1003B!V1932/1000</f>
        <v>0</v>
      </c>
      <c r="W1928" s="85">
        <f>STATS1003B!W1932/1000</f>
        <v>0</v>
      </c>
      <c r="X1928" s="85">
        <f t="shared" si="208"/>
        <v>4195.6875499999996</v>
      </c>
      <c r="Y1928" s="85">
        <f>STATS1003B!Y1932/1000</f>
        <v>0</v>
      </c>
      <c r="Z1928" s="85">
        <f t="shared" si="209"/>
        <v>0</v>
      </c>
      <c r="AA1928" s="69">
        <f>STATS1003B!AA1932/1000</f>
        <v>4195.6875499999996</v>
      </c>
      <c r="AB1928" s="69">
        <f>STATS1003B!AB1932/1000</f>
        <v>0</v>
      </c>
    </row>
    <row r="1929" spans="1:28" hidden="1" x14ac:dyDescent="0.3">
      <c r="A1929" s="117"/>
      <c r="C1929" s="68" t="s">
        <v>792</v>
      </c>
      <c r="D1929" s="145" t="s">
        <v>166</v>
      </c>
      <c r="E1929" s="85">
        <f>STATS1003B!E1933/1000</f>
        <v>1969.7159999999999</v>
      </c>
      <c r="F1929" s="85">
        <f>STATS1003B!F1933/1000</f>
        <v>1969.7159999999999</v>
      </c>
      <c r="G1929" s="85">
        <f>STATS1003B!G1933/1000</f>
        <v>0</v>
      </c>
      <c r="H1929" s="85">
        <f>STATS1003B!H1933/1000</f>
        <v>1969.7159999999999</v>
      </c>
      <c r="I1929" s="85">
        <f>STATS1003B!I1933/1000</f>
        <v>0</v>
      </c>
      <c r="J1929" s="85">
        <f>STATS1003B!J1933/1000</f>
        <v>1969.7159999999999</v>
      </c>
      <c r="K1929" s="85">
        <f>STATS1003B!K1933/1000</f>
        <v>0</v>
      </c>
      <c r="L1929" s="85">
        <f>STATS1003B!L1933/1000</f>
        <v>0</v>
      </c>
      <c r="M1929" s="85">
        <f>STATS1003B!M1933/1000</f>
        <v>1969.7159999999999</v>
      </c>
      <c r="N1929" s="85">
        <f>STATS1003B!N1933/1000</f>
        <v>0</v>
      </c>
      <c r="O1929" s="85">
        <f>STATS1003B!O1933/1000</f>
        <v>0</v>
      </c>
      <c r="P1929" s="85">
        <f>STATS1003B!P1933/1000</f>
        <v>0</v>
      </c>
      <c r="Q1929" s="85">
        <f>STATS1003B!Q1933/1000</f>
        <v>1969.7159999999999</v>
      </c>
      <c r="R1929" s="85">
        <f>STATS1003B!R1933/1000</f>
        <v>0</v>
      </c>
      <c r="S1929" s="85">
        <f>STATS1003B!S1933/1000</f>
        <v>0</v>
      </c>
      <c r="T1929" s="85">
        <f>STATS1003B!T1933/1000</f>
        <v>0</v>
      </c>
      <c r="U1929" s="85">
        <f>STATS1003B!U1933/1000</f>
        <v>0</v>
      </c>
      <c r="V1929" s="85">
        <f>STATS1003B!V1933/1000</f>
        <v>0</v>
      </c>
      <c r="W1929" s="85">
        <f>STATS1003B!W1933/1000</f>
        <v>0</v>
      </c>
      <c r="X1929" s="85">
        <f t="shared" si="208"/>
        <v>1969.7159999999999</v>
      </c>
      <c r="Y1929" s="85">
        <f>STATS1003B!Y1933/1000</f>
        <v>0</v>
      </c>
      <c r="Z1929" s="85">
        <f t="shared" si="209"/>
        <v>0</v>
      </c>
      <c r="AA1929" s="69">
        <f>STATS1003B!AA1933/1000</f>
        <v>1969.7159999999999</v>
      </c>
      <c r="AB1929" s="69">
        <f>STATS1003B!AB1933/1000</f>
        <v>0</v>
      </c>
    </row>
    <row r="1930" spans="1:28" hidden="1" x14ac:dyDescent="0.3">
      <c r="A1930" s="117"/>
      <c r="C1930" s="68" t="s">
        <v>777</v>
      </c>
      <c r="D1930" s="145" t="s">
        <v>78</v>
      </c>
      <c r="E1930" s="85">
        <f>STATS1003B!E1934/1000</f>
        <v>752.32100000000003</v>
      </c>
      <c r="F1930" s="85">
        <f>STATS1003B!F1934/1000</f>
        <v>752.32100000000003</v>
      </c>
      <c r="G1930" s="85">
        <f>STATS1003B!G1934/1000</f>
        <v>0</v>
      </c>
      <c r="H1930" s="85">
        <f>STATS1003B!H1934/1000</f>
        <v>752.32100000000003</v>
      </c>
      <c r="I1930" s="85">
        <f>STATS1003B!I1934/1000</f>
        <v>0</v>
      </c>
      <c r="J1930" s="85">
        <f>STATS1003B!J1934/1000</f>
        <v>752.32100000000003</v>
      </c>
      <c r="K1930" s="85">
        <f>STATS1003B!K1934/1000</f>
        <v>0</v>
      </c>
      <c r="L1930" s="85">
        <f>STATS1003B!L1934/1000</f>
        <v>0</v>
      </c>
      <c r="M1930" s="85">
        <f>STATS1003B!M1934/1000</f>
        <v>752.32100000000003</v>
      </c>
      <c r="N1930" s="85">
        <f>STATS1003B!N1934/1000</f>
        <v>0</v>
      </c>
      <c r="O1930" s="85">
        <f>STATS1003B!O1934/1000</f>
        <v>0</v>
      </c>
      <c r="P1930" s="85">
        <f>STATS1003B!P1934/1000</f>
        <v>0</v>
      </c>
      <c r="Q1930" s="85">
        <f>STATS1003B!Q1934/1000</f>
        <v>752.32100000000003</v>
      </c>
      <c r="R1930" s="85">
        <f>STATS1003B!R1934/1000</f>
        <v>0</v>
      </c>
      <c r="S1930" s="85">
        <f>STATS1003B!S1934/1000</f>
        <v>0</v>
      </c>
      <c r="T1930" s="85">
        <f>STATS1003B!T1934/1000</f>
        <v>0</v>
      </c>
      <c r="U1930" s="85">
        <f>STATS1003B!U1934/1000</f>
        <v>0</v>
      </c>
      <c r="V1930" s="85">
        <f>STATS1003B!V1934/1000</f>
        <v>0</v>
      </c>
      <c r="W1930" s="85">
        <f>STATS1003B!W1934/1000</f>
        <v>0</v>
      </c>
      <c r="X1930" s="85">
        <f t="shared" si="208"/>
        <v>752.32100000000003</v>
      </c>
      <c r="Y1930" s="85">
        <f>STATS1003B!Y1934/1000</f>
        <v>0</v>
      </c>
      <c r="Z1930" s="85">
        <f t="shared" si="209"/>
        <v>0</v>
      </c>
      <c r="AA1930" s="69">
        <f>STATS1003B!AA1934/1000</f>
        <v>752.32100000000003</v>
      </c>
      <c r="AB1930" s="69">
        <f>STATS1003B!AB1934/1000</f>
        <v>0</v>
      </c>
    </row>
    <row r="1931" spans="1:28" hidden="1" x14ac:dyDescent="0.3">
      <c r="A1931" s="117"/>
      <c r="C1931" s="68" t="s">
        <v>793</v>
      </c>
      <c r="D1931" s="145" t="s">
        <v>78</v>
      </c>
      <c r="E1931" s="85">
        <f>STATS1003B!E1935/1000</f>
        <v>2295.8792999999996</v>
      </c>
      <c r="F1931" s="85">
        <f>STATS1003B!F1935/1000</f>
        <v>1644.2449999999999</v>
      </c>
      <c r="G1931" s="85">
        <f>STATS1003B!G1935/1000</f>
        <v>0</v>
      </c>
      <c r="H1931" s="85">
        <f>STATS1003B!H1935/1000</f>
        <v>1644.2449999999999</v>
      </c>
      <c r="I1931" s="85">
        <f>STATS1003B!I1935/1000</f>
        <v>0</v>
      </c>
      <c r="J1931" s="85">
        <f>STATS1003B!J1935/1000</f>
        <v>1644.2449999999999</v>
      </c>
      <c r="K1931" s="85">
        <f>STATS1003B!K1935/1000</f>
        <v>651.63430000000005</v>
      </c>
      <c r="L1931" s="85">
        <f>STATS1003B!L1935/1000</f>
        <v>0</v>
      </c>
      <c r="M1931" s="85">
        <f>STATS1003B!M1935/1000</f>
        <v>1644.2449999999999</v>
      </c>
      <c r="N1931" s="85">
        <f>STATS1003B!N1935/1000</f>
        <v>651.63430000000005</v>
      </c>
      <c r="O1931" s="85">
        <f>STATS1003B!O1935/1000</f>
        <v>0</v>
      </c>
      <c r="P1931" s="85">
        <f>STATS1003B!P1935/1000</f>
        <v>651.63430000000005</v>
      </c>
      <c r="Q1931" s="85">
        <f>STATS1003B!Q1935/1000</f>
        <v>1644.2449999999997</v>
      </c>
      <c r="R1931" s="85">
        <f>STATS1003B!R1935/1000</f>
        <v>0</v>
      </c>
      <c r="S1931" s="85">
        <f>STATS1003B!S1935/1000</f>
        <v>0</v>
      </c>
      <c r="T1931" s="85">
        <f>STATS1003B!T1935/1000</f>
        <v>0</v>
      </c>
      <c r="U1931" s="85">
        <f>STATS1003B!U1935/1000</f>
        <v>651.63430000000005</v>
      </c>
      <c r="V1931" s="85">
        <f>STATS1003B!V1935/1000</f>
        <v>0</v>
      </c>
      <c r="W1931" s="85">
        <f>STATS1003B!W1935/1000</f>
        <v>0</v>
      </c>
      <c r="X1931" s="85">
        <f t="shared" si="208"/>
        <v>2295.8793000000001</v>
      </c>
      <c r="Y1931" s="85">
        <f>STATS1003B!Y1935/1000</f>
        <v>0</v>
      </c>
      <c r="Z1931" s="85">
        <f t="shared" si="209"/>
        <v>0</v>
      </c>
      <c r="AA1931" s="69">
        <f>STATS1003B!AA1935/1000</f>
        <v>2295.8792999999996</v>
      </c>
      <c r="AB1931" s="69">
        <f>STATS1003B!AB1935/1000</f>
        <v>0</v>
      </c>
    </row>
    <row r="1932" spans="1:28" hidden="1" x14ac:dyDescent="0.3">
      <c r="A1932" s="117"/>
      <c r="C1932" s="68" t="s">
        <v>535</v>
      </c>
      <c r="D1932" s="145" t="s">
        <v>68</v>
      </c>
      <c r="E1932" s="85">
        <f>STATS1003B!E1936/1000</f>
        <v>2576.2080599999999</v>
      </c>
      <c r="F1932" s="85">
        <f>STATS1003B!F1936/1000</f>
        <v>429.03070000000002</v>
      </c>
      <c r="G1932" s="85">
        <f>STATS1003B!G1936/1000</f>
        <v>0</v>
      </c>
      <c r="H1932" s="85">
        <f>STATS1003B!H1936/1000</f>
        <v>429.03070000000002</v>
      </c>
      <c r="I1932" s="85">
        <f>STATS1003B!I1936/1000</f>
        <v>0</v>
      </c>
      <c r="J1932" s="85">
        <f>STATS1003B!J1936/1000</f>
        <v>429.03070000000002</v>
      </c>
      <c r="K1932" s="85">
        <f>STATS1003B!K1936/1000</f>
        <v>2147.1773599999997</v>
      </c>
      <c r="L1932" s="85">
        <f>STATS1003B!L1936/1000</f>
        <v>0</v>
      </c>
      <c r="M1932" s="85">
        <f>STATS1003B!M1936/1000</f>
        <v>429.03070000000002</v>
      </c>
      <c r="N1932" s="85">
        <f>STATS1003B!N1936/1000</f>
        <v>2147.1773599999997</v>
      </c>
      <c r="O1932" s="85">
        <f>STATS1003B!O1936/1000</f>
        <v>0</v>
      </c>
      <c r="P1932" s="85">
        <f>STATS1003B!P1936/1000</f>
        <v>2147.1773599999997</v>
      </c>
      <c r="Q1932" s="85">
        <f>STATS1003B!Q1936/1000</f>
        <v>429.03070000000019</v>
      </c>
      <c r="R1932" s="85">
        <f>STATS1003B!R1936/1000</f>
        <v>0</v>
      </c>
      <c r="S1932" s="85">
        <f>STATS1003B!S1936/1000</f>
        <v>0</v>
      </c>
      <c r="T1932" s="85">
        <f>STATS1003B!T1936/1000</f>
        <v>0</v>
      </c>
      <c r="U1932" s="85">
        <f>STATS1003B!U1936/1000</f>
        <v>2147.1773599999997</v>
      </c>
      <c r="V1932" s="85">
        <f>STATS1003B!V1936/1000</f>
        <v>0</v>
      </c>
      <c r="W1932" s="85">
        <f>STATS1003B!W1936/1000</f>
        <v>0</v>
      </c>
      <c r="X1932" s="85">
        <f t="shared" si="208"/>
        <v>2576.2080599999999</v>
      </c>
      <c r="Y1932" s="85">
        <f>STATS1003B!Y1936/1000</f>
        <v>0</v>
      </c>
      <c r="Z1932" s="85">
        <f t="shared" si="209"/>
        <v>0</v>
      </c>
      <c r="AA1932" s="69">
        <f>STATS1003B!AA1936/1000</f>
        <v>2576.2080599999999</v>
      </c>
      <c r="AB1932" s="69">
        <f>STATS1003B!AB1936/1000</f>
        <v>0</v>
      </c>
    </row>
    <row r="1933" spans="1:28" hidden="1" x14ac:dyDescent="0.3">
      <c r="A1933" s="117"/>
      <c r="C1933" s="68" t="s">
        <v>539</v>
      </c>
      <c r="D1933" s="145" t="s">
        <v>68</v>
      </c>
      <c r="E1933" s="85">
        <f>STATS1003B!E1937/1000</f>
        <v>571.58981000000006</v>
      </c>
      <c r="F1933" s="85">
        <f>STATS1003B!F1937/1000</f>
        <v>0</v>
      </c>
      <c r="G1933" s="85">
        <f>STATS1003B!G1937/1000</f>
        <v>0</v>
      </c>
      <c r="H1933" s="85">
        <f>STATS1003B!H1937/1000</f>
        <v>0</v>
      </c>
      <c r="I1933" s="85">
        <f>STATS1003B!I1937/1000</f>
        <v>0</v>
      </c>
      <c r="J1933" s="85">
        <f>STATS1003B!J1937/1000</f>
        <v>0</v>
      </c>
      <c r="K1933" s="85">
        <f>STATS1003B!K1937/1000</f>
        <v>571.58981000000006</v>
      </c>
      <c r="L1933" s="85">
        <f>STATS1003B!L1937/1000</f>
        <v>0</v>
      </c>
      <c r="M1933" s="85">
        <f>STATS1003B!M1937/1000</f>
        <v>0</v>
      </c>
      <c r="N1933" s="85">
        <f>STATS1003B!N1937/1000</f>
        <v>571.58981000000006</v>
      </c>
      <c r="O1933" s="85">
        <f>STATS1003B!O1937/1000</f>
        <v>0</v>
      </c>
      <c r="P1933" s="85">
        <f>STATS1003B!P1937/1000</f>
        <v>571.58981000000006</v>
      </c>
      <c r="Q1933" s="85">
        <f>STATS1003B!Q1937/1000</f>
        <v>0</v>
      </c>
      <c r="R1933" s="85">
        <f>STATS1003B!R1937/1000</f>
        <v>0</v>
      </c>
      <c r="S1933" s="85">
        <f>STATS1003B!S1937/1000</f>
        <v>0</v>
      </c>
      <c r="T1933" s="85">
        <f>STATS1003B!T1937/1000</f>
        <v>0</v>
      </c>
      <c r="U1933" s="85">
        <f>STATS1003B!U1937/1000</f>
        <v>571.58981000000006</v>
      </c>
      <c r="V1933" s="85">
        <f>STATS1003B!V1937/1000</f>
        <v>0</v>
      </c>
      <c r="W1933" s="85">
        <f>STATS1003B!W1937/1000</f>
        <v>0</v>
      </c>
      <c r="X1933" s="85">
        <f t="shared" si="208"/>
        <v>571.58981000000006</v>
      </c>
      <c r="Y1933" s="85">
        <f>STATS1003B!Y1937/1000</f>
        <v>0</v>
      </c>
      <c r="Z1933" s="85">
        <f t="shared" si="209"/>
        <v>0</v>
      </c>
      <c r="AA1933" s="69">
        <f>STATS1003B!AA1937/1000</f>
        <v>571.58981000000006</v>
      </c>
      <c r="AB1933" s="69">
        <f>STATS1003B!AB1937/1000</f>
        <v>0</v>
      </c>
    </row>
    <row r="1934" spans="1:28" hidden="1" x14ac:dyDescent="0.3">
      <c r="A1934" s="117"/>
      <c r="C1934" s="68" t="s">
        <v>545</v>
      </c>
      <c r="D1934" s="145" t="s">
        <v>54</v>
      </c>
      <c r="E1934" s="85">
        <f>STATS1003B!E1938/1000</f>
        <v>1767.77</v>
      </c>
      <c r="F1934" s="85">
        <f>STATS1003B!F1938/1000</f>
        <v>0</v>
      </c>
      <c r="G1934" s="85">
        <f>STATS1003B!G1938/1000</f>
        <v>0</v>
      </c>
      <c r="H1934" s="85">
        <f>STATS1003B!H1938/1000</f>
        <v>0</v>
      </c>
      <c r="I1934" s="85">
        <f>STATS1003B!I1938/1000</f>
        <v>0</v>
      </c>
      <c r="J1934" s="85">
        <f>STATS1003B!J1938/1000</f>
        <v>0</v>
      </c>
      <c r="K1934" s="85">
        <f>STATS1003B!K1938/1000</f>
        <v>1767.77</v>
      </c>
      <c r="L1934" s="85">
        <f>STATS1003B!L1938/1000</f>
        <v>0</v>
      </c>
      <c r="M1934" s="85">
        <f>STATS1003B!M1938/1000</f>
        <v>0</v>
      </c>
      <c r="N1934" s="85">
        <f>STATS1003B!N1938/1000</f>
        <v>1767.77</v>
      </c>
      <c r="O1934" s="85">
        <f>STATS1003B!O1938/1000</f>
        <v>0</v>
      </c>
      <c r="P1934" s="85">
        <f>STATS1003B!P1938/1000</f>
        <v>1767.77</v>
      </c>
      <c r="Q1934" s="85">
        <f>STATS1003B!Q1938/1000</f>
        <v>0</v>
      </c>
      <c r="R1934" s="85">
        <f>STATS1003B!R1938/1000</f>
        <v>0</v>
      </c>
      <c r="S1934" s="85">
        <f>STATS1003B!S1938/1000</f>
        <v>0</v>
      </c>
      <c r="T1934" s="85">
        <f>STATS1003B!T1938/1000</f>
        <v>0</v>
      </c>
      <c r="U1934" s="85">
        <f>STATS1003B!U1938/1000</f>
        <v>1767.77</v>
      </c>
      <c r="V1934" s="85">
        <f>STATS1003B!V1938/1000</f>
        <v>0</v>
      </c>
      <c r="W1934" s="85">
        <f>STATS1003B!W1938/1000</f>
        <v>0</v>
      </c>
      <c r="X1934" s="85">
        <f t="shared" si="208"/>
        <v>1767.77</v>
      </c>
      <c r="Y1934" s="85">
        <f>STATS1003B!Y1938/1000</f>
        <v>0</v>
      </c>
      <c r="Z1934" s="85">
        <f t="shared" si="209"/>
        <v>0</v>
      </c>
      <c r="AA1934" s="69">
        <f>STATS1003B!AA1938/1000</f>
        <v>1767.77</v>
      </c>
      <c r="AB1934" s="69">
        <f>STATS1003B!AB1938/1000</f>
        <v>0</v>
      </c>
    </row>
    <row r="1935" spans="1:28" hidden="1" x14ac:dyDescent="0.3">
      <c r="A1935" s="117"/>
      <c r="C1935" s="68" t="s">
        <v>794</v>
      </c>
      <c r="D1935" s="145" t="s">
        <v>54</v>
      </c>
      <c r="E1935" s="85">
        <f>STATS1003B!E1939/1000</f>
        <v>690.09758999999985</v>
      </c>
      <c r="F1935" s="85">
        <f>STATS1003B!F1939/1000</f>
        <v>690.09758999999997</v>
      </c>
      <c r="G1935" s="85">
        <f>STATS1003B!G1939/1000</f>
        <v>0</v>
      </c>
      <c r="H1935" s="85">
        <f>STATS1003B!H1939/1000</f>
        <v>690.09758999999997</v>
      </c>
      <c r="I1935" s="85">
        <f>STATS1003B!I1939/1000</f>
        <v>0</v>
      </c>
      <c r="J1935" s="85">
        <f>STATS1003B!J1939/1000</f>
        <v>690.09758999999997</v>
      </c>
      <c r="K1935" s="85">
        <f>STATS1003B!K1939/1000</f>
        <v>0</v>
      </c>
      <c r="L1935" s="85">
        <f>STATS1003B!L1939/1000</f>
        <v>0</v>
      </c>
      <c r="M1935" s="85">
        <f>STATS1003B!M1939/1000</f>
        <v>690.09758999999997</v>
      </c>
      <c r="N1935" s="85">
        <f>STATS1003B!N1939/1000</f>
        <v>0</v>
      </c>
      <c r="O1935" s="85">
        <f>STATS1003B!O1939/1000</f>
        <v>0</v>
      </c>
      <c r="P1935" s="85">
        <f>STATS1003B!P1939/1000</f>
        <v>0</v>
      </c>
      <c r="Q1935" s="85">
        <f>STATS1003B!Q1939/1000</f>
        <v>690.09758999999985</v>
      </c>
      <c r="R1935" s="85">
        <f>STATS1003B!R1939/1000</f>
        <v>0</v>
      </c>
      <c r="S1935" s="85">
        <f>STATS1003B!S1939/1000</f>
        <v>0</v>
      </c>
      <c r="T1935" s="85">
        <f>STATS1003B!T1939/1000</f>
        <v>0</v>
      </c>
      <c r="U1935" s="85">
        <f>STATS1003B!U1939/1000</f>
        <v>0</v>
      </c>
      <c r="V1935" s="85">
        <f>STATS1003B!V1939/1000</f>
        <v>0</v>
      </c>
      <c r="W1935" s="85">
        <f>STATS1003B!W1939/1000</f>
        <v>0</v>
      </c>
      <c r="X1935" s="85">
        <f t="shared" si="208"/>
        <v>690.09758999999997</v>
      </c>
      <c r="Y1935" s="85">
        <f>STATS1003B!Y1939/1000</f>
        <v>0</v>
      </c>
      <c r="Z1935" s="85">
        <f t="shared" si="209"/>
        <v>0</v>
      </c>
      <c r="AA1935" s="69">
        <f>STATS1003B!AA1939/1000</f>
        <v>690.09758999999997</v>
      </c>
      <c r="AB1935" s="69">
        <f>STATS1003B!AB1939/1000</f>
        <v>0</v>
      </c>
    </row>
    <row r="1936" spans="1:28" hidden="1" x14ac:dyDescent="0.3">
      <c r="A1936" s="117"/>
      <c r="C1936" s="68" t="s">
        <v>535</v>
      </c>
      <c r="D1936" s="145" t="s">
        <v>85</v>
      </c>
      <c r="E1936" s="85">
        <f>STATS1003B!E1940/1000</f>
        <v>5967</v>
      </c>
      <c r="F1936" s="85">
        <f>STATS1003B!F1940/1000</f>
        <v>5967</v>
      </c>
      <c r="G1936" s="85">
        <f>STATS1003B!G1940/1000</f>
        <v>0</v>
      </c>
      <c r="H1936" s="85">
        <f>STATS1003B!H1940/1000</f>
        <v>5967</v>
      </c>
      <c r="I1936" s="85">
        <f>STATS1003B!I1940/1000</f>
        <v>0</v>
      </c>
      <c r="J1936" s="85">
        <f>STATS1003B!J1940/1000</f>
        <v>5967</v>
      </c>
      <c r="K1936" s="85">
        <f>STATS1003B!K1940/1000</f>
        <v>0</v>
      </c>
      <c r="L1936" s="85">
        <f>STATS1003B!L1940/1000</f>
        <v>0</v>
      </c>
      <c r="M1936" s="85">
        <f>STATS1003B!M1940/1000</f>
        <v>5967</v>
      </c>
      <c r="N1936" s="85">
        <f>STATS1003B!N1940/1000</f>
        <v>0</v>
      </c>
      <c r="O1936" s="85">
        <f>STATS1003B!O1940/1000</f>
        <v>0</v>
      </c>
      <c r="P1936" s="85">
        <f>STATS1003B!P1940/1000</f>
        <v>0</v>
      </c>
      <c r="Q1936" s="85">
        <f>STATS1003B!Q1940/1000</f>
        <v>5967</v>
      </c>
      <c r="R1936" s="85">
        <f>STATS1003B!R1940/1000</f>
        <v>0</v>
      </c>
      <c r="S1936" s="85">
        <f>STATS1003B!S1940/1000</f>
        <v>0</v>
      </c>
      <c r="T1936" s="85">
        <f>STATS1003B!T1940/1000</f>
        <v>0</v>
      </c>
      <c r="U1936" s="85">
        <f>STATS1003B!U1940/1000</f>
        <v>0</v>
      </c>
      <c r="V1936" s="85">
        <f>STATS1003B!V1940/1000</f>
        <v>0</v>
      </c>
      <c r="W1936" s="85">
        <f>STATS1003B!W1940/1000</f>
        <v>0</v>
      </c>
      <c r="X1936" s="85">
        <f t="shared" si="208"/>
        <v>5967</v>
      </c>
      <c r="Y1936" s="85">
        <f>STATS1003B!Y1940/1000</f>
        <v>0</v>
      </c>
      <c r="Z1936" s="85">
        <f t="shared" si="209"/>
        <v>0</v>
      </c>
      <c r="AA1936" s="69">
        <f>STATS1003B!AA1940/1000</f>
        <v>5967</v>
      </c>
      <c r="AB1936" s="69">
        <f>STATS1003B!AB1940/1000</f>
        <v>0</v>
      </c>
    </row>
    <row r="1937" spans="1:28" hidden="1" x14ac:dyDescent="0.3">
      <c r="A1937" s="117"/>
      <c r="C1937" s="68" t="s">
        <v>795</v>
      </c>
      <c r="D1937" s="145" t="s">
        <v>85</v>
      </c>
      <c r="E1937" s="85">
        <f>STATS1003B!E1941/1000</f>
        <v>504.851</v>
      </c>
      <c r="F1937" s="85">
        <f>STATS1003B!F1941/1000</f>
        <v>504.851</v>
      </c>
      <c r="G1937" s="85">
        <f>STATS1003B!G1941/1000</f>
        <v>0</v>
      </c>
      <c r="H1937" s="85">
        <f>STATS1003B!H1941/1000</f>
        <v>504.851</v>
      </c>
      <c r="I1937" s="85">
        <f>STATS1003B!I1941/1000</f>
        <v>0</v>
      </c>
      <c r="J1937" s="85">
        <f>STATS1003B!J1941/1000</f>
        <v>504.851</v>
      </c>
      <c r="K1937" s="85">
        <f>STATS1003B!K1941/1000</f>
        <v>0</v>
      </c>
      <c r="L1937" s="85">
        <f>STATS1003B!L1941/1000</f>
        <v>0</v>
      </c>
      <c r="M1937" s="85">
        <f>STATS1003B!M1941/1000</f>
        <v>504.851</v>
      </c>
      <c r="N1937" s="85">
        <f>STATS1003B!N1941/1000</f>
        <v>0</v>
      </c>
      <c r="O1937" s="85">
        <f>STATS1003B!O1941/1000</f>
        <v>0</v>
      </c>
      <c r="P1937" s="85">
        <f>STATS1003B!P1941/1000</f>
        <v>0</v>
      </c>
      <c r="Q1937" s="85">
        <f>STATS1003B!Q1941/1000</f>
        <v>504.851</v>
      </c>
      <c r="R1937" s="85">
        <f>STATS1003B!R1941/1000</f>
        <v>0</v>
      </c>
      <c r="S1937" s="85">
        <f>STATS1003B!S1941/1000</f>
        <v>0</v>
      </c>
      <c r="T1937" s="85">
        <f>STATS1003B!T1941/1000</f>
        <v>0</v>
      </c>
      <c r="U1937" s="85">
        <f>STATS1003B!U1941/1000</f>
        <v>0</v>
      </c>
      <c r="V1937" s="85">
        <f>STATS1003B!V1941/1000</f>
        <v>0</v>
      </c>
      <c r="W1937" s="85">
        <f>STATS1003B!W1941/1000</f>
        <v>0</v>
      </c>
      <c r="X1937" s="85">
        <f t="shared" si="208"/>
        <v>504.851</v>
      </c>
      <c r="Y1937" s="85">
        <f>STATS1003B!Y1941/1000</f>
        <v>0</v>
      </c>
      <c r="Z1937" s="85">
        <f t="shared" si="209"/>
        <v>0</v>
      </c>
      <c r="AA1937" s="69">
        <f>STATS1003B!AA1941/1000</f>
        <v>504.851</v>
      </c>
      <c r="AB1937" s="69">
        <f>STATS1003B!AB1941/1000</f>
        <v>0</v>
      </c>
    </row>
    <row r="1938" spans="1:28" hidden="1" x14ac:dyDescent="0.3">
      <c r="A1938" s="117"/>
      <c r="C1938" s="68" t="s">
        <v>535</v>
      </c>
      <c r="D1938" s="145" t="s">
        <v>88</v>
      </c>
      <c r="E1938" s="85">
        <f>STATS1003B!E1942/1000</f>
        <v>6716.451970000001</v>
      </c>
      <c r="F1938" s="85">
        <f>STATS1003B!F1942/1000</f>
        <v>6716.4519700000001</v>
      </c>
      <c r="G1938" s="85">
        <f>STATS1003B!G1942/1000</f>
        <v>0</v>
      </c>
      <c r="H1938" s="85">
        <f>STATS1003B!H1942/1000</f>
        <v>6716.4519700000001</v>
      </c>
      <c r="I1938" s="85">
        <f>STATS1003B!I1942/1000</f>
        <v>0</v>
      </c>
      <c r="J1938" s="85">
        <f>STATS1003B!J1942/1000</f>
        <v>6716.4519700000001</v>
      </c>
      <c r="K1938" s="85">
        <f>STATS1003B!K1942/1000</f>
        <v>0</v>
      </c>
      <c r="L1938" s="85">
        <f>STATS1003B!L1942/1000</f>
        <v>0</v>
      </c>
      <c r="M1938" s="85">
        <f>STATS1003B!M1942/1000</f>
        <v>6716.4519700000001</v>
      </c>
      <c r="N1938" s="85">
        <f>STATS1003B!N1942/1000</f>
        <v>0</v>
      </c>
      <c r="O1938" s="85">
        <f>STATS1003B!O1942/1000</f>
        <v>0</v>
      </c>
      <c r="P1938" s="85">
        <f>STATS1003B!P1942/1000</f>
        <v>0</v>
      </c>
      <c r="Q1938" s="85">
        <f>STATS1003B!Q1942/1000</f>
        <v>6716.451970000001</v>
      </c>
      <c r="R1938" s="85">
        <f>STATS1003B!R1942/1000</f>
        <v>0</v>
      </c>
      <c r="S1938" s="85">
        <f>STATS1003B!S1942/1000</f>
        <v>0</v>
      </c>
      <c r="T1938" s="85">
        <f>STATS1003B!T1942/1000</f>
        <v>0</v>
      </c>
      <c r="U1938" s="85">
        <f>STATS1003B!U1942/1000</f>
        <v>0</v>
      </c>
      <c r="V1938" s="85">
        <f>STATS1003B!V1942/1000</f>
        <v>0</v>
      </c>
      <c r="W1938" s="85">
        <f>STATS1003B!W1942/1000</f>
        <v>0</v>
      </c>
      <c r="X1938" s="85">
        <f t="shared" si="208"/>
        <v>6716.4519700000001</v>
      </c>
      <c r="Y1938" s="85">
        <f>STATS1003B!Y1942/1000</f>
        <v>0</v>
      </c>
      <c r="Z1938" s="85">
        <f t="shared" si="209"/>
        <v>0</v>
      </c>
      <c r="AA1938" s="69">
        <f>STATS1003B!AA1942/1000</f>
        <v>6716.4519700000001</v>
      </c>
      <c r="AB1938" s="69">
        <f>STATS1003B!AB1942/1000</f>
        <v>0</v>
      </c>
    </row>
    <row r="1939" spans="1:28" hidden="1" x14ac:dyDescent="0.3">
      <c r="A1939" s="117"/>
      <c r="C1939" s="68" t="s">
        <v>535</v>
      </c>
      <c r="D1939" s="145" t="s">
        <v>58</v>
      </c>
      <c r="E1939" s="85">
        <f>STATS1003B!E1943/1000</f>
        <v>2500</v>
      </c>
      <c r="F1939" s="85">
        <f>STATS1003B!F1943/1000</f>
        <v>2500</v>
      </c>
      <c r="G1939" s="85">
        <f>STATS1003B!G1943/1000</f>
        <v>0</v>
      </c>
      <c r="H1939" s="85">
        <f>STATS1003B!H1943/1000</f>
        <v>2500</v>
      </c>
      <c r="I1939" s="85">
        <f>STATS1003B!I1943/1000</f>
        <v>0</v>
      </c>
      <c r="J1939" s="85">
        <f>STATS1003B!J1943/1000</f>
        <v>2500</v>
      </c>
      <c r="K1939" s="85">
        <f>STATS1003B!K1943/1000</f>
        <v>0</v>
      </c>
      <c r="L1939" s="85">
        <f>STATS1003B!L1943/1000</f>
        <v>0</v>
      </c>
      <c r="M1939" s="85">
        <f>STATS1003B!M1943/1000</f>
        <v>2500</v>
      </c>
      <c r="N1939" s="85">
        <f>STATS1003B!N1943/1000</f>
        <v>0</v>
      </c>
      <c r="O1939" s="85">
        <f>STATS1003B!O1943/1000</f>
        <v>0</v>
      </c>
      <c r="P1939" s="85">
        <f>STATS1003B!P1943/1000</f>
        <v>0</v>
      </c>
      <c r="Q1939" s="85">
        <f>STATS1003B!Q1943/1000</f>
        <v>2500</v>
      </c>
      <c r="R1939" s="85">
        <f>STATS1003B!R1943/1000</f>
        <v>0</v>
      </c>
      <c r="S1939" s="85">
        <f>STATS1003B!S1943/1000</f>
        <v>0</v>
      </c>
      <c r="T1939" s="85">
        <f>STATS1003B!T1943/1000</f>
        <v>0</v>
      </c>
      <c r="U1939" s="85">
        <f>STATS1003B!U1943/1000</f>
        <v>0</v>
      </c>
      <c r="V1939" s="85">
        <f>STATS1003B!V1943/1000</f>
        <v>0</v>
      </c>
      <c r="W1939" s="85">
        <f>STATS1003B!W1943/1000</f>
        <v>0</v>
      </c>
      <c r="X1939" s="85">
        <f t="shared" si="208"/>
        <v>2500</v>
      </c>
      <c r="Y1939" s="85">
        <f>STATS1003B!Y1943/1000</f>
        <v>0</v>
      </c>
      <c r="Z1939" s="85">
        <f t="shared" si="209"/>
        <v>0</v>
      </c>
      <c r="AA1939" s="69">
        <f>STATS1003B!AA1943/1000</f>
        <v>2500</v>
      </c>
      <c r="AB1939" s="69">
        <f>STATS1003B!AB1943/1000</f>
        <v>0</v>
      </c>
    </row>
    <row r="1940" spans="1:28" hidden="1" x14ac:dyDescent="0.3">
      <c r="A1940" s="117"/>
      <c r="C1940" s="68" t="s">
        <v>535</v>
      </c>
      <c r="D1940" s="88" t="s">
        <v>60</v>
      </c>
      <c r="E1940" s="85">
        <f>STATS1003B!E1944/1000</f>
        <v>10264.619000000001</v>
      </c>
      <c r="F1940" s="85">
        <f>STATS1003B!F1944/1000</f>
        <v>10264.619000000001</v>
      </c>
      <c r="G1940" s="85">
        <f>STATS1003B!G1944/1000</f>
        <v>0</v>
      </c>
      <c r="H1940" s="85">
        <f>STATS1003B!H1944/1000</f>
        <v>10264.619000000001</v>
      </c>
      <c r="I1940" s="85">
        <f>STATS1003B!I1944/1000</f>
        <v>0</v>
      </c>
      <c r="J1940" s="85">
        <f>STATS1003B!J1944/1000</f>
        <v>10264.619000000001</v>
      </c>
      <c r="K1940" s="85">
        <f>STATS1003B!K1944/1000</f>
        <v>0</v>
      </c>
      <c r="L1940" s="85">
        <f>STATS1003B!L1944/1000</f>
        <v>0</v>
      </c>
      <c r="M1940" s="85">
        <f>STATS1003B!M1944/1000</f>
        <v>10264.619000000001</v>
      </c>
      <c r="N1940" s="85">
        <f>STATS1003B!N1944/1000</f>
        <v>0</v>
      </c>
      <c r="O1940" s="85">
        <f>STATS1003B!O1944/1000</f>
        <v>0</v>
      </c>
      <c r="P1940" s="85">
        <f>STATS1003B!P1944/1000</f>
        <v>0</v>
      </c>
      <c r="Q1940" s="85">
        <f>STATS1003B!Q1944/1000</f>
        <v>10264.619000000001</v>
      </c>
      <c r="R1940" s="85">
        <f>STATS1003B!R1944/1000</f>
        <v>0</v>
      </c>
      <c r="S1940" s="85">
        <f>STATS1003B!S1944/1000</f>
        <v>0</v>
      </c>
      <c r="T1940" s="85">
        <f>STATS1003B!T1944/1000</f>
        <v>0</v>
      </c>
      <c r="U1940" s="85">
        <f>STATS1003B!U1944/1000</f>
        <v>0</v>
      </c>
      <c r="V1940" s="85">
        <f>STATS1003B!V1944/1000</f>
        <v>0</v>
      </c>
      <c r="W1940" s="85">
        <f>STATS1003B!W1944/1000</f>
        <v>0</v>
      </c>
      <c r="X1940" s="85">
        <f t="shared" si="208"/>
        <v>10264.619000000001</v>
      </c>
      <c r="Y1940" s="85">
        <f>STATS1003B!Y1944/1000</f>
        <v>0</v>
      </c>
      <c r="Z1940" s="85">
        <f t="shared" si="209"/>
        <v>0</v>
      </c>
      <c r="AA1940" s="69">
        <f>STATS1003B!AA1944/1000</f>
        <v>10264.619000000001</v>
      </c>
      <c r="AB1940" s="69">
        <f>STATS1003B!AB1944/1000</f>
        <v>0</v>
      </c>
    </row>
    <row r="1941" spans="1:28" hidden="1" x14ac:dyDescent="0.3">
      <c r="A1941" s="117"/>
      <c r="C1941" s="68" t="s">
        <v>535</v>
      </c>
      <c r="D1941" s="88" t="s">
        <v>73</v>
      </c>
      <c r="E1941" s="85">
        <f>STATS1003B!E1945/1000</f>
        <v>11036.552220000001</v>
      </c>
      <c r="F1941" s="85">
        <f>STATS1003B!F1945/1000</f>
        <v>11036.552220000001</v>
      </c>
      <c r="G1941" s="85">
        <f>STATS1003B!G1945/1000</f>
        <v>0</v>
      </c>
      <c r="H1941" s="85">
        <f>STATS1003B!H1945/1000</f>
        <v>11036.552220000001</v>
      </c>
      <c r="I1941" s="85">
        <f>STATS1003B!I1945/1000</f>
        <v>0</v>
      </c>
      <c r="J1941" s="85">
        <f>STATS1003B!J1945/1000</f>
        <v>11036.552220000001</v>
      </c>
      <c r="K1941" s="85">
        <f>STATS1003B!K1945/1000</f>
        <v>0</v>
      </c>
      <c r="L1941" s="85">
        <f>STATS1003B!L1945/1000</f>
        <v>0</v>
      </c>
      <c r="M1941" s="85">
        <f>STATS1003B!M1945/1000</f>
        <v>11036.552220000001</v>
      </c>
      <c r="N1941" s="85">
        <f>STATS1003B!N1945/1000</f>
        <v>0</v>
      </c>
      <c r="O1941" s="85">
        <f>STATS1003B!O1945/1000</f>
        <v>0</v>
      </c>
      <c r="P1941" s="85">
        <f>STATS1003B!P1945/1000</f>
        <v>0</v>
      </c>
      <c r="Q1941" s="85">
        <f>STATS1003B!Q1945/1000</f>
        <v>11036.552220000001</v>
      </c>
      <c r="R1941" s="85">
        <f>STATS1003B!R1945/1000</f>
        <v>0</v>
      </c>
      <c r="S1941" s="85">
        <f>STATS1003B!S1945/1000</f>
        <v>0</v>
      </c>
      <c r="T1941" s="85">
        <f>STATS1003B!T1945/1000</f>
        <v>0</v>
      </c>
      <c r="U1941" s="85">
        <f>STATS1003B!U1945/1000</f>
        <v>0</v>
      </c>
      <c r="V1941" s="85">
        <f>STATS1003B!V1945/1000</f>
        <v>0</v>
      </c>
      <c r="W1941" s="85">
        <f>STATS1003B!W1945/1000</f>
        <v>0</v>
      </c>
      <c r="X1941" s="85">
        <f t="shared" si="208"/>
        <v>11036.552220000001</v>
      </c>
      <c r="Y1941" s="85">
        <f>STATS1003B!Y1945/1000</f>
        <v>0</v>
      </c>
      <c r="Z1941" s="85">
        <f t="shared" si="209"/>
        <v>0</v>
      </c>
      <c r="AA1941" s="69">
        <f>STATS1003B!AA1945/1000</f>
        <v>11036.552220000001</v>
      </c>
      <c r="AB1941" s="69">
        <f>STATS1003B!AB1945/1000</f>
        <v>0</v>
      </c>
    </row>
    <row r="1942" spans="1:28" hidden="1" x14ac:dyDescent="0.3">
      <c r="A1942" s="117"/>
      <c r="C1942" s="68" t="s">
        <v>535</v>
      </c>
      <c r="D1942" s="88" t="s">
        <v>61</v>
      </c>
      <c r="E1942" s="85">
        <f>STATS1003B!E1946/1000</f>
        <v>10131.02699</v>
      </c>
      <c r="F1942" s="85">
        <f>STATS1003B!F1946/1000</f>
        <v>10131.02699</v>
      </c>
      <c r="G1942" s="85">
        <f>STATS1003B!G1946/1000</f>
        <v>0</v>
      </c>
      <c r="H1942" s="85">
        <f>STATS1003B!H1946/1000</f>
        <v>10131.02699</v>
      </c>
      <c r="I1942" s="85">
        <f>STATS1003B!I1946/1000</f>
        <v>0</v>
      </c>
      <c r="J1942" s="85">
        <f>STATS1003B!J1946/1000</f>
        <v>10131.02699</v>
      </c>
      <c r="K1942" s="85">
        <f>STATS1003B!K1946/1000</f>
        <v>0</v>
      </c>
      <c r="L1942" s="85">
        <f>STATS1003B!L1946/1000</f>
        <v>0</v>
      </c>
      <c r="M1942" s="85">
        <f>STATS1003B!M1946/1000</f>
        <v>10131.02699</v>
      </c>
      <c r="N1942" s="85">
        <f>STATS1003B!N1946/1000</f>
        <v>0</v>
      </c>
      <c r="O1942" s="85">
        <f>STATS1003B!O1946/1000</f>
        <v>0</v>
      </c>
      <c r="P1942" s="85">
        <f>STATS1003B!P1946/1000</f>
        <v>0</v>
      </c>
      <c r="Q1942" s="85">
        <f>STATS1003B!Q1946/1000</f>
        <v>10131.02699</v>
      </c>
      <c r="R1942" s="85">
        <f>STATS1003B!R1946/1000</f>
        <v>0</v>
      </c>
      <c r="S1942" s="85">
        <f>STATS1003B!S1946/1000</f>
        <v>0</v>
      </c>
      <c r="T1942" s="85">
        <f>STATS1003B!T1946/1000</f>
        <v>0</v>
      </c>
      <c r="U1942" s="85">
        <f>STATS1003B!U1946/1000</f>
        <v>0</v>
      </c>
      <c r="V1942" s="85">
        <f>STATS1003B!V1946/1000</f>
        <v>0</v>
      </c>
      <c r="W1942" s="85">
        <f>STATS1003B!W1946/1000</f>
        <v>0</v>
      </c>
      <c r="X1942" s="85">
        <f t="shared" si="208"/>
        <v>10131.02699</v>
      </c>
      <c r="Y1942" s="85">
        <f>STATS1003B!Y1946/1000</f>
        <v>0</v>
      </c>
      <c r="Z1942" s="85">
        <f t="shared" si="209"/>
        <v>0</v>
      </c>
      <c r="AA1942" s="69">
        <f>STATS1003B!AA1946/1000</f>
        <v>10131.02699</v>
      </c>
      <c r="AB1942" s="69">
        <f>STATS1003B!AB1946/1000</f>
        <v>0</v>
      </c>
    </row>
    <row r="1943" spans="1:28" hidden="1" x14ac:dyDescent="0.3">
      <c r="A1943" s="117"/>
      <c r="C1943" s="68" t="s">
        <v>621</v>
      </c>
      <c r="D1943" s="88" t="s">
        <v>61</v>
      </c>
      <c r="E1943" s="85">
        <f>STATS1003B!E1947/1000</f>
        <v>564</v>
      </c>
      <c r="F1943" s="85">
        <f>STATS1003B!F1947/1000</f>
        <v>564</v>
      </c>
      <c r="G1943" s="85">
        <f>STATS1003B!G1947/1000</f>
        <v>0</v>
      </c>
      <c r="H1943" s="85">
        <f>STATS1003B!H1947/1000</f>
        <v>564</v>
      </c>
      <c r="I1943" s="85">
        <f>STATS1003B!I1947/1000</f>
        <v>0</v>
      </c>
      <c r="J1943" s="85">
        <f>STATS1003B!J1947/1000</f>
        <v>564</v>
      </c>
      <c r="K1943" s="85">
        <f>STATS1003B!K1947/1000</f>
        <v>0</v>
      </c>
      <c r="L1943" s="85">
        <f>STATS1003B!L1947/1000</f>
        <v>0</v>
      </c>
      <c r="M1943" s="85">
        <f>STATS1003B!M1947/1000</f>
        <v>564</v>
      </c>
      <c r="N1943" s="85">
        <f>STATS1003B!N1947/1000</f>
        <v>0</v>
      </c>
      <c r="O1943" s="85">
        <f>STATS1003B!O1947/1000</f>
        <v>0</v>
      </c>
      <c r="P1943" s="85">
        <f>STATS1003B!P1947/1000</f>
        <v>0</v>
      </c>
      <c r="Q1943" s="85">
        <f>STATS1003B!Q1947/1000</f>
        <v>564</v>
      </c>
      <c r="R1943" s="85">
        <f>STATS1003B!R1947/1000</f>
        <v>0</v>
      </c>
      <c r="S1943" s="85">
        <f>STATS1003B!S1947/1000</f>
        <v>0</v>
      </c>
      <c r="T1943" s="85">
        <f>STATS1003B!T1947/1000</f>
        <v>0</v>
      </c>
      <c r="U1943" s="85">
        <f>STATS1003B!U1947/1000</f>
        <v>0</v>
      </c>
      <c r="V1943" s="85">
        <f>STATS1003B!V1947/1000</f>
        <v>0</v>
      </c>
      <c r="W1943" s="85">
        <f>STATS1003B!W1947/1000</f>
        <v>0</v>
      </c>
      <c r="X1943" s="85">
        <f t="shared" si="208"/>
        <v>564</v>
      </c>
      <c r="Y1943" s="85">
        <f>STATS1003B!Y1947/1000</f>
        <v>0</v>
      </c>
      <c r="Z1943" s="85">
        <f t="shared" si="209"/>
        <v>0</v>
      </c>
      <c r="AA1943" s="69">
        <f>STATS1003B!AA1947/1000</f>
        <v>564</v>
      </c>
      <c r="AB1943" s="69">
        <f>STATS1003B!AB1947/1000</f>
        <v>0</v>
      </c>
    </row>
    <row r="1944" spans="1:28" hidden="1" x14ac:dyDescent="0.3">
      <c r="A1944" s="117"/>
      <c r="C1944" s="93" t="s">
        <v>933</v>
      </c>
      <c r="D1944" s="89" t="s">
        <v>1072</v>
      </c>
      <c r="E1944" s="85">
        <f>STATS1003B!E1948/1000</f>
        <v>11497.913629999999</v>
      </c>
      <c r="F1944" s="85">
        <f>STATS1003B!F1948/1000</f>
        <v>11497.913629999999</v>
      </c>
      <c r="G1944" s="85">
        <f>STATS1003B!G1948/1000</f>
        <v>0</v>
      </c>
      <c r="H1944" s="85">
        <f>STATS1003B!H1948/1000</f>
        <v>11497.913629999999</v>
      </c>
      <c r="I1944" s="85">
        <f>STATS1003B!I1948/1000</f>
        <v>0</v>
      </c>
      <c r="J1944" s="85">
        <f>STATS1003B!J1948/1000</f>
        <v>11497.913629999999</v>
      </c>
      <c r="K1944" s="85">
        <f>STATS1003B!K1948/1000</f>
        <v>0</v>
      </c>
      <c r="L1944" s="85">
        <f>STATS1003B!L1948/1000</f>
        <v>0</v>
      </c>
      <c r="M1944" s="85">
        <f>STATS1003B!M1948/1000</f>
        <v>11497.913629999999</v>
      </c>
      <c r="N1944" s="85">
        <f>STATS1003B!N1948/1000</f>
        <v>0</v>
      </c>
      <c r="O1944" s="85">
        <f>STATS1003B!O1948/1000</f>
        <v>0</v>
      </c>
      <c r="P1944" s="85">
        <f>STATS1003B!P1948/1000</f>
        <v>0</v>
      </c>
      <c r="Q1944" s="85">
        <f>STATS1003B!Q1948/1000</f>
        <v>0</v>
      </c>
      <c r="R1944" s="85">
        <f>STATS1003B!R1948/1000</f>
        <v>0</v>
      </c>
      <c r="S1944" s="85">
        <f>STATS1003B!S1948/1000</f>
        <v>0</v>
      </c>
      <c r="T1944" s="85">
        <f>STATS1003B!T1948/1000</f>
        <v>0</v>
      </c>
      <c r="U1944" s="85">
        <f>STATS1003B!U1948/1000</f>
        <v>0</v>
      </c>
      <c r="V1944" s="85">
        <f>STATS1003B!V1948/1000</f>
        <v>0</v>
      </c>
      <c r="W1944" s="85">
        <f>STATS1003B!W1948/1000</f>
        <v>0</v>
      </c>
      <c r="X1944" s="85">
        <f t="shared" si="208"/>
        <v>11497.913629999999</v>
      </c>
      <c r="Y1944" s="85">
        <f>STATS1003B!Y1948/1000</f>
        <v>0</v>
      </c>
      <c r="Z1944" s="85">
        <f t="shared" si="209"/>
        <v>0</v>
      </c>
      <c r="AA1944" s="69">
        <f>STATS1003B!AA1948/1000</f>
        <v>11497.913629999999</v>
      </c>
      <c r="AB1944" s="69">
        <f>STATS1003B!AB1948/1000</f>
        <v>0</v>
      </c>
    </row>
    <row r="1945" spans="1:28" hidden="1" x14ac:dyDescent="0.3">
      <c r="A1945" s="117"/>
      <c r="C1945" s="68" t="s">
        <v>1173</v>
      </c>
      <c r="D1945" s="89" t="s">
        <v>1126</v>
      </c>
      <c r="E1945" s="85">
        <f>STATS1003B!E1949/1000</f>
        <v>5361.8178600000001</v>
      </c>
      <c r="F1945" s="85">
        <f>STATS1003B!F1949/1000</f>
        <v>5361.8178600000001</v>
      </c>
      <c r="G1945" s="85">
        <f>STATS1003B!G1949/1000</f>
        <v>0</v>
      </c>
      <c r="H1945" s="85">
        <f>STATS1003B!H1949/1000</f>
        <v>5361.8178600000001</v>
      </c>
      <c r="I1945" s="85">
        <f>STATS1003B!I1949/1000</f>
        <v>0</v>
      </c>
      <c r="J1945" s="85">
        <f>STATS1003B!J1949/1000</f>
        <v>5361.8178600000001</v>
      </c>
      <c r="K1945" s="85">
        <f>STATS1003B!K1949/1000</f>
        <v>0</v>
      </c>
      <c r="L1945" s="85">
        <f>STATS1003B!L1949/1000</f>
        <v>0</v>
      </c>
      <c r="M1945" s="85">
        <f>STATS1003B!M1949/1000</f>
        <v>5361.8178600000001</v>
      </c>
      <c r="N1945" s="85">
        <f>STATS1003B!N1949/1000</f>
        <v>0</v>
      </c>
      <c r="O1945" s="85">
        <f>STATS1003B!O1949/1000</f>
        <v>0</v>
      </c>
      <c r="P1945" s="85">
        <f>STATS1003B!P1949/1000</f>
        <v>0</v>
      </c>
      <c r="Q1945" s="85">
        <f>STATS1003B!Q1949/1000</f>
        <v>0</v>
      </c>
      <c r="R1945" s="85">
        <f>STATS1003B!R1949/1000</f>
        <v>0</v>
      </c>
      <c r="S1945" s="85">
        <f>STATS1003B!S1949/1000</f>
        <v>0</v>
      </c>
      <c r="T1945" s="85">
        <f>STATS1003B!T1949/1000</f>
        <v>0</v>
      </c>
      <c r="U1945" s="85">
        <f>STATS1003B!U1949/1000</f>
        <v>0</v>
      </c>
      <c r="V1945" s="85">
        <f>STATS1003B!V1949/1000</f>
        <v>0</v>
      </c>
      <c r="W1945" s="85">
        <f>STATS1003B!W1949/1000</f>
        <v>0</v>
      </c>
      <c r="X1945" s="85">
        <f t="shared" si="208"/>
        <v>5361.8178600000001</v>
      </c>
      <c r="Y1945" s="85">
        <f>STATS1003B!Y1949/1000</f>
        <v>0</v>
      </c>
      <c r="Z1945" s="85">
        <f t="shared" si="209"/>
        <v>0</v>
      </c>
      <c r="AA1945" s="69">
        <f>STATS1003B!AA1949/1000</f>
        <v>5361.8178600000001</v>
      </c>
      <c r="AB1945" s="69">
        <f>STATS1003B!AB1949/1000</f>
        <v>0</v>
      </c>
    </row>
    <row r="1946" spans="1:28" hidden="1" x14ac:dyDescent="0.3">
      <c r="A1946" s="117"/>
      <c r="C1946" s="68" t="s">
        <v>1245</v>
      </c>
      <c r="D1946" s="89" t="s">
        <v>1225</v>
      </c>
      <c r="E1946" s="85">
        <f>STATS1003B!E1950/1000</f>
        <v>4958.06898</v>
      </c>
      <c r="F1946" s="85">
        <f>STATS1003B!F1950/1000</f>
        <v>0</v>
      </c>
      <c r="G1946" s="85">
        <f>STATS1003B!G1950/1000</f>
        <v>4958.06898</v>
      </c>
      <c r="H1946" s="85">
        <f>STATS1003B!H1950/1000</f>
        <v>4958.06898</v>
      </c>
      <c r="I1946" s="85">
        <f>STATS1003B!I1950/1000</f>
        <v>0</v>
      </c>
      <c r="J1946" s="85">
        <f>STATS1003B!J1950/1000</f>
        <v>0</v>
      </c>
      <c r="K1946" s="85">
        <f>STATS1003B!K1950/1000</f>
        <v>0</v>
      </c>
      <c r="L1946" s="85">
        <f>STATS1003B!L1950/1000</f>
        <v>0</v>
      </c>
      <c r="M1946" s="85">
        <f>STATS1003B!M1950/1000</f>
        <v>4958.06898</v>
      </c>
      <c r="N1946" s="85">
        <f>STATS1003B!N1950/1000</f>
        <v>0</v>
      </c>
      <c r="O1946" s="85">
        <f>STATS1003B!O1950/1000</f>
        <v>0</v>
      </c>
      <c r="P1946" s="85">
        <f>STATS1003B!P1950/1000</f>
        <v>0</v>
      </c>
      <c r="Q1946" s="85">
        <f>STATS1003B!Q1950/1000</f>
        <v>0</v>
      </c>
      <c r="R1946" s="85">
        <f>STATS1003B!R1950/1000</f>
        <v>0</v>
      </c>
      <c r="S1946" s="85">
        <f>STATS1003B!S1950/1000</f>
        <v>0</v>
      </c>
      <c r="T1946" s="85">
        <f>STATS1003B!T1950/1000</f>
        <v>0</v>
      </c>
      <c r="U1946" s="85">
        <f>STATS1003B!U1950/1000</f>
        <v>0</v>
      </c>
      <c r="V1946" s="85">
        <f>STATS1003B!V1950/1000</f>
        <v>0</v>
      </c>
      <c r="W1946" s="85">
        <f>STATS1003B!W1950/1000</f>
        <v>0</v>
      </c>
      <c r="X1946" s="85">
        <f t="shared" si="208"/>
        <v>4958.06898</v>
      </c>
      <c r="Y1946" s="85">
        <f>STATS1003B!Y1950/1000</f>
        <v>0</v>
      </c>
      <c r="Z1946" s="85">
        <f t="shared" si="209"/>
        <v>0</v>
      </c>
      <c r="AA1946" s="69">
        <f>STATS1003B!AA1950/1000</f>
        <v>4958.06898</v>
      </c>
      <c r="AB1946" s="69">
        <f>STATS1003B!AB1950/1000</f>
        <v>0</v>
      </c>
    </row>
    <row r="1947" spans="1:28" hidden="1" x14ac:dyDescent="0.3">
      <c r="A1947" s="117"/>
      <c r="C1947" s="68" t="s">
        <v>598</v>
      </c>
      <c r="E1947" s="85">
        <f>STATS1003B!E1951/1000</f>
        <v>70.762199999999993</v>
      </c>
      <c r="F1947" s="85">
        <f>STATS1003B!F1951/1000</f>
        <v>70.762199999999993</v>
      </c>
      <c r="G1947" s="85">
        <f>STATS1003B!G1951/1000</f>
        <v>0</v>
      </c>
      <c r="H1947" s="85">
        <f>STATS1003B!H1951/1000</f>
        <v>70.762199999999993</v>
      </c>
      <c r="I1947" s="85">
        <f>STATS1003B!I1951/1000</f>
        <v>0</v>
      </c>
      <c r="J1947" s="85">
        <f>STATS1003B!J1951/1000</f>
        <v>70.762199999999993</v>
      </c>
      <c r="K1947" s="85">
        <f>STATS1003B!K1951/1000</f>
        <v>0</v>
      </c>
      <c r="L1947" s="85">
        <f>STATS1003B!L1951/1000</f>
        <v>0</v>
      </c>
      <c r="M1947" s="85">
        <f>STATS1003B!M1951/1000</f>
        <v>70.762199999999993</v>
      </c>
      <c r="N1947" s="85">
        <f>STATS1003B!N1951/1000</f>
        <v>0</v>
      </c>
      <c r="O1947" s="85">
        <f>STATS1003B!O1951/1000</f>
        <v>0</v>
      </c>
      <c r="P1947" s="85">
        <f>STATS1003B!P1951/1000</f>
        <v>0</v>
      </c>
      <c r="Q1947" s="85">
        <f>STATS1003B!Q1951/1000</f>
        <v>70.762199999999993</v>
      </c>
      <c r="R1947" s="85">
        <f>STATS1003B!R1951/1000</f>
        <v>0</v>
      </c>
      <c r="S1947" s="85">
        <f>STATS1003B!S1951/1000</f>
        <v>0</v>
      </c>
      <c r="T1947" s="85">
        <f>STATS1003B!T1951/1000</f>
        <v>0</v>
      </c>
      <c r="U1947" s="85">
        <f>STATS1003B!U1951/1000</f>
        <v>0</v>
      </c>
      <c r="V1947" s="85">
        <f>STATS1003B!V1951/1000</f>
        <v>0</v>
      </c>
      <c r="W1947" s="85">
        <f>STATS1003B!W1951/1000</f>
        <v>0</v>
      </c>
      <c r="X1947" s="85">
        <f t="shared" si="208"/>
        <v>70.762199999999993</v>
      </c>
      <c r="Y1947" s="85">
        <f>STATS1003B!Y1951/1000</f>
        <v>0</v>
      </c>
      <c r="Z1947" s="85">
        <f t="shared" si="209"/>
        <v>0</v>
      </c>
      <c r="AA1947" s="69">
        <f>STATS1003B!AA1951/1000</f>
        <v>70.762199999999993</v>
      </c>
      <c r="AB1947" s="69">
        <f>STATS1003B!AB1951/1000</f>
        <v>0</v>
      </c>
    </row>
    <row r="1948" spans="1:28" hidden="1" x14ac:dyDescent="0.3">
      <c r="A1948" s="117"/>
      <c r="C1948" s="68" t="s">
        <v>550</v>
      </c>
      <c r="E1948" s="85">
        <f>STATS1003B!E1952/1000</f>
        <v>1338.3810000000001</v>
      </c>
      <c r="F1948" s="85">
        <f>STATS1003B!F1952/1000</f>
        <v>1338.3810000000001</v>
      </c>
      <c r="G1948" s="85">
        <f>STATS1003B!G1952/1000</f>
        <v>0</v>
      </c>
      <c r="H1948" s="85">
        <f>STATS1003B!H1952/1000</f>
        <v>1338.3810000000001</v>
      </c>
      <c r="I1948" s="85">
        <f>STATS1003B!I1952/1000</f>
        <v>0</v>
      </c>
      <c r="J1948" s="85">
        <f>STATS1003B!J1952/1000</f>
        <v>1338.3810000000001</v>
      </c>
      <c r="K1948" s="85">
        <f>STATS1003B!K1952/1000</f>
        <v>0</v>
      </c>
      <c r="L1948" s="85">
        <f>STATS1003B!L1952/1000</f>
        <v>0</v>
      </c>
      <c r="M1948" s="85">
        <f>STATS1003B!M1952/1000</f>
        <v>1338.3810000000001</v>
      </c>
      <c r="N1948" s="85">
        <f>STATS1003B!N1952/1000</f>
        <v>0</v>
      </c>
      <c r="O1948" s="85">
        <f>STATS1003B!O1952/1000</f>
        <v>0</v>
      </c>
      <c r="P1948" s="85">
        <f>STATS1003B!P1952/1000</f>
        <v>0</v>
      </c>
      <c r="Q1948" s="85">
        <f>STATS1003B!Q1952/1000</f>
        <v>1338.3810000000001</v>
      </c>
      <c r="R1948" s="85">
        <f>STATS1003B!R1952/1000</f>
        <v>0</v>
      </c>
      <c r="S1948" s="85">
        <f>STATS1003B!S1952/1000</f>
        <v>0</v>
      </c>
      <c r="T1948" s="85">
        <f>STATS1003B!T1952/1000</f>
        <v>0</v>
      </c>
      <c r="U1948" s="85">
        <f>STATS1003B!U1952/1000</f>
        <v>0</v>
      </c>
      <c r="V1948" s="85">
        <f>STATS1003B!V1952/1000</f>
        <v>0</v>
      </c>
      <c r="W1948" s="85">
        <f>STATS1003B!W1952/1000</f>
        <v>0</v>
      </c>
      <c r="X1948" s="85">
        <f t="shared" si="208"/>
        <v>1338.3810000000001</v>
      </c>
      <c r="Y1948" s="85">
        <f>STATS1003B!Y1952/1000</f>
        <v>0</v>
      </c>
      <c r="Z1948" s="85">
        <f t="shared" si="209"/>
        <v>0</v>
      </c>
      <c r="AA1948" s="69">
        <f>STATS1003B!AA1952/1000</f>
        <v>1338.3810000000001</v>
      </c>
      <c r="AB1948" s="69">
        <f>STATS1003B!AB1952/1000</f>
        <v>0</v>
      </c>
    </row>
    <row r="1949" spans="1:28" hidden="1" x14ac:dyDescent="0.3">
      <c r="A1949" s="117"/>
      <c r="C1949" s="68" t="s">
        <v>606</v>
      </c>
      <c r="E1949" s="85">
        <f>STATS1003B!E1953/1000</f>
        <v>2500</v>
      </c>
      <c r="F1949" s="85">
        <f>STATS1003B!F1953/1000</f>
        <v>2500</v>
      </c>
      <c r="G1949" s="85">
        <f>STATS1003B!G1953/1000</f>
        <v>0</v>
      </c>
      <c r="H1949" s="85">
        <f>STATS1003B!H1953/1000</f>
        <v>2500</v>
      </c>
      <c r="I1949" s="85">
        <f>STATS1003B!I1953/1000</f>
        <v>0</v>
      </c>
      <c r="J1949" s="85">
        <f>STATS1003B!J1953/1000</f>
        <v>2500</v>
      </c>
      <c r="K1949" s="85">
        <f>STATS1003B!K1953/1000</f>
        <v>0</v>
      </c>
      <c r="L1949" s="85">
        <f>STATS1003B!L1953/1000</f>
        <v>0</v>
      </c>
      <c r="M1949" s="85">
        <f>STATS1003B!M1953/1000</f>
        <v>2500</v>
      </c>
      <c r="N1949" s="85">
        <f>STATS1003B!N1953/1000</f>
        <v>0</v>
      </c>
      <c r="O1949" s="85">
        <f>STATS1003B!O1953/1000</f>
        <v>0</v>
      </c>
      <c r="P1949" s="85">
        <f>STATS1003B!P1953/1000</f>
        <v>0</v>
      </c>
      <c r="Q1949" s="85">
        <f>STATS1003B!Q1953/1000</f>
        <v>2500</v>
      </c>
      <c r="R1949" s="85">
        <f>STATS1003B!R1953/1000</f>
        <v>0</v>
      </c>
      <c r="S1949" s="85">
        <f>STATS1003B!S1953/1000</f>
        <v>0</v>
      </c>
      <c r="T1949" s="85">
        <f>STATS1003B!T1953/1000</f>
        <v>0</v>
      </c>
      <c r="U1949" s="85">
        <f>STATS1003B!U1953/1000</f>
        <v>0</v>
      </c>
      <c r="V1949" s="85">
        <f>STATS1003B!V1953/1000</f>
        <v>0</v>
      </c>
      <c r="W1949" s="85">
        <f>STATS1003B!W1953/1000</f>
        <v>0</v>
      </c>
      <c r="X1949" s="85">
        <f t="shared" si="208"/>
        <v>2500</v>
      </c>
      <c r="Y1949" s="85">
        <f>STATS1003B!Y1953/1000</f>
        <v>0</v>
      </c>
      <c r="Z1949" s="85">
        <f t="shared" si="209"/>
        <v>0</v>
      </c>
      <c r="AA1949" s="69">
        <f>STATS1003B!AA1953/1000</f>
        <v>2500</v>
      </c>
      <c r="AB1949" s="69">
        <f>STATS1003B!AB1953/1000</f>
        <v>0</v>
      </c>
    </row>
    <row r="1950" spans="1:28" hidden="1" x14ac:dyDescent="0.3">
      <c r="A1950" s="117"/>
      <c r="E1950" s="86" t="s">
        <v>29</v>
      </c>
      <c r="F1950" s="86" t="s">
        <v>29</v>
      </c>
      <c r="G1950" s="86" t="s">
        <v>29</v>
      </c>
      <c r="H1950" s="86" t="s">
        <v>29</v>
      </c>
      <c r="I1950" s="86" t="s">
        <v>29</v>
      </c>
      <c r="J1950" s="86" t="s">
        <v>29</v>
      </c>
      <c r="K1950" s="86" t="s">
        <v>29</v>
      </c>
      <c r="L1950" s="86" t="s">
        <v>29</v>
      </c>
      <c r="M1950" s="86" t="s">
        <v>29</v>
      </c>
      <c r="N1950" s="86" t="s">
        <v>29</v>
      </c>
      <c r="O1950" s="86" t="s">
        <v>29</v>
      </c>
      <c r="P1950" s="86" t="s">
        <v>29</v>
      </c>
      <c r="Q1950" s="86" t="s">
        <v>29</v>
      </c>
      <c r="R1950" s="86"/>
      <c r="S1950" s="86"/>
      <c r="T1950" s="86"/>
      <c r="U1950" s="86" t="s">
        <v>29</v>
      </c>
      <c r="V1950" s="86"/>
      <c r="W1950" s="86"/>
      <c r="X1950" s="85" t="e">
        <f t="shared" ref="X1950:X1966" si="214">+H1950+P1950</f>
        <v>#VALUE!</v>
      </c>
      <c r="Y1950" s="86"/>
      <c r="Z1950" s="85" t="e">
        <f t="shared" si="209"/>
        <v>#VALUE!</v>
      </c>
      <c r="AA1950" s="115" t="s">
        <v>29</v>
      </c>
      <c r="AB1950" s="115" t="s">
        <v>29</v>
      </c>
    </row>
    <row r="1951" spans="1:28" x14ac:dyDescent="0.3">
      <c r="A1951" s="116">
        <v>85</v>
      </c>
      <c r="B1951" s="68" t="s">
        <v>788</v>
      </c>
      <c r="E1951" s="85">
        <f>247367214.46/1000</f>
        <v>247367.21446000002</v>
      </c>
      <c r="F1951" s="85">
        <f t="shared" ref="F1951:Q1951" si="215">SUM(F1925:F1950)</f>
        <v>97004.348399999988</v>
      </c>
      <c r="G1951" s="85">
        <f t="shared" si="215"/>
        <v>4958.06898</v>
      </c>
      <c r="H1951" s="85">
        <f>241059101.48/1000</f>
        <v>241059.10147999998</v>
      </c>
      <c r="I1951" s="85">
        <f t="shared" si="215"/>
        <v>0</v>
      </c>
      <c r="J1951" s="85">
        <f t="shared" si="215"/>
        <v>97004.348399999988</v>
      </c>
      <c r="K1951" s="85">
        <f t="shared" si="215"/>
        <v>6308.1129799999999</v>
      </c>
      <c r="L1951" s="85">
        <f t="shared" si="215"/>
        <v>0</v>
      </c>
      <c r="M1951" s="85">
        <f t="shared" si="215"/>
        <v>101962.41737999998</v>
      </c>
      <c r="N1951" s="85">
        <f t="shared" si="215"/>
        <v>6308.1129799999999</v>
      </c>
      <c r="O1951" s="85">
        <f t="shared" si="215"/>
        <v>0</v>
      </c>
      <c r="P1951" s="85">
        <f>6308112/1000</f>
        <v>6308.1120000000001</v>
      </c>
      <c r="Q1951" s="85">
        <f t="shared" si="215"/>
        <v>80144.616909999997</v>
      </c>
      <c r="R1951" s="86"/>
      <c r="S1951" s="86"/>
      <c r="T1951" s="85">
        <f t="shared" ref="T1951:Y1951" si="216">SUM(T1925:T1950)</f>
        <v>0</v>
      </c>
      <c r="U1951" s="85">
        <f t="shared" si="216"/>
        <v>6308.1129799999999</v>
      </c>
      <c r="V1951" s="85">
        <f t="shared" si="216"/>
        <v>0</v>
      </c>
      <c r="W1951" s="85">
        <f t="shared" si="216"/>
        <v>0</v>
      </c>
      <c r="X1951" s="85">
        <f>+H1951+P1951</f>
        <v>247367.21347999998</v>
      </c>
      <c r="Y1951" s="85">
        <f t="shared" si="216"/>
        <v>0</v>
      </c>
      <c r="Z1951" s="85">
        <f t="shared" si="209"/>
        <v>9.8000004072673619E-4</v>
      </c>
      <c r="AA1951" s="69">
        <f>SUM(AA1925:AA1950)</f>
        <v>108270.53035999998</v>
      </c>
      <c r="AB1951" s="69">
        <f>SUM(AB1925:AB1950)</f>
        <v>0</v>
      </c>
    </row>
    <row r="1952" spans="1:28" hidden="1" x14ac:dyDescent="0.3">
      <c r="A1952" s="117"/>
      <c r="E1952" s="86" t="s">
        <v>29</v>
      </c>
      <c r="F1952" s="86" t="s">
        <v>29</v>
      </c>
      <c r="G1952" s="86" t="s">
        <v>29</v>
      </c>
      <c r="H1952" s="86" t="s">
        <v>29</v>
      </c>
      <c r="I1952" s="86" t="s">
        <v>29</v>
      </c>
      <c r="J1952" s="86" t="s">
        <v>29</v>
      </c>
      <c r="K1952" s="86" t="s">
        <v>29</v>
      </c>
      <c r="L1952" s="86" t="s">
        <v>29</v>
      </c>
      <c r="M1952" s="86" t="s">
        <v>29</v>
      </c>
      <c r="N1952" s="86" t="s">
        <v>29</v>
      </c>
      <c r="O1952" s="86" t="s">
        <v>29</v>
      </c>
      <c r="P1952" s="86" t="s">
        <v>29</v>
      </c>
      <c r="Q1952" s="86" t="s">
        <v>29</v>
      </c>
      <c r="R1952" s="86"/>
      <c r="S1952" s="86"/>
      <c r="T1952" s="86"/>
      <c r="U1952" s="86" t="s">
        <v>29</v>
      </c>
      <c r="V1952" s="86"/>
      <c r="W1952" s="86"/>
      <c r="X1952" s="85" t="e">
        <f t="shared" si="214"/>
        <v>#VALUE!</v>
      </c>
      <c r="Y1952" s="86"/>
      <c r="Z1952" s="85" t="e">
        <f t="shared" si="209"/>
        <v>#VALUE!</v>
      </c>
      <c r="AA1952" s="115" t="s">
        <v>29</v>
      </c>
      <c r="AB1952" s="115" t="s">
        <v>29</v>
      </c>
    </row>
    <row r="1953" spans="1:28" hidden="1" x14ac:dyDescent="0.3">
      <c r="A1953" s="105"/>
      <c r="E1953" s="84"/>
      <c r="F1953" s="84"/>
      <c r="G1953" s="84"/>
      <c r="H1953" s="84"/>
      <c r="I1953" s="84"/>
      <c r="J1953" s="84"/>
      <c r="K1953" s="84"/>
      <c r="L1953" s="84"/>
      <c r="M1953" s="84"/>
      <c r="N1953" s="84"/>
      <c r="O1953" s="84"/>
      <c r="P1953" s="84"/>
      <c r="Q1953" s="84"/>
      <c r="R1953" s="86"/>
      <c r="S1953" s="86"/>
      <c r="T1953" s="86"/>
      <c r="U1953" s="86"/>
      <c r="V1953" s="86"/>
      <c r="W1953" s="86"/>
      <c r="X1953" s="85">
        <f t="shared" si="214"/>
        <v>0</v>
      </c>
      <c r="Y1953" s="86"/>
      <c r="Z1953" s="85">
        <f t="shared" si="209"/>
        <v>0</v>
      </c>
    </row>
    <row r="1954" spans="1:28" hidden="1" x14ac:dyDescent="0.3">
      <c r="A1954" s="117"/>
      <c r="C1954" s="68" t="s">
        <v>797</v>
      </c>
      <c r="D1954" s="145" t="s">
        <v>166</v>
      </c>
      <c r="E1954" s="85">
        <f>STATS1003B!E1958/1000</f>
        <v>1888.4188700000002</v>
      </c>
      <c r="F1954" s="85">
        <f>STATS1003B!F1958/1000</f>
        <v>1888.4188700000002</v>
      </c>
      <c r="G1954" s="85">
        <f>STATS1003B!G1958/1000</f>
        <v>0</v>
      </c>
      <c r="H1954" s="85">
        <f>STATS1003B!H1958/1000</f>
        <v>1888.4188700000002</v>
      </c>
      <c r="I1954" s="85">
        <f>STATS1003B!I1958/1000</f>
        <v>0</v>
      </c>
      <c r="J1954" s="85">
        <f>STATS1003B!J1958/1000</f>
        <v>1888.4188700000002</v>
      </c>
      <c r="K1954" s="85">
        <f>STATS1003B!K1958/1000</f>
        <v>0</v>
      </c>
      <c r="L1954" s="85">
        <f>STATS1003B!L1958/1000</f>
        <v>0</v>
      </c>
      <c r="M1954" s="85">
        <f>STATS1003B!M1958/1000</f>
        <v>1888.4188700000002</v>
      </c>
      <c r="N1954" s="85">
        <f>STATS1003B!N1958/1000</f>
        <v>0</v>
      </c>
      <c r="O1954" s="85">
        <f>STATS1003B!O1958/1000</f>
        <v>0</v>
      </c>
      <c r="P1954" s="85">
        <f>STATS1003B!P1958/1000</f>
        <v>0</v>
      </c>
      <c r="Q1954" s="85">
        <f>STATS1003B!Q1958/1000</f>
        <v>1888.4188700000002</v>
      </c>
      <c r="R1954" s="85">
        <f>STATS1003B!R1958/1000</f>
        <v>0</v>
      </c>
      <c r="S1954" s="85">
        <f>STATS1003B!S1958/1000</f>
        <v>0</v>
      </c>
      <c r="T1954" s="85">
        <f>STATS1003B!T1958/1000</f>
        <v>0</v>
      </c>
      <c r="U1954" s="85">
        <f>STATS1003B!U1958/1000</f>
        <v>0</v>
      </c>
      <c r="V1954" s="85">
        <f>STATS1003B!V1958/1000</f>
        <v>0</v>
      </c>
      <c r="W1954" s="85">
        <f>STATS1003B!W1958/1000</f>
        <v>0</v>
      </c>
      <c r="X1954" s="85">
        <f t="shared" si="214"/>
        <v>1888.4188700000002</v>
      </c>
      <c r="Y1954" s="85">
        <f>STATS1003B!Y1958/1000</f>
        <v>0</v>
      </c>
      <c r="Z1954" s="85">
        <f t="shared" si="209"/>
        <v>0</v>
      </c>
      <c r="AA1954" s="69">
        <f>STATS1003B!AA1958/1000</f>
        <v>1888.4188700000002</v>
      </c>
      <c r="AB1954" s="69">
        <f>STATS1003B!AB1958/1000</f>
        <v>0</v>
      </c>
    </row>
    <row r="1955" spans="1:28" hidden="1" x14ac:dyDescent="0.3">
      <c r="A1955" s="117"/>
      <c r="C1955" s="68" t="s">
        <v>535</v>
      </c>
      <c r="D1955" s="145" t="s">
        <v>68</v>
      </c>
      <c r="E1955" s="85">
        <f>STATS1003B!E1959/1000</f>
        <v>760.64139999999998</v>
      </c>
      <c r="F1955" s="85">
        <f>STATS1003B!F1959/1000</f>
        <v>0</v>
      </c>
      <c r="G1955" s="85">
        <f>STATS1003B!G1959/1000</f>
        <v>0</v>
      </c>
      <c r="H1955" s="85">
        <f>STATS1003B!H1959/1000</f>
        <v>0</v>
      </c>
      <c r="I1955" s="85">
        <f>STATS1003B!I1959/1000</f>
        <v>0</v>
      </c>
      <c r="J1955" s="85">
        <f>STATS1003B!J1959/1000</f>
        <v>0</v>
      </c>
      <c r="K1955" s="85">
        <f>STATS1003B!K1959/1000</f>
        <v>760.64139999999998</v>
      </c>
      <c r="L1955" s="85">
        <f>STATS1003B!L1959/1000</f>
        <v>0</v>
      </c>
      <c r="M1955" s="85">
        <f>STATS1003B!M1959/1000</f>
        <v>0</v>
      </c>
      <c r="N1955" s="85">
        <f>STATS1003B!N1959/1000</f>
        <v>760.64139999999998</v>
      </c>
      <c r="O1955" s="85">
        <f>STATS1003B!O1959/1000</f>
        <v>0</v>
      </c>
      <c r="P1955" s="85">
        <f>STATS1003B!P1959/1000</f>
        <v>760.64139999999998</v>
      </c>
      <c r="Q1955" s="85">
        <f>STATS1003B!Q1959/1000</f>
        <v>0</v>
      </c>
      <c r="R1955" s="85">
        <f>STATS1003B!R1959/1000</f>
        <v>0</v>
      </c>
      <c r="S1955" s="85">
        <f>STATS1003B!S1959/1000</f>
        <v>0</v>
      </c>
      <c r="T1955" s="85">
        <f>STATS1003B!T1959/1000</f>
        <v>0</v>
      </c>
      <c r="U1955" s="85">
        <f>STATS1003B!U1959/1000</f>
        <v>760.64139999999998</v>
      </c>
      <c r="V1955" s="85">
        <f>STATS1003B!V1959/1000</f>
        <v>0</v>
      </c>
      <c r="W1955" s="85">
        <f>STATS1003B!W1959/1000</f>
        <v>0</v>
      </c>
      <c r="X1955" s="85">
        <f t="shared" si="214"/>
        <v>760.64139999999998</v>
      </c>
      <c r="Y1955" s="85">
        <f>STATS1003B!Y1959/1000</f>
        <v>0</v>
      </c>
      <c r="Z1955" s="85">
        <f t="shared" si="209"/>
        <v>0</v>
      </c>
      <c r="AA1955" s="69">
        <f>STATS1003B!AA1959/1000</f>
        <v>760.64139999999998</v>
      </c>
      <c r="AB1955" s="69">
        <f>STATS1003B!AB1959/1000</f>
        <v>0</v>
      </c>
    </row>
    <row r="1956" spans="1:28" hidden="1" x14ac:dyDescent="0.3">
      <c r="A1956" s="117"/>
      <c r="C1956" s="68" t="s">
        <v>535</v>
      </c>
      <c r="D1956" s="145" t="s">
        <v>54</v>
      </c>
      <c r="E1956" s="85">
        <f>STATS1003B!E1960/1000</f>
        <v>999.4</v>
      </c>
      <c r="F1956" s="85">
        <f>STATS1003B!F1960/1000</f>
        <v>999.4</v>
      </c>
      <c r="G1956" s="85">
        <f>STATS1003B!G1960/1000</f>
        <v>0</v>
      </c>
      <c r="H1956" s="85">
        <f>STATS1003B!H1960/1000</f>
        <v>999.4</v>
      </c>
      <c r="I1956" s="85">
        <f>STATS1003B!I1960/1000</f>
        <v>0</v>
      </c>
      <c r="J1956" s="85">
        <f>STATS1003B!J1960/1000</f>
        <v>999.4</v>
      </c>
      <c r="K1956" s="85">
        <f>STATS1003B!K1960/1000</f>
        <v>0</v>
      </c>
      <c r="L1956" s="85">
        <f>STATS1003B!L1960/1000</f>
        <v>0</v>
      </c>
      <c r="M1956" s="85">
        <f>STATS1003B!M1960/1000</f>
        <v>999.4</v>
      </c>
      <c r="N1956" s="85">
        <f>STATS1003B!N1960/1000</f>
        <v>0</v>
      </c>
      <c r="O1956" s="85">
        <f>STATS1003B!O1960/1000</f>
        <v>0</v>
      </c>
      <c r="P1956" s="85">
        <f>STATS1003B!P1960/1000</f>
        <v>0</v>
      </c>
      <c r="Q1956" s="85">
        <f>STATS1003B!Q1960/1000</f>
        <v>999.4</v>
      </c>
      <c r="R1956" s="85">
        <f>STATS1003B!R1960/1000</f>
        <v>0</v>
      </c>
      <c r="S1956" s="85">
        <f>STATS1003B!S1960/1000</f>
        <v>0</v>
      </c>
      <c r="T1956" s="85">
        <f>STATS1003B!T1960/1000</f>
        <v>0</v>
      </c>
      <c r="U1956" s="85">
        <f>STATS1003B!U1960/1000</f>
        <v>0</v>
      </c>
      <c r="V1956" s="85">
        <f>STATS1003B!V1960/1000</f>
        <v>0</v>
      </c>
      <c r="W1956" s="85">
        <f>STATS1003B!W1960/1000</f>
        <v>0</v>
      </c>
      <c r="X1956" s="85">
        <f t="shared" si="214"/>
        <v>999.4</v>
      </c>
      <c r="Y1956" s="85">
        <f>STATS1003B!Y1960/1000</f>
        <v>0</v>
      </c>
      <c r="Z1956" s="85">
        <f t="shared" si="209"/>
        <v>0</v>
      </c>
      <c r="AA1956" s="69">
        <f>STATS1003B!AA1960/1000</f>
        <v>999.4</v>
      </c>
      <c r="AB1956" s="69">
        <f>STATS1003B!AB1960/1000</f>
        <v>0</v>
      </c>
    </row>
    <row r="1957" spans="1:28" hidden="1" x14ac:dyDescent="0.3">
      <c r="A1957" s="117"/>
      <c r="C1957" s="68" t="s">
        <v>545</v>
      </c>
      <c r="D1957" s="145" t="s">
        <v>54</v>
      </c>
      <c r="E1957" s="85">
        <f>STATS1003B!E1961/1000</f>
        <v>570.94100000000003</v>
      </c>
      <c r="F1957" s="85">
        <f>STATS1003B!F1961/1000</f>
        <v>0</v>
      </c>
      <c r="G1957" s="85">
        <f>STATS1003B!G1961/1000</f>
        <v>0</v>
      </c>
      <c r="H1957" s="85">
        <f>STATS1003B!H1961/1000</f>
        <v>0</v>
      </c>
      <c r="I1957" s="85">
        <f>STATS1003B!I1961/1000</f>
        <v>0</v>
      </c>
      <c r="J1957" s="85">
        <f>STATS1003B!J1961/1000</f>
        <v>0</v>
      </c>
      <c r="K1957" s="85">
        <f>STATS1003B!K1961/1000</f>
        <v>570.94100000000003</v>
      </c>
      <c r="L1957" s="85">
        <f>STATS1003B!L1961/1000</f>
        <v>0</v>
      </c>
      <c r="M1957" s="85">
        <f>STATS1003B!M1961/1000</f>
        <v>0</v>
      </c>
      <c r="N1957" s="85">
        <f>STATS1003B!N1961/1000</f>
        <v>570.94100000000003</v>
      </c>
      <c r="O1957" s="85">
        <f>STATS1003B!O1961/1000</f>
        <v>0</v>
      </c>
      <c r="P1957" s="85">
        <f>STATS1003B!P1961/1000</f>
        <v>570.94100000000003</v>
      </c>
      <c r="Q1957" s="85">
        <f>STATS1003B!Q1961/1000</f>
        <v>0</v>
      </c>
      <c r="R1957" s="85">
        <f>STATS1003B!R1961/1000</f>
        <v>0</v>
      </c>
      <c r="S1957" s="85">
        <f>STATS1003B!S1961/1000</f>
        <v>0</v>
      </c>
      <c r="T1957" s="85">
        <f>STATS1003B!T1961/1000</f>
        <v>0</v>
      </c>
      <c r="U1957" s="85">
        <f>STATS1003B!U1961/1000</f>
        <v>570.94100000000003</v>
      </c>
      <c r="V1957" s="85">
        <f>STATS1003B!V1961/1000</f>
        <v>0</v>
      </c>
      <c r="W1957" s="85">
        <f>STATS1003B!W1961/1000</f>
        <v>0</v>
      </c>
      <c r="X1957" s="85">
        <f t="shared" si="214"/>
        <v>570.94100000000003</v>
      </c>
      <c r="Y1957" s="85">
        <f>STATS1003B!Y1961/1000</f>
        <v>0</v>
      </c>
      <c r="Z1957" s="85">
        <f t="shared" si="209"/>
        <v>0</v>
      </c>
      <c r="AA1957" s="69">
        <f>STATS1003B!AA1961/1000</f>
        <v>570.94100000000003</v>
      </c>
      <c r="AB1957" s="69">
        <f>STATS1003B!AB1961/1000</f>
        <v>0</v>
      </c>
    </row>
    <row r="1958" spans="1:28" hidden="1" x14ac:dyDescent="0.3">
      <c r="A1958" s="117"/>
      <c r="C1958" s="68" t="s">
        <v>535</v>
      </c>
      <c r="D1958" s="145" t="s">
        <v>128</v>
      </c>
      <c r="E1958" s="85">
        <f>STATS1003B!E1962/1000</f>
        <v>701.01800000000003</v>
      </c>
      <c r="F1958" s="85">
        <f>STATS1003B!F1962/1000</f>
        <v>701.01800000000003</v>
      </c>
      <c r="G1958" s="85">
        <f>STATS1003B!G1962/1000</f>
        <v>0</v>
      </c>
      <c r="H1958" s="85">
        <f>STATS1003B!H1962/1000</f>
        <v>701.01800000000003</v>
      </c>
      <c r="I1958" s="85">
        <f>STATS1003B!I1962/1000</f>
        <v>0</v>
      </c>
      <c r="J1958" s="85">
        <f>STATS1003B!J1962/1000</f>
        <v>701.01800000000003</v>
      </c>
      <c r="K1958" s="85">
        <f>STATS1003B!K1962/1000</f>
        <v>0</v>
      </c>
      <c r="L1958" s="85">
        <f>STATS1003B!L1962/1000</f>
        <v>0</v>
      </c>
      <c r="M1958" s="85">
        <f>STATS1003B!M1962/1000</f>
        <v>701.01800000000003</v>
      </c>
      <c r="N1958" s="85">
        <f>STATS1003B!N1962/1000</f>
        <v>0</v>
      </c>
      <c r="O1958" s="85">
        <f>STATS1003B!O1962/1000</f>
        <v>0</v>
      </c>
      <c r="P1958" s="85">
        <f>STATS1003B!P1962/1000</f>
        <v>0</v>
      </c>
      <c r="Q1958" s="85">
        <f>STATS1003B!Q1962/1000</f>
        <v>701.01800000000003</v>
      </c>
      <c r="R1958" s="85">
        <f>STATS1003B!R1962/1000</f>
        <v>0</v>
      </c>
      <c r="S1958" s="85">
        <f>STATS1003B!S1962/1000</f>
        <v>0</v>
      </c>
      <c r="T1958" s="85">
        <f>STATS1003B!T1962/1000</f>
        <v>0</v>
      </c>
      <c r="U1958" s="85">
        <f>STATS1003B!U1962/1000</f>
        <v>0</v>
      </c>
      <c r="V1958" s="85">
        <f>STATS1003B!V1962/1000</f>
        <v>0</v>
      </c>
      <c r="W1958" s="85">
        <f>STATS1003B!W1962/1000</f>
        <v>0</v>
      </c>
      <c r="X1958" s="85">
        <f t="shared" si="214"/>
        <v>701.01800000000003</v>
      </c>
      <c r="Y1958" s="85">
        <f>STATS1003B!Y1962/1000</f>
        <v>0</v>
      </c>
      <c r="Z1958" s="85">
        <f t="shared" si="209"/>
        <v>0</v>
      </c>
      <c r="AA1958" s="69">
        <f>STATS1003B!AA1962/1000</f>
        <v>701.01800000000003</v>
      </c>
      <c r="AB1958" s="69">
        <f>STATS1003B!AB1962/1000</f>
        <v>0</v>
      </c>
    </row>
    <row r="1959" spans="1:28" hidden="1" x14ac:dyDescent="0.3">
      <c r="A1959" s="117"/>
      <c r="C1959" s="68" t="s">
        <v>535</v>
      </c>
      <c r="D1959" s="145" t="s">
        <v>88</v>
      </c>
      <c r="E1959" s="85">
        <f>STATS1003B!E1963/1000</f>
        <v>1251.1590000000001</v>
      </c>
      <c r="F1959" s="85">
        <f>STATS1003B!F1963/1000</f>
        <v>1251.1590000000001</v>
      </c>
      <c r="G1959" s="85">
        <f>STATS1003B!G1963/1000</f>
        <v>0</v>
      </c>
      <c r="H1959" s="85">
        <f>STATS1003B!H1963/1000</f>
        <v>1251.1590000000001</v>
      </c>
      <c r="I1959" s="85">
        <f>STATS1003B!I1963/1000</f>
        <v>0</v>
      </c>
      <c r="J1959" s="85">
        <f>STATS1003B!J1963/1000</f>
        <v>1251.1590000000001</v>
      </c>
      <c r="K1959" s="85">
        <f>STATS1003B!K1963/1000</f>
        <v>0</v>
      </c>
      <c r="L1959" s="85">
        <f>STATS1003B!L1963/1000</f>
        <v>0</v>
      </c>
      <c r="M1959" s="85">
        <f>STATS1003B!M1963/1000</f>
        <v>1251.1590000000001</v>
      </c>
      <c r="N1959" s="85">
        <f>STATS1003B!N1963/1000</f>
        <v>0</v>
      </c>
      <c r="O1959" s="85">
        <f>STATS1003B!O1963/1000</f>
        <v>0</v>
      </c>
      <c r="P1959" s="85">
        <f>STATS1003B!P1963/1000</f>
        <v>0</v>
      </c>
      <c r="Q1959" s="85">
        <f>STATS1003B!Q1963/1000</f>
        <v>1251.1590000000001</v>
      </c>
      <c r="R1959" s="85">
        <f>STATS1003B!R1963/1000</f>
        <v>0</v>
      </c>
      <c r="S1959" s="85">
        <f>STATS1003B!S1963/1000</f>
        <v>0</v>
      </c>
      <c r="T1959" s="85">
        <f>STATS1003B!T1963/1000</f>
        <v>0</v>
      </c>
      <c r="U1959" s="85">
        <f>STATS1003B!U1963/1000</f>
        <v>0</v>
      </c>
      <c r="V1959" s="85">
        <f>STATS1003B!V1963/1000</f>
        <v>0</v>
      </c>
      <c r="W1959" s="85">
        <f>STATS1003B!W1963/1000</f>
        <v>0</v>
      </c>
      <c r="X1959" s="85">
        <f t="shared" si="214"/>
        <v>1251.1590000000001</v>
      </c>
      <c r="Y1959" s="85">
        <f>STATS1003B!Y1963/1000</f>
        <v>0</v>
      </c>
      <c r="Z1959" s="85">
        <f t="shared" ref="Z1959:Z1967" si="217">+E1959-X1959</f>
        <v>0</v>
      </c>
      <c r="AA1959" s="69">
        <f>STATS1003B!AA1963/1000</f>
        <v>1251.1590000000001</v>
      </c>
      <c r="AB1959" s="69">
        <f>STATS1003B!AB1963/1000</f>
        <v>0</v>
      </c>
    </row>
    <row r="1960" spans="1:28" hidden="1" x14ac:dyDescent="0.3">
      <c r="A1960" s="117"/>
      <c r="C1960" s="68" t="s">
        <v>535</v>
      </c>
      <c r="D1960" s="145" t="s">
        <v>108</v>
      </c>
      <c r="E1960" s="85">
        <f>STATS1003B!E1964/1000</f>
        <v>3010.9977799999997</v>
      </c>
      <c r="F1960" s="85">
        <f>STATS1003B!F1964/1000</f>
        <v>3010.9977799999997</v>
      </c>
      <c r="G1960" s="85">
        <f>STATS1003B!G1964/1000</f>
        <v>0</v>
      </c>
      <c r="H1960" s="85">
        <f>STATS1003B!H1964/1000</f>
        <v>3010.9977799999997</v>
      </c>
      <c r="I1960" s="85">
        <f>STATS1003B!I1964/1000</f>
        <v>0</v>
      </c>
      <c r="J1960" s="85">
        <f>STATS1003B!J1964/1000</f>
        <v>3010.9977799999997</v>
      </c>
      <c r="K1960" s="85">
        <f>STATS1003B!K1964/1000</f>
        <v>0</v>
      </c>
      <c r="L1960" s="85">
        <f>STATS1003B!L1964/1000</f>
        <v>0</v>
      </c>
      <c r="M1960" s="85">
        <f>STATS1003B!M1964/1000</f>
        <v>3010.9977799999997</v>
      </c>
      <c r="N1960" s="85">
        <f>STATS1003B!N1964/1000</f>
        <v>0</v>
      </c>
      <c r="O1960" s="85">
        <f>STATS1003B!O1964/1000</f>
        <v>0</v>
      </c>
      <c r="P1960" s="85">
        <f>STATS1003B!P1964/1000</f>
        <v>0</v>
      </c>
      <c r="Q1960" s="85">
        <f>STATS1003B!Q1964/1000</f>
        <v>3010.9977799999997</v>
      </c>
      <c r="R1960" s="85">
        <f>STATS1003B!R1964/1000</f>
        <v>0</v>
      </c>
      <c r="S1960" s="85">
        <f>STATS1003B!S1964/1000</f>
        <v>0</v>
      </c>
      <c r="T1960" s="85">
        <f>STATS1003B!T1964/1000</f>
        <v>0</v>
      </c>
      <c r="U1960" s="85">
        <f>STATS1003B!U1964/1000</f>
        <v>0</v>
      </c>
      <c r="V1960" s="85">
        <f>STATS1003B!V1964/1000</f>
        <v>0</v>
      </c>
      <c r="W1960" s="85">
        <f>STATS1003B!W1964/1000</f>
        <v>0</v>
      </c>
      <c r="X1960" s="85">
        <f t="shared" si="214"/>
        <v>3010.9977799999997</v>
      </c>
      <c r="Y1960" s="85">
        <f>STATS1003B!Y1964/1000</f>
        <v>0</v>
      </c>
      <c r="Z1960" s="85">
        <f t="shared" si="217"/>
        <v>0</v>
      </c>
      <c r="AA1960" s="69">
        <f>STATS1003B!AA1964/1000</f>
        <v>3010.9977799999997</v>
      </c>
      <c r="AB1960" s="69">
        <f>STATS1003B!AB1964/1000</f>
        <v>0</v>
      </c>
    </row>
    <row r="1961" spans="1:28" hidden="1" x14ac:dyDescent="0.3">
      <c r="A1961" s="117"/>
      <c r="C1961" s="68" t="s">
        <v>535</v>
      </c>
      <c r="D1961" s="145" t="s">
        <v>58</v>
      </c>
      <c r="E1961" s="85">
        <f>STATS1003B!E1965/1000</f>
        <v>2500</v>
      </c>
      <c r="F1961" s="85">
        <f>STATS1003B!F1965/1000</f>
        <v>2500</v>
      </c>
      <c r="G1961" s="85">
        <f>STATS1003B!G1965/1000</f>
        <v>0</v>
      </c>
      <c r="H1961" s="85">
        <f>STATS1003B!H1965/1000</f>
        <v>2500</v>
      </c>
      <c r="I1961" s="85">
        <f>STATS1003B!I1965/1000</f>
        <v>0</v>
      </c>
      <c r="J1961" s="85">
        <f>STATS1003B!J1965/1000</f>
        <v>2500</v>
      </c>
      <c r="K1961" s="85">
        <f>STATS1003B!K1965/1000</f>
        <v>0</v>
      </c>
      <c r="L1961" s="85">
        <f>STATS1003B!L1965/1000</f>
        <v>0</v>
      </c>
      <c r="M1961" s="85">
        <f>STATS1003B!M1965/1000</f>
        <v>2500</v>
      </c>
      <c r="N1961" s="85">
        <f>STATS1003B!N1965/1000</f>
        <v>0</v>
      </c>
      <c r="O1961" s="85">
        <f>STATS1003B!O1965/1000</f>
        <v>0</v>
      </c>
      <c r="P1961" s="85">
        <f>STATS1003B!P1965/1000</f>
        <v>0</v>
      </c>
      <c r="Q1961" s="85">
        <f>STATS1003B!Q1965/1000</f>
        <v>2500</v>
      </c>
      <c r="R1961" s="85">
        <f>STATS1003B!R1965/1000</f>
        <v>0</v>
      </c>
      <c r="S1961" s="85">
        <f>STATS1003B!S1965/1000</f>
        <v>0</v>
      </c>
      <c r="T1961" s="85">
        <f>STATS1003B!T1965/1000</f>
        <v>0</v>
      </c>
      <c r="U1961" s="85">
        <f>STATS1003B!U1965/1000</f>
        <v>0</v>
      </c>
      <c r="V1961" s="85">
        <f>STATS1003B!V1965/1000</f>
        <v>0</v>
      </c>
      <c r="W1961" s="85">
        <f>STATS1003B!W1965/1000</f>
        <v>0</v>
      </c>
      <c r="X1961" s="85">
        <f t="shared" si="214"/>
        <v>2500</v>
      </c>
      <c r="Y1961" s="85">
        <f>STATS1003B!Y1965/1000</f>
        <v>0</v>
      </c>
      <c r="Z1961" s="85">
        <f t="shared" si="217"/>
        <v>0</v>
      </c>
      <c r="AA1961" s="69">
        <f>STATS1003B!AA1965/1000</f>
        <v>2500</v>
      </c>
      <c r="AB1961" s="69">
        <f>STATS1003B!AB1965/1000</f>
        <v>0</v>
      </c>
    </row>
    <row r="1962" spans="1:28" hidden="1" x14ac:dyDescent="0.3">
      <c r="A1962" s="117"/>
      <c r="C1962" s="68" t="s">
        <v>535</v>
      </c>
      <c r="D1962" s="145" t="s">
        <v>61</v>
      </c>
      <c r="E1962" s="85">
        <f>STATS1003B!E1966/1000</f>
        <v>493</v>
      </c>
      <c r="F1962" s="85">
        <f>STATS1003B!F1966/1000</f>
        <v>493</v>
      </c>
      <c r="G1962" s="85">
        <f>STATS1003B!G1966/1000</f>
        <v>0</v>
      </c>
      <c r="H1962" s="85">
        <f>STATS1003B!H1966/1000</f>
        <v>493</v>
      </c>
      <c r="I1962" s="85">
        <f>STATS1003B!I1966/1000</f>
        <v>0</v>
      </c>
      <c r="J1962" s="85">
        <f>STATS1003B!J1966/1000</f>
        <v>493</v>
      </c>
      <c r="K1962" s="85">
        <f>STATS1003B!K1966/1000</f>
        <v>0</v>
      </c>
      <c r="L1962" s="85">
        <f>STATS1003B!L1966/1000</f>
        <v>0</v>
      </c>
      <c r="M1962" s="85">
        <f>STATS1003B!M1966/1000</f>
        <v>493</v>
      </c>
      <c r="N1962" s="85">
        <f>STATS1003B!N1966/1000</f>
        <v>0</v>
      </c>
      <c r="O1962" s="85">
        <f>STATS1003B!O1966/1000</f>
        <v>0</v>
      </c>
      <c r="P1962" s="85">
        <f>STATS1003B!P1966/1000</f>
        <v>0</v>
      </c>
      <c r="Q1962" s="85">
        <f>STATS1003B!Q1966/1000</f>
        <v>493</v>
      </c>
      <c r="R1962" s="85">
        <f>STATS1003B!R1966/1000</f>
        <v>0</v>
      </c>
      <c r="S1962" s="85">
        <f>STATS1003B!S1966/1000</f>
        <v>0</v>
      </c>
      <c r="T1962" s="85">
        <f>STATS1003B!T1966/1000</f>
        <v>0</v>
      </c>
      <c r="U1962" s="85">
        <f>STATS1003B!U1966/1000</f>
        <v>0</v>
      </c>
      <c r="V1962" s="85">
        <f>STATS1003B!V1966/1000</f>
        <v>0</v>
      </c>
      <c r="W1962" s="85">
        <f>STATS1003B!W1966/1000</f>
        <v>0</v>
      </c>
      <c r="X1962" s="85">
        <f t="shared" si="214"/>
        <v>493</v>
      </c>
      <c r="Y1962" s="85">
        <f>STATS1003B!Y1966/1000</f>
        <v>0</v>
      </c>
      <c r="Z1962" s="85">
        <f t="shared" si="217"/>
        <v>0</v>
      </c>
      <c r="AA1962" s="69">
        <f>STATS1003B!AA1966/1000</f>
        <v>493</v>
      </c>
      <c r="AB1962" s="69">
        <f>STATS1003B!AB1966/1000</f>
        <v>0</v>
      </c>
    </row>
    <row r="1963" spans="1:28" hidden="1" x14ac:dyDescent="0.3">
      <c r="A1963" s="117"/>
      <c r="C1963" s="68" t="s">
        <v>933</v>
      </c>
      <c r="D1963" s="90" t="s">
        <v>1072</v>
      </c>
      <c r="E1963" s="85">
        <f>STATS1003B!E1967/1000</f>
        <v>635.62</v>
      </c>
      <c r="F1963" s="85">
        <f>STATS1003B!F1967/1000</f>
        <v>635.62</v>
      </c>
      <c r="G1963" s="85">
        <f>STATS1003B!G1967/1000</f>
        <v>0</v>
      </c>
      <c r="H1963" s="85">
        <f>STATS1003B!H1967/1000</f>
        <v>635.62</v>
      </c>
      <c r="I1963" s="85">
        <f>STATS1003B!I1967/1000</f>
        <v>0</v>
      </c>
      <c r="J1963" s="85">
        <f>STATS1003B!J1967/1000</f>
        <v>635.62</v>
      </c>
      <c r="K1963" s="85">
        <f>STATS1003B!K1967/1000</f>
        <v>0</v>
      </c>
      <c r="L1963" s="85">
        <f>STATS1003B!L1967/1000</f>
        <v>0</v>
      </c>
      <c r="M1963" s="85">
        <f>STATS1003B!M1967/1000</f>
        <v>635.62</v>
      </c>
      <c r="N1963" s="85">
        <f>STATS1003B!N1967/1000</f>
        <v>0</v>
      </c>
      <c r="O1963" s="85">
        <f>STATS1003B!O1967/1000</f>
        <v>0</v>
      </c>
      <c r="P1963" s="85">
        <f>STATS1003B!P1967/1000</f>
        <v>0</v>
      </c>
      <c r="Q1963" s="85">
        <f>STATS1003B!Q1967/1000</f>
        <v>635.62</v>
      </c>
      <c r="R1963" s="85">
        <f>STATS1003B!R1967/1000</f>
        <v>0</v>
      </c>
      <c r="S1963" s="85">
        <f>STATS1003B!S1967/1000</f>
        <v>0</v>
      </c>
      <c r="T1963" s="85">
        <f>STATS1003B!T1967/1000</f>
        <v>0</v>
      </c>
      <c r="U1963" s="85">
        <f>STATS1003B!U1967/1000</f>
        <v>0</v>
      </c>
      <c r="V1963" s="85">
        <f>STATS1003B!V1967/1000</f>
        <v>0</v>
      </c>
      <c r="W1963" s="85">
        <f>STATS1003B!W1967/1000</f>
        <v>0</v>
      </c>
      <c r="X1963" s="85">
        <f t="shared" si="214"/>
        <v>635.62</v>
      </c>
      <c r="Y1963" s="85">
        <f>STATS1003B!Y1967/1000</f>
        <v>0</v>
      </c>
      <c r="Z1963" s="85">
        <f t="shared" si="217"/>
        <v>0</v>
      </c>
      <c r="AA1963" s="69">
        <f>STATS1003B!AA1967/1000</f>
        <v>635.62</v>
      </c>
      <c r="AB1963" s="69">
        <f>STATS1003B!AB1967/1000</f>
        <v>0</v>
      </c>
    </row>
    <row r="1964" spans="1:28" hidden="1" x14ac:dyDescent="0.3">
      <c r="A1964" s="117"/>
      <c r="C1964" s="68" t="s">
        <v>598</v>
      </c>
      <c r="E1964" s="85">
        <f>STATS1003B!E1968/1000</f>
        <v>783.24599999999998</v>
      </c>
      <c r="F1964" s="85">
        <f>STATS1003B!F1968/1000</f>
        <v>783.24599999999998</v>
      </c>
      <c r="G1964" s="85">
        <f>STATS1003B!G1968/1000</f>
        <v>0</v>
      </c>
      <c r="H1964" s="85">
        <f>STATS1003B!H1968/1000</f>
        <v>783.24599999999998</v>
      </c>
      <c r="I1964" s="85">
        <f>STATS1003B!I1968/1000</f>
        <v>0</v>
      </c>
      <c r="J1964" s="85">
        <f>STATS1003B!J1968/1000</f>
        <v>783.24599999999998</v>
      </c>
      <c r="K1964" s="85">
        <f>STATS1003B!K1968/1000</f>
        <v>0</v>
      </c>
      <c r="L1964" s="85">
        <f>STATS1003B!L1968/1000</f>
        <v>0</v>
      </c>
      <c r="M1964" s="85">
        <f>STATS1003B!M1968/1000</f>
        <v>783.24599999999998</v>
      </c>
      <c r="N1964" s="85">
        <f>STATS1003B!N1968/1000</f>
        <v>0</v>
      </c>
      <c r="O1964" s="85">
        <f>STATS1003B!O1968/1000</f>
        <v>0</v>
      </c>
      <c r="P1964" s="85">
        <f>STATS1003B!P1968/1000</f>
        <v>0</v>
      </c>
      <c r="Q1964" s="85">
        <f>STATS1003B!Q1968/1000</f>
        <v>783.24599999999998</v>
      </c>
      <c r="R1964" s="85">
        <f>STATS1003B!R1968/1000</f>
        <v>0</v>
      </c>
      <c r="S1964" s="85">
        <f>STATS1003B!S1968/1000</f>
        <v>0</v>
      </c>
      <c r="T1964" s="85">
        <f>STATS1003B!T1968/1000</f>
        <v>0</v>
      </c>
      <c r="U1964" s="85">
        <f>STATS1003B!U1968/1000</f>
        <v>0</v>
      </c>
      <c r="V1964" s="85">
        <f>STATS1003B!V1968/1000</f>
        <v>0</v>
      </c>
      <c r="W1964" s="85">
        <f>STATS1003B!W1968/1000</f>
        <v>0</v>
      </c>
      <c r="X1964" s="85">
        <f t="shared" si="214"/>
        <v>783.24599999999998</v>
      </c>
      <c r="Y1964" s="85">
        <f>STATS1003B!Y1968/1000</f>
        <v>0</v>
      </c>
      <c r="Z1964" s="85">
        <f t="shared" si="217"/>
        <v>0</v>
      </c>
      <c r="AA1964" s="69">
        <f>STATS1003B!AA1968/1000</f>
        <v>783.24599999999998</v>
      </c>
      <c r="AB1964" s="69">
        <f>STATS1003B!AB1968/1000</f>
        <v>0</v>
      </c>
    </row>
    <row r="1965" spans="1:28" hidden="1" x14ac:dyDescent="0.3">
      <c r="A1965" s="117"/>
      <c r="C1965" s="68" t="s">
        <v>606</v>
      </c>
      <c r="E1965" s="85">
        <f>STATS1003B!E1969/1000</f>
        <v>3914.5781499999998</v>
      </c>
      <c r="F1965" s="85">
        <f>STATS1003B!F1969/1000</f>
        <v>3914.5781499999998</v>
      </c>
      <c r="G1965" s="85">
        <f>STATS1003B!G1969/1000</f>
        <v>0</v>
      </c>
      <c r="H1965" s="85">
        <f>STATS1003B!H1969/1000</f>
        <v>3914.5781499999998</v>
      </c>
      <c r="I1965" s="85">
        <f>STATS1003B!I1969/1000</f>
        <v>0</v>
      </c>
      <c r="J1965" s="85">
        <f>STATS1003B!J1969/1000</f>
        <v>3914.5781499999998</v>
      </c>
      <c r="K1965" s="85">
        <f>STATS1003B!K1969/1000</f>
        <v>0</v>
      </c>
      <c r="L1965" s="85">
        <f>STATS1003B!L1969/1000</f>
        <v>0</v>
      </c>
      <c r="M1965" s="85">
        <f>STATS1003B!M1969/1000</f>
        <v>3914.5781499999998</v>
      </c>
      <c r="N1965" s="85">
        <f>STATS1003B!N1969/1000</f>
        <v>0</v>
      </c>
      <c r="O1965" s="85">
        <f>STATS1003B!O1969/1000</f>
        <v>0</v>
      </c>
      <c r="P1965" s="85">
        <f>STATS1003B!P1969/1000</f>
        <v>0</v>
      </c>
      <c r="Q1965" s="85">
        <f>STATS1003B!Q1969/1000</f>
        <v>3914.5781499999998</v>
      </c>
      <c r="R1965" s="85">
        <f>STATS1003B!R1969/1000</f>
        <v>0</v>
      </c>
      <c r="S1965" s="85">
        <f>STATS1003B!S1969/1000</f>
        <v>0</v>
      </c>
      <c r="T1965" s="85">
        <f>STATS1003B!T1969/1000</f>
        <v>0</v>
      </c>
      <c r="U1965" s="85">
        <f>STATS1003B!U1969/1000</f>
        <v>0</v>
      </c>
      <c r="V1965" s="85">
        <f>STATS1003B!V1969/1000</f>
        <v>0</v>
      </c>
      <c r="W1965" s="85">
        <f>STATS1003B!W1969/1000</f>
        <v>0</v>
      </c>
      <c r="X1965" s="85">
        <f t="shared" si="214"/>
        <v>3914.5781499999998</v>
      </c>
      <c r="Y1965" s="85">
        <f>STATS1003B!Y1969/1000</f>
        <v>0</v>
      </c>
      <c r="Z1965" s="85">
        <f t="shared" si="217"/>
        <v>0</v>
      </c>
      <c r="AA1965" s="69">
        <f>STATS1003B!AA1969/1000</f>
        <v>3914.5781499999998</v>
      </c>
      <c r="AB1965" s="69">
        <f>STATS1003B!AB1969/1000</f>
        <v>0</v>
      </c>
    </row>
    <row r="1966" spans="1:28" hidden="1" x14ac:dyDescent="0.3">
      <c r="A1966" s="117"/>
      <c r="E1966" s="86" t="s">
        <v>29</v>
      </c>
      <c r="F1966" s="86" t="s">
        <v>29</v>
      </c>
      <c r="G1966" s="86" t="s">
        <v>29</v>
      </c>
      <c r="H1966" s="86" t="s">
        <v>29</v>
      </c>
      <c r="I1966" s="86" t="s">
        <v>29</v>
      </c>
      <c r="J1966" s="86" t="s">
        <v>29</v>
      </c>
      <c r="K1966" s="86" t="s">
        <v>29</v>
      </c>
      <c r="L1966" s="86" t="s">
        <v>29</v>
      </c>
      <c r="M1966" s="86" t="s">
        <v>29</v>
      </c>
      <c r="N1966" s="86" t="s">
        <v>29</v>
      </c>
      <c r="O1966" s="86" t="s">
        <v>29</v>
      </c>
      <c r="P1966" s="86" t="s">
        <v>29</v>
      </c>
      <c r="Q1966" s="86" t="s">
        <v>29</v>
      </c>
      <c r="R1966" s="86"/>
      <c r="S1966" s="86"/>
      <c r="T1966" s="86"/>
      <c r="U1966" s="86"/>
      <c r="V1966" s="86"/>
      <c r="W1966" s="86"/>
      <c r="X1966" s="85" t="e">
        <f t="shared" si="214"/>
        <v>#VALUE!</v>
      </c>
      <c r="Y1966" s="86"/>
      <c r="Z1966" s="85" t="e">
        <f t="shared" si="217"/>
        <v>#VALUE!</v>
      </c>
      <c r="AA1966" s="115" t="s">
        <v>29</v>
      </c>
      <c r="AB1966" s="115" t="s">
        <v>29</v>
      </c>
    </row>
    <row r="1967" spans="1:28" x14ac:dyDescent="0.3">
      <c r="A1967" s="116">
        <v>86</v>
      </c>
      <c r="B1967" s="68" t="s">
        <v>796</v>
      </c>
      <c r="E1967" s="85">
        <f>47884105.05/1000</f>
        <v>47884.105049999998</v>
      </c>
      <c r="F1967" s="85">
        <f t="shared" ref="F1967:Q1967" si="218">SUM(F1954:F1966)</f>
        <v>16177.4378</v>
      </c>
      <c r="G1967" s="85">
        <f t="shared" si="218"/>
        <v>0</v>
      </c>
      <c r="H1967" s="85">
        <f>46552522.65/1000</f>
        <v>46552.522649999999</v>
      </c>
      <c r="I1967" s="85">
        <f t="shared" si="218"/>
        <v>0</v>
      </c>
      <c r="J1967" s="85">
        <f t="shared" si="218"/>
        <v>16177.4378</v>
      </c>
      <c r="K1967" s="85">
        <f t="shared" si="218"/>
        <v>1331.5824</v>
      </c>
      <c r="L1967" s="85">
        <f t="shared" si="218"/>
        <v>0</v>
      </c>
      <c r="M1967" s="85">
        <f t="shared" si="218"/>
        <v>16177.4378</v>
      </c>
      <c r="N1967" s="85">
        <f t="shared" si="218"/>
        <v>1331.5824</v>
      </c>
      <c r="O1967" s="85">
        <f t="shared" si="218"/>
        <v>0</v>
      </c>
      <c r="P1967" s="85">
        <f>1331582/1000</f>
        <v>1331.5820000000001</v>
      </c>
      <c r="Q1967" s="85">
        <f t="shared" si="218"/>
        <v>16177.4378</v>
      </c>
      <c r="R1967" s="86"/>
      <c r="S1967" s="86"/>
      <c r="T1967" s="85">
        <f t="shared" ref="T1967:Y1967" si="219">SUM(T1954:T1966)</f>
        <v>0</v>
      </c>
      <c r="U1967" s="85">
        <f t="shared" si="219"/>
        <v>1331.5824</v>
      </c>
      <c r="V1967" s="85">
        <f t="shared" si="219"/>
        <v>0</v>
      </c>
      <c r="W1967" s="85">
        <f t="shared" si="219"/>
        <v>0</v>
      </c>
      <c r="X1967" s="85">
        <f>+H1967+P1967</f>
        <v>47884.104650000001</v>
      </c>
      <c r="Y1967" s="85">
        <f t="shared" si="219"/>
        <v>0</v>
      </c>
      <c r="Z1967" s="85">
        <f t="shared" si="217"/>
        <v>3.9999999717110768E-4</v>
      </c>
      <c r="AA1967" s="69">
        <f>SUM(AA1954:AA1966)</f>
        <v>17509.020199999999</v>
      </c>
      <c r="AB1967" s="69">
        <f>SUM(AB1954:AB1966)</f>
        <v>0</v>
      </c>
    </row>
    <row r="1968" spans="1:28" x14ac:dyDescent="0.3">
      <c r="A1968" s="117"/>
      <c r="E1968" s="86"/>
      <c r="F1968" s="86"/>
      <c r="G1968" s="86"/>
      <c r="H1968" s="86"/>
      <c r="I1968" s="86"/>
      <c r="J1968" s="86"/>
      <c r="K1968" s="86"/>
      <c r="L1968" s="86"/>
      <c r="M1968" s="86"/>
      <c r="N1968" s="86"/>
      <c r="O1968" s="86"/>
      <c r="P1968" s="86"/>
      <c r="Q1968" s="86"/>
      <c r="R1968" s="86"/>
      <c r="S1968" s="86"/>
      <c r="T1968" s="86"/>
      <c r="U1968" s="86"/>
      <c r="V1968" s="86"/>
      <c r="W1968" s="86"/>
      <c r="X1968" s="86"/>
      <c r="Y1968" s="86"/>
      <c r="Z1968" s="86"/>
      <c r="AA1968" s="115" t="s">
        <v>29</v>
      </c>
      <c r="AB1968" s="115" t="s">
        <v>29</v>
      </c>
    </row>
    <row r="1969" spans="1:28" s="106" customFormat="1" x14ac:dyDescent="0.3">
      <c r="A1969" s="104"/>
      <c r="B1969" s="7" t="s">
        <v>798</v>
      </c>
      <c r="C1969" s="7" t="s">
        <v>3</v>
      </c>
      <c r="D1969" s="8"/>
      <c r="E1969" s="82">
        <f t="shared" ref="E1969:AB1969" si="220">E1758+E1767+E1784+E1802+E1820+E1843+E1865+E1899+E1922+E1951+E1967</f>
        <v>1318821.1428799999</v>
      </c>
      <c r="F1969" s="82">
        <f t="shared" si="220"/>
        <v>475140.84604999999</v>
      </c>
      <c r="G1969" s="82">
        <f t="shared" si="220"/>
        <v>38499.391910000006</v>
      </c>
      <c r="H1969" s="82">
        <f t="shared" si="220"/>
        <v>1259178.5353600001</v>
      </c>
      <c r="I1969" s="82">
        <f t="shared" si="220"/>
        <v>7713.02153</v>
      </c>
      <c r="J1969" s="82">
        <f t="shared" si="220"/>
        <v>441559.24453000008</v>
      </c>
      <c r="K1969" s="82">
        <f t="shared" si="220"/>
        <v>51763.553460000003</v>
      </c>
      <c r="L1969" s="82">
        <f t="shared" si="220"/>
        <v>7713.02153</v>
      </c>
      <c r="M1969" s="82">
        <f t="shared" si="220"/>
        <v>521353.25949000003</v>
      </c>
      <c r="N1969" s="82">
        <f t="shared" si="220"/>
        <v>51763.553460000003</v>
      </c>
      <c r="O1969" s="82">
        <f t="shared" si="220"/>
        <v>0</v>
      </c>
      <c r="P1969" s="82">
        <f t="shared" si="220"/>
        <v>51763.547000000006</v>
      </c>
      <c r="Q1969" s="82">
        <f t="shared" si="220"/>
        <v>371610.24625000003</v>
      </c>
      <c r="R1969" s="82">
        <f t="shared" si="220"/>
        <v>0</v>
      </c>
      <c r="S1969" s="82">
        <f t="shared" si="220"/>
        <v>0</v>
      </c>
      <c r="T1969" s="82">
        <f t="shared" si="220"/>
        <v>166.03253000000001</v>
      </c>
      <c r="U1969" s="82">
        <f t="shared" si="220"/>
        <v>51929.58599</v>
      </c>
      <c r="V1969" s="82">
        <f t="shared" si="220"/>
        <v>0</v>
      </c>
      <c r="W1969" s="82">
        <f t="shared" si="220"/>
        <v>0</v>
      </c>
      <c r="X1969" s="82">
        <f t="shared" si="220"/>
        <v>1310942.0823600001</v>
      </c>
      <c r="Y1969" s="82">
        <f t="shared" si="220"/>
        <v>0</v>
      </c>
      <c r="Z1969" s="82">
        <f t="shared" si="220"/>
        <v>7879.0605199999845</v>
      </c>
      <c r="AA1969" s="9">
        <f t="shared" si="220"/>
        <v>573282.84548000002</v>
      </c>
      <c r="AB1969" s="9">
        <f t="shared" si="220"/>
        <v>-1.3800000087940134E-3</v>
      </c>
    </row>
    <row r="1970" spans="1:28" x14ac:dyDescent="0.3">
      <c r="A1970" s="117"/>
      <c r="E1970" s="86"/>
      <c r="F1970" s="86"/>
      <c r="G1970" s="86"/>
      <c r="H1970" s="86"/>
      <c r="I1970" s="86"/>
      <c r="J1970" s="86"/>
      <c r="K1970" s="86"/>
      <c r="L1970" s="86"/>
      <c r="M1970" s="86"/>
      <c r="N1970" s="86"/>
      <c r="O1970" s="86"/>
      <c r="P1970" s="86"/>
      <c r="Q1970" s="86"/>
      <c r="R1970" s="86"/>
      <c r="S1970" s="86"/>
      <c r="T1970" s="86"/>
      <c r="U1970" s="86"/>
      <c r="V1970" s="86"/>
      <c r="W1970" s="86"/>
      <c r="X1970" s="86"/>
      <c r="Y1970" s="86"/>
      <c r="Z1970" s="86"/>
      <c r="AA1970" s="115" t="s">
        <v>114</v>
      </c>
      <c r="AB1970" s="115" t="s">
        <v>114</v>
      </c>
    </row>
    <row r="1971" spans="1:28" x14ac:dyDescent="0.3">
      <c r="A1971" s="117"/>
      <c r="E1971" s="86"/>
      <c r="F1971" s="86"/>
      <c r="G1971" s="86"/>
      <c r="H1971" s="86"/>
      <c r="I1971" s="86"/>
      <c r="J1971" s="86"/>
      <c r="K1971" s="86"/>
      <c r="L1971" s="86"/>
      <c r="M1971" s="86"/>
      <c r="N1971" s="86"/>
      <c r="O1971" s="86"/>
      <c r="P1971" s="86"/>
      <c r="Q1971" s="86"/>
      <c r="R1971" s="86"/>
      <c r="S1971" s="86"/>
      <c r="T1971" s="86"/>
      <c r="U1971" s="86"/>
      <c r="V1971" s="86"/>
      <c r="W1971" s="86"/>
      <c r="X1971" s="86"/>
      <c r="Y1971" s="86"/>
      <c r="Z1971" s="97"/>
      <c r="AA1971" s="118"/>
    </row>
    <row r="1972" spans="1:28" x14ac:dyDescent="0.3">
      <c r="A1972" s="117"/>
      <c r="B1972" s="68" t="s">
        <v>353</v>
      </c>
      <c r="E1972" s="84"/>
      <c r="F1972" s="84"/>
      <c r="G1972" s="84"/>
      <c r="H1972" s="84"/>
      <c r="I1972" s="84"/>
      <c r="J1972" s="84"/>
      <c r="K1972" s="84"/>
      <c r="L1972" s="84"/>
      <c r="M1972" s="84"/>
      <c r="N1972" s="84"/>
      <c r="O1972" s="84"/>
      <c r="P1972" s="84"/>
      <c r="Q1972" s="84"/>
      <c r="R1972" s="84"/>
      <c r="S1972" s="84"/>
      <c r="T1972" s="84"/>
      <c r="U1972" s="84"/>
      <c r="V1972" s="84"/>
      <c r="W1972" s="84"/>
      <c r="X1972" s="84"/>
      <c r="Y1972" s="84"/>
      <c r="Z1972" s="84"/>
    </row>
    <row r="1973" spans="1:28" hidden="1" x14ac:dyDescent="0.3">
      <c r="A1973" s="117"/>
      <c r="E1973" s="84"/>
      <c r="F1973" s="84"/>
      <c r="G1973" s="84"/>
      <c r="H1973" s="84"/>
      <c r="I1973" s="84"/>
      <c r="J1973" s="84"/>
      <c r="K1973" s="84"/>
      <c r="L1973" s="84"/>
      <c r="M1973" s="84"/>
      <c r="N1973" s="84"/>
      <c r="O1973" s="84"/>
      <c r="P1973" s="84"/>
      <c r="Q1973" s="84"/>
      <c r="R1973" s="84"/>
      <c r="S1973" s="84"/>
      <c r="T1973" s="84"/>
      <c r="U1973" s="84"/>
      <c r="V1973" s="84"/>
      <c r="W1973" s="84"/>
      <c r="X1973" s="84"/>
      <c r="Y1973" s="84"/>
      <c r="Z1973" s="84"/>
    </row>
    <row r="1974" spans="1:28" hidden="1" x14ac:dyDescent="0.3">
      <c r="A1974" s="105"/>
      <c r="E1974" s="84"/>
      <c r="F1974" s="84"/>
      <c r="G1974" s="84"/>
      <c r="H1974" s="84"/>
      <c r="I1974" s="84"/>
      <c r="J1974" s="84"/>
      <c r="K1974" s="84"/>
      <c r="L1974" s="84"/>
      <c r="M1974" s="84"/>
      <c r="N1974" s="84"/>
      <c r="O1974" s="84"/>
      <c r="P1974" s="84"/>
      <c r="Q1974" s="84"/>
      <c r="R1974" s="84"/>
      <c r="S1974" s="84"/>
      <c r="T1974" s="84"/>
      <c r="U1974" s="84"/>
      <c r="V1974" s="84"/>
      <c r="W1974" s="84"/>
      <c r="X1974" s="84"/>
      <c r="Y1974" s="84"/>
      <c r="Z1974" s="84"/>
    </row>
    <row r="1975" spans="1:28" hidden="1" x14ac:dyDescent="0.3">
      <c r="A1975" s="117"/>
      <c r="C1975" s="68" t="s">
        <v>355</v>
      </c>
      <c r="D1975" s="145" t="s">
        <v>306</v>
      </c>
      <c r="E1975" s="85">
        <f>STATS1003B!E1979/1000</f>
        <v>2320</v>
      </c>
      <c r="F1975" s="85">
        <f>STATS1003B!F1979/1000</f>
        <v>2320</v>
      </c>
      <c r="G1975" s="85">
        <f>STATS1003B!G1979/1000</f>
        <v>0</v>
      </c>
      <c r="H1975" s="85">
        <f>STATS1003B!H1979/1000</f>
        <v>2320</v>
      </c>
      <c r="I1975" s="85">
        <f>STATS1003B!I1979/1000</f>
        <v>0</v>
      </c>
      <c r="J1975" s="85">
        <f>STATS1003B!J1979/1000</f>
        <v>0</v>
      </c>
      <c r="K1975" s="85">
        <f>STATS1003B!K1979/1000</f>
        <v>0</v>
      </c>
      <c r="L1975" s="85">
        <f>STATS1003B!L1979/1000</f>
        <v>0</v>
      </c>
      <c r="M1975" s="85">
        <f>STATS1003B!M1979/1000</f>
        <v>2320</v>
      </c>
      <c r="N1975" s="85">
        <f>STATS1003B!N1979/1000</f>
        <v>0</v>
      </c>
      <c r="O1975" s="85">
        <f>STATS1003B!O1979/1000</f>
        <v>0</v>
      </c>
      <c r="P1975" s="85">
        <f>STATS1003B!P1979/1000</f>
        <v>0</v>
      </c>
      <c r="Q1975" s="85">
        <f>STATS1003B!Q1979/1000</f>
        <v>0</v>
      </c>
      <c r="R1975" s="85">
        <f>STATS1003B!R1979/1000</f>
        <v>0</v>
      </c>
      <c r="S1975" s="85">
        <f>STATS1003B!S1979/1000</f>
        <v>0</v>
      </c>
      <c r="T1975" s="85">
        <f>STATS1003B!T1979/1000</f>
        <v>0</v>
      </c>
      <c r="U1975" s="85">
        <f>STATS1003B!U1979/1000</f>
        <v>0</v>
      </c>
      <c r="V1975" s="85">
        <f>STATS1003B!V1979/1000</f>
        <v>2320</v>
      </c>
      <c r="W1975" s="85">
        <f>STATS1003B!W1979/1000</f>
        <v>0</v>
      </c>
      <c r="X1975" s="85">
        <f>STATS1003B!X1979/1000</f>
        <v>2320</v>
      </c>
      <c r="Y1975" s="85">
        <f>STATS1003B!Y1979/1000</f>
        <v>0</v>
      </c>
      <c r="Z1975" s="85">
        <f>STATS1003B!Z1979/1000</f>
        <v>0</v>
      </c>
      <c r="AA1975" s="69">
        <f>STATS1003B!AA1979/1000</f>
        <v>2320</v>
      </c>
      <c r="AB1975" s="69">
        <f>STATS1003B!AB1979/1000</f>
        <v>0</v>
      </c>
    </row>
    <row r="1976" spans="1:28" hidden="1" x14ac:dyDescent="0.3">
      <c r="A1976" s="117"/>
      <c r="C1976" s="68" t="s">
        <v>57</v>
      </c>
      <c r="D1976" s="145" t="s">
        <v>68</v>
      </c>
      <c r="E1976" s="85">
        <f>STATS1003B!E1980/1000</f>
        <v>1019.15264</v>
      </c>
      <c r="F1976" s="85">
        <f>STATS1003B!F1980/1000</f>
        <v>887.67198999999994</v>
      </c>
      <c r="G1976" s="85">
        <f>STATS1003B!G1980/1000</f>
        <v>0</v>
      </c>
      <c r="H1976" s="85">
        <f>STATS1003B!H1980/1000</f>
        <v>887.67198999999994</v>
      </c>
      <c r="I1976" s="85">
        <f>STATS1003B!I1980/1000</f>
        <v>0</v>
      </c>
      <c r="J1976" s="85">
        <f>STATS1003B!J1980/1000</f>
        <v>0</v>
      </c>
      <c r="K1976" s="85">
        <f>STATS1003B!K1980/1000</f>
        <v>0</v>
      </c>
      <c r="L1976" s="85">
        <f>STATS1003B!L1980/1000</f>
        <v>0</v>
      </c>
      <c r="M1976" s="85">
        <f>STATS1003B!M1980/1000</f>
        <v>887.67198999999994</v>
      </c>
      <c r="N1976" s="85">
        <f>STATS1003B!N1980/1000</f>
        <v>131.48065</v>
      </c>
      <c r="O1976" s="85">
        <f>STATS1003B!O1980/1000</f>
        <v>0</v>
      </c>
      <c r="P1976" s="85">
        <f>STATS1003B!P1980/1000</f>
        <v>131.48065</v>
      </c>
      <c r="Q1976" s="85">
        <f>STATS1003B!Q1980/1000</f>
        <v>0</v>
      </c>
      <c r="R1976" s="85">
        <f>STATS1003B!R1980/1000</f>
        <v>0</v>
      </c>
      <c r="S1976" s="85">
        <f>STATS1003B!S1980/1000</f>
        <v>0</v>
      </c>
      <c r="T1976" s="85">
        <f>STATS1003B!T1980/1000</f>
        <v>0</v>
      </c>
      <c r="U1976" s="85">
        <f>STATS1003B!U1980/1000</f>
        <v>131.48065</v>
      </c>
      <c r="V1976" s="85">
        <f>STATS1003B!V1980/1000</f>
        <v>1019.15264</v>
      </c>
      <c r="W1976" s="85">
        <f>STATS1003B!W1980/1000</f>
        <v>0</v>
      </c>
      <c r="X1976" s="85">
        <f>STATS1003B!X1980/1000</f>
        <v>1019.15264</v>
      </c>
      <c r="Y1976" s="85">
        <f>STATS1003B!Y1980/1000</f>
        <v>0</v>
      </c>
      <c r="Z1976" s="85">
        <f>STATS1003B!Z1980/1000</f>
        <v>0</v>
      </c>
      <c r="AA1976" s="69">
        <f>STATS1003B!AA1980/1000</f>
        <v>1019.15264</v>
      </c>
      <c r="AB1976" s="69">
        <f>STATS1003B!AB1980/1000</f>
        <v>0</v>
      </c>
    </row>
    <row r="1977" spans="1:28" hidden="1" x14ac:dyDescent="0.3">
      <c r="A1977" s="117"/>
      <c r="C1977" s="68" t="s">
        <v>53</v>
      </c>
      <c r="D1977" s="145" t="s">
        <v>68</v>
      </c>
      <c r="E1977" s="85">
        <f>STATS1003B!E1981/1000</f>
        <v>1953.989</v>
      </c>
      <c r="F1977" s="85">
        <f>STATS1003B!F1981/1000</f>
        <v>0</v>
      </c>
      <c r="G1977" s="85">
        <f>STATS1003B!G1981/1000</f>
        <v>0</v>
      </c>
      <c r="H1977" s="85">
        <f>STATS1003B!H1981/1000</f>
        <v>0</v>
      </c>
      <c r="I1977" s="85">
        <f>STATS1003B!I1981/1000</f>
        <v>0</v>
      </c>
      <c r="J1977" s="85">
        <f>STATS1003B!J1981/1000</f>
        <v>0</v>
      </c>
      <c r="K1977" s="85">
        <f>STATS1003B!K1981/1000</f>
        <v>0</v>
      </c>
      <c r="L1977" s="85">
        <f>STATS1003B!L1981/1000</f>
        <v>0</v>
      </c>
      <c r="M1977" s="85">
        <f>STATS1003B!M1981/1000</f>
        <v>0</v>
      </c>
      <c r="N1977" s="85">
        <f>STATS1003B!N1981/1000</f>
        <v>1953.989</v>
      </c>
      <c r="O1977" s="85">
        <f>STATS1003B!O1981/1000</f>
        <v>0</v>
      </c>
      <c r="P1977" s="85">
        <f>STATS1003B!P1981/1000</f>
        <v>1953.989</v>
      </c>
      <c r="Q1977" s="85">
        <f>STATS1003B!Q1981/1000</f>
        <v>0</v>
      </c>
      <c r="R1977" s="85">
        <f>STATS1003B!R1981/1000</f>
        <v>0</v>
      </c>
      <c r="S1977" s="85">
        <f>STATS1003B!S1981/1000</f>
        <v>0</v>
      </c>
      <c r="T1977" s="85">
        <f>STATS1003B!T1981/1000</f>
        <v>0</v>
      </c>
      <c r="U1977" s="85">
        <f>STATS1003B!U1981/1000</f>
        <v>1953.989</v>
      </c>
      <c r="V1977" s="85">
        <f>STATS1003B!V1981/1000</f>
        <v>1953.989</v>
      </c>
      <c r="W1977" s="85">
        <f>STATS1003B!W1981/1000</f>
        <v>0</v>
      </c>
      <c r="X1977" s="85">
        <f>STATS1003B!X1981/1000</f>
        <v>1953.989</v>
      </c>
      <c r="Y1977" s="85">
        <f>STATS1003B!Y1981/1000</f>
        <v>0</v>
      </c>
      <c r="Z1977" s="85">
        <f>STATS1003B!Z1981/1000</f>
        <v>0</v>
      </c>
      <c r="AA1977" s="69">
        <f>STATS1003B!AA1981/1000</f>
        <v>1953.989</v>
      </c>
      <c r="AB1977" s="69">
        <f>STATS1003B!AB1981/1000</f>
        <v>0</v>
      </c>
    </row>
    <row r="1978" spans="1:28" hidden="1" x14ac:dyDescent="0.3">
      <c r="A1978" s="117"/>
      <c r="C1978" s="68" t="s">
        <v>192</v>
      </c>
      <c r="D1978" s="145" t="s">
        <v>54</v>
      </c>
      <c r="E1978" s="85">
        <f>STATS1003B!E1982/1000</f>
        <v>955.34561999999994</v>
      </c>
      <c r="F1978" s="85">
        <f>STATS1003B!F1982/1000</f>
        <v>0</v>
      </c>
      <c r="G1978" s="85">
        <f>STATS1003B!G1982/1000</f>
        <v>0</v>
      </c>
      <c r="H1978" s="85">
        <f>STATS1003B!H1982/1000</f>
        <v>0</v>
      </c>
      <c r="I1978" s="85">
        <f>STATS1003B!I1982/1000</f>
        <v>0</v>
      </c>
      <c r="J1978" s="85">
        <f>STATS1003B!J1982/1000</f>
        <v>0</v>
      </c>
      <c r="K1978" s="85">
        <f>STATS1003B!K1982/1000</f>
        <v>0</v>
      </c>
      <c r="L1978" s="85">
        <f>STATS1003B!L1982/1000</f>
        <v>0</v>
      </c>
      <c r="M1978" s="85">
        <f>STATS1003B!M1982/1000</f>
        <v>0</v>
      </c>
      <c r="N1978" s="85">
        <f>STATS1003B!N1982/1000</f>
        <v>955.34561999999994</v>
      </c>
      <c r="O1978" s="85">
        <f>STATS1003B!O1982/1000</f>
        <v>0</v>
      </c>
      <c r="P1978" s="85">
        <f>STATS1003B!P1982/1000</f>
        <v>955.34561999999994</v>
      </c>
      <c r="Q1978" s="85">
        <f>STATS1003B!Q1982/1000</f>
        <v>0</v>
      </c>
      <c r="R1978" s="85">
        <f>STATS1003B!R1982/1000</f>
        <v>0</v>
      </c>
      <c r="S1978" s="85">
        <f>STATS1003B!S1982/1000</f>
        <v>0</v>
      </c>
      <c r="T1978" s="85">
        <f>STATS1003B!T1982/1000</f>
        <v>0</v>
      </c>
      <c r="U1978" s="85">
        <f>STATS1003B!U1982/1000</f>
        <v>955.34561999999994</v>
      </c>
      <c r="V1978" s="85">
        <f>STATS1003B!V1982/1000</f>
        <v>955.34561999999994</v>
      </c>
      <c r="W1978" s="85">
        <f>STATS1003B!W1982/1000</f>
        <v>0</v>
      </c>
      <c r="X1978" s="85">
        <f>STATS1003B!X1982/1000</f>
        <v>955.34561999999994</v>
      </c>
      <c r="Y1978" s="85">
        <f>STATS1003B!Y1982/1000</f>
        <v>0</v>
      </c>
      <c r="Z1978" s="85">
        <f>STATS1003B!Z1982/1000</f>
        <v>0</v>
      </c>
      <c r="AA1978" s="69">
        <f>STATS1003B!AA1982/1000</f>
        <v>955.34561999999994</v>
      </c>
      <c r="AB1978" s="69">
        <f>STATS1003B!AB1982/1000</f>
        <v>0</v>
      </c>
    </row>
    <row r="1979" spans="1:28" hidden="1" x14ac:dyDescent="0.3">
      <c r="A1979" s="117"/>
      <c r="C1979" s="68" t="s">
        <v>57</v>
      </c>
      <c r="D1979" s="145" t="s">
        <v>85</v>
      </c>
      <c r="E1979" s="85">
        <f>STATS1003B!E1983/1000</f>
        <v>1170</v>
      </c>
      <c r="F1979" s="85">
        <f>STATS1003B!F1983/1000</f>
        <v>1170</v>
      </c>
      <c r="G1979" s="85">
        <f>STATS1003B!G1983/1000</f>
        <v>0</v>
      </c>
      <c r="H1979" s="85">
        <f>STATS1003B!H1983/1000</f>
        <v>1170</v>
      </c>
      <c r="I1979" s="85">
        <f>STATS1003B!I1983/1000</f>
        <v>0</v>
      </c>
      <c r="J1979" s="85">
        <f>STATS1003B!J1983/1000</f>
        <v>0</v>
      </c>
      <c r="K1979" s="85">
        <f>STATS1003B!K1983/1000</f>
        <v>0</v>
      </c>
      <c r="L1979" s="85">
        <f>STATS1003B!L1983/1000</f>
        <v>0</v>
      </c>
      <c r="M1979" s="85">
        <f>STATS1003B!M1983/1000</f>
        <v>1170</v>
      </c>
      <c r="N1979" s="85">
        <f>STATS1003B!N1983/1000</f>
        <v>0</v>
      </c>
      <c r="O1979" s="85">
        <f>STATS1003B!O1983/1000</f>
        <v>0</v>
      </c>
      <c r="P1979" s="85">
        <f>STATS1003B!P1983/1000</f>
        <v>0</v>
      </c>
      <c r="Q1979" s="85">
        <f>STATS1003B!Q1983/1000</f>
        <v>0</v>
      </c>
      <c r="R1979" s="85">
        <f>STATS1003B!R1983/1000</f>
        <v>0</v>
      </c>
      <c r="S1979" s="85">
        <f>STATS1003B!S1983/1000</f>
        <v>0</v>
      </c>
      <c r="T1979" s="85">
        <f>STATS1003B!T1983/1000</f>
        <v>0</v>
      </c>
      <c r="U1979" s="85">
        <f>STATS1003B!U1983/1000</f>
        <v>0</v>
      </c>
      <c r="V1979" s="85">
        <f>STATS1003B!V1983/1000</f>
        <v>1170</v>
      </c>
      <c r="W1979" s="85">
        <f>STATS1003B!W1983/1000</f>
        <v>0</v>
      </c>
      <c r="X1979" s="85">
        <f>STATS1003B!X1983/1000</f>
        <v>1170</v>
      </c>
      <c r="Y1979" s="85">
        <f>STATS1003B!Y1983/1000</f>
        <v>0</v>
      </c>
      <c r="Z1979" s="85">
        <f>STATS1003B!Z1983/1000</f>
        <v>0</v>
      </c>
      <c r="AA1979" s="69">
        <f>STATS1003B!AA1983/1000</f>
        <v>1170</v>
      </c>
      <c r="AB1979" s="69">
        <f>STATS1003B!AB1983/1000</f>
        <v>0</v>
      </c>
    </row>
    <row r="1980" spans="1:28" hidden="1" x14ac:dyDescent="0.3">
      <c r="A1980" s="117"/>
      <c r="C1980" s="68" t="s">
        <v>57</v>
      </c>
      <c r="D1980" s="145" t="s">
        <v>88</v>
      </c>
      <c r="E1980" s="85">
        <f>STATS1003B!E1984/1000</f>
        <v>533.06500000000005</v>
      </c>
      <c r="F1980" s="85">
        <f>STATS1003B!F1984/1000</f>
        <v>533.06500000000005</v>
      </c>
      <c r="G1980" s="85">
        <v>0</v>
      </c>
      <c r="H1980" s="85">
        <f>STATS1003B!H1984/1000</f>
        <v>533.06500000000005</v>
      </c>
      <c r="I1980" s="85">
        <f>STATS1003B!I1984/1000</f>
        <v>0</v>
      </c>
      <c r="J1980" s="85">
        <f>STATS1003B!J1984/1000</f>
        <v>0</v>
      </c>
      <c r="K1980" s="85">
        <f>STATS1003B!K1984/1000</f>
        <v>0</v>
      </c>
      <c r="L1980" s="85">
        <f>STATS1003B!L1984/1000</f>
        <v>0</v>
      </c>
      <c r="M1980" s="85">
        <f>STATS1003B!M1984/1000</f>
        <v>533.06500000000005</v>
      </c>
      <c r="N1980" s="85">
        <f>STATS1003B!N1984/1000</f>
        <v>0</v>
      </c>
      <c r="O1980" s="85">
        <f>STATS1003B!O1984/1000</f>
        <v>0</v>
      </c>
      <c r="P1980" s="85">
        <f>STATS1003B!P1984/1000</f>
        <v>0</v>
      </c>
      <c r="Q1980" s="85">
        <f>STATS1003B!Q1984/1000</f>
        <v>0</v>
      </c>
      <c r="R1980" s="85">
        <f>STATS1003B!R1984/1000</f>
        <v>0</v>
      </c>
      <c r="S1980" s="85">
        <f>STATS1003B!S1984/1000</f>
        <v>0</v>
      </c>
      <c r="T1980" s="85">
        <f>STATS1003B!T1984/1000</f>
        <v>0</v>
      </c>
      <c r="U1980" s="85">
        <f>STATS1003B!U1984/1000</f>
        <v>0</v>
      </c>
      <c r="V1980" s="85">
        <f>STATS1003B!V1984/1000</f>
        <v>533.06500000000005</v>
      </c>
      <c r="W1980" s="85">
        <f>STATS1003B!W1984/1000</f>
        <v>0</v>
      </c>
      <c r="X1980" s="85">
        <f>STATS1003B!X1984/1000</f>
        <v>533.06500000000005</v>
      </c>
      <c r="Y1980" s="85">
        <f>STATS1003B!Y1984/1000</f>
        <v>0</v>
      </c>
      <c r="Z1980" s="85">
        <f>STATS1003B!Z1984/1000</f>
        <v>0</v>
      </c>
      <c r="AA1980" s="69">
        <f>STATS1003B!AA1984/1000</f>
        <v>533.06500000000005</v>
      </c>
      <c r="AB1980" s="69">
        <f>STATS1003B!AB1984/1000</f>
        <v>0</v>
      </c>
    </row>
    <row r="1981" spans="1:28" hidden="1" x14ac:dyDescent="0.3">
      <c r="A1981" s="117"/>
      <c r="C1981" s="68" t="s">
        <v>57</v>
      </c>
      <c r="D1981" s="145" t="s">
        <v>60</v>
      </c>
      <c r="E1981" s="85">
        <f>STATS1003B!E1985/1000</f>
        <v>1902</v>
      </c>
      <c r="F1981" s="85">
        <f>STATS1003B!F1985/1000</f>
        <v>1902</v>
      </c>
      <c r="G1981" s="85">
        <f>STATS1003B!G1985/1000</f>
        <v>0</v>
      </c>
      <c r="H1981" s="85">
        <f>STATS1003B!H1985/1000</f>
        <v>1902</v>
      </c>
      <c r="I1981" s="85">
        <f>STATS1003B!I1985/1000</f>
        <v>0</v>
      </c>
      <c r="J1981" s="85">
        <f>STATS1003B!J1985/1000</f>
        <v>0</v>
      </c>
      <c r="K1981" s="85">
        <f>STATS1003B!K1985/1000</f>
        <v>0</v>
      </c>
      <c r="L1981" s="85">
        <f>STATS1003B!L1985/1000</f>
        <v>0</v>
      </c>
      <c r="M1981" s="85">
        <f>STATS1003B!M1985/1000</f>
        <v>1902</v>
      </c>
      <c r="N1981" s="85">
        <f>STATS1003B!N1985/1000</f>
        <v>0</v>
      </c>
      <c r="O1981" s="85">
        <f>STATS1003B!O1985/1000</f>
        <v>0</v>
      </c>
      <c r="P1981" s="85">
        <f>STATS1003B!P1985/1000</f>
        <v>0</v>
      </c>
      <c r="Q1981" s="85">
        <f>STATS1003B!Q1985/1000</f>
        <v>0</v>
      </c>
      <c r="R1981" s="85">
        <f>STATS1003B!R1985/1000</f>
        <v>0</v>
      </c>
      <c r="S1981" s="85">
        <f>STATS1003B!S1985/1000</f>
        <v>0</v>
      </c>
      <c r="T1981" s="85">
        <f>STATS1003B!T1985/1000</f>
        <v>0</v>
      </c>
      <c r="U1981" s="85">
        <f>STATS1003B!U1985/1000</f>
        <v>0</v>
      </c>
      <c r="V1981" s="85">
        <f>STATS1003B!V1985/1000</f>
        <v>1902</v>
      </c>
      <c r="W1981" s="85">
        <f>STATS1003B!W1985/1000</f>
        <v>0</v>
      </c>
      <c r="X1981" s="85">
        <f>STATS1003B!X1985/1000</f>
        <v>1902</v>
      </c>
      <c r="Y1981" s="85">
        <f>STATS1003B!Y1985/1000</f>
        <v>0</v>
      </c>
      <c r="Z1981" s="85">
        <f>STATS1003B!Z1985/1000</f>
        <v>0</v>
      </c>
      <c r="AA1981" s="69">
        <f>STATS1003B!AA1985/1000</f>
        <v>1902</v>
      </c>
      <c r="AB1981" s="69">
        <f>STATS1003B!AB1985/1000</f>
        <v>0</v>
      </c>
    </row>
    <row r="1982" spans="1:28" hidden="1" x14ac:dyDescent="0.3">
      <c r="A1982" s="117"/>
      <c r="C1982" s="71" t="s">
        <v>109</v>
      </c>
      <c r="D1982" s="88" t="s">
        <v>60</v>
      </c>
      <c r="E1982" s="85">
        <f>STATS1003B!E1986/1000</f>
        <v>4600</v>
      </c>
      <c r="F1982" s="85">
        <f>STATS1003B!F1986/1000</f>
        <v>4600</v>
      </c>
      <c r="G1982" s="85">
        <f>STATS1003B!G1986/1000</f>
        <v>0</v>
      </c>
      <c r="H1982" s="85">
        <f>STATS1003B!H1986/1000</f>
        <v>4600</v>
      </c>
      <c r="I1982" s="85">
        <f>STATS1003B!I1986/1000</f>
        <v>0</v>
      </c>
      <c r="J1982" s="85">
        <f>STATS1003B!J1986/1000</f>
        <v>0</v>
      </c>
      <c r="K1982" s="85">
        <f>STATS1003B!K1986/1000</f>
        <v>0</v>
      </c>
      <c r="L1982" s="85">
        <f>STATS1003B!L1986/1000</f>
        <v>0</v>
      </c>
      <c r="M1982" s="85">
        <f>STATS1003B!M1986/1000</f>
        <v>4600</v>
      </c>
      <c r="N1982" s="85">
        <f>STATS1003B!N1986/1000</f>
        <v>0</v>
      </c>
      <c r="O1982" s="85">
        <f>STATS1003B!O1986/1000</f>
        <v>0</v>
      </c>
      <c r="P1982" s="85">
        <f>STATS1003B!P1986/1000</f>
        <v>0</v>
      </c>
      <c r="Q1982" s="85">
        <f>STATS1003B!Q1986/1000</f>
        <v>0</v>
      </c>
      <c r="R1982" s="85">
        <f>STATS1003B!R1986/1000</f>
        <v>0</v>
      </c>
      <c r="S1982" s="85">
        <f>STATS1003B!S1986/1000</f>
        <v>0</v>
      </c>
      <c r="T1982" s="85">
        <f>STATS1003B!T1986/1000</f>
        <v>0</v>
      </c>
      <c r="U1982" s="85">
        <f>STATS1003B!U1986/1000</f>
        <v>0</v>
      </c>
      <c r="V1982" s="85">
        <f>STATS1003B!V1986/1000</f>
        <v>4600</v>
      </c>
      <c r="W1982" s="85">
        <f>STATS1003B!W1986/1000</f>
        <v>0</v>
      </c>
      <c r="X1982" s="85">
        <f>STATS1003B!X1986/1000</f>
        <v>4600</v>
      </c>
      <c r="Y1982" s="85">
        <f>STATS1003B!Y1986/1000</f>
        <v>0</v>
      </c>
      <c r="Z1982" s="85">
        <f>STATS1003B!Z1986/1000</f>
        <v>0</v>
      </c>
      <c r="AA1982" s="69">
        <f>STATS1003B!AA1986/1000</f>
        <v>4600</v>
      </c>
      <c r="AB1982" s="69">
        <f>STATS1003B!AB1986/1000</f>
        <v>0</v>
      </c>
    </row>
    <row r="1983" spans="1:28" hidden="1" x14ac:dyDescent="0.3">
      <c r="A1983" s="117"/>
      <c r="C1983" s="68" t="s">
        <v>57</v>
      </c>
      <c r="D1983" s="145" t="s">
        <v>73</v>
      </c>
      <c r="E1983" s="85">
        <f>STATS1003B!E1987/1000</f>
        <v>3632.5559700000003</v>
      </c>
      <c r="F1983" s="85">
        <f>STATS1003B!F1987/1000</f>
        <v>3632.5559700000003</v>
      </c>
      <c r="G1983" s="85">
        <f>STATS1003B!G1987/1000</f>
        <v>0</v>
      </c>
      <c r="H1983" s="85">
        <f>STATS1003B!H1987/1000</f>
        <v>3632.5559700000003</v>
      </c>
      <c r="I1983" s="85">
        <f>STATS1003B!I1987/1000</f>
        <v>0</v>
      </c>
      <c r="J1983" s="85">
        <f>STATS1003B!J1987/1000</f>
        <v>0</v>
      </c>
      <c r="K1983" s="85">
        <f>STATS1003B!K1987/1000</f>
        <v>0</v>
      </c>
      <c r="L1983" s="85">
        <f>STATS1003B!L1987/1000</f>
        <v>0</v>
      </c>
      <c r="M1983" s="85">
        <f>STATS1003B!M1987/1000</f>
        <v>3632.5559700000003</v>
      </c>
      <c r="N1983" s="85">
        <f>STATS1003B!N1987/1000</f>
        <v>0</v>
      </c>
      <c r="O1983" s="85">
        <f>STATS1003B!O1987/1000</f>
        <v>0</v>
      </c>
      <c r="P1983" s="85">
        <f>STATS1003B!P1987/1000</f>
        <v>0</v>
      </c>
      <c r="Q1983" s="85">
        <f>STATS1003B!Q1987/1000</f>
        <v>0</v>
      </c>
      <c r="R1983" s="85">
        <f>STATS1003B!R1987/1000</f>
        <v>0</v>
      </c>
      <c r="S1983" s="85">
        <f>STATS1003B!S1987/1000</f>
        <v>0</v>
      </c>
      <c r="T1983" s="85">
        <f>STATS1003B!T1987/1000</f>
        <v>0</v>
      </c>
      <c r="U1983" s="85">
        <f>STATS1003B!U1987/1000</f>
        <v>0</v>
      </c>
      <c r="V1983" s="85">
        <f>STATS1003B!V1987/1000</f>
        <v>3632.5559700000003</v>
      </c>
      <c r="W1983" s="85">
        <f>STATS1003B!W1987/1000</f>
        <v>0</v>
      </c>
      <c r="X1983" s="85">
        <f>STATS1003B!X1987/1000</f>
        <v>3632.5559700000003</v>
      </c>
      <c r="Y1983" s="85">
        <f>STATS1003B!Y1987/1000</f>
        <v>0</v>
      </c>
      <c r="Z1983" s="85">
        <f>STATS1003B!Z1987/1000</f>
        <v>0</v>
      </c>
      <c r="AA1983" s="69">
        <f>STATS1003B!AA1987/1000</f>
        <v>3632.5559700000003</v>
      </c>
      <c r="AB1983" s="69">
        <f>STATS1003B!AB1987/1000</f>
        <v>0</v>
      </c>
    </row>
    <row r="1984" spans="1:28" hidden="1" x14ac:dyDescent="0.3">
      <c r="A1984" s="117"/>
      <c r="C1984" s="68" t="s">
        <v>930</v>
      </c>
      <c r="D1984" s="145"/>
      <c r="E1984" s="85">
        <f>STATS1003B!E1988/1000</f>
        <v>300</v>
      </c>
      <c r="F1984" s="85">
        <f>STATS1003B!F1988/1000</f>
        <v>300</v>
      </c>
      <c r="G1984" s="85">
        <f>STATS1003B!G1988/1000</f>
        <v>0</v>
      </c>
      <c r="H1984" s="85">
        <f>STATS1003B!H1988/1000</f>
        <v>300</v>
      </c>
      <c r="I1984" s="85">
        <f>STATS1003B!I1988/1000</f>
        <v>0</v>
      </c>
      <c r="J1984" s="85">
        <f>STATS1003B!J1988/1000</f>
        <v>0</v>
      </c>
      <c r="K1984" s="85">
        <f>STATS1003B!K1988/1000</f>
        <v>0</v>
      </c>
      <c r="L1984" s="85">
        <f>STATS1003B!L1988/1000</f>
        <v>0</v>
      </c>
      <c r="M1984" s="85">
        <f>STATS1003B!M1988/1000</f>
        <v>300</v>
      </c>
      <c r="N1984" s="85">
        <f>STATS1003B!N1988/1000</f>
        <v>0</v>
      </c>
      <c r="O1984" s="85">
        <f>STATS1003B!O1988/1000</f>
        <v>0</v>
      </c>
      <c r="P1984" s="85">
        <f>STATS1003B!P1988/1000</f>
        <v>0</v>
      </c>
      <c r="Q1984" s="85">
        <f>STATS1003B!Q1988/1000</f>
        <v>0</v>
      </c>
      <c r="R1984" s="85">
        <f>STATS1003B!R1988/1000</f>
        <v>0</v>
      </c>
      <c r="S1984" s="85">
        <f>STATS1003B!S1988/1000</f>
        <v>0</v>
      </c>
      <c r="T1984" s="85">
        <f>STATS1003B!T1988/1000</f>
        <v>0</v>
      </c>
      <c r="U1984" s="85">
        <f>STATS1003B!U1988/1000</f>
        <v>0</v>
      </c>
      <c r="V1984" s="85">
        <f>STATS1003B!V1988/1000</f>
        <v>300</v>
      </c>
      <c r="W1984" s="85">
        <f>STATS1003B!W1988/1000</f>
        <v>0</v>
      </c>
      <c r="X1984" s="85">
        <f>STATS1003B!X1988/1000</f>
        <v>300</v>
      </c>
      <c r="Y1984" s="85">
        <f>STATS1003B!Y1988/1000</f>
        <v>0</v>
      </c>
      <c r="Z1984" s="85">
        <f>STATS1003B!Z1988/1000</f>
        <v>0</v>
      </c>
      <c r="AA1984" s="69">
        <f>STATS1003B!AA1988/1000</f>
        <v>300</v>
      </c>
      <c r="AB1984" s="69">
        <f>STATS1003B!AB1988/1000</f>
        <v>0</v>
      </c>
    </row>
    <row r="1985" spans="1:28" hidden="1" x14ac:dyDescent="0.3">
      <c r="A1985" s="117"/>
      <c r="C1985" s="68" t="s">
        <v>57</v>
      </c>
      <c r="D1985" s="90" t="s">
        <v>61</v>
      </c>
      <c r="E1985" s="85">
        <f>STATS1003B!E1989/1000</f>
        <v>1846.7973999999999</v>
      </c>
      <c r="F1985" s="85">
        <f>STATS1003B!F1989/1000</f>
        <v>1846.7973999999999</v>
      </c>
      <c r="G1985" s="85">
        <f>STATS1003B!G1989/1000</f>
        <v>0</v>
      </c>
      <c r="H1985" s="85">
        <f>STATS1003B!H1989/1000</f>
        <v>1846.7973999999999</v>
      </c>
      <c r="I1985" s="85">
        <f>STATS1003B!I1989/1000</f>
        <v>0</v>
      </c>
      <c r="J1985" s="85">
        <f>STATS1003B!J1989/1000</f>
        <v>0</v>
      </c>
      <c r="K1985" s="85">
        <f>STATS1003B!K1989/1000</f>
        <v>0</v>
      </c>
      <c r="L1985" s="85">
        <f>STATS1003B!L1989/1000</f>
        <v>0</v>
      </c>
      <c r="M1985" s="85">
        <f>STATS1003B!M1989/1000</f>
        <v>1846.7973999999999</v>
      </c>
      <c r="N1985" s="85">
        <f>STATS1003B!N1989/1000</f>
        <v>0</v>
      </c>
      <c r="O1985" s="85">
        <f>STATS1003B!O1989/1000</f>
        <v>0</v>
      </c>
      <c r="P1985" s="85">
        <f>STATS1003B!P1989/1000</f>
        <v>0</v>
      </c>
      <c r="Q1985" s="85">
        <f>STATS1003B!Q1989/1000</f>
        <v>0</v>
      </c>
      <c r="R1985" s="85">
        <f>STATS1003B!R1989/1000</f>
        <v>0</v>
      </c>
      <c r="S1985" s="85">
        <f>STATS1003B!S1989/1000</f>
        <v>0</v>
      </c>
      <c r="T1985" s="85">
        <f>STATS1003B!T1989/1000</f>
        <v>0</v>
      </c>
      <c r="U1985" s="85">
        <f>STATS1003B!U1989/1000</f>
        <v>0</v>
      </c>
      <c r="V1985" s="85">
        <f>STATS1003B!V1989/1000</f>
        <v>1846.7973999999999</v>
      </c>
      <c r="W1985" s="85">
        <f>STATS1003B!W1989/1000</f>
        <v>0</v>
      </c>
      <c r="X1985" s="85">
        <f>STATS1003B!X1989/1000</f>
        <v>1846.7973999999999</v>
      </c>
      <c r="Y1985" s="85">
        <f>STATS1003B!Y1989/1000</f>
        <v>0</v>
      </c>
      <c r="Z1985" s="85">
        <f>STATS1003B!Z1989/1000</f>
        <v>0</v>
      </c>
      <c r="AA1985" s="69">
        <f>STATS1003B!AA1989/1000</f>
        <v>1846.7973999999999</v>
      </c>
      <c r="AB1985" s="69">
        <f>STATS1003B!AB1989/1000</f>
        <v>0</v>
      </c>
    </row>
    <row r="1986" spans="1:28" hidden="1" x14ac:dyDescent="0.3">
      <c r="A1986" s="117"/>
      <c r="E1986" s="86" t="s">
        <v>29</v>
      </c>
      <c r="F1986" s="86" t="s">
        <v>29</v>
      </c>
      <c r="G1986" s="86" t="s">
        <v>29</v>
      </c>
      <c r="H1986" s="86" t="s">
        <v>29</v>
      </c>
      <c r="I1986" s="86" t="s">
        <v>29</v>
      </c>
      <c r="J1986" s="86" t="s">
        <v>29</v>
      </c>
      <c r="K1986" s="86" t="s">
        <v>29</v>
      </c>
      <c r="L1986" s="86" t="s">
        <v>29</v>
      </c>
      <c r="M1986" s="86" t="s">
        <v>29</v>
      </c>
      <c r="N1986" s="86" t="s">
        <v>29</v>
      </c>
      <c r="O1986" s="86" t="s">
        <v>29</v>
      </c>
      <c r="P1986" s="86" t="s">
        <v>29</v>
      </c>
      <c r="Q1986" s="86" t="s">
        <v>29</v>
      </c>
      <c r="R1986" s="86" t="s">
        <v>29</v>
      </c>
      <c r="S1986" s="86" t="s">
        <v>29</v>
      </c>
      <c r="T1986" s="86" t="s">
        <v>29</v>
      </c>
      <c r="U1986" s="86" t="s">
        <v>29</v>
      </c>
      <c r="V1986" s="86" t="s">
        <v>29</v>
      </c>
      <c r="W1986" s="86" t="s">
        <v>29</v>
      </c>
      <c r="X1986" s="86" t="s">
        <v>29</v>
      </c>
      <c r="Y1986" s="86" t="s">
        <v>29</v>
      </c>
      <c r="Z1986" s="86" t="s">
        <v>29</v>
      </c>
      <c r="AA1986" s="115" t="s">
        <v>29</v>
      </c>
      <c r="AB1986" s="115" t="s">
        <v>29</v>
      </c>
    </row>
    <row r="1987" spans="1:28" x14ac:dyDescent="0.3">
      <c r="A1987" s="116">
        <v>87</v>
      </c>
      <c r="B1987" s="68" t="s">
        <v>354</v>
      </c>
      <c r="E1987" s="85">
        <f>55120380.01/1000</f>
        <v>55120.380010000001</v>
      </c>
      <c r="F1987" s="85">
        <f t="shared" ref="F1987:AB1987" si="221">SUM(F1975:F1985)</f>
        <v>17192.090359999998</v>
      </c>
      <c r="G1987" s="85">
        <f t="shared" si="221"/>
        <v>0</v>
      </c>
      <c r="H1987" s="85">
        <f>52079564.74/1000</f>
        <v>52079.564740000002</v>
      </c>
      <c r="I1987" s="85">
        <f t="shared" si="221"/>
        <v>0</v>
      </c>
      <c r="J1987" s="85">
        <f t="shared" si="221"/>
        <v>0</v>
      </c>
      <c r="K1987" s="85">
        <f t="shared" si="221"/>
        <v>0</v>
      </c>
      <c r="L1987" s="85">
        <f t="shared" si="221"/>
        <v>0</v>
      </c>
      <c r="M1987" s="85">
        <f t="shared" si="221"/>
        <v>17192.090359999998</v>
      </c>
      <c r="N1987" s="85">
        <f t="shared" si="221"/>
        <v>3040.8152700000001</v>
      </c>
      <c r="O1987" s="85">
        <f t="shared" si="221"/>
        <v>0</v>
      </c>
      <c r="P1987" s="85">
        <f>3040815/1000</f>
        <v>3040.8150000000001</v>
      </c>
      <c r="Q1987" s="85">
        <f t="shared" si="221"/>
        <v>0</v>
      </c>
      <c r="R1987" s="85">
        <f t="shared" si="221"/>
        <v>0</v>
      </c>
      <c r="S1987" s="85">
        <f t="shared" si="221"/>
        <v>0</v>
      </c>
      <c r="T1987" s="85">
        <f t="shared" si="221"/>
        <v>0</v>
      </c>
      <c r="U1987" s="85">
        <f t="shared" si="221"/>
        <v>3040.8152700000001</v>
      </c>
      <c r="V1987" s="85">
        <f t="shared" si="221"/>
        <v>20232.905630000001</v>
      </c>
      <c r="W1987" s="85">
        <f t="shared" si="221"/>
        <v>0</v>
      </c>
      <c r="X1987" s="85">
        <f t="shared" ref="X1987:X2050" si="222">+H1987+P1987</f>
        <v>55120.379740000004</v>
      </c>
      <c r="Y1987" s="85">
        <f t="shared" si="221"/>
        <v>0</v>
      </c>
      <c r="Z1987" s="85">
        <f>+E1987-X1987</f>
        <v>2.699999968172051E-4</v>
      </c>
      <c r="AA1987" s="69">
        <f t="shared" si="221"/>
        <v>20232.905630000001</v>
      </c>
      <c r="AB1987" s="69">
        <f t="shared" si="221"/>
        <v>0</v>
      </c>
    </row>
    <row r="1988" spans="1:28" hidden="1" x14ac:dyDescent="0.3">
      <c r="A1988" s="117"/>
      <c r="E1988" s="86" t="s">
        <v>29</v>
      </c>
      <c r="F1988" s="86" t="s">
        <v>29</v>
      </c>
      <c r="G1988" s="86" t="s">
        <v>29</v>
      </c>
      <c r="H1988" s="86" t="s">
        <v>29</v>
      </c>
      <c r="I1988" s="86" t="s">
        <v>29</v>
      </c>
      <c r="J1988" s="86" t="s">
        <v>29</v>
      </c>
      <c r="K1988" s="86" t="s">
        <v>29</v>
      </c>
      <c r="L1988" s="86" t="s">
        <v>29</v>
      </c>
      <c r="M1988" s="86" t="s">
        <v>29</v>
      </c>
      <c r="N1988" s="86" t="s">
        <v>29</v>
      </c>
      <c r="O1988" s="86" t="s">
        <v>29</v>
      </c>
      <c r="P1988" s="86" t="s">
        <v>29</v>
      </c>
      <c r="Q1988" s="86" t="s">
        <v>29</v>
      </c>
      <c r="R1988" s="86" t="s">
        <v>29</v>
      </c>
      <c r="S1988" s="86" t="s">
        <v>29</v>
      </c>
      <c r="T1988" s="86" t="s">
        <v>29</v>
      </c>
      <c r="U1988" s="86" t="s">
        <v>29</v>
      </c>
      <c r="V1988" s="86" t="s">
        <v>29</v>
      </c>
      <c r="W1988" s="86" t="s">
        <v>29</v>
      </c>
      <c r="X1988" s="85" t="e">
        <f t="shared" si="222"/>
        <v>#VALUE!</v>
      </c>
      <c r="Y1988" s="86" t="s">
        <v>29</v>
      </c>
      <c r="Z1988" s="86" t="s">
        <v>29</v>
      </c>
      <c r="AA1988" s="115" t="s">
        <v>29</v>
      </c>
      <c r="AB1988" s="115" t="s">
        <v>29</v>
      </c>
    </row>
    <row r="1989" spans="1:28" hidden="1" x14ac:dyDescent="0.3">
      <c r="A1989" s="105"/>
      <c r="E1989" s="84"/>
      <c r="F1989" s="84"/>
      <c r="G1989" s="84"/>
      <c r="H1989" s="84"/>
      <c r="I1989" s="84"/>
      <c r="J1989" s="84"/>
      <c r="K1989" s="84"/>
      <c r="L1989" s="84"/>
      <c r="M1989" s="84"/>
      <c r="N1989" s="84"/>
      <c r="O1989" s="84"/>
      <c r="P1989" s="84"/>
      <c r="Q1989" s="84"/>
      <c r="R1989" s="84"/>
      <c r="S1989" s="84"/>
      <c r="T1989" s="84"/>
      <c r="U1989" s="84"/>
      <c r="V1989" s="84"/>
      <c r="W1989" s="84"/>
      <c r="X1989" s="85">
        <f t="shared" si="222"/>
        <v>0</v>
      </c>
      <c r="Y1989" s="84"/>
      <c r="Z1989" s="84"/>
    </row>
    <row r="1990" spans="1:28" hidden="1" x14ac:dyDescent="0.3">
      <c r="A1990" s="117"/>
      <c r="C1990" s="68" t="s">
        <v>261</v>
      </c>
      <c r="E1990" s="85">
        <f>STATS1003B!E1994/1000</f>
        <v>1355.4600600000001</v>
      </c>
      <c r="F1990" s="85">
        <f>STATS1003B!F1994/1000</f>
        <v>1355.4600600000001</v>
      </c>
      <c r="G1990" s="85">
        <f>STATS1003B!G1994/1000</f>
        <v>0</v>
      </c>
      <c r="H1990" s="85">
        <f>STATS1003B!H1994/1000</f>
        <v>1355.4600600000001</v>
      </c>
      <c r="I1990" s="85">
        <f>STATS1003B!I1994/1000</f>
        <v>0</v>
      </c>
      <c r="J1990" s="85">
        <f>STATS1003B!J1994/1000</f>
        <v>0</v>
      </c>
      <c r="K1990" s="85">
        <f>STATS1003B!K1994/1000</f>
        <v>0</v>
      </c>
      <c r="L1990" s="85">
        <f>STATS1003B!L1994/1000</f>
        <v>0</v>
      </c>
      <c r="M1990" s="85">
        <f>STATS1003B!M1994/1000</f>
        <v>1355.4600600000001</v>
      </c>
      <c r="N1990" s="85">
        <f>STATS1003B!N1994/1000</f>
        <v>0</v>
      </c>
      <c r="O1990" s="85">
        <f>STATS1003B!O1994/1000</f>
        <v>0</v>
      </c>
      <c r="P1990" s="85">
        <f>STATS1003B!P1994/1000</f>
        <v>0</v>
      </c>
      <c r="Q1990" s="85">
        <f>STATS1003B!Q1994/1000</f>
        <v>0</v>
      </c>
      <c r="R1990" s="85">
        <f>STATS1003B!R1994/1000</f>
        <v>0</v>
      </c>
      <c r="S1990" s="85">
        <f>STATS1003B!S1994/1000</f>
        <v>0</v>
      </c>
      <c r="T1990" s="85">
        <f>STATS1003B!T1994/1000</f>
        <v>0</v>
      </c>
      <c r="U1990" s="85">
        <f>STATS1003B!U1994/1000</f>
        <v>0</v>
      </c>
      <c r="V1990" s="85">
        <f>STATS1003B!V1994/1000</f>
        <v>1355.4600600000001</v>
      </c>
      <c r="W1990" s="85">
        <f>STATS1003B!W1994/1000</f>
        <v>0</v>
      </c>
      <c r="X1990" s="85">
        <f t="shared" si="222"/>
        <v>1355.4600600000001</v>
      </c>
      <c r="Y1990" s="85">
        <f>STATS1003B!Y1994/1000</f>
        <v>0</v>
      </c>
      <c r="Z1990" s="85">
        <f>STATS1003B!Z1994/1000</f>
        <v>0</v>
      </c>
      <c r="AA1990" s="69">
        <f>STATS1003B!AA1994/1000</f>
        <v>1355.4600600000001</v>
      </c>
      <c r="AB1990" s="69">
        <f>STATS1003B!AB1994/1000</f>
        <v>0</v>
      </c>
    </row>
    <row r="1991" spans="1:28" hidden="1" x14ac:dyDescent="0.3">
      <c r="A1991" s="117"/>
      <c r="C1991" s="68" t="s">
        <v>345</v>
      </c>
      <c r="D1991" s="145" t="s">
        <v>247</v>
      </c>
      <c r="E1991" s="85">
        <f>STATS1003B!E1995/1000</f>
        <v>13934.09827</v>
      </c>
      <c r="F1991" s="85">
        <f>STATS1003B!F1995/1000</f>
        <v>13298.21586</v>
      </c>
      <c r="G1991" s="85">
        <f>STATS1003B!G1995/1000</f>
        <v>0</v>
      </c>
      <c r="H1991" s="85">
        <f>STATS1003B!H1995/1000</f>
        <v>13298.21586</v>
      </c>
      <c r="I1991" s="85">
        <f>STATS1003B!I1995/1000</f>
        <v>0</v>
      </c>
      <c r="J1991" s="85">
        <f>STATS1003B!J1995/1000</f>
        <v>0</v>
      </c>
      <c r="K1991" s="85">
        <f>STATS1003B!K1995/1000</f>
        <v>0</v>
      </c>
      <c r="L1991" s="85">
        <f>STATS1003B!L1995/1000</f>
        <v>0</v>
      </c>
      <c r="M1991" s="85">
        <f>STATS1003B!M1995/1000</f>
        <v>13298.21586</v>
      </c>
      <c r="N1991" s="85">
        <f>STATS1003B!N1995/1000</f>
        <v>635.88241000000005</v>
      </c>
      <c r="O1991" s="85">
        <f>STATS1003B!O1995/1000</f>
        <v>0</v>
      </c>
      <c r="P1991" s="85">
        <f>STATS1003B!P1995/1000</f>
        <v>635.88241000000005</v>
      </c>
      <c r="Q1991" s="85">
        <f>STATS1003B!Q1995/1000</f>
        <v>0</v>
      </c>
      <c r="R1991" s="85">
        <f>STATS1003B!R1995/1000</f>
        <v>0</v>
      </c>
      <c r="S1991" s="85">
        <f>STATS1003B!S1995/1000</f>
        <v>0</v>
      </c>
      <c r="T1991" s="85">
        <f>STATS1003B!T1995/1000</f>
        <v>0</v>
      </c>
      <c r="U1991" s="85">
        <f>STATS1003B!U1995/1000</f>
        <v>635.88241000000005</v>
      </c>
      <c r="V1991" s="85">
        <f>STATS1003B!V1995/1000</f>
        <v>13934.09827</v>
      </c>
      <c r="W1991" s="85">
        <f>STATS1003B!W1995/1000</f>
        <v>0</v>
      </c>
      <c r="X1991" s="85">
        <f t="shared" si="222"/>
        <v>13934.09827</v>
      </c>
      <c r="Y1991" s="85">
        <f>STATS1003B!Y1995/1000</f>
        <v>0</v>
      </c>
      <c r="Z1991" s="85">
        <f>STATS1003B!Z1995/1000</f>
        <v>0</v>
      </c>
      <c r="AA1991" s="69">
        <f>STATS1003B!AA1995/1000</f>
        <v>13934.09827</v>
      </c>
      <c r="AB1991" s="69">
        <f>STATS1003B!AB1995/1000</f>
        <v>0</v>
      </c>
    </row>
    <row r="1992" spans="1:28" hidden="1" x14ac:dyDescent="0.3">
      <c r="A1992" s="117"/>
      <c r="C1992" s="68" t="s">
        <v>53</v>
      </c>
      <c r="D1992" s="145" t="s">
        <v>68</v>
      </c>
      <c r="E1992" s="85">
        <f>STATS1003B!E1996/1000</f>
        <v>1953.989</v>
      </c>
      <c r="F1992" s="85">
        <f>STATS1003B!F1996/1000</f>
        <v>0</v>
      </c>
      <c r="G1992" s="85">
        <f>STATS1003B!G1996/1000</f>
        <v>0</v>
      </c>
      <c r="H1992" s="85">
        <f>STATS1003B!H1996/1000</f>
        <v>0</v>
      </c>
      <c r="I1992" s="85">
        <f>STATS1003B!I1996/1000</f>
        <v>0</v>
      </c>
      <c r="J1992" s="85">
        <f>STATS1003B!J1996/1000</f>
        <v>0</v>
      </c>
      <c r="K1992" s="85">
        <f>STATS1003B!K1996/1000</f>
        <v>0</v>
      </c>
      <c r="L1992" s="85">
        <f>STATS1003B!L1996/1000</f>
        <v>0</v>
      </c>
      <c r="M1992" s="85">
        <f>STATS1003B!M1996/1000</f>
        <v>0</v>
      </c>
      <c r="N1992" s="85">
        <f>STATS1003B!N1996/1000</f>
        <v>1953.989</v>
      </c>
      <c r="O1992" s="85">
        <f>STATS1003B!O1996/1000</f>
        <v>0</v>
      </c>
      <c r="P1992" s="85">
        <f>STATS1003B!P1996/1000</f>
        <v>1953.989</v>
      </c>
      <c r="Q1992" s="85">
        <f>STATS1003B!Q1996/1000</f>
        <v>0</v>
      </c>
      <c r="R1992" s="85">
        <f>STATS1003B!R1996/1000</f>
        <v>0</v>
      </c>
      <c r="S1992" s="85">
        <f>STATS1003B!S1996/1000</f>
        <v>0</v>
      </c>
      <c r="T1992" s="85">
        <f>STATS1003B!T1996/1000</f>
        <v>0</v>
      </c>
      <c r="U1992" s="85">
        <f>STATS1003B!U1996/1000</f>
        <v>1953.989</v>
      </c>
      <c r="V1992" s="85">
        <f>STATS1003B!V1996/1000</f>
        <v>1953.989</v>
      </c>
      <c r="W1992" s="85">
        <f>STATS1003B!W1996/1000</f>
        <v>0</v>
      </c>
      <c r="X1992" s="85">
        <f t="shared" si="222"/>
        <v>1953.989</v>
      </c>
      <c r="Y1992" s="85">
        <f>STATS1003B!Y1996/1000</f>
        <v>0</v>
      </c>
      <c r="Z1992" s="85">
        <f>STATS1003B!Z1996/1000</f>
        <v>0</v>
      </c>
      <c r="AA1992" s="69">
        <f>STATS1003B!AA1996/1000</f>
        <v>1953.989</v>
      </c>
      <c r="AB1992" s="69">
        <f>STATS1003B!AB1996/1000</f>
        <v>0</v>
      </c>
    </row>
    <row r="1993" spans="1:28" hidden="1" x14ac:dyDescent="0.3">
      <c r="A1993" s="117"/>
      <c r="C1993" s="68" t="s">
        <v>83</v>
      </c>
      <c r="D1993" s="145" t="s">
        <v>67</v>
      </c>
      <c r="E1993" s="85">
        <f>STATS1003B!E1997/1000</f>
        <v>375.56099999999998</v>
      </c>
      <c r="F1993" s="85">
        <f>STATS1003B!F1997/1000</f>
        <v>375.56099999999998</v>
      </c>
      <c r="G1993" s="85">
        <f>STATS1003B!G1997/1000</f>
        <v>0</v>
      </c>
      <c r="H1993" s="85">
        <f>STATS1003B!H1997/1000</f>
        <v>375.56099999999998</v>
      </c>
      <c r="I1993" s="85">
        <f>STATS1003B!I1997/1000</f>
        <v>0</v>
      </c>
      <c r="J1993" s="85">
        <f>STATS1003B!J1997/1000</f>
        <v>0</v>
      </c>
      <c r="K1993" s="85">
        <f>STATS1003B!K1997/1000</f>
        <v>0</v>
      </c>
      <c r="L1993" s="85">
        <f>STATS1003B!L1997/1000</f>
        <v>0</v>
      </c>
      <c r="M1993" s="85">
        <f>STATS1003B!M1997/1000</f>
        <v>375.56099999999998</v>
      </c>
      <c r="N1993" s="85">
        <f>STATS1003B!N1997/1000</f>
        <v>0</v>
      </c>
      <c r="O1993" s="85">
        <f>STATS1003B!O1997/1000</f>
        <v>0</v>
      </c>
      <c r="P1993" s="85">
        <f>STATS1003B!P1997/1000</f>
        <v>0</v>
      </c>
      <c r="Q1993" s="85">
        <f>STATS1003B!Q1997/1000</f>
        <v>0</v>
      </c>
      <c r="R1993" s="85">
        <f>STATS1003B!R1997/1000</f>
        <v>0</v>
      </c>
      <c r="S1993" s="85">
        <f>STATS1003B!S1997/1000</f>
        <v>0</v>
      </c>
      <c r="T1993" s="85">
        <f>STATS1003B!T1997/1000</f>
        <v>0</v>
      </c>
      <c r="U1993" s="85">
        <f>STATS1003B!U1997/1000</f>
        <v>0</v>
      </c>
      <c r="V1993" s="85">
        <f>STATS1003B!V1997/1000</f>
        <v>375.56099999999998</v>
      </c>
      <c r="W1993" s="85">
        <f>STATS1003B!W1997/1000</f>
        <v>0</v>
      </c>
      <c r="X1993" s="85">
        <f t="shared" si="222"/>
        <v>375.56099999999998</v>
      </c>
      <c r="Y1993" s="85">
        <f>STATS1003B!Y1997/1000</f>
        <v>0</v>
      </c>
      <c r="Z1993" s="85">
        <f>STATS1003B!Z1997/1000</f>
        <v>0</v>
      </c>
      <c r="AA1993" s="69">
        <f>STATS1003B!AA1997/1000</f>
        <v>375.56099999999998</v>
      </c>
      <c r="AB1993" s="69">
        <f>STATS1003B!AB1997/1000</f>
        <v>0</v>
      </c>
    </row>
    <row r="1994" spans="1:28" hidden="1" x14ac:dyDescent="0.3">
      <c r="A1994" s="117"/>
      <c r="C1994" s="68" t="s">
        <v>358</v>
      </c>
      <c r="D1994" s="145" t="s">
        <v>128</v>
      </c>
      <c r="E1994" s="85">
        <f>STATS1003B!E1998/1000</f>
        <v>120</v>
      </c>
      <c r="F1994" s="85">
        <f>STATS1003B!F1998/1000</f>
        <v>120</v>
      </c>
      <c r="G1994" s="85">
        <f>STATS1003B!G1998/1000</f>
        <v>0</v>
      </c>
      <c r="H1994" s="85">
        <f>STATS1003B!H1998/1000</f>
        <v>120</v>
      </c>
      <c r="I1994" s="85">
        <f>STATS1003B!I1998/1000</f>
        <v>0</v>
      </c>
      <c r="J1994" s="85">
        <f>STATS1003B!J1998/1000</f>
        <v>0</v>
      </c>
      <c r="K1994" s="85">
        <f>STATS1003B!K1998/1000</f>
        <v>0</v>
      </c>
      <c r="L1994" s="85">
        <f>STATS1003B!L1998/1000</f>
        <v>0</v>
      </c>
      <c r="M1994" s="85">
        <f>STATS1003B!M1998/1000</f>
        <v>120</v>
      </c>
      <c r="N1994" s="85">
        <f>STATS1003B!N1998/1000</f>
        <v>0</v>
      </c>
      <c r="O1994" s="85">
        <f>STATS1003B!O1998/1000</f>
        <v>0</v>
      </c>
      <c r="P1994" s="85">
        <f>STATS1003B!P1998/1000</f>
        <v>0</v>
      </c>
      <c r="Q1994" s="85">
        <f>STATS1003B!Q1998/1000</f>
        <v>0</v>
      </c>
      <c r="R1994" s="85">
        <f>STATS1003B!R1998/1000</f>
        <v>0</v>
      </c>
      <c r="S1994" s="85">
        <f>STATS1003B!S1998/1000</f>
        <v>0</v>
      </c>
      <c r="T1994" s="85">
        <f>STATS1003B!T1998/1000</f>
        <v>0</v>
      </c>
      <c r="U1994" s="85">
        <f>STATS1003B!U1998/1000</f>
        <v>0</v>
      </c>
      <c r="V1994" s="85">
        <f>STATS1003B!V1998/1000</f>
        <v>120</v>
      </c>
      <c r="W1994" s="85">
        <f>STATS1003B!W1998/1000</f>
        <v>0</v>
      </c>
      <c r="X1994" s="85">
        <f t="shared" si="222"/>
        <v>120</v>
      </c>
      <c r="Y1994" s="85">
        <f>STATS1003B!Y1998/1000</f>
        <v>0</v>
      </c>
      <c r="Z1994" s="85">
        <f>STATS1003B!Z1998/1000</f>
        <v>0</v>
      </c>
      <c r="AA1994" s="69">
        <f>STATS1003B!AA1998/1000</f>
        <v>120</v>
      </c>
      <c r="AB1994" s="69">
        <f>STATS1003B!AB1998/1000</f>
        <v>0</v>
      </c>
    </row>
    <row r="1995" spans="1:28" hidden="1" x14ac:dyDescent="0.3">
      <c r="A1995" s="117"/>
      <c r="C1995" s="68" t="s">
        <v>359</v>
      </c>
      <c r="D1995" s="145" t="s">
        <v>128</v>
      </c>
      <c r="E1995" s="85">
        <f>STATS1003B!E1999/1000</f>
        <v>80</v>
      </c>
      <c r="F1995" s="85">
        <f>STATS1003B!F1999/1000</f>
        <v>0</v>
      </c>
      <c r="G1995" s="85">
        <f>STATS1003B!G1999/1000</f>
        <v>0</v>
      </c>
      <c r="H1995" s="85">
        <f>STATS1003B!H1999/1000</f>
        <v>0</v>
      </c>
      <c r="I1995" s="85">
        <f>STATS1003B!I1999/1000</f>
        <v>0</v>
      </c>
      <c r="J1995" s="85">
        <f>STATS1003B!J1999/1000</f>
        <v>0</v>
      </c>
      <c r="K1995" s="85">
        <f>STATS1003B!K1999/1000</f>
        <v>0</v>
      </c>
      <c r="L1995" s="85">
        <f>STATS1003B!L1999/1000</f>
        <v>0</v>
      </c>
      <c r="M1995" s="85">
        <f>STATS1003B!M1999/1000</f>
        <v>0</v>
      </c>
      <c r="N1995" s="85">
        <f>STATS1003B!N1999/1000</f>
        <v>0</v>
      </c>
      <c r="O1995" s="85">
        <f>STATS1003B!O1999/1000</f>
        <v>0</v>
      </c>
      <c r="P1995" s="85">
        <f>STATS1003B!P1999/1000</f>
        <v>0</v>
      </c>
      <c r="Q1995" s="85">
        <f>STATS1003B!Q1999/1000</f>
        <v>0</v>
      </c>
      <c r="R1995" s="85">
        <f>STATS1003B!R1999/1000</f>
        <v>0</v>
      </c>
      <c r="S1995" s="85">
        <f>STATS1003B!S1999/1000</f>
        <v>0</v>
      </c>
      <c r="T1995" s="85">
        <f>STATS1003B!T1999/1000</f>
        <v>0</v>
      </c>
      <c r="U1995" s="85">
        <f>STATS1003B!U1999/1000</f>
        <v>0</v>
      </c>
      <c r="V1995" s="85">
        <f>STATS1003B!V1999/1000</f>
        <v>0</v>
      </c>
      <c r="W1995" s="85">
        <f>STATS1003B!W1999/1000</f>
        <v>80</v>
      </c>
      <c r="X1995" s="85">
        <f t="shared" si="222"/>
        <v>0</v>
      </c>
      <c r="Y1995" s="85">
        <f>STATS1003B!Y1999/1000</f>
        <v>0</v>
      </c>
      <c r="Z1995" s="85">
        <f>STATS1003B!Z1999/1000</f>
        <v>80</v>
      </c>
      <c r="AA1995" s="69">
        <f>STATS1003B!AA1999/1000</f>
        <v>0</v>
      </c>
      <c r="AB1995" s="69">
        <f>STATS1003B!AB1999/1000</f>
        <v>80</v>
      </c>
    </row>
    <row r="1996" spans="1:28" hidden="1" x14ac:dyDescent="0.3">
      <c r="A1996" s="117"/>
      <c r="C1996" s="68" t="s">
        <v>55</v>
      </c>
      <c r="D1996" s="145" t="s">
        <v>88</v>
      </c>
      <c r="E1996" s="85">
        <f>STATS1003B!E2000/1000</f>
        <v>1576.7551899999999</v>
      </c>
      <c r="F1996" s="85">
        <f>STATS1003B!F2000/1000</f>
        <v>0</v>
      </c>
      <c r="G1996" s="85">
        <f>STATS1003B!G2000/1000</f>
        <v>0</v>
      </c>
      <c r="H1996" s="85">
        <f>STATS1003B!H2000/1000</f>
        <v>0</v>
      </c>
      <c r="I1996" s="85">
        <f>STATS1003B!I2000/1000</f>
        <v>0</v>
      </c>
      <c r="J1996" s="85">
        <f>STATS1003B!J2000/1000</f>
        <v>0</v>
      </c>
      <c r="K1996" s="85">
        <f>STATS1003B!K2000/1000</f>
        <v>0</v>
      </c>
      <c r="L1996" s="85">
        <f>STATS1003B!L2000/1000</f>
        <v>0</v>
      </c>
      <c r="M1996" s="85">
        <f>STATS1003B!M2000/1000</f>
        <v>0</v>
      </c>
      <c r="N1996" s="85">
        <f>STATS1003B!N2000/1000</f>
        <v>1576.7551899999999</v>
      </c>
      <c r="O1996" s="85">
        <f>STATS1003B!O2000/1000</f>
        <v>0</v>
      </c>
      <c r="P1996" s="85">
        <f>STATS1003B!P2000/1000</f>
        <v>1576.7551899999999</v>
      </c>
      <c r="Q1996" s="85">
        <f>STATS1003B!Q2000/1000</f>
        <v>0</v>
      </c>
      <c r="R1996" s="85">
        <f>STATS1003B!R2000/1000</f>
        <v>0</v>
      </c>
      <c r="S1996" s="85">
        <f>STATS1003B!S2000/1000</f>
        <v>0</v>
      </c>
      <c r="T1996" s="85">
        <f>STATS1003B!T2000/1000</f>
        <v>0</v>
      </c>
      <c r="U1996" s="85">
        <f>STATS1003B!U2000/1000</f>
        <v>1576.7551899999999</v>
      </c>
      <c r="V1996" s="85">
        <f>STATS1003B!V2000/1000</f>
        <v>1576.7551899999999</v>
      </c>
      <c r="W1996" s="85">
        <f>STATS1003B!W2000/1000</f>
        <v>0</v>
      </c>
      <c r="X1996" s="85">
        <f t="shared" si="222"/>
        <v>1576.7551899999999</v>
      </c>
      <c r="Y1996" s="85">
        <f>STATS1003B!Y2000/1000</f>
        <v>0</v>
      </c>
      <c r="Z1996" s="85">
        <f>STATS1003B!Z2000/1000</f>
        <v>0</v>
      </c>
      <c r="AA1996" s="69">
        <f>STATS1003B!AA2000/1000</f>
        <v>1576.7551899999999</v>
      </c>
      <c r="AB1996" s="69">
        <f>STATS1003B!AB2000/1000</f>
        <v>0</v>
      </c>
    </row>
    <row r="1997" spans="1:28" hidden="1" x14ac:dyDescent="0.3">
      <c r="A1997" s="117"/>
      <c r="C1997" s="68" t="s">
        <v>360</v>
      </c>
      <c r="D1997" s="145" t="s">
        <v>108</v>
      </c>
      <c r="E1997" s="85">
        <f>STATS1003B!E2001/1000</f>
        <v>550</v>
      </c>
      <c r="F1997" s="85">
        <f>STATS1003B!F2001/1000</f>
        <v>550</v>
      </c>
      <c r="G1997" s="85">
        <f>STATS1003B!G2001/1000</f>
        <v>0</v>
      </c>
      <c r="H1997" s="85">
        <f>STATS1003B!H2001/1000</f>
        <v>550</v>
      </c>
      <c r="I1997" s="85">
        <f>STATS1003B!I2001/1000</f>
        <v>0</v>
      </c>
      <c r="J1997" s="85">
        <f>STATS1003B!J2001/1000</f>
        <v>0</v>
      </c>
      <c r="K1997" s="85">
        <f>STATS1003B!K2001/1000</f>
        <v>0</v>
      </c>
      <c r="L1997" s="85">
        <f>STATS1003B!L2001/1000</f>
        <v>0</v>
      </c>
      <c r="M1997" s="85">
        <f>STATS1003B!M2001/1000</f>
        <v>550</v>
      </c>
      <c r="N1997" s="85">
        <f>STATS1003B!N2001/1000</f>
        <v>0</v>
      </c>
      <c r="O1997" s="85">
        <f>STATS1003B!O2001/1000</f>
        <v>0</v>
      </c>
      <c r="P1997" s="85">
        <f>STATS1003B!P2001/1000</f>
        <v>0</v>
      </c>
      <c r="Q1997" s="85">
        <f>STATS1003B!Q2001/1000</f>
        <v>0</v>
      </c>
      <c r="R1997" s="85">
        <f>STATS1003B!R2001/1000</f>
        <v>0</v>
      </c>
      <c r="S1997" s="85">
        <f>STATS1003B!S2001/1000</f>
        <v>0</v>
      </c>
      <c r="T1997" s="85">
        <f>STATS1003B!T2001/1000</f>
        <v>0</v>
      </c>
      <c r="U1997" s="85">
        <f>STATS1003B!U2001/1000</f>
        <v>0</v>
      </c>
      <c r="V1997" s="85">
        <f>STATS1003B!V2001/1000</f>
        <v>550</v>
      </c>
      <c r="W1997" s="85">
        <f>STATS1003B!W2001/1000</f>
        <v>0</v>
      </c>
      <c r="X1997" s="85">
        <f t="shared" si="222"/>
        <v>550</v>
      </c>
      <c r="Y1997" s="85">
        <f>STATS1003B!Y2001/1000</f>
        <v>0</v>
      </c>
      <c r="Z1997" s="85">
        <f>STATS1003B!Z2001/1000</f>
        <v>0</v>
      </c>
      <c r="AA1997" s="69">
        <f>STATS1003B!AA2001/1000</f>
        <v>550</v>
      </c>
      <c r="AB1997" s="69">
        <f>STATS1003B!AB2001/1000</f>
        <v>0</v>
      </c>
    </row>
    <row r="1998" spans="1:28" hidden="1" x14ac:dyDescent="0.3">
      <c r="A1998" s="117"/>
      <c r="C1998" s="68" t="s">
        <v>57</v>
      </c>
      <c r="D1998" s="145" t="s">
        <v>58</v>
      </c>
      <c r="E1998" s="85">
        <f>STATS1003B!E2002/1000</f>
        <v>3278.34</v>
      </c>
      <c r="F1998" s="85">
        <f>STATS1003B!F2002/1000</f>
        <v>3278.34</v>
      </c>
      <c r="G1998" s="85">
        <f>STATS1003B!G2002/1000</f>
        <v>0</v>
      </c>
      <c r="H1998" s="85">
        <f>STATS1003B!H2002/1000</f>
        <v>3278.34</v>
      </c>
      <c r="I1998" s="85">
        <f>STATS1003B!I2002/1000</f>
        <v>0</v>
      </c>
      <c r="J1998" s="85">
        <f>STATS1003B!J2002/1000</f>
        <v>0</v>
      </c>
      <c r="K1998" s="85">
        <f>STATS1003B!K2002/1000</f>
        <v>0</v>
      </c>
      <c r="L1998" s="85">
        <f>STATS1003B!L2002/1000</f>
        <v>0</v>
      </c>
      <c r="M1998" s="85">
        <f>STATS1003B!M2002/1000</f>
        <v>3278.34</v>
      </c>
      <c r="N1998" s="85">
        <f>STATS1003B!N2002/1000</f>
        <v>0</v>
      </c>
      <c r="O1998" s="85">
        <f>STATS1003B!O2002/1000</f>
        <v>0</v>
      </c>
      <c r="P1998" s="85">
        <f>STATS1003B!P2002/1000</f>
        <v>0</v>
      </c>
      <c r="Q1998" s="85">
        <f>STATS1003B!Q2002/1000</f>
        <v>0</v>
      </c>
      <c r="R1998" s="85">
        <f>STATS1003B!R2002/1000</f>
        <v>0</v>
      </c>
      <c r="S1998" s="85">
        <f>STATS1003B!S2002/1000</f>
        <v>0</v>
      </c>
      <c r="T1998" s="85">
        <f>STATS1003B!T2002/1000</f>
        <v>0</v>
      </c>
      <c r="U1998" s="85">
        <f>STATS1003B!U2002/1000</f>
        <v>0</v>
      </c>
      <c r="V1998" s="85">
        <f>STATS1003B!V2002/1000</f>
        <v>3278.34</v>
      </c>
      <c r="W1998" s="85">
        <f>STATS1003B!W2002/1000</f>
        <v>0</v>
      </c>
      <c r="X1998" s="85">
        <f t="shared" si="222"/>
        <v>3278.34</v>
      </c>
      <c r="Y1998" s="85">
        <f>STATS1003B!Y2002/1000</f>
        <v>0</v>
      </c>
      <c r="Z1998" s="85">
        <f>STATS1003B!Z2002/1000</f>
        <v>0</v>
      </c>
      <c r="AA1998" s="69">
        <f>STATS1003B!AA2002/1000</f>
        <v>3278.34</v>
      </c>
      <c r="AB1998" s="69">
        <f>STATS1003B!AB2002/1000</f>
        <v>0</v>
      </c>
    </row>
    <row r="1999" spans="1:28" hidden="1" x14ac:dyDescent="0.3">
      <c r="A1999" s="117"/>
      <c r="C1999" s="71" t="s">
        <v>109</v>
      </c>
      <c r="D1999" s="88" t="s">
        <v>60</v>
      </c>
      <c r="E1999" s="85">
        <f>STATS1003B!E2003/1000</f>
        <v>7500</v>
      </c>
      <c r="F1999" s="85">
        <f>STATS1003B!F2003/1000</f>
        <v>7500</v>
      </c>
      <c r="G1999" s="85">
        <f>STATS1003B!G2003/1000</f>
        <v>0</v>
      </c>
      <c r="H1999" s="85">
        <f>STATS1003B!H2003/1000</f>
        <v>7500</v>
      </c>
      <c r="I1999" s="85">
        <f>STATS1003B!I2003/1000</f>
        <v>0</v>
      </c>
      <c r="J1999" s="85">
        <f>STATS1003B!J2003/1000</f>
        <v>0</v>
      </c>
      <c r="K1999" s="85">
        <f>STATS1003B!K2003/1000</f>
        <v>0</v>
      </c>
      <c r="L1999" s="85">
        <f>STATS1003B!L2003/1000</f>
        <v>0</v>
      </c>
      <c r="M1999" s="85">
        <f>STATS1003B!M2003/1000</f>
        <v>7500</v>
      </c>
      <c r="N1999" s="85">
        <f>STATS1003B!N2003/1000</f>
        <v>0</v>
      </c>
      <c r="O1999" s="85">
        <f>STATS1003B!O2003/1000</f>
        <v>0</v>
      </c>
      <c r="P1999" s="85">
        <f>STATS1003B!P2003/1000</f>
        <v>0</v>
      </c>
      <c r="Q1999" s="85">
        <f>STATS1003B!Q2003/1000</f>
        <v>0</v>
      </c>
      <c r="R1999" s="85">
        <f>STATS1003B!R2003/1000</f>
        <v>0</v>
      </c>
      <c r="S1999" s="85">
        <f>STATS1003B!S2003/1000</f>
        <v>0</v>
      </c>
      <c r="T1999" s="85">
        <f>STATS1003B!T2003/1000</f>
        <v>0</v>
      </c>
      <c r="U1999" s="85">
        <f>STATS1003B!U2003/1000</f>
        <v>0</v>
      </c>
      <c r="V1999" s="85">
        <f>STATS1003B!V2003/1000</f>
        <v>7500</v>
      </c>
      <c r="W1999" s="85">
        <f>STATS1003B!W2003/1000</f>
        <v>0</v>
      </c>
      <c r="X1999" s="85">
        <f t="shared" si="222"/>
        <v>7500</v>
      </c>
      <c r="Y1999" s="85">
        <f>STATS1003B!Y2003/1000</f>
        <v>0</v>
      </c>
      <c r="Z1999" s="85">
        <f>STATS1003B!Z2003/1000</f>
        <v>0</v>
      </c>
      <c r="AA1999" s="69">
        <f>STATS1003B!AA2003/1000</f>
        <v>7500</v>
      </c>
      <c r="AB1999" s="69">
        <f>STATS1003B!AB2003/1000</f>
        <v>0</v>
      </c>
    </row>
    <row r="2000" spans="1:28" hidden="1" x14ac:dyDescent="0.3">
      <c r="A2000" s="117"/>
      <c r="C2000" s="68" t="s">
        <v>69</v>
      </c>
      <c r="E2000" s="85">
        <f>STATS1003B!E2004/1000</f>
        <v>955.34561999999994</v>
      </c>
      <c r="F2000" s="85">
        <f>STATS1003B!F2004/1000</f>
        <v>0</v>
      </c>
      <c r="G2000" s="85">
        <f>STATS1003B!G2004/1000</f>
        <v>0</v>
      </c>
      <c r="H2000" s="85">
        <f>STATS1003B!H2004/1000</f>
        <v>0</v>
      </c>
      <c r="I2000" s="85">
        <f>STATS1003B!I2004/1000</f>
        <v>0</v>
      </c>
      <c r="J2000" s="85">
        <f>STATS1003B!J2004/1000</f>
        <v>0</v>
      </c>
      <c r="K2000" s="85">
        <f>STATS1003B!K2004/1000</f>
        <v>0</v>
      </c>
      <c r="L2000" s="85">
        <f>STATS1003B!L2004/1000</f>
        <v>0</v>
      </c>
      <c r="M2000" s="85">
        <f>STATS1003B!M2004/1000</f>
        <v>0</v>
      </c>
      <c r="N2000" s="85">
        <f>STATS1003B!N2004/1000</f>
        <v>955.34561999999994</v>
      </c>
      <c r="O2000" s="85">
        <f>STATS1003B!O2004/1000</f>
        <v>0</v>
      </c>
      <c r="P2000" s="85">
        <f>STATS1003B!P2004/1000</f>
        <v>955.34561999999994</v>
      </c>
      <c r="Q2000" s="85">
        <f>STATS1003B!Q2004/1000</f>
        <v>0</v>
      </c>
      <c r="R2000" s="85">
        <f>STATS1003B!R2004/1000</f>
        <v>0</v>
      </c>
      <c r="S2000" s="85">
        <f>STATS1003B!S2004/1000</f>
        <v>0</v>
      </c>
      <c r="T2000" s="85">
        <f>STATS1003B!T2004/1000</f>
        <v>0</v>
      </c>
      <c r="U2000" s="85">
        <f>STATS1003B!U2004/1000</f>
        <v>955.34561999999994</v>
      </c>
      <c r="V2000" s="85">
        <f>STATS1003B!V2004/1000</f>
        <v>955.34561999999994</v>
      </c>
      <c r="W2000" s="85">
        <f>STATS1003B!W2004/1000</f>
        <v>0</v>
      </c>
      <c r="X2000" s="85">
        <f t="shared" si="222"/>
        <v>955.34561999999994</v>
      </c>
      <c r="Y2000" s="85">
        <f>STATS1003B!Y2004/1000</f>
        <v>0</v>
      </c>
      <c r="Z2000" s="85">
        <f>STATS1003B!Z2004/1000</f>
        <v>0</v>
      </c>
      <c r="AA2000" s="69">
        <f>STATS1003B!AA2004/1000</f>
        <v>955.34561999999994</v>
      </c>
      <c r="AB2000" s="69">
        <f>STATS1003B!AB2004/1000</f>
        <v>0</v>
      </c>
    </row>
    <row r="2001" spans="1:28" hidden="1" x14ac:dyDescent="0.3">
      <c r="A2001" s="117"/>
      <c r="C2001" s="68" t="s">
        <v>57</v>
      </c>
      <c r="D2001" s="145" t="s">
        <v>60</v>
      </c>
      <c r="E2001" s="85">
        <f>STATS1003B!E2005/1000</f>
        <v>10000</v>
      </c>
      <c r="F2001" s="85">
        <f>STATS1003B!F2005/1000</f>
        <v>10000</v>
      </c>
      <c r="G2001" s="85">
        <f>STATS1003B!G2005/1000</f>
        <v>0</v>
      </c>
      <c r="H2001" s="85">
        <f>STATS1003B!H2005/1000</f>
        <v>10000</v>
      </c>
      <c r="I2001" s="85">
        <f>STATS1003B!I2005/1000</f>
        <v>0</v>
      </c>
      <c r="J2001" s="85">
        <f>STATS1003B!J2005/1000</f>
        <v>0</v>
      </c>
      <c r="K2001" s="85">
        <f>STATS1003B!K2005/1000</f>
        <v>0</v>
      </c>
      <c r="L2001" s="85">
        <f>STATS1003B!L2005/1000</f>
        <v>0</v>
      </c>
      <c r="M2001" s="85">
        <f>STATS1003B!M2005/1000</f>
        <v>10000</v>
      </c>
      <c r="N2001" s="85">
        <f>STATS1003B!N2005/1000</f>
        <v>0</v>
      </c>
      <c r="O2001" s="85">
        <f>STATS1003B!O2005/1000</f>
        <v>0</v>
      </c>
      <c r="P2001" s="85">
        <f>STATS1003B!P2005/1000</f>
        <v>0</v>
      </c>
      <c r="Q2001" s="85">
        <f>STATS1003B!Q2005/1000</f>
        <v>0</v>
      </c>
      <c r="R2001" s="85">
        <f>STATS1003B!R2005/1000</f>
        <v>0</v>
      </c>
      <c r="S2001" s="85">
        <f>STATS1003B!S2005/1000</f>
        <v>0</v>
      </c>
      <c r="T2001" s="85">
        <f>STATS1003B!T2005/1000</f>
        <v>0</v>
      </c>
      <c r="U2001" s="85">
        <f>STATS1003B!U2005/1000</f>
        <v>0</v>
      </c>
      <c r="V2001" s="85">
        <f>STATS1003B!V2005/1000</f>
        <v>10000</v>
      </c>
      <c r="W2001" s="85">
        <f>STATS1003B!W2005/1000</f>
        <v>0</v>
      </c>
      <c r="X2001" s="85">
        <f t="shared" si="222"/>
        <v>10000</v>
      </c>
      <c r="Y2001" s="85">
        <f>STATS1003B!Y2005/1000</f>
        <v>0</v>
      </c>
      <c r="Z2001" s="85">
        <f>STATS1003B!Z2005/1000</f>
        <v>0</v>
      </c>
      <c r="AA2001" s="69">
        <f>STATS1003B!AA2005/1000</f>
        <v>10000</v>
      </c>
      <c r="AB2001" s="69">
        <f>STATS1003B!AB2005/1000</f>
        <v>0</v>
      </c>
    </row>
    <row r="2002" spans="1:28" hidden="1" x14ac:dyDescent="0.3">
      <c r="A2002" s="117"/>
      <c r="C2002" s="68" t="s">
        <v>57</v>
      </c>
      <c r="D2002" s="145" t="s">
        <v>73</v>
      </c>
      <c r="E2002" s="85">
        <f>STATS1003B!E2006/1000</f>
        <v>15107.577140000001</v>
      </c>
      <c r="F2002" s="85">
        <f>STATS1003B!F2006/1000</f>
        <v>15107.577140000001</v>
      </c>
      <c r="G2002" s="85">
        <f>STATS1003B!G2006/1000</f>
        <v>0</v>
      </c>
      <c r="H2002" s="85">
        <f>STATS1003B!H2006/1000</f>
        <v>15107.577140000001</v>
      </c>
      <c r="I2002" s="85">
        <f>STATS1003B!I2006/1000</f>
        <v>0</v>
      </c>
      <c r="J2002" s="85">
        <f>STATS1003B!J2006/1000</f>
        <v>0</v>
      </c>
      <c r="K2002" s="85">
        <f>STATS1003B!K2006/1000</f>
        <v>0</v>
      </c>
      <c r="L2002" s="85">
        <f>STATS1003B!L2006/1000</f>
        <v>0</v>
      </c>
      <c r="M2002" s="85">
        <f>STATS1003B!M2006/1000</f>
        <v>15107.577140000001</v>
      </c>
      <c r="N2002" s="85">
        <f>STATS1003B!N2006/1000</f>
        <v>0</v>
      </c>
      <c r="O2002" s="85">
        <f>STATS1003B!O2006/1000</f>
        <v>0</v>
      </c>
      <c r="P2002" s="85">
        <f>STATS1003B!P2006/1000</f>
        <v>0</v>
      </c>
      <c r="Q2002" s="85">
        <f>STATS1003B!Q2006/1000</f>
        <v>0</v>
      </c>
      <c r="R2002" s="85">
        <f>STATS1003B!R2006/1000</f>
        <v>0</v>
      </c>
      <c r="S2002" s="85">
        <f>STATS1003B!S2006/1000</f>
        <v>0</v>
      </c>
      <c r="T2002" s="85">
        <f>STATS1003B!T2006/1000</f>
        <v>0</v>
      </c>
      <c r="U2002" s="85">
        <f>STATS1003B!U2006/1000</f>
        <v>0</v>
      </c>
      <c r="V2002" s="85">
        <f>STATS1003B!V2006/1000</f>
        <v>15107.577140000001</v>
      </c>
      <c r="W2002" s="85">
        <f>STATS1003B!W2006/1000</f>
        <v>0</v>
      </c>
      <c r="X2002" s="85">
        <f t="shared" si="222"/>
        <v>15107.577140000001</v>
      </c>
      <c r="Y2002" s="85">
        <f>STATS1003B!Y2006/1000</f>
        <v>0</v>
      </c>
      <c r="Z2002" s="85">
        <f>STATS1003B!Z2006/1000</f>
        <v>0</v>
      </c>
      <c r="AA2002" s="69">
        <f>STATS1003B!AA2006/1000</f>
        <v>15107.577140000001</v>
      </c>
      <c r="AB2002" s="69">
        <f>STATS1003B!AB2006/1000</f>
        <v>0</v>
      </c>
    </row>
    <row r="2003" spans="1:28" hidden="1" x14ac:dyDescent="0.3">
      <c r="A2003" s="117"/>
      <c r="C2003" s="68" t="s">
        <v>1065</v>
      </c>
      <c r="D2003" s="145"/>
      <c r="E2003" s="85">
        <f>STATS1003B!E2007/1000</f>
        <v>700</v>
      </c>
      <c r="F2003" s="85">
        <f>STATS1003B!F2007/1000</f>
        <v>700</v>
      </c>
      <c r="G2003" s="85">
        <f>STATS1003B!G2007/1000</f>
        <v>0</v>
      </c>
      <c r="H2003" s="85">
        <f>STATS1003B!H2007/1000</f>
        <v>700</v>
      </c>
      <c r="I2003" s="85">
        <f>STATS1003B!I2007/1000</f>
        <v>0</v>
      </c>
      <c r="J2003" s="85">
        <f>STATS1003B!J2007/1000</f>
        <v>0</v>
      </c>
      <c r="K2003" s="85">
        <f>STATS1003B!K2007/1000</f>
        <v>0</v>
      </c>
      <c r="L2003" s="85">
        <f>STATS1003B!L2007/1000</f>
        <v>0</v>
      </c>
      <c r="M2003" s="85">
        <f>STATS1003B!M2007/1000</f>
        <v>700</v>
      </c>
      <c r="N2003" s="85">
        <f>STATS1003B!N2007/1000</f>
        <v>0</v>
      </c>
      <c r="O2003" s="85">
        <f>STATS1003B!O2007/1000</f>
        <v>0</v>
      </c>
      <c r="P2003" s="85">
        <f>STATS1003B!P2007/1000</f>
        <v>0</v>
      </c>
      <c r="Q2003" s="85">
        <f>STATS1003B!Q2007/1000</f>
        <v>0</v>
      </c>
      <c r="R2003" s="85">
        <f>STATS1003B!R2007/1000</f>
        <v>0</v>
      </c>
      <c r="S2003" s="85">
        <f>STATS1003B!S2007/1000</f>
        <v>0</v>
      </c>
      <c r="T2003" s="85">
        <f>STATS1003B!T2007/1000</f>
        <v>0</v>
      </c>
      <c r="U2003" s="85">
        <f>STATS1003B!U2007/1000</f>
        <v>0</v>
      </c>
      <c r="V2003" s="85">
        <f>STATS1003B!V2007/1000</f>
        <v>700</v>
      </c>
      <c r="W2003" s="85">
        <f>STATS1003B!W2007/1000</f>
        <v>0</v>
      </c>
      <c r="X2003" s="85">
        <f t="shared" si="222"/>
        <v>700</v>
      </c>
      <c r="Y2003" s="85">
        <f>STATS1003B!Y2007/1000</f>
        <v>0</v>
      </c>
      <c r="Z2003" s="85">
        <f>STATS1003B!Z2007/1000</f>
        <v>0</v>
      </c>
      <c r="AA2003" s="69">
        <f>STATS1003B!AA2007/1000</f>
        <v>700</v>
      </c>
      <c r="AB2003" s="69">
        <f>STATS1003B!AB2007/1000</f>
        <v>0</v>
      </c>
    </row>
    <row r="2004" spans="1:28" hidden="1" x14ac:dyDescent="0.3">
      <c r="A2004" s="117"/>
      <c r="C2004" s="68" t="s">
        <v>924</v>
      </c>
      <c r="D2004" s="145"/>
      <c r="E2004" s="85">
        <f>STATS1003B!E2008/1000</f>
        <v>109.08654</v>
      </c>
      <c r="F2004" s="85">
        <f>STATS1003B!F2008/1000</f>
        <v>0</v>
      </c>
      <c r="G2004" s="85">
        <f>STATS1003B!G2008/1000</f>
        <v>0</v>
      </c>
      <c r="H2004" s="85">
        <f>STATS1003B!H2008/1000</f>
        <v>0</v>
      </c>
      <c r="I2004" s="85">
        <f>STATS1003B!I2008/1000</f>
        <v>0</v>
      </c>
      <c r="J2004" s="85">
        <f>STATS1003B!J2008/1000</f>
        <v>0</v>
      </c>
      <c r="K2004" s="85">
        <f>STATS1003B!K2008/1000</f>
        <v>0</v>
      </c>
      <c r="L2004" s="85">
        <f>STATS1003B!L2008/1000</f>
        <v>0</v>
      </c>
      <c r="M2004" s="85">
        <f>STATS1003B!M2008/1000</f>
        <v>0</v>
      </c>
      <c r="N2004" s="85">
        <f>STATS1003B!N2008/1000</f>
        <v>109.08654</v>
      </c>
      <c r="O2004" s="85">
        <f>STATS1003B!O2008/1000</f>
        <v>0</v>
      </c>
      <c r="P2004" s="85">
        <f>STATS1003B!P2008/1000</f>
        <v>109.08654</v>
      </c>
      <c r="Q2004" s="85">
        <f>STATS1003B!Q2008/1000</f>
        <v>0</v>
      </c>
      <c r="R2004" s="85">
        <f>STATS1003B!R2008/1000</f>
        <v>0</v>
      </c>
      <c r="S2004" s="85">
        <f>STATS1003B!S2008/1000</f>
        <v>0</v>
      </c>
      <c r="T2004" s="85">
        <f>STATS1003B!T2008/1000</f>
        <v>0</v>
      </c>
      <c r="U2004" s="85">
        <f>STATS1003B!U2008/1000</f>
        <v>109.08654</v>
      </c>
      <c r="V2004" s="85">
        <f>STATS1003B!V2008/1000</f>
        <v>0</v>
      </c>
      <c r="W2004" s="85">
        <f>STATS1003B!W2008/1000</f>
        <v>0</v>
      </c>
      <c r="X2004" s="85">
        <f t="shared" si="222"/>
        <v>109.08654</v>
      </c>
      <c r="Y2004" s="85">
        <f>STATS1003B!Y2008/1000</f>
        <v>0</v>
      </c>
      <c r="Z2004" s="85">
        <f>STATS1003B!Z2008/1000</f>
        <v>0</v>
      </c>
      <c r="AA2004" s="69">
        <f>STATS1003B!AA2008/1000</f>
        <v>109.08654</v>
      </c>
      <c r="AB2004" s="69">
        <f>STATS1003B!AB2008/1000</f>
        <v>0</v>
      </c>
    </row>
    <row r="2005" spans="1:28" hidden="1" x14ac:dyDescent="0.3">
      <c r="A2005" s="117"/>
      <c r="C2005" s="68" t="s">
        <v>930</v>
      </c>
      <c r="D2005" s="145"/>
      <c r="E2005" s="85">
        <f>STATS1003B!E2009/1000</f>
        <v>16274</v>
      </c>
      <c r="F2005" s="85">
        <f>STATS1003B!F2009/1000</f>
        <v>16274</v>
      </c>
      <c r="G2005" s="85">
        <f>STATS1003B!G2009/1000</f>
        <v>0</v>
      </c>
      <c r="H2005" s="85">
        <f>STATS1003B!H2009/1000</f>
        <v>16274</v>
      </c>
      <c r="I2005" s="85">
        <f>STATS1003B!I2009/1000</f>
        <v>0</v>
      </c>
      <c r="J2005" s="85">
        <f>STATS1003B!J2009/1000</f>
        <v>0</v>
      </c>
      <c r="K2005" s="85">
        <f>STATS1003B!K2009/1000</f>
        <v>0</v>
      </c>
      <c r="L2005" s="85">
        <f>STATS1003B!L2009/1000</f>
        <v>0</v>
      </c>
      <c r="M2005" s="85">
        <f>STATS1003B!M2009/1000</f>
        <v>16274</v>
      </c>
      <c r="N2005" s="85">
        <f>STATS1003B!N2009/1000</f>
        <v>0</v>
      </c>
      <c r="O2005" s="85">
        <f>STATS1003B!O2009/1000</f>
        <v>0</v>
      </c>
      <c r="P2005" s="85">
        <f>STATS1003B!P2009/1000</f>
        <v>0</v>
      </c>
      <c r="Q2005" s="85">
        <f>STATS1003B!Q2009/1000</f>
        <v>0</v>
      </c>
      <c r="R2005" s="85">
        <f>STATS1003B!R2009/1000</f>
        <v>0</v>
      </c>
      <c r="S2005" s="85">
        <f>STATS1003B!S2009/1000</f>
        <v>0</v>
      </c>
      <c r="T2005" s="85">
        <f>STATS1003B!T2009/1000</f>
        <v>0</v>
      </c>
      <c r="U2005" s="85">
        <f>STATS1003B!U2009/1000</f>
        <v>0</v>
      </c>
      <c r="V2005" s="85">
        <f>STATS1003B!V2009/1000</f>
        <v>0</v>
      </c>
      <c r="W2005" s="85">
        <f>STATS1003B!W2009/1000</f>
        <v>0</v>
      </c>
      <c r="X2005" s="85">
        <f t="shared" si="222"/>
        <v>16274</v>
      </c>
      <c r="Y2005" s="85">
        <f>STATS1003B!Y2009/1000</f>
        <v>0</v>
      </c>
      <c r="Z2005" s="85">
        <f>STATS1003B!Z2009/1000</f>
        <v>0</v>
      </c>
      <c r="AA2005" s="69">
        <f>STATS1003B!AA2009/1000</f>
        <v>16274</v>
      </c>
      <c r="AB2005" s="69">
        <f>STATS1003B!AB2009/1000</f>
        <v>0</v>
      </c>
    </row>
    <row r="2006" spans="1:28" hidden="1" x14ac:dyDescent="0.3">
      <c r="A2006" s="117"/>
      <c r="C2006" s="68" t="s">
        <v>1176</v>
      </c>
      <c r="D2006" s="90" t="s">
        <v>1126</v>
      </c>
      <c r="E2006" s="85">
        <f>STATS1003B!E2010/1000</f>
        <v>18292.896649999999</v>
      </c>
      <c r="F2006" s="85">
        <f>STATS1003B!F2010/1000</f>
        <v>18292.896649999999</v>
      </c>
      <c r="G2006" s="85">
        <f>STATS1003B!G2010/1000</f>
        <v>0</v>
      </c>
      <c r="H2006" s="85">
        <f>STATS1003B!H2010/1000</f>
        <v>18292.896649999999</v>
      </c>
      <c r="I2006" s="85">
        <f>STATS1003B!I2010/1000</f>
        <v>0</v>
      </c>
      <c r="J2006" s="85">
        <f>STATS1003B!J2010/1000</f>
        <v>0</v>
      </c>
      <c r="K2006" s="85">
        <f>STATS1003B!K2010/1000</f>
        <v>0</v>
      </c>
      <c r="L2006" s="85">
        <f>STATS1003B!L2010/1000</f>
        <v>0</v>
      </c>
      <c r="M2006" s="85">
        <f>STATS1003B!M2010/1000</f>
        <v>18292.896649999999</v>
      </c>
      <c r="N2006" s="85">
        <f>STATS1003B!N2010/1000</f>
        <v>0</v>
      </c>
      <c r="O2006" s="85">
        <f>STATS1003B!O2010/1000</f>
        <v>0</v>
      </c>
      <c r="P2006" s="85">
        <f>STATS1003B!P2010/1000</f>
        <v>0</v>
      </c>
      <c r="Q2006" s="85">
        <f>STATS1003B!Q2010/1000</f>
        <v>0</v>
      </c>
      <c r="R2006" s="85">
        <f>STATS1003B!R2010/1000</f>
        <v>0</v>
      </c>
      <c r="S2006" s="85">
        <f>STATS1003B!S2010/1000</f>
        <v>0</v>
      </c>
      <c r="T2006" s="85">
        <f>STATS1003B!T2010/1000</f>
        <v>0</v>
      </c>
      <c r="U2006" s="85">
        <f>STATS1003B!U2010/1000</f>
        <v>0</v>
      </c>
      <c r="V2006" s="85">
        <f>STATS1003B!V2010/1000</f>
        <v>0</v>
      </c>
      <c r="W2006" s="85">
        <f>STATS1003B!W2010/1000</f>
        <v>0</v>
      </c>
      <c r="X2006" s="85">
        <f t="shared" si="222"/>
        <v>18292.896649999999</v>
      </c>
      <c r="Y2006" s="85">
        <f>STATS1003B!Y2010/1000</f>
        <v>0</v>
      </c>
      <c r="Z2006" s="85">
        <f>STATS1003B!Z2010/1000</f>
        <v>0</v>
      </c>
      <c r="AA2006" s="69">
        <f>STATS1003B!AA2010/1000</f>
        <v>18292.896649999999</v>
      </c>
      <c r="AB2006" s="69">
        <f>STATS1003B!AB2010/1000</f>
        <v>0</v>
      </c>
    </row>
    <row r="2007" spans="1:28" hidden="1" x14ac:dyDescent="0.3">
      <c r="A2007" s="117"/>
      <c r="C2007" s="68" t="s">
        <v>1242</v>
      </c>
      <c r="D2007" s="90" t="s">
        <v>1225</v>
      </c>
      <c r="E2007" s="85">
        <f>STATS1003B!E2011/1000</f>
        <v>18788.08856</v>
      </c>
      <c r="F2007" s="85">
        <f>STATS1003B!F2011/1000</f>
        <v>0</v>
      </c>
      <c r="G2007" s="85">
        <f>STATS1003B!G2011/1000</f>
        <v>18788.08856</v>
      </c>
      <c r="H2007" s="85">
        <f>STATS1003B!H2011/1000</f>
        <v>18788.08856</v>
      </c>
      <c r="I2007" s="85">
        <f>STATS1003B!I2011/1000</f>
        <v>0</v>
      </c>
      <c r="J2007" s="85">
        <f>STATS1003B!J2011/1000</f>
        <v>0</v>
      </c>
      <c r="K2007" s="85">
        <f>STATS1003B!K2011/1000</f>
        <v>0</v>
      </c>
      <c r="L2007" s="85">
        <f>STATS1003B!L2011/1000</f>
        <v>0</v>
      </c>
      <c r="M2007" s="85">
        <f>STATS1003B!M2011/1000</f>
        <v>18788.08856</v>
      </c>
      <c r="N2007" s="85">
        <f>STATS1003B!N2011/1000</f>
        <v>0</v>
      </c>
      <c r="O2007" s="85">
        <f>STATS1003B!O2011/1000</f>
        <v>0</v>
      </c>
      <c r="P2007" s="85">
        <f>STATS1003B!P2011/1000</f>
        <v>0</v>
      </c>
      <c r="Q2007" s="85">
        <f>STATS1003B!Q2011/1000</f>
        <v>0</v>
      </c>
      <c r="R2007" s="85">
        <f>STATS1003B!R2011/1000</f>
        <v>0</v>
      </c>
      <c r="S2007" s="85">
        <f>STATS1003B!S2011/1000</f>
        <v>0</v>
      </c>
      <c r="T2007" s="85">
        <f>STATS1003B!T2011/1000</f>
        <v>0</v>
      </c>
      <c r="U2007" s="85">
        <f>STATS1003B!U2011/1000</f>
        <v>0</v>
      </c>
      <c r="V2007" s="85">
        <f>STATS1003B!V2011/1000</f>
        <v>0</v>
      </c>
      <c r="W2007" s="85">
        <f>STATS1003B!W2011/1000</f>
        <v>0</v>
      </c>
      <c r="X2007" s="85">
        <f t="shared" si="222"/>
        <v>18788.08856</v>
      </c>
      <c r="Y2007" s="85">
        <f>STATS1003B!Y2011/1000</f>
        <v>0</v>
      </c>
      <c r="Z2007" s="85">
        <f>STATS1003B!Z2011/1000</f>
        <v>0</v>
      </c>
      <c r="AA2007" s="69">
        <f>STATS1003B!AA2011/1000</f>
        <v>18788.08856</v>
      </c>
      <c r="AB2007" s="69">
        <f>STATS1003B!AB2011/1000</f>
        <v>0</v>
      </c>
    </row>
    <row r="2008" spans="1:28" hidden="1" x14ac:dyDescent="0.3">
      <c r="A2008" s="117"/>
      <c r="C2008" s="68" t="s">
        <v>1237</v>
      </c>
      <c r="D2008" s="90" t="s">
        <v>1225</v>
      </c>
      <c r="E2008" s="85">
        <f>STATS1003B!E2012/1000</f>
        <v>150</v>
      </c>
      <c r="F2008" s="85">
        <f>STATS1003B!F2012/1000</f>
        <v>150</v>
      </c>
      <c r="G2008" s="85">
        <f>STATS1003B!G2012/1000</f>
        <v>0</v>
      </c>
      <c r="H2008" s="85">
        <f>STATS1003B!H2012/1000</f>
        <v>150</v>
      </c>
      <c r="I2008" s="85">
        <f>STATS1003B!I2012/1000</f>
        <v>0</v>
      </c>
      <c r="J2008" s="85">
        <f>STATS1003B!J2012/1000</f>
        <v>0</v>
      </c>
      <c r="K2008" s="85">
        <f>STATS1003B!K2012/1000</f>
        <v>0</v>
      </c>
      <c r="L2008" s="85">
        <f>STATS1003B!L2012/1000</f>
        <v>0</v>
      </c>
      <c r="M2008" s="85">
        <f>STATS1003B!M2012/1000</f>
        <v>150</v>
      </c>
      <c r="N2008" s="85">
        <f>STATS1003B!N2012/1000</f>
        <v>0</v>
      </c>
      <c r="O2008" s="85">
        <f>STATS1003B!O2012/1000</f>
        <v>0</v>
      </c>
      <c r="P2008" s="85">
        <f>STATS1003B!P2012/1000</f>
        <v>0</v>
      </c>
      <c r="Q2008" s="85">
        <f>STATS1003B!Q2012/1000</f>
        <v>0</v>
      </c>
      <c r="R2008" s="85">
        <f>STATS1003B!R2012/1000</f>
        <v>0</v>
      </c>
      <c r="S2008" s="85">
        <f>STATS1003B!S2012/1000</f>
        <v>0</v>
      </c>
      <c r="T2008" s="85">
        <f>STATS1003B!T2012/1000</f>
        <v>0</v>
      </c>
      <c r="U2008" s="85">
        <f>STATS1003B!U2012/1000</f>
        <v>0</v>
      </c>
      <c r="V2008" s="85">
        <f>STATS1003B!V2012/1000</f>
        <v>0</v>
      </c>
      <c r="W2008" s="85">
        <f>STATS1003B!W2012/1000</f>
        <v>0</v>
      </c>
      <c r="X2008" s="85">
        <f t="shared" si="222"/>
        <v>150</v>
      </c>
      <c r="Y2008" s="85">
        <f>STATS1003B!Y2012/1000</f>
        <v>0</v>
      </c>
      <c r="Z2008" s="85">
        <f>STATS1003B!Z2012/1000</f>
        <v>0</v>
      </c>
      <c r="AA2008" s="69">
        <f>STATS1003B!AA2012/1000</f>
        <v>150</v>
      </c>
      <c r="AB2008" s="69">
        <f>STATS1003B!AB2012/1000</f>
        <v>0</v>
      </c>
    </row>
    <row r="2009" spans="1:28" hidden="1" x14ac:dyDescent="0.3">
      <c r="A2009" s="117"/>
      <c r="C2009" s="68" t="s">
        <v>57</v>
      </c>
      <c r="D2009" s="90" t="s">
        <v>61</v>
      </c>
      <c r="E2009" s="85">
        <f>STATS1003B!E2013/1000</f>
        <v>16896.572219999998</v>
      </c>
      <c r="F2009" s="85">
        <f>STATS1003B!F2013/1000</f>
        <v>16863.999989999997</v>
      </c>
      <c r="G2009" s="85">
        <f>STATS1003B!G2013/1000</f>
        <v>0</v>
      </c>
      <c r="H2009" s="85">
        <f>STATS1003B!H2013/1000</f>
        <v>16863.999989999997</v>
      </c>
      <c r="I2009" s="85">
        <f>STATS1003B!I2013/1000</f>
        <v>0</v>
      </c>
      <c r="J2009" s="85">
        <f>STATS1003B!J2013/1000</f>
        <v>0</v>
      </c>
      <c r="K2009" s="85">
        <f>STATS1003B!K2013/1000</f>
        <v>0</v>
      </c>
      <c r="L2009" s="85">
        <f>STATS1003B!L2013/1000</f>
        <v>0</v>
      </c>
      <c r="M2009" s="85">
        <f>STATS1003B!M2013/1000</f>
        <v>16863.999989999997</v>
      </c>
      <c r="N2009" s="85">
        <f>STATS1003B!N2013/1000</f>
        <v>0</v>
      </c>
      <c r="O2009" s="85">
        <f>STATS1003B!O2013/1000</f>
        <v>0</v>
      </c>
      <c r="P2009" s="85">
        <f>STATS1003B!P2013/1000</f>
        <v>0</v>
      </c>
      <c r="Q2009" s="85">
        <f>STATS1003B!Q2013/1000</f>
        <v>32.572229999999998</v>
      </c>
      <c r="R2009" s="85">
        <f>STATS1003B!R2013/1000</f>
        <v>0</v>
      </c>
      <c r="S2009" s="85">
        <f>STATS1003B!S2013/1000</f>
        <v>0</v>
      </c>
      <c r="T2009" s="85">
        <f>STATS1003B!T2013/1000</f>
        <v>32.572229999999998</v>
      </c>
      <c r="U2009" s="85">
        <f>STATS1003B!U2013/1000</f>
        <v>32.572229999999998</v>
      </c>
      <c r="V2009" s="85">
        <f>STATS1003B!V2013/1000</f>
        <v>16863.999989999997</v>
      </c>
      <c r="W2009" s="85">
        <f>STATS1003B!W2013/1000</f>
        <v>32.572230000000445</v>
      </c>
      <c r="X2009" s="85">
        <f t="shared" si="222"/>
        <v>16863.999989999997</v>
      </c>
      <c r="Y2009" s="85">
        <f>STATS1003B!Y2013/1000</f>
        <v>0</v>
      </c>
      <c r="Z2009" s="85">
        <f>STATS1003B!Z2013/1000</f>
        <v>32.572230000000445</v>
      </c>
      <c r="AA2009" s="69">
        <f>STATS1003B!AA2013/1000</f>
        <v>16896.572219999998</v>
      </c>
      <c r="AB2009" s="69">
        <f>STATS1003B!AB2013/1000</f>
        <v>0</v>
      </c>
    </row>
    <row r="2010" spans="1:28" hidden="1" x14ac:dyDescent="0.3">
      <c r="A2010" s="117"/>
      <c r="E2010" s="86" t="s">
        <v>29</v>
      </c>
      <c r="F2010" s="86" t="s">
        <v>29</v>
      </c>
      <c r="G2010" s="86" t="s">
        <v>29</v>
      </c>
      <c r="H2010" s="86" t="s">
        <v>29</v>
      </c>
      <c r="I2010" s="86" t="s">
        <v>29</v>
      </c>
      <c r="J2010" s="86" t="s">
        <v>29</v>
      </c>
      <c r="K2010" s="86" t="s">
        <v>29</v>
      </c>
      <c r="L2010" s="86" t="s">
        <v>29</v>
      </c>
      <c r="M2010" s="86" t="s">
        <v>29</v>
      </c>
      <c r="N2010" s="86" t="s">
        <v>29</v>
      </c>
      <c r="O2010" s="86" t="s">
        <v>29</v>
      </c>
      <c r="P2010" s="86" t="s">
        <v>29</v>
      </c>
      <c r="Q2010" s="86" t="s">
        <v>29</v>
      </c>
      <c r="R2010" s="86" t="s">
        <v>29</v>
      </c>
      <c r="S2010" s="86" t="s">
        <v>29</v>
      </c>
      <c r="T2010" s="86" t="s">
        <v>29</v>
      </c>
      <c r="U2010" s="86" t="s">
        <v>29</v>
      </c>
      <c r="V2010" s="86" t="s">
        <v>29</v>
      </c>
      <c r="W2010" s="86" t="s">
        <v>29</v>
      </c>
      <c r="X2010" s="85" t="e">
        <f t="shared" si="222"/>
        <v>#VALUE!</v>
      </c>
      <c r="Y2010" s="86" t="s">
        <v>29</v>
      </c>
      <c r="Z2010" s="86" t="s">
        <v>29</v>
      </c>
      <c r="AA2010" s="115" t="s">
        <v>29</v>
      </c>
      <c r="AB2010" s="115" t="s">
        <v>29</v>
      </c>
    </row>
    <row r="2011" spans="1:28" x14ac:dyDescent="0.3">
      <c r="A2011" s="116">
        <v>88</v>
      </c>
      <c r="B2011" s="68" t="s">
        <v>357</v>
      </c>
      <c r="E2011" s="85">
        <f>350605625.13/1000</f>
        <v>350605.62513</v>
      </c>
      <c r="F2011" s="85">
        <f t="shared" ref="F2011:AB2011" si="223">SUM(F1990:F2009)</f>
        <v>103866.05069999999</v>
      </c>
      <c r="G2011" s="85">
        <f t="shared" si="223"/>
        <v>18788.08856</v>
      </c>
      <c r="H2011" s="85">
        <f>345261994.15/1000</f>
        <v>345261.99414999998</v>
      </c>
      <c r="I2011" s="85">
        <f t="shared" si="223"/>
        <v>0</v>
      </c>
      <c r="J2011" s="85">
        <f t="shared" si="223"/>
        <v>0</v>
      </c>
      <c r="K2011" s="85">
        <f t="shared" si="223"/>
        <v>0</v>
      </c>
      <c r="L2011" s="85">
        <f t="shared" si="223"/>
        <v>0</v>
      </c>
      <c r="M2011" s="85">
        <f t="shared" si="223"/>
        <v>122654.13926</v>
      </c>
      <c r="N2011" s="85">
        <f t="shared" si="223"/>
        <v>5231.0587599999999</v>
      </c>
      <c r="O2011" s="85">
        <f t="shared" si="223"/>
        <v>0</v>
      </c>
      <c r="P2011" s="85">
        <f>5231058/1000</f>
        <v>5231.058</v>
      </c>
      <c r="Q2011" s="85">
        <f t="shared" si="223"/>
        <v>32.572229999999998</v>
      </c>
      <c r="R2011" s="85">
        <f t="shared" si="223"/>
        <v>0</v>
      </c>
      <c r="S2011" s="85">
        <f t="shared" si="223"/>
        <v>0</v>
      </c>
      <c r="T2011" s="85">
        <f t="shared" si="223"/>
        <v>32.572229999999998</v>
      </c>
      <c r="U2011" s="85">
        <f t="shared" si="223"/>
        <v>5263.6309899999997</v>
      </c>
      <c r="V2011" s="85">
        <f t="shared" si="223"/>
        <v>74271.126270000008</v>
      </c>
      <c r="W2011" s="85">
        <f t="shared" si="223"/>
        <v>112.57223000000045</v>
      </c>
      <c r="X2011" s="85">
        <f>+H2011+P2011</f>
        <v>350493.05215</v>
      </c>
      <c r="Y2011" s="85">
        <f t="shared" si="223"/>
        <v>0</v>
      </c>
      <c r="Z2011" s="85">
        <f t="shared" ref="Z2011:Z2074" si="224">+E2011-X2011</f>
        <v>112.57297999999719</v>
      </c>
      <c r="AA2011" s="69">
        <f t="shared" si="223"/>
        <v>127917.77025</v>
      </c>
      <c r="AB2011" s="69">
        <f t="shared" si="223"/>
        <v>80</v>
      </c>
    </row>
    <row r="2012" spans="1:28" hidden="1" x14ac:dyDescent="0.3">
      <c r="A2012" s="117"/>
      <c r="E2012" s="86" t="s">
        <v>29</v>
      </c>
      <c r="F2012" s="86" t="s">
        <v>29</v>
      </c>
      <c r="G2012" s="86" t="s">
        <v>29</v>
      </c>
      <c r="H2012" s="86" t="s">
        <v>29</v>
      </c>
      <c r="I2012" s="86" t="s">
        <v>29</v>
      </c>
      <c r="J2012" s="86" t="s">
        <v>29</v>
      </c>
      <c r="K2012" s="86" t="s">
        <v>29</v>
      </c>
      <c r="L2012" s="86" t="s">
        <v>29</v>
      </c>
      <c r="M2012" s="86" t="s">
        <v>29</v>
      </c>
      <c r="N2012" s="86" t="s">
        <v>29</v>
      </c>
      <c r="O2012" s="86" t="s">
        <v>29</v>
      </c>
      <c r="P2012" s="86" t="s">
        <v>29</v>
      </c>
      <c r="Q2012" s="86" t="s">
        <v>29</v>
      </c>
      <c r="R2012" s="86" t="s">
        <v>29</v>
      </c>
      <c r="S2012" s="86" t="s">
        <v>29</v>
      </c>
      <c r="T2012" s="86" t="s">
        <v>29</v>
      </c>
      <c r="U2012" s="86" t="s">
        <v>29</v>
      </c>
      <c r="V2012" s="86" t="s">
        <v>29</v>
      </c>
      <c r="W2012" s="86" t="s">
        <v>29</v>
      </c>
      <c r="X2012" s="85" t="e">
        <f t="shared" si="222"/>
        <v>#VALUE!</v>
      </c>
      <c r="Y2012" s="86" t="s">
        <v>29</v>
      </c>
      <c r="Z2012" s="85" t="e">
        <f t="shared" si="224"/>
        <v>#VALUE!</v>
      </c>
      <c r="AA2012" s="115" t="s">
        <v>29</v>
      </c>
      <c r="AB2012" s="115" t="s">
        <v>29</v>
      </c>
    </row>
    <row r="2013" spans="1:28" hidden="1" x14ac:dyDescent="0.3">
      <c r="A2013" s="105"/>
      <c r="E2013" s="84"/>
      <c r="F2013" s="84"/>
      <c r="G2013" s="84"/>
      <c r="H2013" s="84"/>
      <c r="I2013" s="84"/>
      <c r="J2013" s="84"/>
      <c r="K2013" s="84"/>
      <c r="L2013" s="84"/>
      <c r="M2013" s="84"/>
      <c r="N2013" s="84"/>
      <c r="O2013" s="84"/>
      <c r="P2013" s="84"/>
      <c r="Q2013" s="84"/>
      <c r="R2013" s="84"/>
      <c r="S2013" s="84"/>
      <c r="T2013" s="84"/>
      <c r="U2013" s="84"/>
      <c r="V2013" s="84"/>
      <c r="W2013" s="84"/>
      <c r="X2013" s="85">
        <f t="shared" si="222"/>
        <v>0</v>
      </c>
      <c r="Y2013" s="84"/>
      <c r="Z2013" s="85">
        <f t="shared" si="224"/>
        <v>0</v>
      </c>
    </row>
    <row r="2014" spans="1:28" hidden="1" x14ac:dyDescent="0.3">
      <c r="A2014" s="117"/>
      <c r="D2014" s="145" t="s">
        <v>362</v>
      </c>
      <c r="E2014" s="84"/>
      <c r="F2014" s="84"/>
      <c r="G2014" s="84"/>
      <c r="H2014" s="84"/>
      <c r="I2014" s="84"/>
      <c r="J2014" s="84"/>
      <c r="K2014" s="84"/>
      <c r="L2014" s="84"/>
      <c r="M2014" s="84"/>
      <c r="N2014" s="84"/>
      <c r="O2014" s="84"/>
      <c r="P2014" s="84"/>
      <c r="Q2014" s="84"/>
      <c r="R2014" s="84"/>
      <c r="S2014" s="84"/>
      <c r="T2014" s="84"/>
      <c r="U2014" s="84"/>
      <c r="V2014" s="84"/>
      <c r="W2014" s="84"/>
      <c r="X2014" s="85">
        <f t="shared" si="222"/>
        <v>0</v>
      </c>
      <c r="Y2014" s="84"/>
      <c r="Z2014" s="85">
        <f t="shared" si="224"/>
        <v>0</v>
      </c>
    </row>
    <row r="2015" spans="1:28" hidden="1" x14ac:dyDescent="0.3">
      <c r="A2015" s="117"/>
      <c r="C2015" s="68" t="s">
        <v>363</v>
      </c>
      <c r="D2015" s="71" t="s">
        <v>364</v>
      </c>
      <c r="E2015" s="85">
        <f>STATS1003B!E2019/1000</f>
        <v>21392.780350000001</v>
      </c>
      <c r="F2015" s="85">
        <f>STATS1003B!F2019/1000</f>
        <v>21392.780350000001</v>
      </c>
      <c r="G2015" s="85">
        <f>STATS1003B!G2019/1000</f>
        <v>0</v>
      </c>
      <c r="H2015" s="85">
        <f>STATS1003B!H2019/1000</f>
        <v>21392.780350000001</v>
      </c>
      <c r="I2015" s="85">
        <f>STATS1003B!I2019/1000</f>
        <v>0</v>
      </c>
      <c r="J2015" s="85">
        <f>STATS1003B!J2019/1000</f>
        <v>0</v>
      </c>
      <c r="K2015" s="85">
        <f>STATS1003B!K2019/1000</f>
        <v>0</v>
      </c>
      <c r="L2015" s="85">
        <f>STATS1003B!L2019/1000</f>
        <v>0</v>
      </c>
      <c r="M2015" s="85">
        <f>STATS1003B!M2019/1000</f>
        <v>21392.780350000001</v>
      </c>
      <c r="N2015" s="85">
        <f>STATS1003B!N2019/1000</f>
        <v>0</v>
      </c>
      <c r="O2015" s="85">
        <f>STATS1003B!O2019/1000</f>
        <v>0</v>
      </c>
      <c r="P2015" s="85">
        <f>STATS1003B!P2019/1000</f>
        <v>0</v>
      </c>
      <c r="Q2015" s="85">
        <f>STATS1003B!Q2019/1000</f>
        <v>0</v>
      </c>
      <c r="R2015" s="85">
        <f>STATS1003B!R2019/1000</f>
        <v>0</v>
      </c>
      <c r="S2015" s="85">
        <f>STATS1003B!S2019/1000</f>
        <v>0</v>
      </c>
      <c r="T2015" s="85">
        <f>STATS1003B!T2019/1000</f>
        <v>0</v>
      </c>
      <c r="U2015" s="85">
        <f>STATS1003B!U2019/1000</f>
        <v>0</v>
      </c>
      <c r="V2015" s="85">
        <f>STATS1003B!V2019/1000</f>
        <v>21392.780350000001</v>
      </c>
      <c r="W2015" s="85">
        <f>STATS1003B!W2019/1000</f>
        <v>0</v>
      </c>
      <c r="X2015" s="85">
        <f t="shared" si="222"/>
        <v>21392.780350000001</v>
      </c>
      <c r="Y2015" s="85">
        <f>STATS1003B!Y2019/1000</f>
        <v>0</v>
      </c>
      <c r="Z2015" s="85">
        <f t="shared" si="224"/>
        <v>0</v>
      </c>
      <c r="AA2015" s="69">
        <f>STATS1003B!AA2019/1000</f>
        <v>21392.780350000001</v>
      </c>
      <c r="AB2015" s="69">
        <f>STATS1003B!AB2019/1000</f>
        <v>0</v>
      </c>
    </row>
    <row r="2016" spans="1:28" hidden="1" x14ac:dyDescent="0.3">
      <c r="A2016" s="117"/>
      <c r="C2016" s="68" t="s">
        <v>83</v>
      </c>
      <c r="D2016" s="145" t="s">
        <v>67</v>
      </c>
      <c r="E2016" s="85">
        <f>STATS1003B!E2020/1000</f>
        <v>776.96600000000001</v>
      </c>
      <c r="F2016" s="85">
        <f>STATS1003B!F2020/1000</f>
        <v>600.70960000000002</v>
      </c>
      <c r="G2016" s="85">
        <f>STATS1003B!G2020/1000</f>
        <v>0</v>
      </c>
      <c r="H2016" s="85">
        <f>STATS1003B!H2020/1000</f>
        <v>600.70960000000002</v>
      </c>
      <c r="I2016" s="85">
        <f>STATS1003B!I2020/1000</f>
        <v>0</v>
      </c>
      <c r="J2016" s="85">
        <f>STATS1003B!J2020/1000</f>
        <v>0</v>
      </c>
      <c r="K2016" s="85">
        <f>STATS1003B!K2020/1000</f>
        <v>0</v>
      </c>
      <c r="L2016" s="85">
        <f>STATS1003B!L2020/1000</f>
        <v>0</v>
      </c>
      <c r="M2016" s="85">
        <f>STATS1003B!M2020/1000</f>
        <v>600.70960000000002</v>
      </c>
      <c r="N2016" s="85">
        <f>STATS1003B!N2020/1000</f>
        <v>176.25639999999999</v>
      </c>
      <c r="O2016" s="85">
        <f>STATS1003B!O2020/1000</f>
        <v>0</v>
      </c>
      <c r="P2016" s="85">
        <f>STATS1003B!P2020/1000</f>
        <v>176.25639999999999</v>
      </c>
      <c r="Q2016" s="85">
        <f>STATS1003B!Q2020/1000</f>
        <v>0</v>
      </c>
      <c r="R2016" s="85">
        <f>STATS1003B!R2020/1000</f>
        <v>0</v>
      </c>
      <c r="S2016" s="85">
        <f>STATS1003B!S2020/1000</f>
        <v>0</v>
      </c>
      <c r="T2016" s="85">
        <f>STATS1003B!T2020/1000</f>
        <v>0</v>
      </c>
      <c r="U2016" s="85">
        <f>STATS1003B!U2020/1000</f>
        <v>176.25639999999999</v>
      </c>
      <c r="V2016" s="85">
        <f>STATS1003B!V2020/1000</f>
        <v>776.96600000000001</v>
      </c>
      <c r="W2016" s="85">
        <f>STATS1003B!W2020/1000</f>
        <v>0</v>
      </c>
      <c r="X2016" s="85">
        <f t="shared" si="222"/>
        <v>776.96600000000001</v>
      </c>
      <c r="Y2016" s="85">
        <f>STATS1003B!Y2020/1000</f>
        <v>0</v>
      </c>
      <c r="Z2016" s="85">
        <f t="shared" si="224"/>
        <v>0</v>
      </c>
      <c r="AA2016" s="69">
        <f>STATS1003B!AA2020/1000</f>
        <v>776.96600000000001</v>
      </c>
      <c r="AB2016" s="69">
        <f>STATS1003B!AB2020/1000</f>
        <v>0</v>
      </c>
    </row>
    <row r="2017" spans="1:28" hidden="1" x14ac:dyDescent="0.3">
      <c r="A2017" s="117"/>
      <c r="C2017" s="68" t="s">
        <v>192</v>
      </c>
      <c r="D2017" s="145" t="s">
        <v>54</v>
      </c>
      <c r="E2017" s="85">
        <f>STATS1003B!E2021/1000</f>
        <v>955.34561999999994</v>
      </c>
      <c r="F2017" s="85">
        <f>STATS1003B!F2021/1000</f>
        <v>0</v>
      </c>
      <c r="G2017" s="85">
        <f>STATS1003B!G2021/1000</f>
        <v>0</v>
      </c>
      <c r="H2017" s="85">
        <f>STATS1003B!H2021/1000</f>
        <v>0</v>
      </c>
      <c r="I2017" s="85">
        <f>STATS1003B!I2021/1000</f>
        <v>0</v>
      </c>
      <c r="J2017" s="85">
        <f>STATS1003B!J2021/1000</f>
        <v>0</v>
      </c>
      <c r="K2017" s="85">
        <f>STATS1003B!K2021/1000</f>
        <v>0</v>
      </c>
      <c r="L2017" s="85">
        <f>STATS1003B!L2021/1000</f>
        <v>0</v>
      </c>
      <c r="M2017" s="85">
        <f>STATS1003B!M2021/1000</f>
        <v>0</v>
      </c>
      <c r="N2017" s="85">
        <f>STATS1003B!N2021/1000</f>
        <v>955.34561999999994</v>
      </c>
      <c r="O2017" s="85">
        <f>STATS1003B!O2021/1000</f>
        <v>0</v>
      </c>
      <c r="P2017" s="85">
        <f>STATS1003B!P2021/1000</f>
        <v>955.34561999999994</v>
      </c>
      <c r="Q2017" s="85">
        <f>STATS1003B!Q2021/1000</f>
        <v>0</v>
      </c>
      <c r="R2017" s="85">
        <f>STATS1003B!R2021/1000</f>
        <v>0</v>
      </c>
      <c r="S2017" s="85">
        <f>STATS1003B!S2021/1000</f>
        <v>0</v>
      </c>
      <c r="T2017" s="85">
        <f>STATS1003B!T2021/1000</f>
        <v>0</v>
      </c>
      <c r="U2017" s="85">
        <f>STATS1003B!U2021/1000</f>
        <v>955.34561999999994</v>
      </c>
      <c r="V2017" s="85">
        <f>STATS1003B!V2021/1000</f>
        <v>955.34561999999994</v>
      </c>
      <c r="W2017" s="85">
        <f>STATS1003B!W2021/1000</f>
        <v>0</v>
      </c>
      <c r="X2017" s="85">
        <f t="shared" si="222"/>
        <v>955.34561999999994</v>
      </c>
      <c r="Y2017" s="85">
        <f>STATS1003B!Y2021/1000</f>
        <v>0</v>
      </c>
      <c r="Z2017" s="85">
        <f t="shared" si="224"/>
        <v>0</v>
      </c>
      <c r="AA2017" s="69">
        <f>STATS1003B!AA2021/1000</f>
        <v>955.34561999999994</v>
      </c>
      <c r="AB2017" s="69">
        <f>STATS1003B!AB2021/1000</f>
        <v>0</v>
      </c>
    </row>
    <row r="2018" spans="1:28" hidden="1" x14ac:dyDescent="0.3">
      <c r="A2018" s="117"/>
      <c r="C2018" s="68" t="s">
        <v>53</v>
      </c>
      <c r="D2018" s="145" t="s">
        <v>54</v>
      </c>
      <c r="E2018" s="85">
        <f>STATS1003B!E2022/1000</f>
        <v>1953.989</v>
      </c>
      <c r="F2018" s="85">
        <f>STATS1003B!F2022/1000</f>
        <v>0</v>
      </c>
      <c r="G2018" s="85">
        <f>STATS1003B!G2022/1000</f>
        <v>0</v>
      </c>
      <c r="H2018" s="85">
        <f>STATS1003B!H2022/1000</f>
        <v>0</v>
      </c>
      <c r="I2018" s="85">
        <f>STATS1003B!I2022/1000</f>
        <v>0</v>
      </c>
      <c r="J2018" s="85">
        <f>STATS1003B!J2022/1000</f>
        <v>0</v>
      </c>
      <c r="K2018" s="85">
        <f>STATS1003B!K2022/1000</f>
        <v>0</v>
      </c>
      <c r="L2018" s="85">
        <f>STATS1003B!L2022/1000</f>
        <v>0</v>
      </c>
      <c r="M2018" s="85">
        <f>STATS1003B!M2022/1000</f>
        <v>0</v>
      </c>
      <c r="N2018" s="85">
        <f>STATS1003B!N2022/1000</f>
        <v>1953.989</v>
      </c>
      <c r="O2018" s="85">
        <f>STATS1003B!O2022/1000</f>
        <v>0</v>
      </c>
      <c r="P2018" s="85">
        <f>STATS1003B!P2022/1000</f>
        <v>1953.989</v>
      </c>
      <c r="Q2018" s="85">
        <f>STATS1003B!Q2022/1000</f>
        <v>0</v>
      </c>
      <c r="R2018" s="85">
        <f>STATS1003B!R2022/1000</f>
        <v>0</v>
      </c>
      <c r="S2018" s="85">
        <f>STATS1003B!S2022/1000</f>
        <v>0</v>
      </c>
      <c r="T2018" s="85">
        <f>STATS1003B!T2022/1000</f>
        <v>0</v>
      </c>
      <c r="U2018" s="85">
        <f>STATS1003B!U2022/1000</f>
        <v>1953.989</v>
      </c>
      <c r="V2018" s="85">
        <f>STATS1003B!V2022/1000</f>
        <v>1953.989</v>
      </c>
      <c r="W2018" s="85">
        <f>STATS1003B!W2022/1000</f>
        <v>0</v>
      </c>
      <c r="X2018" s="85">
        <f t="shared" si="222"/>
        <v>1953.989</v>
      </c>
      <c r="Y2018" s="85">
        <f>STATS1003B!Y2022/1000</f>
        <v>0</v>
      </c>
      <c r="Z2018" s="85">
        <f t="shared" si="224"/>
        <v>0</v>
      </c>
      <c r="AA2018" s="69">
        <f>STATS1003B!AA2022/1000</f>
        <v>1953.989</v>
      </c>
      <c r="AB2018" s="69">
        <f>STATS1003B!AB2022/1000</f>
        <v>0</v>
      </c>
    </row>
    <row r="2019" spans="1:28" hidden="1" x14ac:dyDescent="0.3">
      <c r="A2019" s="117"/>
      <c r="C2019" s="68" t="s">
        <v>55</v>
      </c>
      <c r="D2019" s="145" t="s">
        <v>54</v>
      </c>
      <c r="E2019" s="85">
        <f>STATS1003B!E2023/1000</f>
        <v>983.66263000000004</v>
      </c>
      <c r="F2019" s="85">
        <f>STATS1003B!F2023/1000</f>
        <v>0</v>
      </c>
      <c r="G2019" s="85">
        <f>STATS1003B!G2023/1000</f>
        <v>0</v>
      </c>
      <c r="H2019" s="85">
        <f>STATS1003B!H2023/1000</f>
        <v>0</v>
      </c>
      <c r="I2019" s="85">
        <f>STATS1003B!I2023/1000</f>
        <v>0</v>
      </c>
      <c r="J2019" s="85">
        <f>STATS1003B!J2023/1000</f>
        <v>0</v>
      </c>
      <c r="K2019" s="85">
        <f>STATS1003B!K2023/1000</f>
        <v>0</v>
      </c>
      <c r="L2019" s="85">
        <f>STATS1003B!L2023/1000</f>
        <v>0</v>
      </c>
      <c r="M2019" s="85">
        <f>STATS1003B!M2023/1000</f>
        <v>0</v>
      </c>
      <c r="N2019" s="85">
        <f>STATS1003B!N2023/1000</f>
        <v>983.66262999999992</v>
      </c>
      <c r="O2019" s="85">
        <f>STATS1003B!O2023/1000</f>
        <v>0</v>
      </c>
      <c r="P2019" s="85">
        <f>STATS1003B!P2023/1000</f>
        <v>983.66262999999992</v>
      </c>
      <c r="Q2019" s="85">
        <f>STATS1003B!Q2023/1000</f>
        <v>0</v>
      </c>
      <c r="R2019" s="85">
        <f>STATS1003B!R2023/1000</f>
        <v>0</v>
      </c>
      <c r="S2019" s="85">
        <f>STATS1003B!S2023/1000</f>
        <v>0</v>
      </c>
      <c r="T2019" s="85">
        <f>STATS1003B!T2023/1000</f>
        <v>0</v>
      </c>
      <c r="U2019" s="85">
        <f>STATS1003B!U2023/1000</f>
        <v>983.66262999999992</v>
      </c>
      <c r="V2019" s="85">
        <f>STATS1003B!V2023/1000</f>
        <v>983.66262999999992</v>
      </c>
      <c r="W2019" s="85">
        <f>STATS1003B!W2023/1000</f>
        <v>0</v>
      </c>
      <c r="X2019" s="85">
        <f t="shared" si="222"/>
        <v>983.66262999999992</v>
      </c>
      <c r="Y2019" s="85">
        <f>STATS1003B!Y2023/1000</f>
        <v>0</v>
      </c>
      <c r="Z2019" s="85">
        <f t="shared" si="224"/>
        <v>0</v>
      </c>
      <c r="AA2019" s="69">
        <f>STATS1003B!AA2023/1000</f>
        <v>983.66262999999992</v>
      </c>
      <c r="AB2019" s="69">
        <f>STATS1003B!AB2023/1000</f>
        <v>0</v>
      </c>
    </row>
    <row r="2020" spans="1:28" hidden="1" x14ac:dyDescent="0.3">
      <c r="A2020" s="117"/>
      <c r="C2020" s="68" t="s">
        <v>365</v>
      </c>
      <c r="D2020" s="145" t="s">
        <v>54</v>
      </c>
      <c r="E2020" s="85">
        <f>STATS1003B!E2024/1000</f>
        <v>351</v>
      </c>
      <c r="F2020" s="85">
        <f>STATS1003B!F2024/1000</f>
        <v>351</v>
      </c>
      <c r="G2020" s="85">
        <f>STATS1003B!G2024/1000</f>
        <v>0</v>
      </c>
      <c r="H2020" s="85">
        <f>STATS1003B!H2024/1000</f>
        <v>351</v>
      </c>
      <c r="I2020" s="85">
        <f>STATS1003B!I2024/1000</f>
        <v>0</v>
      </c>
      <c r="J2020" s="85">
        <f>STATS1003B!J2024/1000</f>
        <v>0</v>
      </c>
      <c r="K2020" s="85">
        <f>STATS1003B!K2024/1000</f>
        <v>0</v>
      </c>
      <c r="L2020" s="85">
        <f>STATS1003B!L2024/1000</f>
        <v>0</v>
      </c>
      <c r="M2020" s="85">
        <f>STATS1003B!M2024/1000</f>
        <v>351</v>
      </c>
      <c r="N2020" s="85">
        <f>STATS1003B!N2024/1000</f>
        <v>0</v>
      </c>
      <c r="O2020" s="85">
        <f>STATS1003B!O2024/1000</f>
        <v>0</v>
      </c>
      <c r="P2020" s="85">
        <f>STATS1003B!P2024/1000</f>
        <v>0</v>
      </c>
      <c r="Q2020" s="85">
        <f>STATS1003B!Q2024/1000</f>
        <v>0</v>
      </c>
      <c r="R2020" s="85">
        <f>STATS1003B!R2024/1000</f>
        <v>0</v>
      </c>
      <c r="S2020" s="85">
        <f>STATS1003B!S2024/1000</f>
        <v>0</v>
      </c>
      <c r="T2020" s="85">
        <f>STATS1003B!T2024/1000</f>
        <v>0</v>
      </c>
      <c r="U2020" s="85">
        <f>STATS1003B!U2024/1000</f>
        <v>0</v>
      </c>
      <c r="V2020" s="85">
        <f>STATS1003B!V2024/1000</f>
        <v>351</v>
      </c>
      <c r="W2020" s="85">
        <f>STATS1003B!W2024/1000</f>
        <v>0</v>
      </c>
      <c r="X2020" s="85">
        <f t="shared" si="222"/>
        <v>351</v>
      </c>
      <c r="Y2020" s="85">
        <f>STATS1003B!Y2024/1000</f>
        <v>0</v>
      </c>
      <c r="Z2020" s="85">
        <f t="shared" si="224"/>
        <v>0</v>
      </c>
      <c r="AA2020" s="69">
        <f>STATS1003B!AA2024/1000</f>
        <v>351</v>
      </c>
      <c r="AB2020" s="69">
        <f>STATS1003B!AB2024/1000</f>
        <v>0</v>
      </c>
    </row>
    <row r="2021" spans="1:28" hidden="1" x14ac:dyDescent="0.3">
      <c r="A2021" s="117"/>
      <c r="C2021" s="68" t="s">
        <v>366</v>
      </c>
      <c r="D2021" s="145" t="s">
        <v>85</v>
      </c>
      <c r="E2021" s="85">
        <f>STATS1003B!E2025/1000</f>
        <v>160</v>
      </c>
      <c r="F2021" s="85">
        <f>STATS1003B!F2025/1000</f>
        <v>160</v>
      </c>
      <c r="G2021" s="85">
        <f>STATS1003B!G2025/1000</f>
        <v>0</v>
      </c>
      <c r="H2021" s="85">
        <f>STATS1003B!H2025/1000</f>
        <v>160</v>
      </c>
      <c r="I2021" s="85">
        <f>STATS1003B!I2025/1000</f>
        <v>0</v>
      </c>
      <c r="J2021" s="85">
        <f>STATS1003B!J2025/1000</f>
        <v>0</v>
      </c>
      <c r="K2021" s="85">
        <f>STATS1003B!K2025/1000</f>
        <v>0</v>
      </c>
      <c r="L2021" s="85">
        <f>STATS1003B!L2025/1000</f>
        <v>0</v>
      </c>
      <c r="M2021" s="85">
        <f>STATS1003B!M2025/1000</f>
        <v>160</v>
      </c>
      <c r="N2021" s="85">
        <f>STATS1003B!N2025/1000</f>
        <v>0</v>
      </c>
      <c r="O2021" s="85">
        <f>STATS1003B!O2025/1000</f>
        <v>0</v>
      </c>
      <c r="P2021" s="85">
        <f>STATS1003B!P2025/1000</f>
        <v>0</v>
      </c>
      <c r="Q2021" s="85">
        <f>STATS1003B!Q2025/1000</f>
        <v>0</v>
      </c>
      <c r="R2021" s="85">
        <f>STATS1003B!R2025/1000</f>
        <v>0</v>
      </c>
      <c r="S2021" s="85">
        <f>STATS1003B!S2025/1000</f>
        <v>0</v>
      </c>
      <c r="T2021" s="85">
        <f>STATS1003B!T2025/1000</f>
        <v>0</v>
      </c>
      <c r="U2021" s="85">
        <f>STATS1003B!U2025/1000</f>
        <v>0</v>
      </c>
      <c r="V2021" s="85">
        <f>STATS1003B!V2025/1000</f>
        <v>160</v>
      </c>
      <c r="W2021" s="85">
        <f>STATS1003B!W2025/1000</f>
        <v>0</v>
      </c>
      <c r="X2021" s="85">
        <f t="shared" si="222"/>
        <v>160</v>
      </c>
      <c r="Y2021" s="85">
        <f>STATS1003B!Y2025/1000</f>
        <v>0</v>
      </c>
      <c r="Z2021" s="85">
        <f t="shared" si="224"/>
        <v>0</v>
      </c>
      <c r="AA2021" s="69">
        <f>STATS1003B!AA2025/1000</f>
        <v>160</v>
      </c>
      <c r="AB2021" s="69">
        <f>STATS1003B!AB2025/1000</f>
        <v>0</v>
      </c>
    </row>
    <row r="2022" spans="1:28" hidden="1" x14ac:dyDescent="0.3">
      <c r="A2022" s="117"/>
      <c r="C2022" s="68" t="s">
        <v>367</v>
      </c>
      <c r="D2022" s="145" t="s">
        <v>128</v>
      </c>
      <c r="E2022" s="85">
        <f>STATS1003B!E2026/1000</f>
        <v>190</v>
      </c>
      <c r="F2022" s="85">
        <f>STATS1003B!F2026/1000</f>
        <v>190</v>
      </c>
      <c r="G2022" s="85">
        <f>STATS1003B!G2026/1000</f>
        <v>0</v>
      </c>
      <c r="H2022" s="85">
        <f>STATS1003B!H2026/1000</f>
        <v>190</v>
      </c>
      <c r="I2022" s="85">
        <f>STATS1003B!I2026/1000</f>
        <v>0</v>
      </c>
      <c r="J2022" s="85">
        <f>STATS1003B!J2026/1000</f>
        <v>0</v>
      </c>
      <c r="K2022" s="85">
        <f>STATS1003B!K2026/1000</f>
        <v>0</v>
      </c>
      <c r="L2022" s="85">
        <f>STATS1003B!L2026/1000</f>
        <v>0</v>
      </c>
      <c r="M2022" s="85">
        <f>STATS1003B!M2026/1000</f>
        <v>190</v>
      </c>
      <c r="N2022" s="85">
        <f>STATS1003B!N2026/1000</f>
        <v>0</v>
      </c>
      <c r="O2022" s="85">
        <f>STATS1003B!O2026/1000</f>
        <v>0</v>
      </c>
      <c r="P2022" s="85">
        <f>STATS1003B!P2026/1000</f>
        <v>0</v>
      </c>
      <c r="Q2022" s="85">
        <f>STATS1003B!Q2026/1000</f>
        <v>0</v>
      </c>
      <c r="R2022" s="85">
        <f>STATS1003B!R2026/1000</f>
        <v>0</v>
      </c>
      <c r="S2022" s="85">
        <f>STATS1003B!S2026/1000</f>
        <v>0</v>
      </c>
      <c r="T2022" s="85">
        <f>STATS1003B!T2026/1000</f>
        <v>0</v>
      </c>
      <c r="U2022" s="85">
        <f>STATS1003B!U2026/1000</f>
        <v>0</v>
      </c>
      <c r="V2022" s="85">
        <f>STATS1003B!V2026/1000</f>
        <v>190</v>
      </c>
      <c r="W2022" s="85">
        <f>STATS1003B!W2026/1000</f>
        <v>0</v>
      </c>
      <c r="X2022" s="85">
        <f t="shared" si="222"/>
        <v>190</v>
      </c>
      <c r="Y2022" s="85">
        <f>STATS1003B!Y2026/1000</f>
        <v>0</v>
      </c>
      <c r="Z2022" s="85">
        <f t="shared" si="224"/>
        <v>0</v>
      </c>
      <c r="AA2022" s="69">
        <f>STATS1003B!AA2026/1000</f>
        <v>190</v>
      </c>
      <c r="AB2022" s="69">
        <f>STATS1003B!AB2026/1000</f>
        <v>0</v>
      </c>
    </row>
    <row r="2023" spans="1:28" hidden="1" x14ac:dyDescent="0.3">
      <c r="A2023" s="117"/>
      <c r="C2023" s="68" t="s">
        <v>355</v>
      </c>
      <c r="D2023" s="145" t="s">
        <v>128</v>
      </c>
      <c r="E2023" s="85">
        <f>STATS1003B!E2027/1000</f>
        <v>1500</v>
      </c>
      <c r="F2023" s="85">
        <f>STATS1003B!F2027/1000</f>
        <v>1500</v>
      </c>
      <c r="G2023" s="85">
        <f>STATS1003B!G2027/1000</f>
        <v>0</v>
      </c>
      <c r="H2023" s="85">
        <f>STATS1003B!H2027/1000</f>
        <v>1500</v>
      </c>
      <c r="I2023" s="85">
        <f>STATS1003B!I2027/1000</f>
        <v>0</v>
      </c>
      <c r="J2023" s="85">
        <f>STATS1003B!J2027/1000</f>
        <v>0</v>
      </c>
      <c r="K2023" s="85">
        <f>STATS1003B!K2027/1000</f>
        <v>0</v>
      </c>
      <c r="L2023" s="85">
        <f>STATS1003B!L2027/1000</f>
        <v>0</v>
      </c>
      <c r="M2023" s="85">
        <f>STATS1003B!M2027/1000</f>
        <v>1500</v>
      </c>
      <c r="N2023" s="85">
        <f>STATS1003B!N2027/1000</f>
        <v>0</v>
      </c>
      <c r="O2023" s="85">
        <f>STATS1003B!O2027/1000</f>
        <v>0</v>
      </c>
      <c r="P2023" s="85">
        <f>STATS1003B!P2027/1000</f>
        <v>0</v>
      </c>
      <c r="Q2023" s="85">
        <f>STATS1003B!Q2027/1000</f>
        <v>0</v>
      </c>
      <c r="R2023" s="85">
        <f>STATS1003B!R2027/1000</f>
        <v>0</v>
      </c>
      <c r="S2023" s="85">
        <f>STATS1003B!S2027/1000</f>
        <v>0</v>
      </c>
      <c r="T2023" s="85">
        <f>STATS1003B!T2027/1000</f>
        <v>0</v>
      </c>
      <c r="U2023" s="85">
        <f>STATS1003B!U2027/1000</f>
        <v>0</v>
      </c>
      <c r="V2023" s="85">
        <f>STATS1003B!V2027/1000</f>
        <v>1500</v>
      </c>
      <c r="W2023" s="85">
        <f>STATS1003B!W2027/1000</f>
        <v>0</v>
      </c>
      <c r="X2023" s="85">
        <f t="shared" si="222"/>
        <v>1500</v>
      </c>
      <c r="Y2023" s="85">
        <f>STATS1003B!Y2027/1000</f>
        <v>0</v>
      </c>
      <c r="Z2023" s="85">
        <f t="shared" si="224"/>
        <v>0</v>
      </c>
      <c r="AA2023" s="69">
        <f>STATS1003B!AA2027/1000</f>
        <v>1500</v>
      </c>
      <c r="AB2023" s="69">
        <f>STATS1003B!AB2027/1000</f>
        <v>0</v>
      </c>
    </row>
    <row r="2024" spans="1:28" hidden="1" x14ac:dyDescent="0.3">
      <c r="A2024" s="117"/>
      <c r="C2024" s="68" t="s">
        <v>57</v>
      </c>
      <c r="D2024" s="145" t="s">
        <v>58</v>
      </c>
      <c r="E2024" s="85">
        <f>STATS1003B!E2028/1000</f>
        <v>1231.6500000000001</v>
      </c>
      <c r="F2024" s="85">
        <f>STATS1003B!F2028/1000</f>
        <v>1231.6500000000001</v>
      </c>
      <c r="G2024" s="85">
        <f>STATS1003B!G2028/1000</f>
        <v>0</v>
      </c>
      <c r="H2024" s="85">
        <f>STATS1003B!H2028/1000</f>
        <v>1231.6500000000001</v>
      </c>
      <c r="I2024" s="85">
        <f>STATS1003B!I2028/1000</f>
        <v>0</v>
      </c>
      <c r="J2024" s="85">
        <f>STATS1003B!J2028/1000</f>
        <v>0</v>
      </c>
      <c r="K2024" s="85">
        <f>STATS1003B!K2028/1000</f>
        <v>0</v>
      </c>
      <c r="L2024" s="85">
        <f>STATS1003B!L2028/1000</f>
        <v>0</v>
      </c>
      <c r="M2024" s="85">
        <f>STATS1003B!M2028/1000</f>
        <v>1231.6500000000001</v>
      </c>
      <c r="N2024" s="85">
        <f>STATS1003B!N2028/1000</f>
        <v>0</v>
      </c>
      <c r="O2024" s="85">
        <f>STATS1003B!O2028/1000</f>
        <v>0</v>
      </c>
      <c r="P2024" s="85">
        <f>STATS1003B!P2028/1000</f>
        <v>0</v>
      </c>
      <c r="Q2024" s="85">
        <f>STATS1003B!Q2028/1000</f>
        <v>0</v>
      </c>
      <c r="R2024" s="85">
        <f>STATS1003B!R2028/1000</f>
        <v>0</v>
      </c>
      <c r="S2024" s="85">
        <f>STATS1003B!S2028/1000</f>
        <v>0</v>
      </c>
      <c r="T2024" s="85">
        <f>STATS1003B!T2028/1000</f>
        <v>0</v>
      </c>
      <c r="U2024" s="85">
        <f>STATS1003B!U2028/1000</f>
        <v>0</v>
      </c>
      <c r="V2024" s="85">
        <f>STATS1003B!V2028/1000</f>
        <v>1231.6500000000001</v>
      </c>
      <c r="W2024" s="85">
        <f>STATS1003B!W2028/1000</f>
        <v>0</v>
      </c>
      <c r="X2024" s="85">
        <f t="shared" si="222"/>
        <v>1231.6500000000001</v>
      </c>
      <c r="Y2024" s="85">
        <f>STATS1003B!Y2028/1000</f>
        <v>0</v>
      </c>
      <c r="Z2024" s="85">
        <f t="shared" si="224"/>
        <v>0</v>
      </c>
      <c r="AA2024" s="69">
        <f>STATS1003B!AA2028/1000</f>
        <v>1231.6500000000001</v>
      </c>
      <c r="AB2024" s="69">
        <f>STATS1003B!AB2028/1000</f>
        <v>0</v>
      </c>
    </row>
    <row r="2025" spans="1:28" hidden="1" x14ac:dyDescent="0.3">
      <c r="A2025" s="117"/>
      <c r="C2025" s="71" t="s">
        <v>109</v>
      </c>
      <c r="D2025" s="88" t="s">
        <v>60</v>
      </c>
      <c r="E2025" s="85">
        <f>STATS1003B!E2029/1000</f>
        <v>1654.5453500000001</v>
      </c>
      <c r="F2025" s="85">
        <f>STATS1003B!F2029/1000</f>
        <v>1654.5453500000001</v>
      </c>
      <c r="G2025" s="85">
        <f>STATS1003B!G2029/1000</f>
        <v>0</v>
      </c>
      <c r="H2025" s="85">
        <f>STATS1003B!H2029/1000</f>
        <v>1654.5453500000001</v>
      </c>
      <c r="I2025" s="85">
        <f>STATS1003B!I2029/1000</f>
        <v>0</v>
      </c>
      <c r="J2025" s="85">
        <f>STATS1003B!J2029/1000</f>
        <v>0</v>
      </c>
      <c r="K2025" s="85">
        <f>STATS1003B!K2029/1000</f>
        <v>0</v>
      </c>
      <c r="L2025" s="85">
        <f>STATS1003B!L2029/1000</f>
        <v>0</v>
      </c>
      <c r="M2025" s="85">
        <f>STATS1003B!M2029/1000</f>
        <v>1654.5453500000001</v>
      </c>
      <c r="N2025" s="85">
        <f>STATS1003B!N2029/1000</f>
        <v>0</v>
      </c>
      <c r="O2025" s="85">
        <f>STATS1003B!O2029/1000</f>
        <v>0</v>
      </c>
      <c r="P2025" s="85">
        <f>STATS1003B!P2029/1000</f>
        <v>0</v>
      </c>
      <c r="Q2025" s="85">
        <f>STATS1003B!Q2029/1000</f>
        <v>0</v>
      </c>
      <c r="R2025" s="85">
        <f>STATS1003B!R2029/1000</f>
        <v>0</v>
      </c>
      <c r="S2025" s="85">
        <f>STATS1003B!S2029/1000</f>
        <v>0</v>
      </c>
      <c r="T2025" s="85">
        <f>STATS1003B!T2029/1000</f>
        <v>0</v>
      </c>
      <c r="U2025" s="85">
        <f>STATS1003B!U2029/1000</f>
        <v>0</v>
      </c>
      <c r="V2025" s="85">
        <f>STATS1003B!V2029/1000</f>
        <v>1654.5453500000001</v>
      </c>
      <c r="W2025" s="85">
        <f>STATS1003B!W2029/1000</f>
        <v>0</v>
      </c>
      <c r="X2025" s="85">
        <f t="shared" si="222"/>
        <v>1654.5453500000001</v>
      </c>
      <c r="Y2025" s="85">
        <f>STATS1003B!Y2029/1000</f>
        <v>0</v>
      </c>
      <c r="Z2025" s="85">
        <f t="shared" si="224"/>
        <v>0</v>
      </c>
      <c r="AA2025" s="69">
        <f>STATS1003B!AA2029/1000</f>
        <v>1654.5453500000001</v>
      </c>
      <c r="AB2025" s="69">
        <f>STATS1003B!AB2029/1000</f>
        <v>0</v>
      </c>
    </row>
    <row r="2026" spans="1:28" hidden="1" x14ac:dyDescent="0.3">
      <c r="A2026" s="117"/>
      <c r="C2026" s="68" t="s">
        <v>368</v>
      </c>
      <c r="D2026" s="145" t="s">
        <v>58</v>
      </c>
      <c r="E2026" s="85">
        <f>STATS1003B!E2030/1000</f>
        <v>2000</v>
      </c>
      <c r="F2026" s="85">
        <f>STATS1003B!F2030/1000</f>
        <v>2000</v>
      </c>
      <c r="G2026" s="85">
        <f>STATS1003B!G2030/1000</f>
        <v>0</v>
      </c>
      <c r="H2026" s="85">
        <f>STATS1003B!H2030/1000</f>
        <v>2000</v>
      </c>
      <c r="I2026" s="85">
        <f>STATS1003B!I2030/1000</f>
        <v>0</v>
      </c>
      <c r="J2026" s="85">
        <f>STATS1003B!J2030/1000</f>
        <v>0</v>
      </c>
      <c r="K2026" s="85">
        <f>STATS1003B!K2030/1000</f>
        <v>0</v>
      </c>
      <c r="L2026" s="85">
        <f>STATS1003B!L2030/1000</f>
        <v>0</v>
      </c>
      <c r="M2026" s="85">
        <f>STATS1003B!M2030/1000</f>
        <v>2000</v>
      </c>
      <c r="N2026" s="85">
        <f>STATS1003B!N2030/1000</f>
        <v>0</v>
      </c>
      <c r="O2026" s="85">
        <f>STATS1003B!O2030/1000</f>
        <v>0</v>
      </c>
      <c r="P2026" s="85">
        <f>STATS1003B!P2030/1000</f>
        <v>0</v>
      </c>
      <c r="Q2026" s="85">
        <f>STATS1003B!Q2030/1000</f>
        <v>0</v>
      </c>
      <c r="R2026" s="85">
        <f>STATS1003B!R2030/1000</f>
        <v>0</v>
      </c>
      <c r="S2026" s="85">
        <f>STATS1003B!S2030/1000</f>
        <v>0</v>
      </c>
      <c r="T2026" s="85">
        <f>STATS1003B!T2030/1000</f>
        <v>0</v>
      </c>
      <c r="U2026" s="85">
        <f>STATS1003B!U2030/1000</f>
        <v>0</v>
      </c>
      <c r="V2026" s="85">
        <f>STATS1003B!V2030/1000</f>
        <v>2000</v>
      </c>
      <c r="W2026" s="85">
        <f>STATS1003B!W2030/1000</f>
        <v>0</v>
      </c>
      <c r="X2026" s="85">
        <f t="shared" si="222"/>
        <v>2000</v>
      </c>
      <c r="Y2026" s="85">
        <f>STATS1003B!Y2030/1000</f>
        <v>0</v>
      </c>
      <c r="Z2026" s="85">
        <f t="shared" si="224"/>
        <v>0</v>
      </c>
      <c r="AA2026" s="69">
        <f>STATS1003B!AA2030/1000</f>
        <v>2000</v>
      </c>
      <c r="AB2026" s="69">
        <f>STATS1003B!AB2030/1000</f>
        <v>0</v>
      </c>
    </row>
    <row r="2027" spans="1:28" hidden="1" x14ac:dyDescent="0.3">
      <c r="A2027" s="117"/>
      <c r="C2027" s="71" t="s">
        <v>57</v>
      </c>
      <c r="D2027" s="145" t="s">
        <v>60</v>
      </c>
      <c r="E2027" s="85">
        <f>STATS1003B!E2031/1000</f>
        <v>6839.2070000000003</v>
      </c>
      <c r="F2027" s="85">
        <f>STATS1003B!F2031/1000</f>
        <v>6839.2070000000003</v>
      </c>
      <c r="G2027" s="85">
        <f>STATS1003B!G2031/1000</f>
        <v>0</v>
      </c>
      <c r="H2027" s="85">
        <f>STATS1003B!H2031/1000</f>
        <v>6839.2070000000003</v>
      </c>
      <c r="I2027" s="85">
        <f>STATS1003B!I2031/1000</f>
        <v>0</v>
      </c>
      <c r="J2027" s="85">
        <f>STATS1003B!J2031/1000</f>
        <v>0</v>
      </c>
      <c r="K2027" s="85">
        <f>STATS1003B!K2031/1000</f>
        <v>0</v>
      </c>
      <c r="L2027" s="85">
        <f>STATS1003B!L2031/1000</f>
        <v>0</v>
      </c>
      <c r="M2027" s="85">
        <f>STATS1003B!M2031/1000</f>
        <v>6839.2070000000003</v>
      </c>
      <c r="N2027" s="85">
        <f>STATS1003B!N2031/1000</f>
        <v>0</v>
      </c>
      <c r="O2027" s="85">
        <f>STATS1003B!O2031/1000</f>
        <v>0</v>
      </c>
      <c r="P2027" s="85">
        <f>STATS1003B!P2031/1000</f>
        <v>0</v>
      </c>
      <c r="Q2027" s="85">
        <f>STATS1003B!Q2031/1000</f>
        <v>0</v>
      </c>
      <c r="R2027" s="85">
        <f>STATS1003B!R2031/1000</f>
        <v>0</v>
      </c>
      <c r="S2027" s="85">
        <f>STATS1003B!S2031/1000</f>
        <v>0</v>
      </c>
      <c r="T2027" s="85">
        <f>STATS1003B!T2031/1000</f>
        <v>0</v>
      </c>
      <c r="U2027" s="85">
        <f>STATS1003B!U2031/1000</f>
        <v>0</v>
      </c>
      <c r="V2027" s="85">
        <f>STATS1003B!V2031/1000</f>
        <v>6839.2070000000003</v>
      </c>
      <c r="W2027" s="85">
        <f>STATS1003B!W2031/1000</f>
        <v>0</v>
      </c>
      <c r="X2027" s="85">
        <f t="shared" si="222"/>
        <v>6839.2070000000003</v>
      </c>
      <c r="Y2027" s="85">
        <f>STATS1003B!Y2031/1000</f>
        <v>0</v>
      </c>
      <c r="Z2027" s="85">
        <f t="shared" si="224"/>
        <v>0</v>
      </c>
      <c r="AA2027" s="69">
        <f>STATS1003B!AA2031/1000</f>
        <v>6839.2070000000003</v>
      </c>
      <c r="AB2027" s="69">
        <f>STATS1003B!AB2031/1000</f>
        <v>0</v>
      </c>
    </row>
    <row r="2028" spans="1:28" hidden="1" x14ac:dyDescent="0.3">
      <c r="A2028" s="117"/>
      <c r="C2028" s="71" t="s">
        <v>57</v>
      </c>
      <c r="D2028" s="145" t="s">
        <v>73</v>
      </c>
      <c r="E2028" s="85">
        <f>STATS1003B!E2032/1000</f>
        <v>21808.905589999998</v>
      </c>
      <c r="F2028" s="85">
        <f>STATS1003B!F2032/1000</f>
        <v>21808.905589999998</v>
      </c>
      <c r="G2028" s="85">
        <f>STATS1003B!G2032/1000</f>
        <v>0</v>
      </c>
      <c r="H2028" s="85">
        <f>STATS1003B!H2032/1000</f>
        <v>21808.905589999998</v>
      </c>
      <c r="I2028" s="85">
        <f>STATS1003B!I2032/1000</f>
        <v>0</v>
      </c>
      <c r="J2028" s="85">
        <f>STATS1003B!J2032/1000</f>
        <v>0</v>
      </c>
      <c r="K2028" s="85">
        <f>STATS1003B!K2032/1000</f>
        <v>0</v>
      </c>
      <c r="L2028" s="85">
        <f>STATS1003B!L2032/1000</f>
        <v>0</v>
      </c>
      <c r="M2028" s="85">
        <f>STATS1003B!M2032/1000</f>
        <v>21808.905589999998</v>
      </c>
      <c r="N2028" s="85">
        <f>STATS1003B!N2032/1000</f>
        <v>0</v>
      </c>
      <c r="O2028" s="85">
        <f>STATS1003B!O2032/1000</f>
        <v>0</v>
      </c>
      <c r="P2028" s="85">
        <f>STATS1003B!P2032/1000</f>
        <v>0</v>
      </c>
      <c r="Q2028" s="85">
        <f>STATS1003B!Q2032/1000</f>
        <v>0</v>
      </c>
      <c r="R2028" s="85">
        <f>STATS1003B!R2032/1000</f>
        <v>0</v>
      </c>
      <c r="S2028" s="85">
        <f>STATS1003B!S2032/1000</f>
        <v>0</v>
      </c>
      <c r="T2028" s="85">
        <f>STATS1003B!T2032/1000</f>
        <v>0</v>
      </c>
      <c r="U2028" s="85">
        <f>STATS1003B!U2032/1000</f>
        <v>0</v>
      </c>
      <c r="V2028" s="85">
        <f>STATS1003B!V2032/1000</f>
        <v>21808.905589999998</v>
      </c>
      <c r="W2028" s="85">
        <f>STATS1003B!W2032/1000</f>
        <v>0</v>
      </c>
      <c r="X2028" s="85">
        <f t="shared" si="222"/>
        <v>21808.905589999998</v>
      </c>
      <c r="Y2028" s="85">
        <f>STATS1003B!Y2032/1000</f>
        <v>0</v>
      </c>
      <c r="Z2028" s="85">
        <f t="shared" si="224"/>
        <v>0</v>
      </c>
      <c r="AA2028" s="69">
        <f>STATS1003B!AA2032/1000</f>
        <v>21808.905589999998</v>
      </c>
      <c r="AB2028" s="69">
        <f>STATS1003B!AB2032/1000</f>
        <v>0</v>
      </c>
    </row>
    <row r="2029" spans="1:28" hidden="1" x14ac:dyDescent="0.3">
      <c r="A2029" s="117"/>
      <c r="C2029" s="68" t="s">
        <v>122</v>
      </c>
      <c r="E2029" s="85">
        <f>STATS1003B!E2033/1000</f>
        <v>2196.1118999999999</v>
      </c>
      <c r="F2029" s="85">
        <f>STATS1003B!F2033/1000</f>
        <v>2196.1118999999999</v>
      </c>
      <c r="G2029" s="85">
        <f>STATS1003B!G2033/1000</f>
        <v>0</v>
      </c>
      <c r="H2029" s="85">
        <f>STATS1003B!H2033/1000</f>
        <v>2196.1118999999999</v>
      </c>
      <c r="I2029" s="85">
        <f>STATS1003B!I2033/1000</f>
        <v>0</v>
      </c>
      <c r="J2029" s="85">
        <f>STATS1003B!J2033/1000</f>
        <v>0</v>
      </c>
      <c r="K2029" s="85">
        <f>STATS1003B!K2033/1000</f>
        <v>0</v>
      </c>
      <c r="L2029" s="85">
        <f>STATS1003B!L2033/1000</f>
        <v>0</v>
      </c>
      <c r="M2029" s="85">
        <f>STATS1003B!M2033/1000</f>
        <v>2196.1118999999999</v>
      </c>
      <c r="N2029" s="85">
        <f>STATS1003B!N2033/1000</f>
        <v>0</v>
      </c>
      <c r="O2029" s="85">
        <f>STATS1003B!O2033/1000</f>
        <v>0</v>
      </c>
      <c r="P2029" s="85">
        <f>STATS1003B!P2033/1000</f>
        <v>0</v>
      </c>
      <c r="Q2029" s="85">
        <f>STATS1003B!Q2033/1000</f>
        <v>0</v>
      </c>
      <c r="R2029" s="85">
        <f>STATS1003B!R2033/1000</f>
        <v>0</v>
      </c>
      <c r="S2029" s="85">
        <f>STATS1003B!S2033/1000</f>
        <v>0</v>
      </c>
      <c r="T2029" s="85">
        <f>STATS1003B!T2033/1000</f>
        <v>0</v>
      </c>
      <c r="U2029" s="85">
        <f>STATS1003B!U2033/1000</f>
        <v>0</v>
      </c>
      <c r="V2029" s="85">
        <f>STATS1003B!V2033/1000</f>
        <v>2196.1118999999999</v>
      </c>
      <c r="W2029" s="85">
        <f>STATS1003B!W2033/1000</f>
        <v>0</v>
      </c>
      <c r="X2029" s="85">
        <f t="shared" si="222"/>
        <v>2196.1118999999999</v>
      </c>
      <c r="Y2029" s="85">
        <f>STATS1003B!Y2033/1000</f>
        <v>0</v>
      </c>
      <c r="Z2029" s="85">
        <f t="shared" si="224"/>
        <v>0</v>
      </c>
      <c r="AA2029" s="69">
        <f>STATS1003B!AA2033/1000</f>
        <v>2196.1118999999999</v>
      </c>
      <c r="AB2029" s="69">
        <f>STATS1003B!AB2033/1000</f>
        <v>0</v>
      </c>
    </row>
    <row r="2030" spans="1:28" hidden="1" x14ac:dyDescent="0.3">
      <c r="A2030" s="117"/>
      <c r="C2030" s="68" t="s">
        <v>1195</v>
      </c>
      <c r="D2030" s="91" t="s">
        <v>1126</v>
      </c>
      <c r="E2030" s="85">
        <f>STATS1003B!E2034/1000</f>
        <v>400</v>
      </c>
      <c r="F2030" s="85">
        <f>STATS1003B!F2034/1000</f>
        <v>400</v>
      </c>
      <c r="G2030" s="85">
        <f>STATS1003B!G2034/1000</f>
        <v>0</v>
      </c>
      <c r="H2030" s="85">
        <f>STATS1003B!H2034/1000</f>
        <v>400</v>
      </c>
      <c r="I2030" s="85">
        <f>STATS1003B!I2034/1000</f>
        <v>0</v>
      </c>
      <c r="J2030" s="85">
        <f>STATS1003B!J2034/1000</f>
        <v>0</v>
      </c>
      <c r="K2030" s="85">
        <f>STATS1003B!K2034/1000</f>
        <v>0</v>
      </c>
      <c r="L2030" s="85">
        <f>STATS1003B!L2034/1000</f>
        <v>0</v>
      </c>
      <c r="M2030" s="85">
        <f>STATS1003B!M2034/1000</f>
        <v>400</v>
      </c>
      <c r="N2030" s="85">
        <f>STATS1003B!N2034/1000</f>
        <v>0</v>
      </c>
      <c r="O2030" s="85">
        <f>STATS1003B!O2034/1000</f>
        <v>0</v>
      </c>
      <c r="P2030" s="85">
        <f>STATS1003B!P2034/1000</f>
        <v>0</v>
      </c>
      <c r="Q2030" s="85">
        <f>STATS1003B!Q2034/1000</f>
        <v>0</v>
      </c>
      <c r="R2030" s="85">
        <f>STATS1003B!R2034/1000</f>
        <v>0</v>
      </c>
      <c r="S2030" s="85">
        <f>STATS1003B!S2034/1000</f>
        <v>0</v>
      </c>
      <c r="T2030" s="85">
        <f>STATS1003B!T2034/1000</f>
        <v>0</v>
      </c>
      <c r="U2030" s="85">
        <f>STATS1003B!U2034/1000</f>
        <v>0</v>
      </c>
      <c r="V2030" s="85">
        <f>STATS1003B!V2034/1000</f>
        <v>400</v>
      </c>
      <c r="W2030" s="85">
        <f>STATS1003B!W2034/1000</f>
        <v>0</v>
      </c>
      <c r="X2030" s="85">
        <f t="shared" si="222"/>
        <v>400</v>
      </c>
      <c r="Y2030" s="85">
        <f>STATS1003B!Y2034/1000</f>
        <v>0</v>
      </c>
      <c r="Z2030" s="85">
        <f t="shared" si="224"/>
        <v>0</v>
      </c>
      <c r="AA2030" s="69">
        <f>STATS1003B!AA2034/1000</f>
        <v>400</v>
      </c>
      <c r="AB2030" s="69">
        <f>STATS1003B!AB2034/1000</f>
        <v>0</v>
      </c>
    </row>
    <row r="2031" spans="1:28" hidden="1" x14ac:dyDescent="0.3">
      <c r="A2031" s="117"/>
      <c r="C2031" s="68" t="s">
        <v>930</v>
      </c>
      <c r="D2031" s="91" t="s">
        <v>1072</v>
      </c>
      <c r="E2031" s="85">
        <f>STATS1003B!E2035/1000</f>
        <v>17437.537</v>
      </c>
      <c r="F2031" s="85">
        <f>STATS1003B!F2035/1000</f>
        <v>17437.537</v>
      </c>
      <c r="G2031" s="85">
        <f>STATS1003B!G2035/1000</f>
        <v>0</v>
      </c>
      <c r="H2031" s="85">
        <f>STATS1003B!H2035/1000</f>
        <v>17437.537</v>
      </c>
      <c r="I2031" s="85">
        <f>STATS1003B!I2035/1000</f>
        <v>0</v>
      </c>
      <c r="J2031" s="85">
        <f>STATS1003B!J2035/1000</f>
        <v>0</v>
      </c>
      <c r="K2031" s="85">
        <f>STATS1003B!K2035/1000</f>
        <v>0</v>
      </c>
      <c r="L2031" s="85">
        <f>STATS1003B!L2035/1000</f>
        <v>0</v>
      </c>
      <c r="M2031" s="85">
        <f>STATS1003B!M2035/1000</f>
        <v>17437.537</v>
      </c>
      <c r="N2031" s="85">
        <f>STATS1003B!N2035/1000</f>
        <v>0</v>
      </c>
      <c r="O2031" s="85">
        <f>STATS1003B!O2035/1000</f>
        <v>0</v>
      </c>
      <c r="P2031" s="85">
        <f>STATS1003B!P2035/1000</f>
        <v>0</v>
      </c>
      <c r="Q2031" s="85">
        <f>STATS1003B!Q2035/1000</f>
        <v>0</v>
      </c>
      <c r="R2031" s="85">
        <f>STATS1003B!R2035/1000</f>
        <v>0</v>
      </c>
      <c r="S2031" s="85">
        <f>STATS1003B!S2035/1000</f>
        <v>0</v>
      </c>
      <c r="T2031" s="85">
        <f>STATS1003B!T2035/1000</f>
        <v>0</v>
      </c>
      <c r="U2031" s="85">
        <f>STATS1003B!U2035/1000</f>
        <v>0</v>
      </c>
      <c r="V2031" s="85">
        <f>STATS1003B!V2035/1000</f>
        <v>17437.537</v>
      </c>
      <c r="W2031" s="85">
        <f>STATS1003B!W2035/1000</f>
        <v>0</v>
      </c>
      <c r="X2031" s="85">
        <f t="shared" si="222"/>
        <v>17437.537</v>
      </c>
      <c r="Y2031" s="85">
        <f>STATS1003B!Y2035/1000</f>
        <v>0</v>
      </c>
      <c r="Z2031" s="85">
        <f t="shared" si="224"/>
        <v>0</v>
      </c>
      <c r="AA2031" s="69">
        <f>STATS1003B!AA2035/1000</f>
        <v>17437.537</v>
      </c>
      <c r="AB2031" s="69">
        <f>STATS1003B!AB2035/1000</f>
        <v>0</v>
      </c>
    </row>
    <row r="2032" spans="1:28" hidden="1" x14ac:dyDescent="0.3">
      <c r="A2032" s="117"/>
      <c r="C2032" s="68" t="s">
        <v>1176</v>
      </c>
      <c r="D2032" s="91" t="s">
        <v>1126</v>
      </c>
      <c r="E2032" s="85">
        <f>STATS1003B!E2036/1000</f>
        <v>17736.008969999999</v>
      </c>
      <c r="F2032" s="85">
        <f>STATS1003B!F2036/1000</f>
        <v>17736.008969999999</v>
      </c>
      <c r="G2032" s="85">
        <f>STATS1003B!G2036/1000</f>
        <v>0</v>
      </c>
      <c r="H2032" s="85">
        <f>STATS1003B!H2036/1000</f>
        <v>17736.008969999999</v>
      </c>
      <c r="I2032" s="85">
        <f>STATS1003B!I2036/1000</f>
        <v>0</v>
      </c>
      <c r="J2032" s="85">
        <f>STATS1003B!J2036/1000</f>
        <v>0</v>
      </c>
      <c r="K2032" s="85">
        <f>STATS1003B!K2036/1000</f>
        <v>0</v>
      </c>
      <c r="L2032" s="85">
        <f>STATS1003B!L2036/1000</f>
        <v>0</v>
      </c>
      <c r="M2032" s="85">
        <f>STATS1003B!M2036/1000</f>
        <v>17736.008969999999</v>
      </c>
      <c r="N2032" s="85">
        <f>STATS1003B!N2036/1000</f>
        <v>0</v>
      </c>
      <c r="O2032" s="85">
        <f>STATS1003B!O2036/1000</f>
        <v>0</v>
      </c>
      <c r="P2032" s="85">
        <f>STATS1003B!P2036/1000</f>
        <v>0</v>
      </c>
      <c r="Q2032" s="85">
        <f>STATS1003B!Q2036/1000</f>
        <v>0</v>
      </c>
      <c r="R2032" s="85">
        <f>STATS1003B!R2036/1000</f>
        <v>0</v>
      </c>
      <c r="S2032" s="85">
        <f>STATS1003B!S2036/1000</f>
        <v>0</v>
      </c>
      <c r="T2032" s="85">
        <f>STATS1003B!T2036/1000</f>
        <v>0</v>
      </c>
      <c r="U2032" s="85">
        <f>STATS1003B!U2036/1000</f>
        <v>0</v>
      </c>
      <c r="V2032" s="85">
        <f>STATS1003B!V2036/1000</f>
        <v>17736.008969999999</v>
      </c>
      <c r="W2032" s="85">
        <f>STATS1003B!W2036/1000</f>
        <v>0</v>
      </c>
      <c r="X2032" s="85">
        <f t="shared" si="222"/>
        <v>17736.008969999999</v>
      </c>
      <c r="Y2032" s="85">
        <f>STATS1003B!Y2036/1000</f>
        <v>0</v>
      </c>
      <c r="Z2032" s="85">
        <f t="shared" si="224"/>
        <v>0</v>
      </c>
      <c r="AA2032" s="69">
        <f>STATS1003B!AA2036/1000</f>
        <v>17736.008969999999</v>
      </c>
      <c r="AB2032" s="69">
        <f>STATS1003B!AB2036/1000</f>
        <v>0</v>
      </c>
    </row>
    <row r="2033" spans="1:28" hidden="1" x14ac:dyDescent="0.3">
      <c r="A2033" s="117"/>
      <c r="C2033" s="68" t="s">
        <v>1242</v>
      </c>
      <c r="D2033" s="91" t="s">
        <v>1225</v>
      </c>
      <c r="E2033" s="85">
        <f>STATS1003B!E2037/1000</f>
        <v>6634.43361</v>
      </c>
      <c r="F2033" s="85">
        <f>STATS1003B!F2037/1000</f>
        <v>0</v>
      </c>
      <c r="G2033" s="85">
        <f>STATS1003B!G2037/1000</f>
        <v>6634.43361</v>
      </c>
      <c r="H2033" s="85">
        <f>STATS1003B!H2037/1000</f>
        <v>6634.43361</v>
      </c>
      <c r="I2033" s="85">
        <f>STATS1003B!I2037/1000</f>
        <v>0</v>
      </c>
      <c r="J2033" s="85">
        <f>STATS1003B!J2037/1000</f>
        <v>0</v>
      </c>
      <c r="K2033" s="85">
        <f>STATS1003B!K2037/1000</f>
        <v>0</v>
      </c>
      <c r="L2033" s="85">
        <f>STATS1003B!L2037/1000</f>
        <v>0</v>
      </c>
      <c r="M2033" s="85">
        <f>STATS1003B!M2037/1000</f>
        <v>6634.43361</v>
      </c>
      <c r="N2033" s="85">
        <f>STATS1003B!N2037/1000</f>
        <v>0</v>
      </c>
      <c r="O2033" s="85">
        <f>STATS1003B!O2037/1000</f>
        <v>0</v>
      </c>
      <c r="P2033" s="85">
        <f>STATS1003B!P2037/1000</f>
        <v>0</v>
      </c>
      <c r="Q2033" s="85">
        <f>STATS1003B!Q2037/1000</f>
        <v>0</v>
      </c>
      <c r="R2033" s="85">
        <f>STATS1003B!R2037/1000</f>
        <v>0</v>
      </c>
      <c r="S2033" s="85">
        <f>STATS1003B!S2037/1000</f>
        <v>0</v>
      </c>
      <c r="T2033" s="85">
        <f>STATS1003B!T2037/1000</f>
        <v>0</v>
      </c>
      <c r="U2033" s="85">
        <f>STATS1003B!U2037/1000</f>
        <v>0</v>
      </c>
      <c r="V2033" s="85">
        <f>STATS1003B!V2037/1000</f>
        <v>0</v>
      </c>
      <c r="W2033" s="85">
        <f>STATS1003B!W2037/1000</f>
        <v>0</v>
      </c>
      <c r="X2033" s="85">
        <f t="shared" si="222"/>
        <v>6634.43361</v>
      </c>
      <c r="Y2033" s="85">
        <f>STATS1003B!Y2037/1000</f>
        <v>0</v>
      </c>
      <c r="Z2033" s="85">
        <f t="shared" si="224"/>
        <v>0</v>
      </c>
      <c r="AA2033" s="69">
        <f>STATS1003B!AA2037/1000</f>
        <v>6634.43361</v>
      </c>
      <c r="AB2033" s="69">
        <f>STATS1003B!AB2037/1000</f>
        <v>0</v>
      </c>
    </row>
    <row r="2034" spans="1:28" hidden="1" x14ac:dyDescent="0.3">
      <c r="A2034" s="117"/>
      <c r="C2034" s="68" t="s">
        <v>1106</v>
      </c>
      <c r="D2034" s="91" t="s">
        <v>1072</v>
      </c>
      <c r="E2034" s="85">
        <f>STATS1003B!E2038/1000</f>
        <v>18120.922509999997</v>
      </c>
      <c r="F2034" s="85">
        <f>STATS1003B!F2038/1000</f>
        <v>18120.922509999997</v>
      </c>
      <c r="G2034" s="85">
        <f>STATS1003B!G2038/1000</f>
        <v>0</v>
      </c>
      <c r="H2034" s="85">
        <f>STATS1003B!H2038/1000</f>
        <v>18120.922509999997</v>
      </c>
      <c r="I2034" s="85">
        <f>STATS1003B!I2038/1000</f>
        <v>0</v>
      </c>
      <c r="J2034" s="85">
        <f>STATS1003B!J2038/1000</f>
        <v>0</v>
      </c>
      <c r="K2034" s="85">
        <f>STATS1003B!K2038/1000</f>
        <v>0</v>
      </c>
      <c r="L2034" s="85">
        <f>STATS1003B!L2038/1000</f>
        <v>0</v>
      </c>
      <c r="M2034" s="85">
        <f>STATS1003B!M2038/1000</f>
        <v>18120.922509999997</v>
      </c>
      <c r="N2034" s="85">
        <f>STATS1003B!N2038/1000</f>
        <v>0</v>
      </c>
      <c r="O2034" s="85">
        <f>STATS1003B!O2038/1000</f>
        <v>0</v>
      </c>
      <c r="P2034" s="85">
        <f>STATS1003B!P2038/1000</f>
        <v>0</v>
      </c>
      <c r="Q2034" s="85">
        <f>STATS1003B!Q2038/1000</f>
        <v>0</v>
      </c>
      <c r="R2034" s="85">
        <f>STATS1003B!R2038/1000</f>
        <v>0</v>
      </c>
      <c r="S2034" s="85">
        <f>STATS1003B!S2038/1000</f>
        <v>0</v>
      </c>
      <c r="T2034" s="85">
        <f>STATS1003B!T2038/1000</f>
        <v>0</v>
      </c>
      <c r="U2034" s="85">
        <f>STATS1003B!U2038/1000</f>
        <v>0</v>
      </c>
      <c r="V2034" s="85">
        <f>STATS1003B!V2038/1000</f>
        <v>18120.922509999997</v>
      </c>
      <c r="W2034" s="85">
        <f>STATS1003B!W2038/1000</f>
        <v>0</v>
      </c>
      <c r="X2034" s="85">
        <f t="shared" si="222"/>
        <v>18120.922509999997</v>
      </c>
      <c r="Y2034" s="85">
        <f>STATS1003B!Y2038/1000</f>
        <v>0</v>
      </c>
      <c r="Z2034" s="85">
        <f t="shared" si="224"/>
        <v>0</v>
      </c>
      <c r="AA2034" s="69">
        <f>STATS1003B!AA2038/1000</f>
        <v>18120.922509999997</v>
      </c>
      <c r="AB2034" s="69">
        <f>STATS1003B!AB2038/1000</f>
        <v>0</v>
      </c>
    </row>
    <row r="2035" spans="1:28" hidden="1" x14ac:dyDescent="0.3">
      <c r="A2035" s="117"/>
      <c r="C2035" s="71" t="s">
        <v>57</v>
      </c>
      <c r="D2035" s="91" t="s">
        <v>61</v>
      </c>
      <c r="E2035" s="85">
        <f>STATS1003B!E2039/1000</f>
        <v>18147.312150000002</v>
      </c>
      <c r="F2035" s="85">
        <f>STATS1003B!F2039/1000</f>
        <v>18077.23128</v>
      </c>
      <c r="G2035" s="85">
        <f>STATS1003B!G2039/1000</f>
        <v>0</v>
      </c>
      <c r="H2035" s="85">
        <f>STATS1003B!H2039/1000</f>
        <v>18077.23128</v>
      </c>
      <c r="I2035" s="85">
        <f>STATS1003B!I2039/1000</f>
        <v>18077.23128</v>
      </c>
      <c r="J2035" s="85">
        <f>STATS1003B!J2039/1000</f>
        <v>18077.23128</v>
      </c>
      <c r="K2035" s="85">
        <f>STATS1003B!K2039/1000</f>
        <v>0</v>
      </c>
      <c r="L2035" s="85">
        <f>STATS1003B!L2039/1000</f>
        <v>0</v>
      </c>
      <c r="M2035" s="85">
        <f>STATS1003B!M2039/1000</f>
        <v>18077.23128</v>
      </c>
      <c r="N2035" s="85">
        <f>STATS1003B!N2039/1000</f>
        <v>0</v>
      </c>
      <c r="O2035" s="85">
        <f>STATS1003B!O2039/1000</f>
        <v>0</v>
      </c>
      <c r="P2035" s="85">
        <f>STATS1003B!P2039/1000</f>
        <v>0</v>
      </c>
      <c r="Q2035" s="85">
        <f>STATS1003B!Q2039/1000</f>
        <v>70.08086999999999</v>
      </c>
      <c r="R2035" s="85">
        <f>STATS1003B!R2039/1000</f>
        <v>0</v>
      </c>
      <c r="S2035" s="85">
        <f>STATS1003B!S2039/1000</f>
        <v>0</v>
      </c>
      <c r="T2035" s="85">
        <f>STATS1003B!T2039/1000</f>
        <v>70.08086999999999</v>
      </c>
      <c r="U2035" s="85">
        <f>STATS1003B!U2039/1000</f>
        <v>70.08086999999999</v>
      </c>
      <c r="V2035" s="85">
        <f>STATS1003B!V2039/1000</f>
        <v>18077.23128</v>
      </c>
      <c r="W2035" s="85">
        <f>STATS1003B!W2039/1000</f>
        <v>70.080870000001042</v>
      </c>
      <c r="X2035" s="85">
        <f t="shared" si="222"/>
        <v>18077.23128</v>
      </c>
      <c r="Y2035" s="85">
        <f>STATS1003B!Y2039/1000</f>
        <v>0</v>
      </c>
      <c r="Z2035" s="85">
        <f t="shared" si="224"/>
        <v>70.080870000001596</v>
      </c>
      <c r="AA2035" s="69">
        <f>STATS1003B!AA2039/1000</f>
        <v>18147.312150000002</v>
      </c>
      <c r="AB2035" s="69">
        <f>STATS1003B!AB2039/1000</f>
        <v>0</v>
      </c>
    </row>
    <row r="2036" spans="1:28" hidden="1" x14ac:dyDescent="0.3">
      <c r="A2036" s="117"/>
      <c r="E2036" s="86" t="s">
        <v>29</v>
      </c>
      <c r="F2036" s="86" t="s">
        <v>29</v>
      </c>
      <c r="G2036" s="86" t="s">
        <v>29</v>
      </c>
      <c r="H2036" s="86" t="s">
        <v>29</v>
      </c>
      <c r="I2036" s="86" t="s">
        <v>29</v>
      </c>
      <c r="J2036" s="86" t="s">
        <v>29</v>
      </c>
      <c r="K2036" s="86" t="s">
        <v>29</v>
      </c>
      <c r="L2036" s="86" t="s">
        <v>29</v>
      </c>
      <c r="M2036" s="86" t="s">
        <v>29</v>
      </c>
      <c r="N2036" s="86" t="s">
        <v>29</v>
      </c>
      <c r="O2036" s="86" t="s">
        <v>29</v>
      </c>
      <c r="P2036" s="86" t="s">
        <v>29</v>
      </c>
      <c r="Q2036" s="86" t="s">
        <v>29</v>
      </c>
      <c r="R2036" s="86" t="s">
        <v>29</v>
      </c>
      <c r="S2036" s="86" t="s">
        <v>29</v>
      </c>
      <c r="T2036" s="86" t="s">
        <v>29</v>
      </c>
      <c r="U2036" s="86" t="s">
        <v>29</v>
      </c>
      <c r="V2036" s="86" t="s">
        <v>29</v>
      </c>
      <c r="W2036" s="86" t="s">
        <v>29</v>
      </c>
      <c r="X2036" s="85" t="e">
        <f t="shared" si="222"/>
        <v>#VALUE!</v>
      </c>
      <c r="Y2036" s="86" t="s">
        <v>29</v>
      </c>
      <c r="Z2036" s="85" t="e">
        <f t="shared" si="224"/>
        <v>#VALUE!</v>
      </c>
      <c r="AA2036" s="115" t="s">
        <v>29</v>
      </c>
      <c r="AB2036" s="115" t="s">
        <v>29</v>
      </c>
    </row>
    <row r="2037" spans="1:28" x14ac:dyDescent="0.3">
      <c r="A2037" s="116">
        <v>89</v>
      </c>
      <c r="B2037" s="68" t="s">
        <v>361</v>
      </c>
      <c r="E2037" s="85">
        <f>308292960.42/1000</f>
        <v>308292.96042000002</v>
      </c>
      <c r="F2037" s="85">
        <f t="shared" ref="F2037:AB2037" si="225">SUM(F2015:F2035)</f>
        <v>131696.60954999999</v>
      </c>
      <c r="G2037" s="85">
        <f t="shared" si="225"/>
        <v>6634.43361</v>
      </c>
      <c r="H2037" s="85">
        <f>304153625.9/1000</f>
        <v>304153.62589999998</v>
      </c>
      <c r="I2037" s="85">
        <f t="shared" si="225"/>
        <v>18077.23128</v>
      </c>
      <c r="J2037" s="85">
        <f t="shared" si="225"/>
        <v>18077.23128</v>
      </c>
      <c r="K2037" s="85">
        <f t="shared" si="225"/>
        <v>0</v>
      </c>
      <c r="L2037" s="85">
        <f t="shared" si="225"/>
        <v>0</v>
      </c>
      <c r="M2037" s="85">
        <f t="shared" si="225"/>
        <v>138331.04316</v>
      </c>
      <c r="N2037" s="85">
        <f t="shared" si="225"/>
        <v>4069.2536499999997</v>
      </c>
      <c r="O2037" s="85">
        <f t="shared" si="225"/>
        <v>0</v>
      </c>
      <c r="P2037" s="85">
        <f>4069253/1000</f>
        <v>4069.2530000000002</v>
      </c>
      <c r="Q2037" s="85">
        <f t="shared" si="225"/>
        <v>70.08086999999999</v>
      </c>
      <c r="R2037" s="85">
        <f t="shared" si="225"/>
        <v>0</v>
      </c>
      <c r="S2037" s="85">
        <f t="shared" si="225"/>
        <v>0</v>
      </c>
      <c r="T2037" s="85">
        <f t="shared" si="225"/>
        <v>70.08086999999999</v>
      </c>
      <c r="U2037" s="85">
        <f t="shared" si="225"/>
        <v>4139.3345199999994</v>
      </c>
      <c r="V2037" s="85">
        <f t="shared" si="225"/>
        <v>135765.86319999999</v>
      </c>
      <c r="W2037" s="85">
        <f t="shared" si="225"/>
        <v>70.080870000001042</v>
      </c>
      <c r="X2037" s="85">
        <f t="shared" si="222"/>
        <v>308222.87890000001</v>
      </c>
      <c r="Y2037" s="85">
        <f t="shared" si="225"/>
        <v>0</v>
      </c>
      <c r="Z2037" s="85">
        <f t="shared" si="224"/>
        <v>70.081520000007004</v>
      </c>
      <c r="AA2037" s="69">
        <f t="shared" si="225"/>
        <v>142470.37768000001</v>
      </c>
      <c r="AB2037" s="69">
        <f t="shared" si="225"/>
        <v>0</v>
      </c>
    </row>
    <row r="2038" spans="1:28" hidden="1" x14ac:dyDescent="0.3">
      <c r="A2038" s="117"/>
      <c r="E2038" s="86" t="s">
        <v>29</v>
      </c>
      <c r="F2038" s="86" t="s">
        <v>29</v>
      </c>
      <c r="G2038" s="86" t="s">
        <v>29</v>
      </c>
      <c r="H2038" s="86" t="s">
        <v>29</v>
      </c>
      <c r="I2038" s="86" t="s">
        <v>29</v>
      </c>
      <c r="J2038" s="86" t="s">
        <v>29</v>
      </c>
      <c r="K2038" s="86" t="s">
        <v>29</v>
      </c>
      <c r="L2038" s="86" t="s">
        <v>29</v>
      </c>
      <c r="M2038" s="86" t="s">
        <v>29</v>
      </c>
      <c r="N2038" s="86" t="s">
        <v>29</v>
      </c>
      <c r="O2038" s="86" t="s">
        <v>29</v>
      </c>
      <c r="P2038" s="86" t="s">
        <v>29</v>
      </c>
      <c r="Q2038" s="86" t="s">
        <v>29</v>
      </c>
      <c r="R2038" s="86" t="s">
        <v>29</v>
      </c>
      <c r="S2038" s="86" t="s">
        <v>29</v>
      </c>
      <c r="T2038" s="86" t="s">
        <v>29</v>
      </c>
      <c r="U2038" s="86" t="s">
        <v>29</v>
      </c>
      <c r="V2038" s="86" t="s">
        <v>29</v>
      </c>
      <c r="W2038" s="86" t="s">
        <v>29</v>
      </c>
      <c r="X2038" s="85" t="e">
        <f t="shared" si="222"/>
        <v>#VALUE!</v>
      </c>
      <c r="Y2038" s="86" t="s">
        <v>29</v>
      </c>
      <c r="Z2038" s="85" t="e">
        <f t="shared" si="224"/>
        <v>#VALUE!</v>
      </c>
      <c r="AA2038" s="115" t="s">
        <v>29</v>
      </c>
      <c r="AB2038" s="115" t="s">
        <v>29</v>
      </c>
    </row>
    <row r="2039" spans="1:28" hidden="1" x14ac:dyDescent="0.3">
      <c r="A2039" s="105"/>
      <c r="E2039" s="84"/>
      <c r="F2039" s="84"/>
      <c r="G2039" s="84"/>
      <c r="H2039" s="84"/>
      <c r="I2039" s="84"/>
      <c r="J2039" s="84"/>
      <c r="K2039" s="84"/>
      <c r="L2039" s="84"/>
      <c r="M2039" s="84"/>
      <c r="N2039" s="84"/>
      <c r="O2039" s="84"/>
      <c r="P2039" s="84"/>
      <c r="Q2039" s="84"/>
      <c r="R2039" s="84"/>
      <c r="S2039" s="84"/>
      <c r="T2039" s="84"/>
      <c r="U2039" s="84"/>
      <c r="V2039" s="84"/>
      <c r="W2039" s="84"/>
      <c r="X2039" s="85">
        <f t="shared" si="222"/>
        <v>0</v>
      </c>
      <c r="Y2039" s="84"/>
      <c r="Z2039" s="85">
        <f t="shared" si="224"/>
        <v>0</v>
      </c>
    </row>
    <row r="2040" spans="1:28" hidden="1" x14ac:dyDescent="0.3">
      <c r="A2040" s="117"/>
      <c r="D2040" s="145" t="s">
        <v>370</v>
      </c>
      <c r="E2040" s="84"/>
      <c r="F2040" s="84"/>
      <c r="G2040" s="84"/>
      <c r="H2040" s="84"/>
      <c r="I2040" s="84"/>
      <c r="J2040" s="84"/>
      <c r="K2040" s="84"/>
      <c r="L2040" s="84"/>
      <c r="M2040" s="84"/>
      <c r="N2040" s="84"/>
      <c r="O2040" s="84"/>
      <c r="P2040" s="84"/>
      <c r="Q2040" s="84"/>
      <c r="R2040" s="84"/>
      <c r="S2040" s="84"/>
      <c r="T2040" s="84"/>
      <c r="U2040" s="84"/>
      <c r="V2040" s="84"/>
      <c r="W2040" s="84"/>
      <c r="X2040" s="85">
        <f t="shared" si="222"/>
        <v>0</v>
      </c>
      <c r="Y2040" s="84"/>
      <c r="Z2040" s="85">
        <f t="shared" si="224"/>
        <v>0</v>
      </c>
    </row>
    <row r="2041" spans="1:28" hidden="1" x14ac:dyDescent="0.3">
      <c r="A2041" s="117"/>
      <c r="C2041" s="68" t="s">
        <v>51</v>
      </c>
      <c r="D2041" s="71" t="s">
        <v>371</v>
      </c>
      <c r="E2041" s="85">
        <f>STATS1003B!E2045/1000</f>
        <v>18200.518390000001</v>
      </c>
      <c r="F2041" s="85">
        <f>STATS1003B!F2045/1000</f>
        <v>16921.788510000002</v>
      </c>
      <c r="G2041" s="85">
        <f>STATS1003B!G2045/1000</f>
        <v>0</v>
      </c>
      <c r="H2041" s="85">
        <f>STATS1003B!H2045/1000</f>
        <v>16921.788510000002</v>
      </c>
      <c r="I2041" s="85">
        <f>STATS1003B!I2045/1000</f>
        <v>0</v>
      </c>
      <c r="J2041" s="85">
        <f>STATS1003B!J2045/1000</f>
        <v>0</v>
      </c>
      <c r="K2041" s="85">
        <f>STATS1003B!K2045/1000</f>
        <v>0</v>
      </c>
      <c r="L2041" s="85">
        <f>STATS1003B!L2045/1000</f>
        <v>0</v>
      </c>
      <c r="M2041" s="85">
        <f>STATS1003B!M2045/1000</f>
        <v>16921.788510000002</v>
      </c>
      <c r="N2041" s="85">
        <f>STATS1003B!N2045/1000</f>
        <v>1278.7298799999999</v>
      </c>
      <c r="O2041" s="85">
        <f>STATS1003B!O2045/1000</f>
        <v>0</v>
      </c>
      <c r="P2041" s="85">
        <f>STATS1003B!P2045/1000</f>
        <v>1278.7298799999999</v>
      </c>
      <c r="Q2041" s="85">
        <f>STATS1003B!Q2045/1000</f>
        <v>0</v>
      </c>
      <c r="R2041" s="85">
        <f>STATS1003B!R2045/1000</f>
        <v>0</v>
      </c>
      <c r="S2041" s="85">
        <f>STATS1003B!S2045/1000</f>
        <v>0</v>
      </c>
      <c r="T2041" s="85">
        <f>STATS1003B!T2045/1000</f>
        <v>0</v>
      </c>
      <c r="U2041" s="85">
        <f>STATS1003B!U2045/1000</f>
        <v>1278.7298799999999</v>
      </c>
      <c r="V2041" s="85">
        <f>STATS1003B!V2045/1000</f>
        <v>18200.518390000001</v>
      </c>
      <c r="W2041" s="85">
        <f>STATS1003B!W2045/1000</f>
        <v>0</v>
      </c>
      <c r="X2041" s="85">
        <f t="shared" si="222"/>
        <v>18200.518390000001</v>
      </c>
      <c r="Y2041" s="85">
        <f>STATS1003B!Y2045/1000</f>
        <v>0</v>
      </c>
      <c r="Z2041" s="85">
        <f t="shared" si="224"/>
        <v>0</v>
      </c>
      <c r="AA2041" s="69">
        <f>STATS1003B!AA2045/1000</f>
        <v>18200.518390000001</v>
      </c>
      <c r="AB2041" s="69">
        <f>STATS1003B!AB2045/1000</f>
        <v>0</v>
      </c>
    </row>
    <row r="2042" spans="1:28" hidden="1" x14ac:dyDescent="0.3">
      <c r="A2042" s="117"/>
      <c r="C2042" s="68" t="s">
        <v>53</v>
      </c>
      <c r="D2042" s="145" t="s">
        <v>68</v>
      </c>
      <c r="E2042" s="85">
        <f>STATS1003B!E2046/1000</f>
        <v>1767.77</v>
      </c>
      <c r="F2042" s="85">
        <f>STATS1003B!F2046/1000</f>
        <v>0</v>
      </c>
      <c r="G2042" s="85">
        <f>STATS1003B!G2046/1000</f>
        <v>0</v>
      </c>
      <c r="H2042" s="85">
        <f>STATS1003B!H2046/1000</f>
        <v>0</v>
      </c>
      <c r="I2042" s="85">
        <f>STATS1003B!I2046/1000</f>
        <v>0</v>
      </c>
      <c r="J2042" s="85">
        <f>STATS1003B!J2046/1000</f>
        <v>0</v>
      </c>
      <c r="K2042" s="85">
        <f>STATS1003B!K2046/1000</f>
        <v>0</v>
      </c>
      <c r="L2042" s="85">
        <f>STATS1003B!L2046/1000</f>
        <v>0</v>
      </c>
      <c r="M2042" s="85">
        <f>STATS1003B!M2046/1000</f>
        <v>0</v>
      </c>
      <c r="N2042" s="85">
        <f>STATS1003B!N2046/1000</f>
        <v>1767.77</v>
      </c>
      <c r="O2042" s="85">
        <f>STATS1003B!O2046/1000</f>
        <v>0</v>
      </c>
      <c r="P2042" s="85">
        <f>STATS1003B!P2046/1000</f>
        <v>1767.77</v>
      </c>
      <c r="Q2042" s="85">
        <f>STATS1003B!Q2046/1000</f>
        <v>0</v>
      </c>
      <c r="R2042" s="85">
        <f>STATS1003B!R2046/1000</f>
        <v>0</v>
      </c>
      <c r="S2042" s="85">
        <f>STATS1003B!S2046/1000</f>
        <v>0</v>
      </c>
      <c r="T2042" s="85">
        <f>STATS1003B!T2046/1000</f>
        <v>0</v>
      </c>
      <c r="U2042" s="85">
        <f>STATS1003B!U2046/1000</f>
        <v>1767.77</v>
      </c>
      <c r="V2042" s="85">
        <f>STATS1003B!V2046/1000</f>
        <v>1767.77</v>
      </c>
      <c r="W2042" s="85">
        <f>STATS1003B!W2046/1000</f>
        <v>0</v>
      </c>
      <c r="X2042" s="85">
        <f t="shared" si="222"/>
        <v>1767.77</v>
      </c>
      <c r="Y2042" s="85">
        <f>STATS1003B!Y2046/1000</f>
        <v>0</v>
      </c>
      <c r="Z2042" s="85">
        <f t="shared" si="224"/>
        <v>0</v>
      </c>
      <c r="AA2042" s="69">
        <f>STATS1003B!AA2046/1000</f>
        <v>1767.77</v>
      </c>
      <c r="AB2042" s="69">
        <f>STATS1003B!AB2046/1000</f>
        <v>0</v>
      </c>
    </row>
    <row r="2043" spans="1:28" hidden="1" x14ac:dyDescent="0.3">
      <c r="A2043" s="117"/>
      <c r="C2043" s="68" t="s">
        <v>192</v>
      </c>
      <c r="D2043" s="145" t="s">
        <v>54</v>
      </c>
      <c r="E2043" s="85">
        <f>STATS1003B!E2047/1000</f>
        <v>955.34561999999994</v>
      </c>
      <c r="F2043" s="85">
        <f>STATS1003B!F2047/1000</f>
        <v>0</v>
      </c>
      <c r="G2043" s="85">
        <f>STATS1003B!G2047/1000</f>
        <v>0</v>
      </c>
      <c r="H2043" s="85">
        <f>STATS1003B!H2047/1000</f>
        <v>0</v>
      </c>
      <c r="I2043" s="85">
        <f>STATS1003B!I2047/1000</f>
        <v>0</v>
      </c>
      <c r="J2043" s="85">
        <f>STATS1003B!J2047/1000</f>
        <v>0</v>
      </c>
      <c r="K2043" s="85">
        <f>STATS1003B!K2047/1000</f>
        <v>0</v>
      </c>
      <c r="L2043" s="85">
        <f>STATS1003B!L2047/1000</f>
        <v>0</v>
      </c>
      <c r="M2043" s="85">
        <f>STATS1003B!M2047/1000</f>
        <v>0</v>
      </c>
      <c r="N2043" s="85">
        <f>STATS1003B!N2047/1000</f>
        <v>955.34561999999994</v>
      </c>
      <c r="O2043" s="85">
        <f>STATS1003B!O2047/1000</f>
        <v>0</v>
      </c>
      <c r="P2043" s="85">
        <f>STATS1003B!P2047/1000</f>
        <v>955.34561999999994</v>
      </c>
      <c r="Q2043" s="85">
        <f>STATS1003B!Q2047/1000</f>
        <v>0</v>
      </c>
      <c r="R2043" s="85">
        <f>STATS1003B!R2047/1000</f>
        <v>0</v>
      </c>
      <c r="S2043" s="85">
        <f>STATS1003B!S2047/1000</f>
        <v>0</v>
      </c>
      <c r="T2043" s="85">
        <f>STATS1003B!T2047/1000</f>
        <v>0</v>
      </c>
      <c r="U2043" s="85">
        <f>STATS1003B!U2047/1000</f>
        <v>955.34561999999994</v>
      </c>
      <c r="V2043" s="85">
        <f>STATS1003B!V2047/1000</f>
        <v>955.34561999999994</v>
      </c>
      <c r="W2043" s="85">
        <f>STATS1003B!W2047/1000</f>
        <v>0</v>
      </c>
      <c r="X2043" s="85">
        <f t="shared" si="222"/>
        <v>955.34561999999994</v>
      </c>
      <c r="Y2043" s="85">
        <f>STATS1003B!Y2047/1000</f>
        <v>0</v>
      </c>
      <c r="Z2043" s="85">
        <f t="shared" si="224"/>
        <v>0</v>
      </c>
      <c r="AA2043" s="69">
        <f>STATS1003B!AA2047/1000</f>
        <v>955.34561999999994</v>
      </c>
      <c r="AB2043" s="69">
        <f>STATS1003B!AB2047/1000</f>
        <v>0</v>
      </c>
    </row>
    <row r="2044" spans="1:28" hidden="1" x14ac:dyDescent="0.3">
      <c r="A2044" s="117"/>
      <c r="C2044" s="68" t="s">
        <v>372</v>
      </c>
      <c r="D2044" s="145" t="s">
        <v>85</v>
      </c>
      <c r="E2044" s="85">
        <f>STATS1003B!E2048/1000</f>
        <v>4000</v>
      </c>
      <c r="F2044" s="85">
        <f>STATS1003B!F2048/1000</f>
        <v>4000</v>
      </c>
      <c r="G2044" s="85">
        <f>STATS1003B!G2048/1000</f>
        <v>0</v>
      </c>
      <c r="H2044" s="85">
        <f>STATS1003B!H2048/1000</f>
        <v>4000</v>
      </c>
      <c r="I2044" s="85">
        <f>STATS1003B!I2048/1000</f>
        <v>0</v>
      </c>
      <c r="J2044" s="85">
        <f>STATS1003B!J2048/1000</f>
        <v>0</v>
      </c>
      <c r="K2044" s="85">
        <f>STATS1003B!K2048/1000</f>
        <v>0</v>
      </c>
      <c r="L2044" s="85">
        <f>STATS1003B!L2048/1000</f>
        <v>0</v>
      </c>
      <c r="M2044" s="85">
        <f>STATS1003B!M2048/1000</f>
        <v>4000</v>
      </c>
      <c r="N2044" s="85">
        <f>STATS1003B!N2048/1000</f>
        <v>0</v>
      </c>
      <c r="O2044" s="85">
        <f>STATS1003B!O2048/1000</f>
        <v>0</v>
      </c>
      <c r="P2044" s="85">
        <f>STATS1003B!P2048/1000</f>
        <v>0</v>
      </c>
      <c r="Q2044" s="85">
        <f>STATS1003B!Q2048/1000</f>
        <v>0</v>
      </c>
      <c r="R2044" s="85">
        <f>STATS1003B!R2048/1000</f>
        <v>0</v>
      </c>
      <c r="S2044" s="85">
        <f>STATS1003B!S2048/1000</f>
        <v>0</v>
      </c>
      <c r="T2044" s="85">
        <f>STATS1003B!T2048/1000</f>
        <v>0</v>
      </c>
      <c r="U2044" s="85">
        <f>STATS1003B!U2048/1000</f>
        <v>0</v>
      </c>
      <c r="V2044" s="85">
        <f>STATS1003B!V2048/1000</f>
        <v>4000</v>
      </c>
      <c r="W2044" s="85">
        <f>STATS1003B!W2048/1000</f>
        <v>0</v>
      </c>
      <c r="X2044" s="85">
        <f t="shared" si="222"/>
        <v>4000</v>
      </c>
      <c r="Y2044" s="85">
        <f>STATS1003B!Y2048/1000</f>
        <v>0</v>
      </c>
      <c r="Z2044" s="85">
        <f t="shared" si="224"/>
        <v>0</v>
      </c>
      <c r="AA2044" s="69">
        <f>STATS1003B!AA2048/1000</f>
        <v>4000</v>
      </c>
      <c r="AB2044" s="69">
        <f>STATS1003B!AB2048/1000</f>
        <v>0</v>
      </c>
    </row>
    <row r="2045" spans="1:28" hidden="1" x14ac:dyDescent="0.3">
      <c r="A2045" s="117"/>
      <c r="C2045" s="68" t="s">
        <v>57</v>
      </c>
      <c r="D2045" s="145" t="s">
        <v>58</v>
      </c>
      <c r="E2045" s="85">
        <f>STATS1003B!E2049/1000</f>
        <v>3290.826</v>
      </c>
      <c r="F2045" s="85">
        <f>STATS1003B!F2049/1000</f>
        <v>3290.826</v>
      </c>
      <c r="G2045" s="85">
        <f>STATS1003B!G2049/1000</f>
        <v>0</v>
      </c>
      <c r="H2045" s="85">
        <f>STATS1003B!H2049/1000</f>
        <v>3290.826</v>
      </c>
      <c r="I2045" s="85">
        <f>STATS1003B!I2049/1000</f>
        <v>0</v>
      </c>
      <c r="J2045" s="85">
        <f>STATS1003B!J2049/1000</f>
        <v>0</v>
      </c>
      <c r="K2045" s="85">
        <f>STATS1003B!K2049/1000</f>
        <v>0</v>
      </c>
      <c r="L2045" s="85">
        <f>STATS1003B!L2049/1000</f>
        <v>0</v>
      </c>
      <c r="M2045" s="85">
        <f>STATS1003B!M2049/1000</f>
        <v>3290.826</v>
      </c>
      <c r="N2045" s="85">
        <f>STATS1003B!N2049/1000</f>
        <v>0</v>
      </c>
      <c r="O2045" s="85">
        <f>STATS1003B!O2049/1000</f>
        <v>0</v>
      </c>
      <c r="P2045" s="85">
        <f>STATS1003B!P2049/1000</f>
        <v>0</v>
      </c>
      <c r="Q2045" s="85">
        <f>STATS1003B!Q2049/1000</f>
        <v>0</v>
      </c>
      <c r="R2045" s="85">
        <f>STATS1003B!R2049/1000</f>
        <v>0</v>
      </c>
      <c r="S2045" s="85">
        <f>STATS1003B!S2049/1000</f>
        <v>0</v>
      </c>
      <c r="T2045" s="85">
        <f>STATS1003B!T2049/1000</f>
        <v>0</v>
      </c>
      <c r="U2045" s="85">
        <f>STATS1003B!U2049/1000</f>
        <v>0</v>
      </c>
      <c r="V2045" s="85">
        <f>STATS1003B!V2049/1000</f>
        <v>3290.826</v>
      </c>
      <c r="W2045" s="85">
        <f>STATS1003B!W2049/1000</f>
        <v>0</v>
      </c>
      <c r="X2045" s="85">
        <f t="shared" si="222"/>
        <v>3290.826</v>
      </c>
      <c r="Y2045" s="85">
        <f>STATS1003B!Y2049/1000</f>
        <v>0</v>
      </c>
      <c r="Z2045" s="85">
        <f t="shared" si="224"/>
        <v>0</v>
      </c>
      <c r="AA2045" s="69">
        <f>STATS1003B!AA2049/1000</f>
        <v>3290.826</v>
      </c>
      <c r="AB2045" s="69">
        <f>STATS1003B!AB2049/1000</f>
        <v>0</v>
      </c>
    </row>
    <row r="2046" spans="1:28" hidden="1" x14ac:dyDescent="0.3">
      <c r="A2046" s="117"/>
      <c r="C2046" s="68" t="s">
        <v>57</v>
      </c>
      <c r="D2046" s="145" t="s">
        <v>60</v>
      </c>
      <c r="E2046" s="85">
        <f>STATS1003B!E2050/1000</f>
        <v>9092.0895600000003</v>
      </c>
      <c r="F2046" s="85">
        <f>STATS1003B!F2050/1000</f>
        <v>9092.0895600000003</v>
      </c>
      <c r="G2046" s="85">
        <f>STATS1003B!G2050/1000</f>
        <v>0</v>
      </c>
      <c r="H2046" s="85">
        <f>STATS1003B!H2050/1000</f>
        <v>9092.0895600000003</v>
      </c>
      <c r="I2046" s="85">
        <f>STATS1003B!I2050/1000</f>
        <v>0</v>
      </c>
      <c r="J2046" s="85">
        <f>STATS1003B!J2050/1000</f>
        <v>0</v>
      </c>
      <c r="K2046" s="85">
        <f>STATS1003B!K2050/1000</f>
        <v>0</v>
      </c>
      <c r="L2046" s="85">
        <f>STATS1003B!L2050/1000</f>
        <v>0</v>
      </c>
      <c r="M2046" s="85">
        <f>STATS1003B!M2050/1000</f>
        <v>9092.0895600000003</v>
      </c>
      <c r="N2046" s="85">
        <f>STATS1003B!N2050/1000</f>
        <v>0</v>
      </c>
      <c r="O2046" s="85">
        <f>STATS1003B!O2050/1000</f>
        <v>0</v>
      </c>
      <c r="P2046" s="85">
        <f>STATS1003B!P2050/1000</f>
        <v>0</v>
      </c>
      <c r="Q2046" s="85">
        <f>STATS1003B!Q2050/1000</f>
        <v>0</v>
      </c>
      <c r="R2046" s="85">
        <f>STATS1003B!R2050/1000</f>
        <v>0</v>
      </c>
      <c r="S2046" s="85">
        <f>STATS1003B!S2050/1000</f>
        <v>0</v>
      </c>
      <c r="T2046" s="85">
        <f>STATS1003B!T2050/1000</f>
        <v>0</v>
      </c>
      <c r="U2046" s="85">
        <f>STATS1003B!U2050/1000</f>
        <v>0</v>
      </c>
      <c r="V2046" s="85">
        <f>STATS1003B!V2050/1000</f>
        <v>9092.0895600000003</v>
      </c>
      <c r="W2046" s="85">
        <f>STATS1003B!W2050/1000</f>
        <v>0</v>
      </c>
      <c r="X2046" s="85">
        <f t="shared" si="222"/>
        <v>9092.0895600000003</v>
      </c>
      <c r="Y2046" s="85">
        <f>STATS1003B!Y2050/1000</f>
        <v>0</v>
      </c>
      <c r="Z2046" s="85">
        <f t="shared" si="224"/>
        <v>0</v>
      </c>
      <c r="AA2046" s="69">
        <f>STATS1003B!AA2050/1000</f>
        <v>9092.0895600000003</v>
      </c>
      <c r="AB2046" s="69">
        <f>STATS1003B!AB2050/1000</f>
        <v>0</v>
      </c>
    </row>
    <row r="2047" spans="1:28" hidden="1" x14ac:dyDescent="0.3">
      <c r="A2047" s="117"/>
      <c r="C2047" s="71" t="s">
        <v>109</v>
      </c>
      <c r="D2047" s="88" t="s">
        <v>60</v>
      </c>
      <c r="E2047" s="85">
        <f>STATS1003B!E2051/1000</f>
        <v>7500</v>
      </c>
      <c r="F2047" s="85">
        <f>STATS1003B!F2051/1000</f>
        <v>7500</v>
      </c>
      <c r="G2047" s="85">
        <f>STATS1003B!G2051/1000</f>
        <v>0</v>
      </c>
      <c r="H2047" s="85">
        <f>STATS1003B!H2051/1000</f>
        <v>7500</v>
      </c>
      <c r="I2047" s="85">
        <f>STATS1003B!I2051/1000</f>
        <v>0</v>
      </c>
      <c r="J2047" s="85">
        <f>STATS1003B!J2051/1000</f>
        <v>0</v>
      </c>
      <c r="K2047" s="85">
        <f>STATS1003B!K2051/1000</f>
        <v>0</v>
      </c>
      <c r="L2047" s="85">
        <f>STATS1003B!L2051/1000</f>
        <v>0</v>
      </c>
      <c r="M2047" s="85">
        <f>STATS1003B!M2051/1000</f>
        <v>7500</v>
      </c>
      <c r="N2047" s="85">
        <f>STATS1003B!N2051/1000</f>
        <v>0</v>
      </c>
      <c r="O2047" s="85">
        <f>STATS1003B!O2051/1000</f>
        <v>0</v>
      </c>
      <c r="P2047" s="85">
        <f>STATS1003B!P2051/1000</f>
        <v>0</v>
      </c>
      <c r="Q2047" s="85">
        <f>STATS1003B!Q2051/1000</f>
        <v>0</v>
      </c>
      <c r="R2047" s="85">
        <f>STATS1003B!R2051/1000</f>
        <v>0</v>
      </c>
      <c r="S2047" s="85">
        <f>STATS1003B!S2051/1000</f>
        <v>0</v>
      </c>
      <c r="T2047" s="85">
        <f>STATS1003B!T2051/1000</f>
        <v>0</v>
      </c>
      <c r="U2047" s="85">
        <f>STATS1003B!U2051/1000</f>
        <v>0</v>
      </c>
      <c r="V2047" s="85">
        <f>STATS1003B!V2051/1000</f>
        <v>7500</v>
      </c>
      <c r="W2047" s="85">
        <f>STATS1003B!W2051/1000</f>
        <v>0</v>
      </c>
      <c r="X2047" s="85">
        <f t="shared" si="222"/>
        <v>7500</v>
      </c>
      <c r="Y2047" s="85">
        <f>STATS1003B!Y2051/1000</f>
        <v>0</v>
      </c>
      <c r="Z2047" s="85">
        <f t="shared" si="224"/>
        <v>0</v>
      </c>
      <c r="AA2047" s="69">
        <f>STATS1003B!AA2051/1000</f>
        <v>7500</v>
      </c>
      <c r="AB2047" s="69">
        <f>STATS1003B!AB2051/1000</f>
        <v>0</v>
      </c>
    </row>
    <row r="2048" spans="1:28" hidden="1" x14ac:dyDescent="0.3">
      <c r="A2048" s="117"/>
      <c r="C2048" s="71" t="s">
        <v>373</v>
      </c>
      <c r="D2048" s="88" t="s">
        <v>60</v>
      </c>
      <c r="E2048" s="85">
        <f>STATS1003B!E2052/1000</f>
        <v>3200</v>
      </c>
      <c r="F2048" s="85">
        <f>STATS1003B!F2052/1000</f>
        <v>3200</v>
      </c>
      <c r="G2048" s="85">
        <f>STATS1003B!G2052/1000</f>
        <v>0</v>
      </c>
      <c r="H2048" s="85">
        <f>STATS1003B!H2052/1000</f>
        <v>3200</v>
      </c>
      <c r="I2048" s="85">
        <f>STATS1003B!I2052/1000</f>
        <v>0</v>
      </c>
      <c r="J2048" s="85">
        <f>STATS1003B!J2052/1000</f>
        <v>0</v>
      </c>
      <c r="K2048" s="85">
        <f>STATS1003B!K2052/1000</f>
        <v>0</v>
      </c>
      <c r="L2048" s="85">
        <f>STATS1003B!L2052/1000</f>
        <v>0</v>
      </c>
      <c r="M2048" s="85">
        <f>STATS1003B!M2052/1000</f>
        <v>3200</v>
      </c>
      <c r="N2048" s="85">
        <f>STATS1003B!N2052/1000</f>
        <v>0</v>
      </c>
      <c r="O2048" s="85">
        <f>STATS1003B!O2052/1000</f>
        <v>0</v>
      </c>
      <c r="P2048" s="85">
        <f>STATS1003B!P2052/1000</f>
        <v>0</v>
      </c>
      <c r="Q2048" s="85">
        <f>STATS1003B!Q2052/1000</f>
        <v>0</v>
      </c>
      <c r="R2048" s="85">
        <f>STATS1003B!R2052/1000</f>
        <v>0</v>
      </c>
      <c r="S2048" s="85">
        <f>STATS1003B!S2052/1000</f>
        <v>0</v>
      </c>
      <c r="T2048" s="85">
        <f>STATS1003B!T2052/1000</f>
        <v>0</v>
      </c>
      <c r="U2048" s="85">
        <f>STATS1003B!U2052/1000</f>
        <v>0</v>
      </c>
      <c r="V2048" s="85">
        <f>STATS1003B!V2052/1000</f>
        <v>3200</v>
      </c>
      <c r="W2048" s="85">
        <f>STATS1003B!W2052/1000</f>
        <v>0</v>
      </c>
      <c r="X2048" s="85">
        <f t="shared" si="222"/>
        <v>3200</v>
      </c>
      <c r="Y2048" s="85">
        <f>STATS1003B!Y2052/1000</f>
        <v>0</v>
      </c>
      <c r="Z2048" s="85">
        <f t="shared" si="224"/>
        <v>0</v>
      </c>
      <c r="AA2048" s="69">
        <f>STATS1003B!AA2052/1000</f>
        <v>3200</v>
      </c>
      <c r="AB2048" s="69">
        <f>STATS1003B!AB2052/1000</f>
        <v>0</v>
      </c>
    </row>
    <row r="2049" spans="1:28" hidden="1" x14ac:dyDescent="0.3">
      <c r="A2049" s="117"/>
      <c r="C2049" s="68" t="s">
        <v>374</v>
      </c>
      <c r="D2049" s="145" t="s">
        <v>60</v>
      </c>
      <c r="E2049" s="85">
        <f>STATS1003B!E2053/1000</f>
        <v>500</v>
      </c>
      <c r="F2049" s="85">
        <f>STATS1003B!F2053/1000</f>
        <v>500</v>
      </c>
      <c r="G2049" s="85">
        <f>STATS1003B!G2053/1000</f>
        <v>0</v>
      </c>
      <c r="H2049" s="85">
        <f>STATS1003B!H2053/1000</f>
        <v>500</v>
      </c>
      <c r="I2049" s="85">
        <f>STATS1003B!I2053/1000</f>
        <v>0</v>
      </c>
      <c r="J2049" s="85">
        <f>STATS1003B!J2053/1000</f>
        <v>0</v>
      </c>
      <c r="K2049" s="85">
        <f>STATS1003B!K2053/1000</f>
        <v>0</v>
      </c>
      <c r="L2049" s="85">
        <f>STATS1003B!L2053/1000</f>
        <v>0</v>
      </c>
      <c r="M2049" s="85">
        <f>STATS1003B!M2053/1000</f>
        <v>500</v>
      </c>
      <c r="N2049" s="85">
        <f>STATS1003B!N2053/1000</f>
        <v>0</v>
      </c>
      <c r="O2049" s="85">
        <f>STATS1003B!O2053/1000</f>
        <v>0</v>
      </c>
      <c r="P2049" s="85">
        <f>STATS1003B!P2053/1000</f>
        <v>0</v>
      </c>
      <c r="Q2049" s="85">
        <f>STATS1003B!Q2053/1000</f>
        <v>0</v>
      </c>
      <c r="R2049" s="85">
        <f>STATS1003B!R2053/1000</f>
        <v>0</v>
      </c>
      <c r="S2049" s="85">
        <f>STATS1003B!S2053/1000</f>
        <v>0</v>
      </c>
      <c r="T2049" s="85">
        <f>STATS1003B!T2053/1000</f>
        <v>0</v>
      </c>
      <c r="U2049" s="85">
        <f>STATS1003B!U2053/1000</f>
        <v>0</v>
      </c>
      <c r="V2049" s="85">
        <f>STATS1003B!V2053/1000</f>
        <v>500</v>
      </c>
      <c r="W2049" s="85">
        <f>STATS1003B!W2053/1000</f>
        <v>0</v>
      </c>
      <c r="X2049" s="85">
        <f t="shared" si="222"/>
        <v>500</v>
      </c>
      <c r="Y2049" s="85">
        <f>STATS1003B!Y2053/1000</f>
        <v>0</v>
      </c>
      <c r="Z2049" s="85">
        <f t="shared" si="224"/>
        <v>0</v>
      </c>
      <c r="AA2049" s="69">
        <f>STATS1003B!AA2053/1000</f>
        <v>500</v>
      </c>
      <c r="AB2049" s="69">
        <f>STATS1003B!AB2053/1000</f>
        <v>0</v>
      </c>
    </row>
    <row r="2050" spans="1:28" hidden="1" x14ac:dyDescent="0.3">
      <c r="A2050" s="117"/>
      <c r="C2050" s="68" t="s">
        <v>57</v>
      </c>
      <c r="D2050" s="145" t="s">
        <v>73</v>
      </c>
      <c r="E2050" s="85">
        <f>STATS1003B!E2054/1000</f>
        <v>12747.022000000001</v>
      </c>
      <c r="F2050" s="85">
        <f>STATS1003B!F2054/1000</f>
        <v>12747.022000000001</v>
      </c>
      <c r="G2050" s="85">
        <f>STATS1003B!G2054/1000</f>
        <v>0</v>
      </c>
      <c r="H2050" s="85">
        <f>STATS1003B!H2054/1000</f>
        <v>12747.022000000001</v>
      </c>
      <c r="I2050" s="85">
        <f>STATS1003B!I2054/1000</f>
        <v>0</v>
      </c>
      <c r="J2050" s="85">
        <f>STATS1003B!J2054/1000</f>
        <v>0</v>
      </c>
      <c r="K2050" s="85">
        <f>STATS1003B!K2054/1000</f>
        <v>0</v>
      </c>
      <c r="L2050" s="85">
        <f>STATS1003B!L2054/1000</f>
        <v>0</v>
      </c>
      <c r="M2050" s="85">
        <f>STATS1003B!M2054/1000</f>
        <v>12747.022000000001</v>
      </c>
      <c r="N2050" s="85">
        <f>STATS1003B!N2054/1000</f>
        <v>0</v>
      </c>
      <c r="O2050" s="85">
        <f>STATS1003B!O2054/1000</f>
        <v>0</v>
      </c>
      <c r="P2050" s="85">
        <f>STATS1003B!P2054/1000</f>
        <v>0</v>
      </c>
      <c r="Q2050" s="85">
        <f>STATS1003B!Q2054/1000</f>
        <v>0</v>
      </c>
      <c r="R2050" s="85">
        <f>STATS1003B!R2054/1000</f>
        <v>0</v>
      </c>
      <c r="S2050" s="85">
        <f>STATS1003B!S2054/1000</f>
        <v>0</v>
      </c>
      <c r="T2050" s="85">
        <f>STATS1003B!T2054/1000</f>
        <v>0</v>
      </c>
      <c r="U2050" s="85">
        <f>STATS1003B!U2054/1000</f>
        <v>0</v>
      </c>
      <c r="V2050" s="85">
        <f>STATS1003B!V2054/1000</f>
        <v>12747.022000000001</v>
      </c>
      <c r="W2050" s="85">
        <f>STATS1003B!W2054/1000</f>
        <v>0</v>
      </c>
      <c r="X2050" s="85">
        <f t="shared" si="222"/>
        <v>12747.022000000001</v>
      </c>
      <c r="Y2050" s="85">
        <f>STATS1003B!Y2054/1000</f>
        <v>0</v>
      </c>
      <c r="Z2050" s="85">
        <f t="shared" si="224"/>
        <v>0</v>
      </c>
      <c r="AA2050" s="69">
        <f>STATS1003B!AA2054/1000</f>
        <v>12747.022000000001</v>
      </c>
      <c r="AB2050" s="69">
        <f>STATS1003B!AB2054/1000</f>
        <v>0</v>
      </c>
    </row>
    <row r="2051" spans="1:28" hidden="1" x14ac:dyDescent="0.3">
      <c r="A2051" s="117"/>
      <c r="C2051" s="68" t="s">
        <v>62</v>
      </c>
      <c r="E2051" s="85">
        <f>STATS1003B!E2055/1000</f>
        <v>1066.6215</v>
      </c>
      <c r="F2051" s="85">
        <f>STATS1003B!F2055/1000</f>
        <v>1066.6215</v>
      </c>
      <c r="G2051" s="85">
        <f>STATS1003B!G2055/1000</f>
        <v>0</v>
      </c>
      <c r="H2051" s="85">
        <f>STATS1003B!H2055/1000</f>
        <v>1066.6215</v>
      </c>
      <c r="I2051" s="85">
        <f>STATS1003B!I2055/1000</f>
        <v>0</v>
      </c>
      <c r="J2051" s="85">
        <f>STATS1003B!J2055/1000</f>
        <v>0</v>
      </c>
      <c r="K2051" s="85">
        <f>STATS1003B!K2055/1000</f>
        <v>0</v>
      </c>
      <c r="L2051" s="85">
        <f>STATS1003B!L2055/1000</f>
        <v>0</v>
      </c>
      <c r="M2051" s="85">
        <f>STATS1003B!M2055/1000</f>
        <v>1066.6215</v>
      </c>
      <c r="N2051" s="85">
        <f>STATS1003B!N2055/1000</f>
        <v>0</v>
      </c>
      <c r="O2051" s="85">
        <f>STATS1003B!O2055/1000</f>
        <v>0</v>
      </c>
      <c r="P2051" s="85">
        <f>STATS1003B!P2055/1000</f>
        <v>0</v>
      </c>
      <c r="Q2051" s="85">
        <f>STATS1003B!Q2055/1000</f>
        <v>0</v>
      </c>
      <c r="R2051" s="85">
        <f>STATS1003B!R2055/1000</f>
        <v>0</v>
      </c>
      <c r="S2051" s="85">
        <f>STATS1003B!S2055/1000</f>
        <v>0</v>
      </c>
      <c r="T2051" s="85">
        <f>STATS1003B!T2055/1000</f>
        <v>0</v>
      </c>
      <c r="U2051" s="85">
        <f>STATS1003B!U2055/1000</f>
        <v>0</v>
      </c>
      <c r="V2051" s="85">
        <f>STATS1003B!V2055/1000</f>
        <v>1066.6215</v>
      </c>
      <c r="W2051" s="85">
        <f>STATS1003B!W2055/1000</f>
        <v>0</v>
      </c>
      <c r="X2051" s="85">
        <f t="shared" ref="X2051:X2079" si="226">+H2051+P2051</f>
        <v>1066.6215</v>
      </c>
      <c r="Y2051" s="85">
        <f>STATS1003B!Y2055/1000</f>
        <v>0</v>
      </c>
      <c r="Z2051" s="85">
        <f t="shared" si="224"/>
        <v>0</v>
      </c>
      <c r="AA2051" s="69">
        <f>STATS1003B!AA2055/1000</f>
        <v>1066.6215</v>
      </c>
      <c r="AB2051" s="69">
        <f>STATS1003B!AB2055/1000</f>
        <v>0</v>
      </c>
    </row>
    <row r="2052" spans="1:28" hidden="1" x14ac:dyDescent="0.3">
      <c r="A2052" s="117"/>
      <c r="C2052" s="68" t="s">
        <v>924</v>
      </c>
      <c r="E2052" s="85">
        <f>STATS1003B!E2056/1000</f>
        <v>822.25445999999999</v>
      </c>
      <c r="F2052" s="85">
        <f>STATS1003B!F2056/1000</f>
        <v>822.25445999999999</v>
      </c>
      <c r="G2052" s="85">
        <f>STATS1003B!G2056/1000</f>
        <v>0</v>
      </c>
      <c r="H2052" s="85">
        <f>STATS1003B!H2056/1000</f>
        <v>822.25445999999999</v>
      </c>
      <c r="I2052" s="85">
        <f>STATS1003B!I2056/1000</f>
        <v>0</v>
      </c>
      <c r="J2052" s="85">
        <f>STATS1003B!J2056/1000</f>
        <v>0</v>
      </c>
      <c r="K2052" s="85">
        <f>STATS1003B!K2056/1000</f>
        <v>0</v>
      </c>
      <c r="L2052" s="85">
        <f>STATS1003B!L2056/1000</f>
        <v>0</v>
      </c>
      <c r="M2052" s="85">
        <f>STATS1003B!M2056/1000</f>
        <v>822.25445999999999</v>
      </c>
      <c r="N2052" s="85">
        <f>STATS1003B!N2056/1000</f>
        <v>0</v>
      </c>
      <c r="O2052" s="85">
        <f>STATS1003B!O2056/1000</f>
        <v>0</v>
      </c>
      <c r="P2052" s="85">
        <f>STATS1003B!P2056/1000</f>
        <v>0</v>
      </c>
      <c r="Q2052" s="85">
        <f>STATS1003B!Q2056/1000</f>
        <v>0</v>
      </c>
      <c r="R2052" s="85">
        <f>STATS1003B!R2056/1000</f>
        <v>0</v>
      </c>
      <c r="S2052" s="85">
        <f>STATS1003B!S2056/1000</f>
        <v>0</v>
      </c>
      <c r="T2052" s="85">
        <f>STATS1003B!T2056/1000</f>
        <v>0</v>
      </c>
      <c r="U2052" s="85">
        <f>STATS1003B!U2056/1000</f>
        <v>0</v>
      </c>
      <c r="V2052" s="85">
        <f>STATS1003B!V2056/1000</f>
        <v>822.25445999999999</v>
      </c>
      <c r="W2052" s="85">
        <f>STATS1003B!W2056/1000</f>
        <v>0</v>
      </c>
      <c r="X2052" s="85">
        <f t="shared" si="226"/>
        <v>822.25445999999999</v>
      </c>
      <c r="Y2052" s="85">
        <f>STATS1003B!Y2056/1000</f>
        <v>0</v>
      </c>
      <c r="Z2052" s="85">
        <f t="shared" si="224"/>
        <v>0</v>
      </c>
      <c r="AA2052" s="69">
        <f>STATS1003B!AA2056/1000</f>
        <v>822.25445999999999</v>
      </c>
      <c r="AB2052" s="69">
        <f>STATS1003B!AB2056/1000</f>
        <v>0</v>
      </c>
    </row>
    <row r="2053" spans="1:28" hidden="1" x14ac:dyDescent="0.3">
      <c r="A2053" s="117"/>
      <c r="C2053" s="68" t="s">
        <v>930</v>
      </c>
      <c r="D2053" s="91" t="s">
        <v>1072</v>
      </c>
      <c r="E2053" s="85">
        <f>STATS1003B!E2057/1000</f>
        <v>13043.15724</v>
      </c>
      <c r="F2053" s="85">
        <f>STATS1003B!F2057/1000</f>
        <v>13043.15724</v>
      </c>
      <c r="G2053" s="85">
        <f>STATS1003B!G2057/1000</f>
        <v>0</v>
      </c>
      <c r="H2053" s="85">
        <f>STATS1003B!H2057/1000</f>
        <v>13043.15724</v>
      </c>
      <c r="I2053" s="85">
        <f>STATS1003B!I2057/1000</f>
        <v>0</v>
      </c>
      <c r="J2053" s="85">
        <f>STATS1003B!J2057/1000</f>
        <v>0</v>
      </c>
      <c r="K2053" s="85">
        <f>STATS1003B!K2057/1000</f>
        <v>0</v>
      </c>
      <c r="L2053" s="85">
        <f>STATS1003B!L2057/1000</f>
        <v>0</v>
      </c>
      <c r="M2053" s="85">
        <f>STATS1003B!M2057/1000</f>
        <v>13043.15724</v>
      </c>
      <c r="N2053" s="85">
        <f>STATS1003B!N2057/1000</f>
        <v>0</v>
      </c>
      <c r="O2053" s="85">
        <f>STATS1003B!O2057/1000</f>
        <v>0</v>
      </c>
      <c r="P2053" s="85">
        <f>STATS1003B!P2057/1000</f>
        <v>0</v>
      </c>
      <c r="Q2053" s="85">
        <f>STATS1003B!Q2057/1000</f>
        <v>0</v>
      </c>
      <c r="R2053" s="85">
        <f>STATS1003B!R2057/1000</f>
        <v>0</v>
      </c>
      <c r="S2053" s="85">
        <f>STATS1003B!S2057/1000</f>
        <v>0</v>
      </c>
      <c r="T2053" s="85">
        <f>STATS1003B!T2057/1000</f>
        <v>0</v>
      </c>
      <c r="U2053" s="85">
        <f>STATS1003B!U2057/1000</f>
        <v>0</v>
      </c>
      <c r="V2053" s="85">
        <f>STATS1003B!V2057/1000</f>
        <v>13043.15724</v>
      </c>
      <c r="W2053" s="85">
        <f>STATS1003B!W2057/1000</f>
        <v>0</v>
      </c>
      <c r="X2053" s="85">
        <f t="shared" si="226"/>
        <v>13043.15724</v>
      </c>
      <c r="Y2053" s="85">
        <f>STATS1003B!Y2057/1000</f>
        <v>0</v>
      </c>
      <c r="Z2053" s="85">
        <f t="shared" si="224"/>
        <v>0</v>
      </c>
      <c r="AA2053" s="69">
        <f>STATS1003B!AA2057/1000</f>
        <v>13043.15724</v>
      </c>
      <c r="AB2053" s="69">
        <f>STATS1003B!AB2057/1000</f>
        <v>0</v>
      </c>
    </row>
    <row r="2054" spans="1:28" hidden="1" x14ac:dyDescent="0.3">
      <c r="A2054" s="117"/>
      <c r="C2054" s="68" t="s">
        <v>1176</v>
      </c>
      <c r="D2054" s="91" t="s">
        <v>1126</v>
      </c>
      <c r="E2054" s="85">
        <f>STATS1003B!E2058/1000</f>
        <v>13419.612710000001</v>
      </c>
      <c r="F2054" s="85">
        <f>STATS1003B!F2058/1000</f>
        <v>13419.612710000001</v>
      </c>
      <c r="G2054" s="85">
        <f>STATS1003B!G2058/1000</f>
        <v>0</v>
      </c>
      <c r="H2054" s="85">
        <f>STATS1003B!H2058/1000</f>
        <v>13419.612710000001</v>
      </c>
      <c r="I2054" s="85">
        <f>STATS1003B!I2058/1000</f>
        <v>0</v>
      </c>
      <c r="J2054" s="85">
        <f>STATS1003B!J2058/1000</f>
        <v>0</v>
      </c>
      <c r="K2054" s="85">
        <f>STATS1003B!K2058/1000</f>
        <v>0</v>
      </c>
      <c r="L2054" s="85">
        <f>STATS1003B!L2058/1000</f>
        <v>0</v>
      </c>
      <c r="M2054" s="85">
        <f>STATS1003B!M2058/1000</f>
        <v>13419.612710000001</v>
      </c>
      <c r="N2054" s="85">
        <f>STATS1003B!N2058/1000</f>
        <v>0</v>
      </c>
      <c r="O2054" s="85">
        <f>STATS1003B!O2058/1000</f>
        <v>0</v>
      </c>
      <c r="P2054" s="85">
        <f>STATS1003B!P2058/1000</f>
        <v>0</v>
      </c>
      <c r="Q2054" s="85">
        <f>STATS1003B!Q2058/1000</f>
        <v>0</v>
      </c>
      <c r="R2054" s="85">
        <f>STATS1003B!R2058/1000</f>
        <v>0</v>
      </c>
      <c r="S2054" s="85">
        <f>STATS1003B!S2058/1000</f>
        <v>0</v>
      </c>
      <c r="T2054" s="85">
        <f>STATS1003B!T2058/1000</f>
        <v>0</v>
      </c>
      <c r="U2054" s="85">
        <f>STATS1003B!U2058/1000</f>
        <v>0</v>
      </c>
      <c r="V2054" s="85">
        <f>STATS1003B!V2058/1000</f>
        <v>0</v>
      </c>
      <c r="W2054" s="85">
        <f>STATS1003B!W2058/1000</f>
        <v>0</v>
      </c>
      <c r="X2054" s="85">
        <f t="shared" si="226"/>
        <v>13419.612710000001</v>
      </c>
      <c r="Y2054" s="85">
        <f>STATS1003B!Y2058/1000</f>
        <v>0</v>
      </c>
      <c r="Z2054" s="85">
        <f t="shared" si="224"/>
        <v>0</v>
      </c>
      <c r="AA2054" s="69">
        <f>STATS1003B!AA2058/1000</f>
        <v>13419.612710000001</v>
      </c>
      <c r="AB2054" s="69">
        <f>STATS1003B!AB2058/1000</f>
        <v>0</v>
      </c>
    </row>
    <row r="2055" spans="1:28" hidden="1" x14ac:dyDescent="0.3">
      <c r="A2055" s="117"/>
      <c r="C2055" s="68" t="s">
        <v>1242</v>
      </c>
      <c r="D2055" s="91" t="s">
        <v>1225</v>
      </c>
      <c r="E2055" s="85">
        <f>STATS1003B!E2059/1000</f>
        <v>24916.547569999995</v>
      </c>
      <c r="F2055" s="85">
        <f>STATS1003B!F2059/1000</f>
        <v>0</v>
      </c>
      <c r="G2055" s="85">
        <f>STATS1003B!G2059/1000</f>
        <v>24916.547569999995</v>
      </c>
      <c r="H2055" s="85">
        <f>STATS1003B!H2059/1000</f>
        <v>24916.547569999995</v>
      </c>
      <c r="I2055" s="85">
        <f>STATS1003B!I2059/1000</f>
        <v>0</v>
      </c>
      <c r="J2055" s="85">
        <f>STATS1003B!J2059/1000</f>
        <v>0</v>
      </c>
      <c r="K2055" s="85">
        <f>STATS1003B!K2059/1000</f>
        <v>0</v>
      </c>
      <c r="L2055" s="85">
        <f>STATS1003B!L2059/1000</f>
        <v>0</v>
      </c>
      <c r="M2055" s="85">
        <f>STATS1003B!M2059/1000</f>
        <v>24916.547569999995</v>
      </c>
      <c r="N2055" s="85">
        <f>STATS1003B!N2059/1000</f>
        <v>0</v>
      </c>
      <c r="O2055" s="85">
        <f>STATS1003B!O2059/1000</f>
        <v>0</v>
      </c>
      <c r="P2055" s="85">
        <f>STATS1003B!P2059/1000</f>
        <v>0</v>
      </c>
      <c r="Q2055" s="85">
        <f>STATS1003B!Q2059/1000</f>
        <v>0</v>
      </c>
      <c r="R2055" s="85">
        <f>STATS1003B!R2059/1000</f>
        <v>0</v>
      </c>
      <c r="S2055" s="85">
        <f>STATS1003B!S2059/1000</f>
        <v>0</v>
      </c>
      <c r="T2055" s="85">
        <f>STATS1003B!T2059/1000</f>
        <v>0</v>
      </c>
      <c r="U2055" s="85">
        <f>STATS1003B!U2059/1000</f>
        <v>0</v>
      </c>
      <c r="V2055" s="85">
        <f>STATS1003B!V2059/1000</f>
        <v>0</v>
      </c>
      <c r="W2055" s="85">
        <f>STATS1003B!W2059/1000</f>
        <v>0</v>
      </c>
      <c r="X2055" s="85">
        <f t="shared" si="226"/>
        <v>24916.547569999995</v>
      </c>
      <c r="Y2055" s="85">
        <f>STATS1003B!Y2059/1000</f>
        <v>0</v>
      </c>
      <c r="Z2055" s="85">
        <f t="shared" si="224"/>
        <v>0</v>
      </c>
      <c r="AA2055" s="69">
        <f>STATS1003B!AA2059/1000</f>
        <v>24916.547569999995</v>
      </c>
      <c r="AB2055" s="69">
        <f>STATS1003B!AB2059/1000</f>
        <v>0</v>
      </c>
    </row>
    <row r="2056" spans="1:28" hidden="1" x14ac:dyDescent="0.3">
      <c r="A2056" s="117"/>
      <c r="C2056" s="68" t="s">
        <v>1073</v>
      </c>
      <c r="D2056" s="91" t="s">
        <v>1072</v>
      </c>
      <c r="E2056" s="85">
        <f>STATS1003B!E2060/1000</f>
        <v>802.5065699999999</v>
      </c>
      <c r="F2056" s="85">
        <f>STATS1003B!F2060/1000</f>
        <v>802.5065699999999</v>
      </c>
      <c r="G2056" s="85">
        <f>STATS1003B!G2060/1000</f>
        <v>0</v>
      </c>
      <c r="H2056" s="85">
        <f>STATS1003B!H2060/1000</f>
        <v>802.5065699999999</v>
      </c>
      <c r="I2056" s="85">
        <f>STATS1003B!I2060/1000</f>
        <v>0</v>
      </c>
      <c r="J2056" s="85">
        <f>STATS1003B!J2060/1000</f>
        <v>0</v>
      </c>
      <c r="K2056" s="85">
        <f>STATS1003B!K2060/1000</f>
        <v>0</v>
      </c>
      <c r="L2056" s="85">
        <f>STATS1003B!L2060/1000</f>
        <v>0</v>
      </c>
      <c r="M2056" s="85">
        <f>STATS1003B!M2060/1000</f>
        <v>802.5065699999999</v>
      </c>
      <c r="N2056" s="85">
        <f>STATS1003B!N2060/1000</f>
        <v>0</v>
      </c>
      <c r="O2056" s="85">
        <f>STATS1003B!O2060/1000</f>
        <v>0</v>
      </c>
      <c r="P2056" s="85">
        <f>STATS1003B!P2060/1000</f>
        <v>0</v>
      </c>
      <c r="Q2056" s="85">
        <f>STATS1003B!Q2060/1000</f>
        <v>0</v>
      </c>
      <c r="R2056" s="85">
        <f>STATS1003B!R2060/1000</f>
        <v>0</v>
      </c>
      <c r="S2056" s="85">
        <f>STATS1003B!S2060/1000</f>
        <v>0</v>
      </c>
      <c r="T2056" s="85">
        <f>STATS1003B!T2060/1000</f>
        <v>0</v>
      </c>
      <c r="U2056" s="85">
        <f>STATS1003B!U2060/1000</f>
        <v>0</v>
      </c>
      <c r="V2056" s="85">
        <f>STATS1003B!V2060/1000</f>
        <v>802.5065699999999</v>
      </c>
      <c r="W2056" s="85">
        <f>STATS1003B!W2060/1000</f>
        <v>0</v>
      </c>
      <c r="X2056" s="85">
        <f t="shared" si="226"/>
        <v>802.5065699999999</v>
      </c>
      <c r="Y2056" s="85">
        <f>STATS1003B!Y2060/1000</f>
        <v>0</v>
      </c>
      <c r="Z2056" s="85">
        <f t="shared" si="224"/>
        <v>0</v>
      </c>
      <c r="AA2056" s="69">
        <f>STATS1003B!AA2060/1000</f>
        <v>802.5065699999999</v>
      </c>
      <c r="AB2056" s="69">
        <f>STATS1003B!AB2060/1000</f>
        <v>0</v>
      </c>
    </row>
    <row r="2057" spans="1:28" hidden="1" x14ac:dyDescent="0.3">
      <c r="A2057" s="117"/>
      <c r="C2057" s="68" t="s">
        <v>57</v>
      </c>
      <c r="D2057" s="91" t="s">
        <v>61</v>
      </c>
      <c r="E2057" s="85">
        <f>STATS1003B!E2061/1000</f>
        <v>13695.40936</v>
      </c>
      <c r="F2057" s="85">
        <f>STATS1003B!F2061/1000</f>
        <v>13695.40936</v>
      </c>
      <c r="G2057" s="85">
        <f>STATS1003B!G2061/1000</f>
        <v>0</v>
      </c>
      <c r="H2057" s="85">
        <f>STATS1003B!H2061/1000</f>
        <v>13695.40936</v>
      </c>
      <c r="I2057" s="85">
        <f>STATS1003B!I2061/1000</f>
        <v>13695.40936</v>
      </c>
      <c r="J2057" s="85">
        <f>STATS1003B!J2061/1000</f>
        <v>13695.40936</v>
      </c>
      <c r="K2057" s="85">
        <f>STATS1003B!K2061/1000</f>
        <v>0</v>
      </c>
      <c r="L2057" s="85">
        <f>STATS1003B!L2061/1000</f>
        <v>0</v>
      </c>
      <c r="M2057" s="85">
        <f>STATS1003B!M2061/1000</f>
        <v>13695.40936</v>
      </c>
      <c r="N2057" s="85">
        <f>STATS1003B!N2061/1000</f>
        <v>0</v>
      </c>
      <c r="O2057" s="85">
        <f>STATS1003B!O2061/1000</f>
        <v>0</v>
      </c>
      <c r="P2057" s="85">
        <f>STATS1003B!P2061/1000</f>
        <v>0</v>
      </c>
      <c r="Q2057" s="85">
        <f>STATS1003B!Q2061/1000</f>
        <v>0</v>
      </c>
      <c r="R2057" s="85">
        <f>STATS1003B!R2061/1000</f>
        <v>0</v>
      </c>
      <c r="S2057" s="85">
        <f>STATS1003B!S2061/1000</f>
        <v>0</v>
      </c>
      <c r="T2057" s="85">
        <f>STATS1003B!T2061/1000</f>
        <v>0</v>
      </c>
      <c r="U2057" s="85">
        <f>STATS1003B!U2061/1000</f>
        <v>0</v>
      </c>
      <c r="V2057" s="85">
        <f>STATS1003B!V2061/1000</f>
        <v>13695.40936</v>
      </c>
      <c r="W2057" s="85">
        <f>STATS1003B!W2061/1000</f>
        <v>0</v>
      </c>
      <c r="X2057" s="85">
        <f t="shared" si="226"/>
        <v>13695.40936</v>
      </c>
      <c r="Y2057" s="85">
        <f>STATS1003B!Y2061/1000</f>
        <v>0</v>
      </c>
      <c r="Z2057" s="85">
        <f t="shared" si="224"/>
        <v>0</v>
      </c>
      <c r="AA2057" s="69">
        <f>STATS1003B!AA2061/1000</f>
        <v>13695.40936</v>
      </c>
      <c r="AB2057" s="69">
        <f>STATS1003B!AB2061/1000</f>
        <v>0</v>
      </c>
    </row>
    <row r="2058" spans="1:28" hidden="1" x14ac:dyDescent="0.3">
      <c r="A2058" s="117"/>
      <c r="C2058" s="71" t="s">
        <v>375</v>
      </c>
      <c r="E2058" s="86" t="s">
        <v>29</v>
      </c>
      <c r="F2058" s="86" t="s">
        <v>29</v>
      </c>
      <c r="G2058" s="86" t="s">
        <v>29</v>
      </c>
      <c r="H2058" s="86" t="s">
        <v>29</v>
      </c>
      <c r="I2058" s="86" t="s">
        <v>29</v>
      </c>
      <c r="J2058" s="86" t="s">
        <v>29</v>
      </c>
      <c r="K2058" s="86" t="s">
        <v>29</v>
      </c>
      <c r="L2058" s="86" t="s">
        <v>29</v>
      </c>
      <c r="M2058" s="86" t="s">
        <v>29</v>
      </c>
      <c r="N2058" s="86" t="s">
        <v>29</v>
      </c>
      <c r="O2058" s="86" t="s">
        <v>29</v>
      </c>
      <c r="P2058" s="86" t="s">
        <v>29</v>
      </c>
      <c r="Q2058" s="86" t="s">
        <v>29</v>
      </c>
      <c r="R2058" s="86" t="s">
        <v>29</v>
      </c>
      <c r="S2058" s="86" t="s">
        <v>29</v>
      </c>
      <c r="T2058" s="86" t="s">
        <v>29</v>
      </c>
      <c r="U2058" s="86" t="s">
        <v>29</v>
      </c>
      <c r="V2058" s="86" t="s">
        <v>29</v>
      </c>
      <c r="W2058" s="86" t="s">
        <v>29</v>
      </c>
      <c r="X2058" s="85" t="e">
        <f t="shared" si="226"/>
        <v>#VALUE!</v>
      </c>
      <c r="Y2058" s="86" t="s">
        <v>29</v>
      </c>
      <c r="Z2058" s="85" t="e">
        <f t="shared" si="224"/>
        <v>#VALUE!</v>
      </c>
      <c r="AA2058" s="115" t="s">
        <v>29</v>
      </c>
      <c r="AB2058" s="115" t="s">
        <v>29</v>
      </c>
    </row>
    <row r="2059" spans="1:28" x14ac:dyDescent="0.3">
      <c r="A2059" s="116">
        <v>90</v>
      </c>
      <c r="B2059" s="68" t="s">
        <v>369</v>
      </c>
      <c r="E2059" s="85">
        <f>324750008.8/1000</f>
        <v>324750.00880000001</v>
      </c>
      <c r="F2059" s="85">
        <f t="shared" ref="F2059:AB2059" si="227">SUM(F2041:F2057)</f>
        <v>100101.28791000001</v>
      </c>
      <c r="G2059" s="85">
        <f t="shared" si="227"/>
        <v>24916.547569999995</v>
      </c>
      <c r="H2059" s="85">
        <f>320748163.3/1000</f>
        <v>320748.16330000001</v>
      </c>
      <c r="I2059" s="85">
        <f t="shared" si="227"/>
        <v>13695.40936</v>
      </c>
      <c r="J2059" s="85">
        <f t="shared" si="227"/>
        <v>13695.40936</v>
      </c>
      <c r="K2059" s="85">
        <f t="shared" si="227"/>
        <v>0</v>
      </c>
      <c r="L2059" s="85">
        <f t="shared" si="227"/>
        <v>0</v>
      </c>
      <c r="M2059" s="85">
        <f t="shared" si="227"/>
        <v>125017.83548000001</v>
      </c>
      <c r="N2059" s="85">
        <f t="shared" si="227"/>
        <v>4001.8454999999999</v>
      </c>
      <c r="O2059" s="85">
        <f t="shared" si="227"/>
        <v>0</v>
      </c>
      <c r="P2059" s="85">
        <f>4001845/1000</f>
        <v>4001.8449999999998</v>
      </c>
      <c r="Q2059" s="85">
        <f t="shared" si="227"/>
        <v>0</v>
      </c>
      <c r="R2059" s="85">
        <f t="shared" si="227"/>
        <v>0</v>
      </c>
      <c r="S2059" s="85">
        <f t="shared" si="227"/>
        <v>0</v>
      </c>
      <c r="T2059" s="85">
        <f t="shared" si="227"/>
        <v>0</v>
      </c>
      <c r="U2059" s="85">
        <f t="shared" si="227"/>
        <v>4001.8454999999999</v>
      </c>
      <c r="V2059" s="85">
        <f t="shared" si="227"/>
        <v>90683.520700000008</v>
      </c>
      <c r="W2059" s="85">
        <f t="shared" si="227"/>
        <v>0</v>
      </c>
      <c r="X2059" s="85">
        <f t="shared" si="226"/>
        <v>324750.00829999999</v>
      </c>
      <c r="Y2059" s="85">
        <f t="shared" si="227"/>
        <v>0</v>
      </c>
      <c r="Z2059" s="85">
        <f t="shared" si="224"/>
        <v>5.0000002374872565E-4</v>
      </c>
      <c r="AA2059" s="69">
        <f t="shared" si="227"/>
        <v>129019.68098</v>
      </c>
      <c r="AB2059" s="69">
        <f t="shared" si="227"/>
        <v>0</v>
      </c>
    </row>
    <row r="2060" spans="1:28" hidden="1" x14ac:dyDescent="0.3">
      <c r="A2060" s="117"/>
      <c r="E2060" s="86" t="s">
        <v>29</v>
      </c>
      <c r="F2060" s="86" t="s">
        <v>29</v>
      </c>
      <c r="G2060" s="86" t="s">
        <v>29</v>
      </c>
      <c r="H2060" s="86" t="s">
        <v>29</v>
      </c>
      <c r="I2060" s="86" t="s">
        <v>29</v>
      </c>
      <c r="J2060" s="86" t="s">
        <v>29</v>
      </c>
      <c r="K2060" s="86" t="s">
        <v>29</v>
      </c>
      <c r="L2060" s="86" t="s">
        <v>29</v>
      </c>
      <c r="M2060" s="86" t="s">
        <v>29</v>
      </c>
      <c r="N2060" s="86" t="s">
        <v>29</v>
      </c>
      <c r="O2060" s="86" t="s">
        <v>29</v>
      </c>
      <c r="P2060" s="86" t="s">
        <v>29</v>
      </c>
      <c r="Q2060" s="86" t="s">
        <v>29</v>
      </c>
      <c r="R2060" s="86" t="s">
        <v>29</v>
      </c>
      <c r="S2060" s="86" t="s">
        <v>29</v>
      </c>
      <c r="T2060" s="86" t="s">
        <v>29</v>
      </c>
      <c r="U2060" s="86" t="s">
        <v>29</v>
      </c>
      <c r="V2060" s="86" t="s">
        <v>29</v>
      </c>
      <c r="W2060" s="86" t="s">
        <v>29</v>
      </c>
      <c r="X2060" s="85" t="e">
        <f t="shared" si="226"/>
        <v>#VALUE!</v>
      </c>
      <c r="Y2060" s="86" t="s">
        <v>29</v>
      </c>
      <c r="Z2060" s="85" t="e">
        <f t="shared" si="224"/>
        <v>#VALUE!</v>
      </c>
      <c r="AA2060" s="115" t="s">
        <v>29</v>
      </c>
      <c r="AB2060" s="115" t="s">
        <v>29</v>
      </c>
    </row>
    <row r="2061" spans="1:28" hidden="1" x14ac:dyDescent="0.3">
      <c r="A2061" s="105"/>
      <c r="E2061" s="84"/>
      <c r="F2061" s="84"/>
      <c r="G2061" s="84"/>
      <c r="H2061" s="84"/>
      <c r="I2061" s="84"/>
      <c r="J2061" s="84"/>
      <c r="K2061" s="84"/>
      <c r="L2061" s="84"/>
      <c r="M2061" s="84"/>
      <c r="N2061" s="84"/>
      <c r="O2061" s="84"/>
      <c r="P2061" s="84"/>
      <c r="Q2061" s="84"/>
      <c r="R2061" s="84"/>
      <c r="S2061" s="84"/>
      <c r="T2061" s="84"/>
      <c r="U2061" s="84"/>
      <c r="V2061" s="84"/>
      <c r="W2061" s="84"/>
      <c r="X2061" s="85">
        <f t="shared" si="226"/>
        <v>0</v>
      </c>
      <c r="Y2061" s="84"/>
      <c r="Z2061" s="85">
        <f t="shared" si="224"/>
        <v>0</v>
      </c>
    </row>
    <row r="2062" spans="1:28" hidden="1" x14ac:dyDescent="0.3">
      <c r="A2062" s="117"/>
      <c r="C2062" s="68" t="s">
        <v>377</v>
      </c>
      <c r="D2062" s="145" t="s">
        <v>378</v>
      </c>
      <c r="E2062" s="85">
        <f>STATS1003B!E2066/1000</f>
        <v>17621.96573</v>
      </c>
      <c r="F2062" s="85">
        <f>STATS1003B!F2066/1000</f>
        <v>16571.030210000001</v>
      </c>
      <c r="G2062" s="85">
        <f>STATS1003B!G2066/1000</f>
        <v>0</v>
      </c>
      <c r="H2062" s="85">
        <f>STATS1003B!H2066/1000</f>
        <v>16571.030210000001</v>
      </c>
      <c r="I2062" s="85">
        <f>STATS1003B!I2066/1000</f>
        <v>0</v>
      </c>
      <c r="J2062" s="85">
        <f>STATS1003B!J2066/1000</f>
        <v>0</v>
      </c>
      <c r="K2062" s="85">
        <f>STATS1003B!K2066/1000</f>
        <v>0</v>
      </c>
      <c r="L2062" s="85">
        <f>STATS1003B!L2066/1000</f>
        <v>0</v>
      </c>
      <c r="M2062" s="85">
        <f>STATS1003B!M2066/1000</f>
        <v>16571.030210000001</v>
      </c>
      <c r="N2062" s="85">
        <f>STATS1003B!N2066/1000</f>
        <v>1050.93552</v>
      </c>
      <c r="O2062" s="85">
        <f>STATS1003B!O2066/1000</f>
        <v>0</v>
      </c>
      <c r="P2062" s="85">
        <f>STATS1003B!P2066/1000</f>
        <v>1050.93552</v>
      </c>
      <c r="Q2062" s="85">
        <f>STATS1003B!Q2066/1000</f>
        <v>0</v>
      </c>
      <c r="R2062" s="85">
        <f>STATS1003B!R2066/1000</f>
        <v>0</v>
      </c>
      <c r="S2062" s="85">
        <f>STATS1003B!S2066/1000</f>
        <v>0</v>
      </c>
      <c r="T2062" s="85">
        <f>STATS1003B!T2066/1000</f>
        <v>0</v>
      </c>
      <c r="U2062" s="85">
        <f>STATS1003B!U2066/1000</f>
        <v>1050.93552</v>
      </c>
      <c r="V2062" s="85">
        <f>STATS1003B!V2066/1000</f>
        <v>17621.96573</v>
      </c>
      <c r="W2062" s="85">
        <f>STATS1003B!W2066/1000</f>
        <v>0</v>
      </c>
      <c r="X2062" s="85">
        <f t="shared" si="226"/>
        <v>17621.96573</v>
      </c>
      <c r="Y2062" s="85">
        <f>STATS1003B!Y2066/1000</f>
        <v>0</v>
      </c>
      <c r="Z2062" s="85">
        <f t="shared" si="224"/>
        <v>0</v>
      </c>
      <c r="AA2062" s="69">
        <f>STATS1003B!AA2066/1000</f>
        <v>17621.96573</v>
      </c>
      <c r="AB2062" s="69">
        <f>STATS1003B!AB2066/1000</f>
        <v>0</v>
      </c>
    </row>
    <row r="2063" spans="1:28" hidden="1" x14ac:dyDescent="0.3">
      <c r="A2063" s="117"/>
      <c r="D2063" s="145" t="s">
        <v>79</v>
      </c>
      <c r="E2063" s="85">
        <f>STATS1003B!E2067/1000</f>
        <v>0</v>
      </c>
      <c r="F2063" s="85">
        <f>STATS1003B!F2067/1000</f>
        <v>0</v>
      </c>
      <c r="G2063" s="85">
        <f>STATS1003B!G2067/1000</f>
        <v>0</v>
      </c>
      <c r="H2063" s="85">
        <f>STATS1003B!H2067/1000</f>
        <v>0</v>
      </c>
      <c r="I2063" s="85">
        <f>STATS1003B!I2067/1000</f>
        <v>0</v>
      </c>
      <c r="J2063" s="85">
        <f>STATS1003B!J2067/1000</f>
        <v>0</v>
      </c>
      <c r="K2063" s="85">
        <f>STATS1003B!K2067/1000</f>
        <v>0</v>
      </c>
      <c r="L2063" s="85">
        <f>STATS1003B!L2067/1000</f>
        <v>0</v>
      </c>
      <c r="M2063" s="85">
        <f>STATS1003B!M2067/1000</f>
        <v>0</v>
      </c>
      <c r="N2063" s="85">
        <f>STATS1003B!N2067/1000</f>
        <v>0</v>
      </c>
      <c r="O2063" s="85">
        <f>STATS1003B!O2067/1000</f>
        <v>0</v>
      </c>
      <c r="P2063" s="85">
        <f>STATS1003B!P2067/1000</f>
        <v>0</v>
      </c>
      <c r="Q2063" s="85">
        <f>STATS1003B!Q2067/1000</f>
        <v>0</v>
      </c>
      <c r="R2063" s="85">
        <f>STATS1003B!R2067/1000</f>
        <v>0</v>
      </c>
      <c r="S2063" s="85">
        <f>STATS1003B!S2067/1000</f>
        <v>0</v>
      </c>
      <c r="T2063" s="85">
        <f>STATS1003B!T2067/1000</f>
        <v>0</v>
      </c>
      <c r="U2063" s="85">
        <f>STATS1003B!U2067/1000</f>
        <v>0</v>
      </c>
      <c r="V2063" s="85">
        <f>STATS1003B!V2067/1000</f>
        <v>0</v>
      </c>
      <c r="W2063" s="85">
        <f>STATS1003B!W2067/1000</f>
        <v>0</v>
      </c>
      <c r="X2063" s="85">
        <f t="shared" si="226"/>
        <v>0</v>
      </c>
      <c r="Y2063" s="85">
        <f>STATS1003B!Y2067/1000</f>
        <v>0</v>
      </c>
      <c r="Z2063" s="85">
        <f t="shared" si="224"/>
        <v>0</v>
      </c>
      <c r="AA2063" s="69">
        <f>STATS1003B!AA2067/1000</f>
        <v>0</v>
      </c>
      <c r="AB2063" s="69">
        <f>STATS1003B!AB2067/1000</f>
        <v>0</v>
      </c>
    </row>
    <row r="2064" spans="1:28" hidden="1" x14ac:dyDescent="0.3">
      <c r="A2064" s="117"/>
      <c r="C2064" s="68" t="s">
        <v>57</v>
      </c>
      <c r="D2064" s="71" t="s">
        <v>379</v>
      </c>
      <c r="E2064" s="85">
        <f>STATS1003B!E2068/1000</f>
        <v>6508.3455300000005</v>
      </c>
      <c r="F2064" s="85">
        <f>STATS1003B!F2068/1000</f>
        <v>6432.8185999999996</v>
      </c>
      <c r="G2064" s="85">
        <f>STATS1003B!G2068/1000</f>
        <v>0</v>
      </c>
      <c r="H2064" s="85">
        <f>STATS1003B!H2068/1000</f>
        <v>6432.8185999999996</v>
      </c>
      <c r="I2064" s="85">
        <f>STATS1003B!I2068/1000</f>
        <v>0</v>
      </c>
      <c r="J2064" s="85">
        <f>STATS1003B!J2068/1000</f>
        <v>0</v>
      </c>
      <c r="K2064" s="85">
        <f>STATS1003B!K2068/1000</f>
        <v>0</v>
      </c>
      <c r="L2064" s="85">
        <f>STATS1003B!L2068/1000</f>
        <v>0</v>
      </c>
      <c r="M2064" s="85">
        <f>STATS1003B!M2068/1000</f>
        <v>6432.8185999999996</v>
      </c>
      <c r="N2064" s="85">
        <f>STATS1003B!N2068/1000</f>
        <v>75.526929999999993</v>
      </c>
      <c r="O2064" s="85">
        <f>STATS1003B!O2068/1000</f>
        <v>0</v>
      </c>
      <c r="P2064" s="85">
        <f>STATS1003B!P2068/1000</f>
        <v>75.526929999999993</v>
      </c>
      <c r="Q2064" s="85">
        <f>STATS1003B!Q2068/1000</f>
        <v>0</v>
      </c>
      <c r="R2064" s="85">
        <f>STATS1003B!R2068/1000</f>
        <v>0</v>
      </c>
      <c r="S2064" s="85">
        <f>STATS1003B!S2068/1000</f>
        <v>0</v>
      </c>
      <c r="T2064" s="85">
        <f>STATS1003B!T2068/1000</f>
        <v>0</v>
      </c>
      <c r="U2064" s="85">
        <f>STATS1003B!U2068/1000</f>
        <v>75.526929999999993</v>
      </c>
      <c r="V2064" s="85">
        <f>STATS1003B!V2068/1000</f>
        <v>6508.3455299999996</v>
      </c>
      <c r="W2064" s="85">
        <f>STATS1003B!W2068/1000</f>
        <v>0</v>
      </c>
      <c r="X2064" s="85">
        <f t="shared" si="226"/>
        <v>6508.3455299999996</v>
      </c>
      <c r="Y2064" s="85">
        <f>STATS1003B!Y2068/1000</f>
        <v>0</v>
      </c>
      <c r="Z2064" s="85">
        <f t="shared" si="224"/>
        <v>0</v>
      </c>
      <c r="AA2064" s="69">
        <f>STATS1003B!AA2068/1000</f>
        <v>6508.3455299999996</v>
      </c>
      <c r="AB2064" s="69">
        <f>STATS1003B!AB2068/1000</f>
        <v>0</v>
      </c>
    </row>
    <row r="2065" spans="1:28" hidden="1" x14ac:dyDescent="0.3">
      <c r="A2065" s="117"/>
      <c r="C2065" s="68" t="s">
        <v>53</v>
      </c>
      <c r="D2065" s="145" t="s">
        <v>54</v>
      </c>
      <c r="E2065" s="85">
        <f>STATS1003B!E2069/1000</f>
        <v>1767.77</v>
      </c>
      <c r="F2065" s="85">
        <f>STATS1003B!F2069/1000</f>
        <v>0</v>
      </c>
      <c r="G2065" s="85">
        <f>STATS1003B!G2069/1000</f>
        <v>0</v>
      </c>
      <c r="H2065" s="85">
        <f>STATS1003B!H2069/1000</f>
        <v>0</v>
      </c>
      <c r="I2065" s="85">
        <f>STATS1003B!I2069/1000</f>
        <v>0</v>
      </c>
      <c r="J2065" s="85">
        <f>STATS1003B!J2069/1000</f>
        <v>0</v>
      </c>
      <c r="K2065" s="85">
        <f>STATS1003B!K2069/1000</f>
        <v>0</v>
      </c>
      <c r="L2065" s="85">
        <f>STATS1003B!L2069/1000</f>
        <v>0</v>
      </c>
      <c r="M2065" s="85">
        <f>STATS1003B!M2069/1000</f>
        <v>0</v>
      </c>
      <c r="N2065" s="85">
        <f>STATS1003B!N2069/1000</f>
        <v>1767.77</v>
      </c>
      <c r="O2065" s="85">
        <f>STATS1003B!O2069/1000</f>
        <v>0</v>
      </c>
      <c r="P2065" s="85">
        <f>STATS1003B!P2069/1000</f>
        <v>1767.77</v>
      </c>
      <c r="Q2065" s="85">
        <f>STATS1003B!Q2069/1000</f>
        <v>0</v>
      </c>
      <c r="R2065" s="85">
        <f>STATS1003B!R2069/1000</f>
        <v>0</v>
      </c>
      <c r="S2065" s="85">
        <f>STATS1003B!S2069/1000</f>
        <v>0</v>
      </c>
      <c r="T2065" s="85">
        <f>STATS1003B!T2069/1000</f>
        <v>0</v>
      </c>
      <c r="U2065" s="85">
        <f>STATS1003B!U2069/1000</f>
        <v>1767.77</v>
      </c>
      <c r="V2065" s="85">
        <f>STATS1003B!V2069/1000</f>
        <v>1767.77</v>
      </c>
      <c r="W2065" s="85">
        <f>STATS1003B!W2069/1000</f>
        <v>0</v>
      </c>
      <c r="X2065" s="85">
        <f t="shared" si="226"/>
        <v>1767.77</v>
      </c>
      <c r="Y2065" s="85">
        <f>STATS1003B!Y2069/1000</f>
        <v>0</v>
      </c>
      <c r="Z2065" s="85">
        <f t="shared" si="224"/>
        <v>0</v>
      </c>
      <c r="AA2065" s="69">
        <f>STATS1003B!AA2069/1000</f>
        <v>1767.77</v>
      </c>
      <c r="AB2065" s="69">
        <f>STATS1003B!AB2069/1000</f>
        <v>0</v>
      </c>
    </row>
    <row r="2066" spans="1:28" hidden="1" x14ac:dyDescent="0.3">
      <c r="A2066" s="117"/>
      <c r="C2066" s="68" t="s">
        <v>284</v>
      </c>
      <c r="D2066" s="145" t="s">
        <v>54</v>
      </c>
      <c r="E2066" s="85">
        <f>STATS1003B!E2070/1000</f>
        <v>7933.45</v>
      </c>
      <c r="F2066" s="85">
        <f>STATS1003B!F2070/1000</f>
        <v>7933.45</v>
      </c>
      <c r="G2066" s="85">
        <f>STATS1003B!G2070/1000</f>
        <v>0</v>
      </c>
      <c r="H2066" s="85">
        <f>STATS1003B!H2070/1000</f>
        <v>7933.45</v>
      </c>
      <c r="I2066" s="85">
        <f>STATS1003B!I2070/1000</f>
        <v>0</v>
      </c>
      <c r="J2066" s="85">
        <f>STATS1003B!J2070/1000</f>
        <v>0</v>
      </c>
      <c r="K2066" s="85">
        <f>STATS1003B!K2070/1000</f>
        <v>0</v>
      </c>
      <c r="L2066" s="85">
        <f>STATS1003B!L2070/1000</f>
        <v>0</v>
      </c>
      <c r="M2066" s="85">
        <f>STATS1003B!M2070/1000</f>
        <v>7933.45</v>
      </c>
      <c r="N2066" s="85">
        <f>STATS1003B!N2070/1000</f>
        <v>0</v>
      </c>
      <c r="O2066" s="85">
        <f>STATS1003B!O2070/1000</f>
        <v>0</v>
      </c>
      <c r="P2066" s="85">
        <f>STATS1003B!P2070/1000</f>
        <v>0</v>
      </c>
      <c r="Q2066" s="85">
        <f>STATS1003B!Q2070/1000</f>
        <v>0</v>
      </c>
      <c r="R2066" s="85">
        <f>STATS1003B!R2070/1000</f>
        <v>0</v>
      </c>
      <c r="S2066" s="85">
        <f>STATS1003B!S2070/1000</f>
        <v>0</v>
      </c>
      <c r="T2066" s="85">
        <f>STATS1003B!T2070/1000</f>
        <v>0</v>
      </c>
      <c r="U2066" s="85">
        <f>STATS1003B!U2070/1000</f>
        <v>0</v>
      </c>
      <c r="V2066" s="85">
        <f>STATS1003B!V2070/1000</f>
        <v>7933.45</v>
      </c>
      <c r="W2066" s="85">
        <f>STATS1003B!W2070/1000</f>
        <v>0</v>
      </c>
      <c r="X2066" s="85">
        <f t="shared" si="226"/>
        <v>7933.45</v>
      </c>
      <c r="Y2066" s="85">
        <f>STATS1003B!Y2070/1000</f>
        <v>0</v>
      </c>
      <c r="Z2066" s="85">
        <f t="shared" si="224"/>
        <v>0</v>
      </c>
      <c r="AA2066" s="69">
        <f>STATS1003B!AA2070/1000</f>
        <v>7933.45</v>
      </c>
      <c r="AB2066" s="69">
        <f>STATS1003B!AB2070/1000</f>
        <v>0</v>
      </c>
    </row>
    <row r="2067" spans="1:28" hidden="1" x14ac:dyDescent="0.3">
      <c r="A2067" s="117"/>
      <c r="C2067" s="68" t="s">
        <v>55</v>
      </c>
      <c r="D2067" s="145" t="s">
        <v>88</v>
      </c>
      <c r="E2067" s="85">
        <f>STATS1003B!E2071/1000</f>
        <v>1179.375</v>
      </c>
      <c r="F2067" s="85">
        <f>STATS1003B!F2071/1000</f>
        <v>0</v>
      </c>
      <c r="G2067" s="85">
        <f>STATS1003B!G2071/1000</f>
        <v>0</v>
      </c>
      <c r="H2067" s="85">
        <f>STATS1003B!H2071/1000</f>
        <v>0</v>
      </c>
      <c r="I2067" s="85">
        <f>STATS1003B!I2071/1000</f>
        <v>0</v>
      </c>
      <c r="J2067" s="85">
        <f>STATS1003B!J2071/1000</f>
        <v>0</v>
      </c>
      <c r="K2067" s="85">
        <f>STATS1003B!K2071/1000</f>
        <v>0</v>
      </c>
      <c r="L2067" s="85">
        <f>STATS1003B!L2071/1000</f>
        <v>0</v>
      </c>
      <c r="M2067" s="85">
        <f>STATS1003B!M2071/1000</f>
        <v>0</v>
      </c>
      <c r="N2067" s="85">
        <f>STATS1003B!N2071/1000</f>
        <v>1179.375</v>
      </c>
      <c r="O2067" s="85">
        <f>STATS1003B!O2071/1000</f>
        <v>0</v>
      </c>
      <c r="P2067" s="85">
        <f>STATS1003B!P2071/1000</f>
        <v>1179.375</v>
      </c>
      <c r="Q2067" s="85">
        <f>STATS1003B!Q2071/1000</f>
        <v>0</v>
      </c>
      <c r="R2067" s="85">
        <f>STATS1003B!R2071/1000</f>
        <v>0</v>
      </c>
      <c r="S2067" s="85">
        <f>STATS1003B!S2071/1000</f>
        <v>0</v>
      </c>
      <c r="T2067" s="85">
        <f>STATS1003B!T2071/1000</f>
        <v>0</v>
      </c>
      <c r="U2067" s="85">
        <f>STATS1003B!U2071/1000</f>
        <v>1179.375</v>
      </c>
      <c r="V2067" s="85">
        <f>STATS1003B!V2071/1000</f>
        <v>1179.375</v>
      </c>
      <c r="W2067" s="85">
        <f>STATS1003B!W2071/1000</f>
        <v>0</v>
      </c>
      <c r="X2067" s="85">
        <f t="shared" si="226"/>
        <v>1179.375</v>
      </c>
      <c r="Y2067" s="85">
        <f>STATS1003B!Y2071/1000</f>
        <v>0</v>
      </c>
      <c r="Z2067" s="85">
        <f t="shared" si="224"/>
        <v>0</v>
      </c>
      <c r="AA2067" s="69">
        <f>STATS1003B!AA2071/1000</f>
        <v>1179.375</v>
      </c>
      <c r="AB2067" s="69">
        <f>STATS1003B!AB2071/1000</f>
        <v>0</v>
      </c>
    </row>
    <row r="2068" spans="1:28" hidden="1" x14ac:dyDescent="0.3">
      <c r="A2068" s="117"/>
      <c r="C2068" s="68" t="s">
        <v>57</v>
      </c>
      <c r="D2068" s="145" t="s">
        <v>58</v>
      </c>
      <c r="E2068" s="85">
        <f>STATS1003B!E2072/1000</f>
        <v>2881.3539999999998</v>
      </c>
      <c r="F2068" s="85">
        <f>STATS1003B!F2072/1000</f>
        <v>2881.3539999999998</v>
      </c>
      <c r="G2068" s="85">
        <f>STATS1003B!G2072/1000</f>
        <v>0</v>
      </c>
      <c r="H2068" s="85">
        <f>STATS1003B!H2072/1000</f>
        <v>2881.3539999999998</v>
      </c>
      <c r="I2068" s="85">
        <f>STATS1003B!I2072/1000</f>
        <v>0</v>
      </c>
      <c r="J2068" s="85">
        <f>STATS1003B!J2072/1000</f>
        <v>0</v>
      </c>
      <c r="K2068" s="85">
        <f>STATS1003B!K2072/1000</f>
        <v>0</v>
      </c>
      <c r="L2068" s="85">
        <f>STATS1003B!L2072/1000</f>
        <v>0</v>
      </c>
      <c r="M2068" s="85">
        <f>STATS1003B!M2072/1000</f>
        <v>2881.3539999999998</v>
      </c>
      <c r="N2068" s="85">
        <f>STATS1003B!N2072/1000</f>
        <v>0</v>
      </c>
      <c r="O2068" s="85">
        <f>STATS1003B!O2072/1000</f>
        <v>0</v>
      </c>
      <c r="P2068" s="85">
        <f>STATS1003B!P2072/1000</f>
        <v>0</v>
      </c>
      <c r="Q2068" s="85">
        <f>STATS1003B!Q2072/1000</f>
        <v>0</v>
      </c>
      <c r="R2068" s="85">
        <f>STATS1003B!R2072/1000</f>
        <v>0</v>
      </c>
      <c r="S2068" s="85">
        <f>STATS1003B!S2072/1000</f>
        <v>0</v>
      </c>
      <c r="T2068" s="85">
        <f>STATS1003B!T2072/1000</f>
        <v>0</v>
      </c>
      <c r="U2068" s="85">
        <f>STATS1003B!U2072/1000</f>
        <v>0</v>
      </c>
      <c r="V2068" s="85">
        <f>STATS1003B!V2072/1000</f>
        <v>2881.3539999999998</v>
      </c>
      <c r="W2068" s="85">
        <f>STATS1003B!W2072/1000</f>
        <v>0</v>
      </c>
      <c r="X2068" s="85">
        <f t="shared" si="226"/>
        <v>2881.3539999999998</v>
      </c>
      <c r="Y2068" s="85">
        <f>STATS1003B!Y2072/1000</f>
        <v>0</v>
      </c>
      <c r="Z2068" s="85">
        <f t="shared" si="224"/>
        <v>0</v>
      </c>
      <c r="AA2068" s="69">
        <f>STATS1003B!AA2072/1000</f>
        <v>2881.3539999999998</v>
      </c>
      <c r="AB2068" s="69">
        <f>STATS1003B!AB2072/1000</f>
        <v>0</v>
      </c>
    </row>
    <row r="2069" spans="1:28" hidden="1" x14ac:dyDescent="0.3">
      <c r="A2069" s="117"/>
      <c r="C2069" s="68" t="s">
        <v>57</v>
      </c>
      <c r="D2069" s="145" t="s">
        <v>60</v>
      </c>
      <c r="E2069" s="85">
        <f>STATS1003B!E2073/1000</f>
        <v>4459.8909999999996</v>
      </c>
      <c r="F2069" s="85">
        <f>STATS1003B!F2073/1000</f>
        <v>4459.8909999999996</v>
      </c>
      <c r="G2069" s="85">
        <f>STATS1003B!G2073/1000</f>
        <v>0</v>
      </c>
      <c r="H2069" s="85">
        <f>STATS1003B!H2073/1000</f>
        <v>4459.8909999999996</v>
      </c>
      <c r="I2069" s="85">
        <f>STATS1003B!I2073/1000</f>
        <v>0</v>
      </c>
      <c r="J2069" s="85">
        <f>STATS1003B!J2073/1000</f>
        <v>0</v>
      </c>
      <c r="K2069" s="85">
        <f>STATS1003B!K2073/1000</f>
        <v>0</v>
      </c>
      <c r="L2069" s="85">
        <f>STATS1003B!L2073/1000</f>
        <v>0</v>
      </c>
      <c r="M2069" s="85">
        <f>STATS1003B!M2073/1000</f>
        <v>4459.8909999999996</v>
      </c>
      <c r="N2069" s="85">
        <f>STATS1003B!N2073/1000</f>
        <v>0</v>
      </c>
      <c r="O2069" s="85">
        <f>STATS1003B!O2073/1000</f>
        <v>0</v>
      </c>
      <c r="P2069" s="85">
        <f>STATS1003B!P2073/1000</f>
        <v>0</v>
      </c>
      <c r="Q2069" s="85">
        <f>STATS1003B!Q2073/1000</f>
        <v>0</v>
      </c>
      <c r="R2069" s="85">
        <f>STATS1003B!R2073/1000</f>
        <v>0</v>
      </c>
      <c r="S2069" s="85">
        <f>STATS1003B!S2073/1000</f>
        <v>0</v>
      </c>
      <c r="T2069" s="85">
        <f>STATS1003B!T2073/1000</f>
        <v>0</v>
      </c>
      <c r="U2069" s="85">
        <f>STATS1003B!U2073/1000</f>
        <v>0</v>
      </c>
      <c r="V2069" s="85">
        <f>STATS1003B!V2073/1000</f>
        <v>4459.8909999999996</v>
      </c>
      <c r="W2069" s="85">
        <f>STATS1003B!W2073/1000</f>
        <v>0</v>
      </c>
      <c r="X2069" s="85">
        <f t="shared" si="226"/>
        <v>4459.8909999999996</v>
      </c>
      <c r="Y2069" s="85">
        <f>STATS1003B!Y2073/1000</f>
        <v>0</v>
      </c>
      <c r="Z2069" s="85">
        <f t="shared" si="224"/>
        <v>0</v>
      </c>
      <c r="AA2069" s="69">
        <f>STATS1003B!AA2073/1000</f>
        <v>4459.8909999999996</v>
      </c>
      <c r="AB2069" s="69">
        <f>STATS1003B!AB2073/1000</f>
        <v>0</v>
      </c>
    </row>
    <row r="2070" spans="1:28" hidden="1" x14ac:dyDescent="0.3">
      <c r="A2070" s="117"/>
      <c r="C2070" s="68" t="s">
        <v>380</v>
      </c>
      <c r="E2070" s="85">
        <f>STATS1003B!E2074/1000</f>
        <v>1168</v>
      </c>
      <c r="F2070" s="85">
        <f>STATS1003B!F2074/1000</f>
        <v>1168</v>
      </c>
      <c r="G2070" s="85">
        <f>STATS1003B!G2074/1000</f>
        <v>0</v>
      </c>
      <c r="H2070" s="85">
        <f>STATS1003B!H2074/1000</f>
        <v>1168</v>
      </c>
      <c r="I2070" s="85">
        <f>STATS1003B!I2074/1000</f>
        <v>0</v>
      </c>
      <c r="J2070" s="85">
        <f>STATS1003B!J2074/1000</f>
        <v>0</v>
      </c>
      <c r="K2070" s="85">
        <f>STATS1003B!K2074/1000</f>
        <v>0</v>
      </c>
      <c r="L2070" s="85">
        <f>STATS1003B!L2074/1000</f>
        <v>0</v>
      </c>
      <c r="M2070" s="85">
        <f>STATS1003B!M2074/1000</f>
        <v>1168</v>
      </c>
      <c r="N2070" s="85">
        <f>STATS1003B!N2074/1000</f>
        <v>0</v>
      </c>
      <c r="O2070" s="85">
        <f>STATS1003B!O2074/1000</f>
        <v>0</v>
      </c>
      <c r="P2070" s="85">
        <f>STATS1003B!P2074/1000</f>
        <v>0</v>
      </c>
      <c r="Q2070" s="85">
        <f>STATS1003B!Q2074/1000</f>
        <v>0</v>
      </c>
      <c r="R2070" s="85">
        <f>STATS1003B!R2074/1000</f>
        <v>0</v>
      </c>
      <c r="S2070" s="85">
        <f>STATS1003B!S2074/1000</f>
        <v>0</v>
      </c>
      <c r="T2070" s="85">
        <f>STATS1003B!T2074/1000</f>
        <v>0</v>
      </c>
      <c r="U2070" s="85">
        <f>STATS1003B!U2074/1000</f>
        <v>0</v>
      </c>
      <c r="V2070" s="85">
        <f>STATS1003B!V2074/1000</f>
        <v>1168</v>
      </c>
      <c r="W2070" s="85">
        <f>STATS1003B!W2074/1000</f>
        <v>0</v>
      </c>
      <c r="X2070" s="85">
        <f t="shared" si="226"/>
        <v>1168</v>
      </c>
      <c r="Y2070" s="85">
        <f>STATS1003B!Y2074/1000</f>
        <v>0</v>
      </c>
      <c r="Z2070" s="85">
        <f t="shared" si="224"/>
        <v>0</v>
      </c>
      <c r="AA2070" s="69">
        <f>STATS1003B!AA2074/1000</f>
        <v>1168</v>
      </c>
      <c r="AB2070" s="69">
        <f>STATS1003B!AB2074/1000</f>
        <v>0</v>
      </c>
    </row>
    <row r="2071" spans="1:28" hidden="1" x14ac:dyDescent="0.3">
      <c r="A2071" s="117"/>
      <c r="C2071" s="71" t="s">
        <v>109</v>
      </c>
      <c r="D2071" s="88" t="s">
        <v>60</v>
      </c>
      <c r="E2071" s="85">
        <f>STATS1003B!E2075/1000</f>
        <v>2500</v>
      </c>
      <c r="F2071" s="85">
        <f>STATS1003B!F2075/1000</f>
        <v>2500</v>
      </c>
      <c r="G2071" s="85">
        <f>STATS1003B!G2075/1000</f>
        <v>0</v>
      </c>
      <c r="H2071" s="85">
        <f>STATS1003B!H2075/1000</f>
        <v>2500</v>
      </c>
      <c r="I2071" s="85">
        <f>STATS1003B!I2075/1000</f>
        <v>0</v>
      </c>
      <c r="J2071" s="85">
        <f>STATS1003B!J2075/1000</f>
        <v>0</v>
      </c>
      <c r="K2071" s="85">
        <f>STATS1003B!K2075/1000</f>
        <v>0</v>
      </c>
      <c r="L2071" s="85">
        <f>STATS1003B!L2075/1000</f>
        <v>0</v>
      </c>
      <c r="M2071" s="85">
        <f>STATS1003B!M2075/1000</f>
        <v>2500</v>
      </c>
      <c r="N2071" s="85">
        <f>STATS1003B!N2075/1000</f>
        <v>0</v>
      </c>
      <c r="O2071" s="85">
        <f>STATS1003B!O2075/1000</f>
        <v>0</v>
      </c>
      <c r="P2071" s="85">
        <f>STATS1003B!P2075/1000</f>
        <v>0</v>
      </c>
      <c r="Q2071" s="85">
        <f>STATS1003B!Q2075/1000</f>
        <v>0</v>
      </c>
      <c r="R2071" s="85">
        <f>STATS1003B!R2075/1000</f>
        <v>0</v>
      </c>
      <c r="S2071" s="85">
        <f>STATS1003B!S2075/1000</f>
        <v>0</v>
      </c>
      <c r="T2071" s="85">
        <f>STATS1003B!T2075/1000</f>
        <v>0</v>
      </c>
      <c r="U2071" s="85">
        <f>STATS1003B!U2075/1000</f>
        <v>0</v>
      </c>
      <c r="V2071" s="85">
        <f>STATS1003B!V2075/1000</f>
        <v>2500</v>
      </c>
      <c r="W2071" s="85">
        <f>STATS1003B!W2075/1000</f>
        <v>0</v>
      </c>
      <c r="X2071" s="85">
        <f t="shared" si="226"/>
        <v>2500</v>
      </c>
      <c r="Y2071" s="85">
        <f>STATS1003B!Y2075/1000</f>
        <v>0</v>
      </c>
      <c r="Z2071" s="85">
        <f t="shared" si="224"/>
        <v>0</v>
      </c>
      <c r="AA2071" s="69">
        <f>STATS1003B!AA2075/1000</f>
        <v>2500</v>
      </c>
      <c r="AB2071" s="69">
        <f>STATS1003B!AB2075/1000</f>
        <v>0</v>
      </c>
    </row>
    <row r="2072" spans="1:28" hidden="1" x14ac:dyDescent="0.3">
      <c r="A2072" s="117"/>
      <c r="C2072" s="68" t="s">
        <v>381</v>
      </c>
      <c r="D2072" s="145" t="s">
        <v>73</v>
      </c>
      <c r="E2072" s="85">
        <f>STATS1003B!E2076/1000</f>
        <v>10524.961369999999</v>
      </c>
      <c r="F2072" s="85">
        <f>STATS1003B!F2076/1000</f>
        <v>7742.9669999999996</v>
      </c>
      <c r="G2072" s="85">
        <f>STATS1003B!G2076/1000</f>
        <v>0</v>
      </c>
      <c r="H2072" s="85">
        <f>STATS1003B!H2076/1000</f>
        <v>7742.9669999999996</v>
      </c>
      <c r="I2072" s="85">
        <f>STATS1003B!I2076/1000</f>
        <v>0</v>
      </c>
      <c r="J2072" s="85">
        <f>STATS1003B!J2076/1000</f>
        <v>0</v>
      </c>
      <c r="K2072" s="85">
        <f>STATS1003B!K2076/1000</f>
        <v>0</v>
      </c>
      <c r="L2072" s="85">
        <f>STATS1003B!L2076/1000</f>
        <v>0</v>
      </c>
      <c r="M2072" s="85">
        <f>STATS1003B!M2076/1000</f>
        <v>7742.9669999999996</v>
      </c>
      <c r="N2072" s="85">
        <f>STATS1003B!N2076/1000</f>
        <v>0</v>
      </c>
      <c r="O2072" s="85">
        <f>STATS1003B!O2076/1000</f>
        <v>0</v>
      </c>
      <c r="P2072" s="85">
        <f>STATS1003B!P2076/1000</f>
        <v>0</v>
      </c>
      <c r="Q2072" s="85">
        <f>STATS1003B!Q2076/1000</f>
        <v>0</v>
      </c>
      <c r="R2072" s="85">
        <f>STATS1003B!R2076/1000</f>
        <v>0</v>
      </c>
      <c r="S2072" s="85">
        <f>STATS1003B!S2076/1000</f>
        <v>0</v>
      </c>
      <c r="T2072" s="85">
        <f>STATS1003B!T2076/1000</f>
        <v>0</v>
      </c>
      <c r="U2072" s="85">
        <f>STATS1003B!U2076/1000</f>
        <v>0</v>
      </c>
      <c r="V2072" s="85">
        <f>STATS1003B!V2076/1000</f>
        <v>7742.9669999999996</v>
      </c>
      <c r="W2072" s="85">
        <f>STATS1003B!W2076/1000</f>
        <v>2781.994369999999</v>
      </c>
      <c r="X2072" s="85">
        <f t="shared" si="226"/>
        <v>7742.9669999999996</v>
      </c>
      <c r="Y2072" s="85">
        <f>STATS1003B!Y2076/1000</f>
        <v>0</v>
      </c>
      <c r="Z2072" s="85">
        <f t="shared" si="224"/>
        <v>2781.9943699999994</v>
      </c>
      <c r="AA2072" s="69">
        <f>STATS1003B!AA2076/1000</f>
        <v>7742.9669999999996</v>
      </c>
      <c r="AB2072" s="69">
        <f>STATS1003B!AB2076/1000</f>
        <v>2781.994369999999</v>
      </c>
    </row>
    <row r="2073" spans="1:28" hidden="1" x14ac:dyDescent="0.3">
      <c r="A2073" s="117"/>
      <c r="C2073" s="71" t="s">
        <v>382</v>
      </c>
      <c r="D2073" s="145" t="s">
        <v>73</v>
      </c>
      <c r="E2073" s="85">
        <f>STATS1003B!E2077/1000</f>
        <v>10070.736000000001</v>
      </c>
      <c r="F2073" s="85">
        <f>STATS1003B!F2077/1000</f>
        <v>10070.736000000001</v>
      </c>
      <c r="G2073" s="85">
        <f>STATS1003B!G2077/1000</f>
        <v>0</v>
      </c>
      <c r="H2073" s="85">
        <f>STATS1003B!H2077/1000</f>
        <v>10070.736000000001</v>
      </c>
      <c r="I2073" s="85">
        <f>STATS1003B!I2077/1000</f>
        <v>0</v>
      </c>
      <c r="J2073" s="85">
        <f>STATS1003B!J2077/1000</f>
        <v>0</v>
      </c>
      <c r="K2073" s="85">
        <f>STATS1003B!K2077/1000</f>
        <v>0</v>
      </c>
      <c r="L2073" s="85">
        <f>STATS1003B!L2077/1000</f>
        <v>0</v>
      </c>
      <c r="M2073" s="85">
        <f>STATS1003B!M2077/1000</f>
        <v>10070.736000000001</v>
      </c>
      <c r="N2073" s="85">
        <f>STATS1003B!N2077/1000</f>
        <v>0</v>
      </c>
      <c r="O2073" s="85">
        <f>STATS1003B!O2077/1000</f>
        <v>0</v>
      </c>
      <c r="P2073" s="85">
        <f>STATS1003B!P2077/1000</f>
        <v>0</v>
      </c>
      <c r="Q2073" s="85">
        <f>STATS1003B!Q2077/1000</f>
        <v>0</v>
      </c>
      <c r="R2073" s="85">
        <f>STATS1003B!R2077/1000</f>
        <v>0</v>
      </c>
      <c r="S2073" s="85">
        <f>STATS1003B!S2077/1000</f>
        <v>0</v>
      </c>
      <c r="T2073" s="85">
        <f>STATS1003B!T2077/1000</f>
        <v>0</v>
      </c>
      <c r="U2073" s="85">
        <f>STATS1003B!U2077/1000</f>
        <v>0</v>
      </c>
      <c r="V2073" s="85">
        <f>STATS1003B!V2077/1000</f>
        <v>10070.736000000001</v>
      </c>
      <c r="W2073" s="85">
        <f>STATS1003B!W2077/1000</f>
        <v>0</v>
      </c>
      <c r="X2073" s="85">
        <f t="shared" si="226"/>
        <v>10070.736000000001</v>
      </c>
      <c r="Y2073" s="85">
        <f>STATS1003B!Y2077/1000</f>
        <v>0</v>
      </c>
      <c r="Z2073" s="85">
        <f t="shared" si="224"/>
        <v>0</v>
      </c>
      <c r="AA2073" s="69">
        <f>STATS1003B!AA2077/1000</f>
        <v>10070.736000000001</v>
      </c>
      <c r="AB2073" s="69">
        <f>STATS1003B!AB2077/1000</f>
        <v>0</v>
      </c>
    </row>
    <row r="2074" spans="1:28" hidden="1" x14ac:dyDescent="0.3">
      <c r="A2074" s="117"/>
      <c r="C2074" s="71" t="s">
        <v>930</v>
      </c>
      <c r="D2074" s="90" t="s">
        <v>1072</v>
      </c>
      <c r="E2074" s="85">
        <f>STATS1003B!E2078/1000</f>
        <v>2658</v>
      </c>
      <c r="F2074" s="85">
        <f>STATS1003B!F2078/1000</f>
        <v>2658</v>
      </c>
      <c r="G2074" s="85">
        <f>STATS1003B!G2078/1000</f>
        <v>0</v>
      </c>
      <c r="H2074" s="85">
        <f>STATS1003B!H2078/1000</f>
        <v>2658</v>
      </c>
      <c r="I2074" s="85">
        <f>STATS1003B!I2078/1000</f>
        <v>0</v>
      </c>
      <c r="J2074" s="85">
        <f>STATS1003B!J2078/1000</f>
        <v>0</v>
      </c>
      <c r="K2074" s="85">
        <f>STATS1003B!K2078/1000</f>
        <v>0</v>
      </c>
      <c r="L2074" s="85">
        <f>STATS1003B!L2078/1000</f>
        <v>0</v>
      </c>
      <c r="M2074" s="85">
        <f>STATS1003B!M2078/1000</f>
        <v>2658</v>
      </c>
      <c r="N2074" s="85">
        <f>STATS1003B!N2078/1000</f>
        <v>0</v>
      </c>
      <c r="O2074" s="85">
        <f>STATS1003B!O2078/1000</f>
        <v>0</v>
      </c>
      <c r="P2074" s="85">
        <f>STATS1003B!P2078/1000</f>
        <v>0</v>
      </c>
      <c r="Q2074" s="85">
        <f>STATS1003B!Q2078/1000</f>
        <v>0</v>
      </c>
      <c r="R2074" s="85">
        <f>STATS1003B!R2078/1000</f>
        <v>0</v>
      </c>
      <c r="S2074" s="85">
        <f>STATS1003B!S2078/1000</f>
        <v>0</v>
      </c>
      <c r="T2074" s="85">
        <f>STATS1003B!T2078/1000</f>
        <v>0</v>
      </c>
      <c r="U2074" s="85">
        <f>STATS1003B!U2078/1000</f>
        <v>0</v>
      </c>
      <c r="V2074" s="85">
        <f>STATS1003B!V2078/1000</f>
        <v>2658</v>
      </c>
      <c r="W2074" s="85">
        <f>STATS1003B!W2078/1000</f>
        <v>0</v>
      </c>
      <c r="X2074" s="85">
        <f t="shared" si="226"/>
        <v>2658</v>
      </c>
      <c r="Y2074" s="85">
        <f>STATS1003B!Y2078/1000</f>
        <v>0</v>
      </c>
      <c r="Z2074" s="85">
        <f t="shared" si="224"/>
        <v>0</v>
      </c>
      <c r="AA2074" s="69">
        <f>STATS1003B!AA2078/1000</f>
        <v>2658</v>
      </c>
      <c r="AB2074" s="69">
        <f>STATS1003B!AB2078/1000</f>
        <v>0</v>
      </c>
    </row>
    <row r="2075" spans="1:28" hidden="1" x14ac:dyDescent="0.3">
      <c r="A2075" s="117"/>
      <c r="C2075" s="71" t="s">
        <v>1176</v>
      </c>
      <c r="D2075" s="90" t="s">
        <v>1126</v>
      </c>
      <c r="E2075" s="85">
        <f>STATS1003B!E2079/1000</f>
        <v>10085.93139</v>
      </c>
      <c r="F2075" s="85">
        <f>STATS1003B!F2079/1000</f>
        <v>10085.93139</v>
      </c>
      <c r="G2075" s="85">
        <f>STATS1003B!G2079/1000</f>
        <v>0</v>
      </c>
      <c r="H2075" s="85">
        <f>STATS1003B!H2079/1000</f>
        <v>10085.93139</v>
      </c>
      <c r="I2075" s="85">
        <f>STATS1003B!I2079/1000</f>
        <v>0</v>
      </c>
      <c r="J2075" s="85">
        <f>STATS1003B!J2079/1000</f>
        <v>0</v>
      </c>
      <c r="K2075" s="85">
        <f>STATS1003B!K2079/1000</f>
        <v>0</v>
      </c>
      <c r="L2075" s="85">
        <f>STATS1003B!L2079/1000</f>
        <v>0</v>
      </c>
      <c r="M2075" s="85">
        <f>STATS1003B!M2079/1000</f>
        <v>10085.93139</v>
      </c>
      <c r="N2075" s="85">
        <f>STATS1003B!N2079/1000</f>
        <v>0</v>
      </c>
      <c r="O2075" s="85">
        <f>STATS1003B!O2079/1000</f>
        <v>0</v>
      </c>
      <c r="P2075" s="85">
        <f>STATS1003B!P2079/1000</f>
        <v>0</v>
      </c>
      <c r="Q2075" s="85">
        <f>STATS1003B!Q2079/1000</f>
        <v>0</v>
      </c>
      <c r="R2075" s="85">
        <f>STATS1003B!R2079/1000</f>
        <v>0</v>
      </c>
      <c r="S2075" s="85">
        <f>STATS1003B!S2079/1000</f>
        <v>0</v>
      </c>
      <c r="T2075" s="85">
        <f>STATS1003B!T2079/1000</f>
        <v>0</v>
      </c>
      <c r="U2075" s="85">
        <f>STATS1003B!U2079/1000</f>
        <v>0</v>
      </c>
      <c r="V2075" s="85">
        <f>STATS1003B!V2079/1000</f>
        <v>10085.93139</v>
      </c>
      <c r="W2075" s="85">
        <f>STATS1003B!W2079/1000</f>
        <v>0</v>
      </c>
      <c r="X2075" s="85">
        <f t="shared" si="226"/>
        <v>10085.93139</v>
      </c>
      <c r="Y2075" s="85">
        <f>STATS1003B!Y2079/1000</f>
        <v>0</v>
      </c>
      <c r="Z2075" s="85">
        <f>+E2075-X2075</f>
        <v>0</v>
      </c>
      <c r="AA2075" s="69">
        <f>STATS1003B!AA2079/1000</f>
        <v>10085.93139</v>
      </c>
      <c r="AB2075" s="69">
        <f>STATS1003B!AB2079/1000</f>
        <v>0</v>
      </c>
    </row>
    <row r="2076" spans="1:28" hidden="1" x14ac:dyDescent="0.3">
      <c r="A2076" s="117"/>
      <c r="C2076" s="71" t="s">
        <v>1220</v>
      </c>
      <c r="D2076" s="90" t="s">
        <v>1126</v>
      </c>
      <c r="E2076" s="85">
        <f>STATS1003B!E2080/1000</f>
        <v>1000</v>
      </c>
      <c r="F2076" s="85">
        <f>STATS1003B!F2080/1000</f>
        <v>1000</v>
      </c>
      <c r="G2076" s="85">
        <f>STATS1003B!G2080/1000</f>
        <v>0</v>
      </c>
      <c r="H2076" s="85">
        <f>STATS1003B!H2080/1000</f>
        <v>1000</v>
      </c>
      <c r="I2076" s="85">
        <f>STATS1003B!I2080/1000</f>
        <v>0</v>
      </c>
      <c r="J2076" s="85">
        <f>STATS1003B!J2080/1000</f>
        <v>0</v>
      </c>
      <c r="K2076" s="85">
        <f>STATS1003B!K2080/1000</f>
        <v>0</v>
      </c>
      <c r="L2076" s="85">
        <f>STATS1003B!L2080/1000</f>
        <v>0</v>
      </c>
      <c r="M2076" s="85">
        <f>STATS1003B!M2080/1000</f>
        <v>1000</v>
      </c>
      <c r="N2076" s="85">
        <f>STATS1003B!N2080/1000</f>
        <v>0</v>
      </c>
      <c r="O2076" s="85">
        <f>STATS1003B!O2080/1000</f>
        <v>0</v>
      </c>
      <c r="P2076" s="85">
        <f>STATS1003B!P2080/1000</f>
        <v>0</v>
      </c>
      <c r="Q2076" s="85">
        <f>STATS1003B!Q2080/1000</f>
        <v>0</v>
      </c>
      <c r="R2076" s="85">
        <f>STATS1003B!R2080/1000</f>
        <v>0</v>
      </c>
      <c r="S2076" s="85">
        <f>STATS1003B!S2080/1000</f>
        <v>0</v>
      </c>
      <c r="T2076" s="85">
        <f>STATS1003B!T2080/1000</f>
        <v>0</v>
      </c>
      <c r="U2076" s="85">
        <f>STATS1003B!U2080/1000</f>
        <v>0</v>
      </c>
      <c r="V2076" s="85">
        <f>STATS1003B!V2080/1000</f>
        <v>1000</v>
      </c>
      <c r="W2076" s="85">
        <f>STATS1003B!W2080/1000</f>
        <v>0</v>
      </c>
      <c r="X2076" s="85">
        <f t="shared" si="226"/>
        <v>1000</v>
      </c>
      <c r="Y2076" s="85">
        <f>STATS1003B!Y2080/1000</f>
        <v>0</v>
      </c>
      <c r="Z2076" s="85">
        <f>+E2076-X2076</f>
        <v>0</v>
      </c>
      <c r="AA2076" s="69">
        <f>STATS1003B!AA2080/1000</f>
        <v>1000</v>
      </c>
      <c r="AB2076" s="69">
        <f>STATS1003B!AB2080/1000</f>
        <v>0</v>
      </c>
    </row>
    <row r="2077" spans="1:28" hidden="1" x14ac:dyDescent="0.3">
      <c r="A2077" s="117"/>
      <c r="C2077" s="68" t="s">
        <v>57</v>
      </c>
      <c r="D2077" s="90" t="s">
        <v>61</v>
      </c>
      <c r="E2077" s="85">
        <f>STATS1003B!E2081/1000</f>
        <v>4085</v>
      </c>
      <c r="F2077" s="85">
        <f>STATS1003B!F2081/1000</f>
        <v>4085</v>
      </c>
      <c r="G2077" s="85">
        <f>STATS1003B!G2081/1000</f>
        <v>0</v>
      </c>
      <c r="H2077" s="85">
        <f>STATS1003B!H2081/1000</f>
        <v>4085</v>
      </c>
      <c r="I2077" s="85">
        <f>STATS1003B!I2081/1000</f>
        <v>0</v>
      </c>
      <c r="J2077" s="85">
        <f>STATS1003B!J2081/1000</f>
        <v>0</v>
      </c>
      <c r="K2077" s="85">
        <f>STATS1003B!K2081/1000</f>
        <v>0</v>
      </c>
      <c r="L2077" s="85">
        <f>STATS1003B!L2081/1000</f>
        <v>0</v>
      </c>
      <c r="M2077" s="85">
        <f>STATS1003B!M2081/1000</f>
        <v>4085</v>
      </c>
      <c r="N2077" s="85">
        <f>STATS1003B!N2081/1000</f>
        <v>0</v>
      </c>
      <c r="O2077" s="85">
        <f>STATS1003B!O2081/1000</f>
        <v>0</v>
      </c>
      <c r="P2077" s="85">
        <f>STATS1003B!P2081/1000</f>
        <v>0</v>
      </c>
      <c r="Q2077" s="85">
        <f>STATS1003B!Q2081/1000</f>
        <v>0</v>
      </c>
      <c r="R2077" s="85">
        <f>STATS1003B!R2081/1000</f>
        <v>0</v>
      </c>
      <c r="S2077" s="85">
        <f>STATS1003B!S2081/1000</f>
        <v>0</v>
      </c>
      <c r="T2077" s="85">
        <f>STATS1003B!T2081/1000</f>
        <v>0</v>
      </c>
      <c r="U2077" s="85">
        <f>STATS1003B!U2081/1000</f>
        <v>0</v>
      </c>
      <c r="V2077" s="85">
        <f>STATS1003B!V2081/1000</f>
        <v>4085</v>
      </c>
      <c r="W2077" s="85">
        <f>STATS1003B!W2081/1000</f>
        <v>0</v>
      </c>
      <c r="X2077" s="85">
        <f t="shared" si="226"/>
        <v>4085</v>
      </c>
      <c r="Y2077" s="85">
        <f>STATS1003B!Y2081/1000</f>
        <v>0</v>
      </c>
      <c r="Z2077" s="85">
        <f>+E2077-X2077</f>
        <v>0</v>
      </c>
      <c r="AA2077" s="69">
        <f>STATS1003B!AA2081/1000</f>
        <v>4085</v>
      </c>
      <c r="AB2077" s="69">
        <f>STATS1003B!AB2081/1000</f>
        <v>0</v>
      </c>
    </row>
    <row r="2078" spans="1:28" hidden="1" x14ac:dyDescent="0.3">
      <c r="A2078" s="117"/>
      <c r="E2078" s="86" t="s">
        <v>29</v>
      </c>
      <c r="F2078" s="86" t="s">
        <v>29</v>
      </c>
      <c r="G2078" s="86" t="s">
        <v>29</v>
      </c>
      <c r="H2078" s="86" t="s">
        <v>29</v>
      </c>
      <c r="I2078" s="86" t="s">
        <v>29</v>
      </c>
      <c r="J2078" s="86" t="s">
        <v>29</v>
      </c>
      <c r="K2078" s="86" t="s">
        <v>29</v>
      </c>
      <c r="L2078" s="86" t="s">
        <v>29</v>
      </c>
      <c r="M2078" s="86" t="s">
        <v>29</v>
      </c>
      <c r="N2078" s="86" t="s">
        <v>29</v>
      </c>
      <c r="O2078" s="86" t="s">
        <v>29</v>
      </c>
      <c r="P2078" s="86" t="s">
        <v>29</v>
      </c>
      <c r="Q2078" s="86" t="s">
        <v>29</v>
      </c>
      <c r="R2078" s="86" t="s">
        <v>29</v>
      </c>
      <c r="S2078" s="86" t="s">
        <v>29</v>
      </c>
      <c r="T2078" s="86" t="s">
        <v>29</v>
      </c>
      <c r="U2078" s="86" t="s">
        <v>29</v>
      </c>
      <c r="V2078" s="86" t="s">
        <v>29</v>
      </c>
      <c r="W2078" s="86" t="s">
        <v>29</v>
      </c>
      <c r="X2078" s="85" t="e">
        <f t="shared" si="226"/>
        <v>#VALUE!</v>
      </c>
      <c r="Y2078" s="86" t="s">
        <v>29</v>
      </c>
      <c r="Z2078" s="85" t="e">
        <f>+E2078-X2078</f>
        <v>#VALUE!</v>
      </c>
      <c r="AA2078" s="115" t="s">
        <v>29</v>
      </c>
      <c r="AB2078" s="115" t="s">
        <v>29</v>
      </c>
    </row>
    <row r="2079" spans="1:28" x14ac:dyDescent="0.3">
      <c r="A2079" s="116">
        <v>91</v>
      </c>
      <c r="B2079" s="68" t="s">
        <v>376</v>
      </c>
      <c r="E2079" s="85">
        <f>165441212.82/1000</f>
        <v>165441.21281999999</v>
      </c>
      <c r="F2079" s="85">
        <f t="shared" ref="F2079:AB2079" si="228">SUM(F2062:F2077)</f>
        <v>77589.178199999995</v>
      </c>
      <c r="G2079" s="85">
        <f t="shared" si="228"/>
        <v>0</v>
      </c>
      <c r="H2079" s="85">
        <f>158585611/1000</f>
        <v>158585.611</v>
      </c>
      <c r="I2079" s="85">
        <f t="shared" si="228"/>
        <v>0</v>
      </c>
      <c r="J2079" s="85">
        <f t="shared" si="228"/>
        <v>0</v>
      </c>
      <c r="K2079" s="85">
        <f t="shared" si="228"/>
        <v>0</v>
      </c>
      <c r="L2079" s="85">
        <f t="shared" si="228"/>
        <v>0</v>
      </c>
      <c r="M2079" s="85">
        <f t="shared" si="228"/>
        <v>77589.178199999995</v>
      </c>
      <c r="N2079" s="85">
        <f t="shared" si="228"/>
        <v>4073.60745</v>
      </c>
      <c r="O2079" s="85">
        <f t="shared" si="228"/>
        <v>0</v>
      </c>
      <c r="P2079" s="85">
        <f>4073607/1000</f>
        <v>4073.607</v>
      </c>
      <c r="Q2079" s="85">
        <f t="shared" si="228"/>
        <v>0</v>
      </c>
      <c r="R2079" s="85">
        <f t="shared" si="228"/>
        <v>0</v>
      </c>
      <c r="S2079" s="85">
        <f t="shared" si="228"/>
        <v>0</v>
      </c>
      <c r="T2079" s="85">
        <f t="shared" si="228"/>
        <v>0</v>
      </c>
      <c r="U2079" s="85">
        <f t="shared" si="228"/>
        <v>4073.60745</v>
      </c>
      <c r="V2079" s="85">
        <f t="shared" si="228"/>
        <v>81662.785649999991</v>
      </c>
      <c r="W2079" s="85">
        <f t="shared" si="228"/>
        <v>2781.994369999999</v>
      </c>
      <c r="X2079" s="85">
        <f t="shared" si="226"/>
        <v>162659.21799999999</v>
      </c>
      <c r="Y2079" s="85">
        <f t="shared" si="228"/>
        <v>0</v>
      </c>
      <c r="Z2079" s="85">
        <f>+E2079-X2079</f>
        <v>2781.9948199999926</v>
      </c>
      <c r="AA2079" s="69">
        <f t="shared" si="228"/>
        <v>81662.785649999991</v>
      </c>
      <c r="AB2079" s="69">
        <f t="shared" si="228"/>
        <v>2781.994369999999</v>
      </c>
    </row>
    <row r="2080" spans="1:28" x14ac:dyDescent="0.3">
      <c r="A2080" s="117"/>
      <c r="E2080" s="86"/>
      <c r="F2080" s="86"/>
      <c r="G2080" s="86"/>
      <c r="H2080" s="86"/>
      <c r="I2080" s="86"/>
      <c r="J2080" s="86"/>
      <c r="K2080" s="86"/>
      <c r="L2080" s="86"/>
      <c r="M2080" s="86"/>
      <c r="N2080" s="86"/>
      <c r="O2080" s="86"/>
      <c r="P2080" s="86"/>
      <c r="Q2080" s="86"/>
      <c r="R2080" s="86"/>
      <c r="S2080" s="86"/>
      <c r="T2080" s="86"/>
      <c r="U2080" s="86"/>
      <c r="V2080" s="86"/>
      <c r="W2080" s="86"/>
      <c r="X2080" s="86"/>
      <c r="Y2080" s="86"/>
      <c r="Z2080" s="86"/>
      <c r="AA2080" s="115" t="s">
        <v>29</v>
      </c>
      <c r="AB2080" s="115" t="s">
        <v>29</v>
      </c>
    </row>
    <row r="2081" spans="1:28" s="106" customFormat="1" x14ac:dyDescent="0.3">
      <c r="A2081" s="104"/>
      <c r="B2081" s="8"/>
      <c r="C2081" s="7" t="s">
        <v>3</v>
      </c>
      <c r="D2081" s="8"/>
      <c r="E2081" s="82">
        <f t="shared" ref="E2081:AB2081" si="229">E2079+E2059+E2037+E2011+E1987</f>
        <v>1204210.1871799999</v>
      </c>
      <c r="F2081" s="82">
        <f t="shared" si="229"/>
        <v>430445.21671999997</v>
      </c>
      <c r="G2081" s="82">
        <f t="shared" si="229"/>
        <v>50339.069739999992</v>
      </c>
      <c r="H2081" s="82">
        <f t="shared" si="229"/>
        <v>1180828.95909</v>
      </c>
      <c r="I2081" s="82">
        <f t="shared" si="229"/>
        <v>31772.640639999998</v>
      </c>
      <c r="J2081" s="82">
        <f t="shared" si="229"/>
        <v>31772.640639999998</v>
      </c>
      <c r="K2081" s="82">
        <f t="shared" si="229"/>
        <v>0</v>
      </c>
      <c r="L2081" s="82">
        <f t="shared" si="229"/>
        <v>0</v>
      </c>
      <c r="M2081" s="82">
        <f t="shared" si="229"/>
        <v>480784.28645999992</v>
      </c>
      <c r="N2081" s="82">
        <f t="shared" si="229"/>
        <v>20416.580629999997</v>
      </c>
      <c r="O2081" s="82">
        <f t="shared" si="229"/>
        <v>0</v>
      </c>
      <c r="P2081" s="82">
        <f t="shared" si="229"/>
        <v>20416.577999999998</v>
      </c>
      <c r="Q2081" s="82">
        <f t="shared" si="229"/>
        <v>102.65309999999999</v>
      </c>
      <c r="R2081" s="82">
        <f t="shared" si="229"/>
        <v>0</v>
      </c>
      <c r="S2081" s="82">
        <f t="shared" si="229"/>
        <v>0</v>
      </c>
      <c r="T2081" s="82">
        <f t="shared" si="229"/>
        <v>102.65309999999999</v>
      </c>
      <c r="U2081" s="82">
        <f t="shared" si="229"/>
        <v>20519.23373</v>
      </c>
      <c r="V2081" s="82">
        <f t="shared" si="229"/>
        <v>402616.20144999999</v>
      </c>
      <c r="W2081" s="82">
        <f t="shared" si="229"/>
        <v>2964.6474700000008</v>
      </c>
      <c r="X2081" s="82">
        <f t="shared" si="229"/>
        <v>1201245.53709</v>
      </c>
      <c r="Y2081" s="82">
        <f t="shared" si="229"/>
        <v>0</v>
      </c>
      <c r="Z2081" s="82">
        <f t="shared" si="229"/>
        <v>2964.6500900000174</v>
      </c>
      <c r="AA2081" s="9">
        <f t="shared" si="229"/>
        <v>501303.52018999995</v>
      </c>
      <c r="AB2081" s="9">
        <f t="shared" si="229"/>
        <v>2861.994369999999</v>
      </c>
    </row>
    <row r="2082" spans="1:28" x14ac:dyDescent="0.3">
      <c r="A2082" s="117"/>
      <c r="E2082" s="86"/>
      <c r="F2082" s="86"/>
      <c r="G2082" s="86"/>
      <c r="H2082" s="86"/>
      <c r="I2082" s="86"/>
      <c r="J2082" s="86"/>
      <c r="K2082" s="86"/>
      <c r="L2082" s="86"/>
      <c r="M2082" s="86"/>
      <c r="N2082" s="86"/>
      <c r="O2082" s="86"/>
      <c r="P2082" s="86"/>
      <c r="Q2082" s="86"/>
      <c r="R2082" s="86"/>
      <c r="S2082" s="86"/>
      <c r="T2082" s="86"/>
      <c r="U2082" s="86"/>
      <c r="V2082" s="86"/>
      <c r="W2082" s="86"/>
      <c r="X2082" s="86"/>
      <c r="Y2082" s="86"/>
      <c r="Z2082" s="86"/>
      <c r="AA2082" s="115" t="s">
        <v>114</v>
      </c>
      <c r="AB2082" s="115" t="s">
        <v>114</v>
      </c>
    </row>
    <row r="2083" spans="1:28" x14ac:dyDescent="0.3">
      <c r="A2083" s="117" t="s">
        <v>375</v>
      </c>
      <c r="B2083" s="68" t="s">
        <v>799</v>
      </c>
      <c r="E2083" s="84"/>
      <c r="F2083" s="84"/>
      <c r="G2083" s="84"/>
      <c r="H2083" s="84"/>
      <c r="I2083" s="84"/>
      <c r="J2083" s="84"/>
      <c r="K2083" s="84"/>
      <c r="L2083" s="84"/>
      <c r="M2083" s="84"/>
      <c r="N2083" s="84"/>
      <c r="O2083" s="84"/>
      <c r="P2083" s="84"/>
      <c r="Q2083" s="84"/>
      <c r="R2083" s="84"/>
      <c r="S2083" s="84"/>
      <c r="T2083" s="84"/>
      <c r="U2083" s="84"/>
      <c r="V2083" s="84"/>
      <c r="W2083" s="84"/>
      <c r="X2083" s="84"/>
      <c r="Y2083" s="84"/>
      <c r="Z2083" s="84"/>
      <c r="AA2083" s="118"/>
    </row>
    <row r="2084" spans="1:28" hidden="1" x14ac:dyDescent="0.3">
      <c r="A2084" s="117"/>
      <c r="B2084" s="68"/>
      <c r="E2084" s="84"/>
      <c r="F2084" s="84"/>
      <c r="G2084" s="84"/>
      <c r="H2084" s="84"/>
      <c r="I2084" s="84"/>
      <c r="J2084" s="84"/>
      <c r="K2084" s="84"/>
      <c r="L2084" s="84"/>
      <c r="M2084" s="84"/>
      <c r="N2084" s="84"/>
      <c r="O2084" s="84"/>
      <c r="P2084" s="84"/>
      <c r="Q2084" s="84"/>
      <c r="R2084" s="84"/>
      <c r="S2084" s="84"/>
      <c r="T2084" s="84"/>
      <c r="U2084" s="84"/>
      <c r="V2084" s="84"/>
      <c r="W2084" s="84"/>
      <c r="X2084" s="84"/>
      <c r="Y2084" s="84"/>
      <c r="Z2084" s="84"/>
    </row>
    <row r="2085" spans="1:28" hidden="1" x14ac:dyDescent="0.3">
      <c r="A2085" s="105"/>
      <c r="E2085" s="84"/>
      <c r="F2085" s="84"/>
      <c r="G2085" s="84"/>
      <c r="H2085" s="84"/>
      <c r="I2085" s="84"/>
      <c r="J2085" s="84"/>
      <c r="K2085" s="84"/>
      <c r="L2085" s="84"/>
      <c r="M2085" s="84"/>
      <c r="N2085" s="84"/>
      <c r="O2085" s="84"/>
      <c r="P2085" s="84"/>
      <c r="Q2085" s="84"/>
      <c r="R2085" s="84"/>
      <c r="S2085" s="84"/>
      <c r="T2085" s="84"/>
      <c r="U2085" s="84"/>
      <c r="V2085" s="84"/>
      <c r="W2085" s="84"/>
      <c r="X2085" s="84"/>
      <c r="Y2085" s="84"/>
      <c r="Z2085" s="84"/>
    </row>
    <row r="2086" spans="1:28" hidden="1" x14ac:dyDescent="0.3">
      <c r="A2086" s="117"/>
      <c r="C2086" s="68" t="s">
        <v>535</v>
      </c>
      <c r="D2086" s="145" t="s">
        <v>68</v>
      </c>
      <c r="E2086" s="85">
        <f>STATS1003B!E2090/1000</f>
        <v>2.4068100000000561</v>
      </c>
      <c r="F2086" s="85">
        <f>STATS1003B!F2090/1000</f>
        <v>0</v>
      </c>
      <c r="G2086" s="85">
        <f>STATS1003B!G2090/1000</f>
        <v>0</v>
      </c>
      <c r="H2086" s="85">
        <f>STATS1003B!H2090/1000</f>
        <v>0</v>
      </c>
      <c r="I2086" s="85">
        <f>STATS1003B!I2090/1000</f>
        <v>0</v>
      </c>
      <c r="J2086" s="85">
        <f>STATS1003B!J2090/1000</f>
        <v>0</v>
      </c>
      <c r="K2086" s="85">
        <f>STATS1003B!K2090/1000</f>
        <v>2.4068100000000006</v>
      </c>
      <c r="L2086" s="85">
        <f>STATS1003B!L2090/1000</f>
        <v>0</v>
      </c>
      <c r="M2086" s="85">
        <f>STATS1003B!M2090/1000</f>
        <v>0</v>
      </c>
      <c r="N2086" s="85">
        <f>STATS1003B!N2090/1000</f>
        <v>2.4068100000000001</v>
      </c>
      <c r="O2086" s="85">
        <f>STATS1003B!O2090/1000</f>
        <v>0</v>
      </c>
      <c r="P2086" s="85">
        <f>STATS1003B!P2090/1000</f>
        <v>2.4068100000000001</v>
      </c>
      <c r="Q2086" s="85">
        <f>STATS1003B!Q2090/1000</f>
        <v>5.5933924159035086E-14</v>
      </c>
      <c r="R2086" s="85">
        <f>STATS1003B!R2090/1000</f>
        <v>0</v>
      </c>
      <c r="S2086" s="85">
        <f>STATS1003B!S2090/1000</f>
        <v>0</v>
      </c>
      <c r="T2086" s="85">
        <f>STATS1003B!T2090/1000</f>
        <v>0</v>
      </c>
      <c r="U2086" s="85">
        <f>STATS1003B!U2090/1000</f>
        <v>2.4068100000000001</v>
      </c>
      <c r="V2086" s="85">
        <f>STATS1003B!V2090/1000</f>
        <v>0</v>
      </c>
      <c r="W2086" s="85">
        <f>STATS1003B!W2090/1000</f>
        <v>0</v>
      </c>
      <c r="X2086" s="85">
        <f>STATS1003B!X2090/1000</f>
        <v>2.4068100000000001</v>
      </c>
      <c r="Y2086" s="85">
        <f>STATS1003B!Y2090/1000</f>
        <v>0</v>
      </c>
      <c r="Z2086" s="85">
        <f>STATS1003B!Z2090/1000</f>
        <v>5.5933924159035086E-14</v>
      </c>
      <c r="AA2086" s="69">
        <f>STATS1003B!AA2090/1000</f>
        <v>2.4068100000000001</v>
      </c>
      <c r="AB2086" s="69">
        <f>STATS1003B!AB2090/1000</f>
        <v>5.5933924159035086E-14</v>
      </c>
    </row>
    <row r="2087" spans="1:28" hidden="1" x14ac:dyDescent="0.3">
      <c r="A2087" s="117"/>
      <c r="C2087" s="68" t="s">
        <v>539</v>
      </c>
      <c r="D2087" s="145" t="s">
        <v>68</v>
      </c>
      <c r="E2087" s="85">
        <f>STATS1003B!E2091/1000</f>
        <v>8.5909399999999998</v>
      </c>
      <c r="F2087" s="85">
        <f>STATS1003B!F2091/1000</f>
        <v>0</v>
      </c>
      <c r="G2087" s="85">
        <f>STATS1003B!G2091/1000</f>
        <v>0</v>
      </c>
      <c r="H2087" s="85">
        <f>STATS1003B!H2091/1000</f>
        <v>0</v>
      </c>
      <c r="I2087" s="85">
        <f>STATS1003B!I2091/1000</f>
        <v>0</v>
      </c>
      <c r="J2087" s="85">
        <f>STATS1003B!J2091/1000</f>
        <v>0</v>
      </c>
      <c r="K2087" s="85">
        <f>STATS1003B!K2091/1000</f>
        <v>8.5909399999999998</v>
      </c>
      <c r="L2087" s="85">
        <f>STATS1003B!L2091/1000</f>
        <v>0</v>
      </c>
      <c r="M2087" s="85">
        <f>STATS1003B!M2091/1000</f>
        <v>0</v>
      </c>
      <c r="N2087" s="85">
        <f>STATS1003B!N2091/1000</f>
        <v>8.5909399999999998</v>
      </c>
      <c r="O2087" s="85">
        <f>STATS1003B!O2091/1000</f>
        <v>0</v>
      </c>
      <c r="P2087" s="85">
        <f>STATS1003B!P2091/1000</f>
        <v>8.5909399999999998</v>
      </c>
      <c r="Q2087" s="85">
        <f>STATS1003B!Q2091/1000</f>
        <v>0</v>
      </c>
      <c r="R2087" s="85">
        <f>STATS1003B!R2091/1000</f>
        <v>0</v>
      </c>
      <c r="S2087" s="85">
        <f>STATS1003B!S2091/1000</f>
        <v>0</v>
      </c>
      <c r="T2087" s="85">
        <f>STATS1003B!T2091/1000</f>
        <v>0</v>
      </c>
      <c r="U2087" s="85">
        <f>STATS1003B!U2091/1000</f>
        <v>8.5909399999999998</v>
      </c>
      <c r="V2087" s="85">
        <f>STATS1003B!V2091/1000</f>
        <v>0</v>
      </c>
      <c r="W2087" s="85">
        <f>STATS1003B!W2091/1000</f>
        <v>0</v>
      </c>
      <c r="X2087" s="85">
        <f>STATS1003B!X2091/1000</f>
        <v>8.5909399999999998</v>
      </c>
      <c r="Y2087" s="85">
        <f>STATS1003B!Y2091/1000</f>
        <v>0</v>
      </c>
      <c r="Z2087" s="85">
        <f>STATS1003B!Z2091/1000</f>
        <v>0</v>
      </c>
      <c r="AA2087" s="69">
        <f>STATS1003B!AA2091/1000</f>
        <v>8.5909399999999998</v>
      </c>
      <c r="AB2087" s="69">
        <f>STATS1003B!AB2091/1000</f>
        <v>0</v>
      </c>
    </row>
    <row r="2088" spans="1:28" hidden="1" x14ac:dyDescent="0.3">
      <c r="A2088" s="117"/>
      <c r="C2088" s="68" t="s">
        <v>535</v>
      </c>
      <c r="D2088" s="145" t="s">
        <v>54</v>
      </c>
      <c r="E2088" s="85">
        <f>STATS1003B!E2092/1000</f>
        <v>423.13200000000001</v>
      </c>
      <c r="F2088" s="85">
        <f>STATS1003B!F2092/1000</f>
        <v>423.13200000000001</v>
      </c>
      <c r="G2088" s="85">
        <f>STATS1003B!G2092/1000</f>
        <v>0</v>
      </c>
      <c r="H2088" s="85">
        <f>STATS1003B!H2092/1000</f>
        <v>423.13200000000001</v>
      </c>
      <c r="I2088" s="85">
        <f>STATS1003B!I2092/1000</f>
        <v>0</v>
      </c>
      <c r="J2088" s="85">
        <f>STATS1003B!J2092/1000</f>
        <v>423.13200000000001</v>
      </c>
      <c r="K2088" s="85">
        <f>STATS1003B!K2092/1000</f>
        <v>0</v>
      </c>
      <c r="L2088" s="85">
        <f>STATS1003B!L2092/1000</f>
        <v>0</v>
      </c>
      <c r="M2088" s="85">
        <f>STATS1003B!M2092/1000</f>
        <v>423.13200000000001</v>
      </c>
      <c r="N2088" s="85">
        <f>STATS1003B!N2092/1000</f>
        <v>0</v>
      </c>
      <c r="O2088" s="85">
        <f>STATS1003B!O2092/1000</f>
        <v>0</v>
      </c>
      <c r="P2088" s="85">
        <f>STATS1003B!P2092/1000</f>
        <v>0</v>
      </c>
      <c r="Q2088" s="85">
        <f>STATS1003B!Q2092/1000</f>
        <v>423.13200000000001</v>
      </c>
      <c r="R2088" s="85">
        <f>STATS1003B!R2092/1000</f>
        <v>0</v>
      </c>
      <c r="S2088" s="85">
        <f>STATS1003B!S2092/1000</f>
        <v>0</v>
      </c>
      <c r="T2088" s="85">
        <f>STATS1003B!T2092/1000</f>
        <v>0</v>
      </c>
      <c r="U2088" s="85">
        <f>STATS1003B!U2092/1000</f>
        <v>0</v>
      </c>
      <c r="V2088" s="85">
        <f>STATS1003B!V2092/1000</f>
        <v>0</v>
      </c>
      <c r="W2088" s="85">
        <f>STATS1003B!W2092/1000</f>
        <v>0</v>
      </c>
      <c r="X2088" s="85">
        <f>STATS1003B!X2092/1000</f>
        <v>423.13200000000001</v>
      </c>
      <c r="Y2088" s="85">
        <f>STATS1003B!Y2092/1000</f>
        <v>0</v>
      </c>
      <c r="Z2088" s="85">
        <f>STATS1003B!Z2092/1000</f>
        <v>0</v>
      </c>
      <c r="AA2088" s="69">
        <f>STATS1003B!AA2092/1000</f>
        <v>423.13200000000001</v>
      </c>
      <c r="AB2088" s="69">
        <f>STATS1003B!AB2092/1000</f>
        <v>0</v>
      </c>
    </row>
    <row r="2089" spans="1:28" hidden="1" x14ac:dyDescent="0.3">
      <c r="A2089" s="117"/>
      <c r="C2089" s="68" t="s">
        <v>545</v>
      </c>
      <c r="D2089" s="145" t="s">
        <v>54</v>
      </c>
      <c r="E2089" s="85">
        <f>STATS1003B!E2093/1000</f>
        <v>1767.77</v>
      </c>
      <c r="F2089" s="85">
        <f>STATS1003B!F2093/1000</f>
        <v>0</v>
      </c>
      <c r="G2089" s="85">
        <f>STATS1003B!G2093/1000</f>
        <v>0</v>
      </c>
      <c r="H2089" s="85">
        <f>STATS1003B!H2093/1000</f>
        <v>0</v>
      </c>
      <c r="I2089" s="85">
        <f>STATS1003B!I2093/1000</f>
        <v>0</v>
      </c>
      <c r="J2089" s="85">
        <f>STATS1003B!J2093/1000</f>
        <v>0</v>
      </c>
      <c r="K2089" s="85">
        <f>STATS1003B!K2093/1000</f>
        <v>1767.77</v>
      </c>
      <c r="L2089" s="85">
        <f>STATS1003B!L2093/1000</f>
        <v>0</v>
      </c>
      <c r="M2089" s="85">
        <f>STATS1003B!M2093/1000</f>
        <v>0</v>
      </c>
      <c r="N2089" s="85">
        <f>STATS1003B!N2093/1000</f>
        <v>1767.77</v>
      </c>
      <c r="O2089" s="85">
        <f>STATS1003B!O2093/1000</f>
        <v>0</v>
      </c>
      <c r="P2089" s="85">
        <f>STATS1003B!P2093/1000</f>
        <v>1767.77</v>
      </c>
      <c r="Q2089" s="85">
        <f>STATS1003B!Q2093/1000</f>
        <v>0</v>
      </c>
      <c r="R2089" s="85">
        <f>STATS1003B!R2093/1000</f>
        <v>0</v>
      </c>
      <c r="S2089" s="85">
        <f>STATS1003B!S2093/1000</f>
        <v>0</v>
      </c>
      <c r="T2089" s="85">
        <f>STATS1003B!T2093/1000</f>
        <v>0</v>
      </c>
      <c r="U2089" s="85">
        <f>STATS1003B!U2093/1000</f>
        <v>1767.77</v>
      </c>
      <c r="V2089" s="85">
        <f>STATS1003B!V2093/1000</f>
        <v>0</v>
      </c>
      <c r="W2089" s="85">
        <f>STATS1003B!W2093/1000</f>
        <v>0</v>
      </c>
      <c r="X2089" s="85">
        <f>STATS1003B!X2093/1000</f>
        <v>1767.77</v>
      </c>
      <c r="Y2089" s="85">
        <f>STATS1003B!Y2093/1000</f>
        <v>0</v>
      </c>
      <c r="Z2089" s="85">
        <f>STATS1003B!Z2093/1000</f>
        <v>0</v>
      </c>
      <c r="AA2089" s="69">
        <f>STATS1003B!AA2093/1000</f>
        <v>1767.77</v>
      </c>
      <c r="AB2089" s="69">
        <f>STATS1003B!AB2093/1000</f>
        <v>0</v>
      </c>
    </row>
    <row r="2090" spans="1:28" hidden="1" x14ac:dyDescent="0.3">
      <c r="A2090" s="117"/>
      <c r="C2090" s="68" t="s">
        <v>557</v>
      </c>
      <c r="D2090" s="145" t="s">
        <v>54</v>
      </c>
      <c r="E2090" s="85">
        <f>STATS1003B!E2094/1000</f>
        <v>1663</v>
      </c>
      <c r="F2090" s="85">
        <f>STATS1003B!F2094/1000</f>
        <v>1663</v>
      </c>
      <c r="G2090" s="85">
        <f>STATS1003B!G2094/1000</f>
        <v>0</v>
      </c>
      <c r="H2090" s="85">
        <f>STATS1003B!H2094/1000</f>
        <v>1663</v>
      </c>
      <c r="I2090" s="85">
        <f>STATS1003B!I2094/1000</f>
        <v>0</v>
      </c>
      <c r="J2090" s="85">
        <f>STATS1003B!J2094/1000</f>
        <v>1663</v>
      </c>
      <c r="K2090" s="85">
        <f>STATS1003B!K2094/1000</f>
        <v>0</v>
      </c>
      <c r="L2090" s="85">
        <f>STATS1003B!L2094/1000</f>
        <v>0</v>
      </c>
      <c r="M2090" s="85">
        <f>STATS1003B!M2094/1000</f>
        <v>1663</v>
      </c>
      <c r="N2090" s="85">
        <f>STATS1003B!N2094/1000</f>
        <v>0</v>
      </c>
      <c r="O2090" s="85">
        <f>STATS1003B!O2094/1000</f>
        <v>0</v>
      </c>
      <c r="P2090" s="85">
        <f>STATS1003B!P2094/1000</f>
        <v>0</v>
      </c>
      <c r="Q2090" s="85">
        <f>STATS1003B!Q2094/1000</f>
        <v>1663</v>
      </c>
      <c r="R2090" s="85">
        <f>STATS1003B!R2094/1000</f>
        <v>0</v>
      </c>
      <c r="S2090" s="85">
        <f>STATS1003B!S2094/1000</f>
        <v>0</v>
      </c>
      <c r="T2090" s="85">
        <f>STATS1003B!T2094/1000</f>
        <v>0</v>
      </c>
      <c r="U2090" s="85">
        <f>STATS1003B!U2094/1000</f>
        <v>0</v>
      </c>
      <c r="V2090" s="85">
        <f>STATS1003B!V2094/1000</f>
        <v>0</v>
      </c>
      <c r="W2090" s="85">
        <f>STATS1003B!W2094/1000</f>
        <v>0</v>
      </c>
      <c r="X2090" s="85">
        <f>STATS1003B!X2094/1000</f>
        <v>1663</v>
      </c>
      <c r="Y2090" s="85">
        <f>STATS1003B!Y2094/1000</f>
        <v>0</v>
      </c>
      <c r="Z2090" s="85">
        <f>STATS1003B!Z2094/1000</f>
        <v>0</v>
      </c>
      <c r="AA2090" s="69">
        <f>STATS1003B!AA2094/1000</f>
        <v>1663</v>
      </c>
      <c r="AB2090" s="69">
        <f>STATS1003B!AB2094/1000</f>
        <v>0</v>
      </c>
    </row>
    <row r="2091" spans="1:28" hidden="1" x14ac:dyDescent="0.3">
      <c r="A2091" s="117"/>
      <c r="C2091" s="68" t="s">
        <v>535</v>
      </c>
      <c r="D2091" s="145" t="s">
        <v>85</v>
      </c>
      <c r="E2091" s="85">
        <f>STATS1003B!E2095/1000</f>
        <v>839.7</v>
      </c>
      <c r="F2091" s="85">
        <f>STATS1003B!F2095/1000</f>
        <v>839.7</v>
      </c>
      <c r="G2091" s="85">
        <f>STATS1003B!G2095/1000</f>
        <v>0</v>
      </c>
      <c r="H2091" s="85">
        <f>STATS1003B!H2095/1000</f>
        <v>839.7</v>
      </c>
      <c r="I2091" s="85">
        <f>STATS1003B!I2095/1000</f>
        <v>0</v>
      </c>
      <c r="J2091" s="85">
        <f>STATS1003B!J2095/1000</f>
        <v>839.7</v>
      </c>
      <c r="K2091" s="85">
        <f>STATS1003B!K2095/1000</f>
        <v>0</v>
      </c>
      <c r="L2091" s="85">
        <f>STATS1003B!L2095/1000</f>
        <v>0</v>
      </c>
      <c r="M2091" s="85">
        <f>STATS1003B!M2095/1000</f>
        <v>839.7</v>
      </c>
      <c r="N2091" s="85">
        <f>STATS1003B!N2095/1000</f>
        <v>0</v>
      </c>
      <c r="O2091" s="85">
        <f>STATS1003B!O2095/1000</f>
        <v>0</v>
      </c>
      <c r="P2091" s="85">
        <f>STATS1003B!P2095/1000</f>
        <v>0</v>
      </c>
      <c r="Q2091" s="85">
        <f>STATS1003B!Q2095/1000</f>
        <v>839.7</v>
      </c>
      <c r="R2091" s="85">
        <f>STATS1003B!R2095/1000</f>
        <v>0</v>
      </c>
      <c r="S2091" s="85">
        <f>STATS1003B!S2095/1000</f>
        <v>0</v>
      </c>
      <c r="T2091" s="85">
        <f>STATS1003B!T2095/1000</f>
        <v>0</v>
      </c>
      <c r="U2091" s="85">
        <f>STATS1003B!U2095/1000</f>
        <v>0</v>
      </c>
      <c r="V2091" s="85">
        <f>STATS1003B!V2095/1000</f>
        <v>0</v>
      </c>
      <c r="W2091" s="85">
        <f>STATS1003B!W2095/1000</f>
        <v>0</v>
      </c>
      <c r="X2091" s="85">
        <f>STATS1003B!X2095/1000</f>
        <v>839.7</v>
      </c>
      <c r="Y2091" s="85">
        <f>STATS1003B!Y2095/1000</f>
        <v>0</v>
      </c>
      <c r="Z2091" s="85">
        <f>STATS1003B!Z2095/1000</f>
        <v>0</v>
      </c>
      <c r="AA2091" s="69">
        <f>STATS1003B!AA2095/1000</f>
        <v>839.7</v>
      </c>
      <c r="AB2091" s="69">
        <f>STATS1003B!AB2095/1000</f>
        <v>0</v>
      </c>
    </row>
    <row r="2092" spans="1:28" hidden="1" x14ac:dyDescent="0.3">
      <c r="A2092" s="117"/>
      <c r="C2092" s="68" t="s">
        <v>535</v>
      </c>
      <c r="D2092" s="145" t="s">
        <v>88</v>
      </c>
      <c r="E2092" s="85">
        <f>STATS1003B!E2096/1000</f>
        <v>900</v>
      </c>
      <c r="F2092" s="85">
        <f>STATS1003B!F2096/1000</f>
        <v>900</v>
      </c>
      <c r="G2092" s="85">
        <f>STATS1003B!G2096/1000</f>
        <v>0</v>
      </c>
      <c r="H2092" s="85">
        <f>STATS1003B!H2096/1000</f>
        <v>900</v>
      </c>
      <c r="I2092" s="85">
        <f>STATS1003B!I2096/1000</f>
        <v>0</v>
      </c>
      <c r="J2092" s="85">
        <f>STATS1003B!J2096/1000</f>
        <v>900</v>
      </c>
      <c r="K2092" s="85">
        <f>STATS1003B!K2096/1000</f>
        <v>0</v>
      </c>
      <c r="L2092" s="85">
        <f>STATS1003B!L2096/1000</f>
        <v>0</v>
      </c>
      <c r="M2092" s="85">
        <f>STATS1003B!M2096/1000</f>
        <v>900</v>
      </c>
      <c r="N2092" s="85">
        <f>STATS1003B!N2096/1000</f>
        <v>0</v>
      </c>
      <c r="O2092" s="85">
        <f>STATS1003B!O2096/1000</f>
        <v>0</v>
      </c>
      <c r="P2092" s="85">
        <f>STATS1003B!P2096/1000</f>
        <v>0</v>
      </c>
      <c r="Q2092" s="85">
        <f>STATS1003B!Q2096/1000</f>
        <v>900</v>
      </c>
      <c r="R2092" s="85">
        <f>STATS1003B!R2096/1000</f>
        <v>0</v>
      </c>
      <c r="S2092" s="85">
        <f>STATS1003B!S2096/1000</f>
        <v>0</v>
      </c>
      <c r="T2092" s="85">
        <f>STATS1003B!T2096/1000</f>
        <v>0</v>
      </c>
      <c r="U2092" s="85">
        <f>STATS1003B!U2096/1000</f>
        <v>0</v>
      </c>
      <c r="V2092" s="85">
        <f>STATS1003B!V2096/1000</f>
        <v>0</v>
      </c>
      <c r="W2092" s="85">
        <f>STATS1003B!W2096/1000</f>
        <v>0</v>
      </c>
      <c r="X2092" s="85">
        <f>STATS1003B!X2096/1000</f>
        <v>900</v>
      </c>
      <c r="Y2092" s="85">
        <f>STATS1003B!Y2096/1000</f>
        <v>0</v>
      </c>
      <c r="Z2092" s="85">
        <f>STATS1003B!Z2096/1000</f>
        <v>0</v>
      </c>
      <c r="AA2092" s="69">
        <f>STATS1003B!AA2096/1000</f>
        <v>900</v>
      </c>
      <c r="AB2092" s="69">
        <f>STATS1003B!AB2096/1000</f>
        <v>0</v>
      </c>
    </row>
    <row r="2093" spans="1:28" hidden="1" x14ac:dyDescent="0.3">
      <c r="A2093" s="117"/>
      <c r="C2093" s="68" t="s">
        <v>535</v>
      </c>
      <c r="D2093" s="145" t="s">
        <v>108</v>
      </c>
      <c r="E2093" s="85">
        <f>STATS1003B!E2097/1000</f>
        <v>4380.6689999999999</v>
      </c>
      <c r="F2093" s="85">
        <f>STATS1003B!F2097/1000</f>
        <v>4380.6689999999999</v>
      </c>
      <c r="G2093" s="85">
        <f>STATS1003B!G2097/1000</f>
        <v>0</v>
      </c>
      <c r="H2093" s="85">
        <f>STATS1003B!H2097/1000</f>
        <v>4380.6689999999999</v>
      </c>
      <c r="I2093" s="85">
        <f>STATS1003B!I2097/1000</f>
        <v>0</v>
      </c>
      <c r="J2093" s="85">
        <f>STATS1003B!J2097/1000</f>
        <v>4380.6689999999999</v>
      </c>
      <c r="K2093" s="85">
        <f>STATS1003B!K2097/1000</f>
        <v>0</v>
      </c>
      <c r="L2093" s="85">
        <f>STATS1003B!L2097/1000</f>
        <v>0</v>
      </c>
      <c r="M2093" s="85">
        <f>STATS1003B!M2097/1000</f>
        <v>4380.6689999999999</v>
      </c>
      <c r="N2093" s="85">
        <f>STATS1003B!N2097/1000</f>
        <v>0</v>
      </c>
      <c r="O2093" s="85">
        <f>STATS1003B!O2097/1000</f>
        <v>0</v>
      </c>
      <c r="P2093" s="85">
        <f>STATS1003B!P2097/1000</f>
        <v>0</v>
      </c>
      <c r="Q2093" s="85">
        <f>STATS1003B!Q2097/1000</f>
        <v>4380.6689999999999</v>
      </c>
      <c r="R2093" s="85">
        <f>STATS1003B!R2097/1000</f>
        <v>0</v>
      </c>
      <c r="S2093" s="85">
        <f>STATS1003B!S2097/1000</f>
        <v>0</v>
      </c>
      <c r="T2093" s="85">
        <f>STATS1003B!T2097/1000</f>
        <v>0</v>
      </c>
      <c r="U2093" s="85">
        <f>STATS1003B!U2097/1000</f>
        <v>0</v>
      </c>
      <c r="V2093" s="85">
        <f>STATS1003B!V2097/1000</f>
        <v>0</v>
      </c>
      <c r="W2093" s="85">
        <f>STATS1003B!W2097/1000</f>
        <v>0</v>
      </c>
      <c r="X2093" s="85">
        <f>STATS1003B!X2097/1000</f>
        <v>4380.6689999999999</v>
      </c>
      <c r="Y2093" s="85">
        <f>STATS1003B!Y2097/1000</f>
        <v>0</v>
      </c>
      <c r="Z2093" s="85">
        <f>STATS1003B!Z2097/1000</f>
        <v>0</v>
      </c>
      <c r="AA2093" s="69">
        <f>STATS1003B!AA2097/1000</f>
        <v>4380.6689999999999</v>
      </c>
      <c r="AB2093" s="69">
        <f>STATS1003B!AB2097/1000</f>
        <v>0</v>
      </c>
    </row>
    <row r="2094" spans="1:28" hidden="1" x14ac:dyDescent="0.3">
      <c r="A2094" s="117"/>
      <c r="C2094" s="68" t="s">
        <v>801</v>
      </c>
      <c r="D2094" s="145" t="s">
        <v>108</v>
      </c>
      <c r="E2094" s="85">
        <f>STATS1003B!E2098/1000</f>
        <v>5882.14</v>
      </c>
      <c r="F2094" s="85">
        <f>STATS1003B!F2098/1000</f>
        <v>5882.14</v>
      </c>
      <c r="G2094" s="85">
        <f>STATS1003B!G2098/1000</f>
        <v>0</v>
      </c>
      <c r="H2094" s="85">
        <f>STATS1003B!H2098/1000</f>
        <v>5882.14</v>
      </c>
      <c r="I2094" s="85">
        <f>STATS1003B!I2098/1000</f>
        <v>0</v>
      </c>
      <c r="J2094" s="85">
        <f>STATS1003B!J2098/1000</f>
        <v>5882.14</v>
      </c>
      <c r="K2094" s="85">
        <f>STATS1003B!K2098/1000</f>
        <v>0</v>
      </c>
      <c r="L2094" s="85">
        <f>STATS1003B!L2098/1000</f>
        <v>0</v>
      </c>
      <c r="M2094" s="85">
        <f>STATS1003B!M2098/1000</f>
        <v>5882.14</v>
      </c>
      <c r="N2094" s="85">
        <f>STATS1003B!N2098/1000</f>
        <v>0</v>
      </c>
      <c r="O2094" s="85">
        <f>STATS1003B!O2098/1000</f>
        <v>0</v>
      </c>
      <c r="P2094" s="85">
        <f>STATS1003B!P2098/1000</f>
        <v>0</v>
      </c>
      <c r="Q2094" s="85">
        <f>STATS1003B!Q2098/1000</f>
        <v>5882.14</v>
      </c>
      <c r="R2094" s="85">
        <f>STATS1003B!R2098/1000</f>
        <v>0</v>
      </c>
      <c r="S2094" s="85">
        <f>STATS1003B!S2098/1000</f>
        <v>0</v>
      </c>
      <c r="T2094" s="85">
        <f>STATS1003B!T2098/1000</f>
        <v>0</v>
      </c>
      <c r="U2094" s="85">
        <f>STATS1003B!U2098/1000</f>
        <v>0</v>
      </c>
      <c r="V2094" s="85">
        <f>STATS1003B!V2098/1000</f>
        <v>0</v>
      </c>
      <c r="W2094" s="85">
        <f>STATS1003B!W2098/1000</f>
        <v>0</v>
      </c>
      <c r="X2094" s="85">
        <f>STATS1003B!X2098/1000</f>
        <v>5882.14</v>
      </c>
      <c r="Y2094" s="85">
        <f>STATS1003B!Y2098/1000</f>
        <v>0</v>
      </c>
      <c r="Z2094" s="85">
        <f>STATS1003B!Z2098/1000</f>
        <v>0</v>
      </c>
      <c r="AA2094" s="69">
        <f>STATS1003B!AA2098/1000</f>
        <v>5882.14</v>
      </c>
      <c r="AB2094" s="69">
        <f>STATS1003B!AB2098/1000</f>
        <v>0</v>
      </c>
    </row>
    <row r="2095" spans="1:28" hidden="1" x14ac:dyDescent="0.3">
      <c r="A2095" s="117"/>
      <c r="C2095" s="68" t="s">
        <v>802</v>
      </c>
      <c r="D2095" s="145" t="s">
        <v>108</v>
      </c>
      <c r="E2095" s="85">
        <f>STATS1003B!E2099/1000</f>
        <v>1700</v>
      </c>
      <c r="F2095" s="85">
        <f>STATS1003B!F2099/1000</f>
        <v>1700</v>
      </c>
      <c r="G2095" s="85">
        <f>STATS1003B!G2099/1000</f>
        <v>0</v>
      </c>
      <c r="H2095" s="85">
        <f>STATS1003B!H2099/1000</f>
        <v>1700</v>
      </c>
      <c r="I2095" s="85">
        <f>STATS1003B!I2099/1000</f>
        <v>0</v>
      </c>
      <c r="J2095" s="85">
        <f>STATS1003B!J2099/1000</f>
        <v>1700</v>
      </c>
      <c r="K2095" s="85">
        <f>STATS1003B!K2099/1000</f>
        <v>0</v>
      </c>
      <c r="L2095" s="85">
        <f>STATS1003B!L2099/1000</f>
        <v>0</v>
      </c>
      <c r="M2095" s="85">
        <f>STATS1003B!M2099/1000</f>
        <v>1700</v>
      </c>
      <c r="N2095" s="85">
        <f>STATS1003B!N2099/1000</f>
        <v>0</v>
      </c>
      <c r="O2095" s="85">
        <f>STATS1003B!O2099/1000</f>
        <v>0</v>
      </c>
      <c r="P2095" s="85">
        <f>STATS1003B!P2099/1000</f>
        <v>0</v>
      </c>
      <c r="Q2095" s="85">
        <f>STATS1003B!Q2099/1000</f>
        <v>1700</v>
      </c>
      <c r="R2095" s="85">
        <f>STATS1003B!R2099/1000</f>
        <v>0</v>
      </c>
      <c r="S2095" s="85">
        <f>STATS1003B!S2099/1000</f>
        <v>0</v>
      </c>
      <c r="T2095" s="85">
        <f>STATS1003B!T2099/1000</f>
        <v>0</v>
      </c>
      <c r="U2095" s="85">
        <f>STATS1003B!U2099/1000</f>
        <v>0</v>
      </c>
      <c r="V2095" s="85">
        <f>STATS1003B!V2099/1000</f>
        <v>0</v>
      </c>
      <c r="W2095" s="85">
        <f>STATS1003B!W2099/1000</f>
        <v>0</v>
      </c>
      <c r="X2095" s="85">
        <f>STATS1003B!X2099/1000</f>
        <v>1700</v>
      </c>
      <c r="Y2095" s="85">
        <f>STATS1003B!Y2099/1000</f>
        <v>0</v>
      </c>
      <c r="Z2095" s="85">
        <f>STATS1003B!Z2099/1000</f>
        <v>0</v>
      </c>
      <c r="AA2095" s="69">
        <f>STATS1003B!AA2099/1000</f>
        <v>1700</v>
      </c>
      <c r="AB2095" s="69">
        <f>STATS1003B!AB2099/1000</f>
        <v>0</v>
      </c>
    </row>
    <row r="2096" spans="1:28" hidden="1" x14ac:dyDescent="0.3">
      <c r="A2096" s="117"/>
      <c r="C2096" s="68" t="s">
        <v>801</v>
      </c>
      <c r="D2096" s="88" t="s">
        <v>58</v>
      </c>
      <c r="E2096" s="85">
        <f>STATS1003B!E2100/1000</f>
        <v>4508.1531100000002</v>
      </c>
      <c r="F2096" s="85">
        <f>STATS1003B!F2100/1000</f>
        <v>4508.1531100000002</v>
      </c>
      <c r="G2096" s="85">
        <f>STATS1003B!G2100/1000</f>
        <v>0</v>
      </c>
      <c r="H2096" s="85">
        <f>STATS1003B!H2100/1000</f>
        <v>4508.1531100000002</v>
      </c>
      <c r="I2096" s="85">
        <f>STATS1003B!I2100/1000</f>
        <v>0</v>
      </c>
      <c r="J2096" s="85">
        <f>STATS1003B!J2100/1000</f>
        <v>4508.1531100000002</v>
      </c>
      <c r="K2096" s="85">
        <f>STATS1003B!K2100/1000</f>
        <v>0</v>
      </c>
      <c r="L2096" s="85">
        <f>STATS1003B!L2100/1000</f>
        <v>0</v>
      </c>
      <c r="M2096" s="85">
        <f>STATS1003B!M2100/1000</f>
        <v>4508.1531100000002</v>
      </c>
      <c r="N2096" s="85">
        <f>STATS1003B!N2100/1000</f>
        <v>0</v>
      </c>
      <c r="O2096" s="85">
        <f>STATS1003B!O2100/1000</f>
        <v>0</v>
      </c>
      <c r="P2096" s="85">
        <f>STATS1003B!P2100/1000</f>
        <v>0</v>
      </c>
      <c r="Q2096" s="85">
        <f>STATS1003B!Q2100/1000</f>
        <v>4508.1531100000002</v>
      </c>
      <c r="R2096" s="85">
        <f>STATS1003B!R2100/1000</f>
        <v>0</v>
      </c>
      <c r="S2096" s="85">
        <f>STATS1003B!S2100/1000</f>
        <v>0</v>
      </c>
      <c r="T2096" s="85">
        <f>STATS1003B!T2100/1000</f>
        <v>0</v>
      </c>
      <c r="U2096" s="85">
        <f>STATS1003B!U2100/1000</f>
        <v>0</v>
      </c>
      <c r="V2096" s="85">
        <f>STATS1003B!V2100/1000</f>
        <v>0</v>
      </c>
      <c r="W2096" s="85">
        <f>STATS1003B!W2100/1000</f>
        <v>0</v>
      </c>
      <c r="X2096" s="85">
        <f>STATS1003B!X2100/1000</f>
        <v>4508.1531100000002</v>
      </c>
      <c r="Y2096" s="85">
        <f>STATS1003B!Y2100/1000</f>
        <v>0</v>
      </c>
      <c r="Z2096" s="85">
        <f>STATS1003B!Z2100/1000</f>
        <v>0</v>
      </c>
      <c r="AA2096" s="69">
        <f>STATS1003B!AA2100/1000</f>
        <v>4508.1531100000002</v>
      </c>
      <c r="AB2096" s="69">
        <f>STATS1003B!AB2100/1000</f>
        <v>0</v>
      </c>
    </row>
    <row r="2097" spans="1:28" hidden="1" x14ac:dyDescent="0.3">
      <c r="A2097" s="117"/>
      <c r="C2097" s="68" t="s">
        <v>1232</v>
      </c>
      <c r="D2097" s="89" t="s">
        <v>1225</v>
      </c>
      <c r="E2097" s="85">
        <f>STATS1003B!E2101/1000</f>
        <v>867.86</v>
      </c>
      <c r="F2097" s="85">
        <f>STATS1003B!F2101/1000</f>
        <v>867.86</v>
      </c>
      <c r="G2097" s="85">
        <f>STATS1003B!G2101/1000</f>
        <v>0</v>
      </c>
      <c r="H2097" s="85">
        <f>STATS1003B!H2101/1000</f>
        <v>867.86</v>
      </c>
      <c r="I2097" s="85">
        <f>STATS1003B!I2101/1000</f>
        <v>0</v>
      </c>
      <c r="J2097" s="85">
        <f>STATS1003B!J2101/1000</f>
        <v>867.86</v>
      </c>
      <c r="K2097" s="85">
        <f>STATS1003B!K2101/1000</f>
        <v>0</v>
      </c>
      <c r="L2097" s="85">
        <f>STATS1003B!L2101/1000</f>
        <v>0</v>
      </c>
      <c r="M2097" s="85">
        <f>STATS1003B!M2101/1000</f>
        <v>867.86</v>
      </c>
      <c r="N2097" s="85">
        <f>STATS1003B!N2101/1000</f>
        <v>0</v>
      </c>
      <c r="O2097" s="85">
        <f>STATS1003B!O2101/1000</f>
        <v>0</v>
      </c>
      <c r="P2097" s="85">
        <f>STATS1003B!P2101/1000</f>
        <v>0</v>
      </c>
      <c r="Q2097" s="85">
        <f>STATS1003B!Q2101/1000</f>
        <v>867.86</v>
      </c>
      <c r="R2097" s="85">
        <f>STATS1003B!R2101/1000</f>
        <v>0</v>
      </c>
      <c r="S2097" s="85">
        <f>STATS1003B!S2101/1000</f>
        <v>0</v>
      </c>
      <c r="T2097" s="85">
        <f>STATS1003B!T2101/1000</f>
        <v>0</v>
      </c>
      <c r="U2097" s="85">
        <f>STATS1003B!U2101/1000</f>
        <v>0</v>
      </c>
      <c r="V2097" s="85">
        <f>STATS1003B!V2101/1000</f>
        <v>0</v>
      </c>
      <c r="W2097" s="85">
        <f>STATS1003B!W2101/1000</f>
        <v>0</v>
      </c>
      <c r="X2097" s="85">
        <f>STATS1003B!X2101/1000</f>
        <v>867.86</v>
      </c>
      <c r="Y2097" s="85">
        <f>STATS1003B!Y2101/1000</f>
        <v>0</v>
      </c>
      <c r="Z2097" s="85">
        <f>STATS1003B!Z2101/1000</f>
        <v>0</v>
      </c>
      <c r="AA2097" s="69">
        <f>STATS1003B!AA2101/1000</f>
        <v>867.86</v>
      </c>
      <c r="AB2097" s="69">
        <f>STATS1003B!AB2101/1000</f>
        <v>0</v>
      </c>
    </row>
    <row r="2098" spans="1:28" hidden="1" x14ac:dyDescent="0.3">
      <c r="A2098" s="117"/>
      <c r="C2098" s="68" t="s">
        <v>535</v>
      </c>
      <c r="D2098" s="145" t="s">
        <v>58</v>
      </c>
      <c r="E2098" s="85">
        <f>STATS1003B!E2102/1000</f>
        <v>12452.04206</v>
      </c>
      <c r="F2098" s="85">
        <f>STATS1003B!F2102/1000</f>
        <v>12452.04206</v>
      </c>
      <c r="G2098" s="85">
        <f>STATS1003B!G2102/1000</f>
        <v>0</v>
      </c>
      <c r="H2098" s="85">
        <f>STATS1003B!H2102/1000</f>
        <v>12452.04206</v>
      </c>
      <c r="I2098" s="85">
        <f>STATS1003B!I2102/1000</f>
        <v>0</v>
      </c>
      <c r="J2098" s="85">
        <f>STATS1003B!J2102/1000</f>
        <v>12452.04206</v>
      </c>
      <c r="K2098" s="85">
        <f>STATS1003B!K2102/1000</f>
        <v>0</v>
      </c>
      <c r="L2098" s="85">
        <f>STATS1003B!L2102/1000</f>
        <v>0</v>
      </c>
      <c r="M2098" s="85">
        <f>STATS1003B!M2102/1000</f>
        <v>12452.04206</v>
      </c>
      <c r="N2098" s="85">
        <f>STATS1003B!N2102/1000</f>
        <v>0</v>
      </c>
      <c r="O2098" s="85">
        <f>STATS1003B!O2102/1000</f>
        <v>0</v>
      </c>
      <c r="P2098" s="85">
        <f>STATS1003B!P2102/1000</f>
        <v>0</v>
      </c>
      <c r="Q2098" s="85">
        <f>STATS1003B!Q2102/1000</f>
        <v>12452.04206</v>
      </c>
      <c r="R2098" s="85">
        <f>STATS1003B!R2102/1000</f>
        <v>0</v>
      </c>
      <c r="S2098" s="85">
        <f>STATS1003B!S2102/1000</f>
        <v>0</v>
      </c>
      <c r="T2098" s="85">
        <f>STATS1003B!T2102/1000</f>
        <v>0</v>
      </c>
      <c r="U2098" s="85">
        <f>STATS1003B!U2102/1000</f>
        <v>0</v>
      </c>
      <c r="V2098" s="85">
        <f>STATS1003B!V2102/1000</f>
        <v>0</v>
      </c>
      <c r="W2098" s="85">
        <f>STATS1003B!W2102/1000</f>
        <v>0</v>
      </c>
      <c r="X2098" s="85">
        <f>STATS1003B!X2102/1000</f>
        <v>12452.04206</v>
      </c>
      <c r="Y2098" s="85">
        <f>STATS1003B!Y2102/1000</f>
        <v>0</v>
      </c>
      <c r="Z2098" s="85">
        <f>STATS1003B!Z2102/1000</f>
        <v>0</v>
      </c>
      <c r="AA2098" s="69">
        <f>STATS1003B!AA2102/1000</f>
        <v>12452.04206</v>
      </c>
      <c r="AB2098" s="69">
        <f>STATS1003B!AB2102/1000</f>
        <v>0</v>
      </c>
    </row>
    <row r="2099" spans="1:28" hidden="1" x14ac:dyDescent="0.3">
      <c r="A2099" s="117"/>
      <c r="C2099" s="68" t="s">
        <v>535</v>
      </c>
      <c r="D2099" s="145" t="s">
        <v>60</v>
      </c>
      <c r="E2099" s="85">
        <f>STATS1003B!E2103/1000</f>
        <v>4225.3269500000006</v>
      </c>
      <c r="F2099" s="85">
        <f>STATS1003B!F2103/1000</f>
        <v>4225.3269500000006</v>
      </c>
      <c r="G2099" s="85">
        <f>STATS1003B!G2103/1000</f>
        <v>0</v>
      </c>
      <c r="H2099" s="85">
        <f>STATS1003B!H2103/1000</f>
        <v>4225.3269500000006</v>
      </c>
      <c r="I2099" s="85">
        <f>STATS1003B!I2103/1000</f>
        <v>0</v>
      </c>
      <c r="J2099" s="85">
        <f>STATS1003B!J2103/1000</f>
        <v>4225.3269500000006</v>
      </c>
      <c r="K2099" s="85">
        <f>STATS1003B!K2103/1000</f>
        <v>0</v>
      </c>
      <c r="L2099" s="85">
        <f>STATS1003B!L2103/1000</f>
        <v>0</v>
      </c>
      <c r="M2099" s="85">
        <f>STATS1003B!M2103/1000</f>
        <v>4225.3269500000006</v>
      </c>
      <c r="N2099" s="85">
        <f>STATS1003B!N2103/1000</f>
        <v>0</v>
      </c>
      <c r="O2099" s="85">
        <f>STATS1003B!O2103/1000</f>
        <v>0</v>
      </c>
      <c r="P2099" s="85">
        <f>STATS1003B!P2103/1000</f>
        <v>0</v>
      </c>
      <c r="Q2099" s="85">
        <f>STATS1003B!Q2103/1000</f>
        <v>4225.3269500000006</v>
      </c>
      <c r="R2099" s="85">
        <f>STATS1003B!R2103/1000</f>
        <v>0</v>
      </c>
      <c r="S2099" s="85">
        <f>STATS1003B!S2103/1000</f>
        <v>0</v>
      </c>
      <c r="T2099" s="85">
        <f>STATS1003B!T2103/1000</f>
        <v>0</v>
      </c>
      <c r="U2099" s="85">
        <f>STATS1003B!U2103/1000</f>
        <v>0</v>
      </c>
      <c r="V2099" s="85">
        <f>STATS1003B!V2103/1000</f>
        <v>0</v>
      </c>
      <c r="W2099" s="85">
        <f>STATS1003B!W2103/1000</f>
        <v>0</v>
      </c>
      <c r="X2099" s="85">
        <f>STATS1003B!X2103/1000</f>
        <v>4225.3269500000006</v>
      </c>
      <c r="Y2099" s="85">
        <f>STATS1003B!Y2103/1000</f>
        <v>0</v>
      </c>
      <c r="Z2099" s="85">
        <f>STATS1003B!Z2103/1000</f>
        <v>0</v>
      </c>
      <c r="AA2099" s="69">
        <f>STATS1003B!AA2103/1000</f>
        <v>4225.3269500000006</v>
      </c>
      <c r="AB2099" s="69">
        <f>STATS1003B!AB2103/1000</f>
        <v>0</v>
      </c>
    </row>
    <row r="2100" spans="1:28" hidden="1" x14ac:dyDescent="0.3">
      <c r="A2100" s="117"/>
      <c r="C2100" s="68" t="s">
        <v>535</v>
      </c>
      <c r="D2100" s="145" t="s">
        <v>73</v>
      </c>
      <c r="E2100" s="85">
        <f>STATS1003B!E2104/1000</f>
        <v>1018</v>
      </c>
      <c r="F2100" s="85">
        <f>STATS1003B!F2104/1000</f>
        <v>1018</v>
      </c>
      <c r="G2100" s="85">
        <f>STATS1003B!G2104/1000</f>
        <v>0</v>
      </c>
      <c r="H2100" s="85">
        <f>STATS1003B!H2104/1000</f>
        <v>1018</v>
      </c>
      <c r="I2100" s="85">
        <f>STATS1003B!I2104/1000</f>
        <v>0</v>
      </c>
      <c r="J2100" s="85">
        <f>STATS1003B!J2104/1000</f>
        <v>1018</v>
      </c>
      <c r="K2100" s="85">
        <f>STATS1003B!K2104/1000</f>
        <v>0</v>
      </c>
      <c r="L2100" s="85">
        <f>STATS1003B!L2104/1000</f>
        <v>0</v>
      </c>
      <c r="M2100" s="85">
        <f>STATS1003B!M2104/1000</f>
        <v>1018</v>
      </c>
      <c r="N2100" s="85">
        <f>STATS1003B!N2104/1000</f>
        <v>0</v>
      </c>
      <c r="O2100" s="85">
        <f>STATS1003B!O2104/1000</f>
        <v>0</v>
      </c>
      <c r="P2100" s="85">
        <f>STATS1003B!P2104/1000</f>
        <v>0</v>
      </c>
      <c r="Q2100" s="85">
        <f>STATS1003B!Q2104/1000</f>
        <v>1018</v>
      </c>
      <c r="R2100" s="85">
        <f>STATS1003B!R2104/1000</f>
        <v>0</v>
      </c>
      <c r="S2100" s="85">
        <f>STATS1003B!S2104/1000</f>
        <v>0</v>
      </c>
      <c r="T2100" s="85">
        <f>STATS1003B!T2104/1000</f>
        <v>0</v>
      </c>
      <c r="U2100" s="85">
        <f>STATS1003B!U2104/1000</f>
        <v>0</v>
      </c>
      <c r="V2100" s="85">
        <f>STATS1003B!V2104/1000</f>
        <v>0</v>
      </c>
      <c r="W2100" s="85">
        <f>STATS1003B!W2104/1000</f>
        <v>0</v>
      </c>
      <c r="X2100" s="85">
        <f>STATS1003B!X2104/1000</f>
        <v>1018</v>
      </c>
      <c r="Y2100" s="85">
        <f>STATS1003B!Y2104/1000</f>
        <v>0</v>
      </c>
      <c r="Z2100" s="85">
        <f>STATS1003B!Z2104/1000</f>
        <v>0</v>
      </c>
      <c r="AA2100" s="69">
        <f>STATS1003B!AA2104/1000</f>
        <v>1018</v>
      </c>
      <c r="AB2100" s="69">
        <f>STATS1003B!AB2104/1000</f>
        <v>0</v>
      </c>
    </row>
    <row r="2101" spans="1:28" hidden="1" x14ac:dyDescent="0.3">
      <c r="A2101" s="117"/>
      <c r="C2101" s="71" t="s">
        <v>621</v>
      </c>
      <c r="D2101" s="88" t="s">
        <v>73</v>
      </c>
      <c r="E2101" s="85">
        <f>STATS1003B!E2105/1000</f>
        <v>1109.73</v>
      </c>
      <c r="F2101" s="85">
        <f>STATS1003B!F2105/1000</f>
        <v>1109.73</v>
      </c>
      <c r="G2101" s="85">
        <f>STATS1003B!G2105/1000</f>
        <v>0</v>
      </c>
      <c r="H2101" s="85">
        <f>STATS1003B!H2105/1000</f>
        <v>1109.73</v>
      </c>
      <c r="I2101" s="85">
        <f>STATS1003B!I2105/1000</f>
        <v>0</v>
      </c>
      <c r="J2101" s="85">
        <f>STATS1003B!J2105/1000</f>
        <v>1109.73</v>
      </c>
      <c r="K2101" s="85">
        <f>STATS1003B!K2105/1000</f>
        <v>0</v>
      </c>
      <c r="L2101" s="85">
        <f>STATS1003B!L2105/1000</f>
        <v>0</v>
      </c>
      <c r="M2101" s="85">
        <f>STATS1003B!M2105/1000</f>
        <v>1109.73</v>
      </c>
      <c r="N2101" s="85">
        <f>STATS1003B!N2105/1000</f>
        <v>0</v>
      </c>
      <c r="O2101" s="85">
        <f>STATS1003B!O2105/1000</f>
        <v>0</v>
      </c>
      <c r="P2101" s="85">
        <f>STATS1003B!P2105/1000</f>
        <v>0</v>
      </c>
      <c r="Q2101" s="85">
        <f>STATS1003B!Q2105/1000</f>
        <v>1109.73</v>
      </c>
      <c r="R2101" s="85">
        <f>STATS1003B!R2105/1000</f>
        <v>0</v>
      </c>
      <c r="S2101" s="85">
        <f>STATS1003B!S2105/1000</f>
        <v>0</v>
      </c>
      <c r="T2101" s="85">
        <f>STATS1003B!T2105/1000</f>
        <v>0</v>
      </c>
      <c r="U2101" s="85">
        <f>STATS1003B!U2105/1000</f>
        <v>0</v>
      </c>
      <c r="V2101" s="85">
        <f>STATS1003B!V2105/1000</f>
        <v>0</v>
      </c>
      <c r="W2101" s="85">
        <f>STATS1003B!W2105/1000</f>
        <v>0</v>
      </c>
      <c r="X2101" s="85">
        <f>STATS1003B!X2105/1000</f>
        <v>1109.73</v>
      </c>
      <c r="Y2101" s="85">
        <f>STATS1003B!Y2105/1000</f>
        <v>0</v>
      </c>
      <c r="Z2101" s="85">
        <f>STATS1003B!Z2105/1000</f>
        <v>0</v>
      </c>
      <c r="AA2101" s="69">
        <f>STATS1003B!AA2105/1000</f>
        <v>1109.73</v>
      </c>
      <c r="AB2101" s="69">
        <f>STATS1003B!AB2105/1000</f>
        <v>0</v>
      </c>
    </row>
    <row r="2102" spans="1:28" hidden="1" x14ac:dyDescent="0.3">
      <c r="A2102" s="117"/>
      <c r="C2102" s="71" t="s">
        <v>1185</v>
      </c>
      <c r="D2102" s="89" t="s">
        <v>1126</v>
      </c>
      <c r="E2102" s="85">
        <f>STATS1003B!E2106/1000</f>
        <v>1570.8945800000001</v>
      </c>
      <c r="F2102" s="85">
        <f>STATS1003B!F2106/1000</f>
        <v>1570.8945800000001</v>
      </c>
      <c r="G2102" s="85">
        <f>STATS1003B!G2106/1000</f>
        <v>0</v>
      </c>
      <c r="H2102" s="85">
        <f>STATS1003B!H2106/1000</f>
        <v>1570.8945800000001</v>
      </c>
      <c r="I2102" s="85">
        <f>STATS1003B!I2106/1000</f>
        <v>0</v>
      </c>
      <c r="J2102" s="85">
        <f>STATS1003B!J2106/1000</f>
        <v>1570.8945800000001</v>
      </c>
      <c r="K2102" s="85">
        <f>STATS1003B!K2106/1000</f>
        <v>0</v>
      </c>
      <c r="L2102" s="85">
        <f>STATS1003B!L2106/1000</f>
        <v>0</v>
      </c>
      <c r="M2102" s="85">
        <f>STATS1003B!M2106/1000</f>
        <v>1570.8945800000001</v>
      </c>
      <c r="N2102" s="85">
        <f>STATS1003B!N2106/1000</f>
        <v>0</v>
      </c>
      <c r="O2102" s="85">
        <f>STATS1003B!O2106/1000</f>
        <v>0</v>
      </c>
      <c r="P2102" s="85">
        <f>STATS1003B!P2106/1000</f>
        <v>0</v>
      </c>
      <c r="Q2102" s="85">
        <f>STATS1003B!Q2106/1000</f>
        <v>1570.8945800000001</v>
      </c>
      <c r="R2102" s="85">
        <f>STATS1003B!R2106/1000</f>
        <v>0</v>
      </c>
      <c r="S2102" s="85">
        <f>STATS1003B!S2106/1000</f>
        <v>0</v>
      </c>
      <c r="T2102" s="85">
        <f>STATS1003B!T2106/1000</f>
        <v>0</v>
      </c>
      <c r="U2102" s="85">
        <f>STATS1003B!U2106/1000</f>
        <v>0</v>
      </c>
      <c r="V2102" s="85">
        <f>STATS1003B!V2106/1000</f>
        <v>0</v>
      </c>
      <c r="W2102" s="85">
        <f>STATS1003B!W2106/1000</f>
        <v>0</v>
      </c>
      <c r="X2102" s="85">
        <f>STATS1003B!X2106/1000</f>
        <v>1570.8945800000001</v>
      </c>
      <c r="Y2102" s="85">
        <f>STATS1003B!Y2106/1000</f>
        <v>0</v>
      </c>
      <c r="Z2102" s="85">
        <f>STATS1003B!Z2106/1000</f>
        <v>0</v>
      </c>
      <c r="AA2102" s="69">
        <f>STATS1003B!AA2106/1000</f>
        <v>1570.8945800000001</v>
      </c>
      <c r="AB2102" s="69">
        <f>STATS1003B!AB2106/1000</f>
        <v>0</v>
      </c>
    </row>
    <row r="2103" spans="1:28" hidden="1" x14ac:dyDescent="0.3">
      <c r="A2103" s="117"/>
      <c r="C2103" s="71" t="s">
        <v>929</v>
      </c>
      <c r="D2103" s="88"/>
      <c r="E2103" s="85">
        <f>STATS1003B!E2107/1000</f>
        <v>2198.2895699999999</v>
      </c>
      <c r="F2103" s="85">
        <f>STATS1003B!F2107/1000</f>
        <v>2198.2895699999999</v>
      </c>
      <c r="G2103" s="85">
        <f>STATS1003B!G2107/1000</f>
        <v>0</v>
      </c>
      <c r="H2103" s="85">
        <f>STATS1003B!H2107/1000</f>
        <v>2198.2895699999999</v>
      </c>
      <c r="I2103" s="85">
        <f>STATS1003B!I2107/1000</f>
        <v>0</v>
      </c>
      <c r="J2103" s="85">
        <f>STATS1003B!J2107/1000</f>
        <v>0</v>
      </c>
      <c r="K2103" s="85">
        <f>STATS1003B!K2107/1000</f>
        <v>0</v>
      </c>
      <c r="L2103" s="85">
        <f>STATS1003B!L2107/1000</f>
        <v>0</v>
      </c>
      <c r="M2103" s="85">
        <f>STATS1003B!M2107/1000</f>
        <v>2198.2895699999999</v>
      </c>
      <c r="N2103" s="85">
        <f>STATS1003B!N2107/1000</f>
        <v>0</v>
      </c>
      <c r="O2103" s="85">
        <f>STATS1003B!O2107/1000</f>
        <v>0</v>
      </c>
      <c r="P2103" s="85">
        <f>STATS1003B!P2107/1000</f>
        <v>0</v>
      </c>
      <c r="Q2103" s="85">
        <f>STATS1003B!Q2107/1000</f>
        <v>0</v>
      </c>
      <c r="R2103" s="85">
        <f>STATS1003B!R2107/1000</f>
        <v>0</v>
      </c>
      <c r="S2103" s="85">
        <f>STATS1003B!S2107/1000</f>
        <v>0</v>
      </c>
      <c r="T2103" s="85">
        <f>STATS1003B!T2107/1000</f>
        <v>0</v>
      </c>
      <c r="U2103" s="85">
        <f>STATS1003B!U2107/1000</f>
        <v>0</v>
      </c>
      <c r="V2103" s="85">
        <f>STATS1003B!V2107/1000</f>
        <v>0</v>
      </c>
      <c r="W2103" s="85">
        <f>STATS1003B!W2107/1000</f>
        <v>0</v>
      </c>
      <c r="X2103" s="85">
        <f>STATS1003B!X2107/1000</f>
        <v>2198.2895699999999</v>
      </c>
      <c r="Y2103" s="85">
        <f>STATS1003B!Y2107/1000</f>
        <v>0</v>
      </c>
      <c r="Z2103" s="85">
        <f>STATS1003B!Z2107/1000</f>
        <v>0</v>
      </c>
      <c r="AA2103" s="69">
        <f>STATS1003B!AA2107/1000</f>
        <v>2198.2895699999999</v>
      </c>
      <c r="AB2103" s="69">
        <f>STATS1003B!AB2107/1000</f>
        <v>0</v>
      </c>
    </row>
    <row r="2104" spans="1:28" hidden="1" x14ac:dyDescent="0.3">
      <c r="A2104" s="117"/>
      <c r="C2104" s="71" t="s">
        <v>1094</v>
      </c>
      <c r="D2104" s="89" t="s">
        <v>1072</v>
      </c>
      <c r="E2104" s="85">
        <f>STATS1003B!E2108/1000</f>
        <v>4819.2068399999998</v>
      </c>
      <c r="F2104" s="85">
        <f>STATS1003B!F2108/1000</f>
        <v>4819.2068399999998</v>
      </c>
      <c r="G2104" s="85">
        <f>STATS1003B!G2108/1000</f>
        <v>0</v>
      </c>
      <c r="H2104" s="85">
        <f>STATS1003B!H2108/1000</f>
        <v>4819.2068399999998</v>
      </c>
      <c r="I2104" s="85">
        <f>STATS1003B!I2108/1000</f>
        <v>0</v>
      </c>
      <c r="J2104" s="85">
        <f>STATS1003B!J2108/1000</f>
        <v>0</v>
      </c>
      <c r="K2104" s="85">
        <f>STATS1003B!K2108/1000</f>
        <v>0</v>
      </c>
      <c r="L2104" s="85">
        <f>STATS1003B!L2108/1000</f>
        <v>0</v>
      </c>
      <c r="M2104" s="85">
        <f>STATS1003B!M2108/1000</f>
        <v>4819.2068399999998</v>
      </c>
      <c r="N2104" s="85">
        <f>STATS1003B!N2108/1000</f>
        <v>0</v>
      </c>
      <c r="O2104" s="85">
        <f>STATS1003B!O2108/1000</f>
        <v>0</v>
      </c>
      <c r="P2104" s="85">
        <f>STATS1003B!P2108/1000</f>
        <v>0</v>
      </c>
      <c r="Q2104" s="85">
        <f>STATS1003B!Q2108/1000</f>
        <v>0</v>
      </c>
      <c r="R2104" s="85">
        <f>STATS1003B!R2108/1000</f>
        <v>0</v>
      </c>
      <c r="S2104" s="85">
        <f>STATS1003B!S2108/1000</f>
        <v>0</v>
      </c>
      <c r="T2104" s="85">
        <f>STATS1003B!T2108/1000</f>
        <v>0</v>
      </c>
      <c r="U2104" s="85">
        <f>STATS1003B!U2108/1000</f>
        <v>0</v>
      </c>
      <c r="V2104" s="85">
        <f>STATS1003B!V2108/1000</f>
        <v>0</v>
      </c>
      <c r="W2104" s="85">
        <f>STATS1003B!W2108/1000</f>
        <v>0</v>
      </c>
      <c r="X2104" s="85">
        <f>STATS1003B!X2108/1000</f>
        <v>4819.2068399999998</v>
      </c>
      <c r="Y2104" s="85">
        <f>STATS1003B!Y2108/1000</f>
        <v>0</v>
      </c>
      <c r="Z2104" s="85">
        <f>STATS1003B!Z2108/1000</f>
        <v>0</v>
      </c>
      <c r="AA2104" s="69">
        <f>STATS1003B!AA2108/1000</f>
        <v>4819.2068399999998</v>
      </c>
      <c r="AB2104" s="69">
        <f>STATS1003B!AB2108/1000</f>
        <v>0</v>
      </c>
    </row>
    <row r="2105" spans="1:28" hidden="1" x14ac:dyDescent="0.3">
      <c r="A2105" s="117"/>
      <c r="C2105" s="68" t="s">
        <v>535</v>
      </c>
      <c r="D2105" s="145" t="s">
        <v>61</v>
      </c>
      <c r="E2105" s="85">
        <f>STATS1003B!E2109/1000</f>
        <v>1240.3716399999998</v>
      </c>
      <c r="F2105" s="85">
        <f>STATS1003B!F2109/1000</f>
        <v>1240.3716399999998</v>
      </c>
      <c r="G2105" s="85">
        <f>STATS1003B!G2109/1000</f>
        <v>0</v>
      </c>
      <c r="H2105" s="85">
        <f>STATS1003B!H2109/1000</f>
        <v>1240.3716399999998</v>
      </c>
      <c r="I2105" s="85">
        <f>STATS1003B!I2109/1000</f>
        <v>0</v>
      </c>
      <c r="J2105" s="85">
        <f>STATS1003B!J2109/1000</f>
        <v>1240.3716399999998</v>
      </c>
      <c r="K2105" s="85">
        <f>STATS1003B!K2109/1000</f>
        <v>0</v>
      </c>
      <c r="L2105" s="85">
        <f>STATS1003B!L2109/1000</f>
        <v>0</v>
      </c>
      <c r="M2105" s="85">
        <f>STATS1003B!M2109/1000</f>
        <v>1240.3716399999998</v>
      </c>
      <c r="N2105" s="85">
        <f>STATS1003B!N2109/1000</f>
        <v>0</v>
      </c>
      <c r="O2105" s="85">
        <f>STATS1003B!O2109/1000</f>
        <v>0</v>
      </c>
      <c r="P2105" s="85">
        <f>STATS1003B!P2109/1000</f>
        <v>0</v>
      </c>
      <c r="Q2105" s="85">
        <f>STATS1003B!Q2109/1000</f>
        <v>1240.3716399999998</v>
      </c>
      <c r="R2105" s="85">
        <f>STATS1003B!R2109/1000</f>
        <v>0</v>
      </c>
      <c r="S2105" s="85">
        <f>STATS1003B!S2109/1000</f>
        <v>0</v>
      </c>
      <c r="T2105" s="85">
        <f>STATS1003B!T2109/1000</f>
        <v>0</v>
      </c>
      <c r="U2105" s="85">
        <f>STATS1003B!U2109/1000</f>
        <v>0</v>
      </c>
      <c r="V2105" s="85">
        <f>STATS1003B!V2109/1000</f>
        <v>0</v>
      </c>
      <c r="W2105" s="85">
        <f>STATS1003B!W2109/1000</f>
        <v>0</v>
      </c>
      <c r="X2105" s="85">
        <f>STATS1003B!X2109/1000</f>
        <v>1240.3716399999998</v>
      </c>
      <c r="Y2105" s="85">
        <f>STATS1003B!Y2109/1000</f>
        <v>0</v>
      </c>
      <c r="Z2105" s="85">
        <f>STATS1003B!Z2109/1000</f>
        <v>0</v>
      </c>
      <c r="AA2105" s="69">
        <f>STATS1003B!AA2109/1000</f>
        <v>1240.3716399999998</v>
      </c>
      <c r="AB2105" s="69">
        <f>STATS1003B!AB2109/1000</f>
        <v>0</v>
      </c>
    </row>
    <row r="2106" spans="1:28" hidden="1" x14ac:dyDescent="0.3">
      <c r="A2106" s="117"/>
      <c r="C2106" s="71" t="s">
        <v>621</v>
      </c>
      <c r="D2106" s="88" t="s">
        <v>61</v>
      </c>
      <c r="E2106" s="85">
        <f>STATS1003B!E2110/1000</f>
        <v>1128.6185499999999</v>
      </c>
      <c r="F2106" s="85">
        <f>STATS1003B!F2110/1000</f>
        <v>1119.10365</v>
      </c>
      <c r="G2106" s="85">
        <f>STATS1003B!G2110/1000</f>
        <v>0</v>
      </c>
      <c r="H2106" s="85">
        <f>STATS1003B!H2110/1000</f>
        <v>1119.10365</v>
      </c>
      <c r="I2106" s="85">
        <f>STATS1003B!I2110/1000</f>
        <v>0</v>
      </c>
      <c r="J2106" s="85">
        <f>STATS1003B!J2110/1000</f>
        <v>1119.10365</v>
      </c>
      <c r="K2106" s="85">
        <f>STATS1003B!K2110/1000</f>
        <v>0</v>
      </c>
      <c r="L2106" s="85">
        <f>STATS1003B!L2110/1000</f>
        <v>0</v>
      </c>
      <c r="M2106" s="85">
        <f>STATS1003B!M2110/1000</f>
        <v>1119.10365</v>
      </c>
      <c r="N2106" s="85">
        <f>STATS1003B!N2110/1000</f>
        <v>0</v>
      </c>
      <c r="O2106" s="85">
        <f>STATS1003B!O2110/1000</f>
        <v>0</v>
      </c>
      <c r="P2106" s="85">
        <f>STATS1003B!P2110/1000</f>
        <v>0</v>
      </c>
      <c r="Q2106" s="85">
        <f>STATS1003B!Q2110/1000</f>
        <v>1128.6185499999999</v>
      </c>
      <c r="R2106" s="85">
        <f>STATS1003B!R2110/1000</f>
        <v>0</v>
      </c>
      <c r="S2106" s="85">
        <f>STATS1003B!S2110/1000</f>
        <v>0</v>
      </c>
      <c r="T2106" s="85">
        <f>STATS1003B!T2110/1000</f>
        <v>9.514899999999999</v>
      </c>
      <c r="U2106" s="85">
        <f>STATS1003B!U2110/1000</f>
        <v>9.514899999999999</v>
      </c>
      <c r="V2106" s="85">
        <f>STATS1003B!V2110/1000</f>
        <v>0</v>
      </c>
      <c r="W2106" s="85">
        <f>STATS1003B!W2110/1000</f>
        <v>0</v>
      </c>
      <c r="X2106" s="85">
        <f>STATS1003B!X2110/1000</f>
        <v>1119.10365</v>
      </c>
      <c r="Y2106" s="85">
        <f>STATS1003B!Y2110/1000</f>
        <v>0</v>
      </c>
      <c r="Z2106" s="85">
        <f>STATS1003B!Z2110/1000</f>
        <v>9.5148999999999067</v>
      </c>
      <c r="AA2106" s="69">
        <f>STATS1003B!AA2110/1000</f>
        <v>1128.6185499999999</v>
      </c>
      <c r="AB2106" s="69">
        <f>STATS1003B!AB2110/1000</f>
        <v>0</v>
      </c>
    </row>
    <row r="2107" spans="1:28" hidden="1" x14ac:dyDescent="0.3">
      <c r="A2107" s="117"/>
      <c r="C2107" s="71" t="s">
        <v>1261</v>
      </c>
      <c r="D2107" s="89" t="s">
        <v>1225</v>
      </c>
      <c r="E2107" s="85">
        <f>STATS1003B!E2111/1000</f>
        <v>3978.8636299999998</v>
      </c>
      <c r="F2107" s="85">
        <f>STATS1003B!F2111/1000</f>
        <v>0</v>
      </c>
      <c r="G2107" s="85">
        <f>STATS1003B!G2111/1000</f>
        <v>3978.8636299999998</v>
      </c>
      <c r="H2107" s="85">
        <f>STATS1003B!H2111/1000</f>
        <v>3978.8636299999998</v>
      </c>
      <c r="I2107" s="85">
        <f>STATS1003B!I2111/1000</f>
        <v>0</v>
      </c>
      <c r="J2107" s="85">
        <f>STATS1003B!J2111/1000</f>
        <v>0</v>
      </c>
      <c r="K2107" s="85">
        <f>STATS1003B!K2111/1000</f>
        <v>0</v>
      </c>
      <c r="L2107" s="85">
        <f>STATS1003B!L2111/1000</f>
        <v>0</v>
      </c>
      <c r="M2107" s="85">
        <f>STATS1003B!M2111/1000</f>
        <v>3978.8636299999998</v>
      </c>
      <c r="N2107" s="85">
        <f>STATS1003B!N2111/1000</f>
        <v>0</v>
      </c>
      <c r="O2107" s="85">
        <f>STATS1003B!O2111/1000</f>
        <v>0</v>
      </c>
      <c r="P2107" s="85">
        <f>STATS1003B!P2111/1000</f>
        <v>0</v>
      </c>
      <c r="Q2107" s="85">
        <f>STATS1003B!Q2111/1000</f>
        <v>0</v>
      </c>
      <c r="R2107" s="85">
        <f>STATS1003B!R2111/1000</f>
        <v>0</v>
      </c>
      <c r="S2107" s="85">
        <f>STATS1003B!S2111/1000</f>
        <v>0</v>
      </c>
      <c r="T2107" s="85">
        <f>STATS1003B!T2111/1000</f>
        <v>0</v>
      </c>
      <c r="U2107" s="85">
        <f>STATS1003B!U2111/1000</f>
        <v>0</v>
      </c>
      <c r="V2107" s="85">
        <f>STATS1003B!V2111/1000</f>
        <v>0</v>
      </c>
      <c r="W2107" s="85">
        <f>STATS1003B!W2111/1000</f>
        <v>0</v>
      </c>
      <c r="X2107" s="85">
        <f>STATS1003B!X2111/1000</f>
        <v>3978.8636299999998</v>
      </c>
      <c r="Y2107" s="85">
        <f>STATS1003B!Y2111/1000</f>
        <v>0</v>
      </c>
      <c r="Z2107" s="85">
        <f>STATS1003B!Z2111/1000</f>
        <v>0</v>
      </c>
      <c r="AA2107" s="69">
        <f>STATS1003B!AA2111/1000</f>
        <v>3978.8636299999998</v>
      </c>
      <c r="AB2107" s="69">
        <f>STATS1003B!AB2111/1000</f>
        <v>0</v>
      </c>
    </row>
    <row r="2108" spans="1:28" hidden="1" x14ac:dyDescent="0.3">
      <c r="A2108" s="117"/>
      <c r="C2108" s="68" t="s">
        <v>598</v>
      </c>
      <c r="E2108" s="85">
        <f>STATS1003B!E2112/1000</f>
        <v>785.13</v>
      </c>
      <c r="F2108" s="85">
        <f>STATS1003B!F2112/1000</f>
        <v>785.13</v>
      </c>
      <c r="G2108" s="85">
        <f>STATS1003B!G2112/1000</f>
        <v>0</v>
      </c>
      <c r="H2108" s="85">
        <f>STATS1003B!H2112/1000</f>
        <v>785.13</v>
      </c>
      <c r="I2108" s="85">
        <f>STATS1003B!I2112/1000</f>
        <v>0</v>
      </c>
      <c r="J2108" s="85">
        <f>STATS1003B!J2112/1000</f>
        <v>785.13</v>
      </c>
      <c r="K2108" s="85">
        <f>STATS1003B!K2112/1000</f>
        <v>0</v>
      </c>
      <c r="L2108" s="85">
        <f>STATS1003B!L2112/1000</f>
        <v>0</v>
      </c>
      <c r="M2108" s="85">
        <f>STATS1003B!M2112/1000</f>
        <v>785.13</v>
      </c>
      <c r="N2108" s="85">
        <f>STATS1003B!N2112/1000</f>
        <v>0</v>
      </c>
      <c r="O2108" s="85">
        <f>STATS1003B!O2112/1000</f>
        <v>0</v>
      </c>
      <c r="P2108" s="85">
        <f>STATS1003B!P2112/1000</f>
        <v>0</v>
      </c>
      <c r="Q2108" s="85">
        <f>STATS1003B!Q2112/1000</f>
        <v>785.13</v>
      </c>
      <c r="R2108" s="85">
        <f>STATS1003B!R2112/1000</f>
        <v>0</v>
      </c>
      <c r="S2108" s="85">
        <f>STATS1003B!S2112/1000</f>
        <v>0</v>
      </c>
      <c r="T2108" s="85">
        <f>STATS1003B!T2112/1000</f>
        <v>0</v>
      </c>
      <c r="U2108" s="85">
        <f>STATS1003B!U2112/1000</f>
        <v>0</v>
      </c>
      <c r="V2108" s="85">
        <f>STATS1003B!V2112/1000</f>
        <v>0</v>
      </c>
      <c r="W2108" s="85">
        <f>STATS1003B!W2112/1000</f>
        <v>0</v>
      </c>
      <c r="X2108" s="85">
        <f>STATS1003B!X2112/1000</f>
        <v>785.13</v>
      </c>
      <c r="Y2108" s="85">
        <f>STATS1003B!Y2112/1000</f>
        <v>0</v>
      </c>
      <c r="Z2108" s="85">
        <f>STATS1003B!Z2112/1000</f>
        <v>0</v>
      </c>
      <c r="AA2108" s="69">
        <f>STATS1003B!AA2112/1000</f>
        <v>785.13</v>
      </c>
      <c r="AB2108" s="69">
        <f>STATS1003B!AB2112/1000</f>
        <v>0</v>
      </c>
    </row>
    <row r="2109" spans="1:28" hidden="1" x14ac:dyDescent="0.3">
      <c r="A2109" s="117"/>
      <c r="C2109" s="68" t="s">
        <v>550</v>
      </c>
      <c r="E2109" s="85">
        <f>STATS1003B!E2113/1000</f>
        <v>105.73699999999999</v>
      </c>
      <c r="F2109" s="85">
        <f>STATS1003B!F2113/1000</f>
        <v>105.73699999999999</v>
      </c>
      <c r="G2109" s="85">
        <f>STATS1003B!G2113/1000</f>
        <v>0</v>
      </c>
      <c r="H2109" s="85">
        <f>STATS1003B!H2113/1000</f>
        <v>105.73699999999999</v>
      </c>
      <c r="I2109" s="85">
        <f>STATS1003B!I2113/1000</f>
        <v>0</v>
      </c>
      <c r="J2109" s="85">
        <f>STATS1003B!J2113/1000</f>
        <v>105.73699999999999</v>
      </c>
      <c r="K2109" s="85">
        <f>STATS1003B!K2113/1000</f>
        <v>0</v>
      </c>
      <c r="L2109" s="85">
        <f>STATS1003B!L2113/1000</f>
        <v>0</v>
      </c>
      <c r="M2109" s="85">
        <f>STATS1003B!M2113/1000</f>
        <v>105.73699999999999</v>
      </c>
      <c r="N2109" s="85">
        <f>STATS1003B!N2113/1000</f>
        <v>0</v>
      </c>
      <c r="O2109" s="85">
        <f>STATS1003B!O2113/1000</f>
        <v>0</v>
      </c>
      <c r="P2109" s="85">
        <f>STATS1003B!P2113/1000</f>
        <v>0</v>
      </c>
      <c r="Q2109" s="85">
        <f>STATS1003B!Q2113/1000</f>
        <v>105.73699999999999</v>
      </c>
      <c r="R2109" s="85">
        <f>STATS1003B!R2113/1000</f>
        <v>0</v>
      </c>
      <c r="S2109" s="85">
        <f>STATS1003B!S2113/1000</f>
        <v>0</v>
      </c>
      <c r="T2109" s="85">
        <f>STATS1003B!T2113/1000</f>
        <v>0</v>
      </c>
      <c r="U2109" s="85">
        <f>STATS1003B!U2113/1000</f>
        <v>0</v>
      </c>
      <c r="V2109" s="85">
        <f>STATS1003B!V2113/1000</f>
        <v>0</v>
      </c>
      <c r="W2109" s="85">
        <f>STATS1003B!W2113/1000</f>
        <v>0</v>
      </c>
      <c r="X2109" s="85">
        <f>STATS1003B!X2113/1000</f>
        <v>105.73699999999999</v>
      </c>
      <c r="Y2109" s="85">
        <f>STATS1003B!Y2113/1000</f>
        <v>0</v>
      </c>
      <c r="Z2109" s="85">
        <f>STATS1003B!Z2113/1000</f>
        <v>0</v>
      </c>
      <c r="AA2109" s="69">
        <f>STATS1003B!AA2113/1000</f>
        <v>105.73699999999999</v>
      </c>
      <c r="AB2109" s="69">
        <f>STATS1003B!AB2113/1000</f>
        <v>0</v>
      </c>
    </row>
    <row r="2110" spans="1:28" hidden="1" x14ac:dyDescent="0.3">
      <c r="A2110" s="117"/>
      <c r="C2110" s="68" t="s">
        <v>606</v>
      </c>
      <c r="E2110" s="85">
        <f>STATS1003B!E2114/1000</f>
        <v>9081.7267799999991</v>
      </c>
      <c r="F2110" s="85">
        <f>STATS1003B!F2114/1000</f>
        <v>9081.7267799999991</v>
      </c>
      <c r="G2110" s="85">
        <f>STATS1003B!G2114/1000</f>
        <v>0</v>
      </c>
      <c r="H2110" s="85">
        <f>STATS1003B!H2114/1000</f>
        <v>9081.7267799999991</v>
      </c>
      <c r="I2110" s="85">
        <f>STATS1003B!I2114/1000</f>
        <v>0</v>
      </c>
      <c r="J2110" s="85">
        <f>STATS1003B!J2114/1000</f>
        <v>9081.7267799999991</v>
      </c>
      <c r="K2110" s="85">
        <f>STATS1003B!K2114/1000</f>
        <v>0</v>
      </c>
      <c r="L2110" s="85">
        <f>STATS1003B!L2114/1000</f>
        <v>0</v>
      </c>
      <c r="M2110" s="85">
        <f>STATS1003B!M2114/1000</f>
        <v>9081.7267799999991</v>
      </c>
      <c r="N2110" s="85">
        <f>STATS1003B!N2114/1000</f>
        <v>0</v>
      </c>
      <c r="O2110" s="85">
        <f>STATS1003B!O2114/1000</f>
        <v>0</v>
      </c>
      <c r="P2110" s="85">
        <f>STATS1003B!P2114/1000</f>
        <v>0</v>
      </c>
      <c r="Q2110" s="85">
        <f>STATS1003B!Q2114/1000</f>
        <v>9081.7267799999991</v>
      </c>
      <c r="R2110" s="85">
        <f>STATS1003B!R2114/1000</f>
        <v>0</v>
      </c>
      <c r="S2110" s="85">
        <f>STATS1003B!S2114/1000</f>
        <v>0</v>
      </c>
      <c r="T2110" s="85">
        <f>STATS1003B!T2114/1000</f>
        <v>0</v>
      </c>
      <c r="U2110" s="85">
        <f>STATS1003B!U2114/1000</f>
        <v>0</v>
      </c>
      <c r="V2110" s="85">
        <f>STATS1003B!V2114/1000</f>
        <v>0</v>
      </c>
      <c r="W2110" s="85">
        <f>STATS1003B!W2114/1000</f>
        <v>0</v>
      </c>
      <c r="X2110" s="85">
        <f>STATS1003B!X2114/1000</f>
        <v>9081.7267799999991</v>
      </c>
      <c r="Y2110" s="85">
        <f>STATS1003B!Y2114/1000</f>
        <v>0</v>
      </c>
      <c r="Z2110" s="85">
        <f>STATS1003B!Z2114/1000</f>
        <v>0</v>
      </c>
      <c r="AA2110" s="69">
        <f>STATS1003B!AA2114/1000</f>
        <v>9081.7267799999991</v>
      </c>
      <c r="AB2110" s="69">
        <f>STATS1003B!AB2114/1000</f>
        <v>0</v>
      </c>
    </row>
    <row r="2111" spans="1:28" hidden="1" x14ac:dyDescent="0.3">
      <c r="A2111" s="117"/>
      <c r="E2111" s="86" t="s">
        <v>29</v>
      </c>
      <c r="F2111" s="86" t="s">
        <v>29</v>
      </c>
      <c r="G2111" s="86" t="s">
        <v>29</v>
      </c>
      <c r="H2111" s="86" t="s">
        <v>29</v>
      </c>
      <c r="I2111" s="86" t="s">
        <v>29</v>
      </c>
      <c r="J2111" s="86" t="s">
        <v>29</v>
      </c>
      <c r="K2111" s="86" t="s">
        <v>29</v>
      </c>
      <c r="L2111" s="86" t="s">
        <v>29</v>
      </c>
      <c r="M2111" s="86" t="s">
        <v>29</v>
      </c>
      <c r="N2111" s="86" t="s">
        <v>29</v>
      </c>
      <c r="O2111" s="86" t="s">
        <v>29</v>
      </c>
      <c r="P2111" s="86" t="s">
        <v>29</v>
      </c>
      <c r="Q2111" s="86" t="s">
        <v>29</v>
      </c>
      <c r="R2111" s="86" t="s">
        <v>29</v>
      </c>
      <c r="S2111" s="86" t="s">
        <v>29</v>
      </c>
      <c r="T2111" s="86" t="s">
        <v>29</v>
      </c>
      <c r="U2111" s="86" t="s">
        <v>29</v>
      </c>
      <c r="V2111" s="86" t="s">
        <v>29</v>
      </c>
      <c r="W2111" s="86" t="s">
        <v>29</v>
      </c>
      <c r="X2111" s="86" t="s">
        <v>29</v>
      </c>
      <c r="Y2111" s="86" t="s">
        <v>29</v>
      </c>
      <c r="Z2111" s="86" t="s">
        <v>29</v>
      </c>
      <c r="AA2111" s="115" t="s">
        <v>29</v>
      </c>
      <c r="AB2111" s="115" t="s">
        <v>29</v>
      </c>
    </row>
    <row r="2112" spans="1:28" x14ac:dyDescent="0.3">
      <c r="A2112" s="116">
        <v>92</v>
      </c>
      <c r="B2112" s="71" t="s">
        <v>800</v>
      </c>
      <c r="E2112" s="85">
        <f>180158356.25/1000</f>
        <v>180158.35625000001</v>
      </c>
      <c r="F2112" s="85">
        <f t="shared" ref="F2112:Q2112" si="230">SUM(F2086:F2111)</f>
        <v>60890.213179999992</v>
      </c>
      <c r="G2112" s="85">
        <f t="shared" si="230"/>
        <v>3978.8636299999998</v>
      </c>
      <c r="H2112" s="85">
        <f>178370073.6/1000</f>
        <v>178370.0736</v>
      </c>
      <c r="I2112" s="85">
        <f t="shared" si="230"/>
        <v>0</v>
      </c>
      <c r="J2112" s="85">
        <f t="shared" si="230"/>
        <v>53872.716769999992</v>
      </c>
      <c r="K2112" s="85">
        <f t="shared" si="230"/>
        <v>1778.76775</v>
      </c>
      <c r="L2112" s="85">
        <f t="shared" si="230"/>
        <v>0</v>
      </c>
      <c r="M2112" s="85">
        <f t="shared" si="230"/>
        <v>64869.076809999991</v>
      </c>
      <c r="N2112" s="85">
        <f t="shared" si="230"/>
        <v>1778.76775</v>
      </c>
      <c r="O2112" s="85">
        <f t="shared" si="230"/>
        <v>0</v>
      </c>
      <c r="P2112" s="85">
        <f>1778767/1000</f>
        <v>1778.7670000000001</v>
      </c>
      <c r="Q2112" s="85">
        <f t="shared" si="230"/>
        <v>53882.231669999994</v>
      </c>
      <c r="R2112" s="84"/>
      <c r="S2112" s="84"/>
      <c r="T2112" s="85">
        <f t="shared" ref="T2112:Y2112" si="231">SUM(T2086:T2111)</f>
        <v>9.514899999999999</v>
      </c>
      <c r="U2112" s="85">
        <f t="shared" si="231"/>
        <v>1788.2826499999999</v>
      </c>
      <c r="V2112" s="85">
        <f t="shared" si="231"/>
        <v>0</v>
      </c>
      <c r="W2112" s="85">
        <f t="shared" si="231"/>
        <v>0</v>
      </c>
      <c r="X2112" s="85">
        <f>+H2112+P2112</f>
        <v>180148.8406</v>
      </c>
      <c r="Y2112" s="85">
        <f t="shared" si="231"/>
        <v>0</v>
      </c>
      <c r="Z2112" s="85">
        <f>+E2112-X2112</f>
        <v>9.5156500000157394</v>
      </c>
      <c r="AA2112" s="69">
        <f>SUM(AA2086:AA2111)</f>
        <v>66657.359459999992</v>
      </c>
      <c r="AB2112" s="69">
        <f>SUM(AB2086:AB2111)</f>
        <v>5.5933924159035086E-14</v>
      </c>
    </row>
    <row r="2113" spans="1:28" hidden="1" x14ac:dyDescent="0.3">
      <c r="A2113" s="117"/>
      <c r="E2113" s="86" t="s">
        <v>29</v>
      </c>
      <c r="F2113" s="86" t="s">
        <v>29</v>
      </c>
      <c r="G2113" s="86" t="s">
        <v>29</v>
      </c>
      <c r="H2113" s="86" t="s">
        <v>29</v>
      </c>
      <c r="I2113" s="86" t="s">
        <v>29</v>
      </c>
      <c r="J2113" s="86" t="s">
        <v>29</v>
      </c>
      <c r="K2113" s="86" t="s">
        <v>29</v>
      </c>
      <c r="L2113" s="86" t="s">
        <v>29</v>
      </c>
      <c r="M2113" s="86" t="s">
        <v>29</v>
      </c>
      <c r="N2113" s="86" t="s">
        <v>29</v>
      </c>
      <c r="O2113" s="86" t="s">
        <v>29</v>
      </c>
      <c r="P2113" s="86" t="s">
        <v>29</v>
      </c>
      <c r="Q2113" s="86" t="s">
        <v>29</v>
      </c>
      <c r="R2113" s="86" t="s">
        <v>29</v>
      </c>
      <c r="S2113" s="86" t="s">
        <v>29</v>
      </c>
      <c r="T2113" s="86" t="s">
        <v>29</v>
      </c>
      <c r="U2113" s="86" t="s">
        <v>29</v>
      </c>
      <c r="V2113" s="86" t="s">
        <v>29</v>
      </c>
      <c r="W2113" s="86" t="s">
        <v>29</v>
      </c>
      <c r="X2113" s="85" t="e">
        <f t="shared" ref="X2113:X2176" si="232">+H2113+P2113</f>
        <v>#VALUE!</v>
      </c>
      <c r="Y2113" s="86" t="s">
        <v>29</v>
      </c>
      <c r="Z2113" s="86" t="s">
        <v>29</v>
      </c>
      <c r="AA2113" s="115" t="s">
        <v>29</v>
      </c>
      <c r="AB2113" s="115" t="s">
        <v>29</v>
      </c>
    </row>
    <row r="2114" spans="1:28" hidden="1" x14ac:dyDescent="0.3">
      <c r="A2114" s="105"/>
      <c r="E2114" s="84"/>
      <c r="F2114" s="84"/>
      <c r="G2114" s="84"/>
      <c r="H2114" s="84"/>
      <c r="I2114" s="84"/>
      <c r="J2114" s="84"/>
      <c r="K2114" s="84"/>
      <c r="L2114" s="84"/>
      <c r="M2114" s="84"/>
      <c r="N2114" s="84"/>
      <c r="O2114" s="84"/>
      <c r="P2114" s="84"/>
      <c r="Q2114" s="84"/>
      <c r="R2114" s="84"/>
      <c r="S2114" s="84"/>
      <c r="T2114" s="84"/>
      <c r="U2114" s="84"/>
      <c r="V2114" s="84"/>
      <c r="W2114" s="84"/>
      <c r="X2114" s="85">
        <f t="shared" si="232"/>
        <v>0</v>
      </c>
      <c r="Y2114" s="84"/>
      <c r="Z2114" s="84"/>
    </row>
    <row r="2115" spans="1:28" hidden="1" x14ac:dyDescent="0.3">
      <c r="A2115" s="117"/>
      <c r="C2115" s="68" t="s">
        <v>804</v>
      </c>
      <c r="D2115" s="88" t="s">
        <v>68</v>
      </c>
      <c r="E2115" s="85">
        <f>STATS1003B!E2119/1000</f>
        <v>1181.3</v>
      </c>
      <c r="F2115" s="85">
        <f>STATS1003B!F2119/1000</f>
        <v>1181.3</v>
      </c>
      <c r="G2115" s="85">
        <f>STATS1003B!G2119/1000</f>
        <v>0</v>
      </c>
      <c r="H2115" s="85">
        <f>STATS1003B!H2119/1000</f>
        <v>1181.3</v>
      </c>
      <c r="I2115" s="85">
        <f>STATS1003B!I2119/1000</f>
        <v>0</v>
      </c>
      <c r="J2115" s="85">
        <f>STATS1003B!J2119/1000</f>
        <v>1181.3</v>
      </c>
      <c r="K2115" s="85">
        <f>STATS1003B!K2119/1000</f>
        <v>0</v>
      </c>
      <c r="L2115" s="85">
        <f>STATS1003B!L2119/1000</f>
        <v>0</v>
      </c>
      <c r="M2115" s="85">
        <f>STATS1003B!M2119/1000</f>
        <v>1181.3</v>
      </c>
      <c r="N2115" s="85">
        <f>STATS1003B!N2119/1000</f>
        <v>0</v>
      </c>
      <c r="O2115" s="85">
        <f>STATS1003B!O2119/1000</f>
        <v>0</v>
      </c>
      <c r="P2115" s="85">
        <f>STATS1003B!P2119/1000</f>
        <v>0</v>
      </c>
      <c r="Q2115" s="85">
        <f>STATS1003B!Q2119/1000</f>
        <v>1181.3</v>
      </c>
      <c r="R2115" s="85">
        <f>STATS1003B!R2119/1000</f>
        <v>0</v>
      </c>
      <c r="S2115" s="85">
        <f>STATS1003B!S2119/1000</f>
        <v>0</v>
      </c>
      <c r="T2115" s="85">
        <f>STATS1003B!T2119/1000</f>
        <v>0</v>
      </c>
      <c r="U2115" s="85">
        <f>STATS1003B!U2119/1000</f>
        <v>0</v>
      </c>
      <c r="V2115" s="85">
        <f>STATS1003B!V2119/1000</f>
        <v>0</v>
      </c>
      <c r="W2115" s="85">
        <f>STATS1003B!W2119/1000</f>
        <v>0</v>
      </c>
      <c r="X2115" s="85">
        <f t="shared" si="232"/>
        <v>1181.3</v>
      </c>
      <c r="Y2115" s="85">
        <f>STATS1003B!Y2119/1000</f>
        <v>0</v>
      </c>
      <c r="Z2115" s="85">
        <f>STATS1003B!Z2119/1000</f>
        <v>0</v>
      </c>
      <c r="AA2115" s="69">
        <f>STATS1003B!AA2119/1000</f>
        <v>1181.3</v>
      </c>
      <c r="AB2115" s="69">
        <f>STATS1003B!AB2119/1000</f>
        <v>0</v>
      </c>
    </row>
    <row r="2116" spans="1:28" hidden="1" x14ac:dyDescent="0.3">
      <c r="A2116" s="117"/>
      <c r="C2116" s="68" t="s">
        <v>545</v>
      </c>
      <c r="D2116" s="145" t="s">
        <v>54</v>
      </c>
      <c r="E2116" s="85">
        <f>STATS1003B!E2120/1000</f>
        <v>1953.989</v>
      </c>
      <c r="F2116" s="85">
        <f>STATS1003B!F2120/1000</f>
        <v>0</v>
      </c>
      <c r="G2116" s="85">
        <f>STATS1003B!G2120/1000</f>
        <v>0</v>
      </c>
      <c r="H2116" s="85">
        <f>STATS1003B!H2120/1000</f>
        <v>0</v>
      </c>
      <c r="I2116" s="85">
        <f>STATS1003B!I2120/1000</f>
        <v>0</v>
      </c>
      <c r="J2116" s="85">
        <f>STATS1003B!J2120/1000</f>
        <v>0</v>
      </c>
      <c r="K2116" s="85">
        <f>STATS1003B!K2120/1000</f>
        <v>1953.989</v>
      </c>
      <c r="L2116" s="85">
        <f>STATS1003B!L2120/1000</f>
        <v>0</v>
      </c>
      <c r="M2116" s="85">
        <f>STATS1003B!M2120/1000</f>
        <v>0</v>
      </c>
      <c r="N2116" s="85">
        <f>STATS1003B!N2120/1000</f>
        <v>1953.989</v>
      </c>
      <c r="O2116" s="85">
        <f>STATS1003B!O2120/1000</f>
        <v>0</v>
      </c>
      <c r="P2116" s="85">
        <f>STATS1003B!P2120/1000</f>
        <v>1953.989</v>
      </c>
      <c r="Q2116" s="85">
        <f>STATS1003B!Q2120/1000</f>
        <v>0</v>
      </c>
      <c r="R2116" s="85">
        <f>STATS1003B!R2120/1000</f>
        <v>0</v>
      </c>
      <c r="S2116" s="85">
        <f>STATS1003B!S2120/1000</f>
        <v>0</v>
      </c>
      <c r="T2116" s="85">
        <f>STATS1003B!T2120/1000</f>
        <v>0</v>
      </c>
      <c r="U2116" s="85">
        <f>STATS1003B!U2120/1000</f>
        <v>1953.989</v>
      </c>
      <c r="V2116" s="85">
        <f>STATS1003B!V2120/1000</f>
        <v>0</v>
      </c>
      <c r="W2116" s="85">
        <f>STATS1003B!W2120/1000</f>
        <v>0</v>
      </c>
      <c r="X2116" s="85">
        <f t="shared" si="232"/>
        <v>1953.989</v>
      </c>
      <c r="Y2116" s="85">
        <f>STATS1003B!Y2120/1000</f>
        <v>0</v>
      </c>
      <c r="Z2116" s="85">
        <f>STATS1003B!Z2120/1000</f>
        <v>0</v>
      </c>
      <c r="AA2116" s="69">
        <f>STATS1003B!AA2120/1000</f>
        <v>1953.989</v>
      </c>
      <c r="AB2116" s="69">
        <f>STATS1003B!AB2120/1000</f>
        <v>0</v>
      </c>
    </row>
    <row r="2117" spans="1:28" hidden="1" x14ac:dyDescent="0.3">
      <c r="A2117" s="117"/>
      <c r="C2117" s="68" t="s">
        <v>601</v>
      </c>
      <c r="D2117" s="145" t="s">
        <v>54</v>
      </c>
      <c r="E2117" s="85">
        <f>STATS1003B!E2121/1000</f>
        <v>955.34561999999994</v>
      </c>
      <c r="F2117" s="85">
        <f>STATS1003B!F2121/1000</f>
        <v>0</v>
      </c>
      <c r="G2117" s="85">
        <f>STATS1003B!G2121/1000</f>
        <v>0</v>
      </c>
      <c r="H2117" s="85">
        <f>STATS1003B!H2121/1000</f>
        <v>0</v>
      </c>
      <c r="I2117" s="85">
        <f>STATS1003B!I2121/1000</f>
        <v>0</v>
      </c>
      <c r="J2117" s="85">
        <f>STATS1003B!J2121/1000</f>
        <v>0</v>
      </c>
      <c r="K2117" s="85">
        <f>STATS1003B!K2121/1000</f>
        <v>955.34561999999994</v>
      </c>
      <c r="L2117" s="85">
        <f>STATS1003B!L2121/1000</f>
        <v>0</v>
      </c>
      <c r="M2117" s="85">
        <f>STATS1003B!M2121/1000</f>
        <v>0</v>
      </c>
      <c r="N2117" s="85">
        <f>STATS1003B!N2121/1000</f>
        <v>955.34561999999994</v>
      </c>
      <c r="O2117" s="85">
        <f>STATS1003B!O2121/1000</f>
        <v>0</v>
      </c>
      <c r="P2117" s="85">
        <f>STATS1003B!P2121/1000</f>
        <v>955.34561999999994</v>
      </c>
      <c r="Q2117" s="85">
        <f>STATS1003B!Q2121/1000</f>
        <v>0</v>
      </c>
      <c r="R2117" s="85">
        <f>STATS1003B!R2121/1000</f>
        <v>0</v>
      </c>
      <c r="S2117" s="85">
        <f>STATS1003B!S2121/1000</f>
        <v>0</v>
      </c>
      <c r="T2117" s="85">
        <f>STATS1003B!T2121/1000</f>
        <v>0</v>
      </c>
      <c r="U2117" s="85">
        <f>STATS1003B!U2121/1000</f>
        <v>955.34561999999994</v>
      </c>
      <c r="V2117" s="85">
        <f>STATS1003B!V2121/1000</f>
        <v>0</v>
      </c>
      <c r="W2117" s="85">
        <f>STATS1003B!W2121/1000</f>
        <v>0</v>
      </c>
      <c r="X2117" s="85">
        <f t="shared" si="232"/>
        <v>955.34561999999994</v>
      </c>
      <c r="Y2117" s="85">
        <f>STATS1003B!Y2121/1000</f>
        <v>0</v>
      </c>
      <c r="Z2117" s="85">
        <f>STATS1003B!Z2121/1000</f>
        <v>0</v>
      </c>
      <c r="AA2117" s="69">
        <f>STATS1003B!AA2121/1000</f>
        <v>955.34561999999994</v>
      </c>
      <c r="AB2117" s="69">
        <f>STATS1003B!AB2121/1000</f>
        <v>0</v>
      </c>
    </row>
    <row r="2118" spans="1:28" hidden="1" x14ac:dyDescent="0.3">
      <c r="A2118" s="117"/>
      <c r="C2118" s="68" t="s">
        <v>535</v>
      </c>
      <c r="D2118" s="145" t="s">
        <v>54</v>
      </c>
      <c r="E2118" s="85">
        <f>STATS1003B!E2122/1000</f>
        <v>748.12</v>
      </c>
      <c r="F2118" s="85">
        <f>STATS1003B!F2122/1000</f>
        <v>748.12</v>
      </c>
      <c r="G2118" s="85">
        <f>STATS1003B!G2122/1000</f>
        <v>0</v>
      </c>
      <c r="H2118" s="85">
        <f>STATS1003B!H2122/1000</f>
        <v>748.12</v>
      </c>
      <c r="I2118" s="85">
        <f>STATS1003B!I2122/1000</f>
        <v>0</v>
      </c>
      <c r="J2118" s="85">
        <f>STATS1003B!J2122/1000</f>
        <v>748.12</v>
      </c>
      <c r="K2118" s="85">
        <f>STATS1003B!K2122/1000</f>
        <v>0</v>
      </c>
      <c r="L2118" s="85">
        <f>STATS1003B!L2122/1000</f>
        <v>0</v>
      </c>
      <c r="M2118" s="85">
        <f>STATS1003B!M2122/1000</f>
        <v>748.12</v>
      </c>
      <c r="N2118" s="85">
        <f>STATS1003B!N2122/1000</f>
        <v>0</v>
      </c>
      <c r="O2118" s="85">
        <f>STATS1003B!O2122/1000</f>
        <v>0</v>
      </c>
      <c r="P2118" s="85">
        <f>STATS1003B!P2122/1000</f>
        <v>0</v>
      </c>
      <c r="Q2118" s="85">
        <f>STATS1003B!Q2122/1000</f>
        <v>748.12</v>
      </c>
      <c r="R2118" s="85">
        <f>STATS1003B!R2122/1000</f>
        <v>0</v>
      </c>
      <c r="S2118" s="85">
        <f>STATS1003B!S2122/1000</f>
        <v>0</v>
      </c>
      <c r="T2118" s="85">
        <f>STATS1003B!T2122/1000</f>
        <v>0</v>
      </c>
      <c r="U2118" s="85">
        <f>STATS1003B!U2122/1000</f>
        <v>0</v>
      </c>
      <c r="V2118" s="85">
        <f>STATS1003B!V2122/1000</f>
        <v>0</v>
      </c>
      <c r="W2118" s="85">
        <f>STATS1003B!W2122/1000</f>
        <v>0</v>
      </c>
      <c r="X2118" s="85">
        <f t="shared" si="232"/>
        <v>748.12</v>
      </c>
      <c r="Y2118" s="85">
        <f>STATS1003B!Y2122/1000</f>
        <v>0</v>
      </c>
      <c r="Z2118" s="85">
        <f>STATS1003B!Z2122/1000</f>
        <v>0</v>
      </c>
      <c r="AA2118" s="69">
        <f>STATS1003B!AA2122/1000</f>
        <v>748.12</v>
      </c>
      <c r="AB2118" s="69">
        <f>STATS1003B!AB2122/1000</f>
        <v>0</v>
      </c>
    </row>
    <row r="2119" spans="1:28" hidden="1" x14ac:dyDescent="0.3">
      <c r="A2119" s="117"/>
      <c r="C2119" s="68" t="s">
        <v>557</v>
      </c>
      <c r="D2119" s="145" t="s">
        <v>54</v>
      </c>
      <c r="E2119" s="85">
        <f>STATS1003B!E2123/1000</f>
        <v>3849</v>
      </c>
      <c r="F2119" s="85">
        <f>STATS1003B!F2123/1000</f>
        <v>3849</v>
      </c>
      <c r="G2119" s="85">
        <f>STATS1003B!G2123/1000</f>
        <v>0</v>
      </c>
      <c r="H2119" s="85">
        <f>STATS1003B!H2123/1000</f>
        <v>3849</v>
      </c>
      <c r="I2119" s="85">
        <f>STATS1003B!I2123/1000</f>
        <v>0</v>
      </c>
      <c r="J2119" s="85">
        <f>STATS1003B!J2123/1000</f>
        <v>3849</v>
      </c>
      <c r="K2119" s="85">
        <f>STATS1003B!K2123/1000</f>
        <v>0</v>
      </c>
      <c r="L2119" s="85">
        <f>STATS1003B!L2123/1000</f>
        <v>0</v>
      </c>
      <c r="M2119" s="85">
        <f>STATS1003B!M2123/1000</f>
        <v>3849</v>
      </c>
      <c r="N2119" s="85">
        <f>STATS1003B!N2123/1000</f>
        <v>0</v>
      </c>
      <c r="O2119" s="85">
        <f>STATS1003B!O2123/1000</f>
        <v>0</v>
      </c>
      <c r="P2119" s="85">
        <f>STATS1003B!P2123/1000</f>
        <v>0</v>
      </c>
      <c r="Q2119" s="85">
        <f>STATS1003B!Q2123/1000</f>
        <v>3849</v>
      </c>
      <c r="R2119" s="85">
        <f>STATS1003B!R2123/1000</f>
        <v>0</v>
      </c>
      <c r="S2119" s="85">
        <f>STATS1003B!S2123/1000</f>
        <v>0</v>
      </c>
      <c r="T2119" s="85">
        <f>STATS1003B!T2123/1000</f>
        <v>0</v>
      </c>
      <c r="U2119" s="85">
        <f>STATS1003B!U2123/1000</f>
        <v>0</v>
      </c>
      <c r="V2119" s="85">
        <f>STATS1003B!V2123/1000</f>
        <v>0</v>
      </c>
      <c r="W2119" s="85">
        <f>STATS1003B!W2123/1000</f>
        <v>0</v>
      </c>
      <c r="X2119" s="85">
        <f t="shared" si="232"/>
        <v>3849</v>
      </c>
      <c r="Y2119" s="85">
        <f>STATS1003B!Y2123/1000</f>
        <v>0</v>
      </c>
      <c r="Z2119" s="85">
        <f>STATS1003B!Z2123/1000</f>
        <v>0</v>
      </c>
      <c r="AA2119" s="69">
        <f>STATS1003B!AA2123/1000</f>
        <v>3849</v>
      </c>
      <c r="AB2119" s="69">
        <f>STATS1003B!AB2123/1000</f>
        <v>0</v>
      </c>
    </row>
    <row r="2120" spans="1:28" hidden="1" x14ac:dyDescent="0.3">
      <c r="A2120" s="117"/>
      <c r="C2120" s="68" t="s">
        <v>535</v>
      </c>
      <c r="D2120" s="145" t="s">
        <v>85</v>
      </c>
      <c r="E2120" s="85">
        <f>STATS1003B!E2124/1000</f>
        <v>1436.5519299999999</v>
      </c>
      <c r="F2120" s="85">
        <f>STATS1003B!F2124/1000</f>
        <v>1436.5519299999999</v>
      </c>
      <c r="G2120" s="85">
        <f>STATS1003B!G2124/1000</f>
        <v>0</v>
      </c>
      <c r="H2120" s="85">
        <f>STATS1003B!H2124/1000</f>
        <v>1436.5519299999999</v>
      </c>
      <c r="I2120" s="85">
        <f>STATS1003B!I2124/1000</f>
        <v>0</v>
      </c>
      <c r="J2120" s="85">
        <f>STATS1003B!J2124/1000</f>
        <v>1436.5519299999999</v>
      </c>
      <c r="K2120" s="85">
        <f>STATS1003B!K2124/1000</f>
        <v>0</v>
      </c>
      <c r="L2120" s="85">
        <f>STATS1003B!L2124/1000</f>
        <v>0</v>
      </c>
      <c r="M2120" s="85">
        <f>STATS1003B!M2124/1000</f>
        <v>1436.5519299999999</v>
      </c>
      <c r="N2120" s="85">
        <f>STATS1003B!N2124/1000</f>
        <v>0</v>
      </c>
      <c r="O2120" s="85">
        <f>STATS1003B!O2124/1000</f>
        <v>0</v>
      </c>
      <c r="P2120" s="85">
        <f>STATS1003B!P2124/1000</f>
        <v>0</v>
      </c>
      <c r="Q2120" s="85">
        <f>STATS1003B!Q2124/1000</f>
        <v>1436.5519299999999</v>
      </c>
      <c r="R2120" s="85">
        <f>STATS1003B!R2124/1000</f>
        <v>0</v>
      </c>
      <c r="S2120" s="85">
        <f>STATS1003B!S2124/1000</f>
        <v>0</v>
      </c>
      <c r="T2120" s="85">
        <f>STATS1003B!T2124/1000</f>
        <v>0</v>
      </c>
      <c r="U2120" s="85">
        <f>STATS1003B!U2124/1000</f>
        <v>0</v>
      </c>
      <c r="V2120" s="85">
        <f>STATS1003B!V2124/1000</f>
        <v>0</v>
      </c>
      <c r="W2120" s="85">
        <f>STATS1003B!W2124/1000</f>
        <v>0</v>
      </c>
      <c r="X2120" s="85">
        <f t="shared" si="232"/>
        <v>1436.5519299999999</v>
      </c>
      <c r="Y2120" s="85">
        <f>STATS1003B!Y2124/1000</f>
        <v>0</v>
      </c>
      <c r="Z2120" s="85">
        <f>STATS1003B!Z2124/1000</f>
        <v>0</v>
      </c>
      <c r="AA2120" s="69">
        <f>STATS1003B!AA2124/1000</f>
        <v>1436.5519299999999</v>
      </c>
      <c r="AB2120" s="69">
        <f>STATS1003B!AB2124/1000</f>
        <v>0</v>
      </c>
    </row>
    <row r="2121" spans="1:28" hidden="1" x14ac:dyDescent="0.3">
      <c r="A2121" s="117"/>
      <c r="C2121" s="68" t="s">
        <v>805</v>
      </c>
      <c r="D2121" s="145" t="s">
        <v>85</v>
      </c>
      <c r="E2121" s="85">
        <f>STATS1003B!E2125/1000</f>
        <v>8000</v>
      </c>
      <c r="F2121" s="85">
        <f>STATS1003B!F2125/1000</f>
        <v>7704.9767700000002</v>
      </c>
      <c r="G2121" s="85">
        <f>STATS1003B!G2125/1000</f>
        <v>0</v>
      </c>
      <c r="H2121" s="85">
        <f>STATS1003B!H2125/1000</f>
        <v>7704.9767700000002</v>
      </c>
      <c r="I2121" s="85">
        <f>STATS1003B!I2125/1000</f>
        <v>0</v>
      </c>
      <c r="J2121" s="85">
        <f>STATS1003B!J2125/1000</f>
        <v>7704.9767700000002</v>
      </c>
      <c r="K2121" s="85">
        <f>STATS1003B!K2125/1000</f>
        <v>0</v>
      </c>
      <c r="L2121" s="85">
        <f>STATS1003B!L2125/1000</f>
        <v>0</v>
      </c>
      <c r="M2121" s="85">
        <f>STATS1003B!M2125/1000</f>
        <v>7704.9767700000002</v>
      </c>
      <c r="N2121" s="85">
        <f>STATS1003B!N2125/1000</f>
        <v>0</v>
      </c>
      <c r="O2121" s="85">
        <f>STATS1003B!O2125/1000</f>
        <v>0</v>
      </c>
      <c r="P2121" s="85">
        <f>STATS1003B!P2125/1000</f>
        <v>0</v>
      </c>
      <c r="Q2121" s="85">
        <f>STATS1003B!Q2125/1000</f>
        <v>8000</v>
      </c>
      <c r="R2121" s="85">
        <f>STATS1003B!R2125/1000</f>
        <v>0</v>
      </c>
      <c r="S2121" s="85">
        <f>STATS1003B!S2125/1000</f>
        <v>0</v>
      </c>
      <c r="T2121" s="85">
        <f>STATS1003B!T2125/1000</f>
        <v>0</v>
      </c>
      <c r="U2121" s="85">
        <f>STATS1003B!U2125/1000</f>
        <v>0</v>
      </c>
      <c r="V2121" s="85">
        <f>STATS1003B!V2125/1000</f>
        <v>0</v>
      </c>
      <c r="W2121" s="85">
        <f>STATS1003B!W2125/1000</f>
        <v>0</v>
      </c>
      <c r="X2121" s="85">
        <f t="shared" si="232"/>
        <v>7704.9767700000002</v>
      </c>
      <c r="Y2121" s="85">
        <f>STATS1003B!Y2125/1000</f>
        <v>0</v>
      </c>
      <c r="Z2121" s="85">
        <f>STATS1003B!Z2125/1000</f>
        <v>295.0232299999995</v>
      </c>
      <c r="AA2121" s="69">
        <f>STATS1003B!AA2125/1000</f>
        <v>7704.9767700000002</v>
      </c>
      <c r="AB2121" s="69">
        <f>STATS1003B!AB2125/1000</f>
        <v>295.0232299999995</v>
      </c>
    </row>
    <row r="2122" spans="1:28" hidden="1" x14ac:dyDescent="0.3">
      <c r="A2122" s="117"/>
      <c r="C2122" s="68" t="s">
        <v>535</v>
      </c>
      <c r="D2122" s="145" t="s">
        <v>88</v>
      </c>
      <c r="E2122" s="85">
        <f>STATS1003B!E2126/1000</f>
        <v>6877.6501799999996</v>
      </c>
      <c r="F2122" s="85">
        <f>STATS1003B!F2126/1000</f>
        <v>6877.6501799999996</v>
      </c>
      <c r="G2122" s="85">
        <f>STATS1003B!G2126/1000</f>
        <v>0</v>
      </c>
      <c r="H2122" s="85">
        <f>STATS1003B!H2126/1000</f>
        <v>6877.6501799999996</v>
      </c>
      <c r="I2122" s="85">
        <f>STATS1003B!I2126/1000</f>
        <v>0</v>
      </c>
      <c r="J2122" s="85">
        <f>STATS1003B!J2126/1000</f>
        <v>6877.6501799999996</v>
      </c>
      <c r="K2122" s="85">
        <f>STATS1003B!K2126/1000</f>
        <v>0</v>
      </c>
      <c r="L2122" s="85">
        <f>STATS1003B!L2126/1000</f>
        <v>0</v>
      </c>
      <c r="M2122" s="85">
        <f>STATS1003B!M2126/1000</f>
        <v>6877.6501799999996</v>
      </c>
      <c r="N2122" s="85">
        <f>STATS1003B!N2126/1000</f>
        <v>0</v>
      </c>
      <c r="O2122" s="85">
        <f>STATS1003B!O2126/1000</f>
        <v>0</v>
      </c>
      <c r="P2122" s="85">
        <f>STATS1003B!P2126/1000</f>
        <v>0</v>
      </c>
      <c r="Q2122" s="85">
        <f>STATS1003B!Q2126/1000</f>
        <v>6877.6501799999996</v>
      </c>
      <c r="R2122" s="85">
        <f>STATS1003B!R2126/1000</f>
        <v>0</v>
      </c>
      <c r="S2122" s="85">
        <f>STATS1003B!S2126/1000</f>
        <v>0</v>
      </c>
      <c r="T2122" s="85">
        <f>STATS1003B!T2126/1000</f>
        <v>0</v>
      </c>
      <c r="U2122" s="85">
        <f>STATS1003B!U2126/1000</f>
        <v>0</v>
      </c>
      <c r="V2122" s="85">
        <f>STATS1003B!V2126/1000</f>
        <v>0</v>
      </c>
      <c r="W2122" s="85">
        <f>STATS1003B!W2126/1000</f>
        <v>0</v>
      </c>
      <c r="X2122" s="85">
        <f t="shared" si="232"/>
        <v>6877.6501799999996</v>
      </c>
      <c r="Y2122" s="85">
        <f>STATS1003B!Y2126/1000</f>
        <v>0</v>
      </c>
      <c r="Z2122" s="85">
        <f>STATS1003B!Z2126/1000</f>
        <v>0</v>
      </c>
      <c r="AA2122" s="69">
        <f>STATS1003B!AA2126/1000</f>
        <v>6877.6501799999996</v>
      </c>
      <c r="AB2122" s="69">
        <f>STATS1003B!AB2126/1000</f>
        <v>0</v>
      </c>
    </row>
    <row r="2123" spans="1:28" hidden="1" x14ac:dyDescent="0.3">
      <c r="A2123" s="117"/>
      <c r="C2123" s="68" t="s">
        <v>535</v>
      </c>
      <c r="D2123" s="145" t="s">
        <v>108</v>
      </c>
      <c r="E2123" s="85">
        <f>STATS1003B!E2127/1000</f>
        <v>985.21412999999995</v>
      </c>
      <c r="F2123" s="85">
        <f>STATS1003B!F2127/1000</f>
        <v>985.21412999999995</v>
      </c>
      <c r="G2123" s="85">
        <f>STATS1003B!G2127/1000</f>
        <v>0</v>
      </c>
      <c r="H2123" s="85">
        <f>STATS1003B!H2127/1000</f>
        <v>985.21412999999995</v>
      </c>
      <c r="I2123" s="85">
        <f>STATS1003B!I2127/1000</f>
        <v>0</v>
      </c>
      <c r="J2123" s="85">
        <f>STATS1003B!J2127/1000</f>
        <v>985.21412999999995</v>
      </c>
      <c r="K2123" s="85">
        <f>STATS1003B!K2127/1000</f>
        <v>0</v>
      </c>
      <c r="L2123" s="85">
        <f>STATS1003B!L2127/1000</f>
        <v>0</v>
      </c>
      <c r="M2123" s="85">
        <f>STATS1003B!M2127/1000</f>
        <v>985.21412999999995</v>
      </c>
      <c r="N2123" s="85">
        <f>STATS1003B!N2127/1000</f>
        <v>0</v>
      </c>
      <c r="O2123" s="85">
        <f>STATS1003B!O2127/1000</f>
        <v>0</v>
      </c>
      <c r="P2123" s="85">
        <f>STATS1003B!P2127/1000</f>
        <v>0</v>
      </c>
      <c r="Q2123" s="85">
        <f>STATS1003B!Q2127/1000</f>
        <v>985.21412999999995</v>
      </c>
      <c r="R2123" s="85">
        <f>STATS1003B!R2127/1000</f>
        <v>0</v>
      </c>
      <c r="S2123" s="85">
        <f>STATS1003B!S2127/1000</f>
        <v>0</v>
      </c>
      <c r="T2123" s="85">
        <f>STATS1003B!T2127/1000</f>
        <v>0</v>
      </c>
      <c r="U2123" s="85">
        <f>STATS1003B!U2127/1000</f>
        <v>0</v>
      </c>
      <c r="V2123" s="85">
        <f>STATS1003B!V2127/1000</f>
        <v>0</v>
      </c>
      <c r="W2123" s="85">
        <f>STATS1003B!W2127/1000</f>
        <v>0</v>
      </c>
      <c r="X2123" s="85">
        <f t="shared" si="232"/>
        <v>985.21412999999995</v>
      </c>
      <c r="Y2123" s="85">
        <f>STATS1003B!Y2127/1000</f>
        <v>0</v>
      </c>
      <c r="Z2123" s="85">
        <f>STATS1003B!Z2127/1000</f>
        <v>0</v>
      </c>
      <c r="AA2123" s="69">
        <f>STATS1003B!AA2127/1000</f>
        <v>985.21412999999995</v>
      </c>
      <c r="AB2123" s="69">
        <f>STATS1003B!AB2127/1000</f>
        <v>0</v>
      </c>
    </row>
    <row r="2124" spans="1:28" hidden="1" x14ac:dyDescent="0.3">
      <c r="A2124" s="117"/>
      <c r="B2124" s="68" t="s">
        <v>806</v>
      </c>
      <c r="C2124" s="68" t="s">
        <v>535</v>
      </c>
      <c r="D2124" s="145" t="s">
        <v>108</v>
      </c>
      <c r="E2124" s="85">
        <f>STATS1003B!E2128/1000</f>
        <v>3048.83</v>
      </c>
      <c r="F2124" s="85">
        <f>STATS1003B!F2128/1000</f>
        <v>3048.83</v>
      </c>
      <c r="G2124" s="85">
        <f>STATS1003B!G2128/1000</f>
        <v>0</v>
      </c>
      <c r="H2124" s="85">
        <f>STATS1003B!H2128/1000</f>
        <v>3048.83</v>
      </c>
      <c r="I2124" s="85">
        <f>STATS1003B!I2128/1000</f>
        <v>0</v>
      </c>
      <c r="J2124" s="85">
        <f>STATS1003B!J2128/1000</f>
        <v>3048.83</v>
      </c>
      <c r="K2124" s="85">
        <f>STATS1003B!K2128/1000</f>
        <v>0</v>
      </c>
      <c r="L2124" s="85">
        <f>STATS1003B!L2128/1000</f>
        <v>0</v>
      </c>
      <c r="M2124" s="85">
        <f>STATS1003B!M2128/1000</f>
        <v>3048.83</v>
      </c>
      <c r="N2124" s="85">
        <f>STATS1003B!N2128/1000</f>
        <v>0</v>
      </c>
      <c r="O2124" s="85">
        <f>STATS1003B!O2128/1000</f>
        <v>0</v>
      </c>
      <c r="P2124" s="85">
        <f>STATS1003B!P2128/1000</f>
        <v>0</v>
      </c>
      <c r="Q2124" s="85">
        <f>STATS1003B!Q2128/1000</f>
        <v>3048.83</v>
      </c>
      <c r="R2124" s="85">
        <f>STATS1003B!R2128/1000</f>
        <v>0</v>
      </c>
      <c r="S2124" s="85">
        <f>STATS1003B!S2128/1000</f>
        <v>0</v>
      </c>
      <c r="T2124" s="85">
        <f>STATS1003B!T2128/1000</f>
        <v>0</v>
      </c>
      <c r="U2124" s="85">
        <f>STATS1003B!U2128/1000</f>
        <v>0</v>
      </c>
      <c r="V2124" s="85">
        <f>STATS1003B!V2128/1000</f>
        <v>0</v>
      </c>
      <c r="W2124" s="85">
        <f>STATS1003B!W2128/1000</f>
        <v>0</v>
      </c>
      <c r="X2124" s="85">
        <f t="shared" si="232"/>
        <v>3048.83</v>
      </c>
      <c r="Y2124" s="85">
        <f>STATS1003B!Y2128/1000</f>
        <v>0</v>
      </c>
      <c r="Z2124" s="85">
        <f>STATS1003B!Z2128/1000</f>
        <v>0</v>
      </c>
      <c r="AA2124" s="69">
        <f>STATS1003B!AA2128/1000</f>
        <v>3048.83</v>
      </c>
      <c r="AB2124" s="69">
        <f>STATS1003B!AB2128/1000</f>
        <v>0</v>
      </c>
    </row>
    <row r="2125" spans="1:28" hidden="1" x14ac:dyDescent="0.3">
      <c r="A2125" s="117"/>
      <c r="C2125" s="68" t="s">
        <v>807</v>
      </c>
      <c r="D2125" s="145" t="s">
        <v>108</v>
      </c>
      <c r="E2125" s="85">
        <f>STATS1003B!E2129/1000</f>
        <v>1700</v>
      </c>
      <c r="F2125" s="85">
        <f>STATS1003B!F2129/1000</f>
        <v>1700</v>
      </c>
      <c r="G2125" s="85">
        <f>STATS1003B!G2129/1000</f>
        <v>0</v>
      </c>
      <c r="H2125" s="85">
        <f>STATS1003B!H2129/1000</f>
        <v>1700</v>
      </c>
      <c r="I2125" s="85">
        <f>STATS1003B!I2129/1000</f>
        <v>0</v>
      </c>
      <c r="J2125" s="85">
        <f>STATS1003B!J2129/1000</f>
        <v>1700</v>
      </c>
      <c r="K2125" s="85">
        <f>STATS1003B!K2129/1000</f>
        <v>0</v>
      </c>
      <c r="L2125" s="85">
        <f>STATS1003B!L2129/1000</f>
        <v>0</v>
      </c>
      <c r="M2125" s="85">
        <f>STATS1003B!M2129/1000</f>
        <v>1700</v>
      </c>
      <c r="N2125" s="85">
        <f>STATS1003B!N2129/1000</f>
        <v>0</v>
      </c>
      <c r="O2125" s="85">
        <f>STATS1003B!O2129/1000</f>
        <v>0</v>
      </c>
      <c r="P2125" s="85">
        <f>STATS1003B!P2129/1000</f>
        <v>0</v>
      </c>
      <c r="Q2125" s="85">
        <f>STATS1003B!Q2129/1000</f>
        <v>1700</v>
      </c>
      <c r="R2125" s="85">
        <f>STATS1003B!R2129/1000</f>
        <v>0</v>
      </c>
      <c r="S2125" s="85">
        <f>STATS1003B!S2129/1000</f>
        <v>0</v>
      </c>
      <c r="T2125" s="85">
        <f>STATS1003B!T2129/1000</f>
        <v>0</v>
      </c>
      <c r="U2125" s="85">
        <f>STATS1003B!U2129/1000</f>
        <v>0</v>
      </c>
      <c r="V2125" s="85">
        <f>STATS1003B!V2129/1000</f>
        <v>0</v>
      </c>
      <c r="W2125" s="85">
        <f>STATS1003B!W2129/1000</f>
        <v>0</v>
      </c>
      <c r="X2125" s="85">
        <f t="shared" si="232"/>
        <v>1700</v>
      </c>
      <c r="Y2125" s="85">
        <f>STATS1003B!Y2129/1000</f>
        <v>0</v>
      </c>
      <c r="Z2125" s="85">
        <f>STATS1003B!Z2129/1000</f>
        <v>0</v>
      </c>
      <c r="AA2125" s="69">
        <f>STATS1003B!AA2129/1000</f>
        <v>1700</v>
      </c>
      <c r="AB2125" s="69">
        <f>STATS1003B!AB2129/1000</f>
        <v>0</v>
      </c>
    </row>
    <row r="2126" spans="1:28" hidden="1" x14ac:dyDescent="0.3">
      <c r="A2126" s="117"/>
      <c r="C2126" s="68" t="s">
        <v>535</v>
      </c>
      <c r="D2126" s="145" t="s">
        <v>58</v>
      </c>
      <c r="E2126" s="85">
        <f>STATS1003B!E2130/1000</f>
        <v>13486.430129999999</v>
      </c>
      <c r="F2126" s="85">
        <f>STATS1003B!F2130/1000</f>
        <v>13486.430130000001</v>
      </c>
      <c r="G2126" s="85">
        <f>STATS1003B!G2130/1000</f>
        <v>0</v>
      </c>
      <c r="H2126" s="85">
        <f>STATS1003B!H2130/1000</f>
        <v>13486.430130000001</v>
      </c>
      <c r="I2126" s="85">
        <f>STATS1003B!I2130/1000</f>
        <v>0</v>
      </c>
      <c r="J2126" s="85">
        <f>STATS1003B!J2130/1000</f>
        <v>13486.430130000001</v>
      </c>
      <c r="K2126" s="85">
        <f>STATS1003B!K2130/1000</f>
        <v>0</v>
      </c>
      <c r="L2126" s="85">
        <f>STATS1003B!L2130/1000</f>
        <v>0</v>
      </c>
      <c r="M2126" s="85">
        <f>STATS1003B!M2130/1000</f>
        <v>13486.430130000001</v>
      </c>
      <c r="N2126" s="85">
        <f>STATS1003B!N2130/1000</f>
        <v>0</v>
      </c>
      <c r="O2126" s="85">
        <f>STATS1003B!O2130/1000</f>
        <v>0</v>
      </c>
      <c r="P2126" s="85">
        <f>STATS1003B!P2130/1000</f>
        <v>0</v>
      </c>
      <c r="Q2126" s="85">
        <f>STATS1003B!Q2130/1000</f>
        <v>13486.430129999999</v>
      </c>
      <c r="R2126" s="85">
        <f>STATS1003B!R2130/1000</f>
        <v>0</v>
      </c>
      <c r="S2126" s="85">
        <f>STATS1003B!S2130/1000</f>
        <v>0</v>
      </c>
      <c r="T2126" s="85">
        <f>STATS1003B!T2130/1000</f>
        <v>0</v>
      </c>
      <c r="U2126" s="85">
        <f>STATS1003B!U2130/1000</f>
        <v>0</v>
      </c>
      <c r="V2126" s="85">
        <f>STATS1003B!V2130/1000</f>
        <v>0</v>
      </c>
      <c r="W2126" s="85">
        <f>STATS1003B!W2130/1000</f>
        <v>0</v>
      </c>
      <c r="X2126" s="85">
        <f t="shared" si="232"/>
        <v>13486.430130000001</v>
      </c>
      <c r="Y2126" s="85">
        <f>STATS1003B!Y2130/1000</f>
        <v>0</v>
      </c>
      <c r="Z2126" s="85">
        <f>STATS1003B!Z2130/1000</f>
        <v>0</v>
      </c>
      <c r="AA2126" s="69">
        <f>STATS1003B!AA2130/1000</f>
        <v>13486.430130000001</v>
      </c>
      <c r="AB2126" s="69">
        <f>STATS1003B!AB2130/1000</f>
        <v>0</v>
      </c>
    </row>
    <row r="2127" spans="1:28" hidden="1" x14ac:dyDescent="0.3">
      <c r="A2127" s="117"/>
      <c r="C2127" s="68" t="s">
        <v>535</v>
      </c>
      <c r="D2127" s="145" t="s">
        <v>60</v>
      </c>
      <c r="E2127" s="85">
        <f>STATS1003B!E2131/1000</f>
        <v>13252.31415</v>
      </c>
      <c r="F2127" s="85">
        <f>STATS1003B!F2131/1000</f>
        <v>13252.31415</v>
      </c>
      <c r="G2127" s="85">
        <f>STATS1003B!G2131/1000</f>
        <v>0</v>
      </c>
      <c r="H2127" s="85">
        <f>STATS1003B!H2131/1000</f>
        <v>13252.31415</v>
      </c>
      <c r="I2127" s="85">
        <f>STATS1003B!I2131/1000</f>
        <v>0</v>
      </c>
      <c r="J2127" s="85">
        <f>STATS1003B!J2131/1000</f>
        <v>13252.31415</v>
      </c>
      <c r="K2127" s="85">
        <f>STATS1003B!K2131/1000</f>
        <v>0</v>
      </c>
      <c r="L2127" s="85">
        <f>STATS1003B!L2131/1000</f>
        <v>0</v>
      </c>
      <c r="M2127" s="85">
        <f>STATS1003B!M2131/1000</f>
        <v>13252.31415</v>
      </c>
      <c r="N2127" s="85">
        <f>STATS1003B!N2131/1000</f>
        <v>0</v>
      </c>
      <c r="O2127" s="85">
        <f>STATS1003B!O2131/1000</f>
        <v>0</v>
      </c>
      <c r="P2127" s="85">
        <f>STATS1003B!P2131/1000</f>
        <v>0</v>
      </c>
      <c r="Q2127" s="85">
        <f>STATS1003B!Q2131/1000</f>
        <v>13252.31415</v>
      </c>
      <c r="R2127" s="85">
        <f>STATS1003B!R2131/1000</f>
        <v>0</v>
      </c>
      <c r="S2127" s="85">
        <f>STATS1003B!S2131/1000</f>
        <v>0</v>
      </c>
      <c r="T2127" s="85">
        <f>STATS1003B!T2131/1000</f>
        <v>0</v>
      </c>
      <c r="U2127" s="85">
        <f>STATS1003B!U2131/1000</f>
        <v>0</v>
      </c>
      <c r="V2127" s="85">
        <f>STATS1003B!V2131/1000</f>
        <v>0</v>
      </c>
      <c r="W2127" s="85">
        <f>STATS1003B!W2131/1000</f>
        <v>0</v>
      </c>
      <c r="X2127" s="85">
        <f t="shared" si="232"/>
        <v>13252.31415</v>
      </c>
      <c r="Y2127" s="85">
        <f>STATS1003B!Y2131/1000</f>
        <v>0</v>
      </c>
      <c r="Z2127" s="85">
        <f>STATS1003B!Z2131/1000</f>
        <v>0</v>
      </c>
      <c r="AA2127" s="69">
        <f>STATS1003B!AA2131/1000</f>
        <v>13252.31415</v>
      </c>
      <c r="AB2127" s="69">
        <f>STATS1003B!AB2131/1000</f>
        <v>0</v>
      </c>
    </row>
    <row r="2128" spans="1:28" hidden="1" x14ac:dyDescent="0.3">
      <c r="A2128" s="117"/>
      <c r="C2128" s="71" t="s">
        <v>652</v>
      </c>
      <c r="D2128" s="88" t="s">
        <v>194</v>
      </c>
      <c r="E2128" s="85">
        <f>STATS1003B!E2132/1000</f>
        <v>1527.84727</v>
      </c>
      <c r="F2128" s="85">
        <f>STATS1003B!F2132/1000</f>
        <v>1527.84727</v>
      </c>
      <c r="G2128" s="85">
        <f>STATS1003B!G2132/1000</f>
        <v>0</v>
      </c>
      <c r="H2128" s="85">
        <f>STATS1003B!H2132/1000</f>
        <v>1527.84727</v>
      </c>
      <c r="I2128" s="85">
        <f>STATS1003B!I2132/1000</f>
        <v>0</v>
      </c>
      <c r="J2128" s="85">
        <f>STATS1003B!J2132/1000</f>
        <v>1527.84727</v>
      </c>
      <c r="K2128" s="85">
        <f>STATS1003B!K2132/1000</f>
        <v>0</v>
      </c>
      <c r="L2128" s="85">
        <f>STATS1003B!L2132/1000</f>
        <v>0</v>
      </c>
      <c r="M2128" s="85">
        <f>STATS1003B!M2132/1000</f>
        <v>1527.84727</v>
      </c>
      <c r="N2128" s="85">
        <f>STATS1003B!N2132/1000</f>
        <v>0</v>
      </c>
      <c r="O2128" s="85">
        <f>STATS1003B!O2132/1000</f>
        <v>0</v>
      </c>
      <c r="P2128" s="85">
        <f>STATS1003B!P2132/1000</f>
        <v>0</v>
      </c>
      <c r="Q2128" s="85">
        <f>STATS1003B!Q2132/1000</f>
        <v>1527.84727</v>
      </c>
      <c r="R2128" s="85">
        <f>STATS1003B!R2132/1000</f>
        <v>0</v>
      </c>
      <c r="S2128" s="85">
        <f>STATS1003B!S2132/1000</f>
        <v>0</v>
      </c>
      <c r="T2128" s="85">
        <f>STATS1003B!T2132/1000</f>
        <v>0</v>
      </c>
      <c r="U2128" s="85">
        <f>STATS1003B!U2132/1000</f>
        <v>0</v>
      </c>
      <c r="V2128" s="85">
        <f>STATS1003B!V2132/1000</f>
        <v>0</v>
      </c>
      <c r="W2128" s="85">
        <f>STATS1003B!W2132/1000</f>
        <v>0</v>
      </c>
      <c r="X2128" s="85">
        <f t="shared" si="232"/>
        <v>1527.84727</v>
      </c>
      <c r="Y2128" s="85">
        <f>STATS1003B!Y2132/1000</f>
        <v>0</v>
      </c>
      <c r="Z2128" s="85">
        <f>STATS1003B!Z2132/1000</f>
        <v>0</v>
      </c>
      <c r="AA2128" s="69">
        <f>STATS1003B!AA2132/1000</f>
        <v>1527.84727</v>
      </c>
      <c r="AB2128" s="69">
        <f>STATS1003B!AB2132/1000</f>
        <v>0</v>
      </c>
    </row>
    <row r="2129" spans="1:28" hidden="1" x14ac:dyDescent="0.3">
      <c r="A2129" s="117"/>
      <c r="C2129" s="71" t="s">
        <v>808</v>
      </c>
      <c r="D2129" s="88" t="s">
        <v>194</v>
      </c>
      <c r="E2129" s="85">
        <f>STATS1003B!E2133/1000</f>
        <v>645.14456999999993</v>
      </c>
      <c r="F2129" s="85">
        <f>STATS1003B!F2133/1000</f>
        <v>645.14456999999993</v>
      </c>
      <c r="G2129" s="85">
        <f>STATS1003B!G2133/1000</f>
        <v>0</v>
      </c>
      <c r="H2129" s="85">
        <f>STATS1003B!H2133/1000</f>
        <v>645.14456999999993</v>
      </c>
      <c r="I2129" s="85">
        <f>STATS1003B!I2133/1000</f>
        <v>0</v>
      </c>
      <c r="J2129" s="85">
        <f>STATS1003B!J2133/1000</f>
        <v>645.14456999999993</v>
      </c>
      <c r="K2129" s="85">
        <f>STATS1003B!K2133/1000</f>
        <v>0</v>
      </c>
      <c r="L2129" s="85">
        <f>STATS1003B!L2133/1000</f>
        <v>0</v>
      </c>
      <c r="M2129" s="85">
        <f>STATS1003B!M2133/1000</f>
        <v>645.14456999999993</v>
      </c>
      <c r="N2129" s="85">
        <f>STATS1003B!N2133/1000</f>
        <v>0</v>
      </c>
      <c r="O2129" s="85">
        <f>STATS1003B!O2133/1000</f>
        <v>0</v>
      </c>
      <c r="P2129" s="85">
        <f>STATS1003B!P2133/1000</f>
        <v>0</v>
      </c>
      <c r="Q2129" s="85">
        <f>STATS1003B!Q2133/1000</f>
        <v>645.14456999999993</v>
      </c>
      <c r="R2129" s="85">
        <f>STATS1003B!R2133/1000</f>
        <v>0</v>
      </c>
      <c r="S2129" s="85">
        <f>STATS1003B!S2133/1000</f>
        <v>0</v>
      </c>
      <c r="T2129" s="85">
        <f>STATS1003B!T2133/1000</f>
        <v>0</v>
      </c>
      <c r="U2129" s="85">
        <f>STATS1003B!U2133/1000</f>
        <v>0</v>
      </c>
      <c r="V2129" s="85">
        <f>STATS1003B!V2133/1000</f>
        <v>0</v>
      </c>
      <c r="W2129" s="85">
        <f>STATS1003B!W2133/1000</f>
        <v>0</v>
      </c>
      <c r="X2129" s="85">
        <f t="shared" si="232"/>
        <v>645.14456999999993</v>
      </c>
      <c r="Y2129" s="85">
        <f>STATS1003B!Y2133/1000</f>
        <v>0</v>
      </c>
      <c r="Z2129" s="85">
        <f>STATS1003B!Z2133/1000</f>
        <v>0</v>
      </c>
      <c r="AA2129" s="69">
        <f>STATS1003B!AA2133/1000</f>
        <v>645.14456999999993</v>
      </c>
      <c r="AB2129" s="69">
        <f>STATS1003B!AB2133/1000</f>
        <v>0</v>
      </c>
    </row>
    <row r="2130" spans="1:28" hidden="1" x14ac:dyDescent="0.3">
      <c r="A2130" s="117"/>
      <c r="C2130" s="68" t="s">
        <v>535</v>
      </c>
      <c r="D2130" s="145" t="s">
        <v>73</v>
      </c>
      <c r="E2130" s="85">
        <f>STATS1003B!E2134/1000</f>
        <v>1325.24062</v>
      </c>
      <c r="F2130" s="85">
        <f>STATS1003B!F2134/1000</f>
        <v>1325.24062</v>
      </c>
      <c r="G2130" s="85">
        <f>STATS1003B!G2134/1000</f>
        <v>0</v>
      </c>
      <c r="H2130" s="85">
        <f>STATS1003B!H2134/1000</f>
        <v>1325.24062</v>
      </c>
      <c r="I2130" s="85">
        <f>STATS1003B!I2134/1000</f>
        <v>0</v>
      </c>
      <c r="J2130" s="85">
        <f>STATS1003B!J2134/1000</f>
        <v>1325.24062</v>
      </c>
      <c r="K2130" s="85">
        <f>STATS1003B!K2134/1000</f>
        <v>0</v>
      </c>
      <c r="L2130" s="85">
        <f>STATS1003B!L2134/1000</f>
        <v>0</v>
      </c>
      <c r="M2130" s="85">
        <f>STATS1003B!M2134/1000</f>
        <v>1325.24062</v>
      </c>
      <c r="N2130" s="85">
        <f>STATS1003B!N2134/1000</f>
        <v>0</v>
      </c>
      <c r="O2130" s="85">
        <f>STATS1003B!O2134/1000</f>
        <v>0</v>
      </c>
      <c r="P2130" s="85">
        <f>STATS1003B!P2134/1000</f>
        <v>0</v>
      </c>
      <c r="Q2130" s="85">
        <f>STATS1003B!Q2134/1000</f>
        <v>1325.24062</v>
      </c>
      <c r="R2130" s="85">
        <f>STATS1003B!R2134/1000</f>
        <v>0</v>
      </c>
      <c r="S2130" s="85">
        <f>STATS1003B!S2134/1000</f>
        <v>0</v>
      </c>
      <c r="T2130" s="85">
        <f>STATS1003B!T2134/1000</f>
        <v>0</v>
      </c>
      <c r="U2130" s="85">
        <f>STATS1003B!U2134/1000</f>
        <v>0</v>
      </c>
      <c r="V2130" s="85">
        <f>STATS1003B!V2134/1000</f>
        <v>0</v>
      </c>
      <c r="W2130" s="85">
        <f>STATS1003B!W2134/1000</f>
        <v>0</v>
      </c>
      <c r="X2130" s="85">
        <f t="shared" si="232"/>
        <v>1325.24062</v>
      </c>
      <c r="Y2130" s="85">
        <f>STATS1003B!Y2134/1000</f>
        <v>0</v>
      </c>
      <c r="Z2130" s="85">
        <f>STATS1003B!Z2134/1000</f>
        <v>0</v>
      </c>
      <c r="AA2130" s="69">
        <f>STATS1003B!AA2134/1000</f>
        <v>1325.24062</v>
      </c>
      <c r="AB2130" s="69">
        <f>STATS1003B!AB2134/1000</f>
        <v>0</v>
      </c>
    </row>
    <row r="2131" spans="1:28" hidden="1" x14ac:dyDescent="0.3">
      <c r="A2131" s="117"/>
      <c r="C2131" s="71" t="s">
        <v>621</v>
      </c>
      <c r="D2131" s="88" t="s">
        <v>73</v>
      </c>
      <c r="E2131" s="85">
        <f>STATS1003B!E2135/1000</f>
        <v>6086.5861999999997</v>
      </c>
      <c r="F2131" s="85">
        <f>STATS1003B!F2135/1000</f>
        <v>6086.5861999999997</v>
      </c>
      <c r="G2131" s="85">
        <f>STATS1003B!G2135/1000</f>
        <v>0</v>
      </c>
      <c r="H2131" s="85">
        <f>STATS1003B!H2135/1000</f>
        <v>6086.5861999999997</v>
      </c>
      <c r="I2131" s="85">
        <f>STATS1003B!I2135/1000</f>
        <v>0</v>
      </c>
      <c r="J2131" s="85">
        <f>STATS1003B!J2135/1000</f>
        <v>6086.5861999999997</v>
      </c>
      <c r="K2131" s="85">
        <f>STATS1003B!K2135/1000</f>
        <v>0</v>
      </c>
      <c r="L2131" s="85">
        <f>STATS1003B!L2135/1000</f>
        <v>0</v>
      </c>
      <c r="M2131" s="85">
        <f>STATS1003B!M2135/1000</f>
        <v>6086.5861999999997</v>
      </c>
      <c r="N2131" s="85">
        <f>STATS1003B!N2135/1000</f>
        <v>0</v>
      </c>
      <c r="O2131" s="85">
        <f>STATS1003B!O2135/1000</f>
        <v>0</v>
      </c>
      <c r="P2131" s="85">
        <f>STATS1003B!P2135/1000</f>
        <v>0</v>
      </c>
      <c r="Q2131" s="85">
        <f>STATS1003B!Q2135/1000</f>
        <v>6086.5861999999997</v>
      </c>
      <c r="R2131" s="85">
        <f>STATS1003B!R2135/1000</f>
        <v>0</v>
      </c>
      <c r="S2131" s="85">
        <f>STATS1003B!S2135/1000</f>
        <v>0</v>
      </c>
      <c r="T2131" s="85">
        <f>STATS1003B!T2135/1000</f>
        <v>0</v>
      </c>
      <c r="U2131" s="85">
        <f>STATS1003B!U2135/1000</f>
        <v>0</v>
      </c>
      <c r="V2131" s="85">
        <f>STATS1003B!V2135/1000</f>
        <v>0</v>
      </c>
      <c r="W2131" s="85">
        <f>STATS1003B!W2135/1000</f>
        <v>0</v>
      </c>
      <c r="X2131" s="85">
        <f t="shared" si="232"/>
        <v>6086.5861999999997</v>
      </c>
      <c r="Y2131" s="85">
        <f>STATS1003B!Y2135/1000</f>
        <v>0</v>
      </c>
      <c r="Z2131" s="85">
        <f>STATS1003B!Z2135/1000</f>
        <v>0</v>
      </c>
      <c r="AA2131" s="69">
        <f>STATS1003B!AA2135/1000</f>
        <v>6086.5861999999997</v>
      </c>
      <c r="AB2131" s="69">
        <f>STATS1003B!AB2135/1000</f>
        <v>0</v>
      </c>
    </row>
    <row r="2132" spans="1:28" hidden="1" x14ac:dyDescent="0.3">
      <c r="A2132" s="117"/>
      <c r="C2132" s="68" t="s">
        <v>535</v>
      </c>
      <c r="D2132" s="145" t="s">
        <v>61</v>
      </c>
      <c r="E2132" s="85">
        <f>STATS1003B!E2136/1000</f>
        <v>495.34732000000002</v>
      </c>
      <c r="F2132" s="85">
        <f>STATS1003B!F2136/1000</f>
        <v>495.34732000000002</v>
      </c>
      <c r="G2132" s="85">
        <f>STATS1003B!G2136/1000</f>
        <v>0</v>
      </c>
      <c r="H2132" s="85">
        <f>STATS1003B!H2136/1000</f>
        <v>495.34732000000002</v>
      </c>
      <c r="I2132" s="85">
        <f>STATS1003B!I2136/1000</f>
        <v>0</v>
      </c>
      <c r="J2132" s="85">
        <f>STATS1003B!J2136/1000</f>
        <v>495.34732000000002</v>
      </c>
      <c r="K2132" s="85">
        <f>STATS1003B!K2136/1000</f>
        <v>0</v>
      </c>
      <c r="L2132" s="85">
        <f>STATS1003B!L2136/1000</f>
        <v>0</v>
      </c>
      <c r="M2132" s="85">
        <f>STATS1003B!M2136/1000</f>
        <v>495.34732000000002</v>
      </c>
      <c r="N2132" s="85">
        <f>STATS1003B!N2136/1000</f>
        <v>0</v>
      </c>
      <c r="O2132" s="85">
        <f>STATS1003B!O2136/1000</f>
        <v>0</v>
      </c>
      <c r="P2132" s="85">
        <f>STATS1003B!P2136/1000</f>
        <v>0</v>
      </c>
      <c r="Q2132" s="85">
        <f>STATS1003B!Q2136/1000</f>
        <v>495.34732000000002</v>
      </c>
      <c r="R2132" s="85">
        <f>STATS1003B!R2136/1000</f>
        <v>0</v>
      </c>
      <c r="S2132" s="85">
        <f>STATS1003B!S2136/1000</f>
        <v>0</v>
      </c>
      <c r="T2132" s="85">
        <f>STATS1003B!T2136/1000</f>
        <v>0</v>
      </c>
      <c r="U2132" s="85">
        <f>STATS1003B!U2136/1000</f>
        <v>0</v>
      </c>
      <c r="V2132" s="85">
        <f>STATS1003B!V2136/1000</f>
        <v>0</v>
      </c>
      <c r="W2132" s="85">
        <f>STATS1003B!W2136/1000</f>
        <v>0</v>
      </c>
      <c r="X2132" s="85">
        <f t="shared" si="232"/>
        <v>495.34732000000002</v>
      </c>
      <c r="Y2132" s="85">
        <f>STATS1003B!Y2136/1000</f>
        <v>0</v>
      </c>
      <c r="Z2132" s="85">
        <f>STATS1003B!Z2136/1000</f>
        <v>0</v>
      </c>
      <c r="AA2132" s="69">
        <f>STATS1003B!AA2136/1000</f>
        <v>495.34732000000002</v>
      </c>
      <c r="AB2132" s="69">
        <f>STATS1003B!AB2136/1000</f>
        <v>0</v>
      </c>
    </row>
    <row r="2133" spans="1:28" hidden="1" x14ac:dyDescent="0.3">
      <c r="A2133" s="117"/>
      <c r="C2133" s="93" t="s">
        <v>933</v>
      </c>
      <c r="D2133" s="90" t="s">
        <v>1072</v>
      </c>
      <c r="E2133" s="85">
        <f>STATS1003B!E2137/1000</f>
        <v>1307.8736999999999</v>
      </c>
      <c r="F2133" s="85">
        <f>STATS1003B!F2137/1000</f>
        <v>1307.8736999999999</v>
      </c>
      <c r="G2133" s="85">
        <f>STATS1003B!G2137/1000</f>
        <v>0</v>
      </c>
      <c r="H2133" s="85">
        <f>STATS1003B!H2137/1000</f>
        <v>1307.8736999999999</v>
      </c>
      <c r="I2133" s="85">
        <f>STATS1003B!I2137/1000</f>
        <v>0</v>
      </c>
      <c r="J2133" s="85">
        <f>STATS1003B!J2137/1000</f>
        <v>1307.8736999999999</v>
      </c>
      <c r="K2133" s="85">
        <f>STATS1003B!K2137/1000</f>
        <v>0</v>
      </c>
      <c r="L2133" s="85">
        <f>STATS1003B!L2137/1000</f>
        <v>0</v>
      </c>
      <c r="M2133" s="85">
        <f>STATS1003B!M2137/1000</f>
        <v>1307.8736999999999</v>
      </c>
      <c r="N2133" s="85">
        <f>STATS1003B!N2137/1000</f>
        <v>0</v>
      </c>
      <c r="O2133" s="85">
        <f>STATS1003B!O2137/1000</f>
        <v>0</v>
      </c>
      <c r="P2133" s="85">
        <f>STATS1003B!P2137/1000</f>
        <v>0</v>
      </c>
      <c r="Q2133" s="85">
        <f>STATS1003B!Q2137/1000</f>
        <v>1307.8736999999999</v>
      </c>
      <c r="R2133" s="85">
        <f>STATS1003B!R2137/1000</f>
        <v>0</v>
      </c>
      <c r="S2133" s="85">
        <f>STATS1003B!S2137/1000</f>
        <v>0</v>
      </c>
      <c r="T2133" s="85">
        <f>STATS1003B!T2137/1000</f>
        <v>0</v>
      </c>
      <c r="U2133" s="85">
        <f>STATS1003B!U2137/1000</f>
        <v>0</v>
      </c>
      <c r="V2133" s="85">
        <f>STATS1003B!V2137/1000</f>
        <v>0</v>
      </c>
      <c r="W2133" s="85">
        <f>STATS1003B!W2137/1000</f>
        <v>0</v>
      </c>
      <c r="X2133" s="85">
        <f t="shared" si="232"/>
        <v>1307.8736999999999</v>
      </c>
      <c r="Y2133" s="85">
        <f>STATS1003B!Y2137/1000</f>
        <v>0</v>
      </c>
      <c r="Z2133" s="85">
        <f>STATS1003B!Z2137/1000</f>
        <v>0</v>
      </c>
      <c r="AA2133" s="69">
        <f>STATS1003B!AA2137/1000</f>
        <v>1307.8736999999999</v>
      </c>
      <c r="AB2133" s="69">
        <f>STATS1003B!AB2137/1000</f>
        <v>0</v>
      </c>
    </row>
    <row r="2134" spans="1:28" hidden="1" x14ac:dyDescent="0.3">
      <c r="A2134" s="117"/>
      <c r="C2134" s="93" t="s">
        <v>1133</v>
      </c>
      <c r="D2134" s="90" t="s">
        <v>1126</v>
      </c>
      <c r="E2134" s="85">
        <f>STATS1003B!E2138/1000</f>
        <v>2000</v>
      </c>
      <c r="F2134" s="85">
        <f>STATS1003B!F2138/1000</f>
        <v>2000</v>
      </c>
      <c r="G2134" s="85">
        <f>STATS1003B!G2138/1000</f>
        <v>0</v>
      </c>
      <c r="H2134" s="85">
        <f>STATS1003B!H2138/1000</f>
        <v>2000</v>
      </c>
      <c r="I2134" s="85">
        <f>STATS1003B!I2138/1000</f>
        <v>0</v>
      </c>
      <c r="J2134" s="85">
        <f>STATS1003B!J2138/1000</f>
        <v>2000</v>
      </c>
      <c r="K2134" s="85">
        <f>STATS1003B!K2138/1000</f>
        <v>0</v>
      </c>
      <c r="L2134" s="85">
        <f>STATS1003B!L2138/1000</f>
        <v>0</v>
      </c>
      <c r="M2134" s="85">
        <f>STATS1003B!M2138/1000</f>
        <v>2000</v>
      </c>
      <c r="N2134" s="85">
        <f>STATS1003B!N2138/1000</f>
        <v>0</v>
      </c>
      <c r="O2134" s="85">
        <f>STATS1003B!O2138/1000</f>
        <v>0</v>
      </c>
      <c r="P2134" s="85">
        <f>STATS1003B!P2138/1000</f>
        <v>0</v>
      </c>
      <c r="Q2134" s="85">
        <f>STATS1003B!Q2138/1000</f>
        <v>0</v>
      </c>
      <c r="R2134" s="85">
        <f>STATS1003B!R2138/1000</f>
        <v>0</v>
      </c>
      <c r="S2134" s="85">
        <f>STATS1003B!S2138/1000</f>
        <v>0</v>
      </c>
      <c r="T2134" s="85">
        <f>STATS1003B!T2138/1000</f>
        <v>0</v>
      </c>
      <c r="U2134" s="85">
        <f>STATS1003B!U2138/1000</f>
        <v>0</v>
      </c>
      <c r="V2134" s="85">
        <f>STATS1003B!V2138/1000</f>
        <v>0</v>
      </c>
      <c r="W2134" s="85">
        <f>STATS1003B!W2138/1000</f>
        <v>0</v>
      </c>
      <c r="X2134" s="85">
        <f t="shared" si="232"/>
        <v>2000</v>
      </c>
      <c r="Y2134" s="85">
        <f>STATS1003B!Y2138/1000</f>
        <v>0</v>
      </c>
      <c r="Z2134" s="85">
        <f>STATS1003B!Z2138/1000</f>
        <v>0</v>
      </c>
      <c r="AA2134" s="69">
        <f>STATS1003B!AA2138/1000</f>
        <v>2000</v>
      </c>
      <c r="AB2134" s="69">
        <f>STATS1003B!AB2138/1000</f>
        <v>0</v>
      </c>
    </row>
    <row r="2135" spans="1:28" hidden="1" x14ac:dyDescent="0.3">
      <c r="A2135" s="117"/>
      <c r="C2135" s="68" t="s">
        <v>598</v>
      </c>
      <c r="E2135" s="85">
        <f>STATS1003B!E2139/1000</f>
        <v>874.39056999999991</v>
      </c>
      <c r="F2135" s="85">
        <f>STATS1003B!F2139/1000</f>
        <v>874.39056999999991</v>
      </c>
      <c r="G2135" s="85">
        <f>STATS1003B!G2139/1000</f>
        <v>0</v>
      </c>
      <c r="H2135" s="85">
        <f>STATS1003B!H2139/1000</f>
        <v>874.39056999999991</v>
      </c>
      <c r="I2135" s="85">
        <f>STATS1003B!I2139/1000</f>
        <v>0</v>
      </c>
      <c r="J2135" s="85">
        <f>STATS1003B!J2139/1000</f>
        <v>874.39056999999991</v>
      </c>
      <c r="K2135" s="85">
        <f>STATS1003B!K2139/1000</f>
        <v>0</v>
      </c>
      <c r="L2135" s="85">
        <f>STATS1003B!L2139/1000</f>
        <v>0</v>
      </c>
      <c r="M2135" s="85">
        <f>STATS1003B!M2139/1000</f>
        <v>874.39056999999991</v>
      </c>
      <c r="N2135" s="85">
        <f>STATS1003B!N2139/1000</f>
        <v>0</v>
      </c>
      <c r="O2135" s="85">
        <f>STATS1003B!O2139/1000</f>
        <v>0</v>
      </c>
      <c r="P2135" s="85">
        <f>STATS1003B!P2139/1000</f>
        <v>0</v>
      </c>
      <c r="Q2135" s="85">
        <f>STATS1003B!Q2139/1000</f>
        <v>874.39056999999991</v>
      </c>
      <c r="R2135" s="85">
        <f>STATS1003B!R2139/1000</f>
        <v>0</v>
      </c>
      <c r="S2135" s="85">
        <f>STATS1003B!S2139/1000</f>
        <v>0</v>
      </c>
      <c r="T2135" s="85">
        <f>STATS1003B!T2139/1000</f>
        <v>0</v>
      </c>
      <c r="U2135" s="85">
        <f>STATS1003B!U2139/1000</f>
        <v>0</v>
      </c>
      <c r="V2135" s="85">
        <f>STATS1003B!V2139/1000</f>
        <v>0</v>
      </c>
      <c r="W2135" s="85">
        <f>STATS1003B!W2139/1000</f>
        <v>0</v>
      </c>
      <c r="X2135" s="85">
        <f t="shared" si="232"/>
        <v>874.39056999999991</v>
      </c>
      <c r="Y2135" s="85">
        <f>STATS1003B!Y2139/1000</f>
        <v>0</v>
      </c>
      <c r="Z2135" s="85">
        <f>STATS1003B!Z2139/1000</f>
        <v>0</v>
      </c>
      <c r="AA2135" s="69">
        <f>STATS1003B!AA2139/1000</f>
        <v>874.39056999999991</v>
      </c>
      <c r="AB2135" s="69">
        <f>STATS1003B!AB2139/1000</f>
        <v>0</v>
      </c>
    </row>
    <row r="2136" spans="1:28" hidden="1" x14ac:dyDescent="0.3">
      <c r="A2136" s="117"/>
      <c r="C2136" s="68" t="s">
        <v>606</v>
      </c>
      <c r="E2136" s="85">
        <f>STATS1003B!E2140/1000</f>
        <v>5000</v>
      </c>
      <c r="F2136" s="85">
        <f>STATS1003B!F2140/1000</f>
        <v>5000</v>
      </c>
      <c r="G2136" s="85">
        <f>STATS1003B!G2140/1000</f>
        <v>0</v>
      </c>
      <c r="H2136" s="85">
        <f>STATS1003B!H2140/1000</f>
        <v>5000</v>
      </c>
      <c r="I2136" s="85">
        <f>STATS1003B!I2140/1000</f>
        <v>0</v>
      </c>
      <c r="J2136" s="85">
        <f>STATS1003B!J2140/1000</f>
        <v>5000</v>
      </c>
      <c r="K2136" s="85">
        <f>STATS1003B!K2140/1000</f>
        <v>0</v>
      </c>
      <c r="L2136" s="85">
        <f>STATS1003B!L2140/1000</f>
        <v>0</v>
      </c>
      <c r="M2136" s="85">
        <f>STATS1003B!M2140/1000</f>
        <v>5000</v>
      </c>
      <c r="N2136" s="85">
        <f>STATS1003B!N2140/1000</f>
        <v>0</v>
      </c>
      <c r="O2136" s="85">
        <f>STATS1003B!O2140/1000</f>
        <v>0</v>
      </c>
      <c r="P2136" s="85">
        <f>STATS1003B!P2140/1000</f>
        <v>0</v>
      </c>
      <c r="Q2136" s="85">
        <f>STATS1003B!Q2140/1000</f>
        <v>5000</v>
      </c>
      <c r="R2136" s="85">
        <f>STATS1003B!R2140/1000</f>
        <v>0</v>
      </c>
      <c r="S2136" s="85">
        <f>STATS1003B!S2140/1000</f>
        <v>0</v>
      </c>
      <c r="T2136" s="85">
        <f>STATS1003B!T2140/1000</f>
        <v>0</v>
      </c>
      <c r="U2136" s="85">
        <f>STATS1003B!U2140/1000</f>
        <v>0</v>
      </c>
      <c r="V2136" s="85">
        <f>STATS1003B!V2140/1000</f>
        <v>0</v>
      </c>
      <c r="W2136" s="85">
        <f>STATS1003B!W2140/1000</f>
        <v>0</v>
      </c>
      <c r="X2136" s="85">
        <f t="shared" si="232"/>
        <v>5000</v>
      </c>
      <c r="Y2136" s="85">
        <f>STATS1003B!Y2140/1000</f>
        <v>0</v>
      </c>
      <c r="Z2136" s="85">
        <f>STATS1003B!Z2140/1000</f>
        <v>0</v>
      </c>
      <c r="AA2136" s="69">
        <f>STATS1003B!AA2140/1000</f>
        <v>5000</v>
      </c>
      <c r="AB2136" s="69">
        <f>STATS1003B!AB2140/1000</f>
        <v>0</v>
      </c>
    </row>
    <row r="2137" spans="1:28" hidden="1" x14ac:dyDescent="0.3">
      <c r="A2137" s="117"/>
      <c r="E2137" s="86" t="s">
        <v>29</v>
      </c>
      <c r="F2137" s="86" t="s">
        <v>29</v>
      </c>
      <c r="G2137" s="86" t="s">
        <v>29</v>
      </c>
      <c r="H2137" s="86" t="s">
        <v>29</v>
      </c>
      <c r="I2137" s="86" t="s">
        <v>29</v>
      </c>
      <c r="J2137" s="86" t="s">
        <v>29</v>
      </c>
      <c r="K2137" s="86" t="s">
        <v>29</v>
      </c>
      <c r="L2137" s="86" t="s">
        <v>29</v>
      </c>
      <c r="M2137" s="86" t="s">
        <v>29</v>
      </c>
      <c r="N2137" s="86" t="s">
        <v>29</v>
      </c>
      <c r="O2137" s="86" t="s">
        <v>29</v>
      </c>
      <c r="P2137" s="86" t="s">
        <v>29</v>
      </c>
      <c r="Q2137" s="86" t="s">
        <v>29</v>
      </c>
      <c r="R2137" s="86" t="s">
        <v>29</v>
      </c>
      <c r="S2137" s="86" t="s">
        <v>29</v>
      </c>
      <c r="T2137" s="86" t="s">
        <v>29</v>
      </c>
      <c r="U2137" s="86" t="s">
        <v>29</v>
      </c>
      <c r="V2137" s="86" t="s">
        <v>29</v>
      </c>
      <c r="W2137" s="86" t="s">
        <v>29</v>
      </c>
      <c r="X2137" s="85" t="e">
        <f t="shared" si="232"/>
        <v>#VALUE!</v>
      </c>
      <c r="Y2137" s="86" t="s">
        <v>29</v>
      </c>
      <c r="Z2137" s="86" t="s">
        <v>29</v>
      </c>
      <c r="AA2137" s="115" t="s">
        <v>29</v>
      </c>
      <c r="AB2137" s="115" t="s">
        <v>29</v>
      </c>
    </row>
    <row r="2138" spans="1:28" x14ac:dyDescent="0.3">
      <c r="A2138" s="116">
        <v>93</v>
      </c>
      <c r="B2138" s="68" t="s">
        <v>803</v>
      </c>
      <c r="E2138" s="85">
        <f>160418468.86/1000</f>
        <v>160418.46886000002</v>
      </c>
      <c r="F2138" s="85">
        <f t="shared" ref="F2138:Q2138" si="233">SUM(F2115:F2137)</f>
        <v>73532.817539999989</v>
      </c>
      <c r="G2138" s="85">
        <f t="shared" si="233"/>
        <v>0</v>
      </c>
      <c r="H2138" s="85">
        <f>157214111.01/1000</f>
        <v>157214.11100999999</v>
      </c>
      <c r="I2138" s="85">
        <f t="shared" si="233"/>
        <v>0</v>
      </c>
      <c r="J2138" s="85">
        <f t="shared" si="233"/>
        <v>73532.817539999989</v>
      </c>
      <c r="K2138" s="85">
        <f t="shared" si="233"/>
        <v>2909.3346200000001</v>
      </c>
      <c r="L2138" s="85">
        <f t="shared" si="233"/>
        <v>0</v>
      </c>
      <c r="M2138" s="85">
        <f t="shared" si="233"/>
        <v>73532.817539999989</v>
      </c>
      <c r="N2138" s="85">
        <f t="shared" si="233"/>
        <v>2909.3346200000001</v>
      </c>
      <c r="O2138" s="85">
        <f t="shared" si="233"/>
        <v>0</v>
      </c>
      <c r="P2138" s="85">
        <f>2909334/1000</f>
        <v>2909.3339999999998</v>
      </c>
      <c r="Q2138" s="85">
        <f t="shared" si="233"/>
        <v>71827.840769999995</v>
      </c>
      <c r="R2138" s="84"/>
      <c r="S2138" s="84"/>
      <c r="T2138" s="85">
        <f t="shared" ref="T2138:Y2138" si="234">SUM(T2115:T2137)</f>
        <v>0</v>
      </c>
      <c r="U2138" s="85">
        <f t="shared" si="234"/>
        <v>2909.3346200000001</v>
      </c>
      <c r="V2138" s="85">
        <f t="shared" si="234"/>
        <v>0</v>
      </c>
      <c r="W2138" s="85">
        <f t="shared" si="234"/>
        <v>0</v>
      </c>
      <c r="X2138" s="85">
        <f>+H2138+P2138</f>
        <v>160123.44501</v>
      </c>
      <c r="Y2138" s="85">
        <f t="shared" si="234"/>
        <v>0</v>
      </c>
      <c r="Z2138" s="85">
        <f t="shared" ref="Z2138:Z2201" si="235">+E2138-X2138</f>
        <v>295.02385000002687</v>
      </c>
      <c r="AA2138" s="69">
        <f>SUM(AA2115:AA2137)</f>
        <v>76442.152159999998</v>
      </c>
      <c r="AB2138" s="69">
        <f>SUM(AB2115:AB2137)</f>
        <v>295.0232299999995</v>
      </c>
    </row>
    <row r="2139" spans="1:28" hidden="1" x14ac:dyDescent="0.3">
      <c r="A2139" s="117"/>
      <c r="E2139" s="86" t="s">
        <v>29</v>
      </c>
      <c r="F2139" s="86" t="s">
        <v>29</v>
      </c>
      <c r="G2139" s="86" t="s">
        <v>29</v>
      </c>
      <c r="H2139" s="86" t="s">
        <v>29</v>
      </c>
      <c r="I2139" s="86" t="s">
        <v>29</v>
      </c>
      <c r="J2139" s="86" t="s">
        <v>29</v>
      </c>
      <c r="K2139" s="86" t="s">
        <v>29</v>
      </c>
      <c r="L2139" s="86" t="s">
        <v>29</v>
      </c>
      <c r="M2139" s="86" t="s">
        <v>29</v>
      </c>
      <c r="N2139" s="86" t="s">
        <v>29</v>
      </c>
      <c r="O2139" s="86" t="s">
        <v>29</v>
      </c>
      <c r="P2139" s="86" t="s">
        <v>29</v>
      </c>
      <c r="Q2139" s="86" t="s">
        <v>29</v>
      </c>
      <c r="R2139" s="86" t="s">
        <v>29</v>
      </c>
      <c r="S2139" s="86" t="s">
        <v>29</v>
      </c>
      <c r="T2139" s="86" t="s">
        <v>29</v>
      </c>
      <c r="U2139" s="86" t="s">
        <v>29</v>
      </c>
      <c r="V2139" s="86" t="s">
        <v>29</v>
      </c>
      <c r="W2139" s="86" t="s">
        <v>29</v>
      </c>
      <c r="X2139" s="85" t="e">
        <f t="shared" si="232"/>
        <v>#VALUE!</v>
      </c>
      <c r="Y2139" s="86" t="s">
        <v>29</v>
      </c>
      <c r="Z2139" s="85" t="e">
        <f t="shared" si="235"/>
        <v>#VALUE!</v>
      </c>
      <c r="AA2139" s="115" t="s">
        <v>29</v>
      </c>
      <c r="AB2139" s="115" t="s">
        <v>29</v>
      </c>
    </row>
    <row r="2140" spans="1:28" hidden="1" x14ac:dyDescent="0.3">
      <c r="A2140" s="105"/>
      <c r="E2140" s="84"/>
      <c r="F2140" s="84"/>
      <c r="G2140" s="84"/>
      <c r="H2140" s="84"/>
      <c r="I2140" s="84"/>
      <c r="J2140" s="84"/>
      <c r="K2140" s="84"/>
      <c r="L2140" s="84"/>
      <c r="M2140" s="84"/>
      <c r="N2140" s="84"/>
      <c r="O2140" s="84"/>
      <c r="P2140" s="84"/>
      <c r="Q2140" s="84"/>
      <c r="R2140" s="84"/>
      <c r="S2140" s="84"/>
      <c r="T2140" s="84"/>
      <c r="U2140" s="84"/>
      <c r="V2140" s="84"/>
      <c r="W2140" s="84"/>
      <c r="X2140" s="85">
        <f t="shared" si="232"/>
        <v>0</v>
      </c>
      <c r="Y2140" s="84"/>
      <c r="Z2140" s="85">
        <f t="shared" si="235"/>
        <v>0</v>
      </c>
    </row>
    <row r="2141" spans="1:28" hidden="1" x14ac:dyDescent="0.3">
      <c r="A2141" s="117"/>
      <c r="C2141" s="68" t="s">
        <v>810</v>
      </c>
      <c r="D2141" s="145" t="s">
        <v>811</v>
      </c>
      <c r="E2141" s="85">
        <f>STATS1003B!E2145/1000</f>
        <v>1260</v>
      </c>
      <c r="F2141" s="85">
        <f>STATS1003B!F2145/1000</f>
        <v>1260</v>
      </c>
      <c r="G2141" s="85">
        <f>STATS1003B!G2145/1000</f>
        <v>0</v>
      </c>
      <c r="H2141" s="85">
        <f>STATS1003B!H2145/1000</f>
        <v>1260</v>
      </c>
      <c r="I2141" s="85">
        <f>STATS1003B!I2145/1000</f>
        <v>0</v>
      </c>
      <c r="J2141" s="85">
        <f>STATS1003B!J2145/1000</f>
        <v>1260</v>
      </c>
      <c r="K2141" s="85">
        <f>STATS1003B!K2145/1000</f>
        <v>0</v>
      </c>
      <c r="L2141" s="85">
        <f>STATS1003B!L2145/1000</f>
        <v>0</v>
      </c>
      <c r="M2141" s="85">
        <f>STATS1003B!M2145/1000</f>
        <v>1260</v>
      </c>
      <c r="N2141" s="85">
        <f>STATS1003B!N2145/1000</f>
        <v>0</v>
      </c>
      <c r="O2141" s="85">
        <f>STATS1003B!O2145/1000</f>
        <v>0</v>
      </c>
      <c r="P2141" s="85">
        <f>STATS1003B!P2145/1000</f>
        <v>0</v>
      </c>
      <c r="Q2141" s="85">
        <f>STATS1003B!Q2145/1000</f>
        <v>1260</v>
      </c>
      <c r="R2141" s="85">
        <f>STATS1003B!R2145/1000</f>
        <v>0</v>
      </c>
      <c r="S2141" s="85">
        <f>STATS1003B!S2145/1000</f>
        <v>0</v>
      </c>
      <c r="T2141" s="85">
        <f>STATS1003B!T2145/1000</f>
        <v>0</v>
      </c>
      <c r="U2141" s="85">
        <f>STATS1003B!U2145/1000</f>
        <v>0</v>
      </c>
      <c r="V2141" s="85">
        <f>STATS1003B!V2145/1000</f>
        <v>0</v>
      </c>
      <c r="W2141" s="85">
        <f>STATS1003B!W2145/1000</f>
        <v>0</v>
      </c>
      <c r="X2141" s="85">
        <f t="shared" si="232"/>
        <v>1260</v>
      </c>
      <c r="Y2141" s="85">
        <f>STATS1003B!Y2145/1000</f>
        <v>0</v>
      </c>
      <c r="Z2141" s="85">
        <f t="shared" si="235"/>
        <v>0</v>
      </c>
      <c r="AA2141" s="69">
        <f>STATS1003B!AA2145/1000</f>
        <v>1260</v>
      </c>
      <c r="AB2141" s="69">
        <f>STATS1003B!AB2145/1000</f>
        <v>0</v>
      </c>
    </row>
    <row r="2142" spans="1:28" hidden="1" x14ac:dyDescent="0.3">
      <c r="A2142" s="117"/>
      <c r="C2142" s="68" t="s">
        <v>535</v>
      </c>
      <c r="D2142" s="145" t="s">
        <v>68</v>
      </c>
      <c r="E2142" s="85">
        <f>STATS1003B!E2146/1000</f>
        <v>671.28751999999997</v>
      </c>
      <c r="F2142" s="85">
        <f>STATS1003B!F2146/1000</f>
        <v>648.79088999999999</v>
      </c>
      <c r="G2142" s="85">
        <f>STATS1003B!G2146/1000</f>
        <v>0</v>
      </c>
      <c r="H2142" s="85">
        <f>STATS1003B!H2146/1000</f>
        <v>648.79088999999999</v>
      </c>
      <c r="I2142" s="85">
        <f>STATS1003B!I2146/1000</f>
        <v>0</v>
      </c>
      <c r="J2142" s="85">
        <f>STATS1003B!J2146/1000</f>
        <v>648.79088999999999</v>
      </c>
      <c r="K2142" s="85">
        <f>STATS1003B!K2146/1000</f>
        <v>22.49663</v>
      </c>
      <c r="L2142" s="85">
        <f>STATS1003B!L2146/1000</f>
        <v>0</v>
      </c>
      <c r="M2142" s="85">
        <f>STATS1003B!M2146/1000</f>
        <v>648.79088999999999</v>
      </c>
      <c r="N2142" s="85">
        <f>STATS1003B!N2146/1000</f>
        <v>22.49663</v>
      </c>
      <c r="O2142" s="85">
        <f>STATS1003B!O2146/1000</f>
        <v>0</v>
      </c>
      <c r="P2142" s="85">
        <f>STATS1003B!P2146/1000</f>
        <v>22.49663</v>
      </c>
      <c r="Q2142" s="85">
        <f>STATS1003B!Q2146/1000</f>
        <v>648.79088999999999</v>
      </c>
      <c r="R2142" s="85">
        <f>STATS1003B!R2146/1000</f>
        <v>0</v>
      </c>
      <c r="S2142" s="85">
        <f>STATS1003B!S2146/1000</f>
        <v>0</v>
      </c>
      <c r="T2142" s="85">
        <f>STATS1003B!T2146/1000</f>
        <v>0</v>
      </c>
      <c r="U2142" s="85">
        <f>STATS1003B!U2146/1000</f>
        <v>22.49663</v>
      </c>
      <c r="V2142" s="85">
        <f>STATS1003B!V2146/1000</f>
        <v>0</v>
      </c>
      <c r="W2142" s="85">
        <f>STATS1003B!W2146/1000</f>
        <v>0</v>
      </c>
      <c r="X2142" s="85">
        <f t="shared" si="232"/>
        <v>671.28751999999997</v>
      </c>
      <c r="Y2142" s="85">
        <f>STATS1003B!Y2146/1000</f>
        <v>0</v>
      </c>
      <c r="Z2142" s="85">
        <f t="shared" si="235"/>
        <v>0</v>
      </c>
      <c r="AA2142" s="69">
        <f>STATS1003B!AA2146/1000</f>
        <v>671.28751999999997</v>
      </c>
      <c r="AB2142" s="69">
        <f>STATS1003B!AB2146/1000</f>
        <v>0</v>
      </c>
    </row>
    <row r="2143" spans="1:28" hidden="1" x14ac:dyDescent="0.3">
      <c r="A2143" s="117"/>
      <c r="C2143" s="68" t="s">
        <v>535</v>
      </c>
      <c r="D2143" s="145" t="s">
        <v>54</v>
      </c>
      <c r="E2143" s="85">
        <f>STATS1003B!E2147/1000</f>
        <v>982.98</v>
      </c>
      <c r="F2143" s="85">
        <f>STATS1003B!F2147/1000</f>
        <v>982.98</v>
      </c>
      <c r="G2143" s="85">
        <f>STATS1003B!G2147/1000</f>
        <v>0</v>
      </c>
      <c r="H2143" s="85">
        <f>STATS1003B!H2147/1000</f>
        <v>982.98</v>
      </c>
      <c r="I2143" s="85">
        <f>STATS1003B!I2147/1000</f>
        <v>0</v>
      </c>
      <c r="J2143" s="85">
        <f>STATS1003B!J2147/1000</f>
        <v>982.98</v>
      </c>
      <c r="K2143" s="85">
        <f>STATS1003B!K2147/1000</f>
        <v>0</v>
      </c>
      <c r="L2143" s="85">
        <f>STATS1003B!L2147/1000</f>
        <v>0</v>
      </c>
      <c r="M2143" s="85">
        <f>STATS1003B!M2147/1000</f>
        <v>982.98</v>
      </c>
      <c r="N2143" s="85">
        <f>STATS1003B!N2147/1000</f>
        <v>0</v>
      </c>
      <c r="O2143" s="85">
        <f>STATS1003B!O2147/1000</f>
        <v>0</v>
      </c>
      <c r="P2143" s="85">
        <f>STATS1003B!P2147/1000</f>
        <v>0</v>
      </c>
      <c r="Q2143" s="85">
        <f>STATS1003B!Q2147/1000</f>
        <v>982.98</v>
      </c>
      <c r="R2143" s="85">
        <f>STATS1003B!R2147/1000</f>
        <v>0</v>
      </c>
      <c r="S2143" s="85">
        <f>STATS1003B!S2147/1000</f>
        <v>0</v>
      </c>
      <c r="T2143" s="85">
        <f>STATS1003B!T2147/1000</f>
        <v>0</v>
      </c>
      <c r="U2143" s="85">
        <f>STATS1003B!U2147/1000</f>
        <v>0</v>
      </c>
      <c r="V2143" s="85">
        <f>STATS1003B!V2147/1000</f>
        <v>0</v>
      </c>
      <c r="W2143" s="85">
        <f>STATS1003B!W2147/1000</f>
        <v>0</v>
      </c>
      <c r="X2143" s="85">
        <f t="shared" si="232"/>
        <v>982.98</v>
      </c>
      <c r="Y2143" s="85">
        <f>STATS1003B!Y2147/1000</f>
        <v>0</v>
      </c>
      <c r="Z2143" s="85">
        <f t="shared" si="235"/>
        <v>0</v>
      </c>
      <c r="AA2143" s="69">
        <f>STATS1003B!AA2147/1000</f>
        <v>982.98</v>
      </c>
      <c r="AB2143" s="69">
        <f>STATS1003B!AB2147/1000</f>
        <v>0</v>
      </c>
    </row>
    <row r="2144" spans="1:28" hidden="1" x14ac:dyDescent="0.3">
      <c r="A2144" s="117"/>
      <c r="C2144" s="68" t="s">
        <v>545</v>
      </c>
      <c r="D2144" s="145" t="s">
        <v>54</v>
      </c>
      <c r="E2144" s="85">
        <f>STATS1003B!E2148/1000</f>
        <v>1953.989</v>
      </c>
      <c r="F2144" s="85">
        <f>STATS1003B!F2148/1000</f>
        <v>0</v>
      </c>
      <c r="G2144" s="85">
        <f>STATS1003B!G2148/1000</f>
        <v>0</v>
      </c>
      <c r="H2144" s="85">
        <f>STATS1003B!H2148/1000</f>
        <v>0</v>
      </c>
      <c r="I2144" s="85">
        <f>STATS1003B!I2148/1000</f>
        <v>0</v>
      </c>
      <c r="J2144" s="85">
        <f>STATS1003B!J2148/1000</f>
        <v>0</v>
      </c>
      <c r="K2144" s="85">
        <f>STATS1003B!K2148/1000</f>
        <v>1953.989</v>
      </c>
      <c r="L2144" s="85">
        <f>STATS1003B!L2148/1000</f>
        <v>0</v>
      </c>
      <c r="M2144" s="85">
        <f>STATS1003B!M2148/1000</f>
        <v>0</v>
      </c>
      <c r="N2144" s="85">
        <f>STATS1003B!N2148/1000</f>
        <v>1953.989</v>
      </c>
      <c r="O2144" s="85">
        <f>STATS1003B!O2148/1000</f>
        <v>0</v>
      </c>
      <c r="P2144" s="85">
        <f>STATS1003B!P2148/1000</f>
        <v>1953.989</v>
      </c>
      <c r="Q2144" s="85">
        <f>STATS1003B!Q2148/1000</f>
        <v>0</v>
      </c>
      <c r="R2144" s="85">
        <f>STATS1003B!R2148/1000</f>
        <v>0</v>
      </c>
      <c r="S2144" s="85">
        <f>STATS1003B!S2148/1000</f>
        <v>0</v>
      </c>
      <c r="T2144" s="85">
        <f>STATS1003B!T2148/1000</f>
        <v>0</v>
      </c>
      <c r="U2144" s="85">
        <f>STATS1003B!U2148/1000</f>
        <v>1953.989</v>
      </c>
      <c r="V2144" s="85">
        <f>STATS1003B!V2148/1000</f>
        <v>0</v>
      </c>
      <c r="W2144" s="85">
        <f>STATS1003B!W2148/1000</f>
        <v>0</v>
      </c>
      <c r="X2144" s="85">
        <f t="shared" si="232"/>
        <v>1953.989</v>
      </c>
      <c r="Y2144" s="85">
        <f>STATS1003B!Y2148/1000</f>
        <v>0</v>
      </c>
      <c r="Z2144" s="85">
        <f t="shared" si="235"/>
        <v>0</v>
      </c>
      <c r="AA2144" s="69">
        <f>STATS1003B!AA2148/1000</f>
        <v>1953.989</v>
      </c>
      <c r="AB2144" s="69">
        <f>STATS1003B!AB2148/1000</f>
        <v>0</v>
      </c>
    </row>
    <row r="2145" spans="1:28" hidden="1" x14ac:dyDescent="0.3">
      <c r="A2145" s="117"/>
      <c r="C2145" s="68" t="s">
        <v>812</v>
      </c>
      <c r="D2145" s="145" t="s">
        <v>54</v>
      </c>
      <c r="E2145" s="85">
        <f>STATS1003B!E2149/1000</f>
        <v>2137.5</v>
      </c>
      <c r="F2145" s="85">
        <f>STATS1003B!F2149/1000</f>
        <v>2137.5</v>
      </c>
      <c r="G2145" s="85">
        <f>STATS1003B!G2149/1000</f>
        <v>0</v>
      </c>
      <c r="H2145" s="85">
        <f>STATS1003B!H2149/1000</f>
        <v>2137.5</v>
      </c>
      <c r="I2145" s="85">
        <f>STATS1003B!I2149/1000</f>
        <v>0</v>
      </c>
      <c r="J2145" s="85">
        <f>STATS1003B!J2149/1000</f>
        <v>2137.5</v>
      </c>
      <c r="K2145" s="85">
        <f>STATS1003B!K2149/1000</f>
        <v>0</v>
      </c>
      <c r="L2145" s="85">
        <f>STATS1003B!L2149/1000</f>
        <v>0</v>
      </c>
      <c r="M2145" s="85">
        <f>STATS1003B!M2149/1000</f>
        <v>2137.5</v>
      </c>
      <c r="N2145" s="85">
        <f>STATS1003B!N2149/1000</f>
        <v>0</v>
      </c>
      <c r="O2145" s="85">
        <f>STATS1003B!O2149/1000</f>
        <v>0</v>
      </c>
      <c r="P2145" s="85">
        <f>STATS1003B!P2149/1000</f>
        <v>0</v>
      </c>
      <c r="Q2145" s="85">
        <f>STATS1003B!Q2149/1000</f>
        <v>2137.5</v>
      </c>
      <c r="R2145" s="85">
        <f>STATS1003B!R2149/1000</f>
        <v>0</v>
      </c>
      <c r="S2145" s="85">
        <f>STATS1003B!S2149/1000</f>
        <v>0</v>
      </c>
      <c r="T2145" s="85">
        <f>STATS1003B!T2149/1000</f>
        <v>0</v>
      </c>
      <c r="U2145" s="85">
        <f>STATS1003B!U2149/1000</f>
        <v>0</v>
      </c>
      <c r="V2145" s="85">
        <f>STATS1003B!V2149/1000</f>
        <v>0</v>
      </c>
      <c r="W2145" s="85">
        <f>STATS1003B!W2149/1000</f>
        <v>0</v>
      </c>
      <c r="X2145" s="85">
        <f t="shared" si="232"/>
        <v>2137.5</v>
      </c>
      <c r="Y2145" s="85">
        <f>STATS1003B!Y2149/1000</f>
        <v>0</v>
      </c>
      <c r="Z2145" s="85">
        <f t="shared" si="235"/>
        <v>0</v>
      </c>
      <c r="AA2145" s="69">
        <f>STATS1003B!AA2149/1000</f>
        <v>2137.5</v>
      </c>
      <c r="AB2145" s="69">
        <f>STATS1003B!AB2149/1000</f>
        <v>0</v>
      </c>
    </row>
    <row r="2146" spans="1:28" hidden="1" x14ac:dyDescent="0.3">
      <c r="A2146" s="117"/>
      <c r="C2146" s="68" t="s">
        <v>535</v>
      </c>
      <c r="D2146" s="145" t="s">
        <v>85</v>
      </c>
      <c r="E2146" s="85">
        <f>STATS1003B!E2150/1000</f>
        <v>956.27599999999995</v>
      </c>
      <c r="F2146" s="85">
        <f>STATS1003B!F2150/1000</f>
        <v>956.27599999999995</v>
      </c>
      <c r="G2146" s="85">
        <f>STATS1003B!G2150/1000</f>
        <v>0</v>
      </c>
      <c r="H2146" s="85">
        <f>STATS1003B!H2150/1000</f>
        <v>956.27599999999995</v>
      </c>
      <c r="I2146" s="85">
        <f>STATS1003B!I2150/1000</f>
        <v>0</v>
      </c>
      <c r="J2146" s="85">
        <f>STATS1003B!J2150/1000</f>
        <v>956.27599999999995</v>
      </c>
      <c r="K2146" s="85">
        <f>STATS1003B!K2150/1000</f>
        <v>0</v>
      </c>
      <c r="L2146" s="85">
        <f>STATS1003B!L2150/1000</f>
        <v>0</v>
      </c>
      <c r="M2146" s="85">
        <f>STATS1003B!M2150/1000</f>
        <v>956.27599999999995</v>
      </c>
      <c r="N2146" s="85">
        <f>STATS1003B!N2150/1000</f>
        <v>0</v>
      </c>
      <c r="O2146" s="85">
        <f>STATS1003B!O2150/1000</f>
        <v>0</v>
      </c>
      <c r="P2146" s="85">
        <f>STATS1003B!P2150/1000</f>
        <v>0</v>
      </c>
      <c r="Q2146" s="85">
        <f>STATS1003B!Q2150/1000</f>
        <v>956.27599999999995</v>
      </c>
      <c r="R2146" s="85">
        <f>STATS1003B!R2150/1000</f>
        <v>0</v>
      </c>
      <c r="S2146" s="85">
        <f>STATS1003B!S2150/1000</f>
        <v>0</v>
      </c>
      <c r="T2146" s="85">
        <f>STATS1003B!T2150/1000</f>
        <v>0</v>
      </c>
      <c r="U2146" s="85">
        <f>STATS1003B!U2150/1000</f>
        <v>0</v>
      </c>
      <c r="V2146" s="85">
        <f>STATS1003B!V2150/1000</f>
        <v>0</v>
      </c>
      <c r="W2146" s="85">
        <f>STATS1003B!W2150/1000</f>
        <v>0</v>
      </c>
      <c r="X2146" s="85">
        <f t="shared" si="232"/>
        <v>956.27599999999995</v>
      </c>
      <c r="Y2146" s="85">
        <f>STATS1003B!Y2150/1000</f>
        <v>0</v>
      </c>
      <c r="Z2146" s="85">
        <f t="shared" si="235"/>
        <v>0</v>
      </c>
      <c r="AA2146" s="69">
        <f>STATS1003B!AA2150/1000</f>
        <v>956.27599999999995</v>
      </c>
      <c r="AB2146" s="69">
        <f>STATS1003B!AB2150/1000</f>
        <v>0</v>
      </c>
    </row>
    <row r="2147" spans="1:28" hidden="1" x14ac:dyDescent="0.3">
      <c r="A2147" s="117"/>
      <c r="C2147" s="68" t="s">
        <v>813</v>
      </c>
      <c r="D2147" s="145" t="s">
        <v>85</v>
      </c>
      <c r="E2147" s="85">
        <f>STATS1003B!E2151/1000</f>
        <v>800</v>
      </c>
      <c r="F2147" s="85">
        <f>STATS1003B!F2151/1000</f>
        <v>800</v>
      </c>
      <c r="G2147" s="85">
        <f>STATS1003B!G2151/1000</f>
        <v>0</v>
      </c>
      <c r="H2147" s="85">
        <f>STATS1003B!H2151/1000</f>
        <v>800</v>
      </c>
      <c r="I2147" s="85">
        <f>STATS1003B!I2151/1000</f>
        <v>0</v>
      </c>
      <c r="J2147" s="85">
        <f>STATS1003B!J2151/1000</f>
        <v>800</v>
      </c>
      <c r="K2147" s="85">
        <f>STATS1003B!K2151/1000</f>
        <v>0</v>
      </c>
      <c r="L2147" s="85">
        <f>STATS1003B!L2151/1000</f>
        <v>0</v>
      </c>
      <c r="M2147" s="85">
        <f>STATS1003B!M2151/1000</f>
        <v>800</v>
      </c>
      <c r="N2147" s="85">
        <f>STATS1003B!N2151/1000</f>
        <v>0</v>
      </c>
      <c r="O2147" s="85">
        <f>STATS1003B!O2151/1000</f>
        <v>0</v>
      </c>
      <c r="P2147" s="85">
        <f>STATS1003B!P2151/1000</f>
        <v>0</v>
      </c>
      <c r="Q2147" s="85">
        <f>STATS1003B!Q2151/1000</f>
        <v>800</v>
      </c>
      <c r="R2147" s="85">
        <f>STATS1003B!R2151/1000</f>
        <v>0</v>
      </c>
      <c r="S2147" s="85">
        <f>STATS1003B!S2151/1000</f>
        <v>0</v>
      </c>
      <c r="T2147" s="85">
        <f>STATS1003B!T2151/1000</f>
        <v>0</v>
      </c>
      <c r="U2147" s="85">
        <f>STATS1003B!U2151/1000</f>
        <v>0</v>
      </c>
      <c r="V2147" s="85">
        <f>STATS1003B!V2151/1000</f>
        <v>0</v>
      </c>
      <c r="W2147" s="85">
        <f>STATS1003B!W2151/1000</f>
        <v>0</v>
      </c>
      <c r="X2147" s="85">
        <f t="shared" si="232"/>
        <v>800</v>
      </c>
      <c r="Y2147" s="85">
        <f>STATS1003B!Y2151/1000</f>
        <v>0</v>
      </c>
      <c r="Z2147" s="85">
        <f t="shared" si="235"/>
        <v>0</v>
      </c>
      <c r="AA2147" s="69">
        <f>STATS1003B!AA2151/1000</f>
        <v>800</v>
      </c>
      <c r="AB2147" s="69">
        <f>STATS1003B!AB2151/1000</f>
        <v>0</v>
      </c>
    </row>
    <row r="2148" spans="1:28" hidden="1" x14ac:dyDescent="0.3">
      <c r="A2148" s="117"/>
      <c r="C2148" s="68" t="s">
        <v>727</v>
      </c>
      <c r="D2148" s="145" t="s">
        <v>85</v>
      </c>
      <c r="E2148" s="85">
        <f>STATS1003B!E2152/1000</f>
        <v>240</v>
      </c>
      <c r="F2148" s="85">
        <f>STATS1003B!F2152/1000</f>
        <v>240</v>
      </c>
      <c r="G2148" s="85">
        <f>STATS1003B!G2152/1000</f>
        <v>0</v>
      </c>
      <c r="H2148" s="85">
        <f>STATS1003B!H2152/1000</f>
        <v>240</v>
      </c>
      <c r="I2148" s="85">
        <f>STATS1003B!I2152/1000</f>
        <v>0</v>
      </c>
      <c r="J2148" s="85">
        <f>STATS1003B!J2152/1000</f>
        <v>240</v>
      </c>
      <c r="K2148" s="85">
        <f>STATS1003B!K2152/1000</f>
        <v>0</v>
      </c>
      <c r="L2148" s="85">
        <f>STATS1003B!L2152/1000</f>
        <v>0</v>
      </c>
      <c r="M2148" s="85">
        <f>STATS1003B!M2152/1000</f>
        <v>240</v>
      </c>
      <c r="N2148" s="85">
        <f>STATS1003B!N2152/1000</f>
        <v>0</v>
      </c>
      <c r="O2148" s="85">
        <f>STATS1003B!O2152/1000</f>
        <v>0</v>
      </c>
      <c r="P2148" s="85">
        <f>STATS1003B!P2152/1000</f>
        <v>0</v>
      </c>
      <c r="Q2148" s="85">
        <f>STATS1003B!Q2152/1000</f>
        <v>240</v>
      </c>
      <c r="R2148" s="85">
        <f>STATS1003B!R2152/1000</f>
        <v>0</v>
      </c>
      <c r="S2148" s="85">
        <f>STATS1003B!S2152/1000</f>
        <v>0</v>
      </c>
      <c r="T2148" s="85">
        <f>STATS1003B!T2152/1000</f>
        <v>0</v>
      </c>
      <c r="U2148" s="85">
        <f>STATS1003B!U2152/1000</f>
        <v>0</v>
      </c>
      <c r="V2148" s="85">
        <f>STATS1003B!V2152/1000</f>
        <v>0</v>
      </c>
      <c r="W2148" s="85">
        <f>STATS1003B!W2152/1000</f>
        <v>0</v>
      </c>
      <c r="X2148" s="85">
        <f t="shared" si="232"/>
        <v>240</v>
      </c>
      <c r="Y2148" s="85">
        <f>STATS1003B!Y2152/1000</f>
        <v>0</v>
      </c>
      <c r="Z2148" s="85">
        <f t="shared" si="235"/>
        <v>0</v>
      </c>
      <c r="AA2148" s="69">
        <f>STATS1003B!AA2152/1000</f>
        <v>240</v>
      </c>
      <c r="AB2148" s="69">
        <f>STATS1003B!AB2152/1000</f>
        <v>0</v>
      </c>
    </row>
    <row r="2149" spans="1:28" hidden="1" x14ac:dyDescent="0.3">
      <c r="A2149" s="117"/>
      <c r="C2149" s="68" t="s">
        <v>814</v>
      </c>
      <c r="D2149" s="145" t="s">
        <v>85</v>
      </c>
      <c r="E2149" s="85">
        <f>STATS1003B!E2153/1000</f>
        <v>400</v>
      </c>
      <c r="F2149" s="85">
        <f>STATS1003B!F2153/1000</f>
        <v>0</v>
      </c>
      <c r="G2149" s="85">
        <f>STATS1003B!G2153/1000</f>
        <v>0</v>
      </c>
      <c r="H2149" s="85">
        <f>STATS1003B!H2153/1000</f>
        <v>0</v>
      </c>
      <c r="I2149" s="85">
        <f>STATS1003B!I2153/1000</f>
        <v>400</v>
      </c>
      <c r="J2149" s="85">
        <f>STATS1003B!J2153/1000</f>
        <v>400</v>
      </c>
      <c r="K2149" s="85">
        <f>STATS1003B!K2153/1000</f>
        <v>0</v>
      </c>
      <c r="L2149" s="85">
        <f>STATS1003B!L2153/1000</f>
        <v>400</v>
      </c>
      <c r="M2149" s="85">
        <f>STATS1003B!M2153/1000</f>
        <v>400</v>
      </c>
      <c r="N2149" s="85">
        <f>STATS1003B!N2153/1000</f>
        <v>0</v>
      </c>
      <c r="O2149" s="85">
        <f>STATS1003B!O2153/1000</f>
        <v>0</v>
      </c>
      <c r="P2149" s="85">
        <f>STATS1003B!P2153/1000</f>
        <v>0</v>
      </c>
      <c r="Q2149" s="85">
        <f>STATS1003B!Q2153/1000</f>
        <v>400</v>
      </c>
      <c r="R2149" s="85">
        <f>STATS1003B!R2153/1000</f>
        <v>0</v>
      </c>
      <c r="S2149" s="85">
        <f>STATS1003B!S2153/1000</f>
        <v>0</v>
      </c>
      <c r="T2149" s="85">
        <f>STATS1003B!T2153/1000</f>
        <v>0</v>
      </c>
      <c r="U2149" s="85">
        <f>STATS1003B!U2153/1000</f>
        <v>0</v>
      </c>
      <c r="V2149" s="85">
        <f>STATS1003B!V2153/1000</f>
        <v>0</v>
      </c>
      <c r="W2149" s="85">
        <f>STATS1003B!W2153/1000</f>
        <v>0</v>
      </c>
      <c r="X2149" s="85">
        <f t="shared" si="232"/>
        <v>0</v>
      </c>
      <c r="Y2149" s="85">
        <f>STATS1003B!Y2153/1000</f>
        <v>0</v>
      </c>
      <c r="Z2149" s="85">
        <f t="shared" si="235"/>
        <v>400</v>
      </c>
      <c r="AA2149" s="69">
        <f>STATS1003B!AA2153/1000</f>
        <v>400</v>
      </c>
      <c r="AB2149" s="69">
        <f>STATS1003B!AB2153/1000</f>
        <v>0</v>
      </c>
    </row>
    <row r="2150" spans="1:28" hidden="1" x14ac:dyDescent="0.3">
      <c r="A2150" s="117"/>
      <c r="B2150" s="68" t="s">
        <v>546</v>
      </c>
      <c r="C2150" s="68" t="s">
        <v>815</v>
      </c>
      <c r="D2150" s="88" t="s">
        <v>128</v>
      </c>
      <c r="E2150" s="85">
        <f>STATS1003B!E2154/1000</f>
        <v>0</v>
      </c>
      <c r="F2150" s="85">
        <f>STATS1003B!F2154/1000</f>
        <v>0</v>
      </c>
      <c r="G2150" s="85">
        <f>STATS1003B!G2154/1000</f>
        <v>0</v>
      </c>
      <c r="H2150" s="85">
        <f>STATS1003B!H2154/1000</f>
        <v>0</v>
      </c>
      <c r="I2150" s="85">
        <f>STATS1003B!I2154/1000</f>
        <v>0</v>
      </c>
      <c r="J2150" s="85">
        <f>STATS1003B!J2154/1000</f>
        <v>0</v>
      </c>
      <c r="K2150" s="85">
        <f>STATS1003B!K2154/1000</f>
        <v>0</v>
      </c>
      <c r="L2150" s="85">
        <f>STATS1003B!L2154/1000</f>
        <v>0</v>
      </c>
      <c r="M2150" s="85">
        <f>STATS1003B!M2154/1000</f>
        <v>0</v>
      </c>
      <c r="N2150" s="85">
        <f>STATS1003B!N2154/1000</f>
        <v>0</v>
      </c>
      <c r="O2150" s="85">
        <f>STATS1003B!O2154/1000</f>
        <v>0</v>
      </c>
      <c r="P2150" s="85">
        <f>STATS1003B!P2154/1000</f>
        <v>0</v>
      </c>
      <c r="Q2150" s="85">
        <f>STATS1003B!Q2154/1000</f>
        <v>0</v>
      </c>
      <c r="R2150" s="85">
        <f>STATS1003B!R2154/1000</f>
        <v>0</v>
      </c>
      <c r="S2150" s="85">
        <f>STATS1003B!S2154/1000</f>
        <v>0</v>
      </c>
      <c r="T2150" s="85">
        <f>STATS1003B!T2154/1000</f>
        <v>0</v>
      </c>
      <c r="U2150" s="85">
        <f>STATS1003B!U2154/1000</f>
        <v>0</v>
      </c>
      <c r="V2150" s="85">
        <f>STATS1003B!V2154/1000</f>
        <v>0</v>
      </c>
      <c r="W2150" s="85">
        <f>STATS1003B!W2154/1000</f>
        <v>0</v>
      </c>
      <c r="X2150" s="85">
        <f t="shared" si="232"/>
        <v>0</v>
      </c>
      <c r="Y2150" s="85">
        <f>STATS1003B!Y2154/1000</f>
        <v>0</v>
      </c>
      <c r="Z2150" s="85">
        <f t="shared" si="235"/>
        <v>0</v>
      </c>
      <c r="AA2150" s="69">
        <f>STATS1003B!AA2154/1000</f>
        <v>0</v>
      </c>
      <c r="AB2150" s="69">
        <f>STATS1003B!AB2154/1000</f>
        <v>0</v>
      </c>
    </row>
    <row r="2151" spans="1:28" hidden="1" x14ac:dyDescent="0.3">
      <c r="A2151" s="117"/>
      <c r="C2151" s="68" t="s">
        <v>535</v>
      </c>
      <c r="D2151" s="145" t="s">
        <v>88</v>
      </c>
      <c r="E2151" s="85">
        <f>STATS1003B!E2155/1000</f>
        <v>3755.377</v>
      </c>
      <c r="F2151" s="85">
        <f>STATS1003B!F2155/1000</f>
        <v>3755.377</v>
      </c>
      <c r="G2151" s="85">
        <f>STATS1003B!G2155/1000</f>
        <v>0</v>
      </c>
      <c r="H2151" s="85">
        <f>STATS1003B!H2155/1000</f>
        <v>3755.377</v>
      </c>
      <c r="I2151" s="85">
        <f>STATS1003B!I2155/1000</f>
        <v>0</v>
      </c>
      <c r="J2151" s="85">
        <f>STATS1003B!J2155/1000</f>
        <v>3755.377</v>
      </c>
      <c r="K2151" s="85">
        <f>STATS1003B!K2155/1000</f>
        <v>0</v>
      </c>
      <c r="L2151" s="85">
        <f>STATS1003B!L2155/1000</f>
        <v>0</v>
      </c>
      <c r="M2151" s="85">
        <f>STATS1003B!M2155/1000</f>
        <v>3755.377</v>
      </c>
      <c r="N2151" s="85">
        <f>STATS1003B!N2155/1000</f>
        <v>0</v>
      </c>
      <c r="O2151" s="85">
        <f>STATS1003B!O2155/1000</f>
        <v>0</v>
      </c>
      <c r="P2151" s="85">
        <f>STATS1003B!P2155/1000</f>
        <v>0</v>
      </c>
      <c r="Q2151" s="85">
        <f>STATS1003B!Q2155/1000</f>
        <v>3755.377</v>
      </c>
      <c r="R2151" s="85">
        <f>STATS1003B!R2155/1000</f>
        <v>0</v>
      </c>
      <c r="S2151" s="85">
        <f>STATS1003B!S2155/1000</f>
        <v>0</v>
      </c>
      <c r="T2151" s="85">
        <f>STATS1003B!T2155/1000</f>
        <v>0</v>
      </c>
      <c r="U2151" s="85">
        <f>STATS1003B!U2155/1000</f>
        <v>0</v>
      </c>
      <c r="V2151" s="85">
        <f>STATS1003B!V2155/1000</f>
        <v>0</v>
      </c>
      <c r="W2151" s="85">
        <f>STATS1003B!W2155/1000</f>
        <v>0</v>
      </c>
      <c r="X2151" s="85">
        <f t="shared" si="232"/>
        <v>3755.377</v>
      </c>
      <c r="Y2151" s="85">
        <f>STATS1003B!Y2155/1000</f>
        <v>0</v>
      </c>
      <c r="Z2151" s="85">
        <f t="shared" si="235"/>
        <v>0</v>
      </c>
      <c r="AA2151" s="69">
        <f>STATS1003B!AA2155/1000</f>
        <v>3755.377</v>
      </c>
      <c r="AB2151" s="69">
        <f>STATS1003B!AB2155/1000</f>
        <v>0</v>
      </c>
    </row>
    <row r="2152" spans="1:28" hidden="1" x14ac:dyDescent="0.3">
      <c r="A2152" s="117"/>
      <c r="C2152" s="68" t="s">
        <v>535</v>
      </c>
      <c r="D2152" s="145" t="s">
        <v>108</v>
      </c>
      <c r="E2152" s="85">
        <f>STATS1003B!E2156/1000</f>
        <v>2723.989</v>
      </c>
      <c r="F2152" s="85">
        <f>STATS1003B!F2156/1000</f>
        <v>2723.989</v>
      </c>
      <c r="G2152" s="85">
        <f>STATS1003B!G2156/1000</f>
        <v>0</v>
      </c>
      <c r="H2152" s="85">
        <f>STATS1003B!H2156/1000</f>
        <v>2723.989</v>
      </c>
      <c r="I2152" s="85">
        <f>STATS1003B!I2156/1000</f>
        <v>0</v>
      </c>
      <c r="J2152" s="85">
        <f>STATS1003B!J2156/1000</f>
        <v>2723.989</v>
      </c>
      <c r="K2152" s="85">
        <f>STATS1003B!K2156/1000</f>
        <v>0</v>
      </c>
      <c r="L2152" s="85">
        <f>STATS1003B!L2156/1000</f>
        <v>0</v>
      </c>
      <c r="M2152" s="85">
        <f>STATS1003B!M2156/1000</f>
        <v>2723.989</v>
      </c>
      <c r="N2152" s="85">
        <f>STATS1003B!N2156/1000</f>
        <v>0</v>
      </c>
      <c r="O2152" s="85">
        <f>STATS1003B!O2156/1000</f>
        <v>0</v>
      </c>
      <c r="P2152" s="85">
        <f>STATS1003B!P2156/1000</f>
        <v>0</v>
      </c>
      <c r="Q2152" s="85">
        <f>STATS1003B!Q2156/1000</f>
        <v>2723.989</v>
      </c>
      <c r="R2152" s="85">
        <f>STATS1003B!R2156/1000</f>
        <v>0</v>
      </c>
      <c r="S2152" s="85">
        <f>STATS1003B!S2156/1000</f>
        <v>0</v>
      </c>
      <c r="T2152" s="85">
        <f>STATS1003B!T2156/1000</f>
        <v>0</v>
      </c>
      <c r="U2152" s="85">
        <f>STATS1003B!U2156/1000</f>
        <v>0</v>
      </c>
      <c r="V2152" s="85">
        <f>STATS1003B!V2156/1000</f>
        <v>0</v>
      </c>
      <c r="W2152" s="85">
        <f>STATS1003B!W2156/1000</f>
        <v>0</v>
      </c>
      <c r="X2152" s="85">
        <f t="shared" si="232"/>
        <v>2723.989</v>
      </c>
      <c r="Y2152" s="85">
        <f>STATS1003B!Y2156/1000</f>
        <v>0</v>
      </c>
      <c r="Z2152" s="85">
        <f t="shared" si="235"/>
        <v>0</v>
      </c>
      <c r="AA2152" s="69">
        <f>STATS1003B!AA2156/1000</f>
        <v>2723.989</v>
      </c>
      <c r="AB2152" s="69">
        <f>STATS1003B!AB2156/1000</f>
        <v>0</v>
      </c>
    </row>
    <row r="2153" spans="1:28" hidden="1" x14ac:dyDescent="0.3">
      <c r="A2153" s="117"/>
      <c r="C2153" s="68" t="s">
        <v>535</v>
      </c>
      <c r="D2153" s="145" t="s">
        <v>58</v>
      </c>
      <c r="E2153" s="85">
        <f>STATS1003B!E2157/1000</f>
        <v>7187.0029999999997</v>
      </c>
      <c r="F2153" s="85">
        <f>STATS1003B!F2157/1000</f>
        <v>7187.0029999999997</v>
      </c>
      <c r="G2153" s="85">
        <f>STATS1003B!G2157/1000</f>
        <v>0</v>
      </c>
      <c r="H2153" s="85">
        <f>STATS1003B!H2157/1000</f>
        <v>7187.0029999999997</v>
      </c>
      <c r="I2153" s="85">
        <f>STATS1003B!I2157/1000</f>
        <v>0</v>
      </c>
      <c r="J2153" s="85">
        <f>STATS1003B!J2157/1000</f>
        <v>7187.0029999999997</v>
      </c>
      <c r="K2153" s="85">
        <f>STATS1003B!K2157/1000</f>
        <v>0</v>
      </c>
      <c r="L2153" s="85">
        <f>STATS1003B!L2157/1000</f>
        <v>0</v>
      </c>
      <c r="M2153" s="85">
        <f>STATS1003B!M2157/1000</f>
        <v>7187.0029999999997</v>
      </c>
      <c r="N2153" s="85">
        <f>STATS1003B!N2157/1000</f>
        <v>0</v>
      </c>
      <c r="O2153" s="85">
        <f>STATS1003B!O2157/1000</f>
        <v>0</v>
      </c>
      <c r="P2153" s="85">
        <f>STATS1003B!P2157/1000</f>
        <v>0</v>
      </c>
      <c r="Q2153" s="85">
        <f>STATS1003B!Q2157/1000</f>
        <v>7187.0029999999997</v>
      </c>
      <c r="R2153" s="85">
        <f>STATS1003B!R2157/1000</f>
        <v>0</v>
      </c>
      <c r="S2153" s="85">
        <f>STATS1003B!S2157/1000</f>
        <v>0</v>
      </c>
      <c r="T2153" s="85">
        <f>STATS1003B!T2157/1000</f>
        <v>0</v>
      </c>
      <c r="U2153" s="85">
        <f>STATS1003B!U2157/1000</f>
        <v>0</v>
      </c>
      <c r="V2153" s="85">
        <f>STATS1003B!V2157/1000</f>
        <v>0</v>
      </c>
      <c r="W2153" s="85">
        <f>STATS1003B!W2157/1000</f>
        <v>0</v>
      </c>
      <c r="X2153" s="85">
        <f t="shared" si="232"/>
        <v>7187.0029999999997</v>
      </c>
      <c r="Y2153" s="85">
        <f>STATS1003B!Y2157/1000</f>
        <v>0</v>
      </c>
      <c r="Z2153" s="85">
        <f t="shared" si="235"/>
        <v>0</v>
      </c>
      <c r="AA2153" s="69">
        <f>STATS1003B!AA2157/1000</f>
        <v>7187.0029999999997</v>
      </c>
      <c r="AB2153" s="69">
        <f>STATS1003B!AB2157/1000</f>
        <v>0</v>
      </c>
    </row>
    <row r="2154" spans="1:28" hidden="1" x14ac:dyDescent="0.3">
      <c r="A2154" s="117"/>
      <c r="C2154" s="68" t="s">
        <v>535</v>
      </c>
      <c r="D2154" s="145" t="s">
        <v>60</v>
      </c>
      <c r="E2154" s="85">
        <f>STATS1003B!E2158/1000</f>
        <v>6324.0585700000001</v>
      </c>
      <c r="F2154" s="85">
        <f>STATS1003B!F2158/1000</f>
        <v>6324.0585700000001</v>
      </c>
      <c r="G2154" s="85">
        <f>STATS1003B!G2158/1000</f>
        <v>0</v>
      </c>
      <c r="H2154" s="85">
        <f>STATS1003B!H2158/1000</f>
        <v>6324.0585700000001</v>
      </c>
      <c r="I2154" s="85">
        <f>STATS1003B!I2158/1000</f>
        <v>0</v>
      </c>
      <c r="J2154" s="85">
        <f>STATS1003B!J2158/1000</f>
        <v>6324.0585700000001</v>
      </c>
      <c r="K2154" s="85">
        <f>STATS1003B!K2158/1000</f>
        <v>0</v>
      </c>
      <c r="L2154" s="85">
        <f>STATS1003B!L2158/1000</f>
        <v>0</v>
      </c>
      <c r="M2154" s="85">
        <f>STATS1003B!M2158/1000</f>
        <v>6324.0585700000001</v>
      </c>
      <c r="N2154" s="85">
        <f>STATS1003B!N2158/1000</f>
        <v>0</v>
      </c>
      <c r="O2154" s="85">
        <f>STATS1003B!O2158/1000</f>
        <v>0</v>
      </c>
      <c r="P2154" s="85">
        <f>STATS1003B!P2158/1000</f>
        <v>0</v>
      </c>
      <c r="Q2154" s="85">
        <f>STATS1003B!Q2158/1000</f>
        <v>6324.0585700000001</v>
      </c>
      <c r="R2154" s="85">
        <f>STATS1003B!R2158/1000</f>
        <v>0</v>
      </c>
      <c r="S2154" s="85">
        <f>STATS1003B!S2158/1000</f>
        <v>0</v>
      </c>
      <c r="T2154" s="85">
        <f>STATS1003B!T2158/1000</f>
        <v>0</v>
      </c>
      <c r="U2154" s="85">
        <f>STATS1003B!U2158/1000</f>
        <v>0</v>
      </c>
      <c r="V2154" s="85">
        <f>STATS1003B!V2158/1000</f>
        <v>0</v>
      </c>
      <c r="W2154" s="85">
        <f>STATS1003B!W2158/1000</f>
        <v>0</v>
      </c>
      <c r="X2154" s="85">
        <f t="shared" si="232"/>
        <v>6324.0585700000001</v>
      </c>
      <c r="Y2154" s="85">
        <f>STATS1003B!Y2158/1000</f>
        <v>0</v>
      </c>
      <c r="Z2154" s="85">
        <f t="shared" si="235"/>
        <v>0</v>
      </c>
      <c r="AA2154" s="69">
        <f>STATS1003B!AA2158/1000</f>
        <v>6324.0585700000001</v>
      </c>
      <c r="AB2154" s="69">
        <f>STATS1003B!AB2158/1000</f>
        <v>0</v>
      </c>
    </row>
    <row r="2155" spans="1:28" hidden="1" x14ac:dyDescent="0.3">
      <c r="A2155" s="117"/>
      <c r="C2155" s="68" t="s">
        <v>816</v>
      </c>
      <c r="D2155" s="145" t="s">
        <v>60</v>
      </c>
      <c r="E2155" s="85">
        <f>STATS1003B!E2159/1000</f>
        <v>800</v>
      </c>
      <c r="F2155" s="85">
        <f>STATS1003B!F2159/1000</f>
        <v>800</v>
      </c>
      <c r="G2155" s="85">
        <f>STATS1003B!G2159/1000</f>
        <v>0</v>
      </c>
      <c r="H2155" s="85">
        <f>STATS1003B!H2159/1000</f>
        <v>800</v>
      </c>
      <c r="I2155" s="85">
        <f>STATS1003B!I2159/1000</f>
        <v>0</v>
      </c>
      <c r="J2155" s="85">
        <f>STATS1003B!J2159/1000</f>
        <v>800</v>
      </c>
      <c r="K2155" s="85">
        <f>STATS1003B!K2159/1000</f>
        <v>0</v>
      </c>
      <c r="L2155" s="85">
        <f>STATS1003B!L2159/1000</f>
        <v>0</v>
      </c>
      <c r="M2155" s="85">
        <f>STATS1003B!M2159/1000</f>
        <v>800</v>
      </c>
      <c r="N2155" s="85">
        <f>STATS1003B!N2159/1000</f>
        <v>0</v>
      </c>
      <c r="O2155" s="85">
        <f>STATS1003B!O2159/1000</f>
        <v>0</v>
      </c>
      <c r="P2155" s="85">
        <f>STATS1003B!P2159/1000</f>
        <v>0</v>
      </c>
      <c r="Q2155" s="85">
        <f>STATS1003B!Q2159/1000</f>
        <v>800</v>
      </c>
      <c r="R2155" s="85">
        <f>STATS1003B!R2159/1000</f>
        <v>0</v>
      </c>
      <c r="S2155" s="85">
        <f>STATS1003B!S2159/1000</f>
        <v>0</v>
      </c>
      <c r="T2155" s="85">
        <f>STATS1003B!T2159/1000</f>
        <v>0</v>
      </c>
      <c r="U2155" s="85">
        <f>STATS1003B!U2159/1000</f>
        <v>0</v>
      </c>
      <c r="V2155" s="85">
        <f>STATS1003B!V2159/1000</f>
        <v>0</v>
      </c>
      <c r="W2155" s="85">
        <f>STATS1003B!W2159/1000</f>
        <v>0</v>
      </c>
      <c r="X2155" s="85">
        <f t="shared" si="232"/>
        <v>800</v>
      </c>
      <c r="Y2155" s="85">
        <f>STATS1003B!Y2159/1000</f>
        <v>0</v>
      </c>
      <c r="Z2155" s="85">
        <f t="shared" si="235"/>
        <v>0</v>
      </c>
      <c r="AA2155" s="69">
        <f>STATS1003B!AA2159/1000</f>
        <v>800</v>
      </c>
      <c r="AB2155" s="69">
        <f>STATS1003B!AB2159/1000</f>
        <v>0</v>
      </c>
    </row>
    <row r="2156" spans="1:28" hidden="1" x14ac:dyDescent="0.3">
      <c r="A2156" s="117"/>
      <c r="C2156" s="68" t="s">
        <v>535</v>
      </c>
      <c r="D2156" s="145" t="s">
        <v>73</v>
      </c>
      <c r="E2156" s="85">
        <f>STATS1003B!E2160/1000</f>
        <v>3965.3420000000001</v>
      </c>
      <c r="F2156" s="85">
        <f>STATS1003B!F2160/1000</f>
        <v>3965.3420000000001</v>
      </c>
      <c r="G2156" s="85">
        <f>STATS1003B!G2160/1000</f>
        <v>0</v>
      </c>
      <c r="H2156" s="85">
        <f>STATS1003B!H2160/1000</f>
        <v>3965.3420000000001</v>
      </c>
      <c r="I2156" s="85">
        <f>STATS1003B!I2160/1000</f>
        <v>0</v>
      </c>
      <c r="J2156" s="85">
        <f>STATS1003B!J2160/1000</f>
        <v>3965.3420000000001</v>
      </c>
      <c r="K2156" s="85">
        <f>STATS1003B!K2160/1000</f>
        <v>0</v>
      </c>
      <c r="L2156" s="85">
        <f>STATS1003B!L2160/1000</f>
        <v>0</v>
      </c>
      <c r="M2156" s="85">
        <f>STATS1003B!M2160/1000</f>
        <v>3965.3420000000001</v>
      </c>
      <c r="N2156" s="85">
        <f>STATS1003B!N2160/1000</f>
        <v>0</v>
      </c>
      <c r="O2156" s="85">
        <f>STATS1003B!O2160/1000</f>
        <v>0</v>
      </c>
      <c r="P2156" s="85">
        <f>STATS1003B!P2160/1000</f>
        <v>0</v>
      </c>
      <c r="Q2156" s="85">
        <f>STATS1003B!Q2160/1000</f>
        <v>3965.3420000000001</v>
      </c>
      <c r="R2156" s="85">
        <f>STATS1003B!R2160/1000</f>
        <v>0</v>
      </c>
      <c r="S2156" s="85">
        <f>STATS1003B!S2160/1000</f>
        <v>0</v>
      </c>
      <c r="T2156" s="85">
        <f>STATS1003B!T2160/1000</f>
        <v>0</v>
      </c>
      <c r="U2156" s="85">
        <f>STATS1003B!U2160/1000</f>
        <v>0</v>
      </c>
      <c r="V2156" s="85">
        <f>STATS1003B!V2160/1000</f>
        <v>0</v>
      </c>
      <c r="W2156" s="85">
        <f>STATS1003B!W2160/1000</f>
        <v>0</v>
      </c>
      <c r="X2156" s="85">
        <f t="shared" si="232"/>
        <v>3965.3420000000001</v>
      </c>
      <c r="Y2156" s="85">
        <f>STATS1003B!Y2160/1000</f>
        <v>0</v>
      </c>
      <c r="Z2156" s="85">
        <f t="shared" si="235"/>
        <v>0</v>
      </c>
      <c r="AA2156" s="69">
        <f>STATS1003B!AA2160/1000</f>
        <v>3965.3420000000001</v>
      </c>
      <c r="AB2156" s="69">
        <f>STATS1003B!AB2160/1000</f>
        <v>0</v>
      </c>
    </row>
    <row r="2157" spans="1:28" hidden="1" x14ac:dyDescent="0.3">
      <c r="A2157" s="117"/>
      <c r="C2157" s="68" t="s">
        <v>535</v>
      </c>
      <c r="D2157" s="145" t="s">
        <v>61</v>
      </c>
      <c r="E2157" s="85">
        <f>STATS1003B!E2161/1000</f>
        <v>2520.8716800000002</v>
      </c>
      <c r="F2157" s="85">
        <f>STATS1003B!F2161/1000</f>
        <v>2520.8716800000002</v>
      </c>
      <c r="G2157" s="85">
        <f>STATS1003B!G2161/1000</f>
        <v>0</v>
      </c>
      <c r="H2157" s="85">
        <f>STATS1003B!H2161/1000</f>
        <v>2520.8716800000002</v>
      </c>
      <c r="I2157" s="85">
        <f>STATS1003B!I2161/1000</f>
        <v>0</v>
      </c>
      <c r="J2157" s="85">
        <f>STATS1003B!J2161/1000</f>
        <v>2520.8716800000002</v>
      </c>
      <c r="K2157" s="85">
        <f>STATS1003B!K2161/1000</f>
        <v>0</v>
      </c>
      <c r="L2157" s="85">
        <f>STATS1003B!L2161/1000</f>
        <v>0</v>
      </c>
      <c r="M2157" s="85">
        <f>STATS1003B!M2161/1000</f>
        <v>2520.8716800000002</v>
      </c>
      <c r="N2157" s="85">
        <f>STATS1003B!N2161/1000</f>
        <v>0</v>
      </c>
      <c r="O2157" s="85">
        <f>STATS1003B!O2161/1000</f>
        <v>0</v>
      </c>
      <c r="P2157" s="85">
        <f>STATS1003B!P2161/1000</f>
        <v>0</v>
      </c>
      <c r="Q2157" s="85">
        <f>STATS1003B!Q2161/1000</f>
        <v>2520.8716800000002</v>
      </c>
      <c r="R2157" s="85">
        <f>STATS1003B!R2161/1000</f>
        <v>0</v>
      </c>
      <c r="S2157" s="85">
        <f>STATS1003B!S2161/1000</f>
        <v>0</v>
      </c>
      <c r="T2157" s="85">
        <f>STATS1003B!T2161/1000</f>
        <v>0</v>
      </c>
      <c r="U2157" s="85">
        <f>STATS1003B!U2161/1000</f>
        <v>0</v>
      </c>
      <c r="V2157" s="85">
        <f>STATS1003B!V2161/1000</f>
        <v>0</v>
      </c>
      <c r="W2157" s="85">
        <f>STATS1003B!W2161/1000</f>
        <v>0</v>
      </c>
      <c r="X2157" s="85">
        <f t="shared" si="232"/>
        <v>2520.8716800000002</v>
      </c>
      <c r="Y2157" s="85">
        <f>STATS1003B!Y2161/1000</f>
        <v>0</v>
      </c>
      <c r="Z2157" s="85">
        <f t="shared" si="235"/>
        <v>0</v>
      </c>
      <c r="AA2157" s="69">
        <f>STATS1003B!AA2161/1000</f>
        <v>2520.8716800000002</v>
      </c>
      <c r="AB2157" s="69">
        <f>STATS1003B!AB2161/1000</f>
        <v>0</v>
      </c>
    </row>
    <row r="2158" spans="1:28" hidden="1" x14ac:dyDescent="0.3">
      <c r="A2158" s="117"/>
      <c r="C2158" s="68" t="s">
        <v>621</v>
      </c>
      <c r="D2158" s="145" t="s">
        <v>61</v>
      </c>
      <c r="E2158" s="85">
        <f>STATS1003B!E2162/1000</f>
        <v>1503.3329400000002</v>
      </c>
      <c r="F2158" s="85">
        <f>STATS1003B!F2162/1000</f>
        <v>1496.30384</v>
      </c>
      <c r="G2158" s="85">
        <f>STATS1003B!G2162/1000</f>
        <v>0</v>
      </c>
      <c r="H2158" s="85">
        <f>STATS1003B!H2162/1000</f>
        <v>1496.30384</v>
      </c>
      <c r="I2158" s="85">
        <f>STATS1003B!I2162/1000</f>
        <v>0</v>
      </c>
      <c r="J2158" s="85">
        <f>STATS1003B!J2162/1000</f>
        <v>1496.30384</v>
      </c>
      <c r="K2158" s="85">
        <f>STATS1003B!K2162/1000</f>
        <v>0</v>
      </c>
      <c r="L2158" s="85">
        <f>STATS1003B!L2162/1000</f>
        <v>0</v>
      </c>
      <c r="M2158" s="85">
        <f>STATS1003B!M2162/1000</f>
        <v>1496.30384</v>
      </c>
      <c r="N2158" s="85">
        <f>STATS1003B!N2162/1000</f>
        <v>0</v>
      </c>
      <c r="O2158" s="85">
        <f>STATS1003B!O2162/1000</f>
        <v>0</v>
      </c>
      <c r="P2158" s="85">
        <f>STATS1003B!P2162/1000</f>
        <v>0</v>
      </c>
      <c r="Q2158" s="85">
        <f>STATS1003B!Q2162/1000</f>
        <v>1503.3329400000002</v>
      </c>
      <c r="R2158" s="85">
        <f>STATS1003B!R2162/1000</f>
        <v>0</v>
      </c>
      <c r="S2158" s="85">
        <f>STATS1003B!S2162/1000</f>
        <v>0</v>
      </c>
      <c r="T2158" s="85">
        <f>STATS1003B!T2162/1000</f>
        <v>7.0291000000000006</v>
      </c>
      <c r="U2158" s="85">
        <f>STATS1003B!U2162/1000</f>
        <v>7.0291000000000006</v>
      </c>
      <c r="V2158" s="85">
        <f>STATS1003B!V2162/1000</f>
        <v>0</v>
      </c>
      <c r="W2158" s="85">
        <f>STATS1003B!W2162/1000</f>
        <v>0</v>
      </c>
      <c r="X2158" s="85">
        <f t="shared" si="232"/>
        <v>1496.30384</v>
      </c>
      <c r="Y2158" s="85">
        <f>STATS1003B!Y2162/1000</f>
        <v>0</v>
      </c>
      <c r="Z2158" s="85">
        <f t="shared" si="235"/>
        <v>7.0291000000001986</v>
      </c>
      <c r="AA2158" s="69">
        <f>STATS1003B!AA2162/1000</f>
        <v>1503.3329400000002</v>
      </c>
      <c r="AB2158" s="69">
        <f>STATS1003B!AB2162/1000</f>
        <v>0</v>
      </c>
    </row>
    <row r="2159" spans="1:28" hidden="1" x14ac:dyDescent="0.3">
      <c r="A2159" s="117"/>
      <c r="C2159" s="93" t="s">
        <v>933</v>
      </c>
      <c r="D2159" s="90" t="s">
        <v>1072</v>
      </c>
      <c r="E2159" s="85">
        <f>STATS1003B!E2163/1000</f>
        <v>5900.1888200000003</v>
      </c>
      <c r="F2159" s="85">
        <f>STATS1003B!F2163/1000</f>
        <v>5900.1888200000003</v>
      </c>
      <c r="G2159" s="85">
        <f>STATS1003B!G2163/1000</f>
        <v>0</v>
      </c>
      <c r="H2159" s="85">
        <f>STATS1003B!H2163/1000</f>
        <v>5900.1888200000003</v>
      </c>
      <c r="I2159" s="85">
        <f>STATS1003B!I2163/1000</f>
        <v>0</v>
      </c>
      <c r="J2159" s="85">
        <f>STATS1003B!J2163/1000</f>
        <v>5900.1888200000003</v>
      </c>
      <c r="K2159" s="85">
        <f>STATS1003B!K2163/1000</f>
        <v>0</v>
      </c>
      <c r="L2159" s="85">
        <f>STATS1003B!L2163/1000</f>
        <v>0</v>
      </c>
      <c r="M2159" s="85">
        <f>STATS1003B!M2163/1000</f>
        <v>5900.1888200000003</v>
      </c>
      <c r="N2159" s="85">
        <f>STATS1003B!N2163/1000</f>
        <v>0</v>
      </c>
      <c r="O2159" s="85">
        <f>STATS1003B!O2163/1000</f>
        <v>0</v>
      </c>
      <c r="P2159" s="85">
        <f>STATS1003B!P2163/1000</f>
        <v>0</v>
      </c>
      <c r="Q2159" s="85">
        <f>STATS1003B!Q2163/1000</f>
        <v>0</v>
      </c>
      <c r="R2159" s="85">
        <f>STATS1003B!R2163/1000</f>
        <v>0</v>
      </c>
      <c r="S2159" s="85">
        <f>STATS1003B!S2163/1000</f>
        <v>0</v>
      </c>
      <c r="T2159" s="85">
        <f>STATS1003B!T2163/1000</f>
        <v>0</v>
      </c>
      <c r="U2159" s="85">
        <f>STATS1003B!U2163/1000</f>
        <v>0</v>
      </c>
      <c r="V2159" s="85">
        <f>STATS1003B!V2163/1000</f>
        <v>0</v>
      </c>
      <c r="W2159" s="85">
        <f>STATS1003B!W2163/1000</f>
        <v>0</v>
      </c>
      <c r="X2159" s="85">
        <f t="shared" si="232"/>
        <v>5900.1888200000003</v>
      </c>
      <c r="Y2159" s="85">
        <f>STATS1003B!Y2163/1000</f>
        <v>0</v>
      </c>
      <c r="Z2159" s="85">
        <f t="shared" si="235"/>
        <v>0</v>
      </c>
      <c r="AA2159" s="69">
        <f>STATS1003B!AA2163/1000</f>
        <v>5900.1888200000003</v>
      </c>
      <c r="AB2159" s="69">
        <f>STATS1003B!AB2163/1000</f>
        <v>0</v>
      </c>
    </row>
    <row r="2160" spans="1:28" hidden="1" x14ac:dyDescent="0.3">
      <c r="A2160" s="117"/>
      <c r="C2160" s="68" t="s">
        <v>1175</v>
      </c>
      <c r="D2160" s="90" t="s">
        <v>1126</v>
      </c>
      <c r="E2160" s="85">
        <f>STATS1003B!E2164/1000</f>
        <v>1000</v>
      </c>
      <c r="F2160" s="85">
        <f>STATS1003B!F2164/1000</f>
        <v>1000</v>
      </c>
      <c r="G2160" s="85">
        <f>STATS1003B!G2164/1000</f>
        <v>0</v>
      </c>
      <c r="H2160" s="85">
        <f>STATS1003B!H2164/1000</f>
        <v>1000</v>
      </c>
      <c r="I2160" s="85">
        <f>STATS1003B!I2164/1000</f>
        <v>0</v>
      </c>
      <c r="J2160" s="85">
        <f>STATS1003B!J2164/1000</f>
        <v>1000</v>
      </c>
      <c r="K2160" s="85">
        <f>STATS1003B!K2164/1000</f>
        <v>0</v>
      </c>
      <c r="L2160" s="85">
        <f>STATS1003B!L2164/1000</f>
        <v>0</v>
      </c>
      <c r="M2160" s="85">
        <f>STATS1003B!M2164/1000</f>
        <v>1000</v>
      </c>
      <c r="N2160" s="85">
        <f>STATS1003B!N2164/1000</f>
        <v>0</v>
      </c>
      <c r="O2160" s="85">
        <f>STATS1003B!O2164/1000</f>
        <v>0</v>
      </c>
      <c r="P2160" s="85">
        <f>STATS1003B!P2164/1000</f>
        <v>0</v>
      </c>
      <c r="Q2160" s="85">
        <f>STATS1003B!Q2164/1000</f>
        <v>0</v>
      </c>
      <c r="R2160" s="85">
        <f>STATS1003B!R2164/1000</f>
        <v>0</v>
      </c>
      <c r="S2160" s="85">
        <f>STATS1003B!S2164/1000</f>
        <v>0</v>
      </c>
      <c r="T2160" s="85">
        <f>STATS1003B!T2164/1000</f>
        <v>0</v>
      </c>
      <c r="U2160" s="85">
        <f>STATS1003B!U2164/1000</f>
        <v>0</v>
      </c>
      <c r="V2160" s="85">
        <f>STATS1003B!V2164/1000</f>
        <v>0</v>
      </c>
      <c r="W2160" s="85">
        <f>STATS1003B!W2164/1000</f>
        <v>0</v>
      </c>
      <c r="X2160" s="85">
        <f t="shared" si="232"/>
        <v>1000</v>
      </c>
      <c r="Y2160" s="85">
        <f>STATS1003B!Y2164/1000</f>
        <v>0</v>
      </c>
      <c r="Z2160" s="85">
        <f t="shared" si="235"/>
        <v>0</v>
      </c>
      <c r="AA2160" s="69">
        <f>STATS1003B!AA2164/1000</f>
        <v>1000</v>
      </c>
      <c r="AB2160" s="69">
        <f>STATS1003B!AB2164/1000</f>
        <v>0</v>
      </c>
    </row>
    <row r="2161" spans="1:28" hidden="1" x14ac:dyDescent="0.3">
      <c r="A2161" s="117"/>
      <c r="C2161" s="68" t="s">
        <v>1083</v>
      </c>
      <c r="D2161" s="90" t="s">
        <v>1072</v>
      </c>
      <c r="E2161" s="85">
        <f>STATS1003B!E2165/1000</f>
        <v>5224.3249900000001</v>
      </c>
      <c r="F2161" s="85">
        <f>STATS1003B!F2165/1000</f>
        <v>5224.3249900000001</v>
      </c>
      <c r="G2161" s="85">
        <f>STATS1003B!G2165/1000</f>
        <v>0</v>
      </c>
      <c r="H2161" s="85">
        <f>STATS1003B!H2165/1000</f>
        <v>5224.3249900000001</v>
      </c>
      <c r="I2161" s="85">
        <f>STATS1003B!I2165/1000</f>
        <v>0</v>
      </c>
      <c r="J2161" s="85">
        <f>STATS1003B!J2165/1000</f>
        <v>5224.3249900000001</v>
      </c>
      <c r="K2161" s="85">
        <f>STATS1003B!K2165/1000</f>
        <v>0</v>
      </c>
      <c r="L2161" s="85">
        <f>STATS1003B!L2165/1000</f>
        <v>0</v>
      </c>
      <c r="M2161" s="85">
        <f>STATS1003B!M2165/1000</f>
        <v>5224.3249900000001</v>
      </c>
      <c r="N2161" s="85">
        <f>STATS1003B!N2165/1000</f>
        <v>0</v>
      </c>
      <c r="O2161" s="85">
        <f>STATS1003B!O2165/1000</f>
        <v>0</v>
      </c>
      <c r="P2161" s="85">
        <f>STATS1003B!P2165/1000</f>
        <v>0</v>
      </c>
      <c r="Q2161" s="85">
        <f>STATS1003B!Q2165/1000</f>
        <v>0</v>
      </c>
      <c r="R2161" s="85">
        <f>STATS1003B!R2165/1000</f>
        <v>0</v>
      </c>
      <c r="S2161" s="85">
        <f>STATS1003B!S2165/1000</f>
        <v>0</v>
      </c>
      <c r="T2161" s="85">
        <f>STATS1003B!T2165/1000</f>
        <v>0</v>
      </c>
      <c r="U2161" s="85">
        <f>STATS1003B!U2165/1000</f>
        <v>0</v>
      </c>
      <c r="V2161" s="85">
        <f>STATS1003B!V2165/1000</f>
        <v>0</v>
      </c>
      <c r="W2161" s="85">
        <f>STATS1003B!W2165/1000</f>
        <v>0</v>
      </c>
      <c r="X2161" s="85">
        <f t="shared" si="232"/>
        <v>5224.3249900000001</v>
      </c>
      <c r="Y2161" s="85">
        <f>STATS1003B!Y2165/1000</f>
        <v>0</v>
      </c>
      <c r="Z2161" s="85">
        <f t="shared" si="235"/>
        <v>0</v>
      </c>
      <c r="AA2161" s="69">
        <f>STATS1003B!AA2165/1000</f>
        <v>5224.3249900000001</v>
      </c>
      <c r="AB2161" s="69">
        <f>STATS1003B!AB2165/1000</f>
        <v>0</v>
      </c>
    </row>
    <row r="2162" spans="1:28" hidden="1" x14ac:dyDescent="0.3">
      <c r="A2162" s="117"/>
      <c r="C2162" s="68" t="s">
        <v>1189</v>
      </c>
      <c r="D2162" s="90" t="s">
        <v>1126</v>
      </c>
      <c r="E2162" s="85">
        <f>STATS1003B!E2166/1000</f>
        <v>500</v>
      </c>
      <c r="F2162" s="85">
        <f>STATS1003B!F2166/1000</f>
        <v>500</v>
      </c>
      <c r="G2162" s="85">
        <f>STATS1003B!G2166/1000</f>
        <v>0</v>
      </c>
      <c r="H2162" s="85">
        <f>STATS1003B!H2166/1000</f>
        <v>500</v>
      </c>
      <c r="I2162" s="85">
        <f>STATS1003B!I2166/1000</f>
        <v>0</v>
      </c>
      <c r="J2162" s="85">
        <f>STATS1003B!J2166/1000</f>
        <v>0</v>
      </c>
      <c r="K2162" s="85">
        <f>STATS1003B!K2166/1000</f>
        <v>0</v>
      </c>
      <c r="L2162" s="85">
        <f>STATS1003B!L2166/1000</f>
        <v>0</v>
      </c>
      <c r="M2162" s="85">
        <f>STATS1003B!M2166/1000</f>
        <v>500</v>
      </c>
      <c r="N2162" s="85">
        <f>STATS1003B!N2166/1000</f>
        <v>0</v>
      </c>
      <c r="O2162" s="85">
        <f>STATS1003B!O2166/1000</f>
        <v>0</v>
      </c>
      <c r="P2162" s="85">
        <f>STATS1003B!P2166/1000</f>
        <v>0</v>
      </c>
      <c r="Q2162" s="85">
        <f>STATS1003B!Q2166/1000</f>
        <v>0</v>
      </c>
      <c r="R2162" s="85">
        <f>STATS1003B!R2166/1000</f>
        <v>0</v>
      </c>
      <c r="S2162" s="85">
        <f>STATS1003B!S2166/1000</f>
        <v>0</v>
      </c>
      <c r="T2162" s="85">
        <f>STATS1003B!T2166/1000</f>
        <v>0</v>
      </c>
      <c r="U2162" s="85">
        <f>STATS1003B!U2166/1000</f>
        <v>0</v>
      </c>
      <c r="V2162" s="85">
        <f>STATS1003B!V2166/1000</f>
        <v>0</v>
      </c>
      <c r="W2162" s="85">
        <f>STATS1003B!W2166/1000</f>
        <v>0</v>
      </c>
      <c r="X2162" s="85">
        <f t="shared" si="232"/>
        <v>500</v>
      </c>
      <c r="Y2162" s="85">
        <f>STATS1003B!Y2166/1000</f>
        <v>0</v>
      </c>
      <c r="Z2162" s="85">
        <f t="shared" si="235"/>
        <v>0</v>
      </c>
      <c r="AA2162" s="69">
        <f>STATS1003B!AA2166/1000</f>
        <v>500</v>
      </c>
      <c r="AB2162" s="69">
        <f>STATS1003B!AB2166/1000</f>
        <v>0</v>
      </c>
    </row>
    <row r="2163" spans="1:28" hidden="1" x14ac:dyDescent="0.3">
      <c r="A2163" s="117"/>
      <c r="C2163" s="68" t="s">
        <v>1173</v>
      </c>
      <c r="D2163" s="90" t="s">
        <v>1126</v>
      </c>
      <c r="E2163" s="85">
        <f>STATS1003B!E2167/1000</f>
        <v>2177.4904799999999</v>
      </c>
      <c r="F2163" s="85">
        <f>STATS1003B!F2167/1000</f>
        <v>2177.4904799999999</v>
      </c>
      <c r="G2163" s="85">
        <f>STATS1003B!G2167/1000</f>
        <v>0</v>
      </c>
      <c r="H2163" s="85">
        <f>STATS1003B!H2167/1000</f>
        <v>2177.4904799999999</v>
      </c>
      <c r="I2163" s="85">
        <f>STATS1003B!I2167/1000</f>
        <v>0</v>
      </c>
      <c r="J2163" s="85">
        <f>STATS1003B!J2167/1000</f>
        <v>0</v>
      </c>
      <c r="K2163" s="85">
        <f>STATS1003B!K2167/1000</f>
        <v>0</v>
      </c>
      <c r="L2163" s="85">
        <f>STATS1003B!L2167/1000</f>
        <v>0</v>
      </c>
      <c r="M2163" s="85">
        <f>STATS1003B!M2167/1000</f>
        <v>2177.4904799999999</v>
      </c>
      <c r="N2163" s="85">
        <f>STATS1003B!N2167/1000</f>
        <v>0</v>
      </c>
      <c r="O2163" s="85">
        <f>STATS1003B!O2167/1000</f>
        <v>0</v>
      </c>
      <c r="P2163" s="85">
        <f>STATS1003B!P2167/1000</f>
        <v>0</v>
      </c>
      <c r="Q2163" s="85">
        <f>STATS1003B!Q2167/1000</f>
        <v>0</v>
      </c>
      <c r="R2163" s="85">
        <f>STATS1003B!R2167/1000</f>
        <v>0</v>
      </c>
      <c r="S2163" s="85">
        <f>STATS1003B!S2167/1000</f>
        <v>0</v>
      </c>
      <c r="T2163" s="85">
        <f>STATS1003B!T2167/1000</f>
        <v>0</v>
      </c>
      <c r="U2163" s="85">
        <f>STATS1003B!U2167/1000</f>
        <v>0</v>
      </c>
      <c r="V2163" s="85">
        <f>STATS1003B!V2167/1000</f>
        <v>0</v>
      </c>
      <c r="W2163" s="85">
        <f>STATS1003B!W2167/1000</f>
        <v>0</v>
      </c>
      <c r="X2163" s="85">
        <f t="shared" si="232"/>
        <v>2177.4904799999999</v>
      </c>
      <c r="Y2163" s="85">
        <f>STATS1003B!Y2167/1000</f>
        <v>0</v>
      </c>
      <c r="Z2163" s="85">
        <f t="shared" si="235"/>
        <v>0</v>
      </c>
      <c r="AA2163" s="69">
        <f>STATS1003B!AA2167/1000</f>
        <v>2177.4904799999999</v>
      </c>
      <c r="AB2163" s="69">
        <f>STATS1003B!AB2167/1000</f>
        <v>0</v>
      </c>
    </row>
    <row r="2164" spans="1:28" hidden="1" x14ac:dyDescent="0.3">
      <c r="A2164" s="117"/>
      <c r="C2164" s="68" t="s">
        <v>1245</v>
      </c>
      <c r="D2164" s="90" t="s">
        <v>1225</v>
      </c>
      <c r="E2164" s="85">
        <f>STATS1003B!E2168/1000</f>
        <v>6651.5513099999998</v>
      </c>
      <c r="F2164" s="85">
        <f>STATS1003B!F2168/1000</f>
        <v>5777.0572099999999</v>
      </c>
      <c r="G2164" s="85">
        <f>STATS1003B!G2168/1000</f>
        <v>874.4941</v>
      </c>
      <c r="H2164" s="85">
        <f>STATS1003B!H2168/1000</f>
        <v>6651.5513099999998</v>
      </c>
      <c r="I2164" s="85">
        <f>STATS1003B!I2168/1000</f>
        <v>0</v>
      </c>
      <c r="J2164" s="85">
        <f>STATS1003B!J2168/1000</f>
        <v>0</v>
      </c>
      <c r="K2164" s="85">
        <f>STATS1003B!K2168/1000</f>
        <v>0</v>
      </c>
      <c r="L2164" s="85">
        <f>STATS1003B!L2168/1000</f>
        <v>0</v>
      </c>
      <c r="M2164" s="85">
        <f>STATS1003B!M2168/1000</f>
        <v>6651.5513099999998</v>
      </c>
      <c r="N2164" s="85">
        <f>STATS1003B!N2168/1000</f>
        <v>0</v>
      </c>
      <c r="O2164" s="85">
        <f>STATS1003B!O2168/1000</f>
        <v>0</v>
      </c>
      <c r="P2164" s="85">
        <f>STATS1003B!P2168/1000</f>
        <v>0</v>
      </c>
      <c r="Q2164" s="85">
        <f>STATS1003B!Q2168/1000</f>
        <v>0</v>
      </c>
      <c r="R2164" s="85">
        <f>STATS1003B!R2168/1000</f>
        <v>0</v>
      </c>
      <c r="S2164" s="85">
        <f>STATS1003B!S2168/1000</f>
        <v>0</v>
      </c>
      <c r="T2164" s="85">
        <f>STATS1003B!T2168/1000</f>
        <v>0</v>
      </c>
      <c r="U2164" s="85">
        <f>STATS1003B!U2168/1000</f>
        <v>0</v>
      </c>
      <c r="V2164" s="85">
        <f>STATS1003B!V2168/1000</f>
        <v>0</v>
      </c>
      <c r="W2164" s="85">
        <f>STATS1003B!W2168/1000</f>
        <v>0</v>
      </c>
      <c r="X2164" s="85">
        <f t="shared" si="232"/>
        <v>6651.5513099999998</v>
      </c>
      <c r="Y2164" s="85">
        <f>STATS1003B!Y2168/1000</f>
        <v>0</v>
      </c>
      <c r="Z2164" s="85">
        <f t="shared" si="235"/>
        <v>0</v>
      </c>
      <c r="AA2164" s="69">
        <f>STATS1003B!AA2168/1000</f>
        <v>6651.5513099999998</v>
      </c>
      <c r="AB2164" s="69">
        <f>STATS1003B!AB2168/1000</f>
        <v>0</v>
      </c>
    </row>
    <row r="2165" spans="1:28" hidden="1" x14ac:dyDescent="0.3">
      <c r="A2165" s="117"/>
      <c r="C2165" s="68" t="s">
        <v>817</v>
      </c>
      <c r="E2165" s="85">
        <f>STATS1003B!E2169/1000</f>
        <v>192.452</v>
      </c>
      <c r="F2165" s="85">
        <f>STATS1003B!F2169/1000</f>
        <v>192.452</v>
      </c>
      <c r="G2165" s="85">
        <f>STATS1003B!G2169/1000</f>
        <v>0</v>
      </c>
      <c r="H2165" s="85">
        <f>STATS1003B!H2169/1000</f>
        <v>192.452</v>
      </c>
      <c r="I2165" s="85">
        <f>STATS1003B!I2169/1000</f>
        <v>0</v>
      </c>
      <c r="J2165" s="85">
        <f>STATS1003B!J2169/1000</f>
        <v>192.452</v>
      </c>
      <c r="K2165" s="85">
        <f>STATS1003B!K2169/1000</f>
        <v>0</v>
      </c>
      <c r="L2165" s="85">
        <f>STATS1003B!L2169/1000</f>
        <v>0</v>
      </c>
      <c r="M2165" s="85">
        <f>STATS1003B!M2169/1000</f>
        <v>192.452</v>
      </c>
      <c r="N2165" s="85">
        <f>STATS1003B!N2169/1000</f>
        <v>0</v>
      </c>
      <c r="O2165" s="85">
        <f>STATS1003B!O2169/1000</f>
        <v>0</v>
      </c>
      <c r="P2165" s="85">
        <f>STATS1003B!P2169/1000</f>
        <v>0</v>
      </c>
      <c r="Q2165" s="85">
        <f>STATS1003B!Q2169/1000</f>
        <v>192.452</v>
      </c>
      <c r="R2165" s="85">
        <f>STATS1003B!R2169/1000</f>
        <v>0</v>
      </c>
      <c r="S2165" s="85">
        <f>STATS1003B!S2169/1000</f>
        <v>0</v>
      </c>
      <c r="T2165" s="85">
        <f>STATS1003B!T2169/1000</f>
        <v>0</v>
      </c>
      <c r="U2165" s="85">
        <f>STATS1003B!U2169/1000</f>
        <v>0</v>
      </c>
      <c r="V2165" s="85">
        <f>STATS1003B!V2169/1000</f>
        <v>0</v>
      </c>
      <c r="W2165" s="85">
        <f>STATS1003B!W2169/1000</f>
        <v>0</v>
      </c>
      <c r="X2165" s="85">
        <f t="shared" si="232"/>
        <v>192.452</v>
      </c>
      <c r="Y2165" s="85">
        <f>STATS1003B!Y2169/1000</f>
        <v>0</v>
      </c>
      <c r="Z2165" s="85">
        <f t="shared" si="235"/>
        <v>0</v>
      </c>
      <c r="AA2165" s="69">
        <f>STATS1003B!AA2169/1000</f>
        <v>192.452</v>
      </c>
      <c r="AB2165" s="69">
        <f>STATS1003B!AB2169/1000</f>
        <v>0</v>
      </c>
    </row>
    <row r="2166" spans="1:28" hidden="1" x14ac:dyDescent="0.3">
      <c r="A2166" s="117"/>
      <c r="C2166" s="68" t="s">
        <v>569</v>
      </c>
      <c r="E2166" s="85">
        <f>STATS1003B!E2170/1000</f>
        <v>66.746639999999999</v>
      </c>
      <c r="F2166" s="85">
        <f>STATS1003B!F2170/1000</f>
        <v>0</v>
      </c>
      <c r="G2166" s="85">
        <f>STATS1003B!G2170/1000</f>
        <v>0</v>
      </c>
      <c r="H2166" s="85">
        <f>STATS1003B!H2170/1000</f>
        <v>0</v>
      </c>
      <c r="I2166" s="85">
        <f>STATS1003B!I2170/1000</f>
        <v>0</v>
      </c>
      <c r="J2166" s="85">
        <f>STATS1003B!J2170/1000</f>
        <v>0</v>
      </c>
      <c r="K2166" s="85">
        <f>STATS1003B!K2170/1000</f>
        <v>66.746639999999999</v>
      </c>
      <c r="L2166" s="85">
        <f>STATS1003B!L2170/1000</f>
        <v>0</v>
      </c>
      <c r="M2166" s="85">
        <f>STATS1003B!M2170/1000</f>
        <v>0</v>
      </c>
      <c r="N2166" s="85">
        <f>STATS1003B!N2170/1000</f>
        <v>66.746639999999999</v>
      </c>
      <c r="O2166" s="85">
        <f>STATS1003B!O2170/1000</f>
        <v>0</v>
      </c>
      <c r="P2166" s="85">
        <f>STATS1003B!P2170/1000</f>
        <v>66.746639999999999</v>
      </c>
      <c r="Q2166" s="85">
        <f>STATS1003B!Q2170/1000</f>
        <v>0</v>
      </c>
      <c r="R2166" s="85">
        <f>STATS1003B!R2170/1000</f>
        <v>0</v>
      </c>
      <c r="S2166" s="85">
        <f>STATS1003B!S2170/1000</f>
        <v>0</v>
      </c>
      <c r="T2166" s="85">
        <f>STATS1003B!T2170/1000</f>
        <v>0</v>
      </c>
      <c r="U2166" s="85">
        <f>STATS1003B!U2170/1000</f>
        <v>66.746639999999999</v>
      </c>
      <c r="V2166" s="85">
        <f>STATS1003B!V2170/1000</f>
        <v>0</v>
      </c>
      <c r="W2166" s="85">
        <f>STATS1003B!W2170/1000</f>
        <v>0</v>
      </c>
      <c r="X2166" s="85">
        <f t="shared" si="232"/>
        <v>66.746639999999999</v>
      </c>
      <c r="Y2166" s="85">
        <f>STATS1003B!Y2170/1000</f>
        <v>0</v>
      </c>
      <c r="Z2166" s="85">
        <f t="shared" si="235"/>
        <v>0</v>
      </c>
      <c r="AA2166" s="69">
        <f>STATS1003B!AA2170/1000</f>
        <v>66.746639999999999</v>
      </c>
      <c r="AB2166" s="69">
        <f>STATS1003B!AB2170/1000</f>
        <v>0</v>
      </c>
    </row>
    <row r="2167" spans="1:28" hidden="1" x14ac:dyDescent="0.3">
      <c r="A2167" s="117"/>
      <c r="C2167" s="68" t="s">
        <v>813</v>
      </c>
      <c r="E2167" s="85">
        <f>STATS1003B!E2171/1000</f>
        <v>1000</v>
      </c>
      <c r="F2167" s="85">
        <f>STATS1003B!F2171/1000</f>
        <v>1000</v>
      </c>
      <c r="G2167" s="85">
        <f>STATS1003B!G2171/1000</f>
        <v>0</v>
      </c>
      <c r="H2167" s="85">
        <f>STATS1003B!H2171/1000</f>
        <v>1000</v>
      </c>
      <c r="I2167" s="85">
        <f>STATS1003B!I2171/1000</f>
        <v>0</v>
      </c>
      <c r="J2167" s="85">
        <f>STATS1003B!J2171/1000</f>
        <v>1000</v>
      </c>
      <c r="K2167" s="85">
        <f>STATS1003B!K2171/1000</f>
        <v>0</v>
      </c>
      <c r="L2167" s="85">
        <f>STATS1003B!L2171/1000</f>
        <v>0</v>
      </c>
      <c r="M2167" s="85">
        <f>STATS1003B!M2171/1000</f>
        <v>1000</v>
      </c>
      <c r="N2167" s="85">
        <f>STATS1003B!N2171/1000</f>
        <v>0</v>
      </c>
      <c r="O2167" s="85">
        <f>STATS1003B!O2171/1000</f>
        <v>0</v>
      </c>
      <c r="P2167" s="85">
        <f>STATS1003B!P2171/1000</f>
        <v>0</v>
      </c>
      <c r="Q2167" s="85">
        <f>STATS1003B!Q2171/1000</f>
        <v>1000</v>
      </c>
      <c r="R2167" s="85">
        <f>STATS1003B!R2171/1000</f>
        <v>0</v>
      </c>
      <c r="S2167" s="85">
        <f>STATS1003B!S2171/1000</f>
        <v>0</v>
      </c>
      <c r="T2167" s="85">
        <f>STATS1003B!T2171/1000</f>
        <v>0</v>
      </c>
      <c r="U2167" s="85">
        <f>STATS1003B!U2171/1000</f>
        <v>0</v>
      </c>
      <c r="V2167" s="85">
        <f>STATS1003B!V2171/1000</f>
        <v>0</v>
      </c>
      <c r="W2167" s="85">
        <f>STATS1003B!W2171/1000</f>
        <v>0</v>
      </c>
      <c r="X2167" s="85">
        <f t="shared" si="232"/>
        <v>1000</v>
      </c>
      <c r="Y2167" s="85">
        <f>STATS1003B!Y2171/1000</f>
        <v>0</v>
      </c>
      <c r="Z2167" s="85">
        <f t="shared" si="235"/>
        <v>0</v>
      </c>
      <c r="AA2167" s="69">
        <f>STATS1003B!AA2171/1000</f>
        <v>1000</v>
      </c>
      <c r="AB2167" s="69">
        <f>STATS1003B!AB2171/1000</f>
        <v>0</v>
      </c>
    </row>
    <row r="2168" spans="1:28" hidden="1" x14ac:dyDescent="0.3">
      <c r="A2168" s="117"/>
      <c r="C2168" s="68" t="s">
        <v>818</v>
      </c>
      <c r="E2168" s="85">
        <f>STATS1003B!E2172/1000</f>
        <v>937.63162999999997</v>
      </c>
      <c r="F2168" s="85">
        <f>STATS1003B!F2172/1000</f>
        <v>733.96199999999999</v>
      </c>
      <c r="G2168" s="85">
        <f>STATS1003B!G2172/1000</f>
        <v>0</v>
      </c>
      <c r="H2168" s="85">
        <f>STATS1003B!H2172/1000</f>
        <v>733.96199999999999</v>
      </c>
      <c r="I2168" s="85">
        <f>STATS1003B!I2172/1000</f>
        <v>0</v>
      </c>
      <c r="J2168" s="85">
        <f>STATS1003B!J2172/1000</f>
        <v>733.96199999999999</v>
      </c>
      <c r="K2168" s="85">
        <f>STATS1003B!K2172/1000</f>
        <v>203.66963000000001</v>
      </c>
      <c r="L2168" s="85">
        <f>STATS1003B!L2172/1000</f>
        <v>0</v>
      </c>
      <c r="M2168" s="85">
        <f>STATS1003B!M2172/1000</f>
        <v>733.96199999999999</v>
      </c>
      <c r="N2168" s="85">
        <f>STATS1003B!N2172/1000</f>
        <v>203.66963000000001</v>
      </c>
      <c r="O2168" s="85">
        <f>STATS1003B!O2172/1000</f>
        <v>0</v>
      </c>
      <c r="P2168" s="85">
        <f>STATS1003B!P2172/1000</f>
        <v>203.66963000000001</v>
      </c>
      <c r="Q2168" s="85">
        <f>STATS1003B!Q2172/1000</f>
        <v>733.96199999999999</v>
      </c>
      <c r="R2168" s="85">
        <f>STATS1003B!R2172/1000</f>
        <v>0</v>
      </c>
      <c r="S2168" s="85">
        <f>STATS1003B!S2172/1000</f>
        <v>0</v>
      </c>
      <c r="T2168" s="85">
        <f>STATS1003B!T2172/1000</f>
        <v>0</v>
      </c>
      <c r="U2168" s="85">
        <f>STATS1003B!U2172/1000</f>
        <v>203.66963000000001</v>
      </c>
      <c r="V2168" s="85">
        <f>STATS1003B!V2172/1000</f>
        <v>0</v>
      </c>
      <c r="W2168" s="85">
        <f>STATS1003B!W2172/1000</f>
        <v>0</v>
      </c>
      <c r="X2168" s="85">
        <f t="shared" si="232"/>
        <v>937.63162999999997</v>
      </c>
      <c r="Y2168" s="85">
        <f>STATS1003B!Y2172/1000</f>
        <v>0</v>
      </c>
      <c r="Z2168" s="85">
        <f t="shared" si="235"/>
        <v>0</v>
      </c>
      <c r="AA2168" s="69">
        <f>STATS1003B!AA2172/1000</f>
        <v>937.63162999999997</v>
      </c>
      <c r="AB2168" s="69">
        <f>STATS1003B!AB2172/1000</f>
        <v>0</v>
      </c>
    </row>
    <row r="2169" spans="1:28" hidden="1" x14ac:dyDescent="0.3">
      <c r="A2169" s="117"/>
      <c r="C2169" s="68" t="s">
        <v>819</v>
      </c>
      <c r="E2169" s="85">
        <f>STATS1003B!E2173/1000</f>
        <v>618.83900000000006</v>
      </c>
      <c r="F2169" s="85">
        <f>STATS1003B!F2173/1000</f>
        <v>618.83900000000006</v>
      </c>
      <c r="G2169" s="85">
        <f>STATS1003B!G2173/1000</f>
        <v>0</v>
      </c>
      <c r="H2169" s="85">
        <f>STATS1003B!H2173/1000</f>
        <v>618.83900000000006</v>
      </c>
      <c r="I2169" s="85">
        <f>STATS1003B!I2173/1000</f>
        <v>0</v>
      </c>
      <c r="J2169" s="85">
        <f>STATS1003B!J2173/1000</f>
        <v>618.83900000000006</v>
      </c>
      <c r="K2169" s="85">
        <f>STATS1003B!K2173/1000</f>
        <v>0</v>
      </c>
      <c r="L2169" s="85">
        <f>STATS1003B!L2173/1000</f>
        <v>0</v>
      </c>
      <c r="M2169" s="85">
        <f>STATS1003B!M2173/1000</f>
        <v>618.83900000000006</v>
      </c>
      <c r="N2169" s="85">
        <f>STATS1003B!N2173/1000</f>
        <v>0</v>
      </c>
      <c r="O2169" s="85">
        <f>STATS1003B!O2173/1000</f>
        <v>0</v>
      </c>
      <c r="P2169" s="85">
        <f>STATS1003B!P2173/1000</f>
        <v>0</v>
      </c>
      <c r="Q2169" s="85">
        <f>STATS1003B!Q2173/1000</f>
        <v>618.83900000000006</v>
      </c>
      <c r="R2169" s="85">
        <f>STATS1003B!R2173/1000</f>
        <v>0</v>
      </c>
      <c r="S2169" s="85">
        <f>STATS1003B!S2173/1000</f>
        <v>0</v>
      </c>
      <c r="T2169" s="85">
        <f>STATS1003B!T2173/1000</f>
        <v>0</v>
      </c>
      <c r="U2169" s="85">
        <f>STATS1003B!U2173/1000</f>
        <v>0</v>
      </c>
      <c r="V2169" s="85">
        <f>STATS1003B!V2173/1000</f>
        <v>0</v>
      </c>
      <c r="W2169" s="85">
        <f>STATS1003B!W2173/1000</f>
        <v>0</v>
      </c>
      <c r="X2169" s="85">
        <f t="shared" si="232"/>
        <v>618.83900000000006</v>
      </c>
      <c r="Y2169" s="85">
        <f>STATS1003B!Y2173/1000</f>
        <v>0</v>
      </c>
      <c r="Z2169" s="85">
        <f t="shared" si="235"/>
        <v>0</v>
      </c>
      <c r="AA2169" s="69">
        <f>STATS1003B!AA2173/1000</f>
        <v>618.83900000000006</v>
      </c>
      <c r="AB2169" s="69">
        <f>STATS1003B!AB2173/1000</f>
        <v>0</v>
      </c>
    </row>
    <row r="2170" spans="1:28" hidden="1" x14ac:dyDescent="0.3">
      <c r="A2170" s="117"/>
      <c r="C2170" s="68" t="s">
        <v>551</v>
      </c>
      <c r="E2170" s="85">
        <f>STATS1003B!E2174/1000</f>
        <v>6856.64084</v>
      </c>
      <c r="F2170" s="85">
        <f>STATS1003B!F2174/1000</f>
        <v>6856.64084</v>
      </c>
      <c r="G2170" s="85">
        <f>STATS1003B!G2174/1000</f>
        <v>0</v>
      </c>
      <c r="H2170" s="85">
        <f>STATS1003B!H2174/1000</f>
        <v>6856.64084</v>
      </c>
      <c r="I2170" s="85">
        <f>STATS1003B!I2174/1000</f>
        <v>0</v>
      </c>
      <c r="J2170" s="85">
        <f>STATS1003B!J2174/1000</f>
        <v>6856.64084</v>
      </c>
      <c r="K2170" s="85">
        <f>STATS1003B!K2174/1000</f>
        <v>0</v>
      </c>
      <c r="L2170" s="85">
        <f>STATS1003B!L2174/1000</f>
        <v>0</v>
      </c>
      <c r="M2170" s="85">
        <f>STATS1003B!M2174/1000</f>
        <v>6856.64084</v>
      </c>
      <c r="N2170" s="85">
        <f>STATS1003B!N2174/1000</f>
        <v>0</v>
      </c>
      <c r="O2170" s="85">
        <f>STATS1003B!O2174/1000</f>
        <v>0</v>
      </c>
      <c r="P2170" s="85">
        <f>STATS1003B!P2174/1000</f>
        <v>0</v>
      </c>
      <c r="Q2170" s="85">
        <f>STATS1003B!Q2174/1000</f>
        <v>6856.64084</v>
      </c>
      <c r="R2170" s="85">
        <f>STATS1003B!R2174/1000</f>
        <v>0</v>
      </c>
      <c r="S2170" s="85">
        <f>STATS1003B!S2174/1000</f>
        <v>0</v>
      </c>
      <c r="T2170" s="85">
        <f>STATS1003B!T2174/1000</f>
        <v>0</v>
      </c>
      <c r="U2170" s="85">
        <f>STATS1003B!U2174/1000</f>
        <v>0</v>
      </c>
      <c r="V2170" s="85">
        <f>STATS1003B!V2174/1000</f>
        <v>0</v>
      </c>
      <c r="W2170" s="85">
        <f>STATS1003B!W2174/1000</f>
        <v>0</v>
      </c>
      <c r="X2170" s="85">
        <f t="shared" si="232"/>
        <v>6856.64084</v>
      </c>
      <c r="Y2170" s="85">
        <f>STATS1003B!Y2174/1000</f>
        <v>0</v>
      </c>
      <c r="Z2170" s="85">
        <f t="shared" si="235"/>
        <v>0</v>
      </c>
      <c r="AA2170" s="69">
        <f>STATS1003B!AA2174/1000</f>
        <v>6856.64084</v>
      </c>
      <c r="AB2170" s="69">
        <f>STATS1003B!AB2174/1000</f>
        <v>0</v>
      </c>
    </row>
    <row r="2171" spans="1:28" hidden="1" x14ac:dyDescent="0.3">
      <c r="A2171" s="117"/>
      <c r="C2171" s="68" t="s">
        <v>606</v>
      </c>
      <c r="E2171" s="85">
        <f>STATS1003B!E2175/1000</f>
        <v>9044</v>
      </c>
      <c r="F2171" s="85">
        <f>STATS1003B!F2175/1000</f>
        <v>9044</v>
      </c>
      <c r="G2171" s="85">
        <f>STATS1003B!G2175/1000</f>
        <v>0</v>
      </c>
      <c r="H2171" s="85">
        <f>STATS1003B!H2175/1000</f>
        <v>9044</v>
      </c>
      <c r="I2171" s="85">
        <f>STATS1003B!I2175/1000</f>
        <v>0</v>
      </c>
      <c r="J2171" s="85">
        <f>STATS1003B!J2175/1000</f>
        <v>9044</v>
      </c>
      <c r="K2171" s="85">
        <f>STATS1003B!K2175/1000</f>
        <v>0</v>
      </c>
      <c r="L2171" s="85">
        <f>STATS1003B!L2175/1000</f>
        <v>0</v>
      </c>
      <c r="M2171" s="85">
        <f>STATS1003B!M2175/1000</f>
        <v>9044</v>
      </c>
      <c r="N2171" s="85">
        <f>STATS1003B!N2175/1000</f>
        <v>0</v>
      </c>
      <c r="O2171" s="85">
        <f>STATS1003B!O2175/1000</f>
        <v>0</v>
      </c>
      <c r="P2171" s="85">
        <f>STATS1003B!P2175/1000</f>
        <v>0</v>
      </c>
      <c r="Q2171" s="85">
        <f>STATS1003B!Q2175/1000</f>
        <v>9044</v>
      </c>
      <c r="R2171" s="85">
        <f>STATS1003B!R2175/1000</f>
        <v>0</v>
      </c>
      <c r="S2171" s="85">
        <f>STATS1003B!S2175/1000</f>
        <v>0</v>
      </c>
      <c r="T2171" s="85">
        <f>STATS1003B!T2175/1000</f>
        <v>0</v>
      </c>
      <c r="U2171" s="85">
        <f>STATS1003B!U2175/1000</f>
        <v>0</v>
      </c>
      <c r="V2171" s="85">
        <f>STATS1003B!V2175/1000</f>
        <v>0</v>
      </c>
      <c r="W2171" s="85">
        <f>STATS1003B!W2175/1000</f>
        <v>0</v>
      </c>
      <c r="X2171" s="85">
        <f t="shared" si="232"/>
        <v>9044</v>
      </c>
      <c r="Y2171" s="85">
        <f>STATS1003B!Y2175/1000</f>
        <v>0</v>
      </c>
      <c r="Z2171" s="85">
        <f t="shared" si="235"/>
        <v>0</v>
      </c>
      <c r="AA2171" s="69">
        <f>STATS1003B!AA2175/1000</f>
        <v>9044</v>
      </c>
      <c r="AB2171" s="69">
        <f>STATS1003B!AB2175/1000</f>
        <v>0</v>
      </c>
    </row>
    <row r="2172" spans="1:28" hidden="1" x14ac:dyDescent="0.3">
      <c r="A2172" s="117"/>
      <c r="E2172" s="86" t="s">
        <v>29</v>
      </c>
      <c r="F2172" s="86" t="s">
        <v>29</v>
      </c>
      <c r="G2172" s="86" t="s">
        <v>29</v>
      </c>
      <c r="H2172" s="86" t="s">
        <v>29</v>
      </c>
      <c r="I2172" s="86" t="s">
        <v>29</v>
      </c>
      <c r="J2172" s="86" t="s">
        <v>29</v>
      </c>
      <c r="K2172" s="86" t="s">
        <v>29</v>
      </c>
      <c r="L2172" s="86" t="s">
        <v>29</v>
      </c>
      <c r="M2172" s="86" t="s">
        <v>29</v>
      </c>
      <c r="N2172" s="86" t="s">
        <v>29</v>
      </c>
      <c r="O2172" s="86" t="s">
        <v>29</v>
      </c>
      <c r="P2172" s="86" t="s">
        <v>29</v>
      </c>
      <c r="Q2172" s="86" t="s">
        <v>29</v>
      </c>
      <c r="R2172" s="86" t="s">
        <v>29</v>
      </c>
      <c r="S2172" s="86" t="s">
        <v>29</v>
      </c>
      <c r="T2172" s="86" t="s">
        <v>29</v>
      </c>
      <c r="U2172" s="86" t="s">
        <v>29</v>
      </c>
      <c r="V2172" s="86" t="s">
        <v>29</v>
      </c>
      <c r="W2172" s="86" t="s">
        <v>29</v>
      </c>
      <c r="X2172" s="85" t="e">
        <f t="shared" si="232"/>
        <v>#VALUE!</v>
      </c>
      <c r="Y2172" s="86" t="s">
        <v>29</v>
      </c>
      <c r="Z2172" s="85" t="e">
        <f t="shared" si="235"/>
        <v>#VALUE!</v>
      </c>
      <c r="AA2172" s="115" t="s">
        <v>29</v>
      </c>
      <c r="AB2172" s="115" t="s">
        <v>29</v>
      </c>
    </row>
    <row r="2173" spans="1:28" x14ac:dyDescent="0.3">
      <c r="A2173" s="116">
        <v>94</v>
      </c>
      <c r="B2173" s="68" t="s">
        <v>809</v>
      </c>
      <c r="E2173" s="85">
        <f>259903627.66/1000</f>
        <v>259903.62766</v>
      </c>
      <c r="F2173" s="85">
        <f t="shared" ref="F2173:Q2173" si="236">SUM(F2141:F2172)</f>
        <v>74823.447320000007</v>
      </c>
      <c r="G2173" s="85">
        <f t="shared" si="236"/>
        <v>874.4941</v>
      </c>
      <c r="H2173" s="85">
        <f>257249696.66/1000</f>
        <v>257249.69665999999</v>
      </c>
      <c r="I2173" s="85">
        <f t="shared" si="236"/>
        <v>400</v>
      </c>
      <c r="J2173" s="85">
        <f t="shared" si="236"/>
        <v>66768.89963</v>
      </c>
      <c r="K2173" s="85">
        <f t="shared" si="236"/>
        <v>2246.9019000000003</v>
      </c>
      <c r="L2173" s="85">
        <f t="shared" si="236"/>
        <v>400</v>
      </c>
      <c r="M2173" s="85">
        <f t="shared" si="236"/>
        <v>76097.941420000003</v>
      </c>
      <c r="N2173" s="85">
        <f t="shared" si="236"/>
        <v>2246.9019000000003</v>
      </c>
      <c r="O2173" s="85">
        <f t="shared" si="236"/>
        <v>0</v>
      </c>
      <c r="P2173" s="85">
        <f>2246901.9/1000</f>
        <v>2246.9018999999998</v>
      </c>
      <c r="Q2173" s="85">
        <f t="shared" si="236"/>
        <v>54651.414919999996</v>
      </c>
      <c r="R2173" s="84"/>
      <c r="S2173" s="84"/>
      <c r="T2173" s="85">
        <f t="shared" ref="T2173:Y2173" si="237">SUM(T2141:T2172)</f>
        <v>7.0291000000000006</v>
      </c>
      <c r="U2173" s="85">
        <f t="shared" si="237"/>
        <v>2253.931</v>
      </c>
      <c r="V2173" s="85">
        <f t="shared" si="237"/>
        <v>0</v>
      </c>
      <c r="W2173" s="85">
        <f t="shared" si="237"/>
        <v>0</v>
      </c>
      <c r="X2173" s="85">
        <f>+H2173+P2173</f>
        <v>259496.59855999998</v>
      </c>
      <c r="Y2173" s="85">
        <f t="shared" si="237"/>
        <v>0</v>
      </c>
      <c r="Z2173" s="85">
        <f t="shared" si="235"/>
        <v>407.0291000000143</v>
      </c>
      <c r="AA2173" s="69">
        <f>SUM(AA2141:AA2172)</f>
        <v>78351.87242</v>
      </c>
      <c r="AB2173" s="69">
        <f>SUM(AB2141:AB2172)</f>
        <v>0</v>
      </c>
    </row>
    <row r="2174" spans="1:28" hidden="1" x14ac:dyDescent="0.3">
      <c r="A2174" s="117"/>
      <c r="E2174" s="86" t="s">
        <v>29</v>
      </c>
      <c r="F2174" s="86" t="s">
        <v>29</v>
      </c>
      <c r="G2174" s="86" t="s">
        <v>29</v>
      </c>
      <c r="H2174" s="86" t="s">
        <v>29</v>
      </c>
      <c r="I2174" s="86" t="s">
        <v>29</v>
      </c>
      <c r="J2174" s="86" t="s">
        <v>29</v>
      </c>
      <c r="K2174" s="86" t="s">
        <v>29</v>
      </c>
      <c r="L2174" s="86" t="s">
        <v>29</v>
      </c>
      <c r="M2174" s="86" t="s">
        <v>29</v>
      </c>
      <c r="N2174" s="86" t="s">
        <v>29</v>
      </c>
      <c r="O2174" s="86" t="s">
        <v>29</v>
      </c>
      <c r="P2174" s="86" t="s">
        <v>29</v>
      </c>
      <c r="Q2174" s="86" t="s">
        <v>29</v>
      </c>
      <c r="R2174" s="86" t="s">
        <v>29</v>
      </c>
      <c r="S2174" s="86" t="s">
        <v>29</v>
      </c>
      <c r="T2174" s="86" t="s">
        <v>29</v>
      </c>
      <c r="U2174" s="86" t="s">
        <v>29</v>
      </c>
      <c r="V2174" s="86" t="s">
        <v>29</v>
      </c>
      <c r="W2174" s="86" t="s">
        <v>29</v>
      </c>
      <c r="X2174" s="85" t="e">
        <f t="shared" si="232"/>
        <v>#VALUE!</v>
      </c>
      <c r="Y2174" s="86" t="s">
        <v>29</v>
      </c>
      <c r="Z2174" s="85" t="e">
        <f t="shared" si="235"/>
        <v>#VALUE!</v>
      </c>
      <c r="AA2174" s="115" t="s">
        <v>29</v>
      </c>
      <c r="AB2174" s="115" t="s">
        <v>29</v>
      </c>
    </row>
    <row r="2175" spans="1:28" hidden="1" x14ac:dyDescent="0.3">
      <c r="A2175" s="105"/>
      <c r="E2175" s="84"/>
      <c r="F2175" s="84"/>
      <c r="G2175" s="84"/>
      <c r="H2175" s="84"/>
      <c r="I2175" s="84"/>
      <c r="J2175" s="84"/>
      <c r="K2175" s="84"/>
      <c r="L2175" s="84"/>
      <c r="M2175" s="84"/>
      <c r="N2175" s="84"/>
      <c r="O2175" s="84"/>
      <c r="P2175" s="84"/>
      <c r="Q2175" s="84"/>
      <c r="R2175" s="84"/>
      <c r="S2175" s="84"/>
      <c r="T2175" s="84"/>
      <c r="U2175" s="84"/>
      <c r="V2175" s="84"/>
      <c r="W2175" s="84"/>
      <c r="X2175" s="85">
        <f t="shared" si="232"/>
        <v>0</v>
      </c>
      <c r="Y2175" s="84"/>
      <c r="Z2175" s="85">
        <f t="shared" si="235"/>
        <v>0</v>
      </c>
    </row>
    <row r="2176" spans="1:28" hidden="1" x14ac:dyDescent="0.3">
      <c r="A2176" s="117"/>
      <c r="C2176" s="68" t="s">
        <v>535</v>
      </c>
      <c r="D2176" s="145" t="s">
        <v>68</v>
      </c>
      <c r="E2176" s="85">
        <f>STATS1003B!E2180/1000</f>
        <v>190.78498999999999</v>
      </c>
      <c r="F2176" s="85">
        <f>STATS1003B!F2180/1000</f>
        <v>134.95459</v>
      </c>
      <c r="G2176" s="85">
        <f>STATS1003B!G2180/1000</f>
        <v>0</v>
      </c>
      <c r="H2176" s="85">
        <f>STATS1003B!H2180/1000</f>
        <v>134.95459</v>
      </c>
      <c r="I2176" s="85">
        <f>STATS1003B!I2180/1000</f>
        <v>0</v>
      </c>
      <c r="J2176" s="85">
        <f>STATS1003B!J2180/1000</f>
        <v>134.95459</v>
      </c>
      <c r="K2176" s="85">
        <f>STATS1003B!K2180/1000</f>
        <v>55.830400000000004</v>
      </c>
      <c r="L2176" s="85">
        <f>STATS1003B!L2180/1000</f>
        <v>0</v>
      </c>
      <c r="M2176" s="85">
        <f>STATS1003B!M2180/1000</f>
        <v>134.95459</v>
      </c>
      <c r="N2176" s="85">
        <f>STATS1003B!N2180/1000</f>
        <v>55.830400000000004</v>
      </c>
      <c r="O2176" s="85">
        <f>STATS1003B!O2180/1000</f>
        <v>0</v>
      </c>
      <c r="P2176" s="85">
        <f>STATS1003B!P2180/1000</f>
        <v>55.830400000000004</v>
      </c>
      <c r="Q2176" s="85">
        <f>STATS1003B!Q2180/1000</f>
        <v>134.95459</v>
      </c>
      <c r="R2176" s="85">
        <f>STATS1003B!R2180/1000</f>
        <v>0</v>
      </c>
      <c r="S2176" s="85">
        <f>STATS1003B!S2180/1000</f>
        <v>0</v>
      </c>
      <c r="T2176" s="85">
        <f>STATS1003B!T2180/1000</f>
        <v>0</v>
      </c>
      <c r="U2176" s="85">
        <f>STATS1003B!U2180/1000</f>
        <v>55.830400000000004</v>
      </c>
      <c r="V2176" s="85">
        <f>STATS1003B!V2180/1000</f>
        <v>0</v>
      </c>
      <c r="W2176" s="85">
        <f>STATS1003B!W2180/1000</f>
        <v>0</v>
      </c>
      <c r="X2176" s="85">
        <f t="shared" si="232"/>
        <v>190.78498999999999</v>
      </c>
      <c r="Y2176" s="85">
        <f>STATS1003B!Y2180/1000</f>
        <v>0</v>
      </c>
      <c r="Z2176" s="85">
        <f t="shared" si="235"/>
        <v>0</v>
      </c>
      <c r="AA2176" s="69">
        <f>STATS1003B!AA2180/1000</f>
        <v>190.78498999999999</v>
      </c>
      <c r="AB2176" s="69">
        <f>STATS1003B!AB2180/1000</f>
        <v>0</v>
      </c>
    </row>
    <row r="2177" spans="1:28" hidden="1" x14ac:dyDescent="0.3">
      <c r="A2177" s="117"/>
      <c r="C2177" s="68" t="s">
        <v>535</v>
      </c>
      <c r="D2177" s="145" t="s">
        <v>54</v>
      </c>
      <c r="E2177" s="85">
        <f>STATS1003B!E2181/1000</f>
        <v>581.20000000000005</v>
      </c>
      <c r="F2177" s="85">
        <f>STATS1003B!F2181/1000</f>
        <v>581.20000000000005</v>
      </c>
      <c r="G2177" s="85">
        <f>STATS1003B!G2181/1000</f>
        <v>0</v>
      </c>
      <c r="H2177" s="85">
        <f>STATS1003B!H2181/1000</f>
        <v>581.20000000000005</v>
      </c>
      <c r="I2177" s="85">
        <f>STATS1003B!I2181/1000</f>
        <v>0</v>
      </c>
      <c r="J2177" s="85">
        <f>STATS1003B!J2181/1000</f>
        <v>581.20000000000005</v>
      </c>
      <c r="K2177" s="85">
        <f>STATS1003B!K2181/1000</f>
        <v>0</v>
      </c>
      <c r="L2177" s="85">
        <f>STATS1003B!L2181/1000</f>
        <v>0</v>
      </c>
      <c r="M2177" s="85">
        <f>STATS1003B!M2181/1000</f>
        <v>581.20000000000005</v>
      </c>
      <c r="N2177" s="85">
        <f>STATS1003B!N2181/1000</f>
        <v>0</v>
      </c>
      <c r="O2177" s="85">
        <f>STATS1003B!O2181/1000</f>
        <v>0</v>
      </c>
      <c r="P2177" s="85">
        <f>STATS1003B!P2181/1000</f>
        <v>0</v>
      </c>
      <c r="Q2177" s="85">
        <f>STATS1003B!Q2181/1000</f>
        <v>581.20000000000005</v>
      </c>
      <c r="R2177" s="85">
        <f>STATS1003B!R2181/1000</f>
        <v>0</v>
      </c>
      <c r="S2177" s="85">
        <f>STATS1003B!S2181/1000</f>
        <v>0</v>
      </c>
      <c r="T2177" s="85">
        <f>STATS1003B!T2181/1000</f>
        <v>0</v>
      </c>
      <c r="U2177" s="85">
        <f>STATS1003B!U2181/1000</f>
        <v>0</v>
      </c>
      <c r="V2177" s="85">
        <f>STATS1003B!V2181/1000</f>
        <v>0</v>
      </c>
      <c r="W2177" s="85">
        <f>STATS1003B!W2181/1000</f>
        <v>0</v>
      </c>
      <c r="X2177" s="85">
        <f t="shared" ref="X2177:X2240" si="238">+H2177+P2177</f>
        <v>581.20000000000005</v>
      </c>
      <c r="Y2177" s="85">
        <f>STATS1003B!Y2181/1000</f>
        <v>0</v>
      </c>
      <c r="Z2177" s="85">
        <f t="shared" si="235"/>
        <v>0</v>
      </c>
      <c r="AA2177" s="69">
        <f>STATS1003B!AA2181/1000</f>
        <v>581.20000000000005</v>
      </c>
      <c r="AB2177" s="69">
        <f>STATS1003B!AB2181/1000</f>
        <v>0</v>
      </c>
    </row>
    <row r="2178" spans="1:28" hidden="1" x14ac:dyDescent="0.3">
      <c r="A2178" s="117"/>
      <c r="C2178" s="68" t="s">
        <v>821</v>
      </c>
      <c r="D2178" s="145" t="s">
        <v>54</v>
      </c>
      <c r="E2178" s="85">
        <f>STATS1003B!E2182/1000</f>
        <v>1767.77</v>
      </c>
      <c r="F2178" s="85">
        <f>STATS1003B!F2182/1000</f>
        <v>0</v>
      </c>
      <c r="G2178" s="85">
        <f>STATS1003B!G2182/1000</f>
        <v>0</v>
      </c>
      <c r="H2178" s="85">
        <f>STATS1003B!H2182/1000</f>
        <v>0</v>
      </c>
      <c r="I2178" s="85">
        <f>STATS1003B!I2182/1000</f>
        <v>0</v>
      </c>
      <c r="J2178" s="85">
        <f>STATS1003B!J2182/1000</f>
        <v>0</v>
      </c>
      <c r="K2178" s="85">
        <f>STATS1003B!K2182/1000</f>
        <v>1767.77</v>
      </c>
      <c r="L2178" s="85">
        <f>STATS1003B!L2182/1000</f>
        <v>0</v>
      </c>
      <c r="M2178" s="85">
        <f>STATS1003B!M2182/1000</f>
        <v>0</v>
      </c>
      <c r="N2178" s="85">
        <f>STATS1003B!N2182/1000</f>
        <v>1767.77</v>
      </c>
      <c r="O2178" s="85">
        <f>STATS1003B!O2182/1000</f>
        <v>0</v>
      </c>
      <c r="P2178" s="85">
        <f>STATS1003B!P2182/1000</f>
        <v>1767.77</v>
      </c>
      <c r="Q2178" s="85">
        <f>STATS1003B!Q2182/1000</f>
        <v>0</v>
      </c>
      <c r="R2178" s="85">
        <f>STATS1003B!R2182/1000</f>
        <v>0</v>
      </c>
      <c r="S2178" s="85">
        <f>STATS1003B!S2182/1000</f>
        <v>0</v>
      </c>
      <c r="T2178" s="85">
        <f>STATS1003B!T2182/1000</f>
        <v>0</v>
      </c>
      <c r="U2178" s="85">
        <f>STATS1003B!U2182/1000</f>
        <v>1767.77</v>
      </c>
      <c r="V2178" s="85">
        <f>STATS1003B!V2182/1000</f>
        <v>0</v>
      </c>
      <c r="W2178" s="85">
        <f>STATS1003B!W2182/1000</f>
        <v>0</v>
      </c>
      <c r="X2178" s="85">
        <f t="shared" si="238"/>
        <v>1767.77</v>
      </c>
      <c r="Y2178" s="85">
        <f>STATS1003B!Y2182/1000</f>
        <v>0</v>
      </c>
      <c r="Z2178" s="85">
        <f t="shared" si="235"/>
        <v>0</v>
      </c>
      <c r="AA2178" s="69">
        <f>STATS1003B!AA2182/1000</f>
        <v>1767.77</v>
      </c>
      <c r="AB2178" s="69">
        <f>STATS1003B!AB2182/1000</f>
        <v>0</v>
      </c>
    </row>
    <row r="2179" spans="1:28" hidden="1" x14ac:dyDescent="0.3">
      <c r="A2179" s="117"/>
      <c r="C2179" s="68" t="s">
        <v>535</v>
      </c>
      <c r="D2179" s="145" t="s">
        <v>85</v>
      </c>
      <c r="E2179" s="85">
        <f>STATS1003B!E2183/1000</f>
        <v>1010.7</v>
      </c>
      <c r="F2179" s="85">
        <f>STATS1003B!F2183/1000</f>
        <v>1010.7</v>
      </c>
      <c r="G2179" s="85">
        <f>STATS1003B!G2183/1000</f>
        <v>0</v>
      </c>
      <c r="H2179" s="85">
        <f>STATS1003B!H2183/1000</f>
        <v>1010.7</v>
      </c>
      <c r="I2179" s="85">
        <f>STATS1003B!I2183/1000</f>
        <v>0</v>
      </c>
      <c r="J2179" s="85">
        <f>STATS1003B!J2183/1000</f>
        <v>1010.7</v>
      </c>
      <c r="K2179" s="85">
        <f>STATS1003B!K2183/1000</f>
        <v>0</v>
      </c>
      <c r="L2179" s="85">
        <f>STATS1003B!L2183/1000</f>
        <v>0</v>
      </c>
      <c r="M2179" s="85">
        <f>STATS1003B!M2183/1000</f>
        <v>1010.7</v>
      </c>
      <c r="N2179" s="85">
        <f>STATS1003B!N2183/1000</f>
        <v>0</v>
      </c>
      <c r="O2179" s="85">
        <f>STATS1003B!O2183/1000</f>
        <v>0</v>
      </c>
      <c r="P2179" s="85">
        <f>STATS1003B!P2183/1000</f>
        <v>0</v>
      </c>
      <c r="Q2179" s="85">
        <f>STATS1003B!Q2183/1000</f>
        <v>1010.7</v>
      </c>
      <c r="R2179" s="85">
        <f>STATS1003B!R2183/1000</f>
        <v>0</v>
      </c>
      <c r="S2179" s="85">
        <f>STATS1003B!S2183/1000</f>
        <v>0</v>
      </c>
      <c r="T2179" s="85">
        <f>STATS1003B!T2183/1000</f>
        <v>0</v>
      </c>
      <c r="U2179" s="85">
        <f>STATS1003B!U2183/1000</f>
        <v>0</v>
      </c>
      <c r="V2179" s="85">
        <f>STATS1003B!V2183/1000</f>
        <v>0</v>
      </c>
      <c r="W2179" s="85">
        <f>STATS1003B!W2183/1000</f>
        <v>0</v>
      </c>
      <c r="X2179" s="85">
        <f t="shared" si="238"/>
        <v>1010.7</v>
      </c>
      <c r="Y2179" s="85">
        <f>STATS1003B!Y2183/1000</f>
        <v>0</v>
      </c>
      <c r="Z2179" s="85">
        <f t="shared" si="235"/>
        <v>0</v>
      </c>
      <c r="AA2179" s="69">
        <f>STATS1003B!AA2183/1000</f>
        <v>1010.7</v>
      </c>
      <c r="AB2179" s="69">
        <f>STATS1003B!AB2183/1000</f>
        <v>0</v>
      </c>
    </row>
    <row r="2180" spans="1:28" hidden="1" x14ac:dyDescent="0.3">
      <c r="A2180" s="117"/>
      <c r="C2180" s="68" t="s">
        <v>822</v>
      </c>
      <c r="D2180" s="145" t="s">
        <v>85</v>
      </c>
      <c r="E2180" s="85">
        <f>STATS1003B!E2184/1000</f>
        <v>1060</v>
      </c>
      <c r="F2180" s="85">
        <f>STATS1003B!F2184/1000</f>
        <v>1060</v>
      </c>
      <c r="G2180" s="85">
        <f>STATS1003B!G2184/1000</f>
        <v>0</v>
      </c>
      <c r="H2180" s="85">
        <f>STATS1003B!H2184/1000</f>
        <v>1060</v>
      </c>
      <c r="I2180" s="85">
        <f>STATS1003B!I2184/1000</f>
        <v>0</v>
      </c>
      <c r="J2180" s="85">
        <f>STATS1003B!J2184/1000</f>
        <v>1060</v>
      </c>
      <c r="K2180" s="85">
        <f>STATS1003B!K2184/1000</f>
        <v>0</v>
      </c>
      <c r="L2180" s="85">
        <f>STATS1003B!L2184/1000</f>
        <v>0</v>
      </c>
      <c r="M2180" s="85">
        <f>STATS1003B!M2184/1000</f>
        <v>1060</v>
      </c>
      <c r="N2180" s="85">
        <f>STATS1003B!N2184/1000</f>
        <v>0</v>
      </c>
      <c r="O2180" s="85">
        <f>STATS1003B!O2184/1000</f>
        <v>0</v>
      </c>
      <c r="P2180" s="85">
        <f>STATS1003B!P2184/1000</f>
        <v>0</v>
      </c>
      <c r="Q2180" s="85">
        <f>STATS1003B!Q2184/1000</f>
        <v>1060</v>
      </c>
      <c r="R2180" s="85">
        <f>STATS1003B!R2184/1000</f>
        <v>0</v>
      </c>
      <c r="S2180" s="85">
        <f>STATS1003B!S2184/1000</f>
        <v>0</v>
      </c>
      <c r="T2180" s="85">
        <f>STATS1003B!T2184/1000</f>
        <v>0</v>
      </c>
      <c r="U2180" s="85">
        <f>STATS1003B!U2184/1000</f>
        <v>0</v>
      </c>
      <c r="V2180" s="85">
        <f>STATS1003B!V2184/1000</f>
        <v>0</v>
      </c>
      <c r="W2180" s="85">
        <f>STATS1003B!W2184/1000</f>
        <v>0</v>
      </c>
      <c r="X2180" s="85">
        <f t="shared" si="238"/>
        <v>1060</v>
      </c>
      <c r="Y2180" s="85">
        <f>STATS1003B!Y2184/1000</f>
        <v>0</v>
      </c>
      <c r="Z2180" s="85">
        <f t="shared" si="235"/>
        <v>0</v>
      </c>
      <c r="AA2180" s="69">
        <f>STATS1003B!AA2184/1000</f>
        <v>1060</v>
      </c>
      <c r="AB2180" s="69">
        <f>STATS1003B!AB2184/1000</f>
        <v>0</v>
      </c>
    </row>
    <row r="2181" spans="1:28" hidden="1" x14ac:dyDescent="0.3">
      <c r="A2181" s="117"/>
      <c r="C2181" s="68" t="s">
        <v>667</v>
      </c>
      <c r="D2181" s="145" t="s">
        <v>85</v>
      </c>
      <c r="E2181" s="85">
        <f>STATS1003B!E2185/1000</f>
        <v>120</v>
      </c>
      <c r="F2181" s="85">
        <f>STATS1003B!F2185/1000</f>
        <v>120</v>
      </c>
      <c r="G2181" s="85">
        <f>STATS1003B!G2185/1000</f>
        <v>0</v>
      </c>
      <c r="H2181" s="85">
        <f>STATS1003B!H2185/1000</f>
        <v>120</v>
      </c>
      <c r="I2181" s="85">
        <f>STATS1003B!I2185/1000</f>
        <v>0</v>
      </c>
      <c r="J2181" s="85">
        <f>STATS1003B!J2185/1000</f>
        <v>120</v>
      </c>
      <c r="K2181" s="85">
        <f>STATS1003B!K2185/1000</f>
        <v>0</v>
      </c>
      <c r="L2181" s="85">
        <f>STATS1003B!L2185/1000</f>
        <v>0</v>
      </c>
      <c r="M2181" s="85">
        <f>STATS1003B!M2185/1000</f>
        <v>120</v>
      </c>
      <c r="N2181" s="85">
        <f>STATS1003B!N2185/1000</f>
        <v>0</v>
      </c>
      <c r="O2181" s="85">
        <f>STATS1003B!O2185/1000</f>
        <v>0</v>
      </c>
      <c r="P2181" s="85">
        <f>STATS1003B!P2185/1000</f>
        <v>0</v>
      </c>
      <c r="Q2181" s="85">
        <f>STATS1003B!Q2185/1000</f>
        <v>120</v>
      </c>
      <c r="R2181" s="85">
        <f>STATS1003B!R2185/1000</f>
        <v>0</v>
      </c>
      <c r="S2181" s="85">
        <f>STATS1003B!S2185/1000</f>
        <v>0</v>
      </c>
      <c r="T2181" s="85">
        <f>STATS1003B!T2185/1000</f>
        <v>0</v>
      </c>
      <c r="U2181" s="85">
        <f>STATS1003B!U2185/1000</f>
        <v>0</v>
      </c>
      <c r="V2181" s="85">
        <f>STATS1003B!V2185/1000</f>
        <v>0</v>
      </c>
      <c r="W2181" s="85">
        <f>STATS1003B!W2185/1000</f>
        <v>0</v>
      </c>
      <c r="X2181" s="85">
        <f t="shared" si="238"/>
        <v>120</v>
      </c>
      <c r="Y2181" s="85">
        <f>STATS1003B!Y2185/1000</f>
        <v>0</v>
      </c>
      <c r="Z2181" s="85">
        <f t="shared" si="235"/>
        <v>0</v>
      </c>
      <c r="AA2181" s="69">
        <f>STATS1003B!AA2185/1000</f>
        <v>120</v>
      </c>
      <c r="AB2181" s="69">
        <f>STATS1003B!AB2185/1000</f>
        <v>0</v>
      </c>
    </row>
    <row r="2182" spans="1:28" hidden="1" x14ac:dyDescent="0.3">
      <c r="A2182" s="117"/>
      <c r="C2182" s="68" t="s">
        <v>823</v>
      </c>
      <c r="D2182" s="145" t="s">
        <v>128</v>
      </c>
      <c r="E2182" s="85">
        <f>STATS1003B!E2186/1000</f>
        <v>800</v>
      </c>
      <c r="F2182" s="85">
        <f>STATS1003B!F2186/1000</f>
        <v>0</v>
      </c>
      <c r="G2182" s="85">
        <f>STATS1003B!G2186/1000</f>
        <v>0</v>
      </c>
      <c r="H2182" s="85">
        <f>STATS1003B!H2186/1000</f>
        <v>0</v>
      </c>
      <c r="I2182" s="85">
        <f>STATS1003B!I2186/1000</f>
        <v>800</v>
      </c>
      <c r="J2182" s="85">
        <f>STATS1003B!J2186/1000</f>
        <v>800</v>
      </c>
      <c r="K2182" s="85">
        <f>STATS1003B!K2186/1000</f>
        <v>0</v>
      </c>
      <c r="L2182" s="85">
        <f>STATS1003B!L2186/1000</f>
        <v>800</v>
      </c>
      <c r="M2182" s="85">
        <f>STATS1003B!M2186/1000</f>
        <v>800</v>
      </c>
      <c r="N2182" s="85">
        <f>STATS1003B!N2186/1000</f>
        <v>0</v>
      </c>
      <c r="O2182" s="85">
        <f>STATS1003B!O2186/1000</f>
        <v>0</v>
      </c>
      <c r="P2182" s="85">
        <f>STATS1003B!P2186/1000</f>
        <v>0</v>
      </c>
      <c r="Q2182" s="85">
        <f>STATS1003B!Q2186/1000</f>
        <v>800</v>
      </c>
      <c r="R2182" s="85">
        <f>STATS1003B!R2186/1000</f>
        <v>0</v>
      </c>
      <c r="S2182" s="85">
        <f>STATS1003B!S2186/1000</f>
        <v>0</v>
      </c>
      <c r="T2182" s="85">
        <f>STATS1003B!T2186/1000</f>
        <v>0</v>
      </c>
      <c r="U2182" s="85">
        <f>STATS1003B!U2186/1000</f>
        <v>0</v>
      </c>
      <c r="V2182" s="85">
        <f>STATS1003B!V2186/1000</f>
        <v>0</v>
      </c>
      <c r="W2182" s="85">
        <f>STATS1003B!W2186/1000</f>
        <v>0</v>
      </c>
      <c r="X2182" s="85">
        <f t="shared" si="238"/>
        <v>0</v>
      </c>
      <c r="Y2182" s="85">
        <f>STATS1003B!Y2186/1000</f>
        <v>0</v>
      </c>
      <c r="Z2182" s="85">
        <f t="shared" si="235"/>
        <v>800</v>
      </c>
      <c r="AA2182" s="69">
        <f>STATS1003B!AA2186/1000</f>
        <v>800</v>
      </c>
      <c r="AB2182" s="69">
        <f>STATS1003B!AB2186/1000</f>
        <v>0</v>
      </c>
    </row>
    <row r="2183" spans="1:28" hidden="1" x14ac:dyDescent="0.3">
      <c r="A2183" s="117"/>
      <c r="C2183" s="68" t="s">
        <v>535</v>
      </c>
      <c r="D2183" s="145" t="s">
        <v>88</v>
      </c>
      <c r="E2183" s="85">
        <f>STATS1003B!E2187/1000</f>
        <v>1500</v>
      </c>
      <c r="F2183" s="85">
        <f>STATS1003B!F2187/1000</f>
        <v>1500</v>
      </c>
      <c r="G2183" s="85">
        <f>STATS1003B!G2187/1000</f>
        <v>0</v>
      </c>
      <c r="H2183" s="85">
        <f>STATS1003B!H2187/1000</f>
        <v>1500</v>
      </c>
      <c r="I2183" s="85">
        <f>STATS1003B!I2187/1000</f>
        <v>0</v>
      </c>
      <c r="J2183" s="85">
        <f>STATS1003B!J2187/1000</f>
        <v>1500</v>
      </c>
      <c r="K2183" s="85">
        <f>STATS1003B!K2187/1000</f>
        <v>0</v>
      </c>
      <c r="L2183" s="85">
        <f>STATS1003B!L2187/1000</f>
        <v>0</v>
      </c>
      <c r="M2183" s="85">
        <f>STATS1003B!M2187/1000</f>
        <v>1500</v>
      </c>
      <c r="N2183" s="85">
        <f>STATS1003B!N2187/1000</f>
        <v>0</v>
      </c>
      <c r="O2183" s="85">
        <f>STATS1003B!O2187/1000</f>
        <v>0</v>
      </c>
      <c r="P2183" s="85">
        <f>STATS1003B!P2187/1000</f>
        <v>0</v>
      </c>
      <c r="Q2183" s="85">
        <f>STATS1003B!Q2187/1000</f>
        <v>1500</v>
      </c>
      <c r="R2183" s="85">
        <f>STATS1003B!R2187/1000</f>
        <v>0</v>
      </c>
      <c r="S2183" s="85">
        <f>STATS1003B!S2187/1000</f>
        <v>0</v>
      </c>
      <c r="T2183" s="85">
        <f>STATS1003B!T2187/1000</f>
        <v>0</v>
      </c>
      <c r="U2183" s="85">
        <f>STATS1003B!U2187/1000</f>
        <v>0</v>
      </c>
      <c r="V2183" s="85">
        <f>STATS1003B!V2187/1000</f>
        <v>0</v>
      </c>
      <c r="W2183" s="85">
        <f>STATS1003B!W2187/1000</f>
        <v>0</v>
      </c>
      <c r="X2183" s="85">
        <f t="shared" si="238"/>
        <v>1500</v>
      </c>
      <c r="Y2183" s="85">
        <f>STATS1003B!Y2187/1000</f>
        <v>0</v>
      </c>
      <c r="Z2183" s="85">
        <f t="shared" si="235"/>
        <v>0</v>
      </c>
      <c r="AA2183" s="69">
        <f>STATS1003B!AA2187/1000</f>
        <v>1500</v>
      </c>
      <c r="AB2183" s="69">
        <f>STATS1003B!AB2187/1000</f>
        <v>0</v>
      </c>
    </row>
    <row r="2184" spans="1:28" hidden="1" x14ac:dyDescent="0.3">
      <c r="A2184" s="117"/>
      <c r="B2184" s="145" t="s">
        <v>605</v>
      </c>
      <c r="C2184" s="68" t="s">
        <v>535</v>
      </c>
      <c r="D2184" s="145" t="s">
        <v>108</v>
      </c>
      <c r="E2184" s="85">
        <f>STATS1003B!E2188/1000</f>
        <v>2202.5202300000001</v>
      </c>
      <c r="F2184" s="85">
        <f>STATS1003B!F2188/1000</f>
        <v>2202.5202300000001</v>
      </c>
      <c r="G2184" s="85">
        <f>STATS1003B!G2188/1000</f>
        <v>0</v>
      </c>
      <c r="H2184" s="85">
        <f>STATS1003B!H2188/1000</f>
        <v>2202.5202300000001</v>
      </c>
      <c r="I2184" s="85">
        <f>STATS1003B!I2188/1000</f>
        <v>0</v>
      </c>
      <c r="J2184" s="85">
        <f>STATS1003B!J2188/1000</f>
        <v>2202.5202300000001</v>
      </c>
      <c r="K2184" s="85">
        <f>STATS1003B!K2188/1000</f>
        <v>0</v>
      </c>
      <c r="L2184" s="85">
        <f>STATS1003B!L2188/1000</f>
        <v>0</v>
      </c>
      <c r="M2184" s="85">
        <f>STATS1003B!M2188/1000</f>
        <v>2202.5202300000001</v>
      </c>
      <c r="N2184" s="85">
        <f>STATS1003B!N2188/1000</f>
        <v>0</v>
      </c>
      <c r="O2184" s="85">
        <f>STATS1003B!O2188/1000</f>
        <v>0</v>
      </c>
      <c r="P2184" s="85">
        <f>STATS1003B!P2188/1000</f>
        <v>0</v>
      </c>
      <c r="Q2184" s="85">
        <f>STATS1003B!Q2188/1000</f>
        <v>2202.5202300000001</v>
      </c>
      <c r="R2184" s="85">
        <f>STATS1003B!R2188/1000</f>
        <v>0</v>
      </c>
      <c r="S2184" s="85">
        <f>STATS1003B!S2188/1000</f>
        <v>0</v>
      </c>
      <c r="T2184" s="85">
        <f>STATS1003B!T2188/1000</f>
        <v>0</v>
      </c>
      <c r="U2184" s="85">
        <f>STATS1003B!U2188/1000</f>
        <v>0</v>
      </c>
      <c r="V2184" s="85">
        <f>STATS1003B!V2188/1000</f>
        <v>0</v>
      </c>
      <c r="W2184" s="85">
        <f>STATS1003B!W2188/1000</f>
        <v>0</v>
      </c>
      <c r="X2184" s="85">
        <f t="shared" si="238"/>
        <v>2202.5202300000001</v>
      </c>
      <c r="Y2184" s="85">
        <f>STATS1003B!Y2188/1000</f>
        <v>0</v>
      </c>
      <c r="Z2184" s="85">
        <f t="shared" si="235"/>
        <v>0</v>
      </c>
      <c r="AA2184" s="69">
        <f>STATS1003B!AA2188/1000</f>
        <v>2202.5202300000001</v>
      </c>
      <c r="AB2184" s="69">
        <f>STATS1003B!AB2188/1000</f>
        <v>0</v>
      </c>
    </row>
    <row r="2185" spans="1:28" hidden="1" x14ac:dyDescent="0.3">
      <c r="A2185" s="117"/>
      <c r="C2185" s="68" t="s">
        <v>535</v>
      </c>
      <c r="D2185" s="88" t="s">
        <v>60</v>
      </c>
      <c r="E2185" s="85">
        <f>STATS1003B!E2189/1000</f>
        <v>3192.85</v>
      </c>
      <c r="F2185" s="85">
        <f>STATS1003B!F2189/1000</f>
        <v>3192.85</v>
      </c>
      <c r="G2185" s="85">
        <f>STATS1003B!G2189/1000</f>
        <v>0</v>
      </c>
      <c r="H2185" s="85">
        <f>STATS1003B!H2189/1000</f>
        <v>3192.85</v>
      </c>
      <c r="I2185" s="85">
        <f>STATS1003B!I2189/1000</f>
        <v>0</v>
      </c>
      <c r="J2185" s="85">
        <f>STATS1003B!J2189/1000</f>
        <v>3192.85</v>
      </c>
      <c r="K2185" s="85">
        <f>STATS1003B!K2189/1000</f>
        <v>0</v>
      </c>
      <c r="L2185" s="85">
        <f>STATS1003B!L2189/1000</f>
        <v>0</v>
      </c>
      <c r="M2185" s="85">
        <f>STATS1003B!M2189/1000</f>
        <v>3192.85</v>
      </c>
      <c r="N2185" s="85">
        <f>STATS1003B!N2189/1000</f>
        <v>0</v>
      </c>
      <c r="O2185" s="85">
        <f>STATS1003B!O2189/1000</f>
        <v>0</v>
      </c>
      <c r="P2185" s="85">
        <f>STATS1003B!P2189/1000</f>
        <v>0</v>
      </c>
      <c r="Q2185" s="85">
        <f>STATS1003B!Q2189/1000</f>
        <v>3192.85</v>
      </c>
      <c r="R2185" s="85">
        <f>STATS1003B!R2189/1000</f>
        <v>0</v>
      </c>
      <c r="S2185" s="85">
        <f>STATS1003B!S2189/1000</f>
        <v>0</v>
      </c>
      <c r="T2185" s="85">
        <f>STATS1003B!T2189/1000</f>
        <v>0</v>
      </c>
      <c r="U2185" s="85">
        <f>STATS1003B!U2189/1000</f>
        <v>0</v>
      </c>
      <c r="V2185" s="85">
        <f>STATS1003B!V2189/1000</f>
        <v>0</v>
      </c>
      <c r="W2185" s="85">
        <f>STATS1003B!W2189/1000</f>
        <v>0</v>
      </c>
      <c r="X2185" s="85">
        <f t="shared" si="238"/>
        <v>3192.85</v>
      </c>
      <c r="Y2185" s="85">
        <f>STATS1003B!Y2189/1000</f>
        <v>0</v>
      </c>
      <c r="Z2185" s="85">
        <f t="shared" si="235"/>
        <v>0</v>
      </c>
      <c r="AA2185" s="69">
        <f>STATS1003B!AA2189/1000</f>
        <v>3192.85</v>
      </c>
      <c r="AB2185" s="69">
        <f>STATS1003B!AB2189/1000</f>
        <v>0</v>
      </c>
    </row>
    <row r="2186" spans="1:28" hidden="1" x14ac:dyDescent="0.3">
      <c r="A2186" s="117"/>
      <c r="C2186" s="68" t="s">
        <v>535</v>
      </c>
      <c r="D2186" s="88" t="s">
        <v>73</v>
      </c>
      <c r="E2186" s="85">
        <f>STATS1003B!E2190/1000</f>
        <v>1782.7103599999998</v>
      </c>
      <c r="F2186" s="85">
        <f>STATS1003B!F2190/1000</f>
        <v>1782.71036</v>
      </c>
      <c r="G2186" s="85">
        <f>STATS1003B!G2190/1000</f>
        <v>0</v>
      </c>
      <c r="H2186" s="85">
        <f>STATS1003B!H2190/1000</f>
        <v>1782.71036</v>
      </c>
      <c r="I2186" s="85">
        <f>STATS1003B!I2190/1000</f>
        <v>0</v>
      </c>
      <c r="J2186" s="85">
        <f>STATS1003B!J2190/1000</f>
        <v>1782.71036</v>
      </c>
      <c r="K2186" s="85">
        <f>STATS1003B!K2190/1000</f>
        <v>0</v>
      </c>
      <c r="L2186" s="85">
        <f>STATS1003B!L2190/1000</f>
        <v>0</v>
      </c>
      <c r="M2186" s="85">
        <f>STATS1003B!M2190/1000</f>
        <v>1782.71036</v>
      </c>
      <c r="N2186" s="85">
        <f>STATS1003B!N2190/1000</f>
        <v>0</v>
      </c>
      <c r="O2186" s="85">
        <f>STATS1003B!O2190/1000</f>
        <v>0</v>
      </c>
      <c r="P2186" s="85">
        <f>STATS1003B!P2190/1000</f>
        <v>0</v>
      </c>
      <c r="Q2186" s="85">
        <f>STATS1003B!Q2190/1000</f>
        <v>1782.7103599999998</v>
      </c>
      <c r="R2186" s="85">
        <f>STATS1003B!R2190/1000</f>
        <v>0</v>
      </c>
      <c r="S2186" s="85">
        <f>STATS1003B!S2190/1000</f>
        <v>0</v>
      </c>
      <c r="T2186" s="85">
        <f>STATS1003B!T2190/1000</f>
        <v>0</v>
      </c>
      <c r="U2186" s="85">
        <f>STATS1003B!U2190/1000</f>
        <v>0</v>
      </c>
      <c r="V2186" s="85">
        <f>STATS1003B!V2190/1000</f>
        <v>0</v>
      </c>
      <c r="W2186" s="85">
        <f>STATS1003B!W2190/1000</f>
        <v>0</v>
      </c>
      <c r="X2186" s="85">
        <f t="shared" si="238"/>
        <v>1782.71036</v>
      </c>
      <c r="Y2186" s="85">
        <f>STATS1003B!Y2190/1000</f>
        <v>0</v>
      </c>
      <c r="Z2186" s="85">
        <f t="shared" si="235"/>
        <v>0</v>
      </c>
      <c r="AA2186" s="69">
        <f>STATS1003B!AA2190/1000</f>
        <v>1782.71036</v>
      </c>
      <c r="AB2186" s="69">
        <f>STATS1003B!AB2190/1000</f>
        <v>0</v>
      </c>
    </row>
    <row r="2187" spans="1:28" hidden="1" x14ac:dyDescent="0.3">
      <c r="A2187" s="117"/>
      <c r="C2187" s="68" t="s">
        <v>535</v>
      </c>
      <c r="D2187" s="88" t="s">
        <v>61</v>
      </c>
      <c r="E2187" s="85">
        <f>STATS1003B!E2191/1000</f>
        <v>2397</v>
      </c>
      <c r="F2187" s="85">
        <f>STATS1003B!F2191/1000</f>
        <v>2397</v>
      </c>
      <c r="G2187" s="85">
        <f>STATS1003B!G2191/1000</f>
        <v>0</v>
      </c>
      <c r="H2187" s="85">
        <f>STATS1003B!H2191/1000</f>
        <v>2397</v>
      </c>
      <c r="I2187" s="85">
        <f>STATS1003B!I2191/1000</f>
        <v>0</v>
      </c>
      <c r="J2187" s="85">
        <f>STATS1003B!J2191/1000</f>
        <v>2397</v>
      </c>
      <c r="K2187" s="85">
        <f>STATS1003B!K2191/1000</f>
        <v>0</v>
      </c>
      <c r="L2187" s="85">
        <f>STATS1003B!L2191/1000</f>
        <v>0</v>
      </c>
      <c r="M2187" s="85">
        <f>STATS1003B!M2191/1000</f>
        <v>2397</v>
      </c>
      <c r="N2187" s="85">
        <f>STATS1003B!N2191/1000</f>
        <v>0</v>
      </c>
      <c r="O2187" s="85">
        <f>STATS1003B!O2191/1000</f>
        <v>0</v>
      </c>
      <c r="P2187" s="85">
        <f>STATS1003B!P2191/1000</f>
        <v>0</v>
      </c>
      <c r="Q2187" s="85">
        <f>STATS1003B!Q2191/1000</f>
        <v>2397</v>
      </c>
      <c r="R2187" s="85">
        <f>STATS1003B!R2191/1000</f>
        <v>0</v>
      </c>
      <c r="S2187" s="85">
        <f>STATS1003B!S2191/1000</f>
        <v>0</v>
      </c>
      <c r="T2187" s="85">
        <f>STATS1003B!T2191/1000</f>
        <v>0</v>
      </c>
      <c r="U2187" s="85">
        <f>STATS1003B!U2191/1000</f>
        <v>0</v>
      </c>
      <c r="V2187" s="85">
        <f>STATS1003B!V2191/1000</f>
        <v>0</v>
      </c>
      <c r="W2187" s="85">
        <f>STATS1003B!W2191/1000</f>
        <v>0</v>
      </c>
      <c r="X2187" s="85">
        <f t="shared" si="238"/>
        <v>2397</v>
      </c>
      <c r="Y2187" s="85">
        <f>STATS1003B!Y2191/1000</f>
        <v>0</v>
      </c>
      <c r="Z2187" s="85">
        <f t="shared" si="235"/>
        <v>0</v>
      </c>
      <c r="AA2187" s="69">
        <f>STATS1003B!AA2191/1000</f>
        <v>2397</v>
      </c>
      <c r="AB2187" s="69">
        <f>STATS1003B!AB2191/1000</f>
        <v>0</v>
      </c>
    </row>
    <row r="2188" spans="1:28" hidden="1" x14ac:dyDescent="0.3">
      <c r="A2188" s="117"/>
      <c r="C2188" s="68" t="s">
        <v>569</v>
      </c>
      <c r="E2188" s="85">
        <f>STATS1003B!E2192/1000</f>
        <v>965.52157999999997</v>
      </c>
      <c r="F2188" s="85">
        <f>STATS1003B!F2192/1000</f>
        <v>965.52157999999997</v>
      </c>
      <c r="G2188" s="85">
        <f>STATS1003B!G2192/1000</f>
        <v>0</v>
      </c>
      <c r="H2188" s="85">
        <f>STATS1003B!H2192/1000</f>
        <v>965.52157999999997</v>
      </c>
      <c r="I2188" s="85">
        <f>STATS1003B!I2192/1000</f>
        <v>0</v>
      </c>
      <c r="J2188" s="85">
        <f>STATS1003B!J2192/1000</f>
        <v>965.52157999999997</v>
      </c>
      <c r="K2188" s="85">
        <f>STATS1003B!K2192/1000</f>
        <v>0</v>
      </c>
      <c r="L2188" s="85">
        <f>STATS1003B!L2192/1000</f>
        <v>0</v>
      </c>
      <c r="M2188" s="85">
        <f>STATS1003B!M2192/1000</f>
        <v>965.52157999999997</v>
      </c>
      <c r="N2188" s="85">
        <f>STATS1003B!N2192/1000</f>
        <v>0</v>
      </c>
      <c r="O2188" s="85">
        <f>STATS1003B!O2192/1000</f>
        <v>0</v>
      </c>
      <c r="P2188" s="85">
        <f>STATS1003B!P2192/1000</f>
        <v>0</v>
      </c>
      <c r="Q2188" s="85">
        <f>STATS1003B!Q2192/1000</f>
        <v>965.52157999999997</v>
      </c>
      <c r="R2188" s="85">
        <f>STATS1003B!R2192/1000</f>
        <v>0</v>
      </c>
      <c r="S2188" s="85">
        <f>STATS1003B!S2192/1000</f>
        <v>0</v>
      </c>
      <c r="T2188" s="85">
        <f>STATS1003B!T2192/1000</f>
        <v>0</v>
      </c>
      <c r="U2188" s="85">
        <f>STATS1003B!U2192/1000</f>
        <v>0</v>
      </c>
      <c r="V2188" s="85">
        <f>STATS1003B!V2192/1000</f>
        <v>0</v>
      </c>
      <c r="W2188" s="85">
        <f>STATS1003B!W2192/1000</f>
        <v>0</v>
      </c>
      <c r="X2188" s="85">
        <f t="shared" si="238"/>
        <v>965.52157999999997</v>
      </c>
      <c r="Y2188" s="85">
        <f>STATS1003B!Y2192/1000</f>
        <v>0</v>
      </c>
      <c r="Z2188" s="85">
        <f t="shared" si="235"/>
        <v>0</v>
      </c>
      <c r="AA2188" s="69">
        <f>STATS1003B!AA2192/1000</f>
        <v>965.52157999999997</v>
      </c>
      <c r="AB2188" s="69">
        <f>STATS1003B!AB2192/1000</f>
        <v>0</v>
      </c>
    </row>
    <row r="2189" spans="1:28" hidden="1" x14ac:dyDescent="0.3">
      <c r="A2189" s="117"/>
      <c r="C2189" s="68" t="s">
        <v>933</v>
      </c>
      <c r="E2189" s="85">
        <f>STATS1003B!E2193/1000</f>
        <v>1494</v>
      </c>
      <c r="F2189" s="85">
        <f>STATS1003B!F2193/1000</f>
        <v>1494</v>
      </c>
      <c r="G2189" s="85">
        <f>STATS1003B!G2193/1000</f>
        <v>0</v>
      </c>
      <c r="H2189" s="85">
        <f>STATS1003B!H2193/1000</f>
        <v>1494</v>
      </c>
      <c r="I2189" s="85">
        <f>STATS1003B!I2193/1000</f>
        <v>0</v>
      </c>
      <c r="J2189" s="85">
        <f>STATS1003B!J2193/1000</f>
        <v>0</v>
      </c>
      <c r="K2189" s="85">
        <f>STATS1003B!K2193/1000</f>
        <v>0</v>
      </c>
      <c r="L2189" s="85">
        <f>STATS1003B!L2193/1000</f>
        <v>0</v>
      </c>
      <c r="M2189" s="85">
        <f>STATS1003B!M2193/1000</f>
        <v>1494</v>
      </c>
      <c r="N2189" s="85">
        <f>STATS1003B!N2193/1000</f>
        <v>0</v>
      </c>
      <c r="O2189" s="85">
        <f>STATS1003B!O2193/1000</f>
        <v>0</v>
      </c>
      <c r="P2189" s="85">
        <f>STATS1003B!P2193/1000</f>
        <v>0</v>
      </c>
      <c r="Q2189" s="85">
        <f>STATS1003B!Q2193/1000</f>
        <v>0</v>
      </c>
      <c r="R2189" s="85">
        <f>STATS1003B!R2193/1000</f>
        <v>0</v>
      </c>
      <c r="S2189" s="85">
        <f>STATS1003B!S2193/1000</f>
        <v>0</v>
      </c>
      <c r="T2189" s="85">
        <f>STATS1003B!T2193/1000</f>
        <v>0</v>
      </c>
      <c r="U2189" s="85">
        <f>STATS1003B!U2193/1000</f>
        <v>0</v>
      </c>
      <c r="V2189" s="85">
        <f>STATS1003B!V2193/1000</f>
        <v>0</v>
      </c>
      <c r="W2189" s="85">
        <f>STATS1003B!W2193/1000</f>
        <v>0</v>
      </c>
      <c r="X2189" s="85">
        <f t="shared" si="238"/>
        <v>1494</v>
      </c>
      <c r="Y2189" s="85">
        <f>STATS1003B!Y2193/1000</f>
        <v>0</v>
      </c>
      <c r="Z2189" s="85">
        <f t="shared" si="235"/>
        <v>0</v>
      </c>
      <c r="AA2189" s="69">
        <f>STATS1003B!AA2193/1000</f>
        <v>1494</v>
      </c>
      <c r="AB2189" s="69">
        <f>STATS1003B!AB2193/1000</f>
        <v>0</v>
      </c>
    </row>
    <row r="2190" spans="1:28" hidden="1" x14ac:dyDescent="0.3">
      <c r="A2190" s="117"/>
      <c r="C2190" s="68" t="s">
        <v>1173</v>
      </c>
      <c r="D2190" s="91" t="s">
        <v>1126</v>
      </c>
      <c r="E2190" s="85">
        <f>STATS1003B!E2194/1000</f>
        <v>7125.1602000000003</v>
      </c>
      <c r="F2190" s="85">
        <f>STATS1003B!F2194/1000</f>
        <v>7125.1602000000003</v>
      </c>
      <c r="G2190" s="85">
        <f>STATS1003B!G2194/1000</f>
        <v>0</v>
      </c>
      <c r="H2190" s="85">
        <f>STATS1003B!H2194/1000</f>
        <v>7125.1602000000003</v>
      </c>
      <c r="I2190" s="85">
        <f>STATS1003B!I2194/1000</f>
        <v>0</v>
      </c>
      <c r="J2190" s="85">
        <f>STATS1003B!J2194/1000</f>
        <v>0</v>
      </c>
      <c r="K2190" s="85">
        <f>STATS1003B!K2194/1000</f>
        <v>0</v>
      </c>
      <c r="L2190" s="85">
        <f>STATS1003B!L2194/1000</f>
        <v>0</v>
      </c>
      <c r="M2190" s="85">
        <f>STATS1003B!M2194/1000</f>
        <v>7125.1602000000003</v>
      </c>
      <c r="N2190" s="85">
        <f>STATS1003B!N2194/1000</f>
        <v>0</v>
      </c>
      <c r="O2190" s="85">
        <f>STATS1003B!O2194/1000</f>
        <v>0</v>
      </c>
      <c r="P2190" s="85">
        <f>STATS1003B!P2194/1000</f>
        <v>0</v>
      </c>
      <c r="Q2190" s="85">
        <f>STATS1003B!Q2194/1000</f>
        <v>0</v>
      </c>
      <c r="R2190" s="85">
        <f>STATS1003B!R2194/1000</f>
        <v>0</v>
      </c>
      <c r="S2190" s="85">
        <f>STATS1003B!S2194/1000</f>
        <v>0</v>
      </c>
      <c r="T2190" s="85">
        <f>STATS1003B!T2194/1000</f>
        <v>0</v>
      </c>
      <c r="U2190" s="85">
        <f>STATS1003B!U2194/1000</f>
        <v>0</v>
      </c>
      <c r="V2190" s="85">
        <f>STATS1003B!V2194/1000</f>
        <v>0</v>
      </c>
      <c r="W2190" s="85">
        <f>STATS1003B!W2194/1000</f>
        <v>0</v>
      </c>
      <c r="X2190" s="85">
        <f t="shared" si="238"/>
        <v>7125.1602000000003</v>
      </c>
      <c r="Y2190" s="85">
        <f>STATS1003B!Y2194/1000</f>
        <v>0</v>
      </c>
      <c r="Z2190" s="85">
        <f t="shared" si="235"/>
        <v>0</v>
      </c>
      <c r="AA2190" s="69">
        <f>STATS1003B!AA2194/1000</f>
        <v>7125.1602000000003</v>
      </c>
      <c r="AB2190" s="69">
        <f>STATS1003B!AB2194/1000</f>
        <v>0</v>
      </c>
    </row>
    <row r="2191" spans="1:28" hidden="1" x14ac:dyDescent="0.3">
      <c r="A2191" s="117"/>
      <c r="C2191" s="93" t="s">
        <v>1083</v>
      </c>
      <c r="D2191" s="91" t="s">
        <v>1072</v>
      </c>
      <c r="E2191" s="85">
        <f>STATS1003B!E2195/1000</f>
        <v>7285.0219699999998</v>
      </c>
      <c r="F2191" s="85">
        <f>STATS1003B!F2195/1000</f>
        <v>7285.0219699999998</v>
      </c>
      <c r="G2191" s="85">
        <f>STATS1003B!G2195/1000</f>
        <v>0</v>
      </c>
      <c r="H2191" s="85">
        <f>STATS1003B!H2195/1000</f>
        <v>7285.0219699999998</v>
      </c>
      <c r="I2191" s="85">
        <f>STATS1003B!I2195/1000</f>
        <v>0</v>
      </c>
      <c r="J2191" s="85">
        <f>STATS1003B!J2195/1000</f>
        <v>0</v>
      </c>
      <c r="K2191" s="85">
        <f>STATS1003B!K2195/1000</f>
        <v>0</v>
      </c>
      <c r="L2191" s="85">
        <f>STATS1003B!L2195/1000</f>
        <v>0</v>
      </c>
      <c r="M2191" s="85">
        <f>STATS1003B!M2195/1000</f>
        <v>7285.0219699999998</v>
      </c>
      <c r="N2191" s="85">
        <f>STATS1003B!N2195/1000</f>
        <v>0</v>
      </c>
      <c r="O2191" s="85">
        <f>STATS1003B!O2195/1000</f>
        <v>0</v>
      </c>
      <c r="P2191" s="85">
        <f>STATS1003B!P2195/1000</f>
        <v>0</v>
      </c>
      <c r="Q2191" s="85">
        <f>STATS1003B!Q2195/1000</f>
        <v>0</v>
      </c>
      <c r="R2191" s="85">
        <f>STATS1003B!R2195/1000</f>
        <v>0</v>
      </c>
      <c r="S2191" s="85">
        <f>STATS1003B!S2195/1000</f>
        <v>0</v>
      </c>
      <c r="T2191" s="85">
        <f>STATS1003B!T2195/1000</f>
        <v>0</v>
      </c>
      <c r="U2191" s="85">
        <f>STATS1003B!U2195/1000</f>
        <v>0</v>
      </c>
      <c r="V2191" s="85">
        <f>STATS1003B!V2195/1000</f>
        <v>0</v>
      </c>
      <c r="W2191" s="85">
        <f>STATS1003B!W2195/1000</f>
        <v>0</v>
      </c>
      <c r="X2191" s="85">
        <f t="shared" si="238"/>
        <v>7285.0219699999998</v>
      </c>
      <c r="Y2191" s="85">
        <f>STATS1003B!Y2195/1000</f>
        <v>0</v>
      </c>
      <c r="Z2191" s="85">
        <f t="shared" si="235"/>
        <v>0</v>
      </c>
      <c r="AA2191" s="69">
        <f>STATS1003B!AA2195/1000</f>
        <v>7285.0219699999998</v>
      </c>
      <c r="AB2191" s="69">
        <f>STATS1003B!AB2195/1000</f>
        <v>0</v>
      </c>
    </row>
    <row r="2192" spans="1:28" hidden="1" x14ac:dyDescent="0.3">
      <c r="A2192" s="117"/>
      <c r="C2192" s="68" t="s">
        <v>606</v>
      </c>
      <c r="E2192" s="85">
        <f>STATS1003B!E2196/1000</f>
        <v>1598.7449999999999</v>
      </c>
      <c r="F2192" s="85">
        <f>STATS1003B!F2196/1000</f>
        <v>1598.7449999999999</v>
      </c>
      <c r="G2192" s="85">
        <f>STATS1003B!G2196/1000</f>
        <v>0</v>
      </c>
      <c r="H2192" s="85">
        <f>STATS1003B!H2196/1000</f>
        <v>1598.7449999999999</v>
      </c>
      <c r="I2192" s="85">
        <f>STATS1003B!I2196/1000</f>
        <v>0</v>
      </c>
      <c r="J2192" s="85">
        <f>STATS1003B!J2196/1000</f>
        <v>1598.7449999999999</v>
      </c>
      <c r="K2192" s="85">
        <f>STATS1003B!K2196/1000</f>
        <v>0</v>
      </c>
      <c r="L2192" s="85">
        <f>STATS1003B!L2196/1000</f>
        <v>0</v>
      </c>
      <c r="M2192" s="85">
        <f>STATS1003B!M2196/1000</f>
        <v>1598.7449999999999</v>
      </c>
      <c r="N2192" s="85">
        <f>STATS1003B!N2196/1000</f>
        <v>0</v>
      </c>
      <c r="O2192" s="85">
        <f>STATS1003B!O2196/1000</f>
        <v>0</v>
      </c>
      <c r="P2192" s="85">
        <f>STATS1003B!P2196/1000</f>
        <v>0</v>
      </c>
      <c r="Q2192" s="85">
        <f>STATS1003B!Q2196/1000</f>
        <v>1598.7449999999999</v>
      </c>
      <c r="R2192" s="85">
        <f>STATS1003B!R2196/1000</f>
        <v>0</v>
      </c>
      <c r="S2192" s="85">
        <f>STATS1003B!S2196/1000</f>
        <v>0</v>
      </c>
      <c r="T2192" s="85">
        <f>STATS1003B!T2196/1000</f>
        <v>0</v>
      </c>
      <c r="U2192" s="85">
        <f>STATS1003B!U2196/1000</f>
        <v>0</v>
      </c>
      <c r="V2192" s="85">
        <f>STATS1003B!V2196/1000</f>
        <v>0</v>
      </c>
      <c r="W2192" s="85">
        <f>STATS1003B!W2196/1000</f>
        <v>0</v>
      </c>
      <c r="X2192" s="85">
        <f t="shared" si="238"/>
        <v>1598.7449999999999</v>
      </c>
      <c r="Y2192" s="85">
        <f>STATS1003B!Y2196/1000</f>
        <v>0</v>
      </c>
      <c r="Z2192" s="85">
        <f t="shared" si="235"/>
        <v>0</v>
      </c>
      <c r="AA2192" s="69">
        <f>STATS1003B!AA2196/1000</f>
        <v>1598.7449999999999</v>
      </c>
      <c r="AB2192" s="69">
        <f>STATS1003B!AB2196/1000</f>
        <v>0</v>
      </c>
    </row>
    <row r="2193" spans="1:28" hidden="1" x14ac:dyDescent="0.3">
      <c r="A2193" s="117"/>
      <c r="E2193" s="86" t="s">
        <v>29</v>
      </c>
      <c r="F2193" s="86" t="s">
        <v>29</v>
      </c>
      <c r="G2193" s="86" t="s">
        <v>29</v>
      </c>
      <c r="H2193" s="86" t="s">
        <v>29</v>
      </c>
      <c r="I2193" s="86" t="s">
        <v>29</v>
      </c>
      <c r="J2193" s="86" t="s">
        <v>29</v>
      </c>
      <c r="K2193" s="86" t="s">
        <v>29</v>
      </c>
      <c r="L2193" s="86" t="s">
        <v>29</v>
      </c>
      <c r="M2193" s="86" t="s">
        <v>29</v>
      </c>
      <c r="N2193" s="86" t="s">
        <v>29</v>
      </c>
      <c r="O2193" s="86" t="s">
        <v>29</v>
      </c>
      <c r="P2193" s="86" t="s">
        <v>29</v>
      </c>
      <c r="Q2193" s="86" t="s">
        <v>29</v>
      </c>
      <c r="R2193" s="86" t="s">
        <v>29</v>
      </c>
      <c r="S2193" s="86" t="s">
        <v>29</v>
      </c>
      <c r="T2193" s="86" t="s">
        <v>29</v>
      </c>
      <c r="U2193" s="86" t="s">
        <v>29</v>
      </c>
      <c r="V2193" s="86" t="s">
        <v>29</v>
      </c>
      <c r="W2193" s="86" t="s">
        <v>29</v>
      </c>
      <c r="X2193" s="85" t="e">
        <f t="shared" si="238"/>
        <v>#VALUE!</v>
      </c>
      <c r="Y2193" s="86" t="s">
        <v>29</v>
      </c>
      <c r="Z2193" s="85" t="e">
        <f t="shared" si="235"/>
        <v>#VALUE!</v>
      </c>
      <c r="AA2193" s="115" t="s">
        <v>29</v>
      </c>
      <c r="AB2193" s="115" t="s">
        <v>29</v>
      </c>
    </row>
    <row r="2194" spans="1:28" x14ac:dyDescent="0.3">
      <c r="A2194" s="116">
        <v>95</v>
      </c>
      <c r="B2194" s="68" t="s">
        <v>820</v>
      </c>
      <c r="E2194" s="85">
        <f>126896910.57/1000</f>
        <v>126896.91056999999</v>
      </c>
      <c r="F2194" s="85">
        <f t="shared" ref="F2194:Q2194" si="239">SUM(F2176:F2193)</f>
        <v>32450.38393</v>
      </c>
      <c r="G2194" s="85">
        <f t="shared" si="239"/>
        <v>0</v>
      </c>
      <c r="H2194" s="85">
        <f>124273310.17/1000</f>
        <v>124273.31017</v>
      </c>
      <c r="I2194" s="85">
        <f t="shared" si="239"/>
        <v>800</v>
      </c>
      <c r="J2194" s="85">
        <f t="shared" si="239"/>
        <v>17346.20176</v>
      </c>
      <c r="K2194" s="85">
        <f t="shared" si="239"/>
        <v>1823.6004</v>
      </c>
      <c r="L2194" s="85">
        <f t="shared" si="239"/>
        <v>800</v>
      </c>
      <c r="M2194" s="85">
        <f t="shared" si="239"/>
        <v>33250.383930000004</v>
      </c>
      <c r="N2194" s="85">
        <f t="shared" si="239"/>
        <v>1823.6004</v>
      </c>
      <c r="O2194" s="85">
        <f t="shared" si="239"/>
        <v>0</v>
      </c>
      <c r="P2194" s="85">
        <f>1823600/1000</f>
        <v>1823.6</v>
      </c>
      <c r="Q2194" s="85">
        <f t="shared" si="239"/>
        <v>17346.20176</v>
      </c>
      <c r="R2194" s="84"/>
      <c r="S2194" s="84"/>
      <c r="T2194" s="85">
        <f t="shared" ref="T2194:Y2194" si="240">SUM(T2176:T2193)</f>
        <v>0</v>
      </c>
      <c r="U2194" s="85">
        <f t="shared" si="240"/>
        <v>1823.6004</v>
      </c>
      <c r="V2194" s="85">
        <f t="shared" si="240"/>
        <v>0</v>
      </c>
      <c r="W2194" s="85">
        <f t="shared" si="240"/>
        <v>0</v>
      </c>
      <c r="X2194" s="85">
        <f t="shared" si="238"/>
        <v>126096.91017</v>
      </c>
      <c r="Y2194" s="85">
        <f t="shared" si="240"/>
        <v>0</v>
      </c>
      <c r="Z2194" s="85">
        <f t="shared" si="235"/>
        <v>800.0003999999899</v>
      </c>
      <c r="AA2194" s="69">
        <f>SUM(AA2176:AA2193)</f>
        <v>35073.984330000007</v>
      </c>
      <c r="AB2194" s="69">
        <f>SUM(AB2176:AB2193)</f>
        <v>0</v>
      </c>
    </row>
    <row r="2195" spans="1:28" hidden="1" x14ac:dyDescent="0.3">
      <c r="A2195" s="117"/>
      <c r="E2195" s="86" t="s">
        <v>29</v>
      </c>
      <c r="F2195" s="86" t="s">
        <v>29</v>
      </c>
      <c r="G2195" s="86" t="s">
        <v>29</v>
      </c>
      <c r="H2195" s="86" t="s">
        <v>29</v>
      </c>
      <c r="I2195" s="86" t="s">
        <v>29</v>
      </c>
      <c r="J2195" s="86" t="s">
        <v>29</v>
      </c>
      <c r="K2195" s="86" t="s">
        <v>29</v>
      </c>
      <c r="L2195" s="86" t="s">
        <v>29</v>
      </c>
      <c r="M2195" s="86" t="s">
        <v>29</v>
      </c>
      <c r="N2195" s="86" t="s">
        <v>29</v>
      </c>
      <c r="O2195" s="86" t="s">
        <v>29</v>
      </c>
      <c r="P2195" s="86" t="s">
        <v>29</v>
      </c>
      <c r="Q2195" s="86" t="s">
        <v>29</v>
      </c>
      <c r="R2195" s="86" t="s">
        <v>29</v>
      </c>
      <c r="S2195" s="86" t="s">
        <v>29</v>
      </c>
      <c r="T2195" s="86" t="s">
        <v>29</v>
      </c>
      <c r="U2195" s="86" t="s">
        <v>29</v>
      </c>
      <c r="V2195" s="86" t="s">
        <v>29</v>
      </c>
      <c r="W2195" s="86" t="s">
        <v>29</v>
      </c>
      <c r="X2195" s="85" t="e">
        <f t="shared" si="238"/>
        <v>#VALUE!</v>
      </c>
      <c r="Y2195" s="86" t="s">
        <v>29</v>
      </c>
      <c r="Z2195" s="85" t="e">
        <f t="shared" si="235"/>
        <v>#VALUE!</v>
      </c>
      <c r="AA2195" s="115" t="s">
        <v>29</v>
      </c>
      <c r="AB2195" s="115" t="s">
        <v>29</v>
      </c>
    </row>
    <row r="2196" spans="1:28" hidden="1" x14ac:dyDescent="0.3">
      <c r="A2196" s="105"/>
      <c r="E2196" s="84"/>
      <c r="F2196" s="84"/>
      <c r="G2196" s="84"/>
      <c r="H2196" s="84"/>
      <c r="I2196" s="84"/>
      <c r="J2196" s="84"/>
      <c r="K2196" s="84"/>
      <c r="L2196" s="84"/>
      <c r="M2196" s="84"/>
      <c r="N2196" s="84"/>
      <c r="O2196" s="84"/>
      <c r="P2196" s="84"/>
      <c r="Q2196" s="84"/>
      <c r="R2196" s="84"/>
      <c r="S2196" s="84"/>
      <c r="T2196" s="84"/>
      <c r="U2196" s="84"/>
      <c r="V2196" s="84"/>
      <c r="W2196" s="84"/>
      <c r="X2196" s="85">
        <f t="shared" si="238"/>
        <v>0</v>
      </c>
      <c r="Y2196" s="84"/>
      <c r="Z2196" s="85">
        <f t="shared" si="235"/>
        <v>0</v>
      </c>
    </row>
    <row r="2197" spans="1:28" hidden="1" x14ac:dyDescent="0.3">
      <c r="A2197" s="117"/>
      <c r="C2197" s="68" t="s">
        <v>535</v>
      </c>
      <c r="D2197" s="145" t="s">
        <v>68</v>
      </c>
      <c r="E2197" s="85">
        <f>STATS1003B!E2201/1000</f>
        <v>307.44583000000006</v>
      </c>
      <c r="F2197" s="85">
        <f>STATS1003B!F2201/1000</f>
        <v>0</v>
      </c>
      <c r="G2197" s="85">
        <f>STATS1003B!G2201/1000</f>
        <v>0</v>
      </c>
      <c r="H2197" s="85">
        <f>STATS1003B!H2201/1000</f>
        <v>0</v>
      </c>
      <c r="I2197" s="85">
        <f>STATS1003B!I2201/1000</f>
        <v>0</v>
      </c>
      <c r="J2197" s="85">
        <f>STATS1003B!J2201/1000</f>
        <v>0</v>
      </c>
      <c r="K2197" s="85">
        <f>STATS1003B!K2201/1000</f>
        <v>307.44583</v>
      </c>
      <c r="L2197" s="85">
        <f>STATS1003B!L2201/1000</f>
        <v>0</v>
      </c>
      <c r="M2197" s="85">
        <f>STATS1003B!M2201/1000</f>
        <v>0</v>
      </c>
      <c r="N2197" s="85">
        <f>STATS1003B!N2201/1000</f>
        <v>307.44583</v>
      </c>
      <c r="O2197" s="85">
        <f>STATS1003B!O2201/1000</f>
        <v>0</v>
      </c>
      <c r="P2197" s="85">
        <f>STATS1003B!P2201/1000</f>
        <v>307.44583</v>
      </c>
      <c r="Q2197" s="85">
        <f>STATS1003B!Q2201/1000</f>
        <v>0</v>
      </c>
      <c r="R2197" s="85">
        <f>STATS1003B!R2201/1000</f>
        <v>0</v>
      </c>
      <c r="S2197" s="85">
        <f>STATS1003B!S2201/1000</f>
        <v>0</v>
      </c>
      <c r="T2197" s="85">
        <f>STATS1003B!T2201/1000</f>
        <v>0</v>
      </c>
      <c r="U2197" s="85">
        <f>STATS1003B!U2201/1000</f>
        <v>307.44583</v>
      </c>
      <c r="V2197" s="85">
        <f>STATS1003B!V2201/1000</f>
        <v>0</v>
      </c>
      <c r="W2197" s="85">
        <f>STATS1003B!W2201/1000</f>
        <v>0</v>
      </c>
      <c r="X2197" s="85">
        <f t="shared" si="238"/>
        <v>307.44583</v>
      </c>
      <c r="Y2197" s="85">
        <f>STATS1003B!Y2201/1000</f>
        <v>0</v>
      </c>
      <c r="Z2197" s="85">
        <f t="shared" si="235"/>
        <v>0</v>
      </c>
      <c r="AA2197" s="69">
        <f>STATS1003B!AA2201/1000</f>
        <v>307.44583</v>
      </c>
      <c r="AB2197" s="69">
        <f>STATS1003B!AB2201/1000</f>
        <v>0</v>
      </c>
    </row>
    <row r="2198" spans="1:28" hidden="1" x14ac:dyDescent="0.3">
      <c r="A2198" s="117"/>
      <c r="C2198" s="68" t="s">
        <v>539</v>
      </c>
      <c r="D2198" s="145" t="s">
        <v>68</v>
      </c>
      <c r="E2198" s="85">
        <f>STATS1003B!E2202/1000</f>
        <v>505.78290000000004</v>
      </c>
      <c r="F2198" s="85">
        <f>STATS1003B!F2202/1000</f>
        <v>0</v>
      </c>
      <c r="G2198" s="85">
        <f>STATS1003B!G2202/1000</f>
        <v>0</v>
      </c>
      <c r="H2198" s="85">
        <f>STATS1003B!H2202/1000</f>
        <v>0</v>
      </c>
      <c r="I2198" s="85">
        <f>STATS1003B!I2202/1000</f>
        <v>0</v>
      </c>
      <c r="J2198" s="85">
        <f>STATS1003B!J2202/1000</f>
        <v>0</v>
      </c>
      <c r="K2198" s="85">
        <f>STATS1003B!K2202/1000</f>
        <v>505.78290000000004</v>
      </c>
      <c r="L2198" s="85">
        <f>STATS1003B!L2202/1000</f>
        <v>0</v>
      </c>
      <c r="M2198" s="85">
        <f>STATS1003B!M2202/1000</f>
        <v>0</v>
      </c>
      <c r="N2198" s="85">
        <f>STATS1003B!N2202/1000</f>
        <v>505.78290000000004</v>
      </c>
      <c r="O2198" s="85">
        <f>STATS1003B!O2202/1000</f>
        <v>0</v>
      </c>
      <c r="P2198" s="85">
        <f>STATS1003B!P2202/1000</f>
        <v>505.78290000000004</v>
      </c>
      <c r="Q2198" s="85">
        <f>STATS1003B!Q2202/1000</f>
        <v>0</v>
      </c>
      <c r="R2198" s="85">
        <f>STATS1003B!R2202/1000</f>
        <v>0</v>
      </c>
      <c r="S2198" s="85">
        <f>STATS1003B!S2202/1000</f>
        <v>0</v>
      </c>
      <c r="T2198" s="85">
        <f>STATS1003B!T2202/1000</f>
        <v>0</v>
      </c>
      <c r="U2198" s="85">
        <f>STATS1003B!U2202/1000</f>
        <v>505.78290000000004</v>
      </c>
      <c r="V2198" s="85">
        <f>STATS1003B!V2202/1000</f>
        <v>0</v>
      </c>
      <c r="W2198" s="85">
        <f>STATS1003B!W2202/1000</f>
        <v>0</v>
      </c>
      <c r="X2198" s="85">
        <f t="shared" si="238"/>
        <v>505.78290000000004</v>
      </c>
      <c r="Y2198" s="85">
        <f>STATS1003B!Y2202/1000</f>
        <v>0</v>
      </c>
      <c r="Z2198" s="85">
        <f t="shared" si="235"/>
        <v>0</v>
      </c>
      <c r="AA2198" s="69">
        <f>STATS1003B!AA2202/1000</f>
        <v>505.78290000000004</v>
      </c>
      <c r="AB2198" s="69">
        <f>STATS1003B!AB2202/1000</f>
        <v>0</v>
      </c>
    </row>
    <row r="2199" spans="1:28" hidden="1" x14ac:dyDescent="0.3">
      <c r="A2199" s="117"/>
      <c r="C2199" s="68" t="s">
        <v>535</v>
      </c>
      <c r="D2199" s="145" t="s">
        <v>54</v>
      </c>
      <c r="E2199" s="85">
        <f>STATS1003B!E2203/1000</f>
        <v>540</v>
      </c>
      <c r="F2199" s="85">
        <f>STATS1003B!F2203/1000</f>
        <v>540</v>
      </c>
      <c r="G2199" s="85">
        <f>STATS1003B!G2203/1000</f>
        <v>0</v>
      </c>
      <c r="H2199" s="85">
        <f>STATS1003B!H2203/1000</f>
        <v>540</v>
      </c>
      <c r="I2199" s="85">
        <f>STATS1003B!I2203/1000</f>
        <v>0</v>
      </c>
      <c r="J2199" s="85">
        <f>STATS1003B!J2203/1000</f>
        <v>540</v>
      </c>
      <c r="K2199" s="85">
        <f>STATS1003B!K2203/1000</f>
        <v>0</v>
      </c>
      <c r="L2199" s="85">
        <f>STATS1003B!L2203/1000</f>
        <v>0</v>
      </c>
      <c r="M2199" s="85">
        <f>STATS1003B!M2203/1000</f>
        <v>540</v>
      </c>
      <c r="N2199" s="85">
        <f>STATS1003B!N2203/1000</f>
        <v>0</v>
      </c>
      <c r="O2199" s="85">
        <f>STATS1003B!O2203/1000</f>
        <v>0</v>
      </c>
      <c r="P2199" s="85">
        <f>STATS1003B!P2203/1000</f>
        <v>0</v>
      </c>
      <c r="Q2199" s="85">
        <f>STATS1003B!Q2203/1000</f>
        <v>540</v>
      </c>
      <c r="R2199" s="85">
        <f>STATS1003B!R2203/1000</f>
        <v>0</v>
      </c>
      <c r="S2199" s="85">
        <f>STATS1003B!S2203/1000</f>
        <v>0</v>
      </c>
      <c r="T2199" s="85">
        <f>STATS1003B!T2203/1000</f>
        <v>0</v>
      </c>
      <c r="U2199" s="85">
        <f>STATS1003B!U2203/1000</f>
        <v>0</v>
      </c>
      <c r="V2199" s="85">
        <f>STATS1003B!V2203/1000</f>
        <v>0</v>
      </c>
      <c r="W2199" s="85">
        <f>STATS1003B!W2203/1000</f>
        <v>0</v>
      </c>
      <c r="X2199" s="85">
        <f t="shared" si="238"/>
        <v>540</v>
      </c>
      <c r="Y2199" s="85">
        <f>STATS1003B!Y2203/1000</f>
        <v>0</v>
      </c>
      <c r="Z2199" s="85">
        <f t="shared" si="235"/>
        <v>0</v>
      </c>
      <c r="AA2199" s="69">
        <f>STATS1003B!AA2203/1000</f>
        <v>540</v>
      </c>
      <c r="AB2199" s="69">
        <f>STATS1003B!AB2203/1000</f>
        <v>0</v>
      </c>
    </row>
    <row r="2200" spans="1:28" hidden="1" x14ac:dyDescent="0.3">
      <c r="A2200" s="117"/>
      <c r="C2200" s="68" t="s">
        <v>825</v>
      </c>
      <c r="D2200" s="145" t="s">
        <v>54</v>
      </c>
      <c r="E2200" s="85">
        <f>STATS1003B!E2204/1000</f>
        <v>1099.876</v>
      </c>
      <c r="F2200" s="85">
        <f>STATS1003B!F2204/1000</f>
        <v>1099.876</v>
      </c>
      <c r="G2200" s="85">
        <f>STATS1003B!G2204/1000</f>
        <v>0</v>
      </c>
      <c r="H2200" s="85">
        <f>STATS1003B!H2204/1000</f>
        <v>1099.876</v>
      </c>
      <c r="I2200" s="85">
        <f>STATS1003B!I2204/1000</f>
        <v>0</v>
      </c>
      <c r="J2200" s="85">
        <f>STATS1003B!J2204/1000</f>
        <v>1099.876</v>
      </c>
      <c r="K2200" s="85">
        <f>STATS1003B!K2204/1000</f>
        <v>0</v>
      </c>
      <c r="L2200" s="85">
        <f>STATS1003B!L2204/1000</f>
        <v>0</v>
      </c>
      <c r="M2200" s="85">
        <f>STATS1003B!M2204/1000</f>
        <v>1099.876</v>
      </c>
      <c r="N2200" s="85">
        <f>STATS1003B!N2204/1000</f>
        <v>0</v>
      </c>
      <c r="O2200" s="85">
        <f>STATS1003B!O2204/1000</f>
        <v>0</v>
      </c>
      <c r="P2200" s="85">
        <f>STATS1003B!P2204/1000</f>
        <v>0</v>
      </c>
      <c r="Q2200" s="85">
        <f>STATS1003B!Q2204/1000</f>
        <v>1099.876</v>
      </c>
      <c r="R2200" s="85">
        <f>STATS1003B!R2204/1000</f>
        <v>0</v>
      </c>
      <c r="S2200" s="85">
        <f>STATS1003B!S2204/1000</f>
        <v>0</v>
      </c>
      <c r="T2200" s="85">
        <f>STATS1003B!T2204/1000</f>
        <v>0</v>
      </c>
      <c r="U2200" s="85">
        <f>STATS1003B!U2204/1000</f>
        <v>0</v>
      </c>
      <c r="V2200" s="85">
        <f>STATS1003B!V2204/1000</f>
        <v>0</v>
      </c>
      <c r="W2200" s="85">
        <f>STATS1003B!W2204/1000</f>
        <v>0</v>
      </c>
      <c r="X2200" s="85">
        <f t="shared" si="238"/>
        <v>1099.876</v>
      </c>
      <c r="Y2200" s="85">
        <f>STATS1003B!Y2204/1000</f>
        <v>0</v>
      </c>
      <c r="Z2200" s="85">
        <f t="shared" si="235"/>
        <v>0</v>
      </c>
      <c r="AA2200" s="69">
        <f>STATS1003B!AA2204/1000</f>
        <v>1099.876</v>
      </c>
      <c r="AB2200" s="69">
        <f>STATS1003B!AB2204/1000</f>
        <v>0</v>
      </c>
    </row>
    <row r="2201" spans="1:28" hidden="1" x14ac:dyDescent="0.3">
      <c r="A2201" s="117"/>
      <c r="C2201" s="68" t="s">
        <v>825</v>
      </c>
      <c r="D2201" s="145" t="s">
        <v>54</v>
      </c>
      <c r="E2201" s="85">
        <f>STATS1003B!E2205/1000</f>
        <v>168.86</v>
      </c>
      <c r="F2201" s="85">
        <f>STATS1003B!F2205/1000</f>
        <v>168.86</v>
      </c>
      <c r="G2201" s="85">
        <f>STATS1003B!G2205/1000</f>
        <v>0</v>
      </c>
      <c r="H2201" s="85">
        <f>STATS1003B!H2205/1000</f>
        <v>168.86</v>
      </c>
      <c r="I2201" s="85">
        <f>STATS1003B!I2205/1000</f>
        <v>0</v>
      </c>
      <c r="J2201" s="85">
        <f>STATS1003B!J2205/1000</f>
        <v>168.86</v>
      </c>
      <c r="K2201" s="85">
        <f>STATS1003B!K2205/1000</f>
        <v>0</v>
      </c>
      <c r="L2201" s="85">
        <f>STATS1003B!L2205/1000</f>
        <v>0</v>
      </c>
      <c r="M2201" s="85">
        <f>STATS1003B!M2205/1000</f>
        <v>168.86</v>
      </c>
      <c r="N2201" s="85">
        <f>STATS1003B!N2205/1000</f>
        <v>0</v>
      </c>
      <c r="O2201" s="85">
        <f>STATS1003B!O2205/1000</f>
        <v>0</v>
      </c>
      <c r="P2201" s="85">
        <f>STATS1003B!P2205/1000</f>
        <v>0</v>
      </c>
      <c r="Q2201" s="85">
        <f>STATS1003B!Q2205/1000</f>
        <v>168.86</v>
      </c>
      <c r="R2201" s="85">
        <f>STATS1003B!R2205/1000</f>
        <v>0</v>
      </c>
      <c r="S2201" s="85">
        <f>STATS1003B!S2205/1000</f>
        <v>0</v>
      </c>
      <c r="T2201" s="85">
        <f>STATS1003B!T2205/1000</f>
        <v>0</v>
      </c>
      <c r="U2201" s="85">
        <f>STATS1003B!U2205/1000</f>
        <v>0</v>
      </c>
      <c r="V2201" s="85">
        <f>STATS1003B!V2205/1000</f>
        <v>0</v>
      </c>
      <c r="W2201" s="85">
        <f>STATS1003B!W2205/1000</f>
        <v>0</v>
      </c>
      <c r="X2201" s="85">
        <f t="shared" si="238"/>
        <v>168.86</v>
      </c>
      <c r="Y2201" s="85">
        <f>STATS1003B!Y2205/1000</f>
        <v>0</v>
      </c>
      <c r="Z2201" s="85">
        <f t="shared" si="235"/>
        <v>0</v>
      </c>
      <c r="AA2201" s="69">
        <f>STATS1003B!AA2205/1000</f>
        <v>168.86</v>
      </c>
      <c r="AB2201" s="69">
        <f>STATS1003B!AB2205/1000</f>
        <v>0</v>
      </c>
    </row>
    <row r="2202" spans="1:28" hidden="1" x14ac:dyDescent="0.3">
      <c r="A2202" s="117"/>
      <c r="C2202" s="68" t="s">
        <v>545</v>
      </c>
      <c r="D2202" s="145" t="s">
        <v>54</v>
      </c>
      <c r="E2202" s="85">
        <f>STATS1003B!E2206/1000</f>
        <v>1767.77</v>
      </c>
      <c r="F2202" s="85">
        <f>STATS1003B!F2206/1000</f>
        <v>0</v>
      </c>
      <c r="G2202" s="85">
        <f>STATS1003B!G2206/1000</f>
        <v>0</v>
      </c>
      <c r="H2202" s="85">
        <f>STATS1003B!H2206/1000</f>
        <v>0</v>
      </c>
      <c r="I2202" s="85">
        <f>STATS1003B!I2206/1000</f>
        <v>0</v>
      </c>
      <c r="J2202" s="85">
        <f>STATS1003B!J2206/1000</f>
        <v>0</v>
      </c>
      <c r="K2202" s="85">
        <f>STATS1003B!K2206/1000</f>
        <v>1767.77</v>
      </c>
      <c r="L2202" s="85">
        <f>STATS1003B!L2206/1000</f>
        <v>0</v>
      </c>
      <c r="M2202" s="85">
        <f>STATS1003B!M2206/1000</f>
        <v>0</v>
      </c>
      <c r="N2202" s="85">
        <f>STATS1003B!N2206/1000</f>
        <v>1767.77</v>
      </c>
      <c r="O2202" s="85">
        <f>STATS1003B!O2206/1000</f>
        <v>0</v>
      </c>
      <c r="P2202" s="85">
        <f>STATS1003B!P2206/1000</f>
        <v>1767.77</v>
      </c>
      <c r="Q2202" s="85">
        <f>STATS1003B!Q2206/1000</f>
        <v>0</v>
      </c>
      <c r="R2202" s="85">
        <f>STATS1003B!R2206/1000</f>
        <v>0</v>
      </c>
      <c r="S2202" s="85">
        <f>STATS1003B!S2206/1000</f>
        <v>0</v>
      </c>
      <c r="T2202" s="85">
        <f>STATS1003B!T2206/1000</f>
        <v>0</v>
      </c>
      <c r="U2202" s="85">
        <f>STATS1003B!U2206/1000</f>
        <v>1767.77</v>
      </c>
      <c r="V2202" s="85">
        <f>STATS1003B!V2206/1000</f>
        <v>0</v>
      </c>
      <c r="W2202" s="85">
        <f>STATS1003B!W2206/1000</f>
        <v>0</v>
      </c>
      <c r="X2202" s="85">
        <f t="shared" si="238"/>
        <v>1767.77</v>
      </c>
      <c r="Y2202" s="85">
        <f>STATS1003B!Y2206/1000</f>
        <v>0</v>
      </c>
      <c r="Z2202" s="85">
        <f t="shared" ref="Z2202:Z2265" si="241">+E2202-X2202</f>
        <v>0</v>
      </c>
      <c r="AA2202" s="69">
        <f>STATS1003B!AA2206/1000</f>
        <v>1767.77</v>
      </c>
      <c r="AB2202" s="69">
        <f>STATS1003B!AB2206/1000</f>
        <v>0</v>
      </c>
    </row>
    <row r="2203" spans="1:28" hidden="1" x14ac:dyDescent="0.3">
      <c r="A2203" s="117"/>
      <c r="C2203" s="68" t="s">
        <v>535</v>
      </c>
      <c r="D2203" s="145" t="s">
        <v>85</v>
      </c>
      <c r="E2203" s="85">
        <f>STATS1003B!E2207/1000</f>
        <v>1485</v>
      </c>
      <c r="F2203" s="85">
        <f>STATS1003B!F2207/1000</f>
        <v>1485</v>
      </c>
      <c r="G2203" s="85">
        <f>STATS1003B!G2207/1000</f>
        <v>0</v>
      </c>
      <c r="H2203" s="85">
        <f>STATS1003B!H2207/1000</f>
        <v>1485</v>
      </c>
      <c r="I2203" s="85">
        <f>STATS1003B!I2207/1000</f>
        <v>0</v>
      </c>
      <c r="J2203" s="85">
        <f>STATS1003B!J2207/1000</f>
        <v>1485</v>
      </c>
      <c r="K2203" s="85">
        <f>STATS1003B!K2207/1000</f>
        <v>0</v>
      </c>
      <c r="L2203" s="85">
        <f>STATS1003B!L2207/1000</f>
        <v>0</v>
      </c>
      <c r="M2203" s="85">
        <f>STATS1003B!M2207/1000</f>
        <v>1485</v>
      </c>
      <c r="N2203" s="85">
        <f>STATS1003B!N2207/1000</f>
        <v>0</v>
      </c>
      <c r="O2203" s="85">
        <f>STATS1003B!O2207/1000</f>
        <v>0</v>
      </c>
      <c r="P2203" s="85">
        <f>STATS1003B!P2207/1000</f>
        <v>0</v>
      </c>
      <c r="Q2203" s="85">
        <f>STATS1003B!Q2207/1000</f>
        <v>1485</v>
      </c>
      <c r="R2203" s="85">
        <f>STATS1003B!R2207/1000</f>
        <v>0</v>
      </c>
      <c r="S2203" s="85">
        <f>STATS1003B!S2207/1000</f>
        <v>0</v>
      </c>
      <c r="T2203" s="85">
        <f>STATS1003B!T2207/1000</f>
        <v>0</v>
      </c>
      <c r="U2203" s="85">
        <f>STATS1003B!U2207/1000</f>
        <v>0</v>
      </c>
      <c r="V2203" s="85">
        <f>STATS1003B!V2207/1000</f>
        <v>0</v>
      </c>
      <c r="W2203" s="85">
        <f>STATS1003B!W2207/1000</f>
        <v>0</v>
      </c>
      <c r="X2203" s="85">
        <f t="shared" si="238"/>
        <v>1485</v>
      </c>
      <c r="Y2203" s="85">
        <f>STATS1003B!Y2207/1000</f>
        <v>0</v>
      </c>
      <c r="Z2203" s="85">
        <f t="shared" si="241"/>
        <v>0</v>
      </c>
      <c r="AA2203" s="69">
        <f>STATS1003B!AA2207/1000</f>
        <v>1485</v>
      </c>
      <c r="AB2203" s="69">
        <f>STATS1003B!AB2207/1000</f>
        <v>0</v>
      </c>
    </row>
    <row r="2204" spans="1:28" hidden="1" x14ac:dyDescent="0.3">
      <c r="A2204" s="117"/>
      <c r="C2204" s="68" t="s">
        <v>535</v>
      </c>
      <c r="D2204" s="145" t="s">
        <v>128</v>
      </c>
      <c r="E2204" s="85">
        <f>STATS1003B!E2208/1000</f>
        <v>900</v>
      </c>
      <c r="F2204" s="85">
        <f>STATS1003B!F2208/1000</f>
        <v>900</v>
      </c>
      <c r="G2204" s="85">
        <f>STATS1003B!G2208/1000</f>
        <v>0</v>
      </c>
      <c r="H2204" s="85">
        <f>STATS1003B!H2208/1000</f>
        <v>900</v>
      </c>
      <c r="I2204" s="85">
        <f>STATS1003B!I2208/1000</f>
        <v>0</v>
      </c>
      <c r="J2204" s="85">
        <f>STATS1003B!J2208/1000</f>
        <v>900</v>
      </c>
      <c r="K2204" s="85">
        <f>STATS1003B!K2208/1000</f>
        <v>0</v>
      </c>
      <c r="L2204" s="85">
        <f>STATS1003B!L2208/1000</f>
        <v>0</v>
      </c>
      <c r="M2204" s="85">
        <f>STATS1003B!M2208/1000</f>
        <v>900</v>
      </c>
      <c r="N2204" s="85">
        <f>STATS1003B!N2208/1000</f>
        <v>0</v>
      </c>
      <c r="O2204" s="85">
        <f>STATS1003B!O2208/1000</f>
        <v>0</v>
      </c>
      <c r="P2204" s="85">
        <f>STATS1003B!P2208/1000</f>
        <v>0</v>
      </c>
      <c r="Q2204" s="85">
        <f>STATS1003B!Q2208/1000</f>
        <v>900</v>
      </c>
      <c r="R2204" s="85">
        <f>STATS1003B!R2208/1000</f>
        <v>0</v>
      </c>
      <c r="S2204" s="85">
        <f>STATS1003B!S2208/1000</f>
        <v>0</v>
      </c>
      <c r="T2204" s="85">
        <f>STATS1003B!T2208/1000</f>
        <v>0</v>
      </c>
      <c r="U2204" s="85">
        <f>STATS1003B!U2208/1000</f>
        <v>0</v>
      </c>
      <c r="V2204" s="85">
        <f>STATS1003B!V2208/1000</f>
        <v>0</v>
      </c>
      <c r="W2204" s="85">
        <f>STATS1003B!W2208/1000</f>
        <v>0</v>
      </c>
      <c r="X2204" s="85">
        <f t="shared" si="238"/>
        <v>900</v>
      </c>
      <c r="Y2204" s="85">
        <f>STATS1003B!Y2208/1000</f>
        <v>0</v>
      </c>
      <c r="Z2204" s="85">
        <f t="shared" si="241"/>
        <v>0</v>
      </c>
      <c r="AA2204" s="69">
        <f>STATS1003B!AA2208/1000</f>
        <v>900</v>
      </c>
      <c r="AB2204" s="69">
        <f>STATS1003B!AB2208/1000</f>
        <v>0</v>
      </c>
    </row>
    <row r="2205" spans="1:28" hidden="1" x14ac:dyDescent="0.3">
      <c r="A2205" s="117"/>
      <c r="C2205" s="68" t="s">
        <v>535</v>
      </c>
      <c r="D2205" s="145" t="s">
        <v>108</v>
      </c>
      <c r="E2205" s="85">
        <f>STATS1003B!E2209/1000</f>
        <v>3230.6407599999998</v>
      </c>
      <c r="F2205" s="85">
        <f>STATS1003B!F2209/1000</f>
        <v>3230.6407599999998</v>
      </c>
      <c r="G2205" s="85">
        <f>STATS1003B!G2209/1000</f>
        <v>0</v>
      </c>
      <c r="H2205" s="85">
        <f>STATS1003B!H2209/1000</f>
        <v>3230.6407599999998</v>
      </c>
      <c r="I2205" s="85">
        <f>STATS1003B!I2209/1000</f>
        <v>0</v>
      </c>
      <c r="J2205" s="85">
        <f>STATS1003B!J2209/1000</f>
        <v>3230.6407599999998</v>
      </c>
      <c r="K2205" s="85">
        <f>STATS1003B!K2209/1000</f>
        <v>0</v>
      </c>
      <c r="L2205" s="85">
        <f>STATS1003B!L2209/1000</f>
        <v>0</v>
      </c>
      <c r="M2205" s="85">
        <f>STATS1003B!M2209/1000</f>
        <v>3230.6407599999998</v>
      </c>
      <c r="N2205" s="85">
        <f>STATS1003B!N2209/1000</f>
        <v>0</v>
      </c>
      <c r="O2205" s="85">
        <f>STATS1003B!O2209/1000</f>
        <v>0</v>
      </c>
      <c r="P2205" s="85">
        <f>STATS1003B!P2209/1000</f>
        <v>0</v>
      </c>
      <c r="Q2205" s="85">
        <f>STATS1003B!Q2209/1000</f>
        <v>3230.6407599999998</v>
      </c>
      <c r="R2205" s="85">
        <f>STATS1003B!R2209/1000</f>
        <v>0</v>
      </c>
      <c r="S2205" s="85">
        <f>STATS1003B!S2209/1000</f>
        <v>0</v>
      </c>
      <c r="T2205" s="85">
        <f>STATS1003B!T2209/1000</f>
        <v>0</v>
      </c>
      <c r="U2205" s="85">
        <f>STATS1003B!U2209/1000</f>
        <v>0</v>
      </c>
      <c r="V2205" s="85">
        <f>STATS1003B!V2209/1000</f>
        <v>0</v>
      </c>
      <c r="W2205" s="85">
        <f>STATS1003B!W2209/1000</f>
        <v>0</v>
      </c>
      <c r="X2205" s="85">
        <f t="shared" si="238"/>
        <v>3230.6407599999998</v>
      </c>
      <c r="Y2205" s="85">
        <f>STATS1003B!Y2209/1000</f>
        <v>0</v>
      </c>
      <c r="Z2205" s="85">
        <f t="shared" si="241"/>
        <v>0</v>
      </c>
      <c r="AA2205" s="69">
        <f>STATS1003B!AA2209/1000</f>
        <v>3230.6407599999998</v>
      </c>
      <c r="AB2205" s="69">
        <f>STATS1003B!AB2209/1000</f>
        <v>0</v>
      </c>
    </row>
    <row r="2206" spans="1:28" hidden="1" x14ac:dyDescent="0.3">
      <c r="A2206" s="117"/>
      <c r="C2206" s="68" t="s">
        <v>801</v>
      </c>
      <c r="D2206" s="145" t="s">
        <v>108</v>
      </c>
      <c r="E2206" s="85">
        <f>STATS1003B!E2210/1000</f>
        <v>250</v>
      </c>
      <c r="F2206" s="85">
        <f>STATS1003B!F2210/1000</f>
        <v>250</v>
      </c>
      <c r="G2206" s="85">
        <f>STATS1003B!G2210/1000</f>
        <v>0</v>
      </c>
      <c r="H2206" s="85">
        <f>STATS1003B!H2210/1000</f>
        <v>250</v>
      </c>
      <c r="I2206" s="85">
        <f>STATS1003B!I2210/1000</f>
        <v>0</v>
      </c>
      <c r="J2206" s="85">
        <f>STATS1003B!J2210/1000</f>
        <v>250</v>
      </c>
      <c r="K2206" s="85">
        <f>STATS1003B!K2210/1000</f>
        <v>0</v>
      </c>
      <c r="L2206" s="85">
        <f>STATS1003B!L2210/1000</f>
        <v>0</v>
      </c>
      <c r="M2206" s="85">
        <f>STATS1003B!M2210/1000</f>
        <v>250</v>
      </c>
      <c r="N2206" s="85">
        <f>STATS1003B!N2210/1000</f>
        <v>0</v>
      </c>
      <c r="O2206" s="85">
        <f>STATS1003B!O2210/1000</f>
        <v>0</v>
      </c>
      <c r="P2206" s="85">
        <f>STATS1003B!P2210/1000</f>
        <v>0</v>
      </c>
      <c r="Q2206" s="85">
        <f>STATS1003B!Q2210/1000</f>
        <v>250</v>
      </c>
      <c r="R2206" s="85">
        <f>STATS1003B!R2210/1000</f>
        <v>0</v>
      </c>
      <c r="S2206" s="85">
        <f>STATS1003B!S2210/1000</f>
        <v>0</v>
      </c>
      <c r="T2206" s="85">
        <f>STATS1003B!T2210/1000</f>
        <v>0</v>
      </c>
      <c r="U2206" s="85">
        <f>STATS1003B!U2210/1000</f>
        <v>0</v>
      </c>
      <c r="V2206" s="85">
        <f>STATS1003B!V2210/1000</f>
        <v>0</v>
      </c>
      <c r="W2206" s="85">
        <f>STATS1003B!W2210/1000</f>
        <v>0</v>
      </c>
      <c r="X2206" s="85">
        <f t="shared" si="238"/>
        <v>250</v>
      </c>
      <c r="Y2206" s="85">
        <f>STATS1003B!Y2210/1000</f>
        <v>0</v>
      </c>
      <c r="Z2206" s="85">
        <f t="shared" si="241"/>
        <v>0</v>
      </c>
      <c r="AA2206" s="69">
        <f>STATS1003B!AA2210/1000</f>
        <v>250</v>
      </c>
      <c r="AB2206" s="69">
        <f>STATS1003B!AB2210/1000</f>
        <v>0</v>
      </c>
    </row>
    <row r="2207" spans="1:28" hidden="1" x14ac:dyDescent="0.3">
      <c r="A2207" s="117"/>
      <c r="C2207" s="68" t="s">
        <v>535</v>
      </c>
      <c r="D2207" s="145" t="s">
        <v>58</v>
      </c>
      <c r="E2207" s="85">
        <f>STATS1003B!E2211/1000</f>
        <v>4219.3201500000005</v>
      </c>
      <c r="F2207" s="85">
        <f>STATS1003B!F2211/1000</f>
        <v>4219.3201500000005</v>
      </c>
      <c r="G2207" s="85">
        <f>STATS1003B!G2211/1000</f>
        <v>0</v>
      </c>
      <c r="H2207" s="85">
        <f>STATS1003B!H2211/1000</f>
        <v>4219.3201500000005</v>
      </c>
      <c r="I2207" s="85">
        <f>STATS1003B!I2211/1000</f>
        <v>0</v>
      </c>
      <c r="J2207" s="85">
        <f>STATS1003B!J2211/1000</f>
        <v>4219.3201500000005</v>
      </c>
      <c r="K2207" s="85">
        <f>STATS1003B!K2211/1000</f>
        <v>0</v>
      </c>
      <c r="L2207" s="85">
        <f>STATS1003B!L2211/1000</f>
        <v>0</v>
      </c>
      <c r="M2207" s="85">
        <f>STATS1003B!M2211/1000</f>
        <v>4219.3201500000005</v>
      </c>
      <c r="N2207" s="85">
        <f>STATS1003B!N2211/1000</f>
        <v>0</v>
      </c>
      <c r="O2207" s="85">
        <f>STATS1003B!O2211/1000</f>
        <v>0</v>
      </c>
      <c r="P2207" s="85">
        <f>STATS1003B!P2211/1000</f>
        <v>0</v>
      </c>
      <c r="Q2207" s="85">
        <f>STATS1003B!Q2211/1000</f>
        <v>4219.3201500000005</v>
      </c>
      <c r="R2207" s="85">
        <f>STATS1003B!R2211/1000</f>
        <v>0</v>
      </c>
      <c r="S2207" s="85">
        <f>STATS1003B!S2211/1000</f>
        <v>0</v>
      </c>
      <c r="T2207" s="85">
        <f>STATS1003B!T2211/1000</f>
        <v>0</v>
      </c>
      <c r="U2207" s="85">
        <f>STATS1003B!U2211/1000</f>
        <v>0</v>
      </c>
      <c r="V2207" s="85">
        <f>STATS1003B!V2211/1000</f>
        <v>0</v>
      </c>
      <c r="W2207" s="85">
        <f>STATS1003B!W2211/1000</f>
        <v>0</v>
      </c>
      <c r="X2207" s="85">
        <f t="shared" si="238"/>
        <v>4219.3201500000005</v>
      </c>
      <c r="Y2207" s="85">
        <f>STATS1003B!Y2211/1000</f>
        <v>0</v>
      </c>
      <c r="Z2207" s="85">
        <f t="shared" si="241"/>
        <v>0</v>
      </c>
      <c r="AA2207" s="69">
        <f>STATS1003B!AA2211/1000</f>
        <v>4219.3201500000005</v>
      </c>
      <c r="AB2207" s="69">
        <f>STATS1003B!AB2211/1000</f>
        <v>0</v>
      </c>
    </row>
    <row r="2208" spans="1:28" hidden="1" x14ac:dyDescent="0.3">
      <c r="A2208" s="117"/>
      <c r="C2208" s="68" t="s">
        <v>535</v>
      </c>
      <c r="D2208" s="145" t="s">
        <v>60</v>
      </c>
      <c r="E2208" s="85">
        <f>STATS1003B!E2212/1000</f>
        <v>9464.3649999999998</v>
      </c>
      <c r="F2208" s="85">
        <f>STATS1003B!F2212/1000</f>
        <v>9464.3649999999998</v>
      </c>
      <c r="G2208" s="85">
        <f>STATS1003B!G2212/1000</f>
        <v>0</v>
      </c>
      <c r="H2208" s="85">
        <f>STATS1003B!H2212/1000</f>
        <v>9464.3649999999998</v>
      </c>
      <c r="I2208" s="85">
        <f>STATS1003B!I2212/1000</f>
        <v>0</v>
      </c>
      <c r="J2208" s="85">
        <f>STATS1003B!J2212/1000</f>
        <v>9464.3649999999998</v>
      </c>
      <c r="K2208" s="85">
        <f>STATS1003B!K2212/1000</f>
        <v>0</v>
      </c>
      <c r="L2208" s="85">
        <f>STATS1003B!L2212/1000</f>
        <v>0</v>
      </c>
      <c r="M2208" s="85">
        <f>STATS1003B!M2212/1000</f>
        <v>9464.3649999999998</v>
      </c>
      <c r="N2208" s="85">
        <f>STATS1003B!N2212/1000</f>
        <v>0</v>
      </c>
      <c r="O2208" s="85">
        <f>STATS1003B!O2212/1000</f>
        <v>0</v>
      </c>
      <c r="P2208" s="85">
        <f>STATS1003B!P2212/1000</f>
        <v>0</v>
      </c>
      <c r="Q2208" s="85">
        <f>STATS1003B!Q2212/1000</f>
        <v>9464.3649999999998</v>
      </c>
      <c r="R2208" s="85">
        <f>STATS1003B!R2212/1000</f>
        <v>0</v>
      </c>
      <c r="S2208" s="85">
        <f>STATS1003B!S2212/1000</f>
        <v>0</v>
      </c>
      <c r="T2208" s="85">
        <f>STATS1003B!T2212/1000</f>
        <v>0</v>
      </c>
      <c r="U2208" s="85">
        <f>STATS1003B!U2212/1000</f>
        <v>0</v>
      </c>
      <c r="V2208" s="85">
        <f>STATS1003B!V2212/1000</f>
        <v>0</v>
      </c>
      <c r="W2208" s="85">
        <f>STATS1003B!W2212/1000</f>
        <v>0</v>
      </c>
      <c r="X2208" s="85">
        <f t="shared" si="238"/>
        <v>9464.3649999999998</v>
      </c>
      <c r="Y2208" s="85">
        <f>STATS1003B!Y2212/1000</f>
        <v>0</v>
      </c>
      <c r="Z2208" s="85">
        <f t="shared" si="241"/>
        <v>0</v>
      </c>
      <c r="AA2208" s="69">
        <f>STATS1003B!AA2212/1000</f>
        <v>9464.3649999999998</v>
      </c>
      <c r="AB2208" s="69">
        <f>STATS1003B!AB2212/1000</f>
        <v>0</v>
      </c>
    </row>
    <row r="2209" spans="1:28" hidden="1" x14ac:dyDescent="0.3">
      <c r="A2209" s="117"/>
      <c r="C2209" s="68" t="s">
        <v>535</v>
      </c>
      <c r="D2209" s="145" t="s">
        <v>73</v>
      </c>
      <c r="E2209" s="85">
        <f>STATS1003B!E2213/1000</f>
        <v>2499.9009999999998</v>
      </c>
      <c r="F2209" s="85">
        <f>STATS1003B!F2213/1000</f>
        <v>2499.9009999999998</v>
      </c>
      <c r="G2209" s="85">
        <f>STATS1003B!G2213/1000</f>
        <v>0</v>
      </c>
      <c r="H2209" s="85">
        <f>STATS1003B!H2213/1000</f>
        <v>2499.9009999999998</v>
      </c>
      <c r="I2209" s="85">
        <f>STATS1003B!I2213/1000</f>
        <v>0</v>
      </c>
      <c r="J2209" s="85">
        <f>STATS1003B!J2213/1000</f>
        <v>2499.9009999999998</v>
      </c>
      <c r="K2209" s="85">
        <f>STATS1003B!K2213/1000</f>
        <v>0</v>
      </c>
      <c r="L2209" s="85">
        <f>STATS1003B!L2213/1000</f>
        <v>0</v>
      </c>
      <c r="M2209" s="85">
        <f>STATS1003B!M2213/1000</f>
        <v>2499.9009999999998</v>
      </c>
      <c r="N2209" s="85">
        <f>STATS1003B!N2213/1000</f>
        <v>0</v>
      </c>
      <c r="O2209" s="85">
        <f>STATS1003B!O2213/1000</f>
        <v>0</v>
      </c>
      <c r="P2209" s="85">
        <f>STATS1003B!P2213/1000</f>
        <v>0</v>
      </c>
      <c r="Q2209" s="85">
        <f>STATS1003B!Q2213/1000</f>
        <v>2499.9009999999998</v>
      </c>
      <c r="R2209" s="85">
        <f>STATS1003B!R2213/1000</f>
        <v>0</v>
      </c>
      <c r="S2209" s="85">
        <f>STATS1003B!S2213/1000</f>
        <v>0</v>
      </c>
      <c r="T2209" s="85">
        <f>STATS1003B!T2213/1000</f>
        <v>0</v>
      </c>
      <c r="U2209" s="85">
        <f>STATS1003B!U2213/1000</f>
        <v>0</v>
      </c>
      <c r="V2209" s="85">
        <f>STATS1003B!V2213/1000</f>
        <v>0</v>
      </c>
      <c r="W2209" s="85">
        <f>STATS1003B!W2213/1000</f>
        <v>0</v>
      </c>
      <c r="X2209" s="85">
        <f t="shared" si="238"/>
        <v>2499.9009999999998</v>
      </c>
      <c r="Y2209" s="85">
        <f>STATS1003B!Y2213/1000</f>
        <v>0</v>
      </c>
      <c r="Z2209" s="85">
        <f t="shared" si="241"/>
        <v>0</v>
      </c>
      <c r="AA2209" s="69">
        <f>STATS1003B!AA2213/1000</f>
        <v>2499.9009999999998</v>
      </c>
      <c r="AB2209" s="69">
        <f>STATS1003B!AB2213/1000</f>
        <v>0</v>
      </c>
    </row>
    <row r="2210" spans="1:28" hidden="1" x14ac:dyDescent="0.3">
      <c r="A2210" s="117"/>
      <c r="C2210" s="68" t="s">
        <v>535</v>
      </c>
      <c r="D2210" s="145" t="s">
        <v>61</v>
      </c>
      <c r="E2210" s="85">
        <f>STATS1003B!E2214/1000</f>
        <v>2014.6506999999999</v>
      </c>
      <c r="F2210" s="85">
        <f>STATS1003B!F2214/1000</f>
        <v>2000</v>
      </c>
      <c r="G2210" s="85">
        <f>STATS1003B!G2214/1000</f>
        <v>0</v>
      </c>
      <c r="H2210" s="85">
        <f>STATS1003B!H2214/1000</f>
        <v>2000</v>
      </c>
      <c r="I2210" s="85">
        <f>STATS1003B!I2214/1000</f>
        <v>0</v>
      </c>
      <c r="J2210" s="85">
        <f>STATS1003B!J2214/1000</f>
        <v>2000</v>
      </c>
      <c r="K2210" s="85">
        <f>STATS1003B!K2214/1000</f>
        <v>0</v>
      </c>
      <c r="L2210" s="85">
        <f>STATS1003B!L2214/1000</f>
        <v>0</v>
      </c>
      <c r="M2210" s="85">
        <f>STATS1003B!M2214/1000</f>
        <v>2000</v>
      </c>
      <c r="N2210" s="85">
        <f>STATS1003B!N2214/1000</f>
        <v>0</v>
      </c>
      <c r="O2210" s="85">
        <f>STATS1003B!O2214/1000</f>
        <v>0</v>
      </c>
      <c r="P2210" s="85">
        <f>STATS1003B!P2214/1000</f>
        <v>0</v>
      </c>
      <c r="Q2210" s="85">
        <f>STATS1003B!Q2214/1000</f>
        <v>2014.6506999999999</v>
      </c>
      <c r="R2210" s="85">
        <f>STATS1003B!R2214/1000</f>
        <v>0</v>
      </c>
      <c r="S2210" s="85">
        <f>STATS1003B!S2214/1000</f>
        <v>0</v>
      </c>
      <c r="T2210" s="85">
        <f>STATS1003B!T2214/1000</f>
        <v>14.650700000000001</v>
      </c>
      <c r="U2210" s="85">
        <f>STATS1003B!U2214/1000</f>
        <v>14.650700000000001</v>
      </c>
      <c r="V2210" s="85">
        <f>STATS1003B!V2214/1000</f>
        <v>0</v>
      </c>
      <c r="W2210" s="85">
        <f>STATS1003B!W2214/1000</f>
        <v>0</v>
      </c>
      <c r="X2210" s="85">
        <f t="shared" si="238"/>
        <v>2000</v>
      </c>
      <c r="Y2210" s="85">
        <f>STATS1003B!Y2214/1000</f>
        <v>0</v>
      </c>
      <c r="Z2210" s="85">
        <f t="shared" si="241"/>
        <v>14.650699999999915</v>
      </c>
      <c r="AA2210" s="69">
        <f>STATS1003B!AA2214/1000</f>
        <v>2014.6506999999999</v>
      </c>
      <c r="AB2210" s="69">
        <f>STATS1003B!AB2214/1000</f>
        <v>0</v>
      </c>
    </row>
    <row r="2211" spans="1:28" hidden="1" x14ac:dyDescent="0.3">
      <c r="A2211" s="117"/>
      <c r="C2211" s="68" t="s">
        <v>898</v>
      </c>
      <c r="D2211" s="145"/>
      <c r="E2211" s="85">
        <f>STATS1003B!E2215/1000</f>
        <v>20.820689999999999</v>
      </c>
      <c r="F2211" s="85">
        <f>STATS1003B!F2215/1000</f>
        <v>0</v>
      </c>
      <c r="G2211" s="85">
        <f>STATS1003B!G2215/1000</f>
        <v>0</v>
      </c>
      <c r="H2211" s="85">
        <f>STATS1003B!H2215/1000</f>
        <v>0</v>
      </c>
      <c r="I2211" s="85">
        <f>STATS1003B!I2215/1000</f>
        <v>0</v>
      </c>
      <c r="J2211" s="85">
        <f>STATS1003B!J2215/1000</f>
        <v>0</v>
      </c>
      <c r="K2211" s="85">
        <f>STATS1003B!K2215/1000</f>
        <v>0</v>
      </c>
      <c r="L2211" s="85">
        <f>STATS1003B!L2215/1000</f>
        <v>0</v>
      </c>
      <c r="M2211" s="85">
        <f>STATS1003B!M2215/1000</f>
        <v>0</v>
      </c>
      <c r="N2211" s="85">
        <f>STATS1003B!N2215/1000</f>
        <v>20.820689999999999</v>
      </c>
      <c r="O2211" s="85">
        <f>STATS1003B!O2215/1000</f>
        <v>0</v>
      </c>
      <c r="P2211" s="85">
        <f>STATS1003B!P2215/1000</f>
        <v>20.820689999999999</v>
      </c>
      <c r="Q2211" s="85">
        <f>STATS1003B!Q2215/1000</f>
        <v>0</v>
      </c>
      <c r="R2211" s="85">
        <f>STATS1003B!R2215/1000</f>
        <v>0</v>
      </c>
      <c r="S2211" s="85">
        <f>STATS1003B!S2215/1000</f>
        <v>0</v>
      </c>
      <c r="T2211" s="85">
        <f>STATS1003B!T2215/1000</f>
        <v>0</v>
      </c>
      <c r="U2211" s="85">
        <f>STATS1003B!U2215/1000</f>
        <v>20.820689999999999</v>
      </c>
      <c r="V2211" s="85">
        <f>STATS1003B!V2215/1000</f>
        <v>0</v>
      </c>
      <c r="W2211" s="85">
        <f>STATS1003B!W2215/1000</f>
        <v>0</v>
      </c>
      <c r="X2211" s="85">
        <f t="shared" si="238"/>
        <v>20.820689999999999</v>
      </c>
      <c r="Y2211" s="85">
        <f>STATS1003B!Y2215/1000</f>
        <v>0</v>
      </c>
      <c r="Z2211" s="85">
        <f t="shared" si="241"/>
        <v>0</v>
      </c>
      <c r="AA2211" s="69">
        <f>STATS1003B!AA2215/1000</f>
        <v>20.820689999999999</v>
      </c>
      <c r="AB2211" s="69">
        <f>STATS1003B!AB2215/1000</f>
        <v>0</v>
      </c>
    </row>
    <row r="2212" spans="1:28" hidden="1" x14ac:dyDescent="0.3">
      <c r="A2212" s="117"/>
      <c r="C2212" s="68" t="s">
        <v>933</v>
      </c>
      <c r="D2212" s="90" t="s">
        <v>1072</v>
      </c>
      <c r="E2212" s="85">
        <f>STATS1003B!E2216/1000</f>
        <v>2939.2615099999998</v>
      </c>
      <c r="F2212" s="85">
        <f>STATS1003B!F2216/1000</f>
        <v>2939.2615099999998</v>
      </c>
      <c r="G2212" s="85">
        <f>STATS1003B!G2216/1000</f>
        <v>0</v>
      </c>
      <c r="H2212" s="85">
        <f>STATS1003B!H2216/1000</f>
        <v>2939.2615099999998</v>
      </c>
      <c r="I2212" s="85">
        <f>STATS1003B!I2216/1000</f>
        <v>0</v>
      </c>
      <c r="J2212" s="85">
        <f>STATS1003B!J2216/1000</f>
        <v>2939.2615099999998</v>
      </c>
      <c r="K2212" s="85">
        <f>STATS1003B!K2216/1000</f>
        <v>0</v>
      </c>
      <c r="L2212" s="85">
        <f>STATS1003B!L2216/1000</f>
        <v>0</v>
      </c>
      <c r="M2212" s="85">
        <f>STATS1003B!M2216/1000</f>
        <v>2939.2615099999998</v>
      </c>
      <c r="N2212" s="85">
        <f>STATS1003B!N2216/1000</f>
        <v>0</v>
      </c>
      <c r="O2212" s="85">
        <f>STATS1003B!O2216/1000</f>
        <v>0</v>
      </c>
      <c r="P2212" s="85">
        <f>STATS1003B!P2216/1000</f>
        <v>0</v>
      </c>
      <c r="Q2212" s="85">
        <f>STATS1003B!Q2216/1000</f>
        <v>0</v>
      </c>
      <c r="R2212" s="85">
        <f>STATS1003B!R2216/1000</f>
        <v>0</v>
      </c>
      <c r="S2212" s="85">
        <f>STATS1003B!S2216/1000</f>
        <v>0</v>
      </c>
      <c r="T2212" s="85">
        <f>STATS1003B!T2216/1000</f>
        <v>0</v>
      </c>
      <c r="U2212" s="85">
        <f>STATS1003B!U2216/1000</f>
        <v>0</v>
      </c>
      <c r="V2212" s="85">
        <f>STATS1003B!V2216/1000</f>
        <v>0</v>
      </c>
      <c r="W2212" s="85">
        <f>STATS1003B!W2216/1000</f>
        <v>0</v>
      </c>
      <c r="X2212" s="85">
        <f t="shared" si="238"/>
        <v>2939.2615099999998</v>
      </c>
      <c r="Y2212" s="85">
        <f>STATS1003B!Y2216/1000</f>
        <v>0</v>
      </c>
      <c r="Z2212" s="85">
        <f t="shared" si="241"/>
        <v>0</v>
      </c>
      <c r="AA2212" s="69">
        <f>STATS1003B!AA2216/1000</f>
        <v>2939.2615099999998</v>
      </c>
      <c r="AB2212" s="69">
        <f>STATS1003B!AB2216/1000</f>
        <v>0</v>
      </c>
    </row>
    <row r="2213" spans="1:28" hidden="1" x14ac:dyDescent="0.3">
      <c r="A2213" s="117"/>
      <c r="C2213" s="68" t="s">
        <v>1173</v>
      </c>
      <c r="D2213" s="90" t="s">
        <v>1126</v>
      </c>
      <c r="E2213" s="85">
        <f>STATS1003B!E2217/1000</f>
        <v>7367.7393600000005</v>
      </c>
      <c r="F2213" s="85">
        <f>STATS1003B!F2217/1000</f>
        <v>7367.7393600000005</v>
      </c>
      <c r="G2213" s="85">
        <f>STATS1003B!G2217/1000</f>
        <v>0</v>
      </c>
      <c r="H2213" s="85">
        <f>STATS1003B!H2217/1000</f>
        <v>7367.7393600000005</v>
      </c>
      <c r="I2213" s="85">
        <f>STATS1003B!I2217/1000</f>
        <v>0</v>
      </c>
      <c r="J2213" s="85">
        <f>STATS1003B!J2217/1000</f>
        <v>7367.7393600000005</v>
      </c>
      <c r="K2213" s="85">
        <f>STATS1003B!K2217/1000</f>
        <v>0</v>
      </c>
      <c r="L2213" s="85">
        <f>STATS1003B!L2217/1000</f>
        <v>0</v>
      </c>
      <c r="M2213" s="85">
        <f>STATS1003B!M2217/1000</f>
        <v>7367.7393600000005</v>
      </c>
      <c r="N2213" s="85">
        <f>STATS1003B!N2217/1000</f>
        <v>0</v>
      </c>
      <c r="O2213" s="85">
        <f>STATS1003B!O2217/1000</f>
        <v>0</v>
      </c>
      <c r="P2213" s="85">
        <f>STATS1003B!P2217/1000</f>
        <v>0</v>
      </c>
      <c r="Q2213" s="85">
        <f>STATS1003B!Q2217/1000</f>
        <v>0</v>
      </c>
      <c r="R2213" s="85">
        <f>STATS1003B!R2217/1000</f>
        <v>0</v>
      </c>
      <c r="S2213" s="85">
        <f>STATS1003B!S2217/1000</f>
        <v>0</v>
      </c>
      <c r="T2213" s="85">
        <f>STATS1003B!T2217/1000</f>
        <v>0</v>
      </c>
      <c r="U2213" s="85">
        <f>STATS1003B!U2217/1000</f>
        <v>0</v>
      </c>
      <c r="V2213" s="85">
        <f>STATS1003B!V2217/1000</f>
        <v>0</v>
      </c>
      <c r="W2213" s="85">
        <f>STATS1003B!W2217/1000</f>
        <v>0</v>
      </c>
      <c r="X2213" s="85">
        <f t="shared" si="238"/>
        <v>7367.7393600000005</v>
      </c>
      <c r="Y2213" s="85">
        <f>STATS1003B!Y2217/1000</f>
        <v>0</v>
      </c>
      <c r="Z2213" s="85">
        <f t="shared" si="241"/>
        <v>0</v>
      </c>
      <c r="AA2213" s="69">
        <f>STATS1003B!AA2217/1000</f>
        <v>7367.7393600000005</v>
      </c>
      <c r="AB2213" s="69">
        <f>STATS1003B!AB2217/1000</f>
        <v>0</v>
      </c>
    </row>
    <row r="2214" spans="1:28" hidden="1" x14ac:dyDescent="0.3">
      <c r="A2214" s="117"/>
      <c r="C2214" s="71" t="s">
        <v>568</v>
      </c>
      <c r="E2214" s="85">
        <f>STATS1003B!E2218/1000</f>
        <v>873.73964999999998</v>
      </c>
      <c r="F2214" s="85">
        <f>STATS1003B!F2218/1000</f>
        <v>873.73964999999998</v>
      </c>
      <c r="G2214" s="85">
        <f>STATS1003B!G2218/1000</f>
        <v>0</v>
      </c>
      <c r="H2214" s="85">
        <f>STATS1003B!H2218/1000</f>
        <v>873.73964999999998</v>
      </c>
      <c r="I2214" s="85">
        <f>STATS1003B!I2218/1000</f>
        <v>0</v>
      </c>
      <c r="J2214" s="85">
        <f>STATS1003B!J2218/1000</f>
        <v>873.73964999999998</v>
      </c>
      <c r="K2214" s="85">
        <f>STATS1003B!K2218/1000</f>
        <v>0</v>
      </c>
      <c r="L2214" s="85">
        <f>STATS1003B!L2218/1000</f>
        <v>0</v>
      </c>
      <c r="M2214" s="85">
        <f>STATS1003B!M2218/1000</f>
        <v>873.73964999999998</v>
      </c>
      <c r="N2214" s="85">
        <f>STATS1003B!N2218/1000</f>
        <v>0</v>
      </c>
      <c r="O2214" s="85">
        <f>STATS1003B!O2218/1000</f>
        <v>0</v>
      </c>
      <c r="P2214" s="85">
        <f>STATS1003B!P2218/1000</f>
        <v>0</v>
      </c>
      <c r="Q2214" s="85">
        <f>STATS1003B!Q2218/1000</f>
        <v>873.73964999999998</v>
      </c>
      <c r="R2214" s="85">
        <f>STATS1003B!R2218/1000</f>
        <v>0</v>
      </c>
      <c r="S2214" s="85">
        <f>STATS1003B!S2218/1000</f>
        <v>0</v>
      </c>
      <c r="T2214" s="85">
        <f>STATS1003B!T2218/1000</f>
        <v>0</v>
      </c>
      <c r="U2214" s="85">
        <f>STATS1003B!U2218/1000</f>
        <v>0</v>
      </c>
      <c r="V2214" s="85">
        <f>STATS1003B!V2218/1000</f>
        <v>0</v>
      </c>
      <c r="W2214" s="85">
        <f>STATS1003B!W2218/1000</f>
        <v>0</v>
      </c>
      <c r="X2214" s="85">
        <f t="shared" si="238"/>
        <v>873.73964999999998</v>
      </c>
      <c r="Y2214" s="85">
        <f>STATS1003B!Y2218/1000</f>
        <v>0</v>
      </c>
      <c r="Z2214" s="85">
        <f t="shared" si="241"/>
        <v>0</v>
      </c>
      <c r="AA2214" s="69">
        <f>STATS1003B!AA2218/1000</f>
        <v>873.73964999999998</v>
      </c>
      <c r="AB2214" s="69">
        <f>STATS1003B!AB2218/1000</f>
        <v>0</v>
      </c>
    </row>
    <row r="2215" spans="1:28" hidden="1" x14ac:dyDescent="0.3">
      <c r="A2215" s="117"/>
      <c r="C2215" s="68" t="s">
        <v>598</v>
      </c>
      <c r="E2215" s="85">
        <f>STATS1003B!E2219/1000</f>
        <v>631.32029</v>
      </c>
      <c r="F2215" s="85">
        <f>STATS1003B!F2219/1000</f>
        <v>631.32029</v>
      </c>
      <c r="G2215" s="85">
        <f>STATS1003B!G2219/1000</f>
        <v>0</v>
      </c>
      <c r="H2215" s="85">
        <f>STATS1003B!H2219/1000</f>
        <v>631.32029</v>
      </c>
      <c r="I2215" s="85">
        <f>STATS1003B!I2219/1000</f>
        <v>0</v>
      </c>
      <c r="J2215" s="85">
        <f>STATS1003B!J2219/1000</f>
        <v>631.32029</v>
      </c>
      <c r="K2215" s="85">
        <f>STATS1003B!K2219/1000</f>
        <v>0</v>
      </c>
      <c r="L2215" s="85">
        <f>STATS1003B!L2219/1000</f>
        <v>0</v>
      </c>
      <c r="M2215" s="85">
        <f>STATS1003B!M2219/1000</f>
        <v>631.32029</v>
      </c>
      <c r="N2215" s="85">
        <f>STATS1003B!N2219/1000</f>
        <v>0</v>
      </c>
      <c r="O2215" s="85">
        <f>STATS1003B!O2219/1000</f>
        <v>0</v>
      </c>
      <c r="P2215" s="85">
        <f>STATS1003B!P2219/1000</f>
        <v>0</v>
      </c>
      <c r="Q2215" s="85">
        <f>STATS1003B!Q2219/1000</f>
        <v>631.32029</v>
      </c>
      <c r="R2215" s="85">
        <f>STATS1003B!R2219/1000</f>
        <v>0</v>
      </c>
      <c r="S2215" s="85">
        <f>STATS1003B!S2219/1000</f>
        <v>0</v>
      </c>
      <c r="T2215" s="85">
        <f>STATS1003B!T2219/1000</f>
        <v>0</v>
      </c>
      <c r="U2215" s="85">
        <f>STATS1003B!U2219/1000</f>
        <v>0</v>
      </c>
      <c r="V2215" s="85">
        <f>STATS1003B!V2219/1000</f>
        <v>0</v>
      </c>
      <c r="W2215" s="85">
        <f>STATS1003B!W2219/1000</f>
        <v>0</v>
      </c>
      <c r="X2215" s="85">
        <f t="shared" si="238"/>
        <v>631.32029</v>
      </c>
      <c r="Y2215" s="85">
        <f>STATS1003B!Y2219/1000</f>
        <v>0</v>
      </c>
      <c r="Z2215" s="85">
        <f t="shared" si="241"/>
        <v>0</v>
      </c>
      <c r="AA2215" s="69">
        <f>STATS1003B!AA2219/1000</f>
        <v>631.32029</v>
      </c>
      <c r="AB2215" s="69">
        <f>STATS1003B!AB2219/1000</f>
        <v>0</v>
      </c>
    </row>
    <row r="2216" spans="1:28" hidden="1" x14ac:dyDescent="0.3">
      <c r="A2216" s="117"/>
      <c r="C2216" s="68" t="s">
        <v>569</v>
      </c>
      <c r="E2216" s="85">
        <f>STATS1003B!E2220/1000</f>
        <v>1112.873</v>
      </c>
      <c r="F2216" s="85">
        <f>STATS1003B!F2220/1000</f>
        <v>1112.873</v>
      </c>
      <c r="G2216" s="85">
        <f>STATS1003B!G2220/1000</f>
        <v>0</v>
      </c>
      <c r="H2216" s="85">
        <f>STATS1003B!H2220/1000</f>
        <v>1112.873</v>
      </c>
      <c r="I2216" s="85">
        <f>STATS1003B!I2220/1000</f>
        <v>0</v>
      </c>
      <c r="J2216" s="85">
        <f>STATS1003B!J2220/1000</f>
        <v>1112.873</v>
      </c>
      <c r="K2216" s="85">
        <f>STATS1003B!K2220/1000</f>
        <v>0</v>
      </c>
      <c r="L2216" s="85">
        <f>STATS1003B!L2220/1000</f>
        <v>0</v>
      </c>
      <c r="M2216" s="85">
        <f>STATS1003B!M2220/1000</f>
        <v>1112.873</v>
      </c>
      <c r="N2216" s="85">
        <f>STATS1003B!N2220/1000</f>
        <v>0</v>
      </c>
      <c r="O2216" s="85">
        <f>STATS1003B!O2220/1000</f>
        <v>0</v>
      </c>
      <c r="P2216" s="85">
        <f>STATS1003B!P2220/1000</f>
        <v>0</v>
      </c>
      <c r="Q2216" s="85">
        <f>STATS1003B!Q2220/1000</f>
        <v>1112.873</v>
      </c>
      <c r="R2216" s="85">
        <f>STATS1003B!R2220/1000</f>
        <v>0</v>
      </c>
      <c r="S2216" s="85">
        <f>STATS1003B!S2220/1000</f>
        <v>0</v>
      </c>
      <c r="T2216" s="85">
        <f>STATS1003B!T2220/1000</f>
        <v>0</v>
      </c>
      <c r="U2216" s="85">
        <f>STATS1003B!U2220/1000</f>
        <v>0</v>
      </c>
      <c r="V2216" s="85">
        <f>STATS1003B!V2220/1000</f>
        <v>0</v>
      </c>
      <c r="W2216" s="85">
        <f>STATS1003B!W2220/1000</f>
        <v>0</v>
      </c>
      <c r="X2216" s="85">
        <f t="shared" si="238"/>
        <v>1112.873</v>
      </c>
      <c r="Y2216" s="85">
        <f>STATS1003B!Y2220/1000</f>
        <v>0</v>
      </c>
      <c r="Z2216" s="85">
        <f t="shared" si="241"/>
        <v>0</v>
      </c>
      <c r="AA2216" s="69">
        <f>STATS1003B!AA2220/1000</f>
        <v>1112.873</v>
      </c>
      <c r="AB2216" s="69">
        <f>STATS1003B!AB2220/1000</f>
        <v>0</v>
      </c>
    </row>
    <row r="2217" spans="1:28" hidden="1" x14ac:dyDescent="0.3">
      <c r="A2217" s="117"/>
      <c r="B2217" s="145" t="s">
        <v>709</v>
      </c>
      <c r="C2217" s="68" t="s">
        <v>826</v>
      </c>
      <c r="E2217" s="85">
        <f>STATS1003B!E2221/1000</f>
        <v>2400</v>
      </c>
      <c r="F2217" s="85">
        <f>STATS1003B!F2221/1000</f>
        <v>2400</v>
      </c>
      <c r="G2217" s="85">
        <f>STATS1003B!G2221/1000</f>
        <v>0</v>
      </c>
      <c r="H2217" s="85">
        <f>STATS1003B!H2221/1000</f>
        <v>2400</v>
      </c>
      <c r="I2217" s="85">
        <f>STATS1003B!I2221/1000</f>
        <v>0</v>
      </c>
      <c r="J2217" s="85">
        <f>STATS1003B!J2221/1000</f>
        <v>2400</v>
      </c>
      <c r="K2217" s="85">
        <f>STATS1003B!K2221/1000</f>
        <v>0</v>
      </c>
      <c r="L2217" s="85">
        <f>STATS1003B!L2221/1000</f>
        <v>0</v>
      </c>
      <c r="M2217" s="85">
        <f>STATS1003B!M2221/1000</f>
        <v>2400</v>
      </c>
      <c r="N2217" s="85">
        <f>STATS1003B!N2221/1000</f>
        <v>0</v>
      </c>
      <c r="O2217" s="85">
        <f>STATS1003B!O2221/1000</f>
        <v>0</v>
      </c>
      <c r="P2217" s="85">
        <f>STATS1003B!P2221/1000</f>
        <v>0</v>
      </c>
      <c r="Q2217" s="85">
        <f>STATS1003B!Q2221/1000</f>
        <v>2400</v>
      </c>
      <c r="R2217" s="85">
        <f>STATS1003B!R2221/1000</f>
        <v>0</v>
      </c>
      <c r="S2217" s="85">
        <f>STATS1003B!S2221/1000</f>
        <v>0</v>
      </c>
      <c r="T2217" s="85">
        <f>STATS1003B!T2221/1000</f>
        <v>0</v>
      </c>
      <c r="U2217" s="85">
        <f>STATS1003B!U2221/1000</f>
        <v>0</v>
      </c>
      <c r="V2217" s="85">
        <f>STATS1003B!V2221/1000</f>
        <v>0</v>
      </c>
      <c r="W2217" s="85">
        <f>STATS1003B!W2221/1000</f>
        <v>0</v>
      </c>
      <c r="X2217" s="85">
        <f t="shared" si="238"/>
        <v>2400</v>
      </c>
      <c r="Y2217" s="85">
        <f>STATS1003B!Y2221/1000</f>
        <v>0</v>
      </c>
      <c r="Z2217" s="85">
        <f t="shared" si="241"/>
        <v>0</v>
      </c>
      <c r="AA2217" s="69">
        <f>STATS1003B!AA2221/1000</f>
        <v>2400</v>
      </c>
      <c r="AB2217" s="69">
        <f>STATS1003B!AB2221/1000</f>
        <v>0</v>
      </c>
    </row>
    <row r="2218" spans="1:28" hidden="1" x14ac:dyDescent="0.3">
      <c r="A2218" s="117"/>
      <c r="E2218" s="86" t="s">
        <v>29</v>
      </c>
      <c r="F2218" s="86" t="s">
        <v>29</v>
      </c>
      <c r="G2218" s="86" t="s">
        <v>29</v>
      </c>
      <c r="H2218" s="86" t="s">
        <v>29</v>
      </c>
      <c r="I2218" s="86" t="s">
        <v>29</v>
      </c>
      <c r="J2218" s="86" t="s">
        <v>29</v>
      </c>
      <c r="K2218" s="86" t="s">
        <v>29</v>
      </c>
      <c r="L2218" s="86" t="s">
        <v>29</v>
      </c>
      <c r="M2218" s="86" t="s">
        <v>29</v>
      </c>
      <c r="N2218" s="86" t="s">
        <v>29</v>
      </c>
      <c r="O2218" s="86" t="s">
        <v>29</v>
      </c>
      <c r="P2218" s="86" t="s">
        <v>29</v>
      </c>
      <c r="Q2218" s="86" t="s">
        <v>29</v>
      </c>
      <c r="R2218" s="86" t="s">
        <v>29</v>
      </c>
      <c r="S2218" s="86" t="s">
        <v>29</v>
      </c>
      <c r="T2218" s="86" t="s">
        <v>29</v>
      </c>
      <c r="U2218" s="86" t="s">
        <v>29</v>
      </c>
      <c r="V2218" s="86" t="s">
        <v>29</v>
      </c>
      <c r="W2218" s="86" t="s">
        <v>29</v>
      </c>
      <c r="X2218" s="85" t="e">
        <f t="shared" si="238"/>
        <v>#VALUE!</v>
      </c>
      <c r="Y2218" s="86" t="s">
        <v>29</v>
      </c>
      <c r="Z2218" s="85" t="e">
        <f t="shared" si="241"/>
        <v>#VALUE!</v>
      </c>
      <c r="AA2218" s="115" t="s">
        <v>29</v>
      </c>
      <c r="AB2218" s="115" t="s">
        <v>29</v>
      </c>
    </row>
    <row r="2219" spans="1:28" x14ac:dyDescent="0.3">
      <c r="A2219" s="116">
        <v>96</v>
      </c>
      <c r="B2219" s="68" t="s">
        <v>824</v>
      </c>
      <c r="E2219" s="85">
        <f>86443128.37/1000</f>
        <v>86443.128370000006</v>
      </c>
      <c r="F2219" s="85">
        <f t="shared" ref="F2219:Q2219" si="242">SUM(F2197:F2218)</f>
        <v>41182.896720000004</v>
      </c>
      <c r="G2219" s="85">
        <f t="shared" si="242"/>
        <v>0</v>
      </c>
      <c r="H2219" s="85">
        <f>83826658.25/1000</f>
        <v>83826.658249999993</v>
      </c>
      <c r="I2219" s="85">
        <f t="shared" si="242"/>
        <v>0</v>
      </c>
      <c r="J2219" s="85">
        <f t="shared" si="242"/>
        <v>41182.896720000004</v>
      </c>
      <c r="K2219" s="85">
        <f t="shared" si="242"/>
        <v>2580.9987300000003</v>
      </c>
      <c r="L2219" s="85">
        <f t="shared" si="242"/>
        <v>0</v>
      </c>
      <c r="M2219" s="85">
        <f t="shared" si="242"/>
        <v>41182.896720000004</v>
      </c>
      <c r="N2219" s="85">
        <f t="shared" si="242"/>
        <v>2601.8194200000003</v>
      </c>
      <c r="O2219" s="85">
        <f t="shared" si="242"/>
        <v>0</v>
      </c>
      <c r="P2219" s="85">
        <f>2601819/1000</f>
        <v>2601.819</v>
      </c>
      <c r="Q2219" s="85">
        <f t="shared" si="242"/>
        <v>30890.546549999992</v>
      </c>
      <c r="R2219" s="84"/>
      <c r="S2219" s="84"/>
      <c r="T2219" s="85">
        <f t="shared" ref="T2219:Y2219" si="243">SUM(T2197:T2218)</f>
        <v>14.650700000000001</v>
      </c>
      <c r="U2219" s="85">
        <f t="shared" si="243"/>
        <v>2616.4701200000004</v>
      </c>
      <c r="V2219" s="85">
        <f t="shared" si="243"/>
        <v>0</v>
      </c>
      <c r="W2219" s="85">
        <f t="shared" si="243"/>
        <v>0</v>
      </c>
      <c r="X2219" s="85">
        <f t="shared" si="238"/>
        <v>86428.477249999996</v>
      </c>
      <c r="Y2219" s="85">
        <f t="shared" si="243"/>
        <v>0</v>
      </c>
      <c r="Z2219" s="85">
        <f t="shared" si="241"/>
        <v>14.651120000009541</v>
      </c>
      <c r="AA2219" s="69">
        <f>SUM(AA2197:AA2218)</f>
        <v>43799.36684000001</v>
      </c>
      <c r="AB2219" s="69">
        <f>SUM(AB2197:AB2218)</f>
        <v>0</v>
      </c>
    </row>
    <row r="2220" spans="1:28" hidden="1" x14ac:dyDescent="0.3">
      <c r="A2220" s="117"/>
      <c r="E2220" s="86" t="s">
        <v>29</v>
      </c>
      <c r="F2220" s="86" t="s">
        <v>29</v>
      </c>
      <c r="G2220" s="86" t="s">
        <v>29</v>
      </c>
      <c r="H2220" s="86" t="s">
        <v>29</v>
      </c>
      <c r="I2220" s="86" t="s">
        <v>29</v>
      </c>
      <c r="J2220" s="86" t="s">
        <v>29</v>
      </c>
      <c r="K2220" s="86" t="s">
        <v>29</v>
      </c>
      <c r="L2220" s="86" t="s">
        <v>29</v>
      </c>
      <c r="M2220" s="86" t="s">
        <v>29</v>
      </c>
      <c r="N2220" s="86" t="s">
        <v>29</v>
      </c>
      <c r="O2220" s="86" t="s">
        <v>29</v>
      </c>
      <c r="P2220" s="86" t="s">
        <v>29</v>
      </c>
      <c r="Q2220" s="86" t="s">
        <v>29</v>
      </c>
      <c r="R2220" s="86" t="s">
        <v>29</v>
      </c>
      <c r="S2220" s="86" t="s">
        <v>29</v>
      </c>
      <c r="T2220" s="86" t="s">
        <v>29</v>
      </c>
      <c r="U2220" s="86" t="s">
        <v>29</v>
      </c>
      <c r="V2220" s="86" t="s">
        <v>29</v>
      </c>
      <c r="W2220" s="86" t="s">
        <v>29</v>
      </c>
      <c r="X2220" s="85" t="e">
        <f t="shared" si="238"/>
        <v>#VALUE!</v>
      </c>
      <c r="Y2220" s="86" t="s">
        <v>29</v>
      </c>
      <c r="Z2220" s="85" t="e">
        <f t="shared" si="241"/>
        <v>#VALUE!</v>
      </c>
      <c r="AA2220" s="115" t="s">
        <v>29</v>
      </c>
      <c r="AB2220" s="115" t="s">
        <v>29</v>
      </c>
    </row>
    <row r="2221" spans="1:28" hidden="1" x14ac:dyDescent="0.3">
      <c r="A2221" s="105"/>
      <c r="E2221" s="84"/>
      <c r="F2221" s="84"/>
      <c r="G2221" s="84"/>
      <c r="H2221" s="84"/>
      <c r="I2221" s="84"/>
      <c r="J2221" s="84"/>
      <c r="K2221" s="84"/>
      <c r="L2221" s="84"/>
      <c r="M2221" s="84"/>
      <c r="N2221" s="84"/>
      <c r="O2221" s="84"/>
      <c r="P2221" s="84"/>
      <c r="Q2221" s="84"/>
      <c r="R2221" s="84"/>
      <c r="S2221" s="84"/>
      <c r="T2221" s="84"/>
      <c r="U2221" s="84"/>
      <c r="V2221" s="84"/>
      <c r="W2221" s="84"/>
      <c r="X2221" s="85">
        <f t="shared" si="238"/>
        <v>0</v>
      </c>
      <c r="Y2221" s="84"/>
      <c r="Z2221" s="85">
        <f t="shared" si="241"/>
        <v>0</v>
      </c>
    </row>
    <row r="2222" spans="1:28" hidden="1" x14ac:dyDescent="0.3">
      <c r="A2222" s="117"/>
      <c r="C2222" s="68" t="s">
        <v>539</v>
      </c>
      <c r="D2222" s="145" t="s">
        <v>68</v>
      </c>
      <c r="E2222" s="85">
        <f>STATS1003B!E2226/1000</f>
        <v>10379.099480000001</v>
      </c>
      <c r="F2222" s="85">
        <f>STATS1003B!F2226/1000</f>
        <v>0</v>
      </c>
      <c r="G2222" s="85">
        <f>STATS1003B!G2226/1000</f>
        <v>0</v>
      </c>
      <c r="H2222" s="85">
        <f>STATS1003B!H2226/1000</f>
        <v>0</v>
      </c>
      <c r="I2222" s="85">
        <f>STATS1003B!I2226/1000</f>
        <v>0</v>
      </c>
      <c r="J2222" s="85">
        <f>STATS1003B!J2226/1000</f>
        <v>0</v>
      </c>
      <c r="K2222" s="85">
        <f>STATS1003B!K2226/1000</f>
        <v>10379.099480000001</v>
      </c>
      <c r="L2222" s="85">
        <f>STATS1003B!L2226/1000</f>
        <v>0</v>
      </c>
      <c r="M2222" s="85">
        <f>STATS1003B!M2226/1000</f>
        <v>0</v>
      </c>
      <c r="N2222" s="85">
        <f>STATS1003B!N2226/1000</f>
        <v>10379.099480000001</v>
      </c>
      <c r="O2222" s="85">
        <f>STATS1003B!O2226/1000</f>
        <v>0</v>
      </c>
      <c r="P2222" s="85">
        <f>STATS1003B!P2226/1000</f>
        <v>10379.099480000001</v>
      </c>
      <c r="Q2222" s="85">
        <f>STATS1003B!Q2226/1000</f>
        <v>0</v>
      </c>
      <c r="R2222" s="85">
        <f>STATS1003B!R2226/1000</f>
        <v>0</v>
      </c>
      <c r="S2222" s="85">
        <f>STATS1003B!S2226/1000</f>
        <v>0</v>
      </c>
      <c r="T2222" s="85">
        <f>STATS1003B!T2226/1000</f>
        <v>0</v>
      </c>
      <c r="U2222" s="85">
        <f>STATS1003B!U2226/1000</f>
        <v>10379.099480000001</v>
      </c>
      <c r="V2222" s="85">
        <f>STATS1003B!V2226/1000</f>
        <v>0</v>
      </c>
      <c r="W2222" s="85">
        <f>STATS1003B!W2226/1000</f>
        <v>0</v>
      </c>
      <c r="X2222" s="85">
        <f t="shared" si="238"/>
        <v>10379.099480000001</v>
      </c>
      <c r="Y2222" s="85">
        <f>STATS1003B!Y2226/1000</f>
        <v>0</v>
      </c>
      <c r="Z2222" s="85">
        <f t="shared" si="241"/>
        <v>0</v>
      </c>
      <c r="AA2222" s="69">
        <f>STATS1003B!AA2226/1000</f>
        <v>10379.099480000001</v>
      </c>
      <c r="AB2222" s="69">
        <f>STATS1003B!AB2226/1000</f>
        <v>0</v>
      </c>
    </row>
    <row r="2223" spans="1:28" hidden="1" x14ac:dyDescent="0.3">
      <c r="A2223" s="117"/>
      <c r="C2223" s="68" t="s">
        <v>535</v>
      </c>
      <c r="D2223" s="145" t="s">
        <v>68</v>
      </c>
      <c r="E2223" s="85">
        <f>STATS1003B!E2227/1000</f>
        <v>174.26826</v>
      </c>
      <c r="F2223" s="85">
        <f>STATS1003B!F2227/1000</f>
        <v>0</v>
      </c>
      <c r="G2223" s="85">
        <f>STATS1003B!G2227/1000</f>
        <v>0</v>
      </c>
      <c r="H2223" s="85">
        <f>STATS1003B!H2227/1000</f>
        <v>0</v>
      </c>
      <c r="I2223" s="85">
        <f>STATS1003B!I2227/1000</f>
        <v>0</v>
      </c>
      <c r="J2223" s="85">
        <f>STATS1003B!J2227/1000</f>
        <v>0</v>
      </c>
      <c r="K2223" s="85">
        <f>STATS1003B!K2227/1000</f>
        <v>174.26826</v>
      </c>
      <c r="L2223" s="85">
        <f>STATS1003B!L2227/1000</f>
        <v>0</v>
      </c>
      <c r="M2223" s="85">
        <f>STATS1003B!M2227/1000</f>
        <v>0</v>
      </c>
      <c r="N2223" s="85">
        <f>STATS1003B!N2227/1000</f>
        <v>174.26826</v>
      </c>
      <c r="O2223" s="85">
        <f>STATS1003B!O2227/1000</f>
        <v>0</v>
      </c>
      <c r="P2223" s="85">
        <f>STATS1003B!P2227/1000</f>
        <v>174.26826</v>
      </c>
      <c r="Q2223" s="85">
        <f>STATS1003B!Q2227/1000</f>
        <v>0</v>
      </c>
      <c r="R2223" s="85">
        <f>STATS1003B!R2227/1000</f>
        <v>0</v>
      </c>
      <c r="S2223" s="85">
        <f>STATS1003B!S2227/1000</f>
        <v>0</v>
      </c>
      <c r="T2223" s="85">
        <f>STATS1003B!T2227/1000</f>
        <v>0</v>
      </c>
      <c r="U2223" s="85">
        <f>STATS1003B!U2227/1000</f>
        <v>174.26826</v>
      </c>
      <c r="V2223" s="85">
        <f>STATS1003B!V2227/1000</f>
        <v>0</v>
      </c>
      <c r="W2223" s="85">
        <f>STATS1003B!W2227/1000</f>
        <v>0</v>
      </c>
      <c r="X2223" s="85">
        <f t="shared" si="238"/>
        <v>174.26826</v>
      </c>
      <c r="Y2223" s="85">
        <f>STATS1003B!Y2227/1000</f>
        <v>0</v>
      </c>
      <c r="Z2223" s="85">
        <f t="shared" si="241"/>
        <v>0</v>
      </c>
      <c r="AA2223" s="69">
        <f>STATS1003B!AA2227/1000</f>
        <v>174.26826</v>
      </c>
      <c r="AB2223" s="69">
        <f>STATS1003B!AB2227/1000</f>
        <v>0</v>
      </c>
    </row>
    <row r="2224" spans="1:28" hidden="1" x14ac:dyDescent="0.3">
      <c r="A2224" s="117"/>
      <c r="C2224" s="68" t="s">
        <v>535</v>
      </c>
      <c r="D2224" s="145" t="s">
        <v>54</v>
      </c>
      <c r="E2224" s="85">
        <f>STATS1003B!E2228/1000</f>
        <v>442.7</v>
      </c>
      <c r="F2224" s="85">
        <f>STATS1003B!F2228/1000</f>
        <v>442.7</v>
      </c>
      <c r="G2224" s="85">
        <f>STATS1003B!G2228/1000</f>
        <v>0</v>
      </c>
      <c r="H2224" s="85">
        <f>STATS1003B!H2228/1000</f>
        <v>442.7</v>
      </c>
      <c r="I2224" s="85">
        <f>STATS1003B!I2228/1000</f>
        <v>0</v>
      </c>
      <c r="J2224" s="85">
        <f>STATS1003B!J2228/1000</f>
        <v>442.7</v>
      </c>
      <c r="K2224" s="85">
        <f>STATS1003B!K2228/1000</f>
        <v>0</v>
      </c>
      <c r="L2224" s="85">
        <f>STATS1003B!L2228/1000</f>
        <v>0</v>
      </c>
      <c r="M2224" s="85">
        <f>STATS1003B!M2228/1000</f>
        <v>442.7</v>
      </c>
      <c r="N2224" s="85">
        <f>STATS1003B!N2228/1000</f>
        <v>0</v>
      </c>
      <c r="O2224" s="85">
        <f>STATS1003B!O2228/1000</f>
        <v>0</v>
      </c>
      <c r="P2224" s="85">
        <f>STATS1003B!P2228/1000</f>
        <v>0</v>
      </c>
      <c r="Q2224" s="85">
        <f>STATS1003B!Q2228/1000</f>
        <v>442.7</v>
      </c>
      <c r="R2224" s="85">
        <f>STATS1003B!R2228/1000</f>
        <v>0</v>
      </c>
      <c r="S2224" s="85">
        <f>STATS1003B!S2228/1000</f>
        <v>0</v>
      </c>
      <c r="T2224" s="85">
        <f>STATS1003B!T2228/1000</f>
        <v>0</v>
      </c>
      <c r="U2224" s="85">
        <f>STATS1003B!U2228/1000</f>
        <v>0</v>
      </c>
      <c r="V2224" s="85">
        <f>STATS1003B!V2228/1000</f>
        <v>0</v>
      </c>
      <c r="W2224" s="85">
        <f>STATS1003B!W2228/1000</f>
        <v>0</v>
      </c>
      <c r="X2224" s="85">
        <f t="shared" si="238"/>
        <v>442.7</v>
      </c>
      <c r="Y2224" s="85">
        <f>STATS1003B!Y2228/1000</f>
        <v>0</v>
      </c>
      <c r="Z2224" s="85">
        <f t="shared" si="241"/>
        <v>0</v>
      </c>
      <c r="AA2224" s="69">
        <f>STATS1003B!AA2228/1000</f>
        <v>442.7</v>
      </c>
      <c r="AB2224" s="69">
        <f>STATS1003B!AB2228/1000</f>
        <v>0</v>
      </c>
    </row>
    <row r="2225" spans="1:28" hidden="1" x14ac:dyDescent="0.3">
      <c r="A2225" s="117"/>
      <c r="C2225" s="68" t="s">
        <v>557</v>
      </c>
      <c r="D2225" s="145" t="s">
        <v>54</v>
      </c>
      <c r="E2225" s="85">
        <f>STATS1003B!E2229/1000</f>
        <v>4426.8476000000001</v>
      </c>
      <c r="F2225" s="85">
        <f>STATS1003B!F2229/1000</f>
        <v>4426.8476000000001</v>
      </c>
      <c r="G2225" s="85">
        <f>STATS1003B!G2229/1000</f>
        <v>0</v>
      </c>
      <c r="H2225" s="85">
        <f>STATS1003B!H2229/1000</f>
        <v>4426.8476000000001</v>
      </c>
      <c r="I2225" s="85">
        <f>STATS1003B!I2229/1000</f>
        <v>0</v>
      </c>
      <c r="J2225" s="85">
        <f>STATS1003B!J2229/1000</f>
        <v>4426.8476000000001</v>
      </c>
      <c r="K2225" s="85">
        <f>STATS1003B!K2229/1000</f>
        <v>0</v>
      </c>
      <c r="L2225" s="85">
        <f>STATS1003B!L2229/1000</f>
        <v>0</v>
      </c>
      <c r="M2225" s="85">
        <f>STATS1003B!M2229/1000</f>
        <v>4426.8476000000001</v>
      </c>
      <c r="N2225" s="85">
        <f>STATS1003B!N2229/1000</f>
        <v>0</v>
      </c>
      <c r="O2225" s="85">
        <f>STATS1003B!O2229/1000</f>
        <v>0</v>
      </c>
      <c r="P2225" s="85">
        <f>STATS1003B!P2229/1000</f>
        <v>0</v>
      </c>
      <c r="Q2225" s="85">
        <f>STATS1003B!Q2229/1000</f>
        <v>4426.8476000000001</v>
      </c>
      <c r="R2225" s="85">
        <f>STATS1003B!R2229/1000</f>
        <v>0</v>
      </c>
      <c r="S2225" s="85">
        <f>STATS1003B!S2229/1000</f>
        <v>0</v>
      </c>
      <c r="T2225" s="85">
        <f>STATS1003B!T2229/1000</f>
        <v>0</v>
      </c>
      <c r="U2225" s="85">
        <f>STATS1003B!U2229/1000</f>
        <v>0</v>
      </c>
      <c r="V2225" s="85">
        <f>STATS1003B!V2229/1000</f>
        <v>0</v>
      </c>
      <c r="W2225" s="85">
        <f>STATS1003B!W2229/1000</f>
        <v>0</v>
      </c>
      <c r="X2225" s="85">
        <f t="shared" si="238"/>
        <v>4426.8476000000001</v>
      </c>
      <c r="Y2225" s="85">
        <f>STATS1003B!Y2229/1000</f>
        <v>0</v>
      </c>
      <c r="Z2225" s="85">
        <f t="shared" si="241"/>
        <v>0</v>
      </c>
      <c r="AA2225" s="69">
        <f>STATS1003B!AA2229/1000</f>
        <v>4426.8476000000001</v>
      </c>
      <c r="AB2225" s="69">
        <f>STATS1003B!AB2229/1000</f>
        <v>0</v>
      </c>
    </row>
    <row r="2226" spans="1:28" hidden="1" x14ac:dyDescent="0.3">
      <c r="A2226" s="117"/>
      <c r="C2226" s="68" t="s">
        <v>696</v>
      </c>
      <c r="D2226" s="145" t="s">
        <v>54</v>
      </c>
      <c r="E2226" s="85">
        <f>STATS1003B!E2230/1000</f>
        <v>237.5</v>
      </c>
      <c r="F2226" s="85">
        <f>STATS1003B!F2230/1000</f>
        <v>232.36500000000001</v>
      </c>
      <c r="G2226" s="85">
        <f>STATS1003B!G2230/1000</f>
        <v>0</v>
      </c>
      <c r="H2226" s="85">
        <f>STATS1003B!H2230/1000</f>
        <v>232.36500000000001</v>
      </c>
      <c r="I2226" s="85">
        <f>STATS1003B!I2230/1000</f>
        <v>0</v>
      </c>
      <c r="J2226" s="85">
        <f>STATS1003B!J2230/1000</f>
        <v>232.36500000000001</v>
      </c>
      <c r="K2226" s="85">
        <f>STATS1003B!K2230/1000</f>
        <v>0</v>
      </c>
      <c r="L2226" s="85">
        <f>STATS1003B!L2230/1000</f>
        <v>0</v>
      </c>
      <c r="M2226" s="85">
        <f>STATS1003B!M2230/1000</f>
        <v>232.36500000000001</v>
      </c>
      <c r="N2226" s="85">
        <f>STATS1003B!N2230/1000</f>
        <v>0</v>
      </c>
      <c r="O2226" s="85">
        <f>STATS1003B!O2230/1000</f>
        <v>0</v>
      </c>
      <c r="P2226" s="85">
        <f>STATS1003B!P2230/1000</f>
        <v>0</v>
      </c>
      <c r="Q2226" s="85">
        <f>STATS1003B!Q2230/1000</f>
        <v>237.5</v>
      </c>
      <c r="R2226" s="85">
        <f>STATS1003B!R2230/1000</f>
        <v>0</v>
      </c>
      <c r="S2226" s="85">
        <f>STATS1003B!S2230/1000</f>
        <v>0</v>
      </c>
      <c r="T2226" s="85">
        <f>STATS1003B!T2230/1000</f>
        <v>0</v>
      </c>
      <c r="U2226" s="85">
        <f>STATS1003B!U2230/1000</f>
        <v>0</v>
      </c>
      <c r="V2226" s="85">
        <f>STATS1003B!V2230/1000</f>
        <v>0</v>
      </c>
      <c r="W2226" s="85">
        <f>STATS1003B!W2230/1000</f>
        <v>0</v>
      </c>
      <c r="X2226" s="85">
        <f t="shared" si="238"/>
        <v>232.36500000000001</v>
      </c>
      <c r="Y2226" s="85">
        <f>STATS1003B!Y2230/1000</f>
        <v>0</v>
      </c>
      <c r="Z2226" s="85">
        <f t="shared" si="241"/>
        <v>5.1349999999999909</v>
      </c>
      <c r="AA2226" s="69">
        <f>STATS1003B!AA2230/1000</f>
        <v>232.36500000000001</v>
      </c>
      <c r="AB2226" s="69">
        <f>STATS1003B!AB2230/1000</f>
        <v>5.1349999999999998</v>
      </c>
    </row>
    <row r="2227" spans="1:28" hidden="1" x14ac:dyDescent="0.3">
      <c r="A2227" s="117"/>
      <c r="C2227" s="68" t="s">
        <v>545</v>
      </c>
      <c r="D2227" s="145" t="s">
        <v>54</v>
      </c>
      <c r="E2227" s="85">
        <f>STATS1003B!E2231/1000</f>
        <v>1953.989</v>
      </c>
      <c r="F2227" s="85">
        <f>STATS1003B!F2231/1000</f>
        <v>0</v>
      </c>
      <c r="G2227" s="85">
        <f>STATS1003B!G2231/1000</f>
        <v>0</v>
      </c>
      <c r="H2227" s="85">
        <f>STATS1003B!H2231/1000</f>
        <v>0</v>
      </c>
      <c r="I2227" s="85">
        <f>STATS1003B!I2231/1000</f>
        <v>0</v>
      </c>
      <c r="J2227" s="85">
        <f>STATS1003B!J2231/1000</f>
        <v>0</v>
      </c>
      <c r="K2227" s="85">
        <f>STATS1003B!K2231/1000</f>
        <v>1953.989</v>
      </c>
      <c r="L2227" s="85">
        <f>STATS1003B!L2231/1000</f>
        <v>0</v>
      </c>
      <c r="M2227" s="85">
        <f>STATS1003B!M2231/1000</f>
        <v>0</v>
      </c>
      <c r="N2227" s="85">
        <f>STATS1003B!N2231/1000</f>
        <v>1953.989</v>
      </c>
      <c r="O2227" s="85">
        <f>STATS1003B!O2231/1000</f>
        <v>0</v>
      </c>
      <c r="P2227" s="85">
        <f>STATS1003B!P2231/1000</f>
        <v>1953.989</v>
      </c>
      <c r="Q2227" s="85">
        <f>STATS1003B!Q2231/1000</f>
        <v>0</v>
      </c>
      <c r="R2227" s="85">
        <f>STATS1003B!R2231/1000</f>
        <v>0</v>
      </c>
      <c r="S2227" s="85">
        <f>STATS1003B!S2231/1000</f>
        <v>0</v>
      </c>
      <c r="T2227" s="85">
        <f>STATS1003B!T2231/1000</f>
        <v>0</v>
      </c>
      <c r="U2227" s="85">
        <f>STATS1003B!U2231/1000</f>
        <v>1953.989</v>
      </c>
      <c r="V2227" s="85">
        <f>STATS1003B!V2231/1000</f>
        <v>0</v>
      </c>
      <c r="W2227" s="85">
        <f>STATS1003B!W2231/1000</f>
        <v>0</v>
      </c>
      <c r="X2227" s="85">
        <f t="shared" si="238"/>
        <v>1953.989</v>
      </c>
      <c r="Y2227" s="85">
        <f>STATS1003B!Y2231/1000</f>
        <v>0</v>
      </c>
      <c r="Z2227" s="85">
        <f t="shared" si="241"/>
        <v>0</v>
      </c>
      <c r="AA2227" s="69">
        <f>STATS1003B!AA2231/1000</f>
        <v>1953.989</v>
      </c>
      <c r="AB2227" s="69">
        <f>STATS1003B!AB2231/1000</f>
        <v>0</v>
      </c>
    </row>
    <row r="2228" spans="1:28" hidden="1" x14ac:dyDescent="0.3">
      <c r="A2228" s="117"/>
      <c r="C2228" s="68" t="s">
        <v>535</v>
      </c>
      <c r="D2228" s="145" t="s">
        <v>85</v>
      </c>
      <c r="E2228" s="85">
        <f>STATS1003B!E2232/1000</f>
        <v>954</v>
      </c>
      <c r="F2228" s="85">
        <f>STATS1003B!F2232/1000</f>
        <v>954</v>
      </c>
      <c r="G2228" s="85">
        <f>STATS1003B!G2232/1000</f>
        <v>0</v>
      </c>
      <c r="H2228" s="85">
        <f>STATS1003B!H2232/1000</f>
        <v>954</v>
      </c>
      <c r="I2228" s="85">
        <f>STATS1003B!I2232/1000</f>
        <v>0</v>
      </c>
      <c r="J2228" s="85">
        <f>STATS1003B!J2232/1000</f>
        <v>954</v>
      </c>
      <c r="K2228" s="85">
        <f>STATS1003B!K2232/1000</f>
        <v>0</v>
      </c>
      <c r="L2228" s="85">
        <f>STATS1003B!L2232/1000</f>
        <v>0</v>
      </c>
      <c r="M2228" s="85">
        <f>STATS1003B!M2232/1000</f>
        <v>954</v>
      </c>
      <c r="N2228" s="85">
        <f>STATS1003B!N2232/1000</f>
        <v>0</v>
      </c>
      <c r="O2228" s="85">
        <f>STATS1003B!O2232/1000</f>
        <v>0</v>
      </c>
      <c r="P2228" s="85">
        <f>STATS1003B!P2232/1000</f>
        <v>0</v>
      </c>
      <c r="Q2228" s="85">
        <f>STATS1003B!Q2232/1000</f>
        <v>954</v>
      </c>
      <c r="R2228" s="85">
        <f>STATS1003B!R2232/1000</f>
        <v>0</v>
      </c>
      <c r="S2228" s="85">
        <f>STATS1003B!S2232/1000</f>
        <v>0</v>
      </c>
      <c r="T2228" s="85">
        <f>STATS1003B!T2232/1000</f>
        <v>0</v>
      </c>
      <c r="U2228" s="85">
        <f>STATS1003B!U2232/1000</f>
        <v>0</v>
      </c>
      <c r="V2228" s="85">
        <f>STATS1003B!V2232/1000</f>
        <v>0</v>
      </c>
      <c r="W2228" s="85">
        <f>STATS1003B!W2232/1000</f>
        <v>0</v>
      </c>
      <c r="X2228" s="85">
        <f t="shared" si="238"/>
        <v>954</v>
      </c>
      <c r="Y2228" s="85">
        <f>STATS1003B!Y2232/1000</f>
        <v>0</v>
      </c>
      <c r="Z2228" s="85">
        <f t="shared" si="241"/>
        <v>0</v>
      </c>
      <c r="AA2228" s="69">
        <f>STATS1003B!AA2232/1000</f>
        <v>954</v>
      </c>
      <c r="AB2228" s="69">
        <f>STATS1003B!AB2232/1000</f>
        <v>0</v>
      </c>
    </row>
    <row r="2229" spans="1:28" hidden="1" x14ac:dyDescent="0.3">
      <c r="A2229" s="117"/>
      <c r="C2229" s="68" t="s">
        <v>603</v>
      </c>
      <c r="D2229" s="145" t="s">
        <v>85</v>
      </c>
      <c r="E2229" s="85">
        <f>STATS1003B!E2233/1000</f>
        <v>288</v>
      </c>
      <c r="F2229" s="85">
        <f>STATS1003B!F2233/1000</f>
        <v>288</v>
      </c>
      <c r="G2229" s="85">
        <f>STATS1003B!G2233/1000</f>
        <v>0</v>
      </c>
      <c r="H2229" s="85">
        <f>STATS1003B!H2233/1000</f>
        <v>288</v>
      </c>
      <c r="I2229" s="85">
        <f>STATS1003B!I2233/1000</f>
        <v>0</v>
      </c>
      <c r="J2229" s="85">
        <f>STATS1003B!J2233/1000</f>
        <v>288</v>
      </c>
      <c r="K2229" s="85">
        <f>STATS1003B!K2233/1000</f>
        <v>0</v>
      </c>
      <c r="L2229" s="85">
        <f>STATS1003B!L2233/1000</f>
        <v>0</v>
      </c>
      <c r="M2229" s="85">
        <f>STATS1003B!M2233/1000</f>
        <v>288</v>
      </c>
      <c r="N2229" s="85">
        <f>STATS1003B!N2233/1000</f>
        <v>0</v>
      </c>
      <c r="O2229" s="85">
        <f>STATS1003B!O2233/1000</f>
        <v>0</v>
      </c>
      <c r="P2229" s="85">
        <f>STATS1003B!P2233/1000</f>
        <v>0</v>
      </c>
      <c r="Q2229" s="85">
        <f>STATS1003B!Q2233/1000</f>
        <v>288</v>
      </c>
      <c r="R2229" s="85">
        <f>STATS1003B!R2233/1000</f>
        <v>0</v>
      </c>
      <c r="S2229" s="85">
        <f>STATS1003B!S2233/1000</f>
        <v>0</v>
      </c>
      <c r="T2229" s="85">
        <f>STATS1003B!T2233/1000</f>
        <v>0</v>
      </c>
      <c r="U2229" s="85">
        <f>STATS1003B!U2233/1000</f>
        <v>0</v>
      </c>
      <c r="V2229" s="85">
        <f>STATS1003B!V2233/1000</f>
        <v>0</v>
      </c>
      <c r="W2229" s="85">
        <f>STATS1003B!W2233/1000</f>
        <v>0</v>
      </c>
      <c r="X2229" s="85">
        <f t="shared" si="238"/>
        <v>288</v>
      </c>
      <c r="Y2229" s="85">
        <f>STATS1003B!Y2233/1000</f>
        <v>0</v>
      </c>
      <c r="Z2229" s="85">
        <f t="shared" si="241"/>
        <v>0</v>
      </c>
      <c r="AA2229" s="69">
        <f>STATS1003B!AA2233/1000</f>
        <v>288</v>
      </c>
      <c r="AB2229" s="69">
        <f>STATS1003B!AB2233/1000</f>
        <v>0</v>
      </c>
    </row>
    <row r="2230" spans="1:28" hidden="1" x14ac:dyDescent="0.3">
      <c r="A2230" s="117"/>
      <c r="C2230" s="68" t="s">
        <v>535</v>
      </c>
      <c r="D2230" s="145" t="s">
        <v>128</v>
      </c>
      <c r="E2230" s="85">
        <f>STATS1003B!E2234/1000</f>
        <v>540</v>
      </c>
      <c r="F2230" s="85">
        <f>STATS1003B!F2234/1000</f>
        <v>540</v>
      </c>
      <c r="G2230" s="85">
        <f>STATS1003B!G2234/1000</f>
        <v>0</v>
      </c>
      <c r="H2230" s="85">
        <f>STATS1003B!H2234/1000</f>
        <v>540</v>
      </c>
      <c r="I2230" s="85">
        <f>STATS1003B!I2234/1000</f>
        <v>0</v>
      </c>
      <c r="J2230" s="85">
        <f>STATS1003B!J2234/1000</f>
        <v>540</v>
      </c>
      <c r="K2230" s="85">
        <f>STATS1003B!K2234/1000</f>
        <v>0</v>
      </c>
      <c r="L2230" s="85">
        <f>STATS1003B!L2234/1000</f>
        <v>0</v>
      </c>
      <c r="M2230" s="85">
        <f>STATS1003B!M2234/1000</f>
        <v>540</v>
      </c>
      <c r="N2230" s="85">
        <f>STATS1003B!N2234/1000</f>
        <v>0</v>
      </c>
      <c r="O2230" s="85">
        <f>STATS1003B!O2234/1000</f>
        <v>0</v>
      </c>
      <c r="P2230" s="85">
        <f>STATS1003B!P2234/1000</f>
        <v>0</v>
      </c>
      <c r="Q2230" s="85">
        <f>STATS1003B!Q2234/1000</f>
        <v>540</v>
      </c>
      <c r="R2230" s="85">
        <f>STATS1003B!R2234/1000</f>
        <v>0</v>
      </c>
      <c r="S2230" s="85">
        <f>STATS1003B!S2234/1000</f>
        <v>0</v>
      </c>
      <c r="T2230" s="85">
        <f>STATS1003B!T2234/1000</f>
        <v>0</v>
      </c>
      <c r="U2230" s="85">
        <f>STATS1003B!U2234/1000</f>
        <v>0</v>
      </c>
      <c r="V2230" s="85">
        <f>STATS1003B!V2234/1000</f>
        <v>0</v>
      </c>
      <c r="W2230" s="85">
        <f>STATS1003B!W2234/1000</f>
        <v>0</v>
      </c>
      <c r="X2230" s="85">
        <f t="shared" si="238"/>
        <v>540</v>
      </c>
      <c r="Y2230" s="85">
        <f>STATS1003B!Y2234/1000</f>
        <v>0</v>
      </c>
      <c r="Z2230" s="85">
        <f t="shared" si="241"/>
        <v>0</v>
      </c>
      <c r="AA2230" s="69">
        <f>STATS1003B!AA2234/1000</f>
        <v>540</v>
      </c>
      <c r="AB2230" s="69">
        <f>STATS1003B!AB2234/1000</f>
        <v>0</v>
      </c>
    </row>
    <row r="2231" spans="1:28" hidden="1" x14ac:dyDescent="0.3">
      <c r="A2231" s="117"/>
      <c r="C2231" s="68" t="s">
        <v>535</v>
      </c>
      <c r="D2231" s="145" t="s">
        <v>108</v>
      </c>
      <c r="E2231" s="85">
        <f>STATS1003B!E2235/1000</f>
        <v>5065.3665099999998</v>
      </c>
      <c r="F2231" s="85">
        <f>STATS1003B!F2235/1000</f>
        <v>5065.3665099999998</v>
      </c>
      <c r="G2231" s="85">
        <f>STATS1003B!G2235/1000</f>
        <v>0</v>
      </c>
      <c r="H2231" s="85">
        <f>STATS1003B!H2235/1000</f>
        <v>5065.3665099999998</v>
      </c>
      <c r="I2231" s="85">
        <f>STATS1003B!I2235/1000</f>
        <v>0</v>
      </c>
      <c r="J2231" s="85">
        <f>STATS1003B!J2235/1000</f>
        <v>5065.3665099999998</v>
      </c>
      <c r="K2231" s="85">
        <f>STATS1003B!K2235/1000</f>
        <v>0</v>
      </c>
      <c r="L2231" s="85">
        <f>STATS1003B!L2235/1000</f>
        <v>0</v>
      </c>
      <c r="M2231" s="85">
        <f>STATS1003B!M2235/1000</f>
        <v>5065.3665099999998</v>
      </c>
      <c r="N2231" s="85">
        <f>STATS1003B!N2235/1000</f>
        <v>0</v>
      </c>
      <c r="O2231" s="85">
        <f>STATS1003B!O2235/1000</f>
        <v>0</v>
      </c>
      <c r="P2231" s="85">
        <f>STATS1003B!P2235/1000</f>
        <v>0</v>
      </c>
      <c r="Q2231" s="85">
        <f>STATS1003B!Q2235/1000</f>
        <v>5065.3665099999998</v>
      </c>
      <c r="R2231" s="85">
        <f>STATS1003B!R2235/1000</f>
        <v>0</v>
      </c>
      <c r="S2231" s="85">
        <f>STATS1003B!S2235/1000</f>
        <v>0</v>
      </c>
      <c r="T2231" s="85">
        <f>STATS1003B!T2235/1000</f>
        <v>0</v>
      </c>
      <c r="U2231" s="85">
        <f>STATS1003B!U2235/1000</f>
        <v>0</v>
      </c>
      <c r="V2231" s="85">
        <f>STATS1003B!V2235/1000</f>
        <v>0</v>
      </c>
      <c r="W2231" s="85">
        <f>STATS1003B!W2235/1000</f>
        <v>0</v>
      </c>
      <c r="X2231" s="85">
        <f t="shared" si="238"/>
        <v>5065.3665099999998</v>
      </c>
      <c r="Y2231" s="85">
        <f>STATS1003B!Y2235/1000</f>
        <v>0</v>
      </c>
      <c r="Z2231" s="85">
        <f t="shared" si="241"/>
        <v>0</v>
      </c>
      <c r="AA2231" s="69">
        <f>STATS1003B!AA2235/1000</f>
        <v>5065.3665099999998</v>
      </c>
      <c r="AB2231" s="69">
        <f>STATS1003B!AB2235/1000</f>
        <v>0</v>
      </c>
    </row>
    <row r="2232" spans="1:28" hidden="1" x14ac:dyDescent="0.3">
      <c r="A2232" s="117"/>
      <c r="C2232" s="68" t="s">
        <v>535</v>
      </c>
      <c r="D2232" s="145" t="s">
        <v>58</v>
      </c>
      <c r="E2232" s="85">
        <f>STATS1003B!E2236/1000</f>
        <v>4414.6310000000003</v>
      </c>
      <c r="F2232" s="85">
        <f>STATS1003B!F2236/1000</f>
        <v>4414.6310000000003</v>
      </c>
      <c r="G2232" s="85">
        <f>STATS1003B!G2236/1000</f>
        <v>0</v>
      </c>
      <c r="H2232" s="85">
        <f>STATS1003B!H2236/1000</f>
        <v>4414.6310000000003</v>
      </c>
      <c r="I2232" s="85">
        <f>STATS1003B!I2236/1000</f>
        <v>0</v>
      </c>
      <c r="J2232" s="85">
        <f>STATS1003B!J2236/1000</f>
        <v>4414.6310000000003</v>
      </c>
      <c r="K2232" s="85">
        <f>STATS1003B!K2236/1000</f>
        <v>0</v>
      </c>
      <c r="L2232" s="85">
        <f>STATS1003B!L2236/1000</f>
        <v>0</v>
      </c>
      <c r="M2232" s="85">
        <f>STATS1003B!M2236/1000</f>
        <v>4414.6310000000003</v>
      </c>
      <c r="N2232" s="85">
        <f>STATS1003B!N2236/1000</f>
        <v>0</v>
      </c>
      <c r="O2232" s="85">
        <f>STATS1003B!O2236/1000</f>
        <v>0</v>
      </c>
      <c r="P2232" s="85">
        <f>STATS1003B!P2236/1000</f>
        <v>0</v>
      </c>
      <c r="Q2232" s="85">
        <f>STATS1003B!Q2236/1000</f>
        <v>4414.6310000000003</v>
      </c>
      <c r="R2232" s="85">
        <f>STATS1003B!R2236/1000</f>
        <v>0</v>
      </c>
      <c r="S2232" s="85">
        <f>STATS1003B!S2236/1000</f>
        <v>0</v>
      </c>
      <c r="T2232" s="85">
        <f>STATS1003B!T2236/1000</f>
        <v>0</v>
      </c>
      <c r="U2232" s="85">
        <f>STATS1003B!U2236/1000</f>
        <v>0</v>
      </c>
      <c r="V2232" s="85">
        <f>STATS1003B!V2236/1000</f>
        <v>0</v>
      </c>
      <c r="W2232" s="85">
        <f>STATS1003B!W2236/1000</f>
        <v>0</v>
      </c>
      <c r="X2232" s="85">
        <f t="shared" si="238"/>
        <v>4414.6310000000003</v>
      </c>
      <c r="Y2232" s="85">
        <f>STATS1003B!Y2236/1000</f>
        <v>0</v>
      </c>
      <c r="Z2232" s="85">
        <f t="shared" si="241"/>
        <v>0</v>
      </c>
      <c r="AA2232" s="69">
        <f>STATS1003B!AA2236/1000</f>
        <v>4414.6310000000003</v>
      </c>
      <c r="AB2232" s="69">
        <f>STATS1003B!AB2236/1000</f>
        <v>0</v>
      </c>
    </row>
    <row r="2233" spans="1:28" hidden="1" x14ac:dyDescent="0.3">
      <c r="A2233" s="117"/>
      <c r="C2233" s="68" t="s">
        <v>535</v>
      </c>
      <c r="D2233" s="145" t="s">
        <v>60</v>
      </c>
      <c r="E2233" s="85">
        <f>STATS1003B!E2237/1000</f>
        <v>4463.8140000000003</v>
      </c>
      <c r="F2233" s="85">
        <f>STATS1003B!F2237/1000</f>
        <v>4463.8140000000003</v>
      </c>
      <c r="G2233" s="85">
        <f>STATS1003B!G2237/1000</f>
        <v>0</v>
      </c>
      <c r="H2233" s="85">
        <f>STATS1003B!H2237/1000</f>
        <v>4463.8140000000003</v>
      </c>
      <c r="I2233" s="85">
        <f>STATS1003B!I2237/1000</f>
        <v>0</v>
      </c>
      <c r="J2233" s="85">
        <f>STATS1003B!J2237/1000</f>
        <v>4463.8140000000003</v>
      </c>
      <c r="K2233" s="85">
        <f>STATS1003B!K2237/1000</f>
        <v>0</v>
      </c>
      <c r="L2233" s="85">
        <f>STATS1003B!L2237/1000</f>
        <v>0</v>
      </c>
      <c r="M2233" s="85">
        <f>STATS1003B!M2237/1000</f>
        <v>4463.8140000000003</v>
      </c>
      <c r="N2233" s="85">
        <f>STATS1003B!N2237/1000</f>
        <v>0</v>
      </c>
      <c r="O2233" s="85">
        <f>STATS1003B!O2237/1000</f>
        <v>0</v>
      </c>
      <c r="P2233" s="85">
        <f>STATS1003B!P2237/1000</f>
        <v>0</v>
      </c>
      <c r="Q2233" s="85">
        <f>STATS1003B!Q2237/1000</f>
        <v>4463.8140000000003</v>
      </c>
      <c r="R2233" s="85">
        <f>STATS1003B!R2237/1000</f>
        <v>0</v>
      </c>
      <c r="S2233" s="85">
        <f>STATS1003B!S2237/1000</f>
        <v>0</v>
      </c>
      <c r="T2233" s="85">
        <f>STATS1003B!T2237/1000</f>
        <v>0</v>
      </c>
      <c r="U2233" s="85">
        <f>STATS1003B!U2237/1000</f>
        <v>0</v>
      </c>
      <c r="V2233" s="85">
        <f>STATS1003B!V2237/1000</f>
        <v>0</v>
      </c>
      <c r="W2233" s="85">
        <f>STATS1003B!W2237/1000</f>
        <v>0</v>
      </c>
      <c r="X2233" s="85">
        <f t="shared" si="238"/>
        <v>4463.8140000000003</v>
      </c>
      <c r="Y2233" s="85">
        <f>STATS1003B!Y2237/1000</f>
        <v>0</v>
      </c>
      <c r="Z2233" s="85">
        <f t="shared" si="241"/>
        <v>0</v>
      </c>
      <c r="AA2233" s="69">
        <f>STATS1003B!AA2237/1000</f>
        <v>4463.8140000000003</v>
      </c>
      <c r="AB2233" s="69">
        <f>STATS1003B!AB2237/1000</f>
        <v>0</v>
      </c>
    </row>
    <row r="2234" spans="1:28" hidden="1" x14ac:dyDescent="0.3">
      <c r="A2234" s="117"/>
      <c r="C2234" s="68" t="s">
        <v>535</v>
      </c>
      <c r="D2234" s="145" t="s">
        <v>73</v>
      </c>
      <c r="E2234" s="85">
        <f>STATS1003B!E2238/1000</f>
        <v>752.71299999999997</v>
      </c>
      <c r="F2234" s="85">
        <f>STATS1003B!F2238/1000</f>
        <v>752.71299999999997</v>
      </c>
      <c r="G2234" s="85">
        <f>STATS1003B!G2238/1000</f>
        <v>0</v>
      </c>
      <c r="H2234" s="85">
        <f>STATS1003B!H2238/1000</f>
        <v>752.71299999999997</v>
      </c>
      <c r="I2234" s="85">
        <f>STATS1003B!I2238/1000</f>
        <v>0</v>
      </c>
      <c r="J2234" s="85">
        <f>STATS1003B!J2238/1000</f>
        <v>752.71299999999997</v>
      </c>
      <c r="K2234" s="85">
        <f>STATS1003B!K2238/1000</f>
        <v>0</v>
      </c>
      <c r="L2234" s="85">
        <f>STATS1003B!L2238/1000</f>
        <v>0</v>
      </c>
      <c r="M2234" s="85">
        <f>STATS1003B!M2238/1000</f>
        <v>752.71299999999997</v>
      </c>
      <c r="N2234" s="85">
        <f>STATS1003B!N2238/1000</f>
        <v>0</v>
      </c>
      <c r="O2234" s="85">
        <f>STATS1003B!O2238/1000</f>
        <v>0</v>
      </c>
      <c r="P2234" s="85">
        <f>STATS1003B!P2238/1000</f>
        <v>0</v>
      </c>
      <c r="Q2234" s="85">
        <f>STATS1003B!Q2238/1000</f>
        <v>752.71299999999997</v>
      </c>
      <c r="R2234" s="85">
        <f>STATS1003B!R2238/1000</f>
        <v>0</v>
      </c>
      <c r="S2234" s="85">
        <f>STATS1003B!S2238/1000</f>
        <v>0</v>
      </c>
      <c r="T2234" s="85">
        <f>STATS1003B!T2238/1000</f>
        <v>0</v>
      </c>
      <c r="U2234" s="85">
        <f>STATS1003B!U2238/1000</f>
        <v>0</v>
      </c>
      <c r="V2234" s="85">
        <f>STATS1003B!V2238/1000</f>
        <v>0</v>
      </c>
      <c r="W2234" s="85">
        <f>STATS1003B!W2238/1000</f>
        <v>0</v>
      </c>
      <c r="X2234" s="85">
        <f t="shared" si="238"/>
        <v>752.71299999999997</v>
      </c>
      <c r="Y2234" s="85">
        <f>STATS1003B!Y2238/1000</f>
        <v>0</v>
      </c>
      <c r="Z2234" s="85">
        <f t="shared" si="241"/>
        <v>0</v>
      </c>
      <c r="AA2234" s="69">
        <f>STATS1003B!AA2238/1000</f>
        <v>752.71299999999997</v>
      </c>
      <c r="AB2234" s="69">
        <f>STATS1003B!AB2238/1000</f>
        <v>0</v>
      </c>
    </row>
    <row r="2235" spans="1:28" hidden="1" x14ac:dyDescent="0.3">
      <c r="A2235" s="117"/>
      <c r="B2235" s="71" t="s">
        <v>620</v>
      </c>
      <c r="C2235" s="68" t="s">
        <v>535</v>
      </c>
      <c r="D2235" s="145" t="s">
        <v>61</v>
      </c>
      <c r="E2235" s="85">
        <f>STATS1003B!E2239/1000</f>
        <v>2331.4685499999996</v>
      </c>
      <c r="F2235" s="85">
        <f>STATS1003B!F2239/1000</f>
        <v>2331.4685499999996</v>
      </c>
      <c r="G2235" s="85">
        <f>STATS1003B!G2239/1000</f>
        <v>0</v>
      </c>
      <c r="H2235" s="85">
        <f>STATS1003B!H2239/1000</f>
        <v>2331.4685499999996</v>
      </c>
      <c r="I2235" s="85">
        <f>STATS1003B!I2239/1000</f>
        <v>0</v>
      </c>
      <c r="J2235" s="85">
        <f>STATS1003B!J2239/1000</f>
        <v>2331.4685499999996</v>
      </c>
      <c r="K2235" s="85">
        <f>STATS1003B!K2239/1000</f>
        <v>0</v>
      </c>
      <c r="L2235" s="85">
        <f>STATS1003B!L2239/1000</f>
        <v>0</v>
      </c>
      <c r="M2235" s="85">
        <f>STATS1003B!M2239/1000</f>
        <v>2331.4685499999996</v>
      </c>
      <c r="N2235" s="85">
        <f>STATS1003B!N2239/1000</f>
        <v>0</v>
      </c>
      <c r="O2235" s="85">
        <f>STATS1003B!O2239/1000</f>
        <v>0</v>
      </c>
      <c r="P2235" s="85">
        <f>STATS1003B!P2239/1000</f>
        <v>0</v>
      </c>
      <c r="Q2235" s="85">
        <f>STATS1003B!Q2239/1000</f>
        <v>2331.4685499999996</v>
      </c>
      <c r="R2235" s="85">
        <f>STATS1003B!R2239/1000</f>
        <v>0</v>
      </c>
      <c r="S2235" s="85">
        <f>STATS1003B!S2239/1000</f>
        <v>0</v>
      </c>
      <c r="T2235" s="85">
        <f>STATS1003B!T2239/1000</f>
        <v>0</v>
      </c>
      <c r="U2235" s="85">
        <f>STATS1003B!U2239/1000</f>
        <v>0</v>
      </c>
      <c r="V2235" s="85">
        <f>STATS1003B!V2239/1000</f>
        <v>0</v>
      </c>
      <c r="W2235" s="85">
        <f>STATS1003B!W2239/1000</f>
        <v>0</v>
      </c>
      <c r="X2235" s="85">
        <f t="shared" si="238"/>
        <v>2331.4685499999996</v>
      </c>
      <c r="Y2235" s="85">
        <f>STATS1003B!Y2239/1000</f>
        <v>0</v>
      </c>
      <c r="Z2235" s="85">
        <f t="shared" si="241"/>
        <v>0</v>
      </c>
      <c r="AA2235" s="69">
        <f>STATS1003B!AA2239/1000</f>
        <v>2331.4685499999996</v>
      </c>
      <c r="AB2235" s="69">
        <f>STATS1003B!AB2239/1000</f>
        <v>0</v>
      </c>
    </row>
    <row r="2236" spans="1:28" hidden="1" x14ac:dyDescent="0.3">
      <c r="A2236" s="117"/>
      <c r="B2236" s="71"/>
      <c r="C2236" s="68" t="s">
        <v>933</v>
      </c>
      <c r="D2236" s="90" t="s">
        <v>1126</v>
      </c>
      <c r="E2236" s="85">
        <f>STATS1003B!E2240/1000</f>
        <v>744</v>
      </c>
      <c r="F2236" s="85">
        <f>STATS1003B!F2240/1000</f>
        <v>744</v>
      </c>
      <c r="G2236" s="85">
        <f>STATS1003B!G2240/1000</f>
        <v>0</v>
      </c>
      <c r="H2236" s="85">
        <f>STATS1003B!H2240/1000</f>
        <v>744</v>
      </c>
      <c r="I2236" s="85">
        <f>STATS1003B!I2240/1000</f>
        <v>0</v>
      </c>
      <c r="J2236" s="85">
        <f>STATS1003B!J2240/1000</f>
        <v>744</v>
      </c>
      <c r="K2236" s="85">
        <f>STATS1003B!K2240/1000</f>
        <v>0</v>
      </c>
      <c r="L2236" s="85">
        <f>STATS1003B!L2240/1000</f>
        <v>0</v>
      </c>
      <c r="M2236" s="85">
        <f>STATS1003B!M2240/1000</f>
        <v>744</v>
      </c>
      <c r="N2236" s="85">
        <f>STATS1003B!N2240/1000</f>
        <v>0</v>
      </c>
      <c r="O2236" s="85">
        <f>STATS1003B!O2240/1000</f>
        <v>0</v>
      </c>
      <c r="P2236" s="85">
        <f>STATS1003B!P2240/1000</f>
        <v>0</v>
      </c>
      <c r="Q2236" s="85">
        <f>STATS1003B!Q2240/1000</f>
        <v>0</v>
      </c>
      <c r="R2236" s="85">
        <f>STATS1003B!R2240/1000</f>
        <v>0</v>
      </c>
      <c r="S2236" s="85">
        <f>STATS1003B!S2240/1000</f>
        <v>0</v>
      </c>
      <c r="T2236" s="85">
        <f>STATS1003B!T2240/1000</f>
        <v>0</v>
      </c>
      <c r="U2236" s="85">
        <f>STATS1003B!U2240/1000</f>
        <v>0</v>
      </c>
      <c r="V2236" s="85">
        <f>STATS1003B!V2240/1000</f>
        <v>0</v>
      </c>
      <c r="W2236" s="85">
        <f>STATS1003B!W2240/1000</f>
        <v>0</v>
      </c>
      <c r="X2236" s="85">
        <f t="shared" si="238"/>
        <v>744</v>
      </c>
      <c r="Y2236" s="85">
        <f>STATS1003B!Y2240/1000</f>
        <v>0</v>
      </c>
      <c r="Z2236" s="85">
        <f t="shared" si="241"/>
        <v>0</v>
      </c>
      <c r="AA2236" s="69">
        <f>STATS1003B!AA2240/1000</f>
        <v>744</v>
      </c>
      <c r="AB2236" s="69">
        <f>STATS1003B!AB2240/1000</f>
        <v>0</v>
      </c>
    </row>
    <row r="2237" spans="1:28" hidden="1" x14ac:dyDescent="0.3">
      <c r="A2237" s="117"/>
      <c r="B2237" s="71"/>
      <c r="C2237" s="68" t="s">
        <v>1196</v>
      </c>
      <c r="D2237" s="90" t="s">
        <v>1126</v>
      </c>
      <c r="E2237" s="85">
        <f>STATS1003B!E2241/1000</f>
        <v>1186.4222500000001</v>
      </c>
      <c r="F2237" s="85">
        <f>STATS1003B!F2241/1000</f>
        <v>1186.4222500000001</v>
      </c>
      <c r="G2237" s="85">
        <f>STATS1003B!G2241/1000</f>
        <v>0</v>
      </c>
      <c r="H2237" s="85">
        <f>STATS1003B!H2241/1000</f>
        <v>1186.4222500000001</v>
      </c>
      <c r="I2237" s="85">
        <f>STATS1003B!I2241/1000</f>
        <v>0</v>
      </c>
      <c r="J2237" s="85">
        <f>STATS1003B!J2241/1000</f>
        <v>1186.4222500000001</v>
      </c>
      <c r="K2237" s="85">
        <f>STATS1003B!K2241/1000</f>
        <v>0</v>
      </c>
      <c r="L2237" s="85">
        <f>STATS1003B!L2241/1000</f>
        <v>0</v>
      </c>
      <c r="M2237" s="85">
        <f>STATS1003B!M2241/1000</f>
        <v>1186.4222500000001</v>
      </c>
      <c r="N2237" s="85">
        <f>STATS1003B!N2241/1000</f>
        <v>0</v>
      </c>
      <c r="O2237" s="85">
        <f>STATS1003B!O2241/1000</f>
        <v>0</v>
      </c>
      <c r="P2237" s="85">
        <f>STATS1003B!P2241/1000</f>
        <v>0</v>
      </c>
      <c r="Q2237" s="85">
        <f>STATS1003B!Q2241/1000</f>
        <v>0</v>
      </c>
      <c r="R2237" s="85">
        <f>STATS1003B!R2241/1000</f>
        <v>0</v>
      </c>
      <c r="S2237" s="85">
        <f>STATS1003B!S2241/1000</f>
        <v>0</v>
      </c>
      <c r="T2237" s="85">
        <f>STATS1003B!T2241/1000</f>
        <v>0</v>
      </c>
      <c r="U2237" s="85">
        <f>STATS1003B!U2241/1000</f>
        <v>0</v>
      </c>
      <c r="V2237" s="85">
        <f>STATS1003B!V2241/1000</f>
        <v>0</v>
      </c>
      <c r="W2237" s="85">
        <f>STATS1003B!W2241/1000</f>
        <v>0</v>
      </c>
      <c r="X2237" s="85">
        <f t="shared" si="238"/>
        <v>1186.4222500000001</v>
      </c>
      <c r="Y2237" s="85">
        <f>STATS1003B!Y2241/1000</f>
        <v>0</v>
      </c>
      <c r="Z2237" s="85">
        <f t="shared" si="241"/>
        <v>0</v>
      </c>
      <c r="AA2237" s="69">
        <f>STATS1003B!AA2241/1000</f>
        <v>1186.4222500000001</v>
      </c>
      <c r="AB2237" s="69">
        <f>STATS1003B!AB2241/1000</f>
        <v>0</v>
      </c>
    </row>
    <row r="2238" spans="1:28" hidden="1" x14ac:dyDescent="0.3">
      <c r="A2238" s="105"/>
      <c r="C2238" s="68" t="s">
        <v>1249</v>
      </c>
      <c r="D2238" s="90" t="s">
        <v>1225</v>
      </c>
      <c r="E2238" s="85">
        <f>STATS1003B!E2242/1000</f>
        <v>1372.73019</v>
      </c>
      <c r="F2238" s="85">
        <f>STATS1003B!F2242/1000</f>
        <v>1372.73019</v>
      </c>
      <c r="G2238" s="85">
        <f>STATS1003B!G2242/1000</f>
        <v>0</v>
      </c>
      <c r="H2238" s="85">
        <f>STATS1003B!H2242/1000</f>
        <v>1372.73019</v>
      </c>
      <c r="I2238" s="85">
        <f>STATS1003B!I2242/1000</f>
        <v>0</v>
      </c>
      <c r="J2238" s="85">
        <f>STATS1003B!J2242/1000</f>
        <v>0</v>
      </c>
      <c r="K2238" s="85">
        <f>STATS1003B!K2242/1000</f>
        <v>0</v>
      </c>
      <c r="L2238" s="85">
        <f>STATS1003B!L2242/1000</f>
        <v>0</v>
      </c>
      <c r="M2238" s="85">
        <f>STATS1003B!M2242/1000</f>
        <v>1372.73019</v>
      </c>
      <c r="N2238" s="85">
        <f>STATS1003B!N2242/1000</f>
        <v>0</v>
      </c>
      <c r="O2238" s="85">
        <f>STATS1003B!O2242/1000</f>
        <v>0</v>
      </c>
      <c r="P2238" s="85">
        <f>STATS1003B!P2242/1000</f>
        <v>0</v>
      </c>
      <c r="Q2238" s="85">
        <f>STATS1003B!Q2242/1000</f>
        <v>0</v>
      </c>
      <c r="R2238" s="85">
        <f>STATS1003B!R2242/1000</f>
        <v>0</v>
      </c>
      <c r="S2238" s="85">
        <f>STATS1003B!S2242/1000</f>
        <v>0</v>
      </c>
      <c r="T2238" s="85">
        <f>STATS1003B!T2242/1000</f>
        <v>0</v>
      </c>
      <c r="U2238" s="85">
        <f>STATS1003B!U2242/1000</f>
        <v>0</v>
      </c>
      <c r="V2238" s="85">
        <f>STATS1003B!V2242/1000</f>
        <v>0</v>
      </c>
      <c r="W2238" s="85">
        <f>STATS1003B!W2242/1000</f>
        <v>0</v>
      </c>
      <c r="X2238" s="85">
        <f t="shared" si="238"/>
        <v>1372.73019</v>
      </c>
      <c r="Y2238" s="85">
        <f>STATS1003B!Y2242/1000</f>
        <v>0</v>
      </c>
      <c r="Z2238" s="85">
        <f t="shared" si="241"/>
        <v>0</v>
      </c>
      <c r="AA2238" s="69">
        <f>STATS1003B!AA2242/1000</f>
        <v>1372.73019</v>
      </c>
      <c r="AB2238" s="69">
        <f>STATS1003B!AB2242/1000</f>
        <v>0</v>
      </c>
    </row>
    <row r="2239" spans="1:28" hidden="1" x14ac:dyDescent="0.3">
      <c r="A2239" s="117"/>
      <c r="C2239" s="68" t="s">
        <v>577</v>
      </c>
      <c r="E2239" s="85">
        <f>STATS1003B!E2243/1000</f>
        <v>191.65</v>
      </c>
      <c r="F2239" s="85">
        <f>STATS1003B!F2243/1000</f>
        <v>191.65</v>
      </c>
      <c r="G2239" s="85">
        <f>STATS1003B!G2243/1000</f>
        <v>0</v>
      </c>
      <c r="H2239" s="85">
        <f>STATS1003B!H2243/1000</f>
        <v>191.65</v>
      </c>
      <c r="I2239" s="85">
        <f>STATS1003B!I2243/1000</f>
        <v>0</v>
      </c>
      <c r="J2239" s="85">
        <f>STATS1003B!J2243/1000</f>
        <v>191.65</v>
      </c>
      <c r="K2239" s="85">
        <f>STATS1003B!K2243/1000</f>
        <v>0</v>
      </c>
      <c r="L2239" s="85">
        <f>STATS1003B!L2243/1000</f>
        <v>0</v>
      </c>
      <c r="M2239" s="85">
        <f>STATS1003B!M2243/1000</f>
        <v>191.65</v>
      </c>
      <c r="N2239" s="85">
        <f>STATS1003B!N2243/1000</f>
        <v>0</v>
      </c>
      <c r="O2239" s="85">
        <f>STATS1003B!O2243/1000</f>
        <v>0</v>
      </c>
      <c r="P2239" s="85">
        <f>STATS1003B!P2243/1000</f>
        <v>0</v>
      </c>
      <c r="Q2239" s="85">
        <f>STATS1003B!Q2243/1000</f>
        <v>191.65</v>
      </c>
      <c r="R2239" s="85">
        <f>STATS1003B!R2243/1000</f>
        <v>0</v>
      </c>
      <c r="S2239" s="85">
        <f>STATS1003B!S2243/1000</f>
        <v>0</v>
      </c>
      <c r="T2239" s="85">
        <f>STATS1003B!T2243/1000</f>
        <v>0</v>
      </c>
      <c r="U2239" s="85">
        <f>STATS1003B!U2243/1000</f>
        <v>0</v>
      </c>
      <c r="V2239" s="85">
        <f>STATS1003B!V2243/1000</f>
        <v>0</v>
      </c>
      <c r="W2239" s="85">
        <f>STATS1003B!W2243/1000</f>
        <v>0</v>
      </c>
      <c r="X2239" s="85">
        <f t="shared" si="238"/>
        <v>191.65</v>
      </c>
      <c r="Y2239" s="85">
        <f>STATS1003B!Y2243/1000</f>
        <v>0</v>
      </c>
      <c r="Z2239" s="85">
        <f t="shared" si="241"/>
        <v>0</v>
      </c>
      <c r="AA2239" s="69">
        <f>STATS1003B!AA2243/1000</f>
        <v>191.65</v>
      </c>
      <c r="AB2239" s="69">
        <f>STATS1003B!AB2243/1000</f>
        <v>0</v>
      </c>
    </row>
    <row r="2240" spans="1:28" hidden="1" x14ac:dyDescent="0.3">
      <c r="A2240" s="117"/>
      <c r="C2240" s="68" t="s">
        <v>598</v>
      </c>
      <c r="E2240" s="85">
        <f>STATS1003B!E2244/1000</f>
        <v>177.56</v>
      </c>
      <c r="F2240" s="85">
        <f>STATS1003B!F2244/1000</f>
        <v>177.56</v>
      </c>
      <c r="G2240" s="85">
        <f>STATS1003B!G2244/1000</f>
        <v>0</v>
      </c>
      <c r="H2240" s="85">
        <f>STATS1003B!H2244/1000</f>
        <v>177.56</v>
      </c>
      <c r="I2240" s="85">
        <f>STATS1003B!I2244/1000</f>
        <v>0</v>
      </c>
      <c r="J2240" s="85">
        <f>STATS1003B!J2244/1000</f>
        <v>177.56</v>
      </c>
      <c r="K2240" s="85">
        <f>STATS1003B!K2244/1000</f>
        <v>0</v>
      </c>
      <c r="L2240" s="85">
        <f>STATS1003B!L2244/1000</f>
        <v>0</v>
      </c>
      <c r="M2240" s="85">
        <f>STATS1003B!M2244/1000</f>
        <v>177.56</v>
      </c>
      <c r="N2240" s="85">
        <f>STATS1003B!N2244/1000</f>
        <v>0</v>
      </c>
      <c r="O2240" s="85">
        <f>STATS1003B!O2244/1000</f>
        <v>0</v>
      </c>
      <c r="P2240" s="85">
        <f>STATS1003B!P2244/1000</f>
        <v>0</v>
      </c>
      <c r="Q2240" s="85">
        <f>STATS1003B!Q2244/1000</f>
        <v>177.56</v>
      </c>
      <c r="R2240" s="85">
        <f>STATS1003B!R2244/1000</f>
        <v>0</v>
      </c>
      <c r="S2240" s="85">
        <f>STATS1003B!S2244/1000</f>
        <v>0</v>
      </c>
      <c r="T2240" s="85">
        <f>STATS1003B!T2244/1000</f>
        <v>0</v>
      </c>
      <c r="U2240" s="85">
        <f>STATS1003B!U2244/1000</f>
        <v>0</v>
      </c>
      <c r="V2240" s="85">
        <f>STATS1003B!V2244/1000</f>
        <v>0</v>
      </c>
      <c r="W2240" s="85">
        <f>STATS1003B!W2244/1000</f>
        <v>0</v>
      </c>
      <c r="X2240" s="85">
        <f t="shared" si="238"/>
        <v>177.56</v>
      </c>
      <c r="Y2240" s="85">
        <f>STATS1003B!Y2244/1000</f>
        <v>0</v>
      </c>
      <c r="Z2240" s="85">
        <f t="shared" si="241"/>
        <v>0</v>
      </c>
      <c r="AA2240" s="69">
        <f>STATS1003B!AA2244/1000</f>
        <v>177.56</v>
      </c>
      <c r="AB2240" s="69">
        <f>STATS1003B!AB2244/1000</f>
        <v>0</v>
      </c>
    </row>
    <row r="2241" spans="1:28" hidden="1" x14ac:dyDescent="0.3">
      <c r="A2241" s="117"/>
      <c r="C2241" s="68" t="s">
        <v>606</v>
      </c>
      <c r="E2241" s="85">
        <f>STATS1003B!E2245/1000</f>
        <v>7500</v>
      </c>
      <c r="F2241" s="85">
        <f>STATS1003B!F2245/1000</f>
        <v>7500</v>
      </c>
      <c r="G2241" s="85">
        <f>STATS1003B!G2245/1000</f>
        <v>0</v>
      </c>
      <c r="H2241" s="85">
        <f>STATS1003B!H2245/1000</f>
        <v>7500</v>
      </c>
      <c r="I2241" s="85">
        <f>STATS1003B!I2245/1000</f>
        <v>0</v>
      </c>
      <c r="J2241" s="85">
        <f>STATS1003B!J2245/1000</f>
        <v>7500</v>
      </c>
      <c r="K2241" s="85">
        <f>STATS1003B!K2245/1000</f>
        <v>0</v>
      </c>
      <c r="L2241" s="85">
        <f>STATS1003B!L2245/1000</f>
        <v>0</v>
      </c>
      <c r="M2241" s="85">
        <f>STATS1003B!M2245/1000</f>
        <v>7500</v>
      </c>
      <c r="N2241" s="85">
        <f>STATS1003B!N2245/1000</f>
        <v>0</v>
      </c>
      <c r="O2241" s="85">
        <f>STATS1003B!O2245/1000</f>
        <v>0</v>
      </c>
      <c r="P2241" s="85">
        <f>STATS1003B!P2245/1000</f>
        <v>0</v>
      </c>
      <c r="Q2241" s="85">
        <f>STATS1003B!Q2245/1000</f>
        <v>7500</v>
      </c>
      <c r="R2241" s="85">
        <f>STATS1003B!R2245/1000</f>
        <v>0</v>
      </c>
      <c r="S2241" s="85">
        <f>STATS1003B!S2245/1000</f>
        <v>0</v>
      </c>
      <c r="T2241" s="85">
        <f>STATS1003B!T2245/1000</f>
        <v>0</v>
      </c>
      <c r="U2241" s="85">
        <f>STATS1003B!U2245/1000</f>
        <v>0</v>
      </c>
      <c r="V2241" s="85">
        <f>STATS1003B!V2245/1000</f>
        <v>0</v>
      </c>
      <c r="W2241" s="85">
        <f>STATS1003B!W2245/1000</f>
        <v>0</v>
      </c>
      <c r="X2241" s="85">
        <f t="shared" ref="X2241:X2292" si="244">+H2241+P2241</f>
        <v>7500</v>
      </c>
      <c r="Y2241" s="85">
        <f>STATS1003B!Y2245/1000</f>
        <v>0</v>
      </c>
      <c r="Z2241" s="85">
        <f t="shared" si="241"/>
        <v>0</v>
      </c>
      <c r="AA2241" s="69">
        <f>STATS1003B!AA2245/1000</f>
        <v>7500</v>
      </c>
      <c r="AB2241" s="69">
        <f>STATS1003B!AB2245/1000</f>
        <v>0</v>
      </c>
    </row>
    <row r="2242" spans="1:28" hidden="1" x14ac:dyDescent="0.3">
      <c r="A2242" s="117"/>
      <c r="E2242" s="86" t="s">
        <v>29</v>
      </c>
      <c r="F2242" s="86" t="s">
        <v>29</v>
      </c>
      <c r="G2242" s="86" t="s">
        <v>29</v>
      </c>
      <c r="H2242" s="86" t="s">
        <v>29</v>
      </c>
      <c r="I2242" s="86" t="s">
        <v>29</v>
      </c>
      <c r="J2242" s="86" t="s">
        <v>29</v>
      </c>
      <c r="K2242" s="86" t="s">
        <v>29</v>
      </c>
      <c r="L2242" s="86" t="s">
        <v>29</v>
      </c>
      <c r="M2242" s="86" t="s">
        <v>29</v>
      </c>
      <c r="N2242" s="86" t="s">
        <v>29</v>
      </c>
      <c r="O2242" s="86" t="s">
        <v>29</v>
      </c>
      <c r="P2242" s="86" t="s">
        <v>29</v>
      </c>
      <c r="Q2242" s="86" t="s">
        <v>29</v>
      </c>
      <c r="R2242" s="86" t="s">
        <v>29</v>
      </c>
      <c r="S2242" s="86" t="s">
        <v>29</v>
      </c>
      <c r="T2242" s="86" t="s">
        <v>29</v>
      </c>
      <c r="U2242" s="86" t="s">
        <v>29</v>
      </c>
      <c r="V2242" s="86" t="s">
        <v>29</v>
      </c>
      <c r="W2242" s="86" t="s">
        <v>29</v>
      </c>
      <c r="X2242" s="85" t="e">
        <f t="shared" si="244"/>
        <v>#VALUE!</v>
      </c>
      <c r="Y2242" s="86" t="s">
        <v>29</v>
      </c>
      <c r="Z2242" s="85" t="e">
        <f t="shared" si="241"/>
        <v>#VALUE!</v>
      </c>
      <c r="AA2242" s="115" t="s">
        <v>29</v>
      </c>
      <c r="AB2242" s="115" t="s">
        <v>29</v>
      </c>
    </row>
    <row r="2243" spans="1:28" x14ac:dyDescent="0.3">
      <c r="A2243" s="116">
        <v>97</v>
      </c>
      <c r="B2243" s="68" t="s">
        <v>827</v>
      </c>
      <c r="E2243" s="85">
        <f>77240855.9/1000</f>
        <v>77240.85590000001</v>
      </c>
      <c r="F2243" s="85">
        <f t="shared" ref="F2243:Q2243" si="245">SUM(F2222:F2242)</f>
        <v>35084.268100000001</v>
      </c>
      <c r="G2243" s="85">
        <f t="shared" si="245"/>
        <v>0</v>
      </c>
      <c r="H2243" s="85">
        <f>64728364.16/1000</f>
        <v>64728.364159999997</v>
      </c>
      <c r="I2243" s="85">
        <f t="shared" si="245"/>
        <v>0</v>
      </c>
      <c r="J2243" s="85">
        <f t="shared" si="245"/>
        <v>33711.537910000006</v>
      </c>
      <c r="K2243" s="85">
        <f t="shared" si="245"/>
        <v>12507.356740000001</v>
      </c>
      <c r="L2243" s="85">
        <f t="shared" si="245"/>
        <v>0</v>
      </c>
      <c r="M2243" s="85">
        <f t="shared" si="245"/>
        <v>35084.268100000001</v>
      </c>
      <c r="N2243" s="85">
        <f t="shared" si="245"/>
        <v>12507.356740000001</v>
      </c>
      <c r="O2243" s="85">
        <f t="shared" si="245"/>
        <v>0</v>
      </c>
      <c r="P2243" s="85">
        <f>12507356/1000</f>
        <v>12507.356</v>
      </c>
      <c r="Q2243" s="85">
        <f t="shared" si="245"/>
        <v>31786.250660000002</v>
      </c>
      <c r="R2243" s="84"/>
      <c r="S2243" s="84"/>
      <c r="T2243" s="85">
        <f t="shared" ref="T2243:Y2243" si="246">SUM(T2222:T2242)</f>
        <v>0</v>
      </c>
      <c r="U2243" s="85">
        <f t="shared" si="246"/>
        <v>12507.356740000001</v>
      </c>
      <c r="V2243" s="85">
        <f t="shared" si="246"/>
        <v>0</v>
      </c>
      <c r="W2243" s="85">
        <f t="shared" si="246"/>
        <v>0</v>
      </c>
      <c r="X2243" s="85">
        <f t="shared" si="244"/>
        <v>77235.720159999997</v>
      </c>
      <c r="Y2243" s="85">
        <f t="shared" si="246"/>
        <v>0</v>
      </c>
      <c r="Z2243" s="85">
        <f t="shared" si="241"/>
        <v>5.1357400000124471</v>
      </c>
      <c r="AA2243" s="69">
        <f>SUM(AA2222:AA2242)</f>
        <v>47591.624840000011</v>
      </c>
      <c r="AB2243" s="69">
        <f>SUM(AB2222:AB2242)</f>
        <v>5.1349999999999998</v>
      </c>
    </row>
    <row r="2244" spans="1:28" hidden="1" x14ac:dyDescent="0.3">
      <c r="A2244" s="117"/>
      <c r="E2244" s="86" t="s">
        <v>29</v>
      </c>
      <c r="F2244" s="86" t="s">
        <v>29</v>
      </c>
      <c r="G2244" s="86" t="s">
        <v>29</v>
      </c>
      <c r="H2244" s="86" t="s">
        <v>29</v>
      </c>
      <c r="I2244" s="86" t="s">
        <v>29</v>
      </c>
      <c r="J2244" s="86" t="s">
        <v>29</v>
      </c>
      <c r="K2244" s="86" t="s">
        <v>29</v>
      </c>
      <c r="L2244" s="86" t="s">
        <v>29</v>
      </c>
      <c r="M2244" s="86" t="s">
        <v>29</v>
      </c>
      <c r="N2244" s="86" t="s">
        <v>29</v>
      </c>
      <c r="O2244" s="86" t="s">
        <v>29</v>
      </c>
      <c r="P2244" s="86" t="s">
        <v>29</v>
      </c>
      <c r="Q2244" s="86" t="s">
        <v>29</v>
      </c>
      <c r="R2244" s="86" t="s">
        <v>29</v>
      </c>
      <c r="S2244" s="86" t="s">
        <v>29</v>
      </c>
      <c r="T2244" s="86" t="s">
        <v>29</v>
      </c>
      <c r="U2244" s="86" t="s">
        <v>29</v>
      </c>
      <c r="V2244" s="86" t="s">
        <v>29</v>
      </c>
      <c r="W2244" s="86" t="s">
        <v>29</v>
      </c>
      <c r="X2244" s="85" t="e">
        <f t="shared" si="244"/>
        <v>#VALUE!</v>
      </c>
      <c r="Y2244" s="86" t="s">
        <v>29</v>
      </c>
      <c r="Z2244" s="85" t="e">
        <f t="shared" si="241"/>
        <v>#VALUE!</v>
      </c>
      <c r="AA2244" s="115" t="s">
        <v>29</v>
      </c>
      <c r="AB2244" s="115" t="s">
        <v>29</v>
      </c>
    </row>
    <row r="2245" spans="1:28" hidden="1" x14ac:dyDescent="0.3">
      <c r="A2245" s="105"/>
      <c r="E2245" s="84"/>
      <c r="F2245" s="84"/>
      <c r="G2245" s="84"/>
      <c r="H2245" s="84"/>
      <c r="I2245" s="84"/>
      <c r="J2245" s="84"/>
      <c r="K2245" s="84"/>
      <c r="L2245" s="84"/>
      <c r="M2245" s="84"/>
      <c r="N2245" s="84"/>
      <c r="O2245" s="84"/>
      <c r="P2245" s="84"/>
      <c r="Q2245" s="84"/>
      <c r="R2245" s="84"/>
      <c r="S2245" s="84"/>
      <c r="T2245" s="84"/>
      <c r="U2245" s="84"/>
      <c r="V2245" s="84"/>
      <c r="W2245" s="84"/>
      <c r="X2245" s="85">
        <f t="shared" si="244"/>
        <v>0</v>
      </c>
      <c r="Y2245" s="84"/>
      <c r="Z2245" s="85">
        <f t="shared" si="241"/>
        <v>0</v>
      </c>
    </row>
    <row r="2246" spans="1:28" hidden="1" x14ac:dyDescent="0.3">
      <c r="A2246" s="117"/>
      <c r="C2246" s="68" t="s">
        <v>535</v>
      </c>
      <c r="D2246" s="145" t="s">
        <v>68</v>
      </c>
      <c r="E2246" s="85">
        <f>STATS1003B!E2250/1000</f>
        <v>773.41519999999991</v>
      </c>
      <c r="F2246" s="85">
        <f>STATS1003B!F2250/1000</f>
        <v>232.18600000000001</v>
      </c>
      <c r="G2246" s="85">
        <f>STATS1003B!G2250/1000</f>
        <v>0</v>
      </c>
      <c r="H2246" s="85">
        <f>STATS1003B!H2250/1000</f>
        <v>232.18600000000001</v>
      </c>
      <c r="I2246" s="85">
        <f>STATS1003B!I2250/1000</f>
        <v>0</v>
      </c>
      <c r="J2246" s="85">
        <f>STATS1003B!J2250/1000</f>
        <v>232.18600000000001</v>
      </c>
      <c r="K2246" s="85">
        <f>STATS1003B!K2250/1000</f>
        <v>541.22919999999999</v>
      </c>
      <c r="L2246" s="85">
        <f>STATS1003B!L2250/1000</f>
        <v>0</v>
      </c>
      <c r="M2246" s="85">
        <f>STATS1003B!M2250/1000</f>
        <v>232.18600000000001</v>
      </c>
      <c r="N2246" s="85">
        <f>STATS1003B!N2250/1000</f>
        <v>541.22919999999999</v>
      </c>
      <c r="O2246" s="85">
        <f>STATS1003B!O2250/1000</f>
        <v>0</v>
      </c>
      <c r="P2246" s="85">
        <f>STATS1003B!P2250/1000</f>
        <v>541.22919999999999</v>
      </c>
      <c r="Q2246" s="85">
        <f>STATS1003B!Q2250/1000</f>
        <v>232.18600000000001</v>
      </c>
      <c r="R2246" s="85">
        <f>STATS1003B!R2250/1000</f>
        <v>0</v>
      </c>
      <c r="S2246" s="85">
        <f>STATS1003B!S2250/1000</f>
        <v>0</v>
      </c>
      <c r="T2246" s="85">
        <f>STATS1003B!T2250/1000</f>
        <v>0</v>
      </c>
      <c r="U2246" s="85">
        <f>STATS1003B!U2250/1000</f>
        <v>541.22919999999999</v>
      </c>
      <c r="V2246" s="85">
        <f>STATS1003B!V2250/1000</f>
        <v>0</v>
      </c>
      <c r="W2246" s="85">
        <f>STATS1003B!W2250/1000</f>
        <v>0</v>
      </c>
      <c r="X2246" s="85">
        <f t="shared" si="244"/>
        <v>773.41520000000003</v>
      </c>
      <c r="Y2246" s="85">
        <f>STATS1003B!Y2250/1000</f>
        <v>0</v>
      </c>
      <c r="Z2246" s="85">
        <f t="shared" si="241"/>
        <v>0</v>
      </c>
      <c r="AA2246" s="69">
        <f>STATS1003B!AA2250/1000</f>
        <v>773.41519999999991</v>
      </c>
      <c r="AB2246" s="69">
        <f>STATS1003B!AB2250/1000</f>
        <v>0</v>
      </c>
    </row>
    <row r="2247" spans="1:28" hidden="1" x14ac:dyDescent="0.3">
      <c r="A2247" s="117"/>
      <c r="C2247" s="68" t="s">
        <v>539</v>
      </c>
      <c r="D2247" s="145" t="s">
        <v>68</v>
      </c>
      <c r="E2247" s="85">
        <f>STATS1003B!E2251/1000</f>
        <v>385.35840000000002</v>
      </c>
      <c r="F2247" s="85">
        <f>STATS1003B!F2251/1000</f>
        <v>0</v>
      </c>
      <c r="G2247" s="85">
        <f>STATS1003B!G2251/1000</f>
        <v>0</v>
      </c>
      <c r="H2247" s="85">
        <f>STATS1003B!H2251/1000</f>
        <v>0</v>
      </c>
      <c r="I2247" s="85">
        <f>STATS1003B!I2251/1000</f>
        <v>0</v>
      </c>
      <c r="J2247" s="85">
        <f>STATS1003B!J2251/1000</f>
        <v>0</v>
      </c>
      <c r="K2247" s="85">
        <f>STATS1003B!K2251/1000</f>
        <v>385.35840000000002</v>
      </c>
      <c r="L2247" s="85">
        <f>STATS1003B!L2251/1000</f>
        <v>0</v>
      </c>
      <c r="M2247" s="85">
        <f>STATS1003B!M2251/1000</f>
        <v>0</v>
      </c>
      <c r="N2247" s="85">
        <f>STATS1003B!N2251/1000</f>
        <v>385.35840000000002</v>
      </c>
      <c r="O2247" s="85">
        <f>STATS1003B!O2251/1000</f>
        <v>0</v>
      </c>
      <c r="P2247" s="85">
        <f>STATS1003B!P2251/1000</f>
        <v>385.35840000000002</v>
      </c>
      <c r="Q2247" s="85">
        <f>STATS1003B!Q2251/1000</f>
        <v>0</v>
      </c>
      <c r="R2247" s="85">
        <f>STATS1003B!R2251/1000</f>
        <v>0</v>
      </c>
      <c r="S2247" s="85">
        <f>STATS1003B!S2251/1000</f>
        <v>0</v>
      </c>
      <c r="T2247" s="85">
        <f>STATS1003B!T2251/1000</f>
        <v>0</v>
      </c>
      <c r="U2247" s="85">
        <f>STATS1003B!U2251/1000</f>
        <v>385.35840000000002</v>
      </c>
      <c r="V2247" s="85">
        <f>STATS1003B!V2251/1000</f>
        <v>0</v>
      </c>
      <c r="W2247" s="85">
        <f>STATS1003B!W2251/1000</f>
        <v>0</v>
      </c>
      <c r="X2247" s="85">
        <f t="shared" si="244"/>
        <v>385.35840000000002</v>
      </c>
      <c r="Y2247" s="85">
        <f>STATS1003B!Y2251/1000</f>
        <v>0</v>
      </c>
      <c r="Z2247" s="85">
        <f t="shared" si="241"/>
        <v>0</v>
      </c>
      <c r="AA2247" s="69">
        <f>STATS1003B!AA2251/1000</f>
        <v>385.35840000000002</v>
      </c>
      <c r="AB2247" s="69">
        <f>STATS1003B!AB2251/1000</f>
        <v>0</v>
      </c>
    </row>
    <row r="2248" spans="1:28" hidden="1" x14ac:dyDescent="0.3">
      <c r="A2248" s="117"/>
      <c r="C2248" s="68" t="s">
        <v>535</v>
      </c>
      <c r="D2248" s="145" t="s">
        <v>54</v>
      </c>
      <c r="E2248" s="85">
        <f>STATS1003B!E2252/1000</f>
        <v>199</v>
      </c>
      <c r="F2248" s="85">
        <f>STATS1003B!F2252/1000</f>
        <v>199</v>
      </c>
      <c r="G2248" s="85">
        <f>STATS1003B!G2252/1000</f>
        <v>0</v>
      </c>
      <c r="H2248" s="85">
        <f>STATS1003B!H2252/1000</f>
        <v>199</v>
      </c>
      <c r="I2248" s="85">
        <f>STATS1003B!I2252/1000</f>
        <v>0</v>
      </c>
      <c r="J2248" s="85">
        <f>STATS1003B!J2252/1000</f>
        <v>199</v>
      </c>
      <c r="K2248" s="85">
        <f>STATS1003B!K2252/1000</f>
        <v>0</v>
      </c>
      <c r="L2248" s="85">
        <f>STATS1003B!L2252/1000</f>
        <v>0</v>
      </c>
      <c r="M2248" s="85">
        <f>STATS1003B!M2252/1000</f>
        <v>199</v>
      </c>
      <c r="N2248" s="85">
        <f>STATS1003B!N2252/1000</f>
        <v>0</v>
      </c>
      <c r="O2248" s="85">
        <f>STATS1003B!O2252/1000</f>
        <v>0</v>
      </c>
      <c r="P2248" s="85">
        <f>STATS1003B!P2252/1000</f>
        <v>0</v>
      </c>
      <c r="Q2248" s="85">
        <f>STATS1003B!Q2252/1000</f>
        <v>199</v>
      </c>
      <c r="R2248" s="85">
        <f>STATS1003B!R2252/1000</f>
        <v>0</v>
      </c>
      <c r="S2248" s="85">
        <f>STATS1003B!S2252/1000</f>
        <v>0</v>
      </c>
      <c r="T2248" s="85">
        <f>STATS1003B!T2252/1000</f>
        <v>0</v>
      </c>
      <c r="U2248" s="85">
        <f>STATS1003B!U2252/1000</f>
        <v>0</v>
      </c>
      <c r="V2248" s="85">
        <f>STATS1003B!V2252/1000</f>
        <v>0</v>
      </c>
      <c r="W2248" s="85">
        <f>STATS1003B!W2252/1000</f>
        <v>0</v>
      </c>
      <c r="X2248" s="85">
        <f t="shared" si="244"/>
        <v>199</v>
      </c>
      <c r="Y2248" s="85">
        <f>STATS1003B!Y2252/1000</f>
        <v>0</v>
      </c>
      <c r="Z2248" s="85">
        <f t="shared" si="241"/>
        <v>0</v>
      </c>
      <c r="AA2248" s="69">
        <f>STATS1003B!AA2252/1000</f>
        <v>199</v>
      </c>
      <c r="AB2248" s="69">
        <f>STATS1003B!AB2252/1000</f>
        <v>0</v>
      </c>
    </row>
    <row r="2249" spans="1:28" hidden="1" x14ac:dyDescent="0.3">
      <c r="A2249" s="117"/>
      <c r="C2249" s="68" t="s">
        <v>545</v>
      </c>
      <c r="D2249" s="145" t="s">
        <v>54</v>
      </c>
      <c r="E2249" s="85">
        <f>STATS1003B!E2253/1000</f>
        <v>570.94100000000003</v>
      </c>
      <c r="F2249" s="85">
        <f>STATS1003B!F2253/1000</f>
        <v>0</v>
      </c>
      <c r="G2249" s="85">
        <f>STATS1003B!G2253/1000</f>
        <v>0</v>
      </c>
      <c r="H2249" s="85">
        <f>STATS1003B!H2253/1000</f>
        <v>0</v>
      </c>
      <c r="I2249" s="85">
        <f>STATS1003B!I2253/1000</f>
        <v>0</v>
      </c>
      <c r="J2249" s="85">
        <f>STATS1003B!J2253/1000</f>
        <v>0</v>
      </c>
      <c r="K2249" s="85">
        <f>STATS1003B!K2253/1000</f>
        <v>570.94100000000003</v>
      </c>
      <c r="L2249" s="85">
        <f>STATS1003B!L2253/1000</f>
        <v>0</v>
      </c>
      <c r="M2249" s="85">
        <f>STATS1003B!M2253/1000</f>
        <v>0</v>
      </c>
      <c r="N2249" s="85">
        <f>STATS1003B!N2253/1000</f>
        <v>570.94100000000003</v>
      </c>
      <c r="O2249" s="85">
        <f>STATS1003B!O2253/1000</f>
        <v>0</v>
      </c>
      <c r="P2249" s="85">
        <f>STATS1003B!P2253/1000</f>
        <v>570.94100000000003</v>
      </c>
      <c r="Q2249" s="85">
        <f>STATS1003B!Q2253/1000</f>
        <v>0</v>
      </c>
      <c r="R2249" s="85">
        <f>STATS1003B!R2253/1000</f>
        <v>0</v>
      </c>
      <c r="S2249" s="85">
        <f>STATS1003B!S2253/1000</f>
        <v>0</v>
      </c>
      <c r="T2249" s="85">
        <f>STATS1003B!T2253/1000</f>
        <v>0</v>
      </c>
      <c r="U2249" s="85">
        <f>STATS1003B!U2253/1000</f>
        <v>570.94100000000003</v>
      </c>
      <c r="V2249" s="85">
        <f>STATS1003B!V2253/1000</f>
        <v>0</v>
      </c>
      <c r="W2249" s="85">
        <f>STATS1003B!W2253/1000</f>
        <v>0</v>
      </c>
      <c r="X2249" s="85">
        <f t="shared" si="244"/>
        <v>570.94100000000003</v>
      </c>
      <c r="Y2249" s="85">
        <f>STATS1003B!Y2253/1000</f>
        <v>0</v>
      </c>
      <c r="Z2249" s="85">
        <f t="shared" si="241"/>
        <v>0</v>
      </c>
      <c r="AA2249" s="69">
        <f>STATS1003B!AA2253/1000</f>
        <v>570.94100000000003</v>
      </c>
      <c r="AB2249" s="69">
        <f>STATS1003B!AB2253/1000</f>
        <v>0</v>
      </c>
    </row>
    <row r="2250" spans="1:28" hidden="1" x14ac:dyDescent="0.3">
      <c r="A2250" s="117"/>
      <c r="C2250" s="68" t="s">
        <v>557</v>
      </c>
      <c r="D2250" s="145" t="s">
        <v>54</v>
      </c>
      <c r="E2250" s="85">
        <f>STATS1003B!E2254/1000</f>
        <v>1500</v>
      </c>
      <c r="F2250" s="85">
        <f>STATS1003B!F2254/1000</f>
        <v>1500</v>
      </c>
      <c r="G2250" s="85">
        <f>STATS1003B!G2254/1000</f>
        <v>0</v>
      </c>
      <c r="H2250" s="85">
        <f>STATS1003B!H2254/1000</f>
        <v>1500</v>
      </c>
      <c r="I2250" s="85">
        <f>STATS1003B!I2254/1000</f>
        <v>0</v>
      </c>
      <c r="J2250" s="85">
        <f>STATS1003B!J2254/1000</f>
        <v>1500</v>
      </c>
      <c r="K2250" s="85">
        <f>STATS1003B!K2254/1000</f>
        <v>0</v>
      </c>
      <c r="L2250" s="85">
        <f>STATS1003B!L2254/1000</f>
        <v>0</v>
      </c>
      <c r="M2250" s="85">
        <f>STATS1003B!M2254/1000</f>
        <v>1500</v>
      </c>
      <c r="N2250" s="85">
        <f>STATS1003B!N2254/1000</f>
        <v>0</v>
      </c>
      <c r="O2250" s="85">
        <f>STATS1003B!O2254/1000</f>
        <v>0</v>
      </c>
      <c r="P2250" s="85">
        <f>STATS1003B!P2254/1000</f>
        <v>0</v>
      </c>
      <c r="Q2250" s="85">
        <f>STATS1003B!Q2254/1000</f>
        <v>1500</v>
      </c>
      <c r="R2250" s="85">
        <f>STATS1003B!R2254/1000</f>
        <v>0</v>
      </c>
      <c r="S2250" s="85">
        <f>STATS1003B!S2254/1000</f>
        <v>0</v>
      </c>
      <c r="T2250" s="85">
        <f>STATS1003B!T2254/1000</f>
        <v>0</v>
      </c>
      <c r="U2250" s="85">
        <f>STATS1003B!U2254/1000</f>
        <v>0</v>
      </c>
      <c r="V2250" s="85">
        <f>STATS1003B!V2254/1000</f>
        <v>0</v>
      </c>
      <c r="W2250" s="85">
        <f>STATS1003B!W2254/1000</f>
        <v>0</v>
      </c>
      <c r="X2250" s="85">
        <f t="shared" si="244"/>
        <v>1500</v>
      </c>
      <c r="Y2250" s="85">
        <f>STATS1003B!Y2254/1000</f>
        <v>0</v>
      </c>
      <c r="Z2250" s="85">
        <f t="shared" si="241"/>
        <v>0</v>
      </c>
      <c r="AA2250" s="69">
        <f>STATS1003B!AA2254/1000</f>
        <v>1500</v>
      </c>
      <c r="AB2250" s="69">
        <f>STATS1003B!AB2254/1000</f>
        <v>0</v>
      </c>
    </row>
    <row r="2251" spans="1:28" hidden="1" x14ac:dyDescent="0.3">
      <c r="A2251" s="117"/>
      <c r="C2251" s="68" t="s">
        <v>535</v>
      </c>
      <c r="D2251" s="145" t="s">
        <v>85</v>
      </c>
      <c r="E2251" s="85">
        <f>STATS1003B!E2255/1000</f>
        <v>270</v>
      </c>
      <c r="F2251" s="85">
        <f>STATS1003B!F2255/1000</f>
        <v>270</v>
      </c>
      <c r="G2251" s="85">
        <f>STATS1003B!G2255/1000</f>
        <v>0</v>
      </c>
      <c r="H2251" s="85">
        <f>STATS1003B!H2255/1000</f>
        <v>270</v>
      </c>
      <c r="I2251" s="85">
        <f>STATS1003B!I2255/1000</f>
        <v>0</v>
      </c>
      <c r="J2251" s="85">
        <f>STATS1003B!J2255/1000</f>
        <v>270</v>
      </c>
      <c r="K2251" s="85">
        <f>STATS1003B!K2255/1000</f>
        <v>0</v>
      </c>
      <c r="L2251" s="85">
        <f>STATS1003B!L2255/1000</f>
        <v>0</v>
      </c>
      <c r="M2251" s="85">
        <f>STATS1003B!M2255/1000</f>
        <v>270</v>
      </c>
      <c r="N2251" s="85">
        <f>STATS1003B!N2255/1000</f>
        <v>0</v>
      </c>
      <c r="O2251" s="85">
        <f>STATS1003B!O2255/1000</f>
        <v>0</v>
      </c>
      <c r="P2251" s="85">
        <f>STATS1003B!P2255/1000</f>
        <v>0</v>
      </c>
      <c r="Q2251" s="85">
        <f>STATS1003B!Q2255/1000</f>
        <v>270</v>
      </c>
      <c r="R2251" s="85">
        <f>STATS1003B!R2255/1000</f>
        <v>0</v>
      </c>
      <c r="S2251" s="85">
        <f>STATS1003B!S2255/1000</f>
        <v>0</v>
      </c>
      <c r="T2251" s="85">
        <f>STATS1003B!T2255/1000</f>
        <v>0</v>
      </c>
      <c r="U2251" s="85">
        <f>STATS1003B!U2255/1000</f>
        <v>0</v>
      </c>
      <c r="V2251" s="85">
        <f>STATS1003B!V2255/1000</f>
        <v>0</v>
      </c>
      <c r="W2251" s="85">
        <f>STATS1003B!W2255/1000</f>
        <v>0</v>
      </c>
      <c r="X2251" s="85">
        <f t="shared" si="244"/>
        <v>270</v>
      </c>
      <c r="Y2251" s="85">
        <f>STATS1003B!Y2255/1000</f>
        <v>0</v>
      </c>
      <c r="Z2251" s="85">
        <f t="shared" si="241"/>
        <v>0</v>
      </c>
      <c r="AA2251" s="69">
        <f>STATS1003B!AA2255/1000</f>
        <v>270</v>
      </c>
      <c r="AB2251" s="69">
        <f>STATS1003B!AB2255/1000</f>
        <v>0</v>
      </c>
    </row>
    <row r="2252" spans="1:28" hidden="1" x14ac:dyDescent="0.3">
      <c r="A2252" s="117"/>
      <c r="C2252" s="68" t="s">
        <v>557</v>
      </c>
      <c r="D2252" s="145" t="s">
        <v>85</v>
      </c>
      <c r="E2252" s="85">
        <f>STATS1003B!E2256/1000</f>
        <v>1500</v>
      </c>
      <c r="F2252" s="85">
        <f>STATS1003B!F2256/1000</f>
        <v>1500</v>
      </c>
      <c r="G2252" s="85">
        <f>STATS1003B!G2256/1000</f>
        <v>0</v>
      </c>
      <c r="H2252" s="85">
        <f>STATS1003B!H2256/1000</f>
        <v>1500</v>
      </c>
      <c r="I2252" s="85">
        <f>STATS1003B!I2256/1000</f>
        <v>0</v>
      </c>
      <c r="J2252" s="85">
        <f>STATS1003B!J2256/1000</f>
        <v>1500</v>
      </c>
      <c r="K2252" s="85">
        <f>STATS1003B!K2256/1000</f>
        <v>0</v>
      </c>
      <c r="L2252" s="85">
        <f>STATS1003B!L2256/1000</f>
        <v>0</v>
      </c>
      <c r="M2252" s="85">
        <f>STATS1003B!M2256/1000</f>
        <v>1500</v>
      </c>
      <c r="N2252" s="85">
        <f>STATS1003B!N2256/1000</f>
        <v>0</v>
      </c>
      <c r="O2252" s="85">
        <f>STATS1003B!O2256/1000</f>
        <v>0</v>
      </c>
      <c r="P2252" s="85">
        <f>STATS1003B!P2256/1000</f>
        <v>0</v>
      </c>
      <c r="Q2252" s="85">
        <f>STATS1003B!Q2256/1000</f>
        <v>1500</v>
      </c>
      <c r="R2252" s="85">
        <f>STATS1003B!R2256/1000</f>
        <v>0</v>
      </c>
      <c r="S2252" s="85">
        <f>STATS1003B!S2256/1000</f>
        <v>0</v>
      </c>
      <c r="T2252" s="85">
        <f>STATS1003B!T2256/1000</f>
        <v>0</v>
      </c>
      <c r="U2252" s="85">
        <f>STATS1003B!U2256/1000</f>
        <v>0</v>
      </c>
      <c r="V2252" s="85">
        <f>STATS1003B!V2256/1000</f>
        <v>0</v>
      </c>
      <c r="W2252" s="85">
        <f>STATS1003B!W2256/1000</f>
        <v>0</v>
      </c>
      <c r="X2252" s="85">
        <f t="shared" si="244"/>
        <v>1500</v>
      </c>
      <c r="Y2252" s="85">
        <f>STATS1003B!Y2256/1000</f>
        <v>0</v>
      </c>
      <c r="Z2252" s="85">
        <f t="shared" si="241"/>
        <v>0</v>
      </c>
      <c r="AA2252" s="69">
        <f>STATS1003B!AA2256/1000</f>
        <v>1500</v>
      </c>
      <c r="AB2252" s="69">
        <f>STATS1003B!AB2256/1000</f>
        <v>0</v>
      </c>
    </row>
    <row r="2253" spans="1:28" hidden="1" x14ac:dyDescent="0.3">
      <c r="A2253" s="117"/>
      <c r="C2253" s="68" t="s">
        <v>535</v>
      </c>
      <c r="D2253" s="145" t="s">
        <v>128</v>
      </c>
      <c r="E2253" s="85">
        <f>STATS1003B!E2257/1000</f>
        <v>3683.8377300000002</v>
      </c>
      <c r="F2253" s="85">
        <f>STATS1003B!F2257/1000</f>
        <v>3683.8377300000002</v>
      </c>
      <c r="G2253" s="85">
        <f>STATS1003B!G2257/1000</f>
        <v>0</v>
      </c>
      <c r="H2253" s="85">
        <f>STATS1003B!H2257/1000</f>
        <v>3683.8377300000002</v>
      </c>
      <c r="I2253" s="85">
        <f>STATS1003B!I2257/1000</f>
        <v>0</v>
      </c>
      <c r="J2253" s="85">
        <f>STATS1003B!J2257/1000</f>
        <v>3683.8377300000002</v>
      </c>
      <c r="K2253" s="85">
        <f>STATS1003B!K2257/1000</f>
        <v>0</v>
      </c>
      <c r="L2253" s="85">
        <f>STATS1003B!L2257/1000</f>
        <v>0</v>
      </c>
      <c r="M2253" s="85">
        <f>STATS1003B!M2257/1000</f>
        <v>3683.8377300000002</v>
      </c>
      <c r="N2253" s="85">
        <f>STATS1003B!N2257/1000</f>
        <v>0</v>
      </c>
      <c r="O2253" s="85">
        <f>STATS1003B!O2257/1000</f>
        <v>0</v>
      </c>
      <c r="P2253" s="85">
        <f>STATS1003B!P2257/1000</f>
        <v>0</v>
      </c>
      <c r="Q2253" s="85">
        <f>STATS1003B!Q2257/1000</f>
        <v>3683.8377300000002</v>
      </c>
      <c r="R2253" s="85">
        <f>STATS1003B!R2257/1000</f>
        <v>0</v>
      </c>
      <c r="S2253" s="85">
        <f>STATS1003B!S2257/1000</f>
        <v>0</v>
      </c>
      <c r="T2253" s="85">
        <f>STATS1003B!T2257/1000</f>
        <v>0</v>
      </c>
      <c r="U2253" s="85">
        <f>STATS1003B!U2257/1000</f>
        <v>0</v>
      </c>
      <c r="V2253" s="85">
        <f>STATS1003B!V2257/1000</f>
        <v>0</v>
      </c>
      <c r="W2253" s="85">
        <f>STATS1003B!W2257/1000</f>
        <v>0</v>
      </c>
      <c r="X2253" s="85">
        <f t="shared" si="244"/>
        <v>3683.8377300000002</v>
      </c>
      <c r="Y2253" s="85">
        <f>STATS1003B!Y2257/1000</f>
        <v>0</v>
      </c>
      <c r="Z2253" s="85">
        <f t="shared" si="241"/>
        <v>0</v>
      </c>
      <c r="AA2253" s="69">
        <f>STATS1003B!AA2257/1000</f>
        <v>3683.8377300000002</v>
      </c>
      <c r="AB2253" s="69">
        <f>STATS1003B!AB2257/1000</f>
        <v>0</v>
      </c>
    </row>
    <row r="2254" spans="1:28" hidden="1" x14ac:dyDescent="0.3">
      <c r="A2254" s="117"/>
      <c r="C2254" s="68" t="s">
        <v>542</v>
      </c>
      <c r="D2254" s="145" t="s">
        <v>88</v>
      </c>
      <c r="E2254" s="85">
        <f>STATS1003B!E2258/1000</f>
        <v>6200</v>
      </c>
      <c r="F2254" s="85">
        <f>STATS1003B!F2258/1000</f>
        <v>6200</v>
      </c>
      <c r="G2254" s="85">
        <f>STATS1003B!G2258/1000</f>
        <v>0</v>
      </c>
      <c r="H2254" s="85">
        <f>STATS1003B!H2258/1000</f>
        <v>6200</v>
      </c>
      <c r="I2254" s="85">
        <f>STATS1003B!I2258/1000</f>
        <v>0</v>
      </c>
      <c r="J2254" s="85">
        <f>STATS1003B!J2258/1000</f>
        <v>6200</v>
      </c>
      <c r="K2254" s="85">
        <f>STATS1003B!K2258/1000</f>
        <v>0</v>
      </c>
      <c r="L2254" s="85">
        <f>STATS1003B!L2258/1000</f>
        <v>0</v>
      </c>
      <c r="M2254" s="85">
        <f>STATS1003B!M2258/1000</f>
        <v>6200</v>
      </c>
      <c r="N2254" s="85">
        <f>STATS1003B!N2258/1000</f>
        <v>0</v>
      </c>
      <c r="O2254" s="85">
        <f>STATS1003B!O2258/1000</f>
        <v>0</v>
      </c>
      <c r="P2254" s="85">
        <f>STATS1003B!P2258/1000</f>
        <v>0</v>
      </c>
      <c r="Q2254" s="85">
        <f>STATS1003B!Q2258/1000</f>
        <v>6200</v>
      </c>
      <c r="R2254" s="85">
        <f>STATS1003B!R2258/1000</f>
        <v>0</v>
      </c>
      <c r="S2254" s="85">
        <f>STATS1003B!S2258/1000</f>
        <v>0</v>
      </c>
      <c r="T2254" s="85">
        <f>STATS1003B!T2258/1000</f>
        <v>0</v>
      </c>
      <c r="U2254" s="85">
        <f>STATS1003B!U2258/1000</f>
        <v>0</v>
      </c>
      <c r="V2254" s="85">
        <f>STATS1003B!V2258/1000</f>
        <v>0</v>
      </c>
      <c r="W2254" s="85">
        <f>STATS1003B!W2258/1000</f>
        <v>0</v>
      </c>
      <c r="X2254" s="85">
        <f t="shared" si="244"/>
        <v>6200</v>
      </c>
      <c r="Y2254" s="85">
        <f>STATS1003B!Y2258/1000</f>
        <v>0</v>
      </c>
      <c r="Z2254" s="85">
        <f t="shared" si="241"/>
        <v>0</v>
      </c>
      <c r="AA2254" s="69">
        <f>STATS1003B!AA2258/1000</f>
        <v>6200</v>
      </c>
      <c r="AB2254" s="69">
        <f>STATS1003B!AB2258/1000</f>
        <v>0</v>
      </c>
    </row>
    <row r="2255" spans="1:28" hidden="1" x14ac:dyDescent="0.3">
      <c r="A2255" s="117"/>
      <c r="C2255" s="68" t="s">
        <v>535</v>
      </c>
      <c r="D2255" s="145" t="s">
        <v>108</v>
      </c>
      <c r="E2255" s="85">
        <f>STATS1003B!E2259/1000</f>
        <v>5300.2032300000001</v>
      </c>
      <c r="F2255" s="85">
        <f>STATS1003B!F2259/1000</f>
        <v>5300.2032300000001</v>
      </c>
      <c r="G2255" s="85">
        <f>STATS1003B!G2259/1000</f>
        <v>0</v>
      </c>
      <c r="H2255" s="85">
        <f>STATS1003B!H2259/1000</f>
        <v>5300.2032300000001</v>
      </c>
      <c r="I2255" s="85">
        <f>STATS1003B!I2259/1000</f>
        <v>0</v>
      </c>
      <c r="J2255" s="85">
        <f>STATS1003B!J2259/1000</f>
        <v>5300.2032300000001</v>
      </c>
      <c r="K2255" s="85">
        <f>STATS1003B!K2259/1000</f>
        <v>0</v>
      </c>
      <c r="L2255" s="85">
        <f>STATS1003B!L2259/1000</f>
        <v>0</v>
      </c>
      <c r="M2255" s="85">
        <f>STATS1003B!M2259/1000</f>
        <v>5300.2032300000001</v>
      </c>
      <c r="N2255" s="85">
        <f>STATS1003B!N2259/1000</f>
        <v>0</v>
      </c>
      <c r="O2255" s="85">
        <f>STATS1003B!O2259/1000</f>
        <v>0</v>
      </c>
      <c r="P2255" s="85">
        <f>STATS1003B!P2259/1000</f>
        <v>0</v>
      </c>
      <c r="Q2255" s="85">
        <f>STATS1003B!Q2259/1000</f>
        <v>5300.2032300000001</v>
      </c>
      <c r="R2255" s="85">
        <f>STATS1003B!R2259/1000</f>
        <v>0</v>
      </c>
      <c r="S2255" s="85">
        <f>STATS1003B!S2259/1000</f>
        <v>0</v>
      </c>
      <c r="T2255" s="85">
        <f>STATS1003B!T2259/1000</f>
        <v>0</v>
      </c>
      <c r="U2255" s="85">
        <f>STATS1003B!U2259/1000</f>
        <v>0</v>
      </c>
      <c r="V2255" s="85">
        <f>STATS1003B!V2259/1000</f>
        <v>0</v>
      </c>
      <c r="W2255" s="85">
        <f>STATS1003B!W2259/1000</f>
        <v>0</v>
      </c>
      <c r="X2255" s="85">
        <f t="shared" si="244"/>
        <v>5300.2032300000001</v>
      </c>
      <c r="Y2255" s="85">
        <f>STATS1003B!Y2259/1000</f>
        <v>0</v>
      </c>
      <c r="Z2255" s="85">
        <f t="shared" si="241"/>
        <v>0</v>
      </c>
      <c r="AA2255" s="69">
        <f>STATS1003B!AA2259/1000</f>
        <v>5300.2032300000001</v>
      </c>
      <c r="AB2255" s="69">
        <f>STATS1003B!AB2259/1000</f>
        <v>0</v>
      </c>
    </row>
    <row r="2256" spans="1:28" hidden="1" x14ac:dyDescent="0.3">
      <c r="A2256" s="117"/>
      <c r="C2256" s="68" t="s">
        <v>535</v>
      </c>
      <c r="D2256" s="145" t="s">
        <v>58</v>
      </c>
      <c r="E2256" s="85">
        <f>STATS1003B!E2260/1000</f>
        <v>6296.7626200000004</v>
      </c>
      <c r="F2256" s="85">
        <f>STATS1003B!F2260/1000</f>
        <v>6296.7626200000004</v>
      </c>
      <c r="G2256" s="85">
        <f>STATS1003B!G2260/1000</f>
        <v>0</v>
      </c>
      <c r="H2256" s="85">
        <f>STATS1003B!H2260/1000</f>
        <v>6296.7626200000004</v>
      </c>
      <c r="I2256" s="85">
        <f>STATS1003B!I2260/1000</f>
        <v>0</v>
      </c>
      <c r="J2256" s="85">
        <f>STATS1003B!J2260/1000</f>
        <v>6296.7626200000004</v>
      </c>
      <c r="K2256" s="85">
        <f>STATS1003B!K2260/1000</f>
        <v>0</v>
      </c>
      <c r="L2256" s="85">
        <f>STATS1003B!L2260/1000</f>
        <v>0</v>
      </c>
      <c r="M2256" s="85">
        <f>STATS1003B!M2260/1000</f>
        <v>6296.7626200000004</v>
      </c>
      <c r="N2256" s="85">
        <f>STATS1003B!N2260/1000</f>
        <v>0</v>
      </c>
      <c r="O2256" s="85">
        <f>STATS1003B!O2260/1000</f>
        <v>0</v>
      </c>
      <c r="P2256" s="85">
        <f>STATS1003B!P2260/1000</f>
        <v>0</v>
      </c>
      <c r="Q2256" s="85">
        <f>STATS1003B!Q2260/1000</f>
        <v>6296.7626200000004</v>
      </c>
      <c r="R2256" s="85">
        <f>STATS1003B!R2260/1000</f>
        <v>0</v>
      </c>
      <c r="S2256" s="85">
        <f>STATS1003B!S2260/1000</f>
        <v>0</v>
      </c>
      <c r="T2256" s="85">
        <f>STATS1003B!T2260/1000</f>
        <v>0</v>
      </c>
      <c r="U2256" s="85">
        <f>STATS1003B!U2260/1000</f>
        <v>0</v>
      </c>
      <c r="V2256" s="85">
        <f>STATS1003B!V2260/1000</f>
        <v>0</v>
      </c>
      <c r="W2256" s="85">
        <f>STATS1003B!W2260/1000</f>
        <v>0</v>
      </c>
      <c r="X2256" s="85">
        <f t="shared" si="244"/>
        <v>6296.7626200000004</v>
      </c>
      <c r="Y2256" s="85">
        <f>STATS1003B!Y2260/1000</f>
        <v>0</v>
      </c>
      <c r="Z2256" s="85">
        <f t="shared" si="241"/>
        <v>0</v>
      </c>
      <c r="AA2256" s="69">
        <f>STATS1003B!AA2260/1000</f>
        <v>6296.7626200000004</v>
      </c>
      <c r="AB2256" s="69">
        <f>STATS1003B!AB2260/1000</f>
        <v>0</v>
      </c>
    </row>
    <row r="2257" spans="1:28" hidden="1" x14ac:dyDescent="0.3">
      <c r="A2257" s="117"/>
      <c r="C2257" s="68" t="s">
        <v>535</v>
      </c>
      <c r="D2257" s="145" t="s">
        <v>60</v>
      </c>
      <c r="E2257" s="85">
        <f>STATS1003B!E2261/1000</f>
        <v>13460.145</v>
      </c>
      <c r="F2257" s="85">
        <f>STATS1003B!F2261/1000</f>
        <v>13460.145</v>
      </c>
      <c r="G2257" s="85">
        <f>STATS1003B!G2261/1000</f>
        <v>0</v>
      </c>
      <c r="H2257" s="85">
        <f>STATS1003B!H2261/1000</f>
        <v>13460.145</v>
      </c>
      <c r="I2257" s="85">
        <f>STATS1003B!I2261/1000</f>
        <v>0</v>
      </c>
      <c r="J2257" s="85">
        <f>STATS1003B!J2261/1000</f>
        <v>13460.145</v>
      </c>
      <c r="K2257" s="85">
        <f>STATS1003B!K2261/1000</f>
        <v>0</v>
      </c>
      <c r="L2257" s="85">
        <f>STATS1003B!L2261/1000</f>
        <v>0</v>
      </c>
      <c r="M2257" s="85">
        <f>STATS1003B!M2261/1000</f>
        <v>13460.145</v>
      </c>
      <c r="N2257" s="85">
        <f>STATS1003B!N2261/1000</f>
        <v>0</v>
      </c>
      <c r="O2257" s="85">
        <f>STATS1003B!O2261/1000</f>
        <v>0</v>
      </c>
      <c r="P2257" s="85">
        <f>STATS1003B!P2261/1000</f>
        <v>0</v>
      </c>
      <c r="Q2257" s="85">
        <f>STATS1003B!Q2261/1000</f>
        <v>13460.145</v>
      </c>
      <c r="R2257" s="85">
        <f>STATS1003B!R2261/1000</f>
        <v>0</v>
      </c>
      <c r="S2257" s="85">
        <f>STATS1003B!S2261/1000</f>
        <v>0</v>
      </c>
      <c r="T2257" s="85">
        <f>STATS1003B!T2261/1000</f>
        <v>0</v>
      </c>
      <c r="U2257" s="85">
        <f>STATS1003B!U2261/1000</f>
        <v>0</v>
      </c>
      <c r="V2257" s="85">
        <f>STATS1003B!V2261/1000</f>
        <v>0</v>
      </c>
      <c r="W2257" s="85">
        <f>STATS1003B!W2261/1000</f>
        <v>0</v>
      </c>
      <c r="X2257" s="85">
        <f t="shared" si="244"/>
        <v>13460.145</v>
      </c>
      <c r="Y2257" s="85">
        <f>STATS1003B!Y2261/1000</f>
        <v>0</v>
      </c>
      <c r="Z2257" s="85">
        <f t="shared" si="241"/>
        <v>0</v>
      </c>
      <c r="AA2257" s="69">
        <f>STATS1003B!AA2261/1000</f>
        <v>13460.145</v>
      </c>
      <c r="AB2257" s="69">
        <f>STATS1003B!AB2261/1000</f>
        <v>0</v>
      </c>
    </row>
    <row r="2258" spans="1:28" hidden="1" x14ac:dyDescent="0.3">
      <c r="A2258" s="117"/>
      <c r="C2258" s="71" t="s">
        <v>535</v>
      </c>
      <c r="D2258" s="88" t="s">
        <v>73</v>
      </c>
      <c r="E2258" s="85">
        <f>STATS1003B!E2262/1000</f>
        <v>5000</v>
      </c>
      <c r="F2258" s="85">
        <f>STATS1003B!F2262/1000</f>
        <v>5000</v>
      </c>
      <c r="G2258" s="85">
        <f>STATS1003B!G2262/1000</f>
        <v>0</v>
      </c>
      <c r="H2258" s="85">
        <f>STATS1003B!H2262/1000</f>
        <v>5000</v>
      </c>
      <c r="I2258" s="85">
        <f>STATS1003B!I2262/1000</f>
        <v>0</v>
      </c>
      <c r="J2258" s="85">
        <f>STATS1003B!J2262/1000</f>
        <v>5000</v>
      </c>
      <c r="K2258" s="85">
        <f>STATS1003B!K2262/1000</f>
        <v>0</v>
      </c>
      <c r="L2258" s="85">
        <f>STATS1003B!L2262/1000</f>
        <v>0</v>
      </c>
      <c r="M2258" s="85">
        <f>STATS1003B!M2262/1000</f>
        <v>5000</v>
      </c>
      <c r="N2258" s="85">
        <f>STATS1003B!N2262/1000</f>
        <v>0</v>
      </c>
      <c r="O2258" s="85">
        <f>STATS1003B!O2262/1000</f>
        <v>0</v>
      </c>
      <c r="P2258" s="85">
        <f>STATS1003B!P2262/1000</f>
        <v>0</v>
      </c>
      <c r="Q2258" s="85">
        <f>STATS1003B!Q2262/1000</f>
        <v>5000</v>
      </c>
      <c r="R2258" s="85">
        <f>STATS1003B!R2262/1000</f>
        <v>0</v>
      </c>
      <c r="S2258" s="85">
        <f>STATS1003B!S2262/1000</f>
        <v>0</v>
      </c>
      <c r="T2258" s="85">
        <f>STATS1003B!T2262/1000</f>
        <v>0</v>
      </c>
      <c r="U2258" s="85">
        <f>STATS1003B!U2262/1000</f>
        <v>0</v>
      </c>
      <c r="V2258" s="85">
        <f>STATS1003B!V2262/1000</f>
        <v>0</v>
      </c>
      <c r="W2258" s="85">
        <f>STATS1003B!W2262/1000</f>
        <v>0</v>
      </c>
      <c r="X2258" s="85">
        <f t="shared" si="244"/>
        <v>5000</v>
      </c>
      <c r="Y2258" s="85">
        <f>STATS1003B!Y2262/1000</f>
        <v>0</v>
      </c>
      <c r="Z2258" s="85">
        <f t="shared" si="241"/>
        <v>0</v>
      </c>
      <c r="AA2258" s="69">
        <f>STATS1003B!AA2262/1000</f>
        <v>5000</v>
      </c>
      <c r="AB2258" s="69">
        <f>STATS1003B!AB2262/1000</f>
        <v>0</v>
      </c>
    </row>
    <row r="2259" spans="1:28" hidden="1" x14ac:dyDescent="0.3">
      <c r="A2259" s="117"/>
      <c r="C2259" s="68" t="s">
        <v>550</v>
      </c>
      <c r="E2259" s="85">
        <f>STATS1003B!E2263/1000</f>
        <v>475.50099999999998</v>
      </c>
      <c r="F2259" s="85">
        <f>STATS1003B!F2263/1000</f>
        <v>475.50099999999998</v>
      </c>
      <c r="G2259" s="85">
        <f>STATS1003B!G2263/1000</f>
        <v>0</v>
      </c>
      <c r="H2259" s="85">
        <f>STATS1003B!H2263/1000</f>
        <v>475.50099999999998</v>
      </c>
      <c r="I2259" s="85">
        <f>STATS1003B!I2263/1000</f>
        <v>0</v>
      </c>
      <c r="J2259" s="85">
        <f>STATS1003B!J2263/1000</f>
        <v>475.50099999999998</v>
      </c>
      <c r="K2259" s="85">
        <f>STATS1003B!K2263/1000</f>
        <v>0</v>
      </c>
      <c r="L2259" s="85">
        <f>STATS1003B!L2263/1000</f>
        <v>0</v>
      </c>
      <c r="M2259" s="85">
        <f>STATS1003B!M2263/1000</f>
        <v>475.50099999999998</v>
      </c>
      <c r="N2259" s="85">
        <f>STATS1003B!N2263/1000</f>
        <v>0</v>
      </c>
      <c r="O2259" s="85">
        <f>STATS1003B!O2263/1000</f>
        <v>0</v>
      </c>
      <c r="P2259" s="85">
        <f>STATS1003B!P2263/1000</f>
        <v>0</v>
      </c>
      <c r="Q2259" s="85">
        <f>STATS1003B!Q2263/1000</f>
        <v>475.50099999999998</v>
      </c>
      <c r="R2259" s="85">
        <f>STATS1003B!R2263/1000</f>
        <v>0</v>
      </c>
      <c r="S2259" s="85">
        <f>STATS1003B!S2263/1000</f>
        <v>0</v>
      </c>
      <c r="T2259" s="85">
        <f>STATS1003B!T2263/1000</f>
        <v>0</v>
      </c>
      <c r="U2259" s="85">
        <f>STATS1003B!U2263/1000</f>
        <v>0</v>
      </c>
      <c r="V2259" s="85">
        <f>STATS1003B!V2263/1000</f>
        <v>0</v>
      </c>
      <c r="W2259" s="85">
        <f>STATS1003B!W2263/1000</f>
        <v>0</v>
      </c>
      <c r="X2259" s="85">
        <f t="shared" si="244"/>
        <v>475.50099999999998</v>
      </c>
      <c r="Y2259" s="85">
        <f>STATS1003B!Y2263/1000</f>
        <v>0</v>
      </c>
      <c r="Z2259" s="85">
        <f t="shared" si="241"/>
        <v>0</v>
      </c>
      <c r="AA2259" s="69">
        <f>STATS1003B!AA2263/1000</f>
        <v>475.50099999999998</v>
      </c>
      <c r="AB2259" s="69">
        <f>STATS1003B!AB2263/1000</f>
        <v>0</v>
      </c>
    </row>
    <row r="2260" spans="1:28" hidden="1" x14ac:dyDescent="0.3">
      <c r="A2260" s="117"/>
      <c r="C2260" s="68" t="s">
        <v>606</v>
      </c>
      <c r="E2260" s="85">
        <f>STATS1003B!E2264/1000</f>
        <v>5000</v>
      </c>
      <c r="F2260" s="85">
        <f>STATS1003B!F2264/1000</f>
        <v>5000</v>
      </c>
      <c r="G2260" s="85">
        <f>STATS1003B!G2264/1000</f>
        <v>0</v>
      </c>
      <c r="H2260" s="85">
        <f>STATS1003B!H2264/1000</f>
        <v>5000</v>
      </c>
      <c r="I2260" s="85">
        <f>STATS1003B!I2264/1000</f>
        <v>0</v>
      </c>
      <c r="J2260" s="85">
        <f>STATS1003B!J2264/1000</f>
        <v>5000</v>
      </c>
      <c r="K2260" s="85">
        <f>STATS1003B!K2264/1000</f>
        <v>0</v>
      </c>
      <c r="L2260" s="85">
        <f>STATS1003B!L2264/1000</f>
        <v>0</v>
      </c>
      <c r="M2260" s="85">
        <f>STATS1003B!M2264/1000</f>
        <v>5000</v>
      </c>
      <c r="N2260" s="85">
        <f>STATS1003B!N2264/1000</f>
        <v>0</v>
      </c>
      <c r="O2260" s="85">
        <f>STATS1003B!O2264/1000</f>
        <v>0</v>
      </c>
      <c r="P2260" s="85">
        <f>STATS1003B!P2264/1000</f>
        <v>0</v>
      </c>
      <c r="Q2260" s="85">
        <f>STATS1003B!Q2264/1000</f>
        <v>5000</v>
      </c>
      <c r="R2260" s="85">
        <f>STATS1003B!R2264/1000</f>
        <v>0</v>
      </c>
      <c r="S2260" s="85">
        <f>STATS1003B!S2264/1000</f>
        <v>0</v>
      </c>
      <c r="T2260" s="85">
        <f>STATS1003B!T2264/1000</f>
        <v>0</v>
      </c>
      <c r="U2260" s="85">
        <f>STATS1003B!U2264/1000</f>
        <v>0</v>
      </c>
      <c r="V2260" s="85">
        <f>STATS1003B!V2264/1000</f>
        <v>0</v>
      </c>
      <c r="W2260" s="85">
        <f>STATS1003B!W2264/1000</f>
        <v>0</v>
      </c>
      <c r="X2260" s="85">
        <f t="shared" si="244"/>
        <v>5000</v>
      </c>
      <c r="Y2260" s="85">
        <f>STATS1003B!Y2264/1000</f>
        <v>0</v>
      </c>
      <c r="Z2260" s="85">
        <f t="shared" si="241"/>
        <v>0</v>
      </c>
      <c r="AA2260" s="69">
        <f>STATS1003B!AA2264/1000</f>
        <v>5000</v>
      </c>
      <c r="AB2260" s="69">
        <f>STATS1003B!AB2264/1000</f>
        <v>0</v>
      </c>
    </row>
    <row r="2261" spans="1:28" hidden="1" x14ac:dyDescent="0.3">
      <c r="A2261" s="117"/>
      <c r="E2261" s="86" t="s">
        <v>29</v>
      </c>
      <c r="F2261" s="86" t="s">
        <v>29</v>
      </c>
      <c r="G2261" s="86" t="s">
        <v>29</v>
      </c>
      <c r="H2261" s="86" t="s">
        <v>29</v>
      </c>
      <c r="I2261" s="86" t="s">
        <v>29</v>
      </c>
      <c r="J2261" s="86" t="s">
        <v>29</v>
      </c>
      <c r="K2261" s="86" t="s">
        <v>29</v>
      </c>
      <c r="L2261" s="86" t="s">
        <v>29</v>
      </c>
      <c r="M2261" s="86" t="s">
        <v>29</v>
      </c>
      <c r="N2261" s="86" t="s">
        <v>29</v>
      </c>
      <c r="O2261" s="86" t="s">
        <v>29</v>
      </c>
      <c r="P2261" s="86" t="s">
        <v>29</v>
      </c>
      <c r="Q2261" s="86" t="s">
        <v>29</v>
      </c>
      <c r="R2261" s="86" t="s">
        <v>29</v>
      </c>
      <c r="S2261" s="86" t="s">
        <v>29</v>
      </c>
      <c r="T2261" s="86" t="s">
        <v>29</v>
      </c>
      <c r="U2261" s="86" t="s">
        <v>29</v>
      </c>
      <c r="V2261" s="86" t="s">
        <v>29</v>
      </c>
      <c r="W2261" s="86" t="s">
        <v>29</v>
      </c>
      <c r="X2261" s="85" t="e">
        <f t="shared" si="244"/>
        <v>#VALUE!</v>
      </c>
      <c r="Y2261" s="86" t="s">
        <v>29</v>
      </c>
      <c r="Z2261" s="85" t="e">
        <f t="shared" si="241"/>
        <v>#VALUE!</v>
      </c>
      <c r="AA2261" s="115" t="s">
        <v>29</v>
      </c>
      <c r="AB2261" s="115" t="s">
        <v>29</v>
      </c>
    </row>
    <row r="2262" spans="1:28" x14ac:dyDescent="0.3">
      <c r="A2262" s="116">
        <v>98</v>
      </c>
      <c r="B2262" s="68" t="s">
        <v>828</v>
      </c>
      <c r="E2262" s="85">
        <f>115915528.4/1000</f>
        <v>115915.52840000001</v>
      </c>
      <c r="F2262" s="85">
        <f t="shared" ref="F2262:Q2262" si="247">SUM(F2246:F2261)</f>
        <v>49117.635579999995</v>
      </c>
      <c r="G2262" s="85">
        <f t="shared" si="247"/>
        <v>0</v>
      </c>
      <c r="H2262" s="85">
        <f>114417999.8/1000</f>
        <v>114417.99979999999</v>
      </c>
      <c r="I2262" s="85">
        <f t="shared" si="247"/>
        <v>0</v>
      </c>
      <c r="J2262" s="85">
        <f t="shared" si="247"/>
        <v>49117.635579999995</v>
      </c>
      <c r="K2262" s="85">
        <f t="shared" si="247"/>
        <v>1497.5286000000001</v>
      </c>
      <c r="L2262" s="85">
        <f t="shared" si="247"/>
        <v>0</v>
      </c>
      <c r="M2262" s="85">
        <f t="shared" si="247"/>
        <v>49117.635579999995</v>
      </c>
      <c r="N2262" s="85">
        <f t="shared" si="247"/>
        <v>1497.5286000000001</v>
      </c>
      <c r="O2262" s="85">
        <f t="shared" si="247"/>
        <v>0</v>
      </c>
      <c r="P2262" s="85">
        <f>1497528/1000</f>
        <v>1497.528</v>
      </c>
      <c r="Q2262" s="85">
        <f t="shared" si="247"/>
        <v>49117.635579999995</v>
      </c>
      <c r="R2262" s="84"/>
      <c r="S2262" s="84"/>
      <c r="T2262" s="85">
        <f t="shared" ref="T2262:Y2262" si="248">SUM(T2246:T2261)</f>
        <v>0</v>
      </c>
      <c r="U2262" s="85">
        <f t="shared" si="248"/>
        <v>1497.5286000000001</v>
      </c>
      <c r="V2262" s="85">
        <f t="shared" si="248"/>
        <v>0</v>
      </c>
      <c r="W2262" s="85">
        <f t="shared" si="248"/>
        <v>0</v>
      </c>
      <c r="X2262" s="85">
        <f t="shared" si="244"/>
        <v>115915.5278</v>
      </c>
      <c r="Y2262" s="85">
        <f t="shared" si="248"/>
        <v>0</v>
      </c>
      <c r="Z2262" s="85">
        <f t="shared" si="241"/>
        <v>6.0000001394655555E-4</v>
      </c>
      <c r="AA2262" s="69">
        <f>SUM(AA2246:AA2261)</f>
        <v>50615.16418</v>
      </c>
      <c r="AB2262" s="69">
        <f>SUM(AB2246:AB2261)</f>
        <v>0</v>
      </c>
    </row>
    <row r="2263" spans="1:28" hidden="1" x14ac:dyDescent="0.3">
      <c r="A2263" s="117"/>
      <c r="E2263" s="86" t="s">
        <v>29</v>
      </c>
      <c r="F2263" s="86" t="s">
        <v>29</v>
      </c>
      <c r="G2263" s="86" t="s">
        <v>29</v>
      </c>
      <c r="H2263" s="86" t="s">
        <v>29</v>
      </c>
      <c r="I2263" s="86" t="s">
        <v>29</v>
      </c>
      <c r="J2263" s="86" t="s">
        <v>29</v>
      </c>
      <c r="K2263" s="86" t="s">
        <v>29</v>
      </c>
      <c r="L2263" s="86" t="s">
        <v>29</v>
      </c>
      <c r="M2263" s="86" t="s">
        <v>29</v>
      </c>
      <c r="N2263" s="86" t="s">
        <v>29</v>
      </c>
      <c r="O2263" s="86" t="s">
        <v>29</v>
      </c>
      <c r="P2263" s="86" t="s">
        <v>29</v>
      </c>
      <c r="Q2263" s="86" t="s">
        <v>29</v>
      </c>
      <c r="R2263" s="86" t="s">
        <v>29</v>
      </c>
      <c r="S2263" s="86" t="s">
        <v>29</v>
      </c>
      <c r="T2263" s="86" t="s">
        <v>29</v>
      </c>
      <c r="U2263" s="86" t="s">
        <v>29</v>
      </c>
      <c r="V2263" s="86" t="s">
        <v>29</v>
      </c>
      <c r="W2263" s="86" t="s">
        <v>29</v>
      </c>
      <c r="X2263" s="85" t="e">
        <f t="shared" si="244"/>
        <v>#VALUE!</v>
      </c>
      <c r="Y2263" s="86" t="s">
        <v>29</v>
      </c>
      <c r="Z2263" s="85" t="e">
        <f t="shared" si="241"/>
        <v>#VALUE!</v>
      </c>
      <c r="AA2263" s="115" t="s">
        <v>29</v>
      </c>
      <c r="AB2263" s="115" t="s">
        <v>29</v>
      </c>
    </row>
    <row r="2264" spans="1:28" hidden="1" x14ac:dyDescent="0.3">
      <c r="A2264" s="105"/>
      <c r="E2264" s="84"/>
      <c r="F2264" s="84"/>
      <c r="G2264" s="84"/>
      <c r="H2264" s="84"/>
      <c r="I2264" s="84"/>
      <c r="J2264" s="84"/>
      <c r="K2264" s="84"/>
      <c r="L2264" s="84"/>
      <c r="M2264" s="84"/>
      <c r="N2264" s="84"/>
      <c r="O2264" s="84"/>
      <c r="P2264" s="84"/>
      <c r="Q2264" s="84"/>
      <c r="R2264" s="84"/>
      <c r="S2264" s="84"/>
      <c r="T2264" s="84"/>
      <c r="U2264" s="84"/>
      <c r="V2264" s="84"/>
      <c r="W2264" s="84"/>
      <c r="X2264" s="85">
        <f t="shared" si="244"/>
        <v>0</v>
      </c>
      <c r="Y2264" s="84"/>
      <c r="Z2264" s="85">
        <f t="shared" si="241"/>
        <v>0</v>
      </c>
    </row>
    <row r="2265" spans="1:28" hidden="1" x14ac:dyDescent="0.3">
      <c r="A2265" s="117"/>
      <c r="C2265" s="68" t="s">
        <v>535</v>
      </c>
      <c r="D2265" s="145" t="s">
        <v>68</v>
      </c>
      <c r="E2265" s="85">
        <f>STATS1003B!E2269/1000</f>
        <v>980.12721999999997</v>
      </c>
      <c r="F2265" s="85">
        <f>STATS1003B!F2269/1000</f>
        <v>640.52</v>
      </c>
      <c r="G2265" s="85">
        <f>STATS1003B!G2269/1000</f>
        <v>0</v>
      </c>
      <c r="H2265" s="85">
        <f>STATS1003B!H2269/1000</f>
        <v>640.52</v>
      </c>
      <c r="I2265" s="85">
        <f>STATS1003B!I2269/1000</f>
        <v>0</v>
      </c>
      <c r="J2265" s="85">
        <f>STATS1003B!J2269/1000</f>
        <v>640.52</v>
      </c>
      <c r="K2265" s="85">
        <f>STATS1003B!K2269/1000</f>
        <v>339.60721999999998</v>
      </c>
      <c r="L2265" s="85">
        <f>STATS1003B!L2269/1000</f>
        <v>0</v>
      </c>
      <c r="M2265" s="85">
        <f>STATS1003B!M2269/1000</f>
        <v>640.52</v>
      </c>
      <c r="N2265" s="85">
        <f>STATS1003B!N2269/1000</f>
        <v>339.60721999999998</v>
      </c>
      <c r="O2265" s="85">
        <f>STATS1003B!O2269/1000</f>
        <v>0</v>
      </c>
      <c r="P2265" s="85">
        <f>STATS1003B!P2269/1000</f>
        <v>339.60721999999998</v>
      </c>
      <c r="Q2265" s="85">
        <f>STATS1003B!Q2269/1000</f>
        <v>640.52</v>
      </c>
      <c r="R2265" s="85">
        <f>STATS1003B!R2269/1000</f>
        <v>0</v>
      </c>
      <c r="S2265" s="85">
        <f>STATS1003B!S2269/1000</f>
        <v>0</v>
      </c>
      <c r="T2265" s="85">
        <f>STATS1003B!T2269/1000</f>
        <v>0</v>
      </c>
      <c r="U2265" s="85">
        <f>STATS1003B!U2269/1000</f>
        <v>339.60721999999998</v>
      </c>
      <c r="V2265" s="85">
        <f>STATS1003B!V2269/1000</f>
        <v>0</v>
      </c>
      <c r="W2265" s="85">
        <f>STATS1003B!W2269/1000</f>
        <v>0</v>
      </c>
      <c r="X2265" s="85">
        <f t="shared" si="244"/>
        <v>980.12721999999997</v>
      </c>
      <c r="Y2265" s="85">
        <f>STATS1003B!Y2269/1000</f>
        <v>0</v>
      </c>
      <c r="Z2265" s="85">
        <f t="shared" si="241"/>
        <v>0</v>
      </c>
      <c r="AA2265" s="69">
        <f>STATS1003B!AA2269/1000</f>
        <v>980.12721999999997</v>
      </c>
      <c r="AB2265" s="69">
        <f>STATS1003B!AB2269/1000</f>
        <v>0</v>
      </c>
    </row>
    <row r="2266" spans="1:28" hidden="1" x14ac:dyDescent="0.3">
      <c r="A2266" s="117"/>
      <c r="C2266" s="68" t="s">
        <v>535</v>
      </c>
      <c r="D2266" s="145" t="s">
        <v>54</v>
      </c>
      <c r="E2266" s="85">
        <f>STATS1003B!E2270/1000</f>
        <v>1368.5070000000001</v>
      </c>
      <c r="F2266" s="85">
        <f>STATS1003B!F2270/1000</f>
        <v>1368.5070000000001</v>
      </c>
      <c r="G2266" s="85">
        <f>STATS1003B!G2270/1000</f>
        <v>0</v>
      </c>
      <c r="H2266" s="85">
        <f>STATS1003B!H2270/1000</f>
        <v>1368.5070000000001</v>
      </c>
      <c r="I2266" s="85">
        <f>STATS1003B!I2270/1000</f>
        <v>0</v>
      </c>
      <c r="J2266" s="85">
        <f>STATS1003B!J2270/1000</f>
        <v>1368.5070000000001</v>
      </c>
      <c r="K2266" s="85">
        <f>STATS1003B!K2270/1000</f>
        <v>0</v>
      </c>
      <c r="L2266" s="85">
        <f>STATS1003B!L2270/1000</f>
        <v>0</v>
      </c>
      <c r="M2266" s="85">
        <f>STATS1003B!M2270/1000</f>
        <v>1368.5070000000001</v>
      </c>
      <c r="N2266" s="85">
        <f>STATS1003B!N2270/1000</f>
        <v>0</v>
      </c>
      <c r="O2266" s="85">
        <f>STATS1003B!O2270/1000</f>
        <v>0</v>
      </c>
      <c r="P2266" s="85">
        <f>STATS1003B!P2270/1000</f>
        <v>0</v>
      </c>
      <c r="Q2266" s="85">
        <f>STATS1003B!Q2270/1000</f>
        <v>1368.5070000000001</v>
      </c>
      <c r="R2266" s="85">
        <f>STATS1003B!R2270/1000</f>
        <v>0</v>
      </c>
      <c r="S2266" s="85">
        <f>STATS1003B!S2270/1000</f>
        <v>0</v>
      </c>
      <c r="T2266" s="85">
        <f>STATS1003B!T2270/1000</f>
        <v>0</v>
      </c>
      <c r="U2266" s="85">
        <f>STATS1003B!U2270/1000</f>
        <v>0</v>
      </c>
      <c r="V2266" s="85">
        <f>STATS1003B!V2270/1000</f>
        <v>0</v>
      </c>
      <c r="W2266" s="85">
        <f>STATS1003B!W2270/1000</f>
        <v>0</v>
      </c>
      <c r="X2266" s="85">
        <f t="shared" si="244"/>
        <v>1368.5070000000001</v>
      </c>
      <c r="Y2266" s="85">
        <f>STATS1003B!Y2270/1000</f>
        <v>0</v>
      </c>
      <c r="Z2266" s="85">
        <f t="shared" ref="Z2266:Z2292" si="249">+E2266-X2266</f>
        <v>0</v>
      </c>
      <c r="AA2266" s="69">
        <f>STATS1003B!AA2270/1000</f>
        <v>1368.5070000000001</v>
      </c>
      <c r="AB2266" s="69">
        <f>STATS1003B!AB2270/1000</f>
        <v>0</v>
      </c>
    </row>
    <row r="2267" spans="1:28" hidden="1" x14ac:dyDescent="0.3">
      <c r="A2267" s="117"/>
      <c r="C2267" s="68" t="s">
        <v>545</v>
      </c>
      <c r="D2267" s="145" t="s">
        <v>54</v>
      </c>
      <c r="E2267" s="85">
        <f>STATS1003B!E2271/1000</f>
        <v>1953.989</v>
      </c>
      <c r="F2267" s="85">
        <f>STATS1003B!F2271/1000</f>
        <v>0</v>
      </c>
      <c r="G2267" s="85">
        <f>STATS1003B!G2271/1000</f>
        <v>0</v>
      </c>
      <c r="H2267" s="85">
        <f>STATS1003B!H2271/1000</f>
        <v>0</v>
      </c>
      <c r="I2267" s="85">
        <f>STATS1003B!I2271/1000</f>
        <v>0</v>
      </c>
      <c r="J2267" s="85">
        <f>STATS1003B!J2271/1000</f>
        <v>0</v>
      </c>
      <c r="K2267" s="85">
        <f>STATS1003B!K2271/1000</f>
        <v>1953.989</v>
      </c>
      <c r="L2267" s="85">
        <f>STATS1003B!L2271/1000</f>
        <v>0</v>
      </c>
      <c r="M2267" s="85">
        <f>STATS1003B!M2271/1000</f>
        <v>0</v>
      </c>
      <c r="N2267" s="85">
        <f>STATS1003B!N2271/1000</f>
        <v>1953.989</v>
      </c>
      <c r="O2267" s="85">
        <f>STATS1003B!O2271/1000</f>
        <v>0</v>
      </c>
      <c r="P2267" s="85">
        <f>STATS1003B!P2271/1000</f>
        <v>1953.989</v>
      </c>
      <c r="Q2267" s="85">
        <f>STATS1003B!Q2271/1000</f>
        <v>0</v>
      </c>
      <c r="R2267" s="85">
        <f>STATS1003B!R2271/1000</f>
        <v>0</v>
      </c>
      <c r="S2267" s="85">
        <f>STATS1003B!S2271/1000</f>
        <v>0</v>
      </c>
      <c r="T2267" s="85">
        <f>STATS1003B!T2271/1000</f>
        <v>0</v>
      </c>
      <c r="U2267" s="85">
        <f>STATS1003B!U2271/1000</f>
        <v>1953.989</v>
      </c>
      <c r="V2267" s="85">
        <f>STATS1003B!V2271/1000</f>
        <v>0</v>
      </c>
      <c r="W2267" s="85">
        <f>STATS1003B!W2271/1000</f>
        <v>0</v>
      </c>
      <c r="X2267" s="85">
        <f t="shared" si="244"/>
        <v>1953.989</v>
      </c>
      <c r="Y2267" s="85">
        <f>STATS1003B!Y2271/1000</f>
        <v>0</v>
      </c>
      <c r="Z2267" s="85">
        <f t="shared" si="249"/>
        <v>0</v>
      </c>
      <c r="AA2267" s="69">
        <f>STATS1003B!AA2271/1000</f>
        <v>1953.989</v>
      </c>
      <c r="AB2267" s="69">
        <f>STATS1003B!AB2271/1000</f>
        <v>0</v>
      </c>
    </row>
    <row r="2268" spans="1:28" hidden="1" x14ac:dyDescent="0.3">
      <c r="A2268" s="117"/>
      <c r="C2268" s="68" t="s">
        <v>535</v>
      </c>
      <c r="D2268" s="145" t="s">
        <v>85</v>
      </c>
      <c r="E2268" s="85">
        <f>STATS1003B!E2272/1000</f>
        <v>2468.6999999999998</v>
      </c>
      <c r="F2268" s="85">
        <f>STATS1003B!F2272/1000</f>
        <v>2468.6999999999998</v>
      </c>
      <c r="G2268" s="85">
        <f>STATS1003B!G2272/1000</f>
        <v>0</v>
      </c>
      <c r="H2268" s="85">
        <f>STATS1003B!H2272/1000</f>
        <v>2468.6999999999998</v>
      </c>
      <c r="I2268" s="85">
        <f>STATS1003B!I2272/1000</f>
        <v>0</v>
      </c>
      <c r="J2268" s="85">
        <f>STATS1003B!J2272/1000</f>
        <v>2468.6999999999998</v>
      </c>
      <c r="K2268" s="85">
        <f>STATS1003B!K2272/1000</f>
        <v>0</v>
      </c>
      <c r="L2268" s="85">
        <f>STATS1003B!L2272/1000</f>
        <v>0</v>
      </c>
      <c r="M2268" s="85">
        <f>STATS1003B!M2272/1000</f>
        <v>2468.6999999999998</v>
      </c>
      <c r="N2268" s="85">
        <f>STATS1003B!N2272/1000</f>
        <v>0</v>
      </c>
      <c r="O2268" s="85">
        <f>STATS1003B!O2272/1000</f>
        <v>0</v>
      </c>
      <c r="P2268" s="85">
        <f>STATS1003B!P2272/1000</f>
        <v>0</v>
      </c>
      <c r="Q2268" s="85">
        <f>STATS1003B!Q2272/1000</f>
        <v>2468.6999999999998</v>
      </c>
      <c r="R2268" s="85">
        <f>STATS1003B!R2272/1000</f>
        <v>0</v>
      </c>
      <c r="S2268" s="85">
        <f>STATS1003B!S2272/1000</f>
        <v>0</v>
      </c>
      <c r="T2268" s="85">
        <f>STATS1003B!T2272/1000</f>
        <v>0</v>
      </c>
      <c r="U2268" s="85">
        <f>STATS1003B!U2272/1000</f>
        <v>0</v>
      </c>
      <c r="V2268" s="85">
        <f>STATS1003B!V2272/1000</f>
        <v>0</v>
      </c>
      <c r="W2268" s="85">
        <f>STATS1003B!W2272/1000</f>
        <v>0</v>
      </c>
      <c r="X2268" s="85">
        <f t="shared" si="244"/>
        <v>2468.6999999999998</v>
      </c>
      <c r="Y2268" s="85">
        <f>STATS1003B!Y2272/1000</f>
        <v>0</v>
      </c>
      <c r="Z2268" s="85">
        <f t="shared" si="249"/>
        <v>0</v>
      </c>
      <c r="AA2268" s="69">
        <f>STATS1003B!AA2272/1000</f>
        <v>2468.6999999999998</v>
      </c>
      <c r="AB2268" s="69">
        <f>STATS1003B!AB2272/1000</f>
        <v>0</v>
      </c>
    </row>
    <row r="2269" spans="1:28" hidden="1" x14ac:dyDescent="0.3">
      <c r="A2269" s="117"/>
      <c r="C2269" s="68" t="s">
        <v>830</v>
      </c>
      <c r="D2269" s="145" t="s">
        <v>85</v>
      </c>
      <c r="E2269" s="85">
        <f>STATS1003B!E2273/1000</f>
        <v>300</v>
      </c>
      <c r="F2269" s="85">
        <f>STATS1003B!F2273/1000</f>
        <v>300</v>
      </c>
      <c r="G2269" s="85">
        <f>STATS1003B!G2273/1000</f>
        <v>0</v>
      </c>
      <c r="H2269" s="85">
        <f>STATS1003B!H2273/1000</f>
        <v>300</v>
      </c>
      <c r="I2269" s="85">
        <f>STATS1003B!I2273/1000</f>
        <v>0</v>
      </c>
      <c r="J2269" s="85">
        <f>STATS1003B!J2273/1000</f>
        <v>300</v>
      </c>
      <c r="K2269" s="85">
        <f>STATS1003B!K2273/1000</f>
        <v>0</v>
      </c>
      <c r="L2269" s="85">
        <f>STATS1003B!L2273/1000</f>
        <v>0</v>
      </c>
      <c r="M2269" s="85">
        <f>STATS1003B!M2273/1000</f>
        <v>300</v>
      </c>
      <c r="N2269" s="85">
        <f>STATS1003B!N2273/1000</f>
        <v>0</v>
      </c>
      <c r="O2269" s="85">
        <f>STATS1003B!O2273/1000</f>
        <v>0</v>
      </c>
      <c r="P2269" s="85">
        <f>STATS1003B!P2273/1000</f>
        <v>0</v>
      </c>
      <c r="Q2269" s="85">
        <f>STATS1003B!Q2273/1000</f>
        <v>300</v>
      </c>
      <c r="R2269" s="85">
        <f>STATS1003B!R2273/1000</f>
        <v>0</v>
      </c>
      <c r="S2269" s="85">
        <f>STATS1003B!S2273/1000</f>
        <v>0</v>
      </c>
      <c r="T2269" s="85">
        <f>STATS1003B!T2273/1000</f>
        <v>0</v>
      </c>
      <c r="U2269" s="85">
        <f>STATS1003B!U2273/1000</f>
        <v>0</v>
      </c>
      <c r="V2269" s="85">
        <f>STATS1003B!V2273/1000</f>
        <v>0</v>
      </c>
      <c r="W2269" s="85">
        <f>STATS1003B!W2273/1000</f>
        <v>0</v>
      </c>
      <c r="X2269" s="85">
        <f t="shared" si="244"/>
        <v>300</v>
      </c>
      <c r="Y2269" s="85">
        <f>STATS1003B!Y2273/1000</f>
        <v>0</v>
      </c>
      <c r="Z2269" s="85">
        <f t="shared" si="249"/>
        <v>0</v>
      </c>
      <c r="AA2269" s="69">
        <f>STATS1003B!AA2273/1000</f>
        <v>300</v>
      </c>
      <c r="AB2269" s="69">
        <f>STATS1003B!AB2273/1000</f>
        <v>0</v>
      </c>
    </row>
    <row r="2270" spans="1:28" hidden="1" x14ac:dyDescent="0.3">
      <c r="A2270" s="117"/>
      <c r="C2270" s="68" t="s">
        <v>557</v>
      </c>
      <c r="D2270" s="145" t="s">
        <v>85</v>
      </c>
      <c r="E2270" s="85">
        <f>STATS1003B!E2274/1000</f>
        <v>839</v>
      </c>
      <c r="F2270" s="85">
        <f>STATS1003B!F2274/1000</f>
        <v>839</v>
      </c>
      <c r="G2270" s="85">
        <f>STATS1003B!G2274/1000</f>
        <v>0</v>
      </c>
      <c r="H2270" s="85">
        <f>STATS1003B!H2274/1000</f>
        <v>839</v>
      </c>
      <c r="I2270" s="85">
        <f>STATS1003B!I2274/1000</f>
        <v>0</v>
      </c>
      <c r="J2270" s="85">
        <f>STATS1003B!J2274/1000</f>
        <v>839</v>
      </c>
      <c r="K2270" s="85">
        <f>STATS1003B!K2274/1000</f>
        <v>0</v>
      </c>
      <c r="L2270" s="85">
        <f>STATS1003B!L2274/1000</f>
        <v>0</v>
      </c>
      <c r="M2270" s="85">
        <f>STATS1003B!M2274/1000</f>
        <v>839</v>
      </c>
      <c r="N2270" s="85">
        <f>STATS1003B!N2274/1000</f>
        <v>0</v>
      </c>
      <c r="O2270" s="85">
        <f>STATS1003B!O2274/1000</f>
        <v>0</v>
      </c>
      <c r="P2270" s="85">
        <f>STATS1003B!P2274/1000</f>
        <v>0</v>
      </c>
      <c r="Q2270" s="85">
        <f>STATS1003B!Q2274/1000</f>
        <v>839</v>
      </c>
      <c r="R2270" s="85">
        <f>STATS1003B!R2274/1000</f>
        <v>0</v>
      </c>
      <c r="S2270" s="85">
        <f>STATS1003B!S2274/1000</f>
        <v>0</v>
      </c>
      <c r="T2270" s="85">
        <f>STATS1003B!T2274/1000</f>
        <v>0</v>
      </c>
      <c r="U2270" s="85">
        <f>STATS1003B!U2274/1000</f>
        <v>0</v>
      </c>
      <c r="V2270" s="85">
        <f>STATS1003B!V2274/1000</f>
        <v>0</v>
      </c>
      <c r="W2270" s="85">
        <f>STATS1003B!W2274/1000</f>
        <v>0</v>
      </c>
      <c r="X2270" s="85">
        <f t="shared" si="244"/>
        <v>839</v>
      </c>
      <c r="Y2270" s="85">
        <f>STATS1003B!Y2274/1000</f>
        <v>0</v>
      </c>
      <c r="Z2270" s="85">
        <f t="shared" si="249"/>
        <v>0</v>
      </c>
      <c r="AA2270" s="69">
        <f>STATS1003B!AA2274/1000</f>
        <v>839</v>
      </c>
      <c r="AB2270" s="69">
        <f>STATS1003B!AB2274/1000</f>
        <v>0</v>
      </c>
    </row>
    <row r="2271" spans="1:28" hidden="1" x14ac:dyDescent="0.3">
      <c r="A2271" s="117"/>
      <c r="C2271" s="68" t="s">
        <v>831</v>
      </c>
      <c r="D2271" s="145" t="s">
        <v>85</v>
      </c>
      <c r="E2271" s="85">
        <f>STATS1003B!E2275/1000</f>
        <v>3200</v>
      </c>
      <c r="F2271" s="85">
        <f>STATS1003B!F2275/1000</f>
        <v>3200</v>
      </c>
      <c r="G2271" s="85">
        <f>STATS1003B!G2275/1000</f>
        <v>0</v>
      </c>
      <c r="H2271" s="85">
        <f>STATS1003B!H2275/1000</f>
        <v>3200</v>
      </c>
      <c r="I2271" s="85">
        <f>STATS1003B!I2275/1000</f>
        <v>0</v>
      </c>
      <c r="J2271" s="85">
        <f>STATS1003B!J2275/1000</f>
        <v>3200</v>
      </c>
      <c r="K2271" s="85">
        <f>STATS1003B!K2275/1000</f>
        <v>0</v>
      </c>
      <c r="L2271" s="85">
        <f>STATS1003B!L2275/1000</f>
        <v>0</v>
      </c>
      <c r="M2271" s="85">
        <f>STATS1003B!M2275/1000</f>
        <v>3200</v>
      </c>
      <c r="N2271" s="85">
        <f>STATS1003B!N2275/1000</f>
        <v>0</v>
      </c>
      <c r="O2271" s="85">
        <f>STATS1003B!O2275/1000</f>
        <v>0</v>
      </c>
      <c r="P2271" s="85">
        <f>STATS1003B!P2275/1000</f>
        <v>0</v>
      </c>
      <c r="Q2271" s="85">
        <f>STATS1003B!Q2275/1000</f>
        <v>3200</v>
      </c>
      <c r="R2271" s="85">
        <f>STATS1003B!R2275/1000</f>
        <v>0</v>
      </c>
      <c r="S2271" s="85">
        <f>STATS1003B!S2275/1000</f>
        <v>0</v>
      </c>
      <c r="T2271" s="85">
        <f>STATS1003B!T2275/1000</f>
        <v>0</v>
      </c>
      <c r="U2271" s="85">
        <f>STATS1003B!U2275/1000</f>
        <v>0</v>
      </c>
      <c r="V2271" s="85">
        <f>STATS1003B!V2275/1000</f>
        <v>0</v>
      </c>
      <c r="W2271" s="85">
        <f>STATS1003B!W2275/1000</f>
        <v>0</v>
      </c>
      <c r="X2271" s="85">
        <f t="shared" si="244"/>
        <v>3200</v>
      </c>
      <c r="Y2271" s="85">
        <f>STATS1003B!Y2275/1000</f>
        <v>0</v>
      </c>
      <c r="Z2271" s="85">
        <f t="shared" si="249"/>
        <v>0</v>
      </c>
      <c r="AA2271" s="69">
        <f>STATS1003B!AA2275/1000</f>
        <v>3200</v>
      </c>
      <c r="AB2271" s="69">
        <f>STATS1003B!AB2275/1000</f>
        <v>0</v>
      </c>
    </row>
    <row r="2272" spans="1:28" hidden="1" x14ac:dyDescent="0.3">
      <c r="A2272" s="117"/>
      <c r="C2272" s="68" t="s">
        <v>832</v>
      </c>
      <c r="D2272" s="145" t="s">
        <v>85</v>
      </c>
      <c r="E2272" s="85">
        <f>STATS1003B!E2276/1000</f>
        <v>1743.3</v>
      </c>
      <c r="F2272" s="85">
        <f>STATS1003B!F2276/1000</f>
        <v>1743.3</v>
      </c>
      <c r="G2272" s="85">
        <f>STATS1003B!G2276/1000</f>
        <v>0</v>
      </c>
      <c r="H2272" s="85">
        <f>STATS1003B!H2276/1000</f>
        <v>1743.3</v>
      </c>
      <c r="I2272" s="85">
        <f>STATS1003B!I2276/1000</f>
        <v>0</v>
      </c>
      <c r="J2272" s="85">
        <f>STATS1003B!J2276/1000</f>
        <v>1743.3</v>
      </c>
      <c r="K2272" s="85">
        <f>STATS1003B!K2276/1000</f>
        <v>0</v>
      </c>
      <c r="L2272" s="85">
        <f>STATS1003B!L2276/1000</f>
        <v>0</v>
      </c>
      <c r="M2272" s="85">
        <f>STATS1003B!M2276/1000</f>
        <v>1743.3</v>
      </c>
      <c r="N2272" s="85">
        <f>STATS1003B!N2276/1000</f>
        <v>0</v>
      </c>
      <c r="O2272" s="85">
        <f>STATS1003B!O2276/1000</f>
        <v>0</v>
      </c>
      <c r="P2272" s="85">
        <f>STATS1003B!P2276/1000</f>
        <v>0</v>
      </c>
      <c r="Q2272" s="85">
        <f>STATS1003B!Q2276/1000</f>
        <v>1743.3</v>
      </c>
      <c r="R2272" s="85">
        <f>STATS1003B!R2276/1000</f>
        <v>0</v>
      </c>
      <c r="S2272" s="85">
        <f>STATS1003B!S2276/1000</f>
        <v>0</v>
      </c>
      <c r="T2272" s="85">
        <f>STATS1003B!T2276/1000</f>
        <v>0</v>
      </c>
      <c r="U2272" s="85">
        <f>STATS1003B!U2276/1000</f>
        <v>0</v>
      </c>
      <c r="V2272" s="85">
        <f>STATS1003B!V2276/1000</f>
        <v>0</v>
      </c>
      <c r="W2272" s="85">
        <f>STATS1003B!W2276/1000</f>
        <v>0</v>
      </c>
      <c r="X2272" s="85">
        <f t="shared" si="244"/>
        <v>1743.3</v>
      </c>
      <c r="Y2272" s="85">
        <f>STATS1003B!Y2276/1000</f>
        <v>0</v>
      </c>
      <c r="Z2272" s="85">
        <f t="shared" si="249"/>
        <v>0</v>
      </c>
      <c r="AA2272" s="69">
        <f>STATS1003B!AA2276/1000</f>
        <v>1743.3</v>
      </c>
      <c r="AB2272" s="69">
        <f>STATS1003B!AB2276/1000</f>
        <v>0</v>
      </c>
    </row>
    <row r="2273" spans="1:28" hidden="1" x14ac:dyDescent="0.3">
      <c r="A2273" s="117"/>
      <c r="C2273" s="68" t="s">
        <v>535</v>
      </c>
      <c r="D2273" s="145" t="s">
        <v>128</v>
      </c>
      <c r="E2273" s="85">
        <f>STATS1003B!E2277/1000</f>
        <v>1500</v>
      </c>
      <c r="F2273" s="85">
        <f>STATS1003B!F2277/1000</f>
        <v>1500</v>
      </c>
      <c r="G2273" s="85">
        <f>STATS1003B!G2277/1000</f>
        <v>0</v>
      </c>
      <c r="H2273" s="85">
        <f>STATS1003B!H2277/1000</f>
        <v>1500</v>
      </c>
      <c r="I2273" s="85">
        <f>STATS1003B!I2277/1000</f>
        <v>0</v>
      </c>
      <c r="J2273" s="85">
        <f>STATS1003B!J2277/1000</f>
        <v>1500</v>
      </c>
      <c r="K2273" s="85">
        <f>STATS1003B!K2277/1000</f>
        <v>0</v>
      </c>
      <c r="L2273" s="85">
        <f>STATS1003B!L2277/1000</f>
        <v>0</v>
      </c>
      <c r="M2273" s="85">
        <f>STATS1003B!M2277/1000</f>
        <v>1500</v>
      </c>
      <c r="N2273" s="85">
        <f>STATS1003B!N2277/1000</f>
        <v>0</v>
      </c>
      <c r="O2273" s="85">
        <f>STATS1003B!O2277/1000</f>
        <v>0</v>
      </c>
      <c r="P2273" s="85">
        <f>STATS1003B!P2277/1000</f>
        <v>0</v>
      </c>
      <c r="Q2273" s="85">
        <f>STATS1003B!Q2277/1000</f>
        <v>1500</v>
      </c>
      <c r="R2273" s="85">
        <f>STATS1003B!R2277/1000</f>
        <v>0</v>
      </c>
      <c r="S2273" s="85">
        <f>STATS1003B!S2277/1000</f>
        <v>0</v>
      </c>
      <c r="T2273" s="85">
        <f>STATS1003B!T2277/1000</f>
        <v>0</v>
      </c>
      <c r="U2273" s="85">
        <f>STATS1003B!U2277/1000</f>
        <v>0</v>
      </c>
      <c r="V2273" s="85">
        <f>STATS1003B!V2277/1000</f>
        <v>0</v>
      </c>
      <c r="W2273" s="85">
        <f>STATS1003B!W2277/1000</f>
        <v>0</v>
      </c>
      <c r="X2273" s="85">
        <f t="shared" si="244"/>
        <v>1500</v>
      </c>
      <c r="Y2273" s="85">
        <f>STATS1003B!Y2277/1000</f>
        <v>0</v>
      </c>
      <c r="Z2273" s="85">
        <f t="shared" si="249"/>
        <v>0</v>
      </c>
      <c r="AA2273" s="69">
        <f>STATS1003B!AA2277/1000</f>
        <v>1500</v>
      </c>
      <c r="AB2273" s="69">
        <f>STATS1003B!AB2277/1000</f>
        <v>0</v>
      </c>
    </row>
    <row r="2274" spans="1:28" hidden="1" x14ac:dyDescent="0.3">
      <c r="A2274" s="117"/>
      <c r="C2274" s="68" t="s">
        <v>535</v>
      </c>
      <c r="D2274" s="145" t="s">
        <v>88</v>
      </c>
      <c r="E2274" s="85">
        <f>STATS1003B!E2278/1000</f>
        <v>2924.63</v>
      </c>
      <c r="F2274" s="85">
        <f>STATS1003B!F2278/1000</f>
        <v>2924.63</v>
      </c>
      <c r="G2274" s="85">
        <f>STATS1003B!G2278/1000</f>
        <v>0</v>
      </c>
      <c r="H2274" s="85">
        <f>STATS1003B!H2278/1000</f>
        <v>2924.63</v>
      </c>
      <c r="I2274" s="85">
        <f>STATS1003B!I2278/1000</f>
        <v>0</v>
      </c>
      <c r="J2274" s="85">
        <f>STATS1003B!J2278/1000</f>
        <v>2924.63</v>
      </c>
      <c r="K2274" s="85">
        <f>STATS1003B!K2278/1000</f>
        <v>0</v>
      </c>
      <c r="L2274" s="85">
        <f>STATS1003B!L2278/1000</f>
        <v>0</v>
      </c>
      <c r="M2274" s="85">
        <f>STATS1003B!M2278/1000</f>
        <v>2924.63</v>
      </c>
      <c r="N2274" s="85">
        <f>STATS1003B!N2278/1000</f>
        <v>0</v>
      </c>
      <c r="O2274" s="85">
        <f>STATS1003B!O2278/1000</f>
        <v>0</v>
      </c>
      <c r="P2274" s="85">
        <f>STATS1003B!P2278/1000</f>
        <v>0</v>
      </c>
      <c r="Q2274" s="85">
        <f>STATS1003B!Q2278/1000</f>
        <v>2924.63</v>
      </c>
      <c r="R2274" s="85">
        <f>STATS1003B!R2278/1000</f>
        <v>0</v>
      </c>
      <c r="S2274" s="85">
        <f>STATS1003B!S2278/1000</f>
        <v>0</v>
      </c>
      <c r="T2274" s="85">
        <f>STATS1003B!T2278/1000</f>
        <v>0</v>
      </c>
      <c r="U2274" s="85">
        <f>STATS1003B!U2278/1000</f>
        <v>0</v>
      </c>
      <c r="V2274" s="85">
        <f>STATS1003B!V2278/1000</f>
        <v>0</v>
      </c>
      <c r="W2274" s="85">
        <f>STATS1003B!W2278/1000</f>
        <v>0</v>
      </c>
      <c r="X2274" s="85">
        <f t="shared" si="244"/>
        <v>2924.63</v>
      </c>
      <c r="Y2274" s="85">
        <f>STATS1003B!Y2278/1000</f>
        <v>0</v>
      </c>
      <c r="Z2274" s="85">
        <f t="shared" si="249"/>
        <v>0</v>
      </c>
      <c r="AA2274" s="69">
        <f>STATS1003B!AA2278/1000</f>
        <v>2924.63</v>
      </c>
      <c r="AB2274" s="69">
        <f>STATS1003B!AB2278/1000</f>
        <v>0</v>
      </c>
    </row>
    <row r="2275" spans="1:28" hidden="1" x14ac:dyDescent="0.3">
      <c r="A2275" s="117"/>
      <c r="C2275" s="68" t="s">
        <v>535</v>
      </c>
      <c r="D2275" s="145" t="s">
        <v>108</v>
      </c>
      <c r="E2275" s="85">
        <f>STATS1003B!E2279/1000</f>
        <v>3032.9879999999998</v>
      </c>
      <c r="F2275" s="85">
        <f>STATS1003B!F2279/1000</f>
        <v>3032.9879999999998</v>
      </c>
      <c r="G2275" s="85">
        <f>STATS1003B!G2279/1000</f>
        <v>0</v>
      </c>
      <c r="H2275" s="85">
        <f>STATS1003B!H2279/1000</f>
        <v>3032.9879999999998</v>
      </c>
      <c r="I2275" s="85">
        <f>STATS1003B!I2279/1000</f>
        <v>0</v>
      </c>
      <c r="J2275" s="85">
        <f>STATS1003B!J2279/1000</f>
        <v>3032.9879999999998</v>
      </c>
      <c r="K2275" s="85">
        <f>STATS1003B!K2279/1000</f>
        <v>0</v>
      </c>
      <c r="L2275" s="85">
        <f>STATS1003B!L2279/1000</f>
        <v>0</v>
      </c>
      <c r="M2275" s="85">
        <f>STATS1003B!M2279/1000</f>
        <v>3032.9879999999998</v>
      </c>
      <c r="N2275" s="85">
        <f>STATS1003B!N2279/1000</f>
        <v>0</v>
      </c>
      <c r="O2275" s="85">
        <f>STATS1003B!O2279/1000</f>
        <v>0</v>
      </c>
      <c r="P2275" s="85">
        <f>STATS1003B!P2279/1000</f>
        <v>0</v>
      </c>
      <c r="Q2275" s="85">
        <f>STATS1003B!Q2279/1000</f>
        <v>3032.9879999999998</v>
      </c>
      <c r="R2275" s="85">
        <f>STATS1003B!R2279/1000</f>
        <v>0</v>
      </c>
      <c r="S2275" s="85">
        <f>STATS1003B!S2279/1000</f>
        <v>0</v>
      </c>
      <c r="T2275" s="85">
        <f>STATS1003B!T2279/1000</f>
        <v>0</v>
      </c>
      <c r="U2275" s="85">
        <f>STATS1003B!U2279/1000</f>
        <v>0</v>
      </c>
      <c r="V2275" s="85">
        <f>STATS1003B!V2279/1000</f>
        <v>0</v>
      </c>
      <c r="W2275" s="85">
        <f>STATS1003B!W2279/1000</f>
        <v>0</v>
      </c>
      <c r="X2275" s="85">
        <f t="shared" si="244"/>
        <v>3032.9879999999998</v>
      </c>
      <c r="Y2275" s="85">
        <f>STATS1003B!Y2279/1000</f>
        <v>0</v>
      </c>
      <c r="Z2275" s="85">
        <f t="shared" si="249"/>
        <v>0</v>
      </c>
      <c r="AA2275" s="69">
        <f>STATS1003B!AA2279/1000</f>
        <v>3032.9879999999998</v>
      </c>
      <c r="AB2275" s="69">
        <f>STATS1003B!AB2279/1000</f>
        <v>0</v>
      </c>
    </row>
    <row r="2276" spans="1:28" hidden="1" x14ac:dyDescent="0.3">
      <c r="A2276" s="117"/>
      <c r="C2276" s="68" t="s">
        <v>833</v>
      </c>
      <c r="D2276" s="145" t="s">
        <v>108</v>
      </c>
      <c r="E2276" s="85">
        <f>STATS1003B!E2280/1000</f>
        <v>500</v>
      </c>
      <c r="F2276" s="85">
        <f>STATS1003B!F2280/1000</f>
        <v>500</v>
      </c>
      <c r="G2276" s="85">
        <f>STATS1003B!G2280/1000</f>
        <v>0</v>
      </c>
      <c r="H2276" s="85">
        <f>STATS1003B!H2280/1000</f>
        <v>500</v>
      </c>
      <c r="I2276" s="85">
        <f>STATS1003B!I2280/1000</f>
        <v>0</v>
      </c>
      <c r="J2276" s="85">
        <f>STATS1003B!J2280/1000</f>
        <v>500</v>
      </c>
      <c r="K2276" s="85">
        <f>STATS1003B!K2280/1000</f>
        <v>0</v>
      </c>
      <c r="L2276" s="85">
        <f>STATS1003B!L2280/1000</f>
        <v>0</v>
      </c>
      <c r="M2276" s="85">
        <f>STATS1003B!M2280/1000</f>
        <v>500</v>
      </c>
      <c r="N2276" s="85">
        <f>STATS1003B!N2280/1000</f>
        <v>0</v>
      </c>
      <c r="O2276" s="85">
        <f>STATS1003B!O2280/1000</f>
        <v>0</v>
      </c>
      <c r="P2276" s="85">
        <f>STATS1003B!P2280/1000</f>
        <v>0</v>
      </c>
      <c r="Q2276" s="85">
        <f>STATS1003B!Q2280/1000</f>
        <v>500</v>
      </c>
      <c r="R2276" s="85">
        <f>STATS1003B!R2280/1000</f>
        <v>0</v>
      </c>
      <c r="S2276" s="85">
        <f>STATS1003B!S2280/1000</f>
        <v>0</v>
      </c>
      <c r="T2276" s="85">
        <f>STATS1003B!T2280/1000</f>
        <v>0</v>
      </c>
      <c r="U2276" s="85">
        <f>STATS1003B!U2280/1000</f>
        <v>0</v>
      </c>
      <c r="V2276" s="85">
        <f>STATS1003B!V2280/1000</f>
        <v>0</v>
      </c>
      <c r="W2276" s="85">
        <f>STATS1003B!W2280/1000</f>
        <v>0</v>
      </c>
      <c r="X2276" s="85">
        <f t="shared" si="244"/>
        <v>500</v>
      </c>
      <c r="Y2276" s="85">
        <f>STATS1003B!Y2280/1000</f>
        <v>0</v>
      </c>
      <c r="Z2276" s="85">
        <f t="shared" si="249"/>
        <v>0</v>
      </c>
      <c r="AA2276" s="69">
        <f>STATS1003B!AA2280/1000</f>
        <v>500</v>
      </c>
      <c r="AB2276" s="69">
        <f>STATS1003B!AB2280/1000</f>
        <v>0</v>
      </c>
    </row>
    <row r="2277" spans="1:28" hidden="1" x14ac:dyDescent="0.3">
      <c r="A2277" s="117"/>
      <c r="C2277" s="68" t="s">
        <v>535</v>
      </c>
      <c r="D2277" s="145" t="s">
        <v>58</v>
      </c>
      <c r="E2277" s="85">
        <f>STATS1003B!E2281/1000</f>
        <v>3511.2649999999999</v>
      </c>
      <c r="F2277" s="85">
        <f>STATS1003B!F2281/1000</f>
        <v>3511.2649999999999</v>
      </c>
      <c r="G2277" s="85">
        <f>STATS1003B!G2281/1000</f>
        <v>0</v>
      </c>
      <c r="H2277" s="85">
        <f>STATS1003B!H2281/1000</f>
        <v>3511.2649999999999</v>
      </c>
      <c r="I2277" s="85">
        <f>STATS1003B!I2281/1000</f>
        <v>0</v>
      </c>
      <c r="J2277" s="85">
        <f>STATS1003B!J2281/1000</f>
        <v>3511.2649999999999</v>
      </c>
      <c r="K2277" s="85">
        <f>STATS1003B!K2281/1000</f>
        <v>0</v>
      </c>
      <c r="L2277" s="85">
        <f>STATS1003B!L2281/1000</f>
        <v>0</v>
      </c>
      <c r="M2277" s="85">
        <f>STATS1003B!M2281/1000</f>
        <v>3511.2649999999999</v>
      </c>
      <c r="N2277" s="85">
        <f>STATS1003B!N2281/1000</f>
        <v>0</v>
      </c>
      <c r="O2277" s="85">
        <f>STATS1003B!O2281/1000</f>
        <v>0</v>
      </c>
      <c r="P2277" s="85">
        <f>STATS1003B!P2281/1000</f>
        <v>0</v>
      </c>
      <c r="Q2277" s="85">
        <f>STATS1003B!Q2281/1000</f>
        <v>3511.2649999999999</v>
      </c>
      <c r="R2277" s="85">
        <f>STATS1003B!R2281/1000</f>
        <v>0</v>
      </c>
      <c r="S2277" s="85">
        <f>STATS1003B!S2281/1000</f>
        <v>0</v>
      </c>
      <c r="T2277" s="85">
        <f>STATS1003B!T2281/1000</f>
        <v>0</v>
      </c>
      <c r="U2277" s="85">
        <f>STATS1003B!U2281/1000</f>
        <v>0</v>
      </c>
      <c r="V2277" s="85">
        <f>STATS1003B!V2281/1000</f>
        <v>0</v>
      </c>
      <c r="W2277" s="85">
        <f>STATS1003B!W2281/1000</f>
        <v>0</v>
      </c>
      <c r="X2277" s="85">
        <f t="shared" si="244"/>
        <v>3511.2649999999999</v>
      </c>
      <c r="Y2277" s="85">
        <f>STATS1003B!Y2281/1000</f>
        <v>0</v>
      </c>
      <c r="Z2277" s="85">
        <f t="shared" si="249"/>
        <v>0</v>
      </c>
      <c r="AA2277" s="69">
        <f>STATS1003B!AA2281/1000</f>
        <v>3511.2649999999999</v>
      </c>
      <c r="AB2277" s="69">
        <f>STATS1003B!AB2281/1000</f>
        <v>0</v>
      </c>
    </row>
    <row r="2278" spans="1:28" hidden="1" x14ac:dyDescent="0.3">
      <c r="A2278" s="117"/>
      <c r="C2278" s="68" t="s">
        <v>535</v>
      </c>
      <c r="D2278" s="145" t="s">
        <v>60</v>
      </c>
      <c r="E2278" s="85">
        <f>STATS1003B!E2282/1000</f>
        <v>5088.5806700000003</v>
      </c>
      <c r="F2278" s="85">
        <f>STATS1003B!F2282/1000</f>
        <v>5088.5806700000003</v>
      </c>
      <c r="G2278" s="85">
        <f>STATS1003B!G2282/1000</f>
        <v>0</v>
      </c>
      <c r="H2278" s="85">
        <f>STATS1003B!H2282/1000</f>
        <v>5088.5806700000003</v>
      </c>
      <c r="I2278" s="85">
        <f>STATS1003B!I2282/1000</f>
        <v>0</v>
      </c>
      <c r="J2278" s="85">
        <f>STATS1003B!J2282/1000</f>
        <v>5088.5806700000003</v>
      </c>
      <c r="K2278" s="85">
        <f>STATS1003B!K2282/1000</f>
        <v>0</v>
      </c>
      <c r="L2278" s="85">
        <f>STATS1003B!L2282/1000</f>
        <v>0</v>
      </c>
      <c r="M2278" s="85">
        <f>STATS1003B!M2282/1000</f>
        <v>5088.5806700000003</v>
      </c>
      <c r="N2278" s="85">
        <f>STATS1003B!N2282/1000</f>
        <v>0</v>
      </c>
      <c r="O2278" s="85">
        <f>STATS1003B!O2282/1000</f>
        <v>0</v>
      </c>
      <c r="P2278" s="85">
        <f>STATS1003B!P2282/1000</f>
        <v>0</v>
      </c>
      <c r="Q2278" s="85">
        <f>STATS1003B!Q2282/1000</f>
        <v>5088.5806700000003</v>
      </c>
      <c r="R2278" s="85">
        <f>STATS1003B!R2282/1000</f>
        <v>0</v>
      </c>
      <c r="S2278" s="85">
        <f>STATS1003B!S2282/1000</f>
        <v>0</v>
      </c>
      <c r="T2278" s="85">
        <f>STATS1003B!T2282/1000</f>
        <v>0</v>
      </c>
      <c r="U2278" s="85">
        <f>STATS1003B!U2282/1000</f>
        <v>0</v>
      </c>
      <c r="V2278" s="85">
        <f>STATS1003B!V2282/1000</f>
        <v>0</v>
      </c>
      <c r="W2278" s="85">
        <f>STATS1003B!W2282/1000</f>
        <v>0</v>
      </c>
      <c r="X2278" s="85">
        <f t="shared" si="244"/>
        <v>5088.5806700000003</v>
      </c>
      <c r="Y2278" s="85">
        <f>STATS1003B!Y2282/1000</f>
        <v>0</v>
      </c>
      <c r="Z2278" s="85">
        <f t="shared" si="249"/>
        <v>0</v>
      </c>
      <c r="AA2278" s="69">
        <f>STATS1003B!AA2282/1000</f>
        <v>5088.5806700000003</v>
      </c>
      <c r="AB2278" s="69">
        <f>STATS1003B!AB2282/1000</f>
        <v>0</v>
      </c>
    </row>
    <row r="2279" spans="1:28" hidden="1" x14ac:dyDescent="0.3">
      <c r="A2279" s="117"/>
      <c r="C2279" s="68" t="s">
        <v>535</v>
      </c>
      <c r="D2279" s="145" t="s">
        <v>73</v>
      </c>
      <c r="E2279" s="85">
        <f>STATS1003B!E2283/1000</f>
        <v>6616</v>
      </c>
      <c r="F2279" s="85">
        <f>STATS1003B!F2283/1000</f>
        <v>6616</v>
      </c>
      <c r="G2279" s="85">
        <f>STATS1003B!G2283/1000</f>
        <v>0</v>
      </c>
      <c r="H2279" s="85">
        <f>STATS1003B!H2283/1000</f>
        <v>6616</v>
      </c>
      <c r="I2279" s="85">
        <f>STATS1003B!I2283/1000</f>
        <v>0</v>
      </c>
      <c r="J2279" s="85">
        <f>STATS1003B!J2283/1000</f>
        <v>6616</v>
      </c>
      <c r="K2279" s="85">
        <f>STATS1003B!K2283/1000</f>
        <v>0</v>
      </c>
      <c r="L2279" s="85">
        <f>STATS1003B!L2283/1000</f>
        <v>0</v>
      </c>
      <c r="M2279" s="85">
        <f>STATS1003B!M2283/1000</f>
        <v>6616</v>
      </c>
      <c r="N2279" s="85">
        <f>STATS1003B!N2283/1000</f>
        <v>0</v>
      </c>
      <c r="O2279" s="85">
        <f>STATS1003B!O2283/1000</f>
        <v>0</v>
      </c>
      <c r="P2279" s="85">
        <f>STATS1003B!P2283/1000</f>
        <v>0</v>
      </c>
      <c r="Q2279" s="85">
        <f>STATS1003B!Q2283/1000</f>
        <v>6616</v>
      </c>
      <c r="R2279" s="85">
        <f>STATS1003B!R2283/1000</f>
        <v>0</v>
      </c>
      <c r="S2279" s="85">
        <f>STATS1003B!S2283/1000</f>
        <v>0</v>
      </c>
      <c r="T2279" s="85">
        <f>STATS1003B!T2283/1000</f>
        <v>0</v>
      </c>
      <c r="U2279" s="85">
        <f>STATS1003B!U2283/1000</f>
        <v>0</v>
      </c>
      <c r="V2279" s="85">
        <f>STATS1003B!V2283/1000</f>
        <v>0</v>
      </c>
      <c r="W2279" s="85">
        <f>STATS1003B!W2283/1000</f>
        <v>0</v>
      </c>
      <c r="X2279" s="85">
        <f t="shared" si="244"/>
        <v>6616</v>
      </c>
      <c r="Y2279" s="85">
        <f>STATS1003B!Y2283/1000</f>
        <v>0</v>
      </c>
      <c r="Z2279" s="85">
        <f t="shared" si="249"/>
        <v>0</v>
      </c>
      <c r="AA2279" s="69">
        <f>STATS1003B!AA2283/1000</f>
        <v>6616</v>
      </c>
      <c r="AB2279" s="69">
        <f>STATS1003B!AB2283/1000</f>
        <v>0</v>
      </c>
    </row>
    <row r="2280" spans="1:28" hidden="1" x14ac:dyDescent="0.3">
      <c r="A2280" s="117"/>
      <c r="C2280" s="93" t="s">
        <v>898</v>
      </c>
      <c r="D2280" s="90" t="s">
        <v>1072</v>
      </c>
      <c r="E2280" s="85">
        <f>STATS1003B!E2284/1000</f>
        <v>8057.8075199999994</v>
      </c>
      <c r="F2280" s="85">
        <f>STATS1003B!F2284/1000</f>
        <v>8057.8075199999994</v>
      </c>
      <c r="G2280" s="85">
        <f>STATS1003B!G2284/1000</f>
        <v>0</v>
      </c>
      <c r="H2280" s="85">
        <f>STATS1003B!H2284/1000</f>
        <v>8057.8075199999994</v>
      </c>
      <c r="I2280" s="85">
        <f>STATS1003B!I2284/1000</f>
        <v>0</v>
      </c>
      <c r="J2280" s="85">
        <f>STATS1003B!J2284/1000</f>
        <v>8057.8075199999994</v>
      </c>
      <c r="K2280" s="85">
        <f>STATS1003B!K2284/1000</f>
        <v>0</v>
      </c>
      <c r="L2280" s="85">
        <f>STATS1003B!L2284/1000</f>
        <v>0</v>
      </c>
      <c r="M2280" s="85">
        <f>STATS1003B!M2284/1000</f>
        <v>8057.8075199999994</v>
      </c>
      <c r="N2280" s="85">
        <f>STATS1003B!N2284/1000</f>
        <v>0</v>
      </c>
      <c r="O2280" s="85">
        <f>STATS1003B!O2284/1000</f>
        <v>0</v>
      </c>
      <c r="P2280" s="85">
        <f>STATS1003B!P2284/1000</f>
        <v>0</v>
      </c>
      <c r="Q2280" s="85">
        <f>STATS1003B!Q2284/1000</f>
        <v>0</v>
      </c>
      <c r="R2280" s="85">
        <f>STATS1003B!R2284/1000</f>
        <v>0</v>
      </c>
      <c r="S2280" s="85">
        <f>STATS1003B!S2284/1000</f>
        <v>0</v>
      </c>
      <c r="T2280" s="85">
        <f>STATS1003B!T2284/1000</f>
        <v>0</v>
      </c>
      <c r="U2280" s="85">
        <f>STATS1003B!U2284/1000</f>
        <v>0</v>
      </c>
      <c r="V2280" s="85">
        <f>STATS1003B!V2284/1000</f>
        <v>0</v>
      </c>
      <c r="W2280" s="85">
        <f>STATS1003B!W2284/1000</f>
        <v>0</v>
      </c>
      <c r="X2280" s="85">
        <f t="shared" si="244"/>
        <v>8057.8075199999994</v>
      </c>
      <c r="Y2280" s="85">
        <f>STATS1003B!Y2284/1000</f>
        <v>0</v>
      </c>
      <c r="Z2280" s="85">
        <f t="shared" si="249"/>
        <v>0</v>
      </c>
      <c r="AA2280" s="69">
        <f>STATS1003B!AA2284/1000</f>
        <v>8057.8075199999994</v>
      </c>
      <c r="AB2280" s="69">
        <f>STATS1003B!AB2284/1000</f>
        <v>0</v>
      </c>
    </row>
    <row r="2281" spans="1:28" hidden="1" x14ac:dyDescent="0.3">
      <c r="A2281" s="117"/>
      <c r="C2281" s="93" t="s">
        <v>933</v>
      </c>
      <c r="D2281" s="90" t="s">
        <v>1072</v>
      </c>
      <c r="E2281" s="85">
        <f>STATS1003B!E2285/1000</f>
        <v>3296.2596899999999</v>
      </c>
      <c r="F2281" s="85">
        <f>STATS1003B!F2285/1000</f>
        <v>3296.2596899999999</v>
      </c>
      <c r="G2281" s="85">
        <f>STATS1003B!G2285/1000</f>
        <v>0</v>
      </c>
      <c r="H2281" s="85">
        <f>STATS1003B!H2285/1000</f>
        <v>3296.2596899999999</v>
      </c>
      <c r="I2281" s="85">
        <f>STATS1003B!I2285/1000</f>
        <v>0</v>
      </c>
      <c r="J2281" s="85">
        <f>STATS1003B!J2285/1000</f>
        <v>0</v>
      </c>
      <c r="K2281" s="85">
        <f>STATS1003B!K2285/1000</f>
        <v>0</v>
      </c>
      <c r="L2281" s="85">
        <f>STATS1003B!L2285/1000</f>
        <v>0</v>
      </c>
      <c r="M2281" s="85">
        <f>STATS1003B!M2285/1000</f>
        <v>3296.2596899999999</v>
      </c>
      <c r="N2281" s="85">
        <f>STATS1003B!N2285/1000</f>
        <v>0</v>
      </c>
      <c r="O2281" s="85">
        <f>STATS1003B!O2285/1000</f>
        <v>0</v>
      </c>
      <c r="P2281" s="85">
        <f>STATS1003B!P2285/1000</f>
        <v>0</v>
      </c>
      <c r="Q2281" s="85">
        <f>STATS1003B!Q2285/1000</f>
        <v>0</v>
      </c>
      <c r="R2281" s="85">
        <f>STATS1003B!R2285/1000</f>
        <v>0</v>
      </c>
      <c r="S2281" s="85">
        <f>STATS1003B!S2285/1000</f>
        <v>0</v>
      </c>
      <c r="T2281" s="85">
        <f>STATS1003B!T2285/1000</f>
        <v>0</v>
      </c>
      <c r="U2281" s="85">
        <f>STATS1003B!U2285/1000</f>
        <v>0</v>
      </c>
      <c r="V2281" s="85">
        <f>STATS1003B!V2285/1000</f>
        <v>0</v>
      </c>
      <c r="W2281" s="85">
        <f>STATS1003B!W2285/1000</f>
        <v>0</v>
      </c>
      <c r="X2281" s="85">
        <f t="shared" si="244"/>
        <v>3296.2596899999999</v>
      </c>
      <c r="Y2281" s="85">
        <f>STATS1003B!Y2285/1000</f>
        <v>0</v>
      </c>
      <c r="Z2281" s="85">
        <f t="shared" si="249"/>
        <v>0</v>
      </c>
      <c r="AA2281" s="69">
        <f>STATS1003B!AA2285/1000</f>
        <v>3296.2596899999999</v>
      </c>
      <c r="AB2281" s="69">
        <f>STATS1003B!AB2285/1000</f>
        <v>0</v>
      </c>
    </row>
    <row r="2282" spans="1:28" hidden="1" x14ac:dyDescent="0.3">
      <c r="A2282" s="117"/>
      <c r="C2282" s="93" t="s">
        <v>1083</v>
      </c>
      <c r="D2282" s="90" t="s">
        <v>1072</v>
      </c>
      <c r="E2282" s="85">
        <f>STATS1003B!E2286/1000</f>
        <v>2971.9355099999998</v>
      </c>
      <c r="F2282" s="85">
        <f>STATS1003B!F2286/1000</f>
        <v>2971.9355099999998</v>
      </c>
      <c r="G2282" s="85">
        <f>STATS1003B!G2286/1000</f>
        <v>0</v>
      </c>
      <c r="H2282" s="85">
        <f>STATS1003B!H2286/1000</f>
        <v>2971.9355099999998</v>
      </c>
      <c r="I2282" s="85">
        <f>STATS1003B!I2286/1000</f>
        <v>0</v>
      </c>
      <c r="J2282" s="85">
        <f>STATS1003B!J2286/1000</f>
        <v>0</v>
      </c>
      <c r="K2282" s="85">
        <f>STATS1003B!K2286/1000</f>
        <v>0</v>
      </c>
      <c r="L2282" s="85">
        <f>STATS1003B!L2286/1000</f>
        <v>0</v>
      </c>
      <c r="M2282" s="85">
        <f>STATS1003B!M2286/1000</f>
        <v>2971.9355099999998</v>
      </c>
      <c r="N2282" s="85">
        <f>STATS1003B!N2286/1000</f>
        <v>0</v>
      </c>
      <c r="O2282" s="85">
        <f>STATS1003B!O2286/1000</f>
        <v>0</v>
      </c>
      <c r="P2282" s="85">
        <f>STATS1003B!P2286/1000</f>
        <v>0</v>
      </c>
      <c r="Q2282" s="85">
        <f>STATS1003B!Q2286/1000</f>
        <v>0</v>
      </c>
      <c r="R2282" s="85">
        <f>STATS1003B!R2286/1000</f>
        <v>0</v>
      </c>
      <c r="S2282" s="85">
        <f>STATS1003B!S2286/1000</f>
        <v>0</v>
      </c>
      <c r="T2282" s="85">
        <f>STATS1003B!T2286/1000</f>
        <v>0</v>
      </c>
      <c r="U2282" s="85">
        <f>STATS1003B!U2286/1000</f>
        <v>0</v>
      </c>
      <c r="V2282" s="85">
        <f>STATS1003B!V2286/1000</f>
        <v>0</v>
      </c>
      <c r="W2282" s="85">
        <f>STATS1003B!W2286/1000</f>
        <v>0</v>
      </c>
      <c r="X2282" s="85">
        <f t="shared" si="244"/>
        <v>2971.9355099999998</v>
      </c>
      <c r="Y2282" s="85">
        <f>STATS1003B!Y2286/1000</f>
        <v>0</v>
      </c>
      <c r="Z2282" s="85">
        <f t="shared" si="249"/>
        <v>0</v>
      </c>
      <c r="AA2282" s="69">
        <f>STATS1003B!AA2286/1000</f>
        <v>2971.9355099999998</v>
      </c>
      <c r="AB2282" s="69">
        <f>STATS1003B!AB2286/1000</f>
        <v>0</v>
      </c>
    </row>
    <row r="2283" spans="1:28" hidden="1" x14ac:dyDescent="0.3">
      <c r="A2283" s="117"/>
      <c r="C2283" s="68" t="s">
        <v>1203</v>
      </c>
      <c r="D2283" s="90" t="s">
        <v>1126</v>
      </c>
      <c r="E2283" s="85">
        <f>STATS1003B!E2287/1000</f>
        <v>1423.31817</v>
      </c>
      <c r="F2283" s="85">
        <f>STATS1003B!F2287/1000</f>
        <v>1423.31817</v>
      </c>
      <c r="G2283" s="85">
        <f>STATS1003B!G2287/1000</f>
        <v>0</v>
      </c>
      <c r="H2283" s="85">
        <f>STATS1003B!H2287/1000</f>
        <v>1423.31817</v>
      </c>
      <c r="I2283" s="85">
        <f>STATS1003B!I2287/1000</f>
        <v>0</v>
      </c>
      <c r="J2283" s="85">
        <f>STATS1003B!J2287/1000</f>
        <v>0</v>
      </c>
      <c r="K2283" s="85">
        <f>STATS1003B!K2287/1000</f>
        <v>0</v>
      </c>
      <c r="L2283" s="85">
        <f>STATS1003B!L2287/1000</f>
        <v>0</v>
      </c>
      <c r="M2283" s="85">
        <f>STATS1003B!M2287/1000</f>
        <v>1423.31817</v>
      </c>
      <c r="N2283" s="85">
        <f>STATS1003B!N2287/1000</f>
        <v>0</v>
      </c>
      <c r="O2283" s="85">
        <f>STATS1003B!O2287/1000</f>
        <v>0</v>
      </c>
      <c r="P2283" s="85">
        <f>STATS1003B!P2287/1000</f>
        <v>0</v>
      </c>
      <c r="Q2283" s="85">
        <f>STATS1003B!Q2287/1000</f>
        <v>0</v>
      </c>
      <c r="R2283" s="85">
        <f>STATS1003B!R2287/1000</f>
        <v>0</v>
      </c>
      <c r="S2283" s="85">
        <f>STATS1003B!S2287/1000</f>
        <v>0</v>
      </c>
      <c r="T2283" s="85">
        <f>STATS1003B!T2287/1000</f>
        <v>0</v>
      </c>
      <c r="U2283" s="85">
        <f>STATS1003B!U2287/1000</f>
        <v>0</v>
      </c>
      <c r="V2283" s="85">
        <f>STATS1003B!V2287/1000</f>
        <v>0</v>
      </c>
      <c r="W2283" s="85">
        <f>STATS1003B!W2287/1000</f>
        <v>0</v>
      </c>
      <c r="X2283" s="85">
        <f t="shared" si="244"/>
        <v>1423.31817</v>
      </c>
      <c r="Y2283" s="85">
        <f>STATS1003B!Y2287/1000</f>
        <v>0</v>
      </c>
      <c r="Z2283" s="85">
        <f t="shared" si="249"/>
        <v>0</v>
      </c>
      <c r="AA2283" s="69">
        <f>STATS1003B!AA2287/1000</f>
        <v>1423.31817</v>
      </c>
      <c r="AB2283" s="69">
        <f>STATS1003B!AB2287/1000</f>
        <v>0</v>
      </c>
    </row>
    <row r="2284" spans="1:28" hidden="1" x14ac:dyDescent="0.3">
      <c r="A2284" s="117"/>
      <c r="C2284" s="68" t="s">
        <v>1245</v>
      </c>
      <c r="D2284" s="90" t="s">
        <v>1225</v>
      </c>
      <c r="E2284" s="85">
        <f>STATS1003B!E2288/1000</f>
        <v>2557.7867999999999</v>
      </c>
      <c r="F2284" s="85">
        <f>STATS1003B!F2288/1000</f>
        <v>2557.7867999999999</v>
      </c>
      <c r="G2284" s="85">
        <f>STATS1003B!G2288/1000</f>
        <v>0</v>
      </c>
      <c r="H2284" s="85">
        <f>STATS1003B!H2288/1000</f>
        <v>2557.7867999999999</v>
      </c>
      <c r="I2284" s="85">
        <f>STATS1003B!I2288/1000</f>
        <v>0</v>
      </c>
      <c r="J2284" s="85">
        <f>STATS1003B!J2288/1000</f>
        <v>0</v>
      </c>
      <c r="K2284" s="85">
        <f>STATS1003B!K2288/1000</f>
        <v>0</v>
      </c>
      <c r="L2284" s="85">
        <f>STATS1003B!L2288/1000</f>
        <v>0</v>
      </c>
      <c r="M2284" s="85">
        <f>STATS1003B!M2288/1000</f>
        <v>2557.7867999999999</v>
      </c>
      <c r="N2284" s="85">
        <f>STATS1003B!N2288/1000</f>
        <v>0</v>
      </c>
      <c r="O2284" s="85">
        <f>STATS1003B!O2288/1000</f>
        <v>0</v>
      </c>
      <c r="P2284" s="85">
        <f>STATS1003B!P2288/1000</f>
        <v>0</v>
      </c>
      <c r="Q2284" s="85">
        <f>STATS1003B!Q2288/1000</f>
        <v>0</v>
      </c>
      <c r="R2284" s="85">
        <f>STATS1003B!R2288/1000</f>
        <v>0</v>
      </c>
      <c r="S2284" s="85">
        <f>STATS1003B!S2288/1000</f>
        <v>0</v>
      </c>
      <c r="T2284" s="85">
        <f>STATS1003B!T2288/1000</f>
        <v>0</v>
      </c>
      <c r="U2284" s="85">
        <f>STATS1003B!U2288/1000</f>
        <v>0</v>
      </c>
      <c r="V2284" s="85">
        <f>STATS1003B!V2288/1000</f>
        <v>0</v>
      </c>
      <c r="W2284" s="85">
        <f>STATS1003B!W2288/1000</f>
        <v>0</v>
      </c>
      <c r="X2284" s="85">
        <f t="shared" si="244"/>
        <v>2557.7867999999999</v>
      </c>
      <c r="Y2284" s="85">
        <f>STATS1003B!Y2288/1000</f>
        <v>0</v>
      </c>
      <c r="Z2284" s="85">
        <f t="shared" si="249"/>
        <v>0</v>
      </c>
      <c r="AA2284" s="69">
        <f>STATS1003B!AA2288/1000</f>
        <v>2557.7867999999999</v>
      </c>
      <c r="AB2284" s="69">
        <f>STATS1003B!AB2288/1000</f>
        <v>0</v>
      </c>
    </row>
    <row r="2285" spans="1:28" hidden="1" x14ac:dyDescent="0.3">
      <c r="A2285" s="117"/>
      <c r="C2285" s="68" t="s">
        <v>569</v>
      </c>
      <c r="E2285" s="85">
        <f>STATS1003B!E2289/1000</f>
        <v>634.73368000000005</v>
      </c>
      <c r="F2285" s="85">
        <f>STATS1003B!F2289/1000</f>
        <v>634.73368000000005</v>
      </c>
      <c r="G2285" s="85">
        <f>STATS1003B!G2289/1000</f>
        <v>0</v>
      </c>
      <c r="H2285" s="85">
        <f>STATS1003B!H2289/1000</f>
        <v>634.73368000000005</v>
      </c>
      <c r="I2285" s="85">
        <f>STATS1003B!I2289/1000</f>
        <v>0</v>
      </c>
      <c r="J2285" s="85">
        <f>STATS1003B!J2289/1000</f>
        <v>634.73368000000005</v>
      </c>
      <c r="K2285" s="85">
        <f>STATS1003B!K2289/1000</f>
        <v>0</v>
      </c>
      <c r="L2285" s="85">
        <f>STATS1003B!L2289/1000</f>
        <v>0</v>
      </c>
      <c r="M2285" s="85">
        <f>STATS1003B!M2289/1000</f>
        <v>634.73368000000005</v>
      </c>
      <c r="N2285" s="85">
        <f>STATS1003B!N2289/1000</f>
        <v>0</v>
      </c>
      <c r="O2285" s="85">
        <f>STATS1003B!O2289/1000</f>
        <v>0</v>
      </c>
      <c r="P2285" s="85">
        <f>STATS1003B!P2289/1000</f>
        <v>0</v>
      </c>
      <c r="Q2285" s="85">
        <f>STATS1003B!Q2289/1000</f>
        <v>634.73368000000005</v>
      </c>
      <c r="R2285" s="85">
        <f>STATS1003B!R2289/1000</f>
        <v>0</v>
      </c>
      <c r="S2285" s="85">
        <f>STATS1003B!S2289/1000</f>
        <v>0</v>
      </c>
      <c r="T2285" s="85">
        <f>STATS1003B!T2289/1000</f>
        <v>0</v>
      </c>
      <c r="U2285" s="85">
        <f>STATS1003B!U2289/1000</f>
        <v>0</v>
      </c>
      <c r="V2285" s="85">
        <f>STATS1003B!V2289/1000</f>
        <v>0</v>
      </c>
      <c r="W2285" s="85">
        <f>STATS1003B!W2289/1000</f>
        <v>0</v>
      </c>
      <c r="X2285" s="85">
        <f t="shared" si="244"/>
        <v>634.73368000000005</v>
      </c>
      <c r="Y2285" s="85">
        <f>STATS1003B!Y2289/1000</f>
        <v>0</v>
      </c>
      <c r="Z2285" s="85">
        <f t="shared" si="249"/>
        <v>0</v>
      </c>
      <c r="AA2285" s="69">
        <f>STATS1003B!AA2289/1000</f>
        <v>634.73368000000005</v>
      </c>
      <c r="AB2285" s="69">
        <f>STATS1003B!AB2289/1000</f>
        <v>0</v>
      </c>
    </row>
    <row r="2286" spans="1:28" hidden="1" x14ac:dyDescent="0.3">
      <c r="A2286" s="117"/>
      <c r="C2286" s="68" t="s">
        <v>834</v>
      </c>
      <c r="E2286" s="85">
        <f>STATS1003B!E2290/1000</f>
        <v>1918.9849999999999</v>
      </c>
      <c r="F2286" s="85">
        <f>STATS1003B!F2290/1000</f>
        <v>1918.9849999999999</v>
      </c>
      <c r="G2286" s="85">
        <f>STATS1003B!G2290/1000</f>
        <v>0</v>
      </c>
      <c r="H2286" s="85">
        <f>STATS1003B!H2290/1000</f>
        <v>1918.9849999999999</v>
      </c>
      <c r="I2286" s="85">
        <f>STATS1003B!I2290/1000</f>
        <v>0</v>
      </c>
      <c r="J2286" s="85">
        <f>STATS1003B!J2290/1000</f>
        <v>1918.9849999999999</v>
      </c>
      <c r="K2286" s="85">
        <f>STATS1003B!K2290/1000</f>
        <v>0</v>
      </c>
      <c r="L2286" s="85">
        <f>STATS1003B!L2290/1000</f>
        <v>0</v>
      </c>
      <c r="M2286" s="85">
        <f>STATS1003B!M2290/1000</f>
        <v>1918.9849999999999</v>
      </c>
      <c r="N2286" s="85">
        <f>STATS1003B!N2290/1000</f>
        <v>0</v>
      </c>
      <c r="O2286" s="85">
        <f>STATS1003B!O2290/1000</f>
        <v>0</v>
      </c>
      <c r="P2286" s="85">
        <f>STATS1003B!P2290/1000</f>
        <v>0</v>
      </c>
      <c r="Q2286" s="85">
        <f>STATS1003B!Q2290/1000</f>
        <v>1918.9849999999999</v>
      </c>
      <c r="R2286" s="85">
        <f>STATS1003B!R2290/1000</f>
        <v>0</v>
      </c>
      <c r="S2286" s="85">
        <f>STATS1003B!S2290/1000</f>
        <v>0</v>
      </c>
      <c r="T2286" s="85">
        <f>STATS1003B!T2290/1000</f>
        <v>0</v>
      </c>
      <c r="U2286" s="85">
        <f>STATS1003B!U2290/1000</f>
        <v>0</v>
      </c>
      <c r="V2286" s="85">
        <f>STATS1003B!V2290/1000</f>
        <v>0</v>
      </c>
      <c r="W2286" s="85">
        <f>STATS1003B!W2290/1000</f>
        <v>0</v>
      </c>
      <c r="X2286" s="85">
        <f t="shared" si="244"/>
        <v>1918.9849999999999</v>
      </c>
      <c r="Y2286" s="85">
        <f>STATS1003B!Y2290/1000</f>
        <v>0</v>
      </c>
      <c r="Z2286" s="85">
        <f t="shared" si="249"/>
        <v>0</v>
      </c>
      <c r="AA2286" s="69">
        <f>STATS1003B!AA2290/1000</f>
        <v>1918.9849999999999</v>
      </c>
      <c r="AB2286" s="69">
        <f>STATS1003B!AB2290/1000</f>
        <v>0</v>
      </c>
    </row>
    <row r="2287" spans="1:28" hidden="1" x14ac:dyDescent="0.3">
      <c r="A2287" s="117"/>
      <c r="C2287" s="68" t="s">
        <v>835</v>
      </c>
      <c r="E2287" s="85">
        <f>STATS1003B!E2291/1000</f>
        <v>2608.92</v>
      </c>
      <c r="F2287" s="85">
        <f>STATS1003B!F2291/1000</f>
        <v>2608.92</v>
      </c>
      <c r="G2287" s="85">
        <f>STATS1003B!G2291/1000</f>
        <v>0</v>
      </c>
      <c r="H2287" s="85">
        <f>STATS1003B!H2291/1000</f>
        <v>2608.92</v>
      </c>
      <c r="I2287" s="85">
        <f>STATS1003B!I2291/1000</f>
        <v>0</v>
      </c>
      <c r="J2287" s="85">
        <f>STATS1003B!J2291/1000</f>
        <v>2608.92</v>
      </c>
      <c r="K2287" s="85">
        <f>STATS1003B!K2291/1000</f>
        <v>0</v>
      </c>
      <c r="L2287" s="85">
        <f>STATS1003B!L2291/1000</f>
        <v>0</v>
      </c>
      <c r="M2287" s="85">
        <f>STATS1003B!M2291/1000</f>
        <v>2608.92</v>
      </c>
      <c r="N2287" s="85">
        <f>STATS1003B!N2291/1000</f>
        <v>0</v>
      </c>
      <c r="O2287" s="85">
        <f>STATS1003B!O2291/1000</f>
        <v>0</v>
      </c>
      <c r="P2287" s="85">
        <f>STATS1003B!P2291/1000</f>
        <v>0</v>
      </c>
      <c r="Q2287" s="85">
        <f>STATS1003B!Q2291/1000</f>
        <v>2608.92</v>
      </c>
      <c r="R2287" s="85">
        <f>STATS1003B!R2291/1000</f>
        <v>0</v>
      </c>
      <c r="S2287" s="85">
        <f>STATS1003B!S2291/1000</f>
        <v>0</v>
      </c>
      <c r="T2287" s="85">
        <f>STATS1003B!T2291/1000</f>
        <v>0</v>
      </c>
      <c r="U2287" s="85">
        <f>STATS1003B!U2291/1000</f>
        <v>0</v>
      </c>
      <c r="V2287" s="85">
        <f>STATS1003B!V2291/1000</f>
        <v>0</v>
      </c>
      <c r="W2287" s="85">
        <f>STATS1003B!W2291/1000</f>
        <v>0</v>
      </c>
      <c r="X2287" s="85">
        <f t="shared" si="244"/>
        <v>2608.92</v>
      </c>
      <c r="Y2287" s="85">
        <f>STATS1003B!Y2291/1000</f>
        <v>0</v>
      </c>
      <c r="Z2287" s="85">
        <f t="shared" si="249"/>
        <v>0</v>
      </c>
      <c r="AA2287" s="69">
        <f>STATS1003B!AA2291/1000</f>
        <v>2608.92</v>
      </c>
      <c r="AB2287" s="69">
        <f>STATS1003B!AB2291/1000</f>
        <v>0</v>
      </c>
    </row>
    <row r="2288" spans="1:28" hidden="1" x14ac:dyDescent="0.3">
      <c r="A2288" s="117"/>
      <c r="C2288" s="68" t="s">
        <v>836</v>
      </c>
      <c r="E2288" s="85">
        <f>STATS1003B!E2292/1000</f>
        <v>3396.45</v>
      </c>
      <c r="F2288" s="85">
        <f>STATS1003B!F2292/1000</f>
        <v>3396.45</v>
      </c>
      <c r="G2288" s="85">
        <f>STATS1003B!G2292/1000</f>
        <v>0</v>
      </c>
      <c r="H2288" s="85">
        <f>STATS1003B!H2292/1000</f>
        <v>3396.45</v>
      </c>
      <c r="I2288" s="85">
        <f>STATS1003B!I2292/1000</f>
        <v>0</v>
      </c>
      <c r="J2288" s="85">
        <f>STATS1003B!J2292/1000</f>
        <v>3396.45</v>
      </c>
      <c r="K2288" s="85">
        <f>STATS1003B!K2292/1000</f>
        <v>0</v>
      </c>
      <c r="L2288" s="85">
        <f>STATS1003B!L2292/1000</f>
        <v>0</v>
      </c>
      <c r="M2288" s="85">
        <f>STATS1003B!M2292/1000</f>
        <v>3396.45</v>
      </c>
      <c r="N2288" s="85">
        <f>STATS1003B!N2292/1000</f>
        <v>0</v>
      </c>
      <c r="O2288" s="85">
        <f>STATS1003B!O2292/1000</f>
        <v>0</v>
      </c>
      <c r="P2288" s="85">
        <f>STATS1003B!P2292/1000</f>
        <v>0</v>
      </c>
      <c r="Q2288" s="85">
        <f>STATS1003B!Q2292/1000</f>
        <v>3396.45</v>
      </c>
      <c r="R2288" s="85">
        <f>STATS1003B!R2292/1000</f>
        <v>0</v>
      </c>
      <c r="S2288" s="85">
        <f>STATS1003B!S2292/1000</f>
        <v>0</v>
      </c>
      <c r="T2288" s="85">
        <f>STATS1003B!T2292/1000</f>
        <v>0</v>
      </c>
      <c r="U2288" s="85">
        <f>STATS1003B!U2292/1000</f>
        <v>0</v>
      </c>
      <c r="V2288" s="85">
        <f>STATS1003B!V2292/1000</f>
        <v>0</v>
      </c>
      <c r="W2288" s="85">
        <f>STATS1003B!W2292/1000</f>
        <v>0</v>
      </c>
      <c r="X2288" s="85">
        <f t="shared" si="244"/>
        <v>3396.45</v>
      </c>
      <c r="Y2288" s="85">
        <f>STATS1003B!Y2292/1000</f>
        <v>0</v>
      </c>
      <c r="Z2288" s="85">
        <f t="shared" si="249"/>
        <v>0</v>
      </c>
      <c r="AA2288" s="69">
        <f>STATS1003B!AA2292/1000</f>
        <v>3396.45</v>
      </c>
      <c r="AB2288" s="69">
        <f>STATS1003B!AB2292/1000</f>
        <v>0</v>
      </c>
    </row>
    <row r="2289" spans="1:28" hidden="1" x14ac:dyDescent="0.3">
      <c r="A2289" s="117"/>
      <c r="C2289" s="68" t="s">
        <v>551</v>
      </c>
      <c r="E2289" s="85">
        <f>STATS1003B!E2293/1000</f>
        <v>900.24199999999996</v>
      </c>
      <c r="F2289" s="85">
        <f>STATS1003B!F2293/1000</f>
        <v>900.24199999999996</v>
      </c>
      <c r="G2289" s="85">
        <f>STATS1003B!G2293/1000</f>
        <v>0</v>
      </c>
      <c r="H2289" s="85">
        <f>STATS1003B!H2293/1000</f>
        <v>900.24199999999996</v>
      </c>
      <c r="I2289" s="85">
        <f>STATS1003B!I2293/1000</f>
        <v>0</v>
      </c>
      <c r="J2289" s="85">
        <f>STATS1003B!J2293/1000</f>
        <v>900.24199999999996</v>
      </c>
      <c r="K2289" s="85">
        <f>STATS1003B!K2293/1000</f>
        <v>0</v>
      </c>
      <c r="L2289" s="85">
        <f>STATS1003B!L2293/1000</f>
        <v>0</v>
      </c>
      <c r="M2289" s="85">
        <f>STATS1003B!M2293/1000</f>
        <v>900.24199999999996</v>
      </c>
      <c r="N2289" s="85">
        <f>STATS1003B!N2293/1000</f>
        <v>0</v>
      </c>
      <c r="O2289" s="85">
        <f>STATS1003B!O2293/1000</f>
        <v>0</v>
      </c>
      <c r="P2289" s="85">
        <f>STATS1003B!P2293/1000</f>
        <v>0</v>
      </c>
      <c r="Q2289" s="85">
        <f>STATS1003B!Q2293/1000</f>
        <v>900.24199999999996</v>
      </c>
      <c r="R2289" s="85">
        <f>STATS1003B!R2293/1000</f>
        <v>0</v>
      </c>
      <c r="S2289" s="85">
        <f>STATS1003B!S2293/1000</f>
        <v>0</v>
      </c>
      <c r="T2289" s="85">
        <f>STATS1003B!T2293/1000</f>
        <v>0</v>
      </c>
      <c r="U2289" s="85">
        <f>STATS1003B!U2293/1000</f>
        <v>0</v>
      </c>
      <c r="V2289" s="85">
        <f>STATS1003B!V2293/1000</f>
        <v>0</v>
      </c>
      <c r="W2289" s="85">
        <f>STATS1003B!W2293/1000</f>
        <v>0</v>
      </c>
      <c r="X2289" s="85">
        <f t="shared" si="244"/>
        <v>900.24199999999996</v>
      </c>
      <c r="Y2289" s="85">
        <f>STATS1003B!Y2293/1000</f>
        <v>0</v>
      </c>
      <c r="Z2289" s="85">
        <f t="shared" si="249"/>
        <v>0</v>
      </c>
      <c r="AA2289" s="69">
        <f>STATS1003B!AA2293/1000</f>
        <v>900.24199999999996</v>
      </c>
      <c r="AB2289" s="69">
        <f>STATS1003B!AB2293/1000</f>
        <v>0</v>
      </c>
    </row>
    <row r="2290" spans="1:28" hidden="1" x14ac:dyDescent="0.3">
      <c r="A2290" s="117"/>
      <c r="C2290" s="68" t="s">
        <v>606</v>
      </c>
      <c r="E2290" s="85">
        <f>STATS1003B!E2294/1000</f>
        <v>5893.0695500000002</v>
      </c>
      <c r="F2290" s="85">
        <f>STATS1003B!F2294/1000</f>
        <v>3358.9472700000001</v>
      </c>
      <c r="G2290" s="85">
        <f>STATS1003B!G2294/1000</f>
        <v>0</v>
      </c>
      <c r="H2290" s="85">
        <f>STATS1003B!H2294/1000</f>
        <v>3358.9472700000001</v>
      </c>
      <c r="I2290" s="85">
        <f>STATS1003B!I2294/1000</f>
        <v>2534.1222799999996</v>
      </c>
      <c r="J2290" s="85">
        <f>STATS1003B!J2294/1000</f>
        <v>5893.0695500000002</v>
      </c>
      <c r="K2290" s="85">
        <f>STATS1003B!K2294/1000</f>
        <v>0</v>
      </c>
      <c r="L2290" s="85">
        <f>STATS1003B!L2294/1000</f>
        <v>2534.1222799999996</v>
      </c>
      <c r="M2290" s="85">
        <f>STATS1003B!M2294/1000</f>
        <v>5893.0695500000002</v>
      </c>
      <c r="N2290" s="85">
        <f>STATS1003B!N2294/1000</f>
        <v>0</v>
      </c>
      <c r="O2290" s="85">
        <f>STATS1003B!O2294/1000</f>
        <v>0</v>
      </c>
      <c r="P2290" s="85">
        <f>STATS1003B!P2294/1000</f>
        <v>0</v>
      </c>
      <c r="Q2290" s="85">
        <f>STATS1003B!Q2294/1000</f>
        <v>5893.0695500000002</v>
      </c>
      <c r="R2290" s="85">
        <f>STATS1003B!R2294/1000</f>
        <v>0</v>
      </c>
      <c r="S2290" s="85">
        <f>STATS1003B!S2294/1000</f>
        <v>0</v>
      </c>
      <c r="T2290" s="85">
        <f>STATS1003B!T2294/1000</f>
        <v>0</v>
      </c>
      <c r="U2290" s="85">
        <f>STATS1003B!U2294/1000</f>
        <v>0</v>
      </c>
      <c r="V2290" s="85">
        <f>STATS1003B!V2294/1000</f>
        <v>0</v>
      </c>
      <c r="W2290" s="85">
        <f>STATS1003B!W2294/1000</f>
        <v>0</v>
      </c>
      <c r="X2290" s="85">
        <f t="shared" si="244"/>
        <v>3358.9472700000001</v>
      </c>
      <c r="Y2290" s="85">
        <f>STATS1003B!Y2294/1000</f>
        <v>0</v>
      </c>
      <c r="Z2290" s="85">
        <f t="shared" si="249"/>
        <v>2534.12228</v>
      </c>
      <c r="AA2290" s="69">
        <f>STATS1003B!AA2294/1000</f>
        <v>5893.0695500000002</v>
      </c>
      <c r="AB2290" s="69">
        <f>STATS1003B!AB2294/1000</f>
        <v>0</v>
      </c>
    </row>
    <row r="2291" spans="1:28" hidden="1" x14ac:dyDescent="0.3">
      <c r="A2291" s="117"/>
      <c r="E2291" s="86" t="s">
        <v>29</v>
      </c>
      <c r="F2291" s="86" t="s">
        <v>29</v>
      </c>
      <c r="G2291" s="86" t="s">
        <v>29</v>
      </c>
      <c r="H2291" s="86" t="s">
        <v>29</v>
      </c>
      <c r="I2291" s="86" t="s">
        <v>29</v>
      </c>
      <c r="J2291" s="86" t="s">
        <v>29</v>
      </c>
      <c r="K2291" s="86" t="s">
        <v>29</v>
      </c>
      <c r="L2291" s="86" t="s">
        <v>29</v>
      </c>
      <c r="M2291" s="86" t="s">
        <v>29</v>
      </c>
      <c r="N2291" s="86" t="s">
        <v>29</v>
      </c>
      <c r="O2291" s="86" t="s">
        <v>29</v>
      </c>
      <c r="P2291" s="86" t="s">
        <v>29</v>
      </c>
      <c r="Q2291" s="86" t="s">
        <v>29</v>
      </c>
      <c r="R2291" s="86" t="s">
        <v>29</v>
      </c>
      <c r="S2291" s="86" t="s">
        <v>29</v>
      </c>
      <c r="T2291" s="86" t="s">
        <v>29</v>
      </c>
      <c r="U2291" s="86" t="s">
        <v>29</v>
      </c>
      <c r="V2291" s="86" t="s">
        <v>29</v>
      </c>
      <c r="W2291" s="86" t="s">
        <v>29</v>
      </c>
      <c r="X2291" s="85" t="e">
        <f t="shared" si="244"/>
        <v>#VALUE!</v>
      </c>
      <c r="Y2291" s="86" t="s">
        <v>29</v>
      </c>
      <c r="Z2291" s="85" t="e">
        <f t="shared" si="249"/>
        <v>#VALUE!</v>
      </c>
      <c r="AA2291" s="115" t="s">
        <v>29</v>
      </c>
      <c r="AB2291" s="115" t="s">
        <v>29</v>
      </c>
    </row>
    <row r="2292" spans="1:28" x14ac:dyDescent="0.3">
      <c r="A2292" s="116">
        <v>99</v>
      </c>
      <c r="B2292" s="68" t="s">
        <v>829</v>
      </c>
      <c r="E2292" s="85">
        <f>134804419.34/1000</f>
        <v>134804.41933999999</v>
      </c>
      <c r="F2292" s="85">
        <f t="shared" ref="F2292:Q2292" si="250">SUM(F2265:F2291)</f>
        <v>64858.876309999992</v>
      </c>
      <c r="G2292" s="85">
        <f t="shared" si="250"/>
        <v>0</v>
      </c>
      <c r="H2292" s="85">
        <f>129976700.84/1000</f>
        <v>129976.70084</v>
      </c>
      <c r="I2292" s="85">
        <f t="shared" si="250"/>
        <v>2534.1222799999996</v>
      </c>
      <c r="J2292" s="85">
        <f t="shared" si="250"/>
        <v>57143.698419999993</v>
      </c>
      <c r="K2292" s="85">
        <f t="shared" si="250"/>
        <v>2293.5962199999999</v>
      </c>
      <c r="L2292" s="85">
        <f t="shared" si="250"/>
        <v>2534.1222799999996</v>
      </c>
      <c r="M2292" s="85">
        <f t="shared" si="250"/>
        <v>67392.998590000003</v>
      </c>
      <c r="N2292" s="85">
        <f t="shared" si="250"/>
        <v>2293.5962199999999</v>
      </c>
      <c r="O2292" s="85">
        <f t="shared" si="250"/>
        <v>0</v>
      </c>
      <c r="P2292" s="85">
        <f>2293596/1000</f>
        <v>2293.596</v>
      </c>
      <c r="Q2292" s="85">
        <f t="shared" si="250"/>
        <v>49085.890899999991</v>
      </c>
      <c r="R2292" s="84"/>
      <c r="S2292" s="84"/>
      <c r="T2292" s="85">
        <f t="shared" ref="T2292:Y2292" si="251">SUM(T2265:T2291)</f>
        <v>0</v>
      </c>
      <c r="U2292" s="85">
        <f t="shared" si="251"/>
        <v>2293.5962199999999</v>
      </c>
      <c r="V2292" s="85">
        <f t="shared" si="251"/>
        <v>0</v>
      </c>
      <c r="W2292" s="85">
        <f t="shared" si="251"/>
        <v>0</v>
      </c>
      <c r="X2292" s="85">
        <f t="shared" si="244"/>
        <v>132270.29684</v>
      </c>
      <c r="Y2292" s="85">
        <f t="shared" si="251"/>
        <v>0</v>
      </c>
      <c r="Z2292" s="85">
        <f t="shared" si="249"/>
        <v>2534.1224999999977</v>
      </c>
      <c r="AA2292" s="69">
        <f>SUM(AA2265:AA2291)</f>
        <v>69686.594809999995</v>
      </c>
      <c r="AB2292" s="69">
        <f>SUM(AB2265:AB2291)</f>
        <v>0</v>
      </c>
    </row>
    <row r="2293" spans="1:28" x14ac:dyDescent="0.3">
      <c r="A2293" s="117"/>
      <c r="E2293" s="86"/>
      <c r="F2293" s="86"/>
      <c r="G2293" s="86"/>
      <c r="H2293" s="86"/>
      <c r="I2293" s="86"/>
      <c r="J2293" s="86"/>
      <c r="K2293" s="86"/>
      <c r="L2293" s="86"/>
      <c r="M2293" s="86"/>
      <c r="N2293" s="86"/>
      <c r="O2293" s="86"/>
      <c r="P2293" s="86"/>
      <c r="Q2293" s="86"/>
      <c r="R2293" s="86"/>
      <c r="S2293" s="86"/>
      <c r="T2293" s="86"/>
      <c r="U2293" s="86"/>
      <c r="V2293" s="86"/>
      <c r="W2293" s="86"/>
      <c r="X2293" s="86"/>
      <c r="Y2293" s="86"/>
      <c r="Z2293" s="86"/>
      <c r="AA2293" s="115" t="s">
        <v>29</v>
      </c>
      <c r="AB2293" s="115" t="s">
        <v>29</v>
      </c>
    </row>
    <row r="2294" spans="1:28" s="106" customFormat="1" x14ac:dyDescent="0.3">
      <c r="A2294" s="104"/>
      <c r="B2294" s="7" t="s">
        <v>837</v>
      </c>
      <c r="C2294" s="7" t="s">
        <v>3</v>
      </c>
      <c r="D2294" s="8"/>
      <c r="E2294" s="82">
        <f>E2112+E2138+E2173+E2194+E2219+E2243+E2262+E2292</f>
        <v>1141781.29535</v>
      </c>
      <c r="F2294" s="82">
        <f t="shared" ref="F2294:Q2294" si="252">F2219+F2243+F2112+F2138+F2173+F2194+F2262+F2292</f>
        <v>431940.53868</v>
      </c>
      <c r="G2294" s="82">
        <f t="shared" si="252"/>
        <v>4853.3577299999997</v>
      </c>
      <c r="H2294" s="82">
        <f t="shared" si="252"/>
        <v>1110056.9144899999</v>
      </c>
      <c r="I2294" s="82">
        <f t="shared" si="252"/>
        <v>3734.1222799999996</v>
      </c>
      <c r="J2294" s="82">
        <f t="shared" si="252"/>
        <v>392676.40432999999</v>
      </c>
      <c r="K2294" s="82">
        <f t="shared" si="252"/>
        <v>27638.084960000004</v>
      </c>
      <c r="L2294" s="82">
        <f t="shared" si="252"/>
        <v>3734.1222799999996</v>
      </c>
      <c r="M2294" s="82">
        <f t="shared" si="252"/>
        <v>440528.01869000006</v>
      </c>
      <c r="N2294" s="82">
        <f t="shared" si="252"/>
        <v>27658.905650000004</v>
      </c>
      <c r="O2294" s="82">
        <f t="shared" si="252"/>
        <v>0</v>
      </c>
      <c r="P2294" s="82">
        <f t="shared" si="252"/>
        <v>27658.901899999997</v>
      </c>
      <c r="Q2294" s="82">
        <f t="shared" si="252"/>
        <v>358588.01280999993</v>
      </c>
      <c r="R2294" s="83"/>
      <c r="S2294" s="83"/>
      <c r="T2294" s="82">
        <f t="shared" ref="T2294:AB2294" si="253">T2219+T2243+T2112+T2138+T2173+T2194+T2262+T2292</f>
        <v>31.194699999999997</v>
      </c>
      <c r="U2294" s="82">
        <f t="shared" si="253"/>
        <v>27690.100350000004</v>
      </c>
      <c r="V2294" s="82">
        <f t="shared" si="253"/>
        <v>0</v>
      </c>
      <c r="W2294" s="82">
        <f t="shared" si="253"/>
        <v>0</v>
      </c>
      <c r="X2294" s="82">
        <f t="shared" si="253"/>
        <v>1137715.8163900001</v>
      </c>
      <c r="Y2294" s="82">
        <f t="shared" si="253"/>
        <v>0</v>
      </c>
      <c r="Z2294" s="82">
        <f t="shared" si="253"/>
        <v>4065.4789600000804</v>
      </c>
      <c r="AA2294" s="9">
        <f t="shared" si="253"/>
        <v>468218.11904000002</v>
      </c>
      <c r="AB2294" s="9">
        <f t="shared" si="253"/>
        <v>300.15822999999955</v>
      </c>
    </row>
    <row r="2295" spans="1:28" x14ac:dyDescent="0.3">
      <c r="A2295" s="117"/>
      <c r="E2295" s="86"/>
      <c r="F2295" s="86"/>
      <c r="G2295" s="86"/>
      <c r="H2295" s="86"/>
      <c r="I2295" s="86"/>
      <c r="J2295" s="86"/>
      <c r="K2295" s="86"/>
      <c r="L2295" s="86"/>
      <c r="M2295" s="86"/>
      <c r="N2295" s="86"/>
      <c r="O2295" s="86"/>
      <c r="P2295" s="86"/>
      <c r="Q2295" s="86"/>
      <c r="R2295" s="86"/>
      <c r="S2295" s="86"/>
      <c r="T2295" s="86"/>
      <c r="U2295" s="86"/>
      <c r="V2295" s="86"/>
      <c r="W2295" s="86"/>
      <c r="X2295" s="86"/>
      <c r="Y2295" s="86"/>
      <c r="Z2295" s="86"/>
      <c r="AA2295" s="115" t="s">
        <v>114</v>
      </c>
      <c r="AB2295" s="115" t="s">
        <v>114</v>
      </c>
    </row>
    <row r="2296" spans="1:28" x14ac:dyDescent="0.3">
      <c r="A2296" s="105"/>
      <c r="B2296" s="68" t="s">
        <v>838</v>
      </c>
      <c r="E2296" s="84"/>
      <c r="F2296" s="84"/>
      <c r="G2296" s="84"/>
      <c r="H2296" s="84"/>
      <c r="I2296" s="84"/>
      <c r="J2296" s="84"/>
      <c r="K2296" s="84"/>
      <c r="L2296" s="84"/>
      <c r="M2296" s="84"/>
      <c r="N2296" s="84"/>
      <c r="O2296" s="84"/>
      <c r="P2296" s="84"/>
      <c r="Q2296" s="84"/>
      <c r="R2296" s="84"/>
      <c r="S2296" s="84"/>
      <c r="T2296" s="84"/>
      <c r="U2296" s="84"/>
      <c r="V2296" s="84"/>
      <c r="W2296" s="84"/>
      <c r="X2296" s="84"/>
      <c r="Y2296" s="84"/>
      <c r="Z2296" s="84"/>
    </row>
    <row r="2297" spans="1:28" hidden="1" x14ac:dyDescent="0.3">
      <c r="A2297" s="117"/>
      <c r="B2297" s="68"/>
      <c r="E2297" s="84"/>
      <c r="F2297" s="84"/>
      <c r="G2297" s="84"/>
      <c r="H2297" s="84"/>
      <c r="I2297" s="84"/>
      <c r="J2297" s="84"/>
      <c r="K2297" s="84"/>
      <c r="L2297" s="84"/>
      <c r="M2297" s="84"/>
      <c r="N2297" s="84"/>
      <c r="O2297" s="84"/>
      <c r="P2297" s="84"/>
      <c r="Q2297" s="84"/>
      <c r="R2297" s="84"/>
      <c r="S2297" s="84"/>
      <c r="T2297" s="84"/>
      <c r="U2297" s="84"/>
      <c r="V2297" s="84"/>
      <c r="W2297" s="84"/>
      <c r="X2297" s="84"/>
      <c r="Y2297" s="84"/>
      <c r="Z2297" s="84"/>
    </row>
    <row r="2298" spans="1:28" hidden="1" x14ac:dyDescent="0.3">
      <c r="A2298" s="105"/>
      <c r="E2298" s="84"/>
      <c r="F2298" s="84"/>
      <c r="G2298" s="84"/>
      <c r="H2298" s="84"/>
      <c r="I2298" s="84"/>
      <c r="J2298" s="84"/>
      <c r="K2298" s="84"/>
      <c r="L2298" s="84"/>
      <c r="M2298" s="84"/>
      <c r="N2298" s="84"/>
      <c r="O2298" s="84"/>
      <c r="P2298" s="84"/>
      <c r="Q2298" s="84"/>
      <c r="R2298" s="84"/>
      <c r="S2298" s="84"/>
      <c r="T2298" s="84"/>
      <c r="U2298" s="84"/>
      <c r="V2298" s="84"/>
      <c r="W2298" s="84"/>
      <c r="X2298" s="84"/>
      <c r="Y2298" s="84"/>
      <c r="Z2298" s="84"/>
    </row>
    <row r="2299" spans="1:28" hidden="1" x14ac:dyDescent="0.3">
      <c r="A2299" s="117"/>
      <c r="C2299" s="68" t="s">
        <v>840</v>
      </c>
      <c r="D2299" s="145" t="s">
        <v>166</v>
      </c>
      <c r="E2299" s="85">
        <f>STATS1003B!E2305/1000</f>
        <v>550</v>
      </c>
      <c r="F2299" s="85">
        <f>STATS1003B!F2305/1000</f>
        <v>550</v>
      </c>
      <c r="G2299" s="85">
        <f>STATS1003B!G2305/1000</f>
        <v>0</v>
      </c>
      <c r="H2299" s="85">
        <f>STATS1003B!H2305/1000</f>
        <v>550</v>
      </c>
      <c r="I2299" s="85">
        <f>STATS1003B!I2305/1000</f>
        <v>0</v>
      </c>
      <c r="J2299" s="85">
        <f>STATS1003B!J2305/1000</f>
        <v>550</v>
      </c>
      <c r="K2299" s="85">
        <f>STATS1003B!K2305/1000</f>
        <v>0</v>
      </c>
      <c r="L2299" s="85">
        <f>STATS1003B!L2305/1000</f>
        <v>0</v>
      </c>
      <c r="M2299" s="85">
        <f>STATS1003B!M2305/1000</f>
        <v>550</v>
      </c>
      <c r="N2299" s="85">
        <f>STATS1003B!N2305/1000</f>
        <v>0</v>
      </c>
      <c r="O2299" s="85">
        <f>STATS1003B!O2305/1000</f>
        <v>0</v>
      </c>
      <c r="P2299" s="85">
        <f>STATS1003B!P2305/1000</f>
        <v>0</v>
      </c>
      <c r="Q2299" s="85">
        <f>STATS1003B!Q2305/1000</f>
        <v>550</v>
      </c>
      <c r="R2299" s="85">
        <f>STATS1003B!R2305/1000</f>
        <v>0</v>
      </c>
      <c r="S2299" s="85">
        <f>STATS1003B!S2305/1000</f>
        <v>0</v>
      </c>
      <c r="T2299" s="85">
        <f>STATS1003B!T2305/1000</f>
        <v>0</v>
      </c>
      <c r="U2299" s="85">
        <f>STATS1003B!U2305/1000</f>
        <v>0</v>
      </c>
      <c r="V2299" s="85">
        <f>STATS1003B!V2305/1000</f>
        <v>0</v>
      </c>
      <c r="W2299" s="85">
        <f>STATS1003B!W2305/1000</f>
        <v>0</v>
      </c>
      <c r="X2299" s="85">
        <f>STATS1003B!X2305/1000</f>
        <v>550</v>
      </c>
      <c r="Y2299" s="85">
        <f>STATS1003B!Y2305/1000</f>
        <v>0</v>
      </c>
      <c r="Z2299" s="85">
        <f>STATS1003B!Z2305/1000</f>
        <v>0</v>
      </c>
      <c r="AA2299" s="69">
        <f>STATS1003B!AA2305/1000</f>
        <v>550</v>
      </c>
      <c r="AB2299" s="69">
        <f>STATS1003B!AB2305/1000</f>
        <v>0</v>
      </c>
    </row>
    <row r="2300" spans="1:28" hidden="1" x14ac:dyDescent="0.3">
      <c r="A2300" s="117"/>
      <c r="C2300" s="68" t="s">
        <v>535</v>
      </c>
      <c r="D2300" s="145" t="s">
        <v>54</v>
      </c>
      <c r="E2300" s="85">
        <f>STATS1003B!E2306/1000</f>
        <v>528.20000000000005</v>
      </c>
      <c r="F2300" s="85">
        <f>STATS1003B!F2306/1000</f>
        <v>528.20000000000005</v>
      </c>
      <c r="G2300" s="85">
        <f>STATS1003B!G2306/1000</f>
        <v>0</v>
      </c>
      <c r="H2300" s="85">
        <f>STATS1003B!H2306/1000</f>
        <v>528.20000000000005</v>
      </c>
      <c r="I2300" s="85">
        <f>STATS1003B!I2306/1000</f>
        <v>0</v>
      </c>
      <c r="J2300" s="85">
        <f>STATS1003B!J2306/1000</f>
        <v>528.20000000000005</v>
      </c>
      <c r="K2300" s="85">
        <f>STATS1003B!K2306/1000</f>
        <v>0</v>
      </c>
      <c r="L2300" s="85">
        <f>STATS1003B!L2306/1000</f>
        <v>0</v>
      </c>
      <c r="M2300" s="85">
        <f>STATS1003B!M2306/1000</f>
        <v>528.20000000000005</v>
      </c>
      <c r="N2300" s="85">
        <f>STATS1003B!N2306/1000</f>
        <v>0</v>
      </c>
      <c r="O2300" s="85">
        <f>STATS1003B!O2306/1000</f>
        <v>0</v>
      </c>
      <c r="P2300" s="85">
        <f>STATS1003B!P2306/1000</f>
        <v>0</v>
      </c>
      <c r="Q2300" s="85">
        <f>STATS1003B!Q2306/1000</f>
        <v>528.20000000000005</v>
      </c>
      <c r="R2300" s="85">
        <f>STATS1003B!R2306/1000</f>
        <v>0</v>
      </c>
      <c r="S2300" s="85">
        <f>STATS1003B!S2306/1000</f>
        <v>0</v>
      </c>
      <c r="T2300" s="85">
        <f>STATS1003B!T2306/1000</f>
        <v>0</v>
      </c>
      <c r="U2300" s="85">
        <f>STATS1003B!U2306/1000</f>
        <v>0</v>
      </c>
      <c r="V2300" s="85">
        <f>STATS1003B!V2306/1000</f>
        <v>0</v>
      </c>
      <c r="W2300" s="85">
        <f>STATS1003B!W2306/1000</f>
        <v>0</v>
      </c>
      <c r="X2300" s="85">
        <f>STATS1003B!X2306/1000</f>
        <v>528.20000000000005</v>
      </c>
      <c r="Y2300" s="85">
        <f>STATS1003B!Y2306/1000</f>
        <v>0</v>
      </c>
      <c r="Z2300" s="85">
        <f>STATS1003B!Z2306/1000</f>
        <v>0</v>
      </c>
      <c r="AA2300" s="69">
        <f>STATS1003B!AA2306/1000</f>
        <v>528.20000000000005</v>
      </c>
      <c r="AB2300" s="69">
        <f>STATS1003B!AB2306/1000</f>
        <v>0</v>
      </c>
    </row>
    <row r="2301" spans="1:28" hidden="1" x14ac:dyDescent="0.3">
      <c r="A2301" s="117"/>
      <c r="C2301" s="68" t="s">
        <v>696</v>
      </c>
      <c r="D2301" s="145" t="s">
        <v>54</v>
      </c>
      <c r="E2301" s="85">
        <f>STATS1003B!E2307/1000</f>
        <v>190</v>
      </c>
      <c r="F2301" s="85">
        <f>STATS1003B!F2307/1000</f>
        <v>190</v>
      </c>
      <c r="G2301" s="85">
        <f>STATS1003B!G2307/1000</f>
        <v>0</v>
      </c>
      <c r="H2301" s="85">
        <f>STATS1003B!H2307/1000</f>
        <v>190</v>
      </c>
      <c r="I2301" s="85">
        <f>STATS1003B!I2307/1000</f>
        <v>0</v>
      </c>
      <c r="J2301" s="85">
        <f>STATS1003B!J2307/1000</f>
        <v>190</v>
      </c>
      <c r="K2301" s="85">
        <f>STATS1003B!K2307/1000</f>
        <v>0</v>
      </c>
      <c r="L2301" s="85">
        <f>STATS1003B!L2307/1000</f>
        <v>0</v>
      </c>
      <c r="M2301" s="85">
        <f>STATS1003B!M2307/1000</f>
        <v>190</v>
      </c>
      <c r="N2301" s="85">
        <f>STATS1003B!N2307/1000</f>
        <v>0</v>
      </c>
      <c r="O2301" s="85">
        <f>STATS1003B!O2307/1000</f>
        <v>0</v>
      </c>
      <c r="P2301" s="85">
        <f>STATS1003B!P2307/1000</f>
        <v>0</v>
      </c>
      <c r="Q2301" s="85">
        <f>STATS1003B!Q2307/1000</f>
        <v>190</v>
      </c>
      <c r="R2301" s="85">
        <f>STATS1003B!R2307/1000</f>
        <v>0</v>
      </c>
      <c r="S2301" s="85">
        <f>STATS1003B!S2307/1000</f>
        <v>0</v>
      </c>
      <c r="T2301" s="85">
        <f>STATS1003B!T2307/1000</f>
        <v>0</v>
      </c>
      <c r="U2301" s="85">
        <f>STATS1003B!U2307/1000</f>
        <v>0</v>
      </c>
      <c r="V2301" s="85">
        <f>STATS1003B!V2307/1000</f>
        <v>0</v>
      </c>
      <c r="W2301" s="85">
        <f>STATS1003B!W2307/1000</f>
        <v>0</v>
      </c>
      <c r="X2301" s="85">
        <f>STATS1003B!X2307/1000</f>
        <v>190</v>
      </c>
      <c r="Y2301" s="85">
        <f>STATS1003B!Y2307/1000</f>
        <v>0</v>
      </c>
      <c r="Z2301" s="85">
        <f>STATS1003B!Z2307/1000</f>
        <v>0</v>
      </c>
      <c r="AA2301" s="69">
        <f>STATS1003B!AA2307/1000</f>
        <v>190</v>
      </c>
      <c r="AB2301" s="69">
        <f>STATS1003B!AB2307/1000</f>
        <v>0</v>
      </c>
    </row>
    <row r="2302" spans="1:28" hidden="1" x14ac:dyDescent="0.3">
      <c r="A2302" s="117"/>
      <c r="C2302" s="68" t="s">
        <v>545</v>
      </c>
      <c r="D2302" s="145" t="s">
        <v>54</v>
      </c>
      <c r="E2302" s="85">
        <f>STATS1003B!E2308/1000</f>
        <v>1953.989</v>
      </c>
      <c r="F2302" s="85">
        <f>STATS1003B!F2308/1000</f>
        <v>0</v>
      </c>
      <c r="G2302" s="85">
        <f>STATS1003B!G2308/1000</f>
        <v>0</v>
      </c>
      <c r="H2302" s="85">
        <f>STATS1003B!H2308/1000</f>
        <v>0</v>
      </c>
      <c r="I2302" s="85">
        <f>STATS1003B!I2308/1000</f>
        <v>0</v>
      </c>
      <c r="J2302" s="85">
        <f>STATS1003B!J2308/1000</f>
        <v>0</v>
      </c>
      <c r="K2302" s="85">
        <f>STATS1003B!K2308/1000</f>
        <v>1953.989</v>
      </c>
      <c r="L2302" s="85">
        <f>STATS1003B!L2308/1000</f>
        <v>0</v>
      </c>
      <c r="M2302" s="85">
        <f>STATS1003B!M2308/1000</f>
        <v>0</v>
      </c>
      <c r="N2302" s="85">
        <f>STATS1003B!N2308/1000</f>
        <v>1953.989</v>
      </c>
      <c r="O2302" s="85">
        <f>STATS1003B!O2308/1000</f>
        <v>0</v>
      </c>
      <c r="P2302" s="85">
        <f>STATS1003B!P2308/1000</f>
        <v>1953.989</v>
      </c>
      <c r="Q2302" s="85">
        <f>STATS1003B!Q2308/1000</f>
        <v>0</v>
      </c>
      <c r="R2302" s="85">
        <f>STATS1003B!R2308/1000</f>
        <v>0</v>
      </c>
      <c r="S2302" s="85">
        <f>STATS1003B!S2308/1000</f>
        <v>0</v>
      </c>
      <c r="T2302" s="85">
        <f>STATS1003B!T2308/1000</f>
        <v>0</v>
      </c>
      <c r="U2302" s="85">
        <f>STATS1003B!U2308/1000</f>
        <v>1953.989</v>
      </c>
      <c r="V2302" s="85">
        <f>STATS1003B!V2308/1000</f>
        <v>0</v>
      </c>
      <c r="W2302" s="85">
        <f>STATS1003B!W2308/1000</f>
        <v>0</v>
      </c>
      <c r="X2302" s="85">
        <f>STATS1003B!X2308/1000</f>
        <v>1953.989</v>
      </c>
      <c r="Y2302" s="85">
        <f>STATS1003B!Y2308/1000</f>
        <v>0</v>
      </c>
      <c r="Z2302" s="85">
        <f>STATS1003B!Z2308/1000</f>
        <v>0</v>
      </c>
      <c r="AA2302" s="69">
        <f>STATS1003B!AA2308/1000</f>
        <v>1953.989</v>
      </c>
      <c r="AB2302" s="69">
        <f>STATS1003B!AB2308/1000</f>
        <v>0</v>
      </c>
    </row>
    <row r="2303" spans="1:28" hidden="1" x14ac:dyDescent="0.3">
      <c r="A2303" s="117"/>
      <c r="C2303" s="68" t="s">
        <v>535</v>
      </c>
      <c r="D2303" s="145" t="s">
        <v>85</v>
      </c>
      <c r="E2303" s="85">
        <f>STATS1003B!E2309/1000</f>
        <v>1110.163</v>
      </c>
      <c r="F2303" s="85">
        <f>STATS1003B!F2309/1000</f>
        <v>1110.163</v>
      </c>
      <c r="G2303" s="85">
        <f>STATS1003B!G2309/1000</f>
        <v>0</v>
      </c>
      <c r="H2303" s="85">
        <f>STATS1003B!H2309/1000</f>
        <v>1110.163</v>
      </c>
      <c r="I2303" s="85">
        <f>STATS1003B!I2309/1000</f>
        <v>0</v>
      </c>
      <c r="J2303" s="85">
        <f>STATS1003B!J2309/1000</f>
        <v>1110.163</v>
      </c>
      <c r="K2303" s="85">
        <f>STATS1003B!K2309/1000</f>
        <v>0</v>
      </c>
      <c r="L2303" s="85">
        <f>STATS1003B!L2309/1000</f>
        <v>0</v>
      </c>
      <c r="M2303" s="85">
        <f>STATS1003B!M2309/1000</f>
        <v>1110.163</v>
      </c>
      <c r="N2303" s="85">
        <f>STATS1003B!N2309/1000</f>
        <v>0</v>
      </c>
      <c r="O2303" s="85">
        <f>STATS1003B!O2309/1000</f>
        <v>0</v>
      </c>
      <c r="P2303" s="85">
        <f>STATS1003B!P2309/1000</f>
        <v>0</v>
      </c>
      <c r="Q2303" s="85">
        <f>STATS1003B!Q2309/1000</f>
        <v>1110.163</v>
      </c>
      <c r="R2303" s="85">
        <f>STATS1003B!R2309/1000</f>
        <v>0</v>
      </c>
      <c r="S2303" s="85">
        <f>STATS1003B!S2309/1000</f>
        <v>0</v>
      </c>
      <c r="T2303" s="85">
        <f>STATS1003B!T2309/1000</f>
        <v>0</v>
      </c>
      <c r="U2303" s="85">
        <f>STATS1003B!U2309/1000</f>
        <v>0</v>
      </c>
      <c r="V2303" s="85">
        <f>STATS1003B!V2309/1000</f>
        <v>0</v>
      </c>
      <c r="W2303" s="85">
        <f>STATS1003B!W2309/1000</f>
        <v>0</v>
      </c>
      <c r="X2303" s="85">
        <f>STATS1003B!X2309/1000</f>
        <v>1110.163</v>
      </c>
      <c r="Y2303" s="85">
        <f>STATS1003B!Y2309/1000</f>
        <v>0</v>
      </c>
      <c r="Z2303" s="85">
        <f>STATS1003B!Z2309/1000</f>
        <v>0</v>
      </c>
      <c r="AA2303" s="69">
        <f>STATS1003B!AA2309/1000</f>
        <v>1110.163</v>
      </c>
      <c r="AB2303" s="69">
        <f>STATS1003B!AB2309/1000</f>
        <v>0</v>
      </c>
    </row>
    <row r="2304" spans="1:28" hidden="1" x14ac:dyDescent="0.3">
      <c r="A2304" s="117"/>
      <c r="C2304" s="68" t="s">
        <v>814</v>
      </c>
      <c r="D2304" s="145" t="s">
        <v>85</v>
      </c>
      <c r="E2304" s="85">
        <f>STATS1003B!E2310/1000</f>
        <v>1160</v>
      </c>
      <c r="F2304" s="85">
        <f>STATS1003B!F2310/1000</f>
        <v>1160</v>
      </c>
      <c r="G2304" s="85">
        <f>STATS1003B!G2310/1000</f>
        <v>0</v>
      </c>
      <c r="H2304" s="85">
        <f>STATS1003B!H2310/1000</f>
        <v>1160</v>
      </c>
      <c r="I2304" s="85">
        <f>STATS1003B!I2310/1000</f>
        <v>0</v>
      </c>
      <c r="J2304" s="85">
        <f>STATS1003B!J2310/1000</f>
        <v>1160</v>
      </c>
      <c r="K2304" s="85">
        <f>STATS1003B!K2310/1000</f>
        <v>0</v>
      </c>
      <c r="L2304" s="85">
        <f>STATS1003B!L2310/1000</f>
        <v>0</v>
      </c>
      <c r="M2304" s="85">
        <f>STATS1003B!M2310/1000</f>
        <v>1160</v>
      </c>
      <c r="N2304" s="85">
        <f>STATS1003B!N2310/1000</f>
        <v>0</v>
      </c>
      <c r="O2304" s="85">
        <f>STATS1003B!O2310/1000</f>
        <v>0</v>
      </c>
      <c r="P2304" s="85">
        <f>STATS1003B!P2310/1000</f>
        <v>0</v>
      </c>
      <c r="Q2304" s="85">
        <f>STATS1003B!Q2310/1000</f>
        <v>1160</v>
      </c>
      <c r="R2304" s="85">
        <f>STATS1003B!R2310/1000</f>
        <v>0</v>
      </c>
      <c r="S2304" s="85">
        <f>STATS1003B!S2310/1000</f>
        <v>0</v>
      </c>
      <c r="T2304" s="85">
        <f>STATS1003B!T2310/1000</f>
        <v>0</v>
      </c>
      <c r="U2304" s="85">
        <f>STATS1003B!U2310/1000</f>
        <v>0</v>
      </c>
      <c r="V2304" s="85">
        <f>STATS1003B!V2310/1000</f>
        <v>0</v>
      </c>
      <c r="W2304" s="85">
        <f>STATS1003B!W2310/1000</f>
        <v>0</v>
      </c>
      <c r="X2304" s="85">
        <f>STATS1003B!X2310/1000</f>
        <v>1160</v>
      </c>
      <c r="Y2304" s="85">
        <f>STATS1003B!Y2310/1000</f>
        <v>0</v>
      </c>
      <c r="Z2304" s="85">
        <f>STATS1003B!Z2310/1000</f>
        <v>0</v>
      </c>
      <c r="AA2304" s="69">
        <f>STATS1003B!AA2310/1000</f>
        <v>1160</v>
      </c>
      <c r="AB2304" s="69">
        <f>STATS1003B!AB2310/1000</f>
        <v>0</v>
      </c>
    </row>
    <row r="2305" spans="1:28" hidden="1" x14ac:dyDescent="0.3">
      <c r="A2305" s="117"/>
      <c r="C2305" s="68" t="s">
        <v>535</v>
      </c>
      <c r="D2305" s="145" t="s">
        <v>128</v>
      </c>
      <c r="E2305" s="85">
        <f>STATS1003B!E2311/1000</f>
        <v>1094</v>
      </c>
      <c r="F2305" s="85">
        <f>STATS1003B!F2311/1000</f>
        <v>1094</v>
      </c>
      <c r="G2305" s="85">
        <f>STATS1003B!G2311/1000</f>
        <v>0</v>
      </c>
      <c r="H2305" s="85">
        <f>STATS1003B!H2311/1000</f>
        <v>1094</v>
      </c>
      <c r="I2305" s="85">
        <f>STATS1003B!I2311/1000</f>
        <v>0</v>
      </c>
      <c r="J2305" s="85">
        <f>STATS1003B!J2311/1000</f>
        <v>1094</v>
      </c>
      <c r="K2305" s="85">
        <f>STATS1003B!K2311/1000</f>
        <v>0</v>
      </c>
      <c r="L2305" s="85">
        <f>STATS1003B!L2311/1000</f>
        <v>0</v>
      </c>
      <c r="M2305" s="85">
        <f>STATS1003B!M2311/1000</f>
        <v>1094</v>
      </c>
      <c r="N2305" s="85">
        <f>STATS1003B!N2311/1000</f>
        <v>0</v>
      </c>
      <c r="O2305" s="85">
        <f>STATS1003B!O2311/1000</f>
        <v>0</v>
      </c>
      <c r="P2305" s="85">
        <f>STATS1003B!P2311/1000</f>
        <v>0</v>
      </c>
      <c r="Q2305" s="85">
        <f>STATS1003B!Q2311/1000</f>
        <v>1094</v>
      </c>
      <c r="R2305" s="85">
        <f>STATS1003B!R2311/1000</f>
        <v>0</v>
      </c>
      <c r="S2305" s="85">
        <f>STATS1003B!S2311/1000</f>
        <v>0</v>
      </c>
      <c r="T2305" s="85">
        <f>STATS1003B!T2311/1000</f>
        <v>0</v>
      </c>
      <c r="U2305" s="85">
        <f>STATS1003B!U2311/1000</f>
        <v>0</v>
      </c>
      <c r="V2305" s="85">
        <f>STATS1003B!V2311/1000</f>
        <v>0</v>
      </c>
      <c r="W2305" s="85">
        <f>STATS1003B!W2311/1000</f>
        <v>0</v>
      </c>
      <c r="X2305" s="85">
        <f>STATS1003B!X2311/1000</f>
        <v>1094</v>
      </c>
      <c r="Y2305" s="85">
        <f>STATS1003B!Y2311/1000</f>
        <v>0</v>
      </c>
      <c r="Z2305" s="85">
        <f>STATS1003B!Z2311/1000</f>
        <v>0</v>
      </c>
      <c r="AA2305" s="69">
        <f>STATS1003B!AA2311/1000</f>
        <v>1094</v>
      </c>
      <c r="AB2305" s="69">
        <f>STATS1003B!AB2311/1000</f>
        <v>0</v>
      </c>
    </row>
    <row r="2306" spans="1:28" hidden="1" x14ac:dyDescent="0.3">
      <c r="A2306" s="117"/>
      <c r="C2306" s="68" t="s">
        <v>535</v>
      </c>
      <c r="D2306" s="145" t="s">
        <v>58</v>
      </c>
      <c r="E2306" s="85">
        <f>STATS1003B!E2312/1000</f>
        <v>3590.3020000000001</v>
      </c>
      <c r="F2306" s="85">
        <f>STATS1003B!F2312/1000</f>
        <v>3590.3020000000001</v>
      </c>
      <c r="G2306" s="85">
        <f>STATS1003B!G2312/1000</f>
        <v>0</v>
      </c>
      <c r="H2306" s="85">
        <f>STATS1003B!H2312/1000</f>
        <v>3590.3020000000001</v>
      </c>
      <c r="I2306" s="85">
        <f>STATS1003B!I2312/1000</f>
        <v>0</v>
      </c>
      <c r="J2306" s="85">
        <f>STATS1003B!J2312/1000</f>
        <v>3590.3020000000001</v>
      </c>
      <c r="K2306" s="85">
        <f>STATS1003B!K2312/1000</f>
        <v>0</v>
      </c>
      <c r="L2306" s="85">
        <f>STATS1003B!L2312/1000</f>
        <v>0</v>
      </c>
      <c r="M2306" s="85">
        <f>STATS1003B!M2312/1000</f>
        <v>3590.3020000000001</v>
      </c>
      <c r="N2306" s="85">
        <f>STATS1003B!N2312/1000</f>
        <v>0</v>
      </c>
      <c r="O2306" s="85">
        <f>STATS1003B!O2312/1000</f>
        <v>0</v>
      </c>
      <c r="P2306" s="85">
        <f>STATS1003B!P2312/1000</f>
        <v>0</v>
      </c>
      <c r="Q2306" s="85">
        <f>STATS1003B!Q2312/1000</f>
        <v>3590.3020000000001</v>
      </c>
      <c r="R2306" s="85">
        <f>STATS1003B!R2312/1000</f>
        <v>0</v>
      </c>
      <c r="S2306" s="85">
        <f>STATS1003B!S2312/1000</f>
        <v>0</v>
      </c>
      <c r="T2306" s="85">
        <f>STATS1003B!T2312/1000</f>
        <v>0</v>
      </c>
      <c r="U2306" s="85">
        <f>STATS1003B!U2312/1000</f>
        <v>0</v>
      </c>
      <c r="V2306" s="85">
        <f>STATS1003B!V2312/1000</f>
        <v>0</v>
      </c>
      <c r="W2306" s="85">
        <f>STATS1003B!W2312/1000</f>
        <v>0</v>
      </c>
      <c r="X2306" s="85">
        <f>STATS1003B!X2312/1000</f>
        <v>3590.3020000000001</v>
      </c>
      <c r="Y2306" s="85">
        <f>STATS1003B!Y2312/1000</f>
        <v>0</v>
      </c>
      <c r="Z2306" s="85">
        <f>STATS1003B!Z2312/1000</f>
        <v>0</v>
      </c>
      <c r="AA2306" s="69">
        <f>STATS1003B!AA2312/1000</f>
        <v>3590.3020000000001</v>
      </c>
      <c r="AB2306" s="69">
        <f>STATS1003B!AB2312/1000</f>
        <v>0</v>
      </c>
    </row>
    <row r="2307" spans="1:28" hidden="1" x14ac:dyDescent="0.3">
      <c r="A2307" s="117"/>
      <c r="C2307" s="68" t="s">
        <v>535</v>
      </c>
      <c r="D2307" s="145" t="s">
        <v>60</v>
      </c>
      <c r="E2307" s="85">
        <f>STATS1003B!E2313/1000</f>
        <v>8601.99</v>
      </c>
      <c r="F2307" s="85">
        <f>STATS1003B!F2313/1000</f>
        <v>8601.99</v>
      </c>
      <c r="G2307" s="85">
        <f>STATS1003B!G2313/1000</f>
        <v>0</v>
      </c>
      <c r="H2307" s="85">
        <f>STATS1003B!H2313/1000</f>
        <v>8601.99</v>
      </c>
      <c r="I2307" s="85">
        <f>STATS1003B!I2313/1000</f>
        <v>0</v>
      </c>
      <c r="J2307" s="85">
        <f>STATS1003B!J2313/1000</f>
        <v>8601.99</v>
      </c>
      <c r="K2307" s="85">
        <f>STATS1003B!K2313/1000</f>
        <v>0</v>
      </c>
      <c r="L2307" s="85">
        <f>STATS1003B!L2313/1000</f>
        <v>0</v>
      </c>
      <c r="M2307" s="85">
        <f>STATS1003B!M2313/1000</f>
        <v>8601.99</v>
      </c>
      <c r="N2307" s="85">
        <f>STATS1003B!N2313/1000</f>
        <v>0</v>
      </c>
      <c r="O2307" s="85">
        <f>STATS1003B!O2313/1000</f>
        <v>0</v>
      </c>
      <c r="P2307" s="85">
        <f>STATS1003B!P2313/1000</f>
        <v>0</v>
      </c>
      <c r="Q2307" s="85">
        <f>STATS1003B!Q2313/1000</f>
        <v>8601.99</v>
      </c>
      <c r="R2307" s="85">
        <f>STATS1003B!R2313/1000</f>
        <v>0</v>
      </c>
      <c r="S2307" s="85">
        <f>STATS1003B!S2313/1000</f>
        <v>0</v>
      </c>
      <c r="T2307" s="85">
        <f>STATS1003B!T2313/1000</f>
        <v>0</v>
      </c>
      <c r="U2307" s="85">
        <f>STATS1003B!U2313/1000</f>
        <v>0</v>
      </c>
      <c r="V2307" s="85">
        <f>STATS1003B!V2313/1000</f>
        <v>0</v>
      </c>
      <c r="W2307" s="85">
        <f>STATS1003B!W2313/1000</f>
        <v>0</v>
      </c>
      <c r="X2307" s="85">
        <f>STATS1003B!X2313/1000</f>
        <v>8601.99</v>
      </c>
      <c r="Y2307" s="85">
        <f>STATS1003B!Y2313/1000</f>
        <v>0</v>
      </c>
      <c r="Z2307" s="85">
        <f>STATS1003B!Z2313/1000</f>
        <v>0</v>
      </c>
      <c r="AA2307" s="69">
        <f>STATS1003B!AA2313/1000</f>
        <v>8601.99</v>
      </c>
      <c r="AB2307" s="69">
        <f>STATS1003B!AB2313/1000</f>
        <v>0</v>
      </c>
    </row>
    <row r="2308" spans="1:28" hidden="1" x14ac:dyDescent="0.3">
      <c r="A2308" s="117"/>
      <c r="C2308" s="71" t="s">
        <v>652</v>
      </c>
      <c r="D2308" s="88" t="s">
        <v>194</v>
      </c>
      <c r="E2308" s="85">
        <f>STATS1003B!E2314/1000</f>
        <v>2549.0419999999999</v>
      </c>
      <c r="F2308" s="85">
        <f>STATS1003B!F2314/1000</f>
        <v>2549.0419999999999</v>
      </c>
      <c r="G2308" s="85">
        <f>STATS1003B!G2314/1000</f>
        <v>0</v>
      </c>
      <c r="H2308" s="85">
        <f>STATS1003B!H2314/1000</f>
        <v>2549.0419999999999</v>
      </c>
      <c r="I2308" s="85">
        <f>STATS1003B!I2314/1000</f>
        <v>0</v>
      </c>
      <c r="J2308" s="85">
        <f>STATS1003B!J2314/1000</f>
        <v>2549.0419999999999</v>
      </c>
      <c r="K2308" s="85">
        <f>STATS1003B!K2314/1000</f>
        <v>0</v>
      </c>
      <c r="L2308" s="85">
        <f>STATS1003B!L2314/1000</f>
        <v>0</v>
      </c>
      <c r="M2308" s="85">
        <f>STATS1003B!M2314/1000</f>
        <v>2549.0419999999999</v>
      </c>
      <c r="N2308" s="85">
        <f>STATS1003B!N2314/1000</f>
        <v>0</v>
      </c>
      <c r="O2308" s="85">
        <f>STATS1003B!O2314/1000</f>
        <v>0</v>
      </c>
      <c r="P2308" s="85">
        <f>STATS1003B!P2314/1000</f>
        <v>0</v>
      </c>
      <c r="Q2308" s="85">
        <f>STATS1003B!Q2314/1000</f>
        <v>2549.0419999999999</v>
      </c>
      <c r="R2308" s="85">
        <f>STATS1003B!R2314/1000</f>
        <v>0</v>
      </c>
      <c r="S2308" s="85">
        <f>STATS1003B!S2314/1000</f>
        <v>0</v>
      </c>
      <c r="T2308" s="85">
        <f>STATS1003B!T2314/1000</f>
        <v>0</v>
      </c>
      <c r="U2308" s="85">
        <f>STATS1003B!U2314/1000</f>
        <v>0</v>
      </c>
      <c r="V2308" s="85">
        <f>STATS1003B!V2314/1000</f>
        <v>0</v>
      </c>
      <c r="W2308" s="85">
        <f>STATS1003B!W2314/1000</f>
        <v>0</v>
      </c>
      <c r="X2308" s="85">
        <f>STATS1003B!X2314/1000</f>
        <v>2549.0419999999999</v>
      </c>
      <c r="Y2308" s="85">
        <f>STATS1003B!Y2314/1000</f>
        <v>0</v>
      </c>
      <c r="Z2308" s="85">
        <f>STATS1003B!Z2314/1000</f>
        <v>0</v>
      </c>
      <c r="AA2308" s="69">
        <f>STATS1003B!AA2314/1000</f>
        <v>2549.0419999999999</v>
      </c>
      <c r="AB2308" s="69">
        <f>STATS1003B!AB2314/1000</f>
        <v>0</v>
      </c>
    </row>
    <row r="2309" spans="1:28" hidden="1" x14ac:dyDescent="0.3">
      <c r="A2309" s="117"/>
      <c r="C2309" s="68" t="s">
        <v>535</v>
      </c>
      <c r="D2309" s="145" t="s">
        <v>61</v>
      </c>
      <c r="E2309" s="85">
        <f>STATS1003B!E2315/1000</f>
        <v>409.66309000000001</v>
      </c>
      <c r="F2309" s="85">
        <f>STATS1003B!F2315/1000</f>
        <v>409.66309000000001</v>
      </c>
      <c r="G2309" s="85">
        <f>STATS1003B!G2315/1000</f>
        <v>0</v>
      </c>
      <c r="H2309" s="85">
        <f>STATS1003B!H2315/1000</f>
        <v>409.66309000000001</v>
      </c>
      <c r="I2309" s="85">
        <f>STATS1003B!I2315/1000</f>
        <v>0</v>
      </c>
      <c r="J2309" s="85">
        <f>STATS1003B!J2315/1000</f>
        <v>409.66309000000001</v>
      </c>
      <c r="K2309" s="85">
        <f>STATS1003B!K2315/1000</f>
        <v>0</v>
      </c>
      <c r="L2309" s="85">
        <f>STATS1003B!L2315/1000</f>
        <v>0</v>
      </c>
      <c r="M2309" s="85">
        <f>STATS1003B!M2315/1000</f>
        <v>409.66309000000001</v>
      </c>
      <c r="N2309" s="85">
        <f>STATS1003B!N2315/1000</f>
        <v>0</v>
      </c>
      <c r="O2309" s="85">
        <f>STATS1003B!O2315/1000</f>
        <v>0</v>
      </c>
      <c r="P2309" s="85">
        <f>STATS1003B!P2315/1000</f>
        <v>0</v>
      </c>
      <c r="Q2309" s="85">
        <f>STATS1003B!Q2315/1000</f>
        <v>409.66309000000001</v>
      </c>
      <c r="R2309" s="85">
        <f>STATS1003B!R2315/1000</f>
        <v>0</v>
      </c>
      <c r="S2309" s="85">
        <f>STATS1003B!S2315/1000</f>
        <v>0</v>
      </c>
      <c r="T2309" s="85">
        <f>STATS1003B!T2315/1000</f>
        <v>0</v>
      </c>
      <c r="U2309" s="85">
        <f>STATS1003B!U2315/1000</f>
        <v>0</v>
      </c>
      <c r="V2309" s="85">
        <f>STATS1003B!V2315/1000</f>
        <v>0</v>
      </c>
      <c r="W2309" s="85">
        <f>STATS1003B!W2315/1000</f>
        <v>0</v>
      </c>
      <c r="X2309" s="85">
        <f>STATS1003B!X2315/1000</f>
        <v>409.66309000000001</v>
      </c>
      <c r="Y2309" s="85">
        <f>STATS1003B!Y2315/1000</f>
        <v>0</v>
      </c>
      <c r="Z2309" s="85">
        <f>STATS1003B!Z2315/1000</f>
        <v>0</v>
      </c>
      <c r="AA2309" s="69">
        <f>STATS1003B!AA2315/1000</f>
        <v>409.66309000000001</v>
      </c>
      <c r="AB2309" s="69">
        <f>STATS1003B!AB2315/1000</f>
        <v>0</v>
      </c>
    </row>
    <row r="2310" spans="1:28" hidden="1" x14ac:dyDescent="0.3">
      <c r="A2310" s="117"/>
      <c r="C2310" s="68" t="s">
        <v>550</v>
      </c>
      <c r="E2310" s="85">
        <f>STATS1003B!E2316/1000</f>
        <v>499.57400000000001</v>
      </c>
      <c r="F2310" s="85">
        <f>STATS1003B!F2316/1000</f>
        <v>499.57400000000001</v>
      </c>
      <c r="G2310" s="85">
        <f>STATS1003B!G2316/1000</f>
        <v>0</v>
      </c>
      <c r="H2310" s="85">
        <f>STATS1003B!H2316/1000</f>
        <v>499.57400000000001</v>
      </c>
      <c r="I2310" s="85">
        <f>STATS1003B!I2316/1000</f>
        <v>0</v>
      </c>
      <c r="J2310" s="85">
        <f>STATS1003B!J2316/1000</f>
        <v>499.57400000000001</v>
      </c>
      <c r="K2310" s="85">
        <f>STATS1003B!K2316/1000</f>
        <v>0</v>
      </c>
      <c r="L2310" s="85">
        <f>STATS1003B!L2316/1000</f>
        <v>0</v>
      </c>
      <c r="M2310" s="85">
        <f>STATS1003B!M2316/1000</f>
        <v>499.57400000000001</v>
      </c>
      <c r="N2310" s="85">
        <f>STATS1003B!N2316/1000</f>
        <v>0</v>
      </c>
      <c r="O2310" s="85">
        <f>STATS1003B!O2316/1000</f>
        <v>0</v>
      </c>
      <c r="P2310" s="85">
        <f>STATS1003B!P2316/1000</f>
        <v>0</v>
      </c>
      <c r="Q2310" s="85">
        <f>STATS1003B!Q2316/1000</f>
        <v>499.57400000000001</v>
      </c>
      <c r="R2310" s="85">
        <f>STATS1003B!R2316/1000</f>
        <v>0</v>
      </c>
      <c r="S2310" s="85">
        <f>STATS1003B!S2316/1000</f>
        <v>0</v>
      </c>
      <c r="T2310" s="85">
        <f>STATS1003B!T2316/1000</f>
        <v>0</v>
      </c>
      <c r="U2310" s="85">
        <f>STATS1003B!U2316/1000</f>
        <v>0</v>
      </c>
      <c r="V2310" s="85">
        <f>STATS1003B!V2316/1000</f>
        <v>0</v>
      </c>
      <c r="W2310" s="85">
        <f>STATS1003B!W2316/1000</f>
        <v>0</v>
      </c>
      <c r="X2310" s="85">
        <f>STATS1003B!X2316/1000</f>
        <v>499.57400000000001</v>
      </c>
      <c r="Y2310" s="85">
        <f>STATS1003B!Y2316/1000</f>
        <v>0</v>
      </c>
      <c r="Z2310" s="85">
        <f>STATS1003B!Z2316/1000</f>
        <v>0</v>
      </c>
      <c r="AA2310" s="69">
        <f>STATS1003B!AA2316/1000</f>
        <v>499.57400000000001</v>
      </c>
      <c r="AB2310" s="69">
        <f>STATS1003B!AB2316/1000</f>
        <v>0</v>
      </c>
    </row>
    <row r="2311" spans="1:28" hidden="1" x14ac:dyDescent="0.3">
      <c r="A2311" s="117"/>
      <c r="C2311" s="68" t="s">
        <v>606</v>
      </c>
      <c r="E2311" s="85">
        <f>STATS1003B!E2317/1000</f>
        <v>5000</v>
      </c>
      <c r="F2311" s="85">
        <f>STATS1003B!F2317/1000</f>
        <v>5000</v>
      </c>
      <c r="G2311" s="85">
        <f>STATS1003B!G2317/1000</f>
        <v>0</v>
      </c>
      <c r="H2311" s="85">
        <f>STATS1003B!H2317/1000</f>
        <v>5000</v>
      </c>
      <c r="I2311" s="85">
        <f>STATS1003B!I2317/1000</f>
        <v>0</v>
      </c>
      <c r="J2311" s="85">
        <f>STATS1003B!J2317/1000</f>
        <v>5000</v>
      </c>
      <c r="K2311" s="85">
        <f>STATS1003B!K2317/1000</f>
        <v>0</v>
      </c>
      <c r="L2311" s="85">
        <f>STATS1003B!L2317/1000</f>
        <v>0</v>
      </c>
      <c r="M2311" s="85">
        <f>STATS1003B!M2317/1000</f>
        <v>5000</v>
      </c>
      <c r="N2311" s="85">
        <f>STATS1003B!N2317/1000</f>
        <v>0</v>
      </c>
      <c r="O2311" s="85">
        <f>STATS1003B!O2317/1000</f>
        <v>0</v>
      </c>
      <c r="P2311" s="85">
        <f>STATS1003B!P2317/1000</f>
        <v>0</v>
      </c>
      <c r="Q2311" s="85">
        <f>STATS1003B!Q2317/1000</f>
        <v>5000</v>
      </c>
      <c r="R2311" s="85">
        <f>STATS1003B!R2317/1000</f>
        <v>0</v>
      </c>
      <c r="S2311" s="85">
        <f>STATS1003B!S2317/1000</f>
        <v>0</v>
      </c>
      <c r="T2311" s="85">
        <f>STATS1003B!T2317/1000</f>
        <v>0</v>
      </c>
      <c r="U2311" s="85">
        <f>STATS1003B!U2317/1000</f>
        <v>0</v>
      </c>
      <c r="V2311" s="85">
        <f>STATS1003B!V2317/1000</f>
        <v>0</v>
      </c>
      <c r="W2311" s="85">
        <f>STATS1003B!W2317/1000</f>
        <v>0</v>
      </c>
      <c r="X2311" s="85">
        <f>STATS1003B!X2317/1000</f>
        <v>5000</v>
      </c>
      <c r="Y2311" s="85">
        <f>STATS1003B!Y2317/1000</f>
        <v>0</v>
      </c>
      <c r="Z2311" s="85">
        <f>STATS1003B!Z2317/1000</f>
        <v>0</v>
      </c>
      <c r="AA2311" s="69">
        <f>STATS1003B!AA2317/1000</f>
        <v>5000</v>
      </c>
      <c r="AB2311" s="69">
        <f>STATS1003B!AB2317/1000</f>
        <v>0</v>
      </c>
    </row>
    <row r="2312" spans="1:28" hidden="1" x14ac:dyDescent="0.3">
      <c r="A2312" s="117"/>
      <c r="E2312" s="86" t="s">
        <v>29</v>
      </c>
      <c r="F2312" s="86" t="s">
        <v>29</v>
      </c>
      <c r="G2312" s="86" t="s">
        <v>29</v>
      </c>
      <c r="H2312" s="86" t="s">
        <v>29</v>
      </c>
      <c r="I2312" s="86" t="s">
        <v>29</v>
      </c>
      <c r="J2312" s="86" t="s">
        <v>29</v>
      </c>
      <c r="K2312" s="86" t="s">
        <v>29</v>
      </c>
      <c r="L2312" s="86" t="s">
        <v>29</v>
      </c>
      <c r="M2312" s="86" t="s">
        <v>29</v>
      </c>
      <c r="N2312" s="86" t="s">
        <v>29</v>
      </c>
      <c r="O2312" s="86" t="s">
        <v>29</v>
      </c>
      <c r="P2312" s="86" t="s">
        <v>29</v>
      </c>
      <c r="Q2312" s="86" t="s">
        <v>29</v>
      </c>
      <c r="R2312" s="86" t="s">
        <v>29</v>
      </c>
      <c r="S2312" s="86" t="s">
        <v>29</v>
      </c>
      <c r="T2312" s="86" t="s">
        <v>29</v>
      </c>
      <c r="U2312" s="86" t="s">
        <v>29</v>
      </c>
      <c r="V2312" s="86" t="s">
        <v>29</v>
      </c>
      <c r="W2312" s="86" t="s">
        <v>29</v>
      </c>
      <c r="X2312" s="86" t="s">
        <v>29</v>
      </c>
      <c r="Y2312" s="86" t="s">
        <v>29</v>
      </c>
      <c r="Z2312" s="86" t="s">
        <v>29</v>
      </c>
      <c r="AA2312" s="115" t="s">
        <v>29</v>
      </c>
      <c r="AB2312" s="115" t="s">
        <v>29</v>
      </c>
    </row>
    <row r="2313" spans="1:28" x14ac:dyDescent="0.3">
      <c r="A2313" s="116">
        <v>100</v>
      </c>
      <c r="B2313" s="68" t="s">
        <v>839</v>
      </c>
      <c r="E2313" s="85">
        <f>83308088.3/1000</f>
        <v>83308.088300000003</v>
      </c>
      <c r="F2313" s="85">
        <f t="shared" ref="F2313:Q2313" si="254">SUM(F2299:F2312)</f>
        <v>25282.934090000002</v>
      </c>
      <c r="G2313" s="85">
        <f t="shared" si="254"/>
        <v>0</v>
      </c>
      <c r="H2313" s="85">
        <f>81354099.3/1000</f>
        <v>81354.099300000002</v>
      </c>
      <c r="I2313" s="85">
        <f t="shared" si="254"/>
        <v>0</v>
      </c>
      <c r="J2313" s="85">
        <f t="shared" si="254"/>
        <v>25282.934090000002</v>
      </c>
      <c r="K2313" s="85">
        <f t="shared" si="254"/>
        <v>1953.989</v>
      </c>
      <c r="L2313" s="85">
        <f t="shared" si="254"/>
        <v>0</v>
      </c>
      <c r="M2313" s="85">
        <f t="shared" si="254"/>
        <v>25282.934090000002</v>
      </c>
      <c r="N2313" s="85">
        <f t="shared" si="254"/>
        <v>1953.989</v>
      </c>
      <c r="O2313" s="85">
        <f t="shared" si="254"/>
        <v>0</v>
      </c>
      <c r="P2313" s="85">
        <f>1953989/1000</f>
        <v>1953.989</v>
      </c>
      <c r="Q2313" s="85">
        <f t="shared" si="254"/>
        <v>25282.934090000002</v>
      </c>
      <c r="R2313" s="84"/>
      <c r="S2313" s="84"/>
      <c r="T2313" s="85">
        <f t="shared" ref="T2313:Y2313" si="255">SUM(T2299:T2312)</f>
        <v>0</v>
      </c>
      <c r="U2313" s="85">
        <f t="shared" si="255"/>
        <v>1953.989</v>
      </c>
      <c r="V2313" s="85">
        <f t="shared" si="255"/>
        <v>0</v>
      </c>
      <c r="W2313" s="85">
        <f t="shared" si="255"/>
        <v>0</v>
      </c>
      <c r="X2313" s="85">
        <f>+H2313+P2313</f>
        <v>83308.088300000003</v>
      </c>
      <c r="Y2313" s="85">
        <f t="shared" si="255"/>
        <v>0</v>
      </c>
      <c r="Z2313" s="85">
        <f>+E2313-X2313</f>
        <v>0</v>
      </c>
      <c r="AA2313" s="69">
        <f>SUM(AA2299:AA2312)</f>
        <v>27236.923090000004</v>
      </c>
      <c r="AB2313" s="69">
        <f>SUM(AB2299:AB2312)</f>
        <v>0</v>
      </c>
    </row>
    <row r="2314" spans="1:28" hidden="1" x14ac:dyDescent="0.3">
      <c r="A2314" s="117"/>
      <c r="E2314" s="86" t="s">
        <v>29</v>
      </c>
      <c r="F2314" s="86" t="s">
        <v>29</v>
      </c>
      <c r="G2314" s="86" t="s">
        <v>29</v>
      </c>
      <c r="H2314" s="86" t="s">
        <v>29</v>
      </c>
      <c r="I2314" s="86" t="s">
        <v>29</v>
      </c>
      <c r="J2314" s="86" t="s">
        <v>29</v>
      </c>
      <c r="K2314" s="86" t="s">
        <v>29</v>
      </c>
      <c r="L2314" s="86" t="s">
        <v>29</v>
      </c>
      <c r="M2314" s="86" t="s">
        <v>29</v>
      </c>
      <c r="N2314" s="86" t="s">
        <v>29</v>
      </c>
      <c r="O2314" s="86" t="s">
        <v>29</v>
      </c>
      <c r="P2314" s="86" t="s">
        <v>29</v>
      </c>
      <c r="Q2314" s="86" t="s">
        <v>29</v>
      </c>
      <c r="R2314" s="86" t="s">
        <v>29</v>
      </c>
      <c r="S2314" s="86" t="s">
        <v>29</v>
      </c>
      <c r="T2314" s="86" t="s">
        <v>29</v>
      </c>
      <c r="U2314" s="86" t="s">
        <v>29</v>
      </c>
      <c r="V2314" s="86" t="s">
        <v>29</v>
      </c>
      <c r="W2314" s="86" t="s">
        <v>29</v>
      </c>
      <c r="X2314" s="85" t="e">
        <f t="shared" ref="X2314:X2377" si="256">+H2314+P2314</f>
        <v>#VALUE!</v>
      </c>
      <c r="Y2314" s="86" t="s">
        <v>29</v>
      </c>
      <c r="Z2314" s="86" t="s">
        <v>29</v>
      </c>
      <c r="AA2314" s="115" t="s">
        <v>29</v>
      </c>
      <c r="AB2314" s="115" t="s">
        <v>29</v>
      </c>
    </row>
    <row r="2315" spans="1:28" hidden="1" x14ac:dyDescent="0.3">
      <c r="A2315" s="117"/>
      <c r="E2315" s="86"/>
      <c r="F2315" s="86"/>
      <c r="G2315" s="86"/>
      <c r="H2315" s="86"/>
      <c r="I2315" s="86"/>
      <c r="J2315" s="86"/>
      <c r="K2315" s="86"/>
      <c r="L2315" s="86"/>
      <c r="M2315" s="86"/>
      <c r="N2315" s="86"/>
      <c r="O2315" s="86"/>
      <c r="P2315" s="86"/>
      <c r="Q2315" s="86"/>
      <c r="R2315" s="86"/>
      <c r="S2315" s="86"/>
      <c r="T2315" s="86"/>
      <c r="U2315" s="86"/>
      <c r="V2315" s="86"/>
      <c r="W2315" s="86"/>
      <c r="X2315" s="85">
        <f t="shared" si="256"/>
        <v>0</v>
      </c>
      <c r="Y2315" s="86"/>
      <c r="Z2315" s="86"/>
      <c r="AA2315" s="115"/>
      <c r="AB2315" s="115"/>
    </row>
    <row r="2316" spans="1:28" hidden="1" x14ac:dyDescent="0.3">
      <c r="A2316" s="105"/>
      <c r="E2316" s="86"/>
      <c r="F2316" s="86"/>
      <c r="G2316" s="86"/>
      <c r="H2316" s="86"/>
      <c r="I2316" s="86"/>
      <c r="J2316" s="86"/>
      <c r="K2316" s="86"/>
      <c r="L2316" s="86"/>
      <c r="M2316" s="86"/>
      <c r="N2316" s="86"/>
      <c r="O2316" s="86"/>
      <c r="P2316" s="86"/>
      <c r="Q2316" s="86"/>
      <c r="R2316" s="86"/>
      <c r="S2316" s="86"/>
      <c r="T2316" s="86"/>
      <c r="U2316" s="86"/>
      <c r="V2316" s="86"/>
      <c r="W2316" s="86"/>
      <c r="X2316" s="85">
        <f t="shared" si="256"/>
        <v>0</v>
      </c>
      <c r="Y2316" s="86"/>
      <c r="Z2316" s="86"/>
      <c r="AA2316" s="115"/>
      <c r="AB2316" s="115"/>
    </row>
    <row r="2317" spans="1:28" x14ac:dyDescent="0.3">
      <c r="A2317" s="117"/>
      <c r="B2317" s="6" t="s">
        <v>1281</v>
      </c>
      <c r="D2317" s="91" t="s">
        <v>1126</v>
      </c>
      <c r="E2317" s="85">
        <f>353819/1000</f>
        <v>353.81900000000002</v>
      </c>
      <c r="F2317" s="85">
        <f>STATS1003B!F2323/1000</f>
        <v>353.81981000000002</v>
      </c>
      <c r="G2317" s="85">
        <f>STATS1003B!G2323/1000</f>
        <v>0</v>
      </c>
      <c r="H2317" s="85">
        <f>353819/1000</f>
        <v>353.81900000000002</v>
      </c>
      <c r="I2317" s="85">
        <f>STATS1003B!I2323/1000</f>
        <v>0</v>
      </c>
      <c r="J2317" s="85">
        <f>STATS1003B!J2323/1000</f>
        <v>0</v>
      </c>
      <c r="K2317" s="85">
        <f>STATS1003B!K2323/1000</f>
        <v>0</v>
      </c>
      <c r="L2317" s="85">
        <f>STATS1003B!L2323/1000</f>
        <v>0</v>
      </c>
      <c r="M2317" s="85">
        <f>STATS1003B!M2323/1000</f>
        <v>353.81981000000002</v>
      </c>
      <c r="N2317" s="85">
        <f>STATS1003B!N2323/1000</f>
        <v>0</v>
      </c>
      <c r="O2317" s="85">
        <f>STATS1003B!O2323/1000</f>
        <v>0</v>
      </c>
      <c r="P2317" s="85">
        <v>0</v>
      </c>
      <c r="Q2317" s="85">
        <f>STATS1003B!Q2323/1000</f>
        <v>0</v>
      </c>
      <c r="R2317" s="85">
        <f>STATS1003B!R2323/1000</f>
        <v>0</v>
      </c>
      <c r="S2317" s="85">
        <f>STATS1003B!S2323/1000</f>
        <v>0</v>
      </c>
      <c r="T2317" s="85">
        <f>STATS1003B!T2323/1000</f>
        <v>0</v>
      </c>
      <c r="U2317" s="85">
        <f>STATS1003B!U2323/1000</f>
        <v>0</v>
      </c>
      <c r="V2317" s="85">
        <f>STATS1003B!V2323/1000</f>
        <v>0</v>
      </c>
      <c r="W2317" s="85">
        <f>STATS1003B!W2323/1000</f>
        <v>0</v>
      </c>
      <c r="X2317" s="85">
        <f t="shared" si="256"/>
        <v>353.81900000000002</v>
      </c>
      <c r="Y2317" s="85">
        <f>STATS1003B!Y2323/1000</f>
        <v>0</v>
      </c>
      <c r="Z2317" s="85">
        <f t="shared" ref="Z2317:Z2380" si="257">+E2317-X2317</f>
        <v>0</v>
      </c>
      <c r="AA2317" s="69">
        <f>STATS1003B!AA2323/1000</f>
        <v>353.81981000000002</v>
      </c>
      <c r="AB2317" s="69">
        <f>STATS1003B!AB2323/1000</f>
        <v>0</v>
      </c>
    </row>
    <row r="2318" spans="1:28" hidden="1" x14ac:dyDescent="0.3">
      <c r="A2318" s="117"/>
      <c r="E2318" s="86" t="s">
        <v>29</v>
      </c>
      <c r="F2318" s="86" t="s">
        <v>29</v>
      </c>
      <c r="G2318" s="86" t="s">
        <v>29</v>
      </c>
      <c r="H2318" s="86" t="s">
        <v>29</v>
      </c>
      <c r="I2318" s="86" t="s">
        <v>29</v>
      </c>
      <c r="J2318" s="86" t="s">
        <v>29</v>
      </c>
      <c r="K2318" s="86" t="s">
        <v>29</v>
      </c>
      <c r="L2318" s="86" t="s">
        <v>29</v>
      </c>
      <c r="M2318" s="86" t="s">
        <v>29</v>
      </c>
      <c r="N2318" s="86" t="s">
        <v>29</v>
      </c>
      <c r="O2318" s="86" t="s">
        <v>29</v>
      </c>
      <c r="P2318" s="86" t="s">
        <v>29</v>
      </c>
      <c r="Q2318" s="86" t="s">
        <v>29</v>
      </c>
      <c r="R2318" s="86" t="s">
        <v>29</v>
      </c>
      <c r="S2318" s="86" t="s">
        <v>29</v>
      </c>
      <c r="T2318" s="86" t="s">
        <v>29</v>
      </c>
      <c r="U2318" s="86" t="s">
        <v>29</v>
      </c>
      <c r="V2318" s="86" t="s">
        <v>29</v>
      </c>
      <c r="W2318" s="86" t="s">
        <v>29</v>
      </c>
      <c r="X2318" s="85" t="e">
        <f t="shared" si="256"/>
        <v>#VALUE!</v>
      </c>
      <c r="Y2318" s="86" t="s">
        <v>29</v>
      </c>
      <c r="Z2318" s="85" t="e">
        <f t="shared" si="257"/>
        <v>#VALUE!</v>
      </c>
      <c r="AA2318" s="115" t="s">
        <v>29</v>
      </c>
      <c r="AB2318" s="115" t="s">
        <v>29</v>
      </c>
    </row>
    <row r="2319" spans="1:28" hidden="1" x14ac:dyDescent="0.3">
      <c r="A2319" s="117"/>
      <c r="E2319" s="86"/>
      <c r="F2319" s="86"/>
      <c r="G2319" s="86"/>
      <c r="H2319" s="86"/>
      <c r="I2319" s="86"/>
      <c r="J2319" s="86"/>
      <c r="K2319" s="86"/>
      <c r="L2319" s="86"/>
      <c r="M2319" s="86"/>
      <c r="N2319" s="86"/>
      <c r="O2319" s="86"/>
      <c r="P2319" s="86"/>
      <c r="Q2319" s="86"/>
      <c r="R2319" s="86"/>
      <c r="S2319" s="86"/>
      <c r="T2319" s="86"/>
      <c r="U2319" s="86"/>
      <c r="V2319" s="86"/>
      <c r="W2319" s="86"/>
      <c r="X2319" s="85">
        <f t="shared" si="256"/>
        <v>0</v>
      </c>
      <c r="Y2319" s="86"/>
      <c r="Z2319" s="85">
        <f t="shared" si="257"/>
        <v>0</v>
      </c>
      <c r="AA2319" s="115"/>
      <c r="AB2319" s="115"/>
    </row>
    <row r="2320" spans="1:28" hidden="1" x14ac:dyDescent="0.3">
      <c r="A2320" s="105"/>
      <c r="E2320" s="84"/>
      <c r="F2320" s="84"/>
      <c r="G2320" s="84"/>
      <c r="H2320" s="84"/>
      <c r="I2320" s="84"/>
      <c r="J2320" s="84"/>
      <c r="K2320" s="84"/>
      <c r="L2320" s="84"/>
      <c r="M2320" s="84"/>
      <c r="N2320" s="84"/>
      <c r="O2320" s="84"/>
      <c r="P2320" s="84"/>
      <c r="Q2320" s="84"/>
      <c r="R2320" s="84"/>
      <c r="S2320" s="84"/>
      <c r="T2320" s="84"/>
      <c r="U2320" s="84"/>
      <c r="V2320" s="84"/>
      <c r="W2320" s="84"/>
      <c r="X2320" s="85">
        <f t="shared" si="256"/>
        <v>0</v>
      </c>
      <c r="Y2320" s="84"/>
      <c r="Z2320" s="85">
        <f t="shared" si="257"/>
        <v>0</v>
      </c>
    </row>
    <row r="2321" spans="1:28" hidden="1" x14ac:dyDescent="0.3">
      <c r="A2321" s="117"/>
      <c r="C2321" s="68" t="s">
        <v>535</v>
      </c>
      <c r="D2321" s="101">
        <v>1994</v>
      </c>
      <c r="E2321" s="85">
        <f>STATS1003B!E2327/1000</f>
        <v>8.0148000000000472</v>
      </c>
      <c r="F2321" s="85">
        <f>STATS1003B!F2327/1000</f>
        <v>0</v>
      </c>
      <c r="G2321" s="85">
        <f>STATS1003B!G2327/1000</f>
        <v>0</v>
      </c>
      <c r="H2321" s="85">
        <f>STATS1003B!H2327/1000</f>
        <v>0</v>
      </c>
      <c r="I2321" s="85">
        <f>STATS1003B!I2327/1000</f>
        <v>0</v>
      </c>
      <c r="J2321" s="85">
        <f>STATS1003B!J2327/1000</f>
        <v>0</v>
      </c>
      <c r="K2321" s="85">
        <f>STATS1003B!K2327/1000</f>
        <v>8.014800000000001</v>
      </c>
      <c r="L2321" s="85">
        <f>STATS1003B!L2327/1000</f>
        <v>0</v>
      </c>
      <c r="M2321" s="85">
        <f>STATS1003B!M2327/1000</f>
        <v>0</v>
      </c>
      <c r="N2321" s="85">
        <f>STATS1003B!N2327/1000</f>
        <v>8.014800000000001</v>
      </c>
      <c r="O2321" s="85">
        <f>STATS1003B!O2327/1000</f>
        <v>0</v>
      </c>
      <c r="P2321" s="85">
        <f>STATS1003B!P2327/1000</f>
        <v>8.014800000000001</v>
      </c>
      <c r="Q2321" s="85">
        <f>STATS1003B!Q2327/1000</f>
        <v>4.6384229790419337E-14</v>
      </c>
      <c r="R2321" s="85">
        <f>STATS1003B!R2327/1000</f>
        <v>0</v>
      </c>
      <c r="S2321" s="85">
        <f>STATS1003B!S2327/1000</f>
        <v>0</v>
      </c>
      <c r="T2321" s="85">
        <f>STATS1003B!T2327/1000</f>
        <v>0</v>
      </c>
      <c r="U2321" s="85">
        <f>STATS1003B!U2327/1000</f>
        <v>8.014800000000001</v>
      </c>
      <c r="V2321" s="85">
        <f>STATS1003B!V2327/1000</f>
        <v>0</v>
      </c>
      <c r="W2321" s="85">
        <f>STATS1003B!W2327/1000</f>
        <v>0</v>
      </c>
      <c r="X2321" s="85">
        <f t="shared" si="256"/>
        <v>8.014800000000001</v>
      </c>
      <c r="Y2321" s="85">
        <f>STATS1003B!Y2327/1000</f>
        <v>0</v>
      </c>
      <c r="Z2321" s="85">
        <f t="shared" si="257"/>
        <v>4.6185277824406512E-14</v>
      </c>
      <c r="AA2321" s="69">
        <f>STATS1003B!AA2327/1000</f>
        <v>8.014800000000001</v>
      </c>
      <c r="AB2321" s="69">
        <f>STATS1003B!AB2327/1000</f>
        <v>4.6384229790419337E-14</v>
      </c>
    </row>
    <row r="2322" spans="1:28" hidden="1" x14ac:dyDescent="0.3">
      <c r="A2322" s="117"/>
      <c r="C2322" s="68" t="s">
        <v>535</v>
      </c>
      <c r="D2322" s="101">
        <v>1995</v>
      </c>
      <c r="E2322" s="85">
        <f>STATS1003B!E2328/1000</f>
        <v>606.63499999999999</v>
      </c>
      <c r="F2322" s="85">
        <f>STATS1003B!F2328/1000</f>
        <v>606.63499999999999</v>
      </c>
      <c r="G2322" s="85">
        <f>STATS1003B!G2328/1000</f>
        <v>0</v>
      </c>
      <c r="H2322" s="85">
        <f>STATS1003B!H2328/1000</f>
        <v>606.63499999999999</v>
      </c>
      <c r="I2322" s="85">
        <f>STATS1003B!I2328/1000</f>
        <v>0</v>
      </c>
      <c r="J2322" s="85">
        <f>STATS1003B!J2328/1000</f>
        <v>606.63499999999999</v>
      </c>
      <c r="K2322" s="85">
        <f>STATS1003B!K2328/1000</f>
        <v>0</v>
      </c>
      <c r="L2322" s="85">
        <f>STATS1003B!L2328/1000</f>
        <v>0</v>
      </c>
      <c r="M2322" s="85">
        <f>STATS1003B!M2328/1000</f>
        <v>606.63499999999999</v>
      </c>
      <c r="N2322" s="85">
        <f>STATS1003B!N2328/1000</f>
        <v>0</v>
      </c>
      <c r="O2322" s="85">
        <f>STATS1003B!O2328/1000</f>
        <v>0</v>
      </c>
      <c r="P2322" s="85">
        <f>STATS1003B!P2328/1000</f>
        <v>0</v>
      </c>
      <c r="Q2322" s="85">
        <f>STATS1003B!Q2328/1000</f>
        <v>606.63499999999999</v>
      </c>
      <c r="R2322" s="85">
        <f>STATS1003B!R2328/1000</f>
        <v>0</v>
      </c>
      <c r="S2322" s="85">
        <f>STATS1003B!S2328/1000</f>
        <v>0</v>
      </c>
      <c r="T2322" s="85">
        <f>STATS1003B!T2328/1000</f>
        <v>0</v>
      </c>
      <c r="U2322" s="85">
        <f>STATS1003B!U2328/1000</f>
        <v>0</v>
      </c>
      <c r="V2322" s="85">
        <f>STATS1003B!V2328/1000</f>
        <v>0</v>
      </c>
      <c r="W2322" s="85">
        <f>STATS1003B!W2328/1000</f>
        <v>0</v>
      </c>
      <c r="X2322" s="85">
        <f t="shared" si="256"/>
        <v>606.63499999999999</v>
      </c>
      <c r="Y2322" s="85">
        <f>STATS1003B!Y2328/1000</f>
        <v>0</v>
      </c>
      <c r="Z2322" s="85">
        <f t="shared" si="257"/>
        <v>0</v>
      </c>
      <c r="AA2322" s="69">
        <f>STATS1003B!AA2328/1000</f>
        <v>606.63499999999999</v>
      </c>
      <c r="AB2322" s="69">
        <f>STATS1003B!AB2328/1000</f>
        <v>0</v>
      </c>
    </row>
    <row r="2323" spans="1:28" hidden="1" x14ac:dyDescent="0.3">
      <c r="A2323" s="117"/>
      <c r="C2323" s="68" t="s">
        <v>545</v>
      </c>
      <c r="D2323" s="101">
        <v>1995</v>
      </c>
      <c r="E2323" s="85">
        <f>STATS1003B!E2329/1000</f>
        <v>570.94100000000003</v>
      </c>
      <c r="F2323" s="85">
        <f>STATS1003B!F2329/1000</f>
        <v>0</v>
      </c>
      <c r="G2323" s="85">
        <f>STATS1003B!G2329/1000</f>
        <v>0</v>
      </c>
      <c r="H2323" s="85">
        <f>STATS1003B!H2329/1000</f>
        <v>0</v>
      </c>
      <c r="I2323" s="85">
        <f>STATS1003B!I2329/1000</f>
        <v>0</v>
      </c>
      <c r="J2323" s="85">
        <f>STATS1003B!J2329/1000</f>
        <v>0</v>
      </c>
      <c r="K2323" s="85">
        <f>STATS1003B!K2329/1000</f>
        <v>570.94100000000003</v>
      </c>
      <c r="L2323" s="85">
        <f>STATS1003B!L2329/1000</f>
        <v>0</v>
      </c>
      <c r="M2323" s="85">
        <f>STATS1003B!M2329/1000</f>
        <v>0</v>
      </c>
      <c r="N2323" s="85">
        <f>STATS1003B!N2329/1000</f>
        <v>570.94100000000003</v>
      </c>
      <c r="O2323" s="85">
        <f>STATS1003B!O2329/1000</f>
        <v>0</v>
      </c>
      <c r="P2323" s="85">
        <f>STATS1003B!P2329/1000</f>
        <v>570.94100000000003</v>
      </c>
      <c r="Q2323" s="85">
        <f>STATS1003B!Q2329/1000</f>
        <v>0</v>
      </c>
      <c r="R2323" s="85">
        <f>STATS1003B!R2329/1000</f>
        <v>0</v>
      </c>
      <c r="S2323" s="85">
        <f>STATS1003B!S2329/1000</f>
        <v>0</v>
      </c>
      <c r="T2323" s="85">
        <f>STATS1003B!T2329/1000</f>
        <v>0</v>
      </c>
      <c r="U2323" s="85">
        <f>STATS1003B!U2329/1000</f>
        <v>570.94100000000003</v>
      </c>
      <c r="V2323" s="85">
        <f>STATS1003B!V2329/1000</f>
        <v>0</v>
      </c>
      <c r="W2323" s="85">
        <f>STATS1003B!W2329/1000</f>
        <v>0</v>
      </c>
      <c r="X2323" s="85">
        <f t="shared" si="256"/>
        <v>570.94100000000003</v>
      </c>
      <c r="Y2323" s="85">
        <f>STATS1003B!Y2329/1000</f>
        <v>0</v>
      </c>
      <c r="Z2323" s="85">
        <f t="shared" si="257"/>
        <v>0</v>
      </c>
      <c r="AA2323" s="69">
        <f>STATS1003B!AA2329/1000</f>
        <v>570.94100000000003</v>
      </c>
      <c r="AB2323" s="69">
        <f>STATS1003B!AB2329/1000</f>
        <v>0</v>
      </c>
    </row>
    <row r="2324" spans="1:28" hidden="1" x14ac:dyDescent="0.3">
      <c r="A2324" s="117"/>
      <c r="C2324" s="68" t="s">
        <v>535</v>
      </c>
      <c r="D2324" s="101">
        <v>1996</v>
      </c>
      <c r="E2324" s="85">
        <f>STATS1003B!E2330/1000</f>
        <v>1253.7</v>
      </c>
      <c r="F2324" s="85">
        <f>STATS1003B!F2330/1000</f>
        <v>1253.7</v>
      </c>
      <c r="G2324" s="85">
        <f>STATS1003B!G2330/1000</f>
        <v>0</v>
      </c>
      <c r="H2324" s="85">
        <f>STATS1003B!H2330/1000</f>
        <v>1253.7</v>
      </c>
      <c r="I2324" s="85">
        <f>STATS1003B!I2330/1000</f>
        <v>0</v>
      </c>
      <c r="J2324" s="85">
        <f>STATS1003B!J2330/1000</f>
        <v>1253.7</v>
      </c>
      <c r="K2324" s="85">
        <f>STATS1003B!K2330/1000</f>
        <v>0</v>
      </c>
      <c r="L2324" s="85">
        <f>STATS1003B!L2330/1000</f>
        <v>0</v>
      </c>
      <c r="M2324" s="85">
        <f>STATS1003B!M2330/1000</f>
        <v>1253.7</v>
      </c>
      <c r="N2324" s="85">
        <f>STATS1003B!N2330/1000</f>
        <v>0</v>
      </c>
      <c r="O2324" s="85">
        <f>STATS1003B!O2330/1000</f>
        <v>0</v>
      </c>
      <c r="P2324" s="85">
        <f>STATS1003B!P2330/1000</f>
        <v>0</v>
      </c>
      <c r="Q2324" s="85">
        <f>STATS1003B!Q2330/1000</f>
        <v>1253.7</v>
      </c>
      <c r="R2324" s="85">
        <f>STATS1003B!R2330/1000</f>
        <v>0</v>
      </c>
      <c r="S2324" s="85">
        <f>STATS1003B!S2330/1000</f>
        <v>0</v>
      </c>
      <c r="T2324" s="85">
        <f>STATS1003B!T2330/1000</f>
        <v>0</v>
      </c>
      <c r="U2324" s="85">
        <f>STATS1003B!U2330/1000</f>
        <v>0</v>
      </c>
      <c r="V2324" s="85">
        <f>STATS1003B!V2330/1000</f>
        <v>0</v>
      </c>
      <c r="W2324" s="85">
        <f>STATS1003B!W2330/1000</f>
        <v>0</v>
      </c>
      <c r="X2324" s="85">
        <f t="shared" si="256"/>
        <v>1253.7</v>
      </c>
      <c r="Y2324" s="85">
        <f>STATS1003B!Y2330/1000</f>
        <v>0</v>
      </c>
      <c r="Z2324" s="85">
        <f t="shared" si="257"/>
        <v>0</v>
      </c>
      <c r="AA2324" s="69">
        <f>STATS1003B!AA2330/1000</f>
        <v>1253.7</v>
      </c>
      <c r="AB2324" s="69">
        <f>STATS1003B!AB2330/1000</f>
        <v>0</v>
      </c>
    </row>
    <row r="2325" spans="1:28" hidden="1" x14ac:dyDescent="0.3">
      <c r="A2325" s="117"/>
      <c r="C2325" s="68" t="s">
        <v>557</v>
      </c>
      <c r="D2325" s="101">
        <v>1996</v>
      </c>
      <c r="E2325" s="85">
        <f>STATS1003B!E2331/1000</f>
        <v>1895</v>
      </c>
      <c r="F2325" s="85">
        <f>STATS1003B!F2331/1000</f>
        <v>1895</v>
      </c>
      <c r="G2325" s="85">
        <f>STATS1003B!G2331/1000</f>
        <v>0</v>
      </c>
      <c r="H2325" s="85">
        <f>STATS1003B!H2331/1000</f>
        <v>1895</v>
      </c>
      <c r="I2325" s="85">
        <f>STATS1003B!I2331/1000</f>
        <v>0</v>
      </c>
      <c r="J2325" s="85">
        <f>STATS1003B!J2331/1000</f>
        <v>1895</v>
      </c>
      <c r="K2325" s="85">
        <f>STATS1003B!K2331/1000</f>
        <v>0</v>
      </c>
      <c r="L2325" s="85">
        <f>STATS1003B!L2331/1000</f>
        <v>0</v>
      </c>
      <c r="M2325" s="85">
        <f>STATS1003B!M2331/1000</f>
        <v>1895</v>
      </c>
      <c r="N2325" s="85">
        <f>STATS1003B!N2331/1000</f>
        <v>0</v>
      </c>
      <c r="O2325" s="85">
        <f>STATS1003B!O2331/1000</f>
        <v>0</v>
      </c>
      <c r="P2325" s="85">
        <f>STATS1003B!P2331/1000</f>
        <v>0</v>
      </c>
      <c r="Q2325" s="85">
        <f>STATS1003B!Q2331/1000</f>
        <v>1895</v>
      </c>
      <c r="R2325" s="85">
        <f>STATS1003B!R2331/1000</f>
        <v>0</v>
      </c>
      <c r="S2325" s="85">
        <f>STATS1003B!S2331/1000</f>
        <v>0</v>
      </c>
      <c r="T2325" s="85">
        <f>STATS1003B!T2331/1000</f>
        <v>0</v>
      </c>
      <c r="U2325" s="85">
        <f>STATS1003B!U2331/1000</f>
        <v>0</v>
      </c>
      <c r="V2325" s="85">
        <f>STATS1003B!V2331/1000</f>
        <v>0</v>
      </c>
      <c r="W2325" s="85">
        <f>STATS1003B!W2331/1000</f>
        <v>0</v>
      </c>
      <c r="X2325" s="85">
        <f t="shared" si="256"/>
        <v>1895</v>
      </c>
      <c r="Y2325" s="85">
        <f>STATS1003B!Y2331/1000</f>
        <v>0</v>
      </c>
      <c r="Z2325" s="85">
        <f t="shared" si="257"/>
        <v>0</v>
      </c>
      <c r="AA2325" s="69">
        <f>STATS1003B!AA2331/1000</f>
        <v>1895</v>
      </c>
      <c r="AB2325" s="69">
        <f>STATS1003B!AB2331/1000</f>
        <v>0</v>
      </c>
    </row>
    <row r="2326" spans="1:28" hidden="1" x14ac:dyDescent="0.3">
      <c r="A2326" s="117"/>
      <c r="C2326" s="68" t="s">
        <v>650</v>
      </c>
      <c r="D2326" s="101">
        <v>1996</v>
      </c>
      <c r="E2326" s="85">
        <f>STATS1003B!E2332/1000</f>
        <v>120</v>
      </c>
      <c r="F2326" s="85">
        <f>STATS1003B!F2332/1000</f>
        <v>120</v>
      </c>
      <c r="G2326" s="85">
        <f>STATS1003B!G2332/1000</f>
        <v>0</v>
      </c>
      <c r="H2326" s="85">
        <f>STATS1003B!H2332/1000</f>
        <v>120</v>
      </c>
      <c r="I2326" s="85">
        <f>STATS1003B!I2332/1000</f>
        <v>0</v>
      </c>
      <c r="J2326" s="85">
        <f>STATS1003B!J2332/1000</f>
        <v>120</v>
      </c>
      <c r="K2326" s="85">
        <f>STATS1003B!K2332/1000</f>
        <v>0</v>
      </c>
      <c r="L2326" s="85">
        <f>STATS1003B!L2332/1000</f>
        <v>0</v>
      </c>
      <c r="M2326" s="85">
        <f>STATS1003B!M2332/1000</f>
        <v>120</v>
      </c>
      <c r="N2326" s="85">
        <f>STATS1003B!N2332/1000</f>
        <v>0</v>
      </c>
      <c r="O2326" s="85">
        <f>STATS1003B!O2332/1000</f>
        <v>0</v>
      </c>
      <c r="P2326" s="85">
        <f>STATS1003B!P2332/1000</f>
        <v>0</v>
      </c>
      <c r="Q2326" s="85">
        <f>STATS1003B!Q2332/1000</f>
        <v>120</v>
      </c>
      <c r="R2326" s="85">
        <f>STATS1003B!R2332/1000</f>
        <v>0</v>
      </c>
      <c r="S2326" s="85">
        <f>STATS1003B!S2332/1000</f>
        <v>0</v>
      </c>
      <c r="T2326" s="85">
        <f>STATS1003B!T2332/1000</f>
        <v>0</v>
      </c>
      <c r="U2326" s="85">
        <f>STATS1003B!U2332/1000</f>
        <v>0</v>
      </c>
      <c r="V2326" s="85">
        <f>STATS1003B!V2332/1000</f>
        <v>0</v>
      </c>
      <c r="W2326" s="85">
        <f>STATS1003B!W2332/1000</f>
        <v>0</v>
      </c>
      <c r="X2326" s="85">
        <f t="shared" si="256"/>
        <v>120</v>
      </c>
      <c r="Y2326" s="85">
        <f>STATS1003B!Y2332/1000</f>
        <v>0</v>
      </c>
      <c r="Z2326" s="85">
        <f t="shared" si="257"/>
        <v>0</v>
      </c>
      <c r="AA2326" s="69">
        <f>STATS1003B!AA2332/1000</f>
        <v>120</v>
      </c>
      <c r="AB2326" s="69">
        <f>STATS1003B!AB2332/1000</f>
        <v>0</v>
      </c>
    </row>
    <row r="2327" spans="1:28" hidden="1" x14ac:dyDescent="0.3">
      <c r="A2327" s="117"/>
      <c r="C2327" s="68" t="s">
        <v>671</v>
      </c>
      <c r="D2327" s="101">
        <v>1996</v>
      </c>
      <c r="E2327" s="85">
        <f>STATS1003B!E2333/1000</f>
        <v>42</v>
      </c>
      <c r="F2327" s="85">
        <f>STATS1003B!F2333/1000</f>
        <v>42</v>
      </c>
      <c r="G2327" s="85">
        <f>STATS1003B!G2333/1000</f>
        <v>0</v>
      </c>
      <c r="H2327" s="85">
        <f>STATS1003B!H2333/1000</f>
        <v>42</v>
      </c>
      <c r="I2327" s="85">
        <f>STATS1003B!I2333/1000</f>
        <v>0</v>
      </c>
      <c r="J2327" s="85">
        <f>STATS1003B!J2333/1000</f>
        <v>42</v>
      </c>
      <c r="K2327" s="85">
        <f>STATS1003B!K2333/1000</f>
        <v>0</v>
      </c>
      <c r="L2327" s="85">
        <f>STATS1003B!L2333/1000</f>
        <v>0</v>
      </c>
      <c r="M2327" s="85">
        <f>STATS1003B!M2333/1000</f>
        <v>42</v>
      </c>
      <c r="N2327" s="85">
        <f>STATS1003B!N2333/1000</f>
        <v>0</v>
      </c>
      <c r="O2327" s="85">
        <f>STATS1003B!O2333/1000</f>
        <v>0</v>
      </c>
      <c r="P2327" s="85">
        <f>STATS1003B!P2333/1000</f>
        <v>0</v>
      </c>
      <c r="Q2327" s="85">
        <f>STATS1003B!Q2333/1000</f>
        <v>42</v>
      </c>
      <c r="R2327" s="85">
        <f>STATS1003B!R2333/1000</f>
        <v>0</v>
      </c>
      <c r="S2327" s="85">
        <f>STATS1003B!S2333/1000</f>
        <v>0</v>
      </c>
      <c r="T2327" s="85">
        <f>STATS1003B!T2333/1000</f>
        <v>0</v>
      </c>
      <c r="U2327" s="85">
        <f>STATS1003B!U2333/1000</f>
        <v>0</v>
      </c>
      <c r="V2327" s="85">
        <f>STATS1003B!V2333/1000</f>
        <v>0</v>
      </c>
      <c r="W2327" s="85">
        <f>STATS1003B!W2333/1000</f>
        <v>0</v>
      </c>
      <c r="X2327" s="85">
        <f t="shared" si="256"/>
        <v>42</v>
      </c>
      <c r="Y2327" s="85">
        <f>STATS1003B!Y2333/1000</f>
        <v>0</v>
      </c>
      <c r="Z2327" s="85">
        <f t="shared" si="257"/>
        <v>0</v>
      </c>
      <c r="AA2327" s="69">
        <f>STATS1003B!AA2333/1000</f>
        <v>42</v>
      </c>
      <c r="AB2327" s="69">
        <f>STATS1003B!AB2333/1000</f>
        <v>0</v>
      </c>
    </row>
    <row r="2328" spans="1:28" hidden="1" x14ac:dyDescent="0.3">
      <c r="A2328" s="117"/>
      <c r="C2328" s="68" t="s">
        <v>535</v>
      </c>
      <c r="D2328" s="101">
        <v>1997</v>
      </c>
      <c r="E2328" s="85">
        <f>STATS1003B!E2334/1000</f>
        <v>1672.672</v>
      </c>
      <c r="F2328" s="85">
        <f>STATS1003B!F2334/1000</f>
        <v>1672.672</v>
      </c>
      <c r="G2328" s="85">
        <f>STATS1003B!G2334/1000</f>
        <v>0</v>
      </c>
      <c r="H2328" s="85">
        <f>STATS1003B!H2334/1000</f>
        <v>1672.672</v>
      </c>
      <c r="I2328" s="85">
        <f>STATS1003B!I2334/1000</f>
        <v>0</v>
      </c>
      <c r="J2328" s="85">
        <f>STATS1003B!J2334/1000</f>
        <v>1672.672</v>
      </c>
      <c r="K2328" s="85">
        <f>STATS1003B!K2334/1000</f>
        <v>0</v>
      </c>
      <c r="L2328" s="85">
        <f>STATS1003B!L2334/1000</f>
        <v>0</v>
      </c>
      <c r="M2328" s="85">
        <f>STATS1003B!M2334/1000</f>
        <v>1672.672</v>
      </c>
      <c r="N2328" s="85">
        <f>STATS1003B!N2334/1000</f>
        <v>0</v>
      </c>
      <c r="O2328" s="85">
        <f>STATS1003B!O2334/1000</f>
        <v>0</v>
      </c>
      <c r="P2328" s="85">
        <f>STATS1003B!P2334/1000</f>
        <v>0</v>
      </c>
      <c r="Q2328" s="85">
        <f>STATS1003B!Q2334/1000</f>
        <v>1672.672</v>
      </c>
      <c r="R2328" s="85">
        <f>STATS1003B!R2334/1000</f>
        <v>0</v>
      </c>
      <c r="S2328" s="85">
        <f>STATS1003B!S2334/1000</f>
        <v>0</v>
      </c>
      <c r="T2328" s="85">
        <f>STATS1003B!T2334/1000</f>
        <v>0</v>
      </c>
      <c r="U2328" s="85">
        <f>STATS1003B!U2334/1000</f>
        <v>0</v>
      </c>
      <c r="V2328" s="85">
        <f>STATS1003B!V2334/1000</f>
        <v>0</v>
      </c>
      <c r="W2328" s="85">
        <f>STATS1003B!W2334/1000</f>
        <v>0</v>
      </c>
      <c r="X2328" s="85">
        <f t="shared" si="256"/>
        <v>1672.672</v>
      </c>
      <c r="Y2328" s="85">
        <f>STATS1003B!Y2334/1000</f>
        <v>0</v>
      </c>
      <c r="Z2328" s="85">
        <f t="shared" si="257"/>
        <v>0</v>
      </c>
      <c r="AA2328" s="69">
        <f>STATS1003B!AA2334/1000</f>
        <v>1672.672</v>
      </c>
      <c r="AB2328" s="69">
        <f>STATS1003B!AB2334/1000</f>
        <v>0</v>
      </c>
    </row>
    <row r="2329" spans="1:28" hidden="1" x14ac:dyDescent="0.3">
      <c r="A2329" s="117"/>
      <c r="C2329" s="68" t="s">
        <v>535</v>
      </c>
      <c r="D2329" s="101">
        <v>1998</v>
      </c>
      <c r="E2329" s="85">
        <f>STATS1003B!E2335/1000</f>
        <v>2162.9477499999998</v>
      </c>
      <c r="F2329" s="85">
        <f>STATS1003B!F2335/1000</f>
        <v>2162.9477499999998</v>
      </c>
      <c r="G2329" s="85">
        <f>STATS1003B!G2335/1000</f>
        <v>0</v>
      </c>
      <c r="H2329" s="85">
        <f>STATS1003B!H2335/1000</f>
        <v>2162.9477499999998</v>
      </c>
      <c r="I2329" s="85">
        <f>STATS1003B!I2335/1000</f>
        <v>0</v>
      </c>
      <c r="J2329" s="85">
        <f>STATS1003B!J2335/1000</f>
        <v>2162.9477499999998</v>
      </c>
      <c r="K2329" s="85">
        <f>STATS1003B!K2335/1000</f>
        <v>0</v>
      </c>
      <c r="L2329" s="85">
        <f>STATS1003B!L2335/1000</f>
        <v>0</v>
      </c>
      <c r="M2329" s="85">
        <f>STATS1003B!M2335/1000</f>
        <v>2162.9477499999998</v>
      </c>
      <c r="N2329" s="85">
        <f>STATS1003B!N2335/1000</f>
        <v>0</v>
      </c>
      <c r="O2329" s="85">
        <f>STATS1003B!O2335/1000</f>
        <v>0</v>
      </c>
      <c r="P2329" s="85">
        <f>STATS1003B!P2335/1000</f>
        <v>0</v>
      </c>
      <c r="Q2329" s="85">
        <f>STATS1003B!Q2335/1000</f>
        <v>2162.9477499999998</v>
      </c>
      <c r="R2329" s="85">
        <f>STATS1003B!R2335/1000</f>
        <v>0</v>
      </c>
      <c r="S2329" s="85">
        <f>STATS1003B!S2335/1000</f>
        <v>0</v>
      </c>
      <c r="T2329" s="85">
        <f>STATS1003B!T2335/1000</f>
        <v>0</v>
      </c>
      <c r="U2329" s="85">
        <f>STATS1003B!U2335/1000</f>
        <v>0</v>
      </c>
      <c r="V2329" s="85">
        <f>STATS1003B!V2335/1000</f>
        <v>0</v>
      </c>
      <c r="W2329" s="85">
        <f>STATS1003B!W2335/1000</f>
        <v>0</v>
      </c>
      <c r="X2329" s="85">
        <f t="shared" si="256"/>
        <v>2162.9477499999998</v>
      </c>
      <c r="Y2329" s="85">
        <f>STATS1003B!Y2335/1000</f>
        <v>0</v>
      </c>
      <c r="Z2329" s="85">
        <f t="shared" si="257"/>
        <v>0</v>
      </c>
      <c r="AA2329" s="69">
        <f>STATS1003B!AA2335/1000</f>
        <v>2162.9477499999998</v>
      </c>
      <c r="AB2329" s="69">
        <f>STATS1003B!AB2335/1000</f>
        <v>0</v>
      </c>
    </row>
    <row r="2330" spans="1:28" hidden="1" x14ac:dyDescent="0.3">
      <c r="A2330" s="117"/>
      <c r="C2330" s="68" t="s">
        <v>542</v>
      </c>
      <c r="D2330" s="101">
        <v>1998</v>
      </c>
      <c r="E2330" s="85">
        <f>STATS1003B!E2336/1000</f>
        <v>8008.6078999999991</v>
      </c>
      <c r="F2330" s="85">
        <f>STATS1003B!F2336/1000</f>
        <v>8008.6079</v>
      </c>
      <c r="G2330" s="85">
        <f>STATS1003B!G2336/1000</f>
        <v>0</v>
      </c>
      <c r="H2330" s="85">
        <f>STATS1003B!H2336/1000</f>
        <v>8008.6079</v>
      </c>
      <c r="I2330" s="85">
        <f>STATS1003B!I2336/1000</f>
        <v>0</v>
      </c>
      <c r="J2330" s="85">
        <f>STATS1003B!J2336/1000</f>
        <v>8008.6079</v>
      </c>
      <c r="K2330" s="85">
        <f>STATS1003B!K2336/1000</f>
        <v>0</v>
      </c>
      <c r="L2330" s="85">
        <f>STATS1003B!L2336/1000</f>
        <v>0</v>
      </c>
      <c r="M2330" s="85">
        <f>STATS1003B!M2336/1000</f>
        <v>8008.6079</v>
      </c>
      <c r="N2330" s="85">
        <f>STATS1003B!N2336/1000</f>
        <v>0</v>
      </c>
      <c r="O2330" s="85">
        <f>STATS1003B!O2336/1000</f>
        <v>0</v>
      </c>
      <c r="P2330" s="85">
        <f>STATS1003B!P2336/1000</f>
        <v>0</v>
      </c>
      <c r="Q2330" s="85">
        <f>STATS1003B!Q2336/1000</f>
        <v>8008.6078999999991</v>
      </c>
      <c r="R2330" s="85">
        <f>STATS1003B!R2336/1000</f>
        <v>0</v>
      </c>
      <c r="S2330" s="85">
        <f>STATS1003B!S2336/1000</f>
        <v>0</v>
      </c>
      <c r="T2330" s="85">
        <f>STATS1003B!T2336/1000</f>
        <v>0</v>
      </c>
      <c r="U2330" s="85">
        <f>STATS1003B!U2336/1000</f>
        <v>0</v>
      </c>
      <c r="V2330" s="85">
        <f>STATS1003B!V2336/1000</f>
        <v>0</v>
      </c>
      <c r="W2330" s="85">
        <f>STATS1003B!W2336/1000</f>
        <v>0</v>
      </c>
      <c r="X2330" s="85">
        <f t="shared" si="256"/>
        <v>8008.6079</v>
      </c>
      <c r="Y2330" s="85">
        <f>STATS1003B!Y2336/1000</f>
        <v>0</v>
      </c>
      <c r="Z2330" s="85">
        <f t="shared" si="257"/>
        <v>0</v>
      </c>
      <c r="AA2330" s="69">
        <f>STATS1003B!AA2336/1000</f>
        <v>8008.6079</v>
      </c>
      <c r="AB2330" s="69">
        <f>STATS1003B!AB2336/1000</f>
        <v>0</v>
      </c>
    </row>
    <row r="2331" spans="1:28" hidden="1" x14ac:dyDescent="0.3">
      <c r="A2331" s="117"/>
      <c r="C2331" s="68" t="s">
        <v>535</v>
      </c>
      <c r="D2331" s="101">
        <v>1999</v>
      </c>
      <c r="E2331" s="85">
        <f>STATS1003B!E2337/1000</f>
        <v>2280.8225899999998</v>
      </c>
      <c r="F2331" s="85">
        <f>STATS1003B!F2337/1000</f>
        <v>2280.8225899999998</v>
      </c>
      <c r="G2331" s="85">
        <f>STATS1003B!G2337/1000</f>
        <v>0</v>
      </c>
      <c r="H2331" s="85">
        <f>STATS1003B!H2337/1000</f>
        <v>2280.8225899999998</v>
      </c>
      <c r="I2331" s="85">
        <f>STATS1003B!I2337/1000</f>
        <v>0</v>
      </c>
      <c r="J2331" s="85">
        <f>STATS1003B!J2337/1000</f>
        <v>2280.8225899999998</v>
      </c>
      <c r="K2331" s="85">
        <f>STATS1003B!K2337/1000</f>
        <v>0</v>
      </c>
      <c r="L2331" s="85">
        <f>STATS1003B!L2337/1000</f>
        <v>0</v>
      </c>
      <c r="M2331" s="85">
        <f>STATS1003B!M2337/1000</f>
        <v>2280.8225899999998</v>
      </c>
      <c r="N2331" s="85">
        <f>STATS1003B!N2337/1000</f>
        <v>0</v>
      </c>
      <c r="O2331" s="85">
        <f>STATS1003B!O2337/1000</f>
        <v>0</v>
      </c>
      <c r="P2331" s="85">
        <f>STATS1003B!P2337/1000</f>
        <v>0</v>
      </c>
      <c r="Q2331" s="85">
        <f>STATS1003B!Q2337/1000</f>
        <v>2280.8225899999998</v>
      </c>
      <c r="R2331" s="85">
        <f>STATS1003B!R2337/1000</f>
        <v>0</v>
      </c>
      <c r="S2331" s="85">
        <f>STATS1003B!S2337/1000</f>
        <v>0</v>
      </c>
      <c r="T2331" s="85">
        <f>STATS1003B!T2337/1000</f>
        <v>0</v>
      </c>
      <c r="U2331" s="85">
        <f>STATS1003B!U2337/1000</f>
        <v>0</v>
      </c>
      <c r="V2331" s="85">
        <f>STATS1003B!V2337/1000</f>
        <v>0</v>
      </c>
      <c r="W2331" s="85">
        <f>STATS1003B!W2337/1000</f>
        <v>0</v>
      </c>
      <c r="X2331" s="85">
        <f t="shared" si="256"/>
        <v>2280.8225899999998</v>
      </c>
      <c r="Y2331" s="85">
        <f>STATS1003B!Y2337/1000</f>
        <v>0</v>
      </c>
      <c r="Z2331" s="85">
        <f t="shared" si="257"/>
        <v>0</v>
      </c>
      <c r="AA2331" s="69">
        <f>STATS1003B!AA2337/1000</f>
        <v>2280.8225899999998</v>
      </c>
      <c r="AB2331" s="69">
        <f>STATS1003B!AB2337/1000</f>
        <v>0</v>
      </c>
    </row>
    <row r="2332" spans="1:28" hidden="1" x14ac:dyDescent="0.3">
      <c r="A2332" s="117"/>
      <c r="C2332" s="68" t="s">
        <v>535</v>
      </c>
      <c r="D2332" s="101">
        <v>2000</v>
      </c>
      <c r="E2332" s="85">
        <f>STATS1003B!E2338/1000</f>
        <v>3924.3608100000001</v>
      </c>
      <c r="F2332" s="85">
        <f>STATS1003B!F2338/1000</f>
        <v>3924.3608100000001</v>
      </c>
      <c r="G2332" s="85">
        <f>STATS1003B!G2338/1000</f>
        <v>0</v>
      </c>
      <c r="H2332" s="85">
        <f>STATS1003B!H2338/1000</f>
        <v>3924.3608100000001</v>
      </c>
      <c r="I2332" s="85">
        <f>STATS1003B!I2338/1000</f>
        <v>0</v>
      </c>
      <c r="J2332" s="85">
        <f>STATS1003B!J2338/1000</f>
        <v>3924.3608100000001</v>
      </c>
      <c r="K2332" s="85">
        <f>STATS1003B!K2338/1000</f>
        <v>0</v>
      </c>
      <c r="L2332" s="85">
        <f>STATS1003B!L2338/1000</f>
        <v>0</v>
      </c>
      <c r="M2332" s="85">
        <f>STATS1003B!M2338/1000</f>
        <v>3924.3608100000001</v>
      </c>
      <c r="N2332" s="85">
        <f>STATS1003B!N2338/1000</f>
        <v>0</v>
      </c>
      <c r="O2332" s="85">
        <f>STATS1003B!O2338/1000</f>
        <v>0</v>
      </c>
      <c r="P2332" s="85">
        <f>STATS1003B!P2338/1000</f>
        <v>0</v>
      </c>
      <c r="Q2332" s="85">
        <f>STATS1003B!Q2338/1000</f>
        <v>3924.3608100000001</v>
      </c>
      <c r="R2332" s="85">
        <f>STATS1003B!R2338/1000</f>
        <v>0</v>
      </c>
      <c r="S2332" s="85">
        <f>STATS1003B!S2338/1000</f>
        <v>0</v>
      </c>
      <c r="T2332" s="85">
        <f>STATS1003B!T2338/1000</f>
        <v>0</v>
      </c>
      <c r="U2332" s="85">
        <f>STATS1003B!U2338/1000</f>
        <v>0</v>
      </c>
      <c r="V2332" s="85">
        <f>STATS1003B!V2338/1000</f>
        <v>0</v>
      </c>
      <c r="W2332" s="85">
        <f>STATS1003B!W2338/1000</f>
        <v>0</v>
      </c>
      <c r="X2332" s="85">
        <f t="shared" si="256"/>
        <v>3924.3608100000001</v>
      </c>
      <c r="Y2332" s="85">
        <f>STATS1003B!Y2338/1000</f>
        <v>0</v>
      </c>
      <c r="Z2332" s="85">
        <f t="shared" si="257"/>
        <v>0</v>
      </c>
      <c r="AA2332" s="69">
        <f>STATS1003B!AA2338/1000</f>
        <v>3924.3608100000001</v>
      </c>
      <c r="AB2332" s="69">
        <f>STATS1003B!AB2338/1000</f>
        <v>0</v>
      </c>
    </row>
    <row r="2333" spans="1:28" hidden="1" x14ac:dyDescent="0.3">
      <c r="A2333" s="117"/>
      <c r="C2333" s="68" t="s">
        <v>535</v>
      </c>
      <c r="D2333" s="101">
        <v>2001</v>
      </c>
      <c r="E2333" s="85">
        <f>STATS1003B!E2339/1000</f>
        <v>8921.0799600000009</v>
      </c>
      <c r="F2333" s="85">
        <f>STATS1003B!F2339/1000</f>
        <v>8921.0799600000009</v>
      </c>
      <c r="G2333" s="85">
        <f>STATS1003B!G2339/1000</f>
        <v>0</v>
      </c>
      <c r="H2333" s="85">
        <f>STATS1003B!H2339/1000</f>
        <v>8921.0799600000009</v>
      </c>
      <c r="I2333" s="85">
        <f>STATS1003B!I2339/1000</f>
        <v>0</v>
      </c>
      <c r="J2333" s="85">
        <f>STATS1003B!J2339/1000</f>
        <v>8921.0799600000009</v>
      </c>
      <c r="K2333" s="85">
        <f>STATS1003B!K2339/1000</f>
        <v>0</v>
      </c>
      <c r="L2333" s="85">
        <f>STATS1003B!L2339/1000</f>
        <v>0</v>
      </c>
      <c r="M2333" s="85">
        <f>STATS1003B!M2339/1000</f>
        <v>8921.0799600000009</v>
      </c>
      <c r="N2333" s="85">
        <f>STATS1003B!N2339/1000</f>
        <v>0</v>
      </c>
      <c r="O2333" s="85">
        <f>STATS1003B!O2339/1000</f>
        <v>0</v>
      </c>
      <c r="P2333" s="85">
        <f>STATS1003B!P2339/1000</f>
        <v>0</v>
      </c>
      <c r="Q2333" s="85">
        <f>STATS1003B!Q2339/1000</f>
        <v>8921.0799600000009</v>
      </c>
      <c r="R2333" s="85">
        <f>STATS1003B!R2339/1000</f>
        <v>0</v>
      </c>
      <c r="S2333" s="85">
        <f>STATS1003B!S2339/1000</f>
        <v>0</v>
      </c>
      <c r="T2333" s="85">
        <f>STATS1003B!T2339/1000</f>
        <v>0</v>
      </c>
      <c r="U2333" s="85">
        <f>STATS1003B!U2339/1000</f>
        <v>0</v>
      </c>
      <c r="V2333" s="85">
        <f>STATS1003B!V2339/1000</f>
        <v>0</v>
      </c>
      <c r="W2333" s="85">
        <f>STATS1003B!W2339/1000</f>
        <v>0</v>
      </c>
      <c r="X2333" s="85">
        <f t="shared" si="256"/>
        <v>8921.0799600000009</v>
      </c>
      <c r="Y2333" s="85">
        <f>STATS1003B!Y2339/1000</f>
        <v>0</v>
      </c>
      <c r="Z2333" s="85">
        <f t="shared" si="257"/>
        <v>0</v>
      </c>
      <c r="AA2333" s="69">
        <f>STATS1003B!AA2339/1000</f>
        <v>8921.0799600000009</v>
      </c>
      <c r="AB2333" s="69">
        <f>STATS1003B!AB2339/1000</f>
        <v>0</v>
      </c>
    </row>
    <row r="2334" spans="1:28" hidden="1" x14ac:dyDescent="0.3">
      <c r="A2334" s="117"/>
      <c r="C2334" s="68" t="s">
        <v>535</v>
      </c>
      <c r="D2334" s="101">
        <v>2002</v>
      </c>
      <c r="E2334" s="85">
        <f>STATS1003B!E2340/1000</f>
        <v>3640.7548199999997</v>
      </c>
      <c r="F2334" s="85">
        <f>STATS1003B!F2340/1000</f>
        <v>3640.7548199999997</v>
      </c>
      <c r="G2334" s="85">
        <f>STATS1003B!G2340/1000</f>
        <v>0</v>
      </c>
      <c r="H2334" s="85">
        <f>STATS1003B!H2340/1000</f>
        <v>3640.7548199999997</v>
      </c>
      <c r="I2334" s="85">
        <f>STATS1003B!I2340/1000</f>
        <v>0</v>
      </c>
      <c r="J2334" s="85">
        <f>STATS1003B!J2340/1000</f>
        <v>3640.7548199999997</v>
      </c>
      <c r="K2334" s="85">
        <f>STATS1003B!K2340/1000</f>
        <v>0</v>
      </c>
      <c r="L2334" s="85">
        <f>STATS1003B!L2340/1000</f>
        <v>0</v>
      </c>
      <c r="M2334" s="85">
        <f>STATS1003B!M2340/1000</f>
        <v>3640.7548199999997</v>
      </c>
      <c r="N2334" s="85">
        <f>STATS1003B!N2340/1000</f>
        <v>0</v>
      </c>
      <c r="O2334" s="85">
        <f>STATS1003B!O2340/1000</f>
        <v>0</v>
      </c>
      <c r="P2334" s="85">
        <f>STATS1003B!P2340/1000</f>
        <v>0</v>
      </c>
      <c r="Q2334" s="85">
        <f>STATS1003B!Q2340/1000</f>
        <v>3640.7548199999997</v>
      </c>
      <c r="R2334" s="85">
        <f>STATS1003B!R2340/1000</f>
        <v>0</v>
      </c>
      <c r="S2334" s="85">
        <f>STATS1003B!S2340/1000</f>
        <v>0</v>
      </c>
      <c r="T2334" s="85">
        <f>STATS1003B!T2340/1000</f>
        <v>0</v>
      </c>
      <c r="U2334" s="85">
        <f>STATS1003B!U2340/1000</f>
        <v>0</v>
      </c>
      <c r="V2334" s="85">
        <f>STATS1003B!V2340/1000</f>
        <v>0</v>
      </c>
      <c r="W2334" s="85">
        <f>STATS1003B!W2340/1000</f>
        <v>0</v>
      </c>
      <c r="X2334" s="85">
        <f t="shared" si="256"/>
        <v>3640.7548199999997</v>
      </c>
      <c r="Y2334" s="85">
        <f>STATS1003B!Y2340/1000</f>
        <v>0</v>
      </c>
      <c r="Z2334" s="85">
        <f t="shared" si="257"/>
        <v>0</v>
      </c>
      <c r="AA2334" s="69">
        <f>STATS1003B!AA2340/1000</f>
        <v>3640.7548199999997</v>
      </c>
      <c r="AB2334" s="69">
        <f>STATS1003B!AB2340/1000</f>
        <v>0</v>
      </c>
    </row>
    <row r="2335" spans="1:28" hidden="1" x14ac:dyDescent="0.3">
      <c r="A2335" s="117"/>
      <c r="C2335" s="71" t="s">
        <v>621</v>
      </c>
      <c r="D2335" s="101">
        <v>2002</v>
      </c>
      <c r="E2335" s="85">
        <f>STATS1003B!E2341/1000</f>
        <v>398.07400000000001</v>
      </c>
      <c r="F2335" s="85">
        <f>STATS1003B!F2341/1000</f>
        <v>398.07400000000001</v>
      </c>
      <c r="G2335" s="85">
        <f>STATS1003B!G2341/1000</f>
        <v>0</v>
      </c>
      <c r="H2335" s="85">
        <f>STATS1003B!H2341/1000</f>
        <v>398.07400000000001</v>
      </c>
      <c r="I2335" s="85">
        <f>STATS1003B!I2341/1000</f>
        <v>0</v>
      </c>
      <c r="J2335" s="85">
        <f>STATS1003B!J2341/1000</f>
        <v>398.07400000000001</v>
      </c>
      <c r="K2335" s="85">
        <f>STATS1003B!K2341/1000</f>
        <v>0</v>
      </c>
      <c r="L2335" s="85">
        <f>STATS1003B!L2341/1000</f>
        <v>0</v>
      </c>
      <c r="M2335" s="85">
        <f>STATS1003B!M2341/1000</f>
        <v>398.07400000000001</v>
      </c>
      <c r="N2335" s="85">
        <f>STATS1003B!N2341/1000</f>
        <v>0</v>
      </c>
      <c r="O2335" s="85">
        <f>STATS1003B!O2341/1000</f>
        <v>0</v>
      </c>
      <c r="P2335" s="85">
        <f>STATS1003B!P2341/1000</f>
        <v>0</v>
      </c>
      <c r="Q2335" s="85">
        <f>STATS1003B!Q2341/1000</f>
        <v>398.07400000000001</v>
      </c>
      <c r="R2335" s="85">
        <f>STATS1003B!R2341/1000</f>
        <v>0</v>
      </c>
      <c r="S2335" s="85">
        <f>STATS1003B!S2341/1000</f>
        <v>0</v>
      </c>
      <c r="T2335" s="85">
        <f>STATS1003B!T2341/1000</f>
        <v>0</v>
      </c>
      <c r="U2335" s="85">
        <f>STATS1003B!U2341/1000</f>
        <v>0</v>
      </c>
      <c r="V2335" s="85">
        <f>STATS1003B!V2341/1000</f>
        <v>0</v>
      </c>
      <c r="W2335" s="85">
        <f>STATS1003B!W2341/1000</f>
        <v>0</v>
      </c>
      <c r="X2335" s="85">
        <f t="shared" si="256"/>
        <v>398.07400000000001</v>
      </c>
      <c r="Y2335" s="85">
        <f>STATS1003B!Y2341/1000</f>
        <v>0</v>
      </c>
      <c r="Z2335" s="85">
        <f t="shared" si="257"/>
        <v>0</v>
      </c>
      <c r="AA2335" s="69">
        <f>STATS1003B!AA2341/1000</f>
        <v>398.07400000000001</v>
      </c>
      <c r="AB2335" s="69">
        <f>STATS1003B!AB2341/1000</f>
        <v>0</v>
      </c>
    </row>
    <row r="2336" spans="1:28" hidden="1" x14ac:dyDescent="0.3">
      <c r="A2336" s="117"/>
      <c r="C2336" s="71" t="s">
        <v>898</v>
      </c>
      <c r="D2336" s="101"/>
      <c r="E2336" s="85">
        <f>STATS1003B!E2342/1000</f>
        <v>1411.86275</v>
      </c>
      <c r="F2336" s="85">
        <f>STATS1003B!F2342/1000</f>
        <v>1411.86275</v>
      </c>
      <c r="G2336" s="85">
        <f>STATS1003B!G2342/1000</f>
        <v>0</v>
      </c>
      <c r="H2336" s="85">
        <f>STATS1003B!H2342/1000</f>
        <v>1411.86275</v>
      </c>
      <c r="I2336" s="85">
        <f>STATS1003B!I2342/1000</f>
        <v>0</v>
      </c>
      <c r="J2336" s="85">
        <f>STATS1003B!J2342/1000</f>
        <v>0</v>
      </c>
      <c r="K2336" s="85">
        <f>STATS1003B!K2342/1000</f>
        <v>0</v>
      </c>
      <c r="L2336" s="85">
        <f>STATS1003B!L2342/1000</f>
        <v>0</v>
      </c>
      <c r="M2336" s="85">
        <f>STATS1003B!M2342/1000</f>
        <v>1411.86275</v>
      </c>
      <c r="N2336" s="85">
        <f>STATS1003B!N2342/1000</f>
        <v>0</v>
      </c>
      <c r="O2336" s="85">
        <f>STATS1003B!O2342/1000</f>
        <v>0</v>
      </c>
      <c r="P2336" s="85">
        <f>STATS1003B!P2342/1000</f>
        <v>0</v>
      </c>
      <c r="Q2336" s="85">
        <f>STATS1003B!Q2342/1000</f>
        <v>1411.86275</v>
      </c>
      <c r="R2336" s="85">
        <f>STATS1003B!R2342/1000</f>
        <v>0</v>
      </c>
      <c r="S2336" s="85">
        <f>STATS1003B!S2342/1000</f>
        <v>0</v>
      </c>
      <c r="T2336" s="85">
        <f>STATS1003B!T2342/1000</f>
        <v>0</v>
      </c>
      <c r="U2336" s="85">
        <f>STATS1003B!U2342/1000</f>
        <v>0</v>
      </c>
      <c r="V2336" s="85">
        <f>STATS1003B!V2342/1000</f>
        <v>0</v>
      </c>
      <c r="W2336" s="85">
        <f>STATS1003B!W2342/1000</f>
        <v>0</v>
      </c>
      <c r="X2336" s="85">
        <f t="shared" si="256"/>
        <v>1411.86275</v>
      </c>
      <c r="Y2336" s="85">
        <f>STATS1003B!Y2342/1000</f>
        <v>0</v>
      </c>
      <c r="Z2336" s="85">
        <f t="shared" si="257"/>
        <v>0</v>
      </c>
      <c r="AA2336" s="69">
        <f>STATS1003B!AA2342/1000</f>
        <v>1411.86275</v>
      </c>
      <c r="AB2336" s="69">
        <f>STATS1003B!AB2342/1000</f>
        <v>0</v>
      </c>
    </row>
    <row r="2337" spans="1:28" hidden="1" x14ac:dyDescent="0.3">
      <c r="A2337" s="117"/>
      <c r="C2337" s="68" t="s">
        <v>842</v>
      </c>
      <c r="E2337" s="85">
        <f>STATS1003B!E2343/1000</f>
        <v>1000</v>
      </c>
      <c r="F2337" s="85">
        <f>STATS1003B!F2343/1000</f>
        <v>1000</v>
      </c>
      <c r="G2337" s="85">
        <f>STATS1003B!G2343/1000</f>
        <v>0</v>
      </c>
      <c r="H2337" s="85">
        <f>STATS1003B!H2343/1000</f>
        <v>1000</v>
      </c>
      <c r="I2337" s="85">
        <f>STATS1003B!I2343/1000</f>
        <v>0</v>
      </c>
      <c r="J2337" s="85">
        <f>STATS1003B!J2343/1000</f>
        <v>1000</v>
      </c>
      <c r="K2337" s="85">
        <f>STATS1003B!K2343/1000</f>
        <v>0</v>
      </c>
      <c r="L2337" s="85">
        <f>STATS1003B!L2343/1000</f>
        <v>0</v>
      </c>
      <c r="M2337" s="85">
        <f>STATS1003B!M2343/1000</f>
        <v>1000</v>
      </c>
      <c r="N2337" s="85">
        <f>STATS1003B!N2343/1000</f>
        <v>0</v>
      </c>
      <c r="O2337" s="85">
        <f>STATS1003B!O2343/1000</f>
        <v>0</v>
      </c>
      <c r="P2337" s="85">
        <f>STATS1003B!P2343/1000</f>
        <v>0</v>
      </c>
      <c r="Q2337" s="85">
        <f>STATS1003B!Q2343/1000</f>
        <v>1000</v>
      </c>
      <c r="R2337" s="85">
        <f>STATS1003B!R2343/1000</f>
        <v>0</v>
      </c>
      <c r="S2337" s="85">
        <f>STATS1003B!S2343/1000</f>
        <v>0</v>
      </c>
      <c r="T2337" s="85">
        <f>STATS1003B!T2343/1000</f>
        <v>0</v>
      </c>
      <c r="U2337" s="85">
        <f>STATS1003B!U2343/1000</f>
        <v>0</v>
      </c>
      <c r="V2337" s="85">
        <f>STATS1003B!V2343/1000</f>
        <v>0</v>
      </c>
      <c r="W2337" s="85">
        <f>STATS1003B!W2343/1000</f>
        <v>0</v>
      </c>
      <c r="X2337" s="85">
        <f t="shared" si="256"/>
        <v>1000</v>
      </c>
      <c r="Y2337" s="85">
        <f>STATS1003B!Y2343/1000</f>
        <v>0</v>
      </c>
      <c r="Z2337" s="85">
        <f t="shared" si="257"/>
        <v>0</v>
      </c>
      <c r="AA2337" s="69">
        <f>STATS1003B!AA2343/1000</f>
        <v>1000</v>
      </c>
      <c r="AB2337" s="69">
        <f>STATS1003B!AB2343/1000</f>
        <v>0</v>
      </c>
    </row>
    <row r="2338" spans="1:28" hidden="1" x14ac:dyDescent="0.3">
      <c r="A2338" s="117"/>
      <c r="C2338" s="68" t="s">
        <v>550</v>
      </c>
      <c r="E2338" s="85">
        <f>STATS1003B!E2344/1000</f>
        <v>264.67700000000002</v>
      </c>
      <c r="F2338" s="85">
        <f>STATS1003B!F2344/1000</f>
        <v>264.67700000000002</v>
      </c>
      <c r="G2338" s="85">
        <f>STATS1003B!G2344/1000</f>
        <v>0</v>
      </c>
      <c r="H2338" s="85">
        <f>STATS1003B!H2344/1000</f>
        <v>264.67700000000002</v>
      </c>
      <c r="I2338" s="85">
        <f>STATS1003B!I2344/1000</f>
        <v>0</v>
      </c>
      <c r="J2338" s="85">
        <f>STATS1003B!J2344/1000</f>
        <v>264.67700000000002</v>
      </c>
      <c r="K2338" s="85">
        <f>STATS1003B!K2344/1000</f>
        <v>0</v>
      </c>
      <c r="L2338" s="85">
        <f>STATS1003B!L2344/1000</f>
        <v>0</v>
      </c>
      <c r="M2338" s="85">
        <f>STATS1003B!M2344/1000</f>
        <v>264.67700000000002</v>
      </c>
      <c r="N2338" s="85">
        <f>STATS1003B!N2344/1000</f>
        <v>0</v>
      </c>
      <c r="O2338" s="85">
        <f>STATS1003B!O2344/1000</f>
        <v>0</v>
      </c>
      <c r="P2338" s="85">
        <f>STATS1003B!P2344/1000</f>
        <v>0</v>
      </c>
      <c r="Q2338" s="85">
        <f>STATS1003B!Q2344/1000</f>
        <v>264.67700000000002</v>
      </c>
      <c r="R2338" s="85">
        <f>STATS1003B!R2344/1000</f>
        <v>0</v>
      </c>
      <c r="S2338" s="85">
        <f>STATS1003B!S2344/1000</f>
        <v>0</v>
      </c>
      <c r="T2338" s="85">
        <f>STATS1003B!T2344/1000</f>
        <v>0</v>
      </c>
      <c r="U2338" s="85">
        <f>STATS1003B!U2344/1000</f>
        <v>0</v>
      </c>
      <c r="V2338" s="85">
        <f>STATS1003B!V2344/1000</f>
        <v>0</v>
      </c>
      <c r="W2338" s="85">
        <f>STATS1003B!W2344/1000</f>
        <v>0</v>
      </c>
      <c r="X2338" s="85">
        <f t="shared" si="256"/>
        <v>264.67700000000002</v>
      </c>
      <c r="Y2338" s="85">
        <f>STATS1003B!Y2344/1000</f>
        <v>0</v>
      </c>
      <c r="Z2338" s="85">
        <f t="shared" si="257"/>
        <v>0</v>
      </c>
      <c r="AA2338" s="69">
        <f>STATS1003B!AA2344/1000</f>
        <v>264.67700000000002</v>
      </c>
      <c r="AB2338" s="69">
        <f>STATS1003B!AB2344/1000</f>
        <v>0</v>
      </c>
    </row>
    <row r="2339" spans="1:28" hidden="1" x14ac:dyDescent="0.3">
      <c r="A2339" s="117"/>
      <c r="C2339" s="68" t="s">
        <v>606</v>
      </c>
      <c r="E2339" s="85">
        <f>STATS1003B!E2345/1000</f>
        <v>2500</v>
      </c>
      <c r="F2339" s="85">
        <f>STATS1003B!F2345/1000</f>
        <v>2500</v>
      </c>
      <c r="G2339" s="85">
        <f>STATS1003B!G2345/1000</f>
        <v>0</v>
      </c>
      <c r="H2339" s="85">
        <f>STATS1003B!H2345/1000</f>
        <v>2500</v>
      </c>
      <c r="I2339" s="85">
        <f>STATS1003B!I2345/1000</f>
        <v>0</v>
      </c>
      <c r="J2339" s="85">
        <f>STATS1003B!J2345/1000</f>
        <v>2500</v>
      </c>
      <c r="K2339" s="85">
        <f>STATS1003B!K2345/1000</f>
        <v>0</v>
      </c>
      <c r="L2339" s="85">
        <f>STATS1003B!L2345/1000</f>
        <v>0</v>
      </c>
      <c r="M2339" s="85">
        <f>STATS1003B!M2345/1000</f>
        <v>2500</v>
      </c>
      <c r="N2339" s="85">
        <f>STATS1003B!N2345/1000</f>
        <v>0</v>
      </c>
      <c r="O2339" s="85">
        <f>STATS1003B!O2345/1000</f>
        <v>0</v>
      </c>
      <c r="P2339" s="85">
        <f>STATS1003B!P2345/1000</f>
        <v>0</v>
      </c>
      <c r="Q2339" s="85">
        <f>STATS1003B!Q2345/1000</f>
        <v>2500</v>
      </c>
      <c r="R2339" s="85">
        <f>STATS1003B!R2345/1000</f>
        <v>0</v>
      </c>
      <c r="S2339" s="85">
        <f>STATS1003B!S2345/1000</f>
        <v>0</v>
      </c>
      <c r="T2339" s="85">
        <f>STATS1003B!T2345/1000</f>
        <v>0</v>
      </c>
      <c r="U2339" s="85">
        <f>STATS1003B!U2345/1000</f>
        <v>0</v>
      </c>
      <c r="V2339" s="85">
        <f>STATS1003B!V2345/1000</f>
        <v>0</v>
      </c>
      <c r="W2339" s="85">
        <f>STATS1003B!W2345/1000</f>
        <v>0</v>
      </c>
      <c r="X2339" s="85">
        <f t="shared" si="256"/>
        <v>2500</v>
      </c>
      <c r="Y2339" s="85">
        <f>STATS1003B!Y2345/1000</f>
        <v>0</v>
      </c>
      <c r="Z2339" s="85">
        <f t="shared" si="257"/>
        <v>0</v>
      </c>
      <c r="AA2339" s="69">
        <f>STATS1003B!AA2345/1000</f>
        <v>2500</v>
      </c>
      <c r="AB2339" s="69">
        <f>STATS1003B!AB2345/1000</f>
        <v>0</v>
      </c>
    </row>
    <row r="2340" spans="1:28" hidden="1" x14ac:dyDescent="0.3">
      <c r="A2340" s="117"/>
      <c r="E2340" s="86" t="s">
        <v>29</v>
      </c>
      <c r="F2340" s="86" t="s">
        <v>29</v>
      </c>
      <c r="G2340" s="86" t="s">
        <v>29</v>
      </c>
      <c r="H2340" s="86" t="s">
        <v>29</v>
      </c>
      <c r="I2340" s="86" t="s">
        <v>29</v>
      </c>
      <c r="J2340" s="86" t="s">
        <v>29</v>
      </c>
      <c r="K2340" s="86" t="s">
        <v>29</v>
      </c>
      <c r="L2340" s="86" t="s">
        <v>29</v>
      </c>
      <c r="M2340" s="86" t="s">
        <v>29</v>
      </c>
      <c r="N2340" s="86" t="s">
        <v>29</v>
      </c>
      <c r="O2340" s="86" t="s">
        <v>29</v>
      </c>
      <c r="P2340" s="86" t="s">
        <v>29</v>
      </c>
      <c r="Q2340" s="86" t="s">
        <v>29</v>
      </c>
      <c r="R2340" s="86" t="s">
        <v>29</v>
      </c>
      <c r="S2340" s="86" t="s">
        <v>29</v>
      </c>
      <c r="T2340" s="86" t="s">
        <v>29</v>
      </c>
      <c r="U2340" s="86" t="s">
        <v>29</v>
      </c>
      <c r="V2340" s="86" t="s">
        <v>29</v>
      </c>
      <c r="W2340" s="86" t="s">
        <v>29</v>
      </c>
      <c r="X2340" s="85" t="e">
        <f t="shared" si="256"/>
        <v>#VALUE!</v>
      </c>
      <c r="Y2340" s="86" t="s">
        <v>29</v>
      </c>
      <c r="Z2340" s="85" t="e">
        <f t="shared" si="257"/>
        <v>#VALUE!</v>
      </c>
      <c r="AA2340" s="115" t="s">
        <v>29</v>
      </c>
      <c r="AB2340" s="115" t="s">
        <v>29</v>
      </c>
    </row>
    <row r="2341" spans="1:28" x14ac:dyDescent="0.3">
      <c r="A2341" s="116">
        <v>101</v>
      </c>
      <c r="B2341" s="68" t="s">
        <v>841</v>
      </c>
      <c r="E2341" s="85">
        <f>70142968.75/1000</f>
        <v>70142.96875</v>
      </c>
      <c r="F2341" s="85">
        <f t="shared" ref="F2341:Q2341" si="258">SUM(F2321:F2340)</f>
        <v>40103.19458000001</v>
      </c>
      <c r="G2341" s="85">
        <f t="shared" si="258"/>
        <v>0</v>
      </c>
      <c r="H2341" s="85">
        <f>69564012.95/1000</f>
        <v>69564.012950000004</v>
      </c>
      <c r="I2341" s="85">
        <f t="shared" si="258"/>
        <v>0</v>
      </c>
      <c r="J2341" s="85">
        <f t="shared" si="258"/>
        <v>38691.33183000001</v>
      </c>
      <c r="K2341" s="85">
        <f t="shared" si="258"/>
        <v>578.95580000000007</v>
      </c>
      <c r="L2341" s="85">
        <f t="shared" si="258"/>
        <v>0</v>
      </c>
      <c r="M2341" s="85">
        <f t="shared" si="258"/>
        <v>40103.19458000001</v>
      </c>
      <c r="N2341" s="85">
        <f t="shared" si="258"/>
        <v>578.95580000000007</v>
      </c>
      <c r="O2341" s="85">
        <f t="shared" si="258"/>
        <v>0</v>
      </c>
      <c r="P2341" s="85">
        <f>578955/1000</f>
        <v>578.95500000000004</v>
      </c>
      <c r="Q2341" s="85">
        <f t="shared" si="258"/>
        <v>40103.194580000003</v>
      </c>
      <c r="R2341" s="84"/>
      <c r="S2341" s="84"/>
      <c r="T2341" s="85">
        <f t="shared" ref="T2341:Y2341" si="259">SUM(T2321:T2340)</f>
        <v>0</v>
      </c>
      <c r="U2341" s="85">
        <f t="shared" si="259"/>
        <v>578.95580000000007</v>
      </c>
      <c r="V2341" s="85">
        <f t="shared" si="259"/>
        <v>0</v>
      </c>
      <c r="W2341" s="85">
        <f t="shared" si="259"/>
        <v>0</v>
      </c>
      <c r="X2341" s="85">
        <f>+H2341+P2341</f>
        <v>70142.967950000006</v>
      </c>
      <c r="Y2341" s="85">
        <f t="shared" si="259"/>
        <v>0</v>
      </c>
      <c r="Z2341" s="85">
        <f t="shared" si="257"/>
        <v>7.9999999434221536E-4</v>
      </c>
      <c r="AA2341" s="69">
        <f>SUM(AA2321:AA2340)</f>
        <v>40682.150380000006</v>
      </c>
      <c r="AB2341" s="69">
        <f>SUM(AB2321:AB2340)</f>
        <v>4.6384229790419337E-14</v>
      </c>
    </row>
    <row r="2342" spans="1:28" hidden="1" x14ac:dyDescent="0.3">
      <c r="A2342" s="117"/>
      <c r="E2342" s="86" t="s">
        <v>29</v>
      </c>
      <c r="F2342" s="86" t="s">
        <v>29</v>
      </c>
      <c r="G2342" s="86" t="s">
        <v>29</v>
      </c>
      <c r="H2342" s="86" t="s">
        <v>29</v>
      </c>
      <c r="I2342" s="86" t="s">
        <v>29</v>
      </c>
      <c r="J2342" s="86" t="s">
        <v>29</v>
      </c>
      <c r="K2342" s="86" t="s">
        <v>29</v>
      </c>
      <c r="L2342" s="86" t="s">
        <v>29</v>
      </c>
      <c r="M2342" s="86" t="s">
        <v>29</v>
      </c>
      <c r="N2342" s="86" t="s">
        <v>29</v>
      </c>
      <c r="O2342" s="86" t="s">
        <v>29</v>
      </c>
      <c r="P2342" s="86" t="s">
        <v>29</v>
      </c>
      <c r="Q2342" s="86" t="s">
        <v>29</v>
      </c>
      <c r="R2342" s="86" t="s">
        <v>29</v>
      </c>
      <c r="S2342" s="86" t="s">
        <v>29</v>
      </c>
      <c r="T2342" s="86" t="s">
        <v>29</v>
      </c>
      <c r="U2342" s="86" t="s">
        <v>29</v>
      </c>
      <c r="V2342" s="86" t="s">
        <v>29</v>
      </c>
      <c r="W2342" s="86" t="s">
        <v>29</v>
      </c>
      <c r="X2342" s="85" t="e">
        <f t="shared" si="256"/>
        <v>#VALUE!</v>
      </c>
      <c r="Y2342" s="86" t="s">
        <v>29</v>
      </c>
      <c r="Z2342" s="85" t="e">
        <f t="shared" si="257"/>
        <v>#VALUE!</v>
      </c>
      <c r="AA2342" s="115" t="s">
        <v>29</v>
      </c>
      <c r="AB2342" s="115" t="s">
        <v>29</v>
      </c>
    </row>
    <row r="2343" spans="1:28" hidden="1" x14ac:dyDescent="0.3">
      <c r="A2343" s="105"/>
      <c r="E2343" s="84"/>
      <c r="F2343" s="84"/>
      <c r="G2343" s="84"/>
      <c r="H2343" s="84"/>
      <c r="I2343" s="84"/>
      <c r="J2343" s="84"/>
      <c r="K2343" s="84"/>
      <c r="L2343" s="84"/>
      <c r="M2343" s="84"/>
      <c r="N2343" s="84"/>
      <c r="O2343" s="84"/>
      <c r="P2343" s="84"/>
      <c r="Q2343" s="84"/>
      <c r="R2343" s="84"/>
      <c r="S2343" s="84"/>
      <c r="T2343" s="84"/>
      <c r="U2343" s="84"/>
      <c r="V2343" s="84"/>
      <c r="W2343" s="84"/>
      <c r="X2343" s="85">
        <f t="shared" si="256"/>
        <v>0</v>
      </c>
      <c r="Y2343" s="84"/>
      <c r="Z2343" s="85">
        <f t="shared" si="257"/>
        <v>0</v>
      </c>
    </row>
    <row r="2344" spans="1:28" hidden="1" x14ac:dyDescent="0.3">
      <c r="A2344" s="117"/>
      <c r="C2344" s="68" t="s">
        <v>535</v>
      </c>
      <c r="D2344" s="145" t="s">
        <v>68</v>
      </c>
      <c r="E2344" s="85">
        <f>STATS1003B!E2350/1000</f>
        <v>1116.3138700000002</v>
      </c>
      <c r="F2344" s="85">
        <f>STATS1003B!F2350/1000</f>
        <v>990.60398999999995</v>
      </c>
      <c r="G2344" s="85">
        <f>STATS1003B!G2350/1000</f>
        <v>0</v>
      </c>
      <c r="H2344" s="85">
        <f>STATS1003B!H2350/1000</f>
        <v>990.60398999999995</v>
      </c>
      <c r="I2344" s="85">
        <f>STATS1003B!I2350/1000</f>
        <v>0</v>
      </c>
      <c r="J2344" s="85">
        <f>STATS1003B!J2350/1000</f>
        <v>990.60398999999995</v>
      </c>
      <c r="K2344" s="85">
        <f>STATS1003B!K2350/1000</f>
        <v>125.70988</v>
      </c>
      <c r="L2344" s="85">
        <f>STATS1003B!L2350/1000</f>
        <v>0</v>
      </c>
      <c r="M2344" s="85">
        <f>STATS1003B!M2350/1000</f>
        <v>990.60398999999995</v>
      </c>
      <c r="N2344" s="85">
        <f>STATS1003B!N2350/1000</f>
        <v>125.70988</v>
      </c>
      <c r="O2344" s="85">
        <f>STATS1003B!O2350/1000</f>
        <v>0</v>
      </c>
      <c r="P2344" s="85">
        <f>STATS1003B!P2350/1000</f>
        <v>125.70988</v>
      </c>
      <c r="Q2344" s="85">
        <f>STATS1003B!Q2350/1000</f>
        <v>990.60399000000007</v>
      </c>
      <c r="R2344" s="85">
        <f>STATS1003B!R2350/1000</f>
        <v>0</v>
      </c>
      <c r="S2344" s="85">
        <f>STATS1003B!S2350/1000</f>
        <v>0</v>
      </c>
      <c r="T2344" s="85">
        <f>STATS1003B!T2350/1000</f>
        <v>0</v>
      </c>
      <c r="U2344" s="85">
        <f>STATS1003B!U2350/1000</f>
        <v>125.70988</v>
      </c>
      <c r="V2344" s="85">
        <f>STATS1003B!V2350/1000</f>
        <v>0</v>
      </c>
      <c r="W2344" s="85">
        <f>STATS1003B!W2350/1000</f>
        <v>0</v>
      </c>
      <c r="X2344" s="85">
        <f t="shared" si="256"/>
        <v>1116.31387</v>
      </c>
      <c r="Y2344" s="85">
        <f>STATS1003B!Y2350/1000</f>
        <v>0</v>
      </c>
      <c r="Z2344" s="85">
        <f t="shared" si="257"/>
        <v>0</v>
      </c>
      <c r="AA2344" s="69">
        <f>STATS1003B!AA2350/1000</f>
        <v>1116.3138700000002</v>
      </c>
      <c r="AB2344" s="69">
        <f>STATS1003B!AB2350/1000</f>
        <v>0</v>
      </c>
    </row>
    <row r="2345" spans="1:28" hidden="1" x14ac:dyDescent="0.3">
      <c r="A2345" s="117"/>
      <c r="C2345" s="68" t="s">
        <v>535</v>
      </c>
      <c r="D2345" s="145" t="s">
        <v>54</v>
      </c>
      <c r="E2345" s="85">
        <f>STATS1003B!E2351/1000</f>
        <v>1584.8522700000001</v>
      </c>
      <c r="F2345" s="85">
        <f>STATS1003B!F2351/1000</f>
        <v>1584.8522700000001</v>
      </c>
      <c r="G2345" s="85">
        <f>STATS1003B!G2351/1000</f>
        <v>0</v>
      </c>
      <c r="H2345" s="85">
        <f>STATS1003B!H2351/1000</f>
        <v>1584.8522700000001</v>
      </c>
      <c r="I2345" s="85">
        <f>STATS1003B!I2351/1000</f>
        <v>0</v>
      </c>
      <c r="J2345" s="85">
        <f>STATS1003B!J2351/1000</f>
        <v>1584.8522700000001</v>
      </c>
      <c r="K2345" s="85">
        <f>STATS1003B!K2351/1000</f>
        <v>0</v>
      </c>
      <c r="L2345" s="85">
        <f>STATS1003B!L2351/1000</f>
        <v>0</v>
      </c>
      <c r="M2345" s="85">
        <f>STATS1003B!M2351/1000</f>
        <v>1584.8522700000001</v>
      </c>
      <c r="N2345" s="85">
        <f>STATS1003B!N2351/1000</f>
        <v>0</v>
      </c>
      <c r="O2345" s="85">
        <f>STATS1003B!O2351/1000</f>
        <v>0</v>
      </c>
      <c r="P2345" s="85">
        <f>STATS1003B!P2351/1000</f>
        <v>0</v>
      </c>
      <c r="Q2345" s="85">
        <f>STATS1003B!Q2351/1000</f>
        <v>1584.8522700000001</v>
      </c>
      <c r="R2345" s="85">
        <f>STATS1003B!R2351/1000</f>
        <v>0</v>
      </c>
      <c r="S2345" s="85">
        <f>STATS1003B!S2351/1000</f>
        <v>0</v>
      </c>
      <c r="T2345" s="85">
        <f>STATS1003B!T2351/1000</f>
        <v>0</v>
      </c>
      <c r="U2345" s="85">
        <f>STATS1003B!U2351/1000</f>
        <v>0</v>
      </c>
      <c r="V2345" s="85">
        <f>STATS1003B!V2351/1000</f>
        <v>0</v>
      </c>
      <c r="W2345" s="85">
        <f>STATS1003B!W2351/1000</f>
        <v>0</v>
      </c>
      <c r="X2345" s="85">
        <f t="shared" si="256"/>
        <v>1584.8522700000001</v>
      </c>
      <c r="Y2345" s="85">
        <f>STATS1003B!Y2351/1000</f>
        <v>0</v>
      </c>
      <c r="Z2345" s="85">
        <f t="shared" si="257"/>
        <v>0</v>
      </c>
      <c r="AA2345" s="69">
        <f>STATS1003B!AA2351/1000</f>
        <v>1584.8522700000001</v>
      </c>
      <c r="AB2345" s="69">
        <f>STATS1003B!AB2351/1000</f>
        <v>0</v>
      </c>
    </row>
    <row r="2346" spans="1:28" hidden="1" x14ac:dyDescent="0.3">
      <c r="A2346" s="117"/>
      <c r="C2346" s="68" t="s">
        <v>545</v>
      </c>
      <c r="D2346" s="145" t="s">
        <v>54</v>
      </c>
      <c r="E2346" s="85">
        <f>STATS1003B!E2352/1000</f>
        <v>1767.77</v>
      </c>
      <c r="F2346" s="85">
        <f>STATS1003B!F2352/1000</f>
        <v>0</v>
      </c>
      <c r="G2346" s="85">
        <f>STATS1003B!G2352/1000</f>
        <v>0</v>
      </c>
      <c r="H2346" s="85">
        <f>STATS1003B!H2352/1000</f>
        <v>0</v>
      </c>
      <c r="I2346" s="85">
        <f>STATS1003B!I2352/1000</f>
        <v>0</v>
      </c>
      <c r="J2346" s="85">
        <f>STATS1003B!J2352/1000</f>
        <v>0</v>
      </c>
      <c r="K2346" s="85">
        <f>STATS1003B!K2352/1000</f>
        <v>1767.77</v>
      </c>
      <c r="L2346" s="85">
        <f>STATS1003B!L2352/1000</f>
        <v>0</v>
      </c>
      <c r="M2346" s="85">
        <f>STATS1003B!M2352/1000</f>
        <v>0</v>
      </c>
      <c r="N2346" s="85">
        <f>STATS1003B!N2352/1000</f>
        <v>1767.77</v>
      </c>
      <c r="O2346" s="85">
        <f>STATS1003B!O2352/1000</f>
        <v>0</v>
      </c>
      <c r="P2346" s="85">
        <f>STATS1003B!P2352/1000</f>
        <v>1767.77</v>
      </c>
      <c r="Q2346" s="85">
        <f>STATS1003B!Q2352/1000</f>
        <v>0</v>
      </c>
      <c r="R2346" s="85">
        <f>STATS1003B!R2352/1000</f>
        <v>0</v>
      </c>
      <c r="S2346" s="85">
        <f>STATS1003B!S2352/1000</f>
        <v>0</v>
      </c>
      <c r="T2346" s="85">
        <f>STATS1003B!T2352/1000</f>
        <v>0</v>
      </c>
      <c r="U2346" s="85">
        <f>STATS1003B!U2352/1000</f>
        <v>1767.77</v>
      </c>
      <c r="V2346" s="85">
        <f>STATS1003B!V2352/1000</f>
        <v>0</v>
      </c>
      <c r="W2346" s="85">
        <f>STATS1003B!W2352/1000</f>
        <v>0</v>
      </c>
      <c r="X2346" s="85">
        <f t="shared" si="256"/>
        <v>1767.77</v>
      </c>
      <c r="Y2346" s="85">
        <f>STATS1003B!Y2352/1000</f>
        <v>0</v>
      </c>
      <c r="Z2346" s="85">
        <f t="shared" si="257"/>
        <v>0</v>
      </c>
      <c r="AA2346" s="69">
        <f>STATS1003B!AA2352/1000</f>
        <v>1767.77</v>
      </c>
      <c r="AB2346" s="69">
        <f>STATS1003B!AB2352/1000</f>
        <v>0</v>
      </c>
    </row>
    <row r="2347" spans="1:28" hidden="1" x14ac:dyDescent="0.3">
      <c r="A2347" s="117"/>
      <c r="C2347" s="68" t="s">
        <v>655</v>
      </c>
      <c r="D2347" s="145" t="s">
        <v>54</v>
      </c>
      <c r="E2347" s="85">
        <f>STATS1003B!E2353/1000</f>
        <v>955.34561999999994</v>
      </c>
      <c r="F2347" s="85">
        <f>STATS1003B!F2353/1000</f>
        <v>0</v>
      </c>
      <c r="G2347" s="85">
        <f>STATS1003B!G2353/1000</f>
        <v>0</v>
      </c>
      <c r="H2347" s="85">
        <f>STATS1003B!H2353/1000</f>
        <v>0</v>
      </c>
      <c r="I2347" s="85">
        <f>STATS1003B!I2353/1000</f>
        <v>0</v>
      </c>
      <c r="J2347" s="85">
        <f>STATS1003B!J2353/1000</f>
        <v>0</v>
      </c>
      <c r="K2347" s="85">
        <f>STATS1003B!K2353/1000</f>
        <v>955.34561999999994</v>
      </c>
      <c r="L2347" s="85">
        <f>STATS1003B!L2353/1000</f>
        <v>0</v>
      </c>
      <c r="M2347" s="85">
        <f>STATS1003B!M2353/1000</f>
        <v>0</v>
      </c>
      <c r="N2347" s="85">
        <f>STATS1003B!N2353/1000</f>
        <v>955.34561999999994</v>
      </c>
      <c r="O2347" s="85">
        <f>STATS1003B!O2353/1000</f>
        <v>0</v>
      </c>
      <c r="P2347" s="85">
        <f>STATS1003B!P2353/1000</f>
        <v>955.34561999999994</v>
      </c>
      <c r="Q2347" s="85">
        <f>STATS1003B!Q2353/1000</f>
        <v>0</v>
      </c>
      <c r="R2347" s="85">
        <f>STATS1003B!R2353/1000</f>
        <v>0</v>
      </c>
      <c r="S2347" s="85">
        <f>STATS1003B!S2353/1000</f>
        <v>0</v>
      </c>
      <c r="T2347" s="85">
        <f>STATS1003B!T2353/1000</f>
        <v>0</v>
      </c>
      <c r="U2347" s="85">
        <f>STATS1003B!U2353/1000</f>
        <v>955.34561999999994</v>
      </c>
      <c r="V2347" s="85">
        <f>STATS1003B!V2353/1000</f>
        <v>0</v>
      </c>
      <c r="W2347" s="85">
        <f>STATS1003B!W2353/1000</f>
        <v>0</v>
      </c>
      <c r="X2347" s="85">
        <f t="shared" si="256"/>
        <v>955.34561999999994</v>
      </c>
      <c r="Y2347" s="85">
        <f>STATS1003B!Y2353/1000</f>
        <v>0</v>
      </c>
      <c r="Z2347" s="85">
        <f t="shared" si="257"/>
        <v>0</v>
      </c>
      <c r="AA2347" s="69">
        <f>STATS1003B!AA2353/1000</f>
        <v>955.34561999999994</v>
      </c>
      <c r="AB2347" s="69">
        <f>STATS1003B!AB2353/1000</f>
        <v>0</v>
      </c>
    </row>
    <row r="2348" spans="1:28" hidden="1" x14ac:dyDescent="0.3">
      <c r="A2348" s="117"/>
      <c r="C2348" s="68" t="s">
        <v>535</v>
      </c>
      <c r="D2348" s="145" t="s">
        <v>85</v>
      </c>
      <c r="E2348" s="85">
        <f>STATS1003B!E2354/1000</f>
        <v>2787.3</v>
      </c>
      <c r="F2348" s="85">
        <f>STATS1003B!F2354/1000</f>
        <v>2787.3</v>
      </c>
      <c r="G2348" s="85">
        <f>STATS1003B!G2354/1000</f>
        <v>0</v>
      </c>
      <c r="H2348" s="85">
        <f>STATS1003B!H2354/1000</f>
        <v>2787.3</v>
      </c>
      <c r="I2348" s="85">
        <f>STATS1003B!I2354/1000</f>
        <v>0</v>
      </c>
      <c r="J2348" s="85">
        <f>STATS1003B!J2354/1000</f>
        <v>2787.3</v>
      </c>
      <c r="K2348" s="85">
        <f>STATS1003B!K2354/1000</f>
        <v>0</v>
      </c>
      <c r="L2348" s="85">
        <f>STATS1003B!L2354/1000</f>
        <v>0</v>
      </c>
      <c r="M2348" s="85">
        <f>STATS1003B!M2354/1000</f>
        <v>2787.3</v>
      </c>
      <c r="N2348" s="85">
        <f>STATS1003B!N2354/1000</f>
        <v>0</v>
      </c>
      <c r="O2348" s="85">
        <f>STATS1003B!O2354/1000</f>
        <v>0</v>
      </c>
      <c r="P2348" s="85">
        <f>STATS1003B!P2354/1000</f>
        <v>0</v>
      </c>
      <c r="Q2348" s="85">
        <f>STATS1003B!Q2354/1000</f>
        <v>2787.3</v>
      </c>
      <c r="R2348" s="85">
        <f>STATS1003B!R2354/1000</f>
        <v>0</v>
      </c>
      <c r="S2348" s="85">
        <f>STATS1003B!S2354/1000</f>
        <v>0</v>
      </c>
      <c r="T2348" s="85">
        <f>STATS1003B!T2354/1000</f>
        <v>0</v>
      </c>
      <c r="U2348" s="85">
        <f>STATS1003B!U2354/1000</f>
        <v>0</v>
      </c>
      <c r="V2348" s="85">
        <f>STATS1003B!V2354/1000</f>
        <v>0</v>
      </c>
      <c r="W2348" s="85">
        <f>STATS1003B!W2354/1000</f>
        <v>0</v>
      </c>
      <c r="X2348" s="85">
        <f t="shared" si="256"/>
        <v>2787.3</v>
      </c>
      <c r="Y2348" s="85">
        <f>STATS1003B!Y2354/1000</f>
        <v>0</v>
      </c>
      <c r="Z2348" s="85">
        <f t="shared" si="257"/>
        <v>0</v>
      </c>
      <c r="AA2348" s="69">
        <f>STATS1003B!AA2354/1000</f>
        <v>2787.3</v>
      </c>
      <c r="AB2348" s="69">
        <f>STATS1003B!AB2354/1000</f>
        <v>0</v>
      </c>
    </row>
    <row r="2349" spans="1:28" hidden="1" x14ac:dyDescent="0.3">
      <c r="A2349" s="117"/>
      <c r="C2349" s="68" t="s">
        <v>667</v>
      </c>
      <c r="D2349" s="145" t="s">
        <v>85</v>
      </c>
      <c r="E2349" s="85">
        <f>STATS1003B!E2355/1000</f>
        <v>80</v>
      </c>
      <c r="F2349" s="85">
        <f>STATS1003B!F2355/1000</f>
        <v>0</v>
      </c>
      <c r="G2349" s="85">
        <f>STATS1003B!G2355/1000</f>
        <v>0</v>
      </c>
      <c r="H2349" s="85">
        <f>STATS1003B!H2355/1000</f>
        <v>0</v>
      </c>
      <c r="I2349" s="85">
        <f>STATS1003B!I2355/1000</f>
        <v>0</v>
      </c>
      <c r="J2349" s="85">
        <f>STATS1003B!J2355/1000</f>
        <v>0</v>
      </c>
      <c r="K2349" s="85">
        <f>STATS1003B!K2355/1000</f>
        <v>0</v>
      </c>
      <c r="L2349" s="85">
        <f>STATS1003B!L2355/1000</f>
        <v>0</v>
      </c>
      <c r="M2349" s="85">
        <f>STATS1003B!M2355/1000</f>
        <v>0</v>
      </c>
      <c r="N2349" s="85">
        <f>STATS1003B!N2355/1000</f>
        <v>0</v>
      </c>
      <c r="O2349" s="85">
        <f>STATS1003B!O2355/1000</f>
        <v>0</v>
      </c>
      <c r="P2349" s="85">
        <f>STATS1003B!P2355/1000</f>
        <v>0</v>
      </c>
      <c r="Q2349" s="85">
        <f>STATS1003B!Q2355/1000</f>
        <v>80</v>
      </c>
      <c r="R2349" s="85">
        <f>STATS1003B!R2355/1000</f>
        <v>0</v>
      </c>
      <c r="S2349" s="85">
        <f>STATS1003B!S2355/1000</f>
        <v>0</v>
      </c>
      <c r="T2349" s="85">
        <f>STATS1003B!T2355/1000</f>
        <v>0</v>
      </c>
      <c r="U2349" s="85">
        <f>STATS1003B!U2355/1000</f>
        <v>0</v>
      </c>
      <c r="V2349" s="85">
        <f>STATS1003B!V2355/1000</f>
        <v>0</v>
      </c>
      <c r="W2349" s="85">
        <f>STATS1003B!W2355/1000</f>
        <v>0</v>
      </c>
      <c r="X2349" s="85">
        <f t="shared" si="256"/>
        <v>0</v>
      </c>
      <c r="Y2349" s="85">
        <f>STATS1003B!Y2355/1000</f>
        <v>0</v>
      </c>
      <c r="Z2349" s="85">
        <f t="shared" si="257"/>
        <v>80</v>
      </c>
      <c r="AA2349" s="69">
        <f>STATS1003B!AA2355/1000</f>
        <v>0</v>
      </c>
      <c r="AB2349" s="69">
        <f>STATS1003B!AB2355/1000</f>
        <v>80</v>
      </c>
    </row>
    <row r="2350" spans="1:28" hidden="1" x14ac:dyDescent="0.3">
      <c r="A2350" s="117"/>
      <c r="C2350" s="68" t="s">
        <v>535</v>
      </c>
      <c r="D2350" s="145" t="s">
        <v>128</v>
      </c>
      <c r="E2350" s="85">
        <f>STATS1003B!E2356/1000</f>
        <v>1800</v>
      </c>
      <c r="F2350" s="85">
        <f>STATS1003B!F2356/1000</f>
        <v>1800</v>
      </c>
      <c r="G2350" s="85">
        <f>STATS1003B!G2356/1000</f>
        <v>0</v>
      </c>
      <c r="H2350" s="85">
        <f>STATS1003B!H2356/1000</f>
        <v>1800</v>
      </c>
      <c r="I2350" s="85">
        <f>STATS1003B!I2356/1000</f>
        <v>0</v>
      </c>
      <c r="J2350" s="85">
        <f>STATS1003B!J2356/1000</f>
        <v>1800</v>
      </c>
      <c r="K2350" s="85">
        <f>STATS1003B!K2356/1000</f>
        <v>0</v>
      </c>
      <c r="L2350" s="85">
        <f>STATS1003B!L2356/1000</f>
        <v>0</v>
      </c>
      <c r="M2350" s="85">
        <f>STATS1003B!M2356/1000</f>
        <v>1800</v>
      </c>
      <c r="N2350" s="85">
        <f>STATS1003B!N2356/1000</f>
        <v>0</v>
      </c>
      <c r="O2350" s="85">
        <f>STATS1003B!O2356/1000</f>
        <v>0</v>
      </c>
      <c r="P2350" s="85">
        <f>STATS1003B!P2356/1000</f>
        <v>0</v>
      </c>
      <c r="Q2350" s="85">
        <f>STATS1003B!Q2356/1000</f>
        <v>1800</v>
      </c>
      <c r="R2350" s="85">
        <f>STATS1003B!R2356/1000</f>
        <v>0</v>
      </c>
      <c r="S2350" s="85">
        <f>STATS1003B!S2356/1000</f>
        <v>0</v>
      </c>
      <c r="T2350" s="85">
        <f>STATS1003B!T2356/1000</f>
        <v>0</v>
      </c>
      <c r="U2350" s="85">
        <f>STATS1003B!U2356/1000</f>
        <v>0</v>
      </c>
      <c r="V2350" s="85">
        <f>STATS1003B!V2356/1000</f>
        <v>0</v>
      </c>
      <c r="W2350" s="85">
        <f>STATS1003B!W2356/1000</f>
        <v>0</v>
      </c>
      <c r="X2350" s="85">
        <f t="shared" si="256"/>
        <v>1800</v>
      </c>
      <c r="Y2350" s="85">
        <f>STATS1003B!Y2356/1000</f>
        <v>0</v>
      </c>
      <c r="Z2350" s="85">
        <f t="shared" si="257"/>
        <v>0</v>
      </c>
      <c r="AA2350" s="69">
        <f>STATS1003B!AA2356/1000</f>
        <v>1800</v>
      </c>
      <c r="AB2350" s="69">
        <f>STATS1003B!AB2356/1000</f>
        <v>0</v>
      </c>
    </row>
    <row r="2351" spans="1:28" hidden="1" x14ac:dyDescent="0.3">
      <c r="A2351" s="117"/>
      <c r="C2351" s="68" t="s">
        <v>535</v>
      </c>
      <c r="D2351" s="145" t="s">
        <v>108</v>
      </c>
      <c r="E2351" s="85">
        <f>STATS1003B!E2357/1000</f>
        <v>3300</v>
      </c>
      <c r="F2351" s="85">
        <f>STATS1003B!F2357/1000</f>
        <v>3300</v>
      </c>
      <c r="G2351" s="85">
        <f>STATS1003B!G2357/1000</f>
        <v>0</v>
      </c>
      <c r="H2351" s="85">
        <f>STATS1003B!H2357/1000</f>
        <v>3300</v>
      </c>
      <c r="I2351" s="85">
        <f>STATS1003B!I2357/1000</f>
        <v>0</v>
      </c>
      <c r="J2351" s="85">
        <f>STATS1003B!J2357/1000</f>
        <v>3300</v>
      </c>
      <c r="K2351" s="85">
        <f>STATS1003B!K2357/1000</f>
        <v>0</v>
      </c>
      <c r="L2351" s="85">
        <f>STATS1003B!L2357/1000</f>
        <v>0</v>
      </c>
      <c r="M2351" s="85">
        <f>STATS1003B!M2357/1000</f>
        <v>3300</v>
      </c>
      <c r="N2351" s="85">
        <f>STATS1003B!N2357/1000</f>
        <v>0</v>
      </c>
      <c r="O2351" s="85">
        <f>STATS1003B!O2357/1000</f>
        <v>0</v>
      </c>
      <c r="P2351" s="85">
        <f>STATS1003B!P2357/1000</f>
        <v>0</v>
      </c>
      <c r="Q2351" s="85">
        <f>STATS1003B!Q2357/1000</f>
        <v>3300</v>
      </c>
      <c r="R2351" s="85">
        <f>STATS1003B!R2357/1000</f>
        <v>0</v>
      </c>
      <c r="S2351" s="85">
        <f>STATS1003B!S2357/1000</f>
        <v>0</v>
      </c>
      <c r="T2351" s="85">
        <f>STATS1003B!T2357/1000</f>
        <v>0</v>
      </c>
      <c r="U2351" s="85">
        <f>STATS1003B!U2357/1000</f>
        <v>0</v>
      </c>
      <c r="V2351" s="85">
        <f>STATS1003B!V2357/1000</f>
        <v>0</v>
      </c>
      <c r="W2351" s="85">
        <f>STATS1003B!W2357/1000</f>
        <v>0</v>
      </c>
      <c r="X2351" s="85">
        <f t="shared" si="256"/>
        <v>3300</v>
      </c>
      <c r="Y2351" s="85">
        <f>STATS1003B!Y2357/1000</f>
        <v>0</v>
      </c>
      <c r="Z2351" s="85">
        <f t="shared" si="257"/>
        <v>0</v>
      </c>
      <c r="AA2351" s="69">
        <f>STATS1003B!AA2357/1000</f>
        <v>3300</v>
      </c>
      <c r="AB2351" s="69">
        <f>STATS1003B!AB2357/1000</f>
        <v>0</v>
      </c>
    </row>
    <row r="2352" spans="1:28" hidden="1" x14ac:dyDescent="0.3">
      <c r="A2352" s="117"/>
      <c r="C2352" s="68" t="s">
        <v>535</v>
      </c>
      <c r="D2352" s="145" t="s">
        <v>58</v>
      </c>
      <c r="E2352" s="85">
        <f>STATS1003B!E2358/1000</f>
        <v>4760.0230000000001</v>
      </c>
      <c r="F2352" s="85">
        <f>STATS1003B!F2358/1000</f>
        <v>4760.0230000000001</v>
      </c>
      <c r="G2352" s="85">
        <f>STATS1003B!G2358/1000</f>
        <v>0</v>
      </c>
      <c r="H2352" s="85">
        <f>STATS1003B!H2358/1000</f>
        <v>4760.0230000000001</v>
      </c>
      <c r="I2352" s="85">
        <f>STATS1003B!I2358/1000</f>
        <v>0</v>
      </c>
      <c r="J2352" s="85">
        <f>STATS1003B!J2358/1000</f>
        <v>4760.0230000000001</v>
      </c>
      <c r="K2352" s="85">
        <f>STATS1003B!K2358/1000</f>
        <v>0</v>
      </c>
      <c r="L2352" s="85">
        <f>STATS1003B!L2358/1000</f>
        <v>0</v>
      </c>
      <c r="M2352" s="85">
        <f>STATS1003B!M2358/1000</f>
        <v>4760.0230000000001</v>
      </c>
      <c r="N2352" s="85">
        <f>STATS1003B!N2358/1000</f>
        <v>0</v>
      </c>
      <c r="O2352" s="85">
        <f>STATS1003B!O2358/1000</f>
        <v>0</v>
      </c>
      <c r="P2352" s="85">
        <f>STATS1003B!P2358/1000</f>
        <v>0</v>
      </c>
      <c r="Q2352" s="85">
        <f>STATS1003B!Q2358/1000</f>
        <v>4760.0230000000001</v>
      </c>
      <c r="R2352" s="85">
        <f>STATS1003B!R2358/1000</f>
        <v>0</v>
      </c>
      <c r="S2352" s="85">
        <f>STATS1003B!S2358/1000</f>
        <v>0</v>
      </c>
      <c r="T2352" s="85">
        <f>STATS1003B!T2358/1000</f>
        <v>0</v>
      </c>
      <c r="U2352" s="85">
        <f>STATS1003B!U2358/1000</f>
        <v>0</v>
      </c>
      <c r="V2352" s="85">
        <f>STATS1003B!V2358/1000</f>
        <v>0</v>
      </c>
      <c r="W2352" s="85">
        <f>STATS1003B!W2358/1000</f>
        <v>0</v>
      </c>
      <c r="X2352" s="85">
        <f t="shared" si="256"/>
        <v>4760.0230000000001</v>
      </c>
      <c r="Y2352" s="85">
        <f>STATS1003B!Y2358/1000</f>
        <v>0</v>
      </c>
      <c r="Z2352" s="85">
        <f t="shared" si="257"/>
        <v>0</v>
      </c>
      <c r="AA2352" s="69">
        <f>STATS1003B!AA2358/1000</f>
        <v>4760.0230000000001</v>
      </c>
      <c r="AB2352" s="69">
        <f>STATS1003B!AB2358/1000</f>
        <v>0</v>
      </c>
    </row>
    <row r="2353" spans="1:28" hidden="1" x14ac:dyDescent="0.3">
      <c r="A2353" s="117"/>
      <c r="C2353" s="68" t="s">
        <v>535</v>
      </c>
      <c r="D2353" s="145" t="s">
        <v>60</v>
      </c>
      <c r="E2353" s="85">
        <f>STATS1003B!E2359/1000</f>
        <v>9409.076070000001</v>
      </c>
      <c r="F2353" s="85">
        <f>STATS1003B!F2359/1000</f>
        <v>9409.076070000001</v>
      </c>
      <c r="G2353" s="85">
        <f>STATS1003B!G2359/1000</f>
        <v>0</v>
      </c>
      <c r="H2353" s="85">
        <f>STATS1003B!H2359/1000</f>
        <v>9409.076070000001</v>
      </c>
      <c r="I2353" s="85">
        <f>STATS1003B!I2359/1000</f>
        <v>0</v>
      </c>
      <c r="J2353" s="85">
        <f>STATS1003B!J2359/1000</f>
        <v>9409.076070000001</v>
      </c>
      <c r="K2353" s="85">
        <f>STATS1003B!K2359/1000</f>
        <v>0</v>
      </c>
      <c r="L2353" s="85">
        <f>STATS1003B!L2359/1000</f>
        <v>0</v>
      </c>
      <c r="M2353" s="85">
        <f>STATS1003B!M2359/1000</f>
        <v>9409.076070000001</v>
      </c>
      <c r="N2353" s="85">
        <f>STATS1003B!N2359/1000</f>
        <v>0</v>
      </c>
      <c r="O2353" s="85">
        <f>STATS1003B!O2359/1000</f>
        <v>0</v>
      </c>
      <c r="P2353" s="85">
        <f>STATS1003B!P2359/1000</f>
        <v>0</v>
      </c>
      <c r="Q2353" s="85">
        <f>STATS1003B!Q2359/1000</f>
        <v>9409.076070000001</v>
      </c>
      <c r="R2353" s="85">
        <f>STATS1003B!R2359/1000</f>
        <v>0</v>
      </c>
      <c r="S2353" s="85">
        <f>STATS1003B!S2359/1000</f>
        <v>0</v>
      </c>
      <c r="T2353" s="85">
        <f>STATS1003B!T2359/1000</f>
        <v>0</v>
      </c>
      <c r="U2353" s="85">
        <f>STATS1003B!U2359/1000</f>
        <v>0</v>
      </c>
      <c r="V2353" s="85">
        <f>STATS1003B!V2359/1000</f>
        <v>0</v>
      </c>
      <c r="W2353" s="85">
        <f>STATS1003B!W2359/1000</f>
        <v>0</v>
      </c>
      <c r="X2353" s="85">
        <f t="shared" si="256"/>
        <v>9409.076070000001</v>
      </c>
      <c r="Y2353" s="85">
        <f>STATS1003B!Y2359/1000</f>
        <v>0</v>
      </c>
      <c r="Z2353" s="85">
        <f t="shared" si="257"/>
        <v>0</v>
      </c>
      <c r="AA2353" s="69">
        <f>STATS1003B!AA2359/1000</f>
        <v>9409.076070000001</v>
      </c>
      <c r="AB2353" s="69">
        <f>STATS1003B!AB2359/1000</f>
        <v>0</v>
      </c>
    </row>
    <row r="2354" spans="1:28" hidden="1" x14ac:dyDescent="0.3">
      <c r="A2354" s="117"/>
      <c r="C2354" s="68" t="s">
        <v>535</v>
      </c>
      <c r="D2354" s="145" t="s">
        <v>73</v>
      </c>
      <c r="E2354" s="85">
        <f>STATS1003B!E2360/1000</f>
        <v>6896</v>
      </c>
      <c r="F2354" s="85">
        <f>STATS1003B!F2360/1000</f>
        <v>6896</v>
      </c>
      <c r="G2354" s="85">
        <f>STATS1003B!G2360/1000</f>
        <v>0</v>
      </c>
      <c r="H2354" s="85">
        <f>STATS1003B!H2360/1000</f>
        <v>6896</v>
      </c>
      <c r="I2354" s="85">
        <f>STATS1003B!I2360/1000</f>
        <v>0</v>
      </c>
      <c r="J2354" s="85">
        <f>STATS1003B!J2360/1000</f>
        <v>6896</v>
      </c>
      <c r="K2354" s="85">
        <f>STATS1003B!K2360/1000</f>
        <v>0</v>
      </c>
      <c r="L2354" s="85">
        <f>STATS1003B!L2360/1000</f>
        <v>0</v>
      </c>
      <c r="M2354" s="85">
        <f>STATS1003B!M2360/1000</f>
        <v>6896</v>
      </c>
      <c r="N2354" s="85">
        <f>STATS1003B!N2360/1000</f>
        <v>0</v>
      </c>
      <c r="O2354" s="85">
        <f>STATS1003B!O2360/1000</f>
        <v>0</v>
      </c>
      <c r="P2354" s="85">
        <f>STATS1003B!P2360/1000</f>
        <v>0</v>
      </c>
      <c r="Q2354" s="85">
        <f>STATS1003B!Q2360/1000</f>
        <v>6896</v>
      </c>
      <c r="R2354" s="85">
        <f>STATS1003B!R2360/1000</f>
        <v>0</v>
      </c>
      <c r="S2354" s="85">
        <f>STATS1003B!S2360/1000</f>
        <v>0</v>
      </c>
      <c r="T2354" s="85">
        <f>STATS1003B!T2360/1000</f>
        <v>0</v>
      </c>
      <c r="U2354" s="85">
        <f>STATS1003B!U2360/1000</f>
        <v>0</v>
      </c>
      <c r="V2354" s="85">
        <f>STATS1003B!V2360/1000</f>
        <v>0</v>
      </c>
      <c r="W2354" s="85">
        <f>STATS1003B!W2360/1000</f>
        <v>0</v>
      </c>
      <c r="X2354" s="85">
        <f t="shared" si="256"/>
        <v>6896</v>
      </c>
      <c r="Y2354" s="85">
        <f>STATS1003B!Y2360/1000</f>
        <v>0</v>
      </c>
      <c r="Z2354" s="85">
        <f t="shared" si="257"/>
        <v>0</v>
      </c>
      <c r="AA2354" s="69">
        <f>STATS1003B!AA2360/1000</f>
        <v>6896</v>
      </c>
      <c r="AB2354" s="69">
        <f>STATS1003B!AB2360/1000</f>
        <v>0</v>
      </c>
    </row>
    <row r="2355" spans="1:28" hidden="1" x14ac:dyDescent="0.3">
      <c r="A2355" s="117"/>
      <c r="C2355" s="71" t="s">
        <v>621</v>
      </c>
      <c r="D2355" s="88" t="s">
        <v>73</v>
      </c>
      <c r="E2355" s="85">
        <f>STATS1003B!E2361/1000</f>
        <v>3202.84</v>
      </c>
      <c r="F2355" s="85">
        <f>STATS1003B!F2361/1000</f>
        <v>3202.84</v>
      </c>
      <c r="G2355" s="85">
        <f>STATS1003B!G2361/1000</f>
        <v>0</v>
      </c>
      <c r="H2355" s="85">
        <f>STATS1003B!H2361/1000</f>
        <v>3202.84</v>
      </c>
      <c r="I2355" s="85">
        <f>STATS1003B!I2361/1000</f>
        <v>0</v>
      </c>
      <c r="J2355" s="85">
        <f>STATS1003B!J2361/1000</f>
        <v>3202.84</v>
      </c>
      <c r="K2355" s="85">
        <f>STATS1003B!K2361/1000</f>
        <v>0</v>
      </c>
      <c r="L2355" s="85">
        <f>STATS1003B!L2361/1000</f>
        <v>0</v>
      </c>
      <c r="M2355" s="85">
        <f>STATS1003B!M2361/1000</f>
        <v>3202.84</v>
      </c>
      <c r="N2355" s="85">
        <f>STATS1003B!N2361/1000</f>
        <v>0</v>
      </c>
      <c r="O2355" s="85">
        <f>STATS1003B!O2361/1000</f>
        <v>0</v>
      </c>
      <c r="P2355" s="85">
        <f>STATS1003B!P2361/1000</f>
        <v>0</v>
      </c>
      <c r="Q2355" s="85">
        <f>STATS1003B!Q2361/1000</f>
        <v>3202.84</v>
      </c>
      <c r="R2355" s="85">
        <f>STATS1003B!R2361/1000</f>
        <v>0</v>
      </c>
      <c r="S2355" s="85">
        <f>STATS1003B!S2361/1000</f>
        <v>0</v>
      </c>
      <c r="T2355" s="85">
        <f>STATS1003B!T2361/1000</f>
        <v>0</v>
      </c>
      <c r="U2355" s="85">
        <f>STATS1003B!U2361/1000</f>
        <v>0</v>
      </c>
      <c r="V2355" s="85">
        <f>STATS1003B!V2361/1000</f>
        <v>0</v>
      </c>
      <c r="W2355" s="85">
        <f>STATS1003B!W2361/1000</f>
        <v>0</v>
      </c>
      <c r="X2355" s="85">
        <f t="shared" si="256"/>
        <v>3202.84</v>
      </c>
      <c r="Y2355" s="85">
        <f>STATS1003B!Y2361/1000</f>
        <v>0</v>
      </c>
      <c r="Z2355" s="85">
        <f t="shared" si="257"/>
        <v>0</v>
      </c>
      <c r="AA2355" s="69">
        <f>STATS1003B!AA2361/1000</f>
        <v>3202.84</v>
      </c>
      <c r="AB2355" s="69">
        <f>STATS1003B!AB2361/1000</f>
        <v>0</v>
      </c>
    </row>
    <row r="2356" spans="1:28" hidden="1" x14ac:dyDescent="0.3">
      <c r="A2356" s="117"/>
      <c r="C2356" s="68" t="s">
        <v>535</v>
      </c>
      <c r="D2356" s="145" t="s">
        <v>61</v>
      </c>
      <c r="E2356" s="85">
        <f>STATS1003B!E2362/1000</f>
        <v>7000</v>
      </c>
      <c r="F2356" s="85">
        <f>STATS1003B!F2362/1000</f>
        <v>7000</v>
      </c>
      <c r="G2356" s="85">
        <f>STATS1003B!G2362/1000</f>
        <v>0</v>
      </c>
      <c r="H2356" s="85">
        <f>STATS1003B!H2362/1000</f>
        <v>7000</v>
      </c>
      <c r="I2356" s="85">
        <f>STATS1003B!I2362/1000</f>
        <v>0</v>
      </c>
      <c r="J2356" s="85">
        <f>STATS1003B!J2362/1000</f>
        <v>7000</v>
      </c>
      <c r="K2356" s="85">
        <f>STATS1003B!K2362/1000</f>
        <v>0</v>
      </c>
      <c r="L2356" s="85">
        <f>STATS1003B!L2362/1000</f>
        <v>0</v>
      </c>
      <c r="M2356" s="85">
        <f>STATS1003B!M2362/1000</f>
        <v>7000</v>
      </c>
      <c r="N2356" s="85">
        <f>STATS1003B!N2362/1000</f>
        <v>0</v>
      </c>
      <c r="O2356" s="85">
        <f>STATS1003B!O2362/1000</f>
        <v>0</v>
      </c>
      <c r="P2356" s="85">
        <f>STATS1003B!P2362/1000</f>
        <v>0</v>
      </c>
      <c r="Q2356" s="85">
        <f>STATS1003B!Q2362/1000</f>
        <v>7000</v>
      </c>
      <c r="R2356" s="85">
        <f>STATS1003B!R2362/1000</f>
        <v>0</v>
      </c>
      <c r="S2356" s="85">
        <f>STATS1003B!S2362/1000</f>
        <v>0</v>
      </c>
      <c r="T2356" s="85">
        <f>STATS1003B!T2362/1000</f>
        <v>0</v>
      </c>
      <c r="U2356" s="85">
        <f>STATS1003B!U2362/1000</f>
        <v>0</v>
      </c>
      <c r="V2356" s="85">
        <f>STATS1003B!V2362/1000</f>
        <v>0</v>
      </c>
      <c r="W2356" s="85">
        <f>STATS1003B!W2362/1000</f>
        <v>0</v>
      </c>
      <c r="X2356" s="85">
        <f t="shared" si="256"/>
        <v>7000</v>
      </c>
      <c r="Y2356" s="85">
        <f>STATS1003B!Y2362/1000</f>
        <v>0</v>
      </c>
      <c r="Z2356" s="85">
        <f t="shared" si="257"/>
        <v>0</v>
      </c>
      <c r="AA2356" s="69">
        <f>STATS1003B!AA2362/1000</f>
        <v>7000</v>
      </c>
      <c r="AB2356" s="69">
        <f>STATS1003B!AB2362/1000</f>
        <v>0</v>
      </c>
    </row>
    <row r="2357" spans="1:28" hidden="1" x14ac:dyDescent="0.3">
      <c r="A2357" s="117"/>
      <c r="C2357" s="68" t="s">
        <v>933</v>
      </c>
      <c r="D2357" s="90" t="s">
        <v>1072</v>
      </c>
      <c r="E2357" s="85">
        <f>STATS1003B!E2363/1000</f>
        <v>6221.3044</v>
      </c>
      <c r="F2357" s="85">
        <f>STATS1003B!F2363/1000</f>
        <v>6221.3044</v>
      </c>
      <c r="G2357" s="85">
        <f>STATS1003B!G2363/1000</f>
        <v>0</v>
      </c>
      <c r="H2357" s="85">
        <f>STATS1003B!H2363/1000</f>
        <v>6221.3044</v>
      </c>
      <c r="I2357" s="85">
        <f>STATS1003B!I2363/1000</f>
        <v>0</v>
      </c>
      <c r="J2357" s="85">
        <f>STATS1003B!J2363/1000</f>
        <v>6221.3044</v>
      </c>
      <c r="K2357" s="85">
        <f>STATS1003B!K2363/1000</f>
        <v>0</v>
      </c>
      <c r="L2357" s="85">
        <f>STATS1003B!L2363/1000</f>
        <v>0</v>
      </c>
      <c r="M2357" s="85">
        <f>STATS1003B!M2363/1000</f>
        <v>6221.3044</v>
      </c>
      <c r="N2357" s="85">
        <f>STATS1003B!N2363/1000</f>
        <v>0</v>
      </c>
      <c r="O2357" s="85">
        <f>STATS1003B!O2363/1000</f>
        <v>0</v>
      </c>
      <c r="P2357" s="85">
        <f>STATS1003B!P2363/1000</f>
        <v>0</v>
      </c>
      <c r="Q2357" s="85">
        <f>STATS1003B!Q2363/1000</f>
        <v>0</v>
      </c>
      <c r="R2357" s="85">
        <f>STATS1003B!R2363/1000</f>
        <v>0</v>
      </c>
      <c r="S2357" s="85">
        <f>STATS1003B!S2363/1000</f>
        <v>0</v>
      </c>
      <c r="T2357" s="85">
        <f>STATS1003B!T2363/1000</f>
        <v>0</v>
      </c>
      <c r="U2357" s="85">
        <f>STATS1003B!U2363/1000</f>
        <v>0</v>
      </c>
      <c r="V2357" s="85">
        <f>STATS1003B!V2363/1000</f>
        <v>0</v>
      </c>
      <c r="W2357" s="85">
        <f>STATS1003B!W2363/1000</f>
        <v>0</v>
      </c>
      <c r="X2357" s="85">
        <f t="shared" si="256"/>
        <v>6221.3044</v>
      </c>
      <c r="Y2357" s="85">
        <f>STATS1003B!Y2363/1000</f>
        <v>0</v>
      </c>
      <c r="Z2357" s="85">
        <f t="shared" si="257"/>
        <v>0</v>
      </c>
      <c r="AA2357" s="69">
        <f>STATS1003B!AA2363/1000</f>
        <v>6221.3044</v>
      </c>
      <c r="AB2357" s="69">
        <f>STATS1003B!AB2363/1000</f>
        <v>0</v>
      </c>
    </row>
    <row r="2358" spans="1:28" hidden="1" x14ac:dyDescent="0.3">
      <c r="A2358" s="117"/>
      <c r="C2358" s="68" t="s">
        <v>1173</v>
      </c>
      <c r="D2358" s="90" t="s">
        <v>1126</v>
      </c>
      <c r="E2358" s="85">
        <f>STATS1003B!E2364/1000</f>
        <v>709.50751000000002</v>
      </c>
      <c r="F2358" s="85">
        <f>STATS1003B!F2364/1000</f>
        <v>709.50751000000002</v>
      </c>
      <c r="G2358" s="85">
        <f>STATS1003B!G2364/1000</f>
        <v>0</v>
      </c>
      <c r="H2358" s="85">
        <f>STATS1003B!H2364/1000</f>
        <v>709.50751000000002</v>
      </c>
      <c r="I2358" s="85">
        <f>STATS1003B!I2364/1000</f>
        <v>0</v>
      </c>
      <c r="J2358" s="85">
        <f>STATS1003B!J2364/1000</f>
        <v>709.50751000000002</v>
      </c>
      <c r="K2358" s="85">
        <f>STATS1003B!K2364/1000</f>
        <v>0</v>
      </c>
      <c r="L2358" s="85">
        <f>STATS1003B!L2364/1000</f>
        <v>0</v>
      </c>
      <c r="M2358" s="85">
        <f>STATS1003B!M2364/1000</f>
        <v>709.50751000000002</v>
      </c>
      <c r="N2358" s="85">
        <f>STATS1003B!N2364/1000</f>
        <v>0</v>
      </c>
      <c r="O2358" s="85">
        <f>STATS1003B!O2364/1000</f>
        <v>0</v>
      </c>
      <c r="P2358" s="85">
        <f>STATS1003B!P2364/1000</f>
        <v>0</v>
      </c>
      <c r="Q2358" s="85">
        <f>STATS1003B!Q2364/1000</f>
        <v>0</v>
      </c>
      <c r="R2358" s="85">
        <f>STATS1003B!R2364/1000</f>
        <v>0</v>
      </c>
      <c r="S2358" s="85">
        <f>STATS1003B!S2364/1000</f>
        <v>0</v>
      </c>
      <c r="T2358" s="85">
        <f>STATS1003B!T2364/1000</f>
        <v>0</v>
      </c>
      <c r="U2358" s="85">
        <f>STATS1003B!U2364/1000</f>
        <v>0</v>
      </c>
      <c r="V2358" s="85">
        <f>STATS1003B!V2364/1000</f>
        <v>0</v>
      </c>
      <c r="W2358" s="85">
        <f>STATS1003B!W2364/1000</f>
        <v>0</v>
      </c>
      <c r="X2358" s="85">
        <f t="shared" si="256"/>
        <v>709.50751000000002</v>
      </c>
      <c r="Y2358" s="85">
        <f>STATS1003B!Y2364/1000</f>
        <v>0</v>
      </c>
      <c r="Z2358" s="85">
        <f t="shared" si="257"/>
        <v>0</v>
      </c>
      <c r="AA2358" s="69">
        <f>STATS1003B!AA2364/1000</f>
        <v>709.50751000000002</v>
      </c>
      <c r="AB2358" s="69">
        <f>STATS1003B!AB2364/1000</f>
        <v>0</v>
      </c>
    </row>
    <row r="2359" spans="1:28" hidden="1" x14ac:dyDescent="0.3">
      <c r="A2359" s="117"/>
      <c r="C2359" s="68" t="s">
        <v>1083</v>
      </c>
      <c r="D2359" s="90" t="s">
        <v>1072</v>
      </c>
      <c r="E2359" s="85">
        <f>STATS1003B!E2365/1000</f>
        <v>8971.122800000001</v>
      </c>
      <c r="F2359" s="85">
        <f>STATS1003B!F2365/1000</f>
        <v>8971.122800000001</v>
      </c>
      <c r="G2359" s="85">
        <f>STATS1003B!G2365/1000</f>
        <v>0</v>
      </c>
      <c r="H2359" s="85">
        <f>STATS1003B!H2365/1000</f>
        <v>8971.122800000001</v>
      </c>
      <c r="I2359" s="85">
        <f>STATS1003B!I2365/1000</f>
        <v>0</v>
      </c>
      <c r="J2359" s="85">
        <f>STATS1003B!J2365/1000</f>
        <v>8971.122800000001</v>
      </c>
      <c r="K2359" s="85">
        <f>STATS1003B!K2365/1000</f>
        <v>0</v>
      </c>
      <c r="L2359" s="85">
        <f>STATS1003B!L2365/1000</f>
        <v>0</v>
      </c>
      <c r="M2359" s="85">
        <f>STATS1003B!M2365/1000</f>
        <v>8971.122800000001</v>
      </c>
      <c r="N2359" s="85">
        <f>STATS1003B!N2365/1000</f>
        <v>0</v>
      </c>
      <c r="O2359" s="85">
        <f>STATS1003B!O2365/1000</f>
        <v>0</v>
      </c>
      <c r="P2359" s="85">
        <f>STATS1003B!P2365/1000</f>
        <v>0</v>
      </c>
      <c r="Q2359" s="85">
        <f>STATS1003B!Q2365/1000</f>
        <v>0</v>
      </c>
      <c r="R2359" s="85">
        <f>STATS1003B!R2365/1000</f>
        <v>0</v>
      </c>
      <c r="S2359" s="85">
        <f>STATS1003B!S2365/1000</f>
        <v>0</v>
      </c>
      <c r="T2359" s="85">
        <f>STATS1003B!T2365/1000</f>
        <v>0</v>
      </c>
      <c r="U2359" s="85">
        <f>STATS1003B!U2365/1000</f>
        <v>0</v>
      </c>
      <c r="V2359" s="85">
        <f>STATS1003B!V2365/1000</f>
        <v>0</v>
      </c>
      <c r="W2359" s="85">
        <f>STATS1003B!W2365/1000</f>
        <v>0</v>
      </c>
      <c r="X2359" s="85">
        <f t="shared" si="256"/>
        <v>8971.122800000001</v>
      </c>
      <c r="Y2359" s="85">
        <f>STATS1003B!Y2365/1000</f>
        <v>0</v>
      </c>
      <c r="Z2359" s="85">
        <f t="shared" si="257"/>
        <v>0</v>
      </c>
      <c r="AA2359" s="69">
        <f>STATS1003B!AA2365/1000</f>
        <v>8971.122800000001</v>
      </c>
      <c r="AB2359" s="69">
        <f>STATS1003B!AB2365/1000</f>
        <v>0</v>
      </c>
    </row>
    <row r="2360" spans="1:28" hidden="1" x14ac:dyDescent="0.3">
      <c r="A2360" s="117"/>
      <c r="C2360" s="68" t="s">
        <v>577</v>
      </c>
      <c r="E2360" s="85">
        <f>STATS1003B!E2366/1000</f>
        <v>712.08481999999992</v>
      </c>
      <c r="F2360" s="85">
        <f>STATS1003B!F2366/1000</f>
        <v>712.08481999999992</v>
      </c>
      <c r="G2360" s="85">
        <f>STATS1003B!G2366/1000</f>
        <v>0</v>
      </c>
      <c r="H2360" s="85">
        <f>STATS1003B!H2366/1000</f>
        <v>712.08481999999992</v>
      </c>
      <c r="I2360" s="85">
        <f>STATS1003B!I2366/1000</f>
        <v>0</v>
      </c>
      <c r="J2360" s="85">
        <f>STATS1003B!J2366/1000</f>
        <v>712.08481999999992</v>
      </c>
      <c r="K2360" s="85">
        <f>STATS1003B!K2366/1000</f>
        <v>0</v>
      </c>
      <c r="L2360" s="85">
        <f>STATS1003B!L2366/1000</f>
        <v>0</v>
      </c>
      <c r="M2360" s="85">
        <f>STATS1003B!M2366/1000</f>
        <v>712.08481999999992</v>
      </c>
      <c r="N2360" s="85">
        <f>STATS1003B!N2366/1000</f>
        <v>0</v>
      </c>
      <c r="O2360" s="85">
        <f>STATS1003B!O2366/1000</f>
        <v>0</v>
      </c>
      <c r="P2360" s="85">
        <f>STATS1003B!P2366/1000</f>
        <v>0</v>
      </c>
      <c r="Q2360" s="85">
        <f>STATS1003B!Q2366/1000</f>
        <v>712.08481999999992</v>
      </c>
      <c r="R2360" s="85">
        <f>STATS1003B!R2366/1000</f>
        <v>0</v>
      </c>
      <c r="S2360" s="85">
        <f>STATS1003B!S2366/1000</f>
        <v>0</v>
      </c>
      <c r="T2360" s="85">
        <f>STATS1003B!T2366/1000</f>
        <v>0</v>
      </c>
      <c r="U2360" s="85">
        <f>STATS1003B!U2366/1000</f>
        <v>0</v>
      </c>
      <c r="V2360" s="85">
        <f>STATS1003B!V2366/1000</f>
        <v>0</v>
      </c>
      <c r="W2360" s="85">
        <f>STATS1003B!W2366/1000</f>
        <v>0</v>
      </c>
      <c r="X2360" s="85">
        <f t="shared" si="256"/>
        <v>712.08481999999992</v>
      </c>
      <c r="Y2360" s="85">
        <f>STATS1003B!Y2366/1000</f>
        <v>0</v>
      </c>
      <c r="Z2360" s="85">
        <f t="shared" si="257"/>
        <v>0</v>
      </c>
      <c r="AA2360" s="69">
        <f>STATS1003B!AA2366/1000</f>
        <v>712.08481999999992</v>
      </c>
      <c r="AB2360" s="69">
        <f>STATS1003B!AB2366/1000</f>
        <v>0</v>
      </c>
    </row>
    <row r="2361" spans="1:28" hidden="1" x14ac:dyDescent="0.3">
      <c r="A2361" s="117"/>
      <c r="C2361" s="68" t="s">
        <v>550</v>
      </c>
      <c r="E2361" s="85">
        <f>STATS1003B!E2367/1000</f>
        <v>242.386</v>
      </c>
      <c r="F2361" s="85">
        <f>STATS1003B!F2367/1000</f>
        <v>242.386</v>
      </c>
      <c r="G2361" s="85">
        <f>STATS1003B!G2367/1000</f>
        <v>0</v>
      </c>
      <c r="H2361" s="85">
        <f>STATS1003B!H2367/1000</f>
        <v>242.386</v>
      </c>
      <c r="I2361" s="85">
        <f>STATS1003B!I2367/1000</f>
        <v>0</v>
      </c>
      <c r="J2361" s="85">
        <f>STATS1003B!J2367/1000</f>
        <v>242.386</v>
      </c>
      <c r="K2361" s="85">
        <f>STATS1003B!K2367/1000</f>
        <v>0</v>
      </c>
      <c r="L2361" s="85">
        <f>STATS1003B!L2367/1000</f>
        <v>0</v>
      </c>
      <c r="M2361" s="85">
        <f>STATS1003B!M2367/1000</f>
        <v>242.386</v>
      </c>
      <c r="N2361" s="85">
        <f>STATS1003B!N2367/1000</f>
        <v>0</v>
      </c>
      <c r="O2361" s="85">
        <f>STATS1003B!O2367/1000</f>
        <v>0</v>
      </c>
      <c r="P2361" s="85">
        <f>STATS1003B!P2367/1000</f>
        <v>0</v>
      </c>
      <c r="Q2361" s="85">
        <f>STATS1003B!Q2367/1000</f>
        <v>242.386</v>
      </c>
      <c r="R2361" s="85">
        <f>STATS1003B!R2367/1000</f>
        <v>0</v>
      </c>
      <c r="S2361" s="85">
        <f>STATS1003B!S2367/1000</f>
        <v>0</v>
      </c>
      <c r="T2361" s="85">
        <f>STATS1003B!T2367/1000</f>
        <v>0</v>
      </c>
      <c r="U2361" s="85">
        <f>STATS1003B!U2367/1000</f>
        <v>0</v>
      </c>
      <c r="V2361" s="85">
        <f>STATS1003B!V2367/1000</f>
        <v>0</v>
      </c>
      <c r="W2361" s="85">
        <f>STATS1003B!W2367/1000</f>
        <v>0</v>
      </c>
      <c r="X2361" s="85">
        <f t="shared" si="256"/>
        <v>242.386</v>
      </c>
      <c r="Y2361" s="85">
        <f>STATS1003B!Y2367/1000</f>
        <v>0</v>
      </c>
      <c r="Z2361" s="85">
        <f t="shared" si="257"/>
        <v>0</v>
      </c>
      <c r="AA2361" s="69">
        <f>STATS1003B!AA2367/1000</f>
        <v>242.386</v>
      </c>
      <c r="AB2361" s="69">
        <f>STATS1003B!AB2367/1000</f>
        <v>0</v>
      </c>
    </row>
    <row r="2362" spans="1:28" hidden="1" x14ac:dyDescent="0.3">
      <c r="A2362" s="117"/>
      <c r="C2362" s="68" t="s">
        <v>844</v>
      </c>
      <c r="E2362" s="85">
        <f>STATS1003B!E2368/1000</f>
        <v>49.645859999999999</v>
      </c>
      <c r="F2362" s="85">
        <f>STATS1003B!F2368/1000</f>
        <v>49.645859999999999</v>
      </c>
      <c r="G2362" s="85">
        <f>STATS1003B!G2368/1000</f>
        <v>0</v>
      </c>
      <c r="H2362" s="85">
        <f>STATS1003B!H2368/1000</f>
        <v>49.645859999999999</v>
      </c>
      <c r="I2362" s="85">
        <f>STATS1003B!I2368/1000</f>
        <v>0</v>
      </c>
      <c r="J2362" s="85">
        <f>STATS1003B!J2368/1000</f>
        <v>49.645859999999999</v>
      </c>
      <c r="K2362" s="85">
        <f>STATS1003B!K2368/1000</f>
        <v>0</v>
      </c>
      <c r="L2362" s="85">
        <f>STATS1003B!L2368/1000</f>
        <v>0</v>
      </c>
      <c r="M2362" s="85">
        <f>STATS1003B!M2368/1000</f>
        <v>49.645859999999999</v>
      </c>
      <c r="N2362" s="85">
        <f>STATS1003B!N2368/1000</f>
        <v>0</v>
      </c>
      <c r="O2362" s="85">
        <f>STATS1003B!O2368/1000</f>
        <v>0</v>
      </c>
      <c r="P2362" s="85">
        <f>STATS1003B!P2368/1000</f>
        <v>0</v>
      </c>
      <c r="Q2362" s="85">
        <f>STATS1003B!Q2368/1000</f>
        <v>49.645859999999999</v>
      </c>
      <c r="R2362" s="85">
        <f>STATS1003B!R2368/1000</f>
        <v>0</v>
      </c>
      <c r="S2362" s="85">
        <f>STATS1003B!S2368/1000</f>
        <v>0</v>
      </c>
      <c r="T2362" s="85">
        <f>STATS1003B!T2368/1000</f>
        <v>0</v>
      </c>
      <c r="U2362" s="85">
        <f>STATS1003B!U2368/1000</f>
        <v>0</v>
      </c>
      <c r="V2362" s="85">
        <f>STATS1003B!V2368/1000</f>
        <v>0</v>
      </c>
      <c r="W2362" s="85">
        <f>STATS1003B!W2368/1000</f>
        <v>0</v>
      </c>
      <c r="X2362" s="85">
        <f t="shared" si="256"/>
        <v>49.645859999999999</v>
      </c>
      <c r="Y2362" s="85">
        <f>STATS1003B!Y2368/1000</f>
        <v>0</v>
      </c>
      <c r="Z2362" s="85">
        <f t="shared" si="257"/>
        <v>0</v>
      </c>
      <c r="AA2362" s="69">
        <f>STATS1003B!AA2368/1000</f>
        <v>49.645859999999999</v>
      </c>
      <c r="AB2362" s="69">
        <f>STATS1003B!AB2368/1000</f>
        <v>0</v>
      </c>
    </row>
    <row r="2363" spans="1:28" hidden="1" x14ac:dyDescent="0.3">
      <c r="A2363" s="117"/>
      <c r="C2363" s="68" t="s">
        <v>568</v>
      </c>
      <c r="E2363" s="85">
        <f>STATS1003B!E2369/1000</f>
        <v>5199.7009900000003</v>
      </c>
      <c r="F2363" s="85">
        <f>STATS1003B!F2369/1000</f>
        <v>5199.7009900000003</v>
      </c>
      <c r="G2363" s="85">
        <f>STATS1003B!G2369/1000</f>
        <v>0</v>
      </c>
      <c r="H2363" s="85">
        <f>STATS1003B!H2369/1000</f>
        <v>5199.7009900000003</v>
      </c>
      <c r="I2363" s="85">
        <f>STATS1003B!I2369/1000</f>
        <v>0</v>
      </c>
      <c r="J2363" s="85">
        <f>STATS1003B!J2369/1000</f>
        <v>0</v>
      </c>
      <c r="K2363" s="85">
        <f>STATS1003B!K2369/1000</f>
        <v>0</v>
      </c>
      <c r="L2363" s="85">
        <f>STATS1003B!L2369/1000</f>
        <v>0</v>
      </c>
      <c r="M2363" s="85">
        <f>STATS1003B!M2369/1000</f>
        <v>5199.7009900000003</v>
      </c>
      <c r="N2363" s="85">
        <f>STATS1003B!N2369/1000</f>
        <v>0</v>
      </c>
      <c r="O2363" s="85">
        <f>STATS1003B!O2369/1000</f>
        <v>0</v>
      </c>
      <c r="P2363" s="85">
        <f>STATS1003B!P2369/1000</f>
        <v>0</v>
      </c>
      <c r="Q2363" s="85">
        <f>STATS1003B!Q2369/1000</f>
        <v>0</v>
      </c>
      <c r="R2363" s="85">
        <f>STATS1003B!R2369/1000</f>
        <v>0</v>
      </c>
      <c r="S2363" s="85">
        <f>STATS1003B!S2369/1000</f>
        <v>0</v>
      </c>
      <c r="T2363" s="85">
        <f>STATS1003B!T2369/1000</f>
        <v>0</v>
      </c>
      <c r="U2363" s="85">
        <f>STATS1003B!U2369/1000</f>
        <v>0</v>
      </c>
      <c r="V2363" s="85">
        <f>STATS1003B!V2369/1000</f>
        <v>0</v>
      </c>
      <c r="W2363" s="85">
        <f>STATS1003B!W2369/1000</f>
        <v>0</v>
      </c>
      <c r="X2363" s="85">
        <f t="shared" si="256"/>
        <v>5199.7009900000003</v>
      </c>
      <c r="Y2363" s="85">
        <f>STATS1003B!Y2369/1000</f>
        <v>0</v>
      </c>
      <c r="Z2363" s="85">
        <f t="shared" si="257"/>
        <v>0</v>
      </c>
      <c r="AA2363" s="69">
        <f>STATS1003B!AA2369/1000</f>
        <v>5199.7009900000003</v>
      </c>
      <c r="AB2363" s="69">
        <f>STATS1003B!AB2369/1000</f>
        <v>0</v>
      </c>
    </row>
    <row r="2364" spans="1:28" hidden="1" x14ac:dyDescent="0.3">
      <c r="A2364" s="117"/>
      <c r="C2364" s="68" t="s">
        <v>606</v>
      </c>
      <c r="E2364" s="85">
        <f>STATS1003B!E2370/1000</f>
        <v>5000</v>
      </c>
      <c r="F2364" s="85">
        <f>STATS1003B!F2370/1000</f>
        <v>5000</v>
      </c>
      <c r="G2364" s="85">
        <f>STATS1003B!G2370/1000</f>
        <v>0</v>
      </c>
      <c r="H2364" s="85">
        <f>STATS1003B!H2370/1000</f>
        <v>5000</v>
      </c>
      <c r="I2364" s="85">
        <f>STATS1003B!I2370/1000</f>
        <v>0</v>
      </c>
      <c r="J2364" s="85">
        <f>STATS1003B!J2370/1000</f>
        <v>5000</v>
      </c>
      <c r="K2364" s="85">
        <f>STATS1003B!K2370/1000</f>
        <v>0</v>
      </c>
      <c r="L2364" s="85">
        <f>STATS1003B!L2370/1000</f>
        <v>0</v>
      </c>
      <c r="M2364" s="85">
        <f>STATS1003B!M2370/1000</f>
        <v>5000</v>
      </c>
      <c r="N2364" s="85">
        <f>STATS1003B!N2370/1000</f>
        <v>0</v>
      </c>
      <c r="O2364" s="85">
        <f>STATS1003B!O2370/1000</f>
        <v>0</v>
      </c>
      <c r="P2364" s="85">
        <f>STATS1003B!P2370/1000</f>
        <v>0</v>
      </c>
      <c r="Q2364" s="85">
        <f>STATS1003B!Q2370/1000</f>
        <v>5000</v>
      </c>
      <c r="R2364" s="85">
        <f>STATS1003B!R2370/1000</f>
        <v>0</v>
      </c>
      <c r="S2364" s="85">
        <f>STATS1003B!S2370/1000</f>
        <v>0</v>
      </c>
      <c r="T2364" s="85">
        <f>STATS1003B!T2370/1000</f>
        <v>0</v>
      </c>
      <c r="U2364" s="85">
        <f>STATS1003B!U2370/1000</f>
        <v>0</v>
      </c>
      <c r="V2364" s="85">
        <f>STATS1003B!V2370/1000</f>
        <v>0</v>
      </c>
      <c r="W2364" s="85">
        <f>STATS1003B!W2370/1000</f>
        <v>0</v>
      </c>
      <c r="X2364" s="85">
        <f t="shared" si="256"/>
        <v>5000</v>
      </c>
      <c r="Y2364" s="85">
        <f>STATS1003B!Y2370/1000</f>
        <v>0</v>
      </c>
      <c r="Z2364" s="85">
        <f t="shared" si="257"/>
        <v>0</v>
      </c>
      <c r="AA2364" s="69">
        <f>STATS1003B!AA2370/1000</f>
        <v>5000</v>
      </c>
      <c r="AB2364" s="69">
        <f>STATS1003B!AB2370/1000</f>
        <v>0</v>
      </c>
    </row>
    <row r="2365" spans="1:28" hidden="1" x14ac:dyDescent="0.3">
      <c r="A2365" s="117"/>
      <c r="E2365" s="86" t="s">
        <v>29</v>
      </c>
      <c r="F2365" s="86" t="s">
        <v>29</v>
      </c>
      <c r="G2365" s="86" t="s">
        <v>29</v>
      </c>
      <c r="H2365" s="86" t="s">
        <v>29</v>
      </c>
      <c r="I2365" s="86" t="s">
        <v>29</v>
      </c>
      <c r="J2365" s="86" t="s">
        <v>29</v>
      </c>
      <c r="K2365" s="86" t="s">
        <v>29</v>
      </c>
      <c r="L2365" s="86" t="s">
        <v>29</v>
      </c>
      <c r="M2365" s="86" t="s">
        <v>29</v>
      </c>
      <c r="N2365" s="86" t="s">
        <v>29</v>
      </c>
      <c r="O2365" s="86" t="s">
        <v>29</v>
      </c>
      <c r="P2365" s="86" t="s">
        <v>29</v>
      </c>
      <c r="Q2365" s="86" t="s">
        <v>29</v>
      </c>
      <c r="R2365" s="86" t="s">
        <v>29</v>
      </c>
      <c r="S2365" s="86" t="s">
        <v>29</v>
      </c>
      <c r="T2365" s="86" t="s">
        <v>29</v>
      </c>
      <c r="U2365" s="86" t="s">
        <v>29</v>
      </c>
      <c r="V2365" s="86" t="s">
        <v>29</v>
      </c>
      <c r="W2365" s="86" t="s">
        <v>29</v>
      </c>
      <c r="X2365" s="85" t="e">
        <f t="shared" si="256"/>
        <v>#VALUE!</v>
      </c>
      <c r="Y2365" s="86" t="s">
        <v>29</v>
      </c>
      <c r="Z2365" s="85" t="e">
        <f t="shared" si="257"/>
        <v>#VALUE!</v>
      </c>
      <c r="AA2365" s="115" t="s">
        <v>29</v>
      </c>
      <c r="AB2365" s="115" t="s">
        <v>29</v>
      </c>
    </row>
    <row r="2366" spans="1:28" x14ac:dyDescent="0.3">
      <c r="A2366" s="116">
        <v>102</v>
      </c>
      <c r="B2366" s="68" t="s">
        <v>843</v>
      </c>
      <c r="E2366" s="85">
        <f>231496281.47/1000</f>
        <v>231496.28146999999</v>
      </c>
      <c r="F2366" s="85">
        <f t="shared" ref="F2366:Q2366" si="260">SUM(F2344:F2365)</f>
        <v>68836.447709999993</v>
      </c>
      <c r="G2366" s="85">
        <f t="shared" si="260"/>
        <v>0</v>
      </c>
      <c r="H2366" s="85">
        <f>228567455.97/1000</f>
        <v>228567.45597000001</v>
      </c>
      <c r="I2366" s="85">
        <f t="shared" si="260"/>
        <v>0</v>
      </c>
      <c r="J2366" s="85">
        <f t="shared" si="260"/>
        <v>63636.746719999996</v>
      </c>
      <c r="K2366" s="85">
        <f t="shared" si="260"/>
        <v>2848.8254999999999</v>
      </c>
      <c r="L2366" s="85">
        <f t="shared" si="260"/>
        <v>0</v>
      </c>
      <c r="M2366" s="85">
        <f t="shared" si="260"/>
        <v>68836.447709999993</v>
      </c>
      <c r="N2366" s="85">
        <f t="shared" si="260"/>
        <v>2848.8254999999999</v>
      </c>
      <c r="O2366" s="85">
        <f t="shared" si="260"/>
        <v>0</v>
      </c>
      <c r="P2366" s="85">
        <f>2848825/1000</f>
        <v>2848.8249999999998</v>
      </c>
      <c r="Q2366" s="85">
        <f t="shared" si="260"/>
        <v>47814.812009999994</v>
      </c>
      <c r="R2366" s="84"/>
      <c r="S2366" s="84"/>
      <c r="T2366" s="85">
        <f t="shared" ref="T2366:Y2366" si="261">SUM(T2344:T2365)</f>
        <v>0</v>
      </c>
      <c r="U2366" s="85">
        <f t="shared" si="261"/>
        <v>2848.8254999999999</v>
      </c>
      <c r="V2366" s="85">
        <f t="shared" si="261"/>
        <v>0</v>
      </c>
      <c r="W2366" s="85">
        <f t="shared" si="261"/>
        <v>0</v>
      </c>
      <c r="X2366" s="85">
        <f t="shared" si="256"/>
        <v>231416.28097000002</v>
      </c>
      <c r="Y2366" s="85">
        <f t="shared" si="261"/>
        <v>0</v>
      </c>
      <c r="Z2366" s="85">
        <f t="shared" si="257"/>
        <v>80.000499999965541</v>
      </c>
      <c r="AA2366" s="69">
        <f>SUM(AA2344:AA2365)</f>
        <v>71685.273209999999</v>
      </c>
      <c r="AB2366" s="69">
        <f>SUM(AB2344:AB2365)</f>
        <v>80</v>
      </c>
    </row>
    <row r="2367" spans="1:28" hidden="1" x14ac:dyDescent="0.3">
      <c r="A2367" s="117"/>
      <c r="E2367" s="86" t="s">
        <v>29</v>
      </c>
      <c r="F2367" s="86" t="s">
        <v>29</v>
      </c>
      <c r="G2367" s="86" t="s">
        <v>29</v>
      </c>
      <c r="H2367" s="86" t="s">
        <v>29</v>
      </c>
      <c r="I2367" s="86" t="s">
        <v>29</v>
      </c>
      <c r="J2367" s="86" t="s">
        <v>29</v>
      </c>
      <c r="K2367" s="86" t="s">
        <v>29</v>
      </c>
      <c r="L2367" s="86" t="s">
        <v>29</v>
      </c>
      <c r="M2367" s="86" t="s">
        <v>29</v>
      </c>
      <c r="N2367" s="86" t="s">
        <v>29</v>
      </c>
      <c r="O2367" s="86" t="s">
        <v>29</v>
      </c>
      <c r="P2367" s="86" t="s">
        <v>29</v>
      </c>
      <c r="Q2367" s="86" t="s">
        <v>29</v>
      </c>
      <c r="R2367" s="86" t="s">
        <v>29</v>
      </c>
      <c r="S2367" s="86" t="s">
        <v>29</v>
      </c>
      <c r="T2367" s="86" t="s">
        <v>29</v>
      </c>
      <c r="U2367" s="86" t="s">
        <v>29</v>
      </c>
      <c r="V2367" s="86" t="s">
        <v>29</v>
      </c>
      <c r="W2367" s="86" t="s">
        <v>29</v>
      </c>
      <c r="X2367" s="85" t="e">
        <f t="shared" si="256"/>
        <v>#VALUE!</v>
      </c>
      <c r="Y2367" s="86" t="s">
        <v>29</v>
      </c>
      <c r="Z2367" s="85" t="e">
        <f t="shared" si="257"/>
        <v>#VALUE!</v>
      </c>
      <c r="AA2367" s="115" t="s">
        <v>29</v>
      </c>
      <c r="AB2367" s="115" t="s">
        <v>29</v>
      </c>
    </row>
    <row r="2368" spans="1:28" hidden="1" x14ac:dyDescent="0.3">
      <c r="A2368" s="105"/>
      <c r="E2368" s="84"/>
      <c r="F2368" s="84"/>
      <c r="G2368" s="84"/>
      <c r="H2368" s="84"/>
      <c r="I2368" s="84"/>
      <c r="J2368" s="84"/>
      <c r="K2368" s="84"/>
      <c r="L2368" s="84"/>
      <c r="M2368" s="84"/>
      <c r="N2368" s="84"/>
      <c r="O2368" s="84"/>
      <c r="P2368" s="84"/>
      <c r="Q2368" s="84"/>
      <c r="R2368" s="84"/>
      <c r="S2368" s="84"/>
      <c r="T2368" s="84"/>
      <c r="U2368" s="84"/>
      <c r="V2368" s="84"/>
      <c r="W2368" s="84"/>
      <c r="X2368" s="85">
        <f t="shared" si="256"/>
        <v>0</v>
      </c>
      <c r="Y2368" s="84"/>
      <c r="Z2368" s="85">
        <f t="shared" si="257"/>
        <v>0</v>
      </c>
    </row>
    <row r="2369" spans="1:28" hidden="1" x14ac:dyDescent="0.3">
      <c r="A2369" s="117"/>
      <c r="C2369" s="68" t="s">
        <v>535</v>
      </c>
      <c r="D2369" s="145" t="s">
        <v>68</v>
      </c>
      <c r="E2369" s="85">
        <f>STATS1003B!E2375/1000</f>
        <v>368.58891000000006</v>
      </c>
      <c r="F2369" s="85">
        <f>STATS1003B!F2375/1000</f>
        <v>270.76</v>
      </c>
      <c r="G2369" s="85">
        <f>STATS1003B!G2375/1000</f>
        <v>0</v>
      </c>
      <c r="H2369" s="85">
        <f>STATS1003B!H2375/1000</f>
        <v>270.76</v>
      </c>
      <c r="I2369" s="85">
        <f>STATS1003B!I2375/1000</f>
        <v>0</v>
      </c>
      <c r="J2369" s="85">
        <f>STATS1003B!J2375/1000</f>
        <v>270.76</v>
      </c>
      <c r="K2369" s="85">
        <f>STATS1003B!K2375/1000</f>
        <v>97.828910000000008</v>
      </c>
      <c r="L2369" s="85">
        <f>STATS1003B!L2375/1000</f>
        <v>0</v>
      </c>
      <c r="M2369" s="85">
        <f>STATS1003B!M2375/1000</f>
        <v>270.76</v>
      </c>
      <c r="N2369" s="85">
        <f>STATS1003B!N2375/1000</f>
        <v>97.828910000000008</v>
      </c>
      <c r="O2369" s="85">
        <f>STATS1003B!O2375/1000</f>
        <v>0</v>
      </c>
      <c r="P2369" s="85">
        <f>STATS1003B!P2375/1000</f>
        <v>97.828910000000008</v>
      </c>
      <c r="Q2369" s="85">
        <f>STATS1003B!Q2375/1000</f>
        <v>270.76</v>
      </c>
      <c r="R2369" s="85">
        <f>STATS1003B!R2375/1000</f>
        <v>0</v>
      </c>
      <c r="S2369" s="85">
        <f>STATS1003B!S2375/1000</f>
        <v>0</v>
      </c>
      <c r="T2369" s="85">
        <f>STATS1003B!T2375/1000</f>
        <v>0</v>
      </c>
      <c r="U2369" s="85">
        <f>STATS1003B!U2375/1000</f>
        <v>97.828910000000008</v>
      </c>
      <c r="V2369" s="85">
        <f>STATS1003B!V2375/1000</f>
        <v>0</v>
      </c>
      <c r="W2369" s="85">
        <f>STATS1003B!W2375/1000</f>
        <v>0</v>
      </c>
      <c r="X2369" s="85">
        <f t="shared" si="256"/>
        <v>368.58891</v>
      </c>
      <c r="Y2369" s="85">
        <f>STATS1003B!Y2375/1000</f>
        <v>0</v>
      </c>
      <c r="Z2369" s="85">
        <f t="shared" si="257"/>
        <v>0</v>
      </c>
      <c r="AA2369" s="69">
        <f>STATS1003B!AA2375/1000</f>
        <v>368.58891000000006</v>
      </c>
      <c r="AB2369" s="69">
        <f>STATS1003B!AB2375/1000</f>
        <v>0</v>
      </c>
    </row>
    <row r="2370" spans="1:28" hidden="1" x14ac:dyDescent="0.3">
      <c r="A2370" s="117"/>
      <c r="C2370" s="68" t="s">
        <v>535</v>
      </c>
      <c r="D2370" s="145" t="s">
        <v>54</v>
      </c>
      <c r="E2370" s="85">
        <f>STATS1003B!E2376/1000</f>
        <v>612.75</v>
      </c>
      <c r="F2370" s="85">
        <f>STATS1003B!F2376/1000</f>
        <v>612.75</v>
      </c>
      <c r="G2370" s="85">
        <f>STATS1003B!G2376/1000</f>
        <v>0</v>
      </c>
      <c r="H2370" s="85">
        <f>STATS1003B!H2376/1000</f>
        <v>612.75</v>
      </c>
      <c r="I2370" s="85">
        <f>STATS1003B!I2376/1000</f>
        <v>0</v>
      </c>
      <c r="J2370" s="85">
        <f>STATS1003B!J2376/1000</f>
        <v>612.75</v>
      </c>
      <c r="K2370" s="85">
        <f>STATS1003B!K2376/1000</f>
        <v>0</v>
      </c>
      <c r="L2370" s="85">
        <f>STATS1003B!L2376/1000</f>
        <v>0</v>
      </c>
      <c r="M2370" s="85">
        <f>STATS1003B!M2376/1000</f>
        <v>612.75</v>
      </c>
      <c r="N2370" s="85">
        <f>STATS1003B!N2376/1000</f>
        <v>0</v>
      </c>
      <c r="O2370" s="85">
        <f>STATS1003B!O2376/1000</f>
        <v>0</v>
      </c>
      <c r="P2370" s="85">
        <f>STATS1003B!P2376/1000</f>
        <v>0</v>
      </c>
      <c r="Q2370" s="85">
        <f>STATS1003B!Q2376/1000</f>
        <v>612.75</v>
      </c>
      <c r="R2370" s="85">
        <f>STATS1003B!R2376/1000</f>
        <v>0</v>
      </c>
      <c r="S2370" s="85">
        <f>STATS1003B!S2376/1000</f>
        <v>0</v>
      </c>
      <c r="T2370" s="85">
        <f>STATS1003B!T2376/1000</f>
        <v>0</v>
      </c>
      <c r="U2370" s="85">
        <f>STATS1003B!U2376/1000</f>
        <v>0</v>
      </c>
      <c r="V2370" s="85">
        <f>STATS1003B!V2376/1000</f>
        <v>0</v>
      </c>
      <c r="W2370" s="85">
        <f>STATS1003B!W2376/1000</f>
        <v>0</v>
      </c>
      <c r="X2370" s="85">
        <f t="shared" si="256"/>
        <v>612.75</v>
      </c>
      <c r="Y2370" s="85">
        <f>STATS1003B!Y2376/1000</f>
        <v>0</v>
      </c>
      <c r="Z2370" s="85">
        <f t="shared" si="257"/>
        <v>0</v>
      </c>
      <c r="AA2370" s="69">
        <f>STATS1003B!AA2376/1000</f>
        <v>612.75</v>
      </c>
      <c r="AB2370" s="69">
        <f>STATS1003B!AB2376/1000</f>
        <v>0</v>
      </c>
    </row>
    <row r="2371" spans="1:28" hidden="1" x14ac:dyDescent="0.3">
      <c r="A2371" s="117"/>
      <c r="C2371" s="68" t="s">
        <v>846</v>
      </c>
      <c r="D2371" s="145" t="s">
        <v>54</v>
      </c>
      <c r="E2371" s="85">
        <f>STATS1003B!E2377/1000</f>
        <v>955.34561999999994</v>
      </c>
      <c r="F2371" s="85">
        <f>STATS1003B!F2377/1000</f>
        <v>0</v>
      </c>
      <c r="G2371" s="85">
        <f>STATS1003B!G2377/1000</f>
        <v>0</v>
      </c>
      <c r="H2371" s="85">
        <f>STATS1003B!H2377/1000</f>
        <v>0</v>
      </c>
      <c r="I2371" s="85">
        <f>STATS1003B!I2377/1000</f>
        <v>0</v>
      </c>
      <c r="J2371" s="85">
        <f>STATS1003B!J2377/1000</f>
        <v>0</v>
      </c>
      <c r="K2371" s="85">
        <f>STATS1003B!K2377/1000</f>
        <v>955.34561999999994</v>
      </c>
      <c r="L2371" s="85">
        <f>STATS1003B!L2377/1000</f>
        <v>0</v>
      </c>
      <c r="M2371" s="85">
        <f>STATS1003B!M2377/1000</f>
        <v>0</v>
      </c>
      <c r="N2371" s="85">
        <f>STATS1003B!N2377/1000</f>
        <v>955.34561999999994</v>
      </c>
      <c r="O2371" s="85">
        <f>STATS1003B!O2377/1000</f>
        <v>0</v>
      </c>
      <c r="P2371" s="85">
        <f>STATS1003B!P2377/1000</f>
        <v>955.34561999999994</v>
      </c>
      <c r="Q2371" s="85">
        <f>STATS1003B!Q2377/1000</f>
        <v>0</v>
      </c>
      <c r="R2371" s="85">
        <f>STATS1003B!R2377/1000</f>
        <v>0</v>
      </c>
      <c r="S2371" s="85">
        <f>STATS1003B!S2377/1000</f>
        <v>0</v>
      </c>
      <c r="T2371" s="85">
        <f>STATS1003B!T2377/1000</f>
        <v>0</v>
      </c>
      <c r="U2371" s="85">
        <f>STATS1003B!U2377/1000</f>
        <v>955.34561999999994</v>
      </c>
      <c r="V2371" s="85">
        <f>STATS1003B!V2377/1000</f>
        <v>0</v>
      </c>
      <c r="W2371" s="85">
        <f>STATS1003B!W2377/1000</f>
        <v>0</v>
      </c>
      <c r="X2371" s="85">
        <f t="shared" si="256"/>
        <v>955.34561999999994</v>
      </c>
      <c r="Y2371" s="85">
        <f>STATS1003B!Y2377/1000</f>
        <v>0</v>
      </c>
      <c r="Z2371" s="85">
        <f t="shared" si="257"/>
        <v>0</v>
      </c>
      <c r="AA2371" s="69">
        <f>STATS1003B!AA2377/1000</f>
        <v>955.34561999999994</v>
      </c>
      <c r="AB2371" s="69">
        <f>STATS1003B!AB2377/1000</f>
        <v>0</v>
      </c>
    </row>
    <row r="2372" spans="1:28" hidden="1" x14ac:dyDescent="0.3">
      <c r="A2372" s="117"/>
      <c r="C2372" s="68" t="s">
        <v>545</v>
      </c>
      <c r="D2372" s="145" t="s">
        <v>54</v>
      </c>
      <c r="E2372" s="85">
        <f>STATS1003B!E2378/1000</f>
        <v>2306.1060000000002</v>
      </c>
      <c r="F2372" s="85">
        <f>STATS1003B!F2378/1000</f>
        <v>0</v>
      </c>
      <c r="G2372" s="85">
        <f>STATS1003B!G2378/1000</f>
        <v>0</v>
      </c>
      <c r="H2372" s="85">
        <f>STATS1003B!H2378/1000</f>
        <v>0</v>
      </c>
      <c r="I2372" s="85">
        <f>STATS1003B!I2378/1000</f>
        <v>0</v>
      </c>
      <c r="J2372" s="85">
        <f>STATS1003B!J2378/1000</f>
        <v>0</v>
      </c>
      <c r="K2372" s="85">
        <f>STATS1003B!K2378/1000</f>
        <v>2306.1060000000002</v>
      </c>
      <c r="L2372" s="85">
        <f>STATS1003B!L2378/1000</f>
        <v>0</v>
      </c>
      <c r="M2372" s="85">
        <f>STATS1003B!M2378/1000</f>
        <v>0</v>
      </c>
      <c r="N2372" s="85">
        <f>STATS1003B!N2378/1000</f>
        <v>2306.1060000000002</v>
      </c>
      <c r="O2372" s="85">
        <f>STATS1003B!O2378/1000</f>
        <v>0</v>
      </c>
      <c r="P2372" s="85">
        <f>STATS1003B!P2378/1000</f>
        <v>2306.1060000000002</v>
      </c>
      <c r="Q2372" s="85">
        <f>STATS1003B!Q2378/1000</f>
        <v>0</v>
      </c>
      <c r="R2372" s="85">
        <f>STATS1003B!R2378/1000</f>
        <v>0</v>
      </c>
      <c r="S2372" s="85">
        <f>STATS1003B!S2378/1000</f>
        <v>0</v>
      </c>
      <c r="T2372" s="85">
        <f>STATS1003B!T2378/1000</f>
        <v>0</v>
      </c>
      <c r="U2372" s="85">
        <f>STATS1003B!U2378/1000</f>
        <v>2306.1060000000002</v>
      </c>
      <c r="V2372" s="85">
        <f>STATS1003B!V2378/1000</f>
        <v>0</v>
      </c>
      <c r="W2372" s="85">
        <f>STATS1003B!W2378/1000</f>
        <v>0</v>
      </c>
      <c r="X2372" s="85">
        <f t="shared" si="256"/>
        <v>2306.1060000000002</v>
      </c>
      <c r="Y2372" s="85">
        <f>STATS1003B!Y2378/1000</f>
        <v>0</v>
      </c>
      <c r="Z2372" s="85">
        <f t="shared" si="257"/>
        <v>0</v>
      </c>
      <c r="AA2372" s="69">
        <f>STATS1003B!AA2378/1000</f>
        <v>2306.1060000000002</v>
      </c>
      <c r="AB2372" s="69">
        <f>STATS1003B!AB2378/1000</f>
        <v>0</v>
      </c>
    </row>
    <row r="2373" spans="1:28" hidden="1" x14ac:dyDescent="0.3">
      <c r="A2373" s="117"/>
      <c r="C2373" s="68" t="s">
        <v>535</v>
      </c>
      <c r="D2373" s="145" t="s">
        <v>85</v>
      </c>
      <c r="E2373" s="85">
        <f>STATS1003B!E2379/1000</f>
        <v>1101.5999999999999</v>
      </c>
      <c r="F2373" s="85">
        <f>STATS1003B!F2379/1000</f>
        <v>1101.5999999999999</v>
      </c>
      <c r="G2373" s="85">
        <f>STATS1003B!G2379/1000</f>
        <v>0</v>
      </c>
      <c r="H2373" s="85">
        <f>STATS1003B!H2379/1000</f>
        <v>1101.5999999999999</v>
      </c>
      <c r="I2373" s="85">
        <f>STATS1003B!I2379/1000</f>
        <v>0</v>
      </c>
      <c r="J2373" s="85">
        <f>STATS1003B!J2379/1000</f>
        <v>1101.5999999999999</v>
      </c>
      <c r="K2373" s="85">
        <f>STATS1003B!K2379/1000</f>
        <v>0</v>
      </c>
      <c r="L2373" s="85">
        <f>STATS1003B!L2379/1000</f>
        <v>0</v>
      </c>
      <c r="M2373" s="85">
        <f>STATS1003B!M2379/1000</f>
        <v>1101.5999999999999</v>
      </c>
      <c r="N2373" s="85">
        <f>STATS1003B!N2379/1000</f>
        <v>0</v>
      </c>
      <c r="O2373" s="85">
        <f>STATS1003B!O2379/1000</f>
        <v>0</v>
      </c>
      <c r="P2373" s="85">
        <f>STATS1003B!P2379/1000</f>
        <v>0</v>
      </c>
      <c r="Q2373" s="85">
        <f>STATS1003B!Q2379/1000</f>
        <v>1101.5999999999999</v>
      </c>
      <c r="R2373" s="85">
        <f>STATS1003B!R2379/1000</f>
        <v>0</v>
      </c>
      <c r="S2373" s="85">
        <f>STATS1003B!S2379/1000</f>
        <v>0</v>
      </c>
      <c r="T2373" s="85">
        <f>STATS1003B!T2379/1000</f>
        <v>0</v>
      </c>
      <c r="U2373" s="85">
        <f>STATS1003B!U2379/1000</f>
        <v>0</v>
      </c>
      <c r="V2373" s="85">
        <f>STATS1003B!V2379/1000</f>
        <v>0</v>
      </c>
      <c r="W2373" s="85">
        <f>STATS1003B!W2379/1000</f>
        <v>0</v>
      </c>
      <c r="X2373" s="85">
        <f t="shared" si="256"/>
        <v>1101.5999999999999</v>
      </c>
      <c r="Y2373" s="85">
        <f>STATS1003B!Y2379/1000</f>
        <v>0</v>
      </c>
      <c r="Z2373" s="85">
        <f t="shared" si="257"/>
        <v>0</v>
      </c>
      <c r="AA2373" s="69">
        <f>STATS1003B!AA2379/1000</f>
        <v>1101.5999999999999</v>
      </c>
      <c r="AB2373" s="69">
        <f>STATS1003B!AB2379/1000</f>
        <v>0</v>
      </c>
    </row>
    <row r="2374" spans="1:28" hidden="1" x14ac:dyDescent="0.3">
      <c r="A2374" s="117"/>
      <c r="B2374" s="68" t="s">
        <v>806</v>
      </c>
      <c r="C2374" s="68" t="s">
        <v>535</v>
      </c>
      <c r="D2374" s="145" t="s">
        <v>108</v>
      </c>
      <c r="E2374" s="85">
        <f>STATS1003B!E2380/1000</f>
        <v>10763.01555</v>
      </c>
      <c r="F2374" s="85">
        <f>STATS1003B!F2380/1000</f>
        <v>10763.01555</v>
      </c>
      <c r="G2374" s="85">
        <f>STATS1003B!G2380/1000</f>
        <v>0</v>
      </c>
      <c r="H2374" s="85">
        <f>STATS1003B!H2380/1000</f>
        <v>10763.01555</v>
      </c>
      <c r="I2374" s="85">
        <f>STATS1003B!I2380/1000</f>
        <v>0</v>
      </c>
      <c r="J2374" s="85">
        <f>STATS1003B!J2380/1000</f>
        <v>10763.01555</v>
      </c>
      <c r="K2374" s="85">
        <f>STATS1003B!K2380/1000</f>
        <v>0</v>
      </c>
      <c r="L2374" s="85">
        <f>STATS1003B!L2380/1000</f>
        <v>0</v>
      </c>
      <c r="M2374" s="85">
        <f>STATS1003B!M2380/1000</f>
        <v>10763.01555</v>
      </c>
      <c r="N2374" s="85">
        <f>STATS1003B!N2380/1000</f>
        <v>0</v>
      </c>
      <c r="O2374" s="85">
        <f>STATS1003B!O2380/1000</f>
        <v>0</v>
      </c>
      <c r="P2374" s="85">
        <f>STATS1003B!P2380/1000</f>
        <v>0</v>
      </c>
      <c r="Q2374" s="85">
        <f>STATS1003B!Q2380/1000</f>
        <v>10763.01555</v>
      </c>
      <c r="R2374" s="85">
        <f>STATS1003B!R2380/1000</f>
        <v>0</v>
      </c>
      <c r="S2374" s="85">
        <f>STATS1003B!S2380/1000</f>
        <v>0</v>
      </c>
      <c r="T2374" s="85">
        <f>STATS1003B!T2380/1000</f>
        <v>0</v>
      </c>
      <c r="U2374" s="85">
        <f>STATS1003B!U2380/1000</f>
        <v>0</v>
      </c>
      <c r="V2374" s="85">
        <f>STATS1003B!V2380/1000</f>
        <v>0</v>
      </c>
      <c r="W2374" s="85">
        <f>STATS1003B!W2380/1000</f>
        <v>0</v>
      </c>
      <c r="X2374" s="85">
        <f t="shared" si="256"/>
        <v>10763.01555</v>
      </c>
      <c r="Y2374" s="85">
        <f>STATS1003B!Y2380/1000</f>
        <v>0</v>
      </c>
      <c r="Z2374" s="85">
        <f t="shared" si="257"/>
        <v>0</v>
      </c>
      <c r="AA2374" s="69">
        <f>STATS1003B!AA2380/1000</f>
        <v>10763.01555</v>
      </c>
      <c r="AB2374" s="69">
        <f>STATS1003B!AB2380/1000</f>
        <v>0</v>
      </c>
    </row>
    <row r="2375" spans="1:28" hidden="1" x14ac:dyDescent="0.3">
      <c r="A2375" s="117"/>
      <c r="C2375" s="68" t="s">
        <v>847</v>
      </c>
      <c r="D2375" s="145" t="s">
        <v>108</v>
      </c>
      <c r="E2375" s="85">
        <f>STATS1003B!E2381/1000</f>
        <v>313.60000000000002</v>
      </c>
      <c r="F2375" s="85">
        <f>STATS1003B!F2381/1000</f>
        <v>313.60000000000002</v>
      </c>
      <c r="G2375" s="85">
        <f>STATS1003B!G2381/1000</f>
        <v>0</v>
      </c>
      <c r="H2375" s="85">
        <f>STATS1003B!H2381/1000</f>
        <v>313.60000000000002</v>
      </c>
      <c r="I2375" s="85">
        <f>STATS1003B!I2381/1000</f>
        <v>0</v>
      </c>
      <c r="J2375" s="85">
        <f>STATS1003B!J2381/1000</f>
        <v>313.60000000000002</v>
      </c>
      <c r="K2375" s="85">
        <f>STATS1003B!K2381/1000</f>
        <v>0</v>
      </c>
      <c r="L2375" s="85">
        <f>STATS1003B!L2381/1000</f>
        <v>0</v>
      </c>
      <c r="M2375" s="85">
        <f>STATS1003B!M2381/1000</f>
        <v>313.60000000000002</v>
      </c>
      <c r="N2375" s="85">
        <f>STATS1003B!N2381/1000</f>
        <v>0</v>
      </c>
      <c r="O2375" s="85">
        <f>STATS1003B!O2381/1000</f>
        <v>0</v>
      </c>
      <c r="P2375" s="85">
        <f>STATS1003B!P2381/1000</f>
        <v>0</v>
      </c>
      <c r="Q2375" s="85">
        <f>STATS1003B!Q2381/1000</f>
        <v>313.60000000000002</v>
      </c>
      <c r="R2375" s="85">
        <f>STATS1003B!R2381/1000</f>
        <v>0</v>
      </c>
      <c r="S2375" s="85">
        <f>STATS1003B!S2381/1000</f>
        <v>0</v>
      </c>
      <c r="T2375" s="85">
        <f>STATS1003B!T2381/1000</f>
        <v>0</v>
      </c>
      <c r="U2375" s="85">
        <f>STATS1003B!U2381/1000</f>
        <v>0</v>
      </c>
      <c r="V2375" s="85">
        <f>STATS1003B!V2381/1000</f>
        <v>0</v>
      </c>
      <c r="W2375" s="85">
        <f>STATS1003B!W2381/1000</f>
        <v>0</v>
      </c>
      <c r="X2375" s="85">
        <f t="shared" si="256"/>
        <v>313.60000000000002</v>
      </c>
      <c r="Y2375" s="85">
        <f>STATS1003B!Y2381/1000</f>
        <v>0</v>
      </c>
      <c r="Z2375" s="85">
        <f t="shared" si="257"/>
        <v>0</v>
      </c>
      <c r="AA2375" s="69">
        <f>STATS1003B!AA2381/1000</f>
        <v>313.60000000000002</v>
      </c>
      <c r="AB2375" s="69">
        <f>STATS1003B!AB2381/1000</f>
        <v>0</v>
      </c>
    </row>
    <row r="2376" spans="1:28" hidden="1" x14ac:dyDescent="0.3">
      <c r="A2376" s="117"/>
      <c r="C2376" s="68" t="s">
        <v>535</v>
      </c>
      <c r="D2376" s="145" t="s">
        <v>60</v>
      </c>
      <c r="E2376" s="85">
        <f>STATS1003B!E2382/1000</f>
        <v>1256.2242699999999</v>
      </c>
      <c r="F2376" s="85">
        <f>STATS1003B!F2382/1000</f>
        <v>1256.2242699999999</v>
      </c>
      <c r="G2376" s="85">
        <f>STATS1003B!G2382/1000</f>
        <v>0</v>
      </c>
      <c r="H2376" s="85">
        <f>STATS1003B!H2382/1000</f>
        <v>1256.2242699999999</v>
      </c>
      <c r="I2376" s="85">
        <f>STATS1003B!I2382/1000</f>
        <v>0</v>
      </c>
      <c r="J2376" s="85">
        <f>STATS1003B!J2382/1000</f>
        <v>1256.2242699999999</v>
      </c>
      <c r="K2376" s="85">
        <f>STATS1003B!K2382/1000</f>
        <v>0</v>
      </c>
      <c r="L2376" s="85">
        <f>STATS1003B!L2382/1000</f>
        <v>0</v>
      </c>
      <c r="M2376" s="85">
        <f>STATS1003B!M2382/1000</f>
        <v>1256.2242699999999</v>
      </c>
      <c r="N2376" s="85">
        <f>STATS1003B!N2382/1000</f>
        <v>0</v>
      </c>
      <c r="O2376" s="85">
        <f>STATS1003B!O2382/1000</f>
        <v>0</v>
      </c>
      <c r="P2376" s="85">
        <f>STATS1003B!P2382/1000</f>
        <v>0</v>
      </c>
      <c r="Q2376" s="85">
        <f>STATS1003B!Q2382/1000</f>
        <v>1256.2242699999999</v>
      </c>
      <c r="R2376" s="85">
        <f>STATS1003B!R2382/1000</f>
        <v>0</v>
      </c>
      <c r="S2376" s="85">
        <f>STATS1003B!S2382/1000</f>
        <v>0</v>
      </c>
      <c r="T2376" s="85">
        <f>STATS1003B!T2382/1000</f>
        <v>0</v>
      </c>
      <c r="U2376" s="85">
        <f>STATS1003B!U2382/1000</f>
        <v>0</v>
      </c>
      <c r="V2376" s="85">
        <f>STATS1003B!V2382/1000</f>
        <v>0</v>
      </c>
      <c r="W2376" s="85">
        <f>STATS1003B!W2382/1000</f>
        <v>0</v>
      </c>
      <c r="X2376" s="85">
        <f t="shared" si="256"/>
        <v>1256.2242699999999</v>
      </c>
      <c r="Y2376" s="85">
        <f>STATS1003B!Y2382/1000</f>
        <v>0</v>
      </c>
      <c r="Z2376" s="85">
        <f t="shared" si="257"/>
        <v>0</v>
      </c>
      <c r="AA2376" s="69">
        <f>STATS1003B!AA2382/1000</f>
        <v>1256.2242699999999</v>
      </c>
      <c r="AB2376" s="69">
        <f>STATS1003B!AB2382/1000</f>
        <v>0</v>
      </c>
    </row>
    <row r="2377" spans="1:28" hidden="1" x14ac:dyDescent="0.3">
      <c r="A2377" s="117"/>
      <c r="C2377" s="68" t="s">
        <v>535</v>
      </c>
      <c r="D2377" s="145" t="s">
        <v>73</v>
      </c>
      <c r="E2377" s="85">
        <f>STATS1003B!E2383/1000</f>
        <v>3005</v>
      </c>
      <c r="F2377" s="85">
        <f>STATS1003B!F2383/1000</f>
        <v>3005</v>
      </c>
      <c r="G2377" s="85">
        <f>STATS1003B!G2383/1000</f>
        <v>0</v>
      </c>
      <c r="H2377" s="85">
        <f>STATS1003B!H2383/1000</f>
        <v>3005</v>
      </c>
      <c r="I2377" s="85">
        <f>STATS1003B!I2383/1000</f>
        <v>0</v>
      </c>
      <c r="J2377" s="85">
        <f>STATS1003B!J2383/1000</f>
        <v>3005</v>
      </c>
      <c r="K2377" s="85">
        <f>STATS1003B!K2383/1000</f>
        <v>0</v>
      </c>
      <c r="L2377" s="85">
        <f>STATS1003B!L2383/1000</f>
        <v>0</v>
      </c>
      <c r="M2377" s="85">
        <f>STATS1003B!M2383/1000</f>
        <v>3005</v>
      </c>
      <c r="N2377" s="85">
        <f>STATS1003B!N2383/1000</f>
        <v>0</v>
      </c>
      <c r="O2377" s="85">
        <f>STATS1003B!O2383/1000</f>
        <v>0</v>
      </c>
      <c r="P2377" s="85">
        <f>STATS1003B!P2383/1000</f>
        <v>0</v>
      </c>
      <c r="Q2377" s="85">
        <f>STATS1003B!Q2383/1000</f>
        <v>3005</v>
      </c>
      <c r="R2377" s="85">
        <f>STATS1003B!R2383/1000</f>
        <v>0</v>
      </c>
      <c r="S2377" s="85">
        <f>STATS1003B!S2383/1000</f>
        <v>0</v>
      </c>
      <c r="T2377" s="85">
        <f>STATS1003B!T2383/1000</f>
        <v>0</v>
      </c>
      <c r="U2377" s="85">
        <f>STATS1003B!U2383/1000</f>
        <v>0</v>
      </c>
      <c r="V2377" s="85">
        <f>STATS1003B!V2383/1000</f>
        <v>0</v>
      </c>
      <c r="W2377" s="85">
        <f>STATS1003B!W2383/1000</f>
        <v>0</v>
      </c>
      <c r="X2377" s="85">
        <f t="shared" si="256"/>
        <v>3005</v>
      </c>
      <c r="Y2377" s="85">
        <f>STATS1003B!Y2383/1000</f>
        <v>0</v>
      </c>
      <c r="Z2377" s="85">
        <f t="shared" si="257"/>
        <v>0</v>
      </c>
      <c r="AA2377" s="69">
        <f>STATS1003B!AA2383/1000</f>
        <v>3005</v>
      </c>
      <c r="AB2377" s="69">
        <f>STATS1003B!AB2383/1000</f>
        <v>0</v>
      </c>
    </row>
    <row r="2378" spans="1:28" hidden="1" x14ac:dyDescent="0.3">
      <c r="A2378" s="117"/>
      <c r="C2378" s="68" t="s">
        <v>535</v>
      </c>
      <c r="D2378" s="145" t="s">
        <v>61</v>
      </c>
      <c r="E2378" s="85">
        <f>STATS1003B!E2384/1000</f>
        <v>914.18899999999996</v>
      </c>
      <c r="F2378" s="85">
        <f>STATS1003B!F2384/1000</f>
        <v>914.18899999999996</v>
      </c>
      <c r="G2378" s="85">
        <f>STATS1003B!G2384/1000</f>
        <v>0</v>
      </c>
      <c r="H2378" s="85">
        <f>STATS1003B!H2384/1000</f>
        <v>914.18899999999996</v>
      </c>
      <c r="I2378" s="85">
        <f>STATS1003B!I2384/1000</f>
        <v>0</v>
      </c>
      <c r="J2378" s="85">
        <f>STATS1003B!J2384/1000</f>
        <v>914.18899999999996</v>
      </c>
      <c r="K2378" s="85">
        <f>STATS1003B!K2384/1000</f>
        <v>0</v>
      </c>
      <c r="L2378" s="85">
        <f>STATS1003B!L2384/1000</f>
        <v>0</v>
      </c>
      <c r="M2378" s="85">
        <f>STATS1003B!M2384/1000</f>
        <v>914.18899999999996</v>
      </c>
      <c r="N2378" s="85">
        <f>STATS1003B!N2384/1000</f>
        <v>0</v>
      </c>
      <c r="O2378" s="85">
        <f>STATS1003B!O2384/1000</f>
        <v>0</v>
      </c>
      <c r="P2378" s="85">
        <f>STATS1003B!P2384/1000</f>
        <v>0</v>
      </c>
      <c r="Q2378" s="85">
        <f>STATS1003B!Q2384/1000</f>
        <v>914.18899999999996</v>
      </c>
      <c r="R2378" s="85">
        <f>STATS1003B!R2384/1000</f>
        <v>0</v>
      </c>
      <c r="S2378" s="85">
        <f>STATS1003B!S2384/1000</f>
        <v>0</v>
      </c>
      <c r="T2378" s="85">
        <f>STATS1003B!T2384/1000</f>
        <v>0</v>
      </c>
      <c r="U2378" s="85">
        <f>STATS1003B!U2384/1000</f>
        <v>0</v>
      </c>
      <c r="V2378" s="85">
        <f>STATS1003B!V2384/1000</f>
        <v>0</v>
      </c>
      <c r="W2378" s="85">
        <f>STATS1003B!W2384/1000</f>
        <v>0</v>
      </c>
      <c r="X2378" s="85">
        <f t="shared" ref="X2378:X2441" si="262">+H2378+P2378</f>
        <v>914.18899999999996</v>
      </c>
      <c r="Y2378" s="85">
        <f>STATS1003B!Y2384/1000</f>
        <v>0</v>
      </c>
      <c r="Z2378" s="85">
        <f t="shared" si="257"/>
        <v>0</v>
      </c>
      <c r="AA2378" s="69">
        <f>STATS1003B!AA2384/1000</f>
        <v>914.18899999999996</v>
      </c>
      <c r="AB2378" s="69">
        <f>STATS1003B!AB2384/1000</f>
        <v>0</v>
      </c>
    </row>
    <row r="2379" spans="1:28" hidden="1" x14ac:dyDescent="0.3">
      <c r="A2379" s="117"/>
      <c r="C2379" s="68" t="s">
        <v>1230</v>
      </c>
      <c r="D2379" s="90" t="s">
        <v>1225</v>
      </c>
      <c r="E2379" s="85">
        <f>STATS1003B!E2385/1000</f>
        <v>86.4</v>
      </c>
      <c r="F2379" s="85">
        <f>STATS1003B!F2385/1000</f>
        <v>86.4</v>
      </c>
      <c r="G2379" s="85">
        <f>STATS1003B!G2385/1000</f>
        <v>0</v>
      </c>
      <c r="H2379" s="85">
        <f>STATS1003B!H2385/1000</f>
        <v>86.4</v>
      </c>
      <c r="I2379" s="85">
        <f>STATS1003B!I2385/1000</f>
        <v>0</v>
      </c>
      <c r="J2379" s="85">
        <f>STATS1003B!J2385/1000</f>
        <v>86.4</v>
      </c>
      <c r="K2379" s="85">
        <f>STATS1003B!K2385/1000</f>
        <v>0</v>
      </c>
      <c r="L2379" s="85">
        <f>STATS1003B!L2385/1000</f>
        <v>0</v>
      </c>
      <c r="M2379" s="85">
        <f>STATS1003B!M2385/1000</f>
        <v>86.4</v>
      </c>
      <c r="N2379" s="85">
        <f>STATS1003B!N2385/1000</f>
        <v>0</v>
      </c>
      <c r="O2379" s="85">
        <f>STATS1003B!O2385/1000</f>
        <v>0</v>
      </c>
      <c r="P2379" s="85">
        <f>STATS1003B!P2385/1000</f>
        <v>0</v>
      </c>
      <c r="Q2379" s="85">
        <f>STATS1003B!Q2385/1000</f>
        <v>86.4</v>
      </c>
      <c r="R2379" s="85">
        <f>STATS1003B!R2385/1000</f>
        <v>0</v>
      </c>
      <c r="S2379" s="85">
        <f>STATS1003B!S2385/1000</f>
        <v>0</v>
      </c>
      <c r="T2379" s="85">
        <f>STATS1003B!T2385/1000</f>
        <v>0</v>
      </c>
      <c r="U2379" s="85">
        <f>STATS1003B!U2385/1000</f>
        <v>0</v>
      </c>
      <c r="V2379" s="85">
        <f>STATS1003B!V2385/1000</f>
        <v>0</v>
      </c>
      <c r="W2379" s="85">
        <f>STATS1003B!W2385/1000</f>
        <v>0</v>
      </c>
      <c r="X2379" s="85">
        <f t="shared" si="262"/>
        <v>86.4</v>
      </c>
      <c r="Y2379" s="85">
        <f>STATS1003B!Y2385/1000</f>
        <v>0</v>
      </c>
      <c r="Z2379" s="85">
        <f t="shared" si="257"/>
        <v>0</v>
      </c>
      <c r="AA2379" s="69">
        <f>STATS1003B!AA2385/1000</f>
        <v>86.4</v>
      </c>
      <c r="AB2379" s="69">
        <f>STATS1003B!AB2385/1000</f>
        <v>0</v>
      </c>
    </row>
    <row r="2380" spans="1:28" hidden="1" x14ac:dyDescent="0.3">
      <c r="A2380" s="117"/>
      <c r="C2380" s="68" t="s">
        <v>606</v>
      </c>
      <c r="E2380" s="85">
        <f>STATS1003B!E2386/1000</f>
        <v>2500</v>
      </c>
      <c r="F2380" s="85">
        <f>STATS1003B!F2386/1000</f>
        <v>2500</v>
      </c>
      <c r="G2380" s="85">
        <f>STATS1003B!G2386/1000</f>
        <v>0</v>
      </c>
      <c r="H2380" s="85">
        <f>STATS1003B!H2386/1000</f>
        <v>2500</v>
      </c>
      <c r="I2380" s="85">
        <f>STATS1003B!I2386/1000</f>
        <v>0</v>
      </c>
      <c r="J2380" s="85">
        <f>STATS1003B!J2386/1000</f>
        <v>2500</v>
      </c>
      <c r="K2380" s="85">
        <f>STATS1003B!K2386/1000</f>
        <v>0</v>
      </c>
      <c r="L2380" s="85">
        <f>STATS1003B!L2386/1000</f>
        <v>0</v>
      </c>
      <c r="M2380" s="85">
        <f>STATS1003B!M2386/1000</f>
        <v>2500</v>
      </c>
      <c r="N2380" s="85">
        <f>STATS1003B!N2386/1000</f>
        <v>0</v>
      </c>
      <c r="O2380" s="85">
        <f>STATS1003B!O2386/1000</f>
        <v>0</v>
      </c>
      <c r="P2380" s="85">
        <f>STATS1003B!P2386/1000</f>
        <v>0</v>
      </c>
      <c r="Q2380" s="85">
        <f>STATS1003B!Q2386/1000</f>
        <v>2500</v>
      </c>
      <c r="R2380" s="85">
        <f>STATS1003B!R2386/1000</f>
        <v>0</v>
      </c>
      <c r="S2380" s="85">
        <f>STATS1003B!S2386/1000</f>
        <v>0</v>
      </c>
      <c r="T2380" s="85">
        <f>STATS1003B!T2386/1000</f>
        <v>0</v>
      </c>
      <c r="U2380" s="85">
        <f>STATS1003B!U2386/1000</f>
        <v>0</v>
      </c>
      <c r="V2380" s="85">
        <f>STATS1003B!V2386/1000</f>
        <v>0</v>
      </c>
      <c r="W2380" s="85">
        <f>STATS1003B!W2386/1000</f>
        <v>0</v>
      </c>
      <c r="X2380" s="85">
        <f t="shared" si="262"/>
        <v>2500</v>
      </c>
      <c r="Y2380" s="85">
        <f>STATS1003B!Y2386/1000</f>
        <v>0</v>
      </c>
      <c r="Z2380" s="85">
        <f t="shared" si="257"/>
        <v>0</v>
      </c>
      <c r="AA2380" s="69">
        <f>STATS1003B!AA2386/1000</f>
        <v>2500</v>
      </c>
      <c r="AB2380" s="69">
        <f>STATS1003B!AB2386/1000</f>
        <v>0</v>
      </c>
    </row>
    <row r="2381" spans="1:28" hidden="1" x14ac:dyDescent="0.3">
      <c r="A2381" s="117"/>
      <c r="E2381" s="86" t="s">
        <v>29</v>
      </c>
      <c r="F2381" s="86" t="s">
        <v>29</v>
      </c>
      <c r="G2381" s="86" t="s">
        <v>29</v>
      </c>
      <c r="H2381" s="86" t="s">
        <v>29</v>
      </c>
      <c r="I2381" s="86" t="s">
        <v>29</v>
      </c>
      <c r="J2381" s="86" t="s">
        <v>29</v>
      </c>
      <c r="K2381" s="86" t="s">
        <v>29</v>
      </c>
      <c r="L2381" s="86" t="s">
        <v>29</v>
      </c>
      <c r="M2381" s="86" t="s">
        <v>29</v>
      </c>
      <c r="N2381" s="86" t="s">
        <v>29</v>
      </c>
      <c r="O2381" s="86" t="s">
        <v>29</v>
      </c>
      <c r="P2381" s="86" t="s">
        <v>29</v>
      </c>
      <c r="Q2381" s="86" t="s">
        <v>29</v>
      </c>
      <c r="R2381" s="86" t="s">
        <v>29</v>
      </c>
      <c r="S2381" s="86" t="s">
        <v>29</v>
      </c>
      <c r="T2381" s="86" t="s">
        <v>29</v>
      </c>
      <c r="U2381" s="86" t="s">
        <v>29</v>
      </c>
      <c r="V2381" s="86" t="s">
        <v>29</v>
      </c>
      <c r="W2381" s="86" t="s">
        <v>29</v>
      </c>
      <c r="X2381" s="85" t="e">
        <f t="shared" si="262"/>
        <v>#VALUE!</v>
      </c>
      <c r="Y2381" s="86" t="s">
        <v>29</v>
      </c>
      <c r="Z2381" s="85" t="e">
        <f t="shared" ref="Z2381:Z2444" si="263">+E2381-X2381</f>
        <v>#VALUE!</v>
      </c>
      <c r="AA2381" s="115" t="s">
        <v>29</v>
      </c>
      <c r="AB2381" s="115" t="s">
        <v>29</v>
      </c>
    </row>
    <row r="2382" spans="1:28" x14ac:dyDescent="0.3">
      <c r="A2382" s="116">
        <v>103</v>
      </c>
      <c r="B2382" s="68" t="s">
        <v>845</v>
      </c>
      <c r="E2382" s="85">
        <f>111381965.3/1000</f>
        <v>111381.9653</v>
      </c>
      <c r="F2382" s="85">
        <f t="shared" ref="F2382:Q2382" si="264">SUM(F2369:F2381)</f>
        <v>20823.538820000002</v>
      </c>
      <c r="G2382" s="85">
        <f t="shared" si="264"/>
        <v>0</v>
      </c>
      <c r="H2382" s="85">
        <f>108022684.77/1000</f>
        <v>108022.68476999999</v>
      </c>
      <c r="I2382" s="85">
        <f t="shared" si="264"/>
        <v>0</v>
      </c>
      <c r="J2382" s="85">
        <f t="shared" si="264"/>
        <v>20823.538820000002</v>
      </c>
      <c r="K2382" s="85">
        <f t="shared" si="264"/>
        <v>3359.28053</v>
      </c>
      <c r="L2382" s="85">
        <f t="shared" si="264"/>
        <v>0</v>
      </c>
      <c r="M2382" s="85">
        <f t="shared" si="264"/>
        <v>20823.538820000002</v>
      </c>
      <c r="N2382" s="85">
        <f t="shared" si="264"/>
        <v>3359.28053</v>
      </c>
      <c r="O2382" s="85">
        <f t="shared" si="264"/>
        <v>0</v>
      </c>
      <c r="P2382" s="85">
        <f>3359280/1000</f>
        <v>3359.28</v>
      </c>
      <c r="Q2382" s="85">
        <f t="shared" si="264"/>
        <v>20823.538820000002</v>
      </c>
      <c r="R2382" s="84"/>
      <c r="S2382" s="84"/>
      <c r="T2382" s="85">
        <f t="shared" ref="T2382:Y2382" si="265">SUM(T2369:T2381)</f>
        <v>0</v>
      </c>
      <c r="U2382" s="85">
        <f t="shared" si="265"/>
        <v>3359.28053</v>
      </c>
      <c r="V2382" s="85">
        <f t="shared" si="265"/>
        <v>0</v>
      </c>
      <c r="W2382" s="85">
        <f t="shared" si="265"/>
        <v>0</v>
      </c>
      <c r="X2382" s="85">
        <f t="shared" si="262"/>
        <v>111381.96476999999</v>
      </c>
      <c r="Y2382" s="85">
        <f t="shared" si="265"/>
        <v>0</v>
      </c>
      <c r="Z2382" s="85">
        <f t="shared" si="263"/>
        <v>5.3000000480096787E-4</v>
      </c>
      <c r="AA2382" s="69">
        <f>SUM(AA2369:AA2381)</f>
        <v>24182.819349999998</v>
      </c>
      <c r="AB2382" s="69">
        <f>SUM(AB2369:AB2381)</f>
        <v>0</v>
      </c>
    </row>
    <row r="2383" spans="1:28" hidden="1" x14ac:dyDescent="0.3">
      <c r="A2383" s="117"/>
      <c r="E2383" s="86" t="s">
        <v>29</v>
      </c>
      <c r="F2383" s="86" t="s">
        <v>29</v>
      </c>
      <c r="G2383" s="86" t="s">
        <v>29</v>
      </c>
      <c r="H2383" s="86" t="s">
        <v>29</v>
      </c>
      <c r="I2383" s="86" t="s">
        <v>29</v>
      </c>
      <c r="J2383" s="86" t="s">
        <v>29</v>
      </c>
      <c r="K2383" s="86" t="s">
        <v>29</v>
      </c>
      <c r="L2383" s="86" t="s">
        <v>29</v>
      </c>
      <c r="M2383" s="86" t="s">
        <v>29</v>
      </c>
      <c r="N2383" s="86" t="s">
        <v>29</v>
      </c>
      <c r="O2383" s="86" t="s">
        <v>29</v>
      </c>
      <c r="P2383" s="86" t="s">
        <v>29</v>
      </c>
      <c r="Q2383" s="86" t="s">
        <v>29</v>
      </c>
      <c r="R2383" s="86" t="s">
        <v>29</v>
      </c>
      <c r="S2383" s="86" t="s">
        <v>29</v>
      </c>
      <c r="T2383" s="86" t="s">
        <v>29</v>
      </c>
      <c r="U2383" s="86" t="s">
        <v>29</v>
      </c>
      <c r="V2383" s="86" t="s">
        <v>29</v>
      </c>
      <c r="W2383" s="86" t="s">
        <v>29</v>
      </c>
      <c r="X2383" s="85" t="e">
        <f t="shared" si="262"/>
        <v>#VALUE!</v>
      </c>
      <c r="Y2383" s="86" t="s">
        <v>29</v>
      </c>
      <c r="Z2383" s="85" t="e">
        <f t="shared" si="263"/>
        <v>#VALUE!</v>
      </c>
      <c r="AA2383" s="115" t="s">
        <v>29</v>
      </c>
      <c r="AB2383" s="115" t="s">
        <v>29</v>
      </c>
    </row>
    <row r="2384" spans="1:28" hidden="1" x14ac:dyDescent="0.3">
      <c r="A2384" s="105"/>
      <c r="E2384" s="84"/>
      <c r="F2384" s="84"/>
      <c r="G2384" s="84"/>
      <c r="H2384" s="84"/>
      <c r="I2384" s="84"/>
      <c r="J2384" s="84"/>
      <c r="K2384" s="84"/>
      <c r="L2384" s="84"/>
      <c r="M2384" s="84"/>
      <c r="N2384" s="84"/>
      <c r="O2384" s="84"/>
      <c r="P2384" s="84"/>
      <c r="Q2384" s="84"/>
      <c r="R2384" s="84"/>
      <c r="S2384" s="84"/>
      <c r="T2384" s="84"/>
      <c r="U2384" s="84"/>
      <c r="V2384" s="84"/>
      <c r="W2384" s="84"/>
      <c r="X2384" s="85">
        <f t="shared" si="262"/>
        <v>0</v>
      </c>
      <c r="Y2384" s="84"/>
      <c r="Z2384" s="85">
        <f t="shared" si="263"/>
        <v>0</v>
      </c>
    </row>
    <row r="2385" spans="1:28" hidden="1" x14ac:dyDescent="0.3">
      <c r="A2385" s="117"/>
      <c r="C2385" s="68" t="s">
        <v>535</v>
      </c>
      <c r="D2385" s="145" t="s">
        <v>76</v>
      </c>
      <c r="E2385" s="85">
        <f>STATS1003B!E2391/1000</f>
        <v>4789.7094900000002</v>
      </c>
      <c r="F2385" s="85">
        <f>STATS1003B!F2391/1000</f>
        <v>4525.41183</v>
      </c>
      <c r="G2385" s="85">
        <f>STATS1003B!G2391/1000</f>
        <v>0</v>
      </c>
      <c r="H2385" s="85">
        <f>STATS1003B!H2391/1000</f>
        <v>4525.41183</v>
      </c>
      <c r="I2385" s="85">
        <f>STATS1003B!I2391/1000</f>
        <v>0</v>
      </c>
      <c r="J2385" s="85">
        <f>STATS1003B!J2391/1000</f>
        <v>4525.41183</v>
      </c>
      <c r="K2385" s="85">
        <f>STATS1003B!K2391/1000</f>
        <v>264.29765999999995</v>
      </c>
      <c r="L2385" s="85">
        <f>STATS1003B!L2391/1000</f>
        <v>0</v>
      </c>
      <c r="M2385" s="85">
        <f>STATS1003B!M2391/1000</f>
        <v>4525.41183</v>
      </c>
      <c r="N2385" s="85">
        <f>STATS1003B!N2391/1000</f>
        <v>264.29765999999995</v>
      </c>
      <c r="O2385" s="85">
        <f>STATS1003B!O2391/1000</f>
        <v>0</v>
      </c>
      <c r="P2385" s="85">
        <f>STATS1003B!P2391/1000</f>
        <v>264.29765999999995</v>
      </c>
      <c r="Q2385" s="85">
        <f>STATS1003B!Q2391/1000</f>
        <v>4525.41183</v>
      </c>
      <c r="R2385" s="85">
        <f>STATS1003B!R2391/1000</f>
        <v>0</v>
      </c>
      <c r="S2385" s="85">
        <f>STATS1003B!S2391/1000</f>
        <v>0</v>
      </c>
      <c r="T2385" s="85">
        <f>STATS1003B!T2391/1000</f>
        <v>0</v>
      </c>
      <c r="U2385" s="85">
        <f>STATS1003B!U2391/1000</f>
        <v>264.29765999999995</v>
      </c>
      <c r="V2385" s="85">
        <f>STATS1003B!V2391/1000</f>
        <v>0</v>
      </c>
      <c r="W2385" s="85">
        <f>STATS1003B!W2391/1000</f>
        <v>0</v>
      </c>
      <c r="X2385" s="85">
        <f t="shared" si="262"/>
        <v>4789.7094900000002</v>
      </c>
      <c r="Y2385" s="85">
        <f>STATS1003B!Y2391/1000</f>
        <v>0</v>
      </c>
      <c r="Z2385" s="85">
        <f t="shared" si="263"/>
        <v>0</v>
      </c>
      <c r="AA2385" s="69">
        <f>STATS1003B!AA2391/1000</f>
        <v>4789.7094900000002</v>
      </c>
      <c r="AB2385" s="69">
        <f>STATS1003B!AB2391/1000</f>
        <v>0</v>
      </c>
    </row>
    <row r="2386" spans="1:28" hidden="1" x14ac:dyDescent="0.3">
      <c r="A2386" s="117"/>
      <c r="C2386" s="68" t="s">
        <v>535</v>
      </c>
      <c r="D2386" s="145" t="s">
        <v>849</v>
      </c>
      <c r="E2386" s="85">
        <f>STATS1003B!E2392/1000</f>
        <v>6054.3262199999999</v>
      </c>
      <c r="F2386" s="85">
        <f>STATS1003B!F2392/1000</f>
        <v>6054.3262199999999</v>
      </c>
      <c r="G2386" s="85">
        <f>STATS1003B!G2392/1000</f>
        <v>0</v>
      </c>
      <c r="H2386" s="85">
        <f>STATS1003B!H2392/1000</f>
        <v>6054.3262199999999</v>
      </c>
      <c r="I2386" s="85">
        <f>STATS1003B!I2392/1000</f>
        <v>0</v>
      </c>
      <c r="J2386" s="85">
        <f>STATS1003B!J2392/1000</f>
        <v>6054.3262199999999</v>
      </c>
      <c r="K2386" s="85">
        <f>STATS1003B!K2392/1000</f>
        <v>0</v>
      </c>
      <c r="L2386" s="85">
        <f>STATS1003B!L2392/1000</f>
        <v>0</v>
      </c>
      <c r="M2386" s="85">
        <f>STATS1003B!M2392/1000</f>
        <v>6054.3262199999999</v>
      </c>
      <c r="N2386" s="85">
        <f>STATS1003B!N2392/1000</f>
        <v>0</v>
      </c>
      <c r="O2386" s="85">
        <f>STATS1003B!O2392/1000</f>
        <v>0</v>
      </c>
      <c r="P2386" s="85">
        <f>STATS1003B!P2392/1000</f>
        <v>0</v>
      </c>
      <c r="Q2386" s="85">
        <f>STATS1003B!Q2392/1000</f>
        <v>6054.3262199999999</v>
      </c>
      <c r="R2386" s="85">
        <f>STATS1003B!R2392/1000</f>
        <v>0</v>
      </c>
      <c r="S2386" s="85">
        <f>STATS1003B!S2392/1000</f>
        <v>0</v>
      </c>
      <c r="T2386" s="85">
        <f>STATS1003B!T2392/1000</f>
        <v>0</v>
      </c>
      <c r="U2386" s="85">
        <f>STATS1003B!U2392/1000</f>
        <v>0</v>
      </c>
      <c r="V2386" s="85">
        <f>STATS1003B!V2392/1000</f>
        <v>0</v>
      </c>
      <c r="W2386" s="85">
        <f>STATS1003B!W2392/1000</f>
        <v>0</v>
      </c>
      <c r="X2386" s="85">
        <f t="shared" si="262"/>
        <v>6054.3262199999999</v>
      </c>
      <c r="Y2386" s="85">
        <f>STATS1003B!Y2392/1000</f>
        <v>0</v>
      </c>
      <c r="Z2386" s="85">
        <f t="shared" si="263"/>
        <v>0</v>
      </c>
      <c r="AA2386" s="69">
        <f>STATS1003B!AA2392/1000</f>
        <v>6054.3262199999999</v>
      </c>
      <c r="AB2386" s="69">
        <f>STATS1003B!AB2392/1000</f>
        <v>0</v>
      </c>
    </row>
    <row r="2387" spans="1:28" hidden="1" x14ac:dyDescent="0.3">
      <c r="A2387" s="117"/>
      <c r="C2387" s="68" t="s">
        <v>817</v>
      </c>
      <c r="D2387" s="145" t="s">
        <v>166</v>
      </c>
      <c r="E2387" s="85">
        <f>STATS1003B!E2393/1000</f>
        <v>2071.2634399999997</v>
      </c>
      <c r="F2387" s="85">
        <f>STATS1003B!F2393/1000</f>
        <v>2071.2634399999997</v>
      </c>
      <c r="G2387" s="85">
        <f>STATS1003B!G2393/1000</f>
        <v>0</v>
      </c>
      <c r="H2387" s="85">
        <f>STATS1003B!H2393/1000</f>
        <v>2071.2634399999997</v>
      </c>
      <c r="I2387" s="85">
        <f>STATS1003B!I2393/1000</f>
        <v>0</v>
      </c>
      <c r="J2387" s="85">
        <f>STATS1003B!J2393/1000</f>
        <v>2071.2634399999997</v>
      </c>
      <c r="K2387" s="85">
        <f>STATS1003B!K2393/1000</f>
        <v>0</v>
      </c>
      <c r="L2387" s="85">
        <f>STATS1003B!L2393/1000</f>
        <v>0</v>
      </c>
      <c r="M2387" s="85">
        <f>STATS1003B!M2393/1000</f>
        <v>2071.2634399999997</v>
      </c>
      <c r="N2387" s="85">
        <f>STATS1003B!N2393/1000</f>
        <v>0</v>
      </c>
      <c r="O2387" s="85">
        <f>STATS1003B!O2393/1000</f>
        <v>0</v>
      </c>
      <c r="P2387" s="85">
        <f>STATS1003B!P2393/1000</f>
        <v>0</v>
      </c>
      <c r="Q2387" s="85">
        <f>STATS1003B!Q2393/1000</f>
        <v>2071.2634399999997</v>
      </c>
      <c r="R2387" s="85">
        <f>STATS1003B!R2393/1000</f>
        <v>0</v>
      </c>
      <c r="S2387" s="85">
        <f>STATS1003B!S2393/1000</f>
        <v>0</v>
      </c>
      <c r="T2387" s="85">
        <f>STATS1003B!T2393/1000</f>
        <v>0</v>
      </c>
      <c r="U2387" s="85">
        <f>STATS1003B!U2393/1000</f>
        <v>0</v>
      </c>
      <c r="V2387" s="85">
        <f>STATS1003B!V2393/1000</f>
        <v>0</v>
      </c>
      <c r="W2387" s="85">
        <f>STATS1003B!W2393/1000</f>
        <v>0</v>
      </c>
      <c r="X2387" s="85">
        <f t="shared" si="262"/>
        <v>2071.2634399999997</v>
      </c>
      <c r="Y2387" s="85">
        <f>STATS1003B!Y2393/1000</f>
        <v>0</v>
      </c>
      <c r="Z2387" s="85">
        <f t="shared" si="263"/>
        <v>0</v>
      </c>
      <c r="AA2387" s="69">
        <f>STATS1003B!AA2393/1000</f>
        <v>2071.2634399999997</v>
      </c>
      <c r="AB2387" s="69">
        <f>STATS1003B!AB2393/1000</f>
        <v>0</v>
      </c>
    </row>
    <row r="2388" spans="1:28" hidden="1" x14ac:dyDescent="0.3">
      <c r="A2388" s="117"/>
      <c r="C2388" s="68" t="s">
        <v>535</v>
      </c>
      <c r="D2388" s="145" t="s">
        <v>78</v>
      </c>
      <c r="E2388" s="85">
        <f>STATS1003B!E2394/1000</f>
        <v>651.65</v>
      </c>
      <c r="F2388" s="85">
        <f>STATS1003B!F2394/1000</f>
        <v>651.65</v>
      </c>
      <c r="G2388" s="85">
        <f>STATS1003B!G2394/1000</f>
        <v>0</v>
      </c>
      <c r="H2388" s="85">
        <f>STATS1003B!H2394/1000</f>
        <v>651.65</v>
      </c>
      <c r="I2388" s="85">
        <f>STATS1003B!I2394/1000</f>
        <v>0</v>
      </c>
      <c r="J2388" s="85">
        <f>STATS1003B!J2394/1000</f>
        <v>651.65</v>
      </c>
      <c r="K2388" s="85">
        <f>STATS1003B!K2394/1000</f>
        <v>0</v>
      </c>
      <c r="L2388" s="85">
        <f>STATS1003B!L2394/1000</f>
        <v>0</v>
      </c>
      <c r="M2388" s="85">
        <f>STATS1003B!M2394/1000</f>
        <v>651.65</v>
      </c>
      <c r="N2388" s="85">
        <f>STATS1003B!N2394/1000</f>
        <v>0</v>
      </c>
      <c r="O2388" s="85">
        <f>STATS1003B!O2394/1000</f>
        <v>0</v>
      </c>
      <c r="P2388" s="85">
        <f>STATS1003B!P2394/1000</f>
        <v>0</v>
      </c>
      <c r="Q2388" s="85">
        <f>STATS1003B!Q2394/1000</f>
        <v>651.65</v>
      </c>
      <c r="R2388" s="85">
        <f>STATS1003B!R2394/1000</f>
        <v>0</v>
      </c>
      <c r="S2388" s="85">
        <f>STATS1003B!S2394/1000</f>
        <v>0</v>
      </c>
      <c r="T2388" s="85">
        <f>STATS1003B!T2394/1000</f>
        <v>0</v>
      </c>
      <c r="U2388" s="85">
        <f>STATS1003B!U2394/1000</f>
        <v>0</v>
      </c>
      <c r="V2388" s="85">
        <f>STATS1003B!V2394/1000</f>
        <v>0</v>
      </c>
      <c r="W2388" s="85">
        <f>STATS1003B!W2394/1000</f>
        <v>0</v>
      </c>
      <c r="X2388" s="85">
        <f t="shared" si="262"/>
        <v>651.65</v>
      </c>
      <c r="Y2388" s="85">
        <f>STATS1003B!Y2394/1000</f>
        <v>0</v>
      </c>
      <c r="Z2388" s="85">
        <f t="shared" si="263"/>
        <v>0</v>
      </c>
      <c r="AA2388" s="69">
        <f>STATS1003B!AA2394/1000</f>
        <v>651.65</v>
      </c>
      <c r="AB2388" s="69">
        <f>STATS1003B!AB2394/1000</f>
        <v>0</v>
      </c>
    </row>
    <row r="2389" spans="1:28" hidden="1" x14ac:dyDescent="0.3">
      <c r="A2389" s="117"/>
      <c r="C2389" s="68" t="s">
        <v>535</v>
      </c>
      <c r="D2389" s="145" t="s">
        <v>68</v>
      </c>
      <c r="E2389" s="85">
        <f>STATS1003B!E2395/1000</f>
        <v>49</v>
      </c>
      <c r="F2389" s="85">
        <f>STATS1003B!F2395/1000</f>
        <v>49</v>
      </c>
      <c r="G2389" s="85">
        <f>STATS1003B!G2395/1000</f>
        <v>0</v>
      </c>
      <c r="H2389" s="85">
        <f>STATS1003B!H2395/1000</f>
        <v>49</v>
      </c>
      <c r="I2389" s="85">
        <f>STATS1003B!I2395/1000</f>
        <v>0</v>
      </c>
      <c r="J2389" s="85">
        <f>STATS1003B!J2395/1000</f>
        <v>49</v>
      </c>
      <c r="K2389" s="85">
        <f>STATS1003B!K2395/1000</f>
        <v>0</v>
      </c>
      <c r="L2389" s="85">
        <f>STATS1003B!L2395/1000</f>
        <v>0</v>
      </c>
      <c r="M2389" s="85">
        <f>STATS1003B!M2395/1000</f>
        <v>49</v>
      </c>
      <c r="N2389" s="85">
        <f>STATS1003B!N2395/1000</f>
        <v>0</v>
      </c>
      <c r="O2389" s="85">
        <f>STATS1003B!O2395/1000</f>
        <v>0</v>
      </c>
      <c r="P2389" s="85">
        <f>STATS1003B!P2395/1000</f>
        <v>0</v>
      </c>
      <c r="Q2389" s="85">
        <f>STATS1003B!Q2395/1000</f>
        <v>49</v>
      </c>
      <c r="R2389" s="85">
        <f>STATS1003B!R2395/1000</f>
        <v>0</v>
      </c>
      <c r="S2389" s="85">
        <f>STATS1003B!S2395/1000</f>
        <v>0</v>
      </c>
      <c r="T2389" s="85">
        <f>STATS1003B!T2395/1000</f>
        <v>0</v>
      </c>
      <c r="U2389" s="85">
        <f>STATS1003B!U2395/1000</f>
        <v>0</v>
      </c>
      <c r="V2389" s="85">
        <f>STATS1003B!V2395/1000</f>
        <v>0</v>
      </c>
      <c r="W2389" s="85">
        <f>STATS1003B!W2395/1000</f>
        <v>0</v>
      </c>
      <c r="X2389" s="85">
        <f t="shared" si="262"/>
        <v>49</v>
      </c>
      <c r="Y2389" s="85">
        <f>STATS1003B!Y2395/1000</f>
        <v>0</v>
      </c>
      <c r="Z2389" s="85">
        <f t="shared" si="263"/>
        <v>0</v>
      </c>
      <c r="AA2389" s="69">
        <f>STATS1003B!AA2395/1000</f>
        <v>49</v>
      </c>
      <c r="AB2389" s="69">
        <f>STATS1003B!AB2395/1000</f>
        <v>0</v>
      </c>
    </row>
    <row r="2390" spans="1:28" hidden="1" x14ac:dyDescent="0.3">
      <c r="A2390" s="117"/>
      <c r="C2390" s="68" t="s">
        <v>539</v>
      </c>
      <c r="D2390" s="145" t="s">
        <v>68</v>
      </c>
      <c r="E2390" s="85">
        <f>STATS1003B!E2396/1000</f>
        <v>1094.0540900000001</v>
      </c>
      <c r="F2390" s="85">
        <f>STATS1003B!F2396/1000</f>
        <v>0</v>
      </c>
      <c r="G2390" s="85">
        <f>STATS1003B!G2396/1000</f>
        <v>0</v>
      </c>
      <c r="H2390" s="85">
        <f>STATS1003B!H2396/1000</f>
        <v>0</v>
      </c>
      <c r="I2390" s="85">
        <f>STATS1003B!I2396/1000</f>
        <v>0</v>
      </c>
      <c r="J2390" s="85">
        <f>STATS1003B!J2396/1000</f>
        <v>0</v>
      </c>
      <c r="K2390" s="85">
        <f>STATS1003B!K2396/1000</f>
        <v>1094.0540900000001</v>
      </c>
      <c r="L2390" s="85">
        <f>STATS1003B!L2396/1000</f>
        <v>0</v>
      </c>
      <c r="M2390" s="85">
        <f>STATS1003B!M2396/1000</f>
        <v>0</v>
      </c>
      <c r="N2390" s="85">
        <f>STATS1003B!N2396/1000</f>
        <v>1094.0540900000001</v>
      </c>
      <c r="O2390" s="85">
        <f>STATS1003B!O2396/1000</f>
        <v>0</v>
      </c>
      <c r="P2390" s="85">
        <f>STATS1003B!P2396/1000</f>
        <v>1094.0540900000001</v>
      </c>
      <c r="Q2390" s="85">
        <f>STATS1003B!Q2396/1000</f>
        <v>0</v>
      </c>
      <c r="R2390" s="85">
        <f>STATS1003B!R2396/1000</f>
        <v>0</v>
      </c>
      <c r="S2390" s="85">
        <f>STATS1003B!S2396/1000</f>
        <v>0</v>
      </c>
      <c r="T2390" s="85">
        <f>STATS1003B!T2396/1000</f>
        <v>0</v>
      </c>
      <c r="U2390" s="85">
        <f>STATS1003B!U2396/1000</f>
        <v>1094.0540900000001</v>
      </c>
      <c r="V2390" s="85">
        <f>STATS1003B!V2396/1000</f>
        <v>0</v>
      </c>
      <c r="W2390" s="85">
        <f>STATS1003B!W2396/1000</f>
        <v>0</v>
      </c>
      <c r="X2390" s="85">
        <f t="shared" si="262"/>
        <v>1094.0540900000001</v>
      </c>
      <c r="Y2390" s="85">
        <f>STATS1003B!Y2396/1000</f>
        <v>0</v>
      </c>
      <c r="Z2390" s="85">
        <f t="shared" si="263"/>
        <v>0</v>
      </c>
      <c r="AA2390" s="69">
        <f>STATS1003B!AA2396/1000</f>
        <v>1094.0540900000001</v>
      </c>
      <c r="AB2390" s="69">
        <f>STATS1003B!AB2396/1000</f>
        <v>0</v>
      </c>
    </row>
    <row r="2391" spans="1:28" hidden="1" x14ac:dyDescent="0.3">
      <c r="A2391" s="117"/>
      <c r="C2391" s="68" t="s">
        <v>545</v>
      </c>
      <c r="D2391" s="145" t="s">
        <v>54</v>
      </c>
      <c r="E2391" s="85">
        <f>STATS1003B!E2397/1000</f>
        <v>570.94100000000003</v>
      </c>
      <c r="F2391" s="85">
        <f>STATS1003B!F2397/1000</f>
        <v>0</v>
      </c>
      <c r="G2391" s="85">
        <f>STATS1003B!G2397/1000</f>
        <v>0</v>
      </c>
      <c r="H2391" s="85">
        <f>STATS1003B!H2397/1000</f>
        <v>0</v>
      </c>
      <c r="I2391" s="85">
        <f>STATS1003B!I2397/1000</f>
        <v>0</v>
      </c>
      <c r="J2391" s="85">
        <f>STATS1003B!J2397/1000</f>
        <v>0</v>
      </c>
      <c r="K2391" s="85">
        <f>STATS1003B!K2397/1000</f>
        <v>570.94100000000003</v>
      </c>
      <c r="L2391" s="85">
        <f>STATS1003B!L2397/1000</f>
        <v>0</v>
      </c>
      <c r="M2391" s="85">
        <f>STATS1003B!M2397/1000</f>
        <v>0</v>
      </c>
      <c r="N2391" s="85">
        <f>STATS1003B!N2397/1000</f>
        <v>570.94100000000003</v>
      </c>
      <c r="O2391" s="85">
        <f>STATS1003B!O2397/1000</f>
        <v>0</v>
      </c>
      <c r="P2391" s="85">
        <f>STATS1003B!P2397/1000</f>
        <v>570.94100000000003</v>
      </c>
      <c r="Q2391" s="85">
        <f>STATS1003B!Q2397/1000</f>
        <v>0</v>
      </c>
      <c r="R2391" s="85">
        <f>STATS1003B!R2397/1000</f>
        <v>0</v>
      </c>
      <c r="S2391" s="85">
        <f>STATS1003B!S2397/1000</f>
        <v>0</v>
      </c>
      <c r="T2391" s="85">
        <f>STATS1003B!T2397/1000</f>
        <v>0</v>
      </c>
      <c r="U2391" s="85">
        <f>STATS1003B!U2397/1000</f>
        <v>570.94100000000003</v>
      </c>
      <c r="V2391" s="85">
        <f>STATS1003B!V2397/1000</f>
        <v>0</v>
      </c>
      <c r="W2391" s="85">
        <f>STATS1003B!W2397/1000</f>
        <v>0</v>
      </c>
      <c r="X2391" s="85">
        <f t="shared" si="262"/>
        <v>570.94100000000003</v>
      </c>
      <c r="Y2391" s="85">
        <f>STATS1003B!Y2397/1000</f>
        <v>0</v>
      </c>
      <c r="Z2391" s="85">
        <f t="shared" si="263"/>
        <v>0</v>
      </c>
      <c r="AA2391" s="69">
        <f>STATS1003B!AA2397/1000</f>
        <v>570.94100000000003</v>
      </c>
      <c r="AB2391" s="69">
        <f>STATS1003B!AB2397/1000</f>
        <v>0</v>
      </c>
    </row>
    <row r="2392" spans="1:28" hidden="1" x14ac:dyDescent="0.3">
      <c r="A2392" s="117"/>
      <c r="C2392" s="68" t="s">
        <v>850</v>
      </c>
      <c r="D2392" s="88" t="s">
        <v>54</v>
      </c>
      <c r="E2392" s="85">
        <f>STATS1003B!E2398/1000</f>
        <v>2556.4499999999998</v>
      </c>
      <c r="F2392" s="85">
        <f>STATS1003B!F2398/1000</f>
        <v>2556.4499999999998</v>
      </c>
      <c r="G2392" s="85">
        <f>STATS1003B!G2398/1000</f>
        <v>0</v>
      </c>
      <c r="H2392" s="85">
        <f>STATS1003B!H2398/1000</f>
        <v>2556.4499999999998</v>
      </c>
      <c r="I2392" s="85">
        <f>STATS1003B!I2398/1000</f>
        <v>0</v>
      </c>
      <c r="J2392" s="85">
        <f>STATS1003B!J2398/1000</f>
        <v>2556.4499999999998</v>
      </c>
      <c r="K2392" s="85">
        <f>STATS1003B!K2398/1000</f>
        <v>0</v>
      </c>
      <c r="L2392" s="85">
        <f>STATS1003B!L2398/1000</f>
        <v>0</v>
      </c>
      <c r="M2392" s="85">
        <f>STATS1003B!M2398/1000</f>
        <v>2556.4499999999998</v>
      </c>
      <c r="N2392" s="85">
        <f>STATS1003B!N2398/1000</f>
        <v>0</v>
      </c>
      <c r="O2392" s="85">
        <f>STATS1003B!O2398/1000</f>
        <v>0</v>
      </c>
      <c r="P2392" s="85">
        <f>STATS1003B!P2398/1000</f>
        <v>0</v>
      </c>
      <c r="Q2392" s="85">
        <f>STATS1003B!Q2398/1000</f>
        <v>2556.4499999999998</v>
      </c>
      <c r="R2392" s="85">
        <f>STATS1003B!R2398/1000</f>
        <v>0</v>
      </c>
      <c r="S2392" s="85">
        <f>STATS1003B!S2398/1000</f>
        <v>0</v>
      </c>
      <c r="T2392" s="85">
        <f>STATS1003B!T2398/1000</f>
        <v>0</v>
      </c>
      <c r="U2392" s="85">
        <f>STATS1003B!U2398/1000</f>
        <v>0</v>
      </c>
      <c r="V2392" s="85">
        <f>STATS1003B!V2398/1000</f>
        <v>0</v>
      </c>
      <c r="W2392" s="85">
        <f>STATS1003B!W2398/1000</f>
        <v>0</v>
      </c>
      <c r="X2392" s="85">
        <f t="shared" si="262"/>
        <v>2556.4499999999998</v>
      </c>
      <c r="Y2392" s="85">
        <f>STATS1003B!Y2398/1000</f>
        <v>0</v>
      </c>
      <c r="Z2392" s="85">
        <f t="shared" si="263"/>
        <v>0</v>
      </c>
      <c r="AA2392" s="69">
        <f>STATS1003B!AA2398/1000</f>
        <v>2556.4499999999998</v>
      </c>
      <c r="AB2392" s="69">
        <f>STATS1003B!AB2398/1000</f>
        <v>0</v>
      </c>
    </row>
    <row r="2393" spans="1:28" hidden="1" x14ac:dyDescent="0.3">
      <c r="A2393" s="117"/>
      <c r="C2393" s="68" t="s">
        <v>851</v>
      </c>
      <c r="D2393" s="145" t="s">
        <v>54</v>
      </c>
      <c r="E2393" s="85">
        <f>STATS1003B!E2399/1000</f>
        <v>2013.05</v>
      </c>
      <c r="F2393" s="85">
        <f>STATS1003B!F2399/1000</f>
        <v>792.47900000000004</v>
      </c>
      <c r="G2393" s="85">
        <f>STATS1003B!G2399/1000</f>
        <v>0</v>
      </c>
      <c r="H2393" s="85">
        <f>STATS1003B!H2399/1000</f>
        <v>792.47900000000004</v>
      </c>
      <c r="I2393" s="85">
        <f>STATS1003B!I2399/1000</f>
        <v>0</v>
      </c>
      <c r="J2393" s="85">
        <f>STATS1003B!J2399/1000</f>
        <v>792.47900000000004</v>
      </c>
      <c r="K2393" s="85">
        <f>STATS1003B!K2399/1000</f>
        <v>1220.5709999999999</v>
      </c>
      <c r="L2393" s="85">
        <f>STATS1003B!L2399/1000</f>
        <v>0</v>
      </c>
      <c r="M2393" s="85">
        <f>STATS1003B!M2399/1000</f>
        <v>792.47900000000004</v>
      </c>
      <c r="N2393" s="85">
        <f>STATS1003B!N2399/1000</f>
        <v>1220.5709999999999</v>
      </c>
      <c r="O2393" s="85">
        <f>STATS1003B!O2399/1000</f>
        <v>0</v>
      </c>
      <c r="P2393" s="85">
        <f>STATS1003B!P2399/1000</f>
        <v>1220.5709999999999</v>
      </c>
      <c r="Q2393" s="85">
        <f>STATS1003B!Q2399/1000</f>
        <v>792.47900000000004</v>
      </c>
      <c r="R2393" s="85">
        <f>STATS1003B!R2399/1000</f>
        <v>0</v>
      </c>
      <c r="S2393" s="85">
        <f>STATS1003B!S2399/1000</f>
        <v>0</v>
      </c>
      <c r="T2393" s="85">
        <f>STATS1003B!T2399/1000</f>
        <v>0</v>
      </c>
      <c r="U2393" s="85">
        <f>STATS1003B!U2399/1000</f>
        <v>1220.5709999999999</v>
      </c>
      <c r="V2393" s="85">
        <f>STATS1003B!V2399/1000</f>
        <v>0</v>
      </c>
      <c r="W2393" s="85">
        <f>STATS1003B!W2399/1000</f>
        <v>0</v>
      </c>
      <c r="X2393" s="85">
        <f t="shared" si="262"/>
        <v>2013.05</v>
      </c>
      <c r="Y2393" s="85">
        <f>STATS1003B!Y2399/1000</f>
        <v>0</v>
      </c>
      <c r="Z2393" s="85">
        <f t="shared" si="263"/>
        <v>0</v>
      </c>
      <c r="AA2393" s="69">
        <f>STATS1003B!AA2399/1000</f>
        <v>2013.05</v>
      </c>
      <c r="AB2393" s="69">
        <f>STATS1003B!AB2399/1000</f>
        <v>0</v>
      </c>
    </row>
    <row r="2394" spans="1:28" hidden="1" x14ac:dyDescent="0.3">
      <c r="A2394" s="117"/>
      <c r="C2394" s="68" t="s">
        <v>852</v>
      </c>
      <c r="D2394" s="145" t="s">
        <v>54</v>
      </c>
      <c r="E2394" s="85">
        <f>STATS1003B!E2400/1000</f>
        <v>4194.8293400000002</v>
      </c>
      <c r="F2394" s="85">
        <f>STATS1003B!F2400/1000</f>
        <v>4194.8293400000002</v>
      </c>
      <c r="G2394" s="85">
        <f>STATS1003B!G2400/1000</f>
        <v>0</v>
      </c>
      <c r="H2394" s="85">
        <f>STATS1003B!H2400/1000</f>
        <v>4194.8293400000002</v>
      </c>
      <c r="I2394" s="85">
        <f>STATS1003B!I2400/1000</f>
        <v>0</v>
      </c>
      <c r="J2394" s="85">
        <f>STATS1003B!J2400/1000</f>
        <v>4194.8293400000002</v>
      </c>
      <c r="K2394" s="85">
        <f>STATS1003B!K2400/1000</f>
        <v>0</v>
      </c>
      <c r="L2394" s="85">
        <f>STATS1003B!L2400/1000</f>
        <v>0</v>
      </c>
      <c r="M2394" s="85">
        <f>STATS1003B!M2400/1000</f>
        <v>4194.8293400000002</v>
      </c>
      <c r="N2394" s="85">
        <f>STATS1003B!N2400/1000</f>
        <v>0</v>
      </c>
      <c r="O2394" s="85">
        <f>STATS1003B!O2400/1000</f>
        <v>0</v>
      </c>
      <c r="P2394" s="85">
        <f>STATS1003B!P2400/1000</f>
        <v>0</v>
      </c>
      <c r="Q2394" s="85">
        <f>STATS1003B!Q2400/1000</f>
        <v>4194.8293400000002</v>
      </c>
      <c r="R2394" s="85">
        <f>STATS1003B!R2400/1000</f>
        <v>0</v>
      </c>
      <c r="S2394" s="85">
        <f>STATS1003B!S2400/1000</f>
        <v>0</v>
      </c>
      <c r="T2394" s="85">
        <f>STATS1003B!T2400/1000</f>
        <v>0</v>
      </c>
      <c r="U2394" s="85">
        <f>STATS1003B!U2400/1000</f>
        <v>0</v>
      </c>
      <c r="V2394" s="85">
        <f>STATS1003B!V2400/1000</f>
        <v>0</v>
      </c>
      <c r="W2394" s="85">
        <f>STATS1003B!W2400/1000</f>
        <v>0</v>
      </c>
      <c r="X2394" s="85">
        <f t="shared" si="262"/>
        <v>4194.8293400000002</v>
      </c>
      <c r="Y2394" s="85">
        <f>STATS1003B!Y2400/1000</f>
        <v>0</v>
      </c>
      <c r="Z2394" s="85">
        <f t="shared" si="263"/>
        <v>0</v>
      </c>
      <c r="AA2394" s="69">
        <f>STATS1003B!AA2400/1000</f>
        <v>4194.8293400000002</v>
      </c>
      <c r="AB2394" s="69">
        <f>STATS1003B!AB2400/1000</f>
        <v>0</v>
      </c>
    </row>
    <row r="2395" spans="1:28" hidden="1" x14ac:dyDescent="0.3">
      <c r="A2395" s="117"/>
      <c r="C2395" s="68" t="s">
        <v>535</v>
      </c>
      <c r="D2395" s="145" t="s">
        <v>85</v>
      </c>
      <c r="E2395" s="85">
        <f>STATS1003B!E2401/1000</f>
        <v>704.47799999999995</v>
      </c>
      <c r="F2395" s="85">
        <f>STATS1003B!F2401/1000</f>
        <v>704.47799999999995</v>
      </c>
      <c r="G2395" s="85">
        <f>STATS1003B!G2401/1000</f>
        <v>0</v>
      </c>
      <c r="H2395" s="85">
        <f>STATS1003B!H2401/1000</f>
        <v>704.47799999999995</v>
      </c>
      <c r="I2395" s="85">
        <f>STATS1003B!I2401/1000</f>
        <v>0</v>
      </c>
      <c r="J2395" s="85">
        <f>STATS1003B!J2401/1000</f>
        <v>704.47799999999995</v>
      </c>
      <c r="K2395" s="85">
        <f>STATS1003B!K2401/1000</f>
        <v>0</v>
      </c>
      <c r="L2395" s="85">
        <f>STATS1003B!L2401/1000</f>
        <v>0</v>
      </c>
      <c r="M2395" s="85">
        <f>STATS1003B!M2401/1000</f>
        <v>704.47799999999995</v>
      </c>
      <c r="N2395" s="85">
        <f>STATS1003B!N2401/1000</f>
        <v>0</v>
      </c>
      <c r="O2395" s="85">
        <f>STATS1003B!O2401/1000</f>
        <v>0</v>
      </c>
      <c r="P2395" s="85">
        <f>STATS1003B!P2401/1000</f>
        <v>0</v>
      </c>
      <c r="Q2395" s="85">
        <f>STATS1003B!Q2401/1000</f>
        <v>704.47799999999995</v>
      </c>
      <c r="R2395" s="85">
        <f>STATS1003B!R2401/1000</f>
        <v>0</v>
      </c>
      <c r="S2395" s="85">
        <f>STATS1003B!S2401/1000</f>
        <v>0</v>
      </c>
      <c r="T2395" s="85">
        <f>STATS1003B!T2401/1000</f>
        <v>0</v>
      </c>
      <c r="U2395" s="85">
        <f>STATS1003B!U2401/1000</f>
        <v>0</v>
      </c>
      <c r="V2395" s="85">
        <f>STATS1003B!V2401/1000</f>
        <v>0</v>
      </c>
      <c r="W2395" s="85">
        <f>STATS1003B!W2401/1000</f>
        <v>0</v>
      </c>
      <c r="X2395" s="85">
        <f t="shared" si="262"/>
        <v>704.47799999999995</v>
      </c>
      <c r="Y2395" s="85">
        <f>STATS1003B!Y2401/1000</f>
        <v>0</v>
      </c>
      <c r="Z2395" s="85">
        <f t="shared" si="263"/>
        <v>0</v>
      </c>
      <c r="AA2395" s="69">
        <f>STATS1003B!AA2401/1000</f>
        <v>704.47799999999995</v>
      </c>
      <c r="AB2395" s="69">
        <f>STATS1003B!AB2401/1000</f>
        <v>0</v>
      </c>
    </row>
    <row r="2396" spans="1:28" hidden="1" x14ac:dyDescent="0.3">
      <c r="A2396" s="117"/>
      <c r="C2396" s="68" t="s">
        <v>535</v>
      </c>
      <c r="D2396" s="145" t="s">
        <v>88</v>
      </c>
      <c r="E2396" s="85">
        <f>STATS1003B!E2402/1000</f>
        <v>1080</v>
      </c>
      <c r="F2396" s="85">
        <f>STATS1003B!F2402/1000</f>
        <v>1080</v>
      </c>
      <c r="G2396" s="85">
        <f>STATS1003B!G2402/1000</f>
        <v>0</v>
      </c>
      <c r="H2396" s="85">
        <f>STATS1003B!H2402/1000</f>
        <v>1080</v>
      </c>
      <c r="I2396" s="85">
        <f>STATS1003B!I2402/1000</f>
        <v>0</v>
      </c>
      <c r="J2396" s="85">
        <f>STATS1003B!J2402/1000</f>
        <v>1080</v>
      </c>
      <c r="K2396" s="85">
        <f>STATS1003B!K2402/1000</f>
        <v>0</v>
      </c>
      <c r="L2396" s="85">
        <f>STATS1003B!L2402/1000</f>
        <v>0</v>
      </c>
      <c r="M2396" s="85">
        <f>STATS1003B!M2402/1000</f>
        <v>1080</v>
      </c>
      <c r="N2396" s="85">
        <f>STATS1003B!N2402/1000</f>
        <v>0</v>
      </c>
      <c r="O2396" s="85">
        <f>STATS1003B!O2402/1000</f>
        <v>0</v>
      </c>
      <c r="P2396" s="85">
        <f>STATS1003B!P2402/1000</f>
        <v>0</v>
      </c>
      <c r="Q2396" s="85">
        <f>STATS1003B!Q2402/1000</f>
        <v>1080</v>
      </c>
      <c r="R2396" s="85">
        <f>STATS1003B!R2402/1000</f>
        <v>0</v>
      </c>
      <c r="S2396" s="85">
        <f>STATS1003B!S2402/1000</f>
        <v>0</v>
      </c>
      <c r="T2396" s="85">
        <f>STATS1003B!T2402/1000</f>
        <v>0</v>
      </c>
      <c r="U2396" s="85">
        <f>STATS1003B!U2402/1000</f>
        <v>0</v>
      </c>
      <c r="V2396" s="85">
        <f>STATS1003B!V2402/1000</f>
        <v>0</v>
      </c>
      <c r="W2396" s="85">
        <f>STATS1003B!W2402/1000</f>
        <v>0</v>
      </c>
      <c r="X2396" s="85">
        <f t="shared" si="262"/>
        <v>1080</v>
      </c>
      <c r="Y2396" s="85">
        <f>STATS1003B!Y2402/1000</f>
        <v>0</v>
      </c>
      <c r="Z2396" s="85">
        <f t="shared" si="263"/>
        <v>0</v>
      </c>
      <c r="AA2396" s="69">
        <f>STATS1003B!AA2402/1000</f>
        <v>1080</v>
      </c>
      <c r="AB2396" s="69">
        <f>STATS1003B!AB2402/1000</f>
        <v>0</v>
      </c>
    </row>
    <row r="2397" spans="1:28" hidden="1" x14ac:dyDescent="0.3">
      <c r="A2397" s="117"/>
      <c r="C2397" s="68" t="s">
        <v>535</v>
      </c>
      <c r="D2397" s="145" t="s">
        <v>108</v>
      </c>
      <c r="E2397" s="85">
        <f>STATS1003B!E2403/1000</f>
        <v>1693.847</v>
      </c>
      <c r="F2397" s="85">
        <f>STATS1003B!F2403/1000</f>
        <v>1693.847</v>
      </c>
      <c r="G2397" s="85">
        <f>STATS1003B!G2403/1000</f>
        <v>0</v>
      </c>
      <c r="H2397" s="85">
        <f>STATS1003B!H2403/1000</f>
        <v>1693.847</v>
      </c>
      <c r="I2397" s="85">
        <f>STATS1003B!I2403/1000</f>
        <v>0</v>
      </c>
      <c r="J2397" s="85">
        <f>STATS1003B!J2403/1000</f>
        <v>1693.847</v>
      </c>
      <c r="K2397" s="85">
        <f>STATS1003B!K2403/1000</f>
        <v>0</v>
      </c>
      <c r="L2397" s="85">
        <f>STATS1003B!L2403/1000</f>
        <v>0</v>
      </c>
      <c r="M2397" s="85">
        <f>STATS1003B!M2403/1000</f>
        <v>1693.847</v>
      </c>
      <c r="N2397" s="85">
        <f>STATS1003B!N2403/1000</f>
        <v>0</v>
      </c>
      <c r="O2397" s="85">
        <f>STATS1003B!O2403/1000</f>
        <v>0</v>
      </c>
      <c r="P2397" s="85">
        <f>STATS1003B!P2403/1000</f>
        <v>0</v>
      </c>
      <c r="Q2397" s="85">
        <f>STATS1003B!Q2403/1000</f>
        <v>1693.847</v>
      </c>
      <c r="R2397" s="85">
        <f>STATS1003B!R2403/1000</f>
        <v>0</v>
      </c>
      <c r="S2397" s="85">
        <f>STATS1003B!S2403/1000</f>
        <v>0</v>
      </c>
      <c r="T2397" s="85">
        <f>STATS1003B!T2403/1000</f>
        <v>0</v>
      </c>
      <c r="U2397" s="85">
        <f>STATS1003B!U2403/1000</f>
        <v>0</v>
      </c>
      <c r="V2397" s="85">
        <f>STATS1003B!V2403/1000</f>
        <v>0</v>
      </c>
      <c r="W2397" s="85">
        <f>STATS1003B!W2403/1000</f>
        <v>0</v>
      </c>
      <c r="X2397" s="85">
        <f t="shared" si="262"/>
        <v>1693.847</v>
      </c>
      <c r="Y2397" s="85">
        <f>STATS1003B!Y2403/1000</f>
        <v>0</v>
      </c>
      <c r="Z2397" s="85">
        <f t="shared" si="263"/>
        <v>0</v>
      </c>
      <c r="AA2397" s="69">
        <f>STATS1003B!AA2403/1000</f>
        <v>1693.847</v>
      </c>
      <c r="AB2397" s="69">
        <f>STATS1003B!AB2403/1000</f>
        <v>0</v>
      </c>
    </row>
    <row r="2398" spans="1:28" hidden="1" x14ac:dyDescent="0.3">
      <c r="A2398" s="117"/>
      <c r="C2398" s="68" t="s">
        <v>535</v>
      </c>
      <c r="D2398" s="88" t="s">
        <v>60</v>
      </c>
      <c r="E2398" s="85">
        <f>STATS1003B!E2404/1000</f>
        <v>2083.6999999999998</v>
      </c>
      <c r="F2398" s="85">
        <f>STATS1003B!F2404/1000</f>
        <v>2083.6999999999998</v>
      </c>
      <c r="G2398" s="85">
        <f>STATS1003B!G2404/1000</f>
        <v>0</v>
      </c>
      <c r="H2398" s="85">
        <f>STATS1003B!H2404/1000</f>
        <v>2083.6999999999998</v>
      </c>
      <c r="I2398" s="85">
        <f>STATS1003B!I2404/1000</f>
        <v>0</v>
      </c>
      <c r="J2398" s="85">
        <f>STATS1003B!J2404/1000</f>
        <v>2083.6999999999998</v>
      </c>
      <c r="K2398" s="85">
        <f>STATS1003B!K2404/1000</f>
        <v>0</v>
      </c>
      <c r="L2398" s="85">
        <f>STATS1003B!L2404/1000</f>
        <v>0</v>
      </c>
      <c r="M2398" s="85">
        <f>STATS1003B!M2404/1000</f>
        <v>2083.6999999999998</v>
      </c>
      <c r="N2398" s="85">
        <f>STATS1003B!N2404/1000</f>
        <v>0</v>
      </c>
      <c r="O2398" s="85">
        <f>STATS1003B!O2404/1000</f>
        <v>0</v>
      </c>
      <c r="P2398" s="85">
        <f>STATS1003B!P2404/1000</f>
        <v>0</v>
      </c>
      <c r="Q2398" s="85">
        <f>STATS1003B!Q2404/1000</f>
        <v>2083.6999999999998</v>
      </c>
      <c r="R2398" s="85">
        <f>STATS1003B!R2404/1000</f>
        <v>0</v>
      </c>
      <c r="S2398" s="85">
        <f>STATS1003B!S2404/1000</f>
        <v>0</v>
      </c>
      <c r="T2398" s="85">
        <f>STATS1003B!T2404/1000</f>
        <v>0</v>
      </c>
      <c r="U2398" s="85">
        <f>STATS1003B!U2404/1000</f>
        <v>0</v>
      </c>
      <c r="V2398" s="85">
        <f>STATS1003B!V2404/1000</f>
        <v>0</v>
      </c>
      <c r="W2398" s="85">
        <f>STATS1003B!W2404/1000</f>
        <v>0</v>
      </c>
      <c r="X2398" s="85">
        <f t="shared" si="262"/>
        <v>2083.6999999999998</v>
      </c>
      <c r="Y2398" s="85">
        <f>STATS1003B!Y2404/1000</f>
        <v>0</v>
      </c>
      <c r="Z2398" s="85">
        <f t="shared" si="263"/>
        <v>0</v>
      </c>
      <c r="AA2398" s="69">
        <f>STATS1003B!AA2404/1000</f>
        <v>2083.6999999999998</v>
      </c>
      <c r="AB2398" s="69">
        <f>STATS1003B!AB2404/1000</f>
        <v>0</v>
      </c>
    </row>
    <row r="2399" spans="1:28" hidden="1" x14ac:dyDescent="0.3">
      <c r="A2399" s="117"/>
      <c r="C2399" s="68" t="s">
        <v>853</v>
      </c>
      <c r="D2399" s="88" t="s">
        <v>60</v>
      </c>
      <c r="E2399" s="85">
        <f>STATS1003B!E2405/1000</f>
        <v>1300</v>
      </c>
      <c r="F2399" s="85">
        <f>STATS1003B!F2405/1000</f>
        <v>1300</v>
      </c>
      <c r="G2399" s="85">
        <f>STATS1003B!G2405/1000</f>
        <v>0</v>
      </c>
      <c r="H2399" s="85">
        <f>STATS1003B!H2405/1000</f>
        <v>1300</v>
      </c>
      <c r="I2399" s="85">
        <f>STATS1003B!I2405/1000</f>
        <v>0</v>
      </c>
      <c r="J2399" s="85">
        <f>STATS1003B!J2405/1000</f>
        <v>1300</v>
      </c>
      <c r="K2399" s="85">
        <f>STATS1003B!K2405/1000</f>
        <v>0</v>
      </c>
      <c r="L2399" s="85">
        <f>STATS1003B!L2405/1000</f>
        <v>0</v>
      </c>
      <c r="M2399" s="85">
        <f>STATS1003B!M2405/1000</f>
        <v>1300</v>
      </c>
      <c r="N2399" s="85">
        <f>STATS1003B!N2405/1000</f>
        <v>0</v>
      </c>
      <c r="O2399" s="85">
        <f>STATS1003B!O2405/1000</f>
        <v>0</v>
      </c>
      <c r="P2399" s="85">
        <f>STATS1003B!P2405/1000</f>
        <v>0</v>
      </c>
      <c r="Q2399" s="85">
        <f>STATS1003B!Q2405/1000</f>
        <v>1300</v>
      </c>
      <c r="R2399" s="85">
        <f>STATS1003B!R2405/1000</f>
        <v>0</v>
      </c>
      <c r="S2399" s="85">
        <f>STATS1003B!S2405/1000</f>
        <v>0</v>
      </c>
      <c r="T2399" s="85">
        <f>STATS1003B!T2405/1000</f>
        <v>0</v>
      </c>
      <c r="U2399" s="85">
        <f>STATS1003B!U2405/1000</f>
        <v>0</v>
      </c>
      <c r="V2399" s="85">
        <f>STATS1003B!V2405/1000</f>
        <v>0</v>
      </c>
      <c r="W2399" s="85">
        <f>STATS1003B!W2405/1000</f>
        <v>0</v>
      </c>
      <c r="X2399" s="85">
        <f t="shared" si="262"/>
        <v>1300</v>
      </c>
      <c r="Y2399" s="85">
        <f>STATS1003B!Y2405/1000</f>
        <v>0</v>
      </c>
      <c r="Z2399" s="85">
        <f t="shared" si="263"/>
        <v>0</v>
      </c>
      <c r="AA2399" s="69">
        <f>STATS1003B!AA2405/1000</f>
        <v>1300</v>
      </c>
      <c r="AB2399" s="69">
        <f>STATS1003B!AB2405/1000</f>
        <v>0</v>
      </c>
    </row>
    <row r="2400" spans="1:28" hidden="1" x14ac:dyDescent="0.3">
      <c r="A2400" s="117"/>
      <c r="C2400" s="68" t="s">
        <v>535</v>
      </c>
      <c r="D2400" s="88" t="s">
        <v>73</v>
      </c>
      <c r="E2400" s="85">
        <f>STATS1003B!E2406/1000</f>
        <v>1649.3589999999999</v>
      </c>
      <c r="F2400" s="85">
        <f>STATS1003B!F2406/1000</f>
        <v>1649.3589999999999</v>
      </c>
      <c r="G2400" s="85">
        <f>STATS1003B!G2406/1000</f>
        <v>0</v>
      </c>
      <c r="H2400" s="85">
        <f>STATS1003B!H2406/1000</f>
        <v>1649.3589999999999</v>
      </c>
      <c r="I2400" s="85">
        <f>STATS1003B!I2406/1000</f>
        <v>0</v>
      </c>
      <c r="J2400" s="85">
        <f>STATS1003B!J2406/1000</f>
        <v>1649.3589999999999</v>
      </c>
      <c r="K2400" s="85">
        <f>STATS1003B!K2406/1000</f>
        <v>0</v>
      </c>
      <c r="L2400" s="85">
        <f>STATS1003B!L2406/1000</f>
        <v>0</v>
      </c>
      <c r="M2400" s="85">
        <f>STATS1003B!M2406/1000</f>
        <v>1649.3589999999999</v>
      </c>
      <c r="N2400" s="85">
        <f>STATS1003B!N2406/1000</f>
        <v>0</v>
      </c>
      <c r="O2400" s="85">
        <f>STATS1003B!O2406/1000</f>
        <v>0</v>
      </c>
      <c r="P2400" s="85">
        <f>STATS1003B!P2406/1000</f>
        <v>0</v>
      </c>
      <c r="Q2400" s="85">
        <f>STATS1003B!Q2406/1000</f>
        <v>1649.3589999999999</v>
      </c>
      <c r="R2400" s="85">
        <f>STATS1003B!R2406/1000</f>
        <v>0</v>
      </c>
      <c r="S2400" s="85">
        <f>STATS1003B!S2406/1000</f>
        <v>0</v>
      </c>
      <c r="T2400" s="85">
        <f>STATS1003B!T2406/1000</f>
        <v>0</v>
      </c>
      <c r="U2400" s="85">
        <f>STATS1003B!U2406/1000</f>
        <v>0</v>
      </c>
      <c r="V2400" s="85">
        <f>STATS1003B!V2406/1000</f>
        <v>0</v>
      </c>
      <c r="W2400" s="85">
        <f>STATS1003B!W2406/1000</f>
        <v>0</v>
      </c>
      <c r="X2400" s="85">
        <f t="shared" si="262"/>
        <v>1649.3589999999999</v>
      </c>
      <c r="Y2400" s="85">
        <f>STATS1003B!Y2406/1000</f>
        <v>0</v>
      </c>
      <c r="Z2400" s="85">
        <f t="shared" si="263"/>
        <v>0</v>
      </c>
      <c r="AA2400" s="69">
        <f>STATS1003B!AA2406/1000</f>
        <v>1649.3589999999999</v>
      </c>
      <c r="AB2400" s="69">
        <f>STATS1003B!AB2406/1000</f>
        <v>0</v>
      </c>
    </row>
    <row r="2401" spans="1:28" hidden="1" x14ac:dyDescent="0.3">
      <c r="A2401" s="117"/>
      <c r="C2401" s="68" t="s">
        <v>898</v>
      </c>
      <c r="D2401" s="88"/>
      <c r="E2401" s="85">
        <f>STATS1003B!E2407/1000</f>
        <v>2487.7984200000001</v>
      </c>
      <c r="F2401" s="85">
        <f>STATS1003B!F2407/1000</f>
        <v>2487.7984200000001</v>
      </c>
      <c r="G2401" s="85">
        <f>STATS1003B!G2407/1000</f>
        <v>0</v>
      </c>
      <c r="H2401" s="85">
        <f>STATS1003B!H2407/1000</f>
        <v>2487.7984200000001</v>
      </c>
      <c r="I2401" s="85">
        <f>STATS1003B!I2407/1000</f>
        <v>0</v>
      </c>
      <c r="J2401" s="85">
        <f>STATS1003B!J2407/1000</f>
        <v>2487.7984200000001</v>
      </c>
      <c r="K2401" s="85">
        <f>STATS1003B!K2407/1000</f>
        <v>0</v>
      </c>
      <c r="L2401" s="85">
        <f>STATS1003B!L2407/1000</f>
        <v>0</v>
      </c>
      <c r="M2401" s="85">
        <f>STATS1003B!M2407/1000</f>
        <v>2487.7984200000001</v>
      </c>
      <c r="N2401" s="85">
        <f>STATS1003B!N2407/1000</f>
        <v>0</v>
      </c>
      <c r="O2401" s="85">
        <f>STATS1003B!O2407/1000</f>
        <v>0</v>
      </c>
      <c r="P2401" s="85">
        <f>STATS1003B!P2407/1000</f>
        <v>0</v>
      </c>
      <c r="Q2401" s="85">
        <f>STATS1003B!Q2407/1000</f>
        <v>2487.7984200000001</v>
      </c>
      <c r="R2401" s="85">
        <f>STATS1003B!R2407/1000</f>
        <v>0</v>
      </c>
      <c r="S2401" s="85">
        <f>STATS1003B!S2407/1000</f>
        <v>0</v>
      </c>
      <c r="T2401" s="85">
        <f>STATS1003B!T2407/1000</f>
        <v>0</v>
      </c>
      <c r="U2401" s="85">
        <f>STATS1003B!U2407/1000</f>
        <v>0</v>
      </c>
      <c r="V2401" s="85">
        <f>STATS1003B!V2407/1000</f>
        <v>0</v>
      </c>
      <c r="W2401" s="85">
        <f>STATS1003B!W2407/1000</f>
        <v>0</v>
      </c>
      <c r="X2401" s="85">
        <f t="shared" si="262"/>
        <v>2487.7984200000001</v>
      </c>
      <c r="Y2401" s="85">
        <f>STATS1003B!Y2407/1000</f>
        <v>0</v>
      </c>
      <c r="Z2401" s="85">
        <f t="shared" si="263"/>
        <v>0</v>
      </c>
      <c r="AA2401" s="69">
        <f>STATS1003B!AA2407/1000</f>
        <v>2487.7984200000001</v>
      </c>
      <c r="AB2401" s="69">
        <f>STATS1003B!AB2407/1000</f>
        <v>0</v>
      </c>
    </row>
    <row r="2402" spans="1:28" hidden="1" x14ac:dyDescent="0.3">
      <c r="A2402" s="117"/>
      <c r="C2402" s="68" t="s">
        <v>933</v>
      </c>
      <c r="D2402" s="88"/>
      <c r="E2402" s="85">
        <f>STATS1003B!E2408/1000</f>
        <v>3291</v>
      </c>
      <c r="F2402" s="85">
        <f>STATS1003B!F2408/1000</f>
        <v>3291</v>
      </c>
      <c r="G2402" s="85">
        <f>STATS1003B!G2408/1000</f>
        <v>0</v>
      </c>
      <c r="H2402" s="85">
        <f>STATS1003B!H2408/1000</f>
        <v>3291</v>
      </c>
      <c r="I2402" s="85">
        <f>STATS1003B!I2408/1000</f>
        <v>0</v>
      </c>
      <c r="J2402" s="85">
        <f>STATS1003B!J2408/1000</f>
        <v>0</v>
      </c>
      <c r="K2402" s="85">
        <f>STATS1003B!K2408/1000</f>
        <v>0</v>
      </c>
      <c r="L2402" s="85">
        <f>STATS1003B!L2408/1000</f>
        <v>0</v>
      </c>
      <c r="M2402" s="85">
        <f>STATS1003B!M2408/1000</f>
        <v>3291</v>
      </c>
      <c r="N2402" s="85">
        <f>STATS1003B!N2408/1000</f>
        <v>0</v>
      </c>
      <c r="O2402" s="85">
        <f>STATS1003B!O2408/1000</f>
        <v>0</v>
      </c>
      <c r="P2402" s="85">
        <f>STATS1003B!P2408/1000</f>
        <v>0</v>
      </c>
      <c r="Q2402" s="85">
        <f>STATS1003B!Q2408/1000</f>
        <v>3291</v>
      </c>
      <c r="R2402" s="85">
        <f>STATS1003B!R2408/1000</f>
        <v>0</v>
      </c>
      <c r="S2402" s="85">
        <f>STATS1003B!S2408/1000</f>
        <v>0</v>
      </c>
      <c r="T2402" s="85">
        <f>STATS1003B!T2408/1000</f>
        <v>0</v>
      </c>
      <c r="U2402" s="85">
        <f>STATS1003B!U2408/1000</f>
        <v>0</v>
      </c>
      <c r="V2402" s="85">
        <f>STATS1003B!V2408/1000</f>
        <v>0</v>
      </c>
      <c r="W2402" s="85">
        <f>STATS1003B!W2408/1000</f>
        <v>0</v>
      </c>
      <c r="X2402" s="85">
        <f t="shared" si="262"/>
        <v>3291</v>
      </c>
      <c r="Y2402" s="85">
        <f>STATS1003B!Y2408/1000</f>
        <v>0</v>
      </c>
      <c r="Z2402" s="85">
        <f t="shared" si="263"/>
        <v>0</v>
      </c>
      <c r="AA2402" s="69">
        <f>STATS1003B!AA2408/1000</f>
        <v>3291</v>
      </c>
      <c r="AB2402" s="69">
        <f>STATS1003B!AB2408/1000</f>
        <v>0</v>
      </c>
    </row>
    <row r="2403" spans="1:28" hidden="1" x14ac:dyDescent="0.3">
      <c r="A2403" s="117"/>
      <c r="C2403" s="68" t="s">
        <v>1173</v>
      </c>
      <c r="D2403" s="89" t="s">
        <v>1126</v>
      </c>
      <c r="E2403" s="85">
        <f>STATS1003B!E2409/1000</f>
        <v>4500</v>
      </c>
      <c r="F2403" s="85">
        <f>STATS1003B!F2409/1000</f>
        <v>4500</v>
      </c>
      <c r="G2403" s="85">
        <f>STATS1003B!G2409/1000</f>
        <v>0</v>
      </c>
      <c r="H2403" s="85">
        <f>STATS1003B!H2409/1000</f>
        <v>4500</v>
      </c>
      <c r="I2403" s="85">
        <f>STATS1003B!I2409/1000</f>
        <v>0</v>
      </c>
      <c r="J2403" s="85">
        <f>STATS1003B!J2409/1000</f>
        <v>0</v>
      </c>
      <c r="K2403" s="85">
        <f>STATS1003B!K2409/1000</f>
        <v>0</v>
      </c>
      <c r="L2403" s="85">
        <f>STATS1003B!L2409/1000</f>
        <v>0</v>
      </c>
      <c r="M2403" s="85">
        <f>STATS1003B!M2409/1000</f>
        <v>4500</v>
      </c>
      <c r="N2403" s="85">
        <f>STATS1003B!N2409/1000</f>
        <v>0</v>
      </c>
      <c r="O2403" s="85">
        <f>STATS1003B!O2409/1000</f>
        <v>0</v>
      </c>
      <c r="P2403" s="85">
        <f>STATS1003B!P2409/1000</f>
        <v>0</v>
      </c>
      <c r="Q2403" s="85">
        <f>STATS1003B!Q2409/1000</f>
        <v>4500</v>
      </c>
      <c r="R2403" s="85">
        <f>STATS1003B!R2409/1000</f>
        <v>0</v>
      </c>
      <c r="S2403" s="85">
        <f>STATS1003B!S2409/1000</f>
        <v>0</v>
      </c>
      <c r="T2403" s="85">
        <f>STATS1003B!T2409/1000</f>
        <v>0</v>
      </c>
      <c r="U2403" s="85">
        <f>STATS1003B!U2409/1000</f>
        <v>0</v>
      </c>
      <c r="V2403" s="85">
        <f>STATS1003B!V2409/1000</f>
        <v>0</v>
      </c>
      <c r="W2403" s="85">
        <f>STATS1003B!W2409/1000</f>
        <v>0</v>
      </c>
      <c r="X2403" s="85">
        <f t="shared" si="262"/>
        <v>4500</v>
      </c>
      <c r="Y2403" s="85">
        <f>STATS1003B!Y2409/1000</f>
        <v>0</v>
      </c>
      <c r="Z2403" s="85">
        <f t="shared" si="263"/>
        <v>0</v>
      </c>
      <c r="AA2403" s="69">
        <f>STATS1003B!AA2409/1000</f>
        <v>4500</v>
      </c>
      <c r="AB2403" s="69">
        <f>STATS1003B!AB2409/1000</f>
        <v>0</v>
      </c>
    </row>
    <row r="2404" spans="1:28" hidden="1" x14ac:dyDescent="0.3">
      <c r="A2404" s="117"/>
      <c r="C2404" s="68" t="s">
        <v>1083</v>
      </c>
      <c r="D2404" s="89" t="s">
        <v>1072</v>
      </c>
      <c r="E2404" s="85">
        <f>STATS1003B!E2410/1000</f>
        <v>10922.323530000001</v>
      </c>
      <c r="F2404" s="85">
        <f>STATS1003B!F2410/1000</f>
        <v>10922.323530000001</v>
      </c>
      <c r="G2404" s="85">
        <f>STATS1003B!G2410/1000</f>
        <v>0</v>
      </c>
      <c r="H2404" s="85">
        <f>STATS1003B!H2410/1000</f>
        <v>10922.323530000001</v>
      </c>
      <c r="I2404" s="85">
        <f>STATS1003B!I2410/1000</f>
        <v>0</v>
      </c>
      <c r="J2404" s="85">
        <f>STATS1003B!J2410/1000</f>
        <v>0</v>
      </c>
      <c r="K2404" s="85">
        <f>STATS1003B!K2410/1000</f>
        <v>0</v>
      </c>
      <c r="L2404" s="85">
        <f>STATS1003B!L2410/1000</f>
        <v>0</v>
      </c>
      <c r="M2404" s="85">
        <f>STATS1003B!M2410/1000</f>
        <v>10922.323530000001</v>
      </c>
      <c r="N2404" s="85">
        <f>STATS1003B!N2410/1000</f>
        <v>0</v>
      </c>
      <c r="O2404" s="85">
        <f>STATS1003B!O2410/1000</f>
        <v>0</v>
      </c>
      <c r="P2404" s="85">
        <f>STATS1003B!P2410/1000</f>
        <v>0</v>
      </c>
      <c r="Q2404" s="85">
        <f>STATS1003B!Q2410/1000</f>
        <v>0</v>
      </c>
      <c r="R2404" s="85">
        <f>STATS1003B!R2410/1000</f>
        <v>0</v>
      </c>
      <c r="S2404" s="85">
        <f>STATS1003B!S2410/1000</f>
        <v>0</v>
      </c>
      <c r="T2404" s="85">
        <f>STATS1003B!T2410/1000</f>
        <v>0</v>
      </c>
      <c r="U2404" s="85">
        <f>STATS1003B!U2410/1000</f>
        <v>0</v>
      </c>
      <c r="V2404" s="85">
        <f>STATS1003B!V2410/1000</f>
        <v>0</v>
      </c>
      <c r="W2404" s="85">
        <f>STATS1003B!W2410/1000</f>
        <v>0</v>
      </c>
      <c r="X2404" s="85">
        <f t="shared" si="262"/>
        <v>10922.323530000001</v>
      </c>
      <c r="Y2404" s="85">
        <f>STATS1003B!Y2410/1000</f>
        <v>0</v>
      </c>
      <c r="Z2404" s="85">
        <f t="shared" si="263"/>
        <v>0</v>
      </c>
      <c r="AA2404" s="69">
        <f>STATS1003B!AA2410/1000</f>
        <v>10922.323530000001</v>
      </c>
      <c r="AB2404" s="69">
        <f>STATS1003B!AB2410/1000</f>
        <v>0</v>
      </c>
    </row>
    <row r="2405" spans="1:28" hidden="1" x14ac:dyDescent="0.3">
      <c r="A2405" s="117"/>
      <c r="C2405" s="68" t="s">
        <v>1061</v>
      </c>
      <c r="D2405" s="88"/>
      <c r="E2405" s="85">
        <f>STATS1003B!E2411/1000</f>
        <v>769</v>
      </c>
      <c r="F2405" s="85">
        <f>STATS1003B!F2411/1000</f>
        <v>769</v>
      </c>
      <c r="G2405" s="85">
        <f>STATS1003B!G2411/1000</f>
        <v>0</v>
      </c>
      <c r="H2405" s="85">
        <f>STATS1003B!H2411/1000</f>
        <v>769</v>
      </c>
      <c r="I2405" s="85">
        <f>STATS1003B!I2411/1000</f>
        <v>0</v>
      </c>
      <c r="J2405" s="85">
        <f>STATS1003B!J2411/1000</f>
        <v>769</v>
      </c>
      <c r="K2405" s="85">
        <f>STATS1003B!K2411/1000</f>
        <v>0</v>
      </c>
      <c r="L2405" s="85">
        <f>STATS1003B!L2411/1000</f>
        <v>0</v>
      </c>
      <c r="M2405" s="85">
        <f>STATS1003B!M2411/1000</f>
        <v>769</v>
      </c>
      <c r="N2405" s="85">
        <f>STATS1003B!N2411/1000</f>
        <v>0</v>
      </c>
      <c r="O2405" s="85">
        <f>STATS1003B!O2411/1000</f>
        <v>0</v>
      </c>
      <c r="P2405" s="85">
        <f>STATS1003B!P2411/1000</f>
        <v>0</v>
      </c>
      <c r="Q2405" s="85">
        <f>STATS1003B!Q2411/1000</f>
        <v>769</v>
      </c>
      <c r="R2405" s="85">
        <f>STATS1003B!R2411/1000</f>
        <v>0</v>
      </c>
      <c r="S2405" s="85">
        <f>STATS1003B!S2411/1000</f>
        <v>0</v>
      </c>
      <c r="T2405" s="85">
        <f>STATS1003B!T2411/1000</f>
        <v>0</v>
      </c>
      <c r="U2405" s="85">
        <f>STATS1003B!U2411/1000</f>
        <v>0</v>
      </c>
      <c r="V2405" s="85">
        <f>STATS1003B!V2411/1000</f>
        <v>0</v>
      </c>
      <c r="W2405" s="85">
        <f>STATS1003B!W2411/1000</f>
        <v>0</v>
      </c>
      <c r="X2405" s="85">
        <f t="shared" si="262"/>
        <v>769</v>
      </c>
      <c r="Y2405" s="85">
        <f>STATS1003B!Y2411/1000</f>
        <v>0</v>
      </c>
      <c r="Z2405" s="85">
        <f t="shared" si="263"/>
        <v>0</v>
      </c>
      <c r="AA2405" s="69">
        <f>STATS1003B!AA2411/1000</f>
        <v>769</v>
      </c>
      <c r="AB2405" s="69">
        <f>STATS1003B!AB2411/1000</f>
        <v>0</v>
      </c>
    </row>
    <row r="2406" spans="1:28" hidden="1" x14ac:dyDescent="0.3">
      <c r="A2406" s="117"/>
      <c r="C2406" s="71" t="s">
        <v>568</v>
      </c>
      <c r="E2406" s="85">
        <f>STATS1003B!E2412/1000</f>
        <v>2760.4155599999999</v>
      </c>
      <c r="F2406" s="85">
        <f>STATS1003B!F2412/1000</f>
        <v>2760.4155599999999</v>
      </c>
      <c r="G2406" s="85">
        <f>STATS1003B!G2412/1000</f>
        <v>0</v>
      </c>
      <c r="H2406" s="85">
        <f>STATS1003B!H2412/1000</f>
        <v>2760.4155599999999</v>
      </c>
      <c r="I2406" s="85">
        <f>STATS1003B!I2412/1000</f>
        <v>0</v>
      </c>
      <c r="J2406" s="85">
        <f>STATS1003B!J2412/1000</f>
        <v>2760.4155599999999</v>
      </c>
      <c r="K2406" s="85">
        <f>STATS1003B!K2412/1000</f>
        <v>0</v>
      </c>
      <c r="L2406" s="85">
        <f>STATS1003B!L2412/1000</f>
        <v>0</v>
      </c>
      <c r="M2406" s="85">
        <f>STATS1003B!M2412/1000</f>
        <v>2760.4155599999999</v>
      </c>
      <c r="N2406" s="85">
        <f>STATS1003B!N2412/1000</f>
        <v>0</v>
      </c>
      <c r="O2406" s="85">
        <f>STATS1003B!O2412/1000</f>
        <v>0</v>
      </c>
      <c r="P2406" s="85">
        <f>STATS1003B!P2412/1000</f>
        <v>0</v>
      </c>
      <c r="Q2406" s="85">
        <f>STATS1003B!Q2412/1000</f>
        <v>2760.4155599999999</v>
      </c>
      <c r="R2406" s="85">
        <f>STATS1003B!R2412/1000</f>
        <v>0</v>
      </c>
      <c r="S2406" s="85">
        <f>STATS1003B!S2412/1000</f>
        <v>0</v>
      </c>
      <c r="T2406" s="85">
        <f>STATS1003B!T2412/1000</f>
        <v>0</v>
      </c>
      <c r="U2406" s="85">
        <f>STATS1003B!U2412/1000</f>
        <v>0</v>
      </c>
      <c r="V2406" s="85">
        <f>STATS1003B!V2412/1000</f>
        <v>0</v>
      </c>
      <c r="W2406" s="85">
        <f>STATS1003B!W2412/1000</f>
        <v>0</v>
      </c>
      <c r="X2406" s="85">
        <f t="shared" si="262"/>
        <v>2760.4155599999999</v>
      </c>
      <c r="Y2406" s="85">
        <f>STATS1003B!Y2412/1000</f>
        <v>0</v>
      </c>
      <c r="Z2406" s="85">
        <f t="shared" si="263"/>
        <v>0</v>
      </c>
      <c r="AA2406" s="69">
        <f>STATS1003B!AA2412/1000</f>
        <v>2760.4155599999999</v>
      </c>
      <c r="AB2406" s="69">
        <f>STATS1003B!AB2412/1000</f>
        <v>0</v>
      </c>
    </row>
    <row r="2407" spans="1:28" hidden="1" x14ac:dyDescent="0.3">
      <c r="A2407" s="117"/>
      <c r="C2407" s="68" t="s">
        <v>550</v>
      </c>
      <c r="E2407" s="85">
        <f>STATS1003B!E2413/1000</f>
        <v>40.622999999999998</v>
      </c>
      <c r="F2407" s="85">
        <f>STATS1003B!F2413/1000</f>
        <v>40.622999999999998</v>
      </c>
      <c r="G2407" s="85">
        <f>STATS1003B!G2413/1000</f>
        <v>0</v>
      </c>
      <c r="H2407" s="85">
        <f>STATS1003B!H2413/1000</f>
        <v>40.622999999999998</v>
      </c>
      <c r="I2407" s="85">
        <f>STATS1003B!I2413/1000</f>
        <v>0</v>
      </c>
      <c r="J2407" s="85">
        <f>STATS1003B!J2413/1000</f>
        <v>40.622999999999998</v>
      </c>
      <c r="K2407" s="85">
        <f>STATS1003B!K2413/1000</f>
        <v>0</v>
      </c>
      <c r="L2407" s="85">
        <f>STATS1003B!L2413/1000</f>
        <v>0</v>
      </c>
      <c r="M2407" s="85">
        <f>STATS1003B!M2413/1000</f>
        <v>40.622999999999998</v>
      </c>
      <c r="N2407" s="85">
        <f>STATS1003B!N2413/1000</f>
        <v>0</v>
      </c>
      <c r="O2407" s="85">
        <f>STATS1003B!O2413/1000</f>
        <v>0</v>
      </c>
      <c r="P2407" s="85">
        <f>STATS1003B!P2413/1000</f>
        <v>0</v>
      </c>
      <c r="Q2407" s="85">
        <f>STATS1003B!Q2413/1000</f>
        <v>40.622999999999998</v>
      </c>
      <c r="R2407" s="85">
        <f>STATS1003B!R2413/1000</f>
        <v>0</v>
      </c>
      <c r="S2407" s="85">
        <f>STATS1003B!S2413/1000</f>
        <v>0</v>
      </c>
      <c r="T2407" s="85">
        <f>STATS1003B!T2413/1000</f>
        <v>0</v>
      </c>
      <c r="U2407" s="85">
        <f>STATS1003B!U2413/1000</f>
        <v>0</v>
      </c>
      <c r="V2407" s="85">
        <f>STATS1003B!V2413/1000</f>
        <v>0</v>
      </c>
      <c r="W2407" s="85">
        <f>STATS1003B!W2413/1000</f>
        <v>0</v>
      </c>
      <c r="X2407" s="85">
        <f t="shared" si="262"/>
        <v>40.622999999999998</v>
      </c>
      <c r="Y2407" s="85">
        <f>STATS1003B!Y2413/1000</f>
        <v>0</v>
      </c>
      <c r="Z2407" s="85">
        <f t="shared" si="263"/>
        <v>0</v>
      </c>
      <c r="AA2407" s="69">
        <f>STATS1003B!AA2413/1000</f>
        <v>40.622999999999998</v>
      </c>
      <c r="AB2407" s="69">
        <f>STATS1003B!AB2413/1000</f>
        <v>0</v>
      </c>
    </row>
    <row r="2408" spans="1:28" hidden="1" x14ac:dyDescent="0.3">
      <c r="A2408" s="117"/>
      <c r="C2408" s="68" t="s">
        <v>606</v>
      </c>
      <c r="E2408" s="85">
        <f>STATS1003B!E2414/1000</f>
        <v>5000</v>
      </c>
      <c r="F2408" s="85">
        <f>STATS1003B!F2414/1000</f>
        <v>5000</v>
      </c>
      <c r="G2408" s="85">
        <f>STATS1003B!G2414/1000</f>
        <v>0</v>
      </c>
      <c r="H2408" s="85">
        <f>STATS1003B!H2414/1000</f>
        <v>5000</v>
      </c>
      <c r="I2408" s="85">
        <f>STATS1003B!I2414/1000</f>
        <v>0</v>
      </c>
      <c r="J2408" s="85">
        <f>STATS1003B!J2414/1000</f>
        <v>5000</v>
      </c>
      <c r="K2408" s="85">
        <f>STATS1003B!K2414/1000</f>
        <v>0</v>
      </c>
      <c r="L2408" s="85">
        <f>STATS1003B!L2414/1000</f>
        <v>0</v>
      </c>
      <c r="M2408" s="85">
        <f>STATS1003B!M2414/1000</f>
        <v>5000</v>
      </c>
      <c r="N2408" s="85">
        <f>STATS1003B!N2414/1000</f>
        <v>0</v>
      </c>
      <c r="O2408" s="85">
        <f>STATS1003B!O2414/1000</f>
        <v>0</v>
      </c>
      <c r="P2408" s="85">
        <f>STATS1003B!P2414/1000</f>
        <v>0</v>
      </c>
      <c r="Q2408" s="85">
        <f>STATS1003B!Q2414/1000</f>
        <v>5000</v>
      </c>
      <c r="R2408" s="85">
        <f>STATS1003B!R2414/1000</f>
        <v>0</v>
      </c>
      <c r="S2408" s="85">
        <f>STATS1003B!S2414/1000</f>
        <v>0</v>
      </c>
      <c r="T2408" s="85">
        <f>STATS1003B!T2414/1000</f>
        <v>0</v>
      </c>
      <c r="U2408" s="85">
        <f>STATS1003B!U2414/1000</f>
        <v>0</v>
      </c>
      <c r="V2408" s="85">
        <f>STATS1003B!V2414/1000</f>
        <v>0</v>
      </c>
      <c r="W2408" s="85">
        <f>STATS1003B!W2414/1000</f>
        <v>0</v>
      </c>
      <c r="X2408" s="85">
        <f t="shared" si="262"/>
        <v>5000</v>
      </c>
      <c r="Y2408" s="85">
        <f>STATS1003B!Y2414/1000</f>
        <v>0</v>
      </c>
      <c r="Z2408" s="85">
        <f t="shared" si="263"/>
        <v>0</v>
      </c>
      <c r="AA2408" s="69">
        <f>STATS1003B!AA2414/1000</f>
        <v>5000</v>
      </c>
      <c r="AB2408" s="69">
        <f>STATS1003B!AB2414/1000</f>
        <v>0</v>
      </c>
    </row>
    <row r="2409" spans="1:28" hidden="1" x14ac:dyDescent="0.3">
      <c r="A2409" s="117"/>
      <c r="E2409" s="86" t="s">
        <v>29</v>
      </c>
      <c r="F2409" s="86" t="s">
        <v>29</v>
      </c>
      <c r="G2409" s="86" t="s">
        <v>29</v>
      </c>
      <c r="H2409" s="86" t="s">
        <v>29</v>
      </c>
      <c r="I2409" s="86" t="s">
        <v>29</v>
      </c>
      <c r="J2409" s="86" t="s">
        <v>29</v>
      </c>
      <c r="K2409" s="86" t="s">
        <v>29</v>
      </c>
      <c r="L2409" s="86" t="s">
        <v>29</v>
      </c>
      <c r="M2409" s="86" t="s">
        <v>29</v>
      </c>
      <c r="N2409" s="86" t="s">
        <v>29</v>
      </c>
      <c r="O2409" s="86" t="s">
        <v>29</v>
      </c>
      <c r="P2409" s="86" t="s">
        <v>29</v>
      </c>
      <c r="Q2409" s="86" t="s">
        <v>29</v>
      </c>
      <c r="R2409" s="86" t="s">
        <v>29</v>
      </c>
      <c r="S2409" s="86" t="s">
        <v>29</v>
      </c>
      <c r="T2409" s="86" t="s">
        <v>29</v>
      </c>
      <c r="U2409" s="86" t="s">
        <v>29</v>
      </c>
      <c r="V2409" s="86" t="s">
        <v>29</v>
      </c>
      <c r="W2409" s="86" t="s">
        <v>29</v>
      </c>
      <c r="X2409" s="85" t="e">
        <f t="shared" si="262"/>
        <v>#VALUE!</v>
      </c>
      <c r="Y2409" s="86" t="s">
        <v>29</v>
      </c>
      <c r="Z2409" s="85" t="e">
        <f t="shared" si="263"/>
        <v>#VALUE!</v>
      </c>
      <c r="AA2409" s="115" t="s">
        <v>29</v>
      </c>
      <c r="AB2409" s="115" t="s">
        <v>29</v>
      </c>
    </row>
    <row r="2410" spans="1:28" x14ac:dyDescent="0.3">
      <c r="A2410" s="116">
        <v>104</v>
      </c>
      <c r="B2410" s="68" t="s">
        <v>848</v>
      </c>
      <c r="E2410" s="85">
        <f>116912246.48/1000</f>
        <v>116912.24648</v>
      </c>
      <c r="F2410" s="85">
        <f t="shared" ref="F2410:Q2410" si="266">SUM(F2385:F2409)</f>
        <v>59177.954340000004</v>
      </c>
      <c r="G2410" s="85">
        <f t="shared" si="266"/>
        <v>0</v>
      </c>
      <c r="H2410" s="85">
        <f>113762382.73/1000</f>
        <v>113762.38273</v>
      </c>
      <c r="I2410" s="85">
        <f t="shared" si="266"/>
        <v>0</v>
      </c>
      <c r="J2410" s="85">
        <f t="shared" si="266"/>
        <v>40464.630809999995</v>
      </c>
      <c r="K2410" s="85">
        <f t="shared" si="266"/>
        <v>3149.86375</v>
      </c>
      <c r="L2410" s="85">
        <f t="shared" si="266"/>
        <v>0</v>
      </c>
      <c r="M2410" s="85">
        <f t="shared" si="266"/>
        <v>59177.954340000004</v>
      </c>
      <c r="N2410" s="85">
        <f t="shared" si="266"/>
        <v>3149.86375</v>
      </c>
      <c r="O2410" s="85">
        <f t="shared" si="266"/>
        <v>0</v>
      </c>
      <c r="P2410" s="85">
        <f>3149863/1000</f>
        <v>3149.8629999999998</v>
      </c>
      <c r="Q2410" s="85">
        <f t="shared" si="266"/>
        <v>48255.630810000002</v>
      </c>
      <c r="R2410" s="84"/>
      <c r="S2410" s="84"/>
      <c r="T2410" s="85">
        <f t="shared" ref="T2410:Y2410" si="267">SUM(T2385:T2409)</f>
        <v>0</v>
      </c>
      <c r="U2410" s="85">
        <f t="shared" si="267"/>
        <v>3149.86375</v>
      </c>
      <c r="V2410" s="85">
        <f t="shared" si="267"/>
        <v>0</v>
      </c>
      <c r="W2410" s="85">
        <f t="shared" si="267"/>
        <v>0</v>
      </c>
      <c r="X2410" s="85">
        <f t="shared" si="262"/>
        <v>116912.24573</v>
      </c>
      <c r="Y2410" s="85">
        <f t="shared" si="267"/>
        <v>0</v>
      </c>
      <c r="Z2410" s="85">
        <f t="shared" si="263"/>
        <v>7.5000000651925802E-4</v>
      </c>
      <c r="AA2410" s="69">
        <f>SUM(AA2385:AA2409)</f>
        <v>62327.818090000001</v>
      </c>
      <c r="AB2410" s="69">
        <f>SUM(AB2385:AB2409)</f>
        <v>0</v>
      </c>
    </row>
    <row r="2411" spans="1:28" hidden="1" x14ac:dyDescent="0.3">
      <c r="A2411" s="117"/>
      <c r="E2411" s="86" t="s">
        <v>29</v>
      </c>
      <c r="F2411" s="86" t="s">
        <v>29</v>
      </c>
      <c r="G2411" s="86" t="s">
        <v>29</v>
      </c>
      <c r="H2411" s="86" t="s">
        <v>29</v>
      </c>
      <c r="I2411" s="86" t="s">
        <v>29</v>
      </c>
      <c r="J2411" s="86" t="s">
        <v>29</v>
      </c>
      <c r="K2411" s="86" t="s">
        <v>29</v>
      </c>
      <c r="L2411" s="86" t="s">
        <v>29</v>
      </c>
      <c r="M2411" s="86" t="s">
        <v>29</v>
      </c>
      <c r="N2411" s="86" t="s">
        <v>29</v>
      </c>
      <c r="O2411" s="86" t="s">
        <v>29</v>
      </c>
      <c r="P2411" s="86" t="s">
        <v>29</v>
      </c>
      <c r="Q2411" s="86" t="s">
        <v>29</v>
      </c>
      <c r="R2411" s="86" t="s">
        <v>29</v>
      </c>
      <c r="S2411" s="86" t="s">
        <v>29</v>
      </c>
      <c r="T2411" s="86" t="s">
        <v>29</v>
      </c>
      <c r="U2411" s="86" t="s">
        <v>29</v>
      </c>
      <c r="V2411" s="86" t="s">
        <v>29</v>
      </c>
      <c r="W2411" s="86" t="s">
        <v>29</v>
      </c>
      <c r="X2411" s="85" t="e">
        <f t="shared" si="262"/>
        <v>#VALUE!</v>
      </c>
      <c r="Y2411" s="86" t="s">
        <v>29</v>
      </c>
      <c r="Z2411" s="85" t="e">
        <f t="shared" si="263"/>
        <v>#VALUE!</v>
      </c>
      <c r="AA2411" s="115" t="s">
        <v>29</v>
      </c>
      <c r="AB2411" s="115" t="s">
        <v>29</v>
      </c>
    </row>
    <row r="2412" spans="1:28" hidden="1" x14ac:dyDescent="0.3">
      <c r="A2412" s="105"/>
      <c r="E2412" s="84"/>
      <c r="F2412" s="84"/>
      <c r="G2412" s="84"/>
      <c r="H2412" s="84"/>
      <c r="I2412" s="84"/>
      <c r="J2412" s="84"/>
      <c r="K2412" s="84"/>
      <c r="L2412" s="84"/>
      <c r="M2412" s="84"/>
      <c r="N2412" s="84"/>
      <c r="O2412" s="84"/>
      <c r="P2412" s="84"/>
      <c r="Q2412" s="84"/>
      <c r="R2412" s="84"/>
      <c r="S2412" s="84"/>
      <c r="T2412" s="84"/>
      <c r="U2412" s="84"/>
      <c r="V2412" s="84"/>
      <c r="W2412" s="84"/>
      <c r="X2412" s="85">
        <f t="shared" si="262"/>
        <v>0</v>
      </c>
      <c r="Y2412" s="84"/>
      <c r="Z2412" s="85">
        <f t="shared" si="263"/>
        <v>0</v>
      </c>
    </row>
    <row r="2413" spans="1:28" hidden="1" x14ac:dyDescent="0.3">
      <c r="A2413" s="117"/>
      <c r="C2413" s="68" t="s">
        <v>855</v>
      </c>
      <c r="D2413" s="145" t="s">
        <v>78</v>
      </c>
      <c r="E2413" s="85">
        <f>STATS1003B!E2419/1000</f>
        <v>1300</v>
      </c>
      <c r="F2413" s="85">
        <f>STATS1003B!F2419/1000</f>
        <v>1300</v>
      </c>
      <c r="G2413" s="85">
        <f>STATS1003B!G2419/1000</f>
        <v>0</v>
      </c>
      <c r="H2413" s="85">
        <f>STATS1003B!H2419/1000</f>
        <v>1300</v>
      </c>
      <c r="I2413" s="85">
        <f>STATS1003B!I2419/1000</f>
        <v>0</v>
      </c>
      <c r="J2413" s="85">
        <f>STATS1003B!J2419/1000</f>
        <v>1300</v>
      </c>
      <c r="K2413" s="85">
        <f>STATS1003B!K2419/1000</f>
        <v>0</v>
      </c>
      <c r="L2413" s="85">
        <f>STATS1003B!L2419/1000</f>
        <v>0</v>
      </c>
      <c r="M2413" s="85">
        <f>STATS1003B!M2419/1000</f>
        <v>1300</v>
      </c>
      <c r="N2413" s="85">
        <f>STATS1003B!N2419/1000</f>
        <v>0</v>
      </c>
      <c r="O2413" s="85">
        <f>STATS1003B!O2419/1000</f>
        <v>0</v>
      </c>
      <c r="P2413" s="85">
        <f>STATS1003B!P2419/1000</f>
        <v>0</v>
      </c>
      <c r="Q2413" s="85">
        <f>STATS1003B!Q2419/1000</f>
        <v>1300</v>
      </c>
      <c r="R2413" s="85">
        <f>STATS1003B!R2419/1000</f>
        <v>0</v>
      </c>
      <c r="S2413" s="85">
        <f>STATS1003B!S2419/1000</f>
        <v>0</v>
      </c>
      <c r="T2413" s="85">
        <f>STATS1003B!T2419/1000</f>
        <v>0</v>
      </c>
      <c r="U2413" s="85">
        <f>STATS1003B!U2419/1000</f>
        <v>0</v>
      </c>
      <c r="V2413" s="85">
        <f>STATS1003B!V2419/1000</f>
        <v>0</v>
      </c>
      <c r="W2413" s="85">
        <f>STATS1003B!W2419/1000</f>
        <v>0</v>
      </c>
      <c r="X2413" s="85">
        <f t="shared" si="262"/>
        <v>1300</v>
      </c>
      <c r="Y2413" s="85">
        <f>STATS1003B!Y2419/1000</f>
        <v>0</v>
      </c>
      <c r="Z2413" s="85">
        <f t="shared" si="263"/>
        <v>0</v>
      </c>
      <c r="AA2413" s="69">
        <f>STATS1003B!AA2419/1000</f>
        <v>1300</v>
      </c>
      <c r="AB2413" s="69">
        <f>STATS1003B!AB2419/1000</f>
        <v>0</v>
      </c>
    </row>
    <row r="2414" spans="1:28" hidden="1" x14ac:dyDescent="0.3">
      <c r="A2414" s="117"/>
      <c r="D2414" s="71" t="s">
        <v>79</v>
      </c>
      <c r="E2414" s="85">
        <f>STATS1003B!E2420/1000</f>
        <v>0</v>
      </c>
      <c r="F2414" s="85">
        <f>STATS1003B!F2420/1000</f>
        <v>0</v>
      </c>
      <c r="G2414" s="85">
        <f>STATS1003B!G2420/1000</f>
        <v>0</v>
      </c>
      <c r="H2414" s="85">
        <f>STATS1003B!H2420/1000</f>
        <v>0</v>
      </c>
      <c r="I2414" s="85">
        <f>STATS1003B!I2420/1000</f>
        <v>0</v>
      </c>
      <c r="J2414" s="85">
        <f>STATS1003B!J2420/1000</f>
        <v>0</v>
      </c>
      <c r="K2414" s="85">
        <f>STATS1003B!K2420/1000</f>
        <v>0</v>
      </c>
      <c r="L2414" s="85">
        <f>STATS1003B!L2420/1000</f>
        <v>0</v>
      </c>
      <c r="M2414" s="85">
        <f>STATS1003B!M2420/1000</f>
        <v>0</v>
      </c>
      <c r="N2414" s="85">
        <f>STATS1003B!N2420/1000</f>
        <v>0</v>
      </c>
      <c r="O2414" s="85">
        <f>STATS1003B!O2420/1000</f>
        <v>0</v>
      </c>
      <c r="P2414" s="85">
        <f>STATS1003B!P2420/1000</f>
        <v>0</v>
      </c>
      <c r="Q2414" s="85">
        <f>STATS1003B!Q2420/1000</f>
        <v>0</v>
      </c>
      <c r="R2414" s="85">
        <f>STATS1003B!R2420/1000</f>
        <v>0</v>
      </c>
      <c r="S2414" s="85">
        <f>STATS1003B!S2420/1000</f>
        <v>0</v>
      </c>
      <c r="T2414" s="85">
        <f>STATS1003B!T2420/1000</f>
        <v>0</v>
      </c>
      <c r="U2414" s="85">
        <f>STATS1003B!U2420/1000</f>
        <v>0</v>
      </c>
      <c r="V2414" s="85">
        <f>STATS1003B!V2420/1000</f>
        <v>0</v>
      </c>
      <c r="W2414" s="85">
        <f>STATS1003B!W2420/1000</f>
        <v>0</v>
      </c>
      <c r="X2414" s="85">
        <f t="shared" si="262"/>
        <v>0</v>
      </c>
      <c r="Y2414" s="85">
        <f>STATS1003B!Y2420/1000</f>
        <v>0</v>
      </c>
      <c r="Z2414" s="85">
        <f t="shared" si="263"/>
        <v>0</v>
      </c>
      <c r="AA2414" s="69">
        <f>STATS1003B!AA2420/1000</f>
        <v>0</v>
      </c>
      <c r="AB2414" s="69">
        <f>STATS1003B!AB2420/1000</f>
        <v>0</v>
      </c>
    </row>
    <row r="2415" spans="1:28" hidden="1" x14ac:dyDescent="0.3">
      <c r="A2415" s="117"/>
      <c r="C2415" s="68" t="s">
        <v>535</v>
      </c>
      <c r="D2415" s="68" t="s">
        <v>856</v>
      </c>
      <c r="E2415" s="85">
        <f>STATS1003B!E2421/1000</f>
        <v>7237.9502999999995</v>
      </c>
      <c r="F2415" s="85">
        <f>STATS1003B!F2421/1000</f>
        <v>6502.97354</v>
      </c>
      <c r="G2415" s="85">
        <f>STATS1003B!G2421/1000</f>
        <v>0</v>
      </c>
      <c r="H2415" s="85">
        <f>STATS1003B!H2421/1000</f>
        <v>6502.97354</v>
      </c>
      <c r="I2415" s="85">
        <f>STATS1003B!I2421/1000</f>
        <v>0</v>
      </c>
      <c r="J2415" s="85">
        <f>STATS1003B!J2421/1000</f>
        <v>6502.97354</v>
      </c>
      <c r="K2415" s="85">
        <f>STATS1003B!K2421/1000</f>
        <v>734.97676000000001</v>
      </c>
      <c r="L2415" s="85">
        <f>STATS1003B!L2421/1000</f>
        <v>0</v>
      </c>
      <c r="M2415" s="85">
        <f>STATS1003B!M2421/1000</f>
        <v>6502.97354</v>
      </c>
      <c r="N2415" s="85">
        <f>STATS1003B!N2421/1000</f>
        <v>734.97676000000001</v>
      </c>
      <c r="O2415" s="85">
        <f>STATS1003B!O2421/1000</f>
        <v>0</v>
      </c>
      <c r="P2415" s="85">
        <f>STATS1003B!P2421/1000</f>
        <v>734.97676000000001</v>
      </c>
      <c r="Q2415" s="85">
        <f>STATS1003B!Q2421/1000</f>
        <v>6502.97354</v>
      </c>
      <c r="R2415" s="85">
        <f>STATS1003B!R2421/1000</f>
        <v>0</v>
      </c>
      <c r="S2415" s="85">
        <f>STATS1003B!S2421/1000</f>
        <v>0</v>
      </c>
      <c r="T2415" s="85">
        <f>STATS1003B!T2421/1000</f>
        <v>0</v>
      </c>
      <c r="U2415" s="85">
        <f>STATS1003B!U2421/1000</f>
        <v>734.97676000000001</v>
      </c>
      <c r="V2415" s="85">
        <f>STATS1003B!V2421/1000</f>
        <v>0</v>
      </c>
      <c r="W2415" s="85">
        <f>STATS1003B!W2421/1000</f>
        <v>0</v>
      </c>
      <c r="X2415" s="85">
        <f t="shared" si="262"/>
        <v>7237.9503000000004</v>
      </c>
      <c r="Y2415" s="85">
        <f>STATS1003B!Y2421/1000</f>
        <v>0</v>
      </c>
      <c r="Z2415" s="85">
        <f t="shared" si="263"/>
        <v>0</v>
      </c>
      <c r="AA2415" s="69">
        <f>STATS1003B!AA2421/1000</f>
        <v>7237.9502999999995</v>
      </c>
      <c r="AB2415" s="69">
        <f>STATS1003B!AB2421/1000</f>
        <v>0</v>
      </c>
    </row>
    <row r="2416" spans="1:28" hidden="1" x14ac:dyDescent="0.3">
      <c r="A2416" s="117"/>
      <c r="C2416" s="68" t="s">
        <v>857</v>
      </c>
      <c r="D2416" s="68" t="s">
        <v>858</v>
      </c>
      <c r="E2416" s="85">
        <f>STATS1003B!E2422/1000</f>
        <v>744.98900000000003</v>
      </c>
      <c r="F2416" s="85">
        <f>STATS1003B!F2422/1000</f>
        <v>0</v>
      </c>
      <c r="G2416" s="85">
        <f>STATS1003B!G2422/1000</f>
        <v>0</v>
      </c>
      <c r="H2416" s="85">
        <f>STATS1003B!H2422/1000</f>
        <v>0</v>
      </c>
      <c r="I2416" s="85">
        <f>STATS1003B!I2422/1000</f>
        <v>0</v>
      </c>
      <c r="J2416" s="85">
        <f>STATS1003B!J2422/1000</f>
        <v>0</v>
      </c>
      <c r="K2416" s="85">
        <f>STATS1003B!K2422/1000</f>
        <v>744.98900000000003</v>
      </c>
      <c r="L2416" s="85">
        <f>STATS1003B!L2422/1000</f>
        <v>0</v>
      </c>
      <c r="M2416" s="85">
        <f>STATS1003B!M2422/1000</f>
        <v>0</v>
      </c>
      <c r="N2416" s="85">
        <f>STATS1003B!N2422/1000</f>
        <v>744.98900000000003</v>
      </c>
      <c r="O2416" s="85">
        <f>STATS1003B!O2422/1000</f>
        <v>0</v>
      </c>
      <c r="P2416" s="85">
        <f>STATS1003B!P2422/1000</f>
        <v>744.98900000000003</v>
      </c>
      <c r="Q2416" s="85">
        <f>STATS1003B!Q2422/1000</f>
        <v>0</v>
      </c>
      <c r="R2416" s="85">
        <f>STATS1003B!R2422/1000</f>
        <v>0</v>
      </c>
      <c r="S2416" s="85">
        <f>STATS1003B!S2422/1000</f>
        <v>0</v>
      </c>
      <c r="T2416" s="85">
        <f>STATS1003B!T2422/1000</f>
        <v>0</v>
      </c>
      <c r="U2416" s="85">
        <f>STATS1003B!U2422/1000</f>
        <v>744.98900000000003</v>
      </c>
      <c r="V2416" s="85">
        <f>STATS1003B!V2422/1000</f>
        <v>0</v>
      </c>
      <c r="W2416" s="85">
        <f>STATS1003B!W2422/1000</f>
        <v>0</v>
      </c>
      <c r="X2416" s="85">
        <f t="shared" si="262"/>
        <v>744.98900000000003</v>
      </c>
      <c r="Y2416" s="85">
        <f>STATS1003B!Y2422/1000</f>
        <v>0</v>
      </c>
      <c r="Z2416" s="85">
        <f t="shared" si="263"/>
        <v>0</v>
      </c>
      <c r="AA2416" s="69">
        <f>STATS1003B!AA2422/1000</f>
        <v>744.98900000000003</v>
      </c>
      <c r="AB2416" s="69">
        <f>STATS1003B!AB2422/1000</f>
        <v>0</v>
      </c>
    </row>
    <row r="2417" spans="1:28" hidden="1" x14ac:dyDescent="0.3">
      <c r="A2417" s="117"/>
      <c r="C2417" s="68" t="s">
        <v>545</v>
      </c>
      <c r="D2417" s="145" t="s">
        <v>54</v>
      </c>
      <c r="E2417" s="85">
        <f>STATS1003B!E2423/1000</f>
        <v>1953.989</v>
      </c>
      <c r="F2417" s="85">
        <f>STATS1003B!F2423/1000</f>
        <v>0</v>
      </c>
      <c r="G2417" s="85">
        <f>STATS1003B!G2423/1000</f>
        <v>0</v>
      </c>
      <c r="H2417" s="85">
        <f>STATS1003B!H2423/1000</f>
        <v>0</v>
      </c>
      <c r="I2417" s="85">
        <f>STATS1003B!I2423/1000</f>
        <v>0</v>
      </c>
      <c r="J2417" s="85">
        <f>STATS1003B!J2423/1000</f>
        <v>0</v>
      </c>
      <c r="K2417" s="85">
        <f>STATS1003B!K2423/1000</f>
        <v>1953.989</v>
      </c>
      <c r="L2417" s="85">
        <f>STATS1003B!L2423/1000</f>
        <v>0</v>
      </c>
      <c r="M2417" s="85">
        <f>STATS1003B!M2423/1000</f>
        <v>0</v>
      </c>
      <c r="N2417" s="85">
        <f>STATS1003B!N2423/1000</f>
        <v>1953.989</v>
      </c>
      <c r="O2417" s="85">
        <f>STATS1003B!O2423/1000</f>
        <v>0</v>
      </c>
      <c r="P2417" s="85">
        <f>STATS1003B!P2423/1000</f>
        <v>1953.989</v>
      </c>
      <c r="Q2417" s="85">
        <f>STATS1003B!Q2423/1000</f>
        <v>0</v>
      </c>
      <c r="R2417" s="85">
        <f>STATS1003B!R2423/1000</f>
        <v>0</v>
      </c>
      <c r="S2417" s="85">
        <f>STATS1003B!S2423/1000</f>
        <v>0</v>
      </c>
      <c r="T2417" s="85">
        <f>STATS1003B!T2423/1000</f>
        <v>0</v>
      </c>
      <c r="U2417" s="85">
        <f>STATS1003B!U2423/1000</f>
        <v>1953.989</v>
      </c>
      <c r="V2417" s="85">
        <f>STATS1003B!V2423/1000</f>
        <v>0</v>
      </c>
      <c r="W2417" s="85">
        <f>STATS1003B!W2423/1000</f>
        <v>0</v>
      </c>
      <c r="X2417" s="85">
        <f t="shared" si="262"/>
        <v>1953.989</v>
      </c>
      <c r="Y2417" s="85">
        <f>STATS1003B!Y2423/1000</f>
        <v>0</v>
      </c>
      <c r="Z2417" s="85">
        <f t="shared" si="263"/>
        <v>0</v>
      </c>
      <c r="AA2417" s="69">
        <f>STATS1003B!AA2423/1000</f>
        <v>1953.989</v>
      </c>
      <c r="AB2417" s="69">
        <f>STATS1003B!AB2423/1000</f>
        <v>0</v>
      </c>
    </row>
    <row r="2418" spans="1:28" hidden="1" x14ac:dyDescent="0.3">
      <c r="A2418" s="117"/>
      <c r="C2418" s="68" t="s">
        <v>859</v>
      </c>
      <c r="D2418" s="145" t="s">
        <v>85</v>
      </c>
      <c r="E2418" s="85">
        <f>STATS1003B!E2424/1000</f>
        <v>1120</v>
      </c>
      <c r="F2418" s="85">
        <f>STATS1003B!F2424/1000</f>
        <v>1120</v>
      </c>
      <c r="G2418" s="85">
        <f>STATS1003B!G2424/1000</f>
        <v>0</v>
      </c>
      <c r="H2418" s="85">
        <f>STATS1003B!H2424/1000</f>
        <v>1120</v>
      </c>
      <c r="I2418" s="85">
        <f>STATS1003B!I2424/1000</f>
        <v>0</v>
      </c>
      <c r="J2418" s="85">
        <f>STATS1003B!J2424/1000</f>
        <v>1120</v>
      </c>
      <c r="K2418" s="85">
        <f>STATS1003B!K2424/1000</f>
        <v>0</v>
      </c>
      <c r="L2418" s="85">
        <f>STATS1003B!L2424/1000</f>
        <v>0</v>
      </c>
      <c r="M2418" s="85">
        <f>STATS1003B!M2424/1000</f>
        <v>1120</v>
      </c>
      <c r="N2418" s="85">
        <f>STATS1003B!N2424/1000</f>
        <v>0</v>
      </c>
      <c r="O2418" s="85">
        <f>STATS1003B!O2424/1000</f>
        <v>0</v>
      </c>
      <c r="P2418" s="85">
        <f>STATS1003B!P2424/1000</f>
        <v>0</v>
      </c>
      <c r="Q2418" s="85">
        <f>STATS1003B!Q2424/1000</f>
        <v>1120</v>
      </c>
      <c r="R2418" s="85">
        <f>STATS1003B!R2424/1000</f>
        <v>0</v>
      </c>
      <c r="S2418" s="85">
        <f>STATS1003B!S2424/1000</f>
        <v>0</v>
      </c>
      <c r="T2418" s="85">
        <f>STATS1003B!T2424/1000</f>
        <v>0</v>
      </c>
      <c r="U2418" s="85">
        <f>STATS1003B!U2424/1000</f>
        <v>0</v>
      </c>
      <c r="V2418" s="85">
        <f>STATS1003B!V2424/1000</f>
        <v>0</v>
      </c>
      <c r="W2418" s="85">
        <f>STATS1003B!W2424/1000</f>
        <v>0</v>
      </c>
      <c r="X2418" s="85">
        <f t="shared" si="262"/>
        <v>1120</v>
      </c>
      <c r="Y2418" s="85">
        <f>STATS1003B!Y2424/1000</f>
        <v>0</v>
      </c>
      <c r="Z2418" s="85">
        <f t="shared" si="263"/>
        <v>0</v>
      </c>
      <c r="AA2418" s="69">
        <f>STATS1003B!AA2424/1000</f>
        <v>1120</v>
      </c>
      <c r="AB2418" s="69">
        <f>STATS1003B!AB2424/1000</f>
        <v>0</v>
      </c>
    </row>
    <row r="2419" spans="1:28" hidden="1" x14ac:dyDescent="0.3">
      <c r="A2419" s="117"/>
      <c r="B2419" s="69"/>
      <c r="C2419" s="68" t="s">
        <v>860</v>
      </c>
      <c r="D2419" s="145" t="s">
        <v>85</v>
      </c>
      <c r="E2419" s="85">
        <f>STATS1003B!E2425/1000</f>
        <v>102</v>
      </c>
      <c r="F2419" s="85">
        <f>STATS1003B!F2425/1000</f>
        <v>102</v>
      </c>
      <c r="G2419" s="85">
        <f>STATS1003B!G2425/1000</f>
        <v>0</v>
      </c>
      <c r="H2419" s="85">
        <f>STATS1003B!H2425/1000</f>
        <v>102</v>
      </c>
      <c r="I2419" s="85">
        <f>STATS1003B!I2425/1000</f>
        <v>0</v>
      </c>
      <c r="J2419" s="85">
        <f>STATS1003B!J2425/1000</f>
        <v>102</v>
      </c>
      <c r="K2419" s="85">
        <f>STATS1003B!K2425/1000</f>
        <v>0</v>
      </c>
      <c r="L2419" s="85">
        <f>STATS1003B!L2425/1000</f>
        <v>0</v>
      </c>
      <c r="M2419" s="85">
        <f>STATS1003B!M2425/1000</f>
        <v>102</v>
      </c>
      <c r="N2419" s="85">
        <f>STATS1003B!N2425/1000</f>
        <v>0</v>
      </c>
      <c r="O2419" s="85">
        <f>STATS1003B!O2425/1000</f>
        <v>0</v>
      </c>
      <c r="P2419" s="85">
        <f>STATS1003B!P2425/1000</f>
        <v>0</v>
      </c>
      <c r="Q2419" s="85">
        <f>STATS1003B!Q2425/1000</f>
        <v>102</v>
      </c>
      <c r="R2419" s="85">
        <f>STATS1003B!R2425/1000</f>
        <v>0</v>
      </c>
      <c r="S2419" s="85">
        <f>STATS1003B!S2425/1000</f>
        <v>0</v>
      </c>
      <c r="T2419" s="85">
        <f>STATS1003B!T2425/1000</f>
        <v>0</v>
      </c>
      <c r="U2419" s="85">
        <f>STATS1003B!U2425/1000</f>
        <v>0</v>
      </c>
      <c r="V2419" s="85">
        <f>STATS1003B!V2425/1000</f>
        <v>0</v>
      </c>
      <c r="W2419" s="85">
        <f>STATS1003B!W2425/1000</f>
        <v>0</v>
      </c>
      <c r="X2419" s="85">
        <f t="shared" si="262"/>
        <v>102</v>
      </c>
      <c r="Y2419" s="85">
        <f>STATS1003B!Y2425/1000</f>
        <v>0</v>
      </c>
      <c r="Z2419" s="85">
        <f t="shared" si="263"/>
        <v>0</v>
      </c>
      <c r="AA2419" s="69">
        <f>STATS1003B!AA2425/1000</f>
        <v>102</v>
      </c>
      <c r="AB2419" s="69">
        <f>STATS1003B!AB2425/1000</f>
        <v>0</v>
      </c>
    </row>
    <row r="2420" spans="1:28" hidden="1" x14ac:dyDescent="0.3">
      <c r="A2420" s="117"/>
      <c r="C2420" s="68" t="s">
        <v>535</v>
      </c>
      <c r="D2420" s="145" t="s">
        <v>58</v>
      </c>
      <c r="E2420" s="85">
        <f>STATS1003B!E2426/1000</f>
        <v>6849.7275</v>
      </c>
      <c r="F2420" s="85">
        <f>STATS1003B!F2426/1000</f>
        <v>6849.7275</v>
      </c>
      <c r="G2420" s="85">
        <f>STATS1003B!G2426/1000</f>
        <v>0</v>
      </c>
      <c r="H2420" s="85">
        <f>STATS1003B!H2426/1000</f>
        <v>6849.7275</v>
      </c>
      <c r="I2420" s="85">
        <f>STATS1003B!I2426/1000</f>
        <v>0</v>
      </c>
      <c r="J2420" s="85">
        <f>STATS1003B!J2426/1000</f>
        <v>6849.7275</v>
      </c>
      <c r="K2420" s="85">
        <f>STATS1003B!K2426/1000</f>
        <v>0</v>
      </c>
      <c r="L2420" s="85">
        <f>STATS1003B!L2426/1000</f>
        <v>0</v>
      </c>
      <c r="M2420" s="85">
        <f>STATS1003B!M2426/1000</f>
        <v>6849.7275</v>
      </c>
      <c r="N2420" s="85">
        <f>STATS1003B!N2426/1000</f>
        <v>0</v>
      </c>
      <c r="O2420" s="85">
        <f>STATS1003B!O2426/1000</f>
        <v>0</v>
      </c>
      <c r="P2420" s="85">
        <f>STATS1003B!P2426/1000</f>
        <v>0</v>
      </c>
      <c r="Q2420" s="85">
        <f>STATS1003B!Q2426/1000</f>
        <v>6849.7275</v>
      </c>
      <c r="R2420" s="85">
        <f>STATS1003B!R2426/1000</f>
        <v>0</v>
      </c>
      <c r="S2420" s="85">
        <f>STATS1003B!S2426/1000</f>
        <v>0</v>
      </c>
      <c r="T2420" s="85">
        <f>STATS1003B!T2426/1000</f>
        <v>0</v>
      </c>
      <c r="U2420" s="85">
        <f>STATS1003B!U2426/1000</f>
        <v>0</v>
      </c>
      <c r="V2420" s="85">
        <f>STATS1003B!V2426/1000</f>
        <v>0</v>
      </c>
      <c r="W2420" s="85">
        <f>STATS1003B!W2426/1000</f>
        <v>0</v>
      </c>
      <c r="X2420" s="85">
        <f t="shared" si="262"/>
        <v>6849.7275</v>
      </c>
      <c r="Y2420" s="85">
        <f>STATS1003B!Y2426/1000</f>
        <v>0</v>
      </c>
      <c r="Z2420" s="85">
        <f t="shared" si="263"/>
        <v>0</v>
      </c>
      <c r="AA2420" s="69">
        <f>STATS1003B!AA2426/1000</f>
        <v>6849.7275</v>
      </c>
      <c r="AB2420" s="69">
        <f>STATS1003B!AB2426/1000</f>
        <v>0</v>
      </c>
    </row>
    <row r="2421" spans="1:28" hidden="1" x14ac:dyDescent="0.3">
      <c r="A2421" s="117"/>
      <c r="C2421" s="68" t="s">
        <v>535</v>
      </c>
      <c r="D2421" s="145" t="s">
        <v>60</v>
      </c>
      <c r="E2421" s="85">
        <f>STATS1003B!E2427/1000</f>
        <v>7404.4949999999999</v>
      </c>
      <c r="F2421" s="85">
        <f>STATS1003B!F2427/1000</f>
        <v>7404.4949999999999</v>
      </c>
      <c r="G2421" s="85">
        <f>STATS1003B!G2427/1000</f>
        <v>0</v>
      </c>
      <c r="H2421" s="85">
        <f>STATS1003B!H2427/1000</f>
        <v>7404.4949999999999</v>
      </c>
      <c r="I2421" s="85">
        <f>STATS1003B!I2427/1000</f>
        <v>0</v>
      </c>
      <c r="J2421" s="85">
        <f>STATS1003B!J2427/1000</f>
        <v>7404.4949999999999</v>
      </c>
      <c r="K2421" s="85">
        <f>STATS1003B!K2427/1000</f>
        <v>0</v>
      </c>
      <c r="L2421" s="85">
        <f>STATS1003B!L2427/1000</f>
        <v>0</v>
      </c>
      <c r="M2421" s="85">
        <f>STATS1003B!M2427/1000</f>
        <v>7404.4949999999999</v>
      </c>
      <c r="N2421" s="85">
        <f>STATS1003B!N2427/1000</f>
        <v>0</v>
      </c>
      <c r="O2421" s="85">
        <f>STATS1003B!O2427/1000</f>
        <v>0</v>
      </c>
      <c r="P2421" s="85">
        <f>STATS1003B!P2427/1000</f>
        <v>0</v>
      </c>
      <c r="Q2421" s="85">
        <f>STATS1003B!Q2427/1000</f>
        <v>7404.4949999999999</v>
      </c>
      <c r="R2421" s="85">
        <f>STATS1003B!R2427/1000</f>
        <v>0</v>
      </c>
      <c r="S2421" s="85">
        <f>STATS1003B!S2427/1000</f>
        <v>0</v>
      </c>
      <c r="T2421" s="85">
        <f>STATS1003B!T2427/1000</f>
        <v>0</v>
      </c>
      <c r="U2421" s="85">
        <f>STATS1003B!U2427/1000</f>
        <v>0</v>
      </c>
      <c r="V2421" s="85">
        <f>STATS1003B!V2427/1000</f>
        <v>0</v>
      </c>
      <c r="W2421" s="85">
        <f>STATS1003B!W2427/1000</f>
        <v>0</v>
      </c>
      <c r="X2421" s="85">
        <f t="shared" si="262"/>
        <v>7404.4949999999999</v>
      </c>
      <c r="Y2421" s="85">
        <f>STATS1003B!Y2427/1000</f>
        <v>0</v>
      </c>
      <c r="Z2421" s="85">
        <f t="shared" si="263"/>
        <v>0</v>
      </c>
      <c r="AA2421" s="69">
        <f>STATS1003B!AA2427/1000</f>
        <v>7404.4949999999999</v>
      </c>
      <c r="AB2421" s="69">
        <f>STATS1003B!AB2427/1000</f>
        <v>0</v>
      </c>
    </row>
    <row r="2422" spans="1:28" hidden="1" x14ac:dyDescent="0.3">
      <c r="A2422" s="117"/>
      <c r="C2422" s="71" t="s">
        <v>535</v>
      </c>
      <c r="D2422" s="88" t="s">
        <v>61</v>
      </c>
      <c r="E2422" s="85">
        <f>STATS1003B!E2428/1000</f>
        <v>519.1567</v>
      </c>
      <c r="F2422" s="85">
        <f>STATS1003B!F2428/1000</f>
        <v>509.43554</v>
      </c>
      <c r="G2422" s="85">
        <f>STATS1003B!G2428/1000</f>
        <v>0</v>
      </c>
      <c r="H2422" s="85">
        <f>STATS1003B!H2428/1000</f>
        <v>509.43554</v>
      </c>
      <c r="I2422" s="85">
        <f>STATS1003B!I2428/1000</f>
        <v>0</v>
      </c>
      <c r="J2422" s="85">
        <f>STATS1003B!J2428/1000</f>
        <v>509.43554</v>
      </c>
      <c r="K2422" s="85">
        <f>STATS1003B!K2428/1000</f>
        <v>0</v>
      </c>
      <c r="L2422" s="85">
        <f>STATS1003B!L2428/1000</f>
        <v>0</v>
      </c>
      <c r="M2422" s="85">
        <f>STATS1003B!M2428/1000</f>
        <v>509.43554</v>
      </c>
      <c r="N2422" s="85">
        <f>STATS1003B!N2428/1000</f>
        <v>0</v>
      </c>
      <c r="O2422" s="85">
        <f>STATS1003B!O2428/1000</f>
        <v>0</v>
      </c>
      <c r="P2422" s="85">
        <f>STATS1003B!P2428/1000</f>
        <v>0</v>
      </c>
      <c r="Q2422" s="85">
        <f>STATS1003B!Q2428/1000</f>
        <v>519.1567</v>
      </c>
      <c r="R2422" s="85">
        <f>STATS1003B!R2428/1000</f>
        <v>0</v>
      </c>
      <c r="S2422" s="85">
        <f>STATS1003B!S2428/1000</f>
        <v>0</v>
      </c>
      <c r="T2422" s="85">
        <f>STATS1003B!T2428/1000</f>
        <v>9.7211599999999994</v>
      </c>
      <c r="U2422" s="85">
        <f>STATS1003B!U2428/1000</f>
        <v>9.7211599999999994</v>
      </c>
      <c r="V2422" s="85">
        <f>STATS1003B!V2428/1000</f>
        <v>0</v>
      </c>
      <c r="W2422" s="85">
        <f>STATS1003B!W2428/1000</f>
        <v>0</v>
      </c>
      <c r="X2422" s="85">
        <f t="shared" si="262"/>
        <v>509.43554</v>
      </c>
      <c r="Y2422" s="85">
        <f>STATS1003B!Y2428/1000</f>
        <v>0</v>
      </c>
      <c r="Z2422" s="85">
        <f t="shared" si="263"/>
        <v>9.7211599999999976</v>
      </c>
      <c r="AA2422" s="69">
        <f>STATS1003B!AA2428/1000</f>
        <v>519.1567</v>
      </c>
      <c r="AB2422" s="69">
        <f>STATS1003B!AB2428/1000</f>
        <v>0</v>
      </c>
    </row>
    <row r="2423" spans="1:28" hidden="1" x14ac:dyDescent="0.3">
      <c r="A2423" s="117"/>
      <c r="C2423" s="71" t="s">
        <v>898</v>
      </c>
      <c r="D2423" s="89" t="s">
        <v>61</v>
      </c>
      <c r="E2423" s="85">
        <f>STATS1003B!E2429/1000</f>
        <v>6.0212800000000009</v>
      </c>
      <c r="F2423" s="85">
        <f>STATS1003B!F2429/1000</f>
        <v>0</v>
      </c>
      <c r="G2423" s="85">
        <f>STATS1003B!G2429/1000</f>
        <v>0</v>
      </c>
      <c r="H2423" s="85">
        <f>STATS1003B!H2429/1000</f>
        <v>0</v>
      </c>
      <c r="I2423" s="85">
        <f>STATS1003B!I2429/1000</f>
        <v>0</v>
      </c>
      <c r="J2423" s="85">
        <f>STATS1003B!J2429/1000</f>
        <v>0</v>
      </c>
      <c r="K2423" s="85">
        <f>STATS1003B!K2429/1000</f>
        <v>0</v>
      </c>
      <c r="L2423" s="85">
        <f>STATS1003B!L2429/1000</f>
        <v>0</v>
      </c>
      <c r="M2423" s="85">
        <f>STATS1003B!M2429/1000</f>
        <v>0</v>
      </c>
      <c r="N2423" s="85">
        <f>STATS1003B!N2429/1000</f>
        <v>6.0212800000000009</v>
      </c>
      <c r="O2423" s="85">
        <f>STATS1003B!O2429/1000</f>
        <v>0</v>
      </c>
      <c r="P2423" s="85">
        <f>STATS1003B!P2429/1000</f>
        <v>6.0212800000000009</v>
      </c>
      <c r="Q2423" s="85">
        <f>STATS1003B!Q2429/1000</f>
        <v>0</v>
      </c>
      <c r="R2423" s="85">
        <f>STATS1003B!R2429/1000</f>
        <v>0</v>
      </c>
      <c r="S2423" s="85">
        <f>STATS1003B!S2429/1000</f>
        <v>0</v>
      </c>
      <c r="T2423" s="85">
        <f>STATS1003B!T2429/1000</f>
        <v>0</v>
      </c>
      <c r="U2423" s="85">
        <f>STATS1003B!U2429/1000</f>
        <v>6.0212800000000009</v>
      </c>
      <c r="V2423" s="85">
        <f>STATS1003B!V2429/1000</f>
        <v>0</v>
      </c>
      <c r="W2423" s="85">
        <f>STATS1003B!W2429/1000</f>
        <v>0</v>
      </c>
      <c r="X2423" s="85">
        <f t="shared" si="262"/>
        <v>6.0212800000000009</v>
      </c>
      <c r="Y2423" s="85">
        <f>STATS1003B!Y2429/1000</f>
        <v>0</v>
      </c>
      <c r="Z2423" s="85">
        <f t="shared" si="263"/>
        <v>0</v>
      </c>
      <c r="AA2423" s="69">
        <f>STATS1003B!AA2429/1000</f>
        <v>6.0212800000000009</v>
      </c>
      <c r="AB2423" s="69">
        <f>STATS1003B!AB2429/1000</f>
        <v>0</v>
      </c>
    </row>
    <row r="2424" spans="1:28" hidden="1" x14ac:dyDescent="0.3">
      <c r="A2424" s="117"/>
      <c r="C2424" s="71" t="s">
        <v>933</v>
      </c>
      <c r="D2424" s="89" t="s">
        <v>1072</v>
      </c>
      <c r="E2424" s="85">
        <f>STATS1003B!E2430/1000</f>
        <v>1330</v>
      </c>
      <c r="F2424" s="85">
        <f>STATS1003B!F2430/1000</f>
        <v>1330</v>
      </c>
      <c r="G2424" s="85">
        <f>STATS1003B!G2430/1000</f>
        <v>0</v>
      </c>
      <c r="H2424" s="85">
        <f>STATS1003B!H2430/1000</f>
        <v>1330</v>
      </c>
      <c r="I2424" s="85">
        <f>STATS1003B!I2430/1000</f>
        <v>0</v>
      </c>
      <c r="J2424" s="85">
        <f>STATS1003B!J2430/1000</f>
        <v>0</v>
      </c>
      <c r="K2424" s="85">
        <f>STATS1003B!K2430/1000</f>
        <v>0</v>
      </c>
      <c r="L2424" s="85">
        <f>STATS1003B!L2430/1000</f>
        <v>0</v>
      </c>
      <c r="M2424" s="85">
        <f>STATS1003B!M2430/1000</f>
        <v>1330</v>
      </c>
      <c r="N2424" s="85">
        <f>STATS1003B!N2430/1000</f>
        <v>0</v>
      </c>
      <c r="O2424" s="85">
        <f>STATS1003B!O2430/1000</f>
        <v>0</v>
      </c>
      <c r="P2424" s="85">
        <f>STATS1003B!P2430/1000</f>
        <v>0</v>
      </c>
      <c r="Q2424" s="85">
        <f>STATS1003B!Q2430/1000</f>
        <v>0</v>
      </c>
      <c r="R2424" s="85">
        <f>STATS1003B!R2430/1000</f>
        <v>0</v>
      </c>
      <c r="S2424" s="85">
        <f>STATS1003B!S2430/1000</f>
        <v>0</v>
      </c>
      <c r="T2424" s="85">
        <f>STATS1003B!T2430/1000</f>
        <v>0</v>
      </c>
      <c r="U2424" s="85">
        <f>STATS1003B!U2430/1000</f>
        <v>0</v>
      </c>
      <c r="V2424" s="85">
        <f>STATS1003B!V2430/1000</f>
        <v>0</v>
      </c>
      <c r="W2424" s="85">
        <f>STATS1003B!W2430/1000</f>
        <v>0</v>
      </c>
      <c r="X2424" s="85">
        <f t="shared" si="262"/>
        <v>1330</v>
      </c>
      <c r="Y2424" s="85">
        <f>STATS1003B!Y2430/1000</f>
        <v>0</v>
      </c>
      <c r="Z2424" s="85">
        <f t="shared" si="263"/>
        <v>0</v>
      </c>
      <c r="AA2424" s="69">
        <f>STATS1003B!AA2430/1000</f>
        <v>1330</v>
      </c>
      <c r="AB2424" s="69">
        <f>STATS1003B!AB2430/1000</f>
        <v>0</v>
      </c>
    </row>
    <row r="2425" spans="1:28" hidden="1" x14ac:dyDescent="0.3">
      <c r="A2425" s="117"/>
      <c r="C2425" s="71" t="s">
        <v>1197</v>
      </c>
      <c r="D2425" s="89" t="s">
        <v>1126</v>
      </c>
      <c r="E2425" s="85">
        <f>STATS1003B!E2431/1000</f>
        <v>600</v>
      </c>
      <c r="F2425" s="85">
        <f>STATS1003B!F2431/1000</f>
        <v>600</v>
      </c>
      <c r="G2425" s="85">
        <f>STATS1003B!G2431/1000</f>
        <v>0</v>
      </c>
      <c r="H2425" s="85">
        <f>STATS1003B!H2431/1000</f>
        <v>600</v>
      </c>
      <c r="I2425" s="85">
        <f>STATS1003B!I2431/1000</f>
        <v>0</v>
      </c>
      <c r="J2425" s="85">
        <f>STATS1003B!J2431/1000</f>
        <v>0</v>
      </c>
      <c r="K2425" s="85">
        <f>STATS1003B!K2431/1000</f>
        <v>0</v>
      </c>
      <c r="L2425" s="85">
        <f>STATS1003B!L2431/1000</f>
        <v>0</v>
      </c>
      <c r="M2425" s="85">
        <f>STATS1003B!M2431/1000</f>
        <v>600</v>
      </c>
      <c r="N2425" s="85">
        <f>STATS1003B!N2431/1000</f>
        <v>0</v>
      </c>
      <c r="O2425" s="85">
        <f>STATS1003B!O2431/1000</f>
        <v>0</v>
      </c>
      <c r="P2425" s="85">
        <f>STATS1003B!P2431/1000</f>
        <v>0</v>
      </c>
      <c r="Q2425" s="85">
        <f>STATS1003B!Q2431/1000</f>
        <v>0</v>
      </c>
      <c r="R2425" s="85">
        <f>STATS1003B!R2431/1000</f>
        <v>0</v>
      </c>
      <c r="S2425" s="85">
        <f>STATS1003B!S2431/1000</f>
        <v>0</v>
      </c>
      <c r="T2425" s="85">
        <f>STATS1003B!T2431/1000</f>
        <v>0</v>
      </c>
      <c r="U2425" s="85">
        <f>STATS1003B!U2431/1000</f>
        <v>0</v>
      </c>
      <c r="V2425" s="85">
        <f>STATS1003B!V2431/1000</f>
        <v>0</v>
      </c>
      <c r="W2425" s="85">
        <f>STATS1003B!W2431/1000</f>
        <v>0</v>
      </c>
      <c r="X2425" s="85">
        <f t="shared" si="262"/>
        <v>600</v>
      </c>
      <c r="Y2425" s="85">
        <f>STATS1003B!Y2431/1000</f>
        <v>0</v>
      </c>
      <c r="Z2425" s="85">
        <f t="shared" si="263"/>
        <v>0</v>
      </c>
      <c r="AA2425" s="69">
        <f>STATS1003B!AA2431/1000</f>
        <v>600</v>
      </c>
      <c r="AB2425" s="69">
        <f>STATS1003B!AB2431/1000</f>
        <v>0</v>
      </c>
    </row>
    <row r="2426" spans="1:28" hidden="1" x14ac:dyDescent="0.3">
      <c r="A2426" s="117"/>
      <c r="C2426" s="68" t="s">
        <v>606</v>
      </c>
      <c r="E2426" s="85">
        <f>STATS1003B!E2432/1000</f>
        <v>5000</v>
      </c>
      <c r="F2426" s="85">
        <f>STATS1003B!F2432/1000</f>
        <v>5000</v>
      </c>
      <c r="G2426" s="85">
        <f>STATS1003B!G2432/1000</f>
        <v>0</v>
      </c>
      <c r="H2426" s="85">
        <f>STATS1003B!H2432/1000</f>
        <v>5000</v>
      </c>
      <c r="I2426" s="85">
        <f>STATS1003B!I2432/1000</f>
        <v>0</v>
      </c>
      <c r="J2426" s="85">
        <f>STATS1003B!J2432/1000</f>
        <v>5000</v>
      </c>
      <c r="K2426" s="85">
        <f>STATS1003B!K2432/1000</f>
        <v>0</v>
      </c>
      <c r="L2426" s="85">
        <f>STATS1003B!L2432/1000</f>
        <v>0</v>
      </c>
      <c r="M2426" s="85">
        <f>STATS1003B!M2432/1000</f>
        <v>5000</v>
      </c>
      <c r="N2426" s="85">
        <f>STATS1003B!N2432/1000</f>
        <v>0</v>
      </c>
      <c r="O2426" s="85">
        <f>STATS1003B!O2432/1000</f>
        <v>0</v>
      </c>
      <c r="P2426" s="85">
        <f>STATS1003B!P2432/1000</f>
        <v>0</v>
      </c>
      <c r="Q2426" s="85">
        <f>STATS1003B!Q2432/1000</f>
        <v>5000</v>
      </c>
      <c r="R2426" s="85">
        <f>STATS1003B!R2432/1000</f>
        <v>0</v>
      </c>
      <c r="S2426" s="85">
        <f>STATS1003B!S2432/1000</f>
        <v>0</v>
      </c>
      <c r="T2426" s="85">
        <f>STATS1003B!T2432/1000</f>
        <v>0</v>
      </c>
      <c r="U2426" s="85">
        <f>STATS1003B!U2432/1000</f>
        <v>0</v>
      </c>
      <c r="V2426" s="85">
        <f>STATS1003B!V2432/1000</f>
        <v>0</v>
      </c>
      <c r="W2426" s="85">
        <f>STATS1003B!W2432/1000</f>
        <v>0</v>
      </c>
      <c r="X2426" s="85">
        <f t="shared" si="262"/>
        <v>5000</v>
      </c>
      <c r="Y2426" s="85">
        <f>STATS1003B!Y2432/1000</f>
        <v>0</v>
      </c>
      <c r="Z2426" s="85">
        <f t="shared" si="263"/>
        <v>0</v>
      </c>
      <c r="AA2426" s="69">
        <f>STATS1003B!AA2432/1000</f>
        <v>5000</v>
      </c>
      <c r="AB2426" s="69">
        <f>STATS1003B!AB2432/1000</f>
        <v>0</v>
      </c>
    </row>
    <row r="2427" spans="1:28" hidden="1" x14ac:dyDescent="0.3">
      <c r="A2427" s="117"/>
      <c r="E2427" s="86" t="s">
        <v>29</v>
      </c>
      <c r="F2427" s="86" t="s">
        <v>29</v>
      </c>
      <c r="G2427" s="86" t="s">
        <v>29</v>
      </c>
      <c r="H2427" s="86" t="s">
        <v>29</v>
      </c>
      <c r="I2427" s="86" t="s">
        <v>29</v>
      </c>
      <c r="J2427" s="86" t="s">
        <v>29</v>
      </c>
      <c r="K2427" s="86" t="s">
        <v>29</v>
      </c>
      <c r="L2427" s="86" t="s">
        <v>29</v>
      </c>
      <c r="M2427" s="86" t="s">
        <v>29</v>
      </c>
      <c r="N2427" s="86" t="s">
        <v>29</v>
      </c>
      <c r="O2427" s="86" t="s">
        <v>29</v>
      </c>
      <c r="P2427" s="86" t="s">
        <v>29</v>
      </c>
      <c r="Q2427" s="86" t="s">
        <v>29</v>
      </c>
      <c r="R2427" s="86" t="s">
        <v>29</v>
      </c>
      <c r="S2427" s="86" t="s">
        <v>29</v>
      </c>
      <c r="T2427" s="86" t="s">
        <v>29</v>
      </c>
      <c r="U2427" s="86" t="s">
        <v>29</v>
      </c>
      <c r="V2427" s="86" t="s">
        <v>29</v>
      </c>
      <c r="W2427" s="86" t="s">
        <v>29</v>
      </c>
      <c r="X2427" s="85" t="e">
        <f t="shared" si="262"/>
        <v>#VALUE!</v>
      </c>
      <c r="Y2427" s="86" t="s">
        <v>29</v>
      </c>
      <c r="Z2427" s="85" t="e">
        <f t="shared" si="263"/>
        <v>#VALUE!</v>
      </c>
      <c r="AA2427" s="115" t="s">
        <v>29</v>
      </c>
      <c r="AB2427" s="115" t="s">
        <v>29</v>
      </c>
    </row>
    <row r="2428" spans="1:28" x14ac:dyDescent="0.3">
      <c r="A2428" s="116">
        <v>105</v>
      </c>
      <c r="B2428" s="68" t="s">
        <v>854</v>
      </c>
      <c r="E2428" s="85">
        <f>86227599.84/1000</f>
        <v>86227.59984000001</v>
      </c>
      <c r="F2428" s="85">
        <f t="shared" ref="F2428:Q2428" si="268">SUM(F2413:F2427)</f>
        <v>30718.631579999997</v>
      </c>
      <c r="G2428" s="85">
        <f t="shared" si="268"/>
        <v>0</v>
      </c>
      <c r="H2428" s="85">
        <f>82777902.64/1000</f>
        <v>82777.90264</v>
      </c>
      <c r="I2428" s="85">
        <f t="shared" si="268"/>
        <v>0</v>
      </c>
      <c r="J2428" s="85">
        <f t="shared" si="268"/>
        <v>28788.631579999997</v>
      </c>
      <c r="K2428" s="85">
        <f t="shared" si="268"/>
        <v>3433.9547600000001</v>
      </c>
      <c r="L2428" s="85">
        <f t="shared" si="268"/>
        <v>0</v>
      </c>
      <c r="M2428" s="85">
        <f t="shared" si="268"/>
        <v>30718.631579999997</v>
      </c>
      <c r="N2428" s="85">
        <f t="shared" si="268"/>
        <v>3439.97604</v>
      </c>
      <c r="O2428" s="85">
        <f t="shared" si="268"/>
        <v>0</v>
      </c>
      <c r="P2428" s="85">
        <f>3439976/1000</f>
        <v>3439.9760000000001</v>
      </c>
      <c r="Q2428" s="85">
        <f t="shared" si="268"/>
        <v>28798.352739999998</v>
      </c>
      <c r="R2428" s="84"/>
      <c r="S2428" s="84"/>
      <c r="T2428" s="85">
        <f t="shared" ref="T2428:Y2428" si="269">SUM(T2413:T2427)</f>
        <v>9.7211599999999994</v>
      </c>
      <c r="U2428" s="85">
        <f t="shared" si="269"/>
        <v>3449.6972000000001</v>
      </c>
      <c r="V2428" s="85">
        <f t="shared" si="269"/>
        <v>0</v>
      </c>
      <c r="W2428" s="85">
        <f t="shared" si="269"/>
        <v>0</v>
      </c>
      <c r="X2428" s="85">
        <f t="shared" si="262"/>
        <v>86217.878639999995</v>
      </c>
      <c r="Y2428" s="85">
        <f t="shared" si="269"/>
        <v>0</v>
      </c>
      <c r="Z2428" s="85">
        <f t="shared" si="263"/>
        <v>9.7212000000145053</v>
      </c>
      <c r="AA2428" s="69">
        <f>SUM(AA2413:AA2427)</f>
        <v>34168.328779999996</v>
      </c>
      <c r="AB2428" s="69">
        <f>SUM(AB2413:AB2427)</f>
        <v>0</v>
      </c>
    </row>
    <row r="2429" spans="1:28" hidden="1" x14ac:dyDescent="0.3">
      <c r="A2429" s="117"/>
      <c r="E2429" s="86" t="s">
        <v>29</v>
      </c>
      <c r="F2429" s="86" t="s">
        <v>29</v>
      </c>
      <c r="G2429" s="86" t="s">
        <v>29</v>
      </c>
      <c r="H2429" s="86" t="s">
        <v>29</v>
      </c>
      <c r="I2429" s="86" t="s">
        <v>29</v>
      </c>
      <c r="J2429" s="86" t="s">
        <v>29</v>
      </c>
      <c r="K2429" s="86" t="s">
        <v>29</v>
      </c>
      <c r="L2429" s="86" t="s">
        <v>29</v>
      </c>
      <c r="M2429" s="86" t="s">
        <v>29</v>
      </c>
      <c r="N2429" s="86" t="s">
        <v>29</v>
      </c>
      <c r="O2429" s="86" t="s">
        <v>29</v>
      </c>
      <c r="P2429" s="86" t="s">
        <v>29</v>
      </c>
      <c r="Q2429" s="86" t="s">
        <v>29</v>
      </c>
      <c r="R2429" s="86" t="s">
        <v>29</v>
      </c>
      <c r="S2429" s="86" t="s">
        <v>29</v>
      </c>
      <c r="T2429" s="86" t="s">
        <v>29</v>
      </c>
      <c r="U2429" s="86" t="s">
        <v>29</v>
      </c>
      <c r="V2429" s="86" t="s">
        <v>29</v>
      </c>
      <c r="W2429" s="86" t="s">
        <v>29</v>
      </c>
      <c r="X2429" s="85" t="e">
        <f t="shared" si="262"/>
        <v>#VALUE!</v>
      </c>
      <c r="Y2429" s="86" t="s">
        <v>29</v>
      </c>
      <c r="Z2429" s="85" t="e">
        <f t="shared" si="263"/>
        <v>#VALUE!</v>
      </c>
      <c r="AA2429" s="115" t="s">
        <v>29</v>
      </c>
      <c r="AB2429" s="115" t="s">
        <v>29</v>
      </c>
    </row>
    <row r="2430" spans="1:28" hidden="1" x14ac:dyDescent="0.3">
      <c r="A2430" s="105"/>
      <c r="E2430" s="84"/>
      <c r="F2430" s="84"/>
      <c r="G2430" s="84"/>
      <c r="H2430" s="84"/>
      <c r="I2430" s="84"/>
      <c r="J2430" s="84"/>
      <c r="K2430" s="84"/>
      <c r="L2430" s="84"/>
      <c r="M2430" s="84"/>
      <c r="N2430" s="84"/>
      <c r="O2430" s="84"/>
      <c r="P2430" s="84"/>
      <c r="Q2430" s="84"/>
      <c r="R2430" s="84"/>
      <c r="S2430" s="84"/>
      <c r="T2430" s="84"/>
      <c r="U2430" s="84"/>
      <c r="V2430" s="84"/>
      <c r="W2430" s="84"/>
      <c r="X2430" s="85">
        <f t="shared" si="262"/>
        <v>0</v>
      </c>
      <c r="Y2430" s="84"/>
      <c r="Z2430" s="85">
        <f t="shared" si="263"/>
        <v>0</v>
      </c>
    </row>
    <row r="2431" spans="1:28" hidden="1" x14ac:dyDescent="0.3">
      <c r="A2431" s="117"/>
      <c r="C2431" s="68" t="s">
        <v>862</v>
      </c>
      <c r="D2431" s="145" t="s">
        <v>150</v>
      </c>
      <c r="E2431" s="85">
        <f>STATS1003B!E2437/1000</f>
        <v>465.89299999999997</v>
      </c>
      <c r="F2431" s="85">
        <f>STATS1003B!F2437/1000</f>
        <v>465.89299999999997</v>
      </c>
      <c r="G2431" s="85">
        <f>STATS1003B!G2437/1000</f>
        <v>0</v>
      </c>
      <c r="H2431" s="85">
        <f>STATS1003B!H2437/1000</f>
        <v>465.89299999999997</v>
      </c>
      <c r="I2431" s="85">
        <f>STATS1003B!I2437/1000</f>
        <v>0</v>
      </c>
      <c r="J2431" s="85">
        <f>STATS1003B!J2437/1000</f>
        <v>465.89299999999997</v>
      </c>
      <c r="K2431" s="85">
        <f>STATS1003B!K2437/1000</f>
        <v>0</v>
      </c>
      <c r="L2431" s="85">
        <f>STATS1003B!L2437/1000</f>
        <v>0</v>
      </c>
      <c r="M2431" s="85">
        <f>STATS1003B!M2437/1000</f>
        <v>465.89299999999997</v>
      </c>
      <c r="N2431" s="85">
        <f>STATS1003B!N2437/1000</f>
        <v>0</v>
      </c>
      <c r="O2431" s="85">
        <f>STATS1003B!O2437/1000</f>
        <v>0</v>
      </c>
      <c r="P2431" s="85">
        <f>STATS1003B!P2437/1000</f>
        <v>0</v>
      </c>
      <c r="Q2431" s="85">
        <f>STATS1003B!Q2437/1000</f>
        <v>465.89299999999997</v>
      </c>
      <c r="R2431" s="85">
        <f>STATS1003B!R2437/1000</f>
        <v>0</v>
      </c>
      <c r="S2431" s="85">
        <f>STATS1003B!S2437/1000</f>
        <v>0</v>
      </c>
      <c r="T2431" s="85">
        <f>STATS1003B!T2437/1000</f>
        <v>0</v>
      </c>
      <c r="U2431" s="85">
        <f>STATS1003B!U2437/1000</f>
        <v>0</v>
      </c>
      <c r="V2431" s="85">
        <f>STATS1003B!V2437/1000</f>
        <v>0</v>
      </c>
      <c r="W2431" s="85">
        <f>STATS1003B!W2437/1000</f>
        <v>0</v>
      </c>
      <c r="X2431" s="85">
        <f t="shared" si="262"/>
        <v>465.89299999999997</v>
      </c>
      <c r="Y2431" s="85">
        <f>STATS1003B!Y2437/1000</f>
        <v>0</v>
      </c>
      <c r="Z2431" s="85">
        <f t="shared" si="263"/>
        <v>0</v>
      </c>
      <c r="AA2431" s="69">
        <f>STATS1003B!AA2437/1000</f>
        <v>465.89299999999997</v>
      </c>
      <c r="AB2431" s="69">
        <f>STATS1003B!AB2437/1000</f>
        <v>0</v>
      </c>
    </row>
    <row r="2432" spans="1:28" hidden="1" x14ac:dyDescent="0.3">
      <c r="A2432" s="117"/>
      <c r="D2432" s="71" t="s">
        <v>79</v>
      </c>
      <c r="E2432" s="85">
        <f>STATS1003B!E2438/1000</f>
        <v>0</v>
      </c>
      <c r="F2432" s="85">
        <f>STATS1003B!F2438/1000</f>
        <v>0</v>
      </c>
      <c r="G2432" s="85">
        <f>STATS1003B!G2438/1000</f>
        <v>0</v>
      </c>
      <c r="H2432" s="85">
        <f>STATS1003B!H2438/1000</f>
        <v>0</v>
      </c>
      <c r="I2432" s="85">
        <f>STATS1003B!I2438/1000</f>
        <v>0</v>
      </c>
      <c r="J2432" s="85">
        <f>STATS1003B!J2438/1000</f>
        <v>0</v>
      </c>
      <c r="K2432" s="85">
        <f>STATS1003B!K2438/1000</f>
        <v>0</v>
      </c>
      <c r="L2432" s="85">
        <f>STATS1003B!L2438/1000</f>
        <v>0</v>
      </c>
      <c r="M2432" s="85">
        <f>STATS1003B!M2438/1000</f>
        <v>0</v>
      </c>
      <c r="N2432" s="85">
        <f>STATS1003B!N2438/1000</f>
        <v>0</v>
      </c>
      <c r="O2432" s="85">
        <f>STATS1003B!O2438/1000</f>
        <v>0</v>
      </c>
      <c r="P2432" s="85">
        <f>STATS1003B!P2438/1000</f>
        <v>0</v>
      </c>
      <c r="Q2432" s="85">
        <f>STATS1003B!Q2438/1000</f>
        <v>0</v>
      </c>
      <c r="R2432" s="85">
        <f>STATS1003B!R2438/1000</f>
        <v>0</v>
      </c>
      <c r="S2432" s="85">
        <f>STATS1003B!S2438/1000</f>
        <v>0</v>
      </c>
      <c r="T2432" s="85">
        <f>STATS1003B!T2438/1000</f>
        <v>0</v>
      </c>
      <c r="U2432" s="85">
        <f>STATS1003B!U2438/1000</f>
        <v>0</v>
      </c>
      <c r="V2432" s="85">
        <f>STATS1003B!V2438/1000</f>
        <v>0</v>
      </c>
      <c r="W2432" s="85">
        <f>STATS1003B!W2438/1000</f>
        <v>0</v>
      </c>
      <c r="X2432" s="85">
        <f t="shared" si="262"/>
        <v>0</v>
      </c>
      <c r="Y2432" s="85">
        <f>STATS1003B!Y2438/1000</f>
        <v>0</v>
      </c>
      <c r="Z2432" s="85">
        <f t="shared" si="263"/>
        <v>0</v>
      </c>
      <c r="AA2432" s="69">
        <f>STATS1003B!AA2438/1000</f>
        <v>0</v>
      </c>
      <c r="AB2432" s="69">
        <f>STATS1003B!AB2438/1000</f>
        <v>0</v>
      </c>
    </row>
    <row r="2433" spans="1:28" hidden="1" x14ac:dyDescent="0.3">
      <c r="A2433" s="117"/>
      <c r="C2433" s="68" t="s">
        <v>535</v>
      </c>
      <c r="D2433" s="68" t="s">
        <v>211</v>
      </c>
      <c r="E2433" s="85">
        <f>STATS1003B!E2439/1000</f>
        <v>13948.800789999999</v>
      </c>
      <c r="F2433" s="85">
        <f>STATS1003B!F2439/1000</f>
        <v>13281.739300000001</v>
      </c>
      <c r="G2433" s="85">
        <f>STATS1003B!G2439/1000</f>
        <v>0</v>
      </c>
      <c r="H2433" s="85">
        <f>STATS1003B!H2439/1000</f>
        <v>13281.739300000001</v>
      </c>
      <c r="I2433" s="85">
        <f>STATS1003B!I2439/1000</f>
        <v>0</v>
      </c>
      <c r="J2433" s="85">
        <f>STATS1003B!J2439/1000</f>
        <v>13281.739300000001</v>
      </c>
      <c r="K2433" s="85">
        <f>STATS1003B!K2439/1000</f>
        <v>667.06148999999994</v>
      </c>
      <c r="L2433" s="85">
        <f>STATS1003B!L2439/1000</f>
        <v>0</v>
      </c>
      <c r="M2433" s="85">
        <f>STATS1003B!M2439/1000</f>
        <v>13281.739300000001</v>
      </c>
      <c r="N2433" s="85">
        <f>STATS1003B!N2439/1000</f>
        <v>667.06148999999994</v>
      </c>
      <c r="O2433" s="85">
        <f>STATS1003B!O2439/1000</f>
        <v>0</v>
      </c>
      <c r="P2433" s="85">
        <f>STATS1003B!P2439/1000</f>
        <v>667.06148999999994</v>
      </c>
      <c r="Q2433" s="85">
        <f>STATS1003B!Q2439/1000</f>
        <v>13281.739299999999</v>
      </c>
      <c r="R2433" s="85">
        <f>STATS1003B!R2439/1000</f>
        <v>0</v>
      </c>
      <c r="S2433" s="85">
        <f>STATS1003B!S2439/1000</f>
        <v>0</v>
      </c>
      <c r="T2433" s="85">
        <f>STATS1003B!T2439/1000</f>
        <v>0</v>
      </c>
      <c r="U2433" s="85">
        <f>STATS1003B!U2439/1000</f>
        <v>667.06148999999994</v>
      </c>
      <c r="V2433" s="85">
        <f>STATS1003B!V2439/1000</f>
        <v>0</v>
      </c>
      <c r="W2433" s="85">
        <f>STATS1003B!W2439/1000</f>
        <v>0</v>
      </c>
      <c r="X2433" s="85">
        <f t="shared" si="262"/>
        <v>13948.800790000001</v>
      </c>
      <c r="Y2433" s="85">
        <f>STATS1003B!Y2439/1000</f>
        <v>0</v>
      </c>
      <c r="Z2433" s="85">
        <f t="shared" si="263"/>
        <v>0</v>
      </c>
      <c r="AA2433" s="69">
        <f>STATS1003B!AA2439/1000</f>
        <v>13948.800790000001</v>
      </c>
      <c r="AB2433" s="69">
        <f>STATS1003B!AB2439/1000</f>
        <v>0</v>
      </c>
    </row>
    <row r="2434" spans="1:28" hidden="1" x14ac:dyDescent="0.3">
      <c r="A2434" s="117"/>
      <c r="B2434" s="71" t="s">
        <v>375</v>
      </c>
      <c r="C2434" s="68" t="s">
        <v>863</v>
      </c>
      <c r="D2434" s="68" t="s">
        <v>864</v>
      </c>
      <c r="E2434" s="85">
        <f>STATS1003B!E2440/1000</f>
        <v>205</v>
      </c>
      <c r="F2434" s="85">
        <f>STATS1003B!F2440/1000</f>
        <v>205</v>
      </c>
      <c r="G2434" s="85">
        <f>STATS1003B!G2440/1000</f>
        <v>0</v>
      </c>
      <c r="H2434" s="85">
        <f>STATS1003B!H2440/1000</f>
        <v>205</v>
      </c>
      <c r="I2434" s="85">
        <f>STATS1003B!I2440/1000</f>
        <v>0</v>
      </c>
      <c r="J2434" s="85">
        <f>STATS1003B!J2440/1000</f>
        <v>205</v>
      </c>
      <c r="K2434" s="85">
        <f>STATS1003B!K2440/1000</f>
        <v>0</v>
      </c>
      <c r="L2434" s="85">
        <f>STATS1003B!L2440/1000</f>
        <v>0</v>
      </c>
      <c r="M2434" s="85">
        <f>STATS1003B!M2440/1000</f>
        <v>205</v>
      </c>
      <c r="N2434" s="85">
        <f>STATS1003B!N2440/1000</f>
        <v>0</v>
      </c>
      <c r="O2434" s="85">
        <f>STATS1003B!O2440/1000</f>
        <v>0</v>
      </c>
      <c r="P2434" s="85">
        <f>STATS1003B!P2440/1000</f>
        <v>0</v>
      </c>
      <c r="Q2434" s="85">
        <f>STATS1003B!Q2440/1000</f>
        <v>205</v>
      </c>
      <c r="R2434" s="85">
        <f>STATS1003B!R2440/1000</f>
        <v>0</v>
      </c>
      <c r="S2434" s="85">
        <f>STATS1003B!S2440/1000</f>
        <v>0</v>
      </c>
      <c r="T2434" s="85">
        <f>STATS1003B!T2440/1000</f>
        <v>0</v>
      </c>
      <c r="U2434" s="85">
        <f>STATS1003B!U2440/1000</f>
        <v>0</v>
      </c>
      <c r="V2434" s="85">
        <f>STATS1003B!V2440/1000</f>
        <v>0</v>
      </c>
      <c r="W2434" s="85">
        <f>STATS1003B!W2440/1000</f>
        <v>0</v>
      </c>
      <c r="X2434" s="85">
        <f t="shared" si="262"/>
        <v>205</v>
      </c>
      <c r="Y2434" s="85">
        <f>STATS1003B!Y2440/1000</f>
        <v>0</v>
      </c>
      <c r="Z2434" s="85">
        <f t="shared" si="263"/>
        <v>0</v>
      </c>
      <c r="AA2434" s="69">
        <f>STATS1003B!AA2440/1000</f>
        <v>205</v>
      </c>
      <c r="AB2434" s="69">
        <f>STATS1003B!AB2440/1000</f>
        <v>0</v>
      </c>
    </row>
    <row r="2435" spans="1:28" hidden="1" x14ac:dyDescent="0.3">
      <c r="A2435" s="117"/>
      <c r="C2435" s="68" t="s">
        <v>545</v>
      </c>
      <c r="D2435" s="145" t="s">
        <v>68</v>
      </c>
      <c r="E2435" s="85">
        <f>STATS1003B!E2441/1000</f>
        <v>1767.77</v>
      </c>
      <c r="F2435" s="85">
        <f>STATS1003B!F2441/1000</f>
        <v>0</v>
      </c>
      <c r="G2435" s="85">
        <f>STATS1003B!G2441/1000</f>
        <v>0</v>
      </c>
      <c r="H2435" s="85">
        <f>STATS1003B!H2441/1000</f>
        <v>0</v>
      </c>
      <c r="I2435" s="85">
        <f>STATS1003B!I2441/1000</f>
        <v>0</v>
      </c>
      <c r="J2435" s="85">
        <f>STATS1003B!J2441/1000</f>
        <v>0</v>
      </c>
      <c r="K2435" s="85">
        <f>STATS1003B!K2441/1000</f>
        <v>1767.77</v>
      </c>
      <c r="L2435" s="85">
        <f>STATS1003B!L2441/1000</f>
        <v>0</v>
      </c>
      <c r="M2435" s="85">
        <f>STATS1003B!M2441/1000</f>
        <v>0</v>
      </c>
      <c r="N2435" s="85">
        <f>STATS1003B!N2441/1000</f>
        <v>1767.77</v>
      </c>
      <c r="O2435" s="85">
        <f>STATS1003B!O2441/1000</f>
        <v>0</v>
      </c>
      <c r="P2435" s="85">
        <f>STATS1003B!P2441/1000</f>
        <v>1767.77</v>
      </c>
      <c r="Q2435" s="85">
        <f>STATS1003B!Q2441/1000</f>
        <v>0</v>
      </c>
      <c r="R2435" s="85">
        <f>STATS1003B!R2441/1000</f>
        <v>0</v>
      </c>
      <c r="S2435" s="85">
        <f>STATS1003B!S2441/1000</f>
        <v>0</v>
      </c>
      <c r="T2435" s="85">
        <f>STATS1003B!T2441/1000</f>
        <v>0</v>
      </c>
      <c r="U2435" s="85">
        <f>STATS1003B!U2441/1000</f>
        <v>1767.77</v>
      </c>
      <c r="V2435" s="85">
        <f>STATS1003B!V2441/1000</f>
        <v>0</v>
      </c>
      <c r="W2435" s="85">
        <f>STATS1003B!W2441/1000</f>
        <v>0</v>
      </c>
      <c r="X2435" s="85">
        <f t="shared" si="262"/>
        <v>1767.77</v>
      </c>
      <c r="Y2435" s="85">
        <f>STATS1003B!Y2441/1000</f>
        <v>0</v>
      </c>
      <c r="Z2435" s="85">
        <f t="shared" si="263"/>
        <v>0</v>
      </c>
      <c r="AA2435" s="69">
        <f>STATS1003B!AA2441/1000</f>
        <v>1767.77</v>
      </c>
      <c r="AB2435" s="69">
        <f>STATS1003B!AB2441/1000</f>
        <v>0</v>
      </c>
    </row>
    <row r="2436" spans="1:28" hidden="1" x14ac:dyDescent="0.3">
      <c r="A2436" s="117"/>
      <c r="C2436" s="71" t="s">
        <v>702</v>
      </c>
      <c r="D2436" s="88" t="s">
        <v>54</v>
      </c>
      <c r="E2436" s="85">
        <f>STATS1003B!E2442/1000</f>
        <v>241.48</v>
      </c>
      <c r="F2436" s="85">
        <f>STATS1003B!F2442/1000</f>
        <v>0</v>
      </c>
      <c r="G2436" s="85">
        <f>STATS1003B!G2442/1000</f>
        <v>0</v>
      </c>
      <c r="H2436" s="85">
        <f>STATS1003B!H2442/1000</f>
        <v>0</v>
      </c>
      <c r="I2436" s="85">
        <f>STATS1003B!I2442/1000</f>
        <v>0</v>
      </c>
      <c r="J2436" s="85">
        <f>STATS1003B!J2442/1000</f>
        <v>0</v>
      </c>
      <c r="K2436" s="85">
        <f>STATS1003B!K2442/1000</f>
        <v>241.48</v>
      </c>
      <c r="L2436" s="85">
        <f>STATS1003B!L2442/1000</f>
        <v>0</v>
      </c>
      <c r="M2436" s="85">
        <f>STATS1003B!M2442/1000</f>
        <v>0</v>
      </c>
      <c r="N2436" s="85">
        <f>STATS1003B!N2442/1000</f>
        <v>241.48</v>
      </c>
      <c r="O2436" s="85">
        <f>STATS1003B!O2442/1000</f>
        <v>0</v>
      </c>
      <c r="P2436" s="85">
        <f>STATS1003B!P2442/1000</f>
        <v>241.48</v>
      </c>
      <c r="Q2436" s="85">
        <f>STATS1003B!Q2442/1000</f>
        <v>0</v>
      </c>
      <c r="R2436" s="85">
        <f>STATS1003B!R2442/1000</f>
        <v>0</v>
      </c>
      <c r="S2436" s="85">
        <f>STATS1003B!S2442/1000</f>
        <v>0</v>
      </c>
      <c r="T2436" s="85">
        <f>STATS1003B!T2442/1000</f>
        <v>0</v>
      </c>
      <c r="U2436" s="85">
        <f>STATS1003B!U2442/1000</f>
        <v>241.48</v>
      </c>
      <c r="V2436" s="85">
        <f>STATS1003B!V2442/1000</f>
        <v>0</v>
      </c>
      <c r="W2436" s="85">
        <f>STATS1003B!W2442/1000</f>
        <v>0</v>
      </c>
      <c r="X2436" s="85">
        <f t="shared" si="262"/>
        <v>241.48</v>
      </c>
      <c r="Y2436" s="85">
        <f>STATS1003B!Y2442/1000</f>
        <v>0</v>
      </c>
      <c r="Z2436" s="85">
        <f t="shared" si="263"/>
        <v>0</v>
      </c>
      <c r="AA2436" s="69">
        <f>STATS1003B!AA2442/1000</f>
        <v>241.48</v>
      </c>
      <c r="AB2436" s="69">
        <f>STATS1003B!AB2442/1000</f>
        <v>0</v>
      </c>
    </row>
    <row r="2437" spans="1:28" hidden="1" x14ac:dyDescent="0.3">
      <c r="A2437" s="117"/>
      <c r="C2437" s="68" t="s">
        <v>865</v>
      </c>
      <c r="D2437" s="68" t="s">
        <v>308</v>
      </c>
      <c r="E2437" s="85">
        <f>STATS1003B!E2443/1000</f>
        <v>2480</v>
      </c>
      <c r="F2437" s="85">
        <f>STATS1003B!F2443/1000</f>
        <v>2480</v>
      </c>
      <c r="G2437" s="85">
        <f>STATS1003B!G2443/1000</f>
        <v>0</v>
      </c>
      <c r="H2437" s="85">
        <f>STATS1003B!H2443/1000</f>
        <v>2480</v>
      </c>
      <c r="I2437" s="85">
        <f>STATS1003B!I2443/1000</f>
        <v>0</v>
      </c>
      <c r="J2437" s="85">
        <f>STATS1003B!J2443/1000</f>
        <v>2480</v>
      </c>
      <c r="K2437" s="85">
        <f>STATS1003B!K2443/1000</f>
        <v>0</v>
      </c>
      <c r="L2437" s="85">
        <f>STATS1003B!L2443/1000</f>
        <v>0</v>
      </c>
      <c r="M2437" s="85">
        <f>STATS1003B!M2443/1000</f>
        <v>2480</v>
      </c>
      <c r="N2437" s="85">
        <f>STATS1003B!N2443/1000</f>
        <v>0</v>
      </c>
      <c r="O2437" s="85">
        <f>STATS1003B!O2443/1000</f>
        <v>0</v>
      </c>
      <c r="P2437" s="85">
        <f>STATS1003B!P2443/1000</f>
        <v>0</v>
      </c>
      <c r="Q2437" s="85">
        <f>STATS1003B!Q2443/1000</f>
        <v>2480</v>
      </c>
      <c r="R2437" s="85">
        <f>STATS1003B!R2443/1000</f>
        <v>0</v>
      </c>
      <c r="S2437" s="85">
        <f>STATS1003B!S2443/1000</f>
        <v>0</v>
      </c>
      <c r="T2437" s="85">
        <f>STATS1003B!T2443/1000</f>
        <v>0</v>
      </c>
      <c r="U2437" s="85">
        <f>STATS1003B!U2443/1000</f>
        <v>0</v>
      </c>
      <c r="V2437" s="85">
        <f>STATS1003B!V2443/1000</f>
        <v>0</v>
      </c>
      <c r="W2437" s="85">
        <f>STATS1003B!W2443/1000</f>
        <v>0</v>
      </c>
      <c r="X2437" s="85">
        <f t="shared" si="262"/>
        <v>2480</v>
      </c>
      <c r="Y2437" s="85">
        <f>STATS1003B!Y2443/1000</f>
        <v>0</v>
      </c>
      <c r="Z2437" s="85">
        <f t="shared" si="263"/>
        <v>0</v>
      </c>
      <c r="AA2437" s="69">
        <f>STATS1003B!AA2443/1000</f>
        <v>2480</v>
      </c>
      <c r="AB2437" s="69">
        <f>STATS1003B!AB2443/1000</f>
        <v>0</v>
      </c>
    </row>
    <row r="2438" spans="1:28" hidden="1" x14ac:dyDescent="0.3">
      <c r="A2438" s="117"/>
      <c r="B2438" s="69"/>
      <c r="C2438" s="68" t="s">
        <v>860</v>
      </c>
      <c r="D2438" s="145" t="s">
        <v>85</v>
      </c>
      <c r="E2438" s="85">
        <f>STATS1003B!E2444/1000</f>
        <v>240</v>
      </c>
      <c r="F2438" s="85">
        <f>STATS1003B!F2444/1000</f>
        <v>240</v>
      </c>
      <c r="G2438" s="85">
        <f>STATS1003B!G2444/1000</f>
        <v>0</v>
      </c>
      <c r="H2438" s="85">
        <f>STATS1003B!H2444/1000</f>
        <v>240</v>
      </c>
      <c r="I2438" s="85">
        <f>STATS1003B!I2444/1000</f>
        <v>0</v>
      </c>
      <c r="J2438" s="85">
        <f>STATS1003B!J2444/1000</f>
        <v>240</v>
      </c>
      <c r="K2438" s="85">
        <f>STATS1003B!K2444/1000</f>
        <v>0</v>
      </c>
      <c r="L2438" s="85">
        <f>STATS1003B!L2444/1000</f>
        <v>0</v>
      </c>
      <c r="M2438" s="85">
        <f>STATS1003B!M2444/1000</f>
        <v>240</v>
      </c>
      <c r="N2438" s="85">
        <f>STATS1003B!N2444/1000</f>
        <v>0</v>
      </c>
      <c r="O2438" s="85">
        <f>STATS1003B!O2444/1000</f>
        <v>0</v>
      </c>
      <c r="P2438" s="85">
        <f>STATS1003B!P2444/1000</f>
        <v>0</v>
      </c>
      <c r="Q2438" s="85">
        <f>STATS1003B!Q2444/1000</f>
        <v>240</v>
      </c>
      <c r="R2438" s="85">
        <f>STATS1003B!R2444/1000</f>
        <v>0</v>
      </c>
      <c r="S2438" s="85">
        <f>STATS1003B!S2444/1000</f>
        <v>0</v>
      </c>
      <c r="T2438" s="85">
        <f>STATS1003B!T2444/1000</f>
        <v>0</v>
      </c>
      <c r="U2438" s="85">
        <f>STATS1003B!U2444/1000</f>
        <v>0</v>
      </c>
      <c r="V2438" s="85">
        <f>STATS1003B!V2444/1000</f>
        <v>0</v>
      </c>
      <c r="W2438" s="85">
        <f>STATS1003B!W2444/1000</f>
        <v>0</v>
      </c>
      <c r="X2438" s="85">
        <f t="shared" si="262"/>
        <v>240</v>
      </c>
      <c r="Y2438" s="85">
        <f>STATS1003B!Y2444/1000</f>
        <v>0</v>
      </c>
      <c r="Z2438" s="85">
        <f t="shared" si="263"/>
        <v>0</v>
      </c>
      <c r="AA2438" s="69">
        <f>STATS1003B!AA2444/1000</f>
        <v>240</v>
      </c>
      <c r="AB2438" s="69">
        <f>STATS1003B!AB2444/1000</f>
        <v>0</v>
      </c>
    </row>
    <row r="2439" spans="1:28" hidden="1" x14ac:dyDescent="0.3">
      <c r="A2439" s="117"/>
      <c r="C2439" s="71" t="s">
        <v>866</v>
      </c>
      <c r="D2439" s="88" t="s">
        <v>128</v>
      </c>
      <c r="E2439" s="85">
        <f>STATS1003B!E2445/1000</f>
        <v>300</v>
      </c>
      <c r="F2439" s="85">
        <f>STATS1003B!F2445/1000</f>
        <v>300</v>
      </c>
      <c r="G2439" s="85">
        <f>STATS1003B!G2445/1000</f>
        <v>0</v>
      </c>
      <c r="H2439" s="85">
        <f>STATS1003B!H2445/1000</f>
        <v>300</v>
      </c>
      <c r="I2439" s="85">
        <f>STATS1003B!I2445/1000</f>
        <v>0</v>
      </c>
      <c r="J2439" s="85">
        <f>STATS1003B!J2445/1000</f>
        <v>300</v>
      </c>
      <c r="K2439" s="85">
        <f>STATS1003B!K2445/1000</f>
        <v>0</v>
      </c>
      <c r="L2439" s="85">
        <f>STATS1003B!L2445/1000</f>
        <v>0</v>
      </c>
      <c r="M2439" s="85">
        <f>STATS1003B!M2445/1000</f>
        <v>300</v>
      </c>
      <c r="N2439" s="85">
        <f>STATS1003B!N2445/1000</f>
        <v>0</v>
      </c>
      <c r="O2439" s="85">
        <f>STATS1003B!O2445/1000</f>
        <v>0</v>
      </c>
      <c r="P2439" s="85">
        <f>STATS1003B!P2445/1000</f>
        <v>0</v>
      </c>
      <c r="Q2439" s="85">
        <f>STATS1003B!Q2445/1000</f>
        <v>300</v>
      </c>
      <c r="R2439" s="85">
        <f>STATS1003B!R2445/1000</f>
        <v>0</v>
      </c>
      <c r="S2439" s="85">
        <f>STATS1003B!S2445/1000</f>
        <v>0</v>
      </c>
      <c r="T2439" s="85">
        <f>STATS1003B!T2445/1000</f>
        <v>0</v>
      </c>
      <c r="U2439" s="85">
        <f>STATS1003B!U2445/1000</f>
        <v>0</v>
      </c>
      <c r="V2439" s="85">
        <f>STATS1003B!V2445/1000</f>
        <v>0</v>
      </c>
      <c r="W2439" s="85">
        <f>STATS1003B!W2445/1000</f>
        <v>0</v>
      </c>
      <c r="X2439" s="85">
        <f t="shared" si="262"/>
        <v>300</v>
      </c>
      <c r="Y2439" s="85">
        <f>STATS1003B!Y2445/1000</f>
        <v>0</v>
      </c>
      <c r="Z2439" s="85">
        <f t="shared" si="263"/>
        <v>0</v>
      </c>
      <c r="AA2439" s="69">
        <f>STATS1003B!AA2445/1000</f>
        <v>300</v>
      </c>
      <c r="AB2439" s="69">
        <f>STATS1003B!AB2445/1000</f>
        <v>0</v>
      </c>
    </row>
    <row r="2440" spans="1:28" hidden="1" x14ac:dyDescent="0.3">
      <c r="A2440" s="117"/>
      <c r="C2440" s="68" t="s">
        <v>535</v>
      </c>
      <c r="D2440" s="145" t="s">
        <v>58</v>
      </c>
      <c r="E2440" s="85">
        <f>STATS1003B!E2446/1000</f>
        <v>6722.8109999999997</v>
      </c>
      <c r="F2440" s="85">
        <f>STATS1003B!F2446/1000</f>
        <v>6722.8109999999997</v>
      </c>
      <c r="G2440" s="85">
        <f>STATS1003B!G2446/1000</f>
        <v>0</v>
      </c>
      <c r="H2440" s="85">
        <f>STATS1003B!H2446/1000</f>
        <v>6722.8109999999997</v>
      </c>
      <c r="I2440" s="85">
        <f>STATS1003B!I2446/1000</f>
        <v>0</v>
      </c>
      <c r="J2440" s="85">
        <f>STATS1003B!J2446/1000</f>
        <v>6722.8109999999997</v>
      </c>
      <c r="K2440" s="85">
        <f>STATS1003B!K2446/1000</f>
        <v>0</v>
      </c>
      <c r="L2440" s="85">
        <f>STATS1003B!L2446/1000</f>
        <v>0</v>
      </c>
      <c r="M2440" s="85">
        <f>STATS1003B!M2446/1000</f>
        <v>6722.8109999999997</v>
      </c>
      <c r="N2440" s="85">
        <f>STATS1003B!N2446/1000</f>
        <v>0</v>
      </c>
      <c r="O2440" s="85">
        <f>STATS1003B!O2446/1000</f>
        <v>0</v>
      </c>
      <c r="P2440" s="85">
        <f>STATS1003B!P2446/1000</f>
        <v>0</v>
      </c>
      <c r="Q2440" s="85">
        <f>STATS1003B!Q2446/1000</f>
        <v>6722.8109999999997</v>
      </c>
      <c r="R2440" s="85">
        <f>STATS1003B!R2446/1000</f>
        <v>0</v>
      </c>
      <c r="S2440" s="85">
        <f>STATS1003B!S2446/1000</f>
        <v>0</v>
      </c>
      <c r="T2440" s="85">
        <f>STATS1003B!T2446/1000</f>
        <v>0</v>
      </c>
      <c r="U2440" s="85">
        <f>STATS1003B!U2446/1000</f>
        <v>0</v>
      </c>
      <c r="V2440" s="85">
        <f>STATS1003B!V2446/1000</f>
        <v>0</v>
      </c>
      <c r="W2440" s="85">
        <f>STATS1003B!W2446/1000</f>
        <v>0</v>
      </c>
      <c r="X2440" s="85">
        <f t="shared" si="262"/>
        <v>6722.8109999999997</v>
      </c>
      <c r="Y2440" s="85">
        <f>STATS1003B!Y2446/1000</f>
        <v>0</v>
      </c>
      <c r="Z2440" s="85">
        <f t="shared" si="263"/>
        <v>0</v>
      </c>
      <c r="AA2440" s="69">
        <f>STATS1003B!AA2446/1000</f>
        <v>6722.8109999999997</v>
      </c>
      <c r="AB2440" s="69">
        <f>STATS1003B!AB2446/1000</f>
        <v>0</v>
      </c>
    </row>
    <row r="2441" spans="1:28" hidden="1" x14ac:dyDescent="0.3">
      <c r="A2441" s="117"/>
      <c r="C2441" s="68" t="s">
        <v>535</v>
      </c>
      <c r="D2441" s="145" t="s">
        <v>60</v>
      </c>
      <c r="E2441" s="85">
        <f>STATS1003B!E2447/1000</f>
        <v>11716.759800000002</v>
      </c>
      <c r="F2441" s="85">
        <f>STATS1003B!F2447/1000</f>
        <v>11716.759800000002</v>
      </c>
      <c r="G2441" s="85">
        <f>STATS1003B!G2447/1000</f>
        <v>0</v>
      </c>
      <c r="H2441" s="85">
        <f>STATS1003B!H2447/1000</f>
        <v>11716.759800000002</v>
      </c>
      <c r="I2441" s="85">
        <f>STATS1003B!I2447/1000</f>
        <v>0</v>
      </c>
      <c r="J2441" s="85">
        <f>STATS1003B!J2447/1000</f>
        <v>11716.759800000002</v>
      </c>
      <c r="K2441" s="85">
        <f>STATS1003B!K2447/1000</f>
        <v>0</v>
      </c>
      <c r="L2441" s="85">
        <f>STATS1003B!L2447/1000</f>
        <v>0</v>
      </c>
      <c r="M2441" s="85">
        <f>STATS1003B!M2447/1000</f>
        <v>11716.759800000002</v>
      </c>
      <c r="N2441" s="85">
        <f>STATS1003B!N2447/1000</f>
        <v>0</v>
      </c>
      <c r="O2441" s="85">
        <f>STATS1003B!O2447/1000</f>
        <v>0</v>
      </c>
      <c r="P2441" s="85">
        <f>STATS1003B!P2447/1000</f>
        <v>0</v>
      </c>
      <c r="Q2441" s="85">
        <f>STATS1003B!Q2447/1000</f>
        <v>11716.759800000002</v>
      </c>
      <c r="R2441" s="85">
        <f>STATS1003B!R2447/1000</f>
        <v>0</v>
      </c>
      <c r="S2441" s="85">
        <f>STATS1003B!S2447/1000</f>
        <v>0</v>
      </c>
      <c r="T2441" s="85">
        <f>STATS1003B!T2447/1000</f>
        <v>0</v>
      </c>
      <c r="U2441" s="85">
        <f>STATS1003B!U2447/1000</f>
        <v>0</v>
      </c>
      <c r="V2441" s="85">
        <f>STATS1003B!V2447/1000</f>
        <v>0</v>
      </c>
      <c r="W2441" s="85">
        <f>STATS1003B!W2447/1000</f>
        <v>0</v>
      </c>
      <c r="X2441" s="85">
        <f t="shared" si="262"/>
        <v>11716.759800000002</v>
      </c>
      <c r="Y2441" s="85">
        <f>STATS1003B!Y2447/1000</f>
        <v>0</v>
      </c>
      <c r="Z2441" s="85">
        <f t="shared" si="263"/>
        <v>0</v>
      </c>
      <c r="AA2441" s="69">
        <f>STATS1003B!AA2447/1000</f>
        <v>11716.759800000002</v>
      </c>
      <c r="AB2441" s="69">
        <f>STATS1003B!AB2447/1000</f>
        <v>0</v>
      </c>
    </row>
    <row r="2442" spans="1:28" hidden="1" x14ac:dyDescent="0.3">
      <c r="A2442" s="117"/>
      <c r="C2442" s="71" t="s">
        <v>535</v>
      </c>
      <c r="D2442" s="145" t="s">
        <v>61</v>
      </c>
      <c r="E2442" s="85">
        <f>STATS1003B!E2448/1000</f>
        <v>408.35606999999999</v>
      </c>
      <c r="F2442" s="85">
        <f>STATS1003B!F2448/1000</f>
        <v>408.35606999999999</v>
      </c>
      <c r="G2442" s="85">
        <f>STATS1003B!G2448/1000</f>
        <v>0</v>
      </c>
      <c r="H2442" s="85">
        <f>STATS1003B!H2448/1000</f>
        <v>408.35606999999999</v>
      </c>
      <c r="I2442" s="85">
        <f>STATS1003B!I2448/1000</f>
        <v>0</v>
      </c>
      <c r="J2442" s="85">
        <f>STATS1003B!J2448/1000</f>
        <v>408.35606999999999</v>
      </c>
      <c r="K2442" s="85">
        <f>STATS1003B!K2448/1000</f>
        <v>0</v>
      </c>
      <c r="L2442" s="85">
        <f>STATS1003B!L2448/1000</f>
        <v>0</v>
      </c>
      <c r="M2442" s="85">
        <f>STATS1003B!M2448/1000</f>
        <v>408.35606999999999</v>
      </c>
      <c r="N2442" s="85">
        <f>STATS1003B!N2448/1000</f>
        <v>0</v>
      </c>
      <c r="O2442" s="85">
        <f>STATS1003B!O2448/1000</f>
        <v>0</v>
      </c>
      <c r="P2442" s="85">
        <f>STATS1003B!P2448/1000</f>
        <v>0</v>
      </c>
      <c r="Q2442" s="85">
        <f>STATS1003B!Q2448/1000</f>
        <v>408.35606999999999</v>
      </c>
      <c r="R2442" s="85">
        <f>STATS1003B!R2448/1000</f>
        <v>0</v>
      </c>
      <c r="S2442" s="85">
        <f>STATS1003B!S2448/1000</f>
        <v>0</v>
      </c>
      <c r="T2442" s="85">
        <f>STATS1003B!T2448/1000</f>
        <v>0</v>
      </c>
      <c r="U2442" s="85">
        <f>STATS1003B!U2448/1000</f>
        <v>0</v>
      </c>
      <c r="V2442" s="85">
        <f>STATS1003B!V2448/1000</f>
        <v>0</v>
      </c>
      <c r="W2442" s="85">
        <f>STATS1003B!W2448/1000</f>
        <v>0</v>
      </c>
      <c r="X2442" s="85">
        <f t="shared" ref="X2442:X2446" si="270">+H2442+P2442</f>
        <v>408.35606999999999</v>
      </c>
      <c r="Y2442" s="85">
        <f>STATS1003B!Y2448/1000</f>
        <v>0</v>
      </c>
      <c r="Z2442" s="85">
        <f t="shared" si="263"/>
        <v>0</v>
      </c>
      <c r="AA2442" s="69">
        <f>STATS1003B!AA2448/1000</f>
        <v>408.35606999999999</v>
      </c>
      <c r="AB2442" s="69">
        <f>STATS1003B!AB2448/1000</f>
        <v>0</v>
      </c>
    </row>
    <row r="2443" spans="1:28" hidden="1" x14ac:dyDescent="0.3">
      <c r="A2443" s="117"/>
      <c r="C2443" s="71" t="s">
        <v>933</v>
      </c>
      <c r="D2443" s="90" t="s">
        <v>1072</v>
      </c>
      <c r="E2443" s="85">
        <f>STATS1003B!E2449/1000</f>
        <v>739.91107999999997</v>
      </c>
      <c r="F2443" s="85">
        <f>STATS1003B!F2449/1000</f>
        <v>739.91107999999997</v>
      </c>
      <c r="G2443" s="85">
        <f>STATS1003B!G2449/1000</f>
        <v>0</v>
      </c>
      <c r="H2443" s="85">
        <f>STATS1003B!H2449/1000</f>
        <v>739.91107999999997</v>
      </c>
      <c r="I2443" s="85">
        <f>STATS1003B!I2449/1000</f>
        <v>0</v>
      </c>
      <c r="J2443" s="85">
        <f>STATS1003B!J2449/1000</f>
        <v>0</v>
      </c>
      <c r="K2443" s="85">
        <f>STATS1003B!K2449/1000</f>
        <v>0</v>
      </c>
      <c r="L2443" s="85">
        <f>STATS1003B!L2449/1000</f>
        <v>0</v>
      </c>
      <c r="M2443" s="85">
        <f>STATS1003B!M2449/1000</f>
        <v>739.91107999999997</v>
      </c>
      <c r="N2443" s="85">
        <f>STATS1003B!N2449/1000</f>
        <v>0</v>
      </c>
      <c r="O2443" s="85">
        <f>STATS1003B!O2449/1000</f>
        <v>0</v>
      </c>
      <c r="P2443" s="85">
        <f>STATS1003B!P2449/1000</f>
        <v>0</v>
      </c>
      <c r="Q2443" s="85">
        <f>STATS1003B!Q2449/1000</f>
        <v>0</v>
      </c>
      <c r="R2443" s="85">
        <f>STATS1003B!R2449/1000</f>
        <v>0</v>
      </c>
      <c r="S2443" s="85">
        <f>STATS1003B!S2449/1000</f>
        <v>0</v>
      </c>
      <c r="T2443" s="85">
        <f>STATS1003B!T2449/1000</f>
        <v>0</v>
      </c>
      <c r="U2443" s="85">
        <f>STATS1003B!U2449/1000</f>
        <v>0</v>
      </c>
      <c r="V2443" s="85">
        <f>STATS1003B!V2449/1000</f>
        <v>0</v>
      </c>
      <c r="W2443" s="85">
        <f>STATS1003B!W2449/1000</f>
        <v>0</v>
      </c>
      <c r="X2443" s="85">
        <f t="shared" si="270"/>
        <v>739.91107999999997</v>
      </c>
      <c r="Y2443" s="85">
        <f>STATS1003B!Y2449/1000</f>
        <v>0</v>
      </c>
      <c r="Z2443" s="85">
        <f t="shared" si="263"/>
        <v>0</v>
      </c>
      <c r="AA2443" s="69">
        <f>STATS1003B!AA2449/1000</f>
        <v>739.91107999999997</v>
      </c>
      <c r="AB2443" s="69">
        <f>STATS1003B!AB2449/1000</f>
        <v>0</v>
      </c>
    </row>
    <row r="2444" spans="1:28" hidden="1" x14ac:dyDescent="0.3">
      <c r="A2444" s="117"/>
      <c r="C2444" s="68" t="s">
        <v>606</v>
      </c>
      <c r="E2444" s="85">
        <f>STATS1003B!E2450/1000</f>
        <v>5151.0532000000003</v>
      </c>
      <c r="F2444" s="85">
        <f>STATS1003B!F2450/1000</f>
        <v>5151.0532000000003</v>
      </c>
      <c r="G2444" s="85">
        <f>STATS1003B!G2450/1000</f>
        <v>0</v>
      </c>
      <c r="H2444" s="85">
        <f>STATS1003B!H2450/1000</f>
        <v>5151.0532000000003</v>
      </c>
      <c r="I2444" s="85">
        <f>STATS1003B!I2450/1000</f>
        <v>0</v>
      </c>
      <c r="J2444" s="85">
        <f>STATS1003B!J2450/1000</f>
        <v>5151.0532000000003</v>
      </c>
      <c r="K2444" s="85">
        <f>STATS1003B!K2450/1000</f>
        <v>0</v>
      </c>
      <c r="L2444" s="85">
        <f>STATS1003B!L2450/1000</f>
        <v>0</v>
      </c>
      <c r="M2444" s="85">
        <f>STATS1003B!M2450/1000</f>
        <v>5151.0532000000003</v>
      </c>
      <c r="N2444" s="85">
        <f>STATS1003B!N2450/1000</f>
        <v>0</v>
      </c>
      <c r="O2444" s="85">
        <f>STATS1003B!O2450/1000</f>
        <v>0</v>
      </c>
      <c r="P2444" s="85">
        <f>STATS1003B!P2450/1000</f>
        <v>0</v>
      </c>
      <c r="Q2444" s="85">
        <f>STATS1003B!Q2450/1000</f>
        <v>5151.0532000000003</v>
      </c>
      <c r="R2444" s="85">
        <f>STATS1003B!R2450/1000</f>
        <v>0</v>
      </c>
      <c r="S2444" s="85">
        <f>STATS1003B!S2450/1000</f>
        <v>0</v>
      </c>
      <c r="T2444" s="85">
        <f>STATS1003B!T2450/1000</f>
        <v>0</v>
      </c>
      <c r="U2444" s="85">
        <f>STATS1003B!U2450/1000</f>
        <v>0</v>
      </c>
      <c r="V2444" s="85">
        <f>STATS1003B!V2450/1000</f>
        <v>0</v>
      </c>
      <c r="W2444" s="85">
        <f>STATS1003B!W2450/1000</f>
        <v>0</v>
      </c>
      <c r="X2444" s="85">
        <f t="shared" si="270"/>
        <v>5151.0532000000003</v>
      </c>
      <c r="Y2444" s="85">
        <f>STATS1003B!Y2450/1000</f>
        <v>0</v>
      </c>
      <c r="Z2444" s="85">
        <f t="shared" si="263"/>
        <v>0</v>
      </c>
      <c r="AA2444" s="69">
        <f>STATS1003B!AA2450/1000</f>
        <v>5151.0532000000003</v>
      </c>
      <c r="AB2444" s="69">
        <f>STATS1003B!AB2450/1000</f>
        <v>0</v>
      </c>
    </row>
    <row r="2445" spans="1:28" hidden="1" x14ac:dyDescent="0.3">
      <c r="A2445" s="117"/>
      <c r="E2445" s="86" t="s">
        <v>29</v>
      </c>
      <c r="F2445" s="86" t="s">
        <v>29</v>
      </c>
      <c r="G2445" s="86" t="s">
        <v>29</v>
      </c>
      <c r="H2445" s="86" t="s">
        <v>29</v>
      </c>
      <c r="I2445" s="86" t="s">
        <v>29</v>
      </c>
      <c r="J2445" s="86" t="s">
        <v>29</v>
      </c>
      <c r="K2445" s="86" t="s">
        <v>29</v>
      </c>
      <c r="L2445" s="86" t="s">
        <v>29</v>
      </c>
      <c r="M2445" s="86" t="s">
        <v>29</v>
      </c>
      <c r="N2445" s="86" t="s">
        <v>29</v>
      </c>
      <c r="O2445" s="86" t="s">
        <v>29</v>
      </c>
      <c r="P2445" s="86" t="s">
        <v>29</v>
      </c>
      <c r="Q2445" s="86" t="s">
        <v>29</v>
      </c>
      <c r="R2445" s="86" t="s">
        <v>29</v>
      </c>
      <c r="S2445" s="86" t="s">
        <v>29</v>
      </c>
      <c r="T2445" s="86" t="s">
        <v>29</v>
      </c>
      <c r="U2445" s="86" t="s">
        <v>29</v>
      </c>
      <c r="V2445" s="86" t="s">
        <v>29</v>
      </c>
      <c r="W2445" s="86" t="s">
        <v>29</v>
      </c>
      <c r="X2445" s="85" t="e">
        <f t="shared" si="270"/>
        <v>#VALUE!</v>
      </c>
      <c r="Y2445" s="86" t="s">
        <v>29</v>
      </c>
      <c r="Z2445" s="85" t="e">
        <f>+E2445-X2445</f>
        <v>#VALUE!</v>
      </c>
      <c r="AA2445" s="115" t="s">
        <v>29</v>
      </c>
      <c r="AB2445" s="115" t="s">
        <v>29</v>
      </c>
    </row>
    <row r="2446" spans="1:28" x14ac:dyDescent="0.3">
      <c r="A2446" s="116">
        <v>106</v>
      </c>
      <c r="B2446" s="68" t="s">
        <v>861</v>
      </c>
      <c r="E2446" s="85">
        <f>98770010.66/1000</f>
        <v>98770.01066</v>
      </c>
      <c r="F2446" s="85">
        <f t="shared" ref="F2446:Q2446" si="271">SUM(F2431:F2445)</f>
        <v>41711.523450000001</v>
      </c>
      <c r="G2446" s="85">
        <f t="shared" si="271"/>
        <v>0</v>
      </c>
      <c r="H2446" s="85">
        <f>96093699.17/1000</f>
        <v>96093.699170000007</v>
      </c>
      <c r="I2446" s="85">
        <f t="shared" si="271"/>
        <v>0</v>
      </c>
      <c r="J2446" s="85">
        <f t="shared" si="271"/>
        <v>40971.612370000003</v>
      </c>
      <c r="K2446" s="85">
        <f t="shared" si="271"/>
        <v>2676.31149</v>
      </c>
      <c r="L2446" s="85">
        <f t="shared" si="271"/>
        <v>0</v>
      </c>
      <c r="M2446" s="85">
        <f t="shared" si="271"/>
        <v>41711.523450000001</v>
      </c>
      <c r="N2446" s="85">
        <f t="shared" si="271"/>
        <v>2676.31149</v>
      </c>
      <c r="O2446" s="85">
        <f t="shared" si="271"/>
        <v>0</v>
      </c>
      <c r="P2446" s="85">
        <f t="shared" si="271"/>
        <v>2676.31149</v>
      </c>
      <c r="Q2446" s="85">
        <f t="shared" si="271"/>
        <v>40971.612370000003</v>
      </c>
      <c r="R2446" s="84"/>
      <c r="S2446" s="84"/>
      <c r="T2446" s="85">
        <f t="shared" ref="T2446:Y2446" si="272">SUM(T2431:T2445)</f>
        <v>0</v>
      </c>
      <c r="U2446" s="85">
        <f t="shared" si="272"/>
        <v>2676.31149</v>
      </c>
      <c r="V2446" s="85">
        <f t="shared" si="272"/>
        <v>0</v>
      </c>
      <c r="W2446" s="85">
        <f t="shared" si="272"/>
        <v>0</v>
      </c>
      <c r="X2446" s="85">
        <f t="shared" si="270"/>
        <v>98770.01066</v>
      </c>
      <c r="Y2446" s="85">
        <f t="shared" si="272"/>
        <v>0</v>
      </c>
      <c r="Z2446" s="85">
        <f>+X2446-E2446</f>
        <v>0</v>
      </c>
      <c r="AA2446" s="69">
        <f>SUM(AA2431:AA2445)</f>
        <v>44387.834940000001</v>
      </c>
      <c r="AB2446" s="69">
        <f>SUM(AB2431:AB2445)</f>
        <v>0</v>
      </c>
    </row>
    <row r="2447" spans="1:28" x14ac:dyDescent="0.3">
      <c r="A2447" s="117"/>
      <c r="E2447" s="86"/>
      <c r="F2447" s="86"/>
      <c r="G2447" s="86"/>
      <c r="H2447" s="86"/>
      <c r="I2447" s="86"/>
      <c r="J2447" s="86"/>
      <c r="K2447" s="86"/>
      <c r="L2447" s="86"/>
      <c r="M2447" s="86"/>
      <c r="N2447" s="86"/>
      <c r="O2447" s="86"/>
      <c r="P2447" s="86"/>
      <c r="Q2447" s="86"/>
      <c r="R2447" s="86"/>
      <c r="S2447" s="86"/>
      <c r="T2447" s="86"/>
      <c r="U2447" s="86"/>
      <c r="V2447" s="86"/>
      <c r="W2447" s="86"/>
      <c r="X2447" s="86"/>
      <c r="Y2447" s="86"/>
      <c r="Z2447" s="86"/>
      <c r="AA2447" s="115" t="s">
        <v>29</v>
      </c>
      <c r="AB2447" s="115" t="s">
        <v>29</v>
      </c>
    </row>
    <row r="2448" spans="1:28" s="106" customFormat="1" x14ac:dyDescent="0.3">
      <c r="A2448" s="104"/>
      <c r="B2448" s="7" t="s">
        <v>867</v>
      </c>
      <c r="C2448" s="7" t="s">
        <v>3</v>
      </c>
      <c r="D2448" s="8"/>
      <c r="E2448" s="82">
        <f>+E2313+E2317+E2341+E2366+E2382+E2410+E2428+E2446</f>
        <v>798592.97980000009</v>
      </c>
      <c r="F2448" s="82">
        <f>F2313+F2341+F2366+F2382+F2410+F2428+F2446+F2317</f>
        <v>287008.04437999998</v>
      </c>
      <c r="G2448" s="82">
        <f>G2313+G2341+G2366+G2382+G2410+G2428+G2446+G2317</f>
        <v>0</v>
      </c>
      <c r="H2448" s="82">
        <f>H2313+H2341+H2366+H2382+H2410+H2428+H2446+H2317</f>
        <v>780496.05653000006</v>
      </c>
      <c r="I2448" s="82">
        <f>I2313+I2341+I2366+I2382+I2410+I2428+I2446</f>
        <v>0</v>
      </c>
      <c r="J2448" s="82">
        <f>J2313+J2341+J2366+J2382+J2410+J2428+J2446</f>
        <v>258659.42621999996</v>
      </c>
      <c r="K2448" s="82">
        <f>K2313+K2341+K2366+K2382+K2410+K2428+K2446</f>
        <v>18001.180830000001</v>
      </c>
      <c r="L2448" s="82">
        <f>L2313+L2341+L2366+L2382+L2410+L2428+L2446+L2317</f>
        <v>0</v>
      </c>
      <c r="M2448" s="82">
        <f>M2313+M2341+M2366+M2382+M2410+M2428+M2446+M2317</f>
        <v>287008.04437999998</v>
      </c>
      <c r="N2448" s="82">
        <f>N2313+N2341+N2366+N2382+N2410+N2428+N2446+N2317</f>
        <v>18007.202109999998</v>
      </c>
      <c r="O2448" s="82">
        <f>O2313+O2341+O2366+O2382+O2410+O2428+O2446+O2317</f>
        <v>0</v>
      </c>
      <c r="P2448" s="82">
        <f>P2313+P2341+P2366+P2382+P2410+P2428+P2446+P2317</f>
        <v>18007.199489999999</v>
      </c>
      <c r="Q2448" s="82">
        <f>Q2313+Q2341+Q2366+Q2382+Q2410+Q2428+Q2446</f>
        <v>252050.07542000001</v>
      </c>
      <c r="R2448" s="82">
        <f>R2313+R2341+R2366+R2382+R2410+R2428+R2446</f>
        <v>0</v>
      </c>
      <c r="S2448" s="82">
        <f>S2313+S2341+S2366+S2382+S2410+S2428+S2446</f>
        <v>0</v>
      </c>
      <c r="T2448" s="82">
        <f>T2313+T2341+T2366+T2382+T2410+T2428+T2446+T2317</f>
        <v>9.7211599999999994</v>
      </c>
      <c r="U2448" s="82">
        <f>U2313+U2341+U2366+U2382+U2410+U2428+U2446+U2317</f>
        <v>18016.923269999999</v>
      </c>
      <c r="V2448" s="82">
        <f>V2313+V2341+V2366+V2382+V2410+V2428+V2446</f>
        <v>0</v>
      </c>
      <c r="W2448" s="82">
        <f>W2313+W2341+W2366+W2382+W2410+W2428+W2446</f>
        <v>0</v>
      </c>
      <c r="X2448" s="82">
        <f>X2313+X2341+X2366+X2382+X2410+X2428+X2446+X2317</f>
        <v>798503.25602000009</v>
      </c>
      <c r="Y2448" s="82">
        <f>Y2313+Y2341+Y2366+Y2382+Y2410+Y2428+Y2446</f>
        <v>0</v>
      </c>
      <c r="Z2448" s="82">
        <f>Z2313+Z2341+Z2366+Z2382+Z2410+Z2428+Z2446+Z2317</f>
        <v>89.723779999985709</v>
      </c>
      <c r="AA2448" s="9">
        <f>AA2313+AA2341+AA2366+AA2382+AA2410+AA2428+AA2446+AA2317</f>
        <v>305024.96765000001</v>
      </c>
      <c r="AB2448" s="9">
        <f>AB2313+AB2341+AB2366+AB2382+AB2410+AB2428+AB2446+AB2317</f>
        <v>80.000000000000043</v>
      </c>
    </row>
    <row r="2449" spans="1:28" x14ac:dyDescent="0.3">
      <c r="A2449" s="117"/>
      <c r="E2449" s="92"/>
      <c r="F2449" s="86"/>
      <c r="G2449" s="86"/>
      <c r="H2449" s="86"/>
      <c r="I2449" s="86"/>
      <c r="J2449" s="86"/>
      <c r="K2449" s="86"/>
      <c r="L2449" s="86"/>
      <c r="M2449" s="86"/>
      <c r="N2449" s="86"/>
      <c r="O2449" s="86"/>
      <c r="P2449" s="86"/>
      <c r="Q2449" s="86"/>
      <c r="R2449" s="86"/>
      <c r="S2449" s="86"/>
      <c r="T2449" s="86"/>
      <c r="U2449" s="86"/>
      <c r="V2449" s="86"/>
      <c r="W2449" s="86"/>
      <c r="X2449" s="86"/>
      <c r="Y2449" s="86"/>
      <c r="Z2449" s="86"/>
      <c r="AA2449" s="115" t="s">
        <v>114</v>
      </c>
      <c r="AB2449" s="115" t="s">
        <v>114</v>
      </c>
    </row>
    <row r="2450" spans="1:28" x14ac:dyDescent="0.3">
      <c r="A2450" s="117"/>
      <c r="B2450" s="68" t="s">
        <v>1267</v>
      </c>
      <c r="E2450" s="84"/>
      <c r="F2450" s="84"/>
      <c r="G2450" s="84"/>
      <c r="H2450" s="84"/>
      <c r="I2450" s="84"/>
      <c r="J2450" s="84"/>
      <c r="K2450" s="84"/>
      <c r="L2450" s="84"/>
      <c r="M2450" s="84"/>
      <c r="N2450" s="84"/>
      <c r="O2450" s="84"/>
      <c r="P2450" s="84"/>
      <c r="Q2450" s="84"/>
      <c r="R2450" s="84"/>
      <c r="S2450" s="84"/>
      <c r="T2450" s="84"/>
      <c r="U2450" s="84"/>
      <c r="V2450" s="84"/>
      <c r="W2450" s="84"/>
      <c r="X2450" s="84"/>
      <c r="Y2450" s="84"/>
      <c r="Z2450" s="84"/>
    </row>
    <row r="2451" spans="1:28" hidden="1" x14ac:dyDescent="0.3">
      <c r="A2451" s="117"/>
      <c r="E2451" s="84"/>
      <c r="F2451" s="84"/>
      <c r="G2451" s="84"/>
      <c r="H2451" s="84"/>
      <c r="I2451" s="84"/>
      <c r="J2451" s="84"/>
      <c r="K2451" s="84"/>
      <c r="L2451" s="84"/>
      <c r="M2451" s="84"/>
      <c r="N2451" s="84"/>
      <c r="O2451" s="84"/>
      <c r="P2451" s="84"/>
      <c r="Q2451" s="84"/>
      <c r="R2451" s="84"/>
      <c r="S2451" s="84"/>
      <c r="T2451" s="84"/>
      <c r="U2451" s="84"/>
      <c r="V2451" s="84"/>
      <c r="W2451" s="84"/>
      <c r="X2451" s="84"/>
      <c r="Y2451" s="84"/>
      <c r="Z2451" s="84"/>
    </row>
    <row r="2452" spans="1:28" hidden="1" x14ac:dyDescent="0.3">
      <c r="A2452" s="105"/>
      <c r="E2452" s="84"/>
      <c r="F2452" s="84"/>
      <c r="G2452" s="84"/>
      <c r="H2452" s="84"/>
      <c r="I2452" s="84"/>
      <c r="J2452" s="84"/>
      <c r="K2452" s="84"/>
      <c r="L2452" s="84"/>
      <c r="M2452" s="84"/>
      <c r="N2452" s="84"/>
      <c r="O2452" s="84"/>
      <c r="P2452" s="84"/>
      <c r="Q2452" s="84"/>
      <c r="R2452" s="84"/>
      <c r="S2452" s="84"/>
      <c r="T2452" s="84"/>
      <c r="U2452" s="84"/>
      <c r="V2452" s="84"/>
      <c r="W2452" s="84"/>
      <c r="X2452" s="84"/>
      <c r="Y2452" s="84"/>
      <c r="Z2452" s="84"/>
    </row>
    <row r="2453" spans="1:28" hidden="1" x14ac:dyDescent="0.3">
      <c r="A2453" s="117"/>
      <c r="C2453" s="68" t="s">
        <v>386</v>
      </c>
      <c r="D2453" s="145" t="s">
        <v>387</v>
      </c>
      <c r="E2453" s="85">
        <f>STATS1003B!E2461/1000</f>
        <v>16109.549929999999</v>
      </c>
      <c r="F2453" s="85">
        <f>STATS1003B!F2461/1000</f>
        <v>15096.936619999999</v>
      </c>
      <c r="G2453" s="85">
        <f>STATS1003B!G2461/1000</f>
        <v>0</v>
      </c>
      <c r="H2453" s="85">
        <f>STATS1003B!H2461/1000</f>
        <v>15096.936619999999</v>
      </c>
      <c r="I2453" s="85">
        <f>STATS1003B!I2461/1000</f>
        <v>0</v>
      </c>
      <c r="J2453" s="85">
        <f>STATS1003B!J2461/1000</f>
        <v>0</v>
      </c>
      <c r="K2453" s="85">
        <f>STATS1003B!K2461/1000</f>
        <v>0</v>
      </c>
      <c r="L2453" s="85">
        <f>STATS1003B!L2461/1000</f>
        <v>0</v>
      </c>
      <c r="M2453" s="85">
        <f>STATS1003B!M2461/1000</f>
        <v>15096.936619999999</v>
      </c>
      <c r="N2453" s="85">
        <f>STATS1003B!N2461/1000</f>
        <v>1012.6133100000001</v>
      </c>
      <c r="O2453" s="85">
        <f>STATS1003B!O2461/1000</f>
        <v>0</v>
      </c>
      <c r="P2453" s="85">
        <f>STATS1003B!P2461/1000</f>
        <v>1012.6133100000001</v>
      </c>
      <c r="Q2453" s="85">
        <f>STATS1003B!Q2461/1000</f>
        <v>0</v>
      </c>
      <c r="R2453" s="85">
        <f>STATS1003B!R2461/1000</f>
        <v>0</v>
      </c>
      <c r="S2453" s="85">
        <f>STATS1003B!S2461/1000</f>
        <v>0</v>
      </c>
      <c r="T2453" s="85">
        <f>STATS1003B!T2461/1000</f>
        <v>0</v>
      </c>
      <c r="U2453" s="85">
        <f>STATS1003B!U2461/1000</f>
        <v>1012.6133100000001</v>
      </c>
      <c r="V2453" s="85">
        <f>STATS1003B!V2461/1000</f>
        <v>16109.549929999999</v>
      </c>
      <c r="W2453" s="85">
        <f>STATS1003B!W2461/1000</f>
        <v>0</v>
      </c>
      <c r="X2453" s="85">
        <f>STATS1003B!X2461/1000</f>
        <v>16109.549929999999</v>
      </c>
      <c r="Y2453" s="85">
        <f>STATS1003B!Y2461/1000</f>
        <v>0</v>
      </c>
      <c r="Z2453" s="85">
        <f>STATS1003B!Z2461/1000</f>
        <v>0</v>
      </c>
      <c r="AA2453" s="69">
        <f>STATS1003B!AA2461/1000</f>
        <v>16109.549929999999</v>
      </c>
      <c r="AB2453" s="69">
        <f>STATS1003B!AB2461/1000</f>
        <v>0</v>
      </c>
    </row>
    <row r="2454" spans="1:28" hidden="1" x14ac:dyDescent="0.3">
      <c r="A2454" s="117"/>
      <c r="C2454" s="68" t="s">
        <v>57</v>
      </c>
      <c r="D2454" s="145" t="s">
        <v>247</v>
      </c>
      <c r="E2454" s="85">
        <f>STATS1003B!E2462/1000</f>
        <v>8664.4310000000005</v>
      </c>
      <c r="F2454" s="85">
        <f>STATS1003B!F2462/1000</f>
        <v>8664.4310000000005</v>
      </c>
      <c r="G2454" s="85">
        <f>STATS1003B!G2462/1000</f>
        <v>0</v>
      </c>
      <c r="H2454" s="85">
        <f>STATS1003B!H2462/1000</f>
        <v>8664.4310000000005</v>
      </c>
      <c r="I2454" s="85">
        <f>STATS1003B!I2462/1000</f>
        <v>0</v>
      </c>
      <c r="J2454" s="85">
        <f>STATS1003B!J2462/1000</f>
        <v>0</v>
      </c>
      <c r="K2454" s="85">
        <f>STATS1003B!K2462/1000</f>
        <v>0</v>
      </c>
      <c r="L2454" s="85">
        <f>STATS1003B!L2462/1000</f>
        <v>0</v>
      </c>
      <c r="M2454" s="85">
        <f>STATS1003B!M2462/1000</f>
        <v>8664.4310000000005</v>
      </c>
      <c r="N2454" s="85">
        <f>STATS1003B!N2462/1000</f>
        <v>0</v>
      </c>
      <c r="O2454" s="85">
        <f>STATS1003B!O2462/1000</f>
        <v>0</v>
      </c>
      <c r="P2454" s="85">
        <f>STATS1003B!P2462/1000</f>
        <v>0</v>
      </c>
      <c r="Q2454" s="85">
        <f>STATS1003B!Q2462/1000</f>
        <v>0</v>
      </c>
      <c r="R2454" s="85">
        <f>STATS1003B!R2462/1000</f>
        <v>0</v>
      </c>
      <c r="S2454" s="85">
        <f>STATS1003B!S2462/1000</f>
        <v>0</v>
      </c>
      <c r="T2454" s="85">
        <f>STATS1003B!T2462/1000</f>
        <v>0</v>
      </c>
      <c r="U2454" s="85">
        <f>STATS1003B!U2462/1000</f>
        <v>0</v>
      </c>
      <c r="V2454" s="85">
        <f>STATS1003B!V2462/1000</f>
        <v>8664.4310000000005</v>
      </c>
      <c r="W2454" s="85">
        <f>STATS1003B!W2462/1000</f>
        <v>0</v>
      </c>
      <c r="X2454" s="85">
        <f>STATS1003B!X2462/1000</f>
        <v>8664.4310000000005</v>
      </c>
      <c r="Y2454" s="85">
        <f>STATS1003B!Y2462/1000</f>
        <v>0</v>
      </c>
      <c r="Z2454" s="85">
        <f>STATS1003B!Z2462/1000</f>
        <v>0</v>
      </c>
      <c r="AA2454" s="69">
        <f>STATS1003B!AA2462/1000</f>
        <v>8664.4310000000005</v>
      </c>
      <c r="AB2454" s="69">
        <f>STATS1003B!AB2462/1000</f>
        <v>0</v>
      </c>
    </row>
    <row r="2455" spans="1:28" hidden="1" x14ac:dyDescent="0.3">
      <c r="A2455" s="117"/>
      <c r="C2455" s="68" t="s">
        <v>388</v>
      </c>
      <c r="D2455" s="68" t="s">
        <v>71</v>
      </c>
      <c r="E2455" s="85">
        <f>STATS1003B!E2463/1000</f>
        <v>9487.6901799999996</v>
      </c>
      <c r="F2455" s="85">
        <f>STATS1003B!F2463/1000</f>
        <v>9487.6901799999996</v>
      </c>
      <c r="G2455" s="85">
        <f>STATS1003B!G2463/1000</f>
        <v>0</v>
      </c>
      <c r="H2455" s="85">
        <f>STATS1003B!H2463/1000</f>
        <v>9487.6901799999996</v>
      </c>
      <c r="I2455" s="85">
        <f>STATS1003B!I2463/1000</f>
        <v>0</v>
      </c>
      <c r="J2455" s="85">
        <f>STATS1003B!J2463/1000</f>
        <v>0</v>
      </c>
      <c r="K2455" s="85">
        <f>STATS1003B!K2463/1000</f>
        <v>0</v>
      </c>
      <c r="L2455" s="85">
        <f>STATS1003B!L2463/1000</f>
        <v>0</v>
      </c>
      <c r="M2455" s="85">
        <f>STATS1003B!M2463/1000</f>
        <v>9487.6901799999996</v>
      </c>
      <c r="N2455" s="85">
        <f>STATS1003B!N2463/1000</f>
        <v>0</v>
      </c>
      <c r="O2455" s="85">
        <f>STATS1003B!O2463/1000</f>
        <v>0</v>
      </c>
      <c r="P2455" s="85">
        <f>STATS1003B!P2463/1000</f>
        <v>0</v>
      </c>
      <c r="Q2455" s="85">
        <f>STATS1003B!Q2463/1000</f>
        <v>0</v>
      </c>
      <c r="R2455" s="85">
        <f>STATS1003B!R2463/1000</f>
        <v>0</v>
      </c>
      <c r="S2455" s="85">
        <f>STATS1003B!S2463/1000</f>
        <v>0</v>
      </c>
      <c r="T2455" s="85">
        <f>STATS1003B!T2463/1000</f>
        <v>0</v>
      </c>
      <c r="U2455" s="85">
        <f>STATS1003B!U2463/1000</f>
        <v>0</v>
      </c>
      <c r="V2455" s="85">
        <f>STATS1003B!V2463/1000</f>
        <v>9487.6901799999996</v>
      </c>
      <c r="W2455" s="85">
        <f>STATS1003B!W2463/1000</f>
        <v>0</v>
      </c>
      <c r="X2455" s="85">
        <f>STATS1003B!X2463/1000</f>
        <v>9487.6901799999996</v>
      </c>
      <c r="Y2455" s="85">
        <f>STATS1003B!Y2463/1000</f>
        <v>0</v>
      </c>
      <c r="Z2455" s="85">
        <f>STATS1003B!Z2463/1000</f>
        <v>0</v>
      </c>
      <c r="AA2455" s="69">
        <f>STATS1003B!AA2463/1000</f>
        <v>9487.6901799999996</v>
      </c>
      <c r="AB2455" s="69">
        <f>STATS1003B!AB2463/1000</f>
        <v>0</v>
      </c>
    </row>
    <row r="2456" spans="1:28" hidden="1" x14ac:dyDescent="0.3">
      <c r="A2456" s="117"/>
      <c r="C2456" s="68" t="s">
        <v>53</v>
      </c>
      <c r="D2456" s="145" t="s">
        <v>54</v>
      </c>
      <c r="E2456" s="85">
        <f>STATS1003B!E2464/1000</f>
        <v>570.94100000000003</v>
      </c>
      <c r="F2456" s="85">
        <f>STATS1003B!F2464/1000</f>
        <v>0</v>
      </c>
      <c r="G2456" s="85">
        <f>STATS1003B!G2464/1000</f>
        <v>0</v>
      </c>
      <c r="H2456" s="85">
        <f>STATS1003B!H2464/1000</f>
        <v>0</v>
      </c>
      <c r="I2456" s="85">
        <f>STATS1003B!I2464/1000</f>
        <v>0</v>
      </c>
      <c r="J2456" s="85">
        <f>STATS1003B!J2464/1000</f>
        <v>0</v>
      </c>
      <c r="K2456" s="85">
        <f>STATS1003B!K2464/1000</f>
        <v>0</v>
      </c>
      <c r="L2456" s="85">
        <f>STATS1003B!L2464/1000</f>
        <v>0</v>
      </c>
      <c r="M2456" s="85">
        <f>STATS1003B!M2464/1000</f>
        <v>0</v>
      </c>
      <c r="N2456" s="85">
        <f>STATS1003B!N2464/1000</f>
        <v>570.94100000000003</v>
      </c>
      <c r="O2456" s="85">
        <f>STATS1003B!O2464/1000</f>
        <v>0</v>
      </c>
      <c r="P2456" s="85">
        <f>STATS1003B!P2464/1000</f>
        <v>570.94100000000003</v>
      </c>
      <c r="Q2456" s="85">
        <f>STATS1003B!Q2464/1000</f>
        <v>0</v>
      </c>
      <c r="R2456" s="85">
        <f>STATS1003B!R2464/1000</f>
        <v>0</v>
      </c>
      <c r="S2456" s="85">
        <f>STATS1003B!S2464/1000</f>
        <v>0</v>
      </c>
      <c r="T2456" s="85">
        <f>STATS1003B!T2464/1000</f>
        <v>0</v>
      </c>
      <c r="U2456" s="85">
        <f>STATS1003B!U2464/1000</f>
        <v>570.94100000000003</v>
      </c>
      <c r="V2456" s="85">
        <f>STATS1003B!V2464/1000</f>
        <v>570.94100000000003</v>
      </c>
      <c r="W2456" s="85">
        <f>STATS1003B!W2464/1000</f>
        <v>0</v>
      </c>
      <c r="X2456" s="85">
        <f>STATS1003B!X2464/1000</f>
        <v>570.94100000000003</v>
      </c>
      <c r="Y2456" s="85">
        <f>STATS1003B!Y2464/1000</f>
        <v>0</v>
      </c>
      <c r="Z2456" s="85">
        <f>STATS1003B!Z2464/1000</f>
        <v>0</v>
      </c>
      <c r="AA2456" s="69">
        <f>STATS1003B!AA2464/1000</f>
        <v>570.94100000000003</v>
      </c>
      <c r="AB2456" s="69">
        <f>STATS1003B!AB2464/1000</f>
        <v>0</v>
      </c>
    </row>
    <row r="2457" spans="1:28" hidden="1" x14ac:dyDescent="0.3">
      <c r="A2457" s="117"/>
      <c r="C2457" s="68" t="s">
        <v>389</v>
      </c>
      <c r="D2457" s="145" t="s">
        <v>85</v>
      </c>
      <c r="E2457" s="85">
        <f>STATS1003B!E2465/1000</f>
        <v>2888</v>
      </c>
      <c r="F2457" s="85">
        <f>STATS1003B!F2465/1000</f>
        <v>2888</v>
      </c>
      <c r="G2457" s="85">
        <f>STATS1003B!G2465/1000</f>
        <v>0</v>
      </c>
      <c r="H2457" s="85">
        <f>STATS1003B!H2465/1000</f>
        <v>2888</v>
      </c>
      <c r="I2457" s="85">
        <f>STATS1003B!I2465/1000</f>
        <v>0</v>
      </c>
      <c r="J2457" s="85">
        <f>STATS1003B!J2465/1000</f>
        <v>0</v>
      </c>
      <c r="K2457" s="85">
        <f>STATS1003B!K2465/1000</f>
        <v>0</v>
      </c>
      <c r="L2457" s="85">
        <f>STATS1003B!L2465/1000</f>
        <v>0</v>
      </c>
      <c r="M2457" s="85">
        <f>STATS1003B!M2465/1000</f>
        <v>2888</v>
      </c>
      <c r="N2457" s="85">
        <f>STATS1003B!N2465/1000</f>
        <v>0</v>
      </c>
      <c r="O2457" s="85">
        <f>STATS1003B!O2465/1000</f>
        <v>0</v>
      </c>
      <c r="P2457" s="85">
        <f>STATS1003B!P2465/1000</f>
        <v>0</v>
      </c>
      <c r="Q2457" s="85">
        <f>STATS1003B!Q2465/1000</f>
        <v>0</v>
      </c>
      <c r="R2457" s="85">
        <f>STATS1003B!R2465/1000</f>
        <v>0</v>
      </c>
      <c r="S2457" s="85">
        <f>STATS1003B!S2465/1000</f>
        <v>0</v>
      </c>
      <c r="T2457" s="85">
        <f>STATS1003B!T2465/1000</f>
        <v>0</v>
      </c>
      <c r="U2457" s="85">
        <f>STATS1003B!U2465/1000</f>
        <v>0</v>
      </c>
      <c r="V2457" s="85">
        <f>STATS1003B!V2465/1000</f>
        <v>2888</v>
      </c>
      <c r="W2457" s="85">
        <f>STATS1003B!W2465/1000</f>
        <v>0</v>
      </c>
      <c r="X2457" s="85">
        <f>STATS1003B!X2465/1000</f>
        <v>2888</v>
      </c>
      <c r="Y2457" s="85">
        <f>STATS1003B!Y2465/1000</f>
        <v>0</v>
      </c>
      <c r="Z2457" s="85">
        <f>STATS1003B!Z2465/1000</f>
        <v>0</v>
      </c>
      <c r="AA2457" s="69">
        <f>STATS1003B!AA2465/1000</f>
        <v>2888</v>
      </c>
      <c r="AB2457" s="69">
        <f>STATS1003B!AB2465/1000</f>
        <v>0</v>
      </c>
    </row>
    <row r="2458" spans="1:28" hidden="1" x14ac:dyDescent="0.3">
      <c r="A2458" s="117"/>
      <c r="C2458" s="68" t="s">
        <v>390</v>
      </c>
      <c r="D2458" s="145" t="s">
        <v>128</v>
      </c>
      <c r="E2458" s="85">
        <f>STATS1003B!E2466/1000</f>
        <v>1150</v>
      </c>
      <c r="F2458" s="85">
        <f>STATS1003B!F2466/1000</f>
        <v>1150</v>
      </c>
      <c r="G2458" s="85">
        <f>STATS1003B!G2466/1000</f>
        <v>0</v>
      </c>
      <c r="H2458" s="85">
        <f>STATS1003B!H2466/1000</f>
        <v>1150</v>
      </c>
      <c r="I2458" s="85">
        <f>STATS1003B!I2466/1000</f>
        <v>0</v>
      </c>
      <c r="J2458" s="85">
        <f>STATS1003B!J2466/1000</f>
        <v>0</v>
      </c>
      <c r="K2458" s="85">
        <f>STATS1003B!K2466/1000</f>
        <v>0</v>
      </c>
      <c r="L2458" s="85">
        <f>STATS1003B!L2466/1000</f>
        <v>0</v>
      </c>
      <c r="M2458" s="85">
        <f>STATS1003B!M2466/1000</f>
        <v>1150</v>
      </c>
      <c r="N2458" s="85">
        <f>STATS1003B!N2466/1000</f>
        <v>0</v>
      </c>
      <c r="O2458" s="85">
        <f>STATS1003B!O2466/1000</f>
        <v>0</v>
      </c>
      <c r="P2458" s="85">
        <f>STATS1003B!P2466/1000</f>
        <v>0</v>
      </c>
      <c r="Q2458" s="85">
        <f>STATS1003B!Q2466/1000</f>
        <v>0</v>
      </c>
      <c r="R2458" s="85">
        <f>STATS1003B!R2466/1000</f>
        <v>0</v>
      </c>
      <c r="S2458" s="85">
        <f>STATS1003B!S2466/1000</f>
        <v>0</v>
      </c>
      <c r="T2458" s="85">
        <f>STATS1003B!T2466/1000</f>
        <v>0</v>
      </c>
      <c r="U2458" s="85">
        <f>STATS1003B!U2466/1000</f>
        <v>0</v>
      </c>
      <c r="V2458" s="85">
        <f>STATS1003B!V2466/1000</f>
        <v>1150</v>
      </c>
      <c r="W2458" s="85">
        <f>STATS1003B!W2466/1000</f>
        <v>0</v>
      </c>
      <c r="X2458" s="85">
        <f>STATS1003B!X2466/1000</f>
        <v>1150</v>
      </c>
      <c r="Y2458" s="85">
        <f>STATS1003B!Y2466/1000</f>
        <v>0</v>
      </c>
      <c r="Z2458" s="85">
        <f>STATS1003B!Z2466/1000</f>
        <v>0</v>
      </c>
      <c r="AA2458" s="69">
        <f>STATS1003B!AA2466/1000</f>
        <v>1150</v>
      </c>
      <c r="AB2458" s="69">
        <f>STATS1003B!AB2466/1000</f>
        <v>0</v>
      </c>
    </row>
    <row r="2459" spans="1:28" hidden="1" x14ac:dyDescent="0.3">
      <c r="A2459" s="117"/>
      <c r="C2459" s="68" t="s">
        <v>57</v>
      </c>
      <c r="D2459" s="145" t="s">
        <v>58</v>
      </c>
      <c r="E2459" s="85">
        <f>STATS1003B!E2467/1000</f>
        <v>2770.66</v>
      </c>
      <c r="F2459" s="85">
        <f>STATS1003B!F2467/1000</f>
        <v>2770.66</v>
      </c>
      <c r="G2459" s="85">
        <f>STATS1003B!G2467/1000</f>
        <v>0</v>
      </c>
      <c r="H2459" s="85">
        <f>STATS1003B!H2467/1000</f>
        <v>2770.66</v>
      </c>
      <c r="I2459" s="85">
        <f>STATS1003B!I2467/1000</f>
        <v>0</v>
      </c>
      <c r="J2459" s="85">
        <f>STATS1003B!J2467/1000</f>
        <v>0</v>
      </c>
      <c r="K2459" s="85">
        <f>STATS1003B!K2467/1000</f>
        <v>0</v>
      </c>
      <c r="L2459" s="85">
        <f>STATS1003B!L2467/1000</f>
        <v>0</v>
      </c>
      <c r="M2459" s="85">
        <f>STATS1003B!M2467/1000</f>
        <v>2770.66</v>
      </c>
      <c r="N2459" s="85">
        <f>STATS1003B!N2467/1000</f>
        <v>0</v>
      </c>
      <c r="O2459" s="85">
        <f>STATS1003B!O2467/1000</f>
        <v>0</v>
      </c>
      <c r="P2459" s="85">
        <f>STATS1003B!P2467/1000</f>
        <v>0</v>
      </c>
      <c r="Q2459" s="85">
        <f>STATS1003B!Q2467/1000</f>
        <v>0</v>
      </c>
      <c r="R2459" s="85">
        <f>STATS1003B!R2467/1000</f>
        <v>0</v>
      </c>
      <c r="S2459" s="85">
        <f>STATS1003B!S2467/1000</f>
        <v>0</v>
      </c>
      <c r="T2459" s="85">
        <f>STATS1003B!T2467/1000</f>
        <v>0</v>
      </c>
      <c r="U2459" s="85">
        <f>STATS1003B!U2467/1000</f>
        <v>0</v>
      </c>
      <c r="V2459" s="85">
        <f>STATS1003B!V2467/1000</f>
        <v>2770.66</v>
      </c>
      <c r="W2459" s="85">
        <f>STATS1003B!W2467/1000</f>
        <v>0</v>
      </c>
      <c r="X2459" s="85">
        <f>STATS1003B!X2467/1000</f>
        <v>2770.66</v>
      </c>
      <c r="Y2459" s="85">
        <f>STATS1003B!Y2467/1000</f>
        <v>0</v>
      </c>
      <c r="Z2459" s="85">
        <f>STATS1003B!Z2467/1000</f>
        <v>0</v>
      </c>
      <c r="AA2459" s="69">
        <f>STATS1003B!AA2467/1000</f>
        <v>2770.66</v>
      </c>
      <c r="AB2459" s="69">
        <f>STATS1003B!AB2467/1000</f>
        <v>0</v>
      </c>
    </row>
    <row r="2460" spans="1:28" hidden="1" x14ac:dyDescent="0.3">
      <c r="A2460" s="117"/>
      <c r="C2460" s="68" t="s">
        <v>57</v>
      </c>
      <c r="D2460" s="145" t="s">
        <v>60</v>
      </c>
      <c r="E2460" s="85">
        <f>STATS1003B!E2468/1000</f>
        <v>8324.1119999999992</v>
      </c>
      <c r="F2460" s="85">
        <f>STATS1003B!F2468/1000</f>
        <v>8324.1119999999992</v>
      </c>
      <c r="G2460" s="85">
        <f>STATS1003B!G2468/1000</f>
        <v>0</v>
      </c>
      <c r="H2460" s="85">
        <f>STATS1003B!H2468/1000</f>
        <v>8324.1119999999992</v>
      </c>
      <c r="I2460" s="85">
        <f>STATS1003B!I2468/1000</f>
        <v>0</v>
      </c>
      <c r="J2460" s="85">
        <f>STATS1003B!J2468/1000</f>
        <v>0</v>
      </c>
      <c r="K2460" s="85">
        <f>STATS1003B!K2468/1000</f>
        <v>0</v>
      </c>
      <c r="L2460" s="85">
        <f>STATS1003B!L2468/1000</f>
        <v>0</v>
      </c>
      <c r="M2460" s="85">
        <f>STATS1003B!M2468/1000</f>
        <v>8324.1119999999992</v>
      </c>
      <c r="N2460" s="85">
        <f>STATS1003B!N2468/1000</f>
        <v>0</v>
      </c>
      <c r="O2460" s="85">
        <f>STATS1003B!O2468/1000</f>
        <v>0</v>
      </c>
      <c r="P2460" s="85">
        <f>STATS1003B!P2468/1000</f>
        <v>0</v>
      </c>
      <c r="Q2460" s="85">
        <f>STATS1003B!Q2468/1000</f>
        <v>0</v>
      </c>
      <c r="R2460" s="85">
        <f>STATS1003B!R2468/1000</f>
        <v>0</v>
      </c>
      <c r="S2460" s="85">
        <f>STATS1003B!S2468/1000</f>
        <v>0</v>
      </c>
      <c r="T2460" s="85">
        <f>STATS1003B!T2468/1000</f>
        <v>0</v>
      </c>
      <c r="U2460" s="85">
        <f>STATS1003B!U2468/1000</f>
        <v>0</v>
      </c>
      <c r="V2460" s="85">
        <f>STATS1003B!V2468/1000</f>
        <v>8324.1119999999992</v>
      </c>
      <c r="W2460" s="85">
        <f>STATS1003B!W2468/1000</f>
        <v>0</v>
      </c>
      <c r="X2460" s="85">
        <f>STATS1003B!X2468/1000</f>
        <v>8324.1119999999992</v>
      </c>
      <c r="Y2460" s="85">
        <f>STATS1003B!Y2468/1000</f>
        <v>0</v>
      </c>
      <c r="Z2460" s="85">
        <f>STATS1003B!Z2468/1000</f>
        <v>0</v>
      </c>
      <c r="AA2460" s="69">
        <f>STATS1003B!AA2468/1000</f>
        <v>8324.1119999999992</v>
      </c>
      <c r="AB2460" s="69">
        <f>STATS1003B!AB2468/1000</f>
        <v>0</v>
      </c>
    </row>
    <row r="2461" spans="1:28" hidden="1" x14ac:dyDescent="0.3">
      <c r="A2461" s="117"/>
      <c r="C2461" s="71" t="s">
        <v>109</v>
      </c>
      <c r="D2461" s="88" t="s">
        <v>60</v>
      </c>
      <c r="E2461" s="85">
        <f>STATS1003B!E2469/1000</f>
        <v>5000</v>
      </c>
      <c r="F2461" s="85">
        <f>STATS1003B!F2469/1000</f>
        <v>5000</v>
      </c>
      <c r="G2461" s="85">
        <f>STATS1003B!G2469/1000</f>
        <v>0</v>
      </c>
      <c r="H2461" s="85">
        <f>STATS1003B!H2469/1000</f>
        <v>5000</v>
      </c>
      <c r="I2461" s="85">
        <f>STATS1003B!I2469/1000</f>
        <v>0</v>
      </c>
      <c r="J2461" s="85">
        <f>STATS1003B!J2469/1000</f>
        <v>0</v>
      </c>
      <c r="K2461" s="85">
        <f>STATS1003B!K2469/1000</f>
        <v>0</v>
      </c>
      <c r="L2461" s="85">
        <f>STATS1003B!L2469/1000</f>
        <v>0</v>
      </c>
      <c r="M2461" s="85">
        <f>STATS1003B!M2469/1000</f>
        <v>5000</v>
      </c>
      <c r="N2461" s="85">
        <f>STATS1003B!N2469/1000</f>
        <v>0</v>
      </c>
      <c r="O2461" s="85">
        <f>STATS1003B!O2469/1000</f>
        <v>0</v>
      </c>
      <c r="P2461" s="85">
        <f>STATS1003B!P2469/1000</f>
        <v>0</v>
      </c>
      <c r="Q2461" s="85">
        <f>STATS1003B!Q2469/1000</f>
        <v>0</v>
      </c>
      <c r="R2461" s="85">
        <f>STATS1003B!R2469/1000</f>
        <v>0</v>
      </c>
      <c r="S2461" s="85">
        <f>STATS1003B!S2469/1000</f>
        <v>0</v>
      </c>
      <c r="T2461" s="85">
        <f>STATS1003B!T2469/1000</f>
        <v>0</v>
      </c>
      <c r="U2461" s="85">
        <f>STATS1003B!U2469/1000</f>
        <v>0</v>
      </c>
      <c r="V2461" s="85">
        <f>STATS1003B!V2469/1000</f>
        <v>5000</v>
      </c>
      <c r="W2461" s="85">
        <f>STATS1003B!W2469/1000</f>
        <v>0</v>
      </c>
      <c r="X2461" s="85">
        <f>STATS1003B!X2469/1000</f>
        <v>5000</v>
      </c>
      <c r="Y2461" s="85">
        <f>STATS1003B!Y2469/1000</f>
        <v>0</v>
      </c>
      <c r="Z2461" s="85">
        <f>STATS1003B!Z2469/1000</f>
        <v>0</v>
      </c>
      <c r="AA2461" s="69">
        <f>STATS1003B!AA2469/1000</f>
        <v>5000</v>
      </c>
      <c r="AB2461" s="69">
        <f>STATS1003B!AB2469/1000</f>
        <v>0</v>
      </c>
    </row>
    <row r="2462" spans="1:28" hidden="1" x14ac:dyDescent="0.3">
      <c r="A2462" s="117"/>
      <c r="C2462" s="68" t="s">
        <v>57</v>
      </c>
      <c r="D2462" s="145" t="s">
        <v>73</v>
      </c>
      <c r="E2462" s="85">
        <f>STATS1003B!E2470/1000</f>
        <v>12295.187</v>
      </c>
      <c r="F2462" s="85">
        <f>STATS1003B!F2470/1000</f>
        <v>12295.187</v>
      </c>
      <c r="G2462" s="85">
        <f>STATS1003B!G2470/1000</f>
        <v>0</v>
      </c>
      <c r="H2462" s="85">
        <f>STATS1003B!H2470/1000</f>
        <v>12295.187</v>
      </c>
      <c r="I2462" s="85">
        <f>STATS1003B!I2470/1000</f>
        <v>0</v>
      </c>
      <c r="J2462" s="85">
        <f>STATS1003B!J2470/1000</f>
        <v>0</v>
      </c>
      <c r="K2462" s="85">
        <f>STATS1003B!K2470/1000</f>
        <v>0</v>
      </c>
      <c r="L2462" s="85">
        <f>STATS1003B!L2470/1000</f>
        <v>0</v>
      </c>
      <c r="M2462" s="85">
        <f>STATS1003B!M2470/1000</f>
        <v>12295.187</v>
      </c>
      <c r="N2462" s="85">
        <f>STATS1003B!N2470/1000</f>
        <v>0</v>
      </c>
      <c r="O2462" s="85">
        <f>STATS1003B!O2470/1000</f>
        <v>0</v>
      </c>
      <c r="P2462" s="85">
        <f>STATS1003B!P2470/1000</f>
        <v>0</v>
      </c>
      <c r="Q2462" s="85">
        <f>STATS1003B!Q2470/1000</f>
        <v>0</v>
      </c>
      <c r="R2462" s="85">
        <f>STATS1003B!R2470/1000</f>
        <v>0</v>
      </c>
      <c r="S2462" s="85">
        <f>STATS1003B!S2470/1000</f>
        <v>0</v>
      </c>
      <c r="T2462" s="85">
        <f>STATS1003B!T2470/1000</f>
        <v>0</v>
      </c>
      <c r="U2462" s="85">
        <f>STATS1003B!U2470/1000</f>
        <v>0</v>
      </c>
      <c r="V2462" s="85">
        <f>STATS1003B!V2470/1000</f>
        <v>12295.187</v>
      </c>
      <c r="W2462" s="85">
        <f>STATS1003B!W2470/1000</f>
        <v>0</v>
      </c>
      <c r="X2462" s="85">
        <f>STATS1003B!X2470/1000</f>
        <v>12295.187</v>
      </c>
      <c r="Y2462" s="85">
        <f>STATS1003B!Y2470/1000</f>
        <v>0</v>
      </c>
      <c r="Z2462" s="85">
        <f>STATS1003B!Z2470/1000</f>
        <v>0</v>
      </c>
      <c r="AA2462" s="69">
        <f>STATS1003B!AA2470/1000</f>
        <v>12295.187</v>
      </c>
      <c r="AB2462" s="69">
        <f>STATS1003B!AB2470/1000</f>
        <v>0</v>
      </c>
    </row>
    <row r="2463" spans="1:28" hidden="1" x14ac:dyDescent="0.3">
      <c r="A2463" s="117"/>
      <c r="C2463" s="68" t="s">
        <v>391</v>
      </c>
      <c r="E2463" s="85">
        <f>STATS1003B!E2471/1000</f>
        <v>1500</v>
      </c>
      <c r="F2463" s="85">
        <f>STATS1003B!F2471/1000</f>
        <v>1500</v>
      </c>
      <c r="G2463" s="85">
        <f>STATS1003B!G2471/1000</f>
        <v>0</v>
      </c>
      <c r="H2463" s="85">
        <f>STATS1003B!H2471/1000</f>
        <v>1500</v>
      </c>
      <c r="I2463" s="85">
        <f>STATS1003B!I2471/1000</f>
        <v>0</v>
      </c>
      <c r="J2463" s="85">
        <f>STATS1003B!J2471/1000</f>
        <v>0</v>
      </c>
      <c r="K2463" s="85">
        <f>STATS1003B!K2471/1000</f>
        <v>0</v>
      </c>
      <c r="L2463" s="85">
        <f>STATS1003B!L2471/1000</f>
        <v>0</v>
      </c>
      <c r="M2463" s="85">
        <f>STATS1003B!M2471/1000</f>
        <v>1500</v>
      </c>
      <c r="N2463" s="85">
        <f>STATS1003B!N2471/1000</f>
        <v>0</v>
      </c>
      <c r="O2463" s="85">
        <f>STATS1003B!O2471/1000</f>
        <v>0</v>
      </c>
      <c r="P2463" s="85">
        <f>STATS1003B!P2471/1000</f>
        <v>0</v>
      </c>
      <c r="Q2463" s="85">
        <f>STATS1003B!Q2471/1000</f>
        <v>0</v>
      </c>
      <c r="R2463" s="85">
        <f>STATS1003B!R2471/1000</f>
        <v>0</v>
      </c>
      <c r="S2463" s="85">
        <f>STATS1003B!S2471/1000</f>
        <v>0</v>
      </c>
      <c r="T2463" s="85">
        <f>STATS1003B!T2471/1000</f>
        <v>0</v>
      </c>
      <c r="U2463" s="85">
        <f>STATS1003B!U2471/1000</f>
        <v>0</v>
      </c>
      <c r="V2463" s="85">
        <f>STATS1003B!V2471/1000</f>
        <v>1500</v>
      </c>
      <c r="W2463" s="85">
        <f>STATS1003B!W2471/1000</f>
        <v>0</v>
      </c>
      <c r="X2463" s="85">
        <f>STATS1003B!X2471/1000</f>
        <v>1500</v>
      </c>
      <c r="Y2463" s="85">
        <f>STATS1003B!Y2471/1000</f>
        <v>0</v>
      </c>
      <c r="Z2463" s="85">
        <f>STATS1003B!Z2471/1000</f>
        <v>0</v>
      </c>
      <c r="AA2463" s="69">
        <f>STATS1003B!AA2471/1000</f>
        <v>1500</v>
      </c>
      <c r="AB2463" s="69">
        <f>STATS1003B!AB2471/1000</f>
        <v>0</v>
      </c>
    </row>
    <row r="2464" spans="1:28" hidden="1" x14ac:dyDescent="0.3">
      <c r="A2464" s="117"/>
      <c r="C2464" s="68" t="s">
        <v>392</v>
      </c>
      <c r="E2464" s="85">
        <f>STATS1003B!E2472/1000</f>
        <v>424.85</v>
      </c>
      <c r="F2464" s="85">
        <f>STATS1003B!F2472/1000</f>
        <v>424.85</v>
      </c>
      <c r="G2464" s="85">
        <f>STATS1003B!G2472/1000</f>
        <v>0</v>
      </c>
      <c r="H2464" s="85">
        <f>STATS1003B!H2472/1000</f>
        <v>424.85</v>
      </c>
      <c r="I2464" s="85">
        <f>STATS1003B!I2472/1000</f>
        <v>0</v>
      </c>
      <c r="J2464" s="85">
        <f>STATS1003B!J2472/1000</f>
        <v>0</v>
      </c>
      <c r="K2464" s="85">
        <f>STATS1003B!K2472/1000</f>
        <v>0</v>
      </c>
      <c r="L2464" s="85">
        <f>STATS1003B!L2472/1000</f>
        <v>0</v>
      </c>
      <c r="M2464" s="85">
        <f>STATS1003B!M2472/1000</f>
        <v>424.85</v>
      </c>
      <c r="N2464" s="85">
        <f>STATS1003B!N2472/1000</f>
        <v>0</v>
      </c>
      <c r="O2464" s="85">
        <f>STATS1003B!O2472/1000</f>
        <v>0</v>
      </c>
      <c r="P2464" s="85">
        <f>STATS1003B!P2472/1000</f>
        <v>0</v>
      </c>
      <c r="Q2464" s="85">
        <f>STATS1003B!Q2472/1000</f>
        <v>0</v>
      </c>
      <c r="R2464" s="85">
        <f>STATS1003B!R2472/1000</f>
        <v>0</v>
      </c>
      <c r="S2464" s="85">
        <f>STATS1003B!S2472/1000</f>
        <v>0</v>
      </c>
      <c r="T2464" s="85">
        <f>STATS1003B!T2472/1000</f>
        <v>0</v>
      </c>
      <c r="U2464" s="85">
        <f>STATS1003B!U2472/1000</f>
        <v>0</v>
      </c>
      <c r="V2464" s="85">
        <f>STATS1003B!V2472/1000</f>
        <v>424.85</v>
      </c>
      <c r="W2464" s="85">
        <f>STATS1003B!W2472/1000</f>
        <v>0</v>
      </c>
      <c r="X2464" s="85">
        <f>STATS1003B!X2472/1000</f>
        <v>424.85</v>
      </c>
      <c r="Y2464" s="85">
        <f>STATS1003B!Y2472/1000</f>
        <v>0</v>
      </c>
      <c r="Z2464" s="85">
        <f>STATS1003B!Z2472/1000</f>
        <v>0</v>
      </c>
      <c r="AA2464" s="69">
        <f>STATS1003B!AA2472/1000</f>
        <v>424.85</v>
      </c>
      <c r="AB2464" s="69">
        <f>STATS1003B!AB2472/1000</f>
        <v>0</v>
      </c>
    </row>
    <row r="2465" spans="1:28" hidden="1" x14ac:dyDescent="0.3">
      <c r="A2465" s="117"/>
      <c r="C2465" s="68" t="s">
        <v>393</v>
      </c>
      <c r="E2465" s="85">
        <f>STATS1003B!E2473/1000</f>
        <v>97.230999999999995</v>
      </c>
      <c r="F2465" s="85">
        <f>STATS1003B!F2473/1000</f>
        <v>97.230999999999995</v>
      </c>
      <c r="G2465" s="85">
        <f>STATS1003B!G2473/1000</f>
        <v>0</v>
      </c>
      <c r="H2465" s="85">
        <f>STATS1003B!H2473/1000</f>
        <v>97.230999999999995</v>
      </c>
      <c r="I2465" s="85">
        <f>STATS1003B!I2473/1000</f>
        <v>0</v>
      </c>
      <c r="J2465" s="85">
        <f>STATS1003B!J2473/1000</f>
        <v>0</v>
      </c>
      <c r="K2465" s="85">
        <f>STATS1003B!K2473/1000</f>
        <v>0</v>
      </c>
      <c r="L2465" s="85">
        <f>STATS1003B!L2473/1000</f>
        <v>0</v>
      </c>
      <c r="M2465" s="85">
        <f>STATS1003B!M2473/1000</f>
        <v>97.230999999999995</v>
      </c>
      <c r="N2465" s="85">
        <f>STATS1003B!N2473/1000</f>
        <v>0</v>
      </c>
      <c r="O2465" s="85">
        <f>STATS1003B!O2473/1000</f>
        <v>0</v>
      </c>
      <c r="P2465" s="85">
        <f>STATS1003B!P2473/1000</f>
        <v>0</v>
      </c>
      <c r="Q2465" s="85">
        <f>STATS1003B!Q2473/1000</f>
        <v>0</v>
      </c>
      <c r="R2465" s="85">
        <f>STATS1003B!R2473/1000</f>
        <v>0</v>
      </c>
      <c r="S2465" s="85">
        <f>STATS1003B!S2473/1000</f>
        <v>0</v>
      </c>
      <c r="T2465" s="85">
        <f>STATS1003B!T2473/1000</f>
        <v>0</v>
      </c>
      <c r="U2465" s="85">
        <f>STATS1003B!U2473/1000</f>
        <v>0</v>
      </c>
      <c r="V2465" s="85">
        <f>STATS1003B!V2473/1000</f>
        <v>97.230999999999995</v>
      </c>
      <c r="W2465" s="85">
        <f>STATS1003B!W2473/1000</f>
        <v>0</v>
      </c>
      <c r="X2465" s="85">
        <f>STATS1003B!X2473/1000</f>
        <v>97.230999999999995</v>
      </c>
      <c r="Y2465" s="85">
        <f>STATS1003B!Y2473/1000</f>
        <v>0</v>
      </c>
      <c r="Z2465" s="85">
        <f>STATS1003B!Z2473/1000</f>
        <v>0</v>
      </c>
      <c r="AA2465" s="69">
        <f>STATS1003B!AA2473/1000</f>
        <v>97.230999999999995</v>
      </c>
      <c r="AB2465" s="69">
        <f>STATS1003B!AB2473/1000</f>
        <v>0</v>
      </c>
    </row>
    <row r="2466" spans="1:28" hidden="1" x14ac:dyDescent="0.3">
      <c r="A2466" s="117"/>
      <c r="C2466" s="68" t="s">
        <v>394</v>
      </c>
      <c r="E2466" s="85">
        <f>STATS1003B!E2474/1000</f>
        <v>4721.6000000000004</v>
      </c>
      <c r="F2466" s="85">
        <f>STATS1003B!F2474/1000</f>
        <v>4721.6000000000004</v>
      </c>
      <c r="G2466" s="85">
        <f>STATS1003B!G2474/1000</f>
        <v>0</v>
      </c>
      <c r="H2466" s="85">
        <f>STATS1003B!H2474/1000</f>
        <v>4721.6000000000004</v>
      </c>
      <c r="I2466" s="85">
        <f>STATS1003B!I2474/1000</f>
        <v>0</v>
      </c>
      <c r="J2466" s="85">
        <f>STATS1003B!J2474/1000</f>
        <v>0</v>
      </c>
      <c r="K2466" s="85">
        <f>STATS1003B!K2474/1000</f>
        <v>0</v>
      </c>
      <c r="L2466" s="85">
        <f>STATS1003B!L2474/1000</f>
        <v>0</v>
      </c>
      <c r="M2466" s="85">
        <f>STATS1003B!M2474/1000</f>
        <v>4721.6000000000004</v>
      </c>
      <c r="N2466" s="85">
        <f>STATS1003B!N2474/1000</f>
        <v>0</v>
      </c>
      <c r="O2466" s="85">
        <f>STATS1003B!O2474/1000</f>
        <v>0</v>
      </c>
      <c r="P2466" s="85">
        <f>STATS1003B!P2474/1000</f>
        <v>0</v>
      </c>
      <c r="Q2466" s="85">
        <f>STATS1003B!Q2474/1000</f>
        <v>0</v>
      </c>
      <c r="R2466" s="85">
        <f>STATS1003B!R2474/1000</f>
        <v>0</v>
      </c>
      <c r="S2466" s="85">
        <f>STATS1003B!S2474/1000</f>
        <v>0</v>
      </c>
      <c r="T2466" s="85">
        <f>STATS1003B!T2474/1000</f>
        <v>0</v>
      </c>
      <c r="U2466" s="85">
        <f>STATS1003B!U2474/1000</f>
        <v>0</v>
      </c>
      <c r="V2466" s="85">
        <f>STATS1003B!V2474/1000</f>
        <v>4721.6000000000004</v>
      </c>
      <c r="W2466" s="85">
        <f>STATS1003B!W2474/1000</f>
        <v>0</v>
      </c>
      <c r="X2466" s="85">
        <f>STATS1003B!X2474/1000</f>
        <v>4721.6000000000004</v>
      </c>
      <c r="Y2466" s="85">
        <f>STATS1003B!Y2474/1000</f>
        <v>0</v>
      </c>
      <c r="Z2466" s="85">
        <f>STATS1003B!Z2474/1000</f>
        <v>0</v>
      </c>
      <c r="AA2466" s="69">
        <f>STATS1003B!AA2474/1000</f>
        <v>4721.6000000000004</v>
      </c>
      <c r="AB2466" s="69">
        <f>STATS1003B!AB2474/1000</f>
        <v>0</v>
      </c>
    </row>
    <row r="2467" spans="1:28" hidden="1" x14ac:dyDescent="0.3">
      <c r="A2467" s="117"/>
      <c r="C2467" s="68" t="s">
        <v>395</v>
      </c>
      <c r="E2467" s="85">
        <f>STATS1003B!E2475/1000</f>
        <v>1070</v>
      </c>
      <c r="F2467" s="85">
        <f>STATS1003B!F2475/1000</f>
        <v>1070</v>
      </c>
      <c r="G2467" s="85">
        <f>STATS1003B!G2475/1000</f>
        <v>0</v>
      </c>
      <c r="H2467" s="85">
        <f>STATS1003B!H2475/1000</f>
        <v>1070</v>
      </c>
      <c r="I2467" s="85">
        <f>STATS1003B!I2475/1000</f>
        <v>0</v>
      </c>
      <c r="J2467" s="85">
        <f>STATS1003B!J2475/1000</f>
        <v>0</v>
      </c>
      <c r="K2467" s="85">
        <f>STATS1003B!K2475/1000</f>
        <v>0</v>
      </c>
      <c r="L2467" s="85">
        <f>STATS1003B!L2475/1000</f>
        <v>0</v>
      </c>
      <c r="M2467" s="85">
        <f>STATS1003B!M2475/1000</f>
        <v>1070</v>
      </c>
      <c r="N2467" s="85">
        <f>STATS1003B!N2475/1000</f>
        <v>0</v>
      </c>
      <c r="O2467" s="85">
        <f>STATS1003B!O2475/1000</f>
        <v>0</v>
      </c>
      <c r="P2467" s="85">
        <f>STATS1003B!P2475/1000</f>
        <v>0</v>
      </c>
      <c r="Q2467" s="85">
        <f>STATS1003B!Q2475/1000</f>
        <v>0</v>
      </c>
      <c r="R2467" s="85">
        <f>STATS1003B!R2475/1000</f>
        <v>0</v>
      </c>
      <c r="S2467" s="85">
        <f>STATS1003B!S2475/1000</f>
        <v>0</v>
      </c>
      <c r="T2467" s="85">
        <f>STATS1003B!T2475/1000</f>
        <v>0</v>
      </c>
      <c r="U2467" s="85">
        <f>STATS1003B!U2475/1000</f>
        <v>0</v>
      </c>
      <c r="V2467" s="85">
        <f>STATS1003B!V2475/1000</f>
        <v>1070</v>
      </c>
      <c r="W2467" s="85">
        <f>STATS1003B!W2475/1000</f>
        <v>0</v>
      </c>
      <c r="X2467" s="85">
        <f>STATS1003B!X2475/1000</f>
        <v>1070</v>
      </c>
      <c r="Y2467" s="85">
        <f>STATS1003B!Y2475/1000</f>
        <v>0</v>
      </c>
      <c r="Z2467" s="85">
        <f>STATS1003B!Z2475/1000</f>
        <v>0</v>
      </c>
      <c r="AA2467" s="69">
        <f>STATS1003B!AA2475/1000</f>
        <v>1070</v>
      </c>
      <c r="AB2467" s="69">
        <f>STATS1003B!AB2475/1000</f>
        <v>0</v>
      </c>
    </row>
    <row r="2468" spans="1:28" hidden="1" x14ac:dyDescent="0.3">
      <c r="A2468" s="117"/>
      <c r="C2468" s="68" t="s">
        <v>57</v>
      </c>
      <c r="D2468" s="91" t="s">
        <v>61</v>
      </c>
      <c r="E2468" s="85">
        <f>STATS1003B!E2476/1000</f>
        <v>8199.6710000000003</v>
      </c>
      <c r="F2468" s="85">
        <f>STATS1003B!F2476/1000</f>
        <v>8199.6710000000003</v>
      </c>
      <c r="G2468" s="85">
        <f>STATS1003B!G2476/1000</f>
        <v>0</v>
      </c>
      <c r="H2468" s="85">
        <f>STATS1003B!H2476/1000</f>
        <v>8199.6710000000003</v>
      </c>
      <c r="I2468" s="85">
        <f>STATS1003B!I2476/1000</f>
        <v>8199.6710000000003</v>
      </c>
      <c r="J2468" s="85">
        <f>STATS1003B!J2476/1000</f>
        <v>0</v>
      </c>
      <c r="K2468" s="85">
        <f>STATS1003B!K2476/1000</f>
        <v>0</v>
      </c>
      <c r="L2468" s="85">
        <f>STATS1003B!L2476/1000</f>
        <v>0</v>
      </c>
      <c r="M2468" s="85">
        <f>STATS1003B!M2476/1000</f>
        <v>8199.6710000000003</v>
      </c>
      <c r="N2468" s="85">
        <f>STATS1003B!N2476/1000</f>
        <v>0</v>
      </c>
      <c r="O2468" s="85">
        <f>STATS1003B!O2476/1000</f>
        <v>0</v>
      </c>
      <c r="P2468" s="85">
        <f>STATS1003B!P2476/1000</f>
        <v>0</v>
      </c>
      <c r="Q2468" s="85">
        <f>STATS1003B!Q2476/1000</f>
        <v>0</v>
      </c>
      <c r="R2468" s="85">
        <f>STATS1003B!R2476/1000</f>
        <v>0</v>
      </c>
      <c r="S2468" s="85">
        <f>STATS1003B!S2476/1000</f>
        <v>0</v>
      </c>
      <c r="T2468" s="85">
        <f>STATS1003B!T2476/1000</f>
        <v>0</v>
      </c>
      <c r="U2468" s="85">
        <f>STATS1003B!U2476/1000</f>
        <v>0</v>
      </c>
      <c r="V2468" s="85">
        <f>STATS1003B!V2476/1000</f>
        <v>8199.6710000000003</v>
      </c>
      <c r="W2468" s="85">
        <f>STATS1003B!W2476/1000</f>
        <v>0</v>
      </c>
      <c r="X2468" s="85">
        <f>STATS1003B!X2476/1000</f>
        <v>8199.6710000000003</v>
      </c>
      <c r="Y2468" s="85">
        <f>STATS1003B!Y2476/1000</f>
        <v>0</v>
      </c>
      <c r="Z2468" s="85">
        <f>STATS1003B!Z2476/1000</f>
        <v>0</v>
      </c>
      <c r="AA2468" s="69">
        <f>STATS1003B!AA2476/1000</f>
        <v>8199.6710000000003</v>
      </c>
      <c r="AB2468" s="69">
        <f>STATS1003B!AB2476/1000</f>
        <v>0</v>
      </c>
    </row>
    <row r="2469" spans="1:28" hidden="1" x14ac:dyDescent="0.3">
      <c r="A2469" s="117"/>
      <c r="E2469" s="86" t="s">
        <v>29</v>
      </c>
      <c r="F2469" s="86" t="s">
        <v>29</v>
      </c>
      <c r="G2469" s="86" t="s">
        <v>29</v>
      </c>
      <c r="H2469" s="86" t="s">
        <v>29</v>
      </c>
      <c r="I2469" s="86" t="s">
        <v>29</v>
      </c>
      <c r="J2469" s="86" t="s">
        <v>29</v>
      </c>
      <c r="K2469" s="86" t="s">
        <v>29</v>
      </c>
      <c r="L2469" s="86" t="s">
        <v>29</v>
      </c>
      <c r="M2469" s="86" t="s">
        <v>29</v>
      </c>
      <c r="N2469" s="86" t="s">
        <v>29</v>
      </c>
      <c r="O2469" s="86" t="s">
        <v>29</v>
      </c>
      <c r="P2469" s="86" t="s">
        <v>29</v>
      </c>
      <c r="Q2469" s="86" t="s">
        <v>29</v>
      </c>
      <c r="R2469" s="86" t="s">
        <v>29</v>
      </c>
      <c r="S2469" s="86" t="s">
        <v>29</v>
      </c>
      <c r="T2469" s="86" t="s">
        <v>29</v>
      </c>
      <c r="U2469" s="86" t="s">
        <v>29</v>
      </c>
      <c r="V2469" s="86" t="s">
        <v>29</v>
      </c>
      <c r="W2469" s="86" t="s">
        <v>29</v>
      </c>
      <c r="X2469" s="86" t="s">
        <v>29</v>
      </c>
      <c r="Y2469" s="86" t="s">
        <v>29</v>
      </c>
      <c r="Z2469" s="86" t="s">
        <v>29</v>
      </c>
      <c r="AA2469" s="115" t="s">
        <v>29</v>
      </c>
      <c r="AB2469" s="115" t="s">
        <v>29</v>
      </c>
    </row>
    <row r="2470" spans="1:28" x14ac:dyDescent="0.3">
      <c r="A2470" s="116">
        <v>107</v>
      </c>
      <c r="B2470" s="68" t="s">
        <v>385</v>
      </c>
      <c r="E2470" s="85">
        <f>143144399.82/1000</f>
        <v>143144.39981999999</v>
      </c>
      <c r="F2470" s="85">
        <f t="shared" ref="F2470:AB2470" si="273">SUM(F2453:F2468)</f>
        <v>81690.368800000011</v>
      </c>
      <c r="G2470" s="85">
        <f t="shared" si="273"/>
        <v>0</v>
      </c>
      <c r="H2470" s="85">
        <f>141560845.51/1000</f>
        <v>141560.84550999998</v>
      </c>
      <c r="I2470" s="85">
        <f t="shared" si="273"/>
        <v>8199.6710000000003</v>
      </c>
      <c r="J2470" s="85">
        <f t="shared" si="273"/>
        <v>0</v>
      </c>
      <c r="K2470" s="85">
        <f t="shared" si="273"/>
        <v>0</v>
      </c>
      <c r="L2470" s="85">
        <f t="shared" si="273"/>
        <v>0</v>
      </c>
      <c r="M2470" s="85">
        <f t="shared" si="273"/>
        <v>81690.368800000011</v>
      </c>
      <c r="N2470" s="85">
        <f t="shared" si="273"/>
        <v>1583.55431</v>
      </c>
      <c r="O2470" s="85">
        <f t="shared" si="273"/>
        <v>0</v>
      </c>
      <c r="P2470" s="85">
        <f>1583554/1000</f>
        <v>1583.5540000000001</v>
      </c>
      <c r="Q2470" s="85">
        <f t="shared" si="273"/>
        <v>0</v>
      </c>
      <c r="R2470" s="85">
        <f t="shared" si="273"/>
        <v>0</v>
      </c>
      <c r="S2470" s="85">
        <f t="shared" si="273"/>
        <v>0</v>
      </c>
      <c r="T2470" s="85">
        <f t="shared" si="273"/>
        <v>0</v>
      </c>
      <c r="U2470" s="85">
        <f t="shared" si="273"/>
        <v>1583.55431</v>
      </c>
      <c r="V2470" s="85">
        <f t="shared" si="273"/>
        <v>83273.923110000003</v>
      </c>
      <c r="W2470" s="85">
        <f t="shared" si="273"/>
        <v>0</v>
      </c>
      <c r="X2470" s="85">
        <f>+H2470+P2470</f>
        <v>143144.39950999999</v>
      </c>
      <c r="Y2470" s="85">
        <f t="shared" si="273"/>
        <v>0</v>
      </c>
      <c r="Z2470" s="85">
        <f>+E2470-X2470</f>
        <v>3.1000000308267772E-4</v>
      </c>
      <c r="AA2470" s="69">
        <f t="shared" si="273"/>
        <v>83273.923110000003</v>
      </c>
      <c r="AB2470" s="69">
        <f t="shared" si="273"/>
        <v>0</v>
      </c>
    </row>
    <row r="2471" spans="1:28" hidden="1" x14ac:dyDescent="0.3">
      <c r="A2471" s="117"/>
      <c r="E2471" s="86" t="s">
        <v>29</v>
      </c>
      <c r="F2471" s="86" t="s">
        <v>29</v>
      </c>
      <c r="G2471" s="86" t="s">
        <v>29</v>
      </c>
      <c r="H2471" s="86" t="s">
        <v>29</v>
      </c>
      <c r="I2471" s="86" t="s">
        <v>29</v>
      </c>
      <c r="J2471" s="86" t="s">
        <v>29</v>
      </c>
      <c r="K2471" s="86" t="s">
        <v>29</v>
      </c>
      <c r="L2471" s="86" t="s">
        <v>29</v>
      </c>
      <c r="M2471" s="86" t="s">
        <v>29</v>
      </c>
      <c r="N2471" s="86" t="s">
        <v>29</v>
      </c>
      <c r="O2471" s="86" t="s">
        <v>29</v>
      </c>
      <c r="P2471" s="86" t="s">
        <v>29</v>
      </c>
      <c r="Q2471" s="86" t="s">
        <v>29</v>
      </c>
      <c r="R2471" s="86" t="s">
        <v>29</v>
      </c>
      <c r="S2471" s="86" t="s">
        <v>29</v>
      </c>
      <c r="T2471" s="86" t="s">
        <v>29</v>
      </c>
      <c r="U2471" s="86" t="s">
        <v>29</v>
      </c>
      <c r="V2471" s="86" t="s">
        <v>29</v>
      </c>
      <c r="W2471" s="86" t="s">
        <v>29</v>
      </c>
      <c r="X2471" s="85" t="e">
        <f t="shared" ref="X2471:X2534" si="274">+H2471+P2471</f>
        <v>#VALUE!</v>
      </c>
      <c r="Y2471" s="86" t="s">
        <v>29</v>
      </c>
      <c r="Z2471" s="86" t="s">
        <v>29</v>
      </c>
      <c r="AA2471" s="115" t="s">
        <v>29</v>
      </c>
      <c r="AB2471" s="115" t="s">
        <v>29</v>
      </c>
    </row>
    <row r="2472" spans="1:28" hidden="1" x14ac:dyDescent="0.3">
      <c r="A2472" s="105"/>
      <c r="E2472" s="84"/>
      <c r="F2472" s="84"/>
      <c r="G2472" s="84"/>
      <c r="H2472" s="84"/>
      <c r="I2472" s="84"/>
      <c r="J2472" s="84"/>
      <c r="K2472" s="84"/>
      <c r="L2472" s="84"/>
      <c r="M2472" s="84"/>
      <c r="N2472" s="84"/>
      <c r="O2472" s="84"/>
      <c r="P2472" s="84"/>
      <c r="Q2472" s="84"/>
      <c r="R2472" s="84"/>
      <c r="S2472" s="84"/>
      <c r="T2472" s="84"/>
      <c r="U2472" s="84"/>
      <c r="V2472" s="84"/>
      <c r="W2472" s="84"/>
      <c r="X2472" s="85">
        <f t="shared" si="274"/>
        <v>0</v>
      </c>
      <c r="Y2472" s="84"/>
      <c r="Z2472" s="84"/>
    </row>
    <row r="2473" spans="1:28" hidden="1" x14ac:dyDescent="0.3">
      <c r="A2473" s="117"/>
      <c r="C2473" s="68" t="s">
        <v>397</v>
      </c>
      <c r="D2473" s="145" t="s">
        <v>203</v>
      </c>
      <c r="E2473" s="85">
        <f>STATS1003B!E2481/1000</f>
        <v>13972.4835</v>
      </c>
      <c r="F2473" s="85">
        <f>STATS1003B!F2481/1000</f>
        <v>13215.197699999999</v>
      </c>
      <c r="G2473" s="85">
        <f>STATS1003B!G2481/1000</f>
        <v>0</v>
      </c>
      <c r="H2473" s="85">
        <f>STATS1003B!H2481/1000</f>
        <v>13215.197699999999</v>
      </c>
      <c r="I2473" s="85">
        <f>STATS1003B!I2481/1000</f>
        <v>0</v>
      </c>
      <c r="J2473" s="85">
        <f>STATS1003B!J2481/1000</f>
        <v>0</v>
      </c>
      <c r="K2473" s="85">
        <f>STATS1003B!K2481/1000</f>
        <v>0</v>
      </c>
      <c r="L2473" s="85">
        <f>STATS1003B!L2481/1000</f>
        <v>0</v>
      </c>
      <c r="M2473" s="85">
        <f>STATS1003B!M2481/1000</f>
        <v>13215.197699999999</v>
      </c>
      <c r="N2473" s="85">
        <f>STATS1003B!N2481/1000</f>
        <v>757.28579999999999</v>
      </c>
      <c r="O2473" s="85">
        <f>STATS1003B!O2481/1000</f>
        <v>0</v>
      </c>
      <c r="P2473" s="85">
        <f>STATS1003B!P2481/1000</f>
        <v>757.28579999999999</v>
      </c>
      <c r="Q2473" s="85">
        <f>STATS1003B!Q2481/1000</f>
        <v>0</v>
      </c>
      <c r="R2473" s="85">
        <f>STATS1003B!R2481/1000</f>
        <v>0</v>
      </c>
      <c r="S2473" s="85">
        <f>STATS1003B!S2481/1000</f>
        <v>0</v>
      </c>
      <c r="T2473" s="85">
        <f>STATS1003B!T2481/1000</f>
        <v>0</v>
      </c>
      <c r="U2473" s="85">
        <f>STATS1003B!U2481/1000</f>
        <v>757.28579999999999</v>
      </c>
      <c r="V2473" s="85">
        <f>STATS1003B!V2481/1000</f>
        <v>13972.4835</v>
      </c>
      <c r="W2473" s="85">
        <f>STATS1003B!W2481/1000</f>
        <v>0</v>
      </c>
      <c r="X2473" s="85">
        <f t="shared" si="274"/>
        <v>13972.483499999998</v>
      </c>
      <c r="Y2473" s="85">
        <f>STATS1003B!Y2481/1000</f>
        <v>0</v>
      </c>
      <c r="Z2473" s="85">
        <f>STATS1003B!Z2481/1000</f>
        <v>0</v>
      </c>
      <c r="AA2473" s="69">
        <f>STATS1003B!AA2481/1000</f>
        <v>13972.4835</v>
      </c>
      <c r="AB2473" s="69">
        <f>STATS1003B!AB2481/1000</f>
        <v>0</v>
      </c>
    </row>
    <row r="2474" spans="1:28" hidden="1" x14ac:dyDescent="0.3">
      <c r="A2474" s="117"/>
      <c r="C2474" s="68" t="s">
        <v>57</v>
      </c>
      <c r="D2474" s="145" t="s">
        <v>85</v>
      </c>
      <c r="E2474" s="85">
        <f>STATS1003B!E2482/1000</f>
        <v>1503.2449999999999</v>
      </c>
      <c r="F2474" s="85">
        <f>STATS1003B!F2482/1000</f>
        <v>1503.2449999999999</v>
      </c>
      <c r="G2474" s="85">
        <f>STATS1003B!G2482/1000</f>
        <v>0</v>
      </c>
      <c r="H2474" s="85">
        <f>STATS1003B!H2482/1000</f>
        <v>1503.2449999999999</v>
      </c>
      <c r="I2474" s="85">
        <f>STATS1003B!I2482/1000</f>
        <v>0</v>
      </c>
      <c r="J2474" s="85">
        <f>STATS1003B!J2482/1000</f>
        <v>0</v>
      </c>
      <c r="K2474" s="85">
        <f>STATS1003B!K2482/1000</f>
        <v>0</v>
      </c>
      <c r="L2474" s="85">
        <f>STATS1003B!L2482/1000</f>
        <v>0</v>
      </c>
      <c r="M2474" s="85">
        <f>STATS1003B!M2482/1000</f>
        <v>1503.2449999999999</v>
      </c>
      <c r="N2474" s="85">
        <f>STATS1003B!N2482/1000</f>
        <v>0</v>
      </c>
      <c r="O2474" s="85">
        <f>STATS1003B!O2482/1000</f>
        <v>0</v>
      </c>
      <c r="P2474" s="85">
        <f>STATS1003B!P2482/1000</f>
        <v>0</v>
      </c>
      <c r="Q2474" s="85">
        <f>STATS1003B!Q2482/1000</f>
        <v>0</v>
      </c>
      <c r="R2474" s="85">
        <f>STATS1003B!R2482/1000</f>
        <v>0</v>
      </c>
      <c r="S2474" s="85">
        <f>STATS1003B!S2482/1000</f>
        <v>0</v>
      </c>
      <c r="T2474" s="85">
        <f>STATS1003B!T2482/1000</f>
        <v>0</v>
      </c>
      <c r="U2474" s="85">
        <f>STATS1003B!U2482/1000</f>
        <v>0</v>
      </c>
      <c r="V2474" s="85">
        <f>STATS1003B!V2482/1000</f>
        <v>1503.2449999999999</v>
      </c>
      <c r="W2474" s="85">
        <f>STATS1003B!W2482/1000</f>
        <v>0</v>
      </c>
      <c r="X2474" s="85">
        <f t="shared" si="274"/>
        <v>1503.2449999999999</v>
      </c>
      <c r="Y2474" s="85">
        <f>STATS1003B!Y2482/1000</f>
        <v>0</v>
      </c>
      <c r="Z2474" s="85">
        <f>STATS1003B!Z2482/1000</f>
        <v>0</v>
      </c>
      <c r="AA2474" s="69">
        <f>STATS1003B!AA2482/1000</f>
        <v>1503.2449999999999</v>
      </c>
      <c r="AB2474" s="69">
        <f>STATS1003B!AB2482/1000</f>
        <v>0</v>
      </c>
    </row>
    <row r="2475" spans="1:28" hidden="1" x14ac:dyDescent="0.3">
      <c r="A2475" s="117"/>
      <c r="C2475" s="68" t="s">
        <v>53</v>
      </c>
      <c r="D2475" s="145" t="s">
        <v>85</v>
      </c>
      <c r="E2475" s="85">
        <f>STATS1003B!E2483/1000</f>
        <v>570.94100000000003</v>
      </c>
      <c r="F2475" s="85">
        <f>STATS1003B!F2483/1000</f>
        <v>0</v>
      </c>
      <c r="G2475" s="85">
        <f>STATS1003B!G2483/1000</f>
        <v>0</v>
      </c>
      <c r="H2475" s="85">
        <f>STATS1003B!H2483/1000</f>
        <v>0</v>
      </c>
      <c r="I2475" s="85">
        <f>STATS1003B!I2483/1000</f>
        <v>0</v>
      </c>
      <c r="J2475" s="85">
        <f>STATS1003B!J2483/1000</f>
        <v>0</v>
      </c>
      <c r="K2475" s="85">
        <f>STATS1003B!K2483/1000</f>
        <v>0</v>
      </c>
      <c r="L2475" s="85">
        <f>STATS1003B!L2483/1000</f>
        <v>0</v>
      </c>
      <c r="M2475" s="85">
        <f>STATS1003B!M2483/1000</f>
        <v>0</v>
      </c>
      <c r="N2475" s="85">
        <f>STATS1003B!N2483/1000</f>
        <v>570.94100000000003</v>
      </c>
      <c r="O2475" s="85">
        <f>STATS1003B!O2483/1000</f>
        <v>0</v>
      </c>
      <c r="P2475" s="85">
        <f>STATS1003B!P2483/1000</f>
        <v>570.94100000000003</v>
      </c>
      <c r="Q2475" s="85">
        <f>STATS1003B!Q2483/1000</f>
        <v>0</v>
      </c>
      <c r="R2475" s="85">
        <f>STATS1003B!R2483/1000</f>
        <v>0</v>
      </c>
      <c r="S2475" s="85">
        <f>STATS1003B!S2483/1000</f>
        <v>0</v>
      </c>
      <c r="T2475" s="85">
        <f>STATS1003B!T2483/1000</f>
        <v>0</v>
      </c>
      <c r="U2475" s="85">
        <f>STATS1003B!U2483/1000</f>
        <v>570.94100000000003</v>
      </c>
      <c r="V2475" s="85">
        <f>STATS1003B!V2483/1000</f>
        <v>570.94100000000003</v>
      </c>
      <c r="W2475" s="85">
        <f>STATS1003B!W2483/1000</f>
        <v>0</v>
      </c>
      <c r="X2475" s="85">
        <f t="shared" si="274"/>
        <v>570.94100000000003</v>
      </c>
      <c r="Y2475" s="85">
        <f>STATS1003B!Y2483/1000</f>
        <v>0</v>
      </c>
      <c r="Z2475" s="85">
        <f>STATS1003B!Z2483/1000</f>
        <v>0</v>
      </c>
      <c r="AA2475" s="69">
        <f>STATS1003B!AA2483/1000</f>
        <v>570.94100000000003</v>
      </c>
      <c r="AB2475" s="69">
        <f>STATS1003B!AB2483/1000</f>
        <v>0</v>
      </c>
    </row>
    <row r="2476" spans="1:28" hidden="1" x14ac:dyDescent="0.3">
      <c r="A2476" s="117"/>
      <c r="C2476" s="68" t="s">
        <v>57</v>
      </c>
      <c r="D2476" s="145" t="s">
        <v>88</v>
      </c>
      <c r="E2476" s="85">
        <f>STATS1003B!E2484/1000</f>
        <v>1850.8150000000001</v>
      </c>
      <c r="F2476" s="85">
        <f>STATS1003B!F2484/1000</f>
        <v>1850.8150000000001</v>
      </c>
      <c r="G2476" s="85">
        <f>STATS1003B!G2484/1000</f>
        <v>0</v>
      </c>
      <c r="H2476" s="85">
        <f>STATS1003B!H2484/1000</f>
        <v>1850.8150000000001</v>
      </c>
      <c r="I2476" s="85">
        <f>STATS1003B!I2484/1000</f>
        <v>0</v>
      </c>
      <c r="J2476" s="85">
        <f>STATS1003B!J2484/1000</f>
        <v>0</v>
      </c>
      <c r="K2476" s="85">
        <f>STATS1003B!K2484/1000</f>
        <v>0</v>
      </c>
      <c r="L2476" s="85">
        <f>STATS1003B!L2484/1000</f>
        <v>0</v>
      </c>
      <c r="M2476" s="85">
        <f>STATS1003B!M2484/1000</f>
        <v>1850.8150000000001</v>
      </c>
      <c r="N2476" s="85">
        <f>STATS1003B!N2484/1000</f>
        <v>0</v>
      </c>
      <c r="O2476" s="85">
        <f>STATS1003B!O2484/1000</f>
        <v>0</v>
      </c>
      <c r="P2476" s="85">
        <f>STATS1003B!P2484/1000</f>
        <v>0</v>
      </c>
      <c r="Q2476" s="85">
        <f>STATS1003B!Q2484/1000</f>
        <v>0</v>
      </c>
      <c r="R2476" s="85">
        <f>STATS1003B!R2484/1000</f>
        <v>0</v>
      </c>
      <c r="S2476" s="85">
        <f>STATS1003B!S2484/1000</f>
        <v>0</v>
      </c>
      <c r="T2476" s="85">
        <f>STATS1003B!T2484/1000</f>
        <v>0</v>
      </c>
      <c r="U2476" s="85">
        <f>STATS1003B!U2484/1000</f>
        <v>0</v>
      </c>
      <c r="V2476" s="85">
        <f>STATS1003B!V2484/1000</f>
        <v>1850.8150000000001</v>
      </c>
      <c r="W2476" s="85">
        <f>STATS1003B!W2484/1000</f>
        <v>0</v>
      </c>
      <c r="X2476" s="85">
        <f t="shared" si="274"/>
        <v>1850.8150000000001</v>
      </c>
      <c r="Y2476" s="85">
        <f>STATS1003B!Y2484/1000</f>
        <v>0</v>
      </c>
      <c r="Z2476" s="85">
        <f>STATS1003B!Z2484/1000</f>
        <v>0</v>
      </c>
      <c r="AA2476" s="69">
        <f>STATS1003B!AA2484/1000</f>
        <v>1850.8150000000001</v>
      </c>
      <c r="AB2476" s="69">
        <f>STATS1003B!AB2484/1000</f>
        <v>0</v>
      </c>
    </row>
    <row r="2477" spans="1:28" hidden="1" x14ac:dyDescent="0.3">
      <c r="A2477" s="117"/>
      <c r="C2477" s="68" t="s">
        <v>57</v>
      </c>
      <c r="D2477" s="145" t="s">
        <v>58</v>
      </c>
      <c r="E2477" s="85">
        <f>STATS1003B!E2485/1000</f>
        <v>0</v>
      </c>
      <c r="F2477" s="85">
        <f>STATS1003B!F2485/1000</f>
        <v>0</v>
      </c>
      <c r="G2477" s="85">
        <f>STATS1003B!G2485/1000</f>
        <v>0</v>
      </c>
      <c r="H2477" s="85">
        <f>STATS1003B!H2485/1000</f>
        <v>0</v>
      </c>
      <c r="I2477" s="85">
        <f>STATS1003B!I2485/1000</f>
        <v>0</v>
      </c>
      <c r="J2477" s="85">
        <f>STATS1003B!J2485/1000</f>
        <v>0</v>
      </c>
      <c r="K2477" s="85">
        <f>STATS1003B!K2485/1000</f>
        <v>0</v>
      </c>
      <c r="L2477" s="85">
        <f>STATS1003B!L2485/1000</f>
        <v>0</v>
      </c>
      <c r="M2477" s="85">
        <f>STATS1003B!M2485/1000</f>
        <v>0</v>
      </c>
      <c r="N2477" s="85">
        <f>STATS1003B!N2485/1000</f>
        <v>0</v>
      </c>
      <c r="O2477" s="85">
        <f>STATS1003B!O2485/1000</f>
        <v>0</v>
      </c>
      <c r="P2477" s="85">
        <f>STATS1003B!P2485/1000</f>
        <v>0</v>
      </c>
      <c r="Q2477" s="85">
        <f>STATS1003B!Q2485/1000</f>
        <v>0</v>
      </c>
      <c r="R2477" s="85">
        <f>STATS1003B!R2485/1000</f>
        <v>0</v>
      </c>
      <c r="S2477" s="85">
        <f>STATS1003B!S2485/1000</f>
        <v>0</v>
      </c>
      <c r="T2477" s="85">
        <f>STATS1003B!T2485/1000</f>
        <v>0</v>
      </c>
      <c r="U2477" s="85">
        <f>STATS1003B!U2485/1000</f>
        <v>0</v>
      </c>
      <c r="V2477" s="85">
        <f>STATS1003B!V2485/1000</f>
        <v>0</v>
      </c>
      <c r="W2477" s="85">
        <f>STATS1003B!W2485/1000</f>
        <v>0</v>
      </c>
      <c r="X2477" s="85">
        <f t="shared" si="274"/>
        <v>0</v>
      </c>
      <c r="Y2477" s="85">
        <f>STATS1003B!Y2485/1000</f>
        <v>0</v>
      </c>
      <c r="Z2477" s="85">
        <f>STATS1003B!Z2485/1000</f>
        <v>0</v>
      </c>
      <c r="AA2477" s="69">
        <f>STATS1003B!AA2485/1000</f>
        <v>0</v>
      </c>
      <c r="AB2477" s="69">
        <f>STATS1003B!AB2485/1000</f>
        <v>0</v>
      </c>
    </row>
    <row r="2478" spans="1:28" hidden="1" x14ac:dyDescent="0.3">
      <c r="A2478" s="117"/>
      <c r="C2478" s="68" t="s">
        <v>57</v>
      </c>
      <c r="D2478" s="145" t="s">
        <v>60</v>
      </c>
      <c r="E2478" s="85">
        <f>STATS1003B!E2486/1000</f>
        <v>3712.9459999999999</v>
      </c>
      <c r="F2478" s="85">
        <f>STATS1003B!F2486/1000</f>
        <v>3712.9459999999999</v>
      </c>
      <c r="G2478" s="85">
        <f>STATS1003B!G2486/1000</f>
        <v>0</v>
      </c>
      <c r="H2478" s="85">
        <f>STATS1003B!H2486/1000</f>
        <v>3712.9459999999999</v>
      </c>
      <c r="I2478" s="85">
        <f>STATS1003B!I2486/1000</f>
        <v>0</v>
      </c>
      <c r="J2478" s="85">
        <f>STATS1003B!J2486/1000</f>
        <v>0</v>
      </c>
      <c r="K2478" s="85">
        <f>STATS1003B!K2486/1000</f>
        <v>0</v>
      </c>
      <c r="L2478" s="85">
        <f>STATS1003B!L2486/1000</f>
        <v>0</v>
      </c>
      <c r="M2478" s="85">
        <f>STATS1003B!M2486/1000</f>
        <v>3712.9459999999999</v>
      </c>
      <c r="N2478" s="85">
        <f>STATS1003B!N2486/1000</f>
        <v>0</v>
      </c>
      <c r="O2478" s="85">
        <f>STATS1003B!O2486/1000</f>
        <v>0</v>
      </c>
      <c r="P2478" s="85">
        <f>STATS1003B!P2486/1000</f>
        <v>0</v>
      </c>
      <c r="Q2478" s="85">
        <f>STATS1003B!Q2486/1000</f>
        <v>0</v>
      </c>
      <c r="R2478" s="85">
        <f>STATS1003B!R2486/1000</f>
        <v>0</v>
      </c>
      <c r="S2478" s="85">
        <f>STATS1003B!S2486/1000</f>
        <v>0</v>
      </c>
      <c r="T2478" s="85">
        <f>STATS1003B!T2486/1000</f>
        <v>0</v>
      </c>
      <c r="U2478" s="85">
        <f>STATS1003B!U2486/1000</f>
        <v>0</v>
      </c>
      <c r="V2478" s="85">
        <f>STATS1003B!V2486/1000</f>
        <v>3712.9459999999999</v>
      </c>
      <c r="W2478" s="85">
        <f>STATS1003B!W2486/1000</f>
        <v>0</v>
      </c>
      <c r="X2478" s="85">
        <f t="shared" si="274"/>
        <v>3712.9459999999999</v>
      </c>
      <c r="Y2478" s="85">
        <f>STATS1003B!Y2486/1000</f>
        <v>0</v>
      </c>
      <c r="Z2478" s="85">
        <f>STATS1003B!Z2486/1000</f>
        <v>0</v>
      </c>
      <c r="AA2478" s="69">
        <f>STATS1003B!AA2486/1000</f>
        <v>3712.9459999999999</v>
      </c>
      <c r="AB2478" s="69">
        <f>STATS1003B!AB2486/1000</f>
        <v>0</v>
      </c>
    </row>
    <row r="2479" spans="1:28" hidden="1" x14ac:dyDescent="0.3">
      <c r="A2479" s="117"/>
      <c r="C2479" s="68" t="s">
        <v>57</v>
      </c>
      <c r="D2479" s="145" t="s">
        <v>73</v>
      </c>
      <c r="E2479" s="85">
        <f>STATS1003B!E2487/1000</f>
        <v>1793.2015100000001</v>
      </c>
      <c r="F2479" s="85">
        <f>STATS1003B!F2487/1000</f>
        <v>1793.2015100000001</v>
      </c>
      <c r="G2479" s="85">
        <f>STATS1003B!G2487/1000</f>
        <v>0</v>
      </c>
      <c r="H2479" s="85">
        <f>STATS1003B!H2487/1000</f>
        <v>1793.2015100000001</v>
      </c>
      <c r="I2479" s="85">
        <f>STATS1003B!I2487/1000</f>
        <v>0</v>
      </c>
      <c r="J2479" s="85">
        <f>STATS1003B!J2487/1000</f>
        <v>0</v>
      </c>
      <c r="K2479" s="85">
        <f>STATS1003B!K2487/1000</f>
        <v>0</v>
      </c>
      <c r="L2479" s="85">
        <f>STATS1003B!L2487/1000</f>
        <v>0</v>
      </c>
      <c r="M2479" s="85">
        <f>STATS1003B!M2487/1000</f>
        <v>1793.2015100000001</v>
      </c>
      <c r="N2479" s="85">
        <f>STATS1003B!N2487/1000</f>
        <v>0</v>
      </c>
      <c r="O2479" s="85">
        <f>STATS1003B!O2487/1000</f>
        <v>0</v>
      </c>
      <c r="P2479" s="85">
        <f>STATS1003B!P2487/1000</f>
        <v>0</v>
      </c>
      <c r="Q2479" s="85">
        <f>STATS1003B!Q2487/1000</f>
        <v>0</v>
      </c>
      <c r="R2479" s="85">
        <f>STATS1003B!R2487/1000</f>
        <v>0</v>
      </c>
      <c r="S2479" s="85">
        <f>STATS1003B!S2487/1000</f>
        <v>0</v>
      </c>
      <c r="T2479" s="85">
        <f>STATS1003B!T2487/1000</f>
        <v>0</v>
      </c>
      <c r="U2479" s="85">
        <f>STATS1003B!U2487/1000</f>
        <v>0</v>
      </c>
      <c r="V2479" s="85">
        <f>STATS1003B!V2487/1000</f>
        <v>1793.2015100000001</v>
      </c>
      <c r="W2479" s="85">
        <f>STATS1003B!W2487/1000</f>
        <v>0</v>
      </c>
      <c r="X2479" s="85">
        <f t="shared" si="274"/>
        <v>1793.2015100000001</v>
      </c>
      <c r="Y2479" s="85">
        <f>STATS1003B!Y2487/1000</f>
        <v>0</v>
      </c>
      <c r="Z2479" s="85">
        <f>STATS1003B!Z2487/1000</f>
        <v>0</v>
      </c>
      <c r="AA2479" s="69">
        <f>STATS1003B!AA2487/1000</f>
        <v>1793.2015100000001</v>
      </c>
      <c r="AB2479" s="69">
        <f>STATS1003B!AB2487/1000</f>
        <v>0</v>
      </c>
    </row>
    <row r="2480" spans="1:28" hidden="1" x14ac:dyDescent="0.3">
      <c r="A2480" s="117"/>
      <c r="C2480" s="71" t="s">
        <v>109</v>
      </c>
      <c r="D2480" s="88" t="s">
        <v>60</v>
      </c>
      <c r="E2480" s="85">
        <f>STATS1003B!E2488/1000</f>
        <v>2500</v>
      </c>
      <c r="F2480" s="85">
        <f>STATS1003B!F2488/1000</f>
        <v>2500</v>
      </c>
      <c r="G2480" s="85">
        <f>STATS1003B!G2488/1000</f>
        <v>0</v>
      </c>
      <c r="H2480" s="85">
        <f>STATS1003B!H2488/1000</f>
        <v>2500</v>
      </c>
      <c r="I2480" s="85">
        <f>STATS1003B!I2488/1000</f>
        <v>0</v>
      </c>
      <c r="J2480" s="85">
        <f>STATS1003B!J2488/1000</f>
        <v>0</v>
      </c>
      <c r="K2480" s="85">
        <f>STATS1003B!K2488/1000</f>
        <v>0</v>
      </c>
      <c r="L2480" s="85">
        <f>STATS1003B!L2488/1000</f>
        <v>0</v>
      </c>
      <c r="M2480" s="85">
        <f>STATS1003B!M2488/1000</f>
        <v>2500</v>
      </c>
      <c r="N2480" s="85">
        <f>STATS1003B!N2488/1000</f>
        <v>0</v>
      </c>
      <c r="O2480" s="85">
        <f>STATS1003B!O2488/1000</f>
        <v>0</v>
      </c>
      <c r="P2480" s="85">
        <f>STATS1003B!P2488/1000</f>
        <v>0</v>
      </c>
      <c r="Q2480" s="85">
        <f>STATS1003B!Q2488/1000</f>
        <v>0</v>
      </c>
      <c r="R2480" s="85">
        <f>STATS1003B!R2488/1000</f>
        <v>0</v>
      </c>
      <c r="S2480" s="85">
        <f>STATS1003B!S2488/1000</f>
        <v>0</v>
      </c>
      <c r="T2480" s="85">
        <f>STATS1003B!T2488/1000</f>
        <v>0</v>
      </c>
      <c r="U2480" s="85">
        <f>STATS1003B!U2488/1000</f>
        <v>0</v>
      </c>
      <c r="V2480" s="85">
        <f>STATS1003B!V2488/1000</f>
        <v>2500</v>
      </c>
      <c r="W2480" s="85">
        <f>STATS1003B!W2488/1000</f>
        <v>0</v>
      </c>
      <c r="X2480" s="85">
        <f t="shared" si="274"/>
        <v>2500</v>
      </c>
      <c r="Y2480" s="85">
        <f>STATS1003B!Y2488/1000</f>
        <v>0</v>
      </c>
      <c r="Z2480" s="85">
        <f>STATS1003B!Z2488/1000</f>
        <v>0</v>
      </c>
      <c r="AA2480" s="69">
        <f>STATS1003B!AA2488/1000</f>
        <v>2500</v>
      </c>
      <c r="AB2480" s="69">
        <f>STATS1003B!AB2488/1000</f>
        <v>0</v>
      </c>
    </row>
    <row r="2481" spans="1:28" hidden="1" x14ac:dyDescent="0.3">
      <c r="A2481" s="117"/>
      <c r="C2481" s="68" t="s">
        <v>398</v>
      </c>
      <c r="E2481" s="85">
        <f>STATS1003B!E2489/1000</f>
        <v>791.03399999999999</v>
      </c>
      <c r="F2481" s="85">
        <f>STATS1003B!F2489/1000</f>
        <v>791.03399999999999</v>
      </c>
      <c r="G2481" s="85">
        <f>STATS1003B!G2489/1000</f>
        <v>0</v>
      </c>
      <c r="H2481" s="85">
        <f>STATS1003B!H2489/1000</f>
        <v>791.03399999999999</v>
      </c>
      <c r="I2481" s="85">
        <f>STATS1003B!I2489/1000</f>
        <v>0</v>
      </c>
      <c r="J2481" s="85">
        <f>STATS1003B!J2489/1000</f>
        <v>0</v>
      </c>
      <c r="K2481" s="85">
        <f>STATS1003B!K2489/1000</f>
        <v>0</v>
      </c>
      <c r="L2481" s="85">
        <f>STATS1003B!L2489/1000</f>
        <v>0</v>
      </c>
      <c r="M2481" s="85">
        <f>STATS1003B!M2489/1000</f>
        <v>791.03399999999999</v>
      </c>
      <c r="N2481" s="85">
        <f>STATS1003B!N2489/1000</f>
        <v>0</v>
      </c>
      <c r="O2481" s="85">
        <f>STATS1003B!O2489/1000</f>
        <v>0</v>
      </c>
      <c r="P2481" s="85">
        <f>STATS1003B!P2489/1000</f>
        <v>0</v>
      </c>
      <c r="Q2481" s="85">
        <f>STATS1003B!Q2489/1000</f>
        <v>0</v>
      </c>
      <c r="R2481" s="85">
        <f>STATS1003B!R2489/1000</f>
        <v>0</v>
      </c>
      <c r="S2481" s="85">
        <f>STATS1003B!S2489/1000</f>
        <v>0</v>
      </c>
      <c r="T2481" s="85">
        <f>STATS1003B!T2489/1000</f>
        <v>0</v>
      </c>
      <c r="U2481" s="85">
        <f>STATS1003B!U2489/1000</f>
        <v>0</v>
      </c>
      <c r="V2481" s="85">
        <f>STATS1003B!V2489/1000</f>
        <v>791.03399999999999</v>
      </c>
      <c r="W2481" s="85">
        <f>STATS1003B!W2489/1000</f>
        <v>0</v>
      </c>
      <c r="X2481" s="85">
        <f t="shared" si="274"/>
        <v>791.03399999999999</v>
      </c>
      <c r="Y2481" s="85">
        <f>STATS1003B!Y2489/1000</f>
        <v>0</v>
      </c>
      <c r="Z2481" s="85">
        <f>STATS1003B!Z2489/1000</f>
        <v>0</v>
      </c>
      <c r="AA2481" s="69">
        <f>STATS1003B!AA2489/1000</f>
        <v>791.03399999999999</v>
      </c>
      <c r="AB2481" s="69">
        <f>STATS1003B!AB2489/1000</f>
        <v>0</v>
      </c>
    </row>
    <row r="2482" spans="1:28" hidden="1" x14ac:dyDescent="0.3">
      <c r="A2482" s="117"/>
      <c r="C2482" s="68" t="s">
        <v>399</v>
      </c>
      <c r="E2482" s="85">
        <f>STATS1003B!E2490/1000</f>
        <v>187.732</v>
      </c>
      <c r="F2482" s="85">
        <f>STATS1003B!F2490/1000</f>
        <v>187.732</v>
      </c>
      <c r="G2482" s="85">
        <f>STATS1003B!G2490/1000</f>
        <v>0</v>
      </c>
      <c r="H2482" s="85">
        <f>STATS1003B!H2490/1000</f>
        <v>187.732</v>
      </c>
      <c r="I2482" s="85">
        <f>STATS1003B!I2490/1000</f>
        <v>0</v>
      </c>
      <c r="J2482" s="85">
        <f>STATS1003B!J2490/1000</f>
        <v>0</v>
      </c>
      <c r="K2482" s="85">
        <f>STATS1003B!K2490/1000</f>
        <v>0</v>
      </c>
      <c r="L2482" s="85">
        <f>STATS1003B!L2490/1000</f>
        <v>0</v>
      </c>
      <c r="M2482" s="85">
        <f>STATS1003B!M2490/1000</f>
        <v>187.732</v>
      </c>
      <c r="N2482" s="85">
        <f>STATS1003B!N2490/1000</f>
        <v>0</v>
      </c>
      <c r="O2482" s="85">
        <f>STATS1003B!O2490/1000</f>
        <v>0</v>
      </c>
      <c r="P2482" s="85">
        <f>STATS1003B!P2490/1000</f>
        <v>0</v>
      </c>
      <c r="Q2482" s="85">
        <f>STATS1003B!Q2490/1000</f>
        <v>0</v>
      </c>
      <c r="R2482" s="85">
        <f>STATS1003B!R2490/1000</f>
        <v>0</v>
      </c>
      <c r="S2482" s="85">
        <f>STATS1003B!S2490/1000</f>
        <v>0</v>
      </c>
      <c r="T2482" s="85">
        <f>STATS1003B!T2490/1000</f>
        <v>0</v>
      </c>
      <c r="U2482" s="85">
        <f>STATS1003B!U2490/1000</f>
        <v>0</v>
      </c>
      <c r="V2482" s="85">
        <f>STATS1003B!V2490/1000</f>
        <v>187.732</v>
      </c>
      <c r="W2482" s="85">
        <f>STATS1003B!W2490/1000</f>
        <v>0</v>
      </c>
      <c r="X2482" s="85">
        <f t="shared" si="274"/>
        <v>187.732</v>
      </c>
      <c r="Y2482" s="85">
        <f>STATS1003B!Y2490/1000</f>
        <v>0</v>
      </c>
      <c r="Z2482" s="85">
        <f>STATS1003B!Z2490/1000</f>
        <v>0</v>
      </c>
      <c r="AA2482" s="69">
        <f>STATS1003B!AA2490/1000</f>
        <v>187.732</v>
      </c>
      <c r="AB2482" s="69">
        <f>STATS1003B!AB2490/1000</f>
        <v>0</v>
      </c>
    </row>
    <row r="2483" spans="1:28" hidden="1" x14ac:dyDescent="0.3">
      <c r="A2483" s="117"/>
      <c r="C2483" s="68" t="s">
        <v>400</v>
      </c>
      <c r="E2483" s="85">
        <f>STATS1003B!E2491/1000</f>
        <v>2073</v>
      </c>
      <c r="F2483" s="85">
        <f>STATS1003B!F2491/1000</f>
        <v>2073</v>
      </c>
      <c r="G2483" s="85">
        <f>STATS1003B!G2491/1000</f>
        <v>0</v>
      </c>
      <c r="H2483" s="85">
        <f>STATS1003B!H2491/1000</f>
        <v>2073</v>
      </c>
      <c r="I2483" s="85">
        <f>STATS1003B!I2491/1000</f>
        <v>0</v>
      </c>
      <c r="J2483" s="85">
        <f>STATS1003B!J2491/1000</f>
        <v>0</v>
      </c>
      <c r="K2483" s="85">
        <f>STATS1003B!K2491/1000</f>
        <v>0</v>
      </c>
      <c r="L2483" s="85">
        <f>STATS1003B!L2491/1000</f>
        <v>0</v>
      </c>
      <c r="M2483" s="85">
        <f>STATS1003B!M2491/1000</f>
        <v>2073</v>
      </c>
      <c r="N2483" s="85">
        <f>STATS1003B!N2491/1000</f>
        <v>0</v>
      </c>
      <c r="O2483" s="85">
        <f>STATS1003B!O2491/1000</f>
        <v>0</v>
      </c>
      <c r="P2483" s="85">
        <f>STATS1003B!P2491/1000</f>
        <v>0</v>
      </c>
      <c r="Q2483" s="85">
        <f>STATS1003B!Q2491/1000</f>
        <v>0</v>
      </c>
      <c r="R2483" s="85">
        <f>STATS1003B!R2491/1000</f>
        <v>0</v>
      </c>
      <c r="S2483" s="85">
        <f>STATS1003B!S2491/1000</f>
        <v>0</v>
      </c>
      <c r="T2483" s="85">
        <f>STATS1003B!T2491/1000</f>
        <v>0</v>
      </c>
      <c r="U2483" s="85">
        <f>STATS1003B!U2491/1000</f>
        <v>0</v>
      </c>
      <c r="V2483" s="85">
        <f>STATS1003B!V2491/1000</f>
        <v>2073</v>
      </c>
      <c r="W2483" s="85">
        <f>STATS1003B!W2491/1000</f>
        <v>0</v>
      </c>
      <c r="X2483" s="85">
        <f t="shared" si="274"/>
        <v>2073</v>
      </c>
      <c r="Y2483" s="85">
        <f>STATS1003B!Y2491/1000</f>
        <v>0</v>
      </c>
      <c r="Z2483" s="85">
        <f>STATS1003B!Z2491/1000</f>
        <v>0</v>
      </c>
      <c r="AA2483" s="69">
        <f>STATS1003B!AA2491/1000</f>
        <v>2073</v>
      </c>
      <c r="AB2483" s="69">
        <f>STATS1003B!AB2491/1000</f>
        <v>0</v>
      </c>
    </row>
    <row r="2484" spans="1:28" hidden="1" x14ac:dyDescent="0.3">
      <c r="A2484" s="117"/>
      <c r="C2484" s="68" t="s">
        <v>401</v>
      </c>
      <c r="E2484" s="85">
        <f>STATS1003B!E2492/1000</f>
        <v>1407.72</v>
      </c>
      <c r="F2484" s="85">
        <f>STATS1003B!F2492/1000</f>
        <v>1407.72</v>
      </c>
      <c r="G2484" s="85">
        <f>STATS1003B!G2492/1000</f>
        <v>0</v>
      </c>
      <c r="H2484" s="85">
        <f>STATS1003B!H2492/1000</f>
        <v>1407.72</v>
      </c>
      <c r="I2484" s="85">
        <f>STATS1003B!I2492/1000</f>
        <v>0</v>
      </c>
      <c r="J2484" s="85">
        <f>STATS1003B!J2492/1000</f>
        <v>0</v>
      </c>
      <c r="K2484" s="85">
        <f>STATS1003B!K2492/1000</f>
        <v>0</v>
      </c>
      <c r="L2484" s="85">
        <f>STATS1003B!L2492/1000</f>
        <v>0</v>
      </c>
      <c r="M2484" s="85">
        <f>STATS1003B!M2492/1000</f>
        <v>1407.72</v>
      </c>
      <c r="N2484" s="85">
        <f>STATS1003B!N2492/1000</f>
        <v>0</v>
      </c>
      <c r="O2484" s="85">
        <f>STATS1003B!O2492/1000</f>
        <v>0</v>
      </c>
      <c r="P2484" s="85">
        <f>STATS1003B!P2492/1000</f>
        <v>0</v>
      </c>
      <c r="Q2484" s="85">
        <f>STATS1003B!Q2492/1000</f>
        <v>0</v>
      </c>
      <c r="R2484" s="85">
        <f>STATS1003B!R2492/1000</f>
        <v>0</v>
      </c>
      <c r="S2484" s="85">
        <f>STATS1003B!S2492/1000</f>
        <v>0</v>
      </c>
      <c r="T2484" s="85">
        <f>STATS1003B!T2492/1000</f>
        <v>0</v>
      </c>
      <c r="U2484" s="85">
        <f>STATS1003B!U2492/1000</f>
        <v>0</v>
      </c>
      <c r="V2484" s="85">
        <f>STATS1003B!V2492/1000</f>
        <v>1407.72</v>
      </c>
      <c r="W2484" s="85">
        <f>STATS1003B!W2492/1000</f>
        <v>0</v>
      </c>
      <c r="X2484" s="85">
        <f t="shared" si="274"/>
        <v>1407.72</v>
      </c>
      <c r="Y2484" s="85">
        <f>STATS1003B!Y2492/1000</f>
        <v>0</v>
      </c>
      <c r="Z2484" s="85">
        <f>STATS1003B!Z2492/1000</f>
        <v>0</v>
      </c>
      <c r="AA2484" s="69">
        <f>STATS1003B!AA2492/1000</f>
        <v>1407.72</v>
      </c>
      <c r="AB2484" s="69">
        <f>STATS1003B!AB2492/1000</f>
        <v>0</v>
      </c>
    </row>
    <row r="2485" spans="1:28" hidden="1" x14ac:dyDescent="0.3">
      <c r="A2485" s="117"/>
      <c r="C2485" s="68" t="s">
        <v>930</v>
      </c>
      <c r="D2485" s="91" t="s">
        <v>1072</v>
      </c>
      <c r="E2485" s="85">
        <f>STATS1003B!E2493/1000</f>
        <v>1469.57572</v>
      </c>
      <c r="F2485" s="85">
        <f>STATS1003B!F2493/1000</f>
        <v>1469.57572</v>
      </c>
      <c r="G2485" s="85">
        <f>STATS1003B!G2493/1000</f>
        <v>0</v>
      </c>
      <c r="H2485" s="85">
        <f>STATS1003B!H2493/1000</f>
        <v>1469.57572</v>
      </c>
      <c r="I2485" s="85">
        <f>STATS1003B!I2493/1000</f>
        <v>0</v>
      </c>
      <c r="J2485" s="85">
        <f>STATS1003B!J2493/1000</f>
        <v>0</v>
      </c>
      <c r="K2485" s="85">
        <f>STATS1003B!K2493/1000</f>
        <v>0</v>
      </c>
      <c r="L2485" s="85">
        <f>STATS1003B!L2493/1000</f>
        <v>0</v>
      </c>
      <c r="M2485" s="85">
        <f>STATS1003B!M2493/1000</f>
        <v>1469.57572</v>
      </c>
      <c r="N2485" s="85">
        <f>STATS1003B!N2493/1000</f>
        <v>0</v>
      </c>
      <c r="O2485" s="85">
        <f>STATS1003B!O2493/1000</f>
        <v>0</v>
      </c>
      <c r="P2485" s="85">
        <f>STATS1003B!P2493/1000</f>
        <v>0</v>
      </c>
      <c r="Q2485" s="85">
        <f>STATS1003B!Q2493/1000</f>
        <v>0</v>
      </c>
      <c r="R2485" s="85">
        <f>STATS1003B!R2493/1000</f>
        <v>0</v>
      </c>
      <c r="S2485" s="85">
        <f>STATS1003B!S2493/1000</f>
        <v>0</v>
      </c>
      <c r="T2485" s="85">
        <f>STATS1003B!T2493/1000</f>
        <v>0</v>
      </c>
      <c r="U2485" s="85">
        <f>STATS1003B!U2493/1000</f>
        <v>0</v>
      </c>
      <c r="V2485" s="85">
        <f>STATS1003B!V2493/1000</f>
        <v>1469.57572</v>
      </c>
      <c r="W2485" s="85">
        <f>STATS1003B!W2493/1000</f>
        <v>0</v>
      </c>
      <c r="X2485" s="85">
        <f t="shared" si="274"/>
        <v>1469.57572</v>
      </c>
      <c r="Y2485" s="85">
        <f>STATS1003B!Y2493/1000</f>
        <v>0</v>
      </c>
      <c r="Z2485" s="85">
        <f>STATS1003B!Z2493/1000</f>
        <v>0</v>
      </c>
      <c r="AA2485" s="69">
        <f>STATS1003B!AA2493/1000</f>
        <v>1469.57572</v>
      </c>
      <c r="AB2485" s="69">
        <f>STATS1003B!AB2493/1000</f>
        <v>0</v>
      </c>
    </row>
    <row r="2486" spans="1:28" hidden="1" x14ac:dyDescent="0.3">
      <c r="A2486" s="117"/>
      <c r="C2486" s="68" t="s">
        <v>57</v>
      </c>
      <c r="D2486" s="91" t="s">
        <v>61</v>
      </c>
      <c r="E2486" s="85">
        <f>STATS1003B!E2494/1000</f>
        <v>996.63350000000003</v>
      </c>
      <c r="F2486" s="85">
        <f>STATS1003B!F2494/1000</f>
        <v>981.14419999999996</v>
      </c>
      <c r="G2486" s="85">
        <f>STATS1003B!G2494/1000</f>
        <v>0</v>
      </c>
      <c r="H2486" s="85">
        <f>STATS1003B!H2494/1000</f>
        <v>981.14419999999996</v>
      </c>
      <c r="I2486" s="85">
        <f>STATS1003B!I2494/1000</f>
        <v>0</v>
      </c>
      <c r="J2486" s="85">
        <f>STATS1003B!J2494/1000</f>
        <v>0</v>
      </c>
      <c r="K2486" s="85">
        <f>STATS1003B!K2494/1000</f>
        <v>0</v>
      </c>
      <c r="L2486" s="85">
        <f>STATS1003B!L2494/1000</f>
        <v>0</v>
      </c>
      <c r="M2486" s="85">
        <f>STATS1003B!M2494/1000</f>
        <v>981.14419999999996</v>
      </c>
      <c r="N2486" s="85">
        <f>STATS1003B!N2494/1000</f>
        <v>0</v>
      </c>
      <c r="O2486" s="85">
        <f>STATS1003B!O2494/1000</f>
        <v>0</v>
      </c>
      <c r="P2486" s="85">
        <f>STATS1003B!P2494/1000</f>
        <v>0</v>
      </c>
      <c r="Q2486" s="85">
        <f>STATS1003B!Q2494/1000</f>
        <v>15.4893</v>
      </c>
      <c r="R2486" s="85">
        <f>STATS1003B!R2494/1000</f>
        <v>0</v>
      </c>
      <c r="S2486" s="85">
        <f>STATS1003B!S2494/1000</f>
        <v>0</v>
      </c>
      <c r="T2486" s="85">
        <f>STATS1003B!T2494/1000</f>
        <v>15.4893</v>
      </c>
      <c r="U2486" s="85">
        <f>STATS1003B!U2494/1000</f>
        <v>15.4893</v>
      </c>
      <c r="V2486" s="85">
        <f>STATS1003B!V2494/1000</f>
        <v>981.14419999999996</v>
      </c>
      <c r="W2486" s="85">
        <f>STATS1003B!W2494/1000</f>
        <v>15.489300000000046</v>
      </c>
      <c r="X2486" s="85">
        <f t="shared" si="274"/>
        <v>981.14419999999996</v>
      </c>
      <c r="Y2486" s="85">
        <f>STATS1003B!Y2494/1000</f>
        <v>0</v>
      </c>
      <c r="Z2486" s="85">
        <f>STATS1003B!Z2494/1000</f>
        <v>15.489300000000046</v>
      </c>
      <c r="AA2486" s="69">
        <f>STATS1003B!AA2494/1000</f>
        <v>996.63350000000003</v>
      </c>
      <c r="AB2486" s="69">
        <f>STATS1003B!AB2494/1000</f>
        <v>0</v>
      </c>
    </row>
    <row r="2487" spans="1:28" hidden="1" x14ac:dyDescent="0.3">
      <c r="A2487" s="117"/>
      <c r="C2487" s="69"/>
      <c r="E2487" s="86" t="s">
        <v>29</v>
      </c>
      <c r="F2487" s="86" t="s">
        <v>29</v>
      </c>
      <c r="G2487" s="86" t="s">
        <v>29</v>
      </c>
      <c r="H2487" s="86" t="s">
        <v>29</v>
      </c>
      <c r="I2487" s="86" t="s">
        <v>29</v>
      </c>
      <c r="J2487" s="86" t="s">
        <v>29</v>
      </c>
      <c r="K2487" s="86" t="s">
        <v>29</v>
      </c>
      <c r="L2487" s="86" t="s">
        <v>29</v>
      </c>
      <c r="M2487" s="86" t="s">
        <v>29</v>
      </c>
      <c r="N2487" s="86" t="s">
        <v>29</v>
      </c>
      <c r="O2487" s="86" t="s">
        <v>29</v>
      </c>
      <c r="P2487" s="86" t="s">
        <v>29</v>
      </c>
      <c r="Q2487" s="86" t="s">
        <v>29</v>
      </c>
      <c r="R2487" s="86" t="s">
        <v>29</v>
      </c>
      <c r="S2487" s="86" t="s">
        <v>29</v>
      </c>
      <c r="T2487" s="86" t="s">
        <v>29</v>
      </c>
      <c r="U2487" s="86" t="s">
        <v>29</v>
      </c>
      <c r="V2487" s="86" t="s">
        <v>29</v>
      </c>
      <c r="W2487" s="86" t="s">
        <v>29</v>
      </c>
      <c r="X2487" s="85" t="e">
        <f t="shared" si="274"/>
        <v>#VALUE!</v>
      </c>
      <c r="Y2487" s="86" t="s">
        <v>29</v>
      </c>
      <c r="Z2487" s="86" t="s">
        <v>29</v>
      </c>
      <c r="AA2487" s="115" t="s">
        <v>29</v>
      </c>
      <c r="AB2487" s="115" t="s">
        <v>29</v>
      </c>
    </row>
    <row r="2488" spans="1:28" x14ac:dyDescent="0.3">
      <c r="A2488" s="116">
        <v>108</v>
      </c>
      <c r="B2488" s="68" t="s">
        <v>396</v>
      </c>
      <c r="E2488" s="85">
        <f>75768989.36/1000</f>
        <v>75768.989359999992</v>
      </c>
      <c r="F2488" s="85">
        <f t="shared" ref="F2488:AB2488" si="275">SUM(F2473:F2486)</f>
        <v>31485.611129999998</v>
      </c>
      <c r="G2488" s="85">
        <f t="shared" si="275"/>
        <v>0</v>
      </c>
      <c r="H2488" s="85">
        <f>74425273.26/1000</f>
        <v>74425.273260000002</v>
      </c>
      <c r="I2488" s="85">
        <f t="shared" si="275"/>
        <v>0</v>
      </c>
      <c r="J2488" s="85">
        <f t="shared" si="275"/>
        <v>0</v>
      </c>
      <c r="K2488" s="85">
        <f t="shared" si="275"/>
        <v>0</v>
      </c>
      <c r="L2488" s="85">
        <f t="shared" si="275"/>
        <v>0</v>
      </c>
      <c r="M2488" s="85">
        <f t="shared" si="275"/>
        <v>31485.611129999998</v>
      </c>
      <c r="N2488" s="85">
        <f t="shared" si="275"/>
        <v>1328.2267999999999</v>
      </c>
      <c r="O2488" s="85">
        <f t="shared" si="275"/>
        <v>0</v>
      </c>
      <c r="P2488" s="85">
        <f>1328226/1000</f>
        <v>1328.2260000000001</v>
      </c>
      <c r="Q2488" s="85">
        <f t="shared" si="275"/>
        <v>15.4893</v>
      </c>
      <c r="R2488" s="85">
        <f t="shared" si="275"/>
        <v>0</v>
      </c>
      <c r="S2488" s="85">
        <f t="shared" si="275"/>
        <v>0</v>
      </c>
      <c r="T2488" s="85">
        <f t="shared" si="275"/>
        <v>15.4893</v>
      </c>
      <c r="U2488" s="85">
        <f t="shared" si="275"/>
        <v>1343.7160999999999</v>
      </c>
      <c r="V2488" s="85">
        <f t="shared" si="275"/>
        <v>32813.837930000002</v>
      </c>
      <c r="W2488" s="85">
        <f t="shared" si="275"/>
        <v>15.489300000000046</v>
      </c>
      <c r="X2488" s="85">
        <f>+H2488+P2488</f>
        <v>75753.499259999997</v>
      </c>
      <c r="Y2488" s="85">
        <f t="shared" si="275"/>
        <v>0</v>
      </c>
      <c r="Z2488" s="85">
        <f t="shared" ref="Z2488:Z2551" si="276">+E2488-X2488</f>
        <v>15.490099999995437</v>
      </c>
      <c r="AA2488" s="69">
        <f t="shared" si="275"/>
        <v>32829.327230000003</v>
      </c>
      <c r="AB2488" s="69">
        <f t="shared" si="275"/>
        <v>0</v>
      </c>
    </row>
    <row r="2489" spans="1:28" hidden="1" x14ac:dyDescent="0.3">
      <c r="A2489" s="117"/>
      <c r="E2489" s="86" t="s">
        <v>29</v>
      </c>
      <c r="F2489" s="86" t="s">
        <v>29</v>
      </c>
      <c r="G2489" s="86" t="s">
        <v>29</v>
      </c>
      <c r="H2489" s="86" t="s">
        <v>29</v>
      </c>
      <c r="I2489" s="86" t="s">
        <v>29</v>
      </c>
      <c r="J2489" s="86" t="s">
        <v>29</v>
      </c>
      <c r="K2489" s="86" t="s">
        <v>29</v>
      </c>
      <c r="L2489" s="86" t="s">
        <v>29</v>
      </c>
      <c r="M2489" s="86" t="s">
        <v>29</v>
      </c>
      <c r="N2489" s="86" t="s">
        <v>29</v>
      </c>
      <c r="O2489" s="86" t="s">
        <v>29</v>
      </c>
      <c r="P2489" s="86" t="s">
        <v>29</v>
      </c>
      <c r="Q2489" s="86" t="s">
        <v>29</v>
      </c>
      <c r="R2489" s="86" t="s">
        <v>29</v>
      </c>
      <c r="S2489" s="86" t="s">
        <v>29</v>
      </c>
      <c r="T2489" s="86" t="s">
        <v>29</v>
      </c>
      <c r="U2489" s="86" t="s">
        <v>29</v>
      </c>
      <c r="V2489" s="86" t="s">
        <v>29</v>
      </c>
      <c r="W2489" s="86" t="s">
        <v>29</v>
      </c>
      <c r="X2489" s="85" t="e">
        <f t="shared" si="274"/>
        <v>#VALUE!</v>
      </c>
      <c r="Y2489" s="86" t="s">
        <v>29</v>
      </c>
      <c r="Z2489" s="85" t="e">
        <f t="shared" si="276"/>
        <v>#VALUE!</v>
      </c>
      <c r="AA2489" s="115" t="s">
        <v>29</v>
      </c>
      <c r="AB2489" s="115" t="s">
        <v>29</v>
      </c>
    </row>
    <row r="2490" spans="1:28" hidden="1" x14ac:dyDescent="0.3">
      <c r="A2490" s="105"/>
      <c r="D2490" s="145" t="s">
        <v>403</v>
      </c>
      <c r="E2490" s="84"/>
      <c r="F2490" s="84"/>
      <c r="G2490" s="84"/>
      <c r="H2490" s="84"/>
      <c r="I2490" s="84"/>
      <c r="J2490" s="84"/>
      <c r="K2490" s="84"/>
      <c r="L2490" s="84"/>
      <c r="M2490" s="84"/>
      <c r="N2490" s="84"/>
      <c r="O2490" s="84"/>
      <c r="P2490" s="84"/>
      <c r="Q2490" s="84"/>
      <c r="R2490" s="84"/>
      <c r="S2490" s="84"/>
      <c r="T2490" s="84"/>
      <c r="U2490" s="84"/>
      <c r="V2490" s="84"/>
      <c r="W2490" s="84"/>
      <c r="X2490" s="85">
        <f t="shared" si="274"/>
        <v>0</v>
      </c>
      <c r="Y2490" s="84"/>
      <c r="Z2490" s="85">
        <f t="shared" si="276"/>
        <v>0</v>
      </c>
    </row>
    <row r="2491" spans="1:28" hidden="1" x14ac:dyDescent="0.3">
      <c r="A2491" s="117"/>
      <c r="C2491" s="68" t="s">
        <v>404</v>
      </c>
      <c r="D2491" s="145" t="s">
        <v>405</v>
      </c>
      <c r="E2491" s="85">
        <f>STATS1003B!E2499/1000</f>
        <v>6446.4445400000004</v>
      </c>
      <c r="F2491" s="85">
        <f>STATS1003B!F2499/1000</f>
        <v>6446.4445400000004</v>
      </c>
      <c r="G2491" s="85">
        <f>STATS1003B!G2499/1000</f>
        <v>0</v>
      </c>
      <c r="H2491" s="85">
        <f>STATS1003B!H2499/1000</f>
        <v>6446.4445400000004</v>
      </c>
      <c r="I2491" s="85">
        <f>STATS1003B!I2499/1000</f>
        <v>0</v>
      </c>
      <c r="J2491" s="85">
        <f>STATS1003B!J2499/1000</f>
        <v>0</v>
      </c>
      <c r="K2491" s="85">
        <f>STATS1003B!K2499/1000</f>
        <v>0</v>
      </c>
      <c r="L2491" s="85">
        <f>STATS1003B!L2499/1000</f>
        <v>0</v>
      </c>
      <c r="M2491" s="85">
        <f>STATS1003B!M2499/1000</f>
        <v>6446.4445400000004</v>
      </c>
      <c r="N2491" s="85">
        <f>STATS1003B!N2499/1000</f>
        <v>0</v>
      </c>
      <c r="O2491" s="85">
        <f>STATS1003B!O2499/1000</f>
        <v>0</v>
      </c>
      <c r="P2491" s="85">
        <f>STATS1003B!P2499/1000</f>
        <v>0</v>
      </c>
      <c r="Q2491" s="85">
        <f>STATS1003B!Q2499/1000</f>
        <v>0</v>
      </c>
      <c r="R2491" s="85">
        <f>STATS1003B!R2499/1000</f>
        <v>0</v>
      </c>
      <c r="S2491" s="85">
        <f>STATS1003B!S2499/1000</f>
        <v>0</v>
      </c>
      <c r="T2491" s="85">
        <f>STATS1003B!T2499/1000</f>
        <v>0</v>
      </c>
      <c r="U2491" s="85">
        <f>STATS1003B!U2499/1000</f>
        <v>0</v>
      </c>
      <c r="V2491" s="85">
        <f>STATS1003B!V2499/1000</f>
        <v>6446.4445400000004</v>
      </c>
      <c r="W2491" s="85">
        <f>STATS1003B!W2499/1000</f>
        <v>0</v>
      </c>
      <c r="X2491" s="85">
        <f t="shared" si="274"/>
        <v>6446.4445400000004</v>
      </c>
      <c r="Y2491" s="85">
        <f>STATS1003B!Y2499/1000</f>
        <v>0</v>
      </c>
      <c r="Z2491" s="85">
        <f t="shared" si="276"/>
        <v>0</v>
      </c>
      <c r="AA2491" s="69">
        <f>STATS1003B!AA2499/1000</f>
        <v>6446.4445400000004</v>
      </c>
      <c r="AB2491" s="69">
        <f>STATS1003B!AB2499/1000</f>
        <v>0</v>
      </c>
    </row>
    <row r="2492" spans="1:28" hidden="1" x14ac:dyDescent="0.3">
      <c r="A2492" s="117"/>
      <c r="C2492" s="68" t="s">
        <v>57</v>
      </c>
      <c r="D2492" s="145" t="s">
        <v>54</v>
      </c>
      <c r="E2492" s="85">
        <f>STATS1003B!E2500/1000</f>
        <v>519.80999999999995</v>
      </c>
      <c r="F2492" s="85">
        <f>STATS1003B!F2500/1000</f>
        <v>519.80999999999995</v>
      </c>
      <c r="G2492" s="85">
        <f>STATS1003B!G2500/1000</f>
        <v>0</v>
      </c>
      <c r="H2492" s="85">
        <f>STATS1003B!H2500/1000</f>
        <v>519.80999999999995</v>
      </c>
      <c r="I2492" s="85">
        <f>STATS1003B!I2500/1000</f>
        <v>0</v>
      </c>
      <c r="J2492" s="85">
        <f>STATS1003B!J2500/1000</f>
        <v>0</v>
      </c>
      <c r="K2492" s="85">
        <f>STATS1003B!K2500/1000</f>
        <v>0</v>
      </c>
      <c r="L2492" s="85">
        <f>STATS1003B!L2500/1000</f>
        <v>0</v>
      </c>
      <c r="M2492" s="85">
        <f>STATS1003B!M2500/1000</f>
        <v>519.80999999999995</v>
      </c>
      <c r="N2492" s="85">
        <f>STATS1003B!N2500/1000</f>
        <v>0</v>
      </c>
      <c r="O2492" s="85">
        <f>STATS1003B!O2500/1000</f>
        <v>0</v>
      </c>
      <c r="P2492" s="85">
        <f>STATS1003B!P2500/1000</f>
        <v>0</v>
      </c>
      <c r="Q2492" s="85">
        <f>STATS1003B!Q2500/1000</f>
        <v>0</v>
      </c>
      <c r="R2492" s="85">
        <f>STATS1003B!R2500/1000</f>
        <v>0</v>
      </c>
      <c r="S2492" s="85">
        <f>STATS1003B!S2500/1000</f>
        <v>0</v>
      </c>
      <c r="T2492" s="85">
        <f>STATS1003B!T2500/1000</f>
        <v>0</v>
      </c>
      <c r="U2492" s="85">
        <f>STATS1003B!U2500/1000</f>
        <v>0</v>
      </c>
      <c r="V2492" s="85">
        <f>STATS1003B!V2500/1000</f>
        <v>519.80999999999995</v>
      </c>
      <c r="W2492" s="85">
        <f>STATS1003B!W2500/1000</f>
        <v>0</v>
      </c>
      <c r="X2492" s="85">
        <f t="shared" si="274"/>
        <v>519.80999999999995</v>
      </c>
      <c r="Y2492" s="85">
        <f>STATS1003B!Y2500/1000</f>
        <v>0</v>
      </c>
      <c r="Z2492" s="85">
        <f t="shared" si="276"/>
        <v>0</v>
      </c>
      <c r="AA2492" s="69">
        <f>STATS1003B!AA2500/1000</f>
        <v>519.80999999999995</v>
      </c>
      <c r="AB2492" s="69">
        <f>STATS1003B!AB2500/1000</f>
        <v>0</v>
      </c>
    </row>
    <row r="2493" spans="1:28" hidden="1" x14ac:dyDescent="0.3">
      <c r="A2493" s="117"/>
      <c r="C2493" s="68" t="s">
        <v>53</v>
      </c>
      <c r="D2493" s="145" t="s">
        <v>85</v>
      </c>
      <c r="E2493" s="85">
        <f>STATS1003B!E2501/1000</f>
        <v>570.94100000000003</v>
      </c>
      <c r="F2493" s="85">
        <f>STATS1003B!F2501/1000</f>
        <v>0</v>
      </c>
      <c r="G2493" s="85">
        <f>STATS1003B!G2501/1000</f>
        <v>0</v>
      </c>
      <c r="H2493" s="85">
        <f>STATS1003B!H2501/1000</f>
        <v>0</v>
      </c>
      <c r="I2493" s="85">
        <f>STATS1003B!I2501/1000</f>
        <v>0</v>
      </c>
      <c r="J2493" s="85">
        <f>STATS1003B!J2501/1000</f>
        <v>0</v>
      </c>
      <c r="K2493" s="85">
        <f>STATS1003B!K2501/1000</f>
        <v>0</v>
      </c>
      <c r="L2493" s="85">
        <f>STATS1003B!L2501/1000</f>
        <v>0</v>
      </c>
      <c r="M2493" s="85">
        <f>STATS1003B!M2501/1000</f>
        <v>0</v>
      </c>
      <c r="N2493" s="85">
        <f>STATS1003B!N2501/1000</f>
        <v>570.94100000000003</v>
      </c>
      <c r="O2493" s="85">
        <f>STATS1003B!O2501/1000</f>
        <v>0</v>
      </c>
      <c r="P2493" s="85">
        <f>STATS1003B!P2501/1000</f>
        <v>570.94100000000003</v>
      </c>
      <c r="Q2493" s="85">
        <f>STATS1003B!Q2501/1000</f>
        <v>0</v>
      </c>
      <c r="R2493" s="85">
        <f>STATS1003B!R2501/1000</f>
        <v>0</v>
      </c>
      <c r="S2493" s="85">
        <f>STATS1003B!S2501/1000</f>
        <v>0</v>
      </c>
      <c r="T2493" s="85">
        <f>STATS1003B!T2501/1000</f>
        <v>0</v>
      </c>
      <c r="U2493" s="85">
        <f>STATS1003B!U2501/1000</f>
        <v>570.94100000000003</v>
      </c>
      <c r="V2493" s="85">
        <f>STATS1003B!V2501/1000</f>
        <v>570.94100000000003</v>
      </c>
      <c r="W2493" s="85">
        <f>STATS1003B!W2501/1000</f>
        <v>0</v>
      </c>
      <c r="X2493" s="85">
        <f t="shared" si="274"/>
        <v>570.94100000000003</v>
      </c>
      <c r="Y2493" s="85">
        <f>STATS1003B!Y2501/1000</f>
        <v>0</v>
      </c>
      <c r="Z2493" s="85">
        <f t="shared" si="276"/>
        <v>0</v>
      </c>
      <c r="AA2493" s="69">
        <f>STATS1003B!AA2501/1000</f>
        <v>570.94100000000003</v>
      </c>
      <c r="AB2493" s="69">
        <f>STATS1003B!AB2501/1000</f>
        <v>0</v>
      </c>
    </row>
    <row r="2494" spans="1:28" hidden="1" x14ac:dyDescent="0.3">
      <c r="A2494" s="117"/>
      <c r="C2494" s="68" t="s">
        <v>57</v>
      </c>
      <c r="D2494" s="145" t="s">
        <v>60</v>
      </c>
      <c r="E2494" s="85">
        <f>STATS1003B!E2502/1000</f>
        <v>544.58500000000004</v>
      </c>
      <c r="F2494" s="85">
        <f>STATS1003B!F2502/1000</f>
        <v>544.58500000000004</v>
      </c>
      <c r="G2494" s="85">
        <f>STATS1003B!G2502/1000</f>
        <v>0</v>
      </c>
      <c r="H2494" s="85">
        <f>STATS1003B!H2502/1000</f>
        <v>544.58500000000004</v>
      </c>
      <c r="I2494" s="85">
        <f>STATS1003B!I2502/1000</f>
        <v>0</v>
      </c>
      <c r="J2494" s="85">
        <f>STATS1003B!J2502/1000</f>
        <v>0</v>
      </c>
      <c r="K2494" s="85">
        <f>STATS1003B!K2502/1000</f>
        <v>0</v>
      </c>
      <c r="L2494" s="85">
        <f>STATS1003B!L2502/1000</f>
        <v>0</v>
      </c>
      <c r="M2494" s="85">
        <f>STATS1003B!M2502/1000</f>
        <v>544.58500000000004</v>
      </c>
      <c r="N2494" s="85">
        <f>STATS1003B!N2502/1000</f>
        <v>0</v>
      </c>
      <c r="O2494" s="85">
        <f>STATS1003B!O2502/1000</f>
        <v>0</v>
      </c>
      <c r="P2494" s="85">
        <f>STATS1003B!P2502/1000</f>
        <v>0</v>
      </c>
      <c r="Q2494" s="85">
        <f>STATS1003B!Q2502/1000</f>
        <v>0</v>
      </c>
      <c r="R2494" s="85">
        <f>STATS1003B!R2502/1000</f>
        <v>0</v>
      </c>
      <c r="S2494" s="85">
        <f>STATS1003B!S2502/1000</f>
        <v>0</v>
      </c>
      <c r="T2494" s="85">
        <f>STATS1003B!T2502/1000</f>
        <v>0</v>
      </c>
      <c r="U2494" s="85">
        <f>STATS1003B!U2502/1000</f>
        <v>0</v>
      </c>
      <c r="V2494" s="85">
        <f>STATS1003B!V2502/1000</f>
        <v>544.58500000000004</v>
      </c>
      <c r="W2494" s="85">
        <f>STATS1003B!W2502/1000</f>
        <v>0</v>
      </c>
      <c r="X2494" s="85">
        <f t="shared" si="274"/>
        <v>544.58500000000004</v>
      </c>
      <c r="Y2494" s="85">
        <f>STATS1003B!Y2502/1000</f>
        <v>0</v>
      </c>
      <c r="Z2494" s="85">
        <f t="shared" si="276"/>
        <v>0</v>
      </c>
      <c r="AA2494" s="69">
        <f>STATS1003B!AA2502/1000</f>
        <v>544.58500000000004</v>
      </c>
      <c r="AB2494" s="69">
        <f>STATS1003B!AB2502/1000</f>
        <v>0</v>
      </c>
    </row>
    <row r="2495" spans="1:28" hidden="1" x14ac:dyDescent="0.3">
      <c r="A2495" s="117"/>
      <c r="C2495" s="68" t="s">
        <v>57</v>
      </c>
      <c r="D2495" s="145" t="s">
        <v>73</v>
      </c>
      <c r="E2495" s="85">
        <f>STATS1003B!E2503/1000</f>
        <v>1187.5784199999998</v>
      </c>
      <c r="F2495" s="85">
        <f>STATS1003B!F2503/1000</f>
        <v>1187.5784199999998</v>
      </c>
      <c r="G2495" s="85">
        <f>STATS1003B!G2503/1000</f>
        <v>0</v>
      </c>
      <c r="H2495" s="85">
        <f>STATS1003B!H2503/1000</f>
        <v>1187.5784199999998</v>
      </c>
      <c r="I2495" s="85">
        <f>STATS1003B!I2503/1000</f>
        <v>0</v>
      </c>
      <c r="J2495" s="85">
        <f>STATS1003B!J2503/1000</f>
        <v>0</v>
      </c>
      <c r="K2495" s="85">
        <f>STATS1003B!K2503/1000</f>
        <v>0</v>
      </c>
      <c r="L2495" s="85">
        <f>STATS1003B!L2503/1000</f>
        <v>0</v>
      </c>
      <c r="M2495" s="85">
        <f>STATS1003B!M2503/1000</f>
        <v>1187.5784199999998</v>
      </c>
      <c r="N2495" s="85">
        <f>STATS1003B!N2503/1000</f>
        <v>0</v>
      </c>
      <c r="O2495" s="85">
        <f>STATS1003B!O2503/1000</f>
        <v>0</v>
      </c>
      <c r="P2495" s="85">
        <f>STATS1003B!P2503/1000</f>
        <v>0</v>
      </c>
      <c r="Q2495" s="85">
        <f>STATS1003B!Q2503/1000</f>
        <v>0</v>
      </c>
      <c r="R2495" s="85">
        <f>STATS1003B!R2503/1000</f>
        <v>0</v>
      </c>
      <c r="S2495" s="85">
        <f>STATS1003B!S2503/1000</f>
        <v>0</v>
      </c>
      <c r="T2495" s="85">
        <f>STATS1003B!T2503/1000</f>
        <v>0</v>
      </c>
      <c r="U2495" s="85">
        <f>STATS1003B!U2503/1000</f>
        <v>0</v>
      </c>
      <c r="V2495" s="85">
        <f>STATS1003B!V2503/1000</f>
        <v>1187.5784199999998</v>
      </c>
      <c r="W2495" s="85">
        <f>STATS1003B!W2503/1000</f>
        <v>0</v>
      </c>
      <c r="X2495" s="85">
        <f t="shared" si="274"/>
        <v>1187.5784199999998</v>
      </c>
      <c r="Y2495" s="85">
        <f>STATS1003B!Y2503/1000</f>
        <v>0</v>
      </c>
      <c r="Z2495" s="85">
        <f t="shared" si="276"/>
        <v>0</v>
      </c>
      <c r="AA2495" s="69">
        <f>STATS1003B!AA2503/1000</f>
        <v>1187.5784199999998</v>
      </c>
      <c r="AB2495" s="69">
        <f>STATS1003B!AB2503/1000</f>
        <v>0</v>
      </c>
    </row>
    <row r="2496" spans="1:28" hidden="1" x14ac:dyDescent="0.3">
      <c r="A2496" s="117"/>
      <c r="C2496" s="68" t="s">
        <v>406</v>
      </c>
      <c r="D2496" s="68" t="s">
        <v>71</v>
      </c>
      <c r="E2496" s="85">
        <f>STATS1003B!E2504/1000</f>
        <v>1243</v>
      </c>
      <c r="F2496" s="85">
        <f>STATS1003B!F2504/1000</f>
        <v>1243</v>
      </c>
      <c r="G2496" s="85">
        <f>STATS1003B!G2504/1000</f>
        <v>0</v>
      </c>
      <c r="H2496" s="85">
        <f>STATS1003B!H2504/1000</f>
        <v>1243</v>
      </c>
      <c r="I2496" s="85">
        <f>STATS1003B!I2504/1000</f>
        <v>0</v>
      </c>
      <c r="J2496" s="85">
        <f>STATS1003B!J2504/1000</f>
        <v>0</v>
      </c>
      <c r="K2496" s="85">
        <f>STATS1003B!K2504/1000</f>
        <v>0</v>
      </c>
      <c r="L2496" s="85">
        <f>STATS1003B!L2504/1000</f>
        <v>0</v>
      </c>
      <c r="M2496" s="85">
        <f>STATS1003B!M2504/1000</f>
        <v>1243</v>
      </c>
      <c r="N2496" s="85">
        <f>STATS1003B!N2504/1000</f>
        <v>0</v>
      </c>
      <c r="O2496" s="85">
        <f>STATS1003B!O2504/1000</f>
        <v>0</v>
      </c>
      <c r="P2496" s="85">
        <f>STATS1003B!P2504/1000</f>
        <v>0</v>
      </c>
      <c r="Q2496" s="85">
        <f>STATS1003B!Q2504/1000</f>
        <v>0</v>
      </c>
      <c r="R2496" s="85">
        <f>STATS1003B!R2504/1000</f>
        <v>0</v>
      </c>
      <c r="S2496" s="85">
        <f>STATS1003B!S2504/1000</f>
        <v>0</v>
      </c>
      <c r="T2496" s="85">
        <f>STATS1003B!T2504/1000</f>
        <v>0</v>
      </c>
      <c r="U2496" s="85">
        <f>STATS1003B!U2504/1000</f>
        <v>0</v>
      </c>
      <c r="V2496" s="85">
        <f>STATS1003B!V2504/1000</f>
        <v>1243</v>
      </c>
      <c r="W2496" s="85">
        <f>STATS1003B!W2504/1000</f>
        <v>0</v>
      </c>
      <c r="X2496" s="85">
        <f t="shared" si="274"/>
        <v>1243</v>
      </c>
      <c r="Y2496" s="85">
        <f>STATS1003B!Y2504/1000</f>
        <v>0</v>
      </c>
      <c r="Z2496" s="85">
        <f t="shared" si="276"/>
        <v>0</v>
      </c>
      <c r="AA2496" s="69">
        <f>STATS1003B!AA2504/1000</f>
        <v>1243</v>
      </c>
      <c r="AB2496" s="69">
        <f>STATS1003B!AB2504/1000</f>
        <v>0</v>
      </c>
    </row>
    <row r="2497" spans="1:28" hidden="1" x14ac:dyDescent="0.3">
      <c r="A2497" s="117"/>
      <c r="C2497" s="68" t="s">
        <v>57</v>
      </c>
      <c r="D2497" s="90" t="s">
        <v>61</v>
      </c>
      <c r="E2497" s="85">
        <f>STATS1003B!E2505/1000</f>
        <v>1543.53226</v>
      </c>
      <c r="F2497" s="85">
        <f>STATS1003B!F2505/1000</f>
        <v>1543.53226</v>
      </c>
      <c r="G2497" s="85">
        <f>STATS1003B!G2505/1000</f>
        <v>0</v>
      </c>
      <c r="H2497" s="85">
        <f>STATS1003B!H2505/1000</f>
        <v>1543.53226</v>
      </c>
      <c r="I2497" s="85">
        <f>STATS1003B!I2505/1000</f>
        <v>0</v>
      </c>
      <c r="J2497" s="85">
        <f>STATS1003B!J2505/1000</f>
        <v>0</v>
      </c>
      <c r="K2497" s="85">
        <f>STATS1003B!K2505/1000</f>
        <v>0</v>
      </c>
      <c r="L2497" s="85">
        <f>STATS1003B!L2505/1000</f>
        <v>0</v>
      </c>
      <c r="M2497" s="85">
        <f>STATS1003B!M2505/1000</f>
        <v>1543.53226</v>
      </c>
      <c r="N2497" s="85">
        <f>STATS1003B!N2505/1000</f>
        <v>0</v>
      </c>
      <c r="O2497" s="85">
        <f>STATS1003B!O2505/1000</f>
        <v>0</v>
      </c>
      <c r="P2497" s="85">
        <f>STATS1003B!P2505/1000</f>
        <v>0</v>
      </c>
      <c r="Q2497" s="85">
        <f>STATS1003B!Q2505/1000</f>
        <v>0</v>
      </c>
      <c r="R2497" s="85">
        <f>STATS1003B!R2505/1000</f>
        <v>0</v>
      </c>
      <c r="S2497" s="85">
        <f>STATS1003B!S2505/1000</f>
        <v>0</v>
      </c>
      <c r="T2497" s="85">
        <f>STATS1003B!T2505/1000</f>
        <v>0</v>
      </c>
      <c r="U2497" s="85">
        <f>STATS1003B!U2505/1000</f>
        <v>0</v>
      </c>
      <c r="V2497" s="85">
        <f>STATS1003B!V2505/1000</f>
        <v>1543.53226</v>
      </c>
      <c r="W2497" s="85">
        <f>STATS1003B!W2505/1000</f>
        <v>0</v>
      </c>
      <c r="X2497" s="85">
        <f t="shared" si="274"/>
        <v>1543.53226</v>
      </c>
      <c r="Y2497" s="85">
        <f>STATS1003B!Y2505/1000</f>
        <v>0</v>
      </c>
      <c r="Z2497" s="85">
        <f t="shared" si="276"/>
        <v>0</v>
      </c>
      <c r="AA2497" s="69">
        <f>STATS1003B!AA2505/1000</f>
        <v>1543.53226</v>
      </c>
      <c r="AB2497" s="69">
        <f>STATS1003B!AB2505/1000</f>
        <v>0</v>
      </c>
    </row>
    <row r="2498" spans="1:28" hidden="1" x14ac:dyDescent="0.3">
      <c r="A2498" s="117"/>
      <c r="E2498" s="86" t="s">
        <v>29</v>
      </c>
      <c r="F2498" s="86" t="s">
        <v>29</v>
      </c>
      <c r="G2498" s="86" t="s">
        <v>29</v>
      </c>
      <c r="H2498" s="86" t="s">
        <v>29</v>
      </c>
      <c r="I2498" s="86" t="s">
        <v>29</v>
      </c>
      <c r="J2498" s="86" t="s">
        <v>29</v>
      </c>
      <c r="K2498" s="86" t="s">
        <v>29</v>
      </c>
      <c r="L2498" s="86" t="s">
        <v>29</v>
      </c>
      <c r="M2498" s="86" t="s">
        <v>29</v>
      </c>
      <c r="N2498" s="86" t="s">
        <v>29</v>
      </c>
      <c r="O2498" s="86" t="s">
        <v>29</v>
      </c>
      <c r="P2498" s="86" t="s">
        <v>29</v>
      </c>
      <c r="Q2498" s="86" t="s">
        <v>29</v>
      </c>
      <c r="R2498" s="86" t="s">
        <v>29</v>
      </c>
      <c r="S2498" s="86" t="s">
        <v>29</v>
      </c>
      <c r="T2498" s="86" t="s">
        <v>29</v>
      </c>
      <c r="U2498" s="86" t="s">
        <v>29</v>
      </c>
      <c r="V2498" s="86" t="s">
        <v>29</v>
      </c>
      <c r="W2498" s="86" t="s">
        <v>29</v>
      </c>
      <c r="X2498" s="85" t="e">
        <f t="shared" si="274"/>
        <v>#VALUE!</v>
      </c>
      <c r="Y2498" s="86" t="s">
        <v>29</v>
      </c>
      <c r="Z2498" s="85" t="e">
        <f t="shared" si="276"/>
        <v>#VALUE!</v>
      </c>
      <c r="AA2498" s="115" t="s">
        <v>29</v>
      </c>
      <c r="AB2498" s="115" t="s">
        <v>29</v>
      </c>
    </row>
    <row r="2499" spans="1:28" x14ac:dyDescent="0.3">
      <c r="A2499" s="116">
        <v>109</v>
      </c>
      <c r="B2499" s="68" t="s">
        <v>402</v>
      </c>
      <c r="E2499" s="85">
        <f>24202489.3/1000</f>
        <v>24202.489300000001</v>
      </c>
      <c r="F2499" s="85">
        <f t="shared" ref="F2499:AB2499" si="277">SUM(F2491:F2497)</f>
        <v>11484.950219999999</v>
      </c>
      <c r="G2499" s="85">
        <f t="shared" si="277"/>
        <v>0</v>
      </c>
      <c r="H2499" s="85">
        <f>23631548.3/1000</f>
        <v>23631.548300000002</v>
      </c>
      <c r="I2499" s="85">
        <f t="shared" si="277"/>
        <v>0</v>
      </c>
      <c r="J2499" s="85">
        <f t="shared" si="277"/>
        <v>0</v>
      </c>
      <c r="K2499" s="85">
        <f t="shared" si="277"/>
        <v>0</v>
      </c>
      <c r="L2499" s="85">
        <f t="shared" si="277"/>
        <v>0</v>
      </c>
      <c r="M2499" s="85">
        <f t="shared" si="277"/>
        <v>11484.950219999999</v>
      </c>
      <c r="N2499" s="85">
        <f t="shared" si="277"/>
        <v>570.94100000000003</v>
      </c>
      <c r="O2499" s="85">
        <f t="shared" si="277"/>
        <v>0</v>
      </c>
      <c r="P2499" s="85">
        <f>570941/1000</f>
        <v>570.94100000000003</v>
      </c>
      <c r="Q2499" s="85">
        <f t="shared" si="277"/>
        <v>0</v>
      </c>
      <c r="R2499" s="85">
        <f t="shared" si="277"/>
        <v>0</v>
      </c>
      <c r="S2499" s="85">
        <f t="shared" si="277"/>
        <v>0</v>
      </c>
      <c r="T2499" s="85">
        <f t="shared" si="277"/>
        <v>0</v>
      </c>
      <c r="U2499" s="85">
        <f t="shared" si="277"/>
        <v>570.94100000000003</v>
      </c>
      <c r="V2499" s="85">
        <f t="shared" si="277"/>
        <v>12055.89122</v>
      </c>
      <c r="W2499" s="85">
        <f t="shared" si="277"/>
        <v>0</v>
      </c>
      <c r="X2499" s="85">
        <f>+H2499+P2499</f>
        <v>24202.489300000001</v>
      </c>
      <c r="Y2499" s="85">
        <f t="shared" si="277"/>
        <v>0</v>
      </c>
      <c r="Z2499" s="85">
        <f t="shared" si="276"/>
        <v>0</v>
      </c>
      <c r="AA2499" s="69">
        <f t="shared" si="277"/>
        <v>12055.89122</v>
      </c>
      <c r="AB2499" s="69">
        <f t="shared" si="277"/>
        <v>0</v>
      </c>
    </row>
    <row r="2500" spans="1:28" hidden="1" x14ac:dyDescent="0.3">
      <c r="A2500" s="117"/>
      <c r="E2500" s="86" t="s">
        <v>29</v>
      </c>
      <c r="F2500" s="86" t="s">
        <v>29</v>
      </c>
      <c r="G2500" s="86" t="s">
        <v>29</v>
      </c>
      <c r="H2500" s="86" t="s">
        <v>29</v>
      </c>
      <c r="I2500" s="86" t="s">
        <v>29</v>
      </c>
      <c r="J2500" s="86" t="s">
        <v>29</v>
      </c>
      <c r="K2500" s="86" t="s">
        <v>29</v>
      </c>
      <c r="L2500" s="86" t="s">
        <v>29</v>
      </c>
      <c r="M2500" s="86" t="s">
        <v>29</v>
      </c>
      <c r="N2500" s="86" t="s">
        <v>29</v>
      </c>
      <c r="O2500" s="86" t="s">
        <v>29</v>
      </c>
      <c r="P2500" s="86" t="s">
        <v>29</v>
      </c>
      <c r="Q2500" s="86" t="s">
        <v>29</v>
      </c>
      <c r="R2500" s="86" t="s">
        <v>29</v>
      </c>
      <c r="S2500" s="86" t="s">
        <v>29</v>
      </c>
      <c r="T2500" s="86" t="s">
        <v>29</v>
      </c>
      <c r="U2500" s="86" t="s">
        <v>29</v>
      </c>
      <c r="V2500" s="86" t="s">
        <v>29</v>
      </c>
      <c r="W2500" s="86" t="s">
        <v>29</v>
      </c>
      <c r="X2500" s="85" t="e">
        <f t="shared" si="274"/>
        <v>#VALUE!</v>
      </c>
      <c r="Y2500" s="86" t="s">
        <v>29</v>
      </c>
      <c r="Z2500" s="85" t="e">
        <f t="shared" si="276"/>
        <v>#VALUE!</v>
      </c>
      <c r="AA2500" s="115" t="s">
        <v>29</v>
      </c>
      <c r="AB2500" s="115" t="s">
        <v>29</v>
      </c>
    </row>
    <row r="2501" spans="1:28" hidden="1" x14ac:dyDescent="0.3">
      <c r="A2501" s="105"/>
      <c r="E2501" s="84"/>
      <c r="F2501" s="84"/>
      <c r="G2501" s="84"/>
      <c r="H2501" s="84"/>
      <c r="I2501" s="84"/>
      <c r="J2501" s="84"/>
      <c r="K2501" s="84"/>
      <c r="L2501" s="84"/>
      <c r="M2501" s="84"/>
      <c r="N2501" s="84"/>
      <c r="O2501" s="84"/>
      <c r="P2501" s="84"/>
      <c r="Q2501" s="84"/>
      <c r="R2501" s="84"/>
      <c r="S2501" s="84"/>
      <c r="T2501" s="84"/>
      <c r="U2501" s="84"/>
      <c r="V2501" s="84"/>
      <c r="W2501" s="84"/>
      <c r="X2501" s="85">
        <f t="shared" si="274"/>
        <v>0</v>
      </c>
      <c r="Y2501" s="84"/>
      <c r="Z2501" s="85">
        <f t="shared" si="276"/>
        <v>0</v>
      </c>
    </row>
    <row r="2502" spans="1:28" hidden="1" x14ac:dyDescent="0.3">
      <c r="A2502" s="117"/>
      <c r="C2502" s="68" t="s">
        <v>397</v>
      </c>
      <c r="D2502" s="145" t="s">
        <v>408</v>
      </c>
      <c r="E2502" s="85">
        <f>STATS1003B!E2510/1000</f>
        <v>4674.9766500000005</v>
      </c>
      <c r="F2502" s="85">
        <f>STATS1003B!F2510/1000</f>
        <v>4674.9766500000005</v>
      </c>
      <c r="G2502" s="85">
        <f>STATS1003B!G2510/1000</f>
        <v>0</v>
      </c>
      <c r="H2502" s="85">
        <f>STATS1003B!H2510/1000</f>
        <v>4674.9766500000005</v>
      </c>
      <c r="I2502" s="85">
        <f>STATS1003B!I2510/1000</f>
        <v>0</v>
      </c>
      <c r="J2502" s="85">
        <f>STATS1003B!J2510/1000</f>
        <v>0</v>
      </c>
      <c r="K2502" s="85">
        <f>STATS1003B!K2510/1000</f>
        <v>0</v>
      </c>
      <c r="L2502" s="85">
        <f>STATS1003B!L2510/1000</f>
        <v>0</v>
      </c>
      <c r="M2502" s="85">
        <f>STATS1003B!M2510/1000</f>
        <v>4674.9766500000005</v>
      </c>
      <c r="N2502" s="85">
        <f>STATS1003B!N2510/1000</f>
        <v>0</v>
      </c>
      <c r="O2502" s="85">
        <f>STATS1003B!O2510/1000</f>
        <v>0</v>
      </c>
      <c r="P2502" s="85">
        <f>STATS1003B!P2510/1000</f>
        <v>0</v>
      </c>
      <c r="Q2502" s="85">
        <f>STATS1003B!Q2510/1000</f>
        <v>0</v>
      </c>
      <c r="R2502" s="85">
        <f>STATS1003B!R2510/1000</f>
        <v>0</v>
      </c>
      <c r="S2502" s="85">
        <f>STATS1003B!S2510/1000</f>
        <v>0</v>
      </c>
      <c r="T2502" s="85">
        <f>STATS1003B!T2510/1000</f>
        <v>0</v>
      </c>
      <c r="U2502" s="85">
        <f>STATS1003B!U2510/1000</f>
        <v>0</v>
      </c>
      <c r="V2502" s="85">
        <f>STATS1003B!V2510/1000</f>
        <v>4674.9766500000005</v>
      </c>
      <c r="W2502" s="85">
        <f>STATS1003B!W2510/1000</f>
        <v>0</v>
      </c>
      <c r="X2502" s="85">
        <f t="shared" si="274"/>
        <v>4674.9766500000005</v>
      </c>
      <c r="Y2502" s="85">
        <f>STATS1003B!Y2510/1000</f>
        <v>0</v>
      </c>
      <c r="Z2502" s="85">
        <f t="shared" si="276"/>
        <v>0</v>
      </c>
      <c r="AA2502" s="69">
        <f>STATS1003B!AA2510/1000</f>
        <v>4674.9766500000005</v>
      </c>
      <c r="AB2502" s="69">
        <f>STATS1003B!AB2510/1000</f>
        <v>0</v>
      </c>
    </row>
    <row r="2503" spans="1:28" hidden="1" x14ac:dyDescent="0.3">
      <c r="A2503" s="117"/>
      <c r="C2503" s="68" t="s">
        <v>57</v>
      </c>
      <c r="D2503" s="145" t="s">
        <v>68</v>
      </c>
      <c r="E2503" s="85">
        <f>STATS1003B!E2511/1000</f>
        <v>1943.3792599999999</v>
      </c>
      <c r="F2503" s="85">
        <f>STATS1003B!F2511/1000</f>
        <v>905.74133999999992</v>
      </c>
      <c r="G2503" s="85">
        <f>STATS1003B!G2511/1000</f>
        <v>0</v>
      </c>
      <c r="H2503" s="85">
        <f>STATS1003B!H2511/1000</f>
        <v>905.74133999999992</v>
      </c>
      <c r="I2503" s="85">
        <f>STATS1003B!I2511/1000</f>
        <v>0</v>
      </c>
      <c r="J2503" s="85">
        <f>STATS1003B!J2511/1000</f>
        <v>0</v>
      </c>
      <c r="K2503" s="85">
        <f>STATS1003B!K2511/1000</f>
        <v>0</v>
      </c>
      <c r="L2503" s="85">
        <f>STATS1003B!L2511/1000</f>
        <v>0</v>
      </c>
      <c r="M2503" s="85">
        <f>STATS1003B!M2511/1000</f>
        <v>905.74133999999992</v>
      </c>
      <c r="N2503" s="85">
        <f>STATS1003B!N2511/1000</f>
        <v>1037.6379200000001</v>
      </c>
      <c r="O2503" s="85">
        <f>STATS1003B!O2511/1000</f>
        <v>0</v>
      </c>
      <c r="P2503" s="85">
        <f>STATS1003B!P2511/1000</f>
        <v>1037.6379200000001</v>
      </c>
      <c r="Q2503" s="85">
        <f>STATS1003B!Q2511/1000</f>
        <v>0</v>
      </c>
      <c r="R2503" s="85">
        <f>STATS1003B!R2511/1000</f>
        <v>0</v>
      </c>
      <c r="S2503" s="85">
        <f>STATS1003B!S2511/1000</f>
        <v>0</v>
      </c>
      <c r="T2503" s="85">
        <f>STATS1003B!T2511/1000</f>
        <v>0</v>
      </c>
      <c r="U2503" s="85">
        <f>STATS1003B!U2511/1000</f>
        <v>1037.6379200000001</v>
      </c>
      <c r="V2503" s="85">
        <f>STATS1003B!V2511/1000</f>
        <v>1943.3792599999999</v>
      </c>
      <c r="W2503" s="85">
        <f>STATS1003B!W2511/1000</f>
        <v>0</v>
      </c>
      <c r="X2503" s="85">
        <f t="shared" si="274"/>
        <v>1943.3792600000002</v>
      </c>
      <c r="Y2503" s="85">
        <f>STATS1003B!Y2511/1000</f>
        <v>0</v>
      </c>
      <c r="Z2503" s="85">
        <f t="shared" si="276"/>
        <v>0</v>
      </c>
      <c r="AA2503" s="69">
        <f>STATS1003B!AA2511/1000</f>
        <v>1943.3792599999999</v>
      </c>
      <c r="AB2503" s="69">
        <f>STATS1003B!AB2511/1000</f>
        <v>0</v>
      </c>
    </row>
    <row r="2504" spans="1:28" hidden="1" x14ac:dyDescent="0.3">
      <c r="A2504" s="117"/>
      <c r="C2504" s="68" t="s">
        <v>57</v>
      </c>
      <c r="D2504" s="145" t="s">
        <v>85</v>
      </c>
      <c r="E2504" s="85">
        <f>STATS1003B!E2512/1000</f>
        <v>920.7</v>
      </c>
      <c r="F2504" s="85">
        <f>STATS1003B!F2512/1000</f>
        <v>920.7</v>
      </c>
      <c r="G2504" s="85">
        <f>STATS1003B!G2512/1000</f>
        <v>0</v>
      </c>
      <c r="H2504" s="85">
        <f>STATS1003B!H2512/1000</f>
        <v>920.7</v>
      </c>
      <c r="I2504" s="85">
        <f>STATS1003B!I2512/1000</f>
        <v>0</v>
      </c>
      <c r="J2504" s="85">
        <f>STATS1003B!J2512/1000</f>
        <v>0</v>
      </c>
      <c r="K2504" s="85">
        <f>STATS1003B!K2512/1000</f>
        <v>0</v>
      </c>
      <c r="L2504" s="85">
        <f>STATS1003B!L2512/1000</f>
        <v>0</v>
      </c>
      <c r="M2504" s="85">
        <f>STATS1003B!M2512/1000</f>
        <v>920.7</v>
      </c>
      <c r="N2504" s="85">
        <f>STATS1003B!N2512/1000</f>
        <v>0</v>
      </c>
      <c r="O2504" s="85">
        <f>STATS1003B!O2512/1000</f>
        <v>0</v>
      </c>
      <c r="P2504" s="85">
        <f>STATS1003B!P2512/1000</f>
        <v>0</v>
      </c>
      <c r="Q2504" s="85">
        <f>STATS1003B!Q2512/1000</f>
        <v>0</v>
      </c>
      <c r="R2504" s="85">
        <f>STATS1003B!R2512/1000</f>
        <v>0</v>
      </c>
      <c r="S2504" s="85">
        <f>STATS1003B!S2512/1000</f>
        <v>0</v>
      </c>
      <c r="T2504" s="85">
        <f>STATS1003B!T2512/1000</f>
        <v>0</v>
      </c>
      <c r="U2504" s="85">
        <f>STATS1003B!U2512/1000</f>
        <v>0</v>
      </c>
      <c r="V2504" s="85">
        <f>STATS1003B!V2512/1000</f>
        <v>920.7</v>
      </c>
      <c r="W2504" s="85">
        <f>STATS1003B!W2512/1000</f>
        <v>0</v>
      </c>
      <c r="X2504" s="85">
        <f t="shared" si="274"/>
        <v>920.7</v>
      </c>
      <c r="Y2504" s="85">
        <f>STATS1003B!Y2512/1000</f>
        <v>0</v>
      </c>
      <c r="Z2504" s="85">
        <f t="shared" si="276"/>
        <v>0</v>
      </c>
      <c r="AA2504" s="69">
        <f>STATS1003B!AA2512/1000</f>
        <v>920.7</v>
      </c>
      <c r="AB2504" s="69">
        <f>STATS1003B!AB2512/1000</f>
        <v>0</v>
      </c>
    </row>
    <row r="2505" spans="1:28" hidden="1" x14ac:dyDescent="0.3">
      <c r="A2505" s="117"/>
      <c r="C2505" s="68" t="s">
        <v>53</v>
      </c>
      <c r="D2505" s="145" t="s">
        <v>128</v>
      </c>
      <c r="E2505" s="85">
        <f>STATS1003B!E2513/1000</f>
        <v>570.94100000000003</v>
      </c>
      <c r="F2505" s="85">
        <f>STATS1003B!F2513/1000</f>
        <v>0</v>
      </c>
      <c r="G2505" s="85">
        <f>STATS1003B!G2513/1000</f>
        <v>0</v>
      </c>
      <c r="H2505" s="85">
        <f>STATS1003B!H2513/1000</f>
        <v>0</v>
      </c>
      <c r="I2505" s="85">
        <f>STATS1003B!I2513/1000</f>
        <v>0</v>
      </c>
      <c r="J2505" s="85">
        <f>STATS1003B!J2513/1000</f>
        <v>0</v>
      </c>
      <c r="K2505" s="85">
        <f>STATS1003B!K2513/1000</f>
        <v>0</v>
      </c>
      <c r="L2505" s="85">
        <f>STATS1003B!L2513/1000</f>
        <v>0</v>
      </c>
      <c r="M2505" s="85">
        <f>STATS1003B!M2513/1000</f>
        <v>0</v>
      </c>
      <c r="N2505" s="85">
        <f>STATS1003B!N2513/1000</f>
        <v>570.94100000000003</v>
      </c>
      <c r="O2505" s="85">
        <f>STATS1003B!O2513/1000</f>
        <v>0</v>
      </c>
      <c r="P2505" s="85">
        <f>STATS1003B!P2513/1000</f>
        <v>570.94100000000003</v>
      </c>
      <c r="Q2505" s="85">
        <f>STATS1003B!Q2513/1000</f>
        <v>0</v>
      </c>
      <c r="R2505" s="85">
        <f>STATS1003B!R2513/1000</f>
        <v>0</v>
      </c>
      <c r="S2505" s="85">
        <f>STATS1003B!S2513/1000</f>
        <v>0</v>
      </c>
      <c r="T2505" s="85">
        <f>STATS1003B!T2513/1000</f>
        <v>0</v>
      </c>
      <c r="U2505" s="85">
        <f>STATS1003B!U2513/1000</f>
        <v>570.94100000000003</v>
      </c>
      <c r="V2505" s="85">
        <f>STATS1003B!V2513/1000</f>
        <v>570.94100000000003</v>
      </c>
      <c r="W2505" s="85">
        <f>STATS1003B!W2513/1000</f>
        <v>0</v>
      </c>
      <c r="X2505" s="85">
        <f t="shared" si="274"/>
        <v>570.94100000000003</v>
      </c>
      <c r="Y2505" s="85">
        <f>STATS1003B!Y2513/1000</f>
        <v>0</v>
      </c>
      <c r="Z2505" s="85">
        <f t="shared" si="276"/>
        <v>0</v>
      </c>
      <c r="AA2505" s="69">
        <f>STATS1003B!AA2513/1000</f>
        <v>570.94100000000003</v>
      </c>
      <c r="AB2505" s="69">
        <f>STATS1003B!AB2513/1000</f>
        <v>0</v>
      </c>
    </row>
    <row r="2506" spans="1:28" hidden="1" x14ac:dyDescent="0.3">
      <c r="A2506" s="117"/>
      <c r="C2506" s="68" t="s">
        <v>57</v>
      </c>
      <c r="D2506" s="145" t="s">
        <v>108</v>
      </c>
      <c r="E2506" s="85">
        <f>STATS1003B!E2514/1000</f>
        <v>2608</v>
      </c>
      <c r="F2506" s="85">
        <f>STATS1003B!F2514/1000</f>
        <v>2608</v>
      </c>
      <c r="G2506" s="85">
        <f>STATS1003B!G2514/1000</f>
        <v>0</v>
      </c>
      <c r="H2506" s="85">
        <f>STATS1003B!H2514/1000</f>
        <v>2608</v>
      </c>
      <c r="I2506" s="85">
        <f>STATS1003B!I2514/1000</f>
        <v>0</v>
      </c>
      <c r="J2506" s="85">
        <f>STATS1003B!J2514/1000</f>
        <v>0</v>
      </c>
      <c r="K2506" s="85">
        <f>STATS1003B!K2514/1000</f>
        <v>0</v>
      </c>
      <c r="L2506" s="85">
        <f>STATS1003B!L2514/1000</f>
        <v>0</v>
      </c>
      <c r="M2506" s="85">
        <f>STATS1003B!M2514/1000</f>
        <v>2608</v>
      </c>
      <c r="N2506" s="85">
        <f>STATS1003B!N2514/1000</f>
        <v>0</v>
      </c>
      <c r="O2506" s="85">
        <f>STATS1003B!O2514/1000</f>
        <v>0</v>
      </c>
      <c r="P2506" s="85">
        <f>STATS1003B!P2514/1000</f>
        <v>0</v>
      </c>
      <c r="Q2506" s="85">
        <f>STATS1003B!Q2514/1000</f>
        <v>0</v>
      </c>
      <c r="R2506" s="85">
        <f>STATS1003B!R2514/1000</f>
        <v>0</v>
      </c>
      <c r="S2506" s="85">
        <f>STATS1003B!S2514/1000</f>
        <v>0</v>
      </c>
      <c r="T2506" s="85">
        <f>STATS1003B!T2514/1000</f>
        <v>0</v>
      </c>
      <c r="U2506" s="85">
        <f>STATS1003B!U2514/1000</f>
        <v>0</v>
      </c>
      <c r="V2506" s="85">
        <f>STATS1003B!V2514/1000</f>
        <v>2608</v>
      </c>
      <c r="W2506" s="85">
        <f>STATS1003B!W2514/1000</f>
        <v>0</v>
      </c>
      <c r="X2506" s="85">
        <f t="shared" si="274"/>
        <v>2608</v>
      </c>
      <c r="Y2506" s="85">
        <f>STATS1003B!Y2514/1000</f>
        <v>0</v>
      </c>
      <c r="Z2506" s="85">
        <f t="shared" si="276"/>
        <v>0</v>
      </c>
      <c r="AA2506" s="69">
        <f>STATS1003B!AA2514/1000</f>
        <v>2608</v>
      </c>
      <c r="AB2506" s="69">
        <f>STATS1003B!AB2514/1000</f>
        <v>0</v>
      </c>
    </row>
    <row r="2507" spans="1:28" hidden="1" x14ac:dyDescent="0.3">
      <c r="A2507" s="117"/>
      <c r="C2507" s="68" t="s">
        <v>57</v>
      </c>
      <c r="D2507" s="145" t="s">
        <v>60</v>
      </c>
      <c r="E2507" s="85">
        <f>STATS1003B!E2515/1000</f>
        <v>2852.6950000000002</v>
      </c>
      <c r="F2507" s="85">
        <f>STATS1003B!F2515/1000</f>
        <v>2852.6950000000002</v>
      </c>
      <c r="G2507" s="85">
        <f>STATS1003B!G2515/1000</f>
        <v>0</v>
      </c>
      <c r="H2507" s="85">
        <f>STATS1003B!H2515/1000</f>
        <v>2852.6950000000002</v>
      </c>
      <c r="I2507" s="85">
        <f>STATS1003B!I2515/1000</f>
        <v>0</v>
      </c>
      <c r="J2507" s="85">
        <f>STATS1003B!J2515/1000</f>
        <v>0</v>
      </c>
      <c r="K2507" s="85">
        <f>STATS1003B!K2515/1000</f>
        <v>0</v>
      </c>
      <c r="L2507" s="85">
        <f>STATS1003B!L2515/1000</f>
        <v>0</v>
      </c>
      <c r="M2507" s="85">
        <f>STATS1003B!M2515/1000</f>
        <v>2852.6950000000002</v>
      </c>
      <c r="N2507" s="85">
        <f>STATS1003B!N2515/1000</f>
        <v>0</v>
      </c>
      <c r="O2507" s="85">
        <f>STATS1003B!O2515/1000</f>
        <v>0</v>
      </c>
      <c r="P2507" s="85">
        <f>STATS1003B!P2515/1000</f>
        <v>0</v>
      </c>
      <c r="Q2507" s="85">
        <f>STATS1003B!Q2515/1000</f>
        <v>0</v>
      </c>
      <c r="R2507" s="85">
        <f>STATS1003B!R2515/1000</f>
        <v>0</v>
      </c>
      <c r="S2507" s="85">
        <f>STATS1003B!S2515/1000</f>
        <v>0</v>
      </c>
      <c r="T2507" s="85">
        <f>STATS1003B!T2515/1000</f>
        <v>0</v>
      </c>
      <c r="U2507" s="85">
        <f>STATS1003B!U2515/1000</f>
        <v>0</v>
      </c>
      <c r="V2507" s="85">
        <f>STATS1003B!V2515/1000</f>
        <v>2852.6950000000002</v>
      </c>
      <c r="W2507" s="85">
        <f>STATS1003B!W2515/1000</f>
        <v>0</v>
      </c>
      <c r="X2507" s="85">
        <f t="shared" si="274"/>
        <v>2852.6950000000002</v>
      </c>
      <c r="Y2507" s="85">
        <f>STATS1003B!Y2515/1000</f>
        <v>0</v>
      </c>
      <c r="Z2507" s="85">
        <f t="shared" si="276"/>
        <v>0</v>
      </c>
      <c r="AA2507" s="69">
        <f>STATS1003B!AA2515/1000</f>
        <v>2852.6950000000002</v>
      </c>
      <c r="AB2507" s="69">
        <f>STATS1003B!AB2515/1000</f>
        <v>0</v>
      </c>
    </row>
    <row r="2508" spans="1:28" hidden="1" x14ac:dyDescent="0.3">
      <c r="A2508" s="117"/>
      <c r="C2508" s="68" t="s">
        <v>57</v>
      </c>
      <c r="D2508" s="145" t="s">
        <v>73</v>
      </c>
      <c r="E2508" s="85">
        <f>STATS1003B!E2516/1000</f>
        <v>915.15099999999995</v>
      </c>
      <c r="F2508" s="85">
        <f>STATS1003B!F2516/1000</f>
        <v>915.15099999999995</v>
      </c>
      <c r="G2508" s="85">
        <f>STATS1003B!G2516/1000</f>
        <v>0</v>
      </c>
      <c r="H2508" s="85">
        <f>STATS1003B!H2516/1000</f>
        <v>915.15099999999995</v>
      </c>
      <c r="I2508" s="85">
        <f>STATS1003B!I2516/1000</f>
        <v>0</v>
      </c>
      <c r="J2508" s="85">
        <f>STATS1003B!J2516/1000</f>
        <v>0</v>
      </c>
      <c r="K2508" s="85">
        <f>STATS1003B!K2516/1000</f>
        <v>0</v>
      </c>
      <c r="L2508" s="85">
        <f>STATS1003B!L2516/1000</f>
        <v>0</v>
      </c>
      <c r="M2508" s="85">
        <f>STATS1003B!M2516/1000</f>
        <v>915.15099999999995</v>
      </c>
      <c r="N2508" s="85">
        <f>STATS1003B!N2516/1000</f>
        <v>0</v>
      </c>
      <c r="O2508" s="85">
        <f>STATS1003B!O2516/1000</f>
        <v>0</v>
      </c>
      <c r="P2508" s="85">
        <f>STATS1003B!P2516/1000</f>
        <v>0</v>
      </c>
      <c r="Q2508" s="85">
        <f>STATS1003B!Q2516/1000</f>
        <v>0</v>
      </c>
      <c r="R2508" s="85">
        <f>STATS1003B!R2516/1000</f>
        <v>0</v>
      </c>
      <c r="S2508" s="85">
        <f>STATS1003B!S2516/1000</f>
        <v>0</v>
      </c>
      <c r="T2508" s="85">
        <f>STATS1003B!T2516/1000</f>
        <v>0</v>
      </c>
      <c r="U2508" s="85">
        <f>STATS1003B!U2516/1000</f>
        <v>0</v>
      </c>
      <c r="V2508" s="85">
        <f>STATS1003B!V2516/1000</f>
        <v>915.15099999999995</v>
      </c>
      <c r="W2508" s="85">
        <f>STATS1003B!W2516/1000</f>
        <v>0</v>
      </c>
      <c r="X2508" s="85">
        <f t="shared" si="274"/>
        <v>915.15099999999995</v>
      </c>
      <c r="Y2508" s="85">
        <f>STATS1003B!Y2516/1000</f>
        <v>0</v>
      </c>
      <c r="Z2508" s="85">
        <f t="shared" si="276"/>
        <v>0</v>
      </c>
      <c r="AA2508" s="69">
        <f>STATS1003B!AA2516/1000</f>
        <v>915.15099999999995</v>
      </c>
      <c r="AB2508" s="69">
        <f>STATS1003B!AB2516/1000</f>
        <v>0</v>
      </c>
    </row>
    <row r="2509" spans="1:28" hidden="1" x14ac:dyDescent="0.3">
      <c r="A2509" s="117"/>
      <c r="C2509" s="68" t="s">
        <v>57</v>
      </c>
      <c r="D2509" s="90" t="s">
        <v>61</v>
      </c>
      <c r="E2509" s="85">
        <f>STATS1003B!E2517/1000</f>
        <v>362.70800000000003</v>
      </c>
      <c r="F2509" s="85">
        <f>STATS1003B!F2517/1000</f>
        <v>362.70800000000003</v>
      </c>
      <c r="G2509" s="85">
        <f>STATS1003B!G2517/1000</f>
        <v>0</v>
      </c>
      <c r="H2509" s="85">
        <f>STATS1003B!H2517/1000</f>
        <v>362.70800000000003</v>
      </c>
      <c r="I2509" s="85">
        <f>STATS1003B!I2517/1000</f>
        <v>0</v>
      </c>
      <c r="J2509" s="85">
        <f>STATS1003B!J2517/1000</f>
        <v>0</v>
      </c>
      <c r="K2509" s="85">
        <f>STATS1003B!K2517/1000</f>
        <v>0</v>
      </c>
      <c r="L2509" s="85">
        <f>STATS1003B!L2517/1000</f>
        <v>0</v>
      </c>
      <c r="M2509" s="85">
        <f>STATS1003B!M2517/1000</f>
        <v>362.70800000000003</v>
      </c>
      <c r="N2509" s="85">
        <f>STATS1003B!N2517/1000</f>
        <v>0</v>
      </c>
      <c r="O2509" s="85">
        <f>STATS1003B!O2517/1000</f>
        <v>0</v>
      </c>
      <c r="P2509" s="85">
        <f>STATS1003B!P2517/1000</f>
        <v>0</v>
      </c>
      <c r="Q2509" s="85">
        <f>STATS1003B!Q2517/1000</f>
        <v>0</v>
      </c>
      <c r="R2509" s="85">
        <f>STATS1003B!R2517/1000</f>
        <v>0</v>
      </c>
      <c r="S2509" s="85">
        <f>STATS1003B!S2517/1000</f>
        <v>0</v>
      </c>
      <c r="T2509" s="85">
        <f>STATS1003B!T2517/1000</f>
        <v>0</v>
      </c>
      <c r="U2509" s="85">
        <f>STATS1003B!U2517/1000</f>
        <v>0</v>
      </c>
      <c r="V2509" s="85">
        <f>STATS1003B!V2517/1000</f>
        <v>362.70800000000003</v>
      </c>
      <c r="W2509" s="85">
        <f>STATS1003B!W2517/1000</f>
        <v>0</v>
      </c>
      <c r="X2509" s="85">
        <f t="shared" si="274"/>
        <v>362.70800000000003</v>
      </c>
      <c r="Y2509" s="85">
        <f>STATS1003B!Y2517/1000</f>
        <v>0</v>
      </c>
      <c r="Z2509" s="85">
        <f t="shared" si="276"/>
        <v>0</v>
      </c>
      <c r="AA2509" s="69">
        <f>STATS1003B!AA2517/1000</f>
        <v>362.70800000000003</v>
      </c>
      <c r="AB2509" s="69">
        <f>STATS1003B!AB2517/1000</f>
        <v>0</v>
      </c>
    </row>
    <row r="2510" spans="1:28" hidden="1" x14ac:dyDescent="0.3">
      <c r="A2510" s="117"/>
      <c r="C2510" s="68" t="s">
        <v>924</v>
      </c>
      <c r="D2510" s="90" t="s">
        <v>1072</v>
      </c>
      <c r="E2510" s="85">
        <f>STATS1003B!E2518/1000</f>
        <v>2400</v>
      </c>
      <c r="F2510" s="85">
        <f>STATS1003B!F2518/1000</f>
        <v>2400</v>
      </c>
      <c r="G2510" s="85">
        <f>STATS1003B!G2518/1000</f>
        <v>0</v>
      </c>
      <c r="H2510" s="85">
        <f>STATS1003B!H2518/1000</f>
        <v>2400</v>
      </c>
      <c r="I2510" s="85">
        <f>STATS1003B!I2518/1000</f>
        <v>0</v>
      </c>
      <c r="J2510" s="85">
        <f>STATS1003B!J2518/1000</f>
        <v>0</v>
      </c>
      <c r="K2510" s="85">
        <f>STATS1003B!K2518/1000</f>
        <v>0</v>
      </c>
      <c r="L2510" s="85">
        <f>STATS1003B!L2518/1000</f>
        <v>0</v>
      </c>
      <c r="M2510" s="85">
        <f>STATS1003B!M2518/1000</f>
        <v>2400</v>
      </c>
      <c r="N2510" s="85">
        <f>STATS1003B!N2518/1000</f>
        <v>0</v>
      </c>
      <c r="O2510" s="85">
        <f>STATS1003B!O2518/1000</f>
        <v>0</v>
      </c>
      <c r="P2510" s="85">
        <f>STATS1003B!P2518/1000</f>
        <v>0</v>
      </c>
      <c r="Q2510" s="85">
        <f>STATS1003B!Q2518/1000</f>
        <v>0</v>
      </c>
      <c r="R2510" s="85">
        <f>STATS1003B!R2518/1000</f>
        <v>0</v>
      </c>
      <c r="S2510" s="85">
        <f>STATS1003B!S2518/1000</f>
        <v>0</v>
      </c>
      <c r="T2510" s="85">
        <f>STATS1003B!T2518/1000</f>
        <v>0</v>
      </c>
      <c r="U2510" s="85">
        <f>STATS1003B!U2518/1000</f>
        <v>0</v>
      </c>
      <c r="V2510" s="85">
        <f>STATS1003B!V2518/1000</f>
        <v>2400</v>
      </c>
      <c r="W2510" s="85">
        <f>STATS1003B!W2518/1000</f>
        <v>0</v>
      </c>
      <c r="X2510" s="85">
        <f t="shared" si="274"/>
        <v>2400</v>
      </c>
      <c r="Y2510" s="85">
        <f>STATS1003B!Y2518/1000</f>
        <v>0</v>
      </c>
      <c r="Z2510" s="85">
        <f t="shared" si="276"/>
        <v>0</v>
      </c>
      <c r="AA2510" s="69">
        <f>STATS1003B!AA2518/1000</f>
        <v>2400</v>
      </c>
      <c r="AB2510" s="69">
        <f>STATS1003B!AB2518/1000</f>
        <v>0</v>
      </c>
    </row>
    <row r="2511" spans="1:28" hidden="1" x14ac:dyDescent="0.3">
      <c r="A2511" s="117"/>
      <c r="C2511" s="68" t="s">
        <v>930</v>
      </c>
      <c r="D2511" s="90"/>
      <c r="E2511" s="85">
        <f>STATS1003B!E2519/1000</f>
        <v>3465</v>
      </c>
      <c r="F2511" s="85">
        <f>STATS1003B!F2519/1000</f>
        <v>3465</v>
      </c>
      <c r="G2511" s="85">
        <f>STATS1003B!G2519/1000</f>
        <v>0</v>
      </c>
      <c r="H2511" s="85">
        <f>STATS1003B!H2519/1000</f>
        <v>3465</v>
      </c>
      <c r="I2511" s="85">
        <f>STATS1003B!I2519/1000</f>
        <v>0</v>
      </c>
      <c r="J2511" s="85">
        <f>STATS1003B!J2519/1000</f>
        <v>0</v>
      </c>
      <c r="K2511" s="85">
        <f>STATS1003B!K2519/1000</f>
        <v>0</v>
      </c>
      <c r="L2511" s="85">
        <f>STATS1003B!L2519/1000</f>
        <v>0</v>
      </c>
      <c r="M2511" s="85">
        <f>STATS1003B!M2519/1000</f>
        <v>3465</v>
      </c>
      <c r="N2511" s="85">
        <f>STATS1003B!N2519/1000</f>
        <v>0</v>
      </c>
      <c r="O2511" s="85">
        <f>STATS1003B!O2519/1000</f>
        <v>0</v>
      </c>
      <c r="P2511" s="85">
        <f>STATS1003B!P2519/1000</f>
        <v>0</v>
      </c>
      <c r="Q2511" s="85">
        <f>STATS1003B!Q2519/1000</f>
        <v>0</v>
      </c>
      <c r="R2511" s="85">
        <f>STATS1003B!R2519/1000</f>
        <v>0</v>
      </c>
      <c r="S2511" s="85">
        <f>STATS1003B!S2519/1000</f>
        <v>0</v>
      </c>
      <c r="T2511" s="85">
        <f>STATS1003B!T2519/1000</f>
        <v>0</v>
      </c>
      <c r="U2511" s="85">
        <f>STATS1003B!U2519/1000</f>
        <v>0</v>
      </c>
      <c r="V2511" s="85">
        <f>STATS1003B!V2519/1000</f>
        <v>3465</v>
      </c>
      <c r="W2511" s="85">
        <f>STATS1003B!W2519/1000</f>
        <v>0</v>
      </c>
      <c r="X2511" s="85">
        <f t="shared" si="274"/>
        <v>3465</v>
      </c>
      <c r="Y2511" s="85">
        <f>STATS1003B!Y2519/1000</f>
        <v>0</v>
      </c>
      <c r="Z2511" s="85">
        <f t="shared" si="276"/>
        <v>0</v>
      </c>
      <c r="AA2511" s="69">
        <f>STATS1003B!AA2519/1000</f>
        <v>3465</v>
      </c>
      <c r="AB2511" s="69">
        <f>STATS1003B!AB2519/1000</f>
        <v>0</v>
      </c>
    </row>
    <row r="2512" spans="1:28" hidden="1" x14ac:dyDescent="0.3">
      <c r="A2512" s="117"/>
      <c r="C2512" s="68" t="s">
        <v>1176</v>
      </c>
      <c r="D2512" s="90" t="s">
        <v>1126</v>
      </c>
      <c r="E2512" s="85">
        <f>STATS1003B!E2520/1000</f>
        <v>3448.9889800000001</v>
      </c>
      <c r="F2512" s="85">
        <f>STATS1003B!F2520/1000</f>
        <v>3448.9889800000001</v>
      </c>
      <c r="G2512" s="85">
        <f>STATS1003B!G2520/1000</f>
        <v>0</v>
      </c>
      <c r="H2512" s="85">
        <f>STATS1003B!H2520/1000</f>
        <v>3448.9889800000001</v>
      </c>
      <c r="I2512" s="85">
        <f>STATS1003B!I2520/1000</f>
        <v>0</v>
      </c>
      <c r="J2512" s="85">
        <f>STATS1003B!J2520/1000</f>
        <v>0</v>
      </c>
      <c r="K2512" s="85">
        <f>STATS1003B!K2520/1000</f>
        <v>0</v>
      </c>
      <c r="L2512" s="85">
        <f>STATS1003B!L2520/1000</f>
        <v>0</v>
      </c>
      <c r="M2512" s="85">
        <f>STATS1003B!M2520/1000</f>
        <v>3448.9889800000001</v>
      </c>
      <c r="N2512" s="85">
        <f>STATS1003B!N2520/1000</f>
        <v>0</v>
      </c>
      <c r="O2512" s="85">
        <f>STATS1003B!O2520/1000</f>
        <v>0</v>
      </c>
      <c r="P2512" s="85">
        <f>STATS1003B!P2520/1000</f>
        <v>0</v>
      </c>
      <c r="Q2512" s="85">
        <f>STATS1003B!Q2520/1000</f>
        <v>0</v>
      </c>
      <c r="R2512" s="85">
        <f>STATS1003B!R2520/1000</f>
        <v>0</v>
      </c>
      <c r="S2512" s="85">
        <f>STATS1003B!S2520/1000</f>
        <v>0</v>
      </c>
      <c r="T2512" s="85">
        <f>STATS1003B!T2520/1000</f>
        <v>0</v>
      </c>
      <c r="U2512" s="85">
        <f>STATS1003B!U2520/1000</f>
        <v>0</v>
      </c>
      <c r="V2512" s="85">
        <f>STATS1003B!V2520/1000</f>
        <v>0</v>
      </c>
      <c r="W2512" s="85">
        <f>STATS1003B!W2520/1000</f>
        <v>0</v>
      </c>
      <c r="X2512" s="85">
        <f t="shared" si="274"/>
        <v>3448.9889800000001</v>
      </c>
      <c r="Y2512" s="85">
        <f>STATS1003B!Y2520/1000</f>
        <v>0</v>
      </c>
      <c r="Z2512" s="85">
        <f t="shared" si="276"/>
        <v>0</v>
      </c>
      <c r="AA2512" s="69">
        <f>STATS1003B!AA2520/1000</f>
        <v>3448.9889800000001</v>
      </c>
      <c r="AB2512" s="69">
        <f>STATS1003B!AB2520/1000</f>
        <v>0</v>
      </c>
    </row>
    <row r="2513" spans="1:28" hidden="1" x14ac:dyDescent="0.3">
      <c r="A2513" s="117"/>
      <c r="C2513" s="68" t="s">
        <v>409</v>
      </c>
      <c r="E2513" s="85">
        <f>STATS1003B!E2521/1000</f>
        <v>387.87527</v>
      </c>
      <c r="F2513" s="85">
        <f>STATS1003B!F2521/1000</f>
        <v>387.87527</v>
      </c>
      <c r="G2513" s="85">
        <f>STATS1003B!G2521/1000</f>
        <v>0</v>
      </c>
      <c r="H2513" s="85">
        <f>STATS1003B!H2521/1000</f>
        <v>387.87527</v>
      </c>
      <c r="I2513" s="85">
        <f>STATS1003B!I2521/1000</f>
        <v>0</v>
      </c>
      <c r="J2513" s="85">
        <f>STATS1003B!J2521/1000</f>
        <v>0</v>
      </c>
      <c r="K2513" s="85">
        <f>STATS1003B!K2521/1000</f>
        <v>0</v>
      </c>
      <c r="L2513" s="85">
        <f>STATS1003B!L2521/1000</f>
        <v>0</v>
      </c>
      <c r="M2513" s="85">
        <f>STATS1003B!M2521/1000</f>
        <v>387.87527</v>
      </c>
      <c r="N2513" s="85">
        <f>STATS1003B!N2521/1000</f>
        <v>0</v>
      </c>
      <c r="O2513" s="85">
        <f>STATS1003B!O2521/1000</f>
        <v>0</v>
      </c>
      <c r="P2513" s="85">
        <f>STATS1003B!P2521/1000</f>
        <v>0</v>
      </c>
      <c r="Q2513" s="85">
        <f>STATS1003B!Q2521/1000</f>
        <v>0</v>
      </c>
      <c r="R2513" s="85">
        <f>STATS1003B!R2521/1000</f>
        <v>0</v>
      </c>
      <c r="S2513" s="85">
        <f>STATS1003B!S2521/1000</f>
        <v>0</v>
      </c>
      <c r="T2513" s="85">
        <f>STATS1003B!T2521/1000</f>
        <v>0</v>
      </c>
      <c r="U2513" s="85">
        <f>STATS1003B!U2521/1000</f>
        <v>0</v>
      </c>
      <c r="V2513" s="85">
        <f>STATS1003B!V2521/1000</f>
        <v>387.87527</v>
      </c>
      <c r="W2513" s="85">
        <f>STATS1003B!W2521/1000</f>
        <v>0</v>
      </c>
      <c r="X2513" s="85">
        <f t="shared" si="274"/>
        <v>387.87527</v>
      </c>
      <c r="Y2513" s="85">
        <f>STATS1003B!Y2521/1000</f>
        <v>0</v>
      </c>
      <c r="Z2513" s="85">
        <f t="shared" si="276"/>
        <v>0</v>
      </c>
      <c r="AA2513" s="69">
        <f>STATS1003B!AA2521/1000</f>
        <v>387.87527</v>
      </c>
      <c r="AB2513" s="69">
        <f>STATS1003B!AB2521/1000</f>
        <v>0</v>
      </c>
    </row>
    <row r="2514" spans="1:28" hidden="1" x14ac:dyDescent="0.3">
      <c r="A2514" s="117"/>
      <c r="E2514" s="86" t="s">
        <v>29</v>
      </c>
      <c r="F2514" s="86" t="s">
        <v>29</v>
      </c>
      <c r="G2514" s="86" t="s">
        <v>29</v>
      </c>
      <c r="H2514" s="86" t="s">
        <v>29</v>
      </c>
      <c r="I2514" s="86" t="s">
        <v>29</v>
      </c>
      <c r="J2514" s="86" t="s">
        <v>29</v>
      </c>
      <c r="K2514" s="86" t="s">
        <v>29</v>
      </c>
      <c r="L2514" s="86" t="s">
        <v>29</v>
      </c>
      <c r="M2514" s="86" t="s">
        <v>29</v>
      </c>
      <c r="N2514" s="86" t="s">
        <v>29</v>
      </c>
      <c r="O2514" s="86" t="s">
        <v>29</v>
      </c>
      <c r="P2514" s="86" t="s">
        <v>29</v>
      </c>
      <c r="Q2514" s="86" t="s">
        <v>29</v>
      </c>
      <c r="R2514" s="86" t="s">
        <v>29</v>
      </c>
      <c r="S2514" s="86" t="s">
        <v>29</v>
      </c>
      <c r="T2514" s="86" t="s">
        <v>29</v>
      </c>
      <c r="U2514" s="86" t="s">
        <v>29</v>
      </c>
      <c r="V2514" s="86" t="s">
        <v>29</v>
      </c>
      <c r="W2514" s="86" t="s">
        <v>29</v>
      </c>
      <c r="X2514" s="85" t="e">
        <f t="shared" si="274"/>
        <v>#VALUE!</v>
      </c>
      <c r="Y2514" s="86" t="s">
        <v>29</v>
      </c>
      <c r="Z2514" s="85" t="e">
        <f t="shared" si="276"/>
        <v>#VALUE!</v>
      </c>
      <c r="AA2514" s="115" t="s">
        <v>29</v>
      </c>
      <c r="AB2514" s="115" t="s">
        <v>29</v>
      </c>
    </row>
    <row r="2515" spans="1:28" x14ac:dyDescent="0.3">
      <c r="A2515" s="116">
        <v>110</v>
      </c>
      <c r="B2515" s="68" t="s">
        <v>407</v>
      </c>
      <c r="E2515" s="85">
        <f>52818751.95/1000</f>
        <v>52818.751950000005</v>
      </c>
      <c r="F2515" s="85">
        <f t="shared" ref="F2515:AB2515" si="278">SUM(F2502:F2513)</f>
        <v>22941.836240000001</v>
      </c>
      <c r="G2515" s="85">
        <f t="shared" si="278"/>
        <v>0</v>
      </c>
      <c r="H2515" s="85">
        <f>51210173.03/1000</f>
        <v>51210.173029999998</v>
      </c>
      <c r="I2515" s="85">
        <f t="shared" si="278"/>
        <v>0</v>
      </c>
      <c r="J2515" s="85">
        <f t="shared" si="278"/>
        <v>0</v>
      </c>
      <c r="K2515" s="85">
        <f t="shared" si="278"/>
        <v>0</v>
      </c>
      <c r="L2515" s="85">
        <f t="shared" si="278"/>
        <v>0</v>
      </c>
      <c r="M2515" s="85">
        <f t="shared" si="278"/>
        <v>22941.836240000001</v>
      </c>
      <c r="N2515" s="85">
        <f t="shared" si="278"/>
        <v>1608.5789200000002</v>
      </c>
      <c r="O2515" s="85">
        <f t="shared" si="278"/>
        <v>0</v>
      </c>
      <c r="P2515" s="85">
        <f>1608578/1000</f>
        <v>1608.578</v>
      </c>
      <c r="Q2515" s="85">
        <f t="shared" si="278"/>
        <v>0</v>
      </c>
      <c r="R2515" s="85">
        <f t="shared" si="278"/>
        <v>0</v>
      </c>
      <c r="S2515" s="85">
        <f t="shared" si="278"/>
        <v>0</v>
      </c>
      <c r="T2515" s="85">
        <f t="shared" si="278"/>
        <v>0</v>
      </c>
      <c r="U2515" s="85">
        <f t="shared" si="278"/>
        <v>1608.5789200000002</v>
      </c>
      <c r="V2515" s="85">
        <f t="shared" si="278"/>
        <v>21101.426179999999</v>
      </c>
      <c r="W2515" s="85">
        <f t="shared" si="278"/>
        <v>0</v>
      </c>
      <c r="X2515" s="85">
        <f>+H2515+P2515</f>
        <v>52818.751029999999</v>
      </c>
      <c r="Y2515" s="85">
        <f t="shared" si="278"/>
        <v>0</v>
      </c>
      <c r="Z2515" s="85">
        <f t="shared" si="276"/>
        <v>9.2000000586267561E-4</v>
      </c>
      <c r="AA2515" s="69">
        <f t="shared" si="278"/>
        <v>24550.41516</v>
      </c>
      <c r="AB2515" s="69">
        <f t="shared" si="278"/>
        <v>0</v>
      </c>
    </row>
    <row r="2516" spans="1:28" hidden="1" x14ac:dyDescent="0.3">
      <c r="A2516" s="117"/>
      <c r="E2516" s="86" t="s">
        <v>29</v>
      </c>
      <c r="F2516" s="86" t="s">
        <v>29</v>
      </c>
      <c r="G2516" s="86" t="s">
        <v>29</v>
      </c>
      <c r="H2516" s="86" t="s">
        <v>29</v>
      </c>
      <c r="I2516" s="86" t="s">
        <v>29</v>
      </c>
      <c r="J2516" s="86" t="s">
        <v>29</v>
      </c>
      <c r="K2516" s="86" t="s">
        <v>29</v>
      </c>
      <c r="L2516" s="86" t="s">
        <v>29</v>
      </c>
      <c r="M2516" s="86" t="s">
        <v>29</v>
      </c>
      <c r="N2516" s="86" t="s">
        <v>29</v>
      </c>
      <c r="O2516" s="86" t="s">
        <v>29</v>
      </c>
      <c r="P2516" s="86" t="s">
        <v>29</v>
      </c>
      <c r="Q2516" s="86" t="s">
        <v>29</v>
      </c>
      <c r="R2516" s="86" t="s">
        <v>29</v>
      </c>
      <c r="S2516" s="86" t="s">
        <v>29</v>
      </c>
      <c r="T2516" s="86" t="s">
        <v>29</v>
      </c>
      <c r="U2516" s="86" t="s">
        <v>29</v>
      </c>
      <c r="V2516" s="86" t="s">
        <v>29</v>
      </c>
      <c r="W2516" s="86" t="s">
        <v>29</v>
      </c>
      <c r="X2516" s="85" t="e">
        <f t="shared" si="274"/>
        <v>#VALUE!</v>
      </c>
      <c r="Y2516" s="86" t="s">
        <v>29</v>
      </c>
      <c r="Z2516" s="85" t="e">
        <f t="shared" si="276"/>
        <v>#VALUE!</v>
      </c>
      <c r="AA2516" s="115" t="s">
        <v>29</v>
      </c>
      <c r="AB2516" s="115" t="s">
        <v>29</v>
      </c>
    </row>
    <row r="2517" spans="1:28" hidden="1" x14ac:dyDescent="0.3">
      <c r="A2517" s="105"/>
      <c r="D2517" s="71" t="s">
        <v>411</v>
      </c>
      <c r="E2517" s="84"/>
      <c r="F2517" s="84"/>
      <c r="G2517" s="84"/>
      <c r="H2517" s="84"/>
      <c r="I2517" s="84"/>
      <c r="J2517" s="84"/>
      <c r="K2517" s="84"/>
      <c r="L2517" s="85"/>
      <c r="M2517" s="85"/>
      <c r="N2517" s="84"/>
      <c r="O2517" s="84"/>
      <c r="P2517" s="84"/>
      <c r="Q2517" s="84"/>
      <c r="R2517" s="84"/>
      <c r="S2517" s="84"/>
      <c r="T2517" s="84"/>
      <c r="U2517" s="84"/>
      <c r="V2517" s="84"/>
      <c r="W2517" s="84"/>
      <c r="X2517" s="85">
        <f t="shared" si="274"/>
        <v>0</v>
      </c>
      <c r="Y2517" s="84"/>
      <c r="Z2517" s="85">
        <f t="shared" si="276"/>
        <v>0</v>
      </c>
    </row>
    <row r="2518" spans="1:28" hidden="1" x14ac:dyDescent="0.3">
      <c r="A2518" s="117"/>
      <c r="C2518" s="71" t="s">
        <v>143</v>
      </c>
      <c r="D2518" s="71" t="s">
        <v>412</v>
      </c>
      <c r="E2518" s="85">
        <f>STATS1003B!E2526/1000</f>
        <v>31887.745170000002</v>
      </c>
      <c r="F2518" s="85">
        <f>STATS1003B!F2526/1000</f>
        <v>30208.698780000002</v>
      </c>
      <c r="G2518" s="85">
        <f>STATS1003B!G2526/1000</f>
        <v>0</v>
      </c>
      <c r="H2518" s="85">
        <f>STATS1003B!H2526/1000</f>
        <v>30208.698780000002</v>
      </c>
      <c r="I2518" s="85">
        <f>STATS1003B!I2526/1000</f>
        <v>0</v>
      </c>
      <c r="J2518" s="85">
        <f>STATS1003B!J2526/1000</f>
        <v>0</v>
      </c>
      <c r="K2518" s="85">
        <f>STATS1003B!K2526/1000</f>
        <v>0</v>
      </c>
      <c r="L2518" s="85">
        <f>STATS1003B!L2526/1000</f>
        <v>0</v>
      </c>
      <c r="M2518" s="85">
        <f>STATS1003B!M2526/1000</f>
        <v>30208.698780000002</v>
      </c>
      <c r="N2518" s="85">
        <f>STATS1003B!N2526/1000</f>
        <v>1679.04639</v>
      </c>
      <c r="O2518" s="85">
        <f>STATS1003B!O2526/1000</f>
        <v>0</v>
      </c>
      <c r="P2518" s="85">
        <f>STATS1003B!P2526/1000</f>
        <v>1679.04639</v>
      </c>
      <c r="Q2518" s="85">
        <f>STATS1003B!Q2526/1000</f>
        <v>0</v>
      </c>
      <c r="R2518" s="85">
        <f>STATS1003B!R2526/1000</f>
        <v>0</v>
      </c>
      <c r="S2518" s="85">
        <f>STATS1003B!S2526/1000</f>
        <v>0</v>
      </c>
      <c r="T2518" s="85">
        <f>STATS1003B!T2526/1000</f>
        <v>0</v>
      </c>
      <c r="U2518" s="85">
        <f>STATS1003B!U2526/1000</f>
        <v>1679.04639</v>
      </c>
      <c r="V2518" s="85">
        <f>STATS1003B!V2526/1000</f>
        <v>31887.745170000002</v>
      </c>
      <c r="W2518" s="85">
        <f>STATS1003B!W2526/1000</f>
        <v>0</v>
      </c>
      <c r="X2518" s="85">
        <f t="shared" si="274"/>
        <v>31887.745170000002</v>
      </c>
      <c r="Y2518" s="85">
        <f>STATS1003B!Y2526/1000</f>
        <v>0</v>
      </c>
      <c r="Z2518" s="85">
        <f t="shared" si="276"/>
        <v>0</v>
      </c>
      <c r="AA2518" s="69">
        <f>STATS1003B!AA2526/1000</f>
        <v>31887.745170000002</v>
      </c>
      <c r="AB2518" s="69">
        <f>STATS1003B!AB2526/1000</f>
        <v>0</v>
      </c>
    </row>
    <row r="2519" spans="1:28" hidden="1" x14ac:dyDescent="0.3">
      <c r="A2519" s="117"/>
      <c r="C2519" s="71" t="s">
        <v>55</v>
      </c>
      <c r="D2519" s="88" t="s">
        <v>68</v>
      </c>
      <c r="E2519" s="85">
        <f>STATS1003B!E2527/1000</f>
        <v>2631.3127100000002</v>
      </c>
      <c r="F2519" s="85">
        <f>STATS1003B!F2527/1000</f>
        <v>0</v>
      </c>
      <c r="G2519" s="85">
        <f>STATS1003B!G2527/1000</f>
        <v>0</v>
      </c>
      <c r="H2519" s="85">
        <f>STATS1003B!H2527/1000</f>
        <v>0</v>
      </c>
      <c r="I2519" s="85">
        <f>STATS1003B!I2527/1000</f>
        <v>0</v>
      </c>
      <c r="J2519" s="85">
        <f>STATS1003B!J2527/1000</f>
        <v>0</v>
      </c>
      <c r="K2519" s="85">
        <f>STATS1003B!K2527/1000</f>
        <v>0</v>
      </c>
      <c r="L2519" s="85">
        <f>STATS1003B!L2527/1000</f>
        <v>0</v>
      </c>
      <c r="M2519" s="85">
        <f>STATS1003B!M2527/1000</f>
        <v>0</v>
      </c>
      <c r="N2519" s="85">
        <f>STATS1003B!N2527/1000</f>
        <v>2631.3127100000002</v>
      </c>
      <c r="O2519" s="85">
        <f>STATS1003B!O2527/1000</f>
        <v>0</v>
      </c>
      <c r="P2519" s="85">
        <f>STATS1003B!P2527/1000</f>
        <v>2631.3127100000002</v>
      </c>
      <c r="Q2519" s="85">
        <f>STATS1003B!Q2527/1000</f>
        <v>0</v>
      </c>
      <c r="R2519" s="85">
        <f>STATS1003B!R2527/1000</f>
        <v>0</v>
      </c>
      <c r="S2519" s="85">
        <f>STATS1003B!S2527/1000</f>
        <v>0</v>
      </c>
      <c r="T2519" s="85">
        <f>STATS1003B!T2527/1000</f>
        <v>0</v>
      </c>
      <c r="U2519" s="85">
        <f>STATS1003B!U2527/1000</f>
        <v>2631.3127100000002</v>
      </c>
      <c r="V2519" s="85">
        <f>STATS1003B!V2527/1000</f>
        <v>2631.3127100000002</v>
      </c>
      <c r="W2519" s="85">
        <f>STATS1003B!W2527/1000</f>
        <v>0</v>
      </c>
      <c r="X2519" s="85">
        <f t="shared" si="274"/>
        <v>2631.3127100000002</v>
      </c>
      <c r="Y2519" s="85">
        <f>STATS1003B!Y2527/1000</f>
        <v>0</v>
      </c>
      <c r="Z2519" s="85">
        <f t="shared" si="276"/>
        <v>0</v>
      </c>
      <c r="AA2519" s="69">
        <f>STATS1003B!AA2527/1000</f>
        <v>2631.3127100000002</v>
      </c>
      <c r="AB2519" s="69">
        <f>STATS1003B!AB2527/1000</f>
        <v>0</v>
      </c>
    </row>
    <row r="2520" spans="1:28" hidden="1" x14ac:dyDescent="0.3">
      <c r="A2520" s="117"/>
      <c r="C2520" s="71" t="s">
        <v>185</v>
      </c>
      <c r="D2520" s="88" t="s">
        <v>54</v>
      </c>
      <c r="E2520" s="85">
        <f>STATS1003B!E2528/1000</f>
        <v>1953.989</v>
      </c>
      <c r="F2520" s="85">
        <f>STATS1003B!F2528/1000</f>
        <v>0</v>
      </c>
      <c r="G2520" s="85">
        <f>STATS1003B!G2528/1000</f>
        <v>0</v>
      </c>
      <c r="H2520" s="85">
        <f>STATS1003B!H2528/1000</f>
        <v>0</v>
      </c>
      <c r="I2520" s="85">
        <f>STATS1003B!I2528/1000</f>
        <v>0</v>
      </c>
      <c r="J2520" s="85">
        <f>STATS1003B!J2528/1000</f>
        <v>0</v>
      </c>
      <c r="K2520" s="85">
        <f>STATS1003B!K2528/1000</f>
        <v>0</v>
      </c>
      <c r="L2520" s="85">
        <f>STATS1003B!L2528/1000</f>
        <v>0</v>
      </c>
      <c r="M2520" s="85">
        <f>STATS1003B!M2528/1000</f>
        <v>0</v>
      </c>
      <c r="N2520" s="85">
        <f>STATS1003B!N2528/1000</f>
        <v>1953.989</v>
      </c>
      <c r="O2520" s="85">
        <f>STATS1003B!O2528/1000</f>
        <v>0</v>
      </c>
      <c r="P2520" s="85">
        <f>STATS1003B!P2528/1000</f>
        <v>1953.989</v>
      </c>
      <c r="Q2520" s="85">
        <f>STATS1003B!Q2528/1000</f>
        <v>0</v>
      </c>
      <c r="R2520" s="85">
        <f>STATS1003B!R2528/1000</f>
        <v>0</v>
      </c>
      <c r="S2520" s="85">
        <f>STATS1003B!S2528/1000</f>
        <v>0</v>
      </c>
      <c r="T2520" s="85">
        <f>STATS1003B!T2528/1000</f>
        <v>0</v>
      </c>
      <c r="U2520" s="85">
        <f>STATS1003B!U2528/1000</f>
        <v>1953.989</v>
      </c>
      <c r="V2520" s="85">
        <f>STATS1003B!V2528/1000</f>
        <v>1953.989</v>
      </c>
      <c r="W2520" s="85">
        <f>STATS1003B!W2528/1000</f>
        <v>0</v>
      </c>
      <c r="X2520" s="85">
        <f t="shared" si="274"/>
        <v>1953.989</v>
      </c>
      <c r="Y2520" s="85">
        <f>STATS1003B!Y2528/1000</f>
        <v>0</v>
      </c>
      <c r="Z2520" s="85">
        <f t="shared" si="276"/>
        <v>0</v>
      </c>
      <c r="AA2520" s="69">
        <f>STATS1003B!AA2528/1000</f>
        <v>1953.989</v>
      </c>
      <c r="AB2520" s="69">
        <f>STATS1003B!AB2528/1000</f>
        <v>0</v>
      </c>
    </row>
    <row r="2521" spans="1:28" hidden="1" x14ac:dyDescent="0.3">
      <c r="A2521" s="117"/>
      <c r="C2521" s="71" t="s">
        <v>413</v>
      </c>
      <c r="D2521" s="88" t="s">
        <v>85</v>
      </c>
      <c r="E2521" s="85">
        <f>STATS1003B!E2529/1000</f>
        <v>240</v>
      </c>
      <c r="F2521" s="85">
        <f>STATS1003B!F2529/1000</f>
        <v>240</v>
      </c>
      <c r="G2521" s="85">
        <f>STATS1003B!G2529/1000</f>
        <v>0</v>
      </c>
      <c r="H2521" s="85">
        <f>STATS1003B!H2529/1000</f>
        <v>240</v>
      </c>
      <c r="I2521" s="85">
        <f>STATS1003B!I2529/1000</f>
        <v>0</v>
      </c>
      <c r="J2521" s="85">
        <f>STATS1003B!J2529/1000</f>
        <v>0</v>
      </c>
      <c r="K2521" s="85">
        <f>STATS1003B!K2529/1000</f>
        <v>0</v>
      </c>
      <c r="L2521" s="85">
        <f>STATS1003B!L2529/1000</f>
        <v>0</v>
      </c>
      <c r="M2521" s="85">
        <f>STATS1003B!M2529/1000</f>
        <v>240</v>
      </c>
      <c r="N2521" s="85">
        <f>STATS1003B!N2529/1000</f>
        <v>0</v>
      </c>
      <c r="O2521" s="85">
        <f>STATS1003B!O2529/1000</f>
        <v>0</v>
      </c>
      <c r="P2521" s="85">
        <f>STATS1003B!P2529/1000</f>
        <v>0</v>
      </c>
      <c r="Q2521" s="85">
        <f>STATS1003B!Q2529/1000</f>
        <v>0</v>
      </c>
      <c r="R2521" s="85">
        <f>STATS1003B!R2529/1000</f>
        <v>0</v>
      </c>
      <c r="S2521" s="85">
        <f>STATS1003B!S2529/1000</f>
        <v>0</v>
      </c>
      <c r="T2521" s="85">
        <f>STATS1003B!T2529/1000</f>
        <v>0</v>
      </c>
      <c r="U2521" s="85">
        <f>STATS1003B!U2529/1000</f>
        <v>0</v>
      </c>
      <c r="V2521" s="85">
        <f>STATS1003B!V2529/1000</f>
        <v>240</v>
      </c>
      <c r="W2521" s="85">
        <f>STATS1003B!W2529/1000</f>
        <v>0</v>
      </c>
      <c r="X2521" s="85">
        <f t="shared" si="274"/>
        <v>240</v>
      </c>
      <c r="Y2521" s="85">
        <f>STATS1003B!Y2529/1000</f>
        <v>0</v>
      </c>
      <c r="Z2521" s="85">
        <f t="shared" si="276"/>
        <v>0</v>
      </c>
      <c r="AA2521" s="69">
        <f>STATS1003B!AA2529/1000</f>
        <v>240</v>
      </c>
      <c r="AB2521" s="69">
        <f>STATS1003B!AB2529/1000</f>
        <v>0</v>
      </c>
    </row>
    <row r="2522" spans="1:28" hidden="1" x14ac:dyDescent="0.3">
      <c r="A2522" s="117"/>
      <c r="C2522" s="71" t="s">
        <v>143</v>
      </c>
      <c r="D2522" s="88" t="s">
        <v>58</v>
      </c>
      <c r="E2522" s="85">
        <f>STATS1003B!E2530/1000</f>
        <v>8322.8135700000003</v>
      </c>
      <c r="F2522" s="85">
        <f>STATS1003B!F2530/1000</f>
        <v>8322.8135700000003</v>
      </c>
      <c r="G2522" s="85">
        <f>STATS1003B!G2530/1000</f>
        <v>0</v>
      </c>
      <c r="H2522" s="85">
        <f>STATS1003B!H2530/1000</f>
        <v>8322.8135700000003</v>
      </c>
      <c r="I2522" s="85">
        <f>STATS1003B!I2530/1000</f>
        <v>0</v>
      </c>
      <c r="J2522" s="85">
        <f>STATS1003B!J2530/1000</f>
        <v>0</v>
      </c>
      <c r="K2522" s="85">
        <f>STATS1003B!K2530/1000</f>
        <v>0</v>
      </c>
      <c r="L2522" s="85">
        <f>STATS1003B!L2530/1000</f>
        <v>0</v>
      </c>
      <c r="M2522" s="85">
        <f>STATS1003B!M2530/1000</f>
        <v>8322.8135700000003</v>
      </c>
      <c r="N2522" s="85">
        <f>STATS1003B!N2530/1000</f>
        <v>0</v>
      </c>
      <c r="O2522" s="85">
        <f>STATS1003B!O2530/1000</f>
        <v>0</v>
      </c>
      <c r="P2522" s="85">
        <f>STATS1003B!P2530/1000</f>
        <v>0</v>
      </c>
      <c r="Q2522" s="85">
        <f>STATS1003B!Q2530/1000</f>
        <v>0</v>
      </c>
      <c r="R2522" s="85">
        <f>STATS1003B!R2530/1000</f>
        <v>0</v>
      </c>
      <c r="S2522" s="85">
        <f>STATS1003B!S2530/1000</f>
        <v>0</v>
      </c>
      <c r="T2522" s="85">
        <f>STATS1003B!T2530/1000</f>
        <v>0</v>
      </c>
      <c r="U2522" s="85">
        <f>STATS1003B!U2530/1000</f>
        <v>0</v>
      </c>
      <c r="V2522" s="85">
        <f>STATS1003B!V2530/1000</f>
        <v>8322.8135700000003</v>
      </c>
      <c r="W2522" s="85">
        <f>STATS1003B!W2530/1000</f>
        <v>0</v>
      </c>
      <c r="X2522" s="85">
        <f t="shared" si="274"/>
        <v>8322.8135700000003</v>
      </c>
      <c r="Y2522" s="85">
        <f>STATS1003B!Y2530/1000</f>
        <v>0</v>
      </c>
      <c r="Z2522" s="85">
        <f t="shared" si="276"/>
        <v>0</v>
      </c>
      <c r="AA2522" s="69">
        <f>STATS1003B!AA2530/1000</f>
        <v>8322.8135700000003</v>
      </c>
      <c r="AB2522" s="69">
        <f>STATS1003B!AB2530/1000</f>
        <v>0</v>
      </c>
    </row>
    <row r="2523" spans="1:28" hidden="1" x14ac:dyDescent="0.3">
      <c r="A2523" s="117"/>
      <c r="C2523" s="71" t="s">
        <v>143</v>
      </c>
      <c r="D2523" s="88" t="s">
        <v>60</v>
      </c>
      <c r="E2523" s="85">
        <f>STATS1003B!E2531/1000</f>
        <v>26400.829739999997</v>
      </c>
      <c r="F2523" s="85">
        <f>STATS1003B!F2531/1000</f>
        <v>8136.0569999999998</v>
      </c>
      <c r="G2523" s="85">
        <f>STATS1003B!G2531/1000</f>
        <v>0</v>
      </c>
      <c r="H2523" s="85">
        <f>STATS1003B!H2531/1000</f>
        <v>8136.0569999999998</v>
      </c>
      <c r="I2523" s="85">
        <f>STATS1003B!I2531/1000</f>
        <v>0</v>
      </c>
      <c r="J2523" s="85">
        <f>STATS1003B!J2531/1000</f>
        <v>0</v>
      </c>
      <c r="K2523" s="85">
        <f>STATS1003B!K2531/1000</f>
        <v>0</v>
      </c>
      <c r="L2523" s="85">
        <f>STATS1003B!L2531/1000</f>
        <v>0</v>
      </c>
      <c r="M2523" s="85">
        <f>STATS1003B!M2531/1000</f>
        <v>8136.0569999999998</v>
      </c>
      <c r="N2523" s="85">
        <f>STATS1003B!N2531/1000</f>
        <v>5864.8500599999998</v>
      </c>
      <c r="O2523" s="85">
        <f>STATS1003B!O2531/1000</f>
        <v>0</v>
      </c>
      <c r="P2523" s="85">
        <f>STATS1003B!P2531/1000</f>
        <v>5864.8500599999998</v>
      </c>
      <c r="Q2523" s="85">
        <f>STATS1003B!Q2531/1000</f>
        <v>12400.955179999999</v>
      </c>
      <c r="R2523" s="85">
        <f>STATS1003B!R2531/1000</f>
        <v>1.0325</v>
      </c>
      <c r="S2523" s="85">
        <f>STATS1003B!S2531/1000</f>
        <v>0</v>
      </c>
      <c r="T2523" s="85">
        <f>STATS1003B!T2531/1000</f>
        <v>12399.92268</v>
      </c>
      <c r="U2523" s="85">
        <f>STATS1003B!U2531/1000</f>
        <v>18264.772739999997</v>
      </c>
      <c r="V2523" s="85">
        <f>STATS1003B!V2531/1000</f>
        <v>14000.90706</v>
      </c>
      <c r="W2523" s="85">
        <f>STATS1003B!W2531/1000</f>
        <v>12399.92268</v>
      </c>
      <c r="X2523" s="85">
        <f t="shared" si="274"/>
        <v>14000.90706</v>
      </c>
      <c r="Y2523" s="85">
        <f>STATS1003B!Y2531/1000</f>
        <v>0</v>
      </c>
      <c r="Z2523" s="85">
        <f t="shared" si="276"/>
        <v>12399.922679999998</v>
      </c>
      <c r="AA2523" s="69">
        <f>STATS1003B!AA2531/1000</f>
        <v>26400.829739999997</v>
      </c>
      <c r="AB2523" s="69">
        <f>STATS1003B!AB2531/1000</f>
        <v>0</v>
      </c>
    </row>
    <row r="2524" spans="1:28" hidden="1" x14ac:dyDescent="0.3">
      <c r="A2524" s="117"/>
      <c r="C2524" s="71" t="s">
        <v>414</v>
      </c>
      <c r="D2524" s="88" t="s">
        <v>60</v>
      </c>
      <c r="E2524" s="85">
        <f>STATS1003B!E2532/1000</f>
        <v>2482.2959999999998</v>
      </c>
      <c r="F2524" s="85">
        <f>STATS1003B!F2532/1000</f>
        <v>2482.2959999999998</v>
      </c>
      <c r="G2524" s="85">
        <f>STATS1003B!G2532/1000</f>
        <v>0</v>
      </c>
      <c r="H2524" s="85">
        <f>STATS1003B!H2532/1000</f>
        <v>2482.2959999999998</v>
      </c>
      <c r="I2524" s="85">
        <f>STATS1003B!I2532/1000</f>
        <v>0</v>
      </c>
      <c r="J2524" s="85">
        <f>STATS1003B!J2532/1000</f>
        <v>0</v>
      </c>
      <c r="K2524" s="85">
        <f>STATS1003B!K2532/1000</f>
        <v>0</v>
      </c>
      <c r="L2524" s="85">
        <f>STATS1003B!L2532/1000</f>
        <v>0</v>
      </c>
      <c r="M2524" s="85">
        <f>STATS1003B!M2532/1000</f>
        <v>2482.2959999999998</v>
      </c>
      <c r="N2524" s="85">
        <f>STATS1003B!N2532/1000</f>
        <v>0</v>
      </c>
      <c r="O2524" s="85">
        <f>STATS1003B!O2532/1000</f>
        <v>0</v>
      </c>
      <c r="P2524" s="85">
        <f>STATS1003B!P2532/1000</f>
        <v>0</v>
      </c>
      <c r="Q2524" s="85">
        <f>STATS1003B!Q2532/1000</f>
        <v>0</v>
      </c>
      <c r="R2524" s="85">
        <f>STATS1003B!R2532/1000</f>
        <v>0</v>
      </c>
      <c r="S2524" s="85">
        <f>STATS1003B!S2532/1000</f>
        <v>0</v>
      </c>
      <c r="T2524" s="85">
        <f>STATS1003B!T2532/1000</f>
        <v>0</v>
      </c>
      <c r="U2524" s="85">
        <f>STATS1003B!U2532/1000</f>
        <v>0</v>
      </c>
      <c r="V2524" s="85">
        <f>STATS1003B!V2532/1000</f>
        <v>2482.2959999999998</v>
      </c>
      <c r="W2524" s="85">
        <f>STATS1003B!W2532/1000</f>
        <v>0</v>
      </c>
      <c r="X2524" s="85">
        <f t="shared" si="274"/>
        <v>2482.2959999999998</v>
      </c>
      <c r="Y2524" s="85">
        <f>STATS1003B!Y2532/1000</f>
        <v>0</v>
      </c>
      <c r="Z2524" s="85">
        <f t="shared" si="276"/>
        <v>0</v>
      </c>
      <c r="AA2524" s="69">
        <f>STATS1003B!AA2532/1000</f>
        <v>2482.2959999999998</v>
      </c>
      <c r="AB2524" s="69">
        <f>STATS1003B!AB2532/1000</f>
        <v>0</v>
      </c>
    </row>
    <row r="2525" spans="1:28" hidden="1" x14ac:dyDescent="0.3">
      <c r="A2525" s="117"/>
      <c r="C2525" s="71" t="s">
        <v>143</v>
      </c>
      <c r="D2525" s="88" t="s">
        <v>73</v>
      </c>
      <c r="E2525" s="85">
        <f>STATS1003B!E2533/1000</f>
        <v>7484</v>
      </c>
      <c r="F2525" s="85">
        <f>STATS1003B!F2533/1000</f>
        <v>7484</v>
      </c>
      <c r="G2525" s="85">
        <f>STATS1003B!G2533/1000</f>
        <v>0</v>
      </c>
      <c r="H2525" s="85">
        <f>STATS1003B!H2533/1000</f>
        <v>7484</v>
      </c>
      <c r="I2525" s="85">
        <f>STATS1003B!I2533/1000</f>
        <v>0</v>
      </c>
      <c r="J2525" s="85">
        <f>STATS1003B!J2533/1000</f>
        <v>0</v>
      </c>
      <c r="K2525" s="85">
        <f>STATS1003B!K2533/1000</f>
        <v>0</v>
      </c>
      <c r="L2525" s="85">
        <f>STATS1003B!L2533/1000</f>
        <v>0</v>
      </c>
      <c r="M2525" s="85">
        <f>STATS1003B!M2533/1000</f>
        <v>7484</v>
      </c>
      <c r="N2525" s="85">
        <f>STATS1003B!N2533/1000</f>
        <v>0</v>
      </c>
      <c r="O2525" s="85">
        <f>STATS1003B!O2533/1000</f>
        <v>0</v>
      </c>
      <c r="P2525" s="85">
        <f>STATS1003B!P2533/1000</f>
        <v>0</v>
      </c>
      <c r="Q2525" s="85">
        <f>STATS1003B!Q2533/1000</f>
        <v>0</v>
      </c>
      <c r="R2525" s="85">
        <f>STATS1003B!R2533/1000</f>
        <v>0</v>
      </c>
      <c r="S2525" s="85">
        <f>STATS1003B!S2533/1000</f>
        <v>0</v>
      </c>
      <c r="T2525" s="85">
        <f>STATS1003B!T2533/1000</f>
        <v>0</v>
      </c>
      <c r="U2525" s="85">
        <f>STATS1003B!U2533/1000</f>
        <v>0</v>
      </c>
      <c r="V2525" s="85">
        <f>STATS1003B!V2533/1000</f>
        <v>7484</v>
      </c>
      <c r="W2525" s="85">
        <f>STATS1003B!W2533/1000</f>
        <v>0</v>
      </c>
      <c r="X2525" s="85">
        <f t="shared" si="274"/>
        <v>7484</v>
      </c>
      <c r="Y2525" s="85">
        <f>STATS1003B!Y2533/1000</f>
        <v>0</v>
      </c>
      <c r="Z2525" s="85">
        <f t="shared" si="276"/>
        <v>0</v>
      </c>
      <c r="AA2525" s="69">
        <f>STATS1003B!AA2533/1000</f>
        <v>7484</v>
      </c>
      <c r="AB2525" s="69">
        <f>STATS1003B!AB2533/1000</f>
        <v>0</v>
      </c>
    </row>
    <row r="2526" spans="1:28" hidden="1" x14ac:dyDescent="0.3">
      <c r="A2526" s="117"/>
      <c r="C2526" s="71" t="s">
        <v>415</v>
      </c>
      <c r="D2526" s="71" t="s">
        <v>111</v>
      </c>
      <c r="E2526" s="85">
        <f>STATS1003B!E2534/1000</f>
        <v>5583.8559999999998</v>
      </c>
      <c r="F2526" s="85">
        <f>STATS1003B!F2534/1000</f>
        <v>5583.8559999999998</v>
      </c>
      <c r="G2526" s="85">
        <f>STATS1003B!G2534/1000</f>
        <v>0</v>
      </c>
      <c r="H2526" s="85">
        <f>STATS1003B!H2534/1000</f>
        <v>5583.8559999999998</v>
      </c>
      <c r="I2526" s="85">
        <f>STATS1003B!I2534/1000</f>
        <v>0</v>
      </c>
      <c r="J2526" s="85">
        <f>STATS1003B!J2534/1000</f>
        <v>0</v>
      </c>
      <c r="K2526" s="85">
        <f>STATS1003B!K2534/1000</f>
        <v>0</v>
      </c>
      <c r="L2526" s="85">
        <f>STATS1003B!L2534/1000</f>
        <v>0</v>
      </c>
      <c r="M2526" s="85">
        <f>STATS1003B!M2534/1000</f>
        <v>5583.8559999999998</v>
      </c>
      <c r="N2526" s="85">
        <f>STATS1003B!N2534/1000</f>
        <v>0</v>
      </c>
      <c r="O2526" s="85">
        <f>STATS1003B!O2534/1000</f>
        <v>0</v>
      </c>
      <c r="P2526" s="85">
        <f>STATS1003B!P2534/1000</f>
        <v>0</v>
      </c>
      <c r="Q2526" s="85">
        <f>STATS1003B!Q2534/1000</f>
        <v>0</v>
      </c>
      <c r="R2526" s="85">
        <f>STATS1003B!R2534/1000</f>
        <v>0</v>
      </c>
      <c r="S2526" s="85">
        <f>STATS1003B!S2534/1000</f>
        <v>0</v>
      </c>
      <c r="T2526" s="85">
        <f>STATS1003B!T2534/1000</f>
        <v>0</v>
      </c>
      <c r="U2526" s="85">
        <f>STATS1003B!U2534/1000</f>
        <v>0</v>
      </c>
      <c r="V2526" s="85">
        <f>STATS1003B!V2534/1000</f>
        <v>5583.8559999999998</v>
      </c>
      <c r="W2526" s="85">
        <f>STATS1003B!W2534/1000</f>
        <v>0</v>
      </c>
      <c r="X2526" s="85">
        <f t="shared" si="274"/>
        <v>5583.8559999999998</v>
      </c>
      <c r="Y2526" s="85">
        <f>STATS1003B!Y2534/1000</f>
        <v>0</v>
      </c>
      <c r="Z2526" s="85">
        <f t="shared" si="276"/>
        <v>0</v>
      </c>
      <c r="AA2526" s="69">
        <f>STATS1003B!AA2534/1000</f>
        <v>5583.8559999999998</v>
      </c>
      <c r="AB2526" s="69">
        <f>STATS1003B!AB2534/1000</f>
        <v>0</v>
      </c>
    </row>
    <row r="2527" spans="1:28" hidden="1" x14ac:dyDescent="0.3">
      <c r="A2527" s="117"/>
      <c r="C2527" s="71" t="s">
        <v>416</v>
      </c>
      <c r="D2527" s="89" t="s">
        <v>61</v>
      </c>
      <c r="E2527" s="85">
        <f>STATS1003B!E2535/1000</f>
        <v>31512.467940000002</v>
      </c>
      <c r="F2527" s="85">
        <f>STATS1003B!F2535/1000</f>
        <v>31512.467940000002</v>
      </c>
      <c r="G2527" s="85">
        <f>STATS1003B!G2535/1000</f>
        <v>0</v>
      </c>
      <c r="H2527" s="85">
        <f>STATS1003B!H2535/1000</f>
        <v>31512.467940000002</v>
      </c>
      <c r="I2527" s="85">
        <f>STATS1003B!I2535/1000</f>
        <v>21451.583549999999</v>
      </c>
      <c r="J2527" s="85">
        <f>STATS1003B!J2535/1000</f>
        <v>21451.583549999999</v>
      </c>
      <c r="K2527" s="85">
        <f>STATS1003B!K2535/1000</f>
        <v>0</v>
      </c>
      <c r="L2527" s="85">
        <f>STATS1003B!L2535/1000</f>
        <v>0</v>
      </c>
      <c r="M2527" s="85">
        <f>STATS1003B!M2535/1000</f>
        <v>31512.467940000002</v>
      </c>
      <c r="N2527" s="85">
        <f>STATS1003B!N2535/1000</f>
        <v>0</v>
      </c>
      <c r="O2527" s="85">
        <f>STATS1003B!O2535/1000</f>
        <v>0</v>
      </c>
      <c r="P2527" s="85">
        <f>STATS1003B!P2535/1000</f>
        <v>0</v>
      </c>
      <c r="Q2527" s="85">
        <f>STATS1003B!Q2535/1000</f>
        <v>0</v>
      </c>
      <c r="R2527" s="85">
        <f>STATS1003B!R2535/1000</f>
        <v>0</v>
      </c>
      <c r="S2527" s="85">
        <f>STATS1003B!S2535/1000</f>
        <v>0</v>
      </c>
      <c r="T2527" s="85">
        <f>STATS1003B!T2535/1000</f>
        <v>0</v>
      </c>
      <c r="U2527" s="85">
        <f>STATS1003B!U2535/1000</f>
        <v>0</v>
      </c>
      <c r="V2527" s="85">
        <f>STATS1003B!V2535/1000</f>
        <v>31512.467940000002</v>
      </c>
      <c r="W2527" s="85">
        <f>STATS1003B!W2535/1000</f>
        <v>0</v>
      </c>
      <c r="X2527" s="85">
        <f t="shared" si="274"/>
        <v>31512.467940000002</v>
      </c>
      <c r="Y2527" s="85">
        <f>STATS1003B!Y2535/1000</f>
        <v>0</v>
      </c>
      <c r="Z2527" s="85">
        <f t="shared" si="276"/>
        <v>0</v>
      </c>
      <c r="AA2527" s="69">
        <f>STATS1003B!AA2535/1000</f>
        <v>31512.467940000002</v>
      </c>
      <c r="AB2527" s="69">
        <f>STATS1003B!AB2535/1000</f>
        <v>0</v>
      </c>
    </row>
    <row r="2528" spans="1:28" hidden="1" x14ac:dyDescent="0.3">
      <c r="A2528" s="117"/>
      <c r="C2528" s="71" t="s">
        <v>1176</v>
      </c>
      <c r="D2528" s="89" t="s">
        <v>1126</v>
      </c>
      <c r="E2528" s="85">
        <f>STATS1003B!E2536/1000</f>
        <v>5728.1433399999996</v>
      </c>
      <c r="F2528" s="85">
        <f>STATS1003B!F2536/1000</f>
        <v>5728.1433399999996</v>
      </c>
      <c r="G2528" s="85">
        <f>STATS1003B!G2536/1000</f>
        <v>0</v>
      </c>
      <c r="H2528" s="85">
        <f>STATS1003B!H2536/1000</f>
        <v>5728.1433399999996</v>
      </c>
      <c r="I2528" s="85">
        <f>STATS1003B!I2536/1000</f>
        <v>0</v>
      </c>
      <c r="J2528" s="85">
        <f>STATS1003B!J2536/1000</f>
        <v>0</v>
      </c>
      <c r="K2528" s="85">
        <f>STATS1003B!K2536/1000</f>
        <v>0</v>
      </c>
      <c r="L2528" s="85">
        <f>STATS1003B!L2536/1000</f>
        <v>0</v>
      </c>
      <c r="M2528" s="85">
        <f>STATS1003B!M2536/1000</f>
        <v>5728.1433399999996</v>
      </c>
      <c r="N2528" s="85">
        <f>STATS1003B!N2536/1000</f>
        <v>0</v>
      </c>
      <c r="O2528" s="85">
        <f>STATS1003B!O2536/1000</f>
        <v>0</v>
      </c>
      <c r="P2528" s="85">
        <f>STATS1003B!P2536/1000</f>
        <v>0</v>
      </c>
      <c r="Q2528" s="85">
        <f>STATS1003B!Q2536/1000</f>
        <v>0</v>
      </c>
      <c r="R2528" s="85">
        <f>STATS1003B!R2536/1000</f>
        <v>0</v>
      </c>
      <c r="S2528" s="85">
        <f>STATS1003B!S2536/1000</f>
        <v>0</v>
      </c>
      <c r="T2528" s="85">
        <f>STATS1003B!T2536/1000</f>
        <v>0</v>
      </c>
      <c r="U2528" s="85">
        <f>STATS1003B!U2536/1000</f>
        <v>0</v>
      </c>
      <c r="V2528" s="85">
        <f>STATS1003B!V2536/1000</f>
        <v>5728.1433399999996</v>
      </c>
      <c r="W2528" s="85">
        <f>STATS1003B!W2536/1000</f>
        <v>0</v>
      </c>
      <c r="X2528" s="85">
        <f t="shared" si="274"/>
        <v>5728.1433399999996</v>
      </c>
      <c r="Y2528" s="85">
        <f>STATS1003B!Y2536/1000</f>
        <v>0</v>
      </c>
      <c r="Z2528" s="85">
        <f t="shared" si="276"/>
        <v>0</v>
      </c>
      <c r="AA2528" s="69">
        <f>STATS1003B!AA2536/1000</f>
        <v>5728.1433399999996</v>
      </c>
      <c r="AB2528" s="69">
        <f>STATS1003B!AB2536/1000</f>
        <v>0</v>
      </c>
    </row>
    <row r="2529" spans="1:28" hidden="1" x14ac:dyDescent="0.3">
      <c r="A2529" s="117"/>
      <c r="C2529" s="71" t="s">
        <v>1208</v>
      </c>
      <c r="D2529" s="89" t="s">
        <v>1126</v>
      </c>
      <c r="E2529" s="85">
        <f>STATS1003B!E2537/1000</f>
        <v>3000</v>
      </c>
      <c r="F2529" s="85">
        <f>STATS1003B!F2537/1000</f>
        <v>3000</v>
      </c>
      <c r="G2529" s="85">
        <f>STATS1003B!G2537/1000</f>
        <v>0</v>
      </c>
      <c r="H2529" s="85">
        <f>STATS1003B!H2537/1000</f>
        <v>3000</v>
      </c>
      <c r="I2529" s="85">
        <f>STATS1003B!I2537/1000</f>
        <v>0</v>
      </c>
      <c r="J2529" s="85">
        <f>STATS1003B!J2537/1000</f>
        <v>0</v>
      </c>
      <c r="K2529" s="85">
        <f>STATS1003B!K2537/1000</f>
        <v>0</v>
      </c>
      <c r="L2529" s="85">
        <f>STATS1003B!L2537/1000</f>
        <v>0</v>
      </c>
      <c r="M2529" s="85">
        <f>STATS1003B!M2537/1000</f>
        <v>3000</v>
      </c>
      <c r="N2529" s="85">
        <f>STATS1003B!N2537/1000</f>
        <v>0</v>
      </c>
      <c r="O2529" s="85">
        <f>STATS1003B!O2537/1000</f>
        <v>0</v>
      </c>
      <c r="P2529" s="85">
        <f>STATS1003B!P2537/1000</f>
        <v>0</v>
      </c>
      <c r="Q2529" s="85">
        <f>STATS1003B!Q2537/1000</f>
        <v>0</v>
      </c>
      <c r="R2529" s="85">
        <f>STATS1003B!R2537/1000</f>
        <v>0</v>
      </c>
      <c r="S2529" s="85">
        <f>STATS1003B!S2537/1000</f>
        <v>0</v>
      </c>
      <c r="T2529" s="85">
        <f>STATS1003B!T2537/1000</f>
        <v>0</v>
      </c>
      <c r="U2529" s="85">
        <f>STATS1003B!U2537/1000</f>
        <v>0</v>
      </c>
      <c r="V2529" s="85">
        <f>STATS1003B!V2537/1000</f>
        <v>3000</v>
      </c>
      <c r="W2529" s="85">
        <f>STATS1003B!W2537/1000</f>
        <v>0</v>
      </c>
      <c r="X2529" s="85">
        <f t="shared" si="274"/>
        <v>3000</v>
      </c>
      <c r="Y2529" s="85">
        <f>STATS1003B!Y2537/1000</f>
        <v>0</v>
      </c>
      <c r="Z2529" s="85">
        <f t="shared" si="276"/>
        <v>0</v>
      </c>
      <c r="AA2529" s="69">
        <f>STATS1003B!AA2537/1000</f>
        <v>3000</v>
      </c>
      <c r="AB2529" s="69">
        <f>STATS1003B!AB2537/1000</f>
        <v>0</v>
      </c>
    </row>
    <row r="2530" spans="1:28" hidden="1" x14ac:dyDescent="0.3">
      <c r="A2530" s="117"/>
      <c r="C2530" s="71" t="s">
        <v>417</v>
      </c>
      <c r="E2530" s="85">
        <f>STATS1003B!E2538/1000</f>
        <v>3692.029</v>
      </c>
      <c r="F2530" s="85">
        <f>STATS1003B!F2538/1000</f>
        <v>3692.029</v>
      </c>
      <c r="G2530" s="85">
        <f>STATS1003B!G2538/1000</f>
        <v>0</v>
      </c>
      <c r="H2530" s="85">
        <f>STATS1003B!H2538/1000</f>
        <v>3692.029</v>
      </c>
      <c r="I2530" s="85">
        <f>STATS1003B!I2538/1000</f>
        <v>0</v>
      </c>
      <c r="J2530" s="85">
        <f>STATS1003B!J2538/1000</f>
        <v>0</v>
      </c>
      <c r="K2530" s="85">
        <f>STATS1003B!K2538/1000</f>
        <v>0</v>
      </c>
      <c r="L2530" s="85">
        <f>STATS1003B!L2538/1000</f>
        <v>0</v>
      </c>
      <c r="M2530" s="85">
        <f>STATS1003B!M2538/1000</f>
        <v>3692.029</v>
      </c>
      <c r="N2530" s="85">
        <f>STATS1003B!N2538/1000</f>
        <v>0</v>
      </c>
      <c r="O2530" s="85">
        <f>STATS1003B!O2538/1000</f>
        <v>0</v>
      </c>
      <c r="P2530" s="85">
        <f>STATS1003B!P2538/1000</f>
        <v>0</v>
      </c>
      <c r="Q2530" s="85">
        <f>STATS1003B!Q2538/1000</f>
        <v>0</v>
      </c>
      <c r="R2530" s="85">
        <f>STATS1003B!R2538/1000</f>
        <v>0</v>
      </c>
      <c r="S2530" s="85">
        <f>STATS1003B!S2538/1000</f>
        <v>0</v>
      </c>
      <c r="T2530" s="85">
        <f>STATS1003B!T2538/1000</f>
        <v>0</v>
      </c>
      <c r="U2530" s="85">
        <f>STATS1003B!U2538/1000</f>
        <v>0</v>
      </c>
      <c r="V2530" s="85">
        <f>STATS1003B!V2538/1000</f>
        <v>3692.029</v>
      </c>
      <c r="W2530" s="85">
        <f>STATS1003B!W2538/1000</f>
        <v>0</v>
      </c>
      <c r="X2530" s="85">
        <f t="shared" si="274"/>
        <v>3692.029</v>
      </c>
      <c r="Y2530" s="85">
        <f>STATS1003B!Y2538/1000</f>
        <v>0</v>
      </c>
      <c r="Z2530" s="85">
        <f t="shared" si="276"/>
        <v>0</v>
      </c>
      <c r="AA2530" s="69">
        <f>STATS1003B!AA2538/1000</f>
        <v>3692.029</v>
      </c>
      <c r="AB2530" s="69">
        <f>STATS1003B!AB2538/1000</f>
        <v>0</v>
      </c>
    </row>
    <row r="2531" spans="1:28" hidden="1" x14ac:dyDescent="0.3">
      <c r="A2531" s="117"/>
      <c r="C2531" s="71" t="s">
        <v>418</v>
      </c>
      <c r="E2531" s="85">
        <f>STATS1003B!E2539/1000</f>
        <v>8720.3080000000009</v>
      </c>
      <c r="F2531" s="85">
        <f>STATS1003B!F2539/1000</f>
        <v>8720.3080000000009</v>
      </c>
      <c r="G2531" s="85">
        <f>STATS1003B!G2539/1000</f>
        <v>0</v>
      </c>
      <c r="H2531" s="85">
        <f>STATS1003B!H2539/1000</f>
        <v>8720.3080000000009</v>
      </c>
      <c r="I2531" s="85">
        <f>STATS1003B!I2539/1000</f>
        <v>0</v>
      </c>
      <c r="J2531" s="85">
        <f>STATS1003B!J2539/1000</f>
        <v>0</v>
      </c>
      <c r="K2531" s="85">
        <f>STATS1003B!K2539/1000</f>
        <v>0</v>
      </c>
      <c r="L2531" s="85">
        <f>STATS1003B!L2539/1000</f>
        <v>0</v>
      </c>
      <c r="M2531" s="85">
        <f>STATS1003B!M2539/1000</f>
        <v>8720.3080000000009</v>
      </c>
      <c r="N2531" s="85">
        <f>STATS1003B!N2539/1000</f>
        <v>0</v>
      </c>
      <c r="O2531" s="85">
        <f>STATS1003B!O2539/1000</f>
        <v>0</v>
      </c>
      <c r="P2531" s="85">
        <f>STATS1003B!P2539/1000</f>
        <v>0</v>
      </c>
      <c r="Q2531" s="85">
        <f>STATS1003B!Q2539/1000</f>
        <v>0</v>
      </c>
      <c r="R2531" s="85">
        <f>STATS1003B!R2539/1000</f>
        <v>0</v>
      </c>
      <c r="S2531" s="85">
        <f>STATS1003B!S2539/1000</f>
        <v>0</v>
      </c>
      <c r="T2531" s="85">
        <f>STATS1003B!T2539/1000</f>
        <v>0</v>
      </c>
      <c r="U2531" s="85">
        <f>STATS1003B!U2539/1000</f>
        <v>0</v>
      </c>
      <c r="V2531" s="85">
        <f>STATS1003B!V2539/1000</f>
        <v>8720.3080000000009</v>
      </c>
      <c r="W2531" s="85">
        <f>STATS1003B!W2539/1000</f>
        <v>0</v>
      </c>
      <c r="X2531" s="85">
        <f t="shared" si="274"/>
        <v>8720.3080000000009</v>
      </c>
      <c r="Y2531" s="85">
        <f>STATS1003B!Y2539/1000</f>
        <v>0</v>
      </c>
      <c r="Z2531" s="85">
        <f t="shared" si="276"/>
        <v>0</v>
      </c>
      <c r="AA2531" s="69">
        <f>STATS1003B!AA2539/1000</f>
        <v>8720.3080000000009</v>
      </c>
      <c r="AB2531" s="69">
        <f>STATS1003B!AB2539/1000</f>
        <v>0</v>
      </c>
    </row>
    <row r="2532" spans="1:28" hidden="1" x14ac:dyDescent="0.3">
      <c r="A2532" s="117"/>
      <c r="C2532" s="71" t="s">
        <v>419</v>
      </c>
      <c r="E2532" s="85">
        <f>STATS1003B!E2540/1000</f>
        <v>4398.65542</v>
      </c>
      <c r="F2532" s="85">
        <f>STATS1003B!F2540/1000</f>
        <v>4398.65542</v>
      </c>
      <c r="G2532" s="85">
        <f>STATS1003B!G2540/1000</f>
        <v>0</v>
      </c>
      <c r="H2532" s="85">
        <f>STATS1003B!H2540/1000</f>
        <v>4398.65542</v>
      </c>
      <c r="I2532" s="85">
        <f>STATS1003B!I2540/1000</f>
        <v>0</v>
      </c>
      <c r="J2532" s="85">
        <f>STATS1003B!J2540/1000</f>
        <v>0</v>
      </c>
      <c r="K2532" s="85">
        <f>STATS1003B!K2540/1000</f>
        <v>0</v>
      </c>
      <c r="L2532" s="85">
        <f>STATS1003B!L2540/1000</f>
        <v>0</v>
      </c>
      <c r="M2532" s="85">
        <f>STATS1003B!M2540/1000</f>
        <v>4398.65542</v>
      </c>
      <c r="N2532" s="85">
        <f>STATS1003B!N2540/1000</f>
        <v>0</v>
      </c>
      <c r="O2532" s="85">
        <f>STATS1003B!O2540/1000</f>
        <v>0</v>
      </c>
      <c r="P2532" s="85">
        <f>STATS1003B!P2540/1000</f>
        <v>0</v>
      </c>
      <c r="Q2532" s="85">
        <f>STATS1003B!Q2540/1000</f>
        <v>0</v>
      </c>
      <c r="R2532" s="85">
        <f>STATS1003B!R2540/1000</f>
        <v>0</v>
      </c>
      <c r="S2532" s="85">
        <f>STATS1003B!S2540/1000</f>
        <v>0</v>
      </c>
      <c r="T2532" s="85">
        <f>STATS1003B!T2540/1000</f>
        <v>0</v>
      </c>
      <c r="U2532" s="85">
        <f>STATS1003B!U2540/1000</f>
        <v>0</v>
      </c>
      <c r="V2532" s="85">
        <f>STATS1003B!V2540/1000</f>
        <v>4398.65542</v>
      </c>
      <c r="W2532" s="85">
        <f>STATS1003B!W2540/1000</f>
        <v>0</v>
      </c>
      <c r="X2532" s="85">
        <f t="shared" si="274"/>
        <v>4398.65542</v>
      </c>
      <c r="Y2532" s="85">
        <f>STATS1003B!Y2540/1000</f>
        <v>0</v>
      </c>
      <c r="Z2532" s="85">
        <f t="shared" si="276"/>
        <v>0</v>
      </c>
      <c r="AA2532" s="69">
        <f>STATS1003B!AA2540/1000</f>
        <v>4398.65542</v>
      </c>
      <c r="AB2532" s="69">
        <f>STATS1003B!AB2540/1000</f>
        <v>0</v>
      </c>
    </row>
    <row r="2533" spans="1:28" hidden="1" x14ac:dyDescent="0.3">
      <c r="A2533" s="117"/>
      <c r="C2533" s="71" t="s">
        <v>109</v>
      </c>
      <c r="E2533" s="85">
        <f>STATS1003B!E2541/1000</f>
        <v>7316.8771999999999</v>
      </c>
      <c r="F2533" s="85">
        <f>STATS1003B!F2541/1000</f>
        <v>7316.8771999999999</v>
      </c>
      <c r="G2533" s="85">
        <f>STATS1003B!G2541/1000</f>
        <v>0</v>
      </c>
      <c r="H2533" s="85">
        <f>STATS1003B!H2541/1000</f>
        <v>7316.8771999999999</v>
      </c>
      <c r="I2533" s="85">
        <f>STATS1003B!I2541/1000</f>
        <v>0</v>
      </c>
      <c r="J2533" s="85">
        <f>STATS1003B!J2541/1000</f>
        <v>0</v>
      </c>
      <c r="K2533" s="85">
        <f>STATS1003B!K2541/1000</f>
        <v>0</v>
      </c>
      <c r="L2533" s="85">
        <f>STATS1003B!L2541/1000</f>
        <v>0</v>
      </c>
      <c r="M2533" s="85">
        <f>STATS1003B!M2541/1000</f>
        <v>7316.8771999999999</v>
      </c>
      <c r="N2533" s="85">
        <f>STATS1003B!N2541/1000</f>
        <v>0</v>
      </c>
      <c r="O2533" s="85">
        <f>STATS1003B!O2541/1000</f>
        <v>0</v>
      </c>
      <c r="P2533" s="85">
        <f>STATS1003B!P2541/1000</f>
        <v>0</v>
      </c>
      <c r="Q2533" s="85">
        <f>STATS1003B!Q2541/1000</f>
        <v>0</v>
      </c>
      <c r="R2533" s="85">
        <f>STATS1003B!R2541/1000</f>
        <v>0</v>
      </c>
      <c r="S2533" s="85">
        <f>STATS1003B!S2541/1000</f>
        <v>0</v>
      </c>
      <c r="T2533" s="85">
        <f>STATS1003B!T2541/1000</f>
        <v>0</v>
      </c>
      <c r="U2533" s="85">
        <f>STATS1003B!U2541/1000</f>
        <v>0</v>
      </c>
      <c r="V2533" s="85">
        <f>STATS1003B!V2541/1000</f>
        <v>7316.8771999999999</v>
      </c>
      <c r="W2533" s="85">
        <f>STATS1003B!W2541/1000</f>
        <v>0</v>
      </c>
      <c r="X2533" s="85">
        <f t="shared" si="274"/>
        <v>7316.8771999999999</v>
      </c>
      <c r="Y2533" s="85">
        <f>STATS1003B!Y2541/1000</f>
        <v>0</v>
      </c>
      <c r="Z2533" s="85">
        <f t="shared" si="276"/>
        <v>0</v>
      </c>
      <c r="AA2533" s="69">
        <f>STATS1003B!AA2541/1000</f>
        <v>7316.8771999999999</v>
      </c>
      <c r="AB2533" s="69">
        <f>STATS1003B!AB2541/1000</f>
        <v>0</v>
      </c>
    </row>
    <row r="2534" spans="1:28" hidden="1" x14ac:dyDescent="0.3">
      <c r="A2534" s="117"/>
      <c r="E2534" s="86" t="s">
        <v>29</v>
      </c>
      <c r="F2534" s="86" t="s">
        <v>29</v>
      </c>
      <c r="G2534" s="86" t="s">
        <v>29</v>
      </c>
      <c r="H2534" s="86" t="s">
        <v>29</v>
      </c>
      <c r="I2534" s="86" t="s">
        <v>29</v>
      </c>
      <c r="J2534" s="86" t="s">
        <v>29</v>
      </c>
      <c r="K2534" s="86" t="s">
        <v>29</v>
      </c>
      <c r="L2534" s="86" t="s">
        <v>29</v>
      </c>
      <c r="M2534" s="86" t="s">
        <v>29</v>
      </c>
      <c r="N2534" s="86" t="s">
        <v>29</v>
      </c>
      <c r="O2534" s="86" t="s">
        <v>29</v>
      </c>
      <c r="P2534" s="86" t="s">
        <v>29</v>
      </c>
      <c r="Q2534" s="86" t="s">
        <v>29</v>
      </c>
      <c r="R2534" s="86" t="s">
        <v>29</v>
      </c>
      <c r="S2534" s="86" t="s">
        <v>29</v>
      </c>
      <c r="T2534" s="86" t="s">
        <v>29</v>
      </c>
      <c r="U2534" s="86" t="s">
        <v>29</v>
      </c>
      <c r="V2534" s="86" t="s">
        <v>29</v>
      </c>
      <c r="W2534" s="86" t="s">
        <v>29</v>
      </c>
      <c r="X2534" s="85" t="e">
        <f t="shared" si="274"/>
        <v>#VALUE!</v>
      </c>
      <c r="Y2534" s="86" t="s">
        <v>29</v>
      </c>
      <c r="Z2534" s="85" t="e">
        <f t="shared" si="276"/>
        <v>#VALUE!</v>
      </c>
      <c r="AA2534" s="115" t="s">
        <v>29</v>
      </c>
      <c r="AB2534" s="115" t="s">
        <v>29</v>
      </c>
    </row>
    <row r="2535" spans="1:28" x14ac:dyDescent="0.3">
      <c r="A2535" s="116">
        <v>111</v>
      </c>
      <c r="B2535" s="71" t="s">
        <v>410</v>
      </c>
      <c r="E2535" s="85">
        <f>464836710.02/1000</f>
        <v>464836.71002</v>
      </c>
      <c r="F2535" s="85">
        <f t="shared" ref="F2535:AB2535" si="279">SUM(F2518:F2533)</f>
        <v>126826.20225</v>
      </c>
      <c r="G2535" s="85">
        <f t="shared" si="279"/>
        <v>0</v>
      </c>
      <c r="H2535" s="85">
        <f>440307589.18/1000</f>
        <v>440307.58918000001</v>
      </c>
      <c r="I2535" s="85">
        <f t="shared" si="279"/>
        <v>21451.583549999999</v>
      </c>
      <c r="J2535" s="85">
        <f t="shared" si="279"/>
        <v>21451.583549999999</v>
      </c>
      <c r="K2535" s="85">
        <f t="shared" si="279"/>
        <v>0</v>
      </c>
      <c r="L2535" s="85">
        <f t="shared" si="279"/>
        <v>0</v>
      </c>
      <c r="M2535" s="85">
        <f t="shared" si="279"/>
        <v>126826.20225</v>
      </c>
      <c r="N2535" s="85">
        <f t="shared" si="279"/>
        <v>12129.19816</v>
      </c>
      <c r="O2535" s="85">
        <f t="shared" si="279"/>
        <v>0</v>
      </c>
      <c r="P2535" s="85">
        <f>12129198/1000</f>
        <v>12129.198</v>
      </c>
      <c r="Q2535" s="85">
        <f t="shared" si="279"/>
        <v>12400.955179999999</v>
      </c>
      <c r="R2535" s="85">
        <f t="shared" si="279"/>
        <v>1.0325</v>
      </c>
      <c r="S2535" s="85">
        <f t="shared" si="279"/>
        <v>0</v>
      </c>
      <c r="T2535" s="85">
        <f t="shared" si="279"/>
        <v>12399.92268</v>
      </c>
      <c r="U2535" s="85">
        <f t="shared" si="279"/>
        <v>24529.120839999996</v>
      </c>
      <c r="V2535" s="85">
        <f t="shared" si="279"/>
        <v>138955.40041</v>
      </c>
      <c r="W2535" s="85">
        <f t="shared" si="279"/>
        <v>12399.92268</v>
      </c>
      <c r="X2535" s="85">
        <f>+H2535+P2535</f>
        <v>452436.78717999998</v>
      </c>
      <c r="Y2535" s="85">
        <f t="shared" si="279"/>
        <v>0</v>
      </c>
      <c r="Z2535" s="85">
        <f t="shared" si="276"/>
        <v>12399.922840000014</v>
      </c>
      <c r="AA2535" s="72">
        <f t="shared" si="279"/>
        <v>151355.32308999996</v>
      </c>
      <c r="AB2535" s="72">
        <f t="shared" si="279"/>
        <v>0</v>
      </c>
    </row>
    <row r="2536" spans="1:28" hidden="1" x14ac:dyDescent="0.3">
      <c r="A2536" s="117"/>
      <c r="E2536" s="86" t="s">
        <v>29</v>
      </c>
      <c r="F2536" s="86" t="s">
        <v>29</v>
      </c>
      <c r="G2536" s="86" t="s">
        <v>29</v>
      </c>
      <c r="H2536" s="86" t="s">
        <v>29</v>
      </c>
      <c r="I2536" s="86" t="s">
        <v>29</v>
      </c>
      <c r="J2536" s="86" t="s">
        <v>29</v>
      </c>
      <c r="K2536" s="86" t="s">
        <v>29</v>
      </c>
      <c r="L2536" s="86" t="s">
        <v>29</v>
      </c>
      <c r="M2536" s="86" t="s">
        <v>29</v>
      </c>
      <c r="N2536" s="86" t="s">
        <v>29</v>
      </c>
      <c r="O2536" s="86" t="s">
        <v>29</v>
      </c>
      <c r="P2536" s="86" t="s">
        <v>29</v>
      </c>
      <c r="Q2536" s="86" t="s">
        <v>29</v>
      </c>
      <c r="R2536" s="86" t="s">
        <v>29</v>
      </c>
      <c r="S2536" s="86" t="s">
        <v>29</v>
      </c>
      <c r="T2536" s="86" t="s">
        <v>29</v>
      </c>
      <c r="U2536" s="86" t="s">
        <v>29</v>
      </c>
      <c r="V2536" s="86" t="s">
        <v>29</v>
      </c>
      <c r="W2536" s="86" t="s">
        <v>29</v>
      </c>
      <c r="X2536" s="85" t="e">
        <f t="shared" ref="X2536:X2564" si="280">+H2536+P2536</f>
        <v>#VALUE!</v>
      </c>
      <c r="Y2536" s="86" t="s">
        <v>29</v>
      </c>
      <c r="Z2536" s="85" t="e">
        <f t="shared" si="276"/>
        <v>#VALUE!</v>
      </c>
      <c r="AA2536" s="115" t="s">
        <v>29</v>
      </c>
      <c r="AB2536" s="115" t="s">
        <v>29</v>
      </c>
    </row>
    <row r="2537" spans="1:28" hidden="1" x14ac:dyDescent="0.3">
      <c r="A2537" s="105"/>
      <c r="E2537" s="84"/>
      <c r="F2537" s="84"/>
      <c r="G2537" s="84"/>
      <c r="H2537" s="84"/>
      <c r="I2537" s="84"/>
      <c r="J2537" s="84"/>
      <c r="K2537" s="84"/>
      <c r="L2537" s="84"/>
      <c r="M2537" s="84"/>
      <c r="N2537" s="84"/>
      <c r="O2537" s="84"/>
      <c r="P2537" s="84"/>
      <c r="Q2537" s="84"/>
      <c r="R2537" s="84"/>
      <c r="S2537" s="84"/>
      <c r="T2537" s="84"/>
      <c r="U2537" s="84"/>
      <c r="V2537" s="84"/>
      <c r="W2537" s="84"/>
      <c r="X2537" s="85">
        <f t="shared" si="280"/>
        <v>0</v>
      </c>
      <c r="Y2537" s="84"/>
      <c r="Z2537" s="85">
        <f t="shared" si="276"/>
        <v>0</v>
      </c>
    </row>
    <row r="2538" spans="1:28" x14ac:dyDescent="0.3">
      <c r="A2538" s="117"/>
      <c r="B2538" s="71" t="s">
        <v>420</v>
      </c>
      <c r="D2538" s="88" t="s">
        <v>85</v>
      </c>
      <c r="E2538" s="85">
        <v>14</v>
      </c>
      <c r="F2538" s="85">
        <f>STATS1003B!F2546/1000</f>
        <v>14</v>
      </c>
      <c r="G2538" s="85">
        <f>STATS1003B!G2546/1000</f>
        <v>0</v>
      </c>
      <c r="H2538" s="85">
        <v>14</v>
      </c>
      <c r="I2538" s="85">
        <f>STATS1003B!I2546/1000</f>
        <v>0</v>
      </c>
      <c r="J2538" s="85">
        <f>STATS1003B!J2546/1000</f>
        <v>0</v>
      </c>
      <c r="K2538" s="85">
        <f>STATS1003B!K2546/1000</f>
        <v>0</v>
      </c>
      <c r="L2538" s="85">
        <f>STATS1003B!L2546/1000</f>
        <v>0</v>
      </c>
      <c r="M2538" s="85">
        <f>STATS1003B!M2546/1000</f>
        <v>14</v>
      </c>
      <c r="N2538" s="85">
        <f>STATS1003B!N2546/1000</f>
        <v>0</v>
      </c>
      <c r="O2538" s="85">
        <f>STATS1003B!O2546/1000</f>
        <v>0</v>
      </c>
      <c r="P2538" s="85">
        <v>0</v>
      </c>
      <c r="Q2538" s="85">
        <f>STATS1003B!Q2546/1000</f>
        <v>0</v>
      </c>
      <c r="R2538" s="85">
        <f>STATS1003B!R2546/1000</f>
        <v>0</v>
      </c>
      <c r="S2538" s="85">
        <f>STATS1003B!S2546/1000</f>
        <v>0</v>
      </c>
      <c r="T2538" s="85">
        <f>STATS1003B!T2546/1000</f>
        <v>0</v>
      </c>
      <c r="U2538" s="85">
        <f>STATS1003B!U2546/1000</f>
        <v>0</v>
      </c>
      <c r="V2538" s="85">
        <f>STATS1003B!V2546/1000</f>
        <v>14</v>
      </c>
      <c r="W2538" s="85">
        <f>STATS1003B!W2546/1000</f>
        <v>0</v>
      </c>
      <c r="X2538" s="85">
        <f>+H2538+P2538</f>
        <v>14</v>
      </c>
      <c r="Y2538" s="85">
        <f>STATS1003B!Y2546/1000</f>
        <v>0</v>
      </c>
      <c r="Z2538" s="85">
        <f t="shared" si="276"/>
        <v>0</v>
      </c>
      <c r="AA2538" s="69">
        <f>STATS1003B!AA2546/1000</f>
        <v>14</v>
      </c>
      <c r="AB2538" s="69">
        <f>STATS1003B!AB2546/1000</f>
        <v>0</v>
      </c>
    </row>
    <row r="2539" spans="1:28" hidden="1" x14ac:dyDescent="0.3">
      <c r="A2539" s="117"/>
      <c r="E2539" s="86" t="s">
        <v>29</v>
      </c>
      <c r="F2539" s="86" t="s">
        <v>29</v>
      </c>
      <c r="G2539" s="86" t="s">
        <v>29</v>
      </c>
      <c r="H2539" s="86" t="s">
        <v>29</v>
      </c>
      <c r="I2539" s="86" t="s">
        <v>29</v>
      </c>
      <c r="J2539" s="86" t="s">
        <v>29</v>
      </c>
      <c r="K2539" s="86" t="s">
        <v>29</v>
      </c>
      <c r="L2539" s="86" t="s">
        <v>29</v>
      </c>
      <c r="M2539" s="86" t="s">
        <v>29</v>
      </c>
      <c r="N2539" s="86" t="s">
        <v>29</v>
      </c>
      <c r="O2539" s="86" t="s">
        <v>29</v>
      </c>
      <c r="P2539" s="86" t="s">
        <v>29</v>
      </c>
      <c r="Q2539" s="86" t="s">
        <v>29</v>
      </c>
      <c r="R2539" s="86" t="s">
        <v>29</v>
      </c>
      <c r="S2539" s="86" t="s">
        <v>29</v>
      </c>
      <c r="T2539" s="86" t="s">
        <v>29</v>
      </c>
      <c r="U2539" s="86" t="s">
        <v>29</v>
      </c>
      <c r="V2539" s="86" t="s">
        <v>29</v>
      </c>
      <c r="W2539" s="86" t="s">
        <v>29</v>
      </c>
      <c r="X2539" s="85" t="e">
        <f t="shared" si="280"/>
        <v>#VALUE!</v>
      </c>
      <c r="Y2539" s="86" t="s">
        <v>29</v>
      </c>
      <c r="Z2539" s="85" t="e">
        <f t="shared" si="276"/>
        <v>#VALUE!</v>
      </c>
      <c r="AA2539" s="70" t="s">
        <v>29</v>
      </c>
      <c r="AB2539" s="70" t="s">
        <v>29</v>
      </c>
    </row>
    <row r="2540" spans="1:28" hidden="1" x14ac:dyDescent="0.3">
      <c r="A2540" s="105"/>
      <c r="D2540" s="71" t="s">
        <v>422</v>
      </c>
      <c r="E2540" s="84"/>
      <c r="F2540" s="84"/>
      <c r="G2540" s="84"/>
      <c r="H2540" s="84"/>
      <c r="I2540" s="84"/>
      <c r="J2540" s="84"/>
      <c r="K2540" s="84"/>
      <c r="L2540" s="84"/>
      <c r="M2540" s="84"/>
      <c r="N2540" s="84"/>
      <c r="O2540" s="84"/>
      <c r="P2540" s="84"/>
      <c r="Q2540" s="84"/>
      <c r="R2540" s="84"/>
      <c r="S2540" s="84"/>
      <c r="T2540" s="84"/>
      <c r="U2540" s="84"/>
      <c r="V2540" s="84"/>
      <c r="W2540" s="84"/>
      <c r="X2540" s="85">
        <f t="shared" si="280"/>
        <v>0</v>
      </c>
      <c r="Y2540" s="84"/>
      <c r="Z2540" s="85">
        <f t="shared" si="276"/>
        <v>0</v>
      </c>
    </row>
    <row r="2541" spans="1:28" hidden="1" x14ac:dyDescent="0.3">
      <c r="A2541" s="117"/>
      <c r="C2541" s="71" t="s">
        <v>143</v>
      </c>
      <c r="D2541" s="71" t="s">
        <v>423</v>
      </c>
      <c r="E2541" s="85">
        <f>STATS1003B!E2549/1000</f>
        <v>14677.731669999999</v>
      </c>
      <c r="F2541" s="85">
        <f>STATS1003B!F2549/1000</f>
        <v>13065.235500000001</v>
      </c>
      <c r="G2541" s="85">
        <f>STATS1003B!G2549/1000</f>
        <v>0</v>
      </c>
      <c r="H2541" s="85">
        <f>STATS1003B!H2549/1000</f>
        <v>13065.235500000001</v>
      </c>
      <c r="I2541" s="85">
        <f>STATS1003B!I2549/1000</f>
        <v>0</v>
      </c>
      <c r="J2541" s="85">
        <f>STATS1003B!J2549/1000</f>
        <v>0</v>
      </c>
      <c r="K2541" s="85">
        <f>STATS1003B!K2549/1000</f>
        <v>0</v>
      </c>
      <c r="L2541" s="85">
        <f>STATS1003B!L2549/1000</f>
        <v>0</v>
      </c>
      <c r="M2541" s="85">
        <f>STATS1003B!M2549/1000</f>
        <v>13065.235500000001</v>
      </c>
      <c r="N2541" s="85">
        <f>STATS1003B!N2549/1000</f>
        <v>1612.4961699999999</v>
      </c>
      <c r="O2541" s="85">
        <f>STATS1003B!O2549/1000</f>
        <v>0</v>
      </c>
      <c r="P2541" s="85">
        <f>STATS1003B!P2549/1000</f>
        <v>1612.4961699999999</v>
      </c>
      <c r="Q2541" s="85">
        <f>STATS1003B!Q2549/1000</f>
        <v>0</v>
      </c>
      <c r="R2541" s="85">
        <f>STATS1003B!R2549/1000</f>
        <v>0</v>
      </c>
      <c r="S2541" s="85">
        <f>STATS1003B!S2549/1000</f>
        <v>0</v>
      </c>
      <c r="T2541" s="85">
        <f>STATS1003B!T2549/1000</f>
        <v>0</v>
      </c>
      <c r="U2541" s="85">
        <f>STATS1003B!U2549/1000</f>
        <v>1612.4961699999999</v>
      </c>
      <c r="V2541" s="85">
        <f>STATS1003B!V2549/1000</f>
        <v>14677.731669999999</v>
      </c>
      <c r="W2541" s="85">
        <f>STATS1003B!W2549/1000</f>
        <v>0</v>
      </c>
      <c r="X2541" s="85">
        <f t="shared" si="280"/>
        <v>14677.731670000001</v>
      </c>
      <c r="Y2541" s="85">
        <f>STATS1003B!Y2549/1000</f>
        <v>0</v>
      </c>
      <c r="Z2541" s="85">
        <f t="shared" si="276"/>
        <v>0</v>
      </c>
      <c r="AA2541" s="69">
        <f>STATS1003B!AA2549/1000</f>
        <v>14677.731669999999</v>
      </c>
      <c r="AB2541" s="69">
        <f>STATS1003B!AB2549/1000</f>
        <v>0</v>
      </c>
    </row>
    <row r="2542" spans="1:28" hidden="1" x14ac:dyDescent="0.3">
      <c r="A2542" s="117"/>
      <c r="C2542" s="71" t="s">
        <v>55</v>
      </c>
      <c r="D2542" s="88" t="s">
        <v>68</v>
      </c>
      <c r="E2542" s="85">
        <f>STATS1003B!E2550/1000</f>
        <v>2386.8404999999998</v>
      </c>
      <c r="F2542" s="85">
        <f>STATS1003B!F2550/1000</f>
        <v>0</v>
      </c>
      <c r="G2542" s="85">
        <f>STATS1003B!G2550/1000</f>
        <v>0</v>
      </c>
      <c r="H2542" s="85">
        <f>STATS1003B!H2550/1000</f>
        <v>0</v>
      </c>
      <c r="I2542" s="85">
        <f>STATS1003B!I2550/1000</f>
        <v>0</v>
      </c>
      <c r="J2542" s="85">
        <f>STATS1003B!J2550/1000</f>
        <v>0</v>
      </c>
      <c r="K2542" s="85">
        <f>STATS1003B!K2550/1000</f>
        <v>0</v>
      </c>
      <c r="L2542" s="85">
        <f>STATS1003B!L2550/1000</f>
        <v>0</v>
      </c>
      <c r="M2542" s="85">
        <f>STATS1003B!M2550/1000</f>
        <v>0</v>
      </c>
      <c r="N2542" s="85">
        <f>STATS1003B!N2550/1000</f>
        <v>2386.8404999999998</v>
      </c>
      <c r="O2542" s="85">
        <f>STATS1003B!O2550/1000</f>
        <v>0</v>
      </c>
      <c r="P2542" s="85">
        <f>STATS1003B!P2550/1000</f>
        <v>2386.8404999999998</v>
      </c>
      <c r="Q2542" s="85">
        <f>STATS1003B!Q2550/1000</f>
        <v>0</v>
      </c>
      <c r="R2542" s="85">
        <f>STATS1003B!R2550/1000</f>
        <v>0</v>
      </c>
      <c r="S2542" s="85">
        <f>STATS1003B!S2550/1000</f>
        <v>0</v>
      </c>
      <c r="T2542" s="85">
        <f>STATS1003B!T2550/1000</f>
        <v>0</v>
      </c>
      <c r="U2542" s="85">
        <f>STATS1003B!U2550/1000</f>
        <v>2386.8404999999998</v>
      </c>
      <c r="V2542" s="85">
        <f>STATS1003B!V2550/1000</f>
        <v>2386.8404999999998</v>
      </c>
      <c r="W2542" s="85">
        <f>STATS1003B!W2550/1000</f>
        <v>0</v>
      </c>
      <c r="X2542" s="85">
        <f t="shared" si="280"/>
        <v>2386.8404999999998</v>
      </c>
      <c r="Y2542" s="85">
        <f>STATS1003B!Y2550/1000</f>
        <v>0</v>
      </c>
      <c r="Z2542" s="85">
        <f t="shared" si="276"/>
        <v>0</v>
      </c>
      <c r="AA2542" s="69">
        <f>STATS1003B!AA2550/1000</f>
        <v>2386.8404999999998</v>
      </c>
      <c r="AB2542" s="69">
        <f>STATS1003B!AB2550/1000</f>
        <v>0</v>
      </c>
    </row>
    <row r="2543" spans="1:28" hidden="1" x14ac:dyDescent="0.3">
      <c r="A2543" s="117"/>
      <c r="C2543" s="71" t="s">
        <v>424</v>
      </c>
      <c r="D2543" s="88" t="s">
        <v>54</v>
      </c>
      <c r="E2543" s="85">
        <f>STATS1003B!E2551/1000</f>
        <v>1767.77</v>
      </c>
      <c r="F2543" s="85">
        <f>STATS1003B!F2551/1000</f>
        <v>0</v>
      </c>
      <c r="G2543" s="85">
        <f>STATS1003B!G2551/1000</f>
        <v>0</v>
      </c>
      <c r="H2543" s="85">
        <f>STATS1003B!H2551/1000</f>
        <v>0</v>
      </c>
      <c r="I2543" s="85">
        <f>STATS1003B!I2551/1000</f>
        <v>0</v>
      </c>
      <c r="J2543" s="85">
        <f>STATS1003B!J2551/1000</f>
        <v>0</v>
      </c>
      <c r="K2543" s="85">
        <f>STATS1003B!K2551/1000</f>
        <v>0</v>
      </c>
      <c r="L2543" s="85">
        <f>STATS1003B!L2551/1000</f>
        <v>0</v>
      </c>
      <c r="M2543" s="85">
        <f>STATS1003B!M2551/1000</f>
        <v>0</v>
      </c>
      <c r="N2543" s="85">
        <f>STATS1003B!N2551/1000</f>
        <v>1767.77</v>
      </c>
      <c r="O2543" s="85">
        <f>STATS1003B!O2551/1000</f>
        <v>0</v>
      </c>
      <c r="P2543" s="85">
        <f>STATS1003B!P2551/1000</f>
        <v>1767.77</v>
      </c>
      <c r="Q2543" s="85">
        <f>STATS1003B!Q2551/1000</f>
        <v>0</v>
      </c>
      <c r="R2543" s="85">
        <f>STATS1003B!R2551/1000</f>
        <v>0</v>
      </c>
      <c r="S2543" s="85">
        <f>STATS1003B!S2551/1000</f>
        <v>0</v>
      </c>
      <c r="T2543" s="85">
        <f>STATS1003B!T2551/1000</f>
        <v>0</v>
      </c>
      <c r="U2543" s="85">
        <f>STATS1003B!U2551/1000</f>
        <v>1767.77</v>
      </c>
      <c r="V2543" s="85">
        <f>STATS1003B!V2551/1000</f>
        <v>1767.77</v>
      </c>
      <c r="W2543" s="85">
        <f>STATS1003B!W2551/1000</f>
        <v>0</v>
      </c>
      <c r="X2543" s="85">
        <f t="shared" si="280"/>
        <v>1767.77</v>
      </c>
      <c r="Y2543" s="85">
        <f>STATS1003B!Y2551/1000</f>
        <v>0</v>
      </c>
      <c r="Z2543" s="85">
        <f t="shared" si="276"/>
        <v>0</v>
      </c>
      <c r="AA2543" s="69">
        <f>STATS1003B!AA2551/1000</f>
        <v>1767.77</v>
      </c>
      <c r="AB2543" s="69">
        <f>STATS1003B!AB2551/1000</f>
        <v>0</v>
      </c>
    </row>
    <row r="2544" spans="1:28" hidden="1" x14ac:dyDescent="0.3">
      <c r="A2544" s="117"/>
      <c r="C2544" s="71" t="s">
        <v>425</v>
      </c>
      <c r="D2544" s="88" t="s">
        <v>54</v>
      </c>
      <c r="E2544" s="85">
        <f>STATS1003B!E2552/1000</f>
        <v>955.34561999999994</v>
      </c>
      <c r="F2544" s="85">
        <f>STATS1003B!F2552/1000</f>
        <v>0</v>
      </c>
      <c r="G2544" s="85">
        <f>STATS1003B!G2552/1000</f>
        <v>0</v>
      </c>
      <c r="H2544" s="85">
        <f>STATS1003B!H2552/1000</f>
        <v>0</v>
      </c>
      <c r="I2544" s="85">
        <f>STATS1003B!I2552/1000</f>
        <v>0</v>
      </c>
      <c r="J2544" s="85">
        <f>STATS1003B!J2552/1000</f>
        <v>0</v>
      </c>
      <c r="K2544" s="85">
        <f>STATS1003B!K2552/1000</f>
        <v>0</v>
      </c>
      <c r="L2544" s="85">
        <f>STATS1003B!L2552/1000</f>
        <v>0</v>
      </c>
      <c r="M2544" s="85">
        <f>STATS1003B!M2552/1000</f>
        <v>0</v>
      </c>
      <c r="N2544" s="85">
        <f>STATS1003B!N2552/1000</f>
        <v>955.34561999999994</v>
      </c>
      <c r="O2544" s="85">
        <f>STATS1003B!O2552/1000</f>
        <v>0</v>
      </c>
      <c r="P2544" s="85">
        <f>STATS1003B!P2552/1000</f>
        <v>955.34561999999994</v>
      </c>
      <c r="Q2544" s="85">
        <f>STATS1003B!Q2552/1000</f>
        <v>0</v>
      </c>
      <c r="R2544" s="85">
        <f>STATS1003B!R2552/1000</f>
        <v>0</v>
      </c>
      <c r="S2544" s="85">
        <f>STATS1003B!S2552/1000</f>
        <v>0</v>
      </c>
      <c r="T2544" s="85">
        <f>STATS1003B!T2552/1000</f>
        <v>0</v>
      </c>
      <c r="U2544" s="85">
        <f>STATS1003B!U2552/1000</f>
        <v>955.34561999999994</v>
      </c>
      <c r="V2544" s="85">
        <f>STATS1003B!V2552/1000</f>
        <v>955.34561999999994</v>
      </c>
      <c r="W2544" s="85">
        <f>STATS1003B!W2552/1000</f>
        <v>0</v>
      </c>
      <c r="X2544" s="85">
        <f t="shared" si="280"/>
        <v>955.34561999999994</v>
      </c>
      <c r="Y2544" s="85">
        <f>STATS1003B!Y2552/1000</f>
        <v>0</v>
      </c>
      <c r="Z2544" s="85">
        <f t="shared" si="276"/>
        <v>0</v>
      </c>
      <c r="AA2544" s="69">
        <f>STATS1003B!AA2552/1000</f>
        <v>955.34561999999994</v>
      </c>
      <c r="AB2544" s="69">
        <f>STATS1003B!AB2552/1000</f>
        <v>0</v>
      </c>
    </row>
    <row r="2545" spans="1:28" hidden="1" x14ac:dyDescent="0.3">
      <c r="A2545" s="117"/>
      <c r="C2545" s="71" t="s">
        <v>426</v>
      </c>
      <c r="D2545" s="88" t="s">
        <v>54</v>
      </c>
      <c r="E2545" s="85">
        <f>STATS1003B!E2553/1000</f>
        <v>445.41300000000001</v>
      </c>
      <c r="F2545" s="85">
        <f>STATS1003B!F2553/1000</f>
        <v>445.41300000000001</v>
      </c>
      <c r="G2545" s="85">
        <f>STATS1003B!G2553/1000</f>
        <v>0</v>
      </c>
      <c r="H2545" s="85">
        <f>STATS1003B!H2553/1000</f>
        <v>445.41300000000001</v>
      </c>
      <c r="I2545" s="85">
        <f>STATS1003B!I2553/1000</f>
        <v>0</v>
      </c>
      <c r="J2545" s="85">
        <f>STATS1003B!J2553/1000</f>
        <v>0</v>
      </c>
      <c r="K2545" s="85">
        <f>STATS1003B!K2553/1000</f>
        <v>0</v>
      </c>
      <c r="L2545" s="85">
        <f>STATS1003B!L2553/1000</f>
        <v>0</v>
      </c>
      <c r="M2545" s="85">
        <f>STATS1003B!M2553/1000</f>
        <v>445.41300000000001</v>
      </c>
      <c r="N2545" s="85">
        <f>STATS1003B!N2553/1000</f>
        <v>0</v>
      </c>
      <c r="O2545" s="85">
        <f>STATS1003B!O2553/1000</f>
        <v>0</v>
      </c>
      <c r="P2545" s="85">
        <f>STATS1003B!P2553/1000</f>
        <v>0</v>
      </c>
      <c r="Q2545" s="85">
        <f>STATS1003B!Q2553/1000</f>
        <v>0</v>
      </c>
      <c r="R2545" s="85">
        <f>STATS1003B!R2553/1000</f>
        <v>0</v>
      </c>
      <c r="S2545" s="85">
        <f>STATS1003B!S2553/1000</f>
        <v>0</v>
      </c>
      <c r="T2545" s="85">
        <f>STATS1003B!T2553/1000</f>
        <v>0</v>
      </c>
      <c r="U2545" s="85">
        <f>STATS1003B!U2553/1000</f>
        <v>0</v>
      </c>
      <c r="V2545" s="85">
        <f>STATS1003B!V2553/1000</f>
        <v>445.41300000000001</v>
      </c>
      <c r="W2545" s="85">
        <f>STATS1003B!W2553/1000</f>
        <v>0</v>
      </c>
      <c r="X2545" s="85">
        <f t="shared" si="280"/>
        <v>445.41300000000001</v>
      </c>
      <c r="Y2545" s="85">
        <f>STATS1003B!Y2553/1000</f>
        <v>0</v>
      </c>
      <c r="Z2545" s="85">
        <f t="shared" si="276"/>
        <v>0</v>
      </c>
      <c r="AA2545" s="69">
        <f>STATS1003B!AA2553/1000</f>
        <v>445.41300000000001</v>
      </c>
      <c r="AB2545" s="69">
        <f>STATS1003B!AB2553/1000</f>
        <v>0</v>
      </c>
    </row>
    <row r="2546" spans="1:28" hidden="1" x14ac:dyDescent="0.3">
      <c r="A2546" s="117"/>
      <c r="C2546" s="71" t="s">
        <v>427</v>
      </c>
      <c r="D2546" s="88" t="s">
        <v>85</v>
      </c>
      <c r="E2546" s="85">
        <f>STATS1003B!E2554/1000</f>
        <v>1400</v>
      </c>
      <c r="F2546" s="85">
        <f>STATS1003B!F2554/1000</f>
        <v>1400</v>
      </c>
      <c r="G2546" s="85">
        <f>STATS1003B!G2554/1000</f>
        <v>0</v>
      </c>
      <c r="H2546" s="85">
        <f>STATS1003B!H2554/1000</f>
        <v>1400</v>
      </c>
      <c r="I2546" s="85">
        <f>STATS1003B!I2554/1000</f>
        <v>0</v>
      </c>
      <c r="J2546" s="85">
        <f>STATS1003B!J2554/1000</f>
        <v>0</v>
      </c>
      <c r="K2546" s="85">
        <f>STATS1003B!K2554/1000</f>
        <v>0</v>
      </c>
      <c r="L2546" s="85">
        <f>STATS1003B!L2554/1000</f>
        <v>0</v>
      </c>
      <c r="M2546" s="85">
        <f>STATS1003B!M2554/1000</f>
        <v>1400</v>
      </c>
      <c r="N2546" s="85">
        <f>STATS1003B!N2554/1000</f>
        <v>0</v>
      </c>
      <c r="O2546" s="85">
        <f>STATS1003B!O2554/1000</f>
        <v>0</v>
      </c>
      <c r="P2546" s="85">
        <f>STATS1003B!P2554/1000</f>
        <v>0</v>
      </c>
      <c r="Q2546" s="85">
        <f>STATS1003B!Q2554/1000</f>
        <v>0</v>
      </c>
      <c r="R2546" s="85">
        <f>STATS1003B!R2554/1000</f>
        <v>0</v>
      </c>
      <c r="S2546" s="85">
        <f>STATS1003B!S2554/1000</f>
        <v>0</v>
      </c>
      <c r="T2546" s="85">
        <f>STATS1003B!T2554/1000</f>
        <v>0</v>
      </c>
      <c r="U2546" s="85">
        <f>STATS1003B!U2554/1000</f>
        <v>0</v>
      </c>
      <c r="V2546" s="85">
        <f>STATS1003B!V2554/1000</f>
        <v>1400</v>
      </c>
      <c r="W2546" s="85">
        <f>STATS1003B!W2554/1000</f>
        <v>0</v>
      </c>
      <c r="X2546" s="85">
        <f t="shared" si="280"/>
        <v>1400</v>
      </c>
      <c r="Y2546" s="85">
        <f>STATS1003B!Y2554/1000</f>
        <v>0</v>
      </c>
      <c r="Z2546" s="85">
        <f t="shared" si="276"/>
        <v>0</v>
      </c>
      <c r="AA2546" s="69">
        <f>STATS1003B!AA2554/1000</f>
        <v>1400</v>
      </c>
      <c r="AB2546" s="69">
        <f>STATS1003B!AB2554/1000</f>
        <v>0</v>
      </c>
    </row>
    <row r="2547" spans="1:28" hidden="1" x14ac:dyDescent="0.3">
      <c r="A2547" s="117"/>
      <c r="C2547" s="71" t="s">
        <v>428</v>
      </c>
      <c r="D2547" s="88" t="s">
        <v>85</v>
      </c>
      <c r="E2547" s="85">
        <f>STATS1003B!E2555/1000</f>
        <v>2000</v>
      </c>
      <c r="F2547" s="85">
        <f>STATS1003B!F2555/1000</f>
        <v>2000</v>
      </c>
      <c r="G2547" s="85">
        <f>STATS1003B!G2555/1000</f>
        <v>0</v>
      </c>
      <c r="H2547" s="85">
        <f>STATS1003B!H2555/1000</f>
        <v>2000</v>
      </c>
      <c r="I2547" s="85">
        <f>STATS1003B!I2555/1000</f>
        <v>0</v>
      </c>
      <c r="J2547" s="85">
        <f>STATS1003B!J2555/1000</f>
        <v>0</v>
      </c>
      <c r="K2547" s="85">
        <f>STATS1003B!K2555/1000</f>
        <v>0</v>
      </c>
      <c r="L2547" s="85">
        <f>STATS1003B!L2555/1000</f>
        <v>0</v>
      </c>
      <c r="M2547" s="85">
        <f>STATS1003B!M2555/1000</f>
        <v>2000</v>
      </c>
      <c r="N2547" s="85">
        <f>STATS1003B!N2555/1000</f>
        <v>0</v>
      </c>
      <c r="O2547" s="85">
        <f>STATS1003B!O2555/1000</f>
        <v>0</v>
      </c>
      <c r="P2547" s="85">
        <f>STATS1003B!P2555/1000</f>
        <v>0</v>
      </c>
      <c r="Q2547" s="85">
        <f>STATS1003B!Q2555/1000</f>
        <v>0</v>
      </c>
      <c r="R2547" s="85">
        <f>STATS1003B!R2555/1000</f>
        <v>0</v>
      </c>
      <c r="S2547" s="85">
        <f>STATS1003B!S2555/1000</f>
        <v>0</v>
      </c>
      <c r="T2547" s="85">
        <f>STATS1003B!T2555/1000</f>
        <v>0</v>
      </c>
      <c r="U2547" s="85">
        <f>STATS1003B!U2555/1000</f>
        <v>0</v>
      </c>
      <c r="V2547" s="85">
        <f>STATS1003B!V2555/1000</f>
        <v>2000</v>
      </c>
      <c r="W2547" s="85">
        <f>STATS1003B!W2555/1000</f>
        <v>0</v>
      </c>
      <c r="X2547" s="85">
        <f t="shared" si="280"/>
        <v>2000</v>
      </c>
      <c r="Y2547" s="85">
        <f>STATS1003B!Y2555/1000</f>
        <v>0</v>
      </c>
      <c r="Z2547" s="85">
        <f t="shared" si="276"/>
        <v>0</v>
      </c>
      <c r="AA2547" s="69">
        <f>STATS1003B!AA2555/1000</f>
        <v>2000</v>
      </c>
      <c r="AB2547" s="69">
        <f>STATS1003B!AB2555/1000</f>
        <v>0</v>
      </c>
    </row>
    <row r="2548" spans="1:28" hidden="1" x14ac:dyDescent="0.3">
      <c r="A2548" s="117"/>
      <c r="C2548" s="71" t="s">
        <v>429</v>
      </c>
      <c r="D2548" s="88" t="s">
        <v>128</v>
      </c>
      <c r="E2548" s="85">
        <f>STATS1003B!E2556/1000</f>
        <v>3011.8220200000001</v>
      </c>
      <c r="F2548" s="85">
        <f>STATS1003B!F2556/1000</f>
        <v>2364.9460199999999</v>
      </c>
      <c r="G2548" s="85">
        <f>STATS1003B!G2556/1000</f>
        <v>0</v>
      </c>
      <c r="H2548" s="85">
        <f>STATS1003B!H2556/1000</f>
        <v>2364.9460199999999</v>
      </c>
      <c r="I2548" s="85">
        <f>STATS1003B!I2556/1000</f>
        <v>0</v>
      </c>
      <c r="J2548" s="85">
        <f>STATS1003B!J2556/1000</f>
        <v>0</v>
      </c>
      <c r="K2548" s="85">
        <f>STATS1003B!K2556/1000</f>
        <v>0</v>
      </c>
      <c r="L2548" s="85">
        <f>STATS1003B!L2556/1000</f>
        <v>0</v>
      </c>
      <c r="M2548" s="85">
        <f>STATS1003B!M2556/1000</f>
        <v>2364.9460199999999</v>
      </c>
      <c r="N2548" s="85">
        <f>STATS1003B!N2556/1000</f>
        <v>0</v>
      </c>
      <c r="O2548" s="85">
        <f>STATS1003B!O2556/1000</f>
        <v>0</v>
      </c>
      <c r="P2548" s="85">
        <f>STATS1003B!P2556/1000</f>
        <v>0</v>
      </c>
      <c r="Q2548" s="85">
        <f>STATS1003B!Q2556/1000</f>
        <v>0</v>
      </c>
      <c r="R2548" s="85">
        <f>STATS1003B!R2556/1000</f>
        <v>0</v>
      </c>
      <c r="S2548" s="85">
        <f>STATS1003B!S2556/1000</f>
        <v>0</v>
      </c>
      <c r="T2548" s="85">
        <f>STATS1003B!T2556/1000</f>
        <v>0</v>
      </c>
      <c r="U2548" s="85">
        <f>STATS1003B!U2556/1000</f>
        <v>0</v>
      </c>
      <c r="V2548" s="85">
        <f>STATS1003B!V2556/1000</f>
        <v>2364.9460199999999</v>
      </c>
      <c r="W2548" s="85">
        <f>STATS1003B!W2556/1000</f>
        <v>646.87599999999998</v>
      </c>
      <c r="X2548" s="85">
        <f t="shared" si="280"/>
        <v>2364.9460199999999</v>
      </c>
      <c r="Y2548" s="85">
        <f>STATS1003B!Y2556/1000</f>
        <v>0</v>
      </c>
      <c r="Z2548" s="85">
        <f t="shared" si="276"/>
        <v>646.8760000000002</v>
      </c>
      <c r="AA2548" s="69">
        <f>STATS1003B!AA2556/1000</f>
        <v>2364.9460199999999</v>
      </c>
      <c r="AB2548" s="69">
        <f>STATS1003B!AB2556/1000</f>
        <v>646.87599999999998</v>
      </c>
    </row>
    <row r="2549" spans="1:28" hidden="1" x14ac:dyDescent="0.3">
      <c r="A2549" s="117"/>
      <c r="C2549" s="71" t="s">
        <v>430</v>
      </c>
      <c r="D2549" s="88" t="s">
        <v>128</v>
      </c>
      <c r="E2549" s="85">
        <f>STATS1003B!E2557/1000</f>
        <v>3000</v>
      </c>
      <c r="F2549" s="85">
        <f>STATS1003B!F2557/1000</f>
        <v>3000</v>
      </c>
      <c r="G2549" s="85">
        <f>STATS1003B!G2557/1000</f>
        <v>0</v>
      </c>
      <c r="H2549" s="85">
        <f>STATS1003B!H2557/1000</f>
        <v>3000</v>
      </c>
      <c r="I2549" s="85">
        <f>STATS1003B!I2557/1000</f>
        <v>0</v>
      </c>
      <c r="J2549" s="85">
        <f>STATS1003B!J2557/1000</f>
        <v>0</v>
      </c>
      <c r="K2549" s="85">
        <f>STATS1003B!K2557/1000</f>
        <v>0</v>
      </c>
      <c r="L2549" s="85">
        <f>STATS1003B!L2557/1000</f>
        <v>0</v>
      </c>
      <c r="M2549" s="85">
        <f>STATS1003B!M2557/1000</f>
        <v>3000</v>
      </c>
      <c r="N2549" s="85">
        <f>STATS1003B!N2557/1000</f>
        <v>0</v>
      </c>
      <c r="O2549" s="85">
        <f>STATS1003B!O2557/1000</f>
        <v>0</v>
      </c>
      <c r="P2549" s="85">
        <f>STATS1003B!P2557/1000</f>
        <v>0</v>
      </c>
      <c r="Q2549" s="85">
        <f>STATS1003B!Q2557/1000</f>
        <v>0</v>
      </c>
      <c r="R2549" s="85">
        <f>STATS1003B!R2557/1000</f>
        <v>0</v>
      </c>
      <c r="S2549" s="85">
        <f>STATS1003B!S2557/1000</f>
        <v>0</v>
      </c>
      <c r="T2549" s="85">
        <f>STATS1003B!T2557/1000</f>
        <v>0</v>
      </c>
      <c r="U2549" s="85">
        <f>STATS1003B!U2557/1000</f>
        <v>0</v>
      </c>
      <c r="V2549" s="85">
        <f>STATS1003B!V2557/1000</f>
        <v>3000</v>
      </c>
      <c r="W2549" s="85">
        <f>STATS1003B!W2557/1000</f>
        <v>0</v>
      </c>
      <c r="X2549" s="85">
        <f t="shared" si="280"/>
        <v>3000</v>
      </c>
      <c r="Y2549" s="85">
        <f>STATS1003B!Y2557/1000</f>
        <v>0</v>
      </c>
      <c r="Z2549" s="85">
        <f t="shared" si="276"/>
        <v>0</v>
      </c>
      <c r="AA2549" s="69">
        <f>STATS1003B!AA2557/1000</f>
        <v>3000</v>
      </c>
      <c r="AB2549" s="69">
        <f>STATS1003B!AB2557/1000</f>
        <v>0</v>
      </c>
    </row>
    <row r="2550" spans="1:28" hidden="1" x14ac:dyDescent="0.3">
      <c r="A2550" s="117"/>
      <c r="C2550" s="71" t="s">
        <v>431</v>
      </c>
      <c r="D2550" s="88" t="s">
        <v>128</v>
      </c>
      <c r="E2550" s="85">
        <f>STATS1003B!E2558/1000</f>
        <v>800</v>
      </c>
      <c r="F2550" s="85">
        <f>STATS1003B!F2558/1000</f>
        <v>800</v>
      </c>
      <c r="G2550" s="85">
        <f>STATS1003B!G2558/1000</f>
        <v>0</v>
      </c>
      <c r="H2550" s="85">
        <f>STATS1003B!H2558/1000</f>
        <v>800</v>
      </c>
      <c r="I2550" s="85">
        <f>STATS1003B!I2558/1000</f>
        <v>0</v>
      </c>
      <c r="J2550" s="85">
        <f>STATS1003B!J2558/1000</f>
        <v>0</v>
      </c>
      <c r="K2550" s="85">
        <f>STATS1003B!K2558/1000</f>
        <v>0</v>
      </c>
      <c r="L2550" s="85">
        <f>STATS1003B!L2558/1000</f>
        <v>0</v>
      </c>
      <c r="M2550" s="85">
        <f>STATS1003B!M2558/1000</f>
        <v>800</v>
      </c>
      <c r="N2550" s="85">
        <f>STATS1003B!N2558/1000</f>
        <v>0</v>
      </c>
      <c r="O2550" s="85">
        <f>STATS1003B!O2558/1000</f>
        <v>0</v>
      </c>
      <c r="P2550" s="85">
        <f>STATS1003B!P2558/1000</f>
        <v>0</v>
      </c>
      <c r="Q2550" s="85">
        <f>STATS1003B!Q2558/1000</f>
        <v>0</v>
      </c>
      <c r="R2550" s="85">
        <f>STATS1003B!R2558/1000</f>
        <v>0</v>
      </c>
      <c r="S2550" s="85">
        <f>STATS1003B!S2558/1000</f>
        <v>0</v>
      </c>
      <c r="T2550" s="85">
        <f>STATS1003B!T2558/1000</f>
        <v>0</v>
      </c>
      <c r="U2550" s="85">
        <f>STATS1003B!U2558/1000</f>
        <v>0</v>
      </c>
      <c r="V2550" s="85">
        <f>STATS1003B!V2558/1000</f>
        <v>800</v>
      </c>
      <c r="W2550" s="85">
        <f>STATS1003B!W2558/1000</f>
        <v>0</v>
      </c>
      <c r="X2550" s="85">
        <f t="shared" si="280"/>
        <v>800</v>
      </c>
      <c r="Y2550" s="85">
        <f>STATS1003B!Y2558/1000</f>
        <v>0</v>
      </c>
      <c r="Z2550" s="85">
        <f t="shared" si="276"/>
        <v>0</v>
      </c>
      <c r="AA2550" s="69">
        <f>STATS1003B!AA2558/1000</f>
        <v>800</v>
      </c>
      <c r="AB2550" s="69">
        <f>STATS1003B!AB2558/1000</f>
        <v>0</v>
      </c>
    </row>
    <row r="2551" spans="1:28" hidden="1" x14ac:dyDescent="0.3">
      <c r="A2551" s="117"/>
      <c r="C2551" s="71" t="s">
        <v>432</v>
      </c>
      <c r="D2551" s="88" t="s">
        <v>128</v>
      </c>
      <c r="E2551" s="85">
        <f>STATS1003B!E2559/1000</f>
        <v>1681.1389999999999</v>
      </c>
      <c r="F2551" s="85">
        <f>STATS1003B!F2559/1000</f>
        <v>1681.1389999999999</v>
      </c>
      <c r="G2551" s="85">
        <f>STATS1003B!G2559/1000</f>
        <v>0</v>
      </c>
      <c r="H2551" s="85">
        <f>STATS1003B!H2559/1000</f>
        <v>1681.1389999999999</v>
      </c>
      <c r="I2551" s="85">
        <f>STATS1003B!I2559/1000</f>
        <v>0</v>
      </c>
      <c r="J2551" s="85">
        <f>STATS1003B!J2559/1000</f>
        <v>0</v>
      </c>
      <c r="K2551" s="85">
        <f>STATS1003B!K2559/1000</f>
        <v>0</v>
      </c>
      <c r="L2551" s="85">
        <f>STATS1003B!L2559/1000</f>
        <v>0</v>
      </c>
      <c r="M2551" s="85">
        <f>STATS1003B!M2559/1000</f>
        <v>1681.1389999999999</v>
      </c>
      <c r="N2551" s="85">
        <f>STATS1003B!N2559/1000</f>
        <v>0</v>
      </c>
      <c r="O2551" s="85">
        <f>STATS1003B!O2559/1000</f>
        <v>0</v>
      </c>
      <c r="P2551" s="85">
        <f>STATS1003B!P2559/1000</f>
        <v>0</v>
      </c>
      <c r="Q2551" s="85">
        <f>STATS1003B!Q2559/1000</f>
        <v>0</v>
      </c>
      <c r="R2551" s="85">
        <f>STATS1003B!R2559/1000</f>
        <v>0</v>
      </c>
      <c r="S2551" s="85">
        <f>STATS1003B!S2559/1000</f>
        <v>0</v>
      </c>
      <c r="T2551" s="85">
        <f>STATS1003B!T2559/1000</f>
        <v>0</v>
      </c>
      <c r="U2551" s="85">
        <f>STATS1003B!U2559/1000</f>
        <v>0</v>
      </c>
      <c r="V2551" s="85">
        <f>STATS1003B!V2559/1000</f>
        <v>1681.1389999999999</v>
      </c>
      <c r="W2551" s="85">
        <f>STATS1003B!W2559/1000</f>
        <v>0</v>
      </c>
      <c r="X2551" s="85">
        <f t="shared" si="280"/>
        <v>1681.1389999999999</v>
      </c>
      <c r="Y2551" s="85">
        <f>STATS1003B!Y2559/1000</f>
        <v>0</v>
      </c>
      <c r="Z2551" s="85">
        <f t="shared" si="276"/>
        <v>0</v>
      </c>
      <c r="AA2551" s="69">
        <f>STATS1003B!AA2559/1000</f>
        <v>1681.1389999999999</v>
      </c>
      <c r="AB2551" s="69">
        <f>STATS1003B!AB2559/1000</f>
        <v>0</v>
      </c>
    </row>
    <row r="2552" spans="1:28" hidden="1" x14ac:dyDescent="0.3">
      <c r="A2552" s="117"/>
      <c r="C2552" s="71" t="s">
        <v>143</v>
      </c>
      <c r="D2552" s="88" t="s">
        <v>60</v>
      </c>
      <c r="E2552" s="85">
        <f>STATS1003B!E2560/1000</f>
        <v>7924.2905700000001</v>
      </c>
      <c r="F2552" s="85">
        <f>STATS1003B!F2560/1000</f>
        <v>7924.2905700000001</v>
      </c>
      <c r="G2552" s="85">
        <f>STATS1003B!G2560/1000</f>
        <v>0</v>
      </c>
      <c r="H2552" s="85">
        <f>STATS1003B!H2560/1000</f>
        <v>7924.2905700000001</v>
      </c>
      <c r="I2552" s="85">
        <f>STATS1003B!I2560/1000</f>
        <v>0</v>
      </c>
      <c r="J2552" s="85">
        <f>STATS1003B!J2560/1000</f>
        <v>0</v>
      </c>
      <c r="K2552" s="85">
        <f>STATS1003B!K2560/1000</f>
        <v>0</v>
      </c>
      <c r="L2552" s="85">
        <f>STATS1003B!L2560/1000</f>
        <v>0</v>
      </c>
      <c r="M2552" s="85">
        <f>STATS1003B!M2560/1000</f>
        <v>7924.2905700000001</v>
      </c>
      <c r="N2552" s="85">
        <f>STATS1003B!N2560/1000</f>
        <v>0</v>
      </c>
      <c r="O2552" s="85">
        <f>STATS1003B!O2560/1000</f>
        <v>0</v>
      </c>
      <c r="P2552" s="85">
        <f>STATS1003B!P2560/1000</f>
        <v>0</v>
      </c>
      <c r="Q2552" s="85">
        <f>STATS1003B!Q2560/1000</f>
        <v>0</v>
      </c>
      <c r="R2552" s="85">
        <f>STATS1003B!R2560/1000</f>
        <v>0</v>
      </c>
      <c r="S2552" s="85">
        <f>STATS1003B!S2560/1000</f>
        <v>0</v>
      </c>
      <c r="T2552" s="85">
        <f>STATS1003B!T2560/1000</f>
        <v>0</v>
      </c>
      <c r="U2552" s="85">
        <f>STATS1003B!U2560/1000</f>
        <v>0</v>
      </c>
      <c r="V2552" s="85">
        <f>STATS1003B!V2560/1000</f>
        <v>7924.2905700000001</v>
      </c>
      <c r="W2552" s="85">
        <f>STATS1003B!W2560/1000</f>
        <v>0</v>
      </c>
      <c r="X2552" s="85">
        <f t="shared" si="280"/>
        <v>7924.2905700000001</v>
      </c>
      <c r="Y2552" s="85">
        <f>STATS1003B!Y2560/1000</f>
        <v>0</v>
      </c>
      <c r="Z2552" s="85">
        <f t="shared" ref="Z2552:Z2565" si="281">+E2552-X2552</f>
        <v>0</v>
      </c>
      <c r="AA2552" s="69">
        <f>STATS1003B!AA2560/1000</f>
        <v>7924.2905700000001</v>
      </c>
      <c r="AB2552" s="69">
        <f>STATS1003B!AB2560/1000</f>
        <v>0</v>
      </c>
    </row>
    <row r="2553" spans="1:28" hidden="1" x14ac:dyDescent="0.3">
      <c r="A2553" s="117"/>
      <c r="C2553" s="71" t="s">
        <v>143</v>
      </c>
      <c r="D2553" s="88" t="s">
        <v>73</v>
      </c>
      <c r="E2553" s="85">
        <f>STATS1003B!E2561/1000</f>
        <v>13008.99273</v>
      </c>
      <c r="F2553" s="85">
        <f>STATS1003B!F2561/1000</f>
        <v>13008.99273</v>
      </c>
      <c r="G2553" s="85">
        <f>STATS1003B!G2561/1000</f>
        <v>0</v>
      </c>
      <c r="H2553" s="85">
        <f>STATS1003B!H2561/1000</f>
        <v>13008.99273</v>
      </c>
      <c r="I2553" s="85">
        <f>STATS1003B!I2561/1000</f>
        <v>0</v>
      </c>
      <c r="J2553" s="85">
        <f>STATS1003B!J2561/1000</f>
        <v>0</v>
      </c>
      <c r="K2553" s="85">
        <f>STATS1003B!K2561/1000</f>
        <v>0</v>
      </c>
      <c r="L2553" s="85">
        <f>STATS1003B!L2561/1000</f>
        <v>0</v>
      </c>
      <c r="M2553" s="85">
        <f>STATS1003B!M2561/1000</f>
        <v>13008.99273</v>
      </c>
      <c r="N2553" s="85">
        <f>STATS1003B!N2561/1000</f>
        <v>0</v>
      </c>
      <c r="O2553" s="85">
        <f>STATS1003B!O2561/1000</f>
        <v>0</v>
      </c>
      <c r="P2553" s="85">
        <f>STATS1003B!P2561/1000</f>
        <v>0</v>
      </c>
      <c r="Q2553" s="85">
        <f>STATS1003B!Q2561/1000</f>
        <v>0</v>
      </c>
      <c r="R2553" s="85">
        <f>STATS1003B!R2561/1000</f>
        <v>0</v>
      </c>
      <c r="S2553" s="85">
        <f>STATS1003B!S2561/1000</f>
        <v>0</v>
      </c>
      <c r="T2553" s="85">
        <f>STATS1003B!T2561/1000</f>
        <v>0</v>
      </c>
      <c r="U2553" s="85">
        <f>STATS1003B!U2561/1000</f>
        <v>0</v>
      </c>
      <c r="V2553" s="85">
        <f>STATS1003B!V2561/1000</f>
        <v>13008.99273</v>
      </c>
      <c r="W2553" s="85">
        <f>STATS1003B!W2561/1000</f>
        <v>0</v>
      </c>
      <c r="X2553" s="85">
        <f t="shared" si="280"/>
        <v>13008.99273</v>
      </c>
      <c r="Y2553" s="85">
        <f>STATS1003B!Y2561/1000</f>
        <v>0</v>
      </c>
      <c r="Z2553" s="85">
        <f t="shared" si="281"/>
        <v>0</v>
      </c>
      <c r="AA2553" s="69">
        <f>STATS1003B!AA2561/1000</f>
        <v>13008.99273</v>
      </c>
      <c r="AB2553" s="69">
        <f>STATS1003B!AB2561/1000</f>
        <v>0</v>
      </c>
    </row>
    <row r="2554" spans="1:28" hidden="1" x14ac:dyDescent="0.3">
      <c r="A2554" s="117"/>
      <c r="C2554" s="71" t="s">
        <v>415</v>
      </c>
      <c r="D2554" s="88" t="s">
        <v>194</v>
      </c>
      <c r="E2554" s="85">
        <f>STATS1003B!E2562/1000</f>
        <v>911</v>
      </c>
      <c r="F2554" s="85">
        <f>STATS1003B!F2562/1000</f>
        <v>911</v>
      </c>
      <c r="G2554" s="85">
        <f>STATS1003B!G2562/1000</f>
        <v>0</v>
      </c>
      <c r="H2554" s="85">
        <f>STATS1003B!H2562/1000</f>
        <v>911</v>
      </c>
      <c r="I2554" s="85">
        <f>STATS1003B!I2562/1000</f>
        <v>0</v>
      </c>
      <c r="J2554" s="85">
        <f>STATS1003B!J2562/1000</f>
        <v>0</v>
      </c>
      <c r="K2554" s="85">
        <f>STATS1003B!K2562/1000</f>
        <v>0</v>
      </c>
      <c r="L2554" s="85">
        <f>STATS1003B!L2562/1000</f>
        <v>0</v>
      </c>
      <c r="M2554" s="85">
        <f>STATS1003B!M2562/1000</f>
        <v>911</v>
      </c>
      <c r="N2554" s="85">
        <f>STATS1003B!N2562/1000</f>
        <v>0</v>
      </c>
      <c r="O2554" s="85">
        <f>STATS1003B!O2562/1000</f>
        <v>0</v>
      </c>
      <c r="P2554" s="85">
        <f>STATS1003B!P2562/1000</f>
        <v>0</v>
      </c>
      <c r="Q2554" s="85">
        <f>STATS1003B!Q2562/1000</f>
        <v>0</v>
      </c>
      <c r="R2554" s="85">
        <f>STATS1003B!R2562/1000</f>
        <v>0</v>
      </c>
      <c r="S2554" s="85">
        <f>STATS1003B!S2562/1000</f>
        <v>0</v>
      </c>
      <c r="T2554" s="85">
        <f>STATS1003B!T2562/1000</f>
        <v>0</v>
      </c>
      <c r="U2554" s="85">
        <f>STATS1003B!U2562/1000</f>
        <v>0</v>
      </c>
      <c r="V2554" s="85">
        <f>STATS1003B!V2562/1000</f>
        <v>911</v>
      </c>
      <c r="W2554" s="85">
        <f>STATS1003B!W2562/1000</f>
        <v>0</v>
      </c>
      <c r="X2554" s="85">
        <f t="shared" si="280"/>
        <v>911</v>
      </c>
      <c r="Y2554" s="85">
        <f>STATS1003B!Y2562/1000</f>
        <v>0</v>
      </c>
      <c r="Z2554" s="85">
        <f t="shared" si="281"/>
        <v>0</v>
      </c>
      <c r="AA2554" s="69">
        <f>STATS1003B!AA2562/1000</f>
        <v>911</v>
      </c>
      <c r="AB2554" s="69">
        <f>STATS1003B!AB2562/1000</f>
        <v>0</v>
      </c>
    </row>
    <row r="2555" spans="1:28" hidden="1" x14ac:dyDescent="0.3">
      <c r="A2555" s="117"/>
      <c r="C2555" s="71" t="s">
        <v>930</v>
      </c>
      <c r="D2555" s="89" t="s">
        <v>1072</v>
      </c>
      <c r="E2555" s="85">
        <f>STATS1003B!E2563/1000</f>
        <v>12440.26151</v>
      </c>
      <c r="F2555" s="85">
        <f>STATS1003B!F2563/1000</f>
        <v>12440.26151</v>
      </c>
      <c r="G2555" s="85">
        <f>STATS1003B!G2563/1000</f>
        <v>0</v>
      </c>
      <c r="H2555" s="85">
        <f>STATS1003B!H2563/1000</f>
        <v>12440.26151</v>
      </c>
      <c r="I2555" s="85">
        <f>STATS1003B!I2563/1000</f>
        <v>0</v>
      </c>
      <c r="J2555" s="85">
        <f>STATS1003B!J2563/1000</f>
        <v>0</v>
      </c>
      <c r="K2555" s="85">
        <f>STATS1003B!K2563/1000</f>
        <v>0</v>
      </c>
      <c r="L2555" s="85">
        <f>STATS1003B!L2563/1000</f>
        <v>0</v>
      </c>
      <c r="M2555" s="85">
        <f>STATS1003B!M2563/1000</f>
        <v>12440.26151</v>
      </c>
      <c r="N2555" s="85">
        <f>STATS1003B!N2563/1000</f>
        <v>0</v>
      </c>
      <c r="O2555" s="85">
        <f>STATS1003B!O2563/1000</f>
        <v>0</v>
      </c>
      <c r="P2555" s="85">
        <f>STATS1003B!P2563/1000</f>
        <v>0</v>
      </c>
      <c r="Q2555" s="85">
        <f>STATS1003B!Q2563/1000</f>
        <v>0</v>
      </c>
      <c r="R2555" s="85">
        <f>STATS1003B!R2563/1000</f>
        <v>0</v>
      </c>
      <c r="S2555" s="85">
        <f>STATS1003B!S2563/1000</f>
        <v>0</v>
      </c>
      <c r="T2555" s="85">
        <f>STATS1003B!T2563/1000</f>
        <v>0</v>
      </c>
      <c r="U2555" s="85">
        <f>STATS1003B!U2563/1000</f>
        <v>0</v>
      </c>
      <c r="V2555" s="85">
        <f>STATS1003B!V2563/1000</f>
        <v>12440.26151</v>
      </c>
      <c r="W2555" s="85">
        <f>STATS1003B!W2563/1000</f>
        <v>0</v>
      </c>
      <c r="X2555" s="85">
        <f t="shared" si="280"/>
        <v>12440.26151</v>
      </c>
      <c r="Y2555" s="85">
        <f>STATS1003B!Y2563/1000</f>
        <v>0</v>
      </c>
      <c r="Z2555" s="85">
        <f t="shared" si="281"/>
        <v>0</v>
      </c>
      <c r="AA2555" s="69">
        <f>STATS1003B!AA2563/1000</f>
        <v>12440.26151</v>
      </c>
      <c r="AB2555" s="69">
        <f>STATS1003B!AB2563/1000</f>
        <v>0</v>
      </c>
    </row>
    <row r="2556" spans="1:28" hidden="1" x14ac:dyDescent="0.3">
      <c r="A2556" s="117"/>
      <c r="C2556" s="71" t="s">
        <v>1160</v>
      </c>
      <c r="D2556" s="89" t="s">
        <v>1229</v>
      </c>
      <c r="E2556" s="85">
        <f>STATS1003B!E2564/1000</f>
        <v>1588.1779799999999</v>
      </c>
      <c r="F2556" s="85">
        <f>STATS1003B!F2564/1000</f>
        <v>1588.1779799999999</v>
      </c>
      <c r="G2556" s="85">
        <f>STATS1003B!G2564/1000</f>
        <v>0</v>
      </c>
      <c r="H2556" s="85">
        <f>STATS1003B!H2564/1000</f>
        <v>1588.1779799999999</v>
      </c>
      <c r="I2556" s="85">
        <f>STATS1003B!I2564/1000</f>
        <v>0</v>
      </c>
      <c r="J2556" s="85">
        <f>STATS1003B!J2564/1000</f>
        <v>0</v>
      </c>
      <c r="K2556" s="85">
        <f>STATS1003B!K2564/1000</f>
        <v>0</v>
      </c>
      <c r="L2556" s="85">
        <f>STATS1003B!L2564/1000</f>
        <v>0</v>
      </c>
      <c r="M2556" s="85">
        <f>STATS1003B!M2564/1000</f>
        <v>1588.1779799999999</v>
      </c>
      <c r="N2556" s="85">
        <f>STATS1003B!N2564/1000</f>
        <v>0</v>
      </c>
      <c r="O2556" s="85">
        <f>STATS1003B!O2564/1000</f>
        <v>0</v>
      </c>
      <c r="P2556" s="85">
        <f>STATS1003B!P2564/1000</f>
        <v>0</v>
      </c>
      <c r="Q2556" s="85">
        <f>STATS1003B!Q2564/1000</f>
        <v>0</v>
      </c>
      <c r="R2556" s="85">
        <f>STATS1003B!R2564/1000</f>
        <v>0</v>
      </c>
      <c r="S2556" s="85">
        <f>STATS1003B!S2564/1000</f>
        <v>0</v>
      </c>
      <c r="T2556" s="85">
        <f>STATS1003B!T2564/1000</f>
        <v>0</v>
      </c>
      <c r="U2556" s="85">
        <f>STATS1003B!U2564/1000</f>
        <v>0</v>
      </c>
      <c r="V2556" s="85">
        <f>STATS1003B!V2564/1000</f>
        <v>1588.1779799999999</v>
      </c>
      <c r="W2556" s="85">
        <f>STATS1003B!W2564/1000</f>
        <v>0</v>
      </c>
      <c r="X2556" s="85">
        <f t="shared" si="280"/>
        <v>1588.1779799999999</v>
      </c>
      <c r="Y2556" s="85">
        <f>STATS1003B!Y2564/1000</f>
        <v>0</v>
      </c>
      <c r="Z2556" s="85">
        <f t="shared" si="281"/>
        <v>0</v>
      </c>
      <c r="AA2556" s="69">
        <f>STATS1003B!AA2564/1000</f>
        <v>1588.1779799999999</v>
      </c>
      <c r="AB2556" s="69">
        <f>STATS1003B!AB2564/1000</f>
        <v>0</v>
      </c>
    </row>
    <row r="2557" spans="1:28" hidden="1" x14ac:dyDescent="0.3">
      <c r="A2557" s="117"/>
      <c r="C2557" s="71" t="s">
        <v>1176</v>
      </c>
      <c r="D2557" s="89" t="s">
        <v>1126</v>
      </c>
      <c r="E2557" s="85">
        <f>STATS1003B!E2565/1000</f>
        <v>8314.6592000000001</v>
      </c>
      <c r="F2557" s="85">
        <f>STATS1003B!F2565/1000</f>
        <v>8314.6592000000001</v>
      </c>
      <c r="G2557" s="85">
        <f>STATS1003B!G2565/1000</f>
        <v>0</v>
      </c>
      <c r="H2557" s="85">
        <f>STATS1003B!H2565/1000</f>
        <v>8314.6592000000001</v>
      </c>
      <c r="I2557" s="85">
        <f>STATS1003B!I2565/1000</f>
        <v>0</v>
      </c>
      <c r="J2557" s="85">
        <f>STATS1003B!J2565/1000</f>
        <v>0</v>
      </c>
      <c r="K2557" s="85">
        <f>STATS1003B!K2565/1000</f>
        <v>0</v>
      </c>
      <c r="L2557" s="85">
        <f>STATS1003B!L2565/1000</f>
        <v>0</v>
      </c>
      <c r="M2557" s="85">
        <f>STATS1003B!M2565/1000</f>
        <v>8314.6592000000001</v>
      </c>
      <c r="N2557" s="85">
        <f>STATS1003B!N2565/1000</f>
        <v>0</v>
      </c>
      <c r="O2557" s="85">
        <f>STATS1003B!O2565/1000</f>
        <v>0</v>
      </c>
      <c r="P2557" s="85">
        <f>STATS1003B!P2565/1000</f>
        <v>0</v>
      </c>
      <c r="Q2557" s="85">
        <f>STATS1003B!Q2565/1000</f>
        <v>0</v>
      </c>
      <c r="R2557" s="85">
        <f>STATS1003B!R2565/1000</f>
        <v>0</v>
      </c>
      <c r="S2557" s="85">
        <f>STATS1003B!S2565/1000</f>
        <v>0</v>
      </c>
      <c r="T2557" s="85">
        <f>STATS1003B!T2565/1000</f>
        <v>0</v>
      </c>
      <c r="U2557" s="85">
        <f>STATS1003B!U2565/1000</f>
        <v>0</v>
      </c>
      <c r="V2557" s="85">
        <f>STATS1003B!V2565/1000</f>
        <v>8314.6592000000001</v>
      </c>
      <c r="W2557" s="85">
        <f>STATS1003B!W2565/1000</f>
        <v>0</v>
      </c>
      <c r="X2557" s="85">
        <f t="shared" si="280"/>
        <v>8314.6592000000001</v>
      </c>
      <c r="Y2557" s="85">
        <f>STATS1003B!Y2565/1000</f>
        <v>0</v>
      </c>
      <c r="Z2557" s="85">
        <f t="shared" si="281"/>
        <v>0</v>
      </c>
      <c r="AA2557" s="69">
        <f>STATS1003B!AA2565/1000</f>
        <v>8314.6592000000001</v>
      </c>
      <c r="AB2557" s="69">
        <f>STATS1003B!AB2565/1000</f>
        <v>0</v>
      </c>
    </row>
    <row r="2558" spans="1:28" hidden="1" x14ac:dyDescent="0.3">
      <c r="A2558" s="117"/>
      <c r="C2558" s="71" t="s">
        <v>433</v>
      </c>
      <c r="E2558" s="85">
        <f>STATS1003B!E2566/1000</f>
        <v>3845.3049999999998</v>
      </c>
      <c r="F2558" s="85">
        <f>STATS1003B!F2566/1000</f>
        <v>3845.3049999999998</v>
      </c>
      <c r="G2558" s="85">
        <f>STATS1003B!G2566/1000</f>
        <v>0</v>
      </c>
      <c r="H2558" s="85">
        <f>STATS1003B!H2566/1000</f>
        <v>3845.3049999999998</v>
      </c>
      <c r="I2558" s="85">
        <f>STATS1003B!I2566/1000</f>
        <v>0</v>
      </c>
      <c r="J2558" s="85">
        <f>STATS1003B!J2566/1000</f>
        <v>0</v>
      </c>
      <c r="K2558" s="85">
        <f>STATS1003B!K2566/1000</f>
        <v>0</v>
      </c>
      <c r="L2558" s="85">
        <f>STATS1003B!L2566/1000</f>
        <v>0</v>
      </c>
      <c r="M2558" s="85">
        <f>STATS1003B!M2566/1000</f>
        <v>3845.3049999999998</v>
      </c>
      <c r="N2558" s="85">
        <f>STATS1003B!N2566/1000</f>
        <v>0</v>
      </c>
      <c r="O2558" s="85">
        <f>STATS1003B!O2566/1000</f>
        <v>0</v>
      </c>
      <c r="P2558" s="85">
        <f>STATS1003B!P2566/1000</f>
        <v>0</v>
      </c>
      <c r="Q2558" s="85">
        <f>STATS1003B!Q2566/1000</f>
        <v>0</v>
      </c>
      <c r="R2558" s="85">
        <f>STATS1003B!R2566/1000</f>
        <v>0</v>
      </c>
      <c r="S2558" s="85">
        <f>STATS1003B!S2566/1000</f>
        <v>0</v>
      </c>
      <c r="T2558" s="85">
        <f>STATS1003B!T2566/1000</f>
        <v>0</v>
      </c>
      <c r="U2558" s="85">
        <f>STATS1003B!U2566/1000</f>
        <v>0</v>
      </c>
      <c r="V2558" s="85">
        <f>STATS1003B!V2566/1000</f>
        <v>3845.3049999999998</v>
      </c>
      <c r="W2558" s="85">
        <f>STATS1003B!W2566/1000</f>
        <v>0</v>
      </c>
      <c r="X2558" s="85">
        <f t="shared" si="280"/>
        <v>3845.3049999999998</v>
      </c>
      <c r="Y2558" s="85">
        <f>STATS1003B!Y2566/1000</f>
        <v>0</v>
      </c>
      <c r="Z2558" s="85">
        <f t="shared" si="281"/>
        <v>0</v>
      </c>
      <c r="AA2558" s="69">
        <f>STATS1003B!AA2566/1000</f>
        <v>3845.3049999999998</v>
      </c>
      <c r="AB2558" s="69">
        <f>STATS1003B!AB2566/1000</f>
        <v>0</v>
      </c>
    </row>
    <row r="2559" spans="1:28" hidden="1" x14ac:dyDescent="0.3">
      <c r="A2559" s="117"/>
      <c r="C2559" s="71" t="s">
        <v>434</v>
      </c>
      <c r="E2559" s="85">
        <f>STATS1003B!E2567/1000</f>
        <v>349.39299999999997</v>
      </c>
      <c r="F2559" s="85">
        <f>STATS1003B!F2567/1000</f>
        <v>349.39299999999997</v>
      </c>
      <c r="G2559" s="85">
        <f>STATS1003B!G2567/1000</f>
        <v>0</v>
      </c>
      <c r="H2559" s="85">
        <f>STATS1003B!H2567/1000</f>
        <v>349.39299999999997</v>
      </c>
      <c r="I2559" s="85">
        <f>STATS1003B!I2567/1000</f>
        <v>0</v>
      </c>
      <c r="J2559" s="85">
        <f>STATS1003B!J2567/1000</f>
        <v>0</v>
      </c>
      <c r="K2559" s="85">
        <f>STATS1003B!K2567/1000</f>
        <v>0</v>
      </c>
      <c r="L2559" s="85">
        <f>STATS1003B!L2567/1000</f>
        <v>0</v>
      </c>
      <c r="M2559" s="85">
        <f>STATS1003B!M2567/1000</f>
        <v>349.39299999999997</v>
      </c>
      <c r="N2559" s="85">
        <f>STATS1003B!N2567/1000</f>
        <v>0</v>
      </c>
      <c r="O2559" s="85">
        <f>STATS1003B!O2567/1000</f>
        <v>0</v>
      </c>
      <c r="P2559" s="85">
        <f>STATS1003B!P2567/1000</f>
        <v>0</v>
      </c>
      <c r="Q2559" s="85">
        <f>STATS1003B!Q2567/1000</f>
        <v>0</v>
      </c>
      <c r="R2559" s="85">
        <f>STATS1003B!R2567/1000</f>
        <v>0</v>
      </c>
      <c r="S2559" s="85">
        <f>STATS1003B!S2567/1000</f>
        <v>0</v>
      </c>
      <c r="T2559" s="85">
        <f>STATS1003B!T2567/1000</f>
        <v>0</v>
      </c>
      <c r="U2559" s="85">
        <f>STATS1003B!U2567/1000</f>
        <v>0</v>
      </c>
      <c r="V2559" s="85">
        <f>STATS1003B!V2567/1000</f>
        <v>349.39299999999997</v>
      </c>
      <c r="W2559" s="85">
        <f>STATS1003B!W2567/1000</f>
        <v>0</v>
      </c>
      <c r="X2559" s="85">
        <f t="shared" si="280"/>
        <v>349.39299999999997</v>
      </c>
      <c r="Y2559" s="85">
        <f>STATS1003B!Y2567/1000</f>
        <v>0</v>
      </c>
      <c r="Z2559" s="85">
        <f t="shared" si="281"/>
        <v>0</v>
      </c>
      <c r="AA2559" s="69">
        <f>STATS1003B!AA2567/1000</f>
        <v>349.39299999999997</v>
      </c>
      <c r="AB2559" s="69">
        <f>STATS1003B!AB2567/1000</f>
        <v>0</v>
      </c>
    </row>
    <row r="2560" spans="1:28" hidden="1" x14ac:dyDescent="0.3">
      <c r="A2560" s="117"/>
      <c r="C2560" s="71" t="s">
        <v>435</v>
      </c>
      <c r="E2560" s="85">
        <f>STATS1003B!E2568/1000</f>
        <v>835.13699999999994</v>
      </c>
      <c r="F2560" s="85">
        <f>STATS1003B!F2568/1000</f>
        <v>835.13699999999994</v>
      </c>
      <c r="G2560" s="85">
        <f>STATS1003B!G2568/1000</f>
        <v>0</v>
      </c>
      <c r="H2560" s="85">
        <f>STATS1003B!H2568/1000</f>
        <v>835.13699999999994</v>
      </c>
      <c r="I2560" s="85">
        <f>STATS1003B!I2568/1000</f>
        <v>0</v>
      </c>
      <c r="J2560" s="85">
        <f>STATS1003B!J2568/1000</f>
        <v>0</v>
      </c>
      <c r="K2560" s="85">
        <f>STATS1003B!K2568/1000</f>
        <v>0</v>
      </c>
      <c r="L2560" s="85">
        <f>STATS1003B!L2568/1000</f>
        <v>0</v>
      </c>
      <c r="M2560" s="85">
        <f>STATS1003B!M2568/1000</f>
        <v>835.13699999999994</v>
      </c>
      <c r="N2560" s="85">
        <f>STATS1003B!N2568/1000</f>
        <v>0</v>
      </c>
      <c r="O2560" s="85">
        <f>STATS1003B!O2568/1000</f>
        <v>0</v>
      </c>
      <c r="P2560" s="85">
        <f>STATS1003B!P2568/1000</f>
        <v>0</v>
      </c>
      <c r="Q2560" s="85">
        <f>STATS1003B!Q2568/1000</f>
        <v>0</v>
      </c>
      <c r="R2560" s="85">
        <f>STATS1003B!R2568/1000</f>
        <v>0</v>
      </c>
      <c r="S2560" s="85">
        <f>STATS1003B!S2568/1000</f>
        <v>0</v>
      </c>
      <c r="T2560" s="85">
        <f>STATS1003B!T2568/1000</f>
        <v>0</v>
      </c>
      <c r="U2560" s="85">
        <f>STATS1003B!U2568/1000</f>
        <v>0</v>
      </c>
      <c r="V2560" s="85">
        <f>STATS1003B!V2568/1000</f>
        <v>835.13699999999994</v>
      </c>
      <c r="W2560" s="85">
        <f>STATS1003B!W2568/1000</f>
        <v>0</v>
      </c>
      <c r="X2560" s="85">
        <f t="shared" si="280"/>
        <v>835.13699999999994</v>
      </c>
      <c r="Y2560" s="85">
        <f>STATS1003B!Y2568/1000</f>
        <v>0</v>
      </c>
      <c r="Z2560" s="85">
        <f t="shared" si="281"/>
        <v>0</v>
      </c>
      <c r="AA2560" s="69">
        <f>STATS1003B!AA2568/1000</f>
        <v>835.13699999999994</v>
      </c>
      <c r="AB2560" s="69">
        <f>STATS1003B!AB2568/1000</f>
        <v>0</v>
      </c>
    </row>
    <row r="2561" spans="1:28" hidden="1" x14ac:dyDescent="0.3">
      <c r="A2561" s="117"/>
      <c r="C2561" s="71" t="s">
        <v>419</v>
      </c>
      <c r="E2561" s="85">
        <f>STATS1003B!E2569/1000</f>
        <v>150.89420000000001</v>
      </c>
      <c r="F2561" s="85">
        <f>STATS1003B!F2569/1000</f>
        <v>150.89420000000001</v>
      </c>
      <c r="G2561" s="85">
        <f>STATS1003B!G2569/1000</f>
        <v>0</v>
      </c>
      <c r="H2561" s="85">
        <f>STATS1003B!H2569/1000</f>
        <v>150.89420000000001</v>
      </c>
      <c r="I2561" s="85">
        <f>STATS1003B!I2569/1000</f>
        <v>0</v>
      </c>
      <c r="J2561" s="85">
        <f>STATS1003B!J2569/1000</f>
        <v>0</v>
      </c>
      <c r="K2561" s="85">
        <f>STATS1003B!K2569/1000</f>
        <v>0</v>
      </c>
      <c r="L2561" s="85">
        <f>STATS1003B!L2569/1000</f>
        <v>0</v>
      </c>
      <c r="M2561" s="85">
        <f>STATS1003B!M2569/1000</f>
        <v>150.89420000000001</v>
      </c>
      <c r="N2561" s="85">
        <f>STATS1003B!N2569/1000</f>
        <v>0</v>
      </c>
      <c r="O2561" s="85">
        <f>STATS1003B!O2569/1000</f>
        <v>0</v>
      </c>
      <c r="P2561" s="85">
        <f>STATS1003B!P2569/1000</f>
        <v>0</v>
      </c>
      <c r="Q2561" s="85">
        <f>STATS1003B!Q2569/1000</f>
        <v>0</v>
      </c>
      <c r="R2561" s="85">
        <f>STATS1003B!R2569/1000</f>
        <v>0</v>
      </c>
      <c r="S2561" s="85">
        <f>STATS1003B!S2569/1000</f>
        <v>0</v>
      </c>
      <c r="T2561" s="85">
        <f>STATS1003B!T2569/1000</f>
        <v>0</v>
      </c>
      <c r="U2561" s="85">
        <f>STATS1003B!U2569/1000</f>
        <v>0</v>
      </c>
      <c r="V2561" s="85">
        <f>STATS1003B!V2569/1000</f>
        <v>150.89420000000001</v>
      </c>
      <c r="W2561" s="85">
        <f>STATS1003B!W2569/1000</f>
        <v>0</v>
      </c>
      <c r="X2561" s="85">
        <f t="shared" si="280"/>
        <v>150.89420000000001</v>
      </c>
      <c r="Y2561" s="85">
        <f>STATS1003B!Y2569/1000</f>
        <v>0</v>
      </c>
      <c r="Z2561" s="85">
        <f t="shared" si="281"/>
        <v>0</v>
      </c>
      <c r="AA2561" s="69">
        <f>STATS1003B!AA2569/1000</f>
        <v>150.89420000000001</v>
      </c>
      <c r="AB2561" s="69">
        <f>STATS1003B!AB2569/1000</f>
        <v>0</v>
      </c>
    </row>
    <row r="2562" spans="1:28" hidden="1" x14ac:dyDescent="0.3">
      <c r="A2562" s="117"/>
      <c r="C2562" s="71" t="s">
        <v>109</v>
      </c>
      <c r="E2562" s="85">
        <f>STATS1003B!E2570/1000</f>
        <v>7500</v>
      </c>
      <c r="F2562" s="85">
        <f>STATS1003B!F2570/1000</f>
        <v>7500</v>
      </c>
      <c r="G2562" s="85">
        <f>STATS1003B!G2570/1000</f>
        <v>0</v>
      </c>
      <c r="H2562" s="85">
        <f>STATS1003B!H2570/1000</f>
        <v>7500</v>
      </c>
      <c r="I2562" s="85">
        <f>STATS1003B!I2570/1000</f>
        <v>0</v>
      </c>
      <c r="J2562" s="85">
        <f>STATS1003B!J2570/1000</f>
        <v>0</v>
      </c>
      <c r="K2562" s="85">
        <f>STATS1003B!K2570/1000</f>
        <v>0</v>
      </c>
      <c r="L2562" s="85">
        <f>STATS1003B!L2570/1000</f>
        <v>0</v>
      </c>
      <c r="M2562" s="85">
        <f>STATS1003B!M2570/1000</f>
        <v>7500</v>
      </c>
      <c r="N2562" s="85">
        <f>STATS1003B!N2570/1000</f>
        <v>0</v>
      </c>
      <c r="O2562" s="85">
        <f>STATS1003B!O2570/1000</f>
        <v>0</v>
      </c>
      <c r="P2562" s="85">
        <f>STATS1003B!P2570/1000</f>
        <v>0</v>
      </c>
      <c r="Q2562" s="85">
        <f>STATS1003B!Q2570/1000</f>
        <v>0</v>
      </c>
      <c r="R2562" s="85">
        <f>STATS1003B!R2570/1000</f>
        <v>0</v>
      </c>
      <c r="S2562" s="85">
        <f>STATS1003B!S2570/1000</f>
        <v>0</v>
      </c>
      <c r="T2562" s="85">
        <f>STATS1003B!T2570/1000</f>
        <v>0</v>
      </c>
      <c r="U2562" s="85">
        <f>STATS1003B!U2570/1000</f>
        <v>0</v>
      </c>
      <c r="V2562" s="85">
        <f>STATS1003B!V2570/1000</f>
        <v>7500</v>
      </c>
      <c r="W2562" s="85">
        <f>STATS1003B!W2570/1000</f>
        <v>0</v>
      </c>
      <c r="X2562" s="85">
        <f t="shared" si="280"/>
        <v>7500</v>
      </c>
      <c r="Y2562" s="85">
        <f>STATS1003B!Y2570/1000</f>
        <v>0</v>
      </c>
      <c r="Z2562" s="85">
        <f t="shared" si="281"/>
        <v>0</v>
      </c>
      <c r="AA2562" s="69">
        <f>STATS1003B!AA2570/1000</f>
        <v>7500</v>
      </c>
      <c r="AB2562" s="69">
        <f>STATS1003B!AB2570/1000</f>
        <v>0</v>
      </c>
    </row>
    <row r="2563" spans="1:28" hidden="1" x14ac:dyDescent="0.3">
      <c r="A2563" s="117"/>
      <c r="C2563" s="71" t="s">
        <v>143</v>
      </c>
      <c r="D2563" s="91" t="s">
        <v>61</v>
      </c>
      <c r="E2563" s="85">
        <f>STATS1003B!E2571/1000</f>
        <v>16851.844639999999</v>
      </c>
      <c r="F2563" s="85">
        <f>STATS1003B!F2571/1000</f>
        <v>16551.95937</v>
      </c>
      <c r="G2563" s="85">
        <f>STATS1003B!G2571/1000</f>
        <v>0</v>
      </c>
      <c r="H2563" s="85">
        <f>STATS1003B!H2571/1000</f>
        <v>16551.95937</v>
      </c>
      <c r="I2563" s="85">
        <f>STATS1003B!I2571/1000</f>
        <v>0</v>
      </c>
      <c r="J2563" s="85">
        <f>STATS1003B!J2571/1000</f>
        <v>0</v>
      </c>
      <c r="K2563" s="85">
        <f>STATS1003B!K2571/1000</f>
        <v>0</v>
      </c>
      <c r="L2563" s="85">
        <f>STATS1003B!L2571/1000</f>
        <v>0</v>
      </c>
      <c r="M2563" s="85">
        <f>STATS1003B!M2571/1000</f>
        <v>16551.95937</v>
      </c>
      <c r="N2563" s="85">
        <f>STATS1003B!N2571/1000</f>
        <v>0</v>
      </c>
      <c r="O2563" s="85">
        <f>STATS1003B!O2571/1000</f>
        <v>0</v>
      </c>
      <c r="P2563" s="85">
        <f>STATS1003B!P2571/1000</f>
        <v>0</v>
      </c>
      <c r="Q2563" s="85">
        <f>STATS1003B!Q2571/1000</f>
        <v>299.88526999999999</v>
      </c>
      <c r="R2563" s="85">
        <f>STATS1003B!R2571/1000</f>
        <v>0</v>
      </c>
      <c r="S2563" s="85">
        <f>STATS1003B!S2571/1000</f>
        <v>0</v>
      </c>
      <c r="T2563" s="85">
        <f>STATS1003B!T2571/1000</f>
        <v>299.88526999999999</v>
      </c>
      <c r="U2563" s="85">
        <f>STATS1003B!U2571/1000</f>
        <v>299.88526999999999</v>
      </c>
      <c r="V2563" s="85">
        <f>STATS1003B!V2571/1000</f>
        <v>16551.95937</v>
      </c>
      <c r="W2563" s="85">
        <f>STATS1003B!W2571/1000</f>
        <v>299.88527000000141</v>
      </c>
      <c r="X2563" s="85">
        <f t="shared" si="280"/>
        <v>16551.95937</v>
      </c>
      <c r="Y2563" s="85">
        <f>STATS1003B!Y2571/1000</f>
        <v>0</v>
      </c>
      <c r="Z2563" s="85">
        <f t="shared" si="281"/>
        <v>299.88526999999885</v>
      </c>
      <c r="AA2563" s="69">
        <f>STATS1003B!AA2571/1000</f>
        <v>16851.844639999999</v>
      </c>
      <c r="AB2563" s="69">
        <f>STATS1003B!AB2571/1000</f>
        <v>0</v>
      </c>
    </row>
    <row r="2564" spans="1:28" hidden="1" x14ac:dyDescent="0.3">
      <c r="A2564" s="117"/>
      <c r="E2564" s="86" t="s">
        <v>29</v>
      </c>
      <c r="F2564" s="86" t="s">
        <v>29</v>
      </c>
      <c r="G2564" s="86" t="s">
        <v>29</v>
      </c>
      <c r="H2564" s="86" t="s">
        <v>29</v>
      </c>
      <c r="I2564" s="86" t="s">
        <v>29</v>
      </c>
      <c r="J2564" s="86" t="s">
        <v>29</v>
      </c>
      <c r="K2564" s="86" t="s">
        <v>29</v>
      </c>
      <c r="L2564" s="86" t="s">
        <v>29</v>
      </c>
      <c r="M2564" s="86" t="s">
        <v>29</v>
      </c>
      <c r="N2564" s="86" t="s">
        <v>29</v>
      </c>
      <c r="O2564" s="86" t="s">
        <v>29</v>
      </c>
      <c r="P2564" s="86" t="s">
        <v>29</v>
      </c>
      <c r="Q2564" s="86" t="s">
        <v>29</v>
      </c>
      <c r="R2564" s="86" t="s">
        <v>29</v>
      </c>
      <c r="S2564" s="86" t="s">
        <v>29</v>
      </c>
      <c r="T2564" s="86" t="s">
        <v>29</v>
      </c>
      <c r="U2564" s="86" t="s">
        <v>29</v>
      </c>
      <c r="V2564" s="86" t="s">
        <v>29</v>
      </c>
      <c r="W2564" s="86" t="s">
        <v>29</v>
      </c>
      <c r="X2564" s="85" t="e">
        <f t="shared" si="280"/>
        <v>#VALUE!</v>
      </c>
      <c r="Y2564" s="86" t="s">
        <v>29</v>
      </c>
      <c r="Z2564" s="85" t="e">
        <f t="shared" si="281"/>
        <v>#VALUE!</v>
      </c>
      <c r="AA2564" s="115" t="s">
        <v>29</v>
      </c>
      <c r="AB2564" s="115" t="s">
        <v>29</v>
      </c>
    </row>
    <row r="2565" spans="1:28" x14ac:dyDescent="0.3">
      <c r="A2565" s="116">
        <v>112</v>
      </c>
      <c r="B2565" s="71" t="s">
        <v>421</v>
      </c>
      <c r="E2565" s="85">
        <f>294550945.54/1000</f>
        <v>294550.94554000004</v>
      </c>
      <c r="F2565" s="85">
        <f t="shared" ref="F2565:AB2565" si="282">SUM(F2541:F2563)</f>
        <v>98176.804079999987</v>
      </c>
      <c r="G2565" s="85">
        <f t="shared" si="282"/>
        <v>0</v>
      </c>
      <c r="H2565" s="85">
        <f>286881731.98/1000</f>
        <v>286881.73198000004</v>
      </c>
      <c r="I2565" s="85">
        <f t="shared" si="282"/>
        <v>0</v>
      </c>
      <c r="J2565" s="85">
        <f t="shared" si="282"/>
        <v>0</v>
      </c>
      <c r="K2565" s="85">
        <f t="shared" si="282"/>
        <v>0</v>
      </c>
      <c r="L2565" s="85">
        <f t="shared" si="282"/>
        <v>0</v>
      </c>
      <c r="M2565" s="85">
        <f t="shared" si="282"/>
        <v>98176.804079999987</v>
      </c>
      <c r="N2565" s="85">
        <f t="shared" si="282"/>
        <v>6722.4522899999993</v>
      </c>
      <c r="O2565" s="85">
        <f t="shared" si="282"/>
        <v>0</v>
      </c>
      <c r="P2565" s="85">
        <f>6722452/1000</f>
        <v>6722.4520000000002</v>
      </c>
      <c r="Q2565" s="85">
        <f t="shared" si="282"/>
        <v>299.88526999999999</v>
      </c>
      <c r="R2565" s="85">
        <f t="shared" si="282"/>
        <v>0</v>
      </c>
      <c r="S2565" s="85">
        <f t="shared" si="282"/>
        <v>0</v>
      </c>
      <c r="T2565" s="85">
        <f t="shared" si="282"/>
        <v>299.88526999999999</v>
      </c>
      <c r="U2565" s="85">
        <f t="shared" si="282"/>
        <v>7022.337559999999</v>
      </c>
      <c r="V2565" s="85">
        <f t="shared" si="282"/>
        <v>104899.25636999997</v>
      </c>
      <c r="W2565" s="85">
        <f t="shared" si="282"/>
        <v>946.76127000000133</v>
      </c>
      <c r="X2565" s="85">
        <f>+H2565+P2565</f>
        <v>293604.18398000003</v>
      </c>
      <c r="Y2565" s="85">
        <f t="shared" si="282"/>
        <v>0</v>
      </c>
      <c r="Z2565" s="85">
        <f t="shared" si="281"/>
        <v>946.76156000001356</v>
      </c>
      <c r="AA2565" s="72">
        <f t="shared" si="282"/>
        <v>105199.14163999997</v>
      </c>
      <c r="AB2565" s="72">
        <f t="shared" si="282"/>
        <v>646.87599999999998</v>
      </c>
    </row>
    <row r="2566" spans="1:28" x14ac:dyDescent="0.3">
      <c r="A2566" s="117"/>
      <c r="E2566" s="86"/>
      <c r="F2566" s="86"/>
      <c r="G2566" s="86"/>
      <c r="H2566" s="86"/>
      <c r="I2566" s="86"/>
      <c r="J2566" s="86"/>
      <c r="K2566" s="86"/>
      <c r="L2566" s="86"/>
      <c r="M2566" s="86"/>
      <c r="N2566" s="86"/>
      <c r="O2566" s="86"/>
      <c r="P2566" s="86"/>
      <c r="Q2566" s="86"/>
      <c r="R2566" s="86"/>
      <c r="S2566" s="86"/>
      <c r="T2566" s="86"/>
      <c r="U2566" s="86"/>
      <c r="V2566" s="86"/>
      <c r="W2566" s="86"/>
      <c r="X2566" s="86"/>
      <c r="Y2566" s="86"/>
      <c r="Z2566" s="86"/>
      <c r="AA2566" s="115" t="s">
        <v>29</v>
      </c>
      <c r="AB2566" s="115" t="s">
        <v>29</v>
      </c>
    </row>
    <row r="2567" spans="1:28" s="106" customFormat="1" x14ac:dyDescent="0.3">
      <c r="A2567" s="104"/>
      <c r="B2567" s="8"/>
      <c r="C2567" s="7" t="s">
        <v>3</v>
      </c>
      <c r="D2567" s="8"/>
      <c r="E2567" s="82">
        <f t="shared" ref="E2567:AB2567" si="283">E2470+E2488+E2499+E2515+E2535+E2538+E2565</f>
        <v>1055336.28599</v>
      </c>
      <c r="F2567" s="82">
        <f t="shared" si="283"/>
        <v>372619.77271999995</v>
      </c>
      <c r="G2567" s="82">
        <f t="shared" si="283"/>
        <v>0</v>
      </c>
      <c r="H2567" s="82">
        <f t="shared" si="283"/>
        <v>1018031.1612600001</v>
      </c>
      <c r="I2567" s="82">
        <f t="shared" si="283"/>
        <v>29651.254549999998</v>
      </c>
      <c r="J2567" s="82">
        <f t="shared" si="283"/>
        <v>21451.583549999999</v>
      </c>
      <c r="K2567" s="82">
        <f t="shared" si="283"/>
        <v>0</v>
      </c>
      <c r="L2567" s="82">
        <f t="shared" si="283"/>
        <v>0</v>
      </c>
      <c r="M2567" s="82">
        <f t="shared" si="283"/>
        <v>372619.77271999995</v>
      </c>
      <c r="N2567" s="82">
        <f t="shared" si="283"/>
        <v>23942.951479999996</v>
      </c>
      <c r="O2567" s="82">
        <f t="shared" si="283"/>
        <v>0</v>
      </c>
      <c r="P2567" s="82">
        <f t="shared" si="283"/>
        <v>23942.949000000004</v>
      </c>
      <c r="Q2567" s="82">
        <f t="shared" si="283"/>
        <v>12716.329749999999</v>
      </c>
      <c r="R2567" s="82">
        <f t="shared" si="283"/>
        <v>1.0325</v>
      </c>
      <c r="S2567" s="82">
        <f t="shared" si="283"/>
        <v>0</v>
      </c>
      <c r="T2567" s="82">
        <f t="shared" si="283"/>
        <v>12715.29725</v>
      </c>
      <c r="U2567" s="82">
        <f t="shared" si="283"/>
        <v>36658.248729999992</v>
      </c>
      <c r="V2567" s="82">
        <f t="shared" si="283"/>
        <v>393113.73521999997</v>
      </c>
      <c r="W2567" s="82">
        <f t="shared" si="283"/>
        <v>13362.17325</v>
      </c>
      <c r="X2567" s="82">
        <f t="shared" si="283"/>
        <v>1041974.11026</v>
      </c>
      <c r="Y2567" s="82">
        <f t="shared" si="283"/>
        <v>0</v>
      </c>
      <c r="Z2567" s="82">
        <f t="shared" si="283"/>
        <v>13362.175730000032</v>
      </c>
      <c r="AA2567" s="9">
        <f t="shared" si="283"/>
        <v>409278.02144999994</v>
      </c>
      <c r="AB2567" s="9">
        <f t="shared" si="283"/>
        <v>646.87599999999998</v>
      </c>
    </row>
    <row r="2568" spans="1:28" x14ac:dyDescent="0.3">
      <c r="A2568" s="117"/>
      <c r="E2568" s="86"/>
      <c r="F2568" s="86"/>
      <c r="G2568" s="86"/>
      <c r="H2568" s="86"/>
      <c r="I2568" s="86"/>
      <c r="J2568" s="86"/>
      <c r="K2568" s="86"/>
      <c r="L2568" s="86"/>
      <c r="M2568" s="86"/>
      <c r="N2568" s="86"/>
      <c r="O2568" s="86"/>
      <c r="P2568" s="86"/>
      <c r="Q2568" s="86"/>
      <c r="R2568" s="86"/>
      <c r="S2568" s="86"/>
      <c r="T2568" s="86"/>
      <c r="U2568" s="86"/>
      <c r="V2568" s="86"/>
      <c r="W2568" s="86"/>
      <c r="X2568" s="86"/>
      <c r="Y2568" s="86"/>
      <c r="Z2568" s="86"/>
      <c r="AA2568" s="115" t="s">
        <v>114</v>
      </c>
      <c r="AB2568" s="115" t="s">
        <v>114</v>
      </c>
    </row>
    <row r="2569" spans="1:28" x14ac:dyDescent="0.3">
      <c r="A2569" s="117"/>
      <c r="E2569" s="84"/>
      <c r="F2569" s="84"/>
      <c r="G2569" s="84"/>
      <c r="H2569" s="84"/>
      <c r="I2569" s="84"/>
      <c r="J2569" s="84"/>
      <c r="K2569" s="84"/>
      <c r="L2569" s="84"/>
      <c r="M2569" s="84"/>
      <c r="N2569" s="84"/>
      <c r="O2569" s="84"/>
      <c r="P2569" s="84"/>
      <c r="Q2569" s="84"/>
      <c r="R2569" s="84"/>
      <c r="S2569" s="84"/>
      <c r="T2569" s="84"/>
      <c r="U2569" s="84"/>
      <c r="V2569" s="84"/>
      <c r="W2569" s="84"/>
      <c r="X2569" s="84"/>
      <c r="Y2569" s="84"/>
      <c r="Z2569" s="84"/>
      <c r="AA2569" s="118"/>
    </row>
    <row r="2570" spans="1:28" x14ac:dyDescent="0.3">
      <c r="A2570" s="117"/>
      <c r="B2570" s="68" t="s">
        <v>437</v>
      </c>
      <c r="E2570" s="84"/>
      <c r="F2570" s="84"/>
      <c r="G2570" s="84"/>
      <c r="H2570" s="84"/>
      <c r="I2570" s="84"/>
      <c r="J2570" s="84"/>
      <c r="K2570" s="84"/>
      <c r="L2570" s="84"/>
      <c r="M2570" s="84"/>
      <c r="N2570" s="84"/>
      <c r="O2570" s="84"/>
      <c r="P2570" s="84"/>
      <c r="Q2570" s="84"/>
      <c r="R2570" s="84"/>
      <c r="S2570" s="84"/>
      <c r="T2570" s="84"/>
      <c r="U2570" s="84"/>
      <c r="V2570" s="84"/>
      <c r="W2570" s="84"/>
      <c r="X2570" s="84"/>
      <c r="Y2570" s="84"/>
      <c r="Z2570" s="84"/>
    </row>
    <row r="2571" spans="1:28" hidden="1" x14ac:dyDescent="0.3">
      <c r="A2571" s="117"/>
      <c r="E2571" s="84"/>
      <c r="F2571" s="84"/>
      <c r="G2571" s="84"/>
      <c r="H2571" s="84"/>
      <c r="I2571" s="84"/>
      <c r="J2571" s="84"/>
      <c r="K2571" s="84"/>
      <c r="L2571" s="84"/>
      <c r="M2571" s="84"/>
      <c r="N2571" s="84"/>
      <c r="O2571" s="84"/>
      <c r="P2571" s="84"/>
      <c r="Q2571" s="84"/>
      <c r="R2571" s="84"/>
      <c r="S2571" s="84"/>
      <c r="T2571" s="84"/>
      <c r="U2571" s="84"/>
      <c r="V2571" s="84"/>
      <c r="W2571" s="84"/>
      <c r="X2571" s="84"/>
      <c r="Y2571" s="84"/>
      <c r="Z2571" s="84"/>
    </row>
    <row r="2572" spans="1:28" hidden="1" x14ac:dyDescent="0.3">
      <c r="A2572" s="105"/>
      <c r="E2572" s="84"/>
      <c r="F2572" s="84"/>
      <c r="G2572" s="84"/>
      <c r="H2572" s="84"/>
      <c r="I2572" s="84"/>
      <c r="J2572" s="84"/>
      <c r="K2572" s="84"/>
      <c r="L2572" s="84"/>
      <c r="M2572" s="84"/>
      <c r="N2572" s="84"/>
      <c r="O2572" s="84"/>
      <c r="P2572" s="84"/>
      <c r="Q2572" s="84"/>
      <c r="R2572" s="84"/>
      <c r="S2572" s="84"/>
      <c r="T2572" s="84"/>
      <c r="U2572" s="84"/>
      <c r="V2572" s="84"/>
      <c r="W2572" s="84"/>
      <c r="X2572" s="84"/>
      <c r="Y2572" s="84"/>
      <c r="Z2572" s="84"/>
    </row>
    <row r="2573" spans="1:28" hidden="1" x14ac:dyDescent="0.3">
      <c r="A2573" s="117"/>
      <c r="C2573" s="68" t="s">
        <v>147</v>
      </c>
      <c r="D2573" s="145" t="s">
        <v>78</v>
      </c>
      <c r="E2573" s="85">
        <f>STATS1003B!E2581/1000</f>
        <v>300</v>
      </c>
      <c r="F2573" s="85">
        <f>STATS1003B!F2581/1000</f>
        <v>0</v>
      </c>
      <c r="G2573" s="85">
        <f>STATS1003B!G2581/1000</f>
        <v>0</v>
      </c>
      <c r="H2573" s="85">
        <f>STATS1003B!H2581/1000</f>
        <v>0</v>
      </c>
      <c r="I2573" s="85">
        <f>STATS1003B!I2581/1000</f>
        <v>0</v>
      </c>
      <c r="J2573" s="85">
        <f>STATS1003B!J2581/1000</f>
        <v>0</v>
      </c>
      <c r="K2573" s="85">
        <f>STATS1003B!K2581/1000</f>
        <v>0</v>
      </c>
      <c r="L2573" s="85">
        <f>STATS1003B!L2581/1000</f>
        <v>0</v>
      </c>
      <c r="M2573" s="85">
        <f>STATS1003B!M2581/1000</f>
        <v>0</v>
      </c>
      <c r="N2573" s="85">
        <f>STATS1003B!N2581/1000</f>
        <v>300</v>
      </c>
      <c r="O2573" s="85">
        <f>STATS1003B!O2581/1000</f>
        <v>0</v>
      </c>
      <c r="P2573" s="85">
        <f>STATS1003B!P2581/1000</f>
        <v>300</v>
      </c>
      <c r="Q2573" s="85">
        <f>STATS1003B!Q2581/1000</f>
        <v>0</v>
      </c>
      <c r="R2573" s="85">
        <f>STATS1003B!R2581/1000</f>
        <v>0</v>
      </c>
      <c r="S2573" s="85">
        <f>STATS1003B!S2581/1000</f>
        <v>0</v>
      </c>
      <c r="T2573" s="85">
        <f>STATS1003B!T2581/1000</f>
        <v>0</v>
      </c>
      <c r="U2573" s="85">
        <f>STATS1003B!U2581/1000</f>
        <v>300</v>
      </c>
      <c r="V2573" s="85">
        <f>STATS1003B!V2581/1000</f>
        <v>300</v>
      </c>
      <c r="W2573" s="85">
        <f>STATS1003B!W2581/1000</f>
        <v>0</v>
      </c>
      <c r="X2573" s="85">
        <f>STATS1003B!X2581/1000</f>
        <v>300</v>
      </c>
      <c r="Y2573" s="85">
        <f>STATS1003B!Y2581/1000</f>
        <v>0</v>
      </c>
      <c r="Z2573" s="85">
        <f>STATS1003B!Z2581/1000</f>
        <v>0</v>
      </c>
      <c r="AA2573" s="69">
        <f>STATS1003B!AA2581/1000</f>
        <v>300</v>
      </c>
      <c r="AB2573" s="69">
        <f>STATS1003B!AB2581/1000</f>
        <v>0</v>
      </c>
    </row>
    <row r="2574" spans="1:28" hidden="1" x14ac:dyDescent="0.3">
      <c r="A2574" s="117"/>
      <c r="C2574" s="68" t="s">
        <v>439</v>
      </c>
      <c r="D2574" s="145" t="s">
        <v>68</v>
      </c>
      <c r="E2574" s="85">
        <f>STATS1003B!E2582/1000</f>
        <v>1000</v>
      </c>
      <c r="F2574" s="85">
        <f>STATS1003B!F2582/1000</f>
        <v>1000</v>
      </c>
      <c r="G2574" s="85">
        <f>STATS1003B!G2582/1000</f>
        <v>0</v>
      </c>
      <c r="H2574" s="85">
        <f>STATS1003B!H2582/1000</f>
        <v>1000</v>
      </c>
      <c r="I2574" s="85">
        <f>STATS1003B!I2582/1000</f>
        <v>0</v>
      </c>
      <c r="J2574" s="85">
        <f>STATS1003B!J2582/1000</f>
        <v>0</v>
      </c>
      <c r="K2574" s="85">
        <f>STATS1003B!K2582/1000</f>
        <v>0</v>
      </c>
      <c r="L2574" s="85">
        <f>STATS1003B!L2582/1000</f>
        <v>0</v>
      </c>
      <c r="M2574" s="85">
        <f>STATS1003B!M2582/1000</f>
        <v>1000</v>
      </c>
      <c r="N2574" s="85">
        <f>STATS1003B!N2582/1000</f>
        <v>0</v>
      </c>
      <c r="O2574" s="85">
        <f>STATS1003B!O2582/1000</f>
        <v>0</v>
      </c>
      <c r="P2574" s="85">
        <f>STATS1003B!P2582/1000</f>
        <v>0</v>
      </c>
      <c r="Q2574" s="85">
        <f>STATS1003B!Q2582/1000</f>
        <v>0</v>
      </c>
      <c r="R2574" s="85">
        <f>STATS1003B!R2582/1000</f>
        <v>0</v>
      </c>
      <c r="S2574" s="85">
        <f>STATS1003B!S2582/1000</f>
        <v>0</v>
      </c>
      <c r="T2574" s="85">
        <f>STATS1003B!T2582/1000</f>
        <v>0</v>
      </c>
      <c r="U2574" s="85">
        <f>STATS1003B!U2582/1000</f>
        <v>0</v>
      </c>
      <c r="V2574" s="85">
        <f>STATS1003B!V2582/1000</f>
        <v>1000</v>
      </c>
      <c r="W2574" s="85">
        <f>STATS1003B!W2582/1000</f>
        <v>0</v>
      </c>
      <c r="X2574" s="85">
        <f>STATS1003B!X2582/1000</f>
        <v>1000</v>
      </c>
      <c r="Y2574" s="85">
        <f>STATS1003B!Y2582/1000</f>
        <v>0</v>
      </c>
      <c r="Z2574" s="85">
        <f>STATS1003B!Z2582/1000</f>
        <v>0</v>
      </c>
      <c r="AA2574" s="69">
        <f>STATS1003B!AA2582/1000</f>
        <v>1000</v>
      </c>
      <c r="AB2574" s="69">
        <f>STATS1003B!AB2582/1000</f>
        <v>0</v>
      </c>
    </row>
    <row r="2575" spans="1:28" hidden="1" x14ac:dyDescent="0.3">
      <c r="A2575" s="117"/>
      <c r="C2575" s="68" t="s">
        <v>440</v>
      </c>
      <c r="D2575" s="145" t="s">
        <v>68</v>
      </c>
      <c r="E2575" s="85">
        <f>STATS1003B!E2583/1000</f>
        <v>1500</v>
      </c>
      <c r="F2575" s="85">
        <f>STATS1003B!F2583/1000</f>
        <v>1437.84582</v>
      </c>
      <c r="G2575" s="85">
        <f>STATS1003B!G2583/1000</f>
        <v>0</v>
      </c>
      <c r="H2575" s="85">
        <f>STATS1003B!H2583/1000</f>
        <v>1437.84582</v>
      </c>
      <c r="I2575" s="85">
        <f>STATS1003B!I2583/1000</f>
        <v>0</v>
      </c>
      <c r="J2575" s="85">
        <f>STATS1003B!J2583/1000</f>
        <v>0</v>
      </c>
      <c r="K2575" s="85">
        <f>STATS1003B!K2583/1000</f>
        <v>0</v>
      </c>
      <c r="L2575" s="85">
        <f>STATS1003B!L2583/1000</f>
        <v>0</v>
      </c>
      <c r="M2575" s="85">
        <f>STATS1003B!M2583/1000</f>
        <v>1437.84582</v>
      </c>
      <c r="N2575" s="85">
        <f>STATS1003B!N2583/1000</f>
        <v>62.154180000000004</v>
      </c>
      <c r="O2575" s="85">
        <f>STATS1003B!O2583/1000</f>
        <v>0</v>
      </c>
      <c r="P2575" s="85">
        <f>STATS1003B!P2583/1000</f>
        <v>62.154180000000004</v>
      </c>
      <c r="Q2575" s="85">
        <f>STATS1003B!Q2583/1000</f>
        <v>0</v>
      </c>
      <c r="R2575" s="85">
        <f>STATS1003B!R2583/1000</f>
        <v>0</v>
      </c>
      <c r="S2575" s="85">
        <f>STATS1003B!S2583/1000</f>
        <v>0</v>
      </c>
      <c r="T2575" s="85">
        <f>STATS1003B!T2583/1000</f>
        <v>0</v>
      </c>
      <c r="U2575" s="85">
        <f>STATS1003B!U2583/1000</f>
        <v>62.154180000000004</v>
      </c>
      <c r="V2575" s="85">
        <f>STATS1003B!V2583/1000</f>
        <v>1500</v>
      </c>
      <c r="W2575" s="85">
        <f>STATS1003B!W2583/1000</f>
        <v>0</v>
      </c>
      <c r="X2575" s="85">
        <f>STATS1003B!X2583/1000</f>
        <v>1500</v>
      </c>
      <c r="Y2575" s="85">
        <f>STATS1003B!Y2583/1000</f>
        <v>0</v>
      </c>
      <c r="Z2575" s="85">
        <f>STATS1003B!Z2583/1000</f>
        <v>0</v>
      </c>
      <c r="AA2575" s="69">
        <f>STATS1003B!AA2583/1000</f>
        <v>1500</v>
      </c>
      <c r="AB2575" s="69">
        <f>STATS1003B!AB2583/1000</f>
        <v>0</v>
      </c>
    </row>
    <row r="2576" spans="1:28" hidden="1" x14ac:dyDescent="0.3">
      <c r="A2576" s="117"/>
      <c r="C2576" s="68" t="s">
        <v>441</v>
      </c>
      <c r="D2576" s="145" t="s">
        <v>68</v>
      </c>
      <c r="E2576" s="85">
        <f>STATS1003B!E2584/1000</f>
        <v>500</v>
      </c>
      <c r="F2576" s="85">
        <f>STATS1003B!F2584/1000</f>
        <v>500</v>
      </c>
      <c r="G2576" s="85">
        <f>STATS1003B!G2584/1000</f>
        <v>0</v>
      </c>
      <c r="H2576" s="85">
        <f>STATS1003B!H2584/1000</f>
        <v>500</v>
      </c>
      <c r="I2576" s="85">
        <f>STATS1003B!I2584/1000</f>
        <v>0</v>
      </c>
      <c r="J2576" s="85">
        <f>STATS1003B!J2584/1000</f>
        <v>0</v>
      </c>
      <c r="K2576" s="85">
        <f>STATS1003B!K2584/1000</f>
        <v>0</v>
      </c>
      <c r="L2576" s="85">
        <f>STATS1003B!L2584/1000</f>
        <v>0</v>
      </c>
      <c r="M2576" s="85">
        <f>STATS1003B!M2584/1000</f>
        <v>500</v>
      </c>
      <c r="N2576" s="85">
        <f>STATS1003B!N2584/1000</f>
        <v>0</v>
      </c>
      <c r="O2576" s="85">
        <f>STATS1003B!O2584/1000</f>
        <v>0</v>
      </c>
      <c r="P2576" s="85">
        <f>STATS1003B!P2584/1000</f>
        <v>0</v>
      </c>
      <c r="Q2576" s="85">
        <f>STATS1003B!Q2584/1000</f>
        <v>0</v>
      </c>
      <c r="R2576" s="85">
        <f>STATS1003B!R2584/1000</f>
        <v>0</v>
      </c>
      <c r="S2576" s="85">
        <f>STATS1003B!S2584/1000</f>
        <v>0</v>
      </c>
      <c r="T2576" s="85">
        <f>STATS1003B!T2584/1000</f>
        <v>0</v>
      </c>
      <c r="U2576" s="85">
        <f>STATS1003B!U2584/1000</f>
        <v>0</v>
      </c>
      <c r="V2576" s="85">
        <f>STATS1003B!V2584/1000</f>
        <v>500</v>
      </c>
      <c r="W2576" s="85">
        <f>STATS1003B!W2584/1000</f>
        <v>0</v>
      </c>
      <c r="X2576" s="85">
        <f>STATS1003B!X2584/1000</f>
        <v>500</v>
      </c>
      <c r="Y2576" s="85">
        <f>STATS1003B!Y2584/1000</f>
        <v>0</v>
      </c>
      <c r="Z2576" s="85">
        <f>STATS1003B!Z2584/1000</f>
        <v>0</v>
      </c>
      <c r="AA2576" s="69">
        <f>STATS1003B!AA2584/1000</f>
        <v>500</v>
      </c>
      <c r="AB2576" s="69">
        <f>STATS1003B!AB2584/1000</f>
        <v>0</v>
      </c>
    </row>
    <row r="2577" spans="1:28" hidden="1" x14ac:dyDescent="0.3">
      <c r="A2577" s="117"/>
      <c r="C2577" s="68" t="s">
        <v>51</v>
      </c>
      <c r="D2577" s="145" t="s">
        <v>117</v>
      </c>
      <c r="E2577" s="85">
        <f>STATS1003B!E2585/1000</f>
        <v>10053.773499999999</v>
      </c>
      <c r="F2577" s="85">
        <f>STATS1003B!F2585/1000</f>
        <v>9713.1190000000006</v>
      </c>
      <c r="G2577" s="85">
        <f>STATS1003B!G2585/1000</f>
        <v>0</v>
      </c>
      <c r="H2577" s="85">
        <f>STATS1003B!H2585/1000</f>
        <v>9713.1190000000006</v>
      </c>
      <c r="I2577" s="85">
        <f>STATS1003B!I2585/1000</f>
        <v>0</v>
      </c>
      <c r="J2577" s="85">
        <f>STATS1003B!J2585/1000</f>
        <v>0</v>
      </c>
      <c r="K2577" s="85">
        <f>STATS1003B!K2585/1000</f>
        <v>0</v>
      </c>
      <c r="L2577" s="85">
        <f>STATS1003B!L2585/1000</f>
        <v>0</v>
      </c>
      <c r="M2577" s="85">
        <f>STATS1003B!M2585/1000</f>
        <v>9713.1190000000006</v>
      </c>
      <c r="N2577" s="85">
        <f>STATS1003B!N2585/1000</f>
        <v>340.65449999999998</v>
      </c>
      <c r="O2577" s="85">
        <f>STATS1003B!O2585/1000</f>
        <v>0</v>
      </c>
      <c r="P2577" s="85">
        <f>STATS1003B!P2585/1000</f>
        <v>340.65449999999998</v>
      </c>
      <c r="Q2577" s="85">
        <f>STATS1003B!Q2585/1000</f>
        <v>0</v>
      </c>
      <c r="R2577" s="85">
        <f>STATS1003B!R2585/1000</f>
        <v>0</v>
      </c>
      <c r="S2577" s="85">
        <f>STATS1003B!S2585/1000</f>
        <v>0</v>
      </c>
      <c r="T2577" s="85">
        <f>STATS1003B!T2585/1000</f>
        <v>0</v>
      </c>
      <c r="U2577" s="85">
        <f>STATS1003B!U2585/1000</f>
        <v>340.65449999999998</v>
      </c>
      <c r="V2577" s="85">
        <f>STATS1003B!V2585/1000</f>
        <v>10053.773499999999</v>
      </c>
      <c r="W2577" s="85">
        <f>STATS1003B!W2585/1000</f>
        <v>0</v>
      </c>
      <c r="X2577" s="85">
        <f>STATS1003B!X2585/1000</f>
        <v>10053.773499999999</v>
      </c>
      <c r="Y2577" s="85">
        <f>STATS1003B!Y2585/1000</f>
        <v>0</v>
      </c>
      <c r="Z2577" s="85">
        <f>STATS1003B!Z2585/1000</f>
        <v>0</v>
      </c>
      <c r="AA2577" s="69">
        <f>STATS1003B!AA2585/1000</f>
        <v>10053.773499999999</v>
      </c>
      <c r="AB2577" s="69">
        <f>STATS1003B!AB2585/1000</f>
        <v>0</v>
      </c>
    </row>
    <row r="2578" spans="1:28" hidden="1" x14ac:dyDescent="0.3">
      <c r="A2578" s="117"/>
      <c r="C2578" s="68" t="s">
        <v>55</v>
      </c>
      <c r="D2578" s="145" t="s">
        <v>68</v>
      </c>
      <c r="E2578" s="85">
        <f>STATS1003B!E2586/1000</f>
        <v>2992.9861499999997</v>
      </c>
      <c r="F2578" s="85">
        <f>STATS1003B!F2586/1000</f>
        <v>0</v>
      </c>
      <c r="G2578" s="85">
        <f>STATS1003B!G2586/1000</f>
        <v>0</v>
      </c>
      <c r="H2578" s="85">
        <f>STATS1003B!H2586/1000</f>
        <v>0</v>
      </c>
      <c r="I2578" s="85">
        <f>STATS1003B!I2586/1000</f>
        <v>0</v>
      </c>
      <c r="J2578" s="85">
        <f>STATS1003B!J2586/1000</f>
        <v>0</v>
      </c>
      <c r="K2578" s="85">
        <f>STATS1003B!K2586/1000</f>
        <v>0</v>
      </c>
      <c r="L2578" s="85">
        <f>STATS1003B!L2586/1000</f>
        <v>0</v>
      </c>
      <c r="M2578" s="85">
        <f>STATS1003B!M2586/1000</f>
        <v>0</v>
      </c>
      <c r="N2578" s="85">
        <f>STATS1003B!N2586/1000</f>
        <v>2992.9861499999997</v>
      </c>
      <c r="O2578" s="85">
        <f>STATS1003B!O2586/1000</f>
        <v>0</v>
      </c>
      <c r="P2578" s="85">
        <f>STATS1003B!P2586/1000</f>
        <v>2992.9861499999997</v>
      </c>
      <c r="Q2578" s="85">
        <f>STATS1003B!Q2586/1000</f>
        <v>0</v>
      </c>
      <c r="R2578" s="85">
        <f>STATS1003B!R2586/1000</f>
        <v>0</v>
      </c>
      <c r="S2578" s="85">
        <f>STATS1003B!S2586/1000</f>
        <v>0</v>
      </c>
      <c r="T2578" s="85">
        <f>STATS1003B!T2586/1000</f>
        <v>0</v>
      </c>
      <c r="U2578" s="85">
        <f>STATS1003B!U2586/1000</f>
        <v>2992.9861499999997</v>
      </c>
      <c r="V2578" s="85">
        <f>STATS1003B!V2586/1000</f>
        <v>2992.9861499999997</v>
      </c>
      <c r="W2578" s="85">
        <f>STATS1003B!W2586/1000</f>
        <v>0</v>
      </c>
      <c r="X2578" s="85">
        <f>STATS1003B!X2586/1000</f>
        <v>2992.9861499999997</v>
      </c>
      <c r="Y2578" s="85">
        <f>STATS1003B!Y2586/1000</f>
        <v>0</v>
      </c>
      <c r="Z2578" s="85">
        <f>STATS1003B!Z2586/1000</f>
        <v>0</v>
      </c>
      <c r="AA2578" s="69">
        <f>STATS1003B!AA2586/1000</f>
        <v>2992.9861499999997</v>
      </c>
      <c r="AB2578" s="69">
        <f>STATS1003B!AB2586/1000</f>
        <v>0</v>
      </c>
    </row>
    <row r="2579" spans="1:28" hidden="1" x14ac:dyDescent="0.3">
      <c r="A2579" s="117"/>
      <c r="C2579" s="68" t="s">
        <v>442</v>
      </c>
      <c r="D2579" s="145" t="s">
        <v>79</v>
      </c>
      <c r="E2579" s="85">
        <f>STATS1003B!E2587/1000</f>
        <v>4300</v>
      </c>
      <c r="F2579" s="85">
        <f>STATS1003B!F2587/1000</f>
        <v>4300</v>
      </c>
      <c r="G2579" s="85">
        <f>STATS1003B!G2587/1000</f>
        <v>0</v>
      </c>
      <c r="H2579" s="85">
        <f>STATS1003B!H2587/1000</f>
        <v>4300</v>
      </c>
      <c r="I2579" s="85">
        <f>STATS1003B!I2587/1000</f>
        <v>0</v>
      </c>
      <c r="J2579" s="85">
        <f>STATS1003B!J2587/1000</f>
        <v>0</v>
      </c>
      <c r="K2579" s="85">
        <f>STATS1003B!K2587/1000</f>
        <v>0</v>
      </c>
      <c r="L2579" s="85">
        <f>STATS1003B!L2587/1000</f>
        <v>0</v>
      </c>
      <c r="M2579" s="85">
        <f>STATS1003B!M2587/1000</f>
        <v>4300</v>
      </c>
      <c r="N2579" s="85">
        <f>STATS1003B!N2587/1000</f>
        <v>0</v>
      </c>
      <c r="O2579" s="85">
        <f>STATS1003B!O2587/1000</f>
        <v>0</v>
      </c>
      <c r="P2579" s="85">
        <f>STATS1003B!P2587/1000</f>
        <v>0</v>
      </c>
      <c r="Q2579" s="85">
        <f>STATS1003B!Q2587/1000</f>
        <v>0</v>
      </c>
      <c r="R2579" s="85">
        <f>STATS1003B!R2587/1000</f>
        <v>0</v>
      </c>
      <c r="S2579" s="85">
        <f>STATS1003B!S2587/1000</f>
        <v>0</v>
      </c>
      <c r="T2579" s="85">
        <f>STATS1003B!T2587/1000</f>
        <v>0</v>
      </c>
      <c r="U2579" s="85">
        <f>STATS1003B!U2587/1000</f>
        <v>0</v>
      </c>
      <c r="V2579" s="85">
        <f>STATS1003B!V2587/1000</f>
        <v>4300</v>
      </c>
      <c r="W2579" s="85">
        <f>STATS1003B!W2587/1000</f>
        <v>0</v>
      </c>
      <c r="X2579" s="85">
        <f>STATS1003B!X2587/1000</f>
        <v>4300</v>
      </c>
      <c r="Y2579" s="85">
        <f>STATS1003B!Y2587/1000</f>
        <v>0</v>
      </c>
      <c r="Z2579" s="85">
        <f>STATS1003B!Z2587/1000</f>
        <v>0</v>
      </c>
      <c r="AA2579" s="69">
        <f>STATS1003B!AA2587/1000</f>
        <v>4300</v>
      </c>
      <c r="AB2579" s="69">
        <f>STATS1003B!AB2587/1000</f>
        <v>0</v>
      </c>
    </row>
    <row r="2580" spans="1:28" hidden="1" x14ac:dyDescent="0.3">
      <c r="A2580" s="117"/>
      <c r="C2580" s="68" t="s">
        <v>122</v>
      </c>
      <c r="E2580" s="85">
        <f>STATS1003B!E2588/1000</f>
        <v>625</v>
      </c>
      <c r="F2580" s="85">
        <f>STATS1003B!F2588/1000</f>
        <v>625</v>
      </c>
      <c r="G2580" s="85">
        <f>STATS1003B!G2588/1000</f>
        <v>0</v>
      </c>
      <c r="H2580" s="85">
        <f>STATS1003B!H2588/1000</f>
        <v>625</v>
      </c>
      <c r="I2580" s="85">
        <f>STATS1003B!I2588/1000</f>
        <v>0</v>
      </c>
      <c r="J2580" s="85">
        <f>STATS1003B!J2588/1000</f>
        <v>0</v>
      </c>
      <c r="K2580" s="85">
        <f>STATS1003B!K2588/1000</f>
        <v>0</v>
      </c>
      <c r="L2580" s="85">
        <f>STATS1003B!L2588/1000</f>
        <v>0</v>
      </c>
      <c r="M2580" s="85">
        <f>STATS1003B!M2588/1000</f>
        <v>625</v>
      </c>
      <c r="N2580" s="85">
        <f>STATS1003B!N2588/1000</f>
        <v>0</v>
      </c>
      <c r="O2580" s="85">
        <f>STATS1003B!O2588/1000</f>
        <v>0</v>
      </c>
      <c r="P2580" s="85">
        <f>STATS1003B!P2588/1000</f>
        <v>0</v>
      </c>
      <c r="Q2580" s="85">
        <f>STATS1003B!Q2588/1000</f>
        <v>0</v>
      </c>
      <c r="R2580" s="85">
        <f>STATS1003B!R2588/1000</f>
        <v>0</v>
      </c>
      <c r="S2580" s="85">
        <f>STATS1003B!S2588/1000</f>
        <v>0</v>
      </c>
      <c r="T2580" s="85">
        <f>STATS1003B!T2588/1000</f>
        <v>0</v>
      </c>
      <c r="U2580" s="85">
        <f>STATS1003B!U2588/1000</f>
        <v>0</v>
      </c>
      <c r="V2580" s="85">
        <f>STATS1003B!V2588/1000</f>
        <v>625</v>
      </c>
      <c r="W2580" s="85">
        <f>STATS1003B!W2588/1000</f>
        <v>0</v>
      </c>
      <c r="X2580" s="85">
        <f>STATS1003B!X2588/1000</f>
        <v>625</v>
      </c>
      <c r="Y2580" s="85">
        <f>STATS1003B!Y2588/1000</f>
        <v>0</v>
      </c>
      <c r="Z2580" s="85">
        <f>STATS1003B!Z2588/1000</f>
        <v>0</v>
      </c>
      <c r="AA2580" s="69">
        <f>STATS1003B!AA2588/1000</f>
        <v>625</v>
      </c>
      <c r="AB2580" s="69">
        <f>STATS1003B!AB2588/1000</f>
        <v>0</v>
      </c>
    </row>
    <row r="2581" spans="1:28" hidden="1" x14ac:dyDescent="0.3">
      <c r="A2581" s="117"/>
      <c r="C2581" s="68" t="s">
        <v>53</v>
      </c>
      <c r="D2581" s="145" t="s">
        <v>54</v>
      </c>
      <c r="E2581" s="85">
        <f>STATS1003B!E2589/1000</f>
        <v>1953.989</v>
      </c>
      <c r="F2581" s="85">
        <f>STATS1003B!F2589/1000</f>
        <v>0</v>
      </c>
      <c r="G2581" s="85">
        <f>STATS1003B!G2589/1000</f>
        <v>0</v>
      </c>
      <c r="H2581" s="85">
        <f>STATS1003B!H2589/1000</f>
        <v>0</v>
      </c>
      <c r="I2581" s="85">
        <f>STATS1003B!I2589/1000</f>
        <v>0</v>
      </c>
      <c r="J2581" s="85">
        <f>STATS1003B!J2589/1000</f>
        <v>0</v>
      </c>
      <c r="K2581" s="85">
        <f>STATS1003B!K2589/1000</f>
        <v>0</v>
      </c>
      <c r="L2581" s="85">
        <f>STATS1003B!L2589/1000</f>
        <v>0</v>
      </c>
      <c r="M2581" s="85">
        <f>STATS1003B!M2589/1000</f>
        <v>0</v>
      </c>
      <c r="N2581" s="85">
        <f>STATS1003B!N2589/1000</f>
        <v>1953.989</v>
      </c>
      <c r="O2581" s="85">
        <f>STATS1003B!O2589/1000</f>
        <v>0</v>
      </c>
      <c r="P2581" s="85">
        <f>STATS1003B!P2589/1000</f>
        <v>1953.989</v>
      </c>
      <c r="Q2581" s="85">
        <f>STATS1003B!Q2589/1000</f>
        <v>0</v>
      </c>
      <c r="R2581" s="85">
        <f>STATS1003B!R2589/1000</f>
        <v>0</v>
      </c>
      <c r="S2581" s="85">
        <f>STATS1003B!S2589/1000</f>
        <v>0</v>
      </c>
      <c r="T2581" s="85">
        <f>STATS1003B!T2589/1000</f>
        <v>0</v>
      </c>
      <c r="U2581" s="85">
        <f>STATS1003B!U2589/1000</f>
        <v>1953.989</v>
      </c>
      <c r="V2581" s="85">
        <f>STATS1003B!V2589/1000</f>
        <v>1953.989</v>
      </c>
      <c r="W2581" s="85">
        <f>STATS1003B!W2589/1000</f>
        <v>0</v>
      </c>
      <c r="X2581" s="85">
        <f>STATS1003B!X2589/1000</f>
        <v>1953.989</v>
      </c>
      <c r="Y2581" s="85">
        <f>STATS1003B!Y2589/1000</f>
        <v>0</v>
      </c>
      <c r="Z2581" s="85">
        <f>STATS1003B!Z2589/1000</f>
        <v>0</v>
      </c>
      <c r="AA2581" s="69">
        <f>STATS1003B!AA2589/1000</f>
        <v>1953.989</v>
      </c>
      <c r="AB2581" s="69">
        <f>STATS1003B!AB2589/1000</f>
        <v>0</v>
      </c>
    </row>
    <row r="2582" spans="1:28" hidden="1" x14ac:dyDescent="0.3">
      <c r="A2582" s="117"/>
      <c r="C2582" s="68" t="s">
        <v>443</v>
      </c>
      <c r="D2582" s="145" t="s">
        <v>105</v>
      </c>
      <c r="E2582" s="85">
        <f>STATS1003B!E2590/1000</f>
        <v>1600</v>
      </c>
      <c r="F2582" s="85">
        <f>STATS1003B!F2590/1000</f>
        <v>1600</v>
      </c>
      <c r="G2582" s="85">
        <f>STATS1003B!G2590/1000</f>
        <v>0</v>
      </c>
      <c r="H2582" s="85">
        <f>STATS1003B!H2590/1000</f>
        <v>1600</v>
      </c>
      <c r="I2582" s="85">
        <f>STATS1003B!I2590/1000</f>
        <v>0</v>
      </c>
      <c r="J2582" s="85">
        <f>STATS1003B!J2590/1000</f>
        <v>0</v>
      </c>
      <c r="K2582" s="85">
        <f>STATS1003B!K2590/1000</f>
        <v>0</v>
      </c>
      <c r="L2582" s="85">
        <f>STATS1003B!L2590/1000</f>
        <v>0</v>
      </c>
      <c r="M2582" s="85">
        <f>STATS1003B!M2590/1000</f>
        <v>1600</v>
      </c>
      <c r="N2582" s="85">
        <f>STATS1003B!N2590/1000</f>
        <v>0</v>
      </c>
      <c r="O2582" s="85">
        <f>STATS1003B!O2590/1000</f>
        <v>0</v>
      </c>
      <c r="P2582" s="85">
        <f>STATS1003B!P2590/1000</f>
        <v>0</v>
      </c>
      <c r="Q2582" s="85">
        <f>STATS1003B!Q2590/1000</f>
        <v>0</v>
      </c>
      <c r="R2582" s="85">
        <f>STATS1003B!R2590/1000</f>
        <v>0</v>
      </c>
      <c r="S2582" s="85">
        <f>STATS1003B!S2590/1000</f>
        <v>0</v>
      </c>
      <c r="T2582" s="85">
        <f>STATS1003B!T2590/1000</f>
        <v>0</v>
      </c>
      <c r="U2582" s="85">
        <f>STATS1003B!U2590/1000</f>
        <v>0</v>
      </c>
      <c r="V2582" s="85">
        <f>STATS1003B!V2590/1000</f>
        <v>1600</v>
      </c>
      <c r="W2582" s="85">
        <f>STATS1003B!W2590/1000</f>
        <v>0</v>
      </c>
      <c r="X2582" s="85">
        <f>STATS1003B!X2590/1000</f>
        <v>1600</v>
      </c>
      <c r="Y2582" s="85">
        <f>STATS1003B!Y2590/1000</f>
        <v>0</v>
      </c>
      <c r="Z2582" s="85">
        <f>STATS1003B!Z2590/1000</f>
        <v>0</v>
      </c>
      <c r="AA2582" s="69">
        <f>STATS1003B!AA2590/1000</f>
        <v>1600</v>
      </c>
      <c r="AB2582" s="69">
        <f>STATS1003B!AB2590/1000</f>
        <v>0</v>
      </c>
    </row>
    <row r="2583" spans="1:28" hidden="1" x14ac:dyDescent="0.3">
      <c r="A2583" s="117"/>
      <c r="C2583" s="68" t="s">
        <v>69</v>
      </c>
      <c r="D2583" s="145" t="s">
        <v>128</v>
      </c>
      <c r="E2583" s="85">
        <f>STATS1003B!E2591/1000</f>
        <v>955.34561999999994</v>
      </c>
      <c r="F2583" s="85">
        <f>STATS1003B!F2591/1000</f>
        <v>0</v>
      </c>
      <c r="G2583" s="85">
        <f>STATS1003B!G2591/1000</f>
        <v>0</v>
      </c>
      <c r="H2583" s="85">
        <f>STATS1003B!H2591/1000</f>
        <v>0</v>
      </c>
      <c r="I2583" s="85">
        <f>STATS1003B!I2591/1000</f>
        <v>0</v>
      </c>
      <c r="J2583" s="85">
        <f>STATS1003B!J2591/1000</f>
        <v>0</v>
      </c>
      <c r="K2583" s="85">
        <f>STATS1003B!K2591/1000</f>
        <v>0</v>
      </c>
      <c r="L2583" s="85">
        <f>STATS1003B!L2591/1000</f>
        <v>0</v>
      </c>
      <c r="M2583" s="85">
        <f>STATS1003B!M2591/1000</f>
        <v>0</v>
      </c>
      <c r="N2583" s="85">
        <f>STATS1003B!N2591/1000</f>
        <v>955.34561999999994</v>
      </c>
      <c r="O2583" s="85">
        <f>STATS1003B!O2591/1000</f>
        <v>0</v>
      </c>
      <c r="P2583" s="85">
        <f>STATS1003B!P2591/1000</f>
        <v>955.34561999999994</v>
      </c>
      <c r="Q2583" s="85">
        <f>STATS1003B!Q2591/1000</f>
        <v>0</v>
      </c>
      <c r="R2583" s="85">
        <f>STATS1003B!R2591/1000</f>
        <v>0</v>
      </c>
      <c r="S2583" s="85">
        <f>STATS1003B!S2591/1000</f>
        <v>0</v>
      </c>
      <c r="T2583" s="85">
        <f>STATS1003B!T2591/1000</f>
        <v>0</v>
      </c>
      <c r="U2583" s="85">
        <f>STATS1003B!U2591/1000</f>
        <v>955.34561999999994</v>
      </c>
      <c r="V2583" s="85">
        <f>STATS1003B!V2591/1000</f>
        <v>955.34561999999994</v>
      </c>
      <c r="W2583" s="85">
        <f>STATS1003B!W2591/1000</f>
        <v>0</v>
      </c>
      <c r="X2583" s="85">
        <f>STATS1003B!X2591/1000</f>
        <v>955.34561999999994</v>
      </c>
      <c r="Y2583" s="85">
        <f>STATS1003B!Y2591/1000</f>
        <v>0</v>
      </c>
      <c r="Z2583" s="85">
        <f>STATS1003B!Z2591/1000</f>
        <v>0</v>
      </c>
      <c r="AA2583" s="69">
        <f>STATS1003B!AA2591/1000</f>
        <v>955.34561999999994</v>
      </c>
      <c r="AB2583" s="69">
        <f>STATS1003B!AB2591/1000</f>
        <v>0</v>
      </c>
    </row>
    <row r="2584" spans="1:28" hidden="1" x14ac:dyDescent="0.3">
      <c r="A2584" s="117"/>
      <c r="C2584" s="68" t="s">
        <v>225</v>
      </c>
      <c r="D2584" s="145" t="s">
        <v>85</v>
      </c>
      <c r="E2584" s="85">
        <f>STATS1003B!E2592/1000</f>
        <v>200</v>
      </c>
      <c r="F2584" s="85">
        <f>STATS1003B!F2592/1000</f>
        <v>200</v>
      </c>
      <c r="G2584" s="85">
        <f>STATS1003B!G2592/1000</f>
        <v>0</v>
      </c>
      <c r="H2584" s="85">
        <f>STATS1003B!H2592/1000</f>
        <v>200</v>
      </c>
      <c r="I2584" s="85">
        <f>STATS1003B!I2592/1000</f>
        <v>0</v>
      </c>
      <c r="J2584" s="85">
        <f>STATS1003B!J2592/1000</f>
        <v>0</v>
      </c>
      <c r="K2584" s="85">
        <f>STATS1003B!K2592/1000</f>
        <v>0</v>
      </c>
      <c r="L2584" s="85">
        <f>STATS1003B!L2592/1000</f>
        <v>0</v>
      </c>
      <c r="M2584" s="85">
        <f>STATS1003B!M2592/1000</f>
        <v>200</v>
      </c>
      <c r="N2584" s="85">
        <f>STATS1003B!N2592/1000</f>
        <v>0</v>
      </c>
      <c r="O2584" s="85">
        <f>STATS1003B!O2592/1000</f>
        <v>0</v>
      </c>
      <c r="P2584" s="85">
        <f>STATS1003B!P2592/1000</f>
        <v>0</v>
      </c>
      <c r="Q2584" s="85">
        <f>STATS1003B!Q2592/1000</f>
        <v>0</v>
      </c>
      <c r="R2584" s="85">
        <f>STATS1003B!R2592/1000</f>
        <v>0</v>
      </c>
      <c r="S2584" s="85">
        <f>STATS1003B!S2592/1000</f>
        <v>0</v>
      </c>
      <c r="T2584" s="85">
        <f>STATS1003B!T2592/1000</f>
        <v>0</v>
      </c>
      <c r="U2584" s="85">
        <f>STATS1003B!U2592/1000</f>
        <v>0</v>
      </c>
      <c r="V2584" s="85">
        <f>STATS1003B!V2592/1000</f>
        <v>200</v>
      </c>
      <c r="W2584" s="85">
        <f>STATS1003B!W2592/1000</f>
        <v>0</v>
      </c>
      <c r="X2584" s="85">
        <f>STATS1003B!X2592/1000</f>
        <v>200</v>
      </c>
      <c r="Y2584" s="85">
        <f>STATS1003B!Y2592/1000</f>
        <v>0</v>
      </c>
      <c r="Z2584" s="85">
        <f>STATS1003B!Z2592/1000</f>
        <v>0</v>
      </c>
      <c r="AA2584" s="69">
        <f>STATS1003B!AA2592/1000</f>
        <v>200</v>
      </c>
      <c r="AB2584" s="69">
        <f>STATS1003B!AB2592/1000</f>
        <v>0</v>
      </c>
    </row>
    <row r="2585" spans="1:28" hidden="1" x14ac:dyDescent="0.3">
      <c r="A2585" s="117"/>
      <c r="C2585" s="68" t="s">
        <v>444</v>
      </c>
      <c r="D2585" s="145" t="s">
        <v>128</v>
      </c>
      <c r="E2585" s="85">
        <f>STATS1003B!E2593/1000</f>
        <v>800</v>
      </c>
      <c r="F2585" s="85">
        <f>STATS1003B!F2593/1000</f>
        <v>800</v>
      </c>
      <c r="G2585" s="85">
        <f>STATS1003B!G2593/1000</f>
        <v>0</v>
      </c>
      <c r="H2585" s="85">
        <f>STATS1003B!H2593/1000</f>
        <v>800</v>
      </c>
      <c r="I2585" s="85">
        <f>STATS1003B!I2593/1000</f>
        <v>0</v>
      </c>
      <c r="J2585" s="85">
        <f>STATS1003B!J2593/1000</f>
        <v>0</v>
      </c>
      <c r="K2585" s="85">
        <f>STATS1003B!K2593/1000</f>
        <v>0</v>
      </c>
      <c r="L2585" s="85">
        <f>STATS1003B!L2593/1000</f>
        <v>0</v>
      </c>
      <c r="M2585" s="85">
        <f>STATS1003B!M2593/1000</f>
        <v>800</v>
      </c>
      <c r="N2585" s="85">
        <f>STATS1003B!N2593/1000</f>
        <v>0</v>
      </c>
      <c r="O2585" s="85">
        <f>STATS1003B!O2593/1000</f>
        <v>0</v>
      </c>
      <c r="P2585" s="85">
        <f>STATS1003B!P2593/1000</f>
        <v>0</v>
      </c>
      <c r="Q2585" s="85">
        <f>STATS1003B!Q2593/1000</f>
        <v>0</v>
      </c>
      <c r="R2585" s="85">
        <f>STATS1003B!R2593/1000</f>
        <v>0</v>
      </c>
      <c r="S2585" s="85">
        <f>STATS1003B!S2593/1000</f>
        <v>0</v>
      </c>
      <c r="T2585" s="85">
        <f>STATS1003B!T2593/1000</f>
        <v>0</v>
      </c>
      <c r="U2585" s="85">
        <f>STATS1003B!U2593/1000</f>
        <v>0</v>
      </c>
      <c r="V2585" s="85">
        <f>STATS1003B!V2593/1000</f>
        <v>800</v>
      </c>
      <c r="W2585" s="85">
        <f>STATS1003B!W2593/1000</f>
        <v>0</v>
      </c>
      <c r="X2585" s="85">
        <f>STATS1003B!X2593/1000</f>
        <v>800</v>
      </c>
      <c r="Y2585" s="85">
        <f>STATS1003B!Y2593/1000</f>
        <v>0</v>
      </c>
      <c r="Z2585" s="85">
        <f>STATS1003B!Z2593/1000</f>
        <v>0</v>
      </c>
      <c r="AA2585" s="69">
        <f>STATS1003B!AA2593/1000</f>
        <v>800</v>
      </c>
      <c r="AB2585" s="69">
        <f>STATS1003B!AB2593/1000</f>
        <v>0</v>
      </c>
    </row>
    <row r="2586" spans="1:28" hidden="1" x14ac:dyDescent="0.3">
      <c r="A2586" s="117"/>
      <c r="C2586" s="68" t="s">
        <v>445</v>
      </c>
      <c r="D2586" s="145" t="s">
        <v>108</v>
      </c>
      <c r="E2586" s="85">
        <f>STATS1003B!E2594/1000</f>
        <v>2715.1453500000002</v>
      </c>
      <c r="F2586" s="85">
        <f>STATS1003B!F2594/1000</f>
        <v>2715.1453500000002</v>
      </c>
      <c r="G2586" s="85">
        <f>STATS1003B!G2594/1000</f>
        <v>0</v>
      </c>
      <c r="H2586" s="85">
        <f>STATS1003B!H2594/1000</f>
        <v>2715.1453500000002</v>
      </c>
      <c r="I2586" s="85">
        <f>STATS1003B!I2594/1000</f>
        <v>0</v>
      </c>
      <c r="J2586" s="85">
        <f>STATS1003B!J2594/1000</f>
        <v>0</v>
      </c>
      <c r="K2586" s="85">
        <f>STATS1003B!K2594/1000</f>
        <v>0</v>
      </c>
      <c r="L2586" s="85">
        <f>STATS1003B!L2594/1000</f>
        <v>0</v>
      </c>
      <c r="M2586" s="85">
        <f>STATS1003B!M2594/1000</f>
        <v>2715.1453500000002</v>
      </c>
      <c r="N2586" s="85">
        <f>STATS1003B!N2594/1000</f>
        <v>0</v>
      </c>
      <c r="O2586" s="85">
        <f>STATS1003B!O2594/1000</f>
        <v>0</v>
      </c>
      <c r="P2586" s="85">
        <f>STATS1003B!P2594/1000</f>
        <v>0</v>
      </c>
      <c r="Q2586" s="85">
        <f>STATS1003B!Q2594/1000</f>
        <v>0</v>
      </c>
      <c r="R2586" s="85">
        <f>STATS1003B!R2594/1000</f>
        <v>0</v>
      </c>
      <c r="S2586" s="85">
        <f>STATS1003B!S2594/1000</f>
        <v>0</v>
      </c>
      <c r="T2586" s="85">
        <f>STATS1003B!T2594/1000</f>
        <v>0</v>
      </c>
      <c r="U2586" s="85">
        <f>STATS1003B!U2594/1000</f>
        <v>0</v>
      </c>
      <c r="V2586" s="85">
        <f>STATS1003B!V2594/1000</f>
        <v>2715.1453500000002</v>
      </c>
      <c r="W2586" s="85">
        <f>STATS1003B!W2594/1000</f>
        <v>0</v>
      </c>
      <c r="X2586" s="85">
        <f>STATS1003B!X2594/1000</f>
        <v>2715.1453500000002</v>
      </c>
      <c r="Y2586" s="85">
        <f>STATS1003B!Y2594/1000</f>
        <v>0</v>
      </c>
      <c r="Z2586" s="85">
        <f>STATS1003B!Z2594/1000</f>
        <v>0</v>
      </c>
      <c r="AA2586" s="69">
        <f>STATS1003B!AA2594/1000</f>
        <v>2715.1453500000002</v>
      </c>
      <c r="AB2586" s="69">
        <f>STATS1003B!AB2594/1000</f>
        <v>0</v>
      </c>
    </row>
    <row r="2587" spans="1:28" hidden="1" x14ac:dyDescent="0.3">
      <c r="A2587" s="117"/>
      <c r="C2587" s="68" t="s">
        <v>446</v>
      </c>
      <c r="D2587" s="145" t="s">
        <v>108</v>
      </c>
      <c r="E2587" s="85">
        <f>STATS1003B!E2595/1000</f>
        <v>2000</v>
      </c>
      <c r="F2587" s="85">
        <f>STATS1003B!F2595/1000</f>
        <v>2000</v>
      </c>
      <c r="G2587" s="85">
        <f>STATS1003B!G2595/1000</f>
        <v>0</v>
      </c>
      <c r="H2587" s="85">
        <f>STATS1003B!H2595/1000</f>
        <v>2000</v>
      </c>
      <c r="I2587" s="85">
        <f>STATS1003B!I2595/1000</f>
        <v>0</v>
      </c>
      <c r="J2587" s="85">
        <f>STATS1003B!J2595/1000</f>
        <v>0</v>
      </c>
      <c r="K2587" s="85">
        <f>STATS1003B!K2595/1000</f>
        <v>0</v>
      </c>
      <c r="L2587" s="85">
        <f>STATS1003B!L2595/1000</f>
        <v>0</v>
      </c>
      <c r="M2587" s="85">
        <f>STATS1003B!M2595/1000</f>
        <v>2000</v>
      </c>
      <c r="N2587" s="85">
        <f>STATS1003B!N2595/1000</f>
        <v>0</v>
      </c>
      <c r="O2587" s="85">
        <f>STATS1003B!O2595/1000</f>
        <v>0</v>
      </c>
      <c r="P2587" s="85">
        <f>STATS1003B!P2595/1000</f>
        <v>0</v>
      </c>
      <c r="Q2587" s="85">
        <f>STATS1003B!Q2595/1000</f>
        <v>0</v>
      </c>
      <c r="R2587" s="85">
        <f>STATS1003B!R2595/1000</f>
        <v>0</v>
      </c>
      <c r="S2587" s="85">
        <f>STATS1003B!S2595/1000</f>
        <v>0</v>
      </c>
      <c r="T2587" s="85">
        <f>STATS1003B!T2595/1000</f>
        <v>0</v>
      </c>
      <c r="U2587" s="85">
        <f>STATS1003B!U2595/1000</f>
        <v>0</v>
      </c>
      <c r="V2587" s="85">
        <f>STATS1003B!V2595/1000</f>
        <v>2000</v>
      </c>
      <c r="W2587" s="85">
        <f>STATS1003B!W2595/1000</f>
        <v>0</v>
      </c>
      <c r="X2587" s="85">
        <f>STATS1003B!X2595/1000</f>
        <v>2000</v>
      </c>
      <c r="Y2587" s="85">
        <f>STATS1003B!Y2595/1000</f>
        <v>0</v>
      </c>
      <c r="Z2587" s="85">
        <f>STATS1003B!Z2595/1000</f>
        <v>0</v>
      </c>
      <c r="AA2587" s="69">
        <f>STATS1003B!AA2595/1000</f>
        <v>2000</v>
      </c>
      <c r="AB2587" s="69">
        <f>STATS1003B!AB2595/1000</f>
        <v>0</v>
      </c>
    </row>
    <row r="2588" spans="1:28" hidden="1" x14ac:dyDescent="0.3">
      <c r="A2588" s="117"/>
      <c r="C2588" s="68" t="s">
        <v>447</v>
      </c>
      <c r="D2588" s="145" t="s">
        <v>108</v>
      </c>
      <c r="E2588" s="85">
        <f>STATS1003B!E2596/1000</f>
        <v>5000</v>
      </c>
      <c r="F2588" s="85">
        <f>STATS1003B!F2596/1000</f>
        <v>5000</v>
      </c>
      <c r="G2588" s="85">
        <f>STATS1003B!G2596/1000</f>
        <v>0</v>
      </c>
      <c r="H2588" s="85">
        <f>STATS1003B!H2596/1000</f>
        <v>5000</v>
      </c>
      <c r="I2588" s="85">
        <f>STATS1003B!I2596/1000</f>
        <v>0</v>
      </c>
      <c r="J2588" s="85">
        <f>STATS1003B!J2596/1000</f>
        <v>0</v>
      </c>
      <c r="K2588" s="85">
        <f>STATS1003B!K2596/1000</f>
        <v>0</v>
      </c>
      <c r="L2588" s="85">
        <f>STATS1003B!L2596/1000</f>
        <v>0</v>
      </c>
      <c r="M2588" s="85">
        <f>STATS1003B!M2596/1000</f>
        <v>5000</v>
      </c>
      <c r="N2588" s="85">
        <f>STATS1003B!N2596/1000</f>
        <v>0</v>
      </c>
      <c r="O2588" s="85">
        <f>STATS1003B!O2596/1000</f>
        <v>0</v>
      </c>
      <c r="P2588" s="85">
        <f>STATS1003B!P2596/1000</f>
        <v>0</v>
      </c>
      <c r="Q2588" s="85">
        <f>STATS1003B!Q2596/1000</f>
        <v>0</v>
      </c>
      <c r="R2588" s="85">
        <f>STATS1003B!R2596/1000</f>
        <v>0</v>
      </c>
      <c r="S2588" s="85">
        <f>STATS1003B!S2596/1000</f>
        <v>0</v>
      </c>
      <c r="T2588" s="85">
        <f>STATS1003B!T2596/1000</f>
        <v>0</v>
      </c>
      <c r="U2588" s="85">
        <f>STATS1003B!U2596/1000</f>
        <v>0</v>
      </c>
      <c r="V2588" s="85">
        <f>STATS1003B!V2596/1000</f>
        <v>5000</v>
      </c>
      <c r="W2588" s="85">
        <f>STATS1003B!W2596/1000</f>
        <v>0</v>
      </c>
      <c r="X2588" s="85">
        <f>STATS1003B!X2596/1000</f>
        <v>5000</v>
      </c>
      <c r="Y2588" s="85">
        <f>STATS1003B!Y2596/1000</f>
        <v>0</v>
      </c>
      <c r="Z2588" s="85">
        <f>STATS1003B!Z2596/1000</f>
        <v>0</v>
      </c>
      <c r="AA2588" s="69">
        <f>STATS1003B!AA2596/1000</f>
        <v>5000</v>
      </c>
      <c r="AB2588" s="69">
        <f>STATS1003B!AB2596/1000</f>
        <v>0</v>
      </c>
    </row>
    <row r="2589" spans="1:28" hidden="1" x14ac:dyDescent="0.3">
      <c r="A2589" s="117"/>
      <c r="C2589" s="68" t="s">
        <v>448</v>
      </c>
      <c r="D2589" s="145" t="s">
        <v>108</v>
      </c>
      <c r="E2589" s="85">
        <f>STATS1003B!E2597/1000</f>
        <v>370.69099999999997</v>
      </c>
      <c r="F2589" s="85">
        <f>STATS1003B!F2597/1000</f>
        <v>370.69099999999997</v>
      </c>
      <c r="G2589" s="85">
        <f>STATS1003B!G2597/1000</f>
        <v>0</v>
      </c>
      <c r="H2589" s="85">
        <f>STATS1003B!H2597/1000</f>
        <v>370.69099999999997</v>
      </c>
      <c r="I2589" s="85">
        <f>STATS1003B!I2597/1000</f>
        <v>0</v>
      </c>
      <c r="J2589" s="85">
        <f>STATS1003B!J2597/1000</f>
        <v>0</v>
      </c>
      <c r="K2589" s="85">
        <f>STATS1003B!K2597/1000</f>
        <v>0</v>
      </c>
      <c r="L2589" s="85">
        <f>STATS1003B!L2597/1000</f>
        <v>0</v>
      </c>
      <c r="M2589" s="85">
        <f>STATS1003B!M2597/1000</f>
        <v>370.69099999999997</v>
      </c>
      <c r="N2589" s="85">
        <f>STATS1003B!N2597/1000</f>
        <v>0</v>
      </c>
      <c r="O2589" s="85">
        <f>STATS1003B!O2597/1000</f>
        <v>0</v>
      </c>
      <c r="P2589" s="85">
        <f>STATS1003B!P2597/1000</f>
        <v>0</v>
      </c>
      <c r="Q2589" s="85">
        <f>STATS1003B!Q2597/1000</f>
        <v>0</v>
      </c>
      <c r="R2589" s="85">
        <f>STATS1003B!R2597/1000</f>
        <v>0</v>
      </c>
      <c r="S2589" s="85">
        <f>STATS1003B!S2597/1000</f>
        <v>0</v>
      </c>
      <c r="T2589" s="85">
        <f>STATS1003B!T2597/1000</f>
        <v>0</v>
      </c>
      <c r="U2589" s="85">
        <f>STATS1003B!U2597/1000</f>
        <v>0</v>
      </c>
      <c r="V2589" s="85">
        <f>STATS1003B!V2597/1000</f>
        <v>370.69099999999997</v>
      </c>
      <c r="W2589" s="85">
        <f>STATS1003B!W2597/1000</f>
        <v>0</v>
      </c>
      <c r="X2589" s="85">
        <f>STATS1003B!X2597/1000</f>
        <v>370.69099999999997</v>
      </c>
      <c r="Y2589" s="85">
        <f>STATS1003B!Y2597/1000</f>
        <v>0</v>
      </c>
      <c r="Z2589" s="85">
        <f>STATS1003B!Z2597/1000</f>
        <v>0</v>
      </c>
      <c r="AA2589" s="69">
        <f>STATS1003B!AA2597/1000</f>
        <v>370.69099999999997</v>
      </c>
      <c r="AB2589" s="69">
        <f>STATS1003B!AB2597/1000</f>
        <v>0</v>
      </c>
    </row>
    <row r="2590" spans="1:28" hidden="1" x14ac:dyDescent="0.3">
      <c r="A2590" s="117"/>
      <c r="C2590" s="68" t="s">
        <v>449</v>
      </c>
      <c r="D2590" s="145" t="s">
        <v>108</v>
      </c>
      <c r="E2590" s="85">
        <f>STATS1003B!E2598/1000</f>
        <v>801.79492000000005</v>
      </c>
      <c r="F2590" s="85">
        <f>STATS1003B!F2598/1000</f>
        <v>797.69538</v>
      </c>
      <c r="G2590" s="85">
        <f>STATS1003B!G2598/1000</f>
        <v>0</v>
      </c>
      <c r="H2590" s="85">
        <f>STATS1003B!H2598/1000</f>
        <v>797.69538</v>
      </c>
      <c r="I2590" s="85">
        <f>STATS1003B!I2598/1000</f>
        <v>0</v>
      </c>
      <c r="J2590" s="85">
        <f>STATS1003B!J2598/1000</f>
        <v>0</v>
      </c>
      <c r="K2590" s="85">
        <f>STATS1003B!K2598/1000</f>
        <v>0</v>
      </c>
      <c r="L2590" s="85">
        <f>STATS1003B!L2598/1000</f>
        <v>0</v>
      </c>
      <c r="M2590" s="85">
        <f>STATS1003B!M2598/1000</f>
        <v>797.69538</v>
      </c>
      <c r="N2590" s="85">
        <f>STATS1003B!N2598/1000</f>
        <v>0</v>
      </c>
      <c r="O2590" s="85">
        <f>STATS1003B!O2598/1000</f>
        <v>0</v>
      </c>
      <c r="P2590" s="85">
        <f>STATS1003B!P2598/1000</f>
        <v>0</v>
      </c>
      <c r="Q2590" s="85">
        <f>STATS1003B!Q2598/1000</f>
        <v>4.0995400000000002</v>
      </c>
      <c r="R2590" s="85">
        <f>STATS1003B!R2598/1000</f>
        <v>0</v>
      </c>
      <c r="S2590" s="85">
        <f>STATS1003B!S2598/1000</f>
        <v>0</v>
      </c>
      <c r="T2590" s="85">
        <f>STATS1003B!T2598/1000</f>
        <v>4.0995400000000002</v>
      </c>
      <c r="U2590" s="85">
        <f>STATS1003B!U2598/1000</f>
        <v>4.0995400000000002</v>
      </c>
      <c r="V2590" s="85">
        <f>STATS1003B!V2598/1000</f>
        <v>797.69538</v>
      </c>
      <c r="W2590" s="85">
        <f>STATS1003B!W2598/1000</f>
        <v>4.0995400000000375</v>
      </c>
      <c r="X2590" s="85">
        <f>STATS1003B!X2598/1000</f>
        <v>797.69538</v>
      </c>
      <c r="Y2590" s="85">
        <f>STATS1003B!Y2598/1000</f>
        <v>0</v>
      </c>
      <c r="Z2590" s="85">
        <f>STATS1003B!Z2598/1000</f>
        <v>4.0995400000000375</v>
      </c>
      <c r="AA2590" s="69">
        <f>STATS1003B!AA2598/1000</f>
        <v>801.79492000000005</v>
      </c>
      <c r="AB2590" s="69">
        <f>STATS1003B!AB2598/1000</f>
        <v>0</v>
      </c>
    </row>
    <row r="2591" spans="1:28" hidden="1" x14ac:dyDescent="0.3">
      <c r="A2591" s="117"/>
      <c r="C2591" s="68" t="s">
        <v>57</v>
      </c>
      <c r="D2591" s="145" t="s">
        <v>58</v>
      </c>
      <c r="E2591" s="85">
        <f>STATS1003B!E2599/1000</f>
        <v>10269.083000000001</v>
      </c>
      <c r="F2591" s="85">
        <f>STATS1003B!F2599/1000</f>
        <v>10269.083000000001</v>
      </c>
      <c r="G2591" s="85">
        <f>STATS1003B!G2599/1000</f>
        <v>0</v>
      </c>
      <c r="H2591" s="85">
        <f>STATS1003B!H2599/1000</f>
        <v>10269.083000000001</v>
      </c>
      <c r="I2591" s="85">
        <f>STATS1003B!I2599/1000</f>
        <v>0</v>
      </c>
      <c r="J2591" s="85">
        <f>STATS1003B!J2599/1000</f>
        <v>0</v>
      </c>
      <c r="K2591" s="85">
        <f>STATS1003B!K2599/1000</f>
        <v>0</v>
      </c>
      <c r="L2591" s="85">
        <f>STATS1003B!L2599/1000</f>
        <v>0</v>
      </c>
      <c r="M2591" s="85">
        <f>STATS1003B!M2599/1000</f>
        <v>10269.083000000001</v>
      </c>
      <c r="N2591" s="85">
        <f>STATS1003B!N2599/1000</f>
        <v>0</v>
      </c>
      <c r="O2591" s="85">
        <f>STATS1003B!O2599/1000</f>
        <v>0</v>
      </c>
      <c r="P2591" s="85">
        <f>STATS1003B!P2599/1000</f>
        <v>0</v>
      </c>
      <c r="Q2591" s="85">
        <f>STATS1003B!Q2599/1000</f>
        <v>0</v>
      </c>
      <c r="R2591" s="85">
        <f>STATS1003B!R2599/1000</f>
        <v>0</v>
      </c>
      <c r="S2591" s="85">
        <f>STATS1003B!S2599/1000</f>
        <v>0</v>
      </c>
      <c r="T2591" s="85">
        <f>STATS1003B!T2599/1000</f>
        <v>0</v>
      </c>
      <c r="U2591" s="85">
        <f>STATS1003B!U2599/1000</f>
        <v>0</v>
      </c>
      <c r="V2591" s="85">
        <f>STATS1003B!V2599/1000</f>
        <v>10269.083000000001</v>
      </c>
      <c r="W2591" s="85">
        <f>STATS1003B!W2599/1000</f>
        <v>0</v>
      </c>
      <c r="X2591" s="85">
        <f>STATS1003B!X2599/1000</f>
        <v>10269.083000000001</v>
      </c>
      <c r="Y2591" s="85">
        <f>STATS1003B!Y2599/1000</f>
        <v>0</v>
      </c>
      <c r="Z2591" s="85">
        <f>STATS1003B!Z2599/1000</f>
        <v>0</v>
      </c>
      <c r="AA2591" s="69">
        <f>STATS1003B!AA2599/1000</f>
        <v>10269.083000000001</v>
      </c>
      <c r="AB2591" s="69">
        <f>STATS1003B!AB2599/1000</f>
        <v>0</v>
      </c>
    </row>
    <row r="2592" spans="1:28" hidden="1" x14ac:dyDescent="0.3">
      <c r="A2592" s="117"/>
      <c r="C2592" s="71" t="s">
        <v>109</v>
      </c>
      <c r="D2592" s="88" t="s">
        <v>60</v>
      </c>
      <c r="E2592" s="85">
        <f>STATS1003B!E2600/1000</f>
        <v>16937.239129999998</v>
      </c>
      <c r="F2592" s="85">
        <f>STATS1003B!F2600/1000</f>
        <v>16937.239129999998</v>
      </c>
      <c r="G2592" s="85">
        <f>STATS1003B!G2600/1000</f>
        <v>0</v>
      </c>
      <c r="H2592" s="85">
        <f>STATS1003B!H2600/1000</f>
        <v>16937.239129999998</v>
      </c>
      <c r="I2592" s="85">
        <f>STATS1003B!I2600/1000</f>
        <v>0</v>
      </c>
      <c r="J2592" s="85">
        <f>STATS1003B!J2600/1000</f>
        <v>0</v>
      </c>
      <c r="K2592" s="85">
        <f>STATS1003B!K2600/1000</f>
        <v>0</v>
      </c>
      <c r="L2592" s="85">
        <f>STATS1003B!L2600/1000</f>
        <v>0</v>
      </c>
      <c r="M2592" s="85">
        <f>STATS1003B!M2600/1000</f>
        <v>16937.239129999998</v>
      </c>
      <c r="N2592" s="85">
        <f>STATS1003B!N2600/1000</f>
        <v>0</v>
      </c>
      <c r="O2592" s="85">
        <f>STATS1003B!O2600/1000</f>
        <v>0</v>
      </c>
      <c r="P2592" s="85">
        <f>STATS1003B!P2600/1000</f>
        <v>0</v>
      </c>
      <c r="Q2592" s="85">
        <f>STATS1003B!Q2600/1000</f>
        <v>0</v>
      </c>
      <c r="R2592" s="85">
        <f>STATS1003B!R2600/1000</f>
        <v>0</v>
      </c>
      <c r="S2592" s="85">
        <f>STATS1003B!S2600/1000</f>
        <v>0</v>
      </c>
      <c r="T2592" s="85">
        <f>STATS1003B!T2600/1000</f>
        <v>0</v>
      </c>
      <c r="U2592" s="85">
        <f>STATS1003B!U2600/1000</f>
        <v>0</v>
      </c>
      <c r="V2592" s="85">
        <f>STATS1003B!V2600/1000</f>
        <v>16937.239129999998</v>
      </c>
      <c r="W2592" s="85">
        <f>STATS1003B!W2600/1000</f>
        <v>0</v>
      </c>
      <c r="X2592" s="85">
        <f>STATS1003B!X2600/1000</f>
        <v>16937.239129999998</v>
      </c>
      <c r="Y2592" s="85">
        <f>STATS1003B!Y2600/1000</f>
        <v>0</v>
      </c>
      <c r="Z2592" s="85">
        <f>STATS1003B!Z2600/1000</f>
        <v>0</v>
      </c>
      <c r="AA2592" s="69">
        <f>STATS1003B!AA2600/1000</f>
        <v>16937.239129999998</v>
      </c>
      <c r="AB2592" s="69">
        <f>STATS1003B!AB2600/1000</f>
        <v>0</v>
      </c>
    </row>
    <row r="2593" spans="1:28" hidden="1" x14ac:dyDescent="0.3">
      <c r="A2593" s="117"/>
      <c r="C2593" s="71" t="s">
        <v>450</v>
      </c>
      <c r="D2593" s="145" t="s">
        <v>60</v>
      </c>
      <c r="E2593" s="85">
        <f>STATS1003B!E2601/1000</f>
        <v>7500</v>
      </c>
      <c r="F2593" s="85">
        <f>STATS1003B!F2601/1000</f>
        <v>7500</v>
      </c>
      <c r="G2593" s="85">
        <f>STATS1003B!G2601/1000</f>
        <v>0</v>
      </c>
      <c r="H2593" s="85">
        <f>STATS1003B!H2601/1000</f>
        <v>7500</v>
      </c>
      <c r="I2593" s="85">
        <f>STATS1003B!I2601/1000</f>
        <v>0</v>
      </c>
      <c r="J2593" s="85">
        <f>STATS1003B!J2601/1000</f>
        <v>0</v>
      </c>
      <c r="K2593" s="85">
        <f>STATS1003B!K2601/1000</f>
        <v>0</v>
      </c>
      <c r="L2593" s="85">
        <f>STATS1003B!L2601/1000</f>
        <v>0</v>
      </c>
      <c r="M2593" s="85">
        <f>STATS1003B!M2601/1000</f>
        <v>7500</v>
      </c>
      <c r="N2593" s="85">
        <f>STATS1003B!N2601/1000</f>
        <v>0</v>
      </c>
      <c r="O2593" s="85">
        <f>STATS1003B!O2601/1000</f>
        <v>0</v>
      </c>
      <c r="P2593" s="85">
        <f>STATS1003B!P2601/1000</f>
        <v>0</v>
      </c>
      <c r="Q2593" s="85">
        <f>STATS1003B!Q2601/1000</f>
        <v>0</v>
      </c>
      <c r="R2593" s="85">
        <f>STATS1003B!R2601/1000</f>
        <v>0</v>
      </c>
      <c r="S2593" s="85">
        <f>STATS1003B!S2601/1000</f>
        <v>0</v>
      </c>
      <c r="T2593" s="85">
        <f>STATS1003B!T2601/1000</f>
        <v>0</v>
      </c>
      <c r="U2593" s="85">
        <f>STATS1003B!U2601/1000</f>
        <v>0</v>
      </c>
      <c r="V2593" s="85">
        <f>STATS1003B!V2601/1000</f>
        <v>7500</v>
      </c>
      <c r="W2593" s="85">
        <f>STATS1003B!W2601/1000</f>
        <v>0</v>
      </c>
      <c r="X2593" s="85">
        <f>STATS1003B!X2601/1000</f>
        <v>7500</v>
      </c>
      <c r="Y2593" s="85">
        <f>STATS1003B!Y2601/1000</f>
        <v>0</v>
      </c>
      <c r="Z2593" s="85">
        <f>STATS1003B!Z2601/1000</f>
        <v>0</v>
      </c>
      <c r="AA2593" s="69">
        <f>STATS1003B!AA2601/1000</f>
        <v>7500</v>
      </c>
      <c r="AB2593" s="69">
        <f>STATS1003B!AB2601/1000</f>
        <v>0</v>
      </c>
    </row>
    <row r="2594" spans="1:28" hidden="1" x14ac:dyDescent="0.3">
      <c r="A2594" s="117"/>
      <c r="C2594" s="68" t="s">
        <v>57</v>
      </c>
      <c r="D2594" s="145" t="s">
        <v>60</v>
      </c>
      <c r="E2594" s="85">
        <f>STATS1003B!E2602/1000</f>
        <v>3100</v>
      </c>
      <c r="F2594" s="85">
        <f>STATS1003B!F2602/1000</f>
        <v>3100</v>
      </c>
      <c r="G2594" s="85">
        <f>STATS1003B!G2602/1000</f>
        <v>0</v>
      </c>
      <c r="H2594" s="85">
        <f>STATS1003B!H2602/1000</f>
        <v>3100</v>
      </c>
      <c r="I2594" s="85">
        <f>STATS1003B!I2602/1000</f>
        <v>0</v>
      </c>
      <c r="J2594" s="85">
        <f>STATS1003B!J2602/1000</f>
        <v>0</v>
      </c>
      <c r="K2594" s="85">
        <f>STATS1003B!K2602/1000</f>
        <v>0</v>
      </c>
      <c r="L2594" s="85">
        <f>STATS1003B!L2602/1000</f>
        <v>0</v>
      </c>
      <c r="M2594" s="85">
        <f>STATS1003B!M2602/1000</f>
        <v>3100</v>
      </c>
      <c r="N2594" s="85">
        <f>STATS1003B!N2602/1000</f>
        <v>0</v>
      </c>
      <c r="O2594" s="85">
        <f>STATS1003B!O2602/1000</f>
        <v>0</v>
      </c>
      <c r="P2594" s="85">
        <f>STATS1003B!P2602/1000</f>
        <v>0</v>
      </c>
      <c r="Q2594" s="85">
        <f>STATS1003B!Q2602/1000</f>
        <v>0</v>
      </c>
      <c r="R2594" s="85">
        <f>STATS1003B!R2602/1000</f>
        <v>0</v>
      </c>
      <c r="S2594" s="85">
        <f>STATS1003B!S2602/1000</f>
        <v>0</v>
      </c>
      <c r="T2594" s="85">
        <f>STATS1003B!T2602/1000</f>
        <v>0</v>
      </c>
      <c r="U2594" s="85">
        <f>STATS1003B!U2602/1000</f>
        <v>0</v>
      </c>
      <c r="V2594" s="85">
        <f>STATS1003B!V2602/1000</f>
        <v>3100</v>
      </c>
      <c r="W2594" s="85">
        <f>STATS1003B!W2602/1000</f>
        <v>0</v>
      </c>
      <c r="X2594" s="85">
        <f>STATS1003B!X2602/1000</f>
        <v>3100</v>
      </c>
      <c r="Y2594" s="85">
        <f>STATS1003B!Y2602/1000</f>
        <v>0</v>
      </c>
      <c r="Z2594" s="85">
        <f>STATS1003B!Z2602/1000</f>
        <v>0</v>
      </c>
      <c r="AA2594" s="69">
        <f>STATS1003B!AA2602/1000</f>
        <v>3100</v>
      </c>
      <c r="AB2594" s="69">
        <f>STATS1003B!AB2602/1000</f>
        <v>0</v>
      </c>
    </row>
    <row r="2595" spans="1:28" hidden="1" x14ac:dyDescent="0.3">
      <c r="A2595" s="117"/>
      <c r="C2595" s="68" t="s">
        <v>451</v>
      </c>
      <c r="D2595" s="145" t="s">
        <v>194</v>
      </c>
      <c r="E2595" s="85">
        <f>STATS1003B!E2603/1000</f>
        <v>7872.0379999999996</v>
      </c>
      <c r="F2595" s="85">
        <f>STATS1003B!F2603/1000</f>
        <v>7872.0379999999996</v>
      </c>
      <c r="G2595" s="85">
        <f>STATS1003B!G2603/1000</f>
        <v>0</v>
      </c>
      <c r="H2595" s="85">
        <f>STATS1003B!H2603/1000</f>
        <v>7872.0379999999996</v>
      </c>
      <c r="I2595" s="85">
        <f>STATS1003B!I2603/1000</f>
        <v>0</v>
      </c>
      <c r="J2595" s="85">
        <f>STATS1003B!J2603/1000</f>
        <v>0</v>
      </c>
      <c r="K2595" s="85">
        <f>STATS1003B!K2603/1000</f>
        <v>0</v>
      </c>
      <c r="L2595" s="85">
        <f>STATS1003B!L2603/1000</f>
        <v>0</v>
      </c>
      <c r="M2595" s="85">
        <f>STATS1003B!M2603/1000</f>
        <v>7872.0379999999996</v>
      </c>
      <c r="N2595" s="85">
        <f>STATS1003B!N2603/1000</f>
        <v>0</v>
      </c>
      <c r="O2595" s="85">
        <f>STATS1003B!O2603/1000</f>
        <v>0</v>
      </c>
      <c r="P2595" s="85">
        <f>STATS1003B!P2603/1000</f>
        <v>0</v>
      </c>
      <c r="Q2595" s="85">
        <f>STATS1003B!Q2603/1000</f>
        <v>0</v>
      </c>
      <c r="R2595" s="85">
        <f>STATS1003B!R2603/1000</f>
        <v>0</v>
      </c>
      <c r="S2595" s="85">
        <f>STATS1003B!S2603/1000</f>
        <v>0</v>
      </c>
      <c r="T2595" s="85">
        <f>STATS1003B!T2603/1000</f>
        <v>0</v>
      </c>
      <c r="U2595" s="85">
        <f>STATS1003B!U2603/1000</f>
        <v>0</v>
      </c>
      <c r="V2595" s="85">
        <f>STATS1003B!V2603/1000</f>
        <v>7872.0379999999996</v>
      </c>
      <c r="W2595" s="85">
        <f>STATS1003B!W2603/1000</f>
        <v>0</v>
      </c>
      <c r="X2595" s="85">
        <f>STATS1003B!X2603/1000</f>
        <v>7872.0379999999996</v>
      </c>
      <c r="Y2595" s="85">
        <f>STATS1003B!Y2603/1000</f>
        <v>0</v>
      </c>
      <c r="Z2595" s="85">
        <f>STATS1003B!Z2603/1000</f>
        <v>0</v>
      </c>
      <c r="AA2595" s="69">
        <f>STATS1003B!AA2603/1000</f>
        <v>7872.0379999999996</v>
      </c>
      <c r="AB2595" s="69">
        <f>STATS1003B!AB2603/1000</f>
        <v>0</v>
      </c>
    </row>
    <row r="2596" spans="1:28" hidden="1" x14ac:dyDescent="0.3">
      <c r="A2596" s="117"/>
      <c r="C2596" s="71" t="s">
        <v>452</v>
      </c>
      <c r="D2596" s="90" t="s">
        <v>73</v>
      </c>
      <c r="E2596" s="85">
        <f>STATS1003B!E2604/1000</f>
        <v>1068.9349299999999</v>
      </c>
      <c r="F2596" s="85">
        <f>STATS1003B!F2604/1000</f>
        <v>1068.9349299999999</v>
      </c>
      <c r="G2596" s="85">
        <f>STATS1003B!G2604/1000</f>
        <v>0</v>
      </c>
      <c r="H2596" s="85">
        <f>STATS1003B!H2604/1000</f>
        <v>1068.9349299999999</v>
      </c>
      <c r="I2596" s="85">
        <f>STATS1003B!I2604/1000</f>
        <v>1068.9349299999999</v>
      </c>
      <c r="J2596" s="85">
        <f>STATS1003B!J2604/1000</f>
        <v>1068.9349299999999</v>
      </c>
      <c r="K2596" s="85">
        <f>STATS1003B!K2604/1000</f>
        <v>0</v>
      </c>
      <c r="L2596" s="85">
        <f>STATS1003B!L2604/1000</f>
        <v>0</v>
      </c>
      <c r="M2596" s="85">
        <f>STATS1003B!M2604/1000</f>
        <v>1068.9349299999999</v>
      </c>
      <c r="N2596" s="85">
        <f>STATS1003B!N2604/1000</f>
        <v>0</v>
      </c>
      <c r="O2596" s="85">
        <f>STATS1003B!O2604/1000</f>
        <v>0</v>
      </c>
      <c r="P2596" s="85">
        <f>STATS1003B!P2604/1000</f>
        <v>0</v>
      </c>
      <c r="Q2596" s="85">
        <f>STATS1003B!Q2604/1000</f>
        <v>0</v>
      </c>
      <c r="R2596" s="85">
        <f>STATS1003B!R2604/1000</f>
        <v>0</v>
      </c>
      <c r="S2596" s="85">
        <f>STATS1003B!S2604/1000</f>
        <v>0</v>
      </c>
      <c r="T2596" s="85">
        <f>STATS1003B!T2604/1000</f>
        <v>0</v>
      </c>
      <c r="U2596" s="85">
        <f>STATS1003B!U2604/1000</f>
        <v>0</v>
      </c>
      <c r="V2596" s="85">
        <f>STATS1003B!V2604/1000</f>
        <v>1068.9349299999999</v>
      </c>
      <c r="W2596" s="85">
        <f>STATS1003B!W2604/1000</f>
        <v>0</v>
      </c>
      <c r="X2596" s="85">
        <f>STATS1003B!X2604/1000</f>
        <v>1068.9349299999999</v>
      </c>
      <c r="Y2596" s="85">
        <f>STATS1003B!Y2604/1000</f>
        <v>0</v>
      </c>
      <c r="Z2596" s="85">
        <f>STATS1003B!Z2604/1000</f>
        <v>0</v>
      </c>
      <c r="AA2596" s="69">
        <f>STATS1003B!AA2604/1000</f>
        <v>1068.9349299999999</v>
      </c>
      <c r="AB2596" s="69">
        <f>STATS1003B!AB2604/1000</f>
        <v>0</v>
      </c>
    </row>
    <row r="2597" spans="1:28" hidden="1" x14ac:dyDescent="0.3">
      <c r="A2597" s="117"/>
      <c r="C2597" s="68" t="s">
        <v>57</v>
      </c>
      <c r="D2597" s="90" t="s">
        <v>61</v>
      </c>
      <c r="E2597" s="85">
        <f>STATS1003B!E2605/1000</f>
        <v>2460.5659299999998</v>
      </c>
      <c r="F2597" s="85">
        <f>STATS1003B!F2605/1000</f>
        <v>2460.5659299999998</v>
      </c>
      <c r="G2597" s="85">
        <f>STATS1003B!G2605/1000</f>
        <v>0</v>
      </c>
      <c r="H2597" s="85">
        <f>STATS1003B!H2605/1000</f>
        <v>2460.5659299999998</v>
      </c>
      <c r="I2597" s="85">
        <f>STATS1003B!I2605/1000</f>
        <v>0</v>
      </c>
      <c r="J2597" s="85">
        <f>STATS1003B!J2605/1000</f>
        <v>0</v>
      </c>
      <c r="K2597" s="85">
        <f>STATS1003B!K2605/1000</f>
        <v>0</v>
      </c>
      <c r="L2597" s="85">
        <f>STATS1003B!L2605/1000</f>
        <v>0</v>
      </c>
      <c r="M2597" s="85">
        <f>STATS1003B!M2605/1000</f>
        <v>2460.5659299999998</v>
      </c>
      <c r="N2597" s="85">
        <f>STATS1003B!N2605/1000</f>
        <v>0</v>
      </c>
      <c r="O2597" s="85">
        <f>STATS1003B!O2605/1000</f>
        <v>0</v>
      </c>
      <c r="P2597" s="85">
        <f>STATS1003B!P2605/1000</f>
        <v>0</v>
      </c>
      <c r="Q2597" s="85">
        <f>STATS1003B!Q2605/1000</f>
        <v>0</v>
      </c>
      <c r="R2597" s="85">
        <f>STATS1003B!R2605/1000</f>
        <v>0</v>
      </c>
      <c r="S2597" s="85">
        <f>STATS1003B!S2605/1000</f>
        <v>0</v>
      </c>
      <c r="T2597" s="85">
        <f>STATS1003B!T2605/1000</f>
        <v>0</v>
      </c>
      <c r="U2597" s="85">
        <f>STATS1003B!U2605/1000</f>
        <v>0</v>
      </c>
      <c r="V2597" s="85">
        <f>STATS1003B!V2605/1000</f>
        <v>2460.5659299999998</v>
      </c>
      <c r="W2597" s="85">
        <f>STATS1003B!W2605/1000</f>
        <v>0</v>
      </c>
      <c r="X2597" s="85">
        <f>STATS1003B!X2605/1000</f>
        <v>2460.5659299999998</v>
      </c>
      <c r="Y2597" s="85">
        <f>STATS1003B!Y2605/1000</f>
        <v>0</v>
      </c>
      <c r="Z2597" s="85">
        <f>STATS1003B!Z2605/1000</f>
        <v>0</v>
      </c>
      <c r="AA2597" s="69">
        <f>STATS1003B!AA2605/1000</f>
        <v>2460.5659299999998</v>
      </c>
      <c r="AB2597" s="69">
        <f>STATS1003B!AB2605/1000</f>
        <v>0</v>
      </c>
    </row>
    <row r="2598" spans="1:28" hidden="1" x14ac:dyDescent="0.3">
      <c r="A2598" s="117"/>
      <c r="C2598" s="68" t="s">
        <v>930</v>
      </c>
      <c r="D2598" s="90" t="s">
        <v>1072</v>
      </c>
      <c r="E2598" s="85">
        <f>STATS1003B!E2606/1000</f>
        <v>4582.8638000000001</v>
      </c>
      <c r="F2598" s="85">
        <f>STATS1003B!F2606/1000</f>
        <v>4582.8638000000001</v>
      </c>
      <c r="G2598" s="85">
        <f>STATS1003B!G2606/1000</f>
        <v>0</v>
      </c>
      <c r="H2598" s="85">
        <f>STATS1003B!H2606/1000</f>
        <v>4582.8638000000001</v>
      </c>
      <c r="I2598" s="85">
        <f>STATS1003B!I2606/1000</f>
        <v>0</v>
      </c>
      <c r="J2598" s="85">
        <f>STATS1003B!J2606/1000</f>
        <v>0</v>
      </c>
      <c r="K2598" s="85">
        <f>STATS1003B!K2606/1000</f>
        <v>0</v>
      </c>
      <c r="L2598" s="85">
        <f>STATS1003B!L2606/1000</f>
        <v>0</v>
      </c>
      <c r="M2598" s="85">
        <f>STATS1003B!M2606/1000</f>
        <v>4582.8638000000001</v>
      </c>
      <c r="N2598" s="85">
        <f>STATS1003B!N2606/1000</f>
        <v>0</v>
      </c>
      <c r="O2598" s="85">
        <f>STATS1003B!O2606/1000</f>
        <v>0</v>
      </c>
      <c r="P2598" s="85">
        <f>STATS1003B!P2606/1000</f>
        <v>0</v>
      </c>
      <c r="Q2598" s="85">
        <f>STATS1003B!Q2606/1000</f>
        <v>0</v>
      </c>
      <c r="R2598" s="85">
        <f>STATS1003B!R2606/1000</f>
        <v>0</v>
      </c>
      <c r="S2598" s="85">
        <f>STATS1003B!S2606/1000</f>
        <v>0</v>
      </c>
      <c r="T2598" s="85">
        <f>STATS1003B!T2606/1000</f>
        <v>0</v>
      </c>
      <c r="U2598" s="85">
        <f>STATS1003B!U2606/1000</f>
        <v>0</v>
      </c>
      <c r="V2598" s="85">
        <f>STATS1003B!V2606/1000</f>
        <v>4582.8638000000001</v>
      </c>
      <c r="W2598" s="85">
        <f>STATS1003B!W2606/1000</f>
        <v>0</v>
      </c>
      <c r="X2598" s="85">
        <f>STATS1003B!X2606/1000</f>
        <v>4582.8638000000001</v>
      </c>
      <c r="Y2598" s="85">
        <f>STATS1003B!Y2606/1000</f>
        <v>0</v>
      </c>
      <c r="Z2598" s="85">
        <f>STATS1003B!Z2606/1000</f>
        <v>0</v>
      </c>
      <c r="AA2598" s="69">
        <f>STATS1003B!AA2606/1000</f>
        <v>4582.8638000000001</v>
      </c>
      <c r="AB2598" s="69">
        <f>STATS1003B!AB2606/1000</f>
        <v>0</v>
      </c>
    </row>
    <row r="2599" spans="1:28" hidden="1" x14ac:dyDescent="0.3">
      <c r="A2599" s="117"/>
      <c r="C2599" s="68" t="s">
        <v>1154</v>
      </c>
      <c r="D2599" s="90" t="s">
        <v>1126</v>
      </c>
      <c r="E2599" s="85">
        <f>STATS1003B!E2607/1000</f>
        <v>268.56602000000004</v>
      </c>
      <c r="F2599" s="85">
        <f>STATS1003B!F2607/1000</f>
        <v>268.56602000000004</v>
      </c>
      <c r="G2599" s="85">
        <f>STATS1003B!G2607/1000</f>
        <v>0</v>
      </c>
      <c r="H2599" s="85">
        <f>STATS1003B!H2607/1000</f>
        <v>268.56602000000004</v>
      </c>
      <c r="I2599" s="85">
        <f>STATS1003B!I2607/1000</f>
        <v>0</v>
      </c>
      <c r="J2599" s="85">
        <f>STATS1003B!J2607/1000</f>
        <v>0</v>
      </c>
      <c r="K2599" s="85">
        <f>STATS1003B!K2607/1000</f>
        <v>0</v>
      </c>
      <c r="L2599" s="85">
        <f>STATS1003B!L2607/1000</f>
        <v>0</v>
      </c>
      <c r="M2599" s="85">
        <f>STATS1003B!M2607/1000</f>
        <v>268.56602000000004</v>
      </c>
      <c r="N2599" s="85">
        <f>STATS1003B!N2607/1000</f>
        <v>0</v>
      </c>
      <c r="O2599" s="85">
        <f>STATS1003B!O2607/1000</f>
        <v>0</v>
      </c>
      <c r="P2599" s="85">
        <f>STATS1003B!P2607/1000</f>
        <v>0</v>
      </c>
      <c r="Q2599" s="85">
        <f>STATS1003B!Q2607/1000</f>
        <v>0</v>
      </c>
      <c r="R2599" s="85">
        <f>STATS1003B!R2607/1000</f>
        <v>0</v>
      </c>
      <c r="S2599" s="85">
        <f>STATS1003B!S2607/1000</f>
        <v>0</v>
      </c>
      <c r="T2599" s="85">
        <f>STATS1003B!T2607/1000</f>
        <v>0</v>
      </c>
      <c r="U2599" s="85">
        <f>STATS1003B!U2607/1000</f>
        <v>0</v>
      </c>
      <c r="V2599" s="85">
        <f>STATS1003B!V2607/1000</f>
        <v>0</v>
      </c>
      <c r="W2599" s="85">
        <f>STATS1003B!W2607/1000</f>
        <v>0</v>
      </c>
      <c r="X2599" s="85">
        <f>STATS1003B!X2607/1000</f>
        <v>268.56602000000004</v>
      </c>
      <c r="Y2599" s="85">
        <f>STATS1003B!Y2607/1000</f>
        <v>0</v>
      </c>
      <c r="Z2599" s="85">
        <f>STATS1003B!Z2607/1000</f>
        <v>0</v>
      </c>
      <c r="AA2599" s="69">
        <f>STATS1003B!AA2607/1000</f>
        <v>268.56602000000004</v>
      </c>
      <c r="AB2599" s="69">
        <f>STATS1003B!AB2607/1000</f>
        <v>0</v>
      </c>
    </row>
    <row r="2600" spans="1:28" hidden="1" x14ac:dyDescent="0.3">
      <c r="A2600" s="117"/>
      <c r="C2600" s="68" t="s">
        <v>1153</v>
      </c>
      <c r="D2600" s="90" t="s">
        <v>1126</v>
      </c>
      <c r="E2600" s="85">
        <f>STATS1003B!E2608/1000</f>
        <v>421.18898999999999</v>
      </c>
      <c r="F2600" s="85">
        <f>STATS1003B!F2608/1000</f>
        <v>421.18898999999999</v>
      </c>
      <c r="G2600" s="85">
        <f>STATS1003B!G2608/1000</f>
        <v>0</v>
      </c>
      <c r="H2600" s="85">
        <f>STATS1003B!H2608/1000</f>
        <v>421.18898999999999</v>
      </c>
      <c r="I2600" s="85">
        <f>STATS1003B!I2608/1000</f>
        <v>0</v>
      </c>
      <c r="J2600" s="85">
        <f>STATS1003B!J2608/1000</f>
        <v>0</v>
      </c>
      <c r="K2600" s="85">
        <f>STATS1003B!K2608/1000</f>
        <v>0</v>
      </c>
      <c r="L2600" s="85">
        <f>STATS1003B!L2608/1000</f>
        <v>0</v>
      </c>
      <c r="M2600" s="85">
        <f>STATS1003B!M2608/1000</f>
        <v>421.18898999999999</v>
      </c>
      <c r="N2600" s="85">
        <f>STATS1003B!N2608/1000</f>
        <v>0</v>
      </c>
      <c r="O2600" s="85">
        <f>STATS1003B!O2608/1000</f>
        <v>0</v>
      </c>
      <c r="P2600" s="85">
        <f>STATS1003B!P2608/1000</f>
        <v>0</v>
      </c>
      <c r="Q2600" s="85">
        <f>STATS1003B!Q2608/1000</f>
        <v>0</v>
      </c>
      <c r="R2600" s="85">
        <f>STATS1003B!R2608/1000</f>
        <v>0</v>
      </c>
      <c r="S2600" s="85">
        <f>STATS1003B!S2608/1000</f>
        <v>0</v>
      </c>
      <c r="T2600" s="85">
        <f>STATS1003B!T2608/1000</f>
        <v>0</v>
      </c>
      <c r="U2600" s="85">
        <f>STATS1003B!U2608/1000</f>
        <v>0</v>
      </c>
      <c r="V2600" s="85">
        <f>STATS1003B!V2608/1000</f>
        <v>0</v>
      </c>
      <c r="W2600" s="85">
        <f>STATS1003B!W2608/1000</f>
        <v>0</v>
      </c>
      <c r="X2600" s="85">
        <f>STATS1003B!X2608/1000</f>
        <v>421.18898999999999</v>
      </c>
      <c r="Y2600" s="85">
        <f>STATS1003B!Y2608/1000</f>
        <v>0</v>
      </c>
      <c r="Z2600" s="85">
        <f>STATS1003B!Z2608/1000</f>
        <v>0</v>
      </c>
      <c r="AA2600" s="69">
        <f>STATS1003B!AA2608/1000</f>
        <v>421.18898999999999</v>
      </c>
      <c r="AB2600" s="69">
        <f>STATS1003B!AB2608/1000</f>
        <v>0</v>
      </c>
    </row>
    <row r="2601" spans="1:28" hidden="1" x14ac:dyDescent="0.3">
      <c r="A2601" s="117"/>
      <c r="C2601" s="98" t="s">
        <v>1190</v>
      </c>
      <c r="D2601" s="90" t="s">
        <v>1126</v>
      </c>
      <c r="E2601" s="85">
        <f>STATS1003B!E2609/1000</f>
        <v>78.251109999999997</v>
      </c>
      <c r="F2601" s="85">
        <f>STATS1003B!F2609/1000</f>
        <v>78.251109999999997</v>
      </c>
      <c r="G2601" s="85">
        <f>STATS1003B!G2609/1000</f>
        <v>0</v>
      </c>
      <c r="H2601" s="85">
        <f>STATS1003B!H2609/1000</f>
        <v>78.251109999999997</v>
      </c>
      <c r="I2601" s="85">
        <f>STATS1003B!I2609/1000</f>
        <v>0</v>
      </c>
      <c r="J2601" s="85">
        <f>STATS1003B!J2609/1000</f>
        <v>0</v>
      </c>
      <c r="K2601" s="85">
        <f>STATS1003B!K2609/1000</f>
        <v>0</v>
      </c>
      <c r="L2601" s="85">
        <f>STATS1003B!L2609/1000</f>
        <v>0</v>
      </c>
      <c r="M2601" s="85">
        <f>STATS1003B!M2609/1000</f>
        <v>78.251109999999997</v>
      </c>
      <c r="N2601" s="85">
        <f>STATS1003B!N2609/1000</f>
        <v>0</v>
      </c>
      <c r="O2601" s="85">
        <f>STATS1003B!O2609/1000</f>
        <v>0</v>
      </c>
      <c r="P2601" s="85">
        <f>STATS1003B!P2609/1000</f>
        <v>0</v>
      </c>
      <c r="Q2601" s="85">
        <f>STATS1003B!Q2609/1000</f>
        <v>0</v>
      </c>
      <c r="R2601" s="85">
        <f>STATS1003B!R2609/1000</f>
        <v>0</v>
      </c>
      <c r="S2601" s="85">
        <f>STATS1003B!S2609/1000</f>
        <v>0</v>
      </c>
      <c r="T2601" s="85">
        <f>STATS1003B!T2609/1000</f>
        <v>0</v>
      </c>
      <c r="U2601" s="85">
        <f>STATS1003B!U2609/1000</f>
        <v>0</v>
      </c>
      <c r="V2601" s="85">
        <f>STATS1003B!V2609/1000</f>
        <v>0</v>
      </c>
      <c r="W2601" s="85">
        <f>STATS1003B!W2609/1000</f>
        <v>0</v>
      </c>
      <c r="X2601" s="85">
        <f>STATS1003B!X2609/1000</f>
        <v>78.251109999999997</v>
      </c>
      <c r="Y2601" s="85">
        <f>STATS1003B!Y2609/1000</f>
        <v>0</v>
      </c>
      <c r="Z2601" s="85">
        <f>STATS1003B!Z2609/1000</f>
        <v>0</v>
      </c>
      <c r="AA2601" s="69">
        <f>STATS1003B!AA2609/1000</f>
        <v>78.251109999999997</v>
      </c>
      <c r="AB2601" s="69">
        <f>STATS1003B!AB2609/1000</f>
        <v>0</v>
      </c>
    </row>
    <row r="2602" spans="1:28" hidden="1" x14ac:dyDescent="0.3">
      <c r="A2602" s="117"/>
      <c r="C2602" s="68" t="s">
        <v>1191</v>
      </c>
      <c r="D2602" s="90" t="s">
        <v>1126</v>
      </c>
      <c r="E2602" s="85">
        <f>STATS1003B!E2610/1000</f>
        <v>1710.48101</v>
      </c>
      <c r="F2602" s="85">
        <f>STATS1003B!F2610/1000</f>
        <v>1710.48101</v>
      </c>
      <c r="G2602" s="85">
        <f>STATS1003B!G2610/1000</f>
        <v>0</v>
      </c>
      <c r="H2602" s="85">
        <f>STATS1003B!H2610/1000</f>
        <v>1710.48101</v>
      </c>
      <c r="I2602" s="85">
        <f>STATS1003B!I2610/1000</f>
        <v>0</v>
      </c>
      <c r="J2602" s="85">
        <f>STATS1003B!J2610/1000</f>
        <v>0</v>
      </c>
      <c r="K2602" s="85">
        <f>STATS1003B!K2610/1000</f>
        <v>0</v>
      </c>
      <c r="L2602" s="85">
        <f>STATS1003B!L2610/1000</f>
        <v>0</v>
      </c>
      <c r="M2602" s="85">
        <f>STATS1003B!M2610/1000</f>
        <v>1710.48101</v>
      </c>
      <c r="N2602" s="85">
        <f>STATS1003B!N2610/1000</f>
        <v>0</v>
      </c>
      <c r="O2602" s="85">
        <f>STATS1003B!O2610/1000</f>
        <v>0</v>
      </c>
      <c r="P2602" s="85">
        <f>STATS1003B!P2610/1000</f>
        <v>0</v>
      </c>
      <c r="Q2602" s="85">
        <f>STATS1003B!Q2610/1000</f>
        <v>0</v>
      </c>
      <c r="R2602" s="85">
        <f>STATS1003B!R2610/1000</f>
        <v>0</v>
      </c>
      <c r="S2602" s="85">
        <f>STATS1003B!S2610/1000</f>
        <v>0</v>
      </c>
      <c r="T2602" s="85">
        <f>STATS1003B!T2610/1000</f>
        <v>0</v>
      </c>
      <c r="U2602" s="85">
        <f>STATS1003B!U2610/1000</f>
        <v>0</v>
      </c>
      <c r="V2602" s="85">
        <f>STATS1003B!V2610/1000</f>
        <v>0</v>
      </c>
      <c r="W2602" s="85">
        <f>STATS1003B!W2610/1000</f>
        <v>0</v>
      </c>
      <c r="X2602" s="85">
        <f>STATS1003B!X2610/1000</f>
        <v>1710.48101</v>
      </c>
      <c r="Y2602" s="85">
        <f>STATS1003B!Y2610/1000</f>
        <v>0</v>
      </c>
      <c r="Z2602" s="85">
        <f>STATS1003B!Z2610/1000</f>
        <v>0</v>
      </c>
      <c r="AA2602" s="69">
        <f>STATS1003B!AA2610/1000</f>
        <v>1710.48101</v>
      </c>
      <c r="AB2602" s="69">
        <f>STATS1003B!AB2610/1000</f>
        <v>0</v>
      </c>
    </row>
    <row r="2603" spans="1:28" hidden="1" x14ac:dyDescent="0.3">
      <c r="A2603" s="117"/>
      <c r="C2603" s="68" t="s">
        <v>1210</v>
      </c>
      <c r="D2603" s="90" t="s">
        <v>1229</v>
      </c>
      <c r="E2603" s="85">
        <f>STATS1003B!E2611/1000</f>
        <v>2806.2985600000002</v>
      </c>
      <c r="F2603" s="85">
        <f>STATS1003B!F2611/1000</f>
        <v>2806.2985600000002</v>
      </c>
      <c r="G2603" s="85">
        <f>STATS1003B!G2611/1000</f>
        <v>0</v>
      </c>
      <c r="H2603" s="85">
        <f>STATS1003B!H2611/1000</f>
        <v>2806.2985600000002</v>
      </c>
      <c r="I2603" s="85">
        <f>STATS1003B!I2611/1000</f>
        <v>0</v>
      </c>
      <c r="J2603" s="85">
        <f>STATS1003B!J2611/1000</f>
        <v>0</v>
      </c>
      <c r="K2603" s="85">
        <f>STATS1003B!K2611/1000</f>
        <v>0</v>
      </c>
      <c r="L2603" s="85">
        <f>STATS1003B!L2611/1000</f>
        <v>0</v>
      </c>
      <c r="M2603" s="85">
        <f>STATS1003B!M2611/1000</f>
        <v>2806.2985600000002</v>
      </c>
      <c r="N2603" s="85">
        <f>STATS1003B!N2611/1000</f>
        <v>0</v>
      </c>
      <c r="O2603" s="85">
        <f>STATS1003B!O2611/1000</f>
        <v>0</v>
      </c>
      <c r="P2603" s="85">
        <f>STATS1003B!P2611/1000</f>
        <v>0</v>
      </c>
      <c r="Q2603" s="85">
        <f>STATS1003B!Q2611/1000</f>
        <v>0</v>
      </c>
      <c r="R2603" s="85">
        <f>STATS1003B!R2611/1000</f>
        <v>0</v>
      </c>
      <c r="S2603" s="85">
        <f>STATS1003B!S2611/1000</f>
        <v>0</v>
      </c>
      <c r="T2603" s="85">
        <f>STATS1003B!T2611/1000</f>
        <v>0</v>
      </c>
      <c r="U2603" s="85">
        <f>STATS1003B!U2611/1000</f>
        <v>0</v>
      </c>
      <c r="V2603" s="85">
        <f>STATS1003B!V2611/1000</f>
        <v>0</v>
      </c>
      <c r="W2603" s="85">
        <f>STATS1003B!W2611/1000</f>
        <v>0</v>
      </c>
      <c r="X2603" s="85">
        <f>STATS1003B!X2611/1000</f>
        <v>2806.2985600000002</v>
      </c>
      <c r="Y2603" s="85">
        <f>STATS1003B!Y2611/1000</f>
        <v>0</v>
      </c>
      <c r="Z2603" s="85">
        <f>STATS1003B!Z2611/1000</f>
        <v>0</v>
      </c>
      <c r="AA2603" s="69">
        <f>STATS1003B!AA2611/1000</f>
        <v>2806.2985600000002</v>
      </c>
      <c r="AB2603" s="69">
        <f>STATS1003B!AB2611/1000</f>
        <v>0</v>
      </c>
    </row>
    <row r="2604" spans="1:28" hidden="1" x14ac:dyDescent="0.3">
      <c r="A2604" s="117"/>
      <c r="C2604" s="68" t="s">
        <v>1235</v>
      </c>
      <c r="D2604" s="90" t="s">
        <v>1225</v>
      </c>
      <c r="E2604" s="85">
        <f>STATS1003B!E2612/1000</f>
        <v>2082.4176200000002</v>
      </c>
      <c r="F2604" s="85">
        <f>STATS1003B!F2612/1000</f>
        <v>2082.4176200000002</v>
      </c>
      <c r="G2604" s="85">
        <f>STATS1003B!G2612/1000</f>
        <v>0</v>
      </c>
      <c r="H2604" s="85">
        <f>STATS1003B!H2612/1000</f>
        <v>2082.4176200000002</v>
      </c>
      <c r="I2604" s="85">
        <f>STATS1003B!I2612/1000</f>
        <v>0</v>
      </c>
      <c r="J2604" s="85">
        <f>STATS1003B!J2612/1000</f>
        <v>0</v>
      </c>
      <c r="K2604" s="85">
        <f>STATS1003B!K2612/1000</f>
        <v>0</v>
      </c>
      <c r="L2604" s="85">
        <f>STATS1003B!L2612/1000</f>
        <v>0</v>
      </c>
      <c r="M2604" s="85">
        <f>STATS1003B!M2612/1000</f>
        <v>2082.4176200000002</v>
      </c>
      <c r="N2604" s="85">
        <f>STATS1003B!N2612/1000</f>
        <v>0</v>
      </c>
      <c r="O2604" s="85">
        <f>STATS1003B!O2612/1000</f>
        <v>0</v>
      </c>
      <c r="P2604" s="85">
        <f>STATS1003B!P2612/1000</f>
        <v>0</v>
      </c>
      <c r="Q2604" s="85">
        <f>STATS1003B!Q2612/1000</f>
        <v>0</v>
      </c>
      <c r="R2604" s="85">
        <f>STATS1003B!R2612/1000</f>
        <v>0</v>
      </c>
      <c r="S2604" s="85">
        <f>STATS1003B!S2612/1000</f>
        <v>0</v>
      </c>
      <c r="T2604" s="85">
        <f>STATS1003B!T2612/1000</f>
        <v>0</v>
      </c>
      <c r="U2604" s="85">
        <f>STATS1003B!U2612/1000</f>
        <v>0</v>
      </c>
      <c r="V2604" s="85">
        <f>STATS1003B!V2612/1000</f>
        <v>0</v>
      </c>
      <c r="W2604" s="85">
        <f>STATS1003B!W2612/1000</f>
        <v>0</v>
      </c>
      <c r="X2604" s="85">
        <f>STATS1003B!X2612/1000</f>
        <v>2082.4176200000002</v>
      </c>
      <c r="Y2604" s="85">
        <f>STATS1003B!Y2612/1000</f>
        <v>0</v>
      </c>
      <c r="Z2604" s="85">
        <f>STATS1003B!Z2612/1000</f>
        <v>0</v>
      </c>
      <c r="AA2604" s="69">
        <f>STATS1003B!AA2612/1000</f>
        <v>2082.4176200000002</v>
      </c>
      <c r="AB2604" s="69">
        <f>STATS1003B!AB2612/1000</f>
        <v>0</v>
      </c>
    </row>
    <row r="2605" spans="1:28" hidden="1" x14ac:dyDescent="0.3">
      <c r="A2605" s="117"/>
      <c r="C2605" s="68" t="s">
        <v>1217</v>
      </c>
      <c r="D2605" s="90" t="s">
        <v>1126</v>
      </c>
      <c r="E2605" s="85">
        <f>STATS1003B!E2613/1000</f>
        <v>3555.60527</v>
      </c>
      <c r="F2605" s="85">
        <f>STATS1003B!F2613/1000</f>
        <v>3555.60527</v>
      </c>
      <c r="G2605" s="85">
        <f>STATS1003B!G2613/1000</f>
        <v>0</v>
      </c>
      <c r="H2605" s="85">
        <f>STATS1003B!H2613/1000</f>
        <v>3555.60527</v>
      </c>
      <c r="I2605" s="85">
        <f>STATS1003B!I2613/1000</f>
        <v>0</v>
      </c>
      <c r="J2605" s="85">
        <f>STATS1003B!J2613/1000</f>
        <v>0</v>
      </c>
      <c r="K2605" s="85">
        <f>STATS1003B!K2613/1000</f>
        <v>0</v>
      </c>
      <c r="L2605" s="85">
        <f>STATS1003B!L2613/1000</f>
        <v>0</v>
      </c>
      <c r="M2605" s="85">
        <f>STATS1003B!M2613/1000</f>
        <v>3555.60527</v>
      </c>
      <c r="N2605" s="85">
        <f>STATS1003B!N2613/1000</f>
        <v>0</v>
      </c>
      <c r="O2605" s="85">
        <f>STATS1003B!O2613/1000</f>
        <v>0</v>
      </c>
      <c r="P2605" s="85">
        <f>STATS1003B!P2613/1000</f>
        <v>0</v>
      </c>
      <c r="Q2605" s="85">
        <f>STATS1003B!Q2613/1000</f>
        <v>0</v>
      </c>
      <c r="R2605" s="85">
        <f>STATS1003B!R2613/1000</f>
        <v>0</v>
      </c>
      <c r="S2605" s="85">
        <f>STATS1003B!S2613/1000</f>
        <v>0</v>
      </c>
      <c r="T2605" s="85">
        <f>STATS1003B!T2613/1000</f>
        <v>0</v>
      </c>
      <c r="U2605" s="85">
        <f>STATS1003B!U2613/1000</f>
        <v>0</v>
      </c>
      <c r="V2605" s="85">
        <f>STATS1003B!V2613/1000</f>
        <v>0</v>
      </c>
      <c r="W2605" s="85">
        <f>STATS1003B!W2613/1000</f>
        <v>0</v>
      </c>
      <c r="X2605" s="85">
        <f>STATS1003B!X2613/1000</f>
        <v>3555.60527</v>
      </c>
      <c r="Y2605" s="85">
        <f>STATS1003B!Y2613/1000</f>
        <v>0</v>
      </c>
      <c r="Z2605" s="85">
        <f>STATS1003B!Z2613/1000</f>
        <v>0</v>
      </c>
      <c r="AA2605" s="69">
        <f>STATS1003B!AA2613/1000</f>
        <v>3555.60527</v>
      </c>
      <c r="AB2605" s="69">
        <f>STATS1003B!AB2613/1000</f>
        <v>0</v>
      </c>
    </row>
    <row r="2606" spans="1:28" hidden="1" x14ac:dyDescent="0.3">
      <c r="A2606" s="117"/>
      <c r="C2606" s="68" t="s">
        <v>507</v>
      </c>
      <c r="D2606" s="90"/>
      <c r="E2606" s="85">
        <f>STATS1003B!E2614/1000</f>
        <v>4353.8486500000008</v>
      </c>
      <c r="F2606" s="85">
        <f>STATS1003B!F2614/1000</f>
        <v>4353.8486500000008</v>
      </c>
      <c r="G2606" s="85">
        <f>STATS1003B!G2614/1000</f>
        <v>0</v>
      </c>
      <c r="H2606" s="85">
        <f>STATS1003B!H2614/1000</f>
        <v>4353.8486500000008</v>
      </c>
      <c r="I2606" s="85">
        <f>STATS1003B!I2614/1000</f>
        <v>0</v>
      </c>
      <c r="J2606" s="85">
        <f>STATS1003B!J2614/1000</f>
        <v>0</v>
      </c>
      <c r="K2606" s="85">
        <f>STATS1003B!K2614/1000</f>
        <v>0</v>
      </c>
      <c r="L2606" s="85">
        <f>STATS1003B!L2614/1000</f>
        <v>0</v>
      </c>
      <c r="M2606" s="85">
        <f>STATS1003B!M2614/1000</f>
        <v>4353.8486500000008</v>
      </c>
      <c r="N2606" s="85">
        <f>STATS1003B!N2614/1000</f>
        <v>0</v>
      </c>
      <c r="O2606" s="85">
        <f>STATS1003B!O2614/1000</f>
        <v>0</v>
      </c>
      <c r="P2606" s="85">
        <f>STATS1003B!P2614/1000</f>
        <v>0</v>
      </c>
      <c r="Q2606" s="85">
        <f>STATS1003B!Q2614/1000</f>
        <v>0</v>
      </c>
      <c r="R2606" s="85">
        <f>STATS1003B!R2614/1000</f>
        <v>0</v>
      </c>
      <c r="S2606" s="85">
        <f>STATS1003B!S2614/1000</f>
        <v>0</v>
      </c>
      <c r="T2606" s="85">
        <f>STATS1003B!T2614/1000</f>
        <v>0</v>
      </c>
      <c r="U2606" s="85">
        <f>STATS1003B!U2614/1000</f>
        <v>0</v>
      </c>
      <c r="V2606" s="85">
        <f>STATS1003B!V2614/1000</f>
        <v>4353.8486500000008</v>
      </c>
      <c r="W2606" s="85">
        <f>STATS1003B!W2614/1000</f>
        <v>0</v>
      </c>
      <c r="X2606" s="85">
        <f>STATS1003B!X2614/1000</f>
        <v>4353.8486500000008</v>
      </c>
      <c r="Y2606" s="85">
        <f>STATS1003B!Y2614/1000</f>
        <v>0</v>
      </c>
      <c r="Z2606" s="85">
        <f>STATS1003B!Z2614/1000</f>
        <v>0</v>
      </c>
      <c r="AA2606" s="69">
        <f>STATS1003B!AA2614/1000</f>
        <v>4353.8486500000008</v>
      </c>
      <c r="AB2606" s="69">
        <f>STATS1003B!AB2614/1000</f>
        <v>0</v>
      </c>
    </row>
    <row r="2607" spans="1:28" hidden="1" x14ac:dyDescent="0.3">
      <c r="A2607" s="117"/>
      <c r="E2607" s="86" t="s">
        <v>29</v>
      </c>
      <c r="F2607" s="86" t="s">
        <v>29</v>
      </c>
      <c r="G2607" s="86" t="s">
        <v>29</v>
      </c>
      <c r="H2607" s="86" t="s">
        <v>29</v>
      </c>
      <c r="I2607" s="86" t="s">
        <v>29</v>
      </c>
      <c r="J2607" s="86" t="s">
        <v>29</v>
      </c>
      <c r="K2607" s="86" t="s">
        <v>29</v>
      </c>
      <c r="L2607" s="86" t="s">
        <v>29</v>
      </c>
      <c r="M2607" s="86" t="s">
        <v>29</v>
      </c>
      <c r="N2607" s="86" t="s">
        <v>29</v>
      </c>
      <c r="O2607" s="86" t="s">
        <v>29</v>
      </c>
      <c r="P2607" s="86" t="s">
        <v>29</v>
      </c>
      <c r="Q2607" s="86" t="s">
        <v>29</v>
      </c>
      <c r="R2607" s="86" t="s">
        <v>29</v>
      </c>
      <c r="S2607" s="86" t="s">
        <v>29</v>
      </c>
      <c r="T2607" s="86" t="s">
        <v>29</v>
      </c>
      <c r="U2607" s="86" t="s">
        <v>29</v>
      </c>
      <c r="V2607" s="86" t="s">
        <v>29</v>
      </c>
      <c r="W2607" s="86" t="s">
        <v>29</v>
      </c>
      <c r="X2607" s="86" t="s">
        <v>29</v>
      </c>
      <c r="Y2607" s="86" t="s">
        <v>29</v>
      </c>
      <c r="Z2607" s="86" t="s">
        <v>29</v>
      </c>
      <c r="AA2607" s="115" t="s">
        <v>29</v>
      </c>
      <c r="AB2607" s="115" t="s">
        <v>29</v>
      </c>
    </row>
    <row r="2608" spans="1:28" x14ac:dyDescent="0.3">
      <c r="A2608" s="116">
        <v>113</v>
      </c>
      <c r="B2608" s="68" t="s">
        <v>438</v>
      </c>
      <c r="E2608" s="85">
        <f>192336821.78/1000</f>
        <v>192336.82178</v>
      </c>
      <c r="F2608" s="85">
        <f t="shared" ref="F2608:AB2608" si="284">SUM(F2573:F2606)</f>
        <v>100126.87857</v>
      </c>
      <c r="G2608" s="85">
        <f t="shared" si="284"/>
        <v>0</v>
      </c>
      <c r="H2608" s="85">
        <f>185727592.79/1000</f>
        <v>185727.59279</v>
      </c>
      <c r="I2608" s="85">
        <f t="shared" si="284"/>
        <v>1068.9349299999999</v>
      </c>
      <c r="J2608" s="85">
        <f t="shared" si="284"/>
        <v>1068.9349299999999</v>
      </c>
      <c r="K2608" s="85">
        <f t="shared" si="284"/>
        <v>0</v>
      </c>
      <c r="L2608" s="85">
        <f t="shared" si="284"/>
        <v>0</v>
      </c>
      <c r="M2608" s="85">
        <f t="shared" si="284"/>
        <v>100126.87857</v>
      </c>
      <c r="N2608" s="85">
        <f t="shared" si="284"/>
        <v>6605.1294500000004</v>
      </c>
      <c r="O2608" s="85">
        <f t="shared" si="284"/>
        <v>0</v>
      </c>
      <c r="P2608" s="85">
        <f>6605129/1000</f>
        <v>6605.1289999999999</v>
      </c>
      <c r="Q2608" s="85">
        <f t="shared" si="284"/>
        <v>4.0995400000000002</v>
      </c>
      <c r="R2608" s="85">
        <f t="shared" si="284"/>
        <v>0</v>
      </c>
      <c r="S2608" s="85">
        <f t="shared" si="284"/>
        <v>0</v>
      </c>
      <c r="T2608" s="85">
        <f t="shared" si="284"/>
        <v>4.0995400000000002</v>
      </c>
      <c r="U2608" s="85">
        <f t="shared" si="284"/>
        <v>6609.2289900000005</v>
      </c>
      <c r="V2608" s="85">
        <f t="shared" si="284"/>
        <v>95809.199439999997</v>
      </c>
      <c r="W2608" s="85">
        <f t="shared" si="284"/>
        <v>4.0995400000000375</v>
      </c>
      <c r="X2608" s="85">
        <f>+H2608+P2608</f>
        <v>192332.72178999998</v>
      </c>
      <c r="Y2608" s="85">
        <f t="shared" si="284"/>
        <v>0</v>
      </c>
      <c r="Z2608" s="85">
        <f>+E2608-X2608</f>
        <v>4.0999900000169873</v>
      </c>
      <c r="AA2608" s="69">
        <f t="shared" si="284"/>
        <v>106736.10756</v>
      </c>
      <c r="AB2608" s="69">
        <f t="shared" si="284"/>
        <v>0</v>
      </c>
    </row>
    <row r="2609" spans="1:28" hidden="1" x14ac:dyDescent="0.3">
      <c r="A2609" s="117"/>
      <c r="E2609" s="86" t="s">
        <v>29</v>
      </c>
      <c r="F2609" s="86" t="s">
        <v>29</v>
      </c>
      <c r="G2609" s="86" t="s">
        <v>29</v>
      </c>
      <c r="H2609" s="86" t="s">
        <v>29</v>
      </c>
      <c r="I2609" s="86" t="s">
        <v>29</v>
      </c>
      <c r="J2609" s="86" t="s">
        <v>29</v>
      </c>
      <c r="K2609" s="86" t="s">
        <v>29</v>
      </c>
      <c r="L2609" s="86" t="s">
        <v>29</v>
      </c>
      <c r="M2609" s="86" t="s">
        <v>29</v>
      </c>
      <c r="N2609" s="86" t="s">
        <v>29</v>
      </c>
      <c r="O2609" s="86" t="s">
        <v>29</v>
      </c>
      <c r="P2609" s="86" t="s">
        <v>29</v>
      </c>
      <c r="Q2609" s="86" t="s">
        <v>29</v>
      </c>
      <c r="R2609" s="86" t="s">
        <v>29</v>
      </c>
      <c r="S2609" s="86" t="s">
        <v>29</v>
      </c>
      <c r="T2609" s="86" t="s">
        <v>29</v>
      </c>
      <c r="U2609" s="86" t="s">
        <v>29</v>
      </c>
      <c r="V2609" s="86" t="s">
        <v>29</v>
      </c>
      <c r="W2609" s="86" t="s">
        <v>29</v>
      </c>
      <c r="X2609" s="85" t="e">
        <f t="shared" ref="X2609:X2658" si="285">+H2609+P2609</f>
        <v>#VALUE!</v>
      </c>
      <c r="Y2609" s="86" t="s">
        <v>29</v>
      </c>
      <c r="Z2609" s="86" t="s">
        <v>29</v>
      </c>
      <c r="AA2609" s="115" t="s">
        <v>29</v>
      </c>
      <c r="AB2609" s="115" t="s">
        <v>29</v>
      </c>
    </row>
    <row r="2610" spans="1:28" hidden="1" x14ac:dyDescent="0.3">
      <c r="A2610" s="117"/>
      <c r="E2610" s="85">
        <f>STATS1003B!E2618/1000</f>
        <v>1700</v>
      </c>
      <c r="F2610" s="85">
        <f>STATS1003B!F2618/1000</f>
        <v>1700</v>
      </c>
      <c r="G2610" s="85">
        <f>STATS1003B!G2618/1000</f>
        <v>0</v>
      </c>
      <c r="H2610" s="85">
        <f>STATS1003B!H2618/1000</f>
        <v>1700</v>
      </c>
      <c r="I2610" s="85">
        <f>STATS1003B!I2618/1000</f>
        <v>0</v>
      </c>
      <c r="J2610" s="85">
        <f>STATS1003B!J2618/1000</f>
        <v>0</v>
      </c>
      <c r="K2610" s="85">
        <f>STATS1003B!K2618/1000</f>
        <v>0</v>
      </c>
      <c r="L2610" s="85">
        <f>STATS1003B!L2618/1000</f>
        <v>0</v>
      </c>
      <c r="M2610" s="85">
        <f>STATS1003B!M2618/1000</f>
        <v>1700</v>
      </c>
      <c r="N2610" s="85">
        <f>STATS1003B!N2618/1000</f>
        <v>0</v>
      </c>
      <c r="O2610" s="85">
        <f>STATS1003B!O2618/1000</f>
        <v>0</v>
      </c>
      <c r="P2610" s="85">
        <f>STATS1003B!P2618/1000</f>
        <v>0</v>
      </c>
      <c r="Q2610" s="85">
        <f>STATS1003B!Q2618/1000</f>
        <v>0</v>
      </c>
      <c r="R2610" s="85">
        <f>STATS1003B!R2618/1000</f>
        <v>0</v>
      </c>
      <c r="S2610" s="85">
        <f>STATS1003B!S2618/1000</f>
        <v>0</v>
      </c>
      <c r="T2610" s="85">
        <f>STATS1003B!T2618/1000</f>
        <v>0</v>
      </c>
      <c r="U2610" s="85">
        <f>STATS1003B!U2618/1000</f>
        <v>0</v>
      </c>
      <c r="V2610" s="85">
        <f>STATS1003B!V2618/1000</f>
        <v>1700</v>
      </c>
      <c r="W2610" s="85">
        <f>STATS1003B!W2618/1000</f>
        <v>0</v>
      </c>
      <c r="X2610" s="85">
        <f t="shared" si="285"/>
        <v>1700</v>
      </c>
      <c r="Y2610" s="85">
        <f>STATS1003B!Y2618/1000</f>
        <v>0</v>
      </c>
      <c r="Z2610" s="85">
        <f>STATS1003B!Z2618/1000</f>
        <v>0</v>
      </c>
      <c r="AA2610" s="69">
        <f>STATS1003B!AA2618/1000</f>
        <v>1700</v>
      </c>
      <c r="AB2610" s="69">
        <f>STATS1003B!AB2618/1000</f>
        <v>0</v>
      </c>
    </row>
    <row r="2611" spans="1:28" hidden="1" x14ac:dyDescent="0.3">
      <c r="A2611" s="117"/>
      <c r="E2611" s="86" t="s">
        <v>29</v>
      </c>
      <c r="F2611" s="86" t="s">
        <v>29</v>
      </c>
      <c r="G2611" s="86" t="s">
        <v>29</v>
      </c>
      <c r="H2611" s="86" t="s">
        <v>29</v>
      </c>
      <c r="I2611" s="86" t="s">
        <v>29</v>
      </c>
      <c r="J2611" s="86" t="s">
        <v>29</v>
      </c>
      <c r="K2611" s="86" t="s">
        <v>29</v>
      </c>
      <c r="L2611" s="86" t="s">
        <v>29</v>
      </c>
      <c r="M2611" s="86" t="s">
        <v>29</v>
      </c>
      <c r="N2611" s="86" t="s">
        <v>29</v>
      </c>
      <c r="O2611" s="86" t="s">
        <v>29</v>
      </c>
      <c r="P2611" s="86" t="s">
        <v>29</v>
      </c>
      <c r="Q2611" s="86" t="s">
        <v>29</v>
      </c>
      <c r="R2611" s="86" t="s">
        <v>29</v>
      </c>
      <c r="S2611" s="86" t="s">
        <v>29</v>
      </c>
      <c r="T2611" s="86" t="s">
        <v>29</v>
      </c>
      <c r="U2611" s="86" t="s">
        <v>29</v>
      </c>
      <c r="V2611" s="86" t="s">
        <v>29</v>
      </c>
      <c r="W2611" s="86" t="s">
        <v>29</v>
      </c>
      <c r="X2611" s="85" t="e">
        <f t="shared" si="285"/>
        <v>#VALUE!</v>
      </c>
      <c r="Y2611" s="86" t="s">
        <v>29</v>
      </c>
      <c r="Z2611" s="86" t="s">
        <v>29</v>
      </c>
      <c r="AA2611" s="115" t="s">
        <v>29</v>
      </c>
      <c r="AB2611" s="115" t="s">
        <v>29</v>
      </c>
    </row>
    <row r="2612" spans="1:28" x14ac:dyDescent="0.3">
      <c r="A2612" s="117"/>
      <c r="B2612" s="68" t="s">
        <v>453</v>
      </c>
      <c r="E2612" s="85">
        <f>1700000/1000</f>
        <v>1700</v>
      </c>
      <c r="F2612" s="85">
        <f t="shared" ref="F2612:AB2612" si="286">F2610</f>
        <v>1700</v>
      </c>
      <c r="G2612" s="85">
        <f t="shared" si="286"/>
        <v>0</v>
      </c>
      <c r="H2612" s="85">
        <f>1700000/1000</f>
        <v>1700</v>
      </c>
      <c r="I2612" s="85">
        <f t="shared" si="286"/>
        <v>0</v>
      </c>
      <c r="J2612" s="85">
        <f t="shared" si="286"/>
        <v>0</v>
      </c>
      <c r="K2612" s="85">
        <f t="shared" si="286"/>
        <v>0</v>
      </c>
      <c r="L2612" s="85">
        <f t="shared" si="286"/>
        <v>0</v>
      </c>
      <c r="M2612" s="85">
        <f t="shared" si="286"/>
        <v>1700</v>
      </c>
      <c r="N2612" s="85">
        <f t="shared" si="286"/>
        <v>0</v>
      </c>
      <c r="O2612" s="85">
        <f t="shared" si="286"/>
        <v>0</v>
      </c>
      <c r="P2612" s="85">
        <f t="shared" si="286"/>
        <v>0</v>
      </c>
      <c r="Q2612" s="85">
        <f t="shared" si="286"/>
        <v>0</v>
      </c>
      <c r="R2612" s="85">
        <f t="shared" si="286"/>
        <v>0</v>
      </c>
      <c r="S2612" s="85">
        <f t="shared" si="286"/>
        <v>0</v>
      </c>
      <c r="T2612" s="85">
        <f t="shared" si="286"/>
        <v>0</v>
      </c>
      <c r="U2612" s="85">
        <f t="shared" si="286"/>
        <v>0</v>
      </c>
      <c r="V2612" s="85">
        <f t="shared" si="286"/>
        <v>1700</v>
      </c>
      <c r="W2612" s="85">
        <f t="shared" si="286"/>
        <v>0</v>
      </c>
      <c r="X2612" s="85">
        <f t="shared" si="285"/>
        <v>1700</v>
      </c>
      <c r="Y2612" s="85">
        <f t="shared" si="286"/>
        <v>0</v>
      </c>
      <c r="Z2612" s="85">
        <f>+E2612-X2612</f>
        <v>0</v>
      </c>
      <c r="AA2612" s="69">
        <f t="shared" si="286"/>
        <v>1700</v>
      </c>
      <c r="AB2612" s="69">
        <f t="shared" si="286"/>
        <v>0</v>
      </c>
    </row>
    <row r="2613" spans="1:28" hidden="1" x14ac:dyDescent="0.3">
      <c r="A2613" s="117"/>
      <c r="E2613" s="86" t="s">
        <v>29</v>
      </c>
      <c r="F2613" s="86" t="s">
        <v>29</v>
      </c>
      <c r="G2613" s="86" t="s">
        <v>29</v>
      </c>
      <c r="H2613" s="86" t="s">
        <v>29</v>
      </c>
      <c r="I2613" s="86" t="s">
        <v>29</v>
      </c>
      <c r="J2613" s="86" t="s">
        <v>29</v>
      </c>
      <c r="K2613" s="86" t="s">
        <v>29</v>
      </c>
      <c r="L2613" s="86" t="s">
        <v>29</v>
      </c>
      <c r="M2613" s="86" t="s">
        <v>29</v>
      </c>
      <c r="N2613" s="86" t="s">
        <v>29</v>
      </c>
      <c r="O2613" s="86" t="s">
        <v>29</v>
      </c>
      <c r="P2613" s="86" t="s">
        <v>29</v>
      </c>
      <c r="Q2613" s="86" t="s">
        <v>29</v>
      </c>
      <c r="R2613" s="86" t="s">
        <v>29</v>
      </c>
      <c r="S2613" s="86" t="s">
        <v>29</v>
      </c>
      <c r="T2613" s="86" t="s">
        <v>29</v>
      </c>
      <c r="U2613" s="86" t="s">
        <v>29</v>
      </c>
      <c r="V2613" s="86" t="s">
        <v>29</v>
      </c>
      <c r="W2613" s="86" t="s">
        <v>29</v>
      </c>
      <c r="X2613" s="85" t="e">
        <f t="shared" si="285"/>
        <v>#VALUE!</v>
      </c>
      <c r="Y2613" s="86" t="s">
        <v>29</v>
      </c>
      <c r="Z2613" s="86" t="s">
        <v>29</v>
      </c>
      <c r="AA2613" s="115" t="s">
        <v>29</v>
      </c>
      <c r="AB2613" s="115" t="s">
        <v>29</v>
      </c>
    </row>
    <row r="2614" spans="1:28" hidden="1" x14ac:dyDescent="0.3">
      <c r="A2614" s="117"/>
      <c r="E2614" s="84"/>
      <c r="F2614" s="84"/>
      <c r="G2614" s="84"/>
      <c r="H2614" s="84"/>
      <c r="I2614" s="84"/>
      <c r="J2614" s="84"/>
      <c r="K2614" s="84"/>
      <c r="L2614" s="84"/>
      <c r="M2614" s="84"/>
      <c r="N2614" s="84"/>
      <c r="O2614" s="84"/>
      <c r="P2614" s="84"/>
      <c r="Q2614" s="84"/>
      <c r="R2614" s="84"/>
      <c r="S2614" s="84"/>
      <c r="T2614" s="84"/>
      <c r="U2614" s="84"/>
      <c r="V2614" s="84"/>
      <c r="W2614" s="84"/>
      <c r="X2614" s="85">
        <f t="shared" si="285"/>
        <v>0</v>
      </c>
      <c r="Y2614" s="84"/>
      <c r="Z2614" s="84"/>
    </row>
    <row r="2615" spans="1:28" hidden="1" x14ac:dyDescent="0.3">
      <c r="A2615" s="105"/>
      <c r="E2615" s="84"/>
      <c r="F2615" s="84"/>
      <c r="G2615" s="84"/>
      <c r="H2615" s="84"/>
      <c r="I2615" s="84"/>
      <c r="J2615" s="84"/>
      <c r="K2615" s="84"/>
      <c r="L2615" s="84"/>
      <c r="M2615" s="84"/>
      <c r="N2615" s="84"/>
      <c r="O2615" s="84"/>
      <c r="P2615" s="84"/>
      <c r="Q2615" s="84"/>
      <c r="R2615" s="84"/>
      <c r="S2615" s="84"/>
      <c r="T2615" s="84"/>
      <c r="U2615" s="84"/>
      <c r="V2615" s="84"/>
      <c r="W2615" s="84"/>
      <c r="X2615" s="85">
        <f t="shared" si="285"/>
        <v>0</v>
      </c>
      <c r="Y2615" s="84"/>
      <c r="Z2615" s="84"/>
    </row>
    <row r="2616" spans="1:28" hidden="1" x14ac:dyDescent="0.3">
      <c r="A2616" s="117"/>
      <c r="C2616" s="68" t="s">
        <v>57</v>
      </c>
      <c r="D2616" s="145" t="s">
        <v>455</v>
      </c>
      <c r="E2616" s="85">
        <f>STATS1003B!E2624/1000</f>
        <v>10007.897939999999</v>
      </c>
      <c r="F2616" s="85">
        <f>STATS1003B!F2624/1000</f>
        <v>9820.8898599999993</v>
      </c>
      <c r="G2616" s="85">
        <f>STATS1003B!G2624/1000</f>
        <v>0</v>
      </c>
      <c r="H2616" s="85">
        <f>STATS1003B!H2624/1000</f>
        <v>9820.8898599999993</v>
      </c>
      <c r="I2616" s="85">
        <f>STATS1003B!I2624/1000</f>
        <v>0</v>
      </c>
      <c r="J2616" s="85">
        <f>STATS1003B!J2624/1000</f>
        <v>0</v>
      </c>
      <c r="K2616" s="85">
        <f>STATS1003B!K2624/1000</f>
        <v>0</v>
      </c>
      <c r="L2616" s="85">
        <f>STATS1003B!L2624/1000</f>
        <v>0</v>
      </c>
      <c r="M2616" s="85">
        <f>STATS1003B!M2624/1000</f>
        <v>9820.8898599999993</v>
      </c>
      <c r="N2616" s="85">
        <f>STATS1003B!N2624/1000</f>
        <v>187.00807999999998</v>
      </c>
      <c r="O2616" s="85">
        <f>STATS1003B!O2624/1000</f>
        <v>0</v>
      </c>
      <c r="P2616" s="85">
        <f>STATS1003B!P2624/1000</f>
        <v>187.00807999999998</v>
      </c>
      <c r="Q2616" s="85">
        <f>STATS1003B!Q2624/1000</f>
        <v>0</v>
      </c>
      <c r="R2616" s="85">
        <f>STATS1003B!R2624/1000</f>
        <v>0</v>
      </c>
      <c r="S2616" s="85">
        <f>STATS1003B!S2624/1000</f>
        <v>0</v>
      </c>
      <c r="T2616" s="85">
        <f>STATS1003B!T2624/1000</f>
        <v>0</v>
      </c>
      <c r="U2616" s="85">
        <f>STATS1003B!U2624/1000</f>
        <v>187.00807999999998</v>
      </c>
      <c r="V2616" s="85">
        <f>STATS1003B!V2624/1000</f>
        <v>10007.897939999999</v>
      </c>
      <c r="W2616" s="85">
        <f>STATS1003B!W2624/1000</f>
        <v>0</v>
      </c>
      <c r="X2616" s="85">
        <f t="shared" si="285"/>
        <v>10007.897939999999</v>
      </c>
      <c r="Y2616" s="85">
        <f>STATS1003B!Y2624/1000</f>
        <v>0</v>
      </c>
      <c r="Z2616" s="85">
        <f>STATS1003B!Z2624/1000</f>
        <v>0</v>
      </c>
      <c r="AA2616" s="69">
        <f>STATS1003B!AA2624/1000</f>
        <v>10007.897939999999</v>
      </c>
      <c r="AB2616" s="69">
        <f>STATS1003B!AB2624/1000</f>
        <v>0</v>
      </c>
    </row>
    <row r="2617" spans="1:28" hidden="1" x14ac:dyDescent="0.3">
      <c r="A2617" s="117"/>
      <c r="C2617" s="68" t="s">
        <v>53</v>
      </c>
      <c r="D2617" s="145" t="s">
        <v>54</v>
      </c>
      <c r="E2617" s="85">
        <f>STATS1003B!E2625/1000</f>
        <v>1953.989</v>
      </c>
      <c r="F2617" s="85">
        <f>STATS1003B!F2625/1000</f>
        <v>0</v>
      </c>
      <c r="G2617" s="85">
        <f>STATS1003B!G2625/1000</f>
        <v>0</v>
      </c>
      <c r="H2617" s="85">
        <f>STATS1003B!H2625/1000</f>
        <v>0</v>
      </c>
      <c r="I2617" s="85">
        <f>STATS1003B!I2625/1000</f>
        <v>0</v>
      </c>
      <c r="J2617" s="85">
        <f>STATS1003B!J2625/1000</f>
        <v>0</v>
      </c>
      <c r="K2617" s="85">
        <f>STATS1003B!K2625/1000</f>
        <v>0</v>
      </c>
      <c r="L2617" s="85">
        <f>STATS1003B!L2625/1000</f>
        <v>0</v>
      </c>
      <c r="M2617" s="85">
        <f>STATS1003B!M2625/1000</f>
        <v>0</v>
      </c>
      <c r="N2617" s="85">
        <f>STATS1003B!N2625/1000</f>
        <v>1953.989</v>
      </c>
      <c r="O2617" s="85">
        <f>STATS1003B!O2625/1000</f>
        <v>0</v>
      </c>
      <c r="P2617" s="85">
        <f>STATS1003B!P2625/1000</f>
        <v>1953.989</v>
      </c>
      <c r="Q2617" s="85">
        <f>STATS1003B!Q2625/1000</f>
        <v>0</v>
      </c>
      <c r="R2617" s="85">
        <f>STATS1003B!R2625/1000</f>
        <v>0</v>
      </c>
      <c r="S2617" s="85">
        <f>STATS1003B!S2625/1000</f>
        <v>0</v>
      </c>
      <c r="T2617" s="85">
        <f>STATS1003B!T2625/1000</f>
        <v>0</v>
      </c>
      <c r="U2617" s="85">
        <f>STATS1003B!U2625/1000</f>
        <v>1953.989</v>
      </c>
      <c r="V2617" s="85">
        <f>STATS1003B!V2625/1000</f>
        <v>1953.989</v>
      </c>
      <c r="W2617" s="85">
        <f>STATS1003B!W2625/1000</f>
        <v>0</v>
      </c>
      <c r="X2617" s="85">
        <f t="shared" si="285"/>
        <v>1953.989</v>
      </c>
      <c r="Y2617" s="85">
        <f>STATS1003B!Y2625/1000</f>
        <v>0</v>
      </c>
      <c r="Z2617" s="85">
        <f>STATS1003B!Z2625/1000</f>
        <v>0</v>
      </c>
      <c r="AA2617" s="69">
        <f>STATS1003B!AA2625/1000</f>
        <v>1953.989</v>
      </c>
      <c r="AB2617" s="69">
        <f>STATS1003B!AB2625/1000</f>
        <v>0</v>
      </c>
    </row>
    <row r="2618" spans="1:28" hidden="1" x14ac:dyDescent="0.3">
      <c r="A2618" s="117"/>
      <c r="C2618" s="68" t="s">
        <v>456</v>
      </c>
      <c r="D2618" s="145" t="s">
        <v>85</v>
      </c>
      <c r="E2618" s="85">
        <f>STATS1003B!E2626/1000</f>
        <v>1760</v>
      </c>
      <c r="F2618" s="85">
        <f>STATS1003B!F2626/1000</f>
        <v>1760</v>
      </c>
      <c r="G2618" s="85">
        <f>STATS1003B!G2626/1000</f>
        <v>0</v>
      </c>
      <c r="H2618" s="85">
        <f>STATS1003B!H2626/1000</f>
        <v>1760</v>
      </c>
      <c r="I2618" s="85">
        <f>STATS1003B!I2626/1000</f>
        <v>0</v>
      </c>
      <c r="J2618" s="85">
        <f>STATS1003B!J2626/1000</f>
        <v>0</v>
      </c>
      <c r="K2618" s="85">
        <f>STATS1003B!K2626/1000</f>
        <v>0</v>
      </c>
      <c r="L2618" s="85">
        <f>STATS1003B!L2626/1000</f>
        <v>0</v>
      </c>
      <c r="M2618" s="85">
        <f>STATS1003B!M2626/1000</f>
        <v>1760</v>
      </c>
      <c r="N2618" s="85">
        <f>STATS1003B!N2626/1000</f>
        <v>0</v>
      </c>
      <c r="O2618" s="85">
        <f>STATS1003B!O2626/1000</f>
        <v>0</v>
      </c>
      <c r="P2618" s="85">
        <f>STATS1003B!P2626/1000</f>
        <v>0</v>
      </c>
      <c r="Q2618" s="85">
        <f>STATS1003B!Q2626/1000</f>
        <v>0</v>
      </c>
      <c r="R2618" s="85">
        <f>STATS1003B!R2626/1000</f>
        <v>0</v>
      </c>
      <c r="S2618" s="85">
        <f>STATS1003B!S2626/1000</f>
        <v>0</v>
      </c>
      <c r="T2618" s="85">
        <f>STATS1003B!T2626/1000</f>
        <v>0</v>
      </c>
      <c r="U2618" s="85">
        <f>STATS1003B!U2626/1000</f>
        <v>0</v>
      </c>
      <c r="V2618" s="85">
        <f>STATS1003B!V2626/1000</f>
        <v>1760</v>
      </c>
      <c r="W2618" s="85">
        <f>STATS1003B!W2626/1000</f>
        <v>0</v>
      </c>
      <c r="X2618" s="85">
        <f t="shared" si="285"/>
        <v>1760</v>
      </c>
      <c r="Y2618" s="85">
        <f>STATS1003B!Y2626/1000</f>
        <v>0</v>
      </c>
      <c r="Z2618" s="85">
        <f>STATS1003B!Z2626/1000</f>
        <v>0</v>
      </c>
      <c r="AA2618" s="69">
        <f>STATS1003B!AA2626/1000</f>
        <v>1760</v>
      </c>
      <c r="AB2618" s="69">
        <f>STATS1003B!AB2626/1000</f>
        <v>0</v>
      </c>
    </row>
    <row r="2619" spans="1:28" hidden="1" x14ac:dyDescent="0.3">
      <c r="A2619" s="117"/>
      <c r="C2619" s="68" t="s">
        <v>457</v>
      </c>
      <c r="D2619" s="145" t="s">
        <v>128</v>
      </c>
      <c r="E2619" s="85">
        <f>STATS1003B!E2627/1000</f>
        <v>955.34561999999994</v>
      </c>
      <c r="F2619" s="85">
        <f>STATS1003B!F2627/1000</f>
        <v>0</v>
      </c>
      <c r="G2619" s="85">
        <f>STATS1003B!G2627/1000</f>
        <v>0</v>
      </c>
      <c r="H2619" s="85">
        <f>STATS1003B!H2627/1000</f>
        <v>0</v>
      </c>
      <c r="I2619" s="85">
        <f>STATS1003B!I2627/1000</f>
        <v>0</v>
      </c>
      <c r="J2619" s="85">
        <f>STATS1003B!J2627/1000</f>
        <v>0</v>
      </c>
      <c r="K2619" s="85">
        <f>STATS1003B!K2627/1000</f>
        <v>0</v>
      </c>
      <c r="L2619" s="85">
        <f>STATS1003B!L2627/1000</f>
        <v>0</v>
      </c>
      <c r="M2619" s="85">
        <f>STATS1003B!M2627/1000</f>
        <v>0</v>
      </c>
      <c r="N2619" s="85">
        <f>STATS1003B!N2627/1000</f>
        <v>955.34561999999994</v>
      </c>
      <c r="O2619" s="85">
        <f>STATS1003B!O2627/1000</f>
        <v>0</v>
      </c>
      <c r="P2619" s="85">
        <f>STATS1003B!P2627/1000</f>
        <v>955.34561999999994</v>
      </c>
      <c r="Q2619" s="85">
        <f>STATS1003B!Q2627/1000</f>
        <v>0</v>
      </c>
      <c r="R2619" s="85">
        <f>STATS1003B!R2627/1000</f>
        <v>0</v>
      </c>
      <c r="S2619" s="85">
        <f>STATS1003B!S2627/1000</f>
        <v>0</v>
      </c>
      <c r="T2619" s="85">
        <f>STATS1003B!T2627/1000</f>
        <v>0</v>
      </c>
      <c r="U2619" s="85">
        <f>STATS1003B!U2627/1000</f>
        <v>955.34561999999994</v>
      </c>
      <c r="V2619" s="85">
        <f>STATS1003B!V2627/1000</f>
        <v>955.34561999999994</v>
      </c>
      <c r="W2619" s="85">
        <f>STATS1003B!W2627/1000</f>
        <v>0</v>
      </c>
      <c r="X2619" s="85">
        <f t="shared" si="285"/>
        <v>955.34561999999994</v>
      </c>
      <c r="Y2619" s="85">
        <f>STATS1003B!Y2627/1000</f>
        <v>0</v>
      </c>
      <c r="Z2619" s="85">
        <f>STATS1003B!Z2627/1000</f>
        <v>0</v>
      </c>
      <c r="AA2619" s="69">
        <f>STATS1003B!AA2627/1000</f>
        <v>955.34561999999994</v>
      </c>
      <c r="AB2619" s="69">
        <f>STATS1003B!AB2627/1000</f>
        <v>0</v>
      </c>
    </row>
    <row r="2620" spans="1:28" hidden="1" x14ac:dyDescent="0.3">
      <c r="A2620" s="117"/>
      <c r="C2620" s="68" t="s">
        <v>55</v>
      </c>
      <c r="D2620" s="145" t="s">
        <v>128</v>
      </c>
      <c r="E2620" s="85">
        <f>STATS1003B!E2628/1000</f>
        <v>365.60624999999999</v>
      </c>
      <c r="F2620" s="85">
        <f>STATS1003B!F2628/1000</f>
        <v>0</v>
      </c>
      <c r="G2620" s="85">
        <f>STATS1003B!G2628/1000</f>
        <v>0</v>
      </c>
      <c r="H2620" s="85">
        <f>STATS1003B!H2628/1000</f>
        <v>0</v>
      </c>
      <c r="I2620" s="85">
        <f>STATS1003B!I2628/1000</f>
        <v>0</v>
      </c>
      <c r="J2620" s="85">
        <f>STATS1003B!J2628/1000</f>
        <v>0</v>
      </c>
      <c r="K2620" s="85">
        <f>STATS1003B!K2628/1000</f>
        <v>0</v>
      </c>
      <c r="L2620" s="85">
        <f>STATS1003B!L2628/1000</f>
        <v>0</v>
      </c>
      <c r="M2620" s="85">
        <f>STATS1003B!M2628/1000</f>
        <v>0</v>
      </c>
      <c r="N2620" s="85">
        <f>STATS1003B!N2628/1000</f>
        <v>365.60624999999999</v>
      </c>
      <c r="O2620" s="85">
        <f>STATS1003B!O2628/1000</f>
        <v>0</v>
      </c>
      <c r="P2620" s="85">
        <f>STATS1003B!P2628/1000</f>
        <v>365.60624999999999</v>
      </c>
      <c r="Q2620" s="85">
        <f>STATS1003B!Q2628/1000</f>
        <v>0</v>
      </c>
      <c r="R2620" s="85">
        <f>STATS1003B!R2628/1000</f>
        <v>0</v>
      </c>
      <c r="S2620" s="85">
        <f>STATS1003B!S2628/1000</f>
        <v>0</v>
      </c>
      <c r="T2620" s="85">
        <f>STATS1003B!T2628/1000</f>
        <v>0</v>
      </c>
      <c r="U2620" s="85">
        <f>STATS1003B!U2628/1000</f>
        <v>365.60624999999999</v>
      </c>
      <c r="V2620" s="85">
        <f>STATS1003B!V2628/1000</f>
        <v>365.60624999999999</v>
      </c>
      <c r="W2620" s="85">
        <f>STATS1003B!W2628/1000</f>
        <v>0</v>
      </c>
      <c r="X2620" s="85">
        <f t="shared" si="285"/>
        <v>365.60624999999999</v>
      </c>
      <c r="Y2620" s="85">
        <f>STATS1003B!Y2628/1000</f>
        <v>0</v>
      </c>
      <c r="Z2620" s="85">
        <f>STATS1003B!Z2628/1000</f>
        <v>0</v>
      </c>
      <c r="AA2620" s="69">
        <f>STATS1003B!AA2628/1000</f>
        <v>365.60624999999999</v>
      </c>
      <c r="AB2620" s="69">
        <f>STATS1003B!AB2628/1000</f>
        <v>0</v>
      </c>
    </row>
    <row r="2621" spans="1:28" hidden="1" x14ac:dyDescent="0.3">
      <c r="A2621" s="117"/>
      <c r="C2621" s="68" t="s">
        <v>225</v>
      </c>
      <c r="D2621" s="145" t="s">
        <v>85</v>
      </c>
      <c r="E2621" s="85">
        <f>STATS1003B!E2629/1000</f>
        <v>80</v>
      </c>
      <c r="F2621" s="85">
        <f>STATS1003B!F2629/1000</f>
        <v>0</v>
      </c>
      <c r="G2621" s="85">
        <f>STATS1003B!G2629/1000</f>
        <v>0</v>
      </c>
      <c r="H2621" s="85">
        <f>STATS1003B!H2629/1000</f>
        <v>0</v>
      </c>
      <c r="I2621" s="85">
        <f>STATS1003B!I2629/1000</f>
        <v>0</v>
      </c>
      <c r="J2621" s="85">
        <f>STATS1003B!J2629/1000</f>
        <v>0</v>
      </c>
      <c r="K2621" s="85">
        <f>STATS1003B!K2629/1000</f>
        <v>0</v>
      </c>
      <c r="L2621" s="85">
        <f>STATS1003B!L2629/1000</f>
        <v>0</v>
      </c>
      <c r="M2621" s="85">
        <f>STATS1003B!M2629/1000</f>
        <v>0</v>
      </c>
      <c r="N2621" s="85">
        <f>STATS1003B!N2629/1000</f>
        <v>0</v>
      </c>
      <c r="O2621" s="85">
        <f>STATS1003B!O2629/1000</f>
        <v>0</v>
      </c>
      <c r="P2621" s="85">
        <f>STATS1003B!P2629/1000</f>
        <v>0</v>
      </c>
      <c r="Q2621" s="85">
        <f>STATS1003B!Q2629/1000</f>
        <v>0</v>
      </c>
      <c r="R2621" s="85">
        <f>STATS1003B!R2629/1000</f>
        <v>0</v>
      </c>
      <c r="S2621" s="85">
        <f>STATS1003B!S2629/1000</f>
        <v>0</v>
      </c>
      <c r="T2621" s="85">
        <f>STATS1003B!T2629/1000</f>
        <v>0</v>
      </c>
      <c r="U2621" s="85">
        <f>STATS1003B!U2629/1000</f>
        <v>0</v>
      </c>
      <c r="V2621" s="85">
        <f>STATS1003B!V2629/1000</f>
        <v>0</v>
      </c>
      <c r="W2621" s="85">
        <f>STATS1003B!W2629/1000</f>
        <v>80</v>
      </c>
      <c r="X2621" s="85">
        <f t="shared" si="285"/>
        <v>0</v>
      </c>
      <c r="Y2621" s="85">
        <f>STATS1003B!Y2629/1000</f>
        <v>0</v>
      </c>
      <c r="Z2621" s="85">
        <f>STATS1003B!Z2629/1000</f>
        <v>80</v>
      </c>
      <c r="AA2621" s="69">
        <f>STATS1003B!AA2629/1000</f>
        <v>0</v>
      </c>
      <c r="AB2621" s="69">
        <f>STATS1003B!AB2629/1000</f>
        <v>80</v>
      </c>
    </row>
    <row r="2622" spans="1:28" hidden="1" x14ac:dyDescent="0.3">
      <c r="A2622" s="117"/>
      <c r="C2622" s="68" t="s">
        <v>57</v>
      </c>
      <c r="D2622" s="145" t="s">
        <v>58</v>
      </c>
      <c r="E2622" s="85">
        <f>STATS1003B!E2630/1000</f>
        <v>15233.813</v>
      </c>
      <c r="F2622" s="85">
        <f>STATS1003B!F2630/1000</f>
        <v>15233.813</v>
      </c>
      <c r="G2622" s="85">
        <f>STATS1003B!G2630/1000</f>
        <v>0</v>
      </c>
      <c r="H2622" s="85">
        <f>STATS1003B!H2630/1000</f>
        <v>15233.813</v>
      </c>
      <c r="I2622" s="85">
        <f>STATS1003B!I2630/1000</f>
        <v>0</v>
      </c>
      <c r="J2622" s="85">
        <f>STATS1003B!J2630/1000</f>
        <v>0</v>
      </c>
      <c r="K2622" s="85">
        <f>STATS1003B!K2630/1000</f>
        <v>0</v>
      </c>
      <c r="L2622" s="85">
        <f>STATS1003B!L2630/1000</f>
        <v>0</v>
      </c>
      <c r="M2622" s="85">
        <f>STATS1003B!M2630/1000</f>
        <v>15233.813</v>
      </c>
      <c r="N2622" s="85">
        <f>STATS1003B!N2630/1000</f>
        <v>0</v>
      </c>
      <c r="O2622" s="85">
        <f>STATS1003B!O2630/1000</f>
        <v>0</v>
      </c>
      <c r="P2622" s="85">
        <f>STATS1003B!P2630/1000</f>
        <v>0</v>
      </c>
      <c r="Q2622" s="85">
        <f>STATS1003B!Q2630/1000</f>
        <v>0</v>
      </c>
      <c r="R2622" s="85">
        <f>STATS1003B!R2630/1000</f>
        <v>0</v>
      </c>
      <c r="S2622" s="85">
        <f>STATS1003B!S2630/1000</f>
        <v>0</v>
      </c>
      <c r="T2622" s="85">
        <f>STATS1003B!T2630/1000</f>
        <v>0</v>
      </c>
      <c r="U2622" s="85">
        <f>STATS1003B!U2630/1000</f>
        <v>0</v>
      </c>
      <c r="V2622" s="85">
        <f>STATS1003B!V2630/1000</f>
        <v>15233.813</v>
      </c>
      <c r="W2622" s="85">
        <f>STATS1003B!W2630/1000</f>
        <v>0</v>
      </c>
      <c r="X2622" s="85">
        <f t="shared" si="285"/>
        <v>15233.813</v>
      </c>
      <c r="Y2622" s="85">
        <f>STATS1003B!Y2630/1000</f>
        <v>0</v>
      </c>
      <c r="Z2622" s="85">
        <f>STATS1003B!Z2630/1000</f>
        <v>0</v>
      </c>
      <c r="AA2622" s="69">
        <f>STATS1003B!AA2630/1000</f>
        <v>15233.813</v>
      </c>
      <c r="AB2622" s="69">
        <f>STATS1003B!AB2630/1000</f>
        <v>0</v>
      </c>
    </row>
    <row r="2623" spans="1:28" hidden="1" x14ac:dyDescent="0.3">
      <c r="A2623" s="117"/>
      <c r="C2623" s="71" t="s">
        <v>109</v>
      </c>
      <c r="D2623" s="88" t="s">
        <v>60</v>
      </c>
      <c r="E2623" s="85">
        <f>STATS1003B!E2631/1000</f>
        <v>9362.3724999999995</v>
      </c>
      <c r="F2623" s="85">
        <f>STATS1003B!F2631/1000</f>
        <v>9362.3724999999995</v>
      </c>
      <c r="G2623" s="85">
        <f>STATS1003B!G2631/1000</f>
        <v>0</v>
      </c>
      <c r="H2623" s="85">
        <f>STATS1003B!H2631/1000</f>
        <v>9362.3724999999995</v>
      </c>
      <c r="I2623" s="85">
        <f>STATS1003B!I2631/1000</f>
        <v>0</v>
      </c>
      <c r="J2623" s="85">
        <f>STATS1003B!J2631/1000</f>
        <v>0</v>
      </c>
      <c r="K2623" s="85">
        <f>STATS1003B!K2631/1000</f>
        <v>0</v>
      </c>
      <c r="L2623" s="85">
        <f>STATS1003B!L2631/1000</f>
        <v>0</v>
      </c>
      <c r="M2623" s="85">
        <f>STATS1003B!M2631/1000</f>
        <v>9362.3724999999995</v>
      </c>
      <c r="N2623" s="85">
        <f>STATS1003B!N2631/1000</f>
        <v>0</v>
      </c>
      <c r="O2623" s="85">
        <f>STATS1003B!O2631/1000</f>
        <v>0</v>
      </c>
      <c r="P2623" s="85">
        <f>STATS1003B!P2631/1000</f>
        <v>0</v>
      </c>
      <c r="Q2623" s="85">
        <f>STATS1003B!Q2631/1000</f>
        <v>0</v>
      </c>
      <c r="R2623" s="85">
        <f>STATS1003B!R2631/1000</f>
        <v>0</v>
      </c>
      <c r="S2623" s="85">
        <f>STATS1003B!S2631/1000</f>
        <v>0</v>
      </c>
      <c r="T2623" s="85">
        <f>STATS1003B!T2631/1000</f>
        <v>0</v>
      </c>
      <c r="U2623" s="85">
        <f>STATS1003B!U2631/1000</f>
        <v>0</v>
      </c>
      <c r="V2623" s="85">
        <f>STATS1003B!V2631/1000</f>
        <v>9362.3724999999995</v>
      </c>
      <c r="W2623" s="85">
        <f>STATS1003B!W2631/1000</f>
        <v>0</v>
      </c>
      <c r="X2623" s="85">
        <f t="shared" si="285"/>
        <v>9362.3724999999995</v>
      </c>
      <c r="Y2623" s="85">
        <f>STATS1003B!Y2631/1000</f>
        <v>0</v>
      </c>
      <c r="Z2623" s="85">
        <f>STATS1003B!Z2631/1000</f>
        <v>0</v>
      </c>
      <c r="AA2623" s="69">
        <f>STATS1003B!AA2631/1000</f>
        <v>9362.3724999999995</v>
      </c>
      <c r="AB2623" s="69">
        <f>STATS1003B!AB2631/1000</f>
        <v>0</v>
      </c>
    </row>
    <row r="2624" spans="1:28" hidden="1" x14ac:dyDescent="0.3">
      <c r="A2624" s="117"/>
      <c r="C2624" s="68" t="s">
        <v>57</v>
      </c>
      <c r="D2624" s="145" t="s">
        <v>60</v>
      </c>
      <c r="E2624" s="85">
        <f>STATS1003B!E2632/1000</f>
        <v>5000</v>
      </c>
      <c r="F2624" s="85">
        <f>STATS1003B!F2632/1000</f>
        <v>5000</v>
      </c>
      <c r="G2624" s="85">
        <f>STATS1003B!G2632/1000</f>
        <v>0</v>
      </c>
      <c r="H2624" s="85">
        <f>STATS1003B!H2632/1000</f>
        <v>5000</v>
      </c>
      <c r="I2624" s="85">
        <f>STATS1003B!I2632/1000</f>
        <v>0</v>
      </c>
      <c r="J2624" s="85">
        <f>STATS1003B!J2632/1000</f>
        <v>0</v>
      </c>
      <c r="K2624" s="85">
        <f>STATS1003B!K2632/1000</f>
        <v>0</v>
      </c>
      <c r="L2624" s="85">
        <f>STATS1003B!L2632/1000</f>
        <v>0</v>
      </c>
      <c r="M2624" s="85">
        <f>STATS1003B!M2632/1000</f>
        <v>5000</v>
      </c>
      <c r="N2624" s="85">
        <f>STATS1003B!N2632/1000</f>
        <v>0</v>
      </c>
      <c r="O2624" s="85">
        <f>STATS1003B!O2632/1000</f>
        <v>0</v>
      </c>
      <c r="P2624" s="85">
        <f>STATS1003B!P2632/1000</f>
        <v>0</v>
      </c>
      <c r="Q2624" s="85">
        <f>STATS1003B!Q2632/1000</f>
        <v>0</v>
      </c>
      <c r="R2624" s="85">
        <f>STATS1003B!R2632/1000</f>
        <v>0</v>
      </c>
      <c r="S2624" s="85">
        <f>STATS1003B!S2632/1000</f>
        <v>0</v>
      </c>
      <c r="T2624" s="85">
        <f>STATS1003B!T2632/1000</f>
        <v>0</v>
      </c>
      <c r="U2624" s="85">
        <f>STATS1003B!U2632/1000</f>
        <v>0</v>
      </c>
      <c r="V2624" s="85">
        <f>STATS1003B!V2632/1000</f>
        <v>5000</v>
      </c>
      <c r="W2624" s="85">
        <f>STATS1003B!W2632/1000</f>
        <v>0</v>
      </c>
      <c r="X2624" s="85">
        <f t="shared" si="285"/>
        <v>5000</v>
      </c>
      <c r="Y2624" s="85">
        <f>STATS1003B!Y2632/1000</f>
        <v>0</v>
      </c>
      <c r="Z2624" s="85">
        <f>STATS1003B!Z2632/1000</f>
        <v>0</v>
      </c>
      <c r="AA2624" s="69">
        <f>STATS1003B!AA2632/1000</f>
        <v>5000</v>
      </c>
      <c r="AB2624" s="69">
        <f>STATS1003B!AB2632/1000</f>
        <v>0</v>
      </c>
    </row>
    <row r="2625" spans="1:28" hidden="1" x14ac:dyDescent="0.3">
      <c r="A2625" s="117"/>
      <c r="C2625" s="68" t="s">
        <v>928</v>
      </c>
      <c r="D2625" s="145"/>
      <c r="E2625" s="85">
        <f>STATS1003B!E2633/1000</f>
        <v>3111</v>
      </c>
      <c r="F2625" s="85">
        <f>STATS1003B!F2633/1000</f>
        <v>2059</v>
      </c>
      <c r="G2625" s="85">
        <f>STATS1003B!G2633/1000</f>
        <v>0</v>
      </c>
      <c r="H2625" s="85">
        <f>STATS1003B!H2633/1000</f>
        <v>2059</v>
      </c>
      <c r="I2625" s="85">
        <f>STATS1003B!I2633/1000</f>
        <v>0</v>
      </c>
      <c r="J2625" s="85">
        <f>STATS1003B!J2633/1000</f>
        <v>0</v>
      </c>
      <c r="K2625" s="85">
        <f>STATS1003B!K2633/1000</f>
        <v>0</v>
      </c>
      <c r="L2625" s="85">
        <f>STATS1003B!L2633/1000</f>
        <v>0</v>
      </c>
      <c r="M2625" s="85">
        <f>STATS1003B!M2633/1000</f>
        <v>2059</v>
      </c>
      <c r="N2625" s="85">
        <f>STATS1003B!N2633/1000</f>
        <v>0</v>
      </c>
      <c r="O2625" s="85">
        <f>STATS1003B!O2633/1000</f>
        <v>0</v>
      </c>
      <c r="P2625" s="85">
        <f>STATS1003B!P2633/1000</f>
        <v>0</v>
      </c>
      <c r="Q2625" s="85">
        <f>STATS1003B!Q2633/1000</f>
        <v>0</v>
      </c>
      <c r="R2625" s="85">
        <f>STATS1003B!R2633/1000</f>
        <v>0</v>
      </c>
      <c r="S2625" s="85">
        <f>STATS1003B!S2633/1000</f>
        <v>0</v>
      </c>
      <c r="T2625" s="85">
        <f>STATS1003B!T2633/1000</f>
        <v>0</v>
      </c>
      <c r="U2625" s="85">
        <f>STATS1003B!U2633/1000</f>
        <v>0</v>
      </c>
      <c r="V2625" s="85">
        <f>STATS1003B!V2633/1000</f>
        <v>2059</v>
      </c>
      <c r="W2625" s="85">
        <f>STATS1003B!W2633/1000</f>
        <v>1052</v>
      </c>
      <c r="X2625" s="85">
        <f t="shared" si="285"/>
        <v>2059</v>
      </c>
      <c r="Y2625" s="85">
        <f>STATS1003B!Y2633/1000</f>
        <v>0</v>
      </c>
      <c r="Z2625" s="85">
        <f>STATS1003B!Z2633/1000</f>
        <v>1052</v>
      </c>
      <c r="AA2625" s="69">
        <f>STATS1003B!AA2633/1000</f>
        <v>2059</v>
      </c>
      <c r="AB2625" s="69">
        <f>STATS1003B!AB2633/1000</f>
        <v>1052</v>
      </c>
    </row>
    <row r="2626" spans="1:28" hidden="1" x14ac:dyDescent="0.3">
      <c r="A2626" s="117"/>
      <c r="C2626" s="68" t="s">
        <v>930</v>
      </c>
      <c r="D2626" s="90" t="s">
        <v>1072</v>
      </c>
      <c r="E2626" s="85">
        <f>STATS1003B!E2634/1000</f>
        <v>3252.8783399999998</v>
      </c>
      <c r="F2626" s="85">
        <f>STATS1003B!F2634/1000</f>
        <v>3252.8783399999998</v>
      </c>
      <c r="G2626" s="85">
        <f>STATS1003B!G2634/1000</f>
        <v>0</v>
      </c>
      <c r="H2626" s="85">
        <f>STATS1003B!H2634/1000</f>
        <v>3252.8783399999998</v>
      </c>
      <c r="I2626" s="85">
        <f>STATS1003B!I2634/1000</f>
        <v>0</v>
      </c>
      <c r="J2626" s="85">
        <f>STATS1003B!J2634/1000</f>
        <v>0</v>
      </c>
      <c r="K2626" s="85">
        <f>STATS1003B!K2634/1000</f>
        <v>0</v>
      </c>
      <c r="L2626" s="85">
        <f>STATS1003B!L2634/1000</f>
        <v>0</v>
      </c>
      <c r="M2626" s="85">
        <f>STATS1003B!M2634/1000</f>
        <v>3252.8783399999998</v>
      </c>
      <c r="N2626" s="85">
        <f>STATS1003B!N2634/1000</f>
        <v>0</v>
      </c>
      <c r="O2626" s="85">
        <f>STATS1003B!O2634/1000</f>
        <v>0</v>
      </c>
      <c r="P2626" s="85">
        <f>STATS1003B!P2634/1000</f>
        <v>0</v>
      </c>
      <c r="Q2626" s="85">
        <f>STATS1003B!Q2634/1000</f>
        <v>0</v>
      </c>
      <c r="R2626" s="85">
        <f>STATS1003B!R2634/1000</f>
        <v>0</v>
      </c>
      <c r="S2626" s="85">
        <f>STATS1003B!S2634/1000</f>
        <v>0</v>
      </c>
      <c r="T2626" s="85">
        <f>STATS1003B!T2634/1000</f>
        <v>0</v>
      </c>
      <c r="U2626" s="85">
        <f>STATS1003B!U2634/1000</f>
        <v>0</v>
      </c>
      <c r="V2626" s="85">
        <f>STATS1003B!V2634/1000</f>
        <v>3252.8783399999998</v>
      </c>
      <c r="W2626" s="85">
        <f>STATS1003B!W2634/1000</f>
        <v>0</v>
      </c>
      <c r="X2626" s="85">
        <f t="shared" si="285"/>
        <v>3252.8783399999998</v>
      </c>
      <c r="Y2626" s="85">
        <f>STATS1003B!Y2634/1000</f>
        <v>0</v>
      </c>
      <c r="Z2626" s="85">
        <f>STATS1003B!Z2634/1000</f>
        <v>0</v>
      </c>
      <c r="AA2626" s="69">
        <f>STATS1003B!AA2634/1000</f>
        <v>3252.8783399999998</v>
      </c>
      <c r="AB2626" s="69">
        <f>STATS1003B!AB2634/1000</f>
        <v>0</v>
      </c>
    </row>
    <row r="2627" spans="1:28" hidden="1" x14ac:dyDescent="0.3">
      <c r="A2627" s="117"/>
      <c r="C2627" s="68" t="s">
        <v>1242</v>
      </c>
      <c r="D2627" s="90" t="s">
        <v>1225</v>
      </c>
      <c r="E2627" s="85">
        <f>STATS1003B!E2635/1000</f>
        <v>4276.0126</v>
      </c>
      <c r="F2627" s="85">
        <f>STATS1003B!F2635/1000</f>
        <v>4276.0126</v>
      </c>
      <c r="G2627" s="85">
        <f>STATS1003B!G2635/1000</f>
        <v>0</v>
      </c>
      <c r="H2627" s="85">
        <f>STATS1003B!H2635/1000</f>
        <v>4276.0126</v>
      </c>
      <c r="I2627" s="85">
        <f>STATS1003B!I2635/1000</f>
        <v>0</v>
      </c>
      <c r="J2627" s="85">
        <f>STATS1003B!J2635/1000</f>
        <v>0</v>
      </c>
      <c r="K2627" s="85">
        <f>STATS1003B!K2635/1000</f>
        <v>0</v>
      </c>
      <c r="L2627" s="85">
        <f>STATS1003B!L2635/1000</f>
        <v>0</v>
      </c>
      <c r="M2627" s="85">
        <f>STATS1003B!M2635/1000</f>
        <v>4276.0126</v>
      </c>
      <c r="N2627" s="85">
        <f>STATS1003B!N2635/1000</f>
        <v>0</v>
      </c>
      <c r="O2627" s="85">
        <f>STATS1003B!O2635/1000</f>
        <v>0</v>
      </c>
      <c r="P2627" s="85">
        <f>STATS1003B!P2635/1000</f>
        <v>0</v>
      </c>
      <c r="Q2627" s="85">
        <f>STATS1003B!Q2635/1000</f>
        <v>0</v>
      </c>
      <c r="R2627" s="85">
        <f>STATS1003B!R2635/1000</f>
        <v>0</v>
      </c>
      <c r="S2627" s="85">
        <f>STATS1003B!S2635/1000</f>
        <v>0</v>
      </c>
      <c r="T2627" s="85">
        <f>STATS1003B!T2635/1000</f>
        <v>0</v>
      </c>
      <c r="U2627" s="85">
        <f>STATS1003B!U2635/1000</f>
        <v>0</v>
      </c>
      <c r="V2627" s="85">
        <f>STATS1003B!V2635/1000</f>
        <v>4276.0126</v>
      </c>
      <c r="W2627" s="85">
        <f>STATS1003B!W2635/1000</f>
        <v>0</v>
      </c>
      <c r="X2627" s="85">
        <f t="shared" si="285"/>
        <v>4276.0126</v>
      </c>
      <c r="Y2627" s="85">
        <f>STATS1003B!Y2635/1000</f>
        <v>0</v>
      </c>
      <c r="Z2627" s="85">
        <f>STATS1003B!Z2635/1000</f>
        <v>0</v>
      </c>
      <c r="AA2627" s="69">
        <f>STATS1003B!AA2635/1000</f>
        <v>4276.0126</v>
      </c>
      <c r="AB2627" s="69">
        <f>STATS1003B!AB2635/1000</f>
        <v>0</v>
      </c>
    </row>
    <row r="2628" spans="1:28" hidden="1" x14ac:dyDescent="0.3">
      <c r="A2628" s="117"/>
      <c r="C2628" s="68" t="s">
        <v>1139</v>
      </c>
      <c r="D2628" s="90" t="s">
        <v>1126</v>
      </c>
      <c r="E2628" s="85">
        <f>STATS1003B!E2636/1000</f>
        <v>300</v>
      </c>
      <c r="F2628" s="85">
        <f>STATS1003B!F2636/1000</f>
        <v>300</v>
      </c>
      <c r="G2628" s="85">
        <f>STATS1003B!G2636/1000</f>
        <v>0</v>
      </c>
      <c r="H2628" s="85">
        <f>STATS1003B!H2636/1000</f>
        <v>300</v>
      </c>
      <c r="I2628" s="85">
        <f>STATS1003B!I2636/1000</f>
        <v>0</v>
      </c>
      <c r="J2628" s="85">
        <f>STATS1003B!J2636/1000</f>
        <v>0</v>
      </c>
      <c r="K2628" s="85">
        <f>STATS1003B!K2636/1000</f>
        <v>0</v>
      </c>
      <c r="L2628" s="85">
        <f>STATS1003B!L2636/1000</f>
        <v>0</v>
      </c>
      <c r="M2628" s="85">
        <f>STATS1003B!M2636/1000</f>
        <v>300</v>
      </c>
      <c r="N2628" s="85">
        <f>STATS1003B!N2636/1000</f>
        <v>0</v>
      </c>
      <c r="O2628" s="85">
        <f>STATS1003B!O2636/1000</f>
        <v>0</v>
      </c>
      <c r="P2628" s="85">
        <f>STATS1003B!P2636/1000</f>
        <v>0</v>
      </c>
      <c r="Q2628" s="85">
        <f>STATS1003B!Q2636/1000</f>
        <v>0</v>
      </c>
      <c r="R2628" s="85">
        <f>STATS1003B!R2636/1000</f>
        <v>0</v>
      </c>
      <c r="S2628" s="85">
        <f>STATS1003B!S2636/1000</f>
        <v>0</v>
      </c>
      <c r="T2628" s="85">
        <f>STATS1003B!T2636/1000</f>
        <v>0</v>
      </c>
      <c r="U2628" s="85">
        <f>STATS1003B!U2636/1000</f>
        <v>0</v>
      </c>
      <c r="V2628" s="85">
        <f>STATS1003B!V2636/1000</f>
        <v>0</v>
      </c>
      <c r="W2628" s="85">
        <f>STATS1003B!W2636/1000</f>
        <v>0</v>
      </c>
      <c r="X2628" s="85">
        <f t="shared" si="285"/>
        <v>300</v>
      </c>
      <c r="Y2628" s="85">
        <f>STATS1003B!Y2636/1000</f>
        <v>0</v>
      </c>
      <c r="Z2628" s="85">
        <f>STATS1003B!Z2636/1000</f>
        <v>0</v>
      </c>
      <c r="AA2628" s="69">
        <f>STATS1003B!AA2636/1000</f>
        <v>300</v>
      </c>
      <c r="AB2628" s="69">
        <f>STATS1003B!AB2636/1000</f>
        <v>0</v>
      </c>
    </row>
    <row r="2629" spans="1:28" hidden="1" x14ac:dyDescent="0.3">
      <c r="A2629" s="117"/>
      <c r="C2629" s="68" t="s">
        <v>458</v>
      </c>
      <c r="D2629" s="145" t="s">
        <v>73</v>
      </c>
      <c r="E2629" s="85">
        <f>STATS1003B!E2637/1000</f>
        <v>8712.1010000000006</v>
      </c>
      <c r="F2629" s="85">
        <f>STATS1003B!F2637/1000</f>
        <v>9764.1010000000006</v>
      </c>
      <c r="G2629" s="85">
        <f>STATS1003B!G2637/1000</f>
        <v>0</v>
      </c>
      <c r="H2629" s="85">
        <f>STATS1003B!H2637/1000</f>
        <v>9764.1010000000006</v>
      </c>
      <c r="I2629" s="85">
        <f>STATS1003B!I2637/1000</f>
        <v>1052</v>
      </c>
      <c r="J2629" s="85">
        <f>STATS1003B!J2637/1000</f>
        <v>0</v>
      </c>
      <c r="K2629" s="85">
        <f>STATS1003B!K2637/1000</f>
        <v>0</v>
      </c>
      <c r="L2629" s="85">
        <f>STATS1003B!L2637/1000</f>
        <v>0</v>
      </c>
      <c r="M2629" s="85">
        <f>STATS1003B!M2637/1000</f>
        <v>9764.1010000000006</v>
      </c>
      <c r="N2629" s="85">
        <f>STATS1003B!N2637/1000</f>
        <v>0</v>
      </c>
      <c r="O2629" s="85">
        <f>STATS1003B!O2637/1000</f>
        <v>0</v>
      </c>
      <c r="P2629" s="85">
        <f>STATS1003B!P2637/1000</f>
        <v>0</v>
      </c>
      <c r="Q2629" s="85">
        <f>STATS1003B!Q2637/1000</f>
        <v>0</v>
      </c>
      <c r="R2629" s="85">
        <f>STATS1003B!R2637/1000</f>
        <v>0</v>
      </c>
      <c r="S2629" s="85">
        <f>STATS1003B!S2637/1000</f>
        <v>0</v>
      </c>
      <c r="T2629" s="85">
        <f>STATS1003B!T2637/1000</f>
        <v>0</v>
      </c>
      <c r="U2629" s="85">
        <f>STATS1003B!U2637/1000</f>
        <v>0</v>
      </c>
      <c r="V2629" s="85">
        <f>STATS1003B!V2637/1000</f>
        <v>9764.1010000000006</v>
      </c>
      <c r="W2629" s="85">
        <f>STATS1003B!W2637/1000</f>
        <v>-1052</v>
      </c>
      <c r="X2629" s="85">
        <f t="shared" si="285"/>
        <v>9764.1010000000006</v>
      </c>
      <c r="Y2629" s="85">
        <f>STATS1003B!Y2637/1000</f>
        <v>0</v>
      </c>
      <c r="Z2629" s="85">
        <f>STATS1003B!Z2637/1000</f>
        <v>-1052</v>
      </c>
      <c r="AA2629" s="69">
        <f>STATS1003B!AA2637/1000</f>
        <v>9764.1010000000006</v>
      </c>
      <c r="AB2629" s="69">
        <f>STATS1003B!AB2637/1000</f>
        <v>-1052</v>
      </c>
    </row>
    <row r="2630" spans="1:28" hidden="1" x14ac:dyDescent="0.3">
      <c r="A2630" s="117"/>
      <c r="C2630" s="68" t="s">
        <v>57</v>
      </c>
      <c r="D2630" s="145" t="s">
        <v>61</v>
      </c>
      <c r="E2630" s="85">
        <f>STATS1003B!E2638/1000</f>
        <v>6095.4539999999997</v>
      </c>
      <c r="F2630" s="85">
        <f>STATS1003B!F2638/1000</f>
        <v>6095.4539999999997</v>
      </c>
      <c r="G2630" s="85">
        <f>STATS1003B!G2638/1000</f>
        <v>0</v>
      </c>
      <c r="H2630" s="85">
        <f>STATS1003B!H2638/1000</f>
        <v>6095.4539999999997</v>
      </c>
      <c r="I2630" s="85">
        <f>STATS1003B!I2638/1000</f>
        <v>0</v>
      </c>
      <c r="J2630" s="85">
        <f>STATS1003B!J2638/1000</f>
        <v>0</v>
      </c>
      <c r="K2630" s="85">
        <f>STATS1003B!K2638/1000</f>
        <v>0</v>
      </c>
      <c r="L2630" s="85">
        <f>STATS1003B!L2638/1000</f>
        <v>0</v>
      </c>
      <c r="M2630" s="85">
        <f>STATS1003B!M2638/1000</f>
        <v>6095.4539999999997</v>
      </c>
      <c r="N2630" s="85">
        <f>STATS1003B!N2638/1000</f>
        <v>0</v>
      </c>
      <c r="O2630" s="85">
        <f>STATS1003B!O2638/1000</f>
        <v>0</v>
      </c>
      <c r="P2630" s="85">
        <f>STATS1003B!P2638/1000</f>
        <v>0</v>
      </c>
      <c r="Q2630" s="85">
        <f>STATS1003B!Q2638/1000</f>
        <v>0</v>
      </c>
      <c r="R2630" s="85">
        <f>STATS1003B!R2638/1000</f>
        <v>0</v>
      </c>
      <c r="S2630" s="85">
        <f>STATS1003B!S2638/1000</f>
        <v>0</v>
      </c>
      <c r="T2630" s="85">
        <f>STATS1003B!T2638/1000</f>
        <v>0</v>
      </c>
      <c r="U2630" s="85">
        <f>STATS1003B!U2638/1000</f>
        <v>0</v>
      </c>
      <c r="V2630" s="85">
        <f>STATS1003B!V2638/1000</f>
        <v>6095.4539999999997</v>
      </c>
      <c r="W2630" s="85">
        <f>STATS1003B!W2638/1000</f>
        <v>0</v>
      </c>
      <c r="X2630" s="85">
        <f t="shared" si="285"/>
        <v>6095.4539999999997</v>
      </c>
      <c r="Y2630" s="85">
        <f>STATS1003B!Y2638/1000</f>
        <v>0</v>
      </c>
      <c r="Z2630" s="85">
        <f>STATS1003B!Z2638/1000</f>
        <v>0</v>
      </c>
      <c r="AA2630" s="69">
        <f>STATS1003B!AA2638/1000</f>
        <v>6095.4539999999997</v>
      </c>
      <c r="AB2630" s="69">
        <f>STATS1003B!AB2638/1000</f>
        <v>0</v>
      </c>
    </row>
    <row r="2631" spans="1:28" hidden="1" x14ac:dyDescent="0.3">
      <c r="A2631" s="117"/>
      <c r="C2631" s="68" t="s">
        <v>1162</v>
      </c>
      <c r="D2631" s="90" t="s">
        <v>1126</v>
      </c>
      <c r="E2631" s="85">
        <f>STATS1003B!E2639/1000</f>
        <v>1100</v>
      </c>
      <c r="F2631" s="85">
        <f>STATS1003B!F2639/1000</f>
        <v>1100</v>
      </c>
      <c r="G2631" s="85">
        <f>STATS1003B!G2639/1000</f>
        <v>0</v>
      </c>
      <c r="H2631" s="85">
        <f>STATS1003B!H2639/1000</f>
        <v>1100</v>
      </c>
      <c r="I2631" s="85">
        <f>STATS1003B!I2639/1000</f>
        <v>0</v>
      </c>
      <c r="J2631" s="85">
        <f>STATS1003B!J2639/1000</f>
        <v>0</v>
      </c>
      <c r="K2631" s="85">
        <f>STATS1003B!K2639/1000</f>
        <v>0</v>
      </c>
      <c r="L2631" s="85">
        <f>STATS1003B!L2639/1000</f>
        <v>0</v>
      </c>
      <c r="M2631" s="85">
        <f>STATS1003B!M2639/1000</f>
        <v>1100</v>
      </c>
      <c r="N2631" s="85">
        <f>STATS1003B!N2639/1000</f>
        <v>0</v>
      </c>
      <c r="O2631" s="85">
        <f>STATS1003B!O2639/1000</f>
        <v>0</v>
      </c>
      <c r="P2631" s="85">
        <f>STATS1003B!P2639/1000</f>
        <v>0</v>
      </c>
      <c r="Q2631" s="85">
        <f>STATS1003B!Q2639/1000</f>
        <v>0</v>
      </c>
      <c r="R2631" s="85">
        <f>STATS1003B!R2639/1000</f>
        <v>0</v>
      </c>
      <c r="S2631" s="85">
        <f>STATS1003B!S2639/1000</f>
        <v>0</v>
      </c>
      <c r="T2631" s="85">
        <f>STATS1003B!T2639/1000</f>
        <v>0</v>
      </c>
      <c r="U2631" s="85">
        <f>STATS1003B!U2639/1000</f>
        <v>0</v>
      </c>
      <c r="V2631" s="85">
        <f>STATS1003B!V2639/1000</f>
        <v>0</v>
      </c>
      <c r="W2631" s="85">
        <f>STATS1003B!W2639/1000</f>
        <v>0</v>
      </c>
      <c r="X2631" s="85">
        <f t="shared" si="285"/>
        <v>1100</v>
      </c>
      <c r="Y2631" s="85">
        <f>STATS1003B!Y2639/1000</f>
        <v>0</v>
      </c>
      <c r="Z2631" s="85">
        <f>STATS1003B!Z2639/1000</f>
        <v>0</v>
      </c>
      <c r="AA2631" s="69">
        <f>STATS1003B!AA2639/1000</f>
        <v>1100</v>
      </c>
      <c r="AB2631" s="69">
        <f>STATS1003B!AB2639/1000</f>
        <v>0</v>
      </c>
    </row>
    <row r="2632" spans="1:28" hidden="1" x14ac:dyDescent="0.3">
      <c r="A2632" s="117"/>
      <c r="C2632" s="68" t="s">
        <v>459</v>
      </c>
      <c r="D2632" s="68" t="s">
        <v>71</v>
      </c>
      <c r="E2632" s="85">
        <f>STATS1003B!E2640/1000</f>
        <v>3045</v>
      </c>
      <c r="F2632" s="85">
        <f>STATS1003B!F2640/1000</f>
        <v>3045</v>
      </c>
      <c r="G2632" s="85">
        <f>STATS1003B!G2640/1000</f>
        <v>0</v>
      </c>
      <c r="H2632" s="85">
        <f>STATS1003B!H2640/1000</f>
        <v>3045</v>
      </c>
      <c r="I2632" s="85">
        <f>STATS1003B!I2640/1000</f>
        <v>0</v>
      </c>
      <c r="J2632" s="85">
        <f>STATS1003B!J2640/1000</f>
        <v>0</v>
      </c>
      <c r="K2632" s="85">
        <f>STATS1003B!K2640/1000</f>
        <v>0</v>
      </c>
      <c r="L2632" s="85">
        <f>STATS1003B!L2640/1000</f>
        <v>0</v>
      </c>
      <c r="M2632" s="85">
        <f>STATS1003B!M2640/1000</f>
        <v>3045</v>
      </c>
      <c r="N2632" s="85">
        <f>STATS1003B!N2640/1000</f>
        <v>0</v>
      </c>
      <c r="O2632" s="85">
        <f>STATS1003B!O2640/1000</f>
        <v>0</v>
      </c>
      <c r="P2632" s="85">
        <f>STATS1003B!P2640/1000</f>
        <v>0</v>
      </c>
      <c r="Q2632" s="85">
        <f>STATS1003B!Q2640/1000</f>
        <v>0</v>
      </c>
      <c r="R2632" s="85">
        <f>STATS1003B!R2640/1000</f>
        <v>0</v>
      </c>
      <c r="S2632" s="85">
        <f>STATS1003B!S2640/1000</f>
        <v>0</v>
      </c>
      <c r="T2632" s="85">
        <f>STATS1003B!T2640/1000</f>
        <v>0</v>
      </c>
      <c r="U2632" s="85">
        <f>STATS1003B!U2640/1000</f>
        <v>0</v>
      </c>
      <c r="V2632" s="85">
        <f>STATS1003B!V2640/1000</f>
        <v>3045</v>
      </c>
      <c r="W2632" s="85">
        <f>STATS1003B!W2640/1000</f>
        <v>0</v>
      </c>
      <c r="X2632" s="85">
        <f t="shared" si="285"/>
        <v>3045</v>
      </c>
      <c r="Y2632" s="85">
        <f>STATS1003B!Y2640/1000</f>
        <v>0</v>
      </c>
      <c r="Z2632" s="85">
        <f>STATS1003B!Z2640/1000</f>
        <v>0</v>
      </c>
      <c r="AA2632" s="69">
        <f>STATS1003B!AA2640/1000</f>
        <v>3045</v>
      </c>
      <c r="AB2632" s="69">
        <f>STATS1003B!AB2640/1000</f>
        <v>0</v>
      </c>
    </row>
    <row r="2633" spans="1:28" hidden="1" x14ac:dyDescent="0.3">
      <c r="A2633" s="117"/>
      <c r="C2633" s="71" t="s">
        <v>95</v>
      </c>
      <c r="D2633" s="88" t="s">
        <v>60</v>
      </c>
      <c r="E2633" s="85">
        <f>STATS1003B!E2641/1000</f>
        <v>1268.377</v>
      </c>
      <c r="F2633" s="85">
        <f>STATS1003B!F2641/1000</f>
        <v>1268.377</v>
      </c>
      <c r="G2633" s="85">
        <f>STATS1003B!G2641/1000</f>
        <v>0</v>
      </c>
      <c r="H2633" s="85">
        <f>STATS1003B!H2641/1000</f>
        <v>1268.377</v>
      </c>
      <c r="I2633" s="85">
        <f>STATS1003B!I2641/1000</f>
        <v>0</v>
      </c>
      <c r="J2633" s="85">
        <f>STATS1003B!J2641/1000</f>
        <v>0</v>
      </c>
      <c r="K2633" s="85">
        <f>STATS1003B!K2641/1000</f>
        <v>0</v>
      </c>
      <c r="L2633" s="85">
        <f>STATS1003B!L2641/1000</f>
        <v>0</v>
      </c>
      <c r="M2633" s="85">
        <f>STATS1003B!M2641/1000</f>
        <v>1268.377</v>
      </c>
      <c r="N2633" s="85">
        <f>STATS1003B!N2641/1000</f>
        <v>0</v>
      </c>
      <c r="O2633" s="85">
        <f>STATS1003B!O2641/1000</f>
        <v>0</v>
      </c>
      <c r="P2633" s="85">
        <f>STATS1003B!P2641/1000</f>
        <v>0</v>
      </c>
      <c r="Q2633" s="85">
        <f>STATS1003B!Q2641/1000</f>
        <v>0</v>
      </c>
      <c r="R2633" s="85">
        <f>STATS1003B!R2641/1000</f>
        <v>0</v>
      </c>
      <c r="S2633" s="85">
        <f>STATS1003B!S2641/1000</f>
        <v>0</v>
      </c>
      <c r="T2633" s="85">
        <f>STATS1003B!T2641/1000</f>
        <v>0</v>
      </c>
      <c r="U2633" s="85">
        <f>STATS1003B!U2641/1000</f>
        <v>0</v>
      </c>
      <c r="V2633" s="85">
        <f>STATS1003B!V2641/1000</f>
        <v>1268.377</v>
      </c>
      <c r="W2633" s="85">
        <f>STATS1003B!W2641/1000</f>
        <v>0</v>
      </c>
      <c r="X2633" s="85">
        <f t="shared" si="285"/>
        <v>1268.377</v>
      </c>
      <c r="Y2633" s="85">
        <f>STATS1003B!Y2641/1000</f>
        <v>0</v>
      </c>
      <c r="Z2633" s="85">
        <f>STATS1003B!Z2641/1000</f>
        <v>0</v>
      </c>
      <c r="AA2633" s="69">
        <f>STATS1003B!AA2641/1000</f>
        <v>1268.377</v>
      </c>
      <c r="AB2633" s="69">
        <f>STATS1003B!AB2641/1000</f>
        <v>0</v>
      </c>
    </row>
    <row r="2634" spans="1:28" hidden="1" x14ac:dyDescent="0.3">
      <c r="A2634" s="117"/>
      <c r="E2634" s="86" t="s">
        <v>29</v>
      </c>
      <c r="F2634" s="86" t="s">
        <v>29</v>
      </c>
      <c r="G2634" s="86" t="s">
        <v>29</v>
      </c>
      <c r="H2634" s="86" t="s">
        <v>29</v>
      </c>
      <c r="I2634" s="86" t="s">
        <v>29</v>
      </c>
      <c r="J2634" s="86" t="s">
        <v>29</v>
      </c>
      <c r="K2634" s="86" t="s">
        <v>29</v>
      </c>
      <c r="L2634" s="86" t="s">
        <v>29</v>
      </c>
      <c r="M2634" s="86" t="s">
        <v>29</v>
      </c>
      <c r="N2634" s="86" t="s">
        <v>29</v>
      </c>
      <c r="O2634" s="86" t="s">
        <v>29</v>
      </c>
      <c r="P2634" s="86" t="s">
        <v>29</v>
      </c>
      <c r="Q2634" s="86" t="s">
        <v>29</v>
      </c>
      <c r="R2634" s="86" t="s">
        <v>29</v>
      </c>
      <c r="S2634" s="86" t="s">
        <v>29</v>
      </c>
      <c r="T2634" s="86" t="s">
        <v>29</v>
      </c>
      <c r="U2634" s="86" t="s">
        <v>29</v>
      </c>
      <c r="V2634" s="86" t="s">
        <v>29</v>
      </c>
      <c r="W2634" s="86" t="s">
        <v>29</v>
      </c>
      <c r="X2634" s="85" t="e">
        <f t="shared" si="285"/>
        <v>#VALUE!</v>
      </c>
      <c r="Y2634" s="86" t="s">
        <v>29</v>
      </c>
      <c r="Z2634" s="86" t="s">
        <v>29</v>
      </c>
      <c r="AA2634" s="115" t="s">
        <v>29</v>
      </c>
      <c r="AB2634" s="115" t="s">
        <v>29</v>
      </c>
    </row>
    <row r="2635" spans="1:28" x14ac:dyDescent="0.3">
      <c r="A2635" s="116">
        <v>114</v>
      </c>
      <c r="B2635" s="68" t="s">
        <v>454</v>
      </c>
      <c r="E2635" s="85">
        <f>246468938.95/1000</f>
        <v>246468.93894999998</v>
      </c>
      <c r="F2635" s="85">
        <f t="shared" ref="F2635:AB2635" si="287">SUM(F2616:F2633)</f>
        <v>72337.898300000001</v>
      </c>
      <c r="G2635" s="85">
        <f t="shared" si="287"/>
        <v>0</v>
      </c>
      <c r="H2635" s="85">
        <f>242926990/1000</f>
        <v>242926.99</v>
      </c>
      <c r="I2635" s="85">
        <f t="shared" si="287"/>
        <v>1052</v>
      </c>
      <c r="J2635" s="85">
        <f t="shared" si="287"/>
        <v>0</v>
      </c>
      <c r="K2635" s="85">
        <f t="shared" si="287"/>
        <v>0</v>
      </c>
      <c r="L2635" s="85">
        <f t="shared" si="287"/>
        <v>0</v>
      </c>
      <c r="M2635" s="85">
        <f t="shared" si="287"/>
        <v>72337.898300000001</v>
      </c>
      <c r="N2635" s="85">
        <f t="shared" si="287"/>
        <v>3461.94895</v>
      </c>
      <c r="O2635" s="85">
        <f t="shared" si="287"/>
        <v>0</v>
      </c>
      <c r="P2635" s="85">
        <f>3461948/1000</f>
        <v>3461.9479999999999</v>
      </c>
      <c r="Q2635" s="85">
        <f t="shared" si="287"/>
        <v>0</v>
      </c>
      <c r="R2635" s="85">
        <f t="shared" si="287"/>
        <v>0</v>
      </c>
      <c r="S2635" s="85">
        <f t="shared" si="287"/>
        <v>0</v>
      </c>
      <c r="T2635" s="85">
        <f t="shared" si="287"/>
        <v>0</v>
      </c>
      <c r="U2635" s="85">
        <f t="shared" si="287"/>
        <v>3461.94895</v>
      </c>
      <c r="V2635" s="85">
        <f t="shared" si="287"/>
        <v>74399.847250000006</v>
      </c>
      <c r="W2635" s="85">
        <f t="shared" si="287"/>
        <v>80</v>
      </c>
      <c r="X2635" s="85">
        <f t="shared" si="285"/>
        <v>246388.93799999999</v>
      </c>
      <c r="Y2635" s="85">
        <f t="shared" si="287"/>
        <v>0</v>
      </c>
      <c r="Z2635" s="85">
        <f>+E2635-X2635</f>
        <v>80.000949999986915</v>
      </c>
      <c r="AA2635" s="69">
        <f t="shared" si="287"/>
        <v>75799.847250000006</v>
      </c>
      <c r="AB2635" s="69">
        <f t="shared" si="287"/>
        <v>80</v>
      </c>
    </row>
    <row r="2636" spans="1:28" hidden="1" x14ac:dyDescent="0.3">
      <c r="A2636" s="117"/>
      <c r="E2636" s="86" t="s">
        <v>29</v>
      </c>
      <c r="F2636" s="86" t="s">
        <v>29</v>
      </c>
      <c r="G2636" s="86" t="s">
        <v>29</v>
      </c>
      <c r="H2636" s="86" t="s">
        <v>29</v>
      </c>
      <c r="I2636" s="86" t="s">
        <v>29</v>
      </c>
      <c r="J2636" s="86" t="s">
        <v>29</v>
      </c>
      <c r="K2636" s="86" t="s">
        <v>29</v>
      </c>
      <c r="L2636" s="86" t="s">
        <v>29</v>
      </c>
      <c r="M2636" s="86" t="s">
        <v>29</v>
      </c>
      <c r="N2636" s="86" t="s">
        <v>29</v>
      </c>
      <c r="O2636" s="86" t="s">
        <v>29</v>
      </c>
      <c r="P2636" s="86" t="s">
        <v>29</v>
      </c>
      <c r="Q2636" s="86" t="s">
        <v>29</v>
      </c>
      <c r="R2636" s="86" t="s">
        <v>29</v>
      </c>
      <c r="S2636" s="86" t="s">
        <v>29</v>
      </c>
      <c r="T2636" s="86" t="s">
        <v>29</v>
      </c>
      <c r="U2636" s="86" t="s">
        <v>29</v>
      </c>
      <c r="V2636" s="86" t="s">
        <v>29</v>
      </c>
      <c r="W2636" s="86" t="s">
        <v>29</v>
      </c>
      <c r="X2636" s="85" t="e">
        <f t="shared" si="285"/>
        <v>#VALUE!</v>
      </c>
      <c r="Y2636" s="86" t="s">
        <v>29</v>
      </c>
      <c r="Z2636" s="86" t="s">
        <v>29</v>
      </c>
      <c r="AA2636" s="115" t="s">
        <v>29</v>
      </c>
      <c r="AB2636" s="115" t="s">
        <v>29</v>
      </c>
    </row>
    <row r="2637" spans="1:28" hidden="1" x14ac:dyDescent="0.3">
      <c r="A2637" s="105"/>
      <c r="E2637" s="84"/>
      <c r="F2637" s="84"/>
      <c r="G2637" s="84"/>
      <c r="H2637" s="84"/>
      <c r="I2637" s="84"/>
      <c r="J2637" s="84"/>
      <c r="K2637" s="84"/>
      <c r="L2637" s="84"/>
      <c r="M2637" s="84"/>
      <c r="N2637" s="84"/>
      <c r="O2637" s="84"/>
      <c r="P2637" s="84"/>
      <c r="Q2637" s="84"/>
      <c r="R2637" s="84"/>
      <c r="S2637" s="84"/>
      <c r="T2637" s="84"/>
      <c r="U2637" s="84"/>
      <c r="V2637" s="84"/>
      <c r="W2637" s="84"/>
      <c r="X2637" s="85">
        <f t="shared" si="285"/>
        <v>0</v>
      </c>
      <c r="Y2637" s="84"/>
      <c r="Z2637" s="84"/>
    </row>
    <row r="2638" spans="1:28" hidden="1" x14ac:dyDescent="0.3">
      <c r="A2638" s="117"/>
      <c r="D2638" s="145" t="s">
        <v>304</v>
      </c>
      <c r="E2638" s="84"/>
      <c r="F2638" s="84"/>
      <c r="G2638" s="84"/>
      <c r="H2638" s="84"/>
      <c r="I2638" s="84"/>
      <c r="J2638" s="84"/>
      <c r="K2638" s="84"/>
      <c r="L2638" s="84"/>
      <c r="M2638" s="84"/>
      <c r="N2638" s="84"/>
      <c r="O2638" s="84"/>
      <c r="P2638" s="84"/>
      <c r="Q2638" s="84"/>
      <c r="R2638" s="84"/>
      <c r="S2638" s="84"/>
      <c r="T2638" s="84"/>
      <c r="U2638" s="84"/>
      <c r="V2638" s="84"/>
      <c r="W2638" s="84"/>
      <c r="X2638" s="85">
        <f t="shared" si="285"/>
        <v>0</v>
      </c>
      <c r="Y2638" s="84"/>
      <c r="Z2638" s="84"/>
    </row>
    <row r="2639" spans="1:28" hidden="1" x14ac:dyDescent="0.3">
      <c r="A2639" s="117"/>
      <c r="C2639" s="68" t="s">
        <v>51</v>
      </c>
      <c r="D2639" s="71" t="s">
        <v>131</v>
      </c>
      <c r="E2639" s="85">
        <f>STATS1003B!E2647/1000</f>
        <v>12179.95378</v>
      </c>
      <c r="F2639" s="85">
        <f>STATS1003B!F2647/1000</f>
        <v>11713.126420000001</v>
      </c>
      <c r="G2639" s="85">
        <f>STATS1003B!G2647/1000</f>
        <v>0</v>
      </c>
      <c r="H2639" s="85">
        <f>STATS1003B!H2647/1000</f>
        <v>11713.126420000001</v>
      </c>
      <c r="I2639" s="85">
        <f>STATS1003B!I2647/1000</f>
        <v>0</v>
      </c>
      <c r="J2639" s="85">
        <f>STATS1003B!J2647/1000</f>
        <v>0</v>
      </c>
      <c r="K2639" s="85">
        <f>STATS1003B!K2647/1000</f>
        <v>0</v>
      </c>
      <c r="L2639" s="85">
        <f>STATS1003B!L2647/1000</f>
        <v>0</v>
      </c>
      <c r="M2639" s="85">
        <f>STATS1003B!M2647/1000</f>
        <v>11713.126420000001</v>
      </c>
      <c r="N2639" s="85">
        <f>STATS1003B!N2647/1000</f>
        <v>466.82736</v>
      </c>
      <c r="O2639" s="85">
        <f>STATS1003B!O2647/1000</f>
        <v>0</v>
      </c>
      <c r="P2639" s="85">
        <f>STATS1003B!P2647/1000</f>
        <v>466.82736</v>
      </c>
      <c r="Q2639" s="85">
        <f>STATS1003B!Q2647/1000</f>
        <v>0</v>
      </c>
      <c r="R2639" s="85">
        <f>STATS1003B!R2647/1000</f>
        <v>0</v>
      </c>
      <c r="S2639" s="85">
        <f>STATS1003B!S2647/1000</f>
        <v>0</v>
      </c>
      <c r="T2639" s="85">
        <f>STATS1003B!T2647/1000</f>
        <v>0</v>
      </c>
      <c r="U2639" s="85">
        <f>STATS1003B!U2647/1000</f>
        <v>466.82736</v>
      </c>
      <c r="V2639" s="85">
        <f>STATS1003B!V2647/1000</f>
        <v>12179.95378</v>
      </c>
      <c r="W2639" s="85">
        <f>STATS1003B!W2647/1000</f>
        <v>0</v>
      </c>
      <c r="X2639" s="85">
        <f t="shared" si="285"/>
        <v>12179.95378</v>
      </c>
      <c r="Y2639" s="85">
        <f>STATS1003B!Y2647/1000</f>
        <v>0</v>
      </c>
      <c r="Z2639" s="85">
        <f>STATS1003B!Z2647/1000</f>
        <v>0</v>
      </c>
      <c r="AA2639" s="69">
        <f>STATS1003B!AA2647/1000</f>
        <v>12179.95378</v>
      </c>
      <c r="AB2639" s="69">
        <f>STATS1003B!AB2647/1000</f>
        <v>0</v>
      </c>
    </row>
    <row r="2640" spans="1:28" hidden="1" x14ac:dyDescent="0.3">
      <c r="A2640" s="117"/>
      <c r="C2640" s="68" t="s">
        <v>461</v>
      </c>
      <c r="D2640" s="145" t="s">
        <v>79</v>
      </c>
      <c r="E2640" s="85">
        <f>STATS1003B!E2648/1000</f>
        <v>10100</v>
      </c>
      <c r="F2640" s="85">
        <f>STATS1003B!F2648/1000</f>
        <v>10100</v>
      </c>
      <c r="G2640" s="85">
        <f>STATS1003B!G2648/1000</f>
        <v>0</v>
      </c>
      <c r="H2640" s="85">
        <f>STATS1003B!H2648/1000</f>
        <v>10100</v>
      </c>
      <c r="I2640" s="85">
        <f>STATS1003B!I2648/1000</f>
        <v>0</v>
      </c>
      <c r="J2640" s="85">
        <f>STATS1003B!J2648/1000</f>
        <v>0</v>
      </c>
      <c r="K2640" s="85">
        <f>STATS1003B!K2648/1000</f>
        <v>0</v>
      </c>
      <c r="L2640" s="85">
        <f>STATS1003B!L2648/1000</f>
        <v>0</v>
      </c>
      <c r="M2640" s="85">
        <f>STATS1003B!M2648/1000</f>
        <v>10100</v>
      </c>
      <c r="N2640" s="85">
        <f>STATS1003B!N2648/1000</f>
        <v>0</v>
      </c>
      <c r="O2640" s="85">
        <f>STATS1003B!O2648/1000</f>
        <v>0</v>
      </c>
      <c r="P2640" s="85">
        <f>STATS1003B!P2648/1000</f>
        <v>0</v>
      </c>
      <c r="Q2640" s="85">
        <f>STATS1003B!Q2648/1000</f>
        <v>0</v>
      </c>
      <c r="R2640" s="85">
        <f>STATS1003B!R2648/1000</f>
        <v>0</v>
      </c>
      <c r="S2640" s="85">
        <f>STATS1003B!S2648/1000</f>
        <v>0</v>
      </c>
      <c r="T2640" s="85">
        <f>STATS1003B!T2648/1000</f>
        <v>0</v>
      </c>
      <c r="U2640" s="85">
        <f>STATS1003B!U2648/1000</f>
        <v>0</v>
      </c>
      <c r="V2640" s="85">
        <f>STATS1003B!V2648/1000</f>
        <v>10100</v>
      </c>
      <c r="W2640" s="85">
        <f>STATS1003B!W2648/1000</f>
        <v>0</v>
      </c>
      <c r="X2640" s="85">
        <f t="shared" si="285"/>
        <v>10100</v>
      </c>
      <c r="Y2640" s="85">
        <f>STATS1003B!Y2648/1000</f>
        <v>0</v>
      </c>
      <c r="Z2640" s="85">
        <f>STATS1003B!Z2648/1000</f>
        <v>0</v>
      </c>
      <c r="AA2640" s="69">
        <f>STATS1003B!AA2648/1000</f>
        <v>10100</v>
      </c>
      <c r="AB2640" s="69">
        <f>STATS1003B!AB2648/1000</f>
        <v>0</v>
      </c>
    </row>
    <row r="2641" spans="1:28" hidden="1" x14ac:dyDescent="0.3">
      <c r="A2641" s="117"/>
      <c r="C2641" s="68" t="s">
        <v>462</v>
      </c>
      <c r="D2641" s="145" t="s">
        <v>234</v>
      </c>
      <c r="E2641" s="85">
        <f>STATS1003B!E2649/1000</f>
        <v>7150</v>
      </c>
      <c r="F2641" s="85">
        <f>STATS1003B!F2649/1000</f>
        <v>7150</v>
      </c>
      <c r="G2641" s="85">
        <f>STATS1003B!G2649/1000</f>
        <v>0</v>
      </c>
      <c r="H2641" s="85">
        <f>STATS1003B!H2649/1000</f>
        <v>7150</v>
      </c>
      <c r="I2641" s="85">
        <f>STATS1003B!I2649/1000</f>
        <v>0</v>
      </c>
      <c r="J2641" s="85">
        <f>STATS1003B!J2649/1000</f>
        <v>0</v>
      </c>
      <c r="K2641" s="85">
        <f>STATS1003B!K2649/1000</f>
        <v>0</v>
      </c>
      <c r="L2641" s="85">
        <f>STATS1003B!L2649/1000</f>
        <v>0</v>
      </c>
      <c r="M2641" s="85">
        <f>STATS1003B!M2649/1000</f>
        <v>7150</v>
      </c>
      <c r="N2641" s="85">
        <f>STATS1003B!N2649/1000</f>
        <v>0</v>
      </c>
      <c r="O2641" s="85">
        <f>STATS1003B!O2649/1000</f>
        <v>0</v>
      </c>
      <c r="P2641" s="85">
        <f>STATS1003B!P2649/1000</f>
        <v>0</v>
      </c>
      <c r="Q2641" s="85">
        <f>STATS1003B!Q2649/1000</f>
        <v>0</v>
      </c>
      <c r="R2641" s="85">
        <f>STATS1003B!R2649/1000</f>
        <v>0</v>
      </c>
      <c r="S2641" s="85">
        <f>STATS1003B!S2649/1000</f>
        <v>0</v>
      </c>
      <c r="T2641" s="85">
        <f>STATS1003B!T2649/1000</f>
        <v>0</v>
      </c>
      <c r="U2641" s="85">
        <f>STATS1003B!U2649/1000</f>
        <v>0</v>
      </c>
      <c r="V2641" s="85">
        <f>STATS1003B!V2649/1000</f>
        <v>7150</v>
      </c>
      <c r="W2641" s="85">
        <f>STATS1003B!W2649/1000</f>
        <v>0</v>
      </c>
      <c r="X2641" s="85">
        <f t="shared" si="285"/>
        <v>7150</v>
      </c>
      <c r="Y2641" s="85">
        <f>STATS1003B!Y2649/1000</f>
        <v>0</v>
      </c>
      <c r="Z2641" s="85">
        <f>STATS1003B!Z2649/1000</f>
        <v>0</v>
      </c>
      <c r="AA2641" s="69">
        <f>STATS1003B!AA2649/1000</f>
        <v>7150</v>
      </c>
      <c r="AB2641" s="69">
        <f>STATS1003B!AB2649/1000</f>
        <v>0</v>
      </c>
    </row>
    <row r="2642" spans="1:28" hidden="1" x14ac:dyDescent="0.3">
      <c r="A2642" s="117"/>
      <c r="C2642" s="68" t="s">
        <v>55</v>
      </c>
      <c r="D2642" s="145" t="s">
        <v>54</v>
      </c>
      <c r="E2642" s="85">
        <f>STATS1003B!E2650/1000</f>
        <v>85.909399999999991</v>
      </c>
      <c r="F2642" s="85">
        <f>STATS1003B!F2650/1000</f>
        <v>0</v>
      </c>
      <c r="G2642" s="85">
        <f>STATS1003B!G2650/1000</f>
        <v>0</v>
      </c>
      <c r="H2642" s="85">
        <f>STATS1003B!H2650/1000</f>
        <v>0</v>
      </c>
      <c r="I2642" s="85">
        <f>STATS1003B!I2650/1000</f>
        <v>0</v>
      </c>
      <c r="J2642" s="85">
        <f>STATS1003B!J2650/1000</f>
        <v>0</v>
      </c>
      <c r="K2642" s="85">
        <f>STATS1003B!K2650/1000</f>
        <v>0</v>
      </c>
      <c r="L2642" s="85">
        <f>STATS1003B!L2650/1000</f>
        <v>0</v>
      </c>
      <c r="M2642" s="85">
        <f>STATS1003B!M2650/1000</f>
        <v>0</v>
      </c>
      <c r="N2642" s="85">
        <f>STATS1003B!N2650/1000</f>
        <v>85.909399999999991</v>
      </c>
      <c r="O2642" s="85">
        <f>STATS1003B!O2650/1000</f>
        <v>0</v>
      </c>
      <c r="P2642" s="85">
        <f>STATS1003B!P2650/1000</f>
        <v>85.909399999999991</v>
      </c>
      <c r="Q2642" s="85">
        <f>STATS1003B!Q2650/1000</f>
        <v>0</v>
      </c>
      <c r="R2642" s="85">
        <f>STATS1003B!R2650/1000</f>
        <v>0</v>
      </c>
      <c r="S2642" s="85">
        <f>STATS1003B!S2650/1000</f>
        <v>0</v>
      </c>
      <c r="T2642" s="85">
        <f>STATS1003B!T2650/1000</f>
        <v>0</v>
      </c>
      <c r="U2642" s="85">
        <f>STATS1003B!U2650/1000</f>
        <v>85.909399999999991</v>
      </c>
      <c r="V2642" s="85">
        <f>STATS1003B!V2650/1000</f>
        <v>85.909399999999991</v>
      </c>
      <c r="W2642" s="85">
        <f>STATS1003B!W2650/1000</f>
        <v>0</v>
      </c>
      <c r="X2642" s="85">
        <f t="shared" si="285"/>
        <v>85.909399999999991</v>
      </c>
      <c r="Y2642" s="85">
        <f>STATS1003B!Y2650/1000</f>
        <v>0</v>
      </c>
      <c r="Z2642" s="85">
        <f>STATS1003B!Z2650/1000</f>
        <v>0</v>
      </c>
      <c r="AA2642" s="69">
        <f>STATS1003B!AA2650/1000</f>
        <v>85.909399999999991</v>
      </c>
      <c r="AB2642" s="69">
        <f>STATS1003B!AB2650/1000</f>
        <v>0</v>
      </c>
    </row>
    <row r="2643" spans="1:28" hidden="1" x14ac:dyDescent="0.3">
      <c r="A2643" s="117"/>
      <c r="C2643" s="68" t="s">
        <v>53</v>
      </c>
      <c r="D2643" s="145" t="s">
        <v>54</v>
      </c>
      <c r="E2643" s="85">
        <f>STATS1003B!E2651/1000</f>
        <v>1767.77</v>
      </c>
      <c r="F2643" s="85">
        <f>STATS1003B!F2651/1000</f>
        <v>0</v>
      </c>
      <c r="G2643" s="85">
        <f>STATS1003B!G2651/1000</f>
        <v>0</v>
      </c>
      <c r="H2643" s="85">
        <f>STATS1003B!H2651/1000</f>
        <v>0</v>
      </c>
      <c r="I2643" s="85">
        <f>STATS1003B!I2651/1000</f>
        <v>0</v>
      </c>
      <c r="J2643" s="85">
        <f>STATS1003B!J2651/1000</f>
        <v>0</v>
      </c>
      <c r="K2643" s="85">
        <f>STATS1003B!K2651/1000</f>
        <v>0</v>
      </c>
      <c r="L2643" s="85">
        <f>STATS1003B!L2651/1000</f>
        <v>0</v>
      </c>
      <c r="M2643" s="85">
        <f>STATS1003B!M2651/1000</f>
        <v>0</v>
      </c>
      <c r="N2643" s="85">
        <f>STATS1003B!N2651/1000</f>
        <v>1767.77</v>
      </c>
      <c r="O2643" s="85">
        <f>STATS1003B!O2651/1000</f>
        <v>0</v>
      </c>
      <c r="P2643" s="85">
        <f>STATS1003B!P2651/1000</f>
        <v>1767.77</v>
      </c>
      <c r="Q2643" s="85">
        <f>STATS1003B!Q2651/1000</f>
        <v>0</v>
      </c>
      <c r="R2643" s="85">
        <f>STATS1003B!R2651/1000</f>
        <v>0</v>
      </c>
      <c r="S2643" s="85">
        <f>STATS1003B!S2651/1000</f>
        <v>0</v>
      </c>
      <c r="T2643" s="85">
        <f>STATS1003B!T2651/1000</f>
        <v>0</v>
      </c>
      <c r="U2643" s="85">
        <f>STATS1003B!U2651/1000</f>
        <v>1767.77</v>
      </c>
      <c r="V2643" s="85">
        <f>STATS1003B!V2651/1000</f>
        <v>1767.77</v>
      </c>
      <c r="W2643" s="85">
        <f>STATS1003B!W2651/1000</f>
        <v>0</v>
      </c>
      <c r="X2643" s="85">
        <f t="shared" si="285"/>
        <v>1767.77</v>
      </c>
      <c r="Y2643" s="85">
        <f>STATS1003B!Y2651/1000</f>
        <v>0</v>
      </c>
      <c r="Z2643" s="85">
        <f>STATS1003B!Z2651/1000</f>
        <v>0</v>
      </c>
      <c r="AA2643" s="69">
        <f>STATS1003B!AA2651/1000</f>
        <v>1767.77</v>
      </c>
      <c r="AB2643" s="69">
        <f>STATS1003B!AB2651/1000</f>
        <v>0</v>
      </c>
    </row>
    <row r="2644" spans="1:28" hidden="1" x14ac:dyDescent="0.3">
      <c r="A2644" s="117"/>
      <c r="C2644" s="68" t="s">
        <v>248</v>
      </c>
      <c r="D2644" s="145" t="s">
        <v>85</v>
      </c>
      <c r="E2644" s="85">
        <f>STATS1003B!E2652/1000</f>
        <v>160</v>
      </c>
      <c r="F2644" s="85">
        <f>STATS1003B!F2652/1000</f>
        <v>160</v>
      </c>
      <c r="G2644" s="85">
        <f>STATS1003B!G2652/1000</f>
        <v>0</v>
      </c>
      <c r="H2644" s="85">
        <f>STATS1003B!H2652/1000</f>
        <v>160</v>
      </c>
      <c r="I2644" s="85">
        <f>STATS1003B!I2652/1000</f>
        <v>0</v>
      </c>
      <c r="J2644" s="85">
        <f>STATS1003B!J2652/1000</f>
        <v>0</v>
      </c>
      <c r="K2644" s="85">
        <f>STATS1003B!K2652/1000</f>
        <v>0</v>
      </c>
      <c r="L2644" s="85">
        <f>STATS1003B!L2652/1000</f>
        <v>0</v>
      </c>
      <c r="M2644" s="85">
        <f>STATS1003B!M2652/1000</f>
        <v>160</v>
      </c>
      <c r="N2644" s="85">
        <f>STATS1003B!N2652/1000</f>
        <v>0</v>
      </c>
      <c r="O2644" s="85">
        <f>STATS1003B!O2652/1000</f>
        <v>0</v>
      </c>
      <c r="P2644" s="85">
        <f>STATS1003B!P2652/1000</f>
        <v>0</v>
      </c>
      <c r="Q2644" s="85">
        <f>STATS1003B!Q2652/1000</f>
        <v>0</v>
      </c>
      <c r="R2644" s="85">
        <f>STATS1003B!R2652/1000</f>
        <v>0</v>
      </c>
      <c r="S2644" s="85">
        <f>STATS1003B!S2652/1000</f>
        <v>0</v>
      </c>
      <c r="T2644" s="85">
        <f>STATS1003B!T2652/1000</f>
        <v>0</v>
      </c>
      <c r="U2644" s="85">
        <f>STATS1003B!U2652/1000</f>
        <v>0</v>
      </c>
      <c r="V2644" s="85">
        <f>STATS1003B!V2652/1000</f>
        <v>160</v>
      </c>
      <c r="W2644" s="85">
        <f>STATS1003B!W2652/1000</f>
        <v>0</v>
      </c>
      <c r="X2644" s="85">
        <f t="shared" si="285"/>
        <v>160</v>
      </c>
      <c r="Y2644" s="85">
        <f>STATS1003B!Y2652/1000</f>
        <v>0</v>
      </c>
      <c r="Z2644" s="85">
        <f>STATS1003B!Z2652/1000</f>
        <v>0</v>
      </c>
      <c r="AA2644" s="69">
        <f>STATS1003B!AA2652/1000</f>
        <v>160</v>
      </c>
      <c r="AB2644" s="69">
        <f>STATS1003B!AB2652/1000</f>
        <v>0</v>
      </c>
    </row>
    <row r="2645" spans="1:28" hidden="1" x14ac:dyDescent="0.3">
      <c r="A2645" s="117"/>
      <c r="C2645" s="68" t="s">
        <v>463</v>
      </c>
      <c r="D2645" s="145" t="s">
        <v>88</v>
      </c>
      <c r="E2645" s="85">
        <f>STATS1003B!E2653/1000</f>
        <v>750</v>
      </c>
      <c r="F2645" s="85">
        <f>STATS1003B!F2653/1000</f>
        <v>750</v>
      </c>
      <c r="G2645" s="85">
        <f>STATS1003B!G2653/1000</f>
        <v>0</v>
      </c>
      <c r="H2645" s="85">
        <f>STATS1003B!H2653/1000</f>
        <v>750</v>
      </c>
      <c r="I2645" s="85">
        <f>STATS1003B!I2653/1000</f>
        <v>0</v>
      </c>
      <c r="J2645" s="85">
        <f>STATS1003B!J2653/1000</f>
        <v>0</v>
      </c>
      <c r="K2645" s="85">
        <f>STATS1003B!K2653/1000</f>
        <v>0</v>
      </c>
      <c r="L2645" s="85">
        <f>STATS1003B!L2653/1000</f>
        <v>0</v>
      </c>
      <c r="M2645" s="85">
        <f>STATS1003B!M2653/1000</f>
        <v>750</v>
      </c>
      <c r="N2645" s="85">
        <f>STATS1003B!N2653/1000</f>
        <v>0</v>
      </c>
      <c r="O2645" s="85">
        <f>STATS1003B!O2653/1000</f>
        <v>0</v>
      </c>
      <c r="P2645" s="85">
        <f>STATS1003B!P2653/1000</f>
        <v>0</v>
      </c>
      <c r="Q2645" s="85">
        <f>STATS1003B!Q2653/1000</f>
        <v>0</v>
      </c>
      <c r="R2645" s="85">
        <f>STATS1003B!R2653/1000</f>
        <v>0</v>
      </c>
      <c r="S2645" s="85">
        <f>STATS1003B!S2653/1000</f>
        <v>0</v>
      </c>
      <c r="T2645" s="85">
        <f>STATS1003B!T2653/1000</f>
        <v>0</v>
      </c>
      <c r="U2645" s="85">
        <f>STATS1003B!U2653/1000</f>
        <v>0</v>
      </c>
      <c r="V2645" s="85">
        <f>STATS1003B!V2653/1000</f>
        <v>750</v>
      </c>
      <c r="W2645" s="85">
        <f>STATS1003B!W2653/1000</f>
        <v>0</v>
      </c>
      <c r="X2645" s="85">
        <f t="shared" si="285"/>
        <v>750</v>
      </c>
      <c r="Y2645" s="85">
        <f>STATS1003B!Y2653/1000</f>
        <v>0</v>
      </c>
      <c r="Z2645" s="85">
        <f>STATS1003B!Z2653/1000</f>
        <v>0</v>
      </c>
      <c r="AA2645" s="69">
        <f>STATS1003B!AA2653/1000</f>
        <v>750</v>
      </c>
      <c r="AB2645" s="69">
        <f>STATS1003B!AB2653/1000</f>
        <v>0</v>
      </c>
    </row>
    <row r="2646" spans="1:28" hidden="1" x14ac:dyDescent="0.3">
      <c r="A2646" s="117"/>
      <c r="C2646" s="68" t="s">
        <v>57</v>
      </c>
      <c r="D2646" s="145" t="s">
        <v>58</v>
      </c>
      <c r="E2646" s="85">
        <f>STATS1003B!E2654/1000</f>
        <v>4142.0209999999997</v>
      </c>
      <c r="F2646" s="85">
        <f>STATS1003B!F2654/1000</f>
        <v>4142.0209999999997</v>
      </c>
      <c r="G2646" s="85">
        <f>STATS1003B!G2654/1000</f>
        <v>0</v>
      </c>
      <c r="H2646" s="85">
        <f>STATS1003B!H2654/1000</f>
        <v>4142.0209999999997</v>
      </c>
      <c r="I2646" s="85">
        <f>STATS1003B!I2654/1000</f>
        <v>0</v>
      </c>
      <c r="J2646" s="85">
        <f>STATS1003B!J2654/1000</f>
        <v>0</v>
      </c>
      <c r="K2646" s="85">
        <f>STATS1003B!K2654/1000</f>
        <v>0</v>
      </c>
      <c r="L2646" s="85">
        <f>STATS1003B!L2654/1000</f>
        <v>0</v>
      </c>
      <c r="M2646" s="85">
        <f>STATS1003B!M2654/1000</f>
        <v>4142.0209999999997</v>
      </c>
      <c r="N2646" s="85">
        <f>STATS1003B!N2654/1000</f>
        <v>0</v>
      </c>
      <c r="O2646" s="85">
        <f>STATS1003B!O2654/1000</f>
        <v>0</v>
      </c>
      <c r="P2646" s="85">
        <f>STATS1003B!P2654/1000</f>
        <v>0</v>
      </c>
      <c r="Q2646" s="85">
        <f>STATS1003B!Q2654/1000</f>
        <v>0</v>
      </c>
      <c r="R2646" s="85">
        <f>STATS1003B!R2654/1000</f>
        <v>0</v>
      </c>
      <c r="S2646" s="85">
        <f>STATS1003B!S2654/1000</f>
        <v>0</v>
      </c>
      <c r="T2646" s="85">
        <f>STATS1003B!T2654/1000</f>
        <v>0</v>
      </c>
      <c r="U2646" s="85">
        <f>STATS1003B!U2654/1000</f>
        <v>0</v>
      </c>
      <c r="V2646" s="85">
        <f>STATS1003B!V2654/1000</f>
        <v>4142.0209999999997</v>
      </c>
      <c r="W2646" s="85">
        <f>STATS1003B!W2654/1000</f>
        <v>0</v>
      </c>
      <c r="X2646" s="85">
        <f t="shared" si="285"/>
        <v>4142.0209999999997</v>
      </c>
      <c r="Y2646" s="85">
        <f>STATS1003B!Y2654/1000</f>
        <v>0</v>
      </c>
      <c r="Z2646" s="85">
        <f>STATS1003B!Z2654/1000</f>
        <v>0</v>
      </c>
      <c r="AA2646" s="69">
        <f>STATS1003B!AA2654/1000</f>
        <v>4142.0209999999997</v>
      </c>
      <c r="AB2646" s="69">
        <f>STATS1003B!AB2654/1000</f>
        <v>0</v>
      </c>
    </row>
    <row r="2647" spans="1:28" hidden="1" x14ac:dyDescent="0.3">
      <c r="A2647" s="117"/>
      <c r="C2647" s="68" t="s">
        <v>57</v>
      </c>
      <c r="D2647" s="145" t="s">
        <v>60</v>
      </c>
      <c r="E2647" s="85">
        <f>STATS1003B!E2655/1000</f>
        <v>8092.3405000000002</v>
      </c>
      <c r="F2647" s="85">
        <f>STATS1003B!F2655/1000</f>
        <v>8092.3405000000002</v>
      </c>
      <c r="G2647" s="85">
        <f>STATS1003B!G2655/1000</f>
        <v>0</v>
      </c>
      <c r="H2647" s="85">
        <f>STATS1003B!H2655/1000</f>
        <v>8092.3405000000002</v>
      </c>
      <c r="I2647" s="85">
        <f>STATS1003B!I2655/1000</f>
        <v>0</v>
      </c>
      <c r="J2647" s="85">
        <f>STATS1003B!J2655/1000</f>
        <v>0</v>
      </c>
      <c r="K2647" s="85">
        <f>STATS1003B!K2655/1000</f>
        <v>0</v>
      </c>
      <c r="L2647" s="85">
        <f>STATS1003B!L2655/1000</f>
        <v>0</v>
      </c>
      <c r="M2647" s="85">
        <f>STATS1003B!M2655/1000</f>
        <v>8092.3405000000002</v>
      </c>
      <c r="N2647" s="85">
        <f>STATS1003B!N2655/1000</f>
        <v>0</v>
      </c>
      <c r="O2647" s="85">
        <f>STATS1003B!O2655/1000</f>
        <v>0</v>
      </c>
      <c r="P2647" s="85">
        <f>STATS1003B!P2655/1000</f>
        <v>0</v>
      </c>
      <c r="Q2647" s="85">
        <f>STATS1003B!Q2655/1000</f>
        <v>0</v>
      </c>
      <c r="R2647" s="85">
        <f>STATS1003B!R2655/1000</f>
        <v>0</v>
      </c>
      <c r="S2647" s="85">
        <f>STATS1003B!S2655/1000</f>
        <v>0</v>
      </c>
      <c r="T2647" s="85">
        <f>STATS1003B!T2655/1000</f>
        <v>0</v>
      </c>
      <c r="U2647" s="85">
        <f>STATS1003B!U2655/1000</f>
        <v>0</v>
      </c>
      <c r="V2647" s="85">
        <f>STATS1003B!V2655/1000</f>
        <v>8092.3405000000002</v>
      </c>
      <c r="W2647" s="85">
        <f>STATS1003B!W2655/1000</f>
        <v>0</v>
      </c>
      <c r="X2647" s="85">
        <f t="shared" si="285"/>
        <v>8092.3405000000002</v>
      </c>
      <c r="Y2647" s="85">
        <f>STATS1003B!Y2655/1000</f>
        <v>0</v>
      </c>
      <c r="Z2647" s="85">
        <f>STATS1003B!Z2655/1000</f>
        <v>0</v>
      </c>
      <c r="AA2647" s="69">
        <f>STATS1003B!AA2655/1000</f>
        <v>8092.3405000000002</v>
      </c>
      <c r="AB2647" s="69">
        <f>STATS1003B!AB2655/1000</f>
        <v>0</v>
      </c>
    </row>
    <row r="2648" spans="1:28" hidden="1" x14ac:dyDescent="0.3">
      <c r="A2648" s="117"/>
      <c r="C2648" s="71" t="s">
        <v>109</v>
      </c>
      <c r="D2648" s="88" t="s">
        <v>60</v>
      </c>
      <c r="E2648" s="85">
        <f>STATS1003B!E2656/1000</f>
        <v>10000</v>
      </c>
      <c r="F2648" s="85">
        <f>STATS1003B!F2656/1000</f>
        <v>10000</v>
      </c>
      <c r="G2648" s="85">
        <f>STATS1003B!G2656/1000</f>
        <v>0</v>
      </c>
      <c r="H2648" s="85">
        <f>STATS1003B!H2656/1000</f>
        <v>10000</v>
      </c>
      <c r="I2648" s="85">
        <f>STATS1003B!I2656/1000</f>
        <v>0</v>
      </c>
      <c r="J2648" s="85">
        <f>STATS1003B!J2656/1000</f>
        <v>0</v>
      </c>
      <c r="K2648" s="85">
        <f>STATS1003B!K2656/1000</f>
        <v>0</v>
      </c>
      <c r="L2648" s="85">
        <f>STATS1003B!L2656/1000</f>
        <v>0</v>
      </c>
      <c r="M2648" s="85">
        <f>STATS1003B!M2656/1000</f>
        <v>10000</v>
      </c>
      <c r="N2648" s="85">
        <f>STATS1003B!N2656/1000</f>
        <v>0</v>
      </c>
      <c r="O2648" s="85">
        <f>STATS1003B!O2656/1000</f>
        <v>0</v>
      </c>
      <c r="P2648" s="85">
        <f>STATS1003B!P2656/1000</f>
        <v>0</v>
      </c>
      <c r="Q2648" s="85">
        <f>STATS1003B!Q2656/1000</f>
        <v>0</v>
      </c>
      <c r="R2648" s="85">
        <f>STATS1003B!R2656/1000</f>
        <v>0</v>
      </c>
      <c r="S2648" s="85">
        <f>STATS1003B!S2656/1000</f>
        <v>0</v>
      </c>
      <c r="T2648" s="85">
        <f>STATS1003B!T2656/1000</f>
        <v>0</v>
      </c>
      <c r="U2648" s="85">
        <f>STATS1003B!U2656/1000</f>
        <v>0</v>
      </c>
      <c r="V2648" s="85">
        <f>STATS1003B!V2656/1000</f>
        <v>10000</v>
      </c>
      <c r="W2648" s="85">
        <f>STATS1003B!W2656/1000</f>
        <v>0</v>
      </c>
      <c r="X2648" s="85">
        <f t="shared" si="285"/>
        <v>10000</v>
      </c>
      <c r="Y2648" s="85">
        <f>STATS1003B!Y2656/1000</f>
        <v>0</v>
      </c>
      <c r="Z2648" s="85">
        <f>STATS1003B!Z2656/1000</f>
        <v>0</v>
      </c>
      <c r="AA2648" s="69">
        <f>STATS1003B!AA2656/1000</f>
        <v>10000</v>
      </c>
      <c r="AB2648" s="69">
        <f>STATS1003B!AB2656/1000</f>
        <v>0</v>
      </c>
    </row>
    <row r="2649" spans="1:28" hidden="1" x14ac:dyDescent="0.3">
      <c r="A2649" s="117"/>
      <c r="C2649" s="68" t="s">
        <v>458</v>
      </c>
      <c r="D2649" s="145" t="s">
        <v>73</v>
      </c>
      <c r="E2649" s="85">
        <f>STATS1003B!E2657/1000</f>
        <v>5243.7809999999999</v>
      </c>
      <c r="F2649" s="85">
        <f>STATS1003B!F2657/1000</f>
        <v>5243.7809999999999</v>
      </c>
      <c r="G2649" s="85">
        <f>STATS1003B!G2657/1000</f>
        <v>0</v>
      </c>
      <c r="H2649" s="85">
        <f>STATS1003B!H2657/1000</f>
        <v>5243.7809999999999</v>
      </c>
      <c r="I2649" s="85">
        <f>STATS1003B!I2657/1000</f>
        <v>0</v>
      </c>
      <c r="J2649" s="85">
        <f>STATS1003B!J2657/1000</f>
        <v>0</v>
      </c>
      <c r="K2649" s="85">
        <f>STATS1003B!K2657/1000</f>
        <v>0</v>
      </c>
      <c r="L2649" s="85">
        <f>STATS1003B!L2657/1000</f>
        <v>0</v>
      </c>
      <c r="M2649" s="85">
        <f>STATS1003B!M2657/1000</f>
        <v>5243.7809999999999</v>
      </c>
      <c r="N2649" s="85">
        <f>STATS1003B!N2657/1000</f>
        <v>0</v>
      </c>
      <c r="O2649" s="85">
        <f>STATS1003B!O2657/1000</f>
        <v>0</v>
      </c>
      <c r="P2649" s="85">
        <f>STATS1003B!P2657/1000</f>
        <v>0</v>
      </c>
      <c r="Q2649" s="85">
        <f>STATS1003B!Q2657/1000</f>
        <v>0</v>
      </c>
      <c r="R2649" s="85">
        <f>STATS1003B!R2657/1000</f>
        <v>0</v>
      </c>
      <c r="S2649" s="85">
        <f>STATS1003B!S2657/1000</f>
        <v>0</v>
      </c>
      <c r="T2649" s="85">
        <f>STATS1003B!T2657/1000</f>
        <v>0</v>
      </c>
      <c r="U2649" s="85">
        <f>STATS1003B!U2657/1000</f>
        <v>0</v>
      </c>
      <c r="V2649" s="85">
        <f>STATS1003B!V2657/1000</f>
        <v>5243.7809999999999</v>
      </c>
      <c r="W2649" s="85">
        <f>STATS1003B!W2657/1000</f>
        <v>0</v>
      </c>
      <c r="X2649" s="85">
        <f t="shared" si="285"/>
        <v>5243.7809999999999</v>
      </c>
      <c r="Y2649" s="85">
        <f>STATS1003B!Y2657/1000</f>
        <v>0</v>
      </c>
      <c r="Z2649" s="85">
        <f>STATS1003B!Z2657/1000</f>
        <v>0</v>
      </c>
      <c r="AA2649" s="69">
        <f>STATS1003B!AA2657/1000</f>
        <v>5243.7809999999999</v>
      </c>
      <c r="AB2649" s="69">
        <f>STATS1003B!AB2657/1000</f>
        <v>0</v>
      </c>
    </row>
    <row r="2650" spans="1:28" hidden="1" x14ac:dyDescent="0.3">
      <c r="A2650" s="117"/>
      <c r="C2650" s="68" t="s">
        <v>57</v>
      </c>
      <c r="D2650" s="90" t="s">
        <v>61</v>
      </c>
      <c r="E2650" s="85">
        <f>STATS1003B!E2658/1000</f>
        <v>1211.33879</v>
      </c>
      <c r="F2650" s="85">
        <f>STATS1003B!F2658/1000</f>
        <v>1211.33879</v>
      </c>
      <c r="G2650" s="85">
        <f>STATS1003B!G2658/1000</f>
        <v>0</v>
      </c>
      <c r="H2650" s="85">
        <f>STATS1003B!H2658/1000</f>
        <v>1211.33879</v>
      </c>
      <c r="I2650" s="85">
        <f>STATS1003B!I2658/1000</f>
        <v>0</v>
      </c>
      <c r="J2650" s="85">
        <f>STATS1003B!J2658/1000</f>
        <v>0</v>
      </c>
      <c r="K2650" s="85">
        <f>STATS1003B!K2658/1000</f>
        <v>0</v>
      </c>
      <c r="L2650" s="85">
        <f>STATS1003B!L2658/1000</f>
        <v>0</v>
      </c>
      <c r="M2650" s="85">
        <f>STATS1003B!M2658/1000</f>
        <v>1211.33879</v>
      </c>
      <c r="N2650" s="85">
        <f>STATS1003B!N2658/1000</f>
        <v>0</v>
      </c>
      <c r="O2650" s="85">
        <f>STATS1003B!O2658/1000</f>
        <v>0</v>
      </c>
      <c r="P2650" s="85">
        <f>STATS1003B!P2658/1000</f>
        <v>0</v>
      </c>
      <c r="Q2650" s="85">
        <f>STATS1003B!Q2658/1000</f>
        <v>0</v>
      </c>
      <c r="R2650" s="85">
        <f>STATS1003B!R2658/1000</f>
        <v>0</v>
      </c>
      <c r="S2650" s="85">
        <f>STATS1003B!S2658/1000</f>
        <v>0</v>
      </c>
      <c r="T2650" s="85">
        <f>STATS1003B!T2658/1000</f>
        <v>0</v>
      </c>
      <c r="U2650" s="85">
        <f>STATS1003B!U2658/1000</f>
        <v>0</v>
      </c>
      <c r="V2650" s="85">
        <f>STATS1003B!V2658/1000</f>
        <v>1211.33879</v>
      </c>
      <c r="W2650" s="85">
        <f>STATS1003B!W2658/1000</f>
        <v>0</v>
      </c>
      <c r="X2650" s="85">
        <f t="shared" si="285"/>
        <v>1211.33879</v>
      </c>
      <c r="Y2650" s="85">
        <f>STATS1003B!Y2658/1000</f>
        <v>0</v>
      </c>
      <c r="Z2650" s="85">
        <f>STATS1003B!Z2658/1000</f>
        <v>0</v>
      </c>
      <c r="AA2650" s="69">
        <f>STATS1003B!AA2658/1000</f>
        <v>1211.33879</v>
      </c>
      <c r="AB2650" s="69">
        <f>STATS1003B!AB2658/1000</f>
        <v>0</v>
      </c>
    </row>
    <row r="2651" spans="1:28" hidden="1" x14ac:dyDescent="0.3">
      <c r="A2651" s="117"/>
      <c r="C2651" s="68" t="s">
        <v>930</v>
      </c>
      <c r="D2651" s="90" t="s">
        <v>1072</v>
      </c>
      <c r="E2651" s="85">
        <f>STATS1003B!E2659/1000</f>
        <v>5500.1475</v>
      </c>
      <c r="F2651" s="85">
        <f>STATS1003B!F2659/1000</f>
        <v>5500.1475</v>
      </c>
      <c r="G2651" s="85">
        <f>STATS1003B!G2659/1000</f>
        <v>0</v>
      </c>
      <c r="H2651" s="85">
        <f>STATS1003B!H2659/1000</f>
        <v>5500.1475</v>
      </c>
      <c r="I2651" s="85">
        <f>STATS1003B!I2659/1000</f>
        <v>0</v>
      </c>
      <c r="J2651" s="85">
        <f>STATS1003B!J2659/1000</f>
        <v>0</v>
      </c>
      <c r="K2651" s="85">
        <f>STATS1003B!K2659/1000</f>
        <v>0</v>
      </c>
      <c r="L2651" s="85">
        <f>STATS1003B!L2659/1000</f>
        <v>0</v>
      </c>
      <c r="M2651" s="85">
        <f>STATS1003B!M2659/1000</f>
        <v>5500.1475</v>
      </c>
      <c r="N2651" s="85">
        <f>STATS1003B!N2659/1000</f>
        <v>0</v>
      </c>
      <c r="O2651" s="85">
        <f>STATS1003B!O2659/1000</f>
        <v>0</v>
      </c>
      <c r="P2651" s="85">
        <f>STATS1003B!P2659/1000</f>
        <v>0</v>
      </c>
      <c r="Q2651" s="85">
        <f>STATS1003B!Q2659/1000</f>
        <v>0</v>
      </c>
      <c r="R2651" s="85">
        <f>STATS1003B!R2659/1000</f>
        <v>0</v>
      </c>
      <c r="S2651" s="85">
        <f>STATS1003B!S2659/1000</f>
        <v>0</v>
      </c>
      <c r="T2651" s="85">
        <f>STATS1003B!T2659/1000</f>
        <v>0</v>
      </c>
      <c r="U2651" s="85">
        <f>STATS1003B!U2659/1000</f>
        <v>0</v>
      </c>
      <c r="V2651" s="85">
        <f>STATS1003B!V2659/1000</f>
        <v>5500.1475</v>
      </c>
      <c r="W2651" s="85">
        <f>STATS1003B!W2659/1000</f>
        <v>0</v>
      </c>
      <c r="X2651" s="85">
        <f t="shared" si="285"/>
        <v>5500.1475</v>
      </c>
      <c r="Y2651" s="85">
        <f>STATS1003B!Y2659/1000</f>
        <v>0</v>
      </c>
      <c r="Z2651" s="85">
        <f>STATS1003B!Z2659/1000</f>
        <v>0</v>
      </c>
      <c r="AA2651" s="69">
        <f>STATS1003B!AA2659/1000</f>
        <v>5500.1475</v>
      </c>
      <c r="AB2651" s="69">
        <f>STATS1003B!AB2659/1000</f>
        <v>0</v>
      </c>
    </row>
    <row r="2652" spans="1:28" hidden="1" x14ac:dyDescent="0.3">
      <c r="A2652" s="117"/>
      <c r="C2652" s="68" t="s">
        <v>1088</v>
      </c>
      <c r="D2652" s="90" t="s">
        <v>1072</v>
      </c>
      <c r="E2652" s="85">
        <f>STATS1003B!E2660/1000</f>
        <v>4336.68534</v>
      </c>
      <c r="F2652" s="85">
        <f>STATS1003B!F2660/1000</f>
        <v>4336.68534</v>
      </c>
      <c r="G2652" s="85">
        <f>STATS1003B!G2660/1000</f>
        <v>0</v>
      </c>
      <c r="H2652" s="85">
        <f>STATS1003B!H2660/1000</f>
        <v>4336.68534</v>
      </c>
      <c r="I2652" s="85">
        <f>STATS1003B!I2660/1000</f>
        <v>0</v>
      </c>
      <c r="J2652" s="85">
        <f>STATS1003B!J2660/1000</f>
        <v>0</v>
      </c>
      <c r="K2652" s="85">
        <f>STATS1003B!K2660/1000</f>
        <v>0</v>
      </c>
      <c r="L2652" s="85">
        <f>STATS1003B!L2660/1000</f>
        <v>0</v>
      </c>
      <c r="M2652" s="85">
        <f>STATS1003B!M2660/1000</f>
        <v>4336.68534</v>
      </c>
      <c r="N2652" s="85">
        <f>STATS1003B!N2660/1000</f>
        <v>0</v>
      </c>
      <c r="O2652" s="85">
        <f>STATS1003B!O2660/1000</f>
        <v>0</v>
      </c>
      <c r="P2652" s="85">
        <f>STATS1003B!P2660/1000</f>
        <v>0</v>
      </c>
      <c r="Q2652" s="85">
        <f>STATS1003B!Q2660/1000</f>
        <v>0</v>
      </c>
      <c r="R2652" s="85">
        <f>STATS1003B!R2660/1000</f>
        <v>0</v>
      </c>
      <c r="S2652" s="85">
        <f>STATS1003B!S2660/1000</f>
        <v>0</v>
      </c>
      <c r="T2652" s="85">
        <f>STATS1003B!T2660/1000</f>
        <v>0</v>
      </c>
      <c r="U2652" s="85">
        <f>STATS1003B!U2660/1000</f>
        <v>0</v>
      </c>
      <c r="V2652" s="85">
        <f>STATS1003B!V2660/1000</f>
        <v>4336.68534</v>
      </c>
      <c r="W2652" s="85">
        <f>STATS1003B!W2660/1000</f>
        <v>0</v>
      </c>
      <c r="X2652" s="85">
        <f t="shared" si="285"/>
        <v>4336.68534</v>
      </c>
      <c r="Y2652" s="85">
        <f>STATS1003B!Y2660/1000</f>
        <v>0</v>
      </c>
      <c r="Z2652" s="85">
        <f>STATS1003B!Z2660/1000</f>
        <v>0</v>
      </c>
      <c r="AA2652" s="69">
        <f>STATS1003B!AA2660/1000</f>
        <v>4336.68534</v>
      </c>
      <c r="AB2652" s="69">
        <f>STATS1003B!AB2660/1000</f>
        <v>0</v>
      </c>
    </row>
    <row r="2653" spans="1:28" hidden="1" x14ac:dyDescent="0.3">
      <c r="A2653" s="117"/>
      <c r="C2653" s="68" t="s">
        <v>1209</v>
      </c>
      <c r="D2653" s="90" t="s">
        <v>1126</v>
      </c>
      <c r="E2653" s="85">
        <f>STATS1003B!E2661/1000</f>
        <v>1734.92031</v>
      </c>
      <c r="F2653" s="85">
        <f>STATS1003B!F2661/1000</f>
        <v>1734.92031</v>
      </c>
      <c r="G2653" s="85">
        <f>STATS1003B!G2661/1000</f>
        <v>0</v>
      </c>
      <c r="H2653" s="85">
        <f>STATS1003B!H2661/1000</f>
        <v>1734.92031</v>
      </c>
      <c r="I2653" s="85">
        <f>STATS1003B!I2661/1000</f>
        <v>0</v>
      </c>
      <c r="J2653" s="85">
        <f>STATS1003B!J2661/1000</f>
        <v>0</v>
      </c>
      <c r="K2653" s="85">
        <f>STATS1003B!K2661/1000</f>
        <v>0</v>
      </c>
      <c r="L2653" s="85">
        <f>STATS1003B!L2661/1000</f>
        <v>0</v>
      </c>
      <c r="M2653" s="85">
        <f>STATS1003B!M2661/1000</f>
        <v>1734.92031</v>
      </c>
      <c r="N2653" s="85">
        <f>STATS1003B!N2661/1000</f>
        <v>0</v>
      </c>
      <c r="O2653" s="85">
        <f>STATS1003B!O2661/1000</f>
        <v>0</v>
      </c>
      <c r="P2653" s="85">
        <f>STATS1003B!P2661/1000</f>
        <v>0</v>
      </c>
      <c r="Q2653" s="85">
        <f>STATS1003B!Q2661/1000</f>
        <v>0</v>
      </c>
      <c r="R2653" s="85">
        <f>STATS1003B!R2661/1000</f>
        <v>0</v>
      </c>
      <c r="S2653" s="85">
        <f>STATS1003B!S2661/1000</f>
        <v>0</v>
      </c>
      <c r="T2653" s="85">
        <f>STATS1003B!T2661/1000</f>
        <v>0</v>
      </c>
      <c r="U2653" s="85">
        <f>STATS1003B!U2661/1000</f>
        <v>0</v>
      </c>
      <c r="V2653" s="85">
        <f>STATS1003B!V2661/1000</f>
        <v>1734.92031</v>
      </c>
      <c r="W2653" s="85">
        <f>STATS1003B!W2661/1000</f>
        <v>0</v>
      </c>
      <c r="X2653" s="85">
        <f t="shared" si="285"/>
        <v>1734.92031</v>
      </c>
      <c r="Y2653" s="85">
        <f>STATS1003B!Y2661/1000</f>
        <v>0</v>
      </c>
      <c r="Z2653" s="85">
        <f>STATS1003B!Z2661/1000</f>
        <v>0</v>
      </c>
      <c r="AA2653" s="69">
        <f>STATS1003B!AA2661/1000</f>
        <v>1734.92031</v>
      </c>
      <c r="AB2653" s="69">
        <f>STATS1003B!AB2661/1000</f>
        <v>0</v>
      </c>
    </row>
    <row r="2654" spans="1:28" hidden="1" x14ac:dyDescent="0.3">
      <c r="A2654" s="117"/>
      <c r="C2654" s="68" t="s">
        <v>1176</v>
      </c>
      <c r="D2654" s="90" t="s">
        <v>1126</v>
      </c>
      <c r="E2654" s="85">
        <f>STATS1003B!E2662/1000</f>
        <v>2964.5915399999999</v>
      </c>
      <c r="F2654" s="85">
        <f>STATS1003B!F2662/1000</f>
        <v>2964.5915399999999</v>
      </c>
      <c r="G2654" s="85">
        <f>STATS1003B!G2662/1000</f>
        <v>0</v>
      </c>
      <c r="H2654" s="85">
        <f>STATS1003B!H2662/1000</f>
        <v>2964.5915399999999</v>
      </c>
      <c r="I2654" s="85">
        <f>STATS1003B!I2662/1000</f>
        <v>0</v>
      </c>
      <c r="J2654" s="85">
        <f>STATS1003B!J2662/1000</f>
        <v>0</v>
      </c>
      <c r="K2654" s="85">
        <f>STATS1003B!K2662/1000</f>
        <v>0</v>
      </c>
      <c r="L2654" s="85">
        <f>STATS1003B!L2662/1000</f>
        <v>0</v>
      </c>
      <c r="M2654" s="85">
        <f>STATS1003B!M2662/1000</f>
        <v>2964.5915399999999</v>
      </c>
      <c r="N2654" s="85">
        <f>STATS1003B!N2662/1000</f>
        <v>0</v>
      </c>
      <c r="O2654" s="85">
        <f>STATS1003B!O2662/1000</f>
        <v>0</v>
      </c>
      <c r="P2654" s="85">
        <f>STATS1003B!P2662/1000</f>
        <v>0</v>
      </c>
      <c r="Q2654" s="85">
        <f>STATS1003B!Q2662/1000</f>
        <v>0</v>
      </c>
      <c r="R2654" s="85">
        <f>STATS1003B!R2662/1000</f>
        <v>0</v>
      </c>
      <c r="S2654" s="85">
        <f>STATS1003B!S2662/1000</f>
        <v>0</v>
      </c>
      <c r="T2654" s="85">
        <f>STATS1003B!T2662/1000</f>
        <v>0</v>
      </c>
      <c r="U2654" s="85">
        <f>STATS1003B!U2662/1000</f>
        <v>0</v>
      </c>
      <c r="V2654" s="85">
        <f>STATS1003B!V2662/1000</f>
        <v>2964.5915399999999</v>
      </c>
      <c r="W2654" s="85">
        <f>STATS1003B!W2662/1000</f>
        <v>0</v>
      </c>
      <c r="X2654" s="85">
        <f t="shared" si="285"/>
        <v>2964.5915399999999</v>
      </c>
      <c r="Y2654" s="85">
        <f>STATS1003B!Y2662/1000</f>
        <v>0</v>
      </c>
      <c r="Z2654" s="85">
        <f>STATS1003B!Z2662/1000</f>
        <v>0</v>
      </c>
      <c r="AA2654" s="69">
        <f>STATS1003B!AA2662/1000</f>
        <v>2964.5915399999999</v>
      </c>
      <c r="AB2654" s="69">
        <f>STATS1003B!AB2662/1000</f>
        <v>0</v>
      </c>
    </row>
    <row r="2655" spans="1:28" hidden="1" x14ac:dyDescent="0.3">
      <c r="A2655" s="117"/>
      <c r="C2655" s="68" t="s">
        <v>1242</v>
      </c>
      <c r="D2655" s="90" t="s">
        <v>1225</v>
      </c>
      <c r="E2655" s="85">
        <f>STATS1003B!E2663/1000</f>
        <v>7022.4303099999997</v>
      </c>
      <c r="F2655" s="85">
        <f>STATS1003B!F2663/1000</f>
        <v>7022.4303099999997</v>
      </c>
      <c r="G2655" s="85">
        <f>STATS1003B!G2663/1000</f>
        <v>0</v>
      </c>
      <c r="H2655" s="85">
        <f>STATS1003B!H2663/1000</f>
        <v>7022.4303099999997</v>
      </c>
      <c r="I2655" s="85">
        <f>STATS1003B!I2663/1000</f>
        <v>0</v>
      </c>
      <c r="J2655" s="85">
        <f>STATS1003B!J2663/1000</f>
        <v>0</v>
      </c>
      <c r="K2655" s="85">
        <f>STATS1003B!K2663/1000</f>
        <v>0</v>
      </c>
      <c r="L2655" s="85">
        <f>STATS1003B!L2663/1000</f>
        <v>0</v>
      </c>
      <c r="M2655" s="85">
        <f>STATS1003B!M2663/1000</f>
        <v>7022.4303099999997</v>
      </c>
      <c r="N2655" s="85">
        <f>STATS1003B!N2663/1000</f>
        <v>0</v>
      </c>
      <c r="O2655" s="85">
        <f>STATS1003B!O2663/1000</f>
        <v>0</v>
      </c>
      <c r="P2655" s="85">
        <f>STATS1003B!P2663/1000</f>
        <v>0</v>
      </c>
      <c r="Q2655" s="85">
        <f>STATS1003B!Q2663/1000</f>
        <v>0</v>
      </c>
      <c r="R2655" s="85">
        <f>STATS1003B!R2663/1000</f>
        <v>0</v>
      </c>
      <c r="S2655" s="85">
        <f>STATS1003B!S2663/1000</f>
        <v>0</v>
      </c>
      <c r="T2655" s="85">
        <f>STATS1003B!T2663/1000</f>
        <v>0</v>
      </c>
      <c r="U2655" s="85">
        <f>STATS1003B!U2663/1000</f>
        <v>0</v>
      </c>
      <c r="V2655" s="85">
        <f>STATS1003B!V2663/1000</f>
        <v>0</v>
      </c>
      <c r="W2655" s="85">
        <f>STATS1003B!W2663/1000</f>
        <v>0</v>
      </c>
      <c r="X2655" s="85">
        <f t="shared" si="285"/>
        <v>7022.4303099999997</v>
      </c>
      <c r="Y2655" s="85">
        <f>STATS1003B!Y2663/1000</f>
        <v>0</v>
      </c>
      <c r="Z2655" s="85">
        <f>STATS1003B!Z2663/1000</f>
        <v>0</v>
      </c>
      <c r="AA2655" s="69">
        <f>STATS1003B!AA2663/1000</f>
        <v>7022.4303099999997</v>
      </c>
      <c r="AB2655" s="69">
        <f>STATS1003B!AB2663/1000</f>
        <v>0</v>
      </c>
    </row>
    <row r="2656" spans="1:28" hidden="1" x14ac:dyDescent="0.3">
      <c r="A2656" s="117"/>
      <c r="C2656" s="68" t="s">
        <v>507</v>
      </c>
      <c r="D2656" s="90"/>
      <c r="E2656" s="85">
        <f>STATS1003B!E2664/1000</f>
        <v>3102.9483100000002</v>
      </c>
      <c r="F2656" s="85">
        <f>STATS1003B!F2664/1000</f>
        <v>3102.9483100000002</v>
      </c>
      <c r="G2656" s="85">
        <f>STATS1003B!G2664/1000</f>
        <v>0</v>
      </c>
      <c r="H2656" s="85">
        <f>STATS1003B!H2664/1000</f>
        <v>3102.9483100000002</v>
      </c>
      <c r="I2656" s="85">
        <f>STATS1003B!I2664/1000</f>
        <v>0</v>
      </c>
      <c r="J2656" s="85">
        <f>STATS1003B!J2664/1000</f>
        <v>0</v>
      </c>
      <c r="K2656" s="85">
        <f>STATS1003B!K2664/1000</f>
        <v>0</v>
      </c>
      <c r="L2656" s="85">
        <f>STATS1003B!L2664/1000</f>
        <v>0</v>
      </c>
      <c r="M2656" s="85">
        <f>STATS1003B!M2664/1000</f>
        <v>3102.9483100000002</v>
      </c>
      <c r="N2656" s="85">
        <f>STATS1003B!N2664/1000</f>
        <v>0</v>
      </c>
      <c r="O2656" s="85">
        <f>STATS1003B!O2664/1000</f>
        <v>0</v>
      </c>
      <c r="P2656" s="85">
        <f>STATS1003B!P2664/1000</f>
        <v>0</v>
      </c>
      <c r="Q2656" s="85">
        <f>STATS1003B!Q2664/1000</f>
        <v>0</v>
      </c>
      <c r="R2656" s="85">
        <f>STATS1003B!R2664/1000</f>
        <v>0</v>
      </c>
      <c r="S2656" s="85">
        <f>STATS1003B!S2664/1000</f>
        <v>0</v>
      </c>
      <c r="T2656" s="85">
        <f>STATS1003B!T2664/1000</f>
        <v>0</v>
      </c>
      <c r="U2656" s="85">
        <f>STATS1003B!U2664/1000</f>
        <v>0</v>
      </c>
      <c r="V2656" s="85">
        <f>STATS1003B!V2664/1000</f>
        <v>3102.9483100000002</v>
      </c>
      <c r="W2656" s="85">
        <f>STATS1003B!W2664/1000</f>
        <v>0</v>
      </c>
      <c r="X2656" s="85">
        <f t="shared" si="285"/>
        <v>3102.9483100000002</v>
      </c>
      <c r="Y2656" s="85">
        <f>STATS1003B!Y2664/1000</f>
        <v>0</v>
      </c>
      <c r="Z2656" s="85">
        <f>STATS1003B!Z2664/1000</f>
        <v>0</v>
      </c>
      <c r="AA2656" s="69">
        <f>STATS1003B!AA2664/1000</f>
        <v>3102.9483100000002</v>
      </c>
      <c r="AB2656" s="69">
        <f>STATS1003B!AB2664/1000</f>
        <v>0</v>
      </c>
    </row>
    <row r="2657" spans="1:28" hidden="1" x14ac:dyDescent="0.3">
      <c r="A2657" s="117"/>
      <c r="E2657" s="86" t="s">
        <v>29</v>
      </c>
      <c r="F2657" s="86" t="s">
        <v>29</v>
      </c>
      <c r="G2657" s="86" t="s">
        <v>29</v>
      </c>
      <c r="H2657" s="86" t="s">
        <v>29</v>
      </c>
      <c r="I2657" s="86" t="s">
        <v>29</v>
      </c>
      <c r="J2657" s="86" t="s">
        <v>29</v>
      </c>
      <c r="K2657" s="86" t="s">
        <v>29</v>
      </c>
      <c r="L2657" s="86" t="s">
        <v>29</v>
      </c>
      <c r="M2657" s="86" t="s">
        <v>29</v>
      </c>
      <c r="N2657" s="86" t="s">
        <v>29</v>
      </c>
      <c r="O2657" s="86" t="s">
        <v>29</v>
      </c>
      <c r="P2657" s="86" t="s">
        <v>29</v>
      </c>
      <c r="Q2657" s="86" t="s">
        <v>29</v>
      </c>
      <c r="R2657" s="86" t="s">
        <v>29</v>
      </c>
      <c r="S2657" s="86" t="s">
        <v>29</v>
      </c>
      <c r="T2657" s="86" t="s">
        <v>29</v>
      </c>
      <c r="U2657" s="86" t="s">
        <v>29</v>
      </c>
      <c r="V2657" s="86" t="s">
        <v>29</v>
      </c>
      <c r="W2657" s="86" t="s">
        <v>29</v>
      </c>
      <c r="X2657" s="85" t="e">
        <f t="shared" si="285"/>
        <v>#VALUE!</v>
      </c>
      <c r="Y2657" s="86" t="s">
        <v>29</v>
      </c>
      <c r="Z2657" s="86" t="s">
        <v>29</v>
      </c>
      <c r="AA2657" s="115" t="s">
        <v>29</v>
      </c>
      <c r="AB2657" s="115" t="s">
        <v>29</v>
      </c>
    </row>
    <row r="2658" spans="1:28" x14ac:dyDescent="0.3">
      <c r="A2658" s="116">
        <v>115</v>
      </c>
      <c r="B2658" s="68" t="s">
        <v>460</v>
      </c>
      <c r="E2658" s="85">
        <f>145677532.31/1000</f>
        <v>145677.53231000001</v>
      </c>
      <c r="F2658" s="85">
        <f t="shared" ref="F2658:AB2658" si="288">SUM(F2639:F2656)</f>
        <v>83224.331019999998</v>
      </c>
      <c r="G2658" s="85">
        <f t="shared" si="288"/>
        <v>0</v>
      </c>
      <c r="H2658" s="85">
        <f>143357025.55/1000</f>
        <v>143357.02555000002</v>
      </c>
      <c r="I2658" s="85">
        <f t="shared" si="288"/>
        <v>0</v>
      </c>
      <c r="J2658" s="85">
        <f t="shared" si="288"/>
        <v>0</v>
      </c>
      <c r="K2658" s="85">
        <f t="shared" si="288"/>
        <v>0</v>
      </c>
      <c r="L2658" s="85">
        <f t="shared" si="288"/>
        <v>0</v>
      </c>
      <c r="M2658" s="85">
        <f t="shared" si="288"/>
        <v>83224.331019999998</v>
      </c>
      <c r="N2658" s="85">
        <f t="shared" si="288"/>
        <v>2320.5067600000002</v>
      </c>
      <c r="O2658" s="85">
        <f t="shared" si="288"/>
        <v>0</v>
      </c>
      <c r="P2658" s="85">
        <f>2320506/1000</f>
        <v>2320.5059999999999</v>
      </c>
      <c r="Q2658" s="85">
        <f t="shared" si="288"/>
        <v>0</v>
      </c>
      <c r="R2658" s="85">
        <f t="shared" si="288"/>
        <v>0</v>
      </c>
      <c r="S2658" s="85">
        <f t="shared" si="288"/>
        <v>0</v>
      </c>
      <c r="T2658" s="85">
        <f t="shared" si="288"/>
        <v>0</v>
      </c>
      <c r="U2658" s="85">
        <f t="shared" si="288"/>
        <v>2320.5067600000002</v>
      </c>
      <c r="V2658" s="85">
        <f t="shared" si="288"/>
        <v>78522.407470000006</v>
      </c>
      <c r="W2658" s="85">
        <f t="shared" si="288"/>
        <v>0</v>
      </c>
      <c r="X2658" s="85">
        <f t="shared" si="285"/>
        <v>145677.53155000001</v>
      </c>
      <c r="Y2658" s="85">
        <f t="shared" si="288"/>
        <v>0</v>
      </c>
      <c r="Z2658" s="85">
        <f>+E2658-X2658</f>
        <v>7.5999999535270035E-4</v>
      </c>
      <c r="AA2658" s="69">
        <f t="shared" si="288"/>
        <v>85544.837780000002</v>
      </c>
      <c r="AB2658" s="69">
        <f t="shared" si="288"/>
        <v>0</v>
      </c>
    </row>
    <row r="2659" spans="1:28" x14ac:dyDescent="0.3">
      <c r="A2659" s="117"/>
      <c r="E2659" s="86"/>
      <c r="F2659" s="86"/>
      <c r="G2659" s="86"/>
      <c r="H2659" s="86"/>
      <c r="I2659" s="86"/>
      <c r="J2659" s="86"/>
      <c r="K2659" s="86"/>
      <c r="L2659" s="86"/>
      <c r="M2659" s="86"/>
      <c r="N2659" s="86"/>
      <c r="O2659" s="86"/>
      <c r="P2659" s="86"/>
      <c r="Q2659" s="86"/>
      <c r="R2659" s="86"/>
      <c r="S2659" s="86"/>
      <c r="T2659" s="86"/>
      <c r="U2659" s="86"/>
      <c r="V2659" s="86"/>
      <c r="W2659" s="86"/>
      <c r="X2659" s="86"/>
      <c r="Y2659" s="86"/>
      <c r="Z2659" s="86"/>
      <c r="AA2659" s="115" t="s">
        <v>29</v>
      </c>
      <c r="AB2659" s="115" t="s">
        <v>29</v>
      </c>
    </row>
    <row r="2660" spans="1:28" s="106" customFormat="1" x14ac:dyDescent="0.3">
      <c r="A2660" s="104"/>
      <c r="B2660" s="8"/>
      <c r="C2660" s="7" t="s">
        <v>3</v>
      </c>
      <c r="D2660" s="8"/>
      <c r="E2660" s="82">
        <f t="shared" ref="E2660:AB2660" si="289">E2658+E2635+E2608+E2612</f>
        <v>586183.29304000002</v>
      </c>
      <c r="F2660" s="82">
        <f t="shared" si="289"/>
        <v>257389.10788999998</v>
      </c>
      <c r="G2660" s="82">
        <f t="shared" si="289"/>
        <v>0</v>
      </c>
      <c r="H2660" s="82">
        <f t="shared" si="289"/>
        <v>573711.60834000004</v>
      </c>
      <c r="I2660" s="82">
        <f t="shared" si="289"/>
        <v>2120.9349299999999</v>
      </c>
      <c r="J2660" s="82">
        <f t="shared" si="289"/>
        <v>1068.9349299999999</v>
      </c>
      <c r="K2660" s="82">
        <f t="shared" si="289"/>
        <v>0</v>
      </c>
      <c r="L2660" s="82">
        <f t="shared" si="289"/>
        <v>0</v>
      </c>
      <c r="M2660" s="82">
        <f t="shared" si="289"/>
        <v>257389.10788999998</v>
      </c>
      <c r="N2660" s="82">
        <f t="shared" si="289"/>
        <v>12387.585160000001</v>
      </c>
      <c r="O2660" s="82">
        <f t="shared" si="289"/>
        <v>0</v>
      </c>
      <c r="P2660" s="82">
        <f t="shared" si="289"/>
        <v>12387.582999999999</v>
      </c>
      <c r="Q2660" s="82">
        <f t="shared" si="289"/>
        <v>4.0995400000000002</v>
      </c>
      <c r="R2660" s="82">
        <f t="shared" si="289"/>
        <v>0</v>
      </c>
      <c r="S2660" s="82">
        <f t="shared" si="289"/>
        <v>0</v>
      </c>
      <c r="T2660" s="82">
        <f t="shared" si="289"/>
        <v>4.0995400000000002</v>
      </c>
      <c r="U2660" s="82">
        <f t="shared" si="289"/>
        <v>12391.684700000002</v>
      </c>
      <c r="V2660" s="82">
        <f t="shared" si="289"/>
        <v>250431.45416000002</v>
      </c>
      <c r="W2660" s="82">
        <f t="shared" si="289"/>
        <v>84.099540000000033</v>
      </c>
      <c r="X2660" s="82">
        <f t="shared" si="289"/>
        <v>586099.19134000002</v>
      </c>
      <c r="Y2660" s="82">
        <f t="shared" si="289"/>
        <v>0</v>
      </c>
      <c r="Z2660" s="82">
        <f t="shared" si="289"/>
        <v>84.101699999999255</v>
      </c>
      <c r="AA2660" s="9">
        <f t="shared" si="289"/>
        <v>269780.79258999997</v>
      </c>
      <c r="AB2660" s="9">
        <f t="shared" si="289"/>
        <v>80</v>
      </c>
    </row>
    <row r="2661" spans="1:28" x14ac:dyDescent="0.3">
      <c r="A2661" s="117"/>
      <c r="E2661" s="86"/>
      <c r="F2661" s="86"/>
      <c r="G2661" s="86"/>
      <c r="H2661" s="86"/>
      <c r="I2661" s="86"/>
      <c r="J2661" s="86"/>
      <c r="K2661" s="86"/>
      <c r="L2661" s="86"/>
      <c r="M2661" s="86"/>
      <c r="N2661" s="86"/>
      <c r="O2661" s="86"/>
      <c r="P2661" s="92"/>
      <c r="Q2661" s="86"/>
      <c r="R2661" s="86"/>
      <c r="S2661" s="86"/>
      <c r="T2661" s="86"/>
      <c r="U2661" s="86"/>
      <c r="V2661" s="86"/>
      <c r="W2661" s="86"/>
      <c r="X2661" s="92"/>
      <c r="Y2661" s="86"/>
      <c r="Z2661" s="86"/>
      <c r="AA2661" s="115" t="s">
        <v>114</v>
      </c>
      <c r="AB2661" s="115" t="s">
        <v>114</v>
      </c>
    </row>
    <row r="2662" spans="1:28" x14ac:dyDescent="0.3">
      <c r="A2662" s="117"/>
      <c r="B2662" s="68" t="s">
        <v>465</v>
      </c>
      <c r="E2662" s="84"/>
      <c r="F2662" s="84"/>
      <c r="G2662" s="84"/>
      <c r="H2662" s="84"/>
      <c r="I2662" s="84"/>
      <c r="J2662" s="84"/>
      <c r="K2662" s="84"/>
      <c r="L2662" s="84"/>
      <c r="M2662" s="84"/>
      <c r="N2662" s="84"/>
      <c r="O2662" s="84"/>
      <c r="P2662" s="84"/>
      <c r="Q2662" s="84"/>
      <c r="R2662" s="84"/>
      <c r="S2662" s="84"/>
      <c r="T2662" s="84"/>
      <c r="U2662" s="84"/>
      <c r="V2662" s="84"/>
      <c r="W2662" s="84"/>
      <c r="X2662" s="84"/>
      <c r="Y2662" s="84"/>
      <c r="Z2662" s="84"/>
      <c r="AA2662" s="118"/>
    </row>
    <row r="2663" spans="1:28" hidden="1" x14ac:dyDescent="0.3">
      <c r="A2663" s="117"/>
      <c r="E2663" s="84"/>
      <c r="F2663" s="84"/>
      <c r="G2663" s="84"/>
      <c r="H2663" s="84"/>
      <c r="I2663" s="84"/>
      <c r="J2663" s="84"/>
      <c r="K2663" s="84"/>
      <c r="L2663" s="84"/>
      <c r="M2663" s="84"/>
      <c r="N2663" s="84"/>
      <c r="O2663" s="84"/>
      <c r="P2663" s="84"/>
      <c r="Q2663" s="84"/>
      <c r="R2663" s="84"/>
      <c r="S2663" s="84"/>
      <c r="T2663" s="84"/>
      <c r="U2663" s="84"/>
      <c r="V2663" s="84"/>
      <c r="W2663" s="84"/>
      <c r="X2663" s="84"/>
      <c r="Y2663" s="84"/>
      <c r="Z2663" s="84"/>
    </row>
    <row r="2664" spans="1:28" hidden="1" x14ac:dyDescent="0.3">
      <c r="A2664" s="105"/>
      <c r="E2664" s="84"/>
      <c r="F2664" s="84"/>
      <c r="G2664" s="84"/>
      <c r="H2664" s="84"/>
      <c r="I2664" s="84"/>
      <c r="J2664" s="84"/>
      <c r="K2664" s="84"/>
      <c r="L2664" s="84"/>
      <c r="M2664" s="84"/>
      <c r="N2664" s="84"/>
      <c r="O2664" s="84"/>
      <c r="P2664" s="84"/>
      <c r="Q2664" s="84"/>
      <c r="R2664" s="84"/>
      <c r="S2664" s="84"/>
      <c r="T2664" s="84"/>
      <c r="U2664" s="84"/>
      <c r="V2664" s="84"/>
      <c r="W2664" s="84"/>
      <c r="X2664" s="84"/>
      <c r="Y2664" s="84"/>
      <c r="Z2664" s="84"/>
    </row>
    <row r="2665" spans="1:28" hidden="1" x14ac:dyDescent="0.3">
      <c r="A2665" s="117"/>
      <c r="C2665" s="68" t="s">
        <v>57</v>
      </c>
      <c r="D2665" s="145" t="s">
        <v>274</v>
      </c>
      <c r="E2665" s="85">
        <f>STATS1003B!E2673/1000</f>
        <v>6448.2877600000002</v>
      </c>
      <c r="F2665" s="85">
        <f>STATS1003B!F2673/1000</f>
        <v>6069.817</v>
      </c>
      <c r="G2665" s="85">
        <f>STATS1003B!G2673/1000</f>
        <v>0</v>
      </c>
      <c r="H2665" s="85">
        <f>STATS1003B!H2673/1000</f>
        <v>6069.817</v>
      </c>
      <c r="I2665" s="85">
        <f>STATS1003B!I2673/1000</f>
        <v>0</v>
      </c>
      <c r="J2665" s="85">
        <f>STATS1003B!J2673/1000</f>
        <v>0</v>
      </c>
      <c r="K2665" s="85">
        <f>STATS1003B!K2673/1000</f>
        <v>0</v>
      </c>
      <c r="L2665" s="85">
        <f>STATS1003B!L2673/1000</f>
        <v>0</v>
      </c>
      <c r="M2665" s="85">
        <f>STATS1003B!M2673/1000</f>
        <v>6069.817</v>
      </c>
      <c r="N2665" s="85">
        <f>STATS1003B!N2673/1000</f>
        <v>378.47075999999998</v>
      </c>
      <c r="O2665" s="85">
        <f>STATS1003B!O2673/1000</f>
        <v>0</v>
      </c>
      <c r="P2665" s="85">
        <f>STATS1003B!P2673/1000</f>
        <v>378.47075999999998</v>
      </c>
      <c r="Q2665" s="85">
        <f>STATS1003B!Q2673/1000</f>
        <v>0</v>
      </c>
      <c r="R2665" s="85">
        <f>STATS1003B!R2673/1000</f>
        <v>0</v>
      </c>
      <c r="S2665" s="85">
        <f>STATS1003B!S2673/1000</f>
        <v>0</v>
      </c>
      <c r="T2665" s="85">
        <f>STATS1003B!T2673/1000</f>
        <v>0</v>
      </c>
      <c r="U2665" s="85">
        <f>STATS1003B!U2673/1000</f>
        <v>378.47075999999998</v>
      </c>
      <c r="V2665" s="85">
        <f>STATS1003B!V2673/1000</f>
        <v>6448.2877600000002</v>
      </c>
      <c r="W2665" s="85">
        <f>STATS1003B!W2673/1000</f>
        <v>0</v>
      </c>
      <c r="X2665" s="85">
        <f>STATS1003B!X2673/1000</f>
        <v>6448.2877600000002</v>
      </c>
      <c r="Y2665" s="85">
        <f>STATS1003B!Y2673/1000</f>
        <v>0</v>
      </c>
      <c r="Z2665" s="85">
        <f>STATS1003B!Z2673/1000</f>
        <v>0</v>
      </c>
      <c r="AA2665" s="69">
        <f>STATS1003B!AA2673/1000</f>
        <v>6448.2877600000002</v>
      </c>
      <c r="AB2665" s="69">
        <f>STATS1003B!AB2673/1000</f>
        <v>0</v>
      </c>
    </row>
    <row r="2666" spans="1:28" hidden="1" x14ac:dyDescent="0.3">
      <c r="A2666" s="117"/>
      <c r="C2666" s="68" t="s">
        <v>53</v>
      </c>
      <c r="D2666" s="145" t="s">
        <v>68</v>
      </c>
      <c r="E2666" s="85">
        <f>STATS1003B!E2674/1000</f>
        <v>1953.989</v>
      </c>
      <c r="F2666" s="85">
        <f>STATS1003B!F2674/1000</f>
        <v>0</v>
      </c>
      <c r="G2666" s="85">
        <f>STATS1003B!G2674/1000</f>
        <v>0</v>
      </c>
      <c r="H2666" s="85">
        <f>STATS1003B!H2674/1000</f>
        <v>0</v>
      </c>
      <c r="I2666" s="85">
        <f>STATS1003B!I2674/1000</f>
        <v>0</v>
      </c>
      <c r="J2666" s="85">
        <f>STATS1003B!J2674/1000</f>
        <v>0</v>
      </c>
      <c r="K2666" s="85">
        <f>STATS1003B!K2674/1000</f>
        <v>0</v>
      </c>
      <c r="L2666" s="85">
        <f>STATS1003B!L2674/1000</f>
        <v>0</v>
      </c>
      <c r="M2666" s="85">
        <f>STATS1003B!M2674/1000</f>
        <v>0</v>
      </c>
      <c r="N2666" s="85">
        <f>STATS1003B!N2674/1000</f>
        <v>1953.989</v>
      </c>
      <c r="O2666" s="85">
        <f>STATS1003B!O2674/1000</f>
        <v>0</v>
      </c>
      <c r="P2666" s="85">
        <f>STATS1003B!P2674/1000</f>
        <v>1953.989</v>
      </c>
      <c r="Q2666" s="85">
        <f>STATS1003B!Q2674/1000</f>
        <v>0</v>
      </c>
      <c r="R2666" s="85">
        <f>STATS1003B!R2674/1000</f>
        <v>0</v>
      </c>
      <c r="S2666" s="85">
        <f>STATS1003B!S2674/1000</f>
        <v>0</v>
      </c>
      <c r="T2666" s="85">
        <f>STATS1003B!T2674/1000</f>
        <v>0</v>
      </c>
      <c r="U2666" s="85">
        <f>STATS1003B!U2674/1000</f>
        <v>1953.989</v>
      </c>
      <c r="V2666" s="85">
        <f>STATS1003B!V2674/1000</f>
        <v>1953.989</v>
      </c>
      <c r="W2666" s="85">
        <f>STATS1003B!W2674/1000</f>
        <v>0</v>
      </c>
      <c r="X2666" s="85">
        <f>STATS1003B!X2674/1000</f>
        <v>1953.989</v>
      </c>
      <c r="Y2666" s="85">
        <f>STATS1003B!Y2674/1000</f>
        <v>0</v>
      </c>
      <c r="Z2666" s="85">
        <f>STATS1003B!Z2674/1000</f>
        <v>0</v>
      </c>
      <c r="AA2666" s="69">
        <f>STATS1003B!AA2674/1000</f>
        <v>1953.989</v>
      </c>
      <c r="AB2666" s="69">
        <f>STATS1003B!AB2674/1000</f>
        <v>0</v>
      </c>
    </row>
    <row r="2667" spans="1:28" hidden="1" x14ac:dyDescent="0.3">
      <c r="A2667" s="117"/>
      <c r="C2667" s="68" t="s">
        <v>467</v>
      </c>
      <c r="E2667" s="85">
        <f>STATS1003B!E2675/1000</f>
        <v>2850</v>
      </c>
      <c r="F2667" s="85">
        <f>STATS1003B!F2675/1000</f>
        <v>2850</v>
      </c>
      <c r="G2667" s="85">
        <f>STATS1003B!G2675/1000</f>
        <v>0</v>
      </c>
      <c r="H2667" s="85">
        <f>STATS1003B!H2675/1000</f>
        <v>2850</v>
      </c>
      <c r="I2667" s="85">
        <f>STATS1003B!I2675/1000</f>
        <v>0</v>
      </c>
      <c r="J2667" s="85">
        <f>STATS1003B!J2675/1000</f>
        <v>0</v>
      </c>
      <c r="K2667" s="85">
        <f>STATS1003B!K2675/1000</f>
        <v>0</v>
      </c>
      <c r="L2667" s="85">
        <f>STATS1003B!L2675/1000</f>
        <v>0</v>
      </c>
      <c r="M2667" s="85">
        <f>STATS1003B!M2675/1000</f>
        <v>2850</v>
      </c>
      <c r="N2667" s="85">
        <f>STATS1003B!N2675/1000</f>
        <v>0</v>
      </c>
      <c r="O2667" s="85">
        <f>STATS1003B!O2675/1000</f>
        <v>0</v>
      </c>
      <c r="P2667" s="85">
        <f>STATS1003B!P2675/1000</f>
        <v>0</v>
      </c>
      <c r="Q2667" s="85">
        <f>STATS1003B!Q2675/1000</f>
        <v>0</v>
      </c>
      <c r="R2667" s="85">
        <f>STATS1003B!R2675/1000</f>
        <v>0</v>
      </c>
      <c r="S2667" s="85">
        <f>STATS1003B!S2675/1000</f>
        <v>0</v>
      </c>
      <c r="T2667" s="85">
        <f>STATS1003B!T2675/1000</f>
        <v>0</v>
      </c>
      <c r="U2667" s="85">
        <f>STATS1003B!U2675/1000</f>
        <v>0</v>
      </c>
      <c r="V2667" s="85">
        <f>STATS1003B!V2675/1000</f>
        <v>2850</v>
      </c>
      <c r="W2667" s="85">
        <f>STATS1003B!W2675/1000</f>
        <v>0</v>
      </c>
      <c r="X2667" s="85">
        <f>STATS1003B!X2675/1000</f>
        <v>2850</v>
      </c>
      <c r="Y2667" s="85">
        <f>STATS1003B!Y2675/1000</f>
        <v>0</v>
      </c>
      <c r="Z2667" s="85">
        <f>STATS1003B!Z2675/1000</f>
        <v>0</v>
      </c>
      <c r="AA2667" s="69">
        <f>STATS1003B!AA2675/1000</f>
        <v>2850</v>
      </c>
      <c r="AB2667" s="69">
        <f>STATS1003B!AB2675/1000</f>
        <v>0</v>
      </c>
    </row>
    <row r="2668" spans="1:28" hidden="1" x14ac:dyDescent="0.3">
      <c r="A2668" s="117"/>
      <c r="C2668" s="68" t="s">
        <v>468</v>
      </c>
      <c r="D2668" s="145" t="s">
        <v>68</v>
      </c>
      <c r="E2668" s="85">
        <f>STATS1003B!E2676/1000</f>
        <v>1755.25</v>
      </c>
      <c r="F2668" s="85">
        <f>STATS1003B!F2676/1000</f>
        <v>1755.25</v>
      </c>
      <c r="G2668" s="85">
        <f>STATS1003B!G2676/1000</f>
        <v>0</v>
      </c>
      <c r="H2668" s="85">
        <f>STATS1003B!H2676/1000</f>
        <v>1755.25</v>
      </c>
      <c r="I2668" s="85">
        <f>STATS1003B!I2676/1000</f>
        <v>0</v>
      </c>
      <c r="J2668" s="85">
        <f>STATS1003B!J2676/1000</f>
        <v>0</v>
      </c>
      <c r="K2668" s="85">
        <f>STATS1003B!K2676/1000</f>
        <v>0</v>
      </c>
      <c r="L2668" s="85">
        <f>STATS1003B!L2676/1000</f>
        <v>0</v>
      </c>
      <c r="M2668" s="85">
        <f>STATS1003B!M2676/1000</f>
        <v>1755.25</v>
      </c>
      <c r="N2668" s="85">
        <f>STATS1003B!N2676/1000</f>
        <v>0</v>
      </c>
      <c r="O2668" s="85">
        <f>STATS1003B!O2676/1000</f>
        <v>0</v>
      </c>
      <c r="P2668" s="85">
        <f>STATS1003B!P2676/1000</f>
        <v>0</v>
      </c>
      <c r="Q2668" s="85">
        <f>STATS1003B!Q2676/1000</f>
        <v>0</v>
      </c>
      <c r="R2668" s="85">
        <f>STATS1003B!R2676/1000</f>
        <v>0</v>
      </c>
      <c r="S2668" s="85">
        <f>STATS1003B!S2676/1000</f>
        <v>0</v>
      </c>
      <c r="T2668" s="85">
        <f>STATS1003B!T2676/1000</f>
        <v>0</v>
      </c>
      <c r="U2668" s="85">
        <f>STATS1003B!U2676/1000</f>
        <v>0</v>
      </c>
      <c r="V2668" s="85">
        <f>STATS1003B!V2676/1000</f>
        <v>1755.25</v>
      </c>
      <c r="W2668" s="85">
        <f>STATS1003B!W2676/1000</f>
        <v>0</v>
      </c>
      <c r="X2668" s="85">
        <f>STATS1003B!X2676/1000</f>
        <v>1755.25</v>
      </c>
      <c r="Y2668" s="85">
        <f>STATS1003B!Y2676/1000</f>
        <v>0</v>
      </c>
      <c r="Z2668" s="85">
        <f>STATS1003B!Z2676/1000</f>
        <v>0</v>
      </c>
      <c r="AA2668" s="69">
        <f>STATS1003B!AA2676/1000</f>
        <v>1755.25</v>
      </c>
      <c r="AB2668" s="69">
        <f>STATS1003B!AB2676/1000</f>
        <v>0</v>
      </c>
    </row>
    <row r="2669" spans="1:28" hidden="1" x14ac:dyDescent="0.3">
      <c r="A2669" s="117"/>
      <c r="C2669" s="68" t="s">
        <v>55</v>
      </c>
      <c r="D2669" s="145" t="s">
        <v>469</v>
      </c>
      <c r="E2669" s="85">
        <f>STATS1003B!E2677/1000</f>
        <v>2098.6645899999999</v>
      </c>
      <c r="F2669" s="85">
        <f>STATS1003B!F2677/1000</f>
        <v>0</v>
      </c>
      <c r="G2669" s="85">
        <f>STATS1003B!G2677/1000</f>
        <v>0</v>
      </c>
      <c r="H2669" s="85">
        <f>STATS1003B!H2677/1000</f>
        <v>0</v>
      </c>
      <c r="I2669" s="85">
        <f>STATS1003B!I2677/1000</f>
        <v>0</v>
      </c>
      <c r="J2669" s="85">
        <f>STATS1003B!J2677/1000</f>
        <v>0</v>
      </c>
      <c r="K2669" s="85">
        <f>STATS1003B!K2677/1000</f>
        <v>0</v>
      </c>
      <c r="L2669" s="85">
        <f>STATS1003B!L2677/1000</f>
        <v>0</v>
      </c>
      <c r="M2669" s="85">
        <f>STATS1003B!M2677/1000</f>
        <v>0</v>
      </c>
      <c r="N2669" s="85">
        <f>STATS1003B!N2677/1000</f>
        <v>2098.6645899999999</v>
      </c>
      <c r="O2669" s="85">
        <f>STATS1003B!O2677/1000</f>
        <v>0</v>
      </c>
      <c r="P2669" s="85">
        <f>STATS1003B!P2677/1000</f>
        <v>2098.6645899999999</v>
      </c>
      <c r="Q2669" s="85">
        <f>STATS1003B!Q2677/1000</f>
        <v>0</v>
      </c>
      <c r="R2669" s="85">
        <f>STATS1003B!R2677/1000</f>
        <v>0</v>
      </c>
      <c r="S2669" s="85">
        <f>STATS1003B!S2677/1000</f>
        <v>0</v>
      </c>
      <c r="T2669" s="85">
        <f>STATS1003B!T2677/1000</f>
        <v>0</v>
      </c>
      <c r="U2669" s="85">
        <f>STATS1003B!U2677/1000</f>
        <v>2098.6645899999999</v>
      </c>
      <c r="V2669" s="85">
        <f>STATS1003B!V2677/1000</f>
        <v>2098.6645899999999</v>
      </c>
      <c r="W2669" s="85">
        <f>STATS1003B!W2677/1000</f>
        <v>0</v>
      </c>
      <c r="X2669" s="85">
        <f>STATS1003B!X2677/1000</f>
        <v>2098.6645899999999</v>
      </c>
      <c r="Y2669" s="85">
        <f>STATS1003B!Y2677/1000</f>
        <v>0</v>
      </c>
      <c r="Z2669" s="85">
        <f>STATS1003B!Z2677/1000</f>
        <v>0</v>
      </c>
      <c r="AA2669" s="69">
        <f>STATS1003B!AA2677/1000</f>
        <v>2098.6645899999999</v>
      </c>
      <c r="AB2669" s="69">
        <f>STATS1003B!AB2677/1000</f>
        <v>0</v>
      </c>
    </row>
    <row r="2670" spans="1:28" hidden="1" x14ac:dyDescent="0.3">
      <c r="A2670" s="117"/>
      <c r="C2670" s="68" t="s">
        <v>147</v>
      </c>
      <c r="D2670" s="145" t="s">
        <v>85</v>
      </c>
      <c r="E2670" s="85">
        <f>STATS1003B!E2678/1000</f>
        <v>272.73</v>
      </c>
      <c r="F2670" s="85">
        <f>STATS1003B!F2678/1000</f>
        <v>0</v>
      </c>
      <c r="G2670" s="85">
        <f>STATS1003B!G2678/1000</f>
        <v>0</v>
      </c>
      <c r="H2670" s="85">
        <f>STATS1003B!H2678/1000</f>
        <v>0</v>
      </c>
      <c r="I2670" s="85">
        <f>STATS1003B!I2678/1000</f>
        <v>0</v>
      </c>
      <c r="J2670" s="85">
        <f>STATS1003B!J2678/1000</f>
        <v>0</v>
      </c>
      <c r="K2670" s="85">
        <f>STATS1003B!K2678/1000</f>
        <v>0</v>
      </c>
      <c r="L2670" s="85">
        <f>STATS1003B!L2678/1000</f>
        <v>0</v>
      </c>
      <c r="M2670" s="85">
        <f>STATS1003B!M2678/1000</f>
        <v>0</v>
      </c>
      <c r="N2670" s="85">
        <f>STATS1003B!N2678/1000</f>
        <v>272.73</v>
      </c>
      <c r="O2670" s="85">
        <f>STATS1003B!O2678/1000</f>
        <v>0</v>
      </c>
      <c r="P2670" s="85">
        <f>STATS1003B!P2678/1000</f>
        <v>272.73</v>
      </c>
      <c r="Q2670" s="85">
        <f>STATS1003B!Q2678/1000</f>
        <v>0</v>
      </c>
      <c r="R2670" s="85">
        <f>STATS1003B!R2678/1000</f>
        <v>0</v>
      </c>
      <c r="S2670" s="85">
        <f>STATS1003B!S2678/1000</f>
        <v>0</v>
      </c>
      <c r="T2670" s="85">
        <f>STATS1003B!T2678/1000</f>
        <v>0</v>
      </c>
      <c r="U2670" s="85">
        <f>STATS1003B!U2678/1000</f>
        <v>272.73</v>
      </c>
      <c r="V2670" s="85">
        <f>STATS1003B!V2678/1000</f>
        <v>272.73</v>
      </c>
      <c r="W2670" s="85">
        <f>STATS1003B!W2678/1000</f>
        <v>0</v>
      </c>
      <c r="X2670" s="85">
        <f>STATS1003B!X2678/1000</f>
        <v>272.73</v>
      </c>
      <c r="Y2670" s="85">
        <f>STATS1003B!Y2678/1000</f>
        <v>0</v>
      </c>
      <c r="Z2670" s="85">
        <f>STATS1003B!Z2678/1000</f>
        <v>0</v>
      </c>
      <c r="AA2670" s="69">
        <f>STATS1003B!AA2678/1000</f>
        <v>272.73</v>
      </c>
      <c r="AB2670" s="69">
        <f>STATS1003B!AB2678/1000</f>
        <v>0</v>
      </c>
    </row>
    <row r="2671" spans="1:28" hidden="1" x14ac:dyDescent="0.3">
      <c r="A2671" s="117"/>
      <c r="C2671" s="71" t="s">
        <v>109</v>
      </c>
      <c r="D2671" s="88" t="s">
        <v>60</v>
      </c>
      <c r="E2671" s="85">
        <f>STATS1003B!E2679/1000</f>
        <v>5000</v>
      </c>
      <c r="F2671" s="85">
        <f>STATS1003B!F2679/1000</f>
        <v>5000</v>
      </c>
      <c r="G2671" s="85">
        <f>STATS1003B!G2679/1000</f>
        <v>0</v>
      </c>
      <c r="H2671" s="85">
        <f>STATS1003B!H2679/1000</f>
        <v>5000</v>
      </c>
      <c r="I2671" s="85">
        <f>STATS1003B!I2679/1000</f>
        <v>0</v>
      </c>
      <c r="J2671" s="85">
        <f>STATS1003B!J2679/1000</f>
        <v>0</v>
      </c>
      <c r="K2671" s="85">
        <f>STATS1003B!K2679/1000</f>
        <v>0</v>
      </c>
      <c r="L2671" s="85">
        <f>STATS1003B!L2679/1000</f>
        <v>0</v>
      </c>
      <c r="M2671" s="85">
        <f>STATS1003B!M2679/1000</f>
        <v>5000</v>
      </c>
      <c r="N2671" s="85">
        <f>STATS1003B!N2679/1000</f>
        <v>0</v>
      </c>
      <c r="O2671" s="85">
        <f>STATS1003B!O2679/1000</f>
        <v>0</v>
      </c>
      <c r="P2671" s="85">
        <f>STATS1003B!P2679/1000</f>
        <v>0</v>
      </c>
      <c r="Q2671" s="85">
        <f>STATS1003B!Q2679/1000</f>
        <v>0</v>
      </c>
      <c r="R2671" s="85">
        <f>STATS1003B!R2679/1000</f>
        <v>0</v>
      </c>
      <c r="S2671" s="85">
        <f>STATS1003B!S2679/1000</f>
        <v>0</v>
      </c>
      <c r="T2671" s="85">
        <f>STATS1003B!T2679/1000</f>
        <v>0</v>
      </c>
      <c r="U2671" s="85">
        <f>STATS1003B!U2679/1000</f>
        <v>0</v>
      </c>
      <c r="V2671" s="85">
        <f>STATS1003B!V2679/1000</f>
        <v>5000</v>
      </c>
      <c r="W2671" s="85">
        <f>STATS1003B!W2679/1000</f>
        <v>0</v>
      </c>
      <c r="X2671" s="85">
        <f>STATS1003B!X2679/1000</f>
        <v>5000</v>
      </c>
      <c r="Y2671" s="85">
        <f>STATS1003B!Y2679/1000</f>
        <v>0</v>
      </c>
      <c r="Z2671" s="85">
        <f>STATS1003B!Z2679/1000</f>
        <v>0</v>
      </c>
      <c r="AA2671" s="69">
        <f>STATS1003B!AA2679/1000</f>
        <v>5000</v>
      </c>
      <c r="AB2671" s="69">
        <f>STATS1003B!AB2679/1000</f>
        <v>0</v>
      </c>
    </row>
    <row r="2672" spans="1:28" hidden="1" x14ac:dyDescent="0.3">
      <c r="A2672" s="117"/>
      <c r="C2672" s="71" t="s">
        <v>930</v>
      </c>
      <c r="D2672" s="89" t="s">
        <v>1072</v>
      </c>
      <c r="E2672" s="85">
        <f>STATS1003B!E2680/1000</f>
        <v>1677.2471800000001</v>
      </c>
      <c r="F2672" s="85">
        <f>STATS1003B!F2680/1000</f>
        <v>1677.2471800000001</v>
      </c>
      <c r="G2672" s="85">
        <f>STATS1003B!G2680/1000</f>
        <v>0</v>
      </c>
      <c r="H2672" s="85">
        <f>STATS1003B!H2680/1000</f>
        <v>1677.2471800000001</v>
      </c>
      <c r="I2672" s="85">
        <f>STATS1003B!I2680/1000</f>
        <v>0</v>
      </c>
      <c r="J2672" s="85">
        <f>STATS1003B!J2680/1000</f>
        <v>0</v>
      </c>
      <c r="K2672" s="85">
        <f>STATS1003B!K2680/1000</f>
        <v>0</v>
      </c>
      <c r="L2672" s="85">
        <f>STATS1003B!L2680/1000</f>
        <v>0</v>
      </c>
      <c r="M2672" s="85">
        <f>STATS1003B!M2680/1000</f>
        <v>1677.2471800000001</v>
      </c>
      <c r="N2672" s="85">
        <f>STATS1003B!N2680/1000</f>
        <v>0</v>
      </c>
      <c r="O2672" s="85">
        <f>STATS1003B!O2680/1000</f>
        <v>0</v>
      </c>
      <c r="P2672" s="85">
        <f>STATS1003B!P2680/1000</f>
        <v>0</v>
      </c>
      <c r="Q2672" s="85">
        <f>STATS1003B!Q2680/1000</f>
        <v>0</v>
      </c>
      <c r="R2672" s="85">
        <f>STATS1003B!R2680/1000</f>
        <v>0</v>
      </c>
      <c r="S2672" s="85">
        <f>STATS1003B!S2680/1000</f>
        <v>0</v>
      </c>
      <c r="T2672" s="85">
        <f>STATS1003B!T2680/1000</f>
        <v>0</v>
      </c>
      <c r="U2672" s="85">
        <f>STATS1003B!U2680/1000</f>
        <v>0</v>
      </c>
      <c r="V2672" s="85">
        <f>STATS1003B!V2680/1000</f>
        <v>1677.2471800000001</v>
      </c>
      <c r="W2672" s="85">
        <f>STATS1003B!W2680/1000</f>
        <v>0</v>
      </c>
      <c r="X2672" s="85">
        <f>STATS1003B!X2680/1000</f>
        <v>1677.2471800000001</v>
      </c>
      <c r="Y2672" s="85">
        <f>STATS1003B!Y2680/1000</f>
        <v>0</v>
      </c>
      <c r="Z2672" s="85">
        <f>STATS1003B!Z2680/1000</f>
        <v>0</v>
      </c>
      <c r="AA2672" s="69">
        <f>STATS1003B!AA2680/1000</f>
        <v>1677.2471800000001</v>
      </c>
      <c r="AB2672" s="69">
        <f>STATS1003B!AB2680/1000</f>
        <v>0</v>
      </c>
    </row>
    <row r="2673" spans="1:28" hidden="1" x14ac:dyDescent="0.3">
      <c r="A2673" s="117"/>
      <c r="C2673" s="71" t="s">
        <v>1146</v>
      </c>
      <c r="D2673" s="89" t="s">
        <v>1072</v>
      </c>
      <c r="E2673" s="85">
        <f>STATS1003B!E2681/1000</f>
        <v>2146.0677000000001</v>
      </c>
      <c r="F2673" s="85">
        <f>STATS1003B!F2681/1000</f>
        <v>2146.0677000000001</v>
      </c>
      <c r="G2673" s="85">
        <f>STATS1003B!G2681/1000</f>
        <v>0</v>
      </c>
      <c r="H2673" s="85">
        <f>STATS1003B!H2681/1000</f>
        <v>2146.0677000000001</v>
      </c>
      <c r="I2673" s="85">
        <f>STATS1003B!I2681/1000</f>
        <v>0</v>
      </c>
      <c r="J2673" s="85">
        <f>STATS1003B!J2681/1000</f>
        <v>0</v>
      </c>
      <c r="K2673" s="85">
        <f>STATS1003B!K2681/1000</f>
        <v>0</v>
      </c>
      <c r="L2673" s="85">
        <f>STATS1003B!L2681/1000</f>
        <v>0</v>
      </c>
      <c r="M2673" s="85">
        <f>STATS1003B!M2681/1000</f>
        <v>2146.0677000000001</v>
      </c>
      <c r="N2673" s="85">
        <f>STATS1003B!N2681/1000</f>
        <v>0</v>
      </c>
      <c r="O2673" s="85">
        <f>STATS1003B!O2681/1000</f>
        <v>0</v>
      </c>
      <c r="P2673" s="85">
        <f>STATS1003B!P2681/1000</f>
        <v>0</v>
      </c>
      <c r="Q2673" s="85">
        <f>STATS1003B!Q2681/1000</f>
        <v>0</v>
      </c>
      <c r="R2673" s="85">
        <f>STATS1003B!R2681/1000</f>
        <v>0</v>
      </c>
      <c r="S2673" s="85">
        <f>STATS1003B!S2681/1000</f>
        <v>0</v>
      </c>
      <c r="T2673" s="85">
        <f>STATS1003B!T2681/1000</f>
        <v>0</v>
      </c>
      <c r="U2673" s="85">
        <f>STATS1003B!U2681/1000</f>
        <v>0</v>
      </c>
      <c r="V2673" s="85">
        <f>STATS1003B!V2681/1000</f>
        <v>2146.0677000000001</v>
      </c>
      <c r="W2673" s="85">
        <f>STATS1003B!W2681/1000</f>
        <v>0</v>
      </c>
      <c r="X2673" s="85">
        <f>STATS1003B!X2681/1000</f>
        <v>2146.0677000000001</v>
      </c>
      <c r="Y2673" s="85">
        <f>STATS1003B!Y2681/1000</f>
        <v>0</v>
      </c>
      <c r="Z2673" s="85">
        <f>STATS1003B!Z2681/1000</f>
        <v>0</v>
      </c>
      <c r="AA2673" s="69">
        <f>STATS1003B!AA2681/1000</f>
        <v>2146.0677000000001</v>
      </c>
      <c r="AB2673" s="69">
        <f>STATS1003B!AB2681/1000</f>
        <v>0</v>
      </c>
    </row>
    <row r="2674" spans="1:28" hidden="1" x14ac:dyDescent="0.3">
      <c r="A2674" s="117"/>
      <c r="C2674" s="71" t="s">
        <v>1106</v>
      </c>
      <c r="D2674" s="89" t="s">
        <v>1072</v>
      </c>
      <c r="E2674" s="85">
        <f>STATS1003B!E2682/1000</f>
        <v>6205.0920400000005</v>
      </c>
      <c r="F2674" s="85">
        <f>STATS1003B!F2682/1000</f>
        <v>6205.0920400000005</v>
      </c>
      <c r="G2674" s="85">
        <f>STATS1003B!G2682/1000</f>
        <v>0</v>
      </c>
      <c r="H2674" s="85">
        <f>STATS1003B!H2682/1000</f>
        <v>6205.0920400000005</v>
      </c>
      <c r="I2674" s="85">
        <f>STATS1003B!I2682/1000</f>
        <v>0</v>
      </c>
      <c r="J2674" s="85">
        <f>STATS1003B!J2682/1000</f>
        <v>0</v>
      </c>
      <c r="K2674" s="85">
        <f>STATS1003B!K2682/1000</f>
        <v>0</v>
      </c>
      <c r="L2674" s="85">
        <f>STATS1003B!L2682/1000</f>
        <v>0</v>
      </c>
      <c r="M2674" s="85">
        <f>STATS1003B!M2682/1000</f>
        <v>6205.0920400000005</v>
      </c>
      <c r="N2674" s="85">
        <f>STATS1003B!N2682/1000</f>
        <v>0</v>
      </c>
      <c r="O2674" s="85">
        <f>STATS1003B!O2682/1000</f>
        <v>0</v>
      </c>
      <c r="P2674" s="85">
        <f>STATS1003B!P2682/1000</f>
        <v>0</v>
      </c>
      <c r="Q2674" s="85">
        <f>STATS1003B!Q2682/1000</f>
        <v>0</v>
      </c>
      <c r="R2674" s="85">
        <f>STATS1003B!R2682/1000</f>
        <v>0</v>
      </c>
      <c r="S2674" s="85">
        <f>STATS1003B!S2682/1000</f>
        <v>0</v>
      </c>
      <c r="T2674" s="85">
        <f>STATS1003B!T2682/1000</f>
        <v>0</v>
      </c>
      <c r="U2674" s="85">
        <f>STATS1003B!U2682/1000</f>
        <v>0</v>
      </c>
      <c r="V2674" s="85">
        <f>STATS1003B!V2682/1000</f>
        <v>6205.0920400000005</v>
      </c>
      <c r="W2674" s="85">
        <f>STATS1003B!W2682/1000</f>
        <v>0</v>
      </c>
      <c r="X2674" s="85">
        <f>STATS1003B!X2682/1000</f>
        <v>6205.0920400000005</v>
      </c>
      <c r="Y2674" s="85">
        <f>STATS1003B!Y2682/1000</f>
        <v>0</v>
      </c>
      <c r="Z2674" s="85">
        <f>STATS1003B!Z2682/1000</f>
        <v>0</v>
      </c>
      <c r="AA2674" s="69">
        <f>STATS1003B!AA2682/1000</f>
        <v>6205.0920400000005</v>
      </c>
      <c r="AB2674" s="69">
        <f>STATS1003B!AB2682/1000</f>
        <v>0</v>
      </c>
    </row>
    <row r="2675" spans="1:28" hidden="1" x14ac:dyDescent="0.3">
      <c r="A2675" s="117"/>
      <c r="C2675" s="126" t="s">
        <v>1233</v>
      </c>
      <c r="D2675" s="89" t="s">
        <v>1225</v>
      </c>
      <c r="E2675" s="85">
        <f>STATS1003B!E2683/1000</f>
        <v>472.22002000000003</v>
      </c>
      <c r="F2675" s="85">
        <f>STATS1003B!F2683/1000</f>
        <v>472.22002000000003</v>
      </c>
      <c r="G2675" s="85">
        <f>STATS1003B!G2683/1000</f>
        <v>0</v>
      </c>
      <c r="H2675" s="85">
        <f>STATS1003B!H2683/1000</f>
        <v>472.22002000000003</v>
      </c>
      <c r="I2675" s="85">
        <f>STATS1003B!I2683/1000</f>
        <v>0</v>
      </c>
      <c r="J2675" s="85">
        <f>STATS1003B!J2683/1000</f>
        <v>0</v>
      </c>
      <c r="K2675" s="85">
        <f>STATS1003B!K2683/1000</f>
        <v>0</v>
      </c>
      <c r="L2675" s="85">
        <f>STATS1003B!L2683/1000</f>
        <v>0</v>
      </c>
      <c r="M2675" s="85">
        <f>STATS1003B!M2683/1000</f>
        <v>472.22002000000003</v>
      </c>
      <c r="N2675" s="85">
        <f>STATS1003B!N2683/1000</f>
        <v>0</v>
      </c>
      <c r="O2675" s="85">
        <f>STATS1003B!O2683/1000</f>
        <v>0</v>
      </c>
      <c r="P2675" s="85">
        <f>STATS1003B!P2683/1000</f>
        <v>0</v>
      </c>
      <c r="Q2675" s="85">
        <f>STATS1003B!Q2683/1000</f>
        <v>0</v>
      </c>
      <c r="R2675" s="85">
        <f>STATS1003B!R2683/1000</f>
        <v>0</v>
      </c>
      <c r="S2675" s="85">
        <f>STATS1003B!S2683/1000</f>
        <v>0</v>
      </c>
      <c r="T2675" s="85">
        <f>STATS1003B!T2683/1000</f>
        <v>0</v>
      </c>
      <c r="U2675" s="85">
        <f>STATS1003B!U2683/1000</f>
        <v>0</v>
      </c>
      <c r="V2675" s="85">
        <f>STATS1003B!V2683/1000</f>
        <v>0</v>
      </c>
      <c r="W2675" s="85">
        <f>STATS1003B!W2683/1000</f>
        <v>0</v>
      </c>
      <c r="X2675" s="85">
        <f>STATS1003B!X2683/1000</f>
        <v>472.22002000000003</v>
      </c>
      <c r="Y2675" s="85">
        <f>STATS1003B!Y2683/1000</f>
        <v>0</v>
      </c>
      <c r="Z2675" s="85">
        <f>STATS1003B!Z2683/1000</f>
        <v>0</v>
      </c>
      <c r="AA2675" s="69">
        <f>STATS1003B!AA2683/1000</f>
        <v>472.22002000000003</v>
      </c>
      <c r="AB2675" s="69">
        <f>STATS1003B!AB2683/1000</f>
        <v>0</v>
      </c>
    </row>
    <row r="2676" spans="1:28" hidden="1" x14ac:dyDescent="0.3">
      <c r="A2676" s="117"/>
      <c r="C2676" s="126" t="s">
        <v>1247</v>
      </c>
      <c r="D2676" s="89" t="s">
        <v>1225</v>
      </c>
      <c r="E2676" s="85">
        <f>STATS1003B!E2684/1000</f>
        <v>300</v>
      </c>
      <c r="F2676" s="85">
        <f>STATS1003B!F2684/1000</f>
        <v>300</v>
      </c>
      <c r="G2676" s="85">
        <f>STATS1003B!G2684/1000</f>
        <v>0</v>
      </c>
      <c r="H2676" s="85">
        <f>STATS1003B!H2684/1000</f>
        <v>300</v>
      </c>
      <c r="I2676" s="85">
        <f>STATS1003B!I2684/1000</f>
        <v>0</v>
      </c>
      <c r="J2676" s="85">
        <f>STATS1003B!J2684/1000</f>
        <v>0</v>
      </c>
      <c r="K2676" s="85">
        <f>STATS1003B!K2684/1000</f>
        <v>0</v>
      </c>
      <c r="L2676" s="85">
        <f>STATS1003B!L2684/1000</f>
        <v>0</v>
      </c>
      <c r="M2676" s="85">
        <f>STATS1003B!M2684/1000</f>
        <v>300</v>
      </c>
      <c r="N2676" s="85">
        <f>STATS1003B!N2684/1000</f>
        <v>0</v>
      </c>
      <c r="O2676" s="85">
        <f>STATS1003B!O2684/1000</f>
        <v>0</v>
      </c>
      <c r="P2676" s="85">
        <f>STATS1003B!P2684/1000</f>
        <v>0</v>
      </c>
      <c r="Q2676" s="85">
        <f>STATS1003B!Q2684/1000</f>
        <v>0</v>
      </c>
      <c r="R2676" s="85">
        <f>STATS1003B!R2684/1000</f>
        <v>0</v>
      </c>
      <c r="S2676" s="85">
        <f>STATS1003B!S2684/1000</f>
        <v>0</v>
      </c>
      <c r="T2676" s="85">
        <f>STATS1003B!T2684/1000</f>
        <v>0</v>
      </c>
      <c r="U2676" s="85">
        <f>STATS1003B!U2684/1000</f>
        <v>0</v>
      </c>
      <c r="V2676" s="85">
        <f>STATS1003B!V2684/1000</f>
        <v>0</v>
      </c>
      <c r="W2676" s="85">
        <f>STATS1003B!W2684/1000</f>
        <v>0</v>
      </c>
      <c r="X2676" s="85">
        <f>STATS1003B!X2684/1000</f>
        <v>300</v>
      </c>
      <c r="Y2676" s="85">
        <f>STATS1003B!Y2684/1000</f>
        <v>0</v>
      </c>
      <c r="Z2676" s="85">
        <f>STATS1003B!Z2684/1000</f>
        <v>0</v>
      </c>
      <c r="AA2676" s="69">
        <f>STATS1003B!AA2684/1000</f>
        <v>300</v>
      </c>
      <c r="AB2676" s="69">
        <f>STATS1003B!AB2684/1000</f>
        <v>0</v>
      </c>
    </row>
    <row r="2677" spans="1:28" hidden="1" x14ac:dyDescent="0.3">
      <c r="A2677" s="117"/>
      <c r="C2677" s="71" t="s">
        <v>1176</v>
      </c>
      <c r="D2677" s="89" t="s">
        <v>1126</v>
      </c>
      <c r="E2677" s="85">
        <f>STATS1003B!E2685/1000</f>
        <v>2273.8987999999999</v>
      </c>
      <c r="F2677" s="85">
        <f>STATS1003B!F2685/1000</f>
        <v>2273.8987999999999</v>
      </c>
      <c r="G2677" s="85">
        <f>STATS1003B!G2685/1000</f>
        <v>0</v>
      </c>
      <c r="H2677" s="85">
        <f>STATS1003B!H2685/1000</f>
        <v>2273.8987999999999</v>
      </c>
      <c r="I2677" s="85">
        <f>STATS1003B!I2685/1000</f>
        <v>0</v>
      </c>
      <c r="J2677" s="85">
        <f>STATS1003B!J2685/1000</f>
        <v>0</v>
      </c>
      <c r="K2677" s="85">
        <f>STATS1003B!K2685/1000</f>
        <v>0</v>
      </c>
      <c r="L2677" s="85">
        <f>STATS1003B!L2685/1000</f>
        <v>0</v>
      </c>
      <c r="M2677" s="85">
        <f>STATS1003B!M2685/1000</f>
        <v>2273.8987999999999</v>
      </c>
      <c r="N2677" s="85">
        <f>STATS1003B!N2685/1000</f>
        <v>0</v>
      </c>
      <c r="O2677" s="85">
        <f>STATS1003B!O2685/1000</f>
        <v>0</v>
      </c>
      <c r="P2677" s="85">
        <f>STATS1003B!P2685/1000</f>
        <v>0</v>
      </c>
      <c r="Q2677" s="85">
        <f>STATS1003B!Q2685/1000</f>
        <v>0</v>
      </c>
      <c r="R2677" s="85">
        <f>STATS1003B!R2685/1000</f>
        <v>0</v>
      </c>
      <c r="S2677" s="85">
        <f>STATS1003B!S2685/1000</f>
        <v>0</v>
      </c>
      <c r="T2677" s="85">
        <f>STATS1003B!T2685/1000</f>
        <v>0</v>
      </c>
      <c r="U2677" s="85">
        <f>STATS1003B!U2685/1000</f>
        <v>0</v>
      </c>
      <c r="V2677" s="85">
        <f>STATS1003B!V2685/1000</f>
        <v>2273.8987999999999</v>
      </c>
      <c r="W2677" s="85">
        <f>STATS1003B!W2685/1000</f>
        <v>0</v>
      </c>
      <c r="X2677" s="85">
        <f>STATS1003B!X2685/1000</f>
        <v>2273.8987999999999</v>
      </c>
      <c r="Y2677" s="85">
        <f>STATS1003B!Y2685/1000</f>
        <v>0</v>
      </c>
      <c r="Z2677" s="85">
        <f>STATS1003B!Z2685/1000</f>
        <v>0</v>
      </c>
      <c r="AA2677" s="69">
        <f>STATS1003B!AA2685/1000</f>
        <v>2273.8987999999999</v>
      </c>
      <c r="AB2677" s="69">
        <f>STATS1003B!AB2685/1000</f>
        <v>0</v>
      </c>
    </row>
    <row r="2678" spans="1:28" hidden="1" x14ac:dyDescent="0.3">
      <c r="A2678" s="117"/>
      <c r="C2678" s="71" t="s">
        <v>1194</v>
      </c>
      <c r="D2678" s="89" t="s">
        <v>1126</v>
      </c>
      <c r="E2678" s="85">
        <f>STATS1003B!E2686/1000</f>
        <v>786.35751000000005</v>
      </c>
      <c r="F2678" s="85">
        <f>STATS1003B!F2686/1000</f>
        <v>786.35751000000005</v>
      </c>
      <c r="G2678" s="85">
        <f>STATS1003B!G2686/1000</f>
        <v>0</v>
      </c>
      <c r="H2678" s="85">
        <f>STATS1003B!H2686/1000</f>
        <v>786.35751000000005</v>
      </c>
      <c r="I2678" s="85">
        <f>STATS1003B!I2686/1000</f>
        <v>0</v>
      </c>
      <c r="J2678" s="85">
        <f>STATS1003B!J2686/1000</f>
        <v>0</v>
      </c>
      <c r="K2678" s="85">
        <f>STATS1003B!K2686/1000</f>
        <v>0</v>
      </c>
      <c r="L2678" s="85">
        <f>STATS1003B!L2686/1000</f>
        <v>0</v>
      </c>
      <c r="M2678" s="85">
        <f>STATS1003B!M2686/1000</f>
        <v>786.35751000000005</v>
      </c>
      <c r="N2678" s="85">
        <f>STATS1003B!N2686/1000</f>
        <v>0</v>
      </c>
      <c r="O2678" s="85">
        <f>STATS1003B!O2686/1000</f>
        <v>0</v>
      </c>
      <c r="P2678" s="85">
        <f>STATS1003B!P2686/1000</f>
        <v>0</v>
      </c>
      <c r="Q2678" s="85">
        <f>STATS1003B!Q2686/1000</f>
        <v>0</v>
      </c>
      <c r="R2678" s="85">
        <f>STATS1003B!R2686/1000</f>
        <v>0</v>
      </c>
      <c r="S2678" s="85">
        <f>STATS1003B!S2686/1000</f>
        <v>0</v>
      </c>
      <c r="T2678" s="85">
        <f>STATS1003B!T2686/1000</f>
        <v>0</v>
      </c>
      <c r="U2678" s="85">
        <f>STATS1003B!U2686/1000</f>
        <v>0</v>
      </c>
      <c r="V2678" s="85">
        <f>STATS1003B!V2686/1000</f>
        <v>786.35751000000005</v>
      </c>
      <c r="W2678" s="85">
        <f>STATS1003B!W2686/1000</f>
        <v>0</v>
      </c>
      <c r="X2678" s="85">
        <f>STATS1003B!X2686/1000</f>
        <v>786.35751000000005</v>
      </c>
      <c r="Y2678" s="85">
        <f>STATS1003B!Y2686/1000</f>
        <v>0</v>
      </c>
      <c r="Z2678" s="85">
        <f>STATS1003B!Z2686/1000</f>
        <v>0</v>
      </c>
      <c r="AA2678" s="69">
        <f>STATS1003B!AA2686/1000</f>
        <v>786.35751000000005</v>
      </c>
      <c r="AB2678" s="69">
        <f>STATS1003B!AB2686/1000</f>
        <v>0</v>
      </c>
    </row>
    <row r="2679" spans="1:28" hidden="1" x14ac:dyDescent="0.3">
      <c r="A2679" s="117"/>
      <c r="C2679" s="71" t="s">
        <v>57</v>
      </c>
      <c r="D2679" s="88" t="s">
        <v>60</v>
      </c>
      <c r="E2679" s="85">
        <f>STATS1003B!E2687/1000</f>
        <v>1900</v>
      </c>
      <c r="F2679" s="85">
        <f>STATS1003B!F2687/1000</f>
        <v>1900</v>
      </c>
      <c r="G2679" s="85">
        <f>STATS1003B!G2687/1000</f>
        <v>0</v>
      </c>
      <c r="H2679" s="85">
        <f>STATS1003B!H2687/1000</f>
        <v>1900</v>
      </c>
      <c r="I2679" s="85">
        <f>STATS1003B!I2687/1000</f>
        <v>0</v>
      </c>
      <c r="J2679" s="85">
        <f>STATS1003B!J2687/1000</f>
        <v>0</v>
      </c>
      <c r="K2679" s="85">
        <f>STATS1003B!K2687/1000</f>
        <v>0</v>
      </c>
      <c r="L2679" s="85">
        <f>STATS1003B!L2687/1000</f>
        <v>0</v>
      </c>
      <c r="M2679" s="85">
        <f>STATS1003B!M2687/1000</f>
        <v>1900</v>
      </c>
      <c r="N2679" s="85">
        <f>STATS1003B!N2687/1000</f>
        <v>0</v>
      </c>
      <c r="O2679" s="85">
        <f>STATS1003B!O2687/1000</f>
        <v>0</v>
      </c>
      <c r="P2679" s="85">
        <f>STATS1003B!P2687/1000</f>
        <v>0</v>
      </c>
      <c r="Q2679" s="85">
        <f>STATS1003B!Q2687/1000</f>
        <v>0</v>
      </c>
      <c r="R2679" s="85">
        <f>STATS1003B!R2687/1000</f>
        <v>0</v>
      </c>
      <c r="S2679" s="85">
        <f>STATS1003B!S2687/1000</f>
        <v>0</v>
      </c>
      <c r="T2679" s="85">
        <f>STATS1003B!T2687/1000</f>
        <v>0</v>
      </c>
      <c r="U2679" s="85">
        <f>STATS1003B!U2687/1000</f>
        <v>0</v>
      </c>
      <c r="V2679" s="85">
        <f>STATS1003B!V2687/1000</f>
        <v>1900</v>
      </c>
      <c r="W2679" s="85">
        <f>STATS1003B!W2687/1000</f>
        <v>0</v>
      </c>
      <c r="X2679" s="85">
        <f>STATS1003B!X2687/1000</f>
        <v>1900</v>
      </c>
      <c r="Y2679" s="85">
        <f>STATS1003B!Y2687/1000</f>
        <v>0</v>
      </c>
      <c r="Z2679" s="85">
        <f>STATS1003B!Z2687/1000</f>
        <v>0</v>
      </c>
      <c r="AA2679" s="69">
        <f>STATS1003B!AA2687/1000</f>
        <v>1900</v>
      </c>
      <c r="AB2679" s="69">
        <f>STATS1003B!AB2687/1000</f>
        <v>0</v>
      </c>
    </row>
    <row r="2680" spans="1:28" hidden="1" x14ac:dyDescent="0.3">
      <c r="A2680" s="117"/>
      <c r="C2680" s="71" t="s">
        <v>57</v>
      </c>
      <c r="D2680" s="88" t="s">
        <v>73</v>
      </c>
      <c r="E2680" s="85">
        <f>STATS1003B!E2688/1000</f>
        <v>2742.0189999999998</v>
      </c>
      <c r="F2680" s="85">
        <f>STATS1003B!F2688/1000</f>
        <v>2742.0189999999998</v>
      </c>
      <c r="G2680" s="85">
        <f>STATS1003B!G2688/1000</f>
        <v>0</v>
      </c>
      <c r="H2680" s="85">
        <f>STATS1003B!H2688/1000</f>
        <v>2742.0189999999998</v>
      </c>
      <c r="I2680" s="85">
        <f>STATS1003B!I2688/1000</f>
        <v>0</v>
      </c>
      <c r="J2680" s="85">
        <f>STATS1003B!J2688/1000</f>
        <v>0</v>
      </c>
      <c r="K2680" s="85">
        <f>STATS1003B!K2688/1000</f>
        <v>0</v>
      </c>
      <c r="L2680" s="85">
        <f>STATS1003B!L2688/1000</f>
        <v>0</v>
      </c>
      <c r="M2680" s="85">
        <f>STATS1003B!M2688/1000</f>
        <v>2742.0189999999998</v>
      </c>
      <c r="N2680" s="85">
        <f>STATS1003B!N2688/1000</f>
        <v>0</v>
      </c>
      <c r="O2680" s="85">
        <f>STATS1003B!O2688/1000</f>
        <v>0</v>
      </c>
      <c r="P2680" s="85">
        <f>STATS1003B!P2688/1000</f>
        <v>0</v>
      </c>
      <c r="Q2680" s="85">
        <f>STATS1003B!Q2688/1000</f>
        <v>0</v>
      </c>
      <c r="R2680" s="85">
        <f>STATS1003B!R2688/1000</f>
        <v>0</v>
      </c>
      <c r="S2680" s="85">
        <f>STATS1003B!S2688/1000</f>
        <v>0</v>
      </c>
      <c r="T2680" s="85">
        <f>STATS1003B!T2688/1000</f>
        <v>0</v>
      </c>
      <c r="U2680" s="85">
        <f>STATS1003B!U2688/1000</f>
        <v>0</v>
      </c>
      <c r="V2680" s="85">
        <f>STATS1003B!V2688/1000</f>
        <v>2742.0189999999998</v>
      </c>
      <c r="W2680" s="85">
        <f>STATS1003B!W2688/1000</f>
        <v>0</v>
      </c>
      <c r="X2680" s="85">
        <f>STATS1003B!X2688/1000</f>
        <v>2742.0189999999998</v>
      </c>
      <c r="Y2680" s="85">
        <f>STATS1003B!Y2688/1000</f>
        <v>0</v>
      </c>
      <c r="Z2680" s="85">
        <f>STATS1003B!Z2688/1000</f>
        <v>0</v>
      </c>
      <c r="AA2680" s="69">
        <f>STATS1003B!AA2688/1000</f>
        <v>2742.0189999999998</v>
      </c>
      <c r="AB2680" s="69">
        <f>STATS1003B!AB2688/1000</f>
        <v>0</v>
      </c>
    </row>
    <row r="2681" spans="1:28" hidden="1" x14ac:dyDescent="0.3">
      <c r="A2681" s="117"/>
      <c r="C2681" s="71" t="s">
        <v>57</v>
      </c>
      <c r="D2681" s="88" t="s">
        <v>61</v>
      </c>
      <c r="E2681" s="85">
        <f>STATS1003B!E2689/1000</f>
        <v>1000</v>
      </c>
      <c r="F2681" s="85">
        <f>STATS1003B!F2689/1000</f>
        <v>1000</v>
      </c>
      <c r="G2681" s="85">
        <f>STATS1003B!G2689/1000</f>
        <v>0</v>
      </c>
      <c r="H2681" s="85">
        <f>STATS1003B!H2689/1000</f>
        <v>1000</v>
      </c>
      <c r="I2681" s="85">
        <f>STATS1003B!I2689/1000</f>
        <v>0</v>
      </c>
      <c r="J2681" s="85">
        <f>STATS1003B!J2689/1000</f>
        <v>0</v>
      </c>
      <c r="K2681" s="85">
        <f>STATS1003B!K2689/1000</f>
        <v>0</v>
      </c>
      <c r="L2681" s="85">
        <f>STATS1003B!L2689/1000</f>
        <v>0</v>
      </c>
      <c r="M2681" s="85">
        <f>STATS1003B!M2689/1000</f>
        <v>1000</v>
      </c>
      <c r="N2681" s="85">
        <f>STATS1003B!N2689/1000</f>
        <v>0</v>
      </c>
      <c r="O2681" s="85">
        <f>STATS1003B!O2689/1000</f>
        <v>0</v>
      </c>
      <c r="P2681" s="85">
        <f>STATS1003B!P2689/1000</f>
        <v>0</v>
      </c>
      <c r="Q2681" s="85">
        <f>STATS1003B!Q2689/1000</f>
        <v>0</v>
      </c>
      <c r="R2681" s="85">
        <f>STATS1003B!R2689/1000</f>
        <v>0</v>
      </c>
      <c r="S2681" s="85">
        <f>STATS1003B!S2689/1000</f>
        <v>0</v>
      </c>
      <c r="T2681" s="85">
        <f>STATS1003B!T2689/1000</f>
        <v>0</v>
      </c>
      <c r="U2681" s="85">
        <f>STATS1003B!U2689/1000</f>
        <v>0</v>
      </c>
      <c r="V2681" s="85">
        <f>STATS1003B!V2689/1000</f>
        <v>1000</v>
      </c>
      <c r="W2681" s="85">
        <f>STATS1003B!W2689/1000</f>
        <v>0</v>
      </c>
      <c r="X2681" s="85">
        <f>STATS1003B!X2689/1000</f>
        <v>1000</v>
      </c>
      <c r="Y2681" s="85">
        <f>STATS1003B!Y2689/1000</f>
        <v>0</v>
      </c>
      <c r="Z2681" s="85">
        <f>STATS1003B!Z2689/1000</f>
        <v>0</v>
      </c>
      <c r="AA2681" s="69">
        <f>STATS1003B!AA2689/1000</f>
        <v>1000</v>
      </c>
      <c r="AB2681" s="69">
        <f>STATS1003B!AB2689/1000</f>
        <v>0</v>
      </c>
    </row>
    <row r="2682" spans="1:28" hidden="1" x14ac:dyDescent="0.3">
      <c r="A2682" s="117"/>
      <c r="E2682" s="86" t="s">
        <v>29</v>
      </c>
      <c r="F2682" s="86" t="s">
        <v>29</v>
      </c>
      <c r="G2682" s="86" t="s">
        <v>29</v>
      </c>
      <c r="H2682" s="86" t="s">
        <v>29</v>
      </c>
      <c r="I2682" s="86" t="s">
        <v>29</v>
      </c>
      <c r="J2682" s="86" t="s">
        <v>29</v>
      </c>
      <c r="K2682" s="86" t="s">
        <v>29</v>
      </c>
      <c r="L2682" s="86" t="s">
        <v>29</v>
      </c>
      <c r="M2682" s="86" t="s">
        <v>29</v>
      </c>
      <c r="N2682" s="86" t="s">
        <v>29</v>
      </c>
      <c r="O2682" s="86" t="s">
        <v>29</v>
      </c>
      <c r="P2682" s="86" t="s">
        <v>29</v>
      </c>
      <c r="Q2682" s="86" t="s">
        <v>29</v>
      </c>
      <c r="R2682" s="86" t="s">
        <v>29</v>
      </c>
      <c r="S2682" s="86" t="s">
        <v>29</v>
      </c>
      <c r="T2682" s="86" t="s">
        <v>29</v>
      </c>
      <c r="U2682" s="86" t="s">
        <v>29</v>
      </c>
      <c r="V2682" s="86" t="s">
        <v>29</v>
      </c>
      <c r="W2682" s="86" t="s">
        <v>29</v>
      </c>
      <c r="X2682" s="86" t="s">
        <v>29</v>
      </c>
      <c r="Y2682" s="86" t="s">
        <v>29</v>
      </c>
      <c r="Z2682" s="86" t="s">
        <v>29</v>
      </c>
      <c r="AA2682" s="115" t="s">
        <v>29</v>
      </c>
      <c r="AB2682" s="115" t="s">
        <v>29</v>
      </c>
    </row>
    <row r="2683" spans="1:28" x14ac:dyDescent="0.3">
      <c r="A2683" s="116">
        <v>116</v>
      </c>
      <c r="B2683" s="68" t="s">
        <v>466</v>
      </c>
      <c r="E2683" s="85">
        <f>114987251.74/1000</f>
        <v>114987.25173999999</v>
      </c>
      <c r="F2683" s="85">
        <f t="shared" ref="F2683:AB2683" si="290">SUM(F2665:F2681)</f>
        <v>35177.969249999995</v>
      </c>
      <c r="G2683" s="85">
        <f t="shared" si="290"/>
        <v>0</v>
      </c>
      <c r="H2683" s="85">
        <f>110283397.39/1000</f>
        <v>110283.39739</v>
      </c>
      <c r="I2683" s="85">
        <f t="shared" si="290"/>
        <v>0</v>
      </c>
      <c r="J2683" s="85">
        <f t="shared" si="290"/>
        <v>0</v>
      </c>
      <c r="K2683" s="85">
        <f t="shared" si="290"/>
        <v>0</v>
      </c>
      <c r="L2683" s="85">
        <f t="shared" si="290"/>
        <v>0</v>
      </c>
      <c r="M2683" s="85">
        <f t="shared" si="290"/>
        <v>35177.969249999995</v>
      </c>
      <c r="N2683" s="85">
        <f t="shared" si="290"/>
        <v>4703.8543499999996</v>
      </c>
      <c r="O2683" s="85">
        <f t="shared" si="290"/>
        <v>0</v>
      </c>
      <c r="P2683" s="85">
        <f>4703854/1000</f>
        <v>4703.8540000000003</v>
      </c>
      <c r="Q2683" s="85">
        <f t="shared" si="290"/>
        <v>0</v>
      </c>
      <c r="R2683" s="85">
        <f t="shared" si="290"/>
        <v>0</v>
      </c>
      <c r="S2683" s="85">
        <f t="shared" si="290"/>
        <v>0</v>
      </c>
      <c r="T2683" s="85">
        <f t="shared" si="290"/>
        <v>0</v>
      </c>
      <c r="U2683" s="85">
        <f t="shared" si="290"/>
        <v>4703.8543499999996</v>
      </c>
      <c r="V2683" s="85">
        <f t="shared" si="290"/>
        <v>39109.603579999995</v>
      </c>
      <c r="W2683" s="85">
        <f t="shared" si="290"/>
        <v>0</v>
      </c>
      <c r="X2683" s="85">
        <f t="shared" ref="X2683:X2746" si="291">+H2683+P2683</f>
        <v>114987.25139</v>
      </c>
      <c r="Y2683" s="85">
        <f t="shared" si="290"/>
        <v>0</v>
      </c>
      <c r="Z2683" s="85">
        <f>+E2683-X2683</f>
        <v>3.499999875202775E-4</v>
      </c>
      <c r="AA2683" s="69">
        <f t="shared" si="290"/>
        <v>39881.823600000003</v>
      </c>
      <c r="AB2683" s="69">
        <f t="shared" si="290"/>
        <v>0</v>
      </c>
    </row>
    <row r="2684" spans="1:28" hidden="1" x14ac:dyDescent="0.3">
      <c r="A2684" s="117"/>
      <c r="E2684" s="86" t="s">
        <v>29</v>
      </c>
      <c r="F2684" s="86" t="s">
        <v>29</v>
      </c>
      <c r="G2684" s="86" t="s">
        <v>29</v>
      </c>
      <c r="H2684" s="86" t="s">
        <v>29</v>
      </c>
      <c r="I2684" s="86" t="s">
        <v>29</v>
      </c>
      <c r="J2684" s="86" t="s">
        <v>29</v>
      </c>
      <c r="K2684" s="86" t="s">
        <v>29</v>
      </c>
      <c r="L2684" s="86" t="s">
        <v>29</v>
      </c>
      <c r="M2684" s="86" t="s">
        <v>29</v>
      </c>
      <c r="N2684" s="86" t="s">
        <v>29</v>
      </c>
      <c r="O2684" s="86" t="s">
        <v>29</v>
      </c>
      <c r="P2684" s="86" t="s">
        <v>29</v>
      </c>
      <c r="Q2684" s="86" t="s">
        <v>29</v>
      </c>
      <c r="R2684" s="86" t="s">
        <v>29</v>
      </c>
      <c r="S2684" s="86" t="s">
        <v>29</v>
      </c>
      <c r="T2684" s="86" t="s">
        <v>29</v>
      </c>
      <c r="U2684" s="86" t="s">
        <v>29</v>
      </c>
      <c r="V2684" s="86" t="s">
        <v>29</v>
      </c>
      <c r="W2684" s="86" t="s">
        <v>29</v>
      </c>
      <c r="X2684" s="85" t="e">
        <f t="shared" si="291"/>
        <v>#VALUE!</v>
      </c>
      <c r="Y2684" s="86" t="s">
        <v>29</v>
      </c>
      <c r="Z2684" s="86" t="s">
        <v>29</v>
      </c>
      <c r="AA2684" s="115" t="s">
        <v>29</v>
      </c>
      <c r="AB2684" s="115" t="s">
        <v>29</v>
      </c>
    </row>
    <row r="2685" spans="1:28" hidden="1" x14ac:dyDescent="0.3">
      <c r="A2685" s="105"/>
      <c r="E2685" s="84"/>
      <c r="F2685" s="84"/>
      <c r="G2685" s="84"/>
      <c r="H2685" s="84"/>
      <c r="I2685" s="84"/>
      <c r="J2685" s="84"/>
      <c r="K2685" s="84"/>
      <c r="L2685" s="84"/>
      <c r="M2685" s="84"/>
      <c r="N2685" s="84"/>
      <c r="O2685" s="84"/>
      <c r="P2685" s="84"/>
      <c r="Q2685" s="84"/>
      <c r="R2685" s="84"/>
      <c r="S2685" s="84"/>
      <c r="T2685" s="84"/>
      <c r="U2685" s="84"/>
      <c r="V2685" s="84"/>
      <c r="W2685" s="84"/>
      <c r="X2685" s="85">
        <f t="shared" si="291"/>
        <v>0</v>
      </c>
      <c r="Y2685" s="84"/>
      <c r="Z2685" s="84"/>
    </row>
    <row r="2686" spans="1:28" hidden="1" x14ac:dyDescent="0.3">
      <c r="A2686" s="117"/>
      <c r="C2686" s="68" t="s">
        <v>57</v>
      </c>
      <c r="D2686" s="145" t="s">
        <v>68</v>
      </c>
      <c r="E2686" s="85">
        <f>STATS1003B!E2694/1000</f>
        <v>405.52098999999998</v>
      </c>
      <c r="F2686" s="85">
        <f>STATS1003B!F2694/1000</f>
        <v>284.20400000000001</v>
      </c>
      <c r="G2686" s="85">
        <f>STATS1003B!G2694/1000</f>
        <v>0</v>
      </c>
      <c r="H2686" s="85">
        <f>STATS1003B!H2694/1000</f>
        <v>284.20400000000001</v>
      </c>
      <c r="I2686" s="85">
        <f>STATS1003B!I2694/1000</f>
        <v>0</v>
      </c>
      <c r="J2686" s="85">
        <f>STATS1003B!J2694/1000</f>
        <v>0</v>
      </c>
      <c r="K2686" s="85">
        <f>STATS1003B!K2694/1000</f>
        <v>0</v>
      </c>
      <c r="L2686" s="85">
        <f>STATS1003B!L2694/1000</f>
        <v>0</v>
      </c>
      <c r="M2686" s="85">
        <f>STATS1003B!M2694/1000</f>
        <v>284.20400000000001</v>
      </c>
      <c r="N2686" s="85">
        <f>STATS1003B!N2694/1000</f>
        <v>121.31699</v>
      </c>
      <c r="O2686" s="85">
        <f>STATS1003B!O2694/1000</f>
        <v>0</v>
      </c>
      <c r="P2686" s="85">
        <f>STATS1003B!P2694/1000</f>
        <v>121.31699</v>
      </c>
      <c r="Q2686" s="85">
        <f>STATS1003B!Q2694/1000</f>
        <v>0</v>
      </c>
      <c r="R2686" s="85">
        <f>STATS1003B!R2694/1000</f>
        <v>0</v>
      </c>
      <c r="S2686" s="85">
        <f>STATS1003B!S2694/1000</f>
        <v>0</v>
      </c>
      <c r="T2686" s="85">
        <f>STATS1003B!T2694/1000</f>
        <v>0</v>
      </c>
      <c r="U2686" s="85">
        <f>STATS1003B!U2694/1000</f>
        <v>121.31699</v>
      </c>
      <c r="V2686" s="85">
        <f>STATS1003B!V2694/1000</f>
        <v>405.52098999999998</v>
      </c>
      <c r="W2686" s="85">
        <f>STATS1003B!W2694/1000</f>
        <v>0</v>
      </c>
      <c r="X2686" s="85">
        <f t="shared" si="291"/>
        <v>405.52098999999998</v>
      </c>
      <c r="Y2686" s="85">
        <f>STATS1003B!Y2694/1000</f>
        <v>0</v>
      </c>
      <c r="Z2686" s="85">
        <f>STATS1003B!Z2694/1000</f>
        <v>0</v>
      </c>
      <c r="AA2686" s="69">
        <f>STATS1003B!AA2694/1000</f>
        <v>405.52098999999998</v>
      </c>
      <c r="AB2686" s="69">
        <f>STATS1003B!AB2694/1000</f>
        <v>0</v>
      </c>
    </row>
    <row r="2687" spans="1:28" hidden="1" x14ac:dyDescent="0.3">
      <c r="A2687" s="117"/>
      <c r="C2687" s="68" t="s">
        <v>53</v>
      </c>
      <c r="D2687" s="145" t="s">
        <v>68</v>
      </c>
      <c r="E2687" s="85">
        <f>STATS1003B!E2695/1000</f>
        <v>1953.989</v>
      </c>
      <c r="F2687" s="85">
        <f>STATS1003B!F2695/1000</f>
        <v>0</v>
      </c>
      <c r="G2687" s="85">
        <f>STATS1003B!G2695/1000</f>
        <v>0</v>
      </c>
      <c r="H2687" s="85">
        <f>STATS1003B!H2695/1000</f>
        <v>0</v>
      </c>
      <c r="I2687" s="85">
        <f>STATS1003B!I2695/1000</f>
        <v>0</v>
      </c>
      <c r="J2687" s="85">
        <f>STATS1003B!J2695/1000</f>
        <v>0</v>
      </c>
      <c r="K2687" s="85">
        <f>STATS1003B!K2695/1000</f>
        <v>0</v>
      </c>
      <c r="L2687" s="85">
        <f>STATS1003B!L2695/1000</f>
        <v>0</v>
      </c>
      <c r="M2687" s="85">
        <f>STATS1003B!M2695/1000</f>
        <v>0</v>
      </c>
      <c r="N2687" s="85">
        <f>STATS1003B!N2695/1000</f>
        <v>1953.989</v>
      </c>
      <c r="O2687" s="85">
        <f>STATS1003B!O2695/1000</f>
        <v>0</v>
      </c>
      <c r="P2687" s="85">
        <f>STATS1003B!P2695/1000</f>
        <v>1953.989</v>
      </c>
      <c r="Q2687" s="85">
        <f>STATS1003B!Q2695/1000</f>
        <v>0</v>
      </c>
      <c r="R2687" s="85">
        <f>STATS1003B!R2695/1000</f>
        <v>0</v>
      </c>
      <c r="S2687" s="85">
        <f>STATS1003B!S2695/1000</f>
        <v>0</v>
      </c>
      <c r="T2687" s="85">
        <f>STATS1003B!T2695/1000</f>
        <v>0</v>
      </c>
      <c r="U2687" s="85">
        <f>STATS1003B!U2695/1000</f>
        <v>1953.989</v>
      </c>
      <c r="V2687" s="85">
        <f>STATS1003B!V2695/1000</f>
        <v>1953.989</v>
      </c>
      <c r="W2687" s="85">
        <f>STATS1003B!W2695/1000</f>
        <v>0</v>
      </c>
      <c r="X2687" s="85">
        <f t="shared" si="291"/>
        <v>1953.989</v>
      </c>
      <c r="Y2687" s="85">
        <f>STATS1003B!Y2695/1000</f>
        <v>0</v>
      </c>
      <c r="Z2687" s="85">
        <f>STATS1003B!Z2695/1000</f>
        <v>0</v>
      </c>
      <c r="AA2687" s="69">
        <f>STATS1003B!AA2695/1000</f>
        <v>1953.989</v>
      </c>
      <c r="AB2687" s="69">
        <f>STATS1003B!AB2695/1000</f>
        <v>0</v>
      </c>
    </row>
    <row r="2688" spans="1:28" hidden="1" x14ac:dyDescent="0.3">
      <c r="A2688" s="117"/>
      <c r="C2688" s="68" t="s">
        <v>55</v>
      </c>
      <c r="D2688" s="145" t="s">
        <v>207</v>
      </c>
      <c r="E2688" s="85">
        <f>STATS1003B!E2696/1000</f>
        <v>7866.6009999999997</v>
      </c>
      <c r="F2688" s="85">
        <f>STATS1003B!F2696/1000</f>
        <v>0</v>
      </c>
      <c r="G2688" s="85">
        <f>STATS1003B!G2696/1000</f>
        <v>0</v>
      </c>
      <c r="H2688" s="85">
        <f>STATS1003B!H2696/1000</f>
        <v>0</v>
      </c>
      <c r="I2688" s="85">
        <f>STATS1003B!I2696/1000</f>
        <v>0</v>
      </c>
      <c r="J2688" s="85">
        <f>STATS1003B!J2696/1000</f>
        <v>0</v>
      </c>
      <c r="K2688" s="85">
        <f>STATS1003B!K2696/1000</f>
        <v>0</v>
      </c>
      <c r="L2688" s="85">
        <f>STATS1003B!L2696/1000</f>
        <v>0</v>
      </c>
      <c r="M2688" s="85">
        <f>STATS1003B!M2696/1000</f>
        <v>0</v>
      </c>
      <c r="N2688" s="85">
        <f>STATS1003B!N2696/1000</f>
        <v>7866.6009999999997</v>
      </c>
      <c r="O2688" s="85">
        <f>STATS1003B!O2696/1000</f>
        <v>0</v>
      </c>
      <c r="P2688" s="85">
        <f>STATS1003B!P2696/1000</f>
        <v>7866.6009999999997</v>
      </c>
      <c r="Q2688" s="85">
        <f>STATS1003B!Q2696/1000</f>
        <v>0</v>
      </c>
      <c r="R2688" s="85">
        <f>STATS1003B!R2696/1000</f>
        <v>0</v>
      </c>
      <c r="S2688" s="85">
        <f>STATS1003B!S2696/1000</f>
        <v>0</v>
      </c>
      <c r="T2688" s="85">
        <f>STATS1003B!T2696/1000</f>
        <v>0</v>
      </c>
      <c r="U2688" s="85">
        <f>STATS1003B!U2696/1000</f>
        <v>7866.6009999999997</v>
      </c>
      <c r="V2688" s="85">
        <f>STATS1003B!V2696/1000</f>
        <v>7866.6009999999997</v>
      </c>
      <c r="W2688" s="85">
        <f>STATS1003B!W2696/1000</f>
        <v>0</v>
      </c>
      <c r="X2688" s="85">
        <f t="shared" si="291"/>
        <v>7866.6009999999997</v>
      </c>
      <c r="Y2688" s="85">
        <f>STATS1003B!Y2696/1000</f>
        <v>0</v>
      </c>
      <c r="Z2688" s="85">
        <f>STATS1003B!Z2696/1000</f>
        <v>0</v>
      </c>
      <c r="AA2688" s="69">
        <f>STATS1003B!AA2696/1000</f>
        <v>7866.6009999999997</v>
      </c>
      <c r="AB2688" s="69">
        <f>STATS1003B!AB2696/1000</f>
        <v>0</v>
      </c>
    </row>
    <row r="2689" spans="1:28" hidden="1" x14ac:dyDescent="0.3">
      <c r="A2689" s="117"/>
      <c r="C2689" s="68" t="s">
        <v>69</v>
      </c>
      <c r="D2689" s="145" t="s">
        <v>54</v>
      </c>
      <c r="E2689" s="85">
        <f>STATS1003B!E2697/1000</f>
        <v>955.34561999999994</v>
      </c>
      <c r="F2689" s="85">
        <f>STATS1003B!F2697/1000</f>
        <v>0</v>
      </c>
      <c r="G2689" s="85">
        <f>STATS1003B!G2697/1000</f>
        <v>0</v>
      </c>
      <c r="H2689" s="85">
        <f>STATS1003B!H2697/1000</f>
        <v>0</v>
      </c>
      <c r="I2689" s="85">
        <f>STATS1003B!I2697/1000</f>
        <v>0</v>
      </c>
      <c r="J2689" s="85">
        <f>STATS1003B!J2697/1000</f>
        <v>0</v>
      </c>
      <c r="K2689" s="85">
        <f>STATS1003B!K2697/1000</f>
        <v>0</v>
      </c>
      <c r="L2689" s="85">
        <f>STATS1003B!L2697/1000</f>
        <v>0</v>
      </c>
      <c r="M2689" s="85">
        <f>STATS1003B!M2697/1000</f>
        <v>0</v>
      </c>
      <c r="N2689" s="85">
        <f>STATS1003B!N2697/1000</f>
        <v>955.34561999999994</v>
      </c>
      <c r="O2689" s="85">
        <f>STATS1003B!O2697/1000</f>
        <v>0</v>
      </c>
      <c r="P2689" s="85">
        <f>STATS1003B!P2697/1000</f>
        <v>955.34561999999994</v>
      </c>
      <c r="Q2689" s="85">
        <f>STATS1003B!Q2697/1000</f>
        <v>0</v>
      </c>
      <c r="R2689" s="85">
        <f>STATS1003B!R2697/1000</f>
        <v>0</v>
      </c>
      <c r="S2689" s="85">
        <f>STATS1003B!S2697/1000</f>
        <v>0</v>
      </c>
      <c r="T2689" s="85">
        <f>STATS1003B!T2697/1000</f>
        <v>0</v>
      </c>
      <c r="U2689" s="85">
        <f>STATS1003B!U2697/1000</f>
        <v>955.34561999999994</v>
      </c>
      <c r="V2689" s="85">
        <f>STATS1003B!V2697/1000</f>
        <v>955.34561999999994</v>
      </c>
      <c r="W2689" s="85">
        <f>STATS1003B!W2697/1000</f>
        <v>0</v>
      </c>
      <c r="X2689" s="85">
        <f t="shared" si="291"/>
        <v>955.34561999999994</v>
      </c>
      <c r="Y2689" s="85">
        <f>STATS1003B!Y2697/1000</f>
        <v>0</v>
      </c>
      <c r="Z2689" s="85">
        <f>STATS1003B!Z2697/1000</f>
        <v>0</v>
      </c>
      <c r="AA2689" s="69">
        <f>STATS1003B!AA2697/1000</f>
        <v>955.34561999999994</v>
      </c>
      <c r="AB2689" s="69">
        <f>STATS1003B!AB2697/1000</f>
        <v>0</v>
      </c>
    </row>
    <row r="2690" spans="1:28" hidden="1" x14ac:dyDescent="0.3">
      <c r="A2690" s="117"/>
      <c r="C2690" s="68" t="s">
        <v>57</v>
      </c>
      <c r="D2690" s="145" t="s">
        <v>85</v>
      </c>
      <c r="E2690" s="85">
        <f>STATS1003B!E2698/1000</f>
        <v>1025.0999999999999</v>
      </c>
      <c r="F2690" s="85">
        <f>STATS1003B!F2698/1000</f>
        <v>1025.0999999999999</v>
      </c>
      <c r="G2690" s="85">
        <f>STATS1003B!G2698/1000</f>
        <v>0</v>
      </c>
      <c r="H2690" s="85">
        <f>STATS1003B!H2698/1000</f>
        <v>1025.0999999999999</v>
      </c>
      <c r="I2690" s="85">
        <f>STATS1003B!I2698/1000</f>
        <v>0</v>
      </c>
      <c r="J2690" s="85">
        <f>STATS1003B!J2698/1000</f>
        <v>0</v>
      </c>
      <c r="K2690" s="85">
        <f>STATS1003B!K2698/1000</f>
        <v>0</v>
      </c>
      <c r="L2690" s="85">
        <f>STATS1003B!L2698/1000</f>
        <v>0</v>
      </c>
      <c r="M2690" s="85">
        <f>STATS1003B!M2698/1000</f>
        <v>1025.0999999999999</v>
      </c>
      <c r="N2690" s="85">
        <f>STATS1003B!N2698/1000</f>
        <v>0</v>
      </c>
      <c r="O2690" s="85">
        <f>STATS1003B!O2698/1000</f>
        <v>0</v>
      </c>
      <c r="P2690" s="85">
        <f>STATS1003B!P2698/1000</f>
        <v>0</v>
      </c>
      <c r="Q2690" s="85">
        <f>STATS1003B!Q2698/1000</f>
        <v>0</v>
      </c>
      <c r="R2690" s="85">
        <f>STATS1003B!R2698/1000</f>
        <v>0</v>
      </c>
      <c r="S2690" s="85">
        <f>STATS1003B!S2698/1000</f>
        <v>0</v>
      </c>
      <c r="T2690" s="85">
        <f>STATS1003B!T2698/1000</f>
        <v>0</v>
      </c>
      <c r="U2690" s="85">
        <f>STATS1003B!U2698/1000</f>
        <v>0</v>
      </c>
      <c r="V2690" s="85">
        <f>STATS1003B!V2698/1000</f>
        <v>1025.0999999999999</v>
      </c>
      <c r="W2690" s="85">
        <f>STATS1003B!W2698/1000</f>
        <v>0</v>
      </c>
      <c r="X2690" s="85">
        <f t="shared" si="291"/>
        <v>1025.0999999999999</v>
      </c>
      <c r="Y2690" s="85">
        <f>STATS1003B!Y2698/1000</f>
        <v>0</v>
      </c>
      <c r="Z2690" s="85">
        <f>STATS1003B!Z2698/1000</f>
        <v>0</v>
      </c>
      <c r="AA2690" s="69">
        <f>STATS1003B!AA2698/1000</f>
        <v>1025.0999999999999</v>
      </c>
      <c r="AB2690" s="69">
        <f>STATS1003B!AB2698/1000</f>
        <v>0</v>
      </c>
    </row>
    <row r="2691" spans="1:28" hidden="1" x14ac:dyDescent="0.3">
      <c r="A2691" s="117"/>
      <c r="C2691" s="68" t="s">
        <v>57</v>
      </c>
      <c r="D2691" s="145" t="s">
        <v>108</v>
      </c>
      <c r="E2691" s="85">
        <f>STATS1003B!E2699/1000</f>
        <v>1500</v>
      </c>
      <c r="F2691" s="85">
        <f>STATS1003B!F2699/1000</f>
        <v>1500</v>
      </c>
      <c r="G2691" s="85">
        <f>STATS1003B!G2699/1000</f>
        <v>0</v>
      </c>
      <c r="H2691" s="85">
        <f>STATS1003B!H2699/1000</f>
        <v>1500</v>
      </c>
      <c r="I2691" s="85">
        <f>STATS1003B!I2699/1000</f>
        <v>0</v>
      </c>
      <c r="J2691" s="85">
        <f>STATS1003B!J2699/1000</f>
        <v>0</v>
      </c>
      <c r="K2691" s="85">
        <f>STATS1003B!K2699/1000</f>
        <v>0</v>
      </c>
      <c r="L2691" s="85">
        <f>STATS1003B!L2699/1000</f>
        <v>0</v>
      </c>
      <c r="M2691" s="85">
        <f>STATS1003B!M2699/1000</f>
        <v>1500</v>
      </c>
      <c r="N2691" s="85">
        <f>STATS1003B!N2699/1000</f>
        <v>0</v>
      </c>
      <c r="O2691" s="85">
        <f>STATS1003B!O2699/1000</f>
        <v>0</v>
      </c>
      <c r="P2691" s="85">
        <f>STATS1003B!P2699/1000</f>
        <v>0</v>
      </c>
      <c r="Q2691" s="85">
        <f>STATS1003B!Q2699/1000</f>
        <v>0</v>
      </c>
      <c r="R2691" s="85">
        <f>STATS1003B!R2699/1000</f>
        <v>0</v>
      </c>
      <c r="S2691" s="85">
        <f>STATS1003B!S2699/1000</f>
        <v>0</v>
      </c>
      <c r="T2691" s="85">
        <f>STATS1003B!T2699/1000</f>
        <v>0</v>
      </c>
      <c r="U2691" s="85">
        <f>STATS1003B!U2699/1000</f>
        <v>0</v>
      </c>
      <c r="V2691" s="85">
        <f>STATS1003B!V2699/1000</f>
        <v>1500</v>
      </c>
      <c r="W2691" s="85">
        <f>STATS1003B!W2699/1000</f>
        <v>0</v>
      </c>
      <c r="X2691" s="85">
        <f t="shared" si="291"/>
        <v>1500</v>
      </c>
      <c r="Y2691" s="85">
        <f>STATS1003B!Y2699/1000</f>
        <v>0</v>
      </c>
      <c r="Z2691" s="85">
        <f>STATS1003B!Z2699/1000</f>
        <v>0</v>
      </c>
      <c r="AA2691" s="69">
        <f>STATS1003B!AA2699/1000</f>
        <v>1500</v>
      </c>
      <c r="AB2691" s="69">
        <f>STATS1003B!AB2699/1000</f>
        <v>0</v>
      </c>
    </row>
    <row r="2692" spans="1:28" hidden="1" x14ac:dyDescent="0.3">
      <c r="A2692" s="117"/>
      <c r="C2692" s="68" t="s">
        <v>57</v>
      </c>
      <c r="D2692" s="145" t="s">
        <v>60</v>
      </c>
      <c r="E2692" s="85">
        <f>STATS1003B!E2700/1000</f>
        <v>1721.1959999999999</v>
      </c>
      <c r="F2692" s="85">
        <f>STATS1003B!F2700/1000</f>
        <v>1721.1959999999999</v>
      </c>
      <c r="G2692" s="85">
        <f>STATS1003B!G2700/1000</f>
        <v>0</v>
      </c>
      <c r="H2692" s="85">
        <f>STATS1003B!H2700/1000</f>
        <v>1721.1959999999999</v>
      </c>
      <c r="I2692" s="85">
        <f>STATS1003B!I2700/1000</f>
        <v>0</v>
      </c>
      <c r="J2692" s="85">
        <f>STATS1003B!J2700/1000</f>
        <v>0</v>
      </c>
      <c r="K2692" s="85">
        <f>STATS1003B!K2700/1000</f>
        <v>0</v>
      </c>
      <c r="L2692" s="85">
        <f>STATS1003B!L2700/1000</f>
        <v>0</v>
      </c>
      <c r="M2692" s="85">
        <f>STATS1003B!M2700/1000</f>
        <v>1721.1959999999999</v>
      </c>
      <c r="N2692" s="85">
        <f>STATS1003B!N2700/1000</f>
        <v>0</v>
      </c>
      <c r="O2692" s="85">
        <f>STATS1003B!O2700/1000</f>
        <v>0</v>
      </c>
      <c r="P2692" s="85">
        <f>STATS1003B!P2700/1000</f>
        <v>0</v>
      </c>
      <c r="Q2692" s="85">
        <f>STATS1003B!Q2700/1000</f>
        <v>0</v>
      </c>
      <c r="R2692" s="85">
        <f>STATS1003B!R2700/1000</f>
        <v>0</v>
      </c>
      <c r="S2692" s="85">
        <f>STATS1003B!S2700/1000</f>
        <v>0</v>
      </c>
      <c r="T2692" s="85">
        <f>STATS1003B!T2700/1000</f>
        <v>0</v>
      </c>
      <c r="U2692" s="85">
        <f>STATS1003B!U2700/1000</f>
        <v>0</v>
      </c>
      <c r="V2692" s="85">
        <f>STATS1003B!V2700/1000</f>
        <v>1721.1959999999999</v>
      </c>
      <c r="W2692" s="85">
        <f>STATS1003B!W2700/1000</f>
        <v>0</v>
      </c>
      <c r="X2692" s="85">
        <f t="shared" si="291"/>
        <v>1721.1959999999999</v>
      </c>
      <c r="Y2692" s="85">
        <f>STATS1003B!Y2700/1000</f>
        <v>0</v>
      </c>
      <c r="Z2692" s="85">
        <f>STATS1003B!Z2700/1000</f>
        <v>0</v>
      </c>
      <c r="AA2692" s="69">
        <f>STATS1003B!AA2700/1000</f>
        <v>1721.1959999999999</v>
      </c>
      <c r="AB2692" s="69">
        <f>STATS1003B!AB2700/1000</f>
        <v>0</v>
      </c>
    </row>
    <row r="2693" spans="1:28" hidden="1" x14ac:dyDescent="0.3">
      <c r="A2693" s="117"/>
      <c r="C2693" s="71" t="s">
        <v>1089</v>
      </c>
      <c r="D2693" s="145" t="s">
        <v>60</v>
      </c>
      <c r="E2693" s="85">
        <f>STATS1003B!E2701/1000</f>
        <v>300</v>
      </c>
      <c r="F2693" s="85">
        <f>STATS1003B!F2701/1000</f>
        <v>300</v>
      </c>
      <c r="G2693" s="85">
        <f>STATS1003B!G2701/1000</f>
        <v>0</v>
      </c>
      <c r="H2693" s="85">
        <f>STATS1003B!H2701/1000</f>
        <v>300</v>
      </c>
      <c r="I2693" s="85">
        <f>STATS1003B!I2701/1000</f>
        <v>0</v>
      </c>
      <c r="J2693" s="85">
        <f>STATS1003B!J2701/1000</f>
        <v>0</v>
      </c>
      <c r="K2693" s="85">
        <f>STATS1003B!K2701/1000</f>
        <v>0</v>
      </c>
      <c r="L2693" s="85">
        <f>STATS1003B!L2701/1000</f>
        <v>0</v>
      </c>
      <c r="M2693" s="85">
        <f>STATS1003B!M2701/1000</f>
        <v>300</v>
      </c>
      <c r="N2693" s="85">
        <f>STATS1003B!N2701/1000</f>
        <v>0</v>
      </c>
      <c r="O2693" s="85">
        <f>STATS1003B!O2701/1000</f>
        <v>0</v>
      </c>
      <c r="P2693" s="85">
        <f>STATS1003B!P2701/1000</f>
        <v>0</v>
      </c>
      <c r="Q2693" s="85">
        <f>STATS1003B!Q2701/1000</f>
        <v>0</v>
      </c>
      <c r="R2693" s="85">
        <f>STATS1003B!R2701/1000</f>
        <v>0</v>
      </c>
      <c r="S2693" s="85">
        <f>STATS1003B!S2701/1000</f>
        <v>0</v>
      </c>
      <c r="T2693" s="85">
        <f>STATS1003B!T2701/1000</f>
        <v>0</v>
      </c>
      <c r="U2693" s="85">
        <f>STATS1003B!U2701/1000</f>
        <v>0</v>
      </c>
      <c r="V2693" s="85">
        <f>STATS1003B!V2701/1000</f>
        <v>300</v>
      </c>
      <c r="W2693" s="85">
        <f>STATS1003B!W2701/1000</f>
        <v>0</v>
      </c>
      <c r="X2693" s="85">
        <f t="shared" si="291"/>
        <v>300</v>
      </c>
      <c r="Y2693" s="85">
        <f>STATS1003B!Y2701/1000</f>
        <v>0</v>
      </c>
      <c r="Z2693" s="85">
        <f>STATS1003B!Z2701/1000</f>
        <v>0</v>
      </c>
      <c r="AA2693" s="69">
        <f>STATS1003B!AA2701/1000</f>
        <v>300</v>
      </c>
      <c r="AB2693" s="69">
        <f>STATS1003B!AB2701/1000</f>
        <v>0</v>
      </c>
    </row>
    <row r="2694" spans="1:28" hidden="1" x14ac:dyDescent="0.3">
      <c r="A2694" s="117"/>
      <c r="C2694" s="68" t="s">
        <v>57</v>
      </c>
      <c r="D2694" s="145" t="s">
        <v>73</v>
      </c>
      <c r="E2694" s="85">
        <f>STATS1003B!E2702/1000</f>
        <v>4962.3424500000001</v>
      </c>
      <c r="F2694" s="85">
        <f>STATS1003B!F2702/1000</f>
        <v>4962.3424500000001</v>
      </c>
      <c r="G2694" s="85">
        <f>STATS1003B!G2702/1000</f>
        <v>0</v>
      </c>
      <c r="H2694" s="85">
        <f>STATS1003B!H2702/1000</f>
        <v>4962.3424500000001</v>
      </c>
      <c r="I2694" s="85">
        <f>STATS1003B!I2702/1000</f>
        <v>0</v>
      </c>
      <c r="J2694" s="85">
        <f>STATS1003B!J2702/1000</f>
        <v>0</v>
      </c>
      <c r="K2694" s="85">
        <f>STATS1003B!K2702/1000</f>
        <v>0</v>
      </c>
      <c r="L2694" s="85">
        <f>STATS1003B!L2702/1000</f>
        <v>0</v>
      </c>
      <c r="M2694" s="85">
        <f>STATS1003B!M2702/1000</f>
        <v>4962.3424500000001</v>
      </c>
      <c r="N2694" s="85">
        <f>STATS1003B!N2702/1000</f>
        <v>0</v>
      </c>
      <c r="O2694" s="85">
        <f>STATS1003B!O2702/1000</f>
        <v>0</v>
      </c>
      <c r="P2694" s="85">
        <f>STATS1003B!P2702/1000</f>
        <v>0</v>
      </c>
      <c r="Q2694" s="85">
        <f>STATS1003B!Q2702/1000</f>
        <v>0</v>
      </c>
      <c r="R2694" s="85">
        <f>STATS1003B!R2702/1000</f>
        <v>0</v>
      </c>
      <c r="S2694" s="85">
        <f>STATS1003B!S2702/1000</f>
        <v>0</v>
      </c>
      <c r="T2694" s="85">
        <f>STATS1003B!T2702/1000</f>
        <v>0</v>
      </c>
      <c r="U2694" s="85">
        <f>STATS1003B!U2702/1000</f>
        <v>0</v>
      </c>
      <c r="V2694" s="85">
        <f>STATS1003B!V2702/1000</f>
        <v>4962.3424500000001</v>
      </c>
      <c r="W2694" s="85">
        <f>STATS1003B!W2702/1000</f>
        <v>0</v>
      </c>
      <c r="X2694" s="85">
        <f t="shared" si="291"/>
        <v>4962.3424500000001</v>
      </c>
      <c r="Y2694" s="85">
        <f>STATS1003B!Y2702/1000</f>
        <v>0</v>
      </c>
      <c r="Z2694" s="85">
        <f>STATS1003B!Z2702/1000</f>
        <v>0</v>
      </c>
      <c r="AA2694" s="69">
        <f>STATS1003B!AA2702/1000</f>
        <v>4962.3424500000001</v>
      </c>
      <c r="AB2694" s="69">
        <f>STATS1003B!AB2702/1000</f>
        <v>0</v>
      </c>
    </row>
    <row r="2695" spans="1:28" hidden="1" x14ac:dyDescent="0.3">
      <c r="A2695" s="117"/>
      <c r="C2695" s="68" t="s">
        <v>471</v>
      </c>
      <c r="D2695" s="90" t="s">
        <v>472</v>
      </c>
      <c r="E2695" s="85">
        <f>STATS1003B!E2703/1000</f>
        <v>3074.0657099999999</v>
      </c>
      <c r="F2695" s="85">
        <f>STATS1003B!F2703/1000</f>
        <v>3030.6410900000001</v>
      </c>
      <c r="G2695" s="85">
        <f>STATS1003B!G2703/1000</f>
        <v>0</v>
      </c>
      <c r="H2695" s="85">
        <f>STATS1003B!H2703/1000</f>
        <v>3030.6410900000001</v>
      </c>
      <c r="I2695" s="85">
        <f>STATS1003B!I2703/1000</f>
        <v>0</v>
      </c>
      <c r="J2695" s="85">
        <f>STATS1003B!J2703/1000</f>
        <v>0</v>
      </c>
      <c r="K2695" s="85">
        <f>STATS1003B!K2703/1000</f>
        <v>0</v>
      </c>
      <c r="L2695" s="85">
        <f>STATS1003B!L2703/1000</f>
        <v>0</v>
      </c>
      <c r="M2695" s="85">
        <f>STATS1003B!M2703/1000</f>
        <v>3030.6410900000001</v>
      </c>
      <c r="N2695" s="85">
        <f>STATS1003B!N2703/1000</f>
        <v>41.917070000000002</v>
      </c>
      <c r="O2695" s="85">
        <f>STATS1003B!O2703/1000</f>
        <v>0</v>
      </c>
      <c r="P2695" s="85">
        <f>STATS1003B!P2703/1000</f>
        <v>41.917070000000002</v>
      </c>
      <c r="Q2695" s="85">
        <f>STATS1003B!Q2703/1000</f>
        <v>43.424620000000004</v>
      </c>
      <c r="R2695" s="85">
        <f>STATS1003B!R2703/1000</f>
        <v>0</v>
      </c>
      <c r="S2695" s="85">
        <f>STATS1003B!S2703/1000</f>
        <v>0</v>
      </c>
      <c r="T2695" s="85">
        <f>STATS1003B!T2703/1000</f>
        <v>1.5075499999999999</v>
      </c>
      <c r="U2695" s="85">
        <f>STATS1003B!U2703/1000</f>
        <v>43.424620000000004</v>
      </c>
      <c r="V2695" s="85">
        <f>STATS1003B!V2703/1000</f>
        <v>3072.5581599999996</v>
      </c>
      <c r="W2695" s="85">
        <f>STATS1003B!W2703/1000</f>
        <v>1.5075500000002795</v>
      </c>
      <c r="X2695" s="85">
        <f t="shared" si="291"/>
        <v>3072.55816</v>
      </c>
      <c r="Y2695" s="85">
        <f>STATS1003B!Y2703/1000</f>
        <v>0</v>
      </c>
      <c r="Z2695" s="85">
        <f>STATS1003B!Z2703/1000</f>
        <v>1.5075500000002795</v>
      </c>
      <c r="AA2695" s="69">
        <f>STATS1003B!AA2703/1000</f>
        <v>3074.0657099999999</v>
      </c>
      <c r="AB2695" s="69">
        <f>STATS1003B!AB2703/1000</f>
        <v>0</v>
      </c>
    </row>
    <row r="2696" spans="1:28" hidden="1" x14ac:dyDescent="0.3">
      <c r="A2696" s="117"/>
      <c r="C2696" s="68" t="s">
        <v>924</v>
      </c>
      <c r="D2696" s="90" t="s">
        <v>1072</v>
      </c>
      <c r="E2696" s="85">
        <f>STATS1003B!E2704/1000</f>
        <v>876.74300000000005</v>
      </c>
      <c r="F2696" s="85">
        <f>STATS1003B!F2704/1000</f>
        <v>876.74300000000005</v>
      </c>
      <c r="G2696" s="85">
        <f>STATS1003B!G2704/1000</f>
        <v>0</v>
      </c>
      <c r="H2696" s="85">
        <f>STATS1003B!H2704/1000</f>
        <v>876.74300000000005</v>
      </c>
      <c r="I2696" s="85">
        <f>STATS1003B!I2704/1000</f>
        <v>0</v>
      </c>
      <c r="J2696" s="85">
        <f>STATS1003B!J2704/1000</f>
        <v>0</v>
      </c>
      <c r="K2696" s="85">
        <f>STATS1003B!K2704/1000</f>
        <v>0</v>
      </c>
      <c r="L2696" s="85">
        <f>STATS1003B!L2704/1000</f>
        <v>0</v>
      </c>
      <c r="M2696" s="85">
        <f>STATS1003B!M2704/1000</f>
        <v>876.74300000000005</v>
      </c>
      <c r="N2696" s="85">
        <f>STATS1003B!N2704/1000</f>
        <v>0</v>
      </c>
      <c r="O2696" s="85">
        <f>STATS1003B!O2704/1000</f>
        <v>0</v>
      </c>
      <c r="P2696" s="85">
        <f>STATS1003B!P2704/1000</f>
        <v>0</v>
      </c>
      <c r="Q2696" s="85">
        <f>STATS1003B!Q2704/1000</f>
        <v>0</v>
      </c>
      <c r="R2696" s="85">
        <f>STATS1003B!R2704/1000</f>
        <v>0</v>
      </c>
      <c r="S2696" s="85">
        <f>STATS1003B!S2704/1000</f>
        <v>0</v>
      </c>
      <c r="T2696" s="85">
        <f>STATS1003B!T2704/1000</f>
        <v>0</v>
      </c>
      <c r="U2696" s="85">
        <f>STATS1003B!U2704/1000</f>
        <v>0</v>
      </c>
      <c r="V2696" s="85">
        <f>STATS1003B!V2704/1000</f>
        <v>876.74300000000005</v>
      </c>
      <c r="W2696" s="85">
        <f>STATS1003B!W2704/1000</f>
        <v>0</v>
      </c>
      <c r="X2696" s="85">
        <f t="shared" si="291"/>
        <v>876.74300000000005</v>
      </c>
      <c r="Y2696" s="85">
        <f>STATS1003B!Y2704/1000</f>
        <v>0</v>
      </c>
      <c r="Z2696" s="85">
        <f>STATS1003B!Z2704/1000</f>
        <v>0</v>
      </c>
      <c r="AA2696" s="69">
        <f>STATS1003B!AA2704/1000</f>
        <v>876.74300000000005</v>
      </c>
      <c r="AB2696" s="69">
        <f>STATS1003B!AB2704/1000</f>
        <v>0</v>
      </c>
    </row>
    <row r="2697" spans="1:28" hidden="1" x14ac:dyDescent="0.3">
      <c r="A2697" s="117"/>
      <c r="C2697" s="68" t="s">
        <v>930</v>
      </c>
      <c r="D2697" s="90" t="s">
        <v>1072</v>
      </c>
      <c r="E2697" s="85">
        <f>STATS1003B!E2705/1000</f>
        <v>984.90962000000002</v>
      </c>
      <c r="F2697" s="85">
        <f>STATS1003B!F2705/1000</f>
        <v>984.90962000000002</v>
      </c>
      <c r="G2697" s="85">
        <f>STATS1003B!G2705/1000</f>
        <v>0</v>
      </c>
      <c r="H2697" s="85">
        <f>STATS1003B!H2705/1000</f>
        <v>984.90962000000002</v>
      </c>
      <c r="I2697" s="85">
        <f>STATS1003B!I2705/1000</f>
        <v>0</v>
      </c>
      <c r="J2697" s="85">
        <f>STATS1003B!J2705/1000</f>
        <v>0</v>
      </c>
      <c r="K2697" s="85">
        <f>STATS1003B!K2705/1000</f>
        <v>0</v>
      </c>
      <c r="L2697" s="85">
        <f>STATS1003B!L2705/1000</f>
        <v>0</v>
      </c>
      <c r="M2697" s="85">
        <f>STATS1003B!M2705/1000</f>
        <v>984.90962000000002</v>
      </c>
      <c r="N2697" s="85">
        <f>STATS1003B!N2705/1000</f>
        <v>0</v>
      </c>
      <c r="O2697" s="85">
        <f>STATS1003B!O2705/1000</f>
        <v>0</v>
      </c>
      <c r="P2697" s="85">
        <f>STATS1003B!P2705/1000</f>
        <v>0</v>
      </c>
      <c r="Q2697" s="85">
        <f>STATS1003B!Q2705/1000</f>
        <v>0</v>
      </c>
      <c r="R2697" s="85">
        <f>STATS1003B!R2705/1000</f>
        <v>0</v>
      </c>
      <c r="S2697" s="85">
        <f>STATS1003B!S2705/1000</f>
        <v>0</v>
      </c>
      <c r="T2697" s="85">
        <f>STATS1003B!T2705/1000</f>
        <v>0</v>
      </c>
      <c r="U2697" s="85">
        <f>STATS1003B!U2705/1000</f>
        <v>0</v>
      </c>
      <c r="V2697" s="85">
        <f>STATS1003B!V2705/1000</f>
        <v>984.90962000000002</v>
      </c>
      <c r="W2697" s="85">
        <f>STATS1003B!W2705/1000</f>
        <v>0</v>
      </c>
      <c r="X2697" s="85">
        <f t="shared" si="291"/>
        <v>984.90962000000002</v>
      </c>
      <c r="Y2697" s="85">
        <f>STATS1003B!Y2705/1000</f>
        <v>0</v>
      </c>
      <c r="Z2697" s="85">
        <f>STATS1003B!Z2705/1000</f>
        <v>0</v>
      </c>
      <c r="AA2697" s="69">
        <f>STATS1003B!AA2705/1000</f>
        <v>984.90962000000002</v>
      </c>
      <c r="AB2697" s="69">
        <f>STATS1003B!AB2705/1000</f>
        <v>0</v>
      </c>
    </row>
    <row r="2698" spans="1:28" hidden="1" x14ac:dyDescent="0.3">
      <c r="A2698" s="117"/>
      <c r="C2698" s="68" t="s">
        <v>1129</v>
      </c>
      <c r="D2698" s="90" t="s">
        <v>1126</v>
      </c>
      <c r="E2698" s="85">
        <f>STATS1003B!E2706/1000</f>
        <v>525.86351000000002</v>
      </c>
      <c r="F2698" s="85">
        <f>STATS1003B!F2706/1000</f>
        <v>525.86351000000002</v>
      </c>
      <c r="G2698" s="85">
        <f>STATS1003B!G2706/1000</f>
        <v>0</v>
      </c>
      <c r="H2698" s="85">
        <f>STATS1003B!H2706/1000</f>
        <v>525.86351000000002</v>
      </c>
      <c r="I2698" s="85">
        <f>STATS1003B!I2706/1000</f>
        <v>0</v>
      </c>
      <c r="J2698" s="85">
        <f>STATS1003B!J2706/1000</f>
        <v>0</v>
      </c>
      <c r="K2698" s="85">
        <f>STATS1003B!K2706/1000</f>
        <v>0</v>
      </c>
      <c r="L2698" s="85">
        <f>STATS1003B!L2706/1000</f>
        <v>0</v>
      </c>
      <c r="M2698" s="85">
        <f>STATS1003B!M2706/1000</f>
        <v>525.86351000000002</v>
      </c>
      <c r="N2698" s="85">
        <f>STATS1003B!N2706/1000</f>
        <v>0</v>
      </c>
      <c r="O2698" s="85">
        <f>STATS1003B!O2706/1000</f>
        <v>0</v>
      </c>
      <c r="P2698" s="85">
        <f>STATS1003B!P2706/1000</f>
        <v>0</v>
      </c>
      <c r="Q2698" s="85">
        <f>STATS1003B!Q2706/1000</f>
        <v>0</v>
      </c>
      <c r="R2698" s="85">
        <f>STATS1003B!R2706/1000</f>
        <v>0</v>
      </c>
      <c r="S2698" s="85">
        <f>STATS1003B!S2706/1000</f>
        <v>0</v>
      </c>
      <c r="T2698" s="85">
        <f>STATS1003B!T2706/1000</f>
        <v>0</v>
      </c>
      <c r="U2698" s="85">
        <f>STATS1003B!U2706/1000</f>
        <v>0</v>
      </c>
      <c r="V2698" s="85">
        <f>STATS1003B!V2706/1000</f>
        <v>0</v>
      </c>
      <c r="W2698" s="85">
        <f>STATS1003B!W2706/1000</f>
        <v>0</v>
      </c>
      <c r="X2698" s="85">
        <f t="shared" si="291"/>
        <v>525.86351000000002</v>
      </c>
      <c r="Y2698" s="85">
        <f>STATS1003B!Y2706/1000</f>
        <v>0</v>
      </c>
      <c r="Z2698" s="85">
        <f>STATS1003B!Z2706/1000</f>
        <v>0</v>
      </c>
      <c r="AA2698" s="69">
        <f>STATS1003B!AA2706/1000</f>
        <v>525.86351000000002</v>
      </c>
      <c r="AB2698" s="69">
        <f>STATS1003B!AB2706/1000</f>
        <v>0</v>
      </c>
    </row>
    <row r="2699" spans="1:28" hidden="1" x14ac:dyDescent="0.3">
      <c r="A2699" s="117"/>
      <c r="C2699" s="68" t="s">
        <v>1084</v>
      </c>
      <c r="D2699" s="90" t="s">
        <v>1072</v>
      </c>
      <c r="E2699" s="85">
        <f>STATS1003B!E2707/1000</f>
        <v>2992.0638300000001</v>
      </c>
      <c r="F2699" s="85">
        <f>STATS1003B!F2707/1000</f>
        <v>2992.0638300000001</v>
      </c>
      <c r="G2699" s="85">
        <f>STATS1003B!G2707/1000</f>
        <v>0</v>
      </c>
      <c r="H2699" s="85">
        <f>STATS1003B!H2707/1000</f>
        <v>2992.0638300000001</v>
      </c>
      <c r="I2699" s="85">
        <f>STATS1003B!I2707/1000</f>
        <v>0</v>
      </c>
      <c r="J2699" s="85">
        <f>STATS1003B!J2707/1000</f>
        <v>0</v>
      </c>
      <c r="K2699" s="85">
        <f>STATS1003B!K2707/1000</f>
        <v>0</v>
      </c>
      <c r="L2699" s="85">
        <f>STATS1003B!L2707/1000</f>
        <v>0</v>
      </c>
      <c r="M2699" s="85">
        <f>STATS1003B!M2707/1000</f>
        <v>2992.0638300000001</v>
      </c>
      <c r="N2699" s="85">
        <f>STATS1003B!N2707/1000</f>
        <v>0</v>
      </c>
      <c r="O2699" s="85">
        <f>STATS1003B!O2707/1000</f>
        <v>0</v>
      </c>
      <c r="P2699" s="85">
        <f>STATS1003B!P2707/1000</f>
        <v>0</v>
      </c>
      <c r="Q2699" s="85">
        <f>STATS1003B!Q2707/1000</f>
        <v>0</v>
      </c>
      <c r="R2699" s="85">
        <f>STATS1003B!R2707/1000</f>
        <v>0</v>
      </c>
      <c r="S2699" s="85">
        <f>STATS1003B!S2707/1000</f>
        <v>0</v>
      </c>
      <c r="T2699" s="85">
        <f>STATS1003B!T2707/1000</f>
        <v>0</v>
      </c>
      <c r="U2699" s="85">
        <f>STATS1003B!U2707/1000</f>
        <v>0</v>
      </c>
      <c r="V2699" s="85">
        <f>STATS1003B!V2707/1000</f>
        <v>0</v>
      </c>
      <c r="W2699" s="85">
        <f>STATS1003B!W2707/1000</f>
        <v>0</v>
      </c>
      <c r="X2699" s="85">
        <f t="shared" si="291"/>
        <v>2992.0638300000001</v>
      </c>
      <c r="Y2699" s="85">
        <f>STATS1003B!Y2707/1000</f>
        <v>0</v>
      </c>
      <c r="Z2699" s="85">
        <f>STATS1003B!Z2707/1000</f>
        <v>0</v>
      </c>
      <c r="AA2699" s="69">
        <f>STATS1003B!AA2707/1000</f>
        <v>2992.0638300000001</v>
      </c>
      <c r="AB2699" s="69">
        <f>STATS1003B!AB2707/1000</f>
        <v>0</v>
      </c>
    </row>
    <row r="2700" spans="1:28" hidden="1" x14ac:dyDescent="0.3">
      <c r="A2700" s="117"/>
      <c r="C2700" s="68" t="s">
        <v>1233</v>
      </c>
      <c r="D2700" s="90" t="s">
        <v>1225</v>
      </c>
      <c r="E2700" s="85">
        <f>STATS1003B!E2708/1000</f>
        <v>3693.6543799999999</v>
      </c>
      <c r="F2700" s="85">
        <f>STATS1003B!F2708/1000</f>
        <v>3693.6543799999999</v>
      </c>
      <c r="G2700" s="85">
        <f>STATS1003B!G2708/1000</f>
        <v>0</v>
      </c>
      <c r="H2700" s="85">
        <f>STATS1003B!H2708/1000</f>
        <v>3693.6543799999999</v>
      </c>
      <c r="I2700" s="85">
        <f>STATS1003B!I2708/1000</f>
        <v>0</v>
      </c>
      <c r="J2700" s="85">
        <f>STATS1003B!J2708/1000</f>
        <v>0</v>
      </c>
      <c r="K2700" s="85">
        <f>STATS1003B!K2708/1000</f>
        <v>0</v>
      </c>
      <c r="L2700" s="85">
        <f>STATS1003B!L2708/1000</f>
        <v>0</v>
      </c>
      <c r="M2700" s="85">
        <f>STATS1003B!M2708/1000</f>
        <v>3693.6543799999999</v>
      </c>
      <c r="N2700" s="85">
        <f>STATS1003B!N2708/1000</f>
        <v>0</v>
      </c>
      <c r="O2700" s="85">
        <f>STATS1003B!O2708/1000</f>
        <v>0</v>
      </c>
      <c r="P2700" s="85">
        <f>STATS1003B!P2708/1000</f>
        <v>0</v>
      </c>
      <c r="Q2700" s="85">
        <f>STATS1003B!Q2708/1000</f>
        <v>0</v>
      </c>
      <c r="R2700" s="85">
        <f>STATS1003B!R2708/1000</f>
        <v>0</v>
      </c>
      <c r="S2700" s="85">
        <f>STATS1003B!S2708/1000</f>
        <v>0</v>
      </c>
      <c r="T2700" s="85">
        <f>STATS1003B!T2708/1000</f>
        <v>0</v>
      </c>
      <c r="U2700" s="85">
        <f>STATS1003B!U2708/1000</f>
        <v>0</v>
      </c>
      <c r="V2700" s="85">
        <f>STATS1003B!V2708/1000</f>
        <v>0</v>
      </c>
      <c r="W2700" s="85">
        <f>STATS1003B!W2708/1000</f>
        <v>0</v>
      </c>
      <c r="X2700" s="85">
        <f t="shared" si="291"/>
        <v>3693.6543799999999</v>
      </c>
      <c r="Y2700" s="85">
        <f>STATS1003B!Y2708/1000</f>
        <v>0</v>
      </c>
      <c r="Z2700" s="85">
        <f>STATS1003B!Z2708/1000</f>
        <v>0</v>
      </c>
      <c r="AA2700" s="69">
        <f>STATS1003B!AA2708/1000</f>
        <v>3693.6543799999999</v>
      </c>
      <c r="AB2700" s="69">
        <f>STATS1003B!AB2708/1000</f>
        <v>0</v>
      </c>
    </row>
    <row r="2701" spans="1:28" hidden="1" x14ac:dyDescent="0.3">
      <c r="A2701" s="117"/>
      <c r="C2701" s="68" t="s">
        <v>1176</v>
      </c>
      <c r="D2701" s="90" t="s">
        <v>1126</v>
      </c>
      <c r="E2701" s="85">
        <f>STATS1003B!E2709/1000</f>
        <v>5265.63951</v>
      </c>
      <c r="F2701" s="85">
        <f>STATS1003B!F2709/1000</f>
        <v>5265.63951</v>
      </c>
      <c r="G2701" s="85">
        <f>STATS1003B!G2709/1000</f>
        <v>0</v>
      </c>
      <c r="H2701" s="85">
        <f>STATS1003B!H2709/1000</f>
        <v>5265.63951</v>
      </c>
      <c r="I2701" s="85">
        <f>STATS1003B!I2709/1000</f>
        <v>0</v>
      </c>
      <c r="J2701" s="85">
        <f>STATS1003B!J2709/1000</f>
        <v>0</v>
      </c>
      <c r="K2701" s="85">
        <f>STATS1003B!K2709/1000</f>
        <v>0</v>
      </c>
      <c r="L2701" s="85">
        <f>STATS1003B!L2709/1000</f>
        <v>0</v>
      </c>
      <c r="M2701" s="85">
        <f>STATS1003B!M2709/1000</f>
        <v>5265.63951</v>
      </c>
      <c r="N2701" s="85">
        <f>STATS1003B!N2709/1000</f>
        <v>0</v>
      </c>
      <c r="O2701" s="85">
        <f>STATS1003B!O2709/1000</f>
        <v>0</v>
      </c>
      <c r="P2701" s="85">
        <f>STATS1003B!P2709/1000</f>
        <v>0</v>
      </c>
      <c r="Q2701" s="85">
        <f>STATS1003B!Q2709/1000</f>
        <v>0</v>
      </c>
      <c r="R2701" s="85">
        <f>STATS1003B!R2709/1000</f>
        <v>0</v>
      </c>
      <c r="S2701" s="85">
        <f>STATS1003B!S2709/1000</f>
        <v>0</v>
      </c>
      <c r="T2701" s="85">
        <f>STATS1003B!T2709/1000</f>
        <v>0</v>
      </c>
      <c r="U2701" s="85">
        <f>STATS1003B!U2709/1000</f>
        <v>0</v>
      </c>
      <c r="V2701" s="85">
        <f>STATS1003B!V2709/1000</f>
        <v>0</v>
      </c>
      <c r="W2701" s="85">
        <f>STATS1003B!W2709/1000</f>
        <v>0</v>
      </c>
      <c r="X2701" s="85">
        <f t="shared" si="291"/>
        <v>5265.63951</v>
      </c>
      <c r="Y2701" s="85">
        <f>STATS1003B!Y2709/1000</f>
        <v>0</v>
      </c>
      <c r="Z2701" s="85">
        <f>STATS1003B!Z2709/1000</f>
        <v>0</v>
      </c>
      <c r="AA2701" s="69">
        <f>STATS1003B!AA2709/1000</f>
        <v>5265.63951</v>
      </c>
      <c r="AB2701" s="69">
        <f>STATS1003B!AB2709/1000</f>
        <v>0</v>
      </c>
    </row>
    <row r="2702" spans="1:28" hidden="1" x14ac:dyDescent="0.3">
      <c r="A2702" s="117"/>
      <c r="C2702" s="68" t="s">
        <v>57</v>
      </c>
      <c r="D2702" s="90" t="s">
        <v>61</v>
      </c>
      <c r="E2702" s="85">
        <f>STATS1003B!E2710/1000</f>
        <v>923.25699999999995</v>
      </c>
      <c r="F2702" s="85">
        <f>STATS1003B!F2710/1000</f>
        <v>923.25699999999995</v>
      </c>
      <c r="G2702" s="85">
        <f>STATS1003B!G2710/1000</f>
        <v>0</v>
      </c>
      <c r="H2702" s="85">
        <f>STATS1003B!H2710/1000</f>
        <v>923.25699999999995</v>
      </c>
      <c r="I2702" s="85">
        <f>STATS1003B!I2710/1000</f>
        <v>0</v>
      </c>
      <c r="J2702" s="85">
        <f>STATS1003B!J2710/1000</f>
        <v>0</v>
      </c>
      <c r="K2702" s="85">
        <f>STATS1003B!K2710/1000</f>
        <v>0</v>
      </c>
      <c r="L2702" s="85">
        <f>STATS1003B!L2710/1000</f>
        <v>0</v>
      </c>
      <c r="M2702" s="85">
        <f>STATS1003B!M2710/1000</f>
        <v>923.25699999999995</v>
      </c>
      <c r="N2702" s="85">
        <f>STATS1003B!N2710/1000</f>
        <v>0</v>
      </c>
      <c r="O2702" s="85">
        <f>STATS1003B!O2710/1000</f>
        <v>0</v>
      </c>
      <c r="P2702" s="85">
        <f>STATS1003B!P2710/1000</f>
        <v>0</v>
      </c>
      <c r="Q2702" s="85">
        <f>STATS1003B!Q2710/1000</f>
        <v>0</v>
      </c>
      <c r="R2702" s="85">
        <f>STATS1003B!R2710/1000</f>
        <v>0</v>
      </c>
      <c r="S2702" s="85">
        <f>STATS1003B!S2710/1000</f>
        <v>0</v>
      </c>
      <c r="T2702" s="85">
        <f>STATS1003B!T2710/1000</f>
        <v>0</v>
      </c>
      <c r="U2702" s="85">
        <f>STATS1003B!U2710/1000</f>
        <v>0</v>
      </c>
      <c r="V2702" s="85">
        <f>STATS1003B!V2710/1000</f>
        <v>923.25699999999995</v>
      </c>
      <c r="W2702" s="85">
        <f>STATS1003B!W2710/1000</f>
        <v>0</v>
      </c>
      <c r="X2702" s="85">
        <f t="shared" si="291"/>
        <v>923.25699999999995</v>
      </c>
      <c r="Y2702" s="85">
        <f>STATS1003B!Y2710/1000</f>
        <v>0</v>
      </c>
      <c r="Z2702" s="85">
        <f>STATS1003B!Z2710/1000</f>
        <v>0</v>
      </c>
      <c r="AA2702" s="69">
        <f>STATS1003B!AA2710/1000</f>
        <v>923.25699999999995</v>
      </c>
      <c r="AB2702" s="69">
        <f>STATS1003B!AB2710/1000</f>
        <v>0</v>
      </c>
    </row>
    <row r="2703" spans="1:28" hidden="1" x14ac:dyDescent="0.3">
      <c r="A2703" s="117"/>
      <c r="E2703" s="86" t="s">
        <v>29</v>
      </c>
      <c r="F2703" s="86" t="s">
        <v>29</v>
      </c>
      <c r="G2703" s="86" t="s">
        <v>29</v>
      </c>
      <c r="H2703" s="86" t="s">
        <v>29</v>
      </c>
      <c r="I2703" s="86" t="s">
        <v>29</v>
      </c>
      <c r="J2703" s="86" t="s">
        <v>29</v>
      </c>
      <c r="K2703" s="86" t="s">
        <v>29</v>
      </c>
      <c r="L2703" s="86" t="s">
        <v>29</v>
      </c>
      <c r="M2703" s="86" t="s">
        <v>29</v>
      </c>
      <c r="N2703" s="86" t="s">
        <v>29</v>
      </c>
      <c r="O2703" s="86" t="s">
        <v>29</v>
      </c>
      <c r="P2703" s="86" t="s">
        <v>29</v>
      </c>
      <c r="Q2703" s="86" t="s">
        <v>29</v>
      </c>
      <c r="R2703" s="86" t="s">
        <v>29</v>
      </c>
      <c r="S2703" s="86" t="s">
        <v>29</v>
      </c>
      <c r="T2703" s="86" t="s">
        <v>29</v>
      </c>
      <c r="U2703" s="86" t="s">
        <v>29</v>
      </c>
      <c r="V2703" s="86" t="s">
        <v>29</v>
      </c>
      <c r="W2703" s="86" t="s">
        <v>29</v>
      </c>
      <c r="X2703" s="85" t="e">
        <f t="shared" si="291"/>
        <v>#VALUE!</v>
      </c>
      <c r="Y2703" s="86" t="s">
        <v>29</v>
      </c>
      <c r="Z2703" s="86" t="s">
        <v>29</v>
      </c>
      <c r="AA2703" s="115" t="s">
        <v>29</v>
      </c>
      <c r="AB2703" s="115" t="s">
        <v>29</v>
      </c>
    </row>
    <row r="2704" spans="1:28" x14ac:dyDescent="0.3">
      <c r="A2704" s="116">
        <v>117</v>
      </c>
      <c r="B2704" s="68" t="s">
        <v>470</v>
      </c>
      <c r="E2704" s="85">
        <f>126028960.09/1000</f>
        <v>126028.96009000001</v>
      </c>
      <c r="F2704" s="85">
        <f t="shared" ref="F2704:AB2704" si="292">SUM(F2686:F2702)</f>
        <v>28085.614390000002</v>
      </c>
      <c r="G2704" s="85">
        <f t="shared" si="292"/>
        <v>0</v>
      </c>
      <c r="H2704" s="85">
        <f>115088282.86/1000</f>
        <v>115088.28286000001</v>
      </c>
      <c r="I2704" s="85">
        <f t="shared" si="292"/>
        <v>0</v>
      </c>
      <c r="J2704" s="85">
        <f t="shared" si="292"/>
        <v>0</v>
      </c>
      <c r="K2704" s="85">
        <f t="shared" si="292"/>
        <v>0</v>
      </c>
      <c r="L2704" s="85">
        <f t="shared" si="292"/>
        <v>0</v>
      </c>
      <c r="M2704" s="85">
        <f t="shared" si="292"/>
        <v>28085.614390000002</v>
      </c>
      <c r="N2704" s="85">
        <f t="shared" si="292"/>
        <v>10939.169679999999</v>
      </c>
      <c r="O2704" s="85">
        <f t="shared" si="292"/>
        <v>0</v>
      </c>
      <c r="P2704" s="85">
        <f>10939169/1000</f>
        <v>10939.169</v>
      </c>
      <c r="Q2704" s="85">
        <f t="shared" si="292"/>
        <v>43.424620000000004</v>
      </c>
      <c r="R2704" s="85">
        <f t="shared" si="292"/>
        <v>0</v>
      </c>
      <c r="S2704" s="85">
        <f t="shared" si="292"/>
        <v>0</v>
      </c>
      <c r="T2704" s="85">
        <f t="shared" si="292"/>
        <v>1.5075499999999999</v>
      </c>
      <c r="U2704" s="85">
        <f t="shared" si="292"/>
        <v>10940.677229999999</v>
      </c>
      <c r="V2704" s="85">
        <f t="shared" si="292"/>
        <v>26547.562839999999</v>
      </c>
      <c r="W2704" s="85">
        <f t="shared" si="292"/>
        <v>1.5075500000002795</v>
      </c>
      <c r="X2704" s="85">
        <f t="shared" si="291"/>
        <v>126027.45186</v>
      </c>
      <c r="Y2704" s="85">
        <f t="shared" si="292"/>
        <v>0</v>
      </c>
      <c r="Z2704" s="85">
        <f t="shared" ref="Z2704:Z2728" si="293">+E2704-X2704</f>
        <v>1.5082300000067335</v>
      </c>
      <c r="AA2704" s="69">
        <f t="shared" si="292"/>
        <v>39026.291619999996</v>
      </c>
      <c r="AB2704" s="69">
        <f t="shared" si="292"/>
        <v>0</v>
      </c>
    </row>
    <row r="2705" spans="1:28" hidden="1" x14ac:dyDescent="0.3">
      <c r="A2705" s="117"/>
      <c r="E2705" s="86" t="s">
        <v>29</v>
      </c>
      <c r="F2705" s="86" t="s">
        <v>29</v>
      </c>
      <c r="G2705" s="86" t="s">
        <v>29</v>
      </c>
      <c r="H2705" s="86" t="s">
        <v>29</v>
      </c>
      <c r="I2705" s="86" t="s">
        <v>29</v>
      </c>
      <c r="J2705" s="86" t="s">
        <v>29</v>
      </c>
      <c r="K2705" s="86" t="s">
        <v>29</v>
      </c>
      <c r="L2705" s="86" t="s">
        <v>29</v>
      </c>
      <c r="M2705" s="86" t="s">
        <v>29</v>
      </c>
      <c r="N2705" s="86" t="s">
        <v>29</v>
      </c>
      <c r="O2705" s="86" t="s">
        <v>29</v>
      </c>
      <c r="P2705" s="86" t="s">
        <v>29</v>
      </c>
      <c r="Q2705" s="86" t="s">
        <v>29</v>
      </c>
      <c r="R2705" s="86" t="s">
        <v>29</v>
      </c>
      <c r="S2705" s="86" t="s">
        <v>29</v>
      </c>
      <c r="T2705" s="86" t="s">
        <v>29</v>
      </c>
      <c r="U2705" s="86" t="s">
        <v>29</v>
      </c>
      <c r="V2705" s="86" t="s">
        <v>29</v>
      </c>
      <c r="W2705" s="86" t="s">
        <v>29</v>
      </c>
      <c r="X2705" s="85" t="e">
        <f t="shared" si="291"/>
        <v>#VALUE!</v>
      </c>
      <c r="Y2705" s="86" t="s">
        <v>29</v>
      </c>
      <c r="Z2705" s="85" t="e">
        <f t="shared" si="293"/>
        <v>#VALUE!</v>
      </c>
      <c r="AA2705" s="115" t="s">
        <v>29</v>
      </c>
      <c r="AB2705" s="115" t="s">
        <v>29</v>
      </c>
    </row>
    <row r="2706" spans="1:28" hidden="1" x14ac:dyDescent="0.3">
      <c r="A2706" s="105"/>
      <c r="D2706" s="71" t="s">
        <v>422</v>
      </c>
      <c r="E2706" s="84"/>
      <c r="F2706" s="84"/>
      <c r="G2706" s="84"/>
      <c r="H2706" s="84"/>
      <c r="I2706" s="84"/>
      <c r="J2706" s="84"/>
      <c r="K2706" s="84"/>
      <c r="L2706" s="84"/>
      <c r="M2706" s="84"/>
      <c r="N2706" s="84"/>
      <c r="O2706" s="84"/>
      <c r="P2706" s="84"/>
      <c r="Q2706" s="84"/>
      <c r="R2706" s="84"/>
      <c r="S2706" s="84"/>
      <c r="T2706" s="84"/>
      <c r="U2706" s="84"/>
      <c r="V2706" s="84"/>
      <c r="W2706" s="84"/>
      <c r="X2706" s="85">
        <f t="shared" si="291"/>
        <v>0</v>
      </c>
      <c r="Y2706" s="84"/>
      <c r="Z2706" s="85">
        <f t="shared" si="293"/>
        <v>0</v>
      </c>
    </row>
    <row r="2707" spans="1:28" hidden="1" x14ac:dyDescent="0.3">
      <c r="A2707" s="117"/>
      <c r="C2707" s="71" t="s">
        <v>474</v>
      </c>
      <c r="D2707" s="71" t="s">
        <v>475</v>
      </c>
      <c r="E2707" s="85">
        <f>STATS1003B!E2715/1000</f>
        <v>9465.43577</v>
      </c>
      <c r="F2707" s="85">
        <f>STATS1003B!F2715/1000</f>
        <v>9465.43577</v>
      </c>
      <c r="G2707" s="85">
        <f>STATS1003B!G2715/1000</f>
        <v>0</v>
      </c>
      <c r="H2707" s="85">
        <f>STATS1003B!H2715/1000</f>
        <v>9465.43577</v>
      </c>
      <c r="I2707" s="85">
        <f>STATS1003B!I2715/1000</f>
        <v>0</v>
      </c>
      <c r="J2707" s="85">
        <f>STATS1003B!J2715/1000</f>
        <v>0</v>
      </c>
      <c r="K2707" s="85">
        <f>STATS1003B!K2715/1000</f>
        <v>0</v>
      </c>
      <c r="L2707" s="85">
        <f>STATS1003B!L2715/1000</f>
        <v>0</v>
      </c>
      <c r="M2707" s="85">
        <f>STATS1003B!M2715/1000</f>
        <v>9465.43577</v>
      </c>
      <c r="N2707" s="85">
        <f>STATS1003B!N2715/1000</f>
        <v>0</v>
      </c>
      <c r="O2707" s="85">
        <f>STATS1003B!O2715/1000</f>
        <v>0</v>
      </c>
      <c r="P2707" s="85">
        <f>STATS1003B!P2715/1000</f>
        <v>0</v>
      </c>
      <c r="Q2707" s="85">
        <f>STATS1003B!Q2715/1000</f>
        <v>0</v>
      </c>
      <c r="R2707" s="85">
        <f>STATS1003B!R2715/1000</f>
        <v>0</v>
      </c>
      <c r="S2707" s="85">
        <f>STATS1003B!S2715/1000</f>
        <v>0</v>
      </c>
      <c r="T2707" s="85">
        <f>STATS1003B!T2715/1000</f>
        <v>0</v>
      </c>
      <c r="U2707" s="85">
        <f>STATS1003B!U2715/1000</f>
        <v>0</v>
      </c>
      <c r="V2707" s="85">
        <f>STATS1003B!V2715/1000</f>
        <v>9465.43577</v>
      </c>
      <c r="W2707" s="85">
        <f>STATS1003B!W2715/1000</f>
        <v>0</v>
      </c>
      <c r="X2707" s="85">
        <f t="shared" si="291"/>
        <v>9465.43577</v>
      </c>
      <c r="Y2707" s="85">
        <f>STATS1003B!Y2715/1000</f>
        <v>0</v>
      </c>
      <c r="Z2707" s="85">
        <f t="shared" si="293"/>
        <v>0</v>
      </c>
      <c r="AA2707" s="69">
        <f>STATS1003B!AA2715/1000</f>
        <v>9465.43577</v>
      </c>
      <c r="AB2707" s="69">
        <f>STATS1003B!AB2715/1000</f>
        <v>0</v>
      </c>
    </row>
    <row r="2708" spans="1:28" hidden="1" x14ac:dyDescent="0.3">
      <c r="A2708" s="117"/>
      <c r="C2708" s="71" t="s">
        <v>55</v>
      </c>
      <c r="D2708" s="88" t="s">
        <v>68</v>
      </c>
      <c r="E2708" s="85">
        <f>STATS1003B!E2716/1000</f>
        <v>1019.2345</v>
      </c>
      <c r="F2708" s="85">
        <f>STATS1003B!F2716/1000</f>
        <v>0</v>
      </c>
      <c r="G2708" s="85">
        <f>STATS1003B!G2716/1000</f>
        <v>0</v>
      </c>
      <c r="H2708" s="85">
        <f>STATS1003B!H2716/1000</f>
        <v>0</v>
      </c>
      <c r="I2708" s="85">
        <f>STATS1003B!I2716/1000</f>
        <v>0</v>
      </c>
      <c r="J2708" s="85">
        <f>STATS1003B!J2716/1000</f>
        <v>0</v>
      </c>
      <c r="K2708" s="85">
        <f>STATS1003B!K2716/1000</f>
        <v>0</v>
      </c>
      <c r="L2708" s="85">
        <f>STATS1003B!L2716/1000</f>
        <v>0</v>
      </c>
      <c r="M2708" s="85">
        <f>STATS1003B!M2716/1000</f>
        <v>0</v>
      </c>
      <c r="N2708" s="85">
        <f>STATS1003B!N2716/1000</f>
        <v>1019.2345</v>
      </c>
      <c r="O2708" s="85">
        <f>STATS1003B!O2716/1000</f>
        <v>0</v>
      </c>
      <c r="P2708" s="85">
        <f>STATS1003B!P2716/1000</f>
        <v>1019.2345</v>
      </c>
      <c r="Q2708" s="85">
        <f>STATS1003B!Q2716/1000</f>
        <v>0</v>
      </c>
      <c r="R2708" s="85">
        <f>STATS1003B!R2716/1000</f>
        <v>0</v>
      </c>
      <c r="S2708" s="85">
        <f>STATS1003B!S2716/1000</f>
        <v>0</v>
      </c>
      <c r="T2708" s="85">
        <f>STATS1003B!T2716/1000</f>
        <v>0</v>
      </c>
      <c r="U2708" s="85">
        <f>STATS1003B!U2716/1000</f>
        <v>1019.2345</v>
      </c>
      <c r="V2708" s="85">
        <f>STATS1003B!V2716/1000</f>
        <v>1019.2345</v>
      </c>
      <c r="W2708" s="85">
        <f>STATS1003B!W2716/1000</f>
        <v>0</v>
      </c>
      <c r="X2708" s="85">
        <f t="shared" si="291"/>
        <v>1019.2345</v>
      </c>
      <c r="Y2708" s="85">
        <f>STATS1003B!Y2716/1000</f>
        <v>0</v>
      </c>
      <c r="Z2708" s="85">
        <f t="shared" si="293"/>
        <v>0</v>
      </c>
      <c r="AA2708" s="69">
        <f>STATS1003B!AA2716/1000</f>
        <v>1019.2345</v>
      </c>
      <c r="AB2708" s="69">
        <f>STATS1003B!AB2716/1000</f>
        <v>0</v>
      </c>
    </row>
    <row r="2709" spans="1:28" hidden="1" x14ac:dyDescent="0.3">
      <c r="A2709" s="117"/>
      <c r="C2709" s="71" t="s">
        <v>185</v>
      </c>
      <c r="D2709" s="88" t="s">
        <v>54</v>
      </c>
      <c r="E2709" s="85">
        <f>STATS1003B!E2717/1000</f>
        <v>1953.989</v>
      </c>
      <c r="F2709" s="85">
        <f>STATS1003B!F2717/1000</f>
        <v>0</v>
      </c>
      <c r="G2709" s="85">
        <f>STATS1003B!G2717/1000</f>
        <v>0</v>
      </c>
      <c r="H2709" s="85">
        <f>STATS1003B!H2717/1000</f>
        <v>0</v>
      </c>
      <c r="I2709" s="85">
        <f>STATS1003B!I2717/1000</f>
        <v>0</v>
      </c>
      <c r="J2709" s="85">
        <f>STATS1003B!J2717/1000</f>
        <v>0</v>
      </c>
      <c r="K2709" s="85">
        <f>STATS1003B!K2717/1000</f>
        <v>0</v>
      </c>
      <c r="L2709" s="85">
        <f>STATS1003B!L2717/1000</f>
        <v>0</v>
      </c>
      <c r="M2709" s="85">
        <f>STATS1003B!M2717/1000</f>
        <v>0</v>
      </c>
      <c r="N2709" s="85">
        <f>STATS1003B!N2717/1000</f>
        <v>1953.989</v>
      </c>
      <c r="O2709" s="85">
        <f>STATS1003B!O2717/1000</f>
        <v>0</v>
      </c>
      <c r="P2709" s="85">
        <f>STATS1003B!P2717/1000</f>
        <v>1953.989</v>
      </c>
      <c r="Q2709" s="85">
        <f>STATS1003B!Q2717/1000</f>
        <v>0</v>
      </c>
      <c r="R2709" s="85">
        <f>STATS1003B!R2717/1000</f>
        <v>0</v>
      </c>
      <c r="S2709" s="85">
        <f>STATS1003B!S2717/1000</f>
        <v>0</v>
      </c>
      <c r="T2709" s="85">
        <f>STATS1003B!T2717/1000</f>
        <v>0</v>
      </c>
      <c r="U2709" s="85">
        <f>STATS1003B!U2717/1000</f>
        <v>1953.989</v>
      </c>
      <c r="V2709" s="85">
        <f>STATS1003B!V2717/1000</f>
        <v>1953.989</v>
      </c>
      <c r="W2709" s="85">
        <f>STATS1003B!W2717/1000</f>
        <v>0</v>
      </c>
      <c r="X2709" s="85">
        <f t="shared" si="291"/>
        <v>1953.989</v>
      </c>
      <c r="Y2709" s="85">
        <f>STATS1003B!Y2717/1000</f>
        <v>0</v>
      </c>
      <c r="Z2709" s="85">
        <f t="shared" si="293"/>
        <v>0</v>
      </c>
      <c r="AA2709" s="69">
        <f>STATS1003B!AA2717/1000</f>
        <v>1953.989</v>
      </c>
      <c r="AB2709" s="69">
        <f>STATS1003B!AB2717/1000</f>
        <v>0</v>
      </c>
    </row>
    <row r="2710" spans="1:28" hidden="1" x14ac:dyDescent="0.3">
      <c r="A2710" s="117"/>
      <c r="C2710" s="71" t="s">
        <v>425</v>
      </c>
      <c r="D2710" s="88" t="s">
        <v>54</v>
      </c>
      <c r="E2710" s="85">
        <f>STATS1003B!E2718/1000</f>
        <v>955.34561999999994</v>
      </c>
      <c r="F2710" s="85">
        <f>STATS1003B!F2718/1000</f>
        <v>0</v>
      </c>
      <c r="G2710" s="85">
        <f>STATS1003B!G2718/1000</f>
        <v>0</v>
      </c>
      <c r="H2710" s="85">
        <f>STATS1003B!H2718/1000</f>
        <v>0</v>
      </c>
      <c r="I2710" s="85">
        <f>STATS1003B!I2718/1000</f>
        <v>0</v>
      </c>
      <c r="J2710" s="85">
        <f>STATS1003B!J2718/1000</f>
        <v>0</v>
      </c>
      <c r="K2710" s="85">
        <f>STATS1003B!K2718/1000</f>
        <v>0</v>
      </c>
      <c r="L2710" s="85">
        <f>STATS1003B!L2718/1000</f>
        <v>0</v>
      </c>
      <c r="M2710" s="85">
        <f>STATS1003B!M2718/1000</f>
        <v>0</v>
      </c>
      <c r="N2710" s="85">
        <f>STATS1003B!N2718/1000</f>
        <v>955.34561999999994</v>
      </c>
      <c r="O2710" s="85">
        <f>STATS1003B!O2718/1000</f>
        <v>0</v>
      </c>
      <c r="P2710" s="85">
        <f>STATS1003B!P2718/1000</f>
        <v>955.34561999999994</v>
      </c>
      <c r="Q2710" s="85">
        <f>STATS1003B!Q2718/1000</f>
        <v>0</v>
      </c>
      <c r="R2710" s="85">
        <f>STATS1003B!R2718/1000</f>
        <v>0</v>
      </c>
      <c r="S2710" s="85">
        <f>STATS1003B!S2718/1000</f>
        <v>0</v>
      </c>
      <c r="T2710" s="85">
        <f>STATS1003B!T2718/1000</f>
        <v>0</v>
      </c>
      <c r="U2710" s="85">
        <f>STATS1003B!U2718/1000</f>
        <v>955.34561999999994</v>
      </c>
      <c r="V2710" s="85">
        <f>STATS1003B!V2718/1000</f>
        <v>955.34561999999994</v>
      </c>
      <c r="W2710" s="85">
        <f>STATS1003B!W2718/1000</f>
        <v>0</v>
      </c>
      <c r="X2710" s="85">
        <f t="shared" si="291"/>
        <v>955.34561999999994</v>
      </c>
      <c r="Y2710" s="85">
        <f>STATS1003B!Y2718/1000</f>
        <v>0</v>
      </c>
      <c r="Z2710" s="85">
        <f t="shared" si="293"/>
        <v>0</v>
      </c>
      <c r="AA2710" s="69">
        <f>STATS1003B!AA2718/1000</f>
        <v>955.34561999999994</v>
      </c>
      <c r="AB2710" s="69">
        <f>STATS1003B!AB2718/1000</f>
        <v>0</v>
      </c>
    </row>
    <row r="2711" spans="1:28" hidden="1" x14ac:dyDescent="0.3">
      <c r="A2711" s="117"/>
      <c r="C2711" s="71" t="s">
        <v>431</v>
      </c>
      <c r="D2711" s="88" t="s">
        <v>128</v>
      </c>
      <c r="E2711" s="85">
        <f>STATS1003B!E2719/1000</f>
        <v>800</v>
      </c>
      <c r="F2711" s="85">
        <f>STATS1003B!F2719/1000</f>
        <v>0</v>
      </c>
      <c r="G2711" s="85">
        <f>STATS1003B!G2719/1000</f>
        <v>0</v>
      </c>
      <c r="H2711" s="85">
        <f>STATS1003B!H2719/1000</f>
        <v>0</v>
      </c>
      <c r="I2711" s="85">
        <f>STATS1003B!I2719/1000</f>
        <v>0</v>
      </c>
      <c r="J2711" s="85">
        <f>STATS1003B!J2719/1000</f>
        <v>0</v>
      </c>
      <c r="K2711" s="85">
        <f>STATS1003B!K2719/1000</f>
        <v>0</v>
      </c>
      <c r="L2711" s="85">
        <f>STATS1003B!L2719/1000</f>
        <v>0</v>
      </c>
      <c r="M2711" s="85">
        <f>STATS1003B!M2719/1000</f>
        <v>0</v>
      </c>
      <c r="N2711" s="85">
        <f>STATS1003B!N2719/1000</f>
        <v>0</v>
      </c>
      <c r="O2711" s="85">
        <f>STATS1003B!O2719/1000</f>
        <v>0</v>
      </c>
      <c r="P2711" s="85">
        <f>STATS1003B!P2719/1000</f>
        <v>0</v>
      </c>
      <c r="Q2711" s="85">
        <f>STATS1003B!Q2719/1000</f>
        <v>0</v>
      </c>
      <c r="R2711" s="85">
        <f>STATS1003B!R2719/1000</f>
        <v>0</v>
      </c>
      <c r="S2711" s="85">
        <f>STATS1003B!S2719/1000</f>
        <v>0</v>
      </c>
      <c r="T2711" s="85">
        <f>STATS1003B!T2719/1000</f>
        <v>0</v>
      </c>
      <c r="U2711" s="85">
        <f>STATS1003B!U2719/1000</f>
        <v>0</v>
      </c>
      <c r="V2711" s="85">
        <f>STATS1003B!V2719/1000</f>
        <v>0</v>
      </c>
      <c r="W2711" s="85">
        <f>STATS1003B!W2719/1000</f>
        <v>800</v>
      </c>
      <c r="X2711" s="85">
        <f t="shared" si="291"/>
        <v>0</v>
      </c>
      <c r="Y2711" s="85">
        <f>STATS1003B!Y2719/1000</f>
        <v>0</v>
      </c>
      <c r="Z2711" s="85">
        <f t="shared" si="293"/>
        <v>800</v>
      </c>
      <c r="AA2711" s="69">
        <f>STATS1003B!AA2719/1000</f>
        <v>0</v>
      </c>
      <c r="AB2711" s="69">
        <f>STATS1003B!AB2719/1000</f>
        <v>800</v>
      </c>
    </row>
    <row r="2712" spans="1:28" hidden="1" x14ac:dyDescent="0.3">
      <c r="A2712" s="117"/>
      <c r="C2712" s="71" t="s">
        <v>476</v>
      </c>
      <c r="D2712" s="88" t="s">
        <v>88</v>
      </c>
      <c r="E2712" s="85">
        <f>STATS1003B!E2720/1000</f>
        <v>1200</v>
      </c>
      <c r="F2712" s="85">
        <f>STATS1003B!F2720/1000</f>
        <v>1200</v>
      </c>
      <c r="G2712" s="85">
        <f>STATS1003B!G2720/1000</f>
        <v>0</v>
      </c>
      <c r="H2712" s="85">
        <f>STATS1003B!H2720/1000</f>
        <v>1200</v>
      </c>
      <c r="I2712" s="85">
        <f>STATS1003B!I2720/1000</f>
        <v>0</v>
      </c>
      <c r="J2712" s="85">
        <f>STATS1003B!J2720/1000</f>
        <v>0</v>
      </c>
      <c r="K2712" s="85">
        <f>STATS1003B!K2720/1000</f>
        <v>0</v>
      </c>
      <c r="L2712" s="85">
        <f>STATS1003B!L2720/1000</f>
        <v>0</v>
      </c>
      <c r="M2712" s="85">
        <f>STATS1003B!M2720/1000</f>
        <v>1200</v>
      </c>
      <c r="N2712" s="85">
        <f>STATS1003B!N2720/1000</f>
        <v>0</v>
      </c>
      <c r="O2712" s="85">
        <f>STATS1003B!O2720/1000</f>
        <v>0</v>
      </c>
      <c r="P2712" s="85">
        <f>STATS1003B!P2720/1000</f>
        <v>0</v>
      </c>
      <c r="Q2712" s="85">
        <f>STATS1003B!Q2720/1000</f>
        <v>0</v>
      </c>
      <c r="R2712" s="85">
        <f>STATS1003B!R2720/1000</f>
        <v>0</v>
      </c>
      <c r="S2712" s="85">
        <f>STATS1003B!S2720/1000</f>
        <v>0</v>
      </c>
      <c r="T2712" s="85">
        <f>STATS1003B!T2720/1000</f>
        <v>0</v>
      </c>
      <c r="U2712" s="85">
        <f>STATS1003B!U2720/1000</f>
        <v>0</v>
      </c>
      <c r="V2712" s="85">
        <f>STATS1003B!V2720/1000</f>
        <v>1200</v>
      </c>
      <c r="W2712" s="85">
        <f>STATS1003B!W2720/1000</f>
        <v>0</v>
      </c>
      <c r="X2712" s="85">
        <f t="shared" si="291"/>
        <v>1200</v>
      </c>
      <c r="Y2712" s="85">
        <f>STATS1003B!Y2720/1000</f>
        <v>0</v>
      </c>
      <c r="Z2712" s="85">
        <f t="shared" si="293"/>
        <v>0</v>
      </c>
      <c r="AA2712" s="69">
        <f>STATS1003B!AA2720/1000</f>
        <v>1200</v>
      </c>
      <c r="AB2712" s="69">
        <f>STATS1003B!AB2720/1000</f>
        <v>0</v>
      </c>
    </row>
    <row r="2713" spans="1:28" hidden="1" x14ac:dyDescent="0.3">
      <c r="A2713" s="117"/>
      <c r="C2713" s="71" t="s">
        <v>143</v>
      </c>
      <c r="D2713" s="88" t="s">
        <v>58</v>
      </c>
      <c r="E2713" s="85">
        <f>STATS1003B!E2721/1000</f>
        <v>12600.76734</v>
      </c>
      <c r="F2713" s="85">
        <f>STATS1003B!F2721/1000</f>
        <v>12600.76734</v>
      </c>
      <c r="G2713" s="85">
        <f>STATS1003B!G2721/1000</f>
        <v>0</v>
      </c>
      <c r="H2713" s="85">
        <f>STATS1003B!H2721/1000</f>
        <v>12600.76734</v>
      </c>
      <c r="I2713" s="85">
        <f>STATS1003B!I2721/1000</f>
        <v>0</v>
      </c>
      <c r="J2713" s="85">
        <f>STATS1003B!J2721/1000</f>
        <v>0</v>
      </c>
      <c r="K2713" s="85">
        <f>STATS1003B!K2721/1000</f>
        <v>0</v>
      </c>
      <c r="L2713" s="85">
        <f>STATS1003B!L2721/1000</f>
        <v>0</v>
      </c>
      <c r="M2713" s="85">
        <f>STATS1003B!M2721/1000</f>
        <v>12600.76734</v>
      </c>
      <c r="N2713" s="85">
        <f>STATS1003B!N2721/1000</f>
        <v>0</v>
      </c>
      <c r="O2713" s="85">
        <f>STATS1003B!O2721/1000</f>
        <v>0</v>
      </c>
      <c r="P2713" s="85">
        <f>STATS1003B!P2721/1000</f>
        <v>0</v>
      </c>
      <c r="Q2713" s="85">
        <f>STATS1003B!Q2721/1000</f>
        <v>0</v>
      </c>
      <c r="R2713" s="85">
        <f>STATS1003B!R2721/1000</f>
        <v>0</v>
      </c>
      <c r="S2713" s="85">
        <f>STATS1003B!S2721/1000</f>
        <v>0</v>
      </c>
      <c r="T2713" s="85">
        <f>STATS1003B!T2721/1000</f>
        <v>0</v>
      </c>
      <c r="U2713" s="85">
        <f>STATS1003B!U2721/1000</f>
        <v>0</v>
      </c>
      <c r="V2713" s="85">
        <f>STATS1003B!V2721/1000</f>
        <v>12600.76734</v>
      </c>
      <c r="W2713" s="85">
        <f>STATS1003B!W2721/1000</f>
        <v>0</v>
      </c>
      <c r="X2713" s="85">
        <f t="shared" si="291"/>
        <v>12600.76734</v>
      </c>
      <c r="Y2713" s="85">
        <f>STATS1003B!Y2721/1000</f>
        <v>0</v>
      </c>
      <c r="Z2713" s="85">
        <f t="shared" si="293"/>
        <v>0</v>
      </c>
      <c r="AA2713" s="69">
        <f>STATS1003B!AA2721/1000</f>
        <v>12600.76734</v>
      </c>
      <c r="AB2713" s="69">
        <f>STATS1003B!AB2721/1000</f>
        <v>0</v>
      </c>
    </row>
    <row r="2714" spans="1:28" hidden="1" x14ac:dyDescent="0.3">
      <c r="A2714" s="117"/>
      <c r="C2714" s="71" t="s">
        <v>143</v>
      </c>
      <c r="D2714" s="88" t="s">
        <v>60</v>
      </c>
      <c r="E2714" s="85">
        <f>STATS1003B!E2722/1000</f>
        <v>8442.30386</v>
      </c>
      <c r="F2714" s="85">
        <f>STATS1003B!F2722/1000</f>
        <v>8442.30386</v>
      </c>
      <c r="G2714" s="85">
        <f>STATS1003B!G2722/1000</f>
        <v>0</v>
      </c>
      <c r="H2714" s="85">
        <f>STATS1003B!H2722/1000</f>
        <v>8442.30386</v>
      </c>
      <c r="I2714" s="85">
        <f>STATS1003B!I2722/1000</f>
        <v>0</v>
      </c>
      <c r="J2714" s="85">
        <f>STATS1003B!J2722/1000</f>
        <v>0</v>
      </c>
      <c r="K2714" s="85">
        <f>STATS1003B!K2722/1000</f>
        <v>0</v>
      </c>
      <c r="L2714" s="85">
        <f>STATS1003B!L2722/1000</f>
        <v>0</v>
      </c>
      <c r="M2714" s="85">
        <f>STATS1003B!M2722/1000</f>
        <v>8442.30386</v>
      </c>
      <c r="N2714" s="85">
        <f>STATS1003B!N2722/1000</f>
        <v>0</v>
      </c>
      <c r="O2714" s="85">
        <f>STATS1003B!O2722/1000</f>
        <v>0</v>
      </c>
      <c r="P2714" s="85">
        <f>STATS1003B!P2722/1000</f>
        <v>0</v>
      </c>
      <c r="Q2714" s="85">
        <f>STATS1003B!Q2722/1000</f>
        <v>0</v>
      </c>
      <c r="R2714" s="85">
        <f>STATS1003B!R2722/1000</f>
        <v>0</v>
      </c>
      <c r="S2714" s="85">
        <f>STATS1003B!S2722/1000</f>
        <v>0</v>
      </c>
      <c r="T2714" s="85">
        <f>STATS1003B!T2722/1000</f>
        <v>0</v>
      </c>
      <c r="U2714" s="85">
        <f>STATS1003B!U2722/1000</f>
        <v>0</v>
      </c>
      <c r="V2714" s="85">
        <f>STATS1003B!V2722/1000</f>
        <v>8442.30386</v>
      </c>
      <c r="W2714" s="85">
        <f>STATS1003B!W2722/1000</f>
        <v>0</v>
      </c>
      <c r="X2714" s="85">
        <f t="shared" si="291"/>
        <v>8442.30386</v>
      </c>
      <c r="Y2714" s="85">
        <f>STATS1003B!Y2722/1000</f>
        <v>0</v>
      </c>
      <c r="Z2714" s="85">
        <f t="shared" si="293"/>
        <v>0</v>
      </c>
      <c r="AA2714" s="69">
        <f>STATS1003B!AA2722/1000</f>
        <v>8442.30386</v>
      </c>
      <c r="AB2714" s="69">
        <f>STATS1003B!AB2722/1000</f>
        <v>0</v>
      </c>
    </row>
    <row r="2715" spans="1:28" hidden="1" x14ac:dyDescent="0.3">
      <c r="A2715" s="117"/>
      <c r="C2715" s="71" t="s">
        <v>477</v>
      </c>
      <c r="D2715" s="71" t="s">
        <v>478</v>
      </c>
      <c r="E2715" s="85">
        <f>STATS1003B!E2723/1000</f>
        <v>3611.9209999999998</v>
      </c>
      <c r="F2715" s="85">
        <f>STATS1003B!F2723/1000</f>
        <v>3611.9209999999998</v>
      </c>
      <c r="G2715" s="85">
        <f>STATS1003B!G2723/1000</f>
        <v>0</v>
      </c>
      <c r="H2715" s="85">
        <f>STATS1003B!H2723/1000</f>
        <v>3611.9209999999998</v>
      </c>
      <c r="I2715" s="85">
        <f>STATS1003B!I2723/1000</f>
        <v>0</v>
      </c>
      <c r="J2715" s="85">
        <f>STATS1003B!J2723/1000</f>
        <v>0</v>
      </c>
      <c r="K2715" s="85">
        <f>STATS1003B!K2723/1000</f>
        <v>0</v>
      </c>
      <c r="L2715" s="85">
        <f>STATS1003B!L2723/1000</f>
        <v>0</v>
      </c>
      <c r="M2715" s="85">
        <f>STATS1003B!M2723/1000</f>
        <v>3611.9209999999998</v>
      </c>
      <c r="N2715" s="85">
        <f>STATS1003B!N2723/1000</f>
        <v>0</v>
      </c>
      <c r="O2715" s="85">
        <f>STATS1003B!O2723/1000</f>
        <v>0</v>
      </c>
      <c r="P2715" s="85">
        <f>STATS1003B!P2723/1000</f>
        <v>0</v>
      </c>
      <c r="Q2715" s="85">
        <f>STATS1003B!Q2723/1000</f>
        <v>0</v>
      </c>
      <c r="R2715" s="85">
        <f>STATS1003B!R2723/1000</f>
        <v>0</v>
      </c>
      <c r="S2715" s="85">
        <f>STATS1003B!S2723/1000</f>
        <v>0</v>
      </c>
      <c r="T2715" s="85">
        <f>STATS1003B!T2723/1000</f>
        <v>0</v>
      </c>
      <c r="U2715" s="85">
        <f>STATS1003B!U2723/1000</f>
        <v>0</v>
      </c>
      <c r="V2715" s="85">
        <f>STATS1003B!V2723/1000</f>
        <v>3611.9209999999998</v>
      </c>
      <c r="W2715" s="85">
        <f>STATS1003B!W2723/1000</f>
        <v>0</v>
      </c>
      <c r="X2715" s="85">
        <f t="shared" si="291"/>
        <v>3611.9209999999998</v>
      </c>
      <c r="Y2715" s="85">
        <f>STATS1003B!Y2723/1000</f>
        <v>0</v>
      </c>
      <c r="Z2715" s="85">
        <f t="shared" si="293"/>
        <v>0</v>
      </c>
      <c r="AA2715" s="69">
        <f>STATS1003B!AA2723/1000</f>
        <v>3611.9209999999998</v>
      </c>
      <c r="AB2715" s="69">
        <f>STATS1003B!AB2723/1000</f>
        <v>0</v>
      </c>
    </row>
    <row r="2716" spans="1:28" hidden="1" x14ac:dyDescent="0.3">
      <c r="A2716" s="117"/>
      <c r="C2716" s="71" t="s">
        <v>143</v>
      </c>
      <c r="D2716" s="88" t="s">
        <v>73</v>
      </c>
      <c r="E2716" s="85">
        <f>STATS1003B!E2724/1000</f>
        <v>6387.7030000000004</v>
      </c>
      <c r="F2716" s="85">
        <f>STATS1003B!F2724/1000</f>
        <v>6387.7030000000004</v>
      </c>
      <c r="G2716" s="85">
        <f>STATS1003B!G2724/1000</f>
        <v>0</v>
      </c>
      <c r="H2716" s="85">
        <f>STATS1003B!H2724/1000</f>
        <v>6387.7030000000004</v>
      </c>
      <c r="I2716" s="85">
        <f>STATS1003B!I2724/1000</f>
        <v>0</v>
      </c>
      <c r="J2716" s="85">
        <f>STATS1003B!J2724/1000</f>
        <v>0</v>
      </c>
      <c r="K2716" s="85">
        <f>STATS1003B!K2724/1000</f>
        <v>0</v>
      </c>
      <c r="L2716" s="85">
        <f>STATS1003B!L2724/1000</f>
        <v>0</v>
      </c>
      <c r="M2716" s="85">
        <f>STATS1003B!M2724/1000</f>
        <v>6387.7030000000004</v>
      </c>
      <c r="N2716" s="85">
        <f>STATS1003B!N2724/1000</f>
        <v>0</v>
      </c>
      <c r="O2716" s="85">
        <f>STATS1003B!O2724/1000</f>
        <v>0</v>
      </c>
      <c r="P2716" s="85">
        <f>STATS1003B!P2724/1000</f>
        <v>0</v>
      </c>
      <c r="Q2716" s="85">
        <f>STATS1003B!Q2724/1000</f>
        <v>0</v>
      </c>
      <c r="R2716" s="85">
        <f>STATS1003B!R2724/1000</f>
        <v>0</v>
      </c>
      <c r="S2716" s="85">
        <f>STATS1003B!S2724/1000</f>
        <v>0</v>
      </c>
      <c r="T2716" s="85">
        <f>STATS1003B!T2724/1000</f>
        <v>0</v>
      </c>
      <c r="U2716" s="85">
        <f>STATS1003B!U2724/1000</f>
        <v>0</v>
      </c>
      <c r="V2716" s="85">
        <f>STATS1003B!V2724/1000</f>
        <v>6387.7030000000004</v>
      </c>
      <c r="W2716" s="85">
        <f>STATS1003B!W2724/1000</f>
        <v>0</v>
      </c>
      <c r="X2716" s="85">
        <f t="shared" si="291"/>
        <v>6387.7030000000004</v>
      </c>
      <c r="Y2716" s="85">
        <f>STATS1003B!Y2724/1000</f>
        <v>0</v>
      </c>
      <c r="Z2716" s="85">
        <f t="shared" si="293"/>
        <v>0</v>
      </c>
      <c r="AA2716" s="69">
        <f>STATS1003B!AA2724/1000</f>
        <v>6387.7030000000004</v>
      </c>
      <c r="AB2716" s="69">
        <f>STATS1003B!AB2724/1000</f>
        <v>0</v>
      </c>
    </row>
    <row r="2717" spans="1:28" hidden="1" x14ac:dyDescent="0.3">
      <c r="A2717" s="117"/>
      <c r="C2717" s="71" t="s">
        <v>434</v>
      </c>
      <c r="E2717" s="85">
        <f>STATS1003B!E2725/1000</f>
        <v>3389.68</v>
      </c>
      <c r="F2717" s="85">
        <f>STATS1003B!F2725/1000</f>
        <v>3389.68</v>
      </c>
      <c r="G2717" s="85">
        <f>STATS1003B!G2725/1000</f>
        <v>0</v>
      </c>
      <c r="H2717" s="85">
        <f>STATS1003B!H2725/1000</f>
        <v>3389.68</v>
      </c>
      <c r="I2717" s="85">
        <f>STATS1003B!I2725/1000</f>
        <v>0</v>
      </c>
      <c r="J2717" s="85">
        <f>STATS1003B!J2725/1000</f>
        <v>0</v>
      </c>
      <c r="K2717" s="85">
        <f>STATS1003B!K2725/1000</f>
        <v>0</v>
      </c>
      <c r="L2717" s="85">
        <f>STATS1003B!L2725/1000</f>
        <v>0</v>
      </c>
      <c r="M2717" s="85">
        <f>STATS1003B!M2725/1000</f>
        <v>3389.68</v>
      </c>
      <c r="N2717" s="85">
        <f>STATS1003B!N2725/1000</f>
        <v>0</v>
      </c>
      <c r="O2717" s="85">
        <f>STATS1003B!O2725/1000</f>
        <v>0</v>
      </c>
      <c r="P2717" s="85">
        <f>STATS1003B!P2725/1000</f>
        <v>0</v>
      </c>
      <c r="Q2717" s="85">
        <f>STATS1003B!Q2725/1000</f>
        <v>0</v>
      </c>
      <c r="R2717" s="85">
        <f>STATS1003B!R2725/1000</f>
        <v>0</v>
      </c>
      <c r="S2717" s="85">
        <f>STATS1003B!S2725/1000</f>
        <v>0</v>
      </c>
      <c r="T2717" s="85">
        <f>STATS1003B!T2725/1000</f>
        <v>0</v>
      </c>
      <c r="U2717" s="85">
        <f>STATS1003B!U2725/1000</f>
        <v>0</v>
      </c>
      <c r="V2717" s="85">
        <f>STATS1003B!V2725/1000</f>
        <v>3389.68</v>
      </c>
      <c r="W2717" s="85">
        <f>STATS1003B!W2725/1000</f>
        <v>0</v>
      </c>
      <c r="X2717" s="85">
        <f t="shared" si="291"/>
        <v>3389.68</v>
      </c>
      <c r="Y2717" s="85">
        <f>STATS1003B!Y2725/1000</f>
        <v>0</v>
      </c>
      <c r="Z2717" s="85">
        <f t="shared" si="293"/>
        <v>0</v>
      </c>
      <c r="AA2717" s="69">
        <f>STATS1003B!AA2725/1000</f>
        <v>3389.68</v>
      </c>
      <c r="AB2717" s="69">
        <f>STATS1003B!AB2725/1000</f>
        <v>0</v>
      </c>
    </row>
    <row r="2718" spans="1:28" hidden="1" x14ac:dyDescent="0.3">
      <c r="A2718" s="117"/>
      <c r="C2718" s="71" t="s">
        <v>435</v>
      </c>
      <c r="E2718" s="85">
        <f>STATS1003B!E2726/1000</f>
        <v>610.03380000000004</v>
      </c>
      <c r="F2718" s="85">
        <f>STATS1003B!F2726/1000</f>
        <v>610.03380000000004</v>
      </c>
      <c r="G2718" s="85">
        <f>STATS1003B!G2726/1000</f>
        <v>0</v>
      </c>
      <c r="H2718" s="85">
        <f>STATS1003B!H2726/1000</f>
        <v>610.03380000000004</v>
      </c>
      <c r="I2718" s="85">
        <f>STATS1003B!I2726/1000</f>
        <v>0</v>
      </c>
      <c r="J2718" s="85">
        <f>STATS1003B!J2726/1000</f>
        <v>0</v>
      </c>
      <c r="K2718" s="85">
        <f>STATS1003B!K2726/1000</f>
        <v>0</v>
      </c>
      <c r="L2718" s="85">
        <f>STATS1003B!L2726/1000</f>
        <v>0</v>
      </c>
      <c r="M2718" s="85">
        <f>STATS1003B!M2726/1000</f>
        <v>610.03380000000004</v>
      </c>
      <c r="N2718" s="85">
        <f>STATS1003B!N2726/1000</f>
        <v>0</v>
      </c>
      <c r="O2718" s="85">
        <f>STATS1003B!O2726/1000</f>
        <v>0</v>
      </c>
      <c r="P2718" s="85">
        <f>STATS1003B!P2726/1000</f>
        <v>0</v>
      </c>
      <c r="Q2718" s="85">
        <f>STATS1003B!Q2726/1000</f>
        <v>0</v>
      </c>
      <c r="R2718" s="85">
        <f>STATS1003B!R2726/1000</f>
        <v>0</v>
      </c>
      <c r="S2718" s="85">
        <f>STATS1003B!S2726/1000</f>
        <v>0</v>
      </c>
      <c r="T2718" s="85">
        <f>STATS1003B!T2726/1000</f>
        <v>0</v>
      </c>
      <c r="U2718" s="85">
        <f>STATS1003B!U2726/1000</f>
        <v>0</v>
      </c>
      <c r="V2718" s="85">
        <f>STATS1003B!V2726/1000</f>
        <v>610.03380000000004</v>
      </c>
      <c r="W2718" s="85">
        <f>STATS1003B!W2726/1000</f>
        <v>0</v>
      </c>
      <c r="X2718" s="85">
        <f t="shared" si="291"/>
        <v>610.03380000000004</v>
      </c>
      <c r="Y2718" s="85">
        <f>STATS1003B!Y2726/1000</f>
        <v>0</v>
      </c>
      <c r="Z2718" s="85">
        <f t="shared" si="293"/>
        <v>0</v>
      </c>
      <c r="AA2718" s="69">
        <f>STATS1003B!AA2726/1000</f>
        <v>610.03380000000004</v>
      </c>
      <c r="AB2718" s="69">
        <f>STATS1003B!AB2726/1000</f>
        <v>0</v>
      </c>
    </row>
    <row r="2719" spans="1:28" hidden="1" x14ac:dyDescent="0.3">
      <c r="A2719" s="117"/>
      <c r="C2719" s="71" t="s">
        <v>147</v>
      </c>
      <c r="E2719" s="85">
        <f>STATS1003B!E2727/1000</f>
        <v>300</v>
      </c>
      <c r="F2719" s="85">
        <f>STATS1003B!F2727/1000</f>
        <v>0</v>
      </c>
      <c r="G2719" s="85">
        <f>STATS1003B!G2727/1000</f>
        <v>0</v>
      </c>
      <c r="H2719" s="85">
        <f>STATS1003B!H2727/1000</f>
        <v>0</v>
      </c>
      <c r="I2719" s="85">
        <f>STATS1003B!I2727/1000</f>
        <v>0</v>
      </c>
      <c r="J2719" s="85">
        <f>STATS1003B!J2727/1000</f>
        <v>0</v>
      </c>
      <c r="K2719" s="85">
        <f>STATS1003B!K2727/1000</f>
        <v>0</v>
      </c>
      <c r="L2719" s="85">
        <f>STATS1003B!L2727/1000</f>
        <v>0</v>
      </c>
      <c r="M2719" s="85">
        <f>STATS1003B!M2727/1000</f>
        <v>0</v>
      </c>
      <c r="N2719" s="85">
        <f>STATS1003B!N2727/1000</f>
        <v>300</v>
      </c>
      <c r="O2719" s="85">
        <f>STATS1003B!O2727/1000</f>
        <v>0</v>
      </c>
      <c r="P2719" s="85">
        <f>STATS1003B!P2727/1000</f>
        <v>300</v>
      </c>
      <c r="Q2719" s="85">
        <f>STATS1003B!Q2727/1000</f>
        <v>0</v>
      </c>
      <c r="R2719" s="85">
        <f>STATS1003B!R2727/1000</f>
        <v>0</v>
      </c>
      <c r="S2719" s="85">
        <f>STATS1003B!S2727/1000</f>
        <v>0</v>
      </c>
      <c r="T2719" s="85">
        <f>STATS1003B!T2727/1000</f>
        <v>0</v>
      </c>
      <c r="U2719" s="85">
        <f>STATS1003B!U2727/1000</f>
        <v>300</v>
      </c>
      <c r="V2719" s="85">
        <f>STATS1003B!V2727/1000</f>
        <v>300</v>
      </c>
      <c r="W2719" s="85">
        <f>STATS1003B!W2727/1000</f>
        <v>0</v>
      </c>
      <c r="X2719" s="85">
        <f t="shared" si="291"/>
        <v>300</v>
      </c>
      <c r="Y2719" s="85">
        <f>STATS1003B!Y2727/1000</f>
        <v>0</v>
      </c>
      <c r="Z2719" s="85">
        <f t="shared" si="293"/>
        <v>0</v>
      </c>
      <c r="AA2719" s="69">
        <f>STATS1003B!AA2727/1000</f>
        <v>300</v>
      </c>
      <c r="AB2719" s="69">
        <f>STATS1003B!AB2727/1000</f>
        <v>0</v>
      </c>
    </row>
    <row r="2720" spans="1:28" hidden="1" x14ac:dyDescent="0.3">
      <c r="A2720" s="117"/>
      <c r="C2720" s="71" t="s">
        <v>419</v>
      </c>
      <c r="E2720" s="85">
        <f>STATS1003B!E2728/1000</f>
        <v>437.8</v>
      </c>
      <c r="F2720" s="85">
        <f>STATS1003B!F2728/1000</f>
        <v>437.8</v>
      </c>
      <c r="G2720" s="85">
        <f>STATS1003B!G2728/1000</f>
        <v>0</v>
      </c>
      <c r="H2720" s="85">
        <f>STATS1003B!H2728/1000</f>
        <v>437.8</v>
      </c>
      <c r="I2720" s="85">
        <f>STATS1003B!I2728/1000</f>
        <v>0</v>
      </c>
      <c r="J2720" s="85">
        <f>STATS1003B!J2728/1000</f>
        <v>0</v>
      </c>
      <c r="K2720" s="85">
        <f>STATS1003B!K2728/1000</f>
        <v>0</v>
      </c>
      <c r="L2720" s="85">
        <f>STATS1003B!L2728/1000</f>
        <v>0</v>
      </c>
      <c r="M2720" s="85">
        <f>STATS1003B!M2728/1000</f>
        <v>437.8</v>
      </c>
      <c r="N2720" s="85">
        <f>STATS1003B!N2728/1000</f>
        <v>0</v>
      </c>
      <c r="O2720" s="85">
        <f>STATS1003B!O2728/1000</f>
        <v>0</v>
      </c>
      <c r="P2720" s="85">
        <f>STATS1003B!P2728/1000</f>
        <v>0</v>
      </c>
      <c r="Q2720" s="85">
        <f>STATS1003B!Q2728/1000</f>
        <v>0</v>
      </c>
      <c r="R2720" s="85">
        <f>STATS1003B!R2728/1000</f>
        <v>0</v>
      </c>
      <c r="S2720" s="85">
        <f>STATS1003B!S2728/1000</f>
        <v>0</v>
      </c>
      <c r="T2720" s="85">
        <f>STATS1003B!T2728/1000</f>
        <v>0</v>
      </c>
      <c r="U2720" s="85">
        <f>STATS1003B!U2728/1000</f>
        <v>0</v>
      </c>
      <c r="V2720" s="85">
        <f>STATS1003B!V2728/1000</f>
        <v>437.8</v>
      </c>
      <c r="W2720" s="85">
        <f>STATS1003B!W2728/1000</f>
        <v>0</v>
      </c>
      <c r="X2720" s="85">
        <f t="shared" si="291"/>
        <v>437.8</v>
      </c>
      <c r="Y2720" s="85">
        <f>STATS1003B!Y2728/1000</f>
        <v>0</v>
      </c>
      <c r="Z2720" s="85">
        <f t="shared" si="293"/>
        <v>0</v>
      </c>
      <c r="AA2720" s="69">
        <f>STATS1003B!AA2728/1000</f>
        <v>437.8</v>
      </c>
      <c r="AB2720" s="69">
        <f>STATS1003B!AB2728/1000</f>
        <v>0</v>
      </c>
    </row>
    <row r="2721" spans="1:28" hidden="1" x14ac:dyDescent="0.3">
      <c r="A2721" s="117"/>
      <c r="C2721" s="71" t="s">
        <v>109</v>
      </c>
      <c r="E2721" s="85">
        <f>STATS1003B!E2729/1000</f>
        <v>7603.9870000000001</v>
      </c>
      <c r="F2721" s="85">
        <f>STATS1003B!F2729/1000</f>
        <v>7603.9870000000001</v>
      </c>
      <c r="G2721" s="85">
        <f>STATS1003B!G2729/1000</f>
        <v>0</v>
      </c>
      <c r="H2721" s="85">
        <f>STATS1003B!H2729/1000</f>
        <v>7603.9870000000001</v>
      </c>
      <c r="I2721" s="85">
        <f>STATS1003B!I2729/1000</f>
        <v>0</v>
      </c>
      <c r="J2721" s="85">
        <f>STATS1003B!J2729/1000</f>
        <v>0</v>
      </c>
      <c r="K2721" s="85">
        <f>STATS1003B!K2729/1000</f>
        <v>0</v>
      </c>
      <c r="L2721" s="85">
        <f>STATS1003B!L2729/1000</f>
        <v>0</v>
      </c>
      <c r="M2721" s="85">
        <f>STATS1003B!M2729/1000</f>
        <v>7603.9870000000001</v>
      </c>
      <c r="N2721" s="85">
        <f>STATS1003B!N2729/1000</f>
        <v>0</v>
      </c>
      <c r="O2721" s="85">
        <f>STATS1003B!O2729/1000</f>
        <v>0</v>
      </c>
      <c r="P2721" s="85">
        <f>STATS1003B!P2729/1000</f>
        <v>0</v>
      </c>
      <c r="Q2721" s="85">
        <f>STATS1003B!Q2729/1000</f>
        <v>0</v>
      </c>
      <c r="R2721" s="85">
        <f>STATS1003B!R2729/1000</f>
        <v>0</v>
      </c>
      <c r="S2721" s="85">
        <f>STATS1003B!S2729/1000</f>
        <v>0</v>
      </c>
      <c r="T2721" s="85">
        <f>STATS1003B!T2729/1000</f>
        <v>0</v>
      </c>
      <c r="U2721" s="85">
        <f>STATS1003B!U2729/1000</f>
        <v>0</v>
      </c>
      <c r="V2721" s="85">
        <f>STATS1003B!V2729/1000</f>
        <v>7603.9870000000001</v>
      </c>
      <c r="W2721" s="85">
        <f>STATS1003B!W2729/1000</f>
        <v>0</v>
      </c>
      <c r="X2721" s="85">
        <f t="shared" si="291"/>
        <v>7603.9870000000001</v>
      </c>
      <c r="Y2721" s="85">
        <f>STATS1003B!Y2729/1000</f>
        <v>0</v>
      </c>
      <c r="Z2721" s="85">
        <f t="shared" si="293"/>
        <v>0</v>
      </c>
      <c r="AA2721" s="69">
        <f>STATS1003B!AA2729/1000</f>
        <v>7603.9870000000001</v>
      </c>
      <c r="AB2721" s="69">
        <f>STATS1003B!AB2729/1000</f>
        <v>0</v>
      </c>
    </row>
    <row r="2722" spans="1:28" hidden="1" x14ac:dyDescent="0.3">
      <c r="A2722" s="117"/>
      <c r="C2722" s="71" t="s">
        <v>924</v>
      </c>
      <c r="E2722" s="85">
        <f>STATS1003B!E2730/1000</f>
        <v>3616.1317199999999</v>
      </c>
      <c r="F2722" s="85">
        <f>STATS1003B!F2730/1000</f>
        <v>3616.1317199999999</v>
      </c>
      <c r="G2722" s="85">
        <f>STATS1003B!G2730/1000</f>
        <v>0</v>
      </c>
      <c r="H2722" s="85">
        <f>STATS1003B!H2730/1000</f>
        <v>3616.1317199999999</v>
      </c>
      <c r="I2722" s="85">
        <f>STATS1003B!I2730/1000</f>
        <v>0</v>
      </c>
      <c r="J2722" s="85">
        <f>STATS1003B!J2730/1000</f>
        <v>0</v>
      </c>
      <c r="K2722" s="85">
        <f>STATS1003B!K2730/1000</f>
        <v>0</v>
      </c>
      <c r="L2722" s="85">
        <f>STATS1003B!L2730/1000</f>
        <v>0</v>
      </c>
      <c r="M2722" s="85">
        <f>STATS1003B!M2730/1000</f>
        <v>3616.1317199999999</v>
      </c>
      <c r="N2722" s="85">
        <f>STATS1003B!N2730/1000</f>
        <v>0</v>
      </c>
      <c r="O2722" s="85">
        <f>STATS1003B!O2730/1000</f>
        <v>0</v>
      </c>
      <c r="P2722" s="85">
        <f>STATS1003B!P2730/1000</f>
        <v>0</v>
      </c>
      <c r="Q2722" s="85">
        <f>STATS1003B!Q2730/1000</f>
        <v>0</v>
      </c>
      <c r="R2722" s="85">
        <f>STATS1003B!R2730/1000</f>
        <v>0</v>
      </c>
      <c r="S2722" s="85">
        <f>STATS1003B!S2730/1000</f>
        <v>0</v>
      </c>
      <c r="T2722" s="85">
        <f>STATS1003B!T2730/1000</f>
        <v>0</v>
      </c>
      <c r="U2722" s="85">
        <f>STATS1003B!U2730/1000</f>
        <v>0</v>
      </c>
      <c r="V2722" s="85">
        <f>STATS1003B!V2730/1000</f>
        <v>3616.1317199999999</v>
      </c>
      <c r="W2722" s="85">
        <f>STATS1003B!W2730/1000</f>
        <v>0</v>
      </c>
      <c r="X2722" s="85">
        <f t="shared" si="291"/>
        <v>3616.1317199999999</v>
      </c>
      <c r="Y2722" s="85">
        <f>STATS1003B!Y2730/1000</f>
        <v>0</v>
      </c>
      <c r="Z2722" s="85">
        <f t="shared" si="293"/>
        <v>0</v>
      </c>
      <c r="AA2722" s="69">
        <f>STATS1003B!AA2730/1000</f>
        <v>3616.1317199999999</v>
      </c>
      <c r="AB2722" s="69">
        <f>STATS1003B!AB2730/1000</f>
        <v>0</v>
      </c>
    </row>
    <row r="2723" spans="1:28" hidden="1" x14ac:dyDescent="0.3">
      <c r="A2723" s="117"/>
      <c r="C2723" s="71" t="s">
        <v>930</v>
      </c>
      <c r="D2723" s="91" t="s">
        <v>1072</v>
      </c>
      <c r="E2723" s="85">
        <f>STATS1003B!E2731/1000</f>
        <v>10024.152690000001</v>
      </c>
      <c r="F2723" s="85">
        <f>STATS1003B!F2731/1000</f>
        <v>10024.152690000001</v>
      </c>
      <c r="G2723" s="85">
        <f>STATS1003B!G2731/1000</f>
        <v>0</v>
      </c>
      <c r="H2723" s="85">
        <f>STATS1003B!H2731/1000</f>
        <v>10024.152690000001</v>
      </c>
      <c r="I2723" s="85">
        <f>STATS1003B!I2731/1000</f>
        <v>0</v>
      </c>
      <c r="J2723" s="85">
        <f>STATS1003B!J2731/1000</f>
        <v>0</v>
      </c>
      <c r="K2723" s="85">
        <f>STATS1003B!K2731/1000</f>
        <v>0</v>
      </c>
      <c r="L2723" s="85">
        <f>STATS1003B!L2731/1000</f>
        <v>0</v>
      </c>
      <c r="M2723" s="85">
        <f>STATS1003B!M2731/1000</f>
        <v>10024.152690000001</v>
      </c>
      <c r="N2723" s="85">
        <f>STATS1003B!N2731/1000</f>
        <v>0</v>
      </c>
      <c r="O2723" s="85">
        <f>STATS1003B!O2731/1000</f>
        <v>0</v>
      </c>
      <c r="P2723" s="85">
        <f>STATS1003B!P2731/1000</f>
        <v>0</v>
      </c>
      <c r="Q2723" s="85">
        <f>STATS1003B!Q2731/1000</f>
        <v>0</v>
      </c>
      <c r="R2723" s="85">
        <f>STATS1003B!R2731/1000</f>
        <v>0</v>
      </c>
      <c r="S2723" s="85">
        <f>STATS1003B!S2731/1000</f>
        <v>0</v>
      </c>
      <c r="T2723" s="85">
        <f>STATS1003B!T2731/1000</f>
        <v>0</v>
      </c>
      <c r="U2723" s="85">
        <f>STATS1003B!U2731/1000</f>
        <v>0</v>
      </c>
      <c r="V2723" s="85">
        <f>STATS1003B!V2731/1000</f>
        <v>0</v>
      </c>
      <c r="W2723" s="85">
        <f>STATS1003B!W2731/1000</f>
        <v>0</v>
      </c>
      <c r="X2723" s="85">
        <f t="shared" si="291"/>
        <v>10024.152690000001</v>
      </c>
      <c r="Y2723" s="85">
        <f>STATS1003B!Y2731/1000</f>
        <v>0</v>
      </c>
      <c r="Z2723" s="85">
        <f t="shared" si="293"/>
        <v>0</v>
      </c>
      <c r="AA2723" s="69">
        <f>STATS1003B!AA2731/1000</f>
        <v>10024.152690000001</v>
      </c>
      <c r="AB2723" s="69">
        <f>STATS1003B!AB2731/1000</f>
        <v>0</v>
      </c>
    </row>
    <row r="2724" spans="1:28" hidden="1" x14ac:dyDescent="0.3">
      <c r="A2724" s="117"/>
      <c r="C2724" s="71" t="s">
        <v>1084</v>
      </c>
      <c r="E2724" s="85">
        <f>STATS1003B!E2732/1000</f>
        <v>25396.371339999998</v>
      </c>
      <c r="F2724" s="85">
        <f>STATS1003B!F2732/1000</f>
        <v>25396.371339999998</v>
      </c>
      <c r="G2724" s="85">
        <f>STATS1003B!G2732/1000</f>
        <v>0</v>
      </c>
      <c r="H2724" s="85">
        <f>STATS1003B!H2732/1000</f>
        <v>25396.371339999998</v>
      </c>
      <c r="I2724" s="85">
        <f>STATS1003B!I2732/1000</f>
        <v>0</v>
      </c>
      <c r="J2724" s="85">
        <f>STATS1003B!J2732/1000</f>
        <v>0</v>
      </c>
      <c r="K2724" s="85">
        <f>STATS1003B!K2732/1000</f>
        <v>0</v>
      </c>
      <c r="L2724" s="85">
        <f>STATS1003B!L2732/1000</f>
        <v>0</v>
      </c>
      <c r="M2724" s="85">
        <f>STATS1003B!M2732/1000</f>
        <v>25396.371339999998</v>
      </c>
      <c r="N2724" s="85">
        <f>STATS1003B!N2732/1000</f>
        <v>0</v>
      </c>
      <c r="O2724" s="85">
        <f>STATS1003B!O2732/1000</f>
        <v>0</v>
      </c>
      <c r="P2724" s="85">
        <f>STATS1003B!P2732/1000</f>
        <v>0</v>
      </c>
      <c r="Q2724" s="85">
        <f>STATS1003B!Q2732/1000</f>
        <v>0</v>
      </c>
      <c r="R2724" s="85">
        <f>STATS1003B!R2732/1000</f>
        <v>0</v>
      </c>
      <c r="S2724" s="85">
        <f>STATS1003B!S2732/1000</f>
        <v>0</v>
      </c>
      <c r="T2724" s="85">
        <f>STATS1003B!T2732/1000</f>
        <v>0</v>
      </c>
      <c r="U2724" s="85">
        <f>STATS1003B!U2732/1000</f>
        <v>0</v>
      </c>
      <c r="V2724" s="85">
        <f>STATS1003B!V2732/1000</f>
        <v>0</v>
      </c>
      <c r="W2724" s="85">
        <f>STATS1003B!W2732/1000</f>
        <v>0</v>
      </c>
      <c r="X2724" s="85">
        <f t="shared" si="291"/>
        <v>25396.371339999998</v>
      </c>
      <c r="Y2724" s="85">
        <f>STATS1003B!Y2732/1000</f>
        <v>0</v>
      </c>
      <c r="Z2724" s="85">
        <f t="shared" si="293"/>
        <v>0</v>
      </c>
      <c r="AA2724" s="69">
        <f>STATS1003B!AA2732/1000</f>
        <v>25396.371339999998</v>
      </c>
      <c r="AB2724" s="69">
        <f>STATS1003B!AB2732/1000</f>
        <v>0</v>
      </c>
    </row>
    <row r="2725" spans="1:28" hidden="1" x14ac:dyDescent="0.3">
      <c r="A2725" s="117"/>
      <c r="C2725" s="71" t="s">
        <v>1211</v>
      </c>
      <c r="D2725" s="91" t="s">
        <v>1126</v>
      </c>
      <c r="E2725" s="85">
        <f>STATS1003B!E2733/1000</f>
        <v>2396.4830400000001</v>
      </c>
      <c r="F2725" s="85">
        <f>STATS1003B!F2733/1000</f>
        <v>2396.4830400000001</v>
      </c>
      <c r="G2725" s="85">
        <f>STATS1003B!G2733/1000</f>
        <v>0</v>
      </c>
      <c r="H2725" s="85">
        <f>STATS1003B!H2733/1000</f>
        <v>2396.4830400000001</v>
      </c>
      <c r="I2725" s="85">
        <f>STATS1003B!I2733/1000</f>
        <v>0</v>
      </c>
      <c r="J2725" s="85">
        <f>STATS1003B!J2733/1000</f>
        <v>0</v>
      </c>
      <c r="K2725" s="85">
        <f>STATS1003B!K2733/1000</f>
        <v>0</v>
      </c>
      <c r="L2725" s="85">
        <f>STATS1003B!L2733/1000</f>
        <v>0</v>
      </c>
      <c r="M2725" s="85">
        <f>STATS1003B!M2733/1000</f>
        <v>2396.4830400000001</v>
      </c>
      <c r="N2725" s="85">
        <f>STATS1003B!N2733/1000</f>
        <v>0</v>
      </c>
      <c r="O2725" s="85">
        <f>STATS1003B!O2733/1000</f>
        <v>0</v>
      </c>
      <c r="P2725" s="85">
        <f>STATS1003B!P2733/1000</f>
        <v>0</v>
      </c>
      <c r="Q2725" s="85">
        <f>STATS1003B!Q2733/1000</f>
        <v>0</v>
      </c>
      <c r="R2725" s="85">
        <f>STATS1003B!R2733/1000</f>
        <v>0</v>
      </c>
      <c r="S2725" s="85">
        <f>STATS1003B!S2733/1000</f>
        <v>0</v>
      </c>
      <c r="T2725" s="85">
        <f>STATS1003B!T2733/1000</f>
        <v>0</v>
      </c>
      <c r="U2725" s="85">
        <f>STATS1003B!U2733/1000</f>
        <v>0</v>
      </c>
      <c r="V2725" s="85">
        <f>STATS1003B!V2733/1000</f>
        <v>0</v>
      </c>
      <c r="W2725" s="85">
        <f>STATS1003B!W2733/1000</f>
        <v>0</v>
      </c>
      <c r="X2725" s="85">
        <f t="shared" si="291"/>
        <v>2396.4830400000001</v>
      </c>
      <c r="Y2725" s="85">
        <f>STATS1003B!Y2733/1000</f>
        <v>0</v>
      </c>
      <c r="Z2725" s="85">
        <f t="shared" si="293"/>
        <v>0</v>
      </c>
      <c r="AA2725" s="69">
        <f>STATS1003B!AA2733/1000</f>
        <v>2396.4830400000001</v>
      </c>
      <c r="AB2725" s="69">
        <f>STATS1003B!AB2733/1000</f>
        <v>0</v>
      </c>
    </row>
    <row r="2726" spans="1:28" hidden="1" x14ac:dyDescent="0.3">
      <c r="A2726" s="117"/>
      <c r="C2726" s="71" t="s">
        <v>57</v>
      </c>
      <c r="D2726" s="91" t="s">
        <v>61</v>
      </c>
      <c r="E2726" s="85">
        <f>STATS1003B!E2734/1000</f>
        <v>1895.6008100000001</v>
      </c>
      <c r="F2726" s="85">
        <f>STATS1003B!F2734/1000</f>
        <v>1895.6008100000001</v>
      </c>
      <c r="G2726" s="85">
        <f>STATS1003B!G2734/1000</f>
        <v>0</v>
      </c>
      <c r="H2726" s="85">
        <f>STATS1003B!H2734/1000</f>
        <v>1895.6008100000001</v>
      </c>
      <c r="I2726" s="85">
        <f>STATS1003B!I2734/1000</f>
        <v>0</v>
      </c>
      <c r="J2726" s="85">
        <f>STATS1003B!J2734/1000</f>
        <v>0</v>
      </c>
      <c r="K2726" s="85">
        <f>STATS1003B!K2734/1000</f>
        <v>0</v>
      </c>
      <c r="L2726" s="85">
        <f>STATS1003B!L2734/1000</f>
        <v>0</v>
      </c>
      <c r="M2726" s="85">
        <f>STATS1003B!M2734/1000</f>
        <v>1895.6008100000001</v>
      </c>
      <c r="N2726" s="85">
        <f>STATS1003B!N2734/1000</f>
        <v>0</v>
      </c>
      <c r="O2726" s="85">
        <f>STATS1003B!O2734/1000</f>
        <v>0</v>
      </c>
      <c r="P2726" s="85">
        <f>STATS1003B!P2734/1000</f>
        <v>0</v>
      </c>
      <c r="Q2726" s="85">
        <f>STATS1003B!Q2734/1000</f>
        <v>0</v>
      </c>
      <c r="R2726" s="85">
        <f>STATS1003B!R2734/1000</f>
        <v>0</v>
      </c>
      <c r="S2726" s="85">
        <f>STATS1003B!S2734/1000</f>
        <v>0</v>
      </c>
      <c r="T2726" s="85">
        <f>STATS1003B!T2734/1000</f>
        <v>0</v>
      </c>
      <c r="U2726" s="85">
        <f>STATS1003B!U2734/1000</f>
        <v>0</v>
      </c>
      <c r="V2726" s="85">
        <f>STATS1003B!V2734/1000</f>
        <v>1895.6008100000001</v>
      </c>
      <c r="W2726" s="85">
        <f>STATS1003B!W2734/1000</f>
        <v>0</v>
      </c>
      <c r="X2726" s="85">
        <f t="shared" si="291"/>
        <v>1895.6008100000001</v>
      </c>
      <c r="Y2726" s="85">
        <f>STATS1003B!Y2734/1000</f>
        <v>0</v>
      </c>
      <c r="Z2726" s="85">
        <f t="shared" si="293"/>
        <v>0</v>
      </c>
      <c r="AA2726" s="69">
        <f>STATS1003B!AA2734/1000</f>
        <v>1895.6008100000001</v>
      </c>
      <c r="AB2726" s="69">
        <f>STATS1003B!AB2734/1000</f>
        <v>0</v>
      </c>
    </row>
    <row r="2727" spans="1:28" hidden="1" x14ac:dyDescent="0.3">
      <c r="A2727" s="117"/>
      <c r="E2727" s="86" t="s">
        <v>29</v>
      </c>
      <c r="F2727" s="86" t="s">
        <v>29</v>
      </c>
      <c r="G2727" s="86" t="s">
        <v>29</v>
      </c>
      <c r="H2727" s="86" t="s">
        <v>29</v>
      </c>
      <c r="I2727" s="86" t="s">
        <v>29</v>
      </c>
      <c r="J2727" s="86" t="s">
        <v>29</v>
      </c>
      <c r="K2727" s="86" t="s">
        <v>29</v>
      </c>
      <c r="L2727" s="86" t="s">
        <v>29</v>
      </c>
      <c r="M2727" s="86" t="s">
        <v>29</v>
      </c>
      <c r="N2727" s="86" t="s">
        <v>29</v>
      </c>
      <c r="O2727" s="86" t="s">
        <v>29</v>
      </c>
      <c r="P2727" s="86" t="s">
        <v>29</v>
      </c>
      <c r="Q2727" s="86" t="s">
        <v>29</v>
      </c>
      <c r="R2727" s="86" t="s">
        <v>29</v>
      </c>
      <c r="S2727" s="86" t="s">
        <v>29</v>
      </c>
      <c r="T2727" s="86" t="s">
        <v>29</v>
      </c>
      <c r="U2727" s="86" t="s">
        <v>29</v>
      </c>
      <c r="V2727" s="86" t="s">
        <v>29</v>
      </c>
      <c r="W2727" s="86" t="s">
        <v>29</v>
      </c>
      <c r="X2727" s="85" t="e">
        <f t="shared" si="291"/>
        <v>#VALUE!</v>
      </c>
      <c r="Y2727" s="86" t="s">
        <v>29</v>
      </c>
      <c r="Z2727" s="85" t="e">
        <f t="shared" si="293"/>
        <v>#VALUE!</v>
      </c>
      <c r="AA2727" s="115" t="s">
        <v>29</v>
      </c>
      <c r="AB2727" s="115" t="s">
        <v>29</v>
      </c>
    </row>
    <row r="2728" spans="1:28" x14ac:dyDescent="0.3">
      <c r="A2728" s="116">
        <v>118</v>
      </c>
      <c r="B2728" s="71" t="s">
        <v>473</v>
      </c>
      <c r="E2728" s="85">
        <f>265181385.9/1000</f>
        <v>265181.38589999999</v>
      </c>
      <c r="F2728" s="85">
        <f t="shared" ref="F2728:AB2728" si="294">SUM(F2707:F2726)</f>
        <v>97078.371370000008</v>
      </c>
      <c r="G2728" s="85">
        <f t="shared" si="294"/>
        <v>0</v>
      </c>
      <c r="H2728" s="85">
        <f>260152816.78/1000</f>
        <v>260152.81677999999</v>
      </c>
      <c r="I2728" s="85">
        <f t="shared" si="294"/>
        <v>0</v>
      </c>
      <c r="J2728" s="85">
        <f t="shared" si="294"/>
        <v>0</v>
      </c>
      <c r="K2728" s="85">
        <f t="shared" si="294"/>
        <v>0</v>
      </c>
      <c r="L2728" s="85">
        <f t="shared" si="294"/>
        <v>0</v>
      </c>
      <c r="M2728" s="85">
        <f t="shared" si="294"/>
        <v>97078.371370000008</v>
      </c>
      <c r="N2728" s="85">
        <f t="shared" si="294"/>
        <v>4228.5691200000001</v>
      </c>
      <c r="O2728" s="85">
        <f t="shared" si="294"/>
        <v>0</v>
      </c>
      <c r="P2728" s="85">
        <f>4228569/1000</f>
        <v>4228.5690000000004</v>
      </c>
      <c r="Q2728" s="85">
        <f t="shared" si="294"/>
        <v>0</v>
      </c>
      <c r="R2728" s="85">
        <f t="shared" si="294"/>
        <v>0</v>
      </c>
      <c r="S2728" s="85">
        <f t="shared" si="294"/>
        <v>0</v>
      </c>
      <c r="T2728" s="85">
        <f t="shared" si="294"/>
        <v>0</v>
      </c>
      <c r="U2728" s="85">
        <f t="shared" si="294"/>
        <v>4228.5691200000001</v>
      </c>
      <c r="V2728" s="85">
        <f t="shared" si="294"/>
        <v>63489.933420000008</v>
      </c>
      <c r="W2728" s="85">
        <f t="shared" si="294"/>
        <v>800</v>
      </c>
      <c r="X2728" s="85">
        <f>+H2728+P2728</f>
        <v>264381.38578000001</v>
      </c>
      <c r="Y2728" s="85">
        <f t="shared" si="294"/>
        <v>0</v>
      </c>
      <c r="Z2728" s="85">
        <f t="shared" si="293"/>
        <v>800.00011999998242</v>
      </c>
      <c r="AA2728" s="69">
        <f t="shared" si="294"/>
        <v>101306.94049000001</v>
      </c>
      <c r="AB2728" s="69">
        <f t="shared" si="294"/>
        <v>800</v>
      </c>
    </row>
    <row r="2729" spans="1:28" hidden="1" x14ac:dyDescent="0.3">
      <c r="A2729" s="117"/>
      <c r="E2729" s="86" t="s">
        <v>29</v>
      </c>
      <c r="F2729" s="86" t="s">
        <v>29</v>
      </c>
      <c r="G2729" s="86" t="s">
        <v>29</v>
      </c>
      <c r="H2729" s="86" t="s">
        <v>29</v>
      </c>
      <c r="I2729" s="86" t="s">
        <v>29</v>
      </c>
      <c r="J2729" s="86" t="s">
        <v>29</v>
      </c>
      <c r="K2729" s="86" t="s">
        <v>29</v>
      </c>
      <c r="L2729" s="86" t="s">
        <v>29</v>
      </c>
      <c r="M2729" s="86" t="s">
        <v>29</v>
      </c>
      <c r="N2729" s="86" t="s">
        <v>29</v>
      </c>
      <c r="O2729" s="86" t="s">
        <v>29</v>
      </c>
      <c r="P2729" s="86" t="s">
        <v>29</v>
      </c>
      <c r="Q2729" s="86" t="s">
        <v>29</v>
      </c>
      <c r="R2729" s="86" t="s">
        <v>29</v>
      </c>
      <c r="S2729" s="86" t="s">
        <v>29</v>
      </c>
      <c r="T2729" s="86" t="s">
        <v>29</v>
      </c>
      <c r="U2729" s="86" t="s">
        <v>29</v>
      </c>
      <c r="V2729" s="86" t="s">
        <v>29</v>
      </c>
      <c r="W2729" s="86" t="s">
        <v>29</v>
      </c>
      <c r="X2729" s="85" t="e">
        <f t="shared" si="291"/>
        <v>#VALUE!</v>
      </c>
      <c r="Y2729" s="86" t="s">
        <v>29</v>
      </c>
      <c r="Z2729" s="86" t="s">
        <v>29</v>
      </c>
      <c r="AA2729" s="115" t="s">
        <v>29</v>
      </c>
      <c r="AB2729" s="115" t="s">
        <v>29</v>
      </c>
    </row>
    <row r="2730" spans="1:28" hidden="1" x14ac:dyDescent="0.3">
      <c r="A2730" s="105"/>
      <c r="E2730" s="84"/>
      <c r="F2730" s="84"/>
      <c r="G2730" s="84"/>
      <c r="H2730" s="84"/>
      <c r="I2730" s="84"/>
      <c r="J2730" s="84"/>
      <c r="K2730" s="84"/>
      <c r="L2730" s="84"/>
      <c r="M2730" s="84"/>
      <c r="N2730" s="84"/>
      <c r="O2730" s="84"/>
      <c r="P2730" s="84"/>
      <c r="Q2730" s="84"/>
      <c r="R2730" s="84"/>
      <c r="S2730" s="84"/>
      <c r="T2730" s="84"/>
      <c r="U2730" s="84"/>
      <c r="V2730" s="84"/>
      <c r="W2730" s="84"/>
      <c r="X2730" s="85">
        <f t="shared" si="291"/>
        <v>0</v>
      </c>
      <c r="Y2730" s="84"/>
      <c r="Z2730" s="84"/>
    </row>
    <row r="2731" spans="1:28" hidden="1" x14ac:dyDescent="0.3">
      <c r="A2731" s="117"/>
      <c r="C2731" s="71" t="s">
        <v>480</v>
      </c>
      <c r="D2731" s="71" t="s">
        <v>481</v>
      </c>
      <c r="E2731" s="85">
        <f>STATS1003B!E2739/1000</f>
        <v>6900.2023499999996</v>
      </c>
      <c r="F2731" s="85">
        <f>STATS1003B!F2739/1000</f>
        <v>6900.2023499999996</v>
      </c>
      <c r="G2731" s="85">
        <f>STATS1003B!G2739/1000</f>
        <v>0</v>
      </c>
      <c r="H2731" s="85">
        <f>STATS1003B!H2739/1000</f>
        <v>6900.2023499999996</v>
      </c>
      <c r="I2731" s="85">
        <f>STATS1003B!I2739/1000</f>
        <v>0</v>
      </c>
      <c r="J2731" s="85">
        <f>STATS1003B!J2739/1000</f>
        <v>0</v>
      </c>
      <c r="K2731" s="85">
        <f>STATS1003B!K2739/1000</f>
        <v>0</v>
      </c>
      <c r="L2731" s="85">
        <f>STATS1003B!L2739/1000</f>
        <v>0</v>
      </c>
      <c r="M2731" s="85">
        <f>STATS1003B!M2739/1000</f>
        <v>6900.2023499999996</v>
      </c>
      <c r="N2731" s="85">
        <f>STATS1003B!N2739/1000</f>
        <v>0</v>
      </c>
      <c r="O2731" s="85">
        <f>STATS1003B!O2739/1000</f>
        <v>0</v>
      </c>
      <c r="P2731" s="85">
        <f>STATS1003B!P2739/1000</f>
        <v>0</v>
      </c>
      <c r="Q2731" s="85">
        <f>STATS1003B!Q2739/1000</f>
        <v>0</v>
      </c>
      <c r="R2731" s="85">
        <f>STATS1003B!R2739/1000</f>
        <v>0</v>
      </c>
      <c r="S2731" s="85">
        <f>STATS1003B!S2739/1000</f>
        <v>0</v>
      </c>
      <c r="T2731" s="85">
        <f>STATS1003B!T2739/1000</f>
        <v>0</v>
      </c>
      <c r="U2731" s="85">
        <f>STATS1003B!U2739/1000</f>
        <v>0</v>
      </c>
      <c r="V2731" s="85">
        <f>STATS1003B!V2739/1000</f>
        <v>6900.2023499999996</v>
      </c>
      <c r="W2731" s="85">
        <f>STATS1003B!W2739/1000</f>
        <v>0</v>
      </c>
      <c r="X2731" s="85">
        <f t="shared" si="291"/>
        <v>6900.2023499999996</v>
      </c>
      <c r="Y2731" s="85">
        <f>STATS1003B!Y2739/1000</f>
        <v>0</v>
      </c>
      <c r="Z2731" s="85">
        <f>STATS1003B!Z2739/1000</f>
        <v>0</v>
      </c>
      <c r="AA2731" s="69">
        <f>STATS1003B!AA2739/1000</f>
        <v>6900.2023499999996</v>
      </c>
      <c r="AB2731" s="69">
        <f>STATS1003B!AB2739/1000</f>
        <v>0</v>
      </c>
    </row>
    <row r="2732" spans="1:28" hidden="1" x14ac:dyDescent="0.3">
      <c r="A2732" s="117"/>
      <c r="C2732" s="71" t="s">
        <v>143</v>
      </c>
      <c r="D2732" s="88" t="s">
        <v>482</v>
      </c>
      <c r="E2732" s="85">
        <f>STATS1003B!E2740/1000</f>
        <v>3329.5430099999999</v>
      </c>
      <c r="F2732" s="85">
        <f>STATS1003B!F2740/1000</f>
        <v>2410.4899999999998</v>
      </c>
      <c r="G2732" s="85">
        <f>STATS1003B!G2740/1000</f>
        <v>0</v>
      </c>
      <c r="H2732" s="85">
        <f>STATS1003B!H2740/1000</f>
        <v>2410.4899999999998</v>
      </c>
      <c r="I2732" s="85">
        <f>STATS1003B!I2740/1000</f>
        <v>0</v>
      </c>
      <c r="J2732" s="85">
        <f>STATS1003B!J2740/1000</f>
        <v>0</v>
      </c>
      <c r="K2732" s="85">
        <f>STATS1003B!K2740/1000</f>
        <v>0</v>
      </c>
      <c r="L2732" s="85">
        <f>STATS1003B!L2740/1000</f>
        <v>0</v>
      </c>
      <c r="M2732" s="85">
        <f>STATS1003B!M2740/1000</f>
        <v>2410.4899999999998</v>
      </c>
      <c r="N2732" s="85">
        <f>STATS1003B!N2740/1000</f>
        <v>919.05300999999997</v>
      </c>
      <c r="O2732" s="85">
        <f>STATS1003B!O2740/1000</f>
        <v>0</v>
      </c>
      <c r="P2732" s="85">
        <f>STATS1003B!P2740/1000</f>
        <v>919.05300999999997</v>
      </c>
      <c r="Q2732" s="85">
        <f>STATS1003B!Q2740/1000</f>
        <v>0</v>
      </c>
      <c r="R2732" s="85">
        <f>STATS1003B!R2740/1000</f>
        <v>0</v>
      </c>
      <c r="S2732" s="85">
        <f>STATS1003B!S2740/1000</f>
        <v>0</v>
      </c>
      <c r="T2732" s="85">
        <f>STATS1003B!T2740/1000</f>
        <v>0</v>
      </c>
      <c r="U2732" s="85">
        <f>STATS1003B!U2740/1000</f>
        <v>919.05300999999997</v>
      </c>
      <c r="V2732" s="85">
        <f>STATS1003B!V2740/1000</f>
        <v>3329.5430099999999</v>
      </c>
      <c r="W2732" s="85">
        <f>STATS1003B!W2740/1000</f>
        <v>0</v>
      </c>
      <c r="X2732" s="85">
        <f t="shared" si="291"/>
        <v>3329.5430099999999</v>
      </c>
      <c r="Y2732" s="85">
        <f>STATS1003B!Y2740/1000</f>
        <v>0</v>
      </c>
      <c r="Z2732" s="85">
        <f>STATS1003B!Z2740/1000</f>
        <v>0</v>
      </c>
      <c r="AA2732" s="69">
        <f>STATS1003B!AA2740/1000</f>
        <v>3329.5430099999999</v>
      </c>
      <c r="AB2732" s="69">
        <f>STATS1003B!AB2740/1000</f>
        <v>0</v>
      </c>
    </row>
    <row r="2733" spans="1:28" hidden="1" x14ac:dyDescent="0.3">
      <c r="A2733" s="117"/>
      <c r="C2733" s="71" t="s">
        <v>55</v>
      </c>
      <c r="D2733" s="88" t="s">
        <v>68</v>
      </c>
      <c r="E2733" s="85">
        <f>STATS1003B!E2741/1000</f>
        <v>5344.7088800000001</v>
      </c>
      <c r="F2733" s="85">
        <f>STATS1003B!F2741/1000</f>
        <v>0</v>
      </c>
      <c r="G2733" s="85">
        <f>STATS1003B!G2741/1000</f>
        <v>0</v>
      </c>
      <c r="H2733" s="85">
        <f>STATS1003B!H2741/1000</f>
        <v>0</v>
      </c>
      <c r="I2733" s="85">
        <f>STATS1003B!I2741/1000</f>
        <v>0</v>
      </c>
      <c r="J2733" s="85">
        <f>STATS1003B!J2741/1000</f>
        <v>0</v>
      </c>
      <c r="K2733" s="85">
        <f>STATS1003B!K2741/1000</f>
        <v>0</v>
      </c>
      <c r="L2733" s="85">
        <f>STATS1003B!L2741/1000</f>
        <v>0</v>
      </c>
      <c r="M2733" s="85">
        <f>STATS1003B!M2741/1000</f>
        <v>0</v>
      </c>
      <c r="N2733" s="85">
        <f>STATS1003B!N2741/1000</f>
        <v>5344.7088800000001</v>
      </c>
      <c r="O2733" s="85">
        <f>STATS1003B!O2741/1000</f>
        <v>0</v>
      </c>
      <c r="P2733" s="85">
        <f>STATS1003B!P2741/1000</f>
        <v>5344.7088800000001</v>
      </c>
      <c r="Q2733" s="85">
        <f>STATS1003B!Q2741/1000</f>
        <v>0</v>
      </c>
      <c r="R2733" s="85">
        <f>STATS1003B!R2741/1000</f>
        <v>0</v>
      </c>
      <c r="S2733" s="85">
        <f>STATS1003B!S2741/1000</f>
        <v>0</v>
      </c>
      <c r="T2733" s="85">
        <f>STATS1003B!T2741/1000</f>
        <v>0</v>
      </c>
      <c r="U2733" s="85">
        <f>STATS1003B!U2741/1000</f>
        <v>5344.7088800000001</v>
      </c>
      <c r="V2733" s="85">
        <f>STATS1003B!V2741/1000</f>
        <v>5344.7088800000001</v>
      </c>
      <c r="W2733" s="85">
        <f>STATS1003B!W2741/1000</f>
        <v>0</v>
      </c>
      <c r="X2733" s="85">
        <f t="shared" si="291"/>
        <v>5344.7088800000001</v>
      </c>
      <c r="Y2733" s="85">
        <f>STATS1003B!Y2741/1000</f>
        <v>0</v>
      </c>
      <c r="Z2733" s="85">
        <f>STATS1003B!Z2741/1000</f>
        <v>0</v>
      </c>
      <c r="AA2733" s="69">
        <f>STATS1003B!AA2741/1000</f>
        <v>5344.7088800000001</v>
      </c>
      <c r="AB2733" s="69">
        <f>STATS1003B!AB2741/1000</f>
        <v>0</v>
      </c>
    </row>
    <row r="2734" spans="1:28" hidden="1" x14ac:dyDescent="0.3">
      <c r="A2734" s="117"/>
      <c r="C2734" s="71" t="s">
        <v>185</v>
      </c>
      <c r="D2734" s="88" t="s">
        <v>54</v>
      </c>
      <c r="E2734" s="85">
        <f>STATS1003B!E2742/1000</f>
        <v>1767.77</v>
      </c>
      <c r="F2734" s="85">
        <f>STATS1003B!F2742/1000</f>
        <v>0</v>
      </c>
      <c r="G2734" s="85">
        <f>STATS1003B!G2742/1000</f>
        <v>0</v>
      </c>
      <c r="H2734" s="85">
        <f>STATS1003B!H2742/1000</f>
        <v>0</v>
      </c>
      <c r="I2734" s="85">
        <f>STATS1003B!I2742/1000</f>
        <v>0</v>
      </c>
      <c r="J2734" s="85">
        <f>STATS1003B!J2742/1000</f>
        <v>0</v>
      </c>
      <c r="K2734" s="85">
        <f>STATS1003B!K2742/1000</f>
        <v>0</v>
      </c>
      <c r="L2734" s="85">
        <f>STATS1003B!L2742/1000</f>
        <v>0</v>
      </c>
      <c r="M2734" s="85">
        <f>STATS1003B!M2742/1000</f>
        <v>0</v>
      </c>
      <c r="N2734" s="85">
        <f>STATS1003B!N2742/1000</f>
        <v>1767.77</v>
      </c>
      <c r="O2734" s="85">
        <f>STATS1003B!O2742/1000</f>
        <v>0</v>
      </c>
      <c r="P2734" s="85">
        <f>STATS1003B!P2742/1000</f>
        <v>1767.77</v>
      </c>
      <c r="Q2734" s="85">
        <f>STATS1003B!Q2742/1000</f>
        <v>0</v>
      </c>
      <c r="R2734" s="85">
        <f>STATS1003B!R2742/1000</f>
        <v>0</v>
      </c>
      <c r="S2734" s="85">
        <f>STATS1003B!S2742/1000</f>
        <v>0</v>
      </c>
      <c r="T2734" s="85">
        <f>STATS1003B!T2742/1000</f>
        <v>0</v>
      </c>
      <c r="U2734" s="85">
        <f>STATS1003B!U2742/1000</f>
        <v>1767.77</v>
      </c>
      <c r="V2734" s="85">
        <f>STATS1003B!V2742/1000</f>
        <v>1767.77</v>
      </c>
      <c r="W2734" s="85">
        <f>STATS1003B!W2742/1000</f>
        <v>0</v>
      </c>
      <c r="X2734" s="85">
        <f t="shared" si="291"/>
        <v>1767.77</v>
      </c>
      <c r="Y2734" s="85">
        <f>STATS1003B!Y2742/1000</f>
        <v>0</v>
      </c>
      <c r="Z2734" s="85">
        <f>STATS1003B!Z2742/1000</f>
        <v>0</v>
      </c>
      <c r="AA2734" s="69">
        <f>STATS1003B!AA2742/1000</f>
        <v>1767.77</v>
      </c>
      <c r="AB2734" s="69">
        <f>STATS1003B!AB2742/1000</f>
        <v>0</v>
      </c>
    </row>
    <row r="2735" spans="1:28" hidden="1" x14ac:dyDescent="0.3">
      <c r="A2735" s="117"/>
      <c r="C2735" s="71" t="s">
        <v>483</v>
      </c>
      <c r="D2735" s="88" t="s">
        <v>54</v>
      </c>
      <c r="E2735" s="85">
        <f>STATS1003B!E2743/1000</f>
        <v>5544.2780000000002</v>
      </c>
      <c r="F2735" s="85">
        <f>STATS1003B!F2743/1000</f>
        <v>5544.2780000000002</v>
      </c>
      <c r="G2735" s="85">
        <f>STATS1003B!G2743/1000</f>
        <v>0</v>
      </c>
      <c r="H2735" s="85">
        <f>STATS1003B!H2743/1000</f>
        <v>5544.2780000000002</v>
      </c>
      <c r="I2735" s="85">
        <f>STATS1003B!I2743/1000</f>
        <v>0</v>
      </c>
      <c r="J2735" s="85">
        <f>STATS1003B!J2743/1000</f>
        <v>0</v>
      </c>
      <c r="K2735" s="85">
        <f>STATS1003B!K2743/1000</f>
        <v>0</v>
      </c>
      <c r="L2735" s="85">
        <f>STATS1003B!L2743/1000</f>
        <v>0</v>
      </c>
      <c r="M2735" s="85">
        <f>STATS1003B!M2743/1000</f>
        <v>5544.2780000000002</v>
      </c>
      <c r="N2735" s="85">
        <f>STATS1003B!N2743/1000</f>
        <v>0</v>
      </c>
      <c r="O2735" s="85">
        <f>STATS1003B!O2743/1000</f>
        <v>0</v>
      </c>
      <c r="P2735" s="85">
        <f>STATS1003B!P2743/1000</f>
        <v>0</v>
      </c>
      <c r="Q2735" s="85">
        <f>STATS1003B!Q2743/1000</f>
        <v>0</v>
      </c>
      <c r="R2735" s="85">
        <f>STATS1003B!R2743/1000</f>
        <v>0</v>
      </c>
      <c r="S2735" s="85">
        <f>STATS1003B!S2743/1000</f>
        <v>0</v>
      </c>
      <c r="T2735" s="85">
        <f>STATS1003B!T2743/1000</f>
        <v>0</v>
      </c>
      <c r="U2735" s="85">
        <f>STATS1003B!U2743/1000</f>
        <v>0</v>
      </c>
      <c r="V2735" s="85">
        <f>STATS1003B!V2743/1000</f>
        <v>5544.2780000000002</v>
      </c>
      <c r="W2735" s="85">
        <f>STATS1003B!W2743/1000</f>
        <v>0</v>
      </c>
      <c r="X2735" s="85">
        <f t="shared" si="291"/>
        <v>5544.2780000000002</v>
      </c>
      <c r="Y2735" s="85">
        <f>STATS1003B!Y2743/1000</f>
        <v>0</v>
      </c>
      <c r="Z2735" s="85">
        <f>STATS1003B!Z2743/1000</f>
        <v>0</v>
      </c>
      <c r="AA2735" s="69">
        <f>STATS1003B!AA2743/1000</f>
        <v>5544.2780000000002</v>
      </c>
      <c r="AB2735" s="69">
        <f>STATS1003B!AB2743/1000</f>
        <v>0</v>
      </c>
    </row>
    <row r="2736" spans="1:28" hidden="1" x14ac:dyDescent="0.3">
      <c r="A2736" s="117"/>
      <c r="C2736" s="71" t="s">
        <v>484</v>
      </c>
      <c r="D2736" s="88" t="s">
        <v>85</v>
      </c>
      <c r="E2736" s="85">
        <f>STATS1003B!E2744/1000</f>
        <v>600</v>
      </c>
      <c r="F2736" s="85">
        <f>STATS1003B!F2744/1000</f>
        <v>600</v>
      </c>
      <c r="G2736" s="85">
        <f>STATS1003B!G2744/1000</f>
        <v>0</v>
      </c>
      <c r="H2736" s="85">
        <f>STATS1003B!H2744/1000</f>
        <v>600</v>
      </c>
      <c r="I2736" s="85">
        <f>STATS1003B!I2744/1000</f>
        <v>0</v>
      </c>
      <c r="J2736" s="85">
        <f>STATS1003B!J2744/1000</f>
        <v>0</v>
      </c>
      <c r="K2736" s="85">
        <f>STATS1003B!K2744/1000</f>
        <v>0</v>
      </c>
      <c r="L2736" s="85">
        <f>STATS1003B!L2744/1000</f>
        <v>0</v>
      </c>
      <c r="M2736" s="85">
        <f>STATS1003B!M2744/1000</f>
        <v>600</v>
      </c>
      <c r="N2736" s="85">
        <f>STATS1003B!N2744/1000</f>
        <v>0</v>
      </c>
      <c r="O2736" s="85">
        <f>STATS1003B!O2744/1000</f>
        <v>0</v>
      </c>
      <c r="P2736" s="85">
        <f>STATS1003B!P2744/1000</f>
        <v>0</v>
      </c>
      <c r="Q2736" s="85">
        <f>STATS1003B!Q2744/1000</f>
        <v>0</v>
      </c>
      <c r="R2736" s="85">
        <f>STATS1003B!R2744/1000</f>
        <v>0</v>
      </c>
      <c r="S2736" s="85">
        <f>STATS1003B!S2744/1000</f>
        <v>0</v>
      </c>
      <c r="T2736" s="85">
        <f>STATS1003B!T2744/1000</f>
        <v>0</v>
      </c>
      <c r="U2736" s="85">
        <f>STATS1003B!U2744/1000</f>
        <v>0</v>
      </c>
      <c r="V2736" s="85">
        <f>STATS1003B!V2744/1000</f>
        <v>600</v>
      </c>
      <c r="W2736" s="85">
        <f>STATS1003B!W2744/1000</f>
        <v>0</v>
      </c>
      <c r="X2736" s="85">
        <f t="shared" si="291"/>
        <v>600</v>
      </c>
      <c r="Y2736" s="85">
        <f>STATS1003B!Y2744/1000</f>
        <v>0</v>
      </c>
      <c r="Z2736" s="85">
        <f>STATS1003B!Z2744/1000</f>
        <v>0</v>
      </c>
      <c r="AA2736" s="69">
        <f>STATS1003B!AA2744/1000</f>
        <v>600</v>
      </c>
      <c r="AB2736" s="69">
        <f>STATS1003B!AB2744/1000</f>
        <v>0</v>
      </c>
    </row>
    <row r="2737" spans="1:28" hidden="1" x14ac:dyDescent="0.3">
      <c r="A2737" s="117"/>
      <c r="C2737" s="71" t="s">
        <v>143</v>
      </c>
      <c r="D2737" s="88" t="s">
        <v>58</v>
      </c>
      <c r="E2737" s="85">
        <f>STATS1003B!E2745/1000</f>
        <v>1500</v>
      </c>
      <c r="F2737" s="85">
        <f>STATS1003B!F2745/1000</f>
        <v>1500</v>
      </c>
      <c r="G2737" s="85">
        <f>STATS1003B!G2745/1000</f>
        <v>0</v>
      </c>
      <c r="H2737" s="85">
        <f>STATS1003B!H2745/1000</f>
        <v>1500</v>
      </c>
      <c r="I2737" s="85">
        <f>STATS1003B!I2745/1000</f>
        <v>0</v>
      </c>
      <c r="J2737" s="85">
        <f>STATS1003B!J2745/1000</f>
        <v>0</v>
      </c>
      <c r="K2737" s="85">
        <f>STATS1003B!K2745/1000</f>
        <v>0</v>
      </c>
      <c r="L2737" s="85">
        <f>STATS1003B!L2745/1000</f>
        <v>0</v>
      </c>
      <c r="M2737" s="85">
        <f>STATS1003B!M2745/1000</f>
        <v>1500</v>
      </c>
      <c r="N2737" s="85">
        <f>STATS1003B!N2745/1000</f>
        <v>0</v>
      </c>
      <c r="O2737" s="85">
        <f>STATS1003B!O2745/1000</f>
        <v>0</v>
      </c>
      <c r="P2737" s="85">
        <f>STATS1003B!P2745/1000</f>
        <v>0</v>
      </c>
      <c r="Q2737" s="85">
        <f>STATS1003B!Q2745/1000</f>
        <v>0</v>
      </c>
      <c r="R2737" s="85">
        <f>STATS1003B!R2745/1000</f>
        <v>0</v>
      </c>
      <c r="S2737" s="85">
        <f>STATS1003B!S2745/1000</f>
        <v>0</v>
      </c>
      <c r="T2737" s="85">
        <f>STATS1003B!T2745/1000</f>
        <v>0</v>
      </c>
      <c r="U2737" s="85">
        <f>STATS1003B!U2745/1000</f>
        <v>0</v>
      </c>
      <c r="V2737" s="85">
        <f>STATS1003B!V2745/1000</f>
        <v>1500</v>
      </c>
      <c r="W2737" s="85">
        <f>STATS1003B!W2745/1000</f>
        <v>0</v>
      </c>
      <c r="X2737" s="85">
        <f t="shared" si="291"/>
        <v>1500</v>
      </c>
      <c r="Y2737" s="85">
        <f>STATS1003B!Y2745/1000</f>
        <v>0</v>
      </c>
      <c r="Z2737" s="85">
        <f>STATS1003B!Z2745/1000</f>
        <v>0</v>
      </c>
      <c r="AA2737" s="69">
        <f>STATS1003B!AA2745/1000</f>
        <v>1500</v>
      </c>
      <c r="AB2737" s="69">
        <f>STATS1003B!AB2745/1000</f>
        <v>0</v>
      </c>
    </row>
    <row r="2738" spans="1:28" hidden="1" x14ac:dyDescent="0.3">
      <c r="A2738" s="117"/>
      <c r="C2738" s="71" t="s">
        <v>143</v>
      </c>
      <c r="D2738" s="88" t="s">
        <v>60</v>
      </c>
      <c r="E2738" s="85">
        <f>STATS1003B!E2746/1000</f>
        <v>9674.1540000000005</v>
      </c>
      <c r="F2738" s="85">
        <f>STATS1003B!F2746/1000</f>
        <v>9253.7330000000002</v>
      </c>
      <c r="G2738" s="85">
        <f>STATS1003B!G2746/1000</f>
        <v>0</v>
      </c>
      <c r="H2738" s="85">
        <f>STATS1003B!H2746/1000</f>
        <v>9253.7330000000002</v>
      </c>
      <c r="I2738" s="85">
        <f>STATS1003B!I2746/1000</f>
        <v>0</v>
      </c>
      <c r="J2738" s="85">
        <f>STATS1003B!J2746/1000</f>
        <v>0</v>
      </c>
      <c r="K2738" s="85">
        <f>STATS1003B!K2746/1000</f>
        <v>0</v>
      </c>
      <c r="L2738" s="85">
        <f>STATS1003B!L2746/1000</f>
        <v>0</v>
      </c>
      <c r="M2738" s="85">
        <f>STATS1003B!M2746/1000</f>
        <v>9253.7330000000002</v>
      </c>
      <c r="N2738" s="85">
        <f>STATS1003B!N2746/1000</f>
        <v>0</v>
      </c>
      <c r="O2738" s="85">
        <f>STATS1003B!O2746/1000</f>
        <v>0</v>
      </c>
      <c r="P2738" s="85">
        <f>STATS1003B!P2746/1000</f>
        <v>0</v>
      </c>
      <c r="Q2738" s="85">
        <f>STATS1003B!Q2746/1000</f>
        <v>0</v>
      </c>
      <c r="R2738" s="85">
        <f>STATS1003B!R2746/1000</f>
        <v>0</v>
      </c>
      <c r="S2738" s="85">
        <f>STATS1003B!S2746/1000</f>
        <v>0</v>
      </c>
      <c r="T2738" s="85">
        <f>STATS1003B!T2746/1000</f>
        <v>0</v>
      </c>
      <c r="U2738" s="85">
        <f>STATS1003B!U2746/1000</f>
        <v>0</v>
      </c>
      <c r="V2738" s="85">
        <f>STATS1003B!V2746/1000</f>
        <v>9253.7330000000002</v>
      </c>
      <c r="W2738" s="85">
        <f>STATS1003B!W2746/1000</f>
        <v>420.42099999999999</v>
      </c>
      <c r="X2738" s="85">
        <f t="shared" si="291"/>
        <v>9253.7330000000002</v>
      </c>
      <c r="Y2738" s="85">
        <f>STATS1003B!Y2746/1000</f>
        <v>0</v>
      </c>
      <c r="Z2738" s="85">
        <f>STATS1003B!Z2746/1000</f>
        <v>420.42099999999999</v>
      </c>
      <c r="AA2738" s="69">
        <f>STATS1003B!AA2746/1000</f>
        <v>9253.7330000000002</v>
      </c>
      <c r="AB2738" s="69">
        <f>STATS1003B!AB2746/1000</f>
        <v>420.42099999999999</v>
      </c>
    </row>
    <row r="2739" spans="1:28" hidden="1" x14ac:dyDescent="0.3">
      <c r="A2739" s="117"/>
      <c r="C2739" s="71" t="s">
        <v>143</v>
      </c>
      <c r="D2739" s="88" t="s">
        <v>73</v>
      </c>
      <c r="E2739" s="85">
        <f>STATS1003B!E2747/1000</f>
        <v>9065.8449999999993</v>
      </c>
      <c r="F2739" s="85">
        <f>STATS1003B!F2747/1000</f>
        <v>9065.8449999999993</v>
      </c>
      <c r="G2739" s="85">
        <f>STATS1003B!G2747/1000</f>
        <v>0</v>
      </c>
      <c r="H2739" s="85">
        <f>STATS1003B!H2747/1000</f>
        <v>9065.8449999999993</v>
      </c>
      <c r="I2739" s="85">
        <f>STATS1003B!I2747/1000</f>
        <v>0</v>
      </c>
      <c r="J2739" s="85">
        <f>STATS1003B!J2747/1000</f>
        <v>0</v>
      </c>
      <c r="K2739" s="85">
        <f>STATS1003B!K2747/1000</f>
        <v>0</v>
      </c>
      <c r="L2739" s="85">
        <f>STATS1003B!L2747/1000</f>
        <v>0</v>
      </c>
      <c r="M2739" s="85">
        <f>STATS1003B!M2747/1000</f>
        <v>9065.8449999999993</v>
      </c>
      <c r="N2739" s="85">
        <f>STATS1003B!N2747/1000</f>
        <v>0</v>
      </c>
      <c r="O2739" s="85">
        <f>STATS1003B!O2747/1000</f>
        <v>0</v>
      </c>
      <c r="P2739" s="85">
        <f>STATS1003B!P2747/1000</f>
        <v>0</v>
      </c>
      <c r="Q2739" s="85">
        <f>STATS1003B!Q2747/1000</f>
        <v>0</v>
      </c>
      <c r="R2739" s="85">
        <f>STATS1003B!R2747/1000</f>
        <v>0</v>
      </c>
      <c r="S2739" s="85">
        <f>STATS1003B!S2747/1000</f>
        <v>0</v>
      </c>
      <c r="T2739" s="85">
        <f>STATS1003B!T2747/1000</f>
        <v>0</v>
      </c>
      <c r="U2739" s="85">
        <f>STATS1003B!U2747/1000</f>
        <v>0</v>
      </c>
      <c r="V2739" s="85">
        <f>STATS1003B!V2747/1000</f>
        <v>9065.8449999999993</v>
      </c>
      <c r="W2739" s="85">
        <f>STATS1003B!W2747/1000</f>
        <v>0</v>
      </c>
      <c r="X2739" s="85">
        <f t="shared" si="291"/>
        <v>9065.8449999999993</v>
      </c>
      <c r="Y2739" s="85">
        <f>STATS1003B!Y2747/1000</f>
        <v>0</v>
      </c>
      <c r="Z2739" s="85">
        <f>STATS1003B!Z2747/1000</f>
        <v>0</v>
      </c>
      <c r="AA2739" s="69">
        <f>STATS1003B!AA2747/1000</f>
        <v>9065.8449999999993</v>
      </c>
      <c r="AB2739" s="69">
        <f>STATS1003B!AB2747/1000</f>
        <v>0</v>
      </c>
    </row>
    <row r="2740" spans="1:28" hidden="1" x14ac:dyDescent="0.3">
      <c r="A2740" s="117"/>
      <c r="C2740" s="71" t="s">
        <v>143</v>
      </c>
      <c r="D2740" s="89" t="s">
        <v>61</v>
      </c>
      <c r="E2740" s="85">
        <f>STATS1003B!E2748/1000</f>
        <v>9407.910820000001</v>
      </c>
      <c r="F2740" s="85">
        <f>STATS1003B!F2748/1000</f>
        <v>9218.1169600000012</v>
      </c>
      <c r="G2740" s="85">
        <f>STATS1003B!G2748/1000</f>
        <v>0</v>
      </c>
      <c r="H2740" s="85">
        <f>STATS1003B!H2748/1000</f>
        <v>9218.1169600000012</v>
      </c>
      <c r="I2740" s="85">
        <f>STATS1003B!I2748/1000</f>
        <v>1462.4718</v>
      </c>
      <c r="J2740" s="85">
        <f>STATS1003B!J2748/1000</f>
        <v>1462.4718</v>
      </c>
      <c r="K2740" s="85">
        <f>STATS1003B!K2748/1000</f>
        <v>0</v>
      </c>
      <c r="L2740" s="85">
        <f>STATS1003B!L2748/1000</f>
        <v>0</v>
      </c>
      <c r="M2740" s="85">
        <f>STATS1003B!M2748/1000</f>
        <v>9218.1169600000012</v>
      </c>
      <c r="N2740" s="85">
        <f>STATS1003B!N2748/1000</f>
        <v>0</v>
      </c>
      <c r="O2740" s="85">
        <f>STATS1003B!O2748/1000</f>
        <v>0</v>
      </c>
      <c r="P2740" s="85">
        <f>STATS1003B!P2748/1000</f>
        <v>0</v>
      </c>
      <c r="Q2740" s="85">
        <f>STATS1003B!Q2748/1000</f>
        <v>185.8767</v>
      </c>
      <c r="R2740" s="85">
        <f>STATS1003B!R2748/1000</f>
        <v>0</v>
      </c>
      <c r="S2740" s="85">
        <f>STATS1003B!S2748/1000</f>
        <v>3.91716</v>
      </c>
      <c r="T2740" s="85">
        <f>STATS1003B!T2748/1000</f>
        <v>189.79386</v>
      </c>
      <c r="U2740" s="85">
        <f>STATS1003B!U2748/1000</f>
        <v>189.79386</v>
      </c>
      <c r="V2740" s="85">
        <f>STATS1003B!V2748/1000</f>
        <v>9218.1169600000012</v>
      </c>
      <c r="W2740" s="85">
        <f>STATS1003B!W2748/1000</f>
        <v>189.7938599999994</v>
      </c>
      <c r="X2740" s="85">
        <f t="shared" si="291"/>
        <v>9218.1169600000012</v>
      </c>
      <c r="Y2740" s="85">
        <f>STATS1003B!Y2748/1000</f>
        <v>0</v>
      </c>
      <c r="Z2740" s="85">
        <f>STATS1003B!Z2748/1000</f>
        <v>189.7938599999994</v>
      </c>
      <c r="AA2740" s="69">
        <f>STATS1003B!AA2748/1000</f>
        <v>9407.910820000001</v>
      </c>
      <c r="AB2740" s="69">
        <f>STATS1003B!AB2748/1000</f>
        <v>0</v>
      </c>
    </row>
    <row r="2741" spans="1:28" hidden="1" x14ac:dyDescent="0.3">
      <c r="A2741" s="117"/>
      <c r="C2741" s="71" t="s">
        <v>924</v>
      </c>
      <c r="D2741" s="89" t="s">
        <v>1072</v>
      </c>
      <c r="E2741" s="85">
        <f>STATS1003B!E2749/1000</f>
        <v>202.88303999999999</v>
      </c>
      <c r="F2741" s="85">
        <f>STATS1003B!F2749/1000</f>
        <v>202.88303999999999</v>
      </c>
      <c r="G2741" s="85">
        <f>STATS1003B!G2749/1000</f>
        <v>0</v>
      </c>
      <c r="H2741" s="85">
        <f>STATS1003B!H2749/1000</f>
        <v>202.88303999999999</v>
      </c>
      <c r="I2741" s="85">
        <f>STATS1003B!I2749/1000</f>
        <v>0</v>
      </c>
      <c r="J2741" s="85">
        <f>STATS1003B!J2749/1000</f>
        <v>0</v>
      </c>
      <c r="K2741" s="85">
        <f>STATS1003B!K2749/1000</f>
        <v>0</v>
      </c>
      <c r="L2741" s="85">
        <f>STATS1003B!L2749/1000</f>
        <v>0</v>
      </c>
      <c r="M2741" s="85">
        <f>STATS1003B!M2749/1000</f>
        <v>202.88303999999999</v>
      </c>
      <c r="N2741" s="85">
        <f>STATS1003B!N2749/1000</f>
        <v>0</v>
      </c>
      <c r="O2741" s="85">
        <f>STATS1003B!O2749/1000</f>
        <v>0</v>
      </c>
      <c r="P2741" s="85">
        <f>STATS1003B!P2749/1000</f>
        <v>0</v>
      </c>
      <c r="Q2741" s="85">
        <f>STATS1003B!Q2749/1000</f>
        <v>0</v>
      </c>
      <c r="R2741" s="85">
        <f>STATS1003B!R2749/1000</f>
        <v>0</v>
      </c>
      <c r="S2741" s="85">
        <f>STATS1003B!S2749/1000</f>
        <v>0</v>
      </c>
      <c r="T2741" s="85">
        <f>STATS1003B!T2749/1000</f>
        <v>0</v>
      </c>
      <c r="U2741" s="85">
        <f>STATS1003B!U2749/1000</f>
        <v>0</v>
      </c>
      <c r="V2741" s="85">
        <f>STATS1003B!V2749/1000</f>
        <v>202.88303999999999</v>
      </c>
      <c r="W2741" s="85">
        <f>STATS1003B!W2749/1000</f>
        <v>0</v>
      </c>
      <c r="X2741" s="85">
        <f t="shared" si="291"/>
        <v>202.88303999999999</v>
      </c>
      <c r="Y2741" s="85">
        <f>STATS1003B!Y2749/1000</f>
        <v>0</v>
      </c>
      <c r="Z2741" s="85">
        <f>STATS1003B!Z2749/1000</f>
        <v>0</v>
      </c>
      <c r="AA2741" s="69">
        <f>STATS1003B!AA2749/1000</f>
        <v>202.88303999999999</v>
      </c>
      <c r="AB2741" s="69">
        <f>STATS1003B!AB2749/1000</f>
        <v>0</v>
      </c>
    </row>
    <row r="2742" spans="1:28" hidden="1" x14ac:dyDescent="0.3">
      <c r="A2742" s="117"/>
      <c r="C2742" s="71" t="s">
        <v>930</v>
      </c>
      <c r="D2742" s="89" t="s">
        <v>1072</v>
      </c>
      <c r="E2742" s="85">
        <f>STATS1003B!E2750/1000</f>
        <v>7321.83979</v>
      </c>
      <c r="F2742" s="85">
        <f>STATS1003B!F2750/1000</f>
        <v>7321.83979</v>
      </c>
      <c r="G2742" s="85">
        <f>STATS1003B!G2750/1000</f>
        <v>0</v>
      </c>
      <c r="H2742" s="85">
        <f>STATS1003B!H2750/1000</f>
        <v>7321.83979</v>
      </c>
      <c r="I2742" s="85">
        <f>STATS1003B!I2750/1000</f>
        <v>0</v>
      </c>
      <c r="J2742" s="85">
        <f>STATS1003B!J2750/1000</f>
        <v>0</v>
      </c>
      <c r="K2742" s="85">
        <f>STATS1003B!K2750/1000</f>
        <v>0</v>
      </c>
      <c r="L2742" s="85">
        <f>STATS1003B!L2750/1000</f>
        <v>0</v>
      </c>
      <c r="M2742" s="85">
        <f>STATS1003B!M2750/1000</f>
        <v>7321.83979</v>
      </c>
      <c r="N2742" s="85">
        <f>STATS1003B!N2750/1000</f>
        <v>0</v>
      </c>
      <c r="O2742" s="85">
        <f>STATS1003B!O2750/1000</f>
        <v>0</v>
      </c>
      <c r="P2742" s="85">
        <f>STATS1003B!P2750/1000</f>
        <v>0</v>
      </c>
      <c r="Q2742" s="85">
        <f>STATS1003B!Q2750/1000</f>
        <v>0</v>
      </c>
      <c r="R2742" s="85">
        <f>STATS1003B!R2750/1000</f>
        <v>0</v>
      </c>
      <c r="S2742" s="85">
        <f>STATS1003B!S2750/1000</f>
        <v>0</v>
      </c>
      <c r="T2742" s="85">
        <f>STATS1003B!T2750/1000</f>
        <v>0</v>
      </c>
      <c r="U2742" s="85">
        <f>STATS1003B!U2750/1000</f>
        <v>0</v>
      </c>
      <c r="V2742" s="85">
        <f>STATS1003B!V2750/1000</f>
        <v>7321.83979</v>
      </c>
      <c r="W2742" s="85">
        <f>STATS1003B!W2750/1000</f>
        <v>0</v>
      </c>
      <c r="X2742" s="85">
        <f t="shared" si="291"/>
        <v>7321.83979</v>
      </c>
      <c r="Y2742" s="85">
        <f>STATS1003B!Y2750/1000</f>
        <v>0</v>
      </c>
      <c r="Z2742" s="85">
        <f>STATS1003B!Z2750/1000</f>
        <v>0</v>
      </c>
      <c r="AA2742" s="69">
        <f>STATS1003B!AA2750/1000</f>
        <v>7321.83979</v>
      </c>
      <c r="AB2742" s="69">
        <f>STATS1003B!AB2750/1000</f>
        <v>0</v>
      </c>
    </row>
    <row r="2743" spans="1:28" hidden="1" x14ac:dyDescent="0.3">
      <c r="A2743" s="117"/>
      <c r="C2743" s="71" t="s">
        <v>1176</v>
      </c>
      <c r="D2743" s="89" t="s">
        <v>1126</v>
      </c>
      <c r="E2743" s="85">
        <f>STATS1003B!E2751/1000</f>
        <v>2310.04081</v>
      </c>
      <c r="F2743" s="85">
        <f>STATS1003B!F2751/1000</f>
        <v>2310.04081</v>
      </c>
      <c r="G2743" s="85">
        <f>STATS1003B!G2751/1000</f>
        <v>0</v>
      </c>
      <c r="H2743" s="85">
        <f>STATS1003B!H2751/1000</f>
        <v>2310.04081</v>
      </c>
      <c r="I2743" s="85">
        <f>STATS1003B!I2751/1000</f>
        <v>0</v>
      </c>
      <c r="J2743" s="85">
        <f>STATS1003B!J2751/1000</f>
        <v>0</v>
      </c>
      <c r="K2743" s="85">
        <f>STATS1003B!K2751/1000</f>
        <v>0</v>
      </c>
      <c r="L2743" s="85">
        <f>STATS1003B!L2751/1000</f>
        <v>0</v>
      </c>
      <c r="M2743" s="85">
        <f>STATS1003B!M2751/1000</f>
        <v>2310.04081</v>
      </c>
      <c r="N2743" s="85">
        <f>STATS1003B!N2751/1000</f>
        <v>0</v>
      </c>
      <c r="O2743" s="85">
        <f>STATS1003B!O2751/1000</f>
        <v>0</v>
      </c>
      <c r="P2743" s="85">
        <f>STATS1003B!P2751/1000</f>
        <v>0</v>
      </c>
      <c r="Q2743" s="85">
        <f>STATS1003B!Q2751/1000</f>
        <v>0</v>
      </c>
      <c r="R2743" s="85">
        <f>STATS1003B!R2751/1000</f>
        <v>0</v>
      </c>
      <c r="S2743" s="85">
        <f>STATS1003B!S2751/1000</f>
        <v>0</v>
      </c>
      <c r="T2743" s="85">
        <f>STATS1003B!T2751/1000</f>
        <v>0</v>
      </c>
      <c r="U2743" s="85">
        <f>STATS1003B!U2751/1000</f>
        <v>0</v>
      </c>
      <c r="V2743" s="85">
        <f>STATS1003B!V2751/1000</f>
        <v>0</v>
      </c>
      <c r="W2743" s="85">
        <f>STATS1003B!W2751/1000</f>
        <v>0</v>
      </c>
      <c r="X2743" s="85">
        <f t="shared" si="291"/>
        <v>2310.04081</v>
      </c>
      <c r="Y2743" s="85">
        <f>STATS1003B!Y2751/1000</f>
        <v>0</v>
      </c>
      <c r="Z2743" s="85">
        <f>STATS1003B!Z2751/1000</f>
        <v>0</v>
      </c>
      <c r="AA2743" s="69">
        <f>STATS1003B!AA2751/1000</f>
        <v>2310.04081</v>
      </c>
      <c r="AB2743" s="69">
        <f>STATS1003B!AB2751/1000</f>
        <v>0</v>
      </c>
    </row>
    <row r="2744" spans="1:28" hidden="1" x14ac:dyDescent="0.3">
      <c r="A2744" s="117"/>
      <c r="C2744" s="71" t="s">
        <v>1260</v>
      </c>
      <c r="D2744" s="89" t="s">
        <v>1225</v>
      </c>
      <c r="E2744" s="85">
        <f>STATS1003B!E2752/1000</f>
        <v>1652.0658899999999</v>
      </c>
      <c r="F2744" s="85">
        <f>STATS1003B!F2752/1000</f>
        <v>0</v>
      </c>
      <c r="G2744" s="85">
        <f>STATS1003B!G2752/1000</f>
        <v>1652.0658899999999</v>
      </c>
      <c r="H2744" s="85">
        <f>STATS1003B!H2752/1000</f>
        <v>1652.0658899999999</v>
      </c>
      <c r="I2744" s="85">
        <f>STATS1003B!I2752/1000</f>
        <v>0</v>
      </c>
      <c r="J2744" s="85">
        <f>STATS1003B!J2752/1000</f>
        <v>0</v>
      </c>
      <c r="K2744" s="85">
        <f>STATS1003B!K2752/1000</f>
        <v>0</v>
      </c>
      <c r="L2744" s="85">
        <f>STATS1003B!L2752/1000</f>
        <v>0</v>
      </c>
      <c r="M2744" s="85">
        <f>STATS1003B!M2752/1000</f>
        <v>1652.0658899999999</v>
      </c>
      <c r="N2744" s="85">
        <f>STATS1003B!N2752/1000</f>
        <v>0</v>
      </c>
      <c r="O2744" s="85">
        <f>STATS1003B!O2752/1000</f>
        <v>0</v>
      </c>
      <c r="P2744" s="85">
        <f>STATS1003B!P2752/1000</f>
        <v>0</v>
      </c>
      <c r="Q2744" s="85">
        <f>STATS1003B!Q2752/1000</f>
        <v>0</v>
      </c>
      <c r="R2744" s="85">
        <f>STATS1003B!R2752/1000</f>
        <v>0</v>
      </c>
      <c r="S2744" s="85">
        <f>STATS1003B!S2752/1000</f>
        <v>0</v>
      </c>
      <c r="T2744" s="85">
        <f>STATS1003B!T2752/1000</f>
        <v>0</v>
      </c>
      <c r="U2744" s="85">
        <f>STATS1003B!U2752/1000</f>
        <v>0</v>
      </c>
      <c r="V2744" s="85">
        <f>STATS1003B!V2752/1000</f>
        <v>0</v>
      </c>
      <c r="W2744" s="85">
        <f>STATS1003B!W2752/1000</f>
        <v>0</v>
      </c>
      <c r="X2744" s="85">
        <f t="shared" si="291"/>
        <v>1652.0658899999999</v>
      </c>
      <c r="Y2744" s="85">
        <f>STATS1003B!Y2752/1000</f>
        <v>0</v>
      </c>
      <c r="Z2744" s="85">
        <f>STATS1003B!Z2752/1000</f>
        <v>0</v>
      </c>
      <c r="AA2744" s="69">
        <f>STATS1003B!AA2752/1000</f>
        <v>1652.0658899999999</v>
      </c>
      <c r="AB2744" s="69">
        <f>STATS1003B!AB2752/1000</f>
        <v>0</v>
      </c>
    </row>
    <row r="2745" spans="1:28" hidden="1" x14ac:dyDescent="0.3">
      <c r="A2745" s="117"/>
      <c r="C2745" s="71" t="s">
        <v>434</v>
      </c>
      <c r="E2745" s="85">
        <f>STATS1003B!E2753/1000</f>
        <v>46.7</v>
      </c>
      <c r="F2745" s="85">
        <f>STATS1003B!F2753/1000</f>
        <v>46.7</v>
      </c>
      <c r="G2745" s="85">
        <f>STATS1003B!G2753/1000</f>
        <v>0</v>
      </c>
      <c r="H2745" s="85">
        <f>STATS1003B!H2753/1000</f>
        <v>46.7</v>
      </c>
      <c r="I2745" s="85">
        <f>STATS1003B!I2753/1000</f>
        <v>0</v>
      </c>
      <c r="J2745" s="85">
        <f>STATS1003B!J2753/1000</f>
        <v>0</v>
      </c>
      <c r="K2745" s="85">
        <f>STATS1003B!K2753/1000</f>
        <v>0</v>
      </c>
      <c r="L2745" s="85">
        <f>STATS1003B!L2753/1000</f>
        <v>0</v>
      </c>
      <c r="M2745" s="85">
        <f>STATS1003B!M2753/1000</f>
        <v>46.7</v>
      </c>
      <c r="N2745" s="85">
        <f>STATS1003B!N2753/1000</f>
        <v>0</v>
      </c>
      <c r="O2745" s="85">
        <f>STATS1003B!O2753/1000</f>
        <v>0</v>
      </c>
      <c r="P2745" s="85">
        <f>STATS1003B!P2753/1000</f>
        <v>0</v>
      </c>
      <c r="Q2745" s="85">
        <f>STATS1003B!Q2753/1000</f>
        <v>0</v>
      </c>
      <c r="R2745" s="85">
        <f>STATS1003B!R2753/1000</f>
        <v>0</v>
      </c>
      <c r="S2745" s="85">
        <f>STATS1003B!S2753/1000</f>
        <v>0</v>
      </c>
      <c r="T2745" s="85">
        <f>STATS1003B!T2753/1000</f>
        <v>0</v>
      </c>
      <c r="U2745" s="85">
        <f>STATS1003B!U2753/1000</f>
        <v>0</v>
      </c>
      <c r="V2745" s="85">
        <f>STATS1003B!V2753/1000</f>
        <v>46.7</v>
      </c>
      <c r="W2745" s="85">
        <f>STATS1003B!W2753/1000</f>
        <v>0</v>
      </c>
      <c r="X2745" s="85">
        <f t="shared" si="291"/>
        <v>46.7</v>
      </c>
      <c r="Y2745" s="85">
        <f>STATS1003B!Y2753/1000</f>
        <v>0</v>
      </c>
      <c r="Z2745" s="85">
        <f>STATS1003B!Z2753/1000</f>
        <v>0</v>
      </c>
      <c r="AA2745" s="69">
        <f>STATS1003B!AA2753/1000</f>
        <v>46.7</v>
      </c>
      <c r="AB2745" s="69">
        <f>STATS1003B!AB2753/1000</f>
        <v>0</v>
      </c>
    </row>
    <row r="2746" spans="1:28" hidden="1" x14ac:dyDescent="0.3">
      <c r="A2746" s="117"/>
      <c r="C2746" s="71" t="s">
        <v>430</v>
      </c>
      <c r="E2746" s="85">
        <f>STATS1003B!E2754/1000</f>
        <v>100</v>
      </c>
      <c r="F2746" s="85">
        <f>STATS1003B!F2754/1000</f>
        <v>0</v>
      </c>
      <c r="G2746" s="85">
        <f>STATS1003B!G2754/1000</f>
        <v>0</v>
      </c>
      <c r="H2746" s="85">
        <f>STATS1003B!H2754/1000</f>
        <v>0</v>
      </c>
      <c r="I2746" s="85">
        <f>STATS1003B!I2754/1000</f>
        <v>0</v>
      </c>
      <c r="J2746" s="85">
        <f>STATS1003B!J2754/1000</f>
        <v>0</v>
      </c>
      <c r="K2746" s="85">
        <f>STATS1003B!K2754/1000</f>
        <v>0</v>
      </c>
      <c r="L2746" s="85">
        <f>STATS1003B!L2754/1000</f>
        <v>0</v>
      </c>
      <c r="M2746" s="85">
        <f>STATS1003B!M2754/1000</f>
        <v>0</v>
      </c>
      <c r="N2746" s="85">
        <f>STATS1003B!N2754/1000</f>
        <v>0</v>
      </c>
      <c r="O2746" s="85">
        <f>STATS1003B!O2754/1000</f>
        <v>0</v>
      </c>
      <c r="P2746" s="85">
        <f>STATS1003B!P2754/1000</f>
        <v>0</v>
      </c>
      <c r="Q2746" s="85">
        <f>STATS1003B!Q2754/1000</f>
        <v>0</v>
      </c>
      <c r="R2746" s="85">
        <f>STATS1003B!R2754/1000</f>
        <v>0</v>
      </c>
      <c r="S2746" s="85">
        <f>STATS1003B!S2754/1000</f>
        <v>0</v>
      </c>
      <c r="T2746" s="85">
        <f>STATS1003B!T2754/1000</f>
        <v>0</v>
      </c>
      <c r="U2746" s="85">
        <f>STATS1003B!U2754/1000</f>
        <v>0</v>
      </c>
      <c r="V2746" s="85">
        <f>STATS1003B!V2754/1000</f>
        <v>0</v>
      </c>
      <c r="W2746" s="85">
        <f>STATS1003B!W2754/1000</f>
        <v>100</v>
      </c>
      <c r="X2746" s="85">
        <f t="shared" si="291"/>
        <v>0</v>
      </c>
      <c r="Y2746" s="85">
        <f>STATS1003B!Y2754/1000</f>
        <v>0</v>
      </c>
      <c r="Z2746" s="85">
        <f>STATS1003B!Z2754/1000</f>
        <v>100</v>
      </c>
      <c r="AA2746" s="69">
        <f>STATS1003B!AA2754/1000</f>
        <v>0</v>
      </c>
      <c r="AB2746" s="69">
        <f>STATS1003B!AB2754/1000</f>
        <v>100</v>
      </c>
    </row>
    <row r="2747" spans="1:28" hidden="1" x14ac:dyDescent="0.3">
      <c r="A2747" s="117"/>
      <c r="C2747" s="71" t="s">
        <v>485</v>
      </c>
      <c r="E2747" s="85">
        <f>STATS1003B!E2755/1000</f>
        <v>2002.883</v>
      </c>
      <c r="F2747" s="85">
        <f>STATS1003B!F2755/1000</f>
        <v>2002.883</v>
      </c>
      <c r="G2747" s="85">
        <f>STATS1003B!G2755/1000</f>
        <v>0</v>
      </c>
      <c r="H2747" s="85">
        <f>STATS1003B!H2755/1000</f>
        <v>2002.883</v>
      </c>
      <c r="I2747" s="85">
        <f>STATS1003B!I2755/1000</f>
        <v>0</v>
      </c>
      <c r="J2747" s="85">
        <f>STATS1003B!J2755/1000</f>
        <v>0</v>
      </c>
      <c r="K2747" s="85">
        <f>STATS1003B!K2755/1000</f>
        <v>0</v>
      </c>
      <c r="L2747" s="85">
        <f>STATS1003B!L2755/1000</f>
        <v>0</v>
      </c>
      <c r="M2747" s="85">
        <f>STATS1003B!M2755/1000</f>
        <v>2002.883</v>
      </c>
      <c r="N2747" s="85">
        <f>STATS1003B!N2755/1000</f>
        <v>0</v>
      </c>
      <c r="O2747" s="85">
        <f>STATS1003B!O2755/1000</f>
        <v>0</v>
      </c>
      <c r="P2747" s="85">
        <f>STATS1003B!P2755/1000</f>
        <v>0</v>
      </c>
      <c r="Q2747" s="85">
        <f>STATS1003B!Q2755/1000</f>
        <v>0</v>
      </c>
      <c r="R2747" s="85">
        <f>STATS1003B!R2755/1000</f>
        <v>0</v>
      </c>
      <c r="S2747" s="85">
        <f>STATS1003B!S2755/1000</f>
        <v>0</v>
      </c>
      <c r="T2747" s="85">
        <f>STATS1003B!T2755/1000</f>
        <v>0</v>
      </c>
      <c r="U2747" s="85">
        <f>STATS1003B!U2755/1000</f>
        <v>0</v>
      </c>
      <c r="V2747" s="85">
        <f>STATS1003B!V2755/1000</f>
        <v>2002.883</v>
      </c>
      <c r="W2747" s="85">
        <f>STATS1003B!W2755/1000</f>
        <v>0</v>
      </c>
      <c r="X2747" s="85">
        <f>+H2747+P2747</f>
        <v>2002.883</v>
      </c>
      <c r="Y2747" s="85">
        <f>STATS1003B!Y2755/1000</f>
        <v>0</v>
      </c>
      <c r="Z2747" s="85">
        <f>STATS1003B!Z2755/1000</f>
        <v>0</v>
      </c>
      <c r="AA2747" s="69">
        <f>STATS1003B!AA2755/1000</f>
        <v>2002.883</v>
      </c>
      <c r="AB2747" s="69">
        <f>STATS1003B!AB2755/1000</f>
        <v>0</v>
      </c>
    </row>
    <row r="2748" spans="1:28" hidden="1" x14ac:dyDescent="0.3">
      <c r="A2748" s="117"/>
      <c r="C2748" s="71" t="s">
        <v>109</v>
      </c>
      <c r="E2748" s="85">
        <f>STATS1003B!E2756/1000</f>
        <v>2500</v>
      </c>
      <c r="F2748" s="85">
        <f>STATS1003B!F2756/1000</f>
        <v>2500</v>
      </c>
      <c r="G2748" s="85">
        <f>STATS1003B!G2756/1000</f>
        <v>0</v>
      </c>
      <c r="H2748" s="85">
        <f>STATS1003B!H2756/1000</f>
        <v>2500</v>
      </c>
      <c r="I2748" s="85">
        <f>STATS1003B!I2756/1000</f>
        <v>0</v>
      </c>
      <c r="J2748" s="85">
        <f>STATS1003B!J2756/1000</f>
        <v>0</v>
      </c>
      <c r="K2748" s="85">
        <f>STATS1003B!K2756/1000</f>
        <v>0</v>
      </c>
      <c r="L2748" s="85">
        <f>STATS1003B!L2756/1000</f>
        <v>0</v>
      </c>
      <c r="M2748" s="85">
        <f>STATS1003B!M2756/1000</f>
        <v>2500</v>
      </c>
      <c r="N2748" s="85">
        <f>STATS1003B!N2756/1000</f>
        <v>0</v>
      </c>
      <c r="O2748" s="85">
        <f>STATS1003B!O2756/1000</f>
        <v>0</v>
      </c>
      <c r="P2748" s="85">
        <f>STATS1003B!P2756/1000</f>
        <v>0</v>
      </c>
      <c r="Q2748" s="85">
        <f>STATS1003B!Q2756/1000</f>
        <v>0</v>
      </c>
      <c r="R2748" s="85">
        <f>STATS1003B!R2756/1000</f>
        <v>0</v>
      </c>
      <c r="S2748" s="85">
        <f>STATS1003B!S2756/1000</f>
        <v>0</v>
      </c>
      <c r="T2748" s="85">
        <f>STATS1003B!T2756/1000</f>
        <v>0</v>
      </c>
      <c r="U2748" s="85">
        <f>STATS1003B!U2756/1000</f>
        <v>0</v>
      </c>
      <c r="V2748" s="85">
        <f>STATS1003B!V2756/1000</f>
        <v>2500</v>
      </c>
      <c r="W2748" s="85">
        <f>STATS1003B!W2756/1000</f>
        <v>0</v>
      </c>
      <c r="X2748" s="85">
        <f>+H2748+P2748</f>
        <v>2500</v>
      </c>
      <c r="Y2748" s="85">
        <f>STATS1003B!Y2756/1000</f>
        <v>0</v>
      </c>
      <c r="Z2748" s="85">
        <f>STATS1003B!Z2756/1000</f>
        <v>0</v>
      </c>
      <c r="AA2748" s="69">
        <f>STATS1003B!AA2756/1000</f>
        <v>2500</v>
      </c>
      <c r="AB2748" s="69">
        <f>STATS1003B!AB2756/1000</f>
        <v>0</v>
      </c>
    </row>
    <row r="2749" spans="1:28" hidden="1" x14ac:dyDescent="0.3">
      <c r="A2749" s="117"/>
      <c r="E2749" s="86" t="s">
        <v>29</v>
      </c>
      <c r="F2749" s="86" t="s">
        <v>29</v>
      </c>
      <c r="G2749" s="86" t="s">
        <v>29</v>
      </c>
      <c r="H2749" s="86" t="s">
        <v>29</v>
      </c>
      <c r="I2749" s="86" t="s">
        <v>29</v>
      </c>
      <c r="J2749" s="86" t="s">
        <v>29</v>
      </c>
      <c r="K2749" s="86" t="s">
        <v>29</v>
      </c>
      <c r="L2749" s="86" t="s">
        <v>29</v>
      </c>
      <c r="M2749" s="86" t="s">
        <v>29</v>
      </c>
      <c r="N2749" s="86" t="s">
        <v>29</v>
      </c>
      <c r="O2749" s="86" t="s">
        <v>29</v>
      </c>
      <c r="P2749" s="86" t="s">
        <v>29</v>
      </c>
      <c r="Q2749" s="86" t="s">
        <v>29</v>
      </c>
      <c r="R2749" s="86" t="s">
        <v>29</v>
      </c>
      <c r="S2749" s="86" t="s">
        <v>29</v>
      </c>
      <c r="T2749" s="86" t="s">
        <v>29</v>
      </c>
      <c r="U2749" s="86" t="s">
        <v>29</v>
      </c>
      <c r="V2749" s="86" t="s">
        <v>29</v>
      </c>
      <c r="W2749" s="86" t="s">
        <v>29</v>
      </c>
      <c r="X2749" s="85" t="e">
        <f>+H2749+P2749</f>
        <v>#VALUE!</v>
      </c>
      <c r="Y2749" s="86" t="s">
        <v>29</v>
      </c>
      <c r="Z2749" s="86" t="s">
        <v>29</v>
      </c>
      <c r="AA2749" s="115" t="s">
        <v>29</v>
      </c>
      <c r="AB2749" s="115" t="s">
        <v>29</v>
      </c>
    </row>
    <row r="2750" spans="1:28" x14ac:dyDescent="0.3">
      <c r="A2750" s="116">
        <v>119</v>
      </c>
      <c r="B2750" s="71" t="s">
        <v>479</v>
      </c>
      <c r="E2750" s="85">
        <f>190713029.77/1000</f>
        <v>190713.02977000002</v>
      </c>
      <c r="F2750" s="85">
        <f t="shared" ref="F2750:AB2750" si="295">SUM(F2731:F2748)</f>
        <v>58877.011949999993</v>
      </c>
      <c r="G2750" s="85">
        <f t="shared" si="295"/>
        <v>1652.0658899999999</v>
      </c>
      <c r="H2750" s="85">
        <f>181971283.02/1000</f>
        <v>181971.28302</v>
      </c>
      <c r="I2750" s="85">
        <f t="shared" si="295"/>
        <v>1462.4718</v>
      </c>
      <c r="J2750" s="85">
        <f t="shared" si="295"/>
        <v>1462.4718</v>
      </c>
      <c r="K2750" s="85">
        <f t="shared" si="295"/>
        <v>0</v>
      </c>
      <c r="L2750" s="85">
        <f t="shared" si="295"/>
        <v>0</v>
      </c>
      <c r="M2750" s="85">
        <f t="shared" si="295"/>
        <v>60529.077839999991</v>
      </c>
      <c r="N2750" s="85">
        <f t="shared" si="295"/>
        <v>8031.5318900000002</v>
      </c>
      <c r="O2750" s="85">
        <f t="shared" si="295"/>
        <v>0</v>
      </c>
      <c r="P2750" s="85">
        <f>8031531/1000</f>
        <v>8031.5309999999999</v>
      </c>
      <c r="Q2750" s="85">
        <f t="shared" si="295"/>
        <v>185.8767</v>
      </c>
      <c r="R2750" s="85">
        <f t="shared" si="295"/>
        <v>0</v>
      </c>
      <c r="S2750" s="85">
        <f t="shared" si="295"/>
        <v>3.91716</v>
      </c>
      <c r="T2750" s="85">
        <f t="shared" si="295"/>
        <v>189.79386</v>
      </c>
      <c r="U2750" s="85">
        <f t="shared" si="295"/>
        <v>8221.32575</v>
      </c>
      <c r="V2750" s="85">
        <f t="shared" si="295"/>
        <v>64598.50303</v>
      </c>
      <c r="W2750" s="85">
        <f t="shared" si="295"/>
        <v>710.21485999999936</v>
      </c>
      <c r="X2750" s="85">
        <f>+H2750+P2750</f>
        <v>190002.81401999999</v>
      </c>
      <c r="Y2750" s="85">
        <f t="shared" si="295"/>
        <v>0</v>
      </c>
      <c r="Z2750" s="85">
        <f>+E2750-X2750</f>
        <v>710.21575000003213</v>
      </c>
      <c r="AA2750" s="72">
        <f t="shared" si="295"/>
        <v>68750.403589999987</v>
      </c>
      <c r="AB2750" s="72">
        <f t="shared" si="295"/>
        <v>520.42100000000005</v>
      </c>
    </row>
    <row r="2751" spans="1:28" x14ac:dyDescent="0.3">
      <c r="A2751" s="117"/>
      <c r="E2751" s="86"/>
      <c r="F2751" s="86"/>
      <c r="G2751" s="86"/>
      <c r="H2751" s="86"/>
      <c r="I2751" s="86"/>
      <c r="J2751" s="86"/>
      <c r="K2751" s="86"/>
      <c r="L2751" s="86"/>
      <c r="M2751" s="86"/>
      <c r="N2751" s="86"/>
      <c r="O2751" s="86"/>
      <c r="P2751" s="86"/>
      <c r="Q2751" s="86"/>
      <c r="R2751" s="86"/>
      <c r="S2751" s="86"/>
      <c r="T2751" s="86"/>
      <c r="U2751" s="86"/>
      <c r="V2751" s="86"/>
      <c r="W2751" s="86"/>
      <c r="X2751" s="86"/>
      <c r="Y2751" s="86"/>
      <c r="Z2751" s="86"/>
      <c r="AA2751" s="115" t="s">
        <v>29</v>
      </c>
      <c r="AB2751" s="115" t="s">
        <v>29</v>
      </c>
    </row>
    <row r="2752" spans="1:28" s="106" customFormat="1" x14ac:dyDescent="0.3">
      <c r="A2752" s="64"/>
      <c r="B2752" s="8"/>
      <c r="C2752" s="7" t="s">
        <v>3</v>
      </c>
      <c r="D2752" s="8"/>
      <c r="E2752" s="82">
        <f t="shared" ref="E2752:AB2752" si="296">E2750+E2728+E2704+E2683</f>
        <v>696910.62749999994</v>
      </c>
      <c r="F2752" s="82">
        <f t="shared" si="296"/>
        <v>219218.96695999999</v>
      </c>
      <c r="G2752" s="82">
        <f t="shared" si="296"/>
        <v>1652.0658899999999</v>
      </c>
      <c r="H2752" s="82">
        <f t="shared" si="296"/>
        <v>667495.78004999994</v>
      </c>
      <c r="I2752" s="82">
        <f t="shared" si="296"/>
        <v>1462.4718</v>
      </c>
      <c r="J2752" s="82">
        <f t="shared" si="296"/>
        <v>1462.4718</v>
      </c>
      <c r="K2752" s="82">
        <f t="shared" si="296"/>
        <v>0</v>
      </c>
      <c r="L2752" s="82">
        <f t="shared" si="296"/>
        <v>0</v>
      </c>
      <c r="M2752" s="82">
        <f t="shared" si="296"/>
        <v>220871.03284999999</v>
      </c>
      <c r="N2752" s="82">
        <f t="shared" si="296"/>
        <v>27903.125039999999</v>
      </c>
      <c r="O2752" s="82">
        <f t="shared" si="296"/>
        <v>0</v>
      </c>
      <c r="P2752" s="82">
        <f t="shared" si="296"/>
        <v>27903.123</v>
      </c>
      <c r="Q2752" s="82">
        <f t="shared" si="296"/>
        <v>229.30132</v>
      </c>
      <c r="R2752" s="82">
        <f t="shared" si="296"/>
        <v>0</v>
      </c>
      <c r="S2752" s="82">
        <f t="shared" si="296"/>
        <v>3.91716</v>
      </c>
      <c r="T2752" s="82">
        <f t="shared" si="296"/>
        <v>191.30141</v>
      </c>
      <c r="U2752" s="82">
        <f t="shared" si="296"/>
        <v>28094.426449999999</v>
      </c>
      <c r="V2752" s="82">
        <f t="shared" si="296"/>
        <v>193745.60287</v>
      </c>
      <c r="W2752" s="82">
        <f t="shared" si="296"/>
        <v>1511.7224099999996</v>
      </c>
      <c r="X2752" s="82">
        <f t="shared" si="296"/>
        <v>695398.90304999996</v>
      </c>
      <c r="Y2752" s="82">
        <f t="shared" si="296"/>
        <v>0</v>
      </c>
      <c r="Z2752" s="82">
        <f t="shared" si="296"/>
        <v>1511.7244500000088</v>
      </c>
      <c r="AA2752" s="9">
        <f t="shared" si="296"/>
        <v>248965.45930000002</v>
      </c>
      <c r="AB2752" s="9">
        <f t="shared" si="296"/>
        <v>1320.421</v>
      </c>
    </row>
    <row r="2753" spans="1:31" x14ac:dyDescent="0.3">
      <c r="A2753" s="73"/>
      <c r="E2753" s="127"/>
      <c r="F2753" s="127"/>
      <c r="G2753" s="127"/>
      <c r="H2753" s="127"/>
      <c r="I2753" s="127"/>
      <c r="J2753" s="127"/>
      <c r="K2753" s="127"/>
      <c r="L2753" s="127"/>
      <c r="M2753" s="127"/>
      <c r="N2753" s="127"/>
      <c r="O2753" s="127"/>
      <c r="P2753" s="127"/>
      <c r="Q2753" s="127"/>
      <c r="R2753" s="127"/>
      <c r="S2753" s="127"/>
      <c r="T2753" s="127"/>
      <c r="U2753" s="127"/>
      <c r="V2753" s="127"/>
      <c r="W2753" s="127"/>
      <c r="X2753" s="127"/>
      <c r="Y2753" s="86"/>
      <c r="Z2753" s="127"/>
      <c r="AA2753" s="115" t="s">
        <v>114</v>
      </c>
      <c r="AB2753" s="115" t="s">
        <v>114</v>
      </c>
    </row>
    <row r="2754" spans="1:31" x14ac:dyDescent="0.3">
      <c r="A2754" s="73"/>
      <c r="E2754" s="84"/>
      <c r="F2754" s="84"/>
      <c r="G2754" s="84"/>
      <c r="H2754" s="84"/>
      <c r="I2754" s="84"/>
      <c r="J2754" s="84"/>
      <c r="K2754" s="84"/>
      <c r="L2754" s="84"/>
      <c r="M2754" s="84"/>
      <c r="N2754" s="84"/>
      <c r="O2754" s="84"/>
      <c r="P2754" s="84"/>
      <c r="Q2754" s="84"/>
      <c r="R2754" s="84"/>
      <c r="S2754" s="84"/>
      <c r="T2754" s="84"/>
      <c r="U2754" s="84"/>
      <c r="V2754" s="84"/>
      <c r="W2754" s="84"/>
      <c r="X2754" s="84"/>
      <c r="Y2754" s="84"/>
      <c r="Z2754" s="84"/>
    </row>
    <row r="2755" spans="1:31" ht="21" thickBot="1" x14ac:dyDescent="0.35">
      <c r="A2755" s="73"/>
      <c r="C2755" s="7" t="s">
        <v>487</v>
      </c>
      <c r="D2755" s="8"/>
      <c r="E2755" s="102">
        <f>E132+E237+E421+E640+E961+E1190+E1543+E1739+E1969+E2081+E2294+E2448+E2567+E2660+E2752</f>
        <v>16294643.483410001</v>
      </c>
      <c r="F2755" s="102">
        <f t="shared" ref="F2755:W2755" si="297">F132+F237+F421+F640+F961+F1190+F1543+F1739+F1969+F2081+F2294+F2448+F2567+F2660+F2752</f>
        <v>5486815.1096679987</v>
      </c>
      <c r="G2755" s="102">
        <f t="shared" si="297"/>
        <v>107946.47616000001</v>
      </c>
      <c r="H2755" s="102">
        <f>H132+H237+H421+H640+H961+H1190+H1543+H1739+H1969+H2081+H2294+H2448+H2567+H2660+H2752</f>
        <v>15385653.826990003</v>
      </c>
      <c r="I2755" s="102" t="e">
        <f t="shared" si="297"/>
        <v>#VALUE!</v>
      </c>
      <c r="J2755" s="102">
        <f t="shared" si="297"/>
        <v>2292650.9161430001</v>
      </c>
      <c r="K2755" s="102">
        <f t="shared" si="297"/>
        <v>410207.27788000007</v>
      </c>
      <c r="L2755" s="102">
        <f t="shared" si="297"/>
        <v>30674.586769999998</v>
      </c>
      <c r="M2755" s="102">
        <f t="shared" si="297"/>
        <v>5625436.1725979997</v>
      </c>
      <c r="N2755" s="102">
        <f t="shared" si="297"/>
        <v>721775.5228299998</v>
      </c>
      <c r="O2755" s="102">
        <f t="shared" si="297"/>
        <v>0</v>
      </c>
      <c r="P2755" s="102">
        <f t="shared" si="297"/>
        <v>721775.49768000003</v>
      </c>
      <c r="Q2755" s="102">
        <f t="shared" si="297"/>
        <v>1962986.8315800002</v>
      </c>
      <c r="R2755" s="102">
        <f t="shared" si="297"/>
        <v>-63832.158810000008</v>
      </c>
      <c r="S2755" s="102">
        <f t="shared" si="297"/>
        <v>125.80633</v>
      </c>
      <c r="T2755" s="102">
        <f t="shared" si="297"/>
        <v>14597.769369999998</v>
      </c>
      <c r="U2755" s="102">
        <f t="shared" si="297"/>
        <v>736373.29168999998</v>
      </c>
      <c r="V2755" s="102">
        <f t="shared" si="297"/>
        <v>4350675.9088479998</v>
      </c>
      <c r="W2755" s="102">
        <f t="shared" si="297"/>
        <v>174011.75282199995</v>
      </c>
      <c r="X2755" s="102">
        <f>+H2755+P2755</f>
        <v>16107429.324670002</v>
      </c>
      <c r="Y2755" s="103"/>
      <c r="Z2755" s="102">
        <f>+E2755-X2755</f>
        <v>187214.15873999894</v>
      </c>
      <c r="AA2755" s="6">
        <f>+M2755+U2755</f>
        <v>6361809.464288</v>
      </c>
      <c r="AB2755" s="6">
        <f>+E2755-AA2755</f>
        <v>9932834.0191220008</v>
      </c>
    </row>
    <row r="2756" spans="1:31" ht="21" thickTop="1" x14ac:dyDescent="0.3">
      <c r="A2756" s="73"/>
      <c r="E2756" s="128">
        <f>+E2755-E2885</f>
        <v>0.95240000076591969</v>
      </c>
      <c r="F2756" s="128"/>
      <c r="G2756" s="128"/>
      <c r="H2756" s="128">
        <f t="shared" ref="H2756:Z2756" si="298">+H2755-H2885</f>
        <v>0.24141000770032406</v>
      </c>
      <c r="I2756" s="128" t="e">
        <f t="shared" si="298"/>
        <v>#VALUE!</v>
      </c>
      <c r="J2756" s="128" t="e">
        <f t="shared" si="298"/>
        <v>#VALUE!</v>
      </c>
      <c r="K2756" s="128" t="e">
        <f t="shared" si="298"/>
        <v>#VALUE!</v>
      </c>
      <c r="L2756" s="128">
        <f t="shared" si="298"/>
        <v>0</v>
      </c>
      <c r="M2756" s="128">
        <f t="shared" si="298"/>
        <v>3978.8636280009523</v>
      </c>
      <c r="N2756" s="128">
        <f t="shared" si="298"/>
        <v>0</v>
      </c>
      <c r="O2756" s="128">
        <f t="shared" si="298"/>
        <v>0</v>
      </c>
      <c r="P2756" s="128">
        <f t="shared" si="298"/>
        <v>0.48068000003695488</v>
      </c>
      <c r="Q2756" s="128" t="e">
        <f t="shared" si="298"/>
        <v>#VALUE!</v>
      </c>
      <c r="R2756" s="128" t="e">
        <f t="shared" si="298"/>
        <v>#VALUE!</v>
      </c>
      <c r="S2756" s="128" t="e">
        <f t="shared" si="298"/>
        <v>#VALUE!</v>
      </c>
      <c r="T2756" s="128">
        <f t="shared" si="298"/>
        <v>0</v>
      </c>
      <c r="U2756" s="128">
        <f t="shared" si="298"/>
        <v>-5.0999992527067661E-4</v>
      </c>
      <c r="V2756" s="128" t="e">
        <f t="shared" si="298"/>
        <v>#VALUE!</v>
      </c>
      <c r="W2756" s="128" t="e">
        <f t="shared" si="298"/>
        <v>#VALUE!</v>
      </c>
      <c r="X2756" s="128">
        <f t="shared" si="298"/>
        <v>0.72209000214934349</v>
      </c>
      <c r="Y2756" s="128" t="e">
        <f t="shared" si="298"/>
        <v>#VALUE!</v>
      </c>
      <c r="Z2756" s="128">
        <f t="shared" si="298"/>
        <v>0.15873999893665314</v>
      </c>
      <c r="AA2756" s="115" t="s">
        <v>488</v>
      </c>
      <c r="AB2756" s="115" t="s">
        <v>488</v>
      </c>
    </row>
    <row r="2757" spans="1:31" x14ac:dyDescent="0.3">
      <c r="A2757" s="73"/>
      <c r="E2757" s="84"/>
      <c r="F2757" s="94"/>
      <c r="G2757" s="129"/>
      <c r="H2757" s="130"/>
      <c r="I2757" s="92"/>
      <c r="J2757" s="92"/>
      <c r="K2757" s="92"/>
      <c r="L2757" s="92"/>
      <c r="M2757" s="92"/>
      <c r="N2757" s="92"/>
      <c r="O2757" s="131"/>
      <c r="P2757" s="130"/>
      <c r="Q2757" s="92"/>
      <c r="R2757" s="92"/>
      <c r="S2757" s="92"/>
      <c r="T2757" s="92"/>
      <c r="U2757" s="92"/>
      <c r="V2757" s="92"/>
      <c r="W2757" s="92"/>
      <c r="X2757" s="85"/>
      <c r="Y2757" s="84"/>
      <c r="Z2757" s="85"/>
      <c r="AA2757" s="118"/>
    </row>
    <row r="2758" spans="1:31" x14ac:dyDescent="0.3">
      <c r="A2758" s="73"/>
      <c r="E2758" s="84"/>
      <c r="F2758" s="94"/>
      <c r="G2758" s="132"/>
      <c r="H2758" s="130"/>
      <c r="I2758" s="92"/>
      <c r="J2758" s="92"/>
      <c r="K2758" s="92"/>
      <c r="L2758" s="92"/>
      <c r="M2758" s="92"/>
      <c r="N2758" s="92"/>
      <c r="O2758" s="133"/>
      <c r="P2758" s="130"/>
      <c r="Q2758" s="92"/>
      <c r="R2758" s="92"/>
      <c r="S2758" s="92"/>
      <c r="T2758" s="134"/>
      <c r="U2758" s="92"/>
      <c r="V2758" s="92"/>
      <c r="W2758" s="92"/>
      <c r="X2758" s="85"/>
      <c r="Y2758" s="84"/>
      <c r="Z2758" s="85"/>
    </row>
    <row r="2759" spans="1:31" x14ac:dyDescent="0.3">
      <c r="A2759" s="73"/>
      <c r="E2759" s="84"/>
      <c r="F2759" s="94"/>
      <c r="G2759" s="135"/>
      <c r="H2759" s="136"/>
      <c r="I2759" s="92"/>
      <c r="J2759" s="92"/>
      <c r="K2759" s="92"/>
      <c r="L2759" s="92"/>
      <c r="M2759" s="92"/>
      <c r="N2759" s="92"/>
      <c r="O2759" s="137"/>
      <c r="P2759" s="92"/>
      <c r="Q2759" s="92"/>
      <c r="R2759" s="92"/>
      <c r="S2759" s="92"/>
      <c r="T2759" s="92"/>
      <c r="U2759" s="92"/>
      <c r="V2759" s="92"/>
      <c r="W2759" s="92"/>
      <c r="X2759" s="85"/>
      <c r="Y2759" s="84"/>
      <c r="Z2759" s="85"/>
      <c r="AE2759" s="107">
        <v>0</v>
      </c>
    </row>
    <row r="2760" spans="1:31" x14ac:dyDescent="0.3">
      <c r="A2760" s="73"/>
      <c r="C2760" s="6" t="s">
        <v>1075</v>
      </c>
      <c r="E2760" s="84"/>
      <c r="F2760" s="94"/>
      <c r="G2760" s="92"/>
      <c r="H2760" s="92"/>
      <c r="I2760" s="92"/>
      <c r="J2760" s="92"/>
      <c r="K2760" s="92"/>
      <c r="L2760" s="92"/>
      <c r="M2760" s="92"/>
      <c r="N2760" s="92"/>
      <c r="O2760" s="92"/>
      <c r="P2760" s="92"/>
      <c r="Q2760" s="92"/>
      <c r="R2760" s="92"/>
      <c r="S2760" s="92"/>
      <c r="T2760" s="92"/>
      <c r="U2760" s="92"/>
      <c r="V2760" s="92"/>
      <c r="W2760" s="92"/>
      <c r="X2760" s="85"/>
      <c r="Y2760" s="84"/>
      <c r="Z2760" s="85"/>
    </row>
    <row r="2761" spans="1:31" x14ac:dyDescent="0.3">
      <c r="A2761" s="73"/>
      <c r="E2761" s="84"/>
      <c r="F2761" s="94"/>
      <c r="G2761" s="92"/>
      <c r="H2761" s="92"/>
      <c r="I2761" s="92"/>
      <c r="J2761" s="92"/>
      <c r="K2761" s="92"/>
      <c r="L2761" s="92"/>
      <c r="M2761" s="92"/>
      <c r="N2761" s="92"/>
      <c r="O2761" s="92"/>
      <c r="P2761" s="92"/>
      <c r="Q2761" s="92"/>
      <c r="R2761" s="92"/>
      <c r="S2761" s="92"/>
      <c r="T2761" s="92"/>
      <c r="U2761" s="92"/>
      <c r="V2761" s="92"/>
      <c r="W2761" s="92"/>
      <c r="X2761" s="85"/>
      <c r="Y2761" s="84"/>
      <c r="Z2761" s="85"/>
    </row>
    <row r="2762" spans="1:31" x14ac:dyDescent="0.3">
      <c r="A2762" s="73"/>
      <c r="C2762" s="6" t="s">
        <v>508</v>
      </c>
      <c r="E2762" s="84"/>
      <c r="F2762" s="84"/>
      <c r="G2762" s="84"/>
      <c r="H2762" s="84"/>
      <c r="I2762" s="84"/>
      <c r="J2762" s="84"/>
      <c r="K2762" s="84"/>
      <c r="L2762" s="84"/>
      <c r="M2762" s="84"/>
      <c r="N2762" s="84"/>
      <c r="O2762" s="84"/>
      <c r="P2762" s="84"/>
      <c r="Q2762" s="84"/>
      <c r="R2762" s="84"/>
      <c r="S2762" s="84"/>
      <c r="T2762" s="84"/>
      <c r="U2762" s="84"/>
      <c r="V2762" s="84"/>
      <c r="W2762" s="84"/>
      <c r="X2762" s="84"/>
      <c r="Y2762" s="84"/>
      <c r="Z2762" s="84"/>
    </row>
    <row r="2763" spans="1:31" x14ac:dyDescent="0.3">
      <c r="A2763" s="73"/>
      <c r="E2763" s="84"/>
      <c r="F2763" s="84"/>
      <c r="G2763" s="84"/>
      <c r="H2763" s="84"/>
      <c r="I2763" s="84"/>
      <c r="J2763" s="84"/>
      <c r="K2763" s="84"/>
      <c r="L2763" s="84"/>
      <c r="M2763" s="84"/>
      <c r="N2763" s="84"/>
      <c r="O2763" s="84"/>
      <c r="P2763" s="84"/>
      <c r="Q2763" s="84"/>
      <c r="R2763" s="84"/>
      <c r="S2763" s="84"/>
      <c r="T2763" s="84"/>
      <c r="U2763" s="84"/>
      <c r="V2763" s="84"/>
      <c r="W2763" s="84"/>
      <c r="X2763" s="84"/>
      <c r="Y2763" s="84"/>
      <c r="Z2763" s="84"/>
    </row>
    <row r="2764" spans="1:31" x14ac:dyDescent="0.3">
      <c r="A2764" s="73"/>
      <c r="B2764" s="68" t="s">
        <v>1071</v>
      </c>
      <c r="E2764" s="84"/>
      <c r="F2764" s="84"/>
      <c r="G2764" s="84"/>
      <c r="H2764" s="84"/>
      <c r="I2764" s="84"/>
      <c r="J2764" s="84"/>
      <c r="K2764" s="84"/>
      <c r="L2764" s="84"/>
      <c r="M2764" s="84"/>
      <c r="N2764" s="84"/>
      <c r="O2764" s="84"/>
      <c r="P2764" s="84"/>
      <c r="Q2764" s="84"/>
      <c r="R2764" s="84"/>
      <c r="S2764" s="84"/>
      <c r="T2764" s="84"/>
      <c r="U2764" s="84"/>
      <c r="V2764" s="84"/>
      <c r="W2764" s="84"/>
      <c r="X2764" s="84"/>
      <c r="Y2764" s="84"/>
      <c r="Z2764" s="84"/>
    </row>
    <row r="2765" spans="1:31" x14ac:dyDescent="0.3">
      <c r="A2765" s="73"/>
      <c r="B2765" s="71" t="str">
        <f>+B3</f>
        <v>as</v>
      </c>
      <c r="C2765" s="6" t="str">
        <f>+C3</f>
        <v>of November 30, 2012</v>
      </c>
      <c r="E2765" s="84"/>
      <c r="F2765" s="84"/>
      <c r="G2765" s="84"/>
      <c r="H2765" s="84"/>
      <c r="I2765" s="84"/>
      <c r="J2765" s="84"/>
      <c r="K2765" s="84"/>
      <c r="L2765" s="84"/>
      <c r="M2765" s="84"/>
      <c r="N2765" s="84"/>
      <c r="O2765" s="84"/>
      <c r="P2765" s="84"/>
      <c r="Q2765" s="84"/>
      <c r="R2765" s="84"/>
      <c r="S2765" s="84"/>
      <c r="T2765" s="84"/>
      <c r="U2765" s="84"/>
      <c r="V2765" s="84"/>
      <c r="W2765" s="84"/>
      <c r="X2765" s="84"/>
      <c r="Y2765" s="84"/>
      <c r="Z2765" s="84"/>
    </row>
    <row r="2766" spans="1:31" x14ac:dyDescent="0.3">
      <c r="A2766" s="73"/>
      <c r="D2766" s="69"/>
      <c r="G2766" s="145" t="s">
        <v>1</v>
      </c>
      <c r="H2766" s="69"/>
      <c r="I2766" s="145" t="s">
        <v>2</v>
      </c>
      <c r="K2766" s="145" t="s">
        <v>2</v>
      </c>
      <c r="L2766" s="145" t="s">
        <v>3</v>
      </c>
      <c r="M2766" s="145" t="s">
        <v>3</v>
      </c>
      <c r="O2766" s="145" t="s">
        <v>4</v>
      </c>
      <c r="P2766" s="69"/>
      <c r="S2766" s="145" t="s">
        <v>2</v>
      </c>
      <c r="T2766" s="145" t="s">
        <v>3</v>
      </c>
      <c r="U2766" s="145" t="s">
        <v>3</v>
      </c>
      <c r="V2766" s="145" t="s">
        <v>3</v>
      </c>
      <c r="W2766" s="145" t="s">
        <v>5</v>
      </c>
      <c r="X2766" s="107"/>
      <c r="Y2766" s="107"/>
      <c r="Z2766" s="107"/>
      <c r="AA2766" s="108" t="s">
        <v>1109</v>
      </c>
      <c r="AB2766" s="108" t="s">
        <v>5</v>
      </c>
    </row>
    <row r="2767" spans="1:31" x14ac:dyDescent="0.3">
      <c r="A2767" s="73"/>
      <c r="D2767" s="69"/>
      <c r="E2767" s="145" t="s">
        <v>7</v>
      </c>
      <c r="F2767" s="145" t="s">
        <v>8</v>
      </c>
      <c r="G2767" s="145" t="s">
        <v>9</v>
      </c>
      <c r="H2767" s="146" t="s">
        <v>1282</v>
      </c>
      <c r="I2767" s="146"/>
      <c r="J2767" s="146"/>
      <c r="K2767" s="146"/>
      <c r="L2767" s="146"/>
      <c r="M2767" s="146"/>
      <c r="N2767" s="146"/>
      <c r="O2767" s="146"/>
      <c r="P2767" s="146"/>
      <c r="Q2767" s="145" t="s">
        <v>2</v>
      </c>
      <c r="R2767" s="145" t="s">
        <v>11</v>
      </c>
      <c r="S2767" s="145" t="s">
        <v>12</v>
      </c>
      <c r="T2767" s="145" t="s">
        <v>13</v>
      </c>
      <c r="U2767" s="145" t="s">
        <v>13</v>
      </c>
      <c r="V2767" s="145" t="s">
        <v>9</v>
      </c>
      <c r="W2767" s="145" t="s">
        <v>14</v>
      </c>
      <c r="X2767" s="145" t="s">
        <v>3</v>
      </c>
      <c r="Y2767" s="145" t="s">
        <v>2</v>
      </c>
      <c r="Z2767" s="145" t="s">
        <v>5</v>
      </c>
      <c r="AA2767" s="108" t="s">
        <v>9</v>
      </c>
      <c r="AB2767" s="108" t="s">
        <v>14</v>
      </c>
    </row>
    <row r="2768" spans="1:31" x14ac:dyDescent="0.3">
      <c r="A2768" s="73"/>
      <c r="C2768" s="69"/>
      <c r="D2768" s="69"/>
      <c r="E2768" s="109" t="s">
        <v>18</v>
      </c>
      <c r="F2768" s="109" t="s">
        <v>1254</v>
      </c>
      <c r="G2768" s="109" t="s">
        <v>19</v>
      </c>
      <c r="H2768" s="109" t="s">
        <v>1</v>
      </c>
      <c r="I2768" s="109" t="s">
        <v>21</v>
      </c>
      <c r="J2768" s="109" t="s">
        <v>22</v>
      </c>
      <c r="K2768" s="109" t="s">
        <v>21</v>
      </c>
      <c r="L2768" s="109" t="s">
        <v>2</v>
      </c>
      <c r="M2768" s="109" t="s">
        <v>9</v>
      </c>
      <c r="N2768" s="109" t="str">
        <f>+F2768</f>
        <v>AS OF 04/30/06</v>
      </c>
      <c r="O2768" s="109" t="s">
        <v>21</v>
      </c>
      <c r="P2768" s="109" t="s">
        <v>1268</v>
      </c>
      <c r="Q2768" s="109" t="s">
        <v>23</v>
      </c>
      <c r="R2768" s="109" t="s">
        <v>24</v>
      </c>
      <c r="S2768" s="109" t="s">
        <v>21</v>
      </c>
      <c r="T2768" s="109" t="s">
        <v>2</v>
      </c>
      <c r="U2768" s="109" t="s">
        <v>9</v>
      </c>
      <c r="V2768" s="109" t="s">
        <v>25</v>
      </c>
      <c r="W2768" s="110" t="s">
        <v>26</v>
      </c>
      <c r="X2768" s="109" t="s">
        <v>9</v>
      </c>
      <c r="Y2768" s="109" t="s">
        <v>15</v>
      </c>
      <c r="Z2768" s="109" t="s">
        <v>14</v>
      </c>
      <c r="AA2768" s="108" t="s">
        <v>1110</v>
      </c>
      <c r="AB2768" s="108" t="s">
        <v>1110</v>
      </c>
    </row>
    <row r="2769" spans="1:28" x14ac:dyDescent="0.3">
      <c r="A2769" s="73"/>
      <c r="C2769" s="69"/>
      <c r="D2769" s="69"/>
      <c r="E2769" s="130"/>
      <c r="F2769" s="138"/>
      <c r="G2769" s="130"/>
      <c r="H2769" s="138"/>
      <c r="I2769" s="130"/>
      <c r="J2769" s="130"/>
      <c r="K2769" s="130"/>
      <c r="L2769" s="138"/>
      <c r="M2769" s="130"/>
      <c r="N2769" s="86"/>
      <c r="O2769" s="130"/>
      <c r="P2769" s="130"/>
      <c r="Q2769" s="130"/>
      <c r="R2769" s="130"/>
      <c r="S2769" s="130"/>
      <c r="T2769" s="138"/>
      <c r="U2769" s="130"/>
      <c r="V2769" s="130"/>
      <c r="W2769" s="130"/>
      <c r="X2769" s="130"/>
      <c r="Y2769" s="130"/>
      <c r="Z2769" s="130"/>
      <c r="AA2769" s="93" t="s">
        <v>1111</v>
      </c>
      <c r="AB2769" s="68" t="s">
        <v>1112</v>
      </c>
    </row>
    <row r="2770" spans="1:28" x14ac:dyDescent="0.3">
      <c r="A2770" s="73"/>
      <c r="C2770" s="69"/>
      <c r="D2770" s="69"/>
      <c r="E2770" s="130"/>
      <c r="F2770" s="138"/>
      <c r="G2770" s="130"/>
      <c r="H2770" s="138"/>
      <c r="I2770" s="130"/>
      <c r="J2770" s="130"/>
      <c r="K2770" s="130"/>
      <c r="L2770" s="138"/>
      <c r="M2770" s="130"/>
      <c r="N2770" s="86"/>
      <c r="O2770" s="130"/>
      <c r="P2770" s="130"/>
      <c r="Q2770" s="130"/>
      <c r="R2770" s="130"/>
      <c r="S2770" s="130"/>
      <c r="T2770" s="138"/>
      <c r="U2770" s="130"/>
      <c r="V2770" s="130"/>
      <c r="W2770" s="130"/>
      <c r="X2770" s="130"/>
      <c r="Y2770" s="130"/>
      <c r="Z2770" s="130"/>
    </row>
    <row r="2771" spans="1:28" x14ac:dyDescent="0.3">
      <c r="A2771" s="73"/>
      <c r="C2771" s="68" t="s">
        <v>902</v>
      </c>
      <c r="E2771" s="85">
        <f>894329/1000</f>
        <v>894.32899999999995</v>
      </c>
      <c r="F2771" s="85">
        <f>STATS1003B!F2780/1000</f>
        <v>445.822</v>
      </c>
      <c r="G2771" s="85">
        <f>STATS1003B!G2780/1000</f>
        <v>0</v>
      </c>
      <c r="H2771" s="85">
        <f>445822/1000</f>
        <v>445.822</v>
      </c>
      <c r="I2771" s="85" t="e">
        <f>STATS1003B!I2780/1000</f>
        <v>#VALUE!</v>
      </c>
      <c r="J2771" s="85" t="e">
        <f>STATS1003B!J2780/1000</f>
        <v>#VALUE!</v>
      </c>
      <c r="K2771" s="85" t="e">
        <f>STATS1003B!K2780/1000</f>
        <v>#VALUE!</v>
      </c>
      <c r="L2771" s="85">
        <f>STATS1003B!L2780/1000</f>
        <v>0</v>
      </c>
      <c r="M2771" s="85">
        <f>STATS1003B!M2780/1000</f>
        <v>445.822</v>
      </c>
      <c r="N2771" s="85">
        <f>STATS1003B!N2780/1000</f>
        <v>448.50785999999999</v>
      </c>
      <c r="O2771" s="85">
        <f>STATS1003B!O2780/1000</f>
        <v>0</v>
      </c>
      <c r="P2771" s="85">
        <f>448507/1000</f>
        <v>448.50700000000001</v>
      </c>
      <c r="Q2771" s="85" t="e">
        <f>STATS1003B!Q2780/1000</f>
        <v>#VALUE!</v>
      </c>
      <c r="R2771" s="85" t="e">
        <f>STATS1003B!R2780/1000</f>
        <v>#VALUE!</v>
      </c>
      <c r="S2771" s="85" t="e">
        <f>STATS1003B!S2780/1000</f>
        <v>#VALUE!</v>
      </c>
      <c r="T2771" s="85">
        <f>STATS1003B!T2780/1000</f>
        <v>0</v>
      </c>
      <c r="U2771" s="85">
        <f>STATS1003B!U2780/1000</f>
        <v>448.50785999999999</v>
      </c>
      <c r="V2771" s="85" t="e">
        <f>STATS1003B!V2780/1000</f>
        <v>#VALUE!</v>
      </c>
      <c r="W2771" s="85" t="e">
        <f>STATS1003B!W2780/1000</f>
        <v>#VALUE!</v>
      </c>
      <c r="X2771" s="85">
        <f>+H2771+P2771</f>
        <v>894.32899999999995</v>
      </c>
      <c r="Y2771" s="85" t="e">
        <f>STATS1003B!Y2780/1000</f>
        <v>#VALUE!</v>
      </c>
      <c r="Z2771" s="85">
        <f>+E2771-X2771</f>
        <v>0</v>
      </c>
      <c r="AA2771" s="69">
        <f>STATS1003B!AA2780/1000</f>
        <v>894.32985999999994</v>
      </c>
      <c r="AB2771" s="69">
        <f>STATS1003B!AB2780/1000</f>
        <v>0</v>
      </c>
    </row>
    <row r="2772" spans="1:28" x14ac:dyDescent="0.3">
      <c r="A2772" s="73"/>
      <c r="C2772" s="68" t="s">
        <v>913</v>
      </c>
      <c r="E2772" s="85">
        <f>912310/1000</f>
        <v>912.31</v>
      </c>
      <c r="F2772" s="85">
        <f>STATS1003B!F2781/1000</f>
        <v>912.31071999999995</v>
      </c>
      <c r="G2772" s="85">
        <f>STATS1003B!G2781/1000</f>
        <v>0</v>
      </c>
      <c r="H2772" s="85">
        <f>912310/1000</f>
        <v>912.31</v>
      </c>
      <c r="I2772" s="85">
        <f>STATS1003B!I2781/1000</f>
        <v>1029.9882299999999</v>
      </c>
      <c r="J2772" s="85">
        <f>STATS1003B!J2781/1000</f>
        <v>0</v>
      </c>
      <c r="K2772" s="85">
        <f>STATS1003B!K2781/1000</f>
        <v>0</v>
      </c>
      <c r="L2772" s="85">
        <f>STATS1003B!L2781/1000</f>
        <v>0</v>
      </c>
      <c r="M2772" s="85">
        <f>STATS1003B!M2781/1000</f>
        <v>912.31071999999995</v>
      </c>
      <c r="N2772" s="85">
        <f>STATS1003B!N2781/1000</f>
        <v>0</v>
      </c>
      <c r="O2772" s="85">
        <f>STATS1003B!O2781/1000</f>
        <v>0</v>
      </c>
      <c r="P2772" s="85">
        <v>0</v>
      </c>
      <c r="Q2772" s="85">
        <f>STATS1003B!Q2781/1000</f>
        <v>0</v>
      </c>
      <c r="R2772" s="85">
        <f>STATS1003B!R2781/1000</f>
        <v>0</v>
      </c>
      <c r="S2772" s="85">
        <f>STATS1003B!S2781/1000</f>
        <v>0</v>
      </c>
      <c r="T2772" s="85">
        <f>STATS1003B!T2781/1000</f>
        <v>0</v>
      </c>
      <c r="U2772" s="85">
        <f>STATS1003B!U2781/1000</f>
        <v>0</v>
      </c>
      <c r="V2772" s="85">
        <f>STATS1003B!V2781/1000</f>
        <v>4858.6324999999997</v>
      </c>
      <c r="W2772" s="85">
        <f>STATS1003B!W2781/1000</f>
        <v>1029.9882300000004</v>
      </c>
      <c r="X2772" s="85">
        <f>+H2772+P2772</f>
        <v>912.31</v>
      </c>
      <c r="Y2772" s="85">
        <f>STATS1003B!Y2781/1000</f>
        <v>0</v>
      </c>
      <c r="Z2772" s="85">
        <f t="shared" ref="Z2772:Z2859" si="299">+E2772-X2772</f>
        <v>0</v>
      </c>
      <c r="AA2772" s="69">
        <f>STATS1003B!AA2781/1000</f>
        <v>912.31071999999995</v>
      </c>
      <c r="AB2772" s="69">
        <f>STATS1003B!AB2781/1000</f>
        <v>0</v>
      </c>
    </row>
    <row r="2773" spans="1:28" x14ac:dyDescent="0.3">
      <c r="A2773" s="73"/>
      <c r="C2773" s="68" t="s">
        <v>904</v>
      </c>
      <c r="E2773" s="85">
        <f>11233899.52/1000</f>
        <v>11233.899519999999</v>
      </c>
      <c r="F2773" s="85">
        <f>STATS1003B!F2782/1000</f>
        <v>11233.899519999999</v>
      </c>
      <c r="G2773" s="85">
        <f>STATS1003B!G2782/1000</f>
        <v>0</v>
      </c>
      <c r="H2773" s="85">
        <f>11233899/1000</f>
        <v>11233.898999999999</v>
      </c>
      <c r="I2773" s="85">
        <f>STATS1003B!I2782/1000</f>
        <v>22253.398280000001</v>
      </c>
      <c r="J2773" s="85">
        <f>STATS1003B!J2782/1000</f>
        <v>19199.23128</v>
      </c>
      <c r="K2773" s="85">
        <f>STATS1003B!K2782/1000</f>
        <v>0</v>
      </c>
      <c r="L2773" s="85">
        <f>STATS1003B!L2782/1000</f>
        <v>0</v>
      </c>
      <c r="M2773" s="85">
        <f>STATS1003B!M2782/1000</f>
        <v>11233.899519999999</v>
      </c>
      <c r="N2773" s="85">
        <f>STATS1003B!N2782/1000</f>
        <v>0</v>
      </c>
      <c r="O2773" s="85">
        <f>STATS1003B!O2782/1000</f>
        <v>0</v>
      </c>
      <c r="P2773" s="85">
        <v>0</v>
      </c>
      <c r="Q2773" s="85">
        <f>STATS1003B!Q2782/1000</f>
        <v>118.86938000000001</v>
      </c>
      <c r="R2773" s="85">
        <f>STATS1003B!R2782/1000</f>
        <v>0</v>
      </c>
      <c r="S2773" s="85">
        <f>STATS1003B!S2782/1000</f>
        <v>31.498429999999999</v>
      </c>
      <c r="T2773" s="85">
        <f>STATS1003B!T2782/1000</f>
        <v>0</v>
      </c>
      <c r="U2773" s="85">
        <f>STATS1003B!U2782/1000</f>
        <v>0</v>
      </c>
      <c r="V2773" s="85">
        <f>STATS1003B!V2782/1000</f>
        <v>412886.06926000002</v>
      </c>
      <c r="W2773" s="85">
        <f>STATS1003B!W2782/1000</f>
        <v>4980.8702799999992</v>
      </c>
      <c r="X2773" s="85">
        <f t="shared" ref="X2773:X2863" si="300">+H2773+P2773</f>
        <v>11233.898999999999</v>
      </c>
      <c r="Y2773" s="85">
        <f>STATS1003B!Y2782/1000</f>
        <v>0</v>
      </c>
      <c r="Z2773" s="85">
        <f t="shared" si="299"/>
        <v>5.1999999959662091E-4</v>
      </c>
      <c r="AA2773" s="69">
        <f>STATS1003B!AA2782/1000</f>
        <v>11233.899519999999</v>
      </c>
      <c r="AB2773" s="69">
        <f>STATS1003B!AB2782/1000</f>
        <v>0</v>
      </c>
    </row>
    <row r="2774" spans="1:28" x14ac:dyDescent="0.3">
      <c r="A2774" s="73"/>
      <c r="C2774" s="68" t="s">
        <v>907</v>
      </c>
      <c r="E2774" s="85">
        <f>11222285/1000</f>
        <v>11222.285</v>
      </c>
      <c r="F2774" s="85">
        <f>STATS1003B!F2783/1000</f>
        <v>11222.285</v>
      </c>
      <c r="G2774" s="85">
        <f>STATS1003B!G2783/1000</f>
        <v>0</v>
      </c>
      <c r="H2774" s="85">
        <f>11222285/1000</f>
        <v>11222.285</v>
      </c>
      <c r="I2774" s="85">
        <f>STATS1003B!I2783/1000</f>
        <v>0</v>
      </c>
      <c r="J2774" s="85">
        <f>STATS1003B!J2783/1000</f>
        <v>0</v>
      </c>
      <c r="K2774" s="85">
        <f>STATS1003B!K2783/1000</f>
        <v>0</v>
      </c>
      <c r="L2774" s="85">
        <f>STATS1003B!L2783/1000</f>
        <v>0</v>
      </c>
      <c r="M2774" s="85">
        <f>STATS1003B!M2783/1000</f>
        <v>11222.285</v>
      </c>
      <c r="N2774" s="85">
        <f>STATS1003B!N2783/1000</f>
        <v>0</v>
      </c>
      <c r="O2774" s="85">
        <f>STATS1003B!O2783/1000</f>
        <v>0</v>
      </c>
      <c r="P2774" s="85">
        <v>0</v>
      </c>
      <c r="Q2774" s="85">
        <f>STATS1003B!Q2783/1000</f>
        <v>0</v>
      </c>
      <c r="R2774" s="85">
        <f>STATS1003B!R2783/1000</f>
        <v>0</v>
      </c>
      <c r="S2774" s="85">
        <f>STATS1003B!S2783/1000</f>
        <v>0</v>
      </c>
      <c r="T2774" s="85">
        <f>STATS1003B!T2783/1000</f>
        <v>0</v>
      </c>
      <c r="U2774" s="85">
        <f>STATS1003B!U2783/1000</f>
        <v>0</v>
      </c>
      <c r="V2774" s="85">
        <f>STATS1003B!V2783/1000</f>
        <v>1325.24</v>
      </c>
      <c r="W2774" s="85">
        <f>STATS1003B!W2783/1000</f>
        <v>0</v>
      </c>
      <c r="X2774" s="85">
        <f t="shared" si="300"/>
        <v>11222.285</v>
      </c>
      <c r="Y2774" s="85" t="e">
        <f>STATS1003B!Y2783/1000</f>
        <v>#VALUE!</v>
      </c>
      <c r="Z2774" s="85">
        <f t="shared" si="299"/>
        <v>0</v>
      </c>
      <c r="AA2774" s="69">
        <f>STATS1003B!AA2783/1000</f>
        <v>11222.285</v>
      </c>
      <c r="AB2774" s="69">
        <f>STATS1003B!AB2783/1000</f>
        <v>0</v>
      </c>
    </row>
    <row r="2775" spans="1:28" x14ac:dyDescent="0.3">
      <c r="A2775" s="73"/>
      <c r="C2775" s="68" t="s">
        <v>905</v>
      </c>
      <c r="E2775" s="85">
        <f>12329042/1000</f>
        <v>12329.041999999999</v>
      </c>
      <c r="F2775" s="85">
        <f>STATS1003B!F2784/1000</f>
        <v>12329.04227</v>
      </c>
      <c r="G2775" s="85">
        <f>STATS1003B!G2784/1000</f>
        <v>0</v>
      </c>
      <c r="H2775" s="85">
        <f>12329042/1000</f>
        <v>12329.041999999999</v>
      </c>
      <c r="I2775" s="85">
        <f>STATS1003B!I2784/1000</f>
        <v>8199.6710000000003</v>
      </c>
      <c r="J2775" s="85">
        <f>STATS1003B!J2784/1000</f>
        <v>0</v>
      </c>
      <c r="K2775" s="85">
        <f>STATS1003B!K2784/1000</f>
        <v>0</v>
      </c>
      <c r="L2775" s="85">
        <f>STATS1003B!L2784/1000</f>
        <v>0</v>
      </c>
      <c r="M2775" s="85">
        <f>STATS1003B!M2784/1000</f>
        <v>12329.04227</v>
      </c>
      <c r="N2775" s="85">
        <f>STATS1003B!N2784/1000</f>
        <v>0</v>
      </c>
      <c r="O2775" s="85">
        <f>STATS1003B!O2784/1000</f>
        <v>0</v>
      </c>
      <c r="P2775" s="85">
        <v>0</v>
      </c>
      <c r="Q2775" s="85">
        <f>STATS1003B!Q2784/1000</f>
        <v>0</v>
      </c>
      <c r="R2775" s="85">
        <f>STATS1003B!R2784/1000</f>
        <v>0</v>
      </c>
      <c r="S2775" s="85">
        <f>STATS1003B!S2784/1000</f>
        <v>0</v>
      </c>
      <c r="T2775" s="85">
        <f>STATS1003B!T2784/1000</f>
        <v>0</v>
      </c>
      <c r="U2775" s="85">
        <f>STATS1003B!U2784/1000</f>
        <v>0</v>
      </c>
      <c r="V2775" s="85">
        <f>STATS1003B!V2784/1000</f>
        <v>15133.087</v>
      </c>
      <c r="W2775" s="85">
        <f>STATS1003B!W2784/1000</f>
        <v>0</v>
      </c>
      <c r="X2775" s="85">
        <f t="shared" si="300"/>
        <v>12329.041999999999</v>
      </c>
      <c r="Y2775" s="85">
        <f>STATS1003B!Y2784/1000</f>
        <v>0</v>
      </c>
      <c r="Z2775" s="85">
        <f t="shared" si="299"/>
        <v>0</v>
      </c>
      <c r="AA2775" s="69">
        <f>STATS1003B!AA2784/1000</f>
        <v>12329.04227</v>
      </c>
      <c r="AB2775" s="69">
        <f>STATS1003B!AB2784/1000</f>
        <v>0</v>
      </c>
    </row>
    <row r="2776" spans="1:28" x14ac:dyDescent="0.3">
      <c r="A2776" s="73"/>
      <c r="C2776" s="68" t="s">
        <v>1066</v>
      </c>
      <c r="E2776" s="85">
        <f>769000/1000</f>
        <v>769</v>
      </c>
      <c r="F2776" s="85">
        <f>STATS1003B!F2785/1000</f>
        <v>769</v>
      </c>
      <c r="G2776" s="85">
        <f>STATS1003B!G2785/1000</f>
        <v>0</v>
      </c>
      <c r="H2776" s="85">
        <f>769000/1000</f>
        <v>769</v>
      </c>
      <c r="I2776" s="85">
        <f>STATS1003B!I2785/1000</f>
        <v>0</v>
      </c>
      <c r="J2776" s="85">
        <f>STATS1003B!J2785/1000</f>
        <v>0</v>
      </c>
      <c r="K2776" s="85">
        <f>STATS1003B!K2785/1000</f>
        <v>0</v>
      </c>
      <c r="L2776" s="85">
        <f>STATS1003B!L2785/1000</f>
        <v>0</v>
      </c>
      <c r="M2776" s="85">
        <f>STATS1003B!M2785/1000</f>
        <v>769</v>
      </c>
      <c r="N2776" s="85">
        <f>STATS1003B!N2785/1000</f>
        <v>41.917070000000002</v>
      </c>
      <c r="O2776" s="85">
        <f>STATS1003B!O2785/1000</f>
        <v>0</v>
      </c>
      <c r="P2776" s="85">
        <f>41424/1000</f>
        <v>41.423999999999999</v>
      </c>
      <c r="Q2776" s="85">
        <f>STATS1003B!Q2785/1000</f>
        <v>0</v>
      </c>
      <c r="R2776" s="85">
        <f>STATS1003B!R2785/1000</f>
        <v>0</v>
      </c>
      <c r="S2776" s="85">
        <f>STATS1003B!S2785/1000</f>
        <v>0</v>
      </c>
      <c r="T2776" s="85">
        <f>STATS1003B!T2785/1000</f>
        <v>1.5075499999999999</v>
      </c>
      <c r="U2776" s="85">
        <f>STATS1003B!U2785/1000</f>
        <v>43.424620000000004</v>
      </c>
      <c r="V2776" s="85">
        <f>STATS1003B!V2785/1000</f>
        <v>0</v>
      </c>
      <c r="W2776" s="85">
        <f>STATS1003B!W2785/1000</f>
        <v>0</v>
      </c>
      <c r="X2776" s="85">
        <f t="shared" si="300"/>
        <v>810.42399999999998</v>
      </c>
      <c r="Y2776" s="85" t="e">
        <f>STATS1003B!Y2785/1000</f>
        <v>#VALUE!</v>
      </c>
      <c r="Z2776" s="85">
        <f t="shared" si="299"/>
        <v>-41.423999999999978</v>
      </c>
      <c r="AA2776" s="69">
        <f>STATS1003B!AA2785/1000</f>
        <v>812.42462</v>
      </c>
      <c r="AB2776" s="69">
        <f>STATS1003B!AB2785/1000</f>
        <v>-43.424619999999997</v>
      </c>
    </row>
    <row r="2777" spans="1:28" x14ac:dyDescent="0.3">
      <c r="A2777" s="73"/>
      <c r="C2777" s="68" t="s">
        <v>909</v>
      </c>
      <c r="E2777" s="85">
        <f>2308570/1000</f>
        <v>2308.5700000000002</v>
      </c>
      <c r="F2777" s="85">
        <f>STATS1003B!F2786/1000</f>
        <v>2308.5700000000002</v>
      </c>
      <c r="G2777" s="85">
        <f>STATS1003B!G2786/1000</f>
        <v>0</v>
      </c>
      <c r="H2777" s="85">
        <f>2308570/1000</f>
        <v>2308.5700000000002</v>
      </c>
      <c r="I2777" s="85">
        <f>STATS1003B!I2786/1000</f>
        <v>0</v>
      </c>
      <c r="J2777" s="85">
        <f>STATS1003B!J2786/1000</f>
        <v>0</v>
      </c>
      <c r="K2777" s="85">
        <f>STATS1003B!K2786/1000</f>
        <v>0</v>
      </c>
      <c r="L2777" s="85">
        <f>STATS1003B!L2786/1000</f>
        <v>0</v>
      </c>
      <c r="M2777" s="85">
        <f>STATS1003B!M2786/1000</f>
        <v>2308.5700000000002</v>
      </c>
      <c r="N2777" s="85">
        <f>STATS1003B!N2786/1000</f>
        <v>0</v>
      </c>
      <c r="O2777" s="85">
        <f>STATS1003B!O2786/1000</f>
        <v>0</v>
      </c>
      <c r="P2777" s="85">
        <v>0</v>
      </c>
      <c r="Q2777" s="85">
        <f>STATS1003B!Q2786/1000</f>
        <v>0</v>
      </c>
      <c r="R2777" s="85">
        <f>STATS1003B!R2786/1000</f>
        <v>0</v>
      </c>
      <c r="S2777" s="85">
        <f>STATS1003B!S2786/1000</f>
        <v>0</v>
      </c>
      <c r="T2777" s="85">
        <f>STATS1003B!T2786/1000</f>
        <v>0</v>
      </c>
      <c r="U2777" s="85">
        <f>STATS1003B!U2786/1000</f>
        <v>0</v>
      </c>
      <c r="V2777" s="85">
        <f>STATS1003B!V2786/1000</f>
        <v>43652.455679999999</v>
      </c>
      <c r="W2777" s="85">
        <f>STATS1003B!W2786/1000</f>
        <v>148.46</v>
      </c>
      <c r="X2777" s="85">
        <f t="shared" si="300"/>
        <v>2308.5700000000002</v>
      </c>
      <c r="Y2777" s="85">
        <f>STATS1003B!Y2786/1000</f>
        <v>0</v>
      </c>
      <c r="Z2777" s="85">
        <f t="shared" si="299"/>
        <v>0</v>
      </c>
      <c r="AA2777" s="69">
        <f>STATS1003B!AA2786/1000</f>
        <v>2308.5700000000002</v>
      </c>
      <c r="AB2777" s="69">
        <f>STATS1003B!AB2786/1000</f>
        <v>0</v>
      </c>
    </row>
    <row r="2778" spans="1:28" x14ac:dyDescent="0.3">
      <c r="A2778" s="73"/>
      <c r="C2778" s="68" t="s">
        <v>1067</v>
      </c>
      <c r="E2778" s="85">
        <f>569000/1000</f>
        <v>569</v>
      </c>
      <c r="F2778" s="85">
        <f>STATS1003B!F2787/1000</f>
        <v>569</v>
      </c>
      <c r="G2778" s="85">
        <f>STATS1003B!G2787/1000</f>
        <v>0</v>
      </c>
      <c r="H2778" s="85">
        <f>569000/1000</f>
        <v>569</v>
      </c>
      <c r="I2778" s="85">
        <f>STATS1003B!I2787/1000</f>
        <v>0</v>
      </c>
      <c r="J2778" s="85">
        <f>STATS1003B!J2787/1000</f>
        <v>0</v>
      </c>
      <c r="K2778" s="85">
        <f>STATS1003B!K2787/1000</f>
        <v>0</v>
      </c>
      <c r="L2778" s="85">
        <f>STATS1003B!L2787/1000</f>
        <v>0</v>
      </c>
      <c r="M2778" s="85">
        <f>STATS1003B!M2787/1000</f>
        <v>569</v>
      </c>
      <c r="N2778" s="85">
        <f>STATS1003B!N2787/1000</f>
        <v>0</v>
      </c>
      <c r="O2778" s="85">
        <f>STATS1003B!O2787/1000</f>
        <v>0</v>
      </c>
      <c r="P2778" s="85">
        <v>0</v>
      </c>
      <c r="Q2778" s="85">
        <f>STATS1003B!Q2787/1000</f>
        <v>0</v>
      </c>
      <c r="R2778" s="85">
        <f>STATS1003B!R2787/1000</f>
        <v>0</v>
      </c>
      <c r="S2778" s="85">
        <f>STATS1003B!S2787/1000</f>
        <v>0</v>
      </c>
      <c r="T2778" s="85">
        <f>STATS1003B!T2787/1000</f>
        <v>0</v>
      </c>
      <c r="U2778" s="85">
        <f>STATS1003B!U2787/1000</f>
        <v>0</v>
      </c>
      <c r="V2778" s="85" t="e">
        <f>STATS1003B!V2787/1000</f>
        <v>#VALUE!</v>
      </c>
      <c r="W2778" s="85" t="e">
        <f>STATS1003B!W2787/1000</f>
        <v>#VALUE!</v>
      </c>
      <c r="X2778" s="85">
        <f t="shared" si="300"/>
        <v>569</v>
      </c>
      <c r="Y2778" s="85" t="e">
        <f>STATS1003B!Y2787/1000</f>
        <v>#VALUE!</v>
      </c>
      <c r="Z2778" s="85">
        <f t="shared" si="299"/>
        <v>0</v>
      </c>
      <c r="AA2778" s="69">
        <f>STATS1003B!AA2787/1000</f>
        <v>569</v>
      </c>
      <c r="AB2778" s="69">
        <f>STATS1003B!AB2787/1000</f>
        <v>0</v>
      </c>
    </row>
    <row r="2779" spans="1:28" x14ac:dyDescent="0.3">
      <c r="A2779" s="73"/>
      <c r="C2779" s="68" t="s">
        <v>1204</v>
      </c>
      <c r="E2779" s="85">
        <f>4000000/1000</f>
        <v>4000</v>
      </c>
      <c r="F2779" s="85">
        <f>STATS1003B!F2788/1000</f>
        <v>4000</v>
      </c>
      <c r="G2779" s="85">
        <f>STATS1003B!G2788/1000</f>
        <v>0</v>
      </c>
      <c r="H2779" s="85">
        <f>4000000/1000</f>
        <v>4000</v>
      </c>
      <c r="I2779" s="85">
        <f>STATS1003B!I2788/1000</f>
        <v>0</v>
      </c>
      <c r="J2779" s="85">
        <f>STATS1003B!J2788/1000</f>
        <v>0</v>
      </c>
      <c r="K2779" s="85">
        <f>STATS1003B!K2788/1000</f>
        <v>0</v>
      </c>
      <c r="L2779" s="85">
        <f>STATS1003B!L2788/1000</f>
        <v>0</v>
      </c>
      <c r="M2779" s="85">
        <f>STATS1003B!M2788/1000</f>
        <v>4000</v>
      </c>
      <c r="N2779" s="85">
        <f>STATS1003B!N2788/1000</f>
        <v>0</v>
      </c>
      <c r="O2779" s="85">
        <f>STATS1003B!O2788/1000</f>
        <v>0</v>
      </c>
      <c r="P2779" s="85">
        <v>0</v>
      </c>
      <c r="Q2779" s="85">
        <f>STATS1003B!Q2788/1000</f>
        <v>0</v>
      </c>
      <c r="R2779" s="85">
        <f>STATS1003B!R2788/1000</f>
        <v>0</v>
      </c>
      <c r="S2779" s="85">
        <f>STATS1003B!S2788/1000</f>
        <v>0</v>
      </c>
      <c r="T2779" s="85">
        <f>STATS1003B!T2788/1000</f>
        <v>0</v>
      </c>
      <c r="U2779" s="85">
        <f>STATS1003B!U2788/1000</f>
        <v>0</v>
      </c>
      <c r="V2779" s="85">
        <f>STATS1003B!V2788/1000</f>
        <v>0</v>
      </c>
      <c r="W2779" s="85">
        <f>STATS1003B!W2788/1000</f>
        <v>0</v>
      </c>
      <c r="X2779" s="85">
        <f t="shared" si="300"/>
        <v>4000</v>
      </c>
      <c r="Y2779" s="85">
        <f>STATS1003B!Y2788/1000</f>
        <v>0</v>
      </c>
      <c r="Z2779" s="85">
        <f t="shared" si="299"/>
        <v>0</v>
      </c>
      <c r="AA2779" s="69">
        <f>STATS1003B!AA2788/1000</f>
        <v>4000</v>
      </c>
      <c r="AB2779" s="69">
        <f>STATS1003B!AB2788/1000</f>
        <v>0</v>
      </c>
    </row>
    <row r="2780" spans="1:28" x14ac:dyDescent="0.3">
      <c r="A2780" s="73"/>
      <c r="C2780" s="93" t="s">
        <v>879</v>
      </c>
      <c r="E2780" s="85">
        <f>26537555/1000</f>
        <v>26537.555</v>
      </c>
      <c r="F2780" s="85">
        <f>STATS1003B!F2789/1000</f>
        <v>24666.17093</v>
      </c>
      <c r="G2780" s="85">
        <f>STATS1003B!G2789/1000</f>
        <v>0</v>
      </c>
      <c r="H2780" s="85">
        <f>24666170/1000</f>
        <v>24666.17</v>
      </c>
      <c r="I2780" s="85">
        <f>STATS1003B!I2789/1000</f>
        <v>0</v>
      </c>
      <c r="J2780" s="85">
        <f>STATS1003B!J2789/1000</f>
        <v>0</v>
      </c>
      <c r="K2780" s="85">
        <f>STATS1003B!K2789/1000</f>
        <v>0</v>
      </c>
      <c r="L2780" s="85">
        <f>STATS1003B!L2789/1000</f>
        <v>0</v>
      </c>
      <c r="M2780" s="85">
        <f>STATS1003B!M2789/1000</f>
        <v>24666.17093</v>
      </c>
      <c r="N2780" s="85">
        <f>STATS1003B!N2789/1000</f>
        <v>1871.38446</v>
      </c>
      <c r="O2780" s="85">
        <f>STATS1003B!O2789/1000</f>
        <v>0</v>
      </c>
      <c r="P2780" s="85">
        <f>1871384/1000</f>
        <v>1871.384</v>
      </c>
      <c r="Q2780" s="85">
        <f>STATS1003B!Q2789/1000</f>
        <v>0</v>
      </c>
      <c r="R2780" s="85">
        <f>STATS1003B!R2789/1000</f>
        <v>0</v>
      </c>
      <c r="S2780" s="85">
        <f>STATS1003B!S2789/1000</f>
        <v>0</v>
      </c>
      <c r="T2780" s="85">
        <f>STATS1003B!T2789/1000</f>
        <v>0</v>
      </c>
      <c r="U2780" s="85">
        <f>STATS1003B!U2789/1000</f>
        <v>1871.38446</v>
      </c>
      <c r="V2780" s="85">
        <f>STATS1003B!V2789/1000</f>
        <v>0</v>
      </c>
      <c r="W2780" s="85">
        <f>STATS1003B!W2789/1000</f>
        <v>0</v>
      </c>
      <c r="X2780" s="85">
        <f t="shared" si="300"/>
        <v>26537.553999999996</v>
      </c>
      <c r="Y2780" s="85">
        <f>STATS1003B!Y2789/1000</f>
        <v>0</v>
      </c>
      <c r="Z2780" s="85">
        <f t="shared" si="299"/>
        <v>1.0000000038417056E-3</v>
      </c>
      <c r="AA2780" s="69">
        <f>STATS1003B!AA2789/1000</f>
        <v>26537.555390000001</v>
      </c>
      <c r="AB2780" s="69">
        <f>STATS1003B!AB2789/1000</f>
        <v>0</v>
      </c>
    </row>
    <row r="2781" spans="1:28" x14ac:dyDescent="0.3">
      <c r="A2781" s="73"/>
      <c r="C2781" s="68" t="s">
        <v>890</v>
      </c>
      <c r="D2781" s="69"/>
      <c r="E2781" s="85">
        <f>19409000/1000</f>
        <v>19409</v>
      </c>
      <c r="F2781" s="85">
        <f>STATS1003B!F2790/1000</f>
        <v>19409.502140000001</v>
      </c>
      <c r="G2781" s="85">
        <f>STATS1003B!G2790/1000</f>
        <v>0</v>
      </c>
      <c r="H2781" s="85">
        <f>19409000/1000</f>
        <v>19409</v>
      </c>
      <c r="I2781" s="85">
        <f>STATS1003B!I2790/1000</f>
        <v>0</v>
      </c>
      <c r="J2781" s="85">
        <f>STATS1003B!J2790/1000</f>
        <v>0</v>
      </c>
      <c r="K2781" s="85">
        <f>STATS1003B!K2790/1000</f>
        <v>0</v>
      </c>
      <c r="L2781" s="85">
        <f>STATS1003B!L2790/1000</f>
        <v>0</v>
      </c>
      <c r="M2781" s="85">
        <f>STATS1003B!M2790/1000</f>
        <v>19409.502140000001</v>
      </c>
      <c r="N2781" s="85">
        <f>STATS1003B!N2790/1000</f>
        <v>0</v>
      </c>
      <c r="O2781" s="85">
        <f>STATS1003B!O2790/1000</f>
        <v>0</v>
      </c>
      <c r="P2781" s="85">
        <v>0</v>
      </c>
      <c r="Q2781" s="85">
        <f>STATS1003B!Q2790/1000</f>
        <v>0</v>
      </c>
      <c r="R2781" s="85">
        <f>STATS1003B!R2790/1000</f>
        <v>0</v>
      </c>
      <c r="S2781" s="85">
        <f>STATS1003B!S2790/1000</f>
        <v>0</v>
      </c>
      <c r="T2781" s="85">
        <f>STATS1003B!T2790/1000</f>
        <v>0</v>
      </c>
      <c r="U2781" s="85">
        <f>STATS1003B!U2790/1000</f>
        <v>0</v>
      </c>
      <c r="V2781" s="85">
        <f>STATS1003B!V2790/1000</f>
        <v>18983.300600000002</v>
      </c>
      <c r="W2781" s="85">
        <f>STATS1003B!W2790/1000</f>
        <v>0</v>
      </c>
      <c r="X2781" s="85">
        <f t="shared" si="300"/>
        <v>19409</v>
      </c>
      <c r="Y2781" s="85">
        <f>STATS1003B!Y2790/1000</f>
        <v>0</v>
      </c>
      <c r="Z2781" s="85">
        <f t="shared" si="299"/>
        <v>0</v>
      </c>
      <c r="AA2781" s="69">
        <f>STATS1003B!AA2790/1000</f>
        <v>19409.502140000001</v>
      </c>
      <c r="AB2781" s="69">
        <f>STATS1003B!AB2790/1000</f>
        <v>0</v>
      </c>
    </row>
    <row r="2782" spans="1:28" x14ac:dyDescent="0.3">
      <c r="A2782" s="73"/>
      <c r="C2782" s="68" t="s">
        <v>891</v>
      </c>
      <c r="D2782" s="69"/>
      <c r="E2782" s="85">
        <f>12758407/1000</f>
        <v>12758.406999999999</v>
      </c>
      <c r="F2782" s="85">
        <f>STATS1003B!F2791/1000</f>
        <v>12758.406999999999</v>
      </c>
      <c r="G2782" s="85">
        <f>STATS1003B!G2791/1000</f>
        <v>0</v>
      </c>
      <c r="H2782" s="85">
        <f>12758407/1000</f>
        <v>12758.406999999999</v>
      </c>
      <c r="I2782" s="85">
        <f>STATS1003B!I2791/1000</f>
        <v>0</v>
      </c>
      <c r="J2782" s="85">
        <f>STATS1003B!J2791/1000</f>
        <v>0</v>
      </c>
      <c r="K2782" s="85">
        <f>STATS1003B!K2791/1000</f>
        <v>0</v>
      </c>
      <c r="L2782" s="85">
        <f>STATS1003B!L2791/1000</f>
        <v>0</v>
      </c>
      <c r="M2782" s="85">
        <f>STATS1003B!M2791/1000</f>
        <v>12758.406999999999</v>
      </c>
      <c r="N2782" s="85">
        <f>STATS1003B!N2791/1000</f>
        <v>0</v>
      </c>
      <c r="O2782" s="85">
        <f>STATS1003B!O2791/1000</f>
        <v>0</v>
      </c>
      <c r="P2782" s="85">
        <v>0</v>
      </c>
      <c r="Q2782" s="85">
        <f>STATS1003B!Q2791/1000</f>
        <v>0</v>
      </c>
      <c r="R2782" s="85">
        <f>STATS1003B!R2791/1000</f>
        <v>0</v>
      </c>
      <c r="S2782" s="85">
        <f>STATS1003B!S2791/1000</f>
        <v>0</v>
      </c>
      <c r="T2782" s="85">
        <f>STATS1003B!T2791/1000</f>
        <v>0</v>
      </c>
      <c r="U2782" s="85">
        <f>STATS1003B!U2791/1000</f>
        <v>0</v>
      </c>
      <c r="V2782" s="85">
        <f>STATS1003B!V2791/1000</f>
        <v>0</v>
      </c>
      <c r="W2782" s="85">
        <f>STATS1003B!W2791/1000</f>
        <v>0</v>
      </c>
      <c r="X2782" s="85">
        <f t="shared" si="300"/>
        <v>12758.406999999999</v>
      </c>
      <c r="Y2782" s="85">
        <f>STATS1003B!Y2791/1000</f>
        <v>0</v>
      </c>
      <c r="Z2782" s="85">
        <f t="shared" si="299"/>
        <v>0</v>
      </c>
      <c r="AA2782" s="69">
        <f>STATS1003B!AA2791/1000</f>
        <v>12758.406999999999</v>
      </c>
      <c r="AB2782" s="69">
        <f>STATS1003B!AB2791/1000</f>
        <v>0</v>
      </c>
    </row>
    <row r="2783" spans="1:28" x14ac:dyDescent="0.3">
      <c r="A2783" s="73"/>
      <c r="C2783" s="68" t="s">
        <v>892</v>
      </c>
      <c r="E2783" s="85">
        <f>2564939/1000</f>
        <v>2564.9389999999999</v>
      </c>
      <c r="F2783" s="85">
        <f>STATS1003B!F2792/1000</f>
        <v>2564.9389999999999</v>
      </c>
      <c r="G2783" s="85">
        <f>STATS1003B!G2792/1000</f>
        <v>0</v>
      </c>
      <c r="H2783" s="85">
        <f>2564939/1000</f>
        <v>2564.9389999999999</v>
      </c>
      <c r="I2783" s="85">
        <f>STATS1003B!I2792/1000</f>
        <v>0</v>
      </c>
      <c r="J2783" s="85">
        <f>STATS1003B!J2792/1000</f>
        <v>0</v>
      </c>
      <c r="K2783" s="85">
        <f>STATS1003B!K2792/1000</f>
        <v>0</v>
      </c>
      <c r="L2783" s="85">
        <f>STATS1003B!L2792/1000</f>
        <v>0</v>
      </c>
      <c r="M2783" s="85">
        <f>STATS1003B!M2792/1000</f>
        <v>2564.9389999999999</v>
      </c>
      <c r="N2783" s="85">
        <f>STATS1003B!N2792/1000</f>
        <v>0</v>
      </c>
      <c r="O2783" s="85">
        <f>STATS1003B!O2792/1000</f>
        <v>0</v>
      </c>
      <c r="P2783" s="85">
        <v>0</v>
      </c>
      <c r="Q2783" s="85">
        <f>STATS1003B!Q2792/1000</f>
        <v>0</v>
      </c>
      <c r="R2783" s="85">
        <f>STATS1003B!R2792/1000</f>
        <v>0</v>
      </c>
      <c r="S2783" s="85">
        <f>STATS1003B!S2792/1000</f>
        <v>0</v>
      </c>
      <c r="T2783" s="85">
        <f>STATS1003B!T2792/1000</f>
        <v>0</v>
      </c>
      <c r="U2783" s="85">
        <f>STATS1003B!U2792/1000</f>
        <v>0</v>
      </c>
      <c r="V2783" s="85">
        <f>STATS1003B!V2792/1000</f>
        <v>0</v>
      </c>
      <c r="W2783" s="85">
        <f>STATS1003B!W2792/1000</f>
        <v>0</v>
      </c>
      <c r="X2783" s="85">
        <f t="shared" si="300"/>
        <v>2564.9389999999999</v>
      </c>
      <c r="Y2783" s="85">
        <f>STATS1003B!Y2792/1000</f>
        <v>0</v>
      </c>
      <c r="Z2783" s="85">
        <f t="shared" si="299"/>
        <v>0</v>
      </c>
      <c r="AA2783" s="69">
        <f>STATS1003B!AA2792/1000</f>
        <v>2564.9389999999999</v>
      </c>
      <c r="AB2783" s="69">
        <f>STATS1003B!AB2792/1000</f>
        <v>0</v>
      </c>
    </row>
    <row r="2784" spans="1:28" x14ac:dyDescent="0.3">
      <c r="A2784" s="73"/>
      <c r="C2784" s="68" t="s">
        <v>878</v>
      </c>
      <c r="E2784" s="85">
        <f>22708607/1000</f>
        <v>22708.607</v>
      </c>
      <c r="F2784" s="85">
        <f>STATS1003B!F2793/1000</f>
        <v>22708.607899999999</v>
      </c>
      <c r="G2784" s="85">
        <f>STATS1003B!G2793/1000</f>
        <v>0</v>
      </c>
      <c r="H2784" s="85">
        <f>22708607/1000</f>
        <v>22708.607</v>
      </c>
      <c r="I2784" s="85">
        <f>STATS1003B!I2793/1000</f>
        <v>0</v>
      </c>
      <c r="J2784" s="85">
        <f>STATS1003B!J2793/1000</f>
        <v>2957.2179999999998</v>
      </c>
      <c r="K2784" s="85">
        <f>STATS1003B!K2793/1000</f>
        <v>0</v>
      </c>
      <c r="L2784" s="85">
        <f>STATS1003B!L2793/1000</f>
        <v>0</v>
      </c>
      <c r="M2784" s="85">
        <f>STATS1003B!M2793/1000</f>
        <v>22708.607899999999</v>
      </c>
      <c r="N2784" s="85">
        <f>STATS1003B!N2793/1000</f>
        <v>0</v>
      </c>
      <c r="O2784" s="85">
        <f>STATS1003B!O2793/1000</f>
        <v>0</v>
      </c>
      <c r="P2784" s="85">
        <v>0</v>
      </c>
      <c r="Q2784" s="85">
        <f>STATS1003B!Q2793/1000</f>
        <v>2957.2179999999998</v>
      </c>
      <c r="R2784" s="85">
        <f>STATS1003B!R2793/1000</f>
        <v>0</v>
      </c>
      <c r="S2784" s="85">
        <f>STATS1003B!S2793/1000</f>
        <v>0</v>
      </c>
      <c r="T2784" s="85">
        <f>STATS1003B!T2793/1000</f>
        <v>0</v>
      </c>
      <c r="U2784" s="85">
        <f>STATS1003B!U2793/1000</f>
        <v>0</v>
      </c>
      <c r="V2784" s="85">
        <f>STATS1003B!V2793/1000</f>
        <v>12100</v>
      </c>
      <c r="W2784" s="85">
        <f>STATS1003B!W2793/1000</f>
        <v>0</v>
      </c>
      <c r="X2784" s="85">
        <f t="shared" si="300"/>
        <v>22708.607</v>
      </c>
      <c r="Y2784" s="85">
        <f>STATS1003B!Y2793/1000</f>
        <v>0</v>
      </c>
      <c r="Z2784" s="85">
        <f t="shared" si="299"/>
        <v>0</v>
      </c>
      <c r="AA2784" s="69">
        <f>STATS1003B!AA2793/1000</f>
        <v>22708.607899999999</v>
      </c>
      <c r="AB2784" s="69">
        <f>STATS1003B!AB2793/1000</f>
        <v>0</v>
      </c>
    </row>
    <row r="2785" spans="1:28" x14ac:dyDescent="0.3">
      <c r="A2785" s="73"/>
      <c r="C2785" s="68" t="s">
        <v>893</v>
      </c>
      <c r="E2785" s="85">
        <f>2383880/1000</f>
        <v>2383.88</v>
      </c>
      <c r="F2785" s="85">
        <f>STATS1003B!F2794/1000</f>
        <v>2383.88</v>
      </c>
      <c r="G2785" s="85">
        <f>STATS1003B!G2794/1000</f>
        <v>0</v>
      </c>
      <c r="H2785" s="85">
        <f>2383880/1000</f>
        <v>2383.88</v>
      </c>
      <c r="I2785" s="85" t="e">
        <f>STATS1003B!I2794/1000</f>
        <v>#REF!</v>
      </c>
      <c r="J2785" s="85" t="e">
        <f>STATS1003B!J2794/1000</f>
        <v>#REF!</v>
      </c>
      <c r="K2785" s="85" t="e">
        <f>STATS1003B!K2794/1000</f>
        <v>#REF!</v>
      </c>
      <c r="L2785" s="85">
        <f>STATS1003B!L2794/1000</f>
        <v>0</v>
      </c>
      <c r="M2785" s="85">
        <f>STATS1003B!M2794/1000</f>
        <v>2383.88</v>
      </c>
      <c r="N2785" s="85">
        <f>STATS1003B!N2794/1000</f>
        <v>0</v>
      </c>
      <c r="O2785" s="85">
        <f>STATS1003B!O2794/1000</f>
        <v>0</v>
      </c>
      <c r="P2785" s="85">
        <v>0</v>
      </c>
      <c r="Q2785" s="85" t="e">
        <f>STATS1003B!Q2794/1000</f>
        <v>#REF!</v>
      </c>
      <c r="R2785" s="85" t="e">
        <f>STATS1003B!R2794/1000</f>
        <v>#REF!</v>
      </c>
      <c r="S2785" s="85" t="e">
        <f>STATS1003B!S2794/1000</f>
        <v>#REF!</v>
      </c>
      <c r="T2785" s="85">
        <f>STATS1003B!T2794/1000</f>
        <v>0</v>
      </c>
      <c r="U2785" s="85">
        <f>STATS1003B!U2794/1000</f>
        <v>0</v>
      </c>
      <c r="V2785" s="85" t="e">
        <f>STATS1003B!V2794/1000</f>
        <v>#REF!</v>
      </c>
      <c r="W2785" s="85" t="e">
        <f>STATS1003B!W2794/1000</f>
        <v>#REF!</v>
      </c>
      <c r="X2785" s="85">
        <f t="shared" si="300"/>
        <v>2383.88</v>
      </c>
      <c r="Y2785" s="85">
        <f>STATS1003B!Y2794/1000</f>
        <v>0</v>
      </c>
      <c r="Z2785" s="85">
        <f t="shared" si="299"/>
        <v>0</v>
      </c>
      <c r="AA2785" s="69">
        <f>STATS1003B!AA2794/1000</f>
        <v>2383.88</v>
      </c>
      <c r="AB2785" s="69">
        <f>STATS1003B!AB2794/1000</f>
        <v>0</v>
      </c>
    </row>
    <row r="2786" spans="1:28" x14ac:dyDescent="0.3">
      <c r="A2786" s="73"/>
      <c r="C2786" s="68" t="s">
        <v>894</v>
      </c>
      <c r="E2786" s="85">
        <f>9732956/1000</f>
        <v>9732.9560000000001</v>
      </c>
      <c r="F2786" s="85">
        <f>STATS1003B!F2795/1000</f>
        <v>9732.9563800000014</v>
      </c>
      <c r="G2786" s="85">
        <f>STATS1003B!G2795/1000</f>
        <v>0</v>
      </c>
      <c r="H2786" s="85">
        <f>9732956/1000</f>
        <v>9732.9560000000001</v>
      </c>
      <c r="I2786" s="85" t="e">
        <f>STATS1003B!I2795/1000</f>
        <v>#REF!</v>
      </c>
      <c r="J2786" s="85" t="e">
        <f>STATS1003B!J2795/1000</f>
        <v>#REF!</v>
      </c>
      <c r="K2786" s="85" t="e">
        <f>STATS1003B!K2795/1000</f>
        <v>#REF!</v>
      </c>
      <c r="L2786" s="85">
        <f>STATS1003B!L2795/1000</f>
        <v>0</v>
      </c>
      <c r="M2786" s="85">
        <f>STATS1003B!M2795/1000</f>
        <v>9732.9563800000014</v>
      </c>
      <c r="N2786" s="85">
        <f>STATS1003B!N2795/1000</f>
        <v>0</v>
      </c>
      <c r="O2786" s="85">
        <f>STATS1003B!O2795/1000</f>
        <v>0</v>
      </c>
      <c r="P2786" s="85">
        <v>0</v>
      </c>
      <c r="Q2786" s="85" t="e">
        <f>STATS1003B!Q2795/1000</f>
        <v>#REF!</v>
      </c>
      <c r="R2786" s="85" t="e">
        <f>STATS1003B!R2795/1000</f>
        <v>#REF!</v>
      </c>
      <c r="S2786" s="85" t="e">
        <f>STATS1003B!S2795/1000</f>
        <v>#REF!</v>
      </c>
      <c r="T2786" s="85">
        <f>STATS1003B!T2795/1000</f>
        <v>0</v>
      </c>
      <c r="U2786" s="85">
        <f>STATS1003B!U2795/1000</f>
        <v>0</v>
      </c>
      <c r="V2786" s="85" t="e">
        <f>STATS1003B!V2795/1000</f>
        <v>#REF!</v>
      </c>
      <c r="W2786" s="85" t="e">
        <f>STATS1003B!W2795/1000</f>
        <v>#REF!</v>
      </c>
      <c r="X2786" s="85">
        <f t="shared" si="300"/>
        <v>9732.9560000000001</v>
      </c>
      <c r="Y2786" s="85">
        <f>STATS1003B!Y2795/1000</f>
        <v>0</v>
      </c>
      <c r="Z2786" s="85">
        <f t="shared" si="299"/>
        <v>0</v>
      </c>
      <c r="AA2786" s="69">
        <f>STATS1003B!AA2795/1000</f>
        <v>9732.9563800000014</v>
      </c>
      <c r="AB2786" s="69">
        <f>STATS1003B!AB2795/1000</f>
        <v>0</v>
      </c>
    </row>
    <row r="2787" spans="1:28" x14ac:dyDescent="0.3">
      <c r="A2787" s="73"/>
      <c r="C2787" s="68" t="s">
        <v>1148</v>
      </c>
      <c r="E2787" s="85">
        <f>3914402/1000</f>
        <v>3914.402</v>
      </c>
      <c r="F2787" s="85">
        <f>STATS1003B!F2796/1000</f>
        <v>3909.5362800000003</v>
      </c>
      <c r="G2787" s="85">
        <f>STATS1003B!G2796/1000</f>
        <v>0</v>
      </c>
      <c r="H2787" s="85">
        <f>3914402/1000</f>
        <v>3914.402</v>
      </c>
      <c r="I2787" s="85">
        <f>STATS1003B!I2796/1000</f>
        <v>0</v>
      </c>
      <c r="J2787" s="85">
        <f>STATS1003B!J2796/1000</f>
        <v>0</v>
      </c>
      <c r="K2787" s="85">
        <f>STATS1003B!K2796/1000</f>
        <v>0</v>
      </c>
      <c r="L2787" s="85">
        <f>STATS1003B!L2796/1000</f>
        <v>0</v>
      </c>
      <c r="M2787" s="85">
        <f>STATS1003B!M2796/1000</f>
        <v>3909.5362800000003</v>
      </c>
      <c r="N2787" s="85">
        <f>STATS1003B!N2796/1000</f>
        <v>0</v>
      </c>
      <c r="O2787" s="85">
        <f>STATS1003B!O2796/1000</f>
        <v>0</v>
      </c>
      <c r="P2787" s="85">
        <v>0</v>
      </c>
      <c r="Q2787" s="85">
        <f>STATS1003B!Q2796/1000</f>
        <v>0</v>
      </c>
      <c r="R2787" s="85">
        <f>STATS1003B!R2796/1000</f>
        <v>0</v>
      </c>
      <c r="S2787" s="85">
        <f>STATS1003B!S2796/1000</f>
        <v>0</v>
      </c>
      <c r="T2787" s="85">
        <f>STATS1003B!T2796/1000</f>
        <v>0</v>
      </c>
      <c r="U2787" s="85">
        <f>STATS1003B!U2796/1000</f>
        <v>0</v>
      </c>
      <c r="V2787" s="85">
        <f>STATS1003B!V2796/1000</f>
        <v>0</v>
      </c>
      <c r="W2787" s="85">
        <f>STATS1003B!W2796/1000</f>
        <v>0</v>
      </c>
      <c r="X2787" s="85">
        <f t="shared" si="300"/>
        <v>3914.402</v>
      </c>
      <c r="Y2787" s="85">
        <f>STATS1003B!Y2796/1000</f>
        <v>0</v>
      </c>
      <c r="Z2787" s="85">
        <f t="shared" si="299"/>
        <v>0</v>
      </c>
      <c r="AA2787" s="69">
        <f>STATS1003B!AA2796/1000</f>
        <v>3909.5362800000003</v>
      </c>
      <c r="AB2787" s="69">
        <f>STATS1003B!AB2796/1000</f>
        <v>0</v>
      </c>
    </row>
    <row r="2788" spans="1:28" x14ac:dyDescent="0.3">
      <c r="A2788" s="73"/>
      <c r="C2788" s="68" t="s">
        <v>1150</v>
      </c>
      <c r="E2788" s="85">
        <f>525000/1000</f>
        <v>525</v>
      </c>
      <c r="F2788" s="85">
        <f>STATS1003B!F2797/1000</f>
        <v>525</v>
      </c>
      <c r="G2788" s="85">
        <f>STATS1003B!G2797/1000</f>
        <v>0</v>
      </c>
      <c r="H2788" s="85">
        <f>525000/1000</f>
        <v>525</v>
      </c>
      <c r="I2788" s="85">
        <f>STATS1003B!I2797/1000</f>
        <v>0</v>
      </c>
      <c r="J2788" s="85">
        <f>STATS1003B!J2797/1000</f>
        <v>0</v>
      </c>
      <c r="K2788" s="85">
        <f>STATS1003B!K2797/1000</f>
        <v>0</v>
      </c>
      <c r="L2788" s="85">
        <f>STATS1003B!L2797/1000</f>
        <v>0</v>
      </c>
      <c r="M2788" s="85">
        <f>STATS1003B!M2797/1000</f>
        <v>525</v>
      </c>
      <c r="N2788" s="85">
        <f>STATS1003B!N2797/1000</f>
        <v>0</v>
      </c>
      <c r="O2788" s="85">
        <f>STATS1003B!O2797/1000</f>
        <v>0</v>
      </c>
      <c r="P2788" s="85">
        <v>0</v>
      </c>
      <c r="Q2788" s="85">
        <f>STATS1003B!Q2797/1000</f>
        <v>0</v>
      </c>
      <c r="R2788" s="85">
        <f>STATS1003B!R2797/1000</f>
        <v>0</v>
      </c>
      <c r="S2788" s="85">
        <f>STATS1003B!S2797/1000</f>
        <v>0</v>
      </c>
      <c r="T2788" s="85">
        <f>STATS1003B!T2797/1000</f>
        <v>0</v>
      </c>
      <c r="U2788" s="85">
        <f>STATS1003B!U2797/1000</f>
        <v>0</v>
      </c>
      <c r="V2788" s="85">
        <f>STATS1003B!V2797/1000</f>
        <v>0</v>
      </c>
      <c r="W2788" s="85">
        <f>STATS1003B!W2797/1000</f>
        <v>0</v>
      </c>
      <c r="X2788" s="85">
        <f t="shared" si="300"/>
        <v>525</v>
      </c>
      <c r="Y2788" s="85">
        <f>STATS1003B!Y2797/1000</f>
        <v>0</v>
      </c>
      <c r="Z2788" s="85">
        <f t="shared" si="299"/>
        <v>0</v>
      </c>
      <c r="AA2788" s="69">
        <f>STATS1003B!AA2797/1000</f>
        <v>525</v>
      </c>
      <c r="AB2788" s="69">
        <f>STATS1003B!AB2797/1000</f>
        <v>0</v>
      </c>
    </row>
    <row r="2789" spans="1:28" x14ac:dyDescent="0.3">
      <c r="A2789" s="73"/>
      <c r="C2789" s="68" t="s">
        <v>1232</v>
      </c>
      <c r="E2789" s="85">
        <f>867860/1000</f>
        <v>867.86</v>
      </c>
      <c r="F2789" s="85">
        <f>STATS1003B!F2798/1000</f>
        <v>867.86</v>
      </c>
      <c r="G2789" s="85">
        <f>STATS1003B!G2798/1000</f>
        <v>0</v>
      </c>
      <c r="H2789" s="85">
        <f>867860/1000</f>
        <v>867.86</v>
      </c>
      <c r="I2789" s="85">
        <f>STATS1003B!I2798/1000</f>
        <v>0</v>
      </c>
      <c r="J2789" s="85">
        <f>STATS1003B!J2798/1000</f>
        <v>0</v>
      </c>
      <c r="K2789" s="85">
        <f>STATS1003B!K2798/1000</f>
        <v>0</v>
      </c>
      <c r="L2789" s="85">
        <f>STATS1003B!L2798/1000</f>
        <v>0</v>
      </c>
      <c r="M2789" s="85">
        <f>STATS1003B!M2798/1000</f>
        <v>867.86</v>
      </c>
      <c r="N2789" s="85">
        <f>STATS1003B!N2798/1000</f>
        <v>0</v>
      </c>
      <c r="O2789" s="85">
        <f>STATS1003B!O2798/1000</f>
        <v>0</v>
      </c>
      <c r="P2789" s="85">
        <v>0</v>
      </c>
      <c r="Q2789" s="85">
        <f>STATS1003B!Q2798/1000</f>
        <v>0</v>
      </c>
      <c r="R2789" s="85">
        <f>STATS1003B!R2798/1000</f>
        <v>0</v>
      </c>
      <c r="S2789" s="85">
        <f>STATS1003B!S2798/1000</f>
        <v>0</v>
      </c>
      <c r="T2789" s="85">
        <f>STATS1003B!T2798/1000</f>
        <v>0</v>
      </c>
      <c r="U2789" s="85">
        <f>STATS1003B!U2798/1000</f>
        <v>0</v>
      </c>
      <c r="V2789" s="85">
        <f>STATS1003B!V2798/1000</f>
        <v>0</v>
      </c>
      <c r="W2789" s="85">
        <f>STATS1003B!W2798/1000</f>
        <v>0</v>
      </c>
      <c r="X2789" s="85">
        <f t="shared" si="300"/>
        <v>867.86</v>
      </c>
      <c r="Y2789" s="85">
        <f>STATS1003B!Y2798/1000</f>
        <v>0</v>
      </c>
      <c r="Z2789" s="85">
        <f t="shared" si="299"/>
        <v>0</v>
      </c>
      <c r="AA2789" s="69">
        <f>STATS1003B!AA2798/1000</f>
        <v>867.86</v>
      </c>
      <c r="AB2789" s="69">
        <f>STATS1003B!AB2798/1000</f>
        <v>0</v>
      </c>
    </row>
    <row r="2790" spans="1:28" x14ac:dyDescent="0.3">
      <c r="A2790" s="73"/>
      <c r="C2790" s="68" t="s">
        <v>895</v>
      </c>
      <c r="E2790" s="85">
        <f>191459714/1000</f>
        <v>191459.71400000001</v>
      </c>
      <c r="F2790" s="85">
        <f>STATS1003B!F2799/1000</f>
        <v>191416.28955000002</v>
      </c>
      <c r="G2790" s="85">
        <f>STATS1003B!G2799/1000</f>
        <v>0</v>
      </c>
      <c r="H2790" s="85">
        <f>191416283/1000</f>
        <v>191416.283</v>
      </c>
      <c r="I2790" s="85" t="e">
        <f>STATS1003B!I2799/1000</f>
        <v>#REF!</v>
      </c>
      <c r="J2790" s="85" t="e">
        <f>STATS1003B!J2799/1000</f>
        <v>#REF!</v>
      </c>
      <c r="K2790" s="85" t="e">
        <f>STATS1003B!K2799/1000</f>
        <v>#REF!</v>
      </c>
      <c r="L2790" s="85">
        <f>STATS1003B!L2799/1000</f>
        <v>0</v>
      </c>
      <c r="M2790" s="85">
        <f>STATS1003B!M2799/1000</f>
        <v>191416.28955000002</v>
      </c>
      <c r="N2790" s="85">
        <f>STATS1003B!N2799/1000</f>
        <v>0</v>
      </c>
      <c r="O2790" s="85">
        <f>STATS1003B!O2799/1000</f>
        <v>0</v>
      </c>
      <c r="P2790" s="85">
        <v>0</v>
      </c>
      <c r="Q2790" s="85" t="e">
        <f>STATS1003B!Q2799/1000</f>
        <v>#REF!</v>
      </c>
      <c r="R2790" s="85" t="e">
        <f>STATS1003B!R2799/1000</f>
        <v>#REF!</v>
      </c>
      <c r="S2790" s="85" t="e">
        <f>STATS1003B!S2799/1000</f>
        <v>#REF!</v>
      </c>
      <c r="T2790" s="85">
        <f>STATS1003B!T2799/1000</f>
        <v>0</v>
      </c>
      <c r="U2790" s="85">
        <f>STATS1003B!U2799/1000</f>
        <v>0</v>
      </c>
      <c r="V2790" s="85" t="e">
        <f>STATS1003B!V2799/1000</f>
        <v>#REF!</v>
      </c>
      <c r="W2790" s="85" t="e">
        <f>STATS1003B!W2799/1000</f>
        <v>#REF!</v>
      </c>
      <c r="X2790" s="85">
        <f t="shared" si="300"/>
        <v>191416.283</v>
      </c>
      <c r="Y2790" s="85">
        <f>STATS1003B!Y2799/1000</f>
        <v>0</v>
      </c>
      <c r="Z2790" s="85">
        <f t="shared" si="299"/>
        <v>43.431000000011409</v>
      </c>
      <c r="AA2790" s="69">
        <f>STATS1003B!AA2799/1000</f>
        <v>191416.28955000002</v>
      </c>
      <c r="AB2790" s="69">
        <f>STATS1003B!AB2799/1000</f>
        <v>43.424619999974965</v>
      </c>
    </row>
    <row r="2791" spans="1:28" x14ac:dyDescent="0.3">
      <c r="A2791" s="73"/>
      <c r="C2791" s="68" t="s">
        <v>896</v>
      </c>
      <c r="E2791" s="85">
        <f>226838806/1000</f>
        <v>226838.80600000001</v>
      </c>
      <c r="F2791" s="85">
        <f>STATS1003B!F2800/1000</f>
        <v>208153.61300000001</v>
      </c>
      <c r="G2791" s="85">
        <f>STATS1003B!G2800/1000</f>
        <v>0</v>
      </c>
      <c r="H2791" s="85">
        <f>208153613/1000</f>
        <v>208153.61300000001</v>
      </c>
      <c r="I2791" s="85" t="e">
        <f>STATS1003B!I2800/1000</f>
        <v>#REF!</v>
      </c>
      <c r="J2791" s="85" t="e">
        <f>STATS1003B!J2800/1000</f>
        <v>#REF!</v>
      </c>
      <c r="K2791" s="85" t="e">
        <f>STATS1003B!K2800/1000</f>
        <v>#REF!</v>
      </c>
      <c r="L2791" s="85">
        <f>STATS1003B!L2800/1000</f>
        <v>0</v>
      </c>
      <c r="M2791" s="85">
        <f>STATS1003B!M2800/1000</f>
        <v>208153.61300000001</v>
      </c>
      <c r="N2791" s="85">
        <f>STATS1003B!N2800/1000</f>
        <v>5864.8500599999998</v>
      </c>
      <c r="O2791" s="85">
        <f>STATS1003B!O2800/1000</f>
        <v>0</v>
      </c>
      <c r="P2791" s="85">
        <f>5864850/1000</f>
        <v>5864.85</v>
      </c>
      <c r="Q2791" s="85" t="e">
        <f>STATS1003B!Q2800/1000</f>
        <v>#REF!</v>
      </c>
      <c r="R2791" s="85" t="e">
        <f>STATS1003B!R2800/1000</f>
        <v>#REF!</v>
      </c>
      <c r="S2791" s="85" t="e">
        <f>STATS1003B!S2800/1000</f>
        <v>#REF!</v>
      </c>
      <c r="T2791" s="85">
        <f>STATS1003B!T2800/1000</f>
        <v>12399.92268</v>
      </c>
      <c r="U2791" s="85">
        <f>STATS1003B!U2800/1000</f>
        <v>18264.772739999997</v>
      </c>
      <c r="V2791" s="85" t="e">
        <f>STATS1003B!V2800/1000</f>
        <v>#REF!</v>
      </c>
      <c r="W2791" s="85" t="e">
        <f>STATS1003B!W2800/1000</f>
        <v>#REF!</v>
      </c>
      <c r="X2791" s="85">
        <f t="shared" si="300"/>
        <v>214018.46300000002</v>
      </c>
      <c r="Y2791" s="85">
        <f>STATS1003B!Y2800/1000</f>
        <v>0</v>
      </c>
      <c r="Z2791" s="85">
        <f t="shared" si="299"/>
        <v>12820.342999999993</v>
      </c>
      <c r="AA2791" s="69">
        <f>STATS1003B!AA2800/1000</f>
        <v>226418.38574</v>
      </c>
      <c r="AB2791" s="69">
        <f>STATS1003B!AB2800/1000</f>
        <v>420.42099999999999</v>
      </c>
    </row>
    <row r="2792" spans="1:28" x14ac:dyDescent="0.3">
      <c r="A2792" s="73"/>
      <c r="C2792" s="68" t="s">
        <v>897</v>
      </c>
      <c r="E2792" s="85">
        <f>235031389/1000</f>
        <v>235031.389</v>
      </c>
      <c r="F2792" s="85">
        <f>STATS1003B!F2801/1000</f>
        <v>229803.07952999999</v>
      </c>
      <c r="G2792" s="85">
        <f>STATS1003B!G2801/1000</f>
        <v>0</v>
      </c>
      <c r="H2792" s="85">
        <f>229803079/1000</f>
        <v>229803.079</v>
      </c>
      <c r="I2792" s="85">
        <f>STATS1003B!I2801/1000</f>
        <v>0</v>
      </c>
      <c r="J2792" s="85">
        <f>STATS1003B!J2801/1000</f>
        <v>0</v>
      </c>
      <c r="K2792" s="85">
        <f>STATS1003B!K2801/1000</f>
        <v>0</v>
      </c>
      <c r="L2792" s="85">
        <f>STATS1003B!L2801/1000</f>
        <v>0</v>
      </c>
      <c r="M2792" s="85">
        <f>STATS1003B!M2801/1000</f>
        <v>229803.07952999999</v>
      </c>
      <c r="N2792" s="85">
        <f>STATS1003B!N2801/1000</f>
        <v>2446.3159599999999</v>
      </c>
      <c r="O2792" s="85">
        <f>STATS1003B!O2801/1000</f>
        <v>0</v>
      </c>
      <c r="P2792" s="85">
        <f>2446315/1000</f>
        <v>2446.3150000000001</v>
      </c>
      <c r="Q2792" s="85">
        <f>STATS1003B!Q2801/1000</f>
        <v>0</v>
      </c>
      <c r="R2792" s="85">
        <f>STATS1003B!R2801/1000</f>
        <v>0</v>
      </c>
      <c r="S2792" s="85">
        <f>STATS1003B!S2801/1000</f>
        <v>0</v>
      </c>
      <c r="T2792" s="85">
        <f>STATS1003B!T2801/1000</f>
        <v>0</v>
      </c>
      <c r="U2792" s="85">
        <f>STATS1003B!U2801/1000</f>
        <v>2446.3159599999999</v>
      </c>
      <c r="V2792" s="85">
        <f>STATS1003B!V2801/1000</f>
        <v>0</v>
      </c>
      <c r="W2792" s="85">
        <f>STATS1003B!W2801/1000</f>
        <v>0</v>
      </c>
      <c r="X2792" s="85">
        <f t="shared" si="300"/>
        <v>232249.394</v>
      </c>
      <c r="Y2792" s="85">
        <f>STATS1003B!Y2801/1000</f>
        <v>0</v>
      </c>
      <c r="Z2792" s="85">
        <f t="shared" si="299"/>
        <v>2781.9949999999953</v>
      </c>
      <c r="AA2792" s="69">
        <f>STATS1003B!AA2801/1000</f>
        <v>232249.39549</v>
      </c>
      <c r="AB2792" s="69">
        <f>STATS1003B!AB2801/1000</f>
        <v>2781.9943700000049</v>
      </c>
    </row>
    <row r="2793" spans="1:28" x14ac:dyDescent="0.3">
      <c r="A2793" s="73"/>
      <c r="C2793" s="68" t="s">
        <v>1085</v>
      </c>
      <c r="E2793" s="85">
        <f>128933255/1000</f>
        <v>128933.255</v>
      </c>
      <c r="F2793" s="85">
        <f>STATS1003B!F2802/1000</f>
        <v>128933.25519</v>
      </c>
      <c r="G2793" s="85">
        <f>STATS1003B!G2802/1000</f>
        <v>0</v>
      </c>
      <c r="H2793" s="85">
        <f>128933255/1000</f>
        <v>128933.255</v>
      </c>
      <c r="I2793" s="85">
        <f>STATS1003B!I2802/1000</f>
        <v>0</v>
      </c>
      <c r="J2793" s="85">
        <f>STATS1003B!J2802/1000</f>
        <v>0</v>
      </c>
      <c r="K2793" s="85">
        <f>STATS1003B!K2802/1000</f>
        <v>0</v>
      </c>
      <c r="L2793" s="85">
        <f>STATS1003B!L2802/1000</f>
        <v>0</v>
      </c>
      <c r="M2793" s="85">
        <f>STATS1003B!M2802/1000</f>
        <v>128933.25519</v>
      </c>
      <c r="N2793" s="85">
        <f>STATS1003B!N2802/1000</f>
        <v>0</v>
      </c>
      <c r="O2793" s="85">
        <f>STATS1003B!O2802/1000</f>
        <v>0</v>
      </c>
      <c r="P2793" s="85">
        <v>0</v>
      </c>
      <c r="Q2793" s="85">
        <f>STATS1003B!Q2802/1000</f>
        <v>0</v>
      </c>
      <c r="R2793" s="85">
        <f>STATS1003B!R2802/1000</f>
        <v>0</v>
      </c>
      <c r="S2793" s="85">
        <f>STATS1003B!S2802/1000</f>
        <v>0</v>
      </c>
      <c r="T2793" s="85">
        <f>STATS1003B!T2802/1000</f>
        <v>0</v>
      </c>
      <c r="U2793" s="85">
        <f>STATS1003B!U2802/1000</f>
        <v>0</v>
      </c>
      <c r="V2793" s="85">
        <f>STATS1003B!V2802/1000</f>
        <v>0</v>
      </c>
      <c r="W2793" s="85">
        <f>STATS1003B!W2802/1000</f>
        <v>0</v>
      </c>
      <c r="X2793" s="85">
        <f t="shared" si="300"/>
        <v>128933.255</v>
      </c>
      <c r="Y2793" s="85">
        <f>STATS1003B!Y2802/1000</f>
        <v>0</v>
      </c>
      <c r="Z2793" s="85">
        <f t="shared" si="299"/>
        <v>0</v>
      </c>
      <c r="AA2793" s="69">
        <f>STATS1003B!AA2802/1000</f>
        <v>128933.25519</v>
      </c>
      <c r="AB2793" s="69">
        <f>STATS1003B!AB2802/1000</f>
        <v>0</v>
      </c>
    </row>
    <row r="2794" spans="1:28" x14ac:dyDescent="0.3">
      <c r="A2794" s="73"/>
      <c r="C2794" s="68" t="s">
        <v>1199</v>
      </c>
      <c r="E2794" s="85">
        <f>37932269/1000</f>
        <v>37932.269</v>
      </c>
      <c r="F2794" s="85">
        <f>STATS1003B!F2803/1000</f>
        <v>37932.269100000005</v>
      </c>
      <c r="G2794" s="85">
        <f>STATS1003B!G2803/1000</f>
        <v>0</v>
      </c>
      <c r="H2794" s="85">
        <f>37932269/1000</f>
        <v>37932.269</v>
      </c>
      <c r="I2794" s="85">
        <f>STATS1003B!I2803/1000</f>
        <v>0</v>
      </c>
      <c r="J2794" s="85">
        <f>STATS1003B!J2803/1000</f>
        <v>0</v>
      </c>
      <c r="K2794" s="85">
        <f>STATS1003B!K2803/1000</f>
        <v>0</v>
      </c>
      <c r="L2794" s="85">
        <f>STATS1003B!L2803/1000</f>
        <v>0</v>
      </c>
      <c r="M2794" s="85">
        <f>STATS1003B!M2803/1000</f>
        <v>37932.269100000005</v>
      </c>
      <c r="N2794" s="85">
        <f>STATS1003B!N2803/1000</f>
        <v>0</v>
      </c>
      <c r="O2794" s="85">
        <f>STATS1003B!O2803/1000</f>
        <v>0</v>
      </c>
      <c r="P2794" s="85">
        <v>0</v>
      </c>
      <c r="Q2794" s="85">
        <f>STATS1003B!Q2803/1000</f>
        <v>0</v>
      </c>
      <c r="R2794" s="85">
        <f>STATS1003B!R2803/1000</f>
        <v>0</v>
      </c>
      <c r="S2794" s="85">
        <f>STATS1003B!S2803/1000</f>
        <v>0</v>
      </c>
      <c r="T2794" s="85">
        <f>STATS1003B!T2803/1000</f>
        <v>0</v>
      </c>
      <c r="U2794" s="85">
        <f>STATS1003B!U2803/1000</f>
        <v>0</v>
      </c>
      <c r="V2794" s="85">
        <f>STATS1003B!V2803/1000</f>
        <v>0</v>
      </c>
      <c r="W2794" s="85">
        <f>STATS1003B!W2803/1000</f>
        <v>0</v>
      </c>
      <c r="X2794" s="85">
        <f t="shared" si="300"/>
        <v>37932.269</v>
      </c>
      <c r="Y2794" s="85">
        <f>STATS1003B!Y2803/1000</f>
        <v>0</v>
      </c>
      <c r="Z2794" s="85">
        <f t="shared" si="299"/>
        <v>0</v>
      </c>
      <c r="AA2794" s="69">
        <f>STATS1003B!AA2803/1000</f>
        <v>37932.269100000005</v>
      </c>
      <c r="AB2794" s="69">
        <f>STATS1003B!AB2803/1000</f>
        <v>0</v>
      </c>
    </row>
    <row r="2795" spans="1:28" x14ac:dyDescent="0.3">
      <c r="A2795" s="73"/>
      <c r="C2795" s="68" t="s">
        <v>1263</v>
      </c>
      <c r="E2795" s="85">
        <f>78528901/1000</f>
        <v>78528.900999999998</v>
      </c>
      <c r="F2795" s="85">
        <f>STATS1003B!F2804/1000</f>
        <v>0</v>
      </c>
      <c r="G2795" s="85">
        <f>STATS1003B!G2804/1000</f>
        <v>3978.8636299999998</v>
      </c>
      <c r="H2795" s="85">
        <f>78528901/1000</f>
        <v>78528.900999999998</v>
      </c>
      <c r="I2795" s="85">
        <f>STATS1003B!I2804/1000</f>
        <v>0</v>
      </c>
      <c r="J2795" s="85">
        <f>STATS1003B!J2804/1000</f>
        <v>0</v>
      </c>
      <c r="K2795" s="85">
        <f>STATS1003B!K2804/1000</f>
        <v>0</v>
      </c>
      <c r="L2795" s="85">
        <f>STATS1003B!L2804/1000</f>
        <v>0</v>
      </c>
      <c r="M2795" s="85">
        <f>STATS1003B!M2804/1000</f>
        <v>0</v>
      </c>
      <c r="N2795" s="85">
        <f>STATS1003B!N2804/1000</f>
        <v>0</v>
      </c>
      <c r="O2795" s="85">
        <f>STATS1003B!O2804/1000</f>
        <v>0</v>
      </c>
      <c r="P2795" s="85">
        <v>0</v>
      </c>
      <c r="Q2795" s="85">
        <f>STATS1003B!Q2804/1000</f>
        <v>0</v>
      </c>
      <c r="R2795" s="85">
        <f>STATS1003B!R2804/1000</f>
        <v>0</v>
      </c>
      <c r="S2795" s="85">
        <f>STATS1003B!S2804/1000</f>
        <v>0</v>
      </c>
      <c r="T2795" s="85">
        <f>STATS1003B!T2804/1000</f>
        <v>0</v>
      </c>
      <c r="U2795" s="85">
        <f>STATS1003B!U2804/1000</f>
        <v>0</v>
      </c>
      <c r="V2795" s="85">
        <f>STATS1003B!V2804/1000</f>
        <v>0</v>
      </c>
      <c r="W2795" s="85">
        <f>STATS1003B!W2804/1000</f>
        <v>0</v>
      </c>
      <c r="X2795" s="85">
        <f t="shared" si="300"/>
        <v>78528.900999999998</v>
      </c>
      <c r="Y2795" s="85">
        <f>STATS1003B!Y2804/1000</f>
        <v>0</v>
      </c>
      <c r="Z2795" s="85">
        <f t="shared" si="299"/>
        <v>0</v>
      </c>
      <c r="AA2795" s="69">
        <f>STATS1003B!AA2804/1000</f>
        <v>0</v>
      </c>
      <c r="AB2795" s="69">
        <f>STATS1003B!AB2804/1000</f>
        <v>0</v>
      </c>
    </row>
    <row r="2796" spans="1:28" x14ac:dyDescent="0.3">
      <c r="A2796" s="73"/>
      <c r="C2796" s="68" t="s">
        <v>1279</v>
      </c>
      <c r="E2796" s="85">
        <f>2446549/1000</f>
        <v>2446.549</v>
      </c>
      <c r="F2796" s="85"/>
      <c r="G2796" s="85"/>
      <c r="H2796" s="85">
        <f>2446549/1000</f>
        <v>2446.549</v>
      </c>
      <c r="I2796" s="85"/>
      <c r="J2796" s="85"/>
      <c r="K2796" s="85"/>
      <c r="L2796" s="85"/>
      <c r="M2796" s="85"/>
      <c r="N2796" s="85"/>
      <c r="O2796" s="85"/>
      <c r="P2796" s="85">
        <v>0</v>
      </c>
      <c r="Q2796" s="85"/>
      <c r="R2796" s="85"/>
      <c r="S2796" s="85"/>
      <c r="T2796" s="85"/>
      <c r="U2796" s="85"/>
      <c r="V2796" s="85"/>
      <c r="W2796" s="85"/>
      <c r="X2796" s="85">
        <f t="shared" si="300"/>
        <v>2446.549</v>
      </c>
      <c r="Y2796" s="85"/>
      <c r="Z2796" s="85">
        <f t="shared" si="299"/>
        <v>0</v>
      </c>
      <c r="AA2796" s="69"/>
      <c r="AB2796" s="69"/>
    </row>
    <row r="2797" spans="1:28" x14ac:dyDescent="0.3">
      <c r="A2797" s="73"/>
      <c r="C2797" s="68" t="s">
        <v>1274</v>
      </c>
      <c r="E2797" s="85">
        <f>8000000/1000</f>
        <v>8000</v>
      </c>
      <c r="F2797" s="85"/>
      <c r="G2797" s="85"/>
      <c r="H2797" s="85">
        <f>8000000/1000</f>
        <v>8000</v>
      </c>
      <c r="I2797" s="85"/>
      <c r="J2797" s="85"/>
      <c r="K2797" s="85"/>
      <c r="L2797" s="85"/>
      <c r="M2797" s="85"/>
      <c r="N2797" s="85"/>
      <c r="O2797" s="85"/>
      <c r="P2797" s="85">
        <v>0</v>
      </c>
      <c r="Q2797" s="85"/>
      <c r="R2797" s="85"/>
      <c r="S2797" s="85"/>
      <c r="T2797" s="85"/>
      <c r="U2797" s="85"/>
      <c r="V2797" s="85"/>
      <c r="W2797" s="85"/>
      <c r="X2797" s="85">
        <f>+H2797+P2797</f>
        <v>8000</v>
      </c>
      <c r="Y2797" s="85"/>
      <c r="Z2797" s="85">
        <f t="shared" si="299"/>
        <v>0</v>
      </c>
      <c r="AA2797" s="69"/>
      <c r="AB2797" s="69"/>
    </row>
    <row r="2798" spans="1:28" x14ac:dyDescent="0.3">
      <c r="A2798" s="73"/>
      <c r="C2798" s="68" t="s">
        <v>1185</v>
      </c>
      <c r="E2798" s="85">
        <f>4109895/1000</f>
        <v>4109.8950000000004</v>
      </c>
      <c r="F2798" s="85">
        <f>STATS1003B!F2805/1000</f>
        <v>4109.8959599999998</v>
      </c>
      <c r="G2798" s="85">
        <f>STATS1003B!G2805/1000</f>
        <v>0</v>
      </c>
      <c r="H2798" s="85">
        <f>4109895/1000</f>
        <v>4109.8950000000004</v>
      </c>
      <c r="I2798" s="85">
        <f>STATS1003B!I2805/1000</f>
        <v>0</v>
      </c>
      <c r="J2798" s="85">
        <f>STATS1003B!J2805/1000</f>
        <v>0</v>
      </c>
      <c r="K2798" s="85">
        <f>STATS1003B!K2805/1000</f>
        <v>0</v>
      </c>
      <c r="L2798" s="85">
        <f>STATS1003B!L2805/1000</f>
        <v>0</v>
      </c>
      <c r="M2798" s="85">
        <f>STATS1003B!M2805/1000</f>
        <v>4109.8959599999998</v>
      </c>
      <c r="N2798" s="85">
        <f>STATS1003B!N2805/1000</f>
        <v>0</v>
      </c>
      <c r="O2798" s="85">
        <f>STATS1003B!O2805/1000</f>
        <v>0</v>
      </c>
      <c r="P2798" s="85">
        <v>0</v>
      </c>
      <c r="Q2798" s="85">
        <f>STATS1003B!Q2805/1000</f>
        <v>0</v>
      </c>
      <c r="R2798" s="85">
        <f>STATS1003B!R2805/1000</f>
        <v>0</v>
      </c>
      <c r="S2798" s="85">
        <f>STATS1003B!S2805/1000</f>
        <v>0</v>
      </c>
      <c r="T2798" s="85">
        <f>STATS1003B!T2805/1000</f>
        <v>0</v>
      </c>
      <c r="U2798" s="85">
        <f>STATS1003B!U2805/1000</f>
        <v>0</v>
      </c>
      <c r="V2798" s="85">
        <f>STATS1003B!V2805/1000</f>
        <v>0</v>
      </c>
      <c r="W2798" s="85">
        <f>STATS1003B!W2805/1000</f>
        <v>0</v>
      </c>
      <c r="X2798" s="85">
        <f t="shared" si="300"/>
        <v>4109.8950000000004</v>
      </c>
      <c r="Y2798" s="85">
        <f>STATS1003B!Y2805/1000</f>
        <v>0</v>
      </c>
      <c r="Z2798" s="85">
        <f t="shared" si="299"/>
        <v>0</v>
      </c>
      <c r="AA2798" s="69">
        <f>STATS1003B!AA2805/1000</f>
        <v>4109.8959599999998</v>
      </c>
      <c r="AB2798" s="69">
        <f>STATS1003B!AB2805/1000</f>
        <v>0</v>
      </c>
    </row>
    <row r="2799" spans="1:28" x14ac:dyDescent="0.3">
      <c r="A2799" s="73"/>
      <c r="C2799" s="68" t="s">
        <v>1182</v>
      </c>
      <c r="E2799" s="85">
        <f>1355200.96/1000</f>
        <v>1355.2009599999999</v>
      </c>
      <c r="F2799" s="85">
        <f>STATS1003B!F2806/1000</f>
        <v>1355.2009599999999</v>
      </c>
      <c r="G2799" s="85">
        <f>STATS1003B!G2806/1000</f>
        <v>0</v>
      </c>
      <c r="H2799" s="85">
        <f>1355200/1000</f>
        <v>1355.2</v>
      </c>
      <c r="I2799" s="85">
        <f>STATS1003B!I2806/1000</f>
        <v>0</v>
      </c>
      <c r="J2799" s="85">
        <f>STATS1003B!J2806/1000</f>
        <v>0</v>
      </c>
      <c r="K2799" s="85">
        <f>STATS1003B!K2806/1000</f>
        <v>0</v>
      </c>
      <c r="L2799" s="85">
        <f>STATS1003B!L2806/1000</f>
        <v>0</v>
      </c>
      <c r="M2799" s="85">
        <f>STATS1003B!M2806/1000</f>
        <v>1355.2009599999999</v>
      </c>
      <c r="N2799" s="85">
        <f>STATS1003B!N2806/1000</f>
        <v>0</v>
      </c>
      <c r="O2799" s="85">
        <f>STATS1003B!O2806/1000</f>
        <v>0</v>
      </c>
      <c r="P2799" s="85">
        <v>0</v>
      </c>
      <c r="Q2799" s="85">
        <f>STATS1003B!Q2806/1000</f>
        <v>0</v>
      </c>
      <c r="R2799" s="85">
        <f>STATS1003B!R2806/1000</f>
        <v>0</v>
      </c>
      <c r="S2799" s="85">
        <f>STATS1003B!S2806/1000</f>
        <v>0</v>
      </c>
      <c r="T2799" s="85">
        <f>STATS1003B!T2806/1000</f>
        <v>0</v>
      </c>
      <c r="U2799" s="85">
        <f>STATS1003B!U2806/1000</f>
        <v>0</v>
      </c>
      <c r="V2799" s="85">
        <f>STATS1003B!V2806/1000</f>
        <v>0</v>
      </c>
      <c r="W2799" s="85">
        <f>STATS1003B!W2806/1000</f>
        <v>0</v>
      </c>
      <c r="X2799" s="85">
        <f t="shared" si="300"/>
        <v>1355.2</v>
      </c>
      <c r="Y2799" s="85">
        <f>STATS1003B!Y2806/1000</f>
        <v>0</v>
      </c>
      <c r="Z2799" s="85">
        <f t="shared" si="299"/>
        <v>9.5999999984996975E-4</v>
      </c>
      <c r="AA2799" s="69">
        <f>STATS1003B!AA2806/1000</f>
        <v>1355.2009599999999</v>
      </c>
      <c r="AB2799" s="69">
        <f>STATS1003B!AB2806/1000</f>
        <v>0</v>
      </c>
    </row>
    <row r="2800" spans="1:28" x14ac:dyDescent="0.3">
      <c r="A2800" s="73"/>
      <c r="C2800" s="68" t="s">
        <v>1116</v>
      </c>
      <c r="E2800" s="85">
        <f>11395659/1000</f>
        <v>11395.659</v>
      </c>
      <c r="F2800" s="85">
        <f>STATS1003B!F2807/1000</f>
        <v>11395.659609999999</v>
      </c>
      <c r="G2800" s="85">
        <f>STATS1003B!G2807/1000</f>
        <v>0</v>
      </c>
      <c r="H2800" s="85">
        <f>11395659/1000</f>
        <v>11395.659</v>
      </c>
      <c r="I2800" s="85">
        <f>STATS1003B!I2807/1000</f>
        <v>0</v>
      </c>
      <c r="J2800" s="85">
        <f>STATS1003B!J2807/1000</f>
        <v>0</v>
      </c>
      <c r="K2800" s="85">
        <f>STATS1003B!K2807/1000</f>
        <v>0</v>
      </c>
      <c r="L2800" s="85">
        <f>STATS1003B!L2807/1000</f>
        <v>0</v>
      </c>
      <c r="M2800" s="85">
        <f>STATS1003B!M2807/1000</f>
        <v>11395.659609999999</v>
      </c>
      <c r="N2800" s="85">
        <f>STATS1003B!N2807/1000</f>
        <v>0</v>
      </c>
      <c r="O2800" s="85">
        <f>STATS1003B!O2807/1000</f>
        <v>0</v>
      </c>
      <c r="P2800" s="85">
        <v>0</v>
      </c>
      <c r="Q2800" s="85">
        <f>STATS1003B!Q2807/1000</f>
        <v>0</v>
      </c>
      <c r="R2800" s="85">
        <f>STATS1003B!R2807/1000</f>
        <v>0</v>
      </c>
      <c r="S2800" s="85">
        <f>STATS1003B!S2807/1000</f>
        <v>0</v>
      </c>
      <c r="T2800" s="85">
        <f>STATS1003B!T2807/1000</f>
        <v>0</v>
      </c>
      <c r="U2800" s="85">
        <f>STATS1003B!U2807/1000</f>
        <v>0</v>
      </c>
      <c r="V2800" s="85">
        <f>STATS1003B!V2807/1000</f>
        <v>0</v>
      </c>
      <c r="W2800" s="85">
        <f>STATS1003B!W2807/1000</f>
        <v>0</v>
      </c>
      <c r="X2800" s="85">
        <f t="shared" si="300"/>
        <v>11395.659</v>
      </c>
      <c r="Y2800" s="85">
        <f>STATS1003B!Y2807/1000</f>
        <v>0</v>
      </c>
      <c r="Z2800" s="85">
        <f t="shared" si="299"/>
        <v>0</v>
      </c>
      <c r="AA2800" s="69">
        <f>STATS1003B!AA2807/1000</f>
        <v>11395.659609999999</v>
      </c>
      <c r="AB2800" s="69">
        <f>STATS1003B!AB2807/1000</f>
        <v>0</v>
      </c>
    </row>
    <row r="2801" spans="1:28" x14ac:dyDescent="0.3">
      <c r="A2801" s="73"/>
      <c r="C2801" s="68" t="s">
        <v>898</v>
      </c>
      <c r="E2801" s="85">
        <f>212340795/1000</f>
        <v>212340.79500000001</v>
      </c>
      <c r="F2801" s="85">
        <f>STATS1003B!F2808/1000</f>
        <v>207440.97955000005</v>
      </c>
      <c r="G2801" s="85">
        <f>STATS1003B!G2808/1000</f>
        <v>0</v>
      </c>
      <c r="H2801" s="85">
        <f>207440979/1000</f>
        <v>207440.97899999999</v>
      </c>
      <c r="I2801" s="85">
        <f>STATS1003B!I2808/1000</f>
        <v>0</v>
      </c>
      <c r="J2801" s="85">
        <f>STATS1003B!J2808/1000</f>
        <v>0</v>
      </c>
      <c r="K2801" s="85">
        <f>STATS1003B!K2808/1000</f>
        <v>0</v>
      </c>
      <c r="L2801" s="85">
        <f>STATS1003B!L2808/1000</f>
        <v>0</v>
      </c>
      <c r="M2801" s="85">
        <f>STATS1003B!M2808/1000</f>
        <v>207440.97955000005</v>
      </c>
      <c r="N2801" s="85">
        <f>STATS1003B!N2808/1000</f>
        <v>1036.14499</v>
      </c>
      <c r="O2801" s="85">
        <f>STATS1003B!O2808/1000</f>
        <v>0</v>
      </c>
      <c r="P2801" s="85">
        <f>1036144/1000</f>
        <v>1036.144</v>
      </c>
      <c r="Q2801" s="85">
        <f>STATS1003B!Q2808/1000</f>
        <v>0</v>
      </c>
      <c r="R2801" s="85">
        <f>STATS1003B!R2808/1000</f>
        <v>0</v>
      </c>
      <c r="S2801" s="85">
        <f>STATS1003B!S2808/1000</f>
        <v>0</v>
      </c>
      <c r="T2801" s="85">
        <f>STATS1003B!T2808/1000</f>
        <v>803.29505000000006</v>
      </c>
      <c r="U2801" s="85">
        <f>STATS1003B!U2808/1000</f>
        <v>1839.44004</v>
      </c>
      <c r="V2801" s="85">
        <f>STATS1003B!V2808/1000</f>
        <v>0</v>
      </c>
      <c r="W2801" s="85">
        <f>STATS1003B!W2808/1000</f>
        <v>0</v>
      </c>
      <c r="X2801" s="85">
        <f t="shared" si="300"/>
        <v>208477.12299999999</v>
      </c>
      <c r="Y2801" s="85">
        <f>STATS1003B!Y2808/1000</f>
        <v>0</v>
      </c>
      <c r="Z2801" s="85">
        <f t="shared" si="299"/>
        <v>3863.6720000000205</v>
      </c>
      <c r="AA2801" s="69">
        <f>STATS1003B!AA2808/1000</f>
        <v>209280.41959000003</v>
      </c>
      <c r="AB2801" s="69">
        <f>STATS1003B!AB2808/1000</f>
        <v>3060.3760199999215</v>
      </c>
    </row>
    <row r="2802" spans="1:28" x14ac:dyDescent="0.3">
      <c r="A2802" s="73"/>
      <c r="C2802" s="68" t="s">
        <v>1231</v>
      </c>
      <c r="E2802" s="85">
        <f>86400/1000</f>
        <v>86.4</v>
      </c>
      <c r="F2802" s="85">
        <f>STATS1003B!F2809/1000</f>
        <v>86.4</v>
      </c>
      <c r="G2802" s="85">
        <f>STATS1003B!G2809/1000</f>
        <v>0</v>
      </c>
      <c r="H2802" s="85">
        <f>86400/1000</f>
        <v>86.4</v>
      </c>
      <c r="I2802" s="85">
        <f>STATS1003B!I2809/1000</f>
        <v>0</v>
      </c>
      <c r="J2802" s="85">
        <f>STATS1003B!J2809/1000</f>
        <v>0</v>
      </c>
      <c r="K2802" s="85">
        <f>STATS1003B!K2809/1000</f>
        <v>0</v>
      </c>
      <c r="L2802" s="85">
        <f>STATS1003B!L2809/1000</f>
        <v>0</v>
      </c>
      <c r="M2802" s="85">
        <f>STATS1003B!M2809/1000</f>
        <v>86.4</v>
      </c>
      <c r="N2802" s="85">
        <f>STATS1003B!N2809/1000</f>
        <v>0</v>
      </c>
      <c r="O2802" s="85">
        <f>STATS1003B!O2809/1000</f>
        <v>0</v>
      </c>
      <c r="P2802" s="85">
        <v>0</v>
      </c>
      <c r="Q2802" s="85">
        <f>STATS1003B!Q2809/1000</f>
        <v>0</v>
      </c>
      <c r="R2802" s="85">
        <f>STATS1003B!R2809/1000</f>
        <v>0</v>
      </c>
      <c r="S2802" s="85">
        <f>STATS1003B!S2809/1000</f>
        <v>0</v>
      </c>
      <c r="T2802" s="85">
        <f>STATS1003B!T2809/1000</f>
        <v>0</v>
      </c>
      <c r="U2802" s="85">
        <f>STATS1003B!U2809/1000</f>
        <v>0</v>
      </c>
      <c r="V2802" s="85">
        <f>STATS1003B!V2809/1000</f>
        <v>0</v>
      </c>
      <c r="W2802" s="85">
        <f>STATS1003B!W2809/1000</f>
        <v>0</v>
      </c>
      <c r="X2802" s="85">
        <f t="shared" si="300"/>
        <v>86.4</v>
      </c>
      <c r="Y2802" s="85">
        <f>STATS1003B!Y2809/1000</f>
        <v>0</v>
      </c>
      <c r="Z2802" s="85">
        <f t="shared" si="299"/>
        <v>0</v>
      </c>
      <c r="AA2802" s="69">
        <f>STATS1003B!AA2809/1000</f>
        <v>86.4</v>
      </c>
      <c r="AB2802" s="69">
        <f>STATS1003B!AB2809/1000</f>
        <v>0</v>
      </c>
    </row>
    <row r="2803" spans="1:28" x14ac:dyDescent="0.3">
      <c r="A2803" s="73"/>
      <c r="C2803" s="68" t="s">
        <v>1174</v>
      </c>
      <c r="E2803" s="85">
        <f>1000000/1000</f>
        <v>1000</v>
      </c>
      <c r="F2803" s="85">
        <f>STATS1003B!F2810/1000</f>
        <v>1000</v>
      </c>
      <c r="G2803" s="85">
        <f>STATS1003B!G2810/1000</f>
        <v>0</v>
      </c>
      <c r="H2803" s="85">
        <f>1000000/1000</f>
        <v>1000</v>
      </c>
      <c r="I2803" s="85">
        <f>STATS1003B!I2810/1000</f>
        <v>0</v>
      </c>
      <c r="J2803" s="85">
        <f>STATS1003B!J2810/1000</f>
        <v>0</v>
      </c>
      <c r="K2803" s="85">
        <f>STATS1003B!K2810/1000</f>
        <v>0</v>
      </c>
      <c r="L2803" s="85">
        <f>STATS1003B!L2810/1000</f>
        <v>0</v>
      </c>
      <c r="M2803" s="85">
        <f>STATS1003B!M2810/1000</f>
        <v>1000</v>
      </c>
      <c r="N2803" s="85">
        <f>STATS1003B!N2810/1000</f>
        <v>0</v>
      </c>
      <c r="O2803" s="85">
        <f>STATS1003B!O2810/1000</f>
        <v>0</v>
      </c>
      <c r="P2803" s="85">
        <v>0</v>
      </c>
      <c r="Q2803" s="85">
        <f>STATS1003B!Q2810/1000</f>
        <v>0</v>
      </c>
      <c r="R2803" s="85">
        <f>STATS1003B!R2810/1000</f>
        <v>0</v>
      </c>
      <c r="S2803" s="85">
        <f>STATS1003B!S2810/1000</f>
        <v>0</v>
      </c>
      <c r="T2803" s="85">
        <f>STATS1003B!T2810/1000</f>
        <v>0</v>
      </c>
      <c r="U2803" s="85">
        <f>STATS1003B!U2810/1000</f>
        <v>0</v>
      </c>
      <c r="V2803" s="85">
        <f>STATS1003B!V2810/1000</f>
        <v>0</v>
      </c>
      <c r="W2803" s="85">
        <f>STATS1003B!W2810/1000</f>
        <v>0</v>
      </c>
      <c r="X2803" s="85">
        <f t="shared" si="300"/>
        <v>1000</v>
      </c>
      <c r="Y2803" s="85">
        <f>STATS1003B!Y2810/1000</f>
        <v>0</v>
      </c>
      <c r="Z2803" s="85">
        <f t="shared" si="299"/>
        <v>0</v>
      </c>
      <c r="AA2803" s="69">
        <f>STATS1003B!AA2810/1000</f>
        <v>1000</v>
      </c>
      <c r="AB2803" s="69">
        <f>STATS1003B!AB2810/1000</f>
        <v>0</v>
      </c>
    </row>
    <row r="2804" spans="1:28" x14ac:dyDescent="0.3">
      <c r="A2804" s="73"/>
      <c r="C2804" s="68" t="s">
        <v>1119</v>
      </c>
      <c r="E2804" s="85">
        <f>160153/1000</f>
        <v>160.15299999999999</v>
      </c>
      <c r="F2804" s="85">
        <f>STATS1003B!F2811/1000</f>
        <v>140</v>
      </c>
      <c r="G2804" s="85">
        <f>STATS1003B!G2811/1000</f>
        <v>0</v>
      </c>
      <c r="H2804" s="85">
        <f>160153/1000</f>
        <v>160.15299999999999</v>
      </c>
      <c r="I2804" s="85">
        <f>STATS1003B!I2811/1000</f>
        <v>0</v>
      </c>
      <c r="J2804" s="85">
        <f>STATS1003B!J2811/1000</f>
        <v>0</v>
      </c>
      <c r="K2804" s="85">
        <f>STATS1003B!K2811/1000</f>
        <v>0</v>
      </c>
      <c r="L2804" s="85">
        <f>STATS1003B!L2811/1000</f>
        <v>0</v>
      </c>
      <c r="M2804" s="85">
        <f>STATS1003B!M2811/1000</f>
        <v>140</v>
      </c>
      <c r="N2804" s="85">
        <f>STATS1003B!N2811/1000</f>
        <v>0</v>
      </c>
      <c r="O2804" s="85">
        <f>STATS1003B!O2811/1000</f>
        <v>0</v>
      </c>
      <c r="P2804" s="85">
        <v>0</v>
      </c>
      <c r="Q2804" s="85">
        <f>STATS1003B!Q2811/1000</f>
        <v>0</v>
      </c>
      <c r="R2804" s="85">
        <f>STATS1003B!R2811/1000</f>
        <v>0</v>
      </c>
      <c r="S2804" s="85">
        <f>STATS1003B!S2811/1000</f>
        <v>0</v>
      </c>
      <c r="T2804" s="85">
        <f>STATS1003B!T2811/1000</f>
        <v>0</v>
      </c>
      <c r="U2804" s="85">
        <f>STATS1003B!U2811/1000</f>
        <v>0</v>
      </c>
      <c r="V2804" s="85">
        <f>STATS1003B!V2811/1000</f>
        <v>0</v>
      </c>
      <c r="W2804" s="85">
        <f>STATS1003B!W2811/1000</f>
        <v>0</v>
      </c>
      <c r="X2804" s="85">
        <f t="shared" si="300"/>
        <v>160.15299999999999</v>
      </c>
      <c r="Y2804" s="85">
        <f>STATS1003B!Y2811/1000</f>
        <v>0</v>
      </c>
      <c r="Z2804" s="85">
        <f t="shared" si="299"/>
        <v>0</v>
      </c>
      <c r="AA2804" s="69">
        <f>STATS1003B!AA2811/1000</f>
        <v>140</v>
      </c>
      <c r="AB2804" s="69">
        <f>STATS1003B!AB2811/1000</f>
        <v>0</v>
      </c>
    </row>
    <row r="2805" spans="1:28" x14ac:dyDescent="0.3">
      <c r="A2805" s="73"/>
      <c r="C2805" s="68" t="s">
        <v>1121</v>
      </c>
      <c r="E2805" s="85">
        <f>2716515.77/1000</f>
        <v>2716.51577</v>
      </c>
      <c r="F2805" s="85">
        <f>STATS1003B!F2812/1000</f>
        <v>1116.8853300000001</v>
      </c>
      <c r="G2805" s="85">
        <f>STATS1003B!G2812/1000</f>
        <v>0</v>
      </c>
      <c r="H2805" s="85">
        <f>2716515/1000</f>
        <v>2716.5149999999999</v>
      </c>
      <c r="I2805" s="85">
        <f>STATS1003B!I2812/1000</f>
        <v>0</v>
      </c>
      <c r="J2805" s="85">
        <f>STATS1003B!J2812/1000</f>
        <v>0</v>
      </c>
      <c r="K2805" s="85">
        <f>STATS1003B!K2812/1000</f>
        <v>0</v>
      </c>
      <c r="L2805" s="85">
        <f>STATS1003B!L2812/1000</f>
        <v>0</v>
      </c>
      <c r="M2805" s="85">
        <f>STATS1003B!M2812/1000</f>
        <v>1116.8853300000001</v>
      </c>
      <c r="N2805" s="85">
        <f>STATS1003B!N2812/1000</f>
        <v>0</v>
      </c>
      <c r="O2805" s="85">
        <f>STATS1003B!O2812/1000</f>
        <v>0</v>
      </c>
      <c r="P2805" s="85">
        <v>0</v>
      </c>
      <c r="Q2805" s="85">
        <f>STATS1003B!Q2812/1000</f>
        <v>0</v>
      </c>
      <c r="R2805" s="85">
        <f>STATS1003B!R2812/1000</f>
        <v>0</v>
      </c>
      <c r="S2805" s="85">
        <f>STATS1003B!S2812/1000</f>
        <v>0</v>
      </c>
      <c r="T2805" s="85">
        <f>STATS1003B!T2812/1000</f>
        <v>0</v>
      </c>
      <c r="U2805" s="85">
        <f>STATS1003B!U2812/1000</f>
        <v>0</v>
      </c>
      <c r="V2805" s="85">
        <f>STATS1003B!V2812/1000</f>
        <v>0</v>
      </c>
      <c r="W2805" s="85">
        <f>STATS1003B!W2812/1000</f>
        <v>0</v>
      </c>
      <c r="X2805" s="85">
        <f t="shared" si="300"/>
        <v>2716.5149999999999</v>
      </c>
      <c r="Y2805" s="85">
        <f>STATS1003B!Y2812/1000</f>
        <v>0</v>
      </c>
      <c r="Z2805" s="85">
        <f t="shared" si="299"/>
        <v>7.7000000010229996E-4</v>
      </c>
      <c r="AA2805" s="69">
        <f>STATS1003B!AA2812/1000</f>
        <v>1116.8853300000001</v>
      </c>
      <c r="AB2805" s="69">
        <f>STATS1003B!AB2812/1000</f>
        <v>1342.4304199999999</v>
      </c>
    </row>
    <row r="2806" spans="1:28" x14ac:dyDescent="0.3">
      <c r="A2806" s="73"/>
      <c r="C2806" s="68" t="s">
        <v>1122</v>
      </c>
      <c r="E2806" s="85">
        <f>2146067/1000</f>
        <v>2146.067</v>
      </c>
      <c r="F2806" s="85">
        <f>STATS1003B!F2813/1000</f>
        <v>3488.4981200000002</v>
      </c>
      <c r="G2806" s="85">
        <f>STATS1003B!G2813/1000</f>
        <v>0</v>
      </c>
      <c r="H2806" s="85">
        <f>2146067/1000</f>
        <v>2146.067</v>
      </c>
      <c r="I2806" s="85">
        <f>STATS1003B!I2813/1000</f>
        <v>0</v>
      </c>
      <c r="J2806" s="85">
        <f>STATS1003B!J2813/1000</f>
        <v>0</v>
      </c>
      <c r="K2806" s="85">
        <f>STATS1003B!K2813/1000</f>
        <v>0</v>
      </c>
      <c r="L2806" s="85">
        <f>STATS1003B!L2813/1000</f>
        <v>0</v>
      </c>
      <c r="M2806" s="85">
        <f>STATS1003B!M2813/1000</f>
        <v>3488.4981200000002</v>
      </c>
      <c r="N2806" s="85">
        <f>STATS1003B!N2813/1000</f>
        <v>0</v>
      </c>
      <c r="O2806" s="85">
        <f>STATS1003B!O2813/1000</f>
        <v>0</v>
      </c>
      <c r="P2806" s="85">
        <v>0</v>
      </c>
      <c r="Q2806" s="85">
        <f>STATS1003B!Q2813/1000</f>
        <v>0</v>
      </c>
      <c r="R2806" s="85">
        <f>STATS1003B!R2813/1000</f>
        <v>0</v>
      </c>
      <c r="S2806" s="85">
        <f>STATS1003B!S2813/1000</f>
        <v>0</v>
      </c>
      <c r="T2806" s="85">
        <f>STATS1003B!T2813/1000</f>
        <v>0</v>
      </c>
      <c r="U2806" s="85">
        <f>STATS1003B!U2813/1000</f>
        <v>0</v>
      </c>
      <c r="V2806" s="85">
        <f>STATS1003B!V2813/1000</f>
        <v>0</v>
      </c>
      <c r="W2806" s="85">
        <f>STATS1003B!W2813/1000</f>
        <v>0</v>
      </c>
      <c r="X2806" s="85">
        <f t="shared" si="300"/>
        <v>2146.067</v>
      </c>
      <c r="Y2806" s="85">
        <f>STATS1003B!Y2813/1000</f>
        <v>0</v>
      </c>
      <c r="Z2806" s="85">
        <f t="shared" si="299"/>
        <v>0</v>
      </c>
      <c r="AA2806" s="69">
        <f>STATS1003B!AA2813/1000</f>
        <v>3488.4981200000002</v>
      </c>
      <c r="AB2806" s="69">
        <f>STATS1003B!AB2813/1000</f>
        <v>-1342.4304199999999</v>
      </c>
    </row>
    <row r="2807" spans="1:28" x14ac:dyDescent="0.3">
      <c r="A2807" s="73"/>
      <c r="C2807" s="68" t="s">
        <v>1062</v>
      </c>
      <c r="E2807" s="85">
        <f>25595681/1000</f>
        <v>25595.681</v>
      </c>
      <c r="F2807" s="85">
        <f>STATS1003B!F2814/1000</f>
        <v>25207.35816</v>
      </c>
      <c r="G2807" s="85">
        <f>STATS1003B!G2814/1000</f>
        <v>0</v>
      </c>
      <c r="H2807" s="85">
        <f>25583683.85/1000</f>
        <v>25583.683850000001</v>
      </c>
      <c r="I2807" s="85">
        <f>STATS1003B!I2814/1000</f>
        <v>0</v>
      </c>
      <c r="J2807" s="85">
        <f>STATS1003B!J2814/1000</f>
        <v>0</v>
      </c>
      <c r="K2807" s="85">
        <f>STATS1003B!K2814/1000</f>
        <v>0</v>
      </c>
      <c r="L2807" s="85">
        <f>STATS1003B!L2814/1000</f>
        <v>0</v>
      </c>
      <c r="M2807" s="85">
        <f>STATS1003B!M2814/1000</f>
        <v>25207.35816</v>
      </c>
      <c r="N2807" s="85">
        <f>STATS1003B!N2814/1000</f>
        <v>11.997170000000001</v>
      </c>
      <c r="O2807" s="85">
        <f>STATS1003B!O2814/1000</f>
        <v>0</v>
      </c>
      <c r="P2807" s="85">
        <v>11.997</v>
      </c>
      <c r="Q2807" s="85">
        <f>STATS1003B!Q2814/1000</f>
        <v>0</v>
      </c>
      <c r="R2807" s="85">
        <f>STATS1003B!R2814/1000</f>
        <v>0</v>
      </c>
      <c r="S2807" s="85">
        <f>STATS1003B!S2814/1000</f>
        <v>0</v>
      </c>
      <c r="T2807" s="85">
        <f>STATS1003B!T2814/1000</f>
        <v>0</v>
      </c>
      <c r="U2807" s="85">
        <f>STATS1003B!U2814/1000</f>
        <v>11.997170000000001</v>
      </c>
      <c r="V2807" s="85">
        <f>STATS1003B!V2814/1000</f>
        <v>0</v>
      </c>
      <c r="W2807" s="85">
        <f>STATS1003B!W2814/1000</f>
        <v>0</v>
      </c>
      <c r="X2807" s="85">
        <f t="shared" si="300"/>
        <v>25595.680850000001</v>
      </c>
      <c r="Y2807" s="85">
        <f>STATS1003B!Y2814/1000</f>
        <v>0</v>
      </c>
      <c r="Z2807" s="85">
        <f t="shared" si="299"/>
        <v>1.4999999984866008E-4</v>
      </c>
      <c r="AA2807" s="69">
        <f>STATS1003B!AA2814/1000</f>
        <v>25219.355330000002</v>
      </c>
      <c r="AB2807" s="69">
        <f>STATS1003B!AB2814/1000</f>
        <v>0</v>
      </c>
    </row>
    <row r="2808" spans="1:28" x14ac:dyDescent="0.3">
      <c r="A2808" s="73"/>
      <c r="C2808" s="68" t="s">
        <v>1149</v>
      </c>
      <c r="E2808" s="85">
        <f>34666158/1000</f>
        <v>34666.158000000003</v>
      </c>
      <c r="F2808" s="85">
        <f>STATS1003B!F2815/1000</f>
        <v>31414.50534</v>
      </c>
      <c r="G2808" s="85">
        <f>STATS1003B!G2815/1000</f>
        <v>0</v>
      </c>
      <c r="H2808" s="85">
        <f>34666158/1000</f>
        <v>34666.158000000003</v>
      </c>
      <c r="I2808" s="85">
        <f>STATS1003B!I2815/1000</f>
        <v>0</v>
      </c>
      <c r="J2808" s="85">
        <f>STATS1003B!J2815/1000</f>
        <v>0</v>
      </c>
      <c r="K2808" s="85">
        <f>STATS1003B!K2815/1000</f>
        <v>0</v>
      </c>
      <c r="L2808" s="85">
        <f>STATS1003B!L2815/1000</f>
        <v>0</v>
      </c>
      <c r="M2808" s="85">
        <f>STATS1003B!M2815/1000</f>
        <v>31414.50534</v>
      </c>
      <c r="N2808" s="85">
        <f>STATS1003B!N2815/1000</f>
        <v>0</v>
      </c>
      <c r="O2808" s="85">
        <f>STATS1003B!O2815/1000</f>
        <v>0</v>
      </c>
      <c r="P2808" s="85">
        <v>0</v>
      </c>
      <c r="Q2808" s="85">
        <f>STATS1003B!Q2815/1000</f>
        <v>0</v>
      </c>
      <c r="R2808" s="85">
        <f>STATS1003B!R2815/1000</f>
        <v>0</v>
      </c>
      <c r="S2808" s="85">
        <f>STATS1003B!S2815/1000</f>
        <v>0</v>
      </c>
      <c r="T2808" s="85">
        <f>STATS1003B!T2815/1000</f>
        <v>0</v>
      </c>
      <c r="U2808" s="85">
        <f>STATS1003B!U2815/1000</f>
        <v>0</v>
      </c>
      <c r="V2808" s="85">
        <f>STATS1003B!V2815/1000</f>
        <v>0</v>
      </c>
      <c r="W2808" s="85">
        <f>STATS1003B!W2815/1000</f>
        <v>0</v>
      </c>
      <c r="X2808" s="85">
        <f t="shared" si="300"/>
        <v>34666.158000000003</v>
      </c>
      <c r="Y2808" s="85">
        <f>STATS1003B!Y2815/1000</f>
        <v>0</v>
      </c>
      <c r="Z2808" s="85">
        <f t="shared" si="299"/>
        <v>0</v>
      </c>
      <c r="AA2808" s="69">
        <f>STATS1003B!AA2815/1000</f>
        <v>31414.50534</v>
      </c>
      <c r="AB2808" s="69">
        <f>STATS1003B!AB2815/1000</f>
        <v>0</v>
      </c>
    </row>
    <row r="2809" spans="1:28" x14ac:dyDescent="0.3">
      <c r="A2809" s="73"/>
      <c r="C2809" s="68" t="s">
        <v>1212</v>
      </c>
      <c r="E2809" s="85">
        <f>23927872/1000</f>
        <v>23927.871999999999</v>
      </c>
      <c r="F2809" s="85">
        <f>STATS1003B!F2816/1000</f>
        <v>10650.820760000001</v>
      </c>
      <c r="G2809" s="85">
        <f>STATS1003B!G2816/1000</f>
        <v>5326.4178899999997</v>
      </c>
      <c r="H2809" s="85">
        <f>23927872/1000</f>
        <v>23927.871999999999</v>
      </c>
      <c r="I2809" s="85">
        <f>STATS1003B!I2816/1000</f>
        <v>0</v>
      </c>
      <c r="J2809" s="85">
        <f>STATS1003B!J2816/1000</f>
        <v>0</v>
      </c>
      <c r="K2809" s="85">
        <f>STATS1003B!K2816/1000</f>
        <v>0</v>
      </c>
      <c r="L2809" s="85">
        <f>STATS1003B!L2816/1000</f>
        <v>0</v>
      </c>
      <c r="M2809" s="85">
        <f>STATS1003B!M2816/1000</f>
        <v>15977.238649999999</v>
      </c>
      <c r="N2809" s="85">
        <f>STATS1003B!N2816/1000</f>
        <v>0</v>
      </c>
      <c r="O2809" s="85">
        <f>STATS1003B!O2816/1000</f>
        <v>0</v>
      </c>
      <c r="P2809" s="85">
        <v>0</v>
      </c>
      <c r="Q2809" s="85">
        <f>STATS1003B!Q2816/1000</f>
        <v>0</v>
      </c>
      <c r="R2809" s="85">
        <f>STATS1003B!R2816/1000</f>
        <v>0</v>
      </c>
      <c r="S2809" s="85">
        <f>STATS1003B!S2816/1000</f>
        <v>0</v>
      </c>
      <c r="T2809" s="85">
        <f>STATS1003B!T2816/1000</f>
        <v>0</v>
      </c>
      <c r="U2809" s="85">
        <f>STATS1003B!U2816/1000</f>
        <v>0</v>
      </c>
      <c r="V2809" s="85">
        <f>STATS1003B!V2816/1000</f>
        <v>0</v>
      </c>
      <c r="W2809" s="85">
        <f>STATS1003B!W2816/1000</f>
        <v>0</v>
      </c>
      <c r="X2809" s="85">
        <f t="shared" si="300"/>
        <v>23927.871999999999</v>
      </c>
      <c r="Y2809" s="85">
        <f>STATS1003B!Y2816/1000</f>
        <v>0</v>
      </c>
      <c r="Z2809" s="85">
        <f>+X2809-E2809</f>
        <v>0</v>
      </c>
      <c r="AA2809" s="69">
        <f>STATS1003B!AA2816/1000</f>
        <v>15977.238649999999</v>
      </c>
      <c r="AB2809" s="69">
        <f>STATS1003B!AB2816/1000</f>
        <v>0</v>
      </c>
    </row>
    <row r="2810" spans="1:28" x14ac:dyDescent="0.3">
      <c r="A2810" s="73"/>
      <c r="C2810" s="68" t="s">
        <v>1273</v>
      </c>
      <c r="E2810" s="85">
        <f>29445484/1000</f>
        <v>29445.484</v>
      </c>
      <c r="F2810" s="85"/>
      <c r="G2810" s="85"/>
      <c r="H2810" s="85">
        <f>29445484/1000</f>
        <v>29445.484</v>
      </c>
      <c r="I2810" s="85"/>
      <c r="J2810" s="85"/>
      <c r="K2810" s="85"/>
      <c r="L2810" s="85"/>
      <c r="M2810" s="85"/>
      <c r="N2810" s="85"/>
      <c r="O2810" s="85"/>
      <c r="P2810" s="85">
        <v>0</v>
      </c>
      <c r="Q2810" s="85"/>
      <c r="R2810" s="85"/>
      <c r="S2810" s="85"/>
      <c r="T2810" s="85"/>
      <c r="U2810" s="85"/>
      <c r="V2810" s="85"/>
      <c r="W2810" s="85"/>
      <c r="X2810" s="85">
        <f t="shared" si="300"/>
        <v>29445.484</v>
      </c>
      <c r="Y2810" s="85"/>
      <c r="Z2810" s="85">
        <f t="shared" si="299"/>
        <v>0</v>
      </c>
      <c r="AA2810" s="69"/>
      <c r="AB2810" s="69"/>
    </row>
    <row r="2811" spans="1:28" x14ac:dyDescent="0.3">
      <c r="A2811" s="73"/>
      <c r="C2811" s="68" t="s">
        <v>1284</v>
      </c>
      <c r="E2811" s="85">
        <f>1807730/1000</f>
        <v>1807.73</v>
      </c>
      <c r="F2811" s="85"/>
      <c r="G2811" s="85"/>
      <c r="H2811" s="85">
        <f>1807530/1000</f>
        <v>1807.53</v>
      </c>
      <c r="I2811" s="85"/>
      <c r="J2811" s="85"/>
      <c r="K2811" s="85"/>
      <c r="L2811" s="85"/>
      <c r="M2811" s="85"/>
      <c r="N2811" s="85"/>
      <c r="O2811" s="85"/>
      <c r="P2811" s="85">
        <v>0</v>
      </c>
      <c r="Q2811" s="85"/>
      <c r="R2811" s="85"/>
      <c r="S2811" s="85"/>
      <c r="T2811" s="85"/>
      <c r="U2811" s="85"/>
      <c r="V2811" s="85"/>
      <c r="W2811" s="85"/>
      <c r="X2811" s="85">
        <f t="shared" si="300"/>
        <v>1807.53</v>
      </c>
      <c r="Y2811" s="85"/>
      <c r="Z2811" s="85">
        <f t="shared" si="299"/>
        <v>0.20000000000004547</v>
      </c>
      <c r="AA2811" s="69"/>
      <c r="AB2811" s="69"/>
    </row>
    <row r="2812" spans="1:28" x14ac:dyDescent="0.3">
      <c r="A2812" s="73"/>
      <c r="C2812" s="68" t="s">
        <v>1285</v>
      </c>
      <c r="E2812" s="85">
        <f>741973/1000</f>
        <v>741.97299999999996</v>
      </c>
      <c r="F2812" s="85"/>
      <c r="G2812" s="85"/>
      <c r="H2812" s="85">
        <f>741943/1000</f>
        <v>741.94299999999998</v>
      </c>
      <c r="I2812" s="85"/>
      <c r="J2812" s="85"/>
      <c r="K2812" s="85"/>
      <c r="L2812" s="85"/>
      <c r="M2812" s="85"/>
      <c r="N2812" s="85"/>
      <c r="O2812" s="85"/>
      <c r="P2812" s="85">
        <v>0</v>
      </c>
      <c r="Q2812" s="85"/>
      <c r="R2812" s="85"/>
      <c r="S2812" s="85"/>
      <c r="T2812" s="85"/>
      <c r="U2812" s="85"/>
      <c r="V2812" s="85"/>
      <c r="W2812" s="85"/>
      <c r="X2812" s="85">
        <f t="shared" si="300"/>
        <v>741.94299999999998</v>
      </c>
      <c r="Y2812" s="85"/>
      <c r="Z2812" s="85">
        <f t="shared" si="299"/>
        <v>2.9999999999972715E-2</v>
      </c>
      <c r="AA2812" s="69"/>
      <c r="AB2812" s="69"/>
    </row>
    <row r="2813" spans="1:28" x14ac:dyDescent="0.3">
      <c r="A2813" s="73"/>
      <c r="C2813" s="68" t="s">
        <v>1276</v>
      </c>
      <c r="E2813" s="85">
        <f>11665000/1000</f>
        <v>11665</v>
      </c>
      <c r="F2813" s="85"/>
      <c r="G2813" s="85"/>
      <c r="H2813" s="85">
        <f>11665000/1000</f>
        <v>11665</v>
      </c>
      <c r="I2813" s="85"/>
      <c r="J2813" s="85"/>
      <c r="K2813" s="85"/>
      <c r="L2813" s="85"/>
      <c r="M2813" s="85"/>
      <c r="N2813" s="85"/>
      <c r="O2813" s="85"/>
      <c r="P2813" s="85">
        <v>0</v>
      </c>
      <c r="Q2813" s="85"/>
      <c r="R2813" s="85"/>
      <c r="S2813" s="85"/>
      <c r="T2813" s="85"/>
      <c r="U2813" s="85"/>
      <c r="V2813" s="85"/>
      <c r="W2813" s="85"/>
      <c r="X2813" s="85">
        <f t="shared" si="300"/>
        <v>11665</v>
      </c>
      <c r="Y2813" s="85"/>
      <c r="Z2813" s="85">
        <f t="shared" si="299"/>
        <v>0</v>
      </c>
      <c r="AA2813" s="69"/>
      <c r="AB2813" s="69"/>
    </row>
    <row r="2814" spans="1:28" x14ac:dyDescent="0.3">
      <c r="A2814" s="73"/>
      <c r="C2814" s="68" t="s">
        <v>1288</v>
      </c>
      <c r="E2814" s="85">
        <f>23597086/1000</f>
        <v>23597.085999999999</v>
      </c>
      <c r="F2814" s="85"/>
      <c r="G2814" s="85"/>
      <c r="H2814" s="85">
        <f>23597086/1000</f>
        <v>23597.085999999999</v>
      </c>
      <c r="I2814" s="85"/>
      <c r="J2814" s="85"/>
      <c r="K2814" s="85"/>
      <c r="L2814" s="85"/>
      <c r="M2814" s="85"/>
      <c r="N2814" s="85"/>
      <c r="O2814" s="85"/>
      <c r="P2814" s="85">
        <v>0</v>
      </c>
      <c r="Q2814" s="85"/>
      <c r="R2814" s="85"/>
      <c r="S2814" s="85"/>
      <c r="T2814" s="85"/>
      <c r="U2814" s="85"/>
      <c r="V2814" s="85"/>
      <c r="W2814" s="85"/>
      <c r="X2814" s="85">
        <f t="shared" si="300"/>
        <v>23597.085999999999</v>
      </c>
      <c r="Y2814" s="85"/>
      <c r="Z2814" s="85">
        <f t="shared" si="299"/>
        <v>0</v>
      </c>
      <c r="AA2814" s="69"/>
      <c r="AB2814" s="69"/>
    </row>
    <row r="2815" spans="1:28" x14ac:dyDescent="0.3">
      <c r="A2815" s="73"/>
      <c r="C2815" s="68" t="s">
        <v>1294</v>
      </c>
      <c r="E2815" s="85">
        <f>28337627/1000</f>
        <v>28337.627</v>
      </c>
      <c r="F2815" s="85"/>
      <c r="G2815" s="85"/>
      <c r="H2815" s="85">
        <f>28337627/1000</f>
        <v>28337.627</v>
      </c>
      <c r="I2815" s="85"/>
      <c r="J2815" s="85"/>
      <c r="K2815" s="85"/>
      <c r="L2815" s="85"/>
      <c r="M2815" s="85"/>
      <c r="N2815" s="85"/>
      <c r="O2815" s="85"/>
      <c r="P2815" s="85">
        <v>0</v>
      </c>
      <c r="Q2815" s="85"/>
      <c r="R2815" s="85"/>
      <c r="S2815" s="85"/>
      <c r="T2815" s="85"/>
      <c r="U2815" s="85"/>
      <c r="V2815" s="85"/>
      <c r="W2815" s="85"/>
      <c r="X2815" s="85">
        <f t="shared" si="300"/>
        <v>28337.627</v>
      </c>
      <c r="Y2815" s="85"/>
      <c r="Z2815" s="85">
        <f t="shared" si="299"/>
        <v>0</v>
      </c>
      <c r="AA2815" s="69"/>
      <c r="AB2815" s="69"/>
    </row>
    <row r="2816" spans="1:28" x14ac:dyDescent="0.3">
      <c r="A2816" s="73"/>
      <c r="C2816" s="68" t="s">
        <v>1297</v>
      </c>
      <c r="E2816" s="85">
        <f>16629146/1000</f>
        <v>16629.146000000001</v>
      </c>
      <c r="F2816" s="85"/>
      <c r="G2816" s="85"/>
      <c r="H2816" s="85">
        <f>16629146/1000</f>
        <v>16629.146000000001</v>
      </c>
      <c r="I2816" s="85"/>
      <c r="J2816" s="85"/>
      <c r="K2816" s="85"/>
      <c r="L2816" s="85"/>
      <c r="M2816" s="85"/>
      <c r="N2816" s="85"/>
      <c r="O2816" s="85"/>
      <c r="P2816" s="85">
        <v>0</v>
      </c>
      <c r="Q2816" s="85"/>
      <c r="R2816" s="85"/>
      <c r="S2816" s="85"/>
      <c r="T2816" s="85"/>
      <c r="U2816" s="85"/>
      <c r="V2816" s="85"/>
      <c r="W2816" s="85"/>
      <c r="X2816" s="85">
        <f t="shared" si="300"/>
        <v>16629.146000000001</v>
      </c>
      <c r="Y2816" s="85"/>
      <c r="Z2816" s="85">
        <f t="shared" si="299"/>
        <v>0</v>
      </c>
      <c r="AA2816" s="69"/>
      <c r="AB2816" s="69"/>
    </row>
    <row r="2817" spans="1:30" x14ac:dyDescent="0.3">
      <c r="A2817" s="73"/>
      <c r="C2817" s="68" t="s">
        <v>1304</v>
      </c>
      <c r="E2817" s="85">
        <f>18258103.46/1000</f>
        <v>18258.103460000002</v>
      </c>
      <c r="F2817" s="85"/>
      <c r="G2817" s="85"/>
      <c r="H2817" s="85">
        <f>18258103.46/1000</f>
        <v>18258.103460000002</v>
      </c>
      <c r="I2817" s="85"/>
      <c r="J2817" s="85"/>
      <c r="K2817" s="85"/>
      <c r="L2817" s="85"/>
      <c r="M2817" s="85"/>
      <c r="N2817" s="85"/>
      <c r="O2817" s="85"/>
      <c r="P2817" s="85">
        <v>0</v>
      </c>
      <c r="Q2817" s="85"/>
      <c r="R2817" s="85"/>
      <c r="S2817" s="85"/>
      <c r="T2817" s="85"/>
      <c r="U2817" s="85"/>
      <c r="V2817" s="85"/>
      <c r="W2817" s="85"/>
      <c r="X2817" s="85">
        <f t="shared" si="300"/>
        <v>18258.103460000002</v>
      </c>
      <c r="Y2817" s="85"/>
      <c r="Z2817" s="85">
        <f t="shared" si="299"/>
        <v>0</v>
      </c>
      <c r="AA2817" s="69"/>
      <c r="AB2817" s="69"/>
    </row>
    <row r="2818" spans="1:30" x14ac:dyDescent="0.3">
      <c r="A2818" s="73"/>
      <c r="C2818" s="68" t="s">
        <v>1298</v>
      </c>
      <c r="E2818" s="85">
        <f>2813105/1000</f>
        <v>2813.105</v>
      </c>
      <c r="F2818" s="85"/>
      <c r="G2818" s="85"/>
      <c r="H2818" s="85">
        <f>2813105/1000</f>
        <v>2813.105</v>
      </c>
      <c r="I2818" s="85"/>
      <c r="J2818" s="85"/>
      <c r="K2818" s="85"/>
      <c r="L2818" s="85"/>
      <c r="M2818" s="85"/>
      <c r="N2818" s="85"/>
      <c r="O2818" s="85"/>
      <c r="P2818" s="85">
        <v>0</v>
      </c>
      <c r="Q2818" s="85"/>
      <c r="R2818" s="85"/>
      <c r="S2818" s="85"/>
      <c r="T2818" s="85"/>
      <c r="U2818" s="85"/>
      <c r="V2818" s="85"/>
      <c r="W2818" s="85"/>
      <c r="X2818" s="85">
        <f t="shared" si="300"/>
        <v>2813.105</v>
      </c>
      <c r="Y2818" s="85"/>
      <c r="Z2818" s="85">
        <f t="shared" si="299"/>
        <v>0</v>
      </c>
      <c r="AA2818" s="69"/>
      <c r="AB2818" s="69"/>
    </row>
    <row r="2819" spans="1:30" x14ac:dyDescent="0.3">
      <c r="A2819" s="73"/>
      <c r="C2819" s="68" t="s">
        <v>1098</v>
      </c>
      <c r="E2819" s="85">
        <f>1430654/1000</f>
        <v>1430.654</v>
      </c>
      <c r="F2819" s="85">
        <f>STATS1003B!F2817/1000</f>
        <v>1430.65446</v>
      </c>
      <c r="G2819" s="85">
        <f>STATS1003B!G2817/1000</f>
        <v>0</v>
      </c>
      <c r="H2819" s="85">
        <f>1430651.46/1000</f>
        <v>1430.65146</v>
      </c>
      <c r="I2819" s="85">
        <f>STATS1003B!I2817/1000</f>
        <v>0</v>
      </c>
      <c r="J2819" s="85">
        <f>STATS1003B!J2817/1000</f>
        <v>0</v>
      </c>
      <c r="K2819" s="85">
        <f>STATS1003B!K2817/1000</f>
        <v>0</v>
      </c>
      <c r="L2819" s="85">
        <f>STATS1003B!L2817/1000</f>
        <v>0</v>
      </c>
      <c r="M2819" s="85">
        <f>STATS1003B!M2817/1000</f>
        <v>1430.65446</v>
      </c>
      <c r="N2819" s="85">
        <f>STATS1003B!N2817/1000</f>
        <v>0</v>
      </c>
      <c r="O2819" s="85">
        <f>STATS1003B!O2817/1000</f>
        <v>0</v>
      </c>
      <c r="P2819" s="85">
        <v>0</v>
      </c>
      <c r="Q2819" s="85">
        <f>STATS1003B!Q2817/1000</f>
        <v>0</v>
      </c>
      <c r="R2819" s="85">
        <f>STATS1003B!R2817/1000</f>
        <v>0</v>
      </c>
      <c r="S2819" s="85">
        <f>STATS1003B!S2817/1000</f>
        <v>0</v>
      </c>
      <c r="T2819" s="85">
        <f>STATS1003B!T2817/1000</f>
        <v>0</v>
      </c>
      <c r="U2819" s="85">
        <f>STATS1003B!U2817/1000</f>
        <v>0</v>
      </c>
      <c r="V2819" s="85">
        <f>STATS1003B!V2817/1000</f>
        <v>0</v>
      </c>
      <c r="W2819" s="85">
        <f>STATS1003B!W2817/1000</f>
        <v>0</v>
      </c>
      <c r="X2819" s="85">
        <f t="shared" si="300"/>
        <v>1430.65146</v>
      </c>
      <c r="Y2819" s="85">
        <f>STATS1003B!Y2817/1000</f>
        <v>0</v>
      </c>
      <c r="Z2819" s="85">
        <f t="shared" si="299"/>
        <v>2.5399999999535794E-3</v>
      </c>
      <c r="AA2819" s="69">
        <f>STATS1003B!AA2817/1000</f>
        <v>1430.65446</v>
      </c>
      <c r="AB2819" s="69">
        <f>STATS1003B!AB2817/1000</f>
        <v>0</v>
      </c>
    </row>
    <row r="2820" spans="1:30" x14ac:dyDescent="0.3">
      <c r="A2820" s="73"/>
      <c r="C2820" s="68" t="s">
        <v>933</v>
      </c>
      <c r="E2820" s="85">
        <f>261832216/1000</f>
        <v>261832.21599999999</v>
      </c>
      <c r="F2820" s="85">
        <f>STATS1003B!F2818/1000</f>
        <v>261669.22083000001</v>
      </c>
      <c r="G2820" s="85">
        <f>STATS1003B!G2818/1000</f>
        <v>0</v>
      </c>
      <c r="H2820" s="85">
        <f>261815401/1000</f>
        <v>261815.40100000001</v>
      </c>
      <c r="I2820" s="85">
        <f>STATS1003B!I2818/1000</f>
        <v>0</v>
      </c>
      <c r="J2820" s="85">
        <f>STATS1003B!J2818/1000</f>
        <v>0</v>
      </c>
      <c r="K2820" s="85">
        <f>STATS1003B!K2818/1000</f>
        <v>0</v>
      </c>
      <c r="L2820" s="85">
        <f>STATS1003B!L2818/1000</f>
        <v>0</v>
      </c>
      <c r="M2820" s="85">
        <f>STATS1003B!M2818/1000</f>
        <v>261669.22083000001</v>
      </c>
      <c r="N2820" s="85">
        <f>STATS1003B!N2818/1000</f>
        <v>16.81513</v>
      </c>
      <c r="O2820" s="85">
        <f>STATS1003B!O2818/1000</f>
        <v>0</v>
      </c>
      <c r="P2820" s="85">
        <v>16.815000000000001</v>
      </c>
      <c r="Q2820" s="85">
        <f>STATS1003B!Q2818/1000</f>
        <v>0</v>
      </c>
      <c r="R2820" s="85">
        <f>STATS1003B!R2818/1000</f>
        <v>0</v>
      </c>
      <c r="S2820" s="85">
        <f>STATS1003B!S2818/1000</f>
        <v>0</v>
      </c>
      <c r="T2820" s="85">
        <f>STATS1003B!T2818/1000</f>
        <v>0</v>
      </c>
      <c r="U2820" s="85">
        <f>STATS1003B!U2818/1000</f>
        <v>16.81513</v>
      </c>
      <c r="V2820" s="85">
        <f>STATS1003B!V2818/1000</f>
        <v>3065.4653800000001</v>
      </c>
      <c r="W2820" s="85">
        <f>STATS1003B!W2818/1000</f>
        <v>4.0995400000000375</v>
      </c>
      <c r="X2820" s="85">
        <f t="shared" si="300"/>
        <v>261832.21600000001</v>
      </c>
      <c r="Y2820" s="85">
        <f>STATS1003B!Y2818/1000</f>
        <v>0</v>
      </c>
      <c r="Z2820" s="85">
        <f t="shared" si="299"/>
        <v>0</v>
      </c>
      <c r="AA2820" s="69">
        <f>STATS1003B!AA2818/1000</f>
        <v>261686.03596000001</v>
      </c>
      <c r="AB2820" s="69">
        <f>STATS1003B!AB2818/1000</f>
        <v>0</v>
      </c>
    </row>
    <row r="2821" spans="1:30" x14ac:dyDescent="0.3">
      <c r="A2821" s="73"/>
      <c r="C2821" s="68" t="s">
        <v>1173</v>
      </c>
      <c r="E2821" s="85">
        <f>210380385/1000</f>
        <v>210380.38500000001</v>
      </c>
      <c r="F2821" s="85">
        <f>STATS1003B!F2819/1000</f>
        <v>210380.38529999999</v>
      </c>
      <c r="G2821" s="85">
        <f>STATS1003B!G2819/1000</f>
        <v>0</v>
      </c>
      <c r="H2821" s="85">
        <f>210380385/1000</f>
        <v>210380.38500000001</v>
      </c>
      <c r="I2821" s="85">
        <f>STATS1003B!I2819/1000</f>
        <v>0</v>
      </c>
      <c r="J2821" s="85">
        <f>STATS1003B!J2819/1000</f>
        <v>0</v>
      </c>
      <c r="K2821" s="85">
        <f>STATS1003B!K2819/1000</f>
        <v>0</v>
      </c>
      <c r="L2821" s="85">
        <f>STATS1003B!L2819/1000</f>
        <v>0</v>
      </c>
      <c r="M2821" s="85">
        <f>STATS1003B!M2819/1000</f>
        <v>210380.38529999999</v>
      </c>
      <c r="N2821" s="85">
        <f>STATS1003B!N2819/1000</f>
        <v>0</v>
      </c>
      <c r="O2821" s="85">
        <f>STATS1003B!O2819/1000</f>
        <v>0</v>
      </c>
      <c r="P2821" s="85">
        <v>0</v>
      </c>
      <c r="Q2821" s="85">
        <f>STATS1003B!Q2819/1000</f>
        <v>0</v>
      </c>
      <c r="R2821" s="85">
        <f>STATS1003B!R2819/1000</f>
        <v>0</v>
      </c>
      <c r="S2821" s="85">
        <f>STATS1003B!S2819/1000</f>
        <v>0</v>
      </c>
      <c r="T2821" s="85">
        <f>STATS1003B!T2819/1000</f>
        <v>0</v>
      </c>
      <c r="U2821" s="85">
        <f>STATS1003B!U2819/1000</f>
        <v>0</v>
      </c>
      <c r="V2821" s="85">
        <f>STATS1003B!V2819/1000</f>
        <v>0</v>
      </c>
      <c r="W2821" s="85">
        <f>STATS1003B!W2819/1000</f>
        <v>0</v>
      </c>
      <c r="X2821" s="85">
        <f t="shared" si="300"/>
        <v>210380.38500000001</v>
      </c>
      <c r="Y2821" s="85">
        <f>STATS1003B!Y2819/1000</f>
        <v>0</v>
      </c>
      <c r="Z2821" s="85">
        <f t="shared" si="299"/>
        <v>0</v>
      </c>
      <c r="AA2821" s="69">
        <f>STATS1003B!AA2819/1000</f>
        <v>210380.38529999999</v>
      </c>
      <c r="AB2821" s="69">
        <f>STATS1003B!AB2819/1000</f>
        <v>0</v>
      </c>
    </row>
    <row r="2822" spans="1:30" x14ac:dyDescent="0.3">
      <c r="A2822" s="73"/>
      <c r="C2822" s="68" t="s">
        <v>1245</v>
      </c>
      <c r="E2822" s="85">
        <f>364969946/1000</f>
        <v>364969.946</v>
      </c>
      <c r="F2822" s="85">
        <f>STATS1003B!F2820/1000</f>
        <v>45703.05169</v>
      </c>
      <c r="G2822" s="85">
        <f>STATS1003B!G2820/1000</f>
        <v>96759.552439999999</v>
      </c>
      <c r="H2822" s="85">
        <f>364969946.78/1000</f>
        <v>364969.94678</v>
      </c>
      <c r="I2822" s="85">
        <f>STATS1003B!I2820/1000</f>
        <v>0</v>
      </c>
      <c r="J2822" s="85">
        <f>STATS1003B!J2820/1000</f>
        <v>0</v>
      </c>
      <c r="K2822" s="85">
        <f>STATS1003B!K2820/1000</f>
        <v>0</v>
      </c>
      <c r="L2822" s="85">
        <f>STATS1003B!L2820/1000</f>
        <v>0</v>
      </c>
      <c r="M2822" s="85">
        <f>STATS1003B!M2820/1000</f>
        <v>142462.60412999999</v>
      </c>
      <c r="N2822" s="85">
        <f>STATS1003B!N2820/1000</f>
        <v>0</v>
      </c>
      <c r="O2822" s="85">
        <f>STATS1003B!O2820/1000</f>
        <v>0</v>
      </c>
      <c r="P2822" s="85">
        <v>0</v>
      </c>
      <c r="Q2822" s="85">
        <f>STATS1003B!Q2820/1000</f>
        <v>0</v>
      </c>
      <c r="R2822" s="85">
        <f>STATS1003B!R2820/1000</f>
        <v>0</v>
      </c>
      <c r="S2822" s="85">
        <f>STATS1003B!S2820/1000</f>
        <v>0</v>
      </c>
      <c r="T2822" s="85">
        <f>STATS1003B!T2820/1000</f>
        <v>0</v>
      </c>
      <c r="U2822" s="85">
        <f>STATS1003B!U2820/1000</f>
        <v>0</v>
      </c>
      <c r="V2822" s="85">
        <f>STATS1003B!V2820/1000</f>
        <v>0</v>
      </c>
      <c r="W2822" s="85">
        <f>STATS1003B!W2820/1000</f>
        <v>0</v>
      </c>
      <c r="X2822" s="85">
        <f t="shared" si="300"/>
        <v>364969.94678</v>
      </c>
      <c r="Y2822" s="85">
        <f>STATS1003B!Y2820/1000</f>
        <v>0</v>
      </c>
      <c r="Z2822" s="85">
        <f>+X2822-E2822</f>
        <v>7.8000000212341547E-4</v>
      </c>
      <c r="AA2822" s="69">
        <f>STATS1003B!AA2820/1000</f>
        <v>142462.60412999999</v>
      </c>
      <c r="AB2822" s="69">
        <f>STATS1003B!AB2820/1000</f>
        <v>0</v>
      </c>
    </row>
    <row r="2823" spans="1:30" x14ac:dyDescent="0.3">
      <c r="A2823" s="73"/>
      <c r="C2823" s="68" t="s">
        <v>1275</v>
      </c>
      <c r="E2823" s="85">
        <f>540948363.93/1000</f>
        <v>540948.36392999999</v>
      </c>
      <c r="F2823" s="85"/>
      <c r="G2823" s="85"/>
      <c r="H2823" s="85">
        <f>540948363.93/1000</f>
        <v>540948.36392999999</v>
      </c>
      <c r="I2823" s="85"/>
      <c r="J2823" s="85"/>
      <c r="K2823" s="85"/>
      <c r="L2823" s="85"/>
      <c r="M2823" s="85"/>
      <c r="N2823" s="85"/>
      <c r="O2823" s="85"/>
      <c r="P2823" s="85">
        <v>0</v>
      </c>
      <c r="Q2823" s="85"/>
      <c r="R2823" s="85"/>
      <c r="S2823" s="85"/>
      <c r="T2823" s="85"/>
      <c r="U2823" s="85"/>
      <c r="V2823" s="85"/>
      <c r="W2823" s="85"/>
      <c r="X2823" s="85">
        <f t="shared" si="300"/>
        <v>540948.36392999999</v>
      </c>
      <c r="Y2823" s="85"/>
      <c r="Z2823" s="85">
        <f>+X2823-E2823</f>
        <v>0</v>
      </c>
      <c r="AA2823" s="69"/>
      <c r="AB2823" s="69"/>
    </row>
    <row r="2824" spans="1:30" x14ac:dyDescent="0.3">
      <c r="A2824" s="73"/>
      <c r="C2824" s="68" t="s">
        <v>1299</v>
      </c>
      <c r="E2824" s="85">
        <f>16526335/1000</f>
        <v>16526.334999999999</v>
      </c>
      <c r="F2824" s="85"/>
      <c r="G2824" s="85"/>
      <c r="H2824" s="85">
        <f>16526335/1000</f>
        <v>16526.334999999999</v>
      </c>
      <c r="I2824" s="85"/>
      <c r="J2824" s="85"/>
      <c r="K2824" s="85"/>
      <c r="L2824" s="85"/>
      <c r="M2824" s="85"/>
      <c r="N2824" s="85"/>
      <c r="O2824" s="85"/>
      <c r="P2824" s="85">
        <v>0</v>
      </c>
      <c r="Q2824" s="85"/>
      <c r="R2824" s="85"/>
      <c r="S2824" s="85"/>
      <c r="T2824" s="85"/>
      <c r="U2824" s="85"/>
      <c r="V2824" s="85"/>
      <c r="W2824" s="85"/>
      <c r="X2824" s="85">
        <f t="shared" si="300"/>
        <v>16526.334999999999</v>
      </c>
      <c r="Y2824" s="85"/>
      <c r="Z2824" s="85">
        <f t="shared" ref="Z2824:Z2831" si="301">+E2824-X2824</f>
        <v>0</v>
      </c>
      <c r="AA2824" s="69"/>
      <c r="AB2824" s="69"/>
    </row>
    <row r="2825" spans="1:30" x14ac:dyDescent="0.3">
      <c r="A2825" s="73"/>
      <c r="C2825" s="68" t="s">
        <v>1300</v>
      </c>
      <c r="E2825" s="85">
        <f>3006212/1000</f>
        <v>3006.212</v>
      </c>
      <c r="F2825" s="85"/>
      <c r="G2825" s="85"/>
      <c r="H2825" s="85">
        <f>3006212/1000</f>
        <v>3006.212</v>
      </c>
      <c r="I2825" s="85"/>
      <c r="J2825" s="85"/>
      <c r="K2825" s="85"/>
      <c r="L2825" s="85"/>
      <c r="M2825" s="85"/>
      <c r="N2825" s="85"/>
      <c r="O2825" s="85"/>
      <c r="P2825" s="85">
        <v>0</v>
      </c>
      <c r="Q2825" s="85"/>
      <c r="R2825" s="85"/>
      <c r="S2825" s="85"/>
      <c r="T2825" s="85"/>
      <c r="U2825" s="85"/>
      <c r="V2825" s="85"/>
      <c r="W2825" s="85"/>
      <c r="X2825" s="85">
        <f t="shared" si="300"/>
        <v>3006.212</v>
      </c>
      <c r="Y2825" s="85"/>
      <c r="Z2825" s="85">
        <f t="shared" si="301"/>
        <v>0</v>
      </c>
      <c r="AA2825" s="69"/>
      <c r="AB2825" s="69"/>
    </row>
    <row r="2826" spans="1:30" x14ac:dyDescent="0.3">
      <c r="A2826" s="73"/>
      <c r="C2826" s="68" t="s">
        <v>1309</v>
      </c>
      <c r="E2826" s="85">
        <f>1624992.37/1000</f>
        <v>1624.9923700000002</v>
      </c>
      <c r="F2826" s="85"/>
      <c r="G2826" s="85"/>
      <c r="H2826" s="85">
        <f>1624992.37/1000</f>
        <v>1624.9923700000002</v>
      </c>
      <c r="I2826" s="85"/>
      <c r="J2826" s="85"/>
      <c r="K2826" s="85"/>
      <c r="L2826" s="85"/>
      <c r="M2826" s="85"/>
      <c r="N2826" s="85"/>
      <c r="O2826" s="85"/>
      <c r="P2826" s="85">
        <v>0</v>
      </c>
      <c r="Q2826" s="85"/>
      <c r="R2826" s="85"/>
      <c r="S2826" s="85"/>
      <c r="T2826" s="85"/>
      <c r="U2826" s="85"/>
      <c r="V2826" s="85"/>
      <c r="W2826" s="85"/>
      <c r="X2826" s="85">
        <f t="shared" si="300"/>
        <v>1624.9923700000002</v>
      </c>
      <c r="Y2826" s="85"/>
      <c r="Z2826" s="85">
        <f>+E2826-X2826</f>
        <v>0</v>
      </c>
      <c r="AA2826" s="69"/>
      <c r="AB2826" s="69"/>
    </row>
    <row r="2827" spans="1:30" x14ac:dyDescent="0.3">
      <c r="A2827" s="73"/>
      <c r="C2827" s="68" t="s">
        <v>1306</v>
      </c>
      <c r="E2827" s="85">
        <f>6814099/1000</f>
        <v>6814.0990000000002</v>
      </c>
      <c r="F2827" s="85"/>
      <c r="G2827" s="85"/>
      <c r="H2827" s="85">
        <f>6814099/1000</f>
        <v>6814.0990000000002</v>
      </c>
      <c r="I2827" s="85"/>
      <c r="J2827" s="85"/>
      <c r="K2827" s="85"/>
      <c r="L2827" s="85"/>
      <c r="M2827" s="85"/>
      <c r="N2827" s="85"/>
      <c r="O2827" s="85"/>
      <c r="P2827" s="85">
        <v>0</v>
      </c>
      <c r="Q2827" s="85"/>
      <c r="R2827" s="85"/>
      <c r="S2827" s="85"/>
      <c r="T2827" s="85"/>
      <c r="U2827" s="85"/>
      <c r="V2827" s="85"/>
      <c r="W2827" s="85"/>
      <c r="X2827" s="85">
        <f t="shared" si="300"/>
        <v>6814.0990000000002</v>
      </c>
      <c r="Y2827" s="85"/>
      <c r="Z2827" s="85">
        <f t="shared" si="301"/>
        <v>0</v>
      </c>
      <c r="AA2827" s="69"/>
      <c r="AB2827" s="69"/>
    </row>
    <row r="2828" spans="1:30" x14ac:dyDescent="0.3">
      <c r="A2828" s="73"/>
      <c r="C2828" s="68" t="s">
        <v>1301</v>
      </c>
      <c r="E2828" s="85">
        <f>296701/1000</f>
        <v>296.70100000000002</v>
      </c>
      <c r="F2828" s="85"/>
      <c r="G2828" s="85"/>
      <c r="H2828" s="85">
        <f>296701/1000</f>
        <v>296.70100000000002</v>
      </c>
      <c r="I2828" s="85"/>
      <c r="J2828" s="85"/>
      <c r="K2828" s="85"/>
      <c r="L2828" s="85"/>
      <c r="M2828" s="85"/>
      <c r="N2828" s="85"/>
      <c r="O2828" s="85"/>
      <c r="P2828" s="85">
        <v>0</v>
      </c>
      <c r="Q2828" s="85"/>
      <c r="R2828" s="85"/>
      <c r="S2828" s="85"/>
      <c r="T2828" s="85"/>
      <c r="U2828" s="85"/>
      <c r="V2828" s="85"/>
      <c r="W2828" s="85"/>
      <c r="X2828" s="85">
        <f t="shared" si="300"/>
        <v>296.70100000000002</v>
      </c>
      <c r="Y2828" s="85"/>
      <c r="Z2828" s="85">
        <f t="shared" si="301"/>
        <v>0</v>
      </c>
      <c r="AA2828" s="69"/>
      <c r="AB2828" s="69"/>
      <c r="AD2828" s="144"/>
    </row>
    <row r="2829" spans="1:30" x14ac:dyDescent="0.3">
      <c r="A2829" s="73"/>
      <c r="C2829" s="68" t="s">
        <v>1302</v>
      </c>
      <c r="E2829" s="85">
        <f>2031412/1000</f>
        <v>2031.412</v>
      </c>
      <c r="F2829" s="85"/>
      <c r="G2829" s="85"/>
      <c r="H2829" s="85">
        <f>2031412/1000</f>
        <v>2031.412</v>
      </c>
      <c r="I2829" s="85"/>
      <c r="J2829" s="85"/>
      <c r="K2829" s="85"/>
      <c r="L2829" s="85"/>
      <c r="M2829" s="85"/>
      <c r="N2829" s="85"/>
      <c r="O2829" s="85"/>
      <c r="P2829" s="85">
        <v>0</v>
      </c>
      <c r="Q2829" s="85"/>
      <c r="R2829" s="85"/>
      <c r="S2829" s="85"/>
      <c r="T2829" s="85"/>
      <c r="U2829" s="85"/>
      <c r="V2829" s="85"/>
      <c r="W2829" s="85"/>
      <c r="X2829" s="85">
        <f t="shared" si="300"/>
        <v>2031.412</v>
      </c>
      <c r="Y2829" s="85"/>
      <c r="Z2829" s="85">
        <f t="shared" si="301"/>
        <v>0</v>
      </c>
      <c r="AA2829" s="69"/>
      <c r="AB2829" s="69"/>
    </row>
    <row r="2830" spans="1:30" x14ac:dyDescent="0.3">
      <c r="A2830" s="73"/>
      <c r="C2830" s="68" t="s">
        <v>1303</v>
      </c>
      <c r="E2830" s="85">
        <f>4074451.57/1000</f>
        <v>4074.4515699999997</v>
      </c>
      <c r="F2830" s="85"/>
      <c r="G2830" s="85"/>
      <c r="H2830" s="85">
        <f>4074451.57/1000</f>
        <v>4074.4515699999997</v>
      </c>
      <c r="I2830" s="85"/>
      <c r="J2830" s="85"/>
      <c r="K2830" s="85"/>
      <c r="L2830" s="85"/>
      <c r="M2830" s="85"/>
      <c r="N2830" s="85"/>
      <c r="O2830" s="85"/>
      <c r="P2830" s="85">
        <v>0</v>
      </c>
      <c r="Q2830" s="85"/>
      <c r="R2830" s="85"/>
      <c r="S2830" s="85"/>
      <c r="T2830" s="85"/>
      <c r="U2830" s="85"/>
      <c r="V2830" s="85"/>
      <c r="W2830" s="85"/>
      <c r="X2830" s="85">
        <f t="shared" si="300"/>
        <v>4074.4515699999997</v>
      </c>
      <c r="Y2830" s="85"/>
      <c r="Z2830" s="85">
        <f t="shared" si="301"/>
        <v>0</v>
      </c>
      <c r="AA2830" s="69"/>
      <c r="AB2830" s="69"/>
    </row>
    <row r="2831" spans="1:30" x14ac:dyDescent="0.3">
      <c r="A2831" s="73"/>
      <c r="C2831" s="68" t="s">
        <v>1307</v>
      </c>
      <c r="E2831" s="85">
        <f>7398612.5/1000</f>
        <v>7398.6125000000002</v>
      </c>
      <c r="F2831" s="85"/>
      <c r="G2831" s="85"/>
      <c r="H2831" s="85">
        <f>7398612.5/1000</f>
        <v>7398.6125000000002</v>
      </c>
      <c r="I2831" s="85"/>
      <c r="J2831" s="85"/>
      <c r="K2831" s="85"/>
      <c r="L2831" s="85"/>
      <c r="M2831" s="85"/>
      <c r="N2831" s="85"/>
      <c r="O2831" s="85"/>
      <c r="P2831" s="85">
        <v>0</v>
      </c>
      <c r="Q2831" s="85"/>
      <c r="R2831" s="85"/>
      <c r="S2831" s="85"/>
      <c r="T2831" s="85"/>
      <c r="U2831" s="85"/>
      <c r="V2831" s="85"/>
      <c r="W2831" s="85"/>
      <c r="X2831" s="85">
        <f t="shared" si="300"/>
        <v>7398.6125000000002</v>
      </c>
      <c r="Y2831" s="85"/>
      <c r="Z2831" s="85">
        <f t="shared" si="301"/>
        <v>0</v>
      </c>
      <c r="AA2831" s="69"/>
      <c r="AB2831" s="69"/>
    </row>
    <row r="2832" spans="1:30" x14ac:dyDescent="0.3">
      <c r="A2832" s="73"/>
      <c r="C2832" s="68" t="s">
        <v>1286</v>
      </c>
      <c r="E2832" s="85">
        <f>328019383/1000</f>
        <v>328019.38299999997</v>
      </c>
      <c r="F2832" s="85"/>
      <c r="G2832" s="85"/>
      <c r="H2832" s="85">
        <f>328019383/1000</f>
        <v>328019.38299999997</v>
      </c>
      <c r="I2832" s="85"/>
      <c r="J2832" s="85"/>
      <c r="K2832" s="85"/>
      <c r="L2832" s="85"/>
      <c r="M2832" s="85"/>
      <c r="N2832" s="85"/>
      <c r="O2832" s="85"/>
      <c r="P2832" s="85">
        <v>0</v>
      </c>
      <c r="Q2832" s="85"/>
      <c r="R2832" s="85"/>
      <c r="S2832" s="85"/>
      <c r="T2832" s="85"/>
      <c r="U2832" s="85"/>
      <c r="V2832" s="85"/>
      <c r="W2832" s="85"/>
      <c r="X2832" s="85">
        <f t="shared" si="300"/>
        <v>328019.38299999997</v>
      </c>
      <c r="Y2832" s="85"/>
      <c r="Z2832" s="85">
        <f t="shared" si="299"/>
        <v>0</v>
      </c>
      <c r="AA2832" s="69"/>
      <c r="AB2832" s="69"/>
    </row>
    <row r="2833" spans="1:28" x14ac:dyDescent="0.3">
      <c r="A2833" s="73"/>
      <c r="C2833" s="68" t="s">
        <v>1293</v>
      </c>
      <c r="E2833" s="85">
        <f>375629372.45/1000</f>
        <v>375629.37244999997</v>
      </c>
      <c r="F2833" s="85"/>
      <c r="G2833" s="85"/>
      <c r="H2833" s="85">
        <f>375629372.45/1000</f>
        <v>375629.37244999997</v>
      </c>
      <c r="I2833" s="85"/>
      <c r="J2833" s="85"/>
      <c r="K2833" s="85"/>
      <c r="L2833" s="85"/>
      <c r="M2833" s="85"/>
      <c r="N2833" s="85"/>
      <c r="O2833" s="85"/>
      <c r="P2833" s="85">
        <v>0</v>
      </c>
      <c r="Q2833" s="85"/>
      <c r="R2833" s="85"/>
      <c r="S2833" s="85"/>
      <c r="T2833" s="85"/>
      <c r="U2833" s="85"/>
      <c r="V2833" s="85"/>
      <c r="W2833" s="85"/>
      <c r="X2833" s="85">
        <f t="shared" si="300"/>
        <v>375629.37244999997</v>
      </c>
      <c r="Y2833" s="85"/>
      <c r="Z2833" s="85">
        <f t="shared" si="299"/>
        <v>0</v>
      </c>
      <c r="AA2833" s="69"/>
      <c r="AB2833" s="69"/>
    </row>
    <row r="2834" spans="1:28" x14ac:dyDescent="0.3">
      <c r="A2834" s="73"/>
      <c r="C2834" s="68" t="s">
        <v>1310</v>
      </c>
      <c r="E2834" s="85">
        <f>1738483270.13/1000</f>
        <v>1738483.2701300001</v>
      </c>
      <c r="F2834" s="85"/>
      <c r="G2834" s="85"/>
      <c r="H2834" s="85">
        <f>1738483270.13/1000</f>
        <v>1738483.2701300001</v>
      </c>
      <c r="I2834" s="85"/>
      <c r="J2834" s="85"/>
      <c r="K2834" s="85"/>
      <c r="L2834" s="85"/>
      <c r="M2834" s="85"/>
      <c r="N2834" s="85"/>
      <c r="O2834" s="85"/>
      <c r="P2834" s="85">
        <v>0</v>
      </c>
      <c r="Q2834" s="85"/>
      <c r="R2834" s="85"/>
      <c r="S2834" s="85"/>
      <c r="T2834" s="85"/>
      <c r="U2834" s="85"/>
      <c r="V2834" s="85"/>
      <c r="W2834" s="85"/>
      <c r="X2834" s="85">
        <f t="shared" si="300"/>
        <v>1738483.2701300001</v>
      </c>
      <c r="Y2834" s="85"/>
      <c r="Z2834" s="85">
        <f t="shared" si="299"/>
        <v>0</v>
      </c>
      <c r="AA2834" s="69"/>
      <c r="AB2834" s="69"/>
    </row>
    <row r="2835" spans="1:28" x14ac:dyDescent="0.3">
      <c r="A2835" s="73"/>
      <c r="C2835" s="68" t="s">
        <v>1311</v>
      </c>
      <c r="E2835" s="85">
        <f>2069826109.15/1000</f>
        <v>2069826.1091500001</v>
      </c>
      <c r="F2835" s="85"/>
      <c r="G2835" s="85"/>
      <c r="H2835" s="85">
        <f>2069826109.15/1000</f>
        <v>2069826.1091500001</v>
      </c>
      <c r="I2835" s="85"/>
      <c r="J2835" s="85"/>
      <c r="K2835" s="85"/>
      <c r="L2835" s="85"/>
      <c r="M2835" s="85"/>
      <c r="N2835" s="85"/>
      <c r="O2835" s="85"/>
      <c r="P2835" s="85">
        <v>0</v>
      </c>
      <c r="Q2835" s="85"/>
      <c r="R2835" s="85"/>
      <c r="S2835" s="85"/>
      <c r="T2835" s="85"/>
      <c r="U2835" s="85"/>
      <c r="V2835" s="85"/>
      <c r="W2835" s="85"/>
      <c r="X2835" s="85">
        <f t="shared" si="300"/>
        <v>2069826.1091500001</v>
      </c>
      <c r="Y2835" s="85"/>
      <c r="Z2835" s="85">
        <f t="shared" si="299"/>
        <v>0</v>
      </c>
      <c r="AA2835" s="69"/>
      <c r="AB2835" s="69"/>
    </row>
    <row r="2836" spans="1:28" x14ac:dyDescent="0.3">
      <c r="A2836" s="73"/>
      <c r="C2836" s="68" t="s">
        <v>1291</v>
      </c>
      <c r="E2836" s="85">
        <f>447222242.03/1000</f>
        <v>447222.24202999996</v>
      </c>
      <c r="F2836" s="85"/>
      <c r="G2836" s="85"/>
      <c r="H2836" s="85">
        <f>447222242.03/1000</f>
        <v>447222.24202999996</v>
      </c>
      <c r="I2836" s="85"/>
      <c r="J2836" s="85"/>
      <c r="K2836" s="85"/>
      <c r="L2836" s="85"/>
      <c r="M2836" s="85"/>
      <c r="N2836" s="85"/>
      <c r="O2836" s="85"/>
      <c r="P2836" s="85">
        <v>0</v>
      </c>
      <c r="Q2836" s="85"/>
      <c r="R2836" s="85"/>
      <c r="S2836" s="85"/>
      <c r="T2836" s="85"/>
      <c r="U2836" s="85"/>
      <c r="V2836" s="85"/>
      <c r="W2836" s="85"/>
      <c r="X2836" s="85">
        <f t="shared" si="300"/>
        <v>447222.24202999996</v>
      </c>
      <c r="Y2836" s="85"/>
      <c r="Z2836" s="85">
        <f>+X2836-E2836</f>
        <v>0</v>
      </c>
      <c r="AA2836" s="69"/>
      <c r="AB2836" s="69"/>
    </row>
    <row r="2837" spans="1:28" x14ac:dyDescent="0.3">
      <c r="A2837" s="73"/>
      <c r="C2837" s="68" t="s">
        <v>1305</v>
      </c>
      <c r="E2837" s="85">
        <f>1881692.93/1000</f>
        <v>1881.6929299999999</v>
      </c>
      <c r="F2837" s="85"/>
      <c r="G2837" s="85"/>
      <c r="H2837" s="85">
        <f>1881692.93/1000</f>
        <v>1881.6929299999999</v>
      </c>
      <c r="I2837" s="85"/>
      <c r="J2837" s="85"/>
      <c r="K2837" s="85"/>
      <c r="L2837" s="85"/>
      <c r="M2837" s="85"/>
      <c r="N2837" s="85"/>
      <c r="O2837" s="85"/>
      <c r="P2837" s="85">
        <v>0</v>
      </c>
      <c r="Q2837" s="85"/>
      <c r="R2837" s="85"/>
      <c r="S2837" s="85"/>
      <c r="T2837" s="85"/>
      <c r="U2837" s="85"/>
      <c r="V2837" s="85"/>
      <c r="W2837" s="85"/>
      <c r="X2837" s="85">
        <f t="shared" si="300"/>
        <v>1881.6929299999999</v>
      </c>
      <c r="Y2837" s="85"/>
      <c r="Z2837" s="85">
        <f t="shared" si="299"/>
        <v>0</v>
      </c>
      <c r="AA2837" s="69"/>
      <c r="AB2837" s="69"/>
    </row>
    <row r="2838" spans="1:28" x14ac:dyDescent="0.3">
      <c r="A2838" s="73"/>
      <c r="C2838" s="68" t="s">
        <v>1280</v>
      </c>
      <c r="E2838" s="85">
        <f>457450033/1000</f>
        <v>457450.033</v>
      </c>
      <c r="F2838" s="85"/>
      <c r="G2838" s="85"/>
      <c r="H2838" s="85">
        <f>457450033/1000</f>
        <v>457450.033</v>
      </c>
      <c r="I2838" s="85"/>
      <c r="J2838" s="85"/>
      <c r="K2838" s="85"/>
      <c r="L2838" s="85"/>
      <c r="M2838" s="85"/>
      <c r="N2838" s="85"/>
      <c r="O2838" s="85"/>
      <c r="P2838" s="85">
        <v>0</v>
      </c>
      <c r="Q2838" s="85"/>
      <c r="R2838" s="85"/>
      <c r="S2838" s="85"/>
      <c r="T2838" s="85"/>
      <c r="U2838" s="85"/>
      <c r="V2838" s="85"/>
      <c r="W2838" s="85"/>
      <c r="X2838" s="85">
        <f t="shared" si="300"/>
        <v>457450.033</v>
      </c>
      <c r="Y2838" s="85"/>
      <c r="Z2838" s="85">
        <f t="shared" si="299"/>
        <v>0</v>
      </c>
      <c r="AA2838" s="69"/>
      <c r="AB2838" s="69"/>
    </row>
    <row r="2839" spans="1:28" x14ac:dyDescent="0.3">
      <c r="A2839" s="73"/>
      <c r="C2839" s="68" t="s">
        <v>1283</v>
      </c>
      <c r="E2839" s="85">
        <f>176453596.83/1000</f>
        <v>176453.59683000002</v>
      </c>
      <c r="F2839" s="85"/>
      <c r="G2839" s="85"/>
      <c r="H2839" s="85">
        <f>176454000/1000</f>
        <v>176454</v>
      </c>
      <c r="I2839" s="85"/>
      <c r="J2839" s="85"/>
      <c r="K2839" s="85"/>
      <c r="L2839" s="85"/>
      <c r="M2839" s="85"/>
      <c r="N2839" s="85"/>
      <c r="O2839" s="85"/>
      <c r="P2839" s="85">
        <v>0</v>
      </c>
      <c r="Q2839" s="85"/>
      <c r="R2839" s="85"/>
      <c r="S2839" s="85"/>
      <c r="T2839" s="85"/>
      <c r="U2839" s="85"/>
      <c r="V2839" s="85"/>
      <c r="W2839" s="85"/>
      <c r="X2839" s="85">
        <f t="shared" si="300"/>
        <v>176454</v>
      </c>
      <c r="Y2839" s="85"/>
      <c r="Z2839" s="85">
        <f>+X2839-E2839</f>
        <v>0.40316999997594394</v>
      </c>
      <c r="AA2839" s="69"/>
      <c r="AB2839" s="69"/>
    </row>
    <row r="2840" spans="1:28" x14ac:dyDescent="0.3">
      <c r="A2840" s="73"/>
      <c r="C2840" s="98" t="s">
        <v>1287</v>
      </c>
      <c r="E2840" s="85">
        <f>2435113672/1000</f>
        <v>2435113.6719999998</v>
      </c>
      <c r="F2840" s="85"/>
      <c r="G2840" s="85"/>
      <c r="H2840" s="85">
        <f>2435113672/1000</f>
        <v>2435113.6719999998</v>
      </c>
      <c r="I2840" s="85"/>
      <c r="J2840" s="85"/>
      <c r="K2840" s="85"/>
      <c r="L2840" s="85"/>
      <c r="M2840" s="85"/>
      <c r="N2840" s="85"/>
      <c r="O2840" s="85"/>
      <c r="P2840" s="85">
        <v>0</v>
      </c>
      <c r="Q2840" s="85"/>
      <c r="R2840" s="85"/>
      <c r="S2840" s="85"/>
      <c r="T2840" s="85"/>
      <c r="U2840" s="85"/>
      <c r="V2840" s="85"/>
      <c r="W2840" s="85"/>
      <c r="X2840" s="85">
        <f t="shared" si="300"/>
        <v>2435113.6719999998</v>
      </c>
      <c r="Y2840" s="85"/>
      <c r="Z2840" s="85">
        <f t="shared" si="299"/>
        <v>0</v>
      </c>
      <c r="AA2840" s="69"/>
      <c r="AB2840" s="69"/>
    </row>
    <row r="2841" spans="1:28" x14ac:dyDescent="0.3">
      <c r="A2841" s="73"/>
      <c r="C2841" s="68" t="s">
        <v>1292</v>
      </c>
      <c r="E2841" s="85">
        <f>653240072/1000</f>
        <v>653240.07200000004</v>
      </c>
      <c r="F2841" s="85"/>
      <c r="G2841" s="85"/>
      <c r="H2841" s="85">
        <f>653240072/1000</f>
        <v>653240.07200000004</v>
      </c>
      <c r="I2841" s="85"/>
      <c r="J2841" s="85"/>
      <c r="K2841" s="85"/>
      <c r="L2841" s="85"/>
      <c r="M2841" s="85"/>
      <c r="N2841" s="85"/>
      <c r="O2841" s="85"/>
      <c r="P2841" s="85">
        <v>0</v>
      </c>
      <c r="Q2841" s="85"/>
      <c r="R2841" s="85"/>
      <c r="S2841" s="85"/>
      <c r="T2841" s="85"/>
      <c r="U2841" s="85"/>
      <c r="V2841" s="85"/>
      <c r="W2841" s="85"/>
      <c r="X2841" s="85">
        <f t="shared" si="300"/>
        <v>653240.07200000004</v>
      </c>
      <c r="Y2841" s="85"/>
      <c r="Z2841" s="85">
        <f t="shared" si="299"/>
        <v>0</v>
      </c>
      <c r="AA2841" s="69"/>
      <c r="AB2841" s="69"/>
    </row>
    <row r="2842" spans="1:28" x14ac:dyDescent="0.3">
      <c r="A2842" s="73"/>
      <c r="C2842" s="93" t="s">
        <v>1198</v>
      </c>
      <c r="E2842" s="85">
        <f>277256/1000</f>
        <v>277.25599999999997</v>
      </c>
      <c r="F2842" s="85">
        <f>STATS1003B!F2821/1000</f>
        <v>277.25680999999997</v>
      </c>
      <c r="G2842" s="85">
        <f>STATS1003B!G2821/1000</f>
        <v>0</v>
      </c>
      <c r="H2842" s="85">
        <f>277256/1000</f>
        <v>277.25599999999997</v>
      </c>
      <c r="I2842" s="85">
        <f>STATS1003B!I2821/1000</f>
        <v>0</v>
      </c>
      <c r="J2842" s="85">
        <f>STATS1003B!J2821/1000</f>
        <v>0</v>
      </c>
      <c r="K2842" s="85">
        <f>STATS1003B!K2821/1000</f>
        <v>0</v>
      </c>
      <c r="L2842" s="85">
        <f>STATS1003B!L2821/1000</f>
        <v>0</v>
      </c>
      <c r="M2842" s="85">
        <f>STATS1003B!M2821/1000</f>
        <v>277.25680999999997</v>
      </c>
      <c r="N2842" s="85">
        <f>STATS1003B!N2821/1000</f>
        <v>0</v>
      </c>
      <c r="O2842" s="85">
        <f>STATS1003B!O2821/1000</f>
        <v>0</v>
      </c>
      <c r="P2842" s="85">
        <v>0</v>
      </c>
      <c r="Q2842" s="85">
        <f>STATS1003B!Q2821/1000</f>
        <v>0</v>
      </c>
      <c r="R2842" s="85">
        <f>STATS1003B!R2821/1000</f>
        <v>0</v>
      </c>
      <c r="S2842" s="85">
        <f>STATS1003B!S2821/1000</f>
        <v>0</v>
      </c>
      <c r="T2842" s="85">
        <f>STATS1003B!T2821/1000</f>
        <v>0</v>
      </c>
      <c r="U2842" s="85">
        <f>STATS1003B!U2821/1000</f>
        <v>0</v>
      </c>
      <c r="V2842" s="85">
        <f>STATS1003B!V2821/1000</f>
        <v>0</v>
      </c>
      <c r="W2842" s="85">
        <f>STATS1003B!W2821/1000</f>
        <v>0</v>
      </c>
      <c r="X2842" s="85">
        <f t="shared" si="300"/>
        <v>277.25599999999997</v>
      </c>
      <c r="Y2842" s="85">
        <f>STATS1003B!Y2821/1000</f>
        <v>0</v>
      </c>
      <c r="Z2842" s="85">
        <f t="shared" si="299"/>
        <v>0</v>
      </c>
      <c r="AA2842" s="69">
        <f>STATS1003B!AA2821/1000</f>
        <v>277.25680999999997</v>
      </c>
      <c r="AB2842" s="69">
        <f>STATS1003B!AB2821/1000</f>
        <v>0</v>
      </c>
    </row>
    <row r="2843" spans="1:28" x14ac:dyDescent="0.3">
      <c r="A2843" s="73"/>
      <c r="C2843" s="68" t="s">
        <v>875</v>
      </c>
      <c r="E2843" s="85">
        <f>4675000/1000</f>
        <v>4675</v>
      </c>
      <c r="F2843" s="85">
        <f>STATS1003B!F2822/1000</f>
        <v>4675</v>
      </c>
      <c r="G2843" s="85">
        <f>STATS1003B!G2822/1000</f>
        <v>0</v>
      </c>
      <c r="H2843" s="85">
        <f>4675000/1000</f>
        <v>4675</v>
      </c>
      <c r="I2843" s="85">
        <f>STATS1003B!I2822/1000</f>
        <v>0</v>
      </c>
      <c r="J2843" s="85">
        <f>STATS1003B!J2822/1000</f>
        <v>0</v>
      </c>
      <c r="K2843" s="85">
        <f>STATS1003B!K2822/1000</f>
        <v>0</v>
      </c>
      <c r="L2843" s="85">
        <f>STATS1003B!L2822/1000</f>
        <v>0</v>
      </c>
      <c r="M2843" s="85">
        <f>STATS1003B!M2822/1000</f>
        <v>4675</v>
      </c>
      <c r="N2843" s="85">
        <f>STATS1003B!N2822/1000</f>
        <v>0</v>
      </c>
      <c r="O2843" s="85">
        <f>STATS1003B!O2822/1000</f>
        <v>0</v>
      </c>
      <c r="P2843" s="85">
        <v>0</v>
      </c>
      <c r="Q2843" s="85">
        <f>STATS1003B!Q2822/1000</f>
        <v>0</v>
      </c>
      <c r="R2843" s="85">
        <f>STATS1003B!R2822/1000</f>
        <v>0</v>
      </c>
      <c r="S2843" s="85">
        <f>STATS1003B!S2822/1000</f>
        <v>0</v>
      </c>
      <c r="T2843" s="85">
        <f>STATS1003B!T2822/1000</f>
        <v>0</v>
      </c>
      <c r="U2843" s="85">
        <f>STATS1003B!U2822/1000</f>
        <v>0</v>
      </c>
      <c r="V2843" s="85">
        <f>STATS1003B!V2822/1000</f>
        <v>10706.344499999999</v>
      </c>
      <c r="W2843" s="85">
        <f>STATS1003B!W2822/1000</f>
        <v>0</v>
      </c>
      <c r="X2843" s="85">
        <f t="shared" si="300"/>
        <v>4675</v>
      </c>
      <c r="Y2843" s="85">
        <f>STATS1003B!Y2822/1000</f>
        <v>0</v>
      </c>
      <c r="Z2843" s="85">
        <f t="shared" si="299"/>
        <v>0</v>
      </c>
      <c r="AA2843" s="69">
        <f>STATS1003B!AA2822/1000</f>
        <v>4675</v>
      </c>
      <c r="AB2843" s="69">
        <f>STATS1003B!AB2822/1000</f>
        <v>0</v>
      </c>
    </row>
    <row r="2844" spans="1:28" x14ac:dyDescent="0.3">
      <c r="A2844" s="73"/>
      <c r="C2844" s="68" t="s">
        <v>877</v>
      </c>
      <c r="E2844" s="85">
        <f>8781042/1000</f>
        <v>8781.0419999999995</v>
      </c>
      <c r="F2844" s="85">
        <f>STATS1003B!F2823/1000</f>
        <v>8781.0425099999993</v>
      </c>
      <c r="G2844" s="85">
        <f>STATS1003B!G2823/1000</f>
        <v>0</v>
      </c>
      <c r="H2844" s="85">
        <f>8781042/1000</f>
        <v>8781.0419999999995</v>
      </c>
      <c r="I2844" s="85">
        <f>STATS1003B!I2823/1000</f>
        <v>500</v>
      </c>
      <c r="J2844" s="85">
        <f>STATS1003B!J2823/1000</f>
        <v>33424.105939999994</v>
      </c>
      <c r="K2844" s="85">
        <f>STATS1003B!K2823/1000</f>
        <v>2310.7779999999998</v>
      </c>
      <c r="L2844" s="85">
        <f>STATS1003B!L2823/1000</f>
        <v>0</v>
      </c>
      <c r="M2844" s="85">
        <f>STATS1003B!M2823/1000</f>
        <v>8781.0425099999993</v>
      </c>
      <c r="N2844" s="85">
        <f>STATS1003B!N2823/1000</f>
        <v>0</v>
      </c>
      <c r="O2844" s="85">
        <f>STATS1003B!O2823/1000</f>
        <v>0</v>
      </c>
      <c r="P2844" s="85">
        <v>0</v>
      </c>
      <c r="Q2844" s="85">
        <f>STATS1003B!Q2823/1000</f>
        <v>32924.105939999994</v>
      </c>
      <c r="R2844" s="85">
        <f>STATS1003B!R2823/1000</f>
        <v>0</v>
      </c>
      <c r="S2844" s="85">
        <f>STATS1003B!S2823/1000</f>
        <v>0</v>
      </c>
      <c r="T2844" s="85">
        <f>STATS1003B!T2823/1000</f>
        <v>0</v>
      </c>
      <c r="U2844" s="85">
        <f>STATS1003B!U2823/1000</f>
        <v>0</v>
      </c>
      <c r="V2844" s="85">
        <f>STATS1003B!V2823/1000</f>
        <v>15797.584550000001</v>
      </c>
      <c r="W2844" s="85">
        <f>STATS1003B!W2823/1000</f>
        <v>0</v>
      </c>
      <c r="X2844" s="85">
        <f t="shared" si="300"/>
        <v>8781.0419999999995</v>
      </c>
      <c r="Y2844" s="85">
        <f>STATS1003B!Y2823/1000</f>
        <v>0</v>
      </c>
      <c r="Z2844" s="85">
        <f t="shared" si="299"/>
        <v>0</v>
      </c>
      <c r="AA2844" s="69">
        <f>STATS1003B!AA2823/1000</f>
        <v>8781.0425099999993</v>
      </c>
      <c r="AB2844" s="69">
        <f>STATS1003B!AB2823/1000</f>
        <v>0</v>
      </c>
    </row>
    <row r="2845" spans="1:28" x14ac:dyDescent="0.3">
      <c r="A2845" s="73"/>
      <c r="C2845" s="68" t="s">
        <v>903</v>
      </c>
      <c r="E2845" s="85">
        <f>11304566/1000</f>
        <v>11304.566000000001</v>
      </c>
      <c r="F2845" s="85">
        <f>STATS1003B!F2824/1000</f>
        <v>10156.33776</v>
      </c>
      <c r="G2845" s="85">
        <f>STATS1003B!G2824/1000</f>
        <v>0</v>
      </c>
      <c r="H2845" s="85">
        <f>10156337/1000</f>
        <v>10156.337</v>
      </c>
      <c r="I2845" s="85">
        <f>STATS1003B!I2824/1000</f>
        <v>1462.4718</v>
      </c>
      <c r="J2845" s="85">
        <f>STATS1003B!J2824/1000</f>
        <v>1462.4718</v>
      </c>
      <c r="K2845" s="85">
        <f>STATS1003B!K2824/1000</f>
        <v>0</v>
      </c>
      <c r="L2845" s="85">
        <f>STATS1003B!L2824/1000</f>
        <v>0</v>
      </c>
      <c r="M2845" s="85">
        <f>STATS1003B!M2824/1000</f>
        <v>10156.33776</v>
      </c>
      <c r="N2845" s="85">
        <f>STATS1003B!N2824/1000</f>
        <v>1148.2284999999999</v>
      </c>
      <c r="O2845" s="85">
        <f>STATS1003B!O2824/1000</f>
        <v>0</v>
      </c>
      <c r="P2845" s="85">
        <f>1148228/1000</f>
        <v>1148.2280000000001</v>
      </c>
      <c r="Q2845" s="85">
        <f>STATS1003B!Q2824/1000</f>
        <v>485.76197000000002</v>
      </c>
      <c r="R2845" s="85">
        <f>STATS1003B!R2824/1000</f>
        <v>0</v>
      </c>
      <c r="S2845" s="85">
        <f>STATS1003B!S2824/1000</f>
        <v>3.91716</v>
      </c>
      <c r="T2845" s="85">
        <f>STATS1003B!T2824/1000</f>
        <v>0</v>
      </c>
      <c r="U2845" s="85">
        <f>STATS1003B!U2824/1000</f>
        <v>1148.2284999999999</v>
      </c>
      <c r="V2845" s="85">
        <f>STATS1003B!V2824/1000</f>
        <v>99705.30700999999</v>
      </c>
      <c r="W2845" s="85">
        <f>STATS1003B!W2824/1000</f>
        <v>1521.1281300000007</v>
      </c>
      <c r="X2845" s="85">
        <f t="shared" si="300"/>
        <v>11304.564999999999</v>
      </c>
      <c r="Y2845" s="85">
        <f>STATS1003B!Y2824/1000</f>
        <v>0</v>
      </c>
      <c r="Z2845" s="85">
        <f t="shared" si="299"/>
        <v>1.0000000020227162E-3</v>
      </c>
      <c r="AA2845" s="69">
        <f>STATS1003B!AA2824/1000</f>
        <v>11304.56626</v>
      </c>
      <c r="AB2845" s="69">
        <f>STATS1003B!AB2824/1000</f>
        <v>0</v>
      </c>
    </row>
    <row r="2846" spans="1:28" x14ac:dyDescent="0.3">
      <c r="A2846" s="73"/>
      <c r="C2846" s="68" t="s">
        <v>876</v>
      </c>
      <c r="E2846" s="85">
        <f>19055551/1000</f>
        <v>19055.550999999999</v>
      </c>
      <c r="F2846" s="85">
        <f>STATS1003B!F2825/1000</f>
        <v>18234.372380000001</v>
      </c>
      <c r="G2846" s="85">
        <f>STATS1003B!G2825/1000</f>
        <v>0</v>
      </c>
      <c r="H2846" s="85">
        <f>18234372/1000</f>
        <v>18234.371999999999</v>
      </c>
      <c r="I2846" s="85">
        <f>STATS1003B!I2825/1000</f>
        <v>18077.23128</v>
      </c>
      <c r="J2846" s="85">
        <f>STATS1003B!J2825/1000</f>
        <v>125668.82142000001</v>
      </c>
      <c r="K2846" s="85">
        <f>STATS1003B!K2825/1000</f>
        <v>6443.1840899999997</v>
      </c>
      <c r="L2846" s="85">
        <f>STATS1003B!L2825/1000</f>
        <v>0</v>
      </c>
      <c r="M2846" s="85">
        <f>STATS1003B!M2825/1000</f>
        <v>18234.372380000001</v>
      </c>
      <c r="N2846" s="85">
        <f>STATS1003B!N2825/1000</f>
        <v>821.17951000000005</v>
      </c>
      <c r="O2846" s="85">
        <f>STATS1003B!O2825/1000</f>
        <v>0</v>
      </c>
      <c r="P2846" s="85">
        <f>821179/1000</f>
        <v>821.17899999999997</v>
      </c>
      <c r="Q2846" s="85">
        <f>STATS1003B!Q2825/1000</f>
        <v>107661.67100999999</v>
      </c>
      <c r="R2846" s="85">
        <f>STATS1003B!R2825/1000</f>
        <v>0</v>
      </c>
      <c r="S2846" s="85">
        <f>STATS1003B!S2825/1000</f>
        <v>0</v>
      </c>
      <c r="T2846" s="85">
        <f>STATS1003B!T2825/1000</f>
        <v>0</v>
      </c>
      <c r="U2846" s="85">
        <f>STATS1003B!U2825/1000</f>
        <v>821.17951000000005</v>
      </c>
      <c r="V2846" s="85">
        <f>STATS1003B!V2825/1000</f>
        <v>21165.072</v>
      </c>
      <c r="W2846" s="85">
        <f>STATS1003B!W2825/1000</f>
        <v>0</v>
      </c>
      <c r="X2846" s="85">
        <f t="shared" si="300"/>
        <v>19055.550999999999</v>
      </c>
      <c r="Y2846" s="85">
        <f>STATS1003B!Y2825/1000</f>
        <v>0</v>
      </c>
      <c r="Z2846" s="85">
        <f t="shared" si="299"/>
        <v>0</v>
      </c>
      <c r="AA2846" s="69">
        <f>STATS1003B!AA2825/1000</f>
        <v>19055.551889999999</v>
      </c>
      <c r="AB2846" s="69">
        <f>STATS1003B!AB2825/1000</f>
        <v>0</v>
      </c>
    </row>
    <row r="2847" spans="1:28" x14ac:dyDescent="0.3">
      <c r="A2847" s="73"/>
      <c r="C2847" s="68" t="s">
        <v>874</v>
      </c>
      <c r="E2847" s="85">
        <f>85055278/1000</f>
        <v>85055.278000000006</v>
      </c>
      <c r="F2847" s="85">
        <f>STATS1003B!F2826/1000</f>
        <v>81000.671180000005</v>
      </c>
      <c r="G2847" s="85">
        <f>STATS1003B!G2826/1000</f>
        <v>0</v>
      </c>
      <c r="H2847" s="85">
        <f>81000671/1000</f>
        <v>81000.671000000002</v>
      </c>
      <c r="I2847" s="85">
        <f>STATS1003B!I2826/1000</f>
        <v>0</v>
      </c>
      <c r="J2847" s="85">
        <f>STATS1003B!J2826/1000</f>
        <v>0</v>
      </c>
      <c r="K2847" s="85">
        <f>STATS1003B!K2826/1000</f>
        <v>0</v>
      </c>
      <c r="L2847" s="85">
        <f>STATS1003B!L2826/1000</f>
        <v>0</v>
      </c>
      <c r="M2847" s="85">
        <f>STATS1003B!M2826/1000</f>
        <v>81000.671180000005</v>
      </c>
      <c r="N2847" s="85">
        <f>STATS1003B!N2826/1000</f>
        <v>4054.60718</v>
      </c>
      <c r="O2847" s="85">
        <f>STATS1003B!O2826/1000</f>
        <v>0</v>
      </c>
      <c r="P2847" s="85">
        <f>4054607/1000</f>
        <v>4054.607</v>
      </c>
      <c r="Q2847" s="85">
        <f>STATS1003B!Q2826/1000</f>
        <v>0</v>
      </c>
      <c r="R2847" s="85">
        <f>STATS1003B!R2826/1000</f>
        <v>0</v>
      </c>
      <c r="S2847" s="85">
        <f>STATS1003B!S2826/1000</f>
        <v>0</v>
      </c>
      <c r="T2847" s="85">
        <f>STATS1003B!T2826/1000</f>
        <v>0</v>
      </c>
      <c r="U2847" s="85">
        <f>STATS1003B!U2826/1000</f>
        <v>4054.60718</v>
      </c>
      <c r="V2847" s="85">
        <f>STATS1003B!V2826/1000</f>
        <v>0</v>
      </c>
      <c r="W2847" s="85">
        <f>STATS1003B!W2826/1000</f>
        <v>0</v>
      </c>
      <c r="X2847" s="85">
        <f t="shared" si="300"/>
        <v>85055.278000000006</v>
      </c>
      <c r="Y2847" s="85">
        <f>STATS1003B!Y2826/1000</f>
        <v>0</v>
      </c>
      <c r="Z2847" s="85">
        <f t="shared" si="299"/>
        <v>0</v>
      </c>
      <c r="AA2847" s="69">
        <f>STATS1003B!AA2826/1000</f>
        <v>85055.278360000011</v>
      </c>
      <c r="AB2847" s="69">
        <f>STATS1003B!AB2826/1000</f>
        <v>0</v>
      </c>
    </row>
    <row r="2848" spans="1:28" x14ac:dyDescent="0.3">
      <c r="A2848" s="73"/>
      <c r="C2848" s="68" t="s">
        <v>889</v>
      </c>
      <c r="E2848" s="85">
        <f>272186129/1000</f>
        <v>272186.12900000002</v>
      </c>
      <c r="F2848" s="85">
        <f>STATS1003B!F2827/1000</f>
        <v>243636.46200999999</v>
      </c>
      <c r="G2848" s="85">
        <f>STATS1003B!G2827/1000</f>
        <v>0</v>
      </c>
      <c r="H2848" s="85">
        <f>243636462/1000</f>
        <v>243636.462</v>
      </c>
      <c r="I2848" s="85" t="e">
        <f>STATS1003B!I2827/1000</f>
        <v>#REF!</v>
      </c>
      <c r="J2848" s="85" t="e">
        <f>STATS1003B!J2827/1000</f>
        <v>#REF!</v>
      </c>
      <c r="K2848" s="85" t="e">
        <f>STATS1003B!K2827/1000</f>
        <v>#REF!</v>
      </c>
      <c r="L2848" s="85">
        <f>STATS1003B!L2827/1000</f>
        <v>0</v>
      </c>
      <c r="M2848" s="85">
        <f>STATS1003B!M2827/1000</f>
        <v>243636.46200999999</v>
      </c>
      <c r="N2848" s="85">
        <f>STATS1003B!N2827/1000</f>
        <v>28549.6675</v>
      </c>
      <c r="O2848" s="85">
        <f>STATS1003B!O2827/1000</f>
        <v>0</v>
      </c>
      <c r="P2848" s="85">
        <f>28549667/1000</f>
        <v>28549.667000000001</v>
      </c>
      <c r="Q2848" s="85" t="e">
        <f>STATS1003B!Q2827/1000</f>
        <v>#REF!</v>
      </c>
      <c r="R2848" s="85" t="e">
        <f>STATS1003B!R2827/1000</f>
        <v>#REF!</v>
      </c>
      <c r="S2848" s="85" t="e">
        <f>STATS1003B!S2827/1000</f>
        <v>#REF!</v>
      </c>
      <c r="T2848" s="85">
        <f>STATS1003B!T2827/1000</f>
        <v>0</v>
      </c>
      <c r="U2848" s="85">
        <f>STATS1003B!U2827/1000</f>
        <v>28549.6675</v>
      </c>
      <c r="V2848" s="85" t="e">
        <f>STATS1003B!V2827/1000</f>
        <v>#REF!</v>
      </c>
      <c r="W2848" s="85" t="e">
        <f>STATS1003B!W2827/1000</f>
        <v>#REF!</v>
      </c>
      <c r="X2848" s="85">
        <f t="shared" si="300"/>
        <v>272186.12900000002</v>
      </c>
      <c r="Y2848" s="85">
        <f>STATS1003B!Y2827/1000</f>
        <v>0</v>
      </c>
      <c r="Z2848" s="85">
        <f t="shared" si="299"/>
        <v>0</v>
      </c>
      <c r="AA2848" s="69">
        <f>STATS1003B!AA2827/1000</f>
        <v>272186.12951</v>
      </c>
      <c r="AB2848" s="69">
        <f>STATS1003B!AB2827/1000</f>
        <v>0</v>
      </c>
    </row>
    <row r="2849" spans="1:28" x14ac:dyDescent="0.3">
      <c r="A2849" s="73"/>
      <c r="C2849" s="68" t="s">
        <v>870</v>
      </c>
      <c r="E2849" s="85">
        <f>15909140/1000</f>
        <v>15909.14</v>
      </c>
      <c r="F2849" s="85">
        <f>STATS1003B!F2828/1000</f>
        <v>15842.393619999999</v>
      </c>
      <c r="G2849" s="85">
        <f>STATS1003B!G2828/1000</f>
        <v>0</v>
      </c>
      <c r="H2849" s="85">
        <f>15842393/1000</f>
        <v>15842.393</v>
      </c>
      <c r="I2849" s="85">
        <f>STATS1003B!I2828/1000</f>
        <v>3349.7432199999998</v>
      </c>
      <c r="J2849" s="85">
        <f>STATS1003B!J2828/1000</f>
        <v>473883.32588000002</v>
      </c>
      <c r="K2849" s="85">
        <f>STATS1003B!K2828/1000</f>
        <v>60009.260879999994</v>
      </c>
      <c r="L2849" s="85">
        <f>STATS1003B!L2828/1000</f>
        <v>0</v>
      </c>
      <c r="M2849" s="85">
        <f>STATS1003B!M2828/1000</f>
        <v>15842.393619999999</v>
      </c>
      <c r="N2849" s="85">
        <f>STATS1003B!N2828/1000</f>
        <v>66.746639999999999</v>
      </c>
      <c r="O2849" s="85">
        <f>STATS1003B!O2828/1000</f>
        <v>0</v>
      </c>
      <c r="P2849" s="85">
        <f>66746/1000</f>
        <v>66.745999999999995</v>
      </c>
      <c r="Q2849" s="85">
        <f>STATS1003B!Q2828/1000</f>
        <v>456375.36792999995</v>
      </c>
      <c r="R2849" s="85">
        <f>STATS1003B!R2828/1000</f>
        <v>0</v>
      </c>
      <c r="S2849" s="85">
        <f>STATS1003B!S2828/1000</f>
        <v>0</v>
      </c>
      <c r="T2849" s="85">
        <f>STATS1003B!T2828/1000</f>
        <v>0</v>
      </c>
      <c r="U2849" s="85">
        <f>STATS1003B!U2828/1000</f>
        <v>66.746639999999999</v>
      </c>
      <c r="V2849" s="85">
        <f>STATS1003B!V2828/1000</f>
        <v>12275.441480000001</v>
      </c>
      <c r="W2849" s="85">
        <f>STATS1003B!W2828/1000</f>
        <v>0</v>
      </c>
      <c r="X2849" s="85">
        <f t="shared" si="300"/>
        <v>15909.138999999999</v>
      </c>
      <c r="Y2849" s="85">
        <f>STATS1003B!Y2828/1000</f>
        <v>0</v>
      </c>
      <c r="Z2849" s="85">
        <f t="shared" si="299"/>
        <v>1.0000000002037268E-3</v>
      </c>
      <c r="AA2849" s="69">
        <f>STATS1003B!AA2828/1000</f>
        <v>15909.14026</v>
      </c>
      <c r="AB2849" s="69">
        <f>STATS1003B!AB2828/1000</f>
        <v>0</v>
      </c>
    </row>
    <row r="2850" spans="1:28" x14ac:dyDescent="0.3">
      <c r="A2850" s="73"/>
      <c r="C2850" s="68" t="s">
        <v>911</v>
      </c>
      <c r="E2850" s="85">
        <f>37615493/1000</f>
        <v>37615.493000000002</v>
      </c>
      <c r="F2850" s="85">
        <f>STATS1003B!F2829/1000</f>
        <v>37611.393880000003</v>
      </c>
      <c r="G2850" s="85">
        <f>STATS1003B!G2829/1000</f>
        <v>0</v>
      </c>
      <c r="H2850" s="85">
        <f>37611393/1000</f>
        <v>37611.392999999996</v>
      </c>
      <c r="I2850" s="85">
        <f>STATS1003B!I2829/1000</f>
        <v>0</v>
      </c>
      <c r="J2850" s="85">
        <f>STATS1003B!J2829/1000</f>
        <v>0</v>
      </c>
      <c r="K2850" s="85">
        <f>STATS1003B!K2829/1000</f>
        <v>0</v>
      </c>
      <c r="L2850" s="85">
        <f>STATS1003B!L2829/1000</f>
        <v>0</v>
      </c>
      <c r="M2850" s="85">
        <f>STATS1003B!M2829/1000</f>
        <v>37611.393880000003</v>
      </c>
      <c r="N2850" s="85">
        <f>STATS1003B!N2829/1000</f>
        <v>0</v>
      </c>
      <c r="O2850" s="85">
        <f>STATS1003B!O2829/1000</f>
        <v>0</v>
      </c>
      <c r="P2850" s="85">
        <v>0</v>
      </c>
      <c r="Q2850" s="85">
        <f>STATS1003B!Q2829/1000</f>
        <v>4.0995400000000002</v>
      </c>
      <c r="R2850" s="85">
        <f>STATS1003B!R2829/1000</f>
        <v>0</v>
      </c>
      <c r="S2850" s="85">
        <f>STATS1003B!S2829/1000</f>
        <v>0</v>
      </c>
      <c r="T2850" s="85">
        <f>STATS1003B!T2829/1000</f>
        <v>4.0995400000000002</v>
      </c>
      <c r="U2850" s="85">
        <f>STATS1003B!U2829/1000</f>
        <v>4.0995400000000002</v>
      </c>
      <c r="V2850" s="85">
        <f>STATS1003B!V2829/1000</f>
        <v>37611.393880000003</v>
      </c>
      <c r="W2850" s="85">
        <f>STATS1003B!W2829/1000</f>
        <v>4.0995400000000375</v>
      </c>
      <c r="X2850" s="85">
        <f t="shared" si="300"/>
        <v>37611.392999999996</v>
      </c>
      <c r="Y2850" s="85">
        <f>STATS1003B!Y2829/1000</f>
        <v>0</v>
      </c>
      <c r="Z2850" s="85">
        <f t="shared" si="299"/>
        <v>4.1000000000058208</v>
      </c>
      <c r="AA2850" s="69">
        <f>STATS1003B!AA2829/1000</f>
        <v>37615.493419999999</v>
      </c>
      <c r="AB2850" s="69">
        <f>STATS1003B!AB2829/1000</f>
        <v>0</v>
      </c>
    </row>
    <row r="2851" spans="1:28" x14ac:dyDescent="0.3">
      <c r="A2851" s="73"/>
      <c r="C2851" s="68" t="s">
        <v>1295</v>
      </c>
      <c r="D2851" s="68"/>
      <c r="E2851" s="85">
        <f>11956688/1000</f>
        <v>11956.688</v>
      </c>
      <c r="F2851" s="85">
        <f>STATS1003B!F2830/1000</f>
        <v>11956.688310000001</v>
      </c>
      <c r="G2851" s="85">
        <f>STATS1003B!G2830/1000</f>
        <v>0</v>
      </c>
      <c r="H2851" s="85">
        <f>11956688/1000</f>
        <v>11956.688</v>
      </c>
      <c r="I2851" s="85">
        <f>STATS1003B!I2830/1000</f>
        <v>7713.02153</v>
      </c>
      <c r="J2851" s="85">
        <f>STATS1003B!J2830/1000</f>
        <v>461563.02789999999</v>
      </c>
      <c r="K2851" s="85">
        <f>STATS1003B!K2830/1000</f>
        <v>52212.531270000007</v>
      </c>
      <c r="L2851" s="85">
        <f>STATS1003B!L2830/1000</f>
        <v>0</v>
      </c>
      <c r="M2851" s="85">
        <f>STATS1003B!M2830/1000</f>
        <v>11956.688310000001</v>
      </c>
      <c r="N2851" s="85">
        <f>STATS1003B!N2830/1000</f>
        <v>0</v>
      </c>
      <c r="O2851" s="85">
        <f>STATS1003B!O2830/1000</f>
        <v>0</v>
      </c>
      <c r="P2851" s="85">
        <v>0</v>
      </c>
      <c r="Q2851" s="85">
        <f>STATS1003B!Q2830/1000</f>
        <v>391666.96914000012</v>
      </c>
      <c r="R2851" s="85">
        <f>STATS1003B!R2830/1000</f>
        <v>0</v>
      </c>
      <c r="S2851" s="85">
        <f>STATS1003B!S2830/1000</f>
        <v>0</v>
      </c>
      <c r="T2851" s="85">
        <f>STATS1003B!T2830/1000</f>
        <v>0</v>
      </c>
      <c r="U2851" s="85">
        <f>STATS1003B!U2830/1000</f>
        <v>0</v>
      </c>
      <c r="V2851" s="85">
        <f>STATS1003B!V2830/1000</f>
        <v>10082.880950000001</v>
      </c>
      <c r="W2851" s="85">
        <f>STATS1003B!W2830/1000</f>
        <v>0</v>
      </c>
      <c r="X2851" s="85">
        <f t="shared" si="300"/>
        <v>11956.688</v>
      </c>
      <c r="Y2851" s="85" t="e">
        <f>STATS1003B!Y2830/1000</f>
        <v>#VALUE!</v>
      </c>
      <c r="Z2851" s="85">
        <f t="shared" si="299"/>
        <v>0</v>
      </c>
      <c r="AA2851" s="69">
        <f>STATS1003B!AA2830/1000</f>
        <v>11956.688310000001</v>
      </c>
      <c r="AB2851" s="69">
        <f>STATS1003B!AB2830/1000</f>
        <v>0</v>
      </c>
    </row>
    <row r="2852" spans="1:28" x14ac:dyDescent="0.3">
      <c r="A2852" s="73"/>
      <c r="C2852" s="68" t="s">
        <v>1296</v>
      </c>
      <c r="D2852" s="68"/>
      <c r="E2852" s="85">
        <f>11440293/1000</f>
        <v>11440.293</v>
      </c>
      <c r="F2852" s="85">
        <f>STATS1003B!F2831/1000</f>
        <v>11440.293109999999</v>
      </c>
      <c r="G2852" s="85">
        <f>STATS1003B!G2831/1000</f>
        <v>0</v>
      </c>
      <c r="H2852" s="85">
        <f>11440293/1000</f>
        <v>11440.293</v>
      </c>
      <c r="I2852" s="85">
        <f>STATS1003B!I2831/1000</f>
        <v>0</v>
      </c>
      <c r="J2852" s="85">
        <f>STATS1003B!J2831/1000</f>
        <v>7506.4949999999999</v>
      </c>
      <c r="K2852" s="85">
        <f>STATS1003B!K2831/1000</f>
        <v>0</v>
      </c>
      <c r="L2852" s="85">
        <f>STATS1003B!L2831/1000</f>
        <v>0</v>
      </c>
      <c r="M2852" s="85">
        <f>STATS1003B!M2831/1000</f>
        <v>11440.293109999999</v>
      </c>
      <c r="N2852" s="85">
        <f>STATS1003B!N2831/1000</f>
        <v>0</v>
      </c>
      <c r="O2852" s="85">
        <f>STATS1003B!O2831/1000</f>
        <v>0</v>
      </c>
      <c r="P2852" s="85">
        <v>0</v>
      </c>
      <c r="Q2852" s="85">
        <f>STATS1003B!Q2831/1000</f>
        <v>7506.4949999999999</v>
      </c>
      <c r="R2852" s="85">
        <f>STATS1003B!R2831/1000</f>
        <v>0</v>
      </c>
      <c r="S2852" s="85">
        <f>STATS1003B!S2831/1000</f>
        <v>0</v>
      </c>
      <c r="T2852" s="85">
        <f>STATS1003B!T2831/1000</f>
        <v>0</v>
      </c>
      <c r="U2852" s="85">
        <f>STATS1003B!U2831/1000</f>
        <v>0</v>
      </c>
      <c r="V2852" s="85">
        <f>STATS1003B!V2831/1000</f>
        <v>0</v>
      </c>
      <c r="W2852" s="85">
        <f>STATS1003B!W2831/1000</f>
        <v>0</v>
      </c>
      <c r="X2852" s="85">
        <f t="shared" si="300"/>
        <v>11440.293</v>
      </c>
      <c r="Y2852" s="85">
        <f>STATS1003B!Y2831/1000</f>
        <v>0</v>
      </c>
      <c r="Z2852" s="85">
        <f t="shared" si="299"/>
        <v>0</v>
      </c>
      <c r="AA2852" s="69">
        <f>STATS1003B!AA2831/1000</f>
        <v>11440.293109999999</v>
      </c>
      <c r="AB2852" s="69">
        <f>STATS1003B!AB2831/1000</f>
        <v>0</v>
      </c>
    </row>
    <row r="2853" spans="1:28" x14ac:dyDescent="0.3">
      <c r="A2853" s="73"/>
      <c r="C2853" s="68" t="s">
        <v>912</v>
      </c>
      <c r="E2853" s="85">
        <f>2000000/1000</f>
        <v>2000</v>
      </c>
      <c r="F2853" s="85">
        <f>STATS1003B!F2832/1000</f>
        <v>2000</v>
      </c>
      <c r="G2853" s="85">
        <f>STATS1003B!G2832/1000</f>
        <v>0</v>
      </c>
      <c r="H2853" s="85">
        <f>2000000/1000</f>
        <v>2000</v>
      </c>
      <c r="I2853" s="85">
        <f>STATS1003B!I2832/1000</f>
        <v>0</v>
      </c>
      <c r="J2853" s="85">
        <f>STATS1003B!J2832/1000</f>
        <v>0</v>
      </c>
      <c r="K2853" s="85">
        <f>STATS1003B!K2832/1000</f>
        <v>0</v>
      </c>
      <c r="L2853" s="85">
        <f>STATS1003B!L2832/1000</f>
        <v>0</v>
      </c>
      <c r="M2853" s="85">
        <f>STATS1003B!M2832/1000</f>
        <v>2000</v>
      </c>
      <c r="N2853" s="85">
        <f>STATS1003B!N2832/1000</f>
        <v>0</v>
      </c>
      <c r="O2853" s="85">
        <f>STATS1003B!O2832/1000</f>
        <v>0</v>
      </c>
      <c r="P2853" s="85">
        <v>0</v>
      </c>
      <c r="Q2853" s="85">
        <f>STATS1003B!Q2832/1000</f>
        <v>0</v>
      </c>
      <c r="R2853" s="85">
        <f>STATS1003B!R2832/1000</f>
        <v>0</v>
      </c>
      <c r="S2853" s="85">
        <f>STATS1003B!S2832/1000</f>
        <v>0</v>
      </c>
      <c r="T2853" s="85">
        <f>STATS1003B!T2832/1000</f>
        <v>0</v>
      </c>
      <c r="U2853" s="85">
        <f>STATS1003B!U2832/1000</f>
        <v>0</v>
      </c>
      <c r="V2853" s="85">
        <f>STATS1003B!V2832/1000</f>
        <v>2000</v>
      </c>
      <c r="W2853" s="85">
        <f>STATS1003B!W2832/1000</f>
        <v>0</v>
      </c>
      <c r="X2853" s="85">
        <f t="shared" si="300"/>
        <v>2000</v>
      </c>
      <c r="Y2853" s="85" t="e">
        <f>STATS1003B!Y2832/1000</f>
        <v>#VALUE!</v>
      </c>
      <c r="Z2853" s="85">
        <f t="shared" si="299"/>
        <v>0</v>
      </c>
      <c r="AA2853" s="69">
        <f>STATS1003B!AA2832/1000</f>
        <v>2000</v>
      </c>
      <c r="AB2853" s="69">
        <f>STATS1003B!AB2832/1000</f>
        <v>0</v>
      </c>
    </row>
    <row r="2854" spans="1:28" x14ac:dyDescent="0.3">
      <c r="A2854" s="73"/>
      <c r="C2854" s="68" t="s">
        <v>917</v>
      </c>
      <c r="E2854" s="85">
        <f>295805153/1000</f>
        <v>295805.15299999999</v>
      </c>
      <c r="F2854" s="85">
        <f>STATS1003B!F2833/1000</f>
        <v>0</v>
      </c>
      <c r="G2854" s="85">
        <f>STATS1003B!G2833/1000</f>
        <v>0</v>
      </c>
      <c r="H2854" s="85">
        <f>STATS1003B!H2833/1000</f>
        <v>0</v>
      </c>
      <c r="I2854" s="85">
        <f>STATS1003B!I2833/1000</f>
        <v>0</v>
      </c>
      <c r="J2854" s="85">
        <f>STATS1003B!J2833/1000</f>
        <v>0</v>
      </c>
      <c r="K2854" s="85">
        <f>STATS1003B!K2833/1000</f>
        <v>0</v>
      </c>
      <c r="L2854" s="85">
        <f>STATS1003B!L2833/1000</f>
        <v>0</v>
      </c>
      <c r="M2854" s="85">
        <f>STATS1003B!M2833/1000</f>
        <v>0</v>
      </c>
      <c r="N2854" s="85">
        <f>STATS1003B!N2833/1000</f>
        <v>295805.15344999998</v>
      </c>
      <c r="O2854" s="85">
        <f>STATS1003B!O2833/1000</f>
        <v>0</v>
      </c>
      <c r="P2854" s="85">
        <f>295805153/1000</f>
        <v>295805.15299999999</v>
      </c>
      <c r="Q2854" s="85">
        <f>STATS1003B!Q2833/1000</f>
        <v>0</v>
      </c>
      <c r="R2854" s="85">
        <f>STATS1003B!R2833/1000</f>
        <v>0</v>
      </c>
      <c r="S2854" s="85">
        <f>STATS1003B!S2833/1000</f>
        <v>0</v>
      </c>
      <c r="T2854" s="85">
        <f>STATS1003B!T2833/1000</f>
        <v>0</v>
      </c>
      <c r="U2854" s="85">
        <f>STATS1003B!U2833/1000</f>
        <v>295805.15344999998</v>
      </c>
      <c r="V2854" s="85">
        <f>STATS1003B!V2833/1000</f>
        <v>0</v>
      </c>
      <c r="W2854" s="85">
        <f>STATS1003B!W2833/1000</f>
        <v>0</v>
      </c>
      <c r="X2854" s="85">
        <f t="shared" si="300"/>
        <v>295805.15299999999</v>
      </c>
      <c r="Y2854" s="85">
        <f>STATS1003B!Y2833/1000</f>
        <v>0</v>
      </c>
      <c r="Z2854" s="85">
        <f t="shared" si="299"/>
        <v>0</v>
      </c>
      <c r="AA2854" s="69">
        <f>STATS1003B!AA2833/1000</f>
        <v>295805.15344999998</v>
      </c>
      <c r="AB2854" s="69">
        <f>STATS1003B!AB2833/1000</f>
        <v>0</v>
      </c>
    </row>
    <row r="2855" spans="1:28" x14ac:dyDescent="0.3">
      <c r="A2855" s="73"/>
      <c r="C2855" s="68" t="s">
        <v>883</v>
      </c>
      <c r="E2855" s="85">
        <f>119694134/1000</f>
        <v>119694.13400000001</v>
      </c>
      <c r="F2855" s="85">
        <f>STATS1003B!F2834/1000</f>
        <v>115750.432</v>
      </c>
      <c r="G2855" s="85">
        <f>STATS1003B!G2834/1000</f>
        <v>0</v>
      </c>
      <c r="H2855" s="85">
        <f>115750432/1000</f>
        <v>115750.432</v>
      </c>
      <c r="I2855" s="85">
        <f>STATS1003B!I2834/1000</f>
        <v>0</v>
      </c>
      <c r="J2855" s="85">
        <f>STATS1003B!J2834/1000</f>
        <v>0</v>
      </c>
      <c r="K2855" s="85">
        <f>STATS1003B!K2834/1000</f>
        <v>0</v>
      </c>
      <c r="L2855" s="85">
        <f>STATS1003B!L2834/1000</f>
        <v>165.65</v>
      </c>
      <c r="M2855" s="85">
        <f>STATS1003B!M2834/1000</f>
        <v>115916.08199999999</v>
      </c>
      <c r="N2855" s="85">
        <f>STATS1003B!N2834/1000</f>
        <v>2711.7111400000003</v>
      </c>
      <c r="O2855" s="85">
        <f>STATS1003B!O2834/1000</f>
        <v>0</v>
      </c>
      <c r="P2855" s="85">
        <f>2711711/1000</f>
        <v>2711.7109999999998</v>
      </c>
      <c r="Q2855" s="85">
        <f>STATS1003B!Q2834/1000</f>
        <v>0</v>
      </c>
      <c r="R2855" s="85">
        <f>STATS1003B!R2834/1000</f>
        <v>0</v>
      </c>
      <c r="S2855" s="85">
        <f>STATS1003B!S2834/1000</f>
        <v>0</v>
      </c>
      <c r="T2855" s="85">
        <f>STATS1003B!T2834/1000</f>
        <v>0</v>
      </c>
      <c r="U2855" s="85">
        <f>STATS1003B!U2834/1000</f>
        <v>2711.7111400000003</v>
      </c>
      <c r="V2855" s="85">
        <f>STATS1003B!V2834/1000</f>
        <v>0</v>
      </c>
      <c r="W2855" s="85">
        <f>STATS1003B!W2834/1000</f>
        <v>0</v>
      </c>
      <c r="X2855" s="85">
        <f t="shared" si="300"/>
        <v>118462.143</v>
      </c>
      <c r="Y2855" s="85">
        <f>STATS1003B!Y2834/1000</f>
        <v>0</v>
      </c>
      <c r="Z2855" s="85">
        <f t="shared" si="299"/>
        <v>1231.9910000000091</v>
      </c>
      <c r="AA2855" s="69">
        <f>STATS1003B!AA2834/1000</f>
        <v>118627.79313999999</v>
      </c>
      <c r="AB2855" s="69">
        <f>STATS1003B!AB2834/1000</f>
        <v>1066.3409999999999</v>
      </c>
    </row>
    <row r="2856" spans="1:28" x14ac:dyDescent="0.3">
      <c r="A2856" s="73"/>
      <c r="C2856" s="68" t="s">
        <v>884</v>
      </c>
      <c r="E2856" s="85">
        <f>96060378/1000</f>
        <v>96060.377999999997</v>
      </c>
      <c r="F2856" s="85">
        <f>STATS1003B!F2835/1000</f>
        <v>93268.396769999992</v>
      </c>
      <c r="G2856" s="85">
        <f>STATS1003B!G2835/1000</f>
        <v>0</v>
      </c>
      <c r="H2856" s="85">
        <f>93268396/1000</f>
        <v>93268.395999999993</v>
      </c>
      <c r="I2856" s="85">
        <f>STATS1003B!I2835/1000</f>
        <v>0</v>
      </c>
      <c r="J2856" s="85">
        <f>STATS1003B!J2835/1000</f>
        <v>0</v>
      </c>
      <c r="K2856" s="85">
        <f>STATS1003B!K2835/1000</f>
        <v>0</v>
      </c>
      <c r="L2856" s="85">
        <f>STATS1003B!L2835/1000</f>
        <v>800</v>
      </c>
      <c r="M2856" s="85">
        <f>STATS1003B!M2835/1000</f>
        <v>94068.396769999992</v>
      </c>
      <c r="N2856" s="85">
        <f>STATS1003B!N2835/1000</f>
        <v>0</v>
      </c>
      <c r="O2856" s="85">
        <f>STATS1003B!O2835/1000</f>
        <v>0</v>
      </c>
      <c r="P2856" s="85">
        <v>0</v>
      </c>
      <c r="Q2856" s="85">
        <f>STATS1003B!Q2835/1000</f>
        <v>0</v>
      </c>
      <c r="R2856" s="85">
        <f>STATS1003B!R2835/1000</f>
        <v>0</v>
      </c>
      <c r="S2856" s="85">
        <f>STATS1003B!S2835/1000</f>
        <v>0</v>
      </c>
      <c r="T2856" s="85">
        <f>STATS1003B!T2835/1000</f>
        <v>0</v>
      </c>
      <c r="U2856" s="85">
        <f>STATS1003B!U2835/1000</f>
        <v>0</v>
      </c>
      <c r="V2856" s="85">
        <f>STATS1003B!V2835/1000</f>
        <v>0</v>
      </c>
      <c r="W2856" s="85">
        <f>STATS1003B!W2835/1000</f>
        <v>0</v>
      </c>
      <c r="X2856" s="85">
        <f t="shared" si="300"/>
        <v>93268.395999999993</v>
      </c>
      <c r="Y2856" s="85">
        <f>STATS1003B!Y2835/1000</f>
        <v>0</v>
      </c>
      <c r="Z2856" s="85">
        <f t="shared" si="299"/>
        <v>2791.9820000000036</v>
      </c>
      <c r="AA2856" s="69">
        <f>STATS1003B!AA2835/1000</f>
        <v>94068.396769999992</v>
      </c>
      <c r="AB2856" s="69">
        <f>STATS1003B!AB2835/1000</f>
        <v>1991.9812300000042</v>
      </c>
    </row>
    <row r="2857" spans="1:28" x14ac:dyDescent="0.3">
      <c r="A2857" s="73"/>
      <c r="C2857" s="68" t="s">
        <v>871</v>
      </c>
      <c r="E2857" s="85">
        <f>66517035/1000</f>
        <v>66517.035000000003</v>
      </c>
      <c r="F2857" s="85">
        <f>STATS1003B!F2836/1000</f>
        <v>65213.47234</v>
      </c>
      <c r="G2857" s="85">
        <f>STATS1003B!G2836/1000</f>
        <v>0</v>
      </c>
      <c r="H2857" s="85">
        <f>65213472/1000</f>
        <v>65213.472000000002</v>
      </c>
      <c r="I2857" s="85">
        <f>STATS1003B!I2836/1000</f>
        <v>0</v>
      </c>
      <c r="J2857" s="85">
        <f>STATS1003B!J2836/1000</f>
        <v>0</v>
      </c>
      <c r="K2857" s="85">
        <f>STATS1003B!K2836/1000</f>
        <v>0</v>
      </c>
      <c r="L2857" s="85">
        <f>STATS1003B!L2836/1000</f>
        <v>0</v>
      </c>
      <c r="M2857" s="85">
        <f>STATS1003B!M2836/1000</f>
        <v>65213.47234</v>
      </c>
      <c r="N2857" s="85">
        <f>STATS1003B!N2836/1000</f>
        <v>516.69741999999997</v>
      </c>
      <c r="O2857" s="85">
        <f>STATS1003B!O2836/1000</f>
        <v>0</v>
      </c>
      <c r="P2857" s="85">
        <f>516697/1000</f>
        <v>516.697</v>
      </c>
      <c r="Q2857" s="85">
        <f>STATS1003B!Q2836/1000</f>
        <v>0</v>
      </c>
      <c r="R2857" s="85">
        <f>STATS1003B!R2836/1000</f>
        <v>0</v>
      </c>
      <c r="S2857" s="85">
        <f>STATS1003B!S2836/1000</f>
        <v>0</v>
      </c>
      <c r="T2857" s="85">
        <f>STATS1003B!T2836/1000</f>
        <v>0</v>
      </c>
      <c r="U2857" s="85">
        <f>STATS1003B!U2836/1000</f>
        <v>516.69741999999997</v>
      </c>
      <c r="V2857" s="85">
        <f>STATS1003B!V2836/1000</f>
        <v>0</v>
      </c>
      <c r="W2857" s="85">
        <f>STATS1003B!W2836/1000</f>
        <v>0</v>
      </c>
      <c r="X2857" s="85">
        <f t="shared" si="300"/>
        <v>65730.168999999994</v>
      </c>
      <c r="Y2857" s="85">
        <f>STATS1003B!Y2836/1000</f>
        <v>0</v>
      </c>
      <c r="Z2857" s="85">
        <f t="shared" si="299"/>
        <v>786.86600000000908</v>
      </c>
      <c r="AA2857" s="69">
        <f>STATS1003B!AA2836/1000</f>
        <v>65730.169760000004</v>
      </c>
      <c r="AB2857" s="69">
        <f>STATS1003B!AB2836/1000</f>
        <v>786.8659999999926</v>
      </c>
    </row>
    <row r="2858" spans="1:28" x14ac:dyDescent="0.3">
      <c r="A2858" s="73"/>
      <c r="C2858" s="68" t="s">
        <v>564</v>
      </c>
      <c r="E2858" s="85">
        <f>79463000/1000</f>
        <v>79463</v>
      </c>
      <c r="F2858" s="85">
        <f>STATS1003B!F2837/1000</f>
        <v>12245.2955</v>
      </c>
      <c r="G2858" s="85">
        <f>STATS1003B!G2837/1000</f>
        <v>0</v>
      </c>
      <c r="H2858" s="85">
        <f>12245295/1000</f>
        <v>12245.295</v>
      </c>
      <c r="I2858" s="85">
        <f>STATS1003B!I2837/1000</f>
        <v>0</v>
      </c>
      <c r="J2858" s="85">
        <f>STATS1003B!J2837/1000</f>
        <v>0</v>
      </c>
      <c r="K2858" s="85">
        <f>STATS1003B!K2837/1000</f>
        <v>0</v>
      </c>
      <c r="L2858" s="85">
        <f>STATS1003B!L2837/1000</f>
        <v>0</v>
      </c>
      <c r="M2858" s="85">
        <f>STATS1003B!M2837/1000</f>
        <v>12245.2955</v>
      </c>
      <c r="N2858" s="85">
        <f>STATS1003B!N2837/1000</f>
        <v>55760.95407</v>
      </c>
      <c r="O2858" s="85">
        <f>STATS1003B!O2837/1000</f>
        <v>0</v>
      </c>
      <c r="P2858" s="85">
        <f>55760954/1000</f>
        <v>55760.953999999998</v>
      </c>
      <c r="Q2858" s="85">
        <f>STATS1003B!Q2837/1000</f>
        <v>0</v>
      </c>
      <c r="R2858" s="85">
        <f>STATS1003B!R2837/1000</f>
        <v>0</v>
      </c>
      <c r="S2858" s="85">
        <f>STATS1003B!S2837/1000</f>
        <v>0</v>
      </c>
      <c r="T2858" s="85">
        <f>STATS1003B!T2837/1000</f>
        <v>0</v>
      </c>
      <c r="U2858" s="85">
        <f>STATS1003B!U2837/1000</f>
        <v>55760.95407</v>
      </c>
      <c r="V2858" s="85">
        <f>STATS1003B!V2837/1000</f>
        <v>0</v>
      </c>
      <c r="W2858" s="85">
        <f>STATS1003B!W2837/1000</f>
        <v>0</v>
      </c>
      <c r="X2858" s="85">
        <f t="shared" si="300"/>
        <v>68006.248999999996</v>
      </c>
      <c r="Y2858" s="85">
        <f>STATS1003B!Y2837/1000</f>
        <v>0</v>
      </c>
      <c r="Z2858" s="85">
        <f t="shared" si="299"/>
        <v>11456.751000000004</v>
      </c>
      <c r="AA2858" s="69">
        <f>STATS1003B!AA2837/1000</f>
        <v>68006.24957</v>
      </c>
      <c r="AB2858" s="69">
        <f>STATS1003B!AB2837/1000</f>
        <v>11456.750430000007</v>
      </c>
    </row>
    <row r="2859" spans="1:28" x14ac:dyDescent="0.3">
      <c r="A2859" s="73"/>
      <c r="C2859" s="68" t="s">
        <v>862</v>
      </c>
      <c r="E2859" s="85">
        <f>33729246/1000</f>
        <v>33729.245999999999</v>
      </c>
      <c r="F2859" s="85">
        <f>STATS1003B!F2838/1000</f>
        <v>32283.359690000001</v>
      </c>
      <c r="G2859" s="85">
        <f>STATS1003B!G2838/1000</f>
        <v>0</v>
      </c>
      <c r="H2859" s="85">
        <f>32283359/1000</f>
        <v>32283.359</v>
      </c>
      <c r="I2859" s="85">
        <f>STATS1003B!I2838/1000</f>
        <v>0</v>
      </c>
      <c r="J2859" s="85">
        <f>STATS1003B!J2838/1000</f>
        <v>0</v>
      </c>
      <c r="K2859" s="85">
        <f>STATS1003B!K2838/1000</f>
        <v>0</v>
      </c>
      <c r="L2859" s="85">
        <f>STATS1003B!L2838/1000</f>
        <v>0</v>
      </c>
      <c r="M2859" s="85">
        <f>STATS1003B!M2838/1000</f>
        <v>32283.359690000001</v>
      </c>
      <c r="N2859" s="85">
        <f>STATS1003B!N2838/1000</f>
        <v>1445.8864099999998</v>
      </c>
      <c r="O2859" s="85">
        <f>STATS1003B!O2838/1000</f>
        <v>0</v>
      </c>
      <c r="P2859" s="85">
        <f>1445886/1000</f>
        <v>1445.886</v>
      </c>
      <c r="Q2859" s="85">
        <f>STATS1003B!Q2838/1000</f>
        <v>0</v>
      </c>
      <c r="R2859" s="85">
        <f>STATS1003B!R2838/1000</f>
        <v>0</v>
      </c>
      <c r="S2859" s="85">
        <f>STATS1003B!S2838/1000</f>
        <v>0</v>
      </c>
      <c r="T2859" s="85">
        <f>STATS1003B!T2838/1000</f>
        <v>0</v>
      </c>
      <c r="U2859" s="85">
        <f>STATS1003B!U2838/1000</f>
        <v>1445.8864099999998</v>
      </c>
      <c r="V2859" s="85">
        <f>STATS1003B!V2838/1000</f>
        <v>0</v>
      </c>
      <c r="W2859" s="85">
        <f>STATS1003B!W2838/1000</f>
        <v>0</v>
      </c>
      <c r="X2859" s="85">
        <f t="shared" si="300"/>
        <v>33729.245000000003</v>
      </c>
      <c r="Y2859" s="85">
        <f>STATS1003B!Y2838/1000</f>
        <v>0</v>
      </c>
      <c r="Z2859" s="85">
        <f t="shared" si="299"/>
        <v>9.9999999656574801E-4</v>
      </c>
      <c r="AA2859" s="69">
        <f>STATS1003B!AA2838/1000</f>
        <v>33729.246100000004</v>
      </c>
      <c r="AB2859" s="69">
        <f>STATS1003B!AB2838/1000</f>
        <v>0</v>
      </c>
    </row>
    <row r="2860" spans="1:28" x14ac:dyDescent="0.3">
      <c r="A2860" s="73"/>
      <c r="C2860" s="68" t="s">
        <v>868</v>
      </c>
      <c r="E2860" s="85">
        <f>1628975911/1000</f>
        <v>1628975.9110000001</v>
      </c>
      <c r="F2860" s="85">
        <f>STATS1003B!F2839/1000</f>
        <v>1519465.6569100001</v>
      </c>
      <c r="G2860" s="85">
        <f>STATS1003B!G2839/1000</f>
        <v>0</v>
      </c>
      <c r="H2860" s="85">
        <f>1519465656/1000</f>
        <v>1519465.656</v>
      </c>
      <c r="I2860" s="85">
        <f>STATS1003B!I2839/1000</f>
        <v>0</v>
      </c>
      <c r="J2860" s="85">
        <f>STATS1003B!J2839/1000</f>
        <v>0</v>
      </c>
      <c r="K2860" s="85">
        <f>STATS1003B!K2839/1000</f>
        <v>0</v>
      </c>
      <c r="L2860" s="85">
        <f>STATS1003B!L2839/1000</f>
        <v>18584.441510000001</v>
      </c>
      <c r="M2860" s="85">
        <f>STATS1003B!M2839/1000</f>
        <v>1538050.0984200002</v>
      </c>
      <c r="N2860" s="85">
        <f>STATS1003B!N2839/1000</f>
        <v>66243.166360000003</v>
      </c>
      <c r="O2860" s="85">
        <f>STATS1003B!O2839/1000</f>
        <v>0</v>
      </c>
      <c r="P2860" s="85">
        <f>66243166/1000</f>
        <v>66243.165999999997</v>
      </c>
      <c r="Q2860" s="85">
        <f>STATS1003B!Q2839/1000</f>
        <v>0</v>
      </c>
      <c r="R2860" s="85">
        <f>STATS1003B!R2839/1000</f>
        <v>0</v>
      </c>
      <c r="S2860" s="85">
        <f>STATS1003B!S2839/1000</f>
        <v>0</v>
      </c>
      <c r="T2860" s="85">
        <f>STATS1003B!T2839/1000</f>
        <v>1359.32654</v>
      </c>
      <c r="U2860" s="85">
        <f>STATS1003B!U2839/1000</f>
        <v>67602.492900000012</v>
      </c>
      <c r="V2860" s="85">
        <f>STATS1003B!V2839/1000</f>
        <v>0</v>
      </c>
      <c r="W2860" s="85">
        <f>STATS1003B!W2839/1000</f>
        <v>0</v>
      </c>
      <c r="X2860" s="85">
        <f t="shared" si="300"/>
        <v>1585708.8219999999</v>
      </c>
      <c r="Y2860" s="85">
        <f>STATS1003B!Y2839/1000</f>
        <v>0</v>
      </c>
      <c r="Z2860" s="85">
        <f t="shared" ref="Z2860:Z2883" si="302">+E2860-X2860</f>
        <v>43267.089000000153</v>
      </c>
      <c r="AA2860" s="69">
        <f>STATS1003B!AA2839/1000</f>
        <v>1605652.5913200001</v>
      </c>
      <c r="AB2860" s="69">
        <f>STATS1003B!AB2839/1000</f>
        <v>23323.320069999932</v>
      </c>
    </row>
    <row r="2861" spans="1:28" x14ac:dyDescent="0.3">
      <c r="A2861" s="73"/>
      <c r="C2861" s="68" t="s">
        <v>906</v>
      </c>
      <c r="D2861" s="69"/>
      <c r="E2861" s="85">
        <f>16331255/1000</f>
        <v>16331.254999999999</v>
      </c>
      <c r="F2861" s="85">
        <f>STATS1003B!F2840/1000</f>
        <v>16331.25585</v>
      </c>
      <c r="G2861" s="85">
        <f>STATS1003B!G2840/1000</f>
        <v>0</v>
      </c>
      <c r="H2861" s="85">
        <f>16331255/1000</f>
        <v>16331.254999999999</v>
      </c>
      <c r="I2861" s="85">
        <f>STATS1003B!I2840/1000</f>
        <v>0</v>
      </c>
      <c r="J2861" s="85">
        <f>STATS1003B!J2840/1000</f>
        <v>0</v>
      </c>
      <c r="K2861" s="85">
        <f>STATS1003B!K2840/1000</f>
        <v>0</v>
      </c>
      <c r="L2861" s="85">
        <f>STATS1003B!L2840/1000</f>
        <v>0</v>
      </c>
      <c r="M2861" s="85">
        <f>STATS1003B!M2840/1000</f>
        <v>16331.25585</v>
      </c>
      <c r="N2861" s="85">
        <f>STATS1003B!N2840/1000</f>
        <v>0</v>
      </c>
      <c r="O2861" s="85">
        <f>STATS1003B!O2840/1000</f>
        <v>0</v>
      </c>
      <c r="P2861" s="85">
        <v>0</v>
      </c>
      <c r="Q2861" s="85">
        <f>STATS1003B!Q2840/1000</f>
        <v>0</v>
      </c>
      <c r="R2861" s="85">
        <f>STATS1003B!R2840/1000</f>
        <v>0</v>
      </c>
      <c r="S2861" s="85">
        <f>STATS1003B!S2840/1000</f>
        <v>0</v>
      </c>
      <c r="T2861" s="85">
        <f>STATS1003B!T2840/1000</f>
        <v>0</v>
      </c>
      <c r="U2861" s="85">
        <f>STATS1003B!U2840/1000</f>
        <v>0</v>
      </c>
      <c r="V2861" s="85">
        <f>STATS1003B!V2840/1000</f>
        <v>2416.2660000000001</v>
      </c>
      <c r="W2861" s="85">
        <f>STATS1003B!W2840/1000</f>
        <v>0</v>
      </c>
      <c r="X2861" s="85">
        <f t="shared" si="300"/>
        <v>16331.254999999999</v>
      </c>
      <c r="Y2861" s="85">
        <f>STATS1003B!Y2840/1000</f>
        <v>0</v>
      </c>
      <c r="Z2861" s="85">
        <f t="shared" si="302"/>
        <v>0</v>
      </c>
      <c r="AA2861" s="69">
        <f>STATS1003B!AA2840/1000</f>
        <v>16331.25585</v>
      </c>
      <c r="AB2861" s="69">
        <f>STATS1003B!AB2840/1000</f>
        <v>0</v>
      </c>
    </row>
    <row r="2862" spans="1:28" x14ac:dyDescent="0.3">
      <c r="A2862" s="73"/>
      <c r="C2862" s="68" t="s">
        <v>899</v>
      </c>
      <c r="E2862" s="85">
        <f>148658110/1000</f>
        <v>148658.10999999999</v>
      </c>
      <c r="F2862" s="85">
        <f>STATS1003B!F2841/1000</f>
        <v>140136.18562999999</v>
      </c>
      <c r="G2862" s="85">
        <f>STATS1003B!G2841/1000</f>
        <v>0</v>
      </c>
      <c r="H2862" s="85">
        <f>140136185/1000</f>
        <v>140136.185</v>
      </c>
      <c r="I2862" s="85">
        <f>STATS1003B!I2841/1000</f>
        <v>0</v>
      </c>
      <c r="J2862" s="85">
        <f>STATS1003B!J2841/1000</f>
        <v>0</v>
      </c>
      <c r="K2862" s="85">
        <f>STATS1003B!K2841/1000</f>
        <v>6294.1080000000002</v>
      </c>
      <c r="L2862" s="85">
        <f>STATS1003B!L2841/1000</f>
        <v>0</v>
      </c>
      <c r="M2862" s="85">
        <f>STATS1003B!M2841/1000</f>
        <v>140136.18562999999</v>
      </c>
      <c r="N2862" s="85">
        <f>STATS1003B!N2841/1000</f>
        <v>8521.9244199999994</v>
      </c>
      <c r="O2862" s="85">
        <f>STATS1003B!O2841/1000</f>
        <v>0</v>
      </c>
      <c r="P2862" s="85">
        <f>8521924/1000</f>
        <v>8521.9240000000009</v>
      </c>
      <c r="Q2862" s="85">
        <f>STATS1003B!Q2841/1000</f>
        <v>0</v>
      </c>
      <c r="R2862" s="85">
        <f>STATS1003B!R2841/1000</f>
        <v>0</v>
      </c>
      <c r="S2862" s="85">
        <f>STATS1003B!S2841/1000</f>
        <v>0</v>
      </c>
      <c r="T2862" s="85">
        <f>STATS1003B!T2841/1000</f>
        <v>0</v>
      </c>
      <c r="U2862" s="85">
        <f>STATS1003B!U2841/1000</f>
        <v>8521.9244199999994</v>
      </c>
      <c r="V2862" s="85">
        <f>STATS1003B!V2841/1000</f>
        <v>49867.724760000005</v>
      </c>
      <c r="W2862" s="85">
        <f>STATS1003B!W2841/1000</f>
        <v>271.06204999999983</v>
      </c>
      <c r="X2862" s="85">
        <f t="shared" si="300"/>
        <v>148658.109</v>
      </c>
      <c r="Y2862" s="85">
        <f>STATS1003B!Y2841/1000</f>
        <v>0</v>
      </c>
      <c r="Z2862" s="85">
        <f t="shared" si="302"/>
        <v>9.9999998928979039E-4</v>
      </c>
      <c r="AA2862" s="69">
        <f>STATS1003B!AA2841/1000</f>
        <v>148658.11004999999</v>
      </c>
      <c r="AB2862" s="69">
        <f>STATS1003B!AB2841/1000</f>
        <v>0</v>
      </c>
    </row>
    <row r="2863" spans="1:28" x14ac:dyDescent="0.3">
      <c r="A2863" s="73"/>
      <c r="C2863" s="68" t="s">
        <v>869</v>
      </c>
      <c r="E2863" s="85">
        <f>208217400/1000</f>
        <v>208217.4</v>
      </c>
      <c r="F2863" s="85">
        <f>STATS1003B!F2842/1000</f>
        <v>195782.71739999999</v>
      </c>
      <c r="G2863" s="85">
        <f>STATS1003B!G2842/1000</f>
        <v>0</v>
      </c>
      <c r="H2863" s="85">
        <f>195782717/1000</f>
        <v>195782.717</v>
      </c>
      <c r="I2863" s="85">
        <f>STATS1003B!I2842/1000</f>
        <v>0</v>
      </c>
      <c r="J2863" s="85">
        <f>STATS1003B!J2842/1000</f>
        <v>0</v>
      </c>
      <c r="K2863" s="85">
        <f>STATS1003B!K2842/1000</f>
        <v>0</v>
      </c>
      <c r="L2863" s="85">
        <f>STATS1003B!L2842/1000</f>
        <v>0</v>
      </c>
      <c r="M2863" s="85">
        <f>STATS1003B!M2842/1000</f>
        <v>195782.71739999999</v>
      </c>
      <c r="N2863" s="85">
        <f>STATS1003B!N2842/1000</f>
        <v>12434.683509999999</v>
      </c>
      <c r="O2863" s="85">
        <f>STATS1003B!O2842/1000</f>
        <v>0</v>
      </c>
      <c r="P2863" s="85">
        <f>12434683/1000</f>
        <v>12434.683000000001</v>
      </c>
      <c r="Q2863" s="85">
        <f>STATS1003B!Q2842/1000</f>
        <v>0</v>
      </c>
      <c r="R2863" s="85">
        <f>STATS1003B!R2842/1000</f>
        <v>0</v>
      </c>
      <c r="S2863" s="85">
        <f>STATS1003B!S2842/1000</f>
        <v>0</v>
      </c>
      <c r="T2863" s="85">
        <f>STATS1003B!T2842/1000</f>
        <v>0</v>
      </c>
      <c r="U2863" s="85">
        <f>STATS1003B!U2842/1000</f>
        <v>12434.683509999999</v>
      </c>
      <c r="V2863" s="85">
        <f>STATS1003B!V2842/1000</f>
        <v>0</v>
      </c>
      <c r="W2863" s="85">
        <f>STATS1003B!W2842/1000</f>
        <v>0</v>
      </c>
      <c r="X2863" s="85">
        <f t="shared" si="300"/>
        <v>208217.4</v>
      </c>
      <c r="Y2863" s="85">
        <f>STATS1003B!Y2842/1000</f>
        <v>0</v>
      </c>
      <c r="Z2863" s="85">
        <f t="shared" si="302"/>
        <v>0</v>
      </c>
      <c r="AA2863" s="69">
        <f>STATS1003B!AA2842/1000</f>
        <v>208217.40091</v>
      </c>
      <c r="AB2863" s="69">
        <f>STATS1003B!AB2842/1000</f>
        <v>0</v>
      </c>
    </row>
    <row r="2864" spans="1:28" x14ac:dyDescent="0.3">
      <c r="A2864" s="73"/>
      <c r="C2864" s="68" t="s">
        <v>908</v>
      </c>
      <c r="E2864" s="85">
        <f>42579017/1000</f>
        <v>42579.017</v>
      </c>
      <c r="F2864" s="85">
        <f>STATS1003B!F2843/1000</f>
        <v>42579.017679999997</v>
      </c>
      <c r="G2864" s="85">
        <f>STATS1003B!G2843/1000</f>
        <v>0</v>
      </c>
      <c r="H2864" s="85">
        <f>42579017/1000</f>
        <v>42579.017</v>
      </c>
      <c r="I2864" s="85">
        <f>STATS1003B!I2843/1000</f>
        <v>0</v>
      </c>
      <c r="J2864" s="85">
        <f>STATS1003B!J2843/1000</f>
        <v>0</v>
      </c>
      <c r="K2864" s="85">
        <f>STATS1003B!K2843/1000</f>
        <v>0</v>
      </c>
      <c r="L2864" s="85">
        <f>STATS1003B!L2843/1000</f>
        <v>0</v>
      </c>
      <c r="M2864" s="85">
        <f>STATS1003B!M2843/1000</f>
        <v>42579.017679999997</v>
      </c>
      <c r="N2864" s="85">
        <f>STATS1003B!N2843/1000</f>
        <v>0</v>
      </c>
      <c r="O2864" s="85">
        <f>STATS1003B!O2843/1000</f>
        <v>0</v>
      </c>
      <c r="P2864" s="85">
        <v>0</v>
      </c>
      <c r="Q2864" s="85">
        <f>STATS1003B!Q2843/1000</f>
        <v>0</v>
      </c>
      <c r="R2864" s="85">
        <f>STATS1003B!R2843/1000</f>
        <v>0</v>
      </c>
      <c r="S2864" s="85">
        <f>STATS1003B!S2843/1000</f>
        <v>0</v>
      </c>
      <c r="T2864" s="85">
        <f>STATS1003B!T2843/1000</f>
        <v>0</v>
      </c>
      <c r="U2864" s="85">
        <f>STATS1003B!U2843/1000</f>
        <v>0</v>
      </c>
      <c r="V2864" s="85">
        <f>STATS1003B!V2843/1000</f>
        <v>126386.13119000001</v>
      </c>
      <c r="W2864" s="85">
        <f>STATS1003B!W2843/1000</f>
        <v>3102.3526799999995</v>
      </c>
      <c r="X2864" s="85">
        <f t="shared" ref="X2864:X2883" si="303">+H2864+P2864</f>
        <v>42579.017</v>
      </c>
      <c r="Y2864" s="85">
        <f>STATS1003B!Y2843/1000</f>
        <v>0</v>
      </c>
      <c r="Z2864" s="85">
        <f t="shared" si="302"/>
        <v>0</v>
      </c>
      <c r="AA2864" s="69">
        <f>STATS1003B!AA2843/1000</f>
        <v>42579.017679999997</v>
      </c>
      <c r="AB2864" s="69">
        <f>STATS1003B!AB2843/1000</f>
        <v>0</v>
      </c>
    </row>
    <row r="2865" spans="1:28" x14ac:dyDescent="0.3">
      <c r="A2865" s="73"/>
      <c r="C2865" s="68" t="s">
        <v>1264</v>
      </c>
      <c r="E2865" s="85">
        <f>2846209/1000</f>
        <v>2846.2089999999998</v>
      </c>
      <c r="F2865" s="85">
        <f>STATS1003B!F2844/1000</f>
        <v>0</v>
      </c>
      <c r="G2865" s="85">
        <f>STATS1003B!G2844/1000</f>
        <v>1881.6422</v>
      </c>
      <c r="H2865" s="85">
        <f>2846209/1000</f>
        <v>2846.2089999999998</v>
      </c>
      <c r="I2865" s="85">
        <f>STATS1003B!I2844/1000</f>
        <v>0</v>
      </c>
      <c r="J2865" s="85">
        <f>STATS1003B!J2844/1000</f>
        <v>0</v>
      </c>
      <c r="K2865" s="85">
        <f>STATS1003B!K2844/1000</f>
        <v>0</v>
      </c>
      <c r="L2865" s="85">
        <f>STATS1003B!L2844/1000</f>
        <v>0</v>
      </c>
      <c r="M2865" s="85">
        <f>STATS1003B!M2844/1000</f>
        <v>1881.6422</v>
      </c>
      <c r="N2865" s="85">
        <f>STATS1003B!N2844/1000</f>
        <v>0</v>
      </c>
      <c r="O2865" s="85">
        <f>STATS1003B!O2844/1000</f>
        <v>0</v>
      </c>
      <c r="P2865" s="85">
        <v>0</v>
      </c>
      <c r="Q2865" s="85">
        <f>STATS1003B!Q2844/1000</f>
        <v>0</v>
      </c>
      <c r="R2865" s="85">
        <f>STATS1003B!R2844/1000</f>
        <v>0</v>
      </c>
      <c r="S2865" s="85">
        <f>STATS1003B!S2844/1000</f>
        <v>0</v>
      </c>
      <c r="T2865" s="85">
        <f>STATS1003B!T2844/1000</f>
        <v>0</v>
      </c>
      <c r="U2865" s="85">
        <f>STATS1003B!U2844/1000</f>
        <v>0</v>
      </c>
      <c r="V2865" s="85">
        <f>STATS1003B!V2844/1000</f>
        <v>0</v>
      </c>
      <c r="W2865" s="85">
        <f>STATS1003B!W2844/1000</f>
        <v>0</v>
      </c>
      <c r="X2865" s="85">
        <f t="shared" si="303"/>
        <v>2846.2089999999998</v>
      </c>
      <c r="Y2865" s="85">
        <f>STATS1003B!Y2844/1000</f>
        <v>0</v>
      </c>
      <c r="Z2865" s="85">
        <f t="shared" si="302"/>
        <v>0</v>
      </c>
      <c r="AA2865" s="69">
        <f>STATS1003B!AA2844/1000</f>
        <v>1881.6422</v>
      </c>
      <c r="AB2865" s="69">
        <f>STATS1003B!AB2844/1000</f>
        <v>0</v>
      </c>
    </row>
    <row r="2866" spans="1:28" x14ac:dyDescent="0.3">
      <c r="A2866" s="73"/>
      <c r="C2866" s="71" t="s">
        <v>916</v>
      </c>
      <c r="E2866" s="85">
        <f>456799313/1000</f>
        <v>456799.31300000002</v>
      </c>
      <c r="F2866" s="85">
        <f>STATS1003B!F2845/1000</f>
        <v>445674.81873</v>
      </c>
      <c r="G2866" s="85">
        <f>STATS1003B!G2845/1000</f>
        <v>0</v>
      </c>
      <c r="H2866" s="85">
        <f>445674818/1000</f>
        <v>445674.81800000003</v>
      </c>
      <c r="I2866" s="85">
        <f>STATS1003B!I2845/1000</f>
        <v>0</v>
      </c>
      <c r="J2866" s="85">
        <f>STATS1003B!J2845/1000</f>
        <v>0</v>
      </c>
      <c r="K2866" s="85">
        <f>STATS1003B!K2845/1000</f>
        <v>0</v>
      </c>
      <c r="L2866" s="85">
        <f>STATS1003B!L2845/1000</f>
        <v>11124.49526</v>
      </c>
      <c r="M2866" s="85">
        <f>STATS1003B!M2845/1000</f>
        <v>456799.31399</v>
      </c>
      <c r="N2866" s="85">
        <f>STATS1003B!N2845/1000</f>
        <v>0</v>
      </c>
      <c r="O2866" s="85">
        <f>STATS1003B!O2845/1000</f>
        <v>0</v>
      </c>
      <c r="P2866" s="85">
        <v>0</v>
      </c>
      <c r="Q2866" s="85">
        <f>STATS1003B!Q2845/1000</f>
        <v>0</v>
      </c>
      <c r="R2866" s="85">
        <f>STATS1003B!R2845/1000</f>
        <v>0</v>
      </c>
      <c r="S2866" s="85">
        <f>STATS1003B!S2845/1000</f>
        <v>0</v>
      </c>
      <c r="T2866" s="85">
        <f>STATS1003B!T2845/1000</f>
        <v>0</v>
      </c>
      <c r="U2866" s="85">
        <f>STATS1003B!U2845/1000</f>
        <v>0</v>
      </c>
      <c r="V2866" s="85">
        <f>STATS1003B!V2845/1000</f>
        <v>0</v>
      </c>
      <c r="W2866" s="85">
        <f>STATS1003B!W2845/1000</f>
        <v>0</v>
      </c>
      <c r="X2866" s="85">
        <f t="shared" si="303"/>
        <v>445674.81800000003</v>
      </c>
      <c r="Y2866" s="85">
        <f>STATS1003B!Y2845/1000</f>
        <v>0</v>
      </c>
      <c r="Z2866" s="85">
        <f t="shared" si="302"/>
        <v>11124.494999999995</v>
      </c>
      <c r="AA2866" s="69">
        <f>STATS1003B!AA2845/1000</f>
        <v>456799.31399</v>
      </c>
      <c r="AB2866" s="69">
        <f>STATS1003B!AB2845/1000</f>
        <v>0</v>
      </c>
    </row>
    <row r="2867" spans="1:28" x14ac:dyDescent="0.3">
      <c r="A2867" s="73"/>
      <c r="C2867" s="71" t="s">
        <v>1277</v>
      </c>
      <c r="E2867" s="85">
        <f>67560028/1000</f>
        <v>67560.028000000006</v>
      </c>
      <c r="F2867" s="85"/>
      <c r="G2867" s="85"/>
      <c r="H2867" s="85">
        <f>67560028/1000</f>
        <v>67560.028000000006</v>
      </c>
      <c r="I2867" s="85"/>
      <c r="J2867" s="85"/>
      <c r="K2867" s="85"/>
      <c r="L2867" s="85"/>
      <c r="M2867" s="85"/>
      <c r="N2867" s="85"/>
      <c r="O2867" s="85"/>
      <c r="P2867" s="85">
        <v>0</v>
      </c>
      <c r="Q2867" s="85"/>
      <c r="R2867" s="85"/>
      <c r="S2867" s="85"/>
      <c r="T2867" s="85"/>
      <c r="U2867" s="85"/>
      <c r="V2867" s="85"/>
      <c r="W2867" s="85"/>
      <c r="X2867" s="85">
        <f>+H2867+P2867</f>
        <v>67560.028000000006</v>
      </c>
      <c r="Y2867" s="85"/>
      <c r="Z2867" s="85">
        <f t="shared" si="302"/>
        <v>0</v>
      </c>
      <c r="AA2867" s="69"/>
      <c r="AB2867" s="69"/>
    </row>
    <row r="2868" spans="1:28" x14ac:dyDescent="0.3">
      <c r="A2868" s="73"/>
      <c r="C2868" s="68" t="s">
        <v>551</v>
      </c>
      <c r="E2868" s="85">
        <f>86860313/1000</f>
        <v>86860.312999999995</v>
      </c>
      <c r="F2868" s="85">
        <f>STATS1003B!F2846/1000</f>
        <v>86860.313849999991</v>
      </c>
      <c r="G2868" s="85">
        <f>STATS1003B!G2846/1000</f>
        <v>0</v>
      </c>
      <c r="H2868" s="85">
        <f>86860313/1000</f>
        <v>86860.312999999995</v>
      </c>
      <c r="I2868" s="85">
        <f>STATS1003B!I2846/1000</f>
        <v>0</v>
      </c>
      <c r="J2868" s="85">
        <f>STATS1003B!J2846/1000</f>
        <v>0</v>
      </c>
      <c r="K2868" s="85">
        <f>STATS1003B!K2846/1000</f>
        <v>0</v>
      </c>
      <c r="L2868" s="85">
        <f>STATS1003B!L2846/1000</f>
        <v>0</v>
      </c>
      <c r="M2868" s="85">
        <f>STATS1003B!M2846/1000</f>
        <v>86860.313849999991</v>
      </c>
      <c r="N2868" s="85">
        <f>STATS1003B!N2846/1000</f>
        <v>0</v>
      </c>
      <c r="O2868" s="85">
        <f>STATS1003B!O2846/1000</f>
        <v>0</v>
      </c>
      <c r="P2868" s="85">
        <v>0</v>
      </c>
      <c r="Q2868" s="85">
        <f>STATS1003B!Q2846/1000</f>
        <v>0</v>
      </c>
      <c r="R2868" s="85">
        <f>STATS1003B!R2846/1000</f>
        <v>0</v>
      </c>
      <c r="S2868" s="85">
        <f>STATS1003B!S2846/1000</f>
        <v>0</v>
      </c>
      <c r="T2868" s="85">
        <f>STATS1003B!T2846/1000</f>
        <v>0</v>
      </c>
      <c r="U2868" s="85">
        <f>STATS1003B!U2846/1000</f>
        <v>0</v>
      </c>
      <c r="V2868" s="85">
        <f>STATS1003B!V2846/1000</f>
        <v>0</v>
      </c>
      <c r="W2868" s="85">
        <f>STATS1003B!W2846/1000</f>
        <v>0</v>
      </c>
      <c r="X2868" s="85">
        <f t="shared" si="303"/>
        <v>86860.312999999995</v>
      </c>
      <c r="Y2868" s="85">
        <f>STATS1003B!Y2846/1000</f>
        <v>0</v>
      </c>
      <c r="Z2868" s="85">
        <f t="shared" si="302"/>
        <v>0</v>
      </c>
      <c r="AA2868" s="69">
        <f>STATS1003B!AA2846/1000</f>
        <v>86860.313849999991</v>
      </c>
      <c r="AB2868" s="69">
        <f>STATS1003B!AB2846/1000</f>
        <v>0</v>
      </c>
    </row>
    <row r="2869" spans="1:28" x14ac:dyDescent="0.3">
      <c r="A2869" s="73"/>
      <c r="C2869" s="71" t="s">
        <v>910</v>
      </c>
      <c r="E2869" s="85">
        <f>49996011/1000</f>
        <v>49996.010999999999</v>
      </c>
      <c r="F2869" s="85">
        <f>STATS1003B!F2847/1000</f>
        <v>49489.512710000003</v>
      </c>
      <c r="G2869" s="85">
        <f>STATS1003B!G2847/1000</f>
        <v>0</v>
      </c>
      <c r="H2869" s="85">
        <f>49489512/1000</f>
        <v>49489.512000000002</v>
      </c>
      <c r="I2869" s="85">
        <f>STATS1003B!I2847/1000</f>
        <v>8525.1641600000003</v>
      </c>
      <c r="J2869" s="85">
        <f>STATS1003B!J2847/1000</f>
        <v>2727.4717999999998</v>
      </c>
      <c r="K2869" s="85">
        <f>STATS1003B!K2847/1000</f>
        <v>6010.69236</v>
      </c>
      <c r="L2869" s="85">
        <f>STATS1003B!L2847/1000</f>
        <v>0</v>
      </c>
      <c r="M2869" s="85">
        <f>STATS1003B!M2847/1000</f>
        <v>49489.512710000003</v>
      </c>
      <c r="N2869" s="85">
        <f>STATS1003B!N2847/1000</f>
        <v>8.0894399999999997</v>
      </c>
      <c r="O2869" s="85">
        <f>STATS1003B!O2847/1000</f>
        <v>0</v>
      </c>
      <c r="P2869" s="85">
        <v>8.0890000000000004</v>
      </c>
      <c r="Q2869" s="85">
        <f>STATS1003B!Q2847/1000</f>
        <v>8221.7475000000013</v>
      </c>
      <c r="R2869" s="85">
        <f>STATS1003B!R2847/1000</f>
        <v>-3005.3461800000005</v>
      </c>
      <c r="S2869" s="85">
        <f>STATS1003B!S2847/1000</f>
        <v>3.91716</v>
      </c>
      <c r="T2869" s="85">
        <f>STATS1003B!T2847/1000</f>
        <v>29.618009999999998</v>
      </c>
      <c r="U2869" s="85">
        <f>STATS1003B!U2847/1000</f>
        <v>37.707449999999994</v>
      </c>
      <c r="V2869" s="85">
        <f>STATS1003B!V2847/1000</f>
        <v>295073.97227000003</v>
      </c>
      <c r="W2869" s="85">
        <f>STATS1003B!W2847/1000</f>
        <v>1839.0845099999997</v>
      </c>
      <c r="X2869" s="85">
        <f t="shared" si="303"/>
        <v>49497.601000000002</v>
      </c>
      <c r="Y2869" s="85">
        <f>STATS1003B!Y2847/1000</f>
        <v>0</v>
      </c>
      <c r="Z2869" s="85">
        <f t="shared" si="302"/>
        <v>498.40999999999622</v>
      </c>
      <c r="AA2869" s="69">
        <f>STATS1003B!AA2847/1000</f>
        <v>49527.220160000004</v>
      </c>
      <c r="AB2869" s="69">
        <f>STATS1003B!AB2847/1000</f>
        <v>468.7909800000042</v>
      </c>
    </row>
    <row r="2870" spans="1:28" x14ac:dyDescent="0.3">
      <c r="A2870" s="73"/>
      <c r="C2870" s="68" t="s">
        <v>900</v>
      </c>
      <c r="E2870" s="85">
        <f>25743984/1000</f>
        <v>25743.984</v>
      </c>
      <c r="F2870" s="85">
        <f>STATS1003B!F2848/1000</f>
        <v>17274.588449999999</v>
      </c>
      <c r="G2870" s="85">
        <f>STATS1003B!G2848/1000</f>
        <v>0</v>
      </c>
      <c r="H2870" s="85">
        <f>17274488.56/1000</f>
        <v>17274.488559999998</v>
      </c>
      <c r="I2870" s="85">
        <f>STATS1003B!I2848/1000</f>
        <v>0</v>
      </c>
      <c r="J2870" s="85">
        <f>STATS1003B!J2848/1000</f>
        <v>0</v>
      </c>
      <c r="K2870" s="85">
        <f>STATS1003B!K2848/1000</f>
        <v>0</v>
      </c>
      <c r="L2870" s="85">
        <f>STATS1003B!L2848/1000</f>
        <v>0</v>
      </c>
      <c r="M2870" s="85">
        <f>STATS1003B!M2848/1000</f>
        <v>17274.588449999999</v>
      </c>
      <c r="N2870" s="85">
        <f>STATS1003B!N2848/1000</f>
        <v>8944.3956400000006</v>
      </c>
      <c r="O2870" s="85">
        <f>STATS1003B!O2848/1000</f>
        <v>0</v>
      </c>
      <c r="P2870" s="85">
        <f>8944395/1000</f>
        <v>8944.3950000000004</v>
      </c>
      <c r="Q2870" s="85">
        <f>STATS1003B!Q2848/1000</f>
        <v>0</v>
      </c>
      <c r="R2870" s="85">
        <f>STATS1003B!R2848/1000</f>
        <v>0</v>
      </c>
      <c r="S2870" s="85">
        <f>STATS1003B!S2848/1000</f>
        <v>0</v>
      </c>
      <c r="T2870" s="85">
        <f>STATS1003B!T2848/1000</f>
        <v>0</v>
      </c>
      <c r="U2870" s="85">
        <f>STATS1003B!U2848/1000</f>
        <v>8944.3956400000006</v>
      </c>
      <c r="V2870" s="85">
        <f>STATS1003B!V2848/1000</f>
        <v>14798.5424</v>
      </c>
      <c r="W2870" s="85">
        <f>STATS1003B!W2848/1000</f>
        <v>0</v>
      </c>
      <c r="X2870" s="85">
        <f t="shared" si="303"/>
        <v>26218.883559999998</v>
      </c>
      <c r="Y2870" s="85">
        <f>STATS1003B!Y2848/1000</f>
        <v>0</v>
      </c>
      <c r="Z2870" s="85">
        <f t="shared" si="302"/>
        <v>-474.89955999999802</v>
      </c>
      <c r="AA2870" s="69">
        <f>STATS1003B!AA2848/1000</f>
        <v>26218.984089999998</v>
      </c>
      <c r="AB2870" s="69">
        <f>STATS1003B!AB2848/1000</f>
        <v>-475</v>
      </c>
    </row>
    <row r="2871" spans="1:28" x14ac:dyDescent="0.3">
      <c r="A2871" s="73"/>
      <c r="C2871" s="68" t="s">
        <v>914</v>
      </c>
      <c r="E2871" s="85">
        <f>21999950/1000</f>
        <v>21999.95</v>
      </c>
      <c r="F2871" s="85">
        <f>STATS1003B!F2849/1000</f>
        <v>15910.37866</v>
      </c>
      <c r="G2871" s="85">
        <f>STATS1003B!G2849/1000</f>
        <v>0</v>
      </c>
      <c r="H2871" s="85">
        <f>15910378/1000</f>
        <v>15910.378000000001</v>
      </c>
      <c r="I2871" s="85">
        <f>STATS1003B!I2849/1000</f>
        <v>0</v>
      </c>
      <c r="J2871" s="85">
        <f>STATS1003B!J2849/1000</f>
        <v>1000</v>
      </c>
      <c r="K2871" s="85">
        <f>STATS1003B!K2849/1000</f>
        <v>0</v>
      </c>
      <c r="L2871" s="85">
        <f>STATS1003B!L2849/1000</f>
        <v>0</v>
      </c>
      <c r="M2871" s="85">
        <f>STATS1003B!M2849/1000</f>
        <v>15910.37866</v>
      </c>
      <c r="N2871" s="85">
        <f>STATS1003B!N2849/1000</f>
        <v>3021.2384700000002</v>
      </c>
      <c r="O2871" s="85">
        <f>STATS1003B!O2849/1000</f>
        <v>0</v>
      </c>
      <c r="P2871" s="85">
        <f>3021238/1000</f>
        <v>3021.2379999999998</v>
      </c>
      <c r="Q2871" s="85">
        <f>STATS1003B!Q2849/1000</f>
        <v>0</v>
      </c>
      <c r="R2871" s="85">
        <f>STATS1003B!R2849/1000</f>
        <v>0</v>
      </c>
      <c r="S2871" s="85">
        <f>STATS1003B!S2849/1000</f>
        <v>0</v>
      </c>
      <c r="T2871" s="85">
        <f>STATS1003B!T2849/1000</f>
        <v>0</v>
      </c>
      <c r="U2871" s="85">
        <f>STATS1003B!U2849/1000</f>
        <v>3021.2384700000002</v>
      </c>
      <c r="V2871" s="85">
        <f>STATS1003B!V2849/1000</f>
        <v>17402.751420000001</v>
      </c>
      <c r="W2871" s="85">
        <f>STATS1003B!W2849/1000</f>
        <v>0</v>
      </c>
      <c r="X2871" s="85">
        <f t="shared" si="303"/>
        <v>18931.616000000002</v>
      </c>
      <c r="Y2871" s="85">
        <f>STATS1003B!Y2849/1000</f>
        <v>0</v>
      </c>
      <c r="Z2871" s="85">
        <f t="shared" si="302"/>
        <v>3068.3339999999989</v>
      </c>
      <c r="AA2871" s="69">
        <f>STATS1003B!AA2849/1000</f>
        <v>18931.617129999999</v>
      </c>
      <c r="AB2871" s="69">
        <f>STATS1003B!AB2849/1000</f>
        <v>3068.3328700000011</v>
      </c>
    </row>
    <row r="2872" spans="1:28" x14ac:dyDescent="0.3">
      <c r="A2872" s="73"/>
      <c r="C2872" s="68" t="s">
        <v>915</v>
      </c>
      <c r="E2872" s="85">
        <f>389880638/1000</f>
        <v>389880.63799999998</v>
      </c>
      <c r="F2872" s="85">
        <f>STATS1003B!F2850/1000</f>
        <v>274919.43080000003</v>
      </c>
      <c r="G2872" s="85">
        <f>STATS1003B!G2850/1000</f>
        <v>0</v>
      </c>
      <c r="H2872" s="85">
        <f>274919430/1000</f>
        <v>274919.43</v>
      </c>
      <c r="I2872" s="85">
        <f>STATS1003B!I2850/1000</f>
        <v>1029.9882299999999</v>
      </c>
      <c r="J2872" s="85">
        <f>STATS1003B!J2850/1000</f>
        <v>619.14700000000005</v>
      </c>
      <c r="K2872" s="85">
        <f>STATS1003B!K2850/1000</f>
        <v>0</v>
      </c>
      <c r="L2872" s="85">
        <f>STATS1003B!L2850/1000</f>
        <v>0</v>
      </c>
      <c r="M2872" s="85">
        <f>STATS1003B!M2850/1000</f>
        <v>274919.43080000003</v>
      </c>
      <c r="N2872" s="85">
        <f>STATS1003B!N2850/1000</f>
        <v>143.63325</v>
      </c>
      <c r="O2872" s="85">
        <f>STATS1003B!O2850/1000</f>
        <v>0</v>
      </c>
      <c r="P2872" s="85">
        <f>143633/1000</f>
        <v>143.63300000000001</v>
      </c>
      <c r="Q2872" s="85">
        <f>STATS1003B!Q2850/1000</f>
        <v>0</v>
      </c>
      <c r="R2872" s="85">
        <f>STATS1003B!R2850/1000</f>
        <v>0</v>
      </c>
      <c r="S2872" s="85">
        <f>STATS1003B!S2850/1000</f>
        <v>0</v>
      </c>
      <c r="T2872" s="85">
        <f>STATS1003B!T2850/1000</f>
        <v>0</v>
      </c>
      <c r="U2872" s="85">
        <f>STATS1003B!U2850/1000</f>
        <v>143.63325</v>
      </c>
      <c r="V2872" s="85">
        <f>STATS1003B!V2850/1000</f>
        <v>695953.8115999999</v>
      </c>
      <c r="W2872" s="85">
        <f>STATS1003B!W2850/1000</f>
        <v>102945.04122</v>
      </c>
      <c r="X2872" s="85">
        <f t="shared" si="303"/>
        <v>275063.06299999997</v>
      </c>
      <c r="Y2872" s="85">
        <f>STATS1003B!Y2850/1000</f>
        <v>0</v>
      </c>
      <c r="Z2872" s="85">
        <f>114817000/1000</f>
        <v>114817</v>
      </c>
      <c r="AA2872" s="69">
        <f>STATS1003B!AA2850/1000</f>
        <v>275063.06404999999</v>
      </c>
      <c r="AB2872" s="69">
        <f>STATS1003B!AB2850/1000</f>
        <v>114817.57394999999</v>
      </c>
    </row>
    <row r="2873" spans="1:28" x14ac:dyDescent="0.3">
      <c r="A2873" s="73"/>
      <c r="C2873" s="68" t="s">
        <v>1312</v>
      </c>
      <c r="E2873" s="85">
        <f>3521052.41/1000</f>
        <v>3521.0524100000002</v>
      </c>
      <c r="F2873" s="85"/>
      <c r="G2873" s="85"/>
      <c r="H2873" s="85">
        <f>3521052.41/1000</f>
        <v>3521.0524100000002</v>
      </c>
      <c r="I2873" s="85"/>
      <c r="J2873" s="85"/>
      <c r="K2873" s="85"/>
      <c r="L2873" s="85"/>
      <c r="M2873" s="85"/>
      <c r="N2873" s="85"/>
      <c r="O2873" s="85"/>
      <c r="P2873" s="85">
        <v>0</v>
      </c>
      <c r="Q2873" s="85"/>
      <c r="R2873" s="85"/>
      <c r="S2873" s="85"/>
      <c r="T2873" s="85"/>
      <c r="U2873" s="85"/>
      <c r="V2873" s="85"/>
      <c r="W2873" s="85"/>
      <c r="X2873" s="85">
        <f>+H2873+P2873</f>
        <v>3521.0524100000002</v>
      </c>
      <c r="Y2873" s="85"/>
      <c r="Z2873" s="85">
        <f>+E2873-X2873</f>
        <v>0</v>
      </c>
      <c r="AA2873" s="69"/>
      <c r="AB2873" s="69"/>
    </row>
    <row r="2874" spans="1:28" x14ac:dyDescent="0.3">
      <c r="A2874" s="73"/>
      <c r="C2874" s="68" t="s">
        <v>918</v>
      </c>
      <c r="E2874" s="85">
        <f>30586954/1000</f>
        <v>30586.954000000002</v>
      </c>
      <c r="F2874" s="85">
        <f>STATS1003B!F2851/1000</f>
        <v>30586.954460000001</v>
      </c>
      <c r="G2874" s="85">
        <f>STATS1003B!G2851/1000</f>
        <v>0</v>
      </c>
      <c r="H2874" s="85">
        <f>30586954/1000</f>
        <v>30586.954000000002</v>
      </c>
      <c r="I2874" s="85">
        <f>STATS1003B!I2851/1000</f>
        <v>0</v>
      </c>
      <c r="J2874" s="85">
        <f>STATS1003B!J2851/1000</f>
        <v>0</v>
      </c>
      <c r="K2874" s="85">
        <f>STATS1003B!K2851/1000</f>
        <v>0</v>
      </c>
      <c r="L2874" s="85">
        <f>STATS1003B!L2851/1000</f>
        <v>0</v>
      </c>
      <c r="M2874" s="85">
        <f>STATS1003B!M2851/1000</f>
        <v>30586.954460000001</v>
      </c>
      <c r="N2874" s="85">
        <f>STATS1003B!N2851/1000</f>
        <v>0</v>
      </c>
      <c r="O2874" s="85">
        <f>STATS1003B!O2851/1000</f>
        <v>0</v>
      </c>
      <c r="P2874" s="85">
        <v>0</v>
      </c>
      <c r="Q2874" s="85">
        <f>STATS1003B!Q2851/1000</f>
        <v>0</v>
      </c>
      <c r="R2874" s="85">
        <f>STATS1003B!R2851/1000</f>
        <v>0</v>
      </c>
      <c r="S2874" s="85">
        <f>STATS1003B!S2851/1000</f>
        <v>0</v>
      </c>
      <c r="T2874" s="85">
        <f>STATS1003B!T2851/1000</f>
        <v>0</v>
      </c>
      <c r="U2874" s="85">
        <f>STATS1003B!U2851/1000</f>
        <v>0</v>
      </c>
      <c r="V2874" s="85">
        <f>STATS1003B!V2851/1000</f>
        <v>7710.5956200000001</v>
      </c>
      <c r="W2874" s="85">
        <f>STATS1003B!W2851/1000</f>
        <v>0</v>
      </c>
      <c r="X2874" s="85">
        <f t="shared" si="303"/>
        <v>30586.954000000002</v>
      </c>
      <c r="Y2874" s="85">
        <f>STATS1003B!Y2851/1000</f>
        <v>0</v>
      </c>
      <c r="Z2874" s="85">
        <f t="shared" si="302"/>
        <v>0</v>
      </c>
      <c r="AA2874" s="69">
        <f>STATS1003B!AA2851/1000</f>
        <v>30586.954460000001</v>
      </c>
      <c r="AB2874" s="69">
        <f>STATS1003B!AB2851/1000</f>
        <v>0</v>
      </c>
    </row>
    <row r="2875" spans="1:28" x14ac:dyDescent="0.3">
      <c r="A2875" s="73"/>
      <c r="C2875" s="68" t="s">
        <v>901</v>
      </c>
      <c r="E2875" s="85">
        <f>25150521/1000</f>
        <v>25150.521000000001</v>
      </c>
      <c r="F2875" s="85">
        <f>STATS1003B!F2852/1000</f>
        <v>24252.704399999999</v>
      </c>
      <c r="G2875" s="85">
        <f>STATS1003B!G2852/1000</f>
        <v>0</v>
      </c>
      <c r="H2875" s="85">
        <f>24252704/1000</f>
        <v>24252.704000000002</v>
      </c>
      <c r="I2875" s="85">
        <f>STATS1003B!I2852/1000</f>
        <v>0</v>
      </c>
      <c r="J2875" s="85">
        <f>STATS1003B!J2852/1000</f>
        <v>0</v>
      </c>
      <c r="K2875" s="85">
        <f>STATS1003B!K2852/1000</f>
        <v>0</v>
      </c>
      <c r="L2875" s="85">
        <f>STATS1003B!L2852/1000</f>
        <v>0</v>
      </c>
      <c r="M2875" s="85">
        <f>STATS1003B!M2852/1000</f>
        <v>24252.704399999999</v>
      </c>
      <c r="N2875" s="85">
        <f>STATS1003B!N2852/1000</f>
        <v>897.81670999999994</v>
      </c>
      <c r="O2875" s="85">
        <f>STATS1003B!O2852/1000</f>
        <v>0</v>
      </c>
      <c r="P2875" s="85">
        <f>897816/1000</f>
        <v>897.81600000000003</v>
      </c>
      <c r="Q2875" s="85">
        <f>STATS1003B!Q2852/1000</f>
        <v>0</v>
      </c>
      <c r="R2875" s="85">
        <f>STATS1003B!R2852/1000</f>
        <v>0</v>
      </c>
      <c r="S2875" s="85">
        <f>STATS1003B!S2852/1000</f>
        <v>0</v>
      </c>
      <c r="T2875" s="85">
        <f>STATS1003B!T2852/1000</f>
        <v>0</v>
      </c>
      <c r="U2875" s="85">
        <f>STATS1003B!U2852/1000</f>
        <v>897.81670999999994</v>
      </c>
      <c r="V2875" s="85">
        <f>STATS1003B!V2852/1000</f>
        <v>1950.1130000000001</v>
      </c>
      <c r="W2875" s="85">
        <f>STATS1003B!W2852/1000</f>
        <v>0</v>
      </c>
      <c r="X2875" s="85">
        <f t="shared" si="303"/>
        <v>25150.52</v>
      </c>
      <c r="Y2875" s="85">
        <f>STATS1003B!Y2852/1000</f>
        <v>0</v>
      </c>
      <c r="Z2875" s="85">
        <f t="shared" si="302"/>
        <v>1.0000000002037268E-3</v>
      </c>
      <c r="AA2875" s="69">
        <f>STATS1003B!AA2852/1000</f>
        <v>25150.521109999998</v>
      </c>
      <c r="AB2875" s="69">
        <f>STATS1003B!AB2852/1000</f>
        <v>0</v>
      </c>
    </row>
    <row r="2876" spans="1:28" x14ac:dyDescent="0.3">
      <c r="A2876" s="73"/>
      <c r="C2876" s="68" t="s">
        <v>885</v>
      </c>
      <c r="E2876" s="85">
        <f>75240727/1000</f>
        <v>75240.726999999999</v>
      </c>
      <c r="F2876" s="85">
        <f>STATS1003B!F2853/1000</f>
        <v>71697.311809999999</v>
      </c>
      <c r="G2876" s="85">
        <f>STATS1003B!G2853/1000</f>
        <v>0</v>
      </c>
      <c r="H2876" s="85">
        <f>71697311/1000</f>
        <v>71697.311000000002</v>
      </c>
      <c r="I2876" s="85">
        <f>STATS1003B!I2853/1000</f>
        <v>0</v>
      </c>
      <c r="J2876" s="85">
        <f>STATS1003B!J2853/1000</f>
        <v>0</v>
      </c>
      <c r="K2876" s="85">
        <f>STATS1003B!K2853/1000</f>
        <v>0</v>
      </c>
      <c r="L2876" s="85">
        <f>STATS1003B!L2853/1000</f>
        <v>0</v>
      </c>
      <c r="M2876" s="85">
        <f>STATS1003B!M2853/1000</f>
        <v>71697.311809999999</v>
      </c>
      <c r="N2876" s="85">
        <f>STATS1003B!N2853/1000</f>
        <v>2535.11366</v>
      </c>
      <c r="O2876" s="85">
        <f>STATS1003B!O2853/1000</f>
        <v>0</v>
      </c>
      <c r="P2876" s="85">
        <f>2535113/1000</f>
        <v>2535.1129999999998</v>
      </c>
      <c r="Q2876" s="85">
        <f>STATS1003B!Q2853/1000</f>
        <v>0</v>
      </c>
      <c r="R2876" s="85">
        <f>STATS1003B!R2853/1000</f>
        <v>0</v>
      </c>
      <c r="S2876" s="85">
        <f>STATS1003B!S2853/1000</f>
        <v>0</v>
      </c>
      <c r="T2876" s="85">
        <f>STATS1003B!T2853/1000</f>
        <v>0</v>
      </c>
      <c r="U2876" s="85">
        <f>STATS1003B!U2853/1000</f>
        <v>2535.11366</v>
      </c>
      <c r="V2876" s="85">
        <f>STATS1003B!V2853/1000</f>
        <v>282.73</v>
      </c>
      <c r="W2876" s="85">
        <f>STATS1003B!W2853/1000</f>
        <v>0</v>
      </c>
      <c r="X2876" s="85">
        <f t="shared" si="303"/>
        <v>74232.423999999999</v>
      </c>
      <c r="Y2876" s="85" t="e">
        <f>STATS1003B!Y2853/1000</f>
        <v>#VALUE!</v>
      </c>
      <c r="Z2876" s="85">
        <f t="shared" si="302"/>
        <v>1008.3029999999999</v>
      </c>
      <c r="AA2876" s="69">
        <f>STATS1003B!AA2853/1000</f>
        <v>74232.425470000002</v>
      </c>
      <c r="AB2876" s="69">
        <f>STATS1003B!AB2853/1000</f>
        <v>1008.3022100000084</v>
      </c>
    </row>
    <row r="2877" spans="1:28" x14ac:dyDescent="0.3">
      <c r="A2877" s="73"/>
      <c r="C2877" s="68" t="s">
        <v>886</v>
      </c>
      <c r="E2877" s="85">
        <f>10245000/1000</f>
        <v>10245</v>
      </c>
      <c r="F2877" s="85">
        <f>STATS1003B!F2854/1000</f>
        <v>9136.7489999999998</v>
      </c>
      <c r="G2877" s="85">
        <f>STATS1003B!G2854/1000</f>
        <v>0</v>
      </c>
      <c r="H2877" s="85">
        <f>9136749/1000</f>
        <v>9136.7489999999998</v>
      </c>
      <c r="I2877" s="85">
        <f>STATS1003B!I2854/1000</f>
        <v>0</v>
      </c>
      <c r="J2877" s="85">
        <f>STATS1003B!J2854/1000</f>
        <v>0</v>
      </c>
      <c r="K2877" s="85">
        <f>STATS1003B!K2854/1000</f>
        <v>0</v>
      </c>
      <c r="L2877" s="85">
        <f>STATS1003B!L2854/1000</f>
        <v>0</v>
      </c>
      <c r="M2877" s="85">
        <f>STATS1003B!M2854/1000</f>
        <v>9136.7489999999998</v>
      </c>
      <c r="N2877" s="85">
        <f>STATS1003B!N2854/1000</f>
        <v>0</v>
      </c>
      <c r="O2877" s="85">
        <f>STATS1003B!O2854/1000</f>
        <v>0</v>
      </c>
      <c r="P2877" s="85">
        <v>0</v>
      </c>
      <c r="Q2877" s="85">
        <f>STATS1003B!Q2854/1000</f>
        <v>0</v>
      </c>
      <c r="R2877" s="85">
        <f>STATS1003B!R2854/1000</f>
        <v>0</v>
      </c>
      <c r="S2877" s="85">
        <f>STATS1003B!S2854/1000</f>
        <v>0</v>
      </c>
      <c r="T2877" s="85">
        <f>STATS1003B!T2854/1000</f>
        <v>0</v>
      </c>
      <c r="U2877" s="85">
        <f>STATS1003B!U2854/1000</f>
        <v>0</v>
      </c>
      <c r="V2877" s="85">
        <f>STATS1003B!V2854/1000</f>
        <v>0</v>
      </c>
      <c r="W2877" s="85">
        <f>STATS1003B!W2854/1000</f>
        <v>0</v>
      </c>
      <c r="X2877" s="85">
        <f t="shared" si="303"/>
        <v>9136.7489999999998</v>
      </c>
      <c r="Y2877" s="85">
        <f>STATS1003B!Y2854/1000</f>
        <v>0</v>
      </c>
      <c r="Z2877" s="85">
        <f>+E2877-X2877</f>
        <v>1108.2510000000002</v>
      </c>
      <c r="AA2877" s="69">
        <f>STATS1003B!AA2854/1000</f>
        <v>9136.7489999999998</v>
      </c>
      <c r="AB2877" s="69">
        <f>STATS1003B!AB2854/1000</f>
        <v>1108.751</v>
      </c>
    </row>
    <row r="2878" spans="1:28" x14ac:dyDescent="0.3">
      <c r="A2878" s="73"/>
      <c r="C2878" s="68" t="s">
        <v>872</v>
      </c>
      <c r="E2878" s="85">
        <f>4689950/1000</f>
        <v>4689.95</v>
      </c>
      <c r="F2878" s="85">
        <f>STATS1003B!F2855/1000</f>
        <v>1500</v>
      </c>
      <c r="G2878" s="85">
        <f>STATS1003B!G2855/1000</f>
        <v>0</v>
      </c>
      <c r="H2878" s="85">
        <f>1500000/1000</f>
        <v>1500</v>
      </c>
      <c r="I2878" s="85">
        <f>STATS1003B!I2855/1000</f>
        <v>0</v>
      </c>
      <c r="J2878" s="85">
        <f>STATS1003B!J2855/1000</f>
        <v>0</v>
      </c>
      <c r="K2878" s="85">
        <f>STATS1003B!K2855/1000</f>
        <v>0</v>
      </c>
      <c r="L2878" s="85">
        <f>STATS1003B!L2855/1000</f>
        <v>0</v>
      </c>
      <c r="M2878" s="85">
        <f>STATS1003B!M2855/1000</f>
        <v>1500</v>
      </c>
      <c r="N2878" s="85">
        <f>STATS1003B!N2855/1000</f>
        <v>3189.95</v>
      </c>
      <c r="O2878" s="85">
        <f>STATS1003B!O2855/1000</f>
        <v>0</v>
      </c>
      <c r="P2878" s="85">
        <f>3189950/1000</f>
        <v>3189.95</v>
      </c>
      <c r="Q2878" s="85">
        <f>STATS1003B!Q2855/1000</f>
        <v>0</v>
      </c>
      <c r="R2878" s="85">
        <f>STATS1003B!R2855/1000</f>
        <v>0</v>
      </c>
      <c r="S2878" s="85">
        <f>STATS1003B!S2855/1000</f>
        <v>0</v>
      </c>
      <c r="T2878" s="85">
        <f>STATS1003B!T2855/1000</f>
        <v>0</v>
      </c>
      <c r="U2878" s="85">
        <f>STATS1003B!U2855/1000</f>
        <v>3189.95</v>
      </c>
      <c r="V2878" s="85">
        <f>STATS1003B!V2855/1000</f>
        <v>0</v>
      </c>
      <c r="W2878" s="85">
        <f>STATS1003B!W2855/1000</f>
        <v>0</v>
      </c>
      <c r="X2878" s="85">
        <f t="shared" si="303"/>
        <v>4689.95</v>
      </c>
      <c r="Y2878" s="85" t="e">
        <f>STATS1003B!Y2855/1000</f>
        <v>#VALUE!</v>
      </c>
      <c r="Z2878" s="85">
        <f t="shared" si="302"/>
        <v>0</v>
      </c>
      <c r="AA2878" s="69">
        <f>STATS1003B!AA2855/1000</f>
        <v>4689.95</v>
      </c>
      <c r="AB2878" s="69">
        <f>STATS1003B!AB2855/1000</f>
        <v>0</v>
      </c>
    </row>
    <row r="2879" spans="1:28" x14ac:dyDescent="0.3">
      <c r="A2879" s="73"/>
      <c r="C2879" s="68" t="s">
        <v>810</v>
      </c>
      <c r="E2879" s="85">
        <f>1795687/1000</f>
        <v>1795.6869999999999</v>
      </c>
      <c r="F2879" s="85">
        <f>STATS1003B!F2856/1000</f>
        <v>1795.68715</v>
      </c>
      <c r="G2879" s="85">
        <f>STATS1003B!G2856/1000</f>
        <v>0</v>
      </c>
      <c r="H2879" s="85">
        <f>1795687/1000</f>
        <v>1795.6869999999999</v>
      </c>
      <c r="I2879" s="85">
        <f>STATS1003B!I2856/1000</f>
        <v>0</v>
      </c>
      <c r="J2879" s="85">
        <f>STATS1003B!J2856/1000</f>
        <v>0</v>
      </c>
      <c r="K2879" s="85">
        <f>STATS1003B!K2856/1000</f>
        <v>0</v>
      </c>
      <c r="L2879" s="85">
        <f>STATS1003B!L2856/1000</f>
        <v>0</v>
      </c>
      <c r="M2879" s="85">
        <f>STATS1003B!M2856/1000</f>
        <v>1795.68715</v>
      </c>
      <c r="N2879" s="85">
        <f>STATS1003B!N2856/1000</f>
        <v>0</v>
      </c>
      <c r="O2879" s="85">
        <f>STATS1003B!O2856/1000</f>
        <v>0</v>
      </c>
      <c r="P2879" s="85">
        <v>0</v>
      </c>
      <c r="Q2879" s="85">
        <f>STATS1003B!Q2856/1000</f>
        <v>0</v>
      </c>
      <c r="R2879" s="85">
        <f>STATS1003B!R2856/1000</f>
        <v>0</v>
      </c>
      <c r="S2879" s="85">
        <f>STATS1003B!S2856/1000</f>
        <v>0</v>
      </c>
      <c r="T2879" s="85">
        <f>STATS1003B!T2856/1000</f>
        <v>0</v>
      </c>
      <c r="U2879" s="85">
        <f>STATS1003B!U2856/1000</f>
        <v>0</v>
      </c>
      <c r="V2879" s="85">
        <f>STATS1003B!V2856/1000</f>
        <v>0</v>
      </c>
      <c r="W2879" s="85">
        <f>STATS1003B!W2856/1000</f>
        <v>0</v>
      </c>
      <c r="X2879" s="85">
        <f t="shared" si="303"/>
        <v>1795.6869999999999</v>
      </c>
      <c r="Y2879" s="85">
        <f>STATS1003B!Y2856/1000</f>
        <v>0</v>
      </c>
      <c r="Z2879" s="85">
        <f t="shared" si="302"/>
        <v>0</v>
      </c>
      <c r="AA2879" s="69">
        <f>STATS1003B!AA2856/1000</f>
        <v>1795.68715</v>
      </c>
      <c r="AB2879" s="69">
        <f>STATS1003B!AB2856/1000</f>
        <v>0</v>
      </c>
    </row>
    <row r="2880" spans="1:28" x14ac:dyDescent="0.3">
      <c r="A2880" s="73"/>
      <c r="C2880" s="98" t="s">
        <v>880</v>
      </c>
      <c r="E2880" s="85">
        <v>0</v>
      </c>
      <c r="F2880" s="85">
        <f>STATS1003B!F2857/1000</f>
        <v>22904.14673</v>
      </c>
      <c r="G2880" s="85">
        <f>STATS1003B!G2857/1000</f>
        <v>0</v>
      </c>
      <c r="H2880" s="85">
        <f>22904146/1000</f>
        <v>22904.146000000001</v>
      </c>
      <c r="I2880" s="85">
        <f>STATS1003B!I2857/1000</f>
        <v>0</v>
      </c>
      <c r="J2880" s="85">
        <f>STATS1003B!J2857/1000</f>
        <v>0</v>
      </c>
      <c r="K2880" s="85">
        <f>STATS1003B!K2857/1000</f>
        <v>0</v>
      </c>
      <c r="L2880" s="85">
        <f>STATS1003B!L2857/1000</f>
        <v>0</v>
      </c>
      <c r="M2880" s="85">
        <f>STATS1003B!M2857/1000</f>
        <v>22904.14673</v>
      </c>
      <c r="N2880" s="85">
        <f>STATS1003B!N2857/1000</f>
        <v>39.02711</v>
      </c>
      <c r="O2880" s="85">
        <f>STATS1003B!O2857/1000</f>
        <v>0</v>
      </c>
      <c r="P2880" s="85">
        <f>39027/1000</f>
        <v>39.027000000000001</v>
      </c>
      <c r="Q2880" s="85">
        <f>STATS1003B!Q2857/1000</f>
        <v>0</v>
      </c>
      <c r="R2880" s="85">
        <f>STATS1003B!R2857/1000</f>
        <v>0</v>
      </c>
      <c r="S2880" s="85">
        <f>STATS1003B!S2857/1000</f>
        <v>0</v>
      </c>
      <c r="T2880" s="85">
        <f>STATS1003B!T2857/1000</f>
        <v>0</v>
      </c>
      <c r="U2880" s="85">
        <f>STATS1003B!U2857/1000</f>
        <v>39.02711</v>
      </c>
      <c r="V2880" s="85">
        <f>STATS1003B!V2857/1000</f>
        <v>20985.87412</v>
      </c>
      <c r="W2880" s="85">
        <f>STATS1003B!W2857/1000</f>
        <v>0</v>
      </c>
      <c r="X2880" s="85">
        <f t="shared" si="303"/>
        <v>22943.172999999999</v>
      </c>
      <c r="Y2880" s="85">
        <f>STATS1003B!Y2857/1000</f>
        <v>0</v>
      </c>
      <c r="Z2880" s="85">
        <f t="shared" si="302"/>
        <v>-22943.172999999999</v>
      </c>
      <c r="AA2880" s="69">
        <f>STATS1003B!AA2857/1000</f>
        <v>22943.173839999999</v>
      </c>
      <c r="AB2880" s="69">
        <f>STATS1003B!AB2857/1000</f>
        <v>-22943.173839999999</v>
      </c>
    </row>
    <row r="2881" spans="1:28" x14ac:dyDescent="0.3">
      <c r="A2881" s="73"/>
      <c r="C2881" s="68" t="s">
        <v>873</v>
      </c>
      <c r="E2881" s="85">
        <f>25794331/1000</f>
        <v>25794.330999999998</v>
      </c>
      <c r="F2881" s="85">
        <f>STATS1003B!F2858/1000</f>
        <v>0</v>
      </c>
      <c r="G2881" s="85">
        <f>STATS1003B!G2858/1000</f>
        <v>0</v>
      </c>
      <c r="H2881" s="85">
        <v>0</v>
      </c>
      <c r="I2881" s="85">
        <f>STATS1003B!I2858/1000</f>
        <v>0</v>
      </c>
      <c r="J2881" s="85">
        <f>STATS1003B!J2858/1000</f>
        <v>0</v>
      </c>
      <c r="K2881" s="85">
        <f>STATS1003B!K2858/1000</f>
        <v>0</v>
      </c>
      <c r="L2881" s="85">
        <f>STATS1003B!L2858/1000</f>
        <v>0</v>
      </c>
      <c r="M2881" s="85">
        <f>STATS1003B!M2858/1000</f>
        <v>0</v>
      </c>
      <c r="N2881" s="85">
        <f>STATS1003B!N2858/1000</f>
        <v>25794.331739999998</v>
      </c>
      <c r="O2881" s="85">
        <f>STATS1003B!O2858/1000</f>
        <v>0</v>
      </c>
      <c r="P2881" s="85">
        <f>25794331/1000</f>
        <v>25794.330999999998</v>
      </c>
      <c r="Q2881" s="85">
        <f>STATS1003B!Q2858/1000</f>
        <v>0</v>
      </c>
      <c r="R2881" s="85">
        <f>STATS1003B!R2858/1000</f>
        <v>0</v>
      </c>
      <c r="S2881" s="85">
        <f>STATS1003B!S2858/1000</f>
        <v>0</v>
      </c>
      <c r="T2881" s="85">
        <f>STATS1003B!T2858/1000</f>
        <v>0</v>
      </c>
      <c r="U2881" s="85">
        <f>STATS1003B!U2858/1000</f>
        <v>25794.331739999998</v>
      </c>
      <c r="V2881" s="85">
        <f>STATS1003B!V2858/1000</f>
        <v>0</v>
      </c>
      <c r="W2881" s="85">
        <f>STATS1003B!W2858/1000</f>
        <v>0</v>
      </c>
      <c r="X2881" s="85">
        <f t="shared" si="303"/>
        <v>25794.330999999998</v>
      </c>
      <c r="Y2881" s="85">
        <f>STATS1003B!Y2858/1000</f>
        <v>0</v>
      </c>
      <c r="Z2881" s="85">
        <f t="shared" si="302"/>
        <v>0</v>
      </c>
      <c r="AA2881" s="69">
        <f>STATS1003B!AA2858/1000</f>
        <v>25794.331739999998</v>
      </c>
      <c r="AB2881" s="69">
        <f>STATS1003B!AB2858/1000</f>
        <v>0</v>
      </c>
    </row>
    <row r="2882" spans="1:28" x14ac:dyDescent="0.3">
      <c r="A2882" s="73" t="s">
        <v>1097</v>
      </c>
      <c r="C2882" s="68" t="s">
        <v>881</v>
      </c>
      <c r="E2882" s="85">
        <f>152151335/1000</f>
        <v>152151.33499999999</v>
      </c>
      <c r="F2882" s="85">
        <f>STATS1003B!F2859/1000</f>
        <v>0</v>
      </c>
      <c r="G2882" s="85">
        <f>STATS1003B!G2859/1000</f>
        <v>0</v>
      </c>
      <c r="H2882" s="85">
        <v>0</v>
      </c>
      <c r="I2882" s="85">
        <f>STATS1003B!I2859/1000</f>
        <v>0</v>
      </c>
      <c r="J2882" s="85">
        <f>STATS1003B!J2859/1000</f>
        <v>0</v>
      </c>
      <c r="K2882" s="85">
        <f>STATS1003B!K2859/1000</f>
        <v>0</v>
      </c>
      <c r="L2882" s="85">
        <f>STATS1003B!L2859/1000</f>
        <v>0</v>
      </c>
      <c r="M2882" s="85">
        <f>STATS1003B!M2859/1000</f>
        <v>0</v>
      </c>
      <c r="N2882" s="85">
        <f>STATS1003B!N2859/1000</f>
        <v>152151.33499999999</v>
      </c>
      <c r="O2882" s="85">
        <f>STATS1003B!O2859/1000</f>
        <v>0</v>
      </c>
      <c r="P2882" s="85">
        <f>152151335/1000</f>
        <v>152151.33499999999</v>
      </c>
      <c r="Q2882" s="85">
        <f>STATS1003B!Q2859/1000</f>
        <v>0</v>
      </c>
      <c r="R2882" s="85">
        <f>STATS1003B!R2859/1000</f>
        <v>0</v>
      </c>
      <c r="S2882" s="85">
        <f>STATS1003B!S2859/1000</f>
        <v>0</v>
      </c>
      <c r="T2882" s="85">
        <f>STATS1003B!T2859/1000</f>
        <v>0</v>
      </c>
      <c r="U2882" s="85">
        <f>STATS1003B!U2859/1000</f>
        <v>152151.33499999999</v>
      </c>
      <c r="V2882" s="85">
        <f>STATS1003B!V2859/1000</f>
        <v>0</v>
      </c>
      <c r="W2882" s="85">
        <f>STATS1003B!W2859/1000</f>
        <v>0</v>
      </c>
      <c r="X2882" s="85">
        <f t="shared" si="303"/>
        <v>152151.33499999999</v>
      </c>
      <c r="Y2882" s="85">
        <f>STATS1003B!Y2859/1000</f>
        <v>0</v>
      </c>
      <c r="Z2882" s="85">
        <f t="shared" si="302"/>
        <v>0</v>
      </c>
      <c r="AA2882" s="69">
        <f>STATS1003B!AA2859/1000</f>
        <v>152151.33499999999</v>
      </c>
      <c r="AB2882" s="69">
        <f>STATS1003B!AB2859/1000</f>
        <v>0</v>
      </c>
    </row>
    <row r="2883" spans="1:28" x14ac:dyDescent="0.3">
      <c r="A2883" s="73"/>
      <c r="C2883" s="68" t="s">
        <v>882</v>
      </c>
      <c r="E2883" s="85">
        <f>35232053/1000</f>
        <v>35232.053</v>
      </c>
      <c r="F2883" s="85">
        <f>STATS1003B!F2860/1000</f>
        <v>0</v>
      </c>
      <c r="G2883" s="85">
        <f>STATS1003B!G2860/1000</f>
        <v>0</v>
      </c>
      <c r="H2883" s="85">
        <v>0</v>
      </c>
      <c r="I2883" s="85">
        <f>STATS1003B!I2860/1000</f>
        <v>0</v>
      </c>
      <c r="J2883" s="85">
        <f>STATS1003B!J2860/1000</f>
        <v>0</v>
      </c>
      <c r="K2883" s="85">
        <f>STATS1003B!K2860/1000</f>
        <v>0</v>
      </c>
      <c r="L2883" s="85">
        <f>STATS1003B!L2860/1000</f>
        <v>0</v>
      </c>
      <c r="M2883" s="85">
        <f>STATS1003B!M2860/1000</f>
        <v>0</v>
      </c>
      <c r="N2883" s="85">
        <f>STATS1003B!N2860/1000</f>
        <v>35232.053</v>
      </c>
      <c r="O2883" s="85">
        <f>STATS1003B!O2860/1000</f>
        <v>0</v>
      </c>
      <c r="P2883" s="85">
        <f>35232053/1000</f>
        <v>35232.053</v>
      </c>
      <c r="Q2883" s="85">
        <f>STATS1003B!Q2860/1000</f>
        <v>0</v>
      </c>
      <c r="R2883" s="85">
        <f>STATS1003B!R2860/1000</f>
        <v>0</v>
      </c>
      <c r="S2883" s="85">
        <f>STATS1003B!S2860/1000</f>
        <v>0</v>
      </c>
      <c r="T2883" s="85">
        <f>STATS1003B!T2860/1000</f>
        <v>0</v>
      </c>
      <c r="U2883" s="85">
        <f>STATS1003B!U2860/1000</f>
        <v>35232.053</v>
      </c>
      <c r="V2883" s="85">
        <f>STATS1003B!V2860/1000</f>
        <v>0</v>
      </c>
      <c r="W2883" s="85">
        <f>STATS1003B!W2860/1000</f>
        <v>0</v>
      </c>
      <c r="X2883" s="85">
        <f t="shared" si="303"/>
        <v>35232.053</v>
      </c>
      <c r="Y2883" s="85">
        <f>STATS1003B!Y2860/1000</f>
        <v>0</v>
      </c>
      <c r="Z2883" s="85">
        <f t="shared" si="302"/>
        <v>0</v>
      </c>
      <c r="AA2883" s="69">
        <f>STATS1003B!AA2860/1000</f>
        <v>35232.053</v>
      </c>
      <c r="AB2883" s="69">
        <f>STATS1003B!AB2860/1000</f>
        <v>0</v>
      </c>
    </row>
    <row r="2884" spans="1:28" x14ac:dyDescent="0.3">
      <c r="A2884" s="73"/>
      <c r="E2884" s="86" t="s">
        <v>29</v>
      </c>
      <c r="F2884" s="86" t="s">
        <v>29</v>
      </c>
      <c r="G2884" s="86" t="s">
        <v>29</v>
      </c>
      <c r="H2884" s="86" t="s">
        <v>29</v>
      </c>
      <c r="I2884" s="86" t="s">
        <v>29</v>
      </c>
      <c r="J2884" s="86" t="s">
        <v>29</v>
      </c>
      <c r="K2884" s="86" t="s">
        <v>29</v>
      </c>
      <c r="L2884" s="86" t="s">
        <v>29</v>
      </c>
      <c r="M2884" s="86" t="s">
        <v>29</v>
      </c>
      <c r="N2884" s="86" t="s">
        <v>29</v>
      </c>
      <c r="O2884" s="86" t="s">
        <v>29</v>
      </c>
      <c r="P2884" s="86" t="s">
        <v>29</v>
      </c>
      <c r="Q2884" s="86" t="s">
        <v>29</v>
      </c>
      <c r="R2884" s="86" t="s">
        <v>29</v>
      </c>
      <c r="S2884" s="86" t="s">
        <v>29</v>
      </c>
      <c r="T2884" s="86" t="s">
        <v>29</v>
      </c>
      <c r="U2884" s="86" t="s">
        <v>29</v>
      </c>
      <c r="V2884" s="86" t="s">
        <v>29</v>
      </c>
      <c r="W2884" s="86" t="s">
        <v>29</v>
      </c>
      <c r="X2884" s="86" t="s">
        <v>29</v>
      </c>
      <c r="Y2884" s="86" t="s">
        <v>29</v>
      </c>
      <c r="Z2884" s="86" t="s">
        <v>29</v>
      </c>
      <c r="AA2884" s="70" t="s">
        <v>29</v>
      </c>
      <c r="AB2884" s="70"/>
    </row>
    <row r="2885" spans="1:28" x14ac:dyDescent="0.3">
      <c r="A2885" s="73"/>
      <c r="E2885" s="139">
        <f>SUM(E2771:E2883)</f>
        <v>16294642.53101</v>
      </c>
      <c r="F2885" s="139">
        <f t="shared" ref="F2885:Y2885" si="304">SUM(F2771:F2883)</f>
        <v>5486815.1096699992</v>
      </c>
      <c r="G2885" s="139">
        <f t="shared" si="304"/>
        <v>107946.47616000001</v>
      </c>
      <c r="H2885" s="139">
        <f>SUM(H2771:H2883)</f>
        <v>15385653.585579995</v>
      </c>
      <c r="I2885" s="139" t="e">
        <f t="shared" si="304"/>
        <v>#VALUE!</v>
      </c>
      <c r="J2885" s="139" t="e">
        <f t="shared" si="304"/>
        <v>#VALUE!</v>
      </c>
      <c r="K2885" s="139" t="e">
        <f t="shared" si="304"/>
        <v>#VALUE!</v>
      </c>
      <c r="L2885" s="139">
        <f t="shared" si="304"/>
        <v>30674.586770000002</v>
      </c>
      <c r="M2885" s="139">
        <f t="shared" si="304"/>
        <v>5621457.3089699987</v>
      </c>
      <c r="N2885" s="139">
        <f t="shared" si="304"/>
        <v>721775.52282999991</v>
      </c>
      <c r="O2885" s="139">
        <f t="shared" si="304"/>
        <v>0</v>
      </c>
      <c r="P2885" s="139">
        <f t="shared" si="304"/>
        <v>721775.01699999999</v>
      </c>
      <c r="Q2885" s="139" t="e">
        <f t="shared" si="304"/>
        <v>#VALUE!</v>
      </c>
      <c r="R2885" s="139" t="e">
        <f t="shared" si="304"/>
        <v>#VALUE!</v>
      </c>
      <c r="S2885" s="139" t="e">
        <f t="shared" si="304"/>
        <v>#VALUE!</v>
      </c>
      <c r="T2885" s="139">
        <f t="shared" si="304"/>
        <v>14597.76937</v>
      </c>
      <c r="U2885" s="139">
        <f t="shared" si="304"/>
        <v>736373.29219999991</v>
      </c>
      <c r="V2885" s="139" t="e">
        <f t="shared" si="304"/>
        <v>#VALUE!</v>
      </c>
      <c r="W2885" s="139" t="e">
        <f t="shared" si="304"/>
        <v>#VALUE!</v>
      </c>
      <c r="X2885" s="139">
        <f>SUM(X2771:X2883)</f>
        <v>16107428.60258</v>
      </c>
      <c r="Y2885" s="139" t="e">
        <f t="shared" si="304"/>
        <v>#VALUE!</v>
      </c>
      <c r="Z2885" s="139">
        <f>187213000/1000+1</f>
        <v>187214</v>
      </c>
      <c r="AA2885" s="140">
        <f>SUM(AA2771:AA2883)</f>
        <v>6357830.6011700006</v>
      </c>
      <c r="AB2885" s="140">
        <f>SUM(AB2771:AB2883)</f>
        <v>141941.6272899998</v>
      </c>
    </row>
    <row r="2886" spans="1:28" x14ac:dyDescent="0.3">
      <c r="A2886" s="73"/>
      <c r="E2886" s="86" t="s">
        <v>114</v>
      </c>
      <c r="F2886" s="86" t="s">
        <v>114</v>
      </c>
      <c r="G2886" s="86" t="s">
        <v>114</v>
      </c>
      <c r="H2886" s="86" t="s">
        <v>114</v>
      </c>
      <c r="I2886" s="86" t="s">
        <v>114</v>
      </c>
      <c r="J2886" s="86" t="s">
        <v>114</v>
      </c>
      <c r="K2886" s="86" t="s">
        <v>114</v>
      </c>
      <c r="L2886" s="86" t="s">
        <v>114</v>
      </c>
      <c r="M2886" s="86" t="s">
        <v>114</v>
      </c>
      <c r="N2886" s="86" t="s">
        <v>114</v>
      </c>
      <c r="O2886" s="86" t="s">
        <v>114</v>
      </c>
      <c r="P2886" s="86" t="s">
        <v>114</v>
      </c>
      <c r="Q2886" s="86" t="s">
        <v>114</v>
      </c>
      <c r="R2886" s="86" t="s">
        <v>114</v>
      </c>
      <c r="S2886" s="86" t="s">
        <v>114</v>
      </c>
      <c r="T2886" s="86" t="s">
        <v>114</v>
      </c>
      <c r="U2886" s="86" t="s">
        <v>114</v>
      </c>
      <c r="V2886" s="86" t="s">
        <v>114</v>
      </c>
      <c r="W2886" s="86" t="s">
        <v>114</v>
      </c>
      <c r="X2886" s="86" t="s">
        <v>114</v>
      </c>
      <c r="Y2886" s="86" t="s">
        <v>114</v>
      </c>
      <c r="Z2886" s="86" t="s">
        <v>114</v>
      </c>
      <c r="AA2886" s="115" t="s">
        <v>114</v>
      </c>
      <c r="AB2886" s="115" t="s">
        <v>114</v>
      </c>
    </row>
    <row r="2887" spans="1:28" x14ac:dyDescent="0.3">
      <c r="A2887" s="73"/>
      <c r="E2887" s="141">
        <f>+E2755-E2885</f>
        <v>0.95240000076591969</v>
      </c>
      <c r="F2887" s="141"/>
      <c r="G2887" s="141"/>
      <c r="H2887" s="141">
        <f t="shared" ref="H2887:Z2887" si="305">+H2755-H2885</f>
        <v>0.24141000770032406</v>
      </c>
      <c r="I2887" s="141" t="e">
        <f t="shared" si="305"/>
        <v>#VALUE!</v>
      </c>
      <c r="J2887" s="141" t="e">
        <f t="shared" si="305"/>
        <v>#VALUE!</v>
      </c>
      <c r="K2887" s="141" t="e">
        <f t="shared" si="305"/>
        <v>#VALUE!</v>
      </c>
      <c r="L2887" s="141">
        <f t="shared" si="305"/>
        <v>0</v>
      </c>
      <c r="M2887" s="141">
        <f t="shared" si="305"/>
        <v>3978.8636280009523</v>
      </c>
      <c r="N2887" s="141">
        <f t="shared" si="305"/>
        <v>0</v>
      </c>
      <c r="O2887" s="141">
        <f t="shared" si="305"/>
        <v>0</v>
      </c>
      <c r="P2887" s="141">
        <f t="shared" si="305"/>
        <v>0.48068000003695488</v>
      </c>
      <c r="Q2887" s="141" t="e">
        <f t="shared" si="305"/>
        <v>#VALUE!</v>
      </c>
      <c r="R2887" s="141" t="e">
        <f t="shared" si="305"/>
        <v>#VALUE!</v>
      </c>
      <c r="S2887" s="141" t="e">
        <f t="shared" si="305"/>
        <v>#VALUE!</v>
      </c>
      <c r="T2887" s="141">
        <f t="shared" si="305"/>
        <v>0</v>
      </c>
      <c r="U2887" s="141">
        <f t="shared" si="305"/>
        <v>-5.0999992527067661E-4</v>
      </c>
      <c r="V2887" s="141" t="e">
        <f t="shared" si="305"/>
        <v>#VALUE!</v>
      </c>
      <c r="W2887" s="141" t="e">
        <f t="shared" si="305"/>
        <v>#VALUE!</v>
      </c>
      <c r="X2887" s="141">
        <f t="shared" si="305"/>
        <v>0.72209000214934349</v>
      </c>
      <c r="Y2887" s="141" t="e">
        <f t="shared" si="305"/>
        <v>#VALUE!</v>
      </c>
      <c r="Z2887" s="141">
        <f t="shared" si="305"/>
        <v>0.15873999893665314</v>
      </c>
    </row>
    <row r="2888" spans="1:28" x14ac:dyDescent="0.3">
      <c r="E2888" s="84"/>
      <c r="F2888" s="84"/>
      <c r="G2888" s="84"/>
      <c r="H2888" s="84"/>
      <c r="I2888" s="84"/>
      <c r="J2888" s="84"/>
      <c r="K2888" s="84"/>
      <c r="L2888" s="84"/>
      <c r="M2888" s="84"/>
      <c r="N2888" s="84"/>
      <c r="O2888" s="84"/>
      <c r="P2888" s="84"/>
      <c r="Q2888" s="84"/>
      <c r="R2888" s="84"/>
      <c r="S2888" s="84"/>
      <c r="T2888" s="84"/>
      <c r="U2888" s="84"/>
      <c r="V2888" s="84"/>
      <c r="W2888" s="84"/>
      <c r="X2888" s="84"/>
      <c r="Y2888" s="84"/>
      <c r="Z2888" s="84"/>
    </row>
    <row r="2889" spans="1:28" x14ac:dyDescent="0.3">
      <c r="C2889" s="6" t="s">
        <v>489</v>
      </c>
      <c r="E2889" s="84"/>
      <c r="F2889" s="84"/>
      <c r="G2889" s="84"/>
      <c r="H2889" s="84" t="s">
        <v>1271</v>
      </c>
      <c r="I2889" s="84"/>
      <c r="J2889" s="84"/>
      <c r="K2889" s="84"/>
      <c r="L2889" s="84"/>
      <c r="M2889" s="84"/>
      <c r="N2889" s="84"/>
      <c r="O2889" s="84"/>
      <c r="P2889" s="84"/>
      <c r="Q2889" s="84"/>
      <c r="R2889" s="84"/>
      <c r="S2889" s="84"/>
      <c r="T2889" s="84"/>
      <c r="U2889" s="84" t="s">
        <v>1057</v>
      </c>
      <c r="V2889" s="84"/>
      <c r="W2889" s="84"/>
      <c r="X2889" s="84"/>
      <c r="Y2889" s="84"/>
      <c r="Z2889" s="84"/>
    </row>
    <row r="2890" spans="1:28" x14ac:dyDescent="0.3">
      <c r="E2890" s="84"/>
      <c r="F2890" s="84"/>
      <c r="G2890" s="84"/>
      <c r="H2890" s="84"/>
      <c r="I2890" s="84"/>
      <c r="J2890" s="84"/>
      <c r="K2890" s="84"/>
      <c r="L2890" s="84"/>
      <c r="M2890" s="84"/>
      <c r="N2890" s="84"/>
      <c r="O2890" s="84"/>
      <c r="P2890" s="84"/>
      <c r="Q2890" s="84"/>
      <c r="R2890" s="84"/>
      <c r="S2890" s="84"/>
      <c r="T2890" s="84"/>
      <c r="U2890" s="84"/>
      <c r="V2890" s="84"/>
      <c r="W2890" s="84"/>
      <c r="X2890" s="84"/>
      <c r="Y2890" s="84"/>
      <c r="Z2890" s="84"/>
    </row>
    <row r="2891" spans="1:28" x14ac:dyDescent="0.3">
      <c r="E2891" s="84"/>
      <c r="F2891" s="84"/>
      <c r="G2891" s="84"/>
      <c r="H2891" s="84"/>
      <c r="I2891" s="84"/>
      <c r="J2891" s="84"/>
      <c r="K2891" s="84"/>
      <c r="L2891" s="84"/>
      <c r="M2891" s="84"/>
      <c r="N2891" s="84"/>
      <c r="O2891" s="84"/>
      <c r="P2891" s="84"/>
      <c r="Q2891" s="84"/>
      <c r="R2891" s="84"/>
      <c r="S2891" s="84"/>
      <c r="T2891" s="84"/>
      <c r="U2891" s="84"/>
      <c r="V2891" s="84"/>
      <c r="W2891" s="84"/>
      <c r="X2891" s="84"/>
      <c r="Y2891" s="84"/>
      <c r="Z2891" s="84"/>
    </row>
    <row r="2892" spans="1:28" x14ac:dyDescent="0.3">
      <c r="C2892" s="6" t="s">
        <v>1056</v>
      </c>
      <c r="E2892" s="84"/>
      <c r="F2892" s="84"/>
      <c r="G2892" s="84"/>
      <c r="H2892" s="84" t="s">
        <v>1100</v>
      </c>
      <c r="I2892" s="84"/>
      <c r="J2892" s="84"/>
      <c r="K2892" s="84"/>
      <c r="L2892" s="84"/>
      <c r="M2892" s="84"/>
      <c r="N2892" s="84"/>
      <c r="O2892" s="84"/>
      <c r="P2892" s="84"/>
      <c r="Q2892" s="84"/>
      <c r="R2892" s="84"/>
      <c r="S2892" s="84"/>
      <c r="T2892" s="84"/>
      <c r="U2892" s="84" t="s">
        <v>1058</v>
      </c>
      <c r="V2892" s="84"/>
      <c r="W2892" s="84"/>
      <c r="X2892" s="84"/>
      <c r="Y2892" s="84"/>
      <c r="Z2892" s="84"/>
    </row>
    <row r="2893" spans="1:28" x14ac:dyDescent="0.3">
      <c r="C2893" s="6" t="s">
        <v>1055</v>
      </c>
      <c r="E2893" s="84"/>
      <c r="F2893" s="84"/>
      <c r="G2893" s="84"/>
      <c r="H2893" s="84" t="s">
        <v>1101</v>
      </c>
      <c r="I2893" s="84"/>
      <c r="J2893" s="84"/>
      <c r="K2893" s="84"/>
      <c r="L2893" s="84"/>
      <c r="M2893" s="84"/>
      <c r="N2893" s="84"/>
      <c r="O2893" s="84"/>
      <c r="P2893" s="84"/>
      <c r="Q2893" s="84"/>
      <c r="R2893" s="84"/>
      <c r="S2893" s="84"/>
      <c r="T2893" s="84"/>
      <c r="U2893" s="84" t="s">
        <v>1059</v>
      </c>
      <c r="V2893" s="84"/>
      <c r="W2893" s="84"/>
      <c r="X2893" s="84"/>
      <c r="Y2893" s="84"/>
      <c r="Z2893" s="84"/>
    </row>
    <row r="2894" spans="1:28" x14ac:dyDescent="0.3">
      <c r="A2894" s="73"/>
      <c r="E2894" s="84"/>
      <c r="F2894" s="84"/>
      <c r="G2894" s="84"/>
      <c r="H2894" s="84"/>
      <c r="I2894" s="84"/>
      <c r="J2894" s="84"/>
      <c r="K2894" s="84"/>
      <c r="L2894" s="84"/>
      <c r="M2894" s="84"/>
      <c r="N2894" s="84"/>
      <c r="O2894" s="84"/>
      <c r="P2894" s="84"/>
      <c r="Q2894" s="84"/>
      <c r="R2894" s="84"/>
      <c r="S2894" s="84"/>
      <c r="T2894" s="84"/>
      <c r="U2894" s="84"/>
      <c r="V2894" s="84"/>
      <c r="W2894" s="84"/>
      <c r="X2894" s="84"/>
      <c r="Y2894" s="84"/>
      <c r="Z2894" s="84"/>
    </row>
    <row r="2895" spans="1:28" x14ac:dyDescent="0.3">
      <c r="A2895" s="73"/>
      <c r="E2895" s="84"/>
      <c r="F2895" s="84"/>
      <c r="G2895" s="84"/>
      <c r="H2895" s="84"/>
      <c r="I2895" s="84"/>
      <c r="J2895" s="84"/>
      <c r="K2895" s="84"/>
      <c r="L2895" s="84"/>
      <c r="M2895" s="84"/>
      <c r="N2895" s="84"/>
      <c r="O2895" s="84"/>
      <c r="P2895" s="84"/>
      <c r="Q2895" s="84"/>
      <c r="R2895" s="84"/>
      <c r="S2895" s="84"/>
      <c r="T2895" s="84"/>
      <c r="U2895" s="84"/>
      <c r="V2895" s="84"/>
      <c r="W2895" s="84"/>
      <c r="X2895" s="84"/>
      <c r="Y2895" s="84"/>
      <c r="Z2895" s="84"/>
    </row>
    <row r="2896" spans="1:28" x14ac:dyDescent="0.3">
      <c r="A2896" s="73"/>
      <c r="E2896" s="84"/>
      <c r="F2896" s="84"/>
      <c r="G2896" s="84"/>
      <c r="H2896" s="84"/>
      <c r="I2896" s="84"/>
      <c r="J2896" s="84"/>
      <c r="K2896" s="84"/>
      <c r="L2896" s="84"/>
      <c r="M2896" s="84"/>
      <c r="N2896" s="84"/>
      <c r="O2896" s="84"/>
      <c r="P2896" s="84"/>
      <c r="Q2896" s="84"/>
      <c r="R2896" s="84"/>
      <c r="S2896" s="84"/>
      <c r="T2896" s="84"/>
      <c r="U2896" s="84"/>
      <c r="V2896" s="84"/>
      <c r="W2896" s="84"/>
      <c r="X2896" s="84"/>
      <c r="Y2896" s="84"/>
      <c r="Z2896" s="84"/>
    </row>
    <row r="2897" spans="1:28" x14ac:dyDescent="0.3">
      <c r="A2897" s="73"/>
      <c r="E2897" s="84"/>
      <c r="F2897" s="84"/>
      <c r="G2897" s="84"/>
      <c r="H2897" s="84"/>
      <c r="I2897" s="84"/>
      <c r="J2897" s="84"/>
      <c r="K2897" s="84"/>
      <c r="L2897" s="84"/>
      <c r="M2897" s="84"/>
      <c r="N2897" s="84"/>
      <c r="O2897" s="84"/>
      <c r="P2897" s="84"/>
      <c r="Q2897" s="84"/>
      <c r="R2897" s="84"/>
      <c r="S2897" s="84"/>
      <c r="T2897" s="84"/>
      <c r="U2897" s="84"/>
      <c r="V2897" s="84"/>
      <c r="W2897" s="84"/>
      <c r="X2897" s="84"/>
      <c r="Y2897" s="84"/>
      <c r="Z2897" s="84"/>
    </row>
    <row r="2898" spans="1:28" x14ac:dyDescent="0.3">
      <c r="A2898" s="73"/>
      <c r="E2898" s="84"/>
      <c r="F2898" s="84"/>
      <c r="G2898" s="84"/>
      <c r="H2898" s="84"/>
      <c r="I2898" s="84"/>
      <c r="J2898" s="84"/>
      <c r="K2898" s="84"/>
      <c r="L2898" s="84"/>
      <c r="M2898" s="84"/>
      <c r="N2898" s="84"/>
      <c r="O2898" s="84"/>
      <c r="P2898" s="84"/>
      <c r="Q2898" s="84"/>
      <c r="R2898" s="84"/>
      <c r="S2898" s="84"/>
      <c r="T2898" s="84"/>
      <c r="U2898" s="84"/>
      <c r="V2898" s="84"/>
      <c r="W2898" s="84"/>
      <c r="X2898" s="84"/>
      <c r="Y2898" s="84"/>
      <c r="Z2898" s="84"/>
    </row>
    <row r="2899" spans="1:28" x14ac:dyDescent="0.3">
      <c r="A2899" s="73"/>
      <c r="E2899" s="84"/>
      <c r="F2899" s="84"/>
      <c r="G2899" s="84"/>
      <c r="H2899" s="84" t="s">
        <v>1272</v>
      </c>
      <c r="I2899" s="84"/>
      <c r="J2899" s="84"/>
      <c r="K2899" s="84"/>
      <c r="L2899" s="84"/>
      <c r="M2899" s="84"/>
      <c r="N2899" s="84"/>
      <c r="O2899" s="84"/>
      <c r="P2899" s="84"/>
      <c r="Q2899" s="84"/>
      <c r="R2899" s="84"/>
      <c r="S2899" s="84"/>
      <c r="T2899" s="84"/>
      <c r="U2899" s="84"/>
      <c r="V2899" s="84"/>
      <c r="W2899" s="84"/>
      <c r="X2899" s="84"/>
      <c r="Y2899" s="84"/>
      <c r="Z2899" s="84"/>
      <c r="AB2899" s="68"/>
    </row>
    <row r="2900" spans="1:28" x14ac:dyDescent="0.3">
      <c r="A2900" s="73"/>
      <c r="E2900" s="84"/>
      <c r="F2900" s="84"/>
      <c r="G2900" s="84"/>
      <c r="H2900" s="84"/>
      <c r="I2900" s="84"/>
      <c r="J2900" s="84"/>
      <c r="K2900" s="84"/>
      <c r="L2900" s="84"/>
      <c r="M2900" s="84"/>
      <c r="N2900" s="84"/>
      <c r="O2900" s="84"/>
      <c r="P2900" s="84"/>
      <c r="Q2900" s="84"/>
      <c r="R2900" s="84"/>
      <c r="S2900" s="84"/>
      <c r="T2900" s="84"/>
      <c r="U2900" s="84"/>
      <c r="V2900" s="84"/>
      <c r="W2900" s="84"/>
      <c r="X2900" s="84"/>
      <c r="Y2900" s="84"/>
      <c r="Z2900" s="84"/>
    </row>
    <row r="2901" spans="1:28" x14ac:dyDescent="0.3">
      <c r="A2901" s="73"/>
      <c r="E2901" s="84"/>
      <c r="F2901" s="84"/>
      <c r="G2901" s="84"/>
      <c r="H2901" s="84"/>
      <c r="I2901" s="84"/>
      <c r="J2901" s="84"/>
      <c r="K2901" s="84"/>
      <c r="L2901" s="84"/>
      <c r="M2901" s="84"/>
      <c r="N2901" s="84"/>
      <c r="O2901" s="84"/>
      <c r="P2901" s="84"/>
      <c r="Q2901" s="84"/>
      <c r="R2901" s="84"/>
      <c r="S2901" s="84"/>
      <c r="T2901" s="84"/>
      <c r="U2901" s="84"/>
      <c r="V2901" s="84"/>
      <c r="W2901" s="84"/>
      <c r="X2901" s="84"/>
      <c r="Y2901" s="84"/>
      <c r="Z2901" s="84"/>
    </row>
    <row r="2902" spans="1:28" x14ac:dyDescent="0.3">
      <c r="A2902" s="73"/>
      <c r="E2902" s="84"/>
      <c r="F2902" s="84"/>
      <c r="G2902" s="84"/>
      <c r="H2902" s="84"/>
      <c r="I2902" s="84"/>
      <c r="J2902" s="84"/>
      <c r="K2902" s="84"/>
      <c r="L2902" s="84"/>
      <c r="M2902" s="84"/>
      <c r="N2902" s="84"/>
      <c r="O2902" s="84"/>
      <c r="P2902" s="84"/>
      <c r="Q2902" s="84"/>
      <c r="R2902" s="84"/>
      <c r="S2902" s="84"/>
      <c r="T2902" s="84"/>
      <c r="U2902" s="84"/>
      <c r="V2902" s="84"/>
      <c r="W2902" s="84"/>
      <c r="X2902" s="84"/>
      <c r="Y2902" s="84"/>
      <c r="Z2902" s="84"/>
    </row>
    <row r="2903" spans="1:28" x14ac:dyDescent="0.3">
      <c r="A2903" s="73"/>
      <c r="E2903" s="84"/>
      <c r="F2903" s="84"/>
      <c r="G2903" s="84"/>
      <c r="H2903" s="84" t="s">
        <v>1270</v>
      </c>
      <c r="I2903" s="84"/>
      <c r="J2903" s="84"/>
      <c r="K2903" s="84"/>
      <c r="L2903" s="84"/>
      <c r="M2903" s="84"/>
      <c r="N2903" s="84"/>
      <c r="O2903" s="84"/>
      <c r="P2903" s="84"/>
      <c r="Q2903" s="84"/>
      <c r="R2903" s="84"/>
      <c r="S2903" s="84"/>
      <c r="T2903" s="84"/>
      <c r="U2903" s="84"/>
      <c r="V2903" s="84"/>
      <c r="W2903" s="84"/>
      <c r="X2903" s="84"/>
      <c r="Y2903" s="84"/>
      <c r="Z2903" s="84"/>
    </row>
    <row r="2904" spans="1:28" x14ac:dyDescent="0.3">
      <c r="A2904" s="73"/>
      <c r="E2904" s="84"/>
      <c r="F2904" s="84"/>
      <c r="G2904" s="84"/>
      <c r="H2904" s="84" t="s">
        <v>1059</v>
      </c>
      <c r="I2904" s="84"/>
      <c r="J2904" s="84"/>
      <c r="K2904" s="84"/>
      <c r="L2904" s="84"/>
      <c r="M2904" s="84"/>
      <c r="N2904" s="84"/>
      <c r="O2904" s="84"/>
      <c r="P2904" s="84"/>
      <c r="Q2904" s="84"/>
      <c r="R2904" s="84"/>
      <c r="S2904" s="84"/>
      <c r="T2904" s="84"/>
      <c r="U2904" s="84"/>
      <c r="V2904" s="84"/>
      <c r="W2904" s="84"/>
      <c r="X2904" s="84"/>
      <c r="Y2904" s="84"/>
      <c r="Z2904" s="84"/>
    </row>
    <row r="2905" spans="1:28" x14ac:dyDescent="0.3">
      <c r="A2905" s="73"/>
      <c r="E2905" s="84"/>
      <c r="F2905" s="84"/>
      <c r="G2905" s="84"/>
      <c r="H2905" s="84"/>
      <c r="I2905" s="84"/>
      <c r="J2905" s="84"/>
      <c r="K2905" s="84"/>
      <c r="L2905" s="84"/>
      <c r="M2905" s="84"/>
      <c r="N2905" s="84"/>
      <c r="O2905" s="84"/>
      <c r="P2905" s="84"/>
      <c r="Q2905" s="84"/>
      <c r="R2905" s="84"/>
      <c r="S2905" s="84"/>
      <c r="T2905" s="84"/>
      <c r="U2905" s="84"/>
      <c r="V2905" s="84"/>
      <c r="W2905" s="84"/>
      <c r="X2905" s="84"/>
      <c r="Y2905" s="84"/>
      <c r="Z2905" s="84"/>
    </row>
    <row r="2906" spans="1:28" x14ac:dyDescent="0.3">
      <c r="A2906" s="73"/>
      <c r="E2906" s="84"/>
      <c r="F2906" s="84"/>
      <c r="G2906" s="84"/>
      <c r="H2906" s="84"/>
      <c r="I2906" s="84"/>
      <c r="J2906" s="84"/>
      <c r="K2906" s="84"/>
      <c r="L2906" s="84"/>
      <c r="M2906" s="84"/>
      <c r="N2906" s="84"/>
      <c r="O2906" s="84"/>
      <c r="P2906" s="84"/>
      <c r="Q2906" s="84"/>
      <c r="R2906" s="84"/>
      <c r="S2906" s="84"/>
      <c r="T2906" s="84"/>
      <c r="U2906" s="84"/>
      <c r="V2906" s="84"/>
      <c r="W2906" s="84"/>
      <c r="X2906" s="84"/>
      <c r="Y2906" s="84"/>
      <c r="Z2906" s="84"/>
      <c r="AB2906" s="68"/>
    </row>
    <row r="2907" spans="1:28" x14ac:dyDescent="0.3">
      <c r="A2907" s="73"/>
      <c r="C2907" s="115"/>
      <c r="D2907" s="115"/>
      <c r="E2907" s="86"/>
      <c r="F2907" s="86"/>
      <c r="G2907" s="86"/>
      <c r="H2907" s="86"/>
      <c r="I2907" s="86"/>
      <c r="J2907" s="86"/>
      <c r="K2907" s="86"/>
      <c r="L2907" s="86"/>
      <c r="M2907" s="86"/>
      <c r="N2907" s="86"/>
      <c r="O2907" s="86"/>
      <c r="P2907" s="86"/>
      <c r="Q2907" s="86"/>
      <c r="R2907" s="86"/>
      <c r="S2907" s="86"/>
      <c r="T2907" s="86"/>
      <c r="U2907" s="86"/>
      <c r="V2907" s="86"/>
      <c r="W2907" s="86"/>
      <c r="X2907" s="86"/>
      <c r="Y2907" s="86"/>
      <c r="Z2907" s="86"/>
    </row>
    <row r="2908" spans="1:28" x14ac:dyDescent="0.3">
      <c r="A2908" s="73" t="s">
        <v>1115</v>
      </c>
      <c r="B2908" s="68" t="s">
        <v>499</v>
      </c>
      <c r="E2908" s="84"/>
      <c r="F2908" s="84"/>
      <c r="G2908" s="84"/>
      <c r="H2908" s="84"/>
      <c r="I2908" s="84"/>
      <c r="J2908" s="84"/>
      <c r="K2908" s="84"/>
      <c r="L2908" s="84"/>
      <c r="M2908" s="84"/>
      <c r="N2908" s="84"/>
      <c r="O2908" s="84"/>
      <c r="P2908" s="84"/>
      <c r="Q2908" s="84"/>
      <c r="R2908" s="84"/>
      <c r="S2908" s="84"/>
      <c r="T2908" s="84"/>
      <c r="U2908" s="84"/>
      <c r="V2908" s="84"/>
      <c r="W2908" s="84"/>
      <c r="X2908" s="84"/>
      <c r="Y2908" s="84"/>
      <c r="Z2908" s="84"/>
    </row>
    <row r="2909" spans="1:28" x14ac:dyDescent="0.3">
      <c r="A2909" s="73"/>
      <c r="B2909" s="69" t="str">
        <f>+B3</f>
        <v>as</v>
      </c>
      <c r="C2909" s="6" t="str">
        <f>+C3</f>
        <v>of November 30, 2012</v>
      </c>
      <c r="E2909" s="84"/>
      <c r="F2909" s="84"/>
      <c r="G2909" s="84"/>
      <c r="H2909" s="84"/>
      <c r="I2909" s="84"/>
      <c r="J2909" s="84"/>
      <c r="K2909" s="84"/>
      <c r="L2909" s="84"/>
      <c r="M2909" s="84"/>
      <c r="N2909" s="84"/>
      <c r="O2909" s="84"/>
      <c r="P2909" s="84"/>
      <c r="Q2909" s="84"/>
      <c r="R2909" s="84"/>
      <c r="S2909" s="84"/>
      <c r="T2909" s="84"/>
      <c r="U2909" s="84"/>
      <c r="V2909" s="84"/>
      <c r="W2909" s="84"/>
      <c r="X2909" s="84"/>
      <c r="Y2909" s="84"/>
      <c r="Z2909" s="84"/>
    </row>
    <row r="2910" spans="1:28" x14ac:dyDescent="0.3">
      <c r="A2910" s="73"/>
      <c r="C2910" s="69"/>
      <c r="E2910" s="84"/>
      <c r="F2910" s="84"/>
      <c r="G2910" s="84"/>
      <c r="H2910" s="84"/>
      <c r="I2910" s="84"/>
      <c r="J2910" s="84"/>
      <c r="K2910" s="84"/>
      <c r="L2910" s="84"/>
      <c r="M2910" s="84"/>
      <c r="N2910" s="84"/>
      <c r="O2910" s="84"/>
      <c r="P2910" s="84"/>
      <c r="Q2910" s="84"/>
      <c r="R2910" s="84"/>
      <c r="S2910" s="84"/>
      <c r="T2910" s="84"/>
      <c r="U2910" s="84"/>
      <c r="V2910" s="84"/>
      <c r="W2910" s="84"/>
      <c r="X2910" s="84"/>
      <c r="Y2910" s="84"/>
      <c r="Z2910" s="84"/>
    </row>
    <row r="2911" spans="1:28" x14ac:dyDescent="0.3">
      <c r="A2911" s="73"/>
      <c r="E2911" s="84"/>
      <c r="F2911" s="84"/>
      <c r="G2911" s="84"/>
      <c r="H2911" s="84"/>
      <c r="I2911" s="84"/>
      <c r="J2911" s="84"/>
      <c r="K2911" s="84"/>
      <c r="L2911" s="84"/>
      <c r="M2911" s="84"/>
      <c r="N2911" s="84"/>
      <c r="O2911" s="84"/>
      <c r="P2911" s="84"/>
      <c r="Q2911" s="84"/>
      <c r="R2911" s="84"/>
      <c r="S2911" s="84"/>
      <c r="T2911" s="84"/>
      <c r="U2911" s="84"/>
      <c r="V2911" s="84"/>
      <c r="W2911" s="84"/>
      <c r="X2911" s="84"/>
      <c r="Y2911" s="84"/>
      <c r="Z2911" s="84"/>
    </row>
    <row r="2912" spans="1:28" x14ac:dyDescent="0.3">
      <c r="A2912" s="73"/>
      <c r="D2912" s="142" t="s">
        <v>0</v>
      </c>
      <c r="E2912" s="84"/>
      <c r="F2912" s="84"/>
      <c r="G2912" s="84"/>
      <c r="H2912" s="84"/>
      <c r="I2912" s="84"/>
      <c r="J2912" s="84"/>
      <c r="K2912" s="84"/>
      <c r="L2912" s="84"/>
      <c r="M2912" s="84"/>
      <c r="N2912" s="84"/>
      <c r="O2912" s="84"/>
      <c r="P2912" s="84"/>
      <c r="Q2912" s="84"/>
      <c r="R2912" s="84"/>
      <c r="S2912" s="84"/>
      <c r="T2912" s="84"/>
      <c r="U2912" s="84"/>
      <c r="V2912" s="84"/>
      <c r="W2912" s="84"/>
      <c r="X2912" s="84"/>
      <c r="Y2912" s="84"/>
      <c r="Z2912" s="84"/>
      <c r="AA2912" s="108" t="s">
        <v>1109</v>
      </c>
      <c r="AB2912" s="108" t="s">
        <v>5</v>
      </c>
    </row>
    <row r="2913" spans="1:28" x14ac:dyDescent="0.3">
      <c r="A2913" s="73"/>
      <c r="D2913" s="142" t="s">
        <v>6</v>
      </c>
      <c r="G2913" s="145" t="s">
        <v>1</v>
      </c>
      <c r="H2913" s="69"/>
      <c r="I2913" s="145" t="s">
        <v>2</v>
      </c>
      <c r="K2913" s="145" t="s">
        <v>2</v>
      </c>
      <c r="L2913" s="145" t="s">
        <v>3</v>
      </c>
      <c r="M2913" s="145" t="s">
        <v>3</v>
      </c>
      <c r="O2913" s="145" t="s">
        <v>4</v>
      </c>
      <c r="P2913" s="69"/>
      <c r="S2913" s="145" t="s">
        <v>2</v>
      </c>
      <c r="T2913" s="145" t="s">
        <v>3</v>
      </c>
      <c r="U2913" s="145" t="s">
        <v>3</v>
      </c>
      <c r="V2913" s="145" t="s">
        <v>3</v>
      </c>
      <c r="W2913" s="145" t="s">
        <v>5</v>
      </c>
      <c r="X2913" s="145" t="s">
        <v>3</v>
      </c>
      <c r="Y2913" s="145" t="s">
        <v>2</v>
      </c>
      <c r="Z2913" s="145" t="s">
        <v>5</v>
      </c>
      <c r="AA2913" s="108" t="s">
        <v>9</v>
      </c>
      <c r="AB2913" s="108" t="s">
        <v>14</v>
      </c>
    </row>
    <row r="2914" spans="1:28" x14ac:dyDescent="0.3">
      <c r="A2914" s="73"/>
      <c r="C2914" s="145"/>
      <c r="D2914" s="142" t="s">
        <v>17</v>
      </c>
      <c r="E2914" s="145" t="s">
        <v>7</v>
      </c>
      <c r="F2914" s="145" t="s">
        <v>8</v>
      </c>
      <c r="G2914" s="145" t="s">
        <v>9</v>
      </c>
      <c r="H2914" s="146" t="s">
        <v>1282</v>
      </c>
      <c r="I2914" s="146"/>
      <c r="J2914" s="146"/>
      <c r="K2914" s="146"/>
      <c r="L2914" s="146"/>
      <c r="M2914" s="146"/>
      <c r="N2914" s="146"/>
      <c r="O2914" s="146"/>
      <c r="P2914" s="146"/>
      <c r="Q2914" s="145" t="s">
        <v>2</v>
      </c>
      <c r="R2914" s="145" t="s">
        <v>11</v>
      </c>
      <c r="S2914" s="145" t="s">
        <v>12</v>
      </c>
      <c r="T2914" s="145" t="s">
        <v>13</v>
      </c>
      <c r="U2914" s="145" t="s">
        <v>13</v>
      </c>
      <c r="V2914" s="145" t="s">
        <v>9</v>
      </c>
      <c r="W2914" s="145" t="s">
        <v>14</v>
      </c>
      <c r="X2914" s="145" t="s">
        <v>9</v>
      </c>
      <c r="Y2914" s="145" t="s">
        <v>15</v>
      </c>
      <c r="Z2914" s="145" t="s">
        <v>14</v>
      </c>
      <c r="AA2914" s="111" t="s">
        <v>1110</v>
      </c>
      <c r="AB2914" s="111" t="s">
        <v>1110</v>
      </c>
    </row>
    <row r="2915" spans="1:28" x14ac:dyDescent="0.3">
      <c r="A2915" s="73"/>
      <c r="C2915" s="90"/>
      <c r="D2915" s="143" t="s">
        <v>29</v>
      </c>
      <c r="E2915" s="109" t="s">
        <v>18</v>
      </c>
      <c r="F2915" s="109" t="s">
        <v>1254</v>
      </c>
      <c r="G2915" s="109" t="s">
        <v>19</v>
      </c>
      <c r="H2915" s="109" t="s">
        <v>1</v>
      </c>
      <c r="I2915" s="109" t="s">
        <v>21</v>
      </c>
      <c r="J2915" s="109" t="s">
        <v>22</v>
      </c>
      <c r="K2915" s="109" t="s">
        <v>21</v>
      </c>
      <c r="L2915" s="109" t="s">
        <v>2</v>
      </c>
      <c r="M2915" s="109" t="s">
        <v>9</v>
      </c>
      <c r="N2915" s="109" t="str">
        <f>+F2915</f>
        <v>AS OF 04/30/06</v>
      </c>
      <c r="O2915" s="109" t="s">
        <v>21</v>
      </c>
      <c r="P2915" s="109" t="s">
        <v>1268</v>
      </c>
      <c r="Q2915" s="109" t="s">
        <v>23</v>
      </c>
      <c r="R2915" s="109" t="s">
        <v>24</v>
      </c>
      <c r="S2915" s="109" t="s">
        <v>21</v>
      </c>
      <c r="T2915" s="109" t="s">
        <v>2</v>
      </c>
      <c r="U2915" s="109" t="s">
        <v>9</v>
      </c>
      <c r="V2915" s="109" t="s">
        <v>25</v>
      </c>
      <c r="W2915" s="110" t="s">
        <v>26</v>
      </c>
      <c r="X2915" s="111" t="s">
        <v>1113</v>
      </c>
      <c r="Y2915" s="109" t="s">
        <v>27</v>
      </c>
      <c r="Z2915" s="111" t="s">
        <v>1113</v>
      </c>
      <c r="AA2915" s="93"/>
      <c r="AB2915" s="68"/>
    </row>
    <row r="2916" spans="1:28" x14ac:dyDescent="0.3">
      <c r="A2916" s="73"/>
      <c r="E2916" s="130"/>
      <c r="F2916" s="138"/>
      <c r="G2916" s="130"/>
      <c r="H2916" s="138"/>
      <c r="I2916" s="130"/>
      <c r="J2916" s="130"/>
      <c r="K2916" s="130"/>
      <c r="L2916" s="138"/>
      <c r="M2916" s="130"/>
      <c r="N2916" s="86"/>
      <c r="O2916" s="130"/>
      <c r="P2916" s="130"/>
      <c r="Q2916" s="130"/>
      <c r="R2916" s="130"/>
      <c r="S2916" s="130"/>
      <c r="T2916" s="138"/>
      <c r="U2916" s="130"/>
      <c r="V2916" s="130"/>
      <c r="W2916" s="130"/>
      <c r="X2916" s="130"/>
      <c r="Y2916" s="130"/>
      <c r="Z2916" s="130"/>
    </row>
    <row r="2917" spans="1:28" x14ac:dyDescent="0.3">
      <c r="A2917" s="73"/>
      <c r="C2917" s="68" t="s">
        <v>500</v>
      </c>
      <c r="E2917" s="85">
        <f t="shared" ref="E2917:AB2917" si="306">+E132</f>
        <v>671112.05825</v>
      </c>
      <c r="F2917" s="85">
        <f t="shared" si="306"/>
        <v>273117.14243000001</v>
      </c>
      <c r="G2917" s="85">
        <f t="shared" si="306"/>
        <v>0</v>
      </c>
      <c r="H2917" s="85">
        <f t="shared" si="306"/>
        <v>590333.13694</v>
      </c>
      <c r="I2917" s="85">
        <f t="shared" si="306"/>
        <v>1122</v>
      </c>
      <c r="J2917" s="85">
        <f t="shared" si="306"/>
        <v>1122</v>
      </c>
      <c r="K2917" s="85">
        <f t="shared" si="306"/>
        <v>0</v>
      </c>
      <c r="L2917" s="85">
        <f t="shared" si="306"/>
        <v>0</v>
      </c>
      <c r="M2917" s="85">
        <f t="shared" si="306"/>
        <v>273117.14243000001</v>
      </c>
      <c r="N2917" s="85">
        <f t="shared" si="306"/>
        <v>75916.920410000006</v>
      </c>
      <c r="O2917" s="85">
        <f t="shared" si="306"/>
        <v>0</v>
      </c>
      <c r="P2917" s="85">
        <f t="shared" si="306"/>
        <v>75916.918700000009</v>
      </c>
      <c r="Q2917" s="85">
        <f t="shared" si="306"/>
        <v>0</v>
      </c>
      <c r="R2917" s="85">
        <f t="shared" si="306"/>
        <v>0</v>
      </c>
      <c r="S2917" s="85">
        <f t="shared" si="306"/>
        <v>31.498429999999999</v>
      </c>
      <c r="T2917" s="85">
        <f t="shared" si="306"/>
        <v>29.618009999999998</v>
      </c>
      <c r="U2917" s="85">
        <f t="shared" si="306"/>
        <v>75946.538419999997</v>
      </c>
      <c r="V2917" s="85">
        <f t="shared" si="306"/>
        <v>345796.12938</v>
      </c>
      <c r="W2917" s="85">
        <f t="shared" si="306"/>
        <v>4862.0008999999991</v>
      </c>
      <c r="X2917" s="85">
        <f t="shared" si="306"/>
        <v>666250.05563999992</v>
      </c>
      <c r="Y2917" s="85">
        <f t="shared" si="306"/>
        <v>0</v>
      </c>
      <c r="Z2917" s="85">
        <f t="shared" si="306"/>
        <v>4862.002610000025</v>
      </c>
      <c r="AA2917" s="69">
        <f t="shared" si="306"/>
        <v>349063.68085000006</v>
      </c>
      <c r="AB2917" s="69">
        <f t="shared" si="306"/>
        <v>4832.382889999999</v>
      </c>
    </row>
    <row r="2918" spans="1:28" x14ac:dyDescent="0.3">
      <c r="A2918" s="73"/>
      <c r="E2918" s="84"/>
      <c r="F2918" s="84"/>
      <c r="G2918" s="84"/>
      <c r="H2918" s="84"/>
      <c r="I2918" s="84"/>
      <c r="J2918" s="84"/>
      <c r="K2918" s="84"/>
      <c r="L2918" s="84"/>
      <c r="M2918" s="84"/>
      <c r="N2918" s="84"/>
      <c r="O2918" s="84"/>
      <c r="P2918" s="84"/>
      <c r="Q2918" s="84"/>
      <c r="R2918" s="84"/>
      <c r="S2918" s="84"/>
      <c r="T2918" s="84"/>
      <c r="U2918" s="84"/>
      <c r="V2918" s="84"/>
      <c r="W2918" s="84"/>
      <c r="X2918" s="84"/>
      <c r="Y2918" s="84"/>
      <c r="Z2918" s="84"/>
    </row>
    <row r="2919" spans="1:28" x14ac:dyDescent="0.3">
      <c r="A2919" s="73"/>
      <c r="C2919" s="68" t="s">
        <v>501</v>
      </c>
      <c r="E2919" s="85">
        <f t="shared" ref="E2919:X2919" si="307">+E237</f>
        <v>594406.06473999994</v>
      </c>
      <c r="F2919" s="85">
        <f t="shared" si="307"/>
        <v>197713.06322000001</v>
      </c>
      <c r="G2919" s="85">
        <f t="shared" si="307"/>
        <v>0</v>
      </c>
      <c r="H2919" s="85">
        <f t="shared" si="307"/>
        <v>536505.72459999996</v>
      </c>
      <c r="I2919" s="85">
        <f t="shared" si="307"/>
        <v>127959.68300000002</v>
      </c>
      <c r="J2919" s="85">
        <f t="shared" si="307"/>
        <v>2729.4740000000002</v>
      </c>
      <c r="K2919" s="85">
        <f t="shared" si="307"/>
        <v>130689.15700000001</v>
      </c>
      <c r="L2919" s="85">
        <f t="shared" si="307"/>
        <v>2729.4740000000002</v>
      </c>
      <c r="M2919" s="85">
        <f t="shared" si="307"/>
        <v>200442.53722</v>
      </c>
      <c r="N2919" s="85">
        <f t="shared" si="307"/>
        <v>53078.531840000003</v>
      </c>
      <c r="O2919" s="85">
        <f t="shared" si="307"/>
        <v>0</v>
      </c>
      <c r="P2919" s="85">
        <f t="shared" si="307"/>
        <v>53078.531040000002</v>
      </c>
      <c r="Q2919" s="85">
        <f t="shared" si="307"/>
        <v>140334.35609000002</v>
      </c>
      <c r="R2919" s="85">
        <f t="shared" si="307"/>
        <v>-63833.191310000009</v>
      </c>
      <c r="S2919" s="85">
        <f t="shared" si="307"/>
        <v>0</v>
      </c>
      <c r="T2919" s="85">
        <f t="shared" si="307"/>
        <v>11.57367</v>
      </c>
      <c r="U2919" s="85">
        <f t="shared" si="307"/>
        <v>53090.105510000009</v>
      </c>
      <c r="V2919" s="85">
        <f t="shared" si="307"/>
        <v>211172.06324000002</v>
      </c>
      <c r="W2919" s="85">
        <f t="shared" si="307"/>
        <v>29216.149729999997</v>
      </c>
      <c r="X2919" s="85">
        <f t="shared" si="307"/>
        <v>589584.25563999999</v>
      </c>
      <c r="Y2919" s="85">
        <f>+Y134</f>
        <v>0</v>
      </c>
      <c r="Z2919" s="85">
        <f>+Z237</f>
        <v>4821.8091000000059</v>
      </c>
      <c r="AA2919" s="69">
        <f>+AA237</f>
        <v>253532.64272999999</v>
      </c>
      <c r="AB2919" s="69">
        <f>+AB237</f>
        <v>2080.7606299999984</v>
      </c>
    </row>
    <row r="2920" spans="1:28" x14ac:dyDescent="0.3">
      <c r="A2920" s="73"/>
      <c r="C2920" s="68"/>
      <c r="E2920" s="85"/>
      <c r="F2920" s="85"/>
      <c r="G2920" s="85"/>
      <c r="H2920" s="85"/>
      <c r="I2920" s="85"/>
      <c r="J2920" s="85"/>
      <c r="K2920" s="85"/>
      <c r="L2920" s="85"/>
      <c r="M2920" s="85"/>
      <c r="N2920" s="85"/>
      <c r="O2920" s="85"/>
      <c r="P2920" s="85"/>
      <c r="Q2920" s="85"/>
      <c r="R2920" s="85"/>
      <c r="S2920" s="85"/>
      <c r="T2920" s="85"/>
      <c r="U2920" s="85"/>
      <c r="V2920" s="85"/>
      <c r="W2920" s="85"/>
      <c r="X2920" s="85"/>
      <c r="Y2920" s="85"/>
      <c r="Z2920" s="85"/>
      <c r="AA2920" s="69"/>
      <c r="AB2920" s="69"/>
    </row>
    <row r="2921" spans="1:28" x14ac:dyDescent="0.3">
      <c r="A2921" s="73"/>
      <c r="C2921" s="6" t="s">
        <v>919</v>
      </c>
      <c r="E2921" s="84">
        <f t="shared" ref="E2921:X2921" si="308">+E421</f>
        <v>761164.22707000002</v>
      </c>
      <c r="F2921" s="84">
        <f t="shared" si="308"/>
        <v>250971.04403000002</v>
      </c>
      <c r="G2921" s="84">
        <f t="shared" si="308"/>
        <v>0</v>
      </c>
      <c r="H2921" s="84">
        <f t="shared" si="308"/>
        <v>702693.30925000005</v>
      </c>
      <c r="I2921" s="84" t="e">
        <f t="shared" si="308"/>
        <v>#VALUE!</v>
      </c>
      <c r="J2921" s="84">
        <f t="shared" si="308"/>
        <v>226900.59595000002</v>
      </c>
      <c r="K2921" s="84">
        <f t="shared" si="308"/>
        <v>53407.78813999999</v>
      </c>
      <c r="L2921" s="84">
        <f t="shared" si="308"/>
        <v>3439.4380000000001</v>
      </c>
      <c r="M2921" s="84">
        <f t="shared" si="308"/>
        <v>254410.48203000001</v>
      </c>
      <c r="N2921" s="84">
        <f t="shared" si="308"/>
        <v>53431.510840000003</v>
      </c>
      <c r="O2921" s="84">
        <f t="shared" si="308"/>
        <v>0</v>
      </c>
      <c r="P2921" s="84">
        <f t="shared" si="308"/>
        <v>53431.507000000005</v>
      </c>
      <c r="Q2921" s="84">
        <f t="shared" si="308"/>
        <v>27061.636740000002</v>
      </c>
      <c r="R2921" s="84">
        <f t="shared" si="308"/>
        <v>0</v>
      </c>
      <c r="S2921" s="84">
        <f t="shared" si="308"/>
        <v>0</v>
      </c>
      <c r="T2921" s="84">
        <f t="shared" si="308"/>
        <v>88.582650000000001</v>
      </c>
      <c r="U2921" s="84">
        <f t="shared" si="308"/>
        <v>53520.092980000001</v>
      </c>
      <c r="V2921" s="84">
        <f t="shared" si="308"/>
        <v>0</v>
      </c>
      <c r="W2921" s="84">
        <f t="shared" si="308"/>
        <v>0</v>
      </c>
      <c r="X2921" s="85">
        <f t="shared" si="308"/>
        <v>756124.81625000015</v>
      </c>
      <c r="Y2921" s="85">
        <f>+Y136</f>
        <v>0</v>
      </c>
      <c r="Z2921" s="85">
        <f>+Z421</f>
        <v>5039.4100999999282</v>
      </c>
      <c r="AA2921" s="69">
        <f>+AA421</f>
        <v>307930.57552000007</v>
      </c>
      <c r="AB2921" s="69">
        <f>+AB421</f>
        <v>1511.3863299999998</v>
      </c>
    </row>
    <row r="2922" spans="1:28" x14ac:dyDescent="0.3">
      <c r="A2922" s="73"/>
      <c r="E2922" s="84"/>
      <c r="F2922" s="84"/>
      <c r="G2922" s="84"/>
      <c r="H2922" s="84"/>
      <c r="I2922" s="84"/>
      <c r="J2922" s="84"/>
      <c r="K2922" s="84"/>
      <c r="L2922" s="84"/>
      <c r="M2922" s="84"/>
      <c r="N2922" s="84"/>
      <c r="O2922" s="84"/>
      <c r="P2922" s="84"/>
      <c r="Q2922" s="84"/>
      <c r="R2922" s="84"/>
      <c r="S2922" s="84"/>
      <c r="T2922" s="84"/>
      <c r="U2922" s="84"/>
      <c r="V2922" s="84"/>
      <c r="W2922" s="84"/>
      <c r="X2922" s="84"/>
      <c r="Y2922" s="84"/>
      <c r="Z2922" s="84"/>
    </row>
    <row r="2923" spans="1:28" x14ac:dyDescent="0.3">
      <c r="A2923" s="73"/>
      <c r="C2923" s="68" t="s">
        <v>502</v>
      </c>
      <c r="E2923" s="85">
        <f t="shared" ref="E2923:W2923" si="309">+E640</f>
        <v>1290640.9835500002</v>
      </c>
      <c r="F2923" s="85">
        <f t="shared" si="309"/>
        <v>506926.92811000004</v>
      </c>
      <c r="G2923" s="85">
        <f t="shared" si="309"/>
        <v>0</v>
      </c>
      <c r="H2923" s="85">
        <f t="shared" si="309"/>
        <v>1075278.01963</v>
      </c>
      <c r="I2923" s="85">
        <f t="shared" si="309"/>
        <v>1029.9882299999999</v>
      </c>
      <c r="J2923" s="85">
        <f t="shared" si="309"/>
        <v>0</v>
      </c>
      <c r="K2923" s="85">
        <f t="shared" si="309"/>
        <v>0</v>
      </c>
      <c r="L2923" s="85">
        <f t="shared" si="309"/>
        <v>1029.9882299999999</v>
      </c>
      <c r="M2923" s="85">
        <f t="shared" si="309"/>
        <v>507956.91634000005</v>
      </c>
      <c r="N2923" s="85">
        <f t="shared" si="309"/>
        <v>92267.67134999999</v>
      </c>
      <c r="O2923" s="85">
        <f t="shared" si="309"/>
        <v>0</v>
      </c>
      <c r="P2923" s="85">
        <f t="shared" si="309"/>
        <v>92267.665000000008</v>
      </c>
      <c r="Q2923" s="85">
        <f t="shared" si="309"/>
        <v>0</v>
      </c>
      <c r="R2923" s="85">
        <f t="shared" si="309"/>
        <v>0</v>
      </c>
      <c r="S2923" s="85">
        <f t="shared" si="309"/>
        <v>0</v>
      </c>
      <c r="T2923" s="85">
        <f t="shared" si="309"/>
        <v>0</v>
      </c>
      <c r="U2923" s="85">
        <f t="shared" si="309"/>
        <v>92267.67134999999</v>
      </c>
      <c r="V2923" s="85">
        <f t="shared" si="309"/>
        <v>594291.36341999995</v>
      </c>
      <c r="W2923" s="85">
        <f t="shared" si="309"/>
        <v>102628.47777</v>
      </c>
      <c r="X2923" s="85">
        <f>+H2923+P2923</f>
        <v>1167545.68463</v>
      </c>
      <c r="Y2923" s="85">
        <f>+Y138</f>
        <v>0</v>
      </c>
      <c r="Z2923" s="85">
        <f>+Z640</f>
        <v>123095.49892000007</v>
      </c>
      <c r="AA2923" s="69">
        <f>+AA640</f>
        <v>600224.58768999996</v>
      </c>
      <c r="AB2923" s="69">
        <f>+AB640</f>
        <v>122065.40416999999</v>
      </c>
    </row>
    <row r="2924" spans="1:28" x14ac:dyDescent="0.3">
      <c r="A2924" s="73"/>
      <c r="E2924" s="84"/>
      <c r="F2924" s="84"/>
      <c r="G2924" s="84"/>
      <c r="H2924" s="84"/>
      <c r="I2924" s="84"/>
      <c r="J2924" s="84"/>
      <c r="K2924" s="84"/>
      <c r="L2924" s="84"/>
      <c r="M2924" s="84"/>
      <c r="N2924" s="84"/>
      <c r="O2924" s="84"/>
      <c r="P2924" s="84"/>
      <c r="Q2924" s="84"/>
      <c r="R2924" s="84"/>
      <c r="S2924" s="84"/>
      <c r="T2924" s="84"/>
      <c r="U2924" s="84"/>
      <c r="V2924" s="84"/>
      <c r="W2924" s="84"/>
      <c r="X2924" s="84"/>
      <c r="Y2924" s="84"/>
      <c r="Z2924" s="84"/>
    </row>
    <row r="2925" spans="1:28" x14ac:dyDescent="0.3">
      <c r="A2925" s="73"/>
      <c r="C2925" s="68" t="s">
        <v>920</v>
      </c>
      <c r="E2925" s="85">
        <f>+E961</f>
        <v>1593224.5738900001</v>
      </c>
      <c r="F2925" s="85">
        <f t="shared" ref="F2925:W2925" si="310">+F961</f>
        <v>456116.05569999997</v>
      </c>
      <c r="G2925" s="85">
        <f t="shared" si="310"/>
        <v>2131.6422000000002</v>
      </c>
      <c r="H2925" s="85">
        <f t="shared" si="310"/>
        <v>1513522.08953</v>
      </c>
      <c r="I2925" s="85">
        <f t="shared" si="310"/>
        <v>8678.7995129999999</v>
      </c>
      <c r="J2925" s="85">
        <f t="shared" si="310"/>
        <v>435767.44163299992</v>
      </c>
      <c r="K2925" s="85">
        <f t="shared" si="310"/>
        <v>69727.703099999984</v>
      </c>
      <c r="L2925" s="85">
        <f t="shared" si="310"/>
        <v>8678.7995100000007</v>
      </c>
      <c r="M2925" s="85">
        <f t="shared" si="310"/>
        <v>466926.49740999995</v>
      </c>
      <c r="N2925" s="85">
        <f t="shared" si="310"/>
        <v>69987.546769999986</v>
      </c>
      <c r="O2925" s="85">
        <v>0</v>
      </c>
      <c r="P2925" s="85">
        <f t="shared" si="310"/>
        <v>69987.539999999994</v>
      </c>
      <c r="Q2925" s="85">
        <f t="shared" si="310"/>
        <v>355010.80787000002</v>
      </c>
      <c r="R2925" s="85">
        <f t="shared" si="310"/>
        <v>0</v>
      </c>
      <c r="S2925" s="85">
        <f t="shared" si="310"/>
        <v>0</v>
      </c>
      <c r="T2925" s="85">
        <f t="shared" si="310"/>
        <v>370.15008</v>
      </c>
      <c r="U2925" s="85">
        <f t="shared" si="310"/>
        <v>70357.696849999993</v>
      </c>
      <c r="V2925" s="85">
        <f t="shared" si="310"/>
        <v>499833.89183999994</v>
      </c>
      <c r="W2925" s="85">
        <f t="shared" si="310"/>
        <v>9658.9375900000032</v>
      </c>
      <c r="X2925" s="85">
        <f>+X961</f>
        <v>1583509.62953</v>
      </c>
      <c r="Y2925" s="85">
        <f>+Y140</f>
        <v>0</v>
      </c>
      <c r="Z2925" s="85">
        <f>+Z961</f>
        <v>9714.9443600000122</v>
      </c>
      <c r="AA2925" s="69">
        <f>+AA961</f>
        <v>537284.19426000002</v>
      </c>
      <c r="AB2925" s="69">
        <f>+AB961</f>
        <v>665.98800000000006</v>
      </c>
    </row>
    <row r="2926" spans="1:28" x14ac:dyDescent="0.3">
      <c r="A2926" s="73"/>
      <c r="E2926" s="84"/>
      <c r="F2926" s="84"/>
      <c r="G2926" s="84"/>
      <c r="H2926" s="84"/>
      <c r="I2926" s="84"/>
      <c r="J2926" s="84"/>
      <c r="K2926" s="84"/>
      <c r="L2926" s="84"/>
      <c r="M2926" s="84"/>
      <c r="N2926" s="84"/>
      <c r="O2926" s="84"/>
      <c r="P2926" s="84"/>
      <c r="Q2926" s="84"/>
      <c r="R2926" s="84"/>
      <c r="S2926" s="84"/>
      <c r="T2926" s="84"/>
      <c r="U2926" s="84"/>
      <c r="V2926" s="84"/>
      <c r="W2926" s="84"/>
      <c r="X2926" s="84"/>
      <c r="Y2926" s="84"/>
      <c r="Z2926" s="84"/>
    </row>
    <row r="2927" spans="1:28" x14ac:dyDescent="0.3">
      <c r="A2927" s="73"/>
      <c r="C2927" s="68" t="s">
        <v>503</v>
      </c>
      <c r="E2927" s="85">
        <f>+E1190</f>
        <v>2277797.65943</v>
      </c>
      <c r="F2927" s="85">
        <f t="shared" ref="F2927:W2927" si="311">+F1190</f>
        <v>514755.83102000004</v>
      </c>
      <c r="G2927" s="85">
        <f t="shared" si="311"/>
        <v>250</v>
      </c>
      <c r="H2927" s="85">
        <f t="shared" si="311"/>
        <v>2163204.5468800003</v>
      </c>
      <c r="I2927" s="85">
        <f t="shared" si="311"/>
        <v>13430.469430000001</v>
      </c>
      <c r="J2927" s="85">
        <f t="shared" si="311"/>
        <v>13430.469430000001</v>
      </c>
      <c r="K2927" s="85">
        <f t="shared" si="311"/>
        <v>0</v>
      </c>
      <c r="L2927" s="85">
        <f t="shared" si="311"/>
        <v>0</v>
      </c>
      <c r="M2927" s="85">
        <f t="shared" si="311"/>
        <v>515005.83102000004</v>
      </c>
      <c r="N2927" s="85">
        <f t="shared" si="311"/>
        <v>113880.2714</v>
      </c>
      <c r="O2927" s="85">
        <f t="shared" si="311"/>
        <v>0</v>
      </c>
      <c r="P2927" s="85">
        <f t="shared" si="311"/>
        <v>113880.26455000001</v>
      </c>
      <c r="Q2927" s="85">
        <f t="shared" si="311"/>
        <v>37.806410000000007</v>
      </c>
      <c r="R2927" s="85">
        <f t="shared" si="311"/>
        <v>0</v>
      </c>
      <c r="S2927" s="85">
        <f t="shared" si="311"/>
        <v>90.390740000000008</v>
      </c>
      <c r="T2927" s="85">
        <f t="shared" si="311"/>
        <v>128.19715000000002</v>
      </c>
      <c r="U2927" s="85">
        <f t="shared" si="311"/>
        <v>114008.46855000001</v>
      </c>
      <c r="V2927" s="85">
        <f t="shared" si="311"/>
        <v>591426.27461999992</v>
      </c>
      <c r="W2927" s="85">
        <f t="shared" si="311"/>
        <v>712.84114999999997</v>
      </c>
      <c r="X2927" s="85">
        <f>+X1190</f>
        <v>2277084.8114299998</v>
      </c>
      <c r="Y2927" s="85">
        <f>+Y142</f>
        <v>0</v>
      </c>
      <c r="Z2927" s="85">
        <f>+Z1190</f>
        <v>712.84799999998359</v>
      </c>
      <c r="AA2927" s="69">
        <f>+AA1190</f>
        <v>629014.29957000003</v>
      </c>
      <c r="AB2927" s="69">
        <f>+AB1190</f>
        <v>584.64400000000001</v>
      </c>
    </row>
    <row r="2928" spans="1:28" x14ac:dyDescent="0.3">
      <c r="A2928" s="73"/>
      <c r="E2928" s="84"/>
      <c r="F2928" s="84"/>
      <c r="G2928" s="84"/>
      <c r="H2928" s="84"/>
      <c r="I2928" s="84"/>
      <c r="J2928" s="84"/>
      <c r="K2928" s="84"/>
      <c r="L2928" s="84"/>
      <c r="M2928" s="84"/>
      <c r="N2928" s="84"/>
      <c r="O2928" s="84"/>
      <c r="P2928" s="84"/>
      <c r="Q2928" s="84"/>
      <c r="R2928" s="84"/>
      <c r="S2928" s="84"/>
      <c r="T2928" s="84"/>
      <c r="U2928" s="84"/>
      <c r="V2928" s="84"/>
      <c r="W2928" s="84"/>
      <c r="X2928" s="84"/>
      <c r="Y2928" s="84"/>
      <c r="Z2928" s="84"/>
    </row>
    <row r="2929" spans="1:28" x14ac:dyDescent="0.3">
      <c r="A2929" s="73"/>
      <c r="C2929" s="68" t="s">
        <v>921</v>
      </c>
      <c r="E2929" s="85">
        <f>+E1543</f>
        <v>1346751.6174899999</v>
      </c>
      <c r="F2929" s="85">
        <f t="shared" ref="F2929:W2929" si="312">+F1543</f>
        <v>518412.21536999999</v>
      </c>
      <c r="G2929" s="85">
        <f t="shared" si="312"/>
        <v>7590.9486899999993</v>
      </c>
      <c r="H2929" s="85">
        <f t="shared" si="312"/>
        <v>1282422.8442700002</v>
      </c>
      <c r="I2929" s="85">
        <f t="shared" si="312"/>
        <v>3349.7432200000003</v>
      </c>
      <c r="J2929" s="85">
        <f t="shared" si="312"/>
        <v>462670.38212999998</v>
      </c>
      <c r="K2929" s="85">
        <f t="shared" si="312"/>
        <v>58979.810389999999</v>
      </c>
      <c r="L2929" s="85">
        <f t="shared" si="312"/>
        <v>3349.7432200000003</v>
      </c>
      <c r="M2929" s="85">
        <f t="shared" si="312"/>
        <v>529352.90728000004</v>
      </c>
      <c r="N2929" s="85">
        <f t="shared" si="312"/>
        <v>59583.381120000005</v>
      </c>
      <c r="O2929" s="85">
        <f t="shared" si="312"/>
        <v>0</v>
      </c>
      <c r="P2929" s="85">
        <f t="shared" si="312"/>
        <v>59583.406999999999</v>
      </c>
      <c r="Q2929" s="85">
        <f t="shared" si="312"/>
        <v>445162.42417999997</v>
      </c>
      <c r="R2929" s="85">
        <f t="shared" si="312"/>
        <v>0</v>
      </c>
      <c r="S2929" s="85">
        <f t="shared" si="312"/>
        <v>0</v>
      </c>
      <c r="T2929" s="85">
        <f t="shared" si="312"/>
        <v>693.64542000000006</v>
      </c>
      <c r="U2929" s="85">
        <f t="shared" si="312"/>
        <v>60277.026540000006</v>
      </c>
      <c r="V2929" s="85">
        <f t="shared" si="312"/>
        <v>551059.07068999996</v>
      </c>
      <c r="W2929" s="85">
        <f t="shared" si="312"/>
        <v>4745.1421000000009</v>
      </c>
      <c r="X2929" s="85">
        <f>+X1543</f>
        <v>1342006.2512699999</v>
      </c>
      <c r="Y2929" s="85">
        <f>+Y144</f>
        <v>0</v>
      </c>
      <c r="Z2929" s="85">
        <f>+Z1543</f>
        <v>4745.4253800000151</v>
      </c>
      <c r="AA2929" s="69">
        <f>+AA1543</f>
        <v>589629.93381999992</v>
      </c>
      <c r="AB2929" s="69">
        <f>+AB1543</f>
        <v>701.7534599999999</v>
      </c>
    </row>
    <row r="2930" spans="1:28" x14ac:dyDescent="0.3">
      <c r="A2930" s="73"/>
      <c r="C2930" s="68"/>
      <c r="E2930" s="85"/>
      <c r="F2930" s="85"/>
      <c r="G2930" s="85"/>
      <c r="H2930" s="85"/>
      <c r="I2930" s="85"/>
      <c r="J2930" s="85"/>
      <c r="K2930" s="85"/>
      <c r="L2930" s="85"/>
      <c r="M2930" s="85"/>
      <c r="N2930" s="85"/>
      <c r="O2930" s="85"/>
      <c r="P2930" s="85"/>
      <c r="Q2930" s="85"/>
      <c r="R2930" s="85"/>
      <c r="S2930" s="85"/>
      <c r="T2930" s="85"/>
      <c r="U2930" s="85"/>
      <c r="V2930" s="85"/>
      <c r="W2930" s="85"/>
      <c r="X2930" s="85"/>
      <c r="Y2930" s="85"/>
      <c r="Z2930" s="85"/>
      <c r="AA2930" s="69"/>
      <c r="AB2930" s="69"/>
    </row>
    <row r="2931" spans="1:28" x14ac:dyDescent="0.3">
      <c r="A2931" s="73"/>
      <c r="C2931" s="68" t="s">
        <v>293</v>
      </c>
      <c r="E2931" s="85">
        <f>+E1739</f>
        <v>957710.48725000001</v>
      </c>
      <c r="F2931" s="85">
        <f t="shared" ref="F2931:X2931" si="313">+F1739</f>
        <v>295040.336388</v>
      </c>
      <c r="G2931" s="85">
        <f t="shared" si="313"/>
        <v>2630</v>
      </c>
      <c r="H2931" s="85">
        <f t="shared" si="313"/>
        <v>931895.14077000006</v>
      </c>
      <c r="I2931" s="85">
        <f t="shared" si="313"/>
        <v>5073.1859999999997</v>
      </c>
      <c r="J2931" s="85">
        <f t="shared" si="313"/>
        <v>1379.847</v>
      </c>
      <c r="K2931" s="85">
        <f t="shared" si="313"/>
        <v>0</v>
      </c>
      <c r="L2931" s="85">
        <f t="shared" si="313"/>
        <v>0</v>
      </c>
      <c r="M2931" s="85">
        <f t="shared" si="313"/>
        <v>297670.336388</v>
      </c>
      <c r="N2931" s="85">
        <f t="shared" si="313"/>
        <v>21549.78557</v>
      </c>
      <c r="O2931" s="85">
        <f t="shared" si="313"/>
        <v>0</v>
      </c>
      <c r="P2931" s="85">
        <f t="shared" si="313"/>
        <v>21549.783000000003</v>
      </c>
      <c r="Q2931" s="85">
        <f t="shared" si="313"/>
        <v>79.082099999999997</v>
      </c>
      <c r="R2931" s="85">
        <f t="shared" si="313"/>
        <v>0</v>
      </c>
      <c r="S2931" s="85">
        <f t="shared" si="313"/>
        <v>0</v>
      </c>
      <c r="T2931" s="85">
        <f t="shared" si="313"/>
        <v>55.7027</v>
      </c>
      <c r="U2931" s="85">
        <f t="shared" si="313"/>
        <v>21605.488269999994</v>
      </c>
      <c r="V2931" s="85">
        <f t="shared" si="313"/>
        <v>317190.12195800006</v>
      </c>
      <c r="W2931" s="85">
        <f t="shared" si="313"/>
        <v>4265.560911999999</v>
      </c>
      <c r="X2931" s="85">
        <f t="shared" si="313"/>
        <v>953444.92377000011</v>
      </c>
      <c r="Y2931" s="85">
        <f>+Y146</f>
        <v>0</v>
      </c>
      <c r="Z2931" s="85">
        <f>+Z1739</f>
        <v>4265.561789999967</v>
      </c>
      <c r="AA2931" s="69">
        <f>+AA1739</f>
        <v>319275.82465800003</v>
      </c>
      <c r="AB2931" s="69">
        <f>+AB1739</f>
        <v>4209.8582119999992</v>
      </c>
    </row>
    <row r="2932" spans="1:28" x14ac:dyDescent="0.3">
      <c r="A2932" s="73"/>
      <c r="C2932" s="68"/>
      <c r="E2932" s="85"/>
      <c r="F2932" s="85"/>
      <c r="G2932" s="85"/>
      <c r="H2932" s="85"/>
      <c r="I2932" s="85"/>
      <c r="J2932" s="85"/>
      <c r="K2932" s="85"/>
      <c r="L2932" s="85"/>
      <c r="M2932" s="85"/>
      <c r="N2932" s="85"/>
      <c r="O2932" s="85"/>
      <c r="P2932" s="85"/>
      <c r="Q2932" s="85"/>
      <c r="R2932" s="85"/>
      <c r="S2932" s="85"/>
      <c r="T2932" s="85"/>
      <c r="U2932" s="85"/>
      <c r="V2932" s="85"/>
      <c r="W2932" s="85"/>
      <c r="X2932" s="85"/>
      <c r="Y2932" s="85"/>
      <c r="Z2932" s="85"/>
      <c r="AA2932" s="69"/>
      <c r="AB2932" s="69"/>
    </row>
    <row r="2933" spans="1:28" x14ac:dyDescent="0.3">
      <c r="A2933" s="73"/>
      <c r="C2933" s="68" t="s">
        <v>760</v>
      </c>
      <c r="E2933" s="85">
        <f>+E1969</f>
        <v>1318821.1428799999</v>
      </c>
      <c r="F2933" s="85">
        <f t="shared" ref="F2933:W2933" si="314">+F1969</f>
        <v>475140.84604999999</v>
      </c>
      <c r="G2933" s="85">
        <f t="shared" si="314"/>
        <v>38499.391910000006</v>
      </c>
      <c r="H2933" s="85">
        <f t="shared" si="314"/>
        <v>1259178.5353600001</v>
      </c>
      <c r="I2933" s="85">
        <f t="shared" si="314"/>
        <v>7713.02153</v>
      </c>
      <c r="J2933" s="85">
        <f t="shared" si="314"/>
        <v>441559.24453000008</v>
      </c>
      <c r="K2933" s="85">
        <f t="shared" si="314"/>
        <v>51763.553460000003</v>
      </c>
      <c r="L2933" s="85">
        <f t="shared" si="314"/>
        <v>7713.02153</v>
      </c>
      <c r="M2933" s="85">
        <f t="shared" si="314"/>
        <v>521353.25949000003</v>
      </c>
      <c r="N2933" s="85">
        <f t="shared" si="314"/>
        <v>51763.553460000003</v>
      </c>
      <c r="O2933" s="85">
        <f t="shared" si="314"/>
        <v>0</v>
      </c>
      <c r="P2933" s="85">
        <f t="shared" si="314"/>
        <v>51763.547000000006</v>
      </c>
      <c r="Q2933" s="85">
        <f t="shared" si="314"/>
        <v>371610.24625000003</v>
      </c>
      <c r="R2933" s="85">
        <f t="shared" si="314"/>
        <v>0</v>
      </c>
      <c r="S2933" s="85">
        <f t="shared" si="314"/>
        <v>0</v>
      </c>
      <c r="T2933" s="85">
        <f t="shared" si="314"/>
        <v>166.03253000000001</v>
      </c>
      <c r="U2933" s="85">
        <f t="shared" si="314"/>
        <v>51929.58599</v>
      </c>
      <c r="V2933" s="85">
        <f t="shared" si="314"/>
        <v>0</v>
      </c>
      <c r="W2933" s="85">
        <f t="shared" si="314"/>
        <v>0</v>
      </c>
      <c r="X2933" s="85">
        <f>+X1969</f>
        <v>1310942.0823600001</v>
      </c>
      <c r="Y2933" s="85" t="str">
        <f>+Y148</f>
        <v>-</v>
      </c>
      <c r="Z2933" s="85">
        <f>+Z1969</f>
        <v>7879.0605199999845</v>
      </c>
      <c r="AA2933" s="69">
        <f>+AA1969</f>
        <v>573282.84548000002</v>
      </c>
      <c r="AB2933" s="69">
        <f>+AB1969</f>
        <v>-1.3800000087940134E-3</v>
      </c>
    </row>
    <row r="2934" spans="1:28" x14ac:dyDescent="0.3">
      <c r="A2934" s="73"/>
      <c r="C2934" s="68"/>
      <c r="E2934" s="85"/>
      <c r="F2934" s="85"/>
      <c r="G2934" s="85"/>
      <c r="H2934" s="85"/>
      <c r="I2934" s="85"/>
      <c r="J2934" s="85"/>
      <c r="K2934" s="85"/>
      <c r="L2934" s="85"/>
      <c r="M2934" s="85"/>
      <c r="N2934" s="85"/>
      <c r="O2934" s="85"/>
      <c r="P2934" s="85"/>
      <c r="Q2934" s="85"/>
      <c r="R2934" s="85"/>
      <c r="S2934" s="85"/>
      <c r="T2934" s="85"/>
      <c r="U2934" s="85"/>
      <c r="V2934" s="85"/>
      <c r="W2934" s="85"/>
      <c r="X2934" s="85"/>
      <c r="Y2934" s="85"/>
      <c r="Z2934" s="85"/>
      <c r="AA2934" s="69"/>
      <c r="AB2934" s="69"/>
    </row>
    <row r="2935" spans="1:28" x14ac:dyDescent="0.3">
      <c r="A2935" s="73"/>
      <c r="C2935" s="68" t="s">
        <v>353</v>
      </c>
      <c r="E2935" s="85">
        <f t="shared" ref="E2935:W2935" si="315">+E2081</f>
        <v>1204210.1871799999</v>
      </c>
      <c r="F2935" s="85">
        <f t="shared" si="315"/>
        <v>430445.21671999997</v>
      </c>
      <c r="G2935" s="85">
        <f t="shared" si="315"/>
        <v>50339.069739999992</v>
      </c>
      <c r="H2935" s="85">
        <f t="shared" si="315"/>
        <v>1180828.95909</v>
      </c>
      <c r="I2935" s="85">
        <f t="shared" si="315"/>
        <v>31772.640639999998</v>
      </c>
      <c r="J2935" s="85">
        <f t="shared" si="315"/>
        <v>31772.640639999998</v>
      </c>
      <c r="K2935" s="85">
        <f t="shared" si="315"/>
        <v>0</v>
      </c>
      <c r="L2935" s="85">
        <f t="shared" si="315"/>
        <v>0</v>
      </c>
      <c r="M2935" s="85">
        <f t="shared" si="315"/>
        <v>480784.28645999992</v>
      </c>
      <c r="N2935" s="85">
        <f t="shared" si="315"/>
        <v>20416.580629999997</v>
      </c>
      <c r="O2935" s="85">
        <f t="shared" si="315"/>
        <v>0</v>
      </c>
      <c r="P2935" s="85">
        <f t="shared" si="315"/>
        <v>20416.577999999998</v>
      </c>
      <c r="Q2935" s="85">
        <f t="shared" si="315"/>
        <v>102.65309999999999</v>
      </c>
      <c r="R2935" s="85">
        <f t="shared" si="315"/>
        <v>0</v>
      </c>
      <c r="S2935" s="85">
        <f t="shared" si="315"/>
        <v>0</v>
      </c>
      <c r="T2935" s="85">
        <f t="shared" si="315"/>
        <v>102.65309999999999</v>
      </c>
      <c r="U2935" s="85">
        <f t="shared" si="315"/>
        <v>20519.23373</v>
      </c>
      <c r="V2935" s="85">
        <f t="shared" si="315"/>
        <v>402616.20144999999</v>
      </c>
      <c r="W2935" s="85">
        <f t="shared" si="315"/>
        <v>2964.6474700000008</v>
      </c>
      <c r="X2935" s="85">
        <f>+X2081</f>
        <v>1201245.53709</v>
      </c>
      <c r="Y2935" s="85" t="str">
        <f>+Y150</f>
        <v>-</v>
      </c>
      <c r="Z2935" s="85">
        <f>+Z2081</f>
        <v>2964.6500900000174</v>
      </c>
      <c r="AA2935" s="69">
        <f>+AA2081</f>
        <v>501303.52018999995</v>
      </c>
      <c r="AB2935" s="69">
        <f>+AB2081</f>
        <v>2861.994369999999</v>
      </c>
    </row>
    <row r="2936" spans="1:28" x14ac:dyDescent="0.3">
      <c r="A2936" s="73"/>
      <c r="C2936" s="68"/>
      <c r="E2936" s="85"/>
      <c r="F2936" s="85"/>
      <c r="G2936" s="85"/>
      <c r="H2936" s="85"/>
      <c r="I2936" s="85"/>
      <c r="J2936" s="85"/>
      <c r="K2936" s="85"/>
      <c r="L2936" s="85"/>
      <c r="M2936" s="85"/>
      <c r="N2936" s="85"/>
      <c r="O2936" s="85"/>
      <c r="P2936" s="85"/>
      <c r="Q2936" s="85"/>
      <c r="R2936" s="85"/>
      <c r="S2936" s="85"/>
      <c r="T2936" s="85"/>
      <c r="U2936" s="85"/>
      <c r="V2936" s="85"/>
      <c r="W2936" s="85"/>
      <c r="X2936" s="85"/>
      <c r="Y2936" s="85"/>
      <c r="Z2936" s="85"/>
      <c r="AA2936" s="69"/>
      <c r="AB2936" s="69"/>
    </row>
    <row r="2937" spans="1:28" x14ac:dyDescent="0.3">
      <c r="A2937" s="73"/>
      <c r="C2937" s="68" t="s">
        <v>799</v>
      </c>
      <c r="E2937" s="85">
        <f>+E2294</f>
        <v>1141781.29535</v>
      </c>
      <c r="F2937" s="85">
        <f t="shared" ref="F2937:W2937" si="316">+F2294</f>
        <v>431940.53868</v>
      </c>
      <c r="G2937" s="85">
        <f t="shared" si="316"/>
        <v>4853.3577299999997</v>
      </c>
      <c r="H2937" s="85">
        <f t="shared" si="316"/>
        <v>1110056.9144899999</v>
      </c>
      <c r="I2937" s="85">
        <f t="shared" si="316"/>
        <v>3734.1222799999996</v>
      </c>
      <c r="J2937" s="85">
        <f t="shared" si="316"/>
        <v>392676.40432999999</v>
      </c>
      <c r="K2937" s="85">
        <f t="shared" si="316"/>
        <v>27638.084960000004</v>
      </c>
      <c r="L2937" s="85">
        <f t="shared" si="316"/>
        <v>3734.1222799999996</v>
      </c>
      <c r="M2937" s="85">
        <f t="shared" si="316"/>
        <v>440528.01869000006</v>
      </c>
      <c r="N2937" s="85">
        <f t="shared" si="316"/>
        <v>27658.905650000004</v>
      </c>
      <c r="O2937" s="85">
        <f t="shared" si="316"/>
        <v>0</v>
      </c>
      <c r="P2937" s="85">
        <f t="shared" si="316"/>
        <v>27658.901899999997</v>
      </c>
      <c r="Q2937" s="85">
        <f t="shared" si="316"/>
        <v>358588.01280999993</v>
      </c>
      <c r="R2937" s="85">
        <f t="shared" si="316"/>
        <v>0</v>
      </c>
      <c r="S2937" s="85">
        <f t="shared" si="316"/>
        <v>0</v>
      </c>
      <c r="T2937" s="85">
        <f t="shared" si="316"/>
        <v>31.194699999999997</v>
      </c>
      <c r="U2937" s="85">
        <f t="shared" si="316"/>
        <v>27690.100350000004</v>
      </c>
      <c r="V2937" s="85">
        <f t="shared" si="316"/>
        <v>0</v>
      </c>
      <c r="W2937" s="85">
        <f t="shared" si="316"/>
        <v>0</v>
      </c>
      <c r="X2937" s="85">
        <f>+X2294</f>
        <v>1137715.8163900001</v>
      </c>
      <c r="Y2937" s="85">
        <f>+Y152</f>
        <v>0</v>
      </c>
      <c r="Z2937" s="85">
        <f>+Z2294</f>
        <v>4065.4789600000804</v>
      </c>
      <c r="AA2937" s="69">
        <f>+AA2294</f>
        <v>468218.11904000002</v>
      </c>
      <c r="AB2937" s="69">
        <f>+AB2294</f>
        <v>300.15822999999955</v>
      </c>
    </row>
    <row r="2938" spans="1:28" x14ac:dyDescent="0.3">
      <c r="A2938" s="73"/>
      <c r="C2938" s="68"/>
      <c r="E2938" s="85"/>
      <c r="F2938" s="85"/>
      <c r="G2938" s="85"/>
      <c r="H2938" s="85"/>
      <c r="I2938" s="85"/>
      <c r="J2938" s="85"/>
      <c r="K2938" s="85"/>
      <c r="L2938" s="85"/>
      <c r="M2938" s="85"/>
      <c r="N2938" s="85"/>
      <c r="O2938" s="85"/>
      <c r="P2938" s="85"/>
      <c r="Q2938" s="85"/>
      <c r="R2938" s="85"/>
      <c r="S2938" s="85"/>
      <c r="T2938" s="85"/>
      <c r="U2938" s="85"/>
      <c r="V2938" s="85"/>
      <c r="W2938" s="85"/>
      <c r="X2938" s="85"/>
      <c r="Y2938" s="85"/>
      <c r="Z2938" s="85"/>
      <c r="AA2938" s="69"/>
      <c r="AB2938" s="69"/>
    </row>
    <row r="2939" spans="1:28" x14ac:dyDescent="0.3">
      <c r="A2939" s="73"/>
      <c r="C2939" s="68" t="s">
        <v>922</v>
      </c>
      <c r="E2939" s="85">
        <f>+E2448</f>
        <v>798592.97980000009</v>
      </c>
      <c r="F2939" s="85">
        <f t="shared" ref="F2939:W2939" si="317">+F2448</f>
        <v>287008.04437999998</v>
      </c>
      <c r="G2939" s="85">
        <f t="shared" si="317"/>
        <v>0</v>
      </c>
      <c r="H2939" s="85">
        <f t="shared" si="317"/>
        <v>780496.05653000006</v>
      </c>
      <c r="I2939" s="85">
        <f t="shared" si="317"/>
        <v>0</v>
      </c>
      <c r="J2939" s="85">
        <f t="shared" si="317"/>
        <v>258659.42621999996</v>
      </c>
      <c r="K2939" s="85">
        <f t="shared" si="317"/>
        <v>18001.180830000001</v>
      </c>
      <c r="L2939" s="85">
        <f t="shared" si="317"/>
        <v>0</v>
      </c>
      <c r="M2939" s="85">
        <f t="shared" si="317"/>
        <v>287008.04437999998</v>
      </c>
      <c r="N2939" s="85">
        <f t="shared" si="317"/>
        <v>18007.202109999998</v>
      </c>
      <c r="O2939" s="85">
        <f t="shared" si="317"/>
        <v>0</v>
      </c>
      <c r="P2939" s="85">
        <f t="shared" si="317"/>
        <v>18007.199489999999</v>
      </c>
      <c r="Q2939" s="85">
        <f t="shared" si="317"/>
        <v>252050.07542000001</v>
      </c>
      <c r="R2939" s="85">
        <f t="shared" si="317"/>
        <v>0</v>
      </c>
      <c r="S2939" s="85">
        <f t="shared" si="317"/>
        <v>0</v>
      </c>
      <c r="T2939" s="85">
        <f t="shared" si="317"/>
        <v>9.7211599999999994</v>
      </c>
      <c r="U2939" s="85">
        <f t="shared" si="317"/>
        <v>18016.923269999999</v>
      </c>
      <c r="V2939" s="85">
        <f t="shared" si="317"/>
        <v>0</v>
      </c>
      <c r="W2939" s="85">
        <f t="shared" si="317"/>
        <v>0</v>
      </c>
      <c r="X2939" s="85">
        <f>+X2448</f>
        <v>798503.25602000009</v>
      </c>
      <c r="Y2939" s="85">
        <f>+Y154</f>
        <v>0</v>
      </c>
      <c r="Z2939" s="85">
        <f>+Z2448</f>
        <v>89.723779999985709</v>
      </c>
      <c r="AA2939" s="69">
        <f>+AA2448</f>
        <v>305024.96765000001</v>
      </c>
      <c r="AB2939" s="69">
        <f>+AB2448</f>
        <v>80.000000000000043</v>
      </c>
    </row>
    <row r="2940" spans="1:28" x14ac:dyDescent="0.3">
      <c r="A2940" s="73"/>
      <c r="E2940" s="84"/>
      <c r="F2940" s="84"/>
      <c r="G2940" s="84"/>
      <c r="H2940" s="84"/>
      <c r="I2940" s="84"/>
      <c r="J2940" s="84"/>
      <c r="K2940" s="84"/>
      <c r="L2940" s="84"/>
      <c r="M2940" s="84"/>
      <c r="N2940" s="84"/>
      <c r="O2940" s="84"/>
      <c r="P2940" s="84"/>
      <c r="Q2940" s="84"/>
      <c r="R2940" s="84"/>
      <c r="S2940" s="84"/>
      <c r="T2940" s="84"/>
      <c r="U2940" s="84"/>
      <c r="V2940" s="84"/>
      <c r="W2940" s="84"/>
      <c r="X2940" s="84"/>
      <c r="Y2940" s="84"/>
      <c r="Z2940" s="84"/>
    </row>
    <row r="2941" spans="1:28" x14ac:dyDescent="0.3">
      <c r="A2941" s="73"/>
      <c r="C2941" s="68" t="s">
        <v>504</v>
      </c>
      <c r="E2941" s="85">
        <f>+E2567</f>
        <v>1055336.28599</v>
      </c>
      <c r="F2941" s="85">
        <f t="shared" ref="F2941:W2941" si="318">+F2567</f>
        <v>372619.77271999995</v>
      </c>
      <c r="G2941" s="85">
        <f t="shared" si="318"/>
        <v>0</v>
      </c>
      <c r="H2941" s="85">
        <f t="shared" si="318"/>
        <v>1018031.1612600001</v>
      </c>
      <c r="I2941" s="85">
        <f t="shared" si="318"/>
        <v>29651.254549999998</v>
      </c>
      <c r="J2941" s="85">
        <f t="shared" si="318"/>
        <v>21451.583549999999</v>
      </c>
      <c r="K2941" s="85">
        <f t="shared" si="318"/>
        <v>0</v>
      </c>
      <c r="L2941" s="85">
        <f t="shared" si="318"/>
        <v>0</v>
      </c>
      <c r="M2941" s="85">
        <f t="shared" si="318"/>
        <v>372619.77271999995</v>
      </c>
      <c r="N2941" s="85">
        <f t="shared" si="318"/>
        <v>23942.951479999996</v>
      </c>
      <c r="O2941" s="85">
        <f t="shared" si="318"/>
        <v>0</v>
      </c>
      <c r="P2941" s="85">
        <f t="shared" si="318"/>
        <v>23942.949000000004</v>
      </c>
      <c r="Q2941" s="85">
        <f t="shared" si="318"/>
        <v>12716.329749999999</v>
      </c>
      <c r="R2941" s="85">
        <f t="shared" si="318"/>
        <v>1.0325</v>
      </c>
      <c r="S2941" s="85">
        <f t="shared" si="318"/>
        <v>0</v>
      </c>
      <c r="T2941" s="85">
        <f t="shared" si="318"/>
        <v>12715.29725</v>
      </c>
      <c r="U2941" s="85">
        <f t="shared" si="318"/>
        <v>36658.248729999992</v>
      </c>
      <c r="V2941" s="85">
        <f t="shared" si="318"/>
        <v>393113.73521999997</v>
      </c>
      <c r="W2941" s="85">
        <f t="shared" si="318"/>
        <v>13362.17325</v>
      </c>
      <c r="X2941" s="85">
        <f>+X2567</f>
        <v>1041974.11026</v>
      </c>
      <c r="Y2941" s="85">
        <f>+Y156</f>
        <v>0</v>
      </c>
      <c r="Z2941" s="85">
        <f>+Z2567</f>
        <v>13362.175730000032</v>
      </c>
      <c r="AA2941" s="69">
        <f>+AA2567</f>
        <v>409278.02144999994</v>
      </c>
      <c r="AB2941" s="69">
        <f>+AB2567</f>
        <v>646.87599999999998</v>
      </c>
    </row>
    <row r="2942" spans="1:28" x14ac:dyDescent="0.3">
      <c r="A2942" s="73"/>
      <c r="E2942" s="84"/>
      <c r="F2942" s="84"/>
      <c r="G2942" s="84"/>
      <c r="H2942" s="84"/>
      <c r="I2942" s="84"/>
      <c r="J2942" s="84"/>
      <c r="K2942" s="84"/>
      <c r="L2942" s="84"/>
      <c r="M2942" s="84"/>
      <c r="N2942" s="84"/>
      <c r="O2942" s="84"/>
      <c r="P2942" s="84"/>
      <c r="Q2942" s="84"/>
      <c r="R2942" s="84"/>
      <c r="S2942" s="84"/>
      <c r="T2942" s="84"/>
      <c r="U2942" s="84"/>
      <c r="V2942" s="84"/>
      <c r="W2942" s="84"/>
      <c r="X2942" s="84"/>
      <c r="Y2942" s="84"/>
      <c r="Z2942" s="84"/>
    </row>
    <row r="2943" spans="1:28" x14ac:dyDescent="0.3">
      <c r="A2943" s="73"/>
      <c r="C2943" s="68" t="s">
        <v>505</v>
      </c>
      <c r="E2943" s="85">
        <f>+E2660</f>
        <v>586183.29304000002</v>
      </c>
      <c r="F2943" s="85">
        <f t="shared" ref="F2943:W2943" si="319">+F2660</f>
        <v>257389.10788999998</v>
      </c>
      <c r="G2943" s="85">
        <f t="shared" si="319"/>
        <v>0</v>
      </c>
      <c r="H2943" s="85">
        <f t="shared" si="319"/>
        <v>573711.60834000004</v>
      </c>
      <c r="I2943" s="85">
        <f t="shared" si="319"/>
        <v>2120.9349299999999</v>
      </c>
      <c r="J2943" s="85">
        <f t="shared" si="319"/>
        <v>1068.9349299999999</v>
      </c>
      <c r="K2943" s="85">
        <f t="shared" si="319"/>
        <v>0</v>
      </c>
      <c r="L2943" s="85">
        <f t="shared" si="319"/>
        <v>0</v>
      </c>
      <c r="M2943" s="85">
        <f t="shared" si="319"/>
        <v>257389.10788999998</v>
      </c>
      <c r="N2943" s="85">
        <f t="shared" si="319"/>
        <v>12387.585160000001</v>
      </c>
      <c r="O2943" s="85">
        <f t="shared" si="319"/>
        <v>0</v>
      </c>
      <c r="P2943" s="85">
        <f t="shared" si="319"/>
        <v>12387.582999999999</v>
      </c>
      <c r="Q2943" s="85">
        <f t="shared" si="319"/>
        <v>4.0995400000000002</v>
      </c>
      <c r="R2943" s="85">
        <f t="shared" si="319"/>
        <v>0</v>
      </c>
      <c r="S2943" s="85">
        <f t="shared" si="319"/>
        <v>0</v>
      </c>
      <c r="T2943" s="85">
        <f t="shared" si="319"/>
        <v>4.0995400000000002</v>
      </c>
      <c r="U2943" s="85">
        <f t="shared" si="319"/>
        <v>12391.684700000002</v>
      </c>
      <c r="V2943" s="85">
        <f t="shared" si="319"/>
        <v>250431.45416000002</v>
      </c>
      <c r="W2943" s="85">
        <f t="shared" si="319"/>
        <v>84.099540000000033</v>
      </c>
      <c r="X2943" s="85">
        <f>+X2660</f>
        <v>586099.19134000002</v>
      </c>
      <c r="Y2943" s="85">
        <f>+Y159</f>
        <v>0</v>
      </c>
      <c r="Z2943" s="85">
        <f>+Z2660</f>
        <v>84.101699999999255</v>
      </c>
      <c r="AA2943" s="69">
        <f>+AA2660</f>
        <v>269780.79258999997</v>
      </c>
      <c r="AB2943" s="69">
        <f>+AB2660</f>
        <v>80</v>
      </c>
    </row>
    <row r="2944" spans="1:28" x14ac:dyDescent="0.3">
      <c r="A2944" s="73"/>
      <c r="E2944" s="84"/>
      <c r="F2944" s="84"/>
      <c r="G2944" s="84"/>
      <c r="H2944" s="84"/>
      <c r="I2944" s="84"/>
      <c r="J2944" s="84"/>
      <c r="K2944" s="84"/>
      <c r="L2944" s="84"/>
      <c r="M2944" s="84"/>
      <c r="N2944" s="84"/>
      <c r="O2944" s="84"/>
      <c r="P2944" s="84"/>
      <c r="Q2944" s="84"/>
      <c r="R2944" s="84"/>
      <c r="S2944" s="84"/>
      <c r="T2944" s="84"/>
      <c r="U2944" s="84"/>
      <c r="V2944" s="84"/>
      <c r="W2944" s="84"/>
      <c r="X2944" s="84"/>
      <c r="Y2944" s="84"/>
      <c r="Z2944" s="84"/>
    </row>
    <row r="2945" spans="1:28" x14ac:dyDescent="0.3">
      <c r="A2945" s="73"/>
      <c r="C2945" s="68" t="s">
        <v>465</v>
      </c>
      <c r="E2945" s="85">
        <f>+E2752</f>
        <v>696910.62749999994</v>
      </c>
      <c r="F2945" s="85">
        <f t="shared" ref="F2945:W2945" si="320">+F2752</f>
        <v>219218.96695999999</v>
      </c>
      <c r="G2945" s="85">
        <f t="shared" si="320"/>
        <v>1652.0658899999999</v>
      </c>
      <c r="H2945" s="85">
        <f t="shared" si="320"/>
        <v>667495.78004999994</v>
      </c>
      <c r="I2945" s="85">
        <f t="shared" si="320"/>
        <v>1462.4718</v>
      </c>
      <c r="J2945" s="85">
        <f t="shared" si="320"/>
        <v>1462.4718</v>
      </c>
      <c r="K2945" s="85">
        <f t="shared" si="320"/>
        <v>0</v>
      </c>
      <c r="L2945" s="85">
        <f t="shared" si="320"/>
        <v>0</v>
      </c>
      <c r="M2945" s="85">
        <f t="shared" si="320"/>
        <v>220871.03284999999</v>
      </c>
      <c r="N2945" s="85">
        <f t="shared" si="320"/>
        <v>27903.125039999999</v>
      </c>
      <c r="O2945" s="85">
        <f t="shared" si="320"/>
        <v>0</v>
      </c>
      <c r="P2945" s="85">
        <f t="shared" si="320"/>
        <v>27903.123</v>
      </c>
      <c r="Q2945" s="85">
        <f t="shared" si="320"/>
        <v>229.30132</v>
      </c>
      <c r="R2945" s="85">
        <f t="shared" si="320"/>
        <v>0</v>
      </c>
      <c r="S2945" s="85">
        <f t="shared" si="320"/>
        <v>3.91716</v>
      </c>
      <c r="T2945" s="85">
        <f t="shared" si="320"/>
        <v>191.30141</v>
      </c>
      <c r="U2945" s="85">
        <f t="shared" si="320"/>
        <v>28094.426449999999</v>
      </c>
      <c r="V2945" s="85">
        <f t="shared" si="320"/>
        <v>193745.60287</v>
      </c>
      <c r="W2945" s="85">
        <f t="shared" si="320"/>
        <v>1511.7224099999996</v>
      </c>
      <c r="X2945" s="85">
        <f>+X2752</f>
        <v>695398.90304999996</v>
      </c>
      <c r="Y2945" s="85">
        <f>+Y162</f>
        <v>0</v>
      </c>
      <c r="Z2945" s="85">
        <f>+Z2752</f>
        <v>1511.7244500000088</v>
      </c>
      <c r="AA2945" s="69">
        <f>+AA2752</f>
        <v>248965.45930000002</v>
      </c>
      <c r="AB2945" s="69">
        <f>+AB2752</f>
        <v>1320.421</v>
      </c>
    </row>
    <row r="2946" spans="1:28" x14ac:dyDescent="0.3">
      <c r="A2946" s="73"/>
      <c r="E2946" s="86" t="s">
        <v>29</v>
      </c>
      <c r="F2946" s="86" t="s">
        <v>29</v>
      </c>
      <c r="G2946" s="86" t="s">
        <v>29</v>
      </c>
      <c r="H2946" s="86" t="s">
        <v>29</v>
      </c>
      <c r="I2946" s="86" t="s">
        <v>29</v>
      </c>
      <c r="J2946" s="86" t="s">
        <v>29</v>
      </c>
      <c r="K2946" s="86" t="s">
        <v>29</v>
      </c>
      <c r="L2946" s="86" t="s">
        <v>29</v>
      </c>
      <c r="M2946" s="86" t="s">
        <v>29</v>
      </c>
      <c r="N2946" s="86" t="s">
        <v>29</v>
      </c>
      <c r="O2946" s="86" t="s">
        <v>29</v>
      </c>
      <c r="P2946" s="86" t="s">
        <v>29</v>
      </c>
      <c r="Q2946" s="86" t="s">
        <v>29</v>
      </c>
      <c r="R2946" s="86" t="s">
        <v>29</v>
      </c>
      <c r="S2946" s="86" t="s">
        <v>29</v>
      </c>
      <c r="T2946" s="86" t="s">
        <v>29</v>
      </c>
      <c r="U2946" s="86" t="s">
        <v>29</v>
      </c>
      <c r="V2946" s="86" t="s">
        <v>29</v>
      </c>
      <c r="W2946" s="86" t="s">
        <v>29</v>
      </c>
      <c r="X2946" s="86" t="s">
        <v>29</v>
      </c>
      <c r="Y2946" s="86" t="s">
        <v>29</v>
      </c>
      <c r="Z2946" s="86" t="s">
        <v>29</v>
      </c>
      <c r="AA2946" s="115" t="s">
        <v>29</v>
      </c>
      <c r="AB2946" s="115" t="s">
        <v>29</v>
      </c>
    </row>
    <row r="2947" spans="1:28" x14ac:dyDescent="0.3">
      <c r="A2947" s="73"/>
      <c r="E2947" s="84"/>
      <c r="F2947" s="84"/>
      <c r="G2947" s="84"/>
      <c r="H2947" s="84"/>
      <c r="I2947" s="84"/>
      <c r="J2947" s="84"/>
      <c r="K2947" s="84"/>
      <c r="L2947" s="84"/>
      <c r="M2947" s="84"/>
      <c r="N2947" s="84"/>
      <c r="O2947" s="84"/>
      <c r="P2947" s="84"/>
      <c r="Q2947" s="84"/>
      <c r="R2947" s="84"/>
      <c r="S2947" s="84"/>
      <c r="T2947" s="84"/>
      <c r="U2947" s="84"/>
      <c r="V2947" s="84"/>
      <c r="W2947" s="84"/>
      <c r="X2947" s="84"/>
      <c r="Y2947" s="84"/>
      <c r="Z2947" s="84"/>
    </row>
    <row r="2948" spans="1:28" x14ac:dyDescent="0.3">
      <c r="A2948" s="73"/>
      <c r="C2948" s="68" t="s">
        <v>506</v>
      </c>
      <c r="E2948" s="85">
        <f>+E2755</f>
        <v>16294643.483410001</v>
      </c>
      <c r="F2948" s="85">
        <f t="shared" ref="F2948:AB2948" si="321">SUM(F2917:F2945)</f>
        <v>5486815.1096679987</v>
      </c>
      <c r="G2948" s="85">
        <f t="shared" si="321"/>
        <v>107946.47616000001</v>
      </c>
      <c r="H2948" s="85">
        <f>+H2755</f>
        <v>15385653.826990003</v>
      </c>
      <c r="I2948" s="85" t="e">
        <f t="shared" si="321"/>
        <v>#VALUE!</v>
      </c>
      <c r="J2948" s="85">
        <f t="shared" si="321"/>
        <v>2292650.9161430001</v>
      </c>
      <c r="K2948" s="85">
        <f t="shared" si="321"/>
        <v>410207.27788000007</v>
      </c>
      <c r="L2948" s="85">
        <f t="shared" si="321"/>
        <v>30674.586769999998</v>
      </c>
      <c r="M2948" s="85">
        <f t="shared" si="321"/>
        <v>5625436.1725979997</v>
      </c>
      <c r="N2948" s="85">
        <f t="shared" si="321"/>
        <v>721775.5228299998</v>
      </c>
      <c r="O2948" s="85">
        <f t="shared" si="321"/>
        <v>0</v>
      </c>
      <c r="P2948" s="85">
        <f>+P2755</f>
        <v>721775.49768000003</v>
      </c>
      <c r="Q2948" s="85">
        <f t="shared" si="321"/>
        <v>1962986.8315800002</v>
      </c>
      <c r="R2948" s="85">
        <f t="shared" si="321"/>
        <v>-63832.158810000008</v>
      </c>
      <c r="S2948" s="85">
        <f t="shared" si="321"/>
        <v>125.80633</v>
      </c>
      <c r="T2948" s="85">
        <f t="shared" si="321"/>
        <v>14597.769369999998</v>
      </c>
      <c r="U2948" s="85">
        <f t="shared" si="321"/>
        <v>736373.29168999998</v>
      </c>
      <c r="V2948" s="85">
        <f t="shared" si="321"/>
        <v>4350675.9088479998</v>
      </c>
      <c r="W2948" s="85">
        <f t="shared" si="321"/>
        <v>174011.75282199995</v>
      </c>
      <c r="X2948" s="85">
        <f>+X2755</f>
        <v>16107429.324670002</v>
      </c>
      <c r="Y2948" s="85">
        <f t="shared" si="321"/>
        <v>0</v>
      </c>
      <c r="Z2948" s="85">
        <f>+Z2755</f>
        <v>187214.15873999894</v>
      </c>
      <c r="AA2948" s="69">
        <f t="shared" si="321"/>
        <v>6361809.4647979997</v>
      </c>
      <c r="AB2948" s="69">
        <f t="shared" si="321"/>
        <v>141941.62591199999</v>
      </c>
    </row>
    <row r="2949" spans="1:28" x14ac:dyDescent="0.3">
      <c r="A2949" s="73"/>
      <c r="E2949" s="86" t="s">
        <v>114</v>
      </c>
      <c r="F2949" s="86" t="s">
        <v>114</v>
      </c>
      <c r="G2949" s="86" t="s">
        <v>114</v>
      </c>
      <c r="H2949" s="86" t="s">
        <v>114</v>
      </c>
      <c r="I2949" s="86" t="s">
        <v>114</v>
      </c>
      <c r="J2949" s="86" t="s">
        <v>114</v>
      </c>
      <c r="K2949" s="86" t="s">
        <v>114</v>
      </c>
      <c r="L2949" s="86" t="s">
        <v>114</v>
      </c>
      <c r="M2949" s="86"/>
      <c r="N2949" s="86" t="s">
        <v>114</v>
      </c>
      <c r="O2949" s="86" t="s">
        <v>114</v>
      </c>
      <c r="P2949" s="86" t="s">
        <v>114</v>
      </c>
      <c r="Q2949" s="86" t="s">
        <v>114</v>
      </c>
      <c r="R2949" s="86" t="s">
        <v>114</v>
      </c>
      <c r="S2949" s="86" t="s">
        <v>114</v>
      </c>
      <c r="T2949" s="86" t="s">
        <v>114</v>
      </c>
      <c r="U2949" s="86" t="s">
        <v>114</v>
      </c>
      <c r="V2949" s="86" t="s">
        <v>114</v>
      </c>
      <c r="W2949" s="86" t="s">
        <v>114</v>
      </c>
      <c r="X2949" s="86" t="s">
        <v>114</v>
      </c>
      <c r="Y2949" s="86" t="s">
        <v>114</v>
      </c>
      <c r="Z2949" s="86" t="s">
        <v>114</v>
      </c>
      <c r="AA2949" s="115" t="s">
        <v>114</v>
      </c>
      <c r="AB2949" s="115" t="s">
        <v>114</v>
      </c>
    </row>
    <row r="2950" spans="1:28" x14ac:dyDescent="0.3">
      <c r="A2950" s="73"/>
      <c r="E2950" s="128">
        <f>+E2755-E2948</f>
        <v>0</v>
      </c>
      <c r="F2950" s="128"/>
      <c r="G2950" s="128"/>
      <c r="H2950" s="128">
        <f t="shared" ref="H2950:Z2950" si="322">+H2755-H2948</f>
        <v>0</v>
      </c>
      <c r="I2950" s="128" t="e">
        <f t="shared" si="322"/>
        <v>#VALUE!</v>
      </c>
      <c r="J2950" s="128">
        <f t="shared" si="322"/>
        <v>0</v>
      </c>
      <c r="K2950" s="128">
        <f t="shared" si="322"/>
        <v>0</v>
      </c>
      <c r="L2950" s="128">
        <f t="shared" si="322"/>
        <v>0</v>
      </c>
      <c r="M2950" s="128">
        <f t="shared" si="322"/>
        <v>0</v>
      </c>
      <c r="N2950" s="128">
        <f t="shared" si="322"/>
        <v>0</v>
      </c>
      <c r="O2950" s="128">
        <f t="shared" si="322"/>
        <v>0</v>
      </c>
      <c r="P2950" s="128">
        <f t="shared" si="322"/>
        <v>0</v>
      </c>
      <c r="Q2950" s="128">
        <f t="shared" si="322"/>
        <v>0</v>
      </c>
      <c r="R2950" s="128">
        <f t="shared" si="322"/>
        <v>0</v>
      </c>
      <c r="S2950" s="128">
        <f t="shared" si="322"/>
        <v>0</v>
      </c>
      <c r="T2950" s="128">
        <f t="shared" si="322"/>
        <v>0</v>
      </c>
      <c r="U2950" s="128">
        <f t="shared" si="322"/>
        <v>0</v>
      </c>
      <c r="V2950" s="128">
        <f t="shared" si="322"/>
        <v>0</v>
      </c>
      <c r="W2950" s="128">
        <f t="shared" si="322"/>
        <v>0</v>
      </c>
      <c r="X2950" s="128">
        <f t="shared" si="322"/>
        <v>0</v>
      </c>
      <c r="Y2950" s="128">
        <f t="shared" si="322"/>
        <v>0</v>
      </c>
      <c r="Z2950" s="128">
        <f t="shared" si="322"/>
        <v>0</v>
      </c>
      <c r="AA2950" s="140"/>
      <c r="AB2950" s="140"/>
    </row>
    <row r="2951" spans="1:28" x14ac:dyDescent="0.3">
      <c r="A2951" s="73"/>
      <c r="X2951" s="84"/>
      <c r="Z2951" s="84"/>
    </row>
    <row r="2952" spans="1:28" x14ac:dyDescent="0.3">
      <c r="A2952" s="73"/>
      <c r="C2952" s="69"/>
      <c r="X2952" s="84"/>
    </row>
    <row r="2953" spans="1:28" x14ac:dyDescent="0.3">
      <c r="A2953" s="73"/>
      <c r="C2953" s="69"/>
    </row>
    <row r="2954" spans="1:28" x14ac:dyDescent="0.3">
      <c r="A2954" s="73"/>
    </row>
    <row r="2955" spans="1:28" x14ac:dyDescent="0.3">
      <c r="A2955" s="73"/>
    </row>
    <row r="2956" spans="1:28" x14ac:dyDescent="0.3">
      <c r="A2956" s="73"/>
    </row>
    <row r="2957" spans="1:28" x14ac:dyDescent="0.3">
      <c r="A2957" s="73"/>
    </row>
    <row r="2958" spans="1:28" x14ac:dyDescent="0.3">
      <c r="A2958" s="73"/>
    </row>
    <row r="2959" spans="1:28" x14ac:dyDescent="0.3">
      <c r="A2959" s="73"/>
    </row>
    <row r="2960" spans="1:28" x14ac:dyDescent="0.3">
      <c r="A2960" s="73"/>
    </row>
    <row r="2961" spans="1:1" x14ac:dyDescent="0.3">
      <c r="A2961" s="73"/>
    </row>
    <row r="2962" spans="1:1" x14ac:dyDescent="0.3">
      <c r="A2962" s="73"/>
    </row>
    <row r="2963" spans="1:1" x14ac:dyDescent="0.3">
      <c r="A2963" s="73"/>
    </row>
    <row r="2964" spans="1:1" x14ac:dyDescent="0.3">
      <c r="A2964" s="73"/>
    </row>
    <row r="2965" spans="1:1" x14ac:dyDescent="0.3">
      <c r="A2965" s="73"/>
    </row>
    <row r="2966" spans="1:1" x14ac:dyDescent="0.3">
      <c r="A2966" s="73"/>
    </row>
    <row r="2967" spans="1:1" x14ac:dyDescent="0.3">
      <c r="A2967" s="73"/>
    </row>
    <row r="2968" spans="1:1" x14ac:dyDescent="0.3">
      <c r="A2968" s="73"/>
    </row>
    <row r="2969" spans="1:1" x14ac:dyDescent="0.3">
      <c r="A2969" s="73"/>
    </row>
    <row r="2970" spans="1:1" x14ac:dyDescent="0.3">
      <c r="A2970" s="73"/>
    </row>
    <row r="2971" spans="1:1" x14ac:dyDescent="0.3">
      <c r="A2971" s="73"/>
    </row>
    <row r="2972" spans="1:1" x14ac:dyDescent="0.3">
      <c r="A2972" s="73"/>
    </row>
    <row r="2973" spans="1:1" x14ac:dyDescent="0.3">
      <c r="A2973" s="73"/>
    </row>
    <row r="2974" spans="1:1" x14ac:dyDescent="0.3">
      <c r="A2974" s="73"/>
    </row>
    <row r="2975" spans="1:1" x14ac:dyDescent="0.3">
      <c r="A2975" s="73"/>
    </row>
    <row r="2976" spans="1:1" x14ac:dyDescent="0.3">
      <c r="A2976" s="73"/>
    </row>
    <row r="2977" spans="1:1" x14ac:dyDescent="0.3">
      <c r="A2977" s="73"/>
    </row>
    <row r="2978" spans="1:1" x14ac:dyDescent="0.3">
      <c r="A2978" s="73"/>
    </row>
    <row r="2979" spans="1:1" x14ac:dyDescent="0.3">
      <c r="A2979" s="73"/>
    </row>
    <row r="2980" spans="1:1" x14ac:dyDescent="0.3">
      <c r="A2980" s="73"/>
    </row>
    <row r="2981" spans="1:1" x14ac:dyDescent="0.3">
      <c r="A2981" s="73"/>
    </row>
    <row r="2982" spans="1:1" x14ac:dyDescent="0.3">
      <c r="A2982" s="73"/>
    </row>
    <row r="2983" spans="1:1" x14ac:dyDescent="0.3">
      <c r="A2983" s="73"/>
    </row>
    <row r="2984" spans="1:1" x14ac:dyDescent="0.3">
      <c r="A2984" s="73"/>
    </row>
    <row r="2985" spans="1:1" x14ac:dyDescent="0.3">
      <c r="A2985" s="73"/>
    </row>
    <row r="2986" spans="1:1" x14ac:dyDescent="0.3">
      <c r="A2986" s="73"/>
    </row>
    <row r="2987" spans="1:1" x14ac:dyDescent="0.3">
      <c r="A2987" s="73"/>
    </row>
    <row r="2988" spans="1:1" x14ac:dyDescent="0.3">
      <c r="A2988" s="73"/>
    </row>
    <row r="2989" spans="1:1" x14ac:dyDescent="0.3">
      <c r="A2989" s="73"/>
    </row>
    <row r="2990" spans="1:1" x14ac:dyDescent="0.3">
      <c r="A2990" s="73"/>
    </row>
    <row r="2991" spans="1:1" x14ac:dyDescent="0.3">
      <c r="A2991" s="73"/>
    </row>
    <row r="2992" spans="1:1" x14ac:dyDescent="0.3">
      <c r="A2992" s="73"/>
    </row>
    <row r="2993" spans="1:1" x14ac:dyDescent="0.3">
      <c r="A2993" s="73"/>
    </row>
    <row r="2994" spans="1:1" x14ac:dyDescent="0.3">
      <c r="A2994" s="73"/>
    </row>
    <row r="2995" spans="1:1" x14ac:dyDescent="0.3">
      <c r="A2995" s="73"/>
    </row>
    <row r="2996" spans="1:1" x14ac:dyDescent="0.3">
      <c r="A2996" s="73"/>
    </row>
    <row r="2997" spans="1:1" x14ac:dyDescent="0.3">
      <c r="A2997" s="73"/>
    </row>
    <row r="2998" spans="1:1" x14ac:dyDescent="0.3">
      <c r="A2998" s="73"/>
    </row>
    <row r="2999" spans="1:1" x14ac:dyDescent="0.3">
      <c r="A2999" s="73"/>
    </row>
    <row r="3000" spans="1:1" x14ac:dyDescent="0.3">
      <c r="A3000" s="73"/>
    </row>
    <row r="3001" spans="1:1" x14ac:dyDescent="0.3">
      <c r="A3001" s="73"/>
    </row>
    <row r="3002" spans="1:1" x14ac:dyDescent="0.3">
      <c r="A3002" s="73"/>
    </row>
    <row r="3003" spans="1:1" x14ac:dyDescent="0.3">
      <c r="A3003" s="73"/>
    </row>
    <row r="3004" spans="1:1" x14ac:dyDescent="0.3">
      <c r="A3004" s="73"/>
    </row>
    <row r="3005" spans="1:1" x14ac:dyDescent="0.3">
      <c r="A3005" s="73"/>
    </row>
    <row r="3006" spans="1:1" x14ac:dyDescent="0.3">
      <c r="A3006" s="73"/>
    </row>
    <row r="3007" spans="1:1" x14ac:dyDescent="0.3">
      <c r="A3007" s="73"/>
    </row>
    <row r="3008" spans="1:1" x14ac:dyDescent="0.3">
      <c r="A3008" s="73"/>
    </row>
    <row r="3009" spans="1:1" x14ac:dyDescent="0.3">
      <c r="A3009" s="73"/>
    </row>
    <row r="3010" spans="1:1" x14ac:dyDescent="0.3">
      <c r="A3010" s="73"/>
    </row>
    <row r="3011" spans="1:1" x14ac:dyDescent="0.3">
      <c r="A3011" s="73"/>
    </row>
    <row r="3012" spans="1:1" x14ac:dyDescent="0.3">
      <c r="A3012" s="73"/>
    </row>
    <row r="3013" spans="1:1" x14ac:dyDescent="0.3">
      <c r="A3013" s="73"/>
    </row>
    <row r="3014" spans="1:1" x14ac:dyDescent="0.3">
      <c r="A3014" s="73"/>
    </row>
    <row r="3015" spans="1:1" x14ac:dyDescent="0.3">
      <c r="A3015" s="73"/>
    </row>
    <row r="3016" spans="1:1" x14ac:dyDescent="0.3">
      <c r="A3016" s="73"/>
    </row>
    <row r="3017" spans="1:1" x14ac:dyDescent="0.3">
      <c r="A3017" s="73"/>
    </row>
    <row r="3018" spans="1:1" x14ac:dyDescent="0.3">
      <c r="A3018" s="73"/>
    </row>
    <row r="3019" spans="1:1" x14ac:dyDescent="0.3">
      <c r="A3019" s="73"/>
    </row>
    <row r="3020" spans="1:1" x14ac:dyDescent="0.3">
      <c r="A3020" s="73"/>
    </row>
    <row r="3021" spans="1:1" x14ac:dyDescent="0.3">
      <c r="A3021" s="73"/>
    </row>
    <row r="3022" spans="1:1" x14ac:dyDescent="0.3">
      <c r="A3022" s="73"/>
    </row>
    <row r="3023" spans="1:1" x14ac:dyDescent="0.3">
      <c r="A3023" s="73"/>
    </row>
    <row r="3024" spans="1:1" x14ac:dyDescent="0.3">
      <c r="A3024" s="73"/>
    </row>
    <row r="3025" spans="1:1" x14ac:dyDescent="0.3">
      <c r="A3025" s="73"/>
    </row>
    <row r="3026" spans="1:1" x14ac:dyDescent="0.3">
      <c r="A3026" s="73"/>
    </row>
    <row r="3027" spans="1:1" x14ac:dyDescent="0.3">
      <c r="A3027" s="73"/>
    </row>
    <row r="3028" spans="1:1" x14ac:dyDescent="0.3">
      <c r="A3028" s="73"/>
    </row>
    <row r="3029" spans="1:1" x14ac:dyDescent="0.3">
      <c r="A3029" s="73"/>
    </row>
    <row r="3030" spans="1:1" x14ac:dyDescent="0.3">
      <c r="A3030" s="73"/>
    </row>
    <row r="3031" spans="1:1" x14ac:dyDescent="0.3">
      <c r="A3031" s="73"/>
    </row>
    <row r="3032" spans="1:1" x14ac:dyDescent="0.3">
      <c r="A3032" s="73"/>
    </row>
    <row r="3033" spans="1:1" x14ac:dyDescent="0.3">
      <c r="A3033" s="73"/>
    </row>
    <row r="3034" spans="1:1" x14ac:dyDescent="0.3">
      <c r="A3034" s="73"/>
    </row>
    <row r="3035" spans="1:1" x14ac:dyDescent="0.3">
      <c r="A3035" s="73"/>
    </row>
    <row r="3036" spans="1:1" x14ac:dyDescent="0.3">
      <c r="A3036" s="73"/>
    </row>
    <row r="3037" spans="1:1" x14ac:dyDescent="0.3">
      <c r="A3037" s="73"/>
    </row>
    <row r="3038" spans="1:1" x14ac:dyDescent="0.3">
      <c r="A3038" s="73"/>
    </row>
    <row r="3039" spans="1:1" x14ac:dyDescent="0.3">
      <c r="A3039" s="73"/>
    </row>
    <row r="3040" spans="1:1" x14ac:dyDescent="0.3">
      <c r="A3040" s="73"/>
    </row>
    <row r="3041" spans="1:1" x14ac:dyDescent="0.3">
      <c r="A3041" s="73"/>
    </row>
    <row r="3042" spans="1:1" x14ac:dyDescent="0.3">
      <c r="A3042" s="73"/>
    </row>
    <row r="3043" spans="1:1" x14ac:dyDescent="0.3">
      <c r="A3043" s="73"/>
    </row>
    <row r="3044" spans="1:1" x14ac:dyDescent="0.3">
      <c r="A3044" s="73"/>
    </row>
    <row r="3045" spans="1:1" x14ac:dyDescent="0.3">
      <c r="A3045" s="73"/>
    </row>
    <row r="3046" spans="1:1" x14ac:dyDescent="0.3">
      <c r="A3046" s="73"/>
    </row>
    <row r="3047" spans="1:1" x14ac:dyDescent="0.3">
      <c r="A3047" s="73"/>
    </row>
    <row r="3048" spans="1:1" x14ac:dyDescent="0.3">
      <c r="A3048" s="73"/>
    </row>
    <row r="3049" spans="1:1" x14ac:dyDescent="0.3">
      <c r="A3049" s="73"/>
    </row>
    <row r="3050" spans="1:1" x14ac:dyDescent="0.3">
      <c r="A3050" s="73"/>
    </row>
    <row r="3051" spans="1:1" x14ac:dyDescent="0.3">
      <c r="A3051" s="73"/>
    </row>
    <row r="3052" spans="1:1" x14ac:dyDescent="0.3">
      <c r="A3052" s="73"/>
    </row>
    <row r="3053" spans="1:1" x14ac:dyDescent="0.3">
      <c r="A3053" s="73"/>
    </row>
    <row r="3054" spans="1:1" x14ac:dyDescent="0.3">
      <c r="A3054" s="73"/>
    </row>
    <row r="3055" spans="1:1" x14ac:dyDescent="0.3">
      <c r="A3055" s="73"/>
    </row>
    <row r="3056" spans="1:1" x14ac:dyDescent="0.3">
      <c r="A3056" s="73"/>
    </row>
    <row r="3057" spans="1:1" x14ac:dyDescent="0.3">
      <c r="A3057" s="73"/>
    </row>
    <row r="3058" spans="1:1" x14ac:dyDescent="0.3">
      <c r="A3058" s="73"/>
    </row>
    <row r="3059" spans="1:1" x14ac:dyDescent="0.3">
      <c r="A3059" s="73"/>
    </row>
    <row r="3060" spans="1:1" x14ac:dyDescent="0.3">
      <c r="A3060" s="73"/>
    </row>
    <row r="3061" spans="1:1" x14ac:dyDescent="0.3">
      <c r="A3061" s="73"/>
    </row>
    <row r="3062" spans="1:1" x14ac:dyDescent="0.3">
      <c r="A3062" s="73"/>
    </row>
    <row r="3063" spans="1:1" x14ac:dyDescent="0.3">
      <c r="A3063" s="73"/>
    </row>
    <row r="3064" spans="1:1" x14ac:dyDescent="0.3">
      <c r="A3064" s="73"/>
    </row>
    <row r="3065" spans="1:1" x14ac:dyDescent="0.3">
      <c r="A3065" s="73"/>
    </row>
    <row r="3066" spans="1:1" x14ac:dyDescent="0.3">
      <c r="A3066" s="73"/>
    </row>
    <row r="3067" spans="1:1" x14ac:dyDescent="0.3">
      <c r="A3067" s="73"/>
    </row>
    <row r="3068" spans="1:1" x14ac:dyDescent="0.3">
      <c r="A3068" s="73"/>
    </row>
    <row r="3069" spans="1:1" x14ac:dyDescent="0.3">
      <c r="A3069" s="73"/>
    </row>
    <row r="3070" spans="1:1" x14ac:dyDescent="0.3">
      <c r="A3070" s="73"/>
    </row>
    <row r="3071" spans="1:1" x14ac:dyDescent="0.3">
      <c r="A3071" s="73"/>
    </row>
    <row r="3072" spans="1:1" x14ac:dyDescent="0.3">
      <c r="A3072" s="73"/>
    </row>
    <row r="3073" spans="1:19" x14ac:dyDescent="0.3">
      <c r="A3073" s="73"/>
    </row>
    <row r="3074" spans="1:19" x14ac:dyDescent="0.3">
      <c r="A3074" s="73"/>
    </row>
    <row r="3075" spans="1:19" x14ac:dyDescent="0.3">
      <c r="A3075" s="73"/>
    </row>
    <row r="3076" spans="1:19" x14ac:dyDescent="0.3">
      <c r="A3076" s="73"/>
    </row>
    <row r="3077" spans="1:19" x14ac:dyDescent="0.3">
      <c r="A3077" s="73"/>
    </row>
    <row r="3078" spans="1:19" x14ac:dyDescent="0.3">
      <c r="A3078" s="73"/>
    </row>
    <row r="3079" spans="1:19" x14ac:dyDescent="0.3">
      <c r="A3079" s="73"/>
    </row>
    <row r="3080" spans="1:19" x14ac:dyDescent="0.3">
      <c r="A3080" s="73"/>
    </row>
    <row r="3081" spans="1:19" x14ac:dyDescent="0.3">
      <c r="A3081" s="73"/>
    </row>
    <row r="3082" spans="1:19" x14ac:dyDescent="0.3">
      <c r="A3082" s="73"/>
    </row>
    <row r="3083" spans="1:19" x14ac:dyDescent="0.3">
      <c r="A3083" s="73"/>
    </row>
    <row r="3084" spans="1:19" x14ac:dyDescent="0.3">
      <c r="A3084" s="73"/>
      <c r="P3084" s="74"/>
      <c r="R3084" s="74"/>
    </row>
    <row r="3085" spans="1:19" x14ac:dyDescent="0.3">
      <c r="A3085" s="73"/>
      <c r="P3085" s="74"/>
      <c r="S3085" s="74"/>
    </row>
    <row r="3086" spans="1:19" x14ac:dyDescent="0.3">
      <c r="A3086" s="73"/>
    </row>
    <row r="3087" spans="1:19" x14ac:dyDescent="0.3">
      <c r="A3087" s="73"/>
    </row>
    <row r="3088" spans="1:19" x14ac:dyDescent="0.3">
      <c r="A3088" s="73"/>
    </row>
    <row r="3089" spans="1:1" x14ac:dyDescent="0.3">
      <c r="A3089" s="73"/>
    </row>
    <row r="3090" spans="1:1" x14ac:dyDescent="0.3">
      <c r="A3090" s="73"/>
    </row>
    <row r="3091" spans="1:1" x14ac:dyDescent="0.3">
      <c r="A3091" s="73"/>
    </row>
    <row r="3092" spans="1:1" x14ac:dyDescent="0.3">
      <c r="A3092" s="73"/>
    </row>
    <row r="3093" spans="1:1" x14ac:dyDescent="0.3">
      <c r="A3093" s="73"/>
    </row>
    <row r="3094" spans="1:1" x14ac:dyDescent="0.3">
      <c r="A3094" s="73"/>
    </row>
    <row r="3095" spans="1:1" x14ac:dyDescent="0.3">
      <c r="A3095" s="73"/>
    </row>
    <row r="3096" spans="1:1" x14ac:dyDescent="0.3">
      <c r="A3096" s="73"/>
    </row>
    <row r="3097" spans="1:1" x14ac:dyDescent="0.3">
      <c r="A3097" s="73"/>
    </row>
    <row r="3098" spans="1:1" x14ac:dyDescent="0.3">
      <c r="A3098" s="73"/>
    </row>
    <row r="3099" spans="1:1" x14ac:dyDescent="0.3">
      <c r="A3099" s="73"/>
    </row>
    <row r="3100" spans="1:1" x14ac:dyDescent="0.3">
      <c r="A3100" s="73"/>
    </row>
    <row r="3101" spans="1:1" x14ac:dyDescent="0.3">
      <c r="A3101" s="73"/>
    </row>
    <row r="3102" spans="1:1" x14ac:dyDescent="0.3">
      <c r="A3102" s="73"/>
    </row>
    <row r="3103" spans="1:1" x14ac:dyDescent="0.3">
      <c r="A3103" s="73"/>
    </row>
    <row r="3104" spans="1:1" x14ac:dyDescent="0.3">
      <c r="A3104" s="73"/>
    </row>
    <row r="3105" spans="1:1" x14ac:dyDescent="0.3">
      <c r="A3105" s="73"/>
    </row>
    <row r="3106" spans="1:1" x14ac:dyDescent="0.3">
      <c r="A3106" s="73"/>
    </row>
    <row r="3107" spans="1:1" x14ac:dyDescent="0.3">
      <c r="A3107" s="73"/>
    </row>
    <row r="3108" spans="1:1" x14ac:dyDescent="0.3">
      <c r="A3108" s="73"/>
    </row>
    <row r="3109" spans="1:1" x14ac:dyDescent="0.3">
      <c r="A3109" s="73"/>
    </row>
    <row r="3110" spans="1:1" x14ac:dyDescent="0.3">
      <c r="A3110" s="73"/>
    </row>
    <row r="3111" spans="1:1" x14ac:dyDescent="0.3">
      <c r="A3111" s="73"/>
    </row>
    <row r="3112" spans="1:1" x14ac:dyDescent="0.3">
      <c r="A3112" s="73"/>
    </row>
    <row r="3113" spans="1:1" x14ac:dyDescent="0.3">
      <c r="A3113" s="73"/>
    </row>
    <row r="3114" spans="1:1" x14ac:dyDescent="0.3">
      <c r="A3114" s="73"/>
    </row>
    <row r="3115" spans="1:1" x14ac:dyDescent="0.3">
      <c r="A3115" s="73"/>
    </row>
    <row r="3116" spans="1:1" x14ac:dyDescent="0.3">
      <c r="A3116" s="73"/>
    </row>
    <row r="3117" spans="1:1" x14ac:dyDescent="0.3">
      <c r="A3117" s="73"/>
    </row>
    <row r="3118" spans="1:1" x14ac:dyDescent="0.3">
      <c r="A3118" s="73"/>
    </row>
    <row r="3119" spans="1:1" x14ac:dyDescent="0.3">
      <c r="A3119" s="73"/>
    </row>
    <row r="3120" spans="1:1" x14ac:dyDescent="0.3">
      <c r="A3120" s="73"/>
    </row>
    <row r="3121" spans="1:1" x14ac:dyDescent="0.3">
      <c r="A3121" s="73"/>
    </row>
    <row r="3122" spans="1:1" x14ac:dyDescent="0.3">
      <c r="A3122" s="73"/>
    </row>
    <row r="3123" spans="1:1" x14ac:dyDescent="0.3">
      <c r="A3123" s="73"/>
    </row>
    <row r="3124" spans="1:1" x14ac:dyDescent="0.3">
      <c r="A3124" s="73"/>
    </row>
    <row r="3125" spans="1:1" x14ac:dyDescent="0.3">
      <c r="A3125" s="73"/>
    </row>
    <row r="3126" spans="1:1" x14ac:dyDescent="0.3">
      <c r="A3126" s="73"/>
    </row>
    <row r="3127" spans="1:1" x14ac:dyDescent="0.3">
      <c r="A3127" s="73"/>
    </row>
    <row r="3128" spans="1:1" x14ac:dyDescent="0.3">
      <c r="A3128" s="73"/>
    </row>
    <row r="3129" spans="1:1" x14ac:dyDescent="0.3">
      <c r="A3129" s="62"/>
    </row>
    <row r="3130" spans="1:1" x14ac:dyDescent="0.3">
      <c r="A3130" s="62"/>
    </row>
    <row r="3131" spans="1:1" x14ac:dyDescent="0.3">
      <c r="A3131" s="62"/>
    </row>
    <row r="3132" spans="1:1" x14ac:dyDescent="0.3">
      <c r="A3132" s="62"/>
    </row>
    <row r="3133" spans="1:1" x14ac:dyDescent="0.3">
      <c r="A3133" s="62"/>
    </row>
    <row r="3134" spans="1:1" x14ac:dyDescent="0.3">
      <c r="A3134" s="62"/>
    </row>
    <row r="3135" spans="1:1" x14ac:dyDescent="0.3">
      <c r="A3135" s="62"/>
    </row>
    <row r="3136" spans="1:1" x14ac:dyDescent="0.3">
      <c r="A3136" s="62"/>
    </row>
    <row r="3137" spans="1:1" x14ac:dyDescent="0.3">
      <c r="A3137" s="62"/>
    </row>
    <row r="3138" spans="1:1" x14ac:dyDescent="0.3">
      <c r="A3138" s="62"/>
    </row>
    <row r="3139" spans="1:1" x14ac:dyDescent="0.3">
      <c r="A3139" s="62"/>
    </row>
    <row r="3140" spans="1:1" x14ac:dyDescent="0.3">
      <c r="A3140" s="62"/>
    </row>
    <row r="3141" spans="1:1" x14ac:dyDescent="0.3">
      <c r="A3141" s="62"/>
    </row>
    <row r="3142" spans="1:1" x14ac:dyDescent="0.3">
      <c r="A3142" s="62"/>
    </row>
    <row r="3143" spans="1:1" x14ac:dyDescent="0.3">
      <c r="A3143" s="62"/>
    </row>
    <row r="3144" spans="1:1" x14ac:dyDescent="0.3">
      <c r="A3144" s="62"/>
    </row>
    <row r="3145" spans="1:1" x14ac:dyDescent="0.3">
      <c r="A3145" s="62"/>
    </row>
    <row r="3146" spans="1:1" x14ac:dyDescent="0.3">
      <c r="A3146" s="62"/>
    </row>
    <row r="3147" spans="1:1" x14ac:dyDescent="0.3">
      <c r="A3147" s="62"/>
    </row>
    <row r="3148" spans="1:1" x14ac:dyDescent="0.3">
      <c r="A3148" s="62"/>
    </row>
    <row r="3149" spans="1:1" x14ac:dyDescent="0.3">
      <c r="A3149" s="62"/>
    </row>
    <row r="3150" spans="1:1" x14ac:dyDescent="0.3">
      <c r="A3150" s="62"/>
    </row>
    <row r="3151" spans="1:1" x14ac:dyDescent="0.3">
      <c r="A3151" s="62"/>
    </row>
  </sheetData>
  <mergeCells count="3">
    <mergeCell ref="H6:P6"/>
    <mergeCell ref="H2767:P2767"/>
    <mergeCell ref="H2914:P2914"/>
  </mergeCells>
  <pageMargins left="1.05" right="0.26" top="0.65" bottom="0.16" header="1.04" footer="0.22"/>
  <pageSetup paperSize="9" scale="50" orientation="portrait" r:id="rId1"/>
  <headerFooter alignWithMargins="0"/>
  <rowBreaks count="1" manualBreakCount="1">
    <brk id="2838" max="2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956"/>
  <sheetViews>
    <sheetView topLeftCell="D1758" zoomScale="50" workbookViewId="0">
      <selection activeCell="E1772" sqref="E1772:AB1798"/>
    </sheetView>
  </sheetViews>
  <sheetFormatPr defaultRowHeight="21" x14ac:dyDescent="0.35"/>
  <cols>
    <col min="1" max="1" width="7.625" style="2" customWidth="1"/>
    <col min="2" max="2" width="3.625" style="2" customWidth="1"/>
    <col min="3" max="3" width="49.875" style="2" customWidth="1"/>
    <col min="4" max="4" width="17.25" style="2" customWidth="1"/>
    <col min="5" max="5" width="26.5" style="2" customWidth="1"/>
    <col min="6" max="6" width="23.5" style="2" customWidth="1"/>
    <col min="7" max="7" width="25" style="2" customWidth="1"/>
    <col min="8" max="8" width="26.625" style="2" customWidth="1"/>
    <col min="9" max="10" width="21.75" style="2" hidden="1" customWidth="1"/>
    <col min="11" max="11" width="21.375" style="2" hidden="1" customWidth="1"/>
    <col min="12" max="12" width="19.625" style="2" customWidth="1"/>
    <col min="13" max="13" width="24.75" style="2" customWidth="1"/>
    <col min="14" max="14" width="21.5" style="2" customWidth="1"/>
    <col min="15" max="15" width="18.125" style="2" customWidth="1"/>
    <col min="16" max="16" width="21" style="2" customWidth="1"/>
    <col min="17" max="17" width="24.25" style="2" hidden="1" customWidth="1"/>
    <col min="18" max="18" width="14.25" style="2" hidden="1" customWidth="1"/>
    <col min="19" max="19" width="18" style="2" hidden="1" customWidth="1"/>
    <col min="20" max="20" width="21" style="2" customWidth="1"/>
    <col min="21" max="21" width="25.375" style="2" customWidth="1"/>
    <col min="22" max="22" width="17.625" style="2" hidden="1" customWidth="1"/>
    <col min="23" max="23" width="15.625" style="2" hidden="1" customWidth="1"/>
    <col min="24" max="24" width="23.75" style="2" customWidth="1"/>
    <col min="25" max="25" width="0" style="2" hidden="1" customWidth="1"/>
    <col min="26" max="26" width="23.25" style="2" customWidth="1"/>
    <col min="27" max="27" width="25" style="8" customWidth="1"/>
    <col min="28" max="28" width="22.125" style="8" customWidth="1"/>
  </cols>
  <sheetData>
    <row r="1" spans="1:28" x14ac:dyDescent="0.35">
      <c r="B1" s="1" t="s">
        <v>1068</v>
      </c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6"/>
    </row>
    <row r="2" spans="1:28" x14ac:dyDescent="0.35">
      <c r="B2" s="7" t="s">
        <v>1069</v>
      </c>
      <c r="C2" s="6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6"/>
    </row>
    <row r="3" spans="1:28" x14ac:dyDescent="0.35">
      <c r="B3" s="7" t="s">
        <v>1147</v>
      </c>
      <c r="C3" s="6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8" x14ac:dyDescent="0.35">
      <c r="B4" s="6"/>
      <c r="C4" s="8"/>
      <c r="D4" s="15" t="s">
        <v>0</v>
      </c>
      <c r="E4" s="8"/>
      <c r="F4" s="8"/>
      <c r="G4" s="15" t="s">
        <v>1</v>
      </c>
      <c r="H4" s="9"/>
      <c r="I4" s="15" t="s">
        <v>2</v>
      </c>
      <c r="J4" s="8"/>
      <c r="K4" s="15" t="s">
        <v>2</v>
      </c>
      <c r="L4" s="15" t="s">
        <v>3</v>
      </c>
      <c r="M4" s="15" t="s">
        <v>3</v>
      </c>
      <c r="N4" s="8"/>
      <c r="O4" s="15" t="s">
        <v>4</v>
      </c>
      <c r="P4" s="9"/>
      <c r="Q4" s="8"/>
      <c r="R4" s="8"/>
      <c r="S4" s="15" t="s">
        <v>2</v>
      </c>
      <c r="T4" s="15" t="s">
        <v>3</v>
      </c>
      <c r="U4" s="15" t="s">
        <v>3</v>
      </c>
      <c r="V4" s="15" t="s">
        <v>3</v>
      </c>
      <c r="W4" s="15" t="s">
        <v>5</v>
      </c>
      <c r="X4" s="15" t="s">
        <v>3</v>
      </c>
      <c r="Y4" s="15" t="s">
        <v>2</v>
      </c>
      <c r="Z4" s="15" t="s">
        <v>5</v>
      </c>
      <c r="AA4" s="51" t="s">
        <v>1109</v>
      </c>
      <c r="AB4" s="51" t="s">
        <v>5</v>
      </c>
    </row>
    <row r="5" spans="1:28" x14ac:dyDescent="0.35">
      <c r="B5" s="6"/>
      <c r="C5" s="8"/>
      <c r="D5" s="15" t="s">
        <v>6</v>
      </c>
      <c r="E5" s="15" t="s">
        <v>7</v>
      </c>
      <c r="F5" s="15" t="s">
        <v>8</v>
      </c>
      <c r="G5" s="15" t="s">
        <v>9</v>
      </c>
      <c r="H5" s="9"/>
      <c r="I5" s="15" t="s">
        <v>10</v>
      </c>
      <c r="J5" s="15" t="s">
        <v>11</v>
      </c>
      <c r="K5" s="15" t="s">
        <v>12</v>
      </c>
      <c r="L5" s="15" t="s">
        <v>1</v>
      </c>
      <c r="M5" s="15" t="s">
        <v>1</v>
      </c>
      <c r="N5" s="15" t="s">
        <v>4</v>
      </c>
      <c r="O5" s="15" t="s">
        <v>12</v>
      </c>
      <c r="P5" s="9"/>
      <c r="Q5" s="15" t="s">
        <v>2</v>
      </c>
      <c r="R5" s="15" t="s">
        <v>11</v>
      </c>
      <c r="S5" s="15" t="s">
        <v>12</v>
      </c>
      <c r="T5" s="15" t="s">
        <v>13</v>
      </c>
      <c r="U5" s="15" t="s">
        <v>13</v>
      </c>
      <c r="V5" s="15" t="s">
        <v>9</v>
      </c>
      <c r="W5" s="15" t="s">
        <v>14</v>
      </c>
      <c r="X5" s="15" t="s">
        <v>9</v>
      </c>
      <c r="Y5" s="15" t="s">
        <v>15</v>
      </c>
      <c r="Z5" s="15" t="s">
        <v>14</v>
      </c>
      <c r="AA5" s="51" t="s">
        <v>9</v>
      </c>
      <c r="AB5" s="51" t="s">
        <v>14</v>
      </c>
    </row>
    <row r="6" spans="1:28" x14ac:dyDescent="0.35">
      <c r="B6" s="6"/>
      <c r="C6" s="15" t="s">
        <v>16</v>
      </c>
      <c r="D6" s="15" t="s">
        <v>17</v>
      </c>
      <c r="E6" s="15" t="s">
        <v>18</v>
      </c>
      <c r="F6" s="15" t="s">
        <v>1130</v>
      </c>
      <c r="G6" s="15" t="s">
        <v>19</v>
      </c>
      <c r="H6" s="15" t="s">
        <v>20</v>
      </c>
      <c r="I6" s="15" t="s">
        <v>21</v>
      </c>
      <c r="J6" s="15" t="s">
        <v>22</v>
      </c>
      <c r="K6" s="15" t="s">
        <v>21</v>
      </c>
      <c r="L6" s="15" t="s">
        <v>2</v>
      </c>
      <c r="M6" s="15" t="s">
        <v>9</v>
      </c>
      <c r="N6" s="15" t="str">
        <f>+F6</f>
        <v>AS OF 01/31/05</v>
      </c>
      <c r="O6" s="15" t="s">
        <v>21</v>
      </c>
      <c r="P6" s="15" t="s">
        <v>20</v>
      </c>
      <c r="Q6" s="15" t="s">
        <v>23</v>
      </c>
      <c r="R6" s="15" t="s">
        <v>24</v>
      </c>
      <c r="S6" s="15" t="s">
        <v>21</v>
      </c>
      <c r="T6" s="15" t="s">
        <v>2</v>
      </c>
      <c r="U6" s="15" t="s">
        <v>9</v>
      </c>
      <c r="V6" s="15" t="s">
        <v>25</v>
      </c>
      <c r="W6" s="7" t="s">
        <v>26</v>
      </c>
      <c r="X6" s="51" t="s">
        <v>1113</v>
      </c>
      <c r="Y6" s="15" t="s">
        <v>27</v>
      </c>
      <c r="Z6" s="51" t="s">
        <v>1113</v>
      </c>
      <c r="AA6" s="51" t="s">
        <v>1110</v>
      </c>
      <c r="AB6" s="51" t="s">
        <v>1110</v>
      </c>
    </row>
    <row r="7" spans="1:28" x14ac:dyDescent="0.35">
      <c r="A7" s="2" t="s">
        <v>1115</v>
      </c>
      <c r="B7" s="6"/>
      <c r="C7" s="16" t="s">
        <v>28</v>
      </c>
      <c r="D7" s="17" t="s">
        <v>29</v>
      </c>
      <c r="E7" s="7" t="s">
        <v>30</v>
      </c>
      <c r="F7" s="16" t="s">
        <v>31</v>
      </c>
      <c r="G7" s="7" t="s">
        <v>32</v>
      </c>
      <c r="H7" s="16" t="s">
        <v>33</v>
      </c>
      <c r="I7" s="7" t="s">
        <v>34</v>
      </c>
      <c r="J7" s="7" t="s">
        <v>35</v>
      </c>
      <c r="K7" s="7" t="s">
        <v>34</v>
      </c>
      <c r="L7" s="16" t="s">
        <v>31</v>
      </c>
      <c r="M7" s="7" t="s">
        <v>36</v>
      </c>
      <c r="N7" s="17" t="s">
        <v>37</v>
      </c>
      <c r="O7" s="7" t="s">
        <v>38</v>
      </c>
      <c r="P7" s="7" t="s">
        <v>39</v>
      </c>
      <c r="Q7" s="7" t="s">
        <v>40</v>
      </c>
      <c r="R7" s="7" t="s">
        <v>41</v>
      </c>
      <c r="S7" s="7" t="s">
        <v>34</v>
      </c>
      <c r="T7" s="16" t="s">
        <v>42</v>
      </c>
      <c r="U7" s="7" t="s">
        <v>43</v>
      </c>
      <c r="V7" s="7" t="s">
        <v>44</v>
      </c>
      <c r="W7" s="7" t="s">
        <v>45</v>
      </c>
      <c r="X7" s="7" t="s">
        <v>46</v>
      </c>
      <c r="Y7" s="7" t="s">
        <v>34</v>
      </c>
      <c r="Z7" s="7" t="s">
        <v>47</v>
      </c>
      <c r="AA7" s="13" t="s">
        <v>42</v>
      </c>
      <c r="AB7" s="7" t="s">
        <v>47</v>
      </c>
    </row>
    <row r="8" spans="1:28" x14ac:dyDescent="0.35">
      <c r="A8" s="35"/>
      <c r="B8" s="6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8" ht="23.25" x14ac:dyDescent="0.35">
      <c r="A9" s="35"/>
      <c r="B9" s="19" t="s">
        <v>48</v>
      </c>
      <c r="C9" s="20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8" x14ac:dyDescent="0.35">
      <c r="A10" s="35"/>
      <c r="B10" s="8"/>
      <c r="C10" s="6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8" x14ac:dyDescent="0.35">
      <c r="A11" s="38" t="s">
        <v>934</v>
      </c>
      <c r="B11" s="7" t="s">
        <v>49</v>
      </c>
      <c r="C11" s="6"/>
      <c r="D11" s="15" t="s">
        <v>50</v>
      </c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8" x14ac:dyDescent="0.35">
      <c r="A12" s="36"/>
      <c r="B12" s="6"/>
      <c r="C12" s="7" t="s">
        <v>51</v>
      </c>
      <c r="D12" s="14" t="s">
        <v>52</v>
      </c>
      <c r="E12" s="9">
        <f>STATS1003B!E12/1000</f>
        <v>5904.16446</v>
      </c>
      <c r="F12" s="9">
        <f>STATS1003B!F12/1000</f>
        <v>5692.4485300000006</v>
      </c>
      <c r="G12" s="9">
        <f>STATS1003B!G12/1000</f>
        <v>0</v>
      </c>
      <c r="H12" s="9">
        <f>STATS1003B!H12/1000</f>
        <v>5692.4485300000006</v>
      </c>
      <c r="I12" s="9">
        <f>STATS1003B!I12/1000</f>
        <v>0</v>
      </c>
      <c r="J12" s="9">
        <f>STATS1003B!J12/1000</f>
        <v>0</v>
      </c>
      <c r="K12" s="9">
        <f>STATS1003B!K12/1000</f>
        <v>0</v>
      </c>
      <c r="L12" s="9">
        <f>STATS1003B!L12/1000</f>
        <v>0</v>
      </c>
      <c r="M12" s="9">
        <f>STATS1003B!M12/1000</f>
        <v>5692.4485300000006</v>
      </c>
      <c r="N12" s="9">
        <f>STATS1003B!N12/1000</f>
        <v>211.71592999999999</v>
      </c>
      <c r="O12" s="9">
        <f>STATS1003B!O12/1000</f>
        <v>0</v>
      </c>
      <c r="P12" s="9">
        <f>STATS1003B!P12/1000</f>
        <v>211.71592999999999</v>
      </c>
      <c r="Q12" s="9">
        <f>STATS1003B!Q12/1000</f>
        <v>0</v>
      </c>
      <c r="R12" s="9">
        <f>STATS1003B!R12/1000</f>
        <v>0</v>
      </c>
      <c r="S12" s="9">
        <f>STATS1003B!S12/1000</f>
        <v>0</v>
      </c>
      <c r="T12" s="9">
        <f>STATS1003B!T12/1000</f>
        <v>0</v>
      </c>
      <c r="U12" s="9">
        <f>STATS1003B!U12/1000</f>
        <v>211.71592999999999</v>
      </c>
      <c r="V12" s="9">
        <f>STATS1003B!V12/1000</f>
        <v>5904.16446</v>
      </c>
      <c r="W12" s="9">
        <f>STATS1003B!W12/1000</f>
        <v>0</v>
      </c>
      <c r="X12" s="9">
        <f>STATS1003B!X12/1000</f>
        <v>5904.16446</v>
      </c>
      <c r="Y12" s="9">
        <f>STATS1003B!Y12/1000</f>
        <v>0</v>
      </c>
      <c r="Z12" s="9">
        <f>STATS1003B!Z12/1000</f>
        <v>0</v>
      </c>
      <c r="AA12" s="9">
        <f>STATS1003B!AA12/1000</f>
        <v>5904.16446</v>
      </c>
      <c r="AB12" s="9">
        <f>STATS1003B!AB12/1000</f>
        <v>0</v>
      </c>
    </row>
    <row r="13" spans="1:28" x14ac:dyDescent="0.35">
      <c r="A13" s="36"/>
      <c r="B13" s="6"/>
      <c r="C13" s="7" t="s">
        <v>53</v>
      </c>
      <c r="D13" s="15" t="s">
        <v>54</v>
      </c>
      <c r="E13" s="9">
        <f>STATS1003B!E13/1000</f>
        <v>2306.1060000000002</v>
      </c>
      <c r="F13" s="9">
        <f>STATS1003B!F13/1000</f>
        <v>0</v>
      </c>
      <c r="G13" s="9">
        <f>STATS1003B!G13/1000</f>
        <v>0</v>
      </c>
      <c r="H13" s="9">
        <f>STATS1003B!H13/1000</f>
        <v>0</v>
      </c>
      <c r="I13" s="9">
        <f>STATS1003B!I13/1000</f>
        <v>0</v>
      </c>
      <c r="J13" s="9">
        <f>STATS1003B!J13/1000</f>
        <v>0</v>
      </c>
      <c r="K13" s="9">
        <f>STATS1003B!K13/1000</f>
        <v>0</v>
      </c>
      <c r="L13" s="9">
        <f>STATS1003B!L13/1000</f>
        <v>0</v>
      </c>
      <c r="M13" s="9">
        <f>STATS1003B!M13/1000</f>
        <v>0</v>
      </c>
      <c r="N13" s="9">
        <f>STATS1003B!N13/1000</f>
        <v>2306.1060000000002</v>
      </c>
      <c r="O13" s="9">
        <f>STATS1003B!O13/1000</f>
        <v>0</v>
      </c>
      <c r="P13" s="9">
        <f>STATS1003B!P13/1000</f>
        <v>2306.1060000000002</v>
      </c>
      <c r="Q13" s="9">
        <f>STATS1003B!Q13/1000</f>
        <v>0</v>
      </c>
      <c r="R13" s="9">
        <f>STATS1003B!R13/1000</f>
        <v>0</v>
      </c>
      <c r="S13" s="9">
        <f>STATS1003B!S13/1000</f>
        <v>0</v>
      </c>
      <c r="T13" s="9">
        <f>STATS1003B!T13/1000</f>
        <v>0</v>
      </c>
      <c r="U13" s="9">
        <f>STATS1003B!U13/1000</f>
        <v>2306.1060000000002</v>
      </c>
      <c r="V13" s="9">
        <f>STATS1003B!V13/1000</f>
        <v>2306.1060000000002</v>
      </c>
      <c r="W13" s="9">
        <f>STATS1003B!W13/1000</f>
        <v>0</v>
      </c>
      <c r="X13" s="9">
        <f>STATS1003B!X13/1000</f>
        <v>2306.1060000000002</v>
      </c>
      <c r="Y13" s="9">
        <f>STATS1003B!Y13/1000</f>
        <v>0</v>
      </c>
      <c r="Z13" s="9">
        <f>STATS1003B!Z13/1000</f>
        <v>0</v>
      </c>
      <c r="AA13" s="9">
        <f>STATS1003B!AA13/1000</f>
        <v>2306.1060000000002</v>
      </c>
      <c r="AB13" s="9">
        <f>STATS1003B!AB13/1000</f>
        <v>0</v>
      </c>
    </row>
    <row r="14" spans="1:28" x14ac:dyDescent="0.35">
      <c r="A14" s="36"/>
      <c r="B14" s="6"/>
      <c r="C14" s="7" t="s">
        <v>55</v>
      </c>
      <c r="D14" s="7" t="s">
        <v>56</v>
      </c>
      <c r="E14" s="9">
        <f>STATS1003B!E14/1000</f>
        <v>3499.0277999999998</v>
      </c>
      <c r="F14" s="9">
        <f>STATS1003B!F14/1000</f>
        <v>0</v>
      </c>
      <c r="G14" s="9">
        <f>STATS1003B!G14/1000</f>
        <v>0</v>
      </c>
      <c r="H14" s="9">
        <f>STATS1003B!H14/1000</f>
        <v>0</v>
      </c>
      <c r="I14" s="9">
        <f>STATS1003B!I14/1000</f>
        <v>0</v>
      </c>
      <c r="J14" s="9">
        <f>STATS1003B!J14/1000</f>
        <v>0</v>
      </c>
      <c r="K14" s="9">
        <f>STATS1003B!K14/1000</f>
        <v>0</v>
      </c>
      <c r="L14" s="9">
        <f>STATS1003B!L14/1000</f>
        <v>0</v>
      </c>
      <c r="M14" s="9">
        <f>STATS1003B!M14/1000</f>
        <v>0</v>
      </c>
      <c r="N14" s="9">
        <f>STATS1003B!N14/1000</f>
        <v>3499.0277999999998</v>
      </c>
      <c r="O14" s="9">
        <f>STATS1003B!O14/1000</f>
        <v>0</v>
      </c>
      <c r="P14" s="9">
        <f>STATS1003B!P14/1000</f>
        <v>3499.0277999999998</v>
      </c>
      <c r="Q14" s="9">
        <f>STATS1003B!Q14/1000</f>
        <v>0</v>
      </c>
      <c r="R14" s="9">
        <f>STATS1003B!R14/1000</f>
        <v>0</v>
      </c>
      <c r="S14" s="9">
        <f>STATS1003B!S14/1000</f>
        <v>0</v>
      </c>
      <c r="T14" s="9">
        <f>STATS1003B!T14/1000</f>
        <v>0</v>
      </c>
      <c r="U14" s="9">
        <f>STATS1003B!U14/1000</f>
        <v>3499.0277999999998</v>
      </c>
      <c r="V14" s="9">
        <f>STATS1003B!V14/1000</f>
        <v>3499.0277999999998</v>
      </c>
      <c r="W14" s="9">
        <f>STATS1003B!W14/1000</f>
        <v>0</v>
      </c>
      <c r="X14" s="9">
        <f>STATS1003B!X14/1000</f>
        <v>3499.0277999999998</v>
      </c>
      <c r="Y14" s="9">
        <f>STATS1003B!Y14/1000</f>
        <v>0</v>
      </c>
      <c r="Z14" s="9">
        <f>STATS1003B!Z14/1000</f>
        <v>0</v>
      </c>
      <c r="AA14" s="9">
        <f>STATS1003B!AA14/1000</f>
        <v>3499.0277999999998</v>
      </c>
      <c r="AB14" s="9">
        <f>STATS1003B!AB14/1000</f>
        <v>0</v>
      </c>
    </row>
    <row r="15" spans="1:28" x14ac:dyDescent="0.35">
      <c r="A15" s="36"/>
      <c r="B15" s="6"/>
      <c r="C15" s="7" t="s">
        <v>57</v>
      </c>
      <c r="D15" s="15" t="s">
        <v>58</v>
      </c>
      <c r="E15" s="9">
        <f>STATS1003B!E15/1000</f>
        <v>1811.5129999999999</v>
      </c>
      <c r="F15" s="9">
        <f>STATS1003B!F15/1000</f>
        <v>1811.5129999999999</v>
      </c>
      <c r="G15" s="9">
        <f>STATS1003B!G15/1000</f>
        <v>0</v>
      </c>
      <c r="H15" s="9">
        <f>STATS1003B!H15/1000</f>
        <v>1811.5129999999999</v>
      </c>
      <c r="I15" s="9">
        <f>STATS1003B!I15/1000</f>
        <v>0</v>
      </c>
      <c r="J15" s="9">
        <f>STATS1003B!J15/1000</f>
        <v>0</v>
      </c>
      <c r="K15" s="9">
        <f>STATS1003B!K15/1000</f>
        <v>0</v>
      </c>
      <c r="L15" s="9">
        <f>STATS1003B!L15/1000</f>
        <v>0</v>
      </c>
      <c r="M15" s="9">
        <f>STATS1003B!M15/1000</f>
        <v>1811.5129999999999</v>
      </c>
      <c r="N15" s="9">
        <f>STATS1003B!N15/1000</f>
        <v>0</v>
      </c>
      <c r="O15" s="9">
        <f>STATS1003B!O15/1000</f>
        <v>0</v>
      </c>
      <c r="P15" s="9">
        <f>STATS1003B!P15/1000</f>
        <v>0</v>
      </c>
      <c r="Q15" s="9">
        <f>STATS1003B!Q15/1000</f>
        <v>0</v>
      </c>
      <c r="R15" s="9">
        <f>STATS1003B!R15/1000</f>
        <v>0</v>
      </c>
      <c r="S15" s="9">
        <f>STATS1003B!S15/1000</f>
        <v>0</v>
      </c>
      <c r="T15" s="9">
        <f>STATS1003B!T15/1000</f>
        <v>0</v>
      </c>
      <c r="U15" s="9">
        <f>STATS1003B!U15/1000</f>
        <v>0</v>
      </c>
      <c r="V15" s="9">
        <f>STATS1003B!V15/1000</f>
        <v>1811.5129999999999</v>
      </c>
      <c r="W15" s="9">
        <f>STATS1003B!W15/1000</f>
        <v>0</v>
      </c>
      <c r="X15" s="9">
        <f>STATS1003B!X15/1000</f>
        <v>1811.5129999999999</v>
      </c>
      <c r="Y15" s="9">
        <f>STATS1003B!Y15/1000</f>
        <v>0</v>
      </c>
      <c r="Z15" s="9">
        <f>STATS1003B!Z15/1000</f>
        <v>0</v>
      </c>
      <c r="AA15" s="9">
        <f>STATS1003B!AA15/1000</f>
        <v>1811.5129999999999</v>
      </c>
      <c r="AB15" s="9">
        <f>STATS1003B!AB15/1000</f>
        <v>0</v>
      </c>
    </row>
    <row r="16" spans="1:28" x14ac:dyDescent="0.35">
      <c r="A16" s="36"/>
      <c r="B16" s="6"/>
      <c r="C16" s="14" t="s">
        <v>59</v>
      </c>
      <c r="D16" s="16" t="s">
        <v>60</v>
      </c>
      <c r="E16" s="9">
        <f>STATS1003B!E16/1000</f>
        <v>5000</v>
      </c>
      <c r="F16" s="9">
        <f>STATS1003B!F16/1000</f>
        <v>5000</v>
      </c>
      <c r="G16" s="9">
        <f>STATS1003B!G16/1000</f>
        <v>0</v>
      </c>
      <c r="H16" s="9">
        <f>STATS1003B!H16/1000</f>
        <v>5000</v>
      </c>
      <c r="I16" s="9">
        <f>STATS1003B!I16/1000</f>
        <v>0</v>
      </c>
      <c r="J16" s="9">
        <f>STATS1003B!J16/1000</f>
        <v>0</v>
      </c>
      <c r="K16" s="9">
        <f>STATS1003B!K16/1000</f>
        <v>0</v>
      </c>
      <c r="L16" s="9">
        <f>STATS1003B!L16/1000</f>
        <v>0</v>
      </c>
      <c r="M16" s="9">
        <f>STATS1003B!M16/1000</f>
        <v>5000</v>
      </c>
      <c r="N16" s="9">
        <f>STATS1003B!N16/1000</f>
        <v>0</v>
      </c>
      <c r="O16" s="9">
        <f>STATS1003B!O16/1000</f>
        <v>0</v>
      </c>
      <c r="P16" s="9">
        <f>STATS1003B!P16/1000</f>
        <v>0</v>
      </c>
      <c r="Q16" s="9">
        <f>STATS1003B!Q16/1000</f>
        <v>0</v>
      </c>
      <c r="R16" s="9">
        <f>STATS1003B!R16/1000</f>
        <v>0</v>
      </c>
      <c r="S16" s="9">
        <f>STATS1003B!S16/1000</f>
        <v>0</v>
      </c>
      <c r="T16" s="9">
        <f>STATS1003B!T16/1000</f>
        <v>0</v>
      </c>
      <c r="U16" s="9">
        <f>STATS1003B!U16/1000</f>
        <v>0</v>
      </c>
      <c r="V16" s="9">
        <f>STATS1003B!V16/1000</f>
        <v>5000</v>
      </c>
      <c r="W16" s="9">
        <f>STATS1003B!W16/1000</f>
        <v>0</v>
      </c>
      <c r="X16" s="9">
        <f>STATS1003B!X16/1000</f>
        <v>5000</v>
      </c>
      <c r="Y16" s="9">
        <f>STATS1003B!Y16/1000</f>
        <v>0</v>
      </c>
      <c r="Z16" s="9">
        <f>STATS1003B!Z16/1000</f>
        <v>0</v>
      </c>
      <c r="AA16" s="9">
        <f>STATS1003B!AA16/1000</f>
        <v>5000</v>
      </c>
      <c r="AB16" s="9">
        <f>STATS1003B!AB16/1000</f>
        <v>0</v>
      </c>
    </row>
    <row r="17" spans="1:28" x14ac:dyDescent="0.35">
      <c r="A17" s="36"/>
      <c r="B17" s="6"/>
      <c r="C17" s="7" t="s">
        <v>57</v>
      </c>
      <c r="D17" s="15" t="s">
        <v>61</v>
      </c>
      <c r="E17" s="9">
        <f>STATS1003B!E17/1000</f>
        <v>1000</v>
      </c>
      <c r="F17" s="9">
        <f>STATS1003B!F17/1000</f>
        <v>1000</v>
      </c>
      <c r="G17" s="9">
        <f>STATS1003B!G17/1000</f>
        <v>0</v>
      </c>
      <c r="H17" s="9">
        <f>STATS1003B!H17/1000</f>
        <v>1000</v>
      </c>
      <c r="I17" s="9">
        <f>STATS1003B!I17/1000</f>
        <v>0</v>
      </c>
      <c r="J17" s="9">
        <f>STATS1003B!J17/1000</f>
        <v>0</v>
      </c>
      <c r="K17" s="9">
        <f>STATS1003B!K17/1000</f>
        <v>0</v>
      </c>
      <c r="L17" s="9">
        <f>STATS1003B!L17/1000</f>
        <v>0</v>
      </c>
      <c r="M17" s="9">
        <f>STATS1003B!M17/1000</f>
        <v>1000</v>
      </c>
      <c r="N17" s="9">
        <f>STATS1003B!N17/1000</f>
        <v>0</v>
      </c>
      <c r="O17" s="9">
        <f>STATS1003B!O17/1000</f>
        <v>0</v>
      </c>
      <c r="P17" s="9">
        <f>STATS1003B!P17/1000</f>
        <v>0</v>
      </c>
      <c r="Q17" s="9">
        <f>STATS1003B!Q17/1000</f>
        <v>0</v>
      </c>
      <c r="R17" s="9">
        <f>STATS1003B!R17/1000</f>
        <v>0</v>
      </c>
      <c r="S17" s="9">
        <f>STATS1003B!S17/1000</f>
        <v>0</v>
      </c>
      <c r="T17" s="9">
        <f>STATS1003B!T17/1000</f>
        <v>0</v>
      </c>
      <c r="U17" s="9">
        <f>STATS1003B!U17/1000</f>
        <v>0</v>
      </c>
      <c r="V17" s="9">
        <f>STATS1003B!V17/1000</f>
        <v>1000</v>
      </c>
      <c r="W17" s="9">
        <f>STATS1003B!W17/1000</f>
        <v>0</v>
      </c>
      <c r="X17" s="9">
        <f>STATS1003B!X17/1000</f>
        <v>1000</v>
      </c>
      <c r="Y17" s="9">
        <f>STATS1003B!Y17/1000</f>
        <v>0</v>
      </c>
      <c r="Z17" s="9">
        <f>STATS1003B!Z17/1000</f>
        <v>0</v>
      </c>
      <c r="AA17" s="9">
        <f>STATS1003B!AA17/1000</f>
        <v>1000</v>
      </c>
      <c r="AB17" s="9">
        <f>STATS1003B!AB17/1000</f>
        <v>0</v>
      </c>
    </row>
    <row r="18" spans="1:28" x14ac:dyDescent="0.35">
      <c r="A18" s="36"/>
      <c r="B18" s="6"/>
      <c r="C18" s="7" t="s">
        <v>930</v>
      </c>
      <c r="D18" s="16" t="s">
        <v>1072</v>
      </c>
      <c r="E18" s="9">
        <f>STATS1003B!E18/1000</f>
        <v>1706</v>
      </c>
      <c r="F18" s="9">
        <f>STATS1003B!F18/1000</f>
        <v>1706</v>
      </c>
      <c r="G18" s="9">
        <f>STATS1003B!G18/1000</f>
        <v>0</v>
      </c>
      <c r="H18" s="9">
        <f>STATS1003B!H18/1000</f>
        <v>1706</v>
      </c>
      <c r="I18" s="9">
        <f>STATS1003B!I18/1000</f>
        <v>0</v>
      </c>
      <c r="J18" s="9">
        <f>STATS1003B!J18/1000</f>
        <v>0</v>
      </c>
      <c r="K18" s="9">
        <f>STATS1003B!K18/1000</f>
        <v>0</v>
      </c>
      <c r="L18" s="9">
        <f>STATS1003B!L18/1000</f>
        <v>0</v>
      </c>
      <c r="M18" s="9">
        <f>STATS1003B!M18/1000</f>
        <v>1706</v>
      </c>
      <c r="N18" s="9">
        <f>STATS1003B!N18/1000</f>
        <v>0</v>
      </c>
      <c r="O18" s="9">
        <f>STATS1003B!O18/1000</f>
        <v>0</v>
      </c>
      <c r="P18" s="9">
        <f>STATS1003B!P18/1000</f>
        <v>0</v>
      </c>
      <c r="Q18" s="9">
        <f>STATS1003B!Q18/1000</f>
        <v>0</v>
      </c>
      <c r="R18" s="9">
        <f>STATS1003B!R18/1000</f>
        <v>0</v>
      </c>
      <c r="S18" s="9">
        <f>STATS1003B!S18/1000</f>
        <v>0</v>
      </c>
      <c r="T18" s="9">
        <f>STATS1003B!T18/1000</f>
        <v>0</v>
      </c>
      <c r="U18" s="9">
        <f>STATS1003B!U18/1000</f>
        <v>0</v>
      </c>
      <c r="V18" s="9">
        <f>STATS1003B!V18/1000</f>
        <v>1706</v>
      </c>
      <c r="W18" s="9">
        <f>STATS1003B!W18/1000</f>
        <v>0</v>
      </c>
      <c r="X18" s="9">
        <f>STATS1003B!X18/1000</f>
        <v>1706</v>
      </c>
      <c r="Y18" s="9">
        <f>STATS1003B!Y18/1000</f>
        <v>0</v>
      </c>
      <c r="Z18" s="9">
        <f>STATS1003B!Z18/1000</f>
        <v>0</v>
      </c>
      <c r="AA18" s="9">
        <f>STATS1003B!AA18/1000</f>
        <v>1706</v>
      </c>
      <c r="AB18" s="9">
        <f>STATS1003B!AB18/1000</f>
        <v>0</v>
      </c>
    </row>
    <row r="19" spans="1:28" x14ac:dyDescent="0.35">
      <c r="A19" s="36"/>
      <c r="B19" s="6"/>
      <c r="C19" s="7" t="s">
        <v>62</v>
      </c>
      <c r="D19" s="8"/>
      <c r="E19" s="9">
        <f>STATS1003B!E20/1000</f>
        <v>348.51620000000003</v>
      </c>
      <c r="F19" s="9">
        <f>STATS1003B!F20/1000</f>
        <v>348.51620000000003</v>
      </c>
      <c r="G19" s="9">
        <f>STATS1003B!G20/1000</f>
        <v>0</v>
      </c>
      <c r="H19" s="9">
        <f>STATS1003B!H20/1000</f>
        <v>348.51620000000003</v>
      </c>
      <c r="I19" s="9">
        <f>STATS1003B!I20/1000</f>
        <v>0</v>
      </c>
      <c r="J19" s="9">
        <f>STATS1003B!J20/1000</f>
        <v>0</v>
      </c>
      <c r="K19" s="9">
        <f>STATS1003B!K20/1000</f>
        <v>0</v>
      </c>
      <c r="L19" s="9">
        <f>STATS1003B!L20/1000</f>
        <v>0</v>
      </c>
      <c r="M19" s="9">
        <f>STATS1003B!M20/1000</f>
        <v>348.51620000000003</v>
      </c>
      <c r="N19" s="9">
        <f>STATS1003B!N20/1000</f>
        <v>0</v>
      </c>
      <c r="O19" s="9">
        <f>STATS1003B!O20/1000</f>
        <v>0</v>
      </c>
      <c r="P19" s="9">
        <f>STATS1003B!P20/1000</f>
        <v>0</v>
      </c>
      <c r="Q19" s="9">
        <f>STATS1003B!Q20/1000</f>
        <v>0</v>
      </c>
      <c r="R19" s="9">
        <f>STATS1003B!R20/1000</f>
        <v>0</v>
      </c>
      <c r="S19" s="9">
        <f>STATS1003B!S20/1000</f>
        <v>0</v>
      </c>
      <c r="T19" s="9">
        <f>STATS1003B!T20/1000</f>
        <v>0</v>
      </c>
      <c r="U19" s="9">
        <f>STATS1003B!U20/1000</f>
        <v>0</v>
      </c>
      <c r="V19" s="9">
        <f>STATS1003B!V20/1000</f>
        <v>348.51620000000003</v>
      </c>
      <c r="W19" s="9">
        <f>STATS1003B!W20/1000</f>
        <v>0</v>
      </c>
      <c r="X19" s="9">
        <f>STATS1003B!X20/1000</f>
        <v>348.51620000000003</v>
      </c>
      <c r="Y19" s="9">
        <f>STATS1003B!Y20/1000</f>
        <v>0</v>
      </c>
      <c r="Z19" s="9">
        <f>STATS1003B!Z20/1000</f>
        <v>0</v>
      </c>
      <c r="AA19" s="9">
        <f>STATS1003B!AA20/1000</f>
        <v>348.51620000000003</v>
      </c>
      <c r="AB19" s="9">
        <f>STATS1003B!AB20/1000</f>
        <v>0</v>
      </c>
    </row>
    <row r="20" spans="1:28" x14ac:dyDescent="0.35">
      <c r="A20" s="36"/>
      <c r="B20" s="6"/>
      <c r="C20" s="8"/>
      <c r="D20" s="8"/>
      <c r="E20" s="17" t="s">
        <v>29</v>
      </c>
      <c r="F20" s="17" t="s">
        <v>29</v>
      </c>
      <c r="G20" s="17" t="s">
        <v>29</v>
      </c>
      <c r="H20" s="17" t="s">
        <v>29</v>
      </c>
      <c r="I20" s="17" t="s">
        <v>29</v>
      </c>
      <c r="J20" s="17" t="s">
        <v>29</v>
      </c>
      <c r="K20" s="17" t="s">
        <v>29</v>
      </c>
      <c r="L20" s="17" t="s">
        <v>29</v>
      </c>
      <c r="M20" s="17" t="s">
        <v>29</v>
      </c>
      <c r="N20" s="17" t="s">
        <v>29</v>
      </c>
      <c r="O20" s="17" t="s">
        <v>29</v>
      </c>
      <c r="P20" s="17" t="s">
        <v>29</v>
      </c>
      <c r="Q20" s="17" t="s">
        <v>29</v>
      </c>
      <c r="R20" s="17" t="s">
        <v>29</v>
      </c>
      <c r="S20" s="17" t="s">
        <v>29</v>
      </c>
      <c r="T20" s="17" t="s">
        <v>29</v>
      </c>
      <c r="U20" s="17" t="s">
        <v>29</v>
      </c>
      <c r="V20" s="17" t="s">
        <v>29</v>
      </c>
      <c r="W20" s="17" t="s">
        <v>29</v>
      </c>
      <c r="X20" s="17" t="s">
        <v>29</v>
      </c>
      <c r="Y20" s="17" t="s">
        <v>29</v>
      </c>
      <c r="Z20" s="17" t="s">
        <v>29</v>
      </c>
      <c r="AA20" s="17" t="s">
        <v>29</v>
      </c>
      <c r="AB20" s="17" t="s">
        <v>29</v>
      </c>
    </row>
    <row r="21" spans="1:28" x14ac:dyDescent="0.35">
      <c r="A21" s="36"/>
      <c r="B21" s="6"/>
      <c r="C21" s="8"/>
      <c r="D21" s="8"/>
      <c r="E21" s="9">
        <f t="shared" ref="E21:AB21" si="0">SUM(E12:E19)</f>
        <v>21575.32746</v>
      </c>
      <c r="F21" s="9">
        <f t="shared" si="0"/>
        <v>15558.477730000001</v>
      </c>
      <c r="G21" s="9">
        <f t="shared" si="0"/>
        <v>0</v>
      </c>
      <c r="H21" s="9">
        <f t="shared" si="0"/>
        <v>15558.477730000001</v>
      </c>
      <c r="I21" s="9">
        <f t="shared" si="0"/>
        <v>0</v>
      </c>
      <c r="J21" s="9">
        <f t="shared" si="0"/>
        <v>0</v>
      </c>
      <c r="K21" s="9">
        <f t="shared" si="0"/>
        <v>0</v>
      </c>
      <c r="L21" s="9">
        <f t="shared" si="0"/>
        <v>0</v>
      </c>
      <c r="M21" s="9">
        <f t="shared" si="0"/>
        <v>15558.477730000001</v>
      </c>
      <c r="N21" s="9">
        <f t="shared" si="0"/>
        <v>6016.8497299999999</v>
      </c>
      <c r="O21" s="9">
        <f t="shared" si="0"/>
        <v>0</v>
      </c>
      <c r="P21" s="9">
        <f t="shared" si="0"/>
        <v>6016.8497299999999</v>
      </c>
      <c r="Q21" s="9">
        <f t="shared" si="0"/>
        <v>0</v>
      </c>
      <c r="R21" s="9">
        <f t="shared" si="0"/>
        <v>0</v>
      </c>
      <c r="S21" s="9">
        <f t="shared" si="0"/>
        <v>0</v>
      </c>
      <c r="T21" s="9">
        <f t="shared" si="0"/>
        <v>0</v>
      </c>
      <c r="U21" s="9">
        <f t="shared" si="0"/>
        <v>6016.8497299999999</v>
      </c>
      <c r="V21" s="9">
        <f t="shared" si="0"/>
        <v>21575.32746</v>
      </c>
      <c r="W21" s="9">
        <f t="shared" si="0"/>
        <v>0</v>
      </c>
      <c r="X21" s="9">
        <f t="shared" si="0"/>
        <v>21575.32746</v>
      </c>
      <c r="Y21" s="9">
        <f t="shared" si="0"/>
        <v>0</v>
      </c>
      <c r="Z21" s="9">
        <f t="shared" si="0"/>
        <v>0</v>
      </c>
      <c r="AA21" s="9">
        <f t="shared" si="0"/>
        <v>21575.32746</v>
      </c>
      <c r="AB21" s="9">
        <f t="shared" si="0"/>
        <v>0</v>
      </c>
    </row>
    <row r="22" spans="1:28" x14ac:dyDescent="0.35">
      <c r="A22" s="36"/>
      <c r="B22" s="6"/>
      <c r="C22" s="8"/>
      <c r="D22" s="8"/>
      <c r="E22" s="17" t="s">
        <v>29</v>
      </c>
      <c r="F22" s="17" t="s">
        <v>29</v>
      </c>
      <c r="G22" s="17" t="s">
        <v>29</v>
      </c>
      <c r="H22" s="17" t="s">
        <v>29</v>
      </c>
      <c r="I22" s="17" t="s">
        <v>29</v>
      </c>
      <c r="J22" s="17" t="s">
        <v>29</v>
      </c>
      <c r="K22" s="17" t="s">
        <v>29</v>
      </c>
      <c r="L22" s="17" t="s">
        <v>29</v>
      </c>
      <c r="M22" s="17" t="s">
        <v>29</v>
      </c>
      <c r="N22" s="17" t="s">
        <v>29</v>
      </c>
      <c r="O22" s="17" t="s">
        <v>29</v>
      </c>
      <c r="P22" s="17" t="s">
        <v>29</v>
      </c>
      <c r="Q22" s="17" t="s">
        <v>29</v>
      </c>
      <c r="R22" s="17" t="s">
        <v>29</v>
      </c>
      <c r="S22" s="17" t="s">
        <v>29</v>
      </c>
      <c r="T22" s="17" t="s">
        <v>29</v>
      </c>
      <c r="U22" s="17" t="s">
        <v>29</v>
      </c>
      <c r="V22" s="17" t="s">
        <v>29</v>
      </c>
      <c r="W22" s="17" t="s">
        <v>29</v>
      </c>
      <c r="X22" s="17" t="s">
        <v>29</v>
      </c>
      <c r="Y22" s="17" t="s">
        <v>29</v>
      </c>
      <c r="Z22" s="17" t="s">
        <v>29</v>
      </c>
      <c r="AA22" s="17" t="s">
        <v>29</v>
      </c>
      <c r="AB22" s="17" t="s">
        <v>29</v>
      </c>
    </row>
    <row r="23" spans="1:28" x14ac:dyDescent="0.35">
      <c r="A23" s="36"/>
      <c r="B23" s="6"/>
      <c r="C23" s="8"/>
      <c r="D23" s="8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spans="1:28" x14ac:dyDescent="0.35">
      <c r="A24" s="38" t="s">
        <v>935</v>
      </c>
      <c r="B24" s="7" t="s">
        <v>63</v>
      </c>
      <c r="C24" s="6"/>
      <c r="D24" s="15" t="s">
        <v>64</v>
      </c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8" x14ac:dyDescent="0.35">
      <c r="A25" s="36"/>
      <c r="B25" s="6"/>
      <c r="C25" s="7" t="s">
        <v>51</v>
      </c>
      <c r="D25" s="14" t="s">
        <v>65</v>
      </c>
      <c r="E25" s="9">
        <f>STATS1003B!E26/1000</f>
        <v>8606.1616400000003</v>
      </c>
      <c r="F25" s="9">
        <f>STATS1003B!F26/1000</f>
        <v>6205.7602999999999</v>
      </c>
      <c r="G25" s="9">
        <f>STATS1003B!G26/1000</f>
        <v>0</v>
      </c>
      <c r="H25" s="9">
        <f>STATS1003B!H26/1000</f>
        <v>6205.7602999999999</v>
      </c>
      <c r="I25" s="9">
        <f>STATS1003B!I26/1000</f>
        <v>0</v>
      </c>
      <c r="J25" s="9">
        <f>STATS1003B!J26/1000</f>
        <v>0</v>
      </c>
      <c r="K25" s="9">
        <f>STATS1003B!K26/1000</f>
        <v>0</v>
      </c>
      <c r="L25" s="9">
        <f>STATS1003B!L26/1000</f>
        <v>0</v>
      </c>
      <c r="M25" s="9">
        <f>STATS1003B!M26/1000</f>
        <v>6205.7602999999999</v>
      </c>
      <c r="N25" s="9">
        <f>STATS1003B!N26/1000</f>
        <v>2400.4013399999999</v>
      </c>
      <c r="O25" s="9">
        <f>STATS1003B!O26/1000</f>
        <v>0</v>
      </c>
      <c r="P25" s="9">
        <f>STATS1003B!P26/1000</f>
        <v>2400.4013399999999</v>
      </c>
      <c r="Q25" s="9">
        <f>STATS1003B!Q26/1000</f>
        <v>0</v>
      </c>
      <c r="R25" s="9">
        <f>STATS1003B!R26/1000</f>
        <v>0</v>
      </c>
      <c r="S25" s="9">
        <f>STATS1003B!S26/1000</f>
        <v>0</v>
      </c>
      <c r="T25" s="9">
        <f>STATS1003B!T26/1000</f>
        <v>0</v>
      </c>
      <c r="U25" s="9">
        <f>STATS1003B!U26/1000</f>
        <v>2400.4013399999999</v>
      </c>
      <c r="V25" s="9">
        <f>STATS1003B!V26/1000</f>
        <v>8606.1616400000003</v>
      </c>
      <c r="W25" s="9">
        <f>STATS1003B!W26/1000</f>
        <v>0</v>
      </c>
      <c r="X25" s="9">
        <f>STATS1003B!X26/1000</f>
        <v>8606.1616400000003</v>
      </c>
      <c r="Y25" s="9">
        <f>STATS1003B!Y26/1000</f>
        <v>0</v>
      </c>
      <c r="Z25" s="9">
        <f>STATS1003B!Z26/1000</f>
        <v>0</v>
      </c>
      <c r="AA25" s="9">
        <f>STATS1003B!AA26/1000</f>
        <v>8606.1616400000003</v>
      </c>
      <c r="AB25" s="9">
        <f>STATS1003B!AB26/1000</f>
        <v>0</v>
      </c>
    </row>
    <row r="26" spans="1:28" x14ac:dyDescent="0.35">
      <c r="A26" s="36"/>
      <c r="B26" s="6"/>
      <c r="C26" s="7" t="s">
        <v>66</v>
      </c>
      <c r="D26" s="15" t="s">
        <v>67</v>
      </c>
      <c r="E26" s="9">
        <f>STATS1003B!E27/1000</f>
        <v>3000</v>
      </c>
      <c r="F26" s="9">
        <f>STATS1003B!F27/1000</f>
        <v>3000</v>
      </c>
      <c r="G26" s="9">
        <f>STATS1003B!G27/1000</f>
        <v>0</v>
      </c>
      <c r="H26" s="9">
        <f>STATS1003B!H27/1000</f>
        <v>3000</v>
      </c>
      <c r="I26" s="9">
        <f>STATS1003B!I27/1000</f>
        <v>0</v>
      </c>
      <c r="J26" s="9">
        <f>STATS1003B!J27/1000</f>
        <v>0</v>
      </c>
      <c r="K26" s="9">
        <f>STATS1003B!K27/1000</f>
        <v>0</v>
      </c>
      <c r="L26" s="9">
        <f>STATS1003B!L27/1000</f>
        <v>0</v>
      </c>
      <c r="M26" s="9">
        <f>STATS1003B!M27/1000</f>
        <v>3000</v>
      </c>
      <c r="N26" s="9">
        <f>STATS1003B!N27/1000</f>
        <v>0</v>
      </c>
      <c r="O26" s="9">
        <f>STATS1003B!O27/1000</f>
        <v>0</v>
      </c>
      <c r="P26" s="9">
        <f>STATS1003B!P27/1000</f>
        <v>0</v>
      </c>
      <c r="Q26" s="9">
        <f>STATS1003B!Q27/1000</f>
        <v>0</v>
      </c>
      <c r="R26" s="9">
        <f>STATS1003B!R27/1000</f>
        <v>0</v>
      </c>
      <c r="S26" s="9">
        <f>STATS1003B!S27/1000</f>
        <v>0</v>
      </c>
      <c r="T26" s="9">
        <f>STATS1003B!T27/1000</f>
        <v>0</v>
      </c>
      <c r="U26" s="9">
        <f>STATS1003B!U27/1000</f>
        <v>0</v>
      </c>
      <c r="V26" s="9">
        <f>STATS1003B!V27/1000</f>
        <v>3000</v>
      </c>
      <c r="W26" s="9">
        <f>STATS1003B!W27/1000</f>
        <v>0</v>
      </c>
      <c r="X26" s="9">
        <f>STATS1003B!X27/1000</f>
        <v>3000</v>
      </c>
      <c r="Y26" s="9">
        <f>STATS1003B!Y27/1000</f>
        <v>0</v>
      </c>
      <c r="Z26" s="9">
        <f>STATS1003B!Z27/1000</f>
        <v>0</v>
      </c>
      <c r="AA26" s="9">
        <f>STATS1003B!AA27/1000</f>
        <v>3000</v>
      </c>
      <c r="AB26" s="9">
        <f>STATS1003B!AB27/1000</f>
        <v>0</v>
      </c>
    </row>
    <row r="27" spans="1:28" x14ac:dyDescent="0.35">
      <c r="A27" s="36"/>
      <c r="B27" s="6"/>
      <c r="C27" s="7" t="s">
        <v>55</v>
      </c>
      <c r="D27" s="15" t="s">
        <v>68</v>
      </c>
      <c r="E27" s="9">
        <f>STATS1003B!E28/1000</f>
        <v>2778.9300099999996</v>
      </c>
      <c r="F27" s="9">
        <f>STATS1003B!F28/1000</f>
        <v>0</v>
      </c>
      <c r="G27" s="9">
        <f>STATS1003B!G28/1000</f>
        <v>0</v>
      </c>
      <c r="H27" s="9">
        <f>STATS1003B!H28/1000</f>
        <v>0</v>
      </c>
      <c r="I27" s="9">
        <f>STATS1003B!I28/1000</f>
        <v>0</v>
      </c>
      <c r="J27" s="9">
        <f>STATS1003B!J28/1000</f>
        <v>0</v>
      </c>
      <c r="K27" s="9">
        <f>STATS1003B!K28/1000</f>
        <v>0</v>
      </c>
      <c r="L27" s="9">
        <f>STATS1003B!L28/1000</f>
        <v>0</v>
      </c>
      <c r="M27" s="9">
        <f>STATS1003B!M28/1000</f>
        <v>0</v>
      </c>
      <c r="N27" s="9">
        <f>STATS1003B!N28/1000</f>
        <v>2778.9300099999996</v>
      </c>
      <c r="O27" s="9">
        <f>STATS1003B!O28/1000</f>
        <v>0</v>
      </c>
      <c r="P27" s="9">
        <f>STATS1003B!P28/1000</f>
        <v>2778.9300099999996</v>
      </c>
      <c r="Q27" s="9">
        <f>STATS1003B!Q28/1000</f>
        <v>0</v>
      </c>
      <c r="R27" s="9">
        <f>STATS1003B!R28/1000</f>
        <v>0</v>
      </c>
      <c r="S27" s="9">
        <f>STATS1003B!S28/1000</f>
        <v>0</v>
      </c>
      <c r="T27" s="9">
        <f>STATS1003B!T28/1000</f>
        <v>0</v>
      </c>
      <c r="U27" s="9">
        <f>STATS1003B!U28/1000</f>
        <v>2778.9300099999996</v>
      </c>
      <c r="V27" s="9">
        <f>STATS1003B!V28/1000</f>
        <v>2778.9300099999996</v>
      </c>
      <c r="W27" s="9">
        <f>STATS1003B!W28/1000</f>
        <v>0</v>
      </c>
      <c r="X27" s="9">
        <f>STATS1003B!X28/1000</f>
        <v>2778.9300099999996</v>
      </c>
      <c r="Y27" s="9">
        <f>STATS1003B!Y28/1000</f>
        <v>0</v>
      </c>
      <c r="Z27" s="9">
        <f>STATS1003B!Z28/1000</f>
        <v>0</v>
      </c>
      <c r="AA27" s="9">
        <f>STATS1003B!AA28/1000</f>
        <v>2778.9300099999996</v>
      </c>
      <c r="AB27" s="9">
        <f>STATS1003B!AB28/1000</f>
        <v>0</v>
      </c>
    </row>
    <row r="28" spans="1:28" x14ac:dyDescent="0.35">
      <c r="A28" s="36"/>
      <c r="B28" s="6"/>
      <c r="C28" s="7" t="s">
        <v>53</v>
      </c>
      <c r="D28" s="15" t="s">
        <v>68</v>
      </c>
      <c r="E28" s="9">
        <f>STATS1003B!E29/1000</f>
        <v>2306.1060000000002</v>
      </c>
      <c r="F28" s="9">
        <f>STATS1003B!F29/1000</f>
        <v>0</v>
      </c>
      <c r="G28" s="9">
        <f>STATS1003B!G29/1000</f>
        <v>0</v>
      </c>
      <c r="H28" s="9">
        <f>STATS1003B!H29/1000</f>
        <v>0</v>
      </c>
      <c r="I28" s="9">
        <f>STATS1003B!I29/1000</f>
        <v>0</v>
      </c>
      <c r="J28" s="9">
        <f>STATS1003B!J29/1000</f>
        <v>0</v>
      </c>
      <c r="K28" s="9">
        <f>STATS1003B!K29/1000</f>
        <v>0</v>
      </c>
      <c r="L28" s="9">
        <f>STATS1003B!L29/1000</f>
        <v>0</v>
      </c>
      <c r="M28" s="9">
        <f>STATS1003B!M29/1000</f>
        <v>0</v>
      </c>
      <c r="N28" s="9">
        <f>STATS1003B!N29/1000</f>
        <v>2306.1060000000002</v>
      </c>
      <c r="O28" s="9">
        <f>STATS1003B!O29/1000</f>
        <v>0</v>
      </c>
      <c r="P28" s="9">
        <f>STATS1003B!P29/1000</f>
        <v>2306.1060000000002</v>
      </c>
      <c r="Q28" s="9">
        <f>STATS1003B!Q29/1000</f>
        <v>0</v>
      </c>
      <c r="R28" s="9">
        <f>STATS1003B!R29/1000</f>
        <v>0</v>
      </c>
      <c r="S28" s="9">
        <f>STATS1003B!S29/1000</f>
        <v>0</v>
      </c>
      <c r="T28" s="9">
        <f>STATS1003B!T29/1000</f>
        <v>0</v>
      </c>
      <c r="U28" s="9">
        <f>STATS1003B!U29/1000</f>
        <v>2306.1060000000002</v>
      </c>
      <c r="V28" s="9">
        <f>STATS1003B!V29/1000</f>
        <v>2306.1060000000002</v>
      </c>
      <c r="W28" s="9">
        <f>STATS1003B!W29/1000</f>
        <v>0</v>
      </c>
      <c r="X28" s="9">
        <f>STATS1003B!X29/1000</f>
        <v>2306.1060000000002</v>
      </c>
      <c r="Y28" s="9">
        <f>STATS1003B!Y29/1000</f>
        <v>0</v>
      </c>
      <c r="Z28" s="9">
        <f>STATS1003B!Z29/1000</f>
        <v>0</v>
      </c>
      <c r="AA28" s="9">
        <f>STATS1003B!AA29/1000</f>
        <v>2306.1060000000002</v>
      </c>
      <c r="AB28" s="9">
        <f>STATS1003B!AB29/1000</f>
        <v>0</v>
      </c>
    </row>
    <row r="29" spans="1:28" x14ac:dyDescent="0.35">
      <c r="A29" s="36"/>
      <c r="B29" s="6"/>
      <c r="C29" s="7" t="s">
        <v>69</v>
      </c>
      <c r="D29" s="15" t="s">
        <v>54</v>
      </c>
      <c r="E29" s="9">
        <f>STATS1003B!E30/1000</f>
        <v>955.34561999999994</v>
      </c>
      <c r="F29" s="9">
        <f>STATS1003B!F30/1000</f>
        <v>0</v>
      </c>
      <c r="G29" s="9">
        <f>STATS1003B!G30/1000</f>
        <v>0</v>
      </c>
      <c r="H29" s="9">
        <f>STATS1003B!H30/1000</f>
        <v>0</v>
      </c>
      <c r="I29" s="9">
        <f>STATS1003B!I30/1000</f>
        <v>0</v>
      </c>
      <c r="J29" s="9">
        <f>STATS1003B!J30/1000</f>
        <v>0</v>
      </c>
      <c r="K29" s="9">
        <f>STATS1003B!K30/1000</f>
        <v>0</v>
      </c>
      <c r="L29" s="9">
        <f>STATS1003B!L30/1000</f>
        <v>0</v>
      </c>
      <c r="M29" s="9">
        <f>STATS1003B!M30/1000</f>
        <v>0</v>
      </c>
      <c r="N29" s="9">
        <f>STATS1003B!N30/1000</f>
        <v>955.34561999999994</v>
      </c>
      <c r="O29" s="9">
        <f>STATS1003B!O30/1000</f>
        <v>0</v>
      </c>
      <c r="P29" s="9">
        <f>STATS1003B!P30/1000</f>
        <v>955.34561999999994</v>
      </c>
      <c r="Q29" s="9">
        <f>STATS1003B!Q30/1000</f>
        <v>0</v>
      </c>
      <c r="R29" s="9">
        <f>STATS1003B!R30/1000</f>
        <v>0</v>
      </c>
      <c r="S29" s="9">
        <f>STATS1003B!S30/1000</f>
        <v>0</v>
      </c>
      <c r="T29" s="9">
        <f>STATS1003B!T30/1000</f>
        <v>0</v>
      </c>
      <c r="U29" s="9">
        <f>STATS1003B!U30/1000</f>
        <v>955.34561999999994</v>
      </c>
      <c r="V29" s="9">
        <f>STATS1003B!V30/1000</f>
        <v>955.34561999999994</v>
      </c>
      <c r="W29" s="9">
        <f>STATS1003B!W30/1000</f>
        <v>0</v>
      </c>
      <c r="X29" s="9">
        <f>STATS1003B!X30/1000</f>
        <v>955.34561999999994</v>
      </c>
      <c r="Y29" s="9">
        <f>STATS1003B!Y30/1000</f>
        <v>0</v>
      </c>
      <c r="Z29" s="9">
        <f>STATS1003B!Z30/1000</f>
        <v>0</v>
      </c>
      <c r="AA29" s="9">
        <f>STATS1003B!AA30/1000</f>
        <v>955.34561999999994</v>
      </c>
      <c r="AB29" s="9">
        <f>STATS1003B!AB30/1000</f>
        <v>0</v>
      </c>
    </row>
    <row r="30" spans="1:28" x14ac:dyDescent="0.35">
      <c r="A30" s="36"/>
      <c r="B30" s="6"/>
      <c r="C30" s="7" t="s">
        <v>57</v>
      </c>
      <c r="D30" s="15" t="s">
        <v>58</v>
      </c>
      <c r="E30" s="9">
        <f>STATS1003B!E31/1000</f>
        <v>2873.84</v>
      </c>
      <c r="F30" s="9">
        <f>STATS1003B!F31/1000</f>
        <v>2873.84</v>
      </c>
      <c r="G30" s="9">
        <f>STATS1003B!G31/1000</f>
        <v>0</v>
      </c>
      <c r="H30" s="9">
        <f>STATS1003B!H31/1000</f>
        <v>2873.84</v>
      </c>
      <c r="I30" s="9">
        <f>STATS1003B!I31/1000</f>
        <v>0</v>
      </c>
      <c r="J30" s="9">
        <f>STATS1003B!J31/1000</f>
        <v>0</v>
      </c>
      <c r="K30" s="9">
        <f>STATS1003B!K31/1000</f>
        <v>0</v>
      </c>
      <c r="L30" s="9">
        <f>STATS1003B!L31/1000</f>
        <v>0</v>
      </c>
      <c r="M30" s="9">
        <f>STATS1003B!M31/1000</f>
        <v>2873.84</v>
      </c>
      <c r="N30" s="9">
        <f>STATS1003B!N31/1000</f>
        <v>0</v>
      </c>
      <c r="O30" s="9">
        <f>STATS1003B!O31/1000</f>
        <v>0</v>
      </c>
      <c r="P30" s="9">
        <f>STATS1003B!P31/1000</f>
        <v>0</v>
      </c>
      <c r="Q30" s="9">
        <f>STATS1003B!Q31/1000</f>
        <v>0</v>
      </c>
      <c r="R30" s="9">
        <f>STATS1003B!R31/1000</f>
        <v>0</v>
      </c>
      <c r="S30" s="9">
        <f>STATS1003B!S31/1000</f>
        <v>0</v>
      </c>
      <c r="T30" s="9">
        <f>STATS1003B!T31/1000</f>
        <v>0</v>
      </c>
      <c r="U30" s="9">
        <f>STATS1003B!U31/1000</f>
        <v>0</v>
      </c>
      <c r="V30" s="9">
        <f>STATS1003B!V31/1000</f>
        <v>2873.84</v>
      </c>
      <c r="W30" s="9">
        <f>STATS1003B!W31/1000</f>
        <v>0</v>
      </c>
      <c r="X30" s="9">
        <f>STATS1003B!X31/1000</f>
        <v>2873.84</v>
      </c>
      <c r="Y30" s="9">
        <f>STATS1003B!Y31/1000</f>
        <v>0</v>
      </c>
      <c r="Z30" s="9">
        <f>STATS1003B!Z31/1000</f>
        <v>0</v>
      </c>
      <c r="AA30" s="9">
        <f>STATS1003B!AA31/1000</f>
        <v>2873.84</v>
      </c>
      <c r="AB30" s="9">
        <f>STATS1003B!AB31/1000</f>
        <v>0</v>
      </c>
    </row>
    <row r="31" spans="1:28" x14ac:dyDescent="0.35">
      <c r="A31" s="36"/>
      <c r="B31" s="6"/>
      <c r="C31" s="7" t="s">
        <v>57</v>
      </c>
      <c r="D31" s="15" t="s">
        <v>60</v>
      </c>
      <c r="E31" s="9">
        <f>STATS1003B!E32/1000</f>
        <v>3140.98695</v>
      </c>
      <c r="F31" s="9">
        <f>STATS1003B!F32/1000</f>
        <v>3140.98695</v>
      </c>
      <c r="G31" s="9">
        <f>STATS1003B!G32/1000</f>
        <v>0</v>
      </c>
      <c r="H31" s="9">
        <f>STATS1003B!H32/1000</f>
        <v>3140.98695</v>
      </c>
      <c r="I31" s="9">
        <f>STATS1003B!I32/1000</f>
        <v>0</v>
      </c>
      <c r="J31" s="9">
        <f>STATS1003B!J32/1000</f>
        <v>0</v>
      </c>
      <c r="K31" s="9">
        <f>STATS1003B!K32/1000</f>
        <v>0</v>
      </c>
      <c r="L31" s="9">
        <f>STATS1003B!L32/1000</f>
        <v>0</v>
      </c>
      <c r="M31" s="9">
        <f>STATS1003B!M32/1000</f>
        <v>3140.98695</v>
      </c>
      <c r="N31" s="9">
        <f>STATS1003B!N32/1000</f>
        <v>0</v>
      </c>
      <c r="O31" s="9">
        <f>STATS1003B!O32/1000</f>
        <v>0</v>
      </c>
      <c r="P31" s="9">
        <f>STATS1003B!P32/1000</f>
        <v>0</v>
      </c>
      <c r="Q31" s="9">
        <f>STATS1003B!Q32/1000</f>
        <v>0</v>
      </c>
      <c r="R31" s="9">
        <f>STATS1003B!R32/1000</f>
        <v>0</v>
      </c>
      <c r="S31" s="9">
        <f>STATS1003B!S32/1000</f>
        <v>0</v>
      </c>
      <c r="T31" s="9">
        <f>STATS1003B!T32/1000</f>
        <v>0</v>
      </c>
      <c r="U31" s="9">
        <f>STATS1003B!U32/1000</f>
        <v>0</v>
      </c>
      <c r="V31" s="9">
        <f>STATS1003B!V32/1000</f>
        <v>3140.98695</v>
      </c>
      <c r="W31" s="9">
        <f>STATS1003B!W32/1000</f>
        <v>0</v>
      </c>
      <c r="X31" s="9">
        <f>STATS1003B!X32/1000</f>
        <v>3140.98695</v>
      </c>
      <c r="Y31" s="9">
        <f>STATS1003B!Y32/1000</f>
        <v>0</v>
      </c>
      <c r="Z31" s="9">
        <f>STATS1003B!Z32/1000</f>
        <v>0</v>
      </c>
      <c r="AA31" s="9">
        <f>STATS1003B!AA32/1000</f>
        <v>3140.98695</v>
      </c>
      <c r="AB31" s="9">
        <f>STATS1003B!AB32/1000</f>
        <v>0</v>
      </c>
    </row>
    <row r="32" spans="1:28" x14ac:dyDescent="0.35">
      <c r="A32" s="36"/>
      <c r="B32" s="6"/>
      <c r="C32" s="14" t="s">
        <v>59</v>
      </c>
      <c r="D32" s="15" t="s">
        <v>60</v>
      </c>
      <c r="E32" s="9">
        <f>STATS1003B!E33/1000</f>
        <v>2500</v>
      </c>
      <c r="F32" s="9">
        <f>STATS1003B!F33/1000</f>
        <v>2500</v>
      </c>
      <c r="G32" s="9">
        <f>STATS1003B!G33/1000</f>
        <v>0</v>
      </c>
      <c r="H32" s="9">
        <f>STATS1003B!H33/1000</f>
        <v>2500</v>
      </c>
      <c r="I32" s="9">
        <f>STATS1003B!I33/1000</f>
        <v>0</v>
      </c>
      <c r="J32" s="9">
        <f>STATS1003B!J33/1000</f>
        <v>0</v>
      </c>
      <c r="K32" s="9">
        <f>STATS1003B!K33/1000</f>
        <v>0</v>
      </c>
      <c r="L32" s="9">
        <f>STATS1003B!L33/1000</f>
        <v>0</v>
      </c>
      <c r="M32" s="9">
        <f>STATS1003B!M33/1000</f>
        <v>2500</v>
      </c>
      <c r="N32" s="9">
        <f>STATS1003B!N33/1000</f>
        <v>0</v>
      </c>
      <c r="O32" s="9">
        <f>STATS1003B!O33/1000</f>
        <v>0</v>
      </c>
      <c r="P32" s="9">
        <f>STATS1003B!P33/1000</f>
        <v>0</v>
      </c>
      <c r="Q32" s="9">
        <f>STATS1003B!Q33/1000</f>
        <v>0</v>
      </c>
      <c r="R32" s="9">
        <f>STATS1003B!R33/1000</f>
        <v>0</v>
      </c>
      <c r="S32" s="9">
        <f>STATS1003B!S33/1000</f>
        <v>0</v>
      </c>
      <c r="T32" s="9">
        <f>STATS1003B!T33/1000</f>
        <v>0</v>
      </c>
      <c r="U32" s="9">
        <f>STATS1003B!U33/1000</f>
        <v>0</v>
      </c>
      <c r="V32" s="9">
        <f>STATS1003B!V33/1000</f>
        <v>2500</v>
      </c>
      <c r="W32" s="9">
        <f>STATS1003B!W33/1000</f>
        <v>0</v>
      </c>
      <c r="X32" s="9">
        <f>STATS1003B!X33/1000</f>
        <v>2500</v>
      </c>
      <c r="Y32" s="9">
        <f>STATS1003B!Y33/1000</f>
        <v>0</v>
      </c>
      <c r="Z32" s="9">
        <f>STATS1003B!Z33/1000</f>
        <v>0</v>
      </c>
      <c r="AA32" s="9">
        <f>STATS1003B!AA33/1000</f>
        <v>2500</v>
      </c>
      <c r="AB32" s="9">
        <f>STATS1003B!AB33/1000</f>
        <v>0</v>
      </c>
    </row>
    <row r="33" spans="1:28" x14ac:dyDescent="0.35">
      <c r="A33" s="36"/>
      <c r="B33" s="6"/>
      <c r="C33" s="7" t="s">
        <v>62</v>
      </c>
      <c r="D33" s="8"/>
      <c r="E33" s="9">
        <f>STATS1003B!E34/1000</f>
        <v>285.5</v>
      </c>
      <c r="F33" s="9">
        <f>STATS1003B!F34/1000</f>
        <v>285.5</v>
      </c>
      <c r="G33" s="9">
        <f>STATS1003B!G34/1000</f>
        <v>0</v>
      </c>
      <c r="H33" s="9">
        <f>STATS1003B!H34/1000</f>
        <v>285.5</v>
      </c>
      <c r="I33" s="9">
        <f>STATS1003B!I34/1000</f>
        <v>0</v>
      </c>
      <c r="J33" s="9">
        <f>STATS1003B!J34/1000</f>
        <v>0</v>
      </c>
      <c r="K33" s="9">
        <f>STATS1003B!K34/1000</f>
        <v>0</v>
      </c>
      <c r="L33" s="9">
        <f>STATS1003B!L34/1000</f>
        <v>0</v>
      </c>
      <c r="M33" s="9">
        <f>STATS1003B!M34/1000</f>
        <v>285.5</v>
      </c>
      <c r="N33" s="9">
        <f>STATS1003B!N34/1000</f>
        <v>0</v>
      </c>
      <c r="O33" s="9">
        <f>STATS1003B!O34/1000</f>
        <v>0</v>
      </c>
      <c r="P33" s="9">
        <f>STATS1003B!P34/1000</f>
        <v>0</v>
      </c>
      <c r="Q33" s="9">
        <f>STATS1003B!Q34/1000</f>
        <v>0</v>
      </c>
      <c r="R33" s="9">
        <f>STATS1003B!R34/1000</f>
        <v>0</v>
      </c>
      <c r="S33" s="9">
        <f>STATS1003B!S34/1000</f>
        <v>0</v>
      </c>
      <c r="T33" s="9">
        <f>STATS1003B!T34/1000</f>
        <v>0</v>
      </c>
      <c r="U33" s="9">
        <f>STATS1003B!U34/1000</f>
        <v>0</v>
      </c>
      <c r="V33" s="9">
        <f>STATS1003B!V34/1000</f>
        <v>285.5</v>
      </c>
      <c r="W33" s="9">
        <f>STATS1003B!W34/1000</f>
        <v>0</v>
      </c>
      <c r="X33" s="9">
        <f>STATS1003B!X34/1000</f>
        <v>285.5</v>
      </c>
      <c r="Y33" s="9">
        <f>STATS1003B!Y34/1000</f>
        <v>0</v>
      </c>
      <c r="Z33" s="9">
        <f>STATS1003B!Z34/1000</f>
        <v>0</v>
      </c>
      <c r="AA33" s="9">
        <f>STATS1003B!AA34/1000</f>
        <v>285.5</v>
      </c>
      <c r="AB33" s="9">
        <f>STATS1003B!AB34/1000</f>
        <v>0</v>
      </c>
    </row>
    <row r="34" spans="1:28" x14ac:dyDescent="0.35">
      <c r="A34" s="36"/>
      <c r="B34" s="6"/>
      <c r="C34" s="7" t="s">
        <v>70</v>
      </c>
      <c r="D34" s="7" t="s">
        <v>71</v>
      </c>
      <c r="E34" s="9">
        <f>STATS1003B!E35/1000</f>
        <v>3091</v>
      </c>
      <c r="F34" s="9">
        <f>STATS1003B!F35/1000</f>
        <v>3091</v>
      </c>
      <c r="G34" s="9">
        <f>STATS1003B!G35/1000</f>
        <v>0</v>
      </c>
      <c r="H34" s="9">
        <f>STATS1003B!H35/1000</f>
        <v>3091</v>
      </c>
      <c r="I34" s="9">
        <f>STATS1003B!I35/1000</f>
        <v>0</v>
      </c>
      <c r="J34" s="9">
        <f>STATS1003B!J35/1000</f>
        <v>0</v>
      </c>
      <c r="K34" s="9">
        <f>STATS1003B!K35/1000</f>
        <v>0</v>
      </c>
      <c r="L34" s="9">
        <f>STATS1003B!L35/1000</f>
        <v>0</v>
      </c>
      <c r="M34" s="9">
        <f>STATS1003B!M35/1000</f>
        <v>3091</v>
      </c>
      <c r="N34" s="9">
        <f>STATS1003B!N35/1000</f>
        <v>0</v>
      </c>
      <c r="O34" s="9">
        <f>STATS1003B!O35/1000</f>
        <v>0</v>
      </c>
      <c r="P34" s="9">
        <f>STATS1003B!P35/1000</f>
        <v>0</v>
      </c>
      <c r="Q34" s="9">
        <f>STATS1003B!Q35/1000</f>
        <v>0</v>
      </c>
      <c r="R34" s="9">
        <f>STATS1003B!R35/1000</f>
        <v>0</v>
      </c>
      <c r="S34" s="9">
        <f>STATS1003B!S35/1000</f>
        <v>0</v>
      </c>
      <c r="T34" s="9">
        <f>STATS1003B!T35/1000</f>
        <v>0</v>
      </c>
      <c r="U34" s="9">
        <f>STATS1003B!U35/1000</f>
        <v>0</v>
      </c>
      <c r="V34" s="9">
        <f>STATS1003B!V35/1000</f>
        <v>3091</v>
      </c>
      <c r="W34" s="9">
        <f>STATS1003B!W35/1000</f>
        <v>0</v>
      </c>
      <c r="X34" s="9">
        <f>STATS1003B!X35/1000</f>
        <v>3091</v>
      </c>
      <c r="Y34" s="9">
        <f>STATS1003B!Y35/1000</f>
        <v>0</v>
      </c>
      <c r="Z34" s="9">
        <f>STATS1003B!Z35/1000</f>
        <v>0</v>
      </c>
      <c r="AA34" s="9">
        <f>STATS1003B!AA35/1000</f>
        <v>3091</v>
      </c>
      <c r="AB34" s="9">
        <f>STATS1003B!AB35/1000</f>
        <v>0</v>
      </c>
    </row>
    <row r="35" spans="1:28" x14ac:dyDescent="0.35">
      <c r="A35" s="36"/>
      <c r="B35" s="6"/>
      <c r="C35" s="14" t="s">
        <v>72</v>
      </c>
      <c r="D35" s="21" t="s">
        <v>60</v>
      </c>
      <c r="E35" s="9">
        <f>STATS1003B!E36/1000</f>
        <v>800</v>
      </c>
      <c r="F35" s="9">
        <f>STATS1003B!F36/1000</f>
        <v>800</v>
      </c>
      <c r="G35" s="9">
        <f>STATS1003B!G36/1000</f>
        <v>0</v>
      </c>
      <c r="H35" s="9">
        <f>STATS1003B!H36/1000</f>
        <v>800</v>
      </c>
      <c r="I35" s="9">
        <f>STATS1003B!I36/1000</f>
        <v>0</v>
      </c>
      <c r="J35" s="9">
        <f>STATS1003B!J36/1000</f>
        <v>0</v>
      </c>
      <c r="K35" s="9">
        <f>STATS1003B!K36/1000</f>
        <v>0</v>
      </c>
      <c r="L35" s="9">
        <f>STATS1003B!L36/1000</f>
        <v>0</v>
      </c>
      <c r="M35" s="9">
        <f>STATS1003B!M36/1000</f>
        <v>800</v>
      </c>
      <c r="N35" s="9">
        <f>STATS1003B!N36/1000</f>
        <v>0</v>
      </c>
      <c r="O35" s="9">
        <f>STATS1003B!O36/1000</f>
        <v>0</v>
      </c>
      <c r="P35" s="9">
        <f>STATS1003B!P36/1000</f>
        <v>0</v>
      </c>
      <c r="Q35" s="9">
        <f>STATS1003B!Q36/1000</f>
        <v>0</v>
      </c>
      <c r="R35" s="9">
        <f>STATS1003B!R36/1000</f>
        <v>0</v>
      </c>
      <c r="S35" s="9">
        <f>STATS1003B!S36/1000</f>
        <v>0</v>
      </c>
      <c r="T35" s="9">
        <f>STATS1003B!T36/1000</f>
        <v>0</v>
      </c>
      <c r="U35" s="9">
        <f>STATS1003B!U36/1000</f>
        <v>0</v>
      </c>
      <c r="V35" s="9">
        <f>STATS1003B!V36/1000</f>
        <v>800</v>
      </c>
      <c r="W35" s="9">
        <f>STATS1003B!W36/1000</f>
        <v>0</v>
      </c>
      <c r="X35" s="9">
        <f>STATS1003B!X36/1000</f>
        <v>800</v>
      </c>
      <c r="Y35" s="9">
        <f>STATS1003B!Y36/1000</f>
        <v>0</v>
      </c>
      <c r="Z35" s="9">
        <f>STATS1003B!Z36/1000</f>
        <v>0</v>
      </c>
      <c r="AA35" s="9">
        <f>STATS1003B!AA36/1000</f>
        <v>800</v>
      </c>
      <c r="AB35" s="9">
        <f>STATS1003B!AB36/1000</f>
        <v>0</v>
      </c>
    </row>
    <row r="36" spans="1:28" x14ac:dyDescent="0.35">
      <c r="A36" s="36"/>
      <c r="B36" s="6"/>
      <c r="C36" s="14" t="s">
        <v>930</v>
      </c>
      <c r="D36" s="21"/>
      <c r="E36" s="9">
        <f>STATS1003B!E39/1000</f>
        <v>4320.8198300000004</v>
      </c>
      <c r="F36" s="9">
        <f>STATS1003B!F39/1000</f>
        <v>4320.8198300000004</v>
      </c>
      <c r="G36" s="9">
        <f>STATS1003B!G39/1000</f>
        <v>0</v>
      </c>
      <c r="H36" s="9">
        <f>STATS1003B!H39/1000</f>
        <v>4320.8198300000004</v>
      </c>
      <c r="I36" s="9">
        <f>STATS1003B!I39/1000</f>
        <v>0</v>
      </c>
      <c r="J36" s="9">
        <f>STATS1003B!J39/1000</f>
        <v>0</v>
      </c>
      <c r="K36" s="9">
        <f>STATS1003B!K39/1000</f>
        <v>0</v>
      </c>
      <c r="L36" s="9">
        <f>STATS1003B!L39/1000</f>
        <v>0</v>
      </c>
      <c r="M36" s="9">
        <f>STATS1003B!M39/1000</f>
        <v>4320.8198300000004</v>
      </c>
      <c r="N36" s="9">
        <f>STATS1003B!N39/1000</f>
        <v>0</v>
      </c>
      <c r="O36" s="9">
        <f>STATS1003B!O39/1000</f>
        <v>0</v>
      </c>
      <c r="P36" s="9">
        <f>STATS1003B!P39/1000</f>
        <v>0</v>
      </c>
      <c r="Q36" s="9">
        <f>STATS1003B!Q39/1000</f>
        <v>0</v>
      </c>
      <c r="R36" s="9">
        <f>STATS1003B!R39/1000</f>
        <v>0</v>
      </c>
      <c r="S36" s="9">
        <f>STATS1003B!S39/1000</f>
        <v>0</v>
      </c>
      <c r="T36" s="9">
        <f>STATS1003B!T39/1000</f>
        <v>0</v>
      </c>
      <c r="U36" s="9">
        <f>STATS1003B!U39/1000</f>
        <v>0</v>
      </c>
      <c r="V36" s="9">
        <f>STATS1003B!V39/1000</f>
        <v>4320.8198300000004</v>
      </c>
      <c r="W36" s="9">
        <f>STATS1003B!W39/1000</f>
        <v>0</v>
      </c>
      <c r="X36" s="9">
        <f>STATS1003B!X39/1000</f>
        <v>4320.8198300000004</v>
      </c>
      <c r="Y36" s="9">
        <f>STATS1003B!Y39/1000</f>
        <v>0</v>
      </c>
      <c r="Z36" s="9">
        <f>STATS1003B!Z39/1000</f>
        <v>0</v>
      </c>
      <c r="AA36" s="9">
        <f>STATS1003B!AA39/1000</f>
        <v>4320.8198300000004</v>
      </c>
      <c r="AB36" s="9">
        <f>STATS1003B!AB39/1000</f>
        <v>0</v>
      </c>
    </row>
    <row r="37" spans="1:28" x14ac:dyDescent="0.35">
      <c r="A37" s="36"/>
      <c r="B37" s="6"/>
      <c r="C37" s="14" t="s">
        <v>1084</v>
      </c>
      <c r="D37" s="24" t="s">
        <v>1072</v>
      </c>
      <c r="E37" s="9">
        <f>STATS1003B!E41/1000</f>
        <v>2010.3225400000001</v>
      </c>
      <c r="F37" s="9">
        <f>STATS1003B!F41/1000</f>
        <v>2010.3225400000001</v>
      </c>
      <c r="G37" s="9">
        <f>STATS1003B!G41/1000</f>
        <v>0</v>
      </c>
      <c r="H37" s="9">
        <f>STATS1003B!H41/1000</f>
        <v>2010.3225400000001</v>
      </c>
      <c r="I37" s="9">
        <f>STATS1003B!I41/1000</f>
        <v>0</v>
      </c>
      <c r="J37" s="9">
        <f>STATS1003B!J41/1000</f>
        <v>0</v>
      </c>
      <c r="K37" s="9">
        <f>STATS1003B!K41/1000</f>
        <v>0</v>
      </c>
      <c r="L37" s="9">
        <f>STATS1003B!L41/1000</f>
        <v>0</v>
      </c>
      <c r="M37" s="9">
        <f>STATS1003B!M41/1000</f>
        <v>2010.3225400000001</v>
      </c>
      <c r="N37" s="9">
        <f>STATS1003B!N41/1000</f>
        <v>0</v>
      </c>
      <c r="O37" s="9">
        <f>STATS1003B!O41/1000</f>
        <v>0</v>
      </c>
      <c r="P37" s="9">
        <f>STATS1003B!P41/1000</f>
        <v>0</v>
      </c>
      <c r="Q37" s="9">
        <f>STATS1003B!Q41/1000</f>
        <v>0</v>
      </c>
      <c r="R37" s="9">
        <f>STATS1003B!R41/1000</f>
        <v>0</v>
      </c>
      <c r="S37" s="9">
        <f>STATS1003B!S41/1000</f>
        <v>0</v>
      </c>
      <c r="T37" s="9">
        <f>STATS1003B!T41/1000</f>
        <v>0</v>
      </c>
      <c r="U37" s="9">
        <f>STATS1003B!U41/1000</f>
        <v>0</v>
      </c>
      <c r="V37" s="9">
        <f>STATS1003B!V41/1000</f>
        <v>2010.3225400000001</v>
      </c>
      <c r="W37" s="9">
        <f>STATS1003B!W41/1000</f>
        <v>0</v>
      </c>
      <c r="X37" s="9">
        <f>STATS1003B!X41/1000</f>
        <v>2010.3225400000001</v>
      </c>
      <c r="Y37" s="9">
        <f>STATS1003B!Y41/1000</f>
        <v>0</v>
      </c>
      <c r="Z37" s="9">
        <f>STATS1003B!Z41/1000</f>
        <v>0</v>
      </c>
      <c r="AA37" s="9">
        <f>STATS1003B!AA41/1000</f>
        <v>2010.3225400000001</v>
      </c>
      <c r="AB37" s="9">
        <f>STATS1003B!AB41/1000</f>
        <v>0</v>
      </c>
    </row>
    <row r="38" spans="1:28" x14ac:dyDescent="0.35">
      <c r="A38" s="36"/>
      <c r="B38" s="6"/>
      <c r="C38" s="7" t="s">
        <v>57</v>
      </c>
      <c r="D38" s="15" t="s">
        <v>73</v>
      </c>
      <c r="E38" s="9">
        <f>STATS1003B!E42/1000</f>
        <v>2562.94</v>
      </c>
      <c r="F38" s="9">
        <f>STATS1003B!F42/1000</f>
        <v>2562.94</v>
      </c>
      <c r="G38" s="9">
        <f>STATS1003B!G42/1000</f>
        <v>0</v>
      </c>
      <c r="H38" s="9">
        <f>STATS1003B!H42/1000</f>
        <v>2562.94</v>
      </c>
      <c r="I38" s="9">
        <f>STATS1003B!I42/1000</f>
        <v>0</v>
      </c>
      <c r="J38" s="9">
        <f>STATS1003B!J42/1000</f>
        <v>0</v>
      </c>
      <c r="K38" s="9">
        <f>STATS1003B!K42/1000</f>
        <v>0</v>
      </c>
      <c r="L38" s="9">
        <f>STATS1003B!L42/1000</f>
        <v>0</v>
      </c>
      <c r="M38" s="9">
        <f>STATS1003B!M42/1000</f>
        <v>2562.94</v>
      </c>
      <c r="N38" s="9">
        <f>STATS1003B!N42/1000</f>
        <v>0</v>
      </c>
      <c r="O38" s="9">
        <f>STATS1003B!O42/1000</f>
        <v>0</v>
      </c>
      <c r="P38" s="9">
        <f>STATS1003B!P42/1000</f>
        <v>0</v>
      </c>
      <c r="Q38" s="9">
        <f>STATS1003B!Q42/1000</f>
        <v>0</v>
      </c>
      <c r="R38" s="9">
        <f>STATS1003B!R42/1000</f>
        <v>0</v>
      </c>
      <c r="S38" s="9">
        <f>STATS1003B!S42/1000</f>
        <v>0</v>
      </c>
      <c r="T38" s="9">
        <f>STATS1003B!T42/1000</f>
        <v>0</v>
      </c>
      <c r="U38" s="9">
        <f>STATS1003B!U42/1000</f>
        <v>0</v>
      </c>
      <c r="V38" s="9">
        <f>STATS1003B!V42/1000</f>
        <v>2562.94</v>
      </c>
      <c r="W38" s="9">
        <f>STATS1003B!W42/1000</f>
        <v>0</v>
      </c>
      <c r="X38" s="9">
        <f>STATS1003B!X42/1000</f>
        <v>2562.94</v>
      </c>
      <c r="Y38" s="9">
        <f>STATS1003B!Y42/1000</f>
        <v>0</v>
      </c>
      <c r="Z38" s="9">
        <f>STATS1003B!Z42/1000</f>
        <v>0</v>
      </c>
      <c r="AA38" s="9">
        <f>STATS1003B!AA42/1000</f>
        <v>2562.94</v>
      </c>
      <c r="AB38" s="9">
        <f>STATS1003B!AB42/1000</f>
        <v>0</v>
      </c>
    </row>
    <row r="39" spans="1:28" x14ac:dyDescent="0.35">
      <c r="A39" s="36"/>
      <c r="B39" s="6"/>
      <c r="C39" s="7" t="s">
        <v>57</v>
      </c>
      <c r="D39" s="16" t="s">
        <v>61</v>
      </c>
      <c r="E39" s="9">
        <f>STATS1003B!E43/1000</f>
        <v>854.70309999999995</v>
      </c>
      <c r="F39" s="9">
        <f>STATS1003B!F43/1000</f>
        <v>854.70309999999995</v>
      </c>
      <c r="G39" s="9">
        <f>STATS1003B!G43/1000</f>
        <v>0</v>
      </c>
      <c r="H39" s="9">
        <f>STATS1003B!H43/1000</f>
        <v>854.70309999999995</v>
      </c>
      <c r="I39" s="9">
        <f>STATS1003B!I43/1000</f>
        <v>0</v>
      </c>
      <c r="J39" s="9">
        <f>STATS1003B!J43/1000</f>
        <v>0</v>
      </c>
      <c r="K39" s="9">
        <f>STATS1003B!K43/1000</f>
        <v>0</v>
      </c>
      <c r="L39" s="9">
        <f>STATS1003B!L43/1000</f>
        <v>0</v>
      </c>
      <c r="M39" s="9">
        <f>STATS1003B!M43/1000</f>
        <v>854.70309999999995</v>
      </c>
      <c r="N39" s="9">
        <f>STATS1003B!N43/1000</f>
        <v>0</v>
      </c>
      <c r="O39" s="9">
        <f>STATS1003B!O43/1000</f>
        <v>0</v>
      </c>
      <c r="P39" s="9">
        <f>STATS1003B!P43/1000</f>
        <v>0</v>
      </c>
      <c r="Q39" s="9">
        <f>STATS1003B!Q43/1000</f>
        <v>0</v>
      </c>
      <c r="R39" s="9">
        <f>STATS1003B!R43/1000</f>
        <v>0</v>
      </c>
      <c r="S39" s="9">
        <f>STATS1003B!S43/1000</f>
        <v>0</v>
      </c>
      <c r="T39" s="9">
        <f>STATS1003B!T43/1000</f>
        <v>0</v>
      </c>
      <c r="U39" s="9">
        <f>STATS1003B!U43/1000</f>
        <v>0</v>
      </c>
      <c r="V39" s="9">
        <f>STATS1003B!V43/1000</f>
        <v>854.70309999999995</v>
      </c>
      <c r="W39" s="9">
        <f>STATS1003B!W43/1000</f>
        <v>0</v>
      </c>
      <c r="X39" s="9">
        <f>STATS1003B!X43/1000</f>
        <v>854.70309999999995</v>
      </c>
      <c r="Y39" s="9">
        <f>STATS1003B!Y43/1000</f>
        <v>0</v>
      </c>
      <c r="Z39" s="9">
        <f>STATS1003B!Z43/1000</f>
        <v>0</v>
      </c>
      <c r="AA39" s="9">
        <f>STATS1003B!AA43/1000</f>
        <v>854.70309999999995</v>
      </c>
      <c r="AB39" s="9">
        <f>STATS1003B!AB43/1000</f>
        <v>0</v>
      </c>
    </row>
    <row r="40" spans="1:28" x14ac:dyDescent="0.35">
      <c r="A40" s="36"/>
      <c r="B40" s="6"/>
      <c r="C40" s="8"/>
      <c r="D40" s="8"/>
      <c r="E40" s="17" t="s">
        <v>29</v>
      </c>
      <c r="F40" s="17" t="s">
        <v>29</v>
      </c>
      <c r="G40" s="17" t="s">
        <v>29</v>
      </c>
      <c r="H40" s="17" t="s">
        <v>29</v>
      </c>
      <c r="I40" s="17" t="s">
        <v>29</v>
      </c>
      <c r="J40" s="17" t="s">
        <v>29</v>
      </c>
      <c r="K40" s="17" t="s">
        <v>29</v>
      </c>
      <c r="L40" s="17" t="s">
        <v>29</v>
      </c>
      <c r="M40" s="17" t="s">
        <v>29</v>
      </c>
      <c r="N40" s="17" t="s">
        <v>29</v>
      </c>
      <c r="O40" s="17" t="s">
        <v>29</v>
      </c>
      <c r="P40" s="17" t="s">
        <v>29</v>
      </c>
      <c r="Q40" s="17" t="s">
        <v>29</v>
      </c>
      <c r="R40" s="17" t="s">
        <v>29</v>
      </c>
      <c r="S40" s="17" t="s">
        <v>29</v>
      </c>
      <c r="T40" s="17" t="s">
        <v>29</v>
      </c>
      <c r="U40" s="17" t="s">
        <v>29</v>
      </c>
      <c r="V40" s="17" t="s">
        <v>29</v>
      </c>
      <c r="W40" s="17" t="s">
        <v>29</v>
      </c>
      <c r="X40" s="17" t="s">
        <v>29</v>
      </c>
      <c r="Y40" s="17" t="s">
        <v>29</v>
      </c>
      <c r="Z40" s="17" t="s">
        <v>29</v>
      </c>
      <c r="AA40" s="17" t="s">
        <v>29</v>
      </c>
      <c r="AB40" s="17" t="s">
        <v>29</v>
      </c>
    </row>
    <row r="41" spans="1:28" x14ac:dyDescent="0.35">
      <c r="A41" s="36"/>
      <c r="B41" s="6"/>
      <c r="C41" s="9"/>
      <c r="D41" s="8"/>
      <c r="E41" s="9">
        <f t="shared" ref="E41:AB41" si="1">SUM(E25:E39)</f>
        <v>40086.655690000007</v>
      </c>
      <c r="F41" s="9">
        <f t="shared" si="1"/>
        <v>31645.872719999999</v>
      </c>
      <c r="G41" s="9">
        <f t="shared" si="1"/>
        <v>0</v>
      </c>
      <c r="H41" s="9">
        <f t="shared" si="1"/>
        <v>31645.872719999999</v>
      </c>
      <c r="I41" s="9">
        <f t="shared" si="1"/>
        <v>0</v>
      </c>
      <c r="J41" s="9">
        <f t="shared" si="1"/>
        <v>0</v>
      </c>
      <c r="K41" s="9">
        <f t="shared" si="1"/>
        <v>0</v>
      </c>
      <c r="L41" s="9">
        <f t="shared" si="1"/>
        <v>0</v>
      </c>
      <c r="M41" s="9">
        <f t="shared" si="1"/>
        <v>31645.872719999999</v>
      </c>
      <c r="N41" s="9">
        <f t="shared" si="1"/>
        <v>8440.7829700000002</v>
      </c>
      <c r="O41" s="9">
        <f t="shared" si="1"/>
        <v>0</v>
      </c>
      <c r="P41" s="9">
        <f t="shared" si="1"/>
        <v>8440.7829700000002</v>
      </c>
      <c r="Q41" s="9">
        <f t="shared" si="1"/>
        <v>0</v>
      </c>
      <c r="R41" s="9">
        <f t="shared" si="1"/>
        <v>0</v>
      </c>
      <c r="S41" s="9">
        <f t="shared" si="1"/>
        <v>0</v>
      </c>
      <c r="T41" s="9">
        <f t="shared" si="1"/>
        <v>0</v>
      </c>
      <c r="U41" s="9">
        <f t="shared" si="1"/>
        <v>8440.7829700000002</v>
      </c>
      <c r="V41" s="9">
        <f t="shared" si="1"/>
        <v>40086.655690000007</v>
      </c>
      <c r="W41" s="9">
        <f t="shared" si="1"/>
        <v>0</v>
      </c>
      <c r="X41" s="9">
        <f t="shared" si="1"/>
        <v>40086.655690000007</v>
      </c>
      <c r="Y41" s="9">
        <f t="shared" si="1"/>
        <v>0</v>
      </c>
      <c r="Z41" s="9">
        <f t="shared" si="1"/>
        <v>0</v>
      </c>
      <c r="AA41" s="9">
        <f t="shared" si="1"/>
        <v>40086.655690000007</v>
      </c>
      <c r="AB41" s="9">
        <f t="shared" si="1"/>
        <v>0</v>
      </c>
    </row>
    <row r="42" spans="1:28" x14ac:dyDescent="0.35">
      <c r="A42" s="36"/>
      <c r="B42" s="6"/>
      <c r="C42" s="8"/>
      <c r="D42" s="8"/>
      <c r="E42" s="17" t="s">
        <v>29</v>
      </c>
      <c r="F42" s="17" t="s">
        <v>29</v>
      </c>
      <c r="G42" s="17" t="s">
        <v>29</v>
      </c>
      <c r="H42" s="17" t="s">
        <v>29</v>
      </c>
      <c r="I42" s="17" t="s">
        <v>29</v>
      </c>
      <c r="J42" s="17" t="s">
        <v>29</v>
      </c>
      <c r="K42" s="17" t="s">
        <v>29</v>
      </c>
      <c r="L42" s="17" t="s">
        <v>29</v>
      </c>
      <c r="M42" s="17" t="s">
        <v>29</v>
      </c>
      <c r="N42" s="17" t="s">
        <v>29</v>
      </c>
      <c r="O42" s="17" t="s">
        <v>29</v>
      </c>
      <c r="P42" s="17" t="s">
        <v>29</v>
      </c>
      <c r="Q42" s="17" t="s">
        <v>29</v>
      </c>
      <c r="R42" s="17" t="s">
        <v>29</v>
      </c>
      <c r="S42" s="17" t="s">
        <v>29</v>
      </c>
      <c r="T42" s="17" t="s">
        <v>29</v>
      </c>
      <c r="U42" s="17" t="s">
        <v>29</v>
      </c>
      <c r="V42" s="17" t="s">
        <v>29</v>
      </c>
      <c r="W42" s="17" t="s">
        <v>29</v>
      </c>
      <c r="X42" s="17" t="s">
        <v>29</v>
      </c>
      <c r="Y42" s="17" t="s">
        <v>29</v>
      </c>
      <c r="Z42" s="17" t="s">
        <v>29</v>
      </c>
      <c r="AA42" s="17" t="s">
        <v>29</v>
      </c>
      <c r="AB42" s="17" t="s">
        <v>29</v>
      </c>
    </row>
    <row r="43" spans="1:28" x14ac:dyDescent="0.35">
      <c r="A43" s="36"/>
      <c r="B43" s="6"/>
      <c r="C43" s="8"/>
      <c r="D43" s="8"/>
      <c r="E43" s="22">
        <v>30337870.219999999</v>
      </c>
      <c r="F43" s="22">
        <v>21897087.25</v>
      </c>
      <c r="G43" s="22">
        <v>0</v>
      </c>
      <c r="H43" s="22">
        <v>21897087.25</v>
      </c>
      <c r="I43" s="22">
        <v>0</v>
      </c>
      <c r="J43" s="22">
        <v>0</v>
      </c>
      <c r="K43" s="22">
        <v>0</v>
      </c>
      <c r="L43" s="22">
        <v>0</v>
      </c>
      <c r="M43" s="22">
        <v>21897087.25</v>
      </c>
      <c r="N43" s="22">
        <v>8440782.9700000007</v>
      </c>
      <c r="O43" s="22">
        <v>0</v>
      </c>
      <c r="P43" s="22">
        <v>8440782.9700000007</v>
      </c>
      <c r="Q43" s="22"/>
      <c r="R43" s="22"/>
      <c r="S43" s="22"/>
      <c r="T43" s="22">
        <v>0</v>
      </c>
      <c r="U43" s="22">
        <v>8440782.9700000007</v>
      </c>
      <c r="V43" s="22"/>
      <c r="W43" s="22"/>
      <c r="X43" s="22">
        <v>30337870.219999999</v>
      </c>
      <c r="Y43" s="22"/>
      <c r="Z43" s="22">
        <v>0</v>
      </c>
    </row>
    <row r="44" spans="1:28" x14ac:dyDescent="0.35">
      <c r="A44" s="39" t="s">
        <v>936</v>
      </c>
      <c r="B44" s="7" t="s">
        <v>74</v>
      </c>
      <c r="C44" s="6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8" x14ac:dyDescent="0.35">
      <c r="A45" s="36"/>
      <c r="B45" s="6"/>
      <c r="C45" s="7" t="s">
        <v>75</v>
      </c>
      <c r="D45" s="21" t="s">
        <v>76</v>
      </c>
      <c r="E45" s="9">
        <f>STATS1003B!E49/1000</f>
        <v>11675</v>
      </c>
      <c r="F45" s="9">
        <f>STATS1003B!F49/1000</f>
        <v>3454.9259999999999</v>
      </c>
      <c r="G45" s="9">
        <f>STATS1003B!G49/1000</f>
        <v>0</v>
      </c>
      <c r="H45" s="9">
        <f>STATS1003B!H49/1000</f>
        <v>3454.9259999999999</v>
      </c>
      <c r="I45" s="9">
        <f>STATS1003B!I49/1000</f>
        <v>0</v>
      </c>
      <c r="J45" s="9">
        <f>STATS1003B!J49/1000</f>
        <v>0</v>
      </c>
      <c r="K45" s="9">
        <f>STATS1003B!K49/1000</f>
        <v>0</v>
      </c>
      <c r="L45" s="9">
        <f>STATS1003B!L49/1000</f>
        <v>0</v>
      </c>
      <c r="M45" s="9">
        <f>STATS1003B!M49/1000</f>
        <v>3454.9259999999999</v>
      </c>
      <c r="N45" s="9">
        <f>STATS1003B!N49/1000</f>
        <v>6737.40589</v>
      </c>
      <c r="O45" s="9">
        <f>STATS1003B!O49/1000</f>
        <v>0</v>
      </c>
      <c r="P45" s="9">
        <f>STATS1003B!P49/1000</f>
        <v>6737.40589</v>
      </c>
      <c r="Q45" s="9">
        <f>STATS1003B!Q49/1000</f>
        <v>0</v>
      </c>
      <c r="R45" s="9">
        <f>STATS1003B!R49/1000</f>
        <v>0</v>
      </c>
      <c r="S45" s="9">
        <f>STATS1003B!S49/1000</f>
        <v>0</v>
      </c>
      <c r="T45" s="9">
        <f>STATS1003B!T49/1000</f>
        <v>0</v>
      </c>
      <c r="U45" s="9">
        <f>STATS1003B!U49/1000</f>
        <v>6737.40589</v>
      </c>
      <c r="V45" s="9">
        <f>STATS1003B!V49/1000</f>
        <v>10192.331890000001</v>
      </c>
      <c r="W45" s="9">
        <f>STATS1003B!W49/1000</f>
        <v>1482.6681099999994</v>
      </c>
      <c r="X45" s="9">
        <f>STATS1003B!X49/1000</f>
        <v>10192.331890000001</v>
      </c>
      <c r="Y45" s="9">
        <f>STATS1003B!Y49/1000</f>
        <v>0</v>
      </c>
      <c r="Z45" s="9">
        <f>STATS1003B!Z49/1000</f>
        <v>1482.6681099999994</v>
      </c>
      <c r="AA45" s="9">
        <f>STATS1003B!AA49/1000</f>
        <v>10192.331890000001</v>
      </c>
      <c r="AB45" s="9">
        <f>STATS1003B!AB49/1000</f>
        <v>1482.6681099999994</v>
      </c>
    </row>
    <row r="46" spans="1:28" x14ac:dyDescent="0.35">
      <c r="A46" s="36"/>
      <c r="B46" s="6"/>
      <c r="C46" s="7" t="s">
        <v>77</v>
      </c>
      <c r="D46" s="21" t="s">
        <v>78</v>
      </c>
      <c r="E46" s="9">
        <f>STATS1003B!E50/1000</f>
        <v>2613.4589100000003</v>
      </c>
      <c r="F46" s="9">
        <f>STATS1003B!F50/1000</f>
        <v>2169.07692</v>
      </c>
      <c r="G46" s="9">
        <f>STATS1003B!G50/1000</f>
        <v>0</v>
      </c>
      <c r="H46" s="9">
        <f>STATS1003B!H50/1000</f>
        <v>2169.07692</v>
      </c>
      <c r="I46" s="9">
        <f>STATS1003B!I50/1000</f>
        <v>0</v>
      </c>
      <c r="J46" s="9">
        <f>STATS1003B!J50/1000</f>
        <v>0</v>
      </c>
      <c r="K46" s="9">
        <f>STATS1003B!K50/1000</f>
        <v>0</v>
      </c>
      <c r="L46" s="9">
        <f>STATS1003B!L50/1000</f>
        <v>0</v>
      </c>
      <c r="M46" s="9">
        <f>STATS1003B!M50/1000</f>
        <v>2169.07692</v>
      </c>
      <c r="N46" s="9">
        <f>STATS1003B!N50/1000</f>
        <v>444.38198999999997</v>
      </c>
      <c r="O46" s="9">
        <f>STATS1003B!O50/1000</f>
        <v>0</v>
      </c>
      <c r="P46" s="9">
        <f>STATS1003B!P50/1000</f>
        <v>444.38198999999997</v>
      </c>
      <c r="Q46" s="9">
        <f>STATS1003B!Q50/1000</f>
        <v>0</v>
      </c>
      <c r="R46" s="9">
        <f>STATS1003B!R50/1000</f>
        <v>0</v>
      </c>
      <c r="S46" s="9">
        <f>STATS1003B!S50/1000</f>
        <v>0</v>
      </c>
      <c r="T46" s="9">
        <f>STATS1003B!T50/1000</f>
        <v>0</v>
      </c>
      <c r="U46" s="9">
        <f>STATS1003B!U50/1000</f>
        <v>444.38198999999997</v>
      </c>
      <c r="V46" s="9">
        <f>STATS1003B!V50/1000</f>
        <v>2613.4589100000003</v>
      </c>
      <c r="W46" s="9">
        <f>STATS1003B!W50/1000</f>
        <v>0</v>
      </c>
      <c r="X46" s="9">
        <f>STATS1003B!X50/1000</f>
        <v>2613.4589100000003</v>
      </c>
      <c r="Y46" s="9">
        <f>STATS1003B!Y50/1000</f>
        <v>0</v>
      </c>
      <c r="Z46" s="9">
        <f>STATS1003B!Z50/1000</f>
        <v>0</v>
      </c>
      <c r="AA46" s="9">
        <f>STATS1003B!AA50/1000</f>
        <v>2613.4589100000003</v>
      </c>
      <c r="AB46" s="9">
        <f>STATS1003B!AB50/1000</f>
        <v>0</v>
      </c>
    </row>
    <row r="47" spans="1:28" x14ac:dyDescent="0.35">
      <c r="A47" s="36"/>
      <c r="B47" s="6"/>
      <c r="C47" s="7" t="s">
        <v>57</v>
      </c>
      <c r="D47" s="15" t="s">
        <v>79</v>
      </c>
      <c r="E47" s="9">
        <f>STATS1003B!E51/1000</f>
        <v>17853.24511</v>
      </c>
      <c r="F47" s="9">
        <f>STATS1003B!F51/1000</f>
        <v>15794.38487</v>
      </c>
      <c r="G47" s="9">
        <f>STATS1003B!G51/1000</f>
        <v>0</v>
      </c>
      <c r="H47" s="9">
        <f>STATS1003B!H51/1000</f>
        <v>15794.38487</v>
      </c>
      <c r="I47" s="9">
        <f>STATS1003B!I51/1000</f>
        <v>0</v>
      </c>
      <c r="J47" s="9">
        <f>STATS1003B!J51/1000</f>
        <v>0</v>
      </c>
      <c r="K47" s="9">
        <f>STATS1003B!K51/1000</f>
        <v>0</v>
      </c>
      <c r="L47" s="9">
        <f>STATS1003B!L51/1000</f>
        <v>0</v>
      </c>
      <c r="M47" s="9">
        <f>STATS1003B!M51/1000</f>
        <v>15794.38487</v>
      </c>
      <c r="N47" s="9">
        <f>STATS1003B!N51/1000</f>
        <v>2058.86024</v>
      </c>
      <c r="O47" s="9">
        <f>STATS1003B!O51/1000</f>
        <v>0</v>
      </c>
      <c r="P47" s="9">
        <f>STATS1003B!P51/1000</f>
        <v>2058.86024</v>
      </c>
      <c r="Q47" s="9">
        <f>STATS1003B!Q51/1000</f>
        <v>0</v>
      </c>
      <c r="R47" s="9">
        <f>STATS1003B!R51/1000</f>
        <v>0</v>
      </c>
      <c r="S47" s="9">
        <f>STATS1003B!S51/1000</f>
        <v>0</v>
      </c>
      <c r="T47" s="9">
        <f>STATS1003B!T51/1000</f>
        <v>0</v>
      </c>
      <c r="U47" s="9">
        <f>STATS1003B!U51/1000</f>
        <v>2058.86024</v>
      </c>
      <c r="V47" s="9">
        <f>STATS1003B!V51/1000</f>
        <v>17853.24511</v>
      </c>
      <c r="W47" s="9">
        <f>STATS1003B!W51/1000</f>
        <v>0</v>
      </c>
      <c r="X47" s="9">
        <f>STATS1003B!X51/1000</f>
        <v>17853.24511</v>
      </c>
      <c r="Y47" s="9">
        <f>STATS1003B!Y51/1000</f>
        <v>0</v>
      </c>
      <c r="Z47" s="9">
        <f>STATS1003B!Z51/1000</f>
        <v>0</v>
      </c>
      <c r="AA47" s="9">
        <f>STATS1003B!AA51/1000</f>
        <v>17853.24511</v>
      </c>
      <c r="AB47" s="9">
        <f>STATS1003B!AB51/1000</f>
        <v>0</v>
      </c>
    </row>
    <row r="48" spans="1:28" x14ac:dyDescent="0.35">
      <c r="A48" s="36"/>
      <c r="B48" s="6"/>
      <c r="C48" s="8"/>
      <c r="D48" s="14" t="s">
        <v>80</v>
      </c>
      <c r="E48" s="9">
        <f>STATS1003B!E52/1000</f>
        <v>0</v>
      </c>
      <c r="F48" s="9">
        <f>STATS1003B!F52/1000</f>
        <v>0</v>
      </c>
      <c r="G48" s="9">
        <f>STATS1003B!G52/1000</f>
        <v>0</v>
      </c>
      <c r="H48" s="9">
        <f>STATS1003B!H52/1000</f>
        <v>0</v>
      </c>
      <c r="I48" s="9">
        <f>STATS1003B!I52/1000</f>
        <v>0</v>
      </c>
      <c r="J48" s="9">
        <f>STATS1003B!J52/1000</f>
        <v>0</v>
      </c>
      <c r="K48" s="9">
        <f>STATS1003B!K52/1000</f>
        <v>0</v>
      </c>
      <c r="L48" s="9">
        <f>STATS1003B!L52/1000</f>
        <v>0</v>
      </c>
      <c r="M48" s="9">
        <f>STATS1003B!M52/1000</f>
        <v>0</v>
      </c>
      <c r="N48" s="9">
        <f>STATS1003B!N52/1000</f>
        <v>0</v>
      </c>
      <c r="O48" s="9">
        <f>STATS1003B!O52/1000</f>
        <v>0</v>
      </c>
      <c r="P48" s="9">
        <f>STATS1003B!P52/1000</f>
        <v>0</v>
      </c>
      <c r="Q48" s="9">
        <f>STATS1003B!Q52/1000</f>
        <v>0</v>
      </c>
      <c r="R48" s="9">
        <f>STATS1003B!R52/1000</f>
        <v>0</v>
      </c>
      <c r="S48" s="9">
        <f>STATS1003B!S52/1000</f>
        <v>0</v>
      </c>
      <c r="T48" s="9">
        <f>STATS1003B!T52/1000</f>
        <v>0</v>
      </c>
      <c r="U48" s="9">
        <f>STATS1003B!U52/1000</f>
        <v>0</v>
      </c>
      <c r="V48" s="9">
        <f>STATS1003B!V52/1000</f>
        <v>0</v>
      </c>
      <c r="W48" s="9">
        <f>STATS1003B!W52/1000</f>
        <v>0</v>
      </c>
      <c r="X48" s="9">
        <f>STATS1003B!X52/1000</f>
        <v>0</v>
      </c>
      <c r="Y48" s="9">
        <f>STATS1003B!Y52/1000</f>
        <v>0</v>
      </c>
      <c r="Z48" s="9">
        <f>STATS1003B!Z52/1000</f>
        <v>0</v>
      </c>
      <c r="AA48" s="9">
        <f>STATS1003B!AA52/1000</f>
        <v>0</v>
      </c>
      <c r="AB48" s="9">
        <f>STATS1003B!AB52/1000</f>
        <v>0</v>
      </c>
    </row>
    <row r="49" spans="1:28" x14ac:dyDescent="0.35">
      <c r="A49" s="36"/>
      <c r="B49" s="6"/>
      <c r="C49" s="7" t="s">
        <v>81</v>
      </c>
      <c r="D49" s="15" t="s">
        <v>78</v>
      </c>
      <c r="E49" s="9">
        <f>STATS1003B!E53/1000</f>
        <v>1000</v>
      </c>
      <c r="F49" s="9">
        <f>STATS1003B!F53/1000</f>
        <v>1000</v>
      </c>
      <c r="G49" s="9">
        <f>STATS1003B!G53/1000</f>
        <v>0</v>
      </c>
      <c r="H49" s="9">
        <f>STATS1003B!H53/1000</f>
        <v>1000</v>
      </c>
      <c r="I49" s="9">
        <f>STATS1003B!I53/1000</f>
        <v>0</v>
      </c>
      <c r="J49" s="9">
        <f>STATS1003B!J53/1000</f>
        <v>0</v>
      </c>
      <c r="K49" s="9">
        <f>STATS1003B!K53/1000</f>
        <v>0</v>
      </c>
      <c r="L49" s="9">
        <f>STATS1003B!L53/1000</f>
        <v>0</v>
      </c>
      <c r="M49" s="9">
        <f>STATS1003B!M53/1000</f>
        <v>1000</v>
      </c>
      <c r="N49" s="9">
        <f>STATS1003B!N53/1000</f>
        <v>0</v>
      </c>
      <c r="O49" s="9">
        <f>STATS1003B!O53/1000</f>
        <v>0</v>
      </c>
      <c r="P49" s="9">
        <f>STATS1003B!P53/1000</f>
        <v>0</v>
      </c>
      <c r="Q49" s="9">
        <f>STATS1003B!Q53/1000</f>
        <v>0</v>
      </c>
      <c r="R49" s="9">
        <f>STATS1003B!R53/1000</f>
        <v>0</v>
      </c>
      <c r="S49" s="9">
        <f>STATS1003B!S53/1000</f>
        <v>0</v>
      </c>
      <c r="T49" s="9">
        <f>STATS1003B!T53/1000</f>
        <v>0</v>
      </c>
      <c r="U49" s="9">
        <f>STATS1003B!U53/1000</f>
        <v>0</v>
      </c>
      <c r="V49" s="9">
        <f>STATS1003B!V53/1000</f>
        <v>1000</v>
      </c>
      <c r="W49" s="9">
        <f>STATS1003B!W53/1000</f>
        <v>0</v>
      </c>
      <c r="X49" s="9">
        <f>STATS1003B!X53/1000</f>
        <v>1000</v>
      </c>
      <c r="Y49" s="9">
        <f>STATS1003B!Y53/1000</f>
        <v>0</v>
      </c>
      <c r="Z49" s="9">
        <f>STATS1003B!Z53/1000</f>
        <v>0</v>
      </c>
      <c r="AA49" s="9">
        <f>STATS1003B!AA53/1000</f>
        <v>1000</v>
      </c>
      <c r="AB49" s="9">
        <f>STATS1003B!AB53/1000</f>
        <v>0</v>
      </c>
    </row>
    <row r="50" spans="1:28" x14ac:dyDescent="0.35">
      <c r="A50" s="36"/>
      <c r="B50" s="6"/>
      <c r="C50" s="7" t="s">
        <v>82</v>
      </c>
      <c r="D50" s="15" t="s">
        <v>68</v>
      </c>
      <c r="E50" s="9">
        <f>STATS1003B!E54/1000</f>
        <v>967.93718999999999</v>
      </c>
      <c r="F50" s="9">
        <f>STATS1003B!F54/1000</f>
        <v>122.718</v>
      </c>
      <c r="G50" s="9">
        <f>STATS1003B!G54/1000</f>
        <v>0</v>
      </c>
      <c r="H50" s="9">
        <f>STATS1003B!H54/1000</f>
        <v>122.718</v>
      </c>
      <c r="I50" s="9">
        <f>STATS1003B!I54/1000</f>
        <v>0</v>
      </c>
      <c r="J50" s="9">
        <f>STATS1003B!J54/1000</f>
        <v>0</v>
      </c>
      <c r="K50" s="9">
        <f>STATS1003B!K54/1000</f>
        <v>0</v>
      </c>
      <c r="L50" s="9">
        <f>STATS1003B!L54/1000</f>
        <v>0</v>
      </c>
      <c r="M50" s="9">
        <f>STATS1003B!M54/1000</f>
        <v>122.718</v>
      </c>
      <c r="N50" s="9">
        <f>STATS1003B!N54/1000</f>
        <v>845.21918999999991</v>
      </c>
      <c r="O50" s="9">
        <f>STATS1003B!O54/1000</f>
        <v>0</v>
      </c>
      <c r="P50" s="9">
        <f>STATS1003B!P54/1000</f>
        <v>845.21918999999991</v>
      </c>
      <c r="Q50" s="9">
        <f>STATS1003B!Q54/1000</f>
        <v>0</v>
      </c>
      <c r="R50" s="9">
        <f>STATS1003B!R54/1000</f>
        <v>0</v>
      </c>
      <c r="S50" s="9">
        <f>STATS1003B!S54/1000</f>
        <v>0</v>
      </c>
      <c r="T50" s="9">
        <f>STATS1003B!T54/1000</f>
        <v>0</v>
      </c>
      <c r="U50" s="9">
        <f>STATS1003B!U54/1000</f>
        <v>845.21918999999991</v>
      </c>
      <c r="V50" s="9">
        <f>STATS1003B!V54/1000</f>
        <v>967.93718999999999</v>
      </c>
      <c r="W50" s="9">
        <f>STATS1003B!W54/1000</f>
        <v>0</v>
      </c>
      <c r="X50" s="9">
        <f>STATS1003B!X54/1000</f>
        <v>967.93718999999999</v>
      </c>
      <c r="Y50" s="9">
        <f>STATS1003B!Y54/1000</f>
        <v>0</v>
      </c>
      <c r="Z50" s="9">
        <f>STATS1003B!Z54/1000</f>
        <v>0</v>
      </c>
      <c r="AA50" s="9">
        <f>STATS1003B!AA54/1000</f>
        <v>967.93718999999999</v>
      </c>
      <c r="AB50" s="9">
        <f>STATS1003B!AB54/1000</f>
        <v>0</v>
      </c>
    </row>
    <row r="51" spans="1:28" x14ac:dyDescent="0.35">
      <c r="A51" s="36"/>
      <c r="B51" s="6"/>
      <c r="C51" s="7" t="s">
        <v>83</v>
      </c>
      <c r="D51" s="15" t="s">
        <v>67</v>
      </c>
      <c r="E51" s="9">
        <f>STATS1003B!E55/1000</f>
        <v>1214.66958</v>
      </c>
      <c r="F51" s="9">
        <f>STATS1003B!F55/1000</f>
        <v>517.57376999999997</v>
      </c>
      <c r="G51" s="9">
        <f>STATS1003B!G55/1000</f>
        <v>0</v>
      </c>
      <c r="H51" s="9">
        <f>STATS1003B!H55/1000</f>
        <v>517.57376999999997</v>
      </c>
      <c r="I51" s="9">
        <f>STATS1003B!I55/1000</f>
        <v>0</v>
      </c>
      <c r="J51" s="9">
        <f>STATS1003B!J55/1000</f>
        <v>0</v>
      </c>
      <c r="K51" s="9">
        <f>STATS1003B!K55/1000</f>
        <v>0</v>
      </c>
      <c r="L51" s="9">
        <f>STATS1003B!L55/1000</f>
        <v>0</v>
      </c>
      <c r="M51" s="9">
        <f>STATS1003B!M55/1000</f>
        <v>517.57376999999997</v>
      </c>
      <c r="N51" s="9">
        <f>STATS1003B!N55/1000</f>
        <v>697.09581000000003</v>
      </c>
      <c r="O51" s="9">
        <f>STATS1003B!O55/1000</f>
        <v>0</v>
      </c>
      <c r="P51" s="9">
        <f>STATS1003B!P55/1000</f>
        <v>697.09581000000003</v>
      </c>
      <c r="Q51" s="9">
        <f>STATS1003B!Q55/1000</f>
        <v>0</v>
      </c>
      <c r="R51" s="9">
        <f>STATS1003B!R55/1000</f>
        <v>0</v>
      </c>
      <c r="S51" s="9">
        <f>STATS1003B!S55/1000</f>
        <v>0</v>
      </c>
      <c r="T51" s="9">
        <f>STATS1003B!T55/1000</f>
        <v>0</v>
      </c>
      <c r="U51" s="9">
        <f>STATS1003B!U55/1000</f>
        <v>697.09581000000003</v>
      </c>
      <c r="V51" s="9">
        <f>STATS1003B!V55/1000</f>
        <v>1214.66958</v>
      </c>
      <c r="W51" s="9">
        <f>STATS1003B!W55/1000</f>
        <v>0</v>
      </c>
      <c r="X51" s="9">
        <f>STATS1003B!X55/1000</f>
        <v>1214.66958</v>
      </c>
      <c r="Y51" s="9">
        <f>STATS1003B!Y55/1000</f>
        <v>0</v>
      </c>
      <c r="Z51" s="9">
        <f>STATS1003B!Z55/1000</f>
        <v>0</v>
      </c>
      <c r="AA51" s="9">
        <f>STATS1003B!AA55/1000</f>
        <v>1214.66958</v>
      </c>
      <c r="AB51" s="9">
        <f>STATS1003B!AB55/1000</f>
        <v>0</v>
      </c>
    </row>
    <row r="52" spans="1:28" x14ac:dyDescent="0.35">
      <c r="A52" s="36"/>
      <c r="B52" s="6"/>
      <c r="C52" s="7" t="s">
        <v>55</v>
      </c>
      <c r="D52" s="15" t="s">
        <v>68</v>
      </c>
      <c r="E52" s="9">
        <f>STATS1003B!E56/1000</f>
        <v>1434.7102500000001</v>
      </c>
      <c r="F52" s="9">
        <f>STATS1003B!F56/1000</f>
        <v>0</v>
      </c>
      <c r="G52" s="9">
        <f>STATS1003B!G56/1000</f>
        <v>0</v>
      </c>
      <c r="H52" s="9">
        <f>STATS1003B!H56/1000</f>
        <v>0</v>
      </c>
      <c r="I52" s="9">
        <f>STATS1003B!I56/1000</f>
        <v>0</v>
      </c>
      <c r="J52" s="9">
        <f>STATS1003B!J56/1000</f>
        <v>0</v>
      </c>
      <c r="K52" s="9">
        <f>STATS1003B!K56/1000</f>
        <v>0</v>
      </c>
      <c r="L52" s="9">
        <f>STATS1003B!L56/1000</f>
        <v>0</v>
      </c>
      <c r="M52" s="9">
        <f>STATS1003B!M56/1000</f>
        <v>0</v>
      </c>
      <c r="N52" s="9">
        <f>STATS1003B!N56/1000</f>
        <v>1434.7102500000001</v>
      </c>
      <c r="O52" s="9">
        <f>STATS1003B!O56/1000</f>
        <v>0</v>
      </c>
      <c r="P52" s="9">
        <f>STATS1003B!P56/1000</f>
        <v>1434.7102500000001</v>
      </c>
      <c r="Q52" s="9">
        <f>STATS1003B!Q56/1000</f>
        <v>0</v>
      </c>
      <c r="R52" s="9">
        <f>STATS1003B!R56/1000</f>
        <v>0</v>
      </c>
      <c r="S52" s="9">
        <f>STATS1003B!S56/1000</f>
        <v>0</v>
      </c>
      <c r="T52" s="9">
        <f>STATS1003B!T56/1000</f>
        <v>0</v>
      </c>
      <c r="U52" s="9">
        <f>STATS1003B!U56/1000</f>
        <v>1434.7102500000001</v>
      </c>
      <c r="V52" s="9">
        <f>STATS1003B!V56/1000</f>
        <v>1434.7102500000001</v>
      </c>
      <c r="W52" s="9">
        <f>STATS1003B!W56/1000</f>
        <v>0</v>
      </c>
      <c r="X52" s="9">
        <f>STATS1003B!X56/1000</f>
        <v>1434.7102500000001</v>
      </c>
      <c r="Y52" s="9">
        <f>STATS1003B!Y56/1000</f>
        <v>0</v>
      </c>
      <c r="Z52" s="9">
        <f>STATS1003B!Z56/1000</f>
        <v>0</v>
      </c>
      <c r="AA52" s="9">
        <f>STATS1003B!AA56/1000</f>
        <v>1434.7102500000001</v>
      </c>
      <c r="AB52" s="9">
        <f>STATS1003B!AB56/1000</f>
        <v>0</v>
      </c>
    </row>
    <row r="53" spans="1:28" x14ac:dyDescent="0.35">
      <c r="A53" s="36"/>
      <c r="B53" s="6"/>
      <c r="C53" s="7" t="s">
        <v>53</v>
      </c>
      <c r="D53" s="15" t="s">
        <v>68</v>
      </c>
      <c r="E53" s="9">
        <f>STATS1003B!E57/1000</f>
        <v>2306.1060000000002</v>
      </c>
      <c r="F53" s="9">
        <f>STATS1003B!F57/1000</f>
        <v>0</v>
      </c>
      <c r="G53" s="9">
        <f>STATS1003B!G57/1000</f>
        <v>0</v>
      </c>
      <c r="H53" s="9">
        <f>STATS1003B!H57/1000</f>
        <v>0</v>
      </c>
      <c r="I53" s="9">
        <f>STATS1003B!I57/1000</f>
        <v>0</v>
      </c>
      <c r="J53" s="9">
        <f>STATS1003B!J57/1000</f>
        <v>0</v>
      </c>
      <c r="K53" s="9">
        <f>STATS1003B!K57/1000</f>
        <v>0</v>
      </c>
      <c r="L53" s="9">
        <f>STATS1003B!L57/1000</f>
        <v>0</v>
      </c>
      <c r="M53" s="9">
        <f>STATS1003B!M57/1000</f>
        <v>0</v>
      </c>
      <c r="N53" s="9">
        <f>STATS1003B!N57/1000</f>
        <v>2306.1060000000002</v>
      </c>
      <c r="O53" s="9">
        <f>STATS1003B!O57/1000</f>
        <v>0</v>
      </c>
      <c r="P53" s="9">
        <f>STATS1003B!P57/1000</f>
        <v>2306.1060000000002</v>
      </c>
      <c r="Q53" s="9">
        <f>STATS1003B!Q57/1000</f>
        <v>0</v>
      </c>
      <c r="R53" s="9">
        <f>STATS1003B!R57/1000</f>
        <v>0</v>
      </c>
      <c r="S53" s="9">
        <f>STATS1003B!S57/1000</f>
        <v>0</v>
      </c>
      <c r="T53" s="9">
        <f>STATS1003B!T57/1000</f>
        <v>0</v>
      </c>
      <c r="U53" s="9">
        <f>STATS1003B!U57/1000</f>
        <v>2306.1060000000002</v>
      </c>
      <c r="V53" s="9">
        <f>STATS1003B!V57/1000</f>
        <v>2306.1060000000002</v>
      </c>
      <c r="W53" s="9">
        <f>STATS1003B!W57/1000</f>
        <v>0</v>
      </c>
      <c r="X53" s="9">
        <f>STATS1003B!X57/1000</f>
        <v>2306.1060000000002</v>
      </c>
      <c r="Y53" s="9">
        <f>STATS1003B!Y57/1000</f>
        <v>0</v>
      </c>
      <c r="Z53" s="9">
        <f>STATS1003B!Z57/1000</f>
        <v>0</v>
      </c>
      <c r="AA53" s="9">
        <f>STATS1003B!AA57/1000</f>
        <v>2306.1060000000002</v>
      </c>
      <c r="AB53" s="9">
        <f>STATS1003B!AB57/1000</f>
        <v>0</v>
      </c>
    </row>
    <row r="54" spans="1:28" x14ac:dyDescent="0.35">
      <c r="A54" s="36"/>
      <c r="B54" s="6"/>
      <c r="C54" s="7" t="s">
        <v>84</v>
      </c>
      <c r="D54" s="15" t="s">
        <v>85</v>
      </c>
      <c r="E54" s="9">
        <f>STATS1003B!E58/1000</f>
        <v>480</v>
      </c>
      <c r="F54" s="9">
        <f>STATS1003B!F58/1000</f>
        <v>480</v>
      </c>
      <c r="G54" s="9">
        <f>STATS1003B!G58/1000</f>
        <v>0</v>
      </c>
      <c r="H54" s="9">
        <f>STATS1003B!H58/1000</f>
        <v>480</v>
      </c>
      <c r="I54" s="9">
        <f>STATS1003B!I58/1000</f>
        <v>0</v>
      </c>
      <c r="J54" s="9">
        <f>STATS1003B!J58/1000</f>
        <v>0</v>
      </c>
      <c r="K54" s="9">
        <f>STATS1003B!K58/1000</f>
        <v>0</v>
      </c>
      <c r="L54" s="9">
        <f>STATS1003B!L58/1000</f>
        <v>0</v>
      </c>
      <c r="M54" s="9">
        <f>STATS1003B!M58/1000</f>
        <v>480</v>
      </c>
      <c r="N54" s="9">
        <f>STATS1003B!N58/1000</f>
        <v>0</v>
      </c>
      <c r="O54" s="9">
        <f>STATS1003B!O58/1000</f>
        <v>0</v>
      </c>
      <c r="P54" s="9">
        <f>STATS1003B!P58/1000</f>
        <v>0</v>
      </c>
      <c r="Q54" s="9">
        <f>STATS1003B!Q58/1000</f>
        <v>0</v>
      </c>
      <c r="R54" s="9">
        <f>STATS1003B!R58/1000</f>
        <v>0</v>
      </c>
      <c r="S54" s="9">
        <f>STATS1003B!S58/1000</f>
        <v>0</v>
      </c>
      <c r="T54" s="9">
        <f>STATS1003B!T58/1000</f>
        <v>0</v>
      </c>
      <c r="U54" s="9">
        <f>STATS1003B!U58/1000</f>
        <v>0</v>
      </c>
      <c r="V54" s="9">
        <f>STATS1003B!V58/1000</f>
        <v>480</v>
      </c>
      <c r="W54" s="9">
        <f>STATS1003B!W58/1000</f>
        <v>0</v>
      </c>
      <c r="X54" s="9">
        <f>STATS1003B!X58/1000</f>
        <v>480</v>
      </c>
      <c r="Y54" s="9">
        <f>STATS1003B!Y58/1000</f>
        <v>0</v>
      </c>
      <c r="Z54" s="9">
        <f>STATS1003B!Z58/1000</f>
        <v>0</v>
      </c>
      <c r="AA54" s="9">
        <f>STATS1003B!AA58/1000</f>
        <v>480</v>
      </c>
      <c r="AB54" s="9">
        <f>STATS1003B!AB58/1000</f>
        <v>0</v>
      </c>
    </row>
    <row r="55" spans="1:28" x14ac:dyDescent="0.35">
      <c r="A55" s="36"/>
      <c r="B55" s="6"/>
      <c r="C55" s="7" t="s">
        <v>86</v>
      </c>
      <c r="D55" s="15" t="s">
        <v>85</v>
      </c>
      <c r="E55" s="9">
        <f>STATS1003B!E59/1000</f>
        <v>160</v>
      </c>
      <c r="F55" s="9">
        <f>STATS1003B!F59/1000</f>
        <v>160</v>
      </c>
      <c r="G55" s="9">
        <f>STATS1003B!G59/1000</f>
        <v>0</v>
      </c>
      <c r="H55" s="9">
        <f>STATS1003B!H59/1000</f>
        <v>160</v>
      </c>
      <c r="I55" s="9">
        <f>STATS1003B!I59/1000</f>
        <v>0</v>
      </c>
      <c r="J55" s="9">
        <f>STATS1003B!J59/1000</f>
        <v>0</v>
      </c>
      <c r="K55" s="9">
        <f>STATS1003B!K59/1000</f>
        <v>0</v>
      </c>
      <c r="L55" s="9">
        <f>STATS1003B!L59/1000</f>
        <v>0</v>
      </c>
      <c r="M55" s="9">
        <f>STATS1003B!M59/1000</f>
        <v>160</v>
      </c>
      <c r="N55" s="9">
        <f>STATS1003B!N59/1000</f>
        <v>0</v>
      </c>
      <c r="O55" s="9">
        <f>STATS1003B!O59/1000</f>
        <v>0</v>
      </c>
      <c r="P55" s="9">
        <f>STATS1003B!P59/1000</f>
        <v>0</v>
      </c>
      <c r="Q55" s="9">
        <f>STATS1003B!Q59/1000</f>
        <v>0</v>
      </c>
      <c r="R55" s="9">
        <f>STATS1003B!R59/1000</f>
        <v>0</v>
      </c>
      <c r="S55" s="9">
        <f>STATS1003B!S59/1000</f>
        <v>0</v>
      </c>
      <c r="T55" s="9">
        <f>STATS1003B!T59/1000</f>
        <v>0</v>
      </c>
      <c r="U55" s="9">
        <f>STATS1003B!U59/1000</f>
        <v>0</v>
      </c>
      <c r="V55" s="9">
        <f>STATS1003B!V59/1000</f>
        <v>160</v>
      </c>
      <c r="W55" s="9">
        <f>STATS1003B!W59/1000</f>
        <v>0</v>
      </c>
      <c r="X55" s="9">
        <f>STATS1003B!X59/1000</f>
        <v>160</v>
      </c>
      <c r="Y55" s="9">
        <f>STATS1003B!Y59/1000</f>
        <v>0</v>
      </c>
      <c r="Z55" s="9">
        <f>STATS1003B!Z59/1000</f>
        <v>0</v>
      </c>
      <c r="AA55" s="9">
        <f>STATS1003B!AA59/1000</f>
        <v>160</v>
      </c>
      <c r="AB55" s="9">
        <f>STATS1003B!AB59/1000</f>
        <v>0</v>
      </c>
    </row>
    <row r="56" spans="1:28" x14ac:dyDescent="0.35">
      <c r="A56" s="36"/>
      <c r="B56" s="6"/>
      <c r="C56" s="7" t="s">
        <v>87</v>
      </c>
      <c r="D56" s="15" t="s">
        <v>88</v>
      </c>
      <c r="E56" s="9">
        <f>STATS1003B!E60/1000</f>
        <v>5500</v>
      </c>
      <c r="F56" s="9">
        <f>STATS1003B!F60/1000</f>
        <v>5500</v>
      </c>
      <c r="G56" s="9">
        <f>STATS1003B!G60/1000</f>
        <v>0</v>
      </c>
      <c r="H56" s="9">
        <f>STATS1003B!H60/1000</f>
        <v>5500</v>
      </c>
      <c r="I56" s="9">
        <f>STATS1003B!I60/1000</f>
        <v>0</v>
      </c>
      <c r="J56" s="9">
        <f>STATS1003B!J60/1000</f>
        <v>0</v>
      </c>
      <c r="K56" s="9">
        <f>STATS1003B!K60/1000</f>
        <v>0</v>
      </c>
      <c r="L56" s="9">
        <f>STATS1003B!L60/1000</f>
        <v>0</v>
      </c>
      <c r="M56" s="9">
        <f>STATS1003B!M60/1000</f>
        <v>5500</v>
      </c>
      <c r="N56" s="9">
        <f>STATS1003B!N60/1000</f>
        <v>0</v>
      </c>
      <c r="O56" s="9">
        <f>STATS1003B!O60/1000</f>
        <v>0</v>
      </c>
      <c r="P56" s="9">
        <f>STATS1003B!P60/1000</f>
        <v>0</v>
      </c>
      <c r="Q56" s="9">
        <f>STATS1003B!Q60/1000</f>
        <v>0</v>
      </c>
      <c r="R56" s="9">
        <f>STATS1003B!R60/1000</f>
        <v>0</v>
      </c>
      <c r="S56" s="9">
        <f>STATS1003B!S60/1000</f>
        <v>0</v>
      </c>
      <c r="T56" s="9">
        <f>STATS1003B!T60/1000</f>
        <v>0</v>
      </c>
      <c r="U56" s="9">
        <f>STATS1003B!U60/1000</f>
        <v>0</v>
      </c>
      <c r="V56" s="9">
        <f>STATS1003B!V60/1000</f>
        <v>5500</v>
      </c>
      <c r="W56" s="9">
        <f>STATS1003B!W60/1000</f>
        <v>0</v>
      </c>
      <c r="X56" s="9">
        <f>STATS1003B!X60/1000</f>
        <v>5500</v>
      </c>
      <c r="Y56" s="9">
        <f>STATS1003B!Y60/1000</f>
        <v>0</v>
      </c>
      <c r="Z56" s="9">
        <f>STATS1003B!Z60/1000</f>
        <v>0</v>
      </c>
      <c r="AA56" s="9">
        <f>STATS1003B!AA60/1000</f>
        <v>5500</v>
      </c>
      <c r="AB56" s="9">
        <f>STATS1003B!AB60/1000</f>
        <v>0</v>
      </c>
    </row>
    <row r="57" spans="1:28" x14ac:dyDescent="0.35">
      <c r="A57" s="36"/>
      <c r="B57" s="6"/>
      <c r="C57" s="7" t="s">
        <v>57</v>
      </c>
      <c r="D57" s="15" t="s">
        <v>58</v>
      </c>
      <c r="E57" s="9">
        <f>STATS1003B!E61/1000</f>
        <v>5367.3249999999998</v>
      </c>
      <c r="F57" s="9">
        <f>STATS1003B!F61/1000</f>
        <v>5367.3249999999998</v>
      </c>
      <c r="G57" s="9">
        <f>STATS1003B!G61/1000</f>
        <v>0</v>
      </c>
      <c r="H57" s="9">
        <f>STATS1003B!H61/1000</f>
        <v>5367.3249999999998</v>
      </c>
      <c r="I57" s="9">
        <f>STATS1003B!I61/1000</f>
        <v>0</v>
      </c>
      <c r="J57" s="9">
        <f>STATS1003B!J61/1000</f>
        <v>0</v>
      </c>
      <c r="K57" s="9">
        <f>STATS1003B!K61/1000</f>
        <v>0</v>
      </c>
      <c r="L57" s="9">
        <f>STATS1003B!L61/1000</f>
        <v>0</v>
      </c>
      <c r="M57" s="9">
        <f>STATS1003B!M61/1000</f>
        <v>5367.3249999999998</v>
      </c>
      <c r="N57" s="9">
        <f>STATS1003B!N61/1000</f>
        <v>0</v>
      </c>
      <c r="O57" s="9">
        <f>STATS1003B!O61/1000</f>
        <v>0</v>
      </c>
      <c r="P57" s="9">
        <f>STATS1003B!P61/1000</f>
        <v>0</v>
      </c>
      <c r="Q57" s="9">
        <f>STATS1003B!Q61/1000</f>
        <v>0</v>
      </c>
      <c r="R57" s="9">
        <f>STATS1003B!R61/1000</f>
        <v>0</v>
      </c>
      <c r="S57" s="9">
        <f>STATS1003B!S61/1000</f>
        <v>0</v>
      </c>
      <c r="T57" s="9">
        <f>STATS1003B!T61/1000</f>
        <v>0</v>
      </c>
      <c r="U57" s="9">
        <f>STATS1003B!U61/1000</f>
        <v>0</v>
      </c>
      <c r="V57" s="9">
        <f>STATS1003B!V61/1000</f>
        <v>5367.3249999999998</v>
      </c>
      <c r="W57" s="9">
        <f>STATS1003B!W61/1000</f>
        <v>0</v>
      </c>
      <c r="X57" s="9">
        <f>STATS1003B!X61/1000</f>
        <v>5367.3249999999998</v>
      </c>
      <c r="Y57" s="9">
        <f>STATS1003B!Y61/1000</f>
        <v>0</v>
      </c>
      <c r="Z57" s="9">
        <f>STATS1003B!Z61/1000</f>
        <v>0</v>
      </c>
      <c r="AA57" s="9">
        <f>STATS1003B!AA61/1000</f>
        <v>5367.3249999999998</v>
      </c>
      <c r="AB57" s="9">
        <f>STATS1003B!AB61/1000</f>
        <v>0</v>
      </c>
    </row>
    <row r="58" spans="1:28" x14ac:dyDescent="0.35">
      <c r="A58" s="36"/>
      <c r="B58" s="6"/>
      <c r="C58" s="7" t="s">
        <v>57</v>
      </c>
      <c r="D58" s="15" t="s">
        <v>60</v>
      </c>
      <c r="E58" s="9">
        <f>STATS1003B!E62/1000</f>
        <v>8923.2084600000017</v>
      </c>
      <c r="F58" s="9">
        <f>STATS1003B!F62/1000</f>
        <v>8923.2084600000017</v>
      </c>
      <c r="G58" s="9">
        <f>STATS1003B!G62/1000</f>
        <v>0</v>
      </c>
      <c r="H58" s="9">
        <f>STATS1003B!H62/1000</f>
        <v>8923.2084600000017</v>
      </c>
      <c r="I58" s="9">
        <f>STATS1003B!I62/1000</f>
        <v>0</v>
      </c>
      <c r="J58" s="9">
        <f>STATS1003B!J62/1000</f>
        <v>0</v>
      </c>
      <c r="K58" s="9">
        <f>STATS1003B!K62/1000</f>
        <v>0</v>
      </c>
      <c r="L58" s="9">
        <f>STATS1003B!L62/1000</f>
        <v>0</v>
      </c>
      <c r="M58" s="9">
        <f>STATS1003B!M62/1000</f>
        <v>8923.2084600000017</v>
      </c>
      <c r="N58" s="9">
        <f>STATS1003B!N62/1000</f>
        <v>0</v>
      </c>
      <c r="O58" s="9">
        <f>STATS1003B!O62/1000</f>
        <v>0</v>
      </c>
      <c r="P58" s="9">
        <f>STATS1003B!P62/1000</f>
        <v>0</v>
      </c>
      <c r="Q58" s="9">
        <f>STATS1003B!Q62/1000</f>
        <v>0</v>
      </c>
      <c r="R58" s="9">
        <f>STATS1003B!R62/1000</f>
        <v>0</v>
      </c>
      <c r="S58" s="9">
        <f>STATS1003B!S62/1000</f>
        <v>0</v>
      </c>
      <c r="T58" s="9">
        <f>STATS1003B!T62/1000</f>
        <v>0</v>
      </c>
      <c r="U58" s="9">
        <f>STATS1003B!U62/1000</f>
        <v>0</v>
      </c>
      <c r="V58" s="9">
        <f>STATS1003B!V62/1000</f>
        <v>8923.2084600000017</v>
      </c>
      <c r="W58" s="9">
        <f>STATS1003B!W62/1000</f>
        <v>0</v>
      </c>
      <c r="X58" s="9">
        <f>STATS1003B!X62/1000</f>
        <v>8923.2084600000017</v>
      </c>
      <c r="Y58" s="9">
        <f>STATS1003B!Y62/1000</f>
        <v>0</v>
      </c>
      <c r="Z58" s="9">
        <f>STATS1003B!Z62/1000</f>
        <v>0</v>
      </c>
      <c r="AA58" s="9">
        <f>STATS1003B!AA62/1000</f>
        <v>8923.2084600000017</v>
      </c>
      <c r="AB58" s="9">
        <f>STATS1003B!AB62/1000</f>
        <v>0</v>
      </c>
    </row>
    <row r="59" spans="1:28" x14ac:dyDescent="0.35">
      <c r="A59" s="36"/>
      <c r="B59" s="6"/>
      <c r="C59" s="14" t="s">
        <v>89</v>
      </c>
      <c r="D59" s="15" t="s">
        <v>60</v>
      </c>
      <c r="E59" s="9">
        <f>STATS1003B!E63/1000</f>
        <v>5000</v>
      </c>
      <c r="F59" s="9">
        <f>STATS1003B!F63/1000</f>
        <v>5000</v>
      </c>
      <c r="G59" s="9">
        <f>STATS1003B!G63/1000</f>
        <v>0</v>
      </c>
      <c r="H59" s="9">
        <f>STATS1003B!H63/1000</f>
        <v>5000</v>
      </c>
      <c r="I59" s="9">
        <f>STATS1003B!I63/1000</f>
        <v>0</v>
      </c>
      <c r="J59" s="9">
        <f>STATS1003B!J63/1000</f>
        <v>0</v>
      </c>
      <c r="K59" s="9">
        <f>STATS1003B!K63/1000</f>
        <v>0</v>
      </c>
      <c r="L59" s="9">
        <f>STATS1003B!L63/1000</f>
        <v>0</v>
      </c>
      <c r="M59" s="9">
        <f>STATS1003B!M63/1000</f>
        <v>5000</v>
      </c>
      <c r="N59" s="9">
        <f>STATS1003B!N63/1000</f>
        <v>0</v>
      </c>
      <c r="O59" s="9">
        <f>STATS1003B!O63/1000</f>
        <v>0</v>
      </c>
      <c r="P59" s="9">
        <f>STATS1003B!P63/1000</f>
        <v>0</v>
      </c>
      <c r="Q59" s="9">
        <f>STATS1003B!Q63/1000</f>
        <v>0</v>
      </c>
      <c r="R59" s="9">
        <f>STATS1003B!R63/1000</f>
        <v>0</v>
      </c>
      <c r="S59" s="9">
        <f>STATS1003B!S63/1000</f>
        <v>0</v>
      </c>
      <c r="T59" s="9">
        <f>STATS1003B!T63/1000</f>
        <v>0</v>
      </c>
      <c r="U59" s="9">
        <f>STATS1003B!U63/1000</f>
        <v>0</v>
      </c>
      <c r="V59" s="9">
        <f>STATS1003B!V63/1000</f>
        <v>5000</v>
      </c>
      <c r="W59" s="9">
        <f>STATS1003B!W63/1000</f>
        <v>0</v>
      </c>
      <c r="X59" s="9">
        <f>STATS1003B!X63/1000</f>
        <v>5000</v>
      </c>
      <c r="Y59" s="9">
        <f>STATS1003B!Y63/1000</f>
        <v>0</v>
      </c>
      <c r="Z59" s="9">
        <f>STATS1003B!Z63/1000</f>
        <v>0</v>
      </c>
      <c r="AA59" s="9">
        <f>STATS1003B!AA63/1000</f>
        <v>5000</v>
      </c>
      <c r="AB59" s="9">
        <f>STATS1003B!AB63/1000</f>
        <v>0</v>
      </c>
    </row>
    <row r="60" spans="1:28" x14ac:dyDescent="0.35">
      <c r="A60" s="36"/>
      <c r="B60" s="6"/>
      <c r="C60" s="14" t="s">
        <v>90</v>
      </c>
      <c r="D60" s="15" t="s">
        <v>60</v>
      </c>
      <c r="E60" s="9">
        <f>STATS1003B!E64/1000</f>
        <v>750</v>
      </c>
      <c r="F60" s="9">
        <f>STATS1003B!F64/1000</f>
        <v>750</v>
      </c>
      <c r="G60" s="9">
        <f>STATS1003B!G64/1000</f>
        <v>0</v>
      </c>
      <c r="H60" s="9">
        <f>STATS1003B!H64/1000</f>
        <v>750</v>
      </c>
      <c r="I60" s="9">
        <f>STATS1003B!I64/1000</f>
        <v>0</v>
      </c>
      <c r="J60" s="9">
        <f>STATS1003B!J64/1000</f>
        <v>0</v>
      </c>
      <c r="K60" s="9">
        <f>STATS1003B!K64/1000</f>
        <v>0</v>
      </c>
      <c r="L60" s="9">
        <f>STATS1003B!L64/1000</f>
        <v>0</v>
      </c>
      <c r="M60" s="9">
        <f>STATS1003B!M64/1000</f>
        <v>750</v>
      </c>
      <c r="N60" s="9">
        <f>STATS1003B!N64/1000</f>
        <v>0</v>
      </c>
      <c r="O60" s="9">
        <f>STATS1003B!O64/1000</f>
        <v>0</v>
      </c>
      <c r="P60" s="9">
        <f>STATS1003B!P64/1000</f>
        <v>0</v>
      </c>
      <c r="Q60" s="9">
        <f>STATS1003B!Q64/1000</f>
        <v>0</v>
      </c>
      <c r="R60" s="9">
        <f>STATS1003B!R64/1000</f>
        <v>0</v>
      </c>
      <c r="S60" s="9">
        <f>STATS1003B!S64/1000</f>
        <v>0</v>
      </c>
      <c r="T60" s="9">
        <f>STATS1003B!T64/1000</f>
        <v>0</v>
      </c>
      <c r="U60" s="9">
        <f>STATS1003B!U64/1000</f>
        <v>0</v>
      </c>
      <c r="V60" s="9">
        <f>STATS1003B!V64/1000</f>
        <v>750</v>
      </c>
      <c r="W60" s="9">
        <f>STATS1003B!W64/1000</f>
        <v>0</v>
      </c>
      <c r="X60" s="9">
        <f>STATS1003B!X64/1000</f>
        <v>750</v>
      </c>
      <c r="Y60" s="9">
        <f>STATS1003B!Y64/1000</f>
        <v>0</v>
      </c>
      <c r="Z60" s="9">
        <f>STATS1003B!Z64/1000</f>
        <v>0</v>
      </c>
      <c r="AA60" s="9">
        <f>STATS1003B!AA64/1000</f>
        <v>750</v>
      </c>
      <c r="AB60" s="9">
        <f>STATS1003B!AB64/1000</f>
        <v>0</v>
      </c>
    </row>
    <row r="61" spans="1:28" x14ac:dyDescent="0.35">
      <c r="A61" s="36"/>
      <c r="B61" s="6"/>
      <c r="C61" s="14" t="s">
        <v>930</v>
      </c>
      <c r="D61" s="16" t="s">
        <v>1072</v>
      </c>
      <c r="E61" s="9">
        <f>STATS1003B!E65/1000</f>
        <v>1910.6788599999998</v>
      </c>
      <c r="F61" s="9">
        <f>STATS1003B!F65/1000</f>
        <v>1910.6788599999998</v>
      </c>
      <c r="G61" s="9">
        <f>STATS1003B!G65/1000</f>
        <v>0</v>
      </c>
      <c r="H61" s="9">
        <f>STATS1003B!H65/1000</f>
        <v>1910.6788599999998</v>
      </c>
      <c r="I61" s="9">
        <f>STATS1003B!I65/1000</f>
        <v>0</v>
      </c>
      <c r="J61" s="9">
        <f>STATS1003B!J65/1000</f>
        <v>0</v>
      </c>
      <c r="K61" s="9">
        <f>STATS1003B!K65/1000</f>
        <v>0</v>
      </c>
      <c r="L61" s="9">
        <f>STATS1003B!L65/1000</f>
        <v>0</v>
      </c>
      <c r="M61" s="9">
        <f>STATS1003B!M65/1000</f>
        <v>1910.6788599999998</v>
      </c>
      <c r="N61" s="9">
        <f>STATS1003B!N65/1000</f>
        <v>0</v>
      </c>
      <c r="O61" s="9">
        <f>STATS1003B!O65/1000</f>
        <v>0</v>
      </c>
      <c r="P61" s="9">
        <f>STATS1003B!P65/1000</f>
        <v>0</v>
      </c>
      <c r="Q61" s="9">
        <f>STATS1003B!Q65/1000</f>
        <v>0</v>
      </c>
      <c r="R61" s="9">
        <f>STATS1003B!R65/1000</f>
        <v>0</v>
      </c>
      <c r="S61" s="9">
        <f>STATS1003B!S65/1000</f>
        <v>0</v>
      </c>
      <c r="T61" s="9">
        <f>STATS1003B!T65/1000</f>
        <v>0</v>
      </c>
      <c r="U61" s="9">
        <f>STATS1003B!U65/1000</f>
        <v>0</v>
      </c>
      <c r="V61" s="9">
        <f>STATS1003B!V65/1000</f>
        <v>1910.6788599999998</v>
      </c>
      <c r="W61" s="9">
        <f>STATS1003B!W65/1000</f>
        <v>0</v>
      </c>
      <c r="X61" s="9">
        <f>STATS1003B!X65/1000</f>
        <v>1910.6788599999998</v>
      </c>
      <c r="Y61" s="9">
        <f>STATS1003B!Y65/1000</f>
        <v>0</v>
      </c>
      <c r="Z61" s="9">
        <f>STATS1003B!Z65/1000</f>
        <v>0</v>
      </c>
      <c r="AA61" s="9">
        <f>STATS1003B!AA65/1000</f>
        <v>1910.6788599999998</v>
      </c>
      <c r="AB61" s="9">
        <f>STATS1003B!AB65/1000</f>
        <v>0</v>
      </c>
    </row>
    <row r="62" spans="1:28" x14ac:dyDescent="0.35">
      <c r="A62" s="36"/>
      <c r="B62" s="6"/>
      <c r="C62" s="7" t="s">
        <v>57</v>
      </c>
      <c r="D62" s="16" t="s">
        <v>61</v>
      </c>
      <c r="E62" s="9">
        <f>STATS1003B!E66/1000</f>
        <v>1220.2831799999999</v>
      </c>
      <c r="F62" s="9">
        <f>STATS1003B!F66/1000</f>
        <v>1220.2831799999999</v>
      </c>
      <c r="G62" s="9">
        <f>STATS1003B!G66/1000</f>
        <v>0</v>
      </c>
      <c r="H62" s="9">
        <f>STATS1003B!H66/1000</f>
        <v>1220.2831799999999</v>
      </c>
      <c r="I62" s="9">
        <f>STATS1003B!I66/1000</f>
        <v>0</v>
      </c>
      <c r="J62" s="9">
        <f>STATS1003B!J66/1000</f>
        <v>0</v>
      </c>
      <c r="K62" s="9">
        <f>STATS1003B!K66/1000</f>
        <v>0</v>
      </c>
      <c r="L62" s="9">
        <f>STATS1003B!L66/1000</f>
        <v>0</v>
      </c>
      <c r="M62" s="9">
        <f>STATS1003B!M66/1000</f>
        <v>1220.2831799999999</v>
      </c>
      <c r="N62" s="9">
        <f>STATS1003B!N66/1000</f>
        <v>0</v>
      </c>
      <c r="O62" s="9">
        <f>STATS1003B!O66/1000</f>
        <v>0</v>
      </c>
      <c r="P62" s="9">
        <f>STATS1003B!P66/1000</f>
        <v>0</v>
      </c>
      <c r="Q62" s="9">
        <f>STATS1003B!Q66/1000</f>
        <v>0</v>
      </c>
      <c r="R62" s="9">
        <f>STATS1003B!R66/1000</f>
        <v>0</v>
      </c>
      <c r="S62" s="9">
        <f>STATS1003B!S66/1000</f>
        <v>0</v>
      </c>
      <c r="T62" s="9">
        <f>STATS1003B!T66/1000</f>
        <v>0</v>
      </c>
      <c r="U62" s="9">
        <f>STATS1003B!U66/1000</f>
        <v>0</v>
      </c>
      <c r="V62" s="9">
        <f>STATS1003B!V66/1000</f>
        <v>1220.2831799999999</v>
      </c>
      <c r="W62" s="9">
        <f>STATS1003B!W66/1000</f>
        <v>0</v>
      </c>
      <c r="X62" s="9">
        <f>STATS1003B!X66/1000</f>
        <v>1220.2831799999999</v>
      </c>
      <c r="Y62" s="9">
        <f>STATS1003B!Y66/1000</f>
        <v>0</v>
      </c>
      <c r="Z62" s="9">
        <f>STATS1003B!Z66/1000</f>
        <v>0</v>
      </c>
      <c r="AA62" s="9">
        <f>STATS1003B!AA66/1000</f>
        <v>1220.2831799999999</v>
      </c>
      <c r="AB62" s="9">
        <f>STATS1003B!AB66/1000</f>
        <v>0</v>
      </c>
    </row>
    <row r="63" spans="1:28" x14ac:dyDescent="0.35">
      <c r="A63" s="36"/>
      <c r="B63" s="6"/>
      <c r="C63" s="8"/>
      <c r="D63" s="8"/>
      <c r="E63" s="17" t="s">
        <v>29</v>
      </c>
      <c r="F63" s="17" t="s">
        <v>29</v>
      </c>
      <c r="G63" s="17" t="s">
        <v>29</v>
      </c>
      <c r="H63" s="17" t="s">
        <v>29</v>
      </c>
      <c r="I63" s="17" t="s">
        <v>29</v>
      </c>
      <c r="J63" s="17" t="s">
        <v>29</v>
      </c>
      <c r="K63" s="17" t="s">
        <v>29</v>
      </c>
      <c r="L63" s="17" t="s">
        <v>29</v>
      </c>
      <c r="M63" s="17" t="s">
        <v>29</v>
      </c>
      <c r="N63" s="17" t="s">
        <v>29</v>
      </c>
      <c r="O63" s="17" t="s">
        <v>29</v>
      </c>
      <c r="P63" s="17" t="s">
        <v>29</v>
      </c>
      <c r="Q63" s="17" t="s">
        <v>29</v>
      </c>
      <c r="R63" s="17" t="s">
        <v>29</v>
      </c>
      <c r="S63" s="17" t="s">
        <v>29</v>
      </c>
      <c r="T63" s="17" t="s">
        <v>29</v>
      </c>
      <c r="U63" s="17" t="s">
        <v>29</v>
      </c>
      <c r="V63" s="17" t="s">
        <v>29</v>
      </c>
      <c r="W63" s="17" t="s">
        <v>29</v>
      </c>
      <c r="X63" s="17" t="s">
        <v>29</v>
      </c>
      <c r="Y63" s="17" t="s">
        <v>29</v>
      </c>
      <c r="Z63" s="17" t="s">
        <v>29</v>
      </c>
      <c r="AA63" s="17" t="s">
        <v>29</v>
      </c>
      <c r="AB63" s="17" t="s">
        <v>29</v>
      </c>
    </row>
    <row r="64" spans="1:28" x14ac:dyDescent="0.35">
      <c r="A64" s="36"/>
      <c r="B64" s="6"/>
      <c r="C64" s="8"/>
      <c r="D64" s="8"/>
      <c r="E64" s="9">
        <f t="shared" ref="E64:AB64" si="2">SUM(E45:E62)</f>
        <v>68376.622539999997</v>
      </c>
      <c r="F64" s="9">
        <f t="shared" si="2"/>
        <v>52370.175060000001</v>
      </c>
      <c r="G64" s="9">
        <f t="shared" si="2"/>
        <v>0</v>
      </c>
      <c r="H64" s="9">
        <f t="shared" si="2"/>
        <v>52370.175060000001</v>
      </c>
      <c r="I64" s="9">
        <f t="shared" si="2"/>
        <v>0</v>
      </c>
      <c r="J64" s="9">
        <f t="shared" si="2"/>
        <v>0</v>
      </c>
      <c r="K64" s="9">
        <f t="shared" si="2"/>
        <v>0</v>
      </c>
      <c r="L64" s="9">
        <f t="shared" si="2"/>
        <v>0</v>
      </c>
      <c r="M64" s="9">
        <f t="shared" si="2"/>
        <v>52370.175060000001</v>
      </c>
      <c r="N64" s="9">
        <f t="shared" si="2"/>
        <v>14523.77937</v>
      </c>
      <c r="O64" s="9">
        <f t="shared" si="2"/>
        <v>0</v>
      </c>
      <c r="P64" s="9">
        <f t="shared" si="2"/>
        <v>14523.77937</v>
      </c>
      <c r="Q64" s="9">
        <f t="shared" si="2"/>
        <v>0</v>
      </c>
      <c r="R64" s="9">
        <f t="shared" si="2"/>
        <v>0</v>
      </c>
      <c r="S64" s="9">
        <f t="shared" si="2"/>
        <v>0</v>
      </c>
      <c r="T64" s="9">
        <f t="shared" si="2"/>
        <v>0</v>
      </c>
      <c r="U64" s="9">
        <f t="shared" si="2"/>
        <v>14523.77937</v>
      </c>
      <c r="V64" s="9">
        <f t="shared" si="2"/>
        <v>66893.954429999998</v>
      </c>
      <c r="W64" s="9">
        <f t="shared" si="2"/>
        <v>1482.6681099999994</v>
      </c>
      <c r="X64" s="9">
        <f t="shared" si="2"/>
        <v>66893.954429999998</v>
      </c>
      <c r="Y64" s="9">
        <f t="shared" si="2"/>
        <v>0</v>
      </c>
      <c r="Z64" s="9">
        <f t="shared" si="2"/>
        <v>1482.6681099999994</v>
      </c>
      <c r="AA64" s="9">
        <f t="shared" si="2"/>
        <v>66893.954429999998</v>
      </c>
      <c r="AB64" s="9">
        <f t="shared" si="2"/>
        <v>1482.6681099999994</v>
      </c>
    </row>
    <row r="65" spans="1:28" x14ac:dyDescent="0.35">
      <c r="A65" s="36"/>
      <c r="B65" s="6"/>
      <c r="C65" s="8"/>
      <c r="D65" s="8"/>
      <c r="E65" s="17" t="s">
        <v>29</v>
      </c>
      <c r="F65" s="17" t="s">
        <v>29</v>
      </c>
      <c r="G65" s="17" t="s">
        <v>29</v>
      </c>
      <c r="H65" s="17" t="s">
        <v>29</v>
      </c>
      <c r="I65" s="17" t="s">
        <v>29</v>
      </c>
      <c r="J65" s="17" t="s">
        <v>29</v>
      </c>
      <c r="K65" s="17" t="s">
        <v>29</v>
      </c>
      <c r="L65" s="17" t="s">
        <v>29</v>
      </c>
      <c r="M65" s="17" t="s">
        <v>29</v>
      </c>
      <c r="N65" s="17" t="s">
        <v>29</v>
      </c>
      <c r="O65" s="17" t="s">
        <v>29</v>
      </c>
      <c r="P65" s="17" t="s">
        <v>29</v>
      </c>
      <c r="Q65" s="17" t="s">
        <v>29</v>
      </c>
      <c r="R65" s="17" t="s">
        <v>29</v>
      </c>
      <c r="S65" s="17" t="s">
        <v>29</v>
      </c>
      <c r="T65" s="17" t="s">
        <v>29</v>
      </c>
      <c r="U65" s="17" t="s">
        <v>29</v>
      </c>
      <c r="V65" s="17" t="s">
        <v>29</v>
      </c>
      <c r="W65" s="17" t="s">
        <v>29</v>
      </c>
      <c r="X65" s="17" t="s">
        <v>29</v>
      </c>
      <c r="Y65" s="17" t="s">
        <v>29</v>
      </c>
      <c r="Z65" s="17" t="s">
        <v>29</v>
      </c>
      <c r="AA65" s="17" t="s">
        <v>29</v>
      </c>
      <c r="AB65" s="17" t="s">
        <v>29</v>
      </c>
    </row>
    <row r="66" spans="1:28" x14ac:dyDescent="0.35">
      <c r="A66" s="38" t="s">
        <v>937</v>
      </c>
      <c r="B66" s="7" t="s">
        <v>91</v>
      </c>
      <c r="C66" s="6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8" x14ac:dyDescent="0.35">
      <c r="A67" s="36"/>
      <c r="B67" s="6"/>
      <c r="C67" s="7" t="s">
        <v>75</v>
      </c>
      <c r="D67" s="21" t="s">
        <v>76</v>
      </c>
      <c r="E67" s="9">
        <f>STATS1003B!E71/1000</f>
        <v>898</v>
      </c>
      <c r="F67" s="9">
        <f>STATS1003B!F71/1000</f>
        <v>0</v>
      </c>
      <c r="G67" s="9">
        <f>STATS1003B!G71/1000</f>
        <v>0</v>
      </c>
      <c r="H67" s="9">
        <f>STATS1003B!H71/1000</f>
        <v>0</v>
      </c>
      <c r="I67" s="9">
        <f>STATS1003B!I71/1000</f>
        <v>0</v>
      </c>
      <c r="J67" s="9">
        <f>STATS1003B!J71/1000</f>
        <v>0</v>
      </c>
      <c r="K67" s="9">
        <f>STATS1003B!K71/1000</f>
        <v>0</v>
      </c>
      <c r="L67" s="9">
        <f>STATS1003B!L71/1000</f>
        <v>0</v>
      </c>
      <c r="M67" s="9">
        <f>STATS1003B!M71/1000</f>
        <v>0</v>
      </c>
      <c r="N67" s="9">
        <f>STATS1003B!N71/1000</f>
        <v>650.63790000000006</v>
      </c>
      <c r="O67" s="9">
        <f>STATS1003B!O71/1000</f>
        <v>0</v>
      </c>
      <c r="P67" s="9">
        <f>STATS1003B!P71/1000</f>
        <v>650.63790000000006</v>
      </c>
      <c r="Q67" s="9">
        <f>STATS1003B!Q71/1000</f>
        <v>0</v>
      </c>
      <c r="R67" s="9">
        <f>STATS1003B!R71/1000</f>
        <v>0</v>
      </c>
      <c r="S67" s="9">
        <f>STATS1003B!S71/1000</f>
        <v>0</v>
      </c>
      <c r="T67" s="9">
        <f>STATS1003B!T71/1000</f>
        <v>0</v>
      </c>
      <c r="U67" s="9">
        <f>STATS1003B!U71/1000</f>
        <v>650.63790000000006</v>
      </c>
      <c r="V67" s="9">
        <f>STATS1003B!V71/1000</f>
        <v>650.63790000000006</v>
      </c>
      <c r="W67" s="9">
        <f>STATS1003B!W71/1000</f>
        <v>247.36209999999997</v>
      </c>
      <c r="X67" s="9">
        <f>STATS1003B!X71/1000</f>
        <v>650.63790000000006</v>
      </c>
      <c r="Y67" s="9">
        <f>STATS1003B!Y71/1000</f>
        <v>0</v>
      </c>
      <c r="Z67" s="9">
        <f>STATS1003B!Z71/1000</f>
        <v>247.36209999999997</v>
      </c>
      <c r="AA67" s="9">
        <f>STATS1003B!AA71/1000</f>
        <v>650.63790000000006</v>
      </c>
      <c r="AB67" s="9">
        <f>STATS1003B!AB71/1000</f>
        <v>247.36209999999997</v>
      </c>
    </row>
    <row r="68" spans="1:28" x14ac:dyDescent="0.35">
      <c r="A68" s="36"/>
      <c r="B68" s="6"/>
      <c r="C68" s="14" t="s">
        <v>77</v>
      </c>
      <c r="D68" s="21" t="s">
        <v>78</v>
      </c>
      <c r="E68" s="9">
        <f>STATS1003B!E72/1000</f>
        <v>6290.6516300000003</v>
      </c>
      <c r="F68" s="9">
        <f>STATS1003B!F72/1000</f>
        <v>4285.2911699999995</v>
      </c>
      <c r="G68" s="9">
        <f>STATS1003B!G72/1000</f>
        <v>0</v>
      </c>
      <c r="H68" s="9">
        <f>STATS1003B!H72/1000</f>
        <v>4285.2911699999995</v>
      </c>
      <c r="I68" s="9">
        <f>STATS1003B!I72/1000</f>
        <v>0</v>
      </c>
      <c r="J68" s="9">
        <f>STATS1003B!J72/1000</f>
        <v>0</v>
      </c>
      <c r="K68" s="9">
        <f>STATS1003B!K72/1000</f>
        <v>0</v>
      </c>
      <c r="L68" s="9">
        <f>STATS1003B!L72/1000</f>
        <v>0</v>
      </c>
      <c r="M68" s="9">
        <f>STATS1003B!M72/1000</f>
        <v>4285.2911699999995</v>
      </c>
      <c r="N68" s="9">
        <f>STATS1003B!N72/1000</f>
        <v>2005.3604599999999</v>
      </c>
      <c r="O68" s="9">
        <f>STATS1003B!O72/1000</f>
        <v>0</v>
      </c>
      <c r="P68" s="9">
        <f>STATS1003B!P72/1000</f>
        <v>2005.3604599999999</v>
      </c>
      <c r="Q68" s="9">
        <f>STATS1003B!Q72/1000</f>
        <v>0</v>
      </c>
      <c r="R68" s="9">
        <f>STATS1003B!R72/1000</f>
        <v>0</v>
      </c>
      <c r="S68" s="9">
        <f>STATS1003B!S72/1000</f>
        <v>0</v>
      </c>
      <c r="T68" s="9">
        <f>STATS1003B!T72/1000</f>
        <v>0</v>
      </c>
      <c r="U68" s="9">
        <f>STATS1003B!U72/1000</f>
        <v>2005.3604599999999</v>
      </c>
      <c r="V68" s="9">
        <f>STATS1003B!V72/1000</f>
        <v>6290.6516300000003</v>
      </c>
      <c r="W68" s="9">
        <f>STATS1003B!W72/1000</f>
        <v>0</v>
      </c>
      <c r="X68" s="9">
        <f>STATS1003B!X72/1000</f>
        <v>6290.6516300000003</v>
      </c>
      <c r="Y68" s="9">
        <f>STATS1003B!Y72/1000</f>
        <v>0</v>
      </c>
      <c r="Z68" s="9">
        <f>STATS1003B!Z72/1000</f>
        <v>0</v>
      </c>
      <c r="AA68" s="9">
        <f>STATS1003B!AA72/1000</f>
        <v>6290.6516300000003</v>
      </c>
      <c r="AB68" s="9">
        <f>STATS1003B!AB72/1000</f>
        <v>0</v>
      </c>
    </row>
    <row r="69" spans="1:28" x14ac:dyDescent="0.35">
      <c r="A69" s="36"/>
      <c r="B69" s="6"/>
      <c r="C69" s="7" t="s">
        <v>92</v>
      </c>
      <c r="D69" s="15" t="s">
        <v>79</v>
      </c>
      <c r="E69" s="9">
        <f>STATS1003B!E73/1000</f>
        <v>18905.708600000002</v>
      </c>
      <c r="F69" s="9">
        <f>STATS1003B!F73/1000</f>
        <v>10447.9766</v>
      </c>
      <c r="G69" s="9">
        <f>STATS1003B!G73/1000</f>
        <v>0</v>
      </c>
      <c r="H69" s="9">
        <f>STATS1003B!H73/1000</f>
        <v>10447.9766</v>
      </c>
      <c r="I69" s="9">
        <f>STATS1003B!I73/1000</f>
        <v>0</v>
      </c>
      <c r="J69" s="9">
        <f>STATS1003B!J73/1000</f>
        <v>0</v>
      </c>
      <c r="K69" s="9">
        <f>STATS1003B!K73/1000</f>
        <v>0</v>
      </c>
      <c r="L69" s="9">
        <f>STATS1003B!L73/1000</f>
        <v>0</v>
      </c>
      <c r="M69" s="9">
        <f>STATS1003B!M73/1000</f>
        <v>10447.9766</v>
      </c>
      <c r="N69" s="9">
        <f>STATS1003B!N73/1000</f>
        <v>8457.732</v>
      </c>
      <c r="O69" s="9">
        <f>STATS1003B!O73/1000</f>
        <v>0</v>
      </c>
      <c r="P69" s="9">
        <f>STATS1003B!P73/1000</f>
        <v>8457.732</v>
      </c>
      <c r="Q69" s="9">
        <f>STATS1003B!Q73/1000</f>
        <v>0</v>
      </c>
      <c r="R69" s="9">
        <f>STATS1003B!R73/1000</f>
        <v>0</v>
      </c>
      <c r="S69" s="9">
        <f>STATS1003B!S73/1000</f>
        <v>0</v>
      </c>
      <c r="T69" s="9">
        <f>STATS1003B!T73/1000</f>
        <v>0</v>
      </c>
      <c r="U69" s="9">
        <f>STATS1003B!U73/1000</f>
        <v>8457.732</v>
      </c>
      <c r="V69" s="9">
        <f>STATS1003B!V73/1000</f>
        <v>18905.708600000002</v>
      </c>
      <c r="W69" s="9">
        <f>STATS1003B!W73/1000</f>
        <v>0</v>
      </c>
      <c r="X69" s="9">
        <f>STATS1003B!X73/1000</f>
        <v>18905.708600000002</v>
      </c>
      <c r="Y69" s="9">
        <f>STATS1003B!Y73/1000</f>
        <v>0</v>
      </c>
      <c r="Z69" s="9">
        <f>STATS1003B!Z73/1000</f>
        <v>0</v>
      </c>
      <c r="AA69" s="9">
        <f>STATS1003B!AA73/1000</f>
        <v>18905.708600000002</v>
      </c>
      <c r="AB69" s="9">
        <f>STATS1003B!AB73/1000</f>
        <v>0</v>
      </c>
    </row>
    <row r="70" spans="1:28" x14ac:dyDescent="0.35">
      <c r="A70" s="36"/>
      <c r="B70" s="6"/>
      <c r="C70" s="8"/>
      <c r="D70" s="14" t="s">
        <v>80</v>
      </c>
      <c r="E70" s="9">
        <f>STATS1003B!E74/1000</f>
        <v>0</v>
      </c>
      <c r="F70" s="9">
        <f>STATS1003B!F74/1000</f>
        <v>0</v>
      </c>
      <c r="G70" s="9">
        <f>STATS1003B!G74/1000</f>
        <v>0</v>
      </c>
      <c r="H70" s="9">
        <f>STATS1003B!H74/1000</f>
        <v>0</v>
      </c>
      <c r="I70" s="9">
        <f>STATS1003B!I74/1000</f>
        <v>0</v>
      </c>
      <c r="J70" s="9">
        <f>STATS1003B!J74/1000</f>
        <v>0</v>
      </c>
      <c r="K70" s="9">
        <f>STATS1003B!K74/1000</f>
        <v>0</v>
      </c>
      <c r="L70" s="9">
        <f>STATS1003B!L74/1000</f>
        <v>0</v>
      </c>
      <c r="M70" s="9">
        <f>STATS1003B!M74/1000</f>
        <v>0</v>
      </c>
      <c r="N70" s="9">
        <f>STATS1003B!N74/1000</f>
        <v>0</v>
      </c>
      <c r="O70" s="9">
        <f>STATS1003B!O74/1000</f>
        <v>0</v>
      </c>
      <c r="P70" s="9">
        <f>STATS1003B!P74/1000</f>
        <v>0</v>
      </c>
      <c r="Q70" s="9">
        <f>STATS1003B!Q74/1000</f>
        <v>0</v>
      </c>
      <c r="R70" s="9">
        <f>STATS1003B!R74/1000</f>
        <v>0</v>
      </c>
      <c r="S70" s="9">
        <f>STATS1003B!S74/1000</f>
        <v>0</v>
      </c>
      <c r="T70" s="9">
        <f>STATS1003B!T74/1000</f>
        <v>0</v>
      </c>
      <c r="U70" s="9">
        <f>STATS1003B!U74/1000</f>
        <v>0</v>
      </c>
      <c r="V70" s="9">
        <f>STATS1003B!V74/1000</f>
        <v>0</v>
      </c>
      <c r="W70" s="9">
        <f>STATS1003B!W74/1000</f>
        <v>0</v>
      </c>
      <c r="X70" s="9">
        <f>STATS1003B!X74/1000</f>
        <v>0</v>
      </c>
      <c r="Y70" s="9">
        <f>STATS1003B!Y74/1000</f>
        <v>0</v>
      </c>
      <c r="Z70" s="9">
        <f>STATS1003B!Z74/1000</f>
        <v>0</v>
      </c>
      <c r="AA70" s="9">
        <f>STATS1003B!AA74/1000</f>
        <v>0</v>
      </c>
      <c r="AB70" s="9">
        <f>STATS1003B!AB74/1000</f>
        <v>0</v>
      </c>
    </row>
    <row r="71" spans="1:28" x14ac:dyDescent="0.35">
      <c r="A71" s="36"/>
      <c r="B71" s="6"/>
      <c r="C71" s="7" t="s">
        <v>81</v>
      </c>
      <c r="D71" s="15" t="s">
        <v>78</v>
      </c>
      <c r="E71" s="9">
        <f>STATS1003B!E75/1000</f>
        <v>1000</v>
      </c>
      <c r="F71" s="9">
        <f>STATS1003B!F75/1000</f>
        <v>1000</v>
      </c>
      <c r="G71" s="9">
        <f>STATS1003B!G75/1000</f>
        <v>0</v>
      </c>
      <c r="H71" s="9">
        <f>STATS1003B!H75/1000</f>
        <v>1000</v>
      </c>
      <c r="I71" s="9">
        <f>STATS1003B!I75/1000</f>
        <v>0</v>
      </c>
      <c r="J71" s="9">
        <f>STATS1003B!J75/1000</f>
        <v>0</v>
      </c>
      <c r="K71" s="9">
        <f>STATS1003B!K75/1000</f>
        <v>0</v>
      </c>
      <c r="L71" s="9">
        <f>STATS1003B!L75/1000</f>
        <v>0</v>
      </c>
      <c r="M71" s="9">
        <f>STATS1003B!M75/1000</f>
        <v>1000</v>
      </c>
      <c r="N71" s="9">
        <f>STATS1003B!N75/1000</f>
        <v>0</v>
      </c>
      <c r="O71" s="9">
        <f>STATS1003B!O75/1000</f>
        <v>0</v>
      </c>
      <c r="P71" s="9">
        <f>STATS1003B!P75/1000</f>
        <v>0</v>
      </c>
      <c r="Q71" s="9">
        <f>STATS1003B!Q75/1000</f>
        <v>0</v>
      </c>
      <c r="R71" s="9">
        <f>STATS1003B!R75/1000</f>
        <v>0</v>
      </c>
      <c r="S71" s="9">
        <f>STATS1003B!S75/1000</f>
        <v>0</v>
      </c>
      <c r="T71" s="9">
        <f>STATS1003B!T75/1000</f>
        <v>0</v>
      </c>
      <c r="U71" s="9">
        <f>STATS1003B!U75/1000</f>
        <v>0</v>
      </c>
      <c r="V71" s="9">
        <f>STATS1003B!V75/1000</f>
        <v>1000</v>
      </c>
      <c r="W71" s="9">
        <f>STATS1003B!W75/1000</f>
        <v>0</v>
      </c>
      <c r="X71" s="9">
        <f>STATS1003B!X75/1000</f>
        <v>1000</v>
      </c>
      <c r="Y71" s="9">
        <f>STATS1003B!Y75/1000</f>
        <v>0</v>
      </c>
      <c r="Z71" s="9">
        <f>STATS1003B!Z75/1000</f>
        <v>0</v>
      </c>
      <c r="AA71" s="9">
        <f>STATS1003B!AA75/1000</f>
        <v>1000</v>
      </c>
      <c r="AB71" s="9">
        <f>STATS1003B!AB75/1000</f>
        <v>0</v>
      </c>
    </row>
    <row r="72" spans="1:28" x14ac:dyDescent="0.35">
      <c r="A72" s="36"/>
      <c r="B72" s="6"/>
      <c r="C72" s="7" t="s">
        <v>55</v>
      </c>
      <c r="D72" s="15" t="s">
        <v>93</v>
      </c>
      <c r="E72" s="9">
        <f>STATS1003B!E76/1000</f>
        <v>6056.8585000000003</v>
      </c>
      <c r="F72" s="9">
        <f>STATS1003B!F76/1000</f>
        <v>0</v>
      </c>
      <c r="G72" s="9">
        <f>STATS1003B!G76/1000</f>
        <v>0</v>
      </c>
      <c r="H72" s="9">
        <f>STATS1003B!H76/1000</f>
        <v>0</v>
      </c>
      <c r="I72" s="9">
        <f>STATS1003B!I76/1000</f>
        <v>0</v>
      </c>
      <c r="J72" s="9">
        <f>STATS1003B!J76/1000</f>
        <v>0</v>
      </c>
      <c r="K72" s="9">
        <f>STATS1003B!K76/1000</f>
        <v>0</v>
      </c>
      <c r="L72" s="9">
        <f>STATS1003B!L76/1000</f>
        <v>0</v>
      </c>
      <c r="M72" s="9">
        <f>STATS1003B!M76/1000</f>
        <v>0</v>
      </c>
      <c r="N72" s="9">
        <f>STATS1003B!N76/1000</f>
        <v>6056.8585000000003</v>
      </c>
      <c r="O72" s="9">
        <f>STATS1003B!O76/1000</f>
        <v>0</v>
      </c>
      <c r="P72" s="9">
        <f>STATS1003B!P76/1000</f>
        <v>6056.8585000000003</v>
      </c>
      <c r="Q72" s="9">
        <f>STATS1003B!Q76/1000</f>
        <v>0</v>
      </c>
      <c r="R72" s="9">
        <f>STATS1003B!R76/1000</f>
        <v>0</v>
      </c>
      <c r="S72" s="9">
        <f>STATS1003B!S76/1000</f>
        <v>0</v>
      </c>
      <c r="T72" s="9">
        <f>STATS1003B!T76/1000</f>
        <v>0</v>
      </c>
      <c r="U72" s="9">
        <f>STATS1003B!U76/1000</f>
        <v>6056.8585000000003</v>
      </c>
      <c r="V72" s="9">
        <f>STATS1003B!V76/1000</f>
        <v>6056.8585000000003</v>
      </c>
      <c r="W72" s="9">
        <f>STATS1003B!W76/1000</f>
        <v>0</v>
      </c>
      <c r="X72" s="9">
        <f>STATS1003B!X76/1000</f>
        <v>6056.8585000000003</v>
      </c>
      <c r="Y72" s="9">
        <f>STATS1003B!Y76/1000</f>
        <v>0</v>
      </c>
      <c r="Z72" s="9">
        <f>STATS1003B!Z76/1000</f>
        <v>0</v>
      </c>
      <c r="AA72" s="9">
        <f>STATS1003B!AA76/1000</f>
        <v>6056.8585000000003</v>
      </c>
      <c r="AB72" s="9">
        <f>STATS1003B!AB76/1000</f>
        <v>0</v>
      </c>
    </row>
    <row r="73" spans="1:28" x14ac:dyDescent="0.35">
      <c r="A73" s="36"/>
      <c r="B73" s="6"/>
      <c r="C73" s="7" t="s">
        <v>53</v>
      </c>
      <c r="D73" s="15" t="s">
        <v>68</v>
      </c>
      <c r="E73" s="9">
        <f>STATS1003B!E77/1000</f>
        <v>1953.989</v>
      </c>
      <c r="F73" s="9">
        <f>STATS1003B!F77/1000</f>
        <v>0</v>
      </c>
      <c r="G73" s="9">
        <f>STATS1003B!G77/1000</f>
        <v>0</v>
      </c>
      <c r="H73" s="9">
        <f>STATS1003B!H77/1000</f>
        <v>0</v>
      </c>
      <c r="I73" s="9">
        <f>STATS1003B!I77/1000</f>
        <v>0</v>
      </c>
      <c r="J73" s="9">
        <f>STATS1003B!J77/1000</f>
        <v>0</v>
      </c>
      <c r="K73" s="9">
        <f>STATS1003B!K77/1000</f>
        <v>0</v>
      </c>
      <c r="L73" s="9">
        <f>STATS1003B!L77/1000</f>
        <v>0</v>
      </c>
      <c r="M73" s="9">
        <f>STATS1003B!M77/1000</f>
        <v>0</v>
      </c>
      <c r="N73" s="9">
        <f>STATS1003B!N77/1000</f>
        <v>1953.989</v>
      </c>
      <c r="O73" s="9">
        <f>STATS1003B!O77/1000</f>
        <v>0</v>
      </c>
      <c r="P73" s="9">
        <f>STATS1003B!P77/1000</f>
        <v>1953.989</v>
      </c>
      <c r="Q73" s="9">
        <f>STATS1003B!Q77/1000</f>
        <v>0</v>
      </c>
      <c r="R73" s="9">
        <f>STATS1003B!R77/1000</f>
        <v>0</v>
      </c>
      <c r="S73" s="9">
        <f>STATS1003B!S77/1000</f>
        <v>0</v>
      </c>
      <c r="T73" s="9">
        <f>STATS1003B!T77/1000</f>
        <v>0</v>
      </c>
      <c r="U73" s="9">
        <f>STATS1003B!U77/1000</f>
        <v>1953.989</v>
      </c>
      <c r="V73" s="9">
        <f>STATS1003B!V77/1000</f>
        <v>1953.989</v>
      </c>
      <c r="W73" s="9">
        <f>STATS1003B!W77/1000</f>
        <v>0</v>
      </c>
      <c r="X73" s="9">
        <f>STATS1003B!X77/1000</f>
        <v>1953.989</v>
      </c>
      <c r="Y73" s="9">
        <f>STATS1003B!Y77/1000</f>
        <v>0</v>
      </c>
      <c r="Z73" s="9">
        <f>STATS1003B!Z77/1000</f>
        <v>0</v>
      </c>
      <c r="AA73" s="9">
        <f>STATS1003B!AA77/1000</f>
        <v>1953.989</v>
      </c>
      <c r="AB73" s="9">
        <f>STATS1003B!AB77/1000</f>
        <v>0</v>
      </c>
    </row>
    <row r="74" spans="1:28" x14ac:dyDescent="0.35">
      <c r="A74" s="36"/>
      <c r="B74" s="6"/>
      <c r="C74" s="7" t="s">
        <v>94</v>
      </c>
      <c r="D74" s="15" t="s">
        <v>85</v>
      </c>
      <c r="E74" s="9">
        <f>STATS1003B!E78/1000</f>
        <v>846</v>
      </c>
      <c r="F74" s="9">
        <f>STATS1003B!F78/1000</f>
        <v>846</v>
      </c>
      <c r="G74" s="9">
        <f>STATS1003B!G78/1000</f>
        <v>0</v>
      </c>
      <c r="H74" s="9">
        <f>STATS1003B!H78/1000</f>
        <v>846</v>
      </c>
      <c r="I74" s="9">
        <f>STATS1003B!I78/1000</f>
        <v>0</v>
      </c>
      <c r="J74" s="9">
        <f>STATS1003B!J78/1000</f>
        <v>0</v>
      </c>
      <c r="K74" s="9">
        <f>STATS1003B!K78/1000</f>
        <v>0</v>
      </c>
      <c r="L74" s="9">
        <f>STATS1003B!L78/1000</f>
        <v>0</v>
      </c>
      <c r="M74" s="9">
        <f>STATS1003B!M78/1000</f>
        <v>846</v>
      </c>
      <c r="N74" s="9">
        <f>STATS1003B!N78/1000</f>
        <v>0</v>
      </c>
      <c r="O74" s="9">
        <f>STATS1003B!O78/1000</f>
        <v>0</v>
      </c>
      <c r="P74" s="9">
        <f>STATS1003B!P78/1000</f>
        <v>0</v>
      </c>
      <c r="Q74" s="9">
        <f>STATS1003B!Q78/1000</f>
        <v>0</v>
      </c>
      <c r="R74" s="9">
        <f>STATS1003B!R78/1000</f>
        <v>0</v>
      </c>
      <c r="S74" s="9">
        <f>STATS1003B!S78/1000</f>
        <v>0</v>
      </c>
      <c r="T74" s="9">
        <f>STATS1003B!T78/1000</f>
        <v>0</v>
      </c>
      <c r="U74" s="9">
        <f>STATS1003B!U78/1000</f>
        <v>0</v>
      </c>
      <c r="V74" s="9">
        <f>STATS1003B!V78/1000</f>
        <v>846</v>
      </c>
      <c r="W74" s="9">
        <f>STATS1003B!W78/1000</f>
        <v>0</v>
      </c>
      <c r="X74" s="9">
        <f>STATS1003B!X78/1000</f>
        <v>846</v>
      </c>
      <c r="Y74" s="9">
        <f>STATS1003B!Y78/1000</f>
        <v>0</v>
      </c>
      <c r="Z74" s="9">
        <f>STATS1003B!Z78/1000</f>
        <v>0</v>
      </c>
      <c r="AA74" s="9">
        <f>STATS1003B!AA78/1000</f>
        <v>846</v>
      </c>
      <c r="AB74" s="9">
        <f>STATS1003B!AB78/1000</f>
        <v>0</v>
      </c>
    </row>
    <row r="75" spans="1:28" x14ac:dyDescent="0.35">
      <c r="A75" s="36"/>
      <c r="B75" s="6"/>
      <c r="C75" s="7" t="s">
        <v>86</v>
      </c>
      <c r="D75" s="15" t="s">
        <v>85</v>
      </c>
      <c r="E75" s="9">
        <f>STATS1003B!E79/1000</f>
        <v>0</v>
      </c>
      <c r="F75" s="9">
        <f>STATS1003B!F79/1000</f>
        <v>0</v>
      </c>
      <c r="G75" s="9">
        <f>STATS1003B!G79/1000</f>
        <v>0</v>
      </c>
      <c r="H75" s="9">
        <f>STATS1003B!H79/1000</f>
        <v>0</v>
      </c>
      <c r="I75" s="9">
        <f>STATS1003B!I79/1000</f>
        <v>0</v>
      </c>
      <c r="J75" s="9">
        <f>STATS1003B!J79/1000</f>
        <v>0</v>
      </c>
      <c r="K75" s="9">
        <f>STATS1003B!K79/1000</f>
        <v>0</v>
      </c>
      <c r="L75" s="9">
        <f>STATS1003B!L79/1000</f>
        <v>0</v>
      </c>
      <c r="M75" s="9">
        <f>STATS1003B!M79/1000</f>
        <v>0</v>
      </c>
      <c r="N75" s="9">
        <f>STATS1003B!N79/1000</f>
        <v>0</v>
      </c>
      <c r="O75" s="9">
        <f>STATS1003B!O79/1000</f>
        <v>0</v>
      </c>
      <c r="P75" s="9">
        <f>STATS1003B!P79/1000</f>
        <v>0</v>
      </c>
      <c r="Q75" s="9">
        <f>STATS1003B!Q79/1000</f>
        <v>0</v>
      </c>
      <c r="R75" s="9">
        <f>STATS1003B!R79/1000</f>
        <v>0</v>
      </c>
      <c r="S75" s="9">
        <f>STATS1003B!S79/1000</f>
        <v>0</v>
      </c>
      <c r="T75" s="9">
        <f>STATS1003B!T79/1000</f>
        <v>0</v>
      </c>
      <c r="U75" s="9">
        <f>STATS1003B!U79/1000</f>
        <v>0</v>
      </c>
      <c r="V75" s="9">
        <f>STATS1003B!V79/1000</f>
        <v>0</v>
      </c>
      <c r="W75" s="9">
        <f>STATS1003B!W79/1000</f>
        <v>0</v>
      </c>
      <c r="X75" s="9">
        <f>STATS1003B!X79/1000</f>
        <v>0</v>
      </c>
      <c r="Y75" s="9">
        <f>STATS1003B!Y79/1000</f>
        <v>0</v>
      </c>
      <c r="Z75" s="9">
        <f>STATS1003B!Z79/1000</f>
        <v>0</v>
      </c>
      <c r="AA75" s="9">
        <f>STATS1003B!AA79/1000</f>
        <v>0</v>
      </c>
      <c r="AB75" s="9">
        <f>STATS1003B!AB79/1000</f>
        <v>0</v>
      </c>
    </row>
    <row r="76" spans="1:28" x14ac:dyDescent="0.35">
      <c r="A76" s="36"/>
      <c r="B76" s="6"/>
      <c r="C76" s="7" t="s">
        <v>57</v>
      </c>
      <c r="D76" s="15" t="s">
        <v>58</v>
      </c>
      <c r="E76" s="9">
        <f>STATS1003B!E80/1000</f>
        <v>3155.145</v>
      </c>
      <c r="F76" s="9">
        <f>STATS1003B!F80/1000</f>
        <v>3155.145</v>
      </c>
      <c r="G76" s="9">
        <f>STATS1003B!G80/1000</f>
        <v>0</v>
      </c>
      <c r="H76" s="9">
        <f>STATS1003B!H80/1000</f>
        <v>3155.145</v>
      </c>
      <c r="I76" s="9">
        <f>STATS1003B!I80/1000</f>
        <v>0</v>
      </c>
      <c r="J76" s="9">
        <f>STATS1003B!J80/1000</f>
        <v>0</v>
      </c>
      <c r="K76" s="9">
        <f>STATS1003B!K80/1000</f>
        <v>0</v>
      </c>
      <c r="L76" s="9">
        <f>STATS1003B!L80/1000</f>
        <v>0</v>
      </c>
      <c r="M76" s="9">
        <f>STATS1003B!M80/1000</f>
        <v>3155.145</v>
      </c>
      <c r="N76" s="9">
        <f>STATS1003B!N80/1000</f>
        <v>0</v>
      </c>
      <c r="O76" s="9">
        <f>STATS1003B!O80/1000</f>
        <v>0</v>
      </c>
      <c r="P76" s="9">
        <f>STATS1003B!P80/1000</f>
        <v>0</v>
      </c>
      <c r="Q76" s="9">
        <f>STATS1003B!Q80/1000</f>
        <v>0</v>
      </c>
      <c r="R76" s="9">
        <f>STATS1003B!R80/1000</f>
        <v>0</v>
      </c>
      <c r="S76" s="9">
        <f>STATS1003B!S80/1000</f>
        <v>0</v>
      </c>
      <c r="T76" s="9">
        <f>STATS1003B!T80/1000</f>
        <v>0</v>
      </c>
      <c r="U76" s="9">
        <f>STATS1003B!U80/1000</f>
        <v>0</v>
      </c>
      <c r="V76" s="9">
        <f>STATS1003B!V80/1000</f>
        <v>3155.145</v>
      </c>
      <c r="W76" s="9">
        <f>STATS1003B!W80/1000</f>
        <v>0</v>
      </c>
      <c r="X76" s="9">
        <f>STATS1003B!X80/1000</f>
        <v>3155.145</v>
      </c>
      <c r="Y76" s="9">
        <f>STATS1003B!Y80/1000</f>
        <v>0</v>
      </c>
      <c r="Z76" s="9">
        <f>STATS1003B!Z80/1000</f>
        <v>0</v>
      </c>
      <c r="AA76" s="9">
        <f>STATS1003B!AA80/1000</f>
        <v>3155.145</v>
      </c>
      <c r="AB76" s="9">
        <f>STATS1003B!AB80/1000</f>
        <v>0</v>
      </c>
    </row>
    <row r="77" spans="1:28" x14ac:dyDescent="0.35">
      <c r="A77" s="36"/>
      <c r="B77" s="6"/>
      <c r="C77" s="7" t="s">
        <v>57</v>
      </c>
      <c r="D77" s="15" t="s">
        <v>60</v>
      </c>
      <c r="E77" s="9">
        <f>STATS1003B!E81/1000</f>
        <v>3500</v>
      </c>
      <c r="F77" s="9">
        <f>STATS1003B!F81/1000</f>
        <v>3500</v>
      </c>
      <c r="G77" s="9">
        <f>STATS1003B!G81/1000</f>
        <v>0</v>
      </c>
      <c r="H77" s="9">
        <f>STATS1003B!H81/1000</f>
        <v>3500</v>
      </c>
      <c r="I77" s="9">
        <f>STATS1003B!I81/1000</f>
        <v>0</v>
      </c>
      <c r="J77" s="9">
        <f>STATS1003B!J81/1000</f>
        <v>0</v>
      </c>
      <c r="K77" s="9">
        <f>STATS1003B!K81/1000</f>
        <v>0</v>
      </c>
      <c r="L77" s="9">
        <f>STATS1003B!L81/1000</f>
        <v>0</v>
      </c>
      <c r="M77" s="9">
        <f>STATS1003B!M81/1000</f>
        <v>3500</v>
      </c>
      <c r="N77" s="9">
        <f>STATS1003B!N81/1000</f>
        <v>0</v>
      </c>
      <c r="O77" s="9">
        <f>STATS1003B!O81/1000</f>
        <v>0</v>
      </c>
      <c r="P77" s="9">
        <f>STATS1003B!P81/1000</f>
        <v>0</v>
      </c>
      <c r="Q77" s="9">
        <f>STATS1003B!Q81/1000</f>
        <v>0</v>
      </c>
      <c r="R77" s="9">
        <f>STATS1003B!R81/1000</f>
        <v>0</v>
      </c>
      <c r="S77" s="9">
        <f>STATS1003B!S81/1000</f>
        <v>0</v>
      </c>
      <c r="T77" s="9">
        <f>STATS1003B!T81/1000</f>
        <v>0</v>
      </c>
      <c r="U77" s="9">
        <f>STATS1003B!U81/1000</f>
        <v>0</v>
      </c>
      <c r="V77" s="9">
        <f>STATS1003B!V81/1000</f>
        <v>3500</v>
      </c>
      <c r="W77" s="9">
        <f>STATS1003B!W81/1000</f>
        <v>0</v>
      </c>
      <c r="X77" s="9">
        <f>STATS1003B!X81/1000</f>
        <v>3500</v>
      </c>
      <c r="Y77" s="9">
        <f>STATS1003B!Y81/1000</f>
        <v>0</v>
      </c>
      <c r="Z77" s="9">
        <f>STATS1003B!Z81/1000</f>
        <v>0</v>
      </c>
      <c r="AA77" s="9">
        <f>STATS1003B!AA81/1000</f>
        <v>3500</v>
      </c>
      <c r="AB77" s="9">
        <f>STATS1003B!AB81/1000</f>
        <v>0</v>
      </c>
    </row>
    <row r="78" spans="1:28" x14ac:dyDescent="0.35">
      <c r="A78" s="36"/>
      <c r="B78" s="6"/>
      <c r="C78" s="14" t="s">
        <v>59</v>
      </c>
      <c r="D78" s="15" t="s">
        <v>60</v>
      </c>
      <c r="E78" s="9">
        <f>STATS1003B!E82/1000</f>
        <v>5000</v>
      </c>
      <c r="F78" s="9">
        <f>STATS1003B!F82/1000</f>
        <v>5000</v>
      </c>
      <c r="G78" s="9">
        <f>STATS1003B!G82/1000</f>
        <v>0</v>
      </c>
      <c r="H78" s="9">
        <f>STATS1003B!H82/1000</f>
        <v>5000</v>
      </c>
      <c r="I78" s="9">
        <f>STATS1003B!I82/1000</f>
        <v>0</v>
      </c>
      <c r="J78" s="9">
        <f>STATS1003B!J82/1000</f>
        <v>0</v>
      </c>
      <c r="K78" s="9">
        <f>STATS1003B!K82/1000</f>
        <v>0</v>
      </c>
      <c r="L78" s="9">
        <f>STATS1003B!L82/1000</f>
        <v>0</v>
      </c>
      <c r="M78" s="9">
        <f>STATS1003B!M82/1000</f>
        <v>5000</v>
      </c>
      <c r="N78" s="9">
        <f>STATS1003B!N82/1000</f>
        <v>0</v>
      </c>
      <c r="O78" s="9">
        <f>STATS1003B!O82/1000</f>
        <v>0</v>
      </c>
      <c r="P78" s="9">
        <f>STATS1003B!P82/1000</f>
        <v>0</v>
      </c>
      <c r="Q78" s="9">
        <f>STATS1003B!Q82/1000</f>
        <v>0</v>
      </c>
      <c r="R78" s="9">
        <f>STATS1003B!R82/1000</f>
        <v>0</v>
      </c>
      <c r="S78" s="9">
        <f>STATS1003B!S82/1000</f>
        <v>0</v>
      </c>
      <c r="T78" s="9">
        <f>STATS1003B!T82/1000</f>
        <v>0</v>
      </c>
      <c r="U78" s="9">
        <f>STATS1003B!U82/1000</f>
        <v>0</v>
      </c>
      <c r="V78" s="9">
        <f>STATS1003B!V82/1000</f>
        <v>5000</v>
      </c>
      <c r="W78" s="9">
        <f>STATS1003B!W82/1000</f>
        <v>0</v>
      </c>
      <c r="X78" s="9">
        <f>STATS1003B!X82/1000</f>
        <v>5000</v>
      </c>
      <c r="Y78" s="9">
        <f>STATS1003B!Y82/1000</f>
        <v>0</v>
      </c>
      <c r="Z78" s="9">
        <f>STATS1003B!Z82/1000</f>
        <v>0</v>
      </c>
      <c r="AA78" s="9">
        <f>STATS1003B!AA82/1000</f>
        <v>5000</v>
      </c>
      <c r="AB78" s="9">
        <f>STATS1003B!AB82/1000</f>
        <v>0</v>
      </c>
    </row>
    <row r="79" spans="1:28" x14ac:dyDescent="0.35">
      <c r="A79" s="36"/>
      <c r="B79" s="6"/>
      <c r="C79" s="14" t="s">
        <v>57</v>
      </c>
      <c r="D79" s="15" t="s">
        <v>73</v>
      </c>
      <c r="E79" s="9">
        <f>STATS1003B!E83/1000</f>
        <v>1325.24</v>
      </c>
      <c r="F79" s="9">
        <f>STATS1003B!F83/1000</f>
        <v>1325.24</v>
      </c>
      <c r="G79" s="9">
        <f>STATS1003B!G83/1000</f>
        <v>0</v>
      </c>
      <c r="H79" s="9">
        <f>STATS1003B!H83/1000</f>
        <v>1325.24</v>
      </c>
      <c r="I79" s="9">
        <f>STATS1003B!I83/1000</f>
        <v>0</v>
      </c>
      <c r="J79" s="9">
        <f>STATS1003B!J83/1000</f>
        <v>0</v>
      </c>
      <c r="K79" s="9">
        <f>STATS1003B!K83/1000</f>
        <v>0</v>
      </c>
      <c r="L79" s="9">
        <f>STATS1003B!L83/1000</f>
        <v>0</v>
      </c>
      <c r="M79" s="9">
        <f>STATS1003B!M83/1000</f>
        <v>1325.24</v>
      </c>
      <c r="N79" s="9">
        <f>STATS1003B!N83/1000</f>
        <v>0</v>
      </c>
      <c r="O79" s="9">
        <f>STATS1003B!O83/1000</f>
        <v>0</v>
      </c>
      <c r="P79" s="9">
        <f>STATS1003B!P83/1000</f>
        <v>0</v>
      </c>
      <c r="Q79" s="9">
        <f>STATS1003B!Q83/1000</f>
        <v>0</v>
      </c>
      <c r="R79" s="9">
        <f>STATS1003B!R83/1000</f>
        <v>0</v>
      </c>
      <c r="S79" s="9">
        <f>STATS1003B!S83/1000</f>
        <v>0</v>
      </c>
      <c r="T79" s="9">
        <f>STATS1003B!T83/1000</f>
        <v>0</v>
      </c>
      <c r="U79" s="9">
        <f>STATS1003B!U83/1000</f>
        <v>0</v>
      </c>
      <c r="V79" s="9">
        <f>STATS1003B!V83/1000</f>
        <v>1325.24</v>
      </c>
      <c r="W79" s="9">
        <f>STATS1003B!W83/1000</f>
        <v>0</v>
      </c>
      <c r="X79" s="9">
        <f>STATS1003B!X83/1000</f>
        <v>1325.24</v>
      </c>
      <c r="Y79" s="9">
        <f>STATS1003B!Y83/1000</f>
        <v>0</v>
      </c>
      <c r="Z79" s="9">
        <f>STATS1003B!Z83/1000</f>
        <v>0</v>
      </c>
      <c r="AA79" s="9">
        <f>STATS1003B!AA83/1000</f>
        <v>1325.24</v>
      </c>
      <c r="AB79" s="9">
        <f>STATS1003B!AB83/1000</f>
        <v>0</v>
      </c>
    </row>
    <row r="80" spans="1:28" x14ac:dyDescent="0.35">
      <c r="A80" s="36"/>
      <c r="B80" s="6"/>
      <c r="C80" s="14" t="s">
        <v>95</v>
      </c>
      <c r="D80" s="15" t="s">
        <v>73</v>
      </c>
      <c r="E80" s="9">
        <f>STATS1003B!E84/1000</f>
        <v>532.00698</v>
      </c>
      <c r="F80" s="9">
        <f>STATS1003B!F84/1000</f>
        <v>0</v>
      </c>
      <c r="G80" s="9">
        <f>STATS1003B!G84/1000</f>
        <v>0</v>
      </c>
      <c r="H80" s="9">
        <f>STATS1003B!H84/1000</f>
        <v>0</v>
      </c>
      <c r="I80" s="9">
        <f>STATS1003B!I84/1000</f>
        <v>0</v>
      </c>
      <c r="J80" s="9">
        <f>STATS1003B!J84/1000</f>
        <v>0</v>
      </c>
      <c r="K80" s="9">
        <f>STATS1003B!K84/1000</f>
        <v>0</v>
      </c>
      <c r="L80" s="9">
        <f>STATS1003B!L84/1000</f>
        <v>0</v>
      </c>
      <c r="M80" s="9">
        <f>STATS1003B!M84/1000</f>
        <v>0</v>
      </c>
      <c r="N80" s="9">
        <f>STATS1003B!N84/1000</f>
        <v>532.00698</v>
      </c>
      <c r="O80" s="9">
        <f>STATS1003B!O84/1000</f>
        <v>0</v>
      </c>
      <c r="P80" s="9">
        <f>STATS1003B!P84/1000</f>
        <v>532.00698</v>
      </c>
      <c r="Q80" s="9">
        <f>STATS1003B!Q84/1000</f>
        <v>0</v>
      </c>
      <c r="R80" s="9">
        <f>STATS1003B!R84/1000</f>
        <v>0</v>
      </c>
      <c r="S80" s="9">
        <f>STATS1003B!S84/1000</f>
        <v>0</v>
      </c>
      <c r="T80" s="9">
        <f>STATS1003B!T84/1000</f>
        <v>0</v>
      </c>
      <c r="U80" s="9">
        <f>STATS1003B!U84/1000</f>
        <v>532.00698</v>
      </c>
      <c r="V80" s="9">
        <f>STATS1003B!V84/1000</f>
        <v>532.00698</v>
      </c>
      <c r="W80" s="9">
        <f>STATS1003B!W84/1000</f>
        <v>0</v>
      </c>
      <c r="X80" s="9">
        <f>STATS1003B!X84/1000</f>
        <v>532.00698</v>
      </c>
      <c r="Y80" s="9">
        <f>STATS1003B!Y84/1000</f>
        <v>0</v>
      </c>
      <c r="Z80" s="9">
        <f>STATS1003B!Z84/1000</f>
        <v>0</v>
      </c>
      <c r="AA80" s="9">
        <f>STATS1003B!AA84/1000</f>
        <v>532.00698</v>
      </c>
      <c r="AB80" s="9">
        <f>STATS1003B!AB84/1000</f>
        <v>0</v>
      </c>
    </row>
    <row r="81" spans="1:28" x14ac:dyDescent="0.35">
      <c r="A81" s="36"/>
      <c r="B81" s="6"/>
      <c r="C81" s="7" t="s">
        <v>62</v>
      </c>
      <c r="D81" s="8"/>
      <c r="E81" s="9">
        <f>STATS1003B!E85/1000</f>
        <v>591.81399999999996</v>
      </c>
      <c r="F81" s="9">
        <f>STATS1003B!F85/1000</f>
        <v>591.81399999999996</v>
      </c>
      <c r="G81" s="9">
        <f>STATS1003B!G85/1000</f>
        <v>0</v>
      </c>
      <c r="H81" s="9">
        <f>STATS1003B!H85/1000</f>
        <v>591.81399999999996</v>
      </c>
      <c r="I81" s="9">
        <f>STATS1003B!I85/1000</f>
        <v>0</v>
      </c>
      <c r="J81" s="9">
        <f>STATS1003B!J85/1000</f>
        <v>0</v>
      </c>
      <c r="K81" s="9">
        <f>STATS1003B!K85/1000</f>
        <v>0</v>
      </c>
      <c r="L81" s="9">
        <f>STATS1003B!L85/1000</f>
        <v>0</v>
      </c>
      <c r="M81" s="9">
        <f>STATS1003B!M85/1000</f>
        <v>591.81399999999996</v>
      </c>
      <c r="N81" s="9">
        <f>STATS1003B!N85/1000</f>
        <v>0</v>
      </c>
      <c r="O81" s="9">
        <f>STATS1003B!O85/1000</f>
        <v>0</v>
      </c>
      <c r="P81" s="9">
        <f>STATS1003B!P85/1000</f>
        <v>0</v>
      </c>
      <c r="Q81" s="9">
        <f>STATS1003B!Q85/1000</f>
        <v>0</v>
      </c>
      <c r="R81" s="9">
        <f>STATS1003B!R85/1000</f>
        <v>0</v>
      </c>
      <c r="S81" s="9">
        <f>STATS1003B!S85/1000</f>
        <v>0</v>
      </c>
      <c r="T81" s="9">
        <f>STATS1003B!T85/1000</f>
        <v>0</v>
      </c>
      <c r="U81" s="9">
        <f>STATS1003B!U85/1000</f>
        <v>0</v>
      </c>
      <c r="V81" s="9">
        <f>STATS1003B!V85/1000</f>
        <v>591.81399999999996</v>
      </c>
      <c r="W81" s="9">
        <f>STATS1003B!W85/1000</f>
        <v>0</v>
      </c>
      <c r="X81" s="9">
        <f>STATS1003B!X85/1000</f>
        <v>591.81399999999996</v>
      </c>
      <c r="Y81" s="9">
        <f>STATS1003B!Y85/1000</f>
        <v>0</v>
      </c>
      <c r="Z81" s="9">
        <f>STATS1003B!Z85/1000</f>
        <v>0</v>
      </c>
      <c r="AA81" s="9">
        <f>STATS1003B!AA85/1000</f>
        <v>591.81399999999996</v>
      </c>
      <c r="AB81" s="9">
        <f>STATS1003B!AB85/1000</f>
        <v>0</v>
      </c>
    </row>
    <row r="82" spans="1:28" x14ac:dyDescent="0.35">
      <c r="A82" s="36"/>
      <c r="B82" s="6"/>
      <c r="C82" s="7" t="s">
        <v>96</v>
      </c>
      <c r="D82" s="8"/>
      <c r="E82" s="9">
        <f>STATS1003B!E86/1000</f>
        <v>799.92399999999998</v>
      </c>
      <c r="F82" s="9">
        <f>STATS1003B!F86/1000</f>
        <v>799.92399999999998</v>
      </c>
      <c r="G82" s="9">
        <f>STATS1003B!G86/1000</f>
        <v>0</v>
      </c>
      <c r="H82" s="9">
        <f>STATS1003B!H86/1000</f>
        <v>799.92399999999998</v>
      </c>
      <c r="I82" s="9">
        <f>STATS1003B!I86/1000</f>
        <v>0</v>
      </c>
      <c r="J82" s="9">
        <f>STATS1003B!J86/1000</f>
        <v>0</v>
      </c>
      <c r="K82" s="9">
        <f>STATS1003B!K86/1000</f>
        <v>0</v>
      </c>
      <c r="L82" s="9">
        <f>STATS1003B!L86/1000</f>
        <v>0</v>
      </c>
      <c r="M82" s="9">
        <f>STATS1003B!M86/1000</f>
        <v>799.92399999999998</v>
      </c>
      <c r="N82" s="9">
        <f>STATS1003B!N86/1000</f>
        <v>0</v>
      </c>
      <c r="O82" s="9">
        <f>STATS1003B!O86/1000</f>
        <v>0</v>
      </c>
      <c r="P82" s="9">
        <f>STATS1003B!P86/1000</f>
        <v>0</v>
      </c>
      <c r="Q82" s="9">
        <f>STATS1003B!Q86/1000</f>
        <v>0</v>
      </c>
      <c r="R82" s="9">
        <f>STATS1003B!R86/1000</f>
        <v>0</v>
      </c>
      <c r="S82" s="9">
        <f>STATS1003B!S86/1000</f>
        <v>0</v>
      </c>
      <c r="T82" s="9">
        <f>STATS1003B!T86/1000</f>
        <v>0</v>
      </c>
      <c r="U82" s="9">
        <f>STATS1003B!U86/1000</f>
        <v>0</v>
      </c>
      <c r="V82" s="9">
        <f>STATS1003B!V86/1000</f>
        <v>799.92399999999998</v>
      </c>
      <c r="W82" s="9">
        <f>STATS1003B!W86/1000</f>
        <v>0</v>
      </c>
      <c r="X82" s="9">
        <f>STATS1003B!X86/1000</f>
        <v>799.92399999999998</v>
      </c>
      <c r="Y82" s="9">
        <f>STATS1003B!Y86/1000</f>
        <v>0</v>
      </c>
      <c r="Z82" s="9">
        <f>STATS1003B!Z86/1000</f>
        <v>0</v>
      </c>
      <c r="AA82" s="9">
        <f>STATS1003B!AA86/1000</f>
        <v>799.92399999999998</v>
      </c>
      <c r="AB82" s="9">
        <f>STATS1003B!AB86/1000</f>
        <v>0</v>
      </c>
    </row>
    <row r="83" spans="1:28" x14ac:dyDescent="0.35">
      <c r="A83" s="36"/>
      <c r="B83" s="6"/>
      <c r="C83" s="7" t="s">
        <v>930</v>
      </c>
      <c r="D83" s="8"/>
      <c r="E83" s="9">
        <f>STATS1003B!E88/1000</f>
        <v>1436.7241999999999</v>
      </c>
      <c r="F83" s="9">
        <f>STATS1003B!F88/1000</f>
        <v>1436.7241999999999</v>
      </c>
      <c r="G83" s="9">
        <f>STATS1003B!G88/1000</f>
        <v>0</v>
      </c>
      <c r="H83" s="9">
        <f>STATS1003B!H88/1000</f>
        <v>1436.7241999999999</v>
      </c>
      <c r="I83" s="9">
        <f>STATS1003B!I88/1000</f>
        <v>0</v>
      </c>
      <c r="J83" s="9">
        <f>STATS1003B!J88/1000</f>
        <v>0</v>
      </c>
      <c r="K83" s="9">
        <f>STATS1003B!K88/1000</f>
        <v>0</v>
      </c>
      <c r="L83" s="9">
        <f>STATS1003B!L88/1000</f>
        <v>0</v>
      </c>
      <c r="M83" s="9">
        <f>STATS1003B!M88/1000</f>
        <v>1436.7241999999999</v>
      </c>
      <c r="N83" s="9">
        <f>STATS1003B!N88/1000</f>
        <v>0</v>
      </c>
      <c r="O83" s="9">
        <f>STATS1003B!O88/1000</f>
        <v>0</v>
      </c>
      <c r="P83" s="9">
        <f>STATS1003B!P88/1000</f>
        <v>0</v>
      </c>
      <c r="Q83" s="9">
        <f>STATS1003B!Q88/1000</f>
        <v>0</v>
      </c>
      <c r="R83" s="9">
        <f>STATS1003B!R88/1000</f>
        <v>0</v>
      </c>
      <c r="S83" s="9">
        <f>STATS1003B!S88/1000</f>
        <v>0</v>
      </c>
      <c r="T83" s="9">
        <f>STATS1003B!T88/1000</f>
        <v>0</v>
      </c>
      <c r="U83" s="9">
        <f>STATS1003B!U88/1000</f>
        <v>0</v>
      </c>
      <c r="V83" s="9">
        <f>STATS1003B!V88/1000</f>
        <v>1436.7241999999999</v>
      </c>
      <c r="W83" s="9">
        <f>STATS1003B!W88/1000</f>
        <v>0</v>
      </c>
      <c r="X83" s="9">
        <f>STATS1003B!X88/1000</f>
        <v>1436.7241999999999</v>
      </c>
      <c r="Y83" s="9">
        <f>STATS1003B!Y88/1000</f>
        <v>0</v>
      </c>
      <c r="Z83" s="9">
        <f>STATS1003B!Z88/1000</f>
        <v>0</v>
      </c>
      <c r="AA83" s="9">
        <f>STATS1003B!AA88/1000</f>
        <v>1436.7241999999999</v>
      </c>
      <c r="AB83" s="9">
        <f>STATS1003B!AB88/1000</f>
        <v>0</v>
      </c>
    </row>
    <row r="84" spans="1:28" x14ac:dyDescent="0.35">
      <c r="A84" s="36"/>
      <c r="B84" s="6"/>
      <c r="C84" s="14" t="s">
        <v>57</v>
      </c>
      <c r="D84" s="23" t="s">
        <v>61</v>
      </c>
      <c r="E84" s="9">
        <f>STATS1003B!E89/1000</f>
        <v>561</v>
      </c>
      <c r="F84" s="9">
        <f>STATS1003B!F89/1000</f>
        <v>561</v>
      </c>
      <c r="G84" s="9">
        <f>STATS1003B!G89/1000</f>
        <v>0</v>
      </c>
      <c r="H84" s="9">
        <f>STATS1003B!H89/1000</f>
        <v>561</v>
      </c>
      <c r="I84" s="9">
        <f>STATS1003B!I89/1000</f>
        <v>561</v>
      </c>
      <c r="J84" s="9">
        <f>STATS1003B!J89/1000</f>
        <v>561</v>
      </c>
      <c r="K84" s="9">
        <f>STATS1003B!K89/1000</f>
        <v>0</v>
      </c>
      <c r="L84" s="9">
        <f>STATS1003B!L89/1000</f>
        <v>0</v>
      </c>
      <c r="M84" s="9">
        <f>STATS1003B!M89/1000</f>
        <v>561</v>
      </c>
      <c r="N84" s="9">
        <f>STATS1003B!N89/1000</f>
        <v>0</v>
      </c>
      <c r="O84" s="9">
        <f>STATS1003B!O89/1000</f>
        <v>0</v>
      </c>
      <c r="P84" s="9">
        <f>STATS1003B!P89/1000</f>
        <v>0</v>
      </c>
      <c r="Q84" s="9">
        <f>STATS1003B!Q89/1000</f>
        <v>0</v>
      </c>
      <c r="R84" s="9">
        <f>STATS1003B!R89/1000</f>
        <v>0</v>
      </c>
      <c r="S84" s="9">
        <f>STATS1003B!S89/1000</f>
        <v>0</v>
      </c>
      <c r="T84" s="9">
        <f>STATS1003B!T89/1000</f>
        <v>0</v>
      </c>
      <c r="U84" s="9">
        <f>STATS1003B!U89/1000</f>
        <v>0</v>
      </c>
      <c r="V84" s="9">
        <f>STATS1003B!V89/1000</f>
        <v>561</v>
      </c>
      <c r="W84" s="9">
        <f>STATS1003B!W89/1000</f>
        <v>0</v>
      </c>
      <c r="X84" s="9">
        <f>STATS1003B!X89/1000</f>
        <v>561</v>
      </c>
      <c r="Y84" s="9">
        <f>STATS1003B!Y89/1000</f>
        <v>0</v>
      </c>
      <c r="Z84" s="9">
        <f>STATS1003B!Z89/1000</f>
        <v>0</v>
      </c>
      <c r="AA84" s="9">
        <f>STATS1003B!AA89/1000</f>
        <v>561</v>
      </c>
      <c r="AB84" s="9">
        <f>STATS1003B!AB89/1000</f>
        <v>0</v>
      </c>
    </row>
    <row r="85" spans="1:28" x14ac:dyDescent="0.35">
      <c r="A85" s="36"/>
      <c r="B85" s="6"/>
      <c r="C85" s="14" t="s">
        <v>90</v>
      </c>
      <c r="D85" s="23" t="s">
        <v>61</v>
      </c>
      <c r="E85" s="9">
        <f>STATS1003B!E90/1000</f>
        <v>596.15427999999997</v>
      </c>
      <c r="F85" s="9">
        <f>STATS1003B!F90/1000</f>
        <v>564.65584999999999</v>
      </c>
      <c r="G85" s="9">
        <f>STATS1003B!G90/1000</f>
        <v>0</v>
      </c>
      <c r="H85" s="9">
        <f>STATS1003B!H90/1000</f>
        <v>564.65584999999999</v>
      </c>
      <c r="I85" s="9">
        <f>STATS1003B!I90/1000</f>
        <v>561</v>
      </c>
      <c r="J85" s="9">
        <f>STATS1003B!J90/1000</f>
        <v>561</v>
      </c>
      <c r="K85" s="9">
        <f>STATS1003B!K90/1000</f>
        <v>0</v>
      </c>
      <c r="L85" s="9">
        <f>STATS1003B!L90/1000</f>
        <v>0</v>
      </c>
      <c r="M85" s="9">
        <f>STATS1003B!M90/1000</f>
        <v>564.65584999999999</v>
      </c>
      <c r="N85" s="9">
        <f>STATS1003B!N90/1000</f>
        <v>1.88042</v>
      </c>
      <c r="O85" s="9">
        <f>STATS1003B!O90/1000</f>
        <v>0</v>
      </c>
      <c r="P85" s="9">
        <f>STATS1003B!P90/1000</f>
        <v>1.88042</v>
      </c>
      <c r="Q85" s="9">
        <f>STATS1003B!Q90/1000</f>
        <v>0</v>
      </c>
      <c r="R85" s="9">
        <f>STATS1003B!R90/1000</f>
        <v>0</v>
      </c>
      <c r="S85" s="9">
        <f>STATS1003B!S90/1000</f>
        <v>31.498429999999999</v>
      </c>
      <c r="T85" s="9">
        <f>STATS1003B!T90/1000</f>
        <v>29.618009999999998</v>
      </c>
      <c r="U85" s="9">
        <f>STATS1003B!U90/1000</f>
        <v>31.498429999999999</v>
      </c>
      <c r="V85" s="9">
        <f>STATS1003B!V90/1000</f>
        <v>566.53627000000006</v>
      </c>
      <c r="W85" s="9">
        <f>STATS1003B!W90/1000</f>
        <v>29.618010000000009</v>
      </c>
      <c r="X85" s="9">
        <f>STATS1003B!X90/1000</f>
        <v>566.53627000000006</v>
      </c>
      <c r="Y85" s="9">
        <f>STATS1003B!Y90/1000</f>
        <v>0</v>
      </c>
      <c r="Z85" s="9">
        <f>STATS1003B!Z90/1000</f>
        <v>29.618010000000009</v>
      </c>
      <c r="AA85" s="9">
        <f>STATS1003B!AA90/1000</f>
        <v>596.15427999999997</v>
      </c>
      <c r="AB85" s="9">
        <f>STATS1003B!AB90/1000</f>
        <v>0</v>
      </c>
    </row>
    <row r="86" spans="1:28" x14ac:dyDescent="0.35">
      <c r="A86" s="36"/>
      <c r="B86" s="6"/>
      <c r="C86" s="8"/>
      <c r="D86" s="8"/>
      <c r="E86" s="17" t="s">
        <v>29</v>
      </c>
      <c r="F86" s="17" t="s">
        <v>29</v>
      </c>
      <c r="G86" s="17" t="s">
        <v>29</v>
      </c>
      <c r="H86" s="17" t="s">
        <v>29</v>
      </c>
      <c r="I86" s="17" t="s">
        <v>29</v>
      </c>
      <c r="J86" s="17" t="s">
        <v>29</v>
      </c>
      <c r="K86" s="17" t="s">
        <v>29</v>
      </c>
      <c r="L86" s="17" t="s">
        <v>29</v>
      </c>
      <c r="M86" s="17" t="s">
        <v>29</v>
      </c>
      <c r="N86" s="17" t="s">
        <v>29</v>
      </c>
      <c r="O86" s="17" t="s">
        <v>29</v>
      </c>
      <c r="P86" s="17" t="s">
        <v>29</v>
      </c>
      <c r="Q86" s="17" t="s">
        <v>29</v>
      </c>
      <c r="R86" s="17" t="s">
        <v>29</v>
      </c>
      <c r="S86" s="17" t="s">
        <v>29</v>
      </c>
      <c r="T86" s="17" t="s">
        <v>29</v>
      </c>
      <c r="U86" s="17" t="s">
        <v>29</v>
      </c>
      <c r="V86" s="17" t="s">
        <v>29</v>
      </c>
      <c r="W86" s="17" t="s">
        <v>29</v>
      </c>
      <c r="X86" s="17" t="s">
        <v>29</v>
      </c>
      <c r="Y86" s="17" t="s">
        <v>29</v>
      </c>
      <c r="Z86" s="17" t="s">
        <v>29</v>
      </c>
      <c r="AA86" s="17" t="s">
        <v>29</v>
      </c>
      <c r="AB86" s="17" t="s">
        <v>29</v>
      </c>
    </row>
    <row r="87" spans="1:28" x14ac:dyDescent="0.35">
      <c r="A87" s="36"/>
      <c r="B87" s="6"/>
      <c r="C87" s="8"/>
      <c r="D87" s="8"/>
      <c r="E87" s="9">
        <f>SUM(E67:E85)</f>
        <v>53449.216189999992</v>
      </c>
      <c r="F87" s="9">
        <f t="shared" ref="F87:AB87" si="3">SUM(F67:F85)</f>
        <v>33513.770819999998</v>
      </c>
      <c r="G87" s="9">
        <f t="shared" si="3"/>
        <v>0</v>
      </c>
      <c r="H87" s="9">
        <f t="shared" si="3"/>
        <v>33513.770819999998</v>
      </c>
      <c r="I87" s="9">
        <f t="shared" si="3"/>
        <v>1122</v>
      </c>
      <c r="J87" s="9">
        <f t="shared" si="3"/>
        <v>1122</v>
      </c>
      <c r="K87" s="9">
        <f t="shared" si="3"/>
        <v>0</v>
      </c>
      <c r="L87" s="9">
        <f t="shared" si="3"/>
        <v>0</v>
      </c>
      <c r="M87" s="9">
        <f t="shared" si="3"/>
        <v>33513.770819999998</v>
      </c>
      <c r="N87" s="9">
        <f t="shared" si="3"/>
        <v>19658.465260000001</v>
      </c>
      <c r="O87" s="9">
        <f t="shared" si="3"/>
        <v>0</v>
      </c>
      <c r="P87" s="9">
        <f t="shared" si="3"/>
        <v>19658.465260000001</v>
      </c>
      <c r="Q87" s="9">
        <f t="shared" si="3"/>
        <v>0</v>
      </c>
      <c r="R87" s="9">
        <f t="shared" si="3"/>
        <v>0</v>
      </c>
      <c r="S87" s="9">
        <f t="shared" si="3"/>
        <v>31.498429999999999</v>
      </c>
      <c r="T87" s="9">
        <f t="shared" si="3"/>
        <v>29.618009999999998</v>
      </c>
      <c r="U87" s="9">
        <f t="shared" si="3"/>
        <v>19688.083269999999</v>
      </c>
      <c r="V87" s="9">
        <f t="shared" si="3"/>
        <v>53172.236079999988</v>
      </c>
      <c r="W87" s="9">
        <f t="shared" si="3"/>
        <v>276.98010999999997</v>
      </c>
      <c r="X87" s="9">
        <f t="shared" si="3"/>
        <v>53172.236079999988</v>
      </c>
      <c r="Y87" s="9">
        <f t="shared" si="3"/>
        <v>0</v>
      </c>
      <c r="Z87" s="9">
        <f t="shared" si="3"/>
        <v>276.98010999999997</v>
      </c>
      <c r="AA87" s="9">
        <f t="shared" si="3"/>
        <v>53201.854089999993</v>
      </c>
      <c r="AB87" s="9">
        <f t="shared" si="3"/>
        <v>247.36209999999997</v>
      </c>
    </row>
    <row r="88" spans="1:28" x14ac:dyDescent="0.35">
      <c r="A88" s="36"/>
      <c r="B88" s="6"/>
      <c r="C88" s="8"/>
      <c r="D88" s="8"/>
      <c r="E88" s="17" t="s">
        <v>29</v>
      </c>
      <c r="F88" s="17" t="s">
        <v>29</v>
      </c>
      <c r="G88" s="17" t="s">
        <v>29</v>
      </c>
      <c r="H88" s="17" t="s">
        <v>29</v>
      </c>
      <c r="I88" s="17" t="s">
        <v>29</v>
      </c>
      <c r="J88" s="17" t="s">
        <v>29</v>
      </c>
      <c r="K88" s="17" t="s">
        <v>29</v>
      </c>
      <c r="L88" s="17" t="s">
        <v>29</v>
      </c>
      <c r="M88" s="17" t="s">
        <v>29</v>
      </c>
      <c r="N88" s="17" t="s">
        <v>29</v>
      </c>
      <c r="O88" s="17" t="s">
        <v>29</v>
      </c>
      <c r="P88" s="17" t="s">
        <v>29</v>
      </c>
      <c r="Q88" s="17" t="s">
        <v>29</v>
      </c>
      <c r="R88" s="17" t="s">
        <v>29</v>
      </c>
      <c r="S88" s="17" t="s">
        <v>29</v>
      </c>
      <c r="T88" s="17" t="s">
        <v>29</v>
      </c>
      <c r="U88" s="17" t="s">
        <v>29</v>
      </c>
      <c r="V88" s="17" t="s">
        <v>29</v>
      </c>
      <c r="W88" s="17" t="s">
        <v>29</v>
      </c>
      <c r="X88" s="17" t="s">
        <v>29</v>
      </c>
      <c r="Y88" s="17" t="s">
        <v>29</v>
      </c>
      <c r="Z88" s="17" t="s">
        <v>29</v>
      </c>
      <c r="AA88" s="17" t="s">
        <v>29</v>
      </c>
      <c r="AB88" s="17" t="s">
        <v>29</v>
      </c>
    </row>
    <row r="89" spans="1:28" x14ac:dyDescent="0.35">
      <c r="A89" s="38" t="s">
        <v>938</v>
      </c>
      <c r="B89" s="7" t="s">
        <v>97</v>
      </c>
      <c r="C89" s="6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8" x14ac:dyDescent="0.35">
      <c r="A90" s="36"/>
      <c r="B90" s="6"/>
      <c r="C90" s="7" t="s">
        <v>75</v>
      </c>
      <c r="D90" s="21" t="s">
        <v>76</v>
      </c>
      <c r="E90" s="9">
        <f>STATS1003B!E95/1000</f>
        <v>2752</v>
      </c>
      <c r="F90" s="9">
        <f>STATS1003B!F95/1000</f>
        <v>0</v>
      </c>
      <c r="G90" s="9">
        <f>STATS1003B!G95/1000</f>
        <v>0</v>
      </c>
      <c r="H90" s="9">
        <f>STATS1003B!H95/1000</f>
        <v>0</v>
      </c>
      <c r="I90" s="9">
        <f>STATS1003B!I95/1000</f>
        <v>0</v>
      </c>
      <c r="J90" s="9">
        <f>STATS1003B!J95/1000</f>
        <v>0</v>
      </c>
      <c r="K90" s="9">
        <f>STATS1003B!K95/1000</f>
        <v>0</v>
      </c>
      <c r="L90" s="9">
        <f>STATS1003B!L95/1000</f>
        <v>0</v>
      </c>
      <c r="M90" s="9">
        <f>STATS1003B!M95/1000</f>
        <v>0</v>
      </c>
      <c r="N90" s="9">
        <f>STATS1003B!N95/1000</f>
        <v>2752</v>
      </c>
      <c r="O90" s="9">
        <f>STATS1003B!O95/1000</f>
        <v>0</v>
      </c>
      <c r="P90" s="9">
        <f>STATS1003B!P95/1000</f>
        <v>2752</v>
      </c>
      <c r="Q90" s="9">
        <f>STATS1003B!Q95/1000</f>
        <v>0</v>
      </c>
      <c r="R90" s="9">
        <f>STATS1003B!R95/1000</f>
        <v>0</v>
      </c>
      <c r="S90" s="9">
        <f>STATS1003B!S95/1000</f>
        <v>0</v>
      </c>
      <c r="T90" s="9">
        <f>STATS1003B!T95/1000</f>
        <v>0</v>
      </c>
      <c r="U90" s="9">
        <f>STATS1003B!U95/1000</f>
        <v>2752</v>
      </c>
      <c r="V90" s="9">
        <f>STATS1003B!V95/1000</f>
        <v>2752</v>
      </c>
      <c r="W90" s="9">
        <f>STATS1003B!W95/1000</f>
        <v>0</v>
      </c>
      <c r="X90" s="9">
        <f>STATS1003B!X95/1000</f>
        <v>2752</v>
      </c>
      <c r="Y90" s="9">
        <f>STATS1003B!Y95/1000</f>
        <v>0</v>
      </c>
      <c r="Z90" s="9">
        <f>STATS1003B!Z95/1000</f>
        <v>0</v>
      </c>
      <c r="AA90" s="9">
        <f>STATS1003B!AA95/1000</f>
        <v>2752</v>
      </c>
      <c r="AB90" s="9">
        <f>STATS1003B!AB95/1000</f>
        <v>0</v>
      </c>
    </row>
    <row r="91" spans="1:28" x14ac:dyDescent="0.35">
      <c r="A91" s="36"/>
      <c r="B91" s="6"/>
      <c r="C91" s="7" t="s">
        <v>77</v>
      </c>
      <c r="D91" s="15" t="s">
        <v>78</v>
      </c>
      <c r="E91" s="9">
        <f>STATS1003B!E96/1000</f>
        <v>1657</v>
      </c>
      <c r="F91" s="9">
        <f>STATS1003B!F96/1000</f>
        <v>1657</v>
      </c>
      <c r="G91" s="9">
        <f>STATS1003B!G96/1000</f>
        <v>0</v>
      </c>
      <c r="H91" s="9">
        <f>STATS1003B!H96/1000</f>
        <v>1657</v>
      </c>
      <c r="I91" s="9">
        <f>STATS1003B!I96/1000</f>
        <v>0</v>
      </c>
      <c r="J91" s="9">
        <f>STATS1003B!J96/1000</f>
        <v>0</v>
      </c>
      <c r="K91" s="9">
        <f>STATS1003B!K96/1000</f>
        <v>0</v>
      </c>
      <c r="L91" s="9">
        <f>STATS1003B!L96/1000</f>
        <v>0</v>
      </c>
      <c r="M91" s="9">
        <f>STATS1003B!M96/1000</f>
        <v>1657</v>
      </c>
      <c r="N91" s="9">
        <f>STATS1003B!N96/1000</f>
        <v>0</v>
      </c>
      <c r="O91" s="9">
        <f>STATS1003B!O96/1000</f>
        <v>0</v>
      </c>
      <c r="P91" s="9">
        <f>STATS1003B!P96/1000</f>
        <v>0</v>
      </c>
      <c r="Q91" s="9">
        <f>STATS1003B!Q96/1000</f>
        <v>0</v>
      </c>
      <c r="R91" s="9">
        <f>STATS1003B!R96/1000</f>
        <v>0</v>
      </c>
      <c r="S91" s="9">
        <f>STATS1003B!S96/1000</f>
        <v>0</v>
      </c>
      <c r="T91" s="9">
        <f>STATS1003B!T96/1000</f>
        <v>0</v>
      </c>
      <c r="U91" s="9">
        <f>STATS1003B!U96/1000</f>
        <v>0</v>
      </c>
      <c r="V91" s="9">
        <f>STATS1003B!V96/1000</f>
        <v>1657</v>
      </c>
      <c r="W91" s="9">
        <f>STATS1003B!W96/1000</f>
        <v>0</v>
      </c>
      <c r="X91" s="9">
        <f>STATS1003B!X96/1000</f>
        <v>1657</v>
      </c>
      <c r="Y91" s="9">
        <f>STATS1003B!Y96/1000</f>
        <v>0</v>
      </c>
      <c r="Z91" s="9">
        <f>STATS1003B!Z96/1000</f>
        <v>0</v>
      </c>
      <c r="AA91" s="9">
        <f>STATS1003B!AA96/1000</f>
        <v>1657</v>
      </c>
      <c r="AB91" s="9">
        <f>STATS1003B!AB96/1000</f>
        <v>0</v>
      </c>
    </row>
    <row r="92" spans="1:28" x14ac:dyDescent="0.35">
      <c r="A92" s="36"/>
      <c r="B92" s="6"/>
      <c r="C92" s="7" t="s">
        <v>92</v>
      </c>
      <c r="D92" s="15" t="s">
        <v>98</v>
      </c>
      <c r="E92" s="9">
        <f>STATS1003B!E97/1000</f>
        <v>4871.1980000000003</v>
      </c>
      <c r="F92" s="9">
        <f>STATS1003B!F97/1000</f>
        <v>4871.1980000000003</v>
      </c>
      <c r="G92" s="9">
        <f>STATS1003B!G97/1000</f>
        <v>0</v>
      </c>
      <c r="H92" s="9">
        <f>STATS1003B!H97/1000</f>
        <v>4871.1980000000003</v>
      </c>
      <c r="I92" s="9">
        <f>STATS1003B!I97/1000</f>
        <v>0</v>
      </c>
      <c r="J92" s="9">
        <f>STATS1003B!J97/1000</f>
        <v>0</v>
      </c>
      <c r="K92" s="9">
        <f>STATS1003B!K97/1000</f>
        <v>0</v>
      </c>
      <c r="L92" s="9">
        <f>STATS1003B!L97/1000</f>
        <v>0</v>
      </c>
      <c r="M92" s="9">
        <f>STATS1003B!M97/1000</f>
        <v>4871.1980000000003</v>
      </c>
      <c r="N92" s="9">
        <f>STATS1003B!N97/1000</f>
        <v>0</v>
      </c>
      <c r="O92" s="9">
        <f>STATS1003B!O97/1000</f>
        <v>0</v>
      </c>
      <c r="P92" s="9">
        <f>STATS1003B!P97/1000</f>
        <v>0</v>
      </c>
      <c r="Q92" s="9">
        <f>STATS1003B!Q97/1000</f>
        <v>0</v>
      </c>
      <c r="R92" s="9">
        <f>STATS1003B!R97/1000</f>
        <v>0</v>
      </c>
      <c r="S92" s="9">
        <f>STATS1003B!S97/1000</f>
        <v>0</v>
      </c>
      <c r="T92" s="9">
        <f>STATS1003B!T97/1000</f>
        <v>0</v>
      </c>
      <c r="U92" s="9">
        <f>STATS1003B!U97/1000</f>
        <v>0</v>
      </c>
      <c r="V92" s="9">
        <f>STATS1003B!V97/1000</f>
        <v>4871.1980000000003</v>
      </c>
      <c r="W92" s="9">
        <f>STATS1003B!W97/1000</f>
        <v>0</v>
      </c>
      <c r="X92" s="9">
        <f>STATS1003B!X97/1000</f>
        <v>4871.1980000000003</v>
      </c>
      <c r="Y92" s="9">
        <f>STATS1003B!Y97/1000</f>
        <v>0</v>
      </c>
      <c r="Z92" s="9">
        <f>STATS1003B!Z97/1000</f>
        <v>0</v>
      </c>
      <c r="AA92" s="9">
        <f>STATS1003B!AA97/1000</f>
        <v>4871.1980000000003</v>
      </c>
      <c r="AB92" s="9">
        <f>STATS1003B!AB97/1000</f>
        <v>0</v>
      </c>
    </row>
    <row r="93" spans="1:28" x14ac:dyDescent="0.35">
      <c r="A93" s="36"/>
      <c r="B93" s="6"/>
      <c r="C93" s="7" t="s">
        <v>55</v>
      </c>
      <c r="D93" s="15" t="s">
        <v>99</v>
      </c>
      <c r="E93" s="9">
        <f>STATS1003B!E98/1000</f>
        <v>2191.6395000000002</v>
      </c>
      <c r="F93" s="9">
        <f>STATS1003B!F98/1000</f>
        <v>0</v>
      </c>
      <c r="G93" s="9">
        <f>STATS1003B!G98/1000</f>
        <v>0</v>
      </c>
      <c r="H93" s="9">
        <f>STATS1003B!H98/1000</f>
        <v>0</v>
      </c>
      <c r="I93" s="9">
        <f>STATS1003B!I98/1000</f>
        <v>0</v>
      </c>
      <c r="J93" s="9">
        <f>STATS1003B!J98/1000</f>
        <v>0</v>
      </c>
      <c r="K93" s="9">
        <f>STATS1003B!K98/1000</f>
        <v>0</v>
      </c>
      <c r="L93" s="9">
        <f>STATS1003B!L98/1000</f>
        <v>0</v>
      </c>
      <c r="M93" s="9">
        <f>STATS1003B!M98/1000</f>
        <v>0</v>
      </c>
      <c r="N93" s="9">
        <f>STATS1003B!N98/1000</f>
        <v>2191.6395000000002</v>
      </c>
      <c r="O93" s="9">
        <f>STATS1003B!O98/1000</f>
        <v>0</v>
      </c>
      <c r="P93" s="9">
        <f>STATS1003B!P98/1000</f>
        <v>2191.6395000000002</v>
      </c>
      <c r="Q93" s="9">
        <f>STATS1003B!Q98/1000</f>
        <v>0</v>
      </c>
      <c r="R93" s="9">
        <f>STATS1003B!R98/1000</f>
        <v>0</v>
      </c>
      <c r="S93" s="9">
        <f>STATS1003B!S98/1000</f>
        <v>0</v>
      </c>
      <c r="T93" s="9">
        <f>STATS1003B!T98/1000</f>
        <v>0</v>
      </c>
      <c r="U93" s="9">
        <f>STATS1003B!U98/1000</f>
        <v>2191.6395000000002</v>
      </c>
      <c r="V93" s="9">
        <f>STATS1003B!V98/1000</f>
        <v>2191.6395000000002</v>
      </c>
      <c r="W93" s="9">
        <f>STATS1003B!W98/1000</f>
        <v>0</v>
      </c>
      <c r="X93" s="9">
        <f>STATS1003B!X98/1000</f>
        <v>2191.6395000000002</v>
      </c>
      <c r="Y93" s="9">
        <f>STATS1003B!Y98/1000</f>
        <v>0</v>
      </c>
      <c r="Z93" s="9">
        <f>STATS1003B!Z98/1000</f>
        <v>0</v>
      </c>
      <c r="AA93" s="9">
        <f>STATS1003B!AA98/1000</f>
        <v>2191.6395000000002</v>
      </c>
      <c r="AB93" s="9">
        <f>STATS1003B!AB98/1000</f>
        <v>0</v>
      </c>
    </row>
    <row r="94" spans="1:28" x14ac:dyDescent="0.35">
      <c r="A94" s="36"/>
      <c r="B94" s="6"/>
      <c r="C94" s="7" t="s">
        <v>53</v>
      </c>
      <c r="D94" s="15" t="s">
        <v>54</v>
      </c>
      <c r="E94" s="9">
        <f>STATS1003B!E99/1000</f>
        <v>2306.1060000000002</v>
      </c>
      <c r="F94" s="9">
        <f>STATS1003B!F99/1000</f>
        <v>0</v>
      </c>
      <c r="G94" s="9">
        <f>STATS1003B!G99/1000</f>
        <v>0</v>
      </c>
      <c r="H94" s="9">
        <f>STATS1003B!H99/1000</f>
        <v>0</v>
      </c>
      <c r="I94" s="9">
        <f>STATS1003B!I99/1000</f>
        <v>0</v>
      </c>
      <c r="J94" s="9">
        <f>STATS1003B!J99/1000</f>
        <v>0</v>
      </c>
      <c r="K94" s="9">
        <f>STATS1003B!K99/1000</f>
        <v>0</v>
      </c>
      <c r="L94" s="9">
        <f>STATS1003B!L99/1000</f>
        <v>0</v>
      </c>
      <c r="M94" s="9">
        <f>STATS1003B!M99/1000</f>
        <v>0</v>
      </c>
      <c r="N94" s="9">
        <f>STATS1003B!N99/1000</f>
        <v>2306.1060000000002</v>
      </c>
      <c r="O94" s="9">
        <f>STATS1003B!O99/1000</f>
        <v>0</v>
      </c>
      <c r="P94" s="9">
        <f>STATS1003B!P99/1000</f>
        <v>2306.1060000000002</v>
      </c>
      <c r="Q94" s="9">
        <f>STATS1003B!Q99/1000</f>
        <v>0</v>
      </c>
      <c r="R94" s="9">
        <f>STATS1003B!R99/1000</f>
        <v>0</v>
      </c>
      <c r="S94" s="9">
        <f>STATS1003B!S99/1000</f>
        <v>0</v>
      </c>
      <c r="T94" s="9">
        <f>STATS1003B!T99/1000</f>
        <v>0</v>
      </c>
      <c r="U94" s="9">
        <f>STATS1003B!U99/1000</f>
        <v>2306.1060000000002</v>
      </c>
      <c r="V94" s="9">
        <f>STATS1003B!V99/1000</f>
        <v>2306.1060000000002</v>
      </c>
      <c r="W94" s="9">
        <f>STATS1003B!W99/1000</f>
        <v>0</v>
      </c>
      <c r="X94" s="9">
        <f>STATS1003B!X99/1000</f>
        <v>2306.1060000000002</v>
      </c>
      <c r="Y94" s="9">
        <f>STATS1003B!Y99/1000</f>
        <v>0</v>
      </c>
      <c r="Z94" s="9">
        <f>STATS1003B!Z99/1000</f>
        <v>0</v>
      </c>
      <c r="AA94" s="9">
        <f>STATS1003B!AA99/1000</f>
        <v>2306.1060000000002</v>
      </c>
      <c r="AB94" s="9">
        <f>STATS1003B!AB99/1000</f>
        <v>0</v>
      </c>
    </row>
    <row r="95" spans="1:28" x14ac:dyDescent="0.35">
      <c r="A95" s="36"/>
      <c r="B95" s="6"/>
      <c r="C95" s="7" t="s">
        <v>87</v>
      </c>
      <c r="D95" s="15" t="s">
        <v>88</v>
      </c>
      <c r="E95" s="9">
        <f>STATS1003B!E100/1000</f>
        <v>10177.34</v>
      </c>
      <c r="F95" s="9">
        <f>STATS1003B!F100/1000</f>
        <v>10177.34</v>
      </c>
      <c r="G95" s="9">
        <f>STATS1003B!G100/1000</f>
        <v>0</v>
      </c>
      <c r="H95" s="9">
        <f>STATS1003B!H100/1000</f>
        <v>10177.34</v>
      </c>
      <c r="I95" s="9">
        <f>STATS1003B!I100/1000</f>
        <v>0</v>
      </c>
      <c r="J95" s="9">
        <f>STATS1003B!J100/1000</f>
        <v>0</v>
      </c>
      <c r="K95" s="9">
        <f>STATS1003B!K100/1000</f>
        <v>0</v>
      </c>
      <c r="L95" s="9">
        <f>STATS1003B!L100/1000</f>
        <v>0</v>
      </c>
      <c r="M95" s="9">
        <f>STATS1003B!M100/1000</f>
        <v>10177.34</v>
      </c>
      <c r="N95" s="9">
        <f>STATS1003B!N100/1000</f>
        <v>0</v>
      </c>
      <c r="O95" s="9">
        <f>STATS1003B!O100/1000</f>
        <v>0</v>
      </c>
      <c r="P95" s="9">
        <f>STATS1003B!P100/1000</f>
        <v>0</v>
      </c>
      <c r="Q95" s="9">
        <f>STATS1003B!Q100/1000</f>
        <v>0</v>
      </c>
      <c r="R95" s="9">
        <f>STATS1003B!R100/1000</f>
        <v>0</v>
      </c>
      <c r="S95" s="9">
        <f>STATS1003B!S100/1000</f>
        <v>0</v>
      </c>
      <c r="T95" s="9">
        <f>STATS1003B!T100/1000</f>
        <v>0</v>
      </c>
      <c r="U95" s="9">
        <f>STATS1003B!U100/1000</f>
        <v>0</v>
      </c>
      <c r="V95" s="9">
        <f>STATS1003B!V100/1000</f>
        <v>10177.34</v>
      </c>
      <c r="W95" s="9">
        <f>STATS1003B!W100/1000</f>
        <v>0</v>
      </c>
      <c r="X95" s="9">
        <f>STATS1003B!X100/1000</f>
        <v>10177.34</v>
      </c>
      <c r="Y95" s="9">
        <f>STATS1003B!Y100/1000</f>
        <v>0</v>
      </c>
      <c r="Z95" s="9">
        <f>STATS1003B!Z100/1000</f>
        <v>0</v>
      </c>
      <c r="AA95" s="9">
        <f>STATS1003B!AA100/1000</f>
        <v>10177.34</v>
      </c>
      <c r="AB95" s="9">
        <f>STATS1003B!AB100/1000</f>
        <v>0</v>
      </c>
    </row>
    <row r="96" spans="1:28" x14ac:dyDescent="0.35">
      <c r="A96" s="36"/>
      <c r="B96" s="6"/>
      <c r="C96" s="7" t="s">
        <v>57</v>
      </c>
      <c r="D96" s="15" t="s">
        <v>58</v>
      </c>
      <c r="E96" s="9">
        <f>STATS1003B!E101/1000</f>
        <v>2849.2040000000002</v>
      </c>
      <c r="F96" s="9">
        <f>STATS1003B!F101/1000</f>
        <v>2849.2040000000002</v>
      </c>
      <c r="G96" s="9">
        <f>STATS1003B!G101/1000</f>
        <v>0</v>
      </c>
      <c r="H96" s="9">
        <f>STATS1003B!H101/1000</f>
        <v>2849.2040000000002</v>
      </c>
      <c r="I96" s="9">
        <f>STATS1003B!I101/1000</f>
        <v>0</v>
      </c>
      <c r="J96" s="9">
        <f>STATS1003B!J101/1000</f>
        <v>0</v>
      </c>
      <c r="K96" s="9">
        <f>STATS1003B!K101/1000</f>
        <v>0</v>
      </c>
      <c r="L96" s="9">
        <f>STATS1003B!L101/1000</f>
        <v>0</v>
      </c>
      <c r="M96" s="9">
        <f>STATS1003B!M101/1000</f>
        <v>2849.2040000000002</v>
      </c>
      <c r="N96" s="9">
        <f>STATS1003B!N101/1000</f>
        <v>0</v>
      </c>
      <c r="O96" s="9">
        <f>STATS1003B!O101/1000</f>
        <v>0</v>
      </c>
      <c r="P96" s="9">
        <f>STATS1003B!P101/1000</f>
        <v>0</v>
      </c>
      <c r="Q96" s="9">
        <f>STATS1003B!Q101/1000</f>
        <v>0</v>
      </c>
      <c r="R96" s="9">
        <f>STATS1003B!R101/1000</f>
        <v>0</v>
      </c>
      <c r="S96" s="9">
        <f>STATS1003B!S101/1000</f>
        <v>0</v>
      </c>
      <c r="T96" s="9">
        <f>STATS1003B!T101/1000</f>
        <v>0</v>
      </c>
      <c r="U96" s="9">
        <f>STATS1003B!U101/1000</f>
        <v>0</v>
      </c>
      <c r="V96" s="9">
        <f>STATS1003B!V101/1000</f>
        <v>2849.2040000000002</v>
      </c>
      <c r="W96" s="9">
        <f>STATS1003B!W101/1000</f>
        <v>0</v>
      </c>
      <c r="X96" s="9">
        <f>STATS1003B!X101/1000</f>
        <v>2849.2040000000002</v>
      </c>
      <c r="Y96" s="9">
        <f>STATS1003B!Y101/1000</f>
        <v>0</v>
      </c>
      <c r="Z96" s="9">
        <f>STATS1003B!Z101/1000</f>
        <v>0</v>
      </c>
      <c r="AA96" s="9">
        <f>STATS1003B!AA101/1000</f>
        <v>2849.2040000000002</v>
      </c>
      <c r="AB96" s="9">
        <f>STATS1003B!AB101/1000</f>
        <v>0</v>
      </c>
    </row>
    <row r="97" spans="1:28" x14ac:dyDescent="0.35">
      <c r="A97" s="36"/>
      <c r="B97" s="6"/>
      <c r="C97" s="14" t="s">
        <v>59</v>
      </c>
      <c r="D97" s="16" t="s">
        <v>60</v>
      </c>
      <c r="E97" s="9">
        <f>STATS1003B!E102/1000</f>
        <v>7500</v>
      </c>
      <c r="F97" s="9">
        <f>STATS1003B!F102/1000</f>
        <v>7500</v>
      </c>
      <c r="G97" s="9">
        <f>STATS1003B!G102/1000</f>
        <v>0</v>
      </c>
      <c r="H97" s="9">
        <f>STATS1003B!H102/1000</f>
        <v>7500</v>
      </c>
      <c r="I97" s="9">
        <f>STATS1003B!I102/1000</f>
        <v>0</v>
      </c>
      <c r="J97" s="9">
        <f>STATS1003B!J102/1000</f>
        <v>0</v>
      </c>
      <c r="K97" s="9">
        <f>STATS1003B!K102/1000</f>
        <v>0</v>
      </c>
      <c r="L97" s="9">
        <f>STATS1003B!L102/1000</f>
        <v>0</v>
      </c>
      <c r="M97" s="9">
        <f>STATS1003B!M102/1000</f>
        <v>7500</v>
      </c>
      <c r="N97" s="9">
        <f>STATS1003B!N102/1000</f>
        <v>0</v>
      </c>
      <c r="O97" s="9">
        <f>STATS1003B!O102/1000</f>
        <v>0</v>
      </c>
      <c r="P97" s="9">
        <f>STATS1003B!P102/1000</f>
        <v>0</v>
      </c>
      <c r="Q97" s="9">
        <f>STATS1003B!Q102/1000</f>
        <v>0</v>
      </c>
      <c r="R97" s="9">
        <f>STATS1003B!R102/1000</f>
        <v>0</v>
      </c>
      <c r="S97" s="9">
        <f>STATS1003B!S102/1000</f>
        <v>0</v>
      </c>
      <c r="T97" s="9">
        <f>STATS1003B!T102/1000</f>
        <v>0</v>
      </c>
      <c r="U97" s="9">
        <f>STATS1003B!U102/1000</f>
        <v>0</v>
      </c>
      <c r="V97" s="9">
        <f>STATS1003B!V102/1000</f>
        <v>7500</v>
      </c>
      <c r="W97" s="9">
        <f>STATS1003B!W102/1000</f>
        <v>0</v>
      </c>
      <c r="X97" s="9">
        <f>STATS1003B!X102/1000</f>
        <v>7500</v>
      </c>
      <c r="Y97" s="9">
        <f>STATS1003B!Y102/1000</f>
        <v>0</v>
      </c>
      <c r="Z97" s="9">
        <f>STATS1003B!Z102/1000</f>
        <v>0</v>
      </c>
      <c r="AA97" s="9">
        <f>STATS1003B!AA102/1000</f>
        <v>7500</v>
      </c>
      <c r="AB97" s="9">
        <f>STATS1003B!AB102/1000</f>
        <v>0</v>
      </c>
    </row>
    <row r="98" spans="1:28" x14ac:dyDescent="0.35">
      <c r="A98" s="36"/>
      <c r="B98" s="6"/>
      <c r="C98" s="14" t="s">
        <v>1090</v>
      </c>
      <c r="D98" s="16" t="s">
        <v>1072</v>
      </c>
      <c r="E98" s="9">
        <f>STATS1003B!E103/1000</f>
        <v>1790.80945</v>
      </c>
      <c r="F98" s="9">
        <f>STATS1003B!F103/1000</f>
        <v>1790.80945</v>
      </c>
      <c r="G98" s="9">
        <f>STATS1003B!G103/1000</f>
        <v>0</v>
      </c>
      <c r="H98" s="9">
        <f>STATS1003B!H103/1000</f>
        <v>1790.80945</v>
      </c>
      <c r="I98" s="9">
        <f>STATS1003B!I103/1000</f>
        <v>0</v>
      </c>
      <c r="J98" s="9">
        <f>STATS1003B!J103/1000</f>
        <v>0</v>
      </c>
      <c r="K98" s="9">
        <f>STATS1003B!K103/1000</f>
        <v>0</v>
      </c>
      <c r="L98" s="9">
        <f>STATS1003B!L103/1000</f>
        <v>0</v>
      </c>
      <c r="M98" s="9">
        <f>STATS1003B!M103/1000</f>
        <v>1790.80945</v>
      </c>
      <c r="N98" s="9">
        <f>STATS1003B!N103/1000</f>
        <v>0</v>
      </c>
      <c r="O98" s="9">
        <f>STATS1003B!O103/1000</f>
        <v>0</v>
      </c>
      <c r="P98" s="9">
        <f>STATS1003B!P103/1000</f>
        <v>0</v>
      </c>
      <c r="Q98" s="9">
        <f>STATS1003B!Q103/1000</f>
        <v>0</v>
      </c>
      <c r="R98" s="9">
        <f>STATS1003B!R103/1000</f>
        <v>0</v>
      </c>
      <c r="S98" s="9">
        <f>STATS1003B!S103/1000</f>
        <v>0</v>
      </c>
      <c r="T98" s="9">
        <f>STATS1003B!T103/1000</f>
        <v>0</v>
      </c>
      <c r="U98" s="9">
        <f>STATS1003B!U103/1000</f>
        <v>0</v>
      </c>
      <c r="V98" s="9">
        <f>STATS1003B!V103/1000</f>
        <v>0</v>
      </c>
      <c r="W98" s="9">
        <f>STATS1003B!W103/1000</f>
        <v>0</v>
      </c>
      <c r="X98" s="9">
        <f>STATS1003B!X103/1000</f>
        <v>1790.80945</v>
      </c>
      <c r="Y98" s="9">
        <f>STATS1003B!Y103/1000</f>
        <v>0</v>
      </c>
      <c r="Z98" s="9">
        <f>STATS1003B!Z103/1000</f>
        <v>0</v>
      </c>
      <c r="AA98" s="9">
        <f>STATS1003B!AA103/1000</f>
        <v>1790.80945</v>
      </c>
      <c r="AB98" s="9">
        <f>STATS1003B!AB103/1000</f>
        <v>0</v>
      </c>
    </row>
    <row r="99" spans="1:28" x14ac:dyDescent="0.35">
      <c r="A99" s="36"/>
      <c r="B99" s="6"/>
      <c r="C99" s="7" t="s">
        <v>100</v>
      </c>
      <c r="D99" s="8"/>
      <c r="E99" s="9">
        <f>STATS1003B!E105/1000</f>
        <v>3459.52</v>
      </c>
      <c r="F99" s="9">
        <f>STATS1003B!F105/1000</f>
        <v>3459.52</v>
      </c>
      <c r="G99" s="9">
        <f>STATS1003B!G105/1000</f>
        <v>0</v>
      </c>
      <c r="H99" s="9">
        <f>STATS1003B!H105/1000</f>
        <v>3459.52</v>
      </c>
      <c r="I99" s="9">
        <f>STATS1003B!I105/1000</f>
        <v>0</v>
      </c>
      <c r="J99" s="9">
        <f>STATS1003B!J105/1000</f>
        <v>0</v>
      </c>
      <c r="K99" s="9">
        <f>STATS1003B!K105/1000</f>
        <v>0</v>
      </c>
      <c r="L99" s="9">
        <f>STATS1003B!L105/1000</f>
        <v>0</v>
      </c>
      <c r="M99" s="9">
        <f>STATS1003B!M105/1000</f>
        <v>3459.52</v>
      </c>
      <c r="N99" s="9">
        <f>STATS1003B!N105/1000</f>
        <v>0</v>
      </c>
      <c r="O99" s="9">
        <f>STATS1003B!O105/1000</f>
        <v>0</v>
      </c>
      <c r="P99" s="9">
        <f>STATS1003B!P105/1000</f>
        <v>0</v>
      </c>
      <c r="Q99" s="9">
        <f>STATS1003B!Q105/1000</f>
        <v>0</v>
      </c>
      <c r="R99" s="9">
        <f>STATS1003B!R105/1000</f>
        <v>0</v>
      </c>
      <c r="S99" s="9">
        <f>STATS1003B!S105/1000</f>
        <v>0</v>
      </c>
      <c r="T99" s="9">
        <f>STATS1003B!T105/1000</f>
        <v>0</v>
      </c>
      <c r="U99" s="9">
        <f>STATS1003B!U105/1000</f>
        <v>0</v>
      </c>
      <c r="V99" s="9">
        <f>STATS1003B!V105/1000</f>
        <v>3459.52</v>
      </c>
      <c r="W99" s="9">
        <f>STATS1003B!W105/1000</f>
        <v>0</v>
      </c>
      <c r="X99" s="9">
        <f>STATS1003B!X105/1000</f>
        <v>3459.52</v>
      </c>
      <c r="Y99" s="9">
        <f>STATS1003B!Y105/1000</f>
        <v>0</v>
      </c>
      <c r="Z99" s="9">
        <f>STATS1003B!Z105/1000</f>
        <v>0</v>
      </c>
      <c r="AA99" s="9">
        <f>STATS1003B!AA105/1000</f>
        <v>3459.52</v>
      </c>
      <c r="AB99" s="9">
        <f>STATS1003B!AB105/1000</f>
        <v>0</v>
      </c>
    </row>
    <row r="100" spans="1:28" x14ac:dyDescent="0.35">
      <c r="A100" s="36"/>
      <c r="B100" s="6"/>
      <c r="C100" s="8"/>
      <c r="D100" s="8"/>
      <c r="E100" s="17" t="s">
        <v>29</v>
      </c>
      <c r="F100" s="17" t="s">
        <v>29</v>
      </c>
      <c r="G100" s="17" t="s">
        <v>29</v>
      </c>
      <c r="H100" s="17" t="s">
        <v>29</v>
      </c>
      <c r="I100" s="17" t="s">
        <v>29</v>
      </c>
      <c r="J100" s="17" t="s">
        <v>29</v>
      </c>
      <c r="K100" s="17" t="s">
        <v>29</v>
      </c>
      <c r="L100" s="17" t="s">
        <v>29</v>
      </c>
      <c r="M100" s="17" t="s">
        <v>29</v>
      </c>
      <c r="N100" s="17" t="s">
        <v>29</v>
      </c>
      <c r="O100" s="17" t="s">
        <v>29</v>
      </c>
      <c r="P100" s="17" t="s">
        <v>29</v>
      </c>
      <c r="Q100" s="17" t="s">
        <v>29</v>
      </c>
      <c r="R100" s="17" t="s">
        <v>29</v>
      </c>
      <c r="S100" s="17" t="s">
        <v>29</v>
      </c>
      <c r="T100" s="17" t="s">
        <v>29</v>
      </c>
      <c r="U100" s="17" t="s">
        <v>29</v>
      </c>
      <c r="V100" s="17" t="s">
        <v>29</v>
      </c>
      <c r="W100" s="17" t="s">
        <v>29</v>
      </c>
      <c r="X100" s="17" t="s">
        <v>29</v>
      </c>
      <c r="Y100" s="17" t="s">
        <v>29</v>
      </c>
      <c r="Z100" s="17" t="s">
        <v>29</v>
      </c>
      <c r="AA100" s="17" t="s">
        <v>29</v>
      </c>
      <c r="AB100" s="17" t="s">
        <v>29</v>
      </c>
    </row>
    <row r="101" spans="1:28" x14ac:dyDescent="0.35">
      <c r="A101" s="36"/>
      <c r="B101" s="6"/>
      <c r="C101" s="8"/>
      <c r="D101" s="8"/>
      <c r="E101" s="9">
        <f t="shared" ref="E101:AB101" si="4">SUM(E90:E99)</f>
        <v>39554.81695</v>
      </c>
      <c r="F101" s="9">
        <f t="shared" si="4"/>
        <v>32305.071450000003</v>
      </c>
      <c r="G101" s="9">
        <f t="shared" si="4"/>
        <v>0</v>
      </c>
      <c r="H101" s="9">
        <f t="shared" si="4"/>
        <v>32305.071450000003</v>
      </c>
      <c r="I101" s="9">
        <f t="shared" si="4"/>
        <v>0</v>
      </c>
      <c r="J101" s="9">
        <f t="shared" si="4"/>
        <v>0</v>
      </c>
      <c r="K101" s="9">
        <f t="shared" si="4"/>
        <v>0</v>
      </c>
      <c r="L101" s="9">
        <f t="shared" si="4"/>
        <v>0</v>
      </c>
      <c r="M101" s="9">
        <f t="shared" si="4"/>
        <v>32305.071450000003</v>
      </c>
      <c r="N101" s="9">
        <f t="shared" si="4"/>
        <v>7249.7455000000009</v>
      </c>
      <c r="O101" s="9">
        <f t="shared" si="4"/>
        <v>0</v>
      </c>
      <c r="P101" s="9">
        <f t="shared" si="4"/>
        <v>7249.7455000000009</v>
      </c>
      <c r="Q101" s="9">
        <f t="shared" si="4"/>
        <v>0</v>
      </c>
      <c r="R101" s="9">
        <f t="shared" si="4"/>
        <v>0</v>
      </c>
      <c r="S101" s="9">
        <f t="shared" si="4"/>
        <v>0</v>
      </c>
      <c r="T101" s="9">
        <f t="shared" si="4"/>
        <v>0</v>
      </c>
      <c r="U101" s="9">
        <f t="shared" si="4"/>
        <v>7249.7455000000009</v>
      </c>
      <c r="V101" s="9">
        <f t="shared" si="4"/>
        <v>37764.0075</v>
      </c>
      <c r="W101" s="9">
        <f t="shared" si="4"/>
        <v>0</v>
      </c>
      <c r="X101" s="9">
        <f t="shared" si="4"/>
        <v>39554.81695</v>
      </c>
      <c r="Y101" s="9">
        <f t="shared" si="4"/>
        <v>0</v>
      </c>
      <c r="Z101" s="9">
        <f t="shared" si="4"/>
        <v>0</v>
      </c>
      <c r="AA101" s="9">
        <f t="shared" si="4"/>
        <v>39554.81695</v>
      </c>
      <c r="AB101" s="9">
        <f t="shared" si="4"/>
        <v>0</v>
      </c>
    </row>
    <row r="102" spans="1:28" x14ac:dyDescent="0.35">
      <c r="A102" s="36"/>
      <c r="B102" s="6"/>
      <c r="C102" s="8"/>
      <c r="D102" s="8"/>
      <c r="E102" s="17" t="s">
        <v>29</v>
      </c>
      <c r="F102" s="17" t="s">
        <v>29</v>
      </c>
      <c r="G102" s="17" t="s">
        <v>29</v>
      </c>
      <c r="H102" s="17" t="s">
        <v>29</v>
      </c>
      <c r="I102" s="17" t="s">
        <v>29</v>
      </c>
      <c r="J102" s="17" t="s">
        <v>29</v>
      </c>
      <c r="K102" s="17" t="s">
        <v>29</v>
      </c>
      <c r="L102" s="17" t="s">
        <v>29</v>
      </c>
      <c r="M102" s="17" t="s">
        <v>29</v>
      </c>
      <c r="N102" s="17" t="s">
        <v>29</v>
      </c>
      <c r="O102" s="17" t="s">
        <v>29</v>
      </c>
      <c r="P102" s="17" t="s">
        <v>29</v>
      </c>
      <c r="Q102" s="17" t="s">
        <v>29</v>
      </c>
      <c r="R102" s="17" t="s">
        <v>29</v>
      </c>
      <c r="S102" s="17" t="s">
        <v>29</v>
      </c>
      <c r="T102" s="17" t="s">
        <v>29</v>
      </c>
      <c r="U102" s="17" t="s">
        <v>29</v>
      </c>
      <c r="V102" s="17" t="s">
        <v>29</v>
      </c>
      <c r="W102" s="17" t="s">
        <v>29</v>
      </c>
      <c r="X102" s="17" t="s">
        <v>29</v>
      </c>
      <c r="Y102" s="17" t="s">
        <v>29</v>
      </c>
      <c r="Z102" s="17" t="s">
        <v>29</v>
      </c>
      <c r="AA102" s="17" t="s">
        <v>29</v>
      </c>
      <c r="AB102" s="17" t="s">
        <v>29</v>
      </c>
    </row>
    <row r="103" spans="1:28" x14ac:dyDescent="0.35">
      <c r="A103" s="38" t="s">
        <v>939</v>
      </c>
      <c r="B103" s="7" t="s">
        <v>101</v>
      </c>
      <c r="C103" s="6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8" x14ac:dyDescent="0.35">
      <c r="A104" s="36"/>
      <c r="B104" s="6"/>
      <c r="C104" s="7" t="s">
        <v>75</v>
      </c>
      <c r="D104" s="21" t="s">
        <v>76</v>
      </c>
      <c r="E104" s="9">
        <f>STATS1003B!E110/1000</f>
        <v>7714</v>
      </c>
      <c r="F104" s="9">
        <f>STATS1003B!F110/1000</f>
        <v>0</v>
      </c>
      <c r="G104" s="9">
        <f>STATS1003B!G110/1000</f>
        <v>0</v>
      </c>
      <c r="H104" s="9">
        <f>STATS1003B!H110/1000</f>
        <v>0</v>
      </c>
      <c r="I104" s="9">
        <f>STATS1003B!I110/1000</f>
        <v>0</v>
      </c>
      <c r="J104" s="9">
        <f>STATS1003B!J110/1000</f>
        <v>0</v>
      </c>
      <c r="K104" s="9">
        <f>STATS1003B!K110/1000</f>
        <v>0</v>
      </c>
      <c r="L104" s="9">
        <f>STATS1003B!L110/1000</f>
        <v>0</v>
      </c>
      <c r="M104" s="9">
        <f>STATS1003B!M110/1000</f>
        <v>0</v>
      </c>
      <c r="N104" s="9">
        <f>STATS1003B!N110/1000</f>
        <v>4611.64732</v>
      </c>
      <c r="O104" s="9">
        <f>STATS1003B!O110/1000</f>
        <v>0</v>
      </c>
      <c r="P104" s="9">
        <f>STATS1003B!P110/1000</f>
        <v>4611.64732</v>
      </c>
      <c r="Q104" s="9">
        <f>STATS1003B!Q110/1000</f>
        <v>0</v>
      </c>
      <c r="R104" s="9">
        <f>STATS1003B!R110/1000</f>
        <v>0</v>
      </c>
      <c r="S104" s="9">
        <f>STATS1003B!S110/1000</f>
        <v>0</v>
      </c>
      <c r="T104" s="9">
        <f>STATS1003B!T110/1000</f>
        <v>0</v>
      </c>
      <c r="U104" s="9">
        <f>STATS1003B!U110/1000</f>
        <v>4611.64732</v>
      </c>
      <c r="V104" s="9">
        <f>STATS1003B!V110/1000</f>
        <v>4611.64732</v>
      </c>
      <c r="W104" s="9">
        <f>STATS1003B!W110/1000</f>
        <v>3102.3526799999995</v>
      </c>
      <c r="X104" s="9">
        <f>STATS1003B!X110/1000</f>
        <v>4611.64732</v>
      </c>
      <c r="Y104" s="9">
        <f>STATS1003B!Y110/1000</f>
        <v>0</v>
      </c>
      <c r="Z104" s="9">
        <f>STATS1003B!Z110/1000</f>
        <v>3102.3526799999995</v>
      </c>
      <c r="AA104" s="9">
        <f>STATS1003B!AA110/1000</f>
        <v>4611.64732</v>
      </c>
      <c r="AB104" s="9">
        <f>STATS1003B!AB110/1000</f>
        <v>3102.3526799999995</v>
      </c>
    </row>
    <row r="105" spans="1:28" x14ac:dyDescent="0.35">
      <c r="A105" s="36"/>
      <c r="B105" s="6"/>
      <c r="C105" s="14" t="s">
        <v>77</v>
      </c>
      <c r="D105" s="21" t="s">
        <v>78</v>
      </c>
      <c r="E105" s="9">
        <f>STATS1003B!E111/1000</f>
        <v>15182.87355</v>
      </c>
      <c r="F105" s="9">
        <f>STATS1003B!F111/1000</f>
        <v>8688.2203599999993</v>
      </c>
      <c r="G105" s="9">
        <f>STATS1003B!G111/1000</f>
        <v>0</v>
      </c>
      <c r="H105" s="9">
        <f>STATS1003B!H111/1000</f>
        <v>8688.2203599999993</v>
      </c>
      <c r="I105" s="9">
        <f>STATS1003B!I111/1000</f>
        <v>0</v>
      </c>
      <c r="J105" s="9">
        <f>STATS1003B!J111/1000</f>
        <v>0</v>
      </c>
      <c r="K105" s="9">
        <f>STATS1003B!K111/1000</f>
        <v>0</v>
      </c>
      <c r="L105" s="9">
        <f>STATS1003B!L111/1000</f>
        <v>0</v>
      </c>
      <c r="M105" s="9">
        <f>STATS1003B!M111/1000</f>
        <v>8688.2203599999993</v>
      </c>
      <c r="N105" s="9">
        <f>STATS1003B!N111/1000</f>
        <v>6494.65319</v>
      </c>
      <c r="O105" s="9">
        <f>STATS1003B!O111/1000</f>
        <v>0</v>
      </c>
      <c r="P105" s="9">
        <f>STATS1003B!P111/1000</f>
        <v>6494.65319</v>
      </c>
      <c r="Q105" s="9">
        <f>STATS1003B!Q111/1000</f>
        <v>0</v>
      </c>
      <c r="R105" s="9">
        <f>STATS1003B!R111/1000</f>
        <v>0</v>
      </c>
      <c r="S105" s="9">
        <f>STATS1003B!S111/1000</f>
        <v>0</v>
      </c>
      <c r="T105" s="9">
        <f>STATS1003B!T111/1000</f>
        <v>0</v>
      </c>
      <c r="U105" s="9">
        <f>STATS1003B!U111/1000</f>
        <v>6494.65319</v>
      </c>
      <c r="V105" s="9">
        <f>STATS1003B!V111/1000</f>
        <v>15182.87355</v>
      </c>
      <c r="W105" s="9">
        <f>STATS1003B!W111/1000</f>
        <v>0</v>
      </c>
      <c r="X105" s="9">
        <f>STATS1003B!X111/1000</f>
        <v>15182.87355</v>
      </c>
      <c r="Y105" s="9">
        <f>STATS1003B!Y111/1000</f>
        <v>0</v>
      </c>
      <c r="Z105" s="9">
        <f>STATS1003B!Z111/1000</f>
        <v>0</v>
      </c>
      <c r="AA105" s="9">
        <f>STATS1003B!AA111/1000</f>
        <v>15182.87355</v>
      </c>
      <c r="AB105" s="9">
        <f>STATS1003B!AB111/1000</f>
        <v>0</v>
      </c>
    </row>
    <row r="106" spans="1:28" x14ac:dyDescent="0.35">
      <c r="A106" s="36"/>
      <c r="B106" s="6"/>
      <c r="C106" s="7" t="s">
        <v>92</v>
      </c>
      <c r="D106" s="15" t="s">
        <v>79</v>
      </c>
      <c r="E106" s="9">
        <f>STATS1003B!E112/1000</f>
        <v>17444.897670000002</v>
      </c>
      <c r="F106" s="9">
        <f>STATS1003B!F112/1000</f>
        <v>16721.944449999999</v>
      </c>
      <c r="G106" s="9">
        <f>STATS1003B!G112/1000</f>
        <v>0</v>
      </c>
      <c r="H106" s="9">
        <f>STATS1003B!H112/1000</f>
        <v>16721.944449999999</v>
      </c>
      <c r="I106" s="9">
        <f>STATS1003B!I112/1000</f>
        <v>0</v>
      </c>
      <c r="J106" s="9">
        <f>STATS1003B!J112/1000</f>
        <v>0</v>
      </c>
      <c r="K106" s="9">
        <f>STATS1003B!K112/1000</f>
        <v>0</v>
      </c>
      <c r="L106" s="9">
        <f>STATS1003B!L112/1000</f>
        <v>0</v>
      </c>
      <c r="M106" s="9">
        <f>STATS1003B!M112/1000</f>
        <v>16721.944449999999</v>
      </c>
      <c r="N106" s="9">
        <f>STATS1003B!N112/1000</f>
        <v>722.95321999999999</v>
      </c>
      <c r="O106" s="9">
        <f>STATS1003B!O112/1000</f>
        <v>0</v>
      </c>
      <c r="P106" s="9">
        <f>STATS1003B!P112/1000</f>
        <v>722.95321999999999</v>
      </c>
      <c r="Q106" s="9">
        <f>STATS1003B!Q112/1000</f>
        <v>0</v>
      </c>
      <c r="R106" s="9">
        <f>STATS1003B!R112/1000</f>
        <v>0</v>
      </c>
      <c r="S106" s="9">
        <f>STATS1003B!S112/1000</f>
        <v>0</v>
      </c>
      <c r="T106" s="9">
        <f>STATS1003B!T112/1000</f>
        <v>0</v>
      </c>
      <c r="U106" s="9">
        <f>STATS1003B!U112/1000</f>
        <v>722.95321999999999</v>
      </c>
      <c r="V106" s="9">
        <f>STATS1003B!V112/1000</f>
        <v>17444.897669999998</v>
      </c>
      <c r="W106" s="9">
        <f>STATS1003B!W112/1000</f>
        <v>0</v>
      </c>
      <c r="X106" s="9">
        <f>STATS1003B!X112/1000</f>
        <v>17444.897669999998</v>
      </c>
      <c r="Y106" s="9">
        <f>STATS1003B!Y112/1000</f>
        <v>0</v>
      </c>
      <c r="Z106" s="9">
        <f>STATS1003B!Z112/1000</f>
        <v>0</v>
      </c>
      <c r="AA106" s="9">
        <f>STATS1003B!AA112/1000</f>
        <v>17444.897669999998</v>
      </c>
      <c r="AB106" s="9">
        <f>STATS1003B!AB112/1000</f>
        <v>0</v>
      </c>
    </row>
    <row r="107" spans="1:28" x14ac:dyDescent="0.35">
      <c r="A107" s="36"/>
      <c r="B107" s="6"/>
      <c r="C107" s="8"/>
      <c r="D107" s="14" t="s">
        <v>102</v>
      </c>
      <c r="E107" s="9">
        <f>STATS1003B!E113/1000</f>
        <v>0</v>
      </c>
      <c r="F107" s="9">
        <f>STATS1003B!F113/1000</f>
        <v>0</v>
      </c>
      <c r="G107" s="9">
        <f>STATS1003B!G113/1000</f>
        <v>0</v>
      </c>
      <c r="H107" s="9">
        <f>STATS1003B!H113/1000</f>
        <v>0</v>
      </c>
      <c r="I107" s="9">
        <f>STATS1003B!I113/1000</f>
        <v>0</v>
      </c>
      <c r="J107" s="9">
        <f>STATS1003B!J113/1000</f>
        <v>0</v>
      </c>
      <c r="K107" s="9">
        <f>STATS1003B!K113/1000</f>
        <v>0</v>
      </c>
      <c r="L107" s="9">
        <f>STATS1003B!L113/1000</f>
        <v>0</v>
      </c>
      <c r="M107" s="9">
        <f>STATS1003B!M113/1000</f>
        <v>0</v>
      </c>
      <c r="N107" s="9">
        <f>STATS1003B!N113/1000</f>
        <v>0</v>
      </c>
      <c r="O107" s="9">
        <f>STATS1003B!O113/1000</f>
        <v>0</v>
      </c>
      <c r="P107" s="9">
        <f>STATS1003B!P113/1000</f>
        <v>0</v>
      </c>
      <c r="Q107" s="9">
        <f>STATS1003B!Q113/1000</f>
        <v>0</v>
      </c>
      <c r="R107" s="9">
        <f>STATS1003B!R113/1000</f>
        <v>0</v>
      </c>
      <c r="S107" s="9">
        <f>STATS1003B!S113/1000</f>
        <v>0</v>
      </c>
      <c r="T107" s="9">
        <f>STATS1003B!T113/1000</f>
        <v>0</v>
      </c>
      <c r="U107" s="9">
        <f>STATS1003B!U113/1000</f>
        <v>0</v>
      </c>
      <c r="V107" s="9">
        <f>STATS1003B!V113/1000</f>
        <v>0</v>
      </c>
      <c r="W107" s="9">
        <f>STATS1003B!W113/1000</f>
        <v>0</v>
      </c>
      <c r="X107" s="9">
        <f>STATS1003B!X113/1000</f>
        <v>0</v>
      </c>
      <c r="Y107" s="9">
        <f>STATS1003B!Y113/1000</f>
        <v>0</v>
      </c>
      <c r="Z107" s="9">
        <f>STATS1003B!Z113/1000</f>
        <v>0</v>
      </c>
      <c r="AA107" s="9">
        <f>STATS1003B!AA113/1000</f>
        <v>0</v>
      </c>
      <c r="AB107" s="9">
        <f>STATS1003B!AB113/1000</f>
        <v>0</v>
      </c>
    </row>
    <row r="108" spans="1:28" x14ac:dyDescent="0.35">
      <c r="A108" s="36"/>
      <c r="B108" s="6"/>
      <c r="C108" s="7" t="s">
        <v>55</v>
      </c>
      <c r="D108" s="15" t="s">
        <v>99</v>
      </c>
      <c r="E108" s="9">
        <f>STATS1003B!E114/1000</f>
        <v>4695.4976999999999</v>
      </c>
      <c r="F108" s="9">
        <f>STATS1003B!F114/1000</f>
        <v>0</v>
      </c>
      <c r="G108" s="9">
        <f>STATS1003B!G114/1000</f>
        <v>0</v>
      </c>
      <c r="H108" s="9">
        <f>STATS1003B!H114/1000</f>
        <v>0</v>
      </c>
      <c r="I108" s="9">
        <f>STATS1003B!I114/1000</f>
        <v>0</v>
      </c>
      <c r="J108" s="9">
        <f>STATS1003B!J114/1000</f>
        <v>0</v>
      </c>
      <c r="K108" s="9">
        <f>STATS1003B!K114/1000</f>
        <v>0</v>
      </c>
      <c r="L108" s="9">
        <f>STATS1003B!L114/1000</f>
        <v>0</v>
      </c>
      <c r="M108" s="9">
        <f>STATS1003B!M114/1000</f>
        <v>0</v>
      </c>
      <c r="N108" s="9">
        <f>STATS1003B!N114/1000</f>
        <v>4695.497699999999</v>
      </c>
      <c r="O108" s="9">
        <f>STATS1003B!O114/1000</f>
        <v>0</v>
      </c>
      <c r="P108" s="9">
        <f>STATS1003B!P114/1000</f>
        <v>4695.497699999999</v>
      </c>
      <c r="Q108" s="9">
        <f>STATS1003B!Q114/1000</f>
        <v>0</v>
      </c>
      <c r="R108" s="9">
        <f>STATS1003B!R114/1000</f>
        <v>0</v>
      </c>
      <c r="S108" s="9">
        <f>STATS1003B!S114/1000</f>
        <v>0</v>
      </c>
      <c r="T108" s="9">
        <f>STATS1003B!T114/1000</f>
        <v>0</v>
      </c>
      <c r="U108" s="9">
        <f>STATS1003B!U114/1000</f>
        <v>4695.497699999999</v>
      </c>
      <c r="V108" s="9">
        <f>STATS1003B!V114/1000</f>
        <v>4695.497699999999</v>
      </c>
      <c r="W108" s="9">
        <f>STATS1003B!W114/1000</f>
        <v>0</v>
      </c>
      <c r="X108" s="9">
        <f>STATS1003B!X114/1000</f>
        <v>4695.497699999999</v>
      </c>
      <c r="Y108" s="9">
        <f>STATS1003B!Y114/1000</f>
        <v>0</v>
      </c>
      <c r="Z108" s="9">
        <f>STATS1003B!Z114/1000</f>
        <v>0</v>
      </c>
      <c r="AA108" s="9">
        <f>STATS1003B!AA114/1000</f>
        <v>4695.497699999999</v>
      </c>
      <c r="AB108" s="9">
        <f>STATS1003B!AB114/1000</f>
        <v>0</v>
      </c>
    </row>
    <row r="109" spans="1:28" x14ac:dyDescent="0.35">
      <c r="A109" s="36"/>
      <c r="B109" s="6"/>
      <c r="C109" s="7" t="s">
        <v>82</v>
      </c>
      <c r="D109" s="15" t="s">
        <v>103</v>
      </c>
      <c r="E109" s="9">
        <f>STATS1003B!E115/1000</f>
        <v>31750.7873</v>
      </c>
      <c r="F109" s="9">
        <f>STATS1003B!F115/1000</f>
        <v>31157.575769999999</v>
      </c>
      <c r="G109" s="9">
        <f>STATS1003B!G115/1000</f>
        <v>0</v>
      </c>
      <c r="H109" s="9">
        <f>STATS1003B!H115/1000</f>
        <v>31157.575769999999</v>
      </c>
      <c r="I109" s="9">
        <f>STATS1003B!I115/1000</f>
        <v>0</v>
      </c>
      <c r="J109" s="9">
        <f>STATS1003B!J115/1000</f>
        <v>0</v>
      </c>
      <c r="K109" s="9">
        <f>STATS1003B!K115/1000</f>
        <v>0</v>
      </c>
      <c r="L109" s="9">
        <f>STATS1003B!L115/1000</f>
        <v>0</v>
      </c>
      <c r="M109" s="9">
        <f>STATS1003B!M115/1000</f>
        <v>31157.575769999999</v>
      </c>
      <c r="N109" s="9">
        <f>STATS1003B!N115/1000</f>
        <v>593.21153000000004</v>
      </c>
      <c r="O109" s="9">
        <f>STATS1003B!O115/1000</f>
        <v>0</v>
      </c>
      <c r="P109" s="9">
        <f>STATS1003B!P115/1000</f>
        <v>593.21153000000004</v>
      </c>
      <c r="Q109" s="9">
        <f>STATS1003B!Q115/1000</f>
        <v>0</v>
      </c>
      <c r="R109" s="9">
        <f>STATS1003B!R115/1000</f>
        <v>0</v>
      </c>
      <c r="S109" s="9">
        <f>STATS1003B!S115/1000</f>
        <v>0</v>
      </c>
      <c r="T109" s="9">
        <f>STATS1003B!T115/1000</f>
        <v>0</v>
      </c>
      <c r="U109" s="9">
        <f>STATS1003B!U115/1000</f>
        <v>593.21153000000004</v>
      </c>
      <c r="V109" s="9">
        <f>STATS1003B!V115/1000</f>
        <v>31750.7873</v>
      </c>
      <c r="W109" s="9">
        <f>STATS1003B!W115/1000</f>
        <v>0</v>
      </c>
      <c r="X109" s="9">
        <f>STATS1003B!X115/1000</f>
        <v>31750.7873</v>
      </c>
      <c r="Y109" s="9">
        <f>STATS1003B!Y115/1000</f>
        <v>0</v>
      </c>
      <c r="Z109" s="9">
        <f>STATS1003B!Z115/1000</f>
        <v>0</v>
      </c>
      <c r="AA109" s="9">
        <f>STATS1003B!AA115/1000</f>
        <v>31750.7873</v>
      </c>
      <c r="AB109" s="9">
        <f>STATS1003B!AB115/1000</f>
        <v>0</v>
      </c>
    </row>
    <row r="110" spans="1:28" x14ac:dyDescent="0.35">
      <c r="A110" s="36"/>
      <c r="B110" s="6"/>
      <c r="C110" s="7" t="s">
        <v>53</v>
      </c>
      <c r="D110" s="15" t="s">
        <v>68</v>
      </c>
      <c r="E110" s="9">
        <f>STATS1003B!E116/1000</f>
        <v>1953.989</v>
      </c>
      <c r="F110" s="9">
        <f>STATS1003B!F116/1000</f>
        <v>0</v>
      </c>
      <c r="G110" s="9">
        <f>STATS1003B!G116/1000</f>
        <v>0</v>
      </c>
      <c r="H110" s="9">
        <f>STATS1003B!H116/1000</f>
        <v>0</v>
      </c>
      <c r="I110" s="9">
        <f>STATS1003B!I116/1000</f>
        <v>0</v>
      </c>
      <c r="J110" s="9">
        <f>STATS1003B!J116/1000</f>
        <v>0</v>
      </c>
      <c r="K110" s="9">
        <f>STATS1003B!K116/1000</f>
        <v>0</v>
      </c>
      <c r="L110" s="9">
        <f>STATS1003B!L116/1000</f>
        <v>0</v>
      </c>
      <c r="M110" s="9">
        <f>STATS1003B!M116/1000</f>
        <v>0</v>
      </c>
      <c r="N110" s="9">
        <f>STATS1003B!N116/1000</f>
        <v>1953.989</v>
      </c>
      <c r="O110" s="9">
        <f>STATS1003B!O116/1000</f>
        <v>0</v>
      </c>
      <c r="P110" s="9">
        <f>STATS1003B!P116/1000</f>
        <v>1953.989</v>
      </c>
      <c r="Q110" s="9">
        <f>STATS1003B!Q116/1000</f>
        <v>0</v>
      </c>
      <c r="R110" s="9">
        <f>STATS1003B!R116/1000</f>
        <v>0</v>
      </c>
      <c r="S110" s="9">
        <f>STATS1003B!S116/1000</f>
        <v>0</v>
      </c>
      <c r="T110" s="9">
        <f>STATS1003B!T116/1000</f>
        <v>0</v>
      </c>
      <c r="U110" s="9">
        <f>STATS1003B!U116/1000</f>
        <v>1953.989</v>
      </c>
      <c r="V110" s="9">
        <f>STATS1003B!V116/1000</f>
        <v>1953.989</v>
      </c>
      <c r="W110" s="9">
        <f>STATS1003B!W116/1000</f>
        <v>0</v>
      </c>
      <c r="X110" s="9">
        <f>STATS1003B!X116/1000</f>
        <v>1953.989</v>
      </c>
      <c r="Y110" s="9">
        <f>STATS1003B!Y116/1000</f>
        <v>0</v>
      </c>
      <c r="Z110" s="9">
        <f>STATS1003B!Z116/1000</f>
        <v>0</v>
      </c>
      <c r="AA110" s="9">
        <f>STATS1003B!AA116/1000</f>
        <v>1953.989</v>
      </c>
      <c r="AB110" s="9">
        <f>STATS1003B!AB116/1000</f>
        <v>0</v>
      </c>
    </row>
    <row r="111" spans="1:28" x14ac:dyDescent="0.35">
      <c r="A111" s="36"/>
      <c r="B111" s="6"/>
      <c r="C111" s="7" t="s">
        <v>69</v>
      </c>
      <c r="D111" s="15" t="s">
        <v>85</v>
      </c>
      <c r="E111" s="9">
        <f>STATS1003B!E117/1000</f>
        <v>955.34561999999994</v>
      </c>
      <c r="F111" s="9">
        <f>STATS1003B!F117/1000</f>
        <v>0</v>
      </c>
      <c r="G111" s="9">
        <f>STATS1003B!G117/1000</f>
        <v>0</v>
      </c>
      <c r="H111" s="9">
        <f>STATS1003B!H117/1000</f>
        <v>0</v>
      </c>
      <c r="I111" s="9">
        <f>STATS1003B!I117/1000</f>
        <v>0</v>
      </c>
      <c r="J111" s="9">
        <f>STATS1003B!J117/1000</f>
        <v>0</v>
      </c>
      <c r="K111" s="9">
        <f>STATS1003B!K117/1000</f>
        <v>0</v>
      </c>
      <c r="L111" s="9">
        <f>STATS1003B!L117/1000</f>
        <v>0</v>
      </c>
      <c r="M111" s="9">
        <f>STATS1003B!M117/1000</f>
        <v>0</v>
      </c>
      <c r="N111" s="9">
        <f>STATS1003B!N117/1000</f>
        <v>955.34561999999994</v>
      </c>
      <c r="O111" s="9">
        <f>STATS1003B!O117/1000</f>
        <v>0</v>
      </c>
      <c r="P111" s="9">
        <f>STATS1003B!P117/1000</f>
        <v>955.34561999999994</v>
      </c>
      <c r="Q111" s="9">
        <f>STATS1003B!Q117/1000</f>
        <v>0</v>
      </c>
      <c r="R111" s="9">
        <f>STATS1003B!R117/1000</f>
        <v>0</v>
      </c>
      <c r="S111" s="9">
        <f>STATS1003B!S117/1000</f>
        <v>0</v>
      </c>
      <c r="T111" s="9">
        <f>STATS1003B!T117/1000</f>
        <v>0</v>
      </c>
      <c r="U111" s="9">
        <f>STATS1003B!U117/1000</f>
        <v>955.34561999999994</v>
      </c>
      <c r="V111" s="9">
        <f>STATS1003B!V117/1000</f>
        <v>955.34561999999994</v>
      </c>
      <c r="W111" s="9">
        <f>STATS1003B!W117/1000</f>
        <v>0</v>
      </c>
      <c r="X111" s="9">
        <f>STATS1003B!X117/1000</f>
        <v>955.34561999999994</v>
      </c>
      <c r="Y111" s="9">
        <f>STATS1003B!Y117/1000</f>
        <v>0</v>
      </c>
      <c r="Z111" s="9">
        <f>STATS1003B!Z117/1000</f>
        <v>0</v>
      </c>
      <c r="AA111" s="9">
        <f>STATS1003B!AA117/1000</f>
        <v>955.34561999999994</v>
      </c>
      <c r="AB111" s="9">
        <f>STATS1003B!AB117/1000</f>
        <v>0</v>
      </c>
    </row>
    <row r="112" spans="1:28" x14ac:dyDescent="0.35">
      <c r="A112" s="36"/>
      <c r="B112" s="6"/>
      <c r="C112" s="7" t="s">
        <v>104</v>
      </c>
      <c r="D112" s="15" t="s">
        <v>105</v>
      </c>
      <c r="E112" s="9">
        <f>STATS1003B!E118/1000</f>
        <v>7200</v>
      </c>
      <c r="F112" s="9">
        <f>STATS1003B!F118/1000</f>
        <v>7200</v>
      </c>
      <c r="G112" s="9">
        <f>STATS1003B!G118/1000</f>
        <v>0</v>
      </c>
      <c r="H112" s="9">
        <f>STATS1003B!H118/1000</f>
        <v>7200</v>
      </c>
      <c r="I112" s="9">
        <f>STATS1003B!I118/1000</f>
        <v>0</v>
      </c>
      <c r="J112" s="9">
        <f>STATS1003B!J118/1000</f>
        <v>0</v>
      </c>
      <c r="K112" s="9">
        <f>STATS1003B!K118/1000</f>
        <v>0</v>
      </c>
      <c r="L112" s="9">
        <f>STATS1003B!L118/1000</f>
        <v>0</v>
      </c>
      <c r="M112" s="9">
        <f>STATS1003B!M118/1000</f>
        <v>7200</v>
      </c>
      <c r="N112" s="9">
        <f>STATS1003B!N118/1000</f>
        <v>0</v>
      </c>
      <c r="O112" s="9">
        <f>STATS1003B!O118/1000</f>
        <v>0</v>
      </c>
      <c r="P112" s="9">
        <f>STATS1003B!P118/1000</f>
        <v>0</v>
      </c>
      <c r="Q112" s="9">
        <f>STATS1003B!Q118/1000</f>
        <v>0</v>
      </c>
      <c r="R112" s="9">
        <f>STATS1003B!R118/1000</f>
        <v>0</v>
      </c>
      <c r="S112" s="9">
        <f>STATS1003B!S118/1000</f>
        <v>0</v>
      </c>
      <c r="T112" s="9">
        <f>STATS1003B!T118/1000</f>
        <v>0</v>
      </c>
      <c r="U112" s="9">
        <f>STATS1003B!U118/1000</f>
        <v>0</v>
      </c>
      <c r="V112" s="9">
        <f>STATS1003B!V118/1000</f>
        <v>7200</v>
      </c>
      <c r="W112" s="9">
        <f>STATS1003B!W118/1000</f>
        <v>0</v>
      </c>
      <c r="X112" s="9">
        <f>STATS1003B!X118/1000</f>
        <v>7200</v>
      </c>
      <c r="Y112" s="9">
        <f>STATS1003B!Y118/1000</f>
        <v>0</v>
      </c>
      <c r="Z112" s="9">
        <f>STATS1003B!Z118/1000</f>
        <v>0</v>
      </c>
      <c r="AA112" s="9">
        <f>STATS1003B!AA118/1000</f>
        <v>7200</v>
      </c>
      <c r="AB112" s="9">
        <f>STATS1003B!AB118/1000</f>
        <v>0</v>
      </c>
    </row>
    <row r="113" spans="1:28" x14ac:dyDescent="0.35">
      <c r="A113" s="36"/>
      <c r="B113" s="6"/>
      <c r="C113" s="7" t="s">
        <v>106</v>
      </c>
      <c r="D113" s="15" t="s">
        <v>85</v>
      </c>
      <c r="E113" s="9">
        <f>STATS1003B!E119/1000</f>
        <v>0</v>
      </c>
      <c r="F113" s="9">
        <f>STATS1003B!F119/1000</f>
        <v>0</v>
      </c>
      <c r="G113" s="9">
        <f>STATS1003B!G119/1000</f>
        <v>0</v>
      </c>
      <c r="H113" s="9">
        <f>STATS1003B!H119/1000</f>
        <v>0</v>
      </c>
      <c r="I113" s="9">
        <f>STATS1003B!I119/1000</f>
        <v>0</v>
      </c>
      <c r="J113" s="9">
        <f>STATS1003B!J119/1000</f>
        <v>0</v>
      </c>
      <c r="K113" s="9">
        <f>STATS1003B!K119/1000</f>
        <v>0</v>
      </c>
      <c r="L113" s="9">
        <f>STATS1003B!L119/1000</f>
        <v>0</v>
      </c>
      <c r="M113" s="9">
        <f>STATS1003B!M119/1000</f>
        <v>0</v>
      </c>
      <c r="N113" s="9">
        <f>STATS1003B!N119/1000</f>
        <v>0</v>
      </c>
      <c r="O113" s="9">
        <f>STATS1003B!O119/1000</f>
        <v>0</v>
      </c>
      <c r="P113" s="9">
        <f>STATS1003B!P119/1000</f>
        <v>0</v>
      </c>
      <c r="Q113" s="9">
        <f>STATS1003B!Q119/1000</f>
        <v>0</v>
      </c>
      <c r="R113" s="9">
        <f>STATS1003B!R119/1000</f>
        <v>0</v>
      </c>
      <c r="S113" s="9">
        <f>STATS1003B!S119/1000</f>
        <v>0</v>
      </c>
      <c r="T113" s="9">
        <f>STATS1003B!T119/1000</f>
        <v>0</v>
      </c>
      <c r="U113" s="9">
        <f>STATS1003B!U119/1000</f>
        <v>0</v>
      </c>
      <c r="V113" s="9">
        <f>STATS1003B!V119/1000</f>
        <v>0</v>
      </c>
      <c r="W113" s="9">
        <f>STATS1003B!W119/1000</f>
        <v>0</v>
      </c>
      <c r="X113" s="9">
        <f>STATS1003B!X119/1000</f>
        <v>0</v>
      </c>
      <c r="Y113" s="9">
        <f>STATS1003B!Y119/1000</f>
        <v>0</v>
      </c>
      <c r="Z113" s="9">
        <f>STATS1003B!Z119/1000</f>
        <v>0</v>
      </c>
      <c r="AA113" s="9">
        <f>STATS1003B!AA119/1000</f>
        <v>0</v>
      </c>
      <c r="AB113" s="9">
        <f>STATS1003B!AB119/1000</f>
        <v>0</v>
      </c>
    </row>
    <row r="114" spans="1:28" x14ac:dyDescent="0.35">
      <c r="A114" s="36"/>
      <c r="B114" s="6"/>
      <c r="C114" s="7" t="s">
        <v>87</v>
      </c>
      <c r="D114" s="15" t="s">
        <v>88</v>
      </c>
      <c r="E114" s="9">
        <f>STATS1003B!E120/1000</f>
        <v>10900</v>
      </c>
      <c r="F114" s="9">
        <f>STATS1003B!F120/1000</f>
        <v>10900</v>
      </c>
      <c r="G114" s="9">
        <f>STATS1003B!G120/1000</f>
        <v>0</v>
      </c>
      <c r="H114" s="9">
        <f>STATS1003B!H120/1000</f>
        <v>10900</v>
      </c>
      <c r="I114" s="9">
        <f>STATS1003B!I120/1000</f>
        <v>0</v>
      </c>
      <c r="J114" s="9">
        <f>STATS1003B!J120/1000</f>
        <v>0</v>
      </c>
      <c r="K114" s="9">
        <f>STATS1003B!K120/1000</f>
        <v>0</v>
      </c>
      <c r="L114" s="9">
        <f>STATS1003B!L120/1000</f>
        <v>0</v>
      </c>
      <c r="M114" s="9">
        <f>STATS1003B!M120/1000</f>
        <v>10900</v>
      </c>
      <c r="N114" s="9">
        <f>STATS1003B!N120/1000</f>
        <v>0</v>
      </c>
      <c r="O114" s="9">
        <f>STATS1003B!O120/1000</f>
        <v>0</v>
      </c>
      <c r="P114" s="9">
        <f>STATS1003B!P120/1000</f>
        <v>0</v>
      </c>
      <c r="Q114" s="9">
        <f>STATS1003B!Q120/1000</f>
        <v>0</v>
      </c>
      <c r="R114" s="9">
        <f>STATS1003B!R120/1000</f>
        <v>0</v>
      </c>
      <c r="S114" s="9">
        <f>STATS1003B!S120/1000</f>
        <v>0</v>
      </c>
      <c r="T114" s="9">
        <f>STATS1003B!T120/1000</f>
        <v>0</v>
      </c>
      <c r="U114" s="9">
        <f>STATS1003B!U120/1000</f>
        <v>0</v>
      </c>
      <c r="V114" s="9">
        <f>STATS1003B!V120/1000</f>
        <v>10900</v>
      </c>
      <c r="W114" s="9">
        <f>STATS1003B!W120/1000</f>
        <v>0</v>
      </c>
      <c r="X114" s="9">
        <f>STATS1003B!X120/1000</f>
        <v>10900</v>
      </c>
      <c r="Y114" s="9">
        <f>STATS1003B!Y120/1000</f>
        <v>0</v>
      </c>
      <c r="Z114" s="9">
        <f>STATS1003B!Z120/1000</f>
        <v>0</v>
      </c>
      <c r="AA114" s="9">
        <f>STATS1003B!AA120/1000</f>
        <v>10900</v>
      </c>
      <c r="AB114" s="9">
        <f>STATS1003B!AB120/1000</f>
        <v>0</v>
      </c>
    </row>
    <row r="115" spans="1:28" x14ac:dyDescent="0.35">
      <c r="A115" s="36"/>
      <c r="B115" s="6"/>
      <c r="C115" s="7" t="s">
        <v>107</v>
      </c>
      <c r="D115" s="15" t="s">
        <v>108</v>
      </c>
      <c r="E115" s="9">
        <f>STATS1003B!E121/1000</f>
        <v>1601.67768</v>
      </c>
      <c r="F115" s="9">
        <f>STATS1003B!F121/1000</f>
        <v>1601.67768</v>
      </c>
      <c r="G115" s="9">
        <f>STATS1003B!G121/1000</f>
        <v>0</v>
      </c>
      <c r="H115" s="9">
        <f>STATS1003B!H121/1000</f>
        <v>1601.67768</v>
      </c>
      <c r="I115" s="9">
        <f>STATS1003B!I121/1000</f>
        <v>0</v>
      </c>
      <c r="J115" s="9">
        <f>STATS1003B!J121/1000</f>
        <v>0</v>
      </c>
      <c r="K115" s="9">
        <f>STATS1003B!K121/1000</f>
        <v>0</v>
      </c>
      <c r="L115" s="9">
        <f>STATS1003B!L121/1000</f>
        <v>0</v>
      </c>
      <c r="M115" s="9">
        <f>STATS1003B!M121/1000</f>
        <v>1601.67768</v>
      </c>
      <c r="N115" s="9">
        <f>STATS1003B!N121/1000</f>
        <v>0</v>
      </c>
      <c r="O115" s="9">
        <f>STATS1003B!O121/1000</f>
        <v>0</v>
      </c>
      <c r="P115" s="9">
        <f>STATS1003B!P121/1000</f>
        <v>0</v>
      </c>
      <c r="Q115" s="9">
        <f>STATS1003B!Q121/1000</f>
        <v>0</v>
      </c>
      <c r="R115" s="9">
        <f>STATS1003B!R121/1000</f>
        <v>0</v>
      </c>
      <c r="S115" s="9">
        <f>STATS1003B!S121/1000</f>
        <v>0</v>
      </c>
      <c r="T115" s="9">
        <f>STATS1003B!T121/1000</f>
        <v>0</v>
      </c>
      <c r="U115" s="9">
        <f>STATS1003B!U121/1000</f>
        <v>0</v>
      </c>
      <c r="V115" s="9">
        <f>STATS1003B!V121/1000</f>
        <v>1601.67768</v>
      </c>
      <c r="W115" s="9">
        <f>STATS1003B!W121/1000</f>
        <v>0</v>
      </c>
      <c r="X115" s="9">
        <f>STATS1003B!X121/1000</f>
        <v>1601.67768</v>
      </c>
      <c r="Y115" s="9">
        <f>STATS1003B!Y121/1000</f>
        <v>0</v>
      </c>
      <c r="Z115" s="9">
        <f>STATS1003B!Z121/1000</f>
        <v>0</v>
      </c>
      <c r="AA115" s="9">
        <f>STATS1003B!AA121/1000</f>
        <v>1601.67768</v>
      </c>
      <c r="AB115" s="9">
        <f>STATS1003B!AB121/1000</f>
        <v>0</v>
      </c>
    </row>
    <row r="116" spans="1:28" x14ac:dyDescent="0.35">
      <c r="A116" s="36"/>
      <c r="B116" s="6"/>
      <c r="C116" s="7" t="s">
        <v>57</v>
      </c>
      <c r="D116" s="15" t="s">
        <v>58</v>
      </c>
      <c r="E116" s="9">
        <f>STATS1003B!E122/1000</f>
        <v>16586.66473</v>
      </c>
      <c r="F116" s="9">
        <f>STATS1003B!F122/1000</f>
        <v>16586.66473</v>
      </c>
      <c r="G116" s="9">
        <f>STATS1003B!G122/1000</f>
        <v>0</v>
      </c>
      <c r="H116" s="9">
        <f>STATS1003B!H122/1000</f>
        <v>16586.66473</v>
      </c>
      <c r="I116" s="9">
        <f>STATS1003B!I122/1000</f>
        <v>0</v>
      </c>
      <c r="J116" s="9">
        <f>STATS1003B!J122/1000</f>
        <v>0</v>
      </c>
      <c r="K116" s="9">
        <f>STATS1003B!K122/1000</f>
        <v>0</v>
      </c>
      <c r="L116" s="9">
        <f>STATS1003B!L122/1000</f>
        <v>0</v>
      </c>
      <c r="M116" s="9">
        <f>STATS1003B!M122/1000</f>
        <v>16586.66473</v>
      </c>
      <c r="N116" s="9">
        <f>STATS1003B!N122/1000</f>
        <v>0</v>
      </c>
      <c r="O116" s="9">
        <f>STATS1003B!O122/1000</f>
        <v>0</v>
      </c>
      <c r="P116" s="9">
        <f>STATS1003B!P122/1000</f>
        <v>0</v>
      </c>
      <c r="Q116" s="9">
        <f>STATS1003B!Q122/1000</f>
        <v>0</v>
      </c>
      <c r="R116" s="9">
        <f>STATS1003B!R122/1000</f>
        <v>0</v>
      </c>
      <c r="S116" s="9">
        <f>STATS1003B!S122/1000</f>
        <v>0</v>
      </c>
      <c r="T116" s="9">
        <f>STATS1003B!T122/1000</f>
        <v>0</v>
      </c>
      <c r="U116" s="9">
        <f>STATS1003B!U122/1000</f>
        <v>0</v>
      </c>
      <c r="V116" s="9">
        <f>STATS1003B!V122/1000</f>
        <v>16586.66473</v>
      </c>
      <c r="W116" s="9">
        <f>STATS1003B!W122/1000</f>
        <v>0</v>
      </c>
      <c r="X116" s="9">
        <f>STATS1003B!X122/1000</f>
        <v>16586.66473</v>
      </c>
      <c r="Y116" s="9">
        <f>STATS1003B!Y122/1000</f>
        <v>0</v>
      </c>
      <c r="Z116" s="9">
        <f>STATS1003B!Z122/1000</f>
        <v>0</v>
      </c>
      <c r="AA116" s="9">
        <f>STATS1003B!AA122/1000</f>
        <v>16586.66473</v>
      </c>
      <c r="AB116" s="9">
        <f>STATS1003B!AB122/1000</f>
        <v>0</v>
      </c>
    </row>
    <row r="117" spans="1:28" x14ac:dyDescent="0.35">
      <c r="A117" s="36"/>
      <c r="B117" s="6"/>
      <c r="C117" s="14" t="s">
        <v>109</v>
      </c>
      <c r="D117" s="21" t="s">
        <v>60</v>
      </c>
      <c r="E117" s="9">
        <f>STATS1003B!E123/1000</f>
        <v>2500</v>
      </c>
      <c r="F117" s="9">
        <f>STATS1003B!F123/1000</f>
        <v>2500</v>
      </c>
      <c r="G117" s="9">
        <f>STATS1003B!G123/1000</f>
        <v>0</v>
      </c>
      <c r="H117" s="9">
        <f>STATS1003B!H123/1000</f>
        <v>2500</v>
      </c>
      <c r="I117" s="9">
        <f>STATS1003B!I123/1000</f>
        <v>0</v>
      </c>
      <c r="J117" s="9">
        <f>STATS1003B!J123/1000</f>
        <v>0</v>
      </c>
      <c r="K117" s="9">
        <f>STATS1003B!K123/1000</f>
        <v>0</v>
      </c>
      <c r="L117" s="9">
        <f>STATS1003B!L123/1000</f>
        <v>0</v>
      </c>
      <c r="M117" s="9">
        <f>STATS1003B!M123/1000</f>
        <v>2500</v>
      </c>
      <c r="N117" s="9">
        <f>STATS1003B!N123/1000</f>
        <v>0</v>
      </c>
      <c r="O117" s="9">
        <f>STATS1003B!O123/1000</f>
        <v>0</v>
      </c>
      <c r="P117" s="9">
        <f>STATS1003B!P123/1000</f>
        <v>0</v>
      </c>
      <c r="Q117" s="9">
        <f>STATS1003B!Q123/1000</f>
        <v>0</v>
      </c>
      <c r="R117" s="9">
        <f>STATS1003B!R123/1000</f>
        <v>0</v>
      </c>
      <c r="S117" s="9">
        <f>STATS1003B!S123/1000</f>
        <v>0</v>
      </c>
      <c r="T117" s="9">
        <f>STATS1003B!T123/1000</f>
        <v>0</v>
      </c>
      <c r="U117" s="9">
        <f>STATS1003B!U123/1000</f>
        <v>0</v>
      </c>
      <c r="V117" s="9">
        <f>STATS1003B!V123/1000</f>
        <v>2500</v>
      </c>
      <c r="W117" s="9">
        <f>STATS1003B!W123/1000</f>
        <v>0</v>
      </c>
      <c r="X117" s="9">
        <f>STATS1003B!X123/1000</f>
        <v>2500</v>
      </c>
      <c r="Y117" s="9">
        <f>STATS1003B!Y123/1000</f>
        <v>0</v>
      </c>
      <c r="Z117" s="9">
        <f>STATS1003B!Z123/1000</f>
        <v>0</v>
      </c>
      <c r="AA117" s="9">
        <f>STATS1003B!AA123/1000</f>
        <v>2500</v>
      </c>
      <c r="AB117" s="9">
        <f>STATS1003B!AB123/1000</f>
        <v>0</v>
      </c>
    </row>
    <row r="118" spans="1:28" x14ac:dyDescent="0.35">
      <c r="A118" s="36"/>
      <c r="B118" s="6"/>
      <c r="C118" s="14" t="s">
        <v>110</v>
      </c>
      <c r="D118" s="14" t="s">
        <v>111</v>
      </c>
      <c r="E118" s="9">
        <f>STATS1003B!E124/1000</f>
        <v>681.83</v>
      </c>
      <c r="F118" s="9">
        <f>STATS1003B!F124/1000</f>
        <v>681.83</v>
      </c>
      <c r="G118" s="9">
        <f>STATS1003B!G124/1000</f>
        <v>0</v>
      </c>
      <c r="H118" s="9">
        <f>STATS1003B!H124/1000</f>
        <v>681.83</v>
      </c>
      <c r="I118" s="9">
        <f>STATS1003B!I124/1000</f>
        <v>0</v>
      </c>
      <c r="J118" s="9">
        <f>STATS1003B!J124/1000</f>
        <v>0</v>
      </c>
      <c r="K118" s="9">
        <f>STATS1003B!K124/1000</f>
        <v>0</v>
      </c>
      <c r="L118" s="9">
        <f>STATS1003B!L124/1000</f>
        <v>0</v>
      </c>
      <c r="M118" s="9">
        <f>STATS1003B!M124/1000</f>
        <v>681.83</v>
      </c>
      <c r="N118" s="9">
        <f>STATS1003B!N124/1000</f>
        <v>0</v>
      </c>
      <c r="O118" s="9">
        <f>STATS1003B!O124/1000</f>
        <v>0</v>
      </c>
      <c r="P118" s="9">
        <f>STATS1003B!P124/1000</f>
        <v>0</v>
      </c>
      <c r="Q118" s="9">
        <f>STATS1003B!Q124/1000</f>
        <v>0</v>
      </c>
      <c r="R118" s="9">
        <f>STATS1003B!R124/1000</f>
        <v>0</v>
      </c>
      <c r="S118" s="9">
        <f>STATS1003B!S124/1000</f>
        <v>0</v>
      </c>
      <c r="T118" s="9">
        <f>STATS1003B!T124/1000</f>
        <v>0</v>
      </c>
      <c r="U118" s="9">
        <f>STATS1003B!U124/1000</f>
        <v>0</v>
      </c>
      <c r="V118" s="9">
        <f>STATS1003B!V124/1000</f>
        <v>681.83</v>
      </c>
      <c r="W118" s="9">
        <f>STATS1003B!W124/1000</f>
        <v>0</v>
      </c>
      <c r="X118" s="9">
        <f>STATS1003B!X124/1000</f>
        <v>681.83</v>
      </c>
      <c r="Y118" s="9">
        <f>STATS1003B!Y124/1000</f>
        <v>0</v>
      </c>
      <c r="Z118" s="9">
        <f>STATS1003B!Z124/1000</f>
        <v>0</v>
      </c>
      <c r="AA118" s="9">
        <f>STATS1003B!AA124/1000</f>
        <v>681.83</v>
      </c>
      <c r="AB118" s="9">
        <f>STATS1003B!AB124/1000</f>
        <v>0</v>
      </c>
    </row>
    <row r="119" spans="1:28" x14ac:dyDescent="0.35">
      <c r="A119" s="36"/>
      <c r="B119" s="6"/>
      <c r="C119" s="14" t="s">
        <v>1096</v>
      </c>
      <c r="D119" s="14"/>
      <c r="E119" s="9">
        <f>STATS1003B!E125/1000</f>
        <v>255.63065</v>
      </c>
      <c r="F119" s="9">
        <f>STATS1003B!F125/1000</f>
        <v>255.63065</v>
      </c>
      <c r="G119" s="9">
        <f>STATS1003B!G125/1000</f>
        <v>0</v>
      </c>
      <c r="H119" s="9">
        <f>STATS1003B!H125/1000</f>
        <v>255.63065</v>
      </c>
      <c r="I119" s="9">
        <f>STATS1003B!I125/1000</f>
        <v>0</v>
      </c>
      <c r="J119" s="9">
        <f>STATS1003B!J125/1000</f>
        <v>0</v>
      </c>
      <c r="K119" s="9">
        <f>STATS1003B!K125/1000</f>
        <v>0</v>
      </c>
      <c r="L119" s="9">
        <f>STATS1003B!L125/1000</f>
        <v>0</v>
      </c>
      <c r="M119" s="9">
        <f>STATS1003B!M125/1000</f>
        <v>255.63065</v>
      </c>
      <c r="N119" s="9">
        <f>STATS1003B!N125/1000</f>
        <v>0</v>
      </c>
      <c r="O119" s="9">
        <f>STATS1003B!O125/1000</f>
        <v>0</v>
      </c>
      <c r="P119" s="9">
        <f>STATS1003B!P125/1000</f>
        <v>0</v>
      </c>
      <c r="Q119" s="9">
        <f>STATS1003B!Q125/1000</f>
        <v>0</v>
      </c>
      <c r="R119" s="9">
        <f>STATS1003B!R125/1000</f>
        <v>0</v>
      </c>
      <c r="S119" s="9">
        <f>STATS1003B!S125/1000</f>
        <v>0</v>
      </c>
      <c r="T119" s="9">
        <f>STATS1003B!T125/1000</f>
        <v>0</v>
      </c>
      <c r="U119" s="9">
        <f>STATS1003B!U125/1000</f>
        <v>0</v>
      </c>
      <c r="V119" s="9">
        <f>STATS1003B!V125/1000</f>
        <v>0</v>
      </c>
      <c r="W119" s="9">
        <f>STATS1003B!W125/1000</f>
        <v>0</v>
      </c>
      <c r="X119" s="9">
        <f>STATS1003B!X125/1000</f>
        <v>255.63065</v>
      </c>
      <c r="Y119" s="9">
        <f>STATS1003B!Y125/1000</f>
        <v>0</v>
      </c>
      <c r="Z119" s="9">
        <f>STATS1003B!Z125/1000</f>
        <v>0</v>
      </c>
      <c r="AA119" s="9">
        <f>STATS1003B!AA125/1000</f>
        <v>255.63065</v>
      </c>
      <c r="AB119" s="9">
        <f>STATS1003B!AB125/1000</f>
        <v>0</v>
      </c>
    </row>
    <row r="120" spans="1:28" x14ac:dyDescent="0.35">
      <c r="A120" s="36"/>
      <c r="B120" s="6"/>
      <c r="C120" s="14" t="s">
        <v>1135</v>
      </c>
      <c r="D120" s="24" t="s">
        <v>1126</v>
      </c>
      <c r="E120" s="9">
        <f>STATS1003B!E126/1000</f>
        <v>38.672559999999997</v>
      </c>
      <c r="F120" s="9">
        <f>STATS1003B!F126/1000</f>
        <v>38.672559999999997</v>
      </c>
      <c r="G120" s="9">
        <f>STATS1003B!G126/1000</f>
        <v>0</v>
      </c>
      <c r="H120" s="9">
        <f>STATS1003B!H126/1000</f>
        <v>38.672559999999997</v>
      </c>
      <c r="I120" s="9">
        <f>STATS1003B!I126/1000</f>
        <v>0</v>
      </c>
      <c r="J120" s="9">
        <f>STATS1003B!J126/1000</f>
        <v>0</v>
      </c>
      <c r="K120" s="9">
        <f>STATS1003B!K126/1000</f>
        <v>0</v>
      </c>
      <c r="L120" s="9">
        <f>STATS1003B!L126/1000</f>
        <v>0</v>
      </c>
      <c r="M120" s="9">
        <f>STATS1003B!M126/1000</f>
        <v>38.672559999999997</v>
      </c>
      <c r="N120" s="9">
        <f>STATS1003B!N126/1000</f>
        <v>0</v>
      </c>
      <c r="O120" s="9">
        <f>STATS1003B!O126/1000</f>
        <v>0</v>
      </c>
      <c r="P120" s="9">
        <f>STATS1003B!P126/1000</f>
        <v>0</v>
      </c>
      <c r="Q120" s="9">
        <f>STATS1003B!Q126/1000</f>
        <v>0</v>
      </c>
      <c r="R120" s="9">
        <f>STATS1003B!R126/1000</f>
        <v>0</v>
      </c>
      <c r="S120" s="9">
        <f>STATS1003B!S126/1000</f>
        <v>0</v>
      </c>
      <c r="T120" s="9">
        <f>STATS1003B!T126/1000</f>
        <v>0</v>
      </c>
      <c r="U120" s="9">
        <f>STATS1003B!U126/1000</f>
        <v>0</v>
      </c>
      <c r="V120" s="9">
        <f>STATS1003B!V126/1000</f>
        <v>0</v>
      </c>
      <c r="W120" s="9">
        <f>STATS1003B!W126/1000</f>
        <v>0</v>
      </c>
      <c r="X120" s="9">
        <f>STATS1003B!X126/1000</f>
        <v>38.672559999999997</v>
      </c>
      <c r="Y120" s="9">
        <f>STATS1003B!Y126/1000</f>
        <v>0</v>
      </c>
      <c r="Z120" s="9">
        <f>STATS1003B!Z126/1000</f>
        <v>0</v>
      </c>
      <c r="AA120" s="9">
        <f>STATS1003B!AA126/1000</f>
        <v>38.672559999999997</v>
      </c>
      <c r="AB120" s="9">
        <f>STATS1003B!AB126/1000</f>
        <v>0</v>
      </c>
    </row>
    <row r="121" spans="1:28" x14ac:dyDescent="0.35">
      <c r="A121" s="36"/>
      <c r="B121" s="6"/>
      <c r="C121" s="7" t="s">
        <v>112</v>
      </c>
      <c r="D121" s="8"/>
      <c r="E121" s="9">
        <f>STATS1003B!E128/1000</f>
        <v>6962.8410000000003</v>
      </c>
      <c r="F121" s="9">
        <f>STATS1003B!F128/1000</f>
        <v>6962.8410000000003</v>
      </c>
      <c r="G121" s="9">
        <f>STATS1003B!G128/1000</f>
        <v>0</v>
      </c>
      <c r="H121" s="9">
        <f>STATS1003B!H128/1000</f>
        <v>6962.8410000000003</v>
      </c>
      <c r="I121" s="9">
        <f>STATS1003B!I128/1000</f>
        <v>0</v>
      </c>
      <c r="J121" s="9">
        <f>STATS1003B!J128/1000</f>
        <v>0</v>
      </c>
      <c r="K121" s="9">
        <f>STATS1003B!K128/1000</f>
        <v>0</v>
      </c>
      <c r="L121" s="9">
        <f>STATS1003B!L128/1000</f>
        <v>0</v>
      </c>
      <c r="M121" s="9">
        <f>STATS1003B!M128/1000</f>
        <v>6962.8410000000003</v>
      </c>
      <c r="N121" s="9">
        <f>STATS1003B!N128/1000</f>
        <v>0</v>
      </c>
      <c r="O121" s="9">
        <f>STATS1003B!O128/1000</f>
        <v>0</v>
      </c>
      <c r="P121" s="9">
        <f>STATS1003B!P128/1000</f>
        <v>0</v>
      </c>
      <c r="Q121" s="9">
        <f>STATS1003B!Q128/1000</f>
        <v>0</v>
      </c>
      <c r="R121" s="9">
        <f>STATS1003B!R128/1000</f>
        <v>0</v>
      </c>
      <c r="S121" s="9">
        <f>STATS1003B!S128/1000</f>
        <v>0</v>
      </c>
      <c r="T121" s="9">
        <f>STATS1003B!T128/1000</f>
        <v>0</v>
      </c>
      <c r="U121" s="9">
        <f>STATS1003B!U128/1000</f>
        <v>0</v>
      </c>
      <c r="V121" s="9">
        <f>STATS1003B!V128/1000</f>
        <v>6962.8410000000003</v>
      </c>
      <c r="W121" s="9">
        <f>STATS1003B!W128/1000</f>
        <v>0</v>
      </c>
      <c r="X121" s="9">
        <f>STATS1003B!X128/1000</f>
        <v>6962.8410000000003</v>
      </c>
      <c r="Y121" s="9">
        <f>STATS1003B!Y128/1000</f>
        <v>0</v>
      </c>
      <c r="Z121" s="9">
        <f>STATS1003B!Z128/1000</f>
        <v>0</v>
      </c>
      <c r="AA121" s="9">
        <f>STATS1003B!AA128/1000</f>
        <v>6962.8410000000003</v>
      </c>
      <c r="AB121" s="9">
        <f>STATS1003B!AB128/1000</f>
        <v>0</v>
      </c>
    </row>
    <row r="122" spans="1:28" x14ac:dyDescent="0.35">
      <c r="A122" s="36"/>
      <c r="B122" s="6"/>
      <c r="C122" s="8"/>
      <c r="D122" s="8"/>
      <c r="E122" s="17" t="s">
        <v>29</v>
      </c>
      <c r="F122" s="17" t="s">
        <v>29</v>
      </c>
      <c r="G122" s="17" t="s">
        <v>29</v>
      </c>
      <c r="H122" s="17" t="s">
        <v>29</v>
      </c>
      <c r="I122" s="17" t="s">
        <v>29</v>
      </c>
      <c r="J122" s="17" t="s">
        <v>29</v>
      </c>
      <c r="K122" s="17" t="s">
        <v>29</v>
      </c>
      <c r="L122" s="17" t="s">
        <v>29</v>
      </c>
      <c r="M122" s="17" t="s">
        <v>29</v>
      </c>
      <c r="N122" s="17" t="s">
        <v>29</v>
      </c>
      <c r="O122" s="17" t="s">
        <v>29</v>
      </c>
      <c r="P122" s="17" t="s">
        <v>29</v>
      </c>
      <c r="Q122" s="17" t="s">
        <v>29</v>
      </c>
      <c r="R122" s="17" t="s">
        <v>29</v>
      </c>
      <c r="S122" s="17" t="s">
        <v>29</v>
      </c>
      <c r="T122" s="17" t="s">
        <v>29</v>
      </c>
      <c r="U122" s="17" t="s">
        <v>29</v>
      </c>
      <c r="V122" s="17" t="s">
        <v>29</v>
      </c>
      <c r="W122" s="17" t="s">
        <v>29</v>
      </c>
      <c r="X122" s="17" t="s">
        <v>29</v>
      </c>
      <c r="Y122" s="17" t="s">
        <v>29</v>
      </c>
      <c r="Z122" s="17" t="s">
        <v>29</v>
      </c>
      <c r="AA122" s="17" t="s">
        <v>29</v>
      </c>
      <c r="AB122" s="17" t="s">
        <v>29</v>
      </c>
    </row>
    <row r="123" spans="1:28" x14ac:dyDescent="0.35">
      <c r="A123" s="36"/>
      <c r="B123" s="6"/>
      <c r="C123" s="8"/>
      <c r="D123" s="8"/>
      <c r="E123" s="9">
        <f t="shared" ref="E123:AB123" si="5">SUM(E104:E121)</f>
        <v>126424.70746000001</v>
      </c>
      <c r="F123" s="9">
        <f t="shared" si="5"/>
        <v>103295.05720000001</v>
      </c>
      <c r="G123" s="9">
        <f t="shared" si="5"/>
        <v>0</v>
      </c>
      <c r="H123" s="9">
        <f t="shared" si="5"/>
        <v>103295.05720000001</v>
      </c>
      <c r="I123" s="9">
        <f t="shared" si="5"/>
        <v>0</v>
      </c>
      <c r="J123" s="9">
        <f t="shared" si="5"/>
        <v>0</v>
      </c>
      <c r="K123" s="9">
        <f t="shared" si="5"/>
        <v>0</v>
      </c>
      <c r="L123" s="9">
        <f t="shared" si="5"/>
        <v>0</v>
      </c>
      <c r="M123" s="9">
        <f t="shared" si="5"/>
        <v>103295.05720000001</v>
      </c>
      <c r="N123" s="9">
        <f t="shared" si="5"/>
        <v>20027.297580000002</v>
      </c>
      <c r="O123" s="9">
        <f t="shared" si="5"/>
        <v>0</v>
      </c>
      <c r="P123" s="9">
        <f t="shared" si="5"/>
        <v>20027.297580000002</v>
      </c>
      <c r="Q123" s="9">
        <f t="shared" si="5"/>
        <v>0</v>
      </c>
      <c r="R123" s="9">
        <f t="shared" si="5"/>
        <v>0</v>
      </c>
      <c r="S123" s="9">
        <f t="shared" si="5"/>
        <v>0</v>
      </c>
      <c r="T123" s="9">
        <f t="shared" si="5"/>
        <v>0</v>
      </c>
      <c r="U123" s="9">
        <f t="shared" si="5"/>
        <v>20027.297580000002</v>
      </c>
      <c r="V123" s="9">
        <f t="shared" si="5"/>
        <v>123028.05157</v>
      </c>
      <c r="W123" s="9">
        <f t="shared" si="5"/>
        <v>3102.3526799999995</v>
      </c>
      <c r="X123" s="9">
        <f t="shared" si="5"/>
        <v>123322.35478000001</v>
      </c>
      <c r="Y123" s="9">
        <f t="shared" si="5"/>
        <v>0</v>
      </c>
      <c r="Z123" s="9">
        <f t="shared" si="5"/>
        <v>3102.3526799999995</v>
      </c>
      <c r="AA123" s="9">
        <f t="shared" si="5"/>
        <v>123322.35478000001</v>
      </c>
      <c r="AB123" s="9">
        <f t="shared" si="5"/>
        <v>3102.3526799999995</v>
      </c>
    </row>
    <row r="124" spans="1:28" x14ac:dyDescent="0.35">
      <c r="A124" s="36"/>
      <c r="B124" s="6"/>
      <c r="C124" s="8"/>
      <c r="D124" s="8"/>
      <c r="E124" s="17" t="s">
        <v>29</v>
      </c>
      <c r="F124" s="17" t="s">
        <v>29</v>
      </c>
      <c r="G124" s="17" t="s">
        <v>29</v>
      </c>
      <c r="H124" s="17" t="s">
        <v>29</v>
      </c>
      <c r="I124" s="17" t="s">
        <v>29</v>
      </c>
      <c r="J124" s="17" t="s">
        <v>29</v>
      </c>
      <c r="K124" s="17" t="s">
        <v>29</v>
      </c>
      <c r="L124" s="17" t="s">
        <v>29</v>
      </c>
      <c r="M124" s="17" t="s">
        <v>29</v>
      </c>
      <c r="N124" s="17" t="s">
        <v>29</v>
      </c>
      <c r="O124" s="17" t="s">
        <v>29</v>
      </c>
      <c r="P124" s="17" t="s">
        <v>29</v>
      </c>
      <c r="Q124" s="17" t="s">
        <v>29</v>
      </c>
      <c r="R124" s="17" t="s">
        <v>29</v>
      </c>
      <c r="S124" s="17" t="s">
        <v>29</v>
      </c>
      <c r="T124" s="17" t="s">
        <v>29</v>
      </c>
      <c r="U124" s="17" t="s">
        <v>29</v>
      </c>
      <c r="V124" s="17" t="s">
        <v>29</v>
      </c>
      <c r="W124" s="17" t="s">
        <v>29</v>
      </c>
      <c r="X124" s="17" t="s">
        <v>29</v>
      </c>
      <c r="Y124" s="17" t="s">
        <v>29</v>
      </c>
      <c r="Z124" s="17" t="s">
        <v>29</v>
      </c>
      <c r="AA124" s="17" t="s">
        <v>29</v>
      </c>
      <c r="AB124" s="17" t="s">
        <v>29</v>
      </c>
    </row>
    <row r="125" spans="1:28" x14ac:dyDescent="0.35">
      <c r="A125" s="36"/>
      <c r="B125" s="6"/>
      <c r="C125" s="7" t="s">
        <v>113</v>
      </c>
      <c r="D125" s="8"/>
      <c r="E125" s="9">
        <f t="shared" ref="E125:AB125" si="6">E123+E101+E87+E64+E41+E21</f>
        <v>349467.34629000002</v>
      </c>
      <c r="F125" s="9">
        <f t="shared" si="6"/>
        <v>268688.42498000001</v>
      </c>
      <c r="G125" s="9">
        <f t="shared" si="6"/>
        <v>0</v>
      </c>
      <c r="H125" s="9">
        <f t="shared" si="6"/>
        <v>268688.42498000001</v>
      </c>
      <c r="I125" s="9">
        <f t="shared" si="6"/>
        <v>1122</v>
      </c>
      <c r="J125" s="9">
        <f t="shared" si="6"/>
        <v>1122</v>
      </c>
      <c r="K125" s="9">
        <f t="shared" si="6"/>
        <v>0</v>
      </c>
      <c r="L125" s="9">
        <f t="shared" si="6"/>
        <v>0</v>
      </c>
      <c r="M125" s="9">
        <f t="shared" si="6"/>
        <v>268688.42498000001</v>
      </c>
      <c r="N125" s="9">
        <f t="shared" si="6"/>
        <v>75916.920410000006</v>
      </c>
      <c r="O125" s="9">
        <f t="shared" si="6"/>
        <v>0</v>
      </c>
      <c r="P125" s="9">
        <f t="shared" si="6"/>
        <v>75916.920410000006</v>
      </c>
      <c r="Q125" s="9">
        <f t="shared" si="6"/>
        <v>0</v>
      </c>
      <c r="R125" s="9">
        <f t="shared" si="6"/>
        <v>0</v>
      </c>
      <c r="S125" s="9">
        <f t="shared" si="6"/>
        <v>31.498429999999999</v>
      </c>
      <c r="T125" s="9">
        <f t="shared" si="6"/>
        <v>29.618009999999998</v>
      </c>
      <c r="U125" s="9">
        <f t="shared" si="6"/>
        <v>75946.538420000012</v>
      </c>
      <c r="V125" s="9">
        <f t="shared" si="6"/>
        <v>342520.23272999993</v>
      </c>
      <c r="W125" s="9">
        <f t="shared" si="6"/>
        <v>4862.0008999999991</v>
      </c>
      <c r="X125" s="9">
        <f t="shared" si="6"/>
        <v>344605.34538999997</v>
      </c>
      <c r="Y125" s="9">
        <f t="shared" si="6"/>
        <v>0</v>
      </c>
      <c r="Z125" s="9">
        <f t="shared" si="6"/>
        <v>4862.0008999999991</v>
      </c>
      <c r="AA125" s="9">
        <f t="shared" si="6"/>
        <v>344634.96339999995</v>
      </c>
      <c r="AB125" s="9">
        <f t="shared" si="6"/>
        <v>4832.382889999999</v>
      </c>
    </row>
    <row r="126" spans="1:28" x14ac:dyDescent="0.35">
      <c r="A126" s="36"/>
      <c r="B126" s="6"/>
      <c r="C126" s="8"/>
      <c r="D126" s="8"/>
      <c r="E126" s="17" t="s">
        <v>114</v>
      </c>
      <c r="F126" s="17" t="s">
        <v>114</v>
      </c>
      <c r="G126" s="17" t="s">
        <v>114</v>
      </c>
      <c r="H126" s="17" t="s">
        <v>114</v>
      </c>
      <c r="I126" s="17" t="s">
        <v>114</v>
      </c>
      <c r="J126" s="17" t="s">
        <v>114</v>
      </c>
      <c r="K126" s="17" t="s">
        <v>114</v>
      </c>
      <c r="L126" s="17" t="s">
        <v>114</v>
      </c>
      <c r="M126" s="17" t="s">
        <v>114</v>
      </c>
      <c r="N126" s="17" t="s">
        <v>114</v>
      </c>
      <c r="O126" s="17" t="s">
        <v>114</v>
      </c>
      <c r="P126" s="17" t="s">
        <v>114</v>
      </c>
      <c r="Q126" s="17" t="s">
        <v>114</v>
      </c>
      <c r="R126" s="17" t="s">
        <v>114</v>
      </c>
      <c r="S126" s="17" t="s">
        <v>114</v>
      </c>
      <c r="T126" s="17" t="s">
        <v>114</v>
      </c>
      <c r="U126" s="17" t="s">
        <v>114</v>
      </c>
      <c r="V126" s="17" t="s">
        <v>114</v>
      </c>
      <c r="W126" s="17" t="s">
        <v>114</v>
      </c>
      <c r="X126" s="17" t="s">
        <v>114</v>
      </c>
      <c r="Y126" s="17" t="s">
        <v>114</v>
      </c>
      <c r="Z126" s="17" t="s">
        <v>114</v>
      </c>
      <c r="AA126" s="17" t="s">
        <v>114</v>
      </c>
      <c r="AB126" s="17" t="s">
        <v>114</v>
      </c>
    </row>
    <row r="127" spans="1:28" x14ac:dyDescent="0.35">
      <c r="A127" s="36"/>
      <c r="B127" s="7" t="s">
        <v>115</v>
      </c>
      <c r="C127" s="6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8" x14ac:dyDescent="0.35">
      <c r="A128" s="36"/>
      <c r="B128" s="6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8" x14ac:dyDescent="0.35">
      <c r="A129" s="38" t="s">
        <v>940</v>
      </c>
      <c r="B129" s="7" t="s">
        <v>116</v>
      </c>
      <c r="C129" s="6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8" x14ac:dyDescent="0.35">
      <c r="A130" s="36"/>
      <c r="B130" s="6"/>
      <c r="C130" s="7" t="s">
        <v>75</v>
      </c>
      <c r="D130" s="21" t="s">
        <v>76</v>
      </c>
      <c r="E130" s="9">
        <f>STATS1003B!E137/1000</f>
        <v>6387</v>
      </c>
      <c r="F130" s="9">
        <f>STATS1003B!F137/1000</f>
        <v>0</v>
      </c>
      <c r="G130" s="9">
        <f>STATS1003B!G137/1000</f>
        <v>0</v>
      </c>
      <c r="H130" s="9">
        <f>STATS1003B!H137/1000</f>
        <v>0</v>
      </c>
      <c r="I130" s="9">
        <f>STATS1003B!I137/1000</f>
        <v>0</v>
      </c>
      <c r="J130" s="9">
        <f>STATS1003B!J137/1000</f>
        <v>0</v>
      </c>
      <c r="K130" s="9">
        <f>STATS1003B!K137/1000</f>
        <v>0</v>
      </c>
      <c r="L130" s="9">
        <f>STATS1003B!L137/1000</f>
        <v>0</v>
      </c>
      <c r="M130" s="9">
        <f>STATS1003B!M137/1000</f>
        <v>0</v>
      </c>
      <c r="N130" s="9">
        <f>STATS1003B!N137/1000</f>
        <v>4670.8686399999997</v>
      </c>
      <c r="O130" s="9">
        <f>STATS1003B!O137/1000</f>
        <v>0</v>
      </c>
      <c r="P130" s="9">
        <f>STATS1003B!P137/1000</f>
        <v>4670.8686399999997</v>
      </c>
      <c r="Q130" s="9">
        <f>STATS1003B!Q137/1000</f>
        <v>0</v>
      </c>
      <c r="R130" s="9">
        <f>STATS1003B!R137/1000</f>
        <v>0</v>
      </c>
      <c r="S130" s="9">
        <f>STATS1003B!S137/1000</f>
        <v>0</v>
      </c>
      <c r="T130" s="9">
        <f>STATS1003B!T137/1000</f>
        <v>0</v>
      </c>
      <c r="U130" s="9">
        <f>STATS1003B!U137/1000</f>
        <v>4670.8686399999997</v>
      </c>
      <c r="V130" s="9">
        <f>STATS1003B!V137/1000</f>
        <v>4670.8686399999997</v>
      </c>
      <c r="W130" s="9">
        <f>STATS1003B!W137/1000</f>
        <v>1716.1313600000003</v>
      </c>
      <c r="X130" s="9">
        <f>STATS1003B!X137/1000</f>
        <v>4670.8686399999997</v>
      </c>
      <c r="Y130" s="9">
        <f>STATS1003B!Y137/1000</f>
        <v>0</v>
      </c>
      <c r="Z130" s="9">
        <f>STATS1003B!Z137/1000</f>
        <v>1716.1313600000003</v>
      </c>
      <c r="AA130" s="9">
        <f>STATS1003B!AA137/1000</f>
        <v>4670.8686399999997</v>
      </c>
      <c r="AB130" s="9">
        <f>STATS1003B!AB137/1000</f>
        <v>1716.1313600000003</v>
      </c>
    </row>
    <row r="131" spans="1:28" x14ac:dyDescent="0.35">
      <c r="A131" s="36"/>
      <c r="B131" s="6"/>
      <c r="C131" s="7" t="s">
        <v>57</v>
      </c>
      <c r="D131" s="15" t="s">
        <v>117</v>
      </c>
      <c r="E131" s="9">
        <f>STATS1003B!E138/1000</f>
        <v>13658.036539999999</v>
      </c>
      <c r="F131" s="9">
        <f>STATS1003B!F138/1000</f>
        <v>13354.002779999999</v>
      </c>
      <c r="G131" s="9">
        <f>STATS1003B!G138/1000</f>
        <v>0</v>
      </c>
      <c r="H131" s="9">
        <f>STATS1003B!H138/1000</f>
        <v>13354.002779999999</v>
      </c>
      <c r="I131" s="9">
        <f>STATS1003B!I138/1000</f>
        <v>0</v>
      </c>
      <c r="J131" s="9">
        <f>STATS1003B!J138/1000</f>
        <v>0</v>
      </c>
      <c r="K131" s="9">
        <f>STATS1003B!K138/1000</f>
        <v>0</v>
      </c>
      <c r="L131" s="9">
        <f>STATS1003B!L138/1000</f>
        <v>0</v>
      </c>
      <c r="M131" s="9">
        <f>STATS1003B!M138/1000</f>
        <v>13354.002779999999</v>
      </c>
      <c r="N131" s="9">
        <f>STATS1003B!N138/1000</f>
        <v>304.03376000000003</v>
      </c>
      <c r="O131" s="9">
        <f>STATS1003B!O138/1000</f>
        <v>0</v>
      </c>
      <c r="P131" s="9">
        <f>STATS1003B!P138/1000</f>
        <v>304.03376000000003</v>
      </c>
      <c r="Q131" s="9">
        <f>STATS1003B!Q138/1000</f>
        <v>0</v>
      </c>
      <c r="R131" s="9">
        <f>STATS1003B!R138/1000</f>
        <v>0</v>
      </c>
      <c r="S131" s="9">
        <f>STATS1003B!S138/1000</f>
        <v>0</v>
      </c>
      <c r="T131" s="9">
        <f>STATS1003B!T138/1000</f>
        <v>0</v>
      </c>
      <c r="U131" s="9">
        <f>STATS1003B!U138/1000</f>
        <v>304.03376000000003</v>
      </c>
      <c r="V131" s="9">
        <f>STATS1003B!V138/1000</f>
        <v>13658.036539999999</v>
      </c>
      <c r="W131" s="9">
        <f>STATS1003B!W138/1000</f>
        <v>0</v>
      </c>
      <c r="X131" s="9">
        <f>STATS1003B!X138/1000</f>
        <v>13658.036539999999</v>
      </c>
      <c r="Y131" s="9">
        <f>STATS1003B!Y138/1000</f>
        <v>0</v>
      </c>
      <c r="Z131" s="9">
        <f>STATS1003B!Z138/1000</f>
        <v>0</v>
      </c>
      <c r="AA131" s="9">
        <f>STATS1003B!AA138/1000</f>
        <v>13658.036539999999</v>
      </c>
      <c r="AB131" s="9">
        <f>STATS1003B!AB138/1000</f>
        <v>0</v>
      </c>
    </row>
    <row r="132" spans="1:28" x14ac:dyDescent="0.35">
      <c r="A132" s="36"/>
      <c r="B132" s="6"/>
      <c r="C132" s="7" t="s">
        <v>118</v>
      </c>
      <c r="D132" s="15" t="s">
        <v>119</v>
      </c>
      <c r="E132" s="9">
        <f>STATS1003B!E139/1000</f>
        <v>695</v>
      </c>
      <c r="F132" s="9">
        <f>STATS1003B!F139/1000</f>
        <v>695</v>
      </c>
      <c r="G132" s="9">
        <f>STATS1003B!G139/1000</f>
        <v>0</v>
      </c>
      <c r="H132" s="9">
        <f>STATS1003B!H139/1000</f>
        <v>695</v>
      </c>
      <c r="I132" s="9">
        <f>STATS1003B!I139/1000</f>
        <v>0</v>
      </c>
      <c r="J132" s="9">
        <f>STATS1003B!J139/1000</f>
        <v>0</v>
      </c>
      <c r="K132" s="9">
        <f>STATS1003B!K139/1000</f>
        <v>0</v>
      </c>
      <c r="L132" s="9">
        <f>STATS1003B!L139/1000</f>
        <v>0</v>
      </c>
      <c r="M132" s="9">
        <f>STATS1003B!M139/1000</f>
        <v>695</v>
      </c>
      <c r="N132" s="9">
        <f>STATS1003B!N139/1000</f>
        <v>0</v>
      </c>
      <c r="O132" s="9">
        <f>STATS1003B!O139/1000</f>
        <v>0</v>
      </c>
      <c r="P132" s="9">
        <f>STATS1003B!P139/1000</f>
        <v>0</v>
      </c>
      <c r="Q132" s="9">
        <f>STATS1003B!Q139/1000</f>
        <v>0</v>
      </c>
      <c r="R132" s="9">
        <f>STATS1003B!R139/1000</f>
        <v>0</v>
      </c>
      <c r="S132" s="9">
        <f>STATS1003B!S139/1000</f>
        <v>0</v>
      </c>
      <c r="T132" s="9">
        <f>STATS1003B!T139/1000</f>
        <v>0</v>
      </c>
      <c r="U132" s="9">
        <f>STATS1003B!U139/1000</f>
        <v>0</v>
      </c>
      <c r="V132" s="9">
        <f>STATS1003B!V139/1000</f>
        <v>695</v>
      </c>
      <c r="W132" s="9">
        <f>STATS1003B!W139/1000</f>
        <v>0</v>
      </c>
      <c r="X132" s="9">
        <f>STATS1003B!X139/1000</f>
        <v>695</v>
      </c>
      <c r="Y132" s="9">
        <f>STATS1003B!Y139/1000</f>
        <v>0</v>
      </c>
      <c r="Z132" s="9">
        <f>STATS1003B!Z139/1000</f>
        <v>0</v>
      </c>
      <c r="AA132" s="9">
        <f>STATS1003B!AA139/1000</f>
        <v>695</v>
      </c>
      <c r="AB132" s="9">
        <f>STATS1003B!AB139/1000</f>
        <v>0</v>
      </c>
    </row>
    <row r="133" spans="1:28" x14ac:dyDescent="0.35">
      <c r="A133" s="36"/>
      <c r="B133" s="6"/>
      <c r="C133" s="7" t="s">
        <v>53</v>
      </c>
      <c r="D133" s="15" t="s">
        <v>68</v>
      </c>
      <c r="E133" s="9">
        <f>STATS1003B!E140/1000</f>
        <v>1953.989</v>
      </c>
      <c r="F133" s="9">
        <f>STATS1003B!F140/1000</f>
        <v>0</v>
      </c>
      <c r="G133" s="9">
        <f>STATS1003B!G140/1000</f>
        <v>0</v>
      </c>
      <c r="H133" s="9">
        <f>STATS1003B!H140/1000</f>
        <v>0</v>
      </c>
      <c r="I133" s="9">
        <f>STATS1003B!I140/1000</f>
        <v>0</v>
      </c>
      <c r="J133" s="9">
        <f>STATS1003B!J140/1000</f>
        <v>0</v>
      </c>
      <c r="K133" s="9">
        <f>STATS1003B!K140/1000</f>
        <v>0</v>
      </c>
      <c r="L133" s="9">
        <f>STATS1003B!L140/1000</f>
        <v>0</v>
      </c>
      <c r="M133" s="9">
        <f>STATS1003B!M140/1000</f>
        <v>0</v>
      </c>
      <c r="N133" s="9">
        <f>STATS1003B!N140/1000</f>
        <v>1953.989</v>
      </c>
      <c r="O133" s="9">
        <f>STATS1003B!O140/1000</f>
        <v>0</v>
      </c>
      <c r="P133" s="9">
        <f>STATS1003B!P140/1000</f>
        <v>1953.989</v>
      </c>
      <c r="Q133" s="9">
        <f>STATS1003B!Q140/1000</f>
        <v>0</v>
      </c>
      <c r="R133" s="9">
        <f>STATS1003B!R140/1000</f>
        <v>0</v>
      </c>
      <c r="S133" s="9">
        <f>STATS1003B!S140/1000</f>
        <v>0</v>
      </c>
      <c r="T133" s="9">
        <f>STATS1003B!T140/1000</f>
        <v>0</v>
      </c>
      <c r="U133" s="9">
        <f>STATS1003B!U140/1000</f>
        <v>1953.989</v>
      </c>
      <c r="V133" s="9">
        <f>STATS1003B!V140/1000</f>
        <v>1953.989</v>
      </c>
      <c r="W133" s="9">
        <f>STATS1003B!W140/1000</f>
        <v>0</v>
      </c>
      <c r="X133" s="9">
        <f>STATS1003B!X140/1000</f>
        <v>1953.989</v>
      </c>
      <c r="Y133" s="9">
        <f>STATS1003B!Y140/1000</f>
        <v>0</v>
      </c>
      <c r="Z133" s="9">
        <f>STATS1003B!Z140/1000</f>
        <v>0</v>
      </c>
      <c r="AA133" s="9">
        <f>STATS1003B!AA140/1000</f>
        <v>1953.989</v>
      </c>
      <c r="AB133" s="9">
        <f>STATS1003B!AB140/1000</f>
        <v>0</v>
      </c>
    </row>
    <row r="134" spans="1:28" x14ac:dyDescent="0.35">
      <c r="A134" s="36"/>
      <c r="B134" s="6"/>
      <c r="C134" s="7" t="s">
        <v>55</v>
      </c>
      <c r="D134" s="15" t="s">
        <v>54</v>
      </c>
      <c r="E134" s="9">
        <f>STATS1003B!E141/1000</f>
        <v>207.78731999999999</v>
      </c>
      <c r="F134" s="9">
        <f>STATS1003B!F141/1000</f>
        <v>0</v>
      </c>
      <c r="G134" s="9">
        <f>STATS1003B!G141/1000</f>
        <v>0</v>
      </c>
      <c r="H134" s="9">
        <f>STATS1003B!H141/1000</f>
        <v>0</v>
      </c>
      <c r="I134" s="9">
        <f>STATS1003B!I141/1000</f>
        <v>0</v>
      </c>
      <c r="J134" s="9">
        <f>STATS1003B!J141/1000</f>
        <v>0</v>
      </c>
      <c r="K134" s="9">
        <f>STATS1003B!K141/1000</f>
        <v>0</v>
      </c>
      <c r="L134" s="9">
        <f>STATS1003B!L141/1000</f>
        <v>0</v>
      </c>
      <c r="M134" s="9">
        <f>STATS1003B!M141/1000</f>
        <v>0</v>
      </c>
      <c r="N134" s="9">
        <f>STATS1003B!N141/1000</f>
        <v>207.78731999999999</v>
      </c>
      <c r="O134" s="9">
        <f>STATS1003B!O141/1000</f>
        <v>0</v>
      </c>
      <c r="P134" s="9">
        <f>STATS1003B!P141/1000</f>
        <v>207.78731999999999</v>
      </c>
      <c r="Q134" s="9">
        <f>STATS1003B!Q141/1000</f>
        <v>0</v>
      </c>
      <c r="R134" s="9">
        <f>STATS1003B!R141/1000</f>
        <v>0</v>
      </c>
      <c r="S134" s="9">
        <f>STATS1003B!S141/1000</f>
        <v>0</v>
      </c>
      <c r="T134" s="9">
        <f>STATS1003B!T141/1000</f>
        <v>0</v>
      </c>
      <c r="U134" s="9">
        <f>STATS1003B!U141/1000</f>
        <v>207.78731999999999</v>
      </c>
      <c r="V134" s="9">
        <f>STATS1003B!V141/1000</f>
        <v>207.78731999999999</v>
      </c>
      <c r="W134" s="9">
        <f>STATS1003B!W141/1000</f>
        <v>0</v>
      </c>
      <c r="X134" s="9">
        <f>STATS1003B!X141/1000</f>
        <v>207.78731999999999</v>
      </c>
      <c r="Y134" s="9">
        <f>STATS1003B!Y141/1000</f>
        <v>0</v>
      </c>
      <c r="Z134" s="9">
        <f>STATS1003B!Z141/1000</f>
        <v>0</v>
      </c>
      <c r="AA134" s="9">
        <f>STATS1003B!AA141/1000</f>
        <v>207.78731999999999</v>
      </c>
      <c r="AB134" s="9">
        <f>STATS1003B!AB141/1000</f>
        <v>0</v>
      </c>
    </row>
    <row r="135" spans="1:28" x14ac:dyDescent="0.35">
      <c r="A135" s="36"/>
      <c r="B135" s="6"/>
      <c r="C135" s="7" t="s">
        <v>120</v>
      </c>
      <c r="D135" s="15" t="s">
        <v>85</v>
      </c>
      <c r="E135" s="9">
        <f>STATS1003B!E142/1000</f>
        <v>2000</v>
      </c>
      <c r="F135" s="9">
        <f>STATS1003B!F142/1000</f>
        <v>2000</v>
      </c>
      <c r="G135" s="9">
        <f>STATS1003B!G142/1000</f>
        <v>0</v>
      </c>
      <c r="H135" s="9">
        <f>STATS1003B!H142/1000</f>
        <v>2000</v>
      </c>
      <c r="I135" s="9">
        <f>STATS1003B!I142/1000</f>
        <v>0</v>
      </c>
      <c r="J135" s="9">
        <f>STATS1003B!J142/1000</f>
        <v>0</v>
      </c>
      <c r="K135" s="9">
        <f>STATS1003B!K142/1000</f>
        <v>0</v>
      </c>
      <c r="L135" s="9">
        <f>STATS1003B!L142/1000</f>
        <v>0</v>
      </c>
      <c r="M135" s="9">
        <f>STATS1003B!M142/1000</f>
        <v>2000</v>
      </c>
      <c r="N135" s="9">
        <f>STATS1003B!N142/1000</f>
        <v>0</v>
      </c>
      <c r="O135" s="9">
        <f>STATS1003B!O142/1000</f>
        <v>0</v>
      </c>
      <c r="P135" s="9">
        <f>STATS1003B!P142/1000</f>
        <v>0</v>
      </c>
      <c r="Q135" s="9">
        <f>STATS1003B!Q142/1000</f>
        <v>0</v>
      </c>
      <c r="R135" s="9">
        <f>STATS1003B!R142/1000</f>
        <v>0</v>
      </c>
      <c r="S135" s="9">
        <f>STATS1003B!S142/1000</f>
        <v>0</v>
      </c>
      <c r="T135" s="9">
        <f>STATS1003B!T142/1000</f>
        <v>0</v>
      </c>
      <c r="U135" s="9">
        <f>STATS1003B!U142/1000</f>
        <v>0</v>
      </c>
      <c r="V135" s="9">
        <f>STATS1003B!V142/1000</f>
        <v>2000</v>
      </c>
      <c r="W135" s="9">
        <f>STATS1003B!W142/1000</f>
        <v>0</v>
      </c>
      <c r="X135" s="9">
        <f>STATS1003B!X142/1000</f>
        <v>2000</v>
      </c>
      <c r="Y135" s="9">
        <f>STATS1003B!Y142/1000</f>
        <v>0</v>
      </c>
      <c r="Z135" s="9">
        <f>STATS1003B!Z142/1000</f>
        <v>0</v>
      </c>
      <c r="AA135" s="9">
        <f>STATS1003B!AA142/1000</f>
        <v>2000</v>
      </c>
      <c r="AB135" s="9">
        <f>STATS1003B!AB142/1000</f>
        <v>0</v>
      </c>
    </row>
    <row r="136" spans="1:28" x14ac:dyDescent="0.35">
      <c r="A136" s="36"/>
      <c r="B136" s="6"/>
      <c r="C136" s="7" t="s">
        <v>57</v>
      </c>
      <c r="D136" s="15" t="s">
        <v>58</v>
      </c>
      <c r="E136" s="9">
        <f>STATS1003B!E143/1000</f>
        <v>2090.44</v>
      </c>
      <c r="F136" s="9">
        <f>STATS1003B!F143/1000</f>
        <v>2090.44</v>
      </c>
      <c r="G136" s="9">
        <f>STATS1003B!G143/1000</f>
        <v>0</v>
      </c>
      <c r="H136" s="9">
        <f>STATS1003B!H143/1000</f>
        <v>2090.44</v>
      </c>
      <c r="I136" s="9">
        <f>STATS1003B!I143/1000</f>
        <v>0</v>
      </c>
      <c r="J136" s="9">
        <f>STATS1003B!J143/1000</f>
        <v>0</v>
      </c>
      <c r="K136" s="9">
        <f>STATS1003B!K143/1000</f>
        <v>0</v>
      </c>
      <c r="L136" s="9">
        <f>STATS1003B!L143/1000</f>
        <v>0</v>
      </c>
      <c r="M136" s="9">
        <f>STATS1003B!M143/1000</f>
        <v>2090.44</v>
      </c>
      <c r="N136" s="9">
        <f>STATS1003B!N143/1000</f>
        <v>0</v>
      </c>
      <c r="O136" s="9">
        <f>STATS1003B!O143/1000</f>
        <v>0</v>
      </c>
      <c r="P136" s="9">
        <f>STATS1003B!P143/1000</f>
        <v>0</v>
      </c>
      <c r="Q136" s="9">
        <f>STATS1003B!Q143/1000</f>
        <v>0</v>
      </c>
      <c r="R136" s="9">
        <f>STATS1003B!R143/1000</f>
        <v>0</v>
      </c>
      <c r="S136" s="9">
        <f>STATS1003B!S143/1000</f>
        <v>0</v>
      </c>
      <c r="T136" s="9">
        <f>STATS1003B!T143/1000</f>
        <v>0</v>
      </c>
      <c r="U136" s="9">
        <f>STATS1003B!U143/1000</f>
        <v>0</v>
      </c>
      <c r="V136" s="9">
        <f>STATS1003B!V143/1000</f>
        <v>2090.44</v>
      </c>
      <c r="W136" s="9">
        <f>STATS1003B!W143/1000</f>
        <v>0</v>
      </c>
      <c r="X136" s="9">
        <f>STATS1003B!X143/1000</f>
        <v>2090.44</v>
      </c>
      <c r="Y136" s="9">
        <f>STATS1003B!Y143/1000</f>
        <v>0</v>
      </c>
      <c r="Z136" s="9">
        <f>STATS1003B!Z143/1000</f>
        <v>0</v>
      </c>
      <c r="AA136" s="9">
        <f>STATS1003B!AA143/1000</f>
        <v>2090.44</v>
      </c>
      <c r="AB136" s="9">
        <f>STATS1003B!AB143/1000</f>
        <v>0</v>
      </c>
    </row>
    <row r="137" spans="1:28" x14ac:dyDescent="0.35">
      <c r="A137" s="36"/>
      <c r="B137" s="6"/>
      <c r="C137" s="14" t="s">
        <v>109</v>
      </c>
      <c r="D137" s="21" t="s">
        <v>60</v>
      </c>
      <c r="E137" s="9">
        <f>STATS1003B!E144/1000</f>
        <v>4943.6064399999996</v>
      </c>
      <c r="F137" s="9">
        <f>STATS1003B!F144/1000</f>
        <v>4943.6064400000005</v>
      </c>
      <c r="G137" s="9">
        <f>STATS1003B!G144/1000</f>
        <v>0</v>
      </c>
      <c r="H137" s="9">
        <f>STATS1003B!H144/1000</f>
        <v>4943.6064400000005</v>
      </c>
      <c r="I137" s="9">
        <f>STATS1003B!I144/1000</f>
        <v>0</v>
      </c>
      <c r="J137" s="9">
        <f>STATS1003B!J144/1000</f>
        <v>0</v>
      </c>
      <c r="K137" s="9">
        <f>STATS1003B!K144/1000</f>
        <v>0</v>
      </c>
      <c r="L137" s="9">
        <f>STATS1003B!L144/1000</f>
        <v>0</v>
      </c>
      <c r="M137" s="9">
        <f>STATS1003B!M144/1000</f>
        <v>4943.6064400000005</v>
      </c>
      <c r="N137" s="9">
        <f>STATS1003B!N144/1000</f>
        <v>0</v>
      </c>
      <c r="O137" s="9">
        <f>STATS1003B!O144/1000</f>
        <v>0</v>
      </c>
      <c r="P137" s="9">
        <f>STATS1003B!P144/1000</f>
        <v>0</v>
      </c>
      <c r="Q137" s="9">
        <f>STATS1003B!Q144/1000</f>
        <v>0</v>
      </c>
      <c r="R137" s="9">
        <f>STATS1003B!R144/1000</f>
        <v>0</v>
      </c>
      <c r="S137" s="9">
        <f>STATS1003B!S144/1000</f>
        <v>0</v>
      </c>
      <c r="T137" s="9">
        <f>STATS1003B!T144/1000</f>
        <v>0</v>
      </c>
      <c r="U137" s="9">
        <f>STATS1003B!U144/1000</f>
        <v>0</v>
      </c>
      <c r="V137" s="9">
        <f>STATS1003B!V144/1000</f>
        <v>4943.6064400000005</v>
      </c>
      <c r="W137" s="9">
        <f>STATS1003B!W144/1000</f>
        <v>0</v>
      </c>
      <c r="X137" s="9">
        <f>STATS1003B!X144/1000</f>
        <v>4943.6064400000005</v>
      </c>
      <c r="Y137" s="9">
        <f>STATS1003B!Y144/1000</f>
        <v>0</v>
      </c>
      <c r="Z137" s="9">
        <f>STATS1003B!Z144/1000</f>
        <v>0</v>
      </c>
      <c r="AA137" s="9">
        <f>STATS1003B!AA144/1000</f>
        <v>4943.6064400000005</v>
      </c>
      <c r="AB137" s="9">
        <f>STATS1003B!AB144/1000</f>
        <v>0</v>
      </c>
    </row>
    <row r="138" spans="1:28" x14ac:dyDescent="0.35">
      <c r="A138" s="36"/>
      <c r="B138" s="6"/>
      <c r="C138" s="14" t="s">
        <v>121</v>
      </c>
      <c r="D138" s="15" t="s">
        <v>73</v>
      </c>
      <c r="E138" s="9">
        <f>STATS1003B!E145/1000</f>
        <v>2500</v>
      </c>
      <c r="F138" s="9">
        <f>STATS1003B!F145/1000</f>
        <v>2500</v>
      </c>
      <c r="G138" s="9">
        <f>STATS1003B!G145/1000</f>
        <v>0</v>
      </c>
      <c r="H138" s="9">
        <f>STATS1003B!H145/1000</f>
        <v>2500</v>
      </c>
      <c r="I138" s="9">
        <f>STATS1003B!I145/1000</f>
        <v>0</v>
      </c>
      <c r="J138" s="9">
        <f>STATS1003B!J145/1000</f>
        <v>0</v>
      </c>
      <c r="K138" s="9">
        <f>STATS1003B!K145/1000</f>
        <v>0</v>
      </c>
      <c r="L138" s="9">
        <f>STATS1003B!L145/1000</f>
        <v>0</v>
      </c>
      <c r="M138" s="9">
        <f>STATS1003B!M145/1000</f>
        <v>2500</v>
      </c>
      <c r="N138" s="9">
        <f>STATS1003B!N145/1000</f>
        <v>0</v>
      </c>
      <c r="O138" s="9">
        <f>STATS1003B!O145/1000</f>
        <v>0</v>
      </c>
      <c r="P138" s="9">
        <f>STATS1003B!P145/1000</f>
        <v>0</v>
      </c>
      <c r="Q138" s="9">
        <f>STATS1003B!Q145/1000</f>
        <v>0</v>
      </c>
      <c r="R138" s="9">
        <f>STATS1003B!R145/1000</f>
        <v>0</v>
      </c>
      <c r="S138" s="9">
        <f>STATS1003B!S145/1000</f>
        <v>0</v>
      </c>
      <c r="T138" s="9">
        <f>STATS1003B!T145/1000</f>
        <v>0</v>
      </c>
      <c r="U138" s="9">
        <f>STATS1003B!U145/1000</f>
        <v>0</v>
      </c>
      <c r="V138" s="9">
        <f>STATS1003B!V145/1000</f>
        <v>2500</v>
      </c>
      <c r="W138" s="9">
        <f>STATS1003B!W145/1000</f>
        <v>0</v>
      </c>
      <c r="X138" s="9">
        <f>STATS1003B!X145/1000</f>
        <v>2500</v>
      </c>
      <c r="Y138" s="9">
        <f>STATS1003B!Y145/1000</f>
        <v>0</v>
      </c>
      <c r="Z138" s="9">
        <f>STATS1003B!Z145/1000</f>
        <v>0</v>
      </c>
      <c r="AA138" s="9">
        <f>STATS1003B!AA145/1000</f>
        <v>2500</v>
      </c>
      <c r="AB138" s="9">
        <f>STATS1003B!AB145/1000</f>
        <v>0</v>
      </c>
    </row>
    <row r="139" spans="1:28" x14ac:dyDescent="0.35">
      <c r="A139" s="36"/>
      <c r="B139" s="6"/>
      <c r="C139" s="14" t="s">
        <v>930</v>
      </c>
      <c r="D139" s="16" t="s">
        <v>1072</v>
      </c>
      <c r="E139" s="9">
        <f>STATS1003B!E146/1000</f>
        <v>4235.1093099999998</v>
      </c>
      <c r="F139" s="9">
        <f>STATS1003B!F146/1000</f>
        <v>4235.1093099999998</v>
      </c>
      <c r="G139" s="9">
        <f>STATS1003B!G146/1000</f>
        <v>0</v>
      </c>
      <c r="H139" s="9">
        <f>STATS1003B!H146/1000</f>
        <v>4235.1093099999998</v>
      </c>
      <c r="I139" s="9">
        <f>STATS1003B!I146/1000</f>
        <v>0</v>
      </c>
      <c r="J139" s="9">
        <f>STATS1003B!J146/1000</f>
        <v>0</v>
      </c>
      <c r="K139" s="9">
        <f>STATS1003B!K146/1000</f>
        <v>0</v>
      </c>
      <c r="L139" s="9">
        <f>STATS1003B!L146/1000</f>
        <v>0</v>
      </c>
      <c r="M139" s="9">
        <f>STATS1003B!M146/1000</f>
        <v>4235.1093099999998</v>
      </c>
      <c r="N139" s="9">
        <f>STATS1003B!N146/1000</f>
        <v>0</v>
      </c>
      <c r="O139" s="9">
        <f>STATS1003B!O146/1000</f>
        <v>0</v>
      </c>
      <c r="P139" s="9">
        <f>STATS1003B!P146/1000</f>
        <v>0</v>
      </c>
      <c r="Q139" s="9">
        <f>STATS1003B!Q146/1000</f>
        <v>0</v>
      </c>
      <c r="R139" s="9">
        <f>STATS1003B!R146/1000</f>
        <v>0</v>
      </c>
      <c r="S139" s="9">
        <f>STATS1003B!S146/1000</f>
        <v>0</v>
      </c>
      <c r="T139" s="9">
        <f>STATS1003B!T146/1000</f>
        <v>0</v>
      </c>
      <c r="U139" s="9">
        <f>STATS1003B!U146/1000</f>
        <v>0</v>
      </c>
      <c r="V139" s="9">
        <f>STATS1003B!V146/1000</f>
        <v>0</v>
      </c>
      <c r="W139" s="9">
        <f>STATS1003B!W146/1000</f>
        <v>0</v>
      </c>
      <c r="X139" s="9">
        <f>STATS1003B!X146/1000</f>
        <v>4235.1093099999998</v>
      </c>
      <c r="Y139" s="9">
        <f>STATS1003B!Y146/1000</f>
        <v>0</v>
      </c>
      <c r="Z139" s="9">
        <f>STATS1003B!Z146/1000</f>
        <v>0</v>
      </c>
      <c r="AA139" s="9">
        <f>STATS1003B!AA146/1000</f>
        <v>4235.1093099999998</v>
      </c>
      <c r="AB139" s="9">
        <f>STATS1003B!AB146/1000</f>
        <v>0</v>
      </c>
    </row>
    <row r="140" spans="1:28" x14ac:dyDescent="0.35">
      <c r="A140" s="36"/>
      <c r="B140" s="6"/>
      <c r="C140" s="7" t="s">
        <v>122</v>
      </c>
      <c r="D140" s="8"/>
      <c r="E140" s="9">
        <f>STATS1003B!E147/1000</f>
        <v>1602.81</v>
      </c>
      <c r="F140" s="9">
        <f>STATS1003B!F147/1000</f>
        <v>1602.81</v>
      </c>
      <c r="G140" s="9">
        <f>STATS1003B!G147/1000</f>
        <v>0</v>
      </c>
      <c r="H140" s="9">
        <f>STATS1003B!H147/1000</f>
        <v>1602.81</v>
      </c>
      <c r="I140" s="9">
        <f>STATS1003B!I147/1000</f>
        <v>0</v>
      </c>
      <c r="J140" s="9">
        <f>STATS1003B!J147/1000</f>
        <v>0</v>
      </c>
      <c r="K140" s="9">
        <f>STATS1003B!K147/1000</f>
        <v>0</v>
      </c>
      <c r="L140" s="9">
        <f>STATS1003B!L147/1000</f>
        <v>0</v>
      </c>
      <c r="M140" s="9">
        <f>STATS1003B!M147/1000</f>
        <v>1602.81</v>
      </c>
      <c r="N140" s="9">
        <f>STATS1003B!N147/1000</f>
        <v>0</v>
      </c>
      <c r="O140" s="9">
        <f>STATS1003B!O147/1000</f>
        <v>0</v>
      </c>
      <c r="P140" s="9">
        <f>STATS1003B!P147/1000</f>
        <v>0</v>
      </c>
      <c r="Q140" s="9">
        <f>STATS1003B!Q147/1000</f>
        <v>0</v>
      </c>
      <c r="R140" s="9">
        <f>STATS1003B!R147/1000</f>
        <v>0</v>
      </c>
      <c r="S140" s="9">
        <f>STATS1003B!S147/1000</f>
        <v>0</v>
      </c>
      <c r="T140" s="9">
        <f>STATS1003B!T147/1000</f>
        <v>0</v>
      </c>
      <c r="U140" s="9">
        <f>STATS1003B!U147/1000</f>
        <v>0</v>
      </c>
      <c r="V140" s="9">
        <f>STATS1003B!V147/1000</f>
        <v>1602.81</v>
      </c>
      <c r="W140" s="9">
        <f>STATS1003B!W147/1000</f>
        <v>0</v>
      </c>
      <c r="X140" s="9">
        <f>STATS1003B!X147/1000</f>
        <v>1602.81</v>
      </c>
      <c r="Y140" s="9">
        <f>STATS1003B!Y147/1000</f>
        <v>0</v>
      </c>
      <c r="Z140" s="9">
        <f>STATS1003B!Z147/1000</f>
        <v>0</v>
      </c>
      <c r="AA140" s="9">
        <f>STATS1003B!AA147/1000</f>
        <v>1602.81</v>
      </c>
      <c r="AB140" s="9">
        <f>STATS1003B!AB147/1000</f>
        <v>0</v>
      </c>
    </row>
    <row r="141" spans="1:28" x14ac:dyDescent="0.35">
      <c r="A141" s="36"/>
      <c r="B141" s="6"/>
      <c r="C141" s="8"/>
      <c r="D141" s="8"/>
      <c r="E141" s="17" t="s">
        <v>29</v>
      </c>
      <c r="F141" s="17" t="s">
        <v>29</v>
      </c>
      <c r="G141" s="17" t="s">
        <v>29</v>
      </c>
      <c r="H141" s="17" t="s">
        <v>29</v>
      </c>
      <c r="I141" s="17" t="s">
        <v>29</v>
      </c>
      <c r="J141" s="17" t="s">
        <v>29</v>
      </c>
      <c r="K141" s="17" t="s">
        <v>29</v>
      </c>
      <c r="L141" s="17" t="s">
        <v>29</v>
      </c>
      <c r="M141" s="17" t="s">
        <v>29</v>
      </c>
      <c r="N141" s="17" t="s">
        <v>29</v>
      </c>
      <c r="O141" s="17" t="s">
        <v>29</v>
      </c>
      <c r="P141" s="17" t="s">
        <v>29</v>
      </c>
      <c r="Q141" s="17" t="s">
        <v>29</v>
      </c>
      <c r="R141" s="17" t="s">
        <v>29</v>
      </c>
      <c r="S141" s="17" t="s">
        <v>29</v>
      </c>
      <c r="T141" s="17" t="s">
        <v>29</v>
      </c>
      <c r="U141" s="17" t="s">
        <v>29</v>
      </c>
      <c r="V141" s="17" t="s">
        <v>29</v>
      </c>
      <c r="W141" s="17" t="s">
        <v>29</v>
      </c>
      <c r="X141" s="17" t="s">
        <v>29</v>
      </c>
      <c r="Y141" s="17" t="s">
        <v>29</v>
      </c>
      <c r="Z141" s="17" t="s">
        <v>29</v>
      </c>
      <c r="AA141" s="17" t="s">
        <v>29</v>
      </c>
      <c r="AB141" s="17" t="s">
        <v>29</v>
      </c>
    </row>
    <row r="142" spans="1:28" x14ac:dyDescent="0.35">
      <c r="A142" s="36"/>
      <c r="B142" s="6"/>
      <c r="C142" s="8"/>
      <c r="D142" s="8"/>
      <c r="E142" s="9">
        <f t="shared" ref="E142:AB142" si="7">SUM(E130:E140)</f>
        <v>40273.778609999994</v>
      </c>
      <c r="F142" s="9">
        <f t="shared" si="7"/>
        <v>31420.968529999998</v>
      </c>
      <c r="G142" s="9">
        <f t="shared" si="7"/>
        <v>0</v>
      </c>
      <c r="H142" s="9">
        <f t="shared" si="7"/>
        <v>31420.968529999998</v>
      </c>
      <c r="I142" s="9">
        <f t="shared" si="7"/>
        <v>0</v>
      </c>
      <c r="J142" s="9">
        <f t="shared" si="7"/>
        <v>0</v>
      </c>
      <c r="K142" s="9">
        <f t="shared" si="7"/>
        <v>0</v>
      </c>
      <c r="L142" s="9">
        <f t="shared" si="7"/>
        <v>0</v>
      </c>
      <c r="M142" s="9">
        <f t="shared" si="7"/>
        <v>31420.968529999998</v>
      </c>
      <c r="N142" s="9">
        <f t="shared" si="7"/>
        <v>7136.6787200000008</v>
      </c>
      <c r="O142" s="9">
        <f t="shared" si="7"/>
        <v>0</v>
      </c>
      <c r="P142" s="9">
        <f t="shared" si="7"/>
        <v>7136.6787200000008</v>
      </c>
      <c r="Q142" s="9">
        <f t="shared" si="7"/>
        <v>0</v>
      </c>
      <c r="R142" s="9">
        <f t="shared" si="7"/>
        <v>0</v>
      </c>
      <c r="S142" s="9">
        <f t="shared" si="7"/>
        <v>0</v>
      </c>
      <c r="T142" s="9">
        <f t="shared" si="7"/>
        <v>0</v>
      </c>
      <c r="U142" s="9">
        <f t="shared" si="7"/>
        <v>7136.6787200000008</v>
      </c>
      <c r="V142" s="9">
        <f t="shared" si="7"/>
        <v>34322.537939999995</v>
      </c>
      <c r="W142" s="9">
        <f t="shared" si="7"/>
        <v>1716.1313600000003</v>
      </c>
      <c r="X142" s="9">
        <f t="shared" si="7"/>
        <v>38557.647249999995</v>
      </c>
      <c r="Y142" s="9">
        <f t="shared" si="7"/>
        <v>0</v>
      </c>
      <c r="Z142" s="9">
        <f t="shared" si="7"/>
        <v>1716.1313600000003</v>
      </c>
      <c r="AA142" s="9">
        <f t="shared" si="7"/>
        <v>38557.647249999995</v>
      </c>
      <c r="AB142" s="9">
        <f t="shared" si="7"/>
        <v>1716.1313600000003</v>
      </c>
    </row>
    <row r="143" spans="1:28" x14ac:dyDescent="0.35">
      <c r="A143" s="36"/>
      <c r="B143" s="6"/>
      <c r="C143" s="8"/>
      <c r="D143" s="8"/>
      <c r="E143" s="17" t="s">
        <v>29</v>
      </c>
      <c r="F143" s="17" t="s">
        <v>29</v>
      </c>
      <c r="G143" s="17" t="s">
        <v>29</v>
      </c>
      <c r="H143" s="17" t="s">
        <v>29</v>
      </c>
      <c r="I143" s="17" t="s">
        <v>29</v>
      </c>
      <c r="J143" s="17" t="s">
        <v>29</v>
      </c>
      <c r="K143" s="17" t="s">
        <v>29</v>
      </c>
      <c r="L143" s="17" t="s">
        <v>29</v>
      </c>
      <c r="M143" s="17" t="s">
        <v>29</v>
      </c>
      <c r="N143" s="17" t="s">
        <v>29</v>
      </c>
      <c r="O143" s="17" t="s">
        <v>29</v>
      </c>
      <c r="P143" s="17" t="s">
        <v>29</v>
      </c>
      <c r="Q143" s="17" t="s">
        <v>29</v>
      </c>
      <c r="R143" s="17" t="s">
        <v>29</v>
      </c>
      <c r="S143" s="17" t="s">
        <v>29</v>
      </c>
      <c r="T143" s="17" t="s">
        <v>29</v>
      </c>
      <c r="U143" s="17" t="s">
        <v>29</v>
      </c>
      <c r="V143" s="17" t="s">
        <v>29</v>
      </c>
      <c r="W143" s="17" t="s">
        <v>29</v>
      </c>
      <c r="X143" s="17" t="s">
        <v>29</v>
      </c>
      <c r="Y143" s="17" t="s">
        <v>29</v>
      </c>
      <c r="Z143" s="17" t="s">
        <v>29</v>
      </c>
      <c r="AA143" s="17" t="s">
        <v>29</v>
      </c>
      <c r="AB143" s="17" t="s">
        <v>29</v>
      </c>
    </row>
    <row r="144" spans="1:28" x14ac:dyDescent="0.35">
      <c r="A144" s="38" t="s">
        <v>941</v>
      </c>
      <c r="B144" s="7" t="s">
        <v>123</v>
      </c>
      <c r="C144" s="6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8" x14ac:dyDescent="0.35">
      <c r="A145" s="36"/>
      <c r="B145" s="6"/>
      <c r="C145" s="7" t="s">
        <v>75</v>
      </c>
      <c r="D145" s="21" t="s">
        <v>76</v>
      </c>
      <c r="E145" s="9">
        <f>STATS1003B!E152/1000</f>
        <v>30321</v>
      </c>
      <c r="F145" s="9">
        <f>STATS1003B!F152/1000</f>
        <v>7922.143</v>
      </c>
      <c r="G145" s="9">
        <f>STATS1003B!G152/1000</f>
        <v>0</v>
      </c>
      <c r="H145" s="9">
        <f>STATS1003B!H152/1000</f>
        <v>7922.143</v>
      </c>
      <c r="I145" s="9">
        <f>STATS1003B!I152/1000</f>
        <v>0</v>
      </c>
      <c r="J145" s="9">
        <f>STATS1003B!J152/1000</f>
        <v>0</v>
      </c>
      <c r="K145" s="9">
        <f>STATS1003B!K152/1000</f>
        <v>0</v>
      </c>
      <c r="L145" s="9">
        <f>STATS1003B!L152/1000</f>
        <v>0</v>
      </c>
      <c r="M145" s="9">
        <f>STATS1003B!M152/1000</f>
        <v>7922.143</v>
      </c>
      <c r="N145" s="9">
        <f>STATS1003B!N152/1000</f>
        <v>22180.877920000003</v>
      </c>
      <c r="O145" s="9">
        <f>STATS1003B!O152/1000</f>
        <v>0</v>
      </c>
      <c r="P145" s="9">
        <f>STATS1003B!P152/1000</f>
        <v>22180.877920000003</v>
      </c>
      <c r="Q145" s="9">
        <f>STATS1003B!Q152/1000</f>
        <v>0</v>
      </c>
      <c r="R145" s="9">
        <f>STATS1003B!R152/1000</f>
        <v>0</v>
      </c>
      <c r="S145" s="9">
        <f>STATS1003B!S152/1000</f>
        <v>0</v>
      </c>
      <c r="T145" s="9">
        <f>STATS1003B!T152/1000</f>
        <v>0</v>
      </c>
      <c r="U145" s="9">
        <f>STATS1003B!U152/1000</f>
        <v>22180.877920000003</v>
      </c>
      <c r="V145" s="9">
        <f>STATS1003B!V152/1000</f>
        <v>30103.020920000003</v>
      </c>
      <c r="W145" s="9">
        <f>STATS1003B!W152/1000</f>
        <v>217.97907999999822</v>
      </c>
      <c r="X145" s="9">
        <f>STATS1003B!X152/1000</f>
        <v>30103.020920000003</v>
      </c>
      <c r="Y145" s="9">
        <f>STATS1003B!Y152/1000</f>
        <v>0</v>
      </c>
      <c r="Z145" s="9">
        <f>STATS1003B!Z152/1000</f>
        <v>217.97907999999822</v>
      </c>
      <c r="AA145" s="9">
        <f>STATS1003B!AA152/1000</f>
        <v>30103.020920000003</v>
      </c>
      <c r="AB145" s="9">
        <f>STATS1003B!AB152/1000</f>
        <v>217.97907999999822</v>
      </c>
    </row>
    <row r="146" spans="1:28" x14ac:dyDescent="0.35">
      <c r="A146" s="36"/>
      <c r="B146" s="6"/>
      <c r="C146" s="7" t="s">
        <v>124</v>
      </c>
      <c r="D146" s="15" t="s">
        <v>125</v>
      </c>
      <c r="E146" s="9">
        <f>STATS1003B!E153/1000</f>
        <v>0</v>
      </c>
      <c r="F146" s="9">
        <f>STATS1003B!F153/1000</f>
        <v>0</v>
      </c>
      <c r="G146" s="9">
        <f>STATS1003B!G153/1000</f>
        <v>0</v>
      </c>
      <c r="H146" s="9">
        <f>STATS1003B!H153/1000</f>
        <v>0</v>
      </c>
      <c r="I146" s="9">
        <f>STATS1003B!I153/1000</f>
        <v>0</v>
      </c>
      <c r="J146" s="9">
        <f>STATS1003B!J153/1000</f>
        <v>0</v>
      </c>
      <c r="K146" s="9">
        <f>STATS1003B!K153/1000</f>
        <v>0</v>
      </c>
      <c r="L146" s="9">
        <f>STATS1003B!L153/1000</f>
        <v>0</v>
      </c>
      <c r="M146" s="9">
        <f>STATS1003B!M153/1000</f>
        <v>0</v>
      </c>
      <c r="N146" s="9">
        <f>STATS1003B!N153/1000</f>
        <v>0</v>
      </c>
      <c r="O146" s="9">
        <f>STATS1003B!O153/1000</f>
        <v>0</v>
      </c>
      <c r="P146" s="9">
        <f>STATS1003B!P153/1000</f>
        <v>0</v>
      </c>
      <c r="Q146" s="9">
        <f>STATS1003B!Q153/1000</f>
        <v>0</v>
      </c>
      <c r="R146" s="9">
        <f>STATS1003B!R153/1000</f>
        <v>0</v>
      </c>
      <c r="S146" s="9">
        <f>STATS1003B!S153/1000</f>
        <v>0</v>
      </c>
      <c r="T146" s="9">
        <f>STATS1003B!T153/1000</f>
        <v>0</v>
      </c>
      <c r="U146" s="9">
        <f>STATS1003B!U153/1000</f>
        <v>0</v>
      </c>
      <c r="V146" s="9">
        <f>STATS1003B!V153/1000</f>
        <v>0</v>
      </c>
      <c r="W146" s="9">
        <f>STATS1003B!W153/1000</f>
        <v>0</v>
      </c>
      <c r="X146" s="9">
        <f>STATS1003B!X153/1000</f>
        <v>0</v>
      </c>
      <c r="Y146" s="9">
        <f>STATS1003B!Y153/1000</f>
        <v>0</v>
      </c>
      <c r="Z146" s="9">
        <f>STATS1003B!Z153/1000</f>
        <v>0</v>
      </c>
      <c r="AA146" s="9">
        <f>STATS1003B!AA153/1000</f>
        <v>0</v>
      </c>
      <c r="AB146" s="9">
        <f>STATS1003B!AB153/1000</f>
        <v>0</v>
      </c>
    </row>
    <row r="147" spans="1:28" x14ac:dyDescent="0.35">
      <c r="A147" s="36"/>
      <c r="B147" s="6"/>
      <c r="C147" s="8"/>
      <c r="D147" s="14" t="s">
        <v>126</v>
      </c>
      <c r="E147" s="9">
        <f>STATS1003B!E154/1000</f>
        <v>20509.5</v>
      </c>
      <c r="F147" s="9">
        <f>STATS1003B!F154/1000</f>
        <v>18775.664940000002</v>
      </c>
      <c r="G147" s="9">
        <f>STATS1003B!G154/1000</f>
        <v>0</v>
      </c>
      <c r="H147" s="9">
        <f>STATS1003B!H154/1000</f>
        <v>18775.664940000002</v>
      </c>
      <c r="I147" s="9">
        <f>STATS1003B!I154/1000</f>
        <v>0</v>
      </c>
      <c r="J147" s="9">
        <f>STATS1003B!J154/1000</f>
        <v>0</v>
      </c>
      <c r="K147" s="9">
        <f>STATS1003B!K154/1000</f>
        <v>0</v>
      </c>
      <c r="L147" s="9">
        <f>STATS1003B!L154/1000</f>
        <v>0</v>
      </c>
      <c r="M147" s="9">
        <f>STATS1003B!M154/1000</f>
        <v>18775.664940000002</v>
      </c>
      <c r="N147" s="9">
        <f>STATS1003B!N154/1000</f>
        <v>1733.8350600000001</v>
      </c>
      <c r="O147" s="9">
        <f>STATS1003B!O154/1000</f>
        <v>0</v>
      </c>
      <c r="P147" s="9">
        <f>STATS1003B!P154/1000</f>
        <v>1733.8350600000001</v>
      </c>
      <c r="Q147" s="9">
        <f>STATS1003B!Q154/1000</f>
        <v>0</v>
      </c>
      <c r="R147" s="9">
        <f>STATS1003B!R154/1000</f>
        <v>0</v>
      </c>
      <c r="S147" s="9">
        <f>STATS1003B!S154/1000</f>
        <v>0</v>
      </c>
      <c r="T147" s="9">
        <f>STATS1003B!T154/1000</f>
        <v>0</v>
      </c>
      <c r="U147" s="9">
        <f>STATS1003B!U154/1000</f>
        <v>1733.8350600000001</v>
      </c>
      <c r="V147" s="9">
        <f>STATS1003B!V154/1000</f>
        <v>20509.5</v>
      </c>
      <c r="W147" s="9">
        <f>STATS1003B!W154/1000</f>
        <v>0</v>
      </c>
      <c r="X147" s="9">
        <f>STATS1003B!X154/1000</f>
        <v>20509.5</v>
      </c>
      <c r="Y147" s="9">
        <f>STATS1003B!Y154/1000</f>
        <v>0</v>
      </c>
      <c r="Z147" s="9">
        <f>STATS1003B!Z154/1000</f>
        <v>0</v>
      </c>
      <c r="AA147" s="9">
        <f>STATS1003B!AA154/1000</f>
        <v>20509.5</v>
      </c>
      <c r="AB147" s="9">
        <f>STATS1003B!AB154/1000</f>
        <v>0</v>
      </c>
    </row>
    <row r="148" spans="1:28" x14ac:dyDescent="0.35">
      <c r="A148" s="36"/>
      <c r="B148" s="6"/>
      <c r="C148" s="7" t="s">
        <v>53</v>
      </c>
      <c r="D148" s="15" t="s">
        <v>68</v>
      </c>
      <c r="E148" s="9">
        <f>STATS1003B!E155/1000</f>
        <v>1953.989</v>
      </c>
      <c r="F148" s="9">
        <f>STATS1003B!F155/1000</f>
        <v>0</v>
      </c>
      <c r="G148" s="9">
        <f>STATS1003B!G155/1000</f>
        <v>0</v>
      </c>
      <c r="H148" s="9">
        <f>STATS1003B!H155/1000</f>
        <v>0</v>
      </c>
      <c r="I148" s="9">
        <f>STATS1003B!I155/1000</f>
        <v>0</v>
      </c>
      <c r="J148" s="9">
        <f>STATS1003B!J155/1000</f>
        <v>0</v>
      </c>
      <c r="K148" s="9">
        <f>STATS1003B!K155/1000</f>
        <v>0</v>
      </c>
      <c r="L148" s="9">
        <f>STATS1003B!L155/1000</f>
        <v>0</v>
      </c>
      <c r="M148" s="9">
        <f>STATS1003B!M155/1000</f>
        <v>0</v>
      </c>
      <c r="N148" s="9">
        <f>STATS1003B!N155/1000</f>
        <v>1953.989</v>
      </c>
      <c r="O148" s="9">
        <f>STATS1003B!O155/1000</f>
        <v>0</v>
      </c>
      <c r="P148" s="9">
        <f>STATS1003B!P155/1000</f>
        <v>1953.989</v>
      </c>
      <c r="Q148" s="9">
        <f>STATS1003B!Q155/1000</f>
        <v>0</v>
      </c>
      <c r="R148" s="9">
        <f>STATS1003B!R155/1000</f>
        <v>0</v>
      </c>
      <c r="S148" s="9">
        <f>STATS1003B!S155/1000</f>
        <v>0</v>
      </c>
      <c r="T148" s="9">
        <f>STATS1003B!T155/1000</f>
        <v>0</v>
      </c>
      <c r="U148" s="9">
        <f>STATS1003B!U155/1000</f>
        <v>1953.989</v>
      </c>
      <c r="V148" s="9">
        <f>STATS1003B!V155/1000</f>
        <v>1953.989</v>
      </c>
      <c r="W148" s="9">
        <f>STATS1003B!W155/1000</f>
        <v>0</v>
      </c>
      <c r="X148" s="9">
        <f>STATS1003B!X155/1000</f>
        <v>1953.989</v>
      </c>
      <c r="Y148" s="9">
        <f>STATS1003B!Y155/1000</f>
        <v>0</v>
      </c>
      <c r="Z148" s="9">
        <f>STATS1003B!Z155/1000</f>
        <v>0</v>
      </c>
      <c r="AA148" s="9">
        <f>STATS1003B!AA155/1000</f>
        <v>1953.989</v>
      </c>
      <c r="AB148" s="9">
        <f>STATS1003B!AB155/1000</f>
        <v>0</v>
      </c>
    </row>
    <row r="149" spans="1:28" x14ac:dyDescent="0.35">
      <c r="A149" s="36"/>
      <c r="B149" s="6"/>
      <c r="C149" s="7" t="s">
        <v>55</v>
      </c>
      <c r="D149" s="15" t="s">
        <v>93</v>
      </c>
      <c r="E149" s="9">
        <f>STATS1003B!E156/1000</f>
        <v>2846.5423999999998</v>
      </c>
      <c r="F149" s="9">
        <f>STATS1003B!F156/1000</f>
        <v>0</v>
      </c>
      <c r="G149" s="9">
        <f>STATS1003B!G156/1000</f>
        <v>0</v>
      </c>
      <c r="H149" s="9">
        <f>STATS1003B!H156/1000</f>
        <v>0</v>
      </c>
      <c r="I149" s="9">
        <f>STATS1003B!I156/1000</f>
        <v>0</v>
      </c>
      <c r="J149" s="9">
        <f>STATS1003B!J156/1000</f>
        <v>0</v>
      </c>
      <c r="K149" s="9">
        <f>STATS1003B!K156/1000</f>
        <v>0</v>
      </c>
      <c r="L149" s="9">
        <f>STATS1003B!L156/1000</f>
        <v>0</v>
      </c>
      <c r="M149" s="9">
        <f>STATS1003B!M156/1000</f>
        <v>0</v>
      </c>
      <c r="N149" s="9">
        <f>STATS1003B!N156/1000</f>
        <v>2846.5423999999998</v>
      </c>
      <c r="O149" s="9">
        <f>STATS1003B!O156/1000</f>
        <v>0</v>
      </c>
      <c r="P149" s="9">
        <f>STATS1003B!P156/1000</f>
        <v>2846.5423999999998</v>
      </c>
      <c r="Q149" s="9">
        <f>STATS1003B!Q156/1000</f>
        <v>0</v>
      </c>
      <c r="R149" s="9">
        <f>STATS1003B!R156/1000</f>
        <v>0</v>
      </c>
      <c r="S149" s="9">
        <f>STATS1003B!S156/1000</f>
        <v>0</v>
      </c>
      <c r="T149" s="9">
        <f>STATS1003B!T156/1000</f>
        <v>0</v>
      </c>
      <c r="U149" s="9">
        <f>STATS1003B!U156/1000</f>
        <v>2846.5423999999998</v>
      </c>
      <c r="V149" s="9">
        <f>STATS1003B!V156/1000</f>
        <v>2846.5423999999998</v>
      </c>
      <c r="W149" s="9">
        <f>STATS1003B!W156/1000</f>
        <v>0</v>
      </c>
      <c r="X149" s="9">
        <f>STATS1003B!X156/1000</f>
        <v>2846.5423999999998</v>
      </c>
      <c r="Y149" s="9">
        <f>STATS1003B!Y156/1000</f>
        <v>0</v>
      </c>
      <c r="Z149" s="9">
        <f>STATS1003B!Z156/1000</f>
        <v>0</v>
      </c>
      <c r="AA149" s="9">
        <f>STATS1003B!AA156/1000</f>
        <v>2846.5423999999998</v>
      </c>
      <c r="AB149" s="9">
        <f>STATS1003B!AB156/1000</f>
        <v>0</v>
      </c>
    </row>
    <row r="150" spans="1:28" x14ac:dyDescent="0.35">
      <c r="A150" s="36"/>
      <c r="B150" s="6"/>
      <c r="C150" s="7" t="s">
        <v>127</v>
      </c>
      <c r="D150" s="15" t="s">
        <v>128</v>
      </c>
      <c r="E150" s="9">
        <f>STATS1003B!E157/1000</f>
        <v>1200</v>
      </c>
      <c r="F150" s="9">
        <f>STATS1003B!F157/1000</f>
        <v>1200</v>
      </c>
      <c r="G150" s="9">
        <f>STATS1003B!G157/1000</f>
        <v>0</v>
      </c>
      <c r="H150" s="9">
        <f>STATS1003B!H157/1000</f>
        <v>1200</v>
      </c>
      <c r="I150" s="9">
        <f>STATS1003B!I157/1000</f>
        <v>0</v>
      </c>
      <c r="J150" s="9">
        <f>STATS1003B!J157/1000</f>
        <v>0</v>
      </c>
      <c r="K150" s="9">
        <f>STATS1003B!K157/1000</f>
        <v>0</v>
      </c>
      <c r="L150" s="9">
        <f>STATS1003B!L157/1000</f>
        <v>0</v>
      </c>
      <c r="M150" s="9">
        <f>STATS1003B!M157/1000</f>
        <v>1200</v>
      </c>
      <c r="N150" s="9">
        <f>STATS1003B!N157/1000</f>
        <v>0</v>
      </c>
      <c r="O150" s="9">
        <f>STATS1003B!O157/1000</f>
        <v>0</v>
      </c>
      <c r="P150" s="9">
        <f>STATS1003B!P157/1000</f>
        <v>0</v>
      </c>
      <c r="Q150" s="9">
        <f>STATS1003B!Q157/1000</f>
        <v>0</v>
      </c>
      <c r="R150" s="9">
        <f>STATS1003B!R157/1000</f>
        <v>0</v>
      </c>
      <c r="S150" s="9">
        <f>STATS1003B!S157/1000</f>
        <v>0</v>
      </c>
      <c r="T150" s="9">
        <f>STATS1003B!T157/1000</f>
        <v>0</v>
      </c>
      <c r="U150" s="9">
        <f>STATS1003B!U157/1000</f>
        <v>0</v>
      </c>
      <c r="V150" s="9">
        <f>STATS1003B!V157/1000</f>
        <v>1200</v>
      </c>
      <c r="W150" s="9">
        <f>STATS1003B!W157/1000</f>
        <v>0</v>
      </c>
      <c r="X150" s="9">
        <f>STATS1003B!X157/1000</f>
        <v>1200</v>
      </c>
      <c r="Y150" s="9">
        <f>STATS1003B!Y157/1000</f>
        <v>0</v>
      </c>
      <c r="Z150" s="9">
        <f>STATS1003B!Z157/1000</f>
        <v>0</v>
      </c>
      <c r="AA150" s="9">
        <f>STATS1003B!AA157/1000</f>
        <v>1200</v>
      </c>
      <c r="AB150" s="9">
        <f>STATS1003B!AB157/1000</f>
        <v>0</v>
      </c>
    </row>
    <row r="151" spans="1:28" x14ac:dyDescent="0.35">
      <c r="A151" s="36"/>
      <c r="B151" s="6"/>
      <c r="C151" s="7" t="s">
        <v>932</v>
      </c>
      <c r="D151" s="16" t="s">
        <v>1072</v>
      </c>
      <c r="E151" s="9">
        <f>STATS1003B!E158/1000</f>
        <v>400</v>
      </c>
      <c r="F151" s="9">
        <f>STATS1003B!F158/1000</f>
        <v>400</v>
      </c>
      <c r="G151" s="9">
        <f>STATS1003B!G158/1000</f>
        <v>0</v>
      </c>
      <c r="H151" s="9">
        <f>STATS1003B!H158/1000</f>
        <v>400</v>
      </c>
      <c r="I151" s="9">
        <f>STATS1003B!I158/1000</f>
        <v>0</v>
      </c>
      <c r="J151" s="9">
        <f>STATS1003B!J158/1000</f>
        <v>0</v>
      </c>
      <c r="K151" s="9">
        <f>STATS1003B!K158/1000</f>
        <v>0</v>
      </c>
      <c r="L151" s="9">
        <f>STATS1003B!L158/1000</f>
        <v>0</v>
      </c>
      <c r="M151" s="9">
        <f>STATS1003B!M158/1000</f>
        <v>400</v>
      </c>
      <c r="N151" s="9">
        <f>STATS1003B!N158/1000</f>
        <v>0</v>
      </c>
      <c r="O151" s="9">
        <f>STATS1003B!O158/1000</f>
        <v>0</v>
      </c>
      <c r="P151" s="9">
        <f>STATS1003B!P158/1000</f>
        <v>0</v>
      </c>
      <c r="Q151" s="9">
        <f>STATS1003B!Q158/1000</f>
        <v>0</v>
      </c>
      <c r="R151" s="9">
        <f>STATS1003B!R158/1000</f>
        <v>0</v>
      </c>
      <c r="S151" s="9">
        <f>STATS1003B!S158/1000</f>
        <v>0</v>
      </c>
      <c r="T151" s="9">
        <f>STATS1003B!T158/1000</f>
        <v>0</v>
      </c>
      <c r="U151" s="9">
        <f>STATS1003B!U158/1000</f>
        <v>0</v>
      </c>
      <c r="V151" s="9">
        <f>STATS1003B!V158/1000</f>
        <v>400</v>
      </c>
      <c r="W151" s="9">
        <f>STATS1003B!W158/1000</f>
        <v>0</v>
      </c>
      <c r="X151" s="9">
        <f>STATS1003B!X158/1000</f>
        <v>400</v>
      </c>
      <c r="Y151" s="9">
        <f>STATS1003B!Y158/1000</f>
        <v>0</v>
      </c>
      <c r="Z151" s="9">
        <f>STATS1003B!Z158/1000</f>
        <v>0</v>
      </c>
      <c r="AA151" s="9">
        <f>STATS1003B!AA158/1000</f>
        <v>400</v>
      </c>
      <c r="AB151" s="9">
        <f>STATS1003B!AB158/1000</f>
        <v>0</v>
      </c>
    </row>
    <row r="152" spans="1:28" x14ac:dyDescent="0.35">
      <c r="A152" s="36"/>
      <c r="B152" s="6"/>
      <c r="C152" s="7" t="s">
        <v>930</v>
      </c>
      <c r="D152" s="16" t="s">
        <v>1072</v>
      </c>
      <c r="E152" s="9">
        <f>STATS1003B!E159/1000</f>
        <v>1155</v>
      </c>
      <c r="F152" s="9">
        <f>STATS1003B!F159/1000</f>
        <v>1155</v>
      </c>
      <c r="G152" s="9">
        <f>STATS1003B!G159/1000</f>
        <v>0</v>
      </c>
      <c r="H152" s="9">
        <f>STATS1003B!H159/1000</f>
        <v>1155</v>
      </c>
      <c r="I152" s="9">
        <f>STATS1003B!I159/1000</f>
        <v>0</v>
      </c>
      <c r="J152" s="9">
        <f>STATS1003B!J159/1000</f>
        <v>0</v>
      </c>
      <c r="K152" s="9">
        <f>STATS1003B!K159/1000</f>
        <v>0</v>
      </c>
      <c r="L152" s="9">
        <f>STATS1003B!L159/1000</f>
        <v>0</v>
      </c>
      <c r="M152" s="9">
        <f>STATS1003B!M159/1000</f>
        <v>1155</v>
      </c>
      <c r="N152" s="9">
        <f>STATS1003B!N159/1000</f>
        <v>0</v>
      </c>
      <c r="O152" s="9">
        <f>STATS1003B!O159/1000</f>
        <v>0</v>
      </c>
      <c r="P152" s="9">
        <f>STATS1003B!P159/1000</f>
        <v>0</v>
      </c>
      <c r="Q152" s="9">
        <f>STATS1003B!Q159/1000</f>
        <v>0</v>
      </c>
      <c r="R152" s="9">
        <f>STATS1003B!R159/1000</f>
        <v>0</v>
      </c>
      <c r="S152" s="9">
        <f>STATS1003B!S159/1000</f>
        <v>0</v>
      </c>
      <c r="T152" s="9">
        <f>STATS1003B!T159/1000</f>
        <v>0</v>
      </c>
      <c r="U152" s="9">
        <f>STATS1003B!U159/1000</f>
        <v>0</v>
      </c>
      <c r="V152" s="9">
        <f>STATS1003B!V159/1000</f>
        <v>1155</v>
      </c>
      <c r="W152" s="9">
        <f>STATS1003B!W159/1000</f>
        <v>0</v>
      </c>
      <c r="X152" s="9">
        <f>STATS1003B!X159/1000</f>
        <v>1155</v>
      </c>
      <c r="Y152" s="9">
        <f>STATS1003B!Y159/1000</f>
        <v>0</v>
      </c>
      <c r="Z152" s="9">
        <f>STATS1003B!Z159/1000</f>
        <v>0</v>
      </c>
      <c r="AA152" s="9">
        <f>STATS1003B!AA159/1000</f>
        <v>1155</v>
      </c>
      <c r="AB152" s="9">
        <f>STATS1003B!AB159/1000</f>
        <v>0</v>
      </c>
    </row>
    <row r="153" spans="1:28" x14ac:dyDescent="0.35">
      <c r="A153" s="36"/>
      <c r="B153" s="6"/>
      <c r="C153" s="7" t="s">
        <v>57</v>
      </c>
      <c r="D153" s="15" t="s">
        <v>58</v>
      </c>
      <c r="E153" s="9">
        <f>STATS1003B!E161/1000</f>
        <v>5562.73</v>
      </c>
      <c r="F153" s="9">
        <f>STATS1003B!F161/1000</f>
        <v>5562.73</v>
      </c>
      <c r="G153" s="9">
        <f>STATS1003B!G161/1000</f>
        <v>0</v>
      </c>
      <c r="H153" s="9">
        <f>STATS1003B!H161/1000</f>
        <v>5562.73</v>
      </c>
      <c r="I153" s="9">
        <f>STATS1003B!I161/1000</f>
        <v>0</v>
      </c>
      <c r="J153" s="9">
        <f>STATS1003B!J161/1000</f>
        <v>0</v>
      </c>
      <c r="K153" s="9">
        <f>STATS1003B!K161/1000</f>
        <v>0</v>
      </c>
      <c r="L153" s="9">
        <f>STATS1003B!L161/1000</f>
        <v>0</v>
      </c>
      <c r="M153" s="9">
        <f>STATS1003B!M161/1000</f>
        <v>5562.73</v>
      </c>
      <c r="N153" s="9">
        <f>STATS1003B!N161/1000</f>
        <v>0</v>
      </c>
      <c r="O153" s="9">
        <f>STATS1003B!O161/1000</f>
        <v>0</v>
      </c>
      <c r="P153" s="9">
        <f>STATS1003B!P161/1000</f>
        <v>0</v>
      </c>
      <c r="Q153" s="9">
        <f>STATS1003B!Q161/1000</f>
        <v>0</v>
      </c>
      <c r="R153" s="9">
        <f>STATS1003B!R161/1000</f>
        <v>0</v>
      </c>
      <c r="S153" s="9">
        <f>STATS1003B!S161/1000</f>
        <v>0</v>
      </c>
      <c r="T153" s="9">
        <f>STATS1003B!T161/1000</f>
        <v>0</v>
      </c>
      <c r="U153" s="9">
        <f>STATS1003B!U161/1000</f>
        <v>0</v>
      </c>
      <c r="V153" s="9">
        <f>STATS1003B!V161/1000</f>
        <v>5562.73</v>
      </c>
      <c r="W153" s="9">
        <f>STATS1003B!W161/1000</f>
        <v>0</v>
      </c>
      <c r="X153" s="9">
        <f>STATS1003B!X161/1000</f>
        <v>5562.73</v>
      </c>
      <c r="Y153" s="9">
        <f>STATS1003B!Y161/1000</f>
        <v>0</v>
      </c>
      <c r="Z153" s="9">
        <f>STATS1003B!Z161/1000</f>
        <v>0</v>
      </c>
      <c r="AA153" s="9">
        <f>STATS1003B!AA161/1000</f>
        <v>5562.73</v>
      </c>
      <c r="AB153" s="9">
        <f>STATS1003B!AB161/1000</f>
        <v>0</v>
      </c>
    </row>
    <row r="154" spans="1:28" x14ac:dyDescent="0.35">
      <c r="A154" s="36"/>
      <c r="B154" s="6"/>
      <c r="C154" s="7" t="s">
        <v>57</v>
      </c>
      <c r="D154" s="15" t="s">
        <v>60</v>
      </c>
      <c r="E154" s="9">
        <f>STATS1003B!E162/1000</f>
        <v>6942.41</v>
      </c>
      <c r="F154" s="9">
        <f>STATS1003B!F162/1000</f>
        <v>6942.41</v>
      </c>
      <c r="G154" s="9">
        <f>STATS1003B!G162/1000</f>
        <v>0</v>
      </c>
      <c r="H154" s="9">
        <f>STATS1003B!H162/1000</f>
        <v>6942.41</v>
      </c>
      <c r="I154" s="9">
        <f>STATS1003B!I162/1000</f>
        <v>0</v>
      </c>
      <c r="J154" s="9">
        <f>STATS1003B!J162/1000</f>
        <v>0</v>
      </c>
      <c r="K154" s="9">
        <f>STATS1003B!K162/1000</f>
        <v>0</v>
      </c>
      <c r="L154" s="9">
        <f>STATS1003B!L162/1000</f>
        <v>0</v>
      </c>
      <c r="M154" s="9">
        <f>STATS1003B!M162/1000</f>
        <v>6942.41</v>
      </c>
      <c r="N154" s="9">
        <f>STATS1003B!N162/1000</f>
        <v>0</v>
      </c>
      <c r="O154" s="9">
        <f>STATS1003B!O162/1000</f>
        <v>0</v>
      </c>
      <c r="P154" s="9">
        <f>STATS1003B!P162/1000</f>
        <v>0</v>
      </c>
      <c r="Q154" s="9">
        <f>STATS1003B!Q162/1000</f>
        <v>0</v>
      </c>
      <c r="R154" s="9">
        <f>STATS1003B!R162/1000</f>
        <v>0</v>
      </c>
      <c r="S154" s="9">
        <f>STATS1003B!S162/1000</f>
        <v>0</v>
      </c>
      <c r="T154" s="9">
        <f>STATS1003B!T162/1000</f>
        <v>0</v>
      </c>
      <c r="U154" s="9">
        <f>STATS1003B!U162/1000</f>
        <v>0</v>
      </c>
      <c r="V154" s="9">
        <f>STATS1003B!V162/1000</f>
        <v>6942.41</v>
      </c>
      <c r="W154" s="9">
        <f>STATS1003B!W162/1000</f>
        <v>0</v>
      </c>
      <c r="X154" s="9">
        <f>STATS1003B!X162/1000</f>
        <v>6942.41</v>
      </c>
      <c r="Y154" s="9">
        <f>STATS1003B!Y162/1000</f>
        <v>0</v>
      </c>
      <c r="Z154" s="9">
        <f>STATS1003B!Z162/1000</f>
        <v>0</v>
      </c>
      <c r="AA154" s="9">
        <f>STATS1003B!AA162/1000</f>
        <v>6942.41</v>
      </c>
      <c r="AB154" s="9">
        <f>STATS1003B!AB162/1000</f>
        <v>0</v>
      </c>
    </row>
    <row r="155" spans="1:28" x14ac:dyDescent="0.35">
      <c r="A155" s="36"/>
      <c r="B155" s="6"/>
      <c r="C155" s="14" t="s">
        <v>109</v>
      </c>
      <c r="D155" s="21" t="s">
        <v>60</v>
      </c>
      <c r="E155" s="9">
        <f>STATS1003B!E163/1000</f>
        <v>5000</v>
      </c>
      <c r="F155" s="9">
        <f>STATS1003B!F163/1000</f>
        <v>5000</v>
      </c>
      <c r="G155" s="9">
        <f>STATS1003B!G163/1000</f>
        <v>0</v>
      </c>
      <c r="H155" s="9">
        <f>STATS1003B!H163/1000</f>
        <v>5000</v>
      </c>
      <c r="I155" s="9">
        <f>STATS1003B!I163/1000</f>
        <v>0</v>
      </c>
      <c r="J155" s="9">
        <f>STATS1003B!J163/1000</f>
        <v>0</v>
      </c>
      <c r="K155" s="9">
        <f>STATS1003B!K163/1000</f>
        <v>0</v>
      </c>
      <c r="L155" s="9">
        <f>STATS1003B!L163/1000</f>
        <v>0</v>
      </c>
      <c r="M155" s="9">
        <f>STATS1003B!M163/1000</f>
        <v>5000</v>
      </c>
      <c r="N155" s="9">
        <f>STATS1003B!N163/1000</f>
        <v>0</v>
      </c>
      <c r="O155" s="9">
        <f>STATS1003B!O163/1000</f>
        <v>0</v>
      </c>
      <c r="P155" s="9">
        <f>STATS1003B!P163/1000</f>
        <v>0</v>
      </c>
      <c r="Q155" s="9">
        <f>STATS1003B!Q163/1000</f>
        <v>0</v>
      </c>
      <c r="R155" s="9">
        <f>STATS1003B!R163/1000</f>
        <v>0</v>
      </c>
      <c r="S155" s="9">
        <f>STATS1003B!S163/1000</f>
        <v>0</v>
      </c>
      <c r="T155" s="9">
        <f>STATS1003B!T163/1000</f>
        <v>0</v>
      </c>
      <c r="U155" s="9">
        <f>STATS1003B!U163/1000</f>
        <v>0</v>
      </c>
      <c r="V155" s="9">
        <f>STATS1003B!V163/1000</f>
        <v>5000</v>
      </c>
      <c r="W155" s="9">
        <f>STATS1003B!W163/1000</f>
        <v>0</v>
      </c>
      <c r="X155" s="9">
        <f>STATS1003B!X163/1000</f>
        <v>5000</v>
      </c>
      <c r="Y155" s="9">
        <f>STATS1003B!Y163/1000</f>
        <v>0</v>
      </c>
      <c r="Z155" s="9">
        <f>STATS1003B!Z163/1000</f>
        <v>0</v>
      </c>
      <c r="AA155" s="9">
        <f>STATS1003B!AA163/1000</f>
        <v>5000</v>
      </c>
      <c r="AB155" s="9">
        <f>STATS1003B!AB163/1000</f>
        <v>0</v>
      </c>
    </row>
    <row r="156" spans="1:28" x14ac:dyDescent="0.35">
      <c r="A156" s="36"/>
      <c r="B156" s="6"/>
      <c r="C156" s="7" t="s">
        <v>57</v>
      </c>
      <c r="D156" s="24" t="s">
        <v>61</v>
      </c>
      <c r="E156" s="9">
        <f>STATS1003B!E164/1000</f>
        <v>704.42246</v>
      </c>
      <c r="F156" s="9">
        <f>STATS1003B!F164/1000</f>
        <v>704.42246</v>
      </c>
      <c r="G156" s="9">
        <f>STATS1003B!G164/1000</f>
        <v>0</v>
      </c>
      <c r="H156" s="9">
        <f>STATS1003B!H164/1000</f>
        <v>704.42246</v>
      </c>
      <c r="I156" s="9">
        <f>STATS1003B!I164/1000</f>
        <v>0</v>
      </c>
      <c r="J156" s="9">
        <f>STATS1003B!J164/1000</f>
        <v>0</v>
      </c>
      <c r="K156" s="9">
        <f>STATS1003B!K164/1000</f>
        <v>0</v>
      </c>
      <c r="L156" s="9">
        <f>STATS1003B!L164/1000</f>
        <v>0</v>
      </c>
      <c r="M156" s="9">
        <f>STATS1003B!M164/1000</f>
        <v>704.42246</v>
      </c>
      <c r="N156" s="9">
        <f>STATS1003B!N164/1000</f>
        <v>0</v>
      </c>
      <c r="O156" s="9">
        <f>STATS1003B!O164/1000</f>
        <v>0</v>
      </c>
      <c r="P156" s="9">
        <f>STATS1003B!P164/1000</f>
        <v>0</v>
      </c>
      <c r="Q156" s="9">
        <f>STATS1003B!Q164/1000</f>
        <v>0</v>
      </c>
      <c r="R156" s="9">
        <f>STATS1003B!R164/1000</f>
        <v>0</v>
      </c>
      <c r="S156" s="9">
        <f>STATS1003B!S164/1000</f>
        <v>0</v>
      </c>
      <c r="T156" s="9">
        <f>STATS1003B!T164/1000</f>
        <v>0</v>
      </c>
      <c r="U156" s="9">
        <f>STATS1003B!U164/1000</f>
        <v>0</v>
      </c>
      <c r="V156" s="9">
        <f>STATS1003B!V164/1000</f>
        <v>704.42246</v>
      </c>
      <c r="W156" s="9">
        <f>STATS1003B!W164/1000</f>
        <v>0</v>
      </c>
      <c r="X156" s="9">
        <f>STATS1003B!X164/1000</f>
        <v>704.42246</v>
      </c>
      <c r="Y156" s="9">
        <f>STATS1003B!Y164/1000</f>
        <v>0</v>
      </c>
      <c r="Z156" s="9">
        <f>STATS1003B!Z164/1000</f>
        <v>0</v>
      </c>
      <c r="AA156" s="9">
        <f>STATS1003B!AA164/1000</f>
        <v>704.42246</v>
      </c>
      <c r="AB156" s="9">
        <f>STATS1003B!AB164/1000</f>
        <v>0</v>
      </c>
    </row>
    <row r="157" spans="1:28" x14ac:dyDescent="0.35">
      <c r="A157" s="36"/>
      <c r="B157" s="6"/>
      <c r="C157" s="8"/>
      <c r="D157" s="8"/>
      <c r="E157" s="17" t="s">
        <v>29</v>
      </c>
      <c r="F157" s="17" t="s">
        <v>29</v>
      </c>
      <c r="G157" s="17" t="s">
        <v>29</v>
      </c>
      <c r="H157" s="17" t="s">
        <v>29</v>
      </c>
      <c r="I157" s="17" t="s">
        <v>29</v>
      </c>
      <c r="J157" s="17" t="s">
        <v>29</v>
      </c>
      <c r="K157" s="17" t="s">
        <v>29</v>
      </c>
      <c r="L157" s="17" t="s">
        <v>29</v>
      </c>
      <c r="M157" s="17" t="s">
        <v>29</v>
      </c>
      <c r="N157" s="17" t="s">
        <v>29</v>
      </c>
      <c r="O157" s="17" t="s">
        <v>29</v>
      </c>
      <c r="P157" s="17" t="s">
        <v>29</v>
      </c>
      <c r="Q157" s="17" t="s">
        <v>29</v>
      </c>
      <c r="R157" s="17" t="s">
        <v>29</v>
      </c>
      <c r="S157" s="17" t="s">
        <v>29</v>
      </c>
      <c r="T157" s="17" t="s">
        <v>29</v>
      </c>
      <c r="U157" s="17" t="s">
        <v>29</v>
      </c>
      <c r="V157" s="17" t="s">
        <v>29</v>
      </c>
      <c r="W157" s="17" t="s">
        <v>29</v>
      </c>
      <c r="X157" s="17" t="s">
        <v>29</v>
      </c>
      <c r="Y157" s="17" t="s">
        <v>29</v>
      </c>
      <c r="Z157" s="17" t="s">
        <v>29</v>
      </c>
      <c r="AA157" s="17" t="s">
        <v>29</v>
      </c>
      <c r="AB157" s="17" t="s">
        <v>29</v>
      </c>
    </row>
    <row r="158" spans="1:28" x14ac:dyDescent="0.35">
      <c r="A158" s="36"/>
      <c r="B158" s="6"/>
      <c r="C158" s="8"/>
      <c r="D158" s="8"/>
      <c r="E158" s="9">
        <f t="shared" ref="E158:AB158" si="8">SUM(E145:E156)</f>
        <v>76595.593860000008</v>
      </c>
      <c r="F158" s="9">
        <f t="shared" si="8"/>
        <v>47662.3704</v>
      </c>
      <c r="G158" s="9">
        <f t="shared" si="8"/>
        <v>0</v>
      </c>
      <c r="H158" s="9">
        <f t="shared" si="8"/>
        <v>47662.3704</v>
      </c>
      <c r="I158" s="9">
        <f t="shared" si="8"/>
        <v>0</v>
      </c>
      <c r="J158" s="9">
        <f t="shared" si="8"/>
        <v>0</v>
      </c>
      <c r="K158" s="9">
        <f t="shared" si="8"/>
        <v>0</v>
      </c>
      <c r="L158" s="9">
        <f t="shared" si="8"/>
        <v>0</v>
      </c>
      <c r="M158" s="9">
        <f t="shared" si="8"/>
        <v>47662.3704</v>
      </c>
      <c r="N158" s="9">
        <f t="shared" si="8"/>
        <v>28715.244380000004</v>
      </c>
      <c r="O158" s="9">
        <f t="shared" si="8"/>
        <v>0</v>
      </c>
      <c r="P158" s="9">
        <f t="shared" si="8"/>
        <v>28715.244380000004</v>
      </c>
      <c r="Q158" s="9">
        <f t="shared" si="8"/>
        <v>0</v>
      </c>
      <c r="R158" s="9">
        <f t="shared" si="8"/>
        <v>0</v>
      </c>
      <c r="S158" s="9">
        <f t="shared" si="8"/>
        <v>0</v>
      </c>
      <c r="T158" s="9">
        <f t="shared" si="8"/>
        <v>0</v>
      </c>
      <c r="U158" s="9">
        <f t="shared" si="8"/>
        <v>28715.244380000004</v>
      </c>
      <c r="V158" s="9">
        <f t="shared" si="8"/>
        <v>76377.614780000004</v>
      </c>
      <c r="W158" s="9">
        <f t="shared" si="8"/>
        <v>217.97907999999822</v>
      </c>
      <c r="X158" s="9">
        <f t="shared" si="8"/>
        <v>76377.614780000004</v>
      </c>
      <c r="Y158" s="9">
        <f t="shared" si="8"/>
        <v>0</v>
      </c>
      <c r="Z158" s="9">
        <f t="shared" si="8"/>
        <v>217.97907999999822</v>
      </c>
      <c r="AA158" s="9">
        <f t="shared" si="8"/>
        <v>76377.614780000004</v>
      </c>
      <c r="AB158" s="9">
        <f t="shared" si="8"/>
        <v>217.97907999999822</v>
      </c>
    </row>
    <row r="159" spans="1:28" x14ac:dyDescent="0.35">
      <c r="A159" s="36"/>
      <c r="B159" s="6"/>
      <c r="C159" s="8"/>
      <c r="D159" s="8"/>
      <c r="E159" s="17" t="s">
        <v>29</v>
      </c>
      <c r="F159" s="17" t="s">
        <v>29</v>
      </c>
      <c r="G159" s="17" t="s">
        <v>29</v>
      </c>
      <c r="H159" s="17" t="s">
        <v>29</v>
      </c>
      <c r="I159" s="17" t="s">
        <v>29</v>
      </c>
      <c r="J159" s="17" t="s">
        <v>29</v>
      </c>
      <c r="K159" s="17" t="s">
        <v>29</v>
      </c>
      <c r="L159" s="17" t="s">
        <v>29</v>
      </c>
      <c r="M159" s="17" t="s">
        <v>29</v>
      </c>
      <c r="N159" s="17" t="s">
        <v>29</v>
      </c>
      <c r="O159" s="17" t="s">
        <v>29</v>
      </c>
      <c r="P159" s="17" t="s">
        <v>29</v>
      </c>
      <c r="Q159" s="17" t="s">
        <v>29</v>
      </c>
      <c r="R159" s="17" t="s">
        <v>29</v>
      </c>
      <c r="S159" s="17" t="s">
        <v>29</v>
      </c>
      <c r="T159" s="17" t="s">
        <v>29</v>
      </c>
      <c r="U159" s="17" t="s">
        <v>29</v>
      </c>
      <c r="V159" s="17" t="s">
        <v>29</v>
      </c>
      <c r="W159" s="17" t="s">
        <v>29</v>
      </c>
      <c r="X159" s="17" t="s">
        <v>29</v>
      </c>
      <c r="Y159" s="17" t="s">
        <v>29</v>
      </c>
      <c r="Z159" s="17" t="s">
        <v>29</v>
      </c>
      <c r="AA159" s="17" t="s">
        <v>29</v>
      </c>
      <c r="AB159" s="17" t="s">
        <v>29</v>
      </c>
    </row>
    <row r="160" spans="1:28" x14ac:dyDescent="0.35">
      <c r="A160" s="36"/>
      <c r="B160" s="6"/>
      <c r="C160" s="8"/>
      <c r="D160" s="8"/>
      <c r="E160" s="22">
        <v>71393761.400000006</v>
      </c>
      <c r="F160" s="22">
        <v>42460537.939999998</v>
      </c>
      <c r="G160" s="22"/>
      <c r="H160" s="22">
        <v>42460537.939999998</v>
      </c>
      <c r="I160" s="22"/>
      <c r="J160" s="22"/>
      <c r="K160" s="22"/>
      <c r="L160" s="22"/>
      <c r="M160" s="22">
        <v>42460537.939999998</v>
      </c>
      <c r="N160" s="22">
        <v>28715244.379999999</v>
      </c>
      <c r="O160" s="22"/>
      <c r="P160" s="22">
        <v>28715244.379999999</v>
      </c>
      <c r="Q160" s="22"/>
      <c r="R160" s="22"/>
      <c r="S160" s="22"/>
      <c r="T160" s="22"/>
      <c r="U160" s="22">
        <v>28715244.379999999</v>
      </c>
      <c r="V160" s="22"/>
      <c r="W160" s="22"/>
      <c r="X160" s="22">
        <v>71175782.319999993</v>
      </c>
      <c r="Y160" s="22"/>
      <c r="Z160" s="22">
        <v>7639479.0800000001</v>
      </c>
    </row>
    <row r="161" spans="1:28" x14ac:dyDescent="0.35">
      <c r="A161" s="38" t="s">
        <v>942</v>
      </c>
      <c r="B161" s="7" t="s">
        <v>129</v>
      </c>
      <c r="C161" s="6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8" x14ac:dyDescent="0.35">
      <c r="A162" s="36"/>
      <c r="B162" s="6"/>
      <c r="C162" s="8"/>
      <c r="D162" s="15" t="s">
        <v>64</v>
      </c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8" x14ac:dyDescent="0.35">
      <c r="A163" s="36"/>
      <c r="B163" s="6"/>
      <c r="C163" s="7" t="s">
        <v>130</v>
      </c>
      <c r="D163" s="14" t="s">
        <v>131</v>
      </c>
      <c r="E163" s="9">
        <f>STATS1003B!E171/1000</f>
        <v>29982.042719999998</v>
      </c>
      <c r="F163" s="9">
        <f>STATS1003B!F171/1000</f>
        <v>27295.999899999999</v>
      </c>
      <c r="G163" s="9">
        <f>STATS1003B!G171/1000</f>
        <v>0</v>
      </c>
      <c r="H163" s="9">
        <f>STATS1003B!H171/1000</f>
        <v>27295.999899999999</v>
      </c>
      <c r="I163" s="9">
        <f>STATS1003B!I171/1000</f>
        <v>0</v>
      </c>
      <c r="J163" s="9">
        <f>STATS1003B!J171/1000</f>
        <v>0</v>
      </c>
      <c r="K163" s="9">
        <f>STATS1003B!K171/1000</f>
        <v>0</v>
      </c>
      <c r="L163" s="9">
        <f>STATS1003B!L171/1000</f>
        <v>0</v>
      </c>
      <c r="M163" s="9">
        <f>STATS1003B!M171/1000</f>
        <v>27295.999899999999</v>
      </c>
      <c r="N163" s="9">
        <f>STATS1003B!N171/1000</f>
        <v>2686.0428200000001</v>
      </c>
      <c r="O163" s="9">
        <f>STATS1003B!O171/1000</f>
        <v>0</v>
      </c>
      <c r="P163" s="9">
        <f>STATS1003B!P171/1000</f>
        <v>2686.0428200000001</v>
      </c>
      <c r="Q163" s="9">
        <f>STATS1003B!Q171/1000</f>
        <v>0</v>
      </c>
      <c r="R163" s="9">
        <f>STATS1003B!R171/1000</f>
        <v>0</v>
      </c>
      <c r="S163" s="9">
        <f>STATS1003B!S171/1000</f>
        <v>0</v>
      </c>
      <c r="T163" s="9">
        <f>STATS1003B!T171/1000</f>
        <v>0</v>
      </c>
      <c r="U163" s="9">
        <f>STATS1003B!U171/1000</f>
        <v>2686.0428200000001</v>
      </c>
      <c r="V163" s="9">
        <f>STATS1003B!V171/1000</f>
        <v>29982.042719999998</v>
      </c>
      <c r="W163" s="9">
        <f>STATS1003B!W171/1000</f>
        <v>0</v>
      </c>
      <c r="X163" s="9">
        <f>STATS1003B!X171/1000</f>
        <v>29982.042719999998</v>
      </c>
      <c r="Y163" s="9">
        <f>STATS1003B!Y171/1000</f>
        <v>0</v>
      </c>
      <c r="Z163" s="9">
        <f>STATS1003B!Z171/1000</f>
        <v>0</v>
      </c>
      <c r="AA163" s="9">
        <f>STATS1003B!AA171/1000</f>
        <v>29982.042719999998</v>
      </c>
      <c r="AB163" s="9">
        <f>STATS1003B!AB171/1000</f>
        <v>0</v>
      </c>
    </row>
    <row r="164" spans="1:28" x14ac:dyDescent="0.35">
      <c r="A164" s="36"/>
      <c r="B164" s="6"/>
      <c r="C164" s="7" t="s">
        <v>132</v>
      </c>
      <c r="D164" s="15" t="s">
        <v>68</v>
      </c>
      <c r="E164" s="9">
        <f>STATS1003B!E172/1000</f>
        <v>770</v>
      </c>
      <c r="F164" s="9">
        <f>STATS1003B!F172/1000</f>
        <v>770</v>
      </c>
      <c r="G164" s="9">
        <f>STATS1003B!G172/1000</f>
        <v>0</v>
      </c>
      <c r="H164" s="9">
        <f>STATS1003B!H172/1000</f>
        <v>770</v>
      </c>
      <c r="I164" s="9">
        <f>STATS1003B!I172/1000</f>
        <v>0</v>
      </c>
      <c r="J164" s="9">
        <f>STATS1003B!J172/1000</f>
        <v>0</v>
      </c>
      <c r="K164" s="9">
        <f>STATS1003B!K172/1000</f>
        <v>0</v>
      </c>
      <c r="L164" s="9">
        <f>STATS1003B!L172/1000</f>
        <v>0</v>
      </c>
      <c r="M164" s="9">
        <f>STATS1003B!M172/1000</f>
        <v>770</v>
      </c>
      <c r="N164" s="9">
        <f>STATS1003B!N172/1000</f>
        <v>0</v>
      </c>
      <c r="O164" s="9">
        <f>STATS1003B!O172/1000</f>
        <v>0</v>
      </c>
      <c r="P164" s="9">
        <f>STATS1003B!P172/1000</f>
        <v>0</v>
      </c>
      <c r="Q164" s="9">
        <f>STATS1003B!Q172/1000</f>
        <v>0</v>
      </c>
      <c r="R164" s="9">
        <f>STATS1003B!R172/1000</f>
        <v>0</v>
      </c>
      <c r="S164" s="9">
        <f>STATS1003B!S172/1000</f>
        <v>0</v>
      </c>
      <c r="T164" s="9">
        <f>STATS1003B!T172/1000</f>
        <v>0</v>
      </c>
      <c r="U164" s="9">
        <f>STATS1003B!U172/1000</f>
        <v>0</v>
      </c>
      <c r="V164" s="9">
        <f>STATS1003B!V172/1000</f>
        <v>770</v>
      </c>
      <c r="W164" s="9">
        <f>STATS1003B!W172/1000</f>
        <v>0</v>
      </c>
      <c r="X164" s="9">
        <f>STATS1003B!X172/1000</f>
        <v>770</v>
      </c>
      <c r="Y164" s="9">
        <f>STATS1003B!Y172/1000</f>
        <v>0</v>
      </c>
      <c r="Z164" s="9">
        <f>STATS1003B!Z172/1000</f>
        <v>0</v>
      </c>
      <c r="AA164" s="9">
        <f>STATS1003B!AA172/1000</f>
        <v>770</v>
      </c>
      <c r="AB164" s="9">
        <f>STATS1003B!AB172/1000</f>
        <v>0</v>
      </c>
    </row>
    <row r="165" spans="1:28" x14ac:dyDescent="0.35">
      <c r="A165" s="36"/>
      <c r="B165" s="6"/>
      <c r="C165" s="7" t="s">
        <v>55</v>
      </c>
      <c r="D165" s="15" t="s">
        <v>68</v>
      </c>
      <c r="E165" s="9">
        <f>STATS1003B!E173/1000</f>
        <v>3139.1705000000002</v>
      </c>
      <c r="F165" s="9">
        <f>STATS1003B!F173/1000</f>
        <v>0</v>
      </c>
      <c r="G165" s="9">
        <f>STATS1003B!G173/1000</f>
        <v>0</v>
      </c>
      <c r="H165" s="9">
        <f>STATS1003B!H173/1000</f>
        <v>0</v>
      </c>
      <c r="I165" s="9">
        <f>STATS1003B!I173/1000</f>
        <v>0</v>
      </c>
      <c r="J165" s="9">
        <f>STATS1003B!J173/1000</f>
        <v>0</v>
      </c>
      <c r="K165" s="9">
        <f>STATS1003B!K173/1000</f>
        <v>0</v>
      </c>
      <c r="L165" s="9">
        <f>STATS1003B!L173/1000</f>
        <v>0</v>
      </c>
      <c r="M165" s="9">
        <f>STATS1003B!M173/1000</f>
        <v>0</v>
      </c>
      <c r="N165" s="9">
        <f>STATS1003B!N173/1000</f>
        <v>3139.1705000000002</v>
      </c>
      <c r="O165" s="9">
        <f>STATS1003B!O173/1000</f>
        <v>0</v>
      </c>
      <c r="P165" s="9">
        <f>STATS1003B!P173/1000</f>
        <v>3139.1705000000002</v>
      </c>
      <c r="Q165" s="9">
        <f>STATS1003B!Q173/1000</f>
        <v>0</v>
      </c>
      <c r="R165" s="9">
        <f>STATS1003B!R173/1000</f>
        <v>0</v>
      </c>
      <c r="S165" s="9">
        <f>STATS1003B!S173/1000</f>
        <v>0</v>
      </c>
      <c r="T165" s="9">
        <f>STATS1003B!T173/1000</f>
        <v>0</v>
      </c>
      <c r="U165" s="9">
        <f>STATS1003B!U173/1000</f>
        <v>3139.1705000000002</v>
      </c>
      <c r="V165" s="9">
        <f>STATS1003B!V173/1000</f>
        <v>3139.1705000000002</v>
      </c>
      <c r="W165" s="9">
        <f>STATS1003B!W173/1000</f>
        <v>0</v>
      </c>
      <c r="X165" s="9">
        <f>STATS1003B!X173/1000</f>
        <v>3139.1705000000002</v>
      </c>
      <c r="Y165" s="9">
        <f>STATS1003B!Y173/1000</f>
        <v>0</v>
      </c>
      <c r="Z165" s="9">
        <f>STATS1003B!Z173/1000</f>
        <v>0</v>
      </c>
      <c r="AA165" s="9">
        <f>STATS1003B!AA173/1000</f>
        <v>3139.1705000000002</v>
      </c>
      <c r="AB165" s="9">
        <f>STATS1003B!AB173/1000</f>
        <v>0</v>
      </c>
    </row>
    <row r="166" spans="1:28" x14ac:dyDescent="0.35">
      <c r="A166" s="36"/>
      <c r="B166" s="6"/>
      <c r="C166" s="7" t="s">
        <v>53</v>
      </c>
      <c r="D166" s="15" t="s">
        <v>54</v>
      </c>
      <c r="E166" s="9">
        <f>STATS1003B!E174/1000</f>
        <v>1767.77</v>
      </c>
      <c r="F166" s="9">
        <f>STATS1003B!F174/1000</f>
        <v>0</v>
      </c>
      <c r="G166" s="9">
        <f>STATS1003B!G174/1000</f>
        <v>0</v>
      </c>
      <c r="H166" s="9">
        <f>STATS1003B!H174/1000</f>
        <v>0</v>
      </c>
      <c r="I166" s="9">
        <f>STATS1003B!I174/1000</f>
        <v>0</v>
      </c>
      <c r="J166" s="9">
        <f>STATS1003B!J174/1000</f>
        <v>0</v>
      </c>
      <c r="K166" s="9">
        <f>STATS1003B!K174/1000</f>
        <v>0</v>
      </c>
      <c r="L166" s="9">
        <f>STATS1003B!L174/1000</f>
        <v>0</v>
      </c>
      <c r="M166" s="9">
        <f>STATS1003B!M174/1000</f>
        <v>0</v>
      </c>
      <c r="N166" s="9">
        <f>STATS1003B!N174/1000</f>
        <v>1767.77</v>
      </c>
      <c r="O166" s="9">
        <f>STATS1003B!O174/1000</f>
        <v>0</v>
      </c>
      <c r="P166" s="9">
        <f>STATS1003B!P174/1000</f>
        <v>1767.77</v>
      </c>
      <c r="Q166" s="9">
        <f>STATS1003B!Q174/1000</f>
        <v>0</v>
      </c>
      <c r="R166" s="9">
        <f>STATS1003B!R174/1000</f>
        <v>0</v>
      </c>
      <c r="S166" s="9">
        <f>STATS1003B!S174/1000</f>
        <v>0</v>
      </c>
      <c r="T166" s="9">
        <f>STATS1003B!T174/1000</f>
        <v>0</v>
      </c>
      <c r="U166" s="9">
        <f>STATS1003B!U174/1000</f>
        <v>1767.77</v>
      </c>
      <c r="V166" s="9">
        <f>STATS1003B!V174/1000</f>
        <v>1767.77</v>
      </c>
      <c r="W166" s="9">
        <f>STATS1003B!W174/1000</f>
        <v>0</v>
      </c>
      <c r="X166" s="9">
        <f>STATS1003B!X174/1000</f>
        <v>1767.77</v>
      </c>
      <c r="Y166" s="9">
        <f>STATS1003B!Y174/1000</f>
        <v>0</v>
      </c>
      <c r="Z166" s="9">
        <f>STATS1003B!Z174/1000</f>
        <v>0</v>
      </c>
      <c r="AA166" s="9">
        <f>STATS1003B!AA174/1000</f>
        <v>1767.77</v>
      </c>
      <c r="AB166" s="9">
        <f>STATS1003B!AB174/1000</f>
        <v>0</v>
      </c>
    </row>
    <row r="167" spans="1:28" x14ac:dyDescent="0.35">
      <c r="A167" s="36"/>
      <c r="B167" s="6"/>
      <c r="C167" s="7" t="s">
        <v>57</v>
      </c>
      <c r="D167" s="15" t="s">
        <v>58</v>
      </c>
      <c r="E167" s="9">
        <f>STATS1003B!E175/1000</f>
        <v>0</v>
      </c>
      <c r="F167" s="9">
        <f>STATS1003B!F175/1000</f>
        <v>0</v>
      </c>
      <c r="G167" s="9">
        <f>STATS1003B!G175/1000</f>
        <v>0</v>
      </c>
      <c r="H167" s="9">
        <f>STATS1003B!H175/1000</f>
        <v>0</v>
      </c>
      <c r="I167" s="9">
        <f>STATS1003B!I175/1000</f>
        <v>0</v>
      </c>
      <c r="J167" s="9">
        <f>STATS1003B!J175/1000</f>
        <v>0</v>
      </c>
      <c r="K167" s="9">
        <f>STATS1003B!K175/1000</f>
        <v>0</v>
      </c>
      <c r="L167" s="9">
        <f>STATS1003B!L175/1000</f>
        <v>0</v>
      </c>
      <c r="M167" s="9">
        <f>STATS1003B!M175/1000</f>
        <v>0</v>
      </c>
      <c r="N167" s="9">
        <f>STATS1003B!N175/1000</f>
        <v>0</v>
      </c>
      <c r="O167" s="9">
        <f>STATS1003B!O175/1000</f>
        <v>0</v>
      </c>
      <c r="P167" s="9">
        <f>STATS1003B!P175/1000</f>
        <v>0</v>
      </c>
      <c r="Q167" s="9">
        <f>STATS1003B!Q175/1000</f>
        <v>0</v>
      </c>
      <c r="R167" s="9">
        <f>STATS1003B!R175/1000</f>
        <v>0</v>
      </c>
      <c r="S167" s="9">
        <f>STATS1003B!S175/1000</f>
        <v>0</v>
      </c>
      <c r="T167" s="9">
        <f>STATS1003B!T175/1000</f>
        <v>0</v>
      </c>
      <c r="U167" s="9">
        <f>STATS1003B!U175/1000</f>
        <v>0</v>
      </c>
      <c r="V167" s="9">
        <f>STATS1003B!V175/1000</f>
        <v>0</v>
      </c>
      <c r="W167" s="9">
        <f>STATS1003B!W175/1000</f>
        <v>0</v>
      </c>
      <c r="X167" s="9">
        <f>STATS1003B!X175/1000</f>
        <v>0</v>
      </c>
      <c r="Y167" s="9">
        <f>STATS1003B!Y175/1000</f>
        <v>0</v>
      </c>
      <c r="Z167" s="9">
        <f>STATS1003B!Z175/1000</f>
        <v>0</v>
      </c>
      <c r="AA167" s="9">
        <f>STATS1003B!AA175/1000</f>
        <v>0</v>
      </c>
      <c r="AB167" s="9">
        <f>STATS1003B!AB175/1000</f>
        <v>0</v>
      </c>
    </row>
    <row r="168" spans="1:28" x14ac:dyDescent="0.35">
      <c r="A168" s="36"/>
      <c r="B168" s="6"/>
      <c r="C168" s="7" t="s">
        <v>57</v>
      </c>
      <c r="D168" s="15" t="s">
        <v>60</v>
      </c>
      <c r="E168" s="9">
        <f>STATS1003B!E176/1000</f>
        <v>1348.7571499999999</v>
      </c>
      <c r="F168" s="9">
        <f>STATS1003B!F176/1000</f>
        <v>1348.7571499999999</v>
      </c>
      <c r="G168" s="9">
        <f>STATS1003B!G176/1000</f>
        <v>0</v>
      </c>
      <c r="H168" s="9">
        <f>STATS1003B!H176/1000</f>
        <v>1348.7571499999999</v>
      </c>
      <c r="I168" s="9">
        <f>STATS1003B!I176/1000</f>
        <v>0</v>
      </c>
      <c r="J168" s="9">
        <f>STATS1003B!J176/1000</f>
        <v>0</v>
      </c>
      <c r="K168" s="9">
        <f>STATS1003B!K176/1000</f>
        <v>0</v>
      </c>
      <c r="L168" s="9">
        <f>STATS1003B!L176/1000</f>
        <v>0</v>
      </c>
      <c r="M168" s="9">
        <f>STATS1003B!M176/1000</f>
        <v>1348.7571499999999</v>
      </c>
      <c r="N168" s="9">
        <f>STATS1003B!N176/1000</f>
        <v>0</v>
      </c>
      <c r="O168" s="9">
        <f>STATS1003B!O176/1000</f>
        <v>0</v>
      </c>
      <c r="P168" s="9">
        <f>STATS1003B!P176/1000</f>
        <v>0</v>
      </c>
      <c r="Q168" s="9">
        <f>STATS1003B!Q176/1000</f>
        <v>0</v>
      </c>
      <c r="R168" s="9">
        <f>STATS1003B!R176/1000</f>
        <v>0</v>
      </c>
      <c r="S168" s="9">
        <f>STATS1003B!S176/1000</f>
        <v>0</v>
      </c>
      <c r="T168" s="9">
        <f>STATS1003B!T176/1000</f>
        <v>0</v>
      </c>
      <c r="U168" s="9">
        <f>STATS1003B!U176/1000</f>
        <v>0</v>
      </c>
      <c r="V168" s="9">
        <f>STATS1003B!V176/1000</f>
        <v>1348.7571499999999</v>
      </c>
      <c r="W168" s="9">
        <f>STATS1003B!W176/1000</f>
        <v>0</v>
      </c>
      <c r="X168" s="9">
        <f>STATS1003B!X176/1000</f>
        <v>1348.7571499999999</v>
      </c>
      <c r="Y168" s="9">
        <f>STATS1003B!Y176/1000</f>
        <v>0</v>
      </c>
      <c r="Z168" s="9">
        <f>STATS1003B!Z176/1000</f>
        <v>0</v>
      </c>
      <c r="AA168" s="9">
        <f>STATS1003B!AA176/1000</f>
        <v>1348.7571499999999</v>
      </c>
      <c r="AB168" s="9">
        <f>STATS1003B!AB176/1000</f>
        <v>0</v>
      </c>
    </row>
    <row r="169" spans="1:28" x14ac:dyDescent="0.35">
      <c r="A169" s="36"/>
      <c r="B169" s="6"/>
      <c r="C169" s="14" t="s">
        <v>109</v>
      </c>
      <c r="D169" s="21" t="s">
        <v>60</v>
      </c>
      <c r="E169" s="9">
        <f>STATS1003B!E177/1000</f>
        <v>2500</v>
      </c>
      <c r="F169" s="9">
        <f>STATS1003B!F177/1000</f>
        <v>2500</v>
      </c>
      <c r="G169" s="9">
        <f>STATS1003B!G177/1000</f>
        <v>0</v>
      </c>
      <c r="H169" s="9">
        <f>STATS1003B!H177/1000</f>
        <v>2500</v>
      </c>
      <c r="I169" s="9">
        <f>STATS1003B!I177/1000</f>
        <v>0</v>
      </c>
      <c r="J169" s="9">
        <f>STATS1003B!J177/1000</f>
        <v>0</v>
      </c>
      <c r="K169" s="9">
        <f>STATS1003B!K177/1000</f>
        <v>0</v>
      </c>
      <c r="L169" s="9">
        <f>STATS1003B!L177/1000</f>
        <v>0</v>
      </c>
      <c r="M169" s="9">
        <f>STATS1003B!M177/1000</f>
        <v>2500</v>
      </c>
      <c r="N169" s="9">
        <f>STATS1003B!N177/1000</f>
        <v>0</v>
      </c>
      <c r="O169" s="9">
        <f>STATS1003B!O177/1000</f>
        <v>0</v>
      </c>
      <c r="P169" s="9">
        <f>STATS1003B!P177/1000</f>
        <v>0</v>
      </c>
      <c r="Q169" s="9">
        <f>STATS1003B!Q177/1000</f>
        <v>0</v>
      </c>
      <c r="R169" s="9">
        <f>STATS1003B!R177/1000</f>
        <v>0</v>
      </c>
      <c r="S169" s="9">
        <f>STATS1003B!S177/1000</f>
        <v>0</v>
      </c>
      <c r="T169" s="9">
        <f>STATS1003B!T177/1000</f>
        <v>0</v>
      </c>
      <c r="U169" s="9">
        <f>STATS1003B!U177/1000</f>
        <v>0</v>
      </c>
      <c r="V169" s="9">
        <f>STATS1003B!V177/1000</f>
        <v>2500</v>
      </c>
      <c r="W169" s="9">
        <f>STATS1003B!W177/1000</f>
        <v>0</v>
      </c>
      <c r="X169" s="9">
        <f>STATS1003B!X177/1000</f>
        <v>2500</v>
      </c>
      <c r="Y169" s="9">
        <f>STATS1003B!Y177/1000</f>
        <v>0</v>
      </c>
      <c r="Z169" s="9">
        <f>STATS1003B!Z177/1000</f>
        <v>0</v>
      </c>
      <c r="AA169" s="9">
        <f>STATS1003B!AA177/1000</f>
        <v>2500</v>
      </c>
      <c r="AB169" s="9">
        <f>STATS1003B!AB177/1000</f>
        <v>0</v>
      </c>
    </row>
    <row r="170" spans="1:28" x14ac:dyDescent="0.35">
      <c r="A170" s="36"/>
      <c r="B170" s="6"/>
      <c r="C170" s="14" t="s">
        <v>95</v>
      </c>
      <c r="D170" s="21" t="s">
        <v>73</v>
      </c>
      <c r="E170" s="9">
        <f>STATS1003B!E178/1000</f>
        <v>3111</v>
      </c>
      <c r="F170" s="9">
        <f>STATS1003B!F178/1000</f>
        <v>3111</v>
      </c>
      <c r="G170" s="9">
        <f>STATS1003B!G178/1000</f>
        <v>0</v>
      </c>
      <c r="H170" s="9">
        <f>STATS1003B!H178/1000</f>
        <v>3111</v>
      </c>
      <c r="I170" s="9">
        <f>STATS1003B!I178/1000</f>
        <v>0</v>
      </c>
      <c r="J170" s="9">
        <f>STATS1003B!J178/1000</f>
        <v>0</v>
      </c>
      <c r="K170" s="9">
        <f>STATS1003B!K178/1000</f>
        <v>0</v>
      </c>
      <c r="L170" s="9">
        <f>STATS1003B!L178/1000</f>
        <v>0</v>
      </c>
      <c r="M170" s="9">
        <f>STATS1003B!M178/1000</f>
        <v>3111</v>
      </c>
      <c r="N170" s="9">
        <f>STATS1003B!N178/1000</f>
        <v>0</v>
      </c>
      <c r="O170" s="9">
        <f>STATS1003B!O178/1000</f>
        <v>0</v>
      </c>
      <c r="P170" s="9">
        <f>STATS1003B!P178/1000</f>
        <v>0</v>
      </c>
      <c r="Q170" s="9">
        <f>STATS1003B!Q178/1000</f>
        <v>0</v>
      </c>
      <c r="R170" s="9">
        <f>STATS1003B!R178/1000</f>
        <v>0</v>
      </c>
      <c r="S170" s="9">
        <f>STATS1003B!S178/1000</f>
        <v>0</v>
      </c>
      <c r="T170" s="9">
        <f>STATS1003B!T178/1000</f>
        <v>0</v>
      </c>
      <c r="U170" s="9">
        <f>STATS1003B!U178/1000</f>
        <v>0</v>
      </c>
      <c r="V170" s="9">
        <f>STATS1003B!V178/1000</f>
        <v>3111</v>
      </c>
      <c r="W170" s="9">
        <f>STATS1003B!W178/1000</f>
        <v>0</v>
      </c>
      <c r="X170" s="9">
        <f>STATS1003B!X178/1000</f>
        <v>3111</v>
      </c>
      <c r="Y170" s="9">
        <f>STATS1003B!Y178/1000</f>
        <v>0</v>
      </c>
      <c r="Z170" s="9">
        <f>STATS1003B!Z178/1000</f>
        <v>0</v>
      </c>
      <c r="AA170" s="9">
        <f>STATS1003B!AA178/1000</f>
        <v>3111</v>
      </c>
      <c r="AB170" s="9">
        <f>STATS1003B!AB178/1000</f>
        <v>0</v>
      </c>
    </row>
    <row r="171" spans="1:28" x14ac:dyDescent="0.35">
      <c r="A171" s="36"/>
      <c r="B171" s="6"/>
      <c r="C171" s="14" t="s">
        <v>121</v>
      </c>
      <c r="D171" s="21" t="s">
        <v>73</v>
      </c>
      <c r="E171" s="9">
        <f>STATS1003B!E179/1000</f>
        <v>500</v>
      </c>
      <c r="F171" s="9">
        <f>STATS1003B!F179/1000</f>
        <v>500</v>
      </c>
      <c r="G171" s="9">
        <f>STATS1003B!G179/1000</f>
        <v>0</v>
      </c>
      <c r="H171" s="9">
        <f>STATS1003B!H179/1000</f>
        <v>500</v>
      </c>
      <c r="I171" s="9">
        <f>STATS1003B!I179/1000</f>
        <v>0</v>
      </c>
      <c r="J171" s="9">
        <f>STATS1003B!J179/1000</f>
        <v>0</v>
      </c>
      <c r="K171" s="9">
        <f>STATS1003B!K179/1000</f>
        <v>0</v>
      </c>
      <c r="L171" s="9">
        <f>STATS1003B!L179/1000</f>
        <v>0</v>
      </c>
      <c r="M171" s="9">
        <f>STATS1003B!M179/1000</f>
        <v>500</v>
      </c>
      <c r="N171" s="9">
        <f>STATS1003B!N179/1000</f>
        <v>0</v>
      </c>
      <c r="O171" s="9">
        <f>STATS1003B!O179/1000</f>
        <v>0</v>
      </c>
      <c r="P171" s="9">
        <f>STATS1003B!P179/1000</f>
        <v>0</v>
      </c>
      <c r="Q171" s="9">
        <f>STATS1003B!Q179/1000</f>
        <v>0</v>
      </c>
      <c r="R171" s="9">
        <f>STATS1003B!R179/1000</f>
        <v>0</v>
      </c>
      <c r="S171" s="9">
        <f>STATS1003B!S179/1000</f>
        <v>0</v>
      </c>
      <c r="T171" s="9">
        <f>STATS1003B!T179/1000</f>
        <v>0</v>
      </c>
      <c r="U171" s="9">
        <f>STATS1003B!U179/1000</f>
        <v>0</v>
      </c>
      <c r="V171" s="9">
        <f>STATS1003B!V179/1000</f>
        <v>500</v>
      </c>
      <c r="W171" s="9">
        <f>STATS1003B!W179/1000</f>
        <v>0</v>
      </c>
      <c r="X171" s="9">
        <f>STATS1003B!X179/1000</f>
        <v>500</v>
      </c>
      <c r="Y171" s="9">
        <f>STATS1003B!Y179/1000</f>
        <v>0</v>
      </c>
      <c r="Z171" s="9">
        <f>STATS1003B!Z179/1000</f>
        <v>0</v>
      </c>
      <c r="AA171" s="9">
        <f>STATS1003B!AA179/1000</f>
        <v>500</v>
      </c>
      <c r="AB171" s="9">
        <f>STATS1003B!AB179/1000</f>
        <v>0</v>
      </c>
    </row>
    <row r="172" spans="1:28" x14ac:dyDescent="0.35">
      <c r="A172" s="36"/>
      <c r="B172" s="6"/>
      <c r="C172" s="14" t="s">
        <v>930</v>
      </c>
      <c r="D172" s="24" t="s">
        <v>1072</v>
      </c>
      <c r="E172" s="9">
        <f>STATS1003B!E180/1000</f>
        <v>5375</v>
      </c>
      <c r="F172" s="9">
        <f>STATS1003B!F180/1000</f>
        <v>5375</v>
      </c>
      <c r="G172" s="9">
        <f>STATS1003B!G180/1000</f>
        <v>0</v>
      </c>
      <c r="H172" s="9">
        <f>STATS1003B!H180/1000</f>
        <v>5375</v>
      </c>
      <c r="I172" s="9">
        <f>STATS1003B!I180/1000</f>
        <v>0</v>
      </c>
      <c r="J172" s="9">
        <f>STATS1003B!J180/1000</f>
        <v>0</v>
      </c>
      <c r="K172" s="9">
        <f>STATS1003B!K180/1000</f>
        <v>0</v>
      </c>
      <c r="L172" s="9">
        <f>STATS1003B!L180/1000</f>
        <v>0</v>
      </c>
      <c r="M172" s="9">
        <f>STATS1003B!M180/1000</f>
        <v>5375</v>
      </c>
      <c r="N172" s="9">
        <f>STATS1003B!N180/1000</f>
        <v>0</v>
      </c>
      <c r="O172" s="9">
        <f>STATS1003B!O180/1000</f>
        <v>0</v>
      </c>
      <c r="P172" s="9">
        <f>STATS1003B!P180/1000</f>
        <v>0</v>
      </c>
      <c r="Q172" s="9">
        <f>STATS1003B!Q180/1000</f>
        <v>0</v>
      </c>
      <c r="R172" s="9">
        <f>STATS1003B!R180/1000</f>
        <v>0</v>
      </c>
      <c r="S172" s="9">
        <f>STATS1003B!S180/1000</f>
        <v>0</v>
      </c>
      <c r="T172" s="9">
        <f>STATS1003B!T180/1000</f>
        <v>0</v>
      </c>
      <c r="U172" s="9">
        <f>STATS1003B!U180/1000</f>
        <v>0</v>
      </c>
      <c r="V172" s="9">
        <f>STATS1003B!V180/1000</f>
        <v>5375</v>
      </c>
      <c r="W172" s="9">
        <f>STATS1003B!W180/1000</f>
        <v>0</v>
      </c>
      <c r="X172" s="9">
        <f>STATS1003B!X180/1000</f>
        <v>5375</v>
      </c>
      <c r="Y172" s="9">
        <f>STATS1003B!Y180/1000</f>
        <v>0</v>
      </c>
      <c r="Z172" s="9">
        <f>STATS1003B!Z180/1000</f>
        <v>0</v>
      </c>
      <c r="AA172" s="9">
        <f>STATS1003B!AA180/1000</f>
        <v>5375</v>
      </c>
      <c r="AB172" s="9">
        <f>STATS1003B!AB180/1000</f>
        <v>0</v>
      </c>
    </row>
    <row r="173" spans="1:28" x14ac:dyDescent="0.35">
      <c r="A173" s="36"/>
      <c r="B173" s="6"/>
      <c r="C173" s="14" t="s">
        <v>1106</v>
      </c>
      <c r="D173" s="24" t="s">
        <v>1072</v>
      </c>
      <c r="E173" s="9">
        <f>STATS1003B!E181/1000</f>
        <v>1091.7517700000001</v>
      </c>
      <c r="F173" s="9">
        <f>STATS1003B!F181/1000</f>
        <v>1091.7517700000001</v>
      </c>
      <c r="G173" s="9">
        <f>STATS1003B!G181/1000</f>
        <v>0</v>
      </c>
      <c r="H173" s="9">
        <f>STATS1003B!H181/1000</f>
        <v>1091.7517700000001</v>
      </c>
      <c r="I173" s="9">
        <f>STATS1003B!I181/1000</f>
        <v>0</v>
      </c>
      <c r="J173" s="9">
        <f>STATS1003B!J181/1000</f>
        <v>0</v>
      </c>
      <c r="K173" s="9">
        <f>STATS1003B!K181/1000</f>
        <v>0</v>
      </c>
      <c r="L173" s="9">
        <f>STATS1003B!L181/1000</f>
        <v>0</v>
      </c>
      <c r="M173" s="9">
        <f>STATS1003B!M181/1000</f>
        <v>1091.7517700000001</v>
      </c>
      <c r="N173" s="9">
        <f>STATS1003B!N181/1000</f>
        <v>0</v>
      </c>
      <c r="O173" s="9">
        <f>STATS1003B!O181/1000</f>
        <v>0</v>
      </c>
      <c r="P173" s="9">
        <f>STATS1003B!P181/1000</f>
        <v>0</v>
      </c>
      <c r="Q173" s="9">
        <f>STATS1003B!Q181/1000</f>
        <v>0</v>
      </c>
      <c r="R173" s="9">
        <f>STATS1003B!R181/1000</f>
        <v>0</v>
      </c>
      <c r="S173" s="9">
        <f>STATS1003B!S181/1000</f>
        <v>0</v>
      </c>
      <c r="T173" s="9">
        <f>STATS1003B!T181/1000</f>
        <v>0</v>
      </c>
      <c r="U173" s="9">
        <f>STATS1003B!U181/1000</f>
        <v>0</v>
      </c>
      <c r="V173" s="9">
        <f>STATS1003B!V181/1000</f>
        <v>1091.7517700000001</v>
      </c>
      <c r="W173" s="9">
        <f>STATS1003B!W181/1000</f>
        <v>0</v>
      </c>
      <c r="X173" s="9">
        <f>STATS1003B!X181/1000</f>
        <v>1091.7517700000001</v>
      </c>
      <c r="Y173" s="9">
        <f>STATS1003B!Y181/1000</f>
        <v>0</v>
      </c>
      <c r="Z173" s="9">
        <f>STATS1003B!Z181/1000</f>
        <v>0</v>
      </c>
      <c r="AA173" s="9">
        <f>STATS1003B!AA181/1000</f>
        <v>1091.7517700000001</v>
      </c>
      <c r="AB173" s="9">
        <f>STATS1003B!AB181/1000</f>
        <v>0</v>
      </c>
    </row>
    <row r="174" spans="1:28" x14ac:dyDescent="0.35">
      <c r="A174" s="36"/>
      <c r="B174" s="6"/>
      <c r="C174" s="7" t="s">
        <v>57</v>
      </c>
      <c r="D174" s="15" t="s">
        <v>61</v>
      </c>
      <c r="E174" s="9">
        <f>STATS1003B!E182/1000</f>
        <v>992.68365000000006</v>
      </c>
      <c r="F174" s="9">
        <f>STATS1003B!F182/1000</f>
        <v>981.10997999999995</v>
      </c>
      <c r="G174" s="9">
        <f>STATS1003B!G182/1000</f>
        <v>0</v>
      </c>
      <c r="H174" s="9">
        <f>STATS1003B!H182/1000</f>
        <v>981.10997999999995</v>
      </c>
      <c r="I174" s="9">
        <f>STATS1003B!I182/1000</f>
        <v>0</v>
      </c>
      <c r="J174" s="9">
        <f>STATS1003B!J182/1000</f>
        <v>0</v>
      </c>
      <c r="K174" s="9">
        <f>STATS1003B!K182/1000</f>
        <v>0</v>
      </c>
      <c r="L174" s="9">
        <f>STATS1003B!L182/1000</f>
        <v>0</v>
      </c>
      <c r="M174" s="9">
        <f>STATS1003B!M182/1000</f>
        <v>981.10997999999995</v>
      </c>
      <c r="N174" s="9">
        <f>STATS1003B!N182/1000</f>
        <v>0</v>
      </c>
      <c r="O174" s="9">
        <f>STATS1003B!O182/1000</f>
        <v>0</v>
      </c>
      <c r="P174" s="9">
        <f>STATS1003B!P182/1000</f>
        <v>0</v>
      </c>
      <c r="Q174" s="9">
        <f>STATS1003B!Q182/1000</f>
        <v>11.57367</v>
      </c>
      <c r="R174" s="9">
        <f>STATS1003B!R182/1000</f>
        <v>0</v>
      </c>
      <c r="S174" s="9">
        <f>STATS1003B!S182/1000</f>
        <v>0</v>
      </c>
      <c r="T174" s="9">
        <f>STATS1003B!T182/1000</f>
        <v>11.57367</v>
      </c>
      <c r="U174" s="9">
        <f>STATS1003B!U182/1000</f>
        <v>11.57367</v>
      </c>
      <c r="V174" s="9">
        <f>STATS1003B!V182/1000</f>
        <v>981.10997999999995</v>
      </c>
      <c r="W174" s="9">
        <f>STATS1003B!W182/1000</f>
        <v>11.573670000000043</v>
      </c>
      <c r="X174" s="9">
        <f>STATS1003B!X182/1000</f>
        <v>981.10997999999995</v>
      </c>
      <c r="Y174" s="9">
        <f>STATS1003B!Y182/1000</f>
        <v>0</v>
      </c>
      <c r="Z174" s="9">
        <f>STATS1003B!Z182/1000</f>
        <v>11.573670000000043</v>
      </c>
      <c r="AA174" s="9">
        <f>STATS1003B!AA182/1000</f>
        <v>992.68365000000006</v>
      </c>
      <c r="AB174" s="9">
        <f>STATS1003B!AB182/1000</f>
        <v>0</v>
      </c>
    </row>
    <row r="175" spans="1:28" x14ac:dyDescent="0.35">
      <c r="A175" s="36"/>
      <c r="B175" s="6"/>
      <c r="C175" s="8"/>
      <c r="D175" s="8"/>
      <c r="E175" s="17" t="s">
        <v>29</v>
      </c>
      <c r="F175" s="17" t="s">
        <v>29</v>
      </c>
      <c r="G175" s="17" t="s">
        <v>29</v>
      </c>
      <c r="H175" s="17" t="s">
        <v>29</v>
      </c>
      <c r="I175" s="17" t="s">
        <v>29</v>
      </c>
      <c r="J175" s="17" t="s">
        <v>29</v>
      </c>
      <c r="K175" s="17" t="s">
        <v>29</v>
      </c>
      <c r="L175" s="17" t="s">
        <v>29</v>
      </c>
      <c r="M175" s="17" t="s">
        <v>29</v>
      </c>
      <c r="N175" s="17" t="s">
        <v>29</v>
      </c>
      <c r="O175" s="17" t="s">
        <v>29</v>
      </c>
      <c r="P175" s="17" t="s">
        <v>29</v>
      </c>
      <c r="Q175" s="17" t="s">
        <v>29</v>
      </c>
      <c r="R175" s="17" t="s">
        <v>29</v>
      </c>
      <c r="S175" s="17" t="s">
        <v>29</v>
      </c>
      <c r="T175" s="17" t="s">
        <v>29</v>
      </c>
      <c r="U175" s="17" t="s">
        <v>29</v>
      </c>
      <c r="V175" s="17" t="s">
        <v>29</v>
      </c>
      <c r="W175" s="17" t="s">
        <v>29</v>
      </c>
      <c r="X175" s="17" t="s">
        <v>29</v>
      </c>
      <c r="Y175" s="17" t="s">
        <v>29</v>
      </c>
      <c r="Z175" s="17" t="s">
        <v>29</v>
      </c>
      <c r="AA175" s="17" t="s">
        <v>29</v>
      </c>
      <c r="AB175" s="17" t="s">
        <v>29</v>
      </c>
    </row>
    <row r="176" spans="1:28" x14ac:dyDescent="0.35">
      <c r="A176" s="36"/>
      <c r="B176" s="6"/>
      <c r="C176" s="8"/>
      <c r="D176" s="8"/>
      <c r="E176" s="9">
        <f t="shared" ref="E176:AB176" si="9">SUM(E163:E174)</f>
        <v>50578.175789999994</v>
      </c>
      <c r="F176" s="9">
        <f t="shared" si="9"/>
        <v>42973.618800000004</v>
      </c>
      <c r="G176" s="9">
        <f t="shared" si="9"/>
        <v>0</v>
      </c>
      <c r="H176" s="9">
        <f t="shared" si="9"/>
        <v>42973.618800000004</v>
      </c>
      <c r="I176" s="9">
        <f t="shared" si="9"/>
        <v>0</v>
      </c>
      <c r="J176" s="9">
        <f t="shared" si="9"/>
        <v>0</v>
      </c>
      <c r="K176" s="9">
        <f t="shared" si="9"/>
        <v>0</v>
      </c>
      <c r="L176" s="9">
        <f t="shared" si="9"/>
        <v>0</v>
      </c>
      <c r="M176" s="9">
        <f t="shared" si="9"/>
        <v>42973.618800000004</v>
      </c>
      <c r="N176" s="9">
        <f t="shared" si="9"/>
        <v>7592.9833200000012</v>
      </c>
      <c r="O176" s="9">
        <f t="shared" si="9"/>
        <v>0</v>
      </c>
      <c r="P176" s="9">
        <f t="shared" si="9"/>
        <v>7592.9833200000012</v>
      </c>
      <c r="Q176" s="9">
        <f t="shared" si="9"/>
        <v>11.57367</v>
      </c>
      <c r="R176" s="9">
        <f t="shared" si="9"/>
        <v>0</v>
      </c>
      <c r="S176" s="9">
        <f t="shared" si="9"/>
        <v>0</v>
      </c>
      <c r="T176" s="9">
        <f t="shared" si="9"/>
        <v>11.57367</v>
      </c>
      <c r="U176" s="9">
        <f t="shared" si="9"/>
        <v>7604.556990000001</v>
      </c>
      <c r="V176" s="9">
        <f t="shared" si="9"/>
        <v>50566.602119999996</v>
      </c>
      <c r="W176" s="9">
        <f t="shared" si="9"/>
        <v>11.573670000000043</v>
      </c>
      <c r="X176" s="9">
        <f t="shared" si="9"/>
        <v>50566.602119999996</v>
      </c>
      <c r="Y176" s="9">
        <f t="shared" si="9"/>
        <v>0</v>
      </c>
      <c r="Z176" s="9">
        <f t="shared" si="9"/>
        <v>11.573670000000043</v>
      </c>
      <c r="AA176" s="9">
        <f t="shared" si="9"/>
        <v>50578.175789999994</v>
      </c>
      <c r="AB176" s="9">
        <f t="shared" si="9"/>
        <v>0</v>
      </c>
    </row>
    <row r="177" spans="1:28" x14ac:dyDescent="0.35">
      <c r="A177" s="36"/>
      <c r="B177" s="6"/>
      <c r="C177" s="8"/>
      <c r="D177" s="8"/>
      <c r="E177" s="17" t="s">
        <v>29</v>
      </c>
      <c r="F177" s="17" t="s">
        <v>29</v>
      </c>
      <c r="G177" s="17" t="s">
        <v>29</v>
      </c>
      <c r="H177" s="17" t="s">
        <v>29</v>
      </c>
      <c r="I177" s="17" t="s">
        <v>29</v>
      </c>
      <c r="J177" s="17" t="s">
        <v>29</v>
      </c>
      <c r="K177" s="17" t="s">
        <v>29</v>
      </c>
      <c r="L177" s="17" t="s">
        <v>29</v>
      </c>
      <c r="M177" s="17" t="s">
        <v>29</v>
      </c>
      <c r="N177" s="17" t="s">
        <v>29</v>
      </c>
      <c r="O177" s="17" t="s">
        <v>29</v>
      </c>
      <c r="P177" s="17" t="s">
        <v>29</v>
      </c>
      <c r="Q177" s="17" t="s">
        <v>29</v>
      </c>
      <c r="R177" s="17" t="s">
        <v>29</v>
      </c>
      <c r="S177" s="17" t="s">
        <v>29</v>
      </c>
      <c r="T177" s="17" t="s">
        <v>29</v>
      </c>
      <c r="U177" s="17" t="s">
        <v>29</v>
      </c>
      <c r="V177" s="17" t="s">
        <v>29</v>
      </c>
      <c r="W177" s="17" t="s">
        <v>29</v>
      </c>
      <c r="X177" s="17" t="s">
        <v>29</v>
      </c>
      <c r="Y177" s="17" t="s">
        <v>29</v>
      </c>
      <c r="Z177" s="17" t="s">
        <v>29</v>
      </c>
      <c r="AA177" s="17" t="s">
        <v>29</v>
      </c>
      <c r="AB177" s="17" t="s">
        <v>29</v>
      </c>
    </row>
    <row r="178" spans="1:28" x14ac:dyDescent="0.35">
      <c r="A178" s="38" t="s">
        <v>943</v>
      </c>
      <c r="B178" s="7" t="s">
        <v>509</v>
      </c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17"/>
      <c r="T178" s="17"/>
      <c r="U178" s="17"/>
      <c r="V178" s="17"/>
      <c r="W178" s="17"/>
      <c r="X178" s="17"/>
      <c r="Y178" s="17"/>
      <c r="Z178" s="17"/>
    </row>
    <row r="179" spans="1:28" x14ac:dyDescent="0.35">
      <c r="A179" s="36"/>
      <c r="B179" s="6"/>
      <c r="C179" s="7" t="s">
        <v>510</v>
      </c>
      <c r="D179" s="15" t="s">
        <v>76</v>
      </c>
      <c r="E179" s="9">
        <f>STATS1003B!E187/1000</f>
        <v>308</v>
      </c>
      <c r="F179" s="9">
        <f>STATS1003B!F187/1000</f>
        <v>0</v>
      </c>
      <c r="G179" s="9">
        <f>STATS1003B!G187/1000</f>
        <v>0</v>
      </c>
      <c r="H179" s="9">
        <f>STATS1003B!H187/1000</f>
        <v>0</v>
      </c>
      <c r="I179" s="9">
        <f>STATS1003B!I187/1000</f>
        <v>0</v>
      </c>
      <c r="J179" s="9">
        <f>STATS1003B!J187/1000</f>
        <v>0</v>
      </c>
      <c r="K179" s="9">
        <f>STATS1003B!K187/1000</f>
        <v>0</v>
      </c>
      <c r="L179" s="9">
        <f>STATS1003B!L187/1000</f>
        <v>0</v>
      </c>
      <c r="M179" s="9">
        <f>STATS1003B!M187/1000</f>
        <v>0</v>
      </c>
      <c r="N179" s="9">
        <f>STATS1003B!N187/1000</f>
        <v>161.34980999999999</v>
      </c>
      <c r="O179" s="9">
        <f>STATS1003B!O187/1000</f>
        <v>0</v>
      </c>
      <c r="P179" s="9">
        <f>STATS1003B!P187/1000</f>
        <v>161.34980999999999</v>
      </c>
      <c r="Q179" s="9">
        <f>STATS1003B!Q187/1000</f>
        <v>161.34980999999999</v>
      </c>
      <c r="R179" s="9">
        <f>STATS1003B!R187/1000</f>
        <v>146.65019000000001</v>
      </c>
      <c r="S179" s="9">
        <f>STATS1003B!S187/1000</f>
        <v>0</v>
      </c>
      <c r="T179" s="9">
        <f>STATS1003B!T187/1000</f>
        <v>0</v>
      </c>
      <c r="U179" s="9">
        <f>STATS1003B!U187/1000</f>
        <v>161.34980999999999</v>
      </c>
      <c r="V179" s="9">
        <f>STATS1003B!V187/1000</f>
        <v>0</v>
      </c>
      <c r="W179" s="9">
        <f>STATS1003B!W187/1000</f>
        <v>0</v>
      </c>
      <c r="X179" s="9">
        <f>STATS1003B!X187/1000</f>
        <v>161.34980999999999</v>
      </c>
      <c r="Y179" s="9">
        <f>STATS1003B!Y187/1000</f>
        <v>0</v>
      </c>
      <c r="Z179" s="9">
        <f>STATS1003B!Z187/1000</f>
        <v>146.65019000000001</v>
      </c>
      <c r="AA179" s="9">
        <f>STATS1003B!AA187/1000</f>
        <v>161.34980999999999</v>
      </c>
      <c r="AB179" s="9">
        <f>STATS1003B!AB187/1000</f>
        <v>146.65019000000001</v>
      </c>
    </row>
    <row r="180" spans="1:28" x14ac:dyDescent="0.35">
      <c r="A180" s="36"/>
      <c r="B180" s="6"/>
      <c r="C180" s="7" t="s">
        <v>511</v>
      </c>
      <c r="D180" s="15" t="s">
        <v>150</v>
      </c>
      <c r="E180" s="9">
        <f>STATS1003B!E188/1000</f>
        <v>1876</v>
      </c>
      <c r="F180" s="9">
        <f>STATS1003B!F188/1000</f>
        <v>1876</v>
      </c>
      <c r="G180" s="9">
        <f>STATS1003B!G188/1000</f>
        <v>0</v>
      </c>
      <c r="H180" s="9">
        <f>STATS1003B!H188/1000</f>
        <v>1876</v>
      </c>
      <c r="I180" s="9">
        <f>STATS1003B!I188/1000</f>
        <v>3752</v>
      </c>
      <c r="J180" s="9">
        <f>STATS1003B!J188/1000</f>
        <v>0</v>
      </c>
      <c r="K180" s="9">
        <f>STATS1003B!K188/1000</f>
        <v>3752</v>
      </c>
      <c r="L180" s="9">
        <f>STATS1003B!L188/1000</f>
        <v>0</v>
      </c>
      <c r="M180" s="9">
        <f>STATS1003B!M188/1000</f>
        <v>1876</v>
      </c>
      <c r="N180" s="9">
        <f>STATS1003B!N188/1000</f>
        <v>0</v>
      </c>
      <c r="O180" s="9">
        <f>STATS1003B!O188/1000</f>
        <v>0</v>
      </c>
      <c r="P180" s="9">
        <f>STATS1003B!P188/1000</f>
        <v>0</v>
      </c>
      <c r="Q180" s="9">
        <f>STATS1003B!Q188/1000</f>
        <v>3752</v>
      </c>
      <c r="R180" s="9">
        <f>STATS1003B!R188/1000</f>
        <v>-1876</v>
      </c>
      <c r="S180" s="9">
        <f>STATS1003B!S188/1000</f>
        <v>0</v>
      </c>
      <c r="T180" s="9">
        <f>STATS1003B!T188/1000</f>
        <v>0</v>
      </c>
      <c r="U180" s="9">
        <f>STATS1003B!U188/1000</f>
        <v>0</v>
      </c>
      <c r="V180" s="9">
        <f>STATS1003B!V188/1000</f>
        <v>0</v>
      </c>
      <c r="W180" s="9">
        <f>STATS1003B!W188/1000</f>
        <v>0</v>
      </c>
      <c r="X180" s="9">
        <f>STATS1003B!X188/1000</f>
        <v>1876</v>
      </c>
      <c r="Y180" s="9">
        <f>STATS1003B!Y188/1000</f>
        <v>0</v>
      </c>
      <c r="Z180" s="9">
        <f>STATS1003B!Z188/1000</f>
        <v>0</v>
      </c>
      <c r="AA180" s="9">
        <f>STATS1003B!AA188/1000</f>
        <v>1876</v>
      </c>
      <c r="AB180" s="9">
        <f>STATS1003B!AB188/1000</f>
        <v>0</v>
      </c>
    </row>
    <row r="181" spans="1:28" x14ac:dyDescent="0.35">
      <c r="A181" s="36"/>
      <c r="B181" s="6"/>
      <c r="C181" s="7" t="s">
        <v>512</v>
      </c>
      <c r="D181" s="15" t="s">
        <v>78</v>
      </c>
      <c r="E181" s="9">
        <f>STATS1003B!E189/1000</f>
        <v>1300.4875500000001</v>
      </c>
      <c r="F181" s="9">
        <f>STATS1003B!F189/1000</f>
        <v>0</v>
      </c>
      <c r="G181" s="9">
        <f>STATS1003B!G189/1000</f>
        <v>0</v>
      </c>
      <c r="H181" s="9">
        <f>STATS1003B!H189/1000</f>
        <v>0</v>
      </c>
      <c r="I181" s="9">
        <f>STATS1003B!I189/1000</f>
        <v>0</v>
      </c>
      <c r="J181" s="9">
        <f>STATS1003B!J189/1000</f>
        <v>0</v>
      </c>
      <c r="K181" s="9">
        <f>STATS1003B!K189/1000</f>
        <v>0</v>
      </c>
      <c r="L181" s="9">
        <f>STATS1003B!L189/1000</f>
        <v>0</v>
      </c>
      <c r="M181" s="9">
        <f>STATS1003B!M189/1000</f>
        <v>0</v>
      </c>
      <c r="N181" s="9">
        <f>STATS1003B!N189/1000</f>
        <v>1300.4875500000001</v>
      </c>
      <c r="O181" s="9">
        <f>STATS1003B!O189/1000</f>
        <v>0</v>
      </c>
      <c r="P181" s="9">
        <f>STATS1003B!P189/1000</f>
        <v>1300.4875500000001</v>
      </c>
      <c r="Q181" s="9">
        <f>STATS1003B!Q189/1000</f>
        <v>1300.4875500000001</v>
      </c>
      <c r="R181" s="9">
        <f>STATS1003B!R189/1000</f>
        <v>0</v>
      </c>
      <c r="S181" s="9">
        <f>STATS1003B!S189/1000</f>
        <v>0</v>
      </c>
      <c r="T181" s="9">
        <f>STATS1003B!T189/1000</f>
        <v>0</v>
      </c>
      <c r="U181" s="9">
        <f>STATS1003B!U189/1000</f>
        <v>1300.4875500000001</v>
      </c>
      <c r="V181" s="9">
        <f>STATS1003B!V189/1000</f>
        <v>0</v>
      </c>
      <c r="W181" s="9">
        <f>STATS1003B!W189/1000</f>
        <v>0</v>
      </c>
      <c r="X181" s="9">
        <f>STATS1003B!X189/1000</f>
        <v>1300.4875500000001</v>
      </c>
      <c r="Y181" s="9">
        <f>STATS1003B!Y189/1000</f>
        <v>0</v>
      </c>
      <c r="Z181" s="9">
        <f>STATS1003B!Z189/1000</f>
        <v>0</v>
      </c>
      <c r="AA181" s="9">
        <f>STATS1003B!AA189/1000</f>
        <v>1300.4875500000001</v>
      </c>
      <c r="AB181" s="9">
        <f>STATS1003B!AB189/1000</f>
        <v>0</v>
      </c>
    </row>
    <row r="182" spans="1:28" x14ac:dyDescent="0.35">
      <c r="A182" s="36"/>
      <c r="B182" s="6"/>
      <c r="C182" s="7" t="s">
        <v>513</v>
      </c>
      <c r="D182" s="15" t="s">
        <v>68</v>
      </c>
      <c r="E182" s="9">
        <f>STATS1003B!E190/1000</f>
        <v>737.91007000000025</v>
      </c>
      <c r="F182" s="9">
        <f>STATS1003B!F190/1000</f>
        <v>732.61599999999999</v>
      </c>
      <c r="G182" s="9">
        <f>STATS1003B!G190/1000</f>
        <v>0</v>
      </c>
      <c r="H182" s="9">
        <f>STATS1003B!H190/1000</f>
        <v>732.61599999999999</v>
      </c>
      <c r="I182" s="9">
        <f>STATS1003B!I190/1000</f>
        <v>1465.232</v>
      </c>
      <c r="J182" s="9">
        <f>STATS1003B!J190/1000</f>
        <v>0</v>
      </c>
      <c r="K182" s="9">
        <f>STATS1003B!K190/1000</f>
        <v>1465.232</v>
      </c>
      <c r="L182" s="9">
        <f>STATS1003B!L190/1000</f>
        <v>0</v>
      </c>
      <c r="M182" s="9">
        <f>STATS1003B!M190/1000</f>
        <v>732.61599999999999</v>
      </c>
      <c r="N182" s="9">
        <f>STATS1003B!N190/1000</f>
        <v>5.2940699999999996</v>
      </c>
      <c r="O182" s="9">
        <f>STATS1003B!O190/1000</f>
        <v>0</v>
      </c>
      <c r="P182" s="9">
        <f>STATS1003B!P190/1000</f>
        <v>5.2940699999999996</v>
      </c>
      <c r="Q182" s="9">
        <f>STATS1003B!Q190/1000</f>
        <v>1470.5260700000001</v>
      </c>
      <c r="R182" s="9">
        <f>STATS1003B!R190/1000</f>
        <v>-732.61599999999976</v>
      </c>
      <c r="S182" s="9">
        <f>STATS1003B!S190/1000</f>
        <v>0</v>
      </c>
      <c r="T182" s="9">
        <f>STATS1003B!T190/1000</f>
        <v>0</v>
      </c>
      <c r="U182" s="9">
        <f>STATS1003B!U190/1000</f>
        <v>5.2940699999999996</v>
      </c>
      <c r="V182" s="9">
        <f>STATS1003B!V190/1000</f>
        <v>0</v>
      </c>
      <c r="W182" s="9">
        <f>STATS1003B!W190/1000</f>
        <v>0</v>
      </c>
      <c r="X182" s="9">
        <f>STATS1003B!X190/1000</f>
        <v>737.91006999999991</v>
      </c>
      <c r="Y182" s="9">
        <f>STATS1003B!Y190/1000</f>
        <v>0</v>
      </c>
      <c r="Z182" s="9">
        <f>STATS1003B!Z190/1000</f>
        <v>0</v>
      </c>
      <c r="AA182" s="9">
        <f>STATS1003B!AA190/1000</f>
        <v>737.91006999999991</v>
      </c>
      <c r="AB182" s="9">
        <f>STATS1003B!AB190/1000</f>
        <v>0</v>
      </c>
    </row>
    <row r="183" spans="1:28" x14ac:dyDescent="0.35">
      <c r="A183" s="36"/>
      <c r="B183" s="6"/>
      <c r="C183" s="7" t="s">
        <v>514</v>
      </c>
      <c r="D183" s="15" t="s">
        <v>68</v>
      </c>
      <c r="E183" s="9">
        <f>STATS1003B!E191/1000</f>
        <v>633.08879999999999</v>
      </c>
      <c r="F183" s="9">
        <f>STATS1003B!F191/1000</f>
        <v>0</v>
      </c>
      <c r="G183" s="9">
        <f>STATS1003B!G191/1000</f>
        <v>0</v>
      </c>
      <c r="H183" s="9">
        <f>STATS1003B!H191/1000</f>
        <v>0</v>
      </c>
      <c r="I183" s="9">
        <f>STATS1003B!I191/1000</f>
        <v>0</v>
      </c>
      <c r="J183" s="9">
        <f>STATS1003B!J191/1000</f>
        <v>0</v>
      </c>
      <c r="K183" s="9">
        <f>STATS1003B!K191/1000</f>
        <v>0</v>
      </c>
      <c r="L183" s="9">
        <f>STATS1003B!L191/1000</f>
        <v>0</v>
      </c>
      <c r="M183" s="9">
        <f>STATS1003B!M191/1000</f>
        <v>0</v>
      </c>
      <c r="N183" s="9">
        <f>STATS1003B!N191/1000</f>
        <v>633.08879999999999</v>
      </c>
      <c r="O183" s="9">
        <f>STATS1003B!O191/1000</f>
        <v>0</v>
      </c>
      <c r="P183" s="9">
        <f>STATS1003B!P191/1000</f>
        <v>633.08879999999999</v>
      </c>
      <c r="Q183" s="9">
        <f>STATS1003B!Q191/1000</f>
        <v>633.08879999999999</v>
      </c>
      <c r="R183" s="9">
        <f>STATS1003B!R191/1000</f>
        <v>0</v>
      </c>
      <c r="S183" s="9">
        <f>STATS1003B!S191/1000</f>
        <v>0</v>
      </c>
      <c r="T183" s="9">
        <f>STATS1003B!T191/1000</f>
        <v>0</v>
      </c>
      <c r="U183" s="9">
        <f>STATS1003B!U191/1000</f>
        <v>633.08879999999999</v>
      </c>
      <c r="V183" s="9">
        <f>STATS1003B!V191/1000</f>
        <v>0</v>
      </c>
      <c r="W183" s="9">
        <f>STATS1003B!W191/1000</f>
        <v>0</v>
      </c>
      <c r="X183" s="9">
        <f>STATS1003B!X191/1000</f>
        <v>633.08879999999999</v>
      </c>
      <c r="Y183" s="9">
        <f>STATS1003B!Y191/1000</f>
        <v>0</v>
      </c>
      <c r="Z183" s="9">
        <f>STATS1003B!Z191/1000</f>
        <v>0</v>
      </c>
      <c r="AA183" s="9">
        <f>STATS1003B!AA191/1000</f>
        <v>633.08879999999999</v>
      </c>
      <c r="AB183" s="9">
        <f>STATS1003B!AB191/1000</f>
        <v>0</v>
      </c>
    </row>
    <row r="184" spans="1:28" x14ac:dyDescent="0.35">
      <c r="A184" s="36"/>
      <c r="B184" s="8"/>
      <c r="C184" s="7" t="s">
        <v>515</v>
      </c>
      <c r="D184" s="15" t="s">
        <v>54</v>
      </c>
      <c r="E184" s="9">
        <f>STATS1003B!E192/1000</f>
        <v>570.94100000000003</v>
      </c>
      <c r="F184" s="9">
        <f>STATS1003B!F192/1000</f>
        <v>0</v>
      </c>
      <c r="G184" s="9">
        <f>STATS1003B!G192/1000</f>
        <v>0</v>
      </c>
      <c r="H184" s="9">
        <f>STATS1003B!H192/1000</f>
        <v>0</v>
      </c>
      <c r="I184" s="9">
        <f>STATS1003B!I192/1000</f>
        <v>0</v>
      </c>
      <c r="J184" s="9">
        <f>STATS1003B!J192/1000</f>
        <v>0</v>
      </c>
      <c r="K184" s="9">
        <f>STATS1003B!K192/1000</f>
        <v>0</v>
      </c>
      <c r="L184" s="9">
        <f>STATS1003B!L192/1000</f>
        <v>0</v>
      </c>
      <c r="M184" s="9">
        <f>STATS1003B!M192/1000</f>
        <v>0</v>
      </c>
      <c r="N184" s="9">
        <f>STATS1003B!N192/1000</f>
        <v>570.94100000000003</v>
      </c>
      <c r="O184" s="9">
        <f>STATS1003B!O192/1000</f>
        <v>0</v>
      </c>
      <c r="P184" s="9">
        <f>STATS1003B!P192/1000</f>
        <v>570.94100000000003</v>
      </c>
      <c r="Q184" s="9">
        <f>STATS1003B!Q192/1000</f>
        <v>570.94100000000003</v>
      </c>
      <c r="R184" s="9">
        <f>STATS1003B!R192/1000</f>
        <v>0</v>
      </c>
      <c r="S184" s="9">
        <f>STATS1003B!S192/1000</f>
        <v>0</v>
      </c>
      <c r="T184" s="9">
        <f>STATS1003B!T192/1000</f>
        <v>0</v>
      </c>
      <c r="U184" s="9">
        <f>STATS1003B!U192/1000</f>
        <v>570.94100000000003</v>
      </c>
      <c r="V184" s="9">
        <f>STATS1003B!V192/1000</f>
        <v>0</v>
      </c>
      <c r="W184" s="9">
        <f>STATS1003B!W192/1000</f>
        <v>0</v>
      </c>
      <c r="X184" s="9">
        <f>STATS1003B!X192/1000</f>
        <v>570.94100000000003</v>
      </c>
      <c r="Y184" s="9">
        <f>STATS1003B!Y192/1000</f>
        <v>0</v>
      </c>
      <c r="Z184" s="9">
        <f>STATS1003B!Z192/1000</f>
        <v>0</v>
      </c>
      <c r="AA184" s="9">
        <f>STATS1003B!AA192/1000</f>
        <v>570.94100000000003</v>
      </c>
      <c r="AB184" s="9">
        <f>STATS1003B!AB192/1000</f>
        <v>0</v>
      </c>
    </row>
    <row r="185" spans="1:28" x14ac:dyDescent="0.35">
      <c r="A185" s="36"/>
      <c r="B185" s="8"/>
      <c r="C185" s="7" t="s">
        <v>516</v>
      </c>
      <c r="D185" s="15" t="s">
        <v>54</v>
      </c>
      <c r="E185" s="9">
        <f>STATS1003B!E193/1000</f>
        <v>1100</v>
      </c>
      <c r="F185" s="9">
        <f>STATS1003B!F193/1000</f>
        <v>1100</v>
      </c>
      <c r="G185" s="9">
        <f>STATS1003B!G193/1000</f>
        <v>0</v>
      </c>
      <c r="H185" s="9">
        <f>STATS1003B!H193/1000</f>
        <v>1100</v>
      </c>
      <c r="I185" s="9">
        <f>STATS1003B!I193/1000</f>
        <v>2200</v>
      </c>
      <c r="J185" s="9">
        <f>STATS1003B!J193/1000</f>
        <v>0</v>
      </c>
      <c r="K185" s="9">
        <f>STATS1003B!K193/1000</f>
        <v>2200</v>
      </c>
      <c r="L185" s="9">
        <f>STATS1003B!L193/1000</f>
        <v>0</v>
      </c>
      <c r="M185" s="9">
        <f>STATS1003B!M193/1000</f>
        <v>1100</v>
      </c>
      <c r="N185" s="9">
        <f>STATS1003B!N193/1000</f>
        <v>0</v>
      </c>
      <c r="O185" s="9">
        <f>STATS1003B!O193/1000</f>
        <v>0</v>
      </c>
      <c r="P185" s="9">
        <f>STATS1003B!P193/1000</f>
        <v>0</v>
      </c>
      <c r="Q185" s="9">
        <f>STATS1003B!Q193/1000</f>
        <v>2200</v>
      </c>
      <c r="R185" s="9">
        <f>STATS1003B!R193/1000</f>
        <v>-1100</v>
      </c>
      <c r="S185" s="9">
        <f>STATS1003B!S193/1000</f>
        <v>0</v>
      </c>
      <c r="T185" s="9">
        <f>STATS1003B!T193/1000</f>
        <v>0</v>
      </c>
      <c r="U185" s="9">
        <f>STATS1003B!U193/1000</f>
        <v>0</v>
      </c>
      <c r="V185" s="9">
        <f>STATS1003B!V193/1000</f>
        <v>0</v>
      </c>
      <c r="W185" s="9">
        <f>STATS1003B!W193/1000</f>
        <v>0</v>
      </c>
      <c r="X185" s="9">
        <f>STATS1003B!X193/1000</f>
        <v>1100</v>
      </c>
      <c r="Y185" s="9">
        <f>STATS1003B!Y193/1000</f>
        <v>0</v>
      </c>
      <c r="Z185" s="9">
        <f>STATS1003B!Z193/1000</f>
        <v>0</v>
      </c>
      <c r="AA185" s="9">
        <f>STATS1003B!AA193/1000</f>
        <v>1100</v>
      </c>
      <c r="AB185" s="9">
        <f>STATS1003B!AB193/1000</f>
        <v>0</v>
      </c>
    </row>
    <row r="186" spans="1:28" x14ac:dyDescent="0.35">
      <c r="A186" s="36"/>
      <c r="B186" s="8"/>
      <c r="C186" s="7" t="s">
        <v>513</v>
      </c>
      <c r="D186" s="15" t="s">
        <v>85</v>
      </c>
      <c r="E186" s="9">
        <f>STATS1003B!E194/1000</f>
        <v>2149.8000000000002</v>
      </c>
      <c r="F186" s="9">
        <f>STATS1003B!F194/1000</f>
        <v>2149.8000000000002</v>
      </c>
      <c r="G186" s="9">
        <f>STATS1003B!G194/1000</f>
        <v>0</v>
      </c>
      <c r="H186" s="9">
        <f>STATS1003B!H194/1000</f>
        <v>2149.8000000000002</v>
      </c>
      <c r="I186" s="9">
        <f>STATS1003B!I194/1000</f>
        <v>4299.6000000000004</v>
      </c>
      <c r="J186" s="9">
        <f>STATS1003B!J194/1000</f>
        <v>0</v>
      </c>
      <c r="K186" s="9">
        <f>STATS1003B!K194/1000</f>
        <v>4299.6000000000004</v>
      </c>
      <c r="L186" s="9">
        <f>STATS1003B!L194/1000</f>
        <v>0</v>
      </c>
      <c r="M186" s="9">
        <f>STATS1003B!M194/1000</f>
        <v>2149.8000000000002</v>
      </c>
      <c r="N186" s="9">
        <f>STATS1003B!N194/1000</f>
        <v>0</v>
      </c>
      <c r="O186" s="9">
        <f>STATS1003B!O194/1000</f>
        <v>0</v>
      </c>
      <c r="P186" s="9">
        <f>STATS1003B!P194/1000</f>
        <v>0</v>
      </c>
      <c r="Q186" s="9">
        <f>STATS1003B!Q194/1000</f>
        <v>4299.6000000000004</v>
      </c>
      <c r="R186" s="9">
        <f>STATS1003B!R194/1000</f>
        <v>-2149.8000000000002</v>
      </c>
      <c r="S186" s="9">
        <f>STATS1003B!S194/1000</f>
        <v>0</v>
      </c>
      <c r="T186" s="9">
        <f>STATS1003B!T194/1000</f>
        <v>0</v>
      </c>
      <c r="U186" s="9">
        <f>STATS1003B!U194/1000</f>
        <v>0</v>
      </c>
      <c r="V186" s="9">
        <f>STATS1003B!V194/1000</f>
        <v>0</v>
      </c>
      <c r="W186" s="9">
        <f>STATS1003B!W194/1000</f>
        <v>0</v>
      </c>
      <c r="X186" s="9">
        <f>STATS1003B!X194/1000</f>
        <v>2149.8000000000002</v>
      </c>
      <c r="Y186" s="9">
        <f>STATS1003B!Y194/1000</f>
        <v>0</v>
      </c>
      <c r="Z186" s="9">
        <f>STATS1003B!Z194/1000</f>
        <v>0</v>
      </c>
      <c r="AA186" s="9">
        <f>STATS1003B!AA194/1000</f>
        <v>2149.8000000000002</v>
      </c>
      <c r="AB186" s="9">
        <f>STATS1003B!AB194/1000</f>
        <v>0</v>
      </c>
    </row>
    <row r="187" spans="1:28" x14ac:dyDescent="0.35">
      <c r="A187" s="36"/>
      <c r="B187" s="8"/>
      <c r="C187" s="7" t="s">
        <v>513</v>
      </c>
      <c r="D187" s="15" t="s">
        <v>108</v>
      </c>
      <c r="E187" s="9">
        <f>STATS1003B!E195/1000</f>
        <v>1760</v>
      </c>
      <c r="F187" s="9">
        <f>STATS1003B!F195/1000</f>
        <v>1760</v>
      </c>
      <c r="G187" s="9">
        <f>STATS1003B!G195/1000</f>
        <v>0</v>
      </c>
      <c r="H187" s="9">
        <f>STATS1003B!H195/1000</f>
        <v>1760</v>
      </c>
      <c r="I187" s="9">
        <f>STATS1003B!I195/1000</f>
        <v>3520</v>
      </c>
      <c r="J187" s="9">
        <f>STATS1003B!J195/1000</f>
        <v>0</v>
      </c>
      <c r="K187" s="9">
        <f>STATS1003B!K195/1000</f>
        <v>3520</v>
      </c>
      <c r="L187" s="9">
        <f>STATS1003B!L195/1000</f>
        <v>0</v>
      </c>
      <c r="M187" s="9">
        <f>STATS1003B!M195/1000</f>
        <v>1760</v>
      </c>
      <c r="N187" s="9">
        <f>STATS1003B!N195/1000</f>
        <v>0</v>
      </c>
      <c r="O187" s="9">
        <f>STATS1003B!O195/1000</f>
        <v>0</v>
      </c>
      <c r="P187" s="9">
        <f>STATS1003B!P195/1000</f>
        <v>0</v>
      </c>
      <c r="Q187" s="9">
        <f>STATS1003B!Q195/1000</f>
        <v>3520</v>
      </c>
      <c r="R187" s="9">
        <f>STATS1003B!R195/1000</f>
        <v>-1760</v>
      </c>
      <c r="S187" s="9">
        <f>STATS1003B!S195/1000</f>
        <v>0</v>
      </c>
      <c r="T187" s="9">
        <f>STATS1003B!T195/1000</f>
        <v>0</v>
      </c>
      <c r="U187" s="9">
        <f>STATS1003B!U195/1000</f>
        <v>0</v>
      </c>
      <c r="V187" s="9">
        <f>STATS1003B!V195/1000</f>
        <v>0</v>
      </c>
      <c r="W187" s="9">
        <f>STATS1003B!W195/1000</f>
        <v>0</v>
      </c>
      <c r="X187" s="9">
        <f>STATS1003B!X195/1000</f>
        <v>1760</v>
      </c>
      <c r="Y187" s="9">
        <f>STATS1003B!Y195/1000</f>
        <v>0</v>
      </c>
      <c r="Z187" s="9">
        <f>STATS1003B!Z195/1000</f>
        <v>0</v>
      </c>
      <c r="AA187" s="9">
        <f>STATS1003B!AA195/1000</f>
        <v>1760</v>
      </c>
      <c r="AB187" s="9">
        <f>STATS1003B!AB195/1000</f>
        <v>0</v>
      </c>
    </row>
    <row r="188" spans="1:28" x14ac:dyDescent="0.35">
      <c r="A188" s="36"/>
      <c r="B188" s="8"/>
      <c r="C188" s="7" t="s">
        <v>513</v>
      </c>
      <c r="D188" s="15" t="s">
        <v>58</v>
      </c>
      <c r="E188" s="9">
        <f>STATS1003B!E196/1000</f>
        <v>2133.9</v>
      </c>
      <c r="F188" s="9">
        <f>STATS1003B!F196/1000</f>
        <v>2133.9</v>
      </c>
      <c r="G188" s="9">
        <f>STATS1003B!G196/1000</f>
        <v>0</v>
      </c>
      <c r="H188" s="9">
        <f>STATS1003B!H196/1000</f>
        <v>2133.9</v>
      </c>
      <c r="I188" s="9">
        <f>STATS1003B!I196/1000</f>
        <v>4267.8</v>
      </c>
      <c r="J188" s="9">
        <f>STATS1003B!J196/1000</f>
        <v>0</v>
      </c>
      <c r="K188" s="9">
        <f>STATS1003B!K196/1000</f>
        <v>4267.8</v>
      </c>
      <c r="L188" s="9">
        <f>STATS1003B!L196/1000</f>
        <v>0</v>
      </c>
      <c r="M188" s="9">
        <f>STATS1003B!M196/1000</f>
        <v>2133.9</v>
      </c>
      <c r="N188" s="9">
        <f>STATS1003B!N196/1000</f>
        <v>0</v>
      </c>
      <c r="O188" s="9">
        <f>STATS1003B!O196/1000</f>
        <v>0</v>
      </c>
      <c r="P188" s="9">
        <f>STATS1003B!P196/1000</f>
        <v>0</v>
      </c>
      <c r="Q188" s="9">
        <f>STATS1003B!Q196/1000</f>
        <v>4267.8</v>
      </c>
      <c r="R188" s="9">
        <f>STATS1003B!R196/1000</f>
        <v>-2133.9</v>
      </c>
      <c r="S188" s="9">
        <f>STATS1003B!S196/1000</f>
        <v>0</v>
      </c>
      <c r="T188" s="9">
        <f>STATS1003B!T196/1000</f>
        <v>0</v>
      </c>
      <c r="U188" s="9">
        <f>STATS1003B!U196/1000</f>
        <v>0</v>
      </c>
      <c r="V188" s="9">
        <f>STATS1003B!V196/1000</f>
        <v>0</v>
      </c>
      <c r="W188" s="9">
        <f>STATS1003B!W196/1000</f>
        <v>0</v>
      </c>
      <c r="X188" s="9">
        <f>STATS1003B!X196/1000</f>
        <v>2133.9</v>
      </c>
      <c r="Y188" s="9">
        <f>STATS1003B!Y196/1000</f>
        <v>0</v>
      </c>
      <c r="Z188" s="9">
        <f>STATS1003B!Z196/1000</f>
        <v>0</v>
      </c>
      <c r="AA188" s="9">
        <f>STATS1003B!AA196/1000</f>
        <v>2133.9</v>
      </c>
      <c r="AB188" s="9">
        <f>STATS1003B!AB196/1000</f>
        <v>0</v>
      </c>
    </row>
    <row r="189" spans="1:28" x14ac:dyDescent="0.35">
      <c r="A189" s="36"/>
      <c r="B189" s="8"/>
      <c r="C189" s="7" t="s">
        <v>513</v>
      </c>
      <c r="D189" s="15" t="s">
        <v>60</v>
      </c>
      <c r="E189" s="9">
        <f>STATS1003B!E197/1000</f>
        <v>1500</v>
      </c>
      <c r="F189" s="9">
        <f>STATS1003B!F197/1000</f>
        <v>1500</v>
      </c>
      <c r="G189" s="9">
        <f>STATS1003B!G197/1000</f>
        <v>0</v>
      </c>
      <c r="H189" s="9">
        <f>STATS1003B!H197/1000</f>
        <v>1500</v>
      </c>
      <c r="I189" s="9">
        <f>STATS1003B!I197/1000</f>
        <v>3000</v>
      </c>
      <c r="J189" s="9">
        <f>STATS1003B!J197/1000</f>
        <v>0</v>
      </c>
      <c r="K189" s="9">
        <f>STATS1003B!K197/1000</f>
        <v>3000</v>
      </c>
      <c r="L189" s="9">
        <f>STATS1003B!L197/1000</f>
        <v>0</v>
      </c>
      <c r="M189" s="9">
        <f>STATS1003B!M197/1000</f>
        <v>1500</v>
      </c>
      <c r="N189" s="9">
        <f>STATS1003B!N197/1000</f>
        <v>0</v>
      </c>
      <c r="O189" s="9">
        <f>STATS1003B!O197/1000</f>
        <v>0</v>
      </c>
      <c r="P189" s="9">
        <f>STATS1003B!P197/1000</f>
        <v>0</v>
      </c>
      <c r="Q189" s="9">
        <f>STATS1003B!Q197/1000</f>
        <v>3000</v>
      </c>
      <c r="R189" s="9">
        <f>STATS1003B!R197/1000</f>
        <v>-1500</v>
      </c>
      <c r="S189" s="9">
        <f>STATS1003B!S197/1000</f>
        <v>0</v>
      </c>
      <c r="T189" s="9">
        <f>STATS1003B!T197/1000</f>
        <v>0</v>
      </c>
      <c r="U189" s="9">
        <f>STATS1003B!U197/1000</f>
        <v>0</v>
      </c>
      <c r="V189" s="9">
        <f>STATS1003B!V197/1000</f>
        <v>0</v>
      </c>
      <c r="W189" s="9">
        <f>STATS1003B!W197/1000</f>
        <v>0</v>
      </c>
      <c r="X189" s="9">
        <f>STATS1003B!X197/1000</f>
        <v>1500</v>
      </c>
      <c r="Y189" s="9">
        <f>STATS1003B!Y197/1000</f>
        <v>0</v>
      </c>
      <c r="Z189" s="9">
        <f>STATS1003B!Z197/1000</f>
        <v>0</v>
      </c>
      <c r="AA189" s="9">
        <f>STATS1003B!AA197/1000</f>
        <v>1500</v>
      </c>
      <c r="AB189" s="9">
        <f>STATS1003B!AB197/1000</f>
        <v>0</v>
      </c>
    </row>
    <row r="190" spans="1:28" x14ac:dyDescent="0.35">
      <c r="A190" s="36"/>
      <c r="B190" s="8"/>
      <c r="C190" s="7" t="s">
        <v>513</v>
      </c>
      <c r="D190" s="15" t="s">
        <v>73</v>
      </c>
      <c r="E190" s="9">
        <f>STATS1003B!E198/1000</f>
        <v>2277.64</v>
      </c>
      <c r="F190" s="9">
        <f>STATS1003B!F198/1000</f>
        <v>2277.64</v>
      </c>
      <c r="G190" s="9">
        <f>STATS1003B!G198/1000</f>
        <v>0</v>
      </c>
      <c r="H190" s="9">
        <f>STATS1003B!H198/1000</f>
        <v>2277.64</v>
      </c>
      <c r="I190" s="9">
        <f>STATS1003B!I198/1000</f>
        <v>4555.28</v>
      </c>
      <c r="J190" s="9">
        <f>STATS1003B!J198/1000</f>
        <v>0</v>
      </c>
      <c r="K190" s="9">
        <f>STATS1003B!K198/1000</f>
        <v>4555.28</v>
      </c>
      <c r="L190" s="9">
        <f>STATS1003B!L198/1000</f>
        <v>0</v>
      </c>
      <c r="M190" s="9">
        <f>STATS1003B!M198/1000</f>
        <v>2277.64</v>
      </c>
      <c r="N190" s="9">
        <f>STATS1003B!N198/1000</f>
        <v>0</v>
      </c>
      <c r="O190" s="9">
        <f>STATS1003B!O198/1000</f>
        <v>0</v>
      </c>
      <c r="P190" s="9">
        <f>STATS1003B!P198/1000</f>
        <v>0</v>
      </c>
      <c r="Q190" s="9">
        <f>STATS1003B!Q198/1000</f>
        <v>4555.28</v>
      </c>
      <c r="R190" s="9">
        <f>STATS1003B!R198/1000</f>
        <v>-2277.64</v>
      </c>
      <c r="S190" s="9">
        <f>STATS1003B!S198/1000</f>
        <v>0</v>
      </c>
      <c r="T190" s="9">
        <f>STATS1003B!T198/1000</f>
        <v>0</v>
      </c>
      <c r="U190" s="9">
        <f>STATS1003B!U198/1000</f>
        <v>0</v>
      </c>
      <c r="V190" s="9">
        <f>STATS1003B!V198/1000</f>
        <v>0</v>
      </c>
      <c r="W190" s="9">
        <f>STATS1003B!W198/1000</f>
        <v>0</v>
      </c>
      <c r="X190" s="9">
        <f>STATS1003B!X198/1000</f>
        <v>2277.64</v>
      </c>
      <c r="Y190" s="9">
        <f>STATS1003B!Y198/1000</f>
        <v>0</v>
      </c>
      <c r="Z190" s="9">
        <f>STATS1003B!Z198/1000</f>
        <v>0</v>
      </c>
      <c r="AA190" s="9">
        <f>STATS1003B!AA198/1000</f>
        <v>2277.64</v>
      </c>
      <c r="AB190" s="9">
        <f>STATS1003B!AB198/1000</f>
        <v>0</v>
      </c>
    </row>
    <row r="191" spans="1:28" x14ac:dyDescent="0.35">
      <c r="A191" s="36"/>
      <c r="B191" s="8"/>
      <c r="C191" s="7" t="s">
        <v>517</v>
      </c>
      <c r="D191" s="15" t="s">
        <v>73</v>
      </c>
      <c r="E191" s="9">
        <f>STATS1003B!E199/1000</f>
        <v>500</v>
      </c>
      <c r="F191" s="9">
        <f>STATS1003B!F199/1000</f>
        <v>500</v>
      </c>
      <c r="G191" s="9">
        <f>STATS1003B!G199/1000</f>
        <v>0</v>
      </c>
      <c r="H191" s="9">
        <f>STATS1003B!H199/1000</f>
        <v>500</v>
      </c>
      <c r="I191" s="9">
        <f>STATS1003B!I199/1000</f>
        <v>1000</v>
      </c>
      <c r="J191" s="9">
        <f>STATS1003B!J199/1000</f>
        <v>0</v>
      </c>
      <c r="K191" s="9">
        <f>STATS1003B!K199/1000</f>
        <v>1000</v>
      </c>
      <c r="L191" s="9">
        <f>STATS1003B!L199/1000</f>
        <v>0</v>
      </c>
      <c r="M191" s="9">
        <f>STATS1003B!M199/1000</f>
        <v>500</v>
      </c>
      <c r="N191" s="9">
        <f>STATS1003B!N199/1000</f>
        <v>0</v>
      </c>
      <c r="O191" s="9">
        <f>STATS1003B!O199/1000</f>
        <v>0</v>
      </c>
      <c r="P191" s="9">
        <f>STATS1003B!P199/1000</f>
        <v>0</v>
      </c>
      <c r="Q191" s="9">
        <f>STATS1003B!Q199/1000</f>
        <v>1000</v>
      </c>
      <c r="R191" s="9">
        <f>STATS1003B!R199/1000</f>
        <v>-500</v>
      </c>
      <c r="S191" s="9">
        <f>STATS1003B!S199/1000</f>
        <v>0</v>
      </c>
      <c r="T191" s="9">
        <f>STATS1003B!T199/1000</f>
        <v>0</v>
      </c>
      <c r="U191" s="9">
        <f>STATS1003B!U199/1000</f>
        <v>0</v>
      </c>
      <c r="V191" s="9">
        <f>STATS1003B!V199/1000</f>
        <v>0</v>
      </c>
      <c r="W191" s="9">
        <f>STATS1003B!W199/1000</f>
        <v>0</v>
      </c>
      <c r="X191" s="9">
        <f>STATS1003B!X199/1000</f>
        <v>500</v>
      </c>
      <c r="Y191" s="9">
        <f>STATS1003B!Y199/1000</f>
        <v>0</v>
      </c>
      <c r="Z191" s="9">
        <f>STATS1003B!Z199/1000</f>
        <v>0</v>
      </c>
      <c r="AA191" s="9">
        <f>STATS1003B!AA199/1000</f>
        <v>500</v>
      </c>
      <c r="AB191" s="9">
        <f>STATS1003B!AB199/1000</f>
        <v>0</v>
      </c>
    </row>
    <row r="192" spans="1:28" x14ac:dyDescent="0.35">
      <c r="A192" s="36"/>
      <c r="B192" s="8"/>
      <c r="C192" s="14" t="s">
        <v>513</v>
      </c>
      <c r="D192" s="21" t="s">
        <v>61</v>
      </c>
      <c r="E192" s="9">
        <f>STATS1003B!E200/1000</f>
        <v>674</v>
      </c>
      <c r="F192" s="9">
        <f>STATS1003B!F200/1000</f>
        <v>674</v>
      </c>
      <c r="G192" s="9">
        <f>STATS1003B!G200/1000</f>
        <v>0</v>
      </c>
      <c r="H192" s="9">
        <f>STATS1003B!H200/1000</f>
        <v>674</v>
      </c>
      <c r="I192" s="9">
        <f>STATS1003B!I200/1000</f>
        <v>1348</v>
      </c>
      <c r="J192" s="9">
        <f>STATS1003B!J200/1000</f>
        <v>0</v>
      </c>
      <c r="K192" s="9">
        <f>STATS1003B!K200/1000</f>
        <v>1348</v>
      </c>
      <c r="L192" s="9">
        <f>STATS1003B!L200/1000</f>
        <v>0</v>
      </c>
      <c r="M192" s="9">
        <f>STATS1003B!M200/1000</f>
        <v>674</v>
      </c>
      <c r="N192" s="9">
        <f>STATS1003B!N200/1000</f>
        <v>0</v>
      </c>
      <c r="O192" s="9">
        <f>STATS1003B!O200/1000</f>
        <v>0</v>
      </c>
      <c r="P192" s="9">
        <f>STATS1003B!P200/1000</f>
        <v>0</v>
      </c>
      <c r="Q192" s="9">
        <f>STATS1003B!Q200/1000</f>
        <v>1348</v>
      </c>
      <c r="R192" s="9">
        <f>STATS1003B!R200/1000</f>
        <v>-674</v>
      </c>
      <c r="S192" s="9">
        <f>STATS1003B!S200/1000</f>
        <v>0</v>
      </c>
      <c r="T192" s="9">
        <f>STATS1003B!T200/1000</f>
        <v>0</v>
      </c>
      <c r="U192" s="9">
        <f>STATS1003B!U200/1000</f>
        <v>0</v>
      </c>
      <c r="V192" s="9">
        <f>STATS1003B!V200/1000</f>
        <v>0</v>
      </c>
      <c r="W192" s="9">
        <f>STATS1003B!W200/1000</f>
        <v>0</v>
      </c>
      <c r="X192" s="9">
        <f>STATS1003B!X200/1000</f>
        <v>674</v>
      </c>
      <c r="Y192" s="9">
        <f>STATS1003B!Y200/1000</f>
        <v>0</v>
      </c>
      <c r="Z192" s="9">
        <f>STATS1003B!Z200/1000</f>
        <v>0</v>
      </c>
      <c r="AA192" s="9">
        <f>STATS1003B!AA200/1000</f>
        <v>674</v>
      </c>
      <c r="AB192" s="9">
        <f>STATS1003B!AB200/1000</f>
        <v>0</v>
      </c>
    </row>
    <row r="193" spans="1:28" x14ac:dyDescent="0.35">
      <c r="A193" s="36"/>
      <c r="B193" s="8"/>
      <c r="C193" s="14" t="s">
        <v>1063</v>
      </c>
      <c r="D193" s="21"/>
      <c r="E193" s="9">
        <f>STATS1003B!E201/1000</f>
        <v>1251.4045800000001</v>
      </c>
      <c r="F193" s="9">
        <f>STATS1003B!F201/1000</f>
        <v>1251.4045800000001</v>
      </c>
      <c r="G193" s="9">
        <f>STATS1003B!G201/1000</f>
        <v>0</v>
      </c>
      <c r="H193" s="9">
        <f>STATS1003B!H201/1000</f>
        <v>1251.4045800000001</v>
      </c>
      <c r="I193" s="9">
        <f>STATS1003B!I201/1000</f>
        <v>0</v>
      </c>
      <c r="J193" s="9">
        <f>STATS1003B!J201/1000</f>
        <v>0</v>
      </c>
      <c r="K193" s="9">
        <f>STATS1003B!K201/1000</f>
        <v>0</v>
      </c>
      <c r="L193" s="9">
        <f>STATS1003B!L201/1000</f>
        <v>0</v>
      </c>
      <c r="M193" s="9">
        <f>STATS1003B!M201/1000</f>
        <v>1251.4045800000001</v>
      </c>
      <c r="N193" s="9">
        <f>STATS1003B!N201/1000</f>
        <v>0</v>
      </c>
      <c r="O193" s="9">
        <f>STATS1003B!O201/1000</f>
        <v>0</v>
      </c>
      <c r="P193" s="9">
        <f>STATS1003B!P201/1000</f>
        <v>0</v>
      </c>
      <c r="Q193" s="9">
        <f>STATS1003B!Q201/1000</f>
        <v>0</v>
      </c>
      <c r="R193" s="9">
        <f>STATS1003B!R201/1000</f>
        <v>0</v>
      </c>
      <c r="S193" s="9">
        <f>STATS1003B!S201/1000</f>
        <v>0</v>
      </c>
      <c r="T193" s="9">
        <f>STATS1003B!T201/1000</f>
        <v>0</v>
      </c>
      <c r="U193" s="9">
        <f>STATS1003B!U201/1000</f>
        <v>0</v>
      </c>
      <c r="V193" s="9">
        <f>STATS1003B!V201/1000</f>
        <v>0</v>
      </c>
      <c r="W193" s="9">
        <f>STATS1003B!W201/1000</f>
        <v>0</v>
      </c>
      <c r="X193" s="9">
        <f>STATS1003B!X201/1000</f>
        <v>1251.4045800000001</v>
      </c>
      <c r="Y193" s="9">
        <f>STATS1003B!Y201/1000</f>
        <v>0</v>
      </c>
      <c r="Z193" s="9">
        <f>STATS1003B!Z201/1000</f>
        <v>0</v>
      </c>
      <c r="AA193" s="9">
        <f>STATS1003B!AA201/1000</f>
        <v>1251.4045800000001</v>
      </c>
      <c r="AB193" s="9">
        <f>STATS1003B!AB201/1000</f>
        <v>0</v>
      </c>
    </row>
    <row r="194" spans="1:28" x14ac:dyDescent="0.35">
      <c r="A194" s="36"/>
      <c r="B194" s="8"/>
      <c r="C194" s="7" t="s">
        <v>518</v>
      </c>
      <c r="D194" s="8"/>
      <c r="E194" s="9">
        <f>STATS1003B!E203/1000</f>
        <v>1828.3206</v>
      </c>
      <c r="F194" s="9">
        <f>STATS1003B!F203/1000</f>
        <v>1828.3206</v>
      </c>
      <c r="G194" s="9">
        <f>STATS1003B!G203/1000</f>
        <v>0</v>
      </c>
      <c r="H194" s="9">
        <f>STATS1003B!H203/1000</f>
        <v>1828.3206</v>
      </c>
      <c r="I194" s="9">
        <f>STATS1003B!I203/1000</f>
        <v>3656.6412</v>
      </c>
      <c r="J194" s="9">
        <f>STATS1003B!J203/1000</f>
        <v>0</v>
      </c>
      <c r="K194" s="9">
        <f>STATS1003B!K203/1000</f>
        <v>3656.6412</v>
      </c>
      <c r="L194" s="9">
        <f>STATS1003B!L203/1000</f>
        <v>0</v>
      </c>
      <c r="M194" s="9">
        <f>STATS1003B!M203/1000</f>
        <v>1828.3206</v>
      </c>
      <c r="N194" s="9">
        <f>STATS1003B!N203/1000</f>
        <v>0</v>
      </c>
      <c r="O194" s="9">
        <f>STATS1003B!O203/1000</f>
        <v>0</v>
      </c>
      <c r="P194" s="9">
        <f>STATS1003B!P203/1000</f>
        <v>0</v>
      </c>
      <c r="Q194" s="9">
        <f>STATS1003B!Q203/1000</f>
        <v>3656.6412</v>
      </c>
      <c r="R194" s="9">
        <f>STATS1003B!R203/1000</f>
        <v>-1828.3206</v>
      </c>
      <c r="S194" s="9">
        <f>STATS1003B!S203/1000</f>
        <v>0</v>
      </c>
      <c r="T194" s="9">
        <f>STATS1003B!T203/1000</f>
        <v>0</v>
      </c>
      <c r="U194" s="9">
        <f>STATS1003B!U203/1000</f>
        <v>0</v>
      </c>
      <c r="V194" s="9">
        <f>STATS1003B!V203/1000</f>
        <v>0</v>
      </c>
      <c r="W194" s="9">
        <f>STATS1003B!W203/1000</f>
        <v>0</v>
      </c>
      <c r="X194" s="9">
        <f>STATS1003B!X203/1000</f>
        <v>1828.3206</v>
      </c>
      <c r="Y194" s="9">
        <f>STATS1003B!Y203/1000</f>
        <v>0</v>
      </c>
      <c r="Z194" s="9">
        <f>STATS1003B!Z203/1000</f>
        <v>0</v>
      </c>
      <c r="AA194" s="9">
        <f>STATS1003B!AA203/1000</f>
        <v>1828.3206</v>
      </c>
      <c r="AB194" s="9">
        <f>STATS1003B!AB203/1000</f>
        <v>0</v>
      </c>
    </row>
    <row r="195" spans="1:28" x14ac:dyDescent="0.35">
      <c r="A195" s="36"/>
      <c r="B195" s="8"/>
      <c r="C195" s="7" t="s">
        <v>519</v>
      </c>
      <c r="D195" s="8"/>
      <c r="E195" s="9">
        <f>STATS1003B!E204/1000</f>
        <v>937.39431999999999</v>
      </c>
      <c r="F195" s="9">
        <f>STATS1003B!F204/1000</f>
        <v>937.39431999999999</v>
      </c>
      <c r="G195" s="9">
        <f>STATS1003B!G204/1000</f>
        <v>0</v>
      </c>
      <c r="H195" s="9">
        <f>STATS1003B!H204/1000</f>
        <v>937.39431999999999</v>
      </c>
      <c r="I195" s="9">
        <f>STATS1003B!I204/1000</f>
        <v>1874.78864</v>
      </c>
      <c r="J195" s="9">
        <f>STATS1003B!J204/1000</f>
        <v>0</v>
      </c>
      <c r="K195" s="9">
        <f>STATS1003B!K204/1000</f>
        <v>1874.78864</v>
      </c>
      <c r="L195" s="9">
        <f>STATS1003B!L204/1000</f>
        <v>0</v>
      </c>
      <c r="M195" s="9">
        <f>STATS1003B!M204/1000</f>
        <v>937.39431999999999</v>
      </c>
      <c r="N195" s="9">
        <f>STATS1003B!N204/1000</f>
        <v>0</v>
      </c>
      <c r="O195" s="9">
        <f>STATS1003B!O204/1000</f>
        <v>0</v>
      </c>
      <c r="P195" s="9">
        <f>STATS1003B!P204/1000</f>
        <v>0</v>
      </c>
      <c r="Q195" s="9">
        <f>STATS1003B!Q204/1000</f>
        <v>1874.78864</v>
      </c>
      <c r="R195" s="9">
        <f>STATS1003B!R204/1000</f>
        <v>-937.39431999999999</v>
      </c>
      <c r="S195" s="9">
        <f>STATS1003B!S204/1000</f>
        <v>0</v>
      </c>
      <c r="T195" s="9">
        <f>STATS1003B!T204/1000</f>
        <v>0</v>
      </c>
      <c r="U195" s="9">
        <f>STATS1003B!U204/1000</f>
        <v>0</v>
      </c>
      <c r="V195" s="9">
        <f>STATS1003B!V204/1000</f>
        <v>0</v>
      </c>
      <c r="W195" s="9">
        <f>STATS1003B!W204/1000</f>
        <v>0</v>
      </c>
      <c r="X195" s="9">
        <f>STATS1003B!X204/1000</f>
        <v>937.39431999999999</v>
      </c>
      <c r="Y195" s="9">
        <f>STATS1003B!Y204/1000</f>
        <v>0</v>
      </c>
      <c r="Z195" s="9">
        <f>STATS1003B!Z204/1000</f>
        <v>0</v>
      </c>
      <c r="AA195" s="9">
        <f>STATS1003B!AA204/1000</f>
        <v>937.39431999999999</v>
      </c>
      <c r="AB195" s="9">
        <f>STATS1003B!AB204/1000</f>
        <v>0</v>
      </c>
    </row>
    <row r="196" spans="1:28" x14ac:dyDescent="0.35">
      <c r="A196" s="36"/>
      <c r="B196" s="8"/>
      <c r="C196" s="7" t="s">
        <v>520</v>
      </c>
      <c r="D196" s="8"/>
      <c r="E196" s="9">
        <f>STATS1003B!E205/1000</f>
        <v>1491.15</v>
      </c>
      <c r="F196" s="9">
        <f>STATS1003B!F205/1000</f>
        <v>1491.15</v>
      </c>
      <c r="G196" s="9">
        <f>STATS1003B!G205/1000</f>
        <v>0</v>
      </c>
      <c r="H196" s="9">
        <f>STATS1003B!H205/1000</f>
        <v>1491.15</v>
      </c>
      <c r="I196" s="9">
        <f>STATS1003B!I205/1000</f>
        <v>2982.3</v>
      </c>
      <c r="J196" s="9">
        <f>STATS1003B!J205/1000</f>
        <v>0</v>
      </c>
      <c r="K196" s="9">
        <f>STATS1003B!K205/1000</f>
        <v>2982.3</v>
      </c>
      <c r="L196" s="9">
        <f>STATS1003B!L205/1000</f>
        <v>0</v>
      </c>
      <c r="M196" s="9">
        <f>STATS1003B!M205/1000</f>
        <v>1491.15</v>
      </c>
      <c r="N196" s="9">
        <f>STATS1003B!N205/1000</f>
        <v>0</v>
      </c>
      <c r="O196" s="9">
        <f>STATS1003B!O205/1000</f>
        <v>0</v>
      </c>
      <c r="P196" s="9">
        <f>STATS1003B!P205/1000</f>
        <v>0</v>
      </c>
      <c r="Q196" s="9">
        <f>STATS1003B!Q205/1000</f>
        <v>2982.3</v>
      </c>
      <c r="R196" s="9">
        <f>STATS1003B!R205/1000</f>
        <v>-1491.15</v>
      </c>
      <c r="S196" s="9">
        <f>STATS1003B!S205/1000</f>
        <v>0</v>
      </c>
      <c r="T196" s="9">
        <f>STATS1003B!T205/1000</f>
        <v>0</v>
      </c>
      <c r="U196" s="9">
        <f>STATS1003B!U205/1000</f>
        <v>0</v>
      </c>
      <c r="V196" s="9">
        <f>STATS1003B!V205/1000</f>
        <v>0</v>
      </c>
      <c r="W196" s="9">
        <f>STATS1003B!W205/1000</f>
        <v>0</v>
      </c>
      <c r="X196" s="9">
        <f>STATS1003B!X205/1000</f>
        <v>1491.15</v>
      </c>
      <c r="Y196" s="9">
        <f>STATS1003B!Y205/1000</f>
        <v>0</v>
      </c>
      <c r="Z196" s="9">
        <f>STATS1003B!Z205/1000</f>
        <v>0</v>
      </c>
      <c r="AA196" s="9">
        <f>STATS1003B!AA205/1000</f>
        <v>1491.15</v>
      </c>
      <c r="AB196" s="9">
        <f>STATS1003B!AB205/1000</f>
        <v>0</v>
      </c>
    </row>
    <row r="197" spans="1:28" x14ac:dyDescent="0.35">
      <c r="A197" s="36"/>
      <c r="B197" s="8"/>
      <c r="C197" s="7" t="s">
        <v>521</v>
      </c>
      <c r="D197" s="8"/>
      <c r="E197" s="9">
        <f>STATS1003B!E206/1000</f>
        <v>2820.6720499999997</v>
      </c>
      <c r="F197" s="9">
        <f>STATS1003B!F206/1000</f>
        <v>2820.6720499999997</v>
      </c>
      <c r="G197" s="9">
        <f>STATS1003B!G206/1000</f>
        <v>0</v>
      </c>
      <c r="H197" s="9">
        <f>STATS1003B!H206/1000</f>
        <v>2820.6720499999997</v>
      </c>
      <c r="I197" s="9">
        <f>STATS1003B!I206/1000</f>
        <v>5641.3440999999993</v>
      </c>
      <c r="J197" s="9">
        <f>STATS1003B!J206/1000</f>
        <v>0</v>
      </c>
      <c r="K197" s="9">
        <f>STATS1003B!K206/1000</f>
        <v>5641.3440999999993</v>
      </c>
      <c r="L197" s="9">
        <f>STATS1003B!L206/1000</f>
        <v>0</v>
      </c>
      <c r="M197" s="9">
        <f>STATS1003B!M206/1000</f>
        <v>2820.6720499999997</v>
      </c>
      <c r="N197" s="9">
        <f>STATS1003B!N206/1000</f>
        <v>0</v>
      </c>
      <c r="O197" s="9">
        <f>STATS1003B!O206/1000</f>
        <v>0</v>
      </c>
      <c r="P197" s="9">
        <f>STATS1003B!P206/1000</f>
        <v>0</v>
      </c>
      <c r="Q197" s="9">
        <f>STATS1003B!Q206/1000</f>
        <v>5641.3440999999993</v>
      </c>
      <c r="R197" s="9">
        <f>STATS1003B!R206/1000</f>
        <v>-2820.6720499999997</v>
      </c>
      <c r="S197" s="9">
        <f>STATS1003B!S206/1000</f>
        <v>0</v>
      </c>
      <c r="T197" s="9">
        <f>STATS1003B!T206/1000</f>
        <v>0</v>
      </c>
      <c r="U197" s="9">
        <f>STATS1003B!U206/1000</f>
        <v>0</v>
      </c>
      <c r="V197" s="9">
        <f>STATS1003B!V206/1000</f>
        <v>0</v>
      </c>
      <c r="W197" s="9">
        <f>STATS1003B!W206/1000</f>
        <v>0</v>
      </c>
      <c r="X197" s="9">
        <f>STATS1003B!X206/1000</f>
        <v>2820.6720499999997</v>
      </c>
      <c r="Y197" s="9">
        <f>STATS1003B!Y206/1000</f>
        <v>0</v>
      </c>
      <c r="Z197" s="9">
        <f>STATS1003B!Z206/1000</f>
        <v>0</v>
      </c>
      <c r="AA197" s="9">
        <f>STATS1003B!AA206/1000</f>
        <v>2820.6720499999997</v>
      </c>
      <c r="AB197" s="9">
        <f>STATS1003B!AB206/1000</f>
        <v>0</v>
      </c>
    </row>
    <row r="198" spans="1:28" x14ac:dyDescent="0.35">
      <c r="A198" s="36"/>
      <c r="B198" s="8"/>
      <c r="C198" s="8"/>
      <c r="D198" s="8"/>
      <c r="E198" s="17" t="s">
        <v>29</v>
      </c>
      <c r="F198" s="17" t="s">
        <v>29</v>
      </c>
      <c r="G198" s="17" t="s">
        <v>29</v>
      </c>
      <c r="H198" s="17" t="s">
        <v>29</v>
      </c>
      <c r="I198" s="17" t="s">
        <v>29</v>
      </c>
      <c r="J198" s="17" t="s">
        <v>29</v>
      </c>
      <c r="K198" s="17" t="s">
        <v>29</v>
      </c>
      <c r="L198" s="17" t="s">
        <v>29</v>
      </c>
      <c r="M198" s="17" t="s">
        <v>29</v>
      </c>
      <c r="N198" s="17" t="s">
        <v>29</v>
      </c>
      <c r="O198" s="17" t="s">
        <v>29</v>
      </c>
      <c r="P198" s="17" t="s">
        <v>29</v>
      </c>
      <c r="Q198" s="17" t="s">
        <v>29</v>
      </c>
      <c r="R198" s="17" t="s">
        <v>29</v>
      </c>
      <c r="S198" s="17" t="s">
        <v>29</v>
      </c>
      <c r="T198" s="17" t="s">
        <v>29</v>
      </c>
      <c r="U198" s="17" t="s">
        <v>29</v>
      </c>
      <c r="V198" s="17" t="s">
        <v>29</v>
      </c>
      <c r="W198" s="17" t="s">
        <v>29</v>
      </c>
      <c r="X198" s="17" t="s">
        <v>29</v>
      </c>
      <c r="Y198" s="17" t="s">
        <v>29</v>
      </c>
      <c r="Z198" s="17" t="s">
        <v>29</v>
      </c>
      <c r="AA198" s="17" t="s">
        <v>29</v>
      </c>
      <c r="AB198" s="17" t="s">
        <v>29</v>
      </c>
    </row>
    <row r="199" spans="1:28" x14ac:dyDescent="0.35">
      <c r="A199" s="36"/>
      <c r="B199" s="8"/>
      <c r="C199" s="8"/>
      <c r="D199" s="8"/>
      <c r="E199" s="9">
        <f>SUM(E179:E197)</f>
        <v>25850.708969999996</v>
      </c>
      <c r="F199" s="9">
        <f>SUM(F179:F197)</f>
        <v>23032.897550000002</v>
      </c>
      <c r="G199" s="9">
        <f>SUM(G179:G197)</f>
        <v>0</v>
      </c>
      <c r="H199" s="8">
        <f>SUM(H180:H197)</f>
        <v>23032.897550000002</v>
      </c>
      <c r="I199" s="9">
        <f t="shared" ref="I199:R199" si="10">SUM(I179:I198)</f>
        <v>43562.985940000006</v>
      </c>
      <c r="J199" s="9">
        <f t="shared" si="10"/>
        <v>0</v>
      </c>
      <c r="K199" s="9">
        <f t="shared" si="10"/>
        <v>43562.985940000006</v>
      </c>
      <c r="L199" s="9">
        <f t="shared" si="10"/>
        <v>0</v>
      </c>
      <c r="M199" s="9">
        <f t="shared" si="10"/>
        <v>23032.897550000002</v>
      </c>
      <c r="N199" s="9">
        <f t="shared" si="10"/>
        <v>2671.1612299999997</v>
      </c>
      <c r="O199" s="9">
        <f t="shared" si="10"/>
        <v>0</v>
      </c>
      <c r="P199" s="9">
        <f t="shared" si="10"/>
        <v>2671.1612299999997</v>
      </c>
      <c r="Q199" s="9">
        <f t="shared" si="10"/>
        <v>46234.147170000004</v>
      </c>
      <c r="R199" s="9">
        <f t="shared" si="10"/>
        <v>-21634.842780000003</v>
      </c>
      <c r="S199" s="17"/>
      <c r="T199" s="18">
        <f>+O199+S199</f>
        <v>0</v>
      </c>
      <c r="U199" s="18">
        <f>SUM(U179:U197)</f>
        <v>2671.1612299999997</v>
      </c>
      <c r="V199" s="18">
        <f>+Q199+U199</f>
        <v>48905.308400000002</v>
      </c>
      <c r="W199" s="18">
        <f>+R199+V199</f>
        <v>27270.465619999999</v>
      </c>
      <c r="X199" s="18">
        <f>SUM(X179:X197)</f>
        <v>25704.058779999996</v>
      </c>
      <c r="Y199" s="18">
        <f>SUM(Y179:Y197)</f>
        <v>0</v>
      </c>
      <c r="Z199" s="18">
        <f>SUM(Z179:Z197)</f>
        <v>146.65019000000001</v>
      </c>
      <c r="AA199" s="18">
        <f>SUM(AA179:AA197)</f>
        <v>25704.058779999996</v>
      </c>
      <c r="AB199" s="18">
        <f>SUM(AB179:AB197)</f>
        <v>146.65019000000001</v>
      </c>
    </row>
    <row r="200" spans="1:28" x14ac:dyDescent="0.35">
      <c r="A200" s="36"/>
      <c r="B200" s="8"/>
      <c r="C200" s="8"/>
      <c r="D200" s="8"/>
      <c r="E200" s="17" t="s">
        <v>29</v>
      </c>
      <c r="F200" s="17" t="s">
        <v>29</v>
      </c>
      <c r="G200" s="17" t="s">
        <v>29</v>
      </c>
      <c r="H200" s="17" t="s">
        <v>29</v>
      </c>
      <c r="I200" s="17" t="s">
        <v>29</v>
      </c>
      <c r="J200" s="17" t="s">
        <v>29</v>
      </c>
      <c r="K200" s="17" t="s">
        <v>29</v>
      </c>
      <c r="L200" s="17" t="s">
        <v>29</v>
      </c>
      <c r="M200" s="17" t="s">
        <v>29</v>
      </c>
      <c r="N200" s="17" t="s">
        <v>29</v>
      </c>
      <c r="O200" s="17" t="s">
        <v>29</v>
      </c>
      <c r="P200" s="17" t="s">
        <v>29</v>
      </c>
      <c r="Q200" s="17" t="s">
        <v>29</v>
      </c>
      <c r="R200" s="17" t="s">
        <v>29</v>
      </c>
      <c r="S200" s="17" t="s">
        <v>29</v>
      </c>
      <c r="T200" s="17" t="s">
        <v>29</v>
      </c>
      <c r="U200" s="17" t="s">
        <v>29</v>
      </c>
      <c r="V200" s="17" t="s">
        <v>29</v>
      </c>
      <c r="W200" s="17" t="s">
        <v>29</v>
      </c>
      <c r="X200" s="17" t="s">
        <v>29</v>
      </c>
      <c r="Y200" s="17" t="s">
        <v>29</v>
      </c>
      <c r="Z200" s="17" t="s">
        <v>29</v>
      </c>
      <c r="AA200" s="17" t="s">
        <v>29</v>
      </c>
      <c r="AB200" s="17" t="s">
        <v>29</v>
      </c>
    </row>
    <row r="201" spans="1:28" x14ac:dyDescent="0.35">
      <c r="A201" s="38" t="s">
        <v>944</v>
      </c>
      <c r="B201" s="7" t="s">
        <v>522</v>
      </c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17"/>
      <c r="T201" s="17"/>
      <c r="U201" s="17"/>
      <c r="V201" s="17"/>
      <c r="W201" s="17"/>
      <c r="X201" s="17"/>
      <c r="Y201" s="17"/>
      <c r="Z201" s="17"/>
    </row>
    <row r="202" spans="1:28" x14ac:dyDescent="0.35">
      <c r="A202" s="36"/>
      <c r="B202" s="8"/>
      <c r="C202" s="7" t="s">
        <v>523</v>
      </c>
      <c r="D202" s="15" t="s">
        <v>166</v>
      </c>
      <c r="E202" s="9">
        <f>STATS1003B!E211/1000</f>
        <v>2968</v>
      </c>
      <c r="F202" s="9">
        <f>STATS1003B!F211/1000</f>
        <v>2968</v>
      </c>
      <c r="G202" s="9">
        <f>STATS1003B!G211/1000</f>
        <v>0</v>
      </c>
      <c r="H202" s="9">
        <f>STATS1003B!H211/1000</f>
        <v>2968</v>
      </c>
      <c r="I202" s="9">
        <f>STATS1003B!I211/1000</f>
        <v>5936</v>
      </c>
      <c r="J202" s="9">
        <f>STATS1003B!J211/1000</f>
        <v>0</v>
      </c>
      <c r="K202" s="9">
        <f>STATS1003B!K211/1000</f>
        <v>5936</v>
      </c>
      <c r="L202" s="9">
        <f>STATS1003B!L211/1000</f>
        <v>0</v>
      </c>
      <c r="M202" s="9">
        <f>STATS1003B!M211/1000</f>
        <v>2968</v>
      </c>
      <c r="N202" s="9">
        <f>STATS1003B!N211/1000</f>
        <v>0</v>
      </c>
      <c r="O202" s="9">
        <f>STATS1003B!O211/1000</f>
        <v>0</v>
      </c>
      <c r="P202" s="9">
        <f>STATS1003B!P211/1000</f>
        <v>0</v>
      </c>
      <c r="Q202" s="9">
        <f>STATS1003B!Q211/1000</f>
        <v>5936</v>
      </c>
      <c r="R202" s="9">
        <f>STATS1003B!R211/1000</f>
        <v>-2968</v>
      </c>
      <c r="S202" s="9">
        <f>STATS1003B!S211/1000</f>
        <v>0</v>
      </c>
      <c r="T202" s="9">
        <f>STATS1003B!T211/1000</f>
        <v>0</v>
      </c>
      <c r="U202" s="9">
        <f>STATS1003B!U211/1000</f>
        <v>0</v>
      </c>
      <c r="V202" s="9">
        <f>STATS1003B!V211/1000</f>
        <v>0</v>
      </c>
      <c r="W202" s="9">
        <f>STATS1003B!W211/1000</f>
        <v>0</v>
      </c>
      <c r="X202" s="9">
        <f>STATS1003B!X211/1000</f>
        <v>2968</v>
      </c>
      <c r="Y202" s="9">
        <f>STATS1003B!Y211/1000</f>
        <v>0</v>
      </c>
      <c r="Z202" s="9">
        <f>STATS1003B!Z211/1000</f>
        <v>0</v>
      </c>
      <c r="AA202" s="9">
        <f>STATS1003B!AA211/1000</f>
        <v>2968</v>
      </c>
      <c r="AB202" s="9">
        <f>STATS1003B!AB211/1000</f>
        <v>0</v>
      </c>
    </row>
    <row r="203" spans="1:28" x14ac:dyDescent="0.35">
      <c r="A203" s="36"/>
      <c r="B203" s="8"/>
      <c r="C203" s="7" t="s">
        <v>524</v>
      </c>
      <c r="D203" s="15" t="s">
        <v>78</v>
      </c>
      <c r="E203" s="9">
        <f>STATS1003B!E212/1000</f>
        <v>3722.1</v>
      </c>
      <c r="F203" s="9">
        <f>STATS1003B!F212/1000</f>
        <v>3005.34618</v>
      </c>
      <c r="G203" s="9">
        <f>STATS1003B!G212/1000</f>
        <v>0</v>
      </c>
      <c r="H203" s="9">
        <f>STATS1003B!H212/1000</f>
        <v>3005.34618</v>
      </c>
      <c r="I203" s="9">
        <f>STATS1003B!I212/1000</f>
        <v>6010.69236</v>
      </c>
      <c r="J203" s="9">
        <f>STATS1003B!J212/1000</f>
        <v>0</v>
      </c>
      <c r="K203" s="9">
        <f>STATS1003B!K212/1000</f>
        <v>6010.69236</v>
      </c>
      <c r="L203" s="9">
        <f>STATS1003B!L212/1000</f>
        <v>0</v>
      </c>
      <c r="M203" s="9">
        <f>STATS1003B!M212/1000</f>
        <v>3005.34618</v>
      </c>
      <c r="N203" s="9">
        <f>STATS1003B!N212/1000</f>
        <v>716.75381999999991</v>
      </c>
      <c r="O203" s="9">
        <f>STATS1003B!O212/1000</f>
        <v>0</v>
      </c>
      <c r="P203" s="9">
        <f>STATS1003B!P212/1000</f>
        <v>716.75381999999991</v>
      </c>
      <c r="Q203" s="9">
        <f>STATS1003B!Q212/1000</f>
        <v>6727.4461800000008</v>
      </c>
      <c r="R203" s="9">
        <f>STATS1003B!R212/1000</f>
        <v>-3005.3461800000005</v>
      </c>
      <c r="S203" s="9">
        <f>STATS1003B!S212/1000</f>
        <v>0</v>
      </c>
      <c r="T203" s="9">
        <f>STATS1003B!T212/1000</f>
        <v>0</v>
      </c>
      <c r="U203" s="9">
        <f>STATS1003B!U212/1000</f>
        <v>716.75381999999991</v>
      </c>
      <c r="V203" s="9">
        <f>STATS1003B!V212/1000</f>
        <v>0</v>
      </c>
      <c r="W203" s="9">
        <f>STATS1003B!W212/1000</f>
        <v>0</v>
      </c>
      <c r="X203" s="9">
        <f>STATS1003B!X212/1000</f>
        <v>3722.1</v>
      </c>
      <c r="Y203" s="9">
        <f>STATS1003B!Y212/1000</f>
        <v>0</v>
      </c>
      <c r="Z203" s="9">
        <f>STATS1003B!Z212/1000</f>
        <v>0</v>
      </c>
      <c r="AA203" s="9">
        <f>STATS1003B!AA212/1000</f>
        <v>3722.1</v>
      </c>
      <c r="AB203" s="9">
        <f>STATS1003B!AB212/1000</f>
        <v>0</v>
      </c>
    </row>
    <row r="204" spans="1:28" x14ac:dyDescent="0.35">
      <c r="A204" s="36"/>
      <c r="B204" s="8"/>
      <c r="C204" s="7" t="s">
        <v>512</v>
      </c>
      <c r="D204" s="15" t="s">
        <v>78</v>
      </c>
      <c r="E204" s="9">
        <f>STATS1003B!E213/1000</f>
        <v>570.89691000000005</v>
      </c>
      <c r="F204" s="9">
        <f>STATS1003B!F213/1000</f>
        <v>0</v>
      </c>
      <c r="G204" s="9">
        <f>STATS1003B!G213/1000</f>
        <v>0</v>
      </c>
      <c r="H204" s="9">
        <f>STATS1003B!H213/1000</f>
        <v>0</v>
      </c>
      <c r="I204" s="9">
        <f>STATS1003B!I213/1000</f>
        <v>0</v>
      </c>
      <c r="J204" s="9">
        <f>STATS1003B!J213/1000</f>
        <v>0</v>
      </c>
      <c r="K204" s="9">
        <f>STATS1003B!K213/1000</f>
        <v>0</v>
      </c>
      <c r="L204" s="9">
        <f>STATS1003B!L213/1000</f>
        <v>0</v>
      </c>
      <c r="M204" s="9">
        <f>STATS1003B!M213/1000</f>
        <v>0</v>
      </c>
      <c r="N204" s="9">
        <f>STATS1003B!N213/1000</f>
        <v>570.89691000000005</v>
      </c>
      <c r="O204" s="9">
        <f>STATS1003B!O213/1000</f>
        <v>0</v>
      </c>
      <c r="P204" s="9">
        <f>STATS1003B!P213/1000</f>
        <v>570.89691000000005</v>
      </c>
      <c r="Q204" s="9">
        <f>STATS1003B!Q213/1000</f>
        <v>570.89691000000005</v>
      </c>
      <c r="R204" s="9">
        <f>STATS1003B!R213/1000</f>
        <v>0</v>
      </c>
      <c r="S204" s="9">
        <f>STATS1003B!S213/1000</f>
        <v>0</v>
      </c>
      <c r="T204" s="9">
        <f>STATS1003B!T213/1000</f>
        <v>0</v>
      </c>
      <c r="U204" s="9">
        <f>STATS1003B!U213/1000</f>
        <v>570.89691000000005</v>
      </c>
      <c r="V204" s="9">
        <f>STATS1003B!V213/1000</f>
        <v>0</v>
      </c>
      <c r="W204" s="9">
        <f>STATS1003B!W213/1000</f>
        <v>0</v>
      </c>
      <c r="X204" s="9">
        <f>STATS1003B!X213/1000</f>
        <v>570.89691000000005</v>
      </c>
      <c r="Y204" s="9">
        <f>STATS1003B!Y213/1000</f>
        <v>0</v>
      </c>
      <c r="Z204" s="9">
        <f>STATS1003B!Z213/1000</f>
        <v>0</v>
      </c>
      <c r="AA204" s="9">
        <f>STATS1003B!AA213/1000</f>
        <v>570.89691000000005</v>
      </c>
      <c r="AB204" s="9">
        <f>STATS1003B!AB213/1000</f>
        <v>0</v>
      </c>
    </row>
    <row r="205" spans="1:28" x14ac:dyDescent="0.35">
      <c r="A205" s="36"/>
      <c r="B205" s="8"/>
      <c r="C205" s="7" t="s">
        <v>514</v>
      </c>
      <c r="D205" s="21" t="s">
        <v>68</v>
      </c>
      <c r="E205" s="9">
        <f>STATS1003B!E214/1000</f>
        <v>1386.9682399999999</v>
      </c>
      <c r="F205" s="9">
        <f>STATS1003B!F214/1000</f>
        <v>0</v>
      </c>
      <c r="G205" s="9">
        <f>STATS1003B!G214/1000</f>
        <v>0</v>
      </c>
      <c r="H205" s="9">
        <f>STATS1003B!H214/1000</f>
        <v>0</v>
      </c>
      <c r="I205" s="9">
        <f>STATS1003B!I214/1000</f>
        <v>0</v>
      </c>
      <c r="J205" s="9">
        <f>STATS1003B!J214/1000</f>
        <v>0</v>
      </c>
      <c r="K205" s="9">
        <f>STATS1003B!K214/1000</f>
        <v>0</v>
      </c>
      <c r="L205" s="9">
        <f>STATS1003B!L214/1000</f>
        <v>0</v>
      </c>
      <c r="M205" s="9">
        <f>STATS1003B!M214/1000</f>
        <v>0</v>
      </c>
      <c r="N205" s="9">
        <f>STATS1003B!N214/1000</f>
        <v>1386.9682399999999</v>
      </c>
      <c r="O205" s="9">
        <f>STATS1003B!O214/1000</f>
        <v>0</v>
      </c>
      <c r="P205" s="9">
        <f>STATS1003B!P214/1000</f>
        <v>1386.9682399999999</v>
      </c>
      <c r="Q205" s="9">
        <f>STATS1003B!Q214/1000</f>
        <v>1386.9682399999999</v>
      </c>
      <c r="R205" s="9">
        <f>STATS1003B!R214/1000</f>
        <v>0</v>
      </c>
      <c r="S205" s="9">
        <f>STATS1003B!S214/1000</f>
        <v>0</v>
      </c>
      <c r="T205" s="9">
        <f>STATS1003B!T214/1000</f>
        <v>0</v>
      </c>
      <c r="U205" s="9">
        <f>STATS1003B!U214/1000</f>
        <v>1386.9682399999999</v>
      </c>
      <c r="V205" s="9">
        <f>STATS1003B!V214/1000</f>
        <v>0</v>
      </c>
      <c r="W205" s="9">
        <f>STATS1003B!W214/1000</f>
        <v>0</v>
      </c>
      <c r="X205" s="9">
        <f>STATS1003B!X214/1000</f>
        <v>1386.9682399999999</v>
      </c>
      <c r="Y205" s="9">
        <f>STATS1003B!Y214/1000</f>
        <v>0</v>
      </c>
      <c r="Z205" s="9">
        <f>STATS1003B!Z214/1000</f>
        <v>0</v>
      </c>
      <c r="AA205" s="9">
        <f>STATS1003B!AA214/1000</f>
        <v>1386.9682399999999</v>
      </c>
      <c r="AB205" s="9">
        <f>STATS1003B!AB214/1000</f>
        <v>0</v>
      </c>
    </row>
    <row r="206" spans="1:28" x14ac:dyDescent="0.35">
      <c r="A206" s="36"/>
      <c r="B206" s="8"/>
      <c r="C206" s="7" t="s">
        <v>513</v>
      </c>
      <c r="D206" s="21" t="s">
        <v>68</v>
      </c>
      <c r="E206" s="9">
        <f>STATS1003B!E215/1000</f>
        <v>946.12295999999992</v>
      </c>
      <c r="F206" s="9">
        <f>STATS1003B!F215/1000</f>
        <v>931.56600000000003</v>
      </c>
      <c r="G206" s="9">
        <f>STATS1003B!G215/1000</f>
        <v>0</v>
      </c>
      <c r="H206" s="9">
        <f>STATS1003B!H215/1000</f>
        <v>931.56600000000003</v>
      </c>
      <c r="I206" s="9">
        <f>STATS1003B!I215/1000</f>
        <v>1863.1320000000001</v>
      </c>
      <c r="J206" s="9">
        <f>STATS1003B!J215/1000</f>
        <v>0</v>
      </c>
      <c r="K206" s="9">
        <f>STATS1003B!K215/1000</f>
        <v>1863.1320000000001</v>
      </c>
      <c r="L206" s="9">
        <f>STATS1003B!L215/1000</f>
        <v>0</v>
      </c>
      <c r="M206" s="9">
        <f>STATS1003B!M215/1000</f>
        <v>931.56600000000003</v>
      </c>
      <c r="N206" s="9">
        <f>STATS1003B!N215/1000</f>
        <v>14.556959999999998</v>
      </c>
      <c r="O206" s="9">
        <f>STATS1003B!O215/1000</f>
        <v>0</v>
      </c>
      <c r="P206" s="9">
        <f>STATS1003B!P215/1000</f>
        <v>14.556959999999998</v>
      </c>
      <c r="Q206" s="9">
        <f>STATS1003B!Q215/1000</f>
        <v>1877.68896</v>
      </c>
      <c r="R206" s="9">
        <f>STATS1003B!R215/1000</f>
        <v>-931.56600000000003</v>
      </c>
      <c r="S206" s="9">
        <f>STATS1003B!S215/1000</f>
        <v>0</v>
      </c>
      <c r="T206" s="9">
        <f>STATS1003B!T215/1000</f>
        <v>0</v>
      </c>
      <c r="U206" s="9">
        <f>STATS1003B!U215/1000</f>
        <v>14.556959999999998</v>
      </c>
      <c r="V206" s="9">
        <f>STATS1003B!V215/1000</f>
        <v>0</v>
      </c>
      <c r="W206" s="9">
        <f>STATS1003B!W215/1000</f>
        <v>0</v>
      </c>
      <c r="X206" s="9">
        <f>STATS1003B!X215/1000</f>
        <v>946.12295999999992</v>
      </c>
      <c r="Y206" s="9">
        <f>STATS1003B!Y215/1000</f>
        <v>0</v>
      </c>
      <c r="Z206" s="9">
        <f>STATS1003B!Z215/1000</f>
        <v>0</v>
      </c>
      <c r="AA206" s="9">
        <f>STATS1003B!AA215/1000</f>
        <v>946.12295999999992</v>
      </c>
      <c r="AB206" s="9">
        <f>STATS1003B!AB215/1000</f>
        <v>0</v>
      </c>
    </row>
    <row r="207" spans="1:28" x14ac:dyDescent="0.35">
      <c r="A207" s="36"/>
      <c r="B207" s="8"/>
      <c r="C207" s="7" t="s">
        <v>525</v>
      </c>
      <c r="D207" s="21" t="s">
        <v>54</v>
      </c>
      <c r="E207" s="9">
        <f>STATS1003B!E216/1000</f>
        <v>1767.77</v>
      </c>
      <c r="F207" s="9">
        <f>STATS1003B!F216/1000</f>
        <v>0</v>
      </c>
      <c r="G207" s="9">
        <f>STATS1003B!G216/1000</f>
        <v>0</v>
      </c>
      <c r="H207" s="9">
        <f>STATS1003B!H216/1000</f>
        <v>0</v>
      </c>
      <c r="I207" s="9">
        <f>STATS1003B!I216/1000</f>
        <v>0</v>
      </c>
      <c r="J207" s="9">
        <f>STATS1003B!J216/1000</f>
        <v>0</v>
      </c>
      <c r="K207" s="9">
        <f>STATS1003B!K216/1000</f>
        <v>0</v>
      </c>
      <c r="L207" s="9">
        <f>STATS1003B!L216/1000</f>
        <v>0</v>
      </c>
      <c r="M207" s="9">
        <f>STATS1003B!M216/1000</f>
        <v>0</v>
      </c>
      <c r="N207" s="9">
        <f>STATS1003B!N216/1000</f>
        <v>1767.77</v>
      </c>
      <c r="O207" s="9">
        <f>STATS1003B!O216/1000</f>
        <v>0</v>
      </c>
      <c r="P207" s="9">
        <f>STATS1003B!P216/1000</f>
        <v>1767.77</v>
      </c>
      <c r="Q207" s="9">
        <f>STATS1003B!Q216/1000</f>
        <v>1767.77</v>
      </c>
      <c r="R207" s="9">
        <f>STATS1003B!R216/1000</f>
        <v>0</v>
      </c>
      <c r="S207" s="9">
        <f>STATS1003B!S216/1000</f>
        <v>0</v>
      </c>
      <c r="T207" s="9">
        <f>STATS1003B!T216/1000</f>
        <v>0</v>
      </c>
      <c r="U207" s="9">
        <f>STATS1003B!U216/1000</f>
        <v>1767.77</v>
      </c>
      <c r="V207" s="9">
        <f>STATS1003B!V216/1000</f>
        <v>0</v>
      </c>
      <c r="W207" s="9">
        <f>STATS1003B!W216/1000</f>
        <v>0</v>
      </c>
      <c r="X207" s="9">
        <f>STATS1003B!X216/1000</f>
        <v>1767.77</v>
      </c>
      <c r="Y207" s="9">
        <f>STATS1003B!Y216/1000</f>
        <v>0</v>
      </c>
      <c r="Z207" s="9">
        <f>STATS1003B!Z216/1000</f>
        <v>0</v>
      </c>
      <c r="AA207" s="9">
        <f>STATS1003B!AA216/1000</f>
        <v>1767.77</v>
      </c>
      <c r="AB207" s="9">
        <f>STATS1003B!AB216/1000</f>
        <v>0</v>
      </c>
    </row>
    <row r="208" spans="1:28" x14ac:dyDescent="0.35">
      <c r="A208" s="36"/>
      <c r="B208" s="8"/>
      <c r="C208" s="7" t="s">
        <v>526</v>
      </c>
      <c r="D208" s="15" t="s">
        <v>85</v>
      </c>
      <c r="E208" s="9">
        <f>STATS1003B!E217/1000</f>
        <v>3377.7133799999997</v>
      </c>
      <c r="F208" s="9">
        <f>STATS1003B!F217/1000</f>
        <v>3377.7133799999997</v>
      </c>
      <c r="G208" s="9">
        <f>STATS1003B!G217/1000</f>
        <v>0</v>
      </c>
      <c r="H208" s="9">
        <f>STATS1003B!H217/1000</f>
        <v>3377.7133799999997</v>
      </c>
      <c r="I208" s="9">
        <f>STATS1003B!I217/1000</f>
        <v>6755.4267599999994</v>
      </c>
      <c r="J208" s="9">
        <f>STATS1003B!J217/1000</f>
        <v>0</v>
      </c>
      <c r="K208" s="9">
        <f>STATS1003B!K217/1000</f>
        <v>6755.4267599999994</v>
      </c>
      <c r="L208" s="9">
        <f>STATS1003B!L217/1000</f>
        <v>0</v>
      </c>
      <c r="M208" s="9">
        <f>STATS1003B!M217/1000</f>
        <v>3377.7133799999997</v>
      </c>
      <c r="N208" s="9">
        <f>STATS1003B!N217/1000</f>
        <v>0</v>
      </c>
      <c r="O208" s="9">
        <f>STATS1003B!O217/1000</f>
        <v>0</v>
      </c>
      <c r="P208" s="9">
        <f>STATS1003B!P217/1000</f>
        <v>0</v>
      </c>
      <c r="Q208" s="9">
        <f>STATS1003B!Q217/1000</f>
        <v>6755.4267599999994</v>
      </c>
      <c r="R208" s="9">
        <f>STATS1003B!R217/1000</f>
        <v>-3377.7133799999997</v>
      </c>
      <c r="S208" s="9">
        <f>STATS1003B!S217/1000</f>
        <v>0</v>
      </c>
      <c r="T208" s="9">
        <f>STATS1003B!T217/1000</f>
        <v>0</v>
      </c>
      <c r="U208" s="9">
        <f>STATS1003B!U217/1000</f>
        <v>0</v>
      </c>
      <c r="V208" s="9">
        <f>STATS1003B!V217/1000</f>
        <v>0</v>
      </c>
      <c r="W208" s="9">
        <f>STATS1003B!W217/1000</f>
        <v>0</v>
      </c>
      <c r="X208" s="9">
        <f>STATS1003B!X217/1000</f>
        <v>3377.7133799999997</v>
      </c>
      <c r="Y208" s="9">
        <f>STATS1003B!Y217/1000</f>
        <v>0</v>
      </c>
      <c r="Z208" s="9">
        <f>STATS1003B!Z217/1000</f>
        <v>0</v>
      </c>
      <c r="AA208" s="9">
        <f>STATS1003B!AA217/1000</f>
        <v>3377.7133799999997</v>
      </c>
      <c r="AB208" s="9">
        <f>STATS1003B!AB217/1000</f>
        <v>0</v>
      </c>
    </row>
    <row r="209" spans="1:28" x14ac:dyDescent="0.35">
      <c r="A209" s="36"/>
      <c r="B209" s="8"/>
      <c r="C209" s="7" t="s">
        <v>527</v>
      </c>
      <c r="D209" s="15" t="s">
        <v>85</v>
      </c>
      <c r="E209" s="9">
        <f>STATS1003B!E218/1000</f>
        <v>2479.8653599999998</v>
      </c>
      <c r="F209" s="9">
        <f>STATS1003B!F218/1000</f>
        <v>0</v>
      </c>
      <c r="G209" s="9">
        <f>STATS1003B!G218/1000</f>
        <v>0</v>
      </c>
      <c r="H209" s="9">
        <f>STATS1003B!H218/1000</f>
        <v>0</v>
      </c>
      <c r="I209" s="9">
        <f>STATS1003B!I218/1000</f>
        <v>0</v>
      </c>
      <c r="J209" s="9">
        <f>STATS1003B!J218/1000</f>
        <v>0</v>
      </c>
      <c r="K209" s="9">
        <f>STATS1003B!K218/1000</f>
        <v>0</v>
      </c>
      <c r="L209" s="9">
        <f>STATS1003B!L218/1000</f>
        <v>0</v>
      </c>
      <c r="M209" s="9">
        <f>STATS1003B!M218/1000</f>
        <v>0</v>
      </c>
      <c r="N209" s="9">
        <f>STATS1003B!N218/1000</f>
        <v>2479.8653599999998</v>
      </c>
      <c r="O209" s="9">
        <f>STATS1003B!O218/1000</f>
        <v>0</v>
      </c>
      <c r="P209" s="9">
        <f>STATS1003B!P218/1000</f>
        <v>2479.8653599999998</v>
      </c>
      <c r="Q209" s="9">
        <f>STATS1003B!Q218/1000</f>
        <v>2479.8653599999998</v>
      </c>
      <c r="R209" s="9">
        <f>STATS1003B!R218/1000</f>
        <v>0</v>
      </c>
      <c r="S209" s="9">
        <f>STATS1003B!S218/1000</f>
        <v>0</v>
      </c>
      <c r="T209" s="9">
        <f>STATS1003B!T218/1000</f>
        <v>0</v>
      </c>
      <c r="U209" s="9">
        <f>STATS1003B!U218/1000</f>
        <v>2479.8653599999998</v>
      </c>
      <c r="V209" s="9">
        <f>STATS1003B!V218/1000</f>
        <v>0</v>
      </c>
      <c r="W209" s="9">
        <f>STATS1003B!W218/1000</f>
        <v>0</v>
      </c>
      <c r="X209" s="9">
        <f>STATS1003B!X218/1000</f>
        <v>2479.8653599999998</v>
      </c>
      <c r="Y209" s="9">
        <f>STATS1003B!Y218/1000</f>
        <v>0</v>
      </c>
      <c r="Z209" s="9">
        <f>STATS1003B!Z218/1000</f>
        <v>0</v>
      </c>
      <c r="AA209" s="9">
        <f>STATS1003B!AA218/1000</f>
        <v>2479.8653599999998</v>
      </c>
      <c r="AB209" s="9">
        <f>STATS1003B!AB218/1000</f>
        <v>0</v>
      </c>
    </row>
    <row r="210" spans="1:28" x14ac:dyDescent="0.35">
      <c r="A210" s="36"/>
      <c r="B210" s="8"/>
      <c r="C210" s="7" t="s">
        <v>528</v>
      </c>
      <c r="D210" s="15" t="s">
        <v>85</v>
      </c>
      <c r="E210" s="9">
        <f>STATS1003B!E219/1000</f>
        <v>3610.8</v>
      </c>
      <c r="F210" s="9">
        <f>STATS1003B!F219/1000</f>
        <v>3610.8</v>
      </c>
      <c r="G210" s="9">
        <f>STATS1003B!G219/1000</f>
        <v>0</v>
      </c>
      <c r="H210" s="9">
        <f>STATS1003B!H219/1000</f>
        <v>3610.8</v>
      </c>
      <c r="I210" s="9">
        <f>STATS1003B!I219/1000</f>
        <v>7221.6</v>
      </c>
      <c r="J210" s="9">
        <f>STATS1003B!J219/1000</f>
        <v>0</v>
      </c>
      <c r="K210" s="9">
        <f>STATS1003B!K219/1000</f>
        <v>7221.6</v>
      </c>
      <c r="L210" s="9">
        <f>STATS1003B!L219/1000</f>
        <v>0</v>
      </c>
      <c r="M210" s="9">
        <f>STATS1003B!M219/1000</f>
        <v>3610.8</v>
      </c>
      <c r="N210" s="9">
        <f>STATS1003B!N219/1000</f>
        <v>0</v>
      </c>
      <c r="O210" s="9">
        <f>STATS1003B!O219/1000</f>
        <v>0</v>
      </c>
      <c r="P210" s="9">
        <f>STATS1003B!P219/1000</f>
        <v>0</v>
      </c>
      <c r="Q210" s="9">
        <f>STATS1003B!Q219/1000</f>
        <v>7221.6</v>
      </c>
      <c r="R210" s="9">
        <f>STATS1003B!R219/1000</f>
        <v>-3610.8</v>
      </c>
      <c r="S210" s="9">
        <f>STATS1003B!S219/1000</f>
        <v>0</v>
      </c>
      <c r="T210" s="9">
        <f>STATS1003B!T219/1000</f>
        <v>0</v>
      </c>
      <c r="U210" s="9">
        <f>STATS1003B!U219/1000</f>
        <v>0</v>
      </c>
      <c r="V210" s="9">
        <f>STATS1003B!V219/1000</f>
        <v>0</v>
      </c>
      <c r="W210" s="9">
        <f>STATS1003B!W219/1000</f>
        <v>0</v>
      </c>
      <c r="X210" s="9">
        <f>STATS1003B!X219/1000</f>
        <v>3610.8</v>
      </c>
      <c r="Y210" s="9">
        <f>STATS1003B!Y219/1000</f>
        <v>0</v>
      </c>
      <c r="Z210" s="9">
        <f>STATS1003B!Z219/1000</f>
        <v>0</v>
      </c>
      <c r="AA210" s="9">
        <f>STATS1003B!AA219/1000</f>
        <v>3610.8</v>
      </c>
      <c r="AB210" s="9">
        <f>STATS1003B!AB219/1000</f>
        <v>0</v>
      </c>
    </row>
    <row r="211" spans="1:28" x14ac:dyDescent="0.35">
      <c r="A211" s="36"/>
      <c r="B211" s="8"/>
      <c r="C211" s="7" t="s">
        <v>528</v>
      </c>
      <c r="D211" s="15" t="s">
        <v>128</v>
      </c>
      <c r="E211" s="9">
        <f>STATS1003B!E220/1000</f>
        <v>2000</v>
      </c>
      <c r="F211" s="9">
        <f>STATS1003B!F220/1000</f>
        <v>2000</v>
      </c>
      <c r="G211" s="9">
        <f>STATS1003B!G220/1000</f>
        <v>0</v>
      </c>
      <c r="H211" s="9">
        <f>STATS1003B!H220/1000</f>
        <v>2000</v>
      </c>
      <c r="I211" s="9">
        <f>STATS1003B!I220/1000</f>
        <v>4000</v>
      </c>
      <c r="J211" s="9">
        <f>STATS1003B!J220/1000</f>
        <v>0</v>
      </c>
      <c r="K211" s="9">
        <f>STATS1003B!K220/1000</f>
        <v>4000</v>
      </c>
      <c r="L211" s="9">
        <f>STATS1003B!L220/1000</f>
        <v>0</v>
      </c>
      <c r="M211" s="9">
        <f>STATS1003B!M220/1000</f>
        <v>2000</v>
      </c>
      <c r="N211" s="9">
        <f>STATS1003B!N220/1000</f>
        <v>0</v>
      </c>
      <c r="O211" s="9">
        <f>STATS1003B!O220/1000</f>
        <v>0</v>
      </c>
      <c r="P211" s="9">
        <f>STATS1003B!P220/1000</f>
        <v>0</v>
      </c>
      <c r="Q211" s="9">
        <f>STATS1003B!Q220/1000</f>
        <v>4000</v>
      </c>
      <c r="R211" s="9">
        <f>STATS1003B!R220/1000</f>
        <v>-2000</v>
      </c>
      <c r="S211" s="9">
        <f>STATS1003B!S220/1000</f>
        <v>0</v>
      </c>
      <c r="T211" s="9">
        <f>STATS1003B!T220/1000</f>
        <v>0</v>
      </c>
      <c r="U211" s="9">
        <f>STATS1003B!U220/1000</f>
        <v>0</v>
      </c>
      <c r="V211" s="9">
        <f>STATS1003B!V220/1000</f>
        <v>0</v>
      </c>
      <c r="W211" s="9">
        <f>STATS1003B!W220/1000</f>
        <v>0</v>
      </c>
      <c r="X211" s="9">
        <f>STATS1003B!X220/1000</f>
        <v>2000</v>
      </c>
      <c r="Y211" s="9">
        <f>STATS1003B!Y220/1000</f>
        <v>0</v>
      </c>
      <c r="Z211" s="9">
        <f>STATS1003B!Z220/1000</f>
        <v>0</v>
      </c>
      <c r="AA211" s="9">
        <f>STATS1003B!AA220/1000</f>
        <v>2000</v>
      </c>
      <c r="AB211" s="9">
        <f>STATS1003B!AB220/1000</f>
        <v>0</v>
      </c>
    </row>
    <row r="212" spans="1:28" x14ac:dyDescent="0.35">
      <c r="A212" s="36"/>
      <c r="B212" s="8"/>
      <c r="C212" s="7" t="s">
        <v>528</v>
      </c>
      <c r="D212" s="15" t="s">
        <v>88</v>
      </c>
      <c r="E212" s="9">
        <f>STATS1003B!E221/1000</f>
        <v>975.3</v>
      </c>
      <c r="F212" s="9">
        <f>STATS1003B!F221/1000</f>
        <v>975.3</v>
      </c>
      <c r="G212" s="9">
        <f>STATS1003B!G221/1000</f>
        <v>0</v>
      </c>
      <c r="H212" s="9">
        <f>STATS1003B!H221/1000</f>
        <v>975.3</v>
      </c>
      <c r="I212" s="9">
        <f>STATS1003B!I221/1000</f>
        <v>1950.6</v>
      </c>
      <c r="J212" s="9">
        <f>STATS1003B!J221/1000</f>
        <v>0</v>
      </c>
      <c r="K212" s="9">
        <f>STATS1003B!K221/1000</f>
        <v>1950.6</v>
      </c>
      <c r="L212" s="9">
        <f>STATS1003B!L221/1000</f>
        <v>0</v>
      </c>
      <c r="M212" s="9">
        <f>STATS1003B!M221/1000</f>
        <v>975.3</v>
      </c>
      <c r="N212" s="9">
        <f>STATS1003B!N221/1000</f>
        <v>0</v>
      </c>
      <c r="O212" s="9">
        <f>STATS1003B!O221/1000</f>
        <v>0</v>
      </c>
      <c r="P212" s="9">
        <f>STATS1003B!P221/1000</f>
        <v>0</v>
      </c>
      <c r="Q212" s="9">
        <f>STATS1003B!Q221/1000</f>
        <v>1950.6</v>
      </c>
      <c r="R212" s="9">
        <f>STATS1003B!R221/1000</f>
        <v>-975.3</v>
      </c>
      <c r="S212" s="9">
        <f>STATS1003B!S221/1000</f>
        <v>0</v>
      </c>
      <c r="T212" s="9">
        <f>STATS1003B!T221/1000</f>
        <v>0</v>
      </c>
      <c r="U212" s="9">
        <f>STATS1003B!U221/1000</f>
        <v>0</v>
      </c>
      <c r="V212" s="9">
        <f>STATS1003B!V221/1000</f>
        <v>0</v>
      </c>
      <c r="W212" s="9">
        <f>STATS1003B!W221/1000</f>
        <v>0</v>
      </c>
      <c r="X212" s="9">
        <f>STATS1003B!X221/1000</f>
        <v>975.3</v>
      </c>
      <c r="Y212" s="9">
        <f>STATS1003B!Y221/1000</f>
        <v>0</v>
      </c>
      <c r="Z212" s="9">
        <f>STATS1003B!Z221/1000</f>
        <v>0</v>
      </c>
      <c r="AA212" s="9">
        <f>STATS1003B!AA221/1000</f>
        <v>975.3</v>
      </c>
      <c r="AB212" s="9">
        <f>STATS1003B!AB221/1000</f>
        <v>0</v>
      </c>
    </row>
    <row r="213" spans="1:28" x14ac:dyDescent="0.35">
      <c r="A213" s="36"/>
      <c r="B213" s="8"/>
      <c r="C213" s="7" t="s">
        <v>528</v>
      </c>
      <c r="D213" s="15" t="s">
        <v>58</v>
      </c>
      <c r="E213" s="9">
        <f>STATS1003B!E222/1000</f>
        <v>8450.7340000000004</v>
      </c>
      <c r="F213" s="9">
        <f>STATS1003B!F222/1000</f>
        <v>5721.26</v>
      </c>
      <c r="G213" s="9">
        <f>STATS1003B!G222/1000</f>
        <v>0</v>
      </c>
      <c r="H213" s="9">
        <f>STATS1003B!H222/1000</f>
        <v>5721.26</v>
      </c>
      <c r="I213" s="9">
        <f>STATS1003B!I222/1000</f>
        <v>11442.52</v>
      </c>
      <c r="J213" s="9">
        <f>STATS1003B!J222/1000</f>
        <v>2729.4740000000002</v>
      </c>
      <c r="K213" s="9">
        <f>STATS1003B!K222/1000</f>
        <v>14171.994000000001</v>
      </c>
      <c r="L213" s="9">
        <f>STATS1003B!L222/1000</f>
        <v>2729.4740000000002</v>
      </c>
      <c r="M213" s="9">
        <f>STATS1003B!M222/1000</f>
        <v>8450.7340000000004</v>
      </c>
      <c r="N213" s="9">
        <f>STATS1003B!N222/1000</f>
        <v>0</v>
      </c>
      <c r="O213" s="9">
        <f>STATS1003B!O222/1000</f>
        <v>0</v>
      </c>
      <c r="P213" s="9">
        <f>STATS1003B!P222/1000</f>
        <v>0</v>
      </c>
      <c r="Q213" s="9">
        <f>STATS1003B!Q222/1000</f>
        <v>14171.994000000001</v>
      </c>
      <c r="R213" s="9">
        <f>STATS1003B!R222/1000</f>
        <v>-5721.26</v>
      </c>
      <c r="S213" s="9">
        <f>STATS1003B!S222/1000</f>
        <v>0</v>
      </c>
      <c r="T213" s="9">
        <f>STATS1003B!T222/1000</f>
        <v>0</v>
      </c>
      <c r="U213" s="9">
        <f>STATS1003B!U222/1000</f>
        <v>0</v>
      </c>
      <c r="V213" s="9">
        <f>STATS1003B!V222/1000</f>
        <v>0</v>
      </c>
      <c r="W213" s="9">
        <f>STATS1003B!W222/1000</f>
        <v>0</v>
      </c>
      <c r="X213" s="9">
        <f>STATS1003B!X222/1000</f>
        <v>5721.26</v>
      </c>
      <c r="Y213" s="9">
        <f>STATS1003B!Y222/1000</f>
        <v>0</v>
      </c>
      <c r="Z213" s="9">
        <f>STATS1003B!Z222/1000</f>
        <v>2729.4740000000002</v>
      </c>
      <c r="AA213" s="9">
        <f>STATS1003B!AA222/1000</f>
        <v>8450.7340000000004</v>
      </c>
      <c r="AB213" s="9">
        <f>STATS1003B!AB222/1000</f>
        <v>0</v>
      </c>
    </row>
    <row r="214" spans="1:28" x14ac:dyDescent="0.35">
      <c r="A214" s="36"/>
      <c r="B214" s="8"/>
      <c r="C214" s="7" t="s">
        <v>528</v>
      </c>
      <c r="D214" s="15" t="s">
        <v>60</v>
      </c>
      <c r="E214" s="9">
        <f>STATS1003B!E223/1000</f>
        <v>3000</v>
      </c>
      <c r="F214" s="9">
        <f>STATS1003B!F223/1000</f>
        <v>3000</v>
      </c>
      <c r="G214" s="9">
        <f>STATS1003B!G223/1000</f>
        <v>0</v>
      </c>
      <c r="H214" s="9">
        <f>STATS1003B!H223/1000</f>
        <v>3000</v>
      </c>
      <c r="I214" s="9">
        <f>STATS1003B!I223/1000</f>
        <v>6000</v>
      </c>
      <c r="J214" s="9">
        <f>STATS1003B!J223/1000</f>
        <v>0</v>
      </c>
      <c r="K214" s="9">
        <f>STATS1003B!K223/1000</f>
        <v>6000</v>
      </c>
      <c r="L214" s="9">
        <f>STATS1003B!L223/1000</f>
        <v>0</v>
      </c>
      <c r="M214" s="9">
        <f>STATS1003B!M223/1000</f>
        <v>3000</v>
      </c>
      <c r="N214" s="9">
        <f>STATS1003B!N223/1000</f>
        <v>0</v>
      </c>
      <c r="O214" s="9">
        <f>STATS1003B!O223/1000</f>
        <v>0</v>
      </c>
      <c r="P214" s="9">
        <f>STATS1003B!P223/1000</f>
        <v>0</v>
      </c>
      <c r="Q214" s="9">
        <f>STATS1003B!Q223/1000</f>
        <v>6000</v>
      </c>
      <c r="R214" s="9">
        <f>STATS1003B!R223/1000</f>
        <v>-3000</v>
      </c>
      <c r="S214" s="9">
        <f>STATS1003B!S223/1000</f>
        <v>0</v>
      </c>
      <c r="T214" s="9">
        <f>STATS1003B!T223/1000</f>
        <v>0</v>
      </c>
      <c r="U214" s="9">
        <f>STATS1003B!U223/1000</f>
        <v>0</v>
      </c>
      <c r="V214" s="9">
        <f>STATS1003B!V223/1000</f>
        <v>0</v>
      </c>
      <c r="W214" s="9">
        <f>STATS1003B!W223/1000</f>
        <v>0</v>
      </c>
      <c r="X214" s="9">
        <f>STATS1003B!X223/1000</f>
        <v>3000</v>
      </c>
      <c r="Y214" s="9">
        <f>STATS1003B!Y223/1000</f>
        <v>0</v>
      </c>
      <c r="Z214" s="9">
        <f>STATS1003B!Z223/1000</f>
        <v>0</v>
      </c>
      <c r="AA214" s="9">
        <f>STATS1003B!AA223/1000</f>
        <v>3000</v>
      </c>
      <c r="AB214" s="9">
        <f>STATS1003B!AB223/1000</f>
        <v>0</v>
      </c>
    </row>
    <row r="215" spans="1:28" x14ac:dyDescent="0.35">
      <c r="A215" s="36"/>
      <c r="B215" s="8"/>
      <c r="C215" s="7" t="s">
        <v>528</v>
      </c>
      <c r="D215" s="15" t="s">
        <v>73</v>
      </c>
      <c r="E215" s="9">
        <f>STATS1003B!E224/1000</f>
        <v>4583.9279999999999</v>
      </c>
      <c r="F215" s="9">
        <f>STATS1003B!F224/1000</f>
        <v>4583.9279999999999</v>
      </c>
      <c r="G215" s="9">
        <f>STATS1003B!G224/1000</f>
        <v>0</v>
      </c>
      <c r="H215" s="9">
        <f>STATS1003B!H224/1000</f>
        <v>4583.9279999999999</v>
      </c>
      <c r="I215" s="9">
        <f>STATS1003B!I224/1000</f>
        <v>9167.8559999999998</v>
      </c>
      <c r="J215" s="9">
        <f>STATS1003B!J224/1000</f>
        <v>0</v>
      </c>
      <c r="K215" s="9">
        <f>STATS1003B!K224/1000</f>
        <v>9167.8559999999998</v>
      </c>
      <c r="L215" s="9">
        <f>STATS1003B!L224/1000</f>
        <v>0</v>
      </c>
      <c r="M215" s="9">
        <f>STATS1003B!M224/1000</f>
        <v>4583.9279999999999</v>
      </c>
      <c r="N215" s="9">
        <f>STATS1003B!N224/1000</f>
        <v>0</v>
      </c>
      <c r="O215" s="9">
        <f>STATS1003B!O224/1000</f>
        <v>0</v>
      </c>
      <c r="P215" s="9">
        <f>STATS1003B!P224/1000</f>
        <v>0</v>
      </c>
      <c r="Q215" s="9">
        <f>STATS1003B!Q224/1000</f>
        <v>9167.8559999999998</v>
      </c>
      <c r="R215" s="9">
        <f>STATS1003B!R224/1000</f>
        <v>-4583.9279999999999</v>
      </c>
      <c r="S215" s="9">
        <f>STATS1003B!S224/1000</f>
        <v>0</v>
      </c>
      <c r="T215" s="9">
        <f>STATS1003B!T224/1000</f>
        <v>0</v>
      </c>
      <c r="U215" s="9">
        <f>STATS1003B!U224/1000</f>
        <v>0</v>
      </c>
      <c r="V215" s="9">
        <f>STATS1003B!V224/1000</f>
        <v>0</v>
      </c>
      <c r="W215" s="9">
        <f>STATS1003B!W224/1000</f>
        <v>0</v>
      </c>
      <c r="X215" s="9">
        <f>STATS1003B!X224/1000</f>
        <v>4583.9279999999999</v>
      </c>
      <c r="Y215" s="9">
        <f>STATS1003B!Y224/1000</f>
        <v>0</v>
      </c>
      <c r="Z215" s="9">
        <f>STATS1003B!Z224/1000</f>
        <v>0</v>
      </c>
      <c r="AA215" s="9">
        <f>STATS1003B!AA224/1000</f>
        <v>4583.9279999999999</v>
      </c>
      <c r="AB215" s="9">
        <f>STATS1003B!AB224/1000</f>
        <v>0</v>
      </c>
    </row>
    <row r="216" spans="1:28" x14ac:dyDescent="0.35">
      <c r="A216" s="36"/>
      <c r="B216" s="8"/>
      <c r="C216" s="14" t="s">
        <v>1114</v>
      </c>
      <c r="D216" s="21" t="s">
        <v>73</v>
      </c>
      <c r="E216" s="9">
        <f>STATS1003B!E225/1000</f>
        <v>941.82386999999994</v>
      </c>
      <c r="F216" s="9">
        <f>STATS1003B!F225/1000</f>
        <v>941.82386999999994</v>
      </c>
      <c r="G216" s="9">
        <f>STATS1003B!G225/1000</f>
        <v>0</v>
      </c>
      <c r="H216" s="9">
        <f>STATS1003B!H225/1000</f>
        <v>941.82386999999994</v>
      </c>
      <c r="I216" s="9">
        <f>STATS1003B!I225/1000</f>
        <v>1883.6477399999999</v>
      </c>
      <c r="J216" s="9">
        <f>STATS1003B!J225/1000</f>
        <v>0</v>
      </c>
      <c r="K216" s="9">
        <f>STATS1003B!K225/1000</f>
        <v>1883.6477399999999</v>
      </c>
      <c r="L216" s="9">
        <f>STATS1003B!L225/1000</f>
        <v>0</v>
      </c>
      <c r="M216" s="9">
        <f>STATS1003B!M225/1000</f>
        <v>941.82386999999994</v>
      </c>
      <c r="N216" s="9">
        <f>STATS1003B!N225/1000</f>
        <v>0</v>
      </c>
      <c r="O216" s="9">
        <f>STATS1003B!O225/1000</f>
        <v>0</v>
      </c>
      <c r="P216" s="9">
        <f>STATS1003B!P225/1000</f>
        <v>0</v>
      </c>
      <c r="Q216" s="9">
        <f>STATS1003B!Q225/1000</f>
        <v>1883.6477399999999</v>
      </c>
      <c r="R216" s="9">
        <f>STATS1003B!R225/1000</f>
        <v>-941.82386999999994</v>
      </c>
      <c r="S216" s="9">
        <f>STATS1003B!S225/1000</f>
        <v>0</v>
      </c>
      <c r="T216" s="9">
        <f>STATS1003B!T225/1000</f>
        <v>0</v>
      </c>
      <c r="U216" s="9">
        <f>STATS1003B!U225/1000</f>
        <v>0</v>
      </c>
      <c r="V216" s="9">
        <f>STATS1003B!V225/1000</f>
        <v>0</v>
      </c>
      <c r="W216" s="9">
        <f>STATS1003B!W225/1000</f>
        <v>0</v>
      </c>
      <c r="X216" s="9">
        <f>STATS1003B!X225/1000</f>
        <v>941.82386999999994</v>
      </c>
      <c r="Y216" s="9">
        <f>STATS1003B!Y225/1000</f>
        <v>0</v>
      </c>
      <c r="Z216" s="9">
        <f>STATS1003B!Z225/1000</f>
        <v>0</v>
      </c>
      <c r="AA216" s="9">
        <f>STATS1003B!AA225/1000</f>
        <v>941.82386999999994</v>
      </c>
      <c r="AB216" s="9">
        <f>STATS1003B!AB225/1000</f>
        <v>0</v>
      </c>
    </row>
    <row r="217" spans="1:28" x14ac:dyDescent="0.35">
      <c r="A217" s="36"/>
      <c r="B217" s="8"/>
      <c r="C217" s="7" t="s">
        <v>528</v>
      </c>
      <c r="D217" s="15" t="s">
        <v>61</v>
      </c>
      <c r="E217" s="9">
        <f>STATS1003B!E226/1000</f>
        <v>1998</v>
      </c>
      <c r="F217" s="9">
        <f>STATS1003B!F226/1000</f>
        <v>1998</v>
      </c>
      <c r="G217" s="9">
        <f>STATS1003B!G226/1000</f>
        <v>0</v>
      </c>
      <c r="H217" s="9">
        <f>STATS1003B!H226/1000</f>
        <v>1998</v>
      </c>
      <c r="I217" s="9">
        <f>STATS1003B!I226/1000</f>
        <v>3996</v>
      </c>
      <c r="J217" s="9">
        <f>STATS1003B!J226/1000</f>
        <v>0</v>
      </c>
      <c r="K217" s="9">
        <f>STATS1003B!K226/1000</f>
        <v>3996</v>
      </c>
      <c r="L217" s="9">
        <f>STATS1003B!L226/1000</f>
        <v>0</v>
      </c>
      <c r="M217" s="9">
        <f>STATS1003B!M226/1000</f>
        <v>1998</v>
      </c>
      <c r="N217" s="9">
        <f>STATS1003B!N226/1000</f>
        <v>0</v>
      </c>
      <c r="O217" s="9">
        <f>STATS1003B!O226/1000</f>
        <v>0</v>
      </c>
      <c r="P217" s="9">
        <f>STATS1003B!P226/1000</f>
        <v>0</v>
      </c>
      <c r="Q217" s="9">
        <f>STATS1003B!Q226/1000</f>
        <v>3996</v>
      </c>
      <c r="R217" s="9">
        <f>STATS1003B!R226/1000</f>
        <v>-1998</v>
      </c>
      <c r="S217" s="9">
        <f>STATS1003B!S226/1000</f>
        <v>0</v>
      </c>
      <c r="T217" s="9">
        <f>STATS1003B!T226/1000</f>
        <v>0</v>
      </c>
      <c r="U217" s="9">
        <f>STATS1003B!U226/1000</f>
        <v>0</v>
      </c>
      <c r="V217" s="9">
        <f>STATS1003B!V226/1000</f>
        <v>0</v>
      </c>
      <c r="W217" s="9">
        <f>STATS1003B!W226/1000</f>
        <v>0</v>
      </c>
      <c r="X217" s="9">
        <f>STATS1003B!X226/1000</f>
        <v>1998</v>
      </c>
      <c r="Y217" s="9">
        <f>STATS1003B!Y226/1000</f>
        <v>0</v>
      </c>
      <c r="Z217" s="9">
        <f>STATS1003B!Z226/1000</f>
        <v>0</v>
      </c>
      <c r="AA217" s="9">
        <f>STATS1003B!AA226/1000</f>
        <v>1998</v>
      </c>
      <c r="AB217" s="9">
        <f>STATS1003B!AB226/1000</f>
        <v>0</v>
      </c>
    </row>
    <row r="218" spans="1:28" x14ac:dyDescent="0.35">
      <c r="A218" s="36"/>
      <c r="B218" s="8"/>
      <c r="C218" s="7" t="s">
        <v>931</v>
      </c>
      <c r="D218" s="15"/>
      <c r="E218" s="9">
        <f>STATS1003B!E227/1000</f>
        <v>5440.3115199999993</v>
      </c>
      <c r="F218" s="9">
        <f>STATS1003B!F227/1000</f>
        <v>5440.3115199999993</v>
      </c>
      <c r="G218" s="9">
        <f>STATS1003B!G227/1000</f>
        <v>0</v>
      </c>
      <c r="H218" s="9">
        <f>STATS1003B!H227/1000</f>
        <v>5440.3115199999993</v>
      </c>
      <c r="I218" s="9">
        <f>STATS1003B!I227/1000</f>
        <v>0</v>
      </c>
      <c r="J218" s="9">
        <f>STATS1003B!J227/1000</f>
        <v>0</v>
      </c>
      <c r="K218" s="9">
        <f>STATS1003B!K227/1000</f>
        <v>0</v>
      </c>
      <c r="L218" s="9">
        <f>STATS1003B!L227/1000</f>
        <v>0</v>
      </c>
      <c r="M218" s="9">
        <f>STATS1003B!M227/1000</f>
        <v>5440.3115199999993</v>
      </c>
      <c r="N218" s="9">
        <f>STATS1003B!N227/1000</f>
        <v>0</v>
      </c>
      <c r="O218" s="9">
        <f>STATS1003B!O227/1000</f>
        <v>0</v>
      </c>
      <c r="P218" s="9">
        <f>STATS1003B!P227/1000</f>
        <v>0</v>
      </c>
      <c r="Q218" s="9">
        <f>STATS1003B!Q227/1000</f>
        <v>0</v>
      </c>
      <c r="R218" s="9">
        <f>STATS1003B!R227/1000</f>
        <v>0</v>
      </c>
      <c r="S218" s="9">
        <f>STATS1003B!S227/1000</f>
        <v>0</v>
      </c>
      <c r="T218" s="9">
        <f>STATS1003B!T227/1000</f>
        <v>0</v>
      </c>
      <c r="U218" s="9">
        <f>STATS1003B!U227/1000</f>
        <v>0</v>
      </c>
      <c r="V218" s="9">
        <f>STATS1003B!V227/1000</f>
        <v>0</v>
      </c>
      <c r="W218" s="9">
        <f>STATS1003B!W227/1000</f>
        <v>0</v>
      </c>
      <c r="X218" s="9">
        <f>STATS1003B!X227/1000</f>
        <v>5440.3115199999993</v>
      </c>
      <c r="Y218" s="9">
        <f>STATS1003B!Y227/1000</f>
        <v>0</v>
      </c>
      <c r="Z218" s="9">
        <f>STATS1003B!Z227/1000</f>
        <v>0</v>
      </c>
      <c r="AA218" s="9">
        <f>STATS1003B!AA227/1000</f>
        <v>5440.3115199999993</v>
      </c>
      <c r="AB218" s="9">
        <f>STATS1003B!AB227/1000</f>
        <v>0</v>
      </c>
    </row>
    <row r="219" spans="1:28" x14ac:dyDescent="0.35">
      <c r="A219" s="36"/>
      <c r="B219" s="8"/>
      <c r="C219" s="7" t="s">
        <v>529</v>
      </c>
      <c r="D219" s="8"/>
      <c r="E219" s="9">
        <f>STATS1003B!E230/1000</f>
        <v>25.652900000000002</v>
      </c>
      <c r="F219" s="9">
        <f>STATS1003B!F230/1000</f>
        <v>0</v>
      </c>
      <c r="G219" s="9">
        <f>STATS1003B!G230/1000</f>
        <v>0</v>
      </c>
      <c r="H219" s="9">
        <f>STATS1003B!H230/1000</f>
        <v>0</v>
      </c>
      <c r="I219" s="9">
        <f>STATS1003B!I230/1000</f>
        <v>0</v>
      </c>
      <c r="J219" s="9">
        <f>STATS1003B!J230/1000</f>
        <v>0</v>
      </c>
      <c r="K219" s="9">
        <f>STATS1003B!K230/1000</f>
        <v>0</v>
      </c>
      <c r="L219" s="9">
        <f>STATS1003B!L230/1000</f>
        <v>0</v>
      </c>
      <c r="M219" s="9">
        <f>STATS1003B!M230/1000</f>
        <v>0</v>
      </c>
      <c r="N219" s="9">
        <f>STATS1003B!N230/1000</f>
        <v>25.652900000000002</v>
      </c>
      <c r="O219" s="9">
        <f>STATS1003B!O230/1000</f>
        <v>0</v>
      </c>
      <c r="P219" s="9">
        <f>STATS1003B!P230/1000</f>
        <v>25.652900000000002</v>
      </c>
      <c r="Q219" s="9">
        <f>STATS1003B!Q230/1000</f>
        <v>25.652900000000002</v>
      </c>
      <c r="R219" s="9">
        <f>STATS1003B!R230/1000</f>
        <v>0</v>
      </c>
      <c r="S219" s="9">
        <f>STATS1003B!S230/1000</f>
        <v>0</v>
      </c>
      <c r="T219" s="9">
        <f>STATS1003B!T230/1000</f>
        <v>0</v>
      </c>
      <c r="U219" s="9">
        <f>STATS1003B!U230/1000</f>
        <v>25.652900000000002</v>
      </c>
      <c r="V219" s="9">
        <f>STATS1003B!V230/1000</f>
        <v>0</v>
      </c>
      <c r="W219" s="9">
        <f>STATS1003B!W230/1000</f>
        <v>0</v>
      </c>
      <c r="X219" s="9">
        <f>STATS1003B!X230/1000</f>
        <v>25.652900000000002</v>
      </c>
      <c r="Y219" s="9">
        <f>STATS1003B!Y230/1000</f>
        <v>0</v>
      </c>
      <c r="Z219" s="9">
        <f>STATS1003B!Z230/1000</f>
        <v>0</v>
      </c>
      <c r="AA219" s="9">
        <f>STATS1003B!AA230/1000</f>
        <v>25.652900000000002</v>
      </c>
      <c r="AB219" s="9">
        <f>STATS1003B!AB230/1000</f>
        <v>0</v>
      </c>
    </row>
    <row r="220" spans="1:28" x14ac:dyDescent="0.35">
      <c r="A220" s="36"/>
      <c r="B220" s="8"/>
      <c r="C220" s="7" t="s">
        <v>530</v>
      </c>
      <c r="D220" s="8"/>
      <c r="E220" s="9">
        <f>STATS1003B!E231/1000</f>
        <v>4000</v>
      </c>
      <c r="F220" s="9">
        <f>STATS1003B!F231/1000</f>
        <v>4000</v>
      </c>
      <c r="G220" s="9">
        <f>STATS1003B!G231/1000</f>
        <v>0</v>
      </c>
      <c r="H220" s="9">
        <f>STATS1003B!H231/1000</f>
        <v>4000</v>
      </c>
      <c r="I220" s="9">
        <f>STATS1003B!I231/1000</f>
        <v>8000</v>
      </c>
      <c r="J220" s="9">
        <f>STATS1003B!J231/1000</f>
        <v>0</v>
      </c>
      <c r="K220" s="9">
        <f>STATS1003B!K231/1000</f>
        <v>8000</v>
      </c>
      <c r="L220" s="9">
        <f>STATS1003B!L231/1000</f>
        <v>0</v>
      </c>
      <c r="M220" s="9">
        <f>STATS1003B!M231/1000</f>
        <v>4000</v>
      </c>
      <c r="N220" s="9">
        <f>STATS1003B!N231/1000</f>
        <v>0</v>
      </c>
      <c r="O220" s="9">
        <f>STATS1003B!O231/1000</f>
        <v>0</v>
      </c>
      <c r="P220" s="9">
        <f>STATS1003B!P231/1000</f>
        <v>0</v>
      </c>
      <c r="Q220" s="9">
        <f>STATS1003B!Q231/1000</f>
        <v>8000</v>
      </c>
      <c r="R220" s="9">
        <f>STATS1003B!R231/1000</f>
        <v>-4000</v>
      </c>
      <c r="S220" s="9">
        <f>STATS1003B!S231/1000</f>
        <v>0</v>
      </c>
      <c r="T220" s="9">
        <f>STATS1003B!T231/1000</f>
        <v>0</v>
      </c>
      <c r="U220" s="9">
        <f>STATS1003B!U231/1000</f>
        <v>0</v>
      </c>
      <c r="V220" s="9">
        <f>STATS1003B!V231/1000</f>
        <v>0</v>
      </c>
      <c r="W220" s="9">
        <f>STATS1003B!W231/1000</f>
        <v>0</v>
      </c>
      <c r="X220" s="9">
        <f>STATS1003B!X231/1000</f>
        <v>4000</v>
      </c>
      <c r="Y220" s="9">
        <f>STATS1003B!Y231/1000</f>
        <v>0</v>
      </c>
      <c r="Z220" s="9">
        <f>STATS1003B!Z231/1000</f>
        <v>0</v>
      </c>
      <c r="AA220" s="9">
        <f>STATS1003B!AA231/1000</f>
        <v>4000</v>
      </c>
      <c r="AB220" s="9">
        <f>STATS1003B!AB231/1000</f>
        <v>0</v>
      </c>
    </row>
    <row r="221" spans="1:28" x14ac:dyDescent="0.35">
      <c r="A221" s="36"/>
      <c r="B221" s="8"/>
      <c r="C221" s="7" t="s">
        <v>531</v>
      </c>
      <c r="D221" s="8"/>
      <c r="E221" s="9">
        <f>STATS1003B!E232/1000</f>
        <v>84.611100000000008</v>
      </c>
      <c r="F221" s="9">
        <f>STATS1003B!F232/1000</f>
        <v>84.611100000000008</v>
      </c>
      <c r="G221" s="9">
        <f>STATS1003B!G232/1000</f>
        <v>0</v>
      </c>
      <c r="H221" s="9">
        <f>STATS1003B!H232/1000</f>
        <v>84.611100000000008</v>
      </c>
      <c r="I221" s="9">
        <f>STATS1003B!I232/1000</f>
        <v>169.22220000000002</v>
      </c>
      <c r="J221" s="9">
        <f>STATS1003B!J232/1000</f>
        <v>0</v>
      </c>
      <c r="K221" s="9">
        <f>STATS1003B!K232/1000</f>
        <v>169.22220000000002</v>
      </c>
      <c r="L221" s="9">
        <f>STATS1003B!L232/1000</f>
        <v>0</v>
      </c>
      <c r="M221" s="9">
        <f>STATS1003B!M232/1000</f>
        <v>84.611100000000008</v>
      </c>
      <c r="N221" s="9">
        <f>STATS1003B!N232/1000</f>
        <v>0</v>
      </c>
      <c r="O221" s="9">
        <f>STATS1003B!O232/1000</f>
        <v>0</v>
      </c>
      <c r="P221" s="9">
        <f>STATS1003B!P232/1000</f>
        <v>0</v>
      </c>
      <c r="Q221" s="9">
        <f>STATS1003B!Q232/1000</f>
        <v>169.22220000000002</v>
      </c>
      <c r="R221" s="9">
        <f>STATS1003B!R232/1000</f>
        <v>-84.611100000000008</v>
      </c>
      <c r="S221" s="9">
        <f>STATS1003B!S232/1000</f>
        <v>0</v>
      </c>
      <c r="T221" s="9">
        <f>STATS1003B!T232/1000</f>
        <v>0</v>
      </c>
      <c r="U221" s="9">
        <f>STATS1003B!U232/1000</f>
        <v>0</v>
      </c>
      <c r="V221" s="9">
        <f>STATS1003B!V232/1000</f>
        <v>0</v>
      </c>
      <c r="W221" s="9">
        <f>STATS1003B!W232/1000</f>
        <v>0</v>
      </c>
      <c r="X221" s="9">
        <f>STATS1003B!X232/1000</f>
        <v>84.611100000000008</v>
      </c>
      <c r="Y221" s="9">
        <f>STATS1003B!Y232/1000</f>
        <v>0</v>
      </c>
      <c r="Z221" s="9">
        <f>STATS1003B!Z232/1000</f>
        <v>0</v>
      </c>
      <c r="AA221" s="9">
        <f>STATS1003B!AA232/1000</f>
        <v>84.611100000000008</v>
      </c>
      <c r="AB221" s="9">
        <f>STATS1003B!AB232/1000</f>
        <v>0</v>
      </c>
    </row>
    <row r="222" spans="1:28" x14ac:dyDescent="0.35">
      <c r="A222" s="36"/>
      <c r="B222" s="8"/>
      <c r="C222" s="7" t="s">
        <v>532</v>
      </c>
      <c r="D222" s="8"/>
      <c r="E222" s="9">
        <f>STATS1003B!E233/1000</f>
        <v>5000</v>
      </c>
      <c r="F222" s="9">
        <f>STATS1003B!F233/1000</f>
        <v>5000</v>
      </c>
      <c r="G222" s="9">
        <f>STATS1003B!G233/1000</f>
        <v>0</v>
      </c>
      <c r="H222" s="9">
        <f>STATS1003B!H233/1000</f>
        <v>5000</v>
      </c>
      <c r="I222" s="9">
        <f>STATS1003B!I233/1000</f>
        <v>10000</v>
      </c>
      <c r="J222" s="9">
        <f>STATS1003B!J233/1000</f>
        <v>0</v>
      </c>
      <c r="K222" s="9">
        <f>STATS1003B!K233/1000</f>
        <v>10000</v>
      </c>
      <c r="L222" s="9">
        <f>STATS1003B!L233/1000</f>
        <v>0</v>
      </c>
      <c r="M222" s="9">
        <f>STATS1003B!M233/1000</f>
        <v>5000</v>
      </c>
      <c r="N222" s="9">
        <f>STATS1003B!N233/1000</f>
        <v>0</v>
      </c>
      <c r="O222" s="9">
        <f>STATS1003B!O233/1000</f>
        <v>0</v>
      </c>
      <c r="P222" s="9">
        <f>STATS1003B!P233/1000</f>
        <v>0</v>
      </c>
      <c r="Q222" s="9">
        <f>STATS1003B!Q233/1000</f>
        <v>10000</v>
      </c>
      <c r="R222" s="9">
        <f>STATS1003B!R233/1000</f>
        <v>-5000</v>
      </c>
      <c r="S222" s="9">
        <f>STATS1003B!S233/1000</f>
        <v>0</v>
      </c>
      <c r="T222" s="9">
        <f>STATS1003B!T233/1000</f>
        <v>0</v>
      </c>
      <c r="U222" s="9">
        <f>STATS1003B!U233/1000</f>
        <v>0</v>
      </c>
      <c r="V222" s="9">
        <f>STATS1003B!V233/1000</f>
        <v>0</v>
      </c>
      <c r="W222" s="9">
        <f>STATS1003B!W233/1000</f>
        <v>0</v>
      </c>
      <c r="X222" s="9">
        <f>STATS1003B!X233/1000</f>
        <v>5000</v>
      </c>
      <c r="Y222" s="9">
        <f>STATS1003B!Y233/1000</f>
        <v>0</v>
      </c>
      <c r="Z222" s="9">
        <f>STATS1003B!Z233/1000</f>
        <v>0</v>
      </c>
      <c r="AA222" s="9">
        <f>STATS1003B!AA233/1000</f>
        <v>5000</v>
      </c>
      <c r="AB222" s="9">
        <f>STATS1003B!AB233/1000</f>
        <v>0</v>
      </c>
    </row>
    <row r="223" spans="1:28" x14ac:dyDescent="0.35">
      <c r="A223" s="36"/>
      <c r="B223" s="8"/>
      <c r="C223" s="8"/>
      <c r="D223" s="8"/>
      <c r="E223" s="17" t="s">
        <v>29</v>
      </c>
      <c r="F223" s="17" t="s">
        <v>29</v>
      </c>
      <c r="G223" s="17" t="s">
        <v>29</v>
      </c>
      <c r="H223" s="17" t="s">
        <v>29</v>
      </c>
      <c r="I223" s="17" t="s">
        <v>29</v>
      </c>
      <c r="J223" s="17" t="s">
        <v>29</v>
      </c>
      <c r="K223" s="17" t="s">
        <v>29</v>
      </c>
      <c r="L223" s="17" t="s">
        <v>29</v>
      </c>
      <c r="M223" s="17" t="s">
        <v>29</v>
      </c>
      <c r="N223" s="17" t="s">
        <v>29</v>
      </c>
      <c r="O223" s="17" t="s">
        <v>29</v>
      </c>
      <c r="P223" s="17" t="s">
        <v>29</v>
      </c>
      <c r="Q223" s="17" t="s">
        <v>29</v>
      </c>
      <c r="R223" s="17" t="s">
        <v>29</v>
      </c>
      <c r="S223" s="17" t="s">
        <v>29</v>
      </c>
      <c r="T223" s="17" t="s">
        <v>29</v>
      </c>
      <c r="U223" s="17" t="s">
        <v>29</v>
      </c>
      <c r="V223" s="17" t="s">
        <v>29</v>
      </c>
      <c r="W223" s="17" t="s">
        <v>29</v>
      </c>
      <c r="X223" s="17" t="s">
        <v>29</v>
      </c>
      <c r="Y223" s="17" t="s">
        <v>29</v>
      </c>
      <c r="Z223" s="17" t="s">
        <v>29</v>
      </c>
      <c r="AA223" s="17" t="s">
        <v>29</v>
      </c>
      <c r="AB223" s="17" t="s">
        <v>29</v>
      </c>
    </row>
    <row r="224" spans="1:28" x14ac:dyDescent="0.35">
      <c r="A224" s="36"/>
      <c r="B224" s="8"/>
      <c r="C224" s="8"/>
      <c r="D224" s="8"/>
      <c r="E224" s="9">
        <f>SUM(E202:E222)</f>
        <v>57330.598239999999</v>
      </c>
      <c r="F224" s="9">
        <f>SUM(F202:F222)</f>
        <v>47638.660049999999</v>
      </c>
      <c r="G224" s="9">
        <f>SUM(G202:G222)</f>
        <v>0</v>
      </c>
      <c r="H224" s="9">
        <f t="shared" ref="H224:AB224" si="11">SUM(H202:H222)</f>
        <v>47638.660049999999</v>
      </c>
      <c r="I224" s="9">
        <f t="shared" si="11"/>
        <v>84396.697060000006</v>
      </c>
      <c r="J224" s="9">
        <f t="shared" si="11"/>
        <v>2729.4740000000002</v>
      </c>
      <c r="K224" s="9">
        <f t="shared" si="11"/>
        <v>87126.171060000008</v>
      </c>
      <c r="L224" s="9">
        <f t="shared" si="11"/>
        <v>2729.4740000000002</v>
      </c>
      <c r="M224" s="9">
        <f t="shared" si="11"/>
        <v>50368.134050000001</v>
      </c>
      <c r="N224" s="9">
        <f t="shared" si="11"/>
        <v>6962.4641899999997</v>
      </c>
      <c r="O224" s="9">
        <f t="shared" si="11"/>
        <v>0</v>
      </c>
      <c r="P224" s="9">
        <f t="shared" si="11"/>
        <v>6962.4641899999997</v>
      </c>
      <c r="Q224" s="9">
        <f t="shared" si="11"/>
        <v>94088.635250000007</v>
      </c>
      <c r="R224" s="9">
        <f t="shared" si="11"/>
        <v>-42198.348530000003</v>
      </c>
      <c r="S224" s="9">
        <f t="shared" si="11"/>
        <v>0</v>
      </c>
      <c r="T224" s="9">
        <f t="shared" si="11"/>
        <v>0</v>
      </c>
      <c r="U224" s="9">
        <f t="shared" si="11"/>
        <v>6962.4641899999997</v>
      </c>
      <c r="V224" s="9">
        <f t="shared" si="11"/>
        <v>0</v>
      </c>
      <c r="W224" s="9">
        <f t="shared" si="11"/>
        <v>0</v>
      </c>
      <c r="X224" s="9">
        <f t="shared" si="11"/>
        <v>54601.124239999997</v>
      </c>
      <c r="Y224" s="9">
        <f t="shared" si="11"/>
        <v>0</v>
      </c>
      <c r="Z224" s="9">
        <f t="shared" si="11"/>
        <v>2729.4740000000002</v>
      </c>
      <c r="AA224" s="9">
        <f t="shared" si="11"/>
        <v>57330.598239999999</v>
      </c>
      <c r="AB224" s="9">
        <f t="shared" si="11"/>
        <v>0</v>
      </c>
    </row>
    <row r="225" spans="1:28" x14ac:dyDescent="0.35">
      <c r="A225" s="36"/>
      <c r="B225" s="8"/>
      <c r="C225" s="8"/>
      <c r="D225" s="8"/>
      <c r="E225" s="17" t="s">
        <v>29</v>
      </c>
      <c r="F225" s="17" t="s">
        <v>29</v>
      </c>
      <c r="G225" s="17" t="s">
        <v>29</v>
      </c>
      <c r="H225" s="17" t="s">
        <v>29</v>
      </c>
      <c r="I225" s="17" t="s">
        <v>29</v>
      </c>
      <c r="J225" s="17" t="s">
        <v>29</v>
      </c>
      <c r="K225" s="17" t="s">
        <v>29</v>
      </c>
      <c r="L225" s="17" t="s">
        <v>29</v>
      </c>
      <c r="M225" s="17" t="s">
        <v>29</v>
      </c>
      <c r="N225" s="17" t="s">
        <v>29</v>
      </c>
      <c r="O225" s="17" t="s">
        <v>29</v>
      </c>
      <c r="P225" s="17" t="s">
        <v>29</v>
      </c>
      <c r="Q225" s="17" t="s">
        <v>29</v>
      </c>
      <c r="R225" s="17" t="s">
        <v>29</v>
      </c>
      <c r="S225" s="17" t="s">
        <v>29</v>
      </c>
      <c r="T225" s="17" t="s">
        <v>29</v>
      </c>
      <c r="U225" s="17" t="s">
        <v>29</v>
      </c>
      <c r="V225" s="17" t="s">
        <v>29</v>
      </c>
      <c r="W225" s="17" t="s">
        <v>29</v>
      </c>
      <c r="X225" s="17" t="s">
        <v>29</v>
      </c>
      <c r="Y225" s="17" t="s">
        <v>29</v>
      </c>
      <c r="Z225" s="17" t="s">
        <v>29</v>
      </c>
      <c r="AA225" s="17" t="s">
        <v>29</v>
      </c>
      <c r="AB225" s="17" t="s">
        <v>29</v>
      </c>
    </row>
    <row r="226" spans="1:28" x14ac:dyDescent="0.35">
      <c r="A226" s="36"/>
      <c r="B226" s="8"/>
      <c r="C226" s="7" t="s">
        <v>133</v>
      </c>
      <c r="D226" s="8"/>
      <c r="E226" s="9">
        <f>E142+E158+E176+E199+E224</f>
        <v>250628.85547000001</v>
      </c>
      <c r="F226" s="9">
        <f t="shared" ref="F226:AB226" si="12">F142+F158+F176+F199+F224</f>
        <v>192728.51532999999</v>
      </c>
      <c r="G226" s="9">
        <f t="shared" si="12"/>
        <v>0</v>
      </c>
      <c r="H226" s="9">
        <f t="shared" si="12"/>
        <v>192728.51532999999</v>
      </c>
      <c r="I226" s="9">
        <f t="shared" si="12"/>
        <v>127959.68300000002</v>
      </c>
      <c r="J226" s="9">
        <f t="shared" si="12"/>
        <v>2729.4740000000002</v>
      </c>
      <c r="K226" s="9">
        <f t="shared" si="12"/>
        <v>130689.15700000001</v>
      </c>
      <c r="L226" s="9">
        <f t="shared" si="12"/>
        <v>2729.4740000000002</v>
      </c>
      <c r="M226" s="9">
        <f t="shared" si="12"/>
        <v>195457.98932999998</v>
      </c>
      <c r="N226" s="9">
        <f t="shared" si="12"/>
        <v>53078.531840000003</v>
      </c>
      <c r="O226" s="9">
        <f t="shared" si="12"/>
        <v>0</v>
      </c>
      <c r="P226" s="9">
        <f t="shared" si="12"/>
        <v>53078.531840000003</v>
      </c>
      <c r="Q226" s="9">
        <f t="shared" si="12"/>
        <v>140334.35609000002</v>
      </c>
      <c r="R226" s="9">
        <f t="shared" si="12"/>
        <v>-63833.191310000009</v>
      </c>
      <c r="S226" s="9">
        <f t="shared" si="12"/>
        <v>0</v>
      </c>
      <c r="T226" s="9">
        <f t="shared" si="12"/>
        <v>11.57367</v>
      </c>
      <c r="U226" s="9">
        <f t="shared" si="12"/>
        <v>53090.105510000009</v>
      </c>
      <c r="V226" s="9">
        <f t="shared" si="12"/>
        <v>210172.06324000002</v>
      </c>
      <c r="W226" s="9">
        <f t="shared" si="12"/>
        <v>29216.149729999997</v>
      </c>
      <c r="X226" s="9">
        <f t="shared" si="12"/>
        <v>245807.04716999998</v>
      </c>
      <c r="Y226" s="9">
        <f t="shared" si="12"/>
        <v>0</v>
      </c>
      <c r="Z226" s="9">
        <f t="shared" si="12"/>
        <v>4821.8082999999988</v>
      </c>
      <c r="AA226" s="9">
        <f t="shared" si="12"/>
        <v>248548.09483999998</v>
      </c>
      <c r="AB226" s="9">
        <f t="shared" si="12"/>
        <v>2080.7606299999984</v>
      </c>
    </row>
    <row r="227" spans="1:28" x14ac:dyDescent="0.35">
      <c r="A227" s="36"/>
      <c r="B227" s="8"/>
      <c r="C227" s="8"/>
      <c r="D227" s="8"/>
      <c r="E227" s="17" t="s">
        <v>114</v>
      </c>
      <c r="F227" s="17" t="s">
        <v>114</v>
      </c>
      <c r="G227" s="17" t="s">
        <v>114</v>
      </c>
      <c r="H227" s="17" t="s">
        <v>114</v>
      </c>
      <c r="I227" s="17" t="s">
        <v>114</v>
      </c>
      <c r="J227" s="17" t="s">
        <v>114</v>
      </c>
      <c r="K227" s="17" t="s">
        <v>114</v>
      </c>
      <c r="L227" s="17" t="s">
        <v>114</v>
      </c>
      <c r="M227" s="17" t="s">
        <v>114</v>
      </c>
      <c r="N227" s="17" t="s">
        <v>114</v>
      </c>
      <c r="O227" s="17" t="s">
        <v>114</v>
      </c>
      <c r="P227" s="17" t="s">
        <v>114</v>
      </c>
      <c r="Q227" s="17" t="s">
        <v>114</v>
      </c>
      <c r="R227" s="17" t="s">
        <v>114</v>
      </c>
      <c r="S227" s="17" t="s">
        <v>114</v>
      </c>
      <c r="T227" s="17" t="s">
        <v>114</v>
      </c>
      <c r="U227" s="17" t="s">
        <v>114</v>
      </c>
      <c r="V227" s="17" t="s">
        <v>114</v>
      </c>
      <c r="W227" s="17" t="s">
        <v>114</v>
      </c>
      <c r="X227" s="17" t="s">
        <v>114</v>
      </c>
      <c r="Y227" s="17" t="s">
        <v>114</v>
      </c>
      <c r="Z227" s="17" t="s">
        <v>114</v>
      </c>
      <c r="AA227" s="17" t="s">
        <v>114</v>
      </c>
      <c r="AB227" s="17" t="s">
        <v>114</v>
      </c>
    </row>
    <row r="228" spans="1:28" x14ac:dyDescent="0.35">
      <c r="A228" s="36"/>
      <c r="B228" s="8"/>
      <c r="C228" s="8"/>
      <c r="D228" s="8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</row>
    <row r="229" spans="1:28" x14ac:dyDescent="0.35">
      <c r="A229" s="36"/>
      <c r="B229" s="7" t="s">
        <v>533</v>
      </c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17"/>
      <c r="S229" s="17"/>
      <c r="T229" s="17"/>
      <c r="U229" s="17"/>
      <c r="V229" s="17"/>
      <c r="W229" s="17"/>
      <c r="X229" s="17"/>
      <c r="Y229" s="17"/>
      <c r="Z229" s="17"/>
    </row>
    <row r="230" spans="1:28" x14ac:dyDescent="0.35">
      <c r="A230" s="36"/>
      <c r="B230" s="7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17"/>
      <c r="S230" s="17"/>
      <c r="T230" s="17"/>
      <c r="U230" s="17"/>
      <c r="V230" s="17"/>
      <c r="W230" s="17"/>
      <c r="X230" s="17"/>
      <c r="Y230" s="17"/>
      <c r="Z230" s="17"/>
    </row>
    <row r="231" spans="1:28" x14ac:dyDescent="0.35">
      <c r="A231" s="38" t="s">
        <v>945</v>
      </c>
      <c r="B231" s="7" t="s">
        <v>534</v>
      </c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17"/>
      <c r="S231" s="17"/>
      <c r="T231" s="17"/>
      <c r="U231" s="17"/>
      <c r="V231" s="17"/>
      <c r="W231" s="17"/>
      <c r="X231" s="17"/>
      <c r="Y231" s="17"/>
      <c r="Z231" s="17"/>
    </row>
    <row r="232" spans="1:28" x14ac:dyDescent="0.35">
      <c r="A232" s="36"/>
      <c r="B232" s="8"/>
      <c r="C232" s="7" t="s">
        <v>535</v>
      </c>
      <c r="D232" s="15" t="s">
        <v>76</v>
      </c>
      <c r="E232" s="9">
        <f>STATS1003B!E243/1000</f>
        <v>2174.7612999999997</v>
      </c>
      <c r="F232" s="9">
        <f>STATS1003B!F243/1000</f>
        <v>1677.8201000000001</v>
      </c>
      <c r="G232" s="9">
        <f>STATS1003B!G243/1000</f>
        <v>0</v>
      </c>
      <c r="H232" s="9">
        <f>STATS1003B!H243/1000</f>
        <v>1677.8201000000001</v>
      </c>
      <c r="I232" s="9">
        <f>STATS1003B!I243/1000</f>
        <v>0</v>
      </c>
      <c r="J232" s="9">
        <f>STATS1003B!J243/1000</f>
        <v>1677.8201000000001</v>
      </c>
      <c r="K232" s="9">
        <f>STATS1003B!K243/1000</f>
        <v>496.94119999999998</v>
      </c>
      <c r="L232" s="9">
        <f>STATS1003B!L243/1000</f>
        <v>0</v>
      </c>
      <c r="M232" s="9">
        <f>STATS1003B!M243/1000</f>
        <v>1677.8201000000001</v>
      </c>
      <c r="N232" s="9">
        <f>STATS1003B!N243/1000</f>
        <v>496.94120000000004</v>
      </c>
      <c r="O232" s="9">
        <f>STATS1003B!O243/1000</f>
        <v>0</v>
      </c>
      <c r="P232" s="9">
        <f>STATS1003B!P243/1000</f>
        <v>496.94120000000004</v>
      </c>
      <c r="Q232" s="9">
        <f>STATS1003B!Q243/1000</f>
        <v>1677.8200999999999</v>
      </c>
      <c r="R232" s="9">
        <f>STATS1003B!R243/1000</f>
        <v>0</v>
      </c>
      <c r="S232" s="9">
        <f>STATS1003B!S243/1000</f>
        <v>0</v>
      </c>
      <c r="T232" s="9">
        <f>STATS1003B!T243/1000</f>
        <v>0</v>
      </c>
      <c r="U232" s="9">
        <f>STATS1003B!U243/1000</f>
        <v>496.94120000000004</v>
      </c>
      <c r="V232" s="9">
        <f>STATS1003B!V243/1000</f>
        <v>0</v>
      </c>
      <c r="W232" s="9">
        <f>STATS1003B!W243/1000</f>
        <v>0</v>
      </c>
      <c r="X232" s="9">
        <f>STATS1003B!X243/1000</f>
        <v>2174.7613000000001</v>
      </c>
      <c r="Y232" s="9">
        <f>STATS1003B!Y243/1000</f>
        <v>0</v>
      </c>
      <c r="Z232" s="9">
        <f>STATS1003B!Z243/1000</f>
        <v>0</v>
      </c>
      <c r="AA232" s="9">
        <f>STATS1003B!AA243/1000</f>
        <v>2174.7613000000001</v>
      </c>
      <c r="AB232" s="9">
        <f>STATS1003B!AB243/1000</f>
        <v>0</v>
      </c>
    </row>
    <row r="233" spans="1:28" x14ac:dyDescent="0.35">
      <c r="A233" s="36"/>
      <c r="B233" s="8"/>
      <c r="C233" s="7" t="s">
        <v>535</v>
      </c>
      <c r="D233" s="15" t="s">
        <v>150</v>
      </c>
      <c r="E233" s="9">
        <f>STATS1003B!E244/1000</f>
        <v>3887.62664</v>
      </c>
      <c r="F233" s="9">
        <f>STATS1003B!F244/1000</f>
        <v>3887.62664</v>
      </c>
      <c r="G233" s="9">
        <f>STATS1003B!G244/1000</f>
        <v>0</v>
      </c>
      <c r="H233" s="9">
        <f>STATS1003B!H244/1000</f>
        <v>3887.62664</v>
      </c>
      <c r="I233" s="9">
        <f>STATS1003B!I244/1000</f>
        <v>0</v>
      </c>
      <c r="J233" s="9">
        <f>STATS1003B!J244/1000</f>
        <v>3887.62664</v>
      </c>
      <c r="K233" s="9">
        <f>STATS1003B!K244/1000</f>
        <v>0</v>
      </c>
      <c r="L233" s="9">
        <f>STATS1003B!L244/1000</f>
        <v>0</v>
      </c>
      <c r="M233" s="9">
        <f>STATS1003B!M244/1000</f>
        <v>3887.62664</v>
      </c>
      <c r="N233" s="9">
        <f>STATS1003B!N244/1000</f>
        <v>0</v>
      </c>
      <c r="O233" s="9">
        <f>STATS1003B!O244/1000</f>
        <v>0</v>
      </c>
      <c r="P233" s="9">
        <f>STATS1003B!P244/1000</f>
        <v>0</v>
      </c>
      <c r="Q233" s="9">
        <f>STATS1003B!Q244/1000</f>
        <v>3887.62664</v>
      </c>
      <c r="R233" s="9">
        <f>STATS1003B!R244/1000</f>
        <v>0</v>
      </c>
      <c r="S233" s="9">
        <f>STATS1003B!S244/1000</f>
        <v>0</v>
      </c>
      <c r="T233" s="9">
        <f>STATS1003B!T244/1000</f>
        <v>0</v>
      </c>
      <c r="U233" s="9">
        <f>STATS1003B!U244/1000</f>
        <v>0</v>
      </c>
      <c r="V233" s="9">
        <f>STATS1003B!V244/1000</f>
        <v>0</v>
      </c>
      <c r="W233" s="9">
        <f>STATS1003B!W244/1000</f>
        <v>0</v>
      </c>
      <c r="X233" s="9">
        <f>STATS1003B!X244/1000</f>
        <v>3887.62664</v>
      </c>
      <c r="Y233" s="9">
        <f>STATS1003B!Y244/1000</f>
        <v>0</v>
      </c>
      <c r="Z233" s="9">
        <f>STATS1003B!Z244/1000</f>
        <v>0</v>
      </c>
      <c r="AA233" s="9">
        <f>STATS1003B!AA244/1000</f>
        <v>3887.62664</v>
      </c>
      <c r="AB233" s="9">
        <f>STATS1003B!AB244/1000</f>
        <v>0</v>
      </c>
    </row>
    <row r="234" spans="1:28" x14ac:dyDescent="0.35">
      <c r="A234" s="36"/>
      <c r="B234" s="8"/>
      <c r="C234" s="7" t="s">
        <v>536</v>
      </c>
      <c r="D234" s="15" t="s">
        <v>150</v>
      </c>
      <c r="E234" s="9">
        <f>STATS1003B!E245/1000</f>
        <v>937</v>
      </c>
      <c r="F234" s="9">
        <f>STATS1003B!F245/1000</f>
        <v>937</v>
      </c>
      <c r="G234" s="9">
        <f>STATS1003B!G245/1000</f>
        <v>0</v>
      </c>
      <c r="H234" s="9">
        <f>STATS1003B!H245/1000</f>
        <v>937</v>
      </c>
      <c r="I234" s="9">
        <f>STATS1003B!I245/1000</f>
        <v>0</v>
      </c>
      <c r="J234" s="9">
        <f>STATS1003B!J245/1000</f>
        <v>937</v>
      </c>
      <c r="K234" s="9">
        <f>STATS1003B!K245/1000</f>
        <v>0</v>
      </c>
      <c r="L234" s="9">
        <f>STATS1003B!L245/1000</f>
        <v>0</v>
      </c>
      <c r="M234" s="9">
        <f>STATS1003B!M245/1000</f>
        <v>937</v>
      </c>
      <c r="N234" s="9">
        <f>STATS1003B!N245/1000</f>
        <v>0</v>
      </c>
      <c r="O234" s="9">
        <f>STATS1003B!O245/1000</f>
        <v>0</v>
      </c>
      <c r="P234" s="9">
        <f>STATS1003B!P245/1000</f>
        <v>0</v>
      </c>
      <c r="Q234" s="9">
        <f>STATS1003B!Q245/1000</f>
        <v>937</v>
      </c>
      <c r="R234" s="9">
        <f>STATS1003B!R245/1000</f>
        <v>0</v>
      </c>
      <c r="S234" s="9">
        <f>STATS1003B!S245/1000</f>
        <v>0</v>
      </c>
      <c r="T234" s="9">
        <f>STATS1003B!T245/1000</f>
        <v>0</v>
      </c>
      <c r="U234" s="9">
        <f>STATS1003B!U245/1000</f>
        <v>0</v>
      </c>
      <c r="V234" s="9">
        <f>STATS1003B!V245/1000</f>
        <v>0</v>
      </c>
      <c r="W234" s="9">
        <f>STATS1003B!W245/1000</f>
        <v>0</v>
      </c>
      <c r="X234" s="9">
        <f>STATS1003B!X245/1000</f>
        <v>937</v>
      </c>
      <c r="Y234" s="9">
        <f>STATS1003B!Y245/1000</f>
        <v>0</v>
      </c>
      <c r="Z234" s="9">
        <f>STATS1003B!Z245/1000</f>
        <v>0</v>
      </c>
      <c r="AA234" s="9">
        <f>STATS1003B!AA245/1000</f>
        <v>937</v>
      </c>
      <c r="AB234" s="9">
        <f>STATS1003B!AB245/1000</f>
        <v>0</v>
      </c>
    </row>
    <row r="235" spans="1:28" x14ac:dyDescent="0.35">
      <c r="A235" s="36"/>
      <c r="B235" s="8"/>
      <c r="C235" s="7" t="s">
        <v>537</v>
      </c>
      <c r="D235" s="15" t="s">
        <v>166</v>
      </c>
      <c r="E235" s="9">
        <f>STATS1003B!E246/1000</f>
        <v>880.45335999999998</v>
      </c>
      <c r="F235" s="9">
        <f>STATS1003B!F246/1000</f>
        <v>805</v>
      </c>
      <c r="G235" s="9">
        <f>STATS1003B!G246/1000</f>
        <v>0</v>
      </c>
      <c r="H235" s="9">
        <f>STATS1003B!H246/1000</f>
        <v>805</v>
      </c>
      <c r="I235" s="9">
        <f>STATS1003B!I246/1000</f>
        <v>0</v>
      </c>
      <c r="J235" s="9">
        <f>STATS1003B!J246/1000</f>
        <v>805</v>
      </c>
      <c r="K235" s="9">
        <f>STATS1003B!K246/1000</f>
        <v>75.453360000000004</v>
      </c>
      <c r="L235" s="9">
        <f>STATS1003B!L246/1000</f>
        <v>0</v>
      </c>
      <c r="M235" s="9">
        <f>STATS1003B!M246/1000</f>
        <v>805</v>
      </c>
      <c r="N235" s="9">
        <f>STATS1003B!N246/1000</f>
        <v>75.453360000000004</v>
      </c>
      <c r="O235" s="9">
        <f>STATS1003B!O246/1000</f>
        <v>0</v>
      </c>
      <c r="P235" s="9">
        <f>STATS1003B!P246/1000</f>
        <v>75.453360000000004</v>
      </c>
      <c r="Q235" s="9">
        <f>STATS1003B!Q246/1000</f>
        <v>805</v>
      </c>
      <c r="R235" s="9">
        <f>STATS1003B!R246/1000</f>
        <v>0</v>
      </c>
      <c r="S235" s="9">
        <f>STATS1003B!S246/1000</f>
        <v>0</v>
      </c>
      <c r="T235" s="9">
        <f>STATS1003B!T246/1000</f>
        <v>0</v>
      </c>
      <c r="U235" s="9">
        <f>STATS1003B!U246/1000</f>
        <v>75.453360000000004</v>
      </c>
      <c r="V235" s="9">
        <f>STATS1003B!V246/1000</f>
        <v>0</v>
      </c>
      <c r="W235" s="9">
        <f>STATS1003B!W246/1000</f>
        <v>0</v>
      </c>
      <c r="X235" s="9">
        <f>STATS1003B!X246/1000</f>
        <v>880.45335999999998</v>
      </c>
      <c r="Y235" s="9">
        <f>STATS1003B!Y246/1000</f>
        <v>0</v>
      </c>
      <c r="Z235" s="9">
        <f>STATS1003B!Z246/1000</f>
        <v>0</v>
      </c>
      <c r="AA235" s="9">
        <f>STATS1003B!AA246/1000</f>
        <v>880.45335999999998</v>
      </c>
      <c r="AB235" s="9">
        <f>STATS1003B!AB246/1000</f>
        <v>0</v>
      </c>
    </row>
    <row r="236" spans="1:28" x14ac:dyDescent="0.35">
      <c r="A236" s="36"/>
      <c r="B236" s="8"/>
      <c r="C236" s="7" t="s">
        <v>538</v>
      </c>
      <c r="D236" s="15" t="s">
        <v>78</v>
      </c>
      <c r="E236" s="9">
        <f>STATS1003B!E247/1000</f>
        <v>1889.9</v>
      </c>
      <c r="F236" s="9">
        <f>STATS1003B!F247/1000</f>
        <v>645.57000000000005</v>
      </c>
      <c r="G236" s="9">
        <f>STATS1003B!G247/1000</f>
        <v>0</v>
      </c>
      <c r="H236" s="9">
        <f>STATS1003B!H247/1000</f>
        <v>645.57000000000005</v>
      </c>
      <c r="I236" s="9">
        <f>STATS1003B!I247/1000</f>
        <v>0</v>
      </c>
      <c r="J236" s="9">
        <f>STATS1003B!J247/1000</f>
        <v>645.57000000000005</v>
      </c>
      <c r="K236" s="9">
        <f>STATS1003B!K247/1000</f>
        <v>1244.33</v>
      </c>
      <c r="L236" s="9">
        <f>STATS1003B!L247/1000</f>
        <v>0</v>
      </c>
      <c r="M236" s="9">
        <f>STATS1003B!M247/1000</f>
        <v>645.57000000000005</v>
      </c>
      <c r="N236" s="9">
        <f>STATS1003B!N247/1000</f>
        <v>1244.33</v>
      </c>
      <c r="O236" s="9">
        <f>STATS1003B!O247/1000</f>
        <v>0</v>
      </c>
      <c r="P236" s="9">
        <f>STATS1003B!P247/1000</f>
        <v>1244.33</v>
      </c>
      <c r="Q236" s="9">
        <f>STATS1003B!Q247/1000</f>
        <v>645.57000000000005</v>
      </c>
      <c r="R236" s="9">
        <f>STATS1003B!R247/1000</f>
        <v>0</v>
      </c>
      <c r="S236" s="9">
        <f>STATS1003B!S247/1000</f>
        <v>0</v>
      </c>
      <c r="T236" s="9">
        <f>STATS1003B!T247/1000</f>
        <v>0</v>
      </c>
      <c r="U236" s="9">
        <f>STATS1003B!U247/1000</f>
        <v>1244.33</v>
      </c>
      <c r="V236" s="9">
        <f>STATS1003B!V247/1000</f>
        <v>0</v>
      </c>
      <c r="W236" s="9">
        <f>STATS1003B!W247/1000</f>
        <v>0</v>
      </c>
      <c r="X236" s="9">
        <f>STATS1003B!X247/1000</f>
        <v>1889.9</v>
      </c>
      <c r="Y236" s="9">
        <f>STATS1003B!Y247/1000</f>
        <v>0</v>
      </c>
      <c r="Z236" s="9">
        <f>STATS1003B!Z247/1000</f>
        <v>0</v>
      </c>
      <c r="AA236" s="9">
        <f>STATS1003B!AA247/1000</f>
        <v>1889.9</v>
      </c>
      <c r="AB236" s="9">
        <f>STATS1003B!AB247/1000</f>
        <v>0</v>
      </c>
    </row>
    <row r="237" spans="1:28" x14ac:dyDescent="0.35">
      <c r="A237" s="36"/>
      <c r="B237" s="8"/>
      <c r="C237" s="7" t="s">
        <v>539</v>
      </c>
      <c r="D237" s="15" t="s">
        <v>68</v>
      </c>
      <c r="E237" s="9">
        <f>STATS1003B!E248/1000</f>
        <v>718.05669999999998</v>
      </c>
      <c r="F237" s="9">
        <f>STATS1003B!F248/1000</f>
        <v>0</v>
      </c>
      <c r="G237" s="9">
        <f>STATS1003B!G248/1000</f>
        <v>0</v>
      </c>
      <c r="H237" s="9">
        <f>STATS1003B!H248/1000</f>
        <v>0</v>
      </c>
      <c r="I237" s="9">
        <f>STATS1003B!I248/1000</f>
        <v>0</v>
      </c>
      <c r="J237" s="9">
        <f>STATS1003B!J248/1000</f>
        <v>0</v>
      </c>
      <c r="K237" s="9">
        <f>STATS1003B!K248/1000</f>
        <v>718.05669999999998</v>
      </c>
      <c r="L237" s="9">
        <f>STATS1003B!L248/1000</f>
        <v>0</v>
      </c>
      <c r="M237" s="9">
        <f>STATS1003B!M248/1000</f>
        <v>0</v>
      </c>
      <c r="N237" s="9">
        <f>STATS1003B!N248/1000</f>
        <v>718.05669999999998</v>
      </c>
      <c r="O237" s="9">
        <f>STATS1003B!O248/1000</f>
        <v>0</v>
      </c>
      <c r="P237" s="9">
        <f>STATS1003B!P248/1000</f>
        <v>718.05669999999998</v>
      </c>
      <c r="Q237" s="9">
        <f>STATS1003B!Q248/1000</f>
        <v>0</v>
      </c>
      <c r="R237" s="9">
        <f>STATS1003B!R248/1000</f>
        <v>0</v>
      </c>
      <c r="S237" s="9">
        <f>STATS1003B!S248/1000</f>
        <v>0</v>
      </c>
      <c r="T237" s="9">
        <f>STATS1003B!T248/1000</f>
        <v>0</v>
      </c>
      <c r="U237" s="9">
        <f>STATS1003B!U248/1000</f>
        <v>718.05669999999998</v>
      </c>
      <c r="V237" s="9">
        <f>STATS1003B!V248/1000</f>
        <v>0</v>
      </c>
      <c r="W237" s="9">
        <f>STATS1003B!W248/1000</f>
        <v>0</v>
      </c>
      <c r="X237" s="9">
        <f>STATS1003B!X248/1000</f>
        <v>718.05669999999998</v>
      </c>
      <c r="Y237" s="9">
        <f>STATS1003B!Y248/1000</f>
        <v>0</v>
      </c>
      <c r="Z237" s="9">
        <f>STATS1003B!Z248/1000</f>
        <v>0</v>
      </c>
      <c r="AA237" s="9">
        <f>STATS1003B!AA248/1000</f>
        <v>718.05669999999998</v>
      </c>
      <c r="AB237" s="9">
        <f>STATS1003B!AB248/1000</f>
        <v>0</v>
      </c>
    </row>
    <row r="238" spans="1:28" x14ac:dyDescent="0.35">
      <c r="A238" s="36"/>
      <c r="B238" s="8"/>
      <c r="C238" s="7" t="s">
        <v>535</v>
      </c>
      <c r="D238" s="15" t="s">
        <v>54</v>
      </c>
      <c r="E238" s="9">
        <f>STATS1003B!E249/1000</f>
        <v>901.55</v>
      </c>
      <c r="F238" s="9">
        <f>STATS1003B!F249/1000</f>
        <v>901.55</v>
      </c>
      <c r="G238" s="9">
        <f>STATS1003B!G249/1000</f>
        <v>0</v>
      </c>
      <c r="H238" s="9">
        <f>STATS1003B!H249/1000</f>
        <v>901.55</v>
      </c>
      <c r="I238" s="9">
        <f>STATS1003B!I249/1000</f>
        <v>0</v>
      </c>
      <c r="J238" s="9">
        <f>STATS1003B!J249/1000</f>
        <v>901.55</v>
      </c>
      <c r="K238" s="9">
        <f>STATS1003B!K249/1000</f>
        <v>0</v>
      </c>
      <c r="L238" s="9">
        <f>STATS1003B!L249/1000</f>
        <v>0</v>
      </c>
      <c r="M238" s="9">
        <f>STATS1003B!M249/1000</f>
        <v>901.55</v>
      </c>
      <c r="N238" s="9">
        <f>STATS1003B!N249/1000</f>
        <v>0</v>
      </c>
      <c r="O238" s="9">
        <f>STATS1003B!O249/1000</f>
        <v>0</v>
      </c>
      <c r="P238" s="9">
        <f>STATS1003B!P249/1000</f>
        <v>0</v>
      </c>
      <c r="Q238" s="9">
        <f>STATS1003B!Q249/1000</f>
        <v>901.55</v>
      </c>
      <c r="R238" s="9">
        <f>STATS1003B!R249/1000</f>
        <v>0</v>
      </c>
      <c r="S238" s="9">
        <f>STATS1003B!S249/1000</f>
        <v>0</v>
      </c>
      <c r="T238" s="9">
        <f>STATS1003B!T249/1000</f>
        <v>0</v>
      </c>
      <c r="U238" s="9">
        <f>STATS1003B!U249/1000</f>
        <v>0</v>
      </c>
      <c r="V238" s="9">
        <f>STATS1003B!V249/1000</f>
        <v>0</v>
      </c>
      <c r="W238" s="9">
        <f>STATS1003B!W249/1000</f>
        <v>0</v>
      </c>
      <c r="X238" s="9">
        <f>STATS1003B!X249/1000</f>
        <v>901.55</v>
      </c>
      <c r="Y238" s="9">
        <f>STATS1003B!Y249/1000</f>
        <v>0</v>
      </c>
      <c r="Z238" s="9">
        <f>STATS1003B!Z249/1000</f>
        <v>0</v>
      </c>
      <c r="AA238" s="9">
        <f>STATS1003B!AA249/1000</f>
        <v>901.55</v>
      </c>
      <c r="AB238" s="9">
        <f>STATS1003B!AB249/1000</f>
        <v>0</v>
      </c>
    </row>
    <row r="239" spans="1:28" x14ac:dyDescent="0.35">
      <c r="A239" s="36"/>
      <c r="B239" s="8"/>
      <c r="C239" s="7" t="s">
        <v>540</v>
      </c>
      <c r="D239" s="15" t="s">
        <v>54</v>
      </c>
      <c r="E239" s="9">
        <f>STATS1003B!E250/1000</f>
        <v>570.94100000000003</v>
      </c>
      <c r="F239" s="9">
        <f>STATS1003B!F250/1000</f>
        <v>0</v>
      </c>
      <c r="G239" s="9">
        <f>STATS1003B!G250/1000</f>
        <v>0</v>
      </c>
      <c r="H239" s="9">
        <f>STATS1003B!H250/1000</f>
        <v>0</v>
      </c>
      <c r="I239" s="9">
        <f>STATS1003B!I250/1000</f>
        <v>0</v>
      </c>
      <c r="J239" s="9">
        <f>STATS1003B!J250/1000</f>
        <v>0</v>
      </c>
      <c r="K239" s="9">
        <f>STATS1003B!K250/1000</f>
        <v>570.94100000000003</v>
      </c>
      <c r="L239" s="9">
        <f>STATS1003B!L250/1000</f>
        <v>0</v>
      </c>
      <c r="M239" s="9">
        <f>STATS1003B!M250/1000</f>
        <v>0</v>
      </c>
      <c r="N239" s="9">
        <f>STATS1003B!N250/1000</f>
        <v>570.94100000000003</v>
      </c>
      <c r="O239" s="9">
        <f>STATS1003B!O250/1000</f>
        <v>0</v>
      </c>
      <c r="P239" s="9">
        <f>STATS1003B!P250/1000</f>
        <v>570.94100000000003</v>
      </c>
      <c r="Q239" s="9">
        <f>STATS1003B!Q250/1000</f>
        <v>0</v>
      </c>
      <c r="R239" s="9">
        <f>STATS1003B!R250/1000</f>
        <v>0</v>
      </c>
      <c r="S239" s="9">
        <f>STATS1003B!S250/1000</f>
        <v>0</v>
      </c>
      <c r="T239" s="9">
        <f>STATS1003B!T250/1000</f>
        <v>0</v>
      </c>
      <c r="U239" s="9">
        <f>STATS1003B!U250/1000</f>
        <v>570.94100000000003</v>
      </c>
      <c r="V239" s="9">
        <f>STATS1003B!V250/1000</f>
        <v>0</v>
      </c>
      <c r="W239" s="9">
        <f>STATS1003B!W250/1000</f>
        <v>0</v>
      </c>
      <c r="X239" s="9">
        <f>STATS1003B!X250/1000</f>
        <v>570.94100000000003</v>
      </c>
      <c r="Y239" s="9">
        <f>STATS1003B!Y250/1000</f>
        <v>0</v>
      </c>
      <c r="Z239" s="9">
        <f>STATS1003B!Z250/1000</f>
        <v>0</v>
      </c>
      <c r="AA239" s="9">
        <f>STATS1003B!AA250/1000</f>
        <v>570.94100000000003</v>
      </c>
      <c r="AB239" s="9">
        <f>STATS1003B!AB250/1000</f>
        <v>0</v>
      </c>
    </row>
    <row r="240" spans="1:28" x14ac:dyDescent="0.35">
      <c r="A240" s="36"/>
      <c r="B240" s="8"/>
      <c r="C240" s="7" t="s">
        <v>541</v>
      </c>
      <c r="D240" s="15" t="s">
        <v>85</v>
      </c>
      <c r="E240" s="9">
        <f>STATS1003B!E251/1000</f>
        <v>1600</v>
      </c>
      <c r="F240" s="9">
        <f>STATS1003B!F251/1000</f>
        <v>1600</v>
      </c>
      <c r="G240" s="9">
        <f>STATS1003B!G251/1000</f>
        <v>0</v>
      </c>
      <c r="H240" s="9">
        <f>STATS1003B!H251/1000</f>
        <v>1600</v>
      </c>
      <c r="I240" s="9">
        <f>STATS1003B!I251/1000</f>
        <v>0</v>
      </c>
      <c r="J240" s="9">
        <f>STATS1003B!J251/1000</f>
        <v>1600</v>
      </c>
      <c r="K240" s="9">
        <f>STATS1003B!K251/1000</f>
        <v>0</v>
      </c>
      <c r="L240" s="9">
        <f>STATS1003B!L251/1000</f>
        <v>0</v>
      </c>
      <c r="M240" s="9">
        <f>STATS1003B!M251/1000</f>
        <v>1600</v>
      </c>
      <c r="N240" s="9">
        <f>STATS1003B!N251/1000</f>
        <v>0</v>
      </c>
      <c r="O240" s="9">
        <f>STATS1003B!O251/1000</f>
        <v>0</v>
      </c>
      <c r="P240" s="9">
        <f>STATS1003B!P251/1000</f>
        <v>0</v>
      </c>
      <c r="Q240" s="9">
        <f>STATS1003B!Q251/1000</f>
        <v>1600</v>
      </c>
      <c r="R240" s="9">
        <f>STATS1003B!R251/1000</f>
        <v>0</v>
      </c>
      <c r="S240" s="9">
        <f>STATS1003B!S251/1000</f>
        <v>0</v>
      </c>
      <c r="T240" s="9">
        <f>STATS1003B!T251/1000</f>
        <v>0</v>
      </c>
      <c r="U240" s="9">
        <f>STATS1003B!U251/1000</f>
        <v>0</v>
      </c>
      <c r="V240" s="9">
        <f>STATS1003B!V251/1000</f>
        <v>0</v>
      </c>
      <c r="W240" s="9">
        <f>STATS1003B!W251/1000</f>
        <v>0</v>
      </c>
      <c r="X240" s="9">
        <f>STATS1003B!X251/1000</f>
        <v>1600</v>
      </c>
      <c r="Y240" s="9">
        <f>STATS1003B!Y251/1000</f>
        <v>0</v>
      </c>
      <c r="Z240" s="9">
        <f>STATS1003B!Z251/1000</f>
        <v>0</v>
      </c>
      <c r="AA240" s="9">
        <f>STATS1003B!AA251/1000</f>
        <v>1600</v>
      </c>
      <c r="AB240" s="9">
        <f>STATS1003B!AB251/1000</f>
        <v>0</v>
      </c>
    </row>
    <row r="241" spans="1:28" x14ac:dyDescent="0.35">
      <c r="A241" s="36"/>
      <c r="B241" s="8"/>
      <c r="C241" s="7" t="s">
        <v>535</v>
      </c>
      <c r="D241" s="15" t="s">
        <v>85</v>
      </c>
      <c r="E241" s="9">
        <f>STATS1003B!E252/1000</f>
        <v>1529.1</v>
      </c>
      <c r="F241" s="9">
        <f>STATS1003B!F252/1000</f>
        <v>1529.1</v>
      </c>
      <c r="G241" s="9">
        <f>STATS1003B!G252/1000</f>
        <v>0</v>
      </c>
      <c r="H241" s="9">
        <f>STATS1003B!H252/1000</f>
        <v>1529.1</v>
      </c>
      <c r="I241" s="9">
        <f>STATS1003B!I252/1000</f>
        <v>0</v>
      </c>
      <c r="J241" s="9">
        <f>STATS1003B!J252/1000</f>
        <v>1529.1</v>
      </c>
      <c r="K241" s="9">
        <f>STATS1003B!K252/1000</f>
        <v>0</v>
      </c>
      <c r="L241" s="9">
        <f>STATS1003B!L252/1000</f>
        <v>0</v>
      </c>
      <c r="M241" s="9">
        <f>STATS1003B!M252/1000</f>
        <v>1529.1</v>
      </c>
      <c r="N241" s="9">
        <f>STATS1003B!N252/1000</f>
        <v>0</v>
      </c>
      <c r="O241" s="9">
        <f>STATS1003B!O252/1000</f>
        <v>0</v>
      </c>
      <c r="P241" s="9">
        <f>STATS1003B!P252/1000</f>
        <v>0</v>
      </c>
      <c r="Q241" s="9">
        <f>STATS1003B!Q252/1000</f>
        <v>1529.1</v>
      </c>
      <c r="R241" s="9">
        <f>STATS1003B!R252/1000</f>
        <v>0</v>
      </c>
      <c r="S241" s="9">
        <f>STATS1003B!S252/1000</f>
        <v>0</v>
      </c>
      <c r="T241" s="9">
        <f>STATS1003B!T252/1000</f>
        <v>0</v>
      </c>
      <c r="U241" s="9">
        <f>STATS1003B!U252/1000</f>
        <v>0</v>
      </c>
      <c r="V241" s="9">
        <f>STATS1003B!V252/1000</f>
        <v>0</v>
      </c>
      <c r="W241" s="9">
        <f>STATS1003B!W252/1000</f>
        <v>0</v>
      </c>
      <c r="X241" s="9">
        <f>STATS1003B!X252/1000</f>
        <v>1529.1</v>
      </c>
      <c r="Y241" s="9">
        <f>STATS1003B!Y252/1000</f>
        <v>0</v>
      </c>
      <c r="Z241" s="9">
        <f>STATS1003B!Z252/1000</f>
        <v>0</v>
      </c>
      <c r="AA241" s="9">
        <f>STATS1003B!AA252/1000</f>
        <v>1529.1</v>
      </c>
      <c r="AB241" s="9">
        <f>STATS1003B!AB252/1000</f>
        <v>0</v>
      </c>
    </row>
    <row r="242" spans="1:28" x14ac:dyDescent="0.35">
      <c r="A242" s="36"/>
      <c r="B242" s="8"/>
      <c r="C242" s="7" t="s">
        <v>535</v>
      </c>
      <c r="D242" s="15" t="s">
        <v>88</v>
      </c>
      <c r="E242" s="9">
        <f>STATS1003B!E253/1000</f>
        <v>1800</v>
      </c>
      <c r="F242" s="9">
        <f>STATS1003B!F253/1000</f>
        <v>1800</v>
      </c>
      <c r="G242" s="9">
        <f>STATS1003B!G253/1000</f>
        <v>0</v>
      </c>
      <c r="H242" s="9">
        <f>STATS1003B!H253/1000</f>
        <v>1800</v>
      </c>
      <c r="I242" s="9">
        <f>STATS1003B!I253/1000</f>
        <v>0</v>
      </c>
      <c r="J242" s="9">
        <f>STATS1003B!J253/1000</f>
        <v>1800</v>
      </c>
      <c r="K242" s="9">
        <f>STATS1003B!K253/1000</f>
        <v>0</v>
      </c>
      <c r="L242" s="9">
        <f>STATS1003B!L253/1000</f>
        <v>0</v>
      </c>
      <c r="M242" s="9">
        <f>STATS1003B!M253/1000</f>
        <v>1800</v>
      </c>
      <c r="N242" s="9">
        <f>STATS1003B!N253/1000</f>
        <v>0</v>
      </c>
      <c r="O242" s="9">
        <f>STATS1003B!O253/1000</f>
        <v>0</v>
      </c>
      <c r="P242" s="9">
        <f>STATS1003B!P253/1000</f>
        <v>0</v>
      </c>
      <c r="Q242" s="9">
        <f>STATS1003B!Q253/1000</f>
        <v>1800</v>
      </c>
      <c r="R242" s="9">
        <f>STATS1003B!R253/1000</f>
        <v>0</v>
      </c>
      <c r="S242" s="9">
        <f>STATS1003B!S253/1000</f>
        <v>0</v>
      </c>
      <c r="T242" s="9">
        <f>STATS1003B!T253/1000</f>
        <v>0</v>
      </c>
      <c r="U242" s="9">
        <f>STATS1003B!U253/1000</f>
        <v>0</v>
      </c>
      <c r="V242" s="9">
        <f>STATS1003B!V253/1000</f>
        <v>0</v>
      </c>
      <c r="W242" s="9">
        <f>STATS1003B!W253/1000</f>
        <v>0</v>
      </c>
      <c r="X242" s="9">
        <f>STATS1003B!X253/1000</f>
        <v>1800</v>
      </c>
      <c r="Y242" s="9">
        <f>STATS1003B!Y253/1000</f>
        <v>0</v>
      </c>
      <c r="Z242" s="9">
        <f>STATS1003B!Z253/1000</f>
        <v>0</v>
      </c>
      <c r="AA242" s="9">
        <f>STATS1003B!AA253/1000</f>
        <v>1800</v>
      </c>
      <c r="AB242" s="9">
        <f>STATS1003B!AB253/1000</f>
        <v>0</v>
      </c>
    </row>
    <row r="243" spans="1:28" x14ac:dyDescent="0.35">
      <c r="A243" s="36"/>
      <c r="B243" s="8"/>
      <c r="C243" s="7" t="s">
        <v>542</v>
      </c>
      <c r="D243" s="15" t="s">
        <v>88</v>
      </c>
      <c r="E243" s="9">
        <f>STATS1003B!E254/1000</f>
        <v>4000</v>
      </c>
      <c r="F243" s="9">
        <f>STATS1003B!F254/1000</f>
        <v>4000</v>
      </c>
      <c r="G243" s="9">
        <f>STATS1003B!G254/1000</f>
        <v>0</v>
      </c>
      <c r="H243" s="9">
        <f>STATS1003B!H254/1000</f>
        <v>4000</v>
      </c>
      <c r="I243" s="9">
        <f>STATS1003B!I254/1000</f>
        <v>0</v>
      </c>
      <c r="J243" s="9">
        <f>STATS1003B!J254/1000</f>
        <v>4000</v>
      </c>
      <c r="K243" s="9">
        <f>STATS1003B!K254/1000</f>
        <v>0</v>
      </c>
      <c r="L243" s="9">
        <f>STATS1003B!L254/1000</f>
        <v>0</v>
      </c>
      <c r="M243" s="9">
        <f>STATS1003B!M254/1000</f>
        <v>4000</v>
      </c>
      <c r="N243" s="9">
        <f>STATS1003B!N254/1000</f>
        <v>0</v>
      </c>
      <c r="O243" s="9">
        <f>STATS1003B!O254/1000</f>
        <v>0</v>
      </c>
      <c r="P243" s="9">
        <f>STATS1003B!P254/1000</f>
        <v>0</v>
      </c>
      <c r="Q243" s="9">
        <f>STATS1003B!Q254/1000</f>
        <v>4000</v>
      </c>
      <c r="R243" s="9">
        <f>STATS1003B!R254/1000</f>
        <v>0</v>
      </c>
      <c r="S243" s="9">
        <f>STATS1003B!S254/1000</f>
        <v>0</v>
      </c>
      <c r="T243" s="9">
        <f>STATS1003B!T254/1000</f>
        <v>0</v>
      </c>
      <c r="U243" s="9">
        <f>STATS1003B!U254/1000</f>
        <v>0</v>
      </c>
      <c r="V243" s="9">
        <f>STATS1003B!V254/1000</f>
        <v>0</v>
      </c>
      <c r="W243" s="9">
        <f>STATS1003B!W254/1000</f>
        <v>0</v>
      </c>
      <c r="X243" s="9">
        <f>STATS1003B!X254/1000</f>
        <v>4000</v>
      </c>
      <c r="Y243" s="9">
        <f>STATS1003B!Y254/1000</f>
        <v>0</v>
      </c>
      <c r="Z243" s="9">
        <f>STATS1003B!Z254/1000</f>
        <v>0</v>
      </c>
      <c r="AA243" s="9">
        <f>STATS1003B!AA254/1000</f>
        <v>4000</v>
      </c>
      <c r="AB243" s="9">
        <f>STATS1003B!AB254/1000</f>
        <v>0</v>
      </c>
    </row>
    <row r="244" spans="1:28" x14ac:dyDescent="0.35">
      <c r="A244" s="36"/>
      <c r="B244" s="8"/>
      <c r="C244" s="7" t="s">
        <v>535</v>
      </c>
      <c r="D244" s="15" t="s">
        <v>58</v>
      </c>
      <c r="E244" s="9">
        <f>STATS1003B!E255/1000</f>
        <v>3572.97</v>
      </c>
      <c r="F244" s="9">
        <f>STATS1003B!F255/1000</f>
        <v>3572.97</v>
      </c>
      <c r="G244" s="9">
        <f>STATS1003B!G255/1000</f>
        <v>0</v>
      </c>
      <c r="H244" s="9">
        <f>STATS1003B!H255/1000</f>
        <v>3572.97</v>
      </c>
      <c r="I244" s="9">
        <f>STATS1003B!I255/1000</f>
        <v>0</v>
      </c>
      <c r="J244" s="9">
        <f>STATS1003B!J255/1000</f>
        <v>3572.97</v>
      </c>
      <c r="K244" s="9">
        <f>STATS1003B!K255/1000</f>
        <v>0</v>
      </c>
      <c r="L244" s="9">
        <f>STATS1003B!L255/1000</f>
        <v>0</v>
      </c>
      <c r="M244" s="9">
        <f>STATS1003B!M255/1000</f>
        <v>3572.97</v>
      </c>
      <c r="N244" s="9">
        <f>STATS1003B!N255/1000</f>
        <v>0</v>
      </c>
      <c r="O244" s="9">
        <f>STATS1003B!O255/1000</f>
        <v>0</v>
      </c>
      <c r="P244" s="9">
        <f>STATS1003B!P255/1000</f>
        <v>0</v>
      </c>
      <c r="Q244" s="9">
        <f>STATS1003B!Q255/1000</f>
        <v>3572.97</v>
      </c>
      <c r="R244" s="9">
        <f>STATS1003B!R255/1000</f>
        <v>0</v>
      </c>
      <c r="S244" s="9">
        <f>STATS1003B!S255/1000</f>
        <v>0</v>
      </c>
      <c r="T244" s="9">
        <f>STATS1003B!T255/1000</f>
        <v>0</v>
      </c>
      <c r="U244" s="9">
        <f>STATS1003B!U255/1000</f>
        <v>0</v>
      </c>
      <c r="V244" s="9">
        <f>STATS1003B!V255/1000</f>
        <v>0</v>
      </c>
      <c r="W244" s="9">
        <f>STATS1003B!W255/1000</f>
        <v>0</v>
      </c>
      <c r="X244" s="9">
        <f>STATS1003B!X255/1000</f>
        <v>3572.97</v>
      </c>
      <c r="Y244" s="9">
        <f>STATS1003B!Y255/1000</f>
        <v>0</v>
      </c>
      <c r="Z244" s="9">
        <f>STATS1003B!Z255/1000</f>
        <v>0</v>
      </c>
      <c r="AA244" s="9">
        <f>STATS1003B!AA255/1000</f>
        <v>3572.97</v>
      </c>
      <c r="AB244" s="9">
        <f>STATS1003B!AB255/1000</f>
        <v>0</v>
      </c>
    </row>
    <row r="245" spans="1:28" x14ac:dyDescent="0.35">
      <c r="A245" s="36"/>
      <c r="B245" s="8"/>
      <c r="C245" s="7" t="s">
        <v>535</v>
      </c>
      <c r="D245" s="15" t="s">
        <v>60</v>
      </c>
      <c r="E245" s="9">
        <f>STATS1003B!E256/1000</f>
        <v>3000</v>
      </c>
      <c r="F245" s="9">
        <f>STATS1003B!F256/1000</f>
        <v>3000</v>
      </c>
      <c r="G245" s="9">
        <f>STATS1003B!G256/1000</f>
        <v>0</v>
      </c>
      <c r="H245" s="9">
        <f>STATS1003B!H256/1000</f>
        <v>3000</v>
      </c>
      <c r="I245" s="9">
        <f>STATS1003B!I256/1000</f>
        <v>0</v>
      </c>
      <c r="J245" s="9">
        <f>STATS1003B!J256/1000</f>
        <v>3000</v>
      </c>
      <c r="K245" s="9">
        <f>STATS1003B!K256/1000</f>
        <v>0</v>
      </c>
      <c r="L245" s="9">
        <f>STATS1003B!L256/1000</f>
        <v>0</v>
      </c>
      <c r="M245" s="9">
        <f>STATS1003B!M256/1000</f>
        <v>3000</v>
      </c>
      <c r="N245" s="9">
        <f>STATS1003B!N256/1000</f>
        <v>0</v>
      </c>
      <c r="O245" s="9">
        <f>STATS1003B!O256/1000</f>
        <v>0</v>
      </c>
      <c r="P245" s="9">
        <f>STATS1003B!P256/1000</f>
        <v>0</v>
      </c>
      <c r="Q245" s="9">
        <f>STATS1003B!Q256/1000</f>
        <v>3000</v>
      </c>
      <c r="R245" s="9">
        <f>STATS1003B!R256/1000</f>
        <v>0</v>
      </c>
      <c r="S245" s="9">
        <f>STATS1003B!S256/1000</f>
        <v>0</v>
      </c>
      <c r="T245" s="9">
        <f>STATS1003B!T256/1000</f>
        <v>0</v>
      </c>
      <c r="U245" s="9">
        <f>STATS1003B!U256/1000</f>
        <v>0</v>
      </c>
      <c r="V245" s="9">
        <f>STATS1003B!V256/1000</f>
        <v>0</v>
      </c>
      <c r="W245" s="9">
        <f>STATS1003B!W256/1000</f>
        <v>0</v>
      </c>
      <c r="X245" s="9">
        <f>STATS1003B!X256/1000</f>
        <v>3000</v>
      </c>
      <c r="Y245" s="9">
        <f>STATS1003B!Y256/1000</f>
        <v>0</v>
      </c>
      <c r="Z245" s="9">
        <f>STATS1003B!Z256/1000</f>
        <v>0</v>
      </c>
      <c r="AA245" s="9">
        <f>STATS1003B!AA256/1000</f>
        <v>3000</v>
      </c>
      <c r="AB245" s="9">
        <f>STATS1003B!AB256/1000</f>
        <v>0</v>
      </c>
    </row>
    <row r="246" spans="1:28" x14ac:dyDescent="0.35">
      <c r="A246" s="36"/>
      <c r="B246" s="8"/>
      <c r="C246" s="7" t="s">
        <v>535</v>
      </c>
      <c r="D246" s="15" t="s">
        <v>61</v>
      </c>
      <c r="E246" s="9">
        <f>STATS1003B!E257/1000</f>
        <v>205</v>
      </c>
      <c r="F246" s="9">
        <f>STATS1003B!F257/1000</f>
        <v>205</v>
      </c>
      <c r="G246" s="9">
        <f>STATS1003B!G257/1000</f>
        <v>0</v>
      </c>
      <c r="H246" s="9">
        <f>STATS1003B!H257/1000</f>
        <v>205</v>
      </c>
      <c r="I246" s="9">
        <f>STATS1003B!I257/1000</f>
        <v>0</v>
      </c>
      <c r="J246" s="9">
        <f>STATS1003B!J257/1000</f>
        <v>205</v>
      </c>
      <c r="K246" s="9">
        <f>STATS1003B!K257/1000</f>
        <v>0</v>
      </c>
      <c r="L246" s="9">
        <f>STATS1003B!L257/1000</f>
        <v>0</v>
      </c>
      <c r="M246" s="9">
        <f>STATS1003B!M257/1000</f>
        <v>205</v>
      </c>
      <c r="N246" s="9">
        <f>STATS1003B!N257/1000</f>
        <v>0</v>
      </c>
      <c r="O246" s="9">
        <f>STATS1003B!O257/1000</f>
        <v>0</v>
      </c>
      <c r="P246" s="9">
        <f>STATS1003B!P257/1000</f>
        <v>0</v>
      </c>
      <c r="Q246" s="9">
        <f>STATS1003B!Q257/1000</f>
        <v>205</v>
      </c>
      <c r="R246" s="9">
        <f>STATS1003B!R257/1000</f>
        <v>0</v>
      </c>
      <c r="S246" s="9">
        <f>STATS1003B!S257/1000</f>
        <v>0</v>
      </c>
      <c r="T246" s="9">
        <f>STATS1003B!T257/1000</f>
        <v>0</v>
      </c>
      <c r="U246" s="9">
        <f>STATS1003B!U257/1000</f>
        <v>0</v>
      </c>
      <c r="V246" s="9">
        <f>STATS1003B!V257/1000</f>
        <v>0</v>
      </c>
      <c r="W246" s="9">
        <f>STATS1003B!W257/1000</f>
        <v>0</v>
      </c>
      <c r="X246" s="9">
        <f>STATS1003B!X257/1000</f>
        <v>205</v>
      </c>
      <c r="Y246" s="9">
        <f>STATS1003B!Y257/1000</f>
        <v>0</v>
      </c>
      <c r="Z246" s="9">
        <f>STATS1003B!Z257/1000</f>
        <v>0</v>
      </c>
      <c r="AA246" s="9">
        <f>STATS1003B!AA257/1000</f>
        <v>205</v>
      </c>
      <c r="AB246" s="9">
        <f>STATS1003B!AB257/1000</f>
        <v>0</v>
      </c>
    </row>
    <row r="247" spans="1:28" x14ac:dyDescent="0.35">
      <c r="A247" s="36"/>
      <c r="B247" s="8"/>
      <c r="C247" s="7" t="s">
        <v>1091</v>
      </c>
      <c r="D247" s="16" t="s">
        <v>1072</v>
      </c>
      <c r="E247" s="9">
        <f>STATS1003B!E259/1000</f>
        <v>100</v>
      </c>
      <c r="F247" s="9">
        <f>STATS1003B!F259/1000</f>
        <v>100</v>
      </c>
      <c r="G247" s="9">
        <f>STATS1003B!G259/1000</f>
        <v>0</v>
      </c>
      <c r="H247" s="9">
        <f>STATS1003B!H259/1000</f>
        <v>100</v>
      </c>
      <c r="I247" s="9">
        <f>STATS1003B!I259/1000</f>
        <v>0</v>
      </c>
      <c r="J247" s="9">
        <f>STATS1003B!J259/1000</f>
        <v>0</v>
      </c>
      <c r="K247" s="9">
        <f>STATS1003B!K259/1000</f>
        <v>0</v>
      </c>
      <c r="L247" s="9">
        <f>STATS1003B!L259/1000</f>
        <v>0</v>
      </c>
      <c r="M247" s="9">
        <f>STATS1003B!M259/1000</f>
        <v>100</v>
      </c>
      <c r="N247" s="9">
        <f>STATS1003B!N259/1000</f>
        <v>0</v>
      </c>
      <c r="O247" s="9">
        <f>STATS1003B!O259/1000</f>
        <v>0</v>
      </c>
      <c r="P247" s="9">
        <f>STATS1003B!P259/1000</f>
        <v>0</v>
      </c>
      <c r="Q247" s="9">
        <f>STATS1003B!Q259/1000</f>
        <v>0</v>
      </c>
      <c r="R247" s="9">
        <f>STATS1003B!R259/1000</f>
        <v>0</v>
      </c>
      <c r="S247" s="9">
        <f>STATS1003B!S259/1000</f>
        <v>0</v>
      </c>
      <c r="T247" s="9">
        <f>STATS1003B!T259/1000</f>
        <v>0</v>
      </c>
      <c r="U247" s="9">
        <f>STATS1003B!U259/1000</f>
        <v>0</v>
      </c>
      <c r="V247" s="9">
        <f>STATS1003B!V259/1000</f>
        <v>0</v>
      </c>
      <c r="W247" s="9">
        <f>STATS1003B!W259/1000</f>
        <v>0</v>
      </c>
      <c r="X247" s="9">
        <f>STATS1003B!X259/1000</f>
        <v>100</v>
      </c>
      <c r="Y247" s="9">
        <f>STATS1003B!Y259/1000</f>
        <v>0</v>
      </c>
      <c r="Z247" s="9">
        <f>STATS1003B!Z259/1000</f>
        <v>0</v>
      </c>
      <c r="AA247" s="9">
        <f>STATS1003B!AA259/1000</f>
        <v>100</v>
      </c>
      <c r="AB247" s="9">
        <f>STATS1003B!AB259/1000</f>
        <v>0</v>
      </c>
    </row>
    <row r="248" spans="1:28" x14ac:dyDescent="0.35">
      <c r="A248" s="36"/>
      <c r="B248" s="8"/>
      <c r="C248" s="7" t="s">
        <v>543</v>
      </c>
      <c r="D248" s="8"/>
      <c r="E248" s="9">
        <f>STATS1003B!E260/1000</f>
        <v>2500</v>
      </c>
      <c r="F248" s="9">
        <f>STATS1003B!F260/1000</f>
        <v>2500</v>
      </c>
      <c r="G248" s="9">
        <f>STATS1003B!G260/1000</f>
        <v>0</v>
      </c>
      <c r="H248" s="9">
        <f>STATS1003B!H260/1000</f>
        <v>2500</v>
      </c>
      <c r="I248" s="9">
        <f>STATS1003B!I260/1000</f>
        <v>0</v>
      </c>
      <c r="J248" s="9">
        <f>STATS1003B!J260/1000</f>
        <v>2500</v>
      </c>
      <c r="K248" s="9">
        <f>STATS1003B!K260/1000</f>
        <v>0</v>
      </c>
      <c r="L248" s="9">
        <f>STATS1003B!L260/1000</f>
        <v>0</v>
      </c>
      <c r="M248" s="9">
        <f>STATS1003B!M260/1000</f>
        <v>2500</v>
      </c>
      <c r="N248" s="9">
        <f>STATS1003B!N260/1000</f>
        <v>0</v>
      </c>
      <c r="O248" s="9">
        <f>STATS1003B!O260/1000</f>
        <v>0</v>
      </c>
      <c r="P248" s="9">
        <f>STATS1003B!P260/1000</f>
        <v>0</v>
      </c>
      <c r="Q248" s="9">
        <f>STATS1003B!Q260/1000</f>
        <v>2500</v>
      </c>
      <c r="R248" s="9">
        <f>STATS1003B!R260/1000</f>
        <v>0</v>
      </c>
      <c r="S248" s="9">
        <f>STATS1003B!S260/1000</f>
        <v>0</v>
      </c>
      <c r="T248" s="9">
        <f>STATS1003B!T260/1000</f>
        <v>0</v>
      </c>
      <c r="U248" s="9">
        <f>STATS1003B!U260/1000</f>
        <v>0</v>
      </c>
      <c r="V248" s="9">
        <f>STATS1003B!V260/1000</f>
        <v>0</v>
      </c>
      <c r="W248" s="9">
        <f>STATS1003B!W260/1000</f>
        <v>0</v>
      </c>
      <c r="X248" s="9">
        <f>STATS1003B!X260/1000</f>
        <v>2500</v>
      </c>
      <c r="Y248" s="9">
        <f>STATS1003B!Y260/1000</f>
        <v>0</v>
      </c>
      <c r="Z248" s="9">
        <f>STATS1003B!Z260/1000</f>
        <v>0</v>
      </c>
      <c r="AA248" s="9">
        <f>STATS1003B!AA260/1000</f>
        <v>2500</v>
      </c>
      <c r="AB248" s="9">
        <f>STATS1003B!AB260/1000</f>
        <v>0</v>
      </c>
    </row>
    <row r="249" spans="1:28" x14ac:dyDescent="0.35">
      <c r="A249" s="36"/>
      <c r="B249" s="8"/>
      <c r="C249" s="8"/>
      <c r="D249" s="8"/>
      <c r="E249" s="17" t="s">
        <v>29</v>
      </c>
      <c r="F249" s="17" t="s">
        <v>29</v>
      </c>
      <c r="G249" s="17" t="s">
        <v>29</v>
      </c>
      <c r="H249" s="17" t="s">
        <v>29</v>
      </c>
      <c r="I249" s="17" t="s">
        <v>29</v>
      </c>
      <c r="J249" s="17" t="s">
        <v>29</v>
      </c>
      <c r="K249" s="17" t="s">
        <v>29</v>
      </c>
      <c r="L249" s="17" t="s">
        <v>29</v>
      </c>
      <c r="M249" s="17" t="s">
        <v>29</v>
      </c>
      <c r="N249" s="17" t="s">
        <v>29</v>
      </c>
      <c r="O249" s="17" t="s">
        <v>29</v>
      </c>
      <c r="P249" s="17" t="s">
        <v>29</v>
      </c>
      <c r="Q249" s="17" t="s">
        <v>29</v>
      </c>
      <c r="R249" s="17" t="s">
        <v>29</v>
      </c>
      <c r="S249" s="17" t="s">
        <v>29</v>
      </c>
      <c r="T249" s="17" t="s">
        <v>29</v>
      </c>
      <c r="U249" s="17" t="s">
        <v>29</v>
      </c>
      <c r="V249" s="17" t="s">
        <v>29</v>
      </c>
      <c r="W249" s="17" t="s">
        <v>29</v>
      </c>
      <c r="X249" s="17" t="s">
        <v>29</v>
      </c>
      <c r="Y249" s="17" t="s">
        <v>29</v>
      </c>
      <c r="Z249" s="17" t="s">
        <v>29</v>
      </c>
      <c r="AA249" s="17" t="s">
        <v>29</v>
      </c>
      <c r="AB249" s="17" t="s">
        <v>29</v>
      </c>
    </row>
    <row r="250" spans="1:28" x14ac:dyDescent="0.35">
      <c r="A250" s="36"/>
      <c r="B250" s="8"/>
      <c r="C250" s="8"/>
      <c r="D250" s="8"/>
      <c r="E250" s="9">
        <f t="shared" ref="E250:Z250" si="13">SUM(E232:E249)</f>
        <v>30267.359</v>
      </c>
      <c r="F250" s="9">
        <f t="shared" si="13"/>
        <v>27161.636740000002</v>
      </c>
      <c r="G250" s="9">
        <f t="shared" si="13"/>
        <v>0</v>
      </c>
      <c r="H250" s="9">
        <f t="shared" si="13"/>
        <v>27161.636740000002</v>
      </c>
      <c r="I250" s="9">
        <f t="shared" si="13"/>
        <v>0</v>
      </c>
      <c r="J250" s="9">
        <f t="shared" si="13"/>
        <v>27061.636740000002</v>
      </c>
      <c r="K250" s="9">
        <f t="shared" si="13"/>
        <v>3105.7222599999996</v>
      </c>
      <c r="L250" s="9">
        <f t="shared" si="13"/>
        <v>0</v>
      </c>
      <c r="M250" s="9">
        <f t="shared" si="13"/>
        <v>27161.636740000002</v>
      </c>
      <c r="N250" s="9">
        <f t="shared" si="13"/>
        <v>3105.7222600000005</v>
      </c>
      <c r="O250" s="9">
        <f t="shared" si="13"/>
        <v>0</v>
      </c>
      <c r="P250" s="9">
        <f t="shared" si="13"/>
        <v>3105.7222600000005</v>
      </c>
      <c r="Q250" s="9">
        <f t="shared" si="13"/>
        <v>27061.636740000002</v>
      </c>
      <c r="R250" s="9">
        <f t="shared" si="13"/>
        <v>0</v>
      </c>
      <c r="S250" s="9">
        <f t="shared" si="13"/>
        <v>0</v>
      </c>
      <c r="T250" s="9">
        <f t="shared" si="13"/>
        <v>0</v>
      </c>
      <c r="U250" s="9">
        <f t="shared" si="13"/>
        <v>3105.7222600000005</v>
      </c>
      <c r="V250" s="9">
        <f t="shared" si="13"/>
        <v>0</v>
      </c>
      <c r="W250" s="9">
        <f t="shared" si="13"/>
        <v>0</v>
      </c>
      <c r="X250" s="9">
        <f t="shared" si="13"/>
        <v>30267.359</v>
      </c>
      <c r="Y250" s="9">
        <f t="shared" si="13"/>
        <v>0</v>
      </c>
      <c r="Z250" s="9">
        <f t="shared" si="13"/>
        <v>0</v>
      </c>
      <c r="AA250" s="9">
        <f>SUM(AA232:AA249)</f>
        <v>30267.359</v>
      </c>
      <c r="AB250" s="9">
        <f>SUM(AB232:AB249)</f>
        <v>0</v>
      </c>
    </row>
    <row r="251" spans="1:28" x14ac:dyDescent="0.35">
      <c r="A251" s="36"/>
      <c r="B251" s="8"/>
      <c r="C251" s="8"/>
      <c r="D251" s="8"/>
      <c r="E251" s="17" t="s">
        <v>29</v>
      </c>
      <c r="F251" s="17" t="s">
        <v>29</v>
      </c>
      <c r="G251" s="17" t="s">
        <v>29</v>
      </c>
      <c r="H251" s="17" t="s">
        <v>29</v>
      </c>
      <c r="I251" s="17" t="s">
        <v>29</v>
      </c>
      <c r="J251" s="17" t="s">
        <v>29</v>
      </c>
      <c r="K251" s="17" t="s">
        <v>29</v>
      </c>
      <c r="L251" s="17" t="s">
        <v>29</v>
      </c>
      <c r="M251" s="17" t="s">
        <v>29</v>
      </c>
      <c r="N251" s="17" t="s">
        <v>29</v>
      </c>
      <c r="O251" s="17" t="s">
        <v>29</v>
      </c>
      <c r="P251" s="17" t="s">
        <v>29</v>
      </c>
      <c r="Q251" s="17" t="s">
        <v>29</v>
      </c>
      <c r="R251" s="17" t="s">
        <v>29</v>
      </c>
      <c r="S251" s="17" t="s">
        <v>29</v>
      </c>
      <c r="T251" s="17" t="s">
        <v>29</v>
      </c>
      <c r="U251" s="17" t="s">
        <v>29</v>
      </c>
      <c r="V251" s="17" t="s">
        <v>29</v>
      </c>
      <c r="W251" s="17" t="s">
        <v>29</v>
      </c>
      <c r="X251" s="17" t="s">
        <v>29</v>
      </c>
      <c r="Y251" s="17" t="s">
        <v>29</v>
      </c>
      <c r="Z251" s="17" t="s">
        <v>29</v>
      </c>
      <c r="AA251" s="17" t="s">
        <v>29</v>
      </c>
      <c r="AB251" s="17" t="s">
        <v>29</v>
      </c>
    </row>
    <row r="252" spans="1:28" x14ac:dyDescent="0.35">
      <c r="A252" s="38" t="s">
        <v>946</v>
      </c>
      <c r="B252" s="7" t="s">
        <v>544</v>
      </c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17"/>
      <c r="S252" s="17"/>
      <c r="T252" s="18"/>
      <c r="U252" s="18"/>
      <c r="V252" s="18"/>
      <c r="W252" s="18"/>
      <c r="X252" s="18"/>
      <c r="Y252" s="18"/>
      <c r="Z252" s="18"/>
      <c r="AA252" s="12"/>
    </row>
    <row r="253" spans="1:28" x14ac:dyDescent="0.35">
      <c r="A253" s="36"/>
      <c r="B253" s="8"/>
      <c r="C253" s="7" t="s">
        <v>539</v>
      </c>
      <c r="D253" s="15" t="s">
        <v>68</v>
      </c>
      <c r="E253" s="9">
        <f>STATS1003B!E265/1000</f>
        <v>13716.1576</v>
      </c>
      <c r="F253" s="9">
        <f>STATS1003B!F265/1000</f>
        <v>0</v>
      </c>
      <c r="G253" s="9">
        <f>STATS1003B!G265/1000</f>
        <v>0</v>
      </c>
      <c r="H253" s="9">
        <f>STATS1003B!H265/1000</f>
        <v>0</v>
      </c>
      <c r="I253" s="9">
        <f>STATS1003B!I265/1000</f>
        <v>0</v>
      </c>
      <c r="J253" s="9">
        <f>STATS1003B!J265/1000</f>
        <v>0</v>
      </c>
      <c r="K253" s="9">
        <f>STATS1003B!K265/1000</f>
        <v>13716.1576</v>
      </c>
      <c r="L253" s="9">
        <f>STATS1003B!L265/1000</f>
        <v>0</v>
      </c>
      <c r="M253" s="9">
        <f>STATS1003B!M265/1000</f>
        <v>0</v>
      </c>
      <c r="N253" s="9">
        <f>STATS1003B!N265/1000</f>
        <v>13716.1576</v>
      </c>
      <c r="O253" s="9">
        <f>STATS1003B!O265/1000</f>
        <v>0</v>
      </c>
      <c r="P253" s="9">
        <f>STATS1003B!P265/1000</f>
        <v>13716.1576</v>
      </c>
      <c r="Q253" s="9">
        <f>STATS1003B!Q265/1000</f>
        <v>0</v>
      </c>
      <c r="R253" s="9">
        <f>STATS1003B!R265/1000</f>
        <v>0</v>
      </c>
      <c r="S253" s="9">
        <f>STATS1003B!S265/1000</f>
        <v>0</v>
      </c>
      <c r="T253" s="9">
        <f>STATS1003B!T265/1000</f>
        <v>0</v>
      </c>
      <c r="U253" s="9">
        <f>STATS1003B!U265/1000</f>
        <v>13716.1576</v>
      </c>
      <c r="V253" s="9">
        <f>STATS1003B!V265/1000</f>
        <v>0</v>
      </c>
      <c r="W253" s="9">
        <f>STATS1003B!W265/1000</f>
        <v>0</v>
      </c>
      <c r="X253" s="9">
        <f>STATS1003B!X265/1000</f>
        <v>13716.1576</v>
      </c>
      <c r="Y253" s="9">
        <f>STATS1003B!Y265/1000</f>
        <v>0</v>
      </c>
      <c r="Z253" s="9">
        <f>STATS1003B!Z265/1000</f>
        <v>0</v>
      </c>
      <c r="AA253" s="9">
        <f>STATS1003B!AA265/1000</f>
        <v>13716.1576</v>
      </c>
      <c r="AB253" s="9">
        <f>STATS1003B!AB265/1000</f>
        <v>0</v>
      </c>
    </row>
    <row r="254" spans="1:28" x14ac:dyDescent="0.35">
      <c r="A254" s="36"/>
      <c r="B254" s="8"/>
      <c r="C254" s="7" t="s">
        <v>535</v>
      </c>
      <c r="D254" s="15" t="s">
        <v>68</v>
      </c>
      <c r="E254" s="9">
        <f>STATS1003B!E266/1000</f>
        <v>573.55418999999995</v>
      </c>
      <c r="F254" s="9">
        <f>STATS1003B!F266/1000</f>
        <v>145.68199999999999</v>
      </c>
      <c r="G254" s="9">
        <f>STATS1003B!G266/1000</f>
        <v>0</v>
      </c>
      <c r="H254" s="9">
        <f>STATS1003B!H266/1000</f>
        <v>145.68199999999999</v>
      </c>
      <c r="I254" s="9">
        <f>STATS1003B!I266/1000</f>
        <v>0</v>
      </c>
      <c r="J254" s="9">
        <f>STATS1003B!J266/1000</f>
        <v>145.68199999999999</v>
      </c>
      <c r="K254" s="9">
        <f>STATS1003B!K266/1000</f>
        <v>427.87218999999999</v>
      </c>
      <c r="L254" s="9">
        <f>STATS1003B!L266/1000</f>
        <v>0</v>
      </c>
      <c r="M254" s="9">
        <f>STATS1003B!M266/1000</f>
        <v>145.68199999999999</v>
      </c>
      <c r="N254" s="9">
        <f>STATS1003B!N266/1000</f>
        <v>427.87218999999999</v>
      </c>
      <c r="O254" s="9">
        <f>STATS1003B!O266/1000</f>
        <v>0</v>
      </c>
      <c r="P254" s="9">
        <f>STATS1003B!P266/1000</f>
        <v>427.87218999999999</v>
      </c>
      <c r="Q254" s="9">
        <f>STATS1003B!Q266/1000</f>
        <v>0</v>
      </c>
      <c r="R254" s="9">
        <f>STATS1003B!R266/1000</f>
        <v>0</v>
      </c>
      <c r="S254" s="9">
        <f>STATS1003B!S266/1000</f>
        <v>0</v>
      </c>
      <c r="T254" s="9">
        <f>STATS1003B!T266/1000</f>
        <v>0</v>
      </c>
      <c r="U254" s="9">
        <f>STATS1003B!U266/1000</f>
        <v>427.87218999999999</v>
      </c>
      <c r="V254" s="9">
        <f>STATS1003B!V266/1000</f>
        <v>0</v>
      </c>
      <c r="W254" s="9">
        <f>STATS1003B!W266/1000</f>
        <v>0</v>
      </c>
      <c r="X254" s="9">
        <f>STATS1003B!X266/1000</f>
        <v>573.55418999999995</v>
      </c>
      <c r="Y254" s="9">
        <f>STATS1003B!Y266/1000</f>
        <v>0</v>
      </c>
      <c r="Z254" s="9">
        <f>STATS1003B!Z266/1000</f>
        <v>0</v>
      </c>
      <c r="AA254" s="9">
        <f>STATS1003B!AA266/1000</f>
        <v>573.55418999999995</v>
      </c>
      <c r="AB254" s="9">
        <f>STATS1003B!AB266/1000</f>
        <v>0</v>
      </c>
    </row>
    <row r="255" spans="1:28" x14ac:dyDescent="0.35">
      <c r="A255" s="36"/>
      <c r="B255" s="8"/>
      <c r="C255" s="7" t="s">
        <v>545</v>
      </c>
      <c r="D255" s="15" t="s">
        <v>54</v>
      </c>
      <c r="E255" s="9">
        <f>STATS1003B!E267/1000</f>
        <v>1953.989</v>
      </c>
      <c r="F255" s="9">
        <f>STATS1003B!F267/1000</f>
        <v>0</v>
      </c>
      <c r="G255" s="9">
        <f>STATS1003B!G267/1000</f>
        <v>0</v>
      </c>
      <c r="H255" s="9">
        <f>STATS1003B!H267/1000</f>
        <v>0</v>
      </c>
      <c r="I255" s="9">
        <f>STATS1003B!I267/1000</f>
        <v>0</v>
      </c>
      <c r="J255" s="9">
        <f>STATS1003B!J267/1000</f>
        <v>0</v>
      </c>
      <c r="K255" s="9">
        <f>STATS1003B!K267/1000</f>
        <v>1953.989</v>
      </c>
      <c r="L255" s="9">
        <f>STATS1003B!L267/1000</f>
        <v>0</v>
      </c>
      <c r="M255" s="9">
        <f>STATS1003B!M267/1000</f>
        <v>0</v>
      </c>
      <c r="N255" s="9">
        <f>STATS1003B!N267/1000</f>
        <v>1953.989</v>
      </c>
      <c r="O255" s="9">
        <f>STATS1003B!O267/1000</f>
        <v>0</v>
      </c>
      <c r="P255" s="9">
        <f>STATS1003B!P267/1000</f>
        <v>1953.989</v>
      </c>
      <c r="Q255" s="9">
        <f>STATS1003B!Q267/1000</f>
        <v>0</v>
      </c>
      <c r="R255" s="9">
        <f>STATS1003B!R267/1000</f>
        <v>0</v>
      </c>
      <c r="S255" s="9">
        <f>STATS1003B!S267/1000</f>
        <v>0</v>
      </c>
      <c r="T255" s="9">
        <f>STATS1003B!T267/1000</f>
        <v>0</v>
      </c>
      <c r="U255" s="9">
        <f>STATS1003B!U267/1000</f>
        <v>1953.989</v>
      </c>
      <c r="V255" s="9">
        <f>STATS1003B!V267/1000</f>
        <v>0</v>
      </c>
      <c r="W255" s="9">
        <f>STATS1003B!W267/1000</f>
        <v>0</v>
      </c>
      <c r="X255" s="9">
        <f>STATS1003B!X267/1000</f>
        <v>1953.989</v>
      </c>
      <c r="Y255" s="9">
        <f>STATS1003B!Y267/1000</f>
        <v>0</v>
      </c>
      <c r="Z255" s="9">
        <f>STATS1003B!Z267/1000</f>
        <v>0</v>
      </c>
      <c r="AA255" s="9">
        <f>STATS1003B!AA267/1000</f>
        <v>1953.989</v>
      </c>
      <c r="AB255" s="9">
        <f>STATS1003B!AB267/1000</f>
        <v>0</v>
      </c>
    </row>
    <row r="256" spans="1:28" x14ac:dyDescent="0.35">
      <c r="A256" s="36"/>
      <c r="B256" s="8"/>
      <c r="C256" s="7" t="s">
        <v>535</v>
      </c>
      <c r="D256" s="15" t="s">
        <v>54</v>
      </c>
      <c r="E256" s="9">
        <f>STATS1003B!E268/1000</f>
        <v>866.4</v>
      </c>
      <c r="F256" s="9">
        <f>STATS1003B!F268/1000</f>
        <v>866.4</v>
      </c>
      <c r="G256" s="9">
        <f>STATS1003B!G268/1000</f>
        <v>0</v>
      </c>
      <c r="H256" s="9">
        <f>STATS1003B!H268/1000</f>
        <v>866.4</v>
      </c>
      <c r="I256" s="9">
        <f>STATS1003B!I268/1000</f>
        <v>0</v>
      </c>
      <c r="J256" s="9">
        <f>STATS1003B!J268/1000</f>
        <v>866.4</v>
      </c>
      <c r="K256" s="9">
        <f>STATS1003B!K268/1000</f>
        <v>0</v>
      </c>
      <c r="L256" s="9">
        <f>STATS1003B!L268/1000</f>
        <v>0</v>
      </c>
      <c r="M256" s="9">
        <f>STATS1003B!M268/1000</f>
        <v>866.4</v>
      </c>
      <c r="N256" s="9">
        <f>STATS1003B!N268/1000</f>
        <v>0</v>
      </c>
      <c r="O256" s="9">
        <f>STATS1003B!O268/1000</f>
        <v>0</v>
      </c>
      <c r="P256" s="9">
        <f>STATS1003B!P268/1000</f>
        <v>0</v>
      </c>
      <c r="Q256" s="9">
        <f>STATS1003B!Q268/1000</f>
        <v>0</v>
      </c>
      <c r="R256" s="9">
        <f>STATS1003B!R268/1000</f>
        <v>0</v>
      </c>
      <c r="S256" s="9">
        <f>STATS1003B!S268/1000</f>
        <v>0</v>
      </c>
      <c r="T256" s="9">
        <f>STATS1003B!T268/1000</f>
        <v>0</v>
      </c>
      <c r="U256" s="9">
        <f>STATS1003B!U268/1000</f>
        <v>0</v>
      </c>
      <c r="V256" s="9">
        <f>STATS1003B!V268/1000</f>
        <v>0</v>
      </c>
      <c r="W256" s="9">
        <f>STATS1003B!W268/1000</f>
        <v>0</v>
      </c>
      <c r="X256" s="9">
        <f>STATS1003B!X268/1000</f>
        <v>866.4</v>
      </c>
      <c r="Y256" s="9">
        <f>STATS1003B!Y268/1000</f>
        <v>0</v>
      </c>
      <c r="Z256" s="9">
        <f>STATS1003B!Z268/1000</f>
        <v>0</v>
      </c>
      <c r="AA256" s="9">
        <f>STATS1003B!AA268/1000</f>
        <v>866.4</v>
      </c>
      <c r="AB256" s="9">
        <f>STATS1003B!AB268/1000</f>
        <v>0</v>
      </c>
    </row>
    <row r="257" spans="1:28" x14ac:dyDescent="0.35">
      <c r="A257" s="36"/>
      <c r="B257" s="7" t="s">
        <v>546</v>
      </c>
      <c r="C257" s="7" t="s">
        <v>547</v>
      </c>
      <c r="D257" s="21" t="s">
        <v>85</v>
      </c>
      <c r="E257" s="9">
        <f>STATS1003B!E269/1000</f>
        <v>2266.8000000000002</v>
      </c>
      <c r="F257" s="9">
        <f>STATS1003B!F269/1000</f>
        <v>2266.8000000000002</v>
      </c>
      <c r="G257" s="9">
        <f>STATS1003B!G269/1000</f>
        <v>0</v>
      </c>
      <c r="H257" s="9">
        <f>STATS1003B!H269/1000</f>
        <v>2266.8000000000002</v>
      </c>
      <c r="I257" s="9">
        <f>STATS1003B!I269/1000</f>
        <v>0</v>
      </c>
      <c r="J257" s="9">
        <f>STATS1003B!J269/1000</f>
        <v>2266.8000000000002</v>
      </c>
      <c r="K257" s="9">
        <f>STATS1003B!K269/1000</f>
        <v>0</v>
      </c>
      <c r="L257" s="9">
        <f>STATS1003B!L269/1000</f>
        <v>0</v>
      </c>
      <c r="M257" s="9">
        <f>STATS1003B!M269/1000</f>
        <v>2266.8000000000002</v>
      </c>
      <c r="N257" s="9">
        <f>STATS1003B!N269/1000</f>
        <v>0</v>
      </c>
      <c r="O257" s="9">
        <f>STATS1003B!O269/1000</f>
        <v>0</v>
      </c>
      <c r="P257" s="9">
        <f>STATS1003B!P269/1000</f>
        <v>0</v>
      </c>
      <c r="Q257" s="9">
        <f>STATS1003B!Q269/1000</f>
        <v>0</v>
      </c>
      <c r="R257" s="9">
        <f>STATS1003B!R269/1000</f>
        <v>0</v>
      </c>
      <c r="S257" s="9">
        <f>STATS1003B!S269/1000</f>
        <v>0</v>
      </c>
      <c r="T257" s="9">
        <f>STATS1003B!T269/1000</f>
        <v>0</v>
      </c>
      <c r="U257" s="9">
        <f>STATS1003B!U269/1000</f>
        <v>0</v>
      </c>
      <c r="V257" s="9">
        <f>STATS1003B!V269/1000</f>
        <v>0</v>
      </c>
      <c r="W257" s="9">
        <f>STATS1003B!W269/1000</f>
        <v>0</v>
      </c>
      <c r="X257" s="9">
        <f>STATS1003B!X269/1000</f>
        <v>2266.8000000000002</v>
      </c>
      <c r="Y257" s="9">
        <f>STATS1003B!Y269/1000</f>
        <v>0</v>
      </c>
      <c r="Z257" s="9">
        <f>STATS1003B!Z269/1000</f>
        <v>0</v>
      </c>
      <c r="AA257" s="9">
        <f>STATS1003B!AA269/1000</f>
        <v>2266.8000000000002</v>
      </c>
      <c r="AB257" s="9">
        <f>STATS1003B!AB269/1000</f>
        <v>0</v>
      </c>
    </row>
    <row r="258" spans="1:28" x14ac:dyDescent="0.35">
      <c r="A258" s="36"/>
      <c r="B258" s="8"/>
      <c r="C258" s="7" t="s">
        <v>548</v>
      </c>
      <c r="D258" s="15" t="s">
        <v>85</v>
      </c>
      <c r="E258" s="9">
        <f>STATS1003B!E270/1000</f>
        <v>1600</v>
      </c>
      <c r="F258" s="9">
        <f>STATS1003B!F270/1000</f>
        <v>1355.86</v>
      </c>
      <c r="G258" s="9">
        <f>STATS1003B!G270/1000</f>
        <v>0</v>
      </c>
      <c r="H258" s="9">
        <f>STATS1003B!H270/1000</f>
        <v>1355.86</v>
      </c>
      <c r="I258" s="9">
        <f>STATS1003B!I270/1000</f>
        <v>0</v>
      </c>
      <c r="J258" s="9">
        <f>STATS1003B!J270/1000</f>
        <v>1355.86</v>
      </c>
      <c r="K258" s="9">
        <f>STATS1003B!K270/1000</f>
        <v>0</v>
      </c>
      <c r="L258" s="9">
        <f>STATS1003B!L270/1000</f>
        <v>0</v>
      </c>
      <c r="M258" s="9">
        <f>STATS1003B!M270/1000</f>
        <v>1355.86</v>
      </c>
      <c r="N258" s="9">
        <f>STATS1003B!N270/1000</f>
        <v>0</v>
      </c>
      <c r="O258" s="9">
        <f>STATS1003B!O270/1000</f>
        <v>0</v>
      </c>
      <c r="P258" s="9">
        <f>STATS1003B!P270/1000</f>
        <v>0</v>
      </c>
      <c r="Q258" s="9">
        <f>STATS1003B!Q270/1000</f>
        <v>0</v>
      </c>
      <c r="R258" s="9">
        <f>STATS1003B!R270/1000</f>
        <v>0</v>
      </c>
      <c r="S258" s="9">
        <f>STATS1003B!S270/1000</f>
        <v>0</v>
      </c>
      <c r="T258" s="9">
        <f>STATS1003B!T270/1000</f>
        <v>0</v>
      </c>
      <c r="U258" s="9">
        <f>STATS1003B!U270/1000</f>
        <v>0</v>
      </c>
      <c r="V258" s="9">
        <f>STATS1003B!V270/1000</f>
        <v>0</v>
      </c>
      <c r="W258" s="9">
        <f>STATS1003B!W270/1000</f>
        <v>0</v>
      </c>
      <c r="X258" s="9">
        <f>STATS1003B!X270/1000</f>
        <v>1355.86</v>
      </c>
      <c r="Y258" s="9">
        <f>STATS1003B!Y270/1000</f>
        <v>0</v>
      </c>
      <c r="Z258" s="9">
        <f>STATS1003B!Z270/1000</f>
        <v>244.14</v>
      </c>
      <c r="AA258" s="9">
        <f>STATS1003B!AA270/1000</f>
        <v>1355.86</v>
      </c>
      <c r="AB258" s="9">
        <f>STATS1003B!AB270/1000</f>
        <v>244.14</v>
      </c>
    </row>
    <row r="259" spans="1:28" x14ac:dyDescent="0.35">
      <c r="A259" s="36"/>
      <c r="B259" s="8"/>
      <c r="C259" s="7" t="s">
        <v>535</v>
      </c>
      <c r="D259" s="15" t="s">
        <v>128</v>
      </c>
      <c r="E259" s="9">
        <f>STATS1003B!E271/1000</f>
        <v>5000</v>
      </c>
      <c r="F259" s="9">
        <f>STATS1003B!F271/1000</f>
        <v>5000</v>
      </c>
      <c r="G259" s="9">
        <f>STATS1003B!G271/1000</f>
        <v>0</v>
      </c>
      <c r="H259" s="9">
        <f>STATS1003B!H271/1000</f>
        <v>5000</v>
      </c>
      <c r="I259" s="9">
        <f>STATS1003B!I271/1000</f>
        <v>0</v>
      </c>
      <c r="J259" s="9">
        <f>STATS1003B!J271/1000</f>
        <v>5000</v>
      </c>
      <c r="K259" s="9">
        <f>STATS1003B!K271/1000</f>
        <v>0</v>
      </c>
      <c r="L259" s="9">
        <f>STATS1003B!L271/1000</f>
        <v>0</v>
      </c>
      <c r="M259" s="9">
        <f>STATS1003B!M271/1000</f>
        <v>5000</v>
      </c>
      <c r="N259" s="9">
        <f>STATS1003B!N271/1000</f>
        <v>0</v>
      </c>
      <c r="O259" s="9">
        <f>STATS1003B!O271/1000</f>
        <v>0</v>
      </c>
      <c r="P259" s="9">
        <f>STATS1003B!P271/1000</f>
        <v>0</v>
      </c>
      <c r="Q259" s="9">
        <f>STATS1003B!Q271/1000</f>
        <v>0</v>
      </c>
      <c r="R259" s="9">
        <f>STATS1003B!R271/1000</f>
        <v>0</v>
      </c>
      <c r="S259" s="9">
        <f>STATS1003B!S271/1000</f>
        <v>0</v>
      </c>
      <c r="T259" s="9">
        <f>STATS1003B!T271/1000</f>
        <v>0</v>
      </c>
      <c r="U259" s="9">
        <f>STATS1003B!U271/1000</f>
        <v>0</v>
      </c>
      <c r="V259" s="9">
        <f>STATS1003B!V271/1000</f>
        <v>0</v>
      </c>
      <c r="W259" s="9">
        <f>STATS1003B!W271/1000</f>
        <v>0</v>
      </c>
      <c r="X259" s="9">
        <f>STATS1003B!X271/1000</f>
        <v>5000</v>
      </c>
      <c r="Y259" s="9">
        <f>STATS1003B!Y271/1000</f>
        <v>0</v>
      </c>
      <c r="Z259" s="9">
        <f>STATS1003B!Z271/1000</f>
        <v>0</v>
      </c>
      <c r="AA259" s="9">
        <f>STATS1003B!AA271/1000</f>
        <v>5000</v>
      </c>
      <c r="AB259" s="9">
        <f>STATS1003B!AB271/1000</f>
        <v>0</v>
      </c>
    </row>
    <row r="260" spans="1:28" x14ac:dyDescent="0.35">
      <c r="A260" s="36"/>
      <c r="B260" s="8"/>
      <c r="C260" s="7" t="s">
        <v>548</v>
      </c>
      <c r="D260" s="15" t="s">
        <v>128</v>
      </c>
      <c r="E260" s="9">
        <f>STATS1003B!E272/1000</f>
        <v>1600</v>
      </c>
      <c r="F260" s="9">
        <f>STATS1003B!F272/1000</f>
        <v>634.35</v>
      </c>
      <c r="G260" s="9">
        <f>STATS1003B!G272/1000</f>
        <v>0</v>
      </c>
      <c r="H260" s="9">
        <f>STATS1003B!H272/1000</f>
        <v>634.35</v>
      </c>
      <c r="I260" s="9">
        <f>STATS1003B!I272/1000</f>
        <v>965.65</v>
      </c>
      <c r="J260" s="9">
        <f>STATS1003B!J272/1000</f>
        <v>1600</v>
      </c>
      <c r="K260" s="9">
        <f>STATS1003B!K272/1000</f>
        <v>0</v>
      </c>
      <c r="L260" s="9">
        <f>STATS1003B!L272/1000</f>
        <v>965.65</v>
      </c>
      <c r="M260" s="9">
        <f>STATS1003B!M272/1000</f>
        <v>1600</v>
      </c>
      <c r="N260" s="9">
        <f>STATS1003B!N272/1000</f>
        <v>0</v>
      </c>
      <c r="O260" s="9">
        <f>STATS1003B!O272/1000</f>
        <v>0</v>
      </c>
      <c r="P260" s="9">
        <f>STATS1003B!P272/1000</f>
        <v>0</v>
      </c>
      <c r="Q260" s="9">
        <f>STATS1003B!Q272/1000</f>
        <v>0</v>
      </c>
      <c r="R260" s="9">
        <f>STATS1003B!R272/1000</f>
        <v>0</v>
      </c>
      <c r="S260" s="9">
        <f>STATS1003B!S272/1000</f>
        <v>0</v>
      </c>
      <c r="T260" s="9">
        <f>STATS1003B!T272/1000</f>
        <v>0</v>
      </c>
      <c r="U260" s="9">
        <f>STATS1003B!U272/1000</f>
        <v>0</v>
      </c>
      <c r="V260" s="9">
        <f>STATS1003B!V272/1000</f>
        <v>0</v>
      </c>
      <c r="W260" s="9">
        <f>STATS1003B!W272/1000</f>
        <v>0</v>
      </c>
      <c r="X260" s="9">
        <f>STATS1003B!X272/1000</f>
        <v>634.35</v>
      </c>
      <c r="Y260" s="9">
        <f>STATS1003B!Y272/1000</f>
        <v>0</v>
      </c>
      <c r="Z260" s="9">
        <f>STATS1003B!Z272/1000</f>
        <v>965.65</v>
      </c>
      <c r="AA260" s="9">
        <f>STATS1003B!AA272/1000</f>
        <v>1600</v>
      </c>
      <c r="AB260" s="9">
        <f>STATS1003B!AB272/1000</f>
        <v>0</v>
      </c>
    </row>
    <row r="261" spans="1:28" x14ac:dyDescent="0.35">
      <c r="A261" s="36"/>
      <c r="B261" s="8"/>
      <c r="C261" s="7" t="s">
        <v>535</v>
      </c>
      <c r="D261" s="15" t="s">
        <v>58</v>
      </c>
      <c r="E261" s="9">
        <f>STATS1003B!E273/1000</f>
        <v>2297.58</v>
      </c>
      <c r="F261" s="9">
        <f>STATS1003B!F273/1000</f>
        <v>2297.58</v>
      </c>
      <c r="G261" s="9">
        <f>STATS1003B!G273/1000</f>
        <v>0</v>
      </c>
      <c r="H261" s="9">
        <f>STATS1003B!H273/1000</f>
        <v>2297.58</v>
      </c>
      <c r="I261" s="9">
        <f>STATS1003B!I273/1000</f>
        <v>0</v>
      </c>
      <c r="J261" s="9">
        <f>STATS1003B!J273/1000</f>
        <v>2297.58</v>
      </c>
      <c r="K261" s="9">
        <f>STATS1003B!K273/1000</f>
        <v>0</v>
      </c>
      <c r="L261" s="9">
        <f>STATS1003B!L273/1000</f>
        <v>0</v>
      </c>
      <c r="M261" s="9">
        <f>STATS1003B!M273/1000</f>
        <v>2297.58</v>
      </c>
      <c r="N261" s="9">
        <f>STATS1003B!N273/1000</f>
        <v>0</v>
      </c>
      <c r="O261" s="9">
        <f>STATS1003B!O273/1000</f>
        <v>0</v>
      </c>
      <c r="P261" s="9">
        <f>STATS1003B!P273/1000</f>
        <v>0</v>
      </c>
      <c r="Q261" s="9">
        <f>STATS1003B!Q273/1000</f>
        <v>0</v>
      </c>
      <c r="R261" s="9">
        <f>STATS1003B!R273/1000</f>
        <v>0</v>
      </c>
      <c r="S261" s="9">
        <f>STATS1003B!S273/1000</f>
        <v>0</v>
      </c>
      <c r="T261" s="9">
        <f>STATS1003B!T273/1000</f>
        <v>0</v>
      </c>
      <c r="U261" s="9">
        <f>STATS1003B!U273/1000</f>
        <v>0</v>
      </c>
      <c r="V261" s="9">
        <f>STATS1003B!V273/1000</f>
        <v>0</v>
      </c>
      <c r="W261" s="9">
        <f>STATS1003B!W273/1000</f>
        <v>0</v>
      </c>
      <c r="X261" s="9">
        <f>STATS1003B!X273/1000</f>
        <v>2297.58</v>
      </c>
      <c r="Y261" s="9">
        <f>STATS1003B!Y273/1000</f>
        <v>0</v>
      </c>
      <c r="Z261" s="9">
        <f>STATS1003B!Z273/1000</f>
        <v>0</v>
      </c>
      <c r="AA261" s="9">
        <f>STATS1003B!AA273/1000</f>
        <v>2297.58</v>
      </c>
      <c r="AB261" s="9">
        <f>STATS1003B!AB273/1000</f>
        <v>0</v>
      </c>
    </row>
    <row r="262" spans="1:28" x14ac:dyDescent="0.35">
      <c r="A262" s="36"/>
      <c r="B262" s="8"/>
      <c r="C262" s="7" t="s">
        <v>535</v>
      </c>
      <c r="D262" s="15" t="s">
        <v>60</v>
      </c>
      <c r="E262" s="9">
        <f>STATS1003B!E274/1000</f>
        <v>1117.722</v>
      </c>
      <c r="F262" s="9">
        <f>STATS1003B!F274/1000</f>
        <v>1117.722</v>
      </c>
      <c r="G262" s="9">
        <f>STATS1003B!G274/1000</f>
        <v>0</v>
      </c>
      <c r="H262" s="9">
        <f>STATS1003B!H274/1000</f>
        <v>1117.722</v>
      </c>
      <c r="I262" s="9">
        <f>STATS1003B!I274/1000</f>
        <v>0</v>
      </c>
      <c r="J262" s="9">
        <f>STATS1003B!J274/1000</f>
        <v>1117.722</v>
      </c>
      <c r="K262" s="9">
        <f>STATS1003B!K274/1000</f>
        <v>0</v>
      </c>
      <c r="L262" s="9">
        <f>STATS1003B!L274/1000</f>
        <v>0</v>
      </c>
      <c r="M262" s="9">
        <f>STATS1003B!M274/1000</f>
        <v>1117.722</v>
      </c>
      <c r="N262" s="9">
        <f>STATS1003B!N274/1000</f>
        <v>0</v>
      </c>
      <c r="O262" s="9">
        <f>STATS1003B!O274/1000</f>
        <v>0</v>
      </c>
      <c r="P262" s="9">
        <f>STATS1003B!P274/1000</f>
        <v>0</v>
      </c>
      <c r="Q262" s="9">
        <f>STATS1003B!Q274/1000</f>
        <v>0</v>
      </c>
      <c r="R262" s="9">
        <f>STATS1003B!R274/1000</f>
        <v>0</v>
      </c>
      <c r="S262" s="9">
        <f>STATS1003B!S274/1000</f>
        <v>0</v>
      </c>
      <c r="T262" s="9">
        <f>STATS1003B!T274/1000</f>
        <v>0</v>
      </c>
      <c r="U262" s="9">
        <f>STATS1003B!U274/1000</f>
        <v>0</v>
      </c>
      <c r="V262" s="9">
        <f>STATS1003B!V274/1000</f>
        <v>0</v>
      </c>
      <c r="W262" s="9">
        <f>STATS1003B!W274/1000</f>
        <v>0</v>
      </c>
      <c r="X262" s="9">
        <f>STATS1003B!X274/1000</f>
        <v>1117.722</v>
      </c>
      <c r="Y262" s="9">
        <f>STATS1003B!Y274/1000</f>
        <v>0</v>
      </c>
      <c r="Z262" s="9">
        <f>STATS1003B!Z274/1000</f>
        <v>0</v>
      </c>
      <c r="AA262" s="9">
        <f>STATS1003B!AA274/1000</f>
        <v>1117.722</v>
      </c>
      <c r="AB262" s="9">
        <f>STATS1003B!AB274/1000</f>
        <v>0</v>
      </c>
    </row>
    <row r="263" spans="1:28" x14ac:dyDescent="0.35">
      <c r="A263" s="36"/>
      <c r="B263" s="8"/>
      <c r="C263" s="14" t="s">
        <v>549</v>
      </c>
      <c r="D263" s="21" t="s">
        <v>73</v>
      </c>
      <c r="E263" s="9">
        <f>STATS1003B!E275/1000</f>
        <v>500</v>
      </c>
      <c r="F263" s="9">
        <f>STATS1003B!F275/1000</f>
        <v>500</v>
      </c>
      <c r="G263" s="9">
        <f>STATS1003B!G275/1000</f>
        <v>0</v>
      </c>
      <c r="H263" s="9">
        <f>STATS1003B!H275/1000</f>
        <v>500</v>
      </c>
      <c r="I263" s="9">
        <f>STATS1003B!I275/1000</f>
        <v>0</v>
      </c>
      <c r="J263" s="9">
        <f>STATS1003B!J275/1000</f>
        <v>500</v>
      </c>
      <c r="K263" s="9">
        <f>STATS1003B!K275/1000</f>
        <v>0</v>
      </c>
      <c r="L263" s="9">
        <f>STATS1003B!L275/1000</f>
        <v>0</v>
      </c>
      <c r="M263" s="9">
        <f>STATS1003B!M275/1000</f>
        <v>500</v>
      </c>
      <c r="N263" s="9">
        <f>STATS1003B!N275/1000</f>
        <v>0</v>
      </c>
      <c r="O263" s="9">
        <f>STATS1003B!O275/1000</f>
        <v>0</v>
      </c>
      <c r="P263" s="9">
        <f>STATS1003B!P275/1000</f>
        <v>0</v>
      </c>
      <c r="Q263" s="9">
        <f>STATS1003B!Q275/1000</f>
        <v>0</v>
      </c>
      <c r="R263" s="9">
        <f>STATS1003B!R275/1000</f>
        <v>0</v>
      </c>
      <c r="S263" s="9">
        <f>STATS1003B!S275/1000</f>
        <v>0</v>
      </c>
      <c r="T263" s="9">
        <f>STATS1003B!T275/1000</f>
        <v>0</v>
      </c>
      <c r="U263" s="9">
        <f>STATS1003B!U275/1000</f>
        <v>0</v>
      </c>
      <c r="V263" s="9">
        <f>STATS1003B!V275/1000</f>
        <v>0</v>
      </c>
      <c r="W263" s="9">
        <f>STATS1003B!W275/1000</f>
        <v>0</v>
      </c>
      <c r="X263" s="9">
        <f>STATS1003B!X275/1000</f>
        <v>500</v>
      </c>
      <c r="Y263" s="9">
        <f>STATS1003B!Y275/1000</f>
        <v>0</v>
      </c>
      <c r="Z263" s="9">
        <f>STATS1003B!Z275/1000</f>
        <v>0</v>
      </c>
      <c r="AA263" s="9">
        <f>STATS1003B!AA275/1000</f>
        <v>500</v>
      </c>
      <c r="AB263" s="9">
        <f>STATS1003B!AB275/1000</f>
        <v>0</v>
      </c>
    </row>
    <row r="264" spans="1:28" x14ac:dyDescent="0.35">
      <c r="A264" s="36"/>
      <c r="B264" s="8"/>
      <c r="C264" s="7" t="s">
        <v>550</v>
      </c>
      <c r="D264" s="8"/>
      <c r="E264" s="9">
        <f>STATS1003B!E277/1000</f>
        <v>390.84571999999997</v>
      </c>
      <c r="F264" s="9">
        <f>STATS1003B!F277/1000</f>
        <v>0</v>
      </c>
      <c r="G264" s="9">
        <f>STATS1003B!G277/1000</f>
        <v>0</v>
      </c>
      <c r="H264" s="9">
        <f>STATS1003B!H277/1000</f>
        <v>0</v>
      </c>
      <c r="I264" s="9">
        <f>STATS1003B!I277/1000</f>
        <v>0</v>
      </c>
      <c r="J264" s="9">
        <f>STATS1003B!J277/1000</f>
        <v>0</v>
      </c>
      <c r="K264" s="9">
        <f>STATS1003B!K277/1000</f>
        <v>390.84571999999997</v>
      </c>
      <c r="L264" s="9">
        <f>STATS1003B!L277/1000</f>
        <v>0</v>
      </c>
      <c r="M264" s="9">
        <f>STATS1003B!M277/1000</f>
        <v>0</v>
      </c>
      <c r="N264" s="9">
        <f>STATS1003B!N277/1000</f>
        <v>390.84571999999997</v>
      </c>
      <c r="O264" s="9">
        <f>STATS1003B!O277/1000</f>
        <v>0</v>
      </c>
      <c r="P264" s="9">
        <f>STATS1003B!P277/1000</f>
        <v>390.84571999999997</v>
      </c>
      <c r="Q264" s="9">
        <f>STATS1003B!Q277/1000</f>
        <v>0</v>
      </c>
      <c r="R264" s="9">
        <f>STATS1003B!R277/1000</f>
        <v>0</v>
      </c>
      <c r="S264" s="9">
        <f>STATS1003B!S277/1000</f>
        <v>0</v>
      </c>
      <c r="T264" s="9">
        <f>STATS1003B!T277/1000</f>
        <v>0</v>
      </c>
      <c r="U264" s="9">
        <f>STATS1003B!U277/1000</f>
        <v>390.84571999999997</v>
      </c>
      <c r="V264" s="9">
        <f>STATS1003B!V277/1000</f>
        <v>0</v>
      </c>
      <c r="W264" s="9">
        <f>STATS1003B!W277/1000</f>
        <v>0</v>
      </c>
      <c r="X264" s="9">
        <f>STATS1003B!X277/1000</f>
        <v>390.84571999999997</v>
      </c>
      <c r="Y264" s="9">
        <f>STATS1003B!Y277/1000</f>
        <v>0</v>
      </c>
      <c r="Z264" s="9">
        <f>STATS1003B!Z277/1000</f>
        <v>0</v>
      </c>
      <c r="AA264" s="9">
        <f>STATS1003B!AA277/1000</f>
        <v>390.84571999999997</v>
      </c>
      <c r="AB264" s="9">
        <f>STATS1003B!AB277/1000</f>
        <v>0</v>
      </c>
    </row>
    <row r="265" spans="1:28" x14ac:dyDescent="0.35">
      <c r="A265" s="36"/>
      <c r="B265" s="8"/>
      <c r="C265" s="7" t="s">
        <v>551</v>
      </c>
      <c r="D265" s="8"/>
      <c r="E265" s="9">
        <f>STATS1003B!E278/1000</f>
        <v>158.72300000000001</v>
      </c>
      <c r="F265" s="9">
        <f>STATS1003B!F278/1000</f>
        <v>158.72300000000001</v>
      </c>
      <c r="G265" s="9">
        <f>STATS1003B!G278/1000</f>
        <v>0</v>
      </c>
      <c r="H265" s="9">
        <f>STATS1003B!H278/1000</f>
        <v>158.72300000000001</v>
      </c>
      <c r="I265" s="9">
        <f>STATS1003B!I278/1000</f>
        <v>0</v>
      </c>
      <c r="J265" s="9">
        <f>STATS1003B!J278/1000</f>
        <v>158.72300000000001</v>
      </c>
      <c r="K265" s="9">
        <f>STATS1003B!K278/1000</f>
        <v>0</v>
      </c>
      <c r="L265" s="9">
        <f>STATS1003B!L278/1000</f>
        <v>0</v>
      </c>
      <c r="M265" s="9">
        <f>STATS1003B!M278/1000</f>
        <v>158.72300000000001</v>
      </c>
      <c r="N265" s="9">
        <f>STATS1003B!N278/1000</f>
        <v>0</v>
      </c>
      <c r="O265" s="9">
        <f>STATS1003B!O278/1000</f>
        <v>0</v>
      </c>
      <c r="P265" s="9">
        <f>STATS1003B!P278/1000</f>
        <v>0</v>
      </c>
      <c r="Q265" s="9">
        <f>STATS1003B!Q278/1000</f>
        <v>0</v>
      </c>
      <c r="R265" s="9">
        <f>STATS1003B!R278/1000</f>
        <v>0</v>
      </c>
      <c r="S265" s="9">
        <f>STATS1003B!S278/1000</f>
        <v>0</v>
      </c>
      <c r="T265" s="9">
        <f>STATS1003B!T278/1000</f>
        <v>0</v>
      </c>
      <c r="U265" s="9">
        <f>STATS1003B!U278/1000</f>
        <v>0</v>
      </c>
      <c r="V265" s="9">
        <f>STATS1003B!V278/1000</f>
        <v>0</v>
      </c>
      <c r="W265" s="9">
        <f>STATS1003B!W278/1000</f>
        <v>0</v>
      </c>
      <c r="X265" s="9">
        <f>STATS1003B!X278/1000</f>
        <v>158.72300000000001</v>
      </c>
      <c r="Y265" s="9">
        <f>STATS1003B!Y278/1000</f>
        <v>0</v>
      </c>
      <c r="Z265" s="9">
        <f>STATS1003B!Z278/1000</f>
        <v>0</v>
      </c>
      <c r="AA265" s="9">
        <f>STATS1003B!AA278/1000</f>
        <v>158.72300000000001</v>
      </c>
      <c r="AB265" s="9">
        <f>STATS1003B!AB278/1000</f>
        <v>0</v>
      </c>
    </row>
    <row r="266" spans="1:28" x14ac:dyDescent="0.35">
      <c r="A266" s="36"/>
      <c r="B266" s="8"/>
      <c r="C266" s="7" t="s">
        <v>543</v>
      </c>
      <c r="D266" s="8"/>
      <c r="E266" s="9">
        <f>STATS1003B!E279/1000</f>
        <v>2500</v>
      </c>
      <c r="F266" s="9">
        <f>STATS1003B!F279/1000</f>
        <v>2500</v>
      </c>
      <c r="G266" s="9">
        <f>STATS1003B!G279/1000</f>
        <v>0</v>
      </c>
      <c r="H266" s="9">
        <f>STATS1003B!H279/1000</f>
        <v>2500</v>
      </c>
      <c r="I266" s="9">
        <f>STATS1003B!I279/1000</f>
        <v>0</v>
      </c>
      <c r="J266" s="9">
        <f>STATS1003B!J279/1000</f>
        <v>2500</v>
      </c>
      <c r="K266" s="9">
        <f>STATS1003B!K279/1000</f>
        <v>0</v>
      </c>
      <c r="L266" s="9">
        <f>STATS1003B!L279/1000</f>
        <v>0</v>
      </c>
      <c r="M266" s="9">
        <f>STATS1003B!M279/1000</f>
        <v>2500</v>
      </c>
      <c r="N266" s="9">
        <f>STATS1003B!N279/1000</f>
        <v>0</v>
      </c>
      <c r="O266" s="9">
        <f>STATS1003B!O279/1000</f>
        <v>0</v>
      </c>
      <c r="P266" s="9">
        <f>STATS1003B!P279/1000</f>
        <v>0</v>
      </c>
      <c r="Q266" s="9">
        <f>STATS1003B!Q279/1000</f>
        <v>0</v>
      </c>
      <c r="R266" s="9">
        <f>STATS1003B!R279/1000</f>
        <v>0</v>
      </c>
      <c r="S266" s="9">
        <f>STATS1003B!S279/1000</f>
        <v>0</v>
      </c>
      <c r="T266" s="9">
        <f>STATS1003B!T279/1000</f>
        <v>0</v>
      </c>
      <c r="U266" s="9">
        <f>STATS1003B!U279/1000</f>
        <v>0</v>
      </c>
      <c r="V266" s="9">
        <f>STATS1003B!V279/1000</f>
        <v>0</v>
      </c>
      <c r="W266" s="9">
        <f>STATS1003B!W279/1000</f>
        <v>0</v>
      </c>
      <c r="X266" s="9">
        <f>STATS1003B!X279/1000</f>
        <v>2500</v>
      </c>
      <c r="Y266" s="9">
        <f>STATS1003B!Y279/1000</f>
        <v>0</v>
      </c>
      <c r="Z266" s="9">
        <f>STATS1003B!Z279/1000</f>
        <v>0</v>
      </c>
      <c r="AA266" s="9">
        <f>STATS1003B!AA279/1000</f>
        <v>2500</v>
      </c>
      <c r="AB266" s="9">
        <f>STATS1003B!AB279/1000</f>
        <v>0</v>
      </c>
    </row>
    <row r="267" spans="1:28" x14ac:dyDescent="0.35">
      <c r="A267" s="36"/>
      <c r="B267" s="8"/>
      <c r="C267" s="8"/>
      <c r="D267" s="8"/>
      <c r="E267" s="17" t="s">
        <v>29</v>
      </c>
      <c r="F267" s="17" t="s">
        <v>29</v>
      </c>
      <c r="G267" s="17" t="s">
        <v>29</v>
      </c>
      <c r="H267" s="17" t="s">
        <v>29</v>
      </c>
      <c r="I267" s="17" t="s">
        <v>29</v>
      </c>
      <c r="J267" s="17" t="s">
        <v>29</v>
      </c>
      <c r="K267" s="17" t="s">
        <v>29</v>
      </c>
      <c r="L267" s="17" t="s">
        <v>29</v>
      </c>
      <c r="M267" s="17" t="s">
        <v>29</v>
      </c>
      <c r="N267" s="17" t="s">
        <v>29</v>
      </c>
      <c r="O267" s="17" t="s">
        <v>29</v>
      </c>
      <c r="P267" s="17" t="s">
        <v>29</v>
      </c>
      <c r="Q267" s="17" t="s">
        <v>29</v>
      </c>
      <c r="R267" s="17" t="s">
        <v>29</v>
      </c>
      <c r="S267" s="17" t="s">
        <v>29</v>
      </c>
      <c r="T267" s="17" t="s">
        <v>29</v>
      </c>
      <c r="U267" s="17" t="s">
        <v>29</v>
      </c>
      <c r="V267" s="17" t="s">
        <v>29</v>
      </c>
      <c r="W267" s="17" t="s">
        <v>29</v>
      </c>
      <c r="X267" s="17" t="s">
        <v>29</v>
      </c>
      <c r="Y267" s="17" t="s">
        <v>29</v>
      </c>
      <c r="Z267" s="17" t="s">
        <v>29</v>
      </c>
      <c r="AA267" s="17" t="s">
        <v>29</v>
      </c>
      <c r="AB267" s="17" t="s">
        <v>29</v>
      </c>
    </row>
    <row r="268" spans="1:28" x14ac:dyDescent="0.35">
      <c r="A268" s="36"/>
      <c r="B268" s="8"/>
      <c r="C268" s="8"/>
      <c r="D268" s="8"/>
      <c r="E268" s="9">
        <f t="shared" ref="E268:Q268" si="14">SUM(E253:E267)</f>
        <v>34541.771510000006</v>
      </c>
      <c r="F268" s="9">
        <f t="shared" si="14"/>
        <v>16843.116999999998</v>
      </c>
      <c r="G268" s="9">
        <f t="shared" si="14"/>
        <v>0</v>
      </c>
      <c r="H268" s="9">
        <f t="shared" si="14"/>
        <v>16843.116999999998</v>
      </c>
      <c r="I268" s="9">
        <f t="shared" si="14"/>
        <v>965.65</v>
      </c>
      <c r="J268" s="9">
        <f t="shared" si="14"/>
        <v>17808.767</v>
      </c>
      <c r="K268" s="9">
        <f t="shared" si="14"/>
        <v>16488.864509999999</v>
      </c>
      <c r="L268" s="9">
        <f t="shared" si="14"/>
        <v>965.65</v>
      </c>
      <c r="M268" s="9">
        <f t="shared" si="14"/>
        <v>17808.767</v>
      </c>
      <c r="N268" s="9">
        <f t="shared" si="14"/>
        <v>16488.864509999999</v>
      </c>
      <c r="O268" s="9">
        <f t="shared" si="14"/>
        <v>0</v>
      </c>
      <c r="P268" s="9">
        <f t="shared" si="14"/>
        <v>16488.864509999999</v>
      </c>
      <c r="Q268" s="9">
        <f t="shared" si="14"/>
        <v>0</v>
      </c>
      <c r="R268" s="17"/>
      <c r="S268" s="17"/>
      <c r="T268" s="18">
        <v>0</v>
      </c>
      <c r="U268" s="18">
        <f>+P268+T268</f>
        <v>16488.864509999999</v>
      </c>
      <c r="V268" s="18"/>
      <c r="W268" s="18"/>
      <c r="X268" s="18">
        <f>SUM(X253:X266)</f>
        <v>33331.981510000005</v>
      </c>
      <c r="Y268" s="18"/>
      <c r="Z268" s="18">
        <f>+E268-X268</f>
        <v>1209.7900000000009</v>
      </c>
      <c r="AA268" s="18">
        <f>+F268-Y268</f>
        <v>16843.116999999998</v>
      </c>
      <c r="AB268" s="18">
        <f>SUM(AB253:AB266)</f>
        <v>244.14</v>
      </c>
    </row>
    <row r="269" spans="1:28" x14ac:dyDescent="0.35">
      <c r="A269" s="36"/>
      <c r="B269" s="8"/>
      <c r="C269" s="8"/>
      <c r="D269" s="8"/>
      <c r="E269" s="17" t="s">
        <v>29</v>
      </c>
      <c r="F269" s="17" t="s">
        <v>29</v>
      </c>
      <c r="G269" s="17" t="s">
        <v>29</v>
      </c>
      <c r="H269" s="17" t="s">
        <v>29</v>
      </c>
      <c r="I269" s="17" t="s">
        <v>29</v>
      </c>
      <c r="J269" s="17" t="s">
        <v>29</v>
      </c>
      <c r="K269" s="17" t="s">
        <v>29</v>
      </c>
      <c r="L269" s="17" t="s">
        <v>29</v>
      </c>
      <c r="M269" s="17" t="s">
        <v>29</v>
      </c>
      <c r="N269" s="17" t="s">
        <v>29</v>
      </c>
      <c r="O269" s="17" t="s">
        <v>29</v>
      </c>
      <c r="P269" s="17" t="s">
        <v>29</v>
      </c>
      <c r="Q269" s="17" t="s">
        <v>29</v>
      </c>
      <c r="R269" s="17" t="s">
        <v>29</v>
      </c>
      <c r="S269" s="17" t="s">
        <v>29</v>
      </c>
      <c r="T269" s="17" t="s">
        <v>29</v>
      </c>
      <c r="U269" s="17" t="s">
        <v>29</v>
      </c>
      <c r="V269" s="17" t="s">
        <v>29</v>
      </c>
      <c r="W269" s="17" t="s">
        <v>29</v>
      </c>
      <c r="X269" s="17" t="s">
        <v>29</v>
      </c>
      <c r="Y269" s="17" t="s">
        <v>29</v>
      </c>
      <c r="Z269" s="17" t="s">
        <v>29</v>
      </c>
      <c r="AA269" s="17" t="s">
        <v>29</v>
      </c>
      <c r="AB269" s="17" t="s">
        <v>29</v>
      </c>
    </row>
    <row r="270" spans="1:28" x14ac:dyDescent="0.35">
      <c r="A270" s="38" t="s">
        <v>947</v>
      </c>
      <c r="B270" s="7" t="s">
        <v>552</v>
      </c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17"/>
      <c r="S270" s="17"/>
      <c r="T270" s="18"/>
      <c r="U270" s="18"/>
      <c r="V270" s="18"/>
      <c r="W270" s="18"/>
      <c r="X270" s="18"/>
      <c r="Y270" s="18"/>
      <c r="Z270" s="18"/>
    </row>
    <row r="271" spans="1:28" x14ac:dyDescent="0.35">
      <c r="A271" s="36"/>
      <c r="B271" s="8"/>
      <c r="C271" s="7" t="s">
        <v>553</v>
      </c>
      <c r="D271" s="15" t="s">
        <v>150</v>
      </c>
      <c r="E271" s="9">
        <f>STATS1003B!E284/1000</f>
        <v>3215.2519600000001</v>
      </c>
      <c r="F271" s="9">
        <f>STATS1003B!F284/1000</f>
        <v>2405.2714900000001</v>
      </c>
      <c r="G271" s="9">
        <f>STATS1003B!G284/1000</f>
        <v>0</v>
      </c>
      <c r="H271" s="9">
        <f>STATS1003B!H284/1000</f>
        <v>2405.2714900000001</v>
      </c>
      <c r="I271" s="9">
        <f>STATS1003B!I284/1000</f>
        <v>0</v>
      </c>
      <c r="J271" s="9">
        <f>STATS1003B!J284/1000</f>
        <v>2405.2714900000001</v>
      </c>
      <c r="K271" s="9">
        <f>STATS1003B!K284/1000</f>
        <v>809.98046999999997</v>
      </c>
      <c r="L271" s="9">
        <f>STATS1003B!L284/1000</f>
        <v>0</v>
      </c>
      <c r="M271" s="9">
        <f>STATS1003B!M284/1000</f>
        <v>2405.2714900000001</v>
      </c>
      <c r="N271" s="9">
        <f>STATS1003B!N284/1000</f>
        <v>809.98046999999997</v>
      </c>
      <c r="O271" s="9">
        <f>STATS1003B!O284/1000</f>
        <v>0</v>
      </c>
      <c r="P271" s="9">
        <f>STATS1003B!P284/1000</f>
        <v>809.98046999999997</v>
      </c>
      <c r="Q271" s="9">
        <f>STATS1003B!Q284/1000</f>
        <v>0</v>
      </c>
      <c r="R271" s="9">
        <f>STATS1003B!R284/1000</f>
        <v>0</v>
      </c>
      <c r="S271" s="9">
        <f>STATS1003B!S284/1000</f>
        <v>0</v>
      </c>
      <c r="T271" s="9">
        <f>STATS1003B!T284/1000</f>
        <v>0</v>
      </c>
      <c r="U271" s="9">
        <f>STATS1003B!U284/1000</f>
        <v>809.98046999999997</v>
      </c>
      <c r="V271" s="9">
        <f>STATS1003B!V284/1000</f>
        <v>0</v>
      </c>
      <c r="W271" s="9">
        <f>STATS1003B!W284/1000</f>
        <v>0</v>
      </c>
      <c r="X271" s="9">
        <f>STATS1003B!X284/1000</f>
        <v>3215.2519600000001</v>
      </c>
      <c r="Y271" s="9">
        <f>STATS1003B!Y284/1000</f>
        <v>0</v>
      </c>
      <c r="Z271" s="9">
        <f>STATS1003B!Z284/1000</f>
        <v>0</v>
      </c>
      <c r="AA271" s="9">
        <f>STATS1003B!AA284/1000</f>
        <v>3215.2519600000001</v>
      </c>
      <c r="AB271" s="9">
        <f>STATS1003B!AB284/1000</f>
        <v>0</v>
      </c>
    </row>
    <row r="272" spans="1:28" x14ac:dyDescent="0.35">
      <c r="A272" s="36"/>
      <c r="B272" s="8"/>
      <c r="C272" s="7" t="s">
        <v>554</v>
      </c>
      <c r="D272" s="15" t="s">
        <v>150</v>
      </c>
      <c r="E272" s="9">
        <f>STATS1003B!E285/1000</f>
        <v>1306</v>
      </c>
      <c r="F272" s="9">
        <f>STATS1003B!F285/1000</f>
        <v>1268.5170000000001</v>
      </c>
      <c r="G272" s="9">
        <f>STATS1003B!G285/1000</f>
        <v>0</v>
      </c>
      <c r="H272" s="9">
        <f>STATS1003B!H285/1000</f>
        <v>1268.5170000000001</v>
      </c>
      <c r="I272" s="9">
        <f>STATS1003B!I285/1000</f>
        <v>0</v>
      </c>
      <c r="J272" s="9">
        <f>STATS1003B!J285/1000</f>
        <v>1268.5170000000001</v>
      </c>
      <c r="K272" s="9">
        <f>STATS1003B!K285/1000</f>
        <v>37.482999999999997</v>
      </c>
      <c r="L272" s="9">
        <f>STATS1003B!L285/1000</f>
        <v>0</v>
      </c>
      <c r="M272" s="9">
        <f>STATS1003B!M285/1000</f>
        <v>1268.5170000000001</v>
      </c>
      <c r="N272" s="9">
        <f>STATS1003B!N285/1000</f>
        <v>37.482999999999997</v>
      </c>
      <c r="O272" s="9">
        <f>STATS1003B!O285/1000</f>
        <v>0</v>
      </c>
      <c r="P272" s="9">
        <f>STATS1003B!P285/1000</f>
        <v>37.482999999999997</v>
      </c>
      <c r="Q272" s="9">
        <f>STATS1003B!Q285/1000</f>
        <v>0</v>
      </c>
      <c r="R272" s="9">
        <f>STATS1003B!R285/1000</f>
        <v>0</v>
      </c>
      <c r="S272" s="9">
        <f>STATS1003B!S285/1000</f>
        <v>0</v>
      </c>
      <c r="T272" s="9">
        <f>STATS1003B!T285/1000</f>
        <v>0</v>
      </c>
      <c r="U272" s="9">
        <f>STATS1003B!U285/1000</f>
        <v>37.482999999999997</v>
      </c>
      <c r="V272" s="9">
        <f>STATS1003B!V285/1000</f>
        <v>0</v>
      </c>
      <c r="W272" s="9">
        <f>STATS1003B!W285/1000</f>
        <v>0</v>
      </c>
      <c r="X272" s="9">
        <f>STATS1003B!X285/1000</f>
        <v>1306</v>
      </c>
      <c r="Y272" s="9">
        <f>STATS1003B!Y285/1000</f>
        <v>0</v>
      </c>
      <c r="Z272" s="9">
        <f>STATS1003B!Z285/1000</f>
        <v>0</v>
      </c>
      <c r="AA272" s="9">
        <f>STATS1003B!AA285/1000</f>
        <v>1306</v>
      </c>
      <c r="AB272" s="9">
        <f>STATS1003B!AB285/1000</f>
        <v>0</v>
      </c>
    </row>
    <row r="273" spans="1:28" x14ac:dyDescent="0.35">
      <c r="A273" s="36"/>
      <c r="B273" s="8"/>
      <c r="C273" s="7" t="s">
        <v>555</v>
      </c>
      <c r="D273" s="15" t="s">
        <v>166</v>
      </c>
      <c r="E273" s="9">
        <f>STATS1003B!E286/1000</f>
        <v>1700.4369999999999</v>
      </c>
      <c r="F273" s="9">
        <f>STATS1003B!F286/1000</f>
        <v>1700.4369999999999</v>
      </c>
      <c r="G273" s="9">
        <f>STATS1003B!G286/1000</f>
        <v>0</v>
      </c>
      <c r="H273" s="9">
        <f>STATS1003B!H286/1000</f>
        <v>1700.4369999999999</v>
      </c>
      <c r="I273" s="9">
        <f>STATS1003B!I286/1000</f>
        <v>0</v>
      </c>
      <c r="J273" s="9">
        <f>STATS1003B!J286/1000</f>
        <v>1700.4369999999999</v>
      </c>
      <c r="K273" s="9">
        <f>STATS1003B!K286/1000</f>
        <v>0</v>
      </c>
      <c r="L273" s="9">
        <f>STATS1003B!L286/1000</f>
        <v>0</v>
      </c>
      <c r="M273" s="9">
        <f>STATS1003B!M286/1000</f>
        <v>1700.4369999999999</v>
      </c>
      <c r="N273" s="9">
        <f>STATS1003B!N286/1000</f>
        <v>0</v>
      </c>
      <c r="O273" s="9">
        <f>STATS1003B!O286/1000</f>
        <v>0</v>
      </c>
      <c r="P273" s="9">
        <f>STATS1003B!P286/1000</f>
        <v>0</v>
      </c>
      <c r="Q273" s="9">
        <f>STATS1003B!Q286/1000</f>
        <v>0</v>
      </c>
      <c r="R273" s="9">
        <f>STATS1003B!R286/1000</f>
        <v>0</v>
      </c>
      <c r="S273" s="9">
        <f>STATS1003B!S286/1000</f>
        <v>0</v>
      </c>
      <c r="T273" s="9">
        <f>STATS1003B!T286/1000</f>
        <v>0</v>
      </c>
      <c r="U273" s="9">
        <f>STATS1003B!U286/1000</f>
        <v>0</v>
      </c>
      <c r="V273" s="9">
        <f>STATS1003B!V286/1000</f>
        <v>0</v>
      </c>
      <c r="W273" s="9">
        <f>STATS1003B!W286/1000</f>
        <v>0</v>
      </c>
      <c r="X273" s="9">
        <f>STATS1003B!X286/1000</f>
        <v>1700.4369999999999</v>
      </c>
      <c r="Y273" s="9">
        <f>STATS1003B!Y286/1000</f>
        <v>0</v>
      </c>
      <c r="Z273" s="9">
        <f>STATS1003B!Z286/1000</f>
        <v>0</v>
      </c>
      <c r="AA273" s="9">
        <f>STATS1003B!AA286/1000</f>
        <v>1700.4369999999999</v>
      </c>
      <c r="AB273" s="9">
        <f>STATS1003B!AB286/1000</f>
        <v>0</v>
      </c>
    </row>
    <row r="274" spans="1:28" x14ac:dyDescent="0.35">
      <c r="A274" s="36"/>
      <c r="B274" s="8"/>
      <c r="C274" s="7" t="s">
        <v>556</v>
      </c>
      <c r="D274" s="15" t="s">
        <v>166</v>
      </c>
      <c r="E274" s="9">
        <f>STATS1003B!E287/1000</f>
        <v>502.91800000000001</v>
      </c>
      <c r="F274" s="9">
        <f>STATS1003B!F287/1000</f>
        <v>502.91800000000001</v>
      </c>
      <c r="G274" s="9">
        <f>STATS1003B!G287/1000</f>
        <v>0</v>
      </c>
      <c r="H274" s="9">
        <f>STATS1003B!H287/1000</f>
        <v>502.91800000000001</v>
      </c>
      <c r="I274" s="9">
        <f>STATS1003B!I287/1000</f>
        <v>0</v>
      </c>
      <c r="J274" s="9">
        <f>STATS1003B!J287/1000</f>
        <v>502.91800000000001</v>
      </c>
      <c r="K274" s="9">
        <f>STATS1003B!K287/1000</f>
        <v>0</v>
      </c>
      <c r="L274" s="9">
        <f>STATS1003B!L287/1000</f>
        <v>0</v>
      </c>
      <c r="M274" s="9">
        <f>STATS1003B!M287/1000</f>
        <v>502.91800000000001</v>
      </c>
      <c r="N274" s="9">
        <f>STATS1003B!N287/1000</f>
        <v>0</v>
      </c>
      <c r="O274" s="9">
        <f>STATS1003B!O287/1000</f>
        <v>0</v>
      </c>
      <c r="P274" s="9">
        <f>STATS1003B!P287/1000</f>
        <v>0</v>
      </c>
      <c r="Q274" s="9">
        <f>STATS1003B!Q287/1000</f>
        <v>0</v>
      </c>
      <c r="R274" s="9">
        <f>STATS1003B!R287/1000</f>
        <v>0</v>
      </c>
      <c r="S274" s="9">
        <f>STATS1003B!S287/1000</f>
        <v>0</v>
      </c>
      <c r="T274" s="9">
        <f>STATS1003B!T287/1000</f>
        <v>0</v>
      </c>
      <c r="U274" s="9">
        <f>STATS1003B!U287/1000</f>
        <v>0</v>
      </c>
      <c r="V274" s="9">
        <f>STATS1003B!V287/1000</f>
        <v>0</v>
      </c>
      <c r="W274" s="9">
        <f>STATS1003B!W287/1000</f>
        <v>0</v>
      </c>
      <c r="X274" s="9">
        <f>STATS1003B!X287/1000</f>
        <v>502.91800000000001</v>
      </c>
      <c r="Y274" s="9">
        <f>STATS1003B!Y287/1000</f>
        <v>0</v>
      </c>
      <c r="Z274" s="9">
        <f>STATS1003B!Z287/1000</f>
        <v>0</v>
      </c>
      <c r="AA274" s="9">
        <f>STATS1003B!AA287/1000</f>
        <v>502.91800000000001</v>
      </c>
      <c r="AB274" s="9">
        <f>STATS1003B!AB287/1000</f>
        <v>0</v>
      </c>
    </row>
    <row r="275" spans="1:28" x14ac:dyDescent="0.35">
      <c r="A275" s="36"/>
      <c r="B275" s="8"/>
      <c r="C275" s="7" t="s">
        <v>535</v>
      </c>
      <c r="D275" s="15" t="s">
        <v>68</v>
      </c>
      <c r="E275" s="9">
        <f>STATS1003B!E288/1000</f>
        <v>1199.97783</v>
      </c>
      <c r="F275" s="9">
        <f>STATS1003B!F288/1000</f>
        <v>0</v>
      </c>
      <c r="G275" s="9">
        <f>STATS1003B!G288/1000</f>
        <v>0</v>
      </c>
      <c r="H275" s="9">
        <f>STATS1003B!H288/1000</f>
        <v>0</v>
      </c>
      <c r="I275" s="9">
        <f>STATS1003B!I288/1000</f>
        <v>0</v>
      </c>
      <c r="J275" s="9">
        <f>STATS1003B!J288/1000</f>
        <v>0</v>
      </c>
      <c r="K275" s="9">
        <f>STATS1003B!K288/1000</f>
        <v>1199.97783</v>
      </c>
      <c r="L275" s="9">
        <f>STATS1003B!L288/1000</f>
        <v>0</v>
      </c>
      <c r="M275" s="9">
        <f>STATS1003B!M288/1000</f>
        <v>0</v>
      </c>
      <c r="N275" s="9">
        <f>STATS1003B!N288/1000</f>
        <v>1199.97783</v>
      </c>
      <c r="O275" s="9">
        <f>STATS1003B!O288/1000</f>
        <v>0</v>
      </c>
      <c r="P275" s="9">
        <f>STATS1003B!P288/1000</f>
        <v>1199.97783</v>
      </c>
      <c r="Q275" s="9">
        <f>STATS1003B!Q288/1000</f>
        <v>0</v>
      </c>
      <c r="R275" s="9">
        <f>STATS1003B!R288/1000</f>
        <v>0</v>
      </c>
      <c r="S275" s="9">
        <f>STATS1003B!S288/1000</f>
        <v>0</v>
      </c>
      <c r="T275" s="9">
        <f>STATS1003B!T288/1000</f>
        <v>0</v>
      </c>
      <c r="U275" s="9">
        <f>STATS1003B!U288/1000</f>
        <v>1199.97783</v>
      </c>
      <c r="V275" s="9">
        <f>STATS1003B!V288/1000</f>
        <v>0</v>
      </c>
      <c r="W275" s="9">
        <f>STATS1003B!W288/1000</f>
        <v>0</v>
      </c>
      <c r="X275" s="9">
        <f>STATS1003B!X288/1000</f>
        <v>1199.97783</v>
      </c>
      <c r="Y275" s="9">
        <f>STATS1003B!Y288/1000</f>
        <v>0</v>
      </c>
      <c r="Z275" s="9">
        <f>STATS1003B!Z288/1000</f>
        <v>0</v>
      </c>
      <c r="AA275" s="9">
        <f>STATS1003B!AA288/1000</f>
        <v>1199.97783</v>
      </c>
      <c r="AB275" s="9">
        <f>STATS1003B!AB288/1000</f>
        <v>0</v>
      </c>
    </row>
    <row r="276" spans="1:28" x14ac:dyDescent="0.35">
      <c r="A276" s="36"/>
      <c r="B276" s="8"/>
      <c r="C276" s="7" t="s">
        <v>539</v>
      </c>
      <c r="D276" s="15" t="s">
        <v>68</v>
      </c>
      <c r="E276" s="9">
        <f>STATS1003B!E289/1000</f>
        <v>3141.7734999999998</v>
      </c>
      <c r="F276" s="9">
        <f>STATS1003B!F289/1000</f>
        <v>0</v>
      </c>
      <c r="G276" s="9">
        <f>STATS1003B!G289/1000</f>
        <v>0</v>
      </c>
      <c r="H276" s="9">
        <f>STATS1003B!H289/1000</f>
        <v>0</v>
      </c>
      <c r="I276" s="9">
        <f>STATS1003B!I289/1000</f>
        <v>0</v>
      </c>
      <c r="J276" s="9">
        <f>STATS1003B!J289/1000</f>
        <v>0</v>
      </c>
      <c r="K276" s="9">
        <f>STATS1003B!K289/1000</f>
        <v>3141.7734999999998</v>
      </c>
      <c r="L276" s="9">
        <f>STATS1003B!L289/1000</f>
        <v>0</v>
      </c>
      <c r="M276" s="9">
        <f>STATS1003B!M289/1000</f>
        <v>0</v>
      </c>
      <c r="N276" s="9">
        <f>STATS1003B!N289/1000</f>
        <v>3141.7734999999998</v>
      </c>
      <c r="O276" s="9">
        <f>STATS1003B!O289/1000</f>
        <v>0</v>
      </c>
      <c r="P276" s="9">
        <f>STATS1003B!P289/1000</f>
        <v>3141.7734999999998</v>
      </c>
      <c r="Q276" s="9">
        <f>STATS1003B!Q289/1000</f>
        <v>0</v>
      </c>
      <c r="R276" s="9">
        <f>STATS1003B!R289/1000</f>
        <v>0</v>
      </c>
      <c r="S276" s="9">
        <f>STATS1003B!S289/1000</f>
        <v>0</v>
      </c>
      <c r="T276" s="9">
        <f>STATS1003B!T289/1000</f>
        <v>0</v>
      </c>
      <c r="U276" s="9">
        <f>STATS1003B!U289/1000</f>
        <v>3141.7734999999998</v>
      </c>
      <c r="V276" s="9">
        <f>STATS1003B!V289/1000</f>
        <v>0</v>
      </c>
      <c r="W276" s="9">
        <f>STATS1003B!W289/1000</f>
        <v>0</v>
      </c>
      <c r="X276" s="9">
        <f>STATS1003B!X289/1000</f>
        <v>3141.7734999999998</v>
      </c>
      <c r="Y276" s="9">
        <f>STATS1003B!Y289/1000</f>
        <v>0</v>
      </c>
      <c r="Z276" s="9">
        <f>STATS1003B!Z289/1000</f>
        <v>0</v>
      </c>
      <c r="AA276" s="9">
        <f>STATS1003B!AA289/1000</f>
        <v>3141.7734999999998</v>
      </c>
      <c r="AB276" s="9">
        <f>STATS1003B!AB289/1000</f>
        <v>0</v>
      </c>
    </row>
    <row r="277" spans="1:28" x14ac:dyDescent="0.35">
      <c r="A277" s="36"/>
      <c r="B277" s="8"/>
      <c r="C277" s="7" t="s">
        <v>557</v>
      </c>
      <c r="D277" s="15" t="s">
        <v>68</v>
      </c>
      <c r="E277" s="9">
        <f>STATS1003B!E290/1000</f>
        <v>49.283999999999999</v>
      </c>
      <c r="F277" s="9">
        <f>STATS1003B!F290/1000</f>
        <v>49.283999999999999</v>
      </c>
      <c r="G277" s="9">
        <f>STATS1003B!G290/1000</f>
        <v>0</v>
      </c>
      <c r="H277" s="9">
        <f>STATS1003B!H290/1000</f>
        <v>49.283999999999999</v>
      </c>
      <c r="I277" s="9">
        <f>STATS1003B!I290/1000</f>
        <v>0</v>
      </c>
      <c r="J277" s="9">
        <f>STATS1003B!J290/1000</f>
        <v>49.283999999999999</v>
      </c>
      <c r="K277" s="9">
        <f>STATS1003B!K290/1000</f>
        <v>0</v>
      </c>
      <c r="L277" s="9">
        <f>STATS1003B!L290/1000</f>
        <v>0</v>
      </c>
      <c r="M277" s="9">
        <f>STATS1003B!M290/1000</f>
        <v>49.283999999999999</v>
      </c>
      <c r="N277" s="9">
        <f>STATS1003B!N290/1000</f>
        <v>0</v>
      </c>
      <c r="O277" s="9">
        <f>STATS1003B!O290/1000</f>
        <v>0</v>
      </c>
      <c r="P277" s="9">
        <f>STATS1003B!P290/1000</f>
        <v>0</v>
      </c>
      <c r="Q277" s="9">
        <f>STATS1003B!Q290/1000</f>
        <v>0</v>
      </c>
      <c r="R277" s="9">
        <f>STATS1003B!R290/1000</f>
        <v>0</v>
      </c>
      <c r="S277" s="9">
        <f>STATS1003B!S290/1000</f>
        <v>0</v>
      </c>
      <c r="T277" s="9">
        <f>STATS1003B!T290/1000</f>
        <v>0</v>
      </c>
      <c r="U277" s="9">
        <f>STATS1003B!U290/1000</f>
        <v>0</v>
      </c>
      <c r="V277" s="9">
        <f>STATS1003B!V290/1000</f>
        <v>0</v>
      </c>
      <c r="W277" s="9">
        <f>STATS1003B!W290/1000</f>
        <v>0</v>
      </c>
      <c r="X277" s="9">
        <f>STATS1003B!X290/1000</f>
        <v>49.283999999999999</v>
      </c>
      <c r="Y277" s="9">
        <f>STATS1003B!Y290/1000</f>
        <v>0</v>
      </c>
      <c r="Z277" s="9">
        <f>STATS1003B!Z290/1000</f>
        <v>0</v>
      </c>
      <c r="AA277" s="9">
        <f>STATS1003B!AA290/1000</f>
        <v>49.283999999999999</v>
      </c>
      <c r="AB277" s="9">
        <f>STATS1003B!AB290/1000</f>
        <v>0</v>
      </c>
    </row>
    <row r="278" spans="1:28" x14ac:dyDescent="0.35">
      <c r="A278" s="36"/>
      <c r="B278" s="8"/>
      <c r="C278" s="7" t="s">
        <v>558</v>
      </c>
      <c r="D278" s="15" t="s">
        <v>54</v>
      </c>
      <c r="E278" s="9">
        <f>STATS1003B!E291/1000</f>
        <v>4738.8565599999993</v>
      </c>
      <c r="F278" s="9">
        <f>STATS1003B!F291/1000</f>
        <v>4700.6241200000004</v>
      </c>
      <c r="G278" s="9">
        <f>STATS1003B!G291/1000</f>
        <v>0</v>
      </c>
      <c r="H278" s="9">
        <f>STATS1003B!H291/1000</f>
        <v>4700.6241200000004</v>
      </c>
      <c r="I278" s="9">
        <f>STATS1003B!I291/1000</f>
        <v>0</v>
      </c>
      <c r="J278" s="9">
        <f>STATS1003B!J291/1000</f>
        <v>4700.6241200000004</v>
      </c>
      <c r="K278" s="9">
        <f>STATS1003B!K291/1000</f>
        <v>38.232440000000004</v>
      </c>
      <c r="L278" s="9">
        <f>STATS1003B!L291/1000</f>
        <v>0</v>
      </c>
      <c r="M278" s="9">
        <f>STATS1003B!M291/1000</f>
        <v>4700.6241200000004</v>
      </c>
      <c r="N278" s="9">
        <f>STATS1003B!N291/1000</f>
        <v>38.232440000000004</v>
      </c>
      <c r="O278" s="9">
        <f>STATS1003B!O291/1000</f>
        <v>0</v>
      </c>
      <c r="P278" s="9">
        <f>STATS1003B!P291/1000</f>
        <v>38.232440000000004</v>
      </c>
      <c r="Q278" s="9">
        <f>STATS1003B!Q291/1000</f>
        <v>0</v>
      </c>
      <c r="R278" s="9">
        <f>STATS1003B!R291/1000</f>
        <v>0</v>
      </c>
      <c r="S278" s="9">
        <f>STATS1003B!S291/1000</f>
        <v>0</v>
      </c>
      <c r="T278" s="9">
        <f>STATS1003B!T291/1000</f>
        <v>0</v>
      </c>
      <c r="U278" s="9">
        <f>STATS1003B!U291/1000</f>
        <v>38.232440000000004</v>
      </c>
      <c r="V278" s="9">
        <f>STATS1003B!V291/1000</f>
        <v>0</v>
      </c>
      <c r="W278" s="9">
        <f>STATS1003B!W291/1000</f>
        <v>0</v>
      </c>
      <c r="X278" s="9">
        <f>STATS1003B!X291/1000</f>
        <v>4738.8565600000002</v>
      </c>
      <c r="Y278" s="9">
        <f>STATS1003B!Y291/1000</f>
        <v>0</v>
      </c>
      <c r="Z278" s="9">
        <f>STATS1003B!Z291/1000</f>
        <v>0</v>
      </c>
      <c r="AA278" s="9">
        <f>STATS1003B!AA291/1000</f>
        <v>4738.8565600000002</v>
      </c>
      <c r="AB278" s="9">
        <f>STATS1003B!AB291/1000</f>
        <v>0</v>
      </c>
    </row>
    <row r="279" spans="1:28" x14ac:dyDescent="0.35">
      <c r="A279" s="36"/>
      <c r="B279" s="8"/>
      <c r="C279" s="7" t="s">
        <v>535</v>
      </c>
      <c r="D279" s="15" t="s">
        <v>54</v>
      </c>
      <c r="E279" s="9">
        <f>STATS1003B!E292/1000</f>
        <v>481.36613</v>
      </c>
      <c r="F279" s="9">
        <f>STATS1003B!F292/1000</f>
        <v>481.36613</v>
      </c>
      <c r="G279" s="9">
        <f>STATS1003B!G292/1000</f>
        <v>0</v>
      </c>
      <c r="H279" s="9">
        <f>STATS1003B!H292/1000</f>
        <v>481.36613</v>
      </c>
      <c r="I279" s="9">
        <f>STATS1003B!I292/1000</f>
        <v>0</v>
      </c>
      <c r="J279" s="9">
        <f>STATS1003B!J292/1000</f>
        <v>481.36613</v>
      </c>
      <c r="K279" s="9">
        <f>STATS1003B!K292/1000</f>
        <v>0</v>
      </c>
      <c r="L279" s="9">
        <f>STATS1003B!L292/1000</f>
        <v>0</v>
      </c>
      <c r="M279" s="9">
        <f>STATS1003B!M292/1000</f>
        <v>481.36613</v>
      </c>
      <c r="N279" s="9">
        <f>STATS1003B!N292/1000</f>
        <v>0</v>
      </c>
      <c r="O279" s="9">
        <f>STATS1003B!O292/1000</f>
        <v>0</v>
      </c>
      <c r="P279" s="9">
        <f>STATS1003B!P292/1000</f>
        <v>0</v>
      </c>
      <c r="Q279" s="9">
        <f>STATS1003B!Q292/1000</f>
        <v>0</v>
      </c>
      <c r="R279" s="9">
        <f>STATS1003B!R292/1000</f>
        <v>0</v>
      </c>
      <c r="S279" s="9">
        <f>STATS1003B!S292/1000</f>
        <v>0</v>
      </c>
      <c r="T279" s="9">
        <f>STATS1003B!T292/1000</f>
        <v>0</v>
      </c>
      <c r="U279" s="9">
        <f>STATS1003B!U292/1000</f>
        <v>0</v>
      </c>
      <c r="V279" s="9">
        <f>STATS1003B!V292/1000</f>
        <v>0</v>
      </c>
      <c r="W279" s="9">
        <f>STATS1003B!W292/1000</f>
        <v>0</v>
      </c>
      <c r="X279" s="9">
        <f>STATS1003B!X292/1000</f>
        <v>481.36613</v>
      </c>
      <c r="Y279" s="9">
        <f>STATS1003B!Y292/1000</f>
        <v>0</v>
      </c>
      <c r="Z279" s="9">
        <f>STATS1003B!Z292/1000</f>
        <v>0</v>
      </c>
      <c r="AA279" s="9">
        <f>STATS1003B!AA292/1000</f>
        <v>481.36613</v>
      </c>
      <c r="AB279" s="9">
        <f>STATS1003B!AB292/1000</f>
        <v>0</v>
      </c>
    </row>
    <row r="280" spans="1:28" x14ac:dyDescent="0.35">
      <c r="A280" s="36"/>
      <c r="B280" s="8"/>
      <c r="C280" s="7" t="s">
        <v>545</v>
      </c>
      <c r="D280" s="15" t="s">
        <v>54</v>
      </c>
      <c r="E280" s="9">
        <f>STATS1003B!E293/1000</f>
        <v>1953.989</v>
      </c>
      <c r="F280" s="9">
        <f>STATS1003B!F293/1000</f>
        <v>0</v>
      </c>
      <c r="G280" s="9">
        <f>STATS1003B!G293/1000</f>
        <v>0</v>
      </c>
      <c r="H280" s="9">
        <f>STATS1003B!H293/1000</f>
        <v>0</v>
      </c>
      <c r="I280" s="9">
        <f>STATS1003B!I293/1000</f>
        <v>0</v>
      </c>
      <c r="J280" s="9">
        <f>STATS1003B!J293/1000</f>
        <v>0</v>
      </c>
      <c r="K280" s="9">
        <f>STATS1003B!K293/1000</f>
        <v>1953.989</v>
      </c>
      <c r="L280" s="9">
        <f>STATS1003B!L293/1000</f>
        <v>0</v>
      </c>
      <c r="M280" s="9">
        <f>STATS1003B!M293/1000</f>
        <v>0</v>
      </c>
      <c r="N280" s="9">
        <f>STATS1003B!N293/1000</f>
        <v>1953.989</v>
      </c>
      <c r="O280" s="9">
        <f>STATS1003B!O293/1000</f>
        <v>0</v>
      </c>
      <c r="P280" s="9">
        <f>STATS1003B!P293/1000</f>
        <v>1953.989</v>
      </c>
      <c r="Q280" s="9">
        <f>STATS1003B!Q293/1000</f>
        <v>0</v>
      </c>
      <c r="R280" s="9">
        <f>STATS1003B!R293/1000</f>
        <v>0</v>
      </c>
      <c r="S280" s="9">
        <f>STATS1003B!S293/1000</f>
        <v>0</v>
      </c>
      <c r="T280" s="9">
        <f>STATS1003B!T293/1000</f>
        <v>0</v>
      </c>
      <c r="U280" s="9">
        <f>STATS1003B!U293/1000</f>
        <v>1953.989</v>
      </c>
      <c r="V280" s="9">
        <f>STATS1003B!V293/1000</f>
        <v>0</v>
      </c>
      <c r="W280" s="9">
        <f>STATS1003B!W293/1000</f>
        <v>0</v>
      </c>
      <c r="X280" s="9">
        <f>STATS1003B!X293/1000</f>
        <v>1953.989</v>
      </c>
      <c r="Y280" s="9">
        <f>STATS1003B!Y293/1000</f>
        <v>0</v>
      </c>
      <c r="Z280" s="9">
        <f>STATS1003B!Z293/1000</f>
        <v>0</v>
      </c>
      <c r="AA280" s="9">
        <f>STATS1003B!AA293/1000</f>
        <v>1953.989</v>
      </c>
      <c r="AB280" s="9">
        <f>STATS1003B!AB293/1000</f>
        <v>0</v>
      </c>
    </row>
    <row r="281" spans="1:28" x14ac:dyDescent="0.35">
      <c r="A281" s="36"/>
      <c r="B281" s="8"/>
      <c r="C281" s="7" t="s">
        <v>558</v>
      </c>
      <c r="D281" s="15" t="s">
        <v>85</v>
      </c>
      <c r="E281" s="9">
        <f>STATS1003B!E294/1000</f>
        <v>3520</v>
      </c>
      <c r="F281" s="9">
        <f>STATS1003B!F294/1000</f>
        <v>3279.8</v>
      </c>
      <c r="G281" s="9">
        <f>STATS1003B!G294/1000</f>
        <v>0</v>
      </c>
      <c r="H281" s="9">
        <f>STATS1003B!H294/1000</f>
        <v>3279.8</v>
      </c>
      <c r="I281" s="9">
        <f>STATS1003B!I294/1000</f>
        <v>0</v>
      </c>
      <c r="J281" s="9">
        <f>STATS1003B!J294/1000</f>
        <v>3279.8</v>
      </c>
      <c r="K281" s="9">
        <f>STATS1003B!K294/1000</f>
        <v>2.5660799999999999</v>
      </c>
      <c r="L281" s="9">
        <f>STATS1003B!L294/1000</f>
        <v>0</v>
      </c>
      <c r="M281" s="9">
        <f>STATS1003B!M294/1000</f>
        <v>3279.8</v>
      </c>
      <c r="N281" s="9">
        <f>STATS1003B!N294/1000</f>
        <v>2.5660799999999999</v>
      </c>
      <c r="O281" s="9">
        <f>STATS1003B!O294/1000</f>
        <v>0</v>
      </c>
      <c r="P281" s="9">
        <f>STATS1003B!P294/1000</f>
        <v>2.5660799999999999</v>
      </c>
      <c r="Q281" s="9">
        <f>STATS1003B!Q294/1000</f>
        <v>0</v>
      </c>
      <c r="R281" s="9">
        <f>STATS1003B!R294/1000</f>
        <v>0</v>
      </c>
      <c r="S281" s="9">
        <f>STATS1003B!S294/1000</f>
        <v>0</v>
      </c>
      <c r="T281" s="9">
        <f>STATS1003B!T294/1000</f>
        <v>0</v>
      </c>
      <c r="U281" s="9">
        <f>STATS1003B!U294/1000</f>
        <v>2.5660799999999999</v>
      </c>
      <c r="V281" s="9">
        <f>STATS1003B!V294/1000</f>
        <v>0</v>
      </c>
      <c r="W281" s="9">
        <f>STATS1003B!W294/1000</f>
        <v>0</v>
      </c>
      <c r="X281" s="9">
        <f>STATS1003B!X294/1000</f>
        <v>3282.3660800000002</v>
      </c>
      <c r="Y281" s="9">
        <f>STATS1003B!Y294/1000</f>
        <v>0</v>
      </c>
      <c r="Z281" s="9">
        <f>STATS1003B!Z294/1000</f>
        <v>237.63391999999993</v>
      </c>
      <c r="AA281" s="9">
        <f>STATS1003B!AA294/1000</f>
        <v>3282.3660800000002</v>
      </c>
      <c r="AB281" s="9">
        <f>STATS1003B!AB294/1000</f>
        <v>237.63391999999993</v>
      </c>
    </row>
    <row r="282" spans="1:28" x14ac:dyDescent="0.35">
      <c r="A282" s="36"/>
      <c r="B282" s="8"/>
      <c r="C282" s="7" t="s">
        <v>558</v>
      </c>
      <c r="D282" s="15" t="s">
        <v>85</v>
      </c>
      <c r="E282" s="9">
        <f>STATS1003B!E295/1000</f>
        <v>480</v>
      </c>
      <c r="F282" s="9">
        <f>STATS1003B!F295/1000</f>
        <v>0</v>
      </c>
      <c r="G282" s="9">
        <f>STATS1003B!G295/1000</f>
        <v>0</v>
      </c>
      <c r="H282" s="9">
        <f>STATS1003B!H295/1000</f>
        <v>0</v>
      </c>
      <c r="I282" s="9">
        <f>STATS1003B!I295/1000</f>
        <v>0</v>
      </c>
      <c r="J282" s="9">
        <f>STATS1003B!J295/1000</f>
        <v>0</v>
      </c>
      <c r="K282" s="9">
        <f>STATS1003B!K295/1000</f>
        <v>0</v>
      </c>
      <c r="L282" s="9">
        <f>STATS1003B!L295/1000</f>
        <v>0</v>
      </c>
      <c r="M282" s="9">
        <f>STATS1003B!M295/1000</f>
        <v>0</v>
      </c>
      <c r="N282" s="9">
        <f>STATS1003B!N295/1000</f>
        <v>0</v>
      </c>
      <c r="O282" s="9">
        <f>STATS1003B!O295/1000</f>
        <v>0</v>
      </c>
      <c r="P282" s="9">
        <f>STATS1003B!P295/1000</f>
        <v>0</v>
      </c>
      <c r="Q282" s="9">
        <f>STATS1003B!Q295/1000</f>
        <v>0</v>
      </c>
      <c r="R282" s="9">
        <f>STATS1003B!R295/1000</f>
        <v>0</v>
      </c>
      <c r="S282" s="9">
        <f>STATS1003B!S295/1000</f>
        <v>0</v>
      </c>
      <c r="T282" s="9">
        <f>STATS1003B!T295/1000</f>
        <v>0</v>
      </c>
      <c r="U282" s="9">
        <f>STATS1003B!U295/1000</f>
        <v>0</v>
      </c>
      <c r="V282" s="9">
        <f>STATS1003B!V295/1000</f>
        <v>0</v>
      </c>
      <c r="W282" s="9">
        <f>STATS1003B!W295/1000</f>
        <v>0</v>
      </c>
      <c r="X282" s="9">
        <f>STATS1003B!X295/1000</f>
        <v>0</v>
      </c>
      <c r="Y282" s="9">
        <f>STATS1003B!Y295/1000</f>
        <v>0</v>
      </c>
      <c r="Z282" s="9">
        <f>STATS1003B!Z295/1000</f>
        <v>480</v>
      </c>
      <c r="AA282" s="9">
        <f>STATS1003B!AA295/1000</f>
        <v>0</v>
      </c>
      <c r="AB282" s="9">
        <f>STATS1003B!AB295/1000</f>
        <v>480</v>
      </c>
    </row>
    <row r="283" spans="1:28" x14ac:dyDescent="0.35">
      <c r="A283" s="36"/>
      <c r="B283" s="8"/>
      <c r="C283" s="7" t="s">
        <v>535</v>
      </c>
      <c r="D283" s="15" t="s">
        <v>128</v>
      </c>
      <c r="E283" s="9">
        <f>STATS1003B!E296/1000</f>
        <v>5377.1329999999998</v>
      </c>
      <c r="F283" s="9">
        <f>STATS1003B!F296/1000</f>
        <v>5377.1329999999998</v>
      </c>
      <c r="G283" s="9">
        <f>STATS1003B!G296/1000</f>
        <v>0</v>
      </c>
      <c r="H283" s="9">
        <f>STATS1003B!H296/1000</f>
        <v>5377.1329999999998</v>
      </c>
      <c r="I283" s="9">
        <f>STATS1003B!I296/1000</f>
        <v>0</v>
      </c>
      <c r="J283" s="9">
        <f>STATS1003B!J296/1000</f>
        <v>5377.1329999999998</v>
      </c>
      <c r="K283" s="9">
        <f>STATS1003B!K296/1000</f>
        <v>0</v>
      </c>
      <c r="L283" s="9">
        <f>STATS1003B!L296/1000</f>
        <v>0</v>
      </c>
      <c r="M283" s="9">
        <f>STATS1003B!M296/1000</f>
        <v>5377.1329999999998</v>
      </c>
      <c r="N283" s="9">
        <f>STATS1003B!N296/1000</f>
        <v>0</v>
      </c>
      <c r="O283" s="9">
        <f>STATS1003B!O296/1000</f>
        <v>0</v>
      </c>
      <c r="P283" s="9">
        <f>STATS1003B!P296/1000</f>
        <v>0</v>
      </c>
      <c r="Q283" s="9">
        <f>STATS1003B!Q296/1000</f>
        <v>0</v>
      </c>
      <c r="R283" s="9">
        <f>STATS1003B!R296/1000</f>
        <v>0</v>
      </c>
      <c r="S283" s="9">
        <f>STATS1003B!S296/1000</f>
        <v>0</v>
      </c>
      <c r="T283" s="9">
        <f>STATS1003B!T296/1000</f>
        <v>0</v>
      </c>
      <c r="U283" s="9">
        <f>STATS1003B!U296/1000</f>
        <v>0</v>
      </c>
      <c r="V283" s="9">
        <f>STATS1003B!V296/1000</f>
        <v>0</v>
      </c>
      <c r="W283" s="9">
        <f>STATS1003B!W296/1000</f>
        <v>0</v>
      </c>
      <c r="X283" s="9">
        <f>STATS1003B!X296/1000</f>
        <v>5377.1329999999998</v>
      </c>
      <c r="Y283" s="9">
        <f>STATS1003B!Y296/1000</f>
        <v>0</v>
      </c>
      <c r="Z283" s="9">
        <f>STATS1003B!Z296/1000</f>
        <v>0</v>
      </c>
      <c r="AA283" s="9">
        <f>STATS1003B!AA296/1000</f>
        <v>5377.1329999999998</v>
      </c>
      <c r="AB283" s="9">
        <f>STATS1003B!AB296/1000</f>
        <v>0</v>
      </c>
    </row>
    <row r="284" spans="1:28" x14ac:dyDescent="0.35">
      <c r="A284" s="36"/>
      <c r="B284" s="8"/>
      <c r="C284" s="7" t="s">
        <v>559</v>
      </c>
      <c r="D284" s="15" t="s">
        <v>128</v>
      </c>
      <c r="E284" s="9">
        <f>STATS1003B!E297/1000</f>
        <v>3500</v>
      </c>
      <c r="F284" s="9">
        <f>STATS1003B!F297/1000</f>
        <v>3500</v>
      </c>
      <c r="G284" s="9">
        <f>STATS1003B!G297/1000</f>
        <v>0</v>
      </c>
      <c r="H284" s="9">
        <f>STATS1003B!H297/1000</f>
        <v>3500</v>
      </c>
      <c r="I284" s="9">
        <f>STATS1003B!I297/1000</f>
        <v>0</v>
      </c>
      <c r="J284" s="9">
        <f>STATS1003B!J297/1000</f>
        <v>3500</v>
      </c>
      <c r="K284" s="9">
        <f>STATS1003B!K297/1000</f>
        <v>0</v>
      </c>
      <c r="L284" s="9">
        <f>STATS1003B!L297/1000</f>
        <v>0</v>
      </c>
      <c r="M284" s="9">
        <f>STATS1003B!M297/1000</f>
        <v>3500</v>
      </c>
      <c r="N284" s="9">
        <f>STATS1003B!N297/1000</f>
        <v>0</v>
      </c>
      <c r="O284" s="9">
        <f>STATS1003B!O297/1000</f>
        <v>0</v>
      </c>
      <c r="P284" s="9">
        <f>STATS1003B!P297/1000</f>
        <v>0</v>
      </c>
      <c r="Q284" s="9">
        <f>STATS1003B!Q297/1000</f>
        <v>0</v>
      </c>
      <c r="R284" s="9">
        <f>STATS1003B!R297/1000</f>
        <v>0</v>
      </c>
      <c r="S284" s="9">
        <f>STATS1003B!S297/1000</f>
        <v>0</v>
      </c>
      <c r="T284" s="9">
        <f>STATS1003B!T297/1000</f>
        <v>0</v>
      </c>
      <c r="U284" s="9">
        <f>STATS1003B!U297/1000</f>
        <v>0</v>
      </c>
      <c r="V284" s="9">
        <f>STATS1003B!V297/1000</f>
        <v>0</v>
      </c>
      <c r="W284" s="9">
        <f>STATS1003B!W297/1000</f>
        <v>0</v>
      </c>
      <c r="X284" s="9">
        <f>STATS1003B!X297/1000</f>
        <v>3500</v>
      </c>
      <c r="Y284" s="9">
        <f>STATS1003B!Y297/1000</f>
        <v>0</v>
      </c>
      <c r="Z284" s="9">
        <f>STATS1003B!Z297/1000</f>
        <v>0</v>
      </c>
      <c r="AA284" s="9">
        <f>STATS1003B!AA297/1000</f>
        <v>3500</v>
      </c>
      <c r="AB284" s="9">
        <f>STATS1003B!AB297/1000</f>
        <v>0</v>
      </c>
    </row>
    <row r="285" spans="1:28" x14ac:dyDescent="0.35">
      <c r="A285" s="36"/>
      <c r="B285" s="8"/>
      <c r="C285" s="7" t="s">
        <v>560</v>
      </c>
      <c r="D285" s="15" t="s">
        <v>128</v>
      </c>
      <c r="E285" s="9">
        <f>STATS1003B!E298/1000</f>
        <v>784.46</v>
      </c>
      <c r="F285" s="9">
        <f>STATS1003B!F298/1000</f>
        <v>784.46</v>
      </c>
      <c r="G285" s="9">
        <f>STATS1003B!G298/1000</f>
        <v>0</v>
      </c>
      <c r="H285" s="9">
        <f>STATS1003B!H298/1000</f>
        <v>784.46</v>
      </c>
      <c r="I285" s="9">
        <f>STATS1003B!I298/1000</f>
        <v>0</v>
      </c>
      <c r="J285" s="9">
        <f>STATS1003B!J298/1000</f>
        <v>784.46</v>
      </c>
      <c r="K285" s="9">
        <f>STATS1003B!K298/1000</f>
        <v>0</v>
      </c>
      <c r="L285" s="9">
        <f>STATS1003B!L298/1000</f>
        <v>0</v>
      </c>
      <c r="M285" s="9">
        <f>STATS1003B!M298/1000</f>
        <v>784.46</v>
      </c>
      <c r="N285" s="9">
        <f>STATS1003B!N298/1000</f>
        <v>0</v>
      </c>
      <c r="O285" s="9">
        <f>STATS1003B!O298/1000</f>
        <v>0</v>
      </c>
      <c r="P285" s="9">
        <f>STATS1003B!P298/1000</f>
        <v>0</v>
      </c>
      <c r="Q285" s="9">
        <f>STATS1003B!Q298/1000</f>
        <v>0</v>
      </c>
      <c r="R285" s="9">
        <f>STATS1003B!R298/1000</f>
        <v>0</v>
      </c>
      <c r="S285" s="9">
        <f>STATS1003B!S298/1000</f>
        <v>0</v>
      </c>
      <c r="T285" s="9">
        <f>STATS1003B!T298/1000</f>
        <v>0</v>
      </c>
      <c r="U285" s="9">
        <f>STATS1003B!U298/1000</f>
        <v>0</v>
      </c>
      <c r="V285" s="9">
        <f>STATS1003B!V298/1000</f>
        <v>0</v>
      </c>
      <c r="W285" s="9">
        <f>STATS1003B!W298/1000</f>
        <v>0</v>
      </c>
      <c r="X285" s="9">
        <f>STATS1003B!X298/1000</f>
        <v>784.46</v>
      </c>
      <c r="Y285" s="9">
        <f>STATS1003B!Y298/1000</f>
        <v>0</v>
      </c>
      <c r="Z285" s="9">
        <f>STATS1003B!Z298/1000</f>
        <v>0</v>
      </c>
      <c r="AA285" s="9">
        <f>STATS1003B!AA298/1000</f>
        <v>784.46</v>
      </c>
      <c r="AB285" s="9">
        <f>STATS1003B!AB298/1000</f>
        <v>0</v>
      </c>
    </row>
    <row r="286" spans="1:28" x14ac:dyDescent="0.35">
      <c r="A286" s="36"/>
      <c r="B286" s="8"/>
      <c r="C286" s="7" t="s">
        <v>558</v>
      </c>
      <c r="D286" s="15" t="s">
        <v>108</v>
      </c>
      <c r="E286" s="9">
        <f>STATS1003B!E299/1000</f>
        <v>717.63391999999999</v>
      </c>
      <c r="F286" s="9">
        <f>STATS1003B!F299/1000</f>
        <v>717.63391999999999</v>
      </c>
      <c r="G286" s="9">
        <f>STATS1003B!G299/1000</f>
        <v>0</v>
      </c>
      <c r="H286" s="9">
        <f>STATS1003B!H299/1000</f>
        <v>717.63391999999999</v>
      </c>
      <c r="I286" s="9">
        <f>STATS1003B!I299/1000</f>
        <v>0</v>
      </c>
      <c r="J286" s="9">
        <f>STATS1003B!J299/1000</f>
        <v>717.63391999999999</v>
      </c>
      <c r="K286" s="9">
        <f>STATS1003B!K299/1000</f>
        <v>0</v>
      </c>
      <c r="L286" s="9">
        <f>STATS1003B!L299/1000</f>
        <v>0</v>
      </c>
      <c r="M286" s="9">
        <f>STATS1003B!M299/1000</f>
        <v>717.63391999999999</v>
      </c>
      <c r="N286" s="9">
        <f>STATS1003B!N299/1000</f>
        <v>0</v>
      </c>
      <c r="O286" s="9">
        <f>STATS1003B!O299/1000</f>
        <v>0</v>
      </c>
      <c r="P286" s="9">
        <f>STATS1003B!P299/1000</f>
        <v>0</v>
      </c>
      <c r="Q286" s="9">
        <f>STATS1003B!Q299/1000</f>
        <v>0</v>
      </c>
      <c r="R286" s="9">
        <f>STATS1003B!R299/1000</f>
        <v>0</v>
      </c>
      <c r="S286" s="9">
        <f>STATS1003B!S299/1000</f>
        <v>0</v>
      </c>
      <c r="T286" s="9">
        <f>STATS1003B!T299/1000</f>
        <v>0</v>
      </c>
      <c r="U286" s="9">
        <f>STATS1003B!U299/1000</f>
        <v>0</v>
      </c>
      <c r="V286" s="9">
        <f>STATS1003B!V299/1000</f>
        <v>0</v>
      </c>
      <c r="W286" s="9">
        <f>STATS1003B!W299/1000</f>
        <v>0</v>
      </c>
      <c r="X286" s="9">
        <f>STATS1003B!X299/1000</f>
        <v>717.63391999999999</v>
      </c>
      <c r="Y286" s="9">
        <f>STATS1003B!Y299/1000</f>
        <v>0</v>
      </c>
      <c r="Z286" s="9">
        <f>STATS1003B!Z299/1000</f>
        <v>0</v>
      </c>
      <c r="AA286" s="9">
        <f>STATS1003B!AA299/1000</f>
        <v>717.63391999999999</v>
      </c>
      <c r="AB286" s="9">
        <f>STATS1003B!AB299/1000</f>
        <v>0</v>
      </c>
    </row>
    <row r="287" spans="1:28" x14ac:dyDescent="0.35">
      <c r="A287" s="36"/>
      <c r="B287" s="8"/>
      <c r="C287" s="7" t="s">
        <v>535</v>
      </c>
      <c r="D287" s="15" t="s">
        <v>108</v>
      </c>
      <c r="E287" s="9">
        <f>STATS1003B!E300/1000</f>
        <v>1507.7940000000001</v>
      </c>
      <c r="F287" s="9">
        <f>STATS1003B!F300/1000</f>
        <v>1507.7940000000001</v>
      </c>
      <c r="G287" s="9">
        <f>STATS1003B!G300/1000</f>
        <v>0</v>
      </c>
      <c r="H287" s="9">
        <f>STATS1003B!H300/1000</f>
        <v>1507.7940000000001</v>
      </c>
      <c r="I287" s="9">
        <f>STATS1003B!I300/1000</f>
        <v>0</v>
      </c>
      <c r="J287" s="9">
        <f>STATS1003B!J300/1000</f>
        <v>1507.7940000000001</v>
      </c>
      <c r="K287" s="9">
        <f>STATS1003B!K300/1000</f>
        <v>0</v>
      </c>
      <c r="L287" s="9">
        <f>STATS1003B!L300/1000</f>
        <v>0</v>
      </c>
      <c r="M287" s="9">
        <f>STATS1003B!M300/1000</f>
        <v>1507.7940000000001</v>
      </c>
      <c r="N287" s="9">
        <f>STATS1003B!N300/1000</f>
        <v>0</v>
      </c>
      <c r="O287" s="9">
        <f>STATS1003B!O300/1000</f>
        <v>0</v>
      </c>
      <c r="P287" s="9">
        <f>STATS1003B!P300/1000</f>
        <v>0</v>
      </c>
      <c r="Q287" s="9">
        <f>STATS1003B!Q300/1000</f>
        <v>0</v>
      </c>
      <c r="R287" s="9">
        <f>STATS1003B!R300/1000</f>
        <v>0</v>
      </c>
      <c r="S287" s="9">
        <f>STATS1003B!S300/1000</f>
        <v>0</v>
      </c>
      <c r="T287" s="9">
        <f>STATS1003B!T300/1000</f>
        <v>0</v>
      </c>
      <c r="U287" s="9">
        <f>STATS1003B!U300/1000</f>
        <v>0</v>
      </c>
      <c r="V287" s="9">
        <f>STATS1003B!V300/1000</f>
        <v>0</v>
      </c>
      <c r="W287" s="9">
        <f>STATS1003B!W300/1000</f>
        <v>0</v>
      </c>
      <c r="X287" s="9">
        <f>STATS1003B!X300/1000</f>
        <v>1507.7940000000001</v>
      </c>
      <c r="Y287" s="9">
        <f>STATS1003B!Y300/1000</f>
        <v>0</v>
      </c>
      <c r="Z287" s="9">
        <f>STATS1003B!Z300/1000</f>
        <v>0</v>
      </c>
      <c r="AA287" s="9">
        <f>STATS1003B!AA300/1000</f>
        <v>1507.7940000000001</v>
      </c>
      <c r="AB287" s="9">
        <f>STATS1003B!AB300/1000</f>
        <v>0</v>
      </c>
    </row>
    <row r="288" spans="1:28" x14ac:dyDescent="0.35">
      <c r="A288" s="36"/>
      <c r="B288" s="8"/>
      <c r="C288" s="7" t="s">
        <v>535</v>
      </c>
      <c r="D288" s="15" t="s">
        <v>58</v>
      </c>
      <c r="E288" s="9">
        <f>STATS1003B!E301/1000</f>
        <v>8962.7440000000006</v>
      </c>
      <c r="F288" s="9">
        <f>STATS1003B!F301/1000</f>
        <v>6488.9560000000001</v>
      </c>
      <c r="G288" s="9">
        <f>STATS1003B!G301/1000</f>
        <v>0</v>
      </c>
      <c r="H288" s="9">
        <f>STATS1003B!H301/1000</f>
        <v>6488.9560000000001</v>
      </c>
      <c r="I288" s="9">
        <f>STATS1003B!I301/1000</f>
        <v>2473.788</v>
      </c>
      <c r="J288" s="9">
        <f>STATS1003B!J301/1000</f>
        <v>8962.7440000000006</v>
      </c>
      <c r="K288" s="9">
        <f>STATS1003B!K301/1000</f>
        <v>0</v>
      </c>
      <c r="L288" s="9">
        <f>STATS1003B!L301/1000</f>
        <v>2473.788</v>
      </c>
      <c r="M288" s="9">
        <f>STATS1003B!M301/1000</f>
        <v>8962.7440000000006</v>
      </c>
      <c r="N288" s="9">
        <f>STATS1003B!N301/1000</f>
        <v>0</v>
      </c>
      <c r="O288" s="9">
        <f>STATS1003B!O301/1000</f>
        <v>0</v>
      </c>
      <c r="P288" s="9">
        <f>STATS1003B!P301/1000</f>
        <v>0</v>
      </c>
      <c r="Q288" s="9">
        <f>STATS1003B!Q301/1000</f>
        <v>0</v>
      </c>
      <c r="R288" s="9">
        <f>STATS1003B!R301/1000</f>
        <v>0</v>
      </c>
      <c r="S288" s="9">
        <f>STATS1003B!S301/1000</f>
        <v>0</v>
      </c>
      <c r="T288" s="9">
        <f>STATS1003B!T301/1000</f>
        <v>0</v>
      </c>
      <c r="U288" s="9">
        <f>STATS1003B!U301/1000</f>
        <v>0</v>
      </c>
      <c r="V288" s="9">
        <f>STATS1003B!V301/1000</f>
        <v>0</v>
      </c>
      <c r="W288" s="9">
        <f>STATS1003B!W301/1000</f>
        <v>0</v>
      </c>
      <c r="X288" s="9">
        <f>STATS1003B!X301/1000</f>
        <v>6488.9560000000001</v>
      </c>
      <c r="Y288" s="9">
        <f>STATS1003B!Y301/1000</f>
        <v>0</v>
      </c>
      <c r="Z288" s="9">
        <f>STATS1003B!Z301/1000</f>
        <v>2473.788</v>
      </c>
      <c r="AA288" s="9">
        <f>STATS1003B!AA301/1000</f>
        <v>8962.7440000000006</v>
      </c>
      <c r="AB288" s="9">
        <f>STATS1003B!AB301/1000</f>
        <v>0</v>
      </c>
    </row>
    <row r="289" spans="1:28" x14ac:dyDescent="0.35">
      <c r="A289" s="36"/>
      <c r="B289" s="8"/>
      <c r="C289" s="7" t="s">
        <v>535</v>
      </c>
      <c r="D289" s="15" t="s">
        <v>60</v>
      </c>
      <c r="E289" s="9">
        <f>STATS1003B!E302/1000</f>
        <v>1672.4090000000001</v>
      </c>
      <c r="F289" s="9">
        <f>STATS1003B!F302/1000</f>
        <v>1672.4090000000001</v>
      </c>
      <c r="G289" s="9">
        <f>STATS1003B!G302/1000</f>
        <v>0</v>
      </c>
      <c r="H289" s="9">
        <f>STATS1003B!H302/1000</f>
        <v>1672.4090000000001</v>
      </c>
      <c r="I289" s="9">
        <f>STATS1003B!I302/1000</f>
        <v>0</v>
      </c>
      <c r="J289" s="9">
        <f>STATS1003B!J302/1000</f>
        <v>1672.4090000000001</v>
      </c>
      <c r="K289" s="9">
        <f>STATS1003B!K302/1000</f>
        <v>0</v>
      </c>
      <c r="L289" s="9">
        <f>STATS1003B!L302/1000</f>
        <v>0</v>
      </c>
      <c r="M289" s="9">
        <f>STATS1003B!M302/1000</f>
        <v>1672.4090000000001</v>
      </c>
      <c r="N289" s="9">
        <f>STATS1003B!N302/1000</f>
        <v>0</v>
      </c>
      <c r="O289" s="9">
        <f>STATS1003B!O302/1000</f>
        <v>0</v>
      </c>
      <c r="P289" s="9">
        <f>STATS1003B!P302/1000</f>
        <v>0</v>
      </c>
      <c r="Q289" s="9">
        <f>STATS1003B!Q302/1000</f>
        <v>0</v>
      </c>
      <c r="R289" s="9">
        <f>STATS1003B!R302/1000</f>
        <v>0</v>
      </c>
      <c r="S289" s="9">
        <f>STATS1003B!S302/1000</f>
        <v>0</v>
      </c>
      <c r="T289" s="9">
        <f>STATS1003B!T302/1000</f>
        <v>0</v>
      </c>
      <c r="U289" s="9">
        <f>STATS1003B!U302/1000</f>
        <v>0</v>
      </c>
      <c r="V289" s="9">
        <f>STATS1003B!V302/1000</f>
        <v>0</v>
      </c>
      <c r="W289" s="9">
        <f>STATS1003B!W302/1000</f>
        <v>0</v>
      </c>
      <c r="X289" s="9">
        <f>STATS1003B!X302/1000</f>
        <v>1672.4090000000001</v>
      </c>
      <c r="Y289" s="9">
        <f>STATS1003B!Y302/1000</f>
        <v>0</v>
      </c>
      <c r="Z289" s="9">
        <f>STATS1003B!Z302/1000</f>
        <v>0</v>
      </c>
      <c r="AA289" s="9">
        <f>STATS1003B!AA302/1000</f>
        <v>1672.4090000000001</v>
      </c>
      <c r="AB289" s="9">
        <f>STATS1003B!AB302/1000</f>
        <v>0</v>
      </c>
    </row>
    <row r="290" spans="1:28" x14ac:dyDescent="0.35">
      <c r="A290" s="36"/>
      <c r="B290" s="8"/>
      <c r="C290" s="7" t="s">
        <v>561</v>
      </c>
      <c r="D290" s="15" t="s">
        <v>60</v>
      </c>
      <c r="E290" s="9">
        <f>STATS1003B!E303/1000</f>
        <v>1999.8525099999999</v>
      </c>
      <c r="F290" s="9">
        <f>STATS1003B!F303/1000</f>
        <v>1999.8525099999999</v>
      </c>
      <c r="G290" s="9">
        <f>STATS1003B!G303/1000</f>
        <v>0</v>
      </c>
      <c r="H290" s="9">
        <f>STATS1003B!H303/1000</f>
        <v>1999.8525099999999</v>
      </c>
      <c r="I290" s="9">
        <f>STATS1003B!I303/1000</f>
        <v>0</v>
      </c>
      <c r="J290" s="9">
        <f>STATS1003B!J303/1000</f>
        <v>1999.8525099999999</v>
      </c>
      <c r="K290" s="9">
        <f>STATS1003B!K303/1000</f>
        <v>0</v>
      </c>
      <c r="L290" s="9">
        <f>STATS1003B!L303/1000</f>
        <v>0</v>
      </c>
      <c r="M290" s="9">
        <f>STATS1003B!M303/1000</f>
        <v>1999.8525099999999</v>
      </c>
      <c r="N290" s="9">
        <f>STATS1003B!N303/1000</f>
        <v>0</v>
      </c>
      <c r="O290" s="9">
        <f>STATS1003B!O303/1000</f>
        <v>0</v>
      </c>
      <c r="P290" s="9">
        <f>STATS1003B!P303/1000</f>
        <v>0</v>
      </c>
      <c r="Q290" s="9">
        <f>STATS1003B!Q303/1000</f>
        <v>0</v>
      </c>
      <c r="R290" s="9">
        <f>STATS1003B!R303/1000</f>
        <v>0</v>
      </c>
      <c r="S290" s="9">
        <f>STATS1003B!S303/1000</f>
        <v>0</v>
      </c>
      <c r="T290" s="9">
        <f>STATS1003B!T303/1000</f>
        <v>0</v>
      </c>
      <c r="U290" s="9">
        <f>STATS1003B!U303/1000</f>
        <v>0</v>
      </c>
      <c r="V290" s="9">
        <f>STATS1003B!V303/1000</f>
        <v>0</v>
      </c>
      <c r="W290" s="9">
        <f>STATS1003B!W303/1000</f>
        <v>0</v>
      </c>
      <c r="X290" s="9">
        <f>STATS1003B!X303/1000</f>
        <v>1999.8525099999999</v>
      </c>
      <c r="Y290" s="9">
        <f>STATS1003B!Y303/1000</f>
        <v>0</v>
      </c>
      <c r="Z290" s="9">
        <f>STATS1003B!Z303/1000</f>
        <v>0</v>
      </c>
      <c r="AA290" s="9">
        <f>STATS1003B!AA303/1000</f>
        <v>1999.8525099999999</v>
      </c>
      <c r="AB290" s="9">
        <f>STATS1003B!AB303/1000</f>
        <v>0</v>
      </c>
    </row>
    <row r="291" spans="1:28" x14ac:dyDescent="0.35">
      <c r="A291" s="36"/>
      <c r="B291" s="8"/>
      <c r="C291" s="7" t="s">
        <v>535</v>
      </c>
      <c r="D291" s="15" t="s">
        <v>73</v>
      </c>
      <c r="E291" s="9">
        <f>STATS1003B!E304/1000</f>
        <v>4988</v>
      </c>
      <c r="F291" s="9">
        <f>STATS1003B!F304/1000</f>
        <v>4988</v>
      </c>
      <c r="G291" s="9">
        <f>STATS1003B!G304/1000</f>
        <v>0</v>
      </c>
      <c r="H291" s="9">
        <f>STATS1003B!H304/1000</f>
        <v>4988</v>
      </c>
      <c r="I291" s="9">
        <f>STATS1003B!I304/1000</f>
        <v>0</v>
      </c>
      <c r="J291" s="9">
        <f>STATS1003B!J304/1000</f>
        <v>4988</v>
      </c>
      <c r="K291" s="9">
        <f>STATS1003B!K304/1000</f>
        <v>0</v>
      </c>
      <c r="L291" s="9">
        <f>STATS1003B!L304/1000</f>
        <v>0</v>
      </c>
      <c r="M291" s="9">
        <f>STATS1003B!M304/1000</f>
        <v>4988</v>
      </c>
      <c r="N291" s="9">
        <f>STATS1003B!N304/1000</f>
        <v>0</v>
      </c>
      <c r="O291" s="9">
        <f>STATS1003B!O304/1000</f>
        <v>0</v>
      </c>
      <c r="P291" s="9">
        <f>STATS1003B!P304/1000</f>
        <v>0</v>
      </c>
      <c r="Q291" s="9">
        <f>STATS1003B!Q304/1000</f>
        <v>0</v>
      </c>
      <c r="R291" s="9">
        <f>STATS1003B!R304/1000</f>
        <v>0</v>
      </c>
      <c r="S291" s="9">
        <f>STATS1003B!S304/1000</f>
        <v>0</v>
      </c>
      <c r="T291" s="9">
        <f>STATS1003B!T304/1000</f>
        <v>0</v>
      </c>
      <c r="U291" s="9">
        <f>STATS1003B!U304/1000</f>
        <v>0</v>
      </c>
      <c r="V291" s="9">
        <f>STATS1003B!V304/1000</f>
        <v>0</v>
      </c>
      <c r="W291" s="9">
        <f>STATS1003B!W304/1000</f>
        <v>0</v>
      </c>
      <c r="X291" s="9">
        <f>STATS1003B!X304/1000</f>
        <v>4988</v>
      </c>
      <c r="Y291" s="9">
        <f>STATS1003B!Y304/1000</f>
        <v>0</v>
      </c>
      <c r="Z291" s="9">
        <f>STATS1003B!Z304/1000</f>
        <v>0</v>
      </c>
      <c r="AA291" s="9">
        <f>STATS1003B!AA304/1000</f>
        <v>4988</v>
      </c>
      <c r="AB291" s="9">
        <f>STATS1003B!AB304/1000</f>
        <v>0</v>
      </c>
    </row>
    <row r="292" spans="1:28" x14ac:dyDescent="0.35">
      <c r="A292" s="36"/>
      <c r="B292" s="8"/>
      <c r="C292" s="14" t="s">
        <v>549</v>
      </c>
      <c r="D292" s="21" t="s">
        <v>73</v>
      </c>
      <c r="E292" s="9">
        <f>STATS1003B!E305/1000</f>
        <v>500</v>
      </c>
      <c r="F292" s="9">
        <f>STATS1003B!F305/1000</f>
        <v>500</v>
      </c>
      <c r="G292" s="9">
        <f>STATS1003B!G305/1000</f>
        <v>0</v>
      </c>
      <c r="H292" s="9">
        <f>STATS1003B!H305/1000</f>
        <v>500</v>
      </c>
      <c r="I292" s="9">
        <f>STATS1003B!I305/1000</f>
        <v>0</v>
      </c>
      <c r="J292" s="9">
        <f>STATS1003B!J305/1000</f>
        <v>500</v>
      </c>
      <c r="K292" s="9">
        <f>STATS1003B!K305/1000</f>
        <v>0</v>
      </c>
      <c r="L292" s="9">
        <f>STATS1003B!L305/1000</f>
        <v>0</v>
      </c>
      <c r="M292" s="9">
        <f>STATS1003B!M305/1000</f>
        <v>500</v>
      </c>
      <c r="N292" s="9">
        <f>STATS1003B!N305/1000</f>
        <v>0</v>
      </c>
      <c r="O292" s="9">
        <f>STATS1003B!O305/1000</f>
        <v>0</v>
      </c>
      <c r="P292" s="9">
        <f>STATS1003B!P305/1000</f>
        <v>0</v>
      </c>
      <c r="Q292" s="9">
        <f>STATS1003B!Q305/1000</f>
        <v>0</v>
      </c>
      <c r="R292" s="9">
        <f>STATS1003B!R305/1000</f>
        <v>0</v>
      </c>
      <c r="S292" s="9">
        <f>STATS1003B!S305/1000</f>
        <v>0</v>
      </c>
      <c r="T292" s="9">
        <f>STATS1003B!T305/1000</f>
        <v>0</v>
      </c>
      <c r="U292" s="9">
        <f>STATS1003B!U305/1000</f>
        <v>0</v>
      </c>
      <c r="V292" s="9">
        <f>STATS1003B!V305/1000</f>
        <v>0</v>
      </c>
      <c r="W292" s="9">
        <f>STATS1003B!W305/1000</f>
        <v>0</v>
      </c>
      <c r="X292" s="9">
        <f>STATS1003B!X305/1000</f>
        <v>500</v>
      </c>
      <c r="Y292" s="9">
        <f>STATS1003B!Y305/1000</f>
        <v>0</v>
      </c>
      <c r="Z292" s="9">
        <f>STATS1003B!Z305/1000</f>
        <v>0</v>
      </c>
      <c r="AA292" s="9">
        <f>STATS1003B!AA305/1000</f>
        <v>500</v>
      </c>
      <c r="AB292" s="9">
        <f>STATS1003B!AB305/1000</f>
        <v>0</v>
      </c>
    </row>
    <row r="293" spans="1:28" x14ac:dyDescent="0.35">
      <c r="A293" s="36"/>
      <c r="B293" s="8"/>
      <c r="C293" s="7" t="s">
        <v>535</v>
      </c>
      <c r="D293" s="15" t="s">
        <v>61</v>
      </c>
      <c r="E293" s="9">
        <f>STATS1003B!E306/1000</f>
        <v>2042.03223</v>
      </c>
      <c r="F293" s="9">
        <f>STATS1003B!F306/1000</f>
        <v>2042.03223</v>
      </c>
      <c r="G293" s="9">
        <f>STATS1003B!G306/1000</f>
        <v>0</v>
      </c>
      <c r="H293" s="9">
        <f>STATS1003B!H306/1000</f>
        <v>2042.03223</v>
      </c>
      <c r="I293" s="9">
        <f>STATS1003B!I306/1000</f>
        <v>0</v>
      </c>
      <c r="J293" s="9">
        <f>STATS1003B!J306/1000</f>
        <v>2042.03223</v>
      </c>
      <c r="K293" s="9">
        <f>STATS1003B!K306/1000</f>
        <v>0</v>
      </c>
      <c r="L293" s="9">
        <f>STATS1003B!L306/1000</f>
        <v>0</v>
      </c>
      <c r="M293" s="9">
        <f>STATS1003B!M306/1000</f>
        <v>2042.03223</v>
      </c>
      <c r="N293" s="9">
        <f>STATS1003B!N306/1000</f>
        <v>0</v>
      </c>
      <c r="O293" s="9">
        <f>STATS1003B!O306/1000</f>
        <v>0</v>
      </c>
      <c r="P293" s="9">
        <f>STATS1003B!P306/1000</f>
        <v>0</v>
      </c>
      <c r="Q293" s="9">
        <f>STATS1003B!Q306/1000</f>
        <v>0</v>
      </c>
      <c r="R293" s="9">
        <f>STATS1003B!R306/1000</f>
        <v>0</v>
      </c>
      <c r="S293" s="9">
        <f>STATS1003B!S306/1000</f>
        <v>0</v>
      </c>
      <c r="T293" s="9">
        <f>STATS1003B!T306/1000</f>
        <v>0</v>
      </c>
      <c r="U293" s="9">
        <f>STATS1003B!U306/1000</f>
        <v>0</v>
      </c>
      <c r="V293" s="9">
        <f>STATS1003B!V306/1000</f>
        <v>0</v>
      </c>
      <c r="W293" s="9">
        <f>STATS1003B!W306/1000</f>
        <v>0</v>
      </c>
      <c r="X293" s="9">
        <f>STATS1003B!X306/1000</f>
        <v>2042.03223</v>
      </c>
      <c r="Y293" s="9">
        <f>STATS1003B!Y306/1000</f>
        <v>0</v>
      </c>
      <c r="Z293" s="9">
        <f>STATS1003B!Z306/1000</f>
        <v>0</v>
      </c>
      <c r="AA293" s="9">
        <f>STATS1003B!AA306/1000</f>
        <v>2042.03223</v>
      </c>
      <c r="AB293" s="9">
        <f>STATS1003B!AB306/1000</f>
        <v>0</v>
      </c>
    </row>
    <row r="294" spans="1:28" x14ac:dyDescent="0.35">
      <c r="A294" s="36"/>
      <c r="B294" s="8"/>
      <c r="C294" s="13" t="s">
        <v>933</v>
      </c>
      <c r="D294" s="16" t="s">
        <v>1072</v>
      </c>
      <c r="E294" s="9">
        <f>STATS1003B!E307/1000</f>
        <v>5307.5079599999999</v>
      </c>
      <c r="F294" s="9">
        <f>STATS1003B!F307/1000</f>
        <v>5307.5079599999999</v>
      </c>
      <c r="G294" s="9">
        <f>STATS1003B!G307/1000</f>
        <v>0</v>
      </c>
      <c r="H294" s="9">
        <f>STATS1003B!H307/1000</f>
        <v>5307.5079599999999</v>
      </c>
      <c r="I294" s="9">
        <f>STATS1003B!I307/1000</f>
        <v>0</v>
      </c>
      <c r="J294" s="9">
        <f>STATS1003B!J307/1000</f>
        <v>0</v>
      </c>
      <c r="K294" s="9">
        <f>STATS1003B!K307/1000</f>
        <v>0</v>
      </c>
      <c r="L294" s="9">
        <f>STATS1003B!L307/1000</f>
        <v>0</v>
      </c>
      <c r="M294" s="9">
        <f>STATS1003B!M307/1000</f>
        <v>5307.5079599999999</v>
      </c>
      <c r="N294" s="9">
        <f>STATS1003B!N307/1000</f>
        <v>0</v>
      </c>
      <c r="O294" s="9">
        <f>STATS1003B!O307/1000</f>
        <v>0</v>
      </c>
      <c r="P294" s="9">
        <f>STATS1003B!P307/1000</f>
        <v>0</v>
      </c>
      <c r="Q294" s="9">
        <f>STATS1003B!Q307/1000</f>
        <v>0</v>
      </c>
      <c r="R294" s="9">
        <f>STATS1003B!R307/1000</f>
        <v>0</v>
      </c>
      <c r="S294" s="9">
        <f>STATS1003B!S307/1000</f>
        <v>0</v>
      </c>
      <c r="T294" s="9">
        <f>STATS1003B!T307/1000</f>
        <v>0</v>
      </c>
      <c r="U294" s="9">
        <f>STATS1003B!U307/1000</f>
        <v>0</v>
      </c>
      <c r="V294" s="9">
        <f>STATS1003B!V307/1000</f>
        <v>0</v>
      </c>
      <c r="W294" s="9">
        <f>STATS1003B!W307/1000</f>
        <v>0</v>
      </c>
      <c r="X294" s="9">
        <f>STATS1003B!X307/1000</f>
        <v>5307.5079599999999</v>
      </c>
      <c r="Y294" s="9">
        <f>STATS1003B!Y307/1000</f>
        <v>0</v>
      </c>
      <c r="Z294" s="9">
        <f>STATS1003B!Z307/1000</f>
        <v>0</v>
      </c>
      <c r="AA294" s="9">
        <f>STATS1003B!AA307/1000</f>
        <v>5307.5079599999999</v>
      </c>
      <c r="AB294" s="9">
        <f>STATS1003B!AB307/1000</f>
        <v>0</v>
      </c>
    </row>
    <row r="295" spans="1:28" x14ac:dyDescent="0.35">
      <c r="A295" s="36"/>
      <c r="B295" s="8"/>
      <c r="C295" s="7" t="s">
        <v>550</v>
      </c>
      <c r="D295" s="8"/>
      <c r="E295" s="9">
        <f>STATS1003B!E309/1000</f>
        <v>306.92021999999997</v>
      </c>
      <c r="F295" s="9">
        <f>STATS1003B!F309/1000</f>
        <v>0</v>
      </c>
      <c r="G295" s="9">
        <f>STATS1003B!G309/1000</f>
        <v>0</v>
      </c>
      <c r="H295" s="9">
        <f>STATS1003B!H309/1000</f>
        <v>0</v>
      </c>
      <c r="I295" s="9">
        <f>STATS1003B!I309/1000</f>
        <v>0</v>
      </c>
      <c r="J295" s="9">
        <f>STATS1003B!J309/1000</f>
        <v>0</v>
      </c>
      <c r="K295" s="9">
        <f>STATS1003B!K309/1000</f>
        <v>306.92021999999997</v>
      </c>
      <c r="L295" s="9">
        <f>STATS1003B!L309/1000</f>
        <v>0</v>
      </c>
      <c r="M295" s="9">
        <f>STATS1003B!M309/1000</f>
        <v>0</v>
      </c>
      <c r="N295" s="9">
        <f>STATS1003B!N309/1000</f>
        <v>306.92021999999997</v>
      </c>
      <c r="O295" s="9">
        <f>STATS1003B!O309/1000</f>
        <v>0</v>
      </c>
      <c r="P295" s="9">
        <f>STATS1003B!P309/1000</f>
        <v>306.92021999999997</v>
      </c>
      <c r="Q295" s="9">
        <f>STATS1003B!Q309/1000</f>
        <v>0</v>
      </c>
      <c r="R295" s="9">
        <f>STATS1003B!R309/1000</f>
        <v>0</v>
      </c>
      <c r="S295" s="9">
        <f>STATS1003B!S309/1000</f>
        <v>0</v>
      </c>
      <c r="T295" s="9">
        <f>STATS1003B!T309/1000</f>
        <v>0</v>
      </c>
      <c r="U295" s="9">
        <f>STATS1003B!U309/1000</f>
        <v>306.92021999999997</v>
      </c>
      <c r="V295" s="9">
        <f>STATS1003B!V309/1000</f>
        <v>0</v>
      </c>
      <c r="W295" s="9">
        <f>STATS1003B!W309/1000</f>
        <v>0</v>
      </c>
      <c r="X295" s="9">
        <f>STATS1003B!X309/1000</f>
        <v>306.92021999999997</v>
      </c>
      <c r="Y295" s="9">
        <f>STATS1003B!Y309/1000</f>
        <v>0</v>
      </c>
      <c r="Z295" s="9">
        <f>STATS1003B!Z309/1000</f>
        <v>0</v>
      </c>
      <c r="AA295" s="9">
        <f>STATS1003B!AA309/1000</f>
        <v>306.92021999999997</v>
      </c>
      <c r="AB295" s="9">
        <f>STATS1003B!AB309/1000</f>
        <v>0</v>
      </c>
    </row>
    <row r="296" spans="1:28" x14ac:dyDescent="0.35">
      <c r="A296" s="36"/>
      <c r="B296" s="8"/>
      <c r="C296" s="7" t="s">
        <v>562</v>
      </c>
      <c r="D296" s="8"/>
      <c r="E296" s="9">
        <f>STATS1003B!E310/1000</f>
        <v>792.11599999999999</v>
      </c>
      <c r="F296" s="9">
        <f>STATS1003B!F310/1000</f>
        <v>792.11599999999999</v>
      </c>
      <c r="G296" s="9">
        <f>STATS1003B!G310/1000</f>
        <v>0</v>
      </c>
      <c r="H296" s="9">
        <f>STATS1003B!H310/1000</f>
        <v>792.11599999999999</v>
      </c>
      <c r="I296" s="9">
        <f>STATS1003B!I310/1000</f>
        <v>0</v>
      </c>
      <c r="J296" s="9">
        <f>STATS1003B!J310/1000</f>
        <v>792.11599999999999</v>
      </c>
      <c r="K296" s="9">
        <f>STATS1003B!K310/1000</f>
        <v>0</v>
      </c>
      <c r="L296" s="9">
        <f>STATS1003B!L310/1000</f>
        <v>0</v>
      </c>
      <c r="M296" s="9">
        <f>STATS1003B!M310/1000</f>
        <v>792.11599999999999</v>
      </c>
      <c r="N296" s="9">
        <f>STATS1003B!N310/1000</f>
        <v>0</v>
      </c>
      <c r="O296" s="9">
        <f>STATS1003B!O310/1000</f>
        <v>0</v>
      </c>
      <c r="P296" s="9">
        <f>STATS1003B!P310/1000</f>
        <v>0</v>
      </c>
      <c r="Q296" s="9">
        <f>STATS1003B!Q310/1000</f>
        <v>0</v>
      </c>
      <c r="R296" s="9">
        <f>STATS1003B!R310/1000</f>
        <v>0</v>
      </c>
      <c r="S296" s="9">
        <f>STATS1003B!S310/1000</f>
        <v>0</v>
      </c>
      <c r="T296" s="9">
        <f>STATS1003B!T310/1000</f>
        <v>0</v>
      </c>
      <c r="U296" s="9">
        <f>STATS1003B!U310/1000</f>
        <v>0</v>
      </c>
      <c r="V296" s="9">
        <f>STATS1003B!V310/1000</f>
        <v>0</v>
      </c>
      <c r="W296" s="9">
        <f>STATS1003B!W310/1000</f>
        <v>0</v>
      </c>
      <c r="X296" s="9">
        <f>STATS1003B!X310/1000</f>
        <v>792.11599999999999</v>
      </c>
      <c r="Y296" s="9">
        <f>STATS1003B!Y310/1000</f>
        <v>0</v>
      </c>
      <c r="Z296" s="9">
        <f>STATS1003B!Z310/1000</f>
        <v>0</v>
      </c>
      <c r="AA296" s="9">
        <f>STATS1003B!AA310/1000</f>
        <v>792.11599999999999</v>
      </c>
      <c r="AB296" s="9">
        <f>STATS1003B!AB310/1000</f>
        <v>0</v>
      </c>
    </row>
    <row r="297" spans="1:28" x14ac:dyDescent="0.35">
      <c r="A297" s="36"/>
      <c r="B297" s="8"/>
      <c r="C297" s="7" t="s">
        <v>543</v>
      </c>
      <c r="D297" s="8"/>
      <c r="E297" s="9">
        <f>STATS1003B!E311/1000</f>
        <v>7500</v>
      </c>
      <c r="F297" s="9">
        <f>STATS1003B!F311/1000</f>
        <v>7500</v>
      </c>
      <c r="G297" s="9">
        <f>STATS1003B!G311/1000</f>
        <v>0</v>
      </c>
      <c r="H297" s="9">
        <f>STATS1003B!H311/1000</f>
        <v>7500</v>
      </c>
      <c r="I297" s="9">
        <f>STATS1003B!I311/1000</f>
        <v>0</v>
      </c>
      <c r="J297" s="9">
        <f>STATS1003B!J311/1000</f>
        <v>7500</v>
      </c>
      <c r="K297" s="9">
        <f>STATS1003B!K311/1000</f>
        <v>0</v>
      </c>
      <c r="L297" s="9">
        <f>STATS1003B!L311/1000</f>
        <v>0</v>
      </c>
      <c r="M297" s="9">
        <f>STATS1003B!M311/1000</f>
        <v>7500</v>
      </c>
      <c r="N297" s="9">
        <f>STATS1003B!N311/1000</f>
        <v>0</v>
      </c>
      <c r="O297" s="9">
        <f>STATS1003B!O311/1000</f>
        <v>0</v>
      </c>
      <c r="P297" s="9">
        <f>STATS1003B!P311/1000</f>
        <v>0</v>
      </c>
      <c r="Q297" s="9">
        <f>STATS1003B!Q311/1000</f>
        <v>0</v>
      </c>
      <c r="R297" s="9">
        <f>STATS1003B!R311/1000</f>
        <v>0</v>
      </c>
      <c r="S297" s="9">
        <f>STATS1003B!S311/1000</f>
        <v>0</v>
      </c>
      <c r="T297" s="9">
        <f>STATS1003B!T311/1000</f>
        <v>0</v>
      </c>
      <c r="U297" s="9">
        <f>STATS1003B!U311/1000</f>
        <v>0</v>
      </c>
      <c r="V297" s="9">
        <f>STATS1003B!V311/1000</f>
        <v>0</v>
      </c>
      <c r="W297" s="9">
        <f>STATS1003B!W311/1000</f>
        <v>0</v>
      </c>
      <c r="X297" s="9">
        <f>STATS1003B!X311/1000</f>
        <v>7500</v>
      </c>
      <c r="Y297" s="9">
        <f>STATS1003B!Y311/1000</f>
        <v>0</v>
      </c>
      <c r="Z297" s="9">
        <f>STATS1003B!Z311/1000</f>
        <v>0</v>
      </c>
      <c r="AA297" s="9">
        <f>STATS1003B!AA311/1000</f>
        <v>7500</v>
      </c>
      <c r="AB297" s="9">
        <f>STATS1003B!AB311/1000</f>
        <v>0</v>
      </c>
    </row>
    <row r="298" spans="1:28" x14ac:dyDescent="0.35">
      <c r="A298" s="36"/>
      <c r="B298" s="8"/>
      <c r="C298" s="8"/>
      <c r="D298" s="8"/>
      <c r="E298" s="17" t="s">
        <v>29</v>
      </c>
      <c r="F298" s="17" t="s">
        <v>29</v>
      </c>
      <c r="G298" s="17" t="s">
        <v>29</v>
      </c>
      <c r="H298" s="17" t="s">
        <v>29</v>
      </c>
      <c r="I298" s="17" t="s">
        <v>29</v>
      </c>
      <c r="J298" s="17" t="s">
        <v>29</v>
      </c>
      <c r="K298" s="17" t="s">
        <v>29</v>
      </c>
      <c r="L298" s="17" t="s">
        <v>29</v>
      </c>
      <c r="M298" s="17" t="s">
        <v>29</v>
      </c>
      <c r="N298" s="17" t="s">
        <v>29</v>
      </c>
      <c r="O298" s="17" t="s">
        <v>29</v>
      </c>
      <c r="P298" s="17" t="s">
        <v>29</v>
      </c>
      <c r="Q298" s="17" t="s">
        <v>29</v>
      </c>
      <c r="R298" s="17" t="s">
        <v>29</v>
      </c>
      <c r="S298" s="17" t="s">
        <v>29</v>
      </c>
      <c r="T298" s="17" t="s">
        <v>29</v>
      </c>
      <c r="U298" s="17" t="s">
        <v>29</v>
      </c>
      <c r="V298" s="17" t="s">
        <v>29</v>
      </c>
      <c r="W298" s="17" t="s">
        <v>29</v>
      </c>
      <c r="X298" s="17" t="s">
        <v>29</v>
      </c>
      <c r="Y298" s="17" t="s">
        <v>29</v>
      </c>
      <c r="Z298" s="17" t="s">
        <v>29</v>
      </c>
      <c r="AA298" s="17" t="s">
        <v>29</v>
      </c>
      <c r="AB298" s="17" t="s">
        <v>29</v>
      </c>
    </row>
    <row r="299" spans="1:28" x14ac:dyDescent="0.35">
      <c r="A299" s="36"/>
      <c r="B299" s="8"/>
      <c r="C299" s="8"/>
      <c r="D299" s="8"/>
      <c r="E299" s="9">
        <f t="shared" ref="E299:Q299" si="15">SUM(E271:E298)</f>
        <v>68248.456819999992</v>
      </c>
      <c r="F299" s="9">
        <f t="shared" si="15"/>
        <v>57566.112359999999</v>
      </c>
      <c r="G299" s="9">
        <f t="shared" si="15"/>
        <v>0</v>
      </c>
      <c r="H299" s="9">
        <f t="shared" si="15"/>
        <v>57566.112359999999</v>
      </c>
      <c r="I299" s="9">
        <f t="shared" si="15"/>
        <v>2473.788</v>
      </c>
      <c r="J299" s="9">
        <f t="shared" si="15"/>
        <v>54732.392399999997</v>
      </c>
      <c r="K299" s="9">
        <f t="shared" si="15"/>
        <v>7490.9225399999987</v>
      </c>
      <c r="L299" s="9">
        <f t="shared" si="15"/>
        <v>2473.788</v>
      </c>
      <c r="M299" s="9">
        <f t="shared" si="15"/>
        <v>60039.90036</v>
      </c>
      <c r="N299" s="9">
        <f t="shared" si="15"/>
        <v>7490.9225399999987</v>
      </c>
      <c r="O299" s="9">
        <f t="shared" si="15"/>
        <v>0</v>
      </c>
      <c r="P299" s="9">
        <f t="shared" si="15"/>
        <v>7490.9225399999987</v>
      </c>
      <c r="Q299" s="9">
        <f t="shared" si="15"/>
        <v>0</v>
      </c>
      <c r="R299" s="17"/>
      <c r="S299" s="17"/>
      <c r="T299" s="9">
        <f t="shared" ref="T299:Z299" si="16">SUM(T271:T298)</f>
        <v>0</v>
      </c>
      <c r="U299" s="9">
        <f t="shared" si="16"/>
        <v>7490.9225399999987</v>
      </c>
      <c r="V299" s="9">
        <f t="shared" si="16"/>
        <v>0</v>
      </c>
      <c r="W299" s="9">
        <f t="shared" si="16"/>
        <v>0</v>
      </c>
      <c r="X299" s="9">
        <f t="shared" si="16"/>
        <v>65057.034899999999</v>
      </c>
      <c r="Y299" s="9">
        <f t="shared" si="16"/>
        <v>0</v>
      </c>
      <c r="Z299" s="9">
        <f t="shared" si="16"/>
        <v>3191.4219199999998</v>
      </c>
      <c r="AA299" s="9">
        <f>SUM(AA271:AA298)</f>
        <v>67530.822899999999</v>
      </c>
      <c r="AB299" s="9">
        <f>SUM(AB271:AB298)</f>
        <v>717.63391999999999</v>
      </c>
    </row>
    <row r="300" spans="1:28" x14ac:dyDescent="0.35">
      <c r="A300" s="36"/>
      <c r="B300" s="8"/>
      <c r="C300" s="8"/>
      <c r="D300" s="8"/>
      <c r="E300" s="17" t="s">
        <v>29</v>
      </c>
      <c r="F300" s="17" t="s">
        <v>29</v>
      </c>
      <c r="G300" s="17" t="s">
        <v>29</v>
      </c>
      <c r="H300" s="17" t="s">
        <v>29</v>
      </c>
      <c r="I300" s="17" t="s">
        <v>29</v>
      </c>
      <c r="J300" s="17" t="s">
        <v>29</v>
      </c>
      <c r="K300" s="17" t="s">
        <v>29</v>
      </c>
      <c r="L300" s="17" t="s">
        <v>29</v>
      </c>
      <c r="M300" s="17" t="s">
        <v>29</v>
      </c>
      <c r="N300" s="17" t="s">
        <v>29</v>
      </c>
      <c r="O300" s="17" t="s">
        <v>29</v>
      </c>
      <c r="P300" s="17" t="s">
        <v>29</v>
      </c>
      <c r="Q300" s="17" t="s">
        <v>29</v>
      </c>
      <c r="R300" s="17" t="s">
        <v>29</v>
      </c>
      <c r="S300" s="17" t="s">
        <v>29</v>
      </c>
      <c r="T300" s="17" t="s">
        <v>29</v>
      </c>
      <c r="U300" s="17" t="s">
        <v>29</v>
      </c>
      <c r="V300" s="17" t="s">
        <v>29</v>
      </c>
      <c r="W300" s="17" t="s">
        <v>29</v>
      </c>
      <c r="X300" s="17" t="s">
        <v>29</v>
      </c>
      <c r="Y300" s="17" t="s">
        <v>29</v>
      </c>
      <c r="Z300" s="17" t="s">
        <v>29</v>
      </c>
      <c r="AA300" s="17" t="s">
        <v>29</v>
      </c>
      <c r="AB300" s="17" t="s">
        <v>29</v>
      </c>
    </row>
    <row r="301" spans="1:28" x14ac:dyDescent="0.35">
      <c r="A301" s="38" t="s">
        <v>948</v>
      </c>
      <c r="B301" s="7" t="s">
        <v>563</v>
      </c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17"/>
      <c r="S301" s="17"/>
      <c r="T301" s="25"/>
      <c r="U301" s="25"/>
      <c r="V301" s="25"/>
      <c r="W301" s="25"/>
      <c r="X301" s="25"/>
      <c r="Y301" s="25"/>
      <c r="Z301" s="25"/>
    </row>
    <row r="302" spans="1:28" x14ac:dyDescent="0.35">
      <c r="A302" s="36"/>
      <c r="B302" s="8"/>
      <c r="C302" s="7" t="s">
        <v>564</v>
      </c>
      <c r="D302" s="15" t="s">
        <v>76</v>
      </c>
      <c r="E302" s="9">
        <f>STATS1003B!E316/1000</f>
        <v>537</v>
      </c>
      <c r="F302" s="9">
        <f>STATS1003B!F316/1000</f>
        <v>0</v>
      </c>
      <c r="G302" s="9">
        <f>STATS1003B!G316/1000</f>
        <v>0</v>
      </c>
      <c r="H302" s="9">
        <f>STATS1003B!H316/1000</f>
        <v>0</v>
      </c>
      <c r="I302" s="9">
        <f>STATS1003B!I316/1000</f>
        <v>0</v>
      </c>
      <c r="J302" s="9">
        <f>STATS1003B!J316/1000</f>
        <v>0</v>
      </c>
      <c r="K302" s="9">
        <f>STATS1003B!K316/1000</f>
        <v>172.89044000000001</v>
      </c>
      <c r="L302" s="9">
        <f>STATS1003B!L316/1000</f>
        <v>0</v>
      </c>
      <c r="M302" s="9">
        <f>STATS1003B!M316/1000</f>
        <v>0</v>
      </c>
      <c r="N302" s="9">
        <f>STATS1003B!N316/1000</f>
        <v>172.89044000000001</v>
      </c>
      <c r="O302" s="9">
        <f>STATS1003B!O316/1000</f>
        <v>0</v>
      </c>
      <c r="P302" s="9">
        <f>STATS1003B!P316/1000</f>
        <v>172.89044000000001</v>
      </c>
      <c r="Q302" s="9">
        <f>STATS1003B!Q316/1000</f>
        <v>0</v>
      </c>
      <c r="R302" s="9">
        <f>STATS1003B!R316/1000</f>
        <v>0</v>
      </c>
      <c r="S302" s="9">
        <f>STATS1003B!S316/1000</f>
        <v>0</v>
      </c>
      <c r="T302" s="9">
        <f>STATS1003B!T316/1000</f>
        <v>0</v>
      </c>
      <c r="U302" s="9">
        <f>STATS1003B!U316/1000</f>
        <v>172.89044000000001</v>
      </c>
      <c r="V302" s="9">
        <f>STATS1003B!V316/1000</f>
        <v>0</v>
      </c>
      <c r="W302" s="9">
        <f>STATS1003B!W316/1000</f>
        <v>0</v>
      </c>
      <c r="X302" s="9">
        <f>STATS1003B!X316/1000</f>
        <v>172.89044000000001</v>
      </c>
      <c r="Y302" s="9">
        <f>STATS1003B!Y316/1000</f>
        <v>0</v>
      </c>
      <c r="Z302" s="9">
        <f>STATS1003B!Z316/1000</f>
        <v>364.10955999999999</v>
      </c>
      <c r="AA302" s="9">
        <f>STATS1003B!AA316/1000</f>
        <v>172.89044000000001</v>
      </c>
      <c r="AB302" s="9">
        <f>STATS1003B!AB316/1000</f>
        <v>364.10955999999999</v>
      </c>
    </row>
    <row r="303" spans="1:28" x14ac:dyDescent="0.35">
      <c r="A303" s="36"/>
      <c r="B303" s="8"/>
      <c r="C303" s="7" t="s">
        <v>565</v>
      </c>
      <c r="D303" s="15" t="s">
        <v>150</v>
      </c>
      <c r="E303" s="9">
        <f>STATS1003B!E317/1000</f>
        <v>1088.77711</v>
      </c>
      <c r="F303" s="9">
        <f>STATS1003B!F317/1000</f>
        <v>519.4216100000001</v>
      </c>
      <c r="G303" s="9">
        <f>STATS1003B!G317/1000</f>
        <v>0</v>
      </c>
      <c r="H303" s="9">
        <f>STATS1003B!H317/1000</f>
        <v>519.4216100000001</v>
      </c>
      <c r="I303" s="9">
        <f>STATS1003B!I317/1000</f>
        <v>0</v>
      </c>
      <c r="J303" s="9">
        <f>STATS1003B!J317/1000</f>
        <v>519.4216100000001</v>
      </c>
      <c r="K303" s="9">
        <f>STATS1003B!K317/1000</f>
        <v>569.35550000000001</v>
      </c>
      <c r="L303" s="9">
        <f>STATS1003B!L317/1000</f>
        <v>0</v>
      </c>
      <c r="M303" s="9">
        <f>STATS1003B!M317/1000</f>
        <v>519.4216100000001</v>
      </c>
      <c r="N303" s="9">
        <f>STATS1003B!N317/1000</f>
        <v>569.35550000000001</v>
      </c>
      <c r="O303" s="9">
        <f>STATS1003B!O317/1000</f>
        <v>0</v>
      </c>
      <c r="P303" s="9">
        <f>STATS1003B!P317/1000</f>
        <v>569.35550000000001</v>
      </c>
      <c r="Q303" s="9">
        <f>STATS1003B!Q317/1000</f>
        <v>0</v>
      </c>
      <c r="R303" s="9">
        <f>STATS1003B!R317/1000</f>
        <v>0</v>
      </c>
      <c r="S303" s="9">
        <f>STATS1003B!S317/1000</f>
        <v>0</v>
      </c>
      <c r="T303" s="9">
        <f>STATS1003B!T317/1000</f>
        <v>0</v>
      </c>
      <c r="U303" s="9">
        <f>STATS1003B!U317/1000</f>
        <v>569.35550000000001</v>
      </c>
      <c r="V303" s="9">
        <f>STATS1003B!V317/1000</f>
        <v>0</v>
      </c>
      <c r="W303" s="9">
        <f>STATS1003B!W317/1000</f>
        <v>0</v>
      </c>
      <c r="X303" s="9">
        <f>STATS1003B!X317/1000</f>
        <v>1088.77711</v>
      </c>
      <c r="Y303" s="9">
        <f>STATS1003B!Y317/1000</f>
        <v>0</v>
      </c>
      <c r="Z303" s="9">
        <f>STATS1003B!Z317/1000</f>
        <v>0</v>
      </c>
      <c r="AA303" s="9">
        <f>STATS1003B!AA317/1000</f>
        <v>1088.77711</v>
      </c>
      <c r="AB303" s="9">
        <f>STATS1003B!AB317/1000</f>
        <v>0</v>
      </c>
    </row>
    <row r="304" spans="1:28" x14ac:dyDescent="0.35">
      <c r="A304" s="36"/>
      <c r="B304" s="8"/>
      <c r="C304" s="7" t="s">
        <v>539</v>
      </c>
      <c r="D304" s="15" t="s">
        <v>68</v>
      </c>
      <c r="E304" s="9">
        <f>STATS1003B!E318/1000</f>
        <v>4462.9641999999994</v>
      </c>
      <c r="F304" s="9">
        <f>STATS1003B!F318/1000</f>
        <v>0</v>
      </c>
      <c r="G304" s="9">
        <f>STATS1003B!G318/1000</f>
        <v>0</v>
      </c>
      <c r="H304" s="9">
        <f>STATS1003B!H318/1000</f>
        <v>0</v>
      </c>
      <c r="I304" s="9">
        <f>STATS1003B!I318/1000</f>
        <v>0</v>
      </c>
      <c r="J304" s="9">
        <f>STATS1003B!J318/1000</f>
        <v>0</v>
      </c>
      <c r="K304" s="9">
        <f>STATS1003B!K318/1000</f>
        <v>4462.9642000000003</v>
      </c>
      <c r="L304" s="9">
        <f>STATS1003B!L318/1000</f>
        <v>0</v>
      </c>
      <c r="M304" s="9">
        <f>STATS1003B!M318/1000</f>
        <v>0</v>
      </c>
      <c r="N304" s="9">
        <f>STATS1003B!N318/1000</f>
        <v>4462.9642000000003</v>
      </c>
      <c r="O304" s="9">
        <f>STATS1003B!O318/1000</f>
        <v>0</v>
      </c>
      <c r="P304" s="9">
        <f>STATS1003B!P318/1000</f>
        <v>4462.9642000000003</v>
      </c>
      <c r="Q304" s="9">
        <f>STATS1003B!Q318/1000</f>
        <v>0</v>
      </c>
      <c r="R304" s="9">
        <f>STATS1003B!R318/1000</f>
        <v>0</v>
      </c>
      <c r="S304" s="9">
        <f>STATS1003B!S318/1000</f>
        <v>0</v>
      </c>
      <c r="T304" s="9">
        <f>STATS1003B!T318/1000</f>
        <v>0</v>
      </c>
      <c r="U304" s="9">
        <f>STATS1003B!U318/1000</f>
        <v>4462.9642000000003</v>
      </c>
      <c r="V304" s="9">
        <f>STATS1003B!V318/1000</f>
        <v>0</v>
      </c>
      <c r="W304" s="9">
        <f>STATS1003B!W318/1000</f>
        <v>0</v>
      </c>
      <c r="X304" s="9">
        <f>STATS1003B!X318/1000</f>
        <v>4462.9642000000003</v>
      </c>
      <c r="Y304" s="9">
        <f>STATS1003B!Y318/1000</f>
        <v>0</v>
      </c>
      <c r="Z304" s="9">
        <f>STATS1003B!Z318/1000</f>
        <v>0</v>
      </c>
      <c r="AA304" s="9">
        <f>STATS1003B!AA318/1000</f>
        <v>4462.9642000000003</v>
      </c>
      <c r="AB304" s="9">
        <f>STATS1003B!AB318/1000</f>
        <v>0</v>
      </c>
    </row>
    <row r="305" spans="1:28" x14ac:dyDescent="0.35">
      <c r="A305" s="36"/>
      <c r="B305" s="8"/>
      <c r="C305" s="7" t="s">
        <v>535</v>
      </c>
      <c r="D305" s="15" t="s">
        <v>68</v>
      </c>
      <c r="E305" s="9">
        <f>STATS1003B!E319/1000</f>
        <v>942.803</v>
      </c>
      <c r="F305" s="9">
        <f>STATS1003B!F319/1000</f>
        <v>942.803</v>
      </c>
      <c r="G305" s="9">
        <f>STATS1003B!G319/1000</f>
        <v>0</v>
      </c>
      <c r="H305" s="9">
        <f>STATS1003B!H319/1000</f>
        <v>942.803</v>
      </c>
      <c r="I305" s="9">
        <f>STATS1003B!I319/1000</f>
        <v>0</v>
      </c>
      <c r="J305" s="9">
        <f>STATS1003B!J319/1000</f>
        <v>942.803</v>
      </c>
      <c r="K305" s="9">
        <f>STATS1003B!K319/1000</f>
        <v>0</v>
      </c>
      <c r="L305" s="9">
        <f>STATS1003B!L319/1000</f>
        <v>0</v>
      </c>
      <c r="M305" s="9">
        <f>STATS1003B!M319/1000</f>
        <v>942.803</v>
      </c>
      <c r="N305" s="9">
        <f>STATS1003B!N319/1000</f>
        <v>0</v>
      </c>
      <c r="O305" s="9">
        <f>STATS1003B!O319/1000</f>
        <v>0</v>
      </c>
      <c r="P305" s="9">
        <f>STATS1003B!P319/1000</f>
        <v>0</v>
      </c>
      <c r="Q305" s="9">
        <f>STATS1003B!Q319/1000</f>
        <v>0</v>
      </c>
      <c r="R305" s="9">
        <f>STATS1003B!R319/1000</f>
        <v>0</v>
      </c>
      <c r="S305" s="9">
        <f>STATS1003B!S319/1000</f>
        <v>0</v>
      </c>
      <c r="T305" s="9">
        <f>STATS1003B!T319/1000</f>
        <v>0</v>
      </c>
      <c r="U305" s="9">
        <f>STATS1003B!U319/1000</f>
        <v>0</v>
      </c>
      <c r="V305" s="9">
        <f>STATS1003B!V319/1000</f>
        <v>0</v>
      </c>
      <c r="W305" s="9">
        <f>STATS1003B!W319/1000</f>
        <v>0</v>
      </c>
      <c r="X305" s="9">
        <f>STATS1003B!X319/1000</f>
        <v>942.803</v>
      </c>
      <c r="Y305" s="9">
        <f>STATS1003B!Y319/1000</f>
        <v>0</v>
      </c>
      <c r="Z305" s="9">
        <f>STATS1003B!Z319/1000</f>
        <v>0</v>
      </c>
      <c r="AA305" s="9">
        <f>STATS1003B!AA319/1000</f>
        <v>942.803</v>
      </c>
      <c r="AB305" s="9">
        <f>STATS1003B!AB319/1000</f>
        <v>0</v>
      </c>
    </row>
    <row r="306" spans="1:28" x14ac:dyDescent="0.35">
      <c r="A306" s="36"/>
      <c r="B306" s="8"/>
      <c r="C306" s="7" t="s">
        <v>545</v>
      </c>
      <c r="D306" s="15" t="s">
        <v>54</v>
      </c>
      <c r="E306" s="9">
        <f>STATS1003B!E320/1000</f>
        <v>1953.989</v>
      </c>
      <c r="F306" s="9">
        <f>STATS1003B!F320/1000</f>
        <v>0</v>
      </c>
      <c r="G306" s="9">
        <f>STATS1003B!G320/1000</f>
        <v>0</v>
      </c>
      <c r="H306" s="9">
        <f>STATS1003B!H320/1000</f>
        <v>0</v>
      </c>
      <c r="I306" s="9">
        <f>STATS1003B!I320/1000</f>
        <v>0</v>
      </c>
      <c r="J306" s="9">
        <f>STATS1003B!J320/1000</f>
        <v>0</v>
      </c>
      <c r="K306" s="9">
        <f>STATS1003B!K320/1000</f>
        <v>1953.989</v>
      </c>
      <c r="L306" s="9">
        <f>STATS1003B!L320/1000</f>
        <v>0</v>
      </c>
      <c r="M306" s="9">
        <f>STATS1003B!M320/1000</f>
        <v>0</v>
      </c>
      <c r="N306" s="9">
        <f>STATS1003B!N320/1000</f>
        <v>1953.989</v>
      </c>
      <c r="O306" s="9">
        <f>STATS1003B!O320/1000</f>
        <v>0</v>
      </c>
      <c r="P306" s="9">
        <f>STATS1003B!P320/1000</f>
        <v>1953.989</v>
      </c>
      <c r="Q306" s="9">
        <f>STATS1003B!Q320/1000</f>
        <v>0</v>
      </c>
      <c r="R306" s="9">
        <f>STATS1003B!R320/1000</f>
        <v>0</v>
      </c>
      <c r="S306" s="9">
        <f>STATS1003B!S320/1000</f>
        <v>0</v>
      </c>
      <c r="T306" s="9">
        <f>STATS1003B!T320/1000</f>
        <v>0</v>
      </c>
      <c r="U306" s="9">
        <f>STATS1003B!U320/1000</f>
        <v>1953.989</v>
      </c>
      <c r="V306" s="9">
        <f>STATS1003B!V320/1000</f>
        <v>0</v>
      </c>
      <c r="W306" s="9">
        <f>STATS1003B!W320/1000</f>
        <v>0</v>
      </c>
      <c r="X306" s="9">
        <f>STATS1003B!X320/1000</f>
        <v>1953.989</v>
      </c>
      <c r="Y306" s="9">
        <f>STATS1003B!Y320/1000</f>
        <v>0</v>
      </c>
      <c r="Z306" s="9">
        <f>STATS1003B!Z320/1000</f>
        <v>0</v>
      </c>
      <c r="AA306" s="9">
        <f>STATS1003B!AA320/1000</f>
        <v>1953.989</v>
      </c>
      <c r="AB306" s="9">
        <f>STATS1003B!AB320/1000</f>
        <v>0</v>
      </c>
    </row>
    <row r="307" spans="1:28" x14ac:dyDescent="0.35">
      <c r="A307" s="36"/>
      <c r="B307" s="8"/>
      <c r="C307" s="7" t="s">
        <v>557</v>
      </c>
      <c r="D307" s="15" t="s">
        <v>54</v>
      </c>
      <c r="E307" s="9">
        <f>STATS1003B!E321/1000</f>
        <v>605.25</v>
      </c>
      <c r="F307" s="9">
        <f>STATS1003B!F321/1000</f>
        <v>605.25</v>
      </c>
      <c r="G307" s="9">
        <f>STATS1003B!G321/1000</f>
        <v>0</v>
      </c>
      <c r="H307" s="9">
        <f>STATS1003B!H321/1000</f>
        <v>605.25</v>
      </c>
      <c r="I307" s="9">
        <f>STATS1003B!I321/1000</f>
        <v>0</v>
      </c>
      <c r="J307" s="9">
        <f>STATS1003B!J321/1000</f>
        <v>605.25</v>
      </c>
      <c r="K307" s="9">
        <f>STATS1003B!K321/1000</f>
        <v>0</v>
      </c>
      <c r="L307" s="9">
        <f>STATS1003B!L321/1000</f>
        <v>0</v>
      </c>
      <c r="M307" s="9">
        <f>STATS1003B!M321/1000</f>
        <v>605.25</v>
      </c>
      <c r="N307" s="9">
        <f>STATS1003B!N321/1000</f>
        <v>0</v>
      </c>
      <c r="O307" s="9">
        <f>STATS1003B!O321/1000</f>
        <v>0</v>
      </c>
      <c r="P307" s="9">
        <f>STATS1003B!P321/1000</f>
        <v>0</v>
      </c>
      <c r="Q307" s="9">
        <f>STATS1003B!Q321/1000</f>
        <v>0</v>
      </c>
      <c r="R307" s="9">
        <f>STATS1003B!R321/1000</f>
        <v>0</v>
      </c>
      <c r="S307" s="9">
        <f>STATS1003B!S321/1000</f>
        <v>0</v>
      </c>
      <c r="T307" s="9">
        <f>STATS1003B!T321/1000</f>
        <v>0</v>
      </c>
      <c r="U307" s="9">
        <f>STATS1003B!U321/1000</f>
        <v>0</v>
      </c>
      <c r="V307" s="9">
        <f>STATS1003B!V321/1000</f>
        <v>0</v>
      </c>
      <c r="W307" s="9">
        <f>STATS1003B!W321/1000</f>
        <v>0</v>
      </c>
      <c r="X307" s="9">
        <f>STATS1003B!X321/1000</f>
        <v>605.25</v>
      </c>
      <c r="Y307" s="9">
        <f>STATS1003B!Y321/1000</f>
        <v>0</v>
      </c>
      <c r="Z307" s="9">
        <f>STATS1003B!Z321/1000</f>
        <v>0</v>
      </c>
      <c r="AA307" s="9">
        <f>STATS1003B!AA321/1000</f>
        <v>605.25</v>
      </c>
      <c r="AB307" s="9">
        <f>STATS1003B!AB321/1000</f>
        <v>0</v>
      </c>
    </row>
    <row r="308" spans="1:28" x14ac:dyDescent="0.35">
      <c r="A308" s="36"/>
      <c r="B308" s="8"/>
      <c r="C308" s="7" t="s">
        <v>535</v>
      </c>
      <c r="D308" s="15" t="s">
        <v>85</v>
      </c>
      <c r="E308" s="9">
        <f>STATS1003B!E322/1000</f>
        <v>2211.65</v>
      </c>
      <c r="F308" s="9">
        <f>STATS1003B!F322/1000</f>
        <v>2211.65</v>
      </c>
      <c r="G308" s="9">
        <f>STATS1003B!G322/1000</f>
        <v>0</v>
      </c>
      <c r="H308" s="9">
        <f>STATS1003B!H322/1000</f>
        <v>2211.65</v>
      </c>
      <c r="I308" s="9">
        <f>STATS1003B!I322/1000</f>
        <v>0</v>
      </c>
      <c r="J308" s="9">
        <f>STATS1003B!J322/1000</f>
        <v>2211.65</v>
      </c>
      <c r="K308" s="9">
        <f>STATS1003B!K322/1000</f>
        <v>0</v>
      </c>
      <c r="L308" s="9">
        <f>STATS1003B!L322/1000</f>
        <v>0</v>
      </c>
      <c r="M308" s="9">
        <f>STATS1003B!M322/1000</f>
        <v>2211.65</v>
      </c>
      <c r="N308" s="9">
        <f>STATS1003B!N322/1000</f>
        <v>0</v>
      </c>
      <c r="O308" s="9">
        <f>STATS1003B!O322/1000</f>
        <v>0</v>
      </c>
      <c r="P308" s="9">
        <f>STATS1003B!P322/1000</f>
        <v>0</v>
      </c>
      <c r="Q308" s="9">
        <f>STATS1003B!Q322/1000</f>
        <v>0</v>
      </c>
      <c r="R308" s="9">
        <f>STATS1003B!R322/1000</f>
        <v>0</v>
      </c>
      <c r="S308" s="9">
        <f>STATS1003B!S322/1000</f>
        <v>0</v>
      </c>
      <c r="T308" s="9">
        <f>STATS1003B!T322/1000</f>
        <v>0</v>
      </c>
      <c r="U308" s="9">
        <f>STATS1003B!U322/1000</f>
        <v>0</v>
      </c>
      <c r="V308" s="9">
        <f>STATS1003B!V322/1000</f>
        <v>0</v>
      </c>
      <c r="W308" s="9">
        <f>STATS1003B!W322/1000</f>
        <v>0</v>
      </c>
      <c r="X308" s="9">
        <f>STATS1003B!X322/1000</f>
        <v>2211.65</v>
      </c>
      <c r="Y308" s="9">
        <f>STATS1003B!Y322/1000</f>
        <v>0</v>
      </c>
      <c r="Z308" s="9">
        <f>STATS1003B!Z322/1000</f>
        <v>0</v>
      </c>
      <c r="AA308" s="9">
        <f>STATS1003B!AA322/1000</f>
        <v>2211.65</v>
      </c>
      <c r="AB308" s="9">
        <f>STATS1003B!AB322/1000</f>
        <v>0</v>
      </c>
    </row>
    <row r="309" spans="1:28" x14ac:dyDescent="0.35">
      <c r="A309" s="36"/>
      <c r="B309" s="8"/>
      <c r="C309" s="7" t="s">
        <v>566</v>
      </c>
      <c r="D309" s="15" t="s">
        <v>128</v>
      </c>
      <c r="E309" s="9">
        <f>STATS1003B!E323/1000</f>
        <v>549.9</v>
      </c>
      <c r="F309" s="9">
        <f>STATS1003B!F323/1000</f>
        <v>549.9</v>
      </c>
      <c r="G309" s="9">
        <f>STATS1003B!G323/1000</f>
        <v>0</v>
      </c>
      <c r="H309" s="9">
        <f>STATS1003B!H323/1000</f>
        <v>549.9</v>
      </c>
      <c r="I309" s="9">
        <f>STATS1003B!I323/1000</f>
        <v>0</v>
      </c>
      <c r="J309" s="9">
        <f>STATS1003B!J323/1000</f>
        <v>549.9</v>
      </c>
      <c r="K309" s="9">
        <f>STATS1003B!K323/1000</f>
        <v>0</v>
      </c>
      <c r="L309" s="9">
        <f>STATS1003B!L323/1000</f>
        <v>0</v>
      </c>
      <c r="M309" s="9">
        <f>STATS1003B!M323/1000</f>
        <v>549.9</v>
      </c>
      <c r="N309" s="9">
        <f>STATS1003B!N323/1000</f>
        <v>0</v>
      </c>
      <c r="O309" s="9">
        <f>STATS1003B!O323/1000</f>
        <v>0</v>
      </c>
      <c r="P309" s="9">
        <f>STATS1003B!P323/1000</f>
        <v>0</v>
      </c>
      <c r="Q309" s="9">
        <f>STATS1003B!Q323/1000</f>
        <v>0</v>
      </c>
      <c r="R309" s="9">
        <f>STATS1003B!R323/1000</f>
        <v>0</v>
      </c>
      <c r="S309" s="9">
        <f>STATS1003B!S323/1000</f>
        <v>0</v>
      </c>
      <c r="T309" s="9">
        <f>STATS1003B!T323/1000</f>
        <v>0</v>
      </c>
      <c r="U309" s="9">
        <f>STATS1003B!U323/1000</f>
        <v>0</v>
      </c>
      <c r="V309" s="9">
        <f>STATS1003B!V323/1000</f>
        <v>0</v>
      </c>
      <c r="W309" s="9">
        <f>STATS1003B!W323/1000</f>
        <v>0</v>
      </c>
      <c r="X309" s="9">
        <f>STATS1003B!X323/1000</f>
        <v>549.9</v>
      </c>
      <c r="Y309" s="9">
        <f>STATS1003B!Y323/1000</f>
        <v>0</v>
      </c>
      <c r="Z309" s="9">
        <f>STATS1003B!Z323/1000</f>
        <v>0</v>
      </c>
      <c r="AA309" s="9">
        <f>STATS1003B!AA323/1000</f>
        <v>549.9</v>
      </c>
      <c r="AB309" s="9">
        <f>STATS1003B!AB323/1000</f>
        <v>0</v>
      </c>
    </row>
    <row r="310" spans="1:28" x14ac:dyDescent="0.35">
      <c r="A310" s="36"/>
      <c r="B310" s="8"/>
      <c r="C310" s="7" t="s">
        <v>535</v>
      </c>
      <c r="D310" s="15" t="s">
        <v>108</v>
      </c>
      <c r="E310" s="9">
        <f>STATS1003B!E324/1000</f>
        <v>3000</v>
      </c>
      <c r="F310" s="9">
        <f>STATS1003B!F324/1000</f>
        <v>3000</v>
      </c>
      <c r="G310" s="9">
        <f>STATS1003B!G324/1000</f>
        <v>0</v>
      </c>
      <c r="H310" s="9">
        <f>STATS1003B!H324/1000</f>
        <v>3000</v>
      </c>
      <c r="I310" s="9">
        <f>STATS1003B!I324/1000</f>
        <v>0</v>
      </c>
      <c r="J310" s="9">
        <f>STATS1003B!J324/1000</f>
        <v>3000</v>
      </c>
      <c r="K310" s="9">
        <f>STATS1003B!K324/1000</f>
        <v>0</v>
      </c>
      <c r="L310" s="9">
        <f>STATS1003B!L324/1000</f>
        <v>0</v>
      </c>
      <c r="M310" s="9">
        <f>STATS1003B!M324/1000</f>
        <v>3000</v>
      </c>
      <c r="N310" s="9">
        <f>STATS1003B!N324/1000</f>
        <v>0</v>
      </c>
      <c r="O310" s="9">
        <f>STATS1003B!O324/1000</f>
        <v>0</v>
      </c>
      <c r="P310" s="9">
        <f>STATS1003B!P324/1000</f>
        <v>0</v>
      </c>
      <c r="Q310" s="9">
        <f>STATS1003B!Q324/1000</f>
        <v>0</v>
      </c>
      <c r="R310" s="9">
        <f>STATS1003B!R324/1000</f>
        <v>0</v>
      </c>
      <c r="S310" s="9">
        <f>STATS1003B!S324/1000</f>
        <v>0</v>
      </c>
      <c r="T310" s="9">
        <f>STATS1003B!T324/1000</f>
        <v>0</v>
      </c>
      <c r="U310" s="9">
        <f>STATS1003B!U324/1000</f>
        <v>0</v>
      </c>
      <c r="V310" s="9">
        <f>STATS1003B!V324/1000</f>
        <v>0</v>
      </c>
      <c r="W310" s="9">
        <f>STATS1003B!W324/1000</f>
        <v>0</v>
      </c>
      <c r="X310" s="9">
        <f>STATS1003B!X324/1000</f>
        <v>3000</v>
      </c>
      <c r="Y310" s="9">
        <f>STATS1003B!Y324/1000</f>
        <v>0</v>
      </c>
      <c r="Z310" s="9">
        <f>STATS1003B!Z324/1000</f>
        <v>0</v>
      </c>
      <c r="AA310" s="9">
        <f>STATS1003B!AA324/1000</f>
        <v>3000</v>
      </c>
      <c r="AB310" s="9">
        <f>STATS1003B!AB324/1000</f>
        <v>0</v>
      </c>
    </row>
    <row r="311" spans="1:28" x14ac:dyDescent="0.35">
      <c r="A311" s="36"/>
      <c r="B311" s="8"/>
      <c r="C311" s="7" t="s">
        <v>535</v>
      </c>
      <c r="D311" s="21" t="s">
        <v>60</v>
      </c>
      <c r="E311" s="9">
        <f>STATS1003B!E325/1000</f>
        <v>3356.37</v>
      </c>
      <c r="F311" s="9">
        <f>STATS1003B!F325/1000</f>
        <v>3356.37</v>
      </c>
      <c r="G311" s="9">
        <f>STATS1003B!G325/1000</f>
        <v>0</v>
      </c>
      <c r="H311" s="9">
        <f>STATS1003B!H325/1000</f>
        <v>3356.37</v>
      </c>
      <c r="I311" s="9">
        <f>STATS1003B!I325/1000</f>
        <v>0</v>
      </c>
      <c r="J311" s="9">
        <f>STATS1003B!J325/1000</f>
        <v>3356.37</v>
      </c>
      <c r="K311" s="9">
        <f>STATS1003B!K325/1000</f>
        <v>0</v>
      </c>
      <c r="L311" s="9">
        <f>STATS1003B!L325/1000</f>
        <v>0</v>
      </c>
      <c r="M311" s="9">
        <f>STATS1003B!M325/1000</f>
        <v>3356.37</v>
      </c>
      <c r="N311" s="9">
        <f>STATS1003B!N325/1000</f>
        <v>0</v>
      </c>
      <c r="O311" s="9">
        <f>STATS1003B!O325/1000</f>
        <v>0</v>
      </c>
      <c r="P311" s="9">
        <f>STATS1003B!P325/1000</f>
        <v>0</v>
      </c>
      <c r="Q311" s="9">
        <f>STATS1003B!Q325/1000</f>
        <v>0</v>
      </c>
      <c r="R311" s="9">
        <f>STATS1003B!R325/1000</f>
        <v>0</v>
      </c>
      <c r="S311" s="9">
        <f>STATS1003B!S325/1000</f>
        <v>0</v>
      </c>
      <c r="T311" s="9">
        <f>STATS1003B!T325/1000</f>
        <v>0</v>
      </c>
      <c r="U311" s="9">
        <f>STATS1003B!U325/1000</f>
        <v>0</v>
      </c>
      <c r="V311" s="9">
        <f>STATS1003B!V325/1000</f>
        <v>0</v>
      </c>
      <c r="W311" s="9">
        <f>STATS1003B!W325/1000</f>
        <v>0</v>
      </c>
      <c r="X311" s="9">
        <f>STATS1003B!X325/1000</f>
        <v>3356.37</v>
      </c>
      <c r="Y311" s="9">
        <f>STATS1003B!Y325/1000</f>
        <v>0</v>
      </c>
      <c r="Z311" s="9">
        <f>STATS1003B!Z325/1000</f>
        <v>0</v>
      </c>
      <c r="AA311" s="9">
        <f>STATS1003B!AA325/1000</f>
        <v>3356.37</v>
      </c>
      <c r="AB311" s="9">
        <f>STATS1003B!AB325/1000</f>
        <v>0</v>
      </c>
    </row>
    <row r="312" spans="1:28" x14ac:dyDescent="0.35">
      <c r="A312" s="36"/>
      <c r="B312" s="8"/>
      <c r="C312" s="14" t="s">
        <v>535</v>
      </c>
      <c r="D312" s="21" t="s">
        <v>73</v>
      </c>
      <c r="E312" s="9">
        <f>STATS1003B!E326/1000</f>
        <v>1809.88023</v>
      </c>
      <c r="F312" s="9">
        <f>STATS1003B!F326/1000</f>
        <v>1809.88023</v>
      </c>
      <c r="G312" s="9">
        <f>STATS1003B!G326/1000</f>
        <v>0</v>
      </c>
      <c r="H312" s="9">
        <f>STATS1003B!H326/1000</f>
        <v>1809.88023</v>
      </c>
      <c r="I312" s="9">
        <f>STATS1003B!I326/1000</f>
        <v>0</v>
      </c>
      <c r="J312" s="9">
        <f>STATS1003B!J326/1000</f>
        <v>1809.88023</v>
      </c>
      <c r="K312" s="9">
        <f>STATS1003B!K326/1000</f>
        <v>0</v>
      </c>
      <c r="L312" s="9">
        <f>STATS1003B!L326/1000</f>
        <v>0</v>
      </c>
      <c r="M312" s="9">
        <f>STATS1003B!M326/1000</f>
        <v>1809.88023</v>
      </c>
      <c r="N312" s="9">
        <f>STATS1003B!N326/1000</f>
        <v>0</v>
      </c>
      <c r="O312" s="9">
        <f>STATS1003B!O326/1000</f>
        <v>0</v>
      </c>
      <c r="P312" s="9">
        <f>STATS1003B!P326/1000</f>
        <v>0</v>
      </c>
      <c r="Q312" s="9">
        <f>STATS1003B!Q326/1000</f>
        <v>0</v>
      </c>
      <c r="R312" s="9">
        <f>STATS1003B!R326/1000</f>
        <v>0</v>
      </c>
      <c r="S312" s="9">
        <f>STATS1003B!S326/1000</f>
        <v>0</v>
      </c>
      <c r="T312" s="9">
        <f>STATS1003B!T326/1000</f>
        <v>0</v>
      </c>
      <c r="U312" s="9">
        <f>STATS1003B!U326/1000</f>
        <v>0</v>
      </c>
      <c r="V312" s="9">
        <f>STATS1003B!V326/1000</f>
        <v>0</v>
      </c>
      <c r="W312" s="9">
        <f>STATS1003B!W326/1000</f>
        <v>0</v>
      </c>
      <c r="X312" s="9">
        <f>STATS1003B!X326/1000</f>
        <v>1809.88023</v>
      </c>
      <c r="Y312" s="9">
        <f>STATS1003B!Y326/1000</f>
        <v>0</v>
      </c>
      <c r="Z312" s="9">
        <f>STATS1003B!Z326/1000</f>
        <v>0</v>
      </c>
      <c r="AA312" s="9">
        <f>STATS1003B!AA326/1000</f>
        <v>1809.88023</v>
      </c>
      <c r="AB312" s="9">
        <f>STATS1003B!AB326/1000</f>
        <v>0</v>
      </c>
    </row>
    <row r="313" spans="1:28" x14ac:dyDescent="0.35">
      <c r="A313" s="36"/>
      <c r="B313" s="8"/>
      <c r="C313" s="14" t="s">
        <v>535</v>
      </c>
      <c r="D313" s="21" t="s">
        <v>61</v>
      </c>
      <c r="E313" s="9">
        <f>STATS1003B!E327/1000</f>
        <v>1839.5187700000001</v>
      </c>
      <c r="F313" s="9">
        <f>STATS1003B!F327/1000</f>
        <v>1768.53386</v>
      </c>
      <c r="G313" s="9">
        <f>STATS1003B!G327/1000</f>
        <v>0</v>
      </c>
      <c r="H313" s="9">
        <f>STATS1003B!H327/1000</f>
        <v>1768.53386</v>
      </c>
      <c r="I313" s="9">
        <f>STATS1003B!I327/1000</f>
        <v>0</v>
      </c>
      <c r="J313" s="9">
        <f>STATS1003B!J327/1000</f>
        <v>1768.53386</v>
      </c>
      <c r="K313" s="9">
        <f>STATS1003B!K327/1000</f>
        <v>0</v>
      </c>
      <c r="L313" s="9">
        <f>STATS1003B!L327/1000</f>
        <v>0</v>
      </c>
      <c r="M313" s="9">
        <f>STATS1003B!M327/1000</f>
        <v>1768.53386</v>
      </c>
      <c r="N313" s="9">
        <f>STATS1003B!N327/1000</f>
        <v>0</v>
      </c>
      <c r="O313" s="9">
        <f>STATS1003B!O327/1000</f>
        <v>0</v>
      </c>
      <c r="P313" s="9">
        <f>STATS1003B!P327/1000</f>
        <v>0</v>
      </c>
      <c r="Q313" s="9">
        <f>STATS1003B!Q327/1000</f>
        <v>0</v>
      </c>
      <c r="R313" s="9">
        <f>STATS1003B!R327/1000</f>
        <v>0</v>
      </c>
      <c r="S313" s="9">
        <f>STATS1003B!S327/1000</f>
        <v>0</v>
      </c>
      <c r="T313" s="9">
        <f>STATS1003B!T327/1000</f>
        <v>70.984909999999999</v>
      </c>
      <c r="U313" s="9">
        <f>STATS1003B!U327/1000</f>
        <v>70.984909999999999</v>
      </c>
      <c r="V313" s="9">
        <f>STATS1003B!V327/1000</f>
        <v>0</v>
      </c>
      <c r="W313" s="9">
        <f>STATS1003B!W327/1000</f>
        <v>0</v>
      </c>
      <c r="X313" s="9">
        <f>STATS1003B!X327/1000</f>
        <v>1768.53386</v>
      </c>
      <c r="Y313" s="9">
        <f>STATS1003B!Y327/1000</f>
        <v>0</v>
      </c>
      <c r="Z313" s="9">
        <f>STATS1003B!Z327/1000</f>
        <v>70.984909999999914</v>
      </c>
      <c r="AA313" s="9">
        <f>STATS1003B!AA327/1000</f>
        <v>1839.5187700000001</v>
      </c>
      <c r="AB313" s="9">
        <f>STATS1003B!AB327/1000</f>
        <v>0</v>
      </c>
    </row>
    <row r="314" spans="1:28" x14ac:dyDescent="0.35">
      <c r="A314" s="36"/>
      <c r="B314" s="8"/>
      <c r="C314" s="14" t="s">
        <v>926</v>
      </c>
      <c r="D314" s="21"/>
      <c r="E314" s="9">
        <f>STATS1003B!E328/1000</f>
        <v>892.18883999999991</v>
      </c>
      <c r="F314" s="9">
        <f>STATS1003B!F328/1000</f>
        <v>868.46614</v>
      </c>
      <c r="G314" s="9">
        <f>STATS1003B!G328/1000</f>
        <v>0</v>
      </c>
      <c r="H314" s="9">
        <f>STATS1003B!H328/1000</f>
        <v>868.46614</v>
      </c>
      <c r="I314" s="9">
        <f>STATS1003B!I328/1000</f>
        <v>0</v>
      </c>
      <c r="J314" s="9">
        <f>STATS1003B!J328/1000</f>
        <v>0</v>
      </c>
      <c r="K314" s="9">
        <f>STATS1003B!K328/1000</f>
        <v>0</v>
      </c>
      <c r="L314" s="9">
        <f>STATS1003B!L328/1000</f>
        <v>0</v>
      </c>
      <c r="M314" s="9">
        <f>STATS1003B!M328/1000</f>
        <v>868.46614</v>
      </c>
      <c r="N314" s="9">
        <f>STATS1003B!N328/1000</f>
        <v>23.7227</v>
      </c>
      <c r="O314" s="9">
        <f>STATS1003B!O328/1000</f>
        <v>0</v>
      </c>
      <c r="P314" s="9">
        <f>STATS1003B!P328/1000</f>
        <v>23.7227</v>
      </c>
      <c r="Q314" s="9">
        <f>STATS1003B!Q328/1000</f>
        <v>0</v>
      </c>
      <c r="R314" s="9">
        <f>STATS1003B!R328/1000</f>
        <v>0</v>
      </c>
      <c r="S314" s="9">
        <f>STATS1003B!S328/1000</f>
        <v>0</v>
      </c>
      <c r="T314" s="9">
        <f>STATS1003B!T328/1000</f>
        <v>0</v>
      </c>
      <c r="U314" s="9">
        <f>STATS1003B!U328/1000</f>
        <v>23.7227</v>
      </c>
      <c r="V314" s="9">
        <f>STATS1003B!V328/1000</f>
        <v>0</v>
      </c>
      <c r="W314" s="9">
        <f>STATS1003B!W328/1000</f>
        <v>0</v>
      </c>
      <c r="X314" s="9">
        <f>STATS1003B!X328/1000</f>
        <v>892.18883999999991</v>
      </c>
      <c r="Y314" s="9">
        <f>STATS1003B!Y328/1000</f>
        <v>0</v>
      </c>
      <c r="Z314" s="9">
        <f>STATS1003B!Z328/1000</f>
        <v>0</v>
      </c>
      <c r="AA314" s="9">
        <f>STATS1003B!AA328/1000</f>
        <v>892.18883999999991</v>
      </c>
      <c r="AB314" s="9">
        <f>STATS1003B!AB328/1000</f>
        <v>0</v>
      </c>
    </row>
    <row r="315" spans="1:28" x14ac:dyDescent="0.35">
      <c r="A315" s="36"/>
      <c r="B315" s="8"/>
      <c r="C315" s="14" t="s">
        <v>567</v>
      </c>
      <c r="D315" s="21" t="s">
        <v>61</v>
      </c>
      <c r="E315" s="9">
        <f>STATS1003B!E329/1000</f>
        <v>502.22015999999996</v>
      </c>
      <c r="F315" s="9">
        <f>STATS1003B!F329/1000</f>
        <v>484.62241999999998</v>
      </c>
      <c r="G315" s="9">
        <f>STATS1003B!G329/1000</f>
        <v>0</v>
      </c>
      <c r="H315" s="9">
        <f>STATS1003B!H329/1000</f>
        <v>484.62241999999998</v>
      </c>
      <c r="I315" s="9">
        <f>STATS1003B!I329/1000</f>
        <v>0</v>
      </c>
      <c r="J315" s="9">
        <f>STATS1003B!J329/1000</f>
        <v>484.62241999999998</v>
      </c>
      <c r="K315" s="9">
        <f>STATS1003B!K329/1000</f>
        <v>0</v>
      </c>
      <c r="L315" s="9">
        <f>STATS1003B!L329/1000</f>
        <v>0</v>
      </c>
      <c r="M315" s="9">
        <f>STATS1003B!M329/1000</f>
        <v>484.62241999999998</v>
      </c>
      <c r="N315" s="9">
        <f>STATS1003B!N329/1000</f>
        <v>0</v>
      </c>
      <c r="O315" s="9">
        <f>STATS1003B!O329/1000</f>
        <v>0</v>
      </c>
      <c r="P315" s="9">
        <f>STATS1003B!P329/1000</f>
        <v>0</v>
      </c>
      <c r="Q315" s="9">
        <f>STATS1003B!Q329/1000</f>
        <v>0</v>
      </c>
      <c r="R315" s="9">
        <f>STATS1003B!R329/1000</f>
        <v>0</v>
      </c>
      <c r="S315" s="9">
        <f>STATS1003B!S329/1000</f>
        <v>0</v>
      </c>
      <c r="T315" s="9">
        <f>STATS1003B!T329/1000</f>
        <v>17.597740000000002</v>
      </c>
      <c r="U315" s="9">
        <f>STATS1003B!U329/1000</f>
        <v>17.597740000000002</v>
      </c>
      <c r="V315" s="9">
        <f>STATS1003B!V329/1000</f>
        <v>0</v>
      </c>
      <c r="W315" s="9">
        <f>STATS1003B!W329/1000</f>
        <v>0</v>
      </c>
      <c r="X315" s="9">
        <f>STATS1003B!X329/1000</f>
        <v>484.62241999999998</v>
      </c>
      <c r="Y315" s="9">
        <f>STATS1003B!Y329/1000</f>
        <v>0</v>
      </c>
      <c r="Z315" s="9">
        <f>STATS1003B!Z329/1000</f>
        <v>17.597739999999991</v>
      </c>
      <c r="AA315" s="9">
        <f>STATS1003B!AA329/1000</f>
        <v>502.22015999999996</v>
      </c>
      <c r="AB315" s="9">
        <f>STATS1003B!AB329/1000</f>
        <v>0</v>
      </c>
    </row>
    <row r="316" spans="1:28" x14ac:dyDescent="0.35">
      <c r="A316" s="36"/>
      <c r="B316" s="8"/>
      <c r="C316" s="14" t="s">
        <v>568</v>
      </c>
      <c r="D316" s="8"/>
      <c r="E316" s="9">
        <f>STATS1003B!E330/1000</f>
        <v>2838.3505699999996</v>
      </c>
      <c r="F316" s="9">
        <f>STATS1003B!F330/1000</f>
        <v>2838.3505699999996</v>
      </c>
      <c r="G316" s="9">
        <f>STATS1003B!G330/1000</f>
        <v>0</v>
      </c>
      <c r="H316" s="9">
        <f>STATS1003B!H330/1000</f>
        <v>2838.3505699999996</v>
      </c>
      <c r="I316" s="9">
        <f>STATS1003B!I330/1000</f>
        <v>0</v>
      </c>
      <c r="J316" s="9">
        <f>STATS1003B!J330/1000</f>
        <v>2838.3505699999996</v>
      </c>
      <c r="K316" s="9">
        <f>STATS1003B!K330/1000</f>
        <v>0</v>
      </c>
      <c r="L316" s="9">
        <f>STATS1003B!L330/1000</f>
        <v>0</v>
      </c>
      <c r="M316" s="9">
        <f>STATS1003B!M330/1000</f>
        <v>2838.3505699999996</v>
      </c>
      <c r="N316" s="9">
        <f>STATS1003B!N330/1000</f>
        <v>0</v>
      </c>
      <c r="O316" s="9">
        <f>STATS1003B!O330/1000</f>
        <v>0</v>
      </c>
      <c r="P316" s="9">
        <f>STATS1003B!P330/1000</f>
        <v>0</v>
      </c>
      <c r="Q316" s="9">
        <f>STATS1003B!Q330/1000</f>
        <v>0</v>
      </c>
      <c r="R316" s="9">
        <f>STATS1003B!R330/1000</f>
        <v>0</v>
      </c>
      <c r="S316" s="9">
        <f>STATS1003B!S330/1000</f>
        <v>0</v>
      </c>
      <c r="T316" s="9">
        <f>STATS1003B!T330/1000</f>
        <v>0</v>
      </c>
      <c r="U316" s="9">
        <f>STATS1003B!U330/1000</f>
        <v>0</v>
      </c>
      <c r="V316" s="9">
        <f>STATS1003B!V330/1000</f>
        <v>0</v>
      </c>
      <c r="W316" s="9">
        <f>STATS1003B!W330/1000</f>
        <v>0</v>
      </c>
      <c r="X316" s="9">
        <f>STATS1003B!X330/1000</f>
        <v>2838.3505699999996</v>
      </c>
      <c r="Y316" s="9">
        <f>STATS1003B!Y330/1000</f>
        <v>0</v>
      </c>
      <c r="Z316" s="9">
        <f>STATS1003B!Z330/1000</f>
        <v>0</v>
      </c>
      <c r="AA316" s="9">
        <f>STATS1003B!AA330/1000</f>
        <v>2838.3505699999996</v>
      </c>
      <c r="AB316" s="9">
        <f>STATS1003B!AB330/1000</f>
        <v>0</v>
      </c>
    </row>
    <row r="317" spans="1:28" x14ac:dyDescent="0.35">
      <c r="A317" s="36"/>
      <c r="B317" s="8"/>
      <c r="C317" s="7" t="s">
        <v>569</v>
      </c>
      <c r="D317" s="8"/>
      <c r="E317" s="9">
        <f>STATS1003B!E331/1000</f>
        <v>664.55</v>
      </c>
      <c r="F317" s="9">
        <f>STATS1003B!F331/1000</f>
        <v>664.55</v>
      </c>
      <c r="G317" s="9">
        <f>STATS1003B!G331/1000</f>
        <v>0</v>
      </c>
      <c r="H317" s="9">
        <f>STATS1003B!H331/1000</f>
        <v>664.55</v>
      </c>
      <c r="I317" s="9">
        <f>STATS1003B!I331/1000</f>
        <v>0</v>
      </c>
      <c r="J317" s="9">
        <f>STATS1003B!J331/1000</f>
        <v>664.55</v>
      </c>
      <c r="K317" s="9">
        <f>STATS1003B!K331/1000</f>
        <v>0</v>
      </c>
      <c r="L317" s="9">
        <f>STATS1003B!L331/1000</f>
        <v>0</v>
      </c>
      <c r="M317" s="9">
        <f>STATS1003B!M331/1000</f>
        <v>664.55</v>
      </c>
      <c r="N317" s="9">
        <f>STATS1003B!N331/1000</f>
        <v>0</v>
      </c>
      <c r="O317" s="9">
        <f>STATS1003B!O331/1000</f>
        <v>0</v>
      </c>
      <c r="P317" s="9">
        <f>STATS1003B!P331/1000</f>
        <v>0</v>
      </c>
      <c r="Q317" s="9">
        <f>STATS1003B!Q331/1000</f>
        <v>0</v>
      </c>
      <c r="R317" s="9">
        <f>STATS1003B!R331/1000</f>
        <v>0</v>
      </c>
      <c r="S317" s="9">
        <f>STATS1003B!S331/1000</f>
        <v>0</v>
      </c>
      <c r="T317" s="9">
        <f>STATS1003B!T331/1000</f>
        <v>0</v>
      </c>
      <c r="U317" s="9">
        <f>STATS1003B!U331/1000</f>
        <v>0</v>
      </c>
      <c r="V317" s="9">
        <f>STATS1003B!V331/1000</f>
        <v>0</v>
      </c>
      <c r="W317" s="9">
        <f>STATS1003B!W331/1000</f>
        <v>0</v>
      </c>
      <c r="X317" s="9">
        <f>STATS1003B!X331/1000</f>
        <v>664.55</v>
      </c>
      <c r="Y317" s="9">
        <f>STATS1003B!Y331/1000</f>
        <v>0</v>
      </c>
      <c r="Z317" s="9">
        <f>STATS1003B!Z331/1000</f>
        <v>0</v>
      </c>
      <c r="AA317" s="9">
        <f>STATS1003B!AA331/1000</f>
        <v>664.55</v>
      </c>
      <c r="AB317" s="9">
        <f>STATS1003B!AB331/1000</f>
        <v>0</v>
      </c>
    </row>
    <row r="318" spans="1:28" x14ac:dyDescent="0.35">
      <c r="A318" s="36"/>
      <c r="B318" s="8"/>
      <c r="C318" s="7" t="s">
        <v>543</v>
      </c>
      <c r="D318" s="8"/>
      <c r="E318" s="9">
        <f>STATS1003B!E332/1000</f>
        <v>4333.5500999999995</v>
      </c>
      <c r="F318" s="9">
        <f>STATS1003B!F332/1000</f>
        <v>4333.5500999999995</v>
      </c>
      <c r="G318" s="9">
        <f>STATS1003B!G332/1000</f>
        <v>0</v>
      </c>
      <c r="H318" s="9">
        <f>STATS1003B!H332/1000</f>
        <v>4333.5500999999995</v>
      </c>
      <c r="I318" s="9">
        <f>STATS1003B!I332/1000</f>
        <v>0</v>
      </c>
      <c r="J318" s="9">
        <f>STATS1003B!J332/1000</f>
        <v>4333.5500999999995</v>
      </c>
      <c r="K318" s="9">
        <f>STATS1003B!K332/1000</f>
        <v>0</v>
      </c>
      <c r="L318" s="9">
        <f>STATS1003B!L332/1000</f>
        <v>0</v>
      </c>
      <c r="M318" s="9">
        <f>STATS1003B!M332/1000</f>
        <v>4333.5500999999995</v>
      </c>
      <c r="N318" s="9">
        <f>STATS1003B!N332/1000</f>
        <v>0</v>
      </c>
      <c r="O318" s="9">
        <f>STATS1003B!O332/1000</f>
        <v>0</v>
      </c>
      <c r="P318" s="9">
        <f>STATS1003B!P332/1000</f>
        <v>0</v>
      </c>
      <c r="Q318" s="9">
        <f>STATS1003B!Q332/1000</f>
        <v>0</v>
      </c>
      <c r="R318" s="9">
        <f>STATS1003B!R332/1000</f>
        <v>0</v>
      </c>
      <c r="S318" s="9">
        <f>STATS1003B!S332/1000</f>
        <v>0</v>
      </c>
      <c r="T318" s="9">
        <f>STATS1003B!T332/1000</f>
        <v>0</v>
      </c>
      <c r="U318" s="9">
        <f>STATS1003B!U332/1000</f>
        <v>0</v>
      </c>
      <c r="V318" s="9">
        <f>STATS1003B!V332/1000</f>
        <v>0</v>
      </c>
      <c r="W318" s="9">
        <f>STATS1003B!W332/1000</f>
        <v>0</v>
      </c>
      <c r="X318" s="9">
        <f>STATS1003B!X332/1000</f>
        <v>4333.5500999999995</v>
      </c>
      <c r="Y318" s="9">
        <f>STATS1003B!Y332/1000</f>
        <v>0</v>
      </c>
      <c r="Z318" s="9">
        <f>STATS1003B!Z332/1000</f>
        <v>0</v>
      </c>
      <c r="AA318" s="9">
        <f>STATS1003B!AA332/1000</f>
        <v>4333.5500999999995</v>
      </c>
      <c r="AB318" s="9">
        <f>STATS1003B!AB332/1000</f>
        <v>0</v>
      </c>
    </row>
    <row r="319" spans="1:28" x14ac:dyDescent="0.35">
      <c r="A319" s="36"/>
      <c r="B319" s="8"/>
      <c r="C319" s="8"/>
      <c r="D319" s="8"/>
      <c r="E319" s="17" t="s">
        <v>29</v>
      </c>
      <c r="F319" s="17" t="s">
        <v>29</v>
      </c>
      <c r="G319" s="17" t="s">
        <v>29</v>
      </c>
      <c r="H319" s="17" t="s">
        <v>29</v>
      </c>
      <c r="I319" s="17" t="s">
        <v>29</v>
      </c>
      <c r="J319" s="17" t="s">
        <v>29</v>
      </c>
      <c r="K319" s="17" t="s">
        <v>29</v>
      </c>
      <c r="L319" s="17" t="s">
        <v>29</v>
      </c>
      <c r="M319" s="17" t="s">
        <v>29</v>
      </c>
      <c r="N319" s="17" t="s">
        <v>29</v>
      </c>
      <c r="O319" s="17" t="s">
        <v>29</v>
      </c>
      <c r="P319" s="17" t="s">
        <v>29</v>
      </c>
      <c r="Q319" s="17" t="s">
        <v>29</v>
      </c>
      <c r="R319" s="17" t="s">
        <v>29</v>
      </c>
      <c r="S319" s="17" t="s">
        <v>29</v>
      </c>
      <c r="T319" s="17" t="s">
        <v>29</v>
      </c>
      <c r="U319" s="17" t="s">
        <v>29</v>
      </c>
      <c r="V319" s="17" t="s">
        <v>29</v>
      </c>
      <c r="W319" s="17" t="s">
        <v>29</v>
      </c>
      <c r="X319" s="17" t="s">
        <v>29</v>
      </c>
      <c r="Y319" s="17" t="s">
        <v>29</v>
      </c>
      <c r="Z319" s="17" t="s">
        <v>29</v>
      </c>
      <c r="AA319" s="17" t="s">
        <v>29</v>
      </c>
      <c r="AB319" s="17" t="s">
        <v>29</v>
      </c>
    </row>
    <row r="320" spans="1:28" x14ac:dyDescent="0.35">
      <c r="A320" s="36"/>
      <c r="B320" s="8"/>
      <c r="C320" s="8"/>
      <c r="D320" s="8"/>
      <c r="E320" s="9">
        <f t="shared" ref="E320:Q320" si="17">SUM(E302:E319)</f>
        <v>31588.961979999993</v>
      </c>
      <c r="F320" s="9">
        <f t="shared" si="17"/>
        <v>23953.34793</v>
      </c>
      <c r="G320" s="9">
        <f t="shared" si="17"/>
        <v>0</v>
      </c>
      <c r="H320" s="9">
        <f t="shared" si="17"/>
        <v>23953.34793</v>
      </c>
      <c r="I320" s="9">
        <f t="shared" si="17"/>
        <v>0</v>
      </c>
      <c r="J320" s="9">
        <f t="shared" si="17"/>
        <v>23084.881789999999</v>
      </c>
      <c r="K320" s="9">
        <f t="shared" si="17"/>
        <v>7159.1991400000006</v>
      </c>
      <c r="L320" s="9">
        <f t="shared" si="17"/>
        <v>0</v>
      </c>
      <c r="M320" s="9">
        <f t="shared" si="17"/>
        <v>23953.34793</v>
      </c>
      <c r="N320" s="9">
        <f t="shared" si="17"/>
        <v>7182.9218400000009</v>
      </c>
      <c r="O320" s="9">
        <f t="shared" si="17"/>
        <v>0</v>
      </c>
      <c r="P320" s="9">
        <f t="shared" si="17"/>
        <v>7182.9218400000009</v>
      </c>
      <c r="Q320" s="9">
        <f t="shared" si="17"/>
        <v>0</v>
      </c>
      <c r="R320" s="17"/>
      <c r="S320" s="17"/>
      <c r="T320" s="9">
        <f t="shared" ref="T320:Z320" si="18">SUM(T302:T319)</f>
        <v>88.582650000000001</v>
      </c>
      <c r="U320" s="9">
        <f t="shared" si="18"/>
        <v>7271.5044900000012</v>
      </c>
      <c r="V320" s="9">
        <f t="shared" si="18"/>
        <v>0</v>
      </c>
      <c r="W320" s="9">
        <f t="shared" si="18"/>
        <v>0</v>
      </c>
      <c r="X320" s="9">
        <f t="shared" si="18"/>
        <v>31136.269769999995</v>
      </c>
      <c r="Y320" s="9">
        <f t="shared" si="18"/>
        <v>0</v>
      </c>
      <c r="Z320" s="9">
        <f t="shared" si="18"/>
        <v>452.69220999999987</v>
      </c>
      <c r="AA320" s="9">
        <f>SUM(AA302:AA319)</f>
        <v>31224.852419999996</v>
      </c>
      <c r="AB320" s="9">
        <f>SUM(AB302:AB319)</f>
        <v>364.10955999999999</v>
      </c>
    </row>
    <row r="321" spans="1:28" x14ac:dyDescent="0.35">
      <c r="A321" s="36"/>
      <c r="B321" s="8"/>
      <c r="C321" s="8"/>
      <c r="D321" s="8"/>
      <c r="E321" s="17" t="s">
        <v>29</v>
      </c>
      <c r="F321" s="17" t="s">
        <v>29</v>
      </c>
      <c r="G321" s="17" t="s">
        <v>29</v>
      </c>
      <c r="H321" s="17" t="s">
        <v>29</v>
      </c>
      <c r="I321" s="17" t="s">
        <v>29</v>
      </c>
      <c r="J321" s="17" t="s">
        <v>29</v>
      </c>
      <c r="K321" s="17" t="s">
        <v>29</v>
      </c>
      <c r="L321" s="17" t="s">
        <v>29</v>
      </c>
      <c r="M321" s="17" t="s">
        <v>29</v>
      </c>
      <c r="N321" s="17" t="s">
        <v>29</v>
      </c>
      <c r="O321" s="17" t="s">
        <v>29</v>
      </c>
      <c r="P321" s="17" t="s">
        <v>29</v>
      </c>
      <c r="Q321" s="17" t="s">
        <v>29</v>
      </c>
      <c r="R321" s="17" t="s">
        <v>29</v>
      </c>
      <c r="S321" s="17" t="s">
        <v>29</v>
      </c>
      <c r="T321" s="17" t="s">
        <v>29</v>
      </c>
      <c r="U321" s="17" t="s">
        <v>29</v>
      </c>
      <c r="V321" s="17" t="s">
        <v>29</v>
      </c>
      <c r="W321" s="17" t="s">
        <v>29</v>
      </c>
      <c r="X321" s="17" t="s">
        <v>29</v>
      </c>
      <c r="Y321" s="17" t="s">
        <v>29</v>
      </c>
      <c r="Z321" s="17" t="s">
        <v>29</v>
      </c>
      <c r="AA321" s="17" t="s">
        <v>29</v>
      </c>
      <c r="AB321" s="17" t="s">
        <v>29</v>
      </c>
    </row>
    <row r="322" spans="1:28" x14ac:dyDescent="0.35">
      <c r="A322" s="38" t="s">
        <v>949</v>
      </c>
      <c r="B322" s="7" t="s">
        <v>570</v>
      </c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17"/>
      <c r="S322" s="17"/>
      <c r="T322" s="25"/>
      <c r="U322" s="25"/>
      <c r="V322" s="25"/>
      <c r="W322" s="25"/>
      <c r="X322" s="25"/>
      <c r="Y322" s="25"/>
      <c r="Z322" s="25"/>
    </row>
    <row r="323" spans="1:28" x14ac:dyDescent="0.35">
      <c r="A323" s="36"/>
      <c r="B323" s="8"/>
      <c r="C323" s="7" t="s">
        <v>539</v>
      </c>
      <c r="D323" s="15" t="s">
        <v>68</v>
      </c>
      <c r="E323" s="9">
        <f>STATS1003B!E337/1000</f>
        <v>2034.5417500000001</v>
      </c>
      <c r="F323" s="9">
        <f>STATS1003B!F337/1000</f>
        <v>0</v>
      </c>
      <c r="G323" s="9">
        <f>STATS1003B!G337/1000</f>
        <v>0</v>
      </c>
      <c r="H323" s="9">
        <f>STATS1003B!H337/1000</f>
        <v>0</v>
      </c>
      <c r="I323" s="9">
        <f>STATS1003B!I337/1000</f>
        <v>0</v>
      </c>
      <c r="J323" s="9">
        <f>STATS1003B!J337/1000</f>
        <v>0</v>
      </c>
      <c r="K323" s="9">
        <f>STATS1003B!K337/1000</f>
        <v>2034.5417500000001</v>
      </c>
      <c r="L323" s="9">
        <f>STATS1003B!L337/1000</f>
        <v>0</v>
      </c>
      <c r="M323" s="9">
        <f>STATS1003B!M337/1000</f>
        <v>0</v>
      </c>
      <c r="N323" s="9">
        <f>STATS1003B!N337/1000</f>
        <v>2034.5417500000001</v>
      </c>
      <c r="O323" s="9">
        <f>STATS1003B!O337/1000</f>
        <v>0</v>
      </c>
      <c r="P323" s="9">
        <f>STATS1003B!P337/1000</f>
        <v>2034.5417500000001</v>
      </c>
      <c r="Q323" s="9">
        <f>STATS1003B!Q337/1000</f>
        <v>0</v>
      </c>
      <c r="R323" s="9">
        <f>STATS1003B!R337/1000</f>
        <v>0</v>
      </c>
      <c r="S323" s="9">
        <f>STATS1003B!S337/1000</f>
        <v>0</v>
      </c>
      <c r="T323" s="9">
        <f>STATS1003B!T337/1000</f>
        <v>0</v>
      </c>
      <c r="U323" s="9">
        <f>STATS1003B!U337/1000</f>
        <v>2034.5417500000001</v>
      </c>
      <c r="V323" s="9">
        <f>STATS1003B!V337/1000</f>
        <v>0</v>
      </c>
      <c r="W323" s="9">
        <f>STATS1003B!W337/1000</f>
        <v>0</v>
      </c>
      <c r="X323" s="9">
        <f>STATS1003B!X337/1000</f>
        <v>2034.5417500000001</v>
      </c>
      <c r="Y323" s="9">
        <f>STATS1003B!Y337/1000</f>
        <v>0</v>
      </c>
      <c r="Z323" s="9">
        <f>STATS1003B!Z337/1000</f>
        <v>0</v>
      </c>
      <c r="AA323" s="9">
        <f>STATS1003B!AA337/1000</f>
        <v>2034.5417500000001</v>
      </c>
      <c r="AB323" s="9">
        <f>STATS1003B!AB337/1000</f>
        <v>0</v>
      </c>
    </row>
    <row r="324" spans="1:28" x14ac:dyDescent="0.35">
      <c r="A324" s="36"/>
      <c r="B324" s="8"/>
      <c r="C324" s="7" t="s">
        <v>535</v>
      </c>
      <c r="D324" s="15" t="s">
        <v>68</v>
      </c>
      <c r="E324" s="9">
        <f>STATS1003B!E338/1000</f>
        <v>1467.1890000000001</v>
      </c>
      <c r="F324" s="9">
        <f>STATS1003B!F338/1000</f>
        <v>1467.1890000000001</v>
      </c>
      <c r="G324" s="9">
        <f>STATS1003B!G338/1000</f>
        <v>0</v>
      </c>
      <c r="H324" s="9">
        <f>STATS1003B!H338/1000</f>
        <v>1467.1890000000001</v>
      </c>
      <c r="I324" s="9">
        <f>STATS1003B!I338/1000</f>
        <v>0</v>
      </c>
      <c r="J324" s="9">
        <f>STATS1003B!J338/1000</f>
        <v>1467.1890000000001</v>
      </c>
      <c r="K324" s="9">
        <f>STATS1003B!K338/1000</f>
        <v>0</v>
      </c>
      <c r="L324" s="9">
        <f>STATS1003B!L338/1000</f>
        <v>0</v>
      </c>
      <c r="M324" s="9">
        <f>STATS1003B!M338/1000</f>
        <v>1467.1890000000001</v>
      </c>
      <c r="N324" s="9">
        <f>STATS1003B!N338/1000</f>
        <v>0</v>
      </c>
      <c r="O324" s="9">
        <f>STATS1003B!O338/1000</f>
        <v>0</v>
      </c>
      <c r="P324" s="9">
        <f>STATS1003B!P338/1000</f>
        <v>0</v>
      </c>
      <c r="Q324" s="9">
        <f>STATS1003B!Q338/1000</f>
        <v>0</v>
      </c>
      <c r="R324" s="9">
        <f>STATS1003B!R338/1000</f>
        <v>0</v>
      </c>
      <c r="S324" s="9">
        <f>STATS1003B!S338/1000</f>
        <v>0</v>
      </c>
      <c r="T324" s="9">
        <f>STATS1003B!T338/1000</f>
        <v>0</v>
      </c>
      <c r="U324" s="9">
        <f>STATS1003B!U338/1000</f>
        <v>0</v>
      </c>
      <c r="V324" s="9">
        <f>STATS1003B!V338/1000</f>
        <v>0</v>
      </c>
      <c r="W324" s="9">
        <f>STATS1003B!W338/1000</f>
        <v>0</v>
      </c>
      <c r="X324" s="9">
        <f>STATS1003B!X338/1000</f>
        <v>1467.1890000000001</v>
      </c>
      <c r="Y324" s="9">
        <f>STATS1003B!Y338/1000</f>
        <v>0</v>
      </c>
      <c r="Z324" s="9">
        <f>STATS1003B!Z338/1000</f>
        <v>0</v>
      </c>
      <c r="AA324" s="9">
        <f>STATS1003B!AA338/1000</f>
        <v>1467.1890000000001</v>
      </c>
      <c r="AB324" s="9">
        <f>STATS1003B!AB338/1000</f>
        <v>0</v>
      </c>
    </row>
    <row r="325" spans="1:28" x14ac:dyDescent="0.35">
      <c r="A325" s="36"/>
      <c r="B325" s="8"/>
      <c r="C325" s="7" t="s">
        <v>535</v>
      </c>
      <c r="D325" s="15" t="s">
        <v>54</v>
      </c>
      <c r="E325" s="9">
        <f>STATS1003B!E339/1000</f>
        <v>1363</v>
      </c>
      <c r="F325" s="9">
        <f>STATS1003B!F339/1000</f>
        <v>1363</v>
      </c>
      <c r="G325" s="9">
        <f>STATS1003B!G339/1000</f>
        <v>0</v>
      </c>
      <c r="H325" s="9">
        <f>STATS1003B!H339/1000</f>
        <v>1363</v>
      </c>
      <c r="I325" s="9">
        <f>STATS1003B!I339/1000</f>
        <v>0</v>
      </c>
      <c r="J325" s="9">
        <f>STATS1003B!J339/1000</f>
        <v>1363</v>
      </c>
      <c r="K325" s="9">
        <f>STATS1003B!K339/1000</f>
        <v>0</v>
      </c>
      <c r="L325" s="9">
        <f>STATS1003B!L339/1000</f>
        <v>0</v>
      </c>
      <c r="M325" s="9">
        <f>STATS1003B!M339/1000</f>
        <v>1363</v>
      </c>
      <c r="N325" s="9">
        <f>STATS1003B!N339/1000</f>
        <v>0</v>
      </c>
      <c r="O325" s="9">
        <f>STATS1003B!O339/1000</f>
        <v>0</v>
      </c>
      <c r="P325" s="9">
        <f>STATS1003B!P339/1000</f>
        <v>0</v>
      </c>
      <c r="Q325" s="9">
        <f>STATS1003B!Q339/1000</f>
        <v>0</v>
      </c>
      <c r="R325" s="9">
        <f>STATS1003B!R339/1000</f>
        <v>0</v>
      </c>
      <c r="S325" s="9">
        <f>STATS1003B!S339/1000</f>
        <v>0</v>
      </c>
      <c r="T325" s="9">
        <f>STATS1003B!T339/1000</f>
        <v>0</v>
      </c>
      <c r="U325" s="9">
        <f>STATS1003B!U339/1000</f>
        <v>0</v>
      </c>
      <c r="V325" s="9">
        <f>STATS1003B!V339/1000</f>
        <v>0</v>
      </c>
      <c r="W325" s="9">
        <f>STATS1003B!W339/1000</f>
        <v>0</v>
      </c>
      <c r="X325" s="9">
        <f>STATS1003B!X339/1000</f>
        <v>1363</v>
      </c>
      <c r="Y325" s="9">
        <f>STATS1003B!Y339/1000</f>
        <v>0</v>
      </c>
      <c r="Z325" s="9">
        <f>STATS1003B!Z339/1000</f>
        <v>0</v>
      </c>
      <c r="AA325" s="9">
        <f>STATS1003B!AA339/1000</f>
        <v>1363</v>
      </c>
      <c r="AB325" s="9">
        <f>STATS1003B!AB339/1000</f>
        <v>0</v>
      </c>
    </row>
    <row r="326" spans="1:28" x14ac:dyDescent="0.35">
      <c r="A326" s="36"/>
      <c r="B326" s="8"/>
      <c r="C326" s="7" t="s">
        <v>571</v>
      </c>
      <c r="D326" s="15" t="s">
        <v>54</v>
      </c>
      <c r="E326" s="9">
        <f>STATS1003B!E340/1000</f>
        <v>0</v>
      </c>
      <c r="F326" s="9">
        <f>STATS1003B!F340/1000</f>
        <v>0</v>
      </c>
      <c r="G326" s="9">
        <f>STATS1003B!G340/1000</f>
        <v>0</v>
      </c>
      <c r="H326" s="9">
        <f>STATS1003B!H340/1000</f>
        <v>0</v>
      </c>
      <c r="I326" s="9">
        <f>STATS1003B!I340/1000</f>
        <v>0</v>
      </c>
      <c r="J326" s="9">
        <f>STATS1003B!J340/1000</f>
        <v>0</v>
      </c>
      <c r="K326" s="9">
        <f>STATS1003B!K340/1000</f>
        <v>0</v>
      </c>
      <c r="L326" s="9">
        <f>STATS1003B!L340/1000</f>
        <v>0</v>
      </c>
      <c r="M326" s="9">
        <f>STATS1003B!M340/1000</f>
        <v>0</v>
      </c>
      <c r="N326" s="9">
        <f>STATS1003B!N340/1000</f>
        <v>0</v>
      </c>
      <c r="O326" s="9">
        <f>STATS1003B!O340/1000</f>
        <v>0</v>
      </c>
      <c r="P326" s="9">
        <f>STATS1003B!P340/1000</f>
        <v>0</v>
      </c>
      <c r="Q326" s="9">
        <f>STATS1003B!Q340/1000</f>
        <v>0</v>
      </c>
      <c r="R326" s="9">
        <f>STATS1003B!R340/1000</f>
        <v>0</v>
      </c>
      <c r="S326" s="9">
        <f>STATS1003B!S340/1000</f>
        <v>0</v>
      </c>
      <c r="T326" s="9">
        <f>STATS1003B!T340/1000</f>
        <v>0</v>
      </c>
      <c r="U326" s="9">
        <f>STATS1003B!U340/1000</f>
        <v>0</v>
      </c>
      <c r="V326" s="9">
        <f>STATS1003B!V340/1000</f>
        <v>0</v>
      </c>
      <c r="W326" s="9">
        <f>STATS1003B!W340/1000</f>
        <v>0</v>
      </c>
      <c r="X326" s="9">
        <f>STATS1003B!X340/1000</f>
        <v>0</v>
      </c>
      <c r="Y326" s="9">
        <f>STATS1003B!Y340/1000</f>
        <v>0</v>
      </c>
      <c r="Z326" s="9">
        <f>STATS1003B!Z340/1000</f>
        <v>0</v>
      </c>
      <c r="AA326" s="9">
        <f>STATS1003B!AA340/1000</f>
        <v>0</v>
      </c>
      <c r="AB326" s="9">
        <f>STATS1003B!AB340/1000</f>
        <v>0</v>
      </c>
    </row>
    <row r="327" spans="1:28" x14ac:dyDescent="0.35">
      <c r="A327" s="36"/>
      <c r="B327" s="8"/>
      <c r="C327" s="7" t="s">
        <v>572</v>
      </c>
      <c r="D327" s="15" t="s">
        <v>54</v>
      </c>
      <c r="E327" s="9">
        <f>STATS1003B!E341/1000</f>
        <v>950</v>
      </c>
      <c r="F327" s="9">
        <f>STATS1003B!F341/1000</f>
        <v>950</v>
      </c>
      <c r="G327" s="9">
        <f>STATS1003B!G341/1000</f>
        <v>0</v>
      </c>
      <c r="H327" s="9">
        <f>STATS1003B!H341/1000</f>
        <v>950</v>
      </c>
      <c r="I327" s="9">
        <f>STATS1003B!I341/1000</f>
        <v>0</v>
      </c>
      <c r="J327" s="9">
        <f>STATS1003B!J341/1000</f>
        <v>950</v>
      </c>
      <c r="K327" s="9">
        <f>STATS1003B!K341/1000</f>
        <v>0</v>
      </c>
      <c r="L327" s="9">
        <f>STATS1003B!L341/1000</f>
        <v>0</v>
      </c>
      <c r="M327" s="9">
        <f>STATS1003B!M341/1000</f>
        <v>950</v>
      </c>
      <c r="N327" s="9">
        <f>STATS1003B!N341/1000</f>
        <v>0</v>
      </c>
      <c r="O327" s="9">
        <f>STATS1003B!O341/1000</f>
        <v>0</v>
      </c>
      <c r="P327" s="9">
        <f>STATS1003B!P341/1000</f>
        <v>0</v>
      </c>
      <c r="Q327" s="9">
        <f>STATS1003B!Q341/1000</f>
        <v>0</v>
      </c>
      <c r="R327" s="9">
        <f>STATS1003B!R341/1000</f>
        <v>0</v>
      </c>
      <c r="S327" s="9">
        <f>STATS1003B!S341/1000</f>
        <v>0</v>
      </c>
      <c r="T327" s="9">
        <f>STATS1003B!T341/1000</f>
        <v>0</v>
      </c>
      <c r="U327" s="9">
        <f>STATS1003B!U341/1000</f>
        <v>0</v>
      </c>
      <c r="V327" s="9">
        <f>STATS1003B!V341/1000</f>
        <v>0</v>
      </c>
      <c r="W327" s="9">
        <f>STATS1003B!W341/1000</f>
        <v>0</v>
      </c>
      <c r="X327" s="9">
        <f>STATS1003B!X341/1000</f>
        <v>950</v>
      </c>
      <c r="Y327" s="9">
        <f>STATS1003B!Y341/1000</f>
        <v>0</v>
      </c>
      <c r="Z327" s="9">
        <f>STATS1003B!Z341/1000</f>
        <v>0</v>
      </c>
      <c r="AA327" s="9">
        <f>STATS1003B!AA341/1000</f>
        <v>950</v>
      </c>
      <c r="AB327" s="9">
        <f>STATS1003B!AB341/1000</f>
        <v>0</v>
      </c>
    </row>
    <row r="328" spans="1:28" x14ac:dyDescent="0.35">
      <c r="A328" s="36"/>
      <c r="B328" s="8"/>
      <c r="C328" s="7" t="s">
        <v>573</v>
      </c>
      <c r="D328" s="15" t="s">
        <v>54</v>
      </c>
      <c r="E328" s="9">
        <f>STATS1003B!E342/1000</f>
        <v>500</v>
      </c>
      <c r="F328" s="9">
        <f>STATS1003B!F342/1000</f>
        <v>500</v>
      </c>
      <c r="G328" s="9">
        <f>STATS1003B!G342/1000</f>
        <v>0</v>
      </c>
      <c r="H328" s="9">
        <f>STATS1003B!H342/1000</f>
        <v>500</v>
      </c>
      <c r="I328" s="9">
        <f>STATS1003B!I342/1000</f>
        <v>0</v>
      </c>
      <c r="J328" s="9">
        <f>STATS1003B!J342/1000</f>
        <v>500</v>
      </c>
      <c r="K328" s="9">
        <f>STATS1003B!K342/1000</f>
        <v>0</v>
      </c>
      <c r="L328" s="9">
        <f>STATS1003B!L342/1000</f>
        <v>0</v>
      </c>
      <c r="M328" s="9">
        <f>STATS1003B!M342/1000</f>
        <v>500</v>
      </c>
      <c r="N328" s="9">
        <f>STATS1003B!N342/1000</f>
        <v>0</v>
      </c>
      <c r="O328" s="9">
        <f>STATS1003B!O342/1000</f>
        <v>0</v>
      </c>
      <c r="P328" s="9">
        <f>STATS1003B!P342/1000</f>
        <v>0</v>
      </c>
      <c r="Q328" s="9">
        <f>STATS1003B!Q342/1000</f>
        <v>0</v>
      </c>
      <c r="R328" s="9">
        <f>STATS1003B!R342/1000</f>
        <v>0</v>
      </c>
      <c r="S328" s="9">
        <f>STATS1003B!S342/1000</f>
        <v>0</v>
      </c>
      <c r="T328" s="9">
        <f>STATS1003B!T342/1000</f>
        <v>0</v>
      </c>
      <c r="U328" s="9">
        <f>STATS1003B!U342/1000</f>
        <v>0</v>
      </c>
      <c r="V328" s="9">
        <f>STATS1003B!V342/1000</f>
        <v>0</v>
      </c>
      <c r="W328" s="9">
        <f>STATS1003B!W342/1000</f>
        <v>0</v>
      </c>
      <c r="X328" s="9">
        <f>STATS1003B!X342/1000</f>
        <v>500</v>
      </c>
      <c r="Y328" s="9">
        <f>STATS1003B!Y342/1000</f>
        <v>0</v>
      </c>
      <c r="Z328" s="9">
        <f>STATS1003B!Z342/1000</f>
        <v>0</v>
      </c>
      <c r="AA328" s="9">
        <f>STATS1003B!AA342/1000</f>
        <v>500</v>
      </c>
      <c r="AB328" s="9">
        <f>STATS1003B!AB342/1000</f>
        <v>0</v>
      </c>
    </row>
    <row r="329" spans="1:28" x14ac:dyDescent="0.35">
      <c r="A329" s="36"/>
      <c r="B329" s="8"/>
      <c r="C329" s="7" t="s">
        <v>545</v>
      </c>
      <c r="D329" s="15" t="s">
        <v>54</v>
      </c>
      <c r="E329" s="9">
        <f>STATS1003B!E343/1000</f>
        <v>1953.989</v>
      </c>
      <c r="F329" s="9">
        <f>STATS1003B!F343/1000</f>
        <v>0</v>
      </c>
      <c r="G329" s="9">
        <f>STATS1003B!G343/1000</f>
        <v>0</v>
      </c>
      <c r="H329" s="9">
        <f>STATS1003B!H343/1000</f>
        <v>0</v>
      </c>
      <c r="I329" s="9">
        <f>STATS1003B!I343/1000</f>
        <v>0</v>
      </c>
      <c r="J329" s="9">
        <f>STATS1003B!J343/1000</f>
        <v>0</v>
      </c>
      <c r="K329" s="9">
        <f>STATS1003B!K343/1000</f>
        <v>1953.989</v>
      </c>
      <c r="L329" s="9">
        <f>STATS1003B!L343/1000</f>
        <v>0</v>
      </c>
      <c r="M329" s="9">
        <f>STATS1003B!M343/1000</f>
        <v>0</v>
      </c>
      <c r="N329" s="9">
        <f>STATS1003B!N343/1000</f>
        <v>1953.989</v>
      </c>
      <c r="O329" s="9">
        <f>STATS1003B!O343/1000</f>
        <v>0</v>
      </c>
      <c r="P329" s="9">
        <f>STATS1003B!P343/1000</f>
        <v>1953.989</v>
      </c>
      <c r="Q329" s="9">
        <f>STATS1003B!Q343/1000</f>
        <v>0</v>
      </c>
      <c r="R329" s="9">
        <f>STATS1003B!R343/1000</f>
        <v>0</v>
      </c>
      <c r="S329" s="9">
        <f>STATS1003B!S343/1000</f>
        <v>0</v>
      </c>
      <c r="T329" s="9">
        <f>STATS1003B!T343/1000</f>
        <v>0</v>
      </c>
      <c r="U329" s="9">
        <f>STATS1003B!U343/1000</f>
        <v>1953.989</v>
      </c>
      <c r="V329" s="9">
        <f>STATS1003B!V343/1000</f>
        <v>0</v>
      </c>
      <c r="W329" s="9">
        <f>STATS1003B!W343/1000</f>
        <v>0</v>
      </c>
      <c r="X329" s="9">
        <f>STATS1003B!X343/1000</f>
        <v>1953.989</v>
      </c>
      <c r="Y329" s="9">
        <f>STATS1003B!Y343/1000</f>
        <v>0</v>
      </c>
      <c r="Z329" s="9">
        <f>STATS1003B!Z343/1000</f>
        <v>0</v>
      </c>
      <c r="AA329" s="9">
        <f>STATS1003B!AA343/1000</f>
        <v>1953.989</v>
      </c>
      <c r="AB329" s="9">
        <f>STATS1003B!AB343/1000</f>
        <v>0</v>
      </c>
    </row>
    <row r="330" spans="1:28" x14ac:dyDescent="0.35">
      <c r="A330" s="36"/>
      <c r="B330" s="8"/>
      <c r="C330" s="7" t="s">
        <v>535</v>
      </c>
      <c r="D330" s="15" t="s">
        <v>85</v>
      </c>
      <c r="E330" s="9">
        <f>STATS1003B!E344/1000</f>
        <v>1500</v>
      </c>
      <c r="F330" s="9">
        <f>STATS1003B!F344/1000</f>
        <v>1500</v>
      </c>
      <c r="G330" s="9">
        <f>STATS1003B!G344/1000</f>
        <v>0</v>
      </c>
      <c r="H330" s="9">
        <f>STATS1003B!H344/1000</f>
        <v>1500</v>
      </c>
      <c r="I330" s="9">
        <f>STATS1003B!I344/1000</f>
        <v>0</v>
      </c>
      <c r="J330" s="9">
        <f>STATS1003B!J344/1000</f>
        <v>1500</v>
      </c>
      <c r="K330" s="9">
        <f>STATS1003B!K344/1000</f>
        <v>0</v>
      </c>
      <c r="L330" s="9">
        <f>STATS1003B!L344/1000</f>
        <v>0</v>
      </c>
      <c r="M330" s="9">
        <f>STATS1003B!M344/1000</f>
        <v>1500</v>
      </c>
      <c r="N330" s="9">
        <f>STATS1003B!N344/1000</f>
        <v>0</v>
      </c>
      <c r="O330" s="9">
        <f>STATS1003B!O344/1000</f>
        <v>0</v>
      </c>
      <c r="P330" s="9">
        <f>STATS1003B!P344/1000</f>
        <v>0</v>
      </c>
      <c r="Q330" s="9">
        <f>STATS1003B!Q344/1000</f>
        <v>0</v>
      </c>
      <c r="R330" s="9">
        <f>STATS1003B!R344/1000</f>
        <v>0</v>
      </c>
      <c r="S330" s="9">
        <f>STATS1003B!S344/1000</f>
        <v>0</v>
      </c>
      <c r="T330" s="9">
        <f>STATS1003B!T344/1000</f>
        <v>0</v>
      </c>
      <c r="U330" s="9">
        <f>STATS1003B!U344/1000</f>
        <v>0</v>
      </c>
      <c r="V330" s="9">
        <f>STATS1003B!V344/1000</f>
        <v>0</v>
      </c>
      <c r="W330" s="9">
        <f>STATS1003B!W344/1000</f>
        <v>0</v>
      </c>
      <c r="X330" s="9">
        <f>STATS1003B!X344/1000</f>
        <v>1500</v>
      </c>
      <c r="Y330" s="9">
        <f>STATS1003B!Y344/1000</f>
        <v>0</v>
      </c>
      <c r="Z330" s="9">
        <f>STATS1003B!Z344/1000</f>
        <v>0</v>
      </c>
      <c r="AA330" s="9">
        <f>STATS1003B!AA344/1000</f>
        <v>1500</v>
      </c>
      <c r="AB330" s="9">
        <f>STATS1003B!AB344/1000</f>
        <v>0</v>
      </c>
    </row>
    <row r="331" spans="1:28" x14ac:dyDescent="0.35">
      <c r="A331" s="36"/>
      <c r="B331" s="8"/>
      <c r="C331" s="7" t="s">
        <v>574</v>
      </c>
      <c r="D331" s="15" t="s">
        <v>85</v>
      </c>
      <c r="E331" s="9">
        <f>STATS1003B!E345/1000</f>
        <v>3332</v>
      </c>
      <c r="F331" s="9">
        <f>STATS1003B!F345/1000</f>
        <v>3332</v>
      </c>
      <c r="G331" s="9">
        <f>STATS1003B!G345/1000</f>
        <v>0</v>
      </c>
      <c r="H331" s="9">
        <f>STATS1003B!H345/1000</f>
        <v>3332</v>
      </c>
      <c r="I331" s="9">
        <f>STATS1003B!I345/1000</f>
        <v>0</v>
      </c>
      <c r="J331" s="9">
        <f>STATS1003B!J345/1000</f>
        <v>3332</v>
      </c>
      <c r="K331" s="9">
        <f>STATS1003B!K345/1000</f>
        <v>0</v>
      </c>
      <c r="L331" s="9">
        <f>STATS1003B!L345/1000</f>
        <v>0</v>
      </c>
      <c r="M331" s="9">
        <f>STATS1003B!M345/1000</f>
        <v>3332</v>
      </c>
      <c r="N331" s="9">
        <f>STATS1003B!N345/1000</f>
        <v>0</v>
      </c>
      <c r="O331" s="9">
        <f>STATS1003B!O345/1000</f>
        <v>0</v>
      </c>
      <c r="P331" s="9">
        <f>STATS1003B!P345/1000</f>
        <v>0</v>
      </c>
      <c r="Q331" s="9">
        <f>STATS1003B!Q345/1000</f>
        <v>0</v>
      </c>
      <c r="R331" s="9">
        <f>STATS1003B!R345/1000</f>
        <v>0</v>
      </c>
      <c r="S331" s="9">
        <f>STATS1003B!S345/1000</f>
        <v>0</v>
      </c>
      <c r="T331" s="9">
        <f>STATS1003B!T345/1000</f>
        <v>0</v>
      </c>
      <c r="U331" s="9">
        <f>STATS1003B!U345/1000</f>
        <v>0</v>
      </c>
      <c r="V331" s="9">
        <f>STATS1003B!V345/1000</f>
        <v>0</v>
      </c>
      <c r="W331" s="9">
        <f>STATS1003B!W345/1000</f>
        <v>0</v>
      </c>
      <c r="X331" s="9">
        <f>STATS1003B!X345/1000</f>
        <v>3332</v>
      </c>
      <c r="Y331" s="9">
        <f>STATS1003B!Y345/1000</f>
        <v>0</v>
      </c>
      <c r="Z331" s="9">
        <f>STATS1003B!Z345/1000</f>
        <v>0</v>
      </c>
      <c r="AA331" s="9">
        <f>STATS1003B!AA345/1000</f>
        <v>3332</v>
      </c>
      <c r="AB331" s="9">
        <f>STATS1003B!AB345/1000</f>
        <v>0</v>
      </c>
    </row>
    <row r="332" spans="1:28" x14ac:dyDescent="0.35">
      <c r="A332" s="36"/>
      <c r="B332" s="8"/>
      <c r="C332" s="7" t="s">
        <v>573</v>
      </c>
      <c r="D332" s="15" t="s">
        <v>85</v>
      </c>
      <c r="E332" s="9">
        <f>STATS1003B!E346/1000</f>
        <v>1830</v>
      </c>
      <c r="F332" s="9">
        <f>STATS1003B!F346/1000</f>
        <v>1830</v>
      </c>
      <c r="G332" s="9">
        <f>STATS1003B!G346/1000</f>
        <v>0</v>
      </c>
      <c r="H332" s="9">
        <f>STATS1003B!H346/1000</f>
        <v>1830</v>
      </c>
      <c r="I332" s="9">
        <f>STATS1003B!I346/1000</f>
        <v>0</v>
      </c>
      <c r="J332" s="9">
        <f>STATS1003B!J346/1000</f>
        <v>1830</v>
      </c>
      <c r="K332" s="9">
        <f>STATS1003B!K346/1000</f>
        <v>0</v>
      </c>
      <c r="L332" s="9">
        <f>STATS1003B!L346/1000</f>
        <v>0</v>
      </c>
      <c r="M332" s="9">
        <f>STATS1003B!M346/1000</f>
        <v>1830</v>
      </c>
      <c r="N332" s="9">
        <f>STATS1003B!N346/1000</f>
        <v>0</v>
      </c>
      <c r="O332" s="9">
        <f>STATS1003B!O346/1000</f>
        <v>0</v>
      </c>
      <c r="P332" s="9">
        <f>STATS1003B!P346/1000</f>
        <v>0</v>
      </c>
      <c r="Q332" s="9">
        <f>STATS1003B!Q346/1000</f>
        <v>0</v>
      </c>
      <c r="R332" s="9">
        <f>STATS1003B!R346/1000</f>
        <v>0</v>
      </c>
      <c r="S332" s="9">
        <f>STATS1003B!S346/1000</f>
        <v>0</v>
      </c>
      <c r="T332" s="9">
        <f>STATS1003B!T346/1000</f>
        <v>0</v>
      </c>
      <c r="U332" s="9">
        <f>STATS1003B!U346/1000</f>
        <v>0</v>
      </c>
      <c r="V332" s="9">
        <f>STATS1003B!V346/1000</f>
        <v>0</v>
      </c>
      <c r="W332" s="9">
        <f>STATS1003B!W346/1000</f>
        <v>0</v>
      </c>
      <c r="X332" s="9">
        <f>STATS1003B!X346/1000</f>
        <v>1830</v>
      </c>
      <c r="Y332" s="9">
        <f>STATS1003B!Y346/1000</f>
        <v>0</v>
      </c>
      <c r="Z332" s="9">
        <f>STATS1003B!Z346/1000</f>
        <v>0</v>
      </c>
      <c r="AA332" s="9">
        <f>STATS1003B!AA346/1000</f>
        <v>1830</v>
      </c>
      <c r="AB332" s="9">
        <f>STATS1003B!AB346/1000</f>
        <v>0</v>
      </c>
    </row>
    <row r="333" spans="1:28" x14ac:dyDescent="0.35">
      <c r="A333" s="36"/>
      <c r="B333" s="8"/>
      <c r="C333" s="7" t="s">
        <v>571</v>
      </c>
      <c r="D333" s="15" t="s">
        <v>85</v>
      </c>
      <c r="E333" s="9">
        <f>STATS1003B!E347/1000</f>
        <v>800</v>
      </c>
      <c r="F333" s="9">
        <f>STATS1003B!F347/1000</f>
        <v>800</v>
      </c>
      <c r="G333" s="9">
        <f>STATS1003B!G347/1000</f>
        <v>0</v>
      </c>
      <c r="H333" s="9">
        <f>STATS1003B!H347/1000</f>
        <v>800</v>
      </c>
      <c r="I333" s="9">
        <f>STATS1003B!I347/1000</f>
        <v>0</v>
      </c>
      <c r="J333" s="9">
        <f>STATS1003B!J347/1000</f>
        <v>800</v>
      </c>
      <c r="K333" s="9">
        <f>STATS1003B!K347/1000</f>
        <v>0</v>
      </c>
      <c r="L333" s="9">
        <f>STATS1003B!L347/1000</f>
        <v>0</v>
      </c>
      <c r="M333" s="9">
        <f>STATS1003B!M347/1000</f>
        <v>800</v>
      </c>
      <c r="N333" s="9">
        <f>STATS1003B!N347/1000</f>
        <v>0</v>
      </c>
      <c r="O333" s="9">
        <f>STATS1003B!O347/1000</f>
        <v>0</v>
      </c>
      <c r="P333" s="9">
        <f>STATS1003B!P347/1000</f>
        <v>0</v>
      </c>
      <c r="Q333" s="9">
        <f>STATS1003B!Q347/1000</f>
        <v>0</v>
      </c>
      <c r="R333" s="9">
        <f>STATS1003B!R347/1000</f>
        <v>0</v>
      </c>
      <c r="S333" s="9">
        <f>STATS1003B!S347/1000</f>
        <v>0</v>
      </c>
      <c r="T333" s="9">
        <f>STATS1003B!T347/1000</f>
        <v>0</v>
      </c>
      <c r="U333" s="9">
        <f>STATS1003B!U347/1000</f>
        <v>0</v>
      </c>
      <c r="V333" s="9">
        <f>STATS1003B!V347/1000</f>
        <v>0</v>
      </c>
      <c r="W333" s="9">
        <f>STATS1003B!W347/1000</f>
        <v>0</v>
      </c>
      <c r="X333" s="9">
        <f>STATS1003B!X347/1000</f>
        <v>800</v>
      </c>
      <c r="Y333" s="9">
        <f>STATS1003B!Y347/1000</f>
        <v>0</v>
      </c>
      <c r="Z333" s="9">
        <f>STATS1003B!Z347/1000</f>
        <v>0</v>
      </c>
      <c r="AA333" s="9">
        <f>STATS1003B!AA347/1000</f>
        <v>800</v>
      </c>
      <c r="AB333" s="9">
        <f>STATS1003B!AB347/1000</f>
        <v>0</v>
      </c>
    </row>
    <row r="334" spans="1:28" x14ac:dyDescent="0.35">
      <c r="A334" s="36"/>
      <c r="B334" s="8"/>
      <c r="C334" s="7" t="s">
        <v>535</v>
      </c>
      <c r="D334" s="15" t="s">
        <v>88</v>
      </c>
      <c r="E334" s="9">
        <f>STATS1003B!E348/1000</f>
        <v>4009.1590000000001</v>
      </c>
      <c r="F334" s="9">
        <f>STATS1003B!F348/1000</f>
        <v>4009.1590000000001</v>
      </c>
      <c r="G334" s="9">
        <f>STATS1003B!G348/1000</f>
        <v>0</v>
      </c>
      <c r="H334" s="9">
        <f>STATS1003B!H348/1000</f>
        <v>4009.1590000000001</v>
      </c>
      <c r="I334" s="9">
        <f>STATS1003B!I348/1000</f>
        <v>0</v>
      </c>
      <c r="J334" s="9">
        <f>STATS1003B!J348/1000</f>
        <v>4009.1590000000001</v>
      </c>
      <c r="K334" s="9">
        <f>STATS1003B!K348/1000</f>
        <v>0</v>
      </c>
      <c r="L334" s="9">
        <f>STATS1003B!L348/1000</f>
        <v>0</v>
      </c>
      <c r="M334" s="9">
        <f>STATS1003B!M348/1000</f>
        <v>4009.1590000000001</v>
      </c>
      <c r="N334" s="9">
        <f>STATS1003B!N348/1000</f>
        <v>0</v>
      </c>
      <c r="O334" s="9">
        <f>STATS1003B!O348/1000</f>
        <v>0</v>
      </c>
      <c r="P334" s="9">
        <f>STATS1003B!P348/1000</f>
        <v>0</v>
      </c>
      <c r="Q334" s="9">
        <f>STATS1003B!Q348/1000</f>
        <v>0</v>
      </c>
      <c r="R334" s="9">
        <f>STATS1003B!R348/1000</f>
        <v>0</v>
      </c>
      <c r="S334" s="9">
        <f>STATS1003B!S348/1000</f>
        <v>0</v>
      </c>
      <c r="T334" s="9">
        <f>STATS1003B!T348/1000</f>
        <v>0</v>
      </c>
      <c r="U334" s="9">
        <f>STATS1003B!U348/1000</f>
        <v>0</v>
      </c>
      <c r="V334" s="9">
        <f>STATS1003B!V348/1000</f>
        <v>0</v>
      </c>
      <c r="W334" s="9">
        <f>STATS1003B!W348/1000</f>
        <v>0</v>
      </c>
      <c r="X334" s="9">
        <f>STATS1003B!X348/1000</f>
        <v>4009.1590000000001</v>
      </c>
      <c r="Y334" s="9">
        <f>STATS1003B!Y348/1000</f>
        <v>0</v>
      </c>
      <c r="Z334" s="9">
        <f>STATS1003B!Z348/1000</f>
        <v>0</v>
      </c>
      <c r="AA334" s="9">
        <f>STATS1003B!AA348/1000</f>
        <v>4009.1590000000001</v>
      </c>
      <c r="AB334" s="9">
        <f>STATS1003B!AB348/1000</f>
        <v>0</v>
      </c>
    </row>
    <row r="335" spans="1:28" x14ac:dyDescent="0.35">
      <c r="A335" s="36"/>
      <c r="B335" s="8"/>
      <c r="C335" s="7" t="s">
        <v>575</v>
      </c>
      <c r="D335" s="15" t="s">
        <v>108</v>
      </c>
      <c r="E335" s="9">
        <f>STATS1003B!E349/1000</f>
        <v>2858.7</v>
      </c>
      <c r="F335" s="9">
        <f>STATS1003B!F349/1000</f>
        <v>2858.7</v>
      </c>
      <c r="G335" s="9">
        <f>STATS1003B!G349/1000</f>
        <v>0</v>
      </c>
      <c r="H335" s="9">
        <f>STATS1003B!H349/1000</f>
        <v>2858.7</v>
      </c>
      <c r="I335" s="9">
        <f>STATS1003B!I349/1000</f>
        <v>0</v>
      </c>
      <c r="J335" s="9">
        <f>STATS1003B!J349/1000</f>
        <v>2858.7</v>
      </c>
      <c r="K335" s="9">
        <f>STATS1003B!K349/1000</f>
        <v>0</v>
      </c>
      <c r="L335" s="9">
        <f>STATS1003B!L349/1000</f>
        <v>0</v>
      </c>
      <c r="M335" s="9">
        <f>STATS1003B!M349/1000</f>
        <v>2858.7</v>
      </c>
      <c r="N335" s="9">
        <f>STATS1003B!N349/1000</f>
        <v>0</v>
      </c>
      <c r="O335" s="9">
        <f>STATS1003B!O349/1000</f>
        <v>0</v>
      </c>
      <c r="P335" s="9">
        <f>STATS1003B!P349/1000</f>
        <v>0</v>
      </c>
      <c r="Q335" s="9">
        <f>STATS1003B!Q349/1000</f>
        <v>0</v>
      </c>
      <c r="R335" s="9">
        <f>STATS1003B!R349/1000</f>
        <v>0</v>
      </c>
      <c r="S335" s="9">
        <f>STATS1003B!S349/1000</f>
        <v>0</v>
      </c>
      <c r="T335" s="9">
        <f>STATS1003B!T349/1000</f>
        <v>0</v>
      </c>
      <c r="U335" s="9">
        <f>STATS1003B!U349/1000</f>
        <v>0</v>
      </c>
      <c r="V335" s="9">
        <f>STATS1003B!V349/1000</f>
        <v>0</v>
      </c>
      <c r="W335" s="9">
        <f>STATS1003B!W349/1000</f>
        <v>0</v>
      </c>
      <c r="X335" s="9">
        <f>STATS1003B!X349/1000</f>
        <v>2858.7</v>
      </c>
      <c r="Y335" s="9">
        <f>STATS1003B!Y349/1000</f>
        <v>0</v>
      </c>
      <c r="Z335" s="9">
        <f>STATS1003B!Z349/1000</f>
        <v>0</v>
      </c>
      <c r="AA335" s="9">
        <f>STATS1003B!AA349/1000</f>
        <v>2858.7</v>
      </c>
      <c r="AB335" s="9">
        <f>STATS1003B!AB349/1000</f>
        <v>0</v>
      </c>
    </row>
    <row r="336" spans="1:28" x14ac:dyDescent="0.35">
      <c r="A336" s="36"/>
      <c r="B336" s="8"/>
      <c r="C336" s="7" t="s">
        <v>535</v>
      </c>
      <c r="D336" s="15" t="s">
        <v>58</v>
      </c>
      <c r="E336" s="9">
        <f>STATS1003B!E350/1000</f>
        <v>10413.43</v>
      </c>
      <c r="F336" s="9">
        <f>STATS1003B!F350/1000</f>
        <v>10413.43</v>
      </c>
      <c r="G336" s="9">
        <f>STATS1003B!G350/1000</f>
        <v>0</v>
      </c>
      <c r="H336" s="9">
        <f>STATS1003B!H350/1000</f>
        <v>10413.43</v>
      </c>
      <c r="I336" s="9">
        <f>STATS1003B!I350/1000</f>
        <v>0</v>
      </c>
      <c r="J336" s="9">
        <f>STATS1003B!J350/1000</f>
        <v>10413.43</v>
      </c>
      <c r="K336" s="9">
        <f>STATS1003B!K350/1000</f>
        <v>0</v>
      </c>
      <c r="L336" s="9">
        <f>STATS1003B!L350/1000</f>
        <v>0</v>
      </c>
      <c r="M336" s="9">
        <f>STATS1003B!M350/1000</f>
        <v>10413.43</v>
      </c>
      <c r="N336" s="9">
        <f>STATS1003B!N350/1000</f>
        <v>0</v>
      </c>
      <c r="O336" s="9">
        <f>STATS1003B!O350/1000</f>
        <v>0</v>
      </c>
      <c r="P336" s="9">
        <f>STATS1003B!P350/1000</f>
        <v>0</v>
      </c>
      <c r="Q336" s="9">
        <f>STATS1003B!Q350/1000</f>
        <v>0</v>
      </c>
      <c r="R336" s="9">
        <f>STATS1003B!R350/1000</f>
        <v>0</v>
      </c>
      <c r="S336" s="9">
        <f>STATS1003B!S350/1000</f>
        <v>0</v>
      </c>
      <c r="T336" s="9">
        <f>STATS1003B!T350/1000</f>
        <v>0</v>
      </c>
      <c r="U336" s="9">
        <f>STATS1003B!U350/1000</f>
        <v>0</v>
      </c>
      <c r="V336" s="9">
        <f>STATS1003B!V350/1000</f>
        <v>0</v>
      </c>
      <c r="W336" s="9">
        <f>STATS1003B!W350/1000</f>
        <v>0</v>
      </c>
      <c r="X336" s="9">
        <f>STATS1003B!X350/1000</f>
        <v>10413.43</v>
      </c>
      <c r="Y336" s="9">
        <f>STATS1003B!Y350/1000</f>
        <v>0</v>
      </c>
      <c r="Z336" s="9">
        <f>STATS1003B!Z350/1000</f>
        <v>0</v>
      </c>
      <c r="AA336" s="9">
        <f>STATS1003B!AA350/1000</f>
        <v>10413.43</v>
      </c>
      <c r="AB336" s="9">
        <f>STATS1003B!AB350/1000</f>
        <v>0</v>
      </c>
    </row>
    <row r="337" spans="1:28" x14ac:dyDescent="0.35">
      <c r="A337" s="36"/>
      <c r="B337" s="8"/>
      <c r="C337" s="7" t="s">
        <v>535</v>
      </c>
      <c r="D337" s="15" t="s">
        <v>60</v>
      </c>
      <c r="E337" s="9">
        <f>STATS1003B!E351/1000</f>
        <v>947.7</v>
      </c>
      <c r="F337" s="9">
        <f>STATS1003B!F351/1000</f>
        <v>947.7</v>
      </c>
      <c r="G337" s="9">
        <f>STATS1003B!G351/1000</f>
        <v>0</v>
      </c>
      <c r="H337" s="9">
        <f>STATS1003B!H351/1000</f>
        <v>947.7</v>
      </c>
      <c r="I337" s="9">
        <f>STATS1003B!I351/1000</f>
        <v>0</v>
      </c>
      <c r="J337" s="9">
        <f>STATS1003B!J351/1000</f>
        <v>947.7</v>
      </c>
      <c r="K337" s="9">
        <f>STATS1003B!K351/1000</f>
        <v>0</v>
      </c>
      <c r="L337" s="9">
        <f>STATS1003B!L351/1000</f>
        <v>0</v>
      </c>
      <c r="M337" s="9">
        <f>STATS1003B!M351/1000</f>
        <v>947.7</v>
      </c>
      <c r="N337" s="9">
        <f>STATS1003B!N351/1000</f>
        <v>0</v>
      </c>
      <c r="O337" s="9">
        <f>STATS1003B!O351/1000</f>
        <v>0</v>
      </c>
      <c r="P337" s="9">
        <f>STATS1003B!P351/1000</f>
        <v>0</v>
      </c>
      <c r="Q337" s="9">
        <f>STATS1003B!Q351/1000</f>
        <v>0</v>
      </c>
      <c r="R337" s="9">
        <f>STATS1003B!R351/1000</f>
        <v>0</v>
      </c>
      <c r="S337" s="9">
        <f>STATS1003B!S351/1000</f>
        <v>0</v>
      </c>
      <c r="T337" s="9">
        <f>STATS1003B!T351/1000</f>
        <v>0</v>
      </c>
      <c r="U337" s="9">
        <f>STATS1003B!U351/1000</f>
        <v>0</v>
      </c>
      <c r="V337" s="9">
        <f>STATS1003B!V351/1000</f>
        <v>0</v>
      </c>
      <c r="W337" s="9">
        <f>STATS1003B!W351/1000</f>
        <v>0</v>
      </c>
      <c r="X337" s="9">
        <f>STATS1003B!X351/1000</f>
        <v>947.7</v>
      </c>
      <c r="Y337" s="9">
        <f>STATS1003B!Y351/1000</f>
        <v>0</v>
      </c>
      <c r="Z337" s="9">
        <f>STATS1003B!Z351/1000</f>
        <v>0</v>
      </c>
      <c r="AA337" s="9">
        <f>STATS1003B!AA351/1000</f>
        <v>947.7</v>
      </c>
      <c r="AB337" s="9">
        <f>STATS1003B!AB351/1000</f>
        <v>0</v>
      </c>
    </row>
    <row r="338" spans="1:28" x14ac:dyDescent="0.35">
      <c r="A338" s="36"/>
      <c r="B338" s="8"/>
      <c r="C338" s="14" t="s">
        <v>535</v>
      </c>
      <c r="D338" s="21" t="s">
        <v>73</v>
      </c>
      <c r="E338" s="9">
        <f>STATS1003B!E352/1000</f>
        <v>2992.7077799999997</v>
      </c>
      <c r="F338" s="9">
        <f>STATS1003B!F352/1000</f>
        <v>2992.7077799999997</v>
      </c>
      <c r="G338" s="9">
        <f>STATS1003B!G352/1000</f>
        <v>0</v>
      </c>
      <c r="H338" s="9">
        <f>STATS1003B!H352/1000</f>
        <v>2992.7077799999997</v>
      </c>
      <c r="I338" s="9">
        <f>STATS1003B!I352/1000</f>
        <v>0</v>
      </c>
      <c r="J338" s="9">
        <f>STATS1003B!J352/1000</f>
        <v>2992.7077799999997</v>
      </c>
      <c r="K338" s="9">
        <f>STATS1003B!K352/1000</f>
        <v>0</v>
      </c>
      <c r="L338" s="9">
        <f>STATS1003B!L352/1000</f>
        <v>0</v>
      </c>
      <c r="M338" s="9">
        <f>STATS1003B!M352/1000</f>
        <v>2992.7077799999997</v>
      </c>
      <c r="N338" s="9">
        <f>STATS1003B!N352/1000</f>
        <v>0</v>
      </c>
      <c r="O338" s="9">
        <f>STATS1003B!O352/1000</f>
        <v>0</v>
      </c>
      <c r="P338" s="9">
        <f>STATS1003B!P352/1000</f>
        <v>0</v>
      </c>
      <c r="Q338" s="9">
        <f>STATS1003B!Q352/1000</f>
        <v>0</v>
      </c>
      <c r="R338" s="9">
        <f>STATS1003B!R352/1000</f>
        <v>0</v>
      </c>
      <c r="S338" s="9">
        <f>STATS1003B!S352/1000</f>
        <v>0</v>
      </c>
      <c r="T338" s="9">
        <f>STATS1003B!T352/1000</f>
        <v>0</v>
      </c>
      <c r="U338" s="9">
        <f>STATS1003B!U352/1000</f>
        <v>0</v>
      </c>
      <c r="V338" s="9">
        <f>STATS1003B!V352/1000</f>
        <v>0</v>
      </c>
      <c r="W338" s="9">
        <f>STATS1003B!W352/1000</f>
        <v>0</v>
      </c>
      <c r="X338" s="9">
        <f>STATS1003B!X352/1000</f>
        <v>2992.7077799999997</v>
      </c>
      <c r="Y338" s="9">
        <f>STATS1003B!Y352/1000</f>
        <v>0</v>
      </c>
      <c r="Z338" s="9">
        <f>STATS1003B!Z352/1000</f>
        <v>0</v>
      </c>
      <c r="AA338" s="9">
        <f>STATS1003B!AA352/1000</f>
        <v>2992.7077799999997</v>
      </c>
      <c r="AB338" s="9">
        <f>STATS1003B!AB352/1000</f>
        <v>0</v>
      </c>
    </row>
    <row r="339" spans="1:28" x14ac:dyDescent="0.35">
      <c r="A339" s="36"/>
      <c r="B339" s="8"/>
      <c r="C339" s="14" t="s">
        <v>567</v>
      </c>
      <c r="D339" s="21" t="s">
        <v>73</v>
      </c>
      <c r="E339" s="9">
        <f>STATS1003B!E353/1000</f>
        <v>125.99310000000001</v>
      </c>
      <c r="F339" s="9">
        <f>STATS1003B!F353/1000</f>
        <v>125.99310000000001</v>
      </c>
      <c r="G339" s="9">
        <f>STATS1003B!G353/1000</f>
        <v>0</v>
      </c>
      <c r="H339" s="9">
        <f>STATS1003B!H353/1000</f>
        <v>125.99310000000001</v>
      </c>
      <c r="I339" s="9">
        <f>STATS1003B!I353/1000</f>
        <v>0</v>
      </c>
      <c r="J339" s="9">
        <f>STATS1003B!J353/1000</f>
        <v>125.99310000000001</v>
      </c>
      <c r="K339" s="9">
        <f>STATS1003B!K353/1000</f>
        <v>0</v>
      </c>
      <c r="L339" s="9">
        <f>STATS1003B!L353/1000</f>
        <v>0</v>
      </c>
      <c r="M339" s="9">
        <f>STATS1003B!M353/1000</f>
        <v>125.99310000000001</v>
      </c>
      <c r="N339" s="9">
        <f>STATS1003B!N353/1000</f>
        <v>0</v>
      </c>
      <c r="O339" s="9">
        <f>STATS1003B!O353/1000</f>
        <v>0</v>
      </c>
      <c r="P339" s="9">
        <f>STATS1003B!P353/1000</f>
        <v>0</v>
      </c>
      <c r="Q339" s="9">
        <f>STATS1003B!Q353/1000</f>
        <v>0</v>
      </c>
      <c r="R339" s="9">
        <f>STATS1003B!R353/1000</f>
        <v>0</v>
      </c>
      <c r="S339" s="9">
        <f>STATS1003B!S353/1000</f>
        <v>0</v>
      </c>
      <c r="T339" s="9">
        <f>STATS1003B!T353/1000</f>
        <v>0</v>
      </c>
      <c r="U339" s="9">
        <f>STATS1003B!U353/1000</f>
        <v>0</v>
      </c>
      <c r="V339" s="9">
        <f>STATS1003B!V353/1000</f>
        <v>0</v>
      </c>
      <c r="W339" s="9">
        <f>STATS1003B!W353/1000</f>
        <v>0</v>
      </c>
      <c r="X339" s="9">
        <f>STATS1003B!X353/1000</f>
        <v>125.99310000000001</v>
      </c>
      <c r="Y339" s="9">
        <f>STATS1003B!Y353/1000</f>
        <v>0</v>
      </c>
      <c r="Z339" s="9">
        <f>STATS1003B!Z353/1000</f>
        <v>0</v>
      </c>
      <c r="AA339" s="9">
        <f>STATS1003B!AA353/1000</f>
        <v>125.99310000000001</v>
      </c>
      <c r="AB339" s="9">
        <f>STATS1003B!AB353/1000</f>
        <v>0</v>
      </c>
    </row>
    <row r="340" spans="1:28" x14ac:dyDescent="0.35">
      <c r="A340" s="36"/>
      <c r="B340" s="8"/>
      <c r="C340" s="14" t="s">
        <v>576</v>
      </c>
      <c r="D340" s="21" t="s">
        <v>73</v>
      </c>
      <c r="E340" s="9">
        <f>STATS1003B!E354/1000</f>
        <v>587.47679000000005</v>
      </c>
      <c r="F340" s="9">
        <f>STATS1003B!F354/1000</f>
        <v>587.47679000000005</v>
      </c>
      <c r="G340" s="9">
        <f>STATS1003B!G354/1000</f>
        <v>0</v>
      </c>
      <c r="H340" s="9">
        <f>STATS1003B!H354/1000</f>
        <v>587.47679000000005</v>
      </c>
      <c r="I340" s="9">
        <f>STATS1003B!I354/1000</f>
        <v>0</v>
      </c>
      <c r="J340" s="9">
        <f>STATS1003B!J354/1000</f>
        <v>587.47679000000005</v>
      </c>
      <c r="K340" s="9">
        <f>STATS1003B!K354/1000</f>
        <v>0</v>
      </c>
      <c r="L340" s="9">
        <f>STATS1003B!L354/1000</f>
        <v>0</v>
      </c>
      <c r="M340" s="9">
        <f>STATS1003B!M354/1000</f>
        <v>587.47679000000005</v>
      </c>
      <c r="N340" s="9">
        <f>STATS1003B!N354/1000</f>
        <v>0</v>
      </c>
      <c r="O340" s="9">
        <f>STATS1003B!O354/1000</f>
        <v>0</v>
      </c>
      <c r="P340" s="9">
        <f>STATS1003B!P354/1000</f>
        <v>0</v>
      </c>
      <c r="Q340" s="9">
        <f>STATS1003B!Q354/1000</f>
        <v>0</v>
      </c>
      <c r="R340" s="9">
        <f>STATS1003B!R354/1000</f>
        <v>0</v>
      </c>
      <c r="S340" s="9">
        <f>STATS1003B!S354/1000</f>
        <v>0</v>
      </c>
      <c r="T340" s="9">
        <f>STATS1003B!T354/1000</f>
        <v>0</v>
      </c>
      <c r="U340" s="9">
        <f>STATS1003B!U354/1000</f>
        <v>0</v>
      </c>
      <c r="V340" s="9">
        <f>STATS1003B!V354/1000</f>
        <v>0</v>
      </c>
      <c r="W340" s="9">
        <f>STATS1003B!W354/1000</f>
        <v>0</v>
      </c>
      <c r="X340" s="9">
        <f>STATS1003B!X354/1000</f>
        <v>587.47679000000005</v>
      </c>
      <c r="Y340" s="9">
        <f>STATS1003B!Y354/1000</f>
        <v>0</v>
      </c>
      <c r="Z340" s="9">
        <f>STATS1003B!Z354/1000</f>
        <v>0</v>
      </c>
      <c r="AA340" s="9">
        <f>STATS1003B!AA354/1000</f>
        <v>587.47679000000005</v>
      </c>
      <c r="AB340" s="9">
        <f>STATS1003B!AB354/1000</f>
        <v>0</v>
      </c>
    </row>
    <row r="341" spans="1:28" x14ac:dyDescent="0.35">
      <c r="A341" s="36"/>
      <c r="B341" s="8"/>
      <c r="C341" s="14" t="s">
        <v>926</v>
      </c>
      <c r="D341" s="24" t="s">
        <v>61</v>
      </c>
      <c r="E341" s="9">
        <f>STATS1003B!E356/1000</f>
        <v>2763.6185</v>
      </c>
      <c r="F341" s="9">
        <f>STATS1003B!F356/1000</f>
        <v>2763.6185</v>
      </c>
      <c r="G341" s="9">
        <f>STATS1003B!G356/1000</f>
        <v>0</v>
      </c>
      <c r="H341" s="9">
        <f>STATS1003B!H356/1000</f>
        <v>2763.6185</v>
      </c>
      <c r="I341" s="9">
        <f>STATS1003B!I356/1000</f>
        <v>0</v>
      </c>
      <c r="J341" s="9">
        <f>STATS1003B!J356/1000</f>
        <v>0</v>
      </c>
      <c r="K341" s="9">
        <f>STATS1003B!K356/1000</f>
        <v>0</v>
      </c>
      <c r="L341" s="9">
        <f>STATS1003B!L356/1000</f>
        <v>0</v>
      </c>
      <c r="M341" s="9">
        <f>STATS1003B!M356/1000</f>
        <v>2763.6185</v>
      </c>
      <c r="N341" s="9">
        <f>STATS1003B!N356/1000</f>
        <v>0</v>
      </c>
      <c r="O341" s="9">
        <f>STATS1003B!O356/1000</f>
        <v>0</v>
      </c>
      <c r="P341" s="9">
        <f>STATS1003B!P356/1000</f>
        <v>0</v>
      </c>
      <c r="Q341" s="9">
        <f>STATS1003B!Q356/1000</f>
        <v>0</v>
      </c>
      <c r="R341" s="9">
        <f>STATS1003B!R356/1000</f>
        <v>0</v>
      </c>
      <c r="S341" s="9">
        <f>STATS1003B!S356/1000</f>
        <v>0</v>
      </c>
      <c r="T341" s="9">
        <f>STATS1003B!T356/1000</f>
        <v>0</v>
      </c>
      <c r="U341" s="9">
        <f>STATS1003B!U356/1000</f>
        <v>0</v>
      </c>
      <c r="V341" s="9">
        <f>STATS1003B!V356/1000</f>
        <v>0</v>
      </c>
      <c r="W341" s="9">
        <f>STATS1003B!W356/1000</f>
        <v>0</v>
      </c>
      <c r="X341" s="9">
        <f>STATS1003B!X356/1000</f>
        <v>2763.6185</v>
      </c>
      <c r="Y341" s="9">
        <f>STATS1003B!Y356/1000</f>
        <v>0</v>
      </c>
      <c r="Z341" s="9">
        <f>STATS1003B!Z356/1000</f>
        <v>0</v>
      </c>
      <c r="AA341" s="9">
        <f>STATS1003B!AA356/1000</f>
        <v>2763.6185</v>
      </c>
      <c r="AB341" s="9">
        <f>STATS1003B!AB356/1000</f>
        <v>0</v>
      </c>
    </row>
    <row r="342" spans="1:28" x14ac:dyDescent="0.35">
      <c r="A342" s="36"/>
      <c r="B342" s="8"/>
      <c r="C342" s="14" t="s">
        <v>929</v>
      </c>
      <c r="D342" s="24" t="s">
        <v>1072</v>
      </c>
      <c r="E342" s="9">
        <f>STATS1003B!E357/1000</f>
        <v>4843.23873</v>
      </c>
      <c r="F342" s="9">
        <f>STATS1003B!F357/1000</f>
        <v>4843.23873</v>
      </c>
      <c r="G342" s="9">
        <f>STATS1003B!G357/1000</f>
        <v>0</v>
      </c>
      <c r="H342" s="9">
        <f>STATS1003B!H357/1000</f>
        <v>4843.23873</v>
      </c>
      <c r="I342" s="9">
        <f>STATS1003B!I357/1000</f>
        <v>0</v>
      </c>
      <c r="J342" s="9">
        <f>STATS1003B!J357/1000</f>
        <v>0</v>
      </c>
      <c r="K342" s="9">
        <f>STATS1003B!K357/1000</f>
        <v>0</v>
      </c>
      <c r="L342" s="9">
        <f>STATS1003B!L357/1000</f>
        <v>0</v>
      </c>
      <c r="M342" s="9">
        <f>STATS1003B!M357/1000</f>
        <v>4843.23873</v>
      </c>
      <c r="N342" s="9">
        <f>STATS1003B!N357/1000</f>
        <v>0</v>
      </c>
      <c r="O342" s="9">
        <f>STATS1003B!O357/1000</f>
        <v>0</v>
      </c>
      <c r="P342" s="9">
        <f>STATS1003B!P357/1000</f>
        <v>0</v>
      </c>
      <c r="Q342" s="9">
        <f>STATS1003B!Q357/1000</f>
        <v>0</v>
      </c>
      <c r="R342" s="9">
        <f>STATS1003B!R357/1000</f>
        <v>0</v>
      </c>
      <c r="S342" s="9">
        <f>STATS1003B!S357/1000</f>
        <v>0</v>
      </c>
      <c r="T342" s="9">
        <f>STATS1003B!T357/1000</f>
        <v>0</v>
      </c>
      <c r="U342" s="9">
        <f>STATS1003B!U357/1000</f>
        <v>0</v>
      </c>
      <c r="V342" s="9">
        <f>STATS1003B!V357/1000</f>
        <v>0</v>
      </c>
      <c r="W342" s="9">
        <f>STATS1003B!W357/1000</f>
        <v>0</v>
      </c>
      <c r="X342" s="9">
        <f>STATS1003B!X357/1000</f>
        <v>4843.23873</v>
      </c>
      <c r="Y342" s="9">
        <f>STATS1003B!Y357/1000</f>
        <v>0</v>
      </c>
      <c r="Z342" s="9">
        <f>STATS1003B!Z357/1000</f>
        <v>0</v>
      </c>
      <c r="AA342" s="9">
        <f>STATS1003B!AA357/1000</f>
        <v>4843.23873</v>
      </c>
      <c r="AB342" s="9">
        <f>STATS1003B!AB357/1000</f>
        <v>0</v>
      </c>
    </row>
    <row r="343" spans="1:28" x14ac:dyDescent="0.35">
      <c r="A343" s="36"/>
      <c r="B343" s="8"/>
      <c r="C343" s="14" t="s">
        <v>1104</v>
      </c>
      <c r="D343" s="24" t="s">
        <v>1072</v>
      </c>
      <c r="E343" s="9">
        <f>STATS1003B!E360/1000</f>
        <v>1500</v>
      </c>
      <c r="F343" s="9">
        <f>STATS1003B!F360/1000</f>
        <v>1500</v>
      </c>
      <c r="G343" s="9">
        <f>STATS1003B!G360/1000</f>
        <v>0</v>
      </c>
      <c r="H343" s="9">
        <f>STATS1003B!H360/1000</f>
        <v>1500</v>
      </c>
      <c r="I343" s="9">
        <f>STATS1003B!I360/1000</f>
        <v>0</v>
      </c>
      <c r="J343" s="9">
        <f>STATS1003B!J360/1000</f>
        <v>0</v>
      </c>
      <c r="K343" s="9">
        <f>STATS1003B!K360/1000</f>
        <v>0</v>
      </c>
      <c r="L343" s="9">
        <f>STATS1003B!L360/1000</f>
        <v>0</v>
      </c>
      <c r="M343" s="9">
        <f>STATS1003B!M360/1000</f>
        <v>1500</v>
      </c>
      <c r="N343" s="9">
        <f>STATS1003B!N360/1000</f>
        <v>0</v>
      </c>
      <c r="O343" s="9">
        <f>STATS1003B!O360/1000</f>
        <v>0</v>
      </c>
      <c r="P343" s="9">
        <f>STATS1003B!P360/1000</f>
        <v>0</v>
      </c>
      <c r="Q343" s="9">
        <f>STATS1003B!Q360/1000</f>
        <v>0</v>
      </c>
      <c r="R343" s="9">
        <f>STATS1003B!R360/1000</f>
        <v>0</v>
      </c>
      <c r="S343" s="9">
        <f>STATS1003B!S360/1000</f>
        <v>0</v>
      </c>
      <c r="T343" s="9">
        <f>STATS1003B!T360/1000</f>
        <v>0</v>
      </c>
      <c r="U343" s="9">
        <f>STATS1003B!U360/1000</f>
        <v>0</v>
      </c>
      <c r="V343" s="9">
        <f>STATS1003B!V360/1000</f>
        <v>0</v>
      </c>
      <c r="W343" s="9">
        <f>STATS1003B!W360/1000</f>
        <v>0</v>
      </c>
      <c r="X343" s="9">
        <f>STATS1003B!X360/1000</f>
        <v>1500</v>
      </c>
      <c r="Y343" s="9">
        <f>STATS1003B!Y360/1000</f>
        <v>0</v>
      </c>
      <c r="Z343" s="9">
        <f>STATS1003B!Z360/1000</f>
        <v>0</v>
      </c>
      <c r="AA343" s="9">
        <f>STATS1003B!AA360/1000</f>
        <v>1500</v>
      </c>
      <c r="AB343" s="9">
        <f>STATS1003B!AB360/1000</f>
        <v>0</v>
      </c>
    </row>
    <row r="344" spans="1:28" x14ac:dyDescent="0.35">
      <c r="A344" s="36"/>
      <c r="B344" s="8"/>
      <c r="C344" s="14" t="s">
        <v>1142</v>
      </c>
      <c r="D344" s="24" t="s">
        <v>1126</v>
      </c>
      <c r="E344" s="9">
        <f>STATS1003B!E361/1000</f>
        <v>268.42352</v>
      </c>
      <c r="F344" s="9">
        <f>STATS1003B!F361/1000</f>
        <v>268.42352</v>
      </c>
      <c r="G344" s="9">
        <f>STATS1003B!G361/1000</f>
        <v>0</v>
      </c>
      <c r="H344" s="9">
        <f>STATS1003B!H361/1000</f>
        <v>268.42352</v>
      </c>
      <c r="I344" s="9">
        <f>STATS1003B!I361/1000</f>
        <v>0</v>
      </c>
      <c r="J344" s="9">
        <f>STATS1003B!J361/1000</f>
        <v>0</v>
      </c>
      <c r="K344" s="9">
        <f>STATS1003B!K361/1000</f>
        <v>0</v>
      </c>
      <c r="L344" s="9">
        <f>STATS1003B!L361/1000</f>
        <v>0</v>
      </c>
      <c r="M344" s="9">
        <f>STATS1003B!M361/1000</f>
        <v>268.42352</v>
      </c>
      <c r="N344" s="9">
        <f>STATS1003B!N361/1000</f>
        <v>0</v>
      </c>
      <c r="O344" s="9">
        <f>STATS1003B!O361/1000</f>
        <v>0</v>
      </c>
      <c r="P344" s="9">
        <f>STATS1003B!P361/1000</f>
        <v>0</v>
      </c>
      <c r="Q344" s="9">
        <f>STATS1003B!Q361/1000</f>
        <v>0</v>
      </c>
      <c r="R344" s="9">
        <f>STATS1003B!R361/1000</f>
        <v>0</v>
      </c>
      <c r="S344" s="9">
        <f>STATS1003B!S361/1000</f>
        <v>0</v>
      </c>
      <c r="T344" s="9">
        <f>STATS1003B!T361/1000</f>
        <v>0</v>
      </c>
      <c r="U344" s="9">
        <f>STATS1003B!U361/1000</f>
        <v>0</v>
      </c>
      <c r="V344" s="9">
        <f>STATS1003B!V361/1000</f>
        <v>0</v>
      </c>
      <c r="W344" s="9">
        <f>STATS1003B!W361/1000</f>
        <v>0</v>
      </c>
      <c r="X344" s="9">
        <f>STATS1003B!X361/1000</f>
        <v>268.42352</v>
      </c>
      <c r="Y344" s="9">
        <f>STATS1003B!Y361/1000</f>
        <v>0</v>
      </c>
      <c r="Z344" s="9">
        <f>STATS1003B!Z361/1000</f>
        <v>0</v>
      </c>
      <c r="AA344" s="9">
        <f>STATS1003B!AA361/1000</f>
        <v>268.42352</v>
      </c>
      <c r="AB344" s="9">
        <f>STATS1003B!AB361/1000</f>
        <v>0</v>
      </c>
    </row>
    <row r="345" spans="1:28" x14ac:dyDescent="0.35">
      <c r="A345" s="36"/>
      <c r="B345" s="8"/>
      <c r="C345" s="14" t="s">
        <v>1143</v>
      </c>
      <c r="D345" s="24" t="s">
        <v>1126</v>
      </c>
      <c r="E345" s="9">
        <f>STATS1003B!E362/1000</f>
        <v>874.00689999999997</v>
      </c>
      <c r="F345" s="9">
        <f>STATS1003B!F362/1000</f>
        <v>874.00689999999997</v>
      </c>
      <c r="G345" s="9">
        <f>STATS1003B!G362/1000</f>
        <v>0</v>
      </c>
      <c r="H345" s="9">
        <f>STATS1003B!H362/1000</f>
        <v>874.00689999999997</v>
      </c>
      <c r="I345" s="9">
        <f>STATS1003B!I362/1000</f>
        <v>0</v>
      </c>
      <c r="J345" s="9">
        <f>STATS1003B!J362/1000</f>
        <v>0</v>
      </c>
      <c r="K345" s="9">
        <f>STATS1003B!K362/1000</f>
        <v>0</v>
      </c>
      <c r="L345" s="9">
        <f>STATS1003B!L362/1000</f>
        <v>0</v>
      </c>
      <c r="M345" s="9">
        <f>STATS1003B!M362/1000</f>
        <v>874.00689999999997</v>
      </c>
      <c r="N345" s="9">
        <f>STATS1003B!N362/1000</f>
        <v>0</v>
      </c>
      <c r="O345" s="9">
        <f>STATS1003B!O362/1000</f>
        <v>0</v>
      </c>
      <c r="P345" s="9">
        <f>STATS1003B!P362/1000</f>
        <v>0</v>
      </c>
      <c r="Q345" s="9">
        <f>STATS1003B!Q362/1000</f>
        <v>0</v>
      </c>
      <c r="R345" s="9">
        <f>STATS1003B!R362/1000</f>
        <v>0</v>
      </c>
      <c r="S345" s="9">
        <f>STATS1003B!S362/1000</f>
        <v>0</v>
      </c>
      <c r="T345" s="9">
        <f>STATS1003B!T362/1000</f>
        <v>0</v>
      </c>
      <c r="U345" s="9">
        <f>STATS1003B!U362/1000</f>
        <v>0</v>
      </c>
      <c r="V345" s="9">
        <f>STATS1003B!V362/1000</f>
        <v>0</v>
      </c>
      <c r="W345" s="9">
        <f>STATS1003B!W362/1000</f>
        <v>0</v>
      </c>
      <c r="X345" s="9">
        <f>STATS1003B!X362/1000</f>
        <v>874.00689999999997</v>
      </c>
      <c r="Y345" s="9">
        <f>STATS1003B!Y362/1000</f>
        <v>0</v>
      </c>
      <c r="Z345" s="9">
        <f>STATS1003B!Z362/1000</f>
        <v>0</v>
      </c>
      <c r="AA345" s="9">
        <f>STATS1003B!AA362/1000</f>
        <v>874.00689999999997</v>
      </c>
      <c r="AB345" s="9">
        <f>STATS1003B!AB362/1000</f>
        <v>0</v>
      </c>
    </row>
    <row r="346" spans="1:28" x14ac:dyDescent="0.35">
      <c r="A346" s="36"/>
      <c r="B346" s="8"/>
      <c r="C346" s="14" t="s">
        <v>927</v>
      </c>
      <c r="D346" s="21"/>
      <c r="E346" s="9">
        <f>STATS1003B!E363/1000</f>
        <v>731.57647999999995</v>
      </c>
      <c r="F346" s="9">
        <f>STATS1003B!F363/1000</f>
        <v>731.57647999999995</v>
      </c>
      <c r="G346" s="9">
        <f>STATS1003B!G363/1000</f>
        <v>0</v>
      </c>
      <c r="H346" s="9">
        <f>STATS1003B!H363/1000</f>
        <v>731.57647999999995</v>
      </c>
      <c r="I346" s="9">
        <f>STATS1003B!I363/1000</f>
        <v>0</v>
      </c>
      <c r="J346" s="9">
        <f>STATS1003B!J363/1000</f>
        <v>0</v>
      </c>
      <c r="K346" s="9">
        <f>STATS1003B!K363/1000</f>
        <v>0</v>
      </c>
      <c r="L346" s="9">
        <f>STATS1003B!L363/1000</f>
        <v>0</v>
      </c>
      <c r="M346" s="9">
        <f>STATS1003B!M363/1000</f>
        <v>731.57647999999995</v>
      </c>
      <c r="N346" s="9">
        <f>STATS1003B!N363/1000</f>
        <v>0</v>
      </c>
      <c r="O346" s="9">
        <f>STATS1003B!O363/1000</f>
        <v>0</v>
      </c>
      <c r="P346" s="9">
        <f>STATS1003B!P363/1000</f>
        <v>0</v>
      </c>
      <c r="Q346" s="9">
        <f>STATS1003B!Q363/1000</f>
        <v>0</v>
      </c>
      <c r="R346" s="9">
        <f>STATS1003B!R363/1000</f>
        <v>0</v>
      </c>
      <c r="S346" s="9">
        <f>STATS1003B!S363/1000</f>
        <v>0</v>
      </c>
      <c r="T346" s="9">
        <f>STATS1003B!T363/1000</f>
        <v>0</v>
      </c>
      <c r="U346" s="9">
        <f>STATS1003B!U363/1000</f>
        <v>0</v>
      </c>
      <c r="V346" s="9">
        <f>STATS1003B!V363/1000</f>
        <v>0</v>
      </c>
      <c r="W346" s="9">
        <f>STATS1003B!W363/1000</f>
        <v>0</v>
      </c>
      <c r="X346" s="9">
        <f>STATS1003B!X363/1000</f>
        <v>731.57647999999995</v>
      </c>
      <c r="Y346" s="9">
        <f>STATS1003B!Y363/1000</f>
        <v>0</v>
      </c>
      <c r="Z346" s="9">
        <f>STATS1003B!Z363/1000</f>
        <v>0</v>
      </c>
      <c r="AA346" s="9">
        <f>STATS1003B!AA363/1000</f>
        <v>731.57647999999995</v>
      </c>
      <c r="AB346" s="9">
        <f>STATS1003B!AB363/1000</f>
        <v>0</v>
      </c>
    </row>
    <row r="347" spans="1:28" x14ac:dyDescent="0.35">
      <c r="A347" s="36"/>
      <c r="B347" s="8"/>
      <c r="C347" s="7" t="s">
        <v>577</v>
      </c>
      <c r="D347" s="8"/>
      <c r="E347" s="9">
        <f>STATS1003B!E364/1000</f>
        <v>2654.645</v>
      </c>
      <c r="F347" s="9">
        <f>STATS1003B!F364/1000</f>
        <v>2654.645</v>
      </c>
      <c r="G347" s="9">
        <f>STATS1003B!G364/1000</f>
        <v>0</v>
      </c>
      <c r="H347" s="9">
        <f>STATS1003B!H364/1000</f>
        <v>2654.645</v>
      </c>
      <c r="I347" s="9">
        <f>STATS1003B!I364/1000</f>
        <v>0</v>
      </c>
      <c r="J347" s="9">
        <f>STATS1003B!J364/1000</f>
        <v>2654.645</v>
      </c>
      <c r="K347" s="9">
        <f>STATS1003B!K364/1000</f>
        <v>0</v>
      </c>
      <c r="L347" s="9">
        <f>STATS1003B!L364/1000</f>
        <v>0</v>
      </c>
      <c r="M347" s="9">
        <f>STATS1003B!M364/1000</f>
        <v>2654.645</v>
      </c>
      <c r="N347" s="9">
        <f>STATS1003B!N364/1000</f>
        <v>0</v>
      </c>
      <c r="O347" s="9">
        <f>STATS1003B!O364/1000</f>
        <v>0</v>
      </c>
      <c r="P347" s="9">
        <f>STATS1003B!P364/1000</f>
        <v>0</v>
      </c>
      <c r="Q347" s="9">
        <f>STATS1003B!Q364/1000</f>
        <v>0</v>
      </c>
      <c r="R347" s="9">
        <f>STATS1003B!R364/1000</f>
        <v>0</v>
      </c>
      <c r="S347" s="9">
        <f>STATS1003B!S364/1000</f>
        <v>0</v>
      </c>
      <c r="T347" s="9">
        <f>STATS1003B!T364/1000</f>
        <v>0</v>
      </c>
      <c r="U347" s="9">
        <f>STATS1003B!U364/1000</f>
        <v>0</v>
      </c>
      <c r="V347" s="9">
        <f>STATS1003B!V364/1000</f>
        <v>0</v>
      </c>
      <c r="W347" s="9">
        <f>STATS1003B!W364/1000</f>
        <v>0</v>
      </c>
      <c r="X347" s="9">
        <f>STATS1003B!X364/1000</f>
        <v>2654.645</v>
      </c>
      <c r="Y347" s="9">
        <f>STATS1003B!Y364/1000</f>
        <v>0</v>
      </c>
      <c r="Z347" s="9">
        <f>STATS1003B!Z364/1000</f>
        <v>0</v>
      </c>
      <c r="AA347" s="9">
        <f>STATS1003B!AA364/1000</f>
        <v>2654.645</v>
      </c>
      <c r="AB347" s="9">
        <f>STATS1003B!AB364/1000</f>
        <v>0</v>
      </c>
    </row>
    <row r="348" spans="1:28" x14ac:dyDescent="0.35">
      <c r="A348" s="36"/>
      <c r="B348" s="8"/>
      <c r="C348" s="7" t="s">
        <v>569</v>
      </c>
      <c r="D348" s="8"/>
      <c r="E348" s="9">
        <f>STATS1003B!E365/1000</f>
        <v>772.64499999999998</v>
      </c>
      <c r="F348" s="9">
        <f>STATS1003B!F365/1000</f>
        <v>772.64499999999998</v>
      </c>
      <c r="G348" s="9">
        <f>STATS1003B!G365/1000</f>
        <v>0</v>
      </c>
      <c r="H348" s="9">
        <f>STATS1003B!H365/1000</f>
        <v>772.64499999999998</v>
      </c>
      <c r="I348" s="9">
        <f>STATS1003B!I365/1000</f>
        <v>0</v>
      </c>
      <c r="J348" s="9">
        <f>STATS1003B!J365/1000</f>
        <v>772.64499999999998</v>
      </c>
      <c r="K348" s="9">
        <f>STATS1003B!K365/1000</f>
        <v>0</v>
      </c>
      <c r="L348" s="9">
        <f>STATS1003B!L365/1000</f>
        <v>0</v>
      </c>
      <c r="M348" s="9">
        <f>STATS1003B!M365/1000</f>
        <v>772.64499999999998</v>
      </c>
      <c r="N348" s="9">
        <f>STATS1003B!N365/1000</f>
        <v>0</v>
      </c>
      <c r="O348" s="9">
        <f>STATS1003B!O365/1000</f>
        <v>0</v>
      </c>
      <c r="P348" s="9">
        <f>STATS1003B!P365/1000</f>
        <v>0</v>
      </c>
      <c r="Q348" s="9">
        <f>STATS1003B!Q365/1000</f>
        <v>0</v>
      </c>
      <c r="R348" s="9">
        <f>STATS1003B!R365/1000</f>
        <v>0</v>
      </c>
      <c r="S348" s="9">
        <f>STATS1003B!S365/1000</f>
        <v>0</v>
      </c>
      <c r="T348" s="9">
        <f>STATS1003B!T365/1000</f>
        <v>0</v>
      </c>
      <c r="U348" s="9">
        <f>STATS1003B!U365/1000</f>
        <v>0</v>
      </c>
      <c r="V348" s="9">
        <f>STATS1003B!V365/1000</f>
        <v>0</v>
      </c>
      <c r="W348" s="9">
        <f>STATS1003B!W365/1000</f>
        <v>0</v>
      </c>
      <c r="X348" s="9">
        <f>STATS1003B!X365/1000</f>
        <v>772.64499999999998</v>
      </c>
      <c r="Y348" s="9">
        <f>STATS1003B!Y365/1000</f>
        <v>0</v>
      </c>
      <c r="Z348" s="9">
        <f>STATS1003B!Z365/1000</f>
        <v>0</v>
      </c>
      <c r="AA348" s="9">
        <f>STATS1003B!AA365/1000</f>
        <v>772.64499999999998</v>
      </c>
      <c r="AB348" s="9">
        <f>STATS1003B!AB365/1000</f>
        <v>0</v>
      </c>
    </row>
    <row r="349" spans="1:28" x14ac:dyDescent="0.35">
      <c r="A349" s="36"/>
      <c r="B349" s="8"/>
      <c r="C349" s="7" t="s">
        <v>578</v>
      </c>
      <c r="D349" s="8"/>
      <c r="E349" s="9">
        <f>STATS1003B!E366/1000</f>
        <v>25</v>
      </c>
      <c r="F349" s="9">
        <f>STATS1003B!F366/1000</f>
        <v>19.975999999999999</v>
      </c>
      <c r="G349" s="9">
        <f>STATS1003B!G366/1000</f>
        <v>0</v>
      </c>
      <c r="H349" s="9">
        <f>STATS1003B!H366/1000</f>
        <v>19.975999999999999</v>
      </c>
      <c r="I349" s="9">
        <f>STATS1003B!I366/1000</f>
        <v>0</v>
      </c>
      <c r="J349" s="9">
        <f>STATS1003B!J366/1000</f>
        <v>19.975999999999999</v>
      </c>
      <c r="K349" s="9">
        <f>STATS1003B!K366/1000</f>
        <v>0</v>
      </c>
      <c r="L349" s="9">
        <f>STATS1003B!L366/1000</f>
        <v>0</v>
      </c>
      <c r="M349" s="9">
        <f>STATS1003B!M366/1000</f>
        <v>19.975999999999999</v>
      </c>
      <c r="N349" s="9">
        <f>STATS1003B!N366/1000</f>
        <v>0</v>
      </c>
      <c r="O349" s="9">
        <f>STATS1003B!O366/1000</f>
        <v>0</v>
      </c>
      <c r="P349" s="9">
        <f>STATS1003B!P366/1000</f>
        <v>0</v>
      </c>
      <c r="Q349" s="9">
        <f>STATS1003B!Q366/1000</f>
        <v>0</v>
      </c>
      <c r="R349" s="9">
        <f>STATS1003B!R366/1000</f>
        <v>0</v>
      </c>
      <c r="S349" s="9">
        <f>STATS1003B!S366/1000</f>
        <v>0</v>
      </c>
      <c r="T349" s="9">
        <f>STATS1003B!T366/1000</f>
        <v>0</v>
      </c>
      <c r="U349" s="9">
        <f>STATS1003B!U366/1000</f>
        <v>0</v>
      </c>
      <c r="V349" s="9">
        <f>STATS1003B!V366/1000</f>
        <v>0</v>
      </c>
      <c r="W349" s="9">
        <f>STATS1003B!W366/1000</f>
        <v>0</v>
      </c>
      <c r="X349" s="9">
        <f>STATS1003B!X366/1000</f>
        <v>19.975999999999999</v>
      </c>
      <c r="Y349" s="9">
        <f>STATS1003B!Y366/1000</f>
        <v>0</v>
      </c>
      <c r="Z349" s="9">
        <f>STATS1003B!Z366/1000</f>
        <v>5.024</v>
      </c>
      <c r="AA349" s="9">
        <f>STATS1003B!AA366/1000</f>
        <v>19.975999999999999</v>
      </c>
      <c r="AB349" s="9">
        <f>STATS1003B!AB366/1000</f>
        <v>5.024</v>
      </c>
    </row>
    <row r="350" spans="1:28" x14ac:dyDescent="0.35">
      <c r="A350" s="36"/>
      <c r="B350" s="8"/>
      <c r="C350" s="7" t="s">
        <v>579</v>
      </c>
      <c r="D350" s="8"/>
      <c r="E350" s="9">
        <f>STATS1003B!E367/1000</f>
        <v>1914.2492999999999</v>
      </c>
      <c r="F350" s="9">
        <f>STATS1003B!F367/1000</f>
        <v>1914.2492999999999</v>
      </c>
      <c r="G350" s="9">
        <f>STATS1003B!G367/1000</f>
        <v>0</v>
      </c>
      <c r="H350" s="9">
        <f>STATS1003B!H367/1000</f>
        <v>1914.2492999999999</v>
      </c>
      <c r="I350" s="9">
        <f>STATS1003B!I367/1000</f>
        <v>0</v>
      </c>
      <c r="J350" s="9">
        <f>STATS1003B!J367/1000</f>
        <v>1914.2492999999999</v>
      </c>
      <c r="K350" s="9">
        <f>STATS1003B!K367/1000</f>
        <v>0</v>
      </c>
      <c r="L350" s="9">
        <f>STATS1003B!L367/1000</f>
        <v>0</v>
      </c>
      <c r="M350" s="9">
        <f>STATS1003B!M367/1000</f>
        <v>1914.2492999999999</v>
      </c>
      <c r="N350" s="9">
        <f>STATS1003B!N367/1000</f>
        <v>0</v>
      </c>
      <c r="O350" s="9">
        <f>STATS1003B!O367/1000</f>
        <v>0</v>
      </c>
      <c r="P350" s="9">
        <f>STATS1003B!P367/1000</f>
        <v>0</v>
      </c>
      <c r="Q350" s="9">
        <f>STATS1003B!Q367/1000</f>
        <v>0</v>
      </c>
      <c r="R350" s="9">
        <f>STATS1003B!R367/1000</f>
        <v>0</v>
      </c>
      <c r="S350" s="9">
        <f>STATS1003B!S367/1000</f>
        <v>0</v>
      </c>
      <c r="T350" s="9">
        <f>STATS1003B!T367/1000</f>
        <v>0</v>
      </c>
      <c r="U350" s="9">
        <f>STATS1003B!U367/1000</f>
        <v>0</v>
      </c>
      <c r="V350" s="9">
        <f>STATS1003B!V367/1000</f>
        <v>0</v>
      </c>
      <c r="W350" s="9">
        <f>STATS1003B!W367/1000</f>
        <v>0</v>
      </c>
      <c r="X350" s="9">
        <f>STATS1003B!X367/1000</f>
        <v>1914.2492999999999</v>
      </c>
      <c r="Y350" s="9">
        <f>STATS1003B!Y367/1000</f>
        <v>0</v>
      </c>
      <c r="Z350" s="9">
        <f>STATS1003B!Z367/1000</f>
        <v>0</v>
      </c>
      <c r="AA350" s="9">
        <f>STATS1003B!AA367/1000</f>
        <v>1914.2492999999999</v>
      </c>
      <c r="AB350" s="9">
        <f>STATS1003B!AB367/1000</f>
        <v>0</v>
      </c>
    </row>
    <row r="351" spans="1:28" x14ac:dyDescent="0.35">
      <c r="A351" s="36"/>
      <c r="B351" s="8"/>
      <c r="C351" s="7" t="s">
        <v>543</v>
      </c>
      <c r="D351" s="8"/>
      <c r="E351" s="9">
        <f>STATS1003B!E368/1000</f>
        <v>4864.5644199999997</v>
      </c>
      <c r="F351" s="9">
        <f>STATS1003B!F368/1000</f>
        <v>4864.5644199999997</v>
      </c>
      <c r="G351" s="9">
        <f>STATS1003B!G368/1000</f>
        <v>0</v>
      </c>
      <c r="H351" s="9">
        <f>STATS1003B!H368/1000</f>
        <v>4864.5644199999997</v>
      </c>
      <c r="I351" s="9">
        <f>STATS1003B!I368/1000</f>
        <v>0</v>
      </c>
      <c r="J351" s="9">
        <f>STATS1003B!J368/1000</f>
        <v>4864.5644199999997</v>
      </c>
      <c r="K351" s="9">
        <f>STATS1003B!K368/1000</f>
        <v>0</v>
      </c>
      <c r="L351" s="9">
        <f>STATS1003B!L368/1000</f>
        <v>0</v>
      </c>
      <c r="M351" s="9">
        <f>STATS1003B!M368/1000</f>
        <v>4864.5644199999997</v>
      </c>
      <c r="N351" s="9">
        <f>STATS1003B!N368/1000</f>
        <v>0</v>
      </c>
      <c r="O351" s="9">
        <f>STATS1003B!O368/1000</f>
        <v>0</v>
      </c>
      <c r="P351" s="9">
        <f>STATS1003B!P368/1000</f>
        <v>0</v>
      </c>
      <c r="Q351" s="9">
        <f>STATS1003B!Q368/1000</f>
        <v>0</v>
      </c>
      <c r="R351" s="9">
        <f>STATS1003B!R368/1000</f>
        <v>0</v>
      </c>
      <c r="S351" s="9">
        <f>STATS1003B!S368/1000</f>
        <v>0</v>
      </c>
      <c r="T351" s="9">
        <f>STATS1003B!T368/1000</f>
        <v>0</v>
      </c>
      <c r="U351" s="9">
        <f>STATS1003B!U368/1000</f>
        <v>0</v>
      </c>
      <c r="V351" s="9">
        <f>STATS1003B!V368/1000</f>
        <v>0</v>
      </c>
      <c r="W351" s="9">
        <f>STATS1003B!W368/1000</f>
        <v>0</v>
      </c>
      <c r="X351" s="9">
        <f>STATS1003B!X368/1000</f>
        <v>4864.5644199999997</v>
      </c>
      <c r="Y351" s="9">
        <f>STATS1003B!Y368/1000</f>
        <v>0</v>
      </c>
      <c r="Z351" s="9">
        <f>STATS1003B!Z368/1000</f>
        <v>0</v>
      </c>
      <c r="AA351" s="9">
        <f>STATS1003B!AA368/1000</f>
        <v>4864.5644199999997</v>
      </c>
      <c r="AB351" s="9">
        <f>STATS1003B!AB368/1000</f>
        <v>0</v>
      </c>
    </row>
    <row r="352" spans="1:28" x14ac:dyDescent="0.35">
      <c r="A352" s="36"/>
      <c r="B352" s="8"/>
      <c r="C352" s="8"/>
      <c r="D352" s="8"/>
      <c r="E352" s="17" t="s">
        <v>29</v>
      </c>
      <c r="F352" s="17" t="s">
        <v>29</v>
      </c>
      <c r="G352" s="17" t="s">
        <v>29</v>
      </c>
      <c r="H352" s="17" t="s">
        <v>29</v>
      </c>
      <c r="I352" s="17" t="s">
        <v>29</v>
      </c>
      <c r="J352" s="17" t="s">
        <v>29</v>
      </c>
      <c r="K352" s="17" t="s">
        <v>29</v>
      </c>
      <c r="L352" s="17" t="s">
        <v>29</v>
      </c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 t="s">
        <v>29</v>
      </c>
      <c r="AB352" s="17" t="s">
        <v>29</v>
      </c>
    </row>
    <row r="353" spans="1:28" x14ac:dyDescent="0.35">
      <c r="A353" s="36"/>
      <c r="B353" s="8"/>
      <c r="C353" s="8"/>
      <c r="D353" s="8"/>
      <c r="E353" s="9">
        <f t="shared" ref="E353:AB353" si="19">SUM(E323:E351)</f>
        <v>58877.854269999989</v>
      </c>
      <c r="F353" s="9">
        <f t="shared" si="19"/>
        <v>54884.299519999993</v>
      </c>
      <c r="G353" s="9">
        <f t="shared" si="19"/>
        <v>0</v>
      </c>
      <c r="H353" s="9">
        <f t="shared" si="19"/>
        <v>54884.299519999993</v>
      </c>
      <c r="I353" s="9">
        <f t="shared" si="19"/>
        <v>0</v>
      </c>
      <c r="J353" s="9">
        <f t="shared" si="19"/>
        <v>43903.435389999999</v>
      </c>
      <c r="K353" s="9">
        <f t="shared" si="19"/>
        <v>3988.5307499999999</v>
      </c>
      <c r="L353" s="9" t="s">
        <v>1097</v>
      </c>
      <c r="M353" s="9">
        <f t="shared" si="19"/>
        <v>54884.299519999993</v>
      </c>
      <c r="N353" s="9">
        <f t="shared" si="19"/>
        <v>3988.5307499999999</v>
      </c>
      <c r="O353" s="9">
        <f t="shared" si="19"/>
        <v>0</v>
      </c>
      <c r="P353" s="9">
        <f t="shared" si="19"/>
        <v>3988.5307499999999</v>
      </c>
      <c r="Q353" s="9">
        <f t="shared" si="19"/>
        <v>0</v>
      </c>
      <c r="R353" s="9">
        <f t="shared" si="19"/>
        <v>0</v>
      </c>
      <c r="S353" s="9">
        <f t="shared" si="19"/>
        <v>0</v>
      </c>
      <c r="T353" s="9">
        <f t="shared" si="19"/>
        <v>0</v>
      </c>
      <c r="U353" s="9">
        <f t="shared" si="19"/>
        <v>3988.5307499999999</v>
      </c>
      <c r="V353" s="9">
        <f t="shared" si="19"/>
        <v>0</v>
      </c>
      <c r="W353" s="9">
        <f t="shared" si="19"/>
        <v>0</v>
      </c>
      <c r="X353" s="9">
        <f t="shared" si="19"/>
        <v>58872.830269999991</v>
      </c>
      <c r="Y353" s="9">
        <f t="shared" si="19"/>
        <v>0</v>
      </c>
      <c r="Z353" s="9">
        <f t="shared" si="19"/>
        <v>5.024</v>
      </c>
      <c r="AA353" s="9">
        <f t="shared" si="19"/>
        <v>58872.830269999991</v>
      </c>
      <c r="AB353" s="9">
        <f t="shared" si="19"/>
        <v>5.024</v>
      </c>
    </row>
    <row r="354" spans="1:28" x14ac:dyDescent="0.35">
      <c r="A354" s="36"/>
      <c r="B354" s="8"/>
      <c r="C354" s="8"/>
      <c r="D354" s="8"/>
      <c r="E354" s="17" t="s">
        <v>29</v>
      </c>
      <c r="F354" s="17" t="s">
        <v>29</v>
      </c>
      <c r="G354" s="17" t="s">
        <v>29</v>
      </c>
      <c r="H354" s="17" t="s">
        <v>29</v>
      </c>
      <c r="I354" s="17" t="s">
        <v>29</v>
      </c>
      <c r="J354" s="17" t="s">
        <v>29</v>
      </c>
      <c r="K354" s="17" t="s">
        <v>29</v>
      </c>
      <c r="L354" s="17" t="s">
        <v>29</v>
      </c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 t="s">
        <v>29</v>
      </c>
      <c r="AB354" s="17" t="s">
        <v>29</v>
      </c>
    </row>
    <row r="355" spans="1:28" x14ac:dyDescent="0.35">
      <c r="A355" s="38" t="s">
        <v>950</v>
      </c>
      <c r="B355" s="7" t="s">
        <v>580</v>
      </c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17"/>
      <c r="S355" s="17"/>
      <c r="T355" s="25"/>
      <c r="U355" s="25"/>
      <c r="V355" s="25"/>
      <c r="W355" s="25"/>
      <c r="X355" s="25"/>
      <c r="Y355" s="25"/>
      <c r="Z355" s="25"/>
    </row>
    <row r="356" spans="1:28" x14ac:dyDescent="0.35">
      <c r="A356" s="36"/>
      <c r="B356" s="8"/>
      <c r="C356" s="7" t="s">
        <v>581</v>
      </c>
      <c r="D356" s="15" t="s">
        <v>150</v>
      </c>
      <c r="E356" s="9">
        <f>STATS1003B!E373/1000</f>
        <v>2989.9219199999998</v>
      </c>
      <c r="F356" s="9">
        <f>STATS1003B!F373/1000</f>
        <v>2736.08853</v>
      </c>
      <c r="G356" s="9">
        <f>STATS1003B!G373/1000</f>
        <v>0</v>
      </c>
      <c r="H356" s="9">
        <f>STATS1003B!H373/1000</f>
        <v>2736.08853</v>
      </c>
      <c r="I356" s="9">
        <f>STATS1003B!I373/1000</f>
        <v>0</v>
      </c>
      <c r="J356" s="9">
        <f>STATS1003B!J373/1000</f>
        <v>2736.08853</v>
      </c>
      <c r="K356" s="9">
        <f>STATS1003B!K373/1000</f>
        <v>253.83339000000001</v>
      </c>
      <c r="L356" s="9">
        <f>STATS1003B!L373/1000</f>
        <v>0</v>
      </c>
      <c r="M356" s="9">
        <f>STATS1003B!M373/1000</f>
        <v>2736.08853</v>
      </c>
      <c r="N356" s="9">
        <f>STATS1003B!N373/1000</f>
        <v>253.83339000000001</v>
      </c>
      <c r="O356" s="9">
        <f>STATS1003B!O373/1000</f>
        <v>0</v>
      </c>
      <c r="P356" s="9">
        <f>STATS1003B!P373/1000</f>
        <v>253.83339000000001</v>
      </c>
      <c r="Q356" s="9">
        <f>STATS1003B!Q373/1000</f>
        <v>0</v>
      </c>
      <c r="R356" s="9">
        <f>STATS1003B!R373/1000</f>
        <v>0</v>
      </c>
      <c r="S356" s="9">
        <f>STATS1003B!S373/1000</f>
        <v>0</v>
      </c>
      <c r="T356" s="9">
        <f>STATS1003B!T373/1000</f>
        <v>0</v>
      </c>
      <c r="U356" s="9">
        <f>STATS1003B!U373/1000</f>
        <v>253.83339000000001</v>
      </c>
      <c r="V356" s="9">
        <f>STATS1003B!V373/1000</f>
        <v>0</v>
      </c>
      <c r="W356" s="9">
        <f>STATS1003B!W373/1000</f>
        <v>0</v>
      </c>
      <c r="X356" s="9">
        <f>STATS1003B!X373/1000</f>
        <v>2989.9219199999998</v>
      </c>
      <c r="Y356" s="9">
        <f>STATS1003B!Y373/1000</f>
        <v>0</v>
      </c>
      <c r="Z356" s="9">
        <f>STATS1003B!Z373/1000</f>
        <v>0</v>
      </c>
      <c r="AA356" s="9">
        <f>STATS1003B!AA373/1000</f>
        <v>2989.9219199999998</v>
      </c>
      <c r="AB356" s="9">
        <f>STATS1003B!AB373/1000</f>
        <v>0</v>
      </c>
    </row>
    <row r="357" spans="1:28" x14ac:dyDescent="0.35">
      <c r="A357" s="36"/>
      <c r="B357" s="8"/>
      <c r="C357" s="7" t="s">
        <v>535</v>
      </c>
      <c r="D357" s="15" t="s">
        <v>166</v>
      </c>
      <c r="E357" s="9">
        <f>STATS1003B!E374/1000</f>
        <v>700.59167000000002</v>
      </c>
      <c r="F357" s="9">
        <f>STATS1003B!F374/1000</f>
        <v>260.596</v>
      </c>
      <c r="G357" s="9">
        <f>STATS1003B!G374/1000</f>
        <v>0</v>
      </c>
      <c r="H357" s="9">
        <f>STATS1003B!H374/1000</f>
        <v>260.596</v>
      </c>
      <c r="I357" s="9">
        <f>STATS1003B!I374/1000</f>
        <v>0</v>
      </c>
      <c r="J357" s="9">
        <f>STATS1003B!J374/1000</f>
        <v>260.596</v>
      </c>
      <c r="K357" s="9">
        <f>STATS1003B!K374/1000</f>
        <v>439.99567000000002</v>
      </c>
      <c r="L357" s="9">
        <f>STATS1003B!L374/1000</f>
        <v>0</v>
      </c>
      <c r="M357" s="9">
        <f>STATS1003B!M374/1000</f>
        <v>260.596</v>
      </c>
      <c r="N357" s="9">
        <f>STATS1003B!N374/1000</f>
        <v>439.99566999999996</v>
      </c>
      <c r="O357" s="9">
        <f>STATS1003B!O374/1000</f>
        <v>0</v>
      </c>
      <c r="P357" s="9">
        <f>STATS1003B!P374/1000</f>
        <v>439.99566999999996</v>
      </c>
      <c r="Q357" s="9">
        <f>STATS1003B!Q374/1000</f>
        <v>0</v>
      </c>
      <c r="R357" s="9">
        <f>STATS1003B!R374/1000</f>
        <v>0</v>
      </c>
      <c r="S357" s="9">
        <f>STATS1003B!S374/1000</f>
        <v>0</v>
      </c>
      <c r="T357" s="9">
        <f>STATS1003B!T374/1000</f>
        <v>0</v>
      </c>
      <c r="U357" s="9">
        <f>STATS1003B!U374/1000</f>
        <v>439.99566999999996</v>
      </c>
      <c r="V357" s="9">
        <f>STATS1003B!V374/1000</f>
        <v>0</v>
      </c>
      <c r="W357" s="9">
        <f>STATS1003B!W374/1000</f>
        <v>0</v>
      </c>
      <c r="X357" s="9">
        <f>STATS1003B!X374/1000</f>
        <v>700.59166999999991</v>
      </c>
      <c r="Y357" s="9">
        <f>STATS1003B!Y374/1000</f>
        <v>0</v>
      </c>
      <c r="Z357" s="9">
        <f>STATS1003B!Z374/1000</f>
        <v>0</v>
      </c>
      <c r="AA357" s="9">
        <f>STATS1003B!AA374/1000</f>
        <v>700.59166999999991</v>
      </c>
      <c r="AB357" s="9">
        <f>STATS1003B!AB374/1000</f>
        <v>0</v>
      </c>
    </row>
    <row r="358" spans="1:28" x14ac:dyDescent="0.35">
      <c r="A358" s="36"/>
      <c r="B358" s="8"/>
      <c r="C358" s="7" t="s">
        <v>535</v>
      </c>
      <c r="D358" s="15" t="s">
        <v>68</v>
      </c>
      <c r="E358" s="9">
        <f>STATS1003B!E375/1000</f>
        <v>890.42700000000002</v>
      </c>
      <c r="F358" s="9">
        <f>STATS1003B!F375/1000</f>
        <v>890.42700000000002</v>
      </c>
      <c r="G358" s="9">
        <f>STATS1003B!G375/1000</f>
        <v>0</v>
      </c>
      <c r="H358" s="9">
        <f>STATS1003B!H375/1000</f>
        <v>890.42700000000002</v>
      </c>
      <c r="I358" s="9">
        <f>STATS1003B!I375/1000</f>
        <v>0</v>
      </c>
      <c r="J358" s="9">
        <f>STATS1003B!J375/1000</f>
        <v>890.42700000000002</v>
      </c>
      <c r="K358" s="9">
        <f>STATS1003B!K375/1000</f>
        <v>0</v>
      </c>
      <c r="L358" s="9">
        <f>STATS1003B!L375/1000</f>
        <v>0</v>
      </c>
      <c r="M358" s="9">
        <f>STATS1003B!M375/1000</f>
        <v>890.42700000000002</v>
      </c>
      <c r="N358" s="9">
        <f>STATS1003B!N375/1000</f>
        <v>0</v>
      </c>
      <c r="O358" s="9">
        <f>STATS1003B!O375/1000</f>
        <v>0</v>
      </c>
      <c r="P358" s="9">
        <f>STATS1003B!P375/1000</f>
        <v>0</v>
      </c>
      <c r="Q358" s="9">
        <f>STATS1003B!Q375/1000</f>
        <v>0</v>
      </c>
      <c r="R358" s="9">
        <f>STATS1003B!R375/1000</f>
        <v>0</v>
      </c>
      <c r="S358" s="9">
        <f>STATS1003B!S375/1000</f>
        <v>0</v>
      </c>
      <c r="T358" s="9">
        <f>STATS1003B!T375/1000</f>
        <v>0</v>
      </c>
      <c r="U358" s="9">
        <f>STATS1003B!U375/1000</f>
        <v>0</v>
      </c>
      <c r="V358" s="9">
        <f>STATS1003B!V375/1000</f>
        <v>0</v>
      </c>
      <c r="W358" s="9">
        <f>STATS1003B!W375/1000</f>
        <v>0</v>
      </c>
      <c r="X358" s="9">
        <f>STATS1003B!X375/1000</f>
        <v>890.42700000000002</v>
      </c>
      <c r="Y358" s="9">
        <f>STATS1003B!Y375/1000</f>
        <v>0</v>
      </c>
      <c r="Z358" s="9">
        <f>STATS1003B!Z375/1000</f>
        <v>0</v>
      </c>
      <c r="AA358" s="9">
        <f>STATS1003B!AA375/1000</f>
        <v>890.42700000000002</v>
      </c>
      <c r="AB358" s="9">
        <f>STATS1003B!AB375/1000</f>
        <v>0</v>
      </c>
    </row>
    <row r="359" spans="1:28" x14ac:dyDescent="0.35">
      <c r="A359" s="36"/>
      <c r="B359" s="8"/>
      <c r="C359" s="7" t="s">
        <v>539</v>
      </c>
      <c r="D359" s="15" t="s">
        <v>68</v>
      </c>
      <c r="E359" s="9">
        <f>STATS1003B!E376/1000</f>
        <v>4677.4075999999995</v>
      </c>
      <c r="F359" s="9">
        <f>STATS1003B!F376/1000</f>
        <v>0</v>
      </c>
      <c r="G359" s="9">
        <f>STATS1003B!G376/1000</f>
        <v>0</v>
      </c>
      <c r="H359" s="9">
        <f>STATS1003B!H376/1000</f>
        <v>0</v>
      </c>
      <c r="I359" s="9">
        <f>STATS1003B!I376/1000</f>
        <v>0</v>
      </c>
      <c r="J359" s="9">
        <f>STATS1003B!J376/1000</f>
        <v>0</v>
      </c>
      <c r="K359" s="9">
        <f>STATS1003B!K376/1000</f>
        <v>4677.4075999999995</v>
      </c>
      <c r="L359" s="9">
        <f>STATS1003B!L376/1000</f>
        <v>0</v>
      </c>
      <c r="M359" s="9">
        <f>STATS1003B!M376/1000</f>
        <v>0</v>
      </c>
      <c r="N359" s="9">
        <f>STATS1003B!N376/1000</f>
        <v>4677.4075999999995</v>
      </c>
      <c r="O359" s="9">
        <f>STATS1003B!O376/1000</f>
        <v>0</v>
      </c>
      <c r="P359" s="9">
        <f>STATS1003B!P376/1000</f>
        <v>4677.4075999999995</v>
      </c>
      <c r="Q359" s="9">
        <f>STATS1003B!Q376/1000</f>
        <v>0</v>
      </c>
      <c r="R359" s="9">
        <f>STATS1003B!R376/1000</f>
        <v>0</v>
      </c>
      <c r="S359" s="9">
        <f>STATS1003B!S376/1000</f>
        <v>0</v>
      </c>
      <c r="T359" s="9">
        <f>STATS1003B!T376/1000</f>
        <v>0</v>
      </c>
      <c r="U359" s="9">
        <f>STATS1003B!U376/1000</f>
        <v>4677.4075999999995</v>
      </c>
      <c r="V359" s="9">
        <f>STATS1003B!V376/1000</f>
        <v>0</v>
      </c>
      <c r="W359" s="9">
        <f>STATS1003B!W376/1000</f>
        <v>0</v>
      </c>
      <c r="X359" s="9">
        <f>STATS1003B!X376/1000</f>
        <v>4677.4075999999995</v>
      </c>
      <c r="Y359" s="9">
        <f>STATS1003B!Y376/1000</f>
        <v>0</v>
      </c>
      <c r="Z359" s="9">
        <f>STATS1003B!Z376/1000</f>
        <v>0</v>
      </c>
      <c r="AA359" s="9">
        <f>STATS1003B!AA376/1000</f>
        <v>4677.4075999999995</v>
      </c>
      <c r="AB359" s="9">
        <f>STATS1003B!AB376/1000</f>
        <v>0</v>
      </c>
    </row>
    <row r="360" spans="1:28" x14ac:dyDescent="0.35">
      <c r="A360" s="36"/>
      <c r="B360" s="8"/>
      <c r="C360" s="7" t="s">
        <v>535</v>
      </c>
      <c r="D360" s="15" t="s">
        <v>54</v>
      </c>
      <c r="E360" s="9">
        <f>STATS1003B!E377/1000</f>
        <v>309.45</v>
      </c>
      <c r="F360" s="9">
        <f>STATS1003B!F377/1000</f>
        <v>309.45</v>
      </c>
      <c r="G360" s="9">
        <f>STATS1003B!G377/1000</f>
        <v>0</v>
      </c>
      <c r="H360" s="9">
        <f>STATS1003B!H377/1000</f>
        <v>309.45</v>
      </c>
      <c r="I360" s="9">
        <f>STATS1003B!I377/1000</f>
        <v>0</v>
      </c>
      <c r="J360" s="9">
        <f>STATS1003B!J377/1000</f>
        <v>309.45</v>
      </c>
      <c r="K360" s="9">
        <f>STATS1003B!K377/1000</f>
        <v>0</v>
      </c>
      <c r="L360" s="9">
        <f>STATS1003B!L377/1000</f>
        <v>0</v>
      </c>
      <c r="M360" s="9">
        <f>STATS1003B!M377/1000</f>
        <v>309.45</v>
      </c>
      <c r="N360" s="9">
        <f>STATS1003B!N377/1000</f>
        <v>0</v>
      </c>
      <c r="O360" s="9">
        <f>STATS1003B!O377/1000</f>
        <v>0</v>
      </c>
      <c r="P360" s="9">
        <f>STATS1003B!P377/1000</f>
        <v>0</v>
      </c>
      <c r="Q360" s="9">
        <f>STATS1003B!Q377/1000</f>
        <v>0</v>
      </c>
      <c r="R360" s="9">
        <f>STATS1003B!R377/1000</f>
        <v>0</v>
      </c>
      <c r="S360" s="9">
        <f>STATS1003B!S377/1000</f>
        <v>0</v>
      </c>
      <c r="T360" s="9">
        <f>STATS1003B!T377/1000</f>
        <v>0</v>
      </c>
      <c r="U360" s="9">
        <f>STATS1003B!U377/1000</f>
        <v>0</v>
      </c>
      <c r="V360" s="9">
        <f>STATS1003B!V377/1000</f>
        <v>0</v>
      </c>
      <c r="W360" s="9">
        <f>STATS1003B!W377/1000</f>
        <v>0</v>
      </c>
      <c r="X360" s="9">
        <f>STATS1003B!X377/1000</f>
        <v>309.45</v>
      </c>
      <c r="Y360" s="9">
        <f>STATS1003B!Y377/1000</f>
        <v>0</v>
      </c>
      <c r="Z360" s="9">
        <f>STATS1003B!Z377/1000</f>
        <v>0</v>
      </c>
      <c r="AA360" s="9">
        <f>STATS1003B!AA377/1000</f>
        <v>309.45</v>
      </c>
      <c r="AB360" s="9">
        <f>STATS1003B!AB377/1000</f>
        <v>0</v>
      </c>
    </row>
    <row r="361" spans="1:28" x14ac:dyDescent="0.35">
      <c r="A361" s="36"/>
      <c r="B361" s="8"/>
      <c r="C361" s="7" t="s">
        <v>582</v>
      </c>
      <c r="D361" s="15" t="s">
        <v>54</v>
      </c>
      <c r="E361" s="9">
        <f>STATS1003B!E378/1000</f>
        <v>1588.7</v>
      </c>
      <c r="F361" s="9">
        <f>STATS1003B!F378/1000</f>
        <v>1588.7</v>
      </c>
      <c r="G361" s="9">
        <f>STATS1003B!G378/1000</f>
        <v>0</v>
      </c>
      <c r="H361" s="9">
        <f>STATS1003B!H378/1000</f>
        <v>1588.7</v>
      </c>
      <c r="I361" s="9">
        <f>STATS1003B!I378/1000</f>
        <v>0</v>
      </c>
      <c r="J361" s="9">
        <f>STATS1003B!J378/1000</f>
        <v>1588.7</v>
      </c>
      <c r="K361" s="9">
        <f>STATS1003B!K378/1000</f>
        <v>0</v>
      </c>
      <c r="L361" s="9">
        <f>STATS1003B!L378/1000</f>
        <v>0</v>
      </c>
      <c r="M361" s="9">
        <f>STATS1003B!M378/1000</f>
        <v>1588.7</v>
      </c>
      <c r="N361" s="9">
        <f>STATS1003B!N378/1000</f>
        <v>0</v>
      </c>
      <c r="O361" s="9">
        <f>STATS1003B!O378/1000</f>
        <v>0</v>
      </c>
      <c r="P361" s="9">
        <f>STATS1003B!P378/1000</f>
        <v>0</v>
      </c>
      <c r="Q361" s="9">
        <f>STATS1003B!Q378/1000</f>
        <v>0</v>
      </c>
      <c r="R361" s="9">
        <f>STATS1003B!R378/1000</f>
        <v>0</v>
      </c>
      <c r="S361" s="9">
        <f>STATS1003B!S378/1000</f>
        <v>0</v>
      </c>
      <c r="T361" s="9">
        <f>STATS1003B!T378/1000</f>
        <v>0</v>
      </c>
      <c r="U361" s="9">
        <f>STATS1003B!U378/1000</f>
        <v>0</v>
      </c>
      <c r="V361" s="9">
        <f>STATS1003B!V378/1000</f>
        <v>0</v>
      </c>
      <c r="W361" s="9">
        <f>STATS1003B!W378/1000</f>
        <v>0</v>
      </c>
      <c r="X361" s="9">
        <f>STATS1003B!X378/1000</f>
        <v>1588.7</v>
      </c>
      <c r="Y361" s="9">
        <f>STATS1003B!Y378/1000</f>
        <v>0</v>
      </c>
      <c r="Z361" s="9">
        <f>STATS1003B!Z378/1000</f>
        <v>0</v>
      </c>
      <c r="AA361" s="9">
        <f>STATS1003B!AA378/1000</f>
        <v>1588.7</v>
      </c>
      <c r="AB361" s="9">
        <f>STATS1003B!AB378/1000</f>
        <v>0</v>
      </c>
    </row>
    <row r="362" spans="1:28" x14ac:dyDescent="0.35">
      <c r="A362" s="36"/>
      <c r="B362" s="8"/>
      <c r="C362" s="7" t="s">
        <v>571</v>
      </c>
      <c r="D362" s="15" t="s">
        <v>54</v>
      </c>
      <c r="E362" s="9">
        <f>STATS1003B!E379/1000</f>
        <v>950</v>
      </c>
      <c r="F362" s="9">
        <f>STATS1003B!F379/1000</f>
        <v>950</v>
      </c>
      <c r="G362" s="9">
        <f>STATS1003B!G379/1000</f>
        <v>0</v>
      </c>
      <c r="H362" s="9">
        <f>STATS1003B!H379/1000</f>
        <v>950</v>
      </c>
      <c r="I362" s="9">
        <f>STATS1003B!I379/1000</f>
        <v>0</v>
      </c>
      <c r="J362" s="9">
        <f>STATS1003B!J379/1000</f>
        <v>950</v>
      </c>
      <c r="K362" s="9">
        <f>STATS1003B!K379/1000</f>
        <v>0</v>
      </c>
      <c r="L362" s="9">
        <f>STATS1003B!L379/1000</f>
        <v>0</v>
      </c>
      <c r="M362" s="9">
        <f>STATS1003B!M379/1000</f>
        <v>950</v>
      </c>
      <c r="N362" s="9">
        <f>STATS1003B!N379/1000</f>
        <v>0</v>
      </c>
      <c r="O362" s="9">
        <f>STATS1003B!O379/1000</f>
        <v>0</v>
      </c>
      <c r="P362" s="9">
        <f>STATS1003B!P379/1000</f>
        <v>0</v>
      </c>
      <c r="Q362" s="9">
        <f>STATS1003B!Q379/1000</f>
        <v>0</v>
      </c>
      <c r="R362" s="9">
        <f>STATS1003B!R379/1000</f>
        <v>0</v>
      </c>
      <c r="S362" s="9">
        <f>STATS1003B!S379/1000</f>
        <v>0</v>
      </c>
      <c r="T362" s="9">
        <f>STATS1003B!T379/1000</f>
        <v>0</v>
      </c>
      <c r="U362" s="9">
        <f>STATS1003B!U379/1000</f>
        <v>0</v>
      </c>
      <c r="V362" s="9">
        <f>STATS1003B!V379/1000</f>
        <v>0</v>
      </c>
      <c r="W362" s="9">
        <f>STATS1003B!W379/1000</f>
        <v>0</v>
      </c>
      <c r="X362" s="9">
        <f>STATS1003B!X379/1000</f>
        <v>950</v>
      </c>
      <c r="Y362" s="9">
        <f>STATS1003B!Y379/1000</f>
        <v>0</v>
      </c>
      <c r="Z362" s="9">
        <f>STATS1003B!Z379/1000</f>
        <v>0</v>
      </c>
      <c r="AA362" s="9">
        <f>STATS1003B!AA379/1000</f>
        <v>950</v>
      </c>
      <c r="AB362" s="9">
        <f>STATS1003B!AB379/1000</f>
        <v>0</v>
      </c>
    </row>
    <row r="363" spans="1:28" x14ac:dyDescent="0.35">
      <c r="A363" s="36"/>
      <c r="B363" s="8"/>
      <c r="C363" s="7" t="s">
        <v>583</v>
      </c>
      <c r="D363" s="15" t="s">
        <v>54</v>
      </c>
      <c r="E363" s="9">
        <f>STATS1003B!E380/1000</f>
        <v>2076.4460199999999</v>
      </c>
      <c r="F363" s="9">
        <f>STATS1003B!F380/1000</f>
        <v>1812.0516100000002</v>
      </c>
      <c r="G363" s="9">
        <f>STATS1003B!G380/1000</f>
        <v>0</v>
      </c>
      <c r="H363" s="9">
        <f>STATS1003B!H380/1000</f>
        <v>1812.0516100000002</v>
      </c>
      <c r="I363" s="9" t="e">
        <f>STATS1003B!I380/1000</f>
        <v>#VALUE!</v>
      </c>
      <c r="J363" s="9">
        <f>STATS1003B!J380/1000</f>
        <v>1812.0516100000002</v>
      </c>
      <c r="K363" s="9">
        <f>STATS1003B!K380/1000</f>
        <v>142.16556</v>
      </c>
      <c r="L363" s="9">
        <f>STATS1003B!L380/1000</f>
        <v>0</v>
      </c>
      <c r="M363" s="9">
        <f>STATS1003B!M380/1000</f>
        <v>1812.0516100000002</v>
      </c>
      <c r="N363" s="9">
        <f>STATS1003B!N380/1000</f>
        <v>142.16556</v>
      </c>
      <c r="O363" s="9">
        <f>STATS1003B!O380/1000</f>
        <v>0</v>
      </c>
      <c r="P363" s="9">
        <f>STATS1003B!P380/1000</f>
        <v>142.16556</v>
      </c>
      <c r="Q363" s="9">
        <f>STATS1003B!Q380/1000</f>
        <v>0</v>
      </c>
      <c r="R363" s="9">
        <f>STATS1003B!R380/1000</f>
        <v>0</v>
      </c>
      <c r="S363" s="9">
        <f>STATS1003B!S380/1000</f>
        <v>0</v>
      </c>
      <c r="T363" s="9">
        <f>STATS1003B!T380/1000</f>
        <v>0</v>
      </c>
      <c r="U363" s="9">
        <f>STATS1003B!U380/1000</f>
        <v>142.16556</v>
      </c>
      <c r="V363" s="9">
        <f>STATS1003B!V380/1000</f>
        <v>0</v>
      </c>
      <c r="W363" s="9">
        <f>STATS1003B!W380/1000</f>
        <v>0</v>
      </c>
      <c r="X363" s="9">
        <f>STATS1003B!X380/1000</f>
        <v>1954.2171700000001</v>
      </c>
      <c r="Y363" s="9">
        <f>STATS1003B!Y380/1000</f>
        <v>0</v>
      </c>
      <c r="Z363" s="9">
        <f>STATS1003B!Z380/1000</f>
        <v>122.22884999999987</v>
      </c>
      <c r="AA363" s="9">
        <f>STATS1003B!AA380/1000</f>
        <v>1954.2171700000001</v>
      </c>
      <c r="AB363" s="9">
        <f>STATS1003B!AB380/1000</f>
        <v>122.22884999999987</v>
      </c>
    </row>
    <row r="364" spans="1:28" x14ac:dyDescent="0.35">
      <c r="A364" s="36"/>
      <c r="B364" s="8"/>
      <c r="C364" s="7" t="s">
        <v>545</v>
      </c>
      <c r="D364" s="15" t="s">
        <v>54</v>
      </c>
      <c r="E364" s="9">
        <f>STATS1003B!E381/1000</f>
        <v>1953.989</v>
      </c>
      <c r="F364" s="9">
        <f>STATS1003B!F381/1000</f>
        <v>0</v>
      </c>
      <c r="G364" s="9">
        <f>STATS1003B!G381/1000</f>
        <v>0</v>
      </c>
      <c r="H364" s="9">
        <f>STATS1003B!H381/1000</f>
        <v>0</v>
      </c>
      <c r="I364" s="9">
        <f>STATS1003B!I381/1000</f>
        <v>0</v>
      </c>
      <c r="J364" s="9">
        <f>STATS1003B!J381/1000</f>
        <v>0</v>
      </c>
      <c r="K364" s="9">
        <f>STATS1003B!K381/1000</f>
        <v>1953.989</v>
      </c>
      <c r="L364" s="9">
        <f>STATS1003B!L381/1000</f>
        <v>0</v>
      </c>
      <c r="M364" s="9">
        <f>STATS1003B!M381/1000</f>
        <v>0</v>
      </c>
      <c r="N364" s="9">
        <f>STATS1003B!N381/1000</f>
        <v>1953.989</v>
      </c>
      <c r="O364" s="9">
        <f>STATS1003B!O381/1000</f>
        <v>0</v>
      </c>
      <c r="P364" s="9">
        <f>STATS1003B!P381/1000</f>
        <v>1953.989</v>
      </c>
      <c r="Q364" s="9">
        <f>STATS1003B!Q381/1000</f>
        <v>0</v>
      </c>
      <c r="R364" s="9">
        <f>STATS1003B!R381/1000</f>
        <v>0</v>
      </c>
      <c r="S364" s="9">
        <f>STATS1003B!S381/1000</f>
        <v>0</v>
      </c>
      <c r="T364" s="9">
        <f>STATS1003B!T381/1000</f>
        <v>0</v>
      </c>
      <c r="U364" s="9">
        <f>STATS1003B!U381/1000</f>
        <v>1953.989</v>
      </c>
      <c r="V364" s="9">
        <f>STATS1003B!V381/1000</f>
        <v>0</v>
      </c>
      <c r="W364" s="9">
        <f>STATS1003B!W381/1000</f>
        <v>0</v>
      </c>
      <c r="X364" s="9">
        <f>STATS1003B!X381/1000</f>
        <v>1953.989</v>
      </c>
      <c r="Y364" s="9">
        <f>STATS1003B!Y381/1000</f>
        <v>0</v>
      </c>
      <c r="Z364" s="9">
        <f>STATS1003B!Z381/1000</f>
        <v>0</v>
      </c>
      <c r="AA364" s="9">
        <f>STATS1003B!AA381/1000</f>
        <v>1953.989</v>
      </c>
      <c r="AB364" s="9">
        <f>STATS1003B!AB381/1000</f>
        <v>0</v>
      </c>
    </row>
    <row r="365" spans="1:28" x14ac:dyDescent="0.35">
      <c r="A365" s="36"/>
      <c r="B365" s="8"/>
      <c r="C365" s="7" t="s">
        <v>583</v>
      </c>
      <c r="D365" s="15" t="s">
        <v>85</v>
      </c>
      <c r="E365" s="9">
        <f>STATS1003B!E382/1000</f>
        <v>1990</v>
      </c>
      <c r="F365" s="9">
        <f>STATS1003B!F382/1000</f>
        <v>1990</v>
      </c>
      <c r="G365" s="9">
        <f>STATS1003B!G382/1000</f>
        <v>0</v>
      </c>
      <c r="H365" s="9">
        <f>STATS1003B!H382/1000</f>
        <v>1990</v>
      </c>
      <c r="I365" s="9">
        <f>STATS1003B!I382/1000</f>
        <v>0</v>
      </c>
      <c r="J365" s="9">
        <f>STATS1003B!J382/1000</f>
        <v>1990</v>
      </c>
      <c r="K365" s="9">
        <f>STATS1003B!K382/1000</f>
        <v>0</v>
      </c>
      <c r="L365" s="9">
        <f>STATS1003B!L382/1000</f>
        <v>0</v>
      </c>
      <c r="M365" s="9">
        <f>STATS1003B!M382/1000</f>
        <v>1990</v>
      </c>
      <c r="N365" s="9">
        <f>STATS1003B!N382/1000</f>
        <v>0</v>
      </c>
      <c r="O365" s="9">
        <f>STATS1003B!O382/1000</f>
        <v>0</v>
      </c>
      <c r="P365" s="9">
        <f>STATS1003B!P382/1000</f>
        <v>0</v>
      </c>
      <c r="Q365" s="9">
        <f>STATS1003B!Q382/1000</f>
        <v>0</v>
      </c>
      <c r="R365" s="9">
        <f>STATS1003B!R382/1000</f>
        <v>0</v>
      </c>
      <c r="S365" s="9">
        <f>STATS1003B!S382/1000</f>
        <v>0</v>
      </c>
      <c r="T365" s="9">
        <f>STATS1003B!T382/1000</f>
        <v>0</v>
      </c>
      <c r="U365" s="9">
        <f>STATS1003B!U382/1000</f>
        <v>0</v>
      </c>
      <c r="V365" s="9">
        <f>STATS1003B!V382/1000</f>
        <v>0</v>
      </c>
      <c r="W365" s="9">
        <f>STATS1003B!W382/1000</f>
        <v>0</v>
      </c>
      <c r="X365" s="9">
        <f>STATS1003B!X382/1000</f>
        <v>1990</v>
      </c>
      <c r="Y365" s="9">
        <f>STATS1003B!Y382/1000</f>
        <v>0</v>
      </c>
      <c r="Z365" s="9">
        <f>STATS1003B!Z382/1000</f>
        <v>0</v>
      </c>
      <c r="AA365" s="9">
        <f>STATS1003B!AA382/1000</f>
        <v>1990</v>
      </c>
      <c r="AB365" s="9">
        <f>STATS1003B!AB382/1000</f>
        <v>0</v>
      </c>
    </row>
    <row r="366" spans="1:28" x14ac:dyDescent="0.35">
      <c r="A366" s="36"/>
      <c r="B366" s="8"/>
      <c r="C366" s="7" t="s">
        <v>571</v>
      </c>
      <c r="D366" s="15" t="s">
        <v>85</v>
      </c>
      <c r="E366" s="9">
        <f>STATS1003B!E383/1000</f>
        <v>700</v>
      </c>
      <c r="F366" s="9">
        <f>STATS1003B!F383/1000</f>
        <v>700</v>
      </c>
      <c r="G366" s="9">
        <f>STATS1003B!G383/1000</f>
        <v>0</v>
      </c>
      <c r="H366" s="9">
        <f>STATS1003B!H383/1000</f>
        <v>700</v>
      </c>
      <c r="I366" s="9">
        <f>STATS1003B!I383/1000</f>
        <v>0</v>
      </c>
      <c r="J366" s="9">
        <f>STATS1003B!J383/1000</f>
        <v>700</v>
      </c>
      <c r="K366" s="9">
        <f>STATS1003B!K383/1000</f>
        <v>0</v>
      </c>
      <c r="L366" s="9">
        <f>STATS1003B!L383/1000</f>
        <v>0</v>
      </c>
      <c r="M366" s="9">
        <f>STATS1003B!M383/1000</f>
        <v>700</v>
      </c>
      <c r="N366" s="9">
        <f>STATS1003B!N383/1000</f>
        <v>0</v>
      </c>
      <c r="O366" s="9">
        <f>STATS1003B!O383/1000</f>
        <v>0</v>
      </c>
      <c r="P366" s="9">
        <f>STATS1003B!P383/1000</f>
        <v>0</v>
      </c>
      <c r="Q366" s="9">
        <f>STATS1003B!Q383/1000</f>
        <v>0</v>
      </c>
      <c r="R366" s="9">
        <f>STATS1003B!R383/1000</f>
        <v>0</v>
      </c>
      <c r="S366" s="9">
        <f>STATS1003B!S383/1000</f>
        <v>0</v>
      </c>
      <c r="T366" s="9">
        <f>STATS1003B!T383/1000</f>
        <v>0</v>
      </c>
      <c r="U366" s="9">
        <f>STATS1003B!U383/1000</f>
        <v>0</v>
      </c>
      <c r="V366" s="9">
        <f>STATS1003B!V383/1000</f>
        <v>0</v>
      </c>
      <c r="W366" s="9">
        <f>STATS1003B!W383/1000</f>
        <v>0</v>
      </c>
      <c r="X366" s="9">
        <f>STATS1003B!X383/1000</f>
        <v>700</v>
      </c>
      <c r="Y366" s="9">
        <f>STATS1003B!Y383/1000</f>
        <v>0</v>
      </c>
      <c r="Z366" s="9">
        <f>STATS1003B!Z383/1000</f>
        <v>0</v>
      </c>
      <c r="AA366" s="9">
        <f>STATS1003B!AA383/1000</f>
        <v>700</v>
      </c>
      <c r="AB366" s="9">
        <f>STATS1003B!AB383/1000</f>
        <v>0</v>
      </c>
    </row>
    <row r="367" spans="1:28" x14ac:dyDescent="0.35">
      <c r="A367" s="36"/>
      <c r="B367" s="8"/>
      <c r="C367" s="7" t="s">
        <v>585</v>
      </c>
      <c r="D367" s="15" t="s">
        <v>128</v>
      </c>
      <c r="E367" s="9">
        <f>STATS1003B!E384/1000</f>
        <v>674.6</v>
      </c>
      <c r="F367" s="9">
        <f>STATS1003B!F384/1000</f>
        <v>616.35</v>
      </c>
      <c r="G367" s="9">
        <f>STATS1003B!G384/1000</f>
        <v>0</v>
      </c>
      <c r="H367" s="9">
        <f>STATS1003B!H384/1000</f>
        <v>616.35</v>
      </c>
      <c r="I367" s="9">
        <f>STATS1003B!I384/1000</f>
        <v>0</v>
      </c>
      <c r="J367" s="9">
        <f>STATS1003B!J384/1000</f>
        <v>616.35</v>
      </c>
      <c r="K367" s="9">
        <f>STATS1003B!K384/1000</f>
        <v>0</v>
      </c>
      <c r="L367" s="9">
        <f>STATS1003B!L384/1000</f>
        <v>0</v>
      </c>
      <c r="M367" s="9">
        <f>STATS1003B!M384/1000</f>
        <v>616.35</v>
      </c>
      <c r="N367" s="9">
        <f>STATS1003B!N384/1000</f>
        <v>0</v>
      </c>
      <c r="O367" s="9">
        <f>STATS1003B!O384/1000</f>
        <v>0</v>
      </c>
      <c r="P367" s="9">
        <f>STATS1003B!P384/1000</f>
        <v>0</v>
      </c>
      <c r="Q367" s="9">
        <f>STATS1003B!Q384/1000</f>
        <v>0</v>
      </c>
      <c r="R367" s="9">
        <f>STATS1003B!R384/1000</f>
        <v>0</v>
      </c>
      <c r="S367" s="9">
        <f>STATS1003B!S384/1000</f>
        <v>0</v>
      </c>
      <c r="T367" s="9">
        <f>STATS1003B!T384/1000</f>
        <v>0</v>
      </c>
      <c r="U367" s="9">
        <f>STATS1003B!U384/1000</f>
        <v>0</v>
      </c>
      <c r="V367" s="9">
        <f>STATS1003B!V384/1000</f>
        <v>0</v>
      </c>
      <c r="W367" s="9">
        <f>STATS1003B!W384/1000</f>
        <v>0</v>
      </c>
      <c r="X367" s="9">
        <f>STATS1003B!X384/1000</f>
        <v>616.35</v>
      </c>
      <c r="Y367" s="9">
        <f>STATS1003B!Y384/1000</f>
        <v>0</v>
      </c>
      <c r="Z367" s="9">
        <f>STATS1003B!Z384/1000</f>
        <v>58.25</v>
      </c>
      <c r="AA367" s="9">
        <f>STATS1003B!AA384/1000</f>
        <v>616.35</v>
      </c>
      <c r="AB367" s="9">
        <f>STATS1003B!AB384/1000</f>
        <v>58.25</v>
      </c>
    </row>
    <row r="368" spans="1:28" x14ac:dyDescent="0.35">
      <c r="A368" s="36"/>
      <c r="B368" s="8"/>
      <c r="C368" s="7" t="s">
        <v>586</v>
      </c>
      <c r="D368" s="15" t="s">
        <v>128</v>
      </c>
      <c r="E368" s="9">
        <f>STATS1003B!E385/1000</f>
        <v>640</v>
      </c>
      <c r="F368" s="9">
        <f>STATS1003B!F385/1000</f>
        <v>640</v>
      </c>
      <c r="G368" s="9">
        <f>STATS1003B!G385/1000</f>
        <v>0</v>
      </c>
      <c r="H368" s="9">
        <f>STATS1003B!H385/1000</f>
        <v>640</v>
      </c>
      <c r="I368" s="9">
        <f>STATS1003B!I385/1000</f>
        <v>0</v>
      </c>
      <c r="J368" s="9">
        <f>STATS1003B!J385/1000</f>
        <v>640</v>
      </c>
      <c r="K368" s="9">
        <f>STATS1003B!K385/1000</f>
        <v>0</v>
      </c>
      <c r="L368" s="9">
        <f>STATS1003B!L385/1000</f>
        <v>0</v>
      </c>
      <c r="M368" s="9">
        <f>STATS1003B!M385/1000</f>
        <v>640</v>
      </c>
      <c r="N368" s="9">
        <f>STATS1003B!N385/1000</f>
        <v>0</v>
      </c>
      <c r="O368" s="9">
        <f>STATS1003B!O385/1000</f>
        <v>0</v>
      </c>
      <c r="P368" s="9">
        <f>STATS1003B!P385/1000</f>
        <v>0</v>
      </c>
      <c r="Q368" s="9">
        <f>STATS1003B!Q385/1000</f>
        <v>0</v>
      </c>
      <c r="R368" s="9">
        <f>STATS1003B!R385/1000</f>
        <v>0</v>
      </c>
      <c r="S368" s="9">
        <f>STATS1003B!S385/1000</f>
        <v>0</v>
      </c>
      <c r="T368" s="9">
        <f>STATS1003B!T385/1000</f>
        <v>0</v>
      </c>
      <c r="U368" s="9">
        <f>STATS1003B!U385/1000</f>
        <v>0</v>
      </c>
      <c r="V368" s="9">
        <f>STATS1003B!V385/1000</f>
        <v>0</v>
      </c>
      <c r="W368" s="9">
        <f>STATS1003B!W385/1000</f>
        <v>0</v>
      </c>
      <c r="X368" s="9">
        <f>STATS1003B!X385/1000</f>
        <v>640</v>
      </c>
      <c r="Y368" s="9">
        <f>STATS1003B!Y385/1000</f>
        <v>0</v>
      </c>
      <c r="Z368" s="9">
        <f>STATS1003B!Z385/1000</f>
        <v>0</v>
      </c>
      <c r="AA368" s="9">
        <f>STATS1003B!AA385/1000</f>
        <v>640</v>
      </c>
      <c r="AB368" s="9">
        <f>STATS1003B!AB385/1000</f>
        <v>0</v>
      </c>
    </row>
    <row r="369" spans="1:28" x14ac:dyDescent="0.35">
      <c r="A369" s="36"/>
      <c r="B369" s="8"/>
      <c r="C369" s="7" t="s">
        <v>535</v>
      </c>
      <c r="D369" s="15" t="s">
        <v>88</v>
      </c>
      <c r="E369" s="9">
        <f>STATS1003B!E386/1000</f>
        <v>2607.0169999999998</v>
      </c>
      <c r="F369" s="9">
        <f>STATS1003B!F386/1000</f>
        <v>2607.0169999999998</v>
      </c>
      <c r="G369" s="9">
        <f>STATS1003B!G386/1000</f>
        <v>0</v>
      </c>
      <c r="H369" s="9">
        <f>STATS1003B!H386/1000</f>
        <v>2607.0169999999998</v>
      </c>
      <c r="I369" s="9">
        <f>STATS1003B!I386/1000</f>
        <v>0</v>
      </c>
      <c r="J369" s="9">
        <f>STATS1003B!J386/1000</f>
        <v>2607.0169999999998</v>
      </c>
      <c r="K369" s="9">
        <f>STATS1003B!K386/1000</f>
        <v>0</v>
      </c>
      <c r="L369" s="9">
        <f>STATS1003B!L386/1000</f>
        <v>0</v>
      </c>
      <c r="M369" s="9">
        <f>STATS1003B!M386/1000</f>
        <v>2607.0169999999998</v>
      </c>
      <c r="N369" s="9">
        <f>STATS1003B!N386/1000</f>
        <v>0</v>
      </c>
      <c r="O369" s="9">
        <f>STATS1003B!O386/1000</f>
        <v>0</v>
      </c>
      <c r="P369" s="9">
        <f>STATS1003B!P386/1000</f>
        <v>0</v>
      </c>
      <c r="Q369" s="9">
        <f>STATS1003B!Q386/1000</f>
        <v>0</v>
      </c>
      <c r="R369" s="9">
        <f>STATS1003B!R386/1000</f>
        <v>0</v>
      </c>
      <c r="S369" s="9">
        <f>STATS1003B!S386/1000</f>
        <v>0</v>
      </c>
      <c r="T369" s="9">
        <f>STATS1003B!T386/1000</f>
        <v>0</v>
      </c>
      <c r="U369" s="9">
        <f>STATS1003B!U386/1000</f>
        <v>0</v>
      </c>
      <c r="V369" s="9">
        <f>STATS1003B!V386/1000</f>
        <v>0</v>
      </c>
      <c r="W369" s="9">
        <f>STATS1003B!W386/1000</f>
        <v>0</v>
      </c>
      <c r="X369" s="9">
        <f>STATS1003B!X386/1000</f>
        <v>2607.0169999999998</v>
      </c>
      <c r="Y369" s="9">
        <f>STATS1003B!Y386/1000</f>
        <v>0</v>
      </c>
      <c r="Z369" s="9">
        <f>STATS1003B!Z386/1000</f>
        <v>0</v>
      </c>
      <c r="AA369" s="9">
        <f>STATS1003B!AA386/1000</f>
        <v>2607.0169999999998</v>
      </c>
      <c r="AB369" s="9">
        <f>STATS1003B!AB386/1000</f>
        <v>0</v>
      </c>
    </row>
    <row r="370" spans="1:28" x14ac:dyDescent="0.35">
      <c r="A370" s="36"/>
      <c r="B370" s="8"/>
      <c r="C370" s="7" t="s">
        <v>587</v>
      </c>
      <c r="D370" s="15" t="s">
        <v>88</v>
      </c>
      <c r="E370" s="9">
        <f>STATS1003B!E387/1000</f>
        <v>875.6</v>
      </c>
      <c r="F370" s="9">
        <f>STATS1003B!F387/1000</f>
        <v>875.6</v>
      </c>
      <c r="G370" s="9">
        <f>STATS1003B!G387/1000</f>
        <v>0</v>
      </c>
      <c r="H370" s="9">
        <f>STATS1003B!H387/1000</f>
        <v>875.6</v>
      </c>
      <c r="I370" s="9">
        <f>STATS1003B!I387/1000</f>
        <v>0</v>
      </c>
      <c r="J370" s="9">
        <f>STATS1003B!J387/1000</f>
        <v>875.6</v>
      </c>
      <c r="K370" s="9">
        <f>STATS1003B!K387/1000</f>
        <v>0</v>
      </c>
      <c r="L370" s="9">
        <f>STATS1003B!L387/1000</f>
        <v>0</v>
      </c>
      <c r="M370" s="9">
        <f>STATS1003B!M387/1000</f>
        <v>875.6</v>
      </c>
      <c r="N370" s="9">
        <f>STATS1003B!N387/1000</f>
        <v>0</v>
      </c>
      <c r="O370" s="9">
        <f>STATS1003B!O387/1000</f>
        <v>0</v>
      </c>
      <c r="P370" s="9">
        <f>STATS1003B!P387/1000</f>
        <v>0</v>
      </c>
      <c r="Q370" s="9">
        <f>STATS1003B!Q387/1000</f>
        <v>0</v>
      </c>
      <c r="R370" s="9">
        <f>STATS1003B!R387/1000</f>
        <v>0</v>
      </c>
      <c r="S370" s="9">
        <f>STATS1003B!S387/1000</f>
        <v>0</v>
      </c>
      <c r="T370" s="9">
        <f>STATS1003B!T387/1000</f>
        <v>0</v>
      </c>
      <c r="U370" s="9">
        <f>STATS1003B!U387/1000</f>
        <v>0</v>
      </c>
      <c r="V370" s="9">
        <f>STATS1003B!V387/1000</f>
        <v>0</v>
      </c>
      <c r="W370" s="9">
        <f>STATS1003B!W387/1000</f>
        <v>0</v>
      </c>
      <c r="X370" s="9">
        <f>STATS1003B!X387/1000</f>
        <v>875.6</v>
      </c>
      <c r="Y370" s="9">
        <f>STATS1003B!Y387/1000</f>
        <v>0</v>
      </c>
      <c r="Z370" s="9">
        <f>STATS1003B!Z387/1000</f>
        <v>0</v>
      </c>
      <c r="AA370" s="9">
        <f>STATS1003B!AA387/1000</f>
        <v>875.6</v>
      </c>
      <c r="AB370" s="9">
        <f>STATS1003B!AB387/1000</f>
        <v>0</v>
      </c>
    </row>
    <row r="371" spans="1:28" x14ac:dyDescent="0.35">
      <c r="A371" s="36"/>
      <c r="B371" s="8"/>
      <c r="C371" s="7" t="s">
        <v>587</v>
      </c>
      <c r="D371" s="15" t="s">
        <v>108</v>
      </c>
      <c r="E371" s="9">
        <f>STATS1003B!E388/1000</f>
        <v>1841.3</v>
      </c>
      <c r="F371" s="9">
        <f>STATS1003B!F388/1000</f>
        <v>1841.3</v>
      </c>
      <c r="G371" s="9">
        <f>STATS1003B!G388/1000</f>
        <v>0</v>
      </c>
      <c r="H371" s="9">
        <f>STATS1003B!H388/1000</f>
        <v>1841.3</v>
      </c>
      <c r="I371" s="9">
        <f>STATS1003B!I388/1000</f>
        <v>0</v>
      </c>
      <c r="J371" s="9">
        <f>STATS1003B!J388/1000</f>
        <v>1841.3</v>
      </c>
      <c r="K371" s="9">
        <f>STATS1003B!K388/1000</f>
        <v>0</v>
      </c>
      <c r="L371" s="9">
        <f>STATS1003B!L388/1000</f>
        <v>0</v>
      </c>
      <c r="M371" s="9">
        <f>STATS1003B!M388/1000</f>
        <v>1841.3</v>
      </c>
      <c r="N371" s="9">
        <f>STATS1003B!N388/1000</f>
        <v>0</v>
      </c>
      <c r="O371" s="9">
        <f>STATS1003B!O388/1000</f>
        <v>0</v>
      </c>
      <c r="P371" s="9">
        <f>STATS1003B!P388/1000</f>
        <v>0</v>
      </c>
      <c r="Q371" s="9">
        <f>STATS1003B!Q388/1000</f>
        <v>0</v>
      </c>
      <c r="R371" s="9">
        <f>STATS1003B!R388/1000</f>
        <v>0</v>
      </c>
      <c r="S371" s="9">
        <f>STATS1003B!S388/1000</f>
        <v>0</v>
      </c>
      <c r="T371" s="9">
        <f>STATS1003B!T388/1000</f>
        <v>0</v>
      </c>
      <c r="U371" s="9">
        <f>STATS1003B!U388/1000</f>
        <v>0</v>
      </c>
      <c r="V371" s="9">
        <f>STATS1003B!V388/1000</f>
        <v>0</v>
      </c>
      <c r="W371" s="9">
        <f>STATS1003B!W388/1000</f>
        <v>0</v>
      </c>
      <c r="X371" s="9">
        <f>STATS1003B!X388/1000</f>
        <v>1841.3</v>
      </c>
      <c r="Y371" s="9">
        <f>STATS1003B!Y388/1000</f>
        <v>0</v>
      </c>
      <c r="Z371" s="9">
        <f>STATS1003B!Z388/1000</f>
        <v>0</v>
      </c>
      <c r="AA371" s="9">
        <f>STATS1003B!AA388/1000</f>
        <v>1841.3</v>
      </c>
      <c r="AB371" s="9">
        <f>STATS1003B!AB388/1000</f>
        <v>0</v>
      </c>
    </row>
    <row r="372" spans="1:28" x14ac:dyDescent="0.35">
      <c r="A372" s="36"/>
      <c r="B372" s="8"/>
      <c r="C372" s="7" t="s">
        <v>535</v>
      </c>
      <c r="D372" s="15" t="s">
        <v>58</v>
      </c>
      <c r="E372" s="9">
        <f>STATS1003B!E389/1000</f>
        <v>1691.0450000000001</v>
      </c>
      <c r="F372" s="9">
        <f>STATS1003B!F389/1000</f>
        <v>1691.0450000000001</v>
      </c>
      <c r="G372" s="9">
        <f>STATS1003B!G389/1000</f>
        <v>0</v>
      </c>
      <c r="H372" s="9">
        <f>STATS1003B!H389/1000</f>
        <v>1691.0450000000001</v>
      </c>
      <c r="I372" s="9">
        <f>STATS1003B!I389/1000</f>
        <v>0</v>
      </c>
      <c r="J372" s="9">
        <f>STATS1003B!J389/1000</f>
        <v>1691.0450000000001</v>
      </c>
      <c r="K372" s="9">
        <f>STATS1003B!K389/1000</f>
        <v>0</v>
      </c>
      <c r="L372" s="9">
        <f>STATS1003B!L389/1000</f>
        <v>0</v>
      </c>
      <c r="M372" s="9">
        <f>STATS1003B!M389/1000</f>
        <v>1691.0450000000001</v>
      </c>
      <c r="N372" s="9">
        <f>STATS1003B!N389/1000</f>
        <v>0</v>
      </c>
      <c r="O372" s="9">
        <f>STATS1003B!O389/1000</f>
        <v>0</v>
      </c>
      <c r="P372" s="9">
        <f>STATS1003B!P389/1000</f>
        <v>0</v>
      </c>
      <c r="Q372" s="9">
        <f>STATS1003B!Q389/1000</f>
        <v>0</v>
      </c>
      <c r="R372" s="9">
        <f>STATS1003B!R389/1000</f>
        <v>0</v>
      </c>
      <c r="S372" s="9">
        <f>STATS1003B!S389/1000</f>
        <v>0</v>
      </c>
      <c r="T372" s="9">
        <f>STATS1003B!T389/1000</f>
        <v>0</v>
      </c>
      <c r="U372" s="9">
        <f>STATS1003B!U389/1000</f>
        <v>0</v>
      </c>
      <c r="V372" s="9">
        <f>STATS1003B!V389/1000</f>
        <v>0</v>
      </c>
      <c r="W372" s="9">
        <f>STATS1003B!W389/1000</f>
        <v>0</v>
      </c>
      <c r="X372" s="9">
        <f>STATS1003B!X389/1000</f>
        <v>1691.0450000000001</v>
      </c>
      <c r="Y372" s="9">
        <f>STATS1003B!Y389/1000</f>
        <v>0</v>
      </c>
      <c r="Z372" s="9">
        <f>STATS1003B!Z389/1000</f>
        <v>0</v>
      </c>
      <c r="AA372" s="9">
        <f>STATS1003B!AA389/1000</f>
        <v>1691.0450000000001</v>
      </c>
      <c r="AB372" s="9">
        <f>STATS1003B!AB389/1000</f>
        <v>0</v>
      </c>
    </row>
    <row r="373" spans="1:28" x14ac:dyDescent="0.35">
      <c r="A373" s="36"/>
      <c r="B373" s="8"/>
      <c r="C373" s="14" t="s">
        <v>535</v>
      </c>
      <c r="D373" s="21" t="s">
        <v>60</v>
      </c>
      <c r="E373" s="9">
        <f>STATS1003B!E390/1000</f>
        <v>3685.1970000000001</v>
      </c>
      <c r="F373" s="9">
        <f>STATS1003B!F390/1000</f>
        <v>3685.1970000000001</v>
      </c>
      <c r="G373" s="9">
        <f>STATS1003B!G390/1000</f>
        <v>0</v>
      </c>
      <c r="H373" s="9">
        <f>STATS1003B!H390/1000</f>
        <v>3685.1970000000001</v>
      </c>
      <c r="I373" s="9">
        <f>STATS1003B!I390/1000</f>
        <v>0</v>
      </c>
      <c r="J373" s="9">
        <f>STATS1003B!J390/1000</f>
        <v>3685.1970000000001</v>
      </c>
      <c r="K373" s="9">
        <f>STATS1003B!K390/1000</f>
        <v>0</v>
      </c>
      <c r="L373" s="9">
        <f>STATS1003B!L390/1000</f>
        <v>0</v>
      </c>
      <c r="M373" s="9">
        <f>STATS1003B!M390/1000</f>
        <v>3685.1970000000001</v>
      </c>
      <c r="N373" s="9">
        <f>STATS1003B!N390/1000</f>
        <v>0</v>
      </c>
      <c r="O373" s="9">
        <f>STATS1003B!O390/1000</f>
        <v>0</v>
      </c>
      <c r="P373" s="9">
        <f>STATS1003B!P390/1000</f>
        <v>0</v>
      </c>
      <c r="Q373" s="9">
        <f>STATS1003B!Q390/1000</f>
        <v>0</v>
      </c>
      <c r="R373" s="9">
        <f>STATS1003B!R390/1000</f>
        <v>0</v>
      </c>
      <c r="S373" s="9">
        <f>STATS1003B!S390/1000</f>
        <v>0</v>
      </c>
      <c r="T373" s="9">
        <f>STATS1003B!T390/1000</f>
        <v>0</v>
      </c>
      <c r="U373" s="9">
        <f>STATS1003B!U390/1000</f>
        <v>0</v>
      </c>
      <c r="V373" s="9">
        <f>STATS1003B!V390/1000</f>
        <v>0</v>
      </c>
      <c r="W373" s="9">
        <f>STATS1003B!W390/1000</f>
        <v>0</v>
      </c>
      <c r="X373" s="9">
        <f>STATS1003B!X390/1000</f>
        <v>3685.1970000000001</v>
      </c>
      <c r="Y373" s="9">
        <f>STATS1003B!Y390/1000</f>
        <v>0</v>
      </c>
      <c r="Z373" s="9">
        <f>STATS1003B!Z390/1000</f>
        <v>0</v>
      </c>
      <c r="AA373" s="9">
        <f>STATS1003B!AA390/1000</f>
        <v>3685.1970000000001</v>
      </c>
      <c r="AB373" s="9">
        <f>STATS1003B!AB390/1000</f>
        <v>0</v>
      </c>
    </row>
    <row r="374" spans="1:28" x14ac:dyDescent="0.35">
      <c r="A374" s="36"/>
      <c r="B374" s="8"/>
      <c r="C374" s="14" t="s">
        <v>535</v>
      </c>
      <c r="D374" s="21" t="s">
        <v>73</v>
      </c>
      <c r="E374" s="9">
        <f>STATS1003B!E391/1000</f>
        <v>3633.2622099999999</v>
      </c>
      <c r="F374" s="9">
        <f>STATS1003B!F391/1000</f>
        <v>3633.2622099999999</v>
      </c>
      <c r="G374" s="9">
        <f>STATS1003B!G391/1000</f>
        <v>0</v>
      </c>
      <c r="H374" s="9">
        <f>STATS1003B!H391/1000</f>
        <v>3633.2622099999999</v>
      </c>
      <c r="I374" s="9">
        <f>STATS1003B!I391/1000</f>
        <v>0</v>
      </c>
      <c r="J374" s="9">
        <f>STATS1003B!J391/1000</f>
        <v>3633.2622099999999</v>
      </c>
      <c r="K374" s="9">
        <f>STATS1003B!K391/1000</f>
        <v>0</v>
      </c>
      <c r="L374" s="9">
        <f>STATS1003B!L391/1000</f>
        <v>0</v>
      </c>
      <c r="M374" s="9">
        <f>STATS1003B!M391/1000</f>
        <v>3633.2622099999999</v>
      </c>
      <c r="N374" s="9">
        <f>STATS1003B!N391/1000</f>
        <v>0</v>
      </c>
      <c r="O374" s="9">
        <f>STATS1003B!O391/1000</f>
        <v>0</v>
      </c>
      <c r="P374" s="9">
        <f>STATS1003B!P391/1000</f>
        <v>0</v>
      </c>
      <c r="Q374" s="9">
        <f>STATS1003B!Q391/1000</f>
        <v>0</v>
      </c>
      <c r="R374" s="9">
        <f>STATS1003B!R391/1000</f>
        <v>0</v>
      </c>
      <c r="S374" s="9">
        <f>STATS1003B!S391/1000</f>
        <v>0</v>
      </c>
      <c r="T374" s="9">
        <f>STATS1003B!T391/1000</f>
        <v>0</v>
      </c>
      <c r="U374" s="9">
        <f>STATS1003B!U391/1000</f>
        <v>0</v>
      </c>
      <c r="V374" s="9">
        <f>STATS1003B!V391/1000</f>
        <v>0</v>
      </c>
      <c r="W374" s="9">
        <f>STATS1003B!W391/1000</f>
        <v>0</v>
      </c>
      <c r="X374" s="9">
        <f>STATS1003B!X391/1000</f>
        <v>3633.2622099999999</v>
      </c>
      <c r="Y374" s="9">
        <f>STATS1003B!Y391/1000</f>
        <v>0</v>
      </c>
      <c r="Z374" s="9">
        <f>STATS1003B!Z391/1000</f>
        <v>0</v>
      </c>
      <c r="AA374" s="9">
        <f>STATS1003B!AA391/1000</f>
        <v>3633.2622099999999</v>
      </c>
      <c r="AB374" s="9">
        <f>STATS1003B!AB391/1000</f>
        <v>0</v>
      </c>
    </row>
    <row r="375" spans="1:28" x14ac:dyDescent="0.35">
      <c r="A375" s="36"/>
      <c r="B375" s="8"/>
      <c r="C375" s="14" t="s">
        <v>549</v>
      </c>
      <c r="D375" s="21" t="s">
        <v>73</v>
      </c>
      <c r="E375" s="9">
        <f>STATS1003B!E392/1000</f>
        <v>1000</v>
      </c>
      <c r="F375" s="9">
        <f>STATS1003B!F392/1000</f>
        <v>1000</v>
      </c>
      <c r="G375" s="9">
        <f>STATS1003B!G392/1000</f>
        <v>0</v>
      </c>
      <c r="H375" s="9">
        <f>STATS1003B!H392/1000</f>
        <v>1000</v>
      </c>
      <c r="I375" s="9">
        <f>STATS1003B!I392/1000</f>
        <v>0</v>
      </c>
      <c r="J375" s="9">
        <f>STATS1003B!J392/1000</f>
        <v>1000</v>
      </c>
      <c r="K375" s="9">
        <f>STATS1003B!K392/1000</f>
        <v>0</v>
      </c>
      <c r="L375" s="9">
        <f>STATS1003B!L392/1000</f>
        <v>0</v>
      </c>
      <c r="M375" s="9">
        <f>STATS1003B!M392/1000</f>
        <v>1000</v>
      </c>
      <c r="N375" s="9">
        <f>STATS1003B!N392/1000</f>
        <v>0</v>
      </c>
      <c r="O375" s="9">
        <f>STATS1003B!O392/1000</f>
        <v>0</v>
      </c>
      <c r="P375" s="9">
        <f>STATS1003B!P392/1000</f>
        <v>0</v>
      </c>
      <c r="Q375" s="9">
        <f>STATS1003B!Q392/1000</f>
        <v>0</v>
      </c>
      <c r="R375" s="9">
        <f>STATS1003B!R392/1000</f>
        <v>0</v>
      </c>
      <c r="S375" s="9">
        <f>STATS1003B!S392/1000</f>
        <v>0</v>
      </c>
      <c r="T375" s="9">
        <f>STATS1003B!T392/1000</f>
        <v>0</v>
      </c>
      <c r="U375" s="9">
        <f>STATS1003B!U392/1000</f>
        <v>0</v>
      </c>
      <c r="V375" s="9">
        <f>STATS1003B!V392/1000</f>
        <v>0</v>
      </c>
      <c r="W375" s="9">
        <f>STATS1003B!W392/1000</f>
        <v>0</v>
      </c>
      <c r="X375" s="9">
        <f>STATS1003B!X392/1000</f>
        <v>1000</v>
      </c>
      <c r="Y375" s="9">
        <f>STATS1003B!Y392/1000</f>
        <v>0</v>
      </c>
      <c r="Z375" s="9">
        <f>STATS1003B!Z392/1000</f>
        <v>0</v>
      </c>
      <c r="AA375" s="9">
        <f>STATS1003B!AA392/1000</f>
        <v>1000</v>
      </c>
      <c r="AB375" s="9">
        <f>STATS1003B!AB392/1000</f>
        <v>0</v>
      </c>
    </row>
    <row r="376" spans="1:28" x14ac:dyDescent="0.35">
      <c r="A376" s="36"/>
      <c r="B376" s="8"/>
      <c r="C376" s="14" t="s">
        <v>535</v>
      </c>
      <c r="D376" s="21" t="s">
        <v>61</v>
      </c>
      <c r="E376" s="9">
        <f>STATS1003B!E393/1000</f>
        <v>1639.5313199999998</v>
      </c>
      <c r="F376" s="9">
        <f>STATS1003B!F393/1000</f>
        <v>1639.5313199999998</v>
      </c>
      <c r="G376" s="9">
        <f>STATS1003B!G393/1000</f>
        <v>0</v>
      </c>
      <c r="H376" s="9">
        <f>STATS1003B!H393/1000</f>
        <v>1639.5313199999998</v>
      </c>
      <c r="I376" s="9">
        <f>STATS1003B!I393/1000</f>
        <v>0</v>
      </c>
      <c r="J376" s="9">
        <f>STATS1003B!J393/1000</f>
        <v>1639.5313199999998</v>
      </c>
      <c r="K376" s="9">
        <f>STATS1003B!K393/1000</f>
        <v>0</v>
      </c>
      <c r="L376" s="9">
        <f>STATS1003B!L393/1000</f>
        <v>0</v>
      </c>
      <c r="M376" s="9">
        <f>STATS1003B!M393/1000</f>
        <v>1639.5313199999998</v>
      </c>
      <c r="N376" s="9">
        <f>STATS1003B!N393/1000</f>
        <v>0</v>
      </c>
      <c r="O376" s="9">
        <f>STATS1003B!O393/1000</f>
        <v>0</v>
      </c>
      <c r="P376" s="9">
        <f>STATS1003B!P393/1000</f>
        <v>0</v>
      </c>
      <c r="Q376" s="9">
        <f>STATS1003B!Q393/1000</f>
        <v>0</v>
      </c>
      <c r="R376" s="9">
        <f>STATS1003B!R393/1000</f>
        <v>0</v>
      </c>
      <c r="S376" s="9">
        <f>STATS1003B!S393/1000</f>
        <v>0</v>
      </c>
      <c r="T376" s="9">
        <f>STATS1003B!T393/1000</f>
        <v>0</v>
      </c>
      <c r="U376" s="9">
        <f>STATS1003B!U393/1000</f>
        <v>0</v>
      </c>
      <c r="V376" s="9">
        <f>STATS1003B!V393/1000</f>
        <v>0</v>
      </c>
      <c r="W376" s="9">
        <f>STATS1003B!W393/1000</f>
        <v>0</v>
      </c>
      <c r="X376" s="9">
        <f>STATS1003B!X393/1000</f>
        <v>1639.5313199999998</v>
      </c>
      <c r="Y376" s="9">
        <f>STATS1003B!Y393/1000</f>
        <v>0</v>
      </c>
      <c r="Z376" s="9">
        <f>STATS1003B!Z393/1000</f>
        <v>0</v>
      </c>
      <c r="AA376" s="9">
        <f>STATS1003B!AA393/1000</f>
        <v>1639.5313199999998</v>
      </c>
      <c r="AB376" s="9">
        <f>STATS1003B!AB393/1000</f>
        <v>0</v>
      </c>
    </row>
    <row r="377" spans="1:28" x14ac:dyDescent="0.35">
      <c r="A377" s="36"/>
      <c r="B377" s="8"/>
      <c r="C377" s="45" t="s">
        <v>933</v>
      </c>
      <c r="D377" s="24" t="s">
        <v>1072</v>
      </c>
      <c r="E377" s="9">
        <f>STATS1003B!E394/1000</f>
        <v>3798</v>
      </c>
      <c r="F377" s="9">
        <f>STATS1003B!F394/1000</f>
        <v>3798</v>
      </c>
      <c r="G377" s="9">
        <f>STATS1003B!G394/1000</f>
        <v>0</v>
      </c>
      <c r="H377" s="9">
        <f>STATS1003B!H394/1000</f>
        <v>3798</v>
      </c>
      <c r="I377" s="9">
        <f>STATS1003B!I394/1000</f>
        <v>0</v>
      </c>
      <c r="J377" s="9">
        <f>STATS1003B!J394/1000</f>
        <v>3798</v>
      </c>
      <c r="K377" s="9">
        <f>STATS1003B!K394/1000</f>
        <v>0</v>
      </c>
      <c r="L377" s="9">
        <f>STATS1003B!L394/1000</f>
        <v>0</v>
      </c>
      <c r="M377" s="9">
        <f>STATS1003B!M394/1000</f>
        <v>3798</v>
      </c>
      <c r="N377" s="9">
        <f>STATS1003B!N394/1000</f>
        <v>0</v>
      </c>
      <c r="O377" s="9">
        <f>STATS1003B!O394/1000</f>
        <v>0</v>
      </c>
      <c r="P377" s="9">
        <f>STATS1003B!P394/1000</f>
        <v>0</v>
      </c>
      <c r="Q377" s="9">
        <f>STATS1003B!Q394/1000</f>
        <v>0</v>
      </c>
      <c r="R377" s="9">
        <f>STATS1003B!R394/1000</f>
        <v>0</v>
      </c>
      <c r="S377" s="9">
        <f>STATS1003B!S394/1000</f>
        <v>0</v>
      </c>
      <c r="T377" s="9">
        <f>STATS1003B!T394/1000</f>
        <v>0</v>
      </c>
      <c r="U377" s="9">
        <f>STATS1003B!U394/1000</f>
        <v>0</v>
      </c>
      <c r="V377" s="9">
        <f>STATS1003B!V394/1000</f>
        <v>0</v>
      </c>
      <c r="W377" s="9">
        <f>STATS1003B!W394/1000</f>
        <v>0</v>
      </c>
      <c r="X377" s="9">
        <f>STATS1003B!X394/1000</f>
        <v>3798</v>
      </c>
      <c r="Y377" s="9">
        <f>STATS1003B!Y394/1000</f>
        <v>0</v>
      </c>
      <c r="Z377" s="9">
        <f>STATS1003B!Z394/1000</f>
        <v>0</v>
      </c>
      <c r="AA377" s="9">
        <f>STATS1003B!AA394/1000</f>
        <v>3798</v>
      </c>
      <c r="AB377" s="9">
        <f>STATS1003B!AB394/1000</f>
        <v>0</v>
      </c>
    </row>
    <row r="378" spans="1:28" x14ac:dyDescent="0.35">
      <c r="A378" s="36"/>
      <c r="B378" s="8"/>
      <c r="C378" s="7" t="s">
        <v>578</v>
      </c>
      <c r="D378" s="8"/>
      <c r="E378" s="9">
        <f>STATS1003B!E397/1000</f>
        <v>18</v>
      </c>
      <c r="F378" s="9">
        <f>STATS1003B!F397/1000</f>
        <v>18</v>
      </c>
      <c r="G378" s="9">
        <f>STATS1003B!G397/1000</f>
        <v>0</v>
      </c>
      <c r="H378" s="9">
        <f>STATS1003B!H397/1000</f>
        <v>18</v>
      </c>
      <c r="I378" s="9">
        <f>STATS1003B!I397/1000</f>
        <v>0</v>
      </c>
      <c r="J378" s="9">
        <f>STATS1003B!J397/1000</f>
        <v>18</v>
      </c>
      <c r="K378" s="9">
        <f>STATS1003B!K397/1000</f>
        <v>0</v>
      </c>
      <c r="L378" s="9">
        <f>STATS1003B!L397/1000</f>
        <v>0</v>
      </c>
      <c r="M378" s="9">
        <f>STATS1003B!M397/1000</f>
        <v>18</v>
      </c>
      <c r="N378" s="9">
        <f>STATS1003B!N397/1000</f>
        <v>0</v>
      </c>
      <c r="O378" s="9">
        <f>STATS1003B!O397/1000</f>
        <v>0</v>
      </c>
      <c r="P378" s="9">
        <f>STATS1003B!P397/1000</f>
        <v>0</v>
      </c>
      <c r="Q378" s="9">
        <f>STATS1003B!Q397/1000</f>
        <v>0</v>
      </c>
      <c r="R378" s="9">
        <f>STATS1003B!R397/1000</f>
        <v>0</v>
      </c>
      <c r="S378" s="9">
        <f>STATS1003B!S397/1000</f>
        <v>0</v>
      </c>
      <c r="T378" s="9">
        <f>STATS1003B!T397/1000</f>
        <v>0</v>
      </c>
      <c r="U378" s="9">
        <f>STATS1003B!U397/1000</f>
        <v>0</v>
      </c>
      <c r="V378" s="9">
        <f>STATS1003B!V397/1000</f>
        <v>0</v>
      </c>
      <c r="W378" s="9">
        <f>STATS1003B!W397/1000</f>
        <v>0</v>
      </c>
      <c r="X378" s="9">
        <f>STATS1003B!X397/1000</f>
        <v>18</v>
      </c>
      <c r="Y378" s="9">
        <f>STATS1003B!Y397/1000</f>
        <v>0</v>
      </c>
      <c r="Z378" s="9">
        <f>STATS1003B!Z397/1000</f>
        <v>0</v>
      </c>
      <c r="AA378" s="9">
        <f>STATS1003B!AA397/1000</f>
        <v>18</v>
      </c>
      <c r="AB378" s="9">
        <f>STATS1003B!AB397/1000</f>
        <v>0</v>
      </c>
    </row>
    <row r="379" spans="1:28" x14ac:dyDescent="0.35">
      <c r="A379" s="36"/>
      <c r="B379" s="8"/>
      <c r="C379" s="8"/>
      <c r="D379" s="8"/>
      <c r="E379" s="17" t="s">
        <v>29</v>
      </c>
      <c r="F379" s="17" t="s">
        <v>29</v>
      </c>
      <c r="G379" s="17" t="s">
        <v>29</v>
      </c>
      <c r="H379" s="17" t="s">
        <v>29</v>
      </c>
      <c r="I379" s="17" t="s">
        <v>29</v>
      </c>
      <c r="J379" s="17" t="s">
        <v>29</v>
      </c>
      <c r="K379" s="17" t="s">
        <v>29</v>
      </c>
      <c r="L379" s="17" t="s">
        <v>29</v>
      </c>
      <c r="M379" s="17" t="s">
        <v>29</v>
      </c>
      <c r="N379" s="17" t="s">
        <v>29</v>
      </c>
      <c r="O379" s="17" t="s">
        <v>29</v>
      </c>
      <c r="P379" s="17" t="s">
        <v>29</v>
      </c>
      <c r="Q379" s="17" t="s">
        <v>29</v>
      </c>
      <c r="R379" s="17" t="s">
        <v>29</v>
      </c>
      <c r="S379" s="17" t="s">
        <v>29</v>
      </c>
      <c r="T379" s="17" t="s">
        <v>29</v>
      </c>
      <c r="U379" s="17" t="s">
        <v>29</v>
      </c>
      <c r="V379" s="17" t="s">
        <v>29</v>
      </c>
      <c r="W379" s="17" t="s">
        <v>29</v>
      </c>
      <c r="X379" s="17" t="s">
        <v>29</v>
      </c>
      <c r="Y379" s="17" t="s">
        <v>29</v>
      </c>
      <c r="Z379" s="17" t="s">
        <v>29</v>
      </c>
      <c r="AA379" s="17" t="s">
        <v>29</v>
      </c>
      <c r="AB379" s="17" t="s">
        <v>29</v>
      </c>
    </row>
    <row r="380" spans="1:28" x14ac:dyDescent="0.35">
      <c r="A380" s="36"/>
      <c r="B380" s="8"/>
      <c r="C380" s="8"/>
      <c r="D380" s="8"/>
      <c r="E380" s="9">
        <f t="shared" ref="E380:Q380" si="20">SUM(E356:E379)</f>
        <v>40930.485739999996</v>
      </c>
      <c r="F380" s="9">
        <f t="shared" si="20"/>
        <v>33282.615669999999</v>
      </c>
      <c r="G380" s="9">
        <f t="shared" si="20"/>
        <v>0</v>
      </c>
      <c r="H380" s="9">
        <f t="shared" si="20"/>
        <v>33282.615669999999</v>
      </c>
      <c r="I380" s="9" t="e">
        <f t="shared" si="20"/>
        <v>#VALUE!</v>
      </c>
      <c r="J380" s="9">
        <f t="shared" si="20"/>
        <v>33282.615669999999</v>
      </c>
      <c r="K380" s="9">
        <f t="shared" si="20"/>
        <v>7467.3912199999995</v>
      </c>
      <c r="L380" s="9">
        <f t="shared" si="20"/>
        <v>0</v>
      </c>
      <c r="M380" s="9">
        <f t="shared" si="20"/>
        <v>33282.615669999999</v>
      </c>
      <c r="N380" s="9">
        <f t="shared" si="20"/>
        <v>7467.3912199999995</v>
      </c>
      <c r="O380" s="9">
        <f t="shared" si="20"/>
        <v>0</v>
      </c>
      <c r="P380" s="9">
        <f t="shared" si="20"/>
        <v>7467.3912199999995</v>
      </c>
      <c r="Q380" s="9">
        <f t="shared" si="20"/>
        <v>0</v>
      </c>
      <c r="R380" s="17"/>
      <c r="S380" s="17"/>
      <c r="T380" s="9">
        <f t="shared" ref="T380:Z380" si="21">SUM(T356:T379)</f>
        <v>0</v>
      </c>
      <c r="U380" s="9">
        <f t="shared" si="21"/>
        <v>7467.3912199999995</v>
      </c>
      <c r="V380" s="9">
        <f t="shared" si="21"/>
        <v>0</v>
      </c>
      <c r="W380" s="9">
        <f t="shared" si="21"/>
        <v>0</v>
      </c>
      <c r="X380" s="9">
        <f t="shared" si="21"/>
        <v>40750.006889999997</v>
      </c>
      <c r="Y380" s="9">
        <f t="shared" si="21"/>
        <v>0</v>
      </c>
      <c r="Z380" s="9">
        <f t="shared" si="21"/>
        <v>180.47884999999985</v>
      </c>
      <c r="AA380" s="9">
        <f>SUM(AA356:AA379)</f>
        <v>40750.006889999997</v>
      </c>
      <c r="AB380" s="9">
        <f>SUM(AB356:AB379)</f>
        <v>180.47884999999985</v>
      </c>
    </row>
    <row r="381" spans="1:28" x14ac:dyDescent="0.35">
      <c r="A381" s="36"/>
      <c r="B381" s="8"/>
      <c r="C381" s="8"/>
      <c r="D381" s="8"/>
      <c r="E381" s="17" t="s">
        <v>29</v>
      </c>
      <c r="F381" s="17" t="s">
        <v>29</v>
      </c>
      <c r="G381" s="17" t="s">
        <v>29</v>
      </c>
      <c r="H381" s="17" t="s">
        <v>29</v>
      </c>
      <c r="I381" s="17" t="s">
        <v>29</v>
      </c>
      <c r="J381" s="17" t="s">
        <v>29</v>
      </c>
      <c r="K381" s="17" t="s">
        <v>29</v>
      </c>
      <c r="L381" s="17" t="s">
        <v>29</v>
      </c>
      <c r="M381" s="17" t="s">
        <v>29</v>
      </c>
      <c r="N381" s="17" t="s">
        <v>29</v>
      </c>
      <c r="O381" s="17" t="s">
        <v>29</v>
      </c>
      <c r="P381" s="17" t="s">
        <v>29</v>
      </c>
      <c r="Q381" s="17" t="s">
        <v>29</v>
      </c>
      <c r="R381" s="17" t="s">
        <v>29</v>
      </c>
      <c r="S381" s="17" t="s">
        <v>29</v>
      </c>
      <c r="T381" s="17" t="s">
        <v>29</v>
      </c>
      <c r="U381" s="17" t="s">
        <v>29</v>
      </c>
      <c r="V381" s="17" t="s">
        <v>29</v>
      </c>
      <c r="W381" s="17" t="s">
        <v>29</v>
      </c>
      <c r="X381" s="17" t="s">
        <v>29</v>
      </c>
      <c r="Y381" s="17" t="s">
        <v>29</v>
      </c>
      <c r="Z381" s="17" t="s">
        <v>29</v>
      </c>
      <c r="AA381" s="17" t="s">
        <v>29</v>
      </c>
      <c r="AB381" s="17" t="s">
        <v>29</v>
      </c>
    </row>
    <row r="382" spans="1:28" x14ac:dyDescent="0.35">
      <c r="A382" s="38" t="s">
        <v>951</v>
      </c>
      <c r="B382" s="7" t="s">
        <v>588</v>
      </c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17"/>
      <c r="S382" s="17"/>
      <c r="T382" s="25"/>
      <c r="U382" s="25"/>
      <c r="V382" s="25"/>
      <c r="W382" s="25"/>
      <c r="X382" s="25"/>
      <c r="Y382" s="25"/>
      <c r="Z382" s="25"/>
    </row>
    <row r="383" spans="1:28" x14ac:dyDescent="0.35">
      <c r="A383" s="36"/>
      <c r="B383" s="8"/>
      <c r="C383" s="7" t="s">
        <v>539</v>
      </c>
      <c r="D383" s="15" t="s">
        <v>68</v>
      </c>
      <c r="E383" s="9">
        <f>STATS1003B!E402/1000</f>
        <v>5205.8914499999992</v>
      </c>
      <c r="F383" s="9">
        <f>STATS1003B!F402/1000</f>
        <v>0</v>
      </c>
      <c r="G383" s="9">
        <f>STATS1003B!G402/1000</f>
        <v>0</v>
      </c>
      <c r="H383" s="9">
        <f>STATS1003B!H402/1000</f>
        <v>0</v>
      </c>
      <c r="I383" s="9">
        <f>STATS1003B!I402/1000</f>
        <v>0</v>
      </c>
      <c r="J383" s="9">
        <f>STATS1003B!J402/1000</f>
        <v>0</v>
      </c>
      <c r="K383" s="9">
        <f>STATS1003B!K402/1000</f>
        <v>5205.8914499999992</v>
      </c>
      <c r="L383" s="9">
        <f>STATS1003B!L402/1000</f>
        <v>0</v>
      </c>
      <c r="M383" s="9">
        <f>STATS1003B!M402/1000</f>
        <v>0</v>
      </c>
      <c r="N383" s="9">
        <f>STATS1003B!N402/1000</f>
        <v>5205.8914500000001</v>
      </c>
      <c r="O383" s="9">
        <f>STATS1003B!O402/1000</f>
        <v>0</v>
      </c>
      <c r="P383" s="9">
        <f>STATS1003B!P402/1000</f>
        <v>5205.8914500000001</v>
      </c>
      <c r="Q383" s="9">
        <f>STATS1003B!Q402/1000</f>
        <v>0</v>
      </c>
      <c r="R383" s="9">
        <f>STATS1003B!R402/1000</f>
        <v>0</v>
      </c>
      <c r="S383" s="9">
        <f>STATS1003B!S402/1000</f>
        <v>0</v>
      </c>
      <c r="T383" s="9">
        <f>STATS1003B!T402/1000</f>
        <v>0</v>
      </c>
      <c r="U383" s="9">
        <f>STATS1003B!U402/1000</f>
        <v>5205.8914500000001</v>
      </c>
      <c r="V383" s="9">
        <f>STATS1003B!V402/1000</f>
        <v>0</v>
      </c>
      <c r="W383" s="9">
        <f>STATS1003B!W402/1000</f>
        <v>0</v>
      </c>
      <c r="X383" s="9">
        <f>STATS1003B!X402/1000</f>
        <v>5205.8914500000001</v>
      </c>
      <c r="Y383" s="9">
        <f>STATS1003B!Y402/1000</f>
        <v>0</v>
      </c>
      <c r="Z383" s="9">
        <f>STATS1003B!Z402/1000</f>
        <v>0</v>
      </c>
      <c r="AA383" s="9">
        <f>STATS1003B!AA402/1000</f>
        <v>5205.8914500000001</v>
      </c>
      <c r="AB383" s="9">
        <f>STATS1003B!AB402/1000</f>
        <v>0</v>
      </c>
    </row>
    <row r="384" spans="1:28" x14ac:dyDescent="0.35">
      <c r="A384" s="36"/>
      <c r="B384" s="8"/>
      <c r="C384" s="7" t="s">
        <v>535</v>
      </c>
      <c r="D384" s="15" t="s">
        <v>68</v>
      </c>
      <c r="E384" s="9">
        <f>STATS1003B!E403/1000</f>
        <v>1102</v>
      </c>
      <c r="F384" s="9">
        <f>STATS1003B!F403/1000</f>
        <v>1102</v>
      </c>
      <c r="G384" s="9">
        <f>STATS1003B!G403/1000</f>
        <v>0</v>
      </c>
      <c r="H384" s="9">
        <f>STATS1003B!H403/1000</f>
        <v>1102</v>
      </c>
      <c r="I384" s="9">
        <f>STATS1003B!I403/1000</f>
        <v>0</v>
      </c>
      <c r="J384" s="9">
        <f>STATS1003B!J403/1000</f>
        <v>1102</v>
      </c>
      <c r="K384" s="9">
        <f>STATS1003B!K403/1000</f>
        <v>0</v>
      </c>
      <c r="L384" s="9">
        <f>STATS1003B!L403/1000</f>
        <v>0</v>
      </c>
      <c r="M384" s="9">
        <f>STATS1003B!M403/1000</f>
        <v>1102</v>
      </c>
      <c r="N384" s="9">
        <f>STATS1003B!N403/1000</f>
        <v>0</v>
      </c>
      <c r="O384" s="9">
        <f>STATS1003B!O403/1000</f>
        <v>0</v>
      </c>
      <c r="P384" s="9">
        <f>STATS1003B!P403/1000</f>
        <v>0</v>
      </c>
      <c r="Q384" s="9">
        <f>STATS1003B!Q403/1000</f>
        <v>0</v>
      </c>
      <c r="R384" s="9">
        <f>STATS1003B!R403/1000</f>
        <v>0</v>
      </c>
      <c r="S384" s="9">
        <f>STATS1003B!S403/1000</f>
        <v>0</v>
      </c>
      <c r="T384" s="9">
        <f>STATS1003B!T403/1000</f>
        <v>0</v>
      </c>
      <c r="U384" s="9">
        <f>STATS1003B!U403/1000</f>
        <v>0</v>
      </c>
      <c r="V384" s="9">
        <f>STATS1003B!V403/1000</f>
        <v>0</v>
      </c>
      <c r="W384" s="9">
        <f>STATS1003B!W403/1000</f>
        <v>0</v>
      </c>
      <c r="X384" s="9">
        <f>STATS1003B!X403/1000</f>
        <v>1102</v>
      </c>
      <c r="Y384" s="9">
        <f>STATS1003B!Y403/1000</f>
        <v>0</v>
      </c>
      <c r="Z384" s="9">
        <f>STATS1003B!Z403/1000</f>
        <v>0</v>
      </c>
      <c r="AA384" s="9">
        <f>STATS1003B!AA403/1000</f>
        <v>1102</v>
      </c>
      <c r="AB384" s="9">
        <f>STATS1003B!AB403/1000</f>
        <v>0</v>
      </c>
    </row>
    <row r="385" spans="1:28" x14ac:dyDescent="0.35">
      <c r="A385" s="36"/>
      <c r="B385" s="8"/>
      <c r="C385" s="7" t="s">
        <v>545</v>
      </c>
      <c r="D385" s="15" t="s">
        <v>54</v>
      </c>
      <c r="E385" s="9">
        <f>STATS1003B!E404/1000</f>
        <v>1767.77</v>
      </c>
      <c r="F385" s="9">
        <f>STATS1003B!F404/1000</f>
        <v>0</v>
      </c>
      <c r="G385" s="9">
        <f>STATS1003B!G404/1000</f>
        <v>0</v>
      </c>
      <c r="H385" s="9">
        <f>STATS1003B!H404/1000</f>
        <v>0</v>
      </c>
      <c r="I385" s="9">
        <f>STATS1003B!I404/1000</f>
        <v>0</v>
      </c>
      <c r="J385" s="9">
        <f>STATS1003B!J404/1000</f>
        <v>0</v>
      </c>
      <c r="K385" s="9">
        <f>STATS1003B!K404/1000</f>
        <v>1767.77</v>
      </c>
      <c r="L385" s="9">
        <f>STATS1003B!L404/1000</f>
        <v>0</v>
      </c>
      <c r="M385" s="9">
        <f>STATS1003B!M404/1000</f>
        <v>0</v>
      </c>
      <c r="N385" s="9">
        <f>STATS1003B!N404/1000</f>
        <v>1767.77</v>
      </c>
      <c r="O385" s="9">
        <f>STATS1003B!O404/1000</f>
        <v>0</v>
      </c>
      <c r="P385" s="9">
        <f>STATS1003B!P404/1000</f>
        <v>1767.77</v>
      </c>
      <c r="Q385" s="9">
        <f>STATS1003B!Q404/1000</f>
        <v>0</v>
      </c>
      <c r="R385" s="9">
        <f>STATS1003B!R404/1000</f>
        <v>0</v>
      </c>
      <c r="S385" s="9">
        <f>STATS1003B!S404/1000</f>
        <v>0</v>
      </c>
      <c r="T385" s="9">
        <f>STATS1003B!T404/1000</f>
        <v>0</v>
      </c>
      <c r="U385" s="9">
        <f>STATS1003B!U404/1000</f>
        <v>1767.77</v>
      </c>
      <c r="V385" s="9">
        <f>STATS1003B!V404/1000</f>
        <v>0</v>
      </c>
      <c r="W385" s="9">
        <f>STATS1003B!W404/1000</f>
        <v>0</v>
      </c>
      <c r="X385" s="9">
        <f>STATS1003B!X404/1000</f>
        <v>1767.77</v>
      </c>
      <c r="Y385" s="9">
        <f>STATS1003B!Y404/1000</f>
        <v>0</v>
      </c>
      <c r="Z385" s="9">
        <f>STATS1003B!Z404/1000</f>
        <v>0</v>
      </c>
      <c r="AA385" s="9">
        <f>STATS1003B!AA404/1000</f>
        <v>1767.77</v>
      </c>
      <c r="AB385" s="9">
        <f>STATS1003B!AB404/1000</f>
        <v>0</v>
      </c>
    </row>
    <row r="386" spans="1:28" x14ac:dyDescent="0.35">
      <c r="A386" s="36"/>
      <c r="B386" s="8"/>
      <c r="C386" s="7" t="s">
        <v>535</v>
      </c>
      <c r="D386" s="15" t="s">
        <v>54</v>
      </c>
      <c r="E386" s="9">
        <f>STATS1003B!E405/1000</f>
        <v>1156</v>
      </c>
      <c r="F386" s="9">
        <f>STATS1003B!F405/1000</f>
        <v>1156</v>
      </c>
      <c r="G386" s="9">
        <f>STATS1003B!G405/1000</f>
        <v>0</v>
      </c>
      <c r="H386" s="9">
        <f>STATS1003B!H405/1000</f>
        <v>1156</v>
      </c>
      <c r="I386" s="9">
        <f>STATS1003B!I405/1000</f>
        <v>0</v>
      </c>
      <c r="J386" s="9">
        <f>STATS1003B!J405/1000</f>
        <v>1156</v>
      </c>
      <c r="K386" s="9">
        <f>STATS1003B!K405/1000</f>
        <v>0</v>
      </c>
      <c r="L386" s="9">
        <f>STATS1003B!L405/1000</f>
        <v>0</v>
      </c>
      <c r="M386" s="9">
        <f>STATS1003B!M405/1000</f>
        <v>1156</v>
      </c>
      <c r="N386" s="9">
        <f>STATS1003B!N405/1000</f>
        <v>0</v>
      </c>
      <c r="O386" s="9">
        <f>STATS1003B!O405/1000</f>
        <v>0</v>
      </c>
      <c r="P386" s="9">
        <f>STATS1003B!P405/1000</f>
        <v>0</v>
      </c>
      <c r="Q386" s="9">
        <f>STATS1003B!Q405/1000</f>
        <v>0</v>
      </c>
      <c r="R386" s="9">
        <f>STATS1003B!R405/1000</f>
        <v>0</v>
      </c>
      <c r="S386" s="9">
        <f>STATS1003B!S405/1000</f>
        <v>0</v>
      </c>
      <c r="T386" s="9">
        <f>STATS1003B!T405/1000</f>
        <v>0</v>
      </c>
      <c r="U386" s="9">
        <f>STATS1003B!U405/1000</f>
        <v>0</v>
      </c>
      <c r="V386" s="9">
        <f>STATS1003B!V405/1000</f>
        <v>0</v>
      </c>
      <c r="W386" s="9">
        <f>STATS1003B!W405/1000</f>
        <v>0</v>
      </c>
      <c r="X386" s="9">
        <f>STATS1003B!X405/1000</f>
        <v>1156</v>
      </c>
      <c r="Y386" s="9">
        <f>STATS1003B!Y405/1000</f>
        <v>0</v>
      </c>
      <c r="Z386" s="9">
        <f>STATS1003B!Z405/1000</f>
        <v>0</v>
      </c>
      <c r="AA386" s="9">
        <f>STATS1003B!AA405/1000</f>
        <v>1156</v>
      </c>
      <c r="AB386" s="9">
        <f>STATS1003B!AB405/1000</f>
        <v>0</v>
      </c>
    </row>
    <row r="387" spans="1:28" x14ac:dyDescent="0.35">
      <c r="A387" s="36"/>
      <c r="B387" s="8"/>
      <c r="C387" s="7" t="s">
        <v>535</v>
      </c>
      <c r="D387" s="15" t="s">
        <v>85</v>
      </c>
      <c r="E387" s="9">
        <f>STATS1003B!E406/1000</f>
        <v>1268.3</v>
      </c>
      <c r="F387" s="9">
        <f>STATS1003B!F406/1000</f>
        <v>1268.3</v>
      </c>
      <c r="G387" s="9">
        <f>STATS1003B!G406/1000</f>
        <v>0</v>
      </c>
      <c r="H387" s="9">
        <f>STATS1003B!H406/1000</f>
        <v>1268.3</v>
      </c>
      <c r="I387" s="9">
        <f>STATS1003B!I406/1000</f>
        <v>0</v>
      </c>
      <c r="J387" s="9">
        <f>STATS1003B!J406/1000</f>
        <v>1268.3</v>
      </c>
      <c r="K387" s="9">
        <f>STATS1003B!K406/1000</f>
        <v>0</v>
      </c>
      <c r="L387" s="9">
        <f>STATS1003B!L406/1000</f>
        <v>0</v>
      </c>
      <c r="M387" s="9">
        <f>STATS1003B!M406/1000</f>
        <v>1268.3</v>
      </c>
      <c r="N387" s="9">
        <f>STATS1003B!N406/1000</f>
        <v>0</v>
      </c>
      <c r="O387" s="9">
        <f>STATS1003B!O406/1000</f>
        <v>0</v>
      </c>
      <c r="P387" s="9">
        <f>STATS1003B!P406/1000</f>
        <v>0</v>
      </c>
      <c r="Q387" s="9">
        <f>STATS1003B!Q406/1000</f>
        <v>0</v>
      </c>
      <c r="R387" s="9">
        <f>STATS1003B!R406/1000</f>
        <v>0</v>
      </c>
      <c r="S387" s="9">
        <f>STATS1003B!S406/1000</f>
        <v>0</v>
      </c>
      <c r="T387" s="9">
        <f>STATS1003B!T406/1000</f>
        <v>0</v>
      </c>
      <c r="U387" s="9">
        <f>STATS1003B!U406/1000</f>
        <v>0</v>
      </c>
      <c r="V387" s="9">
        <f>STATS1003B!V406/1000</f>
        <v>0</v>
      </c>
      <c r="W387" s="9">
        <f>STATS1003B!W406/1000</f>
        <v>0</v>
      </c>
      <c r="X387" s="9">
        <f>STATS1003B!X406/1000</f>
        <v>1268.3</v>
      </c>
      <c r="Y387" s="9">
        <f>STATS1003B!Y406/1000</f>
        <v>0</v>
      </c>
      <c r="Z387" s="9">
        <f>STATS1003B!Z406/1000</f>
        <v>0</v>
      </c>
      <c r="AA387" s="9">
        <f>STATS1003B!AA406/1000</f>
        <v>1268.3</v>
      </c>
      <c r="AB387" s="9">
        <f>STATS1003B!AB406/1000</f>
        <v>0</v>
      </c>
    </row>
    <row r="388" spans="1:28" x14ac:dyDescent="0.35">
      <c r="A388" s="36"/>
      <c r="B388" s="8"/>
      <c r="C388" s="7" t="s">
        <v>535</v>
      </c>
      <c r="D388" s="15" t="s">
        <v>128</v>
      </c>
      <c r="E388" s="9">
        <f>STATS1003B!E407/1000</f>
        <v>709.2</v>
      </c>
      <c r="F388" s="9">
        <f>STATS1003B!F407/1000</f>
        <v>709.2</v>
      </c>
      <c r="G388" s="9">
        <f>STATS1003B!G407/1000</f>
        <v>0</v>
      </c>
      <c r="H388" s="9">
        <f>STATS1003B!H407/1000</f>
        <v>709.2</v>
      </c>
      <c r="I388" s="9">
        <f>STATS1003B!I407/1000</f>
        <v>0</v>
      </c>
      <c r="J388" s="9">
        <f>STATS1003B!J407/1000</f>
        <v>709.2</v>
      </c>
      <c r="K388" s="9">
        <f>STATS1003B!K407/1000</f>
        <v>0</v>
      </c>
      <c r="L388" s="9">
        <f>STATS1003B!L407/1000</f>
        <v>0</v>
      </c>
      <c r="M388" s="9">
        <f>STATS1003B!M407/1000</f>
        <v>709.2</v>
      </c>
      <c r="N388" s="9">
        <f>STATS1003B!N407/1000</f>
        <v>0</v>
      </c>
      <c r="O388" s="9">
        <f>STATS1003B!O407/1000</f>
        <v>0</v>
      </c>
      <c r="P388" s="9">
        <f>STATS1003B!P407/1000</f>
        <v>0</v>
      </c>
      <c r="Q388" s="9">
        <f>STATS1003B!Q407/1000</f>
        <v>0</v>
      </c>
      <c r="R388" s="9">
        <f>STATS1003B!R407/1000</f>
        <v>0</v>
      </c>
      <c r="S388" s="9">
        <f>STATS1003B!S407/1000</f>
        <v>0</v>
      </c>
      <c r="T388" s="9">
        <f>STATS1003B!T407/1000</f>
        <v>0</v>
      </c>
      <c r="U388" s="9">
        <f>STATS1003B!U407/1000</f>
        <v>0</v>
      </c>
      <c r="V388" s="9">
        <f>STATS1003B!V407/1000</f>
        <v>0</v>
      </c>
      <c r="W388" s="9">
        <f>STATS1003B!W407/1000</f>
        <v>0</v>
      </c>
      <c r="X388" s="9">
        <f>STATS1003B!X407/1000</f>
        <v>709.2</v>
      </c>
      <c r="Y388" s="9">
        <f>STATS1003B!Y407/1000</f>
        <v>0</v>
      </c>
      <c r="Z388" s="9">
        <f>STATS1003B!Z407/1000</f>
        <v>0</v>
      </c>
      <c r="AA388" s="9">
        <f>STATS1003B!AA407/1000</f>
        <v>709.2</v>
      </c>
      <c r="AB388" s="9">
        <f>STATS1003B!AB407/1000</f>
        <v>0</v>
      </c>
    </row>
    <row r="389" spans="1:28" x14ac:dyDescent="0.35">
      <c r="A389" s="36"/>
      <c r="B389" s="8"/>
      <c r="C389" s="7" t="s">
        <v>589</v>
      </c>
      <c r="D389" s="15" t="s">
        <v>128</v>
      </c>
      <c r="E389" s="9">
        <f>STATS1003B!E408/1000</f>
        <v>1000</v>
      </c>
      <c r="F389" s="9">
        <f>STATS1003B!F408/1000</f>
        <v>1000</v>
      </c>
      <c r="G389" s="9">
        <f>STATS1003B!G408/1000</f>
        <v>0</v>
      </c>
      <c r="H389" s="9">
        <f>STATS1003B!H408/1000</f>
        <v>1000</v>
      </c>
      <c r="I389" s="9">
        <f>STATS1003B!I408/1000</f>
        <v>0</v>
      </c>
      <c r="J389" s="9">
        <f>STATS1003B!J408/1000</f>
        <v>1000</v>
      </c>
      <c r="K389" s="9">
        <f>STATS1003B!K408/1000</f>
        <v>0</v>
      </c>
      <c r="L389" s="9">
        <f>STATS1003B!L408/1000</f>
        <v>0</v>
      </c>
      <c r="M389" s="9">
        <f>STATS1003B!M408/1000</f>
        <v>1000</v>
      </c>
      <c r="N389" s="9">
        <f>STATS1003B!N408/1000</f>
        <v>0</v>
      </c>
      <c r="O389" s="9">
        <f>STATS1003B!O408/1000</f>
        <v>0</v>
      </c>
      <c r="P389" s="9">
        <f>STATS1003B!P408/1000</f>
        <v>0</v>
      </c>
      <c r="Q389" s="9">
        <f>STATS1003B!Q408/1000</f>
        <v>0</v>
      </c>
      <c r="R389" s="9">
        <f>STATS1003B!R408/1000</f>
        <v>0</v>
      </c>
      <c r="S389" s="9">
        <f>STATS1003B!S408/1000</f>
        <v>0</v>
      </c>
      <c r="T389" s="9">
        <f>STATS1003B!T408/1000</f>
        <v>0</v>
      </c>
      <c r="U389" s="9">
        <f>STATS1003B!U408/1000</f>
        <v>0</v>
      </c>
      <c r="V389" s="9">
        <f>STATS1003B!V408/1000</f>
        <v>0</v>
      </c>
      <c r="W389" s="9">
        <f>STATS1003B!W408/1000</f>
        <v>0</v>
      </c>
      <c r="X389" s="9">
        <f>STATS1003B!X408/1000</f>
        <v>1000</v>
      </c>
      <c r="Y389" s="9">
        <f>STATS1003B!Y408/1000</f>
        <v>0</v>
      </c>
      <c r="Z389" s="9">
        <f>STATS1003B!Z408/1000</f>
        <v>0</v>
      </c>
      <c r="AA389" s="9">
        <f>STATS1003B!AA408/1000</f>
        <v>1000</v>
      </c>
      <c r="AB389" s="9">
        <f>STATS1003B!AB408/1000</f>
        <v>0</v>
      </c>
    </row>
    <row r="390" spans="1:28" x14ac:dyDescent="0.35">
      <c r="A390" s="36"/>
      <c r="B390" s="8"/>
      <c r="C390" s="7" t="s">
        <v>535</v>
      </c>
      <c r="D390" s="15" t="s">
        <v>108</v>
      </c>
      <c r="E390" s="9">
        <f>STATS1003B!E409/1000</f>
        <v>3638.3220000000001</v>
      </c>
      <c r="F390" s="9">
        <f>STATS1003B!F409/1000</f>
        <v>3638.3220000000001</v>
      </c>
      <c r="G390" s="9">
        <f>STATS1003B!G409/1000</f>
        <v>0</v>
      </c>
      <c r="H390" s="9">
        <f>STATS1003B!H409/1000</f>
        <v>3638.3220000000001</v>
      </c>
      <c r="I390" s="9">
        <f>STATS1003B!I409/1000</f>
        <v>0</v>
      </c>
      <c r="J390" s="9">
        <f>STATS1003B!J409/1000</f>
        <v>3638.3220000000001</v>
      </c>
      <c r="K390" s="9">
        <f>STATS1003B!K409/1000</f>
        <v>0</v>
      </c>
      <c r="L390" s="9">
        <f>STATS1003B!L409/1000</f>
        <v>0</v>
      </c>
      <c r="M390" s="9">
        <f>STATS1003B!M409/1000</f>
        <v>3638.3220000000001</v>
      </c>
      <c r="N390" s="9">
        <f>STATS1003B!N409/1000</f>
        <v>0</v>
      </c>
      <c r="O390" s="9">
        <f>STATS1003B!O409/1000</f>
        <v>0</v>
      </c>
      <c r="P390" s="9">
        <f>STATS1003B!P409/1000</f>
        <v>0</v>
      </c>
      <c r="Q390" s="9">
        <f>STATS1003B!Q409/1000</f>
        <v>0</v>
      </c>
      <c r="R390" s="9">
        <f>STATS1003B!R409/1000</f>
        <v>0</v>
      </c>
      <c r="S390" s="9">
        <f>STATS1003B!S409/1000</f>
        <v>0</v>
      </c>
      <c r="T390" s="9">
        <f>STATS1003B!T409/1000</f>
        <v>0</v>
      </c>
      <c r="U390" s="9">
        <f>STATS1003B!U409/1000</f>
        <v>0</v>
      </c>
      <c r="V390" s="9">
        <f>STATS1003B!V409/1000</f>
        <v>0</v>
      </c>
      <c r="W390" s="9">
        <f>STATS1003B!W409/1000</f>
        <v>0</v>
      </c>
      <c r="X390" s="9">
        <f>STATS1003B!X409/1000</f>
        <v>3638.3220000000001</v>
      </c>
      <c r="Y390" s="9">
        <f>STATS1003B!Y409/1000</f>
        <v>0</v>
      </c>
      <c r="Z390" s="9">
        <f>STATS1003B!Z409/1000</f>
        <v>0</v>
      </c>
      <c r="AA390" s="9">
        <f>STATS1003B!AA409/1000</f>
        <v>3638.3220000000001</v>
      </c>
      <c r="AB390" s="9">
        <f>STATS1003B!AB409/1000</f>
        <v>0</v>
      </c>
    </row>
    <row r="391" spans="1:28" x14ac:dyDescent="0.35">
      <c r="A391" s="36"/>
      <c r="B391" s="8"/>
      <c r="C391" s="7" t="s">
        <v>590</v>
      </c>
      <c r="D391" s="15" t="s">
        <v>108</v>
      </c>
      <c r="E391" s="9">
        <f>STATS1003B!E410/1000</f>
        <v>200</v>
      </c>
      <c r="F391" s="9">
        <f>STATS1003B!F410/1000</f>
        <v>200</v>
      </c>
      <c r="G391" s="9">
        <f>STATS1003B!G410/1000</f>
        <v>0</v>
      </c>
      <c r="H391" s="9">
        <f>STATS1003B!H410/1000</f>
        <v>200</v>
      </c>
      <c r="I391" s="9">
        <f>STATS1003B!I410/1000</f>
        <v>0</v>
      </c>
      <c r="J391" s="9">
        <f>STATS1003B!J410/1000</f>
        <v>200</v>
      </c>
      <c r="K391" s="9">
        <f>STATS1003B!K410/1000</f>
        <v>0</v>
      </c>
      <c r="L391" s="9">
        <f>STATS1003B!L410/1000</f>
        <v>0</v>
      </c>
      <c r="M391" s="9">
        <f>STATS1003B!M410/1000</f>
        <v>200</v>
      </c>
      <c r="N391" s="9">
        <f>STATS1003B!N410/1000</f>
        <v>0</v>
      </c>
      <c r="O391" s="9">
        <f>STATS1003B!O410/1000</f>
        <v>0</v>
      </c>
      <c r="P391" s="9">
        <f>STATS1003B!P410/1000</f>
        <v>0</v>
      </c>
      <c r="Q391" s="9">
        <f>STATS1003B!Q410/1000</f>
        <v>0</v>
      </c>
      <c r="R391" s="9">
        <f>STATS1003B!R410/1000</f>
        <v>0</v>
      </c>
      <c r="S391" s="9">
        <f>STATS1003B!S410/1000</f>
        <v>0</v>
      </c>
      <c r="T391" s="9">
        <f>STATS1003B!T410/1000</f>
        <v>0</v>
      </c>
      <c r="U391" s="9">
        <f>STATS1003B!U410/1000</f>
        <v>0</v>
      </c>
      <c r="V391" s="9">
        <f>STATS1003B!V410/1000</f>
        <v>0</v>
      </c>
      <c r="W391" s="9">
        <f>STATS1003B!W410/1000</f>
        <v>0</v>
      </c>
      <c r="X391" s="9">
        <f>STATS1003B!X410/1000</f>
        <v>200</v>
      </c>
      <c r="Y391" s="9">
        <f>STATS1003B!Y410/1000</f>
        <v>0</v>
      </c>
      <c r="Z391" s="9">
        <f>STATS1003B!Z410/1000</f>
        <v>0</v>
      </c>
      <c r="AA391" s="9">
        <f>STATS1003B!AA410/1000</f>
        <v>200</v>
      </c>
      <c r="AB391" s="9">
        <f>STATS1003B!AB410/1000</f>
        <v>0</v>
      </c>
    </row>
    <row r="392" spans="1:28" x14ac:dyDescent="0.35">
      <c r="A392" s="36"/>
      <c r="B392" s="8"/>
      <c r="C392" s="7" t="s">
        <v>535</v>
      </c>
      <c r="D392" s="15" t="s">
        <v>58</v>
      </c>
      <c r="E392" s="9">
        <f>STATS1003B!E411/1000</f>
        <v>2500</v>
      </c>
      <c r="F392" s="9">
        <f>STATS1003B!F411/1000</f>
        <v>2500</v>
      </c>
      <c r="G392" s="9">
        <f>STATS1003B!G411/1000</f>
        <v>0</v>
      </c>
      <c r="H392" s="9">
        <f>STATS1003B!H411/1000</f>
        <v>2500</v>
      </c>
      <c r="I392" s="9">
        <f>STATS1003B!I411/1000</f>
        <v>0</v>
      </c>
      <c r="J392" s="9">
        <f>STATS1003B!J411/1000</f>
        <v>2500</v>
      </c>
      <c r="K392" s="9">
        <f>STATS1003B!K411/1000</f>
        <v>0</v>
      </c>
      <c r="L392" s="9">
        <f>STATS1003B!L411/1000</f>
        <v>0</v>
      </c>
      <c r="M392" s="9">
        <f>STATS1003B!M411/1000</f>
        <v>2500</v>
      </c>
      <c r="N392" s="9">
        <f>STATS1003B!N411/1000</f>
        <v>0</v>
      </c>
      <c r="O392" s="9">
        <f>STATS1003B!O411/1000</f>
        <v>0</v>
      </c>
      <c r="P392" s="9">
        <f>STATS1003B!P411/1000</f>
        <v>0</v>
      </c>
      <c r="Q392" s="9">
        <f>STATS1003B!Q411/1000</f>
        <v>0</v>
      </c>
      <c r="R392" s="9">
        <f>STATS1003B!R411/1000</f>
        <v>0</v>
      </c>
      <c r="S392" s="9">
        <f>STATS1003B!S411/1000</f>
        <v>0</v>
      </c>
      <c r="T392" s="9">
        <f>STATS1003B!T411/1000</f>
        <v>0</v>
      </c>
      <c r="U392" s="9">
        <f>STATS1003B!U411/1000</f>
        <v>0</v>
      </c>
      <c r="V392" s="9">
        <f>STATS1003B!V411/1000</f>
        <v>0</v>
      </c>
      <c r="W392" s="9">
        <f>STATS1003B!W411/1000</f>
        <v>0</v>
      </c>
      <c r="X392" s="9">
        <f>STATS1003B!X411/1000</f>
        <v>2500</v>
      </c>
      <c r="Y392" s="9">
        <f>STATS1003B!Y411/1000</f>
        <v>0</v>
      </c>
      <c r="Z392" s="9">
        <f>STATS1003B!Z411/1000</f>
        <v>0</v>
      </c>
      <c r="AA392" s="9">
        <f>STATS1003B!AA411/1000</f>
        <v>2500</v>
      </c>
      <c r="AB392" s="9">
        <f>STATS1003B!AB411/1000</f>
        <v>0</v>
      </c>
    </row>
    <row r="393" spans="1:28" x14ac:dyDescent="0.35">
      <c r="A393" s="36"/>
      <c r="B393" s="8"/>
      <c r="C393" s="14" t="s">
        <v>591</v>
      </c>
      <c r="D393" s="21" t="s">
        <v>73</v>
      </c>
      <c r="E393" s="9">
        <f>STATS1003B!E412/1000</f>
        <v>500</v>
      </c>
      <c r="F393" s="9">
        <f>STATS1003B!F412/1000</f>
        <v>500</v>
      </c>
      <c r="G393" s="9">
        <f>STATS1003B!G412/1000</f>
        <v>0</v>
      </c>
      <c r="H393" s="9">
        <f>STATS1003B!H412/1000</f>
        <v>500</v>
      </c>
      <c r="I393" s="9">
        <f>STATS1003B!I412/1000</f>
        <v>0</v>
      </c>
      <c r="J393" s="9">
        <f>STATS1003B!J412/1000</f>
        <v>500</v>
      </c>
      <c r="K393" s="9">
        <f>STATS1003B!K412/1000</f>
        <v>0</v>
      </c>
      <c r="L393" s="9">
        <f>STATS1003B!L412/1000</f>
        <v>0</v>
      </c>
      <c r="M393" s="9">
        <f>STATS1003B!M412/1000</f>
        <v>500</v>
      </c>
      <c r="N393" s="9">
        <f>STATS1003B!N412/1000</f>
        <v>0</v>
      </c>
      <c r="O393" s="9">
        <f>STATS1003B!O412/1000</f>
        <v>0</v>
      </c>
      <c r="P393" s="9">
        <f>STATS1003B!P412/1000</f>
        <v>0</v>
      </c>
      <c r="Q393" s="9">
        <f>STATS1003B!Q412/1000</f>
        <v>0</v>
      </c>
      <c r="R393" s="9">
        <f>STATS1003B!R412/1000</f>
        <v>0</v>
      </c>
      <c r="S393" s="9">
        <f>STATS1003B!S412/1000</f>
        <v>0</v>
      </c>
      <c r="T393" s="9">
        <f>STATS1003B!T412/1000</f>
        <v>0</v>
      </c>
      <c r="U393" s="9">
        <f>STATS1003B!U412/1000</f>
        <v>0</v>
      </c>
      <c r="V393" s="9">
        <f>STATS1003B!V412/1000</f>
        <v>0</v>
      </c>
      <c r="W393" s="9">
        <f>STATS1003B!W412/1000</f>
        <v>0</v>
      </c>
      <c r="X393" s="9">
        <f>STATS1003B!X412/1000</f>
        <v>500</v>
      </c>
      <c r="Y393" s="9">
        <f>STATS1003B!Y412/1000</f>
        <v>0</v>
      </c>
      <c r="Z393" s="9">
        <f>STATS1003B!Z412/1000</f>
        <v>0</v>
      </c>
      <c r="AA393" s="9">
        <f>STATS1003B!AA412/1000</f>
        <v>500</v>
      </c>
      <c r="AB393" s="9">
        <f>STATS1003B!AB412/1000</f>
        <v>0</v>
      </c>
    </row>
    <row r="394" spans="1:28" x14ac:dyDescent="0.35">
      <c r="A394" s="36"/>
      <c r="B394" s="8"/>
      <c r="C394" s="7" t="s">
        <v>535</v>
      </c>
      <c r="D394" s="15" t="s">
        <v>61</v>
      </c>
      <c r="E394" s="9">
        <f>STATS1003B!E413/1000</f>
        <v>1087</v>
      </c>
      <c r="F394" s="9">
        <f>STATS1003B!F413/1000</f>
        <v>1087</v>
      </c>
      <c r="G394" s="9">
        <f>STATS1003B!G413/1000</f>
        <v>0</v>
      </c>
      <c r="H394" s="9">
        <f>STATS1003B!H413/1000</f>
        <v>1087</v>
      </c>
      <c r="I394" s="9">
        <f>STATS1003B!I413/1000</f>
        <v>0</v>
      </c>
      <c r="J394" s="9">
        <f>STATS1003B!J413/1000</f>
        <v>1087</v>
      </c>
      <c r="K394" s="9">
        <f>STATS1003B!K413/1000</f>
        <v>0</v>
      </c>
      <c r="L394" s="9">
        <f>STATS1003B!L413/1000</f>
        <v>0</v>
      </c>
      <c r="M394" s="9">
        <f>STATS1003B!M413/1000</f>
        <v>1087</v>
      </c>
      <c r="N394" s="9">
        <f>STATS1003B!N413/1000</f>
        <v>0</v>
      </c>
      <c r="O394" s="9">
        <f>STATS1003B!O413/1000</f>
        <v>0</v>
      </c>
      <c r="P394" s="9">
        <f>STATS1003B!P413/1000</f>
        <v>0</v>
      </c>
      <c r="Q394" s="9">
        <f>STATS1003B!Q413/1000</f>
        <v>0</v>
      </c>
      <c r="R394" s="9">
        <f>STATS1003B!R413/1000</f>
        <v>0</v>
      </c>
      <c r="S394" s="9">
        <f>STATS1003B!S413/1000</f>
        <v>0</v>
      </c>
      <c r="T394" s="9">
        <f>STATS1003B!T413/1000</f>
        <v>0</v>
      </c>
      <c r="U394" s="9">
        <f>STATS1003B!U413/1000</f>
        <v>0</v>
      </c>
      <c r="V394" s="9">
        <f>STATS1003B!V413/1000</f>
        <v>0</v>
      </c>
      <c r="W394" s="9">
        <f>STATS1003B!W413/1000</f>
        <v>0</v>
      </c>
      <c r="X394" s="9">
        <f>STATS1003B!X413/1000</f>
        <v>1087</v>
      </c>
      <c r="Y394" s="9">
        <f>STATS1003B!Y413/1000</f>
        <v>0</v>
      </c>
      <c r="Z394" s="9">
        <f>STATS1003B!Z413/1000</f>
        <v>0</v>
      </c>
      <c r="AA394" s="9">
        <f>STATS1003B!AA413/1000</f>
        <v>1087</v>
      </c>
      <c r="AB394" s="9">
        <f>STATS1003B!AB413/1000</f>
        <v>0</v>
      </c>
    </row>
    <row r="395" spans="1:28" x14ac:dyDescent="0.35">
      <c r="A395" s="36"/>
      <c r="B395" s="8"/>
      <c r="C395" s="7" t="s">
        <v>933</v>
      </c>
      <c r="D395" s="16" t="s">
        <v>1072</v>
      </c>
      <c r="E395" s="9">
        <f>STATS1003B!E414/1000</f>
        <v>1200</v>
      </c>
      <c r="F395" s="9">
        <f>STATS1003B!F414/1000</f>
        <v>1200</v>
      </c>
      <c r="G395" s="9">
        <f>STATS1003B!G414/1000</f>
        <v>0</v>
      </c>
      <c r="H395" s="9">
        <f>STATS1003B!H414/1000</f>
        <v>1200</v>
      </c>
      <c r="I395" s="9">
        <f>STATS1003B!I414/1000</f>
        <v>0</v>
      </c>
      <c r="J395" s="9">
        <f>STATS1003B!J414/1000</f>
        <v>1200</v>
      </c>
      <c r="K395" s="9">
        <f>STATS1003B!K414/1000</f>
        <v>0</v>
      </c>
      <c r="L395" s="9">
        <f>STATS1003B!L414/1000</f>
        <v>0</v>
      </c>
      <c r="M395" s="9">
        <f>STATS1003B!M414/1000</f>
        <v>1200</v>
      </c>
      <c r="N395" s="9">
        <f>STATS1003B!N414/1000</f>
        <v>0</v>
      </c>
      <c r="O395" s="9">
        <f>STATS1003B!O414/1000</f>
        <v>0</v>
      </c>
      <c r="P395" s="9">
        <f>STATS1003B!P414/1000</f>
        <v>0</v>
      </c>
      <c r="Q395" s="9">
        <f>STATS1003B!Q414/1000</f>
        <v>0</v>
      </c>
      <c r="R395" s="9">
        <f>STATS1003B!R414/1000</f>
        <v>0</v>
      </c>
      <c r="S395" s="9">
        <f>STATS1003B!S414/1000</f>
        <v>0</v>
      </c>
      <c r="T395" s="9">
        <f>STATS1003B!T414/1000</f>
        <v>0</v>
      </c>
      <c r="U395" s="9">
        <f>STATS1003B!U414/1000</f>
        <v>0</v>
      </c>
      <c r="V395" s="9">
        <f>STATS1003B!V414/1000</f>
        <v>0</v>
      </c>
      <c r="W395" s="9">
        <f>STATS1003B!W414/1000</f>
        <v>0</v>
      </c>
      <c r="X395" s="9">
        <f>STATS1003B!X414/1000</f>
        <v>1200</v>
      </c>
      <c r="Y395" s="9">
        <f>STATS1003B!Y414/1000</f>
        <v>0</v>
      </c>
      <c r="Z395" s="9">
        <f>STATS1003B!Z414/1000</f>
        <v>0</v>
      </c>
      <c r="AA395" s="9">
        <f>STATS1003B!AA414/1000</f>
        <v>1200</v>
      </c>
      <c r="AB395" s="9">
        <f>STATS1003B!AB414/1000</f>
        <v>0</v>
      </c>
    </row>
    <row r="396" spans="1:28" x14ac:dyDescent="0.35">
      <c r="A396" s="36"/>
      <c r="B396" s="8"/>
      <c r="C396" s="7" t="s">
        <v>550</v>
      </c>
      <c r="D396" s="8"/>
      <c r="E396" s="9">
        <f>STATS1003B!E415/1000</f>
        <v>1677.0608099999999</v>
      </c>
      <c r="F396" s="9">
        <f>STATS1003B!F415/1000</f>
        <v>954.59324000000004</v>
      </c>
      <c r="G396" s="9">
        <f>STATS1003B!G415/1000</f>
        <v>0</v>
      </c>
      <c r="H396" s="9">
        <f>STATS1003B!H415/1000</f>
        <v>954.59324000000004</v>
      </c>
      <c r="I396" s="9">
        <f>STATS1003B!I415/1000</f>
        <v>0</v>
      </c>
      <c r="J396" s="9">
        <f>STATS1003B!J415/1000</f>
        <v>954.59324000000004</v>
      </c>
      <c r="K396" s="9">
        <f>STATS1003B!K415/1000</f>
        <v>722.46756999999991</v>
      </c>
      <c r="L396" s="9">
        <f>STATS1003B!L415/1000</f>
        <v>0</v>
      </c>
      <c r="M396" s="9">
        <f>STATS1003B!M415/1000</f>
        <v>954.59324000000004</v>
      </c>
      <c r="N396" s="9">
        <f>STATS1003B!N415/1000</f>
        <v>722.46756999999991</v>
      </c>
      <c r="O396" s="9">
        <f>STATS1003B!O415/1000</f>
        <v>0</v>
      </c>
      <c r="P396" s="9">
        <f>STATS1003B!P415/1000</f>
        <v>722.46756999999991</v>
      </c>
      <c r="Q396" s="9">
        <f>STATS1003B!Q415/1000</f>
        <v>0</v>
      </c>
      <c r="R396" s="9">
        <f>STATS1003B!R415/1000</f>
        <v>0</v>
      </c>
      <c r="S396" s="9">
        <f>STATS1003B!S415/1000</f>
        <v>0</v>
      </c>
      <c r="T396" s="9">
        <f>STATS1003B!T415/1000</f>
        <v>0</v>
      </c>
      <c r="U396" s="9">
        <f>STATS1003B!U415/1000</f>
        <v>722.46756999999991</v>
      </c>
      <c r="V396" s="9">
        <f>STATS1003B!V415/1000</f>
        <v>0</v>
      </c>
      <c r="W396" s="9">
        <f>STATS1003B!W415/1000</f>
        <v>0</v>
      </c>
      <c r="X396" s="9">
        <f>STATS1003B!X415/1000</f>
        <v>1677.0608099999999</v>
      </c>
      <c r="Y396" s="9">
        <f>STATS1003B!Y415/1000</f>
        <v>0</v>
      </c>
      <c r="Z396" s="9">
        <f>STATS1003B!Z415/1000</f>
        <v>0</v>
      </c>
      <c r="AA396" s="9">
        <f>STATS1003B!AA415/1000</f>
        <v>1677.0608099999999</v>
      </c>
      <c r="AB396" s="9">
        <f>STATS1003B!AB415/1000</f>
        <v>0</v>
      </c>
    </row>
    <row r="397" spans="1:28" x14ac:dyDescent="0.35">
      <c r="A397" s="36"/>
      <c r="B397" s="8"/>
      <c r="C397" s="7" t="s">
        <v>569</v>
      </c>
      <c r="D397" s="8"/>
      <c r="E397" s="9">
        <f>STATS1003B!E416/1000</f>
        <v>4709.39336</v>
      </c>
      <c r="F397" s="9">
        <f>STATS1003B!F416/1000</f>
        <v>4709.39336</v>
      </c>
      <c r="G397" s="9">
        <f>STATS1003B!G416/1000</f>
        <v>0</v>
      </c>
      <c r="H397" s="9">
        <f>STATS1003B!H416/1000</f>
        <v>4709.39336</v>
      </c>
      <c r="I397" s="9">
        <f>STATS1003B!I416/1000</f>
        <v>0</v>
      </c>
      <c r="J397" s="9">
        <f>STATS1003B!J416/1000</f>
        <v>4709.39336</v>
      </c>
      <c r="K397" s="9">
        <f>STATS1003B!K416/1000</f>
        <v>0</v>
      </c>
      <c r="L397" s="9">
        <f>STATS1003B!L416/1000</f>
        <v>0</v>
      </c>
      <c r="M397" s="9">
        <f>STATS1003B!M416/1000</f>
        <v>4709.39336</v>
      </c>
      <c r="N397" s="9">
        <f>STATS1003B!N416/1000</f>
        <v>0</v>
      </c>
      <c r="O397" s="9">
        <f>STATS1003B!O416/1000</f>
        <v>0</v>
      </c>
      <c r="P397" s="9">
        <f>STATS1003B!P416/1000</f>
        <v>0</v>
      </c>
      <c r="Q397" s="9">
        <f>STATS1003B!Q416/1000</f>
        <v>0</v>
      </c>
      <c r="R397" s="9">
        <f>STATS1003B!R416/1000</f>
        <v>0</v>
      </c>
      <c r="S397" s="9">
        <f>STATS1003B!S416/1000</f>
        <v>0</v>
      </c>
      <c r="T397" s="9">
        <f>STATS1003B!T416/1000</f>
        <v>0</v>
      </c>
      <c r="U397" s="9">
        <f>STATS1003B!U416/1000</f>
        <v>0</v>
      </c>
      <c r="V397" s="9">
        <f>STATS1003B!V416/1000</f>
        <v>0</v>
      </c>
      <c r="W397" s="9">
        <f>STATS1003B!W416/1000</f>
        <v>0</v>
      </c>
      <c r="X397" s="9">
        <f>STATS1003B!X416/1000</f>
        <v>4709.39336</v>
      </c>
      <c r="Y397" s="9">
        <f>STATS1003B!Y416/1000</f>
        <v>0</v>
      </c>
      <c r="Z397" s="9">
        <f>STATS1003B!Z416/1000</f>
        <v>0</v>
      </c>
      <c r="AA397" s="9">
        <f>STATS1003B!AA416/1000</f>
        <v>4709.39336</v>
      </c>
      <c r="AB397" s="9">
        <f>STATS1003B!AB416/1000</f>
        <v>0</v>
      </c>
    </row>
    <row r="398" spans="1:28" x14ac:dyDescent="0.35">
      <c r="A398" s="36"/>
      <c r="B398" s="8"/>
      <c r="C398" s="7" t="s">
        <v>592</v>
      </c>
      <c r="D398" s="8"/>
      <c r="E398" s="9">
        <f>STATS1003B!E417/1000</f>
        <v>726.14670000000001</v>
      </c>
      <c r="F398" s="9">
        <f>STATS1003B!F417/1000</f>
        <v>715.11800000000005</v>
      </c>
      <c r="G398" s="9">
        <f>STATS1003B!G417/1000</f>
        <v>0</v>
      </c>
      <c r="H398" s="9">
        <f>STATS1003B!H417/1000</f>
        <v>715.11800000000005</v>
      </c>
      <c r="I398" s="9">
        <f>STATS1003B!I417/1000</f>
        <v>0</v>
      </c>
      <c r="J398" s="9">
        <f>STATS1003B!J417/1000</f>
        <v>715.11800000000005</v>
      </c>
      <c r="K398" s="9">
        <f>STATS1003B!K417/1000</f>
        <v>11.028700000000001</v>
      </c>
      <c r="L398" s="9">
        <f>STATS1003B!L417/1000</f>
        <v>0</v>
      </c>
      <c r="M398" s="9">
        <f>STATS1003B!M417/1000</f>
        <v>715.11800000000005</v>
      </c>
      <c r="N398" s="9">
        <f>STATS1003B!N417/1000</f>
        <v>11.028700000000001</v>
      </c>
      <c r="O398" s="9">
        <f>STATS1003B!O417/1000</f>
        <v>0</v>
      </c>
      <c r="P398" s="9">
        <f>STATS1003B!P417/1000</f>
        <v>11.028700000000001</v>
      </c>
      <c r="Q398" s="9">
        <f>STATS1003B!Q417/1000</f>
        <v>0</v>
      </c>
      <c r="R398" s="9">
        <f>STATS1003B!R417/1000</f>
        <v>0</v>
      </c>
      <c r="S398" s="9">
        <f>STATS1003B!S417/1000</f>
        <v>0</v>
      </c>
      <c r="T398" s="9">
        <f>STATS1003B!T417/1000</f>
        <v>0</v>
      </c>
      <c r="U398" s="9">
        <f>STATS1003B!U417/1000</f>
        <v>11.028700000000001</v>
      </c>
      <c r="V398" s="9">
        <f>STATS1003B!V417/1000</f>
        <v>0</v>
      </c>
      <c r="W398" s="9">
        <f>STATS1003B!W417/1000</f>
        <v>0</v>
      </c>
      <c r="X398" s="9">
        <f>STATS1003B!X417/1000</f>
        <v>726.14670000000001</v>
      </c>
      <c r="Y398" s="9">
        <f>STATS1003B!Y417/1000</f>
        <v>0</v>
      </c>
      <c r="Z398" s="9">
        <f>STATS1003B!Z417/1000</f>
        <v>0</v>
      </c>
      <c r="AA398" s="9">
        <f>STATS1003B!AA417/1000</f>
        <v>726.14670000000001</v>
      </c>
      <c r="AB398" s="9">
        <f>STATS1003B!AB417/1000</f>
        <v>0</v>
      </c>
    </row>
    <row r="399" spans="1:28" x14ac:dyDescent="0.35">
      <c r="A399" s="36"/>
      <c r="B399" s="8"/>
      <c r="C399" s="7" t="s">
        <v>543</v>
      </c>
      <c r="D399" s="8"/>
      <c r="E399" s="9">
        <f>STATS1003B!E418/1000</f>
        <v>2500</v>
      </c>
      <c r="F399" s="9">
        <f>STATS1003B!F418/1000</f>
        <v>2500</v>
      </c>
      <c r="G399" s="9">
        <f>STATS1003B!G418/1000</f>
        <v>0</v>
      </c>
      <c r="H399" s="9">
        <f>STATS1003B!H418/1000</f>
        <v>2500</v>
      </c>
      <c r="I399" s="9">
        <f>STATS1003B!I418/1000</f>
        <v>0</v>
      </c>
      <c r="J399" s="9">
        <f>STATS1003B!J418/1000</f>
        <v>2500</v>
      </c>
      <c r="K399" s="9">
        <f>STATS1003B!K418/1000</f>
        <v>0</v>
      </c>
      <c r="L399" s="9">
        <f>STATS1003B!L418/1000</f>
        <v>0</v>
      </c>
      <c r="M399" s="9">
        <f>STATS1003B!M418/1000</f>
        <v>2500</v>
      </c>
      <c r="N399" s="9">
        <f>STATS1003B!N418/1000</f>
        <v>0</v>
      </c>
      <c r="O399" s="9">
        <f>STATS1003B!O418/1000</f>
        <v>0</v>
      </c>
      <c r="P399" s="9">
        <f>STATS1003B!P418/1000</f>
        <v>0</v>
      </c>
      <c r="Q399" s="9">
        <f>STATS1003B!Q418/1000</f>
        <v>0</v>
      </c>
      <c r="R399" s="9">
        <f>STATS1003B!R418/1000</f>
        <v>0</v>
      </c>
      <c r="S399" s="9">
        <f>STATS1003B!S418/1000</f>
        <v>0</v>
      </c>
      <c r="T399" s="9">
        <f>STATS1003B!T418/1000</f>
        <v>0</v>
      </c>
      <c r="U399" s="9">
        <f>STATS1003B!U418/1000</f>
        <v>0</v>
      </c>
      <c r="V399" s="9">
        <f>STATS1003B!V418/1000</f>
        <v>0</v>
      </c>
      <c r="W399" s="9">
        <f>STATS1003B!W418/1000</f>
        <v>0</v>
      </c>
      <c r="X399" s="9">
        <f>STATS1003B!X418/1000</f>
        <v>2500</v>
      </c>
      <c r="Y399" s="9">
        <f>STATS1003B!Y418/1000</f>
        <v>0</v>
      </c>
      <c r="Z399" s="9">
        <f>STATS1003B!Z418/1000</f>
        <v>0</v>
      </c>
      <c r="AA399" s="9">
        <f>STATS1003B!AA418/1000</f>
        <v>2500</v>
      </c>
      <c r="AB399" s="9">
        <f>STATS1003B!AB418/1000</f>
        <v>0</v>
      </c>
    </row>
    <row r="400" spans="1:28" x14ac:dyDescent="0.35">
      <c r="A400" s="36"/>
      <c r="B400" s="8"/>
      <c r="C400" s="8"/>
      <c r="D400" s="8"/>
      <c r="E400" s="17" t="s">
        <v>29</v>
      </c>
      <c r="F400" s="17" t="s">
        <v>29</v>
      </c>
      <c r="G400" s="17" t="s">
        <v>29</v>
      </c>
      <c r="H400" s="17" t="s">
        <v>29</v>
      </c>
      <c r="I400" s="17" t="s">
        <v>29</v>
      </c>
      <c r="J400" s="17" t="s">
        <v>29</v>
      </c>
      <c r="K400" s="17" t="s">
        <v>29</v>
      </c>
      <c r="L400" s="17" t="s">
        <v>29</v>
      </c>
      <c r="M400" s="17" t="s">
        <v>29</v>
      </c>
      <c r="N400" s="17" t="s">
        <v>29</v>
      </c>
      <c r="O400" s="17" t="s">
        <v>29</v>
      </c>
      <c r="P400" s="17" t="s">
        <v>29</v>
      </c>
      <c r="Q400" s="17" t="s">
        <v>29</v>
      </c>
      <c r="R400" s="17" t="s">
        <v>29</v>
      </c>
      <c r="S400" s="17" t="s">
        <v>29</v>
      </c>
      <c r="T400" s="17" t="s">
        <v>29</v>
      </c>
      <c r="U400" s="17" t="s">
        <v>29</v>
      </c>
      <c r="V400" s="17" t="s">
        <v>29</v>
      </c>
      <c r="W400" s="17" t="s">
        <v>29</v>
      </c>
      <c r="X400" s="17" t="s">
        <v>29</v>
      </c>
      <c r="Y400" s="17" t="s">
        <v>29</v>
      </c>
      <c r="Z400" s="17" t="s">
        <v>29</v>
      </c>
      <c r="AA400" s="17" t="s">
        <v>29</v>
      </c>
      <c r="AB400" s="17" t="s">
        <v>29</v>
      </c>
    </row>
    <row r="401" spans="1:28" x14ac:dyDescent="0.35">
      <c r="A401" s="36"/>
      <c r="B401" s="8"/>
      <c r="C401" s="8"/>
      <c r="D401" s="8"/>
      <c r="E401" s="9">
        <f t="shared" ref="E401:Q401" si="22">SUM(E383:E400)</f>
        <v>30947.084319999998</v>
      </c>
      <c r="F401" s="9">
        <f t="shared" si="22"/>
        <v>23239.926599999999</v>
      </c>
      <c r="G401" s="9">
        <f t="shared" si="22"/>
        <v>0</v>
      </c>
      <c r="H401" s="9">
        <f t="shared" si="22"/>
        <v>23239.926599999999</v>
      </c>
      <c r="I401" s="9">
        <f t="shared" si="22"/>
        <v>0</v>
      </c>
      <c r="J401" s="9">
        <f t="shared" si="22"/>
        <v>23239.926599999999</v>
      </c>
      <c r="K401" s="9">
        <f t="shared" si="22"/>
        <v>7707.1577199999992</v>
      </c>
      <c r="L401" s="9">
        <f t="shared" si="22"/>
        <v>0</v>
      </c>
      <c r="M401" s="9">
        <f t="shared" si="22"/>
        <v>23239.926599999999</v>
      </c>
      <c r="N401" s="9">
        <f t="shared" si="22"/>
        <v>7707.1577199999992</v>
      </c>
      <c r="O401" s="9">
        <f t="shared" si="22"/>
        <v>0</v>
      </c>
      <c r="P401" s="9">
        <f t="shared" si="22"/>
        <v>7707.1577199999992</v>
      </c>
      <c r="Q401" s="9">
        <f t="shared" si="22"/>
        <v>0</v>
      </c>
      <c r="R401" s="17"/>
      <c r="S401" s="17"/>
      <c r="T401" s="9">
        <f t="shared" ref="T401:Z401" si="23">SUM(T383:T400)</f>
        <v>0</v>
      </c>
      <c r="U401" s="9">
        <f t="shared" si="23"/>
        <v>7707.1577199999992</v>
      </c>
      <c r="V401" s="9">
        <f t="shared" si="23"/>
        <v>0</v>
      </c>
      <c r="W401" s="9">
        <f t="shared" si="23"/>
        <v>0</v>
      </c>
      <c r="X401" s="9">
        <f t="shared" si="23"/>
        <v>30947.084319999998</v>
      </c>
      <c r="Y401" s="9">
        <f t="shared" si="23"/>
        <v>0</v>
      </c>
      <c r="Z401" s="9">
        <f t="shared" si="23"/>
        <v>0</v>
      </c>
      <c r="AA401" s="9">
        <f>SUM(AA383:AA400)</f>
        <v>30947.084319999998</v>
      </c>
      <c r="AB401" s="9">
        <f>SUM(AB383:AB400)</f>
        <v>0</v>
      </c>
    </row>
    <row r="402" spans="1:28" x14ac:dyDescent="0.35">
      <c r="A402" s="36"/>
      <c r="B402" s="8"/>
      <c r="C402" s="8"/>
      <c r="D402" s="8"/>
      <c r="E402" s="17" t="s">
        <v>29</v>
      </c>
      <c r="F402" s="17" t="s">
        <v>29</v>
      </c>
      <c r="G402" s="17" t="s">
        <v>29</v>
      </c>
      <c r="H402" s="17" t="s">
        <v>29</v>
      </c>
      <c r="I402" s="17" t="s">
        <v>29</v>
      </c>
      <c r="J402" s="17" t="s">
        <v>29</v>
      </c>
      <c r="K402" s="17" t="s">
        <v>29</v>
      </c>
      <c r="L402" s="17" t="s">
        <v>29</v>
      </c>
      <c r="M402" s="17" t="s">
        <v>29</v>
      </c>
      <c r="N402" s="17" t="s">
        <v>29</v>
      </c>
      <c r="O402" s="17" t="s">
        <v>29</v>
      </c>
      <c r="P402" s="17" t="s">
        <v>29</v>
      </c>
      <c r="Q402" s="17" t="s">
        <v>29</v>
      </c>
      <c r="R402" s="17" t="s">
        <v>29</v>
      </c>
      <c r="S402" s="17" t="s">
        <v>29</v>
      </c>
      <c r="T402" s="17" t="s">
        <v>29</v>
      </c>
      <c r="U402" s="17" t="s">
        <v>29</v>
      </c>
      <c r="V402" s="17" t="s">
        <v>29</v>
      </c>
      <c r="W402" s="17" t="s">
        <v>29</v>
      </c>
      <c r="X402" s="17" t="s">
        <v>29</v>
      </c>
      <c r="Y402" s="17" t="s">
        <v>29</v>
      </c>
      <c r="Z402" s="17" t="s">
        <v>29</v>
      </c>
      <c r="AA402" s="17" t="s">
        <v>29</v>
      </c>
      <c r="AB402" s="17" t="s">
        <v>29</v>
      </c>
    </row>
    <row r="403" spans="1:28" x14ac:dyDescent="0.35">
      <c r="A403" s="36"/>
      <c r="B403" s="7" t="s">
        <v>593</v>
      </c>
      <c r="C403" s="8"/>
      <c r="D403" s="8"/>
      <c r="E403" s="9">
        <f>E250+E268+E299+E320+E353+E380+E401</f>
        <v>295401.97363999998</v>
      </c>
      <c r="F403" s="9">
        <f t="shared" ref="F403:AB403" si="24">F250+F268+F299+F320+F353+F380+F401</f>
        <v>236931.05582000001</v>
      </c>
      <c r="G403" s="9">
        <f t="shared" si="24"/>
        <v>0</v>
      </c>
      <c r="H403" s="9">
        <f t="shared" si="24"/>
        <v>236931.05582000001</v>
      </c>
      <c r="I403" s="9" t="e">
        <f t="shared" si="24"/>
        <v>#VALUE!</v>
      </c>
      <c r="J403" s="9">
        <f t="shared" si="24"/>
        <v>223113.65559000001</v>
      </c>
      <c r="K403" s="9">
        <f t="shared" si="24"/>
        <v>53407.78813999999</v>
      </c>
      <c r="L403" s="9" t="e">
        <f t="shared" si="24"/>
        <v>#VALUE!</v>
      </c>
      <c r="M403" s="9">
        <f t="shared" si="24"/>
        <v>240370.49382</v>
      </c>
      <c r="N403" s="9">
        <f t="shared" si="24"/>
        <v>53431.510840000003</v>
      </c>
      <c r="O403" s="9">
        <f t="shared" si="24"/>
        <v>0</v>
      </c>
      <c r="P403" s="9">
        <f t="shared" si="24"/>
        <v>53431.510840000003</v>
      </c>
      <c r="Q403" s="9">
        <f t="shared" si="24"/>
        <v>27061.636740000002</v>
      </c>
      <c r="R403" s="9">
        <f t="shared" si="24"/>
        <v>0</v>
      </c>
      <c r="S403" s="9">
        <f t="shared" si="24"/>
        <v>0</v>
      </c>
      <c r="T403" s="9">
        <f t="shared" si="24"/>
        <v>88.582650000000001</v>
      </c>
      <c r="U403" s="9">
        <f t="shared" si="24"/>
        <v>53520.093489999999</v>
      </c>
      <c r="V403" s="9">
        <f t="shared" si="24"/>
        <v>0</v>
      </c>
      <c r="W403" s="9">
        <f t="shared" si="24"/>
        <v>0</v>
      </c>
      <c r="X403" s="9">
        <f t="shared" si="24"/>
        <v>290362.56665999995</v>
      </c>
      <c r="Y403" s="9">
        <f t="shared" si="24"/>
        <v>0</v>
      </c>
      <c r="Z403" s="9">
        <f t="shared" si="24"/>
        <v>5039.4069800000007</v>
      </c>
      <c r="AA403" s="9">
        <f t="shared" si="24"/>
        <v>276436.07279999997</v>
      </c>
      <c r="AB403" s="9">
        <f t="shared" si="24"/>
        <v>1511.3863299999998</v>
      </c>
    </row>
    <row r="404" spans="1:28" x14ac:dyDescent="0.35">
      <c r="A404" s="36"/>
      <c r="B404" s="8"/>
      <c r="C404" s="8"/>
      <c r="D404" s="8"/>
      <c r="E404" s="17" t="s">
        <v>114</v>
      </c>
      <c r="F404" s="17" t="s">
        <v>114</v>
      </c>
      <c r="G404" s="17" t="s">
        <v>114</v>
      </c>
      <c r="H404" s="17" t="s">
        <v>114</v>
      </c>
      <c r="I404" s="17" t="s">
        <v>114</v>
      </c>
      <c r="J404" s="17" t="s">
        <v>114</v>
      </c>
      <c r="K404" s="17" t="s">
        <v>114</v>
      </c>
      <c r="L404" s="17" t="s">
        <v>114</v>
      </c>
      <c r="M404" s="17" t="s">
        <v>114</v>
      </c>
      <c r="N404" s="17" t="s">
        <v>114</v>
      </c>
      <c r="O404" s="17" t="s">
        <v>114</v>
      </c>
      <c r="P404" s="17" t="s">
        <v>114</v>
      </c>
      <c r="Q404" s="17" t="s">
        <v>114</v>
      </c>
      <c r="R404" s="17" t="s">
        <v>114</v>
      </c>
      <c r="S404" s="17" t="s">
        <v>114</v>
      </c>
      <c r="T404" s="17" t="s">
        <v>114</v>
      </c>
      <c r="U404" s="17" t="s">
        <v>114</v>
      </c>
      <c r="V404" s="17" t="s">
        <v>114</v>
      </c>
      <c r="W404" s="17" t="s">
        <v>114</v>
      </c>
      <c r="X404" s="17" t="s">
        <v>114</v>
      </c>
      <c r="Y404" s="17" t="s">
        <v>114</v>
      </c>
      <c r="Z404" s="17" t="s">
        <v>114</v>
      </c>
      <c r="AA404" s="17" t="s">
        <v>114</v>
      </c>
      <c r="AB404" s="17" t="s">
        <v>114</v>
      </c>
    </row>
    <row r="405" spans="1:28" x14ac:dyDescent="0.35">
      <c r="A405" s="36"/>
      <c r="B405" s="7" t="s">
        <v>134</v>
      </c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8" x14ac:dyDescent="0.35">
      <c r="A406" s="36"/>
      <c r="B406" s="7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8" x14ac:dyDescent="0.35">
      <c r="A407" s="38" t="s">
        <v>952</v>
      </c>
      <c r="B407" s="14" t="s">
        <v>135</v>
      </c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8" x14ac:dyDescent="0.35">
      <c r="A408" s="36"/>
      <c r="B408" s="8"/>
      <c r="C408" s="7" t="s">
        <v>136</v>
      </c>
      <c r="D408" s="14" t="s">
        <v>137</v>
      </c>
      <c r="E408" s="9">
        <f>STATS1003B!E427/1000</f>
        <v>8432.6502500000006</v>
      </c>
      <c r="F408" s="9">
        <f>STATS1003B!F427/1000</f>
        <v>7929.1683000000012</v>
      </c>
      <c r="G408" s="9">
        <f>STATS1003B!G427/1000</f>
        <v>0</v>
      </c>
      <c r="H408" s="9">
        <f>STATS1003B!H427/1000</f>
        <v>7929.1683000000012</v>
      </c>
      <c r="I408" s="9">
        <f>STATS1003B!I427/1000</f>
        <v>0</v>
      </c>
      <c r="J408" s="9">
        <f>STATS1003B!J427/1000</f>
        <v>0</v>
      </c>
      <c r="K408" s="9">
        <f>STATS1003B!K427/1000</f>
        <v>0</v>
      </c>
      <c r="L408" s="9">
        <f>STATS1003B!L427/1000</f>
        <v>0</v>
      </c>
      <c r="M408" s="9">
        <f>STATS1003B!M427/1000</f>
        <v>7929.1683000000012</v>
      </c>
      <c r="N408" s="9">
        <f>STATS1003B!N427/1000</f>
        <v>503.48194999999993</v>
      </c>
      <c r="O408" s="9">
        <f>STATS1003B!O427/1000</f>
        <v>0</v>
      </c>
      <c r="P408" s="9">
        <f>STATS1003B!P427/1000</f>
        <v>503.48194999999993</v>
      </c>
      <c r="Q408" s="9">
        <f>STATS1003B!Q427/1000</f>
        <v>0</v>
      </c>
      <c r="R408" s="9">
        <f>STATS1003B!R427/1000</f>
        <v>0</v>
      </c>
      <c r="S408" s="9">
        <f>STATS1003B!S427/1000</f>
        <v>0</v>
      </c>
      <c r="T408" s="9">
        <f>STATS1003B!T427/1000</f>
        <v>0</v>
      </c>
      <c r="U408" s="9">
        <f>STATS1003B!U427/1000</f>
        <v>503.48194999999993</v>
      </c>
      <c r="V408" s="9">
        <f>STATS1003B!V427/1000</f>
        <v>8432.6502500000006</v>
      </c>
      <c r="W408" s="9">
        <f>STATS1003B!W427/1000</f>
        <v>0</v>
      </c>
      <c r="X408" s="9">
        <f>STATS1003B!X427/1000</f>
        <v>8432.6502500000006</v>
      </c>
      <c r="Y408" s="9">
        <f>STATS1003B!Y427/1000</f>
        <v>0</v>
      </c>
      <c r="Z408" s="9">
        <f>STATS1003B!Z427/1000</f>
        <v>0</v>
      </c>
      <c r="AA408" s="9">
        <f>STATS1003B!AA427/1000</f>
        <v>8432.6502500000006</v>
      </c>
      <c r="AB408" s="9">
        <f>STATS1003B!AB427/1000</f>
        <v>0</v>
      </c>
    </row>
    <row r="409" spans="1:28" x14ac:dyDescent="0.35">
      <c r="A409" s="36"/>
      <c r="B409" s="8"/>
      <c r="C409" s="7" t="s">
        <v>55</v>
      </c>
      <c r="D409" s="21" t="s">
        <v>68</v>
      </c>
      <c r="E409" s="9">
        <f>STATS1003B!E428/1000</f>
        <v>4705.00929</v>
      </c>
      <c r="F409" s="9">
        <f>STATS1003B!F428/1000</f>
        <v>0</v>
      </c>
      <c r="G409" s="9">
        <f>STATS1003B!G428/1000</f>
        <v>0</v>
      </c>
      <c r="H409" s="9">
        <f>STATS1003B!H428/1000</f>
        <v>0</v>
      </c>
      <c r="I409" s="9">
        <f>STATS1003B!I428/1000</f>
        <v>0</v>
      </c>
      <c r="J409" s="9">
        <f>STATS1003B!J428/1000</f>
        <v>0</v>
      </c>
      <c r="K409" s="9">
        <f>STATS1003B!K428/1000</f>
        <v>0</v>
      </c>
      <c r="L409" s="9">
        <f>STATS1003B!L428/1000</f>
        <v>0</v>
      </c>
      <c r="M409" s="9">
        <f>STATS1003B!M428/1000</f>
        <v>0</v>
      </c>
      <c r="N409" s="9">
        <f>STATS1003B!N428/1000</f>
        <v>4705.00929</v>
      </c>
      <c r="O409" s="9">
        <f>STATS1003B!O428/1000</f>
        <v>0</v>
      </c>
      <c r="P409" s="9">
        <f>STATS1003B!P428/1000</f>
        <v>4705.00929</v>
      </c>
      <c r="Q409" s="9">
        <f>STATS1003B!Q428/1000</f>
        <v>0</v>
      </c>
      <c r="R409" s="9">
        <f>STATS1003B!R428/1000</f>
        <v>0</v>
      </c>
      <c r="S409" s="9">
        <f>STATS1003B!S428/1000</f>
        <v>0</v>
      </c>
      <c r="T409" s="9">
        <f>STATS1003B!T428/1000</f>
        <v>0</v>
      </c>
      <c r="U409" s="9">
        <f>STATS1003B!U428/1000</f>
        <v>4705.00929</v>
      </c>
      <c r="V409" s="9">
        <f>STATS1003B!V428/1000</f>
        <v>4705.00929</v>
      </c>
      <c r="W409" s="9">
        <f>STATS1003B!W428/1000</f>
        <v>0</v>
      </c>
      <c r="X409" s="9">
        <f>STATS1003B!X428/1000</f>
        <v>4705.00929</v>
      </c>
      <c r="Y409" s="9">
        <f>STATS1003B!Y428/1000</f>
        <v>0</v>
      </c>
      <c r="Z409" s="9">
        <f>STATS1003B!Z428/1000</f>
        <v>0</v>
      </c>
      <c r="AA409" s="9">
        <f>STATS1003B!AA428/1000</f>
        <v>4705.00929</v>
      </c>
      <c r="AB409" s="9">
        <f>STATS1003B!AB428/1000</f>
        <v>0</v>
      </c>
    </row>
    <row r="410" spans="1:28" x14ac:dyDescent="0.35">
      <c r="A410" s="36"/>
      <c r="B410" s="8"/>
      <c r="C410" s="14" t="s">
        <v>138</v>
      </c>
      <c r="D410" s="14" t="s">
        <v>139</v>
      </c>
      <c r="E410" s="9">
        <f>STATS1003B!E429/1000</f>
        <v>3252.6264000000001</v>
      </c>
      <c r="F410" s="9">
        <f>STATS1003B!F429/1000</f>
        <v>3252.6264000000001</v>
      </c>
      <c r="G410" s="9">
        <f>STATS1003B!G429/1000</f>
        <v>0</v>
      </c>
      <c r="H410" s="9">
        <f>STATS1003B!H429/1000</f>
        <v>3252.6264000000001</v>
      </c>
      <c r="I410" s="9">
        <f>STATS1003B!I429/1000</f>
        <v>0</v>
      </c>
      <c r="J410" s="9">
        <f>STATS1003B!J429/1000</f>
        <v>0</v>
      </c>
      <c r="K410" s="9">
        <f>STATS1003B!K429/1000</f>
        <v>0</v>
      </c>
      <c r="L410" s="9">
        <f>STATS1003B!L429/1000</f>
        <v>0</v>
      </c>
      <c r="M410" s="9">
        <f>STATS1003B!M429/1000</f>
        <v>3252.6264000000001</v>
      </c>
      <c r="N410" s="9">
        <f>STATS1003B!N429/1000</f>
        <v>0</v>
      </c>
      <c r="O410" s="9">
        <f>STATS1003B!O429/1000</f>
        <v>0</v>
      </c>
      <c r="P410" s="9">
        <f>STATS1003B!P429/1000</f>
        <v>0</v>
      </c>
      <c r="Q410" s="9">
        <f>STATS1003B!Q429/1000</f>
        <v>0</v>
      </c>
      <c r="R410" s="9">
        <f>STATS1003B!R429/1000</f>
        <v>0</v>
      </c>
      <c r="S410" s="9">
        <f>STATS1003B!S429/1000</f>
        <v>0</v>
      </c>
      <c r="T410" s="9">
        <f>STATS1003B!T429/1000</f>
        <v>0</v>
      </c>
      <c r="U410" s="9">
        <f>STATS1003B!U429/1000</f>
        <v>0</v>
      </c>
      <c r="V410" s="9">
        <f>STATS1003B!V429/1000</f>
        <v>3252.6264000000001</v>
      </c>
      <c r="W410" s="9">
        <f>STATS1003B!W429/1000</f>
        <v>0</v>
      </c>
      <c r="X410" s="9">
        <f>STATS1003B!X429/1000</f>
        <v>3252.6264000000001</v>
      </c>
      <c r="Y410" s="9">
        <f>STATS1003B!Y429/1000</f>
        <v>0</v>
      </c>
      <c r="Z410" s="9">
        <f>STATS1003B!Z429/1000</f>
        <v>0</v>
      </c>
      <c r="AA410" s="9">
        <f>STATS1003B!AA429/1000</f>
        <v>3252.6264000000001</v>
      </c>
      <c r="AB410" s="9">
        <f>STATS1003B!AB429/1000</f>
        <v>0</v>
      </c>
    </row>
    <row r="411" spans="1:28" x14ac:dyDescent="0.35">
      <c r="A411" s="36"/>
      <c r="B411" s="8"/>
      <c r="C411" s="7" t="s">
        <v>53</v>
      </c>
      <c r="D411" s="21" t="s">
        <v>54</v>
      </c>
      <c r="E411" s="9">
        <f>STATS1003B!E430/1000</f>
        <v>1767.77</v>
      </c>
      <c r="F411" s="9">
        <f>STATS1003B!F430/1000</f>
        <v>0</v>
      </c>
      <c r="G411" s="9">
        <f>STATS1003B!G430/1000</f>
        <v>0</v>
      </c>
      <c r="H411" s="9">
        <f>STATS1003B!H430/1000</f>
        <v>0</v>
      </c>
      <c r="I411" s="9">
        <f>STATS1003B!I430/1000</f>
        <v>0</v>
      </c>
      <c r="J411" s="9">
        <f>STATS1003B!J430/1000</f>
        <v>0</v>
      </c>
      <c r="K411" s="9">
        <f>STATS1003B!K430/1000</f>
        <v>0</v>
      </c>
      <c r="L411" s="9">
        <f>STATS1003B!L430/1000</f>
        <v>0</v>
      </c>
      <c r="M411" s="9">
        <f>STATS1003B!M430/1000</f>
        <v>0</v>
      </c>
      <c r="N411" s="9">
        <f>STATS1003B!N430/1000</f>
        <v>1767.77</v>
      </c>
      <c r="O411" s="9">
        <f>STATS1003B!O430/1000</f>
        <v>0</v>
      </c>
      <c r="P411" s="9">
        <f>STATS1003B!P430/1000</f>
        <v>1767.77</v>
      </c>
      <c r="Q411" s="9">
        <f>STATS1003B!Q430/1000</f>
        <v>0</v>
      </c>
      <c r="R411" s="9">
        <f>STATS1003B!R430/1000</f>
        <v>0</v>
      </c>
      <c r="S411" s="9">
        <f>STATS1003B!S430/1000</f>
        <v>0</v>
      </c>
      <c r="T411" s="9">
        <f>STATS1003B!T430/1000</f>
        <v>0</v>
      </c>
      <c r="U411" s="9">
        <f>STATS1003B!U430/1000</f>
        <v>1767.77</v>
      </c>
      <c r="V411" s="9">
        <f>STATS1003B!V430/1000</f>
        <v>1767.77</v>
      </c>
      <c r="W411" s="9">
        <f>STATS1003B!W430/1000</f>
        <v>0</v>
      </c>
      <c r="X411" s="9">
        <f>STATS1003B!X430/1000</f>
        <v>1767.77</v>
      </c>
      <c r="Y411" s="9">
        <f>STATS1003B!Y430/1000</f>
        <v>0</v>
      </c>
      <c r="Z411" s="9">
        <f>STATS1003B!Z430/1000</f>
        <v>0</v>
      </c>
      <c r="AA411" s="9">
        <f>STATS1003B!AA430/1000</f>
        <v>1767.77</v>
      </c>
      <c r="AB411" s="9">
        <f>STATS1003B!AB430/1000</f>
        <v>0</v>
      </c>
    </row>
    <row r="412" spans="1:28" x14ac:dyDescent="0.35">
      <c r="A412" s="36"/>
      <c r="B412" s="8"/>
      <c r="C412" s="7" t="s">
        <v>140</v>
      </c>
      <c r="D412" s="21" t="s">
        <v>54</v>
      </c>
      <c r="E412" s="9">
        <f>STATS1003B!E431/1000</f>
        <v>475</v>
      </c>
      <c r="F412" s="9">
        <f>STATS1003B!F431/1000</f>
        <v>475</v>
      </c>
      <c r="G412" s="9">
        <f>STATS1003B!G431/1000</f>
        <v>0</v>
      </c>
      <c r="H412" s="9">
        <f>STATS1003B!H431/1000</f>
        <v>475</v>
      </c>
      <c r="I412" s="9">
        <f>STATS1003B!I431/1000</f>
        <v>0</v>
      </c>
      <c r="J412" s="9">
        <f>STATS1003B!J431/1000</f>
        <v>0</v>
      </c>
      <c r="K412" s="9">
        <f>STATS1003B!K431/1000</f>
        <v>0</v>
      </c>
      <c r="L412" s="9">
        <f>STATS1003B!L431/1000</f>
        <v>0</v>
      </c>
      <c r="M412" s="9">
        <f>STATS1003B!M431/1000</f>
        <v>475</v>
      </c>
      <c r="N412" s="9">
        <f>STATS1003B!N431/1000</f>
        <v>0</v>
      </c>
      <c r="O412" s="9">
        <f>STATS1003B!O431/1000</f>
        <v>0</v>
      </c>
      <c r="P412" s="9">
        <f>STATS1003B!P431/1000</f>
        <v>0</v>
      </c>
      <c r="Q412" s="9">
        <f>STATS1003B!Q431/1000</f>
        <v>0</v>
      </c>
      <c r="R412" s="9">
        <f>STATS1003B!R431/1000</f>
        <v>0</v>
      </c>
      <c r="S412" s="9">
        <f>STATS1003B!S431/1000</f>
        <v>0</v>
      </c>
      <c r="T412" s="9">
        <f>STATS1003B!T431/1000</f>
        <v>0</v>
      </c>
      <c r="U412" s="9">
        <f>STATS1003B!U431/1000</f>
        <v>0</v>
      </c>
      <c r="V412" s="9">
        <f>STATS1003B!V431/1000</f>
        <v>475</v>
      </c>
      <c r="W412" s="9">
        <f>STATS1003B!W431/1000</f>
        <v>0</v>
      </c>
      <c r="X412" s="9">
        <f>STATS1003B!X431/1000</f>
        <v>475</v>
      </c>
      <c r="Y412" s="9">
        <f>STATS1003B!Y431/1000</f>
        <v>0</v>
      </c>
      <c r="Z412" s="9">
        <f>STATS1003B!Z431/1000</f>
        <v>0</v>
      </c>
      <c r="AA412" s="9">
        <f>STATS1003B!AA431/1000</f>
        <v>475</v>
      </c>
      <c r="AB412" s="9">
        <f>STATS1003B!AB431/1000</f>
        <v>0</v>
      </c>
    </row>
    <row r="413" spans="1:28" x14ac:dyDescent="0.35">
      <c r="A413" s="36"/>
      <c r="B413" s="8"/>
      <c r="C413" s="14" t="s">
        <v>141</v>
      </c>
      <c r="D413" s="21" t="s">
        <v>54</v>
      </c>
      <c r="E413" s="9">
        <f>STATS1003B!E432/1000</f>
        <v>5244</v>
      </c>
      <c r="F413" s="9">
        <f>STATS1003B!F432/1000</f>
        <v>5244</v>
      </c>
      <c r="G413" s="9">
        <f>STATS1003B!G432/1000</f>
        <v>0</v>
      </c>
      <c r="H413" s="9">
        <f>STATS1003B!H432/1000</f>
        <v>5244</v>
      </c>
      <c r="I413" s="9">
        <f>STATS1003B!I432/1000</f>
        <v>0</v>
      </c>
      <c r="J413" s="9">
        <f>STATS1003B!J432/1000</f>
        <v>0</v>
      </c>
      <c r="K413" s="9">
        <f>STATS1003B!K432/1000</f>
        <v>0</v>
      </c>
      <c r="L413" s="9">
        <f>STATS1003B!L432/1000</f>
        <v>0</v>
      </c>
      <c r="M413" s="9">
        <f>STATS1003B!M432/1000</f>
        <v>5244</v>
      </c>
      <c r="N413" s="9">
        <f>STATS1003B!N432/1000</f>
        <v>0</v>
      </c>
      <c r="O413" s="9">
        <f>STATS1003B!O432/1000</f>
        <v>0</v>
      </c>
      <c r="P413" s="9">
        <f>STATS1003B!P432/1000</f>
        <v>0</v>
      </c>
      <c r="Q413" s="9">
        <f>STATS1003B!Q432/1000</f>
        <v>0</v>
      </c>
      <c r="R413" s="9">
        <f>STATS1003B!R432/1000</f>
        <v>0</v>
      </c>
      <c r="S413" s="9">
        <f>STATS1003B!S432/1000</f>
        <v>0</v>
      </c>
      <c r="T413" s="9">
        <f>STATS1003B!T432/1000</f>
        <v>0</v>
      </c>
      <c r="U413" s="9">
        <f>STATS1003B!U432/1000</f>
        <v>0</v>
      </c>
      <c r="V413" s="9">
        <f>STATS1003B!V432/1000</f>
        <v>5244</v>
      </c>
      <c r="W413" s="9">
        <f>STATS1003B!W432/1000</f>
        <v>0</v>
      </c>
      <c r="X413" s="9">
        <f>STATS1003B!X432/1000</f>
        <v>5244</v>
      </c>
      <c r="Y413" s="9">
        <f>STATS1003B!Y432/1000</f>
        <v>0</v>
      </c>
      <c r="Z413" s="9">
        <f>STATS1003B!Z432/1000</f>
        <v>0</v>
      </c>
      <c r="AA413" s="9">
        <f>STATS1003B!AA432/1000</f>
        <v>5244</v>
      </c>
      <c r="AB413" s="9">
        <f>STATS1003B!AB432/1000</f>
        <v>0</v>
      </c>
    </row>
    <row r="414" spans="1:28" x14ac:dyDescent="0.35">
      <c r="A414" s="36"/>
      <c r="B414" s="8"/>
      <c r="C414" s="14" t="s">
        <v>142</v>
      </c>
      <c r="D414" s="21" t="s">
        <v>108</v>
      </c>
      <c r="E414" s="9">
        <f>STATS1003B!E433/1000</f>
        <v>500</v>
      </c>
      <c r="F414" s="9">
        <f>STATS1003B!F433/1000</f>
        <v>500</v>
      </c>
      <c r="G414" s="9">
        <f>STATS1003B!G433/1000</f>
        <v>0</v>
      </c>
      <c r="H414" s="9">
        <f>STATS1003B!H433/1000</f>
        <v>500</v>
      </c>
      <c r="I414" s="9">
        <f>STATS1003B!I433/1000</f>
        <v>0</v>
      </c>
      <c r="J414" s="9">
        <f>STATS1003B!J433/1000</f>
        <v>0</v>
      </c>
      <c r="K414" s="9">
        <f>STATS1003B!K433/1000</f>
        <v>0</v>
      </c>
      <c r="L414" s="9">
        <f>STATS1003B!L433/1000</f>
        <v>0</v>
      </c>
      <c r="M414" s="9">
        <f>STATS1003B!M433/1000</f>
        <v>500</v>
      </c>
      <c r="N414" s="9">
        <f>STATS1003B!N433/1000</f>
        <v>0</v>
      </c>
      <c r="O414" s="9">
        <f>STATS1003B!O433/1000</f>
        <v>0</v>
      </c>
      <c r="P414" s="9">
        <f>STATS1003B!P433/1000</f>
        <v>0</v>
      </c>
      <c r="Q414" s="9">
        <f>STATS1003B!Q433/1000</f>
        <v>0</v>
      </c>
      <c r="R414" s="9">
        <f>STATS1003B!R433/1000</f>
        <v>0</v>
      </c>
      <c r="S414" s="9">
        <f>STATS1003B!S433/1000</f>
        <v>0</v>
      </c>
      <c r="T414" s="9">
        <f>STATS1003B!T433/1000</f>
        <v>0</v>
      </c>
      <c r="U414" s="9">
        <f>STATS1003B!U433/1000</f>
        <v>0</v>
      </c>
      <c r="V414" s="9">
        <f>STATS1003B!V433/1000</f>
        <v>500</v>
      </c>
      <c r="W414" s="9">
        <f>STATS1003B!W433/1000</f>
        <v>0</v>
      </c>
      <c r="X414" s="9">
        <f>STATS1003B!X433/1000</f>
        <v>500</v>
      </c>
      <c r="Y414" s="9">
        <f>STATS1003B!Y433/1000</f>
        <v>0</v>
      </c>
      <c r="Z414" s="9">
        <f>STATS1003B!Z433/1000</f>
        <v>0</v>
      </c>
      <c r="AA414" s="9">
        <f>STATS1003B!AA433/1000</f>
        <v>500</v>
      </c>
      <c r="AB414" s="9">
        <f>STATS1003B!AB433/1000</f>
        <v>0</v>
      </c>
    </row>
    <row r="415" spans="1:28" x14ac:dyDescent="0.35">
      <c r="A415" s="36"/>
      <c r="B415" s="8"/>
      <c r="C415" s="14" t="s">
        <v>143</v>
      </c>
      <c r="D415" s="21" t="s">
        <v>58</v>
      </c>
      <c r="E415" s="9">
        <f>STATS1003B!E434/1000</f>
        <v>5000</v>
      </c>
      <c r="F415" s="9">
        <f>STATS1003B!F434/1000</f>
        <v>5000</v>
      </c>
      <c r="G415" s="9">
        <f>STATS1003B!G434/1000</f>
        <v>0</v>
      </c>
      <c r="H415" s="9">
        <f>STATS1003B!H434/1000</f>
        <v>5000</v>
      </c>
      <c r="I415" s="9">
        <f>STATS1003B!I434/1000</f>
        <v>0</v>
      </c>
      <c r="J415" s="9">
        <f>STATS1003B!J434/1000</f>
        <v>0</v>
      </c>
      <c r="K415" s="9">
        <f>STATS1003B!K434/1000</f>
        <v>0</v>
      </c>
      <c r="L415" s="9">
        <f>STATS1003B!L434/1000</f>
        <v>0</v>
      </c>
      <c r="M415" s="9">
        <f>STATS1003B!M434/1000</f>
        <v>5000</v>
      </c>
      <c r="N415" s="9">
        <f>STATS1003B!N434/1000</f>
        <v>0</v>
      </c>
      <c r="O415" s="9">
        <f>STATS1003B!O434/1000</f>
        <v>0</v>
      </c>
      <c r="P415" s="9">
        <f>STATS1003B!P434/1000</f>
        <v>0</v>
      </c>
      <c r="Q415" s="9">
        <f>STATS1003B!Q434/1000</f>
        <v>0</v>
      </c>
      <c r="R415" s="9">
        <f>STATS1003B!R434/1000</f>
        <v>0</v>
      </c>
      <c r="S415" s="9">
        <f>STATS1003B!S434/1000</f>
        <v>0</v>
      </c>
      <c r="T415" s="9">
        <f>STATS1003B!T434/1000</f>
        <v>0</v>
      </c>
      <c r="U415" s="9">
        <f>STATS1003B!U434/1000</f>
        <v>0</v>
      </c>
      <c r="V415" s="9">
        <f>STATS1003B!V434/1000</f>
        <v>5000</v>
      </c>
      <c r="W415" s="9">
        <f>STATS1003B!W434/1000</f>
        <v>0</v>
      </c>
      <c r="X415" s="9">
        <f>STATS1003B!X434/1000</f>
        <v>5000</v>
      </c>
      <c r="Y415" s="9">
        <f>STATS1003B!Y434/1000</f>
        <v>0</v>
      </c>
      <c r="Z415" s="9">
        <f>STATS1003B!Z434/1000</f>
        <v>0</v>
      </c>
      <c r="AA415" s="9">
        <f>STATS1003B!AA434/1000</f>
        <v>5000</v>
      </c>
      <c r="AB415" s="9">
        <f>STATS1003B!AB434/1000</f>
        <v>0</v>
      </c>
    </row>
    <row r="416" spans="1:28" x14ac:dyDescent="0.35">
      <c r="A416" s="36"/>
      <c r="B416" s="8"/>
      <c r="C416" s="14" t="s">
        <v>144</v>
      </c>
      <c r="D416" s="21" t="s">
        <v>73</v>
      </c>
      <c r="E416" s="9">
        <f>STATS1003B!E435/1000</f>
        <v>348.17</v>
      </c>
      <c r="F416" s="9">
        <f>STATS1003B!F435/1000</f>
        <v>348.17</v>
      </c>
      <c r="G416" s="9">
        <f>STATS1003B!G435/1000</f>
        <v>0</v>
      </c>
      <c r="H416" s="9">
        <f>STATS1003B!H435/1000</f>
        <v>348.17</v>
      </c>
      <c r="I416" s="9">
        <f>STATS1003B!I435/1000</f>
        <v>0</v>
      </c>
      <c r="J416" s="9">
        <f>STATS1003B!J435/1000</f>
        <v>0</v>
      </c>
      <c r="K416" s="9">
        <f>STATS1003B!K435/1000</f>
        <v>0</v>
      </c>
      <c r="L416" s="9">
        <f>STATS1003B!L435/1000</f>
        <v>0</v>
      </c>
      <c r="M416" s="9">
        <f>STATS1003B!M435/1000</f>
        <v>348.17</v>
      </c>
      <c r="N416" s="9">
        <f>STATS1003B!N435/1000</f>
        <v>0</v>
      </c>
      <c r="O416" s="9">
        <f>STATS1003B!O435/1000</f>
        <v>0</v>
      </c>
      <c r="P416" s="9">
        <f>STATS1003B!P435/1000</f>
        <v>0</v>
      </c>
      <c r="Q416" s="9">
        <f>STATS1003B!Q435/1000</f>
        <v>0</v>
      </c>
      <c r="R416" s="9">
        <f>STATS1003B!R435/1000</f>
        <v>0</v>
      </c>
      <c r="S416" s="9">
        <f>STATS1003B!S435/1000</f>
        <v>0</v>
      </c>
      <c r="T416" s="9">
        <f>STATS1003B!T435/1000</f>
        <v>0</v>
      </c>
      <c r="U416" s="9">
        <f>STATS1003B!U435/1000</f>
        <v>0</v>
      </c>
      <c r="V416" s="9">
        <f>STATS1003B!V435/1000</f>
        <v>348.17</v>
      </c>
      <c r="W416" s="9">
        <f>STATS1003B!W435/1000</f>
        <v>0</v>
      </c>
      <c r="X416" s="9">
        <f>STATS1003B!X435/1000</f>
        <v>348.17</v>
      </c>
      <c r="Y416" s="9">
        <f>STATS1003B!Y435/1000</f>
        <v>0</v>
      </c>
      <c r="Z416" s="9">
        <f>STATS1003B!Z435/1000</f>
        <v>0</v>
      </c>
      <c r="AA416" s="9">
        <f>STATS1003B!AA435/1000</f>
        <v>348.17</v>
      </c>
      <c r="AB416" s="9">
        <f>STATS1003B!AB435/1000</f>
        <v>0</v>
      </c>
    </row>
    <row r="417" spans="1:28" x14ac:dyDescent="0.35">
      <c r="A417" s="36"/>
      <c r="B417" s="8"/>
      <c r="C417" s="14" t="s">
        <v>925</v>
      </c>
      <c r="D417" s="24" t="s">
        <v>1072</v>
      </c>
      <c r="E417" s="9">
        <f>STATS1003B!E436/1000</f>
        <v>151.83000000000001</v>
      </c>
      <c r="F417" s="9">
        <f>STATS1003B!F436/1000</f>
        <v>151.83000000000001</v>
      </c>
      <c r="G417" s="9">
        <f>STATS1003B!G436/1000</f>
        <v>0</v>
      </c>
      <c r="H417" s="9">
        <f>STATS1003B!H436/1000</f>
        <v>151.83000000000001</v>
      </c>
      <c r="I417" s="9">
        <f>STATS1003B!I436/1000</f>
        <v>0</v>
      </c>
      <c r="J417" s="9">
        <f>STATS1003B!J436/1000</f>
        <v>0</v>
      </c>
      <c r="K417" s="9">
        <f>STATS1003B!K436/1000</f>
        <v>0</v>
      </c>
      <c r="L417" s="9">
        <f>STATS1003B!L436/1000</f>
        <v>0</v>
      </c>
      <c r="M417" s="9">
        <f>STATS1003B!M436/1000</f>
        <v>151.83000000000001</v>
      </c>
      <c r="N417" s="9">
        <f>STATS1003B!N436/1000</f>
        <v>0</v>
      </c>
      <c r="O417" s="9">
        <f>STATS1003B!O436/1000</f>
        <v>0</v>
      </c>
      <c r="P417" s="9">
        <f>STATS1003B!P436/1000</f>
        <v>0</v>
      </c>
      <c r="Q417" s="9">
        <f>STATS1003B!Q436/1000</f>
        <v>0</v>
      </c>
      <c r="R417" s="9">
        <f>STATS1003B!R436/1000</f>
        <v>0</v>
      </c>
      <c r="S417" s="9">
        <f>STATS1003B!S436/1000</f>
        <v>0</v>
      </c>
      <c r="T417" s="9">
        <f>STATS1003B!T436/1000</f>
        <v>0</v>
      </c>
      <c r="U417" s="9">
        <f>STATS1003B!U436/1000</f>
        <v>0</v>
      </c>
      <c r="V417" s="9">
        <f>STATS1003B!V436/1000</f>
        <v>151.83000000000001</v>
      </c>
      <c r="W417" s="9">
        <f>STATS1003B!W436/1000</f>
        <v>0</v>
      </c>
      <c r="X417" s="9">
        <f>STATS1003B!X436/1000</f>
        <v>151.83000000000001</v>
      </c>
      <c r="Y417" s="9">
        <f>STATS1003B!Y436/1000</f>
        <v>0</v>
      </c>
      <c r="Z417" s="9">
        <f>STATS1003B!Z436/1000</f>
        <v>0</v>
      </c>
      <c r="AA417" s="9">
        <f>STATS1003B!AA436/1000</f>
        <v>151.83000000000001</v>
      </c>
      <c r="AB417" s="9">
        <f>STATS1003B!AB436/1000</f>
        <v>0</v>
      </c>
    </row>
    <row r="418" spans="1:28" x14ac:dyDescent="0.35">
      <c r="A418" s="36"/>
      <c r="B418" s="8"/>
      <c r="C418" s="14" t="s">
        <v>143</v>
      </c>
      <c r="D418" s="24" t="s">
        <v>61</v>
      </c>
      <c r="E418" s="9">
        <f>STATS1003B!E437/1000</f>
        <v>549.09146999999996</v>
      </c>
      <c r="F418" s="9">
        <f>STATS1003B!F437/1000</f>
        <v>549.09146999999996</v>
      </c>
      <c r="G418" s="9">
        <f>STATS1003B!G437/1000</f>
        <v>0</v>
      </c>
      <c r="H418" s="9">
        <f>STATS1003B!H437/1000</f>
        <v>549.09146999999996</v>
      </c>
      <c r="I418" s="9">
        <f>STATS1003B!I437/1000</f>
        <v>0</v>
      </c>
      <c r="J418" s="9">
        <f>STATS1003B!J437/1000</f>
        <v>0</v>
      </c>
      <c r="K418" s="9">
        <f>STATS1003B!K437/1000</f>
        <v>0</v>
      </c>
      <c r="L418" s="9">
        <f>STATS1003B!L437/1000</f>
        <v>0</v>
      </c>
      <c r="M418" s="9">
        <f>STATS1003B!M437/1000</f>
        <v>549.09146999999996</v>
      </c>
      <c r="N418" s="9">
        <f>STATS1003B!N437/1000</f>
        <v>0</v>
      </c>
      <c r="O418" s="9">
        <f>STATS1003B!O437/1000</f>
        <v>0</v>
      </c>
      <c r="P418" s="9">
        <f>STATS1003B!P437/1000</f>
        <v>0</v>
      </c>
      <c r="Q418" s="9">
        <f>STATS1003B!Q437/1000</f>
        <v>0</v>
      </c>
      <c r="R418" s="9">
        <f>STATS1003B!R437/1000</f>
        <v>0</v>
      </c>
      <c r="S418" s="9">
        <f>STATS1003B!S437/1000</f>
        <v>0</v>
      </c>
      <c r="T418" s="9">
        <f>STATS1003B!T437/1000</f>
        <v>0</v>
      </c>
      <c r="U418" s="9">
        <f>STATS1003B!U437/1000</f>
        <v>0</v>
      </c>
      <c r="V418" s="9">
        <f>STATS1003B!V437/1000</f>
        <v>549.09146999999996</v>
      </c>
      <c r="W418" s="9">
        <f>STATS1003B!W437/1000</f>
        <v>0</v>
      </c>
      <c r="X418" s="9">
        <f>STATS1003B!X437/1000</f>
        <v>549.09146999999996</v>
      </c>
      <c r="Y418" s="9">
        <f>STATS1003B!Y437/1000</f>
        <v>0</v>
      </c>
      <c r="Z418" s="9">
        <f>STATS1003B!Z437/1000</f>
        <v>0</v>
      </c>
      <c r="AA418" s="9">
        <f>STATS1003B!AA437/1000</f>
        <v>549.09146999999996</v>
      </c>
      <c r="AB418" s="9">
        <f>STATS1003B!AB437/1000</f>
        <v>0</v>
      </c>
    </row>
    <row r="419" spans="1:28" x14ac:dyDescent="0.35">
      <c r="A419" s="36"/>
      <c r="B419" s="8"/>
      <c r="C419" s="14" t="s">
        <v>930</v>
      </c>
      <c r="D419" s="24" t="s">
        <v>1072</v>
      </c>
      <c r="E419" s="9">
        <f>STATS1003B!E438/1000</f>
        <v>1298.3228300000001</v>
      </c>
      <c r="F419" s="9">
        <f>STATS1003B!F438/1000</f>
        <v>1298.3228300000001</v>
      </c>
      <c r="G419" s="9">
        <f>STATS1003B!G438/1000</f>
        <v>0</v>
      </c>
      <c r="H419" s="9">
        <f>STATS1003B!H438/1000</f>
        <v>1298.3228300000001</v>
      </c>
      <c r="I419" s="9">
        <f>STATS1003B!I438/1000</f>
        <v>0</v>
      </c>
      <c r="J419" s="9">
        <f>STATS1003B!J438/1000</f>
        <v>0</v>
      </c>
      <c r="K419" s="9">
        <f>STATS1003B!K438/1000</f>
        <v>0</v>
      </c>
      <c r="L419" s="9">
        <f>STATS1003B!L438/1000</f>
        <v>0</v>
      </c>
      <c r="M419" s="9">
        <f>STATS1003B!M438/1000</f>
        <v>1298.3228300000001</v>
      </c>
      <c r="N419" s="9">
        <f>STATS1003B!N438/1000</f>
        <v>0</v>
      </c>
      <c r="O419" s="9">
        <f>STATS1003B!O438/1000</f>
        <v>0</v>
      </c>
      <c r="P419" s="9">
        <f>STATS1003B!P438/1000</f>
        <v>0</v>
      </c>
      <c r="Q419" s="9">
        <f>STATS1003B!Q438/1000</f>
        <v>0</v>
      </c>
      <c r="R419" s="9">
        <f>STATS1003B!R438/1000</f>
        <v>0</v>
      </c>
      <c r="S419" s="9">
        <f>STATS1003B!S438/1000</f>
        <v>0</v>
      </c>
      <c r="T419" s="9">
        <f>STATS1003B!T438/1000</f>
        <v>0</v>
      </c>
      <c r="U419" s="9">
        <f>STATS1003B!U438/1000</f>
        <v>0</v>
      </c>
      <c r="V419" s="9">
        <f>STATS1003B!V438/1000</f>
        <v>1298.3228300000001</v>
      </c>
      <c r="W419" s="9">
        <f>STATS1003B!W438/1000</f>
        <v>0</v>
      </c>
      <c r="X419" s="9">
        <f>STATS1003B!X438/1000</f>
        <v>1298.3228300000001</v>
      </c>
      <c r="Y419" s="9">
        <f>STATS1003B!Y438/1000</f>
        <v>0</v>
      </c>
      <c r="Z419" s="9">
        <f>STATS1003B!Z438/1000</f>
        <v>0</v>
      </c>
      <c r="AA419" s="9">
        <f>STATS1003B!AA438/1000</f>
        <v>1298.3228300000001</v>
      </c>
      <c r="AB419" s="9">
        <f>STATS1003B!AB438/1000</f>
        <v>0</v>
      </c>
    </row>
    <row r="420" spans="1:28" x14ac:dyDescent="0.35">
      <c r="A420" s="36"/>
      <c r="B420" s="8"/>
      <c r="C420" s="14" t="s">
        <v>178</v>
      </c>
      <c r="D420" s="24"/>
      <c r="E420" s="9">
        <f>STATS1003B!E441/1000</f>
        <v>1795.68715</v>
      </c>
      <c r="F420" s="9">
        <f>STATS1003B!F441/1000</f>
        <v>1795.68715</v>
      </c>
      <c r="G420" s="9">
        <f>STATS1003B!G441/1000</f>
        <v>0</v>
      </c>
      <c r="H420" s="9">
        <f>STATS1003B!H441/1000</f>
        <v>1795.68715</v>
      </c>
      <c r="I420" s="9">
        <f>STATS1003B!I441/1000</f>
        <v>0</v>
      </c>
      <c r="J420" s="9">
        <f>STATS1003B!J441/1000</f>
        <v>0</v>
      </c>
      <c r="K420" s="9">
        <f>STATS1003B!K441/1000</f>
        <v>0</v>
      </c>
      <c r="L420" s="9">
        <f>STATS1003B!L441/1000</f>
        <v>0</v>
      </c>
      <c r="M420" s="9">
        <f>STATS1003B!M441/1000</f>
        <v>1795.68715</v>
      </c>
      <c r="N420" s="9">
        <f>STATS1003B!N441/1000</f>
        <v>0</v>
      </c>
      <c r="O420" s="9">
        <f>STATS1003B!O441/1000</f>
        <v>0</v>
      </c>
      <c r="P420" s="9">
        <f>STATS1003B!P441/1000</f>
        <v>0</v>
      </c>
      <c r="Q420" s="9">
        <f>STATS1003B!Q441/1000</f>
        <v>0</v>
      </c>
      <c r="R420" s="9">
        <f>STATS1003B!R441/1000</f>
        <v>0</v>
      </c>
      <c r="S420" s="9">
        <f>STATS1003B!S441/1000</f>
        <v>0</v>
      </c>
      <c r="T420" s="9">
        <f>STATS1003B!T441/1000</f>
        <v>0</v>
      </c>
      <c r="U420" s="9">
        <f>STATS1003B!U441/1000</f>
        <v>0</v>
      </c>
      <c r="V420" s="9">
        <f>STATS1003B!V441/1000</f>
        <v>1795.68715</v>
      </c>
      <c r="W420" s="9">
        <f>STATS1003B!W441/1000</f>
        <v>0</v>
      </c>
      <c r="X420" s="9">
        <f>STATS1003B!X441/1000</f>
        <v>1795.68715</v>
      </c>
      <c r="Y420" s="9">
        <f>STATS1003B!Y441/1000</f>
        <v>0</v>
      </c>
      <c r="Z420" s="9">
        <f>STATS1003B!Z441/1000</f>
        <v>0</v>
      </c>
      <c r="AA420" s="9">
        <f>STATS1003B!AA441/1000</f>
        <v>1795.68715</v>
      </c>
      <c r="AB420" s="9">
        <f>STATS1003B!AB441/1000</f>
        <v>0</v>
      </c>
    </row>
    <row r="421" spans="1:28" x14ac:dyDescent="0.35">
      <c r="A421" s="36"/>
      <c r="B421" s="8"/>
      <c r="C421" s="14" t="s">
        <v>145</v>
      </c>
      <c r="D421" s="8"/>
      <c r="E421" s="9">
        <f>STATS1003B!E442/1000</f>
        <v>629.35645</v>
      </c>
      <c r="F421" s="9">
        <f>STATS1003B!F442/1000</f>
        <v>629.35645</v>
      </c>
      <c r="G421" s="9">
        <f>STATS1003B!G442/1000</f>
        <v>0</v>
      </c>
      <c r="H421" s="9">
        <f>STATS1003B!H442/1000</f>
        <v>629.35645</v>
      </c>
      <c r="I421" s="9">
        <f>STATS1003B!I442/1000</f>
        <v>0</v>
      </c>
      <c r="J421" s="9">
        <f>STATS1003B!J442/1000</f>
        <v>0</v>
      </c>
      <c r="K421" s="9">
        <f>STATS1003B!K442/1000</f>
        <v>0</v>
      </c>
      <c r="L421" s="9">
        <f>STATS1003B!L442/1000</f>
        <v>0</v>
      </c>
      <c r="M421" s="9">
        <f>STATS1003B!M442/1000</f>
        <v>629.35645</v>
      </c>
      <c r="N421" s="9">
        <f>STATS1003B!N442/1000</f>
        <v>0</v>
      </c>
      <c r="O421" s="9">
        <f>STATS1003B!O442/1000</f>
        <v>0</v>
      </c>
      <c r="P421" s="9">
        <f>STATS1003B!P442/1000</f>
        <v>0</v>
      </c>
      <c r="Q421" s="9">
        <f>STATS1003B!Q442/1000</f>
        <v>0</v>
      </c>
      <c r="R421" s="9">
        <f>STATS1003B!R442/1000</f>
        <v>0</v>
      </c>
      <c r="S421" s="9">
        <f>STATS1003B!S442/1000</f>
        <v>0</v>
      </c>
      <c r="T421" s="9">
        <f>STATS1003B!T442/1000</f>
        <v>0</v>
      </c>
      <c r="U421" s="9">
        <f>STATS1003B!U442/1000</f>
        <v>0</v>
      </c>
      <c r="V421" s="9">
        <f>STATS1003B!V442/1000</f>
        <v>629.35645</v>
      </c>
      <c r="W421" s="9">
        <f>STATS1003B!W442/1000</f>
        <v>0</v>
      </c>
      <c r="X421" s="9">
        <f>STATS1003B!X442/1000</f>
        <v>629.35645</v>
      </c>
      <c r="Y421" s="9">
        <f>STATS1003B!Y442/1000</f>
        <v>0</v>
      </c>
      <c r="Z421" s="9">
        <f>STATS1003B!Z442/1000</f>
        <v>0</v>
      </c>
      <c r="AA421" s="9">
        <f>STATS1003B!AA442/1000</f>
        <v>629.35645</v>
      </c>
      <c r="AB421" s="9">
        <f>STATS1003B!AB442/1000</f>
        <v>0</v>
      </c>
    </row>
    <row r="422" spans="1:28" x14ac:dyDescent="0.35">
      <c r="A422" s="36"/>
      <c r="B422" s="8"/>
      <c r="C422" s="14" t="s">
        <v>146</v>
      </c>
      <c r="D422" s="8"/>
      <c r="E422" s="9">
        <f>STATS1003B!E443/1000</f>
        <v>1335.8005900000001</v>
      </c>
      <c r="F422" s="9">
        <f>STATS1003B!F443/1000</f>
        <v>1335.8005900000001</v>
      </c>
      <c r="G422" s="9">
        <f>STATS1003B!G443/1000</f>
        <v>0</v>
      </c>
      <c r="H422" s="9">
        <f>STATS1003B!H443/1000</f>
        <v>1335.8005900000001</v>
      </c>
      <c r="I422" s="9">
        <f>STATS1003B!I443/1000</f>
        <v>0</v>
      </c>
      <c r="J422" s="9">
        <f>STATS1003B!J443/1000</f>
        <v>0</v>
      </c>
      <c r="K422" s="9">
        <f>STATS1003B!K443/1000</f>
        <v>0</v>
      </c>
      <c r="L422" s="9">
        <f>STATS1003B!L443/1000</f>
        <v>0</v>
      </c>
      <c r="M422" s="9">
        <f>STATS1003B!M443/1000</f>
        <v>1335.8005900000001</v>
      </c>
      <c r="N422" s="9">
        <f>STATS1003B!N443/1000</f>
        <v>0</v>
      </c>
      <c r="O422" s="9">
        <f>STATS1003B!O443/1000</f>
        <v>0</v>
      </c>
      <c r="P422" s="9">
        <f>STATS1003B!P443/1000</f>
        <v>0</v>
      </c>
      <c r="Q422" s="9">
        <f>STATS1003B!Q443/1000</f>
        <v>0</v>
      </c>
      <c r="R422" s="9">
        <f>STATS1003B!R443/1000</f>
        <v>0</v>
      </c>
      <c r="S422" s="9">
        <f>STATS1003B!S443/1000</f>
        <v>0</v>
      </c>
      <c r="T422" s="9">
        <f>STATS1003B!T443/1000</f>
        <v>0</v>
      </c>
      <c r="U422" s="9">
        <f>STATS1003B!U443/1000</f>
        <v>0</v>
      </c>
      <c r="V422" s="9">
        <f>STATS1003B!V443/1000</f>
        <v>1335.8005900000001</v>
      </c>
      <c r="W422" s="9">
        <f>STATS1003B!W443/1000</f>
        <v>0</v>
      </c>
      <c r="X422" s="9">
        <f>STATS1003B!X443/1000</f>
        <v>1335.8005900000001</v>
      </c>
      <c r="Y422" s="9">
        <f>STATS1003B!Y443/1000</f>
        <v>0</v>
      </c>
      <c r="Z422" s="9">
        <f>STATS1003B!Z443/1000</f>
        <v>0</v>
      </c>
      <c r="AA422" s="9">
        <f>STATS1003B!AA443/1000</f>
        <v>1335.8005900000001</v>
      </c>
      <c r="AB422" s="9">
        <f>STATS1003B!AB443/1000</f>
        <v>0</v>
      </c>
    </row>
    <row r="423" spans="1:28" x14ac:dyDescent="0.35">
      <c r="A423" s="36"/>
      <c r="B423" s="8"/>
      <c r="C423" s="14" t="s">
        <v>147</v>
      </c>
      <c r="D423" s="8"/>
      <c r="E423" s="9">
        <f>STATS1003B!E444/1000</f>
        <v>262.08</v>
      </c>
      <c r="F423" s="9">
        <f>STATS1003B!F444/1000</f>
        <v>0</v>
      </c>
      <c r="G423" s="9">
        <f>STATS1003B!G444/1000</f>
        <v>0</v>
      </c>
      <c r="H423" s="9">
        <f>STATS1003B!H444/1000</f>
        <v>0</v>
      </c>
      <c r="I423" s="9">
        <f>STATS1003B!I444/1000</f>
        <v>0</v>
      </c>
      <c r="J423" s="9">
        <f>STATS1003B!J444/1000</f>
        <v>0</v>
      </c>
      <c r="K423" s="9">
        <f>STATS1003B!K444/1000</f>
        <v>0</v>
      </c>
      <c r="L423" s="9">
        <f>STATS1003B!L444/1000</f>
        <v>0</v>
      </c>
      <c r="M423" s="9">
        <f>STATS1003B!M444/1000</f>
        <v>0</v>
      </c>
      <c r="N423" s="9">
        <f>STATS1003B!N444/1000</f>
        <v>262.08</v>
      </c>
      <c r="O423" s="9">
        <f>STATS1003B!O444/1000</f>
        <v>0</v>
      </c>
      <c r="P423" s="9">
        <f>STATS1003B!P444/1000</f>
        <v>262.08</v>
      </c>
      <c r="Q423" s="9">
        <f>STATS1003B!Q444/1000</f>
        <v>0</v>
      </c>
      <c r="R423" s="9">
        <f>STATS1003B!R444/1000</f>
        <v>0</v>
      </c>
      <c r="S423" s="9">
        <f>STATS1003B!S444/1000</f>
        <v>0</v>
      </c>
      <c r="T423" s="9">
        <f>STATS1003B!T444/1000</f>
        <v>0</v>
      </c>
      <c r="U423" s="9">
        <f>STATS1003B!U444/1000</f>
        <v>262.08</v>
      </c>
      <c r="V423" s="9">
        <f>STATS1003B!V444/1000</f>
        <v>262.08</v>
      </c>
      <c r="W423" s="9">
        <f>STATS1003B!W444/1000</f>
        <v>0</v>
      </c>
      <c r="X423" s="9">
        <f>STATS1003B!X444/1000</f>
        <v>262.08</v>
      </c>
      <c r="Y423" s="9">
        <f>STATS1003B!Y444/1000</f>
        <v>0</v>
      </c>
      <c r="Z423" s="9">
        <f>STATS1003B!Z444/1000</f>
        <v>0</v>
      </c>
      <c r="AA423" s="9">
        <f>STATS1003B!AA444/1000</f>
        <v>262.08</v>
      </c>
      <c r="AB423" s="9">
        <f>STATS1003B!AB444/1000</f>
        <v>0</v>
      </c>
    </row>
    <row r="424" spans="1:28" x14ac:dyDescent="0.35">
      <c r="A424" s="36"/>
      <c r="B424" s="8"/>
      <c r="C424" s="14" t="s">
        <v>109</v>
      </c>
      <c r="D424" s="8"/>
      <c r="E424" s="9">
        <f>STATS1003B!E445/1000</f>
        <v>5083.5182199999999</v>
      </c>
      <c r="F424" s="9">
        <f>STATS1003B!F445/1000</f>
        <v>5083.5182199999999</v>
      </c>
      <c r="G424" s="9">
        <f>STATS1003B!G445/1000</f>
        <v>0</v>
      </c>
      <c r="H424" s="9">
        <f>STATS1003B!H445/1000</f>
        <v>5083.5182199999999</v>
      </c>
      <c r="I424" s="9">
        <f>STATS1003B!I445/1000</f>
        <v>0</v>
      </c>
      <c r="J424" s="9">
        <f>STATS1003B!J445/1000</f>
        <v>0</v>
      </c>
      <c r="K424" s="9">
        <f>STATS1003B!K445/1000</f>
        <v>0</v>
      </c>
      <c r="L424" s="9">
        <f>STATS1003B!L445/1000</f>
        <v>0</v>
      </c>
      <c r="M424" s="9">
        <f>STATS1003B!M445/1000</f>
        <v>5083.5182199999999</v>
      </c>
      <c r="N424" s="9">
        <f>STATS1003B!N445/1000</f>
        <v>0</v>
      </c>
      <c r="O424" s="9">
        <f>STATS1003B!O445/1000</f>
        <v>0</v>
      </c>
      <c r="P424" s="9">
        <f>STATS1003B!P445/1000</f>
        <v>0</v>
      </c>
      <c r="Q424" s="9">
        <f>STATS1003B!Q445/1000</f>
        <v>0</v>
      </c>
      <c r="R424" s="9">
        <f>STATS1003B!R445/1000</f>
        <v>0</v>
      </c>
      <c r="S424" s="9">
        <f>STATS1003B!S445/1000</f>
        <v>0</v>
      </c>
      <c r="T424" s="9">
        <f>STATS1003B!T445/1000</f>
        <v>0</v>
      </c>
      <c r="U424" s="9">
        <f>STATS1003B!U445/1000</f>
        <v>0</v>
      </c>
      <c r="V424" s="9">
        <f>STATS1003B!V445/1000</f>
        <v>5083.5182199999999</v>
      </c>
      <c r="W424" s="9">
        <f>STATS1003B!W445/1000</f>
        <v>0</v>
      </c>
      <c r="X424" s="9">
        <f>STATS1003B!X445/1000</f>
        <v>5083.5182199999999</v>
      </c>
      <c r="Y424" s="9">
        <f>STATS1003B!Y445/1000</f>
        <v>0</v>
      </c>
      <c r="Z424" s="9">
        <f>STATS1003B!Z445/1000</f>
        <v>0</v>
      </c>
      <c r="AA424" s="9">
        <f>STATS1003B!AA445/1000</f>
        <v>5083.5182199999999</v>
      </c>
      <c r="AB424" s="9">
        <f>STATS1003B!AB445/1000</f>
        <v>0</v>
      </c>
    </row>
    <row r="425" spans="1:28" x14ac:dyDescent="0.35">
      <c r="A425" s="36"/>
      <c r="B425" s="8"/>
      <c r="C425" s="8"/>
      <c r="D425" s="8"/>
      <c r="E425" s="26" t="s">
        <v>29</v>
      </c>
      <c r="F425" s="26" t="s">
        <v>29</v>
      </c>
      <c r="G425" s="26" t="s">
        <v>29</v>
      </c>
      <c r="H425" s="26" t="s">
        <v>29</v>
      </c>
      <c r="I425" s="26" t="s">
        <v>29</v>
      </c>
      <c r="J425" s="26" t="s">
        <v>29</v>
      </c>
      <c r="K425" s="26" t="s">
        <v>29</v>
      </c>
      <c r="L425" s="26" t="s">
        <v>29</v>
      </c>
      <c r="M425" s="26" t="s">
        <v>29</v>
      </c>
      <c r="N425" s="26" t="s">
        <v>29</v>
      </c>
      <c r="O425" s="26" t="s">
        <v>29</v>
      </c>
      <c r="P425" s="26" t="s">
        <v>29</v>
      </c>
      <c r="Q425" s="26" t="s">
        <v>29</v>
      </c>
      <c r="R425" s="26" t="s">
        <v>29</v>
      </c>
      <c r="S425" s="26" t="s">
        <v>29</v>
      </c>
      <c r="T425" s="26" t="s">
        <v>29</v>
      </c>
      <c r="U425" s="26" t="s">
        <v>29</v>
      </c>
      <c r="V425" s="26" t="s">
        <v>29</v>
      </c>
      <c r="W425" s="26" t="s">
        <v>29</v>
      </c>
      <c r="X425" s="26" t="s">
        <v>29</v>
      </c>
      <c r="Y425" s="26" t="s">
        <v>29</v>
      </c>
      <c r="Z425" s="26" t="s">
        <v>29</v>
      </c>
      <c r="AA425" s="17" t="s">
        <v>29</v>
      </c>
      <c r="AB425" s="17" t="s">
        <v>29</v>
      </c>
    </row>
    <row r="426" spans="1:28" x14ac:dyDescent="0.35">
      <c r="A426" s="36"/>
      <c r="B426" s="8"/>
      <c r="C426" s="8"/>
      <c r="D426" s="8"/>
      <c r="E426" s="11">
        <f t="shared" ref="E426:AB426" si="25">SUM(E408:E424)</f>
        <v>40830.912649999998</v>
      </c>
      <c r="F426" s="11">
        <f t="shared" si="25"/>
        <v>33592.571410000004</v>
      </c>
      <c r="G426" s="11">
        <f t="shared" si="25"/>
        <v>0</v>
      </c>
      <c r="H426" s="11">
        <f t="shared" si="25"/>
        <v>33592.571410000004</v>
      </c>
      <c r="I426" s="11">
        <f t="shared" si="25"/>
        <v>0</v>
      </c>
      <c r="J426" s="11">
        <f t="shared" si="25"/>
        <v>0</v>
      </c>
      <c r="K426" s="11">
        <f t="shared" si="25"/>
        <v>0</v>
      </c>
      <c r="L426" s="11">
        <f t="shared" si="25"/>
        <v>0</v>
      </c>
      <c r="M426" s="11">
        <f t="shared" si="25"/>
        <v>33592.571410000004</v>
      </c>
      <c r="N426" s="11">
        <f t="shared" si="25"/>
        <v>7238.3412399999997</v>
      </c>
      <c r="O426" s="11">
        <f t="shared" si="25"/>
        <v>0</v>
      </c>
      <c r="P426" s="11">
        <f t="shared" si="25"/>
        <v>7238.3412399999997</v>
      </c>
      <c r="Q426" s="11">
        <f t="shared" si="25"/>
        <v>0</v>
      </c>
      <c r="R426" s="11">
        <f t="shared" si="25"/>
        <v>0</v>
      </c>
      <c r="S426" s="11">
        <f t="shared" si="25"/>
        <v>0</v>
      </c>
      <c r="T426" s="11">
        <f t="shared" si="25"/>
        <v>0</v>
      </c>
      <c r="U426" s="11">
        <f t="shared" si="25"/>
        <v>7238.3412399999997</v>
      </c>
      <c r="V426" s="11">
        <f t="shared" si="25"/>
        <v>40830.912649999998</v>
      </c>
      <c r="W426" s="11">
        <f t="shared" si="25"/>
        <v>0</v>
      </c>
      <c r="X426" s="11">
        <f t="shared" si="25"/>
        <v>40830.912649999998</v>
      </c>
      <c r="Y426" s="11">
        <f t="shared" si="25"/>
        <v>0</v>
      </c>
      <c r="Z426" s="11">
        <f t="shared" si="25"/>
        <v>0</v>
      </c>
      <c r="AA426" s="11">
        <f t="shared" si="25"/>
        <v>40830.912649999998</v>
      </c>
      <c r="AB426" s="11">
        <f t="shared" si="25"/>
        <v>0</v>
      </c>
    </row>
    <row r="427" spans="1:28" x14ac:dyDescent="0.35">
      <c r="A427" s="36"/>
      <c r="B427" s="8"/>
      <c r="C427" s="8"/>
      <c r="D427" s="8"/>
      <c r="E427" s="26" t="s">
        <v>29</v>
      </c>
      <c r="F427" s="26" t="s">
        <v>29</v>
      </c>
      <c r="G427" s="26" t="s">
        <v>29</v>
      </c>
      <c r="H427" s="26" t="s">
        <v>29</v>
      </c>
      <c r="I427" s="26" t="s">
        <v>29</v>
      </c>
      <c r="J427" s="26" t="s">
        <v>29</v>
      </c>
      <c r="K427" s="26" t="s">
        <v>29</v>
      </c>
      <c r="L427" s="26" t="s">
        <v>29</v>
      </c>
      <c r="M427" s="26" t="s">
        <v>29</v>
      </c>
      <c r="N427" s="26" t="s">
        <v>29</v>
      </c>
      <c r="O427" s="26" t="s">
        <v>29</v>
      </c>
      <c r="P427" s="26" t="s">
        <v>29</v>
      </c>
      <c r="Q427" s="26" t="s">
        <v>29</v>
      </c>
      <c r="R427" s="26" t="s">
        <v>29</v>
      </c>
      <c r="S427" s="26" t="s">
        <v>29</v>
      </c>
      <c r="T427" s="26" t="s">
        <v>29</v>
      </c>
      <c r="U427" s="26" t="s">
        <v>29</v>
      </c>
      <c r="V427" s="26" t="s">
        <v>29</v>
      </c>
      <c r="W427" s="26" t="s">
        <v>29</v>
      </c>
      <c r="X427" s="26" t="s">
        <v>29</v>
      </c>
      <c r="Y427" s="26" t="s">
        <v>29</v>
      </c>
      <c r="Z427" s="26" t="s">
        <v>29</v>
      </c>
      <c r="AA427" s="17" t="s">
        <v>29</v>
      </c>
      <c r="AB427" s="17" t="s">
        <v>29</v>
      </c>
    </row>
    <row r="428" spans="1:28" x14ac:dyDescent="0.35">
      <c r="A428" s="38" t="s">
        <v>953</v>
      </c>
      <c r="B428" s="7" t="s">
        <v>148</v>
      </c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8" x14ac:dyDescent="0.35">
      <c r="A429" s="36"/>
      <c r="B429" s="8"/>
      <c r="C429" s="7" t="s">
        <v>149</v>
      </c>
      <c r="D429" s="21" t="s">
        <v>150</v>
      </c>
      <c r="E429" s="9">
        <f>STATS1003B!E450/1000</f>
        <v>951.05426999999997</v>
      </c>
      <c r="F429" s="9">
        <f>STATS1003B!F450/1000</f>
        <v>0</v>
      </c>
      <c r="G429" s="9">
        <f>STATS1003B!G450/1000</f>
        <v>0</v>
      </c>
      <c r="H429" s="9">
        <f>STATS1003B!H450/1000</f>
        <v>0</v>
      </c>
      <c r="I429" s="9">
        <f>STATS1003B!I450/1000</f>
        <v>0</v>
      </c>
      <c r="J429" s="9">
        <f>STATS1003B!J450/1000</f>
        <v>0</v>
      </c>
      <c r="K429" s="9">
        <f>STATS1003B!K450/1000</f>
        <v>0</v>
      </c>
      <c r="L429" s="9">
        <f>STATS1003B!L450/1000</f>
        <v>0</v>
      </c>
      <c r="M429" s="9">
        <f>STATS1003B!M450/1000</f>
        <v>0</v>
      </c>
      <c r="N429" s="9">
        <f>STATS1003B!N450/1000</f>
        <v>635.13</v>
      </c>
      <c r="O429" s="9">
        <f>STATS1003B!O450/1000</f>
        <v>0</v>
      </c>
      <c r="P429" s="9">
        <f>STATS1003B!P450/1000</f>
        <v>635.13</v>
      </c>
      <c r="Q429" s="9">
        <f>STATS1003B!Q450/1000</f>
        <v>0</v>
      </c>
      <c r="R429" s="9">
        <f>STATS1003B!R450/1000</f>
        <v>0</v>
      </c>
      <c r="S429" s="9">
        <f>STATS1003B!S450/1000</f>
        <v>0</v>
      </c>
      <c r="T429" s="9">
        <f>STATS1003B!T450/1000</f>
        <v>0</v>
      </c>
      <c r="U429" s="9">
        <f>STATS1003B!U450/1000</f>
        <v>635.13</v>
      </c>
      <c r="V429" s="9">
        <f>STATS1003B!V450/1000</f>
        <v>635.13</v>
      </c>
      <c r="W429" s="9">
        <f>STATS1003B!W450/1000</f>
        <v>315.92427000000004</v>
      </c>
      <c r="X429" s="9">
        <f>STATS1003B!X450/1000</f>
        <v>635.13</v>
      </c>
      <c r="Y429" s="9">
        <f>STATS1003B!Y450/1000</f>
        <v>0</v>
      </c>
      <c r="Z429" s="9">
        <f>STATS1003B!Z450/1000</f>
        <v>315.92427000000004</v>
      </c>
      <c r="AA429" s="9">
        <f>STATS1003B!AA450/1000</f>
        <v>635.13</v>
      </c>
      <c r="AB429" s="9">
        <f>STATS1003B!AB450/1000</f>
        <v>315.92427000000004</v>
      </c>
    </row>
    <row r="430" spans="1:28" x14ac:dyDescent="0.35">
      <c r="A430" s="36"/>
      <c r="B430" s="8"/>
      <c r="C430" s="7" t="s">
        <v>151</v>
      </c>
      <c r="D430" s="21" t="s">
        <v>150</v>
      </c>
      <c r="E430" s="9">
        <f>STATS1003B!E451/1000</f>
        <v>10375.421</v>
      </c>
      <c r="F430" s="9">
        <f>STATS1003B!F451/1000</f>
        <v>7824.3192300000001</v>
      </c>
      <c r="G430" s="9">
        <f>STATS1003B!G451/1000</f>
        <v>0</v>
      </c>
      <c r="H430" s="9">
        <f>STATS1003B!H451/1000</f>
        <v>7824.3192300000001</v>
      </c>
      <c r="I430" s="9">
        <f>STATS1003B!I451/1000</f>
        <v>0</v>
      </c>
      <c r="J430" s="9">
        <f>STATS1003B!J451/1000</f>
        <v>0</v>
      </c>
      <c r="K430" s="9">
        <f>STATS1003B!K451/1000</f>
        <v>0</v>
      </c>
      <c r="L430" s="9">
        <f>STATS1003B!L451/1000</f>
        <v>0</v>
      </c>
      <c r="M430" s="9">
        <f>STATS1003B!M451/1000</f>
        <v>7824.3192300000001</v>
      </c>
      <c r="N430" s="9">
        <f>STATS1003B!N451/1000</f>
        <v>0</v>
      </c>
      <c r="O430" s="9">
        <f>STATS1003B!O451/1000</f>
        <v>0</v>
      </c>
      <c r="P430" s="9">
        <f>STATS1003B!P451/1000</f>
        <v>0</v>
      </c>
      <c r="Q430" s="9">
        <f>STATS1003B!Q451/1000</f>
        <v>0</v>
      </c>
      <c r="R430" s="9">
        <f>STATS1003B!R451/1000</f>
        <v>0</v>
      </c>
      <c r="S430" s="9">
        <f>STATS1003B!S451/1000</f>
        <v>0</v>
      </c>
      <c r="T430" s="9">
        <f>STATS1003B!T451/1000</f>
        <v>0</v>
      </c>
      <c r="U430" s="9">
        <f>STATS1003B!U451/1000</f>
        <v>0</v>
      </c>
      <c r="V430" s="9">
        <f>STATS1003B!V451/1000</f>
        <v>7824.3192300000001</v>
      </c>
      <c r="W430" s="9">
        <f>STATS1003B!W451/1000</f>
        <v>2551.1017699999998</v>
      </c>
      <c r="X430" s="9">
        <f>STATS1003B!X451/1000</f>
        <v>7824.3192300000001</v>
      </c>
      <c r="Y430" s="9">
        <f>STATS1003B!Y451/1000</f>
        <v>0</v>
      </c>
      <c r="Z430" s="9">
        <f>STATS1003B!Z451/1000</f>
        <v>2551.1017699999998</v>
      </c>
      <c r="AA430" s="9">
        <f>STATS1003B!AA451/1000</f>
        <v>7824.3192300000001</v>
      </c>
      <c r="AB430" s="9">
        <f>STATS1003B!AB451/1000</f>
        <v>2551.1017699999998</v>
      </c>
    </row>
    <row r="431" spans="1:28" x14ac:dyDescent="0.35">
      <c r="A431" s="36"/>
      <c r="B431" s="8"/>
      <c r="C431" s="7" t="s">
        <v>55</v>
      </c>
      <c r="D431" s="15" t="s">
        <v>152</v>
      </c>
      <c r="E431" s="9">
        <f>STATS1003B!E452/1000</f>
        <v>13146.1325</v>
      </c>
      <c r="F431" s="9">
        <f>STATS1003B!F452/1000</f>
        <v>0</v>
      </c>
      <c r="G431" s="9">
        <f>STATS1003B!G452/1000</f>
        <v>0</v>
      </c>
      <c r="H431" s="9">
        <f>STATS1003B!H452/1000</f>
        <v>0</v>
      </c>
      <c r="I431" s="9">
        <f>STATS1003B!I452/1000</f>
        <v>0</v>
      </c>
      <c r="J431" s="9">
        <f>STATS1003B!J452/1000</f>
        <v>0</v>
      </c>
      <c r="K431" s="9">
        <f>STATS1003B!K452/1000</f>
        <v>0</v>
      </c>
      <c r="L431" s="9">
        <f>STATS1003B!L452/1000</f>
        <v>0</v>
      </c>
      <c r="M431" s="9">
        <f>STATS1003B!M452/1000</f>
        <v>0</v>
      </c>
      <c r="N431" s="9">
        <f>STATS1003B!N452/1000</f>
        <v>13146.1325</v>
      </c>
      <c r="O431" s="9">
        <f>STATS1003B!O452/1000</f>
        <v>0</v>
      </c>
      <c r="P431" s="9">
        <f>STATS1003B!P452/1000</f>
        <v>13146.1325</v>
      </c>
      <c r="Q431" s="9">
        <f>STATS1003B!Q452/1000</f>
        <v>0</v>
      </c>
      <c r="R431" s="9">
        <f>STATS1003B!R452/1000</f>
        <v>0</v>
      </c>
      <c r="S431" s="9">
        <f>STATS1003B!S452/1000</f>
        <v>0</v>
      </c>
      <c r="T431" s="9">
        <f>STATS1003B!T452/1000</f>
        <v>0</v>
      </c>
      <c r="U431" s="9">
        <f>STATS1003B!U452/1000</f>
        <v>13146.1325</v>
      </c>
      <c r="V431" s="9">
        <f>STATS1003B!V452/1000</f>
        <v>13146.1325</v>
      </c>
      <c r="W431" s="9">
        <f>STATS1003B!W452/1000</f>
        <v>0</v>
      </c>
      <c r="X431" s="9">
        <f>STATS1003B!X452/1000</f>
        <v>13146.1325</v>
      </c>
      <c r="Y431" s="9">
        <f>STATS1003B!Y452/1000</f>
        <v>0</v>
      </c>
      <c r="Z431" s="9">
        <f>STATS1003B!Z452/1000</f>
        <v>0</v>
      </c>
      <c r="AA431" s="9">
        <f>STATS1003B!AA452/1000</f>
        <v>13146.1325</v>
      </c>
      <c r="AB431" s="9">
        <f>STATS1003B!AB452/1000</f>
        <v>0</v>
      </c>
    </row>
    <row r="432" spans="1:28" x14ac:dyDescent="0.35">
      <c r="A432" s="36"/>
      <c r="B432" s="8"/>
      <c r="C432" s="7" t="s">
        <v>53</v>
      </c>
      <c r="D432" s="15" t="s">
        <v>68</v>
      </c>
      <c r="E432" s="9">
        <f>STATS1003B!E453/1000</f>
        <v>2306.1060000000002</v>
      </c>
      <c r="F432" s="9">
        <f>STATS1003B!F453/1000</f>
        <v>0</v>
      </c>
      <c r="G432" s="9">
        <f>STATS1003B!G453/1000</f>
        <v>0</v>
      </c>
      <c r="H432" s="9">
        <f>STATS1003B!H453/1000</f>
        <v>0</v>
      </c>
      <c r="I432" s="9">
        <f>STATS1003B!I453/1000</f>
        <v>0</v>
      </c>
      <c r="J432" s="9">
        <f>STATS1003B!J453/1000</f>
        <v>0</v>
      </c>
      <c r="K432" s="9">
        <f>STATS1003B!K453/1000</f>
        <v>0</v>
      </c>
      <c r="L432" s="9">
        <f>STATS1003B!L453/1000</f>
        <v>0</v>
      </c>
      <c r="M432" s="9">
        <f>STATS1003B!M453/1000</f>
        <v>0</v>
      </c>
      <c r="N432" s="9">
        <f>STATS1003B!N453/1000</f>
        <v>2306.1060000000002</v>
      </c>
      <c r="O432" s="9">
        <f>STATS1003B!O453/1000</f>
        <v>0</v>
      </c>
      <c r="P432" s="9">
        <f>STATS1003B!P453/1000</f>
        <v>2306.1060000000002</v>
      </c>
      <c r="Q432" s="9">
        <f>STATS1003B!Q453/1000</f>
        <v>0</v>
      </c>
      <c r="R432" s="9">
        <f>STATS1003B!R453/1000</f>
        <v>0</v>
      </c>
      <c r="S432" s="9">
        <f>STATS1003B!S453/1000</f>
        <v>0</v>
      </c>
      <c r="T432" s="9">
        <f>STATS1003B!T453/1000</f>
        <v>0</v>
      </c>
      <c r="U432" s="9">
        <f>STATS1003B!U453/1000</f>
        <v>2306.1060000000002</v>
      </c>
      <c r="V432" s="9">
        <f>STATS1003B!V453/1000</f>
        <v>2306.1060000000002</v>
      </c>
      <c r="W432" s="9">
        <f>STATS1003B!W453/1000</f>
        <v>0</v>
      </c>
      <c r="X432" s="9">
        <f>STATS1003B!X453/1000</f>
        <v>2306.1060000000002</v>
      </c>
      <c r="Y432" s="9">
        <f>STATS1003B!Y453/1000</f>
        <v>0</v>
      </c>
      <c r="Z432" s="9">
        <f>STATS1003B!Z453/1000</f>
        <v>0</v>
      </c>
      <c r="AA432" s="9">
        <f>STATS1003B!AA453/1000</f>
        <v>2306.1060000000002</v>
      </c>
      <c r="AB432" s="9">
        <f>STATS1003B!AB453/1000</f>
        <v>0</v>
      </c>
    </row>
    <row r="433" spans="1:28" x14ac:dyDescent="0.35">
      <c r="A433" s="36"/>
      <c r="B433" s="8"/>
      <c r="C433" s="7" t="s">
        <v>153</v>
      </c>
      <c r="D433" s="15" t="s">
        <v>128</v>
      </c>
      <c r="E433" s="9">
        <f>STATS1003B!E454/1000</f>
        <v>4915.9385199999997</v>
      </c>
      <c r="F433" s="9">
        <f>STATS1003B!F454/1000</f>
        <v>4915.9385199999997</v>
      </c>
      <c r="G433" s="9">
        <f>STATS1003B!G454/1000</f>
        <v>0</v>
      </c>
      <c r="H433" s="9">
        <f>STATS1003B!H454/1000</f>
        <v>4915.9385199999997</v>
      </c>
      <c r="I433" s="9">
        <f>STATS1003B!I454/1000</f>
        <v>0</v>
      </c>
      <c r="J433" s="9">
        <f>STATS1003B!J454/1000</f>
        <v>0</v>
      </c>
      <c r="K433" s="9">
        <f>STATS1003B!K454/1000</f>
        <v>0</v>
      </c>
      <c r="L433" s="9">
        <f>STATS1003B!L454/1000</f>
        <v>0</v>
      </c>
      <c r="M433" s="9">
        <f>STATS1003B!M454/1000</f>
        <v>4915.9385199999997</v>
      </c>
      <c r="N433" s="9">
        <f>STATS1003B!N454/1000</f>
        <v>0</v>
      </c>
      <c r="O433" s="9">
        <f>STATS1003B!O454/1000</f>
        <v>0</v>
      </c>
      <c r="P433" s="9">
        <f>STATS1003B!P454/1000</f>
        <v>0</v>
      </c>
      <c r="Q433" s="9">
        <f>STATS1003B!Q454/1000</f>
        <v>0</v>
      </c>
      <c r="R433" s="9">
        <f>STATS1003B!R454/1000</f>
        <v>0</v>
      </c>
      <c r="S433" s="9">
        <f>STATS1003B!S454/1000</f>
        <v>0</v>
      </c>
      <c r="T433" s="9">
        <f>STATS1003B!T454/1000</f>
        <v>0</v>
      </c>
      <c r="U433" s="9">
        <f>STATS1003B!U454/1000</f>
        <v>0</v>
      </c>
      <c r="V433" s="9">
        <f>STATS1003B!V454/1000</f>
        <v>4915.9385199999997</v>
      </c>
      <c r="W433" s="9">
        <f>STATS1003B!W454/1000</f>
        <v>0</v>
      </c>
      <c r="X433" s="9">
        <f>STATS1003B!X454/1000</f>
        <v>4915.9385199999997</v>
      </c>
      <c r="Y433" s="9">
        <f>STATS1003B!Y454/1000</f>
        <v>0</v>
      </c>
      <c r="Z433" s="9">
        <f>STATS1003B!Z454/1000</f>
        <v>0</v>
      </c>
      <c r="AA433" s="9">
        <f>STATS1003B!AA454/1000</f>
        <v>4915.9385199999997</v>
      </c>
      <c r="AB433" s="9">
        <f>STATS1003B!AB454/1000</f>
        <v>0</v>
      </c>
    </row>
    <row r="434" spans="1:28" x14ac:dyDescent="0.35">
      <c r="A434" s="36"/>
      <c r="B434" s="8"/>
      <c r="C434" s="14" t="s">
        <v>109</v>
      </c>
      <c r="D434" s="21" t="s">
        <v>60</v>
      </c>
      <c r="E434" s="9">
        <f>STATS1003B!E455/1000</f>
        <v>2500</v>
      </c>
      <c r="F434" s="9">
        <f>STATS1003B!F455/1000</f>
        <v>2500</v>
      </c>
      <c r="G434" s="9">
        <f>STATS1003B!G455/1000</f>
        <v>0</v>
      </c>
      <c r="H434" s="9">
        <f>STATS1003B!H455/1000</f>
        <v>2500</v>
      </c>
      <c r="I434" s="9">
        <f>STATS1003B!I455/1000</f>
        <v>0</v>
      </c>
      <c r="J434" s="9">
        <f>STATS1003B!J455/1000</f>
        <v>0</v>
      </c>
      <c r="K434" s="9">
        <f>STATS1003B!K455/1000</f>
        <v>0</v>
      </c>
      <c r="L434" s="9">
        <f>STATS1003B!L455/1000</f>
        <v>0</v>
      </c>
      <c r="M434" s="9">
        <f>STATS1003B!M455/1000</f>
        <v>2500</v>
      </c>
      <c r="N434" s="9">
        <f>STATS1003B!N455/1000</f>
        <v>0</v>
      </c>
      <c r="O434" s="9">
        <f>STATS1003B!O455/1000</f>
        <v>0</v>
      </c>
      <c r="P434" s="9">
        <f>STATS1003B!P455/1000</f>
        <v>0</v>
      </c>
      <c r="Q434" s="9">
        <f>STATS1003B!Q455/1000</f>
        <v>0</v>
      </c>
      <c r="R434" s="9">
        <f>STATS1003B!R455/1000</f>
        <v>0</v>
      </c>
      <c r="S434" s="9">
        <f>STATS1003B!S455/1000</f>
        <v>0</v>
      </c>
      <c r="T434" s="9">
        <f>STATS1003B!T455/1000</f>
        <v>0</v>
      </c>
      <c r="U434" s="9">
        <f>STATS1003B!U455/1000</f>
        <v>0</v>
      </c>
      <c r="V434" s="9">
        <f>STATS1003B!V455/1000</f>
        <v>2500</v>
      </c>
      <c r="W434" s="9">
        <f>STATS1003B!W455/1000</f>
        <v>0</v>
      </c>
      <c r="X434" s="9">
        <f>STATS1003B!X455/1000</f>
        <v>2500</v>
      </c>
      <c r="Y434" s="9">
        <f>STATS1003B!Y455/1000</f>
        <v>0</v>
      </c>
      <c r="Z434" s="9">
        <f>STATS1003B!Z455/1000</f>
        <v>0</v>
      </c>
      <c r="AA434" s="9">
        <f>STATS1003B!AA455/1000</f>
        <v>2500</v>
      </c>
      <c r="AB434" s="9">
        <f>STATS1003B!AB455/1000</f>
        <v>0</v>
      </c>
    </row>
    <row r="435" spans="1:28" x14ac:dyDescent="0.35">
      <c r="A435" s="36"/>
      <c r="B435" s="8"/>
      <c r="C435" s="14" t="s">
        <v>57</v>
      </c>
      <c r="D435" s="21" t="s">
        <v>60</v>
      </c>
      <c r="E435" s="9">
        <f>STATS1003B!E456/1000</f>
        <v>1555.81</v>
      </c>
      <c r="F435" s="9">
        <f>STATS1003B!F456/1000</f>
        <v>1555.81</v>
      </c>
      <c r="G435" s="9">
        <f>STATS1003B!G456/1000</f>
        <v>0</v>
      </c>
      <c r="H435" s="9">
        <f>STATS1003B!H456/1000</f>
        <v>1555.81</v>
      </c>
      <c r="I435" s="9">
        <f>STATS1003B!I456/1000</f>
        <v>0</v>
      </c>
      <c r="J435" s="9">
        <f>STATS1003B!J456/1000</f>
        <v>0</v>
      </c>
      <c r="K435" s="9">
        <f>STATS1003B!K456/1000</f>
        <v>0</v>
      </c>
      <c r="L435" s="9">
        <f>STATS1003B!L456/1000</f>
        <v>0</v>
      </c>
      <c r="M435" s="9">
        <f>STATS1003B!M456/1000</f>
        <v>1555.81</v>
      </c>
      <c r="N435" s="9">
        <f>STATS1003B!N456/1000</f>
        <v>0</v>
      </c>
      <c r="O435" s="9">
        <f>STATS1003B!O456/1000</f>
        <v>0</v>
      </c>
      <c r="P435" s="9">
        <f>STATS1003B!P456/1000</f>
        <v>0</v>
      </c>
      <c r="Q435" s="9">
        <f>STATS1003B!Q456/1000</f>
        <v>0</v>
      </c>
      <c r="R435" s="9">
        <f>STATS1003B!R456/1000</f>
        <v>0</v>
      </c>
      <c r="S435" s="9">
        <f>STATS1003B!S456/1000</f>
        <v>0</v>
      </c>
      <c r="T435" s="9">
        <f>STATS1003B!T456/1000</f>
        <v>0</v>
      </c>
      <c r="U435" s="9">
        <f>STATS1003B!U456/1000</f>
        <v>0</v>
      </c>
      <c r="V435" s="9">
        <f>STATS1003B!V456/1000</f>
        <v>1555.81</v>
      </c>
      <c r="W435" s="9">
        <f>STATS1003B!W456/1000</f>
        <v>0</v>
      </c>
      <c r="X435" s="9">
        <f>STATS1003B!X456/1000</f>
        <v>1555.81</v>
      </c>
      <c r="Y435" s="9">
        <f>STATS1003B!Y456/1000</f>
        <v>0</v>
      </c>
      <c r="Z435" s="9">
        <f>STATS1003B!Z456/1000</f>
        <v>0</v>
      </c>
      <c r="AA435" s="9">
        <f>STATS1003B!AA456/1000</f>
        <v>1555.81</v>
      </c>
      <c r="AB435" s="9">
        <f>STATS1003B!AB456/1000</f>
        <v>0</v>
      </c>
    </row>
    <row r="436" spans="1:28" x14ac:dyDescent="0.35">
      <c r="A436" s="36"/>
      <c r="B436" s="8"/>
      <c r="C436" s="8"/>
      <c r="D436" s="8"/>
      <c r="E436" s="17" t="s">
        <v>29</v>
      </c>
      <c r="F436" s="17" t="s">
        <v>29</v>
      </c>
      <c r="G436" s="17" t="s">
        <v>29</v>
      </c>
      <c r="H436" s="17" t="s">
        <v>29</v>
      </c>
      <c r="I436" s="17" t="s">
        <v>29</v>
      </c>
      <c r="J436" s="17" t="s">
        <v>29</v>
      </c>
      <c r="K436" s="17" t="s">
        <v>29</v>
      </c>
      <c r="L436" s="17" t="s">
        <v>29</v>
      </c>
      <c r="M436" s="17" t="s">
        <v>29</v>
      </c>
      <c r="N436" s="17" t="s">
        <v>29</v>
      </c>
      <c r="O436" s="17" t="s">
        <v>29</v>
      </c>
      <c r="P436" s="17" t="s">
        <v>29</v>
      </c>
      <c r="Q436" s="17" t="s">
        <v>29</v>
      </c>
      <c r="R436" s="17" t="s">
        <v>29</v>
      </c>
      <c r="S436" s="17" t="s">
        <v>29</v>
      </c>
      <c r="T436" s="17" t="s">
        <v>29</v>
      </c>
      <c r="U436" s="17" t="s">
        <v>29</v>
      </c>
      <c r="V436" s="17" t="s">
        <v>29</v>
      </c>
      <c r="W436" s="17" t="s">
        <v>29</v>
      </c>
      <c r="X436" s="17" t="s">
        <v>29</v>
      </c>
      <c r="Y436" s="17" t="s">
        <v>29</v>
      </c>
      <c r="Z436" s="17" t="s">
        <v>29</v>
      </c>
      <c r="AA436" s="17" t="s">
        <v>29</v>
      </c>
      <c r="AB436" s="17" t="s">
        <v>29</v>
      </c>
    </row>
    <row r="437" spans="1:28" x14ac:dyDescent="0.35">
      <c r="A437" s="36"/>
      <c r="B437" s="8"/>
      <c r="C437" s="8"/>
      <c r="D437" s="8"/>
      <c r="E437" s="9">
        <f t="shared" ref="E437:AB437" si="26">SUM(E429:E435)</f>
        <v>35750.462289999996</v>
      </c>
      <c r="F437" s="9">
        <f t="shared" si="26"/>
        <v>16796.067750000002</v>
      </c>
      <c r="G437" s="9">
        <f t="shared" si="26"/>
        <v>0</v>
      </c>
      <c r="H437" s="9">
        <f t="shared" si="26"/>
        <v>16796.067750000002</v>
      </c>
      <c r="I437" s="9">
        <f t="shared" si="26"/>
        <v>0</v>
      </c>
      <c r="J437" s="9">
        <f t="shared" si="26"/>
        <v>0</v>
      </c>
      <c r="K437" s="9">
        <f t="shared" si="26"/>
        <v>0</v>
      </c>
      <c r="L437" s="9">
        <f t="shared" si="26"/>
        <v>0</v>
      </c>
      <c r="M437" s="9">
        <f t="shared" si="26"/>
        <v>16796.067750000002</v>
      </c>
      <c r="N437" s="9">
        <f t="shared" si="26"/>
        <v>16087.368499999999</v>
      </c>
      <c r="O437" s="9">
        <f t="shared" si="26"/>
        <v>0</v>
      </c>
      <c r="P437" s="9">
        <f t="shared" si="26"/>
        <v>16087.368499999999</v>
      </c>
      <c r="Q437" s="9">
        <f t="shared" si="26"/>
        <v>0</v>
      </c>
      <c r="R437" s="9">
        <f t="shared" si="26"/>
        <v>0</v>
      </c>
      <c r="S437" s="9">
        <f t="shared" si="26"/>
        <v>0</v>
      </c>
      <c r="T437" s="9">
        <f t="shared" si="26"/>
        <v>0</v>
      </c>
      <c r="U437" s="9">
        <f t="shared" si="26"/>
        <v>16087.368499999999</v>
      </c>
      <c r="V437" s="9">
        <f t="shared" si="26"/>
        <v>32883.436249999999</v>
      </c>
      <c r="W437" s="9">
        <f t="shared" si="26"/>
        <v>2867.0260399999997</v>
      </c>
      <c r="X437" s="9">
        <f t="shared" si="26"/>
        <v>32883.436249999999</v>
      </c>
      <c r="Y437" s="9">
        <f t="shared" si="26"/>
        <v>0</v>
      </c>
      <c r="Z437" s="9">
        <f t="shared" si="26"/>
        <v>2867.0260399999997</v>
      </c>
      <c r="AA437" s="9">
        <f t="shared" si="26"/>
        <v>32883.436249999999</v>
      </c>
      <c r="AB437" s="9">
        <f t="shared" si="26"/>
        <v>2867.0260399999997</v>
      </c>
    </row>
    <row r="438" spans="1:28" x14ac:dyDescent="0.35">
      <c r="A438" s="36"/>
      <c r="B438" s="8"/>
      <c r="C438" s="8"/>
      <c r="D438" s="8"/>
      <c r="E438" s="17" t="s">
        <v>29</v>
      </c>
      <c r="F438" s="17" t="s">
        <v>29</v>
      </c>
      <c r="G438" s="17" t="s">
        <v>29</v>
      </c>
      <c r="H438" s="17" t="s">
        <v>29</v>
      </c>
      <c r="I438" s="17" t="s">
        <v>29</v>
      </c>
      <c r="J438" s="17" t="s">
        <v>29</v>
      </c>
      <c r="K438" s="17" t="s">
        <v>29</v>
      </c>
      <c r="L438" s="17" t="s">
        <v>29</v>
      </c>
      <c r="M438" s="17" t="s">
        <v>29</v>
      </c>
      <c r="N438" s="17" t="s">
        <v>29</v>
      </c>
      <c r="O438" s="17" t="s">
        <v>29</v>
      </c>
      <c r="P438" s="17" t="s">
        <v>29</v>
      </c>
      <c r="Q438" s="17" t="s">
        <v>29</v>
      </c>
      <c r="R438" s="17" t="s">
        <v>29</v>
      </c>
      <c r="S438" s="17" t="s">
        <v>29</v>
      </c>
      <c r="T438" s="17" t="s">
        <v>29</v>
      </c>
      <c r="U438" s="17" t="s">
        <v>29</v>
      </c>
      <c r="V438" s="17" t="s">
        <v>29</v>
      </c>
      <c r="W438" s="17" t="s">
        <v>29</v>
      </c>
      <c r="X438" s="17" t="s">
        <v>29</v>
      </c>
      <c r="Y438" s="17" t="s">
        <v>29</v>
      </c>
      <c r="Z438" s="17" t="s">
        <v>29</v>
      </c>
      <c r="AA438" s="17" t="s">
        <v>29</v>
      </c>
      <c r="AB438" s="17" t="s">
        <v>29</v>
      </c>
    </row>
    <row r="439" spans="1:28" x14ac:dyDescent="0.35">
      <c r="A439" s="38" t="s">
        <v>954</v>
      </c>
      <c r="B439" s="7" t="s">
        <v>154</v>
      </c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8" x14ac:dyDescent="0.35">
      <c r="A440" s="36"/>
      <c r="B440" s="8"/>
      <c r="C440" s="7" t="s">
        <v>75</v>
      </c>
      <c r="D440" s="21" t="s">
        <v>76</v>
      </c>
      <c r="E440" s="9">
        <f>STATS1003B!E461/1000</f>
        <v>1705</v>
      </c>
      <c r="F440" s="9">
        <f>STATS1003B!F461/1000</f>
        <v>0</v>
      </c>
      <c r="G440" s="9">
        <f>STATS1003B!G461/1000</f>
        <v>0</v>
      </c>
      <c r="H440" s="9">
        <f>STATS1003B!H461/1000</f>
        <v>0</v>
      </c>
      <c r="I440" s="9">
        <f>STATS1003B!I461/1000</f>
        <v>0</v>
      </c>
      <c r="J440" s="9">
        <f>STATS1003B!J461/1000</f>
        <v>0</v>
      </c>
      <c r="K440" s="9">
        <f>STATS1003B!K461/1000</f>
        <v>0</v>
      </c>
      <c r="L440" s="9">
        <f>STATS1003B!L461/1000</f>
        <v>0</v>
      </c>
      <c r="M440" s="9">
        <f>STATS1003B!M461/1000</f>
        <v>0</v>
      </c>
      <c r="N440" s="9">
        <f>STATS1003B!N461/1000</f>
        <v>1198.1953000000001</v>
      </c>
      <c r="O440" s="9">
        <f>STATS1003B!O461/1000</f>
        <v>0</v>
      </c>
      <c r="P440" s="9">
        <f>STATS1003B!P461/1000</f>
        <v>1198.1953000000001</v>
      </c>
      <c r="Q440" s="9">
        <f>STATS1003B!Q461/1000</f>
        <v>0</v>
      </c>
      <c r="R440" s="9">
        <f>STATS1003B!R461/1000</f>
        <v>0</v>
      </c>
      <c r="S440" s="9">
        <f>STATS1003B!S461/1000</f>
        <v>0</v>
      </c>
      <c r="T440" s="9">
        <f>STATS1003B!T461/1000</f>
        <v>0</v>
      </c>
      <c r="U440" s="9">
        <f>STATS1003B!U461/1000</f>
        <v>1198.1953000000001</v>
      </c>
      <c r="V440" s="9">
        <f>STATS1003B!V461/1000</f>
        <v>1198.1953000000001</v>
      </c>
      <c r="W440" s="9">
        <f>STATS1003B!W461/1000</f>
        <v>506.80469999999997</v>
      </c>
      <c r="X440" s="9">
        <f>STATS1003B!X461/1000</f>
        <v>1198.1953000000001</v>
      </c>
      <c r="Y440" s="9">
        <f>STATS1003B!Y461/1000</f>
        <v>0</v>
      </c>
      <c r="Z440" s="9">
        <f>STATS1003B!Z461/1000</f>
        <v>506.80469999999997</v>
      </c>
      <c r="AA440" s="9">
        <f>STATS1003B!AA461/1000</f>
        <v>1198.1953000000001</v>
      </c>
      <c r="AB440" s="9">
        <f>STATS1003B!AB461/1000</f>
        <v>506.80469999999997</v>
      </c>
    </row>
    <row r="441" spans="1:28" x14ac:dyDescent="0.35">
      <c r="A441" s="36"/>
      <c r="B441" s="8"/>
      <c r="C441" s="7" t="s">
        <v>149</v>
      </c>
      <c r="D441" s="21" t="s">
        <v>150</v>
      </c>
      <c r="E441" s="9">
        <f>STATS1003B!E462/1000</f>
        <v>1095.7280000000001</v>
      </c>
      <c r="F441" s="9">
        <f>STATS1003B!F462/1000</f>
        <v>884.01800000000003</v>
      </c>
      <c r="G441" s="9">
        <f>STATS1003B!G462/1000</f>
        <v>0</v>
      </c>
      <c r="H441" s="9">
        <f>STATS1003B!H462/1000</f>
        <v>884.01800000000003</v>
      </c>
      <c r="I441" s="9">
        <f>STATS1003B!I462/1000</f>
        <v>0</v>
      </c>
      <c r="J441" s="9">
        <f>STATS1003B!J462/1000</f>
        <v>0</v>
      </c>
      <c r="K441" s="9">
        <f>STATS1003B!K462/1000</f>
        <v>0</v>
      </c>
      <c r="L441" s="9">
        <f>STATS1003B!L462/1000</f>
        <v>0</v>
      </c>
      <c r="M441" s="9">
        <f>STATS1003B!M462/1000</f>
        <v>884.01800000000003</v>
      </c>
      <c r="N441" s="9">
        <f>STATS1003B!N462/1000</f>
        <v>211.71</v>
      </c>
      <c r="O441" s="9">
        <f>STATS1003B!O462/1000</f>
        <v>0</v>
      </c>
      <c r="P441" s="9">
        <f>STATS1003B!P462/1000</f>
        <v>211.71</v>
      </c>
      <c r="Q441" s="9">
        <f>STATS1003B!Q462/1000</f>
        <v>0</v>
      </c>
      <c r="R441" s="9">
        <f>STATS1003B!R462/1000</f>
        <v>0</v>
      </c>
      <c r="S441" s="9">
        <f>STATS1003B!S462/1000</f>
        <v>0</v>
      </c>
      <c r="T441" s="9">
        <f>STATS1003B!T462/1000</f>
        <v>0</v>
      </c>
      <c r="U441" s="9">
        <f>STATS1003B!U462/1000</f>
        <v>211.71</v>
      </c>
      <c r="V441" s="9">
        <f>STATS1003B!V462/1000</f>
        <v>1095.7280000000001</v>
      </c>
      <c r="W441" s="9">
        <f>STATS1003B!W462/1000</f>
        <v>0</v>
      </c>
      <c r="X441" s="9">
        <f>STATS1003B!X462/1000</f>
        <v>1095.7280000000001</v>
      </c>
      <c r="Y441" s="9">
        <f>STATS1003B!Y462/1000</f>
        <v>0</v>
      </c>
      <c r="Z441" s="9">
        <f>STATS1003B!Z462/1000</f>
        <v>0</v>
      </c>
      <c r="AA441" s="9">
        <f>STATS1003B!AA462/1000</f>
        <v>1095.7280000000001</v>
      </c>
      <c r="AB441" s="9">
        <f>STATS1003B!AB462/1000</f>
        <v>0</v>
      </c>
    </row>
    <row r="442" spans="1:28" x14ac:dyDescent="0.35">
      <c r="A442" s="36"/>
      <c r="B442" s="8"/>
      <c r="C442" s="7" t="s">
        <v>151</v>
      </c>
      <c r="D442" s="21" t="s">
        <v>150</v>
      </c>
      <c r="E442" s="9">
        <f>STATS1003B!E463/1000</f>
        <v>28907.158940000001</v>
      </c>
      <c r="F442" s="9">
        <f>STATS1003B!F463/1000</f>
        <v>28062.330089999999</v>
      </c>
      <c r="G442" s="9">
        <f>STATS1003B!G463/1000</f>
        <v>0</v>
      </c>
      <c r="H442" s="9">
        <f>STATS1003B!H463/1000</f>
        <v>28062.330089999999</v>
      </c>
      <c r="I442" s="9">
        <f>STATS1003B!I463/1000</f>
        <v>0</v>
      </c>
      <c r="J442" s="9">
        <f>STATS1003B!J463/1000</f>
        <v>0</v>
      </c>
      <c r="K442" s="9">
        <f>STATS1003B!K463/1000</f>
        <v>0</v>
      </c>
      <c r="L442" s="9">
        <f>STATS1003B!L463/1000</f>
        <v>0</v>
      </c>
      <c r="M442" s="9">
        <f>STATS1003B!M463/1000</f>
        <v>28062.330089999999</v>
      </c>
      <c r="N442" s="9">
        <f>STATS1003B!N463/1000</f>
        <v>0</v>
      </c>
      <c r="O442" s="9">
        <f>STATS1003B!O463/1000</f>
        <v>0</v>
      </c>
      <c r="P442" s="9">
        <f>STATS1003B!P463/1000</f>
        <v>0</v>
      </c>
      <c r="Q442" s="9">
        <f>STATS1003B!Q463/1000</f>
        <v>0</v>
      </c>
      <c r="R442" s="9">
        <f>STATS1003B!R463/1000</f>
        <v>0</v>
      </c>
      <c r="S442" s="9">
        <f>STATS1003B!S463/1000</f>
        <v>0</v>
      </c>
      <c r="T442" s="9">
        <f>STATS1003B!T463/1000</f>
        <v>0</v>
      </c>
      <c r="U442" s="9">
        <f>STATS1003B!U463/1000</f>
        <v>0</v>
      </c>
      <c r="V442" s="9">
        <f>STATS1003B!V463/1000</f>
        <v>28062.330089999999</v>
      </c>
      <c r="W442" s="9">
        <f>STATS1003B!W463/1000</f>
        <v>844.82885000000147</v>
      </c>
      <c r="X442" s="9">
        <f>STATS1003B!X463/1000</f>
        <v>28062.330089999999</v>
      </c>
      <c r="Y442" s="9">
        <f>STATS1003B!Y463/1000</f>
        <v>0</v>
      </c>
      <c r="Z442" s="9">
        <f>STATS1003B!Z463/1000</f>
        <v>844.82885000000147</v>
      </c>
      <c r="AA442" s="9">
        <f>STATS1003B!AA463/1000</f>
        <v>28062.330089999999</v>
      </c>
      <c r="AB442" s="9">
        <f>STATS1003B!AB463/1000</f>
        <v>844.82885000000147</v>
      </c>
    </row>
    <row r="443" spans="1:28" x14ac:dyDescent="0.35">
      <c r="A443" s="36"/>
      <c r="B443" s="8"/>
      <c r="C443" s="7" t="s">
        <v>151</v>
      </c>
      <c r="D443" s="21" t="s">
        <v>150</v>
      </c>
      <c r="E443" s="9">
        <f>STATS1003B!E464/1000</f>
        <v>5968.1940000000004</v>
      </c>
      <c r="F443" s="9">
        <f>STATS1003B!F464/1000</f>
        <v>5968.1940000000004</v>
      </c>
      <c r="G443" s="9">
        <f>STATS1003B!G464/1000</f>
        <v>0</v>
      </c>
      <c r="H443" s="9">
        <f>STATS1003B!H464/1000</f>
        <v>5968.1940000000004</v>
      </c>
      <c r="I443" s="9">
        <f>STATS1003B!I464/1000</f>
        <v>0</v>
      </c>
      <c r="J443" s="9">
        <f>STATS1003B!J464/1000</f>
        <v>0</v>
      </c>
      <c r="K443" s="9">
        <f>STATS1003B!K464/1000</f>
        <v>0</v>
      </c>
      <c r="L443" s="9">
        <f>STATS1003B!L464/1000</f>
        <v>0</v>
      </c>
      <c r="M443" s="9">
        <f>STATS1003B!M464/1000</f>
        <v>5968.1940000000004</v>
      </c>
      <c r="N443" s="9">
        <f>STATS1003B!N464/1000</f>
        <v>0</v>
      </c>
      <c r="O443" s="9">
        <f>STATS1003B!O464/1000</f>
        <v>0</v>
      </c>
      <c r="P443" s="9">
        <f>STATS1003B!P464/1000</f>
        <v>0</v>
      </c>
      <c r="Q443" s="9">
        <f>STATS1003B!Q464/1000</f>
        <v>0</v>
      </c>
      <c r="R443" s="9">
        <f>STATS1003B!R464/1000</f>
        <v>0</v>
      </c>
      <c r="S443" s="9">
        <f>STATS1003B!S464/1000</f>
        <v>0</v>
      </c>
      <c r="T443" s="9">
        <f>STATS1003B!T464/1000</f>
        <v>0</v>
      </c>
      <c r="U443" s="9">
        <f>STATS1003B!U464/1000</f>
        <v>0</v>
      </c>
      <c r="V443" s="9">
        <f>STATS1003B!V464/1000</f>
        <v>5968.1940000000004</v>
      </c>
      <c r="W443" s="9">
        <f>STATS1003B!W464/1000</f>
        <v>0</v>
      </c>
      <c r="X443" s="9">
        <f>STATS1003B!X464/1000</f>
        <v>5968.1940000000004</v>
      </c>
      <c r="Y443" s="9">
        <f>STATS1003B!Y464/1000</f>
        <v>0</v>
      </c>
      <c r="Z443" s="9">
        <f>STATS1003B!Z464/1000</f>
        <v>0</v>
      </c>
      <c r="AA443" s="9">
        <f>STATS1003B!AA464/1000</f>
        <v>5968.1940000000004</v>
      </c>
      <c r="AB443" s="9">
        <f>STATS1003B!AB464/1000</f>
        <v>0</v>
      </c>
    </row>
    <row r="444" spans="1:28" x14ac:dyDescent="0.35">
      <c r="A444" s="36"/>
      <c r="B444" s="8"/>
      <c r="C444" s="7" t="s">
        <v>53</v>
      </c>
      <c r="D444" s="15" t="s">
        <v>68</v>
      </c>
      <c r="E444" s="9">
        <f>STATS1003B!E465/1000</f>
        <v>1953.989</v>
      </c>
      <c r="F444" s="9">
        <f>STATS1003B!F465/1000</f>
        <v>0</v>
      </c>
      <c r="G444" s="9">
        <f>STATS1003B!G465/1000</f>
        <v>0</v>
      </c>
      <c r="H444" s="9">
        <f>STATS1003B!H465/1000</f>
        <v>0</v>
      </c>
      <c r="I444" s="9">
        <f>STATS1003B!I465/1000</f>
        <v>0</v>
      </c>
      <c r="J444" s="9">
        <f>STATS1003B!J465/1000</f>
        <v>0</v>
      </c>
      <c r="K444" s="9">
        <f>STATS1003B!K465/1000</f>
        <v>0</v>
      </c>
      <c r="L444" s="9">
        <f>STATS1003B!L465/1000</f>
        <v>0</v>
      </c>
      <c r="M444" s="9">
        <f>STATS1003B!M465/1000</f>
        <v>0</v>
      </c>
      <c r="N444" s="9">
        <f>STATS1003B!N465/1000</f>
        <v>1953.989</v>
      </c>
      <c r="O444" s="9">
        <f>STATS1003B!O465/1000</f>
        <v>0</v>
      </c>
      <c r="P444" s="9">
        <f>STATS1003B!P465/1000</f>
        <v>1953.989</v>
      </c>
      <c r="Q444" s="9">
        <f>STATS1003B!Q465/1000</f>
        <v>0</v>
      </c>
      <c r="R444" s="9">
        <f>STATS1003B!R465/1000</f>
        <v>0</v>
      </c>
      <c r="S444" s="9">
        <f>STATS1003B!S465/1000</f>
        <v>0</v>
      </c>
      <c r="T444" s="9">
        <f>STATS1003B!T465/1000</f>
        <v>0</v>
      </c>
      <c r="U444" s="9">
        <f>STATS1003B!U465/1000</f>
        <v>1953.989</v>
      </c>
      <c r="V444" s="9">
        <f>STATS1003B!V465/1000</f>
        <v>1953.989</v>
      </c>
      <c r="W444" s="9">
        <f>STATS1003B!W465/1000</f>
        <v>0</v>
      </c>
      <c r="X444" s="9">
        <f>STATS1003B!X465/1000</f>
        <v>1953.989</v>
      </c>
      <c r="Y444" s="9">
        <f>STATS1003B!Y465/1000</f>
        <v>0</v>
      </c>
      <c r="Z444" s="9">
        <f>STATS1003B!Z465/1000</f>
        <v>0</v>
      </c>
      <c r="AA444" s="9">
        <f>STATS1003B!AA465/1000</f>
        <v>1953.989</v>
      </c>
      <c r="AB444" s="9">
        <f>STATS1003B!AB465/1000</f>
        <v>0</v>
      </c>
    </row>
    <row r="445" spans="1:28" x14ac:dyDescent="0.35">
      <c r="A445" s="36"/>
      <c r="B445" s="8"/>
      <c r="C445" s="7" t="s">
        <v>57</v>
      </c>
      <c r="D445" s="15" t="s">
        <v>155</v>
      </c>
      <c r="E445" s="9">
        <f>STATS1003B!E466/1000</f>
        <v>3578.5410000000002</v>
      </c>
      <c r="F445" s="9">
        <f>STATS1003B!F466/1000</f>
        <v>3578.5410000000002</v>
      </c>
      <c r="G445" s="9">
        <f>STATS1003B!G466/1000</f>
        <v>0</v>
      </c>
      <c r="H445" s="9">
        <f>STATS1003B!H466/1000</f>
        <v>3578.5410000000002</v>
      </c>
      <c r="I445" s="9">
        <f>STATS1003B!I466/1000</f>
        <v>0</v>
      </c>
      <c r="J445" s="9">
        <f>STATS1003B!J466/1000</f>
        <v>0</v>
      </c>
      <c r="K445" s="9">
        <f>STATS1003B!K466/1000</f>
        <v>0</v>
      </c>
      <c r="L445" s="9">
        <f>STATS1003B!L466/1000</f>
        <v>0</v>
      </c>
      <c r="M445" s="9">
        <f>STATS1003B!M466/1000</f>
        <v>3578.5410000000002</v>
      </c>
      <c r="N445" s="9">
        <f>STATS1003B!N466/1000</f>
        <v>0</v>
      </c>
      <c r="O445" s="9">
        <f>STATS1003B!O466/1000</f>
        <v>0</v>
      </c>
      <c r="P445" s="9">
        <f>STATS1003B!P466/1000</f>
        <v>0</v>
      </c>
      <c r="Q445" s="9">
        <f>STATS1003B!Q466/1000</f>
        <v>0</v>
      </c>
      <c r="R445" s="9">
        <f>STATS1003B!R466/1000</f>
        <v>0</v>
      </c>
      <c r="S445" s="9">
        <f>STATS1003B!S466/1000</f>
        <v>0</v>
      </c>
      <c r="T445" s="9">
        <f>STATS1003B!T466/1000</f>
        <v>0</v>
      </c>
      <c r="U445" s="9">
        <f>STATS1003B!U466/1000</f>
        <v>0</v>
      </c>
      <c r="V445" s="9">
        <f>STATS1003B!V466/1000</f>
        <v>3578.5410000000002</v>
      </c>
      <c r="W445" s="9">
        <f>STATS1003B!W466/1000</f>
        <v>0</v>
      </c>
      <c r="X445" s="9">
        <f>STATS1003B!X466/1000</f>
        <v>3578.5410000000002</v>
      </c>
      <c r="Y445" s="9">
        <f>STATS1003B!Y466/1000</f>
        <v>0</v>
      </c>
      <c r="Z445" s="9">
        <f>STATS1003B!Z466/1000</f>
        <v>0</v>
      </c>
      <c r="AA445" s="9">
        <f>STATS1003B!AA466/1000</f>
        <v>3578.5410000000002</v>
      </c>
      <c r="AB445" s="9">
        <f>STATS1003B!AB466/1000</f>
        <v>0</v>
      </c>
    </row>
    <row r="446" spans="1:28" x14ac:dyDescent="0.35">
      <c r="A446" s="36"/>
      <c r="B446" s="8"/>
      <c r="C446" s="7" t="s">
        <v>87</v>
      </c>
      <c r="D446" s="15" t="s">
        <v>88</v>
      </c>
      <c r="E446" s="9">
        <f>STATS1003B!E467/1000</f>
        <v>10900</v>
      </c>
      <c r="F446" s="9">
        <f>STATS1003B!F467/1000</f>
        <v>10900</v>
      </c>
      <c r="G446" s="9">
        <f>STATS1003B!G467/1000</f>
        <v>0</v>
      </c>
      <c r="H446" s="9">
        <f>STATS1003B!H467/1000</f>
        <v>10900</v>
      </c>
      <c r="I446" s="9">
        <f>STATS1003B!I467/1000</f>
        <v>0</v>
      </c>
      <c r="J446" s="9">
        <f>STATS1003B!J467/1000</f>
        <v>0</v>
      </c>
      <c r="K446" s="9">
        <f>STATS1003B!K467/1000</f>
        <v>0</v>
      </c>
      <c r="L446" s="9">
        <f>STATS1003B!L467/1000</f>
        <v>0</v>
      </c>
      <c r="M446" s="9">
        <f>STATS1003B!M467/1000</f>
        <v>10900</v>
      </c>
      <c r="N446" s="9">
        <f>STATS1003B!N467/1000</f>
        <v>0</v>
      </c>
      <c r="O446" s="9">
        <f>STATS1003B!O467/1000</f>
        <v>0</v>
      </c>
      <c r="P446" s="9">
        <f>STATS1003B!P467/1000</f>
        <v>0</v>
      </c>
      <c r="Q446" s="9">
        <f>STATS1003B!Q467/1000</f>
        <v>0</v>
      </c>
      <c r="R446" s="9">
        <f>STATS1003B!R467/1000</f>
        <v>0</v>
      </c>
      <c r="S446" s="9">
        <f>STATS1003B!S467/1000</f>
        <v>0</v>
      </c>
      <c r="T446" s="9">
        <f>STATS1003B!T467/1000</f>
        <v>0</v>
      </c>
      <c r="U446" s="9">
        <f>STATS1003B!U467/1000</f>
        <v>0</v>
      </c>
      <c r="V446" s="9">
        <f>STATS1003B!V467/1000</f>
        <v>10900</v>
      </c>
      <c r="W446" s="9">
        <f>STATS1003B!W467/1000</f>
        <v>0</v>
      </c>
      <c r="X446" s="9">
        <f>STATS1003B!X467/1000</f>
        <v>10900</v>
      </c>
      <c r="Y446" s="9">
        <f>STATS1003B!Y467/1000</f>
        <v>0</v>
      </c>
      <c r="Z446" s="9">
        <f>STATS1003B!Z467/1000</f>
        <v>0</v>
      </c>
      <c r="AA446" s="9">
        <f>STATS1003B!AA467/1000</f>
        <v>10900</v>
      </c>
      <c r="AB446" s="9">
        <f>STATS1003B!AB467/1000</f>
        <v>0</v>
      </c>
    </row>
    <row r="447" spans="1:28" x14ac:dyDescent="0.35">
      <c r="A447" s="36"/>
      <c r="B447" s="8"/>
      <c r="C447" s="7" t="s">
        <v>57</v>
      </c>
      <c r="D447" s="15" t="s">
        <v>58</v>
      </c>
      <c r="E447" s="9">
        <f>STATS1003B!E468/1000</f>
        <v>2426.4</v>
      </c>
      <c r="F447" s="9">
        <f>STATS1003B!F468/1000</f>
        <v>2426.4</v>
      </c>
      <c r="G447" s="9">
        <f>STATS1003B!G468/1000</f>
        <v>0</v>
      </c>
      <c r="H447" s="9">
        <f>STATS1003B!H468/1000</f>
        <v>2426.4</v>
      </c>
      <c r="I447" s="9">
        <f>STATS1003B!I468/1000</f>
        <v>0</v>
      </c>
      <c r="J447" s="9">
        <f>STATS1003B!J468/1000</f>
        <v>0</v>
      </c>
      <c r="K447" s="9">
        <f>STATS1003B!K468/1000</f>
        <v>0</v>
      </c>
      <c r="L447" s="9">
        <f>STATS1003B!L468/1000</f>
        <v>0</v>
      </c>
      <c r="M447" s="9">
        <f>STATS1003B!M468/1000</f>
        <v>2426.4</v>
      </c>
      <c r="N447" s="9">
        <f>STATS1003B!N468/1000</f>
        <v>0</v>
      </c>
      <c r="O447" s="9">
        <f>STATS1003B!O468/1000</f>
        <v>0</v>
      </c>
      <c r="P447" s="9">
        <f>STATS1003B!P468/1000</f>
        <v>0</v>
      </c>
      <c r="Q447" s="9">
        <f>STATS1003B!Q468/1000</f>
        <v>0</v>
      </c>
      <c r="R447" s="9">
        <f>STATS1003B!R468/1000</f>
        <v>0</v>
      </c>
      <c r="S447" s="9">
        <f>STATS1003B!S468/1000</f>
        <v>0</v>
      </c>
      <c r="T447" s="9">
        <f>STATS1003B!T468/1000</f>
        <v>0</v>
      </c>
      <c r="U447" s="9">
        <f>STATS1003B!U468/1000</f>
        <v>0</v>
      </c>
      <c r="V447" s="9">
        <f>STATS1003B!V468/1000</f>
        <v>2426.4</v>
      </c>
      <c r="W447" s="9">
        <f>STATS1003B!W468/1000</f>
        <v>0</v>
      </c>
      <c r="X447" s="9">
        <f>STATS1003B!X468/1000</f>
        <v>2426.4</v>
      </c>
      <c r="Y447" s="9">
        <f>STATS1003B!Y468/1000</f>
        <v>0</v>
      </c>
      <c r="Z447" s="9">
        <f>STATS1003B!Z468/1000</f>
        <v>0</v>
      </c>
      <c r="AA447" s="9">
        <f>STATS1003B!AA468/1000</f>
        <v>2426.4</v>
      </c>
      <c r="AB447" s="9">
        <f>STATS1003B!AB468/1000</f>
        <v>0</v>
      </c>
    </row>
    <row r="448" spans="1:28" x14ac:dyDescent="0.35">
      <c r="A448" s="36"/>
      <c r="B448" s="8"/>
      <c r="C448" s="7" t="s">
        <v>57</v>
      </c>
      <c r="D448" s="15" t="s">
        <v>60</v>
      </c>
      <c r="E448" s="9">
        <f>STATS1003B!E469/1000</f>
        <v>2239.65</v>
      </c>
      <c r="F448" s="9">
        <f>STATS1003B!F469/1000</f>
        <v>2239.65</v>
      </c>
      <c r="G448" s="9">
        <f>STATS1003B!G469/1000</f>
        <v>0</v>
      </c>
      <c r="H448" s="9">
        <f>STATS1003B!H469/1000</f>
        <v>2239.65</v>
      </c>
      <c r="I448" s="9">
        <f>STATS1003B!I469/1000</f>
        <v>0</v>
      </c>
      <c r="J448" s="9">
        <f>STATS1003B!J469/1000</f>
        <v>0</v>
      </c>
      <c r="K448" s="9">
        <f>STATS1003B!K469/1000</f>
        <v>0</v>
      </c>
      <c r="L448" s="9">
        <f>STATS1003B!L469/1000</f>
        <v>0</v>
      </c>
      <c r="M448" s="9">
        <f>STATS1003B!M469/1000</f>
        <v>2239.65</v>
      </c>
      <c r="N448" s="9">
        <f>STATS1003B!N469/1000</f>
        <v>0</v>
      </c>
      <c r="O448" s="9">
        <f>STATS1003B!O469/1000</f>
        <v>0</v>
      </c>
      <c r="P448" s="9">
        <f>STATS1003B!P469/1000</f>
        <v>0</v>
      </c>
      <c r="Q448" s="9">
        <f>STATS1003B!Q469/1000</f>
        <v>0</v>
      </c>
      <c r="R448" s="9">
        <f>STATS1003B!R469/1000</f>
        <v>0</v>
      </c>
      <c r="S448" s="9">
        <f>STATS1003B!S469/1000</f>
        <v>0</v>
      </c>
      <c r="T448" s="9">
        <f>STATS1003B!T469/1000</f>
        <v>0</v>
      </c>
      <c r="U448" s="9">
        <f>STATS1003B!U469/1000</f>
        <v>0</v>
      </c>
      <c r="V448" s="9">
        <f>STATS1003B!V469/1000</f>
        <v>2239.65</v>
      </c>
      <c r="W448" s="9">
        <f>STATS1003B!W469/1000</f>
        <v>0</v>
      </c>
      <c r="X448" s="9">
        <f>STATS1003B!X469/1000</f>
        <v>2239.65</v>
      </c>
      <c r="Y448" s="9">
        <f>STATS1003B!Y469/1000</f>
        <v>0</v>
      </c>
      <c r="Z448" s="9">
        <f>STATS1003B!Z469/1000</f>
        <v>0</v>
      </c>
      <c r="AA448" s="9">
        <f>STATS1003B!AA469/1000</f>
        <v>2239.65</v>
      </c>
      <c r="AB448" s="9">
        <f>STATS1003B!AB469/1000</f>
        <v>0</v>
      </c>
    </row>
    <row r="449" spans="1:28" x14ac:dyDescent="0.35">
      <c r="A449" s="36"/>
      <c r="B449" s="8"/>
      <c r="C449" s="7" t="s">
        <v>924</v>
      </c>
      <c r="D449" s="16" t="s">
        <v>1072</v>
      </c>
      <c r="E449" s="9">
        <f>STATS1003B!E470/1000</f>
        <v>419</v>
      </c>
      <c r="F449" s="9">
        <f>STATS1003B!F470/1000</f>
        <v>419</v>
      </c>
      <c r="G449" s="9">
        <f>STATS1003B!G470/1000</f>
        <v>0</v>
      </c>
      <c r="H449" s="9">
        <f>STATS1003B!H470/1000</f>
        <v>419</v>
      </c>
      <c r="I449" s="9">
        <f>STATS1003B!I470/1000</f>
        <v>0</v>
      </c>
      <c r="J449" s="9">
        <f>STATS1003B!J470/1000</f>
        <v>0</v>
      </c>
      <c r="K449" s="9">
        <f>STATS1003B!K470/1000</f>
        <v>0</v>
      </c>
      <c r="L449" s="9">
        <f>STATS1003B!L470/1000</f>
        <v>0</v>
      </c>
      <c r="M449" s="9">
        <f>STATS1003B!M470/1000</f>
        <v>419</v>
      </c>
      <c r="N449" s="9">
        <f>STATS1003B!N470/1000</f>
        <v>0</v>
      </c>
      <c r="O449" s="9">
        <f>STATS1003B!O470/1000</f>
        <v>0</v>
      </c>
      <c r="P449" s="9">
        <f>STATS1003B!P470/1000</f>
        <v>0</v>
      </c>
      <c r="Q449" s="9">
        <f>STATS1003B!Q470/1000</f>
        <v>0</v>
      </c>
      <c r="R449" s="9">
        <f>STATS1003B!R470/1000</f>
        <v>0</v>
      </c>
      <c r="S449" s="9">
        <f>STATS1003B!S470/1000</f>
        <v>0</v>
      </c>
      <c r="T449" s="9">
        <f>STATS1003B!T470/1000</f>
        <v>0</v>
      </c>
      <c r="U449" s="9">
        <f>STATS1003B!U470/1000</f>
        <v>0</v>
      </c>
      <c r="V449" s="9">
        <f>STATS1003B!V470/1000</f>
        <v>419</v>
      </c>
      <c r="W449" s="9">
        <f>STATS1003B!W470/1000</f>
        <v>0</v>
      </c>
      <c r="X449" s="9">
        <f>STATS1003B!X470/1000</f>
        <v>419</v>
      </c>
      <c r="Y449" s="9">
        <f>STATS1003B!Y470/1000</f>
        <v>0</v>
      </c>
      <c r="Z449" s="9">
        <f>STATS1003B!Z470/1000</f>
        <v>0</v>
      </c>
      <c r="AA449" s="9">
        <f>STATS1003B!AA470/1000</f>
        <v>419</v>
      </c>
      <c r="AB449" s="9">
        <f>STATS1003B!AB470/1000</f>
        <v>0</v>
      </c>
    </row>
    <row r="450" spans="1:28" x14ac:dyDescent="0.35">
      <c r="A450" s="36"/>
      <c r="B450" s="8"/>
      <c r="C450" s="7" t="s">
        <v>930</v>
      </c>
      <c r="D450" s="16" t="s">
        <v>1072</v>
      </c>
      <c r="E450" s="9">
        <f>STATS1003B!E471/1000</f>
        <v>369</v>
      </c>
      <c r="F450" s="9">
        <f>STATS1003B!F471/1000</f>
        <v>369</v>
      </c>
      <c r="G450" s="9">
        <f>STATS1003B!G471/1000</f>
        <v>0</v>
      </c>
      <c r="H450" s="9">
        <f>STATS1003B!H471/1000</f>
        <v>369</v>
      </c>
      <c r="I450" s="9">
        <f>STATS1003B!I471/1000</f>
        <v>0</v>
      </c>
      <c r="J450" s="9">
        <f>STATS1003B!J471/1000</f>
        <v>0</v>
      </c>
      <c r="K450" s="9">
        <f>STATS1003B!K471/1000</f>
        <v>0</v>
      </c>
      <c r="L450" s="9">
        <f>STATS1003B!L471/1000</f>
        <v>0</v>
      </c>
      <c r="M450" s="9">
        <f>STATS1003B!M471/1000</f>
        <v>369</v>
      </c>
      <c r="N450" s="9">
        <f>STATS1003B!N471/1000</f>
        <v>0</v>
      </c>
      <c r="O450" s="9">
        <f>STATS1003B!O471/1000</f>
        <v>0</v>
      </c>
      <c r="P450" s="9">
        <f>STATS1003B!P471/1000</f>
        <v>0</v>
      </c>
      <c r="Q450" s="9">
        <f>STATS1003B!Q471/1000</f>
        <v>0</v>
      </c>
      <c r="R450" s="9">
        <f>STATS1003B!R471/1000</f>
        <v>0</v>
      </c>
      <c r="S450" s="9">
        <f>STATS1003B!S471/1000</f>
        <v>0</v>
      </c>
      <c r="T450" s="9">
        <f>STATS1003B!T471/1000</f>
        <v>0</v>
      </c>
      <c r="U450" s="9">
        <f>STATS1003B!U471/1000</f>
        <v>0</v>
      </c>
      <c r="V450" s="9">
        <f>STATS1003B!V471/1000</f>
        <v>369</v>
      </c>
      <c r="W450" s="9">
        <f>STATS1003B!W471/1000</f>
        <v>0</v>
      </c>
      <c r="X450" s="9">
        <f>STATS1003B!X471/1000</f>
        <v>369</v>
      </c>
      <c r="Y450" s="9">
        <f>STATS1003B!Y471/1000</f>
        <v>0</v>
      </c>
      <c r="Z450" s="9">
        <f>STATS1003B!Z471/1000</f>
        <v>0</v>
      </c>
      <c r="AA450" s="9">
        <f>STATS1003B!AA471/1000</f>
        <v>369</v>
      </c>
      <c r="AB450" s="9">
        <f>STATS1003B!AB471/1000</f>
        <v>0</v>
      </c>
    </row>
    <row r="451" spans="1:28" x14ac:dyDescent="0.35">
      <c r="A451" s="36"/>
      <c r="B451" s="8"/>
      <c r="C451" s="14" t="s">
        <v>109</v>
      </c>
      <c r="D451" s="21" t="s">
        <v>60</v>
      </c>
      <c r="E451" s="9">
        <f>STATS1003B!E472/1000</f>
        <v>7500</v>
      </c>
      <c r="F451" s="9">
        <f>STATS1003B!F472/1000</f>
        <v>7500</v>
      </c>
      <c r="G451" s="9">
        <f>STATS1003B!G472/1000</f>
        <v>0</v>
      </c>
      <c r="H451" s="9">
        <f>STATS1003B!H472/1000</f>
        <v>7500</v>
      </c>
      <c r="I451" s="9">
        <f>STATS1003B!I472/1000</f>
        <v>0</v>
      </c>
      <c r="J451" s="9">
        <f>STATS1003B!J472/1000</f>
        <v>0</v>
      </c>
      <c r="K451" s="9">
        <f>STATS1003B!K472/1000</f>
        <v>0</v>
      </c>
      <c r="L451" s="9">
        <f>STATS1003B!L472/1000</f>
        <v>0</v>
      </c>
      <c r="M451" s="9">
        <f>STATS1003B!M472/1000</f>
        <v>7500</v>
      </c>
      <c r="N451" s="9">
        <f>STATS1003B!N472/1000</f>
        <v>0</v>
      </c>
      <c r="O451" s="9">
        <f>STATS1003B!O472/1000</f>
        <v>0</v>
      </c>
      <c r="P451" s="9">
        <f>STATS1003B!P472/1000</f>
        <v>0</v>
      </c>
      <c r="Q451" s="9">
        <f>STATS1003B!Q472/1000</f>
        <v>0</v>
      </c>
      <c r="R451" s="9">
        <f>STATS1003B!R472/1000</f>
        <v>0</v>
      </c>
      <c r="S451" s="9">
        <f>STATS1003B!S472/1000</f>
        <v>0</v>
      </c>
      <c r="T451" s="9">
        <f>STATS1003B!T472/1000</f>
        <v>0</v>
      </c>
      <c r="U451" s="9">
        <f>STATS1003B!U472/1000</f>
        <v>0</v>
      </c>
      <c r="V451" s="9">
        <f>STATS1003B!V472/1000</f>
        <v>7500</v>
      </c>
      <c r="W451" s="9">
        <f>STATS1003B!W472/1000</f>
        <v>0</v>
      </c>
      <c r="X451" s="9">
        <f>STATS1003B!X472/1000</f>
        <v>7500</v>
      </c>
      <c r="Y451" s="9">
        <f>STATS1003B!Y472/1000</f>
        <v>0</v>
      </c>
      <c r="Z451" s="9">
        <f>STATS1003B!Z472/1000</f>
        <v>0</v>
      </c>
      <c r="AA451" s="9">
        <f>STATS1003B!AA472/1000</f>
        <v>7500</v>
      </c>
      <c r="AB451" s="9">
        <f>STATS1003B!AB472/1000</f>
        <v>0</v>
      </c>
    </row>
    <row r="452" spans="1:28" x14ac:dyDescent="0.35">
      <c r="A452" s="36"/>
      <c r="B452" s="8"/>
      <c r="C452" s="8"/>
      <c r="D452" s="8"/>
      <c r="E452" s="17" t="s">
        <v>29</v>
      </c>
      <c r="F452" s="17" t="s">
        <v>29</v>
      </c>
      <c r="G452" s="17" t="s">
        <v>29</v>
      </c>
      <c r="H452" s="17" t="s">
        <v>29</v>
      </c>
      <c r="I452" s="17" t="s">
        <v>29</v>
      </c>
      <c r="J452" s="17" t="s">
        <v>29</v>
      </c>
      <c r="K452" s="17" t="s">
        <v>29</v>
      </c>
      <c r="L452" s="17" t="s">
        <v>29</v>
      </c>
      <c r="M452" s="17" t="s">
        <v>29</v>
      </c>
      <c r="N452" s="17" t="s">
        <v>29</v>
      </c>
      <c r="O452" s="17" t="s">
        <v>29</v>
      </c>
      <c r="P452" s="17" t="s">
        <v>29</v>
      </c>
      <c r="Q452" s="17" t="s">
        <v>29</v>
      </c>
      <c r="R452" s="17" t="s">
        <v>29</v>
      </c>
      <c r="S452" s="17" t="s">
        <v>29</v>
      </c>
      <c r="T452" s="17" t="s">
        <v>29</v>
      </c>
      <c r="U452" s="17" t="s">
        <v>29</v>
      </c>
      <c r="V452" s="17" t="s">
        <v>29</v>
      </c>
      <c r="W452" s="17" t="s">
        <v>29</v>
      </c>
      <c r="X452" s="17" t="s">
        <v>29</v>
      </c>
      <c r="Y452" s="17" t="s">
        <v>29</v>
      </c>
      <c r="Z452" s="17" t="s">
        <v>29</v>
      </c>
      <c r="AA452" s="17" t="s">
        <v>29</v>
      </c>
      <c r="AB452" s="17" t="s">
        <v>29</v>
      </c>
    </row>
    <row r="453" spans="1:28" x14ac:dyDescent="0.35">
      <c r="A453" s="36"/>
      <c r="B453" s="8"/>
      <c r="C453" s="8"/>
      <c r="D453" s="8"/>
      <c r="E453" s="9">
        <f t="shared" ref="E453:AB453" si="27">SUM(E440:E451)</f>
        <v>67062.660940000002</v>
      </c>
      <c r="F453" s="9">
        <f t="shared" si="27"/>
        <v>62347.133090000003</v>
      </c>
      <c r="G453" s="9">
        <f t="shared" si="27"/>
        <v>0</v>
      </c>
      <c r="H453" s="9">
        <f t="shared" si="27"/>
        <v>62347.133090000003</v>
      </c>
      <c r="I453" s="9">
        <f t="shared" si="27"/>
        <v>0</v>
      </c>
      <c r="J453" s="9">
        <f t="shared" si="27"/>
        <v>0</v>
      </c>
      <c r="K453" s="9">
        <f t="shared" si="27"/>
        <v>0</v>
      </c>
      <c r="L453" s="9">
        <f t="shared" si="27"/>
        <v>0</v>
      </c>
      <c r="M453" s="9">
        <f t="shared" si="27"/>
        <v>62347.133090000003</v>
      </c>
      <c r="N453" s="9">
        <f t="shared" si="27"/>
        <v>3363.8942999999999</v>
      </c>
      <c r="O453" s="9">
        <f t="shared" si="27"/>
        <v>0</v>
      </c>
      <c r="P453" s="9">
        <f t="shared" si="27"/>
        <v>3363.8942999999999</v>
      </c>
      <c r="Q453" s="9">
        <f t="shared" si="27"/>
        <v>0</v>
      </c>
      <c r="R453" s="9">
        <f t="shared" si="27"/>
        <v>0</v>
      </c>
      <c r="S453" s="9">
        <f t="shared" si="27"/>
        <v>0</v>
      </c>
      <c r="T453" s="9">
        <f t="shared" si="27"/>
        <v>0</v>
      </c>
      <c r="U453" s="9">
        <f t="shared" si="27"/>
        <v>3363.8942999999999</v>
      </c>
      <c r="V453" s="9">
        <f t="shared" si="27"/>
        <v>65711.027390000003</v>
      </c>
      <c r="W453" s="9">
        <f t="shared" si="27"/>
        <v>1351.6335500000014</v>
      </c>
      <c r="X453" s="9">
        <f t="shared" si="27"/>
        <v>65711.027390000003</v>
      </c>
      <c r="Y453" s="9">
        <f t="shared" si="27"/>
        <v>0</v>
      </c>
      <c r="Z453" s="9">
        <f t="shared" si="27"/>
        <v>1351.6335500000014</v>
      </c>
      <c r="AA453" s="9">
        <f t="shared" si="27"/>
        <v>65711.027390000003</v>
      </c>
      <c r="AB453" s="9">
        <f t="shared" si="27"/>
        <v>1351.6335500000014</v>
      </c>
    </row>
    <row r="454" spans="1:28" x14ac:dyDescent="0.35">
      <c r="A454" s="36"/>
      <c r="B454" s="8"/>
      <c r="C454" s="8"/>
      <c r="D454" s="8"/>
      <c r="E454" s="17" t="s">
        <v>29</v>
      </c>
      <c r="F454" s="17" t="s">
        <v>29</v>
      </c>
      <c r="G454" s="17" t="s">
        <v>29</v>
      </c>
      <c r="H454" s="17" t="s">
        <v>29</v>
      </c>
      <c r="I454" s="17" t="s">
        <v>29</v>
      </c>
      <c r="J454" s="17" t="s">
        <v>29</v>
      </c>
      <c r="K454" s="17" t="s">
        <v>29</v>
      </c>
      <c r="L454" s="17" t="s">
        <v>29</v>
      </c>
      <c r="M454" s="17" t="s">
        <v>29</v>
      </c>
      <c r="N454" s="17" t="s">
        <v>29</v>
      </c>
      <c r="O454" s="17" t="s">
        <v>29</v>
      </c>
      <c r="P454" s="17" t="s">
        <v>29</v>
      </c>
      <c r="Q454" s="17" t="s">
        <v>29</v>
      </c>
      <c r="R454" s="17" t="s">
        <v>29</v>
      </c>
      <c r="S454" s="17" t="s">
        <v>29</v>
      </c>
      <c r="T454" s="17" t="s">
        <v>29</v>
      </c>
      <c r="U454" s="17" t="s">
        <v>29</v>
      </c>
      <c r="V454" s="17" t="s">
        <v>29</v>
      </c>
      <c r="W454" s="17" t="s">
        <v>29</v>
      </c>
      <c r="X454" s="17" t="s">
        <v>29</v>
      </c>
      <c r="Y454" s="17" t="s">
        <v>29</v>
      </c>
      <c r="Z454" s="17" t="s">
        <v>29</v>
      </c>
      <c r="AA454" s="17" t="s">
        <v>29</v>
      </c>
      <c r="AB454" s="17" t="s">
        <v>29</v>
      </c>
    </row>
    <row r="455" spans="1:28" x14ac:dyDescent="0.35">
      <c r="A455" s="38" t="s">
        <v>955</v>
      </c>
      <c r="B455" s="7" t="s">
        <v>156</v>
      </c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8" x14ac:dyDescent="0.35">
      <c r="A456" s="36"/>
      <c r="B456" s="8"/>
      <c r="C456" s="7" t="s">
        <v>149</v>
      </c>
      <c r="D456" s="21" t="s">
        <v>150</v>
      </c>
      <c r="E456" s="9">
        <f>STATS1003B!E477/1000</f>
        <v>5641.5137300000006</v>
      </c>
      <c r="F456" s="9">
        <f>STATS1003B!F477/1000</f>
        <v>4170.0682500000003</v>
      </c>
      <c r="G456" s="9">
        <f>STATS1003B!G477/1000</f>
        <v>0</v>
      </c>
      <c r="H456" s="9">
        <f>STATS1003B!H477/1000</f>
        <v>4170.0682500000003</v>
      </c>
      <c r="I456" s="9">
        <f>STATS1003B!I477/1000</f>
        <v>0</v>
      </c>
      <c r="J456" s="9">
        <f>STATS1003B!J477/1000</f>
        <v>0</v>
      </c>
      <c r="K456" s="9">
        <f>STATS1003B!K477/1000</f>
        <v>0</v>
      </c>
      <c r="L456" s="9">
        <f>STATS1003B!L477/1000</f>
        <v>0</v>
      </c>
      <c r="M456" s="9">
        <f>STATS1003B!M477/1000</f>
        <v>4170.0682500000003</v>
      </c>
      <c r="N456" s="9">
        <f>STATS1003B!N477/1000</f>
        <v>635.13</v>
      </c>
      <c r="O456" s="9">
        <f>STATS1003B!O477/1000</f>
        <v>0</v>
      </c>
      <c r="P456" s="9">
        <f>STATS1003B!P477/1000</f>
        <v>635.13</v>
      </c>
      <c r="Q456" s="9">
        <f>STATS1003B!Q477/1000</f>
        <v>0</v>
      </c>
      <c r="R456" s="9">
        <f>STATS1003B!R477/1000</f>
        <v>0</v>
      </c>
      <c r="S456" s="9">
        <f>STATS1003B!S477/1000</f>
        <v>0</v>
      </c>
      <c r="T456" s="9">
        <f>STATS1003B!T477/1000</f>
        <v>0</v>
      </c>
      <c r="U456" s="9">
        <f>STATS1003B!U477/1000</f>
        <v>635.13</v>
      </c>
      <c r="V456" s="9">
        <f>STATS1003B!V477/1000</f>
        <v>4805.1982500000004</v>
      </c>
      <c r="W456" s="9">
        <f>STATS1003B!W477/1000</f>
        <v>0</v>
      </c>
      <c r="X456" s="9">
        <f>STATS1003B!X477/1000</f>
        <v>4805.1982500000004</v>
      </c>
      <c r="Y456" s="9">
        <f>STATS1003B!Y477/1000</f>
        <v>0</v>
      </c>
      <c r="Z456" s="9">
        <f>STATS1003B!Z477/1000</f>
        <v>836.31548000000043</v>
      </c>
      <c r="AA456" s="9">
        <f>STATS1003B!AA477/1000</f>
        <v>4805.1982500000004</v>
      </c>
      <c r="AB456" s="9">
        <f>STATS1003B!AB477/1000</f>
        <v>836.31548000000043</v>
      </c>
    </row>
    <row r="457" spans="1:28" x14ac:dyDescent="0.35">
      <c r="A457" s="36"/>
      <c r="B457" s="8"/>
      <c r="C457" s="7" t="s">
        <v>151</v>
      </c>
      <c r="D457" s="21" t="s">
        <v>150</v>
      </c>
      <c r="E457" s="9">
        <f>STATS1003B!E478/1000</f>
        <v>117392.29078</v>
      </c>
      <c r="F457" s="9">
        <f>STATS1003B!F478/1000</f>
        <v>97761.691630000001</v>
      </c>
      <c r="G457" s="9">
        <f>STATS1003B!G478/1000</f>
        <v>0</v>
      </c>
      <c r="H457" s="9">
        <f>STATS1003B!H478/1000</f>
        <v>97761.691630000001</v>
      </c>
      <c r="I457" s="9">
        <f>STATS1003B!I478/1000</f>
        <v>0</v>
      </c>
      <c r="J457" s="9">
        <f>STATS1003B!J478/1000</f>
        <v>0</v>
      </c>
      <c r="K457" s="9">
        <f>STATS1003B!K478/1000</f>
        <v>0</v>
      </c>
      <c r="L457" s="9">
        <f>STATS1003B!L478/1000</f>
        <v>0</v>
      </c>
      <c r="M457" s="9">
        <f>STATS1003B!M478/1000</f>
        <v>97761.691630000001</v>
      </c>
      <c r="N457" s="9">
        <f>STATS1003B!N478/1000</f>
        <v>0</v>
      </c>
      <c r="O457" s="9">
        <f>STATS1003B!O478/1000</f>
        <v>0</v>
      </c>
      <c r="P457" s="9">
        <f>STATS1003B!P478/1000</f>
        <v>0</v>
      </c>
      <c r="Q457" s="9">
        <f>STATS1003B!Q478/1000</f>
        <v>0</v>
      </c>
      <c r="R457" s="9">
        <f>STATS1003B!R478/1000</f>
        <v>0</v>
      </c>
      <c r="S457" s="9">
        <f>STATS1003B!S478/1000</f>
        <v>0</v>
      </c>
      <c r="T457" s="9">
        <f>STATS1003B!T478/1000</f>
        <v>0</v>
      </c>
      <c r="U457" s="9">
        <f>STATS1003B!U478/1000</f>
        <v>0</v>
      </c>
      <c r="V457" s="9">
        <f>STATS1003B!V478/1000</f>
        <v>97761.691630000001</v>
      </c>
      <c r="W457" s="9">
        <f>STATS1003B!W478/1000</f>
        <v>0</v>
      </c>
      <c r="X457" s="9">
        <f>STATS1003B!X478/1000</f>
        <v>97761.691630000001</v>
      </c>
      <c r="Y457" s="9">
        <f>STATS1003B!Y478/1000</f>
        <v>0</v>
      </c>
      <c r="Z457" s="9">
        <f>STATS1003B!Z478/1000</f>
        <v>19630.599150000005</v>
      </c>
      <c r="AA457" s="9">
        <f>STATS1003B!AA478/1000</f>
        <v>97761.691630000001</v>
      </c>
      <c r="AB457" s="9">
        <f>STATS1003B!AB478/1000</f>
        <v>19630.599150000005</v>
      </c>
    </row>
    <row r="458" spans="1:28" x14ac:dyDescent="0.35">
      <c r="A458" s="36"/>
      <c r="B458" s="8"/>
      <c r="C458" s="7" t="s">
        <v>157</v>
      </c>
      <c r="D458" s="21" t="s">
        <v>150</v>
      </c>
      <c r="E458" s="9">
        <f>STATS1003B!E479/1000</f>
        <v>1486.867</v>
      </c>
      <c r="F458" s="9">
        <f>STATS1003B!F479/1000</f>
        <v>1486.867</v>
      </c>
      <c r="G458" s="9">
        <f>STATS1003B!G479/1000</f>
        <v>0</v>
      </c>
      <c r="H458" s="9">
        <f>STATS1003B!H479/1000</f>
        <v>1486.867</v>
      </c>
      <c r="I458" s="9">
        <f>STATS1003B!I479/1000</f>
        <v>0</v>
      </c>
      <c r="J458" s="9">
        <f>STATS1003B!J479/1000</f>
        <v>0</v>
      </c>
      <c r="K458" s="9">
        <f>STATS1003B!K479/1000</f>
        <v>0</v>
      </c>
      <c r="L458" s="9">
        <f>STATS1003B!L479/1000</f>
        <v>0</v>
      </c>
      <c r="M458" s="9">
        <f>STATS1003B!M479/1000</f>
        <v>1486.867</v>
      </c>
      <c r="N458" s="9">
        <f>STATS1003B!N479/1000</f>
        <v>0</v>
      </c>
      <c r="O458" s="9">
        <f>STATS1003B!O479/1000</f>
        <v>0</v>
      </c>
      <c r="P458" s="9">
        <f>STATS1003B!P479/1000</f>
        <v>0</v>
      </c>
      <c r="Q458" s="9">
        <f>STATS1003B!Q479/1000</f>
        <v>0</v>
      </c>
      <c r="R458" s="9">
        <f>STATS1003B!R479/1000</f>
        <v>0</v>
      </c>
      <c r="S458" s="9">
        <f>STATS1003B!S479/1000</f>
        <v>0</v>
      </c>
      <c r="T458" s="9">
        <f>STATS1003B!T479/1000</f>
        <v>0</v>
      </c>
      <c r="U458" s="9">
        <f>STATS1003B!U479/1000</f>
        <v>0</v>
      </c>
      <c r="V458" s="9">
        <f>STATS1003B!V479/1000</f>
        <v>1486.867</v>
      </c>
      <c r="W458" s="9">
        <f>STATS1003B!W479/1000</f>
        <v>0</v>
      </c>
      <c r="X458" s="9">
        <f>STATS1003B!X479/1000</f>
        <v>1486.867</v>
      </c>
      <c r="Y458" s="9">
        <f>STATS1003B!Y479/1000</f>
        <v>0</v>
      </c>
      <c r="Z458" s="9">
        <f>STATS1003B!Z479/1000</f>
        <v>0</v>
      </c>
      <c r="AA458" s="9">
        <f>STATS1003B!AA479/1000</f>
        <v>1486.867</v>
      </c>
      <c r="AB458" s="9">
        <f>STATS1003B!AB479/1000</f>
        <v>0</v>
      </c>
    </row>
    <row r="459" spans="1:28" x14ac:dyDescent="0.35">
      <c r="A459" s="36"/>
      <c r="B459" s="8"/>
      <c r="C459" s="7" t="s">
        <v>57</v>
      </c>
      <c r="D459" s="15" t="s">
        <v>158</v>
      </c>
      <c r="E459" s="9">
        <f>STATS1003B!E480/1000</f>
        <v>3144.6558100000002</v>
      </c>
      <c r="F459" s="9">
        <f>STATS1003B!F480/1000</f>
        <v>3144.6558100000002</v>
      </c>
      <c r="G459" s="9">
        <f>STATS1003B!G480/1000</f>
        <v>0</v>
      </c>
      <c r="H459" s="9">
        <f>STATS1003B!H480/1000</f>
        <v>3144.6558100000002</v>
      </c>
      <c r="I459" s="9">
        <f>STATS1003B!I480/1000</f>
        <v>0</v>
      </c>
      <c r="J459" s="9">
        <f>STATS1003B!J480/1000</f>
        <v>0</v>
      </c>
      <c r="K459" s="9">
        <f>STATS1003B!K480/1000</f>
        <v>0</v>
      </c>
      <c r="L459" s="9">
        <f>STATS1003B!L480/1000</f>
        <v>0</v>
      </c>
      <c r="M459" s="9">
        <f>STATS1003B!M480/1000</f>
        <v>3144.6558100000002</v>
      </c>
      <c r="N459" s="9">
        <f>STATS1003B!N480/1000</f>
        <v>0</v>
      </c>
      <c r="O459" s="9">
        <f>STATS1003B!O480/1000</f>
        <v>0</v>
      </c>
      <c r="P459" s="9">
        <f>STATS1003B!P480/1000</f>
        <v>0</v>
      </c>
      <c r="Q459" s="9">
        <f>STATS1003B!Q480/1000</f>
        <v>0</v>
      </c>
      <c r="R459" s="9">
        <f>STATS1003B!R480/1000</f>
        <v>0</v>
      </c>
      <c r="S459" s="9">
        <f>STATS1003B!S480/1000</f>
        <v>0</v>
      </c>
      <c r="T459" s="9">
        <f>STATS1003B!T480/1000</f>
        <v>0</v>
      </c>
      <c r="U459" s="9">
        <f>STATS1003B!U480/1000</f>
        <v>0</v>
      </c>
      <c r="V459" s="9">
        <f>STATS1003B!V480/1000</f>
        <v>3144.6558100000002</v>
      </c>
      <c r="W459" s="9">
        <f>STATS1003B!W480/1000</f>
        <v>0</v>
      </c>
      <c r="X459" s="9">
        <f>STATS1003B!X480/1000</f>
        <v>3144.6558100000002</v>
      </c>
      <c r="Y459" s="9">
        <f>STATS1003B!Y480/1000</f>
        <v>0</v>
      </c>
      <c r="Z459" s="9">
        <f>STATS1003B!Z480/1000</f>
        <v>0</v>
      </c>
      <c r="AA459" s="9">
        <f>STATS1003B!AA480/1000</f>
        <v>3144.6558100000002</v>
      </c>
      <c r="AB459" s="9">
        <f>STATS1003B!AB480/1000</f>
        <v>0</v>
      </c>
    </row>
    <row r="460" spans="1:28" x14ac:dyDescent="0.35">
      <c r="A460" s="36"/>
      <c r="B460" s="8"/>
      <c r="C460" s="7" t="s">
        <v>55</v>
      </c>
      <c r="D460" s="15" t="s">
        <v>103</v>
      </c>
      <c r="E460" s="9">
        <f>STATS1003B!E481/1000</f>
        <v>2739.2890000000002</v>
      </c>
      <c r="F460" s="9">
        <f>STATS1003B!F481/1000</f>
        <v>0</v>
      </c>
      <c r="G460" s="9">
        <f>STATS1003B!G481/1000</f>
        <v>0</v>
      </c>
      <c r="H460" s="9">
        <f>STATS1003B!H481/1000</f>
        <v>0</v>
      </c>
      <c r="I460" s="9">
        <f>STATS1003B!I481/1000</f>
        <v>0</v>
      </c>
      <c r="J460" s="9">
        <f>STATS1003B!J481/1000</f>
        <v>0</v>
      </c>
      <c r="K460" s="9">
        <f>STATS1003B!K481/1000</f>
        <v>0</v>
      </c>
      <c r="L460" s="9">
        <f>STATS1003B!L481/1000</f>
        <v>0</v>
      </c>
      <c r="M460" s="9">
        <f>STATS1003B!M481/1000</f>
        <v>0</v>
      </c>
      <c r="N460" s="9">
        <f>STATS1003B!N481/1000</f>
        <v>2739.2890000000002</v>
      </c>
      <c r="O460" s="9">
        <f>STATS1003B!O481/1000</f>
        <v>0</v>
      </c>
      <c r="P460" s="9">
        <f>STATS1003B!P481/1000</f>
        <v>2739.2890000000002</v>
      </c>
      <c r="Q460" s="9">
        <f>STATS1003B!Q481/1000</f>
        <v>0</v>
      </c>
      <c r="R460" s="9">
        <f>STATS1003B!R481/1000</f>
        <v>0</v>
      </c>
      <c r="S460" s="9">
        <f>STATS1003B!S481/1000</f>
        <v>0</v>
      </c>
      <c r="T460" s="9">
        <f>STATS1003B!T481/1000</f>
        <v>0</v>
      </c>
      <c r="U460" s="9">
        <f>STATS1003B!U481/1000</f>
        <v>2739.2890000000002</v>
      </c>
      <c r="V460" s="9">
        <f>STATS1003B!V481/1000</f>
        <v>2739.2890000000002</v>
      </c>
      <c r="W460" s="9">
        <f>STATS1003B!W481/1000</f>
        <v>0</v>
      </c>
      <c r="X460" s="9">
        <f>STATS1003B!X481/1000</f>
        <v>2739.2890000000002</v>
      </c>
      <c r="Y460" s="9">
        <f>STATS1003B!Y481/1000</f>
        <v>0</v>
      </c>
      <c r="Z460" s="9">
        <f>STATS1003B!Z481/1000</f>
        <v>0</v>
      </c>
      <c r="AA460" s="9">
        <f>STATS1003B!AA481/1000</f>
        <v>2739.2890000000002</v>
      </c>
      <c r="AB460" s="9">
        <f>STATS1003B!AB481/1000</f>
        <v>0</v>
      </c>
    </row>
    <row r="461" spans="1:28" x14ac:dyDescent="0.35">
      <c r="A461" s="36"/>
      <c r="B461" s="8"/>
      <c r="C461" s="7" t="s">
        <v>159</v>
      </c>
      <c r="D461" s="15" t="s">
        <v>128</v>
      </c>
      <c r="E461" s="9">
        <f>STATS1003B!E482/1000</f>
        <v>2306.1060000000002</v>
      </c>
      <c r="F461" s="9">
        <f>STATS1003B!F482/1000</f>
        <v>0</v>
      </c>
      <c r="G461" s="9">
        <f>STATS1003B!G482/1000</f>
        <v>0</v>
      </c>
      <c r="H461" s="9">
        <f>STATS1003B!H482/1000</f>
        <v>0</v>
      </c>
      <c r="I461" s="9">
        <f>STATS1003B!I482/1000</f>
        <v>0</v>
      </c>
      <c r="J461" s="9">
        <f>STATS1003B!J482/1000</f>
        <v>0</v>
      </c>
      <c r="K461" s="9">
        <f>STATS1003B!K482/1000</f>
        <v>0</v>
      </c>
      <c r="L461" s="9">
        <f>STATS1003B!L482/1000</f>
        <v>0</v>
      </c>
      <c r="M461" s="9">
        <f>STATS1003B!M482/1000</f>
        <v>0</v>
      </c>
      <c r="N461" s="9">
        <f>STATS1003B!N482/1000</f>
        <v>2306.1060000000002</v>
      </c>
      <c r="O461" s="9">
        <f>STATS1003B!O482/1000</f>
        <v>0</v>
      </c>
      <c r="P461" s="9">
        <f>STATS1003B!P482/1000</f>
        <v>2306.1060000000002</v>
      </c>
      <c r="Q461" s="9">
        <f>STATS1003B!Q482/1000</f>
        <v>0</v>
      </c>
      <c r="R461" s="9">
        <f>STATS1003B!R482/1000</f>
        <v>0</v>
      </c>
      <c r="S461" s="9">
        <f>STATS1003B!S482/1000</f>
        <v>0</v>
      </c>
      <c r="T461" s="9">
        <f>STATS1003B!T482/1000</f>
        <v>0</v>
      </c>
      <c r="U461" s="9">
        <f>STATS1003B!U482/1000</f>
        <v>2306.1060000000002</v>
      </c>
      <c r="V461" s="9">
        <f>STATS1003B!V482/1000</f>
        <v>2306.1060000000002</v>
      </c>
      <c r="W461" s="9">
        <f>STATS1003B!W482/1000</f>
        <v>0</v>
      </c>
      <c r="X461" s="9">
        <f>STATS1003B!X482/1000</f>
        <v>2306.1060000000002</v>
      </c>
      <c r="Y461" s="9">
        <f>STATS1003B!Y482/1000</f>
        <v>0</v>
      </c>
      <c r="Z461" s="9">
        <f>STATS1003B!Z482/1000</f>
        <v>0</v>
      </c>
      <c r="AA461" s="9">
        <f>STATS1003B!AA482/1000</f>
        <v>2306.1060000000002</v>
      </c>
      <c r="AB461" s="9">
        <f>STATS1003B!AB482/1000</f>
        <v>0</v>
      </c>
    </row>
    <row r="462" spans="1:28" x14ac:dyDescent="0.35">
      <c r="A462" s="36"/>
      <c r="B462" s="8"/>
      <c r="C462" s="7" t="s">
        <v>57</v>
      </c>
      <c r="D462" s="15" t="s">
        <v>58</v>
      </c>
      <c r="E462" s="9">
        <f>STATS1003B!E483/1000</f>
        <v>2475.9544999999998</v>
      </c>
      <c r="F462" s="9">
        <f>STATS1003B!F483/1000</f>
        <v>2475.9544999999998</v>
      </c>
      <c r="G462" s="9">
        <f>STATS1003B!G483/1000</f>
        <v>0</v>
      </c>
      <c r="H462" s="9">
        <f>STATS1003B!H483/1000</f>
        <v>2475.9544999999998</v>
      </c>
      <c r="I462" s="9">
        <f>STATS1003B!I483/1000</f>
        <v>0</v>
      </c>
      <c r="J462" s="9">
        <f>STATS1003B!J483/1000</f>
        <v>0</v>
      </c>
      <c r="K462" s="9">
        <f>STATS1003B!K483/1000</f>
        <v>0</v>
      </c>
      <c r="L462" s="9">
        <f>STATS1003B!L483/1000</f>
        <v>0</v>
      </c>
      <c r="M462" s="9">
        <f>STATS1003B!M483/1000</f>
        <v>2475.9544999999998</v>
      </c>
      <c r="N462" s="9">
        <f>STATS1003B!N483/1000</f>
        <v>0</v>
      </c>
      <c r="O462" s="9">
        <f>STATS1003B!O483/1000</f>
        <v>0</v>
      </c>
      <c r="P462" s="9">
        <f>STATS1003B!P483/1000</f>
        <v>0</v>
      </c>
      <c r="Q462" s="9">
        <f>STATS1003B!Q483/1000</f>
        <v>0</v>
      </c>
      <c r="R462" s="9">
        <f>STATS1003B!R483/1000</f>
        <v>0</v>
      </c>
      <c r="S462" s="9">
        <f>STATS1003B!S483/1000</f>
        <v>0</v>
      </c>
      <c r="T462" s="9">
        <f>STATS1003B!T483/1000</f>
        <v>0</v>
      </c>
      <c r="U462" s="9">
        <f>STATS1003B!U483/1000</f>
        <v>0</v>
      </c>
      <c r="V462" s="9">
        <f>STATS1003B!V483/1000</f>
        <v>2475.9544999999998</v>
      </c>
      <c r="W462" s="9">
        <f>STATS1003B!W483/1000</f>
        <v>0</v>
      </c>
      <c r="X462" s="9">
        <f>STATS1003B!X483/1000</f>
        <v>2475.9544999999998</v>
      </c>
      <c r="Y462" s="9">
        <f>STATS1003B!Y483/1000</f>
        <v>0</v>
      </c>
      <c r="Z462" s="9">
        <f>STATS1003B!Z483/1000</f>
        <v>0</v>
      </c>
      <c r="AA462" s="9">
        <f>STATS1003B!AA483/1000</f>
        <v>2475.9544999999998</v>
      </c>
      <c r="AB462" s="9">
        <f>STATS1003B!AB483/1000</f>
        <v>0</v>
      </c>
    </row>
    <row r="463" spans="1:28" x14ac:dyDescent="0.35">
      <c r="A463" s="36"/>
      <c r="B463" s="8"/>
      <c r="C463" s="7" t="s">
        <v>57</v>
      </c>
      <c r="D463" s="15" t="s">
        <v>73</v>
      </c>
      <c r="E463" s="9">
        <f>STATS1003B!E484/1000</f>
        <v>252.74700000000001</v>
      </c>
      <c r="F463" s="9">
        <f>STATS1003B!F484/1000</f>
        <v>252.74700000000001</v>
      </c>
      <c r="G463" s="9">
        <f>STATS1003B!G484/1000</f>
        <v>0</v>
      </c>
      <c r="H463" s="9">
        <f>STATS1003B!H484/1000</f>
        <v>252.74700000000001</v>
      </c>
      <c r="I463" s="9">
        <f>STATS1003B!I484/1000</f>
        <v>0</v>
      </c>
      <c r="J463" s="9">
        <f>STATS1003B!J484/1000</f>
        <v>0</v>
      </c>
      <c r="K463" s="9">
        <f>STATS1003B!K484/1000</f>
        <v>0</v>
      </c>
      <c r="L463" s="9">
        <f>STATS1003B!L484/1000</f>
        <v>0</v>
      </c>
      <c r="M463" s="9">
        <f>STATS1003B!M484/1000</f>
        <v>252.74700000000001</v>
      </c>
      <c r="N463" s="9">
        <f>STATS1003B!N484/1000</f>
        <v>0</v>
      </c>
      <c r="O463" s="9">
        <f>STATS1003B!O484/1000</f>
        <v>0</v>
      </c>
      <c r="P463" s="9">
        <f>STATS1003B!P484/1000</f>
        <v>0</v>
      </c>
      <c r="Q463" s="9">
        <f>STATS1003B!Q484/1000</f>
        <v>0</v>
      </c>
      <c r="R463" s="9">
        <f>STATS1003B!R484/1000</f>
        <v>0</v>
      </c>
      <c r="S463" s="9">
        <f>STATS1003B!S484/1000</f>
        <v>0</v>
      </c>
      <c r="T463" s="9">
        <f>STATS1003B!T484/1000</f>
        <v>0</v>
      </c>
      <c r="U463" s="9">
        <f>STATS1003B!U484/1000</f>
        <v>0</v>
      </c>
      <c r="V463" s="9">
        <f>STATS1003B!V484/1000</f>
        <v>252.74700000000001</v>
      </c>
      <c r="W463" s="9">
        <f>STATS1003B!W484/1000</f>
        <v>0</v>
      </c>
      <c r="X463" s="9">
        <f>STATS1003B!X484/1000</f>
        <v>252.74700000000001</v>
      </c>
      <c r="Y463" s="9">
        <f>STATS1003B!Y484/1000</f>
        <v>0</v>
      </c>
      <c r="Z463" s="9">
        <f>STATS1003B!Z484/1000</f>
        <v>0</v>
      </c>
      <c r="AA463" s="9">
        <f>STATS1003B!AA484/1000</f>
        <v>252.74700000000001</v>
      </c>
      <c r="AB463" s="9">
        <f>STATS1003B!AB484/1000</f>
        <v>0</v>
      </c>
    </row>
    <row r="464" spans="1:28" x14ac:dyDescent="0.35">
      <c r="A464" s="36"/>
      <c r="B464" s="8"/>
      <c r="C464" s="14" t="s">
        <v>109</v>
      </c>
      <c r="D464" s="21" t="s">
        <v>60</v>
      </c>
      <c r="E464" s="9">
        <f>STATS1003B!E485/1000</f>
        <v>5888.6207300000005</v>
      </c>
      <c r="F464" s="9">
        <f>STATS1003B!F485/1000</f>
        <v>4858.6324999999997</v>
      </c>
      <c r="G464" s="9">
        <f>STATS1003B!G485/1000</f>
        <v>0</v>
      </c>
      <c r="H464" s="9">
        <f>STATS1003B!H485/1000</f>
        <v>4858.6324999999997</v>
      </c>
      <c r="I464" s="9">
        <f>STATS1003B!I485/1000</f>
        <v>1029.9882299999999</v>
      </c>
      <c r="J464" s="9">
        <f>STATS1003B!J485/1000</f>
        <v>0</v>
      </c>
      <c r="K464" s="9">
        <f>STATS1003B!K485/1000</f>
        <v>0</v>
      </c>
      <c r="L464" s="9">
        <f>STATS1003B!L485/1000</f>
        <v>1029.9882299999999</v>
      </c>
      <c r="M464" s="9">
        <f>STATS1003B!M485/1000</f>
        <v>5888.6207300000005</v>
      </c>
      <c r="N464" s="9">
        <f>STATS1003B!N485/1000</f>
        <v>0</v>
      </c>
      <c r="O464" s="9">
        <f>STATS1003B!O485/1000</f>
        <v>0</v>
      </c>
      <c r="P464" s="9">
        <f>STATS1003B!P485/1000</f>
        <v>0</v>
      </c>
      <c r="Q464" s="9">
        <f>STATS1003B!Q485/1000</f>
        <v>0</v>
      </c>
      <c r="R464" s="9">
        <f>STATS1003B!R485/1000</f>
        <v>0</v>
      </c>
      <c r="S464" s="9">
        <f>STATS1003B!S485/1000</f>
        <v>0</v>
      </c>
      <c r="T464" s="9">
        <f>STATS1003B!T485/1000</f>
        <v>0</v>
      </c>
      <c r="U464" s="9">
        <f>STATS1003B!U485/1000</f>
        <v>0</v>
      </c>
      <c r="V464" s="9">
        <f>STATS1003B!V485/1000</f>
        <v>4858.6324999999997</v>
      </c>
      <c r="W464" s="9">
        <f>STATS1003B!W485/1000</f>
        <v>1029.9882300000004</v>
      </c>
      <c r="X464" s="9">
        <f>STATS1003B!X485/1000</f>
        <v>4858.6324999999997</v>
      </c>
      <c r="Y464" s="9">
        <f>STATS1003B!Y485/1000</f>
        <v>0</v>
      </c>
      <c r="Z464" s="9">
        <f>STATS1003B!Z485/1000</f>
        <v>1029.9882300000004</v>
      </c>
      <c r="AA464" s="9">
        <f>STATS1003B!AA485/1000</f>
        <v>5888.6207300000005</v>
      </c>
      <c r="AB464" s="9">
        <f>STATS1003B!AB485/1000</f>
        <v>0</v>
      </c>
    </row>
    <row r="465" spans="1:28" x14ac:dyDescent="0.35">
      <c r="A465" s="36"/>
      <c r="B465" s="8"/>
      <c r="C465" s="7" t="s">
        <v>122</v>
      </c>
      <c r="D465" s="8"/>
      <c r="E465" s="9">
        <f>STATS1003B!E486/1000</f>
        <v>88.174999999999997</v>
      </c>
      <c r="F465" s="9">
        <f>STATS1003B!F486/1000</f>
        <v>88.174999999999997</v>
      </c>
      <c r="G465" s="9">
        <f>STATS1003B!G486/1000</f>
        <v>0</v>
      </c>
      <c r="H465" s="9">
        <f>STATS1003B!H486/1000</f>
        <v>88.174999999999997</v>
      </c>
      <c r="I465" s="9">
        <f>STATS1003B!I486/1000</f>
        <v>0</v>
      </c>
      <c r="J465" s="9">
        <f>STATS1003B!J486/1000</f>
        <v>0</v>
      </c>
      <c r="K465" s="9">
        <f>STATS1003B!K486/1000</f>
        <v>0</v>
      </c>
      <c r="L465" s="9">
        <f>STATS1003B!L486/1000</f>
        <v>0</v>
      </c>
      <c r="M465" s="9">
        <f>STATS1003B!M486/1000</f>
        <v>88.174999999999997</v>
      </c>
      <c r="N465" s="9">
        <f>STATS1003B!N486/1000</f>
        <v>0</v>
      </c>
      <c r="O465" s="9">
        <f>STATS1003B!O486/1000</f>
        <v>0</v>
      </c>
      <c r="P465" s="9">
        <f>STATS1003B!P486/1000</f>
        <v>0</v>
      </c>
      <c r="Q465" s="9">
        <f>STATS1003B!Q486/1000</f>
        <v>0</v>
      </c>
      <c r="R465" s="9">
        <f>STATS1003B!R486/1000</f>
        <v>0</v>
      </c>
      <c r="S465" s="9">
        <f>STATS1003B!S486/1000</f>
        <v>0</v>
      </c>
      <c r="T465" s="9">
        <f>STATS1003B!T486/1000</f>
        <v>0</v>
      </c>
      <c r="U465" s="9">
        <f>STATS1003B!U486/1000</f>
        <v>0</v>
      </c>
      <c r="V465" s="9">
        <f>STATS1003B!V486/1000</f>
        <v>88.174999999999997</v>
      </c>
      <c r="W465" s="9">
        <f>STATS1003B!W486/1000</f>
        <v>0</v>
      </c>
      <c r="X465" s="9">
        <f>STATS1003B!X486/1000</f>
        <v>88.174999999999997</v>
      </c>
      <c r="Y465" s="9">
        <f>STATS1003B!Y486/1000</f>
        <v>0</v>
      </c>
      <c r="Z465" s="9">
        <f>STATS1003B!Z486/1000</f>
        <v>0</v>
      </c>
      <c r="AA465" s="9">
        <f>STATS1003B!AA486/1000</f>
        <v>88.174999999999997</v>
      </c>
      <c r="AB465" s="9">
        <f>STATS1003B!AB486/1000</f>
        <v>0</v>
      </c>
    </row>
    <row r="466" spans="1:28" x14ac:dyDescent="0.35">
      <c r="A466" s="36"/>
      <c r="B466" s="8"/>
      <c r="C466" s="8"/>
      <c r="D466" s="8"/>
      <c r="E466" s="17" t="s">
        <v>29</v>
      </c>
      <c r="F466" s="17" t="s">
        <v>29</v>
      </c>
      <c r="G466" s="17" t="s">
        <v>29</v>
      </c>
      <c r="H466" s="17" t="s">
        <v>29</v>
      </c>
      <c r="I466" s="17" t="s">
        <v>29</v>
      </c>
      <c r="J466" s="17" t="s">
        <v>29</v>
      </c>
      <c r="K466" s="17" t="s">
        <v>29</v>
      </c>
      <c r="L466" s="17" t="s">
        <v>29</v>
      </c>
      <c r="M466" s="17" t="s">
        <v>29</v>
      </c>
      <c r="N466" s="17" t="s">
        <v>29</v>
      </c>
      <c r="O466" s="17" t="s">
        <v>29</v>
      </c>
      <c r="P466" s="17" t="s">
        <v>29</v>
      </c>
      <c r="Q466" s="17" t="s">
        <v>29</v>
      </c>
      <c r="R466" s="17" t="s">
        <v>29</v>
      </c>
      <c r="S466" s="17" t="s">
        <v>29</v>
      </c>
      <c r="T466" s="17" t="s">
        <v>29</v>
      </c>
      <c r="U466" s="17" t="s">
        <v>29</v>
      </c>
      <c r="V466" s="17" t="s">
        <v>29</v>
      </c>
      <c r="W466" s="17" t="s">
        <v>29</v>
      </c>
      <c r="X466" s="17" t="s">
        <v>29</v>
      </c>
      <c r="Y466" s="17" t="s">
        <v>29</v>
      </c>
      <c r="Z466" s="17" t="s">
        <v>29</v>
      </c>
      <c r="AA466" s="17" t="s">
        <v>29</v>
      </c>
      <c r="AB466" s="17" t="s">
        <v>29</v>
      </c>
    </row>
    <row r="467" spans="1:28" x14ac:dyDescent="0.35">
      <c r="A467" s="36"/>
      <c r="B467" s="8"/>
      <c r="C467" s="8"/>
      <c r="D467" s="8"/>
      <c r="E467" s="9">
        <f t="shared" ref="E467:AB467" si="28">SUM(E456:E465)</f>
        <v>141416.21954999998</v>
      </c>
      <c r="F467" s="9">
        <f t="shared" si="28"/>
        <v>114238.79169</v>
      </c>
      <c r="G467" s="9">
        <f t="shared" si="28"/>
        <v>0</v>
      </c>
      <c r="H467" s="9">
        <f t="shared" si="28"/>
        <v>114238.79169</v>
      </c>
      <c r="I467" s="9">
        <f t="shared" si="28"/>
        <v>1029.9882299999999</v>
      </c>
      <c r="J467" s="9">
        <f t="shared" si="28"/>
        <v>0</v>
      </c>
      <c r="K467" s="9">
        <f t="shared" si="28"/>
        <v>0</v>
      </c>
      <c r="L467" s="9">
        <f t="shared" si="28"/>
        <v>1029.9882299999999</v>
      </c>
      <c r="M467" s="9">
        <f t="shared" si="28"/>
        <v>115268.77991999999</v>
      </c>
      <c r="N467" s="9">
        <f t="shared" si="28"/>
        <v>5680.5250000000005</v>
      </c>
      <c r="O467" s="9">
        <f t="shared" si="28"/>
        <v>0</v>
      </c>
      <c r="P467" s="9">
        <f t="shared" si="28"/>
        <v>5680.5250000000005</v>
      </c>
      <c r="Q467" s="9">
        <f t="shared" si="28"/>
        <v>0</v>
      </c>
      <c r="R467" s="9">
        <f t="shared" si="28"/>
        <v>0</v>
      </c>
      <c r="S467" s="9">
        <f t="shared" si="28"/>
        <v>0</v>
      </c>
      <c r="T467" s="9">
        <f t="shared" si="28"/>
        <v>0</v>
      </c>
      <c r="U467" s="9">
        <f t="shared" si="28"/>
        <v>5680.5250000000005</v>
      </c>
      <c r="V467" s="9">
        <f t="shared" si="28"/>
        <v>119919.31669000002</v>
      </c>
      <c r="W467" s="9">
        <f t="shared" si="28"/>
        <v>1029.9882300000004</v>
      </c>
      <c r="X467" s="9">
        <f t="shared" si="28"/>
        <v>119919.31669000002</v>
      </c>
      <c r="Y467" s="9">
        <f t="shared" si="28"/>
        <v>0</v>
      </c>
      <c r="Z467" s="9">
        <f t="shared" si="28"/>
        <v>21496.902860000006</v>
      </c>
      <c r="AA467" s="9">
        <f t="shared" si="28"/>
        <v>120949.30492000001</v>
      </c>
      <c r="AB467" s="9">
        <f t="shared" si="28"/>
        <v>20466.914630000007</v>
      </c>
    </row>
    <row r="468" spans="1:28" x14ac:dyDescent="0.35">
      <c r="A468" s="36"/>
      <c r="B468" s="8"/>
      <c r="C468" s="8"/>
      <c r="D468" s="8"/>
      <c r="E468" s="17" t="s">
        <v>29</v>
      </c>
      <c r="F468" s="17" t="s">
        <v>29</v>
      </c>
      <c r="G468" s="17" t="s">
        <v>29</v>
      </c>
      <c r="H468" s="17" t="s">
        <v>29</v>
      </c>
      <c r="I468" s="17" t="s">
        <v>29</v>
      </c>
      <c r="J468" s="17" t="s">
        <v>29</v>
      </c>
      <c r="K468" s="17" t="s">
        <v>29</v>
      </c>
      <c r="L468" s="17" t="s">
        <v>29</v>
      </c>
      <c r="M468" s="17" t="s">
        <v>29</v>
      </c>
      <c r="N468" s="17" t="s">
        <v>29</v>
      </c>
      <c r="O468" s="17" t="s">
        <v>29</v>
      </c>
      <c r="P468" s="17" t="s">
        <v>29</v>
      </c>
      <c r="Q468" s="17" t="s">
        <v>29</v>
      </c>
      <c r="R468" s="17" t="s">
        <v>29</v>
      </c>
      <c r="S468" s="17" t="s">
        <v>29</v>
      </c>
      <c r="T468" s="17" t="s">
        <v>29</v>
      </c>
      <c r="U468" s="17" t="s">
        <v>29</v>
      </c>
      <c r="V468" s="17" t="s">
        <v>29</v>
      </c>
      <c r="W468" s="17" t="s">
        <v>29</v>
      </c>
      <c r="X468" s="17" t="s">
        <v>29</v>
      </c>
      <c r="Y468" s="17" t="s">
        <v>29</v>
      </c>
      <c r="Z468" s="17" t="s">
        <v>29</v>
      </c>
      <c r="AA468" s="17" t="s">
        <v>29</v>
      </c>
      <c r="AB468" s="17" t="s">
        <v>29</v>
      </c>
    </row>
    <row r="469" spans="1:28" x14ac:dyDescent="0.35">
      <c r="A469" s="36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8" x14ac:dyDescent="0.35">
      <c r="A470" s="38" t="s">
        <v>956</v>
      </c>
      <c r="B470" s="7" t="s">
        <v>160</v>
      </c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8" x14ac:dyDescent="0.35">
      <c r="A471" s="36"/>
      <c r="B471" s="8"/>
      <c r="C471" s="7" t="s">
        <v>75</v>
      </c>
      <c r="D471" s="21" t="s">
        <v>76</v>
      </c>
      <c r="E471" s="9">
        <f>STATS1003B!E492/1000</f>
        <v>2852</v>
      </c>
      <c r="F471" s="9">
        <f>STATS1003B!F492/1000</f>
        <v>0</v>
      </c>
      <c r="G471" s="9">
        <f>STATS1003B!G492/1000</f>
        <v>0</v>
      </c>
      <c r="H471" s="9">
        <f>STATS1003B!H492/1000</f>
        <v>0</v>
      </c>
      <c r="I471" s="9">
        <f>STATS1003B!I492/1000</f>
        <v>0</v>
      </c>
      <c r="J471" s="9">
        <f>STATS1003B!J492/1000</f>
        <v>0</v>
      </c>
      <c r="K471" s="9">
        <f>STATS1003B!K492/1000</f>
        <v>0</v>
      </c>
      <c r="L471" s="9">
        <f>STATS1003B!L492/1000</f>
        <v>0</v>
      </c>
      <c r="M471" s="9">
        <f>STATS1003B!M492/1000</f>
        <v>0</v>
      </c>
      <c r="N471" s="9">
        <f>STATS1003B!N492/1000</f>
        <v>2069.6983600000003</v>
      </c>
      <c r="O471" s="9">
        <f>STATS1003B!O492/1000</f>
        <v>0</v>
      </c>
      <c r="P471" s="9">
        <f>STATS1003B!P492/1000</f>
        <v>2069.6983600000003</v>
      </c>
      <c r="Q471" s="9">
        <f>STATS1003B!Q492/1000</f>
        <v>0</v>
      </c>
      <c r="R471" s="9">
        <f>STATS1003B!R492/1000</f>
        <v>0</v>
      </c>
      <c r="S471" s="9">
        <f>STATS1003B!S492/1000</f>
        <v>0</v>
      </c>
      <c r="T471" s="9">
        <f>STATS1003B!T492/1000</f>
        <v>0</v>
      </c>
      <c r="U471" s="9">
        <f>STATS1003B!U492/1000</f>
        <v>2069.6983600000003</v>
      </c>
      <c r="V471" s="9">
        <f>STATS1003B!V492/1000</f>
        <v>2069.6983600000003</v>
      </c>
      <c r="W471" s="9">
        <f>STATS1003B!W492/1000</f>
        <v>782.30163999999991</v>
      </c>
      <c r="X471" s="9">
        <f>STATS1003B!X492/1000</f>
        <v>2069.6983600000003</v>
      </c>
      <c r="Y471" s="9">
        <f>STATS1003B!Y492/1000</f>
        <v>0</v>
      </c>
      <c r="Z471" s="9">
        <f>STATS1003B!Z492/1000</f>
        <v>782.30163999999991</v>
      </c>
      <c r="AA471" s="9">
        <f>STATS1003B!AA492/1000</f>
        <v>2069.6983600000003</v>
      </c>
      <c r="AB471" s="9">
        <f>STATS1003B!AB492/1000</f>
        <v>782.30163999999991</v>
      </c>
    </row>
    <row r="472" spans="1:28" x14ac:dyDescent="0.35">
      <c r="A472" s="36"/>
      <c r="B472" s="8"/>
      <c r="C472" s="7" t="s">
        <v>55</v>
      </c>
      <c r="D472" s="15" t="s">
        <v>54</v>
      </c>
      <c r="E472" s="9">
        <f>STATS1003B!E493/1000</f>
        <v>1892.385</v>
      </c>
      <c r="F472" s="9">
        <f>STATS1003B!F493/1000</f>
        <v>0</v>
      </c>
      <c r="G472" s="9">
        <f>STATS1003B!G493/1000</f>
        <v>0</v>
      </c>
      <c r="H472" s="9">
        <f>STATS1003B!H493/1000</f>
        <v>0</v>
      </c>
      <c r="I472" s="9">
        <f>STATS1003B!I493/1000</f>
        <v>0</v>
      </c>
      <c r="J472" s="9">
        <f>STATS1003B!J493/1000</f>
        <v>0</v>
      </c>
      <c r="K472" s="9">
        <f>STATS1003B!K493/1000</f>
        <v>0</v>
      </c>
      <c r="L472" s="9">
        <f>STATS1003B!L493/1000</f>
        <v>0</v>
      </c>
      <c r="M472" s="9">
        <f>STATS1003B!M493/1000</f>
        <v>0</v>
      </c>
      <c r="N472" s="9">
        <f>STATS1003B!N493/1000</f>
        <v>1892.385</v>
      </c>
      <c r="O472" s="9">
        <f>STATS1003B!O493/1000</f>
        <v>0</v>
      </c>
      <c r="P472" s="9">
        <f>STATS1003B!P493/1000</f>
        <v>1892.385</v>
      </c>
      <c r="Q472" s="9">
        <f>STATS1003B!Q493/1000</f>
        <v>0</v>
      </c>
      <c r="R472" s="9">
        <f>STATS1003B!R493/1000</f>
        <v>0</v>
      </c>
      <c r="S472" s="9">
        <f>STATS1003B!S493/1000</f>
        <v>0</v>
      </c>
      <c r="T472" s="9">
        <f>STATS1003B!T493/1000</f>
        <v>0</v>
      </c>
      <c r="U472" s="9">
        <f>STATS1003B!U493/1000</f>
        <v>1892.385</v>
      </c>
      <c r="V472" s="9">
        <f>STATS1003B!V493/1000</f>
        <v>1892.385</v>
      </c>
      <c r="W472" s="9">
        <f>STATS1003B!W493/1000</f>
        <v>0</v>
      </c>
      <c r="X472" s="9">
        <f>STATS1003B!X493/1000</f>
        <v>1892.385</v>
      </c>
      <c r="Y472" s="9">
        <f>STATS1003B!Y493/1000</f>
        <v>0</v>
      </c>
      <c r="Z472" s="9">
        <f>STATS1003B!Z493/1000</f>
        <v>0</v>
      </c>
      <c r="AA472" s="9">
        <f>STATS1003B!AA493/1000</f>
        <v>1892.385</v>
      </c>
      <c r="AB472" s="9">
        <f>STATS1003B!AB493/1000</f>
        <v>0</v>
      </c>
    </row>
    <row r="473" spans="1:28" x14ac:dyDescent="0.35">
      <c r="A473" s="36"/>
      <c r="B473" s="8"/>
      <c r="C473" s="7" t="s">
        <v>161</v>
      </c>
      <c r="D473" s="15" t="s">
        <v>54</v>
      </c>
      <c r="E473" s="9">
        <f>STATS1003B!E494/1000</f>
        <v>955.34561999999994</v>
      </c>
      <c r="F473" s="9">
        <f>STATS1003B!F494/1000</f>
        <v>0</v>
      </c>
      <c r="G473" s="9">
        <f>STATS1003B!G494/1000</f>
        <v>0</v>
      </c>
      <c r="H473" s="9">
        <f>STATS1003B!H494/1000</f>
        <v>0</v>
      </c>
      <c r="I473" s="9">
        <f>STATS1003B!I494/1000</f>
        <v>0</v>
      </c>
      <c r="J473" s="9">
        <f>STATS1003B!J494/1000</f>
        <v>0</v>
      </c>
      <c r="K473" s="9">
        <f>STATS1003B!K494/1000</f>
        <v>0</v>
      </c>
      <c r="L473" s="9">
        <f>STATS1003B!L494/1000</f>
        <v>0</v>
      </c>
      <c r="M473" s="9">
        <f>STATS1003B!M494/1000</f>
        <v>0</v>
      </c>
      <c r="N473" s="9">
        <f>STATS1003B!N494/1000</f>
        <v>955.34561999999994</v>
      </c>
      <c r="O473" s="9">
        <f>STATS1003B!O494/1000</f>
        <v>0</v>
      </c>
      <c r="P473" s="9">
        <f>STATS1003B!P494/1000</f>
        <v>955.34561999999994</v>
      </c>
      <c r="Q473" s="9">
        <f>STATS1003B!Q494/1000</f>
        <v>0</v>
      </c>
      <c r="R473" s="9">
        <f>STATS1003B!R494/1000</f>
        <v>0</v>
      </c>
      <c r="S473" s="9">
        <f>STATS1003B!S494/1000</f>
        <v>0</v>
      </c>
      <c r="T473" s="9">
        <f>STATS1003B!T494/1000</f>
        <v>0</v>
      </c>
      <c r="U473" s="9">
        <f>STATS1003B!U494/1000</f>
        <v>955.34561999999994</v>
      </c>
      <c r="V473" s="9">
        <f>STATS1003B!V494/1000</f>
        <v>955.34561999999994</v>
      </c>
      <c r="W473" s="9">
        <f>STATS1003B!W494/1000</f>
        <v>0</v>
      </c>
      <c r="X473" s="9">
        <f>STATS1003B!X494/1000</f>
        <v>955.34561999999994</v>
      </c>
      <c r="Y473" s="9">
        <f>STATS1003B!Y494/1000</f>
        <v>0</v>
      </c>
      <c r="Z473" s="9">
        <f>STATS1003B!Z494/1000</f>
        <v>0</v>
      </c>
      <c r="AA473" s="9">
        <f>STATS1003B!AA494/1000</f>
        <v>955.34561999999994</v>
      </c>
      <c r="AB473" s="9">
        <f>STATS1003B!AB494/1000</f>
        <v>0</v>
      </c>
    </row>
    <row r="474" spans="1:28" x14ac:dyDescent="0.35">
      <c r="A474" s="36"/>
      <c r="B474" s="8"/>
      <c r="C474" s="7" t="s">
        <v>159</v>
      </c>
      <c r="D474" s="15" t="s">
        <v>85</v>
      </c>
      <c r="E474" s="9">
        <f>STATS1003B!E495/1000</f>
        <v>1953.989</v>
      </c>
      <c r="F474" s="9">
        <f>STATS1003B!F495/1000</f>
        <v>0</v>
      </c>
      <c r="G474" s="9">
        <f>STATS1003B!G495/1000</f>
        <v>0</v>
      </c>
      <c r="H474" s="9">
        <f>STATS1003B!H495/1000</f>
        <v>0</v>
      </c>
      <c r="I474" s="9">
        <f>STATS1003B!I495/1000</f>
        <v>0</v>
      </c>
      <c r="J474" s="9">
        <f>STATS1003B!J495/1000</f>
        <v>0</v>
      </c>
      <c r="K474" s="9">
        <f>STATS1003B!K495/1000</f>
        <v>0</v>
      </c>
      <c r="L474" s="9">
        <f>STATS1003B!L495/1000</f>
        <v>0</v>
      </c>
      <c r="M474" s="9">
        <f>STATS1003B!M495/1000</f>
        <v>0</v>
      </c>
      <c r="N474" s="9">
        <f>STATS1003B!N495/1000</f>
        <v>1953.989</v>
      </c>
      <c r="O474" s="9">
        <f>STATS1003B!O495/1000</f>
        <v>0</v>
      </c>
      <c r="P474" s="9">
        <f>STATS1003B!P495/1000</f>
        <v>1953.989</v>
      </c>
      <c r="Q474" s="9">
        <f>STATS1003B!Q495/1000</f>
        <v>0</v>
      </c>
      <c r="R474" s="9">
        <f>STATS1003B!R495/1000</f>
        <v>0</v>
      </c>
      <c r="S474" s="9">
        <f>STATS1003B!S495/1000</f>
        <v>0</v>
      </c>
      <c r="T474" s="9">
        <f>STATS1003B!T495/1000</f>
        <v>0</v>
      </c>
      <c r="U474" s="9">
        <f>STATS1003B!U495/1000</f>
        <v>1953.989</v>
      </c>
      <c r="V474" s="9">
        <f>STATS1003B!V495/1000</f>
        <v>1953.989</v>
      </c>
      <c r="W474" s="9">
        <f>STATS1003B!W495/1000</f>
        <v>0</v>
      </c>
      <c r="X474" s="9">
        <f>STATS1003B!X495/1000</f>
        <v>1953.989</v>
      </c>
      <c r="Y474" s="9">
        <f>STATS1003B!Y495/1000</f>
        <v>0</v>
      </c>
      <c r="Z474" s="9">
        <f>STATS1003B!Z495/1000</f>
        <v>0</v>
      </c>
      <c r="AA474" s="9">
        <f>STATS1003B!AA495/1000</f>
        <v>1953.989</v>
      </c>
      <c r="AB474" s="9">
        <f>STATS1003B!AB495/1000</f>
        <v>0</v>
      </c>
    </row>
    <row r="475" spans="1:28" x14ac:dyDescent="0.35">
      <c r="A475" s="36"/>
      <c r="B475" s="8"/>
      <c r="C475" s="7" t="s">
        <v>57</v>
      </c>
      <c r="D475" s="15" t="s">
        <v>108</v>
      </c>
      <c r="E475" s="9">
        <f>STATS1003B!E496/1000</f>
        <v>3156.1996899999999</v>
      </c>
      <c r="F475" s="9">
        <f>STATS1003B!F496/1000</f>
        <v>3156.1996899999999</v>
      </c>
      <c r="G475" s="9">
        <f>STATS1003B!G496/1000</f>
        <v>0</v>
      </c>
      <c r="H475" s="9">
        <f>STATS1003B!H496/1000</f>
        <v>3156.1996899999999</v>
      </c>
      <c r="I475" s="9">
        <f>STATS1003B!I496/1000</f>
        <v>0</v>
      </c>
      <c r="J475" s="9">
        <f>STATS1003B!J496/1000</f>
        <v>0</v>
      </c>
      <c r="K475" s="9">
        <f>STATS1003B!K496/1000</f>
        <v>0</v>
      </c>
      <c r="L475" s="9">
        <f>STATS1003B!L496/1000</f>
        <v>0</v>
      </c>
      <c r="M475" s="9">
        <f>STATS1003B!M496/1000</f>
        <v>3156.1996899999999</v>
      </c>
      <c r="N475" s="9">
        <f>STATS1003B!N496/1000</f>
        <v>0</v>
      </c>
      <c r="O475" s="9">
        <f>STATS1003B!O496/1000</f>
        <v>0</v>
      </c>
      <c r="P475" s="9">
        <f>STATS1003B!P496/1000</f>
        <v>0</v>
      </c>
      <c r="Q475" s="9">
        <f>STATS1003B!Q496/1000</f>
        <v>0</v>
      </c>
      <c r="R475" s="9">
        <f>STATS1003B!R496/1000</f>
        <v>0</v>
      </c>
      <c r="S475" s="9">
        <f>STATS1003B!S496/1000</f>
        <v>0</v>
      </c>
      <c r="T475" s="9">
        <f>STATS1003B!T496/1000</f>
        <v>0</v>
      </c>
      <c r="U475" s="9">
        <f>STATS1003B!U496/1000</f>
        <v>0</v>
      </c>
      <c r="V475" s="9">
        <f>STATS1003B!V496/1000</f>
        <v>3156.1996899999999</v>
      </c>
      <c r="W475" s="9">
        <f>STATS1003B!W496/1000</f>
        <v>0</v>
      </c>
      <c r="X475" s="9">
        <f>STATS1003B!X496/1000</f>
        <v>3156.1996899999999</v>
      </c>
      <c r="Y475" s="9">
        <f>STATS1003B!Y496/1000</f>
        <v>0</v>
      </c>
      <c r="Z475" s="9">
        <f>STATS1003B!Z496/1000</f>
        <v>0</v>
      </c>
      <c r="AA475" s="9">
        <f>STATS1003B!AA496/1000</f>
        <v>3156.1996899999999</v>
      </c>
      <c r="AB475" s="9">
        <f>STATS1003B!AB496/1000</f>
        <v>0</v>
      </c>
    </row>
    <row r="476" spans="1:28" x14ac:dyDescent="0.35">
      <c r="A476" s="36"/>
      <c r="B476" s="8"/>
      <c r="C476" s="7" t="s">
        <v>57</v>
      </c>
      <c r="D476" s="15" t="s">
        <v>58</v>
      </c>
      <c r="E476" s="9">
        <f>STATS1003B!E497/1000</f>
        <v>2931</v>
      </c>
      <c r="F476" s="9">
        <f>STATS1003B!F497/1000</f>
        <v>2931</v>
      </c>
      <c r="G476" s="9">
        <f>STATS1003B!G497/1000</f>
        <v>0</v>
      </c>
      <c r="H476" s="9">
        <f>STATS1003B!H497/1000</f>
        <v>2931</v>
      </c>
      <c r="I476" s="9">
        <f>STATS1003B!I497/1000</f>
        <v>0</v>
      </c>
      <c r="J476" s="9">
        <f>STATS1003B!J497/1000</f>
        <v>0</v>
      </c>
      <c r="K476" s="9">
        <f>STATS1003B!K497/1000</f>
        <v>0</v>
      </c>
      <c r="L476" s="9">
        <f>STATS1003B!L497/1000</f>
        <v>0</v>
      </c>
      <c r="M476" s="9">
        <f>STATS1003B!M497/1000</f>
        <v>2931</v>
      </c>
      <c r="N476" s="9">
        <f>STATS1003B!N497/1000</f>
        <v>0</v>
      </c>
      <c r="O476" s="9">
        <f>STATS1003B!O497/1000</f>
        <v>0</v>
      </c>
      <c r="P476" s="9">
        <f>STATS1003B!P497/1000</f>
        <v>0</v>
      </c>
      <c r="Q476" s="9">
        <f>STATS1003B!Q497/1000</f>
        <v>0</v>
      </c>
      <c r="R476" s="9">
        <f>STATS1003B!R497/1000</f>
        <v>0</v>
      </c>
      <c r="S476" s="9">
        <f>STATS1003B!S497/1000</f>
        <v>0</v>
      </c>
      <c r="T476" s="9">
        <f>STATS1003B!T497/1000</f>
        <v>0</v>
      </c>
      <c r="U476" s="9">
        <f>STATS1003B!U497/1000</f>
        <v>0</v>
      </c>
      <c r="V476" s="9">
        <f>STATS1003B!V497/1000</f>
        <v>2931</v>
      </c>
      <c r="W476" s="9">
        <f>STATS1003B!W497/1000</f>
        <v>0</v>
      </c>
      <c r="X476" s="9">
        <f>STATS1003B!X497/1000</f>
        <v>2931</v>
      </c>
      <c r="Y476" s="9">
        <f>STATS1003B!Y497/1000</f>
        <v>0</v>
      </c>
      <c r="Z476" s="9">
        <f>STATS1003B!Z497/1000</f>
        <v>0</v>
      </c>
      <c r="AA476" s="9">
        <f>STATS1003B!AA497/1000</f>
        <v>2931</v>
      </c>
      <c r="AB476" s="9">
        <f>STATS1003B!AB497/1000</f>
        <v>0</v>
      </c>
    </row>
    <row r="477" spans="1:28" x14ac:dyDescent="0.35">
      <c r="A477" s="36"/>
      <c r="B477" s="8"/>
      <c r="C477" s="7" t="s">
        <v>57</v>
      </c>
      <c r="D477" s="15" t="s">
        <v>60</v>
      </c>
      <c r="E477" s="9">
        <f>STATS1003B!E498/1000</f>
        <v>1503.3406100000002</v>
      </c>
      <c r="F477" s="9">
        <f>STATS1003B!F498/1000</f>
        <v>1503.3406100000002</v>
      </c>
      <c r="G477" s="9">
        <f>STATS1003B!G498/1000</f>
        <v>0</v>
      </c>
      <c r="H477" s="9">
        <f>STATS1003B!H498/1000</f>
        <v>1503.3406100000002</v>
      </c>
      <c r="I477" s="9">
        <f>STATS1003B!I498/1000</f>
        <v>0</v>
      </c>
      <c r="J477" s="9">
        <f>STATS1003B!J498/1000</f>
        <v>0</v>
      </c>
      <c r="K477" s="9">
        <f>STATS1003B!K498/1000</f>
        <v>0</v>
      </c>
      <c r="L477" s="9">
        <f>STATS1003B!L498/1000</f>
        <v>0</v>
      </c>
      <c r="M477" s="9">
        <f>STATS1003B!M498/1000</f>
        <v>1503.3406100000002</v>
      </c>
      <c r="N477" s="9">
        <f>STATS1003B!N498/1000</f>
        <v>0</v>
      </c>
      <c r="O477" s="9">
        <f>STATS1003B!O498/1000</f>
        <v>0</v>
      </c>
      <c r="P477" s="9">
        <f>STATS1003B!P498/1000</f>
        <v>0</v>
      </c>
      <c r="Q477" s="9">
        <f>STATS1003B!Q498/1000</f>
        <v>0</v>
      </c>
      <c r="R477" s="9">
        <f>STATS1003B!R498/1000</f>
        <v>0</v>
      </c>
      <c r="S477" s="9">
        <f>STATS1003B!S498/1000</f>
        <v>0</v>
      </c>
      <c r="T477" s="9">
        <f>STATS1003B!T498/1000</f>
        <v>0</v>
      </c>
      <c r="U477" s="9">
        <f>STATS1003B!U498/1000</f>
        <v>0</v>
      </c>
      <c r="V477" s="9">
        <f>STATS1003B!V498/1000</f>
        <v>1503.3406100000002</v>
      </c>
      <c r="W477" s="9">
        <f>STATS1003B!W498/1000</f>
        <v>0</v>
      </c>
      <c r="X477" s="9">
        <f>STATS1003B!X498/1000</f>
        <v>1503.3406100000002</v>
      </c>
      <c r="Y477" s="9">
        <f>STATS1003B!Y498/1000</f>
        <v>0</v>
      </c>
      <c r="Z477" s="9">
        <f>STATS1003B!Z498/1000</f>
        <v>0</v>
      </c>
      <c r="AA477" s="9">
        <f>STATS1003B!AA498/1000</f>
        <v>1503.3406100000002</v>
      </c>
      <c r="AB477" s="9">
        <f>STATS1003B!AB498/1000</f>
        <v>0</v>
      </c>
    </row>
    <row r="478" spans="1:28" x14ac:dyDescent="0.35">
      <c r="A478" s="36"/>
      <c r="B478" s="8"/>
      <c r="C478" s="14" t="s">
        <v>109</v>
      </c>
      <c r="D478" s="21" t="s">
        <v>60</v>
      </c>
      <c r="E478" s="9">
        <f>STATS1003B!E499/1000</f>
        <v>2500</v>
      </c>
      <c r="F478" s="9">
        <f>STATS1003B!F499/1000</f>
        <v>2500</v>
      </c>
      <c r="G478" s="9">
        <f>STATS1003B!G499/1000</f>
        <v>0</v>
      </c>
      <c r="H478" s="9">
        <f>STATS1003B!H499/1000</f>
        <v>2500</v>
      </c>
      <c r="I478" s="9">
        <f>STATS1003B!I499/1000</f>
        <v>0</v>
      </c>
      <c r="J478" s="9">
        <f>STATS1003B!J499/1000</f>
        <v>0</v>
      </c>
      <c r="K478" s="9">
        <f>STATS1003B!K499/1000</f>
        <v>0</v>
      </c>
      <c r="L478" s="9">
        <f>STATS1003B!L499/1000</f>
        <v>0</v>
      </c>
      <c r="M478" s="9">
        <f>STATS1003B!M499/1000</f>
        <v>2500</v>
      </c>
      <c r="N478" s="9">
        <f>STATS1003B!N499/1000</f>
        <v>0</v>
      </c>
      <c r="O478" s="9">
        <f>STATS1003B!O499/1000</f>
        <v>0</v>
      </c>
      <c r="P478" s="9">
        <f>STATS1003B!P499/1000</f>
        <v>0</v>
      </c>
      <c r="Q478" s="9">
        <f>STATS1003B!Q499/1000</f>
        <v>0</v>
      </c>
      <c r="R478" s="9">
        <f>STATS1003B!R499/1000</f>
        <v>0</v>
      </c>
      <c r="S478" s="9">
        <f>STATS1003B!S499/1000</f>
        <v>0</v>
      </c>
      <c r="T478" s="9">
        <f>STATS1003B!T499/1000</f>
        <v>0</v>
      </c>
      <c r="U478" s="9">
        <f>STATS1003B!U499/1000</f>
        <v>0</v>
      </c>
      <c r="V478" s="9">
        <f>STATS1003B!V499/1000</f>
        <v>2500</v>
      </c>
      <c r="W478" s="9">
        <f>STATS1003B!W499/1000</f>
        <v>0</v>
      </c>
      <c r="X478" s="9">
        <f>STATS1003B!X499/1000</f>
        <v>2500</v>
      </c>
      <c r="Y478" s="9">
        <f>STATS1003B!Y499/1000</f>
        <v>0</v>
      </c>
      <c r="Z478" s="9">
        <f>STATS1003B!Z499/1000</f>
        <v>0</v>
      </c>
      <c r="AA478" s="9">
        <f>STATS1003B!AA499/1000</f>
        <v>2500</v>
      </c>
      <c r="AB478" s="9">
        <f>STATS1003B!AB499/1000</f>
        <v>0</v>
      </c>
    </row>
    <row r="479" spans="1:28" x14ac:dyDescent="0.35">
      <c r="A479" s="36"/>
      <c r="B479" s="8"/>
      <c r="C479" s="8"/>
      <c r="D479" s="8"/>
      <c r="E479" s="17" t="s">
        <v>29</v>
      </c>
      <c r="F479" s="17" t="s">
        <v>29</v>
      </c>
      <c r="G479" s="17" t="s">
        <v>29</v>
      </c>
      <c r="H479" s="17" t="s">
        <v>29</v>
      </c>
      <c r="I479" s="17" t="s">
        <v>29</v>
      </c>
      <c r="J479" s="17" t="s">
        <v>29</v>
      </c>
      <c r="K479" s="17" t="s">
        <v>29</v>
      </c>
      <c r="L479" s="17" t="s">
        <v>29</v>
      </c>
      <c r="M479" s="17" t="s">
        <v>29</v>
      </c>
      <c r="N479" s="17" t="s">
        <v>29</v>
      </c>
      <c r="O479" s="17" t="s">
        <v>29</v>
      </c>
      <c r="P479" s="17" t="s">
        <v>29</v>
      </c>
      <c r="Q479" s="17" t="s">
        <v>29</v>
      </c>
      <c r="R479" s="17" t="s">
        <v>29</v>
      </c>
      <c r="S479" s="17" t="s">
        <v>29</v>
      </c>
      <c r="T479" s="17" t="s">
        <v>29</v>
      </c>
      <c r="U479" s="17" t="s">
        <v>29</v>
      </c>
      <c r="V479" s="17" t="s">
        <v>29</v>
      </c>
      <c r="W479" s="17" t="s">
        <v>29</v>
      </c>
      <c r="X479" s="17" t="s">
        <v>29</v>
      </c>
      <c r="Y479" s="17" t="s">
        <v>29</v>
      </c>
      <c r="Z479" s="17" t="s">
        <v>29</v>
      </c>
      <c r="AA479" s="17" t="s">
        <v>29</v>
      </c>
      <c r="AB479" s="17" t="s">
        <v>29</v>
      </c>
    </row>
    <row r="480" spans="1:28" x14ac:dyDescent="0.35">
      <c r="A480" s="36"/>
      <c r="B480" s="8"/>
      <c r="C480" s="8"/>
      <c r="D480" s="8"/>
      <c r="E480" s="9">
        <f t="shared" ref="E480:AB480" si="29">SUM(E471:E478)</f>
        <v>17744.25992</v>
      </c>
      <c r="F480" s="9">
        <f t="shared" si="29"/>
        <v>10090.540300000001</v>
      </c>
      <c r="G480" s="9">
        <f t="shared" si="29"/>
        <v>0</v>
      </c>
      <c r="H480" s="9">
        <f t="shared" si="29"/>
        <v>10090.540300000001</v>
      </c>
      <c r="I480" s="9">
        <f t="shared" si="29"/>
        <v>0</v>
      </c>
      <c r="J480" s="9">
        <f t="shared" si="29"/>
        <v>0</v>
      </c>
      <c r="K480" s="9">
        <f t="shared" si="29"/>
        <v>0</v>
      </c>
      <c r="L480" s="9">
        <f t="shared" si="29"/>
        <v>0</v>
      </c>
      <c r="M480" s="9">
        <f t="shared" si="29"/>
        <v>10090.540300000001</v>
      </c>
      <c r="N480" s="9">
        <f t="shared" si="29"/>
        <v>6871.4179800000002</v>
      </c>
      <c r="O480" s="9">
        <f t="shared" si="29"/>
        <v>0</v>
      </c>
      <c r="P480" s="9">
        <f t="shared" si="29"/>
        <v>6871.4179800000002</v>
      </c>
      <c r="Q480" s="9">
        <f t="shared" si="29"/>
        <v>0</v>
      </c>
      <c r="R480" s="9">
        <f t="shared" si="29"/>
        <v>0</v>
      </c>
      <c r="S480" s="9">
        <f t="shared" si="29"/>
        <v>0</v>
      </c>
      <c r="T480" s="9">
        <f t="shared" si="29"/>
        <v>0</v>
      </c>
      <c r="U480" s="9">
        <f t="shared" si="29"/>
        <v>6871.4179800000002</v>
      </c>
      <c r="V480" s="9">
        <f t="shared" si="29"/>
        <v>16961.958279999999</v>
      </c>
      <c r="W480" s="9">
        <f t="shared" si="29"/>
        <v>782.30163999999991</v>
      </c>
      <c r="X480" s="9">
        <f t="shared" si="29"/>
        <v>16961.958279999999</v>
      </c>
      <c r="Y480" s="9">
        <f t="shared" si="29"/>
        <v>0</v>
      </c>
      <c r="Z480" s="9">
        <f t="shared" si="29"/>
        <v>782.30163999999991</v>
      </c>
      <c r="AA480" s="9">
        <f t="shared" si="29"/>
        <v>16961.958279999999</v>
      </c>
      <c r="AB480" s="9">
        <f t="shared" si="29"/>
        <v>782.30163999999991</v>
      </c>
    </row>
    <row r="481" spans="1:28" x14ac:dyDescent="0.35">
      <c r="A481" s="36"/>
      <c r="B481" s="8"/>
      <c r="C481" s="8"/>
      <c r="D481" s="8"/>
      <c r="E481" s="17" t="s">
        <v>29</v>
      </c>
      <c r="F481" s="17" t="s">
        <v>29</v>
      </c>
      <c r="G481" s="17" t="s">
        <v>29</v>
      </c>
      <c r="H481" s="17" t="s">
        <v>29</v>
      </c>
      <c r="I481" s="17" t="s">
        <v>29</v>
      </c>
      <c r="J481" s="17" t="s">
        <v>29</v>
      </c>
      <c r="K481" s="17" t="s">
        <v>29</v>
      </c>
      <c r="L481" s="17" t="s">
        <v>29</v>
      </c>
      <c r="M481" s="17" t="s">
        <v>29</v>
      </c>
      <c r="N481" s="17" t="s">
        <v>29</v>
      </c>
      <c r="O481" s="17" t="s">
        <v>29</v>
      </c>
      <c r="P481" s="17" t="s">
        <v>29</v>
      </c>
      <c r="Q481" s="17" t="s">
        <v>29</v>
      </c>
      <c r="R481" s="17" t="s">
        <v>29</v>
      </c>
      <c r="S481" s="17" t="s">
        <v>29</v>
      </c>
      <c r="T481" s="17" t="s">
        <v>29</v>
      </c>
      <c r="U481" s="17" t="s">
        <v>29</v>
      </c>
      <c r="V481" s="17" t="s">
        <v>29</v>
      </c>
      <c r="W481" s="17" t="s">
        <v>29</v>
      </c>
      <c r="X481" s="17" t="s">
        <v>29</v>
      </c>
      <c r="Y481" s="17" t="s">
        <v>29</v>
      </c>
      <c r="Z481" s="17" t="s">
        <v>29</v>
      </c>
      <c r="AA481" s="17" t="s">
        <v>29</v>
      </c>
      <c r="AB481" s="17" t="s">
        <v>29</v>
      </c>
    </row>
    <row r="482" spans="1:28" x14ac:dyDescent="0.35">
      <c r="A482" s="38" t="s">
        <v>957</v>
      </c>
      <c r="B482" s="7" t="s">
        <v>162</v>
      </c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8" x14ac:dyDescent="0.35">
      <c r="A483" s="36"/>
      <c r="B483" s="8"/>
      <c r="C483" s="7" t="s">
        <v>149</v>
      </c>
      <c r="D483" s="21" t="s">
        <v>150</v>
      </c>
      <c r="E483" s="9">
        <f>STATS1003B!E504/1000</f>
        <v>1644.184</v>
      </c>
      <c r="F483" s="9">
        <f>STATS1003B!F504/1000</f>
        <v>1115.9105500000001</v>
      </c>
      <c r="G483" s="9">
        <f>STATS1003B!G504/1000</f>
        <v>0</v>
      </c>
      <c r="H483" s="9">
        <f>STATS1003B!H504/1000</f>
        <v>1115.9105500000001</v>
      </c>
      <c r="I483" s="9">
        <f>STATS1003B!I504/1000</f>
        <v>0</v>
      </c>
      <c r="J483" s="9">
        <f>STATS1003B!J504/1000</f>
        <v>0</v>
      </c>
      <c r="K483" s="9">
        <f>STATS1003B!K504/1000</f>
        <v>0</v>
      </c>
      <c r="L483" s="9">
        <f>STATS1003B!L504/1000</f>
        <v>0</v>
      </c>
      <c r="M483" s="9">
        <f>STATS1003B!M504/1000</f>
        <v>1115.9105500000001</v>
      </c>
      <c r="N483" s="9">
        <f>STATS1003B!N504/1000</f>
        <v>211.71</v>
      </c>
      <c r="O483" s="9">
        <f>STATS1003B!O504/1000</f>
        <v>0</v>
      </c>
      <c r="P483" s="9">
        <f>STATS1003B!P504/1000</f>
        <v>211.71</v>
      </c>
      <c r="Q483" s="9">
        <f>STATS1003B!Q504/1000</f>
        <v>0</v>
      </c>
      <c r="R483" s="9">
        <f>STATS1003B!R504/1000</f>
        <v>0</v>
      </c>
      <c r="S483" s="9">
        <f>STATS1003B!S504/1000</f>
        <v>0</v>
      </c>
      <c r="T483" s="9">
        <f>STATS1003B!T504/1000</f>
        <v>0</v>
      </c>
      <c r="U483" s="9">
        <f>STATS1003B!U504/1000</f>
        <v>211.71</v>
      </c>
      <c r="V483" s="9">
        <f>STATS1003B!V504/1000</f>
        <v>1327.6205500000001</v>
      </c>
      <c r="W483" s="9">
        <f>STATS1003B!W504/1000</f>
        <v>316.56344999999993</v>
      </c>
      <c r="X483" s="9">
        <f>STATS1003B!X504/1000</f>
        <v>1327.6205500000001</v>
      </c>
      <c r="Y483" s="9">
        <f>STATS1003B!Y504/1000</f>
        <v>0</v>
      </c>
      <c r="Z483" s="9">
        <f>STATS1003B!Z504/1000</f>
        <v>316.56344999999993</v>
      </c>
      <c r="AA483" s="9">
        <f>STATS1003B!AA504/1000</f>
        <v>1327.6205500000001</v>
      </c>
      <c r="AB483" s="9">
        <f>STATS1003B!AB504/1000</f>
        <v>316.56344999999993</v>
      </c>
    </row>
    <row r="484" spans="1:28" x14ac:dyDescent="0.35">
      <c r="A484" s="36"/>
      <c r="B484" s="8"/>
      <c r="C484" s="7" t="s">
        <v>151</v>
      </c>
      <c r="D484" s="21" t="s">
        <v>150</v>
      </c>
      <c r="E484" s="9">
        <f>STATS1003B!E505/1000</f>
        <v>3370.4960000000001</v>
      </c>
      <c r="F484" s="9">
        <f>STATS1003B!F505/1000</f>
        <v>312.64253000000002</v>
      </c>
      <c r="G484" s="9">
        <f>STATS1003B!G505/1000</f>
        <v>0</v>
      </c>
      <c r="H484" s="9">
        <f>STATS1003B!H505/1000</f>
        <v>312.64253000000002</v>
      </c>
      <c r="I484" s="9">
        <f>STATS1003B!I505/1000</f>
        <v>0</v>
      </c>
      <c r="J484" s="9">
        <f>STATS1003B!J505/1000</f>
        <v>0</v>
      </c>
      <c r="K484" s="9">
        <f>STATS1003B!K505/1000</f>
        <v>0</v>
      </c>
      <c r="L484" s="9">
        <f>STATS1003B!L505/1000</f>
        <v>0</v>
      </c>
      <c r="M484" s="9">
        <f>STATS1003B!M505/1000</f>
        <v>312.64253000000002</v>
      </c>
      <c r="N484" s="9">
        <f>STATS1003B!N505/1000</f>
        <v>0</v>
      </c>
      <c r="O484" s="9">
        <f>STATS1003B!O505/1000</f>
        <v>0</v>
      </c>
      <c r="P484" s="9">
        <f>STATS1003B!P505/1000</f>
        <v>0</v>
      </c>
      <c r="Q484" s="9">
        <f>STATS1003B!Q505/1000</f>
        <v>0</v>
      </c>
      <c r="R484" s="9">
        <f>STATS1003B!R505/1000</f>
        <v>0</v>
      </c>
      <c r="S484" s="9">
        <f>STATS1003B!S505/1000</f>
        <v>0</v>
      </c>
      <c r="T484" s="9">
        <f>STATS1003B!T505/1000</f>
        <v>0</v>
      </c>
      <c r="U484" s="9">
        <f>STATS1003B!U505/1000</f>
        <v>0</v>
      </c>
      <c r="V484" s="9">
        <f>STATS1003B!V505/1000</f>
        <v>312.64253000000002</v>
      </c>
      <c r="W484" s="9">
        <f>STATS1003B!W505/1000</f>
        <v>3057.8534699999996</v>
      </c>
      <c r="X484" s="9">
        <f>STATS1003B!X505/1000</f>
        <v>312.64253000000002</v>
      </c>
      <c r="Y484" s="9">
        <f>STATS1003B!Y505/1000</f>
        <v>0</v>
      </c>
      <c r="Z484" s="9">
        <f>STATS1003B!Z505/1000</f>
        <v>3057.8534699999996</v>
      </c>
      <c r="AA484" s="9">
        <f>STATS1003B!AA505/1000</f>
        <v>312.64253000000002</v>
      </c>
      <c r="AB484" s="9">
        <f>STATS1003B!AB505/1000</f>
        <v>3057.8534699999996</v>
      </c>
    </row>
    <row r="485" spans="1:28" x14ac:dyDescent="0.35">
      <c r="A485" s="36"/>
      <c r="B485" s="8"/>
      <c r="C485" s="7" t="s">
        <v>57</v>
      </c>
      <c r="D485" s="15" t="s">
        <v>163</v>
      </c>
      <c r="E485" s="9">
        <f>STATS1003B!E506/1000</f>
        <v>1694.2441999999999</v>
      </c>
      <c r="F485" s="9">
        <f>STATS1003B!F506/1000</f>
        <v>1670.31</v>
      </c>
      <c r="G485" s="9">
        <f>STATS1003B!G506/1000</f>
        <v>0</v>
      </c>
      <c r="H485" s="9">
        <f>STATS1003B!H506/1000</f>
        <v>1670.31</v>
      </c>
      <c r="I485" s="9">
        <f>STATS1003B!I506/1000</f>
        <v>0</v>
      </c>
      <c r="J485" s="9">
        <f>STATS1003B!J506/1000</f>
        <v>0</v>
      </c>
      <c r="K485" s="9">
        <f>STATS1003B!K506/1000</f>
        <v>0</v>
      </c>
      <c r="L485" s="9">
        <f>STATS1003B!L506/1000</f>
        <v>0</v>
      </c>
      <c r="M485" s="9">
        <f>STATS1003B!M506/1000</f>
        <v>1670.31</v>
      </c>
      <c r="N485" s="9">
        <f>STATS1003B!N506/1000</f>
        <v>23.934200000000001</v>
      </c>
      <c r="O485" s="9">
        <f>STATS1003B!O506/1000</f>
        <v>0</v>
      </c>
      <c r="P485" s="9">
        <f>STATS1003B!P506/1000</f>
        <v>23.934200000000001</v>
      </c>
      <c r="Q485" s="9">
        <f>STATS1003B!Q506/1000</f>
        <v>0</v>
      </c>
      <c r="R485" s="9">
        <f>STATS1003B!R506/1000</f>
        <v>0</v>
      </c>
      <c r="S485" s="9">
        <f>STATS1003B!S506/1000</f>
        <v>0</v>
      </c>
      <c r="T485" s="9">
        <f>STATS1003B!T506/1000</f>
        <v>0</v>
      </c>
      <c r="U485" s="9">
        <f>STATS1003B!U506/1000</f>
        <v>23.934200000000001</v>
      </c>
      <c r="V485" s="9">
        <f>STATS1003B!V506/1000</f>
        <v>1694.2441999999999</v>
      </c>
      <c r="W485" s="9">
        <f>STATS1003B!W506/1000</f>
        <v>0</v>
      </c>
      <c r="X485" s="9">
        <f>STATS1003B!X506/1000</f>
        <v>1694.2441999999999</v>
      </c>
      <c r="Y485" s="9">
        <f>STATS1003B!Y506/1000</f>
        <v>0</v>
      </c>
      <c r="Z485" s="9">
        <f>STATS1003B!Z506/1000</f>
        <v>0</v>
      </c>
      <c r="AA485" s="9">
        <f>STATS1003B!AA506/1000</f>
        <v>1694.2441999999999</v>
      </c>
      <c r="AB485" s="9">
        <f>STATS1003B!AB506/1000</f>
        <v>0</v>
      </c>
    </row>
    <row r="486" spans="1:28" x14ac:dyDescent="0.35">
      <c r="A486" s="36"/>
      <c r="B486" s="8"/>
      <c r="C486" s="7" t="s">
        <v>159</v>
      </c>
      <c r="D486" s="15" t="s">
        <v>128</v>
      </c>
      <c r="E486" s="9">
        <f>STATS1003B!E507/1000</f>
        <v>570.94100000000003</v>
      </c>
      <c r="F486" s="9">
        <f>STATS1003B!F507/1000</f>
        <v>0</v>
      </c>
      <c r="G486" s="9">
        <f>STATS1003B!G507/1000</f>
        <v>0</v>
      </c>
      <c r="H486" s="9">
        <f>STATS1003B!H507/1000</f>
        <v>0</v>
      </c>
      <c r="I486" s="9">
        <f>STATS1003B!I507/1000</f>
        <v>0</v>
      </c>
      <c r="J486" s="9">
        <f>STATS1003B!J507/1000</f>
        <v>0</v>
      </c>
      <c r="K486" s="9">
        <f>STATS1003B!K507/1000</f>
        <v>0</v>
      </c>
      <c r="L486" s="9">
        <f>STATS1003B!L507/1000</f>
        <v>0</v>
      </c>
      <c r="M486" s="9">
        <f>STATS1003B!M507/1000</f>
        <v>0</v>
      </c>
      <c r="N486" s="9">
        <f>STATS1003B!N507/1000</f>
        <v>570.94100000000003</v>
      </c>
      <c r="O486" s="9">
        <f>STATS1003B!O507/1000</f>
        <v>0</v>
      </c>
      <c r="P486" s="9">
        <f>STATS1003B!P507/1000</f>
        <v>570.94100000000003</v>
      </c>
      <c r="Q486" s="9">
        <f>STATS1003B!Q507/1000</f>
        <v>0</v>
      </c>
      <c r="R486" s="9">
        <f>STATS1003B!R507/1000</f>
        <v>0</v>
      </c>
      <c r="S486" s="9">
        <f>STATS1003B!S507/1000</f>
        <v>0</v>
      </c>
      <c r="T486" s="9">
        <f>STATS1003B!T507/1000</f>
        <v>0</v>
      </c>
      <c r="U486" s="9">
        <f>STATS1003B!U507/1000</f>
        <v>570.94100000000003</v>
      </c>
      <c r="V486" s="9">
        <f>STATS1003B!V507/1000</f>
        <v>570.94100000000003</v>
      </c>
      <c r="W486" s="9">
        <f>STATS1003B!W507/1000</f>
        <v>0</v>
      </c>
      <c r="X486" s="9">
        <f>STATS1003B!X507/1000</f>
        <v>570.94100000000003</v>
      </c>
      <c r="Y486" s="9">
        <f>STATS1003B!Y507/1000</f>
        <v>0</v>
      </c>
      <c r="Z486" s="9">
        <f>STATS1003B!Z507/1000</f>
        <v>0</v>
      </c>
      <c r="AA486" s="9">
        <f>STATS1003B!AA507/1000</f>
        <v>570.94100000000003</v>
      </c>
      <c r="AB486" s="9">
        <f>STATS1003B!AB507/1000</f>
        <v>0</v>
      </c>
    </row>
    <row r="487" spans="1:28" x14ac:dyDescent="0.35">
      <c r="A487" s="36"/>
      <c r="B487" s="8"/>
      <c r="C487" s="14" t="s">
        <v>109</v>
      </c>
      <c r="D487" s="21" t="s">
        <v>73</v>
      </c>
      <c r="E487" s="9">
        <f>STATS1003B!E508/1000</f>
        <v>310.17740000000003</v>
      </c>
      <c r="F487" s="9">
        <f>STATS1003B!F508/1000</f>
        <v>310.17740000000003</v>
      </c>
      <c r="G487" s="9">
        <f>STATS1003B!G508/1000</f>
        <v>0</v>
      </c>
      <c r="H487" s="9">
        <f>STATS1003B!H508/1000</f>
        <v>310.17740000000003</v>
      </c>
      <c r="I487" s="9">
        <f>STATS1003B!I508/1000</f>
        <v>0</v>
      </c>
      <c r="J487" s="9">
        <f>STATS1003B!J508/1000</f>
        <v>0</v>
      </c>
      <c r="K487" s="9">
        <f>STATS1003B!K508/1000</f>
        <v>0</v>
      </c>
      <c r="L487" s="9">
        <f>STATS1003B!L508/1000</f>
        <v>0</v>
      </c>
      <c r="M487" s="9">
        <f>STATS1003B!M508/1000</f>
        <v>310.17740000000003</v>
      </c>
      <c r="N487" s="9">
        <f>STATS1003B!N508/1000</f>
        <v>0</v>
      </c>
      <c r="O487" s="9">
        <f>STATS1003B!O508/1000</f>
        <v>0</v>
      </c>
      <c r="P487" s="9">
        <f>STATS1003B!P508/1000</f>
        <v>0</v>
      </c>
      <c r="Q487" s="9">
        <f>STATS1003B!Q508/1000</f>
        <v>0</v>
      </c>
      <c r="R487" s="9">
        <f>STATS1003B!R508/1000</f>
        <v>0</v>
      </c>
      <c r="S487" s="9">
        <f>STATS1003B!S508/1000</f>
        <v>0</v>
      </c>
      <c r="T487" s="9">
        <f>STATS1003B!T508/1000</f>
        <v>0</v>
      </c>
      <c r="U487" s="9">
        <f>STATS1003B!U508/1000</f>
        <v>0</v>
      </c>
      <c r="V487" s="9">
        <f>STATS1003B!V508/1000</f>
        <v>310.17740000000003</v>
      </c>
      <c r="W487" s="9">
        <f>STATS1003B!W508/1000</f>
        <v>0</v>
      </c>
      <c r="X487" s="9">
        <f>STATS1003B!X508/1000</f>
        <v>310.17740000000003</v>
      </c>
      <c r="Y487" s="9">
        <f>STATS1003B!Y508/1000</f>
        <v>0</v>
      </c>
      <c r="Z487" s="9">
        <f>STATS1003B!Z508/1000</f>
        <v>0</v>
      </c>
      <c r="AA487" s="9">
        <f>STATS1003B!AA508/1000</f>
        <v>310.17740000000003</v>
      </c>
      <c r="AB487" s="9">
        <f>STATS1003B!AB508/1000</f>
        <v>0</v>
      </c>
    </row>
    <row r="488" spans="1:28" x14ac:dyDescent="0.35">
      <c r="A488" s="36"/>
      <c r="B488" s="8"/>
      <c r="C488" s="8"/>
      <c r="D488" s="8"/>
      <c r="E488" s="17" t="s">
        <v>29</v>
      </c>
      <c r="F488" s="17" t="s">
        <v>29</v>
      </c>
      <c r="G488" s="17" t="s">
        <v>29</v>
      </c>
      <c r="H488" s="17" t="s">
        <v>29</v>
      </c>
      <c r="I488" s="17" t="s">
        <v>29</v>
      </c>
      <c r="J488" s="17" t="s">
        <v>29</v>
      </c>
      <c r="K488" s="17" t="s">
        <v>29</v>
      </c>
      <c r="L488" s="17" t="s">
        <v>29</v>
      </c>
      <c r="M488" s="17" t="s">
        <v>29</v>
      </c>
      <c r="N488" s="17" t="s">
        <v>29</v>
      </c>
      <c r="O488" s="17" t="s">
        <v>29</v>
      </c>
      <c r="P488" s="17" t="s">
        <v>29</v>
      </c>
      <c r="Q488" s="17" t="s">
        <v>29</v>
      </c>
      <c r="R488" s="17" t="s">
        <v>29</v>
      </c>
      <c r="S488" s="17" t="s">
        <v>29</v>
      </c>
      <c r="T488" s="17" t="s">
        <v>29</v>
      </c>
      <c r="U488" s="17" t="s">
        <v>29</v>
      </c>
      <c r="V488" s="17" t="s">
        <v>29</v>
      </c>
      <c r="W488" s="17" t="s">
        <v>29</v>
      </c>
      <c r="X488" s="17" t="s">
        <v>29</v>
      </c>
      <c r="Y488" s="17" t="s">
        <v>29</v>
      </c>
      <c r="Z488" s="17" t="s">
        <v>29</v>
      </c>
      <c r="AA488" s="17" t="s">
        <v>29</v>
      </c>
      <c r="AB488" s="17" t="s">
        <v>29</v>
      </c>
    </row>
    <row r="489" spans="1:28" x14ac:dyDescent="0.35">
      <c r="A489" s="36"/>
      <c r="B489" s="8"/>
      <c r="C489" s="9"/>
      <c r="D489" s="9"/>
      <c r="E489" s="9">
        <f t="shared" ref="E489:AB489" si="30">SUM(E483:E487)</f>
        <v>7590.0426000000007</v>
      </c>
      <c r="F489" s="9">
        <f t="shared" si="30"/>
        <v>3409.0404800000001</v>
      </c>
      <c r="G489" s="9">
        <f t="shared" si="30"/>
        <v>0</v>
      </c>
      <c r="H489" s="9">
        <f t="shared" si="30"/>
        <v>3409.0404800000001</v>
      </c>
      <c r="I489" s="9">
        <f t="shared" si="30"/>
        <v>0</v>
      </c>
      <c r="J489" s="9">
        <f t="shared" si="30"/>
        <v>0</v>
      </c>
      <c r="K489" s="9">
        <f t="shared" si="30"/>
        <v>0</v>
      </c>
      <c r="L489" s="9">
        <f t="shared" si="30"/>
        <v>0</v>
      </c>
      <c r="M489" s="9">
        <f t="shared" si="30"/>
        <v>3409.0404800000001</v>
      </c>
      <c r="N489" s="9">
        <f t="shared" si="30"/>
        <v>806.58519999999999</v>
      </c>
      <c r="O489" s="9">
        <f t="shared" si="30"/>
        <v>0</v>
      </c>
      <c r="P489" s="9">
        <f t="shared" si="30"/>
        <v>806.58519999999999</v>
      </c>
      <c r="Q489" s="9">
        <f t="shared" si="30"/>
        <v>0</v>
      </c>
      <c r="R489" s="9">
        <f t="shared" si="30"/>
        <v>0</v>
      </c>
      <c r="S489" s="9">
        <f t="shared" si="30"/>
        <v>0</v>
      </c>
      <c r="T489" s="9">
        <f t="shared" si="30"/>
        <v>0</v>
      </c>
      <c r="U489" s="9">
        <f t="shared" si="30"/>
        <v>806.58519999999999</v>
      </c>
      <c r="V489" s="9">
        <f t="shared" si="30"/>
        <v>4215.6256799999992</v>
      </c>
      <c r="W489" s="9">
        <f t="shared" si="30"/>
        <v>3374.4169199999997</v>
      </c>
      <c r="X489" s="9">
        <f t="shared" si="30"/>
        <v>4215.6256799999992</v>
      </c>
      <c r="Y489" s="9">
        <f t="shared" si="30"/>
        <v>0</v>
      </c>
      <c r="Z489" s="9">
        <f t="shared" si="30"/>
        <v>3374.4169199999997</v>
      </c>
      <c r="AA489" s="9">
        <f t="shared" si="30"/>
        <v>4215.6256799999992</v>
      </c>
      <c r="AB489" s="9">
        <f t="shared" si="30"/>
        <v>3374.4169199999997</v>
      </c>
    </row>
    <row r="490" spans="1:28" x14ac:dyDescent="0.35">
      <c r="A490" s="36"/>
      <c r="B490" s="8"/>
      <c r="C490" s="9"/>
      <c r="D490" s="9"/>
      <c r="E490" s="17" t="s">
        <v>29</v>
      </c>
      <c r="F490" s="17" t="s">
        <v>29</v>
      </c>
      <c r="G490" s="17" t="s">
        <v>29</v>
      </c>
      <c r="H490" s="17" t="s">
        <v>29</v>
      </c>
      <c r="I490" s="17" t="s">
        <v>29</v>
      </c>
      <c r="J490" s="17" t="s">
        <v>29</v>
      </c>
      <c r="K490" s="17" t="s">
        <v>29</v>
      </c>
      <c r="L490" s="17" t="s">
        <v>29</v>
      </c>
      <c r="M490" s="17" t="s">
        <v>29</v>
      </c>
      <c r="N490" s="17" t="s">
        <v>29</v>
      </c>
      <c r="O490" s="17" t="s">
        <v>29</v>
      </c>
      <c r="P490" s="17" t="s">
        <v>29</v>
      </c>
      <c r="Q490" s="17" t="s">
        <v>29</v>
      </c>
      <c r="R490" s="17" t="s">
        <v>29</v>
      </c>
      <c r="S490" s="17" t="s">
        <v>29</v>
      </c>
      <c r="T490" s="17" t="s">
        <v>29</v>
      </c>
      <c r="U490" s="17" t="s">
        <v>29</v>
      </c>
      <c r="V490" s="17" t="s">
        <v>29</v>
      </c>
      <c r="W490" s="17" t="s">
        <v>29</v>
      </c>
      <c r="X490" s="17" t="s">
        <v>29</v>
      </c>
      <c r="Y490" s="17" t="s">
        <v>29</v>
      </c>
      <c r="Z490" s="17" t="s">
        <v>29</v>
      </c>
      <c r="AA490" s="17" t="s">
        <v>29</v>
      </c>
      <c r="AB490" s="17" t="s">
        <v>29</v>
      </c>
    </row>
    <row r="491" spans="1:28" x14ac:dyDescent="0.35">
      <c r="A491" s="38" t="s">
        <v>958</v>
      </c>
      <c r="B491" s="7" t="s">
        <v>164</v>
      </c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8" x14ac:dyDescent="0.35">
      <c r="A492" s="36"/>
      <c r="B492" s="8"/>
      <c r="C492" s="7" t="s">
        <v>75</v>
      </c>
      <c r="D492" s="21" t="s">
        <v>150</v>
      </c>
      <c r="E492" s="9">
        <f>STATS1003B!E513/1000</f>
        <v>595</v>
      </c>
      <c r="F492" s="9">
        <f>STATS1003B!F513/1000</f>
        <v>0</v>
      </c>
      <c r="G492" s="9">
        <f>STATS1003B!G513/1000</f>
        <v>0</v>
      </c>
      <c r="H492" s="9">
        <f>STATS1003B!H513/1000</f>
        <v>0</v>
      </c>
      <c r="I492" s="9">
        <f>STATS1003B!I513/1000</f>
        <v>0</v>
      </c>
      <c r="J492" s="9">
        <f>STATS1003B!J513/1000</f>
        <v>0</v>
      </c>
      <c r="K492" s="9">
        <f>STATS1003B!K513/1000</f>
        <v>0</v>
      </c>
      <c r="L492" s="9">
        <f>STATS1003B!L513/1000</f>
        <v>0</v>
      </c>
      <c r="M492" s="9">
        <f>STATS1003B!M513/1000</f>
        <v>0</v>
      </c>
      <c r="N492" s="9">
        <f>STATS1003B!N513/1000</f>
        <v>477.71688</v>
      </c>
      <c r="O492" s="9">
        <f>STATS1003B!O513/1000</f>
        <v>0</v>
      </c>
      <c r="P492" s="9">
        <f>STATS1003B!P513/1000</f>
        <v>477.71688</v>
      </c>
      <c r="Q492" s="9">
        <f>STATS1003B!Q513/1000</f>
        <v>0</v>
      </c>
      <c r="R492" s="9">
        <f>STATS1003B!R513/1000</f>
        <v>0</v>
      </c>
      <c r="S492" s="9">
        <f>STATS1003B!S513/1000</f>
        <v>0</v>
      </c>
      <c r="T492" s="9">
        <f>STATS1003B!T513/1000</f>
        <v>0</v>
      </c>
      <c r="U492" s="9">
        <f>STATS1003B!U513/1000</f>
        <v>477.71688</v>
      </c>
      <c r="V492" s="9">
        <f>STATS1003B!V513/1000</f>
        <v>477.71688</v>
      </c>
      <c r="W492" s="9">
        <f>STATS1003B!W513/1000</f>
        <v>117.28312</v>
      </c>
      <c r="X492" s="9">
        <f>STATS1003B!X513/1000</f>
        <v>477.71688</v>
      </c>
      <c r="Y492" s="9">
        <f>STATS1003B!Y513/1000</f>
        <v>0</v>
      </c>
      <c r="Z492" s="9">
        <f>STATS1003B!Z513/1000</f>
        <v>117.28312</v>
      </c>
      <c r="AA492" s="9">
        <f>STATS1003B!AA513/1000</f>
        <v>477.71688</v>
      </c>
      <c r="AB492" s="9">
        <f>STATS1003B!AB513/1000</f>
        <v>117.28312</v>
      </c>
    </row>
    <row r="493" spans="1:28" x14ac:dyDescent="0.35">
      <c r="A493" s="36"/>
      <c r="B493" s="8"/>
      <c r="C493" s="7" t="s">
        <v>165</v>
      </c>
      <c r="D493" s="21" t="s">
        <v>166</v>
      </c>
      <c r="E493" s="9">
        <f>STATS1003B!E514/1000</f>
        <v>667.07737999999995</v>
      </c>
      <c r="F493" s="9">
        <f>STATS1003B!F514/1000</f>
        <v>667.07737999999995</v>
      </c>
      <c r="G493" s="9">
        <f>STATS1003B!G514/1000</f>
        <v>0</v>
      </c>
      <c r="H493" s="9">
        <f>STATS1003B!H514/1000</f>
        <v>667.07737999999995</v>
      </c>
      <c r="I493" s="9">
        <f>STATS1003B!I514/1000</f>
        <v>0</v>
      </c>
      <c r="J493" s="9">
        <f>STATS1003B!J514/1000</f>
        <v>0</v>
      </c>
      <c r="K493" s="9">
        <f>STATS1003B!K514/1000</f>
        <v>0</v>
      </c>
      <c r="L493" s="9">
        <f>STATS1003B!L514/1000</f>
        <v>0</v>
      </c>
      <c r="M493" s="9">
        <f>STATS1003B!M514/1000</f>
        <v>667.07737999999995</v>
      </c>
      <c r="N493" s="9">
        <f>STATS1003B!N514/1000</f>
        <v>0</v>
      </c>
      <c r="O493" s="9">
        <f>STATS1003B!O514/1000</f>
        <v>0</v>
      </c>
      <c r="P493" s="9">
        <f>STATS1003B!P514/1000</f>
        <v>0</v>
      </c>
      <c r="Q493" s="9">
        <f>STATS1003B!Q514/1000</f>
        <v>0</v>
      </c>
      <c r="R493" s="9">
        <f>STATS1003B!R514/1000</f>
        <v>0</v>
      </c>
      <c r="S493" s="9">
        <f>STATS1003B!S514/1000</f>
        <v>0</v>
      </c>
      <c r="T493" s="9">
        <f>STATS1003B!T514/1000</f>
        <v>0</v>
      </c>
      <c r="U493" s="9">
        <f>STATS1003B!U514/1000</f>
        <v>0</v>
      </c>
      <c r="V493" s="9">
        <f>STATS1003B!V514/1000</f>
        <v>667.07737999999995</v>
      </c>
      <c r="W493" s="9">
        <f>STATS1003B!W514/1000</f>
        <v>0</v>
      </c>
      <c r="X493" s="9">
        <f>STATS1003B!X514/1000</f>
        <v>667.07737999999995</v>
      </c>
      <c r="Y493" s="9">
        <f>STATS1003B!Y514/1000</f>
        <v>0</v>
      </c>
      <c r="Z493" s="9">
        <f>STATS1003B!Z514/1000</f>
        <v>0</v>
      </c>
      <c r="AA493" s="9">
        <f>STATS1003B!AA514/1000</f>
        <v>667.07737999999995</v>
      </c>
      <c r="AB493" s="9">
        <f>STATS1003B!AB514/1000</f>
        <v>0</v>
      </c>
    </row>
    <row r="494" spans="1:28" x14ac:dyDescent="0.35">
      <c r="A494" s="36"/>
      <c r="B494" s="8"/>
      <c r="C494" s="7" t="s">
        <v>167</v>
      </c>
      <c r="D494" s="15" t="s">
        <v>68</v>
      </c>
      <c r="E494" s="9">
        <f>STATS1003B!E515/1000</f>
        <v>159.16873999999999</v>
      </c>
      <c r="F494" s="9">
        <f>STATS1003B!F515/1000</f>
        <v>95.344200000000001</v>
      </c>
      <c r="G494" s="9">
        <f>STATS1003B!G515/1000</f>
        <v>0</v>
      </c>
      <c r="H494" s="9">
        <f>STATS1003B!H515/1000</f>
        <v>95.344200000000001</v>
      </c>
      <c r="I494" s="9">
        <f>STATS1003B!I515/1000</f>
        <v>0</v>
      </c>
      <c r="J494" s="9">
        <f>STATS1003B!J515/1000</f>
        <v>0</v>
      </c>
      <c r="K494" s="9">
        <f>STATS1003B!K515/1000</f>
        <v>0</v>
      </c>
      <c r="L494" s="9">
        <f>STATS1003B!L515/1000</f>
        <v>0</v>
      </c>
      <c r="M494" s="9">
        <f>STATS1003B!M515/1000</f>
        <v>95.344200000000001</v>
      </c>
      <c r="N494" s="9">
        <f>STATS1003B!N515/1000</f>
        <v>63.824539999999999</v>
      </c>
      <c r="O494" s="9">
        <f>STATS1003B!O515/1000</f>
        <v>0</v>
      </c>
      <c r="P494" s="9">
        <f>STATS1003B!P515/1000</f>
        <v>63.824539999999999</v>
      </c>
      <c r="Q494" s="9">
        <f>STATS1003B!Q515/1000</f>
        <v>0</v>
      </c>
      <c r="R494" s="9">
        <f>STATS1003B!R515/1000</f>
        <v>0</v>
      </c>
      <c r="S494" s="9">
        <f>STATS1003B!S515/1000</f>
        <v>0</v>
      </c>
      <c r="T494" s="9">
        <f>STATS1003B!T515/1000</f>
        <v>0</v>
      </c>
      <c r="U494" s="9">
        <f>STATS1003B!U515/1000</f>
        <v>63.824539999999999</v>
      </c>
      <c r="V494" s="9">
        <f>STATS1003B!V515/1000</f>
        <v>159.16873999999999</v>
      </c>
      <c r="W494" s="9">
        <f>STATS1003B!W515/1000</f>
        <v>0</v>
      </c>
      <c r="X494" s="9">
        <f>STATS1003B!X515/1000</f>
        <v>159.16873999999999</v>
      </c>
      <c r="Y494" s="9">
        <f>STATS1003B!Y515/1000</f>
        <v>0</v>
      </c>
      <c r="Z494" s="9">
        <f>STATS1003B!Z515/1000</f>
        <v>0</v>
      </c>
      <c r="AA494" s="9">
        <f>STATS1003B!AA515/1000</f>
        <v>159.16873999999999</v>
      </c>
      <c r="AB494" s="9">
        <f>STATS1003B!AB515/1000</f>
        <v>0</v>
      </c>
    </row>
    <row r="495" spans="1:28" x14ac:dyDescent="0.35">
      <c r="A495" s="36"/>
      <c r="B495" s="8"/>
      <c r="C495" s="7" t="s">
        <v>55</v>
      </c>
      <c r="D495" s="15" t="s">
        <v>168</v>
      </c>
      <c r="E495" s="9">
        <f>STATS1003B!E516/1000</f>
        <v>4270.4284000000007</v>
      </c>
      <c r="F495" s="9">
        <f>STATS1003B!F516/1000</f>
        <v>0</v>
      </c>
      <c r="G495" s="9">
        <f>STATS1003B!G516/1000</f>
        <v>0</v>
      </c>
      <c r="H495" s="9">
        <f>STATS1003B!H516/1000</f>
        <v>0</v>
      </c>
      <c r="I495" s="9">
        <f>STATS1003B!I516/1000</f>
        <v>0</v>
      </c>
      <c r="J495" s="9">
        <f>STATS1003B!J516/1000</f>
        <v>0</v>
      </c>
      <c r="K495" s="9">
        <f>STATS1003B!K516/1000</f>
        <v>0</v>
      </c>
      <c r="L495" s="9">
        <f>STATS1003B!L516/1000</f>
        <v>0</v>
      </c>
      <c r="M495" s="9">
        <f>STATS1003B!M516/1000</f>
        <v>0</v>
      </c>
      <c r="N495" s="9">
        <f>STATS1003B!N516/1000</f>
        <v>4270.4284000000007</v>
      </c>
      <c r="O495" s="9">
        <f>STATS1003B!O516/1000</f>
        <v>0</v>
      </c>
      <c r="P495" s="9">
        <f>STATS1003B!P516/1000</f>
        <v>4270.4284000000007</v>
      </c>
      <c r="Q495" s="9">
        <f>STATS1003B!Q516/1000</f>
        <v>0</v>
      </c>
      <c r="R495" s="9">
        <f>STATS1003B!R516/1000</f>
        <v>0</v>
      </c>
      <c r="S495" s="9">
        <f>STATS1003B!S516/1000</f>
        <v>0</v>
      </c>
      <c r="T495" s="9">
        <f>STATS1003B!T516/1000</f>
        <v>0</v>
      </c>
      <c r="U495" s="9">
        <f>STATS1003B!U516/1000</f>
        <v>4270.4284000000007</v>
      </c>
      <c r="V495" s="9">
        <f>STATS1003B!V516/1000</f>
        <v>4270.4284000000007</v>
      </c>
      <c r="W495" s="9">
        <f>STATS1003B!W516/1000</f>
        <v>0</v>
      </c>
      <c r="X495" s="9">
        <f>STATS1003B!X516/1000</f>
        <v>4270.4284000000007</v>
      </c>
      <c r="Y495" s="9">
        <f>STATS1003B!Y516/1000</f>
        <v>0</v>
      </c>
      <c r="Z495" s="9">
        <f>STATS1003B!Z516/1000</f>
        <v>0</v>
      </c>
      <c r="AA495" s="9">
        <f>STATS1003B!AA516/1000</f>
        <v>4270.4284000000007</v>
      </c>
      <c r="AB495" s="9">
        <f>STATS1003B!AB516/1000</f>
        <v>0</v>
      </c>
    </row>
    <row r="496" spans="1:28" x14ac:dyDescent="0.35">
      <c r="A496" s="36"/>
      <c r="B496" s="8"/>
      <c r="C496" s="7" t="s">
        <v>53</v>
      </c>
      <c r="D496" s="15" t="s">
        <v>54</v>
      </c>
      <c r="E496" s="9">
        <f>STATS1003B!E517/1000</f>
        <v>1953.989</v>
      </c>
      <c r="F496" s="9">
        <f>STATS1003B!F517/1000</f>
        <v>0</v>
      </c>
      <c r="G496" s="9">
        <f>STATS1003B!G517/1000</f>
        <v>0</v>
      </c>
      <c r="H496" s="9">
        <f>STATS1003B!H517/1000</f>
        <v>0</v>
      </c>
      <c r="I496" s="9">
        <f>STATS1003B!I517/1000</f>
        <v>0</v>
      </c>
      <c r="J496" s="9">
        <f>STATS1003B!J517/1000</f>
        <v>0</v>
      </c>
      <c r="K496" s="9">
        <f>STATS1003B!K517/1000</f>
        <v>0</v>
      </c>
      <c r="L496" s="9">
        <f>STATS1003B!L517/1000</f>
        <v>0</v>
      </c>
      <c r="M496" s="9">
        <f>STATS1003B!M517/1000</f>
        <v>0</v>
      </c>
      <c r="N496" s="9">
        <f>STATS1003B!N517/1000</f>
        <v>1953.989</v>
      </c>
      <c r="O496" s="9">
        <f>STATS1003B!O517/1000</f>
        <v>0</v>
      </c>
      <c r="P496" s="9">
        <f>STATS1003B!P517/1000</f>
        <v>1953.989</v>
      </c>
      <c r="Q496" s="9">
        <f>STATS1003B!Q517/1000</f>
        <v>0</v>
      </c>
      <c r="R496" s="9">
        <f>STATS1003B!R517/1000</f>
        <v>0</v>
      </c>
      <c r="S496" s="9">
        <f>STATS1003B!S517/1000</f>
        <v>0</v>
      </c>
      <c r="T496" s="9">
        <f>STATS1003B!T517/1000</f>
        <v>0</v>
      </c>
      <c r="U496" s="9">
        <f>STATS1003B!U517/1000</f>
        <v>1953.989</v>
      </c>
      <c r="V496" s="9">
        <f>STATS1003B!V517/1000</f>
        <v>1953.989</v>
      </c>
      <c r="W496" s="9">
        <f>STATS1003B!W517/1000</f>
        <v>0</v>
      </c>
      <c r="X496" s="9">
        <f>STATS1003B!X517/1000</f>
        <v>1953.989</v>
      </c>
      <c r="Y496" s="9">
        <f>STATS1003B!Y517/1000</f>
        <v>0</v>
      </c>
      <c r="Z496" s="9">
        <f>STATS1003B!Z517/1000</f>
        <v>0</v>
      </c>
      <c r="AA496" s="9">
        <f>STATS1003B!AA517/1000</f>
        <v>1953.989</v>
      </c>
      <c r="AB496" s="9">
        <f>STATS1003B!AB517/1000</f>
        <v>0</v>
      </c>
    </row>
    <row r="497" spans="1:28" x14ac:dyDescent="0.35">
      <c r="A497" s="36"/>
      <c r="B497" s="8"/>
      <c r="C497" s="7" t="s">
        <v>169</v>
      </c>
      <c r="D497" s="15" t="s">
        <v>54</v>
      </c>
      <c r="E497" s="9">
        <f>STATS1003B!E518/1000</f>
        <v>815.35</v>
      </c>
      <c r="F497" s="9">
        <f>STATS1003B!F518/1000</f>
        <v>815.35</v>
      </c>
      <c r="G497" s="9">
        <f>STATS1003B!G518/1000</f>
        <v>0</v>
      </c>
      <c r="H497" s="9">
        <f>STATS1003B!H518/1000</f>
        <v>815.35</v>
      </c>
      <c r="I497" s="9">
        <f>STATS1003B!I518/1000</f>
        <v>0</v>
      </c>
      <c r="J497" s="9">
        <f>STATS1003B!J518/1000</f>
        <v>0</v>
      </c>
      <c r="K497" s="9">
        <f>STATS1003B!K518/1000</f>
        <v>0</v>
      </c>
      <c r="L497" s="9">
        <f>STATS1003B!L518/1000</f>
        <v>0</v>
      </c>
      <c r="M497" s="9">
        <f>STATS1003B!M518/1000</f>
        <v>815.35</v>
      </c>
      <c r="N497" s="9">
        <f>STATS1003B!N518/1000</f>
        <v>0</v>
      </c>
      <c r="O497" s="9">
        <f>STATS1003B!O518/1000</f>
        <v>0</v>
      </c>
      <c r="P497" s="9">
        <f>STATS1003B!P518/1000</f>
        <v>0</v>
      </c>
      <c r="Q497" s="9">
        <f>STATS1003B!Q518/1000</f>
        <v>0</v>
      </c>
      <c r="R497" s="9">
        <f>STATS1003B!R518/1000</f>
        <v>0</v>
      </c>
      <c r="S497" s="9">
        <f>STATS1003B!S518/1000</f>
        <v>0</v>
      </c>
      <c r="T497" s="9">
        <f>STATS1003B!T518/1000</f>
        <v>0</v>
      </c>
      <c r="U497" s="9">
        <f>STATS1003B!U518/1000</f>
        <v>0</v>
      </c>
      <c r="V497" s="9">
        <f>STATS1003B!V518/1000</f>
        <v>815.35</v>
      </c>
      <c r="W497" s="9">
        <f>STATS1003B!W518/1000</f>
        <v>0</v>
      </c>
      <c r="X497" s="9">
        <f>STATS1003B!X518/1000</f>
        <v>815.35</v>
      </c>
      <c r="Y497" s="9">
        <f>STATS1003B!Y518/1000</f>
        <v>0</v>
      </c>
      <c r="Z497" s="9">
        <f>STATS1003B!Z518/1000</f>
        <v>0</v>
      </c>
      <c r="AA497" s="9">
        <f>STATS1003B!AA518/1000</f>
        <v>815.35</v>
      </c>
      <c r="AB497" s="9">
        <f>STATS1003B!AB518/1000</f>
        <v>0</v>
      </c>
    </row>
    <row r="498" spans="1:28" x14ac:dyDescent="0.35">
      <c r="A498" s="36"/>
      <c r="B498" s="8"/>
      <c r="C498" s="14" t="s">
        <v>109</v>
      </c>
      <c r="D498" s="21" t="s">
        <v>60</v>
      </c>
      <c r="E498" s="9">
        <f>STATS1003B!E519/1000</f>
        <v>2329.43912</v>
      </c>
      <c r="F498" s="9">
        <f>STATS1003B!F519/1000</f>
        <v>2329.43912</v>
      </c>
      <c r="G498" s="9">
        <f>STATS1003B!G519/1000</f>
        <v>0</v>
      </c>
      <c r="H498" s="9">
        <f>STATS1003B!H519/1000</f>
        <v>2329.43912</v>
      </c>
      <c r="I498" s="9">
        <f>STATS1003B!I519/1000</f>
        <v>0</v>
      </c>
      <c r="J498" s="9">
        <f>STATS1003B!J519/1000</f>
        <v>0</v>
      </c>
      <c r="K498" s="9">
        <f>STATS1003B!K519/1000</f>
        <v>0</v>
      </c>
      <c r="L498" s="9">
        <f>STATS1003B!L519/1000</f>
        <v>0</v>
      </c>
      <c r="M498" s="9">
        <f>STATS1003B!M519/1000</f>
        <v>2329.43912</v>
      </c>
      <c r="N498" s="9">
        <f>STATS1003B!N519/1000</f>
        <v>0</v>
      </c>
      <c r="O498" s="9">
        <f>STATS1003B!O519/1000</f>
        <v>0</v>
      </c>
      <c r="P498" s="9">
        <f>STATS1003B!P519/1000</f>
        <v>0</v>
      </c>
      <c r="Q498" s="9">
        <f>STATS1003B!Q519/1000</f>
        <v>0</v>
      </c>
      <c r="R498" s="9">
        <f>STATS1003B!R519/1000</f>
        <v>0</v>
      </c>
      <c r="S498" s="9">
        <f>STATS1003B!S519/1000</f>
        <v>0</v>
      </c>
      <c r="T498" s="9">
        <f>STATS1003B!T519/1000</f>
        <v>0</v>
      </c>
      <c r="U498" s="9">
        <f>STATS1003B!U519/1000</f>
        <v>0</v>
      </c>
      <c r="V498" s="9">
        <f>STATS1003B!V519/1000</f>
        <v>2329.43912</v>
      </c>
      <c r="W498" s="9">
        <f>STATS1003B!W519/1000</f>
        <v>0</v>
      </c>
      <c r="X498" s="9">
        <f>STATS1003B!X519/1000</f>
        <v>2329.43912</v>
      </c>
      <c r="Y498" s="9">
        <f>STATS1003B!Y519/1000</f>
        <v>0</v>
      </c>
      <c r="Z498" s="9">
        <f>STATS1003B!Z519/1000</f>
        <v>0</v>
      </c>
      <c r="AA498" s="9">
        <f>STATS1003B!AA519/1000</f>
        <v>2329.43912</v>
      </c>
      <c r="AB498" s="9">
        <f>STATS1003B!AB519/1000</f>
        <v>0</v>
      </c>
    </row>
    <row r="499" spans="1:28" x14ac:dyDescent="0.35">
      <c r="A499" s="36"/>
      <c r="B499" s="8"/>
      <c r="C499" s="14" t="s">
        <v>930</v>
      </c>
      <c r="D499" s="24" t="s">
        <v>1072</v>
      </c>
      <c r="E499" s="9">
        <f>STATS1003B!E520/1000</f>
        <v>304</v>
      </c>
      <c r="F499" s="9">
        <f>STATS1003B!F520/1000</f>
        <v>304</v>
      </c>
      <c r="G499" s="9">
        <f>STATS1003B!G520/1000</f>
        <v>0</v>
      </c>
      <c r="H499" s="9">
        <f>STATS1003B!H520/1000</f>
        <v>304</v>
      </c>
      <c r="I499" s="9">
        <f>STATS1003B!I520/1000</f>
        <v>0</v>
      </c>
      <c r="J499" s="9">
        <f>STATS1003B!J520/1000</f>
        <v>0</v>
      </c>
      <c r="K499" s="9">
        <f>STATS1003B!K520/1000</f>
        <v>0</v>
      </c>
      <c r="L499" s="9">
        <f>STATS1003B!L520/1000</f>
        <v>0</v>
      </c>
      <c r="M499" s="9">
        <f>STATS1003B!M520/1000</f>
        <v>304</v>
      </c>
      <c r="N499" s="9">
        <f>STATS1003B!N520/1000</f>
        <v>0</v>
      </c>
      <c r="O499" s="9">
        <f>STATS1003B!O520/1000</f>
        <v>0</v>
      </c>
      <c r="P499" s="9">
        <f>STATS1003B!P520/1000</f>
        <v>0</v>
      </c>
      <c r="Q499" s="9">
        <f>STATS1003B!Q520/1000</f>
        <v>0</v>
      </c>
      <c r="R499" s="9">
        <f>STATS1003B!R520/1000</f>
        <v>0</v>
      </c>
      <c r="S499" s="9">
        <f>STATS1003B!S520/1000</f>
        <v>0</v>
      </c>
      <c r="T499" s="9">
        <f>STATS1003B!T520/1000</f>
        <v>0</v>
      </c>
      <c r="U499" s="9">
        <f>STATS1003B!U520/1000</f>
        <v>0</v>
      </c>
      <c r="V499" s="9">
        <f>STATS1003B!V520/1000</f>
        <v>304</v>
      </c>
      <c r="W499" s="9">
        <f>STATS1003B!W520/1000</f>
        <v>0</v>
      </c>
      <c r="X499" s="9">
        <f>STATS1003B!X520/1000</f>
        <v>304</v>
      </c>
      <c r="Y499" s="9">
        <f>STATS1003B!Y520/1000</f>
        <v>0</v>
      </c>
      <c r="Z499" s="9">
        <f>STATS1003B!Z520/1000</f>
        <v>0</v>
      </c>
      <c r="AA499" s="9">
        <f>STATS1003B!AA520/1000</f>
        <v>304</v>
      </c>
      <c r="AB499" s="9">
        <f>STATS1003B!AB520/1000</f>
        <v>0</v>
      </c>
    </row>
    <row r="500" spans="1:28" x14ac:dyDescent="0.35">
      <c r="A500" s="36"/>
      <c r="B500" s="8"/>
      <c r="C500" s="7" t="s">
        <v>170</v>
      </c>
      <c r="D500" s="24" t="s">
        <v>61</v>
      </c>
      <c r="E500" s="9">
        <f>STATS1003B!E521/1000</f>
        <v>366</v>
      </c>
      <c r="F500" s="9">
        <f>STATS1003B!F521/1000</f>
        <v>366</v>
      </c>
      <c r="G500" s="9">
        <f>STATS1003B!G521/1000</f>
        <v>0</v>
      </c>
      <c r="H500" s="9">
        <f>STATS1003B!H521/1000</f>
        <v>366</v>
      </c>
      <c r="I500" s="9">
        <f>STATS1003B!I521/1000</f>
        <v>0</v>
      </c>
      <c r="J500" s="9">
        <f>STATS1003B!J521/1000</f>
        <v>0</v>
      </c>
      <c r="K500" s="9">
        <f>STATS1003B!K521/1000</f>
        <v>0</v>
      </c>
      <c r="L500" s="9">
        <f>STATS1003B!L521/1000</f>
        <v>0</v>
      </c>
      <c r="M500" s="9">
        <f>STATS1003B!M521/1000</f>
        <v>366</v>
      </c>
      <c r="N500" s="9">
        <f>STATS1003B!N521/1000</f>
        <v>0</v>
      </c>
      <c r="O500" s="9">
        <f>STATS1003B!O521/1000</f>
        <v>0</v>
      </c>
      <c r="P500" s="9">
        <f>STATS1003B!P521/1000</f>
        <v>0</v>
      </c>
      <c r="Q500" s="9">
        <f>STATS1003B!Q521/1000</f>
        <v>0</v>
      </c>
      <c r="R500" s="9">
        <f>STATS1003B!R521/1000</f>
        <v>0</v>
      </c>
      <c r="S500" s="9">
        <f>STATS1003B!S521/1000</f>
        <v>0</v>
      </c>
      <c r="T500" s="9">
        <f>STATS1003B!T521/1000</f>
        <v>0</v>
      </c>
      <c r="U500" s="9">
        <f>STATS1003B!U521/1000</f>
        <v>0</v>
      </c>
      <c r="V500" s="9">
        <f>STATS1003B!V521/1000</f>
        <v>366</v>
      </c>
      <c r="W500" s="9">
        <f>STATS1003B!W521/1000</f>
        <v>0</v>
      </c>
      <c r="X500" s="9">
        <f>STATS1003B!X521/1000</f>
        <v>366</v>
      </c>
      <c r="Y500" s="9">
        <f>STATS1003B!Y521/1000</f>
        <v>0</v>
      </c>
      <c r="Z500" s="9">
        <f>STATS1003B!Z521/1000</f>
        <v>0</v>
      </c>
      <c r="AA500" s="9">
        <f>STATS1003B!AA521/1000</f>
        <v>366</v>
      </c>
      <c r="AB500" s="9">
        <f>STATS1003B!AB521/1000</f>
        <v>0</v>
      </c>
    </row>
    <row r="501" spans="1:28" x14ac:dyDescent="0.35">
      <c r="A501" s="36"/>
      <c r="B501" s="8"/>
      <c r="C501" s="9"/>
      <c r="D501" s="9"/>
      <c r="E501" s="17" t="s">
        <v>29</v>
      </c>
      <c r="F501" s="17" t="s">
        <v>29</v>
      </c>
      <c r="G501" s="17" t="s">
        <v>29</v>
      </c>
      <c r="H501" s="17" t="s">
        <v>29</v>
      </c>
      <c r="I501" s="17" t="s">
        <v>29</v>
      </c>
      <c r="J501" s="17" t="s">
        <v>29</v>
      </c>
      <c r="K501" s="17" t="s">
        <v>29</v>
      </c>
      <c r="L501" s="17" t="s">
        <v>29</v>
      </c>
      <c r="M501" s="17" t="s">
        <v>29</v>
      </c>
      <c r="N501" s="17" t="s">
        <v>29</v>
      </c>
      <c r="O501" s="17" t="s">
        <v>29</v>
      </c>
      <c r="P501" s="17" t="s">
        <v>29</v>
      </c>
      <c r="Q501" s="17" t="s">
        <v>29</v>
      </c>
      <c r="R501" s="17" t="s">
        <v>29</v>
      </c>
      <c r="S501" s="17" t="s">
        <v>29</v>
      </c>
      <c r="T501" s="17" t="s">
        <v>29</v>
      </c>
      <c r="U501" s="17" t="s">
        <v>29</v>
      </c>
      <c r="V501" s="17" t="s">
        <v>29</v>
      </c>
      <c r="W501" s="17" t="s">
        <v>29</v>
      </c>
      <c r="X501" s="17" t="s">
        <v>29</v>
      </c>
      <c r="Y501" s="17" t="s">
        <v>29</v>
      </c>
      <c r="Z501" s="17" t="s">
        <v>29</v>
      </c>
      <c r="AA501" s="17" t="s">
        <v>29</v>
      </c>
      <c r="AB501" s="17" t="s">
        <v>29</v>
      </c>
    </row>
    <row r="502" spans="1:28" x14ac:dyDescent="0.35">
      <c r="A502" s="36"/>
      <c r="B502" s="8"/>
      <c r="C502" s="9"/>
      <c r="D502" s="9"/>
      <c r="E502" s="9">
        <f t="shared" ref="E502:AB502" si="31">SUM(E492:E500)</f>
        <v>11460.45264</v>
      </c>
      <c r="F502" s="9">
        <f t="shared" si="31"/>
        <v>4577.2106999999996</v>
      </c>
      <c r="G502" s="9">
        <f t="shared" si="31"/>
        <v>0</v>
      </c>
      <c r="H502" s="9">
        <f t="shared" si="31"/>
        <v>4577.2106999999996</v>
      </c>
      <c r="I502" s="9">
        <f t="shared" si="31"/>
        <v>0</v>
      </c>
      <c r="J502" s="9">
        <f t="shared" si="31"/>
        <v>0</v>
      </c>
      <c r="K502" s="9">
        <f t="shared" si="31"/>
        <v>0</v>
      </c>
      <c r="L502" s="9">
        <f t="shared" si="31"/>
        <v>0</v>
      </c>
      <c r="M502" s="9">
        <f t="shared" si="31"/>
        <v>4577.2106999999996</v>
      </c>
      <c r="N502" s="9">
        <f t="shared" si="31"/>
        <v>6765.9588199999998</v>
      </c>
      <c r="O502" s="9">
        <f t="shared" si="31"/>
        <v>0</v>
      </c>
      <c r="P502" s="9">
        <f t="shared" si="31"/>
        <v>6765.9588199999998</v>
      </c>
      <c r="Q502" s="9">
        <f t="shared" si="31"/>
        <v>0</v>
      </c>
      <c r="R502" s="9">
        <f t="shared" si="31"/>
        <v>0</v>
      </c>
      <c r="S502" s="9">
        <f t="shared" si="31"/>
        <v>0</v>
      </c>
      <c r="T502" s="9">
        <f t="shared" si="31"/>
        <v>0</v>
      </c>
      <c r="U502" s="9">
        <f t="shared" si="31"/>
        <v>6765.9588199999998</v>
      </c>
      <c r="V502" s="9">
        <f t="shared" si="31"/>
        <v>11343.169519999999</v>
      </c>
      <c r="W502" s="9">
        <f t="shared" si="31"/>
        <v>117.28312</v>
      </c>
      <c r="X502" s="9">
        <f t="shared" si="31"/>
        <v>11343.169519999999</v>
      </c>
      <c r="Y502" s="9">
        <f t="shared" si="31"/>
        <v>0</v>
      </c>
      <c r="Z502" s="9">
        <f t="shared" si="31"/>
        <v>117.28312</v>
      </c>
      <c r="AA502" s="9">
        <f t="shared" si="31"/>
        <v>11343.169519999999</v>
      </c>
      <c r="AB502" s="9">
        <f t="shared" si="31"/>
        <v>117.28312</v>
      </c>
    </row>
    <row r="503" spans="1:28" x14ac:dyDescent="0.35">
      <c r="A503" s="36"/>
      <c r="B503" s="8"/>
      <c r="C503" s="8"/>
      <c r="D503" s="8"/>
      <c r="E503" s="17" t="s">
        <v>29</v>
      </c>
      <c r="F503" s="17" t="s">
        <v>29</v>
      </c>
      <c r="G503" s="17" t="s">
        <v>29</v>
      </c>
      <c r="H503" s="17" t="s">
        <v>29</v>
      </c>
      <c r="I503" s="17" t="s">
        <v>29</v>
      </c>
      <c r="J503" s="17" t="s">
        <v>29</v>
      </c>
      <c r="K503" s="17" t="s">
        <v>29</v>
      </c>
      <c r="L503" s="17" t="s">
        <v>29</v>
      </c>
      <c r="M503" s="17" t="s">
        <v>29</v>
      </c>
      <c r="N503" s="17" t="s">
        <v>29</v>
      </c>
      <c r="O503" s="17" t="s">
        <v>29</v>
      </c>
      <c r="P503" s="17" t="s">
        <v>29</v>
      </c>
      <c r="Q503" s="17" t="s">
        <v>29</v>
      </c>
      <c r="R503" s="17" t="s">
        <v>29</v>
      </c>
      <c r="S503" s="17" t="s">
        <v>29</v>
      </c>
      <c r="T503" s="17" t="s">
        <v>29</v>
      </c>
      <c r="U503" s="17" t="s">
        <v>29</v>
      </c>
      <c r="V503" s="17" t="s">
        <v>29</v>
      </c>
      <c r="W503" s="17" t="s">
        <v>29</v>
      </c>
      <c r="X503" s="17" t="s">
        <v>29</v>
      </c>
      <c r="Y503" s="17" t="s">
        <v>29</v>
      </c>
      <c r="Z503" s="17" t="s">
        <v>29</v>
      </c>
      <c r="AA503" s="17" t="s">
        <v>29</v>
      </c>
      <c r="AB503" s="17" t="s">
        <v>29</v>
      </c>
    </row>
    <row r="504" spans="1:28" x14ac:dyDescent="0.35">
      <c r="A504" s="38" t="s">
        <v>959</v>
      </c>
      <c r="B504" s="7" t="s">
        <v>171</v>
      </c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8" x14ac:dyDescent="0.35">
      <c r="A505" s="36"/>
      <c r="B505" s="8"/>
      <c r="C505" s="7" t="s">
        <v>75</v>
      </c>
      <c r="D505" s="21" t="s">
        <v>76</v>
      </c>
      <c r="E505" s="9">
        <f>STATS1003B!E526/1000</f>
        <v>4522</v>
      </c>
      <c r="F505" s="9">
        <f>STATS1003B!F526/1000</f>
        <v>868.22649999999999</v>
      </c>
      <c r="G505" s="9">
        <f>STATS1003B!G526/1000</f>
        <v>0</v>
      </c>
      <c r="H505" s="9">
        <f>STATS1003B!H526/1000</f>
        <v>868.22649999999999</v>
      </c>
      <c r="I505" s="9">
        <f>STATS1003B!I526/1000</f>
        <v>0</v>
      </c>
      <c r="J505" s="9">
        <f>STATS1003B!J526/1000</f>
        <v>0</v>
      </c>
      <c r="K505" s="9">
        <f>STATS1003B!K526/1000</f>
        <v>0</v>
      </c>
      <c r="L505" s="9">
        <f>STATS1003B!L526/1000</f>
        <v>0</v>
      </c>
      <c r="M505" s="9">
        <f>STATS1003B!M526/1000</f>
        <v>868.22649999999999</v>
      </c>
      <c r="N505" s="9">
        <f>STATS1003B!N526/1000</f>
        <v>2367.26262</v>
      </c>
      <c r="O505" s="9">
        <f>STATS1003B!O526/1000</f>
        <v>0</v>
      </c>
      <c r="P505" s="9">
        <f>STATS1003B!P526/1000</f>
        <v>2367.26262</v>
      </c>
      <c r="Q505" s="9">
        <f>STATS1003B!Q526/1000</f>
        <v>0</v>
      </c>
      <c r="R505" s="9">
        <f>STATS1003B!R526/1000</f>
        <v>0</v>
      </c>
      <c r="S505" s="9">
        <f>STATS1003B!S526/1000</f>
        <v>0</v>
      </c>
      <c r="T505" s="9">
        <f>STATS1003B!T526/1000</f>
        <v>0</v>
      </c>
      <c r="U505" s="9">
        <f>STATS1003B!U526/1000</f>
        <v>2367.26262</v>
      </c>
      <c r="V505" s="9">
        <f>STATS1003B!V526/1000</f>
        <v>3235.4891200000002</v>
      </c>
      <c r="W505" s="9">
        <f>STATS1003B!W526/1000</f>
        <v>1286.5108799999998</v>
      </c>
      <c r="X505" s="9">
        <f>STATS1003B!X526/1000</f>
        <v>3235.4891200000002</v>
      </c>
      <c r="Y505" s="9">
        <f>STATS1003B!Y526/1000</f>
        <v>0</v>
      </c>
      <c r="Z505" s="9">
        <f>STATS1003B!Z526/1000</f>
        <v>1286.5108799999998</v>
      </c>
      <c r="AA505" s="9">
        <f>STATS1003B!AA526/1000</f>
        <v>3235.4891200000002</v>
      </c>
      <c r="AB505" s="9">
        <f>STATS1003B!AB526/1000</f>
        <v>1286.5108799999998</v>
      </c>
    </row>
    <row r="506" spans="1:28" x14ac:dyDescent="0.35">
      <c r="A506" s="36"/>
      <c r="B506" s="8"/>
      <c r="C506" s="7" t="s">
        <v>172</v>
      </c>
      <c r="D506" s="21" t="s">
        <v>150</v>
      </c>
      <c r="E506" s="9">
        <f>STATS1003B!E527/1000</f>
        <v>167.089</v>
      </c>
      <c r="F506" s="9">
        <f>STATS1003B!F527/1000</f>
        <v>167.089</v>
      </c>
      <c r="G506" s="9">
        <f>STATS1003B!G527/1000</f>
        <v>0</v>
      </c>
      <c r="H506" s="9">
        <f>STATS1003B!H527/1000</f>
        <v>167.089</v>
      </c>
      <c r="I506" s="9">
        <f>STATS1003B!I527/1000</f>
        <v>0</v>
      </c>
      <c r="J506" s="9">
        <f>STATS1003B!J527/1000</f>
        <v>0</v>
      </c>
      <c r="K506" s="9">
        <f>STATS1003B!K527/1000</f>
        <v>0</v>
      </c>
      <c r="L506" s="9">
        <f>STATS1003B!L527/1000</f>
        <v>0</v>
      </c>
      <c r="M506" s="9">
        <f>STATS1003B!M527/1000</f>
        <v>167.089</v>
      </c>
      <c r="N506" s="9">
        <f>STATS1003B!N527/1000</f>
        <v>0</v>
      </c>
      <c r="O506" s="9">
        <f>STATS1003B!O527/1000</f>
        <v>0</v>
      </c>
      <c r="P506" s="9">
        <f>STATS1003B!P527/1000</f>
        <v>0</v>
      </c>
      <c r="Q506" s="9">
        <f>STATS1003B!Q527/1000</f>
        <v>0</v>
      </c>
      <c r="R506" s="9">
        <f>STATS1003B!R527/1000</f>
        <v>0</v>
      </c>
      <c r="S506" s="9">
        <f>STATS1003B!S527/1000</f>
        <v>0</v>
      </c>
      <c r="T506" s="9">
        <f>STATS1003B!T527/1000</f>
        <v>0</v>
      </c>
      <c r="U506" s="9">
        <f>STATS1003B!U527/1000</f>
        <v>0</v>
      </c>
      <c r="V506" s="9">
        <f>STATS1003B!V527/1000</f>
        <v>167.089</v>
      </c>
      <c r="W506" s="9">
        <f>STATS1003B!W527/1000</f>
        <v>0</v>
      </c>
      <c r="X506" s="9">
        <f>STATS1003B!X527/1000</f>
        <v>167.089</v>
      </c>
      <c r="Y506" s="9">
        <f>STATS1003B!Y527/1000</f>
        <v>0</v>
      </c>
      <c r="Z506" s="9">
        <f>STATS1003B!Z527/1000</f>
        <v>0</v>
      </c>
      <c r="AA506" s="9">
        <f>STATS1003B!AA527/1000</f>
        <v>167.089</v>
      </c>
      <c r="AB506" s="9">
        <f>STATS1003B!AB527/1000</f>
        <v>0</v>
      </c>
    </row>
    <row r="507" spans="1:28" x14ac:dyDescent="0.35">
      <c r="A507" s="36"/>
      <c r="B507" s="8"/>
      <c r="C507" s="8"/>
      <c r="D507" s="15" t="s">
        <v>173</v>
      </c>
      <c r="E507" s="9">
        <f>STATS1003B!E528/1000</f>
        <v>0</v>
      </c>
      <c r="F507" s="9">
        <f>STATS1003B!F528/1000</f>
        <v>0</v>
      </c>
      <c r="G507" s="9">
        <f>STATS1003B!G528/1000</f>
        <v>0</v>
      </c>
      <c r="H507" s="9">
        <f>STATS1003B!H528/1000</f>
        <v>0</v>
      </c>
      <c r="I507" s="9">
        <f>STATS1003B!I528/1000</f>
        <v>0</v>
      </c>
      <c r="J507" s="9">
        <f>STATS1003B!J528/1000</f>
        <v>0</v>
      </c>
      <c r="K507" s="9">
        <f>STATS1003B!K528/1000</f>
        <v>0</v>
      </c>
      <c r="L507" s="9">
        <f>STATS1003B!L528/1000</f>
        <v>0</v>
      </c>
      <c r="M507" s="9">
        <f>STATS1003B!M528/1000</f>
        <v>0</v>
      </c>
      <c r="N507" s="9">
        <f>STATS1003B!N528/1000</f>
        <v>0</v>
      </c>
      <c r="O507" s="9">
        <f>STATS1003B!O528/1000</f>
        <v>0</v>
      </c>
      <c r="P507" s="9">
        <f>STATS1003B!P528/1000</f>
        <v>0</v>
      </c>
      <c r="Q507" s="9">
        <f>STATS1003B!Q528/1000</f>
        <v>0</v>
      </c>
      <c r="R507" s="9">
        <f>STATS1003B!R528/1000</f>
        <v>0</v>
      </c>
      <c r="S507" s="9">
        <f>STATS1003B!S528/1000</f>
        <v>0</v>
      </c>
      <c r="T507" s="9">
        <f>STATS1003B!T528/1000</f>
        <v>0</v>
      </c>
      <c r="U507" s="9">
        <f>STATS1003B!U528/1000</f>
        <v>0</v>
      </c>
      <c r="V507" s="9">
        <f>STATS1003B!V528/1000</f>
        <v>0</v>
      </c>
      <c r="W507" s="9">
        <f>STATS1003B!W528/1000</f>
        <v>0</v>
      </c>
      <c r="X507" s="9">
        <f>STATS1003B!X528/1000</f>
        <v>0</v>
      </c>
      <c r="Y507" s="9">
        <f>STATS1003B!Y528/1000</f>
        <v>0</v>
      </c>
      <c r="Z507" s="9">
        <f>STATS1003B!Z528/1000</f>
        <v>0</v>
      </c>
      <c r="AA507" s="9">
        <f>STATS1003B!AA528/1000</f>
        <v>0</v>
      </c>
      <c r="AB507" s="9">
        <f>STATS1003B!AB528/1000</f>
        <v>0</v>
      </c>
    </row>
    <row r="508" spans="1:28" x14ac:dyDescent="0.35">
      <c r="A508" s="36"/>
      <c r="B508" s="8"/>
      <c r="C508" s="7" t="s">
        <v>174</v>
      </c>
      <c r="D508" s="14" t="s">
        <v>175</v>
      </c>
      <c r="E508" s="9">
        <f>STATS1003B!E529/1000</f>
        <v>6238.42245</v>
      </c>
      <c r="F508" s="9">
        <f>STATS1003B!F529/1000</f>
        <v>6054.0167300000003</v>
      </c>
      <c r="G508" s="9">
        <f>STATS1003B!G529/1000</f>
        <v>0</v>
      </c>
      <c r="H508" s="9">
        <f>STATS1003B!H529/1000</f>
        <v>6054.0167300000003</v>
      </c>
      <c r="I508" s="9">
        <f>STATS1003B!I529/1000</f>
        <v>0</v>
      </c>
      <c r="J508" s="9">
        <f>STATS1003B!J529/1000</f>
        <v>0</v>
      </c>
      <c r="K508" s="9">
        <f>STATS1003B!K529/1000</f>
        <v>0</v>
      </c>
      <c r="L508" s="9">
        <f>STATS1003B!L529/1000</f>
        <v>0</v>
      </c>
      <c r="M508" s="9">
        <f>STATS1003B!M529/1000</f>
        <v>6054.0167300000003</v>
      </c>
      <c r="N508" s="9">
        <f>STATS1003B!N529/1000</f>
        <v>184.40572</v>
      </c>
      <c r="O508" s="9">
        <f>STATS1003B!O529/1000</f>
        <v>0</v>
      </c>
      <c r="P508" s="9">
        <f>STATS1003B!P529/1000</f>
        <v>184.40572</v>
      </c>
      <c r="Q508" s="9">
        <f>STATS1003B!Q529/1000</f>
        <v>0</v>
      </c>
      <c r="R508" s="9">
        <f>STATS1003B!R529/1000</f>
        <v>0</v>
      </c>
      <c r="S508" s="9">
        <f>STATS1003B!S529/1000</f>
        <v>0</v>
      </c>
      <c r="T508" s="9">
        <f>STATS1003B!T529/1000</f>
        <v>0</v>
      </c>
      <c r="U508" s="9">
        <f>STATS1003B!U529/1000</f>
        <v>184.40572</v>
      </c>
      <c r="V508" s="9">
        <f>STATS1003B!V529/1000</f>
        <v>6238.42245</v>
      </c>
      <c r="W508" s="9">
        <f>STATS1003B!W529/1000</f>
        <v>0</v>
      </c>
      <c r="X508" s="9">
        <f>STATS1003B!X529/1000</f>
        <v>6238.42245</v>
      </c>
      <c r="Y508" s="9">
        <f>STATS1003B!Y529/1000</f>
        <v>0</v>
      </c>
      <c r="Z508" s="9">
        <f>STATS1003B!Z529/1000</f>
        <v>0</v>
      </c>
      <c r="AA508" s="9">
        <f>STATS1003B!AA529/1000</f>
        <v>6238.42245</v>
      </c>
      <c r="AB508" s="9">
        <f>STATS1003B!AB529/1000</f>
        <v>0</v>
      </c>
    </row>
    <row r="509" spans="1:28" x14ac:dyDescent="0.35">
      <c r="A509" s="36"/>
      <c r="B509" s="8"/>
      <c r="C509" s="7" t="s">
        <v>55</v>
      </c>
      <c r="D509" s="15" t="s">
        <v>119</v>
      </c>
      <c r="E509" s="9">
        <f>STATS1003B!E530/1000</f>
        <v>11277.40525</v>
      </c>
      <c r="F509" s="9">
        <f>STATS1003B!F530/1000</f>
        <v>0</v>
      </c>
      <c r="G509" s="9">
        <f>STATS1003B!G530/1000</f>
        <v>0</v>
      </c>
      <c r="H509" s="9">
        <f>STATS1003B!H530/1000</f>
        <v>0</v>
      </c>
      <c r="I509" s="9">
        <f>STATS1003B!I530/1000</f>
        <v>0</v>
      </c>
      <c r="J509" s="9">
        <f>STATS1003B!J530/1000</f>
        <v>0</v>
      </c>
      <c r="K509" s="9">
        <f>STATS1003B!K530/1000</f>
        <v>0</v>
      </c>
      <c r="L509" s="9">
        <f>STATS1003B!L530/1000</f>
        <v>0</v>
      </c>
      <c r="M509" s="9">
        <f>STATS1003B!M530/1000</f>
        <v>0</v>
      </c>
      <c r="N509" s="9">
        <f>STATS1003B!N530/1000</f>
        <v>11277.40525</v>
      </c>
      <c r="O509" s="9">
        <f>STATS1003B!O530/1000</f>
        <v>0</v>
      </c>
      <c r="P509" s="9">
        <f>STATS1003B!P530/1000</f>
        <v>11277.40525</v>
      </c>
      <c r="Q509" s="9">
        <f>STATS1003B!Q530/1000</f>
        <v>0</v>
      </c>
      <c r="R509" s="9">
        <f>STATS1003B!R530/1000</f>
        <v>0</v>
      </c>
      <c r="S509" s="9">
        <f>STATS1003B!S530/1000</f>
        <v>0</v>
      </c>
      <c r="T509" s="9">
        <f>STATS1003B!T530/1000</f>
        <v>0</v>
      </c>
      <c r="U509" s="9">
        <f>STATS1003B!U530/1000</f>
        <v>11277.40525</v>
      </c>
      <c r="V509" s="9">
        <f>STATS1003B!V530/1000</f>
        <v>11277.40525</v>
      </c>
      <c r="W509" s="9">
        <f>STATS1003B!W530/1000</f>
        <v>0</v>
      </c>
      <c r="X509" s="9">
        <f>STATS1003B!X530/1000</f>
        <v>11277.40525</v>
      </c>
      <c r="Y509" s="9">
        <f>STATS1003B!Y530/1000</f>
        <v>0</v>
      </c>
      <c r="Z509" s="9">
        <f>STATS1003B!Z530/1000</f>
        <v>0</v>
      </c>
      <c r="AA509" s="9">
        <f>STATS1003B!AA530/1000</f>
        <v>11277.40525</v>
      </c>
      <c r="AB509" s="9">
        <f>STATS1003B!AB530/1000</f>
        <v>0</v>
      </c>
    </row>
    <row r="510" spans="1:28" x14ac:dyDescent="0.35">
      <c r="A510" s="36"/>
      <c r="B510" s="8"/>
      <c r="C510" s="7" t="s">
        <v>53</v>
      </c>
      <c r="D510" s="15" t="s">
        <v>54</v>
      </c>
      <c r="E510" s="9">
        <f>STATS1003B!E531/1000</f>
        <v>1953.989</v>
      </c>
      <c r="F510" s="9">
        <f>STATS1003B!F531/1000</f>
        <v>0</v>
      </c>
      <c r="G510" s="9">
        <f>STATS1003B!G531/1000</f>
        <v>0</v>
      </c>
      <c r="H510" s="9">
        <f>STATS1003B!H531/1000</f>
        <v>0</v>
      </c>
      <c r="I510" s="9">
        <f>STATS1003B!I531/1000</f>
        <v>0</v>
      </c>
      <c r="J510" s="9">
        <f>STATS1003B!J531/1000</f>
        <v>0</v>
      </c>
      <c r="K510" s="9">
        <f>STATS1003B!K531/1000</f>
        <v>0</v>
      </c>
      <c r="L510" s="9">
        <f>STATS1003B!L531/1000</f>
        <v>0</v>
      </c>
      <c r="M510" s="9">
        <f>STATS1003B!M531/1000</f>
        <v>0</v>
      </c>
      <c r="N510" s="9">
        <f>STATS1003B!N531/1000</f>
        <v>1953.989</v>
      </c>
      <c r="O510" s="9">
        <f>STATS1003B!O531/1000</f>
        <v>0</v>
      </c>
      <c r="P510" s="9">
        <f>STATS1003B!P531/1000</f>
        <v>1953.989</v>
      </c>
      <c r="Q510" s="9">
        <f>STATS1003B!Q531/1000</f>
        <v>0</v>
      </c>
      <c r="R510" s="9">
        <f>STATS1003B!R531/1000</f>
        <v>0</v>
      </c>
      <c r="S510" s="9">
        <f>STATS1003B!S531/1000</f>
        <v>0</v>
      </c>
      <c r="T510" s="9">
        <f>STATS1003B!T531/1000</f>
        <v>0</v>
      </c>
      <c r="U510" s="9">
        <f>STATS1003B!U531/1000</f>
        <v>1953.989</v>
      </c>
      <c r="V510" s="9">
        <f>STATS1003B!V531/1000</f>
        <v>1953.989</v>
      </c>
      <c r="W510" s="9">
        <f>STATS1003B!W531/1000</f>
        <v>0</v>
      </c>
      <c r="X510" s="9">
        <f>STATS1003B!X531/1000</f>
        <v>1953.989</v>
      </c>
      <c r="Y510" s="9">
        <f>STATS1003B!Y531/1000</f>
        <v>0</v>
      </c>
      <c r="Z510" s="9">
        <f>STATS1003B!Z531/1000</f>
        <v>0</v>
      </c>
      <c r="AA510" s="9">
        <f>STATS1003B!AA531/1000</f>
        <v>1953.989</v>
      </c>
      <c r="AB510" s="9">
        <f>STATS1003B!AB531/1000</f>
        <v>0</v>
      </c>
    </row>
    <row r="511" spans="1:28" x14ac:dyDescent="0.35">
      <c r="A511" s="36"/>
      <c r="B511" s="8"/>
      <c r="C511" s="7" t="s">
        <v>930</v>
      </c>
      <c r="D511" s="16" t="s">
        <v>1072</v>
      </c>
      <c r="E511" s="9">
        <f>STATS1003B!E532/1000</f>
        <v>294.80248</v>
      </c>
      <c r="F511" s="9">
        <f>STATS1003B!F532/1000</f>
        <v>294.80248</v>
      </c>
      <c r="G511" s="9">
        <f>STATS1003B!G532/1000</f>
        <v>0</v>
      </c>
      <c r="H511" s="9">
        <f>STATS1003B!H532/1000</f>
        <v>294.80248</v>
      </c>
      <c r="I511" s="9">
        <f>STATS1003B!I532/1000</f>
        <v>0</v>
      </c>
      <c r="J511" s="9">
        <f>STATS1003B!J532/1000</f>
        <v>0</v>
      </c>
      <c r="K511" s="9">
        <f>STATS1003B!K532/1000</f>
        <v>0</v>
      </c>
      <c r="L511" s="9">
        <f>STATS1003B!L532/1000</f>
        <v>0</v>
      </c>
      <c r="M511" s="9">
        <f>STATS1003B!M532/1000</f>
        <v>294.80248</v>
      </c>
      <c r="N511" s="9">
        <f>STATS1003B!N532/1000</f>
        <v>0</v>
      </c>
      <c r="O511" s="9">
        <f>STATS1003B!O532/1000</f>
        <v>0</v>
      </c>
      <c r="P511" s="9">
        <f>STATS1003B!P532/1000</f>
        <v>0</v>
      </c>
      <c r="Q511" s="9">
        <f>STATS1003B!Q532/1000</f>
        <v>0</v>
      </c>
      <c r="R511" s="9">
        <f>STATS1003B!R532/1000</f>
        <v>0</v>
      </c>
      <c r="S511" s="9">
        <f>STATS1003B!S532/1000</f>
        <v>0</v>
      </c>
      <c r="T511" s="9">
        <f>STATS1003B!T532/1000</f>
        <v>0</v>
      </c>
      <c r="U511" s="9">
        <f>STATS1003B!U532/1000</f>
        <v>0</v>
      </c>
      <c r="V511" s="9">
        <f>STATS1003B!V532/1000</f>
        <v>294.80248</v>
      </c>
      <c r="W511" s="9">
        <f>STATS1003B!W532/1000</f>
        <v>0</v>
      </c>
      <c r="X511" s="9">
        <f>STATS1003B!X532/1000</f>
        <v>294.80248</v>
      </c>
      <c r="Y511" s="9">
        <f>STATS1003B!Y532/1000</f>
        <v>0</v>
      </c>
      <c r="Z511" s="9">
        <f>STATS1003B!Z532/1000</f>
        <v>0</v>
      </c>
      <c r="AA511" s="9">
        <f>STATS1003B!AA532/1000</f>
        <v>294.80248</v>
      </c>
      <c r="AB511" s="9">
        <f>STATS1003B!AB532/1000</f>
        <v>0</v>
      </c>
    </row>
    <row r="512" spans="1:28" x14ac:dyDescent="0.35">
      <c r="A512" s="36"/>
      <c r="B512" s="8"/>
      <c r="C512" s="7" t="s">
        <v>57</v>
      </c>
      <c r="D512" s="15" t="s">
        <v>60</v>
      </c>
      <c r="E512" s="9">
        <f>STATS1003B!E533/1000</f>
        <v>378.76100000000002</v>
      </c>
      <c r="F512" s="9">
        <f>STATS1003B!F533/1000</f>
        <v>378.76100000000002</v>
      </c>
      <c r="G512" s="9">
        <f>STATS1003B!G533/1000</f>
        <v>0</v>
      </c>
      <c r="H512" s="9">
        <f>STATS1003B!H533/1000</f>
        <v>378.76100000000002</v>
      </c>
      <c r="I512" s="9">
        <f>STATS1003B!I533/1000</f>
        <v>0</v>
      </c>
      <c r="J512" s="9">
        <f>STATS1003B!J533/1000</f>
        <v>0</v>
      </c>
      <c r="K512" s="9">
        <f>STATS1003B!K533/1000</f>
        <v>0</v>
      </c>
      <c r="L512" s="9">
        <f>STATS1003B!L533/1000</f>
        <v>0</v>
      </c>
      <c r="M512" s="9">
        <f>STATS1003B!M533/1000</f>
        <v>378.76100000000002</v>
      </c>
      <c r="N512" s="9">
        <f>STATS1003B!N533/1000</f>
        <v>0</v>
      </c>
      <c r="O512" s="9">
        <f>STATS1003B!O533/1000</f>
        <v>0</v>
      </c>
      <c r="P512" s="9">
        <f>STATS1003B!P533/1000</f>
        <v>0</v>
      </c>
      <c r="Q512" s="9">
        <f>STATS1003B!Q533/1000</f>
        <v>0</v>
      </c>
      <c r="R512" s="9">
        <f>STATS1003B!R533/1000</f>
        <v>0</v>
      </c>
      <c r="S512" s="9">
        <f>STATS1003B!S533/1000</f>
        <v>0</v>
      </c>
      <c r="T512" s="9">
        <f>STATS1003B!T533/1000</f>
        <v>0</v>
      </c>
      <c r="U512" s="9">
        <f>STATS1003B!U533/1000</f>
        <v>0</v>
      </c>
      <c r="V512" s="9">
        <f>STATS1003B!V533/1000</f>
        <v>378.76100000000002</v>
      </c>
      <c r="W512" s="9">
        <f>STATS1003B!W533/1000</f>
        <v>0</v>
      </c>
      <c r="X512" s="9">
        <f>STATS1003B!X533/1000</f>
        <v>378.76100000000002</v>
      </c>
      <c r="Y512" s="9">
        <f>STATS1003B!Y533/1000</f>
        <v>0</v>
      </c>
      <c r="Z512" s="9">
        <f>STATS1003B!Z533/1000</f>
        <v>0</v>
      </c>
      <c r="AA512" s="9">
        <f>STATS1003B!AA533/1000</f>
        <v>378.76100000000002</v>
      </c>
      <c r="AB512" s="9">
        <f>STATS1003B!AB533/1000</f>
        <v>0</v>
      </c>
    </row>
    <row r="513" spans="1:28" x14ac:dyDescent="0.35">
      <c r="A513" s="36"/>
      <c r="B513" s="8"/>
      <c r="C513" s="14" t="s">
        <v>109</v>
      </c>
      <c r="D513" s="21" t="s">
        <v>60</v>
      </c>
      <c r="E513" s="9">
        <f>STATS1003B!E534/1000</f>
        <v>2500</v>
      </c>
      <c r="F513" s="9">
        <f>STATS1003B!F534/1000</f>
        <v>2500</v>
      </c>
      <c r="G513" s="9">
        <f>STATS1003B!G534/1000</f>
        <v>0</v>
      </c>
      <c r="H513" s="9">
        <f>STATS1003B!H534/1000</f>
        <v>2500</v>
      </c>
      <c r="I513" s="9">
        <f>STATS1003B!I534/1000</f>
        <v>0</v>
      </c>
      <c r="J513" s="9">
        <f>STATS1003B!J534/1000</f>
        <v>0</v>
      </c>
      <c r="K513" s="9">
        <f>STATS1003B!K534/1000</f>
        <v>0</v>
      </c>
      <c r="L513" s="9">
        <f>STATS1003B!L534/1000</f>
        <v>0</v>
      </c>
      <c r="M513" s="9">
        <f>STATS1003B!M534/1000</f>
        <v>2500</v>
      </c>
      <c r="N513" s="9">
        <f>STATS1003B!N534/1000</f>
        <v>0</v>
      </c>
      <c r="O513" s="9">
        <f>STATS1003B!O534/1000</f>
        <v>0</v>
      </c>
      <c r="P513" s="9">
        <f>STATS1003B!P534/1000</f>
        <v>0</v>
      </c>
      <c r="Q513" s="9">
        <f>STATS1003B!Q534/1000</f>
        <v>0</v>
      </c>
      <c r="R513" s="9">
        <f>STATS1003B!R534/1000</f>
        <v>0</v>
      </c>
      <c r="S513" s="9">
        <f>STATS1003B!S534/1000</f>
        <v>0</v>
      </c>
      <c r="T513" s="9">
        <f>STATS1003B!T534/1000</f>
        <v>0</v>
      </c>
      <c r="U513" s="9">
        <f>STATS1003B!U534/1000</f>
        <v>0</v>
      </c>
      <c r="V513" s="9">
        <f>STATS1003B!V534/1000</f>
        <v>2500</v>
      </c>
      <c r="W513" s="9">
        <f>STATS1003B!W534/1000</f>
        <v>0</v>
      </c>
      <c r="X513" s="9">
        <f>STATS1003B!X534/1000</f>
        <v>2500</v>
      </c>
      <c r="Y513" s="9">
        <f>STATS1003B!Y534/1000</f>
        <v>0</v>
      </c>
      <c r="Z513" s="9">
        <f>STATS1003B!Z534/1000</f>
        <v>0</v>
      </c>
      <c r="AA513" s="9">
        <f>STATS1003B!AA534/1000</f>
        <v>2500</v>
      </c>
      <c r="AB513" s="9">
        <f>STATS1003B!AB534/1000</f>
        <v>0</v>
      </c>
    </row>
    <row r="514" spans="1:28" x14ac:dyDescent="0.35">
      <c r="A514" s="36"/>
      <c r="B514" s="8"/>
      <c r="C514" s="9"/>
      <c r="D514" s="9"/>
      <c r="E514" s="17" t="s">
        <v>29</v>
      </c>
      <c r="F514" s="17" t="s">
        <v>29</v>
      </c>
      <c r="G514" s="17" t="s">
        <v>29</v>
      </c>
      <c r="H514" s="17" t="s">
        <v>29</v>
      </c>
      <c r="I514" s="17" t="s">
        <v>29</v>
      </c>
      <c r="J514" s="17" t="s">
        <v>29</v>
      </c>
      <c r="K514" s="17" t="s">
        <v>29</v>
      </c>
      <c r="L514" s="17" t="s">
        <v>29</v>
      </c>
      <c r="M514" s="17" t="s">
        <v>29</v>
      </c>
      <c r="N514" s="17" t="s">
        <v>29</v>
      </c>
      <c r="O514" s="17" t="s">
        <v>29</v>
      </c>
      <c r="P514" s="17" t="s">
        <v>29</v>
      </c>
      <c r="Q514" s="17" t="s">
        <v>29</v>
      </c>
      <c r="R514" s="17" t="s">
        <v>29</v>
      </c>
      <c r="S514" s="17" t="s">
        <v>29</v>
      </c>
      <c r="T514" s="17" t="s">
        <v>29</v>
      </c>
      <c r="U514" s="17" t="s">
        <v>29</v>
      </c>
      <c r="V514" s="17" t="s">
        <v>29</v>
      </c>
      <c r="W514" s="17" t="s">
        <v>29</v>
      </c>
      <c r="X514" s="17" t="s">
        <v>29</v>
      </c>
      <c r="Y514" s="17" t="s">
        <v>29</v>
      </c>
      <c r="Z514" s="17" t="s">
        <v>29</v>
      </c>
      <c r="AA514" s="17" t="s">
        <v>29</v>
      </c>
      <c r="AB514" s="17" t="s">
        <v>29</v>
      </c>
    </row>
    <row r="515" spans="1:28" x14ac:dyDescent="0.35">
      <c r="A515" s="36"/>
      <c r="B515" s="8"/>
      <c r="C515" s="8"/>
      <c r="D515" s="8"/>
      <c r="E515" s="9">
        <f t="shared" ref="E515:AB515" si="32">SUM(E505:E513)</f>
        <v>27332.46918</v>
      </c>
      <c r="F515" s="9">
        <f t="shared" si="32"/>
        <v>10262.895710000001</v>
      </c>
      <c r="G515" s="9">
        <f t="shared" si="32"/>
        <v>0</v>
      </c>
      <c r="H515" s="9">
        <f t="shared" si="32"/>
        <v>10262.895710000001</v>
      </c>
      <c r="I515" s="9">
        <f t="shared" si="32"/>
        <v>0</v>
      </c>
      <c r="J515" s="9">
        <f t="shared" si="32"/>
        <v>0</v>
      </c>
      <c r="K515" s="9">
        <f t="shared" si="32"/>
        <v>0</v>
      </c>
      <c r="L515" s="9">
        <f t="shared" si="32"/>
        <v>0</v>
      </c>
      <c r="M515" s="9">
        <f t="shared" si="32"/>
        <v>10262.895710000001</v>
      </c>
      <c r="N515" s="9">
        <f t="shared" si="32"/>
        <v>15783.06259</v>
      </c>
      <c r="O515" s="9">
        <f t="shared" si="32"/>
        <v>0</v>
      </c>
      <c r="P515" s="9">
        <f t="shared" si="32"/>
        <v>15783.06259</v>
      </c>
      <c r="Q515" s="9">
        <f t="shared" si="32"/>
        <v>0</v>
      </c>
      <c r="R515" s="9">
        <f t="shared" si="32"/>
        <v>0</v>
      </c>
      <c r="S515" s="9">
        <f t="shared" si="32"/>
        <v>0</v>
      </c>
      <c r="T515" s="9">
        <f t="shared" si="32"/>
        <v>0</v>
      </c>
      <c r="U515" s="9">
        <f t="shared" si="32"/>
        <v>15783.06259</v>
      </c>
      <c r="V515" s="9">
        <f t="shared" si="32"/>
        <v>26045.958299999998</v>
      </c>
      <c r="W515" s="9">
        <f t="shared" si="32"/>
        <v>1286.5108799999998</v>
      </c>
      <c r="X515" s="9">
        <f t="shared" si="32"/>
        <v>26045.958299999998</v>
      </c>
      <c r="Y515" s="9">
        <f t="shared" si="32"/>
        <v>0</v>
      </c>
      <c r="Z515" s="9">
        <f t="shared" si="32"/>
        <v>1286.5108799999998</v>
      </c>
      <c r="AA515" s="9">
        <f t="shared" si="32"/>
        <v>26045.958299999998</v>
      </c>
      <c r="AB515" s="9">
        <f t="shared" si="32"/>
        <v>1286.5108799999998</v>
      </c>
    </row>
    <row r="516" spans="1:28" x14ac:dyDescent="0.35">
      <c r="A516" s="36"/>
      <c r="B516" s="8"/>
      <c r="C516" s="8"/>
      <c r="D516" s="8"/>
      <c r="E516" s="17" t="s">
        <v>29</v>
      </c>
      <c r="F516" s="17" t="s">
        <v>29</v>
      </c>
      <c r="G516" s="17" t="s">
        <v>29</v>
      </c>
      <c r="H516" s="17" t="s">
        <v>29</v>
      </c>
      <c r="I516" s="17" t="s">
        <v>29</v>
      </c>
      <c r="J516" s="17" t="s">
        <v>29</v>
      </c>
      <c r="K516" s="17" t="s">
        <v>29</v>
      </c>
      <c r="L516" s="17" t="s">
        <v>29</v>
      </c>
      <c r="M516" s="17" t="s">
        <v>29</v>
      </c>
      <c r="N516" s="17" t="s">
        <v>29</v>
      </c>
      <c r="O516" s="17" t="s">
        <v>29</v>
      </c>
      <c r="P516" s="17" t="s">
        <v>29</v>
      </c>
      <c r="Q516" s="17" t="s">
        <v>29</v>
      </c>
      <c r="R516" s="17" t="s">
        <v>29</v>
      </c>
      <c r="S516" s="17" t="s">
        <v>29</v>
      </c>
      <c r="T516" s="17" t="s">
        <v>29</v>
      </c>
      <c r="U516" s="17" t="s">
        <v>29</v>
      </c>
      <c r="V516" s="17" t="s">
        <v>29</v>
      </c>
      <c r="W516" s="17" t="s">
        <v>29</v>
      </c>
      <c r="X516" s="17" t="s">
        <v>29</v>
      </c>
      <c r="Y516" s="17" t="s">
        <v>29</v>
      </c>
      <c r="Z516" s="17" t="s">
        <v>29</v>
      </c>
      <c r="AA516" s="17" t="s">
        <v>29</v>
      </c>
      <c r="AB516" s="17" t="s">
        <v>29</v>
      </c>
    </row>
    <row r="517" spans="1:28" x14ac:dyDescent="0.35">
      <c r="A517" s="36"/>
      <c r="B517" s="8"/>
      <c r="C517" s="8"/>
      <c r="D517" s="8"/>
      <c r="E517" s="22">
        <v>27037666.699999999</v>
      </c>
      <c r="F517" s="22">
        <v>9968093.2300000004</v>
      </c>
      <c r="G517" s="22"/>
      <c r="H517" s="22">
        <v>9968093.2300000004</v>
      </c>
      <c r="I517" s="22"/>
      <c r="J517" s="22"/>
      <c r="K517" s="22"/>
      <c r="L517" s="22"/>
      <c r="M517" s="22">
        <v>9968093.2300000004</v>
      </c>
      <c r="N517" s="22">
        <v>15783062.59</v>
      </c>
      <c r="O517" s="22"/>
      <c r="P517" s="22">
        <v>15783062.59</v>
      </c>
      <c r="Q517" s="22"/>
      <c r="R517" s="22"/>
      <c r="S517" s="22"/>
      <c r="T517" s="22"/>
      <c r="U517" s="22">
        <v>15783062.59</v>
      </c>
      <c r="V517" s="22"/>
      <c r="W517" s="22"/>
      <c r="X517" s="22">
        <v>25751155.82</v>
      </c>
      <c r="Y517" s="22"/>
      <c r="Z517" s="22">
        <v>1286510.8799999999</v>
      </c>
    </row>
    <row r="518" spans="1:28" x14ac:dyDescent="0.35">
      <c r="A518" s="38" t="s">
        <v>960</v>
      </c>
      <c r="B518" s="7" t="s">
        <v>176</v>
      </c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8" x14ac:dyDescent="0.35">
      <c r="A519" s="36"/>
      <c r="B519" s="8"/>
      <c r="C519" s="7" t="s">
        <v>165</v>
      </c>
      <c r="D519" s="21" t="s">
        <v>166</v>
      </c>
      <c r="E519" s="9">
        <f>STATS1003B!E539/1000</f>
        <v>245.23334</v>
      </c>
      <c r="F519" s="9">
        <f>STATS1003B!F539/1000</f>
        <v>245.23334</v>
      </c>
      <c r="G519" s="9">
        <f>STATS1003B!G539/1000</f>
        <v>0</v>
      </c>
      <c r="H519" s="9">
        <f>STATS1003B!H539/1000</f>
        <v>245.23334</v>
      </c>
      <c r="I519" s="9">
        <f>STATS1003B!I539/1000</f>
        <v>0</v>
      </c>
      <c r="J519" s="9">
        <f>STATS1003B!J539/1000</f>
        <v>0</v>
      </c>
      <c r="K519" s="9">
        <f>STATS1003B!K539/1000</f>
        <v>0</v>
      </c>
      <c r="L519" s="9">
        <f>STATS1003B!L539/1000</f>
        <v>0</v>
      </c>
      <c r="M519" s="9">
        <f>STATS1003B!M539/1000</f>
        <v>245.23334</v>
      </c>
      <c r="N519" s="9">
        <f>STATS1003B!N539/1000</f>
        <v>0</v>
      </c>
      <c r="O519" s="9">
        <f>STATS1003B!O539/1000</f>
        <v>0</v>
      </c>
      <c r="P519" s="9">
        <f>STATS1003B!P539/1000</f>
        <v>0</v>
      </c>
      <c r="Q519" s="9">
        <f>STATS1003B!Q539/1000</f>
        <v>0</v>
      </c>
      <c r="R519" s="9">
        <f>STATS1003B!R539/1000</f>
        <v>0</v>
      </c>
      <c r="S519" s="9">
        <f>STATS1003B!S539/1000</f>
        <v>0</v>
      </c>
      <c r="T519" s="9">
        <f>STATS1003B!T539/1000</f>
        <v>0</v>
      </c>
      <c r="U519" s="9">
        <f>STATS1003B!U539/1000</f>
        <v>0</v>
      </c>
      <c r="V519" s="9">
        <f>STATS1003B!V539/1000</f>
        <v>245.23334</v>
      </c>
      <c r="W519" s="9">
        <f>STATS1003B!W539/1000</f>
        <v>0</v>
      </c>
      <c r="X519" s="9">
        <f>STATS1003B!X539/1000</f>
        <v>245.23334</v>
      </c>
      <c r="Y519" s="9">
        <f>STATS1003B!Y539/1000</f>
        <v>0</v>
      </c>
      <c r="Z519" s="9">
        <f>STATS1003B!Z539/1000</f>
        <v>0</v>
      </c>
      <c r="AA519" s="9">
        <f>STATS1003B!AA539/1000</f>
        <v>245.23334</v>
      </c>
      <c r="AB519" s="9">
        <f>STATS1003B!AB539/1000</f>
        <v>0</v>
      </c>
    </row>
    <row r="520" spans="1:28" x14ac:dyDescent="0.35">
      <c r="A520" s="36"/>
      <c r="B520" s="8"/>
      <c r="C520" s="7" t="s">
        <v>1087</v>
      </c>
      <c r="D520" s="24" t="s">
        <v>1072</v>
      </c>
      <c r="E520" s="9">
        <f>STATS1003B!E540/1000</f>
        <v>1430.65446</v>
      </c>
      <c r="F520" s="9">
        <f>STATS1003B!F540/1000</f>
        <v>1430.65446</v>
      </c>
      <c r="G520" s="9">
        <f>STATS1003B!G540/1000</f>
        <v>0</v>
      </c>
      <c r="H520" s="9">
        <f>STATS1003B!H540/1000</f>
        <v>1430.65446</v>
      </c>
      <c r="I520" s="9">
        <f>STATS1003B!I540/1000</f>
        <v>0</v>
      </c>
      <c r="J520" s="9">
        <f>STATS1003B!J540/1000</f>
        <v>0</v>
      </c>
      <c r="K520" s="9">
        <f>STATS1003B!K540/1000</f>
        <v>0</v>
      </c>
      <c r="L520" s="9">
        <f>STATS1003B!L540/1000</f>
        <v>0</v>
      </c>
      <c r="M520" s="9">
        <f>STATS1003B!M540/1000</f>
        <v>1430.65446</v>
      </c>
      <c r="N520" s="9">
        <f>STATS1003B!N540/1000</f>
        <v>0</v>
      </c>
      <c r="O520" s="9">
        <f>STATS1003B!O540/1000</f>
        <v>0</v>
      </c>
      <c r="P520" s="9">
        <f>STATS1003B!P540/1000</f>
        <v>0</v>
      </c>
      <c r="Q520" s="9">
        <f>STATS1003B!Q540/1000</f>
        <v>0</v>
      </c>
      <c r="R520" s="9">
        <f>STATS1003B!R540/1000</f>
        <v>0</v>
      </c>
      <c r="S520" s="9">
        <f>STATS1003B!S540/1000</f>
        <v>0</v>
      </c>
      <c r="T520" s="9">
        <f>STATS1003B!T540/1000</f>
        <v>0</v>
      </c>
      <c r="U520" s="9">
        <f>STATS1003B!U540/1000</f>
        <v>0</v>
      </c>
      <c r="V520" s="9">
        <f>STATS1003B!V540/1000</f>
        <v>0</v>
      </c>
      <c r="W520" s="9">
        <f>STATS1003B!W540/1000</f>
        <v>0</v>
      </c>
      <c r="X520" s="9">
        <f>STATS1003B!X540/1000</f>
        <v>1430.65446</v>
      </c>
      <c r="Y520" s="9">
        <f>STATS1003B!Y540/1000</f>
        <v>0</v>
      </c>
      <c r="Z520" s="9">
        <f>STATS1003B!Z540/1000</f>
        <v>0</v>
      </c>
      <c r="AA520" s="9">
        <f>STATS1003B!AA540/1000</f>
        <v>1430.65446</v>
      </c>
      <c r="AB520" s="9">
        <f>STATS1003B!AB540/1000</f>
        <v>0</v>
      </c>
    </row>
    <row r="521" spans="1:28" x14ac:dyDescent="0.35">
      <c r="A521" s="36"/>
      <c r="B521" s="8"/>
      <c r="C521" s="7" t="s">
        <v>177</v>
      </c>
      <c r="D521" s="15" t="s">
        <v>68</v>
      </c>
      <c r="E521" s="9">
        <f>STATS1003B!E541/1000</f>
        <v>657.46223999999995</v>
      </c>
      <c r="F521" s="9">
        <f>STATS1003B!F541/1000</f>
        <v>557.71400000000006</v>
      </c>
      <c r="G521" s="9">
        <f>STATS1003B!G541/1000</f>
        <v>0</v>
      </c>
      <c r="H521" s="9">
        <f>STATS1003B!H541/1000</f>
        <v>557.71400000000006</v>
      </c>
      <c r="I521" s="9">
        <f>STATS1003B!I541/1000</f>
        <v>0</v>
      </c>
      <c r="J521" s="9">
        <f>STATS1003B!J541/1000</f>
        <v>0</v>
      </c>
      <c r="K521" s="9">
        <f>STATS1003B!K541/1000</f>
        <v>0</v>
      </c>
      <c r="L521" s="9">
        <f>STATS1003B!L541/1000</f>
        <v>0</v>
      </c>
      <c r="M521" s="9">
        <f>STATS1003B!M541/1000</f>
        <v>557.71400000000006</v>
      </c>
      <c r="N521" s="9">
        <f>STATS1003B!N541/1000</f>
        <v>99.74824000000001</v>
      </c>
      <c r="O521" s="9">
        <f>STATS1003B!O541/1000</f>
        <v>0</v>
      </c>
      <c r="P521" s="9">
        <f>STATS1003B!P541/1000</f>
        <v>99.74824000000001</v>
      </c>
      <c r="Q521" s="9">
        <f>STATS1003B!Q541/1000</f>
        <v>0</v>
      </c>
      <c r="R521" s="9">
        <f>STATS1003B!R541/1000</f>
        <v>0</v>
      </c>
      <c r="S521" s="9">
        <f>STATS1003B!S541/1000</f>
        <v>0</v>
      </c>
      <c r="T521" s="9">
        <f>STATS1003B!T541/1000</f>
        <v>0</v>
      </c>
      <c r="U521" s="9">
        <f>STATS1003B!U541/1000</f>
        <v>99.74824000000001</v>
      </c>
      <c r="V521" s="9">
        <f>STATS1003B!V541/1000</f>
        <v>657.46223999999995</v>
      </c>
      <c r="W521" s="9">
        <f>STATS1003B!W541/1000</f>
        <v>0</v>
      </c>
      <c r="X521" s="9">
        <f>STATS1003B!X541/1000</f>
        <v>657.46223999999995</v>
      </c>
      <c r="Y521" s="9">
        <f>STATS1003B!Y541/1000</f>
        <v>0</v>
      </c>
      <c r="Z521" s="9">
        <f>STATS1003B!Z541/1000</f>
        <v>0</v>
      </c>
      <c r="AA521" s="9">
        <f>STATS1003B!AA541/1000</f>
        <v>657.46223999999995</v>
      </c>
      <c r="AB521" s="9">
        <f>STATS1003B!AB541/1000</f>
        <v>0</v>
      </c>
    </row>
    <row r="522" spans="1:28" x14ac:dyDescent="0.35">
      <c r="A522" s="36"/>
      <c r="B522" s="8"/>
      <c r="C522" s="7" t="s">
        <v>55</v>
      </c>
      <c r="D522" s="15" t="s">
        <v>68</v>
      </c>
      <c r="E522" s="9">
        <f>STATS1003B!E542/1000</f>
        <v>1511.5823</v>
      </c>
      <c r="F522" s="9">
        <f>STATS1003B!F542/1000</f>
        <v>0</v>
      </c>
      <c r="G522" s="9">
        <f>STATS1003B!G542/1000</f>
        <v>0</v>
      </c>
      <c r="H522" s="9">
        <f>STATS1003B!H542/1000</f>
        <v>0</v>
      </c>
      <c r="I522" s="9">
        <f>STATS1003B!I542/1000</f>
        <v>0</v>
      </c>
      <c r="J522" s="9">
        <f>STATS1003B!J542/1000</f>
        <v>0</v>
      </c>
      <c r="K522" s="9">
        <f>STATS1003B!K542/1000</f>
        <v>0</v>
      </c>
      <c r="L522" s="9">
        <f>STATS1003B!L542/1000</f>
        <v>0</v>
      </c>
      <c r="M522" s="9">
        <f>STATS1003B!M542/1000</f>
        <v>0</v>
      </c>
      <c r="N522" s="9">
        <f>STATS1003B!N542/1000</f>
        <v>1511.5823</v>
      </c>
      <c r="O522" s="9">
        <f>STATS1003B!O542/1000</f>
        <v>0</v>
      </c>
      <c r="P522" s="9">
        <f>STATS1003B!P542/1000</f>
        <v>1511.5823</v>
      </c>
      <c r="Q522" s="9">
        <f>STATS1003B!Q542/1000</f>
        <v>0</v>
      </c>
      <c r="R522" s="9">
        <f>STATS1003B!R542/1000</f>
        <v>0</v>
      </c>
      <c r="S522" s="9">
        <f>STATS1003B!S542/1000</f>
        <v>0</v>
      </c>
      <c r="T522" s="9">
        <f>STATS1003B!T542/1000</f>
        <v>0</v>
      </c>
      <c r="U522" s="9">
        <f>STATS1003B!U542/1000</f>
        <v>1511.5823</v>
      </c>
      <c r="V522" s="9">
        <f>STATS1003B!V542/1000</f>
        <v>1511.5823</v>
      </c>
      <c r="W522" s="9">
        <f>STATS1003B!W542/1000</f>
        <v>0</v>
      </c>
      <c r="X522" s="9">
        <f>STATS1003B!X542/1000</f>
        <v>1511.5823</v>
      </c>
      <c r="Y522" s="9">
        <f>STATS1003B!Y542/1000</f>
        <v>0</v>
      </c>
      <c r="Z522" s="9">
        <f>STATS1003B!Z542/1000</f>
        <v>0</v>
      </c>
      <c r="AA522" s="9">
        <f>STATS1003B!AA542/1000</f>
        <v>1511.5823</v>
      </c>
      <c r="AB522" s="9">
        <f>STATS1003B!AB542/1000</f>
        <v>0</v>
      </c>
    </row>
    <row r="523" spans="1:28" x14ac:dyDescent="0.35">
      <c r="A523" s="36"/>
      <c r="B523" s="8"/>
      <c r="C523" s="7" t="s">
        <v>178</v>
      </c>
      <c r="D523" s="7" t="s">
        <v>179</v>
      </c>
      <c r="E523" s="9">
        <f>STATS1003B!E543/1000</f>
        <v>274.87628999999998</v>
      </c>
      <c r="F523" s="9">
        <f>STATS1003B!F543/1000</f>
        <v>0</v>
      </c>
      <c r="G523" s="9">
        <f>STATS1003B!G543/1000</f>
        <v>0</v>
      </c>
      <c r="H523" s="9">
        <f>STATS1003B!H543/1000</f>
        <v>0</v>
      </c>
      <c r="I523" s="9">
        <f>STATS1003B!I543/1000</f>
        <v>0</v>
      </c>
      <c r="J523" s="9">
        <f>STATS1003B!J543/1000</f>
        <v>0</v>
      </c>
      <c r="K523" s="9">
        <f>STATS1003B!K543/1000</f>
        <v>0</v>
      </c>
      <c r="L523" s="9">
        <f>STATS1003B!L543/1000</f>
        <v>0</v>
      </c>
      <c r="M523" s="9">
        <f>STATS1003B!M543/1000</f>
        <v>0</v>
      </c>
      <c r="N523" s="9">
        <f>STATS1003B!N543/1000</f>
        <v>274.87628999999998</v>
      </c>
      <c r="O523" s="9">
        <f>STATS1003B!O543/1000</f>
        <v>0</v>
      </c>
      <c r="P523" s="9">
        <f>STATS1003B!P543/1000</f>
        <v>274.87628999999998</v>
      </c>
      <c r="Q523" s="9">
        <f>STATS1003B!Q543/1000</f>
        <v>0</v>
      </c>
      <c r="R523" s="9">
        <f>STATS1003B!R543/1000</f>
        <v>0</v>
      </c>
      <c r="S523" s="9">
        <f>STATS1003B!S543/1000</f>
        <v>0</v>
      </c>
      <c r="T523" s="9">
        <f>STATS1003B!T543/1000</f>
        <v>0</v>
      </c>
      <c r="U523" s="9">
        <f>STATS1003B!U543/1000</f>
        <v>274.87628999999998</v>
      </c>
      <c r="V523" s="9">
        <f>STATS1003B!V543/1000</f>
        <v>274.87628999999998</v>
      </c>
      <c r="W523" s="9">
        <f>STATS1003B!W543/1000</f>
        <v>0</v>
      </c>
      <c r="X523" s="9">
        <f>STATS1003B!X543/1000</f>
        <v>274.87628999999998</v>
      </c>
      <c r="Y523" s="9">
        <f>STATS1003B!Y543/1000</f>
        <v>0</v>
      </c>
      <c r="Z523" s="9">
        <f>STATS1003B!Z543/1000</f>
        <v>0</v>
      </c>
      <c r="AA523" s="9">
        <f>STATS1003B!AA543/1000</f>
        <v>274.87628999999998</v>
      </c>
      <c r="AB523" s="9">
        <f>STATS1003B!AB543/1000</f>
        <v>0</v>
      </c>
    </row>
    <row r="524" spans="1:28" x14ac:dyDescent="0.35">
      <c r="A524" s="36"/>
      <c r="B524" s="8"/>
      <c r="C524" s="7" t="s">
        <v>159</v>
      </c>
      <c r="D524" s="15" t="s">
        <v>128</v>
      </c>
      <c r="E524" s="9">
        <f>STATS1003B!E544/1000</f>
        <v>1953.989</v>
      </c>
      <c r="F524" s="9">
        <f>STATS1003B!F544/1000</f>
        <v>0</v>
      </c>
      <c r="G524" s="9">
        <f>STATS1003B!G544/1000</f>
        <v>0</v>
      </c>
      <c r="H524" s="9">
        <f>STATS1003B!H544/1000</f>
        <v>0</v>
      </c>
      <c r="I524" s="9">
        <f>STATS1003B!I544/1000</f>
        <v>0</v>
      </c>
      <c r="J524" s="9">
        <f>STATS1003B!J544/1000</f>
        <v>0</v>
      </c>
      <c r="K524" s="9">
        <f>STATS1003B!K544/1000</f>
        <v>0</v>
      </c>
      <c r="L524" s="9">
        <f>STATS1003B!L544/1000</f>
        <v>0</v>
      </c>
      <c r="M524" s="9">
        <f>STATS1003B!M544/1000</f>
        <v>0</v>
      </c>
      <c r="N524" s="9">
        <f>STATS1003B!N544/1000</f>
        <v>1953.989</v>
      </c>
      <c r="O524" s="9">
        <f>STATS1003B!O544/1000</f>
        <v>0</v>
      </c>
      <c r="P524" s="9">
        <f>STATS1003B!P544/1000</f>
        <v>1953.989</v>
      </c>
      <c r="Q524" s="9">
        <f>STATS1003B!Q544/1000</f>
        <v>0</v>
      </c>
      <c r="R524" s="9">
        <f>STATS1003B!R544/1000</f>
        <v>0</v>
      </c>
      <c r="S524" s="9">
        <f>STATS1003B!S544/1000</f>
        <v>0</v>
      </c>
      <c r="T524" s="9">
        <f>STATS1003B!T544/1000</f>
        <v>0</v>
      </c>
      <c r="U524" s="9">
        <f>STATS1003B!U544/1000</f>
        <v>1953.989</v>
      </c>
      <c r="V524" s="9">
        <f>STATS1003B!V544/1000</f>
        <v>1953.989</v>
      </c>
      <c r="W524" s="9">
        <f>STATS1003B!W544/1000</f>
        <v>0</v>
      </c>
      <c r="X524" s="9">
        <f>STATS1003B!X544/1000</f>
        <v>1953.989</v>
      </c>
      <c r="Y524" s="9">
        <f>STATS1003B!Y544/1000</f>
        <v>0</v>
      </c>
      <c r="Z524" s="9">
        <f>STATS1003B!Z544/1000</f>
        <v>0</v>
      </c>
      <c r="AA524" s="9">
        <f>STATS1003B!AA544/1000</f>
        <v>1953.989</v>
      </c>
      <c r="AB524" s="9">
        <f>STATS1003B!AB544/1000</f>
        <v>0</v>
      </c>
    </row>
    <row r="525" spans="1:28" x14ac:dyDescent="0.35">
      <c r="A525" s="36"/>
      <c r="B525" s="8"/>
      <c r="C525" s="8"/>
      <c r="D525" s="8"/>
      <c r="E525" s="17" t="s">
        <v>29</v>
      </c>
      <c r="F525" s="17" t="s">
        <v>29</v>
      </c>
      <c r="G525" s="17" t="s">
        <v>29</v>
      </c>
      <c r="H525" s="17" t="s">
        <v>29</v>
      </c>
      <c r="I525" s="17" t="s">
        <v>29</v>
      </c>
      <c r="J525" s="17" t="s">
        <v>29</v>
      </c>
      <c r="K525" s="17" t="s">
        <v>29</v>
      </c>
      <c r="L525" s="17" t="s">
        <v>29</v>
      </c>
      <c r="M525" s="17" t="s">
        <v>29</v>
      </c>
      <c r="N525" s="17" t="s">
        <v>29</v>
      </c>
      <c r="O525" s="17" t="s">
        <v>29</v>
      </c>
      <c r="P525" s="17" t="s">
        <v>29</v>
      </c>
      <c r="Q525" s="17" t="s">
        <v>29</v>
      </c>
      <c r="R525" s="17" t="s">
        <v>29</v>
      </c>
      <c r="S525" s="17" t="s">
        <v>29</v>
      </c>
      <c r="T525" s="17" t="s">
        <v>29</v>
      </c>
      <c r="U525" s="17" t="s">
        <v>29</v>
      </c>
      <c r="V525" s="17" t="s">
        <v>29</v>
      </c>
      <c r="W525" s="17" t="s">
        <v>29</v>
      </c>
      <c r="X525" s="17" t="s">
        <v>29</v>
      </c>
      <c r="Y525" s="17" t="s">
        <v>29</v>
      </c>
      <c r="Z525" s="17" t="s">
        <v>29</v>
      </c>
      <c r="AA525" s="17" t="s">
        <v>29</v>
      </c>
      <c r="AB525" s="17" t="s">
        <v>29</v>
      </c>
    </row>
    <row r="526" spans="1:28" x14ac:dyDescent="0.35">
      <c r="A526" s="36"/>
      <c r="B526" s="8"/>
      <c r="C526" s="8"/>
      <c r="D526" s="8"/>
      <c r="E526" s="9">
        <f t="shared" ref="E526:AB526" si="33">SUM(E519:E524)</f>
        <v>6073.7976299999991</v>
      </c>
      <c r="F526" s="9">
        <f t="shared" si="33"/>
        <v>2233.6017999999999</v>
      </c>
      <c r="G526" s="9">
        <f t="shared" si="33"/>
        <v>0</v>
      </c>
      <c r="H526" s="9">
        <f t="shared" si="33"/>
        <v>2233.6017999999999</v>
      </c>
      <c r="I526" s="9">
        <f t="shared" si="33"/>
        <v>0</v>
      </c>
      <c r="J526" s="9">
        <f t="shared" si="33"/>
        <v>0</v>
      </c>
      <c r="K526" s="9">
        <f t="shared" si="33"/>
        <v>0</v>
      </c>
      <c r="L526" s="9">
        <f t="shared" si="33"/>
        <v>0</v>
      </c>
      <c r="M526" s="9">
        <f t="shared" si="33"/>
        <v>2233.6017999999999</v>
      </c>
      <c r="N526" s="9">
        <f t="shared" si="33"/>
        <v>3840.1958299999997</v>
      </c>
      <c r="O526" s="9">
        <f t="shared" si="33"/>
        <v>0</v>
      </c>
      <c r="P526" s="9">
        <f t="shared" si="33"/>
        <v>3840.1958299999997</v>
      </c>
      <c r="Q526" s="9">
        <f t="shared" si="33"/>
        <v>0</v>
      </c>
      <c r="R526" s="9">
        <f t="shared" si="33"/>
        <v>0</v>
      </c>
      <c r="S526" s="9">
        <f t="shared" si="33"/>
        <v>0</v>
      </c>
      <c r="T526" s="9">
        <f t="shared" si="33"/>
        <v>0</v>
      </c>
      <c r="U526" s="9">
        <f t="shared" si="33"/>
        <v>3840.1958299999997</v>
      </c>
      <c r="V526" s="9">
        <f t="shared" si="33"/>
        <v>4643.1431700000003</v>
      </c>
      <c r="W526" s="9">
        <f t="shared" si="33"/>
        <v>0</v>
      </c>
      <c r="X526" s="9">
        <f t="shared" si="33"/>
        <v>6073.7976299999991</v>
      </c>
      <c r="Y526" s="9">
        <f t="shared" si="33"/>
        <v>0</v>
      </c>
      <c r="Z526" s="9">
        <f t="shared" si="33"/>
        <v>0</v>
      </c>
      <c r="AA526" s="9">
        <f t="shared" si="33"/>
        <v>6073.7976299999991</v>
      </c>
      <c r="AB526" s="9">
        <f t="shared" si="33"/>
        <v>0</v>
      </c>
    </row>
    <row r="527" spans="1:28" x14ac:dyDescent="0.35">
      <c r="A527" s="36"/>
      <c r="B527" s="8"/>
      <c r="C527" s="8"/>
      <c r="D527" s="8"/>
      <c r="E527" s="17" t="s">
        <v>29</v>
      </c>
      <c r="F527" s="17" t="s">
        <v>29</v>
      </c>
      <c r="G527" s="17" t="s">
        <v>29</v>
      </c>
      <c r="H527" s="17" t="s">
        <v>29</v>
      </c>
      <c r="I527" s="17" t="s">
        <v>29</v>
      </c>
      <c r="J527" s="17" t="s">
        <v>29</v>
      </c>
      <c r="K527" s="17" t="s">
        <v>29</v>
      </c>
      <c r="L527" s="17" t="s">
        <v>29</v>
      </c>
      <c r="M527" s="17" t="s">
        <v>29</v>
      </c>
      <c r="N527" s="17" t="s">
        <v>29</v>
      </c>
      <c r="O527" s="17" t="s">
        <v>29</v>
      </c>
      <c r="P527" s="17" t="s">
        <v>29</v>
      </c>
      <c r="Q527" s="17" t="s">
        <v>29</v>
      </c>
      <c r="R527" s="17" t="s">
        <v>29</v>
      </c>
      <c r="S527" s="17" t="s">
        <v>29</v>
      </c>
      <c r="T527" s="17" t="s">
        <v>29</v>
      </c>
      <c r="U527" s="17" t="s">
        <v>29</v>
      </c>
      <c r="V527" s="17" t="s">
        <v>29</v>
      </c>
      <c r="W527" s="17" t="s">
        <v>29</v>
      </c>
      <c r="X527" s="17" t="s">
        <v>29</v>
      </c>
      <c r="Y527" s="17" t="s">
        <v>29</v>
      </c>
      <c r="Z527" s="17" t="s">
        <v>29</v>
      </c>
      <c r="AA527" s="17" t="s">
        <v>29</v>
      </c>
      <c r="AB527" s="17" t="s">
        <v>29</v>
      </c>
    </row>
    <row r="528" spans="1:28" x14ac:dyDescent="0.35">
      <c r="A528" s="38" t="s">
        <v>961</v>
      </c>
      <c r="B528" s="7" t="s">
        <v>180</v>
      </c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8" x14ac:dyDescent="0.35">
      <c r="A529" s="36"/>
      <c r="B529" s="8"/>
      <c r="C529" s="7" t="s">
        <v>75</v>
      </c>
      <c r="D529" s="21" t="s">
        <v>76</v>
      </c>
      <c r="E529" s="9">
        <f>STATS1003B!E549/1000</f>
        <v>3840</v>
      </c>
      <c r="F529" s="9">
        <f>STATS1003B!F549/1000</f>
        <v>0</v>
      </c>
      <c r="G529" s="9">
        <f>STATS1003B!G549/1000</f>
        <v>0</v>
      </c>
      <c r="H529" s="9">
        <f>STATS1003B!H549/1000</f>
        <v>0</v>
      </c>
      <c r="I529" s="9">
        <f>STATS1003B!I549/1000</f>
        <v>0</v>
      </c>
      <c r="J529" s="9">
        <f>STATS1003B!J549/1000</f>
        <v>0</v>
      </c>
      <c r="K529" s="9">
        <f>STATS1003B!K549/1000</f>
        <v>0</v>
      </c>
      <c r="L529" s="9">
        <f>STATS1003B!L549/1000</f>
        <v>0</v>
      </c>
      <c r="M529" s="9">
        <f>STATS1003B!M549/1000</f>
        <v>0</v>
      </c>
      <c r="N529" s="9">
        <f>STATS1003B!N549/1000</f>
        <v>2924.0063399999999</v>
      </c>
      <c r="O529" s="9">
        <f>STATS1003B!O549/1000</f>
        <v>0</v>
      </c>
      <c r="P529" s="9">
        <f>STATS1003B!P549/1000</f>
        <v>2924.0063399999999</v>
      </c>
      <c r="Q529" s="9">
        <f>STATS1003B!Q549/1000</f>
        <v>0</v>
      </c>
      <c r="R529" s="9">
        <f>STATS1003B!R549/1000</f>
        <v>0</v>
      </c>
      <c r="S529" s="9">
        <f>STATS1003B!S549/1000</f>
        <v>0</v>
      </c>
      <c r="T529" s="9">
        <f>STATS1003B!T549/1000</f>
        <v>0</v>
      </c>
      <c r="U529" s="9">
        <f>STATS1003B!U549/1000</f>
        <v>2924.0063399999999</v>
      </c>
      <c r="V529" s="9">
        <f>STATS1003B!V549/1000</f>
        <v>2924.0063399999999</v>
      </c>
      <c r="W529" s="9">
        <f>STATS1003B!W549/1000</f>
        <v>915.9936600000002</v>
      </c>
      <c r="X529" s="9">
        <f>STATS1003B!X549/1000</f>
        <v>2924.0063399999999</v>
      </c>
      <c r="Y529" s="9">
        <f>STATS1003B!Y549/1000</f>
        <v>0</v>
      </c>
      <c r="Z529" s="9">
        <f>STATS1003B!Z549/1000</f>
        <v>915.9936600000002</v>
      </c>
      <c r="AA529" s="9">
        <f>STATS1003B!AA549/1000</f>
        <v>2924.0063399999999</v>
      </c>
      <c r="AB529" s="9">
        <f>STATS1003B!AB549/1000</f>
        <v>915.9936600000002</v>
      </c>
    </row>
    <row r="530" spans="1:28" x14ac:dyDescent="0.35">
      <c r="A530" s="36"/>
      <c r="B530" s="8"/>
      <c r="C530" s="14" t="s">
        <v>109</v>
      </c>
      <c r="D530" s="21" t="s">
        <v>60</v>
      </c>
      <c r="E530" s="9">
        <f>STATS1003B!E550/1000</f>
        <v>2500</v>
      </c>
      <c r="F530" s="9">
        <f>STATS1003B!F550/1000</f>
        <v>2500</v>
      </c>
      <c r="G530" s="9">
        <f>STATS1003B!G550/1000</f>
        <v>0</v>
      </c>
      <c r="H530" s="9">
        <f>STATS1003B!H550/1000</f>
        <v>2500</v>
      </c>
      <c r="I530" s="9">
        <f>STATS1003B!I550/1000</f>
        <v>0</v>
      </c>
      <c r="J530" s="9">
        <f>STATS1003B!J550/1000</f>
        <v>0</v>
      </c>
      <c r="K530" s="9">
        <f>STATS1003B!K550/1000</f>
        <v>0</v>
      </c>
      <c r="L530" s="9">
        <f>STATS1003B!L550/1000</f>
        <v>0</v>
      </c>
      <c r="M530" s="9">
        <f>STATS1003B!M550/1000</f>
        <v>2500</v>
      </c>
      <c r="N530" s="9">
        <f>STATS1003B!N550/1000</f>
        <v>0</v>
      </c>
      <c r="O530" s="9">
        <f>STATS1003B!O550/1000</f>
        <v>0</v>
      </c>
      <c r="P530" s="9">
        <f>STATS1003B!P550/1000</f>
        <v>0</v>
      </c>
      <c r="Q530" s="9">
        <f>STATS1003B!Q550/1000</f>
        <v>0</v>
      </c>
      <c r="R530" s="9">
        <f>STATS1003B!R550/1000</f>
        <v>0</v>
      </c>
      <c r="S530" s="9">
        <f>STATS1003B!S550/1000</f>
        <v>0</v>
      </c>
      <c r="T530" s="9">
        <f>STATS1003B!T550/1000</f>
        <v>0</v>
      </c>
      <c r="U530" s="9">
        <f>STATS1003B!U550/1000</f>
        <v>0</v>
      </c>
      <c r="V530" s="9">
        <f>STATS1003B!V550/1000</f>
        <v>2500</v>
      </c>
      <c r="W530" s="9">
        <f>STATS1003B!W550/1000</f>
        <v>0</v>
      </c>
      <c r="X530" s="9">
        <f>STATS1003B!X550/1000</f>
        <v>2500</v>
      </c>
      <c r="Y530" s="9">
        <f>STATS1003B!Y550/1000</f>
        <v>0</v>
      </c>
      <c r="Z530" s="9">
        <f>STATS1003B!Z550/1000</f>
        <v>0</v>
      </c>
      <c r="AA530" s="9">
        <f>STATS1003B!AA550/1000</f>
        <v>2500</v>
      </c>
      <c r="AB530" s="9">
        <f>STATS1003B!AB550/1000</f>
        <v>0</v>
      </c>
    </row>
    <row r="531" spans="1:28" x14ac:dyDescent="0.35">
      <c r="A531" s="36"/>
      <c r="B531" s="8"/>
      <c r="C531" s="7" t="s">
        <v>57</v>
      </c>
      <c r="D531" s="15" t="s">
        <v>60</v>
      </c>
      <c r="E531" s="9">
        <f>STATS1003B!E551/1000</f>
        <v>2483.2620000000002</v>
      </c>
      <c r="F531" s="9">
        <f>STATS1003B!F551/1000</f>
        <v>2483.2620000000002</v>
      </c>
      <c r="G531" s="9">
        <f>STATS1003B!G551/1000</f>
        <v>0</v>
      </c>
      <c r="H531" s="9">
        <f>STATS1003B!H551/1000</f>
        <v>2483.2620000000002</v>
      </c>
      <c r="I531" s="9">
        <f>STATS1003B!I551/1000</f>
        <v>0</v>
      </c>
      <c r="J531" s="9">
        <f>STATS1003B!J551/1000</f>
        <v>0</v>
      </c>
      <c r="K531" s="9">
        <f>STATS1003B!K551/1000</f>
        <v>0</v>
      </c>
      <c r="L531" s="9">
        <f>STATS1003B!L551/1000</f>
        <v>0</v>
      </c>
      <c r="M531" s="9">
        <f>STATS1003B!M551/1000</f>
        <v>2483.2620000000002</v>
      </c>
      <c r="N531" s="9">
        <f>STATS1003B!N551/1000</f>
        <v>0</v>
      </c>
      <c r="O531" s="9">
        <f>STATS1003B!O551/1000</f>
        <v>0</v>
      </c>
      <c r="P531" s="9">
        <f>STATS1003B!P551/1000</f>
        <v>0</v>
      </c>
      <c r="Q531" s="9">
        <f>STATS1003B!Q551/1000</f>
        <v>0</v>
      </c>
      <c r="R531" s="9">
        <f>STATS1003B!R551/1000</f>
        <v>0</v>
      </c>
      <c r="S531" s="9">
        <f>STATS1003B!S551/1000</f>
        <v>0</v>
      </c>
      <c r="T531" s="9">
        <f>STATS1003B!T551/1000</f>
        <v>0</v>
      </c>
      <c r="U531" s="9">
        <f>STATS1003B!U551/1000</f>
        <v>0</v>
      </c>
      <c r="V531" s="9">
        <f>STATS1003B!V551/1000</f>
        <v>2483.2620000000002</v>
      </c>
      <c r="W531" s="9">
        <f>STATS1003B!W551/1000</f>
        <v>0</v>
      </c>
      <c r="X531" s="9">
        <f>STATS1003B!X551/1000</f>
        <v>2483.2620000000002</v>
      </c>
      <c r="Y531" s="9">
        <f>STATS1003B!Y551/1000</f>
        <v>0</v>
      </c>
      <c r="Z531" s="9">
        <f>STATS1003B!Z551/1000</f>
        <v>0</v>
      </c>
      <c r="AA531" s="9">
        <f>STATS1003B!AA551/1000</f>
        <v>2483.2620000000002</v>
      </c>
      <c r="AB531" s="9">
        <f>STATS1003B!AB551/1000</f>
        <v>0</v>
      </c>
    </row>
    <row r="532" spans="1:28" x14ac:dyDescent="0.35">
      <c r="A532" s="36"/>
      <c r="B532" s="8"/>
      <c r="C532" s="7" t="s">
        <v>1064</v>
      </c>
      <c r="D532" s="15"/>
      <c r="E532" s="9">
        <f>STATS1003B!E552/1000</f>
        <v>569</v>
      </c>
      <c r="F532" s="9">
        <f>STATS1003B!F552/1000</f>
        <v>569</v>
      </c>
      <c r="G532" s="9">
        <f>STATS1003B!G552/1000</f>
        <v>0</v>
      </c>
      <c r="H532" s="9">
        <f>STATS1003B!H552/1000</f>
        <v>569</v>
      </c>
      <c r="I532" s="9">
        <f>STATS1003B!I552/1000</f>
        <v>0</v>
      </c>
      <c r="J532" s="9">
        <f>STATS1003B!J552/1000</f>
        <v>0</v>
      </c>
      <c r="K532" s="9">
        <f>STATS1003B!K552/1000</f>
        <v>0</v>
      </c>
      <c r="L532" s="9">
        <f>STATS1003B!L552/1000</f>
        <v>0</v>
      </c>
      <c r="M532" s="9">
        <f>STATS1003B!M552/1000</f>
        <v>569</v>
      </c>
      <c r="N532" s="9">
        <f>STATS1003B!N552/1000</f>
        <v>0</v>
      </c>
      <c r="O532" s="9">
        <f>STATS1003B!O552/1000</f>
        <v>0</v>
      </c>
      <c r="P532" s="9">
        <f>STATS1003B!P552/1000</f>
        <v>0</v>
      </c>
      <c r="Q532" s="9">
        <f>STATS1003B!Q552/1000</f>
        <v>0</v>
      </c>
      <c r="R532" s="9">
        <f>STATS1003B!R552/1000</f>
        <v>0</v>
      </c>
      <c r="S532" s="9">
        <f>STATS1003B!S552/1000</f>
        <v>0</v>
      </c>
      <c r="T532" s="9">
        <f>STATS1003B!T552/1000</f>
        <v>0</v>
      </c>
      <c r="U532" s="9">
        <f>STATS1003B!U552/1000</f>
        <v>0</v>
      </c>
      <c r="V532" s="9">
        <f>STATS1003B!V552/1000</f>
        <v>569</v>
      </c>
      <c r="W532" s="9">
        <f>STATS1003B!W552/1000</f>
        <v>0</v>
      </c>
      <c r="X532" s="9">
        <f>STATS1003B!X552/1000</f>
        <v>569</v>
      </c>
      <c r="Y532" s="9">
        <f>STATS1003B!Y552/1000</f>
        <v>0</v>
      </c>
      <c r="Z532" s="9">
        <f>STATS1003B!Z552/1000</f>
        <v>0</v>
      </c>
      <c r="AA532" s="9">
        <f>STATS1003B!AA552/1000</f>
        <v>569</v>
      </c>
      <c r="AB532" s="9">
        <f>STATS1003B!AB552/1000</f>
        <v>0</v>
      </c>
    </row>
    <row r="533" spans="1:28" x14ac:dyDescent="0.35">
      <c r="A533" s="36"/>
      <c r="B533" s="8"/>
      <c r="C533" s="7" t="s">
        <v>930</v>
      </c>
      <c r="D533" s="16" t="s">
        <v>1072</v>
      </c>
      <c r="E533" s="9">
        <f>STATS1003B!E553/1000</f>
        <v>657</v>
      </c>
      <c r="F533" s="9">
        <f>STATS1003B!F553/1000</f>
        <v>657</v>
      </c>
      <c r="G533" s="9">
        <f>STATS1003B!G553/1000</f>
        <v>0</v>
      </c>
      <c r="H533" s="9">
        <f>STATS1003B!H553/1000</f>
        <v>657</v>
      </c>
      <c r="I533" s="9">
        <f>STATS1003B!I553/1000</f>
        <v>0</v>
      </c>
      <c r="J533" s="9">
        <f>STATS1003B!J553/1000</f>
        <v>0</v>
      </c>
      <c r="K533" s="9">
        <f>STATS1003B!K553/1000</f>
        <v>0</v>
      </c>
      <c r="L533" s="9">
        <f>STATS1003B!L553/1000</f>
        <v>0</v>
      </c>
      <c r="M533" s="9">
        <f>STATS1003B!M553/1000</f>
        <v>657</v>
      </c>
      <c r="N533" s="9">
        <f>STATS1003B!N553/1000</f>
        <v>0</v>
      </c>
      <c r="O533" s="9">
        <f>STATS1003B!O553/1000</f>
        <v>0</v>
      </c>
      <c r="P533" s="9">
        <f>STATS1003B!P553/1000</f>
        <v>0</v>
      </c>
      <c r="Q533" s="9">
        <f>STATS1003B!Q553/1000</f>
        <v>0</v>
      </c>
      <c r="R533" s="9">
        <f>STATS1003B!R553/1000</f>
        <v>0</v>
      </c>
      <c r="S533" s="9">
        <f>STATS1003B!S553/1000</f>
        <v>0</v>
      </c>
      <c r="T533" s="9">
        <f>STATS1003B!T553/1000</f>
        <v>0</v>
      </c>
      <c r="U533" s="9">
        <f>STATS1003B!U553/1000</f>
        <v>0</v>
      </c>
      <c r="V533" s="9">
        <f>STATS1003B!V553/1000</f>
        <v>657</v>
      </c>
      <c r="W533" s="9">
        <f>STATS1003B!W553/1000</f>
        <v>0</v>
      </c>
      <c r="X533" s="9">
        <f>STATS1003B!X553/1000</f>
        <v>657</v>
      </c>
      <c r="Y533" s="9">
        <f>STATS1003B!Y553/1000</f>
        <v>0</v>
      </c>
      <c r="Z533" s="9">
        <f>STATS1003B!Z553/1000</f>
        <v>0</v>
      </c>
      <c r="AA533" s="9">
        <f>STATS1003B!AA553/1000</f>
        <v>657</v>
      </c>
      <c r="AB533" s="9">
        <f>STATS1003B!AB553/1000</f>
        <v>0</v>
      </c>
    </row>
    <row r="534" spans="1:28" x14ac:dyDescent="0.35">
      <c r="A534" s="36"/>
      <c r="B534" s="8"/>
      <c r="C534" s="7" t="s">
        <v>181</v>
      </c>
      <c r="D534" s="15" t="s">
        <v>73</v>
      </c>
      <c r="E534" s="9">
        <f>STATS1003B!E554/1000</f>
        <v>4585.2998499999994</v>
      </c>
      <c r="F534" s="9">
        <f>STATS1003B!F554/1000</f>
        <v>4585.2998499999994</v>
      </c>
      <c r="G534" s="9">
        <f>STATS1003B!G554/1000</f>
        <v>0</v>
      </c>
      <c r="H534" s="9">
        <f>STATS1003B!H554/1000</f>
        <v>4585.2998499999994</v>
      </c>
      <c r="I534" s="9">
        <f>STATS1003B!I554/1000</f>
        <v>0</v>
      </c>
      <c r="J534" s="9">
        <f>STATS1003B!J554/1000</f>
        <v>0</v>
      </c>
      <c r="K534" s="9">
        <f>STATS1003B!K554/1000</f>
        <v>0</v>
      </c>
      <c r="L534" s="9">
        <f>STATS1003B!L554/1000</f>
        <v>0</v>
      </c>
      <c r="M534" s="9">
        <f>STATS1003B!M554/1000</f>
        <v>4585.2998499999994</v>
      </c>
      <c r="N534" s="9">
        <f>STATS1003B!N554/1000</f>
        <v>0</v>
      </c>
      <c r="O534" s="9">
        <f>STATS1003B!O554/1000</f>
        <v>0</v>
      </c>
      <c r="P534" s="9">
        <f>STATS1003B!P554/1000</f>
        <v>0</v>
      </c>
      <c r="Q534" s="9">
        <f>STATS1003B!Q554/1000</f>
        <v>0</v>
      </c>
      <c r="R534" s="9">
        <f>STATS1003B!R554/1000</f>
        <v>0</v>
      </c>
      <c r="S534" s="9">
        <f>STATS1003B!S554/1000</f>
        <v>0</v>
      </c>
      <c r="T534" s="9">
        <f>STATS1003B!T554/1000</f>
        <v>0</v>
      </c>
      <c r="U534" s="9">
        <f>STATS1003B!U554/1000</f>
        <v>0</v>
      </c>
      <c r="V534" s="9">
        <f>STATS1003B!V554/1000</f>
        <v>4585.2998499999994</v>
      </c>
      <c r="W534" s="9">
        <f>STATS1003B!W554/1000</f>
        <v>0</v>
      </c>
      <c r="X534" s="9">
        <f>STATS1003B!X554/1000</f>
        <v>4585.2998499999994</v>
      </c>
      <c r="Y534" s="9">
        <f>STATS1003B!Y554/1000</f>
        <v>0</v>
      </c>
      <c r="Z534" s="9">
        <f>STATS1003B!Z554/1000</f>
        <v>0</v>
      </c>
      <c r="AA534" s="9">
        <f>STATS1003B!AA554/1000</f>
        <v>4585.2998499999994</v>
      </c>
      <c r="AB534" s="9">
        <f>STATS1003B!AB554/1000</f>
        <v>0</v>
      </c>
    </row>
    <row r="535" spans="1:28" x14ac:dyDescent="0.35">
      <c r="A535" s="36"/>
      <c r="B535" s="8"/>
      <c r="C535" s="7" t="s">
        <v>57</v>
      </c>
      <c r="D535" s="16" t="s">
        <v>61</v>
      </c>
      <c r="E535" s="9">
        <f>STATS1003B!E555/1000</f>
        <v>746.94429000000002</v>
      </c>
      <c r="F535" s="9">
        <f>STATS1003B!F555/1000</f>
        <v>746.94429000000002</v>
      </c>
      <c r="G535" s="9">
        <f>STATS1003B!G555/1000</f>
        <v>0</v>
      </c>
      <c r="H535" s="9">
        <f>STATS1003B!H555/1000</f>
        <v>746.94429000000002</v>
      </c>
      <c r="I535" s="9">
        <f>STATS1003B!I555/1000</f>
        <v>0</v>
      </c>
      <c r="J535" s="9">
        <f>STATS1003B!J555/1000</f>
        <v>0</v>
      </c>
      <c r="K535" s="9">
        <f>STATS1003B!K555/1000</f>
        <v>0</v>
      </c>
      <c r="L535" s="9">
        <f>STATS1003B!L555/1000</f>
        <v>0</v>
      </c>
      <c r="M535" s="9">
        <f>STATS1003B!M555/1000</f>
        <v>746.94429000000002</v>
      </c>
      <c r="N535" s="9">
        <f>STATS1003B!N555/1000</f>
        <v>0</v>
      </c>
      <c r="O535" s="9">
        <f>STATS1003B!O555/1000</f>
        <v>0</v>
      </c>
      <c r="P535" s="9">
        <f>STATS1003B!P555/1000</f>
        <v>0</v>
      </c>
      <c r="Q535" s="9">
        <f>STATS1003B!Q555/1000</f>
        <v>0</v>
      </c>
      <c r="R535" s="9">
        <f>STATS1003B!R555/1000</f>
        <v>0</v>
      </c>
      <c r="S535" s="9">
        <f>STATS1003B!S555/1000</f>
        <v>0</v>
      </c>
      <c r="T535" s="9">
        <f>STATS1003B!T555/1000</f>
        <v>0</v>
      </c>
      <c r="U535" s="9">
        <f>STATS1003B!U555/1000</f>
        <v>0</v>
      </c>
      <c r="V535" s="9">
        <f>STATS1003B!V555/1000</f>
        <v>746.94429000000002</v>
      </c>
      <c r="W535" s="9">
        <f>STATS1003B!W555/1000</f>
        <v>0</v>
      </c>
      <c r="X535" s="9">
        <f>STATS1003B!X555/1000</f>
        <v>746.94429000000002</v>
      </c>
      <c r="Y535" s="9">
        <f>STATS1003B!Y555/1000</f>
        <v>0</v>
      </c>
      <c r="Z535" s="9">
        <f>STATS1003B!Z555/1000</f>
        <v>0</v>
      </c>
      <c r="AA535" s="9">
        <f>STATS1003B!AA555/1000</f>
        <v>746.94429000000002</v>
      </c>
      <c r="AB535" s="9">
        <f>STATS1003B!AB555/1000</f>
        <v>0</v>
      </c>
    </row>
    <row r="536" spans="1:28" x14ac:dyDescent="0.35">
      <c r="A536" s="36"/>
      <c r="B536" s="8"/>
      <c r="C536" s="8"/>
      <c r="D536" s="8"/>
      <c r="E536" s="17" t="s">
        <v>29</v>
      </c>
      <c r="F536" s="17" t="s">
        <v>29</v>
      </c>
      <c r="G536" s="17" t="s">
        <v>29</v>
      </c>
      <c r="H536" s="17" t="s">
        <v>29</v>
      </c>
      <c r="I536" s="17" t="s">
        <v>29</v>
      </c>
      <c r="J536" s="17" t="s">
        <v>29</v>
      </c>
      <c r="K536" s="17" t="s">
        <v>29</v>
      </c>
      <c r="L536" s="17" t="s">
        <v>29</v>
      </c>
      <c r="M536" s="17" t="s">
        <v>29</v>
      </c>
      <c r="N536" s="17" t="s">
        <v>29</v>
      </c>
      <c r="O536" s="17" t="s">
        <v>29</v>
      </c>
      <c r="P536" s="17" t="s">
        <v>29</v>
      </c>
      <c r="Q536" s="17" t="s">
        <v>29</v>
      </c>
      <c r="R536" s="17" t="s">
        <v>29</v>
      </c>
      <c r="S536" s="17" t="s">
        <v>29</v>
      </c>
      <c r="T536" s="17" t="s">
        <v>29</v>
      </c>
      <c r="U536" s="17" t="s">
        <v>29</v>
      </c>
      <c r="V536" s="17" t="s">
        <v>29</v>
      </c>
      <c r="W536" s="17" t="s">
        <v>29</v>
      </c>
      <c r="X536" s="17" t="s">
        <v>29</v>
      </c>
      <c r="Y536" s="17" t="s">
        <v>29</v>
      </c>
      <c r="Z536" s="17" t="s">
        <v>29</v>
      </c>
      <c r="AA536" s="17" t="s">
        <v>29</v>
      </c>
      <c r="AB536" s="17" t="s">
        <v>29</v>
      </c>
    </row>
    <row r="537" spans="1:28" x14ac:dyDescent="0.35">
      <c r="A537" s="36"/>
      <c r="B537" s="8"/>
      <c r="C537" s="8"/>
      <c r="D537" s="8"/>
      <c r="E537" s="9">
        <f t="shared" ref="E537:AB537" si="34">SUM(E529:E535)</f>
        <v>15381.50614</v>
      </c>
      <c r="F537" s="9">
        <f t="shared" si="34"/>
        <v>11541.50614</v>
      </c>
      <c r="G537" s="9">
        <f t="shared" si="34"/>
        <v>0</v>
      </c>
      <c r="H537" s="9">
        <f t="shared" si="34"/>
        <v>11541.50614</v>
      </c>
      <c r="I537" s="9">
        <f t="shared" si="34"/>
        <v>0</v>
      </c>
      <c r="J537" s="9">
        <f t="shared" si="34"/>
        <v>0</v>
      </c>
      <c r="K537" s="9">
        <f t="shared" si="34"/>
        <v>0</v>
      </c>
      <c r="L537" s="9">
        <f t="shared" si="34"/>
        <v>0</v>
      </c>
      <c r="M537" s="9">
        <f t="shared" si="34"/>
        <v>11541.50614</v>
      </c>
      <c r="N537" s="9">
        <f t="shared" si="34"/>
        <v>2924.0063399999999</v>
      </c>
      <c r="O537" s="9">
        <f t="shared" si="34"/>
        <v>0</v>
      </c>
      <c r="P537" s="9">
        <f t="shared" si="34"/>
        <v>2924.0063399999999</v>
      </c>
      <c r="Q537" s="9">
        <f t="shared" si="34"/>
        <v>0</v>
      </c>
      <c r="R537" s="9">
        <f t="shared" si="34"/>
        <v>0</v>
      </c>
      <c r="S537" s="9">
        <f t="shared" si="34"/>
        <v>0</v>
      </c>
      <c r="T537" s="9">
        <f t="shared" si="34"/>
        <v>0</v>
      </c>
      <c r="U537" s="9">
        <f t="shared" si="34"/>
        <v>2924.0063399999999</v>
      </c>
      <c r="V537" s="9">
        <f t="shared" si="34"/>
        <v>14465.512479999999</v>
      </c>
      <c r="W537" s="9">
        <f t="shared" si="34"/>
        <v>915.9936600000002</v>
      </c>
      <c r="X537" s="9">
        <f t="shared" si="34"/>
        <v>14465.512479999999</v>
      </c>
      <c r="Y537" s="9">
        <f t="shared" si="34"/>
        <v>0</v>
      </c>
      <c r="Z537" s="9">
        <f t="shared" si="34"/>
        <v>915.9936600000002</v>
      </c>
      <c r="AA537" s="9">
        <f t="shared" si="34"/>
        <v>14465.512479999999</v>
      </c>
      <c r="AB537" s="9">
        <f t="shared" si="34"/>
        <v>915.9936600000002</v>
      </c>
    </row>
    <row r="538" spans="1:28" x14ac:dyDescent="0.35">
      <c r="A538" s="36"/>
      <c r="B538" s="8"/>
      <c r="C538" s="8"/>
      <c r="D538" s="8"/>
      <c r="E538" s="17" t="s">
        <v>29</v>
      </c>
      <c r="F538" s="17" t="s">
        <v>29</v>
      </c>
      <c r="G538" s="17" t="s">
        <v>29</v>
      </c>
      <c r="H538" s="17" t="s">
        <v>29</v>
      </c>
      <c r="I538" s="17" t="s">
        <v>29</v>
      </c>
      <c r="J538" s="17" t="s">
        <v>29</v>
      </c>
      <c r="K538" s="17" t="s">
        <v>29</v>
      </c>
      <c r="L538" s="17" t="s">
        <v>29</v>
      </c>
      <c r="M538" s="17" t="s">
        <v>29</v>
      </c>
      <c r="N538" s="17" t="s">
        <v>29</v>
      </c>
      <c r="O538" s="17" t="s">
        <v>29</v>
      </c>
      <c r="P538" s="17" t="s">
        <v>29</v>
      </c>
      <c r="Q538" s="17" t="s">
        <v>29</v>
      </c>
      <c r="R538" s="17" t="s">
        <v>29</v>
      </c>
      <c r="S538" s="17" t="s">
        <v>29</v>
      </c>
      <c r="T538" s="17" t="s">
        <v>29</v>
      </c>
      <c r="U538" s="17" t="s">
        <v>29</v>
      </c>
      <c r="V538" s="17" t="s">
        <v>29</v>
      </c>
      <c r="W538" s="17" t="s">
        <v>29</v>
      </c>
      <c r="X538" s="17" t="s">
        <v>29</v>
      </c>
      <c r="Y538" s="17" t="s">
        <v>29</v>
      </c>
      <c r="Z538" s="17" t="s">
        <v>29</v>
      </c>
      <c r="AA538" s="17" t="s">
        <v>29</v>
      </c>
      <c r="AB538" s="17" t="s">
        <v>29</v>
      </c>
    </row>
    <row r="539" spans="1:28" x14ac:dyDescent="0.35">
      <c r="A539" s="38" t="s">
        <v>962</v>
      </c>
      <c r="B539" s="7" t="s">
        <v>182</v>
      </c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8" x14ac:dyDescent="0.35">
      <c r="A540" s="36"/>
      <c r="B540" s="8"/>
      <c r="C540" s="7" t="s">
        <v>183</v>
      </c>
      <c r="D540" s="15" t="s">
        <v>88</v>
      </c>
      <c r="E540" s="9">
        <f>STATS1003B!E560/1000</f>
        <v>545.29246000000001</v>
      </c>
      <c r="F540" s="9">
        <f>STATS1003B!F560/1000</f>
        <v>545.29246000000001</v>
      </c>
      <c r="G540" s="9">
        <f>STATS1003B!G560/1000</f>
        <v>0</v>
      </c>
      <c r="H540" s="9">
        <f>STATS1003B!H560/1000</f>
        <v>545.29246000000001</v>
      </c>
      <c r="I540" s="9">
        <f>STATS1003B!I560/1000</f>
        <v>0</v>
      </c>
      <c r="J540" s="9">
        <f>STATS1003B!J560/1000</f>
        <v>0</v>
      </c>
      <c r="K540" s="9">
        <f>STATS1003B!K560/1000</f>
        <v>0</v>
      </c>
      <c r="L540" s="9">
        <f>STATS1003B!L560/1000</f>
        <v>0</v>
      </c>
      <c r="M540" s="9">
        <f>STATS1003B!M560/1000</f>
        <v>545.29246000000001</v>
      </c>
      <c r="N540" s="9">
        <f>STATS1003B!N560/1000</f>
        <v>0</v>
      </c>
      <c r="O540" s="9">
        <f>STATS1003B!O560/1000</f>
        <v>0</v>
      </c>
      <c r="P540" s="9">
        <f>STATS1003B!P560/1000</f>
        <v>0</v>
      </c>
      <c r="Q540" s="9">
        <f>STATS1003B!Q560/1000</f>
        <v>0</v>
      </c>
      <c r="R540" s="9">
        <f>STATS1003B!R560/1000</f>
        <v>0</v>
      </c>
      <c r="S540" s="9">
        <f>STATS1003B!S560/1000</f>
        <v>0</v>
      </c>
      <c r="T540" s="9">
        <f>STATS1003B!T560/1000</f>
        <v>0</v>
      </c>
      <c r="U540" s="9">
        <f>STATS1003B!U560/1000</f>
        <v>0</v>
      </c>
      <c r="V540" s="9">
        <f>STATS1003B!V560/1000</f>
        <v>545.29246000000001</v>
      </c>
      <c r="W540" s="9">
        <f>STATS1003B!W560/1000</f>
        <v>0</v>
      </c>
      <c r="X540" s="9">
        <f>STATS1003B!X560/1000</f>
        <v>545.29246000000001</v>
      </c>
      <c r="Y540" s="9">
        <f>STATS1003B!Y560/1000</f>
        <v>0</v>
      </c>
      <c r="Z540" s="9">
        <f>STATS1003B!Z560/1000</f>
        <v>0</v>
      </c>
      <c r="AA540" s="9">
        <f>STATS1003B!AA560/1000</f>
        <v>545.29246000000001</v>
      </c>
      <c r="AB540" s="9">
        <f>STATS1003B!AB560/1000</f>
        <v>0</v>
      </c>
    </row>
    <row r="541" spans="1:28" x14ac:dyDescent="0.35">
      <c r="A541" s="36"/>
      <c r="B541" s="8"/>
      <c r="C541" s="8"/>
      <c r="D541" s="8"/>
      <c r="E541" s="17" t="s">
        <v>29</v>
      </c>
      <c r="F541" s="17" t="s">
        <v>29</v>
      </c>
      <c r="G541" s="17" t="s">
        <v>29</v>
      </c>
      <c r="H541" s="17" t="s">
        <v>29</v>
      </c>
      <c r="I541" s="17" t="s">
        <v>29</v>
      </c>
      <c r="J541" s="17" t="s">
        <v>29</v>
      </c>
      <c r="K541" s="17" t="s">
        <v>29</v>
      </c>
      <c r="L541" s="17" t="s">
        <v>29</v>
      </c>
      <c r="M541" s="17" t="s">
        <v>29</v>
      </c>
      <c r="N541" s="17" t="s">
        <v>29</v>
      </c>
      <c r="O541" s="17" t="s">
        <v>29</v>
      </c>
      <c r="P541" s="17" t="s">
        <v>29</v>
      </c>
      <c r="Q541" s="17" t="s">
        <v>29</v>
      </c>
      <c r="R541" s="17" t="s">
        <v>29</v>
      </c>
      <c r="S541" s="17" t="s">
        <v>29</v>
      </c>
      <c r="T541" s="17" t="s">
        <v>29</v>
      </c>
      <c r="U541" s="17" t="s">
        <v>29</v>
      </c>
      <c r="V541" s="17" t="s">
        <v>29</v>
      </c>
      <c r="W541" s="17" t="s">
        <v>29</v>
      </c>
      <c r="X541" s="17" t="s">
        <v>29</v>
      </c>
      <c r="Y541" s="17" t="s">
        <v>29</v>
      </c>
      <c r="Z541" s="17" t="s">
        <v>29</v>
      </c>
      <c r="AA541" s="17" t="s">
        <v>29</v>
      </c>
      <c r="AB541" s="17" t="s">
        <v>29</v>
      </c>
    </row>
    <row r="542" spans="1:28" x14ac:dyDescent="0.35">
      <c r="A542" s="36"/>
      <c r="B542" s="8"/>
      <c r="C542" s="8"/>
      <c r="D542" s="8"/>
      <c r="E542" s="9">
        <f t="shared" ref="E542:AB542" si="35">E540</f>
        <v>545.29246000000001</v>
      </c>
      <c r="F542" s="9">
        <f t="shared" si="35"/>
        <v>545.29246000000001</v>
      </c>
      <c r="G542" s="9">
        <f t="shared" si="35"/>
        <v>0</v>
      </c>
      <c r="H542" s="9">
        <f t="shared" si="35"/>
        <v>545.29246000000001</v>
      </c>
      <c r="I542" s="9">
        <f t="shared" si="35"/>
        <v>0</v>
      </c>
      <c r="J542" s="9">
        <f t="shared" si="35"/>
        <v>0</v>
      </c>
      <c r="K542" s="9">
        <f t="shared" si="35"/>
        <v>0</v>
      </c>
      <c r="L542" s="9">
        <f t="shared" si="35"/>
        <v>0</v>
      </c>
      <c r="M542" s="9">
        <f t="shared" si="35"/>
        <v>545.29246000000001</v>
      </c>
      <c r="N542" s="9">
        <f t="shared" si="35"/>
        <v>0</v>
      </c>
      <c r="O542" s="9">
        <f t="shared" si="35"/>
        <v>0</v>
      </c>
      <c r="P542" s="9">
        <f t="shared" si="35"/>
        <v>0</v>
      </c>
      <c r="Q542" s="9">
        <f t="shared" si="35"/>
        <v>0</v>
      </c>
      <c r="R542" s="9">
        <f t="shared" si="35"/>
        <v>0</v>
      </c>
      <c r="S542" s="9">
        <f t="shared" si="35"/>
        <v>0</v>
      </c>
      <c r="T542" s="9">
        <f t="shared" si="35"/>
        <v>0</v>
      </c>
      <c r="U542" s="9">
        <f t="shared" si="35"/>
        <v>0</v>
      </c>
      <c r="V542" s="9">
        <f t="shared" si="35"/>
        <v>545.29246000000001</v>
      </c>
      <c r="W542" s="9">
        <f t="shared" si="35"/>
        <v>0</v>
      </c>
      <c r="X542" s="9">
        <f t="shared" si="35"/>
        <v>545.29246000000001</v>
      </c>
      <c r="Y542" s="9">
        <f t="shared" si="35"/>
        <v>0</v>
      </c>
      <c r="Z542" s="9">
        <f t="shared" si="35"/>
        <v>0</v>
      </c>
      <c r="AA542" s="9">
        <f t="shared" si="35"/>
        <v>545.29246000000001</v>
      </c>
      <c r="AB542" s="9">
        <f t="shared" si="35"/>
        <v>0</v>
      </c>
    </row>
    <row r="543" spans="1:28" x14ac:dyDescent="0.35">
      <c r="A543" s="36"/>
      <c r="B543" s="8"/>
      <c r="C543" s="8"/>
      <c r="D543" s="8"/>
      <c r="E543" s="17" t="s">
        <v>29</v>
      </c>
      <c r="F543" s="17" t="s">
        <v>29</v>
      </c>
      <c r="G543" s="17" t="s">
        <v>29</v>
      </c>
      <c r="H543" s="17" t="s">
        <v>29</v>
      </c>
      <c r="I543" s="17" t="s">
        <v>29</v>
      </c>
      <c r="J543" s="17" t="s">
        <v>29</v>
      </c>
      <c r="K543" s="17" t="s">
        <v>29</v>
      </c>
      <c r="L543" s="17" t="s">
        <v>29</v>
      </c>
      <c r="M543" s="17" t="s">
        <v>29</v>
      </c>
      <c r="N543" s="17" t="s">
        <v>29</v>
      </c>
      <c r="O543" s="17" t="s">
        <v>29</v>
      </c>
      <c r="P543" s="17" t="s">
        <v>29</v>
      </c>
      <c r="Q543" s="17" t="s">
        <v>29</v>
      </c>
      <c r="R543" s="17" t="s">
        <v>29</v>
      </c>
      <c r="S543" s="17" t="s">
        <v>29</v>
      </c>
      <c r="T543" s="17" t="s">
        <v>29</v>
      </c>
      <c r="U543" s="17" t="s">
        <v>29</v>
      </c>
      <c r="V543" s="17" t="s">
        <v>29</v>
      </c>
      <c r="W543" s="17" t="s">
        <v>29</v>
      </c>
      <c r="X543" s="17" t="s">
        <v>29</v>
      </c>
      <c r="Y543" s="17" t="s">
        <v>29</v>
      </c>
      <c r="Z543" s="17" t="s">
        <v>29</v>
      </c>
      <c r="AA543" s="17" t="s">
        <v>29</v>
      </c>
      <c r="AB543" s="17" t="s">
        <v>29</v>
      </c>
    </row>
    <row r="544" spans="1:28" x14ac:dyDescent="0.35">
      <c r="A544" s="38" t="s">
        <v>963</v>
      </c>
      <c r="B544" s="7" t="s">
        <v>184</v>
      </c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8" x14ac:dyDescent="0.35">
      <c r="A545" s="36"/>
      <c r="B545" s="8"/>
      <c r="C545" s="7" t="s">
        <v>185</v>
      </c>
      <c r="D545" s="15" t="s">
        <v>68</v>
      </c>
      <c r="E545" s="9">
        <f>STATS1003B!E565/1000</f>
        <v>1767.77</v>
      </c>
      <c r="F545" s="9">
        <f>STATS1003B!F565/1000</f>
        <v>0</v>
      </c>
      <c r="G545" s="9">
        <f>STATS1003B!G565/1000</f>
        <v>0</v>
      </c>
      <c r="H545" s="9">
        <f>STATS1003B!H565/1000</f>
        <v>0</v>
      </c>
      <c r="I545" s="9">
        <f>STATS1003B!I565/1000</f>
        <v>0</v>
      </c>
      <c r="J545" s="9">
        <f>STATS1003B!J565/1000</f>
        <v>0</v>
      </c>
      <c r="K545" s="9">
        <f>STATS1003B!K565/1000</f>
        <v>0</v>
      </c>
      <c r="L545" s="9">
        <f>STATS1003B!L565/1000</f>
        <v>0</v>
      </c>
      <c r="M545" s="9">
        <f>STATS1003B!M565/1000</f>
        <v>0</v>
      </c>
      <c r="N545" s="9">
        <f>STATS1003B!N565/1000</f>
        <v>1767.77</v>
      </c>
      <c r="O545" s="9">
        <f>STATS1003B!O565/1000</f>
        <v>0</v>
      </c>
      <c r="P545" s="9">
        <f>STATS1003B!P565/1000</f>
        <v>1767.77</v>
      </c>
      <c r="Q545" s="9">
        <f>STATS1003B!Q565/1000</f>
        <v>0</v>
      </c>
      <c r="R545" s="9">
        <f>STATS1003B!R565/1000</f>
        <v>0</v>
      </c>
      <c r="S545" s="9">
        <f>STATS1003B!S565/1000</f>
        <v>0</v>
      </c>
      <c r="T545" s="9">
        <f>STATS1003B!T565/1000</f>
        <v>0</v>
      </c>
      <c r="U545" s="9">
        <f>STATS1003B!U565/1000</f>
        <v>1767.77</v>
      </c>
      <c r="V545" s="9">
        <f>STATS1003B!V565/1000</f>
        <v>1767.77</v>
      </c>
      <c r="W545" s="9">
        <f>STATS1003B!W565/1000</f>
        <v>0</v>
      </c>
      <c r="X545" s="9">
        <f>STATS1003B!X565/1000</f>
        <v>1767.77</v>
      </c>
      <c r="Y545" s="9">
        <f>STATS1003B!Y565/1000</f>
        <v>0</v>
      </c>
      <c r="Z545" s="9">
        <f>STATS1003B!Z565/1000</f>
        <v>0</v>
      </c>
      <c r="AA545" s="9">
        <f>STATS1003B!AA565/1000</f>
        <v>1767.77</v>
      </c>
      <c r="AB545" s="9">
        <f>STATS1003B!AB565/1000</f>
        <v>0</v>
      </c>
    </row>
    <row r="546" spans="1:28" x14ac:dyDescent="0.35">
      <c r="A546" s="36"/>
      <c r="B546" s="8"/>
      <c r="C546" s="7" t="s">
        <v>57</v>
      </c>
      <c r="D546" s="15" t="s">
        <v>128</v>
      </c>
      <c r="E546" s="9">
        <f>STATS1003B!E566/1000</f>
        <v>289.8</v>
      </c>
      <c r="F546" s="9">
        <f>STATS1003B!F566/1000</f>
        <v>289.8</v>
      </c>
      <c r="G546" s="9">
        <f>STATS1003B!G566/1000</f>
        <v>0</v>
      </c>
      <c r="H546" s="9">
        <f>STATS1003B!H566/1000</f>
        <v>289.8</v>
      </c>
      <c r="I546" s="9">
        <f>STATS1003B!I566/1000</f>
        <v>0</v>
      </c>
      <c r="J546" s="9">
        <f>STATS1003B!J566/1000</f>
        <v>0</v>
      </c>
      <c r="K546" s="9">
        <f>STATS1003B!K566/1000</f>
        <v>0</v>
      </c>
      <c r="L546" s="9">
        <f>STATS1003B!L566/1000</f>
        <v>0</v>
      </c>
      <c r="M546" s="9">
        <f>STATS1003B!M566/1000</f>
        <v>289.8</v>
      </c>
      <c r="N546" s="9">
        <f>STATS1003B!N566/1000</f>
        <v>0</v>
      </c>
      <c r="O546" s="9">
        <f>STATS1003B!O566/1000</f>
        <v>0</v>
      </c>
      <c r="P546" s="9">
        <f>STATS1003B!P566/1000</f>
        <v>0</v>
      </c>
      <c r="Q546" s="9">
        <f>STATS1003B!Q566/1000</f>
        <v>0</v>
      </c>
      <c r="R546" s="9">
        <f>STATS1003B!R566/1000</f>
        <v>0</v>
      </c>
      <c r="S546" s="9">
        <f>STATS1003B!S566/1000</f>
        <v>0</v>
      </c>
      <c r="T546" s="9">
        <f>STATS1003B!T566/1000</f>
        <v>0</v>
      </c>
      <c r="U546" s="9">
        <f>STATS1003B!U566/1000</f>
        <v>0</v>
      </c>
      <c r="V546" s="9">
        <f>STATS1003B!V566/1000</f>
        <v>289.8</v>
      </c>
      <c r="W546" s="9">
        <f>STATS1003B!W566/1000</f>
        <v>0</v>
      </c>
      <c r="X546" s="9">
        <f>STATS1003B!X566/1000</f>
        <v>289.8</v>
      </c>
      <c r="Y546" s="9">
        <f>STATS1003B!Y566/1000</f>
        <v>0</v>
      </c>
      <c r="Z546" s="9">
        <f>STATS1003B!Z566/1000</f>
        <v>0</v>
      </c>
      <c r="AA546" s="9">
        <f>STATS1003B!AA566/1000</f>
        <v>289.8</v>
      </c>
      <c r="AB546" s="9">
        <f>STATS1003B!AB566/1000</f>
        <v>0</v>
      </c>
    </row>
    <row r="547" spans="1:28" x14ac:dyDescent="0.35">
      <c r="A547" s="36"/>
      <c r="B547" s="8"/>
      <c r="C547" s="14" t="s">
        <v>109</v>
      </c>
      <c r="D547" s="21" t="s">
        <v>60</v>
      </c>
      <c r="E547" s="9">
        <f>STATS1003B!E567/1000</f>
        <v>1511.45946</v>
      </c>
      <c r="F547" s="9">
        <f>STATS1003B!F567/1000</f>
        <v>1511.45946</v>
      </c>
      <c r="G547" s="9">
        <f>STATS1003B!G567/1000</f>
        <v>0</v>
      </c>
      <c r="H547" s="9">
        <f>STATS1003B!H567/1000</f>
        <v>1511.45946</v>
      </c>
      <c r="I547" s="9">
        <f>STATS1003B!I567/1000</f>
        <v>0</v>
      </c>
      <c r="J547" s="9">
        <f>STATS1003B!J567/1000</f>
        <v>0</v>
      </c>
      <c r="K547" s="9">
        <f>STATS1003B!K567/1000</f>
        <v>0</v>
      </c>
      <c r="L547" s="9">
        <f>STATS1003B!L567/1000</f>
        <v>0</v>
      </c>
      <c r="M547" s="9">
        <f>STATS1003B!M567/1000</f>
        <v>1511.45946</v>
      </c>
      <c r="N547" s="9">
        <f>STATS1003B!N567/1000</f>
        <v>0</v>
      </c>
      <c r="O547" s="9">
        <f>STATS1003B!O567/1000</f>
        <v>0</v>
      </c>
      <c r="P547" s="9">
        <f>STATS1003B!P567/1000</f>
        <v>0</v>
      </c>
      <c r="Q547" s="9">
        <f>STATS1003B!Q567/1000</f>
        <v>0</v>
      </c>
      <c r="R547" s="9">
        <f>STATS1003B!R567/1000</f>
        <v>0</v>
      </c>
      <c r="S547" s="9">
        <f>STATS1003B!S567/1000</f>
        <v>0</v>
      </c>
      <c r="T547" s="9">
        <f>STATS1003B!T567/1000</f>
        <v>0</v>
      </c>
      <c r="U547" s="9">
        <f>STATS1003B!U567/1000</f>
        <v>0</v>
      </c>
      <c r="V547" s="9">
        <f>STATS1003B!V567/1000</f>
        <v>1511.45946</v>
      </c>
      <c r="W547" s="9">
        <f>STATS1003B!W567/1000</f>
        <v>0</v>
      </c>
      <c r="X547" s="9">
        <f>STATS1003B!X567/1000</f>
        <v>1511.45946</v>
      </c>
      <c r="Y547" s="9">
        <f>STATS1003B!Y567/1000</f>
        <v>0</v>
      </c>
      <c r="Z547" s="9">
        <f>STATS1003B!Z567/1000</f>
        <v>0</v>
      </c>
      <c r="AA547" s="9">
        <f>STATS1003B!AA567/1000</f>
        <v>1511.45946</v>
      </c>
      <c r="AB547" s="9">
        <f>STATS1003B!AB567/1000</f>
        <v>0</v>
      </c>
    </row>
    <row r="548" spans="1:28" x14ac:dyDescent="0.35">
      <c r="A548" s="36"/>
      <c r="B548" s="8"/>
      <c r="C548" s="8"/>
      <c r="D548" s="8"/>
      <c r="E548" s="17" t="s">
        <v>29</v>
      </c>
      <c r="F548" s="17" t="s">
        <v>29</v>
      </c>
      <c r="G548" s="17" t="s">
        <v>29</v>
      </c>
      <c r="H548" s="17" t="s">
        <v>29</v>
      </c>
      <c r="I548" s="17" t="s">
        <v>29</v>
      </c>
      <c r="J548" s="17" t="s">
        <v>29</v>
      </c>
      <c r="K548" s="17" t="s">
        <v>29</v>
      </c>
      <c r="L548" s="17" t="s">
        <v>29</v>
      </c>
      <c r="M548" s="17" t="s">
        <v>29</v>
      </c>
      <c r="N548" s="17" t="s">
        <v>29</v>
      </c>
      <c r="O548" s="17" t="s">
        <v>29</v>
      </c>
      <c r="P548" s="17" t="s">
        <v>29</v>
      </c>
      <c r="Q548" s="17" t="s">
        <v>29</v>
      </c>
      <c r="R548" s="17" t="s">
        <v>29</v>
      </c>
      <c r="S548" s="17" t="s">
        <v>29</v>
      </c>
      <c r="T548" s="17" t="s">
        <v>29</v>
      </c>
      <c r="U548" s="17" t="s">
        <v>29</v>
      </c>
      <c r="V548" s="17" t="s">
        <v>29</v>
      </c>
      <c r="W548" s="17" t="s">
        <v>29</v>
      </c>
      <c r="X548" s="17" t="s">
        <v>29</v>
      </c>
      <c r="Y548" s="17" t="s">
        <v>29</v>
      </c>
      <c r="Z548" s="17" t="s">
        <v>29</v>
      </c>
      <c r="AA548" s="17" t="s">
        <v>29</v>
      </c>
      <c r="AB548" s="17" t="s">
        <v>29</v>
      </c>
    </row>
    <row r="549" spans="1:28" x14ac:dyDescent="0.35">
      <c r="A549" s="36"/>
      <c r="B549" s="8"/>
      <c r="C549" s="8"/>
      <c r="D549" s="8"/>
      <c r="E549" s="9">
        <f t="shared" ref="E549:AB549" si="36">SUM(E545:E547)</f>
        <v>3569.0294600000002</v>
      </c>
      <c r="F549" s="9">
        <f t="shared" si="36"/>
        <v>1801.25946</v>
      </c>
      <c r="G549" s="9">
        <f t="shared" si="36"/>
        <v>0</v>
      </c>
      <c r="H549" s="9">
        <f t="shared" si="36"/>
        <v>1801.25946</v>
      </c>
      <c r="I549" s="9">
        <f t="shared" si="36"/>
        <v>0</v>
      </c>
      <c r="J549" s="9">
        <f t="shared" si="36"/>
        <v>0</v>
      </c>
      <c r="K549" s="9">
        <f t="shared" si="36"/>
        <v>0</v>
      </c>
      <c r="L549" s="9">
        <f t="shared" si="36"/>
        <v>0</v>
      </c>
      <c r="M549" s="9">
        <f t="shared" si="36"/>
        <v>1801.25946</v>
      </c>
      <c r="N549" s="9">
        <f t="shared" si="36"/>
        <v>1767.77</v>
      </c>
      <c r="O549" s="9">
        <f t="shared" si="36"/>
        <v>0</v>
      </c>
      <c r="P549" s="9">
        <f t="shared" si="36"/>
        <v>1767.77</v>
      </c>
      <c r="Q549" s="9">
        <f t="shared" si="36"/>
        <v>0</v>
      </c>
      <c r="R549" s="9">
        <f t="shared" si="36"/>
        <v>0</v>
      </c>
      <c r="S549" s="9">
        <f t="shared" si="36"/>
        <v>0</v>
      </c>
      <c r="T549" s="9">
        <f t="shared" si="36"/>
        <v>0</v>
      </c>
      <c r="U549" s="9">
        <f t="shared" si="36"/>
        <v>1767.77</v>
      </c>
      <c r="V549" s="9">
        <f t="shared" si="36"/>
        <v>3569.0294600000002</v>
      </c>
      <c r="W549" s="9">
        <f t="shared" si="36"/>
        <v>0</v>
      </c>
      <c r="X549" s="9">
        <f t="shared" si="36"/>
        <v>3569.0294600000002</v>
      </c>
      <c r="Y549" s="9">
        <f t="shared" si="36"/>
        <v>0</v>
      </c>
      <c r="Z549" s="9">
        <f t="shared" si="36"/>
        <v>0</v>
      </c>
      <c r="AA549" s="9">
        <f t="shared" si="36"/>
        <v>3569.0294600000002</v>
      </c>
      <c r="AB549" s="9">
        <f t="shared" si="36"/>
        <v>0</v>
      </c>
    </row>
    <row r="550" spans="1:28" x14ac:dyDescent="0.35">
      <c r="A550" s="36"/>
      <c r="B550" s="8"/>
      <c r="C550" s="8"/>
      <c r="D550" s="8"/>
      <c r="E550" s="17" t="s">
        <v>29</v>
      </c>
      <c r="F550" s="17" t="s">
        <v>29</v>
      </c>
      <c r="G550" s="17" t="s">
        <v>29</v>
      </c>
      <c r="H550" s="17" t="s">
        <v>29</v>
      </c>
      <c r="I550" s="17" t="s">
        <v>29</v>
      </c>
      <c r="J550" s="17" t="s">
        <v>29</v>
      </c>
      <c r="K550" s="17" t="s">
        <v>29</v>
      </c>
      <c r="L550" s="17" t="s">
        <v>29</v>
      </c>
      <c r="M550" s="17" t="s">
        <v>29</v>
      </c>
      <c r="N550" s="17" t="s">
        <v>29</v>
      </c>
      <c r="O550" s="17" t="s">
        <v>29</v>
      </c>
      <c r="P550" s="17" t="s">
        <v>29</v>
      </c>
      <c r="Q550" s="17" t="s">
        <v>29</v>
      </c>
      <c r="R550" s="17" t="s">
        <v>29</v>
      </c>
      <c r="S550" s="17" t="s">
        <v>29</v>
      </c>
      <c r="T550" s="17" t="s">
        <v>29</v>
      </c>
      <c r="U550" s="17" t="s">
        <v>29</v>
      </c>
      <c r="V550" s="17" t="s">
        <v>29</v>
      </c>
      <c r="W550" s="17" t="s">
        <v>29</v>
      </c>
      <c r="X550" s="17" t="s">
        <v>29</v>
      </c>
      <c r="Y550" s="17" t="s">
        <v>29</v>
      </c>
      <c r="Z550" s="17" t="s">
        <v>29</v>
      </c>
      <c r="AA550" s="17" t="s">
        <v>29</v>
      </c>
      <c r="AB550" s="17" t="s">
        <v>29</v>
      </c>
    </row>
    <row r="551" spans="1:28" x14ac:dyDescent="0.35">
      <c r="A551" s="38" t="s">
        <v>964</v>
      </c>
      <c r="B551" s="7" t="s">
        <v>186</v>
      </c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8" x14ac:dyDescent="0.35">
      <c r="A552" s="36"/>
      <c r="B552" s="8"/>
      <c r="C552" s="7" t="s">
        <v>75</v>
      </c>
      <c r="D552" s="21" t="s">
        <v>76</v>
      </c>
      <c r="E552" s="9">
        <f>STATS1003B!E572/1000</f>
        <v>3788</v>
      </c>
      <c r="F552" s="9">
        <f>STATS1003B!F572/1000</f>
        <v>0</v>
      </c>
      <c r="G552" s="9">
        <f>STATS1003B!G572/1000</f>
        <v>0</v>
      </c>
      <c r="H552" s="9">
        <f>STATS1003B!H572/1000</f>
        <v>0</v>
      </c>
      <c r="I552" s="9">
        <f>STATS1003B!I572/1000</f>
        <v>0</v>
      </c>
      <c r="J552" s="9">
        <f>STATS1003B!J572/1000</f>
        <v>0</v>
      </c>
      <c r="K552" s="9">
        <f>STATS1003B!K572/1000</f>
        <v>0</v>
      </c>
      <c r="L552" s="9">
        <f>STATS1003B!L572/1000</f>
        <v>0</v>
      </c>
      <c r="M552" s="9">
        <f>STATS1003B!M572/1000</f>
        <v>0</v>
      </c>
      <c r="N552" s="9">
        <f>STATS1003B!N572/1000</f>
        <v>3788</v>
      </c>
      <c r="O552" s="9">
        <f>STATS1003B!O572/1000</f>
        <v>0</v>
      </c>
      <c r="P552" s="9">
        <f>STATS1003B!P572/1000</f>
        <v>3788</v>
      </c>
      <c r="Q552" s="9">
        <f>STATS1003B!Q572/1000</f>
        <v>0</v>
      </c>
      <c r="R552" s="9">
        <f>STATS1003B!R572/1000</f>
        <v>0</v>
      </c>
      <c r="S552" s="9">
        <f>STATS1003B!S572/1000</f>
        <v>0</v>
      </c>
      <c r="T552" s="9">
        <f>STATS1003B!T572/1000</f>
        <v>0</v>
      </c>
      <c r="U552" s="9">
        <f>STATS1003B!U572/1000</f>
        <v>3788</v>
      </c>
      <c r="V552" s="9">
        <f>STATS1003B!V572/1000</f>
        <v>3788</v>
      </c>
      <c r="W552" s="9">
        <f>STATS1003B!W572/1000</f>
        <v>0</v>
      </c>
      <c r="X552" s="9">
        <f>STATS1003B!X572/1000</f>
        <v>3788</v>
      </c>
      <c r="Y552" s="9">
        <f>STATS1003B!Y572/1000</f>
        <v>0</v>
      </c>
      <c r="Z552" s="9">
        <f>STATS1003B!Z572/1000</f>
        <v>0</v>
      </c>
      <c r="AA552" s="9">
        <f>STATS1003B!AA572/1000</f>
        <v>3788</v>
      </c>
      <c r="AB552" s="9">
        <f>STATS1003B!AB572/1000</f>
        <v>0</v>
      </c>
    </row>
    <row r="553" spans="1:28" x14ac:dyDescent="0.35">
      <c r="A553" s="36"/>
      <c r="B553" s="8"/>
      <c r="C553" s="7" t="s">
        <v>149</v>
      </c>
      <c r="D553" s="21" t="s">
        <v>150</v>
      </c>
      <c r="E553" s="9">
        <f>STATS1003B!E573/1000</f>
        <v>1641.675</v>
      </c>
      <c r="F553" s="9">
        <f>STATS1003B!F573/1000</f>
        <v>658.58139000000006</v>
      </c>
      <c r="G553" s="9">
        <f>STATS1003B!G573/1000</f>
        <v>0</v>
      </c>
      <c r="H553" s="9">
        <f>STATS1003B!H573/1000</f>
        <v>658.58139000000006</v>
      </c>
      <c r="I553" s="9">
        <f>STATS1003B!I573/1000</f>
        <v>0</v>
      </c>
      <c r="J553" s="9">
        <f>STATS1003B!J573/1000</f>
        <v>0</v>
      </c>
      <c r="K553" s="9">
        <f>STATS1003B!K573/1000</f>
        <v>0</v>
      </c>
      <c r="L553" s="9">
        <f>STATS1003B!L573/1000</f>
        <v>0</v>
      </c>
      <c r="M553" s="9">
        <f>STATS1003B!M573/1000</f>
        <v>658.58139000000006</v>
      </c>
      <c r="N553" s="9">
        <f>STATS1003B!N573/1000</f>
        <v>211.71</v>
      </c>
      <c r="O553" s="9">
        <f>STATS1003B!O573/1000</f>
        <v>0</v>
      </c>
      <c r="P553" s="9">
        <f>STATS1003B!P573/1000</f>
        <v>211.71</v>
      </c>
      <c r="Q553" s="9">
        <f>STATS1003B!Q573/1000</f>
        <v>0</v>
      </c>
      <c r="R553" s="9">
        <f>STATS1003B!R573/1000</f>
        <v>0</v>
      </c>
      <c r="S553" s="9">
        <f>STATS1003B!S573/1000</f>
        <v>0</v>
      </c>
      <c r="T553" s="9">
        <f>STATS1003B!T573/1000</f>
        <v>0</v>
      </c>
      <c r="U553" s="9">
        <f>STATS1003B!U573/1000</f>
        <v>211.71</v>
      </c>
      <c r="V553" s="9">
        <f>STATS1003B!V573/1000</f>
        <v>870.29138999999998</v>
      </c>
      <c r="W553" s="9">
        <f>STATS1003B!W573/1000</f>
        <v>771.38360999999998</v>
      </c>
      <c r="X553" s="9">
        <f>STATS1003B!X573/1000</f>
        <v>870.29138999999998</v>
      </c>
      <c r="Y553" s="9">
        <f>STATS1003B!Y573/1000</f>
        <v>0</v>
      </c>
      <c r="Z553" s="9">
        <f>STATS1003B!Z573/1000</f>
        <v>771.38360999999998</v>
      </c>
      <c r="AA553" s="9">
        <f>STATS1003B!AA573/1000</f>
        <v>870.29138999999998</v>
      </c>
      <c r="AB553" s="9">
        <f>STATS1003B!AB573/1000</f>
        <v>771.38360999999998</v>
      </c>
    </row>
    <row r="554" spans="1:28" x14ac:dyDescent="0.35">
      <c r="A554" s="36"/>
      <c r="B554" s="8"/>
      <c r="C554" s="7" t="s">
        <v>187</v>
      </c>
      <c r="D554" s="7" t="s">
        <v>188</v>
      </c>
      <c r="E554" s="9">
        <f>STATS1003B!E574/1000</f>
        <v>0</v>
      </c>
      <c r="F554" s="9">
        <f>STATS1003B!F574/1000</f>
        <v>0</v>
      </c>
      <c r="G554" s="9">
        <f>STATS1003B!G574/1000</f>
        <v>0</v>
      </c>
      <c r="H554" s="9">
        <f>STATS1003B!H574/1000</f>
        <v>0</v>
      </c>
      <c r="I554" s="9">
        <f>STATS1003B!I574/1000</f>
        <v>0</v>
      </c>
      <c r="J554" s="9">
        <f>STATS1003B!J574/1000</f>
        <v>0</v>
      </c>
      <c r="K554" s="9">
        <f>STATS1003B!K574/1000</f>
        <v>0</v>
      </c>
      <c r="L554" s="9">
        <f>STATS1003B!L574/1000</f>
        <v>0</v>
      </c>
      <c r="M554" s="9">
        <f>STATS1003B!M574/1000</f>
        <v>0</v>
      </c>
      <c r="N554" s="9">
        <f>STATS1003B!N574/1000</f>
        <v>0</v>
      </c>
      <c r="O554" s="9">
        <f>STATS1003B!O574/1000</f>
        <v>0</v>
      </c>
      <c r="P554" s="9">
        <f>STATS1003B!P574/1000</f>
        <v>0</v>
      </c>
      <c r="Q554" s="9">
        <f>STATS1003B!Q574/1000</f>
        <v>0</v>
      </c>
      <c r="R554" s="9">
        <f>STATS1003B!R574/1000</f>
        <v>0</v>
      </c>
      <c r="S554" s="9">
        <f>STATS1003B!S574/1000</f>
        <v>0</v>
      </c>
      <c r="T554" s="9">
        <f>STATS1003B!T574/1000</f>
        <v>0</v>
      </c>
      <c r="U554" s="9">
        <f>STATS1003B!U574/1000</f>
        <v>0</v>
      </c>
      <c r="V554" s="9">
        <f>STATS1003B!V574/1000</f>
        <v>0</v>
      </c>
      <c r="W554" s="9">
        <f>STATS1003B!W574/1000</f>
        <v>0</v>
      </c>
      <c r="X554" s="9">
        <f>STATS1003B!X574/1000</f>
        <v>0</v>
      </c>
      <c r="Y554" s="9">
        <f>STATS1003B!Y574/1000</f>
        <v>0</v>
      </c>
      <c r="Z554" s="9">
        <f>STATS1003B!Z574/1000</f>
        <v>0</v>
      </c>
      <c r="AA554" s="9">
        <f>STATS1003B!AA574/1000</f>
        <v>0</v>
      </c>
      <c r="AB554" s="9">
        <f>STATS1003B!AB574/1000</f>
        <v>0</v>
      </c>
    </row>
    <row r="555" spans="1:28" x14ac:dyDescent="0.35">
      <c r="A555" s="36"/>
      <c r="B555" s="8"/>
      <c r="C555" s="14" t="s">
        <v>174</v>
      </c>
      <c r="D555" s="14" t="s">
        <v>189</v>
      </c>
      <c r="E555" s="9">
        <f>STATS1003B!E575/1000</f>
        <v>25150.521109999998</v>
      </c>
      <c r="F555" s="9">
        <f>STATS1003B!F575/1000</f>
        <v>24252.704399999999</v>
      </c>
      <c r="G555" s="9">
        <f>STATS1003B!G575/1000</f>
        <v>0</v>
      </c>
      <c r="H555" s="9">
        <f>STATS1003B!H575/1000</f>
        <v>24252.704399999999</v>
      </c>
      <c r="I555" s="9">
        <f>STATS1003B!I575/1000</f>
        <v>0</v>
      </c>
      <c r="J555" s="9">
        <f>STATS1003B!J575/1000</f>
        <v>0</v>
      </c>
      <c r="K555" s="9">
        <f>STATS1003B!K575/1000</f>
        <v>0</v>
      </c>
      <c r="L555" s="9">
        <f>STATS1003B!L575/1000</f>
        <v>0</v>
      </c>
      <c r="M555" s="9">
        <f>STATS1003B!M575/1000</f>
        <v>24252.704399999999</v>
      </c>
      <c r="N555" s="9">
        <f>STATS1003B!N575/1000</f>
        <v>897.81670999999994</v>
      </c>
      <c r="O555" s="9">
        <f>STATS1003B!O575/1000</f>
        <v>0</v>
      </c>
      <c r="P555" s="9">
        <f>STATS1003B!P575/1000</f>
        <v>897.81670999999994</v>
      </c>
      <c r="Q555" s="9">
        <f>STATS1003B!Q575/1000</f>
        <v>0</v>
      </c>
      <c r="R555" s="9">
        <f>STATS1003B!R575/1000</f>
        <v>0</v>
      </c>
      <c r="S555" s="9">
        <f>STATS1003B!S575/1000</f>
        <v>0</v>
      </c>
      <c r="T555" s="9">
        <f>STATS1003B!T575/1000</f>
        <v>0</v>
      </c>
      <c r="U555" s="9">
        <f>STATS1003B!U575/1000</f>
        <v>897.81670999999994</v>
      </c>
      <c r="V555" s="9">
        <f>STATS1003B!V575/1000</f>
        <v>25150.521109999998</v>
      </c>
      <c r="W555" s="9">
        <f>STATS1003B!W575/1000</f>
        <v>0</v>
      </c>
      <c r="X555" s="9">
        <f>STATS1003B!X575/1000</f>
        <v>25150.521109999998</v>
      </c>
      <c r="Y555" s="9">
        <f>STATS1003B!Y575/1000</f>
        <v>0</v>
      </c>
      <c r="Z555" s="9">
        <f>STATS1003B!Z575/1000</f>
        <v>0</v>
      </c>
      <c r="AA555" s="9">
        <f>STATS1003B!AA575/1000</f>
        <v>25150.521109999998</v>
      </c>
      <c r="AB555" s="9">
        <f>STATS1003B!AB575/1000</f>
        <v>0</v>
      </c>
    </row>
    <row r="556" spans="1:28" x14ac:dyDescent="0.35">
      <c r="A556" s="36"/>
      <c r="B556" s="8"/>
      <c r="C556" s="7" t="s">
        <v>55</v>
      </c>
      <c r="D556" s="15" t="s">
        <v>68</v>
      </c>
      <c r="E556" s="9">
        <f>STATS1003B!E576/1000</f>
        <v>3195.9920000000002</v>
      </c>
      <c r="F556" s="9">
        <f>STATS1003B!F576/1000</f>
        <v>0</v>
      </c>
      <c r="G556" s="9">
        <f>STATS1003B!G576/1000</f>
        <v>0</v>
      </c>
      <c r="H556" s="9">
        <f>STATS1003B!H576/1000</f>
        <v>0</v>
      </c>
      <c r="I556" s="9">
        <f>STATS1003B!I576/1000</f>
        <v>0</v>
      </c>
      <c r="J556" s="9">
        <f>STATS1003B!J576/1000</f>
        <v>0</v>
      </c>
      <c r="K556" s="9">
        <f>STATS1003B!K576/1000</f>
        <v>0</v>
      </c>
      <c r="L556" s="9">
        <f>STATS1003B!L576/1000</f>
        <v>0</v>
      </c>
      <c r="M556" s="9">
        <f>STATS1003B!M576/1000</f>
        <v>0</v>
      </c>
      <c r="N556" s="9">
        <f>STATS1003B!N576/1000</f>
        <v>3195.9920000000002</v>
      </c>
      <c r="O556" s="9">
        <f>STATS1003B!O576/1000</f>
        <v>0</v>
      </c>
      <c r="P556" s="9">
        <f>STATS1003B!P576/1000</f>
        <v>3195.9920000000002</v>
      </c>
      <c r="Q556" s="9">
        <f>STATS1003B!Q576/1000</f>
        <v>0</v>
      </c>
      <c r="R556" s="9">
        <f>STATS1003B!R576/1000</f>
        <v>0</v>
      </c>
      <c r="S556" s="9">
        <f>STATS1003B!S576/1000</f>
        <v>0</v>
      </c>
      <c r="T556" s="9">
        <f>STATS1003B!T576/1000</f>
        <v>0</v>
      </c>
      <c r="U556" s="9">
        <f>STATS1003B!U576/1000</f>
        <v>3195.9920000000002</v>
      </c>
      <c r="V556" s="9">
        <f>STATS1003B!V576/1000</f>
        <v>3195.9920000000002</v>
      </c>
      <c r="W556" s="9">
        <f>STATS1003B!W576/1000</f>
        <v>0</v>
      </c>
      <c r="X556" s="9">
        <f>STATS1003B!X576/1000</f>
        <v>3195.9920000000002</v>
      </c>
      <c r="Y556" s="9">
        <f>STATS1003B!Y576/1000</f>
        <v>0</v>
      </c>
      <c r="Z556" s="9">
        <f>STATS1003B!Z576/1000</f>
        <v>0</v>
      </c>
      <c r="AA556" s="9">
        <f>STATS1003B!AA576/1000</f>
        <v>3195.9920000000002</v>
      </c>
      <c r="AB556" s="9">
        <f>STATS1003B!AB576/1000</f>
        <v>0</v>
      </c>
    </row>
    <row r="557" spans="1:28" x14ac:dyDescent="0.35">
      <c r="A557" s="36"/>
      <c r="B557" s="8"/>
      <c r="C557" s="7" t="s">
        <v>53</v>
      </c>
      <c r="D557" s="15" t="s">
        <v>68</v>
      </c>
      <c r="E557" s="9">
        <f>STATS1003B!E577/1000</f>
        <v>1953.989</v>
      </c>
      <c r="F557" s="9">
        <f>STATS1003B!F577/1000</f>
        <v>0</v>
      </c>
      <c r="G557" s="9">
        <f>STATS1003B!G577/1000</f>
        <v>0</v>
      </c>
      <c r="H557" s="9">
        <f>STATS1003B!H577/1000</f>
        <v>0</v>
      </c>
      <c r="I557" s="9">
        <f>STATS1003B!I577/1000</f>
        <v>0</v>
      </c>
      <c r="J557" s="9">
        <f>STATS1003B!J577/1000</f>
        <v>0</v>
      </c>
      <c r="K557" s="9">
        <f>STATS1003B!K577/1000</f>
        <v>0</v>
      </c>
      <c r="L557" s="9">
        <f>STATS1003B!L577/1000</f>
        <v>0</v>
      </c>
      <c r="M557" s="9">
        <f>STATS1003B!M577/1000</f>
        <v>0</v>
      </c>
      <c r="N557" s="9">
        <f>STATS1003B!N577/1000</f>
        <v>1953.989</v>
      </c>
      <c r="O557" s="9">
        <f>STATS1003B!O577/1000</f>
        <v>0</v>
      </c>
      <c r="P557" s="9">
        <f>STATS1003B!P577/1000</f>
        <v>1953.989</v>
      </c>
      <c r="Q557" s="9">
        <f>STATS1003B!Q577/1000</f>
        <v>0</v>
      </c>
      <c r="R557" s="9">
        <f>STATS1003B!R577/1000</f>
        <v>0</v>
      </c>
      <c r="S557" s="9">
        <f>STATS1003B!S577/1000</f>
        <v>0</v>
      </c>
      <c r="T557" s="9">
        <f>STATS1003B!T577/1000</f>
        <v>0</v>
      </c>
      <c r="U557" s="9">
        <f>STATS1003B!U577/1000</f>
        <v>1953.989</v>
      </c>
      <c r="V557" s="9">
        <f>STATS1003B!V577/1000</f>
        <v>1953.989</v>
      </c>
      <c r="W557" s="9">
        <f>STATS1003B!W577/1000</f>
        <v>0</v>
      </c>
      <c r="X557" s="9">
        <f>STATS1003B!X577/1000</f>
        <v>1953.989</v>
      </c>
      <c r="Y557" s="9">
        <f>STATS1003B!Y577/1000</f>
        <v>0</v>
      </c>
      <c r="Z557" s="9">
        <f>STATS1003B!Z577/1000</f>
        <v>0</v>
      </c>
      <c r="AA557" s="9">
        <f>STATS1003B!AA577/1000</f>
        <v>1953.989</v>
      </c>
      <c r="AB557" s="9">
        <f>STATS1003B!AB577/1000</f>
        <v>0</v>
      </c>
    </row>
    <row r="558" spans="1:28" x14ac:dyDescent="0.35">
      <c r="A558" s="36"/>
      <c r="B558" s="8"/>
      <c r="C558" s="7" t="s">
        <v>69</v>
      </c>
      <c r="D558" s="15" t="s">
        <v>85</v>
      </c>
      <c r="E558" s="9">
        <f>STATS1003B!E578/1000</f>
        <v>955.34561999999994</v>
      </c>
      <c r="F558" s="9">
        <f>STATS1003B!F578/1000</f>
        <v>0</v>
      </c>
      <c r="G558" s="9">
        <f>STATS1003B!G578/1000</f>
        <v>0</v>
      </c>
      <c r="H558" s="9">
        <f>STATS1003B!H578/1000</f>
        <v>0</v>
      </c>
      <c r="I558" s="9">
        <f>STATS1003B!I578/1000</f>
        <v>0</v>
      </c>
      <c r="J558" s="9">
        <f>STATS1003B!J578/1000</f>
        <v>0</v>
      </c>
      <c r="K558" s="9">
        <f>STATS1003B!K578/1000</f>
        <v>0</v>
      </c>
      <c r="L558" s="9">
        <f>STATS1003B!L578/1000</f>
        <v>0</v>
      </c>
      <c r="M558" s="9">
        <f>STATS1003B!M578/1000</f>
        <v>0</v>
      </c>
      <c r="N558" s="9">
        <f>STATS1003B!N578/1000</f>
        <v>955.34561999999994</v>
      </c>
      <c r="O558" s="9">
        <f>STATS1003B!O578/1000</f>
        <v>0</v>
      </c>
      <c r="P558" s="9">
        <f>STATS1003B!P578/1000</f>
        <v>955.34561999999994</v>
      </c>
      <c r="Q558" s="9">
        <f>STATS1003B!Q578/1000</f>
        <v>0</v>
      </c>
      <c r="R558" s="9">
        <f>STATS1003B!R578/1000</f>
        <v>0</v>
      </c>
      <c r="S558" s="9">
        <f>STATS1003B!S578/1000</f>
        <v>0</v>
      </c>
      <c r="T558" s="9">
        <f>STATS1003B!T578/1000</f>
        <v>0</v>
      </c>
      <c r="U558" s="9">
        <f>STATS1003B!U578/1000</f>
        <v>955.34561999999994</v>
      </c>
      <c r="V558" s="9">
        <f>STATS1003B!V578/1000</f>
        <v>955.34561999999994</v>
      </c>
      <c r="W558" s="9">
        <f>STATS1003B!W578/1000</f>
        <v>0</v>
      </c>
      <c r="X558" s="9">
        <f>STATS1003B!X578/1000</f>
        <v>955.34561999999994</v>
      </c>
      <c r="Y558" s="9">
        <f>STATS1003B!Y578/1000</f>
        <v>0</v>
      </c>
      <c r="Z558" s="9">
        <f>STATS1003B!Z578/1000</f>
        <v>0</v>
      </c>
      <c r="AA558" s="9">
        <f>STATS1003B!AA578/1000</f>
        <v>955.34561999999994</v>
      </c>
      <c r="AB558" s="9">
        <f>STATS1003B!AB578/1000</f>
        <v>0</v>
      </c>
    </row>
    <row r="559" spans="1:28" x14ac:dyDescent="0.35">
      <c r="A559" s="36"/>
      <c r="B559" s="8"/>
      <c r="C559" s="7" t="s">
        <v>57</v>
      </c>
      <c r="D559" s="15" t="s">
        <v>58</v>
      </c>
      <c r="E559" s="9">
        <f>STATS1003B!E579/1000</f>
        <v>7490.9392600000001</v>
      </c>
      <c r="F559" s="9">
        <f>STATS1003B!F579/1000</f>
        <v>7490.9392600000001</v>
      </c>
      <c r="G559" s="9">
        <f>STATS1003B!G579/1000</f>
        <v>0</v>
      </c>
      <c r="H559" s="9">
        <f>STATS1003B!H579/1000</f>
        <v>7490.9392600000001</v>
      </c>
      <c r="I559" s="9">
        <f>STATS1003B!I579/1000</f>
        <v>0</v>
      </c>
      <c r="J559" s="9">
        <f>STATS1003B!J579/1000</f>
        <v>0</v>
      </c>
      <c r="K559" s="9">
        <f>STATS1003B!K579/1000</f>
        <v>0</v>
      </c>
      <c r="L559" s="9">
        <f>STATS1003B!L579/1000</f>
        <v>0</v>
      </c>
      <c r="M559" s="9">
        <f>STATS1003B!M579/1000</f>
        <v>7490.9392600000001</v>
      </c>
      <c r="N559" s="9">
        <f>STATS1003B!N579/1000</f>
        <v>0</v>
      </c>
      <c r="O559" s="9">
        <f>STATS1003B!O579/1000</f>
        <v>0</v>
      </c>
      <c r="P559" s="9">
        <f>STATS1003B!P579/1000</f>
        <v>0</v>
      </c>
      <c r="Q559" s="9">
        <f>STATS1003B!Q579/1000</f>
        <v>0</v>
      </c>
      <c r="R559" s="9">
        <f>STATS1003B!R579/1000</f>
        <v>0</v>
      </c>
      <c r="S559" s="9">
        <f>STATS1003B!S579/1000</f>
        <v>0</v>
      </c>
      <c r="T559" s="9">
        <f>STATS1003B!T579/1000</f>
        <v>0</v>
      </c>
      <c r="U559" s="9">
        <f>STATS1003B!U579/1000</f>
        <v>0</v>
      </c>
      <c r="V559" s="9">
        <f>STATS1003B!V579/1000</f>
        <v>7490.9392600000001</v>
      </c>
      <c r="W559" s="9">
        <f>STATS1003B!W579/1000</f>
        <v>0</v>
      </c>
      <c r="X559" s="9">
        <f>STATS1003B!X579/1000</f>
        <v>7490.9392600000001</v>
      </c>
      <c r="Y559" s="9">
        <f>STATS1003B!Y579/1000</f>
        <v>0</v>
      </c>
      <c r="Z559" s="9">
        <f>STATS1003B!Z579/1000</f>
        <v>0</v>
      </c>
      <c r="AA559" s="9">
        <f>STATS1003B!AA579/1000</f>
        <v>7490.9392600000001</v>
      </c>
      <c r="AB559" s="9">
        <f>STATS1003B!AB579/1000</f>
        <v>0</v>
      </c>
    </row>
    <row r="560" spans="1:28" x14ac:dyDescent="0.35">
      <c r="A560" s="36"/>
      <c r="B560" s="8"/>
      <c r="C560" s="14" t="s">
        <v>109</v>
      </c>
      <c r="D560" s="21" t="s">
        <v>60</v>
      </c>
      <c r="E560" s="9">
        <f>STATS1003B!E580/1000</f>
        <v>2500</v>
      </c>
      <c r="F560" s="9">
        <f>STATS1003B!F580/1000</f>
        <v>2500</v>
      </c>
      <c r="G560" s="9">
        <f>STATS1003B!G580/1000</f>
        <v>0</v>
      </c>
      <c r="H560" s="9">
        <f>STATS1003B!H580/1000</f>
        <v>2500</v>
      </c>
      <c r="I560" s="9">
        <f>STATS1003B!I580/1000</f>
        <v>0</v>
      </c>
      <c r="J560" s="9">
        <f>STATS1003B!J580/1000</f>
        <v>0</v>
      </c>
      <c r="K560" s="9">
        <f>STATS1003B!K580/1000</f>
        <v>0</v>
      </c>
      <c r="L560" s="9">
        <f>STATS1003B!L580/1000</f>
        <v>0</v>
      </c>
      <c r="M560" s="9">
        <f>STATS1003B!M580/1000</f>
        <v>2500</v>
      </c>
      <c r="N560" s="9">
        <f>STATS1003B!N580/1000</f>
        <v>0</v>
      </c>
      <c r="O560" s="9">
        <f>STATS1003B!O580/1000</f>
        <v>0</v>
      </c>
      <c r="P560" s="9">
        <f>STATS1003B!P580/1000</f>
        <v>0</v>
      </c>
      <c r="Q560" s="9">
        <f>STATS1003B!Q580/1000</f>
        <v>0</v>
      </c>
      <c r="R560" s="9">
        <f>STATS1003B!R580/1000</f>
        <v>0</v>
      </c>
      <c r="S560" s="9">
        <f>STATS1003B!S580/1000</f>
        <v>0</v>
      </c>
      <c r="T560" s="9">
        <f>STATS1003B!T580/1000</f>
        <v>0</v>
      </c>
      <c r="U560" s="9">
        <f>STATS1003B!U580/1000</f>
        <v>0</v>
      </c>
      <c r="V560" s="9">
        <f>STATS1003B!V580/1000</f>
        <v>2500</v>
      </c>
      <c r="W560" s="9">
        <f>STATS1003B!W580/1000</f>
        <v>0</v>
      </c>
      <c r="X560" s="9">
        <f>STATS1003B!X580/1000</f>
        <v>2500</v>
      </c>
      <c r="Y560" s="9">
        <f>STATS1003B!Y580/1000</f>
        <v>0</v>
      </c>
      <c r="Z560" s="9">
        <f>STATS1003B!Z580/1000</f>
        <v>0</v>
      </c>
      <c r="AA560" s="9">
        <f>STATS1003B!AA580/1000</f>
        <v>2500</v>
      </c>
      <c r="AB560" s="9">
        <f>STATS1003B!AB580/1000</f>
        <v>0</v>
      </c>
    </row>
    <row r="561" spans="1:28" x14ac:dyDescent="0.35">
      <c r="A561" s="36"/>
      <c r="B561" s="8"/>
      <c r="C561" s="14" t="s">
        <v>932</v>
      </c>
      <c r="D561" s="21"/>
      <c r="E561" s="9">
        <f>STATS1003B!E581/1000</f>
        <v>700</v>
      </c>
      <c r="F561" s="9">
        <f>STATS1003B!F581/1000</f>
        <v>700</v>
      </c>
      <c r="G561" s="9">
        <f>STATS1003B!G581/1000</f>
        <v>0</v>
      </c>
      <c r="H561" s="9">
        <f>STATS1003B!H581/1000</f>
        <v>700</v>
      </c>
      <c r="I561" s="9">
        <f>STATS1003B!I581/1000</f>
        <v>0</v>
      </c>
      <c r="J561" s="9">
        <f>STATS1003B!J581/1000</f>
        <v>0</v>
      </c>
      <c r="K561" s="9">
        <f>STATS1003B!K581/1000</f>
        <v>0</v>
      </c>
      <c r="L561" s="9">
        <f>STATS1003B!L581/1000</f>
        <v>0</v>
      </c>
      <c r="M561" s="9">
        <f>STATS1003B!M581/1000</f>
        <v>700</v>
      </c>
      <c r="N561" s="9">
        <f>STATS1003B!N581/1000</f>
        <v>0</v>
      </c>
      <c r="O561" s="9">
        <f>STATS1003B!O581/1000</f>
        <v>0</v>
      </c>
      <c r="P561" s="9">
        <f>STATS1003B!P581/1000</f>
        <v>0</v>
      </c>
      <c r="Q561" s="9">
        <f>STATS1003B!Q581/1000</f>
        <v>0</v>
      </c>
      <c r="R561" s="9">
        <f>STATS1003B!R581/1000</f>
        <v>0</v>
      </c>
      <c r="S561" s="9">
        <f>STATS1003B!S581/1000</f>
        <v>0</v>
      </c>
      <c r="T561" s="9">
        <f>STATS1003B!T581/1000</f>
        <v>0</v>
      </c>
      <c r="U561" s="9">
        <f>STATS1003B!U581/1000</f>
        <v>0</v>
      </c>
      <c r="V561" s="9">
        <f>STATS1003B!V581/1000</f>
        <v>700</v>
      </c>
      <c r="W561" s="9">
        <f>STATS1003B!W581/1000</f>
        <v>0</v>
      </c>
      <c r="X561" s="9">
        <f>STATS1003B!X581/1000</f>
        <v>700</v>
      </c>
      <c r="Y561" s="9">
        <f>STATS1003B!Y581/1000</f>
        <v>0</v>
      </c>
      <c r="Z561" s="9">
        <f>STATS1003B!Z581/1000</f>
        <v>0</v>
      </c>
      <c r="AA561" s="9">
        <f>STATS1003B!AA581/1000</f>
        <v>700</v>
      </c>
      <c r="AB561" s="9">
        <f>STATS1003B!AB581/1000</f>
        <v>0</v>
      </c>
    </row>
    <row r="562" spans="1:28" x14ac:dyDescent="0.35">
      <c r="A562" s="36"/>
      <c r="B562" s="8"/>
      <c r="C562" s="14" t="s">
        <v>1127</v>
      </c>
      <c r="D562" s="24" t="s">
        <v>1126</v>
      </c>
      <c r="E562" s="9">
        <f>STATS1003B!E582/1000</f>
        <v>300</v>
      </c>
      <c r="F562" s="9">
        <f>STATS1003B!F582/1000</f>
        <v>300</v>
      </c>
      <c r="G562" s="9">
        <f>STATS1003B!G582/1000</f>
        <v>0</v>
      </c>
      <c r="H562" s="9">
        <f>STATS1003B!H582/1000</f>
        <v>300</v>
      </c>
      <c r="I562" s="9">
        <f>STATS1003B!I582/1000</f>
        <v>0</v>
      </c>
      <c r="J562" s="9">
        <f>STATS1003B!J582/1000</f>
        <v>0</v>
      </c>
      <c r="K562" s="9">
        <f>STATS1003B!K582/1000</f>
        <v>0</v>
      </c>
      <c r="L562" s="9">
        <f>STATS1003B!L582/1000</f>
        <v>0</v>
      </c>
      <c r="M562" s="9">
        <f>STATS1003B!M582/1000</f>
        <v>300</v>
      </c>
      <c r="N562" s="9">
        <f>STATS1003B!N582/1000</f>
        <v>0</v>
      </c>
      <c r="O562" s="9">
        <f>STATS1003B!O582/1000</f>
        <v>0</v>
      </c>
      <c r="P562" s="9">
        <f>STATS1003B!P582/1000</f>
        <v>0</v>
      </c>
      <c r="Q562" s="9">
        <f>STATS1003B!Q582/1000</f>
        <v>0</v>
      </c>
      <c r="R562" s="9">
        <f>STATS1003B!R582/1000</f>
        <v>0</v>
      </c>
      <c r="S562" s="9">
        <f>STATS1003B!S582/1000</f>
        <v>0</v>
      </c>
      <c r="T562" s="9">
        <f>STATS1003B!T582/1000</f>
        <v>0</v>
      </c>
      <c r="U562" s="9">
        <f>STATS1003B!U582/1000</f>
        <v>0</v>
      </c>
      <c r="V562" s="9">
        <f>STATS1003B!V582/1000</f>
        <v>300</v>
      </c>
      <c r="W562" s="9">
        <f>STATS1003B!W582/1000</f>
        <v>0</v>
      </c>
      <c r="X562" s="9">
        <f>STATS1003B!X582/1000</f>
        <v>300</v>
      </c>
      <c r="Y562" s="9">
        <f>STATS1003B!Y582/1000</f>
        <v>0</v>
      </c>
      <c r="Z562" s="9">
        <f>STATS1003B!Z582/1000</f>
        <v>0</v>
      </c>
      <c r="AA562" s="9">
        <f>STATS1003B!AA582/1000</f>
        <v>300</v>
      </c>
      <c r="AB562" s="9">
        <f>STATS1003B!AB582/1000</f>
        <v>0</v>
      </c>
    </row>
    <row r="563" spans="1:28" x14ac:dyDescent="0.35">
      <c r="A563" s="36"/>
      <c r="B563" s="8"/>
      <c r="C563" s="7" t="s">
        <v>57</v>
      </c>
      <c r="D563" s="24" t="s">
        <v>61</v>
      </c>
      <c r="E563" s="9">
        <f>STATS1003B!E586/1000</f>
        <v>1125.77746</v>
      </c>
      <c r="F563" s="9">
        <f>STATS1003B!F586/1000</f>
        <v>1125.77746</v>
      </c>
      <c r="G563" s="9">
        <f>STATS1003B!G586/1000</f>
        <v>0</v>
      </c>
      <c r="H563" s="9">
        <f>STATS1003B!H586/1000</f>
        <v>1125.77746</v>
      </c>
      <c r="I563" s="9">
        <f>STATS1003B!I586/1000</f>
        <v>0</v>
      </c>
      <c r="J563" s="9">
        <f>STATS1003B!J586/1000</f>
        <v>0</v>
      </c>
      <c r="K563" s="9">
        <f>STATS1003B!K586/1000</f>
        <v>0</v>
      </c>
      <c r="L563" s="9">
        <f>STATS1003B!L586/1000</f>
        <v>0</v>
      </c>
      <c r="M563" s="9">
        <f>STATS1003B!M586/1000</f>
        <v>1125.77746</v>
      </c>
      <c r="N563" s="9">
        <f>STATS1003B!N586/1000</f>
        <v>0</v>
      </c>
      <c r="O563" s="9">
        <f>STATS1003B!O586/1000</f>
        <v>0</v>
      </c>
      <c r="P563" s="9">
        <f>STATS1003B!P586/1000</f>
        <v>0</v>
      </c>
      <c r="Q563" s="9">
        <f>STATS1003B!Q586/1000</f>
        <v>0</v>
      </c>
      <c r="R563" s="9">
        <f>STATS1003B!R586/1000</f>
        <v>0</v>
      </c>
      <c r="S563" s="9">
        <f>STATS1003B!S586/1000</f>
        <v>0</v>
      </c>
      <c r="T563" s="9">
        <f>STATS1003B!T586/1000</f>
        <v>0</v>
      </c>
      <c r="U563" s="9">
        <f>STATS1003B!U586/1000</f>
        <v>0</v>
      </c>
      <c r="V563" s="9">
        <f>STATS1003B!V586/1000</f>
        <v>1125.77746</v>
      </c>
      <c r="W563" s="9">
        <f>STATS1003B!W586/1000</f>
        <v>0</v>
      </c>
      <c r="X563" s="9">
        <f>STATS1003B!X586/1000</f>
        <v>1125.77746</v>
      </c>
      <c r="Y563" s="9">
        <f>STATS1003B!Y586/1000</f>
        <v>0</v>
      </c>
      <c r="Z563" s="9">
        <f>STATS1003B!Z586/1000</f>
        <v>0</v>
      </c>
      <c r="AA563" s="9">
        <f>STATS1003B!AA586/1000</f>
        <v>1125.77746</v>
      </c>
      <c r="AB563" s="9">
        <f>STATS1003B!AB586/1000</f>
        <v>0</v>
      </c>
    </row>
    <row r="564" spans="1:28" x14ac:dyDescent="0.35">
      <c r="A564" s="36"/>
      <c r="B564" s="8"/>
      <c r="C564" s="8"/>
      <c r="D564" s="8"/>
      <c r="E564" s="17" t="s">
        <v>29</v>
      </c>
      <c r="F564" s="17" t="s">
        <v>29</v>
      </c>
      <c r="G564" s="17" t="s">
        <v>29</v>
      </c>
      <c r="H564" s="17" t="s">
        <v>29</v>
      </c>
      <c r="I564" s="17" t="s">
        <v>29</v>
      </c>
      <c r="J564" s="17" t="s">
        <v>29</v>
      </c>
      <c r="K564" s="17" t="s">
        <v>29</v>
      </c>
      <c r="L564" s="17" t="s">
        <v>29</v>
      </c>
      <c r="M564" s="17" t="s">
        <v>29</v>
      </c>
      <c r="N564" s="17" t="s">
        <v>29</v>
      </c>
      <c r="O564" s="17" t="s">
        <v>29</v>
      </c>
      <c r="P564" s="17" t="s">
        <v>29</v>
      </c>
      <c r="Q564" s="17" t="s">
        <v>29</v>
      </c>
      <c r="R564" s="17" t="s">
        <v>29</v>
      </c>
      <c r="S564" s="17" t="s">
        <v>29</v>
      </c>
      <c r="T564" s="17" t="s">
        <v>29</v>
      </c>
      <c r="U564" s="17" t="s">
        <v>29</v>
      </c>
      <c r="V564" s="17" t="s">
        <v>29</v>
      </c>
      <c r="W564" s="17" t="s">
        <v>29</v>
      </c>
      <c r="X564" s="17" t="s">
        <v>29</v>
      </c>
      <c r="Y564" s="17" t="s">
        <v>29</v>
      </c>
      <c r="Z564" s="17" t="s">
        <v>29</v>
      </c>
      <c r="AA564" s="17" t="s">
        <v>29</v>
      </c>
      <c r="AB564" s="17" t="s">
        <v>29</v>
      </c>
    </row>
    <row r="565" spans="1:28" x14ac:dyDescent="0.35">
      <c r="A565" s="36"/>
      <c r="B565" s="8"/>
      <c r="C565" s="8"/>
      <c r="D565" s="8"/>
      <c r="E565" s="9">
        <f t="shared" ref="E565:AB565" si="37">SUM(E552:E563)</f>
        <v>48802.239449999994</v>
      </c>
      <c r="F565" s="9">
        <f t="shared" si="37"/>
        <v>37028.002509999991</v>
      </c>
      <c r="G565" s="9">
        <f t="shared" si="37"/>
        <v>0</v>
      </c>
      <c r="H565" s="9">
        <f t="shared" si="37"/>
        <v>37028.002509999991</v>
      </c>
      <c r="I565" s="9">
        <f t="shared" si="37"/>
        <v>0</v>
      </c>
      <c r="J565" s="9">
        <f t="shared" si="37"/>
        <v>0</v>
      </c>
      <c r="K565" s="9">
        <f t="shared" si="37"/>
        <v>0</v>
      </c>
      <c r="L565" s="9">
        <f t="shared" si="37"/>
        <v>0</v>
      </c>
      <c r="M565" s="9">
        <f t="shared" si="37"/>
        <v>37028.002509999991</v>
      </c>
      <c r="N565" s="9">
        <f t="shared" si="37"/>
        <v>11002.85333</v>
      </c>
      <c r="O565" s="9">
        <f t="shared" si="37"/>
        <v>0</v>
      </c>
      <c r="P565" s="9">
        <f t="shared" si="37"/>
        <v>11002.85333</v>
      </c>
      <c r="Q565" s="9">
        <f t="shared" si="37"/>
        <v>0</v>
      </c>
      <c r="R565" s="9">
        <f t="shared" si="37"/>
        <v>0</v>
      </c>
      <c r="S565" s="9">
        <f t="shared" si="37"/>
        <v>0</v>
      </c>
      <c r="T565" s="9">
        <f t="shared" si="37"/>
        <v>0</v>
      </c>
      <c r="U565" s="9">
        <f t="shared" si="37"/>
        <v>11002.85333</v>
      </c>
      <c r="V565" s="9">
        <f t="shared" si="37"/>
        <v>48030.855839999997</v>
      </c>
      <c r="W565" s="9">
        <f t="shared" si="37"/>
        <v>771.38360999999998</v>
      </c>
      <c r="X565" s="9">
        <f t="shared" si="37"/>
        <v>48030.855839999997</v>
      </c>
      <c r="Y565" s="9">
        <f t="shared" si="37"/>
        <v>0</v>
      </c>
      <c r="Z565" s="9">
        <f t="shared" si="37"/>
        <v>771.38360999999998</v>
      </c>
      <c r="AA565" s="9">
        <f t="shared" si="37"/>
        <v>48030.855839999997</v>
      </c>
      <c r="AB565" s="9">
        <f t="shared" si="37"/>
        <v>771.38360999999998</v>
      </c>
    </row>
    <row r="566" spans="1:28" x14ac:dyDescent="0.35">
      <c r="A566" s="36"/>
      <c r="B566" s="8"/>
      <c r="C566" s="8"/>
      <c r="D566" s="8"/>
      <c r="E566" s="17" t="s">
        <v>29</v>
      </c>
      <c r="F566" s="17" t="s">
        <v>29</v>
      </c>
      <c r="G566" s="17" t="s">
        <v>29</v>
      </c>
      <c r="H566" s="17" t="s">
        <v>29</v>
      </c>
      <c r="I566" s="17" t="s">
        <v>29</v>
      </c>
      <c r="J566" s="17" t="s">
        <v>29</v>
      </c>
      <c r="K566" s="17" t="s">
        <v>29</v>
      </c>
      <c r="L566" s="17" t="s">
        <v>29</v>
      </c>
      <c r="M566" s="17" t="s">
        <v>29</v>
      </c>
      <c r="N566" s="17" t="s">
        <v>29</v>
      </c>
      <c r="O566" s="17" t="s">
        <v>29</v>
      </c>
      <c r="P566" s="17" t="s">
        <v>29</v>
      </c>
      <c r="Q566" s="17" t="s">
        <v>29</v>
      </c>
      <c r="R566" s="17" t="s">
        <v>29</v>
      </c>
      <c r="S566" s="17" t="s">
        <v>29</v>
      </c>
      <c r="T566" s="17" t="s">
        <v>29</v>
      </c>
      <c r="U566" s="17" t="s">
        <v>29</v>
      </c>
      <c r="V566" s="17" t="s">
        <v>29</v>
      </c>
      <c r="W566" s="17" t="s">
        <v>29</v>
      </c>
      <c r="X566" s="17" t="s">
        <v>29</v>
      </c>
      <c r="Y566" s="17" t="s">
        <v>29</v>
      </c>
      <c r="Z566" s="17" t="s">
        <v>29</v>
      </c>
      <c r="AA566" s="17" t="s">
        <v>29</v>
      </c>
      <c r="AB566" s="17" t="s">
        <v>29</v>
      </c>
    </row>
    <row r="567" spans="1:28" x14ac:dyDescent="0.35">
      <c r="A567" s="38" t="s">
        <v>965</v>
      </c>
      <c r="B567" s="7" t="s">
        <v>190</v>
      </c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8" x14ac:dyDescent="0.35">
      <c r="A568" s="36"/>
      <c r="B568" s="8"/>
      <c r="C568" s="7" t="s">
        <v>75</v>
      </c>
      <c r="D568" s="21" t="s">
        <v>76</v>
      </c>
      <c r="E568" s="9">
        <f>STATS1003B!E591/1000</f>
        <v>1569</v>
      </c>
      <c r="F568" s="9">
        <f>STATS1003B!F591/1000</f>
        <v>0</v>
      </c>
      <c r="G568" s="9">
        <f>STATS1003B!G591/1000</f>
        <v>0</v>
      </c>
      <c r="H568" s="9">
        <f>STATS1003B!H591/1000</f>
        <v>0</v>
      </c>
      <c r="I568" s="9">
        <f>STATS1003B!I591/1000</f>
        <v>0</v>
      </c>
      <c r="J568" s="9">
        <f>STATS1003B!J591/1000</f>
        <v>0</v>
      </c>
      <c r="K568" s="9">
        <f>STATS1003B!K591/1000</f>
        <v>0</v>
      </c>
      <c r="L568" s="9">
        <f>STATS1003B!L591/1000</f>
        <v>0</v>
      </c>
      <c r="M568" s="9">
        <f>STATS1003B!M591/1000</f>
        <v>0</v>
      </c>
      <c r="N568" s="9">
        <f>STATS1003B!N591/1000</f>
        <v>998.39665000000002</v>
      </c>
      <c r="O568" s="9">
        <f>STATS1003B!O591/1000</f>
        <v>0</v>
      </c>
      <c r="P568" s="9">
        <f>STATS1003B!P591/1000</f>
        <v>998.39665000000002</v>
      </c>
      <c r="Q568" s="9">
        <f>STATS1003B!Q591/1000</f>
        <v>0</v>
      </c>
      <c r="R568" s="9">
        <f>STATS1003B!R591/1000</f>
        <v>0</v>
      </c>
      <c r="S568" s="9">
        <f>STATS1003B!S591/1000</f>
        <v>0</v>
      </c>
      <c r="T568" s="9">
        <f>STATS1003B!T591/1000</f>
        <v>0</v>
      </c>
      <c r="U568" s="9">
        <f>STATS1003B!U591/1000</f>
        <v>998.39665000000002</v>
      </c>
      <c r="V568" s="9">
        <f>STATS1003B!V591/1000</f>
        <v>998.39665000000002</v>
      </c>
      <c r="W568" s="9">
        <f>STATS1003B!W591/1000</f>
        <v>570.60334999999998</v>
      </c>
      <c r="X568" s="9">
        <f>STATS1003B!X591/1000</f>
        <v>998.39665000000002</v>
      </c>
      <c r="Y568" s="9">
        <f>STATS1003B!Y591/1000</f>
        <v>0</v>
      </c>
      <c r="Z568" s="9">
        <f>STATS1003B!Z591/1000</f>
        <v>570.60334999999998</v>
      </c>
      <c r="AA568" s="9">
        <f>STATS1003B!AA591/1000</f>
        <v>998.39665000000002</v>
      </c>
      <c r="AB568" s="9">
        <f>STATS1003B!AB591/1000</f>
        <v>570.60334999999998</v>
      </c>
    </row>
    <row r="569" spans="1:28" x14ac:dyDescent="0.35">
      <c r="A569" s="36"/>
      <c r="B569" s="8"/>
      <c r="C569" s="7" t="s">
        <v>149</v>
      </c>
      <c r="D569" s="21" t="s">
        <v>150</v>
      </c>
      <c r="E569" s="9">
        <f>STATS1003B!E592/1000</f>
        <v>3236.7550000000001</v>
      </c>
      <c r="F569" s="9">
        <f>STATS1003B!F592/1000</f>
        <v>2168.7214700000004</v>
      </c>
      <c r="G569" s="9">
        <f>STATS1003B!G592/1000</f>
        <v>0</v>
      </c>
      <c r="H569" s="9">
        <f>STATS1003B!H592/1000</f>
        <v>2168.7214700000004</v>
      </c>
      <c r="I569" s="9">
        <f>STATS1003B!I592/1000</f>
        <v>0</v>
      </c>
      <c r="J569" s="9">
        <f>STATS1003B!J592/1000</f>
        <v>0</v>
      </c>
      <c r="K569" s="9">
        <f>STATS1003B!K592/1000</f>
        <v>0</v>
      </c>
      <c r="L569" s="9">
        <f>STATS1003B!L592/1000</f>
        <v>0</v>
      </c>
      <c r="M569" s="9">
        <f>STATS1003B!M592/1000</f>
        <v>2168.7214700000004</v>
      </c>
      <c r="N569" s="9">
        <f>STATS1003B!N592/1000</f>
        <v>904.11999000000003</v>
      </c>
      <c r="O569" s="9">
        <f>STATS1003B!O592/1000</f>
        <v>0</v>
      </c>
      <c r="P569" s="9">
        <f>STATS1003B!P592/1000</f>
        <v>904.11999000000003</v>
      </c>
      <c r="Q569" s="9">
        <f>STATS1003B!Q592/1000</f>
        <v>0</v>
      </c>
      <c r="R569" s="9">
        <f>STATS1003B!R592/1000</f>
        <v>0</v>
      </c>
      <c r="S569" s="9">
        <f>STATS1003B!S592/1000</f>
        <v>0</v>
      </c>
      <c r="T569" s="9">
        <f>STATS1003B!T592/1000</f>
        <v>0</v>
      </c>
      <c r="U569" s="9">
        <f>STATS1003B!U592/1000</f>
        <v>904.11999000000003</v>
      </c>
      <c r="V569" s="9">
        <f>STATS1003B!V592/1000</f>
        <v>3072.8414600000001</v>
      </c>
      <c r="W569" s="9">
        <f>STATS1003B!W592/1000</f>
        <v>163.91354000000004</v>
      </c>
      <c r="X569" s="9">
        <f>STATS1003B!X592/1000</f>
        <v>3072.8414600000001</v>
      </c>
      <c r="Y569" s="9">
        <f>STATS1003B!Y592/1000</f>
        <v>0</v>
      </c>
      <c r="Z569" s="9">
        <f>STATS1003B!Z592/1000</f>
        <v>163.91354000000004</v>
      </c>
      <c r="AA569" s="9">
        <f>STATS1003B!AA592/1000</f>
        <v>3072.8414600000001</v>
      </c>
      <c r="AB569" s="9">
        <f>STATS1003B!AB592/1000</f>
        <v>163.91354000000004</v>
      </c>
    </row>
    <row r="570" spans="1:28" x14ac:dyDescent="0.35">
      <c r="A570" s="36"/>
      <c r="B570" s="8"/>
      <c r="C570" s="7" t="s">
        <v>151</v>
      </c>
      <c r="D570" s="21" t="s">
        <v>150</v>
      </c>
      <c r="E570" s="9">
        <f>STATS1003B!E593/1000</f>
        <v>174570.99476</v>
      </c>
      <c r="F570" s="9">
        <f>STATS1003B!F593/1000</f>
        <v>98849.889650000012</v>
      </c>
      <c r="G570" s="9">
        <f>STATS1003B!G593/1000</f>
        <v>0</v>
      </c>
      <c r="H570" s="9">
        <f>STATS1003B!H593/1000</f>
        <v>98849.889650000012</v>
      </c>
      <c r="I570" s="9">
        <f>STATS1003B!I593/1000</f>
        <v>0</v>
      </c>
      <c r="J570" s="9">
        <f>STATS1003B!J593/1000</f>
        <v>0</v>
      </c>
      <c r="K570" s="9">
        <f>STATS1003B!K593/1000</f>
        <v>0</v>
      </c>
      <c r="L570" s="9">
        <f>STATS1003B!L593/1000</f>
        <v>0</v>
      </c>
      <c r="M570" s="9">
        <f>STATS1003B!M593/1000</f>
        <v>98849.889650000012</v>
      </c>
      <c r="N570" s="9">
        <f>STATS1003B!N593/1000</f>
        <v>0</v>
      </c>
      <c r="O570" s="9">
        <f>STATS1003B!O593/1000</f>
        <v>0</v>
      </c>
      <c r="P570" s="9">
        <f>STATS1003B!P593/1000</f>
        <v>0</v>
      </c>
      <c r="Q570" s="9">
        <f>STATS1003B!Q593/1000</f>
        <v>0</v>
      </c>
      <c r="R570" s="9">
        <f>STATS1003B!R593/1000</f>
        <v>0</v>
      </c>
      <c r="S570" s="9">
        <f>STATS1003B!S593/1000</f>
        <v>0</v>
      </c>
      <c r="T570" s="9">
        <f>STATS1003B!T593/1000</f>
        <v>0</v>
      </c>
      <c r="U570" s="9">
        <f>STATS1003B!U593/1000</f>
        <v>0</v>
      </c>
      <c r="V570" s="9">
        <f>STATS1003B!V593/1000</f>
        <v>98849.889650000012</v>
      </c>
      <c r="W570" s="9">
        <f>STATS1003B!W593/1000</f>
        <v>75721.10510999999</v>
      </c>
      <c r="X570" s="9">
        <f>STATS1003B!X593/1000</f>
        <v>98849.889650000012</v>
      </c>
      <c r="Y570" s="9">
        <f>STATS1003B!Y593/1000</f>
        <v>0</v>
      </c>
      <c r="Z570" s="9">
        <f>STATS1003B!Z593/1000</f>
        <v>75721.10510999999</v>
      </c>
      <c r="AA570" s="9">
        <f>STATS1003B!AA593/1000</f>
        <v>98849.889650000012</v>
      </c>
      <c r="AB570" s="9">
        <f>STATS1003B!AB593/1000</f>
        <v>75721.10510999999</v>
      </c>
    </row>
    <row r="571" spans="1:28" x14ac:dyDescent="0.35">
      <c r="A571" s="36"/>
      <c r="B571" s="8"/>
      <c r="C571" s="8"/>
      <c r="D571" s="15" t="s">
        <v>79</v>
      </c>
      <c r="E571" s="9">
        <f>STATS1003B!E594/1000</f>
        <v>0</v>
      </c>
      <c r="F571" s="9">
        <f>STATS1003B!F594/1000</f>
        <v>0</v>
      </c>
      <c r="G571" s="9">
        <f>STATS1003B!G594/1000</f>
        <v>0</v>
      </c>
      <c r="H571" s="9">
        <f>STATS1003B!H594/1000</f>
        <v>0</v>
      </c>
      <c r="I571" s="9">
        <f>STATS1003B!I594/1000</f>
        <v>0</v>
      </c>
      <c r="J571" s="9">
        <f>STATS1003B!J594/1000</f>
        <v>0</v>
      </c>
      <c r="K571" s="9">
        <f>STATS1003B!K594/1000</f>
        <v>0</v>
      </c>
      <c r="L571" s="9">
        <f>STATS1003B!L594/1000</f>
        <v>0</v>
      </c>
      <c r="M571" s="9">
        <f>STATS1003B!M594/1000</f>
        <v>0</v>
      </c>
      <c r="N571" s="9">
        <f>STATS1003B!N594/1000</f>
        <v>0</v>
      </c>
      <c r="O571" s="9">
        <f>STATS1003B!O594/1000</f>
        <v>0</v>
      </c>
      <c r="P571" s="9">
        <f>STATS1003B!P594/1000</f>
        <v>0</v>
      </c>
      <c r="Q571" s="9">
        <f>STATS1003B!Q594/1000</f>
        <v>0</v>
      </c>
      <c r="R571" s="9">
        <f>STATS1003B!R594/1000</f>
        <v>0</v>
      </c>
      <c r="S571" s="9">
        <f>STATS1003B!S594/1000</f>
        <v>0</v>
      </c>
      <c r="T571" s="9">
        <f>STATS1003B!T594/1000</f>
        <v>0</v>
      </c>
      <c r="U571" s="9">
        <f>STATS1003B!U594/1000</f>
        <v>0</v>
      </c>
      <c r="V571" s="9">
        <f>STATS1003B!V594/1000</f>
        <v>0</v>
      </c>
      <c r="W571" s="9">
        <f>STATS1003B!W594/1000</f>
        <v>0</v>
      </c>
      <c r="X571" s="9">
        <f>STATS1003B!X594/1000</f>
        <v>0</v>
      </c>
      <c r="Y571" s="9">
        <f>STATS1003B!Y594/1000</f>
        <v>0</v>
      </c>
      <c r="Z571" s="9">
        <f>STATS1003B!Z594/1000</f>
        <v>0</v>
      </c>
      <c r="AA571" s="9">
        <f>STATS1003B!AA594/1000</f>
        <v>0</v>
      </c>
      <c r="AB571" s="9">
        <f>STATS1003B!AB594/1000</f>
        <v>0</v>
      </c>
    </row>
    <row r="572" spans="1:28" x14ac:dyDescent="0.35">
      <c r="A572" s="36"/>
      <c r="B572" s="8"/>
      <c r="C572" s="7" t="s">
        <v>57</v>
      </c>
      <c r="D572" s="14" t="s">
        <v>191</v>
      </c>
      <c r="E572" s="9">
        <f>STATS1003B!E595/1000</f>
        <v>4005.9220999999998</v>
      </c>
      <c r="F572" s="9">
        <f>STATS1003B!F595/1000</f>
        <v>3555.6979000000001</v>
      </c>
      <c r="G572" s="9">
        <f>STATS1003B!G595/1000</f>
        <v>0</v>
      </c>
      <c r="H572" s="9">
        <f>STATS1003B!H595/1000</f>
        <v>3555.6979000000001</v>
      </c>
      <c r="I572" s="9">
        <f>STATS1003B!I595/1000</f>
        <v>0</v>
      </c>
      <c r="J572" s="9">
        <f>STATS1003B!J595/1000</f>
        <v>0</v>
      </c>
      <c r="K572" s="9">
        <f>STATS1003B!K595/1000</f>
        <v>0</v>
      </c>
      <c r="L572" s="9">
        <f>STATS1003B!L595/1000</f>
        <v>0</v>
      </c>
      <c r="M572" s="9">
        <f>STATS1003B!M595/1000</f>
        <v>3555.6979000000001</v>
      </c>
      <c r="N572" s="9">
        <f>STATS1003B!N595/1000</f>
        <v>450.2242</v>
      </c>
      <c r="O572" s="9">
        <f>STATS1003B!O595/1000</f>
        <v>0</v>
      </c>
      <c r="P572" s="9">
        <f>STATS1003B!P595/1000</f>
        <v>450.2242</v>
      </c>
      <c r="Q572" s="9">
        <f>STATS1003B!Q595/1000</f>
        <v>0</v>
      </c>
      <c r="R572" s="9">
        <f>STATS1003B!R595/1000</f>
        <v>0</v>
      </c>
      <c r="S572" s="9">
        <f>STATS1003B!S595/1000</f>
        <v>0</v>
      </c>
      <c r="T572" s="9">
        <f>STATS1003B!T595/1000</f>
        <v>0</v>
      </c>
      <c r="U572" s="9">
        <f>STATS1003B!U595/1000</f>
        <v>450.2242</v>
      </c>
      <c r="V572" s="9">
        <f>STATS1003B!V595/1000</f>
        <v>4005.9221000000002</v>
      </c>
      <c r="W572" s="9">
        <f>STATS1003B!W595/1000</f>
        <v>0</v>
      </c>
      <c r="X572" s="9">
        <f>STATS1003B!X595/1000</f>
        <v>4005.9221000000002</v>
      </c>
      <c r="Y572" s="9">
        <f>STATS1003B!Y595/1000</f>
        <v>0</v>
      </c>
      <c r="Z572" s="9">
        <f>STATS1003B!Z595/1000</f>
        <v>0</v>
      </c>
      <c r="AA572" s="9">
        <f>STATS1003B!AA595/1000</f>
        <v>4005.9221000000002</v>
      </c>
      <c r="AB572" s="9">
        <f>STATS1003B!AB595/1000</f>
        <v>0</v>
      </c>
    </row>
    <row r="573" spans="1:28" x14ac:dyDescent="0.35">
      <c r="A573" s="36"/>
      <c r="B573" s="8"/>
      <c r="C573" s="7" t="s">
        <v>53</v>
      </c>
      <c r="D573" s="15" t="s">
        <v>68</v>
      </c>
      <c r="E573" s="9">
        <f>STATS1003B!E596/1000</f>
        <v>1953.989</v>
      </c>
      <c r="F573" s="9">
        <f>STATS1003B!F596/1000</f>
        <v>0</v>
      </c>
      <c r="G573" s="9">
        <f>STATS1003B!G596/1000</f>
        <v>0</v>
      </c>
      <c r="H573" s="9">
        <f>STATS1003B!H596/1000</f>
        <v>0</v>
      </c>
      <c r="I573" s="9">
        <f>STATS1003B!I596/1000</f>
        <v>0</v>
      </c>
      <c r="J573" s="9">
        <f>STATS1003B!J596/1000</f>
        <v>0</v>
      </c>
      <c r="K573" s="9">
        <f>STATS1003B!K596/1000</f>
        <v>0</v>
      </c>
      <c r="L573" s="9">
        <f>STATS1003B!L596/1000</f>
        <v>0</v>
      </c>
      <c r="M573" s="9">
        <f>STATS1003B!M596/1000</f>
        <v>0</v>
      </c>
      <c r="N573" s="9">
        <f>STATS1003B!N596/1000</f>
        <v>1953.989</v>
      </c>
      <c r="O573" s="9">
        <f>STATS1003B!O596/1000</f>
        <v>0</v>
      </c>
      <c r="P573" s="9">
        <f>STATS1003B!P596/1000</f>
        <v>1953.989</v>
      </c>
      <c r="Q573" s="9">
        <f>STATS1003B!Q596/1000</f>
        <v>0</v>
      </c>
      <c r="R573" s="9">
        <f>STATS1003B!R596/1000</f>
        <v>0</v>
      </c>
      <c r="S573" s="9">
        <f>STATS1003B!S596/1000</f>
        <v>0</v>
      </c>
      <c r="T573" s="9">
        <f>STATS1003B!T596/1000</f>
        <v>0</v>
      </c>
      <c r="U573" s="9">
        <f>STATS1003B!U596/1000</f>
        <v>1953.989</v>
      </c>
      <c r="V573" s="9">
        <f>STATS1003B!V596/1000</f>
        <v>1953.989</v>
      </c>
      <c r="W573" s="9">
        <f>STATS1003B!W596/1000</f>
        <v>0</v>
      </c>
      <c r="X573" s="9">
        <f>STATS1003B!X596/1000</f>
        <v>1953.989</v>
      </c>
      <c r="Y573" s="9">
        <f>STATS1003B!Y596/1000</f>
        <v>0</v>
      </c>
      <c r="Z573" s="9">
        <f>STATS1003B!Z596/1000</f>
        <v>0</v>
      </c>
      <c r="AA573" s="9">
        <f>STATS1003B!AA596/1000</f>
        <v>1953.989</v>
      </c>
      <c r="AB573" s="9">
        <f>STATS1003B!AB596/1000</f>
        <v>0</v>
      </c>
    </row>
    <row r="574" spans="1:28" x14ac:dyDescent="0.35">
      <c r="A574" s="36"/>
      <c r="B574" s="8"/>
      <c r="C574" s="7" t="s">
        <v>55</v>
      </c>
      <c r="D574" s="15" t="s">
        <v>54</v>
      </c>
      <c r="E574" s="9">
        <f>STATS1003B!E597/1000</f>
        <v>196.1199</v>
      </c>
      <c r="F574" s="9">
        <f>STATS1003B!F597/1000</f>
        <v>0</v>
      </c>
      <c r="G574" s="9">
        <f>STATS1003B!G597/1000</f>
        <v>0</v>
      </c>
      <c r="H574" s="9">
        <f>STATS1003B!H597/1000</f>
        <v>0</v>
      </c>
      <c r="I574" s="9">
        <f>STATS1003B!I597/1000</f>
        <v>0</v>
      </c>
      <c r="J574" s="9">
        <f>STATS1003B!J597/1000</f>
        <v>0</v>
      </c>
      <c r="K574" s="9">
        <f>STATS1003B!K597/1000</f>
        <v>0</v>
      </c>
      <c r="L574" s="9">
        <f>STATS1003B!L597/1000</f>
        <v>0</v>
      </c>
      <c r="M574" s="9">
        <f>STATS1003B!M597/1000</f>
        <v>0</v>
      </c>
      <c r="N574" s="9">
        <f>STATS1003B!N597/1000</f>
        <v>196.1199</v>
      </c>
      <c r="O574" s="9">
        <f>STATS1003B!O597/1000</f>
        <v>0</v>
      </c>
      <c r="P574" s="9">
        <f>STATS1003B!P597/1000</f>
        <v>196.1199</v>
      </c>
      <c r="Q574" s="9">
        <f>STATS1003B!Q597/1000</f>
        <v>0</v>
      </c>
      <c r="R574" s="9">
        <f>STATS1003B!R597/1000</f>
        <v>0</v>
      </c>
      <c r="S574" s="9">
        <f>STATS1003B!S597/1000</f>
        <v>0</v>
      </c>
      <c r="T574" s="9">
        <f>STATS1003B!T597/1000</f>
        <v>0</v>
      </c>
      <c r="U574" s="9">
        <f>STATS1003B!U597/1000</f>
        <v>196.1199</v>
      </c>
      <c r="V574" s="9">
        <f>STATS1003B!V597/1000</f>
        <v>196.1199</v>
      </c>
      <c r="W574" s="9">
        <f>STATS1003B!W597/1000</f>
        <v>0</v>
      </c>
      <c r="X574" s="9">
        <f>STATS1003B!X597/1000</f>
        <v>196.1199</v>
      </c>
      <c r="Y574" s="9">
        <f>STATS1003B!Y597/1000</f>
        <v>0</v>
      </c>
      <c r="Z574" s="9">
        <f>STATS1003B!Z597/1000</f>
        <v>0</v>
      </c>
      <c r="AA574" s="9">
        <f>STATS1003B!AA597/1000</f>
        <v>196.1199</v>
      </c>
      <c r="AB574" s="9">
        <f>STATS1003B!AB597/1000</f>
        <v>0</v>
      </c>
    </row>
    <row r="575" spans="1:28" x14ac:dyDescent="0.35">
      <c r="A575" s="36"/>
      <c r="B575" s="8"/>
      <c r="C575" s="7" t="s">
        <v>192</v>
      </c>
      <c r="D575" s="15" t="s">
        <v>54</v>
      </c>
      <c r="E575" s="9">
        <f>STATS1003B!E598/1000</f>
        <v>955.34561999999994</v>
      </c>
      <c r="F575" s="9">
        <f>STATS1003B!F598/1000</f>
        <v>0</v>
      </c>
      <c r="G575" s="9">
        <f>STATS1003B!G598/1000</f>
        <v>0</v>
      </c>
      <c r="H575" s="9">
        <f>STATS1003B!H598/1000</f>
        <v>0</v>
      </c>
      <c r="I575" s="9">
        <f>STATS1003B!I598/1000</f>
        <v>0</v>
      </c>
      <c r="J575" s="9">
        <f>STATS1003B!J598/1000</f>
        <v>0</v>
      </c>
      <c r="K575" s="9">
        <f>STATS1003B!K598/1000</f>
        <v>0</v>
      </c>
      <c r="L575" s="9">
        <f>STATS1003B!L598/1000</f>
        <v>0</v>
      </c>
      <c r="M575" s="9">
        <f>STATS1003B!M598/1000</f>
        <v>0</v>
      </c>
      <c r="N575" s="9">
        <f>STATS1003B!N598/1000</f>
        <v>955.34561999999994</v>
      </c>
      <c r="O575" s="9">
        <f>STATS1003B!O598/1000</f>
        <v>0</v>
      </c>
      <c r="P575" s="9">
        <f>STATS1003B!P598/1000</f>
        <v>955.34561999999994</v>
      </c>
      <c r="Q575" s="9">
        <f>STATS1003B!Q598/1000</f>
        <v>0</v>
      </c>
      <c r="R575" s="9">
        <f>STATS1003B!R598/1000</f>
        <v>0</v>
      </c>
      <c r="S575" s="9">
        <f>STATS1003B!S598/1000</f>
        <v>0</v>
      </c>
      <c r="T575" s="9">
        <f>STATS1003B!T598/1000</f>
        <v>0</v>
      </c>
      <c r="U575" s="9">
        <f>STATS1003B!U598/1000</f>
        <v>955.34561999999994</v>
      </c>
      <c r="V575" s="9">
        <f>STATS1003B!V598/1000</f>
        <v>955.34561999999994</v>
      </c>
      <c r="W575" s="9">
        <f>STATS1003B!W598/1000</f>
        <v>0</v>
      </c>
      <c r="X575" s="9">
        <f>STATS1003B!X598/1000</f>
        <v>955.34561999999994</v>
      </c>
      <c r="Y575" s="9">
        <f>STATS1003B!Y598/1000</f>
        <v>0</v>
      </c>
      <c r="Z575" s="9">
        <f>STATS1003B!Z598/1000</f>
        <v>0</v>
      </c>
      <c r="AA575" s="9">
        <f>STATS1003B!AA598/1000</f>
        <v>955.34561999999994</v>
      </c>
      <c r="AB575" s="9">
        <f>STATS1003B!AB598/1000</f>
        <v>0</v>
      </c>
    </row>
    <row r="576" spans="1:28" x14ac:dyDescent="0.35">
      <c r="A576" s="36"/>
      <c r="B576" s="8"/>
      <c r="C576" s="7" t="s">
        <v>106</v>
      </c>
      <c r="D576" s="15" t="s">
        <v>85</v>
      </c>
      <c r="E576" s="9">
        <f>STATS1003B!E599/1000</f>
        <v>160</v>
      </c>
      <c r="F576" s="9">
        <f>STATS1003B!F599/1000</f>
        <v>160</v>
      </c>
      <c r="G576" s="9">
        <f>STATS1003B!G599/1000</f>
        <v>0</v>
      </c>
      <c r="H576" s="9">
        <f>STATS1003B!H599/1000</f>
        <v>160</v>
      </c>
      <c r="I576" s="9">
        <f>STATS1003B!I599/1000</f>
        <v>0</v>
      </c>
      <c r="J576" s="9">
        <f>STATS1003B!J599/1000</f>
        <v>0</v>
      </c>
      <c r="K576" s="9">
        <f>STATS1003B!K599/1000</f>
        <v>0</v>
      </c>
      <c r="L576" s="9">
        <f>STATS1003B!L599/1000</f>
        <v>0</v>
      </c>
      <c r="M576" s="9">
        <f>STATS1003B!M599/1000</f>
        <v>160</v>
      </c>
      <c r="N576" s="9">
        <f>STATS1003B!N599/1000</f>
        <v>0</v>
      </c>
      <c r="O576" s="9">
        <f>STATS1003B!O599/1000</f>
        <v>0</v>
      </c>
      <c r="P576" s="9">
        <f>STATS1003B!P599/1000</f>
        <v>0</v>
      </c>
      <c r="Q576" s="9">
        <f>STATS1003B!Q599/1000</f>
        <v>0</v>
      </c>
      <c r="R576" s="9">
        <f>STATS1003B!R599/1000</f>
        <v>0</v>
      </c>
      <c r="S576" s="9">
        <f>STATS1003B!S599/1000</f>
        <v>0</v>
      </c>
      <c r="T576" s="9">
        <f>STATS1003B!T599/1000</f>
        <v>0</v>
      </c>
      <c r="U576" s="9">
        <f>STATS1003B!U599/1000</f>
        <v>0</v>
      </c>
      <c r="V576" s="9">
        <f>STATS1003B!V599/1000</f>
        <v>160</v>
      </c>
      <c r="W576" s="9">
        <f>STATS1003B!W599/1000</f>
        <v>0</v>
      </c>
      <c r="X576" s="9">
        <f>STATS1003B!X599/1000</f>
        <v>160</v>
      </c>
      <c r="Y576" s="9">
        <f>STATS1003B!Y599/1000</f>
        <v>0</v>
      </c>
      <c r="Z576" s="9">
        <f>STATS1003B!Z599/1000</f>
        <v>0</v>
      </c>
      <c r="AA576" s="9">
        <f>STATS1003B!AA599/1000</f>
        <v>160</v>
      </c>
      <c r="AB576" s="9">
        <f>STATS1003B!AB599/1000</f>
        <v>0</v>
      </c>
    </row>
    <row r="577" spans="1:28" x14ac:dyDescent="0.35">
      <c r="A577" s="36"/>
      <c r="B577" s="8"/>
      <c r="C577" s="7" t="s">
        <v>57</v>
      </c>
      <c r="D577" s="15" t="s">
        <v>60</v>
      </c>
      <c r="E577" s="9">
        <f>STATS1003B!E600/1000</f>
        <v>2000</v>
      </c>
      <c r="F577" s="9">
        <f>STATS1003B!F600/1000</f>
        <v>2000</v>
      </c>
      <c r="G577" s="9">
        <f>STATS1003B!G600/1000</f>
        <v>0</v>
      </c>
      <c r="H577" s="9">
        <f>STATS1003B!H600/1000</f>
        <v>2000</v>
      </c>
      <c r="I577" s="9">
        <f>STATS1003B!I600/1000</f>
        <v>0</v>
      </c>
      <c r="J577" s="9">
        <f>STATS1003B!J600/1000</f>
        <v>0</v>
      </c>
      <c r="K577" s="9">
        <f>STATS1003B!K600/1000</f>
        <v>0</v>
      </c>
      <c r="L577" s="9">
        <f>STATS1003B!L600/1000</f>
        <v>0</v>
      </c>
      <c r="M577" s="9">
        <f>STATS1003B!M600/1000</f>
        <v>2000</v>
      </c>
      <c r="N577" s="9">
        <f>STATS1003B!N600/1000</f>
        <v>0</v>
      </c>
      <c r="O577" s="9">
        <f>STATS1003B!O600/1000</f>
        <v>0</v>
      </c>
      <c r="P577" s="9">
        <f>STATS1003B!P600/1000</f>
        <v>0</v>
      </c>
      <c r="Q577" s="9">
        <f>STATS1003B!Q600/1000</f>
        <v>0</v>
      </c>
      <c r="R577" s="9">
        <f>STATS1003B!R600/1000</f>
        <v>0</v>
      </c>
      <c r="S577" s="9">
        <f>STATS1003B!S600/1000</f>
        <v>0</v>
      </c>
      <c r="T577" s="9">
        <f>STATS1003B!T600/1000</f>
        <v>0</v>
      </c>
      <c r="U577" s="9">
        <f>STATS1003B!U600/1000</f>
        <v>0</v>
      </c>
      <c r="V577" s="9">
        <f>STATS1003B!V600/1000</f>
        <v>2000</v>
      </c>
      <c r="W577" s="9">
        <f>STATS1003B!W600/1000</f>
        <v>0</v>
      </c>
      <c r="X577" s="9">
        <f>STATS1003B!X600/1000</f>
        <v>2000</v>
      </c>
      <c r="Y577" s="9">
        <f>STATS1003B!Y600/1000</f>
        <v>0</v>
      </c>
      <c r="Z577" s="9">
        <f>STATS1003B!Z600/1000</f>
        <v>0</v>
      </c>
      <c r="AA577" s="9">
        <f>STATS1003B!AA600/1000</f>
        <v>2000</v>
      </c>
      <c r="AB577" s="9">
        <f>STATS1003B!AB600/1000</f>
        <v>0</v>
      </c>
    </row>
    <row r="578" spans="1:28" x14ac:dyDescent="0.35">
      <c r="A578" s="36"/>
      <c r="B578" s="8"/>
      <c r="C578" s="14" t="s">
        <v>109</v>
      </c>
      <c r="D578" s="21" t="s">
        <v>60</v>
      </c>
      <c r="E578" s="9">
        <f>STATS1003B!E601/1000</f>
        <v>2500</v>
      </c>
      <c r="F578" s="9">
        <f>STATS1003B!F601/1000</f>
        <v>2500</v>
      </c>
      <c r="G578" s="9">
        <f>STATS1003B!G601/1000</f>
        <v>0</v>
      </c>
      <c r="H578" s="9">
        <f>STATS1003B!H601/1000</f>
        <v>2500</v>
      </c>
      <c r="I578" s="9">
        <f>STATS1003B!I601/1000</f>
        <v>0</v>
      </c>
      <c r="J578" s="9">
        <f>STATS1003B!J601/1000</f>
        <v>0</v>
      </c>
      <c r="K578" s="9">
        <f>STATS1003B!K601/1000</f>
        <v>0</v>
      </c>
      <c r="L578" s="9">
        <f>STATS1003B!L601/1000</f>
        <v>0</v>
      </c>
      <c r="M578" s="9">
        <f>STATS1003B!M601/1000</f>
        <v>2500</v>
      </c>
      <c r="N578" s="9">
        <f>STATS1003B!N601/1000</f>
        <v>0</v>
      </c>
      <c r="O578" s="9">
        <f>STATS1003B!O601/1000</f>
        <v>0</v>
      </c>
      <c r="P578" s="9">
        <f>STATS1003B!P601/1000</f>
        <v>0</v>
      </c>
      <c r="Q578" s="9">
        <f>STATS1003B!Q601/1000</f>
        <v>0</v>
      </c>
      <c r="R578" s="9">
        <f>STATS1003B!R601/1000</f>
        <v>0</v>
      </c>
      <c r="S578" s="9">
        <f>STATS1003B!S601/1000</f>
        <v>0</v>
      </c>
      <c r="T578" s="9">
        <f>STATS1003B!T601/1000</f>
        <v>0</v>
      </c>
      <c r="U578" s="9">
        <f>STATS1003B!U601/1000</f>
        <v>0</v>
      </c>
      <c r="V578" s="9">
        <f>STATS1003B!V601/1000</f>
        <v>2500</v>
      </c>
      <c r="W578" s="9">
        <f>STATS1003B!W601/1000</f>
        <v>0</v>
      </c>
      <c r="X578" s="9">
        <f>STATS1003B!X601/1000</f>
        <v>2500</v>
      </c>
      <c r="Y578" s="9">
        <f>STATS1003B!Y601/1000</f>
        <v>0</v>
      </c>
      <c r="Z578" s="9">
        <f>STATS1003B!Z601/1000</f>
        <v>0</v>
      </c>
      <c r="AA578" s="9">
        <f>STATS1003B!AA601/1000</f>
        <v>2500</v>
      </c>
      <c r="AB578" s="9">
        <f>STATS1003B!AB601/1000</f>
        <v>0</v>
      </c>
    </row>
    <row r="579" spans="1:28" x14ac:dyDescent="0.35">
      <c r="A579" s="36"/>
      <c r="B579" s="8"/>
      <c r="C579" s="14" t="s">
        <v>1135</v>
      </c>
      <c r="D579" s="24" t="s">
        <v>1126</v>
      </c>
      <c r="E579" s="9">
        <f>STATS1003B!E602/1000</f>
        <v>300</v>
      </c>
      <c r="F579" s="9">
        <f>STATS1003B!F602/1000</f>
        <v>300</v>
      </c>
      <c r="G579" s="9">
        <f>STATS1003B!G602/1000</f>
        <v>0</v>
      </c>
      <c r="H579" s="9">
        <f>STATS1003B!H602/1000</f>
        <v>300</v>
      </c>
      <c r="I579" s="9">
        <f>STATS1003B!I602/1000</f>
        <v>0</v>
      </c>
      <c r="J579" s="9">
        <f>STATS1003B!J602/1000</f>
        <v>0</v>
      </c>
      <c r="K579" s="9">
        <f>STATS1003B!K602/1000</f>
        <v>0</v>
      </c>
      <c r="L579" s="9">
        <f>STATS1003B!L602/1000</f>
        <v>0</v>
      </c>
      <c r="M579" s="9">
        <f>STATS1003B!M602/1000</f>
        <v>300</v>
      </c>
      <c r="N579" s="9">
        <f>STATS1003B!N602/1000</f>
        <v>0</v>
      </c>
      <c r="O579" s="9">
        <f>STATS1003B!O602/1000</f>
        <v>0</v>
      </c>
      <c r="P579" s="9">
        <f>STATS1003B!P602/1000</f>
        <v>0</v>
      </c>
      <c r="Q579" s="9">
        <f>STATS1003B!Q602/1000</f>
        <v>0</v>
      </c>
      <c r="R579" s="9">
        <f>STATS1003B!R602/1000</f>
        <v>0</v>
      </c>
      <c r="S579" s="9">
        <f>STATS1003B!S602/1000</f>
        <v>0</v>
      </c>
      <c r="T579" s="9">
        <f>STATS1003B!T602/1000</f>
        <v>0</v>
      </c>
      <c r="U579" s="9">
        <f>STATS1003B!U602/1000</f>
        <v>0</v>
      </c>
      <c r="V579" s="9">
        <f>STATS1003B!V602/1000</f>
        <v>300</v>
      </c>
      <c r="W579" s="9">
        <f>STATS1003B!W602/1000</f>
        <v>0</v>
      </c>
      <c r="X579" s="9">
        <f>STATS1003B!X602/1000</f>
        <v>300</v>
      </c>
      <c r="Y579" s="9">
        <f>STATS1003B!Y602/1000</f>
        <v>0</v>
      </c>
      <c r="Z579" s="9">
        <f>STATS1003B!Z602/1000</f>
        <v>0</v>
      </c>
      <c r="AA579" s="9">
        <f>STATS1003B!AA602/1000</f>
        <v>300</v>
      </c>
      <c r="AB579" s="9">
        <f>STATS1003B!AB602/1000</f>
        <v>0</v>
      </c>
    </row>
    <row r="580" spans="1:28" x14ac:dyDescent="0.35">
      <c r="A580" s="36"/>
      <c r="B580" s="8"/>
      <c r="C580" s="14" t="s">
        <v>930</v>
      </c>
      <c r="D580" s="21"/>
      <c r="E580" s="9">
        <f>STATS1003B!E603/1000</f>
        <v>855.56915000000004</v>
      </c>
      <c r="F580" s="9">
        <f>STATS1003B!F603/1000</f>
        <v>838.75401999999997</v>
      </c>
      <c r="G580" s="9">
        <f>STATS1003B!G603/1000</f>
        <v>0</v>
      </c>
      <c r="H580" s="9">
        <f>STATS1003B!H603/1000</f>
        <v>838.75401999999997</v>
      </c>
      <c r="I580" s="9">
        <f>STATS1003B!I603/1000</f>
        <v>0</v>
      </c>
      <c r="J580" s="9">
        <f>STATS1003B!J603/1000</f>
        <v>0</v>
      </c>
      <c r="K580" s="9">
        <f>STATS1003B!K603/1000</f>
        <v>0</v>
      </c>
      <c r="L580" s="9">
        <f>STATS1003B!L603/1000</f>
        <v>0</v>
      </c>
      <c r="M580" s="9">
        <f>STATS1003B!M603/1000</f>
        <v>838.75401999999997</v>
      </c>
      <c r="N580" s="9">
        <f>STATS1003B!N603/1000</f>
        <v>16.81513</v>
      </c>
      <c r="O580" s="9">
        <f>STATS1003B!O603/1000</f>
        <v>0</v>
      </c>
      <c r="P580" s="9">
        <f>STATS1003B!P603/1000</f>
        <v>16.81513</v>
      </c>
      <c r="Q580" s="9">
        <f>STATS1003B!Q603/1000</f>
        <v>0</v>
      </c>
      <c r="R580" s="9">
        <f>STATS1003B!R603/1000</f>
        <v>0</v>
      </c>
      <c r="S580" s="9">
        <f>STATS1003B!S603/1000</f>
        <v>0</v>
      </c>
      <c r="T580" s="9">
        <f>STATS1003B!T603/1000</f>
        <v>0</v>
      </c>
      <c r="U580" s="9">
        <f>STATS1003B!U603/1000</f>
        <v>16.81513</v>
      </c>
      <c r="V580" s="9">
        <f>STATS1003B!V603/1000</f>
        <v>855.56915000000004</v>
      </c>
      <c r="W580" s="9">
        <f>STATS1003B!W603/1000</f>
        <v>0</v>
      </c>
      <c r="X580" s="9">
        <f>STATS1003B!X603/1000</f>
        <v>855.56915000000004</v>
      </c>
      <c r="Y580" s="9">
        <f>STATS1003B!Y603/1000</f>
        <v>0</v>
      </c>
      <c r="Z580" s="9">
        <f>STATS1003B!Z603/1000</f>
        <v>0</v>
      </c>
      <c r="AA580" s="9">
        <f>STATS1003B!AA603/1000</f>
        <v>855.56915000000004</v>
      </c>
      <c r="AB580" s="9">
        <f>STATS1003B!AB603/1000</f>
        <v>0</v>
      </c>
    </row>
    <row r="581" spans="1:28" x14ac:dyDescent="0.35">
      <c r="A581" s="36"/>
      <c r="B581" s="8"/>
      <c r="C581" s="7" t="s">
        <v>193</v>
      </c>
      <c r="D581" s="15" t="s">
        <v>194</v>
      </c>
      <c r="E581" s="9">
        <f>STATS1003B!E604/1000</f>
        <v>4579</v>
      </c>
      <c r="F581" s="9">
        <f>STATS1003B!F604/1000</f>
        <v>4579</v>
      </c>
      <c r="G581" s="9">
        <f>STATS1003B!G604/1000</f>
        <v>0</v>
      </c>
      <c r="H581" s="9">
        <f>STATS1003B!H604/1000</f>
        <v>4579</v>
      </c>
      <c r="I581" s="9">
        <f>STATS1003B!I604/1000</f>
        <v>0</v>
      </c>
      <c r="J581" s="9">
        <f>STATS1003B!J604/1000</f>
        <v>0</v>
      </c>
      <c r="K581" s="9">
        <f>STATS1003B!K604/1000</f>
        <v>0</v>
      </c>
      <c r="L581" s="9">
        <f>STATS1003B!L604/1000</f>
        <v>0</v>
      </c>
      <c r="M581" s="9">
        <f>STATS1003B!M604/1000</f>
        <v>4579</v>
      </c>
      <c r="N581" s="9">
        <f>STATS1003B!N604/1000</f>
        <v>0</v>
      </c>
      <c r="O581" s="9">
        <f>STATS1003B!O604/1000</f>
        <v>0</v>
      </c>
      <c r="P581" s="9">
        <f>STATS1003B!P604/1000</f>
        <v>0</v>
      </c>
      <c r="Q581" s="9">
        <f>STATS1003B!Q604/1000</f>
        <v>0</v>
      </c>
      <c r="R581" s="9">
        <f>STATS1003B!R604/1000</f>
        <v>0</v>
      </c>
      <c r="S581" s="9">
        <f>STATS1003B!S604/1000</f>
        <v>0</v>
      </c>
      <c r="T581" s="9">
        <f>STATS1003B!T604/1000</f>
        <v>0</v>
      </c>
      <c r="U581" s="9">
        <f>STATS1003B!U604/1000</f>
        <v>0</v>
      </c>
      <c r="V581" s="9">
        <f>STATS1003B!V604/1000</f>
        <v>4579</v>
      </c>
      <c r="W581" s="9">
        <f>STATS1003B!W604/1000</f>
        <v>0</v>
      </c>
      <c r="X581" s="9">
        <f>STATS1003B!X604/1000</f>
        <v>4579</v>
      </c>
      <c r="Y581" s="9">
        <f>STATS1003B!Y604/1000</f>
        <v>0</v>
      </c>
      <c r="Z581" s="9">
        <f>STATS1003B!Z604/1000</f>
        <v>0</v>
      </c>
      <c r="AA581" s="9">
        <f>STATS1003B!AA604/1000</f>
        <v>4579</v>
      </c>
      <c r="AB581" s="9">
        <f>STATS1003B!AB604/1000</f>
        <v>0</v>
      </c>
    </row>
    <row r="582" spans="1:28" x14ac:dyDescent="0.35">
      <c r="A582" s="36"/>
      <c r="B582" s="8"/>
      <c r="C582" s="8"/>
      <c r="D582" s="8"/>
      <c r="E582" s="17" t="s">
        <v>29</v>
      </c>
      <c r="F582" s="17" t="s">
        <v>29</v>
      </c>
      <c r="G582" s="17" t="s">
        <v>29</v>
      </c>
      <c r="H582" s="17" t="s">
        <v>29</v>
      </c>
      <c r="I582" s="17" t="s">
        <v>29</v>
      </c>
      <c r="J582" s="17" t="s">
        <v>29</v>
      </c>
      <c r="K582" s="17" t="s">
        <v>29</v>
      </c>
      <c r="L582" s="17" t="s">
        <v>29</v>
      </c>
      <c r="M582" s="17" t="s">
        <v>29</v>
      </c>
      <c r="N582" s="17" t="s">
        <v>29</v>
      </c>
      <c r="O582" s="17" t="s">
        <v>29</v>
      </c>
      <c r="P582" s="17" t="s">
        <v>29</v>
      </c>
      <c r="Q582" s="17" t="s">
        <v>29</v>
      </c>
      <c r="R582" s="17" t="s">
        <v>29</v>
      </c>
      <c r="S582" s="17" t="s">
        <v>29</v>
      </c>
      <c r="T582" s="17" t="s">
        <v>29</v>
      </c>
      <c r="U582" s="17" t="s">
        <v>29</v>
      </c>
      <c r="V582" s="17" t="s">
        <v>29</v>
      </c>
      <c r="W582" s="17" t="s">
        <v>29</v>
      </c>
      <c r="X582" s="17" t="s">
        <v>29</v>
      </c>
      <c r="Y582" s="17" t="s">
        <v>29</v>
      </c>
      <c r="Z582" s="17" t="s">
        <v>29</v>
      </c>
      <c r="AA582" s="17" t="s">
        <v>29</v>
      </c>
      <c r="AB582" s="17" t="s">
        <v>29</v>
      </c>
    </row>
    <row r="583" spans="1:28" x14ac:dyDescent="0.35">
      <c r="A583" s="36"/>
      <c r="B583" s="8"/>
      <c r="C583" s="8"/>
      <c r="D583" s="8"/>
      <c r="E583" s="9">
        <f t="shared" ref="E583:AB583" si="38">SUM(E568:E581)</f>
        <v>196882.69553</v>
      </c>
      <c r="F583" s="9">
        <f t="shared" si="38"/>
        <v>114952.06304000001</v>
      </c>
      <c r="G583" s="9">
        <f t="shared" si="38"/>
        <v>0</v>
      </c>
      <c r="H583" s="9">
        <f t="shared" si="38"/>
        <v>114952.06304000001</v>
      </c>
      <c r="I583" s="9">
        <f t="shared" si="38"/>
        <v>0</v>
      </c>
      <c r="J583" s="9">
        <f t="shared" si="38"/>
        <v>0</v>
      </c>
      <c r="K583" s="9">
        <f t="shared" si="38"/>
        <v>0</v>
      </c>
      <c r="L583" s="9">
        <f t="shared" si="38"/>
        <v>0</v>
      </c>
      <c r="M583" s="9">
        <f t="shared" si="38"/>
        <v>114952.06304000001</v>
      </c>
      <c r="N583" s="9">
        <f t="shared" si="38"/>
        <v>5475.0104899999997</v>
      </c>
      <c r="O583" s="9">
        <f t="shared" si="38"/>
        <v>0</v>
      </c>
      <c r="P583" s="9">
        <f t="shared" si="38"/>
        <v>5475.0104899999997</v>
      </c>
      <c r="Q583" s="9">
        <f t="shared" si="38"/>
        <v>0</v>
      </c>
      <c r="R583" s="9">
        <f t="shared" si="38"/>
        <v>0</v>
      </c>
      <c r="S583" s="9">
        <f t="shared" si="38"/>
        <v>0</v>
      </c>
      <c r="T583" s="9">
        <f t="shared" si="38"/>
        <v>0</v>
      </c>
      <c r="U583" s="9">
        <f t="shared" si="38"/>
        <v>5475.0104899999997</v>
      </c>
      <c r="V583" s="9">
        <f t="shared" si="38"/>
        <v>120427.07353000001</v>
      </c>
      <c r="W583" s="9">
        <f t="shared" si="38"/>
        <v>76455.621999999988</v>
      </c>
      <c r="X583" s="9">
        <f t="shared" si="38"/>
        <v>120427.07353000001</v>
      </c>
      <c r="Y583" s="9">
        <f t="shared" si="38"/>
        <v>0</v>
      </c>
      <c r="Z583" s="9">
        <f t="shared" si="38"/>
        <v>76455.621999999988</v>
      </c>
      <c r="AA583" s="9">
        <f t="shared" si="38"/>
        <v>120427.07353000001</v>
      </c>
      <c r="AB583" s="9">
        <f t="shared" si="38"/>
        <v>76455.621999999988</v>
      </c>
    </row>
    <row r="584" spans="1:28" x14ac:dyDescent="0.35">
      <c r="A584" s="36"/>
      <c r="B584" s="8"/>
      <c r="C584" s="8"/>
      <c r="D584" s="8"/>
      <c r="E584" s="17" t="s">
        <v>29</v>
      </c>
      <c r="F584" s="17" t="s">
        <v>29</v>
      </c>
      <c r="G584" s="17" t="s">
        <v>29</v>
      </c>
      <c r="H584" s="17" t="s">
        <v>29</v>
      </c>
      <c r="I584" s="17" t="s">
        <v>29</v>
      </c>
      <c r="J584" s="17" t="s">
        <v>29</v>
      </c>
      <c r="K584" s="17" t="s">
        <v>29</v>
      </c>
      <c r="L584" s="17" t="s">
        <v>29</v>
      </c>
      <c r="M584" s="17" t="s">
        <v>29</v>
      </c>
      <c r="N584" s="17" t="s">
        <v>29</v>
      </c>
      <c r="O584" s="17" t="s">
        <v>29</v>
      </c>
      <c r="P584" s="17" t="s">
        <v>29</v>
      </c>
      <c r="Q584" s="17" t="s">
        <v>29</v>
      </c>
      <c r="R584" s="17" t="s">
        <v>29</v>
      </c>
      <c r="S584" s="17" t="s">
        <v>29</v>
      </c>
      <c r="T584" s="17" t="s">
        <v>29</v>
      </c>
      <c r="U584" s="17" t="s">
        <v>29</v>
      </c>
      <c r="V584" s="17" t="s">
        <v>29</v>
      </c>
      <c r="W584" s="17" t="s">
        <v>29</v>
      </c>
      <c r="X584" s="17" t="s">
        <v>29</v>
      </c>
      <c r="Y584" s="17" t="s">
        <v>29</v>
      </c>
      <c r="Z584" s="17" t="s">
        <v>29</v>
      </c>
      <c r="AA584" s="17" t="s">
        <v>29</v>
      </c>
      <c r="AB584" s="17" t="s">
        <v>29</v>
      </c>
    </row>
    <row r="585" spans="1:28" x14ac:dyDescent="0.35">
      <c r="A585" s="36"/>
      <c r="B585" s="8"/>
      <c r="C585" s="8"/>
      <c r="D585" s="8"/>
      <c r="E585" s="22">
        <v>191148126.38</v>
      </c>
      <c r="F585" s="22">
        <v>109234309.02</v>
      </c>
      <c r="G585" s="22"/>
      <c r="H585" s="22">
        <v>109234309.02</v>
      </c>
      <c r="I585" s="22"/>
      <c r="J585" s="22"/>
      <c r="K585" s="22"/>
      <c r="L585" s="22"/>
      <c r="M585" s="22">
        <v>109234309.02</v>
      </c>
      <c r="N585" s="22">
        <v>5458195.3600000003</v>
      </c>
      <c r="O585" s="22"/>
      <c r="P585" s="22">
        <v>5458195.3600000003</v>
      </c>
      <c r="Q585" s="22"/>
      <c r="R585" s="22"/>
      <c r="S585" s="22"/>
      <c r="T585" s="22"/>
      <c r="U585" s="22">
        <v>5458195.3600000003</v>
      </c>
      <c r="V585" s="22"/>
      <c r="W585" s="22"/>
      <c r="X585" s="22">
        <v>114692504.38</v>
      </c>
      <c r="Y585" s="22"/>
      <c r="Z585" s="22">
        <v>76455622</v>
      </c>
    </row>
    <row r="586" spans="1:28" x14ac:dyDescent="0.35">
      <c r="A586" s="38" t="s">
        <v>966</v>
      </c>
      <c r="B586" s="7" t="s">
        <v>195</v>
      </c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8" x14ac:dyDescent="0.35">
      <c r="A587" s="36"/>
      <c r="B587" s="8"/>
      <c r="C587" s="7" t="s">
        <v>149</v>
      </c>
      <c r="D587" s="21" t="s">
        <v>150</v>
      </c>
      <c r="E587" s="9">
        <f>STATS1003B!E610/1000</f>
        <v>2088.0790000000002</v>
      </c>
      <c r="F587" s="9">
        <f>STATS1003B!F610/1000</f>
        <v>2088.0790000000002</v>
      </c>
      <c r="G587" s="9">
        <f>STATS1003B!G610/1000</f>
        <v>0</v>
      </c>
      <c r="H587" s="9">
        <f>STATS1003B!H610/1000</f>
        <v>2088.0790000000002</v>
      </c>
      <c r="I587" s="9">
        <f>STATS1003B!I610/1000</f>
        <v>0</v>
      </c>
      <c r="J587" s="9">
        <f>STATS1003B!J610/1000</f>
        <v>0</v>
      </c>
      <c r="K587" s="9">
        <f>STATS1003B!K610/1000</f>
        <v>0</v>
      </c>
      <c r="L587" s="9">
        <f>STATS1003B!L610/1000</f>
        <v>0</v>
      </c>
      <c r="M587" s="9">
        <f>STATS1003B!M610/1000</f>
        <v>2088.0790000000002</v>
      </c>
      <c r="N587" s="9">
        <f>STATS1003B!N610/1000</f>
        <v>0</v>
      </c>
      <c r="O587" s="9">
        <f>STATS1003B!O610/1000</f>
        <v>0</v>
      </c>
      <c r="P587" s="9">
        <f>STATS1003B!P610/1000</f>
        <v>0</v>
      </c>
      <c r="Q587" s="9">
        <f>STATS1003B!Q610/1000</f>
        <v>0</v>
      </c>
      <c r="R587" s="9">
        <f>STATS1003B!R610/1000</f>
        <v>0</v>
      </c>
      <c r="S587" s="9">
        <f>STATS1003B!S610/1000</f>
        <v>0</v>
      </c>
      <c r="T587" s="9">
        <f>STATS1003B!T610/1000</f>
        <v>0</v>
      </c>
      <c r="U587" s="9">
        <f>STATS1003B!U610/1000</f>
        <v>0</v>
      </c>
      <c r="V587" s="9">
        <f>STATS1003B!V610/1000</f>
        <v>2088.0790000000002</v>
      </c>
      <c r="W587" s="9">
        <f>STATS1003B!W610/1000</f>
        <v>0</v>
      </c>
      <c r="X587" s="9">
        <f>STATS1003B!X610/1000</f>
        <v>2088.0790000000002</v>
      </c>
      <c r="Y587" s="9">
        <f>STATS1003B!Y610/1000</f>
        <v>0</v>
      </c>
      <c r="Z587" s="9">
        <f>STATS1003B!Z610/1000</f>
        <v>0</v>
      </c>
      <c r="AA587" s="9">
        <f>STATS1003B!AA610/1000</f>
        <v>2088.0790000000002</v>
      </c>
      <c r="AB587" s="9">
        <f>STATS1003B!AB610/1000</f>
        <v>0</v>
      </c>
    </row>
    <row r="588" spans="1:28" x14ac:dyDescent="0.35">
      <c r="A588" s="36"/>
      <c r="B588" s="8"/>
      <c r="C588" s="7" t="s">
        <v>151</v>
      </c>
      <c r="D588" s="21" t="s">
        <v>150</v>
      </c>
      <c r="E588" s="9">
        <f>STATS1003B!E611/1000</f>
        <v>27568.642969999997</v>
      </c>
      <c r="F588" s="9">
        <f>STATS1003B!F611/1000</f>
        <v>20245.05143</v>
      </c>
      <c r="G588" s="9">
        <f>STATS1003B!G611/1000</f>
        <v>0</v>
      </c>
      <c r="H588" s="9">
        <f>STATS1003B!H611/1000</f>
        <v>20245.05143</v>
      </c>
      <c r="I588" s="9">
        <f>STATS1003B!I611/1000</f>
        <v>0</v>
      </c>
      <c r="J588" s="9">
        <f>STATS1003B!J611/1000</f>
        <v>0</v>
      </c>
      <c r="K588" s="9">
        <f>STATS1003B!K611/1000</f>
        <v>0</v>
      </c>
      <c r="L588" s="9">
        <f>STATS1003B!L611/1000</f>
        <v>0</v>
      </c>
      <c r="M588" s="9">
        <f>STATS1003B!M611/1000</f>
        <v>20245.05143</v>
      </c>
      <c r="N588" s="9">
        <f>STATS1003B!N611/1000</f>
        <v>143.63325</v>
      </c>
      <c r="O588" s="9">
        <f>STATS1003B!O611/1000</f>
        <v>0</v>
      </c>
      <c r="P588" s="9">
        <f>STATS1003B!P611/1000</f>
        <v>143.63325</v>
      </c>
      <c r="Q588" s="9">
        <f>STATS1003B!Q611/1000</f>
        <v>0</v>
      </c>
      <c r="R588" s="9">
        <f>STATS1003B!R611/1000</f>
        <v>0</v>
      </c>
      <c r="S588" s="9">
        <f>STATS1003B!S611/1000</f>
        <v>0</v>
      </c>
      <c r="T588" s="9">
        <f>STATS1003B!T611/1000</f>
        <v>0</v>
      </c>
      <c r="U588" s="9">
        <f>STATS1003B!U611/1000</f>
        <v>143.63325</v>
      </c>
      <c r="V588" s="9">
        <f>STATS1003B!V611/1000</f>
        <v>20388.684679999998</v>
      </c>
      <c r="W588" s="9">
        <f>STATS1003B!W611/1000</f>
        <v>7179.9582899999987</v>
      </c>
      <c r="X588" s="9">
        <f>STATS1003B!X611/1000</f>
        <v>20388.684679999998</v>
      </c>
      <c r="Y588" s="9">
        <f>STATS1003B!Y611/1000</f>
        <v>0</v>
      </c>
      <c r="Z588" s="9">
        <f>STATS1003B!Z611/1000</f>
        <v>7179.9582899999987</v>
      </c>
      <c r="AA588" s="9">
        <f>STATS1003B!AA611/1000</f>
        <v>20388.684679999998</v>
      </c>
      <c r="AB588" s="9">
        <f>STATS1003B!AB611/1000</f>
        <v>7179.9582899999987</v>
      </c>
    </row>
    <row r="589" spans="1:28" x14ac:dyDescent="0.35">
      <c r="A589" s="36"/>
      <c r="B589" s="8"/>
      <c r="C589" s="7" t="s">
        <v>57</v>
      </c>
      <c r="D589" s="15" t="s">
        <v>196</v>
      </c>
      <c r="E589" s="9">
        <f>STATS1003B!E612/1000</f>
        <v>5932.9730599999994</v>
      </c>
      <c r="F589" s="9">
        <f>STATS1003B!F612/1000</f>
        <v>5932.9730599999994</v>
      </c>
      <c r="G589" s="9">
        <f>STATS1003B!G612/1000</f>
        <v>0</v>
      </c>
      <c r="H589" s="9">
        <f>STATS1003B!H612/1000</f>
        <v>5932.9730599999994</v>
      </c>
      <c r="I589" s="9">
        <f>STATS1003B!I612/1000</f>
        <v>0</v>
      </c>
      <c r="J589" s="9">
        <f>STATS1003B!J612/1000</f>
        <v>0</v>
      </c>
      <c r="K589" s="9">
        <f>STATS1003B!K612/1000</f>
        <v>0</v>
      </c>
      <c r="L589" s="9">
        <f>STATS1003B!L612/1000</f>
        <v>0</v>
      </c>
      <c r="M589" s="9">
        <f>STATS1003B!M612/1000</f>
        <v>5932.9730599999994</v>
      </c>
      <c r="N589" s="9">
        <f>STATS1003B!N612/1000</f>
        <v>0</v>
      </c>
      <c r="O589" s="9">
        <f>STATS1003B!O612/1000</f>
        <v>0</v>
      </c>
      <c r="P589" s="9">
        <f>STATS1003B!P612/1000</f>
        <v>0</v>
      </c>
      <c r="Q589" s="9">
        <f>STATS1003B!Q612/1000</f>
        <v>0</v>
      </c>
      <c r="R589" s="9">
        <f>STATS1003B!R612/1000</f>
        <v>0</v>
      </c>
      <c r="S589" s="9">
        <f>STATS1003B!S612/1000</f>
        <v>0</v>
      </c>
      <c r="T589" s="9">
        <f>STATS1003B!T612/1000</f>
        <v>0</v>
      </c>
      <c r="U589" s="9">
        <f>STATS1003B!U612/1000</f>
        <v>0</v>
      </c>
      <c r="V589" s="9">
        <f>STATS1003B!V612/1000</f>
        <v>5932.9730599999994</v>
      </c>
      <c r="W589" s="9">
        <f>STATS1003B!W612/1000</f>
        <v>0</v>
      </c>
      <c r="X589" s="9">
        <f>STATS1003B!X612/1000</f>
        <v>5932.9730599999994</v>
      </c>
      <c r="Y589" s="9">
        <f>STATS1003B!Y612/1000</f>
        <v>0</v>
      </c>
      <c r="Z589" s="9">
        <f>STATS1003B!Z612/1000</f>
        <v>0</v>
      </c>
      <c r="AA589" s="9">
        <f>STATS1003B!AA612/1000</f>
        <v>5932.9730599999994</v>
      </c>
      <c r="AB589" s="9">
        <f>STATS1003B!AB612/1000</f>
        <v>0</v>
      </c>
    </row>
    <row r="590" spans="1:28" x14ac:dyDescent="0.35">
      <c r="A590" s="36"/>
      <c r="B590" s="8"/>
      <c r="C590" s="7" t="s">
        <v>55</v>
      </c>
      <c r="D590" s="15" t="s">
        <v>54</v>
      </c>
      <c r="E590" s="9">
        <f>STATS1003B!E613/1000</f>
        <v>34.406999999999996</v>
      </c>
      <c r="F590" s="9">
        <f>STATS1003B!F613/1000</f>
        <v>0</v>
      </c>
      <c r="G590" s="9">
        <f>STATS1003B!G613/1000</f>
        <v>0</v>
      </c>
      <c r="H590" s="9">
        <f>STATS1003B!H613/1000</f>
        <v>0</v>
      </c>
      <c r="I590" s="9">
        <f>STATS1003B!I613/1000</f>
        <v>0</v>
      </c>
      <c r="J590" s="9">
        <f>STATS1003B!J613/1000</f>
        <v>0</v>
      </c>
      <c r="K590" s="9">
        <f>STATS1003B!K613/1000</f>
        <v>0</v>
      </c>
      <c r="L590" s="9">
        <f>STATS1003B!L613/1000</f>
        <v>0</v>
      </c>
      <c r="M590" s="9">
        <f>STATS1003B!M613/1000</f>
        <v>0</v>
      </c>
      <c r="N590" s="9">
        <f>STATS1003B!N613/1000</f>
        <v>34.406999999999996</v>
      </c>
      <c r="O590" s="9">
        <f>STATS1003B!O613/1000</f>
        <v>0</v>
      </c>
      <c r="P590" s="9">
        <f>STATS1003B!P613/1000</f>
        <v>34.406999999999996</v>
      </c>
      <c r="Q590" s="9">
        <f>STATS1003B!Q613/1000</f>
        <v>0</v>
      </c>
      <c r="R590" s="9">
        <f>STATS1003B!R613/1000</f>
        <v>0</v>
      </c>
      <c r="S590" s="9">
        <f>STATS1003B!S613/1000</f>
        <v>0</v>
      </c>
      <c r="T590" s="9">
        <f>STATS1003B!T613/1000</f>
        <v>0</v>
      </c>
      <c r="U590" s="9">
        <f>STATS1003B!U613/1000</f>
        <v>34.406999999999996</v>
      </c>
      <c r="V590" s="9">
        <f>STATS1003B!V613/1000</f>
        <v>34.406999999999996</v>
      </c>
      <c r="W590" s="9">
        <f>STATS1003B!W613/1000</f>
        <v>0</v>
      </c>
      <c r="X590" s="9">
        <f>STATS1003B!X613/1000</f>
        <v>34.406999999999996</v>
      </c>
      <c r="Y590" s="9">
        <f>STATS1003B!Y613/1000</f>
        <v>0</v>
      </c>
      <c r="Z590" s="9">
        <f>STATS1003B!Z613/1000</f>
        <v>0</v>
      </c>
      <c r="AA590" s="9">
        <f>STATS1003B!AA613/1000</f>
        <v>34.406999999999996</v>
      </c>
      <c r="AB590" s="9">
        <f>STATS1003B!AB613/1000</f>
        <v>0</v>
      </c>
    </row>
    <row r="591" spans="1:28" x14ac:dyDescent="0.35">
      <c r="A591" s="36"/>
      <c r="B591" s="8"/>
      <c r="C591" s="7" t="s">
        <v>53</v>
      </c>
      <c r="D591" s="15" t="s">
        <v>85</v>
      </c>
      <c r="E591" s="9">
        <f>STATS1003B!E614/1000</f>
        <v>1767.77</v>
      </c>
      <c r="F591" s="9">
        <f>STATS1003B!F614/1000</f>
        <v>0</v>
      </c>
      <c r="G591" s="9">
        <f>STATS1003B!G614/1000</f>
        <v>0</v>
      </c>
      <c r="H591" s="9">
        <f>STATS1003B!H614/1000</f>
        <v>0</v>
      </c>
      <c r="I591" s="9">
        <f>STATS1003B!I614/1000</f>
        <v>0</v>
      </c>
      <c r="J591" s="9">
        <f>STATS1003B!J614/1000</f>
        <v>0</v>
      </c>
      <c r="K591" s="9">
        <f>STATS1003B!K614/1000</f>
        <v>0</v>
      </c>
      <c r="L591" s="9">
        <f>STATS1003B!L614/1000</f>
        <v>0</v>
      </c>
      <c r="M591" s="9">
        <f>STATS1003B!M614/1000</f>
        <v>0</v>
      </c>
      <c r="N591" s="9">
        <f>STATS1003B!N614/1000</f>
        <v>1767.77</v>
      </c>
      <c r="O591" s="9">
        <f>STATS1003B!O614/1000</f>
        <v>0</v>
      </c>
      <c r="P591" s="9">
        <f>STATS1003B!P614/1000</f>
        <v>1767.77</v>
      </c>
      <c r="Q591" s="9">
        <f>STATS1003B!Q614/1000</f>
        <v>0</v>
      </c>
      <c r="R591" s="9">
        <f>STATS1003B!R614/1000</f>
        <v>0</v>
      </c>
      <c r="S591" s="9">
        <f>STATS1003B!S614/1000</f>
        <v>0</v>
      </c>
      <c r="T591" s="9">
        <f>STATS1003B!T614/1000</f>
        <v>0</v>
      </c>
      <c r="U591" s="9">
        <f>STATS1003B!U614/1000</f>
        <v>1767.77</v>
      </c>
      <c r="V591" s="9">
        <f>STATS1003B!V614/1000</f>
        <v>1767.77</v>
      </c>
      <c r="W591" s="9">
        <f>STATS1003B!W614/1000</f>
        <v>0</v>
      </c>
      <c r="X591" s="9">
        <f>STATS1003B!X614/1000</f>
        <v>1767.77</v>
      </c>
      <c r="Y591" s="9">
        <f>STATS1003B!Y614/1000</f>
        <v>0</v>
      </c>
      <c r="Z591" s="9">
        <f>STATS1003B!Z614/1000</f>
        <v>0</v>
      </c>
      <c r="AA591" s="9">
        <f>STATS1003B!AA614/1000</f>
        <v>1767.77</v>
      </c>
      <c r="AB591" s="9">
        <f>STATS1003B!AB614/1000</f>
        <v>0</v>
      </c>
    </row>
    <row r="592" spans="1:28" x14ac:dyDescent="0.35">
      <c r="A592" s="36"/>
      <c r="B592" s="8"/>
      <c r="C592" s="7" t="s">
        <v>147</v>
      </c>
      <c r="D592" s="15" t="s">
        <v>85</v>
      </c>
      <c r="E592" s="9">
        <f>STATS1003B!E615/1000</f>
        <v>270.3</v>
      </c>
      <c r="F592" s="9">
        <f>STATS1003B!F615/1000</f>
        <v>0</v>
      </c>
      <c r="G592" s="9">
        <f>STATS1003B!G615/1000</f>
        <v>0</v>
      </c>
      <c r="H592" s="9">
        <f>STATS1003B!H615/1000</f>
        <v>0</v>
      </c>
      <c r="I592" s="9">
        <f>STATS1003B!I615/1000</f>
        <v>0</v>
      </c>
      <c r="J592" s="9">
        <f>STATS1003B!J615/1000</f>
        <v>0</v>
      </c>
      <c r="K592" s="9">
        <f>STATS1003B!K615/1000</f>
        <v>0</v>
      </c>
      <c r="L592" s="9">
        <f>STATS1003B!L615/1000</f>
        <v>0</v>
      </c>
      <c r="M592" s="9">
        <f>STATS1003B!M615/1000</f>
        <v>0</v>
      </c>
      <c r="N592" s="9">
        <f>STATS1003B!N615/1000</f>
        <v>270.3</v>
      </c>
      <c r="O592" s="9">
        <f>STATS1003B!O615/1000</f>
        <v>0</v>
      </c>
      <c r="P592" s="9">
        <f>STATS1003B!P615/1000</f>
        <v>270.3</v>
      </c>
      <c r="Q592" s="9">
        <f>STATS1003B!Q615/1000</f>
        <v>0</v>
      </c>
      <c r="R592" s="9">
        <f>STATS1003B!R615/1000</f>
        <v>0</v>
      </c>
      <c r="S592" s="9">
        <f>STATS1003B!S615/1000</f>
        <v>0</v>
      </c>
      <c r="T592" s="9">
        <f>STATS1003B!T615/1000</f>
        <v>0</v>
      </c>
      <c r="U592" s="9">
        <f>STATS1003B!U615/1000</f>
        <v>270.3</v>
      </c>
      <c r="V592" s="9">
        <f>STATS1003B!V615/1000</f>
        <v>270.3</v>
      </c>
      <c r="W592" s="9">
        <f>STATS1003B!W615/1000</f>
        <v>0</v>
      </c>
      <c r="X592" s="9">
        <f>STATS1003B!X615/1000</f>
        <v>270.3</v>
      </c>
      <c r="Y592" s="9">
        <f>STATS1003B!Y615/1000</f>
        <v>0</v>
      </c>
      <c r="Z592" s="9">
        <f>STATS1003B!Z615/1000</f>
        <v>0</v>
      </c>
      <c r="AA592" s="9">
        <f>STATS1003B!AA615/1000</f>
        <v>270.3</v>
      </c>
      <c r="AB592" s="9">
        <f>STATS1003B!AB615/1000</f>
        <v>0</v>
      </c>
    </row>
    <row r="593" spans="1:28" x14ac:dyDescent="0.35">
      <c r="A593" s="36"/>
      <c r="B593" s="8"/>
      <c r="C593" s="7" t="s">
        <v>197</v>
      </c>
      <c r="D593" s="15" t="s">
        <v>85</v>
      </c>
      <c r="E593" s="9">
        <f>STATS1003B!E616/1000</f>
        <v>1200</v>
      </c>
      <c r="F593" s="9">
        <f>STATS1003B!F616/1000</f>
        <v>1200</v>
      </c>
      <c r="G593" s="9">
        <f>STATS1003B!G616/1000</f>
        <v>0</v>
      </c>
      <c r="H593" s="9">
        <f>STATS1003B!H616/1000</f>
        <v>1200</v>
      </c>
      <c r="I593" s="9">
        <f>STATS1003B!I616/1000</f>
        <v>0</v>
      </c>
      <c r="J593" s="9">
        <f>STATS1003B!J616/1000</f>
        <v>0</v>
      </c>
      <c r="K593" s="9">
        <f>STATS1003B!K616/1000</f>
        <v>0</v>
      </c>
      <c r="L593" s="9">
        <f>STATS1003B!L616/1000</f>
        <v>0</v>
      </c>
      <c r="M593" s="9">
        <f>STATS1003B!M616/1000</f>
        <v>1200</v>
      </c>
      <c r="N593" s="9">
        <f>STATS1003B!N616/1000</f>
        <v>0</v>
      </c>
      <c r="O593" s="9">
        <f>STATS1003B!O616/1000</f>
        <v>0</v>
      </c>
      <c r="P593" s="9">
        <f>STATS1003B!P616/1000</f>
        <v>0</v>
      </c>
      <c r="Q593" s="9">
        <f>STATS1003B!Q616/1000</f>
        <v>0</v>
      </c>
      <c r="R593" s="9">
        <f>STATS1003B!R616/1000</f>
        <v>0</v>
      </c>
      <c r="S593" s="9">
        <f>STATS1003B!S616/1000</f>
        <v>0</v>
      </c>
      <c r="T593" s="9">
        <f>STATS1003B!T616/1000</f>
        <v>0</v>
      </c>
      <c r="U593" s="9">
        <f>STATS1003B!U616/1000</f>
        <v>0</v>
      </c>
      <c r="V593" s="9">
        <f>STATS1003B!V616/1000</f>
        <v>1200</v>
      </c>
      <c r="W593" s="9">
        <f>STATS1003B!W616/1000</f>
        <v>0</v>
      </c>
      <c r="X593" s="9">
        <f>STATS1003B!X616/1000</f>
        <v>1200</v>
      </c>
      <c r="Y593" s="9">
        <f>STATS1003B!Y616/1000</f>
        <v>0</v>
      </c>
      <c r="Z593" s="9">
        <f>STATS1003B!Z616/1000</f>
        <v>0</v>
      </c>
      <c r="AA593" s="9">
        <f>STATS1003B!AA616/1000</f>
        <v>1200</v>
      </c>
      <c r="AB593" s="9">
        <f>STATS1003B!AB616/1000</f>
        <v>0</v>
      </c>
    </row>
    <row r="594" spans="1:28" x14ac:dyDescent="0.35">
      <c r="A594" s="36"/>
      <c r="B594" s="8"/>
      <c r="C594" s="7" t="s">
        <v>57</v>
      </c>
      <c r="D594" s="15" t="s">
        <v>58</v>
      </c>
      <c r="E594" s="9">
        <f>STATS1003B!E617/1000</f>
        <v>5562.6350000000002</v>
      </c>
      <c r="F594" s="9">
        <f>STATS1003B!F617/1000</f>
        <v>5562.6350000000002</v>
      </c>
      <c r="G594" s="9">
        <f>STATS1003B!G617/1000</f>
        <v>0</v>
      </c>
      <c r="H594" s="9">
        <f>STATS1003B!H617/1000</f>
        <v>5562.6350000000002</v>
      </c>
      <c r="I594" s="9">
        <f>STATS1003B!I617/1000</f>
        <v>0</v>
      </c>
      <c r="J594" s="9">
        <f>STATS1003B!J617/1000</f>
        <v>0</v>
      </c>
      <c r="K594" s="9">
        <f>STATS1003B!K617/1000</f>
        <v>0</v>
      </c>
      <c r="L594" s="9">
        <f>STATS1003B!L617/1000</f>
        <v>0</v>
      </c>
      <c r="M594" s="9">
        <f>STATS1003B!M617/1000</f>
        <v>5562.6350000000002</v>
      </c>
      <c r="N594" s="9">
        <f>STATS1003B!N617/1000</f>
        <v>0</v>
      </c>
      <c r="O594" s="9">
        <f>STATS1003B!O617/1000</f>
        <v>0</v>
      </c>
      <c r="P594" s="9">
        <f>STATS1003B!P617/1000</f>
        <v>0</v>
      </c>
      <c r="Q594" s="9">
        <f>STATS1003B!Q617/1000</f>
        <v>0</v>
      </c>
      <c r="R594" s="9">
        <f>STATS1003B!R617/1000</f>
        <v>0</v>
      </c>
      <c r="S594" s="9">
        <f>STATS1003B!S617/1000</f>
        <v>0</v>
      </c>
      <c r="T594" s="9">
        <f>STATS1003B!T617/1000</f>
        <v>0</v>
      </c>
      <c r="U594" s="9">
        <f>STATS1003B!U617/1000</f>
        <v>0</v>
      </c>
      <c r="V594" s="9">
        <f>STATS1003B!V617/1000</f>
        <v>5562.6350000000002</v>
      </c>
      <c r="W594" s="9">
        <f>STATS1003B!W617/1000</f>
        <v>0</v>
      </c>
      <c r="X594" s="9">
        <f>STATS1003B!X617/1000</f>
        <v>5562.6350000000002</v>
      </c>
      <c r="Y594" s="9">
        <f>STATS1003B!Y617/1000</f>
        <v>0</v>
      </c>
      <c r="Z594" s="9">
        <f>STATS1003B!Z617/1000</f>
        <v>0</v>
      </c>
      <c r="AA594" s="9">
        <f>STATS1003B!AA617/1000</f>
        <v>5562.6350000000002</v>
      </c>
      <c r="AB594" s="9">
        <f>STATS1003B!AB617/1000</f>
        <v>0</v>
      </c>
    </row>
    <row r="595" spans="1:28" x14ac:dyDescent="0.35">
      <c r="A595" s="36"/>
      <c r="B595" s="8"/>
      <c r="C595" s="14" t="s">
        <v>109</v>
      </c>
      <c r="D595" s="21" t="s">
        <v>60</v>
      </c>
      <c r="E595" s="9">
        <f>STATS1003B!E618/1000</f>
        <v>4978.3924799999995</v>
      </c>
      <c r="F595" s="9">
        <f>STATS1003B!F618/1000</f>
        <v>4978.3924799999995</v>
      </c>
      <c r="G595" s="9">
        <f>STATS1003B!G618/1000</f>
        <v>0</v>
      </c>
      <c r="H595" s="9">
        <f>STATS1003B!H618/1000</f>
        <v>4978.3924799999995</v>
      </c>
      <c r="I595" s="9">
        <f>STATS1003B!I618/1000</f>
        <v>0</v>
      </c>
      <c r="J595" s="9">
        <f>STATS1003B!J618/1000</f>
        <v>0</v>
      </c>
      <c r="K595" s="9">
        <f>STATS1003B!K618/1000</f>
        <v>0</v>
      </c>
      <c r="L595" s="9">
        <f>STATS1003B!L618/1000</f>
        <v>0</v>
      </c>
      <c r="M595" s="9">
        <f>STATS1003B!M618/1000</f>
        <v>4978.3924799999995</v>
      </c>
      <c r="N595" s="9">
        <f>STATS1003B!N618/1000</f>
        <v>0</v>
      </c>
      <c r="O595" s="9">
        <f>STATS1003B!O618/1000</f>
        <v>0</v>
      </c>
      <c r="P595" s="9">
        <f>STATS1003B!P618/1000</f>
        <v>0</v>
      </c>
      <c r="Q595" s="9">
        <f>STATS1003B!Q618/1000</f>
        <v>0</v>
      </c>
      <c r="R595" s="9">
        <f>STATS1003B!R618/1000</f>
        <v>0</v>
      </c>
      <c r="S595" s="9">
        <f>STATS1003B!S618/1000</f>
        <v>0</v>
      </c>
      <c r="T595" s="9">
        <f>STATS1003B!T618/1000</f>
        <v>0</v>
      </c>
      <c r="U595" s="9">
        <f>STATS1003B!U618/1000</f>
        <v>0</v>
      </c>
      <c r="V595" s="9">
        <f>STATS1003B!V618/1000</f>
        <v>4978.3924799999995</v>
      </c>
      <c r="W595" s="9">
        <f>STATS1003B!W618/1000</f>
        <v>0</v>
      </c>
      <c r="X595" s="9">
        <f>STATS1003B!X618/1000</f>
        <v>4978.3924799999995</v>
      </c>
      <c r="Y595" s="9">
        <f>STATS1003B!Y618/1000</f>
        <v>0</v>
      </c>
      <c r="Z595" s="9">
        <f>STATS1003B!Z618/1000</f>
        <v>0</v>
      </c>
      <c r="AA595" s="9">
        <f>STATS1003B!AA618/1000</f>
        <v>4978.3924799999995</v>
      </c>
      <c r="AB595" s="9">
        <f>STATS1003B!AB618/1000</f>
        <v>0</v>
      </c>
    </row>
    <row r="596" spans="1:28" x14ac:dyDescent="0.35">
      <c r="A596" s="36"/>
      <c r="B596" s="8"/>
      <c r="C596" s="14" t="s">
        <v>1076</v>
      </c>
      <c r="D596" s="24" t="s">
        <v>1072</v>
      </c>
      <c r="E596" s="9">
        <f>STATS1003B!E619/1000</f>
        <v>300</v>
      </c>
      <c r="F596" s="9">
        <f>STATS1003B!F619/1000</f>
        <v>300</v>
      </c>
      <c r="G596" s="9">
        <f>STATS1003B!G619/1000</f>
        <v>0</v>
      </c>
      <c r="H596" s="9">
        <f>STATS1003B!H619/1000</f>
        <v>300</v>
      </c>
      <c r="I596" s="9">
        <f>STATS1003B!I619/1000</f>
        <v>0</v>
      </c>
      <c r="J596" s="9">
        <f>STATS1003B!J619/1000</f>
        <v>0</v>
      </c>
      <c r="K596" s="9">
        <f>STATS1003B!K619/1000</f>
        <v>0</v>
      </c>
      <c r="L596" s="9">
        <f>STATS1003B!L619/1000</f>
        <v>0</v>
      </c>
      <c r="M596" s="9">
        <f>STATS1003B!M619/1000</f>
        <v>300</v>
      </c>
      <c r="N596" s="9">
        <f>STATS1003B!N619/1000</f>
        <v>0</v>
      </c>
      <c r="O596" s="9">
        <f>STATS1003B!O619/1000</f>
        <v>0</v>
      </c>
      <c r="P596" s="9">
        <f>STATS1003B!P619/1000</f>
        <v>0</v>
      </c>
      <c r="Q596" s="9">
        <f>STATS1003B!Q619/1000</f>
        <v>0</v>
      </c>
      <c r="R596" s="9">
        <f>STATS1003B!R619/1000</f>
        <v>0</v>
      </c>
      <c r="S596" s="9">
        <f>STATS1003B!S619/1000</f>
        <v>0</v>
      </c>
      <c r="T596" s="9">
        <f>STATS1003B!T619/1000</f>
        <v>0</v>
      </c>
      <c r="U596" s="9">
        <f>STATS1003B!U619/1000</f>
        <v>0</v>
      </c>
      <c r="V596" s="9">
        <f>STATS1003B!V619/1000</f>
        <v>300</v>
      </c>
      <c r="W596" s="9">
        <f>STATS1003B!W619/1000</f>
        <v>0</v>
      </c>
      <c r="X596" s="9">
        <f>STATS1003B!X619/1000</f>
        <v>300</v>
      </c>
      <c r="Y596" s="9">
        <f>STATS1003B!Y619/1000</f>
        <v>0</v>
      </c>
      <c r="Z596" s="9">
        <f>STATS1003B!Z619/1000</f>
        <v>0</v>
      </c>
      <c r="AA596" s="9">
        <f>STATS1003B!AA619/1000</f>
        <v>300</v>
      </c>
      <c r="AB596" s="9">
        <f>STATS1003B!AB619/1000</f>
        <v>0</v>
      </c>
    </row>
    <row r="597" spans="1:28" x14ac:dyDescent="0.35">
      <c r="A597" s="36"/>
      <c r="B597" s="8"/>
      <c r="C597" s="14" t="s">
        <v>1092</v>
      </c>
      <c r="D597" s="24" t="s">
        <v>1072</v>
      </c>
      <c r="E597" s="9">
        <f>STATS1003B!E620/1000</f>
        <v>239.13757000000001</v>
      </c>
      <c r="F597" s="9">
        <f>STATS1003B!F620/1000</f>
        <v>239.13757000000001</v>
      </c>
      <c r="G597" s="9">
        <f>STATS1003B!G620/1000</f>
        <v>0</v>
      </c>
      <c r="H597" s="9">
        <f>STATS1003B!H620/1000</f>
        <v>239.13757000000001</v>
      </c>
      <c r="I597" s="9">
        <f>STATS1003B!I620/1000</f>
        <v>0</v>
      </c>
      <c r="J597" s="9">
        <f>STATS1003B!J620/1000</f>
        <v>0</v>
      </c>
      <c r="K597" s="9">
        <f>STATS1003B!K620/1000</f>
        <v>0</v>
      </c>
      <c r="L597" s="9">
        <f>STATS1003B!L620/1000</f>
        <v>0</v>
      </c>
      <c r="M597" s="9">
        <f>STATS1003B!M620/1000</f>
        <v>239.13757000000001</v>
      </c>
      <c r="N597" s="9">
        <f>STATS1003B!N620/1000</f>
        <v>0</v>
      </c>
      <c r="O597" s="9">
        <f>STATS1003B!O620/1000</f>
        <v>0</v>
      </c>
      <c r="P597" s="9">
        <f>STATS1003B!P620/1000</f>
        <v>0</v>
      </c>
      <c r="Q597" s="9">
        <f>STATS1003B!Q620/1000</f>
        <v>0</v>
      </c>
      <c r="R597" s="9">
        <f>STATS1003B!R620/1000</f>
        <v>0</v>
      </c>
      <c r="S597" s="9">
        <f>STATS1003B!S620/1000</f>
        <v>0</v>
      </c>
      <c r="T597" s="9">
        <f>STATS1003B!T620/1000</f>
        <v>0</v>
      </c>
      <c r="U597" s="9">
        <f>STATS1003B!U620/1000</f>
        <v>0</v>
      </c>
      <c r="V597" s="9">
        <f>STATS1003B!V620/1000</f>
        <v>239.13757000000001</v>
      </c>
      <c r="W597" s="9">
        <f>STATS1003B!W620/1000</f>
        <v>0</v>
      </c>
      <c r="X597" s="9">
        <f>STATS1003B!X620/1000</f>
        <v>239.13757000000001</v>
      </c>
      <c r="Y597" s="9">
        <f>STATS1003B!Y620/1000</f>
        <v>0</v>
      </c>
      <c r="Z597" s="9">
        <f>STATS1003B!Z620/1000</f>
        <v>0</v>
      </c>
      <c r="AA597" s="9">
        <f>STATS1003B!AA620/1000</f>
        <v>239.13757000000001</v>
      </c>
      <c r="AB597" s="9">
        <f>STATS1003B!AB620/1000</f>
        <v>0</v>
      </c>
    </row>
    <row r="598" spans="1:28" x14ac:dyDescent="0.35">
      <c r="A598" s="36"/>
      <c r="B598" s="8"/>
      <c r="C598" s="7" t="s">
        <v>57</v>
      </c>
      <c r="D598" s="24" t="s">
        <v>61</v>
      </c>
      <c r="E598" s="9">
        <f>STATS1003B!E622/1000</f>
        <v>320.14792</v>
      </c>
      <c r="F598" s="9">
        <f>STATS1003B!F622/1000</f>
        <v>320.14792</v>
      </c>
      <c r="G598" s="9">
        <f>STATS1003B!G622/1000</f>
        <v>0</v>
      </c>
      <c r="H598" s="9">
        <f>STATS1003B!H622/1000</f>
        <v>320.14792</v>
      </c>
      <c r="I598" s="9">
        <f>STATS1003B!I622/1000</f>
        <v>0</v>
      </c>
      <c r="J598" s="9">
        <f>STATS1003B!J622/1000</f>
        <v>0</v>
      </c>
      <c r="K598" s="9">
        <f>STATS1003B!K622/1000</f>
        <v>0</v>
      </c>
      <c r="L598" s="9">
        <f>STATS1003B!L622/1000</f>
        <v>0</v>
      </c>
      <c r="M598" s="9">
        <f>STATS1003B!M622/1000</f>
        <v>320.14792</v>
      </c>
      <c r="N598" s="9">
        <f>STATS1003B!N622/1000</f>
        <v>0</v>
      </c>
      <c r="O598" s="9">
        <f>STATS1003B!O622/1000</f>
        <v>0</v>
      </c>
      <c r="P598" s="9">
        <f>STATS1003B!P622/1000</f>
        <v>0</v>
      </c>
      <c r="Q598" s="9">
        <f>STATS1003B!Q622/1000</f>
        <v>0</v>
      </c>
      <c r="R598" s="9">
        <f>STATS1003B!R622/1000</f>
        <v>0</v>
      </c>
      <c r="S598" s="9">
        <f>STATS1003B!S622/1000</f>
        <v>0</v>
      </c>
      <c r="T598" s="9">
        <f>STATS1003B!T622/1000</f>
        <v>0</v>
      </c>
      <c r="U598" s="9">
        <f>STATS1003B!U622/1000</f>
        <v>0</v>
      </c>
      <c r="V598" s="9">
        <f>STATS1003B!V622/1000</f>
        <v>320.14792</v>
      </c>
      <c r="W598" s="9">
        <f>STATS1003B!W622/1000</f>
        <v>0</v>
      </c>
      <c r="X598" s="9">
        <f>STATS1003B!X622/1000</f>
        <v>320.14792</v>
      </c>
      <c r="Y598" s="9">
        <f>STATS1003B!Y622/1000</f>
        <v>0</v>
      </c>
      <c r="Z598" s="9">
        <f>STATS1003B!Z622/1000</f>
        <v>0</v>
      </c>
      <c r="AA598" s="9">
        <f>STATS1003B!AA622/1000</f>
        <v>320.14792</v>
      </c>
      <c r="AB598" s="9">
        <f>STATS1003B!AB622/1000</f>
        <v>0</v>
      </c>
    </row>
    <row r="599" spans="1:28" x14ac:dyDescent="0.35">
      <c r="A599" s="36"/>
      <c r="B599" s="8"/>
      <c r="C599" s="8"/>
      <c r="D599" s="8"/>
      <c r="E599" s="17" t="s">
        <v>29</v>
      </c>
      <c r="F599" s="17" t="s">
        <v>29</v>
      </c>
      <c r="G599" s="17" t="s">
        <v>29</v>
      </c>
      <c r="H599" s="17" t="s">
        <v>29</v>
      </c>
      <c r="I599" s="17" t="s">
        <v>29</v>
      </c>
      <c r="J599" s="17" t="s">
        <v>29</v>
      </c>
      <c r="K599" s="17" t="s">
        <v>29</v>
      </c>
      <c r="L599" s="17" t="s">
        <v>29</v>
      </c>
      <c r="M599" s="17" t="s">
        <v>29</v>
      </c>
      <c r="N599" s="17" t="s">
        <v>29</v>
      </c>
      <c r="O599" s="17" t="s">
        <v>29</v>
      </c>
      <c r="P599" s="17" t="s">
        <v>29</v>
      </c>
      <c r="Q599" s="17" t="s">
        <v>29</v>
      </c>
      <c r="R599" s="17" t="s">
        <v>29</v>
      </c>
      <c r="S599" s="17" t="s">
        <v>29</v>
      </c>
      <c r="T599" s="17" t="s">
        <v>29</v>
      </c>
      <c r="U599" s="17" t="s">
        <v>29</v>
      </c>
      <c r="V599" s="17" t="s">
        <v>29</v>
      </c>
      <c r="W599" s="17" t="s">
        <v>29</v>
      </c>
      <c r="X599" s="17" t="s">
        <v>29</v>
      </c>
      <c r="Y599" s="17" t="s">
        <v>29</v>
      </c>
      <c r="Z599" s="17" t="s">
        <v>29</v>
      </c>
      <c r="AA599" s="17" t="s">
        <v>29</v>
      </c>
      <c r="AB599" s="17" t="s">
        <v>29</v>
      </c>
    </row>
    <row r="600" spans="1:28" x14ac:dyDescent="0.35">
      <c r="A600" s="36"/>
      <c r="B600" s="8"/>
      <c r="C600" s="8"/>
      <c r="D600" s="8"/>
      <c r="E600" s="9">
        <f t="shared" ref="E600:AB600" si="39">SUM(E587:E598)</f>
        <v>50262.485000000001</v>
      </c>
      <c r="F600" s="9">
        <f t="shared" si="39"/>
        <v>40866.416460000008</v>
      </c>
      <c r="G600" s="9">
        <f t="shared" si="39"/>
        <v>0</v>
      </c>
      <c r="H600" s="9">
        <f t="shared" si="39"/>
        <v>40866.416460000008</v>
      </c>
      <c r="I600" s="9">
        <f t="shared" si="39"/>
        <v>0</v>
      </c>
      <c r="J600" s="9">
        <f t="shared" si="39"/>
        <v>0</v>
      </c>
      <c r="K600" s="9">
        <f t="shared" si="39"/>
        <v>0</v>
      </c>
      <c r="L600" s="9">
        <f t="shared" si="39"/>
        <v>0</v>
      </c>
      <c r="M600" s="9">
        <f t="shared" si="39"/>
        <v>40866.416460000008</v>
      </c>
      <c r="N600" s="9">
        <f t="shared" si="39"/>
        <v>2216.1102500000002</v>
      </c>
      <c r="O600" s="9">
        <f t="shared" si="39"/>
        <v>0</v>
      </c>
      <c r="P600" s="9">
        <f t="shared" si="39"/>
        <v>2216.1102500000002</v>
      </c>
      <c r="Q600" s="9">
        <f t="shared" si="39"/>
        <v>0</v>
      </c>
      <c r="R600" s="9">
        <f t="shared" si="39"/>
        <v>0</v>
      </c>
      <c r="S600" s="9">
        <f t="shared" si="39"/>
        <v>0</v>
      </c>
      <c r="T600" s="9">
        <f t="shared" si="39"/>
        <v>0</v>
      </c>
      <c r="U600" s="9">
        <f t="shared" si="39"/>
        <v>2216.1102500000002</v>
      </c>
      <c r="V600" s="9">
        <f t="shared" si="39"/>
        <v>43082.526710000006</v>
      </c>
      <c r="W600" s="9">
        <f t="shared" si="39"/>
        <v>7179.9582899999987</v>
      </c>
      <c r="X600" s="9">
        <f t="shared" si="39"/>
        <v>43082.526710000006</v>
      </c>
      <c r="Y600" s="9">
        <f t="shared" si="39"/>
        <v>0</v>
      </c>
      <c r="Z600" s="9">
        <f t="shared" si="39"/>
        <v>7179.9582899999987</v>
      </c>
      <c r="AA600" s="9">
        <f t="shared" si="39"/>
        <v>43082.526710000006</v>
      </c>
      <c r="AB600" s="9">
        <f t="shared" si="39"/>
        <v>7179.9582899999987</v>
      </c>
    </row>
    <row r="601" spans="1:28" x14ac:dyDescent="0.35">
      <c r="A601" s="36"/>
      <c r="B601" s="8"/>
      <c r="C601" s="8"/>
      <c r="D601" s="8"/>
      <c r="E601" s="17" t="s">
        <v>29</v>
      </c>
      <c r="F601" s="17" t="s">
        <v>29</v>
      </c>
      <c r="G601" s="17" t="s">
        <v>29</v>
      </c>
      <c r="H601" s="17" t="s">
        <v>29</v>
      </c>
      <c r="I601" s="17" t="s">
        <v>29</v>
      </c>
      <c r="J601" s="17" t="s">
        <v>29</v>
      </c>
      <c r="K601" s="17" t="s">
        <v>29</v>
      </c>
      <c r="L601" s="17" t="s">
        <v>29</v>
      </c>
      <c r="M601" s="17" t="s">
        <v>29</v>
      </c>
      <c r="N601" s="17" t="s">
        <v>29</v>
      </c>
      <c r="O601" s="17" t="s">
        <v>29</v>
      </c>
      <c r="P601" s="17" t="s">
        <v>29</v>
      </c>
      <c r="Q601" s="17" t="s">
        <v>29</v>
      </c>
      <c r="R601" s="17" t="s">
        <v>29</v>
      </c>
      <c r="S601" s="17" t="s">
        <v>29</v>
      </c>
      <c r="T601" s="17" t="s">
        <v>29</v>
      </c>
      <c r="U601" s="17" t="s">
        <v>29</v>
      </c>
      <c r="V601" s="17" t="s">
        <v>29</v>
      </c>
      <c r="W601" s="17" t="s">
        <v>29</v>
      </c>
      <c r="X601" s="17" t="s">
        <v>29</v>
      </c>
      <c r="Y601" s="17" t="s">
        <v>29</v>
      </c>
      <c r="Z601" s="17" t="s">
        <v>29</v>
      </c>
      <c r="AA601" s="17" t="s">
        <v>29</v>
      </c>
      <c r="AB601" s="17" t="s">
        <v>29</v>
      </c>
    </row>
    <row r="602" spans="1:28" x14ac:dyDescent="0.35">
      <c r="A602" s="38" t="s">
        <v>967</v>
      </c>
      <c r="B602" s="7" t="s">
        <v>198</v>
      </c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8" x14ac:dyDescent="0.35">
      <c r="A603" s="36"/>
      <c r="B603" s="8"/>
      <c r="C603" s="7" t="s">
        <v>149</v>
      </c>
      <c r="D603" s="21" t="s">
        <v>150</v>
      </c>
      <c r="E603" s="9">
        <f>STATS1003B!E627/1000</f>
        <v>5700.9610000000002</v>
      </c>
      <c r="F603" s="9">
        <f>STATS1003B!F627/1000</f>
        <v>4825</v>
      </c>
      <c r="G603" s="9">
        <f>STATS1003B!G627/1000</f>
        <v>0</v>
      </c>
      <c r="H603" s="9">
        <f>STATS1003B!H627/1000</f>
        <v>4825</v>
      </c>
      <c r="I603" s="9">
        <f>STATS1003B!I627/1000</f>
        <v>0</v>
      </c>
      <c r="J603" s="9">
        <f>STATS1003B!J627/1000</f>
        <v>0</v>
      </c>
      <c r="K603" s="9">
        <f>STATS1003B!K627/1000</f>
        <v>0</v>
      </c>
      <c r="L603" s="9">
        <f>STATS1003B!L627/1000</f>
        <v>0</v>
      </c>
      <c r="M603" s="9">
        <f>STATS1003B!M627/1000</f>
        <v>4825</v>
      </c>
      <c r="N603" s="9">
        <f>STATS1003B!N627/1000</f>
        <v>211.72848000000002</v>
      </c>
      <c r="O603" s="9">
        <f>STATS1003B!O627/1000</f>
        <v>0</v>
      </c>
      <c r="P603" s="9">
        <f>STATS1003B!P627/1000</f>
        <v>211.72848000000002</v>
      </c>
      <c r="Q603" s="9">
        <f>STATS1003B!Q627/1000</f>
        <v>0</v>
      </c>
      <c r="R603" s="9">
        <f>STATS1003B!R627/1000</f>
        <v>0</v>
      </c>
      <c r="S603" s="9">
        <f>STATS1003B!S627/1000</f>
        <v>0</v>
      </c>
      <c r="T603" s="9">
        <f>STATS1003B!T627/1000</f>
        <v>0</v>
      </c>
      <c r="U603" s="9">
        <f>STATS1003B!U627/1000</f>
        <v>211.72848000000002</v>
      </c>
      <c r="V603" s="9">
        <f>STATS1003B!V627/1000</f>
        <v>5036.7284800000007</v>
      </c>
      <c r="W603" s="9">
        <f>STATS1003B!W627/1000</f>
        <v>664.23251999999957</v>
      </c>
      <c r="X603" s="9">
        <f>STATS1003B!X627/1000</f>
        <v>5036.7284800000007</v>
      </c>
      <c r="Y603" s="9">
        <f>STATS1003B!Y627/1000</f>
        <v>0</v>
      </c>
      <c r="Z603" s="9">
        <f>STATS1003B!Z627/1000</f>
        <v>664.23251999999957</v>
      </c>
      <c r="AA603" s="9">
        <f>STATS1003B!AA627/1000</f>
        <v>5036.7284800000007</v>
      </c>
      <c r="AB603" s="9">
        <f>STATS1003B!AB627/1000</f>
        <v>664.23251999999957</v>
      </c>
    </row>
    <row r="604" spans="1:28" x14ac:dyDescent="0.35">
      <c r="A604" s="36"/>
      <c r="B604" s="8"/>
      <c r="C604" s="7" t="s">
        <v>151</v>
      </c>
      <c r="D604" s="21" t="s">
        <v>150</v>
      </c>
      <c r="E604" s="9">
        <f>STATS1003B!E628/1000</f>
        <v>20240.572550000001</v>
      </c>
      <c r="F604" s="9">
        <f>STATS1003B!F628/1000</f>
        <v>14408.445240000001</v>
      </c>
      <c r="G604" s="9">
        <f>STATS1003B!G628/1000</f>
        <v>0</v>
      </c>
      <c r="H604" s="9">
        <f>STATS1003B!H628/1000</f>
        <v>14408.445240000001</v>
      </c>
      <c r="I604" s="9">
        <f>STATS1003B!I628/1000</f>
        <v>0</v>
      </c>
      <c r="J604" s="9">
        <f>STATS1003B!J628/1000</f>
        <v>0</v>
      </c>
      <c r="K604" s="9">
        <f>STATS1003B!K628/1000</f>
        <v>0</v>
      </c>
      <c r="L604" s="9">
        <f>STATS1003B!L628/1000</f>
        <v>0</v>
      </c>
      <c r="M604" s="9">
        <f>STATS1003B!M628/1000</f>
        <v>14408.445240000001</v>
      </c>
      <c r="N604" s="9">
        <f>STATS1003B!N628/1000</f>
        <v>0</v>
      </c>
      <c r="O604" s="9">
        <f>STATS1003B!O628/1000</f>
        <v>0</v>
      </c>
      <c r="P604" s="9">
        <f>STATS1003B!P628/1000</f>
        <v>0</v>
      </c>
      <c r="Q604" s="9">
        <f>STATS1003B!Q628/1000</f>
        <v>0</v>
      </c>
      <c r="R604" s="9">
        <f>STATS1003B!R628/1000</f>
        <v>0</v>
      </c>
      <c r="S604" s="9">
        <f>STATS1003B!S628/1000</f>
        <v>0</v>
      </c>
      <c r="T604" s="9">
        <f>STATS1003B!T628/1000</f>
        <v>0</v>
      </c>
      <c r="U604" s="9">
        <f>STATS1003B!U628/1000</f>
        <v>0</v>
      </c>
      <c r="V604" s="9">
        <f>STATS1003B!V628/1000</f>
        <v>14408.445240000001</v>
      </c>
      <c r="W604" s="9">
        <f>STATS1003B!W628/1000</f>
        <v>5832.1273100000008</v>
      </c>
      <c r="X604" s="9">
        <f>STATS1003B!X628/1000</f>
        <v>14408.445240000001</v>
      </c>
      <c r="Y604" s="9">
        <f>STATS1003B!Y628/1000</f>
        <v>0</v>
      </c>
      <c r="Z604" s="9">
        <f>STATS1003B!Z628/1000</f>
        <v>5832.1273100000008</v>
      </c>
      <c r="AA604" s="9">
        <f>STATS1003B!AA628/1000</f>
        <v>14408.445240000001</v>
      </c>
      <c r="AB604" s="9">
        <f>STATS1003B!AB628/1000</f>
        <v>5832.1273100000008</v>
      </c>
    </row>
    <row r="605" spans="1:28" x14ac:dyDescent="0.35">
      <c r="A605" s="36"/>
      <c r="B605" s="8"/>
      <c r="C605" s="7" t="s">
        <v>57</v>
      </c>
      <c r="D605" s="15" t="s">
        <v>54</v>
      </c>
      <c r="E605" s="9">
        <f>STATS1003B!E629/1000</f>
        <v>81.05</v>
      </c>
      <c r="F605" s="9">
        <f>STATS1003B!F629/1000</f>
        <v>81.05</v>
      </c>
      <c r="G605" s="9">
        <f>STATS1003B!G629/1000</f>
        <v>0</v>
      </c>
      <c r="H605" s="9">
        <f>STATS1003B!H629/1000</f>
        <v>81.05</v>
      </c>
      <c r="I605" s="9">
        <f>STATS1003B!I629/1000</f>
        <v>0</v>
      </c>
      <c r="J605" s="9">
        <f>STATS1003B!J629/1000</f>
        <v>0</v>
      </c>
      <c r="K605" s="9">
        <f>STATS1003B!K629/1000</f>
        <v>0</v>
      </c>
      <c r="L605" s="9">
        <f>STATS1003B!L629/1000</f>
        <v>0</v>
      </c>
      <c r="M605" s="9">
        <f>STATS1003B!M629/1000</f>
        <v>81.05</v>
      </c>
      <c r="N605" s="9">
        <f>STATS1003B!N629/1000</f>
        <v>0</v>
      </c>
      <c r="O605" s="9">
        <f>STATS1003B!O629/1000</f>
        <v>0</v>
      </c>
      <c r="P605" s="9">
        <f>STATS1003B!P629/1000</f>
        <v>0</v>
      </c>
      <c r="Q605" s="9">
        <f>STATS1003B!Q629/1000</f>
        <v>0</v>
      </c>
      <c r="R605" s="9">
        <f>STATS1003B!R629/1000</f>
        <v>0</v>
      </c>
      <c r="S605" s="9">
        <f>STATS1003B!S629/1000</f>
        <v>0</v>
      </c>
      <c r="T605" s="9">
        <f>STATS1003B!T629/1000</f>
        <v>0</v>
      </c>
      <c r="U605" s="9">
        <f>STATS1003B!U629/1000</f>
        <v>0</v>
      </c>
      <c r="V605" s="9">
        <f>STATS1003B!V629/1000</f>
        <v>81.05</v>
      </c>
      <c r="W605" s="9">
        <f>STATS1003B!W629/1000</f>
        <v>0</v>
      </c>
      <c r="X605" s="9">
        <f>STATS1003B!X629/1000</f>
        <v>81.05</v>
      </c>
      <c r="Y605" s="9">
        <f>STATS1003B!Y629/1000</f>
        <v>0</v>
      </c>
      <c r="Z605" s="9">
        <f>STATS1003B!Z629/1000</f>
        <v>0</v>
      </c>
      <c r="AA605" s="9">
        <f>STATS1003B!AA629/1000</f>
        <v>81.05</v>
      </c>
      <c r="AB605" s="9">
        <f>STATS1003B!AB629/1000</f>
        <v>0</v>
      </c>
    </row>
    <row r="606" spans="1:28" x14ac:dyDescent="0.35">
      <c r="A606" s="36"/>
      <c r="B606" s="8"/>
      <c r="C606" s="7" t="s">
        <v>53</v>
      </c>
      <c r="D606" s="15" t="s">
        <v>85</v>
      </c>
      <c r="E606" s="9">
        <f>STATS1003B!E630/1000</f>
        <v>1950.1130000000001</v>
      </c>
      <c r="F606" s="9">
        <f>STATS1003B!F630/1000</f>
        <v>0</v>
      </c>
      <c r="G606" s="9">
        <f>STATS1003B!G630/1000</f>
        <v>0</v>
      </c>
      <c r="H606" s="9">
        <f>STATS1003B!H630/1000</f>
        <v>0</v>
      </c>
      <c r="I606" s="9">
        <f>STATS1003B!I630/1000</f>
        <v>0</v>
      </c>
      <c r="J606" s="9">
        <f>STATS1003B!J630/1000</f>
        <v>0</v>
      </c>
      <c r="K606" s="9">
        <f>STATS1003B!K630/1000</f>
        <v>0</v>
      </c>
      <c r="L606" s="9">
        <f>STATS1003B!L630/1000</f>
        <v>0</v>
      </c>
      <c r="M606" s="9">
        <f>STATS1003B!M630/1000</f>
        <v>0</v>
      </c>
      <c r="N606" s="9">
        <f>STATS1003B!N630/1000</f>
        <v>1950.1130000000001</v>
      </c>
      <c r="O606" s="9">
        <f>STATS1003B!O630/1000</f>
        <v>0</v>
      </c>
      <c r="P606" s="9">
        <f>STATS1003B!P630/1000</f>
        <v>1950.1130000000001</v>
      </c>
      <c r="Q606" s="9">
        <f>STATS1003B!Q630/1000</f>
        <v>0</v>
      </c>
      <c r="R606" s="9">
        <f>STATS1003B!R630/1000</f>
        <v>0</v>
      </c>
      <c r="S606" s="9">
        <f>STATS1003B!S630/1000</f>
        <v>0</v>
      </c>
      <c r="T606" s="9">
        <f>STATS1003B!T630/1000</f>
        <v>0</v>
      </c>
      <c r="U606" s="9">
        <f>STATS1003B!U630/1000</f>
        <v>1950.1130000000001</v>
      </c>
      <c r="V606" s="9">
        <f>STATS1003B!V630/1000</f>
        <v>1950.1130000000001</v>
      </c>
      <c r="W606" s="9">
        <f>STATS1003B!W630/1000</f>
        <v>0</v>
      </c>
      <c r="X606" s="9">
        <f>STATS1003B!X630/1000</f>
        <v>1950.1130000000001</v>
      </c>
      <c r="Y606" s="9">
        <f>STATS1003B!Y630/1000</f>
        <v>0</v>
      </c>
      <c r="Z606" s="9">
        <f>STATS1003B!Z630/1000</f>
        <v>0</v>
      </c>
      <c r="AA606" s="9">
        <f>STATS1003B!AA630/1000</f>
        <v>1950.1130000000001</v>
      </c>
      <c r="AB606" s="9">
        <f>STATS1003B!AB630/1000</f>
        <v>0</v>
      </c>
    </row>
    <row r="607" spans="1:28" x14ac:dyDescent="0.35">
      <c r="A607" s="36"/>
      <c r="B607" s="8"/>
      <c r="C607" s="7" t="s">
        <v>147</v>
      </c>
      <c r="D607" s="15" t="s">
        <v>128</v>
      </c>
      <c r="E607" s="9">
        <f>STATS1003B!E631/1000</f>
        <v>282.73</v>
      </c>
      <c r="F607" s="9">
        <f>STATS1003B!F631/1000</f>
        <v>0</v>
      </c>
      <c r="G607" s="9">
        <f>STATS1003B!G631/1000</f>
        <v>0</v>
      </c>
      <c r="H607" s="9">
        <f>STATS1003B!H631/1000</f>
        <v>0</v>
      </c>
      <c r="I607" s="9">
        <f>STATS1003B!I631/1000</f>
        <v>0</v>
      </c>
      <c r="J607" s="9">
        <f>STATS1003B!J631/1000</f>
        <v>0</v>
      </c>
      <c r="K607" s="9">
        <f>STATS1003B!K631/1000</f>
        <v>0</v>
      </c>
      <c r="L607" s="9">
        <f>STATS1003B!L631/1000</f>
        <v>0</v>
      </c>
      <c r="M607" s="9">
        <f>STATS1003B!M631/1000</f>
        <v>0</v>
      </c>
      <c r="N607" s="9">
        <f>STATS1003B!N631/1000</f>
        <v>282.73</v>
      </c>
      <c r="O607" s="9">
        <f>STATS1003B!O631/1000</f>
        <v>0</v>
      </c>
      <c r="P607" s="9">
        <f>STATS1003B!P631/1000</f>
        <v>282.73</v>
      </c>
      <c r="Q607" s="9">
        <f>STATS1003B!Q631/1000</f>
        <v>0</v>
      </c>
      <c r="R607" s="9">
        <f>STATS1003B!R631/1000</f>
        <v>0</v>
      </c>
      <c r="S607" s="9">
        <f>STATS1003B!S631/1000</f>
        <v>0</v>
      </c>
      <c r="T607" s="9">
        <f>STATS1003B!T631/1000</f>
        <v>0</v>
      </c>
      <c r="U607" s="9">
        <f>STATS1003B!U631/1000</f>
        <v>282.73</v>
      </c>
      <c r="V607" s="9">
        <f>STATS1003B!V631/1000</f>
        <v>282.73</v>
      </c>
      <c r="W607" s="9">
        <f>STATS1003B!W631/1000</f>
        <v>0</v>
      </c>
      <c r="X607" s="9">
        <f>STATS1003B!X631/1000</f>
        <v>282.73</v>
      </c>
      <c r="Y607" s="9">
        <f>STATS1003B!Y631/1000</f>
        <v>0</v>
      </c>
      <c r="Z607" s="9">
        <f>STATS1003B!Z631/1000</f>
        <v>0</v>
      </c>
      <c r="AA607" s="9">
        <f>STATS1003B!AA631/1000</f>
        <v>282.73</v>
      </c>
      <c r="AB607" s="9">
        <f>STATS1003B!AB631/1000</f>
        <v>0</v>
      </c>
    </row>
    <row r="608" spans="1:28" x14ac:dyDescent="0.35">
      <c r="A608" s="36"/>
      <c r="B608" s="8"/>
      <c r="C608" s="7" t="s">
        <v>57</v>
      </c>
      <c r="D608" s="15" t="s">
        <v>108</v>
      </c>
      <c r="E608" s="9">
        <f>STATS1003B!E632/1000</f>
        <v>2468.7566900000002</v>
      </c>
      <c r="F608" s="9">
        <f>STATS1003B!F632/1000</f>
        <v>2468.7566900000002</v>
      </c>
      <c r="G608" s="9">
        <f>STATS1003B!G632/1000</f>
        <v>0</v>
      </c>
      <c r="H608" s="9">
        <f>STATS1003B!H632/1000</f>
        <v>2468.7566900000002</v>
      </c>
      <c r="I608" s="9">
        <f>STATS1003B!I632/1000</f>
        <v>0</v>
      </c>
      <c r="J608" s="9">
        <f>STATS1003B!J632/1000</f>
        <v>0</v>
      </c>
      <c r="K608" s="9">
        <f>STATS1003B!K632/1000</f>
        <v>0</v>
      </c>
      <c r="L608" s="9">
        <f>STATS1003B!L632/1000</f>
        <v>0</v>
      </c>
      <c r="M608" s="9">
        <f>STATS1003B!M632/1000</f>
        <v>2468.7566900000002</v>
      </c>
      <c r="N608" s="9">
        <f>STATS1003B!N632/1000</f>
        <v>0</v>
      </c>
      <c r="O608" s="9">
        <f>STATS1003B!O632/1000</f>
        <v>0</v>
      </c>
      <c r="P608" s="9">
        <f>STATS1003B!P632/1000</f>
        <v>0</v>
      </c>
      <c r="Q608" s="9">
        <f>STATS1003B!Q632/1000</f>
        <v>0</v>
      </c>
      <c r="R608" s="9">
        <f>STATS1003B!R632/1000</f>
        <v>0</v>
      </c>
      <c r="S608" s="9">
        <f>STATS1003B!S632/1000</f>
        <v>0</v>
      </c>
      <c r="T608" s="9">
        <f>STATS1003B!T632/1000</f>
        <v>0</v>
      </c>
      <c r="U608" s="9">
        <f>STATS1003B!U632/1000</f>
        <v>0</v>
      </c>
      <c r="V608" s="9">
        <f>STATS1003B!V632/1000</f>
        <v>2468.7566900000002</v>
      </c>
      <c r="W608" s="9">
        <f>STATS1003B!W632/1000</f>
        <v>0</v>
      </c>
      <c r="X608" s="9">
        <f>STATS1003B!X632/1000</f>
        <v>2468.7566900000002</v>
      </c>
      <c r="Y608" s="9">
        <f>STATS1003B!Y632/1000</f>
        <v>0</v>
      </c>
      <c r="Z608" s="9">
        <f>STATS1003B!Z632/1000</f>
        <v>0</v>
      </c>
      <c r="AA608" s="9">
        <f>STATS1003B!AA632/1000</f>
        <v>2468.7566900000002</v>
      </c>
      <c r="AB608" s="9">
        <f>STATS1003B!AB632/1000</f>
        <v>0</v>
      </c>
    </row>
    <row r="609" spans="1:28" x14ac:dyDescent="0.35">
      <c r="A609" s="36"/>
      <c r="B609" s="8"/>
      <c r="C609" s="7" t="s">
        <v>57</v>
      </c>
      <c r="D609" s="15" t="s">
        <v>58</v>
      </c>
      <c r="E609" s="9">
        <f>STATS1003B!E633/1000</f>
        <v>4062.9070000000002</v>
      </c>
      <c r="F609" s="9">
        <f>STATS1003B!F633/1000</f>
        <v>4062.9070000000002</v>
      </c>
      <c r="G609" s="9">
        <f>STATS1003B!G633/1000</f>
        <v>0</v>
      </c>
      <c r="H609" s="9">
        <f>STATS1003B!H633/1000</f>
        <v>4062.9070000000002</v>
      </c>
      <c r="I609" s="9">
        <f>STATS1003B!I633/1000</f>
        <v>0</v>
      </c>
      <c r="J609" s="9">
        <f>STATS1003B!J633/1000</f>
        <v>0</v>
      </c>
      <c r="K609" s="9">
        <f>STATS1003B!K633/1000</f>
        <v>0</v>
      </c>
      <c r="L609" s="9">
        <f>STATS1003B!L633/1000</f>
        <v>0</v>
      </c>
      <c r="M609" s="9">
        <f>STATS1003B!M633/1000</f>
        <v>4062.9070000000002</v>
      </c>
      <c r="N609" s="9">
        <f>STATS1003B!N633/1000</f>
        <v>0</v>
      </c>
      <c r="O609" s="9">
        <f>STATS1003B!O633/1000</f>
        <v>0</v>
      </c>
      <c r="P609" s="9">
        <f>STATS1003B!P633/1000</f>
        <v>0</v>
      </c>
      <c r="Q609" s="9">
        <f>STATS1003B!Q633/1000</f>
        <v>0</v>
      </c>
      <c r="R609" s="9">
        <f>STATS1003B!R633/1000</f>
        <v>0</v>
      </c>
      <c r="S609" s="9">
        <f>STATS1003B!S633/1000</f>
        <v>0</v>
      </c>
      <c r="T609" s="9">
        <f>STATS1003B!T633/1000</f>
        <v>0</v>
      </c>
      <c r="U609" s="9">
        <f>STATS1003B!U633/1000</f>
        <v>0</v>
      </c>
      <c r="V609" s="9">
        <f>STATS1003B!V633/1000</f>
        <v>4062.9070000000002</v>
      </c>
      <c r="W609" s="9">
        <f>STATS1003B!W633/1000</f>
        <v>0</v>
      </c>
      <c r="X609" s="9">
        <f>STATS1003B!X633/1000</f>
        <v>4062.9070000000002</v>
      </c>
      <c r="Y609" s="9">
        <f>STATS1003B!Y633/1000</f>
        <v>0</v>
      </c>
      <c r="Z609" s="9">
        <f>STATS1003B!Z633/1000</f>
        <v>0</v>
      </c>
      <c r="AA609" s="9">
        <f>STATS1003B!AA633/1000</f>
        <v>4062.9070000000002</v>
      </c>
      <c r="AB609" s="9">
        <f>STATS1003B!AB633/1000</f>
        <v>0</v>
      </c>
    </row>
    <row r="610" spans="1:28" x14ac:dyDescent="0.35">
      <c r="A610" s="36"/>
      <c r="B610" s="8"/>
      <c r="C610" s="7" t="s">
        <v>1077</v>
      </c>
      <c r="D610" s="15"/>
      <c r="E610" s="9">
        <f>STATS1003B!E634/1000</f>
        <v>271.88514000000004</v>
      </c>
      <c r="F610" s="9">
        <f>STATS1003B!F634/1000</f>
        <v>271.88514000000004</v>
      </c>
      <c r="G610" s="9">
        <f>STATS1003B!G634/1000</f>
        <v>0</v>
      </c>
      <c r="H610" s="9">
        <f>STATS1003B!H634/1000</f>
        <v>271.88514000000004</v>
      </c>
      <c r="I610" s="9">
        <f>STATS1003B!I634/1000</f>
        <v>0</v>
      </c>
      <c r="J610" s="9">
        <f>STATS1003B!J634/1000</f>
        <v>0</v>
      </c>
      <c r="K610" s="9">
        <f>STATS1003B!K634/1000</f>
        <v>0</v>
      </c>
      <c r="L610" s="9">
        <f>STATS1003B!L634/1000</f>
        <v>0</v>
      </c>
      <c r="M610" s="9">
        <f>STATS1003B!M634/1000</f>
        <v>271.88514000000004</v>
      </c>
      <c r="N610" s="9">
        <f>STATS1003B!N634/1000</f>
        <v>0</v>
      </c>
      <c r="O610" s="9">
        <f>STATS1003B!O634/1000</f>
        <v>0</v>
      </c>
      <c r="P610" s="9">
        <f>STATS1003B!P634/1000</f>
        <v>0</v>
      </c>
      <c r="Q610" s="9">
        <f>STATS1003B!Q634/1000</f>
        <v>0</v>
      </c>
      <c r="R610" s="9">
        <f>STATS1003B!R634/1000</f>
        <v>0</v>
      </c>
      <c r="S610" s="9">
        <f>STATS1003B!S634/1000</f>
        <v>0</v>
      </c>
      <c r="T610" s="9">
        <f>STATS1003B!T634/1000</f>
        <v>0</v>
      </c>
      <c r="U610" s="9">
        <f>STATS1003B!U634/1000</f>
        <v>0</v>
      </c>
      <c r="V610" s="9">
        <f>STATS1003B!V634/1000</f>
        <v>271.88514000000004</v>
      </c>
      <c r="W610" s="9">
        <f>STATS1003B!W634/1000</f>
        <v>0</v>
      </c>
      <c r="X610" s="9">
        <f>STATS1003B!X634/1000</f>
        <v>271.88514000000004</v>
      </c>
      <c r="Y610" s="9">
        <f>STATS1003B!Y634/1000</f>
        <v>0</v>
      </c>
      <c r="Z610" s="9">
        <f>STATS1003B!Z634/1000</f>
        <v>0</v>
      </c>
      <c r="AA610" s="9">
        <f>STATS1003B!AA634/1000</f>
        <v>271.88514000000004</v>
      </c>
      <c r="AB610" s="9">
        <f>STATS1003B!AB634/1000</f>
        <v>0</v>
      </c>
    </row>
    <row r="611" spans="1:28" x14ac:dyDescent="0.35">
      <c r="A611" s="36"/>
      <c r="B611" s="8"/>
      <c r="C611" s="14" t="s">
        <v>199</v>
      </c>
      <c r="D611" s="15" t="s">
        <v>58</v>
      </c>
      <c r="E611" s="9">
        <f>STATS1003B!E635/1000</f>
        <v>5000</v>
      </c>
      <c r="F611" s="9">
        <f>STATS1003B!F635/1000</f>
        <v>5000</v>
      </c>
      <c r="G611" s="9">
        <f>STATS1003B!G635/1000</f>
        <v>0</v>
      </c>
      <c r="H611" s="9">
        <f>STATS1003B!H635/1000</f>
        <v>5000</v>
      </c>
      <c r="I611" s="9">
        <f>STATS1003B!I635/1000</f>
        <v>0</v>
      </c>
      <c r="J611" s="9">
        <f>STATS1003B!J635/1000</f>
        <v>0</v>
      </c>
      <c r="K611" s="9">
        <f>STATS1003B!K635/1000</f>
        <v>0</v>
      </c>
      <c r="L611" s="9">
        <f>STATS1003B!L635/1000</f>
        <v>0</v>
      </c>
      <c r="M611" s="9">
        <f>STATS1003B!M635/1000</f>
        <v>5000</v>
      </c>
      <c r="N611" s="9">
        <f>STATS1003B!N635/1000</f>
        <v>0</v>
      </c>
      <c r="O611" s="9">
        <f>STATS1003B!O635/1000</f>
        <v>0</v>
      </c>
      <c r="P611" s="9">
        <f>STATS1003B!P635/1000</f>
        <v>0</v>
      </c>
      <c r="Q611" s="9">
        <f>STATS1003B!Q635/1000</f>
        <v>0</v>
      </c>
      <c r="R611" s="9">
        <f>STATS1003B!R635/1000</f>
        <v>0</v>
      </c>
      <c r="S611" s="9">
        <f>STATS1003B!S635/1000</f>
        <v>0</v>
      </c>
      <c r="T611" s="9">
        <f>STATS1003B!T635/1000</f>
        <v>0</v>
      </c>
      <c r="U611" s="9">
        <f>STATS1003B!U635/1000</f>
        <v>0</v>
      </c>
      <c r="V611" s="9">
        <f>STATS1003B!V635/1000</f>
        <v>5000</v>
      </c>
      <c r="W611" s="9">
        <f>STATS1003B!W635/1000</f>
        <v>0</v>
      </c>
      <c r="X611" s="9">
        <f>STATS1003B!X635/1000</f>
        <v>5000</v>
      </c>
      <c r="Y611" s="9">
        <f>STATS1003B!Y635/1000</f>
        <v>0</v>
      </c>
      <c r="Z611" s="9">
        <f>STATS1003B!Z635/1000</f>
        <v>0</v>
      </c>
      <c r="AA611" s="9">
        <f>STATS1003B!AA635/1000</f>
        <v>5000</v>
      </c>
      <c r="AB611" s="9">
        <f>STATS1003B!AB635/1000</f>
        <v>0</v>
      </c>
    </row>
    <row r="612" spans="1:28" x14ac:dyDescent="0.35">
      <c r="A612" s="36"/>
      <c r="B612" s="8"/>
      <c r="C612" s="8"/>
      <c r="D612" s="8"/>
      <c r="E612" s="17" t="s">
        <v>29</v>
      </c>
      <c r="F612" s="17" t="s">
        <v>29</v>
      </c>
      <c r="G612" s="17" t="s">
        <v>29</v>
      </c>
      <c r="H612" s="17" t="s">
        <v>29</v>
      </c>
      <c r="I612" s="17" t="s">
        <v>29</v>
      </c>
      <c r="J612" s="17" t="s">
        <v>29</v>
      </c>
      <c r="K612" s="17" t="s">
        <v>29</v>
      </c>
      <c r="L612" s="17" t="s">
        <v>29</v>
      </c>
      <c r="M612" s="17" t="s">
        <v>29</v>
      </c>
      <c r="N612" s="17" t="s">
        <v>29</v>
      </c>
      <c r="O612" s="17" t="s">
        <v>29</v>
      </c>
      <c r="P612" s="17" t="s">
        <v>29</v>
      </c>
      <c r="Q612" s="17" t="s">
        <v>29</v>
      </c>
      <c r="R612" s="17" t="s">
        <v>29</v>
      </c>
      <c r="S612" s="17" t="s">
        <v>29</v>
      </c>
      <c r="T612" s="17" t="s">
        <v>29</v>
      </c>
      <c r="U612" s="17" t="s">
        <v>29</v>
      </c>
      <c r="V612" s="17" t="s">
        <v>29</v>
      </c>
      <c r="W612" s="17" t="s">
        <v>29</v>
      </c>
      <c r="X612" s="17" t="s">
        <v>29</v>
      </c>
      <c r="Y612" s="17" t="s">
        <v>29</v>
      </c>
      <c r="Z612" s="17" t="s">
        <v>29</v>
      </c>
      <c r="AA612" s="17" t="s">
        <v>29</v>
      </c>
      <c r="AB612" s="17" t="s">
        <v>29</v>
      </c>
    </row>
    <row r="613" spans="1:28" x14ac:dyDescent="0.35">
      <c r="A613" s="36"/>
      <c r="B613" s="8"/>
      <c r="C613" s="8"/>
      <c r="D613" s="8"/>
      <c r="E613" s="9">
        <f t="shared" ref="E613:AB613" si="40">SUM(E603:E611)</f>
        <v>40058.975379999996</v>
      </c>
      <c r="F613" s="9">
        <f t="shared" si="40"/>
        <v>31118.044069999996</v>
      </c>
      <c r="G613" s="9">
        <f t="shared" si="40"/>
        <v>0</v>
      </c>
      <c r="H613" s="9">
        <f t="shared" si="40"/>
        <v>31118.044069999996</v>
      </c>
      <c r="I613" s="9">
        <f t="shared" si="40"/>
        <v>0</v>
      </c>
      <c r="J613" s="9">
        <f t="shared" si="40"/>
        <v>0</v>
      </c>
      <c r="K613" s="9">
        <f t="shared" si="40"/>
        <v>0</v>
      </c>
      <c r="L613" s="9">
        <f t="shared" si="40"/>
        <v>0</v>
      </c>
      <c r="M613" s="9">
        <f t="shared" si="40"/>
        <v>31118.044069999996</v>
      </c>
      <c r="N613" s="9">
        <f t="shared" si="40"/>
        <v>2444.5714800000001</v>
      </c>
      <c r="O613" s="9">
        <f t="shared" si="40"/>
        <v>0</v>
      </c>
      <c r="P613" s="9">
        <f t="shared" si="40"/>
        <v>2444.5714800000001</v>
      </c>
      <c r="Q613" s="9">
        <f t="shared" si="40"/>
        <v>0</v>
      </c>
      <c r="R613" s="9">
        <f t="shared" si="40"/>
        <v>0</v>
      </c>
      <c r="S613" s="9">
        <f t="shared" si="40"/>
        <v>0</v>
      </c>
      <c r="T613" s="9">
        <f t="shared" si="40"/>
        <v>0</v>
      </c>
      <c r="U613" s="9">
        <f t="shared" si="40"/>
        <v>2444.5714800000001</v>
      </c>
      <c r="V613" s="9">
        <f t="shared" si="40"/>
        <v>33562.615550000002</v>
      </c>
      <c r="W613" s="9">
        <f t="shared" si="40"/>
        <v>6496.3598300000003</v>
      </c>
      <c r="X613" s="9">
        <f t="shared" si="40"/>
        <v>33562.615550000002</v>
      </c>
      <c r="Y613" s="9">
        <f t="shared" si="40"/>
        <v>0</v>
      </c>
      <c r="Z613" s="9">
        <f t="shared" si="40"/>
        <v>6496.3598300000003</v>
      </c>
      <c r="AA613" s="9">
        <f t="shared" si="40"/>
        <v>33562.615550000002</v>
      </c>
      <c r="AB613" s="9">
        <f t="shared" si="40"/>
        <v>6496.3598300000003</v>
      </c>
    </row>
    <row r="614" spans="1:28" x14ac:dyDescent="0.35">
      <c r="A614" s="36"/>
      <c r="B614" s="8"/>
      <c r="C614" s="8"/>
      <c r="D614" s="8"/>
      <c r="E614" s="17" t="s">
        <v>29</v>
      </c>
      <c r="F614" s="17" t="s">
        <v>29</v>
      </c>
      <c r="G614" s="17" t="s">
        <v>29</v>
      </c>
      <c r="H614" s="17" t="s">
        <v>29</v>
      </c>
      <c r="I614" s="17" t="s">
        <v>29</v>
      </c>
      <c r="J614" s="17" t="s">
        <v>29</v>
      </c>
      <c r="K614" s="17" t="s">
        <v>29</v>
      </c>
      <c r="L614" s="17" t="s">
        <v>29</v>
      </c>
      <c r="M614" s="17" t="s">
        <v>29</v>
      </c>
      <c r="N614" s="17" t="s">
        <v>29</v>
      </c>
      <c r="O614" s="17" t="s">
        <v>29</v>
      </c>
      <c r="P614" s="17" t="s">
        <v>29</v>
      </c>
      <c r="Q614" s="17" t="s">
        <v>29</v>
      </c>
      <c r="R614" s="17" t="s">
        <v>29</v>
      </c>
      <c r="S614" s="17" t="s">
        <v>29</v>
      </c>
      <c r="T614" s="17" t="s">
        <v>29</v>
      </c>
      <c r="U614" s="17" t="s">
        <v>29</v>
      </c>
      <c r="V614" s="17" t="s">
        <v>29</v>
      </c>
      <c r="W614" s="17" t="s">
        <v>29</v>
      </c>
      <c r="X614" s="17" t="s">
        <v>29</v>
      </c>
      <c r="Y614" s="17" t="s">
        <v>29</v>
      </c>
      <c r="Z614" s="17" t="s">
        <v>29</v>
      </c>
      <c r="AA614" s="17" t="s">
        <v>29</v>
      </c>
      <c r="AB614" s="17" t="s">
        <v>29</v>
      </c>
    </row>
    <row r="615" spans="1:28" x14ac:dyDescent="0.35">
      <c r="A615" s="36"/>
      <c r="B615" s="8"/>
      <c r="C615" s="7" t="s">
        <v>200</v>
      </c>
      <c r="D615" s="8"/>
      <c r="E615" s="9">
        <f t="shared" ref="E615:AB615" si="41">E613+E600+E583+E565+E549+E537+E526+E515+E502+E489+E480+E467+E453+E437+E542+E426</f>
        <v>710763.50081999996</v>
      </c>
      <c r="F615" s="9">
        <f t="shared" si="41"/>
        <v>495400.4370700001</v>
      </c>
      <c r="G615" s="9">
        <f t="shared" si="41"/>
        <v>0</v>
      </c>
      <c r="H615" s="9">
        <f t="shared" si="41"/>
        <v>495400.4370700001</v>
      </c>
      <c r="I615" s="9">
        <f t="shared" si="41"/>
        <v>1029.9882299999999</v>
      </c>
      <c r="J615" s="9">
        <f t="shared" si="41"/>
        <v>0</v>
      </c>
      <c r="K615" s="9">
        <f t="shared" si="41"/>
        <v>0</v>
      </c>
      <c r="L615" s="9">
        <f t="shared" si="41"/>
        <v>1029.9882299999999</v>
      </c>
      <c r="M615" s="9">
        <f t="shared" si="41"/>
        <v>496430.42530000012</v>
      </c>
      <c r="N615" s="9">
        <f t="shared" si="41"/>
        <v>92267.67134999999</v>
      </c>
      <c r="O615" s="9">
        <f t="shared" si="41"/>
        <v>0</v>
      </c>
      <c r="P615" s="9">
        <f t="shared" si="41"/>
        <v>92267.67134999999</v>
      </c>
      <c r="Q615" s="9">
        <f t="shared" si="41"/>
        <v>0</v>
      </c>
      <c r="R615" s="9">
        <f t="shared" si="41"/>
        <v>0</v>
      </c>
      <c r="S615" s="9">
        <f t="shared" si="41"/>
        <v>0</v>
      </c>
      <c r="T615" s="9">
        <f t="shared" si="41"/>
        <v>0</v>
      </c>
      <c r="U615" s="9">
        <f t="shared" si="41"/>
        <v>92267.67134999999</v>
      </c>
      <c r="V615" s="9">
        <f t="shared" si="41"/>
        <v>586237.45395999996</v>
      </c>
      <c r="W615" s="9">
        <f t="shared" si="41"/>
        <v>102628.47777</v>
      </c>
      <c r="X615" s="9">
        <f t="shared" si="41"/>
        <v>587668.10841999995</v>
      </c>
      <c r="Y615" s="9">
        <f t="shared" si="41"/>
        <v>0</v>
      </c>
      <c r="Z615" s="9">
        <f t="shared" si="41"/>
        <v>123095.3924</v>
      </c>
      <c r="AA615" s="9">
        <f t="shared" si="41"/>
        <v>588698.09664999996</v>
      </c>
      <c r="AB615" s="9">
        <f t="shared" si="41"/>
        <v>122065.40416999999</v>
      </c>
    </row>
    <row r="616" spans="1:28" x14ac:dyDescent="0.35">
      <c r="A616" s="36"/>
      <c r="B616" s="8"/>
      <c r="C616" s="8"/>
      <c r="D616" s="8"/>
      <c r="E616" s="17" t="s">
        <v>114</v>
      </c>
      <c r="F616" s="17" t="s">
        <v>114</v>
      </c>
      <c r="G616" s="17" t="s">
        <v>114</v>
      </c>
      <c r="H616" s="17" t="s">
        <v>114</v>
      </c>
      <c r="I616" s="17" t="s">
        <v>114</v>
      </c>
      <c r="J616" s="17" t="s">
        <v>114</v>
      </c>
      <c r="K616" s="17" t="s">
        <v>114</v>
      </c>
      <c r="L616" s="17" t="s">
        <v>114</v>
      </c>
      <c r="M616" s="17" t="s">
        <v>114</v>
      </c>
      <c r="N616" s="17" t="s">
        <v>114</v>
      </c>
      <c r="O616" s="17" t="s">
        <v>114</v>
      </c>
      <c r="P616" s="17" t="s">
        <v>114</v>
      </c>
      <c r="Q616" s="17" t="s">
        <v>114</v>
      </c>
      <c r="R616" s="17" t="s">
        <v>114</v>
      </c>
      <c r="S616" s="17" t="s">
        <v>114</v>
      </c>
      <c r="T616" s="17" t="s">
        <v>114</v>
      </c>
      <c r="U616" s="17" t="s">
        <v>114</v>
      </c>
      <c r="V616" s="17" t="s">
        <v>114</v>
      </c>
      <c r="W616" s="17" t="s">
        <v>114</v>
      </c>
      <c r="X616" s="17" t="s">
        <v>114</v>
      </c>
      <c r="Y616" s="17" t="s">
        <v>114</v>
      </c>
      <c r="Z616" s="17" t="s">
        <v>114</v>
      </c>
      <c r="AA616" s="17" t="s">
        <v>114</v>
      </c>
      <c r="AB616" s="17" t="s">
        <v>114</v>
      </c>
    </row>
    <row r="617" spans="1:28" x14ac:dyDescent="0.35">
      <c r="A617" s="36"/>
      <c r="B617" s="8"/>
      <c r="C617" s="8"/>
      <c r="D617" s="8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spans="1:28" x14ac:dyDescent="0.35">
      <c r="A618" s="36"/>
      <c r="B618" s="7" t="s">
        <v>594</v>
      </c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17"/>
      <c r="S618" s="17"/>
      <c r="T618" s="17"/>
      <c r="U618" s="17"/>
      <c r="V618" s="17"/>
      <c r="W618" s="17"/>
      <c r="X618" s="17"/>
      <c r="Y618" s="17"/>
      <c r="Z618" s="17"/>
    </row>
    <row r="619" spans="1:28" x14ac:dyDescent="0.35">
      <c r="A619" s="36"/>
      <c r="B619" s="7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17"/>
      <c r="S619" s="17"/>
      <c r="T619" s="17"/>
      <c r="U619" s="17"/>
      <c r="V619" s="17"/>
      <c r="W619" s="17"/>
      <c r="X619" s="17"/>
      <c r="Y619" s="17"/>
      <c r="Z619" s="17"/>
    </row>
    <row r="620" spans="1:28" x14ac:dyDescent="0.35">
      <c r="A620" s="38" t="s">
        <v>968</v>
      </c>
      <c r="B620" s="7" t="s">
        <v>595</v>
      </c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17"/>
      <c r="S620" s="17"/>
      <c r="T620" s="17"/>
      <c r="U620" s="17"/>
      <c r="V620" s="17"/>
      <c r="W620" s="17"/>
      <c r="X620" s="17"/>
      <c r="Y620" s="17"/>
      <c r="Z620" s="17"/>
    </row>
    <row r="621" spans="1:28" x14ac:dyDescent="0.35">
      <c r="A621" s="36"/>
      <c r="B621" s="8"/>
      <c r="C621" s="7" t="s">
        <v>535</v>
      </c>
      <c r="D621" s="15" t="s">
        <v>76</v>
      </c>
      <c r="E621" s="9">
        <f>STATS1003B!E649/1000</f>
        <v>3325.4664500000003</v>
      </c>
      <c r="F621" s="9">
        <f>STATS1003B!F649/1000</f>
        <v>2915.38492</v>
      </c>
      <c r="G621" s="9">
        <f>STATS1003B!G649/1000</f>
        <v>0</v>
      </c>
      <c r="H621" s="9">
        <f>STATS1003B!H649/1000</f>
        <v>2915.38492</v>
      </c>
      <c r="I621" s="9">
        <f>STATS1003B!I649/1000</f>
        <v>0</v>
      </c>
      <c r="J621" s="9">
        <f>STATS1003B!J649/1000</f>
        <v>2915.38492</v>
      </c>
      <c r="K621" s="9">
        <f>STATS1003B!K649/1000</f>
        <v>410.08153000000004</v>
      </c>
      <c r="L621" s="9">
        <f>STATS1003B!L649/1000</f>
        <v>0</v>
      </c>
      <c r="M621" s="9">
        <f>STATS1003B!M649/1000</f>
        <v>2915.38492</v>
      </c>
      <c r="N621" s="9">
        <f>STATS1003B!N649/1000</f>
        <v>410.08153000000004</v>
      </c>
      <c r="O621" s="9">
        <f>STATS1003B!O649/1000</f>
        <v>0</v>
      </c>
      <c r="P621" s="9">
        <f>STATS1003B!P649/1000</f>
        <v>410.08153000000004</v>
      </c>
      <c r="Q621" s="9">
        <f>STATS1003B!Q649/1000</f>
        <v>0</v>
      </c>
      <c r="R621" s="9">
        <f>STATS1003B!R649/1000</f>
        <v>0</v>
      </c>
      <c r="S621" s="9">
        <f>STATS1003B!S649/1000</f>
        <v>0</v>
      </c>
      <c r="T621" s="9">
        <f>STATS1003B!T649/1000</f>
        <v>0</v>
      </c>
      <c r="U621" s="9">
        <f>STATS1003B!U649/1000</f>
        <v>410.08153000000004</v>
      </c>
      <c r="V621" s="9">
        <f>STATS1003B!V649/1000</f>
        <v>3325.4664500000003</v>
      </c>
      <c r="W621" s="9">
        <f>STATS1003B!W649/1000</f>
        <v>0</v>
      </c>
      <c r="X621" s="9">
        <f>STATS1003B!X649/1000</f>
        <v>3325.4664500000003</v>
      </c>
      <c r="Y621" s="9">
        <f>STATS1003B!Y649/1000</f>
        <v>0</v>
      </c>
      <c r="Z621" s="9">
        <f>STATS1003B!Z649/1000</f>
        <v>0</v>
      </c>
      <c r="AA621" s="9">
        <f>STATS1003B!AA649/1000</f>
        <v>3325.4664500000003</v>
      </c>
      <c r="AB621" s="9">
        <f>STATS1003B!AB649/1000</f>
        <v>0</v>
      </c>
    </row>
    <row r="622" spans="1:28" x14ac:dyDescent="0.35">
      <c r="A622" s="36"/>
      <c r="B622" s="8"/>
      <c r="C622" s="7" t="s">
        <v>535</v>
      </c>
      <c r="D622" s="15" t="s">
        <v>150</v>
      </c>
      <c r="E622" s="9">
        <f>STATS1003B!E650/1000</f>
        <v>2567</v>
      </c>
      <c r="F622" s="9">
        <f>STATS1003B!F650/1000</f>
        <v>2567</v>
      </c>
      <c r="G622" s="9">
        <f>STATS1003B!G650/1000</f>
        <v>0</v>
      </c>
      <c r="H622" s="9">
        <f>STATS1003B!H650/1000</f>
        <v>2567</v>
      </c>
      <c r="I622" s="9">
        <f>STATS1003B!I650/1000</f>
        <v>0</v>
      </c>
      <c r="J622" s="9">
        <f>STATS1003B!J650/1000</f>
        <v>2567</v>
      </c>
      <c r="K622" s="9">
        <f>STATS1003B!K650/1000</f>
        <v>0</v>
      </c>
      <c r="L622" s="9">
        <f>STATS1003B!L650/1000</f>
        <v>0</v>
      </c>
      <c r="M622" s="9">
        <f>STATS1003B!M650/1000</f>
        <v>2567</v>
      </c>
      <c r="N622" s="9">
        <f>STATS1003B!N650/1000</f>
        <v>0</v>
      </c>
      <c r="O622" s="9">
        <f>STATS1003B!O650/1000</f>
        <v>0</v>
      </c>
      <c r="P622" s="9">
        <f>STATS1003B!P650/1000</f>
        <v>0</v>
      </c>
      <c r="Q622" s="9">
        <f>STATS1003B!Q650/1000</f>
        <v>0</v>
      </c>
      <c r="R622" s="9">
        <f>STATS1003B!R650/1000</f>
        <v>0</v>
      </c>
      <c r="S622" s="9">
        <f>STATS1003B!S650/1000</f>
        <v>0</v>
      </c>
      <c r="T622" s="9">
        <f>STATS1003B!T650/1000</f>
        <v>0</v>
      </c>
      <c r="U622" s="9">
        <f>STATS1003B!U650/1000</f>
        <v>0</v>
      </c>
      <c r="V622" s="9">
        <f>STATS1003B!V650/1000</f>
        <v>2567</v>
      </c>
      <c r="W622" s="9">
        <f>STATS1003B!W650/1000</f>
        <v>0</v>
      </c>
      <c r="X622" s="9">
        <f>STATS1003B!X650/1000</f>
        <v>2567</v>
      </c>
      <c r="Y622" s="9">
        <f>STATS1003B!Y650/1000</f>
        <v>0</v>
      </c>
      <c r="Z622" s="9">
        <f>STATS1003B!Z650/1000</f>
        <v>0</v>
      </c>
      <c r="AA622" s="9">
        <f>STATS1003B!AA650/1000</f>
        <v>2567</v>
      </c>
      <c r="AB622" s="9">
        <f>STATS1003B!AB650/1000</f>
        <v>0</v>
      </c>
    </row>
    <row r="623" spans="1:28" x14ac:dyDescent="0.35">
      <c r="A623" s="36"/>
      <c r="B623" s="8"/>
      <c r="C623" s="7" t="s">
        <v>596</v>
      </c>
      <c r="D623" s="15" t="s">
        <v>78</v>
      </c>
      <c r="E623" s="9">
        <f>STATS1003B!E651/1000</f>
        <v>767.54544999999996</v>
      </c>
      <c r="F623" s="9">
        <f>STATS1003B!F651/1000</f>
        <v>721.69299999999998</v>
      </c>
      <c r="G623" s="9">
        <f>STATS1003B!G651/1000</f>
        <v>0</v>
      </c>
      <c r="H623" s="9">
        <f>STATS1003B!H651/1000</f>
        <v>721.69299999999998</v>
      </c>
      <c r="I623" s="9">
        <f>STATS1003B!I651/1000</f>
        <v>0</v>
      </c>
      <c r="J623" s="9">
        <f>STATS1003B!J651/1000</f>
        <v>721.69299999999998</v>
      </c>
      <c r="K623" s="9">
        <f>STATS1003B!K651/1000</f>
        <v>45.852449999999997</v>
      </c>
      <c r="L623" s="9">
        <f>STATS1003B!L651/1000</f>
        <v>0</v>
      </c>
      <c r="M623" s="9">
        <f>STATS1003B!M651/1000</f>
        <v>721.69299999999998</v>
      </c>
      <c r="N623" s="9">
        <f>STATS1003B!N651/1000</f>
        <v>45.852449999999997</v>
      </c>
      <c r="O623" s="9">
        <f>STATS1003B!O651/1000</f>
        <v>0</v>
      </c>
      <c r="P623" s="9">
        <f>STATS1003B!P651/1000</f>
        <v>45.852449999999997</v>
      </c>
      <c r="Q623" s="9">
        <f>STATS1003B!Q651/1000</f>
        <v>0</v>
      </c>
      <c r="R623" s="9">
        <f>STATS1003B!R651/1000</f>
        <v>0</v>
      </c>
      <c r="S623" s="9">
        <f>STATS1003B!S651/1000</f>
        <v>0</v>
      </c>
      <c r="T623" s="9">
        <f>STATS1003B!T651/1000</f>
        <v>0</v>
      </c>
      <c r="U623" s="9">
        <f>STATS1003B!U651/1000</f>
        <v>45.852449999999997</v>
      </c>
      <c r="V623" s="9">
        <f>STATS1003B!V651/1000</f>
        <v>767.54544999999996</v>
      </c>
      <c r="W623" s="9">
        <f>STATS1003B!W651/1000</f>
        <v>0</v>
      </c>
      <c r="X623" s="9">
        <f>STATS1003B!X651/1000</f>
        <v>767.54544999999996</v>
      </c>
      <c r="Y623" s="9">
        <f>STATS1003B!Y651/1000</f>
        <v>0</v>
      </c>
      <c r="Z623" s="9">
        <f>STATS1003B!Z651/1000</f>
        <v>0</v>
      </c>
      <c r="AA623" s="9">
        <f>STATS1003B!AA651/1000</f>
        <v>767.54544999999996</v>
      </c>
      <c r="AB623" s="9">
        <f>STATS1003B!AB651/1000</f>
        <v>0</v>
      </c>
    </row>
    <row r="624" spans="1:28" x14ac:dyDescent="0.35">
      <c r="A624" s="36"/>
      <c r="B624" s="8"/>
      <c r="C624" s="7" t="s">
        <v>597</v>
      </c>
      <c r="D624" s="15" t="s">
        <v>78</v>
      </c>
      <c r="E624" s="9">
        <f>STATS1003B!E652/1000</f>
        <v>807.5</v>
      </c>
      <c r="F624" s="9">
        <f>STATS1003B!F652/1000</f>
        <v>807.5</v>
      </c>
      <c r="G624" s="9">
        <f>STATS1003B!G652/1000</f>
        <v>0</v>
      </c>
      <c r="H624" s="9">
        <f>STATS1003B!H652/1000</f>
        <v>807.5</v>
      </c>
      <c r="I624" s="9">
        <f>STATS1003B!I652/1000</f>
        <v>0</v>
      </c>
      <c r="J624" s="9">
        <f>STATS1003B!J652/1000</f>
        <v>807.5</v>
      </c>
      <c r="K624" s="9">
        <f>STATS1003B!K652/1000</f>
        <v>0</v>
      </c>
      <c r="L624" s="9">
        <f>STATS1003B!L652/1000</f>
        <v>0</v>
      </c>
      <c r="M624" s="9">
        <f>STATS1003B!M652/1000</f>
        <v>807.5</v>
      </c>
      <c r="N624" s="9">
        <f>STATS1003B!N652/1000</f>
        <v>0</v>
      </c>
      <c r="O624" s="9">
        <f>STATS1003B!O652/1000</f>
        <v>0</v>
      </c>
      <c r="P624" s="9">
        <f>STATS1003B!P652/1000</f>
        <v>0</v>
      </c>
      <c r="Q624" s="9">
        <f>STATS1003B!Q652/1000</f>
        <v>0</v>
      </c>
      <c r="R624" s="9">
        <f>STATS1003B!R652/1000</f>
        <v>0</v>
      </c>
      <c r="S624" s="9">
        <f>STATS1003B!S652/1000</f>
        <v>0</v>
      </c>
      <c r="T624" s="9">
        <f>STATS1003B!T652/1000</f>
        <v>0</v>
      </c>
      <c r="U624" s="9">
        <f>STATS1003B!U652/1000</f>
        <v>0</v>
      </c>
      <c r="V624" s="9">
        <f>STATS1003B!V652/1000</f>
        <v>807.5</v>
      </c>
      <c r="W624" s="9">
        <f>STATS1003B!W652/1000</f>
        <v>0</v>
      </c>
      <c r="X624" s="9">
        <f>STATS1003B!X652/1000</f>
        <v>807.5</v>
      </c>
      <c r="Y624" s="9">
        <f>STATS1003B!Y652/1000</f>
        <v>0</v>
      </c>
      <c r="Z624" s="9">
        <f>STATS1003B!Z652/1000</f>
        <v>0</v>
      </c>
      <c r="AA624" s="9">
        <f>STATS1003B!AA652/1000</f>
        <v>807.5</v>
      </c>
      <c r="AB624" s="9">
        <f>STATS1003B!AB652/1000</f>
        <v>0</v>
      </c>
    </row>
    <row r="625" spans="1:28" x14ac:dyDescent="0.35">
      <c r="A625" s="36"/>
      <c r="B625" s="8"/>
      <c r="C625" s="7" t="s">
        <v>535</v>
      </c>
      <c r="D625" s="15" t="s">
        <v>68</v>
      </c>
      <c r="E625" s="9">
        <f>STATS1003B!E653/1000</f>
        <v>188.76499999999999</v>
      </c>
      <c r="F625" s="9">
        <f>STATS1003B!F653/1000</f>
        <v>188.76499999999999</v>
      </c>
      <c r="G625" s="9">
        <f>STATS1003B!G653/1000</f>
        <v>0</v>
      </c>
      <c r="H625" s="9">
        <f>STATS1003B!H653/1000</f>
        <v>188.76499999999999</v>
      </c>
      <c r="I625" s="9">
        <f>STATS1003B!I653/1000</f>
        <v>0</v>
      </c>
      <c r="J625" s="9">
        <f>STATS1003B!J653/1000</f>
        <v>188.76499999999999</v>
      </c>
      <c r="K625" s="9">
        <f>STATS1003B!K653/1000</f>
        <v>0</v>
      </c>
      <c r="L625" s="9">
        <f>STATS1003B!L653/1000</f>
        <v>0</v>
      </c>
      <c r="M625" s="9">
        <f>STATS1003B!M653/1000</f>
        <v>188.76499999999999</v>
      </c>
      <c r="N625" s="9">
        <f>STATS1003B!N653/1000</f>
        <v>0</v>
      </c>
      <c r="O625" s="9">
        <f>STATS1003B!O653/1000</f>
        <v>0</v>
      </c>
      <c r="P625" s="9">
        <f>STATS1003B!P653/1000</f>
        <v>0</v>
      </c>
      <c r="Q625" s="9">
        <f>STATS1003B!Q653/1000</f>
        <v>0</v>
      </c>
      <c r="R625" s="9">
        <f>STATS1003B!R653/1000</f>
        <v>0</v>
      </c>
      <c r="S625" s="9">
        <f>STATS1003B!S653/1000</f>
        <v>0</v>
      </c>
      <c r="T625" s="9">
        <f>STATS1003B!T653/1000</f>
        <v>0</v>
      </c>
      <c r="U625" s="9">
        <f>STATS1003B!U653/1000</f>
        <v>0</v>
      </c>
      <c r="V625" s="9">
        <f>STATS1003B!V653/1000</f>
        <v>188.76499999999999</v>
      </c>
      <c r="W625" s="9">
        <f>STATS1003B!W653/1000</f>
        <v>0</v>
      </c>
      <c r="X625" s="9">
        <f>STATS1003B!X653/1000</f>
        <v>188.76499999999999</v>
      </c>
      <c r="Y625" s="9">
        <f>STATS1003B!Y653/1000</f>
        <v>0</v>
      </c>
      <c r="Z625" s="9">
        <f>STATS1003B!Z653/1000</f>
        <v>0</v>
      </c>
      <c r="AA625" s="9">
        <f>STATS1003B!AA653/1000</f>
        <v>188.76499999999999</v>
      </c>
      <c r="AB625" s="9">
        <f>STATS1003B!AB653/1000</f>
        <v>0</v>
      </c>
    </row>
    <row r="626" spans="1:28" x14ac:dyDescent="0.35">
      <c r="A626" s="36"/>
      <c r="B626" s="8"/>
      <c r="C626" s="7" t="s">
        <v>539</v>
      </c>
      <c r="D626" s="15" t="s">
        <v>68</v>
      </c>
      <c r="E626" s="9">
        <f>STATS1003B!E654/1000</f>
        <v>333.971</v>
      </c>
      <c r="F626" s="9">
        <f>STATS1003B!F654/1000</f>
        <v>0</v>
      </c>
      <c r="G626" s="9">
        <f>STATS1003B!G654/1000</f>
        <v>0</v>
      </c>
      <c r="H626" s="9">
        <f>STATS1003B!H654/1000</f>
        <v>0</v>
      </c>
      <c r="I626" s="9">
        <f>STATS1003B!I654/1000</f>
        <v>0</v>
      </c>
      <c r="J626" s="9">
        <f>STATS1003B!J654/1000</f>
        <v>0</v>
      </c>
      <c r="K626" s="9">
        <f>STATS1003B!K654/1000</f>
        <v>333.971</v>
      </c>
      <c r="L626" s="9">
        <f>STATS1003B!L654/1000</f>
        <v>0</v>
      </c>
      <c r="M626" s="9">
        <f>STATS1003B!M654/1000</f>
        <v>0</v>
      </c>
      <c r="N626" s="9">
        <f>STATS1003B!N654/1000</f>
        <v>333.971</v>
      </c>
      <c r="O626" s="9">
        <f>STATS1003B!O654/1000</f>
        <v>0</v>
      </c>
      <c r="P626" s="9">
        <f>STATS1003B!P654/1000</f>
        <v>333.971</v>
      </c>
      <c r="Q626" s="9">
        <f>STATS1003B!Q654/1000</f>
        <v>0</v>
      </c>
      <c r="R626" s="9">
        <f>STATS1003B!R654/1000</f>
        <v>0</v>
      </c>
      <c r="S626" s="9">
        <f>STATS1003B!S654/1000</f>
        <v>0</v>
      </c>
      <c r="T626" s="9">
        <f>STATS1003B!T654/1000</f>
        <v>0</v>
      </c>
      <c r="U626" s="9">
        <f>STATS1003B!U654/1000</f>
        <v>333.971</v>
      </c>
      <c r="V626" s="9">
        <f>STATS1003B!V654/1000</f>
        <v>333.971</v>
      </c>
      <c r="W626" s="9">
        <f>STATS1003B!W654/1000</f>
        <v>0</v>
      </c>
      <c r="X626" s="9">
        <f>STATS1003B!X654/1000</f>
        <v>333.971</v>
      </c>
      <c r="Y626" s="9">
        <f>STATS1003B!Y654/1000</f>
        <v>0</v>
      </c>
      <c r="Z626" s="9">
        <f>STATS1003B!Z654/1000</f>
        <v>0</v>
      </c>
      <c r="AA626" s="9">
        <f>STATS1003B!AA654/1000</f>
        <v>333.971</v>
      </c>
      <c r="AB626" s="9">
        <f>STATS1003B!AB654/1000</f>
        <v>0</v>
      </c>
    </row>
    <row r="627" spans="1:28" x14ac:dyDescent="0.35">
      <c r="A627" s="36"/>
      <c r="B627" s="8"/>
      <c r="C627" s="7" t="s">
        <v>535</v>
      </c>
      <c r="D627" s="15" t="s">
        <v>54</v>
      </c>
      <c r="E627" s="9">
        <f>STATS1003B!E655/1000</f>
        <v>149.983</v>
      </c>
      <c r="F627" s="9">
        <f>STATS1003B!F655/1000</f>
        <v>149.983</v>
      </c>
      <c r="G627" s="9">
        <f>STATS1003B!G655/1000</f>
        <v>0</v>
      </c>
      <c r="H627" s="9">
        <f>STATS1003B!H655/1000</f>
        <v>149.983</v>
      </c>
      <c r="I627" s="9">
        <f>STATS1003B!I655/1000</f>
        <v>0</v>
      </c>
      <c r="J627" s="9">
        <f>STATS1003B!J655/1000</f>
        <v>149.983</v>
      </c>
      <c r="K627" s="9">
        <f>STATS1003B!K655/1000</f>
        <v>0</v>
      </c>
      <c r="L627" s="9">
        <f>STATS1003B!L655/1000</f>
        <v>0</v>
      </c>
      <c r="M627" s="9">
        <f>STATS1003B!M655/1000</f>
        <v>149.983</v>
      </c>
      <c r="N627" s="9">
        <f>STATS1003B!N655/1000</f>
        <v>0</v>
      </c>
      <c r="O627" s="9">
        <f>STATS1003B!O655/1000</f>
        <v>0</v>
      </c>
      <c r="P627" s="9">
        <f>STATS1003B!P655/1000</f>
        <v>0</v>
      </c>
      <c r="Q627" s="9">
        <f>STATS1003B!Q655/1000</f>
        <v>0</v>
      </c>
      <c r="R627" s="9">
        <f>STATS1003B!R655/1000</f>
        <v>0</v>
      </c>
      <c r="S627" s="9">
        <f>STATS1003B!S655/1000</f>
        <v>0</v>
      </c>
      <c r="T627" s="9">
        <f>STATS1003B!T655/1000</f>
        <v>0</v>
      </c>
      <c r="U627" s="9">
        <f>STATS1003B!U655/1000</f>
        <v>0</v>
      </c>
      <c r="V627" s="9">
        <f>STATS1003B!V655/1000</f>
        <v>149.983</v>
      </c>
      <c r="W627" s="9">
        <f>STATS1003B!W655/1000</f>
        <v>0</v>
      </c>
      <c r="X627" s="9">
        <f>STATS1003B!X655/1000</f>
        <v>149.983</v>
      </c>
      <c r="Y627" s="9">
        <f>STATS1003B!Y655/1000</f>
        <v>0</v>
      </c>
      <c r="Z627" s="9">
        <f>STATS1003B!Z655/1000</f>
        <v>0</v>
      </c>
      <c r="AA627" s="9">
        <f>STATS1003B!AA655/1000</f>
        <v>149.983</v>
      </c>
      <c r="AB627" s="9">
        <f>STATS1003B!AB655/1000</f>
        <v>0</v>
      </c>
    </row>
    <row r="628" spans="1:28" x14ac:dyDescent="0.35">
      <c r="A628" s="36"/>
      <c r="B628" s="8"/>
      <c r="C628" s="7" t="s">
        <v>545</v>
      </c>
      <c r="D628" s="15" t="s">
        <v>54</v>
      </c>
      <c r="E628" s="9">
        <f>STATS1003B!E656/1000</f>
        <v>570.94100000000003</v>
      </c>
      <c r="F628" s="9">
        <f>STATS1003B!F656/1000</f>
        <v>0</v>
      </c>
      <c r="G628" s="9">
        <f>STATS1003B!G656/1000</f>
        <v>0</v>
      </c>
      <c r="H628" s="9">
        <f>STATS1003B!H656/1000</f>
        <v>0</v>
      </c>
      <c r="I628" s="9">
        <f>STATS1003B!I656/1000</f>
        <v>0</v>
      </c>
      <c r="J628" s="9">
        <f>STATS1003B!J656/1000</f>
        <v>0</v>
      </c>
      <c r="K628" s="9">
        <f>STATS1003B!K656/1000</f>
        <v>570.94100000000003</v>
      </c>
      <c r="L628" s="9">
        <f>STATS1003B!L656/1000</f>
        <v>0</v>
      </c>
      <c r="M628" s="9">
        <f>STATS1003B!M656/1000</f>
        <v>0</v>
      </c>
      <c r="N628" s="9">
        <f>STATS1003B!N656/1000</f>
        <v>570.94100000000003</v>
      </c>
      <c r="O628" s="9">
        <f>STATS1003B!O656/1000</f>
        <v>0</v>
      </c>
      <c r="P628" s="9">
        <f>STATS1003B!P656/1000</f>
        <v>570.94100000000003</v>
      </c>
      <c r="Q628" s="9">
        <f>STATS1003B!Q656/1000</f>
        <v>0</v>
      </c>
      <c r="R628" s="9">
        <f>STATS1003B!R656/1000</f>
        <v>0</v>
      </c>
      <c r="S628" s="9">
        <f>STATS1003B!S656/1000</f>
        <v>0</v>
      </c>
      <c r="T628" s="9">
        <f>STATS1003B!T656/1000</f>
        <v>0</v>
      </c>
      <c r="U628" s="9">
        <f>STATS1003B!U656/1000</f>
        <v>570.94100000000003</v>
      </c>
      <c r="V628" s="9">
        <f>STATS1003B!V656/1000</f>
        <v>570.94100000000003</v>
      </c>
      <c r="W628" s="9">
        <f>STATS1003B!W656/1000</f>
        <v>0</v>
      </c>
      <c r="X628" s="9">
        <f>STATS1003B!X656/1000</f>
        <v>570.94100000000003</v>
      </c>
      <c r="Y628" s="9">
        <f>STATS1003B!Y656/1000</f>
        <v>0</v>
      </c>
      <c r="Z628" s="9">
        <f>STATS1003B!Z656/1000</f>
        <v>0</v>
      </c>
      <c r="AA628" s="9">
        <f>STATS1003B!AA656/1000</f>
        <v>570.94100000000003</v>
      </c>
      <c r="AB628" s="9">
        <f>STATS1003B!AB656/1000</f>
        <v>0</v>
      </c>
    </row>
    <row r="629" spans="1:28" x14ac:dyDescent="0.35">
      <c r="A629" s="36"/>
      <c r="B629" s="8"/>
      <c r="C629" s="7" t="s">
        <v>535</v>
      </c>
      <c r="D629" s="15" t="s">
        <v>108</v>
      </c>
      <c r="E629" s="9">
        <f>STATS1003B!E657/1000</f>
        <v>1000</v>
      </c>
      <c r="F629" s="9">
        <f>STATS1003B!F657/1000</f>
        <v>1000</v>
      </c>
      <c r="G629" s="9">
        <f>STATS1003B!G657/1000</f>
        <v>0</v>
      </c>
      <c r="H629" s="9">
        <f>STATS1003B!H657/1000</f>
        <v>1000</v>
      </c>
      <c r="I629" s="9">
        <f>STATS1003B!I657/1000</f>
        <v>0</v>
      </c>
      <c r="J629" s="9">
        <f>STATS1003B!J657/1000</f>
        <v>1000</v>
      </c>
      <c r="K629" s="9">
        <f>STATS1003B!K657/1000</f>
        <v>0</v>
      </c>
      <c r="L629" s="9">
        <f>STATS1003B!L657/1000</f>
        <v>0</v>
      </c>
      <c r="M629" s="9">
        <f>STATS1003B!M657/1000</f>
        <v>1000</v>
      </c>
      <c r="N629" s="9">
        <f>STATS1003B!N657/1000</f>
        <v>0</v>
      </c>
      <c r="O629" s="9">
        <f>STATS1003B!O657/1000</f>
        <v>0</v>
      </c>
      <c r="P629" s="9">
        <f>STATS1003B!P657/1000</f>
        <v>0</v>
      </c>
      <c r="Q629" s="9">
        <f>STATS1003B!Q657/1000</f>
        <v>0</v>
      </c>
      <c r="R629" s="9">
        <f>STATS1003B!R657/1000</f>
        <v>0</v>
      </c>
      <c r="S629" s="9">
        <f>STATS1003B!S657/1000</f>
        <v>0</v>
      </c>
      <c r="T629" s="9">
        <f>STATS1003B!T657/1000</f>
        <v>0</v>
      </c>
      <c r="U629" s="9">
        <f>STATS1003B!U657/1000</f>
        <v>0</v>
      </c>
      <c r="V629" s="9">
        <f>STATS1003B!V657/1000</f>
        <v>1000</v>
      </c>
      <c r="W629" s="9">
        <f>STATS1003B!W657/1000</f>
        <v>0</v>
      </c>
      <c r="X629" s="9">
        <f>STATS1003B!X657/1000</f>
        <v>1000</v>
      </c>
      <c r="Y629" s="9">
        <f>STATS1003B!Y657/1000</f>
        <v>0</v>
      </c>
      <c r="Z629" s="9">
        <f>STATS1003B!Z657/1000</f>
        <v>0</v>
      </c>
      <c r="AA629" s="9">
        <f>STATS1003B!AA657/1000</f>
        <v>1000</v>
      </c>
      <c r="AB629" s="9">
        <f>STATS1003B!AB657/1000</f>
        <v>0</v>
      </c>
    </row>
    <row r="630" spans="1:28" x14ac:dyDescent="0.35">
      <c r="A630" s="36"/>
      <c r="B630" s="8"/>
      <c r="C630" s="7" t="s">
        <v>598</v>
      </c>
      <c r="D630" s="8"/>
      <c r="E630" s="9">
        <f>STATS1003B!E658/1000</f>
        <v>619.14700000000005</v>
      </c>
      <c r="F630" s="9">
        <f>STATS1003B!F658/1000</f>
        <v>619.14700000000005</v>
      </c>
      <c r="G630" s="9">
        <f>STATS1003B!G658/1000</f>
        <v>0</v>
      </c>
      <c r="H630" s="9">
        <f>STATS1003B!H658/1000</f>
        <v>619.14700000000005</v>
      </c>
      <c r="I630" s="9">
        <f>STATS1003B!I658/1000</f>
        <v>0</v>
      </c>
      <c r="J630" s="9">
        <f>STATS1003B!J658/1000</f>
        <v>619.14700000000005</v>
      </c>
      <c r="K630" s="9">
        <f>STATS1003B!K658/1000</f>
        <v>0</v>
      </c>
      <c r="L630" s="9">
        <f>STATS1003B!L658/1000</f>
        <v>0</v>
      </c>
      <c r="M630" s="9">
        <f>STATS1003B!M658/1000</f>
        <v>619.14700000000005</v>
      </c>
      <c r="N630" s="9">
        <f>STATS1003B!N658/1000</f>
        <v>0</v>
      </c>
      <c r="O630" s="9">
        <f>STATS1003B!O658/1000</f>
        <v>0</v>
      </c>
      <c r="P630" s="9">
        <f>STATS1003B!P658/1000</f>
        <v>0</v>
      </c>
      <c r="Q630" s="9">
        <f>STATS1003B!Q658/1000</f>
        <v>0</v>
      </c>
      <c r="R630" s="9">
        <f>STATS1003B!R658/1000</f>
        <v>0</v>
      </c>
      <c r="S630" s="9">
        <f>STATS1003B!S658/1000</f>
        <v>0</v>
      </c>
      <c r="T630" s="9">
        <f>STATS1003B!T658/1000</f>
        <v>0</v>
      </c>
      <c r="U630" s="9">
        <f>STATS1003B!U658/1000</f>
        <v>0</v>
      </c>
      <c r="V630" s="9">
        <f>STATS1003B!V658/1000</f>
        <v>619.14700000000005</v>
      </c>
      <c r="W630" s="9">
        <f>STATS1003B!W658/1000</f>
        <v>0</v>
      </c>
      <c r="X630" s="9">
        <f>STATS1003B!X658/1000</f>
        <v>619.14700000000005</v>
      </c>
      <c r="Y630" s="9">
        <f>STATS1003B!Y658/1000</f>
        <v>0</v>
      </c>
      <c r="Z630" s="9">
        <f>STATS1003B!Z658/1000</f>
        <v>0</v>
      </c>
      <c r="AA630" s="9">
        <f>STATS1003B!AA658/1000</f>
        <v>619.14700000000005</v>
      </c>
      <c r="AB630" s="9">
        <f>STATS1003B!AB658/1000</f>
        <v>0</v>
      </c>
    </row>
    <row r="631" spans="1:28" x14ac:dyDescent="0.35">
      <c r="A631" s="36"/>
      <c r="B631" s="8"/>
      <c r="C631" s="7" t="s">
        <v>551</v>
      </c>
      <c r="D631" s="8"/>
      <c r="E631" s="9">
        <f>STATS1003B!E659/1000</f>
        <v>988.4185500000001</v>
      </c>
      <c r="F631" s="9">
        <f>STATS1003B!F659/1000</f>
        <v>988.4185500000001</v>
      </c>
      <c r="G631" s="9">
        <f>STATS1003B!G659/1000</f>
        <v>0</v>
      </c>
      <c r="H631" s="9">
        <f>STATS1003B!H659/1000</f>
        <v>988.4185500000001</v>
      </c>
      <c r="I631" s="9">
        <f>STATS1003B!I659/1000</f>
        <v>0</v>
      </c>
      <c r="J631" s="9">
        <f>STATS1003B!J659/1000</f>
        <v>988.4185500000001</v>
      </c>
      <c r="K631" s="9">
        <f>STATS1003B!K659/1000</f>
        <v>0</v>
      </c>
      <c r="L631" s="9">
        <f>STATS1003B!L659/1000</f>
        <v>0</v>
      </c>
      <c r="M631" s="9">
        <f>STATS1003B!M659/1000</f>
        <v>988.4185500000001</v>
      </c>
      <c r="N631" s="9">
        <f>STATS1003B!N659/1000</f>
        <v>0</v>
      </c>
      <c r="O631" s="9">
        <f>STATS1003B!O659/1000</f>
        <v>0</v>
      </c>
      <c r="P631" s="9">
        <f>STATS1003B!P659/1000</f>
        <v>0</v>
      </c>
      <c r="Q631" s="9">
        <f>STATS1003B!Q659/1000</f>
        <v>0</v>
      </c>
      <c r="R631" s="9">
        <f>STATS1003B!R659/1000</f>
        <v>0</v>
      </c>
      <c r="S631" s="9">
        <f>STATS1003B!S659/1000</f>
        <v>0</v>
      </c>
      <c r="T631" s="9">
        <f>STATS1003B!T659/1000</f>
        <v>0</v>
      </c>
      <c r="U631" s="9">
        <f>STATS1003B!U659/1000</f>
        <v>0</v>
      </c>
      <c r="V631" s="9">
        <f>STATS1003B!V659/1000</f>
        <v>988.4185500000001</v>
      </c>
      <c r="W631" s="9">
        <f>STATS1003B!W659/1000</f>
        <v>0</v>
      </c>
      <c r="X631" s="9">
        <f>STATS1003B!X659/1000</f>
        <v>988.4185500000001</v>
      </c>
      <c r="Y631" s="9">
        <f>STATS1003B!Y659/1000</f>
        <v>0</v>
      </c>
      <c r="Z631" s="9">
        <f>STATS1003B!Z659/1000</f>
        <v>0</v>
      </c>
      <c r="AA631" s="9">
        <f>STATS1003B!AA659/1000</f>
        <v>988.4185500000001</v>
      </c>
      <c r="AB631" s="9">
        <f>STATS1003B!AB659/1000</f>
        <v>0</v>
      </c>
    </row>
    <row r="632" spans="1:28" x14ac:dyDescent="0.35">
      <c r="A632" s="36"/>
      <c r="B632" s="8"/>
      <c r="C632" s="8"/>
      <c r="D632" s="8"/>
      <c r="E632" s="17" t="s">
        <v>29</v>
      </c>
      <c r="F632" s="17" t="s">
        <v>29</v>
      </c>
      <c r="G632" s="17" t="s">
        <v>29</v>
      </c>
      <c r="H632" s="17" t="s">
        <v>29</v>
      </c>
      <c r="I632" s="17" t="s">
        <v>29</v>
      </c>
      <c r="J632" s="17" t="s">
        <v>29</v>
      </c>
      <c r="K632" s="17" t="s">
        <v>29</v>
      </c>
      <c r="L632" s="17" t="s">
        <v>29</v>
      </c>
      <c r="M632" s="17" t="s">
        <v>29</v>
      </c>
      <c r="N632" s="17" t="s">
        <v>29</v>
      </c>
      <c r="O632" s="17" t="s">
        <v>29</v>
      </c>
      <c r="P632" s="17" t="s">
        <v>29</v>
      </c>
      <c r="Q632" s="17" t="s">
        <v>29</v>
      </c>
      <c r="R632" s="17" t="s">
        <v>29</v>
      </c>
      <c r="S632" s="17" t="s">
        <v>29</v>
      </c>
      <c r="T632" s="17" t="s">
        <v>29</v>
      </c>
      <c r="U632" s="17" t="s">
        <v>29</v>
      </c>
      <c r="V632" s="17" t="s">
        <v>29</v>
      </c>
      <c r="W632" s="17" t="s">
        <v>29</v>
      </c>
      <c r="X632" s="17" t="s">
        <v>29</v>
      </c>
      <c r="Y632" s="17" t="s">
        <v>29</v>
      </c>
      <c r="Z632" s="17" t="s">
        <v>29</v>
      </c>
      <c r="AA632" s="17" t="s">
        <v>29</v>
      </c>
      <c r="AB632" s="17" t="s">
        <v>29</v>
      </c>
    </row>
    <row r="633" spans="1:28" x14ac:dyDescent="0.35">
      <c r="A633" s="36"/>
      <c r="B633" s="8"/>
      <c r="C633" s="8"/>
      <c r="D633" s="8"/>
      <c r="E633" s="9">
        <f t="shared" ref="E633:Q633" si="42">SUM(E621:E632)</f>
        <v>11318.737450000002</v>
      </c>
      <c r="F633" s="9">
        <f t="shared" si="42"/>
        <v>9957.8914700000023</v>
      </c>
      <c r="G633" s="9">
        <f t="shared" si="42"/>
        <v>0</v>
      </c>
      <c r="H633" s="9">
        <f t="shared" si="42"/>
        <v>9957.8914700000023</v>
      </c>
      <c r="I633" s="9">
        <f t="shared" si="42"/>
        <v>0</v>
      </c>
      <c r="J633" s="9">
        <f t="shared" si="42"/>
        <v>9957.8914700000023</v>
      </c>
      <c r="K633" s="9">
        <f t="shared" si="42"/>
        <v>1360.8459800000001</v>
      </c>
      <c r="L633" s="9">
        <f t="shared" si="42"/>
        <v>0</v>
      </c>
      <c r="M633" s="9">
        <f t="shared" si="42"/>
        <v>9957.8914700000023</v>
      </c>
      <c r="N633" s="9">
        <f t="shared" si="42"/>
        <v>1360.8459800000001</v>
      </c>
      <c r="O633" s="9">
        <f t="shared" si="42"/>
        <v>0</v>
      </c>
      <c r="P633" s="9">
        <f t="shared" si="42"/>
        <v>1360.8459800000001</v>
      </c>
      <c r="Q633" s="9">
        <f t="shared" si="42"/>
        <v>0</v>
      </c>
      <c r="R633" s="17"/>
      <c r="S633" s="17"/>
      <c r="T633" s="9">
        <f t="shared" ref="T633:Z633" si="43">SUM(T621:T632)</f>
        <v>0</v>
      </c>
      <c r="U633" s="9">
        <f t="shared" si="43"/>
        <v>1360.8459800000001</v>
      </c>
      <c r="V633" s="9">
        <f t="shared" si="43"/>
        <v>11318.737450000002</v>
      </c>
      <c r="W633" s="9">
        <f t="shared" si="43"/>
        <v>0</v>
      </c>
      <c r="X633" s="9">
        <f t="shared" si="43"/>
        <v>11318.737450000002</v>
      </c>
      <c r="Y633" s="9">
        <f t="shared" si="43"/>
        <v>0</v>
      </c>
      <c r="Z633" s="9">
        <f t="shared" si="43"/>
        <v>0</v>
      </c>
      <c r="AA633" s="9">
        <f>SUM(AA621:AA632)</f>
        <v>11318.737450000002</v>
      </c>
      <c r="AB633" s="9">
        <f>SUM(AB621:AB632)</f>
        <v>0</v>
      </c>
    </row>
    <row r="634" spans="1:28" x14ac:dyDescent="0.35">
      <c r="A634" s="36"/>
      <c r="B634" s="8"/>
      <c r="C634" s="8"/>
      <c r="D634" s="8"/>
      <c r="E634" s="17" t="s">
        <v>29</v>
      </c>
      <c r="F634" s="17" t="s">
        <v>29</v>
      </c>
      <c r="G634" s="17" t="s">
        <v>29</v>
      </c>
      <c r="H634" s="17" t="s">
        <v>29</v>
      </c>
      <c r="I634" s="17" t="s">
        <v>29</v>
      </c>
      <c r="J634" s="17" t="s">
        <v>29</v>
      </c>
      <c r="K634" s="17" t="s">
        <v>29</v>
      </c>
      <c r="L634" s="17" t="s">
        <v>29</v>
      </c>
      <c r="M634" s="17" t="s">
        <v>29</v>
      </c>
      <c r="N634" s="17" t="s">
        <v>29</v>
      </c>
      <c r="O634" s="17" t="s">
        <v>29</v>
      </c>
      <c r="P634" s="17" t="s">
        <v>29</v>
      </c>
      <c r="Q634" s="17" t="s">
        <v>29</v>
      </c>
      <c r="R634" s="17" t="s">
        <v>29</v>
      </c>
      <c r="S634" s="17" t="s">
        <v>29</v>
      </c>
      <c r="T634" s="17" t="s">
        <v>29</v>
      </c>
      <c r="U634" s="17" t="s">
        <v>29</v>
      </c>
      <c r="V634" s="17" t="s">
        <v>29</v>
      </c>
      <c r="W634" s="17" t="s">
        <v>29</v>
      </c>
      <c r="X634" s="17" t="s">
        <v>29</v>
      </c>
      <c r="Y634" s="17" t="s">
        <v>29</v>
      </c>
      <c r="Z634" s="17" t="s">
        <v>29</v>
      </c>
      <c r="AA634" s="17" t="s">
        <v>29</v>
      </c>
      <c r="AB634" s="17" t="s">
        <v>29</v>
      </c>
    </row>
    <row r="635" spans="1:28" x14ac:dyDescent="0.35">
      <c r="A635" s="38" t="s">
        <v>969</v>
      </c>
      <c r="B635" s="7" t="s">
        <v>599</v>
      </c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17"/>
      <c r="S635" s="17"/>
      <c r="T635" s="17"/>
      <c r="U635" s="17"/>
      <c r="V635" s="17"/>
      <c r="W635" s="17"/>
      <c r="X635" s="17"/>
      <c r="Y635" s="17"/>
      <c r="Z635" s="17"/>
    </row>
    <row r="636" spans="1:28" x14ac:dyDescent="0.35">
      <c r="A636" s="36"/>
      <c r="B636" s="8"/>
      <c r="C636" s="7" t="s">
        <v>539</v>
      </c>
      <c r="D636" s="15" t="s">
        <v>68</v>
      </c>
      <c r="E636" s="9">
        <f>STATS1003B!E664/1000</f>
        <v>278.69670000000002</v>
      </c>
      <c r="F636" s="9">
        <f>STATS1003B!F664/1000</f>
        <v>0</v>
      </c>
      <c r="G636" s="9">
        <f>STATS1003B!G664/1000</f>
        <v>0</v>
      </c>
      <c r="H636" s="9">
        <f>STATS1003B!H664/1000</f>
        <v>0</v>
      </c>
      <c r="I636" s="9">
        <f>STATS1003B!I664/1000</f>
        <v>0</v>
      </c>
      <c r="J636" s="9">
        <f>STATS1003B!J664/1000</f>
        <v>0</v>
      </c>
      <c r="K636" s="9">
        <f>STATS1003B!K664/1000</f>
        <v>278.69670000000002</v>
      </c>
      <c r="L636" s="9">
        <f>STATS1003B!L664/1000</f>
        <v>0</v>
      </c>
      <c r="M636" s="9">
        <f>STATS1003B!M664/1000</f>
        <v>0</v>
      </c>
      <c r="N636" s="9">
        <f>STATS1003B!N664/1000</f>
        <v>278.69670000000002</v>
      </c>
      <c r="O636" s="9">
        <f>STATS1003B!O664/1000</f>
        <v>0</v>
      </c>
      <c r="P636" s="9">
        <f>STATS1003B!P664/1000</f>
        <v>278.69670000000002</v>
      </c>
      <c r="Q636" s="9">
        <f>STATS1003B!Q664/1000</f>
        <v>0</v>
      </c>
      <c r="R636" s="9">
        <f>STATS1003B!R664/1000</f>
        <v>0</v>
      </c>
      <c r="S636" s="9">
        <f>STATS1003B!S664/1000</f>
        <v>0</v>
      </c>
      <c r="T636" s="9">
        <f>STATS1003B!T664/1000</f>
        <v>0</v>
      </c>
      <c r="U636" s="9">
        <f>STATS1003B!U664/1000</f>
        <v>278.69670000000002</v>
      </c>
      <c r="V636" s="9">
        <f>STATS1003B!V664/1000</f>
        <v>278.69670000000002</v>
      </c>
      <c r="W636" s="9">
        <f>STATS1003B!W664/1000</f>
        <v>0</v>
      </c>
      <c r="X636" s="9">
        <f>STATS1003B!X664/1000</f>
        <v>278.69670000000002</v>
      </c>
      <c r="Y636" s="9">
        <f>STATS1003B!Y664/1000</f>
        <v>0</v>
      </c>
      <c r="Z636" s="9">
        <f>STATS1003B!Z664/1000</f>
        <v>0</v>
      </c>
      <c r="AA636" s="9">
        <f>STATS1003B!AA664/1000</f>
        <v>278.69670000000002</v>
      </c>
      <c r="AB636" s="9">
        <f>STATS1003B!AB664/1000</f>
        <v>0</v>
      </c>
    </row>
    <row r="637" spans="1:28" x14ac:dyDescent="0.35">
      <c r="A637" s="36"/>
      <c r="B637" s="8"/>
      <c r="C637" s="7" t="s">
        <v>535</v>
      </c>
      <c r="D637" s="15" t="s">
        <v>68</v>
      </c>
      <c r="E637" s="9">
        <f>STATS1003B!E665/1000</f>
        <v>1014.23443</v>
      </c>
      <c r="F637" s="9">
        <f>STATS1003B!F665/1000</f>
        <v>443.33752000000004</v>
      </c>
      <c r="G637" s="9">
        <f>STATS1003B!G665/1000</f>
        <v>0</v>
      </c>
      <c r="H637" s="9">
        <f>STATS1003B!H665/1000</f>
        <v>443.33752000000004</v>
      </c>
      <c r="I637" s="9">
        <f>STATS1003B!I665/1000</f>
        <v>0</v>
      </c>
      <c r="J637" s="9">
        <f>STATS1003B!J665/1000</f>
        <v>443.33752000000004</v>
      </c>
      <c r="K637" s="9">
        <f>STATS1003B!K665/1000</f>
        <v>570.89691000000005</v>
      </c>
      <c r="L637" s="9">
        <f>STATS1003B!L665/1000</f>
        <v>0</v>
      </c>
      <c r="M637" s="9">
        <f>STATS1003B!M665/1000</f>
        <v>443.33752000000004</v>
      </c>
      <c r="N637" s="9">
        <f>STATS1003B!N665/1000</f>
        <v>570.89691000000005</v>
      </c>
      <c r="O637" s="9">
        <f>STATS1003B!O665/1000</f>
        <v>0</v>
      </c>
      <c r="P637" s="9">
        <f>STATS1003B!P665/1000</f>
        <v>570.89691000000005</v>
      </c>
      <c r="Q637" s="9">
        <f>STATS1003B!Q665/1000</f>
        <v>0</v>
      </c>
      <c r="R637" s="9">
        <f>STATS1003B!R665/1000</f>
        <v>0</v>
      </c>
      <c r="S637" s="9">
        <f>STATS1003B!S665/1000</f>
        <v>0</v>
      </c>
      <c r="T637" s="9">
        <f>STATS1003B!T665/1000</f>
        <v>0</v>
      </c>
      <c r="U637" s="9">
        <f>STATS1003B!U665/1000</f>
        <v>570.89691000000005</v>
      </c>
      <c r="V637" s="9">
        <f>STATS1003B!V665/1000</f>
        <v>1014.2344300000001</v>
      </c>
      <c r="W637" s="9">
        <f>STATS1003B!W665/1000</f>
        <v>0</v>
      </c>
      <c r="X637" s="9">
        <f>STATS1003B!X665/1000</f>
        <v>1014.2344300000001</v>
      </c>
      <c r="Y637" s="9">
        <f>STATS1003B!Y665/1000</f>
        <v>0</v>
      </c>
      <c r="Z637" s="9">
        <f>STATS1003B!Z665/1000</f>
        <v>0</v>
      </c>
      <c r="AA637" s="9">
        <f>STATS1003B!AA665/1000</f>
        <v>1014.2344300000001</v>
      </c>
      <c r="AB637" s="9">
        <f>STATS1003B!AB665/1000</f>
        <v>0</v>
      </c>
    </row>
    <row r="638" spans="1:28" x14ac:dyDescent="0.35">
      <c r="A638" s="36"/>
      <c r="B638" s="8"/>
      <c r="C638" s="7" t="s">
        <v>535</v>
      </c>
      <c r="D638" s="15" t="s">
        <v>54</v>
      </c>
      <c r="E638" s="9">
        <f>STATS1003B!E666/1000</f>
        <v>1602.5063500000001</v>
      </c>
      <c r="F638" s="9">
        <f>STATS1003B!F666/1000</f>
        <v>1592.566</v>
      </c>
      <c r="G638" s="9">
        <f>STATS1003B!G666/1000</f>
        <v>0</v>
      </c>
      <c r="H638" s="9">
        <f>STATS1003B!H666/1000</f>
        <v>1592.566</v>
      </c>
      <c r="I638" s="9">
        <f>STATS1003B!I666/1000</f>
        <v>0</v>
      </c>
      <c r="J638" s="9">
        <f>STATS1003B!J666/1000</f>
        <v>1592.566</v>
      </c>
      <c r="K638" s="9">
        <f>STATS1003B!K666/1000</f>
        <v>9.9403500000000005</v>
      </c>
      <c r="L638" s="9">
        <f>STATS1003B!L666/1000</f>
        <v>0</v>
      </c>
      <c r="M638" s="9">
        <f>STATS1003B!M666/1000</f>
        <v>1592.566</v>
      </c>
      <c r="N638" s="9">
        <f>STATS1003B!N666/1000</f>
        <v>9.9403500000000005</v>
      </c>
      <c r="O638" s="9">
        <f>STATS1003B!O666/1000</f>
        <v>0</v>
      </c>
      <c r="P638" s="9">
        <f>STATS1003B!P666/1000</f>
        <v>9.9403500000000005</v>
      </c>
      <c r="Q638" s="9">
        <f>STATS1003B!Q666/1000</f>
        <v>0</v>
      </c>
      <c r="R638" s="9">
        <f>STATS1003B!R666/1000</f>
        <v>0</v>
      </c>
      <c r="S638" s="9">
        <f>STATS1003B!S666/1000</f>
        <v>0</v>
      </c>
      <c r="T638" s="9">
        <f>STATS1003B!T666/1000</f>
        <v>0</v>
      </c>
      <c r="U638" s="9">
        <f>STATS1003B!U666/1000</f>
        <v>9.9403500000000005</v>
      </c>
      <c r="V638" s="9">
        <f>STATS1003B!V666/1000</f>
        <v>1602.5063500000001</v>
      </c>
      <c r="W638" s="9">
        <f>STATS1003B!W666/1000</f>
        <v>0</v>
      </c>
      <c r="X638" s="9">
        <f>STATS1003B!X666/1000</f>
        <v>1602.5063500000001</v>
      </c>
      <c r="Y638" s="9">
        <f>STATS1003B!Y666/1000</f>
        <v>0</v>
      </c>
      <c r="Z638" s="9">
        <f>STATS1003B!Z666/1000</f>
        <v>0</v>
      </c>
      <c r="AA638" s="9">
        <f>STATS1003B!AA666/1000</f>
        <v>1602.5063500000001</v>
      </c>
      <c r="AB638" s="9">
        <f>STATS1003B!AB666/1000</f>
        <v>0</v>
      </c>
    </row>
    <row r="639" spans="1:28" x14ac:dyDescent="0.35">
      <c r="A639" s="36"/>
      <c r="B639" s="8"/>
      <c r="C639" s="7" t="s">
        <v>600</v>
      </c>
      <c r="D639" s="15" t="s">
        <v>54</v>
      </c>
      <c r="E639" s="9">
        <f>STATS1003B!E667/1000</f>
        <v>475</v>
      </c>
      <c r="F639" s="9">
        <f>STATS1003B!F667/1000</f>
        <v>475</v>
      </c>
      <c r="G639" s="9">
        <f>STATS1003B!G667/1000</f>
        <v>0</v>
      </c>
      <c r="H639" s="9">
        <f>STATS1003B!H667/1000</f>
        <v>475</v>
      </c>
      <c r="I639" s="9">
        <f>STATS1003B!I667/1000</f>
        <v>0</v>
      </c>
      <c r="J639" s="9">
        <f>STATS1003B!J667/1000</f>
        <v>475</v>
      </c>
      <c r="K639" s="9">
        <f>STATS1003B!K667/1000</f>
        <v>0</v>
      </c>
      <c r="L639" s="9">
        <f>STATS1003B!L667/1000</f>
        <v>0</v>
      </c>
      <c r="M639" s="9">
        <f>STATS1003B!M667/1000</f>
        <v>475</v>
      </c>
      <c r="N639" s="9">
        <f>STATS1003B!N667/1000</f>
        <v>0</v>
      </c>
      <c r="O639" s="9">
        <f>STATS1003B!O667/1000</f>
        <v>0</v>
      </c>
      <c r="P639" s="9">
        <f>STATS1003B!P667/1000</f>
        <v>0</v>
      </c>
      <c r="Q639" s="9">
        <f>STATS1003B!Q667/1000</f>
        <v>0</v>
      </c>
      <c r="R639" s="9">
        <f>STATS1003B!R667/1000</f>
        <v>0</v>
      </c>
      <c r="S639" s="9">
        <f>STATS1003B!S667/1000</f>
        <v>0</v>
      </c>
      <c r="T639" s="9">
        <f>STATS1003B!T667/1000</f>
        <v>0</v>
      </c>
      <c r="U639" s="9">
        <f>STATS1003B!U667/1000</f>
        <v>0</v>
      </c>
      <c r="V639" s="9">
        <f>STATS1003B!V667/1000</f>
        <v>475</v>
      </c>
      <c r="W639" s="9">
        <f>STATS1003B!W667/1000</f>
        <v>0</v>
      </c>
      <c r="X639" s="9">
        <f>STATS1003B!X667/1000</f>
        <v>475</v>
      </c>
      <c r="Y639" s="9">
        <f>STATS1003B!Y667/1000</f>
        <v>0</v>
      </c>
      <c r="Z639" s="9">
        <f>STATS1003B!Z667/1000</f>
        <v>0</v>
      </c>
      <c r="AA639" s="9">
        <f>STATS1003B!AA667/1000</f>
        <v>475</v>
      </c>
      <c r="AB639" s="9">
        <f>STATS1003B!AB667/1000</f>
        <v>0</v>
      </c>
    </row>
    <row r="640" spans="1:28" x14ac:dyDescent="0.35">
      <c r="A640" s="36"/>
      <c r="B640" s="8"/>
      <c r="C640" s="7" t="s">
        <v>545</v>
      </c>
      <c r="D640" s="15" t="s">
        <v>54</v>
      </c>
      <c r="E640" s="9">
        <f>STATS1003B!E668/1000</f>
        <v>2306.1060000000002</v>
      </c>
      <c r="F640" s="9">
        <f>STATS1003B!F668/1000</f>
        <v>0</v>
      </c>
      <c r="G640" s="9">
        <f>STATS1003B!G668/1000</f>
        <v>0</v>
      </c>
      <c r="H640" s="9">
        <f>STATS1003B!H668/1000</f>
        <v>0</v>
      </c>
      <c r="I640" s="9">
        <f>STATS1003B!I668/1000</f>
        <v>0</v>
      </c>
      <c r="J640" s="9">
        <f>STATS1003B!J668/1000</f>
        <v>0</v>
      </c>
      <c r="K640" s="9">
        <f>STATS1003B!K668/1000</f>
        <v>2306.1060000000002</v>
      </c>
      <c r="L640" s="9">
        <f>STATS1003B!L668/1000</f>
        <v>0</v>
      </c>
      <c r="M640" s="9">
        <f>STATS1003B!M668/1000</f>
        <v>0</v>
      </c>
      <c r="N640" s="9">
        <f>STATS1003B!N668/1000</f>
        <v>2306.1060000000002</v>
      </c>
      <c r="O640" s="9">
        <f>STATS1003B!O668/1000</f>
        <v>0</v>
      </c>
      <c r="P640" s="9">
        <f>STATS1003B!P668/1000</f>
        <v>2306.1060000000002</v>
      </c>
      <c r="Q640" s="9">
        <f>STATS1003B!Q668/1000</f>
        <v>0</v>
      </c>
      <c r="R640" s="9">
        <f>STATS1003B!R668/1000</f>
        <v>0</v>
      </c>
      <c r="S640" s="9">
        <f>STATS1003B!S668/1000</f>
        <v>0</v>
      </c>
      <c r="T640" s="9">
        <f>STATS1003B!T668/1000</f>
        <v>0</v>
      </c>
      <c r="U640" s="9">
        <f>STATS1003B!U668/1000</f>
        <v>2306.1060000000002</v>
      </c>
      <c r="V640" s="9">
        <f>STATS1003B!V668/1000</f>
        <v>2306.1060000000002</v>
      </c>
      <c r="W640" s="9">
        <f>STATS1003B!W668/1000</f>
        <v>0</v>
      </c>
      <c r="X640" s="9">
        <f>STATS1003B!X668/1000</f>
        <v>2306.1060000000002</v>
      </c>
      <c r="Y640" s="9">
        <f>STATS1003B!Y668/1000</f>
        <v>0</v>
      </c>
      <c r="Z640" s="9">
        <f>STATS1003B!Z668/1000</f>
        <v>0</v>
      </c>
      <c r="AA640" s="9">
        <f>STATS1003B!AA668/1000</f>
        <v>2306.1060000000002</v>
      </c>
      <c r="AB640" s="9">
        <f>STATS1003B!AB668/1000</f>
        <v>0</v>
      </c>
    </row>
    <row r="641" spans="1:28" x14ac:dyDescent="0.35">
      <c r="A641" s="36"/>
      <c r="B641" s="8"/>
      <c r="C641" s="7" t="s">
        <v>601</v>
      </c>
      <c r="D641" s="15" t="s">
        <v>54</v>
      </c>
      <c r="E641" s="9">
        <f>STATS1003B!E669/1000</f>
        <v>955.34561999999994</v>
      </c>
      <c r="F641" s="9">
        <f>STATS1003B!F669/1000</f>
        <v>0</v>
      </c>
      <c r="G641" s="9">
        <f>STATS1003B!G669/1000</f>
        <v>0</v>
      </c>
      <c r="H641" s="9">
        <f>STATS1003B!H669/1000</f>
        <v>0</v>
      </c>
      <c r="I641" s="9">
        <f>STATS1003B!I669/1000</f>
        <v>0</v>
      </c>
      <c r="J641" s="9">
        <f>STATS1003B!J669/1000</f>
        <v>0</v>
      </c>
      <c r="K641" s="9">
        <f>STATS1003B!K669/1000</f>
        <v>955.34561999999994</v>
      </c>
      <c r="L641" s="9">
        <f>STATS1003B!L669/1000</f>
        <v>0</v>
      </c>
      <c r="M641" s="9">
        <f>STATS1003B!M669/1000</f>
        <v>0</v>
      </c>
      <c r="N641" s="9">
        <f>STATS1003B!N669/1000</f>
        <v>955.34561999999994</v>
      </c>
      <c r="O641" s="9">
        <f>STATS1003B!O669/1000</f>
        <v>0</v>
      </c>
      <c r="P641" s="9">
        <f>STATS1003B!P669/1000</f>
        <v>955.34561999999994</v>
      </c>
      <c r="Q641" s="9">
        <f>STATS1003B!Q669/1000</f>
        <v>0</v>
      </c>
      <c r="R641" s="9">
        <f>STATS1003B!R669/1000</f>
        <v>0</v>
      </c>
      <c r="S641" s="9">
        <f>STATS1003B!S669/1000</f>
        <v>0</v>
      </c>
      <c r="T641" s="9">
        <f>STATS1003B!T669/1000</f>
        <v>0</v>
      </c>
      <c r="U641" s="9">
        <f>STATS1003B!U669/1000</f>
        <v>955.34561999999994</v>
      </c>
      <c r="V641" s="9">
        <f>STATS1003B!V669/1000</f>
        <v>955.34561999999994</v>
      </c>
      <c r="W641" s="9">
        <f>STATS1003B!W669/1000</f>
        <v>0</v>
      </c>
      <c r="X641" s="9">
        <f>STATS1003B!X669/1000</f>
        <v>955.34561999999994</v>
      </c>
      <c r="Y641" s="9">
        <f>STATS1003B!Y669/1000</f>
        <v>0</v>
      </c>
      <c r="Z641" s="9">
        <f>STATS1003B!Z669/1000</f>
        <v>0</v>
      </c>
      <c r="AA641" s="9">
        <f>STATS1003B!AA669/1000</f>
        <v>955.34561999999994</v>
      </c>
      <c r="AB641" s="9">
        <f>STATS1003B!AB669/1000</f>
        <v>0</v>
      </c>
    </row>
    <row r="642" spans="1:28" x14ac:dyDescent="0.35">
      <c r="A642" s="36"/>
      <c r="B642" s="8"/>
      <c r="C642" s="7" t="s">
        <v>535</v>
      </c>
      <c r="D642" s="15" t="s">
        <v>85</v>
      </c>
      <c r="E642" s="9">
        <f>STATS1003B!E670/1000</f>
        <v>4256.1000000000004</v>
      </c>
      <c r="F642" s="9">
        <f>STATS1003B!F670/1000</f>
        <v>4256.1000000000004</v>
      </c>
      <c r="G642" s="9">
        <f>STATS1003B!G670/1000</f>
        <v>0</v>
      </c>
      <c r="H642" s="9">
        <f>STATS1003B!H670/1000</f>
        <v>4256.1000000000004</v>
      </c>
      <c r="I642" s="9">
        <f>STATS1003B!I670/1000</f>
        <v>0</v>
      </c>
      <c r="J642" s="9">
        <f>STATS1003B!J670/1000</f>
        <v>4256.1000000000004</v>
      </c>
      <c r="K642" s="9">
        <f>STATS1003B!K670/1000</f>
        <v>0</v>
      </c>
      <c r="L642" s="9">
        <f>STATS1003B!L670/1000</f>
        <v>0</v>
      </c>
      <c r="M642" s="9">
        <f>STATS1003B!M670/1000</f>
        <v>4256.1000000000004</v>
      </c>
      <c r="N642" s="9">
        <f>STATS1003B!N670/1000</f>
        <v>0</v>
      </c>
      <c r="O642" s="9">
        <f>STATS1003B!O670/1000</f>
        <v>0</v>
      </c>
      <c r="P642" s="9">
        <f>STATS1003B!P670/1000</f>
        <v>0</v>
      </c>
      <c r="Q642" s="9">
        <f>STATS1003B!Q670/1000</f>
        <v>0</v>
      </c>
      <c r="R642" s="9">
        <f>STATS1003B!R670/1000</f>
        <v>0</v>
      </c>
      <c r="S642" s="9">
        <f>STATS1003B!S670/1000</f>
        <v>0</v>
      </c>
      <c r="T642" s="9">
        <f>STATS1003B!T670/1000</f>
        <v>0</v>
      </c>
      <c r="U642" s="9">
        <f>STATS1003B!U670/1000</f>
        <v>0</v>
      </c>
      <c r="V642" s="9">
        <f>STATS1003B!V670/1000</f>
        <v>4256.1000000000004</v>
      </c>
      <c r="W642" s="9">
        <f>STATS1003B!W670/1000</f>
        <v>0</v>
      </c>
      <c r="X642" s="9">
        <f>STATS1003B!X670/1000</f>
        <v>4256.1000000000004</v>
      </c>
      <c r="Y642" s="9">
        <f>STATS1003B!Y670/1000</f>
        <v>0</v>
      </c>
      <c r="Z642" s="9">
        <f>STATS1003B!Z670/1000</f>
        <v>0</v>
      </c>
      <c r="AA642" s="9">
        <f>STATS1003B!AA670/1000</f>
        <v>4256.1000000000004</v>
      </c>
      <c r="AB642" s="9">
        <f>STATS1003B!AB670/1000</f>
        <v>0</v>
      </c>
    </row>
    <row r="643" spans="1:28" x14ac:dyDescent="0.35">
      <c r="A643" s="36"/>
      <c r="B643" s="8"/>
      <c r="C643" s="7" t="s">
        <v>602</v>
      </c>
      <c r="D643" s="15" t="s">
        <v>85</v>
      </c>
      <c r="E643" s="9">
        <f>STATS1003B!E671/1000</f>
        <v>1000</v>
      </c>
      <c r="F643" s="9">
        <f>STATS1003B!F671/1000</f>
        <v>1000</v>
      </c>
      <c r="G643" s="9">
        <f>STATS1003B!G671/1000</f>
        <v>0</v>
      </c>
      <c r="H643" s="9">
        <f>STATS1003B!H671/1000</f>
        <v>1000</v>
      </c>
      <c r="I643" s="9">
        <f>STATS1003B!I671/1000</f>
        <v>0</v>
      </c>
      <c r="J643" s="9">
        <f>STATS1003B!J671/1000</f>
        <v>1000</v>
      </c>
      <c r="K643" s="9">
        <f>STATS1003B!K671/1000</f>
        <v>0</v>
      </c>
      <c r="L643" s="9">
        <f>STATS1003B!L671/1000</f>
        <v>0</v>
      </c>
      <c r="M643" s="9">
        <f>STATS1003B!M671/1000</f>
        <v>1000</v>
      </c>
      <c r="N643" s="9">
        <f>STATS1003B!N671/1000</f>
        <v>0</v>
      </c>
      <c r="O643" s="9">
        <f>STATS1003B!O671/1000</f>
        <v>0</v>
      </c>
      <c r="P643" s="9">
        <f>STATS1003B!P671/1000</f>
        <v>0</v>
      </c>
      <c r="Q643" s="9">
        <f>STATS1003B!Q671/1000</f>
        <v>0</v>
      </c>
      <c r="R643" s="9">
        <f>STATS1003B!R671/1000</f>
        <v>0</v>
      </c>
      <c r="S643" s="9">
        <f>STATS1003B!S671/1000</f>
        <v>0</v>
      </c>
      <c r="T643" s="9">
        <f>STATS1003B!T671/1000</f>
        <v>0</v>
      </c>
      <c r="U643" s="9">
        <f>STATS1003B!U671/1000</f>
        <v>0</v>
      </c>
      <c r="V643" s="9">
        <f>STATS1003B!V671/1000</f>
        <v>1000</v>
      </c>
      <c r="W643" s="9">
        <f>STATS1003B!W671/1000</f>
        <v>0</v>
      </c>
      <c r="X643" s="9">
        <f>STATS1003B!X671/1000</f>
        <v>1000</v>
      </c>
      <c r="Y643" s="9">
        <f>STATS1003B!Y671/1000</f>
        <v>0</v>
      </c>
      <c r="Z643" s="9">
        <f>STATS1003B!Z671/1000</f>
        <v>0</v>
      </c>
      <c r="AA643" s="9">
        <f>STATS1003B!AA671/1000</f>
        <v>1000</v>
      </c>
      <c r="AB643" s="9">
        <f>STATS1003B!AB671/1000</f>
        <v>0</v>
      </c>
    </row>
    <row r="644" spans="1:28" x14ac:dyDescent="0.35">
      <c r="A644" s="36"/>
      <c r="B644" s="8"/>
      <c r="C644" s="7" t="s">
        <v>603</v>
      </c>
      <c r="D644" s="15" t="s">
        <v>85</v>
      </c>
      <c r="E644" s="9">
        <f>STATS1003B!E672/1000</f>
        <v>80</v>
      </c>
      <c r="F644" s="9">
        <f>STATS1003B!F672/1000</f>
        <v>80</v>
      </c>
      <c r="G644" s="9">
        <f>STATS1003B!G672/1000</f>
        <v>0</v>
      </c>
      <c r="H644" s="9">
        <f>STATS1003B!H672/1000</f>
        <v>80</v>
      </c>
      <c r="I644" s="9">
        <f>STATS1003B!I672/1000</f>
        <v>0</v>
      </c>
      <c r="J644" s="9">
        <f>STATS1003B!J672/1000</f>
        <v>80</v>
      </c>
      <c r="K644" s="9">
        <f>STATS1003B!K672/1000</f>
        <v>0</v>
      </c>
      <c r="L644" s="9">
        <f>STATS1003B!L672/1000</f>
        <v>0</v>
      </c>
      <c r="M644" s="9">
        <f>STATS1003B!M672/1000</f>
        <v>80</v>
      </c>
      <c r="N644" s="9">
        <f>STATS1003B!N672/1000</f>
        <v>0</v>
      </c>
      <c r="O644" s="9">
        <f>STATS1003B!O672/1000</f>
        <v>0</v>
      </c>
      <c r="P644" s="9">
        <f>STATS1003B!P672/1000</f>
        <v>0</v>
      </c>
      <c r="Q644" s="9">
        <f>STATS1003B!Q672/1000</f>
        <v>0</v>
      </c>
      <c r="R644" s="9">
        <f>STATS1003B!R672/1000</f>
        <v>0</v>
      </c>
      <c r="S644" s="9">
        <f>STATS1003B!S672/1000</f>
        <v>0</v>
      </c>
      <c r="T644" s="9">
        <f>STATS1003B!T672/1000</f>
        <v>0</v>
      </c>
      <c r="U644" s="9">
        <f>STATS1003B!U672/1000</f>
        <v>0</v>
      </c>
      <c r="V644" s="9">
        <f>STATS1003B!V672/1000</f>
        <v>80</v>
      </c>
      <c r="W644" s="9">
        <f>STATS1003B!W672/1000</f>
        <v>0</v>
      </c>
      <c r="X644" s="9">
        <f>STATS1003B!X672/1000</f>
        <v>80</v>
      </c>
      <c r="Y644" s="9">
        <f>STATS1003B!Y672/1000</f>
        <v>0</v>
      </c>
      <c r="Z644" s="9">
        <f>STATS1003B!Z672/1000</f>
        <v>0</v>
      </c>
      <c r="AA644" s="9">
        <f>STATS1003B!AA672/1000</f>
        <v>80</v>
      </c>
      <c r="AB644" s="9">
        <f>STATS1003B!AB672/1000</f>
        <v>0</v>
      </c>
    </row>
    <row r="645" spans="1:28" x14ac:dyDescent="0.35">
      <c r="A645" s="36"/>
      <c r="B645" s="8"/>
      <c r="C645" s="7" t="s">
        <v>604</v>
      </c>
      <c r="D645" s="15" t="s">
        <v>85</v>
      </c>
      <c r="E645" s="9">
        <f>STATS1003B!E673/1000</f>
        <v>120</v>
      </c>
      <c r="F645" s="9">
        <f>STATS1003B!F673/1000</f>
        <v>120</v>
      </c>
      <c r="G645" s="9">
        <f>STATS1003B!G673/1000</f>
        <v>0</v>
      </c>
      <c r="H645" s="9">
        <f>STATS1003B!H673/1000</f>
        <v>120</v>
      </c>
      <c r="I645" s="9">
        <f>STATS1003B!I673/1000</f>
        <v>0</v>
      </c>
      <c r="J645" s="9">
        <f>STATS1003B!J673/1000</f>
        <v>120</v>
      </c>
      <c r="K645" s="9">
        <f>STATS1003B!K673/1000</f>
        <v>0</v>
      </c>
      <c r="L645" s="9">
        <f>STATS1003B!L673/1000</f>
        <v>0</v>
      </c>
      <c r="M645" s="9">
        <f>STATS1003B!M673/1000</f>
        <v>120</v>
      </c>
      <c r="N645" s="9">
        <f>STATS1003B!N673/1000</f>
        <v>0</v>
      </c>
      <c r="O645" s="9">
        <f>STATS1003B!O673/1000</f>
        <v>0</v>
      </c>
      <c r="P645" s="9">
        <f>STATS1003B!P673/1000</f>
        <v>0</v>
      </c>
      <c r="Q645" s="9">
        <f>STATS1003B!Q673/1000</f>
        <v>0</v>
      </c>
      <c r="R645" s="9">
        <f>STATS1003B!R673/1000</f>
        <v>0</v>
      </c>
      <c r="S645" s="9">
        <f>STATS1003B!S673/1000</f>
        <v>0</v>
      </c>
      <c r="T645" s="9">
        <f>STATS1003B!T673/1000</f>
        <v>0</v>
      </c>
      <c r="U645" s="9">
        <f>STATS1003B!U673/1000</f>
        <v>0</v>
      </c>
      <c r="V645" s="9">
        <f>STATS1003B!V673/1000</f>
        <v>120</v>
      </c>
      <c r="W645" s="9">
        <f>STATS1003B!W673/1000</f>
        <v>0</v>
      </c>
      <c r="X645" s="9">
        <f>STATS1003B!X673/1000</f>
        <v>120</v>
      </c>
      <c r="Y645" s="9">
        <f>STATS1003B!Y673/1000</f>
        <v>0</v>
      </c>
      <c r="Z645" s="9">
        <f>STATS1003B!Z673/1000</f>
        <v>0</v>
      </c>
      <c r="AA645" s="9">
        <f>STATS1003B!AA673/1000</f>
        <v>120</v>
      </c>
      <c r="AB645" s="9">
        <f>STATS1003B!AB673/1000</f>
        <v>0</v>
      </c>
    </row>
    <row r="646" spans="1:28" x14ac:dyDescent="0.35">
      <c r="A646" s="36"/>
      <c r="B646" s="8"/>
      <c r="C646" s="7" t="s">
        <v>535</v>
      </c>
      <c r="D646" s="15" t="s">
        <v>128</v>
      </c>
      <c r="E646" s="9">
        <f>STATS1003B!E674/1000</f>
        <v>2586.6</v>
      </c>
      <c r="F646" s="9">
        <f>STATS1003B!F674/1000</f>
        <v>2586.6</v>
      </c>
      <c r="G646" s="9">
        <f>STATS1003B!G674/1000</f>
        <v>0</v>
      </c>
      <c r="H646" s="9">
        <f>STATS1003B!H674/1000</f>
        <v>2586.6</v>
      </c>
      <c r="I646" s="9">
        <f>STATS1003B!I674/1000</f>
        <v>0</v>
      </c>
      <c r="J646" s="9">
        <f>STATS1003B!J674/1000</f>
        <v>2586.6</v>
      </c>
      <c r="K646" s="9">
        <f>STATS1003B!K674/1000</f>
        <v>0</v>
      </c>
      <c r="L646" s="9">
        <f>STATS1003B!L674/1000</f>
        <v>0</v>
      </c>
      <c r="M646" s="9">
        <f>STATS1003B!M674/1000</f>
        <v>2586.6</v>
      </c>
      <c r="N646" s="9">
        <f>STATS1003B!N674/1000</f>
        <v>0</v>
      </c>
      <c r="O646" s="9">
        <f>STATS1003B!O674/1000</f>
        <v>0</v>
      </c>
      <c r="P646" s="9">
        <f>STATS1003B!P674/1000</f>
        <v>0</v>
      </c>
      <c r="Q646" s="9">
        <f>STATS1003B!Q674/1000</f>
        <v>0</v>
      </c>
      <c r="R646" s="9">
        <f>STATS1003B!R674/1000</f>
        <v>0</v>
      </c>
      <c r="S646" s="9">
        <f>STATS1003B!S674/1000</f>
        <v>0</v>
      </c>
      <c r="T646" s="9">
        <f>STATS1003B!T674/1000</f>
        <v>0</v>
      </c>
      <c r="U646" s="9">
        <f>STATS1003B!U674/1000</f>
        <v>0</v>
      </c>
      <c r="V646" s="9">
        <f>STATS1003B!V674/1000</f>
        <v>2586.6</v>
      </c>
      <c r="W646" s="9">
        <f>STATS1003B!W674/1000</f>
        <v>0</v>
      </c>
      <c r="X646" s="9">
        <f>STATS1003B!X674/1000</f>
        <v>2586.6</v>
      </c>
      <c r="Y646" s="9">
        <f>STATS1003B!Y674/1000</f>
        <v>0</v>
      </c>
      <c r="Z646" s="9">
        <f>STATS1003B!Z674/1000</f>
        <v>0</v>
      </c>
      <c r="AA646" s="9">
        <f>STATS1003B!AA674/1000</f>
        <v>2586.6</v>
      </c>
      <c r="AB646" s="9">
        <f>STATS1003B!AB674/1000</f>
        <v>0</v>
      </c>
    </row>
    <row r="647" spans="1:28" x14ac:dyDescent="0.35">
      <c r="A647" s="36"/>
      <c r="B647" s="8"/>
      <c r="C647" s="7" t="s">
        <v>566</v>
      </c>
      <c r="D647" s="15" t="s">
        <v>128</v>
      </c>
      <c r="E647" s="9">
        <f>STATS1003B!E675/1000</f>
        <v>1000</v>
      </c>
      <c r="F647" s="9">
        <f>STATS1003B!F675/1000</f>
        <v>1000</v>
      </c>
      <c r="G647" s="9">
        <f>STATS1003B!G675/1000</f>
        <v>0</v>
      </c>
      <c r="H647" s="9">
        <f>STATS1003B!H675/1000</f>
        <v>1000</v>
      </c>
      <c r="I647" s="9">
        <f>STATS1003B!I675/1000</f>
        <v>0</v>
      </c>
      <c r="J647" s="9">
        <f>STATS1003B!J675/1000</f>
        <v>1000</v>
      </c>
      <c r="K647" s="9">
        <f>STATS1003B!K675/1000</f>
        <v>0</v>
      </c>
      <c r="L647" s="9">
        <f>STATS1003B!L675/1000</f>
        <v>0</v>
      </c>
      <c r="M647" s="9">
        <f>STATS1003B!M675/1000</f>
        <v>1000</v>
      </c>
      <c r="N647" s="9">
        <f>STATS1003B!N675/1000</f>
        <v>0</v>
      </c>
      <c r="O647" s="9">
        <f>STATS1003B!O675/1000</f>
        <v>0</v>
      </c>
      <c r="P647" s="9">
        <f>STATS1003B!P675/1000</f>
        <v>0</v>
      </c>
      <c r="Q647" s="9">
        <f>STATS1003B!Q675/1000</f>
        <v>0</v>
      </c>
      <c r="R647" s="9">
        <f>STATS1003B!R675/1000</f>
        <v>0</v>
      </c>
      <c r="S647" s="9">
        <f>STATS1003B!S675/1000</f>
        <v>0</v>
      </c>
      <c r="T647" s="9">
        <f>STATS1003B!T675/1000</f>
        <v>0</v>
      </c>
      <c r="U647" s="9">
        <f>STATS1003B!U675/1000</f>
        <v>0</v>
      </c>
      <c r="V647" s="9">
        <f>STATS1003B!V675/1000</f>
        <v>1000</v>
      </c>
      <c r="W647" s="9">
        <f>STATS1003B!W675/1000</f>
        <v>0</v>
      </c>
      <c r="X647" s="9">
        <f>STATS1003B!X675/1000</f>
        <v>1000</v>
      </c>
      <c r="Y647" s="9">
        <f>STATS1003B!Y675/1000</f>
        <v>0</v>
      </c>
      <c r="Z647" s="9">
        <f>STATS1003B!Z675/1000</f>
        <v>0</v>
      </c>
      <c r="AA647" s="9">
        <f>STATS1003B!AA675/1000</f>
        <v>1000</v>
      </c>
      <c r="AB647" s="9">
        <f>STATS1003B!AB675/1000</f>
        <v>0</v>
      </c>
    </row>
    <row r="648" spans="1:28" x14ac:dyDescent="0.35">
      <c r="A648" s="36"/>
      <c r="B648" s="8"/>
      <c r="C648" s="7" t="s">
        <v>535</v>
      </c>
      <c r="D648" s="15" t="s">
        <v>88</v>
      </c>
      <c r="E648" s="9">
        <f>STATS1003B!E676/1000</f>
        <v>2000</v>
      </c>
      <c r="F648" s="9">
        <f>STATS1003B!F676/1000</f>
        <v>2000</v>
      </c>
      <c r="G648" s="9">
        <f>STATS1003B!G676/1000</f>
        <v>0</v>
      </c>
      <c r="H648" s="9">
        <f>STATS1003B!H676/1000</f>
        <v>2000</v>
      </c>
      <c r="I648" s="9">
        <f>STATS1003B!I676/1000</f>
        <v>0</v>
      </c>
      <c r="J648" s="9">
        <f>STATS1003B!J676/1000</f>
        <v>2000</v>
      </c>
      <c r="K648" s="9">
        <f>STATS1003B!K676/1000</f>
        <v>0</v>
      </c>
      <c r="L648" s="9">
        <f>STATS1003B!L676/1000</f>
        <v>0</v>
      </c>
      <c r="M648" s="9">
        <f>STATS1003B!M676/1000</f>
        <v>2000</v>
      </c>
      <c r="N648" s="9">
        <f>STATS1003B!N676/1000</f>
        <v>0</v>
      </c>
      <c r="O648" s="9">
        <f>STATS1003B!O676/1000</f>
        <v>0</v>
      </c>
      <c r="P648" s="9">
        <f>STATS1003B!P676/1000</f>
        <v>0</v>
      </c>
      <c r="Q648" s="9">
        <f>STATS1003B!Q676/1000</f>
        <v>0</v>
      </c>
      <c r="R648" s="9">
        <f>STATS1003B!R676/1000</f>
        <v>0</v>
      </c>
      <c r="S648" s="9">
        <f>STATS1003B!S676/1000</f>
        <v>0</v>
      </c>
      <c r="T648" s="9">
        <f>STATS1003B!T676/1000</f>
        <v>0</v>
      </c>
      <c r="U648" s="9">
        <f>STATS1003B!U676/1000</f>
        <v>0</v>
      </c>
      <c r="V648" s="9">
        <f>STATS1003B!V676/1000</f>
        <v>2000</v>
      </c>
      <c r="W648" s="9">
        <f>STATS1003B!W676/1000</f>
        <v>0</v>
      </c>
      <c r="X648" s="9">
        <f>STATS1003B!X676/1000</f>
        <v>2000</v>
      </c>
      <c r="Y648" s="9">
        <f>STATS1003B!Y676/1000</f>
        <v>0</v>
      </c>
      <c r="Z648" s="9">
        <f>STATS1003B!Z676/1000</f>
        <v>0</v>
      </c>
      <c r="AA648" s="9">
        <f>STATS1003B!AA676/1000</f>
        <v>2000</v>
      </c>
      <c r="AB648" s="9">
        <f>STATS1003B!AB676/1000</f>
        <v>0</v>
      </c>
    </row>
    <row r="649" spans="1:28" x14ac:dyDescent="0.35">
      <c r="A649" s="36"/>
      <c r="B649" s="8"/>
      <c r="C649" s="7" t="s">
        <v>535</v>
      </c>
      <c r="D649" s="15" t="s">
        <v>108</v>
      </c>
      <c r="E649" s="9">
        <f>STATS1003B!E677/1000</f>
        <v>9226.4779399999989</v>
      </c>
      <c r="F649" s="9">
        <f>STATS1003B!F677/1000</f>
        <v>9226.4779400000007</v>
      </c>
      <c r="G649" s="9">
        <f>STATS1003B!G677/1000</f>
        <v>0</v>
      </c>
      <c r="H649" s="9">
        <f>STATS1003B!H677/1000</f>
        <v>9226.4779400000007</v>
      </c>
      <c r="I649" s="9">
        <f>STATS1003B!I677/1000</f>
        <v>0</v>
      </c>
      <c r="J649" s="9">
        <f>STATS1003B!J677/1000</f>
        <v>9226.4779400000007</v>
      </c>
      <c r="K649" s="9">
        <f>STATS1003B!K677/1000</f>
        <v>0</v>
      </c>
      <c r="L649" s="9">
        <f>STATS1003B!L677/1000</f>
        <v>0</v>
      </c>
      <c r="M649" s="9">
        <f>STATS1003B!M677/1000</f>
        <v>9226.4779400000007</v>
      </c>
      <c r="N649" s="9">
        <f>STATS1003B!N677/1000</f>
        <v>0</v>
      </c>
      <c r="O649" s="9">
        <f>STATS1003B!O677/1000</f>
        <v>0</v>
      </c>
      <c r="P649" s="9">
        <f>STATS1003B!P677/1000</f>
        <v>0</v>
      </c>
      <c r="Q649" s="9">
        <f>STATS1003B!Q677/1000</f>
        <v>0</v>
      </c>
      <c r="R649" s="9">
        <f>STATS1003B!R677/1000</f>
        <v>0</v>
      </c>
      <c r="S649" s="9">
        <f>STATS1003B!S677/1000</f>
        <v>0</v>
      </c>
      <c r="T649" s="9">
        <f>STATS1003B!T677/1000</f>
        <v>0</v>
      </c>
      <c r="U649" s="9">
        <f>STATS1003B!U677/1000</f>
        <v>0</v>
      </c>
      <c r="V649" s="9">
        <f>STATS1003B!V677/1000</f>
        <v>9226.4779400000007</v>
      </c>
      <c r="W649" s="9">
        <f>STATS1003B!W677/1000</f>
        <v>0</v>
      </c>
      <c r="X649" s="9">
        <f>STATS1003B!X677/1000</f>
        <v>9226.4779400000007</v>
      </c>
      <c r="Y649" s="9">
        <f>STATS1003B!Y677/1000</f>
        <v>0</v>
      </c>
      <c r="Z649" s="9">
        <f>STATS1003B!Z677/1000</f>
        <v>0</v>
      </c>
      <c r="AA649" s="9">
        <f>STATS1003B!AA677/1000</f>
        <v>9226.4779400000007</v>
      </c>
      <c r="AB649" s="9">
        <f>STATS1003B!AB677/1000</f>
        <v>0</v>
      </c>
    </row>
    <row r="650" spans="1:28" x14ac:dyDescent="0.35">
      <c r="A650" s="36"/>
      <c r="B650" s="7" t="s">
        <v>605</v>
      </c>
      <c r="C650" s="7" t="s">
        <v>535</v>
      </c>
      <c r="D650" s="15" t="s">
        <v>108</v>
      </c>
      <c r="E650" s="9">
        <f>STATS1003B!E678/1000</f>
        <v>5000</v>
      </c>
      <c r="F650" s="9">
        <f>STATS1003B!F678/1000</f>
        <v>5000</v>
      </c>
      <c r="G650" s="9">
        <f>STATS1003B!G678/1000</f>
        <v>0</v>
      </c>
      <c r="H650" s="9">
        <f>STATS1003B!H678/1000</f>
        <v>5000</v>
      </c>
      <c r="I650" s="9">
        <f>STATS1003B!I678/1000</f>
        <v>0</v>
      </c>
      <c r="J650" s="9">
        <f>STATS1003B!J678/1000</f>
        <v>5000</v>
      </c>
      <c r="K650" s="9">
        <f>STATS1003B!K678/1000</f>
        <v>0</v>
      </c>
      <c r="L650" s="9">
        <f>STATS1003B!L678/1000</f>
        <v>0</v>
      </c>
      <c r="M650" s="9">
        <f>STATS1003B!M678/1000</f>
        <v>5000</v>
      </c>
      <c r="N650" s="9">
        <f>STATS1003B!N678/1000</f>
        <v>0</v>
      </c>
      <c r="O650" s="9">
        <f>STATS1003B!O678/1000</f>
        <v>0</v>
      </c>
      <c r="P650" s="9">
        <f>STATS1003B!P678/1000</f>
        <v>0</v>
      </c>
      <c r="Q650" s="9">
        <f>STATS1003B!Q678/1000</f>
        <v>0</v>
      </c>
      <c r="R650" s="9">
        <f>STATS1003B!R678/1000</f>
        <v>0</v>
      </c>
      <c r="S650" s="9">
        <f>STATS1003B!S678/1000</f>
        <v>0</v>
      </c>
      <c r="T650" s="9">
        <f>STATS1003B!T678/1000</f>
        <v>0</v>
      </c>
      <c r="U650" s="9">
        <f>STATS1003B!U678/1000</f>
        <v>0</v>
      </c>
      <c r="V650" s="9">
        <f>STATS1003B!V678/1000</f>
        <v>5000</v>
      </c>
      <c r="W650" s="9">
        <f>STATS1003B!W678/1000</f>
        <v>0</v>
      </c>
      <c r="X650" s="9">
        <f>STATS1003B!X678/1000</f>
        <v>5000</v>
      </c>
      <c r="Y650" s="9">
        <f>STATS1003B!Y678/1000</f>
        <v>0</v>
      </c>
      <c r="Z650" s="9">
        <f>STATS1003B!Z678/1000</f>
        <v>0</v>
      </c>
      <c r="AA650" s="9">
        <f>STATS1003B!AA678/1000</f>
        <v>5000</v>
      </c>
      <c r="AB650" s="9">
        <f>STATS1003B!AB678/1000</f>
        <v>0</v>
      </c>
    </row>
    <row r="651" spans="1:28" x14ac:dyDescent="0.35">
      <c r="A651" s="36"/>
      <c r="B651" s="8"/>
      <c r="C651" s="7" t="s">
        <v>535</v>
      </c>
      <c r="D651" s="15" t="s">
        <v>58</v>
      </c>
      <c r="E651" s="9">
        <f>STATS1003B!E679/1000</f>
        <v>19415.622609999999</v>
      </c>
      <c r="F651" s="9">
        <f>STATS1003B!F679/1000</f>
        <v>15364.039439999999</v>
      </c>
      <c r="G651" s="9">
        <f>STATS1003B!G679/1000</f>
        <v>0</v>
      </c>
      <c r="H651" s="9">
        <f>STATS1003B!H679/1000</f>
        <v>15364.039439999999</v>
      </c>
      <c r="I651" s="9">
        <f>STATS1003B!I679/1000</f>
        <v>4051.5831699999999</v>
      </c>
      <c r="J651" s="9">
        <f>STATS1003B!J679/1000</f>
        <v>19415.622609999999</v>
      </c>
      <c r="K651" s="9">
        <f>STATS1003B!K679/1000</f>
        <v>0</v>
      </c>
      <c r="L651" s="9">
        <f>STATS1003B!L679/1000</f>
        <v>4051.5831699999999</v>
      </c>
      <c r="M651" s="9">
        <f>STATS1003B!M679/1000</f>
        <v>19415.622609999999</v>
      </c>
      <c r="N651" s="9">
        <f>STATS1003B!N679/1000</f>
        <v>0</v>
      </c>
      <c r="O651" s="9">
        <f>STATS1003B!O679/1000</f>
        <v>0</v>
      </c>
      <c r="P651" s="9">
        <f>STATS1003B!P679/1000</f>
        <v>0</v>
      </c>
      <c r="Q651" s="9">
        <f>STATS1003B!Q679/1000</f>
        <v>0</v>
      </c>
      <c r="R651" s="9">
        <f>STATS1003B!R679/1000</f>
        <v>0</v>
      </c>
      <c r="S651" s="9">
        <f>STATS1003B!S679/1000</f>
        <v>0</v>
      </c>
      <c r="T651" s="9">
        <f>STATS1003B!T679/1000</f>
        <v>0</v>
      </c>
      <c r="U651" s="9">
        <f>STATS1003B!U679/1000</f>
        <v>0</v>
      </c>
      <c r="V651" s="9">
        <f>STATS1003B!V679/1000</f>
        <v>15364.039439999999</v>
      </c>
      <c r="W651" s="9">
        <f>STATS1003B!W679/1000</f>
        <v>4051.5831699999999</v>
      </c>
      <c r="X651" s="9">
        <f>STATS1003B!X679/1000</f>
        <v>15364.039439999999</v>
      </c>
      <c r="Y651" s="9">
        <f>STATS1003B!Y679/1000</f>
        <v>0</v>
      </c>
      <c r="Z651" s="9">
        <f>STATS1003B!Z679/1000</f>
        <v>4051.5831699999999</v>
      </c>
      <c r="AA651" s="9">
        <f>STATS1003B!AA679/1000</f>
        <v>19415.622609999999</v>
      </c>
      <c r="AB651" s="9">
        <f>STATS1003B!AB679/1000</f>
        <v>0</v>
      </c>
    </row>
    <row r="652" spans="1:28" x14ac:dyDescent="0.35">
      <c r="A652" s="36"/>
      <c r="B652" s="8"/>
      <c r="C652" s="7" t="s">
        <v>535</v>
      </c>
      <c r="D652" s="15" t="s">
        <v>60</v>
      </c>
      <c r="E652" s="9">
        <f>STATS1003B!E680/1000</f>
        <v>544.471</v>
      </c>
      <c r="F652" s="9">
        <f>STATS1003B!F680/1000</f>
        <v>544.471</v>
      </c>
      <c r="G652" s="9">
        <f>STATS1003B!G680/1000</f>
        <v>0</v>
      </c>
      <c r="H652" s="9">
        <f>STATS1003B!H680/1000</f>
        <v>544.471</v>
      </c>
      <c r="I652" s="9">
        <f>STATS1003B!I680/1000</f>
        <v>0</v>
      </c>
      <c r="J652" s="9">
        <f>STATS1003B!J680/1000</f>
        <v>544.471</v>
      </c>
      <c r="K652" s="9">
        <f>STATS1003B!K680/1000</f>
        <v>0</v>
      </c>
      <c r="L652" s="9">
        <f>STATS1003B!L680/1000</f>
        <v>0</v>
      </c>
      <c r="M652" s="9">
        <f>STATS1003B!M680/1000</f>
        <v>544.471</v>
      </c>
      <c r="N652" s="9">
        <f>STATS1003B!N680/1000</f>
        <v>0</v>
      </c>
      <c r="O652" s="9">
        <f>STATS1003B!O680/1000</f>
        <v>0</v>
      </c>
      <c r="P652" s="9">
        <f>STATS1003B!P680/1000</f>
        <v>0</v>
      </c>
      <c r="Q652" s="9">
        <f>STATS1003B!Q680/1000</f>
        <v>0</v>
      </c>
      <c r="R652" s="9">
        <f>STATS1003B!R680/1000</f>
        <v>0</v>
      </c>
      <c r="S652" s="9">
        <f>STATS1003B!S680/1000</f>
        <v>0</v>
      </c>
      <c r="T652" s="9">
        <f>STATS1003B!T680/1000</f>
        <v>0</v>
      </c>
      <c r="U652" s="9">
        <f>STATS1003B!U680/1000</f>
        <v>0</v>
      </c>
      <c r="V652" s="9">
        <f>STATS1003B!V680/1000</f>
        <v>544.471</v>
      </c>
      <c r="W652" s="9">
        <f>STATS1003B!W680/1000</f>
        <v>0</v>
      </c>
      <c r="X652" s="9">
        <f>STATS1003B!X680/1000</f>
        <v>544.471</v>
      </c>
      <c r="Y652" s="9">
        <f>STATS1003B!Y680/1000</f>
        <v>0</v>
      </c>
      <c r="Z652" s="9">
        <f>STATS1003B!Z680/1000</f>
        <v>0</v>
      </c>
      <c r="AA652" s="9">
        <f>STATS1003B!AA680/1000</f>
        <v>544.471</v>
      </c>
      <c r="AB652" s="9">
        <f>STATS1003B!AB680/1000</f>
        <v>0</v>
      </c>
    </row>
    <row r="653" spans="1:28" x14ac:dyDescent="0.35">
      <c r="A653" s="36"/>
      <c r="B653" s="8"/>
      <c r="C653" s="7" t="s">
        <v>898</v>
      </c>
      <c r="D653" s="16" t="s">
        <v>1072</v>
      </c>
      <c r="E653" s="9">
        <f>STATS1003B!E681/1000</f>
        <v>1403.1551899999999</v>
      </c>
      <c r="F653" s="9">
        <f>STATS1003B!F681/1000</f>
        <v>1403.1551899999999</v>
      </c>
      <c r="G653" s="9">
        <f>STATS1003B!G681/1000</f>
        <v>0</v>
      </c>
      <c r="H653" s="9">
        <f>STATS1003B!H681/1000</f>
        <v>1403.1551899999999</v>
      </c>
      <c r="I653" s="9">
        <f>STATS1003B!I681/1000</f>
        <v>0</v>
      </c>
      <c r="J653" s="9">
        <f>STATS1003B!J681/1000</f>
        <v>0</v>
      </c>
      <c r="K653" s="9">
        <f>STATS1003B!K681/1000</f>
        <v>0</v>
      </c>
      <c r="L653" s="9">
        <f>STATS1003B!L681/1000</f>
        <v>0</v>
      </c>
      <c r="M653" s="9">
        <f>STATS1003B!M681/1000</f>
        <v>1403.1551899999999</v>
      </c>
      <c r="N653" s="9">
        <f>STATS1003B!N681/1000</f>
        <v>0</v>
      </c>
      <c r="O653" s="9">
        <f>STATS1003B!O681/1000</f>
        <v>0</v>
      </c>
      <c r="P653" s="9">
        <f>STATS1003B!P681/1000</f>
        <v>0</v>
      </c>
      <c r="Q653" s="9">
        <f>STATS1003B!Q681/1000</f>
        <v>0</v>
      </c>
      <c r="R653" s="9">
        <f>STATS1003B!R681/1000</f>
        <v>0</v>
      </c>
      <c r="S653" s="9">
        <f>STATS1003B!S681/1000</f>
        <v>0</v>
      </c>
      <c r="T653" s="9">
        <f>STATS1003B!T681/1000</f>
        <v>0</v>
      </c>
      <c r="U653" s="9">
        <f>STATS1003B!U681/1000</f>
        <v>0</v>
      </c>
      <c r="V653" s="9">
        <f>STATS1003B!V681/1000</f>
        <v>0</v>
      </c>
      <c r="W653" s="9">
        <f>STATS1003B!W681/1000</f>
        <v>0</v>
      </c>
      <c r="X653" s="9">
        <f>STATS1003B!X681/1000</f>
        <v>1403.1551899999999</v>
      </c>
      <c r="Y653" s="9">
        <f>STATS1003B!Y681/1000</f>
        <v>0</v>
      </c>
      <c r="Z653" s="9">
        <f>STATS1003B!Z681/1000</f>
        <v>0</v>
      </c>
      <c r="AA653" s="9">
        <f>STATS1003B!AA681/1000</f>
        <v>1403.1551899999999</v>
      </c>
      <c r="AB653" s="9">
        <f>STATS1003B!AB681/1000</f>
        <v>0</v>
      </c>
    </row>
    <row r="654" spans="1:28" x14ac:dyDescent="0.35">
      <c r="A654" s="36"/>
      <c r="B654" s="8"/>
      <c r="C654" s="13" t="s">
        <v>933</v>
      </c>
      <c r="D654" s="16" t="s">
        <v>1072</v>
      </c>
      <c r="E654" s="9">
        <f>STATS1003B!E682/1000</f>
        <v>100</v>
      </c>
      <c r="F654" s="9">
        <f>STATS1003B!F682/1000</f>
        <v>100</v>
      </c>
      <c r="G654" s="9">
        <f>STATS1003B!G682/1000</f>
        <v>0</v>
      </c>
      <c r="H654" s="9">
        <f>STATS1003B!H682/1000</f>
        <v>100</v>
      </c>
      <c r="I654" s="9">
        <f>STATS1003B!I682/1000</f>
        <v>0</v>
      </c>
      <c r="J654" s="9">
        <f>STATS1003B!J682/1000</f>
        <v>0</v>
      </c>
      <c r="K654" s="9">
        <f>STATS1003B!K682/1000</f>
        <v>0</v>
      </c>
      <c r="L654" s="9">
        <f>STATS1003B!L682/1000</f>
        <v>0</v>
      </c>
      <c r="M654" s="9">
        <f>STATS1003B!M682/1000</f>
        <v>100</v>
      </c>
      <c r="N654" s="9">
        <f>STATS1003B!N682/1000</f>
        <v>0</v>
      </c>
      <c r="O654" s="9">
        <f>STATS1003B!O682/1000</f>
        <v>0</v>
      </c>
      <c r="P654" s="9">
        <f>STATS1003B!P682/1000</f>
        <v>0</v>
      </c>
      <c r="Q654" s="9">
        <f>STATS1003B!Q682/1000</f>
        <v>0</v>
      </c>
      <c r="R654" s="9">
        <f>STATS1003B!R682/1000</f>
        <v>0</v>
      </c>
      <c r="S654" s="9">
        <f>STATS1003B!S682/1000</f>
        <v>0</v>
      </c>
      <c r="T654" s="9">
        <f>STATS1003B!T682/1000</f>
        <v>0</v>
      </c>
      <c r="U654" s="9">
        <f>STATS1003B!U682/1000</f>
        <v>0</v>
      </c>
      <c r="V654" s="9">
        <f>STATS1003B!V682/1000</f>
        <v>0</v>
      </c>
      <c r="W654" s="9">
        <f>STATS1003B!W682/1000</f>
        <v>0</v>
      </c>
      <c r="X654" s="9">
        <f>STATS1003B!X682/1000</f>
        <v>100</v>
      </c>
      <c r="Y654" s="9">
        <f>STATS1003B!Y682/1000</f>
        <v>0</v>
      </c>
      <c r="Z654" s="9">
        <f>STATS1003B!Z682/1000</f>
        <v>0</v>
      </c>
      <c r="AA654" s="9">
        <f>STATS1003B!AA682/1000</f>
        <v>100</v>
      </c>
      <c r="AB654" s="9">
        <f>STATS1003B!AB682/1000</f>
        <v>0</v>
      </c>
    </row>
    <row r="655" spans="1:28" x14ac:dyDescent="0.35">
      <c r="A655" s="36"/>
      <c r="B655" s="8"/>
      <c r="C655" s="7" t="s">
        <v>577</v>
      </c>
      <c r="D655" s="8"/>
      <c r="E655" s="9">
        <f>STATS1003B!E685/1000</f>
        <v>5334.8176900000008</v>
      </c>
      <c r="F655" s="9">
        <f>STATS1003B!F685/1000</f>
        <v>5334.8176900000008</v>
      </c>
      <c r="G655" s="9">
        <f>STATS1003B!G685/1000</f>
        <v>0</v>
      </c>
      <c r="H655" s="9">
        <f>STATS1003B!H685/1000</f>
        <v>5334.8176900000008</v>
      </c>
      <c r="I655" s="9">
        <f>STATS1003B!I685/1000</f>
        <v>0</v>
      </c>
      <c r="J655" s="9">
        <f>STATS1003B!J685/1000</f>
        <v>5334.8176900000008</v>
      </c>
      <c r="K655" s="9">
        <f>STATS1003B!K685/1000</f>
        <v>0</v>
      </c>
      <c r="L655" s="9">
        <f>STATS1003B!L685/1000</f>
        <v>0</v>
      </c>
      <c r="M655" s="9">
        <f>STATS1003B!M685/1000</f>
        <v>5334.8176900000008</v>
      </c>
      <c r="N655" s="9">
        <f>STATS1003B!N685/1000</f>
        <v>0</v>
      </c>
      <c r="O655" s="9">
        <f>STATS1003B!O685/1000</f>
        <v>0</v>
      </c>
      <c r="P655" s="9">
        <f>STATS1003B!P685/1000</f>
        <v>0</v>
      </c>
      <c r="Q655" s="9">
        <f>STATS1003B!Q685/1000</f>
        <v>0</v>
      </c>
      <c r="R655" s="9">
        <f>STATS1003B!R685/1000</f>
        <v>0</v>
      </c>
      <c r="S655" s="9">
        <f>STATS1003B!S685/1000</f>
        <v>0</v>
      </c>
      <c r="T655" s="9">
        <f>STATS1003B!T685/1000</f>
        <v>0</v>
      </c>
      <c r="U655" s="9">
        <f>STATS1003B!U685/1000</f>
        <v>0</v>
      </c>
      <c r="V655" s="9">
        <f>STATS1003B!V685/1000</f>
        <v>5334.8176900000008</v>
      </c>
      <c r="W655" s="9">
        <f>STATS1003B!W685/1000</f>
        <v>0</v>
      </c>
      <c r="X655" s="9">
        <f>STATS1003B!X685/1000</f>
        <v>5334.8176900000008</v>
      </c>
      <c r="Y655" s="9">
        <f>STATS1003B!Y685/1000</f>
        <v>0</v>
      </c>
      <c r="Z655" s="9">
        <f>STATS1003B!Z685/1000</f>
        <v>0</v>
      </c>
      <c r="AA655" s="9">
        <f>STATS1003B!AA685/1000</f>
        <v>5334.8176900000008</v>
      </c>
      <c r="AB655" s="9">
        <f>STATS1003B!AB685/1000</f>
        <v>0</v>
      </c>
    </row>
    <row r="656" spans="1:28" x14ac:dyDescent="0.35">
      <c r="A656" s="36"/>
      <c r="B656" s="8"/>
      <c r="C656" s="7" t="s">
        <v>550</v>
      </c>
      <c r="D656" s="8"/>
      <c r="E656" s="9">
        <f>STATS1003B!E686/1000</f>
        <v>910.16600000000005</v>
      </c>
      <c r="F656" s="9">
        <f>STATS1003B!F686/1000</f>
        <v>910.16600000000005</v>
      </c>
      <c r="G656" s="9">
        <f>STATS1003B!G686/1000</f>
        <v>0</v>
      </c>
      <c r="H656" s="9">
        <f>STATS1003B!H686/1000</f>
        <v>910.16600000000005</v>
      </c>
      <c r="I656" s="9">
        <f>STATS1003B!I686/1000</f>
        <v>0</v>
      </c>
      <c r="J656" s="9">
        <f>STATS1003B!J686/1000</f>
        <v>910.16600000000005</v>
      </c>
      <c r="K656" s="9">
        <f>STATS1003B!K686/1000</f>
        <v>0</v>
      </c>
      <c r="L656" s="9">
        <f>STATS1003B!L686/1000</f>
        <v>0</v>
      </c>
      <c r="M656" s="9">
        <f>STATS1003B!M686/1000</f>
        <v>910.16600000000005</v>
      </c>
      <c r="N656" s="9">
        <f>STATS1003B!N686/1000</f>
        <v>0</v>
      </c>
      <c r="O656" s="9">
        <f>STATS1003B!O686/1000</f>
        <v>0</v>
      </c>
      <c r="P656" s="9">
        <f>STATS1003B!P686/1000</f>
        <v>0</v>
      </c>
      <c r="Q656" s="9">
        <f>STATS1003B!Q686/1000</f>
        <v>0</v>
      </c>
      <c r="R656" s="9">
        <f>STATS1003B!R686/1000</f>
        <v>0</v>
      </c>
      <c r="S656" s="9">
        <f>STATS1003B!S686/1000</f>
        <v>0</v>
      </c>
      <c r="T656" s="9">
        <f>STATS1003B!T686/1000</f>
        <v>0</v>
      </c>
      <c r="U656" s="9">
        <f>STATS1003B!U686/1000</f>
        <v>0</v>
      </c>
      <c r="V656" s="9">
        <f>STATS1003B!V686/1000</f>
        <v>910.16600000000005</v>
      </c>
      <c r="W656" s="9">
        <f>STATS1003B!W686/1000</f>
        <v>0</v>
      </c>
      <c r="X656" s="9">
        <f>STATS1003B!X686/1000</f>
        <v>910.16600000000005</v>
      </c>
      <c r="Y656" s="9">
        <f>STATS1003B!Y686/1000</f>
        <v>0</v>
      </c>
      <c r="Z656" s="9">
        <f>STATS1003B!Z686/1000</f>
        <v>0</v>
      </c>
      <c r="AA656" s="9">
        <f>STATS1003B!AA686/1000</f>
        <v>910.16600000000005</v>
      </c>
      <c r="AB656" s="9">
        <f>STATS1003B!AB686/1000</f>
        <v>0</v>
      </c>
    </row>
    <row r="657" spans="1:28" x14ac:dyDescent="0.35">
      <c r="A657" s="36"/>
      <c r="B657" s="8"/>
      <c r="C657" s="7" t="s">
        <v>569</v>
      </c>
      <c r="D657" s="8"/>
      <c r="E657" s="9">
        <f>STATS1003B!E687/1000</f>
        <v>2856.83</v>
      </c>
      <c r="F657" s="9">
        <f>STATS1003B!F687/1000</f>
        <v>2856.83</v>
      </c>
      <c r="G657" s="9">
        <f>STATS1003B!G687/1000</f>
        <v>0</v>
      </c>
      <c r="H657" s="9">
        <f>STATS1003B!H687/1000</f>
        <v>2856.83</v>
      </c>
      <c r="I657" s="9">
        <f>STATS1003B!I687/1000</f>
        <v>0</v>
      </c>
      <c r="J657" s="9">
        <f>STATS1003B!J687/1000</f>
        <v>2856.83</v>
      </c>
      <c r="K657" s="9">
        <f>STATS1003B!K687/1000</f>
        <v>0</v>
      </c>
      <c r="L657" s="9">
        <f>STATS1003B!L687/1000</f>
        <v>0</v>
      </c>
      <c r="M657" s="9">
        <f>STATS1003B!M687/1000</f>
        <v>2856.83</v>
      </c>
      <c r="N657" s="9">
        <f>STATS1003B!N687/1000</f>
        <v>0</v>
      </c>
      <c r="O657" s="9">
        <f>STATS1003B!O687/1000</f>
        <v>0</v>
      </c>
      <c r="P657" s="9">
        <f>STATS1003B!P687/1000</f>
        <v>0</v>
      </c>
      <c r="Q657" s="9">
        <f>STATS1003B!Q687/1000</f>
        <v>0</v>
      </c>
      <c r="R657" s="9">
        <f>STATS1003B!R687/1000</f>
        <v>0</v>
      </c>
      <c r="S657" s="9">
        <f>STATS1003B!S687/1000</f>
        <v>0</v>
      </c>
      <c r="T657" s="9">
        <f>STATS1003B!T687/1000</f>
        <v>0</v>
      </c>
      <c r="U657" s="9">
        <f>STATS1003B!U687/1000</f>
        <v>0</v>
      </c>
      <c r="V657" s="9">
        <f>STATS1003B!V687/1000</f>
        <v>2856.83</v>
      </c>
      <c r="W657" s="9">
        <f>STATS1003B!W687/1000</f>
        <v>0</v>
      </c>
      <c r="X657" s="9">
        <f>STATS1003B!X687/1000</f>
        <v>2856.83</v>
      </c>
      <c r="Y657" s="9">
        <f>STATS1003B!Y687/1000</f>
        <v>0</v>
      </c>
      <c r="Z657" s="9">
        <f>STATS1003B!Z687/1000</f>
        <v>0</v>
      </c>
      <c r="AA657" s="9">
        <f>STATS1003B!AA687/1000</f>
        <v>2856.83</v>
      </c>
      <c r="AB657" s="9">
        <f>STATS1003B!AB687/1000</f>
        <v>0</v>
      </c>
    </row>
    <row r="658" spans="1:28" x14ac:dyDescent="0.35">
      <c r="A658" s="36"/>
      <c r="B658" s="8"/>
      <c r="C658" s="7" t="s">
        <v>551</v>
      </c>
      <c r="D658" s="8"/>
      <c r="E658" s="9">
        <f>STATS1003B!E688/1000</f>
        <v>2135.6354300000003</v>
      </c>
      <c r="F658" s="9">
        <f>STATS1003B!F688/1000</f>
        <v>2135.6354300000003</v>
      </c>
      <c r="G658" s="9">
        <f>STATS1003B!G688/1000</f>
        <v>0</v>
      </c>
      <c r="H658" s="9">
        <f>STATS1003B!H688/1000</f>
        <v>2135.6354300000003</v>
      </c>
      <c r="I658" s="9">
        <f>STATS1003B!I688/1000</f>
        <v>0</v>
      </c>
      <c r="J658" s="9">
        <f>STATS1003B!J688/1000</f>
        <v>2135.6354300000003</v>
      </c>
      <c r="K658" s="9">
        <f>STATS1003B!K688/1000</f>
        <v>0</v>
      </c>
      <c r="L658" s="9">
        <f>STATS1003B!L688/1000</f>
        <v>0</v>
      </c>
      <c r="M658" s="9">
        <f>STATS1003B!M688/1000</f>
        <v>2135.6354300000003</v>
      </c>
      <c r="N658" s="9">
        <f>STATS1003B!N688/1000</f>
        <v>0</v>
      </c>
      <c r="O658" s="9">
        <f>STATS1003B!O688/1000</f>
        <v>0</v>
      </c>
      <c r="P658" s="9">
        <f>STATS1003B!P688/1000</f>
        <v>0</v>
      </c>
      <c r="Q658" s="9">
        <f>STATS1003B!Q688/1000</f>
        <v>0</v>
      </c>
      <c r="R658" s="9">
        <f>STATS1003B!R688/1000</f>
        <v>0</v>
      </c>
      <c r="S658" s="9">
        <f>STATS1003B!S688/1000</f>
        <v>0</v>
      </c>
      <c r="T658" s="9">
        <f>STATS1003B!T688/1000</f>
        <v>0</v>
      </c>
      <c r="U658" s="9">
        <f>STATS1003B!U688/1000</f>
        <v>0</v>
      </c>
      <c r="V658" s="9">
        <f>STATS1003B!V688/1000</f>
        <v>2135.6354300000003</v>
      </c>
      <c r="W658" s="9">
        <f>STATS1003B!W688/1000</f>
        <v>0</v>
      </c>
      <c r="X658" s="9">
        <f>STATS1003B!X688/1000</f>
        <v>2135.6354300000003</v>
      </c>
      <c r="Y658" s="9">
        <f>STATS1003B!Y688/1000</f>
        <v>0</v>
      </c>
      <c r="Z658" s="9">
        <f>STATS1003B!Z688/1000</f>
        <v>0</v>
      </c>
      <c r="AA658" s="9">
        <f>STATS1003B!AA688/1000</f>
        <v>2135.6354300000003</v>
      </c>
      <c r="AB658" s="9">
        <f>STATS1003B!AB688/1000</f>
        <v>0</v>
      </c>
    </row>
    <row r="659" spans="1:28" x14ac:dyDescent="0.35">
      <c r="A659" s="36"/>
      <c r="B659" s="8"/>
      <c r="C659" s="7" t="s">
        <v>606</v>
      </c>
      <c r="D659" s="8"/>
      <c r="E659" s="9">
        <f>STATS1003B!E689/1000</f>
        <v>5000</v>
      </c>
      <c r="F659" s="9">
        <f>STATS1003B!F689/1000</f>
        <v>5000</v>
      </c>
      <c r="G659" s="9">
        <f>STATS1003B!G689/1000</f>
        <v>0</v>
      </c>
      <c r="H659" s="9">
        <f>STATS1003B!H689/1000</f>
        <v>5000</v>
      </c>
      <c r="I659" s="9">
        <f>STATS1003B!I689/1000</f>
        <v>0</v>
      </c>
      <c r="J659" s="9">
        <f>STATS1003B!J689/1000</f>
        <v>5000</v>
      </c>
      <c r="K659" s="9">
        <f>STATS1003B!K689/1000</f>
        <v>0</v>
      </c>
      <c r="L659" s="9">
        <f>STATS1003B!L689/1000</f>
        <v>0</v>
      </c>
      <c r="M659" s="9">
        <f>STATS1003B!M689/1000</f>
        <v>5000</v>
      </c>
      <c r="N659" s="9">
        <f>STATS1003B!N689/1000</f>
        <v>0</v>
      </c>
      <c r="O659" s="9">
        <f>STATS1003B!O689/1000</f>
        <v>0</v>
      </c>
      <c r="P659" s="9">
        <f>STATS1003B!P689/1000</f>
        <v>0</v>
      </c>
      <c r="Q659" s="9">
        <f>STATS1003B!Q689/1000</f>
        <v>0</v>
      </c>
      <c r="R659" s="9">
        <f>STATS1003B!R689/1000</f>
        <v>0</v>
      </c>
      <c r="S659" s="9">
        <f>STATS1003B!S689/1000</f>
        <v>0</v>
      </c>
      <c r="T659" s="9">
        <f>STATS1003B!T689/1000</f>
        <v>0</v>
      </c>
      <c r="U659" s="9">
        <f>STATS1003B!U689/1000</f>
        <v>0</v>
      </c>
      <c r="V659" s="9">
        <f>STATS1003B!V689/1000</f>
        <v>5000</v>
      </c>
      <c r="W659" s="9">
        <f>STATS1003B!W689/1000</f>
        <v>0</v>
      </c>
      <c r="X659" s="9">
        <f>STATS1003B!X689/1000</f>
        <v>5000</v>
      </c>
      <c r="Y659" s="9">
        <f>STATS1003B!Y689/1000</f>
        <v>0</v>
      </c>
      <c r="Z659" s="9">
        <f>STATS1003B!Z689/1000</f>
        <v>0</v>
      </c>
      <c r="AA659" s="9">
        <f>STATS1003B!AA689/1000</f>
        <v>5000</v>
      </c>
      <c r="AB659" s="9">
        <f>STATS1003B!AB689/1000</f>
        <v>0</v>
      </c>
    </row>
    <row r="660" spans="1:28" x14ac:dyDescent="0.35">
      <c r="A660" s="36"/>
      <c r="B660" s="8"/>
      <c r="C660" s="8"/>
      <c r="D660" s="8"/>
      <c r="E660" s="17" t="s">
        <v>29</v>
      </c>
      <c r="F660" s="17" t="s">
        <v>29</v>
      </c>
      <c r="G660" s="17" t="s">
        <v>29</v>
      </c>
      <c r="H660" s="17" t="s">
        <v>29</v>
      </c>
      <c r="I660" s="17" t="s">
        <v>29</v>
      </c>
      <c r="J660" s="17" t="s">
        <v>29</v>
      </c>
      <c r="K660" s="17" t="s">
        <v>29</v>
      </c>
      <c r="L660" s="17" t="s">
        <v>29</v>
      </c>
      <c r="M660" s="17" t="s">
        <v>29</v>
      </c>
      <c r="N660" s="17" t="s">
        <v>29</v>
      </c>
      <c r="O660" s="17" t="s">
        <v>29</v>
      </c>
      <c r="P660" s="17" t="s">
        <v>29</v>
      </c>
      <c r="Q660" s="17" t="s">
        <v>29</v>
      </c>
      <c r="R660" s="17" t="s">
        <v>29</v>
      </c>
      <c r="S660" s="17" t="s">
        <v>29</v>
      </c>
      <c r="T660" s="17" t="s">
        <v>29</v>
      </c>
      <c r="U660" s="17" t="s">
        <v>29</v>
      </c>
      <c r="V660" s="17" t="s">
        <v>29</v>
      </c>
      <c r="W660" s="17" t="s">
        <v>29</v>
      </c>
      <c r="X660" s="17" t="s">
        <v>29</v>
      </c>
      <c r="Y660" s="17" t="s">
        <v>29</v>
      </c>
      <c r="Z660" s="17" t="s">
        <v>29</v>
      </c>
      <c r="AA660" s="17" t="s">
        <v>29</v>
      </c>
      <c r="AB660" s="17" t="s">
        <v>29</v>
      </c>
    </row>
    <row r="661" spans="1:28" x14ac:dyDescent="0.35">
      <c r="A661" s="36"/>
      <c r="B661" s="8"/>
      <c r="C661" s="8"/>
      <c r="D661" s="8"/>
      <c r="E661" s="9">
        <f t="shared" ref="E661:Q661" si="44">SUM(E636:E660)</f>
        <v>69601.76496</v>
      </c>
      <c r="F661" s="9">
        <f t="shared" si="44"/>
        <v>61429.196210000002</v>
      </c>
      <c r="G661" s="9">
        <f t="shared" si="44"/>
        <v>0</v>
      </c>
      <c r="H661" s="9">
        <f t="shared" si="44"/>
        <v>61429.196210000002</v>
      </c>
      <c r="I661" s="9">
        <f t="shared" si="44"/>
        <v>4051.5831699999999</v>
      </c>
      <c r="J661" s="9">
        <f t="shared" si="44"/>
        <v>63977.624190000002</v>
      </c>
      <c r="K661" s="9">
        <f t="shared" si="44"/>
        <v>4120.9855800000005</v>
      </c>
      <c r="L661" s="9">
        <f t="shared" si="44"/>
        <v>4051.5831699999999</v>
      </c>
      <c r="M661" s="9">
        <f t="shared" si="44"/>
        <v>65480.77938</v>
      </c>
      <c r="N661" s="9">
        <f t="shared" si="44"/>
        <v>4120.9855800000005</v>
      </c>
      <c r="O661" s="9">
        <f t="shared" si="44"/>
        <v>0</v>
      </c>
      <c r="P661" s="9">
        <f t="shared" si="44"/>
        <v>4120.9855800000005</v>
      </c>
      <c r="Q661" s="9">
        <f t="shared" si="44"/>
        <v>0</v>
      </c>
      <c r="R661" s="17"/>
      <c r="S661" s="17"/>
      <c r="T661" s="9">
        <f t="shared" ref="T661:Z661" si="45">SUM(T636:T660)</f>
        <v>0</v>
      </c>
      <c r="U661" s="9">
        <f t="shared" si="45"/>
        <v>4120.9855800000005</v>
      </c>
      <c r="V661" s="9">
        <f t="shared" si="45"/>
        <v>64047.026600000005</v>
      </c>
      <c r="W661" s="9">
        <f t="shared" si="45"/>
        <v>4051.5831699999999</v>
      </c>
      <c r="X661" s="9">
        <f t="shared" si="45"/>
        <v>65550.181790000002</v>
      </c>
      <c r="Y661" s="9">
        <f t="shared" si="45"/>
        <v>0</v>
      </c>
      <c r="Z661" s="9">
        <f t="shared" si="45"/>
        <v>4051.5831699999999</v>
      </c>
      <c r="AA661" s="9">
        <f>SUM(AA636:AA660)</f>
        <v>69601.76496</v>
      </c>
      <c r="AB661" s="9">
        <f>SUM(AB636:AB660)</f>
        <v>0</v>
      </c>
    </row>
    <row r="662" spans="1:28" x14ac:dyDescent="0.35">
      <c r="A662" s="36"/>
      <c r="B662" s="8"/>
      <c r="C662" s="8"/>
      <c r="D662" s="8"/>
      <c r="E662" s="17" t="s">
        <v>29</v>
      </c>
      <c r="F662" s="17" t="s">
        <v>29</v>
      </c>
      <c r="G662" s="17" t="s">
        <v>29</v>
      </c>
      <c r="H662" s="17" t="s">
        <v>29</v>
      </c>
      <c r="I662" s="17" t="s">
        <v>29</v>
      </c>
      <c r="J662" s="17" t="s">
        <v>29</v>
      </c>
      <c r="K662" s="17" t="s">
        <v>29</v>
      </c>
      <c r="L662" s="17" t="s">
        <v>29</v>
      </c>
      <c r="M662" s="17" t="s">
        <v>29</v>
      </c>
      <c r="N662" s="17" t="s">
        <v>29</v>
      </c>
      <c r="O662" s="17" t="s">
        <v>29</v>
      </c>
      <c r="P662" s="17" t="s">
        <v>29</v>
      </c>
      <c r="Q662" s="17" t="s">
        <v>29</v>
      </c>
      <c r="R662" s="17" t="s">
        <v>29</v>
      </c>
      <c r="S662" s="17" t="s">
        <v>29</v>
      </c>
      <c r="T662" s="17" t="s">
        <v>29</v>
      </c>
      <c r="U662" s="17" t="s">
        <v>29</v>
      </c>
      <c r="V662" s="17" t="s">
        <v>29</v>
      </c>
      <c r="W662" s="17" t="s">
        <v>29</v>
      </c>
      <c r="X662" s="17" t="s">
        <v>29</v>
      </c>
      <c r="Y662" s="17" t="s">
        <v>29</v>
      </c>
      <c r="Z662" s="17" t="s">
        <v>29</v>
      </c>
      <c r="AA662" s="17" t="s">
        <v>29</v>
      </c>
      <c r="AB662" s="17" t="s">
        <v>29</v>
      </c>
    </row>
    <row r="663" spans="1:28" x14ac:dyDescent="0.35">
      <c r="A663" s="38" t="s">
        <v>970</v>
      </c>
      <c r="B663" s="7" t="s">
        <v>607</v>
      </c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17"/>
      <c r="S663" s="17"/>
      <c r="T663" s="17"/>
      <c r="U663" s="17"/>
      <c r="V663" s="17"/>
      <c r="W663" s="17"/>
      <c r="X663" s="17"/>
      <c r="Y663" s="17"/>
      <c r="Z663" s="17"/>
    </row>
    <row r="664" spans="1:28" x14ac:dyDescent="0.35">
      <c r="A664" s="36"/>
      <c r="B664" s="8"/>
      <c r="C664" s="7" t="s">
        <v>608</v>
      </c>
      <c r="D664" s="15" t="s">
        <v>76</v>
      </c>
      <c r="E664" s="9">
        <f>STATS1003B!E694/1000</f>
        <v>3228.3827700000002</v>
      </c>
      <c r="F664" s="9">
        <f>STATS1003B!F694/1000</f>
        <v>3207.0488700000001</v>
      </c>
      <c r="G664" s="9">
        <f>STATS1003B!G694/1000</f>
        <v>0</v>
      </c>
      <c r="H664" s="9">
        <f>STATS1003B!H694/1000</f>
        <v>3207.0488700000001</v>
      </c>
      <c r="I664" s="9">
        <f>STATS1003B!I694/1000</f>
        <v>0</v>
      </c>
      <c r="J664" s="9">
        <f>STATS1003B!J694/1000</f>
        <v>3207.0488700000001</v>
      </c>
      <c r="K664" s="9">
        <f>STATS1003B!K694/1000</f>
        <v>21.333899999999996</v>
      </c>
      <c r="L664" s="9">
        <f>STATS1003B!L694/1000</f>
        <v>0</v>
      </c>
      <c r="M664" s="9">
        <f>STATS1003B!M694/1000</f>
        <v>3207.0488700000001</v>
      </c>
      <c r="N664" s="9">
        <f>STATS1003B!N694/1000</f>
        <v>21.3339</v>
      </c>
      <c r="O664" s="9">
        <f>STATS1003B!O694/1000</f>
        <v>0</v>
      </c>
      <c r="P664" s="9">
        <f>STATS1003B!P694/1000</f>
        <v>21.3339</v>
      </c>
      <c r="Q664" s="9">
        <f>STATS1003B!Q694/1000</f>
        <v>3207.0488700000001</v>
      </c>
      <c r="R664" s="9">
        <f>STATS1003B!R694/1000</f>
        <v>0</v>
      </c>
      <c r="S664" s="9">
        <f>STATS1003B!S694/1000</f>
        <v>0</v>
      </c>
      <c r="T664" s="9">
        <f>STATS1003B!T694/1000</f>
        <v>0</v>
      </c>
      <c r="U664" s="9">
        <f>STATS1003B!U694/1000</f>
        <v>21.3339</v>
      </c>
      <c r="V664" s="9">
        <f>STATS1003B!V694/1000</f>
        <v>3228.3827700000002</v>
      </c>
      <c r="W664" s="9">
        <f>STATS1003B!W694/1000</f>
        <v>0</v>
      </c>
      <c r="X664" s="9">
        <f>STATS1003B!X694/1000</f>
        <v>3228.3827700000002</v>
      </c>
      <c r="Y664" s="9">
        <f>STATS1003B!Y694/1000</f>
        <v>0</v>
      </c>
      <c r="Z664" s="9">
        <f>STATS1003B!Z694/1000</f>
        <v>0</v>
      </c>
      <c r="AA664" s="9">
        <f>STATS1003B!AA694/1000</f>
        <v>3228.3827700000002</v>
      </c>
      <c r="AB664" s="9">
        <f>STATS1003B!AB694/1000</f>
        <v>0</v>
      </c>
    </row>
    <row r="665" spans="1:28" x14ac:dyDescent="0.35">
      <c r="A665" s="36"/>
      <c r="B665" s="8"/>
      <c r="C665" s="7" t="s">
        <v>608</v>
      </c>
      <c r="D665" s="15" t="s">
        <v>150</v>
      </c>
      <c r="E665" s="9">
        <f>STATS1003B!E695/1000</f>
        <v>5997</v>
      </c>
      <c r="F665" s="9">
        <f>STATS1003B!F695/1000</f>
        <v>5997</v>
      </c>
      <c r="G665" s="9">
        <f>STATS1003B!G695/1000</f>
        <v>0</v>
      </c>
      <c r="H665" s="9">
        <f>STATS1003B!H695/1000</f>
        <v>5997</v>
      </c>
      <c r="I665" s="9">
        <f>STATS1003B!I695/1000</f>
        <v>0</v>
      </c>
      <c r="J665" s="9">
        <f>STATS1003B!J695/1000</f>
        <v>5997</v>
      </c>
      <c r="K665" s="9">
        <f>STATS1003B!K695/1000</f>
        <v>0</v>
      </c>
      <c r="L665" s="9">
        <f>STATS1003B!L695/1000</f>
        <v>0</v>
      </c>
      <c r="M665" s="9">
        <f>STATS1003B!M695/1000</f>
        <v>5997</v>
      </c>
      <c r="N665" s="9">
        <f>STATS1003B!N695/1000</f>
        <v>0</v>
      </c>
      <c r="O665" s="9">
        <f>STATS1003B!O695/1000</f>
        <v>0</v>
      </c>
      <c r="P665" s="9">
        <f>STATS1003B!P695/1000</f>
        <v>0</v>
      </c>
      <c r="Q665" s="9">
        <f>STATS1003B!Q695/1000</f>
        <v>5997</v>
      </c>
      <c r="R665" s="9">
        <f>STATS1003B!R695/1000</f>
        <v>0</v>
      </c>
      <c r="S665" s="9">
        <f>STATS1003B!S695/1000</f>
        <v>0</v>
      </c>
      <c r="T665" s="9">
        <f>STATS1003B!T695/1000</f>
        <v>0</v>
      </c>
      <c r="U665" s="9">
        <f>STATS1003B!U695/1000</f>
        <v>0</v>
      </c>
      <c r="V665" s="9">
        <f>STATS1003B!V695/1000</f>
        <v>5997</v>
      </c>
      <c r="W665" s="9">
        <f>STATS1003B!W695/1000</f>
        <v>0</v>
      </c>
      <c r="X665" s="9">
        <f>STATS1003B!X695/1000</f>
        <v>5997</v>
      </c>
      <c r="Y665" s="9">
        <f>STATS1003B!Y695/1000</f>
        <v>0</v>
      </c>
      <c r="Z665" s="9">
        <f>STATS1003B!Z695/1000</f>
        <v>0</v>
      </c>
      <c r="AA665" s="9">
        <f>STATS1003B!AA695/1000</f>
        <v>5997</v>
      </c>
      <c r="AB665" s="9">
        <f>STATS1003B!AB695/1000</f>
        <v>0</v>
      </c>
    </row>
    <row r="666" spans="1:28" x14ac:dyDescent="0.35">
      <c r="A666" s="36"/>
      <c r="B666" s="8"/>
      <c r="C666" s="7" t="s">
        <v>609</v>
      </c>
      <c r="D666" s="15" t="s">
        <v>166</v>
      </c>
      <c r="E666" s="9">
        <f>STATS1003B!E696/1000</f>
        <v>2832.5366400000003</v>
      </c>
      <c r="F666" s="9">
        <f>STATS1003B!F696/1000</f>
        <v>2820.9381200000003</v>
      </c>
      <c r="G666" s="9">
        <f>STATS1003B!G696/1000</f>
        <v>0</v>
      </c>
      <c r="H666" s="9">
        <f>STATS1003B!H696/1000</f>
        <v>2820.9381200000003</v>
      </c>
      <c r="I666" s="9">
        <f>STATS1003B!I696/1000</f>
        <v>0</v>
      </c>
      <c r="J666" s="9">
        <f>STATS1003B!J696/1000</f>
        <v>2820.9381200000003</v>
      </c>
      <c r="K666" s="9">
        <f>STATS1003B!K696/1000</f>
        <v>11.598520000000001</v>
      </c>
      <c r="L666" s="9">
        <f>STATS1003B!L696/1000</f>
        <v>0</v>
      </c>
      <c r="M666" s="9">
        <f>STATS1003B!M696/1000</f>
        <v>2820.9381200000003</v>
      </c>
      <c r="N666" s="9">
        <f>STATS1003B!N696/1000</f>
        <v>11.598520000000001</v>
      </c>
      <c r="O666" s="9">
        <f>STATS1003B!O696/1000</f>
        <v>0</v>
      </c>
      <c r="P666" s="9">
        <f>STATS1003B!P696/1000</f>
        <v>11.598520000000001</v>
      </c>
      <c r="Q666" s="9">
        <f>STATS1003B!Q696/1000</f>
        <v>2820.9381200000003</v>
      </c>
      <c r="R666" s="9">
        <f>STATS1003B!R696/1000</f>
        <v>0</v>
      </c>
      <c r="S666" s="9">
        <f>STATS1003B!S696/1000</f>
        <v>0</v>
      </c>
      <c r="T666" s="9">
        <f>STATS1003B!T696/1000</f>
        <v>0</v>
      </c>
      <c r="U666" s="9">
        <f>STATS1003B!U696/1000</f>
        <v>11.598520000000001</v>
      </c>
      <c r="V666" s="9">
        <f>STATS1003B!V696/1000</f>
        <v>2832.5366400000003</v>
      </c>
      <c r="W666" s="9">
        <f>STATS1003B!W696/1000</f>
        <v>0</v>
      </c>
      <c r="X666" s="9">
        <f>STATS1003B!X696/1000</f>
        <v>2832.5366400000003</v>
      </c>
      <c r="Y666" s="9">
        <f>STATS1003B!Y696/1000</f>
        <v>0</v>
      </c>
      <c r="Z666" s="9">
        <f>STATS1003B!Z696/1000</f>
        <v>0</v>
      </c>
      <c r="AA666" s="9">
        <f>STATS1003B!AA696/1000</f>
        <v>2832.5366400000003</v>
      </c>
      <c r="AB666" s="9">
        <f>STATS1003B!AB696/1000</f>
        <v>0</v>
      </c>
    </row>
    <row r="667" spans="1:28" x14ac:dyDescent="0.35">
      <c r="A667" s="36"/>
      <c r="B667" s="8"/>
      <c r="C667" s="7" t="s">
        <v>610</v>
      </c>
      <c r="D667" s="15" t="s">
        <v>166</v>
      </c>
      <c r="E667" s="9">
        <f>STATS1003B!E697/1000</f>
        <v>3459</v>
      </c>
      <c r="F667" s="9">
        <f>STATS1003B!F697/1000</f>
        <v>3458.5568199999998</v>
      </c>
      <c r="G667" s="9">
        <f>STATS1003B!G697/1000</f>
        <v>0</v>
      </c>
      <c r="H667" s="9">
        <f>STATS1003B!H697/1000</f>
        <v>3458.5568199999998</v>
      </c>
      <c r="I667" s="9">
        <f>STATS1003B!I697/1000</f>
        <v>0</v>
      </c>
      <c r="J667" s="9">
        <f>STATS1003B!J697/1000</f>
        <v>3458.5568199999998</v>
      </c>
      <c r="K667" s="9">
        <f>STATS1003B!K697/1000</f>
        <v>0.44318000000000002</v>
      </c>
      <c r="L667" s="9">
        <f>STATS1003B!L697/1000</f>
        <v>0</v>
      </c>
      <c r="M667" s="9">
        <f>STATS1003B!M697/1000</f>
        <v>3458.5568199999998</v>
      </c>
      <c r="N667" s="9">
        <f>STATS1003B!N697/1000</f>
        <v>0.44318000000000002</v>
      </c>
      <c r="O667" s="9">
        <f>STATS1003B!O697/1000</f>
        <v>0</v>
      </c>
      <c r="P667" s="9">
        <f>STATS1003B!P697/1000</f>
        <v>0.44318000000000002</v>
      </c>
      <c r="Q667" s="9">
        <f>STATS1003B!Q697/1000</f>
        <v>3458.5568199999998</v>
      </c>
      <c r="R667" s="9">
        <f>STATS1003B!R697/1000</f>
        <v>0</v>
      </c>
      <c r="S667" s="9">
        <f>STATS1003B!S697/1000</f>
        <v>0</v>
      </c>
      <c r="T667" s="9">
        <f>STATS1003B!T697/1000</f>
        <v>0</v>
      </c>
      <c r="U667" s="9">
        <f>STATS1003B!U697/1000</f>
        <v>0.44318000000000002</v>
      </c>
      <c r="V667" s="9">
        <f>STATS1003B!V697/1000</f>
        <v>3459</v>
      </c>
      <c r="W667" s="9">
        <f>STATS1003B!W697/1000</f>
        <v>0</v>
      </c>
      <c r="X667" s="9">
        <f>STATS1003B!X697/1000</f>
        <v>3459</v>
      </c>
      <c r="Y667" s="9">
        <f>STATS1003B!Y697/1000</f>
        <v>0</v>
      </c>
      <c r="Z667" s="9">
        <f>STATS1003B!Z697/1000</f>
        <v>0</v>
      </c>
      <c r="AA667" s="9">
        <f>STATS1003B!AA697/1000</f>
        <v>3459</v>
      </c>
      <c r="AB667" s="9">
        <f>STATS1003B!AB697/1000</f>
        <v>0</v>
      </c>
    </row>
    <row r="668" spans="1:28" x14ac:dyDescent="0.35">
      <c r="A668" s="36"/>
      <c r="B668" s="8"/>
      <c r="C668" s="7" t="s">
        <v>539</v>
      </c>
      <c r="D668" s="15" t="s">
        <v>68</v>
      </c>
      <c r="E668" s="9">
        <f>STATS1003B!E698/1000</f>
        <v>1454.0656000000001</v>
      </c>
      <c r="F668" s="9">
        <f>STATS1003B!F698/1000</f>
        <v>0</v>
      </c>
      <c r="G668" s="9">
        <f>STATS1003B!G698/1000</f>
        <v>0</v>
      </c>
      <c r="H668" s="9">
        <f>STATS1003B!H698/1000</f>
        <v>0</v>
      </c>
      <c r="I668" s="9">
        <f>STATS1003B!I698/1000</f>
        <v>0</v>
      </c>
      <c r="J668" s="9">
        <f>STATS1003B!J698/1000</f>
        <v>0</v>
      </c>
      <c r="K668" s="9">
        <f>STATS1003B!K698/1000</f>
        <v>1454.0656000000001</v>
      </c>
      <c r="L668" s="9">
        <f>STATS1003B!L698/1000</f>
        <v>0</v>
      </c>
      <c r="M668" s="9">
        <f>STATS1003B!M698/1000</f>
        <v>0</v>
      </c>
      <c r="N668" s="9">
        <f>STATS1003B!N698/1000</f>
        <v>1454.0656000000001</v>
      </c>
      <c r="O668" s="9">
        <f>STATS1003B!O698/1000</f>
        <v>0</v>
      </c>
      <c r="P668" s="9">
        <f>STATS1003B!P698/1000</f>
        <v>1454.0656000000001</v>
      </c>
      <c r="Q668" s="9">
        <f>STATS1003B!Q698/1000</f>
        <v>0</v>
      </c>
      <c r="R668" s="9">
        <f>STATS1003B!R698/1000</f>
        <v>0</v>
      </c>
      <c r="S668" s="9">
        <f>STATS1003B!S698/1000</f>
        <v>0</v>
      </c>
      <c r="T668" s="9">
        <f>STATS1003B!T698/1000</f>
        <v>0</v>
      </c>
      <c r="U668" s="9">
        <f>STATS1003B!U698/1000</f>
        <v>1454.0656000000001</v>
      </c>
      <c r="V668" s="9">
        <f>STATS1003B!V698/1000</f>
        <v>1454.0656000000001</v>
      </c>
      <c r="W668" s="9">
        <f>STATS1003B!W698/1000</f>
        <v>0</v>
      </c>
      <c r="X668" s="9">
        <f>STATS1003B!X698/1000</f>
        <v>1454.0656000000001</v>
      </c>
      <c r="Y668" s="9">
        <f>STATS1003B!Y698/1000</f>
        <v>0</v>
      </c>
      <c r="Z668" s="9">
        <f>STATS1003B!Z698/1000</f>
        <v>0</v>
      </c>
      <c r="AA668" s="9">
        <f>STATS1003B!AA698/1000</f>
        <v>1454.0656000000001</v>
      </c>
      <c r="AB668" s="9">
        <f>STATS1003B!AB698/1000</f>
        <v>0</v>
      </c>
    </row>
    <row r="669" spans="1:28" x14ac:dyDescent="0.35">
      <c r="A669" s="36"/>
      <c r="B669" s="8"/>
      <c r="C669" s="7" t="s">
        <v>535</v>
      </c>
      <c r="D669" s="15" t="s">
        <v>68</v>
      </c>
      <c r="E669" s="9">
        <f>STATS1003B!E699/1000</f>
        <v>63.438330000000072</v>
      </c>
      <c r="F669" s="9">
        <f>STATS1003B!F699/1000</f>
        <v>0</v>
      </c>
      <c r="G669" s="9">
        <f>STATS1003B!G699/1000</f>
        <v>0</v>
      </c>
      <c r="H669" s="9">
        <f>STATS1003B!H699/1000</f>
        <v>0</v>
      </c>
      <c r="I669" s="9">
        <f>STATS1003B!I699/1000</f>
        <v>0</v>
      </c>
      <c r="J669" s="9">
        <f>STATS1003B!J699/1000</f>
        <v>0</v>
      </c>
      <c r="K669" s="9">
        <f>STATS1003B!K699/1000</f>
        <v>63.438330000000001</v>
      </c>
      <c r="L669" s="9">
        <f>STATS1003B!L699/1000</f>
        <v>0</v>
      </c>
      <c r="M669" s="9">
        <f>STATS1003B!M699/1000</f>
        <v>0</v>
      </c>
      <c r="N669" s="9">
        <f>STATS1003B!N699/1000</f>
        <v>63.438330000000001</v>
      </c>
      <c r="O669" s="9">
        <f>STATS1003B!O699/1000</f>
        <v>0</v>
      </c>
      <c r="P669" s="9">
        <f>STATS1003B!P699/1000</f>
        <v>63.438330000000001</v>
      </c>
      <c r="Q669" s="9">
        <f>STATS1003B!Q699/1000</f>
        <v>7.2759576141834261E-14</v>
      </c>
      <c r="R669" s="9">
        <f>STATS1003B!R699/1000</f>
        <v>0</v>
      </c>
      <c r="S669" s="9">
        <f>STATS1003B!S699/1000</f>
        <v>0</v>
      </c>
      <c r="T669" s="9">
        <f>STATS1003B!T699/1000</f>
        <v>0</v>
      </c>
      <c r="U669" s="9">
        <f>STATS1003B!U699/1000</f>
        <v>63.438330000000001</v>
      </c>
      <c r="V669" s="9">
        <f>STATS1003B!V699/1000</f>
        <v>63.438330000000001</v>
      </c>
      <c r="W669" s="9">
        <f>STATS1003B!W699/1000</f>
        <v>7.2759576141834261E-14</v>
      </c>
      <c r="X669" s="9">
        <f>STATS1003B!X699/1000</f>
        <v>63.438330000000001</v>
      </c>
      <c r="Y669" s="9">
        <f>STATS1003B!Y699/1000</f>
        <v>0</v>
      </c>
      <c r="Z669" s="9">
        <f>STATS1003B!Z699/1000</f>
        <v>7.2759576141834261E-14</v>
      </c>
      <c r="AA669" s="9">
        <f>STATS1003B!AA699/1000</f>
        <v>63.438330000000001</v>
      </c>
      <c r="AB669" s="9">
        <f>STATS1003B!AB699/1000</f>
        <v>7.2759576141834261E-14</v>
      </c>
    </row>
    <row r="670" spans="1:28" x14ac:dyDescent="0.35">
      <c r="A670" s="36"/>
      <c r="B670" s="8"/>
      <c r="C670" s="7" t="s">
        <v>600</v>
      </c>
      <c r="D670" s="15" t="s">
        <v>54</v>
      </c>
      <c r="E670" s="9">
        <f>STATS1003B!E700/1000</f>
        <v>543.875</v>
      </c>
      <c r="F670" s="9">
        <f>STATS1003B!F700/1000</f>
        <v>543.875</v>
      </c>
      <c r="G670" s="9">
        <f>STATS1003B!G700/1000</f>
        <v>0</v>
      </c>
      <c r="H670" s="9">
        <f>STATS1003B!H700/1000</f>
        <v>543.875</v>
      </c>
      <c r="I670" s="9">
        <f>STATS1003B!I700/1000</f>
        <v>0</v>
      </c>
      <c r="J670" s="9">
        <f>STATS1003B!J700/1000</f>
        <v>543.875</v>
      </c>
      <c r="K670" s="9">
        <f>STATS1003B!K700/1000</f>
        <v>0</v>
      </c>
      <c r="L670" s="9">
        <f>STATS1003B!L700/1000</f>
        <v>0</v>
      </c>
      <c r="M670" s="9">
        <f>STATS1003B!M700/1000</f>
        <v>543.875</v>
      </c>
      <c r="N670" s="9">
        <f>STATS1003B!N700/1000</f>
        <v>0</v>
      </c>
      <c r="O670" s="9">
        <f>STATS1003B!O700/1000</f>
        <v>0</v>
      </c>
      <c r="P670" s="9">
        <f>STATS1003B!P700/1000</f>
        <v>0</v>
      </c>
      <c r="Q670" s="9">
        <f>STATS1003B!Q700/1000</f>
        <v>543.875</v>
      </c>
      <c r="R670" s="9">
        <f>STATS1003B!R700/1000</f>
        <v>0</v>
      </c>
      <c r="S670" s="9">
        <f>STATS1003B!S700/1000</f>
        <v>0</v>
      </c>
      <c r="T670" s="9">
        <f>STATS1003B!T700/1000</f>
        <v>0</v>
      </c>
      <c r="U670" s="9">
        <f>STATS1003B!U700/1000</f>
        <v>0</v>
      </c>
      <c r="V670" s="9">
        <f>STATS1003B!V700/1000</f>
        <v>543.875</v>
      </c>
      <c r="W670" s="9">
        <f>STATS1003B!W700/1000</f>
        <v>0</v>
      </c>
      <c r="X670" s="9">
        <f>STATS1003B!X700/1000</f>
        <v>543.875</v>
      </c>
      <c r="Y670" s="9">
        <f>STATS1003B!Y700/1000</f>
        <v>0</v>
      </c>
      <c r="Z670" s="9">
        <f>STATS1003B!Z700/1000</f>
        <v>0</v>
      </c>
      <c r="AA670" s="9">
        <f>STATS1003B!AA700/1000</f>
        <v>543.875</v>
      </c>
      <c r="AB670" s="9">
        <f>STATS1003B!AB700/1000</f>
        <v>0</v>
      </c>
    </row>
    <row r="671" spans="1:28" x14ac:dyDescent="0.35">
      <c r="A671" s="36"/>
      <c r="B671" s="8"/>
      <c r="C671" s="7" t="s">
        <v>611</v>
      </c>
      <c r="D671" s="15" t="s">
        <v>54</v>
      </c>
      <c r="E671" s="9">
        <f>STATS1003B!E701/1000</f>
        <v>475</v>
      </c>
      <c r="F671" s="9">
        <f>STATS1003B!F701/1000</f>
        <v>475</v>
      </c>
      <c r="G671" s="9">
        <f>STATS1003B!G701/1000</f>
        <v>0</v>
      </c>
      <c r="H671" s="9">
        <f>STATS1003B!H701/1000</f>
        <v>475</v>
      </c>
      <c r="I671" s="9">
        <f>STATS1003B!I701/1000</f>
        <v>0</v>
      </c>
      <c r="J671" s="9">
        <f>STATS1003B!J701/1000</f>
        <v>475</v>
      </c>
      <c r="K671" s="9">
        <f>STATS1003B!K701/1000</f>
        <v>0</v>
      </c>
      <c r="L671" s="9">
        <f>STATS1003B!L701/1000</f>
        <v>0</v>
      </c>
      <c r="M671" s="9">
        <f>STATS1003B!M701/1000</f>
        <v>475</v>
      </c>
      <c r="N671" s="9">
        <f>STATS1003B!N701/1000</f>
        <v>0</v>
      </c>
      <c r="O671" s="9">
        <f>STATS1003B!O701/1000</f>
        <v>0</v>
      </c>
      <c r="P671" s="9">
        <f>STATS1003B!P701/1000</f>
        <v>0</v>
      </c>
      <c r="Q671" s="9">
        <f>STATS1003B!Q701/1000</f>
        <v>475</v>
      </c>
      <c r="R671" s="9">
        <f>STATS1003B!R701/1000</f>
        <v>0</v>
      </c>
      <c r="S671" s="9">
        <f>STATS1003B!S701/1000</f>
        <v>0</v>
      </c>
      <c r="T671" s="9">
        <f>STATS1003B!T701/1000</f>
        <v>0</v>
      </c>
      <c r="U671" s="9">
        <f>STATS1003B!U701/1000</f>
        <v>0</v>
      </c>
      <c r="V671" s="9">
        <f>STATS1003B!V701/1000</f>
        <v>475</v>
      </c>
      <c r="W671" s="9">
        <f>STATS1003B!W701/1000</f>
        <v>0</v>
      </c>
      <c r="X671" s="9">
        <f>STATS1003B!X701/1000</f>
        <v>475</v>
      </c>
      <c r="Y671" s="9">
        <f>STATS1003B!Y701/1000</f>
        <v>0</v>
      </c>
      <c r="Z671" s="9">
        <f>STATS1003B!Z701/1000</f>
        <v>0</v>
      </c>
      <c r="AA671" s="9">
        <f>STATS1003B!AA701/1000</f>
        <v>475</v>
      </c>
      <c r="AB671" s="9">
        <f>STATS1003B!AB701/1000</f>
        <v>0</v>
      </c>
    </row>
    <row r="672" spans="1:28" x14ac:dyDescent="0.35">
      <c r="A672" s="36"/>
      <c r="B672" s="8"/>
      <c r="C672" s="7" t="s">
        <v>545</v>
      </c>
      <c r="D672" s="15" t="s">
        <v>54</v>
      </c>
      <c r="E672" s="9">
        <f>STATS1003B!E702/1000</f>
        <v>1767.77</v>
      </c>
      <c r="F672" s="9">
        <f>STATS1003B!F702/1000</f>
        <v>0</v>
      </c>
      <c r="G672" s="9">
        <f>STATS1003B!G702/1000</f>
        <v>0</v>
      </c>
      <c r="H672" s="9">
        <f>STATS1003B!H702/1000</f>
        <v>0</v>
      </c>
      <c r="I672" s="9">
        <f>STATS1003B!I702/1000</f>
        <v>0</v>
      </c>
      <c r="J672" s="9">
        <f>STATS1003B!J702/1000</f>
        <v>0</v>
      </c>
      <c r="K672" s="9">
        <f>STATS1003B!K702/1000</f>
        <v>1767.77</v>
      </c>
      <c r="L672" s="9">
        <f>STATS1003B!L702/1000</f>
        <v>0</v>
      </c>
      <c r="M672" s="9">
        <f>STATS1003B!M702/1000</f>
        <v>0</v>
      </c>
      <c r="N672" s="9">
        <f>STATS1003B!N702/1000</f>
        <v>1767.77</v>
      </c>
      <c r="O672" s="9">
        <f>STATS1003B!O702/1000</f>
        <v>0</v>
      </c>
      <c r="P672" s="9">
        <f>STATS1003B!P702/1000</f>
        <v>1767.77</v>
      </c>
      <c r="Q672" s="9">
        <f>STATS1003B!Q702/1000</f>
        <v>0</v>
      </c>
      <c r="R672" s="9">
        <f>STATS1003B!R702/1000</f>
        <v>0</v>
      </c>
      <c r="S672" s="9">
        <f>STATS1003B!S702/1000</f>
        <v>0</v>
      </c>
      <c r="T672" s="9">
        <f>STATS1003B!T702/1000</f>
        <v>0</v>
      </c>
      <c r="U672" s="9">
        <f>STATS1003B!U702/1000</f>
        <v>1767.77</v>
      </c>
      <c r="V672" s="9">
        <f>STATS1003B!V702/1000</f>
        <v>1767.77</v>
      </c>
      <c r="W672" s="9">
        <f>STATS1003B!W702/1000</f>
        <v>0</v>
      </c>
      <c r="X672" s="9">
        <f>STATS1003B!X702/1000</f>
        <v>1767.77</v>
      </c>
      <c r="Y672" s="9">
        <f>STATS1003B!Y702/1000</f>
        <v>0</v>
      </c>
      <c r="Z672" s="9">
        <f>STATS1003B!Z702/1000</f>
        <v>0</v>
      </c>
      <c r="AA672" s="9">
        <f>STATS1003B!AA702/1000</f>
        <v>1767.77</v>
      </c>
      <c r="AB672" s="9">
        <f>STATS1003B!AB702/1000</f>
        <v>0</v>
      </c>
    </row>
    <row r="673" spans="1:28" x14ac:dyDescent="0.35">
      <c r="A673" s="36"/>
      <c r="B673" s="8"/>
      <c r="C673" s="7" t="s">
        <v>535</v>
      </c>
      <c r="D673" s="15" t="s">
        <v>85</v>
      </c>
      <c r="E673" s="9">
        <f>STATS1003B!E703/1000</f>
        <v>1025.0999999999999</v>
      </c>
      <c r="F673" s="9">
        <f>STATS1003B!F703/1000</f>
        <v>1025.0999999999999</v>
      </c>
      <c r="G673" s="9">
        <f>STATS1003B!G703/1000</f>
        <v>0</v>
      </c>
      <c r="H673" s="9">
        <f>STATS1003B!H703/1000</f>
        <v>1025.0999999999999</v>
      </c>
      <c r="I673" s="9">
        <f>STATS1003B!I703/1000</f>
        <v>0</v>
      </c>
      <c r="J673" s="9">
        <f>STATS1003B!J703/1000</f>
        <v>1025.0999999999999</v>
      </c>
      <c r="K673" s="9">
        <f>STATS1003B!K703/1000</f>
        <v>0</v>
      </c>
      <c r="L673" s="9">
        <f>STATS1003B!L703/1000</f>
        <v>0</v>
      </c>
      <c r="M673" s="9">
        <f>STATS1003B!M703/1000</f>
        <v>1025.0999999999999</v>
      </c>
      <c r="N673" s="9">
        <f>STATS1003B!N703/1000</f>
        <v>0</v>
      </c>
      <c r="O673" s="9">
        <f>STATS1003B!O703/1000</f>
        <v>0</v>
      </c>
      <c r="P673" s="9">
        <f>STATS1003B!P703/1000</f>
        <v>0</v>
      </c>
      <c r="Q673" s="9">
        <f>STATS1003B!Q703/1000</f>
        <v>1025.0999999999999</v>
      </c>
      <c r="R673" s="9">
        <f>STATS1003B!R703/1000</f>
        <v>0</v>
      </c>
      <c r="S673" s="9">
        <f>STATS1003B!S703/1000</f>
        <v>0</v>
      </c>
      <c r="T673" s="9">
        <f>STATS1003B!T703/1000</f>
        <v>0</v>
      </c>
      <c r="U673" s="9">
        <f>STATS1003B!U703/1000</f>
        <v>0</v>
      </c>
      <c r="V673" s="9">
        <f>STATS1003B!V703/1000</f>
        <v>1025.0999999999999</v>
      </c>
      <c r="W673" s="9">
        <f>STATS1003B!W703/1000</f>
        <v>0</v>
      </c>
      <c r="X673" s="9">
        <f>STATS1003B!X703/1000</f>
        <v>1025.0999999999999</v>
      </c>
      <c r="Y673" s="9">
        <f>STATS1003B!Y703/1000</f>
        <v>0</v>
      </c>
      <c r="Z673" s="9">
        <f>STATS1003B!Z703/1000</f>
        <v>0</v>
      </c>
      <c r="AA673" s="9">
        <f>STATS1003B!AA703/1000</f>
        <v>1025.0999999999999</v>
      </c>
      <c r="AB673" s="9">
        <f>STATS1003B!AB703/1000</f>
        <v>0</v>
      </c>
    </row>
    <row r="674" spans="1:28" x14ac:dyDescent="0.35">
      <c r="A674" s="36"/>
      <c r="B674" s="8"/>
      <c r="C674" s="7" t="s">
        <v>612</v>
      </c>
      <c r="D674" s="15" t="s">
        <v>85</v>
      </c>
      <c r="E674" s="9">
        <f>STATS1003B!E704/1000</f>
        <v>3010.3530000000001</v>
      </c>
      <c r="F674" s="9">
        <f>STATS1003B!F704/1000</f>
        <v>3010.3530000000001</v>
      </c>
      <c r="G674" s="9">
        <f>STATS1003B!G704/1000</f>
        <v>0</v>
      </c>
      <c r="H674" s="9">
        <f>STATS1003B!H704/1000</f>
        <v>3010.3530000000001</v>
      </c>
      <c r="I674" s="9">
        <f>STATS1003B!I704/1000</f>
        <v>0</v>
      </c>
      <c r="J674" s="9">
        <f>STATS1003B!J704/1000</f>
        <v>3010.3530000000001</v>
      </c>
      <c r="K674" s="9">
        <f>STATS1003B!K704/1000</f>
        <v>0</v>
      </c>
      <c r="L674" s="9">
        <f>STATS1003B!L704/1000</f>
        <v>0</v>
      </c>
      <c r="M674" s="9">
        <f>STATS1003B!M704/1000</f>
        <v>3010.3530000000001</v>
      </c>
      <c r="N674" s="9">
        <f>STATS1003B!N704/1000</f>
        <v>0</v>
      </c>
      <c r="O674" s="9">
        <f>STATS1003B!O704/1000</f>
        <v>0</v>
      </c>
      <c r="P674" s="9">
        <f>STATS1003B!P704/1000</f>
        <v>0</v>
      </c>
      <c r="Q674" s="9">
        <f>STATS1003B!Q704/1000</f>
        <v>3010.3530000000001</v>
      </c>
      <c r="R674" s="9">
        <f>STATS1003B!R704/1000</f>
        <v>0</v>
      </c>
      <c r="S674" s="9">
        <f>STATS1003B!S704/1000</f>
        <v>0</v>
      </c>
      <c r="T674" s="9">
        <f>STATS1003B!T704/1000</f>
        <v>0</v>
      </c>
      <c r="U674" s="9">
        <f>STATS1003B!U704/1000</f>
        <v>0</v>
      </c>
      <c r="V674" s="9">
        <f>STATS1003B!V704/1000</f>
        <v>3010.3530000000001</v>
      </c>
      <c r="W674" s="9">
        <f>STATS1003B!W704/1000</f>
        <v>0</v>
      </c>
      <c r="X674" s="9">
        <f>STATS1003B!X704/1000</f>
        <v>3010.3530000000001</v>
      </c>
      <c r="Y674" s="9">
        <f>STATS1003B!Y704/1000</f>
        <v>0</v>
      </c>
      <c r="Z674" s="9">
        <f>STATS1003B!Z704/1000</f>
        <v>0</v>
      </c>
      <c r="AA674" s="9">
        <f>STATS1003B!AA704/1000</f>
        <v>3010.3530000000001</v>
      </c>
      <c r="AB674" s="9">
        <f>STATS1003B!AB704/1000</f>
        <v>0</v>
      </c>
    </row>
    <row r="675" spans="1:28" x14ac:dyDescent="0.35">
      <c r="A675" s="36"/>
      <c r="B675" s="8"/>
      <c r="C675" s="7" t="s">
        <v>613</v>
      </c>
      <c r="D675" s="15" t="s">
        <v>85</v>
      </c>
      <c r="E675" s="9">
        <f>STATS1003B!E705/1000</f>
        <v>160</v>
      </c>
      <c r="F675" s="9">
        <f>STATS1003B!F705/1000</f>
        <v>0</v>
      </c>
      <c r="G675" s="9">
        <f>STATS1003B!G705/1000</f>
        <v>0</v>
      </c>
      <c r="H675" s="9">
        <f>STATS1003B!H705/1000</f>
        <v>0</v>
      </c>
      <c r="I675" s="9">
        <f>STATS1003B!I705/1000</f>
        <v>0</v>
      </c>
      <c r="J675" s="9">
        <f>STATS1003B!J705/1000</f>
        <v>0</v>
      </c>
      <c r="K675" s="9">
        <f>STATS1003B!K705/1000</f>
        <v>0</v>
      </c>
      <c r="L675" s="9">
        <f>STATS1003B!L705/1000</f>
        <v>0</v>
      </c>
      <c r="M675" s="9">
        <f>STATS1003B!M705/1000</f>
        <v>0</v>
      </c>
      <c r="N675" s="9">
        <f>STATS1003B!N705/1000</f>
        <v>0</v>
      </c>
      <c r="O675" s="9">
        <f>STATS1003B!O705/1000</f>
        <v>0</v>
      </c>
      <c r="P675" s="9">
        <f>STATS1003B!P705/1000</f>
        <v>0</v>
      </c>
      <c r="Q675" s="9">
        <f>STATS1003B!Q705/1000</f>
        <v>160</v>
      </c>
      <c r="R675" s="9">
        <f>STATS1003B!R705/1000</f>
        <v>0</v>
      </c>
      <c r="S675" s="9">
        <f>STATS1003B!S705/1000</f>
        <v>0</v>
      </c>
      <c r="T675" s="9">
        <f>STATS1003B!T705/1000</f>
        <v>0</v>
      </c>
      <c r="U675" s="9">
        <f>STATS1003B!U705/1000</f>
        <v>0</v>
      </c>
      <c r="V675" s="9">
        <f>STATS1003B!V705/1000</f>
        <v>0</v>
      </c>
      <c r="W675" s="9">
        <f>STATS1003B!W705/1000</f>
        <v>160</v>
      </c>
      <c r="X675" s="9">
        <f>STATS1003B!X705/1000</f>
        <v>0</v>
      </c>
      <c r="Y675" s="9">
        <f>STATS1003B!Y705/1000</f>
        <v>0</v>
      </c>
      <c r="Z675" s="9">
        <f>STATS1003B!Z705/1000</f>
        <v>160</v>
      </c>
      <c r="AA675" s="9">
        <f>STATS1003B!AA705/1000</f>
        <v>0</v>
      </c>
      <c r="AB675" s="9">
        <f>STATS1003B!AB705/1000</f>
        <v>160</v>
      </c>
    </row>
    <row r="676" spans="1:28" x14ac:dyDescent="0.35">
      <c r="A676" s="36"/>
      <c r="B676" s="8"/>
      <c r="C676" s="7" t="s">
        <v>566</v>
      </c>
      <c r="D676" s="15" t="s">
        <v>128</v>
      </c>
      <c r="E676" s="9">
        <f>STATS1003B!E706/1000</f>
        <v>2339.1</v>
      </c>
      <c r="F676" s="9">
        <f>STATS1003B!F706/1000</f>
        <v>2339.1</v>
      </c>
      <c r="G676" s="9">
        <f>STATS1003B!G706/1000</f>
        <v>0</v>
      </c>
      <c r="H676" s="9">
        <f>STATS1003B!H706/1000</f>
        <v>2339.1</v>
      </c>
      <c r="I676" s="9">
        <f>STATS1003B!I706/1000</f>
        <v>0</v>
      </c>
      <c r="J676" s="9">
        <f>STATS1003B!J706/1000</f>
        <v>2339.1</v>
      </c>
      <c r="K676" s="9">
        <f>STATS1003B!K706/1000</f>
        <v>0</v>
      </c>
      <c r="L676" s="9">
        <f>STATS1003B!L706/1000</f>
        <v>0</v>
      </c>
      <c r="M676" s="9">
        <f>STATS1003B!M706/1000</f>
        <v>2339.1</v>
      </c>
      <c r="N676" s="9">
        <f>STATS1003B!N706/1000</f>
        <v>0</v>
      </c>
      <c r="O676" s="9">
        <f>STATS1003B!O706/1000</f>
        <v>0</v>
      </c>
      <c r="P676" s="9">
        <f>STATS1003B!P706/1000</f>
        <v>0</v>
      </c>
      <c r="Q676" s="9">
        <f>STATS1003B!Q706/1000</f>
        <v>2339.1</v>
      </c>
      <c r="R676" s="9">
        <f>STATS1003B!R706/1000</f>
        <v>0</v>
      </c>
      <c r="S676" s="9">
        <f>STATS1003B!S706/1000</f>
        <v>0</v>
      </c>
      <c r="T676" s="9">
        <f>STATS1003B!T706/1000</f>
        <v>0</v>
      </c>
      <c r="U676" s="9">
        <f>STATS1003B!U706/1000</f>
        <v>0</v>
      </c>
      <c r="V676" s="9">
        <f>STATS1003B!V706/1000</f>
        <v>2339.1</v>
      </c>
      <c r="W676" s="9">
        <f>STATS1003B!W706/1000</f>
        <v>0</v>
      </c>
      <c r="X676" s="9">
        <f>STATS1003B!X706/1000</f>
        <v>2339.1</v>
      </c>
      <c r="Y676" s="9">
        <f>STATS1003B!Y706/1000</f>
        <v>0</v>
      </c>
      <c r="Z676" s="9">
        <f>STATS1003B!Z706/1000</f>
        <v>0</v>
      </c>
      <c r="AA676" s="9">
        <f>STATS1003B!AA706/1000</f>
        <v>2339.1</v>
      </c>
      <c r="AB676" s="9">
        <f>STATS1003B!AB706/1000</f>
        <v>0</v>
      </c>
    </row>
    <row r="677" spans="1:28" x14ac:dyDescent="0.35">
      <c r="A677" s="36"/>
      <c r="B677" s="8"/>
      <c r="C677" s="7" t="s">
        <v>535</v>
      </c>
      <c r="D677" s="15" t="s">
        <v>108</v>
      </c>
      <c r="E677" s="9">
        <f>STATS1003B!E707/1000</f>
        <v>2368.5</v>
      </c>
      <c r="F677" s="9">
        <f>STATS1003B!F707/1000</f>
        <v>2368.5</v>
      </c>
      <c r="G677" s="9">
        <f>STATS1003B!G707/1000</f>
        <v>0</v>
      </c>
      <c r="H677" s="9">
        <f>STATS1003B!H707/1000</f>
        <v>2368.5</v>
      </c>
      <c r="I677" s="9">
        <f>STATS1003B!I707/1000</f>
        <v>0</v>
      </c>
      <c r="J677" s="9">
        <f>STATS1003B!J707/1000</f>
        <v>2368.5</v>
      </c>
      <c r="K677" s="9">
        <f>STATS1003B!K707/1000</f>
        <v>0</v>
      </c>
      <c r="L677" s="9">
        <f>STATS1003B!L707/1000</f>
        <v>0</v>
      </c>
      <c r="M677" s="9">
        <f>STATS1003B!M707/1000</f>
        <v>2368.5</v>
      </c>
      <c r="N677" s="9">
        <f>STATS1003B!N707/1000</f>
        <v>0</v>
      </c>
      <c r="O677" s="9">
        <f>STATS1003B!O707/1000</f>
        <v>0</v>
      </c>
      <c r="P677" s="9">
        <f>STATS1003B!P707/1000</f>
        <v>0</v>
      </c>
      <c r="Q677" s="9">
        <f>STATS1003B!Q707/1000</f>
        <v>2368.5</v>
      </c>
      <c r="R677" s="9">
        <f>STATS1003B!R707/1000</f>
        <v>0</v>
      </c>
      <c r="S677" s="9">
        <f>STATS1003B!S707/1000</f>
        <v>0</v>
      </c>
      <c r="T677" s="9">
        <f>STATS1003B!T707/1000</f>
        <v>0</v>
      </c>
      <c r="U677" s="9">
        <f>STATS1003B!U707/1000</f>
        <v>0</v>
      </c>
      <c r="V677" s="9">
        <f>STATS1003B!V707/1000</f>
        <v>2368.5</v>
      </c>
      <c r="W677" s="9">
        <f>STATS1003B!W707/1000</f>
        <v>0</v>
      </c>
      <c r="X677" s="9">
        <f>STATS1003B!X707/1000</f>
        <v>2368.5</v>
      </c>
      <c r="Y677" s="9">
        <f>STATS1003B!Y707/1000</f>
        <v>0</v>
      </c>
      <c r="Z677" s="9">
        <f>STATS1003B!Z707/1000</f>
        <v>0</v>
      </c>
      <c r="AA677" s="9">
        <f>STATS1003B!AA707/1000</f>
        <v>2368.5</v>
      </c>
      <c r="AB677" s="9">
        <f>STATS1003B!AB707/1000</f>
        <v>0</v>
      </c>
    </row>
    <row r="678" spans="1:28" x14ac:dyDescent="0.35">
      <c r="A678" s="36"/>
      <c r="B678" s="8"/>
      <c r="C678" s="7" t="s">
        <v>535</v>
      </c>
      <c r="D678" s="15" t="s">
        <v>58</v>
      </c>
      <c r="E678" s="9">
        <f>STATS1003B!E708/1000</f>
        <v>3301.8975</v>
      </c>
      <c r="F678" s="9">
        <f>STATS1003B!F708/1000</f>
        <v>3301.8975</v>
      </c>
      <c r="G678" s="9">
        <f>STATS1003B!G708/1000</f>
        <v>0</v>
      </c>
      <c r="H678" s="9">
        <f>STATS1003B!H708/1000</f>
        <v>3301.8975</v>
      </c>
      <c r="I678" s="9">
        <f>STATS1003B!I708/1000</f>
        <v>0</v>
      </c>
      <c r="J678" s="9">
        <f>STATS1003B!J708/1000</f>
        <v>3301.8975</v>
      </c>
      <c r="K678" s="9">
        <f>STATS1003B!K708/1000</f>
        <v>0</v>
      </c>
      <c r="L678" s="9">
        <f>STATS1003B!L708/1000</f>
        <v>0</v>
      </c>
      <c r="M678" s="9">
        <f>STATS1003B!M708/1000</f>
        <v>3301.8975</v>
      </c>
      <c r="N678" s="9">
        <f>STATS1003B!N708/1000</f>
        <v>0</v>
      </c>
      <c r="O678" s="9">
        <f>STATS1003B!O708/1000</f>
        <v>0</v>
      </c>
      <c r="P678" s="9">
        <f>STATS1003B!P708/1000</f>
        <v>0</v>
      </c>
      <c r="Q678" s="9">
        <f>STATS1003B!Q708/1000</f>
        <v>3301.8975</v>
      </c>
      <c r="R678" s="9">
        <f>STATS1003B!R708/1000</f>
        <v>0</v>
      </c>
      <c r="S678" s="9">
        <f>STATS1003B!S708/1000</f>
        <v>0</v>
      </c>
      <c r="T678" s="9">
        <f>STATS1003B!T708/1000</f>
        <v>0</v>
      </c>
      <c r="U678" s="9">
        <f>STATS1003B!U708/1000</f>
        <v>0</v>
      </c>
      <c r="V678" s="9">
        <f>STATS1003B!V708/1000</f>
        <v>3301.8975</v>
      </c>
      <c r="W678" s="9">
        <f>STATS1003B!W708/1000</f>
        <v>0</v>
      </c>
      <c r="X678" s="9">
        <f>STATS1003B!X708/1000</f>
        <v>3301.8975</v>
      </c>
      <c r="Y678" s="9">
        <f>STATS1003B!Y708/1000</f>
        <v>0</v>
      </c>
      <c r="Z678" s="9">
        <f>STATS1003B!Z708/1000</f>
        <v>0</v>
      </c>
      <c r="AA678" s="9">
        <f>STATS1003B!AA708/1000</f>
        <v>3301.8975</v>
      </c>
      <c r="AB678" s="9">
        <f>STATS1003B!AB708/1000</f>
        <v>0</v>
      </c>
    </row>
    <row r="679" spans="1:28" x14ac:dyDescent="0.35">
      <c r="A679" s="36"/>
      <c r="B679" s="8"/>
      <c r="C679" s="7" t="s">
        <v>535</v>
      </c>
      <c r="D679" s="21" t="s">
        <v>73</v>
      </c>
      <c r="E679" s="9">
        <f>STATS1003B!E709/1000</f>
        <v>2980.8139999999999</v>
      </c>
      <c r="F679" s="9">
        <f>STATS1003B!F709/1000</f>
        <v>2980.8139999999999</v>
      </c>
      <c r="G679" s="9">
        <f>STATS1003B!G709/1000</f>
        <v>0</v>
      </c>
      <c r="H679" s="9">
        <f>STATS1003B!H709/1000</f>
        <v>2980.8139999999999</v>
      </c>
      <c r="I679" s="9">
        <f>STATS1003B!I709/1000</f>
        <v>0</v>
      </c>
      <c r="J679" s="9">
        <f>STATS1003B!J709/1000</f>
        <v>2980.8139999999999</v>
      </c>
      <c r="K679" s="9">
        <f>STATS1003B!K709/1000</f>
        <v>0</v>
      </c>
      <c r="L679" s="9">
        <f>STATS1003B!L709/1000</f>
        <v>0</v>
      </c>
      <c r="M679" s="9">
        <f>STATS1003B!M709/1000</f>
        <v>2980.8139999999999</v>
      </c>
      <c r="N679" s="9">
        <f>STATS1003B!N709/1000</f>
        <v>0</v>
      </c>
      <c r="O679" s="9">
        <f>STATS1003B!O709/1000</f>
        <v>0</v>
      </c>
      <c r="P679" s="9">
        <f>STATS1003B!P709/1000</f>
        <v>0</v>
      </c>
      <c r="Q679" s="9">
        <f>STATS1003B!Q709/1000</f>
        <v>2980.8139999999999</v>
      </c>
      <c r="R679" s="9">
        <f>STATS1003B!R709/1000</f>
        <v>0</v>
      </c>
      <c r="S679" s="9">
        <f>STATS1003B!S709/1000</f>
        <v>0</v>
      </c>
      <c r="T679" s="9">
        <f>STATS1003B!T709/1000</f>
        <v>0</v>
      </c>
      <c r="U679" s="9">
        <f>STATS1003B!U709/1000</f>
        <v>0</v>
      </c>
      <c r="V679" s="9">
        <f>STATS1003B!V709/1000</f>
        <v>2980.8139999999999</v>
      </c>
      <c r="W679" s="9">
        <f>STATS1003B!W709/1000</f>
        <v>0</v>
      </c>
      <c r="X679" s="9">
        <f>STATS1003B!X709/1000</f>
        <v>2980.8139999999999</v>
      </c>
      <c r="Y679" s="9">
        <f>STATS1003B!Y709/1000</f>
        <v>0</v>
      </c>
      <c r="Z679" s="9">
        <f>STATS1003B!Z709/1000</f>
        <v>0</v>
      </c>
      <c r="AA679" s="9">
        <f>STATS1003B!AA709/1000</f>
        <v>2980.8139999999999</v>
      </c>
      <c r="AB679" s="9">
        <f>STATS1003B!AB709/1000</f>
        <v>0</v>
      </c>
    </row>
    <row r="680" spans="1:28" x14ac:dyDescent="0.35">
      <c r="A680" s="36"/>
      <c r="B680" s="8"/>
      <c r="C680" s="14" t="s">
        <v>614</v>
      </c>
      <c r="D680" s="21" t="s">
        <v>61</v>
      </c>
      <c r="E680" s="9">
        <f>STATS1003B!E710/1000</f>
        <v>500</v>
      </c>
      <c r="F680" s="9">
        <f>STATS1003B!F710/1000</f>
        <v>500</v>
      </c>
      <c r="G680" s="9">
        <f>STATS1003B!G710/1000</f>
        <v>0</v>
      </c>
      <c r="H680" s="9">
        <f>STATS1003B!H710/1000</f>
        <v>500</v>
      </c>
      <c r="I680" s="9">
        <f>STATS1003B!I710/1000</f>
        <v>0</v>
      </c>
      <c r="J680" s="9">
        <f>STATS1003B!J710/1000</f>
        <v>500</v>
      </c>
      <c r="K680" s="9">
        <f>STATS1003B!K710/1000</f>
        <v>0</v>
      </c>
      <c r="L680" s="9">
        <f>STATS1003B!L710/1000</f>
        <v>0</v>
      </c>
      <c r="M680" s="9">
        <f>STATS1003B!M710/1000</f>
        <v>500</v>
      </c>
      <c r="N680" s="9">
        <f>STATS1003B!N710/1000</f>
        <v>0</v>
      </c>
      <c r="O680" s="9">
        <f>STATS1003B!O710/1000</f>
        <v>0</v>
      </c>
      <c r="P680" s="9">
        <f>STATS1003B!P710/1000</f>
        <v>0</v>
      </c>
      <c r="Q680" s="9">
        <f>STATS1003B!Q710/1000</f>
        <v>500</v>
      </c>
      <c r="R680" s="9">
        <f>STATS1003B!R710/1000</f>
        <v>0</v>
      </c>
      <c r="S680" s="9">
        <f>STATS1003B!S710/1000</f>
        <v>0</v>
      </c>
      <c r="T680" s="9">
        <f>STATS1003B!T710/1000</f>
        <v>0</v>
      </c>
      <c r="U680" s="9">
        <f>STATS1003B!U710/1000</f>
        <v>0</v>
      </c>
      <c r="V680" s="9">
        <f>STATS1003B!V710/1000</f>
        <v>500</v>
      </c>
      <c r="W680" s="9">
        <f>STATS1003B!W710/1000</f>
        <v>0</v>
      </c>
      <c r="X680" s="9">
        <f>STATS1003B!X710/1000</f>
        <v>500</v>
      </c>
      <c r="Y680" s="9">
        <f>STATS1003B!Y710/1000</f>
        <v>0</v>
      </c>
      <c r="Z680" s="9">
        <f>STATS1003B!Z710/1000</f>
        <v>0</v>
      </c>
      <c r="AA680" s="9">
        <f>STATS1003B!AA710/1000</f>
        <v>500</v>
      </c>
      <c r="AB680" s="9">
        <f>STATS1003B!AB710/1000</f>
        <v>0</v>
      </c>
    </row>
    <row r="681" spans="1:28" x14ac:dyDescent="0.35">
      <c r="A681" s="36"/>
      <c r="B681" s="8"/>
      <c r="C681" s="14" t="s">
        <v>568</v>
      </c>
      <c r="D681" s="8"/>
      <c r="E681" s="9">
        <f>STATS1003B!E711/1000</f>
        <v>1719.64436</v>
      </c>
      <c r="F681" s="9">
        <f>STATS1003B!F711/1000</f>
        <v>1719.64436</v>
      </c>
      <c r="G681" s="9">
        <f>STATS1003B!G711/1000</f>
        <v>0</v>
      </c>
      <c r="H681" s="9">
        <f>STATS1003B!H711/1000</f>
        <v>1719.64436</v>
      </c>
      <c r="I681" s="9">
        <f>STATS1003B!I711/1000</f>
        <v>0</v>
      </c>
      <c r="J681" s="9">
        <f>STATS1003B!J711/1000</f>
        <v>1719.64436</v>
      </c>
      <c r="K681" s="9">
        <f>STATS1003B!K711/1000</f>
        <v>0</v>
      </c>
      <c r="L681" s="9">
        <f>STATS1003B!L711/1000</f>
        <v>0</v>
      </c>
      <c r="M681" s="9">
        <f>STATS1003B!M711/1000</f>
        <v>1719.64436</v>
      </c>
      <c r="N681" s="9">
        <f>STATS1003B!N711/1000</f>
        <v>0</v>
      </c>
      <c r="O681" s="9">
        <f>STATS1003B!O711/1000</f>
        <v>0</v>
      </c>
      <c r="P681" s="9">
        <f>STATS1003B!P711/1000</f>
        <v>0</v>
      </c>
      <c r="Q681" s="9">
        <f>STATS1003B!Q711/1000</f>
        <v>1719.64436</v>
      </c>
      <c r="R681" s="9">
        <f>STATS1003B!R711/1000</f>
        <v>0</v>
      </c>
      <c r="S681" s="9">
        <f>STATS1003B!S711/1000</f>
        <v>0</v>
      </c>
      <c r="T681" s="9">
        <f>STATS1003B!T711/1000</f>
        <v>0</v>
      </c>
      <c r="U681" s="9">
        <f>STATS1003B!U711/1000</f>
        <v>0</v>
      </c>
      <c r="V681" s="9">
        <f>STATS1003B!V711/1000</f>
        <v>1719.64436</v>
      </c>
      <c r="W681" s="9">
        <f>STATS1003B!W711/1000</f>
        <v>0</v>
      </c>
      <c r="X681" s="9">
        <f>STATS1003B!X711/1000</f>
        <v>1719.64436</v>
      </c>
      <c r="Y681" s="9">
        <f>STATS1003B!Y711/1000</f>
        <v>0</v>
      </c>
      <c r="Z681" s="9">
        <f>STATS1003B!Z711/1000</f>
        <v>0</v>
      </c>
      <c r="AA681" s="9">
        <f>STATS1003B!AA711/1000</f>
        <v>1719.64436</v>
      </c>
      <c r="AB681" s="9">
        <f>STATS1003B!AB711/1000</f>
        <v>0</v>
      </c>
    </row>
    <row r="682" spans="1:28" x14ac:dyDescent="0.35">
      <c r="A682" s="36"/>
      <c r="B682" s="8"/>
      <c r="C682" s="7" t="s">
        <v>606</v>
      </c>
      <c r="D682" s="8"/>
      <c r="E682" s="9">
        <f>STATS1003B!E712/1000</f>
        <v>2500</v>
      </c>
      <c r="F682" s="9">
        <f>STATS1003B!F712/1000</f>
        <v>2500</v>
      </c>
      <c r="G682" s="9">
        <f>STATS1003B!G712/1000</f>
        <v>0</v>
      </c>
      <c r="H682" s="9">
        <f>STATS1003B!H712/1000</f>
        <v>2500</v>
      </c>
      <c r="I682" s="9">
        <f>STATS1003B!I712/1000</f>
        <v>0</v>
      </c>
      <c r="J682" s="9">
        <f>STATS1003B!J712/1000</f>
        <v>2500</v>
      </c>
      <c r="K682" s="9">
        <f>STATS1003B!K712/1000</f>
        <v>0</v>
      </c>
      <c r="L682" s="9">
        <f>STATS1003B!L712/1000</f>
        <v>0</v>
      </c>
      <c r="M682" s="9">
        <f>STATS1003B!M712/1000</f>
        <v>2500</v>
      </c>
      <c r="N682" s="9">
        <f>STATS1003B!N712/1000</f>
        <v>0</v>
      </c>
      <c r="O682" s="9">
        <f>STATS1003B!O712/1000</f>
        <v>0</v>
      </c>
      <c r="P682" s="9">
        <f>STATS1003B!P712/1000</f>
        <v>0</v>
      </c>
      <c r="Q682" s="9">
        <f>STATS1003B!Q712/1000</f>
        <v>2500</v>
      </c>
      <c r="R682" s="9">
        <f>STATS1003B!R712/1000</f>
        <v>0</v>
      </c>
      <c r="S682" s="9">
        <f>STATS1003B!S712/1000</f>
        <v>0</v>
      </c>
      <c r="T682" s="9">
        <f>STATS1003B!T712/1000</f>
        <v>0</v>
      </c>
      <c r="U682" s="9">
        <f>STATS1003B!U712/1000</f>
        <v>0</v>
      </c>
      <c r="V682" s="9">
        <f>STATS1003B!V712/1000</f>
        <v>2500</v>
      </c>
      <c r="W682" s="9">
        <f>STATS1003B!W712/1000</f>
        <v>0</v>
      </c>
      <c r="X682" s="9">
        <f>STATS1003B!X712/1000</f>
        <v>2500</v>
      </c>
      <c r="Y682" s="9">
        <f>STATS1003B!Y712/1000</f>
        <v>0</v>
      </c>
      <c r="Z682" s="9">
        <f>STATS1003B!Z712/1000</f>
        <v>0</v>
      </c>
      <c r="AA682" s="9">
        <f>STATS1003B!AA712/1000</f>
        <v>2500</v>
      </c>
      <c r="AB682" s="9">
        <f>STATS1003B!AB712/1000</f>
        <v>0</v>
      </c>
    </row>
    <row r="683" spans="1:28" x14ac:dyDescent="0.35">
      <c r="A683" s="36"/>
      <c r="B683" s="8"/>
      <c r="C683" s="8"/>
      <c r="D683" s="8"/>
      <c r="E683" s="17" t="s">
        <v>29</v>
      </c>
      <c r="F683" s="17" t="s">
        <v>29</v>
      </c>
      <c r="G683" s="17" t="s">
        <v>29</v>
      </c>
      <c r="H683" s="17" t="s">
        <v>29</v>
      </c>
      <c r="I683" s="17" t="s">
        <v>29</v>
      </c>
      <c r="J683" s="17" t="s">
        <v>29</v>
      </c>
      <c r="K683" s="17" t="s">
        <v>29</v>
      </c>
      <c r="L683" s="17" t="s">
        <v>29</v>
      </c>
      <c r="M683" s="17" t="s">
        <v>29</v>
      </c>
      <c r="N683" s="17" t="s">
        <v>29</v>
      </c>
      <c r="O683" s="17" t="s">
        <v>29</v>
      </c>
      <c r="P683" s="17" t="s">
        <v>29</v>
      </c>
      <c r="Q683" s="17" t="s">
        <v>29</v>
      </c>
      <c r="R683" s="17" t="s">
        <v>29</v>
      </c>
      <c r="S683" s="17" t="s">
        <v>29</v>
      </c>
      <c r="T683" s="17" t="s">
        <v>29</v>
      </c>
      <c r="U683" s="17" t="s">
        <v>29</v>
      </c>
      <c r="V683" s="17" t="s">
        <v>29</v>
      </c>
      <c r="W683" s="17" t="s">
        <v>29</v>
      </c>
      <c r="X683" s="17" t="s">
        <v>29</v>
      </c>
      <c r="Y683" s="17" t="s">
        <v>29</v>
      </c>
      <c r="Z683" s="17" t="s">
        <v>29</v>
      </c>
      <c r="AA683" s="17" t="s">
        <v>29</v>
      </c>
      <c r="AB683" s="17" t="s">
        <v>29</v>
      </c>
    </row>
    <row r="684" spans="1:28" x14ac:dyDescent="0.35">
      <c r="A684" s="36"/>
      <c r="B684" s="8"/>
      <c r="C684" s="8"/>
      <c r="D684" s="8"/>
      <c r="E684" s="9">
        <f t="shared" ref="E684:Q684" si="46">SUM(E664:E683)</f>
        <v>39726.477199999994</v>
      </c>
      <c r="F684" s="9">
        <f t="shared" si="46"/>
        <v>36247.827669999999</v>
      </c>
      <c r="G684" s="9">
        <f t="shared" si="46"/>
        <v>0</v>
      </c>
      <c r="H684" s="9">
        <f t="shared" si="46"/>
        <v>36247.827669999999</v>
      </c>
      <c r="I684" s="9">
        <f t="shared" si="46"/>
        <v>0</v>
      </c>
      <c r="J684" s="9">
        <f t="shared" si="46"/>
        <v>36247.827669999999</v>
      </c>
      <c r="K684" s="9">
        <f t="shared" si="46"/>
        <v>3318.6495300000001</v>
      </c>
      <c r="L684" s="9">
        <f t="shared" si="46"/>
        <v>0</v>
      </c>
      <c r="M684" s="9">
        <f t="shared" si="46"/>
        <v>36247.827669999999</v>
      </c>
      <c r="N684" s="9">
        <f t="shared" si="46"/>
        <v>3318.6495300000001</v>
      </c>
      <c r="O684" s="9">
        <f t="shared" si="46"/>
        <v>0</v>
      </c>
      <c r="P684" s="9">
        <f t="shared" si="46"/>
        <v>3318.6495300000001</v>
      </c>
      <c r="Q684" s="9">
        <f t="shared" si="46"/>
        <v>36407.827669999999</v>
      </c>
      <c r="R684" s="17"/>
      <c r="S684" s="17"/>
      <c r="T684" s="9">
        <f t="shared" ref="T684:Z684" si="47">SUM(T664:T683)</f>
        <v>0</v>
      </c>
      <c r="U684" s="9">
        <f t="shared" si="47"/>
        <v>3318.6495300000001</v>
      </c>
      <c r="V684" s="9">
        <f t="shared" si="47"/>
        <v>39566.477199999994</v>
      </c>
      <c r="W684" s="9">
        <f t="shared" si="47"/>
        <v>160.00000000000009</v>
      </c>
      <c r="X684" s="9">
        <f t="shared" si="47"/>
        <v>39566.477199999994</v>
      </c>
      <c r="Y684" s="9">
        <f t="shared" si="47"/>
        <v>0</v>
      </c>
      <c r="Z684" s="9">
        <f t="shared" si="47"/>
        <v>160.00000000000009</v>
      </c>
      <c r="AA684" s="9">
        <f>SUM(AA664:AA683)</f>
        <v>39566.477199999994</v>
      </c>
      <c r="AB684" s="9">
        <f>SUM(AB664:AB683)</f>
        <v>160.00000000000009</v>
      </c>
    </row>
    <row r="685" spans="1:28" x14ac:dyDescent="0.35">
      <c r="A685" s="36"/>
      <c r="B685" s="8"/>
      <c r="C685" s="8"/>
      <c r="D685" s="8"/>
      <c r="E685" s="17" t="s">
        <v>29</v>
      </c>
      <c r="F685" s="17" t="s">
        <v>29</v>
      </c>
      <c r="G685" s="17" t="s">
        <v>29</v>
      </c>
      <c r="H685" s="17" t="s">
        <v>29</v>
      </c>
      <c r="I685" s="17" t="s">
        <v>29</v>
      </c>
      <c r="J685" s="17" t="s">
        <v>29</v>
      </c>
      <c r="K685" s="17" t="s">
        <v>29</v>
      </c>
      <c r="L685" s="17" t="s">
        <v>29</v>
      </c>
      <c r="M685" s="17" t="s">
        <v>29</v>
      </c>
      <c r="N685" s="17" t="s">
        <v>29</v>
      </c>
      <c r="O685" s="17" t="s">
        <v>29</v>
      </c>
      <c r="P685" s="17" t="s">
        <v>29</v>
      </c>
      <c r="Q685" s="17" t="s">
        <v>29</v>
      </c>
      <c r="R685" s="17" t="s">
        <v>29</v>
      </c>
      <c r="S685" s="17" t="s">
        <v>29</v>
      </c>
      <c r="T685" s="17" t="s">
        <v>29</v>
      </c>
      <c r="U685" s="17" t="s">
        <v>29</v>
      </c>
      <c r="V685" s="17" t="s">
        <v>29</v>
      </c>
      <c r="W685" s="17" t="s">
        <v>29</v>
      </c>
      <c r="X685" s="17" t="s">
        <v>29</v>
      </c>
      <c r="Y685" s="17" t="s">
        <v>29</v>
      </c>
      <c r="Z685" s="17" t="s">
        <v>29</v>
      </c>
      <c r="AA685" s="17" t="s">
        <v>29</v>
      </c>
      <c r="AB685" s="17" t="s">
        <v>29</v>
      </c>
    </row>
    <row r="686" spans="1:28" x14ac:dyDescent="0.35">
      <c r="A686" s="38" t="s">
        <v>971</v>
      </c>
      <c r="B686" s="7" t="s">
        <v>615</v>
      </c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17"/>
      <c r="S686" s="17"/>
      <c r="T686" s="17"/>
      <c r="U686" s="17"/>
      <c r="V686" s="17"/>
      <c r="W686" s="17"/>
      <c r="X686" s="17"/>
      <c r="Y686" s="17"/>
      <c r="Z686" s="17"/>
    </row>
    <row r="687" spans="1:28" x14ac:dyDescent="0.35">
      <c r="A687" s="36"/>
      <c r="B687" s="8"/>
      <c r="C687" s="7" t="s">
        <v>535</v>
      </c>
      <c r="D687" s="15" t="s">
        <v>76</v>
      </c>
      <c r="E687" s="9">
        <f>STATS1003B!E717/1000</f>
        <v>6320</v>
      </c>
      <c r="F687" s="9">
        <f>STATS1003B!F717/1000</f>
        <v>5931.4727899999989</v>
      </c>
      <c r="G687" s="9">
        <f>STATS1003B!G717/1000</f>
        <v>0</v>
      </c>
      <c r="H687" s="9">
        <f>STATS1003B!H717/1000</f>
        <v>5931.4727899999989</v>
      </c>
      <c r="I687" s="9">
        <f>STATS1003B!I717/1000</f>
        <v>0</v>
      </c>
      <c r="J687" s="9">
        <f>STATS1003B!J717/1000</f>
        <v>5931.4727899999989</v>
      </c>
      <c r="K687" s="9">
        <f>STATS1003B!K717/1000</f>
        <v>388.52721000000003</v>
      </c>
      <c r="L687" s="9">
        <f>STATS1003B!L717/1000</f>
        <v>0</v>
      </c>
      <c r="M687" s="9">
        <f>STATS1003B!M717/1000</f>
        <v>5931.4727899999989</v>
      </c>
      <c r="N687" s="9">
        <f>STATS1003B!N717/1000</f>
        <v>388.52721000000003</v>
      </c>
      <c r="O687" s="9">
        <f>STATS1003B!O717/1000</f>
        <v>0</v>
      </c>
      <c r="P687" s="9">
        <f>STATS1003B!P717/1000</f>
        <v>388.52721000000003</v>
      </c>
      <c r="Q687" s="9">
        <f>STATS1003B!Q717/1000</f>
        <v>5931.4727899999998</v>
      </c>
      <c r="R687" s="9">
        <f>STATS1003B!R717/1000</f>
        <v>0</v>
      </c>
      <c r="S687" s="9">
        <f>STATS1003B!S717/1000</f>
        <v>0</v>
      </c>
      <c r="T687" s="9">
        <f>STATS1003B!T717/1000</f>
        <v>0</v>
      </c>
      <c r="U687" s="9">
        <f>STATS1003B!U717/1000</f>
        <v>388.52721000000003</v>
      </c>
      <c r="V687" s="9">
        <f>STATS1003B!V717/1000</f>
        <v>6319.9999999999991</v>
      </c>
      <c r="W687" s="9">
        <f>STATS1003B!W717/1000</f>
        <v>0</v>
      </c>
      <c r="X687" s="9">
        <f>STATS1003B!X717/1000</f>
        <v>6319.9999999999991</v>
      </c>
      <c r="Y687" s="9">
        <f>STATS1003B!Y717/1000</f>
        <v>0</v>
      </c>
      <c r="Z687" s="9">
        <f>STATS1003B!Z717/1000</f>
        <v>0</v>
      </c>
      <c r="AA687" s="9">
        <f>STATS1003B!AA717/1000</f>
        <v>6319.9999999999991</v>
      </c>
      <c r="AB687" s="9">
        <f>STATS1003B!AB717/1000</f>
        <v>0</v>
      </c>
    </row>
    <row r="688" spans="1:28" x14ac:dyDescent="0.35">
      <c r="A688" s="36"/>
      <c r="B688" s="8"/>
      <c r="C688" s="7" t="s">
        <v>616</v>
      </c>
      <c r="D688" s="15" t="s">
        <v>76</v>
      </c>
      <c r="E688" s="9">
        <f>STATS1003B!E718/1000</f>
        <v>4750</v>
      </c>
      <c r="F688" s="9">
        <f>STATS1003B!F718/1000</f>
        <v>4750</v>
      </c>
      <c r="G688" s="9">
        <f>STATS1003B!G718/1000</f>
        <v>0</v>
      </c>
      <c r="H688" s="9">
        <f>STATS1003B!H718/1000</f>
        <v>4750</v>
      </c>
      <c r="I688" s="9">
        <f>STATS1003B!I718/1000</f>
        <v>0</v>
      </c>
      <c r="J688" s="9">
        <f>STATS1003B!J718/1000</f>
        <v>4750</v>
      </c>
      <c r="K688" s="9">
        <f>STATS1003B!K718/1000</f>
        <v>0</v>
      </c>
      <c r="L688" s="9">
        <f>STATS1003B!L718/1000</f>
        <v>0</v>
      </c>
      <c r="M688" s="9">
        <f>STATS1003B!M718/1000</f>
        <v>4750</v>
      </c>
      <c r="N688" s="9">
        <f>STATS1003B!N718/1000</f>
        <v>0</v>
      </c>
      <c r="O688" s="9">
        <f>STATS1003B!O718/1000</f>
        <v>0</v>
      </c>
      <c r="P688" s="9">
        <f>STATS1003B!P718/1000</f>
        <v>0</v>
      </c>
      <c r="Q688" s="9">
        <f>STATS1003B!Q718/1000</f>
        <v>4750</v>
      </c>
      <c r="R688" s="9">
        <f>STATS1003B!R718/1000</f>
        <v>0</v>
      </c>
      <c r="S688" s="9">
        <f>STATS1003B!S718/1000</f>
        <v>0</v>
      </c>
      <c r="T688" s="9">
        <f>STATS1003B!T718/1000</f>
        <v>0</v>
      </c>
      <c r="U688" s="9">
        <f>STATS1003B!U718/1000</f>
        <v>0</v>
      </c>
      <c r="V688" s="9">
        <f>STATS1003B!V718/1000</f>
        <v>4750</v>
      </c>
      <c r="W688" s="9">
        <f>STATS1003B!W718/1000</f>
        <v>0</v>
      </c>
      <c r="X688" s="9">
        <f>STATS1003B!X718/1000</f>
        <v>4750</v>
      </c>
      <c r="Y688" s="9">
        <f>STATS1003B!Y718/1000</f>
        <v>0</v>
      </c>
      <c r="Z688" s="9">
        <f>STATS1003B!Z718/1000</f>
        <v>0</v>
      </c>
      <c r="AA688" s="9">
        <f>STATS1003B!AA718/1000</f>
        <v>4750</v>
      </c>
      <c r="AB688" s="9">
        <f>STATS1003B!AB718/1000</f>
        <v>0</v>
      </c>
    </row>
    <row r="689" spans="1:28" x14ac:dyDescent="0.35">
      <c r="A689" s="36"/>
      <c r="B689" s="8"/>
      <c r="C689" s="7" t="s">
        <v>535</v>
      </c>
      <c r="D689" s="15" t="s">
        <v>150</v>
      </c>
      <c r="E689" s="9">
        <f>STATS1003B!E719/1000</f>
        <v>6136.2725099999998</v>
      </c>
      <c r="F689" s="9">
        <f>STATS1003B!F719/1000</f>
        <v>4780.6039500000006</v>
      </c>
      <c r="G689" s="9">
        <f>STATS1003B!G719/1000</f>
        <v>0</v>
      </c>
      <c r="H689" s="9">
        <f>STATS1003B!H719/1000</f>
        <v>4780.6039500000006</v>
      </c>
      <c r="I689" s="9">
        <f>STATS1003B!I719/1000</f>
        <v>0</v>
      </c>
      <c r="J689" s="9">
        <f>STATS1003B!J719/1000</f>
        <v>4780.6039500000006</v>
      </c>
      <c r="K689" s="9">
        <f>STATS1003B!K719/1000</f>
        <v>1355.6685600000001</v>
      </c>
      <c r="L689" s="9">
        <f>STATS1003B!L719/1000</f>
        <v>0</v>
      </c>
      <c r="M689" s="9">
        <f>STATS1003B!M719/1000</f>
        <v>4780.6039500000006</v>
      </c>
      <c r="N689" s="9">
        <f>STATS1003B!N719/1000</f>
        <v>1355.6685600000001</v>
      </c>
      <c r="O689" s="9">
        <f>STATS1003B!O719/1000</f>
        <v>0</v>
      </c>
      <c r="P689" s="9">
        <f>STATS1003B!P719/1000</f>
        <v>1355.6685600000001</v>
      </c>
      <c r="Q689" s="9">
        <f>STATS1003B!Q719/1000</f>
        <v>4780.6039499999988</v>
      </c>
      <c r="R689" s="9">
        <f>STATS1003B!R719/1000</f>
        <v>0</v>
      </c>
      <c r="S689" s="9">
        <f>STATS1003B!S719/1000</f>
        <v>0</v>
      </c>
      <c r="T689" s="9">
        <f>STATS1003B!T719/1000</f>
        <v>0</v>
      </c>
      <c r="U689" s="9">
        <f>STATS1003B!U719/1000</f>
        <v>1355.6685600000001</v>
      </c>
      <c r="V689" s="9">
        <f>STATS1003B!V719/1000</f>
        <v>6136.2725099999998</v>
      </c>
      <c r="W689" s="9">
        <f>STATS1003B!W719/1000</f>
        <v>0</v>
      </c>
      <c r="X689" s="9">
        <f>STATS1003B!X719/1000</f>
        <v>6136.2725099999998</v>
      </c>
      <c r="Y689" s="9">
        <f>STATS1003B!Y719/1000</f>
        <v>0</v>
      </c>
      <c r="Z689" s="9">
        <f>STATS1003B!Z719/1000</f>
        <v>0</v>
      </c>
      <c r="AA689" s="9">
        <f>STATS1003B!AA719/1000</f>
        <v>6136.2725099999998</v>
      </c>
      <c r="AB689" s="9">
        <f>STATS1003B!AB719/1000</f>
        <v>0</v>
      </c>
    </row>
    <row r="690" spans="1:28" x14ac:dyDescent="0.35">
      <c r="A690" s="36"/>
      <c r="B690" s="8"/>
      <c r="C690" s="7" t="s">
        <v>616</v>
      </c>
      <c r="D690" s="15" t="s">
        <v>150</v>
      </c>
      <c r="E690" s="9">
        <f>STATS1003B!E720/1000</f>
        <v>4742</v>
      </c>
      <c r="F690" s="9">
        <f>STATS1003B!F720/1000</f>
        <v>4742</v>
      </c>
      <c r="G690" s="9">
        <f>STATS1003B!G720/1000</f>
        <v>0</v>
      </c>
      <c r="H690" s="9">
        <f>STATS1003B!H720/1000</f>
        <v>4742</v>
      </c>
      <c r="I690" s="9">
        <f>STATS1003B!I720/1000</f>
        <v>0</v>
      </c>
      <c r="J690" s="9">
        <f>STATS1003B!J720/1000</f>
        <v>4742</v>
      </c>
      <c r="K690" s="9">
        <f>STATS1003B!K720/1000</f>
        <v>0</v>
      </c>
      <c r="L690" s="9">
        <f>STATS1003B!L720/1000</f>
        <v>0</v>
      </c>
      <c r="M690" s="9">
        <f>STATS1003B!M720/1000</f>
        <v>4742</v>
      </c>
      <c r="N690" s="9">
        <f>STATS1003B!N720/1000</f>
        <v>0</v>
      </c>
      <c r="O690" s="9">
        <f>STATS1003B!O720/1000</f>
        <v>0</v>
      </c>
      <c r="P690" s="9">
        <f>STATS1003B!P720/1000</f>
        <v>0</v>
      </c>
      <c r="Q690" s="9">
        <f>STATS1003B!Q720/1000</f>
        <v>4742</v>
      </c>
      <c r="R690" s="9">
        <f>STATS1003B!R720/1000</f>
        <v>0</v>
      </c>
      <c r="S690" s="9">
        <f>STATS1003B!S720/1000</f>
        <v>0</v>
      </c>
      <c r="T690" s="9">
        <f>STATS1003B!T720/1000</f>
        <v>0</v>
      </c>
      <c r="U690" s="9">
        <f>STATS1003B!U720/1000</f>
        <v>0</v>
      </c>
      <c r="V690" s="9">
        <f>STATS1003B!V720/1000</f>
        <v>4742</v>
      </c>
      <c r="W690" s="9">
        <f>STATS1003B!W720/1000</f>
        <v>0</v>
      </c>
      <c r="X690" s="9">
        <f>STATS1003B!X720/1000</f>
        <v>4742</v>
      </c>
      <c r="Y690" s="9">
        <f>STATS1003B!Y720/1000</f>
        <v>0</v>
      </c>
      <c r="Z690" s="9">
        <f>STATS1003B!Z720/1000</f>
        <v>0</v>
      </c>
      <c r="AA690" s="9">
        <f>STATS1003B!AA720/1000</f>
        <v>4742</v>
      </c>
      <c r="AB690" s="9">
        <f>STATS1003B!AB720/1000</f>
        <v>0</v>
      </c>
    </row>
    <row r="691" spans="1:28" x14ac:dyDescent="0.35">
      <c r="A691" s="36"/>
      <c r="B691" s="8"/>
      <c r="C691" s="7" t="s">
        <v>617</v>
      </c>
      <c r="D691" s="15" t="s">
        <v>166</v>
      </c>
      <c r="E691" s="9">
        <f>STATS1003B!E721/1000</f>
        <v>512.84848</v>
      </c>
      <c r="F691" s="9">
        <f>STATS1003B!F721/1000</f>
        <v>0</v>
      </c>
      <c r="G691" s="9">
        <f>STATS1003B!G721/1000</f>
        <v>0</v>
      </c>
      <c r="H691" s="9">
        <f>STATS1003B!H721/1000</f>
        <v>0</v>
      </c>
      <c r="I691" s="9">
        <f>STATS1003B!I721/1000</f>
        <v>0</v>
      </c>
      <c r="J691" s="9">
        <f>STATS1003B!J721/1000</f>
        <v>0</v>
      </c>
      <c r="K691" s="9">
        <f>STATS1003B!K721/1000</f>
        <v>512.84848</v>
      </c>
      <c r="L691" s="9">
        <f>STATS1003B!L721/1000</f>
        <v>0</v>
      </c>
      <c r="M691" s="9">
        <f>STATS1003B!M721/1000</f>
        <v>0</v>
      </c>
      <c r="N691" s="9">
        <f>STATS1003B!N721/1000</f>
        <v>512.84848</v>
      </c>
      <c r="O691" s="9">
        <f>STATS1003B!O721/1000</f>
        <v>0</v>
      </c>
      <c r="P691" s="9">
        <f>STATS1003B!P721/1000</f>
        <v>512.84848</v>
      </c>
      <c r="Q691" s="9">
        <f>STATS1003B!Q721/1000</f>
        <v>0</v>
      </c>
      <c r="R691" s="9">
        <f>STATS1003B!R721/1000</f>
        <v>0</v>
      </c>
      <c r="S691" s="9">
        <f>STATS1003B!S721/1000</f>
        <v>0</v>
      </c>
      <c r="T691" s="9">
        <f>STATS1003B!T721/1000</f>
        <v>0</v>
      </c>
      <c r="U691" s="9">
        <f>STATS1003B!U721/1000</f>
        <v>512.84848</v>
      </c>
      <c r="V691" s="9">
        <f>STATS1003B!V721/1000</f>
        <v>512.84848</v>
      </c>
      <c r="W691" s="9">
        <f>STATS1003B!W721/1000</f>
        <v>0</v>
      </c>
      <c r="X691" s="9">
        <f>STATS1003B!X721/1000</f>
        <v>512.84848</v>
      </c>
      <c r="Y691" s="9">
        <f>STATS1003B!Y721/1000</f>
        <v>0</v>
      </c>
      <c r="Z691" s="9">
        <f>STATS1003B!Z721/1000</f>
        <v>0</v>
      </c>
      <c r="AA691" s="9">
        <f>STATS1003B!AA721/1000</f>
        <v>512.84848</v>
      </c>
      <c r="AB691" s="9">
        <f>STATS1003B!AB721/1000</f>
        <v>0</v>
      </c>
    </row>
    <row r="692" spans="1:28" x14ac:dyDescent="0.35">
      <c r="A692" s="36"/>
      <c r="B692" s="8"/>
      <c r="C692" s="7" t="s">
        <v>535</v>
      </c>
      <c r="D692" s="15" t="s">
        <v>68</v>
      </c>
      <c r="E692" s="9">
        <f>STATS1003B!E722/1000</f>
        <v>298.62330000000003</v>
      </c>
      <c r="F692" s="9">
        <f>STATS1003B!F722/1000</f>
        <v>0</v>
      </c>
      <c r="G692" s="9">
        <f>STATS1003B!G722/1000</f>
        <v>0</v>
      </c>
      <c r="H692" s="9">
        <f>STATS1003B!H722/1000</f>
        <v>0</v>
      </c>
      <c r="I692" s="9">
        <f>STATS1003B!I722/1000</f>
        <v>0</v>
      </c>
      <c r="J692" s="9">
        <f>STATS1003B!J722/1000</f>
        <v>0</v>
      </c>
      <c r="K692" s="9">
        <f>STATS1003B!K722/1000</f>
        <v>298.62329999999997</v>
      </c>
      <c r="L692" s="9">
        <f>STATS1003B!L722/1000</f>
        <v>0</v>
      </c>
      <c r="M692" s="9">
        <f>STATS1003B!M722/1000</f>
        <v>0</v>
      </c>
      <c r="N692" s="9">
        <f>STATS1003B!N722/1000</f>
        <v>298.62329999999997</v>
      </c>
      <c r="O692" s="9">
        <f>STATS1003B!O722/1000</f>
        <v>0</v>
      </c>
      <c r="P692" s="9">
        <f>STATS1003B!P722/1000</f>
        <v>298.62329999999997</v>
      </c>
      <c r="Q692" s="9">
        <f>STATS1003B!Q722/1000</f>
        <v>0</v>
      </c>
      <c r="R692" s="9">
        <f>STATS1003B!R722/1000</f>
        <v>0</v>
      </c>
      <c r="S692" s="9">
        <f>STATS1003B!S722/1000</f>
        <v>0</v>
      </c>
      <c r="T692" s="9">
        <f>STATS1003B!T722/1000</f>
        <v>0</v>
      </c>
      <c r="U692" s="9">
        <f>STATS1003B!U722/1000</f>
        <v>298.62329999999997</v>
      </c>
      <c r="V692" s="9">
        <f>STATS1003B!V722/1000</f>
        <v>298.62329999999997</v>
      </c>
      <c r="W692" s="9">
        <f>STATS1003B!W722/1000</f>
        <v>0</v>
      </c>
      <c r="X692" s="9">
        <f>STATS1003B!X722/1000</f>
        <v>298.62329999999997</v>
      </c>
      <c r="Y692" s="9">
        <f>STATS1003B!Y722/1000</f>
        <v>0</v>
      </c>
      <c r="Z692" s="9">
        <f>STATS1003B!Z722/1000</f>
        <v>0</v>
      </c>
      <c r="AA692" s="9">
        <f>STATS1003B!AA722/1000</f>
        <v>298.62329999999997</v>
      </c>
      <c r="AB692" s="9">
        <f>STATS1003B!AB722/1000</f>
        <v>0</v>
      </c>
    </row>
    <row r="693" spans="1:28" x14ac:dyDescent="0.35">
      <c r="A693" s="36"/>
      <c r="B693" s="8"/>
      <c r="C693" s="7" t="s">
        <v>539</v>
      </c>
      <c r="D693" s="15" t="s">
        <v>68</v>
      </c>
      <c r="E693" s="9">
        <f>STATS1003B!E723/1000</f>
        <v>344.07</v>
      </c>
      <c r="F693" s="9">
        <f>STATS1003B!F723/1000</f>
        <v>0</v>
      </c>
      <c r="G693" s="9">
        <f>STATS1003B!G723/1000</f>
        <v>0</v>
      </c>
      <c r="H693" s="9">
        <f>STATS1003B!H723/1000</f>
        <v>0</v>
      </c>
      <c r="I693" s="9">
        <f>STATS1003B!I723/1000</f>
        <v>0</v>
      </c>
      <c r="J693" s="9">
        <f>STATS1003B!J723/1000</f>
        <v>0</v>
      </c>
      <c r="K693" s="9">
        <f>STATS1003B!K723/1000</f>
        <v>344.07</v>
      </c>
      <c r="L693" s="9">
        <f>STATS1003B!L723/1000</f>
        <v>0</v>
      </c>
      <c r="M693" s="9">
        <f>STATS1003B!M723/1000</f>
        <v>0</v>
      </c>
      <c r="N693" s="9">
        <f>STATS1003B!N723/1000</f>
        <v>344.07</v>
      </c>
      <c r="O693" s="9">
        <f>STATS1003B!O723/1000</f>
        <v>0</v>
      </c>
      <c r="P693" s="9">
        <f>STATS1003B!P723/1000</f>
        <v>344.07</v>
      </c>
      <c r="Q693" s="9">
        <f>STATS1003B!Q723/1000</f>
        <v>0</v>
      </c>
      <c r="R693" s="9">
        <f>STATS1003B!R723/1000</f>
        <v>0</v>
      </c>
      <c r="S693" s="9">
        <f>STATS1003B!S723/1000</f>
        <v>0</v>
      </c>
      <c r="T693" s="9">
        <f>STATS1003B!T723/1000</f>
        <v>0</v>
      </c>
      <c r="U693" s="9">
        <f>STATS1003B!U723/1000</f>
        <v>344.07</v>
      </c>
      <c r="V693" s="9">
        <f>STATS1003B!V723/1000</f>
        <v>344.07</v>
      </c>
      <c r="W693" s="9">
        <f>STATS1003B!W723/1000</f>
        <v>0</v>
      </c>
      <c r="X693" s="9">
        <f>STATS1003B!X723/1000</f>
        <v>344.07</v>
      </c>
      <c r="Y693" s="9">
        <f>STATS1003B!Y723/1000</f>
        <v>0</v>
      </c>
      <c r="Z693" s="9">
        <f>STATS1003B!Z723/1000</f>
        <v>0</v>
      </c>
      <c r="AA693" s="9">
        <f>STATS1003B!AA723/1000</f>
        <v>344.07</v>
      </c>
      <c r="AB693" s="9">
        <f>STATS1003B!AB723/1000</f>
        <v>0</v>
      </c>
    </row>
    <row r="694" spans="1:28" x14ac:dyDescent="0.35">
      <c r="A694" s="36"/>
      <c r="B694" s="8"/>
      <c r="C694" s="7" t="s">
        <v>618</v>
      </c>
      <c r="D694" s="15" t="s">
        <v>68</v>
      </c>
      <c r="E694" s="9">
        <f>STATS1003B!E724/1000</f>
        <v>1745.6378</v>
      </c>
      <c r="F694" s="9">
        <f>STATS1003B!F724/1000</f>
        <v>1739.1849999999999</v>
      </c>
      <c r="G694" s="9">
        <f>STATS1003B!G724/1000</f>
        <v>0</v>
      </c>
      <c r="H694" s="9">
        <f>STATS1003B!H724/1000</f>
        <v>1739.1849999999999</v>
      </c>
      <c r="I694" s="9">
        <f>STATS1003B!I724/1000</f>
        <v>0</v>
      </c>
      <c r="J694" s="9">
        <f>STATS1003B!J724/1000</f>
        <v>1739.1849999999999</v>
      </c>
      <c r="K694" s="9">
        <f>STATS1003B!K724/1000</f>
        <v>6.4527999999999999</v>
      </c>
      <c r="L694" s="9">
        <f>STATS1003B!L724/1000</f>
        <v>0</v>
      </c>
      <c r="M694" s="9">
        <f>STATS1003B!M724/1000</f>
        <v>1739.1849999999999</v>
      </c>
      <c r="N694" s="9">
        <f>STATS1003B!N724/1000</f>
        <v>6.4527999999999999</v>
      </c>
      <c r="O694" s="9">
        <f>STATS1003B!O724/1000</f>
        <v>0</v>
      </c>
      <c r="P694" s="9">
        <f>STATS1003B!P724/1000</f>
        <v>6.4527999999999999</v>
      </c>
      <c r="Q694" s="9">
        <f>STATS1003B!Q724/1000</f>
        <v>1739.1849999999999</v>
      </c>
      <c r="R694" s="9">
        <f>STATS1003B!R724/1000</f>
        <v>0</v>
      </c>
      <c r="S694" s="9">
        <f>STATS1003B!S724/1000</f>
        <v>0</v>
      </c>
      <c r="T694" s="9">
        <f>STATS1003B!T724/1000</f>
        <v>0</v>
      </c>
      <c r="U694" s="9">
        <f>STATS1003B!U724/1000</f>
        <v>6.4527999999999999</v>
      </c>
      <c r="V694" s="9">
        <f>STATS1003B!V724/1000</f>
        <v>1745.6378</v>
      </c>
      <c r="W694" s="9">
        <f>STATS1003B!W724/1000</f>
        <v>0</v>
      </c>
      <c r="X694" s="9">
        <f>STATS1003B!X724/1000</f>
        <v>1745.6378</v>
      </c>
      <c r="Y694" s="9">
        <f>STATS1003B!Y724/1000</f>
        <v>0</v>
      </c>
      <c r="Z694" s="9">
        <f>STATS1003B!Z724/1000</f>
        <v>0</v>
      </c>
      <c r="AA694" s="9">
        <f>STATS1003B!AA724/1000</f>
        <v>1745.6378</v>
      </c>
      <c r="AB694" s="9">
        <f>STATS1003B!AB724/1000</f>
        <v>0</v>
      </c>
    </row>
    <row r="695" spans="1:28" x14ac:dyDescent="0.35">
      <c r="A695" s="36"/>
      <c r="B695" s="8"/>
      <c r="C695" s="7" t="s">
        <v>618</v>
      </c>
      <c r="D695" s="15" t="s">
        <v>54</v>
      </c>
      <c r="E695" s="9">
        <f>STATS1003B!E725/1000</f>
        <v>4037.5</v>
      </c>
      <c r="F695" s="9">
        <f>STATS1003B!F725/1000</f>
        <v>4037.5</v>
      </c>
      <c r="G695" s="9">
        <f>STATS1003B!G725/1000</f>
        <v>0</v>
      </c>
      <c r="H695" s="9">
        <f>STATS1003B!H725/1000</f>
        <v>4037.5</v>
      </c>
      <c r="I695" s="9">
        <f>STATS1003B!I725/1000</f>
        <v>0</v>
      </c>
      <c r="J695" s="9">
        <f>STATS1003B!J725/1000</f>
        <v>4037.5</v>
      </c>
      <c r="K695" s="9">
        <f>STATS1003B!K725/1000</f>
        <v>0</v>
      </c>
      <c r="L695" s="9">
        <f>STATS1003B!L725/1000</f>
        <v>0</v>
      </c>
      <c r="M695" s="9">
        <f>STATS1003B!M725/1000</f>
        <v>4037.5</v>
      </c>
      <c r="N695" s="9">
        <f>STATS1003B!N725/1000</f>
        <v>0</v>
      </c>
      <c r="O695" s="9">
        <f>STATS1003B!O725/1000</f>
        <v>0</v>
      </c>
      <c r="P695" s="9">
        <f>STATS1003B!P725/1000</f>
        <v>0</v>
      </c>
      <c r="Q695" s="9">
        <f>STATS1003B!Q725/1000</f>
        <v>4037.5</v>
      </c>
      <c r="R695" s="9">
        <f>STATS1003B!R725/1000</f>
        <v>0</v>
      </c>
      <c r="S695" s="9">
        <f>STATS1003B!S725/1000</f>
        <v>0</v>
      </c>
      <c r="T695" s="9">
        <f>STATS1003B!T725/1000</f>
        <v>0</v>
      </c>
      <c r="U695" s="9">
        <f>STATS1003B!U725/1000</f>
        <v>0</v>
      </c>
      <c r="V695" s="9">
        <f>STATS1003B!V725/1000</f>
        <v>4037.5</v>
      </c>
      <c r="W695" s="9">
        <f>STATS1003B!W725/1000</f>
        <v>0</v>
      </c>
      <c r="X695" s="9">
        <f>STATS1003B!X725/1000</f>
        <v>4037.5</v>
      </c>
      <c r="Y695" s="9">
        <f>STATS1003B!Y725/1000</f>
        <v>0</v>
      </c>
      <c r="Z695" s="9">
        <f>STATS1003B!Z725/1000</f>
        <v>0</v>
      </c>
      <c r="AA695" s="9">
        <f>STATS1003B!AA725/1000</f>
        <v>4037.5</v>
      </c>
      <c r="AB695" s="9">
        <f>STATS1003B!AB725/1000</f>
        <v>0</v>
      </c>
    </row>
    <row r="696" spans="1:28" x14ac:dyDescent="0.35">
      <c r="A696" s="36"/>
      <c r="B696" s="8"/>
      <c r="C696" s="7" t="s">
        <v>545</v>
      </c>
      <c r="D696" s="15" t="s">
        <v>54</v>
      </c>
      <c r="E696" s="9">
        <f>STATS1003B!E726/1000</f>
        <v>570.94100000000003</v>
      </c>
      <c r="F696" s="9">
        <f>STATS1003B!F726/1000</f>
        <v>0</v>
      </c>
      <c r="G696" s="9">
        <f>STATS1003B!G726/1000</f>
        <v>0</v>
      </c>
      <c r="H696" s="9">
        <f>STATS1003B!H726/1000</f>
        <v>0</v>
      </c>
      <c r="I696" s="9">
        <f>STATS1003B!I726/1000</f>
        <v>0</v>
      </c>
      <c r="J696" s="9">
        <f>STATS1003B!J726/1000</f>
        <v>0</v>
      </c>
      <c r="K696" s="9">
        <f>STATS1003B!K726/1000</f>
        <v>570.94100000000003</v>
      </c>
      <c r="L696" s="9">
        <f>STATS1003B!L726/1000</f>
        <v>0</v>
      </c>
      <c r="M696" s="9">
        <f>STATS1003B!M726/1000</f>
        <v>0</v>
      </c>
      <c r="N696" s="9">
        <f>STATS1003B!N726/1000</f>
        <v>570.94100000000003</v>
      </c>
      <c r="O696" s="9">
        <f>STATS1003B!O726/1000</f>
        <v>0</v>
      </c>
      <c r="P696" s="9">
        <f>STATS1003B!P726/1000</f>
        <v>570.94100000000003</v>
      </c>
      <c r="Q696" s="9">
        <f>STATS1003B!Q726/1000</f>
        <v>0</v>
      </c>
      <c r="R696" s="9">
        <f>STATS1003B!R726/1000</f>
        <v>0</v>
      </c>
      <c r="S696" s="9">
        <f>STATS1003B!S726/1000</f>
        <v>0</v>
      </c>
      <c r="T696" s="9">
        <f>STATS1003B!T726/1000</f>
        <v>0</v>
      </c>
      <c r="U696" s="9">
        <f>STATS1003B!U726/1000</f>
        <v>570.94100000000003</v>
      </c>
      <c r="V696" s="9">
        <f>STATS1003B!V726/1000</f>
        <v>570.94100000000003</v>
      </c>
      <c r="W696" s="9">
        <f>STATS1003B!W726/1000</f>
        <v>0</v>
      </c>
      <c r="X696" s="9">
        <f>STATS1003B!X726/1000</f>
        <v>570.94100000000003</v>
      </c>
      <c r="Y696" s="9">
        <f>STATS1003B!Y726/1000</f>
        <v>0</v>
      </c>
      <c r="Z696" s="9">
        <f>STATS1003B!Z726/1000</f>
        <v>0</v>
      </c>
      <c r="AA696" s="9">
        <f>STATS1003B!AA726/1000</f>
        <v>570.94100000000003</v>
      </c>
      <c r="AB696" s="9">
        <f>STATS1003B!AB726/1000</f>
        <v>0</v>
      </c>
    </row>
    <row r="697" spans="1:28" x14ac:dyDescent="0.35">
      <c r="A697" s="36"/>
      <c r="B697" s="8"/>
      <c r="C697" s="7" t="s">
        <v>535</v>
      </c>
      <c r="D697" s="15" t="s">
        <v>85</v>
      </c>
      <c r="E697" s="9">
        <f>STATS1003B!E727/1000</f>
        <v>645.29999999999995</v>
      </c>
      <c r="F697" s="9">
        <f>STATS1003B!F727/1000</f>
        <v>645.29999999999995</v>
      </c>
      <c r="G697" s="9">
        <f>STATS1003B!G727/1000</f>
        <v>0</v>
      </c>
      <c r="H697" s="9">
        <f>STATS1003B!H727/1000</f>
        <v>645.29999999999995</v>
      </c>
      <c r="I697" s="9">
        <f>STATS1003B!I727/1000</f>
        <v>0</v>
      </c>
      <c r="J697" s="9">
        <f>STATS1003B!J727/1000</f>
        <v>645.29999999999995</v>
      </c>
      <c r="K697" s="9">
        <f>STATS1003B!K727/1000</f>
        <v>0</v>
      </c>
      <c r="L697" s="9">
        <f>STATS1003B!L727/1000</f>
        <v>0</v>
      </c>
      <c r="M697" s="9">
        <f>STATS1003B!M727/1000</f>
        <v>645.29999999999995</v>
      </c>
      <c r="N697" s="9">
        <f>STATS1003B!N727/1000</f>
        <v>0</v>
      </c>
      <c r="O697" s="9">
        <f>STATS1003B!O727/1000</f>
        <v>0</v>
      </c>
      <c r="P697" s="9">
        <f>STATS1003B!P727/1000</f>
        <v>0</v>
      </c>
      <c r="Q697" s="9">
        <f>STATS1003B!Q727/1000</f>
        <v>645.29999999999995</v>
      </c>
      <c r="R697" s="9">
        <f>STATS1003B!R727/1000</f>
        <v>0</v>
      </c>
      <c r="S697" s="9">
        <f>STATS1003B!S727/1000</f>
        <v>0</v>
      </c>
      <c r="T697" s="9">
        <f>STATS1003B!T727/1000</f>
        <v>0</v>
      </c>
      <c r="U697" s="9">
        <f>STATS1003B!U727/1000</f>
        <v>0</v>
      </c>
      <c r="V697" s="9">
        <f>STATS1003B!V727/1000</f>
        <v>645.29999999999995</v>
      </c>
      <c r="W697" s="9">
        <f>STATS1003B!W727/1000</f>
        <v>0</v>
      </c>
      <c r="X697" s="9">
        <f>STATS1003B!X727/1000</f>
        <v>645.29999999999995</v>
      </c>
      <c r="Y697" s="9">
        <f>STATS1003B!Y727/1000</f>
        <v>0</v>
      </c>
      <c r="Z697" s="9">
        <f>STATS1003B!Z727/1000</f>
        <v>0</v>
      </c>
      <c r="AA697" s="9">
        <f>STATS1003B!AA727/1000</f>
        <v>645.29999999999995</v>
      </c>
      <c r="AB697" s="9">
        <f>STATS1003B!AB727/1000</f>
        <v>0</v>
      </c>
    </row>
    <row r="698" spans="1:28" x14ac:dyDescent="0.35">
      <c r="A698" s="36"/>
      <c r="B698" s="8"/>
      <c r="C698" s="7" t="s">
        <v>535</v>
      </c>
      <c r="D698" s="15" t="s">
        <v>128</v>
      </c>
      <c r="E698" s="9">
        <f>STATS1003B!E728/1000</f>
        <v>715.5</v>
      </c>
      <c r="F698" s="9">
        <f>STATS1003B!F728/1000</f>
        <v>715.5</v>
      </c>
      <c r="G698" s="9">
        <f>STATS1003B!G728/1000</f>
        <v>0</v>
      </c>
      <c r="H698" s="9">
        <f>STATS1003B!H728/1000</f>
        <v>715.5</v>
      </c>
      <c r="I698" s="9">
        <f>STATS1003B!I728/1000</f>
        <v>0</v>
      </c>
      <c r="J698" s="9">
        <f>STATS1003B!J728/1000</f>
        <v>715.5</v>
      </c>
      <c r="K698" s="9">
        <f>STATS1003B!K728/1000</f>
        <v>0</v>
      </c>
      <c r="L698" s="9">
        <f>STATS1003B!L728/1000</f>
        <v>0</v>
      </c>
      <c r="M698" s="9">
        <f>STATS1003B!M728/1000</f>
        <v>715.5</v>
      </c>
      <c r="N698" s="9">
        <f>STATS1003B!N728/1000</f>
        <v>0</v>
      </c>
      <c r="O698" s="9">
        <f>STATS1003B!O728/1000</f>
        <v>0</v>
      </c>
      <c r="P698" s="9">
        <f>STATS1003B!P728/1000</f>
        <v>0</v>
      </c>
      <c r="Q698" s="9">
        <f>STATS1003B!Q728/1000</f>
        <v>715.5</v>
      </c>
      <c r="R698" s="9">
        <f>STATS1003B!R728/1000</f>
        <v>0</v>
      </c>
      <c r="S698" s="9">
        <f>STATS1003B!S728/1000</f>
        <v>0</v>
      </c>
      <c r="T698" s="9">
        <f>STATS1003B!T728/1000</f>
        <v>0</v>
      </c>
      <c r="U698" s="9">
        <f>STATS1003B!U728/1000</f>
        <v>0</v>
      </c>
      <c r="V698" s="9">
        <f>STATS1003B!V728/1000</f>
        <v>715.5</v>
      </c>
      <c r="W698" s="9">
        <f>STATS1003B!W728/1000</f>
        <v>0</v>
      </c>
      <c r="X698" s="9">
        <f>STATS1003B!X728/1000</f>
        <v>715.5</v>
      </c>
      <c r="Y698" s="9">
        <f>STATS1003B!Y728/1000</f>
        <v>0</v>
      </c>
      <c r="Z698" s="9">
        <f>STATS1003B!Z728/1000</f>
        <v>0</v>
      </c>
      <c r="AA698" s="9">
        <f>STATS1003B!AA728/1000</f>
        <v>715.5</v>
      </c>
      <c r="AB698" s="9">
        <f>STATS1003B!AB728/1000</f>
        <v>0</v>
      </c>
    </row>
    <row r="699" spans="1:28" x14ac:dyDescent="0.35">
      <c r="A699" s="36"/>
      <c r="B699" s="8"/>
      <c r="C699" s="7" t="s">
        <v>619</v>
      </c>
      <c r="D699" s="15" t="s">
        <v>128</v>
      </c>
      <c r="E699" s="9">
        <f>STATS1003B!E729/1000</f>
        <v>400</v>
      </c>
      <c r="F699" s="9">
        <f>STATS1003B!F729/1000</f>
        <v>400</v>
      </c>
      <c r="G699" s="9">
        <f>STATS1003B!G729/1000</f>
        <v>0</v>
      </c>
      <c r="H699" s="9">
        <f>STATS1003B!H729/1000</f>
        <v>400</v>
      </c>
      <c r="I699" s="9">
        <f>STATS1003B!I729/1000</f>
        <v>0</v>
      </c>
      <c r="J699" s="9">
        <f>STATS1003B!J729/1000</f>
        <v>400</v>
      </c>
      <c r="K699" s="9">
        <f>STATS1003B!K729/1000</f>
        <v>0</v>
      </c>
      <c r="L699" s="9">
        <f>STATS1003B!L729/1000</f>
        <v>0</v>
      </c>
      <c r="M699" s="9">
        <f>STATS1003B!M729/1000</f>
        <v>400</v>
      </c>
      <c r="N699" s="9">
        <f>STATS1003B!N729/1000</f>
        <v>0</v>
      </c>
      <c r="O699" s="9">
        <f>STATS1003B!O729/1000</f>
        <v>0</v>
      </c>
      <c r="P699" s="9">
        <f>STATS1003B!P729/1000</f>
        <v>0</v>
      </c>
      <c r="Q699" s="9">
        <f>STATS1003B!Q729/1000</f>
        <v>400</v>
      </c>
      <c r="R699" s="9">
        <f>STATS1003B!R729/1000</f>
        <v>0</v>
      </c>
      <c r="S699" s="9">
        <f>STATS1003B!S729/1000</f>
        <v>0</v>
      </c>
      <c r="T699" s="9">
        <f>STATS1003B!T729/1000</f>
        <v>0</v>
      </c>
      <c r="U699" s="9">
        <f>STATS1003B!U729/1000</f>
        <v>0</v>
      </c>
      <c r="V699" s="9">
        <f>STATS1003B!V729/1000</f>
        <v>400</v>
      </c>
      <c r="W699" s="9">
        <f>STATS1003B!W729/1000</f>
        <v>0</v>
      </c>
      <c r="X699" s="9">
        <f>STATS1003B!X729/1000</f>
        <v>400</v>
      </c>
      <c r="Y699" s="9">
        <f>STATS1003B!Y729/1000</f>
        <v>0</v>
      </c>
      <c r="Z699" s="9">
        <f>STATS1003B!Z729/1000</f>
        <v>0</v>
      </c>
      <c r="AA699" s="9">
        <f>STATS1003B!AA729/1000</f>
        <v>400</v>
      </c>
      <c r="AB699" s="9">
        <f>STATS1003B!AB729/1000</f>
        <v>0</v>
      </c>
    </row>
    <row r="700" spans="1:28" x14ac:dyDescent="0.35">
      <c r="A700" s="36"/>
      <c r="B700" s="8"/>
      <c r="C700" s="7" t="s">
        <v>535</v>
      </c>
      <c r="D700" s="15" t="s">
        <v>88</v>
      </c>
      <c r="E700" s="9">
        <f>STATS1003B!E730/1000</f>
        <v>1400</v>
      </c>
      <c r="F700" s="9">
        <f>STATS1003B!F730/1000</f>
        <v>1400</v>
      </c>
      <c r="G700" s="9">
        <f>STATS1003B!G730/1000</f>
        <v>0</v>
      </c>
      <c r="H700" s="9">
        <f>STATS1003B!H730/1000</f>
        <v>1400</v>
      </c>
      <c r="I700" s="9">
        <f>STATS1003B!I730/1000</f>
        <v>0</v>
      </c>
      <c r="J700" s="9">
        <f>STATS1003B!J730/1000</f>
        <v>1400</v>
      </c>
      <c r="K700" s="9">
        <f>STATS1003B!K730/1000</f>
        <v>0</v>
      </c>
      <c r="L700" s="9">
        <f>STATS1003B!L730/1000</f>
        <v>0</v>
      </c>
      <c r="M700" s="9">
        <f>STATS1003B!M730/1000</f>
        <v>1400</v>
      </c>
      <c r="N700" s="9">
        <f>STATS1003B!N730/1000</f>
        <v>0</v>
      </c>
      <c r="O700" s="9">
        <f>STATS1003B!O730/1000</f>
        <v>0</v>
      </c>
      <c r="P700" s="9">
        <f>STATS1003B!P730/1000</f>
        <v>0</v>
      </c>
      <c r="Q700" s="9">
        <f>STATS1003B!Q730/1000</f>
        <v>1400</v>
      </c>
      <c r="R700" s="9">
        <f>STATS1003B!R730/1000</f>
        <v>0</v>
      </c>
      <c r="S700" s="9">
        <f>STATS1003B!S730/1000</f>
        <v>0</v>
      </c>
      <c r="T700" s="9">
        <f>STATS1003B!T730/1000</f>
        <v>0</v>
      </c>
      <c r="U700" s="9">
        <f>STATS1003B!U730/1000</f>
        <v>0</v>
      </c>
      <c r="V700" s="9">
        <f>STATS1003B!V730/1000</f>
        <v>1400</v>
      </c>
      <c r="W700" s="9">
        <f>STATS1003B!W730/1000</f>
        <v>0</v>
      </c>
      <c r="X700" s="9">
        <f>STATS1003B!X730/1000</f>
        <v>1400</v>
      </c>
      <c r="Y700" s="9">
        <f>STATS1003B!Y730/1000</f>
        <v>0</v>
      </c>
      <c r="Z700" s="9">
        <f>STATS1003B!Z730/1000</f>
        <v>0</v>
      </c>
      <c r="AA700" s="9">
        <f>STATS1003B!AA730/1000</f>
        <v>1400</v>
      </c>
      <c r="AB700" s="9">
        <f>STATS1003B!AB730/1000</f>
        <v>0</v>
      </c>
    </row>
    <row r="701" spans="1:28" x14ac:dyDescent="0.35">
      <c r="A701" s="36"/>
      <c r="B701" s="8"/>
      <c r="C701" s="7" t="s">
        <v>535</v>
      </c>
      <c r="D701" s="15" t="s">
        <v>58</v>
      </c>
      <c r="E701" s="9">
        <f>STATS1003B!E731/1000</f>
        <v>3662.0233399999997</v>
      </c>
      <c r="F701" s="9">
        <f>STATS1003B!F731/1000</f>
        <v>2410.0120000000002</v>
      </c>
      <c r="G701" s="9">
        <f>STATS1003B!G731/1000</f>
        <v>0</v>
      </c>
      <c r="H701" s="9">
        <f>STATS1003B!H731/1000</f>
        <v>2410.0120000000002</v>
      </c>
      <c r="I701" s="9">
        <f>STATS1003B!I731/1000</f>
        <v>1252.0233399999995</v>
      </c>
      <c r="J701" s="9">
        <f>STATS1003B!J731/1000</f>
        <v>3662.0353399999999</v>
      </c>
      <c r="K701" s="9">
        <f>STATS1003B!K731/1000</f>
        <v>0</v>
      </c>
      <c r="L701" s="9">
        <f>STATS1003B!L731/1000</f>
        <v>1252.0233400000002</v>
      </c>
      <c r="M701" s="9">
        <f>STATS1003B!M731/1000</f>
        <v>3662.0353399999999</v>
      </c>
      <c r="N701" s="9">
        <f>STATS1003B!N731/1000</f>
        <v>0</v>
      </c>
      <c r="O701" s="9">
        <f>STATS1003B!O731/1000</f>
        <v>0</v>
      </c>
      <c r="P701" s="9">
        <f>STATS1003B!P731/1000</f>
        <v>0</v>
      </c>
      <c r="Q701" s="9">
        <f>STATS1003B!Q731/1000</f>
        <v>3662.0233399999997</v>
      </c>
      <c r="R701" s="9">
        <f>STATS1003B!R731/1000</f>
        <v>0</v>
      </c>
      <c r="S701" s="9">
        <f>STATS1003B!S731/1000</f>
        <v>0</v>
      </c>
      <c r="T701" s="9">
        <f>STATS1003B!T731/1000</f>
        <v>0</v>
      </c>
      <c r="U701" s="9">
        <f>STATS1003B!U731/1000</f>
        <v>0</v>
      </c>
      <c r="V701" s="9">
        <f>STATS1003B!V731/1000</f>
        <v>2410.0120000000002</v>
      </c>
      <c r="W701" s="9">
        <f>STATS1003B!W731/1000</f>
        <v>1252.0113399999998</v>
      </c>
      <c r="X701" s="9">
        <f>STATS1003B!X731/1000</f>
        <v>2410.0120000000002</v>
      </c>
      <c r="Y701" s="9">
        <f>STATS1003B!Y731/1000</f>
        <v>0</v>
      </c>
      <c r="Z701" s="9">
        <f>STATS1003B!Z731/1000</f>
        <v>1252.0113399999998</v>
      </c>
      <c r="AA701" s="9">
        <f>STATS1003B!AA731/1000</f>
        <v>3662.0353399999999</v>
      </c>
      <c r="AB701" s="9">
        <f>STATS1003B!AB731/1000</f>
        <v>-1.2E-2</v>
      </c>
    </row>
    <row r="702" spans="1:28" x14ac:dyDescent="0.35">
      <c r="A702" s="36"/>
      <c r="B702" s="8"/>
      <c r="C702" s="7" t="s">
        <v>535</v>
      </c>
      <c r="D702" s="15" t="s">
        <v>60</v>
      </c>
      <c r="E702" s="9">
        <f>STATS1003B!E732/1000</f>
        <v>2888.8294799999999</v>
      </c>
      <c r="F702" s="9">
        <f>STATS1003B!F732/1000</f>
        <v>2888.8294799999999</v>
      </c>
      <c r="G702" s="9">
        <f>STATS1003B!G732/1000</f>
        <v>0</v>
      </c>
      <c r="H702" s="9">
        <f>STATS1003B!H732/1000</f>
        <v>2888.8294799999999</v>
      </c>
      <c r="I702" s="9">
        <f>STATS1003B!I732/1000</f>
        <v>0</v>
      </c>
      <c r="J702" s="9">
        <f>STATS1003B!J732/1000</f>
        <v>2888.8294799999999</v>
      </c>
      <c r="K702" s="9">
        <f>STATS1003B!K732/1000</f>
        <v>0</v>
      </c>
      <c r="L702" s="9">
        <f>STATS1003B!L732/1000</f>
        <v>0</v>
      </c>
      <c r="M702" s="9">
        <f>STATS1003B!M732/1000</f>
        <v>2888.8294799999999</v>
      </c>
      <c r="N702" s="9">
        <f>STATS1003B!N732/1000</f>
        <v>0</v>
      </c>
      <c r="O702" s="9">
        <f>STATS1003B!O732/1000</f>
        <v>0</v>
      </c>
      <c r="P702" s="9">
        <f>STATS1003B!P732/1000</f>
        <v>0</v>
      </c>
      <c r="Q702" s="9">
        <f>STATS1003B!Q732/1000</f>
        <v>2888.8294799999999</v>
      </c>
      <c r="R702" s="9">
        <f>STATS1003B!R732/1000</f>
        <v>0</v>
      </c>
      <c r="S702" s="9">
        <f>STATS1003B!S732/1000</f>
        <v>0</v>
      </c>
      <c r="T702" s="9">
        <f>STATS1003B!T732/1000</f>
        <v>0</v>
      </c>
      <c r="U702" s="9">
        <f>STATS1003B!U732/1000</f>
        <v>0</v>
      </c>
      <c r="V702" s="9">
        <f>STATS1003B!V732/1000</f>
        <v>2888.8294799999999</v>
      </c>
      <c r="W702" s="9">
        <f>STATS1003B!W732/1000</f>
        <v>0</v>
      </c>
      <c r="X702" s="9">
        <f>STATS1003B!X732/1000</f>
        <v>2888.8294799999999</v>
      </c>
      <c r="Y702" s="9">
        <f>STATS1003B!Y732/1000</f>
        <v>0</v>
      </c>
      <c r="Z702" s="9">
        <f>STATS1003B!Z732/1000</f>
        <v>0</v>
      </c>
      <c r="AA702" s="9">
        <f>STATS1003B!AA732/1000</f>
        <v>2888.8294799999999</v>
      </c>
      <c r="AB702" s="9">
        <f>STATS1003B!AB732/1000</f>
        <v>0</v>
      </c>
    </row>
    <row r="703" spans="1:28" x14ac:dyDescent="0.35">
      <c r="A703" s="36"/>
      <c r="B703" s="8"/>
      <c r="C703" s="7" t="s">
        <v>535</v>
      </c>
      <c r="D703" s="15" t="s">
        <v>73</v>
      </c>
      <c r="E703" s="9">
        <f>STATS1003B!E733/1000</f>
        <v>2212.0390000000002</v>
      </c>
      <c r="F703" s="9">
        <f>STATS1003B!F733/1000</f>
        <v>2212.0390000000002</v>
      </c>
      <c r="G703" s="9">
        <f>STATS1003B!G733/1000</f>
        <v>0</v>
      </c>
      <c r="H703" s="9">
        <f>STATS1003B!H733/1000</f>
        <v>2212.0390000000002</v>
      </c>
      <c r="I703" s="9">
        <f>STATS1003B!I733/1000</f>
        <v>0</v>
      </c>
      <c r="J703" s="9">
        <f>STATS1003B!J733/1000</f>
        <v>2212.0390000000002</v>
      </c>
      <c r="K703" s="9">
        <f>STATS1003B!K733/1000</f>
        <v>0</v>
      </c>
      <c r="L703" s="9">
        <f>STATS1003B!L733/1000</f>
        <v>0</v>
      </c>
      <c r="M703" s="9">
        <f>STATS1003B!M733/1000</f>
        <v>2212.0390000000002</v>
      </c>
      <c r="N703" s="9">
        <f>STATS1003B!N733/1000</f>
        <v>0</v>
      </c>
      <c r="O703" s="9">
        <f>STATS1003B!O733/1000</f>
        <v>0</v>
      </c>
      <c r="P703" s="9">
        <f>STATS1003B!P733/1000</f>
        <v>0</v>
      </c>
      <c r="Q703" s="9">
        <f>STATS1003B!Q733/1000</f>
        <v>2212.0390000000002</v>
      </c>
      <c r="R703" s="9">
        <f>STATS1003B!R733/1000</f>
        <v>0</v>
      </c>
      <c r="S703" s="9">
        <f>STATS1003B!S733/1000</f>
        <v>0</v>
      </c>
      <c r="T703" s="9">
        <f>STATS1003B!T733/1000</f>
        <v>0</v>
      </c>
      <c r="U703" s="9">
        <f>STATS1003B!U733/1000</f>
        <v>0</v>
      </c>
      <c r="V703" s="9">
        <f>STATS1003B!V733/1000</f>
        <v>2212.0390000000002</v>
      </c>
      <c r="W703" s="9">
        <f>STATS1003B!W733/1000</f>
        <v>0</v>
      </c>
      <c r="X703" s="9">
        <f>STATS1003B!X733/1000</f>
        <v>2212.0390000000002</v>
      </c>
      <c r="Y703" s="9">
        <f>STATS1003B!Y733/1000</f>
        <v>0</v>
      </c>
      <c r="Z703" s="9">
        <f>STATS1003B!Z733/1000</f>
        <v>0</v>
      </c>
      <c r="AA703" s="9">
        <f>STATS1003B!AA733/1000</f>
        <v>2212.0390000000002</v>
      </c>
      <c r="AB703" s="9">
        <f>STATS1003B!AB733/1000</f>
        <v>0</v>
      </c>
    </row>
    <row r="704" spans="1:28" x14ac:dyDescent="0.35">
      <c r="A704" s="36"/>
      <c r="B704" s="14" t="s">
        <v>620</v>
      </c>
      <c r="C704" s="7" t="s">
        <v>535</v>
      </c>
      <c r="D704" s="15" t="s">
        <v>61</v>
      </c>
      <c r="E704" s="9">
        <f>STATS1003B!E734/1000</f>
        <v>1055.2968999999998</v>
      </c>
      <c r="F704" s="9">
        <f>STATS1003B!F734/1000</f>
        <v>1055.2968999999998</v>
      </c>
      <c r="G704" s="9">
        <f>STATS1003B!G734/1000</f>
        <v>0</v>
      </c>
      <c r="H704" s="9">
        <f>STATS1003B!H734/1000</f>
        <v>1055.2968999999998</v>
      </c>
      <c r="I704" s="9">
        <f>STATS1003B!I734/1000</f>
        <v>0</v>
      </c>
      <c r="J704" s="9">
        <f>STATS1003B!J734/1000</f>
        <v>1055.2968999999998</v>
      </c>
      <c r="K704" s="9">
        <f>STATS1003B!K734/1000</f>
        <v>0</v>
      </c>
      <c r="L704" s="9">
        <f>STATS1003B!L734/1000</f>
        <v>0</v>
      </c>
      <c r="M704" s="9">
        <f>STATS1003B!M734/1000</f>
        <v>1055.2968999999998</v>
      </c>
      <c r="N704" s="9">
        <f>STATS1003B!N734/1000</f>
        <v>0</v>
      </c>
      <c r="O704" s="9">
        <f>STATS1003B!O734/1000</f>
        <v>0</v>
      </c>
      <c r="P704" s="9">
        <f>STATS1003B!P734/1000</f>
        <v>0</v>
      </c>
      <c r="Q704" s="9">
        <f>STATS1003B!Q734/1000</f>
        <v>1055.2968999999998</v>
      </c>
      <c r="R704" s="9">
        <f>STATS1003B!R734/1000</f>
        <v>0</v>
      </c>
      <c r="S704" s="9">
        <f>STATS1003B!S734/1000</f>
        <v>0</v>
      </c>
      <c r="T704" s="9">
        <f>STATS1003B!T734/1000</f>
        <v>0</v>
      </c>
      <c r="U704" s="9">
        <f>STATS1003B!U734/1000</f>
        <v>0</v>
      </c>
      <c r="V704" s="9">
        <f>STATS1003B!V734/1000</f>
        <v>1055.2968999999998</v>
      </c>
      <c r="W704" s="9">
        <f>STATS1003B!W734/1000</f>
        <v>0</v>
      </c>
      <c r="X704" s="9">
        <f>STATS1003B!X734/1000</f>
        <v>1055.2968999999998</v>
      </c>
      <c r="Y704" s="9">
        <f>STATS1003B!Y734/1000</f>
        <v>0</v>
      </c>
      <c r="Z704" s="9">
        <f>STATS1003B!Z734/1000</f>
        <v>0</v>
      </c>
      <c r="AA704" s="9">
        <f>STATS1003B!AA734/1000</f>
        <v>1055.2968999999998</v>
      </c>
      <c r="AB704" s="9">
        <f>STATS1003B!AB734/1000</f>
        <v>0</v>
      </c>
    </row>
    <row r="705" spans="1:28" x14ac:dyDescent="0.35">
      <c r="A705" s="36"/>
      <c r="B705" s="8"/>
      <c r="C705" s="7" t="s">
        <v>621</v>
      </c>
      <c r="D705" s="15" t="s">
        <v>61</v>
      </c>
      <c r="E705" s="9">
        <f>STATS1003B!E735/1000</f>
        <v>1792.5467599999997</v>
      </c>
      <c r="F705" s="9">
        <f>STATS1003B!F735/1000</f>
        <v>1722.9116799999999</v>
      </c>
      <c r="G705" s="9">
        <f>STATS1003B!G735/1000</f>
        <v>0</v>
      </c>
      <c r="H705" s="9">
        <f>STATS1003B!H735/1000</f>
        <v>1722.9116799999999</v>
      </c>
      <c r="I705" s="9">
        <f>STATS1003B!I735/1000</f>
        <v>0</v>
      </c>
      <c r="J705" s="9">
        <f>STATS1003B!J735/1000</f>
        <v>1722.9116799999999</v>
      </c>
      <c r="K705" s="9">
        <f>STATS1003B!K735/1000</f>
        <v>69.635080000000002</v>
      </c>
      <c r="L705" s="9">
        <f>STATS1003B!L735/1000</f>
        <v>0</v>
      </c>
      <c r="M705" s="9">
        <f>STATS1003B!M735/1000</f>
        <v>1722.9116799999999</v>
      </c>
      <c r="N705" s="9">
        <f>STATS1003B!N735/1000</f>
        <v>69.635080000000002</v>
      </c>
      <c r="O705" s="9">
        <f>STATS1003B!O735/1000</f>
        <v>0</v>
      </c>
      <c r="P705" s="9">
        <f>STATS1003B!P735/1000</f>
        <v>69.635080000000002</v>
      </c>
      <c r="Q705" s="9">
        <f>STATS1003B!Q735/1000</f>
        <v>1722.9116799999997</v>
      </c>
      <c r="R705" s="9">
        <f>STATS1003B!R735/1000</f>
        <v>0</v>
      </c>
      <c r="S705" s="9">
        <f>STATS1003B!S735/1000</f>
        <v>0</v>
      </c>
      <c r="T705" s="9">
        <f>STATS1003B!T735/1000</f>
        <v>0</v>
      </c>
      <c r="U705" s="9">
        <f>STATS1003B!U735/1000</f>
        <v>69.635080000000002</v>
      </c>
      <c r="V705" s="9">
        <f>STATS1003B!V735/1000</f>
        <v>1792.5467599999999</v>
      </c>
      <c r="W705" s="9">
        <f>STATS1003B!W735/1000</f>
        <v>0</v>
      </c>
      <c r="X705" s="9">
        <f>STATS1003B!X735/1000</f>
        <v>1792.5467599999999</v>
      </c>
      <c r="Y705" s="9">
        <f>STATS1003B!Y735/1000</f>
        <v>0</v>
      </c>
      <c r="Z705" s="9">
        <f>STATS1003B!Z735/1000</f>
        <v>0</v>
      </c>
      <c r="AA705" s="9">
        <f>STATS1003B!AA735/1000</f>
        <v>1792.5467599999999</v>
      </c>
      <c r="AB705" s="9">
        <f>STATS1003B!AB735/1000</f>
        <v>0</v>
      </c>
    </row>
    <row r="706" spans="1:28" x14ac:dyDescent="0.35">
      <c r="A706" s="36"/>
      <c r="B706" s="8"/>
      <c r="C706" s="7" t="s">
        <v>1103</v>
      </c>
      <c r="D706" s="16" t="s">
        <v>1072</v>
      </c>
      <c r="E706" s="9">
        <f>STATS1003B!E736/1000</f>
        <v>300</v>
      </c>
      <c r="F706" s="9">
        <f>STATS1003B!F736/1000</f>
        <v>300</v>
      </c>
      <c r="G706" s="9">
        <f>STATS1003B!G736/1000</f>
        <v>0</v>
      </c>
      <c r="H706" s="9">
        <f>STATS1003B!H736/1000</f>
        <v>300</v>
      </c>
      <c r="I706" s="9">
        <f>STATS1003B!I736/1000</f>
        <v>0</v>
      </c>
      <c r="J706" s="9">
        <f>STATS1003B!J736/1000</f>
        <v>300</v>
      </c>
      <c r="K706" s="9">
        <f>STATS1003B!K736/1000</f>
        <v>0</v>
      </c>
      <c r="L706" s="9">
        <f>STATS1003B!L736/1000</f>
        <v>0</v>
      </c>
      <c r="M706" s="9">
        <f>STATS1003B!M736/1000</f>
        <v>300</v>
      </c>
      <c r="N706" s="9">
        <f>STATS1003B!N736/1000</f>
        <v>0</v>
      </c>
      <c r="O706" s="9">
        <f>STATS1003B!O736/1000</f>
        <v>0</v>
      </c>
      <c r="P706" s="9">
        <f>STATS1003B!P736/1000</f>
        <v>0</v>
      </c>
      <c r="Q706" s="9">
        <f>STATS1003B!Q736/1000</f>
        <v>0</v>
      </c>
      <c r="R706" s="9">
        <f>STATS1003B!R736/1000</f>
        <v>0</v>
      </c>
      <c r="S706" s="9">
        <f>STATS1003B!S736/1000</f>
        <v>0</v>
      </c>
      <c r="T706" s="9">
        <f>STATS1003B!T736/1000</f>
        <v>0</v>
      </c>
      <c r="U706" s="9">
        <f>STATS1003B!U736/1000</f>
        <v>0</v>
      </c>
      <c r="V706" s="9">
        <f>STATS1003B!V736/1000</f>
        <v>300</v>
      </c>
      <c r="W706" s="9">
        <f>STATS1003B!W736/1000</f>
        <v>0</v>
      </c>
      <c r="X706" s="9">
        <f>STATS1003B!X736/1000</f>
        <v>300</v>
      </c>
      <c r="Y706" s="9">
        <f>STATS1003B!Y736/1000</f>
        <v>0</v>
      </c>
      <c r="Z706" s="9">
        <f>STATS1003B!Z736/1000</f>
        <v>0</v>
      </c>
      <c r="AA706" s="9">
        <f>STATS1003B!AA736/1000</f>
        <v>300</v>
      </c>
      <c r="AB706" s="9">
        <f>STATS1003B!AB736/1000</f>
        <v>0</v>
      </c>
    </row>
    <row r="707" spans="1:28" x14ac:dyDescent="0.35">
      <c r="A707" s="36"/>
      <c r="B707" s="8"/>
      <c r="C707" s="7" t="s">
        <v>933</v>
      </c>
      <c r="D707" s="16" t="s">
        <v>1072</v>
      </c>
      <c r="E707" s="9">
        <f>STATS1003B!E738/1000</f>
        <v>212</v>
      </c>
      <c r="F707" s="9">
        <f>STATS1003B!F738/1000</f>
        <v>212</v>
      </c>
      <c r="G707" s="9">
        <f>STATS1003B!G738/1000</f>
        <v>0</v>
      </c>
      <c r="H707" s="9">
        <f>STATS1003B!H738/1000</f>
        <v>212</v>
      </c>
      <c r="I707" s="9">
        <f>STATS1003B!I738/1000</f>
        <v>0</v>
      </c>
      <c r="J707" s="9">
        <f>STATS1003B!J738/1000</f>
        <v>0</v>
      </c>
      <c r="K707" s="9">
        <f>STATS1003B!K738/1000</f>
        <v>0</v>
      </c>
      <c r="L707" s="9">
        <f>STATS1003B!L738/1000</f>
        <v>0</v>
      </c>
      <c r="M707" s="9">
        <f>STATS1003B!M738/1000</f>
        <v>212</v>
      </c>
      <c r="N707" s="9">
        <f>STATS1003B!N738/1000</f>
        <v>0</v>
      </c>
      <c r="O707" s="9">
        <f>STATS1003B!O738/1000</f>
        <v>0</v>
      </c>
      <c r="P707" s="9">
        <f>STATS1003B!P738/1000</f>
        <v>0</v>
      </c>
      <c r="Q707" s="9">
        <f>STATS1003B!Q738/1000</f>
        <v>0</v>
      </c>
      <c r="R707" s="9">
        <f>STATS1003B!R738/1000</f>
        <v>0</v>
      </c>
      <c r="S707" s="9">
        <f>STATS1003B!S738/1000</f>
        <v>0</v>
      </c>
      <c r="T707" s="9">
        <f>STATS1003B!T738/1000</f>
        <v>0</v>
      </c>
      <c r="U707" s="9">
        <f>STATS1003B!U738/1000</f>
        <v>0</v>
      </c>
      <c r="V707" s="9">
        <f>STATS1003B!V738/1000</f>
        <v>212</v>
      </c>
      <c r="W707" s="9">
        <f>STATS1003B!W738/1000</f>
        <v>0</v>
      </c>
      <c r="X707" s="9">
        <f>STATS1003B!X738/1000</f>
        <v>212</v>
      </c>
      <c r="Y707" s="9">
        <f>STATS1003B!Y738/1000</f>
        <v>0</v>
      </c>
      <c r="Z707" s="9">
        <f>STATS1003B!Z738/1000</f>
        <v>0</v>
      </c>
      <c r="AA707" s="9">
        <f>STATS1003B!AA738/1000</f>
        <v>212</v>
      </c>
      <c r="AB707" s="9">
        <f>STATS1003B!AB738/1000</f>
        <v>0</v>
      </c>
    </row>
    <row r="708" spans="1:28" x14ac:dyDescent="0.35">
      <c r="A708" s="36"/>
      <c r="B708" s="8"/>
      <c r="C708" s="7" t="s">
        <v>622</v>
      </c>
      <c r="D708" s="8"/>
      <c r="E708" s="9">
        <f>STATS1003B!E739/1000</f>
        <v>3829.9040499999996</v>
      </c>
      <c r="F708" s="9">
        <f>STATS1003B!F739/1000</f>
        <v>3791.8706499999998</v>
      </c>
      <c r="G708" s="9">
        <f>STATS1003B!G739/1000</f>
        <v>0</v>
      </c>
      <c r="H708" s="9">
        <f>STATS1003B!H739/1000</f>
        <v>3791.8706499999998</v>
      </c>
      <c r="I708" s="9">
        <f>STATS1003B!I739/1000</f>
        <v>0</v>
      </c>
      <c r="J708" s="9">
        <f>STATS1003B!J739/1000</f>
        <v>3791.8706499999998</v>
      </c>
      <c r="K708" s="9">
        <f>STATS1003B!K739/1000</f>
        <v>38.0334</v>
      </c>
      <c r="L708" s="9">
        <f>STATS1003B!L739/1000</f>
        <v>0</v>
      </c>
      <c r="M708" s="9">
        <f>STATS1003B!M739/1000</f>
        <v>3791.8706499999998</v>
      </c>
      <c r="N708" s="9">
        <f>STATS1003B!N739/1000</f>
        <v>38.0334</v>
      </c>
      <c r="O708" s="9">
        <f>STATS1003B!O739/1000</f>
        <v>0</v>
      </c>
      <c r="P708" s="9">
        <f>STATS1003B!P739/1000</f>
        <v>38.0334</v>
      </c>
      <c r="Q708" s="9">
        <f>STATS1003B!Q739/1000</f>
        <v>3791.8706499999998</v>
      </c>
      <c r="R708" s="9">
        <f>STATS1003B!R739/1000</f>
        <v>0</v>
      </c>
      <c r="S708" s="9">
        <f>STATS1003B!S739/1000</f>
        <v>0</v>
      </c>
      <c r="T708" s="9">
        <f>STATS1003B!T739/1000</f>
        <v>0</v>
      </c>
      <c r="U708" s="9">
        <f>STATS1003B!U739/1000</f>
        <v>38.0334</v>
      </c>
      <c r="V708" s="9">
        <f>STATS1003B!V739/1000</f>
        <v>3829.9040499999996</v>
      </c>
      <c r="W708" s="9">
        <f>STATS1003B!W739/1000</f>
        <v>0</v>
      </c>
      <c r="X708" s="9">
        <f>STATS1003B!X739/1000</f>
        <v>3829.9040499999996</v>
      </c>
      <c r="Y708" s="9">
        <f>STATS1003B!Y739/1000</f>
        <v>0</v>
      </c>
      <c r="Z708" s="9">
        <f>STATS1003B!Z739/1000</f>
        <v>0</v>
      </c>
      <c r="AA708" s="9">
        <f>STATS1003B!AA739/1000</f>
        <v>3829.9040499999996</v>
      </c>
      <c r="AB708" s="9">
        <f>STATS1003B!AB739/1000</f>
        <v>0</v>
      </c>
    </row>
    <row r="709" spans="1:28" x14ac:dyDescent="0.35">
      <c r="A709" s="36"/>
      <c r="B709" s="8"/>
      <c r="C709" s="7" t="s">
        <v>623</v>
      </c>
      <c r="D709" s="8"/>
      <c r="E709" s="9">
        <f>STATS1003B!E740/1000</f>
        <v>452.86399999999998</v>
      </c>
      <c r="F709" s="9">
        <f>STATS1003B!F740/1000</f>
        <v>452.86399999999998</v>
      </c>
      <c r="G709" s="9">
        <f>STATS1003B!G740/1000</f>
        <v>0</v>
      </c>
      <c r="H709" s="9">
        <f>STATS1003B!H740/1000</f>
        <v>452.86399999999998</v>
      </c>
      <c r="I709" s="9">
        <f>STATS1003B!I740/1000</f>
        <v>0</v>
      </c>
      <c r="J709" s="9">
        <f>STATS1003B!J740/1000</f>
        <v>452.86399999999998</v>
      </c>
      <c r="K709" s="9">
        <f>STATS1003B!K740/1000</f>
        <v>0</v>
      </c>
      <c r="L709" s="9">
        <f>STATS1003B!L740/1000</f>
        <v>0</v>
      </c>
      <c r="M709" s="9">
        <f>STATS1003B!M740/1000</f>
        <v>452.86399999999998</v>
      </c>
      <c r="N709" s="9">
        <f>STATS1003B!N740/1000</f>
        <v>0</v>
      </c>
      <c r="O709" s="9">
        <f>STATS1003B!O740/1000</f>
        <v>0</v>
      </c>
      <c r="P709" s="9">
        <f>STATS1003B!P740/1000</f>
        <v>0</v>
      </c>
      <c r="Q709" s="9">
        <f>STATS1003B!Q740/1000</f>
        <v>452.86399999999998</v>
      </c>
      <c r="R709" s="9">
        <f>STATS1003B!R740/1000</f>
        <v>0</v>
      </c>
      <c r="S709" s="9">
        <f>STATS1003B!S740/1000</f>
        <v>0</v>
      </c>
      <c r="T709" s="9">
        <f>STATS1003B!T740/1000</f>
        <v>0</v>
      </c>
      <c r="U709" s="9">
        <f>STATS1003B!U740/1000</f>
        <v>0</v>
      </c>
      <c r="V709" s="9">
        <f>STATS1003B!V740/1000</f>
        <v>452.86399999999998</v>
      </c>
      <c r="W709" s="9">
        <f>STATS1003B!W740/1000</f>
        <v>0</v>
      </c>
      <c r="X709" s="9">
        <f>STATS1003B!X740/1000</f>
        <v>452.86399999999998</v>
      </c>
      <c r="Y709" s="9">
        <f>STATS1003B!Y740/1000</f>
        <v>0</v>
      </c>
      <c r="Z709" s="9">
        <f>STATS1003B!Z740/1000</f>
        <v>0</v>
      </c>
      <c r="AA709" s="9">
        <f>STATS1003B!AA740/1000</f>
        <v>452.86399999999998</v>
      </c>
      <c r="AB709" s="9">
        <f>STATS1003B!AB740/1000</f>
        <v>0</v>
      </c>
    </row>
    <row r="710" spans="1:28" x14ac:dyDescent="0.35">
      <c r="A710" s="36"/>
      <c r="B710" s="8"/>
      <c r="C710" s="7" t="s">
        <v>606</v>
      </c>
      <c r="D710" s="8"/>
      <c r="E710" s="9">
        <f>STATS1003B!E741/1000</f>
        <v>2500</v>
      </c>
      <c r="F710" s="9">
        <f>STATS1003B!F741/1000</f>
        <v>2500</v>
      </c>
      <c r="G710" s="9">
        <f>STATS1003B!G741/1000</f>
        <v>0</v>
      </c>
      <c r="H710" s="9">
        <f>STATS1003B!H741/1000</f>
        <v>2500</v>
      </c>
      <c r="I710" s="9">
        <f>STATS1003B!I741/1000</f>
        <v>0</v>
      </c>
      <c r="J710" s="9">
        <f>STATS1003B!J741/1000</f>
        <v>2500</v>
      </c>
      <c r="K710" s="9">
        <f>STATS1003B!K741/1000</f>
        <v>0</v>
      </c>
      <c r="L710" s="9">
        <f>STATS1003B!L741/1000</f>
        <v>0</v>
      </c>
      <c r="M710" s="9">
        <f>STATS1003B!M741/1000</f>
        <v>2500</v>
      </c>
      <c r="N710" s="9">
        <f>STATS1003B!N741/1000</f>
        <v>0</v>
      </c>
      <c r="O710" s="9">
        <f>STATS1003B!O741/1000</f>
        <v>0</v>
      </c>
      <c r="P710" s="9">
        <f>STATS1003B!P741/1000</f>
        <v>0</v>
      </c>
      <c r="Q710" s="9">
        <f>STATS1003B!Q741/1000</f>
        <v>2500</v>
      </c>
      <c r="R710" s="9">
        <f>STATS1003B!R741/1000</f>
        <v>0</v>
      </c>
      <c r="S710" s="9">
        <f>STATS1003B!S741/1000</f>
        <v>0</v>
      </c>
      <c r="T710" s="9">
        <f>STATS1003B!T741/1000</f>
        <v>0</v>
      </c>
      <c r="U710" s="9">
        <f>STATS1003B!U741/1000</f>
        <v>0</v>
      </c>
      <c r="V710" s="9">
        <f>STATS1003B!V741/1000</f>
        <v>2500</v>
      </c>
      <c r="W710" s="9">
        <f>STATS1003B!W741/1000</f>
        <v>0</v>
      </c>
      <c r="X710" s="9">
        <f>STATS1003B!X741/1000</f>
        <v>2500</v>
      </c>
      <c r="Y710" s="9">
        <f>STATS1003B!Y741/1000</f>
        <v>0</v>
      </c>
      <c r="Z710" s="9">
        <f>STATS1003B!Z741/1000</f>
        <v>0</v>
      </c>
      <c r="AA710" s="9">
        <f>STATS1003B!AA741/1000</f>
        <v>2500</v>
      </c>
      <c r="AB710" s="9">
        <f>STATS1003B!AB741/1000</f>
        <v>0</v>
      </c>
    </row>
    <row r="711" spans="1:28" x14ac:dyDescent="0.35">
      <c r="A711" s="36"/>
      <c r="B711" s="8"/>
      <c r="C711" s="8"/>
      <c r="D711" s="8"/>
      <c r="E711" s="17" t="s">
        <v>29</v>
      </c>
      <c r="F711" s="17" t="s">
        <v>29</v>
      </c>
      <c r="G711" s="17" t="s">
        <v>29</v>
      </c>
      <c r="H711" s="17" t="s">
        <v>29</v>
      </c>
      <c r="I711" s="17" t="s">
        <v>29</v>
      </c>
      <c r="J711" s="17" t="s">
        <v>29</v>
      </c>
      <c r="K711" s="17" t="s">
        <v>29</v>
      </c>
      <c r="L711" s="17" t="s">
        <v>29</v>
      </c>
      <c r="M711" s="17" t="s">
        <v>29</v>
      </c>
      <c r="N711" s="17" t="s">
        <v>29</v>
      </c>
      <c r="O711" s="17" t="s">
        <v>29</v>
      </c>
      <c r="P711" s="17" t="s">
        <v>29</v>
      </c>
      <c r="Q711" s="17" t="s">
        <v>29</v>
      </c>
      <c r="R711" s="17" t="s">
        <v>29</v>
      </c>
      <c r="S711" s="17" t="s">
        <v>29</v>
      </c>
      <c r="T711" s="17" t="s">
        <v>29</v>
      </c>
      <c r="U711" s="17" t="s">
        <v>29</v>
      </c>
      <c r="V711" s="17" t="s">
        <v>29</v>
      </c>
      <c r="W711" s="17" t="s">
        <v>29</v>
      </c>
      <c r="X711" s="17" t="s">
        <v>29</v>
      </c>
      <c r="Y711" s="17" t="s">
        <v>29</v>
      </c>
      <c r="Z711" s="17" t="s">
        <v>29</v>
      </c>
      <c r="AA711" s="17" t="s">
        <v>29</v>
      </c>
      <c r="AB711" s="17" t="s">
        <v>29</v>
      </c>
    </row>
    <row r="712" spans="1:28" x14ac:dyDescent="0.35">
      <c r="A712" s="36"/>
      <c r="B712" s="8"/>
      <c r="C712" s="8"/>
      <c r="D712" s="8"/>
      <c r="E712" s="9">
        <f t="shared" ref="E712:Q712" si="48">SUM(E687:E711)</f>
        <v>51524.196619999995</v>
      </c>
      <c r="F712" s="9">
        <f t="shared" si="48"/>
        <v>46687.385449999994</v>
      </c>
      <c r="G712" s="9">
        <f t="shared" si="48"/>
        <v>0</v>
      </c>
      <c r="H712" s="9">
        <f t="shared" si="48"/>
        <v>46687.385449999994</v>
      </c>
      <c r="I712" s="9">
        <f t="shared" si="48"/>
        <v>1252.0233399999995</v>
      </c>
      <c r="J712" s="9">
        <f t="shared" si="48"/>
        <v>47727.408789999994</v>
      </c>
      <c r="K712" s="9">
        <f t="shared" si="48"/>
        <v>3584.7998300000004</v>
      </c>
      <c r="L712" s="9">
        <f t="shared" si="48"/>
        <v>1252.0233400000002</v>
      </c>
      <c r="M712" s="9">
        <f t="shared" si="48"/>
        <v>47939.408789999994</v>
      </c>
      <c r="N712" s="9">
        <f t="shared" si="48"/>
        <v>3584.7998300000004</v>
      </c>
      <c r="O712" s="9">
        <f t="shared" si="48"/>
        <v>0</v>
      </c>
      <c r="P712" s="9">
        <f t="shared" si="48"/>
        <v>3584.7998300000004</v>
      </c>
      <c r="Q712" s="9">
        <f t="shared" si="48"/>
        <v>47427.396789999992</v>
      </c>
      <c r="R712" s="17"/>
      <c r="S712" s="17"/>
      <c r="T712" s="9">
        <f t="shared" ref="T712:Z712" si="49">SUM(T687:T711)</f>
        <v>0</v>
      </c>
      <c r="U712" s="9">
        <f t="shared" si="49"/>
        <v>3584.7998300000004</v>
      </c>
      <c r="V712" s="9">
        <f t="shared" si="49"/>
        <v>50272.185279999991</v>
      </c>
      <c r="W712" s="9">
        <f t="shared" si="49"/>
        <v>1252.0113399999998</v>
      </c>
      <c r="X712" s="9">
        <f t="shared" si="49"/>
        <v>50272.185279999991</v>
      </c>
      <c r="Y712" s="9">
        <f t="shared" si="49"/>
        <v>0</v>
      </c>
      <c r="Z712" s="9">
        <f t="shared" si="49"/>
        <v>1252.0113399999998</v>
      </c>
      <c r="AA712" s="9">
        <f>SUM(AA687:AA711)</f>
        <v>51524.20861999999</v>
      </c>
      <c r="AB712" s="9">
        <f>SUM(AB687:AB711)</f>
        <v>-1.2E-2</v>
      </c>
    </row>
    <row r="713" spans="1:28" x14ac:dyDescent="0.35">
      <c r="A713" s="36"/>
      <c r="B713" s="8"/>
      <c r="C713" s="8"/>
      <c r="D713" s="8"/>
      <c r="E713" s="17" t="s">
        <v>29</v>
      </c>
      <c r="F713" s="17" t="s">
        <v>29</v>
      </c>
      <c r="G713" s="17" t="s">
        <v>29</v>
      </c>
      <c r="H713" s="17" t="s">
        <v>29</v>
      </c>
      <c r="I713" s="17" t="s">
        <v>29</v>
      </c>
      <c r="J713" s="17" t="s">
        <v>29</v>
      </c>
      <c r="K713" s="17" t="s">
        <v>29</v>
      </c>
      <c r="L713" s="17" t="s">
        <v>29</v>
      </c>
      <c r="M713" s="17" t="s">
        <v>29</v>
      </c>
      <c r="N713" s="17" t="s">
        <v>29</v>
      </c>
      <c r="O713" s="17" t="s">
        <v>29</v>
      </c>
      <c r="P713" s="17" t="s">
        <v>29</v>
      </c>
      <c r="Q713" s="17" t="s">
        <v>29</v>
      </c>
      <c r="R713" s="17" t="s">
        <v>29</v>
      </c>
      <c r="S713" s="17" t="s">
        <v>29</v>
      </c>
      <c r="T713" s="17" t="s">
        <v>29</v>
      </c>
      <c r="U713" s="17" t="s">
        <v>29</v>
      </c>
      <c r="V713" s="17" t="s">
        <v>29</v>
      </c>
      <c r="W713" s="17" t="s">
        <v>29</v>
      </c>
      <c r="X713" s="17" t="s">
        <v>29</v>
      </c>
      <c r="Y713" s="17" t="s">
        <v>29</v>
      </c>
      <c r="Z713" s="17" t="s">
        <v>29</v>
      </c>
      <c r="AA713" s="17" t="s">
        <v>29</v>
      </c>
      <c r="AB713" s="17" t="s">
        <v>29</v>
      </c>
    </row>
    <row r="714" spans="1:28" x14ac:dyDescent="0.35">
      <c r="A714" s="38" t="s">
        <v>972</v>
      </c>
      <c r="B714" s="7" t="s">
        <v>624</v>
      </c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17"/>
      <c r="S714" s="17"/>
      <c r="T714" s="17"/>
      <c r="U714" s="17"/>
      <c r="V714" s="17"/>
      <c r="W714" s="17"/>
      <c r="X714" s="17"/>
      <c r="Y714" s="17"/>
      <c r="Z714" s="17"/>
    </row>
    <row r="715" spans="1:28" x14ac:dyDescent="0.35">
      <c r="A715" s="36"/>
      <c r="B715" s="8"/>
      <c r="C715" s="7" t="s">
        <v>535</v>
      </c>
      <c r="D715" s="15" t="s">
        <v>150</v>
      </c>
      <c r="E715" s="9">
        <f>STATS1003B!E746/1000</f>
        <v>1532.7944299999999</v>
      </c>
      <c r="F715" s="9">
        <f>STATS1003B!F746/1000</f>
        <v>1532.7944299999999</v>
      </c>
      <c r="G715" s="9">
        <f>STATS1003B!G746/1000</f>
        <v>0</v>
      </c>
      <c r="H715" s="9">
        <f>STATS1003B!H746/1000</f>
        <v>1532.7944299999999</v>
      </c>
      <c r="I715" s="9">
        <f>STATS1003B!I746/1000</f>
        <v>0</v>
      </c>
      <c r="J715" s="9">
        <f>STATS1003B!J746/1000</f>
        <v>1532.7944299999999</v>
      </c>
      <c r="K715" s="9">
        <f>STATS1003B!K746/1000</f>
        <v>0</v>
      </c>
      <c r="L715" s="9">
        <f>STATS1003B!L746/1000</f>
        <v>0</v>
      </c>
      <c r="M715" s="9">
        <f>STATS1003B!M746/1000</f>
        <v>1532.7944299999999</v>
      </c>
      <c r="N715" s="9">
        <f>STATS1003B!N746/1000</f>
        <v>0</v>
      </c>
      <c r="O715" s="9">
        <f>STATS1003B!O746/1000</f>
        <v>0</v>
      </c>
      <c r="P715" s="9">
        <f>STATS1003B!P746/1000</f>
        <v>0</v>
      </c>
      <c r="Q715" s="9">
        <f>STATS1003B!Q746/1000</f>
        <v>1532.7944299999999</v>
      </c>
      <c r="R715" s="9">
        <f>STATS1003B!R746/1000</f>
        <v>0</v>
      </c>
      <c r="S715" s="9">
        <f>STATS1003B!S746/1000</f>
        <v>0</v>
      </c>
      <c r="T715" s="9">
        <f>STATS1003B!T746/1000</f>
        <v>0</v>
      </c>
      <c r="U715" s="9">
        <f>STATS1003B!U746/1000</f>
        <v>0</v>
      </c>
      <c r="V715" s="9">
        <f>STATS1003B!V746/1000</f>
        <v>1532.7944299999999</v>
      </c>
      <c r="W715" s="9">
        <f>STATS1003B!W746/1000</f>
        <v>0</v>
      </c>
      <c r="X715" s="9">
        <f>STATS1003B!X746/1000</f>
        <v>1532.7944299999999</v>
      </c>
      <c r="Y715" s="9">
        <f>STATS1003B!Y746/1000</f>
        <v>0</v>
      </c>
      <c r="Z715" s="9">
        <f>STATS1003B!Z746/1000</f>
        <v>0</v>
      </c>
      <c r="AA715" s="9">
        <f>STATS1003B!AA746/1000</f>
        <v>1532.7944299999999</v>
      </c>
      <c r="AB715" s="9">
        <f>STATS1003B!AB746/1000</f>
        <v>0</v>
      </c>
    </row>
    <row r="716" spans="1:28" x14ac:dyDescent="0.35">
      <c r="A716" s="36"/>
      <c r="B716" s="8"/>
      <c r="C716" s="7" t="s">
        <v>625</v>
      </c>
      <c r="D716" s="15" t="s">
        <v>150</v>
      </c>
      <c r="E716" s="9">
        <f>STATS1003B!E747/1000</f>
        <v>4350</v>
      </c>
      <c r="F716" s="9">
        <f>STATS1003B!F747/1000</f>
        <v>4328.5010000000002</v>
      </c>
      <c r="G716" s="9">
        <f>STATS1003B!G747/1000</f>
        <v>0</v>
      </c>
      <c r="H716" s="9">
        <f>STATS1003B!H747/1000</f>
        <v>4328.5010000000002</v>
      </c>
      <c r="I716" s="9">
        <f>STATS1003B!I747/1000</f>
        <v>0</v>
      </c>
      <c r="J716" s="9">
        <f>STATS1003B!J747/1000</f>
        <v>4328.5010000000002</v>
      </c>
      <c r="K716" s="9">
        <f>STATS1003B!K747/1000</f>
        <v>21.498999999999999</v>
      </c>
      <c r="L716" s="9">
        <f>STATS1003B!L747/1000</f>
        <v>0</v>
      </c>
      <c r="M716" s="9">
        <f>STATS1003B!M747/1000</f>
        <v>4328.5010000000002</v>
      </c>
      <c r="N716" s="9">
        <f>STATS1003B!N747/1000</f>
        <v>21.498999999999999</v>
      </c>
      <c r="O716" s="9">
        <f>STATS1003B!O747/1000</f>
        <v>0</v>
      </c>
      <c r="P716" s="9">
        <f>STATS1003B!P747/1000</f>
        <v>21.498999999999999</v>
      </c>
      <c r="Q716" s="9">
        <f>STATS1003B!Q747/1000</f>
        <v>4328.5010000000002</v>
      </c>
      <c r="R716" s="9">
        <f>STATS1003B!R747/1000</f>
        <v>0</v>
      </c>
      <c r="S716" s="9">
        <f>STATS1003B!S747/1000</f>
        <v>0</v>
      </c>
      <c r="T716" s="9">
        <f>STATS1003B!T747/1000</f>
        <v>0</v>
      </c>
      <c r="U716" s="9">
        <f>STATS1003B!U747/1000</f>
        <v>21.498999999999999</v>
      </c>
      <c r="V716" s="9">
        <f>STATS1003B!V747/1000</f>
        <v>4350</v>
      </c>
      <c r="W716" s="9">
        <f>STATS1003B!W747/1000</f>
        <v>0</v>
      </c>
      <c r="X716" s="9">
        <f>STATS1003B!X747/1000</f>
        <v>4350</v>
      </c>
      <c r="Y716" s="9">
        <f>STATS1003B!Y747/1000</f>
        <v>0</v>
      </c>
      <c r="Z716" s="9">
        <f>STATS1003B!Z747/1000</f>
        <v>0</v>
      </c>
      <c r="AA716" s="9">
        <f>STATS1003B!AA747/1000</f>
        <v>4350</v>
      </c>
      <c r="AB716" s="9">
        <f>STATS1003B!AB747/1000</f>
        <v>0</v>
      </c>
    </row>
    <row r="717" spans="1:28" x14ac:dyDescent="0.35">
      <c r="A717" s="36"/>
      <c r="B717" s="8"/>
      <c r="C717" s="7" t="s">
        <v>626</v>
      </c>
      <c r="D717" s="15" t="s">
        <v>150</v>
      </c>
      <c r="E717" s="9">
        <f>STATS1003B!E748/1000</f>
        <v>1856.87943</v>
      </c>
      <c r="F717" s="9">
        <f>STATS1003B!F748/1000</f>
        <v>1375.4691200000002</v>
      </c>
      <c r="G717" s="9">
        <f>STATS1003B!G748/1000</f>
        <v>0</v>
      </c>
      <c r="H717" s="9">
        <f>STATS1003B!H748/1000</f>
        <v>1375.4691200000002</v>
      </c>
      <c r="I717" s="9">
        <f>STATS1003B!I748/1000</f>
        <v>0</v>
      </c>
      <c r="J717" s="9">
        <f>STATS1003B!J748/1000</f>
        <v>1375.4691200000002</v>
      </c>
      <c r="K717" s="9">
        <f>STATS1003B!K748/1000</f>
        <v>481.41030999999998</v>
      </c>
      <c r="L717" s="9">
        <f>STATS1003B!L748/1000</f>
        <v>0</v>
      </c>
      <c r="M717" s="9">
        <f>STATS1003B!M748/1000</f>
        <v>1375.4691200000002</v>
      </c>
      <c r="N717" s="9">
        <f>STATS1003B!N748/1000</f>
        <v>481.41030999999998</v>
      </c>
      <c r="O717" s="9">
        <f>STATS1003B!O748/1000</f>
        <v>0</v>
      </c>
      <c r="P717" s="9">
        <f>STATS1003B!P748/1000</f>
        <v>481.41030999999998</v>
      </c>
      <c r="Q717" s="9">
        <f>STATS1003B!Q748/1000</f>
        <v>1375.46912</v>
      </c>
      <c r="R717" s="9">
        <f>STATS1003B!R748/1000</f>
        <v>0</v>
      </c>
      <c r="S717" s="9">
        <f>STATS1003B!S748/1000</f>
        <v>0</v>
      </c>
      <c r="T717" s="9">
        <f>STATS1003B!T748/1000</f>
        <v>0</v>
      </c>
      <c r="U717" s="9">
        <f>STATS1003B!U748/1000</f>
        <v>481.41030999999998</v>
      </c>
      <c r="V717" s="9">
        <f>STATS1003B!V748/1000</f>
        <v>1856.8794300000002</v>
      </c>
      <c r="W717" s="9">
        <f>STATS1003B!W748/1000</f>
        <v>0</v>
      </c>
      <c r="X717" s="9">
        <f>STATS1003B!X748/1000</f>
        <v>1856.8794300000002</v>
      </c>
      <c r="Y717" s="9">
        <f>STATS1003B!Y748/1000</f>
        <v>0</v>
      </c>
      <c r="Z717" s="9">
        <f>STATS1003B!Z748/1000</f>
        <v>0</v>
      </c>
      <c r="AA717" s="9">
        <f>STATS1003B!AA748/1000</f>
        <v>1856.8794300000002</v>
      </c>
      <c r="AB717" s="9">
        <f>STATS1003B!AB748/1000</f>
        <v>0</v>
      </c>
    </row>
    <row r="718" spans="1:28" x14ac:dyDescent="0.35">
      <c r="A718" s="36"/>
      <c r="B718" s="8"/>
      <c r="C718" s="7" t="s">
        <v>535</v>
      </c>
      <c r="D718" s="15" t="s">
        <v>68</v>
      </c>
      <c r="E718" s="9">
        <f>STATS1003B!E749/1000</f>
        <v>610.48292000000004</v>
      </c>
      <c r="F718" s="9">
        <f>STATS1003B!F749/1000</f>
        <v>0</v>
      </c>
      <c r="G718" s="9">
        <f>STATS1003B!G749/1000</f>
        <v>0</v>
      </c>
      <c r="H718" s="9">
        <f>STATS1003B!H749/1000</f>
        <v>0</v>
      </c>
      <c r="I718" s="9">
        <f>STATS1003B!I749/1000</f>
        <v>0</v>
      </c>
      <c r="J718" s="9">
        <f>STATS1003B!J749/1000</f>
        <v>0</v>
      </c>
      <c r="K718" s="9">
        <f>STATS1003B!K749/1000</f>
        <v>610.48292000000004</v>
      </c>
      <c r="L718" s="9">
        <f>STATS1003B!L749/1000</f>
        <v>0</v>
      </c>
      <c r="M718" s="9">
        <f>STATS1003B!M749/1000</f>
        <v>0</v>
      </c>
      <c r="N718" s="9">
        <f>STATS1003B!N749/1000</f>
        <v>610.48292000000004</v>
      </c>
      <c r="O718" s="9">
        <f>STATS1003B!O749/1000</f>
        <v>0</v>
      </c>
      <c r="P718" s="9">
        <f>STATS1003B!P749/1000</f>
        <v>610.48292000000004</v>
      </c>
      <c r="Q718" s="9">
        <f>STATS1003B!Q749/1000</f>
        <v>0</v>
      </c>
      <c r="R718" s="9">
        <f>STATS1003B!R749/1000</f>
        <v>0</v>
      </c>
      <c r="S718" s="9">
        <f>STATS1003B!S749/1000</f>
        <v>0</v>
      </c>
      <c r="T718" s="9">
        <f>STATS1003B!T749/1000</f>
        <v>0</v>
      </c>
      <c r="U718" s="9">
        <f>STATS1003B!U749/1000</f>
        <v>610.48292000000004</v>
      </c>
      <c r="V718" s="9">
        <f>STATS1003B!V749/1000</f>
        <v>610.48292000000004</v>
      </c>
      <c r="W718" s="9">
        <f>STATS1003B!W749/1000</f>
        <v>0</v>
      </c>
      <c r="X718" s="9">
        <f>STATS1003B!X749/1000</f>
        <v>610.48292000000004</v>
      </c>
      <c r="Y718" s="9">
        <f>STATS1003B!Y749/1000</f>
        <v>0</v>
      </c>
      <c r="Z718" s="9">
        <f>STATS1003B!Z749/1000</f>
        <v>0</v>
      </c>
      <c r="AA718" s="9">
        <f>STATS1003B!AA749/1000</f>
        <v>610.48292000000004</v>
      </c>
      <c r="AB718" s="9">
        <f>STATS1003B!AB749/1000</f>
        <v>0</v>
      </c>
    </row>
    <row r="719" spans="1:28" x14ac:dyDescent="0.35">
      <c r="A719" s="36"/>
      <c r="B719" s="8"/>
      <c r="C719" s="7" t="s">
        <v>545</v>
      </c>
      <c r="D719" s="15" t="s">
        <v>54</v>
      </c>
      <c r="E719" s="9">
        <f>STATS1003B!E750/1000</f>
        <v>570.94100000000003</v>
      </c>
      <c r="F719" s="9">
        <f>STATS1003B!F750/1000</f>
        <v>0</v>
      </c>
      <c r="G719" s="9">
        <f>STATS1003B!G750/1000</f>
        <v>0</v>
      </c>
      <c r="H719" s="9">
        <f>STATS1003B!H750/1000</f>
        <v>0</v>
      </c>
      <c r="I719" s="9">
        <f>STATS1003B!I750/1000</f>
        <v>0</v>
      </c>
      <c r="J719" s="9">
        <f>STATS1003B!J750/1000</f>
        <v>0</v>
      </c>
      <c r="K719" s="9">
        <f>STATS1003B!K750/1000</f>
        <v>570.94100000000003</v>
      </c>
      <c r="L719" s="9">
        <f>STATS1003B!L750/1000</f>
        <v>0</v>
      </c>
      <c r="M719" s="9">
        <f>STATS1003B!M750/1000</f>
        <v>0</v>
      </c>
      <c r="N719" s="9">
        <f>STATS1003B!N750/1000</f>
        <v>570.94100000000003</v>
      </c>
      <c r="O719" s="9">
        <f>STATS1003B!O750/1000</f>
        <v>0</v>
      </c>
      <c r="P719" s="9">
        <f>STATS1003B!P750/1000</f>
        <v>570.94100000000003</v>
      </c>
      <c r="Q719" s="9">
        <f>STATS1003B!Q750/1000</f>
        <v>0</v>
      </c>
      <c r="R719" s="9">
        <f>STATS1003B!R750/1000</f>
        <v>0</v>
      </c>
      <c r="S719" s="9">
        <f>STATS1003B!S750/1000</f>
        <v>0</v>
      </c>
      <c r="T719" s="9">
        <f>STATS1003B!T750/1000</f>
        <v>0</v>
      </c>
      <c r="U719" s="9">
        <f>STATS1003B!U750/1000</f>
        <v>570.94100000000003</v>
      </c>
      <c r="V719" s="9">
        <f>STATS1003B!V750/1000</f>
        <v>570.94100000000003</v>
      </c>
      <c r="W719" s="9">
        <f>STATS1003B!W750/1000</f>
        <v>0</v>
      </c>
      <c r="X719" s="9">
        <f>STATS1003B!X750/1000</f>
        <v>570.94100000000003</v>
      </c>
      <c r="Y719" s="9">
        <f>STATS1003B!Y750/1000</f>
        <v>0</v>
      </c>
      <c r="Z719" s="9">
        <f>STATS1003B!Z750/1000</f>
        <v>0</v>
      </c>
      <c r="AA719" s="9">
        <f>STATS1003B!AA750/1000</f>
        <v>570.94100000000003</v>
      </c>
      <c r="AB719" s="9">
        <f>STATS1003B!AB750/1000</f>
        <v>0</v>
      </c>
    </row>
    <row r="720" spans="1:28" x14ac:dyDescent="0.35">
      <c r="A720" s="36"/>
      <c r="B720" s="8"/>
      <c r="C720" s="7" t="s">
        <v>535</v>
      </c>
      <c r="D720" s="15" t="s">
        <v>85</v>
      </c>
      <c r="E720" s="9">
        <f>STATS1003B!E751/1000</f>
        <v>511.904</v>
      </c>
      <c r="F720" s="9">
        <f>STATS1003B!F751/1000</f>
        <v>511.904</v>
      </c>
      <c r="G720" s="9">
        <f>STATS1003B!G751/1000</f>
        <v>0</v>
      </c>
      <c r="H720" s="9">
        <f>STATS1003B!H751/1000</f>
        <v>511.904</v>
      </c>
      <c r="I720" s="9">
        <f>STATS1003B!I751/1000</f>
        <v>0</v>
      </c>
      <c r="J720" s="9">
        <f>STATS1003B!J751/1000</f>
        <v>511.904</v>
      </c>
      <c r="K720" s="9">
        <f>STATS1003B!K751/1000</f>
        <v>0</v>
      </c>
      <c r="L720" s="9">
        <f>STATS1003B!L751/1000</f>
        <v>0</v>
      </c>
      <c r="M720" s="9">
        <f>STATS1003B!M751/1000</f>
        <v>511.904</v>
      </c>
      <c r="N720" s="9">
        <f>STATS1003B!N751/1000</f>
        <v>0</v>
      </c>
      <c r="O720" s="9">
        <f>STATS1003B!O751/1000</f>
        <v>0</v>
      </c>
      <c r="P720" s="9">
        <f>STATS1003B!P751/1000</f>
        <v>0</v>
      </c>
      <c r="Q720" s="9">
        <f>STATS1003B!Q751/1000</f>
        <v>511.904</v>
      </c>
      <c r="R720" s="9">
        <f>STATS1003B!R751/1000</f>
        <v>0</v>
      </c>
      <c r="S720" s="9">
        <f>STATS1003B!S751/1000</f>
        <v>0</v>
      </c>
      <c r="T720" s="9">
        <f>STATS1003B!T751/1000</f>
        <v>0</v>
      </c>
      <c r="U720" s="9">
        <f>STATS1003B!U751/1000</f>
        <v>0</v>
      </c>
      <c r="V720" s="9">
        <f>STATS1003B!V751/1000</f>
        <v>511.904</v>
      </c>
      <c r="W720" s="9">
        <f>STATS1003B!W751/1000</f>
        <v>0</v>
      </c>
      <c r="X720" s="9">
        <f>STATS1003B!X751/1000</f>
        <v>511.904</v>
      </c>
      <c r="Y720" s="9">
        <f>STATS1003B!Y751/1000</f>
        <v>0</v>
      </c>
      <c r="Z720" s="9">
        <f>STATS1003B!Z751/1000</f>
        <v>0</v>
      </c>
      <c r="AA720" s="9">
        <f>STATS1003B!AA751/1000</f>
        <v>511.904</v>
      </c>
      <c r="AB720" s="9">
        <f>STATS1003B!AB751/1000</f>
        <v>0</v>
      </c>
    </row>
    <row r="721" spans="1:28" x14ac:dyDescent="0.35">
      <c r="A721" s="36"/>
      <c r="B721" s="8"/>
      <c r="C721" s="7" t="s">
        <v>535</v>
      </c>
      <c r="D721" s="21" t="s">
        <v>73</v>
      </c>
      <c r="E721" s="9">
        <f>STATS1003B!E752/1000</f>
        <v>3203.7130000000002</v>
      </c>
      <c r="F721" s="9">
        <f>STATS1003B!F752/1000</f>
        <v>3203.7130000000002</v>
      </c>
      <c r="G721" s="9">
        <f>STATS1003B!G752/1000</f>
        <v>0</v>
      </c>
      <c r="H721" s="9">
        <f>STATS1003B!H752/1000</f>
        <v>3203.7130000000002</v>
      </c>
      <c r="I721" s="9">
        <f>STATS1003B!I752/1000</f>
        <v>0</v>
      </c>
      <c r="J721" s="9">
        <f>STATS1003B!J752/1000</f>
        <v>3203.7130000000002</v>
      </c>
      <c r="K721" s="9">
        <f>STATS1003B!K752/1000</f>
        <v>0</v>
      </c>
      <c r="L721" s="9">
        <f>STATS1003B!L752/1000</f>
        <v>0</v>
      </c>
      <c r="M721" s="9">
        <f>STATS1003B!M752/1000</f>
        <v>3203.7130000000002</v>
      </c>
      <c r="N721" s="9">
        <f>STATS1003B!N752/1000</f>
        <v>0</v>
      </c>
      <c r="O721" s="9">
        <f>STATS1003B!O752/1000</f>
        <v>0</v>
      </c>
      <c r="P721" s="9">
        <f>STATS1003B!P752/1000</f>
        <v>0</v>
      </c>
      <c r="Q721" s="9">
        <f>STATS1003B!Q752/1000</f>
        <v>3203.7130000000002</v>
      </c>
      <c r="R721" s="9">
        <f>STATS1003B!R752/1000</f>
        <v>0</v>
      </c>
      <c r="S721" s="9">
        <f>STATS1003B!S752/1000</f>
        <v>0</v>
      </c>
      <c r="T721" s="9">
        <f>STATS1003B!T752/1000</f>
        <v>0</v>
      </c>
      <c r="U721" s="9">
        <f>STATS1003B!U752/1000</f>
        <v>0</v>
      </c>
      <c r="V721" s="9">
        <f>STATS1003B!V752/1000</f>
        <v>3203.7130000000002</v>
      </c>
      <c r="W721" s="9">
        <f>STATS1003B!W752/1000</f>
        <v>0</v>
      </c>
      <c r="X721" s="9">
        <f>STATS1003B!X752/1000</f>
        <v>3203.7130000000002</v>
      </c>
      <c r="Y721" s="9">
        <f>STATS1003B!Y752/1000</f>
        <v>0</v>
      </c>
      <c r="Z721" s="9">
        <f>STATS1003B!Z752/1000</f>
        <v>0</v>
      </c>
      <c r="AA721" s="9">
        <f>STATS1003B!AA752/1000</f>
        <v>3203.7130000000002</v>
      </c>
      <c r="AB721" s="9">
        <f>STATS1003B!AB752/1000</f>
        <v>0</v>
      </c>
    </row>
    <row r="722" spans="1:28" x14ac:dyDescent="0.35">
      <c r="A722" s="36"/>
      <c r="B722" s="8"/>
      <c r="C722" s="7" t="s">
        <v>933</v>
      </c>
      <c r="D722" s="24" t="s">
        <v>1072</v>
      </c>
      <c r="E722" s="9">
        <f>STATS1003B!E753/1000</f>
        <v>756.15334999999993</v>
      </c>
      <c r="F722" s="9">
        <f>STATS1003B!F753/1000</f>
        <v>756.15334999999993</v>
      </c>
      <c r="G722" s="9">
        <f>STATS1003B!G753/1000</f>
        <v>0</v>
      </c>
      <c r="H722" s="9">
        <f>STATS1003B!H753/1000</f>
        <v>756.15334999999993</v>
      </c>
      <c r="I722" s="9">
        <f>STATS1003B!I753/1000</f>
        <v>0</v>
      </c>
      <c r="J722" s="9">
        <f>STATS1003B!J753/1000</f>
        <v>0</v>
      </c>
      <c r="K722" s="9">
        <f>STATS1003B!K753/1000</f>
        <v>0</v>
      </c>
      <c r="L722" s="9">
        <f>STATS1003B!L753/1000</f>
        <v>0</v>
      </c>
      <c r="M722" s="9">
        <f>STATS1003B!M753/1000</f>
        <v>756.15334999999993</v>
      </c>
      <c r="N722" s="9">
        <f>STATS1003B!N753/1000</f>
        <v>0</v>
      </c>
      <c r="O722" s="9">
        <f>STATS1003B!O753/1000</f>
        <v>0</v>
      </c>
      <c r="P722" s="9">
        <f>STATS1003B!P753/1000</f>
        <v>0</v>
      </c>
      <c r="Q722" s="9">
        <f>STATS1003B!Q753/1000</f>
        <v>0</v>
      </c>
      <c r="R722" s="9">
        <f>STATS1003B!R753/1000</f>
        <v>0</v>
      </c>
      <c r="S722" s="9">
        <f>STATS1003B!S753/1000</f>
        <v>0</v>
      </c>
      <c r="T722" s="9">
        <f>STATS1003B!T753/1000</f>
        <v>0</v>
      </c>
      <c r="U722" s="9">
        <f>STATS1003B!U753/1000</f>
        <v>0</v>
      </c>
      <c r="V722" s="9">
        <f>STATS1003B!V753/1000</f>
        <v>0</v>
      </c>
      <c r="W722" s="9">
        <f>STATS1003B!W753/1000</f>
        <v>0</v>
      </c>
      <c r="X722" s="9">
        <f>STATS1003B!X753/1000</f>
        <v>756.15334999999993</v>
      </c>
      <c r="Y722" s="9">
        <f>STATS1003B!Y753/1000</f>
        <v>0</v>
      </c>
      <c r="Z722" s="9">
        <f>STATS1003B!Z753/1000</f>
        <v>0</v>
      </c>
      <c r="AA722" s="9">
        <f>STATS1003B!AA753/1000</f>
        <v>756.15334999999993</v>
      </c>
      <c r="AB722" s="9">
        <f>STATS1003B!AB753/1000</f>
        <v>0</v>
      </c>
    </row>
    <row r="723" spans="1:28" x14ac:dyDescent="0.35">
      <c r="A723" s="36"/>
      <c r="B723" s="8"/>
      <c r="C723" s="7" t="s">
        <v>598</v>
      </c>
      <c r="D723" s="8"/>
      <c r="E723" s="9">
        <f>STATS1003B!E754/1000</f>
        <v>145.41999999999999</v>
      </c>
      <c r="F723" s="9">
        <f>STATS1003B!F754/1000</f>
        <v>145.41999999999999</v>
      </c>
      <c r="G723" s="9">
        <f>STATS1003B!G754/1000</f>
        <v>0</v>
      </c>
      <c r="H723" s="9">
        <f>STATS1003B!H754/1000</f>
        <v>145.41999999999999</v>
      </c>
      <c r="I723" s="9">
        <f>STATS1003B!I754/1000</f>
        <v>0</v>
      </c>
      <c r="J723" s="9">
        <f>STATS1003B!J754/1000</f>
        <v>145.41999999999999</v>
      </c>
      <c r="K723" s="9">
        <f>STATS1003B!K754/1000</f>
        <v>0</v>
      </c>
      <c r="L723" s="9">
        <f>STATS1003B!L754/1000</f>
        <v>0</v>
      </c>
      <c r="M723" s="9">
        <f>STATS1003B!M754/1000</f>
        <v>145.41999999999999</v>
      </c>
      <c r="N723" s="9">
        <f>STATS1003B!N754/1000</f>
        <v>0</v>
      </c>
      <c r="O723" s="9">
        <f>STATS1003B!O754/1000</f>
        <v>0</v>
      </c>
      <c r="P723" s="9">
        <f>STATS1003B!P754/1000</f>
        <v>0</v>
      </c>
      <c r="Q723" s="9">
        <f>STATS1003B!Q754/1000</f>
        <v>145.41999999999999</v>
      </c>
      <c r="R723" s="9">
        <f>STATS1003B!R754/1000</f>
        <v>0</v>
      </c>
      <c r="S723" s="9">
        <f>STATS1003B!S754/1000</f>
        <v>0</v>
      </c>
      <c r="T723" s="9">
        <f>STATS1003B!T754/1000</f>
        <v>0</v>
      </c>
      <c r="U723" s="9">
        <f>STATS1003B!U754/1000</f>
        <v>0</v>
      </c>
      <c r="V723" s="9">
        <f>STATS1003B!V754/1000</f>
        <v>145.41999999999999</v>
      </c>
      <c r="W723" s="9">
        <f>STATS1003B!W754/1000</f>
        <v>0</v>
      </c>
      <c r="X723" s="9">
        <f>STATS1003B!X754/1000</f>
        <v>145.41999999999999</v>
      </c>
      <c r="Y723" s="9">
        <f>STATS1003B!Y754/1000</f>
        <v>0</v>
      </c>
      <c r="Z723" s="9">
        <f>STATS1003B!Z754/1000</f>
        <v>0</v>
      </c>
      <c r="AA723" s="9">
        <f>STATS1003B!AA754/1000</f>
        <v>145.41999999999999</v>
      </c>
      <c r="AB723" s="9">
        <f>STATS1003B!AB754/1000</f>
        <v>0</v>
      </c>
    </row>
    <row r="724" spans="1:28" x14ac:dyDescent="0.35">
      <c r="A724" s="36"/>
      <c r="B724" s="8"/>
      <c r="C724" s="8"/>
      <c r="D724" s="8"/>
      <c r="E724" s="17" t="s">
        <v>29</v>
      </c>
      <c r="F724" s="17" t="s">
        <v>29</v>
      </c>
      <c r="G724" s="17" t="s">
        <v>29</v>
      </c>
      <c r="H724" s="17" t="s">
        <v>29</v>
      </c>
      <c r="I724" s="17" t="s">
        <v>29</v>
      </c>
      <c r="J724" s="17" t="s">
        <v>29</v>
      </c>
      <c r="K724" s="17" t="s">
        <v>29</v>
      </c>
      <c r="L724" s="17" t="s">
        <v>29</v>
      </c>
      <c r="M724" s="17" t="s">
        <v>29</v>
      </c>
      <c r="N724" s="17" t="s">
        <v>29</v>
      </c>
      <c r="O724" s="17" t="s">
        <v>29</v>
      </c>
      <c r="P724" s="17" t="s">
        <v>29</v>
      </c>
      <c r="Q724" s="17" t="s">
        <v>29</v>
      </c>
      <c r="R724" s="17" t="s">
        <v>29</v>
      </c>
      <c r="S724" s="17" t="s">
        <v>29</v>
      </c>
      <c r="T724" s="17" t="s">
        <v>29</v>
      </c>
      <c r="U724" s="17" t="s">
        <v>29</v>
      </c>
      <c r="V724" s="17" t="s">
        <v>29</v>
      </c>
      <c r="W724" s="17" t="s">
        <v>29</v>
      </c>
      <c r="X724" s="17" t="s">
        <v>29</v>
      </c>
      <c r="Y724" s="17" t="s">
        <v>29</v>
      </c>
      <c r="Z724" s="17" t="s">
        <v>29</v>
      </c>
      <c r="AA724" s="17" t="s">
        <v>29</v>
      </c>
      <c r="AB724" s="17" t="s">
        <v>29</v>
      </c>
    </row>
    <row r="725" spans="1:28" x14ac:dyDescent="0.35">
      <c r="A725" s="36"/>
      <c r="B725" s="8"/>
      <c r="C725" s="8"/>
      <c r="D725" s="8"/>
      <c r="E725" s="9">
        <f t="shared" ref="E725:Q725" si="50">SUM(E715:E724)</f>
        <v>13538.288130000001</v>
      </c>
      <c r="F725" s="9">
        <f t="shared" si="50"/>
        <v>11853.954900000001</v>
      </c>
      <c r="G725" s="9">
        <f t="shared" si="50"/>
        <v>0</v>
      </c>
      <c r="H725" s="9">
        <f t="shared" si="50"/>
        <v>11853.954900000001</v>
      </c>
      <c r="I725" s="9">
        <f t="shared" si="50"/>
        <v>0</v>
      </c>
      <c r="J725" s="9">
        <f t="shared" si="50"/>
        <v>11097.80155</v>
      </c>
      <c r="K725" s="9">
        <f t="shared" si="50"/>
        <v>1684.33323</v>
      </c>
      <c r="L725" s="9">
        <f t="shared" si="50"/>
        <v>0</v>
      </c>
      <c r="M725" s="9">
        <f t="shared" si="50"/>
        <v>11853.954900000001</v>
      </c>
      <c r="N725" s="9">
        <f t="shared" si="50"/>
        <v>1684.33323</v>
      </c>
      <c r="O725" s="9">
        <f t="shared" si="50"/>
        <v>0</v>
      </c>
      <c r="P725" s="9">
        <f t="shared" si="50"/>
        <v>1684.33323</v>
      </c>
      <c r="Q725" s="9">
        <f t="shared" si="50"/>
        <v>11097.80155</v>
      </c>
      <c r="R725" s="17"/>
      <c r="S725" s="17"/>
      <c r="T725" s="9">
        <f t="shared" ref="T725:Z725" si="51">SUM(T715:T724)</f>
        <v>0</v>
      </c>
      <c r="U725" s="9">
        <f t="shared" si="51"/>
        <v>1684.33323</v>
      </c>
      <c r="V725" s="9">
        <f t="shared" si="51"/>
        <v>12782.13478</v>
      </c>
      <c r="W725" s="9">
        <f t="shared" si="51"/>
        <v>0</v>
      </c>
      <c r="X725" s="9">
        <f t="shared" si="51"/>
        <v>13538.288130000001</v>
      </c>
      <c r="Y725" s="9">
        <f t="shared" si="51"/>
        <v>0</v>
      </c>
      <c r="Z725" s="9">
        <f t="shared" si="51"/>
        <v>0</v>
      </c>
      <c r="AA725" s="9">
        <f>SUM(AA715:AA724)</f>
        <v>13538.288130000001</v>
      </c>
      <c r="AB725" s="9">
        <f>SUM(AB715:AB724)</f>
        <v>0</v>
      </c>
    </row>
    <row r="726" spans="1:28" x14ac:dyDescent="0.35">
      <c r="A726" s="36"/>
      <c r="B726" s="8"/>
      <c r="C726" s="8"/>
      <c r="D726" s="8"/>
      <c r="E726" s="17" t="s">
        <v>29</v>
      </c>
      <c r="F726" s="17" t="s">
        <v>29</v>
      </c>
      <c r="G726" s="17" t="s">
        <v>29</v>
      </c>
      <c r="H726" s="17" t="s">
        <v>29</v>
      </c>
      <c r="I726" s="17" t="s">
        <v>29</v>
      </c>
      <c r="J726" s="17" t="s">
        <v>29</v>
      </c>
      <c r="K726" s="17" t="s">
        <v>29</v>
      </c>
      <c r="L726" s="17" t="s">
        <v>29</v>
      </c>
      <c r="M726" s="17" t="s">
        <v>29</v>
      </c>
      <c r="N726" s="17" t="s">
        <v>29</v>
      </c>
      <c r="O726" s="17" t="s">
        <v>29</v>
      </c>
      <c r="P726" s="17" t="s">
        <v>29</v>
      </c>
      <c r="Q726" s="17" t="s">
        <v>29</v>
      </c>
      <c r="R726" s="17" t="s">
        <v>29</v>
      </c>
      <c r="S726" s="17" t="s">
        <v>29</v>
      </c>
      <c r="T726" s="17" t="s">
        <v>29</v>
      </c>
      <c r="U726" s="17" t="s">
        <v>29</v>
      </c>
      <c r="V726" s="17" t="s">
        <v>29</v>
      </c>
      <c r="W726" s="17" t="s">
        <v>29</v>
      </c>
      <c r="X726" s="17" t="s">
        <v>29</v>
      </c>
      <c r="Y726" s="17" t="s">
        <v>29</v>
      </c>
      <c r="Z726" s="17" t="s">
        <v>29</v>
      </c>
      <c r="AA726" s="17" t="s">
        <v>29</v>
      </c>
      <c r="AB726" s="17" t="s">
        <v>29</v>
      </c>
    </row>
    <row r="727" spans="1:28" x14ac:dyDescent="0.35">
      <c r="A727" s="36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17"/>
      <c r="S727" s="17"/>
      <c r="T727" s="17"/>
      <c r="U727" s="17"/>
      <c r="V727" s="17"/>
      <c r="W727" s="17"/>
      <c r="X727" s="17"/>
      <c r="Y727" s="17"/>
      <c r="Z727" s="17"/>
    </row>
    <row r="728" spans="1:28" x14ac:dyDescent="0.35">
      <c r="A728" s="38" t="s">
        <v>973</v>
      </c>
      <c r="B728" s="7" t="s">
        <v>627</v>
      </c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17"/>
      <c r="S728" s="17"/>
      <c r="T728" s="17"/>
      <c r="U728" s="17"/>
      <c r="V728" s="17"/>
      <c r="W728" s="17"/>
      <c r="X728" s="17"/>
      <c r="Y728" s="17"/>
      <c r="Z728" s="17"/>
    </row>
    <row r="729" spans="1:28" x14ac:dyDescent="0.35">
      <c r="A729" s="36"/>
      <c r="B729" s="8"/>
      <c r="C729" s="7" t="s">
        <v>535</v>
      </c>
      <c r="D729" s="15" t="s">
        <v>150</v>
      </c>
      <c r="E729" s="9">
        <f>STATS1003B!E760/1000</f>
        <v>3715.2800499999998</v>
      </c>
      <c r="F729" s="9">
        <f>STATS1003B!F760/1000</f>
        <v>3715.2800499999998</v>
      </c>
      <c r="G729" s="9">
        <f>STATS1003B!G760/1000</f>
        <v>0</v>
      </c>
      <c r="H729" s="9">
        <f>STATS1003B!H760/1000</f>
        <v>3715.2800499999998</v>
      </c>
      <c r="I729" s="9">
        <f>STATS1003B!I760/1000</f>
        <v>0</v>
      </c>
      <c r="J729" s="9">
        <f>STATS1003B!J760/1000</f>
        <v>3715.2800499999998</v>
      </c>
      <c r="K729" s="9">
        <f>STATS1003B!K760/1000</f>
        <v>0</v>
      </c>
      <c r="L729" s="9">
        <f>STATS1003B!L760/1000</f>
        <v>0</v>
      </c>
      <c r="M729" s="9">
        <f>STATS1003B!M760/1000</f>
        <v>3715.2800499999998</v>
      </c>
      <c r="N729" s="9">
        <f>STATS1003B!N760/1000</f>
        <v>0</v>
      </c>
      <c r="O729" s="9">
        <f>STATS1003B!O760/1000</f>
        <v>0</v>
      </c>
      <c r="P729" s="9">
        <f>STATS1003B!P760/1000</f>
        <v>0</v>
      </c>
      <c r="Q729" s="9">
        <f>STATS1003B!Q760/1000</f>
        <v>3715.2800499999998</v>
      </c>
      <c r="R729" s="9">
        <f>STATS1003B!R760/1000</f>
        <v>0</v>
      </c>
      <c r="S729" s="9">
        <f>STATS1003B!S760/1000</f>
        <v>0</v>
      </c>
      <c r="T729" s="9">
        <f>STATS1003B!T760/1000</f>
        <v>0</v>
      </c>
      <c r="U729" s="9">
        <f>STATS1003B!U760/1000</f>
        <v>0</v>
      </c>
      <c r="V729" s="9">
        <f>STATS1003B!V760/1000</f>
        <v>3715.2800499999998</v>
      </c>
      <c r="W729" s="9">
        <f>STATS1003B!W760/1000</f>
        <v>0</v>
      </c>
      <c r="X729" s="9">
        <f>STATS1003B!X760/1000</f>
        <v>3715.2800499999998</v>
      </c>
      <c r="Y729" s="9">
        <f>STATS1003B!Y760/1000</f>
        <v>0</v>
      </c>
      <c r="Z729" s="9">
        <f>STATS1003B!Z760/1000</f>
        <v>0</v>
      </c>
      <c r="AA729" s="9">
        <f>STATS1003B!AA760/1000</f>
        <v>3715.2800499999998</v>
      </c>
      <c r="AB729" s="9">
        <f>STATS1003B!AB760/1000</f>
        <v>0</v>
      </c>
    </row>
    <row r="730" spans="1:28" x14ac:dyDescent="0.35">
      <c r="A730" s="36"/>
      <c r="B730" s="8"/>
      <c r="C730" s="7" t="s">
        <v>628</v>
      </c>
      <c r="D730" s="15" t="s">
        <v>166</v>
      </c>
      <c r="E730" s="9">
        <f>STATS1003B!E761/1000</f>
        <v>550</v>
      </c>
      <c r="F730" s="9">
        <f>STATS1003B!F761/1000</f>
        <v>550</v>
      </c>
      <c r="G730" s="9">
        <f>STATS1003B!G761/1000</f>
        <v>0</v>
      </c>
      <c r="H730" s="9">
        <f>STATS1003B!H761/1000</f>
        <v>550</v>
      </c>
      <c r="I730" s="9">
        <f>STATS1003B!I761/1000</f>
        <v>0</v>
      </c>
      <c r="J730" s="9">
        <f>STATS1003B!J761/1000</f>
        <v>550</v>
      </c>
      <c r="K730" s="9">
        <f>STATS1003B!K761/1000</f>
        <v>0</v>
      </c>
      <c r="L730" s="9">
        <f>STATS1003B!L761/1000</f>
        <v>0</v>
      </c>
      <c r="M730" s="9">
        <f>STATS1003B!M761/1000</f>
        <v>550</v>
      </c>
      <c r="N730" s="9">
        <f>STATS1003B!N761/1000</f>
        <v>0</v>
      </c>
      <c r="O730" s="9">
        <f>STATS1003B!O761/1000</f>
        <v>0</v>
      </c>
      <c r="P730" s="9">
        <f>STATS1003B!P761/1000</f>
        <v>0</v>
      </c>
      <c r="Q730" s="9">
        <f>STATS1003B!Q761/1000</f>
        <v>550</v>
      </c>
      <c r="R730" s="9">
        <f>STATS1003B!R761/1000</f>
        <v>0</v>
      </c>
      <c r="S730" s="9">
        <f>STATS1003B!S761/1000</f>
        <v>0</v>
      </c>
      <c r="T730" s="9">
        <f>STATS1003B!T761/1000</f>
        <v>0</v>
      </c>
      <c r="U730" s="9">
        <f>STATS1003B!U761/1000</f>
        <v>0</v>
      </c>
      <c r="V730" s="9">
        <f>STATS1003B!V761/1000</f>
        <v>550</v>
      </c>
      <c r="W730" s="9">
        <f>STATS1003B!W761/1000</f>
        <v>0</v>
      </c>
      <c r="X730" s="9">
        <f>STATS1003B!X761/1000</f>
        <v>550</v>
      </c>
      <c r="Y730" s="9">
        <f>STATS1003B!Y761/1000</f>
        <v>0</v>
      </c>
      <c r="Z730" s="9">
        <f>STATS1003B!Z761/1000</f>
        <v>0</v>
      </c>
      <c r="AA730" s="9">
        <f>STATS1003B!AA761/1000</f>
        <v>550</v>
      </c>
      <c r="AB730" s="9">
        <f>STATS1003B!AB761/1000</f>
        <v>0</v>
      </c>
    </row>
    <row r="731" spans="1:28" x14ac:dyDescent="0.35">
      <c r="A731" s="36"/>
      <c r="B731" s="8"/>
      <c r="C731" s="7" t="s">
        <v>535</v>
      </c>
      <c r="D731" s="15" t="s">
        <v>68</v>
      </c>
      <c r="E731" s="9">
        <f>STATS1003B!E762/1000</f>
        <v>546.74014</v>
      </c>
      <c r="F731" s="9">
        <f>STATS1003B!F762/1000</f>
        <v>546.74014</v>
      </c>
      <c r="G731" s="9">
        <f>STATS1003B!G762/1000</f>
        <v>0</v>
      </c>
      <c r="H731" s="9">
        <f>STATS1003B!H762/1000</f>
        <v>546.74014</v>
      </c>
      <c r="I731" s="9">
        <f>STATS1003B!I762/1000</f>
        <v>0</v>
      </c>
      <c r="J731" s="9">
        <f>STATS1003B!J762/1000</f>
        <v>546.74014</v>
      </c>
      <c r="K731" s="9">
        <f>STATS1003B!K762/1000</f>
        <v>0</v>
      </c>
      <c r="L731" s="9">
        <f>STATS1003B!L762/1000</f>
        <v>0</v>
      </c>
      <c r="M731" s="9">
        <f>STATS1003B!M762/1000</f>
        <v>546.74014</v>
      </c>
      <c r="N731" s="9">
        <f>STATS1003B!N762/1000</f>
        <v>0</v>
      </c>
      <c r="O731" s="9">
        <f>STATS1003B!O762/1000</f>
        <v>0</v>
      </c>
      <c r="P731" s="9">
        <f>STATS1003B!P762/1000</f>
        <v>0</v>
      </c>
      <c r="Q731" s="9">
        <f>STATS1003B!Q762/1000</f>
        <v>546.74014</v>
      </c>
      <c r="R731" s="9">
        <f>STATS1003B!R762/1000</f>
        <v>0</v>
      </c>
      <c r="S731" s="9">
        <f>STATS1003B!S762/1000</f>
        <v>0</v>
      </c>
      <c r="T731" s="9">
        <f>STATS1003B!T762/1000</f>
        <v>0</v>
      </c>
      <c r="U731" s="9">
        <f>STATS1003B!U762/1000</f>
        <v>0</v>
      </c>
      <c r="V731" s="9">
        <f>STATS1003B!V762/1000</f>
        <v>546.74014</v>
      </c>
      <c r="W731" s="9">
        <f>STATS1003B!W762/1000</f>
        <v>0</v>
      </c>
      <c r="X731" s="9">
        <f>STATS1003B!X762/1000</f>
        <v>546.74014</v>
      </c>
      <c r="Y731" s="9">
        <f>STATS1003B!Y762/1000</f>
        <v>0</v>
      </c>
      <c r="Z731" s="9">
        <f>STATS1003B!Z762/1000</f>
        <v>0</v>
      </c>
      <c r="AA731" s="9">
        <f>STATS1003B!AA762/1000</f>
        <v>546.74014</v>
      </c>
      <c r="AB731" s="9">
        <f>STATS1003B!AB762/1000</f>
        <v>0</v>
      </c>
    </row>
    <row r="732" spans="1:28" x14ac:dyDescent="0.35">
      <c r="A732" s="36"/>
      <c r="B732" s="8"/>
      <c r="C732" s="7" t="s">
        <v>539</v>
      </c>
      <c r="D732" s="15" t="s">
        <v>68</v>
      </c>
      <c r="E732" s="9">
        <f>STATS1003B!E763/1000</f>
        <v>1608.8220499999998</v>
      </c>
      <c r="F732" s="9">
        <f>STATS1003B!F763/1000</f>
        <v>0</v>
      </c>
      <c r="G732" s="9">
        <f>STATS1003B!G763/1000</f>
        <v>0</v>
      </c>
      <c r="H732" s="9">
        <f>STATS1003B!H763/1000</f>
        <v>0</v>
      </c>
      <c r="I732" s="9">
        <f>STATS1003B!I763/1000</f>
        <v>0</v>
      </c>
      <c r="J732" s="9">
        <f>STATS1003B!J763/1000</f>
        <v>0</v>
      </c>
      <c r="K732" s="9">
        <f>STATS1003B!K763/1000</f>
        <v>1608.8220499999998</v>
      </c>
      <c r="L732" s="9">
        <f>STATS1003B!L763/1000</f>
        <v>0</v>
      </c>
      <c r="M732" s="9">
        <f>STATS1003B!M763/1000</f>
        <v>0</v>
      </c>
      <c r="N732" s="9">
        <f>STATS1003B!N763/1000</f>
        <v>1608.82205</v>
      </c>
      <c r="O732" s="9">
        <f>STATS1003B!O763/1000</f>
        <v>0</v>
      </c>
      <c r="P732" s="9">
        <f>STATS1003B!P763/1000</f>
        <v>1608.82205</v>
      </c>
      <c r="Q732" s="9">
        <f>STATS1003B!Q763/1000</f>
        <v>0</v>
      </c>
      <c r="R732" s="9">
        <f>STATS1003B!R763/1000</f>
        <v>0</v>
      </c>
      <c r="S732" s="9">
        <f>STATS1003B!S763/1000</f>
        <v>0</v>
      </c>
      <c r="T732" s="9">
        <f>STATS1003B!T763/1000</f>
        <v>0</v>
      </c>
      <c r="U732" s="9">
        <f>STATS1003B!U763/1000</f>
        <v>1608.82205</v>
      </c>
      <c r="V732" s="9">
        <f>STATS1003B!V763/1000</f>
        <v>1608.82205</v>
      </c>
      <c r="W732" s="9">
        <f>STATS1003B!W763/1000</f>
        <v>0</v>
      </c>
      <c r="X732" s="9">
        <f>STATS1003B!X763/1000</f>
        <v>1608.82205</v>
      </c>
      <c r="Y732" s="9">
        <f>STATS1003B!Y763/1000</f>
        <v>0</v>
      </c>
      <c r="Z732" s="9">
        <f>STATS1003B!Z763/1000</f>
        <v>0</v>
      </c>
      <c r="AA732" s="9">
        <f>STATS1003B!AA763/1000</f>
        <v>1608.82205</v>
      </c>
      <c r="AB732" s="9">
        <f>STATS1003B!AB763/1000</f>
        <v>0</v>
      </c>
    </row>
    <row r="733" spans="1:28" x14ac:dyDescent="0.35">
      <c r="A733" s="36"/>
      <c r="B733" s="8"/>
      <c r="C733" s="7" t="s">
        <v>629</v>
      </c>
      <c r="D733" s="15" t="s">
        <v>54</v>
      </c>
      <c r="E733" s="9">
        <f>STATS1003B!E764/1000</f>
        <v>1250</v>
      </c>
      <c r="F733" s="9">
        <f>STATS1003B!F764/1000</f>
        <v>1184.6344299999998</v>
      </c>
      <c r="G733" s="9">
        <f>STATS1003B!G764/1000</f>
        <v>0</v>
      </c>
      <c r="H733" s="9">
        <f>STATS1003B!H764/1000</f>
        <v>1184.6344299999998</v>
      </c>
      <c r="I733" s="9">
        <f>STATS1003B!I764/1000</f>
        <v>0</v>
      </c>
      <c r="J733" s="9">
        <f>STATS1003B!J764/1000</f>
        <v>1184.6344299999998</v>
      </c>
      <c r="K733" s="9">
        <f>STATS1003B!K764/1000</f>
        <v>65.365570000000005</v>
      </c>
      <c r="L733" s="9">
        <f>STATS1003B!L764/1000</f>
        <v>0</v>
      </c>
      <c r="M733" s="9">
        <f>STATS1003B!M764/1000</f>
        <v>1184.6344299999998</v>
      </c>
      <c r="N733" s="9">
        <f>STATS1003B!N764/1000</f>
        <v>65.365570000000005</v>
      </c>
      <c r="O733" s="9">
        <f>STATS1003B!O764/1000</f>
        <v>0</v>
      </c>
      <c r="P733" s="9">
        <f>STATS1003B!P764/1000</f>
        <v>65.365570000000005</v>
      </c>
      <c r="Q733" s="9">
        <f>STATS1003B!Q764/1000</f>
        <v>1184.6344299999998</v>
      </c>
      <c r="R733" s="9">
        <f>STATS1003B!R764/1000</f>
        <v>0</v>
      </c>
      <c r="S733" s="9">
        <f>STATS1003B!S764/1000</f>
        <v>0</v>
      </c>
      <c r="T733" s="9">
        <f>STATS1003B!T764/1000</f>
        <v>0</v>
      </c>
      <c r="U733" s="9">
        <f>STATS1003B!U764/1000</f>
        <v>65.365570000000005</v>
      </c>
      <c r="V733" s="9">
        <f>STATS1003B!V764/1000</f>
        <v>1250</v>
      </c>
      <c r="W733" s="9">
        <f>STATS1003B!W764/1000</f>
        <v>0</v>
      </c>
      <c r="X733" s="9">
        <f>STATS1003B!X764/1000</f>
        <v>1250</v>
      </c>
      <c r="Y733" s="9">
        <f>STATS1003B!Y764/1000</f>
        <v>0</v>
      </c>
      <c r="Z733" s="9">
        <f>STATS1003B!Z764/1000</f>
        <v>0</v>
      </c>
      <c r="AA733" s="9">
        <f>STATS1003B!AA764/1000</f>
        <v>1250</v>
      </c>
      <c r="AB733" s="9">
        <f>STATS1003B!AB764/1000</f>
        <v>0</v>
      </c>
    </row>
    <row r="734" spans="1:28" x14ac:dyDescent="0.35">
      <c r="A734" s="36"/>
      <c r="B734" s="8"/>
      <c r="C734" s="7" t="s">
        <v>545</v>
      </c>
      <c r="D734" s="15" t="s">
        <v>54</v>
      </c>
      <c r="E734" s="9">
        <f>STATS1003B!E765/1000</f>
        <v>570.94100000000003</v>
      </c>
      <c r="F734" s="9">
        <f>STATS1003B!F765/1000</f>
        <v>0</v>
      </c>
      <c r="G734" s="9">
        <f>STATS1003B!G765/1000</f>
        <v>0</v>
      </c>
      <c r="H734" s="9">
        <f>STATS1003B!H765/1000</f>
        <v>0</v>
      </c>
      <c r="I734" s="9">
        <f>STATS1003B!I765/1000</f>
        <v>0</v>
      </c>
      <c r="J734" s="9">
        <f>STATS1003B!J765/1000</f>
        <v>0</v>
      </c>
      <c r="K734" s="9">
        <f>STATS1003B!K765/1000</f>
        <v>570.94100000000003</v>
      </c>
      <c r="L734" s="9">
        <f>STATS1003B!L765/1000</f>
        <v>0</v>
      </c>
      <c r="M734" s="9">
        <f>STATS1003B!M765/1000</f>
        <v>0</v>
      </c>
      <c r="N734" s="9">
        <f>STATS1003B!N765/1000</f>
        <v>570.94100000000003</v>
      </c>
      <c r="O734" s="9">
        <f>STATS1003B!O765/1000</f>
        <v>0</v>
      </c>
      <c r="P734" s="9">
        <f>STATS1003B!P765/1000</f>
        <v>570.94100000000003</v>
      </c>
      <c r="Q734" s="9">
        <f>STATS1003B!Q765/1000</f>
        <v>0</v>
      </c>
      <c r="R734" s="9">
        <f>STATS1003B!R765/1000</f>
        <v>0</v>
      </c>
      <c r="S734" s="9">
        <f>STATS1003B!S765/1000</f>
        <v>0</v>
      </c>
      <c r="T734" s="9">
        <f>STATS1003B!T765/1000</f>
        <v>0</v>
      </c>
      <c r="U734" s="9">
        <f>STATS1003B!U765/1000</f>
        <v>570.94100000000003</v>
      </c>
      <c r="V734" s="9">
        <f>STATS1003B!V765/1000</f>
        <v>570.94100000000003</v>
      </c>
      <c r="W734" s="9">
        <f>STATS1003B!W765/1000</f>
        <v>0</v>
      </c>
      <c r="X734" s="9">
        <f>STATS1003B!X765/1000</f>
        <v>570.94100000000003</v>
      </c>
      <c r="Y734" s="9">
        <f>STATS1003B!Y765/1000</f>
        <v>0</v>
      </c>
      <c r="Z734" s="9">
        <f>STATS1003B!Z765/1000</f>
        <v>0</v>
      </c>
      <c r="AA734" s="9">
        <f>STATS1003B!AA765/1000</f>
        <v>570.94100000000003</v>
      </c>
      <c r="AB734" s="9">
        <f>STATS1003B!AB765/1000</f>
        <v>0</v>
      </c>
    </row>
    <row r="735" spans="1:28" x14ac:dyDescent="0.35">
      <c r="A735" s="36"/>
      <c r="B735" s="8"/>
      <c r="C735" s="7" t="s">
        <v>535</v>
      </c>
      <c r="D735" s="15" t="s">
        <v>54</v>
      </c>
      <c r="E735" s="9">
        <f>STATS1003B!E766/1000</f>
        <v>283</v>
      </c>
      <c r="F735" s="9">
        <f>STATS1003B!F766/1000</f>
        <v>283</v>
      </c>
      <c r="G735" s="9">
        <f>STATS1003B!G766/1000</f>
        <v>0</v>
      </c>
      <c r="H735" s="9">
        <f>STATS1003B!H766/1000</f>
        <v>283</v>
      </c>
      <c r="I735" s="9">
        <f>STATS1003B!I766/1000</f>
        <v>0</v>
      </c>
      <c r="J735" s="9">
        <f>STATS1003B!J766/1000</f>
        <v>283</v>
      </c>
      <c r="K735" s="9">
        <f>STATS1003B!K766/1000</f>
        <v>0</v>
      </c>
      <c r="L735" s="9">
        <f>STATS1003B!L766/1000</f>
        <v>0</v>
      </c>
      <c r="M735" s="9">
        <f>STATS1003B!M766/1000</f>
        <v>283</v>
      </c>
      <c r="N735" s="9">
        <f>STATS1003B!N766/1000</f>
        <v>0</v>
      </c>
      <c r="O735" s="9">
        <f>STATS1003B!O766/1000</f>
        <v>0</v>
      </c>
      <c r="P735" s="9">
        <f>STATS1003B!P766/1000</f>
        <v>0</v>
      </c>
      <c r="Q735" s="9">
        <f>STATS1003B!Q766/1000</f>
        <v>283</v>
      </c>
      <c r="R735" s="9">
        <f>STATS1003B!R766/1000</f>
        <v>0</v>
      </c>
      <c r="S735" s="9">
        <f>STATS1003B!S766/1000</f>
        <v>0</v>
      </c>
      <c r="T735" s="9">
        <f>STATS1003B!T766/1000</f>
        <v>0</v>
      </c>
      <c r="U735" s="9">
        <f>STATS1003B!U766/1000</f>
        <v>0</v>
      </c>
      <c r="V735" s="9">
        <f>STATS1003B!V766/1000</f>
        <v>283</v>
      </c>
      <c r="W735" s="9">
        <f>STATS1003B!W766/1000</f>
        <v>0</v>
      </c>
      <c r="X735" s="9">
        <f>STATS1003B!X766/1000</f>
        <v>283</v>
      </c>
      <c r="Y735" s="9">
        <f>STATS1003B!Y766/1000</f>
        <v>0</v>
      </c>
      <c r="Z735" s="9">
        <f>STATS1003B!Z766/1000</f>
        <v>0</v>
      </c>
      <c r="AA735" s="9">
        <f>STATS1003B!AA766/1000</f>
        <v>283</v>
      </c>
      <c r="AB735" s="9">
        <f>STATS1003B!AB766/1000</f>
        <v>0</v>
      </c>
    </row>
    <row r="736" spans="1:28" x14ac:dyDescent="0.35">
      <c r="A736" s="36"/>
      <c r="B736" s="8"/>
      <c r="C736" s="7" t="s">
        <v>535</v>
      </c>
      <c r="D736" s="15" t="s">
        <v>85</v>
      </c>
      <c r="E736" s="9">
        <f>STATS1003B!E767/1000</f>
        <v>432</v>
      </c>
      <c r="F736" s="9">
        <f>STATS1003B!F767/1000</f>
        <v>432</v>
      </c>
      <c r="G736" s="9">
        <f>STATS1003B!G767/1000</f>
        <v>0</v>
      </c>
      <c r="H736" s="9">
        <f>STATS1003B!H767/1000</f>
        <v>432</v>
      </c>
      <c r="I736" s="9">
        <f>STATS1003B!I767/1000</f>
        <v>0</v>
      </c>
      <c r="J736" s="9">
        <f>STATS1003B!J767/1000</f>
        <v>432</v>
      </c>
      <c r="K736" s="9">
        <f>STATS1003B!K767/1000</f>
        <v>0</v>
      </c>
      <c r="L736" s="9">
        <f>STATS1003B!L767/1000</f>
        <v>0</v>
      </c>
      <c r="M736" s="9">
        <f>STATS1003B!M767/1000</f>
        <v>432</v>
      </c>
      <c r="N736" s="9">
        <f>STATS1003B!N767/1000</f>
        <v>0</v>
      </c>
      <c r="O736" s="9">
        <f>STATS1003B!O767/1000</f>
        <v>0</v>
      </c>
      <c r="P736" s="9">
        <f>STATS1003B!P767/1000</f>
        <v>0</v>
      </c>
      <c r="Q736" s="9">
        <f>STATS1003B!Q767/1000</f>
        <v>432</v>
      </c>
      <c r="R736" s="9">
        <f>STATS1003B!R767/1000</f>
        <v>0</v>
      </c>
      <c r="S736" s="9">
        <f>STATS1003B!S767/1000</f>
        <v>0</v>
      </c>
      <c r="T736" s="9">
        <f>STATS1003B!T767/1000</f>
        <v>0</v>
      </c>
      <c r="U736" s="9">
        <f>STATS1003B!U767/1000</f>
        <v>0</v>
      </c>
      <c r="V736" s="9">
        <f>STATS1003B!V767/1000</f>
        <v>432</v>
      </c>
      <c r="W736" s="9">
        <f>STATS1003B!W767/1000</f>
        <v>0</v>
      </c>
      <c r="X736" s="9">
        <f>STATS1003B!X767/1000</f>
        <v>432</v>
      </c>
      <c r="Y736" s="9">
        <f>STATS1003B!Y767/1000</f>
        <v>0</v>
      </c>
      <c r="Z736" s="9">
        <f>STATS1003B!Z767/1000</f>
        <v>0</v>
      </c>
      <c r="AA736" s="9">
        <f>STATS1003B!AA767/1000</f>
        <v>432</v>
      </c>
      <c r="AB736" s="9">
        <f>STATS1003B!AB767/1000</f>
        <v>0</v>
      </c>
    </row>
    <row r="737" spans="1:28" x14ac:dyDescent="0.35">
      <c r="A737" s="36"/>
      <c r="B737" s="8"/>
      <c r="C737" s="7" t="s">
        <v>629</v>
      </c>
      <c r="D737" s="15" t="s">
        <v>128</v>
      </c>
      <c r="E737" s="9">
        <f>STATS1003B!E768/1000</f>
        <v>600</v>
      </c>
      <c r="F737" s="9">
        <f>STATS1003B!F768/1000</f>
        <v>600</v>
      </c>
      <c r="G737" s="9">
        <f>STATS1003B!G768/1000</f>
        <v>0</v>
      </c>
      <c r="H737" s="9">
        <f>STATS1003B!H768/1000</f>
        <v>600</v>
      </c>
      <c r="I737" s="9">
        <f>STATS1003B!I768/1000</f>
        <v>0</v>
      </c>
      <c r="J737" s="9">
        <f>STATS1003B!J768/1000</f>
        <v>600</v>
      </c>
      <c r="K737" s="9">
        <f>STATS1003B!K768/1000</f>
        <v>0</v>
      </c>
      <c r="L737" s="9">
        <f>STATS1003B!L768/1000</f>
        <v>0</v>
      </c>
      <c r="M737" s="9">
        <f>STATS1003B!M768/1000</f>
        <v>600</v>
      </c>
      <c r="N737" s="9">
        <f>STATS1003B!N768/1000</f>
        <v>0</v>
      </c>
      <c r="O737" s="9">
        <f>STATS1003B!O768/1000</f>
        <v>0</v>
      </c>
      <c r="P737" s="9">
        <f>STATS1003B!P768/1000</f>
        <v>0</v>
      </c>
      <c r="Q737" s="9">
        <f>STATS1003B!Q768/1000</f>
        <v>600</v>
      </c>
      <c r="R737" s="9">
        <f>STATS1003B!R768/1000</f>
        <v>0</v>
      </c>
      <c r="S737" s="9">
        <f>STATS1003B!S768/1000</f>
        <v>0</v>
      </c>
      <c r="T737" s="9">
        <f>STATS1003B!T768/1000</f>
        <v>0</v>
      </c>
      <c r="U737" s="9">
        <f>STATS1003B!U768/1000</f>
        <v>0</v>
      </c>
      <c r="V737" s="9">
        <f>STATS1003B!V768/1000</f>
        <v>600</v>
      </c>
      <c r="W737" s="9">
        <f>STATS1003B!W768/1000</f>
        <v>0</v>
      </c>
      <c r="X737" s="9">
        <f>STATS1003B!X768/1000</f>
        <v>600</v>
      </c>
      <c r="Y737" s="9">
        <f>STATS1003B!Y768/1000</f>
        <v>0</v>
      </c>
      <c r="Z737" s="9">
        <f>STATS1003B!Z768/1000</f>
        <v>0</v>
      </c>
      <c r="AA737" s="9">
        <f>STATS1003B!AA768/1000</f>
        <v>600</v>
      </c>
      <c r="AB737" s="9">
        <f>STATS1003B!AB768/1000</f>
        <v>0</v>
      </c>
    </row>
    <row r="738" spans="1:28" x14ac:dyDescent="0.35">
      <c r="A738" s="36"/>
      <c r="B738" s="8"/>
      <c r="C738" s="7" t="s">
        <v>535</v>
      </c>
      <c r="D738" s="15" t="s">
        <v>128</v>
      </c>
      <c r="E738" s="9">
        <f>STATS1003B!E769/1000</f>
        <v>477</v>
      </c>
      <c r="F738" s="9">
        <f>STATS1003B!F769/1000</f>
        <v>477</v>
      </c>
      <c r="G738" s="9">
        <f>STATS1003B!G769/1000</f>
        <v>0</v>
      </c>
      <c r="H738" s="9">
        <f>STATS1003B!H769/1000</f>
        <v>477</v>
      </c>
      <c r="I738" s="9">
        <f>STATS1003B!I769/1000</f>
        <v>0</v>
      </c>
      <c r="J738" s="9">
        <f>STATS1003B!J769/1000</f>
        <v>477</v>
      </c>
      <c r="K738" s="9">
        <f>STATS1003B!K769/1000</f>
        <v>0</v>
      </c>
      <c r="L738" s="9">
        <f>STATS1003B!L769/1000</f>
        <v>0</v>
      </c>
      <c r="M738" s="9">
        <f>STATS1003B!M769/1000</f>
        <v>477</v>
      </c>
      <c r="N738" s="9">
        <f>STATS1003B!N769/1000</f>
        <v>0</v>
      </c>
      <c r="O738" s="9">
        <f>STATS1003B!O769/1000</f>
        <v>0</v>
      </c>
      <c r="P738" s="9">
        <f>STATS1003B!P769/1000</f>
        <v>0</v>
      </c>
      <c r="Q738" s="9">
        <f>STATS1003B!Q769/1000</f>
        <v>477</v>
      </c>
      <c r="R738" s="9">
        <f>STATS1003B!R769/1000</f>
        <v>0</v>
      </c>
      <c r="S738" s="9">
        <f>STATS1003B!S769/1000</f>
        <v>0</v>
      </c>
      <c r="T738" s="9">
        <f>STATS1003B!T769/1000</f>
        <v>0</v>
      </c>
      <c r="U738" s="9">
        <f>STATS1003B!U769/1000</f>
        <v>0</v>
      </c>
      <c r="V738" s="9">
        <f>STATS1003B!V769/1000</f>
        <v>477</v>
      </c>
      <c r="W738" s="9">
        <f>STATS1003B!W769/1000</f>
        <v>0</v>
      </c>
      <c r="X738" s="9">
        <f>STATS1003B!X769/1000</f>
        <v>477</v>
      </c>
      <c r="Y738" s="9">
        <f>STATS1003B!Y769/1000</f>
        <v>0</v>
      </c>
      <c r="Z738" s="9">
        <f>STATS1003B!Z769/1000</f>
        <v>0</v>
      </c>
      <c r="AA738" s="9">
        <f>STATS1003B!AA769/1000</f>
        <v>477</v>
      </c>
      <c r="AB738" s="9">
        <f>STATS1003B!AB769/1000</f>
        <v>0</v>
      </c>
    </row>
    <row r="739" spans="1:28" x14ac:dyDescent="0.35">
      <c r="A739" s="36"/>
      <c r="B739" s="8"/>
      <c r="C739" s="7" t="s">
        <v>630</v>
      </c>
      <c r="D739" s="15" t="s">
        <v>128</v>
      </c>
      <c r="E739" s="9">
        <f>STATS1003B!E770/1000</f>
        <v>400</v>
      </c>
      <c r="F739" s="9">
        <f>STATS1003B!F770/1000</f>
        <v>400</v>
      </c>
      <c r="G739" s="9">
        <f>STATS1003B!G770/1000</f>
        <v>0</v>
      </c>
      <c r="H739" s="9">
        <f>STATS1003B!H770/1000</f>
        <v>400</v>
      </c>
      <c r="I739" s="9">
        <f>STATS1003B!I770/1000</f>
        <v>0</v>
      </c>
      <c r="J739" s="9">
        <f>STATS1003B!J770/1000</f>
        <v>400</v>
      </c>
      <c r="K739" s="9">
        <f>STATS1003B!K770/1000</f>
        <v>0</v>
      </c>
      <c r="L739" s="9">
        <f>STATS1003B!L770/1000</f>
        <v>0</v>
      </c>
      <c r="M739" s="9">
        <f>STATS1003B!M770/1000</f>
        <v>400</v>
      </c>
      <c r="N739" s="9">
        <f>STATS1003B!N770/1000</f>
        <v>0</v>
      </c>
      <c r="O739" s="9">
        <f>STATS1003B!O770/1000</f>
        <v>0</v>
      </c>
      <c r="P739" s="9">
        <f>STATS1003B!P770/1000</f>
        <v>0</v>
      </c>
      <c r="Q739" s="9">
        <f>STATS1003B!Q770/1000</f>
        <v>400</v>
      </c>
      <c r="R739" s="9">
        <f>STATS1003B!R770/1000</f>
        <v>0</v>
      </c>
      <c r="S739" s="9">
        <f>STATS1003B!S770/1000</f>
        <v>0</v>
      </c>
      <c r="T739" s="9">
        <f>STATS1003B!T770/1000</f>
        <v>0</v>
      </c>
      <c r="U739" s="9">
        <f>STATS1003B!U770/1000</f>
        <v>0</v>
      </c>
      <c r="V739" s="9">
        <f>STATS1003B!V770/1000</f>
        <v>400</v>
      </c>
      <c r="W739" s="9">
        <f>STATS1003B!W770/1000</f>
        <v>0</v>
      </c>
      <c r="X739" s="9">
        <f>STATS1003B!X770/1000</f>
        <v>400</v>
      </c>
      <c r="Y739" s="9">
        <f>STATS1003B!Y770/1000</f>
        <v>0</v>
      </c>
      <c r="Z739" s="9">
        <f>STATS1003B!Z770/1000</f>
        <v>0</v>
      </c>
      <c r="AA739" s="9">
        <f>STATS1003B!AA770/1000</f>
        <v>400</v>
      </c>
      <c r="AB739" s="9">
        <f>STATS1003B!AB770/1000</f>
        <v>0</v>
      </c>
    </row>
    <row r="740" spans="1:28" x14ac:dyDescent="0.35">
      <c r="A740" s="36"/>
      <c r="B740" s="8"/>
      <c r="C740" s="7" t="s">
        <v>535</v>
      </c>
      <c r="D740" s="15" t="s">
        <v>88</v>
      </c>
      <c r="E740" s="9">
        <f>STATS1003B!E771/1000</f>
        <v>1100</v>
      </c>
      <c r="F740" s="9">
        <f>STATS1003B!F771/1000</f>
        <v>1100</v>
      </c>
      <c r="G740" s="9">
        <f>STATS1003B!G771/1000</f>
        <v>0</v>
      </c>
      <c r="H740" s="9">
        <f>STATS1003B!H771/1000</f>
        <v>1100</v>
      </c>
      <c r="I740" s="9">
        <f>STATS1003B!I771/1000</f>
        <v>0</v>
      </c>
      <c r="J740" s="9">
        <f>STATS1003B!J771/1000</f>
        <v>1100</v>
      </c>
      <c r="K740" s="9">
        <f>STATS1003B!K771/1000</f>
        <v>0</v>
      </c>
      <c r="L740" s="9">
        <f>STATS1003B!L771/1000</f>
        <v>0</v>
      </c>
      <c r="M740" s="9">
        <f>STATS1003B!M771/1000</f>
        <v>1100</v>
      </c>
      <c r="N740" s="9">
        <f>STATS1003B!N771/1000</f>
        <v>0</v>
      </c>
      <c r="O740" s="9">
        <f>STATS1003B!O771/1000</f>
        <v>0</v>
      </c>
      <c r="P740" s="9">
        <f>STATS1003B!P771/1000</f>
        <v>0</v>
      </c>
      <c r="Q740" s="9">
        <f>STATS1003B!Q771/1000</f>
        <v>1100</v>
      </c>
      <c r="R740" s="9">
        <f>STATS1003B!R771/1000</f>
        <v>0</v>
      </c>
      <c r="S740" s="9">
        <f>STATS1003B!S771/1000</f>
        <v>0</v>
      </c>
      <c r="T740" s="9">
        <f>STATS1003B!T771/1000</f>
        <v>0</v>
      </c>
      <c r="U740" s="9">
        <f>STATS1003B!U771/1000</f>
        <v>0</v>
      </c>
      <c r="V740" s="9">
        <f>STATS1003B!V771/1000</f>
        <v>1100</v>
      </c>
      <c r="W740" s="9">
        <f>STATS1003B!W771/1000</f>
        <v>0</v>
      </c>
      <c r="X740" s="9">
        <f>STATS1003B!X771/1000</f>
        <v>1100</v>
      </c>
      <c r="Y740" s="9">
        <f>STATS1003B!Y771/1000</f>
        <v>0</v>
      </c>
      <c r="Z740" s="9">
        <f>STATS1003B!Z771/1000</f>
        <v>0</v>
      </c>
      <c r="AA740" s="9">
        <f>STATS1003B!AA771/1000</f>
        <v>1100</v>
      </c>
      <c r="AB740" s="9">
        <f>STATS1003B!AB771/1000</f>
        <v>0</v>
      </c>
    </row>
    <row r="741" spans="1:28" x14ac:dyDescent="0.35">
      <c r="A741" s="36"/>
      <c r="B741" s="8"/>
      <c r="C741" s="7" t="s">
        <v>535</v>
      </c>
      <c r="D741" s="15" t="s">
        <v>58</v>
      </c>
      <c r="E741" s="9">
        <f>STATS1003B!E772/1000</f>
        <v>1234.67</v>
      </c>
      <c r="F741" s="9">
        <f>STATS1003B!F772/1000</f>
        <v>1234.67</v>
      </c>
      <c r="G741" s="9">
        <f>STATS1003B!G772/1000</f>
        <v>0</v>
      </c>
      <c r="H741" s="9">
        <f>STATS1003B!H772/1000</f>
        <v>1234.67</v>
      </c>
      <c r="I741" s="9">
        <f>STATS1003B!I772/1000</f>
        <v>0</v>
      </c>
      <c r="J741" s="9">
        <f>STATS1003B!J772/1000</f>
        <v>1234.67</v>
      </c>
      <c r="K741" s="9">
        <f>STATS1003B!K772/1000</f>
        <v>0</v>
      </c>
      <c r="L741" s="9">
        <f>STATS1003B!L772/1000</f>
        <v>0</v>
      </c>
      <c r="M741" s="9">
        <f>STATS1003B!M772/1000</f>
        <v>1234.67</v>
      </c>
      <c r="N741" s="9">
        <f>STATS1003B!N772/1000</f>
        <v>0</v>
      </c>
      <c r="O741" s="9">
        <f>STATS1003B!O772/1000</f>
        <v>0</v>
      </c>
      <c r="P741" s="9">
        <f>STATS1003B!P772/1000</f>
        <v>0</v>
      </c>
      <c r="Q741" s="9">
        <f>STATS1003B!Q772/1000</f>
        <v>1234.67</v>
      </c>
      <c r="R741" s="9">
        <f>STATS1003B!R772/1000</f>
        <v>0</v>
      </c>
      <c r="S741" s="9">
        <f>STATS1003B!S772/1000</f>
        <v>0</v>
      </c>
      <c r="T741" s="9">
        <f>STATS1003B!T772/1000</f>
        <v>0</v>
      </c>
      <c r="U741" s="9">
        <f>STATS1003B!U772/1000</f>
        <v>0</v>
      </c>
      <c r="V741" s="9">
        <f>STATS1003B!V772/1000</f>
        <v>1234.67</v>
      </c>
      <c r="W741" s="9">
        <f>STATS1003B!W772/1000</f>
        <v>0</v>
      </c>
      <c r="X741" s="9">
        <f>STATS1003B!X772/1000</f>
        <v>1234.67</v>
      </c>
      <c r="Y741" s="9">
        <f>STATS1003B!Y772/1000</f>
        <v>0</v>
      </c>
      <c r="Z741" s="9">
        <f>STATS1003B!Z772/1000</f>
        <v>0</v>
      </c>
      <c r="AA741" s="9">
        <f>STATS1003B!AA772/1000</f>
        <v>1234.67</v>
      </c>
      <c r="AB741" s="9">
        <f>STATS1003B!AB772/1000</f>
        <v>0</v>
      </c>
    </row>
    <row r="742" spans="1:28" x14ac:dyDescent="0.35">
      <c r="A742" s="36"/>
      <c r="B742" s="8"/>
      <c r="C742" s="14" t="s">
        <v>535</v>
      </c>
      <c r="D742" s="21" t="s">
        <v>73</v>
      </c>
      <c r="E742" s="9">
        <f>STATS1003B!E773/1000</f>
        <v>492</v>
      </c>
      <c r="F742" s="9">
        <f>STATS1003B!F773/1000</f>
        <v>492</v>
      </c>
      <c r="G742" s="9">
        <f>STATS1003B!G773/1000</f>
        <v>0</v>
      </c>
      <c r="H742" s="9">
        <f>STATS1003B!H773/1000</f>
        <v>492</v>
      </c>
      <c r="I742" s="9">
        <f>STATS1003B!I773/1000</f>
        <v>0</v>
      </c>
      <c r="J742" s="9">
        <f>STATS1003B!J773/1000</f>
        <v>492</v>
      </c>
      <c r="K742" s="9">
        <f>STATS1003B!K773/1000</f>
        <v>0</v>
      </c>
      <c r="L742" s="9">
        <f>STATS1003B!L773/1000</f>
        <v>0</v>
      </c>
      <c r="M742" s="9">
        <f>STATS1003B!M773/1000</f>
        <v>492</v>
      </c>
      <c r="N742" s="9">
        <f>STATS1003B!N773/1000</f>
        <v>0</v>
      </c>
      <c r="O742" s="9">
        <f>STATS1003B!O773/1000</f>
        <v>0</v>
      </c>
      <c r="P742" s="9">
        <f>STATS1003B!P773/1000</f>
        <v>0</v>
      </c>
      <c r="Q742" s="9">
        <f>STATS1003B!Q773/1000</f>
        <v>492</v>
      </c>
      <c r="R742" s="9">
        <f>STATS1003B!R773/1000</f>
        <v>0</v>
      </c>
      <c r="S742" s="9">
        <f>STATS1003B!S773/1000</f>
        <v>0</v>
      </c>
      <c r="T742" s="9">
        <f>STATS1003B!T773/1000</f>
        <v>0</v>
      </c>
      <c r="U742" s="9">
        <f>STATS1003B!U773/1000</f>
        <v>0</v>
      </c>
      <c r="V742" s="9">
        <f>STATS1003B!V773/1000</f>
        <v>492</v>
      </c>
      <c r="W742" s="9">
        <f>STATS1003B!W773/1000</f>
        <v>0</v>
      </c>
      <c r="X742" s="9">
        <f>STATS1003B!X773/1000</f>
        <v>492</v>
      </c>
      <c r="Y742" s="9">
        <f>STATS1003B!Y773/1000</f>
        <v>0</v>
      </c>
      <c r="Z742" s="9">
        <f>STATS1003B!Z773/1000</f>
        <v>0</v>
      </c>
      <c r="AA742" s="9">
        <f>STATS1003B!AA773/1000</f>
        <v>492</v>
      </c>
      <c r="AB742" s="9">
        <f>STATS1003B!AB773/1000</f>
        <v>0</v>
      </c>
    </row>
    <row r="743" spans="1:28" x14ac:dyDescent="0.35">
      <c r="A743" s="36"/>
      <c r="B743" s="8"/>
      <c r="C743" s="14" t="s">
        <v>535</v>
      </c>
      <c r="D743" s="21" t="s">
        <v>61</v>
      </c>
      <c r="E743" s="9">
        <f>STATS1003B!E774/1000</f>
        <v>434</v>
      </c>
      <c r="F743" s="9">
        <f>STATS1003B!F774/1000</f>
        <v>434</v>
      </c>
      <c r="G743" s="9">
        <f>STATS1003B!G774/1000</f>
        <v>0</v>
      </c>
      <c r="H743" s="9">
        <f>STATS1003B!H774/1000</f>
        <v>434</v>
      </c>
      <c r="I743" s="9">
        <f>STATS1003B!I774/1000</f>
        <v>0</v>
      </c>
      <c r="J743" s="9">
        <f>STATS1003B!J774/1000</f>
        <v>434</v>
      </c>
      <c r="K743" s="9">
        <f>STATS1003B!K774/1000</f>
        <v>0</v>
      </c>
      <c r="L743" s="9">
        <f>STATS1003B!L774/1000</f>
        <v>0</v>
      </c>
      <c r="M743" s="9">
        <f>STATS1003B!M774/1000</f>
        <v>434</v>
      </c>
      <c r="N743" s="9">
        <f>STATS1003B!N774/1000</f>
        <v>0</v>
      </c>
      <c r="O743" s="9">
        <f>STATS1003B!O774/1000</f>
        <v>0</v>
      </c>
      <c r="P743" s="9">
        <f>STATS1003B!P774/1000</f>
        <v>0</v>
      </c>
      <c r="Q743" s="9">
        <f>STATS1003B!Q774/1000</f>
        <v>434</v>
      </c>
      <c r="R743" s="9">
        <f>STATS1003B!R774/1000</f>
        <v>0</v>
      </c>
      <c r="S743" s="9">
        <f>STATS1003B!S774/1000</f>
        <v>0</v>
      </c>
      <c r="T743" s="9">
        <f>STATS1003B!T774/1000</f>
        <v>0</v>
      </c>
      <c r="U743" s="9">
        <f>STATS1003B!U774/1000</f>
        <v>0</v>
      </c>
      <c r="V743" s="9">
        <f>STATS1003B!V774/1000</f>
        <v>434</v>
      </c>
      <c r="W743" s="9">
        <f>STATS1003B!W774/1000</f>
        <v>0</v>
      </c>
      <c r="X743" s="9">
        <f>STATS1003B!X774/1000</f>
        <v>434</v>
      </c>
      <c r="Y743" s="9">
        <f>STATS1003B!Y774/1000</f>
        <v>0</v>
      </c>
      <c r="Z743" s="9">
        <f>STATS1003B!Z774/1000</f>
        <v>0</v>
      </c>
      <c r="AA743" s="9">
        <f>STATS1003B!AA774/1000</f>
        <v>434</v>
      </c>
      <c r="AB743" s="9">
        <f>STATS1003B!AB774/1000</f>
        <v>0</v>
      </c>
    </row>
    <row r="744" spans="1:28" x14ac:dyDescent="0.35">
      <c r="A744" s="36"/>
      <c r="B744" s="8"/>
      <c r="C744" s="14" t="s">
        <v>933</v>
      </c>
      <c r="D744" s="24" t="s">
        <v>1072</v>
      </c>
      <c r="E744" s="9">
        <f>STATS1003B!E776/1000</f>
        <v>343</v>
      </c>
      <c r="F744" s="9">
        <f>STATS1003B!F776/1000</f>
        <v>343</v>
      </c>
      <c r="G744" s="9">
        <f>STATS1003B!G776/1000</f>
        <v>0</v>
      </c>
      <c r="H744" s="9">
        <f>STATS1003B!H776/1000</f>
        <v>343</v>
      </c>
      <c r="I744" s="9">
        <f>STATS1003B!I776/1000</f>
        <v>0</v>
      </c>
      <c r="J744" s="9">
        <f>STATS1003B!J776/1000</f>
        <v>343</v>
      </c>
      <c r="K744" s="9">
        <f>STATS1003B!K776/1000</f>
        <v>0</v>
      </c>
      <c r="L744" s="9">
        <f>STATS1003B!L776/1000</f>
        <v>0</v>
      </c>
      <c r="M744" s="9">
        <f>STATS1003B!M776/1000</f>
        <v>343</v>
      </c>
      <c r="N744" s="9">
        <f>STATS1003B!N776/1000</f>
        <v>0</v>
      </c>
      <c r="O744" s="9">
        <f>STATS1003B!O776/1000</f>
        <v>0</v>
      </c>
      <c r="P744" s="9">
        <f>STATS1003B!P776/1000</f>
        <v>0</v>
      </c>
      <c r="Q744" s="9">
        <f>STATS1003B!Q776/1000</f>
        <v>343</v>
      </c>
      <c r="R744" s="9">
        <f>STATS1003B!R776/1000</f>
        <v>0</v>
      </c>
      <c r="S744" s="9">
        <f>STATS1003B!S776/1000</f>
        <v>0</v>
      </c>
      <c r="T744" s="9">
        <f>STATS1003B!T776/1000</f>
        <v>0</v>
      </c>
      <c r="U744" s="9">
        <f>STATS1003B!U776/1000</f>
        <v>0</v>
      </c>
      <c r="V744" s="9">
        <f>STATS1003B!V776/1000</f>
        <v>343</v>
      </c>
      <c r="W744" s="9">
        <f>STATS1003B!W776/1000</f>
        <v>0</v>
      </c>
      <c r="X744" s="9">
        <f>STATS1003B!X776/1000</f>
        <v>343</v>
      </c>
      <c r="Y744" s="9">
        <f>STATS1003B!Y776/1000</f>
        <v>0</v>
      </c>
      <c r="Z744" s="9">
        <f>STATS1003B!Z776/1000</f>
        <v>0</v>
      </c>
      <c r="AA744" s="9">
        <f>STATS1003B!AA776/1000</f>
        <v>343</v>
      </c>
      <c r="AB744" s="9">
        <f>STATS1003B!AB776/1000</f>
        <v>0</v>
      </c>
    </row>
    <row r="745" spans="1:28" x14ac:dyDescent="0.35">
      <c r="A745" s="36"/>
      <c r="B745" s="8"/>
      <c r="C745" s="14" t="s">
        <v>567</v>
      </c>
      <c r="D745" s="21" t="s">
        <v>61</v>
      </c>
      <c r="E745" s="9">
        <f>STATS1003B!E778/1000</f>
        <v>500.74213000000003</v>
      </c>
      <c r="F745" s="9">
        <f>STATS1003B!F778/1000</f>
        <v>494.44582000000003</v>
      </c>
      <c r="G745" s="9">
        <f>STATS1003B!G778/1000</f>
        <v>0</v>
      </c>
      <c r="H745" s="9">
        <f>STATS1003B!H778/1000</f>
        <v>494.44582000000003</v>
      </c>
      <c r="I745" s="9">
        <f>STATS1003B!I778/1000</f>
        <v>0</v>
      </c>
      <c r="J745" s="9">
        <f>STATS1003B!J778/1000</f>
        <v>494.44582000000003</v>
      </c>
      <c r="K745" s="9">
        <f>STATS1003B!K778/1000</f>
        <v>0</v>
      </c>
      <c r="L745" s="9">
        <f>STATS1003B!L778/1000</f>
        <v>0</v>
      </c>
      <c r="M745" s="9">
        <f>STATS1003B!M778/1000</f>
        <v>494.44582000000003</v>
      </c>
      <c r="N745" s="9">
        <f>STATS1003B!N778/1000</f>
        <v>0</v>
      </c>
      <c r="O745" s="9">
        <f>STATS1003B!O778/1000</f>
        <v>0</v>
      </c>
      <c r="P745" s="9">
        <f>STATS1003B!P778/1000</f>
        <v>0</v>
      </c>
      <c r="Q745" s="9">
        <f>STATS1003B!Q778/1000</f>
        <v>500.74213000000003</v>
      </c>
      <c r="R745" s="9">
        <f>STATS1003B!R778/1000</f>
        <v>0</v>
      </c>
      <c r="S745" s="9">
        <f>STATS1003B!S778/1000</f>
        <v>0</v>
      </c>
      <c r="T745" s="9">
        <f>STATS1003B!T778/1000</f>
        <v>6.2963100000000001</v>
      </c>
      <c r="U745" s="9">
        <f>STATS1003B!U778/1000</f>
        <v>6.2963100000000001</v>
      </c>
      <c r="V745" s="9">
        <f>STATS1003B!V778/1000</f>
        <v>494.44582000000003</v>
      </c>
      <c r="W745" s="9">
        <f>STATS1003B!W778/1000</f>
        <v>6.2963099999999974</v>
      </c>
      <c r="X745" s="9">
        <f>STATS1003B!X778/1000</f>
        <v>494.44582000000003</v>
      </c>
      <c r="Y745" s="9">
        <f>STATS1003B!Y778/1000</f>
        <v>0</v>
      </c>
      <c r="Z745" s="9">
        <f>STATS1003B!Z778/1000</f>
        <v>6.2963099999999974</v>
      </c>
      <c r="AA745" s="9">
        <f>STATS1003B!AA778/1000</f>
        <v>500.74213000000003</v>
      </c>
      <c r="AB745" s="9">
        <f>STATS1003B!AB778/1000</f>
        <v>0</v>
      </c>
    </row>
    <row r="746" spans="1:28" x14ac:dyDescent="0.35">
      <c r="A746" s="36"/>
      <c r="B746" s="8"/>
      <c r="C746" s="7" t="s">
        <v>606</v>
      </c>
      <c r="D746" s="8"/>
      <c r="E746" s="9">
        <f>STATS1003B!E779/1000</f>
        <v>2105.1361099999999</v>
      </c>
      <c r="F746" s="9">
        <f>STATS1003B!F779/1000</f>
        <v>2105.1361099999999</v>
      </c>
      <c r="G746" s="9">
        <f>STATS1003B!G779/1000</f>
        <v>0</v>
      </c>
      <c r="H746" s="9">
        <f>STATS1003B!H779/1000</f>
        <v>2105.1361099999999</v>
      </c>
      <c r="I746" s="9">
        <f>STATS1003B!I779/1000</f>
        <v>3.0000000260770321E-6</v>
      </c>
      <c r="J746" s="9">
        <f>STATS1003B!J779/1000</f>
        <v>2105.136113</v>
      </c>
      <c r="K746" s="9">
        <f>STATS1003B!K779/1000</f>
        <v>0</v>
      </c>
      <c r="L746" s="9">
        <f>STATS1003B!L779/1000</f>
        <v>0</v>
      </c>
      <c r="M746" s="9">
        <f>STATS1003B!M779/1000</f>
        <v>2105.1361099999999</v>
      </c>
      <c r="N746" s="9">
        <f>STATS1003B!N779/1000</f>
        <v>0</v>
      </c>
      <c r="O746" s="9">
        <f>STATS1003B!O779/1000</f>
        <v>0</v>
      </c>
      <c r="P746" s="9">
        <f>STATS1003B!P779/1000</f>
        <v>0</v>
      </c>
      <c r="Q746" s="9">
        <f>STATS1003B!Q779/1000</f>
        <v>2105.1361099999999</v>
      </c>
      <c r="R746" s="9">
        <f>STATS1003B!R779/1000</f>
        <v>0</v>
      </c>
      <c r="S746" s="9">
        <f>STATS1003B!S779/1000</f>
        <v>0</v>
      </c>
      <c r="T746" s="9">
        <f>STATS1003B!T779/1000</f>
        <v>0</v>
      </c>
      <c r="U746" s="9">
        <f>STATS1003B!U779/1000</f>
        <v>0</v>
      </c>
      <c r="V746" s="9">
        <f>STATS1003B!V779/1000</f>
        <v>2105.1361099999999</v>
      </c>
      <c r="W746" s="9">
        <f>STATS1003B!W779/1000</f>
        <v>0</v>
      </c>
      <c r="X746" s="9">
        <f>STATS1003B!X779/1000</f>
        <v>2105.1361099999999</v>
      </c>
      <c r="Y746" s="9">
        <f>STATS1003B!Y779/1000</f>
        <v>0</v>
      </c>
      <c r="Z746" s="9">
        <f>STATS1003B!Z779/1000</f>
        <v>0</v>
      </c>
      <c r="AA746" s="9">
        <f>STATS1003B!AA779/1000</f>
        <v>2105.1361099999999</v>
      </c>
      <c r="AB746" s="9">
        <f>STATS1003B!AB779/1000</f>
        <v>0</v>
      </c>
    </row>
    <row r="747" spans="1:28" x14ac:dyDescent="0.35">
      <c r="A747" s="36"/>
      <c r="B747" s="8"/>
      <c r="C747" s="8"/>
      <c r="D747" s="8"/>
      <c r="E747" s="17" t="s">
        <v>29</v>
      </c>
      <c r="F747" s="17" t="s">
        <v>29</v>
      </c>
      <c r="G747" s="17" t="s">
        <v>29</v>
      </c>
      <c r="H747" s="17" t="s">
        <v>29</v>
      </c>
      <c r="I747" s="17" t="s">
        <v>29</v>
      </c>
      <c r="J747" s="17" t="s">
        <v>29</v>
      </c>
      <c r="K747" s="17" t="s">
        <v>29</v>
      </c>
      <c r="L747" s="17" t="s">
        <v>29</v>
      </c>
      <c r="M747" s="17" t="s">
        <v>29</v>
      </c>
      <c r="N747" s="17" t="s">
        <v>29</v>
      </c>
      <c r="O747" s="17" t="s">
        <v>29</v>
      </c>
      <c r="P747" s="17" t="s">
        <v>29</v>
      </c>
      <c r="Q747" s="17" t="s">
        <v>29</v>
      </c>
      <c r="R747" s="17" t="s">
        <v>29</v>
      </c>
      <c r="S747" s="17" t="s">
        <v>29</v>
      </c>
      <c r="T747" s="17" t="s">
        <v>29</v>
      </c>
      <c r="U747" s="17" t="s">
        <v>29</v>
      </c>
      <c r="V747" s="17" t="s">
        <v>29</v>
      </c>
      <c r="W747" s="17" t="s">
        <v>29</v>
      </c>
      <c r="X747" s="17" t="s">
        <v>29</v>
      </c>
      <c r="Y747" s="17" t="s">
        <v>29</v>
      </c>
      <c r="Z747" s="17" t="s">
        <v>29</v>
      </c>
      <c r="AA747" s="17" t="s">
        <v>29</v>
      </c>
      <c r="AB747" s="17" t="s">
        <v>29</v>
      </c>
    </row>
    <row r="748" spans="1:28" x14ac:dyDescent="0.35">
      <c r="A748" s="36"/>
      <c r="B748" s="8"/>
      <c r="C748" s="8"/>
      <c r="D748" s="8"/>
      <c r="E748" s="9">
        <f t="shared" ref="E748:Q748" si="52">SUM(E729:E747)</f>
        <v>16643.331480000001</v>
      </c>
      <c r="F748" s="9">
        <f t="shared" si="52"/>
        <v>14391.90655</v>
      </c>
      <c r="G748" s="9">
        <f t="shared" si="52"/>
        <v>0</v>
      </c>
      <c r="H748" s="9">
        <f t="shared" si="52"/>
        <v>14391.90655</v>
      </c>
      <c r="I748" s="9">
        <f t="shared" si="52"/>
        <v>3.0000000260770321E-6</v>
      </c>
      <c r="J748" s="9">
        <f t="shared" si="52"/>
        <v>14391.906553000001</v>
      </c>
      <c r="K748" s="9">
        <f t="shared" si="52"/>
        <v>2245.1286199999995</v>
      </c>
      <c r="L748" s="9">
        <f t="shared" si="52"/>
        <v>0</v>
      </c>
      <c r="M748" s="9">
        <f t="shared" si="52"/>
        <v>14391.90655</v>
      </c>
      <c r="N748" s="9">
        <f t="shared" si="52"/>
        <v>2245.12862</v>
      </c>
      <c r="O748" s="9">
        <f t="shared" si="52"/>
        <v>0</v>
      </c>
      <c r="P748" s="9">
        <f t="shared" si="52"/>
        <v>2245.12862</v>
      </c>
      <c r="Q748" s="9">
        <f t="shared" si="52"/>
        <v>14398.202859999999</v>
      </c>
      <c r="R748" s="17"/>
      <c r="S748" s="17"/>
      <c r="T748" s="9">
        <f t="shared" ref="T748:Z748" si="53">SUM(T729:T747)</f>
        <v>6.2963100000000001</v>
      </c>
      <c r="U748" s="9">
        <f t="shared" si="53"/>
        <v>2251.4249300000001</v>
      </c>
      <c r="V748" s="9">
        <f t="shared" si="53"/>
        <v>16637.035169999999</v>
      </c>
      <c r="W748" s="9">
        <f t="shared" si="53"/>
        <v>6.2963099999999974</v>
      </c>
      <c r="X748" s="9">
        <f t="shared" si="53"/>
        <v>16637.035169999999</v>
      </c>
      <c r="Y748" s="9">
        <f t="shared" si="53"/>
        <v>0</v>
      </c>
      <c r="Z748" s="9">
        <f t="shared" si="53"/>
        <v>6.2963099999999974</v>
      </c>
      <c r="AA748" s="9">
        <f>SUM(AA729:AA747)</f>
        <v>16643.331480000001</v>
      </c>
      <c r="AB748" s="9">
        <f>SUM(AB729:AB747)</f>
        <v>0</v>
      </c>
    </row>
    <row r="749" spans="1:28" x14ac:dyDescent="0.35">
      <c r="A749" s="36"/>
      <c r="B749" s="8"/>
      <c r="C749" s="8"/>
      <c r="D749" s="8"/>
      <c r="E749" s="17" t="s">
        <v>29</v>
      </c>
      <c r="F749" s="17" t="s">
        <v>29</v>
      </c>
      <c r="G749" s="17" t="s">
        <v>29</v>
      </c>
      <c r="H749" s="17" t="s">
        <v>29</v>
      </c>
      <c r="I749" s="17" t="s">
        <v>29</v>
      </c>
      <c r="J749" s="17" t="s">
        <v>29</v>
      </c>
      <c r="K749" s="17" t="s">
        <v>29</v>
      </c>
      <c r="L749" s="17" t="s">
        <v>29</v>
      </c>
      <c r="M749" s="17" t="s">
        <v>29</v>
      </c>
      <c r="N749" s="17" t="s">
        <v>29</v>
      </c>
      <c r="O749" s="17" t="s">
        <v>29</v>
      </c>
      <c r="P749" s="17" t="s">
        <v>29</v>
      </c>
      <c r="Q749" s="17" t="s">
        <v>29</v>
      </c>
      <c r="R749" s="17" t="s">
        <v>29</v>
      </c>
      <c r="S749" s="17" t="s">
        <v>29</v>
      </c>
      <c r="T749" s="17" t="s">
        <v>29</v>
      </c>
      <c r="U749" s="17" t="s">
        <v>29</v>
      </c>
      <c r="V749" s="17" t="s">
        <v>29</v>
      </c>
      <c r="W749" s="17" t="s">
        <v>29</v>
      </c>
      <c r="X749" s="17" t="s">
        <v>29</v>
      </c>
      <c r="Y749" s="17" t="s">
        <v>29</v>
      </c>
      <c r="Z749" s="17" t="s">
        <v>29</v>
      </c>
      <c r="AA749" s="17" t="s">
        <v>29</v>
      </c>
      <c r="AB749" s="17" t="s">
        <v>29</v>
      </c>
    </row>
    <row r="750" spans="1:28" x14ac:dyDescent="0.35">
      <c r="A750" s="38" t="s">
        <v>974</v>
      </c>
      <c r="B750" s="7" t="s">
        <v>631</v>
      </c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17"/>
      <c r="S750" s="17"/>
      <c r="T750" s="17"/>
      <c r="U750" s="17"/>
      <c r="V750" s="17"/>
      <c r="W750" s="17"/>
      <c r="X750" s="17"/>
      <c r="Y750" s="17"/>
      <c r="Z750" s="17"/>
    </row>
    <row r="751" spans="1:28" x14ac:dyDescent="0.35">
      <c r="A751" s="36"/>
      <c r="B751" s="8"/>
      <c r="C751" s="7" t="s">
        <v>632</v>
      </c>
      <c r="D751" s="15" t="s">
        <v>150</v>
      </c>
      <c r="E751" s="9">
        <f>STATS1003B!E784/1000</f>
        <v>30415.36102</v>
      </c>
      <c r="F751" s="9">
        <f>STATS1003B!F784/1000</f>
        <v>29897.836059999998</v>
      </c>
      <c r="G751" s="9">
        <f>STATS1003B!G784/1000</f>
        <v>0</v>
      </c>
      <c r="H751" s="9">
        <f>STATS1003B!H784/1000</f>
        <v>29897.836059999998</v>
      </c>
      <c r="I751" s="9">
        <f>STATS1003B!I784/1000</f>
        <v>0</v>
      </c>
      <c r="J751" s="9">
        <f>STATS1003B!J784/1000</f>
        <v>29897.836059999998</v>
      </c>
      <c r="K751" s="9">
        <f>STATS1003B!K784/1000</f>
        <v>517.52495999999996</v>
      </c>
      <c r="L751" s="9">
        <f>STATS1003B!L784/1000</f>
        <v>0</v>
      </c>
      <c r="M751" s="9">
        <f>STATS1003B!M784/1000</f>
        <v>29897.836059999998</v>
      </c>
      <c r="N751" s="9">
        <f>STATS1003B!N784/1000</f>
        <v>517.52495999999996</v>
      </c>
      <c r="O751" s="9">
        <f>STATS1003B!O784/1000</f>
        <v>0</v>
      </c>
      <c r="P751" s="9">
        <f>STATS1003B!P784/1000</f>
        <v>517.52495999999996</v>
      </c>
      <c r="Q751" s="9">
        <f>STATS1003B!Q784/1000</f>
        <v>29897.836059999998</v>
      </c>
      <c r="R751" s="9">
        <f>STATS1003B!R784/1000</f>
        <v>0</v>
      </c>
      <c r="S751" s="9">
        <f>STATS1003B!S784/1000</f>
        <v>0</v>
      </c>
      <c r="T751" s="9">
        <f>STATS1003B!T784/1000</f>
        <v>0</v>
      </c>
      <c r="U751" s="9">
        <f>STATS1003B!U784/1000</f>
        <v>517.52495999999996</v>
      </c>
      <c r="V751" s="9">
        <f>STATS1003B!V784/1000</f>
        <v>30415.36102</v>
      </c>
      <c r="W751" s="9">
        <f>STATS1003B!W784/1000</f>
        <v>0</v>
      </c>
      <c r="X751" s="9">
        <f>STATS1003B!X784/1000</f>
        <v>30415.36102</v>
      </c>
      <c r="Y751" s="9">
        <f>STATS1003B!Y784/1000</f>
        <v>0</v>
      </c>
      <c r="Z751" s="9">
        <f>STATS1003B!Z784/1000</f>
        <v>0</v>
      </c>
      <c r="AA751" s="9">
        <f>STATS1003B!AA784/1000</f>
        <v>30415.36102</v>
      </c>
      <c r="AB751" s="9">
        <f>STATS1003B!AB784/1000</f>
        <v>0</v>
      </c>
    </row>
    <row r="752" spans="1:28" x14ac:dyDescent="0.35">
      <c r="A752" s="36"/>
      <c r="B752" s="8"/>
      <c r="C752" s="7" t="s">
        <v>633</v>
      </c>
      <c r="D752" s="15" t="s">
        <v>150</v>
      </c>
      <c r="E752" s="9">
        <f>STATS1003B!E785/1000</f>
        <v>779.67492000000004</v>
      </c>
      <c r="F752" s="9">
        <f>STATS1003B!F785/1000</f>
        <v>636.173</v>
      </c>
      <c r="G752" s="9">
        <f>STATS1003B!G785/1000</f>
        <v>0</v>
      </c>
      <c r="H752" s="9">
        <f>STATS1003B!H785/1000</f>
        <v>636.173</v>
      </c>
      <c r="I752" s="9">
        <f>STATS1003B!I785/1000</f>
        <v>0</v>
      </c>
      <c r="J752" s="9">
        <f>STATS1003B!J785/1000</f>
        <v>636.173</v>
      </c>
      <c r="K752" s="9">
        <f>STATS1003B!K785/1000</f>
        <v>143.50192000000001</v>
      </c>
      <c r="L752" s="9">
        <f>STATS1003B!L785/1000</f>
        <v>0</v>
      </c>
      <c r="M752" s="9">
        <f>STATS1003B!M785/1000</f>
        <v>636.173</v>
      </c>
      <c r="N752" s="9">
        <f>STATS1003B!N785/1000</f>
        <v>143.50192000000001</v>
      </c>
      <c r="O752" s="9">
        <f>STATS1003B!O785/1000</f>
        <v>0</v>
      </c>
      <c r="P752" s="9">
        <f>STATS1003B!P785/1000</f>
        <v>143.50192000000001</v>
      </c>
      <c r="Q752" s="9">
        <f>STATS1003B!Q785/1000</f>
        <v>636.173</v>
      </c>
      <c r="R752" s="9">
        <f>STATS1003B!R785/1000</f>
        <v>0</v>
      </c>
      <c r="S752" s="9">
        <f>STATS1003B!S785/1000</f>
        <v>0</v>
      </c>
      <c r="T752" s="9">
        <f>STATS1003B!T785/1000</f>
        <v>0</v>
      </c>
      <c r="U752" s="9">
        <f>STATS1003B!U785/1000</f>
        <v>143.50192000000001</v>
      </c>
      <c r="V752" s="9">
        <f>STATS1003B!V785/1000</f>
        <v>779.67492000000004</v>
      </c>
      <c r="W752" s="9">
        <f>STATS1003B!W785/1000</f>
        <v>0</v>
      </c>
      <c r="X752" s="9">
        <f>STATS1003B!X785/1000</f>
        <v>779.67492000000004</v>
      </c>
      <c r="Y752" s="9">
        <f>STATS1003B!Y785/1000</f>
        <v>0</v>
      </c>
      <c r="Z752" s="9">
        <f>STATS1003B!Z785/1000</f>
        <v>0</v>
      </c>
      <c r="AA752" s="9">
        <f>STATS1003B!AA785/1000</f>
        <v>779.67492000000004</v>
      </c>
      <c r="AB752" s="9">
        <f>STATS1003B!AB785/1000</f>
        <v>0</v>
      </c>
    </row>
    <row r="753" spans="1:28" x14ac:dyDescent="0.35">
      <c r="A753" s="36"/>
      <c r="B753" s="8"/>
      <c r="C753" s="7" t="s">
        <v>634</v>
      </c>
      <c r="D753" s="15" t="s">
        <v>166</v>
      </c>
      <c r="E753" s="9">
        <f>STATS1003B!E786/1000</f>
        <v>550</v>
      </c>
      <c r="F753" s="9">
        <f>STATS1003B!F786/1000</f>
        <v>550</v>
      </c>
      <c r="G753" s="9">
        <f>STATS1003B!G786/1000</f>
        <v>0</v>
      </c>
      <c r="H753" s="9">
        <f>STATS1003B!H786/1000</f>
        <v>550</v>
      </c>
      <c r="I753" s="9">
        <f>STATS1003B!I786/1000</f>
        <v>0</v>
      </c>
      <c r="J753" s="9">
        <f>STATS1003B!J786/1000</f>
        <v>550</v>
      </c>
      <c r="K753" s="9">
        <f>STATS1003B!K786/1000</f>
        <v>0</v>
      </c>
      <c r="L753" s="9">
        <f>STATS1003B!L786/1000</f>
        <v>0</v>
      </c>
      <c r="M753" s="9">
        <f>STATS1003B!M786/1000</f>
        <v>550</v>
      </c>
      <c r="N753" s="9">
        <f>STATS1003B!N786/1000</f>
        <v>0</v>
      </c>
      <c r="O753" s="9">
        <f>STATS1003B!O786/1000</f>
        <v>0</v>
      </c>
      <c r="P753" s="9">
        <f>STATS1003B!P786/1000</f>
        <v>0</v>
      </c>
      <c r="Q753" s="9">
        <f>STATS1003B!Q786/1000</f>
        <v>550</v>
      </c>
      <c r="R753" s="9">
        <f>STATS1003B!R786/1000</f>
        <v>0</v>
      </c>
      <c r="S753" s="9">
        <f>STATS1003B!S786/1000</f>
        <v>0</v>
      </c>
      <c r="T753" s="9">
        <f>STATS1003B!T786/1000</f>
        <v>0</v>
      </c>
      <c r="U753" s="9">
        <f>STATS1003B!U786/1000</f>
        <v>0</v>
      </c>
      <c r="V753" s="9">
        <f>STATS1003B!V786/1000</f>
        <v>550</v>
      </c>
      <c r="W753" s="9">
        <f>STATS1003B!W786/1000</f>
        <v>0</v>
      </c>
      <c r="X753" s="9">
        <f>STATS1003B!X786/1000</f>
        <v>550</v>
      </c>
      <c r="Y753" s="9">
        <f>STATS1003B!Y786/1000</f>
        <v>0</v>
      </c>
      <c r="Z753" s="9">
        <f>STATS1003B!Z786/1000</f>
        <v>0</v>
      </c>
      <c r="AA753" s="9">
        <f>STATS1003B!AA786/1000</f>
        <v>550</v>
      </c>
      <c r="AB753" s="9">
        <f>STATS1003B!AB786/1000</f>
        <v>0</v>
      </c>
    </row>
    <row r="754" spans="1:28" x14ac:dyDescent="0.35">
      <c r="A754" s="36"/>
      <c r="B754" s="8"/>
      <c r="C754" s="7" t="s">
        <v>635</v>
      </c>
      <c r="D754" s="15" t="s">
        <v>166</v>
      </c>
      <c r="E754" s="9">
        <f>STATS1003B!E787/1000</f>
        <v>60.142449999999954</v>
      </c>
      <c r="F754" s="9">
        <f>STATS1003B!F787/1000</f>
        <v>0</v>
      </c>
      <c r="G754" s="9">
        <f>STATS1003B!G787/1000</f>
        <v>0</v>
      </c>
      <c r="H754" s="9">
        <f>STATS1003B!H787/1000</f>
        <v>0</v>
      </c>
      <c r="I754" s="9">
        <f>STATS1003B!I787/1000</f>
        <v>0</v>
      </c>
      <c r="J754" s="9">
        <f>STATS1003B!J787/1000</f>
        <v>0</v>
      </c>
      <c r="K754" s="9">
        <f>STATS1003B!K787/1000</f>
        <v>60.142449999999997</v>
      </c>
      <c r="L754" s="9">
        <f>STATS1003B!L787/1000</f>
        <v>0</v>
      </c>
      <c r="M754" s="9">
        <f>STATS1003B!M787/1000</f>
        <v>0</v>
      </c>
      <c r="N754" s="9">
        <f>STATS1003B!N787/1000</f>
        <v>60.142449999999997</v>
      </c>
      <c r="O754" s="9">
        <f>STATS1003B!O787/1000</f>
        <v>0</v>
      </c>
      <c r="P754" s="9">
        <f>STATS1003B!P787/1000</f>
        <v>60.142449999999997</v>
      </c>
      <c r="Q754" s="9">
        <f>STATS1003B!Q787/1000</f>
        <v>0</v>
      </c>
      <c r="R754" s="9">
        <f>STATS1003B!R787/1000</f>
        <v>0</v>
      </c>
      <c r="S754" s="9">
        <f>STATS1003B!S787/1000</f>
        <v>0</v>
      </c>
      <c r="T754" s="9">
        <f>STATS1003B!T787/1000</f>
        <v>0</v>
      </c>
      <c r="U754" s="9">
        <f>STATS1003B!U787/1000</f>
        <v>60.142449999999997</v>
      </c>
      <c r="V754" s="9">
        <f>STATS1003B!V787/1000</f>
        <v>60.142449999999997</v>
      </c>
      <c r="W754" s="9">
        <f>STATS1003B!W787/1000</f>
        <v>0</v>
      </c>
      <c r="X754" s="9">
        <f>STATS1003B!X787/1000</f>
        <v>60.142449999999997</v>
      </c>
      <c r="Y754" s="9">
        <f>STATS1003B!Y787/1000</f>
        <v>0</v>
      </c>
      <c r="Z754" s="9">
        <f>STATS1003B!Z787/1000</f>
        <v>0</v>
      </c>
      <c r="AA754" s="9">
        <f>STATS1003B!AA787/1000</f>
        <v>60.142449999999997</v>
      </c>
      <c r="AB754" s="9">
        <f>STATS1003B!AB787/1000</f>
        <v>0</v>
      </c>
    </row>
    <row r="755" spans="1:28" x14ac:dyDescent="0.35">
      <c r="A755" s="36"/>
      <c r="B755" s="8"/>
      <c r="C755" s="7" t="s">
        <v>636</v>
      </c>
      <c r="D755" s="15" t="s">
        <v>78</v>
      </c>
      <c r="E755" s="9">
        <f>STATS1003B!E788/1000</f>
        <v>1623.54603</v>
      </c>
      <c r="F755" s="9">
        <f>STATS1003B!F788/1000</f>
        <v>1297.9701</v>
      </c>
      <c r="G755" s="9">
        <f>STATS1003B!G788/1000</f>
        <v>0</v>
      </c>
      <c r="H755" s="9">
        <f>STATS1003B!H788/1000</f>
        <v>1297.9701</v>
      </c>
      <c r="I755" s="9">
        <f>STATS1003B!I788/1000</f>
        <v>0</v>
      </c>
      <c r="J755" s="9">
        <f>STATS1003B!J788/1000</f>
        <v>1297.9701</v>
      </c>
      <c r="K755" s="9">
        <f>STATS1003B!K788/1000</f>
        <v>325.57592999999997</v>
      </c>
      <c r="L755" s="9">
        <f>STATS1003B!L788/1000</f>
        <v>0</v>
      </c>
      <c r="M755" s="9">
        <f>STATS1003B!M788/1000</f>
        <v>1297.9701</v>
      </c>
      <c r="N755" s="9">
        <f>STATS1003B!N788/1000</f>
        <v>325.57592999999997</v>
      </c>
      <c r="O755" s="9">
        <f>STATS1003B!O788/1000</f>
        <v>0</v>
      </c>
      <c r="P755" s="9">
        <f>STATS1003B!P788/1000</f>
        <v>325.57592999999997</v>
      </c>
      <c r="Q755" s="9">
        <f>STATS1003B!Q788/1000</f>
        <v>1297.9701</v>
      </c>
      <c r="R755" s="9">
        <f>STATS1003B!R788/1000</f>
        <v>0</v>
      </c>
      <c r="S755" s="9">
        <f>STATS1003B!S788/1000</f>
        <v>0</v>
      </c>
      <c r="T755" s="9">
        <f>STATS1003B!T788/1000</f>
        <v>0</v>
      </c>
      <c r="U755" s="9">
        <f>STATS1003B!U788/1000</f>
        <v>325.57592999999997</v>
      </c>
      <c r="V755" s="9">
        <f>STATS1003B!V788/1000</f>
        <v>1623.54603</v>
      </c>
      <c r="W755" s="9">
        <f>STATS1003B!W788/1000</f>
        <v>0</v>
      </c>
      <c r="X755" s="9">
        <f>STATS1003B!X788/1000</f>
        <v>1623.54603</v>
      </c>
      <c r="Y755" s="9">
        <f>STATS1003B!Y788/1000</f>
        <v>0</v>
      </c>
      <c r="Z755" s="9">
        <f>STATS1003B!Z788/1000</f>
        <v>0</v>
      </c>
      <c r="AA755" s="9">
        <f>STATS1003B!AA788/1000</f>
        <v>1623.54603</v>
      </c>
      <c r="AB755" s="9">
        <f>STATS1003B!AB788/1000</f>
        <v>0</v>
      </c>
    </row>
    <row r="756" spans="1:28" x14ac:dyDescent="0.35">
      <c r="A756" s="36"/>
      <c r="B756" s="8"/>
      <c r="C756" s="7" t="s">
        <v>539</v>
      </c>
      <c r="D756" s="15" t="s">
        <v>68</v>
      </c>
      <c r="E756" s="9">
        <f>STATS1003B!E789/1000</f>
        <v>1194.4390000000001</v>
      </c>
      <c r="F756" s="9">
        <f>STATS1003B!F789/1000</f>
        <v>0</v>
      </c>
      <c r="G756" s="9">
        <f>STATS1003B!G789/1000</f>
        <v>0</v>
      </c>
      <c r="H756" s="9">
        <f>STATS1003B!H789/1000</f>
        <v>0</v>
      </c>
      <c r="I756" s="9">
        <f>STATS1003B!I789/1000</f>
        <v>0</v>
      </c>
      <c r="J756" s="9">
        <f>STATS1003B!J789/1000</f>
        <v>0</v>
      </c>
      <c r="K756" s="9">
        <f>STATS1003B!K789/1000</f>
        <v>1194.4390000000001</v>
      </c>
      <c r="L756" s="9">
        <f>STATS1003B!L789/1000</f>
        <v>0</v>
      </c>
      <c r="M756" s="9">
        <f>STATS1003B!M789/1000</f>
        <v>0</v>
      </c>
      <c r="N756" s="9">
        <f>STATS1003B!N789/1000</f>
        <v>1194.4390000000001</v>
      </c>
      <c r="O756" s="9">
        <f>STATS1003B!O789/1000</f>
        <v>0</v>
      </c>
      <c r="P756" s="9">
        <f>STATS1003B!P789/1000</f>
        <v>1194.4390000000001</v>
      </c>
      <c r="Q756" s="9">
        <f>STATS1003B!Q789/1000</f>
        <v>0</v>
      </c>
      <c r="R756" s="9">
        <f>STATS1003B!R789/1000</f>
        <v>0</v>
      </c>
      <c r="S756" s="9">
        <f>STATS1003B!S789/1000</f>
        <v>0</v>
      </c>
      <c r="T756" s="9">
        <f>STATS1003B!T789/1000</f>
        <v>0</v>
      </c>
      <c r="U756" s="9">
        <f>STATS1003B!U789/1000</f>
        <v>1194.4390000000001</v>
      </c>
      <c r="V756" s="9">
        <f>STATS1003B!V789/1000</f>
        <v>1194.4390000000001</v>
      </c>
      <c r="W756" s="9">
        <f>STATS1003B!W789/1000</f>
        <v>0</v>
      </c>
      <c r="X756" s="9">
        <f>STATS1003B!X789/1000</f>
        <v>1194.4390000000001</v>
      </c>
      <c r="Y756" s="9">
        <f>STATS1003B!Y789/1000</f>
        <v>0</v>
      </c>
      <c r="Z756" s="9">
        <f>STATS1003B!Z789/1000</f>
        <v>0</v>
      </c>
      <c r="AA756" s="9">
        <f>STATS1003B!AA789/1000</f>
        <v>1194.4390000000001</v>
      </c>
      <c r="AB756" s="9">
        <f>STATS1003B!AB789/1000</f>
        <v>0</v>
      </c>
    </row>
    <row r="757" spans="1:28" x14ac:dyDescent="0.35">
      <c r="A757" s="36"/>
      <c r="B757" s="8"/>
      <c r="C757" s="7" t="s">
        <v>545</v>
      </c>
      <c r="D757" s="15" t="s">
        <v>54</v>
      </c>
      <c r="E757" s="9">
        <f>STATS1003B!E790/1000</f>
        <v>1767.77</v>
      </c>
      <c r="F757" s="9">
        <f>STATS1003B!F790/1000</f>
        <v>0</v>
      </c>
      <c r="G757" s="9">
        <f>STATS1003B!G790/1000</f>
        <v>0</v>
      </c>
      <c r="H757" s="9">
        <f>STATS1003B!H790/1000</f>
        <v>0</v>
      </c>
      <c r="I757" s="9">
        <f>STATS1003B!I790/1000</f>
        <v>0</v>
      </c>
      <c r="J757" s="9">
        <f>STATS1003B!J790/1000</f>
        <v>0</v>
      </c>
      <c r="K757" s="9">
        <f>STATS1003B!K790/1000</f>
        <v>1767.77</v>
      </c>
      <c r="L757" s="9">
        <f>STATS1003B!L790/1000</f>
        <v>0</v>
      </c>
      <c r="M757" s="9">
        <f>STATS1003B!M790/1000</f>
        <v>0</v>
      </c>
      <c r="N757" s="9">
        <f>STATS1003B!N790/1000</f>
        <v>1767.77</v>
      </c>
      <c r="O757" s="9">
        <f>STATS1003B!O790/1000</f>
        <v>0</v>
      </c>
      <c r="P757" s="9">
        <f>STATS1003B!P790/1000</f>
        <v>1767.77</v>
      </c>
      <c r="Q757" s="9">
        <f>STATS1003B!Q790/1000</f>
        <v>0</v>
      </c>
      <c r="R757" s="9">
        <f>STATS1003B!R790/1000</f>
        <v>0</v>
      </c>
      <c r="S757" s="9">
        <f>STATS1003B!S790/1000</f>
        <v>0</v>
      </c>
      <c r="T757" s="9">
        <f>STATS1003B!T790/1000</f>
        <v>0</v>
      </c>
      <c r="U757" s="9">
        <f>STATS1003B!U790/1000</f>
        <v>1767.77</v>
      </c>
      <c r="V757" s="9">
        <f>STATS1003B!V790/1000</f>
        <v>1767.77</v>
      </c>
      <c r="W757" s="9">
        <f>STATS1003B!W790/1000</f>
        <v>0</v>
      </c>
      <c r="X757" s="9">
        <f>STATS1003B!X790/1000</f>
        <v>1767.77</v>
      </c>
      <c r="Y757" s="9">
        <f>STATS1003B!Y790/1000</f>
        <v>0</v>
      </c>
      <c r="Z757" s="9">
        <f>STATS1003B!Z790/1000</f>
        <v>0</v>
      </c>
      <c r="AA757" s="9">
        <f>STATS1003B!AA790/1000</f>
        <v>1767.77</v>
      </c>
      <c r="AB757" s="9">
        <f>STATS1003B!AB790/1000</f>
        <v>0</v>
      </c>
    </row>
    <row r="758" spans="1:28" x14ac:dyDescent="0.35">
      <c r="A758" s="36"/>
      <c r="B758" s="8"/>
      <c r="C758" s="7" t="s">
        <v>535</v>
      </c>
      <c r="D758" s="15" t="s">
        <v>54</v>
      </c>
      <c r="E758" s="9">
        <f>STATS1003B!E791/1000</f>
        <v>950</v>
      </c>
      <c r="F758" s="9">
        <f>STATS1003B!F791/1000</f>
        <v>950</v>
      </c>
      <c r="G758" s="9">
        <f>STATS1003B!G791/1000</f>
        <v>0</v>
      </c>
      <c r="H758" s="9">
        <f>STATS1003B!H791/1000</f>
        <v>950</v>
      </c>
      <c r="I758" s="9">
        <f>STATS1003B!I791/1000</f>
        <v>0</v>
      </c>
      <c r="J758" s="9">
        <f>STATS1003B!J791/1000</f>
        <v>950</v>
      </c>
      <c r="K758" s="9">
        <f>STATS1003B!K791/1000</f>
        <v>0</v>
      </c>
      <c r="L758" s="9">
        <f>STATS1003B!L791/1000</f>
        <v>0</v>
      </c>
      <c r="M758" s="9">
        <f>STATS1003B!M791/1000</f>
        <v>950</v>
      </c>
      <c r="N758" s="9">
        <f>STATS1003B!N791/1000</f>
        <v>0</v>
      </c>
      <c r="O758" s="9">
        <f>STATS1003B!O791/1000</f>
        <v>0</v>
      </c>
      <c r="P758" s="9">
        <f>STATS1003B!P791/1000</f>
        <v>0</v>
      </c>
      <c r="Q758" s="9">
        <f>STATS1003B!Q791/1000</f>
        <v>950</v>
      </c>
      <c r="R758" s="9">
        <f>STATS1003B!R791/1000</f>
        <v>0</v>
      </c>
      <c r="S758" s="9">
        <f>STATS1003B!S791/1000</f>
        <v>0</v>
      </c>
      <c r="T758" s="9">
        <f>STATS1003B!T791/1000</f>
        <v>0</v>
      </c>
      <c r="U758" s="9">
        <f>STATS1003B!U791/1000</f>
        <v>0</v>
      </c>
      <c r="V758" s="9">
        <f>STATS1003B!V791/1000</f>
        <v>950</v>
      </c>
      <c r="W758" s="9">
        <f>STATS1003B!W791/1000</f>
        <v>0</v>
      </c>
      <c r="X758" s="9">
        <f>STATS1003B!X791/1000</f>
        <v>950</v>
      </c>
      <c r="Y758" s="9">
        <f>STATS1003B!Y791/1000</f>
        <v>0</v>
      </c>
      <c r="Z758" s="9">
        <f>STATS1003B!Z791/1000</f>
        <v>0</v>
      </c>
      <c r="AA758" s="9">
        <f>STATS1003B!AA791/1000</f>
        <v>950</v>
      </c>
      <c r="AB758" s="9">
        <f>STATS1003B!AB791/1000</f>
        <v>0</v>
      </c>
    </row>
    <row r="759" spans="1:28" x14ac:dyDescent="0.35">
      <c r="A759" s="36"/>
      <c r="B759" s="8"/>
      <c r="C759" s="7" t="s">
        <v>535</v>
      </c>
      <c r="D759" s="15" t="s">
        <v>128</v>
      </c>
      <c r="E759" s="9">
        <f>STATS1003B!E792/1000</f>
        <v>1050.481</v>
      </c>
      <c r="F759" s="9">
        <f>STATS1003B!F792/1000</f>
        <v>1050.481</v>
      </c>
      <c r="G759" s="9">
        <f>STATS1003B!G792/1000</f>
        <v>0</v>
      </c>
      <c r="H759" s="9">
        <f>STATS1003B!H792/1000</f>
        <v>1050.481</v>
      </c>
      <c r="I759" s="9">
        <f>STATS1003B!I792/1000</f>
        <v>0</v>
      </c>
      <c r="J759" s="9">
        <f>STATS1003B!J792/1000</f>
        <v>1050.481</v>
      </c>
      <c r="K759" s="9">
        <f>STATS1003B!K792/1000</f>
        <v>0</v>
      </c>
      <c r="L759" s="9">
        <f>STATS1003B!L792/1000</f>
        <v>0</v>
      </c>
      <c r="M759" s="9">
        <f>STATS1003B!M792/1000</f>
        <v>1050.481</v>
      </c>
      <c r="N759" s="9">
        <f>STATS1003B!N792/1000</f>
        <v>0</v>
      </c>
      <c r="O759" s="9">
        <f>STATS1003B!O792/1000</f>
        <v>0</v>
      </c>
      <c r="P759" s="9">
        <f>STATS1003B!P792/1000</f>
        <v>0</v>
      </c>
      <c r="Q759" s="9">
        <f>STATS1003B!Q792/1000</f>
        <v>1050.481</v>
      </c>
      <c r="R759" s="9">
        <f>STATS1003B!R792/1000</f>
        <v>0</v>
      </c>
      <c r="S759" s="9">
        <f>STATS1003B!S792/1000</f>
        <v>0</v>
      </c>
      <c r="T759" s="9">
        <f>STATS1003B!T792/1000</f>
        <v>0</v>
      </c>
      <c r="U759" s="9">
        <f>STATS1003B!U792/1000</f>
        <v>0</v>
      </c>
      <c r="V759" s="9">
        <f>STATS1003B!V792/1000</f>
        <v>1050.481</v>
      </c>
      <c r="W759" s="9">
        <f>STATS1003B!W792/1000</f>
        <v>0</v>
      </c>
      <c r="X759" s="9">
        <f>STATS1003B!X792/1000</f>
        <v>1050.481</v>
      </c>
      <c r="Y759" s="9">
        <f>STATS1003B!Y792/1000</f>
        <v>0</v>
      </c>
      <c r="Z759" s="9">
        <f>STATS1003B!Z792/1000</f>
        <v>0</v>
      </c>
      <c r="AA759" s="9">
        <f>STATS1003B!AA792/1000</f>
        <v>1050.481</v>
      </c>
      <c r="AB759" s="9">
        <f>STATS1003B!AB792/1000</f>
        <v>0</v>
      </c>
    </row>
    <row r="760" spans="1:28" x14ac:dyDescent="0.35">
      <c r="A760" s="36"/>
      <c r="B760" s="8"/>
      <c r="C760" s="7" t="s">
        <v>535</v>
      </c>
      <c r="D760" s="15" t="s">
        <v>58</v>
      </c>
      <c r="E760" s="9">
        <f>STATS1003B!E793/1000</f>
        <v>1799.1949999999999</v>
      </c>
      <c r="F760" s="9">
        <f>STATS1003B!F793/1000</f>
        <v>1799.1949999999999</v>
      </c>
      <c r="G760" s="9">
        <f>STATS1003B!G793/1000</f>
        <v>0</v>
      </c>
      <c r="H760" s="9">
        <f>STATS1003B!H793/1000</f>
        <v>1799.1949999999999</v>
      </c>
      <c r="I760" s="9">
        <f>STATS1003B!I793/1000</f>
        <v>0</v>
      </c>
      <c r="J760" s="9">
        <f>STATS1003B!J793/1000</f>
        <v>1799.1949999999999</v>
      </c>
      <c r="K760" s="9">
        <f>STATS1003B!K793/1000</f>
        <v>0</v>
      </c>
      <c r="L760" s="9">
        <f>STATS1003B!L793/1000</f>
        <v>0</v>
      </c>
      <c r="M760" s="9">
        <f>STATS1003B!M793/1000</f>
        <v>1799.1949999999999</v>
      </c>
      <c r="N760" s="9">
        <f>STATS1003B!N793/1000</f>
        <v>0</v>
      </c>
      <c r="O760" s="9">
        <f>STATS1003B!O793/1000</f>
        <v>0</v>
      </c>
      <c r="P760" s="9">
        <f>STATS1003B!P793/1000</f>
        <v>0</v>
      </c>
      <c r="Q760" s="9">
        <f>STATS1003B!Q793/1000</f>
        <v>1799.1949999999999</v>
      </c>
      <c r="R760" s="9">
        <f>STATS1003B!R793/1000</f>
        <v>0</v>
      </c>
      <c r="S760" s="9">
        <f>STATS1003B!S793/1000</f>
        <v>0</v>
      </c>
      <c r="T760" s="9">
        <f>STATS1003B!T793/1000</f>
        <v>0</v>
      </c>
      <c r="U760" s="9">
        <f>STATS1003B!U793/1000</f>
        <v>0</v>
      </c>
      <c r="V760" s="9">
        <f>STATS1003B!V793/1000</f>
        <v>1799.1949999999999</v>
      </c>
      <c r="W760" s="9">
        <f>STATS1003B!W793/1000</f>
        <v>0</v>
      </c>
      <c r="X760" s="9">
        <f>STATS1003B!X793/1000</f>
        <v>1799.1949999999999</v>
      </c>
      <c r="Y760" s="9">
        <f>STATS1003B!Y793/1000</f>
        <v>0</v>
      </c>
      <c r="Z760" s="9">
        <f>STATS1003B!Z793/1000</f>
        <v>0</v>
      </c>
      <c r="AA760" s="9">
        <f>STATS1003B!AA793/1000</f>
        <v>1799.1949999999999</v>
      </c>
      <c r="AB760" s="9">
        <f>STATS1003B!AB793/1000</f>
        <v>0</v>
      </c>
    </row>
    <row r="761" spans="1:28" x14ac:dyDescent="0.35">
      <c r="A761" s="36"/>
      <c r="B761" s="8"/>
      <c r="C761" s="14" t="s">
        <v>535</v>
      </c>
      <c r="D761" s="21" t="s">
        <v>73</v>
      </c>
      <c r="E761" s="9">
        <f>STATS1003B!E794/1000</f>
        <v>5829.8010000000004</v>
      </c>
      <c r="F761" s="9">
        <f>STATS1003B!F794/1000</f>
        <v>2454.6080000000002</v>
      </c>
      <c r="G761" s="9">
        <f>STATS1003B!G794/1000</f>
        <v>0</v>
      </c>
      <c r="H761" s="9">
        <f>STATS1003B!H794/1000</f>
        <v>2454.6080000000002</v>
      </c>
      <c r="I761" s="9">
        <f>STATS1003B!I794/1000</f>
        <v>3375.1930000000002</v>
      </c>
      <c r="J761" s="9">
        <f>STATS1003B!J794/1000</f>
        <v>5829.8010000000004</v>
      </c>
      <c r="K761" s="9">
        <f>STATS1003B!K794/1000</f>
        <v>0</v>
      </c>
      <c r="L761" s="9">
        <f>STATS1003B!L794/1000</f>
        <v>3375.1930000000002</v>
      </c>
      <c r="M761" s="9">
        <f>STATS1003B!M794/1000</f>
        <v>5829.8010000000004</v>
      </c>
      <c r="N761" s="9">
        <f>STATS1003B!N794/1000</f>
        <v>0</v>
      </c>
      <c r="O761" s="9">
        <f>STATS1003B!O794/1000</f>
        <v>0</v>
      </c>
      <c r="P761" s="9">
        <f>STATS1003B!P794/1000</f>
        <v>0</v>
      </c>
      <c r="Q761" s="9">
        <f>STATS1003B!Q794/1000</f>
        <v>5829.8010000000004</v>
      </c>
      <c r="R761" s="9">
        <f>STATS1003B!R794/1000</f>
        <v>0</v>
      </c>
      <c r="S761" s="9">
        <f>STATS1003B!S794/1000</f>
        <v>0</v>
      </c>
      <c r="T761" s="9">
        <f>STATS1003B!T794/1000</f>
        <v>0</v>
      </c>
      <c r="U761" s="9">
        <f>STATS1003B!U794/1000</f>
        <v>0</v>
      </c>
      <c r="V761" s="9">
        <f>STATS1003B!V794/1000</f>
        <v>2454.6080000000002</v>
      </c>
      <c r="W761" s="9">
        <f>STATS1003B!W794/1000</f>
        <v>3375.1930000000002</v>
      </c>
      <c r="X761" s="9">
        <f>STATS1003B!X794/1000</f>
        <v>2454.6080000000002</v>
      </c>
      <c r="Y761" s="9">
        <f>STATS1003B!Y794/1000</f>
        <v>0</v>
      </c>
      <c r="Z761" s="9">
        <f>STATS1003B!Z794/1000</f>
        <v>3375.1930000000002</v>
      </c>
      <c r="AA761" s="9">
        <f>STATS1003B!AA794/1000</f>
        <v>5829.8010000000004</v>
      </c>
      <c r="AB761" s="9">
        <f>STATS1003B!AB794/1000</f>
        <v>0</v>
      </c>
    </row>
    <row r="762" spans="1:28" x14ac:dyDescent="0.35">
      <c r="A762" s="36"/>
      <c r="B762" s="8"/>
      <c r="C762" s="14" t="s">
        <v>535</v>
      </c>
      <c r="D762" s="21" t="s">
        <v>61</v>
      </c>
      <c r="E762" s="9">
        <f>STATS1003B!E795/1000</f>
        <v>9187.105590000001</v>
      </c>
      <c r="F762" s="9">
        <f>STATS1003B!F795/1000</f>
        <v>8949.6400099999992</v>
      </c>
      <c r="G762" s="9">
        <f>STATS1003B!G795/1000</f>
        <v>0</v>
      </c>
      <c r="H762" s="9">
        <f>STATS1003B!H795/1000</f>
        <v>8949.6400099999992</v>
      </c>
      <c r="I762" s="9">
        <f>STATS1003B!I795/1000</f>
        <v>0</v>
      </c>
      <c r="J762" s="9">
        <f>STATS1003B!J795/1000</f>
        <v>8949.6400099999992</v>
      </c>
      <c r="K762" s="9">
        <f>STATS1003B!K795/1000</f>
        <v>0</v>
      </c>
      <c r="L762" s="9">
        <f>STATS1003B!L795/1000</f>
        <v>0</v>
      </c>
      <c r="M762" s="9">
        <f>STATS1003B!M795/1000</f>
        <v>8949.6400099999992</v>
      </c>
      <c r="N762" s="9">
        <f>STATS1003B!N795/1000</f>
        <v>0</v>
      </c>
      <c r="O762" s="9">
        <f>STATS1003B!O795/1000</f>
        <v>0</v>
      </c>
      <c r="P762" s="9">
        <f>STATS1003B!P795/1000</f>
        <v>0</v>
      </c>
      <c r="Q762" s="9">
        <f>STATS1003B!Q795/1000</f>
        <v>9187.105590000001</v>
      </c>
      <c r="R762" s="9">
        <f>STATS1003B!R795/1000</f>
        <v>0</v>
      </c>
      <c r="S762" s="9">
        <f>STATS1003B!S795/1000</f>
        <v>0</v>
      </c>
      <c r="T762" s="9">
        <f>STATS1003B!T795/1000</f>
        <v>237.46557999999999</v>
      </c>
      <c r="U762" s="9">
        <f>STATS1003B!U795/1000</f>
        <v>237.46557999999999</v>
      </c>
      <c r="V762" s="9">
        <f>STATS1003B!V795/1000</f>
        <v>8949.6400099999992</v>
      </c>
      <c r="W762" s="9">
        <f>STATS1003B!W795/1000</f>
        <v>237.46558000000195</v>
      </c>
      <c r="X762" s="9">
        <f>STATS1003B!X795/1000</f>
        <v>8949.6400099999992</v>
      </c>
      <c r="Y762" s="9">
        <f>STATS1003B!Y795/1000</f>
        <v>0</v>
      </c>
      <c r="Z762" s="9">
        <f>STATS1003B!Z795/1000</f>
        <v>237.46558000000195</v>
      </c>
      <c r="AA762" s="9">
        <f>STATS1003B!AA795/1000</f>
        <v>9187.1055899999992</v>
      </c>
      <c r="AB762" s="9">
        <f>STATS1003B!AB795/1000</f>
        <v>0</v>
      </c>
    </row>
    <row r="763" spans="1:28" x14ac:dyDescent="0.35">
      <c r="A763" s="36"/>
      <c r="B763" s="8"/>
      <c r="C763" s="14" t="s">
        <v>898</v>
      </c>
      <c r="D763" s="21"/>
      <c r="E763" s="9">
        <f>STATS1003B!E796/1000</f>
        <v>253.63464999999999</v>
      </c>
      <c r="F763" s="9">
        <f>STATS1003B!F796/1000</f>
        <v>0</v>
      </c>
      <c r="G763" s="9">
        <f>STATS1003B!G796/1000</f>
        <v>0</v>
      </c>
      <c r="H763" s="9">
        <f>STATS1003B!H796/1000</f>
        <v>0</v>
      </c>
      <c r="I763" s="9">
        <f>STATS1003B!I796/1000</f>
        <v>0</v>
      </c>
      <c r="J763" s="9">
        <f>STATS1003B!J796/1000</f>
        <v>0</v>
      </c>
      <c r="K763" s="9">
        <f>STATS1003B!K796/1000</f>
        <v>0</v>
      </c>
      <c r="L763" s="9">
        <f>STATS1003B!L796/1000</f>
        <v>0</v>
      </c>
      <c r="M763" s="9">
        <f>STATS1003B!M796/1000</f>
        <v>0</v>
      </c>
      <c r="N763" s="9">
        <f>STATS1003B!N796/1000</f>
        <v>253.63464999999999</v>
      </c>
      <c r="O763" s="9">
        <f>STATS1003B!O796/1000</f>
        <v>0</v>
      </c>
      <c r="P763" s="9">
        <f>STATS1003B!P796/1000</f>
        <v>253.63464999999999</v>
      </c>
      <c r="Q763" s="9">
        <f>STATS1003B!Q796/1000</f>
        <v>0</v>
      </c>
      <c r="R763" s="9">
        <f>STATS1003B!R796/1000</f>
        <v>0</v>
      </c>
      <c r="S763" s="9">
        <f>STATS1003B!S796/1000</f>
        <v>0</v>
      </c>
      <c r="T763" s="9">
        <f>STATS1003B!T796/1000</f>
        <v>0</v>
      </c>
      <c r="U763" s="9">
        <f>STATS1003B!U796/1000</f>
        <v>253.63464999999999</v>
      </c>
      <c r="V763" s="9">
        <f>STATS1003B!V796/1000</f>
        <v>253.63464999999999</v>
      </c>
      <c r="W763" s="9">
        <f>STATS1003B!W796/1000</f>
        <v>0</v>
      </c>
      <c r="X763" s="9">
        <f>STATS1003B!X796/1000</f>
        <v>253.63464999999999</v>
      </c>
      <c r="Y763" s="9">
        <f>STATS1003B!Y796/1000</f>
        <v>0</v>
      </c>
      <c r="Z763" s="9">
        <f>STATS1003B!Z796/1000</f>
        <v>0</v>
      </c>
      <c r="AA763" s="9">
        <f>STATS1003B!AA796/1000</f>
        <v>253.63464999999999</v>
      </c>
      <c r="AB763" s="9">
        <f>STATS1003B!AB796/1000</f>
        <v>0</v>
      </c>
    </row>
    <row r="764" spans="1:28" x14ac:dyDescent="0.35">
      <c r="A764" s="36"/>
      <c r="B764" s="8"/>
      <c r="C764" s="14" t="s">
        <v>933</v>
      </c>
      <c r="D764" s="24" t="s">
        <v>1072</v>
      </c>
      <c r="E764" s="9">
        <f>STATS1003B!E797/1000</f>
        <v>9200</v>
      </c>
      <c r="F764" s="9">
        <f>STATS1003B!F797/1000</f>
        <v>9200</v>
      </c>
      <c r="G764" s="9">
        <f>STATS1003B!G797/1000</f>
        <v>0</v>
      </c>
      <c r="H764" s="9">
        <f>STATS1003B!H797/1000</f>
        <v>9200</v>
      </c>
      <c r="I764" s="9">
        <f>STATS1003B!I797/1000</f>
        <v>0</v>
      </c>
      <c r="J764" s="9">
        <f>STATS1003B!J797/1000</f>
        <v>0</v>
      </c>
      <c r="K764" s="9">
        <f>STATS1003B!K797/1000</f>
        <v>0</v>
      </c>
      <c r="L764" s="9">
        <f>STATS1003B!L797/1000</f>
        <v>0</v>
      </c>
      <c r="M764" s="9">
        <f>STATS1003B!M797/1000</f>
        <v>9200</v>
      </c>
      <c r="N764" s="9">
        <f>STATS1003B!N797/1000</f>
        <v>0</v>
      </c>
      <c r="O764" s="9">
        <f>STATS1003B!O797/1000</f>
        <v>0</v>
      </c>
      <c r="P764" s="9">
        <f>STATS1003B!P797/1000</f>
        <v>0</v>
      </c>
      <c r="Q764" s="9">
        <f>STATS1003B!Q797/1000</f>
        <v>0</v>
      </c>
      <c r="R764" s="9">
        <f>STATS1003B!R797/1000</f>
        <v>0</v>
      </c>
      <c r="S764" s="9">
        <f>STATS1003B!S797/1000</f>
        <v>0</v>
      </c>
      <c r="T764" s="9">
        <f>STATS1003B!T797/1000</f>
        <v>0</v>
      </c>
      <c r="U764" s="9">
        <f>STATS1003B!U797/1000</f>
        <v>0</v>
      </c>
      <c r="V764" s="9">
        <f>STATS1003B!V797/1000</f>
        <v>0</v>
      </c>
      <c r="W764" s="9">
        <f>STATS1003B!W797/1000</f>
        <v>0</v>
      </c>
      <c r="X764" s="9">
        <f>STATS1003B!X797/1000</f>
        <v>9200</v>
      </c>
      <c r="Y764" s="9">
        <f>STATS1003B!Y797/1000</f>
        <v>0</v>
      </c>
      <c r="Z764" s="9">
        <f>STATS1003B!Z797/1000</f>
        <v>0</v>
      </c>
      <c r="AA764" s="9">
        <f>STATS1003B!AA797/1000</f>
        <v>9200</v>
      </c>
      <c r="AB764" s="9">
        <f>STATS1003B!AB797/1000</f>
        <v>0</v>
      </c>
    </row>
    <row r="765" spans="1:28" x14ac:dyDescent="0.35">
      <c r="A765" s="36"/>
      <c r="B765" s="8"/>
      <c r="C765" s="14" t="s">
        <v>567</v>
      </c>
      <c r="D765" s="21" t="s">
        <v>61</v>
      </c>
      <c r="E765" s="9">
        <f>STATS1003B!E799/1000</f>
        <v>407.07816000000003</v>
      </c>
      <c r="F765" s="9">
        <f>STATS1003B!F799/1000</f>
        <v>393.83734000000004</v>
      </c>
      <c r="G765" s="9">
        <f>STATS1003B!G799/1000</f>
        <v>0</v>
      </c>
      <c r="H765" s="9">
        <f>STATS1003B!H799/1000</f>
        <v>393.83734000000004</v>
      </c>
      <c r="I765" s="9">
        <f>STATS1003B!I799/1000</f>
        <v>0</v>
      </c>
      <c r="J765" s="9">
        <f>STATS1003B!J799/1000</f>
        <v>393.83734000000004</v>
      </c>
      <c r="K765" s="9">
        <f>STATS1003B!K799/1000</f>
        <v>0</v>
      </c>
      <c r="L765" s="9">
        <f>STATS1003B!L799/1000</f>
        <v>0</v>
      </c>
      <c r="M765" s="9">
        <f>STATS1003B!M799/1000</f>
        <v>393.83734000000004</v>
      </c>
      <c r="N765" s="9">
        <f>STATS1003B!N799/1000</f>
        <v>6.2090200000000006</v>
      </c>
      <c r="O765" s="9">
        <f>STATS1003B!O799/1000</f>
        <v>0</v>
      </c>
      <c r="P765" s="9">
        <f>STATS1003B!P799/1000</f>
        <v>6.2090200000000006</v>
      </c>
      <c r="Q765" s="9">
        <f>STATS1003B!Q799/1000</f>
        <v>400.86914000000002</v>
      </c>
      <c r="R765" s="9">
        <f>STATS1003B!R799/1000</f>
        <v>0</v>
      </c>
      <c r="S765" s="9">
        <f>STATS1003B!S799/1000</f>
        <v>0</v>
      </c>
      <c r="T765" s="9">
        <f>STATS1003B!T799/1000</f>
        <v>7.0318000000000005</v>
      </c>
      <c r="U765" s="9">
        <f>STATS1003B!U799/1000</f>
        <v>13.240819999999999</v>
      </c>
      <c r="V765" s="9">
        <f>STATS1003B!V799/1000</f>
        <v>400.04636000000005</v>
      </c>
      <c r="W765" s="9">
        <f>STATS1003B!W799/1000</f>
        <v>7.0317999999999881</v>
      </c>
      <c r="X765" s="9">
        <f>STATS1003B!X799/1000</f>
        <v>400.04636000000005</v>
      </c>
      <c r="Y765" s="9">
        <f>STATS1003B!Y799/1000</f>
        <v>0</v>
      </c>
      <c r="Z765" s="9">
        <f>STATS1003B!Z799/1000</f>
        <v>7.0317999999999881</v>
      </c>
      <c r="AA765" s="9">
        <f>STATS1003B!AA799/1000</f>
        <v>407.07816000000003</v>
      </c>
      <c r="AB765" s="9">
        <f>STATS1003B!AB799/1000</f>
        <v>0</v>
      </c>
    </row>
    <row r="766" spans="1:28" x14ac:dyDescent="0.35">
      <c r="A766" s="36"/>
      <c r="B766" s="8"/>
      <c r="C766" s="7" t="s">
        <v>606</v>
      </c>
      <c r="D766" s="8"/>
      <c r="E766" s="9">
        <f>STATS1003B!E800/1000</f>
        <v>2023.81197</v>
      </c>
      <c r="F766" s="9">
        <f>STATS1003B!F800/1000</f>
        <v>2023.81197</v>
      </c>
      <c r="G766" s="9">
        <f>STATS1003B!G800/1000</f>
        <v>0</v>
      </c>
      <c r="H766" s="9">
        <f>STATS1003B!H800/1000</f>
        <v>2023.81197</v>
      </c>
      <c r="I766" s="9">
        <f>STATS1003B!I800/1000</f>
        <v>0</v>
      </c>
      <c r="J766" s="9">
        <f>STATS1003B!J800/1000</f>
        <v>2023.81197</v>
      </c>
      <c r="K766" s="9">
        <f>STATS1003B!K800/1000</f>
        <v>0</v>
      </c>
      <c r="L766" s="9">
        <f>STATS1003B!L800/1000</f>
        <v>0</v>
      </c>
      <c r="M766" s="9">
        <f>STATS1003B!M800/1000</f>
        <v>2023.81197</v>
      </c>
      <c r="N766" s="9">
        <f>STATS1003B!N800/1000</f>
        <v>0</v>
      </c>
      <c r="O766" s="9">
        <f>STATS1003B!O800/1000</f>
        <v>0</v>
      </c>
      <c r="P766" s="9">
        <f>STATS1003B!P800/1000</f>
        <v>0</v>
      </c>
      <c r="Q766" s="9">
        <f>STATS1003B!Q800/1000</f>
        <v>2023.81197</v>
      </c>
      <c r="R766" s="9">
        <f>STATS1003B!R800/1000</f>
        <v>0</v>
      </c>
      <c r="S766" s="9">
        <f>STATS1003B!S800/1000</f>
        <v>0</v>
      </c>
      <c r="T766" s="9">
        <f>STATS1003B!T800/1000</f>
        <v>0</v>
      </c>
      <c r="U766" s="9">
        <f>STATS1003B!U800/1000</f>
        <v>0</v>
      </c>
      <c r="V766" s="9">
        <f>STATS1003B!V800/1000</f>
        <v>2023.81197</v>
      </c>
      <c r="W766" s="9">
        <f>STATS1003B!W800/1000</f>
        <v>0</v>
      </c>
      <c r="X766" s="9">
        <f>STATS1003B!X800/1000</f>
        <v>2023.81197</v>
      </c>
      <c r="Y766" s="9">
        <f>STATS1003B!Y800/1000</f>
        <v>0</v>
      </c>
      <c r="Z766" s="9">
        <f>STATS1003B!Z800/1000</f>
        <v>0</v>
      </c>
      <c r="AA766" s="9">
        <f>STATS1003B!AA800/1000</f>
        <v>2023.81197</v>
      </c>
      <c r="AB766" s="9">
        <f>STATS1003B!AB800/1000</f>
        <v>0</v>
      </c>
    </row>
    <row r="767" spans="1:28" x14ac:dyDescent="0.35">
      <c r="A767" s="36"/>
      <c r="B767" s="8"/>
      <c r="C767" s="8"/>
      <c r="D767" s="8"/>
      <c r="E767" s="17" t="s">
        <v>29</v>
      </c>
      <c r="F767" s="17" t="s">
        <v>29</v>
      </c>
      <c r="G767" s="17" t="s">
        <v>29</v>
      </c>
      <c r="H767" s="17" t="s">
        <v>29</v>
      </c>
      <c r="I767" s="17" t="s">
        <v>29</v>
      </c>
      <c r="J767" s="17" t="s">
        <v>29</v>
      </c>
      <c r="K767" s="17" t="s">
        <v>29</v>
      </c>
      <c r="L767" s="17" t="s">
        <v>29</v>
      </c>
      <c r="M767" s="17" t="s">
        <v>29</v>
      </c>
      <c r="N767" s="17" t="s">
        <v>29</v>
      </c>
      <c r="O767" s="17" t="s">
        <v>29</v>
      </c>
      <c r="P767" s="17" t="s">
        <v>29</v>
      </c>
      <c r="Q767" s="17" t="s">
        <v>29</v>
      </c>
      <c r="R767" s="17" t="s">
        <v>29</v>
      </c>
      <c r="S767" s="17" t="s">
        <v>29</v>
      </c>
      <c r="T767" s="17" t="s">
        <v>29</v>
      </c>
      <c r="U767" s="17" t="s">
        <v>29</v>
      </c>
      <c r="V767" s="17" t="s">
        <v>29</v>
      </c>
      <c r="W767" s="17" t="s">
        <v>29</v>
      </c>
      <c r="X767" s="17" t="s">
        <v>29</v>
      </c>
      <c r="Y767" s="17" t="s">
        <v>29</v>
      </c>
      <c r="Z767" s="17" t="s">
        <v>29</v>
      </c>
      <c r="AA767" s="17" t="s">
        <v>29</v>
      </c>
      <c r="AB767" s="17" t="s">
        <v>29</v>
      </c>
    </row>
    <row r="768" spans="1:28" x14ac:dyDescent="0.35">
      <c r="A768" s="36"/>
      <c r="B768" s="8"/>
      <c r="C768" s="8"/>
      <c r="D768" s="8"/>
      <c r="E768" s="9">
        <f t="shared" ref="E768:Q768" si="54">SUM(E751:E767)</f>
        <v>67092.040789999985</v>
      </c>
      <c r="F768" s="9">
        <f t="shared" si="54"/>
        <v>59203.552479999991</v>
      </c>
      <c r="G768" s="9">
        <f t="shared" si="54"/>
        <v>0</v>
      </c>
      <c r="H768" s="9">
        <f t="shared" si="54"/>
        <v>59203.552479999991</v>
      </c>
      <c r="I768" s="9">
        <f t="shared" si="54"/>
        <v>3375.1930000000002</v>
      </c>
      <c r="J768" s="9">
        <f t="shared" si="54"/>
        <v>53378.74547999999</v>
      </c>
      <c r="K768" s="9">
        <f t="shared" si="54"/>
        <v>4008.95426</v>
      </c>
      <c r="L768" s="9">
        <f t="shared" si="54"/>
        <v>3375.1930000000002</v>
      </c>
      <c r="M768" s="9">
        <f t="shared" si="54"/>
        <v>62578.74547999999</v>
      </c>
      <c r="N768" s="9">
        <f t="shared" si="54"/>
        <v>4268.7979300000006</v>
      </c>
      <c r="O768" s="9">
        <f t="shared" si="54"/>
        <v>0</v>
      </c>
      <c r="P768" s="9">
        <f t="shared" si="54"/>
        <v>4268.7979300000006</v>
      </c>
      <c r="Q768" s="9">
        <f t="shared" si="54"/>
        <v>53623.242859999998</v>
      </c>
      <c r="R768" s="17"/>
      <c r="S768" s="17"/>
      <c r="T768" s="9">
        <f t="shared" ref="T768:Z768" si="55">SUM(T751:T767)</f>
        <v>244.49737999999999</v>
      </c>
      <c r="U768" s="9">
        <f t="shared" si="55"/>
        <v>4513.2953099999995</v>
      </c>
      <c r="V768" s="9">
        <f t="shared" si="55"/>
        <v>54272.350409999992</v>
      </c>
      <c r="W768" s="9">
        <f t="shared" si="55"/>
        <v>3619.6903800000023</v>
      </c>
      <c r="X768" s="9">
        <f t="shared" si="55"/>
        <v>63472.350409999992</v>
      </c>
      <c r="Y768" s="9">
        <f t="shared" si="55"/>
        <v>0</v>
      </c>
      <c r="Z768" s="9">
        <f t="shared" si="55"/>
        <v>3619.6903800000023</v>
      </c>
      <c r="AA768" s="9">
        <f>SUM(AA751:AA767)</f>
        <v>67092.040789999985</v>
      </c>
      <c r="AB768" s="9">
        <f>SUM(AB751:AB767)</f>
        <v>0</v>
      </c>
    </row>
    <row r="769" spans="1:28" x14ac:dyDescent="0.35">
      <c r="A769" s="36"/>
      <c r="B769" s="8"/>
      <c r="C769" s="8"/>
      <c r="D769" s="8"/>
      <c r="E769" s="17" t="s">
        <v>29</v>
      </c>
      <c r="F769" s="17" t="s">
        <v>29</v>
      </c>
      <c r="G769" s="17" t="s">
        <v>29</v>
      </c>
      <c r="H769" s="17" t="s">
        <v>29</v>
      </c>
      <c r="I769" s="17" t="s">
        <v>29</v>
      </c>
      <c r="J769" s="17" t="s">
        <v>29</v>
      </c>
      <c r="K769" s="17" t="s">
        <v>29</v>
      </c>
      <c r="L769" s="17" t="s">
        <v>29</v>
      </c>
      <c r="M769" s="17" t="s">
        <v>29</v>
      </c>
      <c r="N769" s="17" t="s">
        <v>29</v>
      </c>
      <c r="O769" s="17" t="s">
        <v>29</v>
      </c>
      <c r="P769" s="17" t="s">
        <v>29</v>
      </c>
      <c r="Q769" s="17" t="s">
        <v>29</v>
      </c>
      <c r="R769" s="17" t="s">
        <v>29</v>
      </c>
      <c r="S769" s="17" t="s">
        <v>29</v>
      </c>
      <c r="T769" s="17" t="s">
        <v>29</v>
      </c>
      <c r="U769" s="17" t="s">
        <v>29</v>
      </c>
      <c r="V769" s="17" t="s">
        <v>29</v>
      </c>
      <c r="W769" s="17" t="s">
        <v>29</v>
      </c>
      <c r="X769" s="17" t="s">
        <v>29</v>
      </c>
      <c r="Y769" s="17" t="s">
        <v>29</v>
      </c>
      <c r="Z769" s="17" t="s">
        <v>29</v>
      </c>
      <c r="AA769" s="17" t="s">
        <v>29</v>
      </c>
      <c r="AB769" s="17" t="s">
        <v>29</v>
      </c>
    </row>
    <row r="770" spans="1:28" x14ac:dyDescent="0.35">
      <c r="A770" s="38" t="s">
        <v>975</v>
      </c>
      <c r="B770" s="7" t="s">
        <v>637</v>
      </c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17"/>
      <c r="S770" s="17"/>
      <c r="T770" s="17"/>
      <c r="U770" s="17"/>
      <c r="V770" s="17"/>
      <c r="W770" s="17"/>
      <c r="X770" s="17"/>
      <c r="Y770" s="17"/>
      <c r="Z770" s="17"/>
    </row>
    <row r="771" spans="1:28" x14ac:dyDescent="0.35">
      <c r="A771" s="36"/>
      <c r="B771" s="8"/>
      <c r="C771" s="7" t="s">
        <v>638</v>
      </c>
      <c r="D771" s="15" t="s">
        <v>150</v>
      </c>
      <c r="E771" s="9">
        <f>STATS1003B!E805/1000</f>
        <v>3018.4</v>
      </c>
      <c r="F771" s="9">
        <f>STATS1003B!F805/1000</f>
        <v>3000</v>
      </c>
      <c r="G771" s="9">
        <f>STATS1003B!G805/1000</f>
        <v>0</v>
      </c>
      <c r="H771" s="9">
        <f>STATS1003B!H805/1000</f>
        <v>3000</v>
      </c>
      <c r="I771" s="9">
        <f>STATS1003B!I805/1000</f>
        <v>0</v>
      </c>
      <c r="J771" s="9">
        <f>STATS1003B!J805/1000</f>
        <v>3000</v>
      </c>
      <c r="K771" s="9">
        <f>STATS1003B!K805/1000</f>
        <v>18.399999999999999</v>
      </c>
      <c r="L771" s="9">
        <f>STATS1003B!L805/1000</f>
        <v>0</v>
      </c>
      <c r="M771" s="9">
        <f>STATS1003B!M805/1000</f>
        <v>3000</v>
      </c>
      <c r="N771" s="9">
        <f>STATS1003B!N805/1000</f>
        <v>18.399999999999999</v>
      </c>
      <c r="O771" s="9">
        <f>STATS1003B!O805/1000</f>
        <v>0</v>
      </c>
      <c r="P771" s="9">
        <f>STATS1003B!P805/1000</f>
        <v>18.399999999999999</v>
      </c>
      <c r="Q771" s="9">
        <f>STATS1003B!Q805/1000</f>
        <v>3000</v>
      </c>
      <c r="R771" s="9">
        <f>STATS1003B!R805/1000</f>
        <v>0</v>
      </c>
      <c r="S771" s="9">
        <f>STATS1003B!S805/1000</f>
        <v>0</v>
      </c>
      <c r="T771" s="9">
        <f>STATS1003B!T805/1000</f>
        <v>0</v>
      </c>
      <c r="U771" s="9">
        <f>STATS1003B!U805/1000</f>
        <v>18.399999999999999</v>
      </c>
      <c r="V771" s="9">
        <f>STATS1003B!V805/1000</f>
        <v>3018.4</v>
      </c>
      <c r="W771" s="9">
        <f>STATS1003B!W805/1000</f>
        <v>0</v>
      </c>
      <c r="X771" s="9">
        <f>STATS1003B!X805/1000</f>
        <v>3018.4</v>
      </c>
      <c r="Y771" s="9">
        <f>STATS1003B!Y805/1000</f>
        <v>0</v>
      </c>
      <c r="Z771" s="9">
        <f>STATS1003B!Z805/1000</f>
        <v>0</v>
      </c>
      <c r="AA771" s="9">
        <f>STATS1003B!AA805/1000</f>
        <v>3018.4</v>
      </c>
      <c r="AB771" s="9">
        <f>STATS1003B!AB805/1000</f>
        <v>0</v>
      </c>
    </row>
    <row r="772" spans="1:28" x14ac:dyDescent="0.35">
      <c r="A772" s="36"/>
      <c r="B772" s="8"/>
      <c r="C772" s="7" t="s">
        <v>535</v>
      </c>
      <c r="D772" s="15" t="s">
        <v>68</v>
      </c>
      <c r="E772" s="9">
        <f>STATS1003B!E806/1000</f>
        <v>3650.85</v>
      </c>
      <c r="F772" s="9">
        <f>STATS1003B!F806/1000</f>
        <v>1321.2</v>
      </c>
      <c r="G772" s="9">
        <f>STATS1003B!G806/1000</f>
        <v>0</v>
      </c>
      <c r="H772" s="9">
        <f>STATS1003B!H806/1000</f>
        <v>1321.2</v>
      </c>
      <c r="I772" s="9">
        <f>STATS1003B!I806/1000</f>
        <v>0</v>
      </c>
      <c r="J772" s="9">
        <f>STATS1003B!J806/1000</f>
        <v>1321.2</v>
      </c>
      <c r="K772" s="9">
        <f>STATS1003B!K806/1000</f>
        <v>2329.65</v>
      </c>
      <c r="L772" s="9">
        <f>STATS1003B!L806/1000</f>
        <v>0</v>
      </c>
      <c r="M772" s="9">
        <f>STATS1003B!M806/1000</f>
        <v>1321.2</v>
      </c>
      <c r="N772" s="9">
        <f>STATS1003B!N806/1000</f>
        <v>2329.65</v>
      </c>
      <c r="O772" s="9">
        <f>STATS1003B!O806/1000</f>
        <v>0</v>
      </c>
      <c r="P772" s="9">
        <f>STATS1003B!P806/1000</f>
        <v>2329.65</v>
      </c>
      <c r="Q772" s="9">
        <f>STATS1003B!Q806/1000</f>
        <v>1321.2</v>
      </c>
      <c r="R772" s="9">
        <f>STATS1003B!R806/1000</f>
        <v>0</v>
      </c>
      <c r="S772" s="9">
        <f>STATS1003B!S806/1000</f>
        <v>0</v>
      </c>
      <c r="T772" s="9">
        <f>STATS1003B!T806/1000</f>
        <v>0</v>
      </c>
      <c r="U772" s="9">
        <f>STATS1003B!U806/1000</f>
        <v>2329.65</v>
      </c>
      <c r="V772" s="9">
        <f>STATS1003B!V806/1000</f>
        <v>3650.85</v>
      </c>
      <c r="W772" s="9">
        <f>STATS1003B!W806/1000</f>
        <v>0</v>
      </c>
      <c r="X772" s="9">
        <f>STATS1003B!X806/1000</f>
        <v>3650.85</v>
      </c>
      <c r="Y772" s="9">
        <f>STATS1003B!Y806/1000</f>
        <v>0</v>
      </c>
      <c r="Z772" s="9">
        <f>STATS1003B!Z806/1000</f>
        <v>0</v>
      </c>
      <c r="AA772" s="9">
        <f>STATS1003B!AA806/1000</f>
        <v>3650.85</v>
      </c>
      <c r="AB772" s="9">
        <f>STATS1003B!AB806/1000</f>
        <v>0</v>
      </c>
    </row>
    <row r="773" spans="1:28" x14ac:dyDescent="0.35">
      <c r="A773" s="36"/>
      <c r="B773" s="8"/>
      <c r="C773" s="7" t="s">
        <v>539</v>
      </c>
      <c r="D773" s="15" t="s">
        <v>68</v>
      </c>
      <c r="E773" s="9">
        <f>STATS1003B!E807/1000</f>
        <v>5886.7094699999998</v>
      </c>
      <c r="F773" s="9">
        <f>STATS1003B!F807/1000</f>
        <v>0</v>
      </c>
      <c r="G773" s="9">
        <f>STATS1003B!G807/1000</f>
        <v>0</v>
      </c>
      <c r="H773" s="9">
        <f>STATS1003B!H807/1000</f>
        <v>0</v>
      </c>
      <c r="I773" s="9">
        <f>STATS1003B!I807/1000</f>
        <v>0</v>
      </c>
      <c r="J773" s="9">
        <f>STATS1003B!J807/1000</f>
        <v>0</v>
      </c>
      <c r="K773" s="9">
        <f>STATS1003B!K807/1000</f>
        <v>5886.7094699999998</v>
      </c>
      <c r="L773" s="9">
        <f>STATS1003B!L807/1000</f>
        <v>0</v>
      </c>
      <c r="M773" s="9">
        <f>STATS1003B!M807/1000</f>
        <v>0</v>
      </c>
      <c r="N773" s="9">
        <f>STATS1003B!N807/1000</f>
        <v>5886.7094699999998</v>
      </c>
      <c r="O773" s="9">
        <f>STATS1003B!O807/1000</f>
        <v>0</v>
      </c>
      <c r="P773" s="9">
        <f>STATS1003B!P807/1000</f>
        <v>5886.7094699999998</v>
      </c>
      <c r="Q773" s="9">
        <f>STATS1003B!Q807/1000</f>
        <v>0</v>
      </c>
      <c r="R773" s="9">
        <f>STATS1003B!R807/1000</f>
        <v>0</v>
      </c>
      <c r="S773" s="9">
        <f>STATS1003B!S807/1000</f>
        <v>0</v>
      </c>
      <c r="T773" s="9">
        <f>STATS1003B!T807/1000</f>
        <v>0</v>
      </c>
      <c r="U773" s="9">
        <f>STATS1003B!U807/1000</f>
        <v>5886.7094699999998</v>
      </c>
      <c r="V773" s="9">
        <f>STATS1003B!V807/1000</f>
        <v>5886.7094699999998</v>
      </c>
      <c r="W773" s="9">
        <f>STATS1003B!W807/1000</f>
        <v>0</v>
      </c>
      <c r="X773" s="9">
        <f>STATS1003B!X807/1000</f>
        <v>5886.7094699999998</v>
      </c>
      <c r="Y773" s="9">
        <f>STATS1003B!Y807/1000</f>
        <v>0</v>
      </c>
      <c r="Z773" s="9">
        <f>STATS1003B!Z807/1000</f>
        <v>0</v>
      </c>
      <c r="AA773" s="9">
        <f>STATS1003B!AA807/1000</f>
        <v>5886.7094699999998</v>
      </c>
      <c r="AB773" s="9">
        <f>STATS1003B!AB807/1000</f>
        <v>0</v>
      </c>
    </row>
    <row r="774" spans="1:28" x14ac:dyDescent="0.35">
      <c r="A774" s="36"/>
      <c r="B774" s="8"/>
      <c r="C774" s="7" t="s">
        <v>545</v>
      </c>
      <c r="D774" s="15" t="s">
        <v>54</v>
      </c>
      <c r="E774" s="9">
        <f>STATS1003B!E808/1000</f>
        <v>1767.77</v>
      </c>
      <c r="F774" s="9">
        <f>STATS1003B!F808/1000</f>
        <v>0</v>
      </c>
      <c r="G774" s="9">
        <f>STATS1003B!G808/1000</f>
        <v>0</v>
      </c>
      <c r="H774" s="9">
        <f>STATS1003B!H808/1000</f>
        <v>0</v>
      </c>
      <c r="I774" s="9">
        <f>STATS1003B!I808/1000</f>
        <v>0</v>
      </c>
      <c r="J774" s="9">
        <f>STATS1003B!J808/1000</f>
        <v>0</v>
      </c>
      <c r="K774" s="9">
        <f>STATS1003B!K808/1000</f>
        <v>1767.77</v>
      </c>
      <c r="L774" s="9">
        <f>STATS1003B!L808/1000</f>
        <v>0</v>
      </c>
      <c r="M774" s="9">
        <f>STATS1003B!M808/1000</f>
        <v>0</v>
      </c>
      <c r="N774" s="9">
        <f>STATS1003B!N808/1000</f>
        <v>1767.77</v>
      </c>
      <c r="O774" s="9">
        <f>STATS1003B!O808/1000</f>
        <v>0</v>
      </c>
      <c r="P774" s="9">
        <f>STATS1003B!P808/1000</f>
        <v>1767.77</v>
      </c>
      <c r="Q774" s="9">
        <f>STATS1003B!Q808/1000</f>
        <v>0</v>
      </c>
      <c r="R774" s="9">
        <f>STATS1003B!R808/1000</f>
        <v>0</v>
      </c>
      <c r="S774" s="9">
        <f>STATS1003B!S808/1000</f>
        <v>0</v>
      </c>
      <c r="T774" s="9">
        <f>STATS1003B!T808/1000</f>
        <v>0</v>
      </c>
      <c r="U774" s="9">
        <f>STATS1003B!U808/1000</f>
        <v>1767.77</v>
      </c>
      <c r="V774" s="9">
        <f>STATS1003B!V808/1000</f>
        <v>1767.77</v>
      </c>
      <c r="W774" s="9">
        <f>STATS1003B!W808/1000</f>
        <v>0</v>
      </c>
      <c r="X774" s="9">
        <f>STATS1003B!X808/1000</f>
        <v>1767.77</v>
      </c>
      <c r="Y774" s="9">
        <f>STATS1003B!Y808/1000</f>
        <v>0</v>
      </c>
      <c r="Z774" s="9">
        <f>STATS1003B!Z808/1000</f>
        <v>0</v>
      </c>
      <c r="AA774" s="9">
        <f>STATS1003B!AA808/1000</f>
        <v>1767.77</v>
      </c>
      <c r="AB774" s="9">
        <f>STATS1003B!AB808/1000</f>
        <v>0</v>
      </c>
    </row>
    <row r="775" spans="1:28" x14ac:dyDescent="0.35">
      <c r="A775" s="36"/>
      <c r="B775" s="8"/>
      <c r="C775" s="7" t="s">
        <v>535</v>
      </c>
      <c r="D775" s="15" t="s">
        <v>54</v>
      </c>
      <c r="E775" s="9">
        <f>STATS1003B!E809/1000</f>
        <v>439</v>
      </c>
      <c r="F775" s="9">
        <f>STATS1003B!F809/1000</f>
        <v>439</v>
      </c>
      <c r="G775" s="9">
        <f>STATS1003B!G809/1000</f>
        <v>0</v>
      </c>
      <c r="H775" s="9">
        <f>STATS1003B!H809/1000</f>
        <v>439</v>
      </c>
      <c r="I775" s="9">
        <f>STATS1003B!I809/1000</f>
        <v>0</v>
      </c>
      <c r="J775" s="9">
        <f>STATS1003B!J809/1000</f>
        <v>439</v>
      </c>
      <c r="K775" s="9">
        <f>STATS1003B!K809/1000</f>
        <v>0</v>
      </c>
      <c r="L775" s="9">
        <f>STATS1003B!L809/1000</f>
        <v>0</v>
      </c>
      <c r="M775" s="9">
        <f>STATS1003B!M809/1000</f>
        <v>439</v>
      </c>
      <c r="N775" s="9">
        <f>STATS1003B!N809/1000</f>
        <v>0</v>
      </c>
      <c r="O775" s="9">
        <f>STATS1003B!O809/1000</f>
        <v>0</v>
      </c>
      <c r="P775" s="9">
        <f>STATS1003B!P809/1000</f>
        <v>0</v>
      </c>
      <c r="Q775" s="9">
        <f>STATS1003B!Q809/1000</f>
        <v>439</v>
      </c>
      <c r="R775" s="9">
        <f>STATS1003B!R809/1000</f>
        <v>0</v>
      </c>
      <c r="S775" s="9">
        <f>STATS1003B!S809/1000</f>
        <v>0</v>
      </c>
      <c r="T775" s="9">
        <f>STATS1003B!T809/1000</f>
        <v>0</v>
      </c>
      <c r="U775" s="9">
        <f>STATS1003B!U809/1000</f>
        <v>0</v>
      </c>
      <c r="V775" s="9">
        <f>STATS1003B!V809/1000</f>
        <v>439</v>
      </c>
      <c r="W775" s="9">
        <f>STATS1003B!W809/1000</f>
        <v>0</v>
      </c>
      <c r="X775" s="9">
        <f>STATS1003B!X809/1000</f>
        <v>439</v>
      </c>
      <c r="Y775" s="9">
        <f>STATS1003B!Y809/1000</f>
        <v>0</v>
      </c>
      <c r="Z775" s="9">
        <f>STATS1003B!Z809/1000</f>
        <v>0</v>
      </c>
      <c r="AA775" s="9">
        <f>STATS1003B!AA809/1000</f>
        <v>439</v>
      </c>
      <c r="AB775" s="9">
        <f>STATS1003B!AB809/1000</f>
        <v>0</v>
      </c>
    </row>
    <row r="776" spans="1:28" x14ac:dyDescent="0.35">
      <c r="A776" s="36"/>
      <c r="B776" s="8"/>
      <c r="C776" s="7" t="s">
        <v>639</v>
      </c>
      <c r="D776" s="15" t="s">
        <v>54</v>
      </c>
      <c r="E776" s="9">
        <f>STATS1003B!E810/1000</f>
        <v>2849.98</v>
      </c>
      <c r="F776" s="9">
        <f>STATS1003B!F810/1000</f>
        <v>2849.98</v>
      </c>
      <c r="G776" s="9">
        <f>STATS1003B!G810/1000</f>
        <v>0</v>
      </c>
      <c r="H776" s="9">
        <f>STATS1003B!H810/1000</f>
        <v>2849.98</v>
      </c>
      <c r="I776" s="9">
        <f>STATS1003B!I810/1000</f>
        <v>0</v>
      </c>
      <c r="J776" s="9">
        <f>STATS1003B!J810/1000</f>
        <v>2849.98</v>
      </c>
      <c r="K776" s="9">
        <f>STATS1003B!K810/1000</f>
        <v>0</v>
      </c>
      <c r="L776" s="9">
        <f>STATS1003B!L810/1000</f>
        <v>0</v>
      </c>
      <c r="M776" s="9">
        <f>STATS1003B!M810/1000</f>
        <v>2849.98</v>
      </c>
      <c r="N776" s="9">
        <f>STATS1003B!N810/1000</f>
        <v>0</v>
      </c>
      <c r="O776" s="9">
        <f>STATS1003B!O810/1000</f>
        <v>0</v>
      </c>
      <c r="P776" s="9">
        <f>STATS1003B!P810/1000</f>
        <v>0</v>
      </c>
      <c r="Q776" s="9">
        <f>STATS1003B!Q810/1000</f>
        <v>2849.98</v>
      </c>
      <c r="R776" s="9">
        <f>STATS1003B!R810/1000</f>
        <v>0</v>
      </c>
      <c r="S776" s="9">
        <f>STATS1003B!S810/1000</f>
        <v>0</v>
      </c>
      <c r="T776" s="9">
        <f>STATS1003B!T810/1000</f>
        <v>0</v>
      </c>
      <c r="U776" s="9">
        <f>STATS1003B!U810/1000</f>
        <v>0</v>
      </c>
      <c r="V776" s="9">
        <f>STATS1003B!V810/1000</f>
        <v>2849.98</v>
      </c>
      <c r="W776" s="9">
        <f>STATS1003B!W810/1000</f>
        <v>0</v>
      </c>
      <c r="X776" s="9">
        <f>STATS1003B!X810/1000</f>
        <v>2849.98</v>
      </c>
      <c r="Y776" s="9">
        <f>STATS1003B!Y810/1000</f>
        <v>0</v>
      </c>
      <c r="Z776" s="9">
        <f>STATS1003B!Z810/1000</f>
        <v>0</v>
      </c>
      <c r="AA776" s="9">
        <f>STATS1003B!AA810/1000</f>
        <v>2849.98</v>
      </c>
      <c r="AB776" s="9">
        <f>STATS1003B!AB810/1000</f>
        <v>0</v>
      </c>
    </row>
    <row r="777" spans="1:28" x14ac:dyDescent="0.35">
      <c r="A777" s="36"/>
      <c r="B777" s="8"/>
      <c r="C777" s="7" t="s">
        <v>535</v>
      </c>
      <c r="D777" s="15" t="s">
        <v>85</v>
      </c>
      <c r="E777" s="9">
        <f>STATS1003B!E811/1000</f>
        <v>1063.8</v>
      </c>
      <c r="F777" s="9">
        <f>STATS1003B!F811/1000</f>
        <v>1063.8</v>
      </c>
      <c r="G777" s="9">
        <f>STATS1003B!G811/1000</f>
        <v>0</v>
      </c>
      <c r="H777" s="9">
        <f>STATS1003B!H811/1000</f>
        <v>1063.8</v>
      </c>
      <c r="I777" s="9">
        <f>STATS1003B!I811/1000</f>
        <v>0</v>
      </c>
      <c r="J777" s="9">
        <f>STATS1003B!J811/1000</f>
        <v>1063.8</v>
      </c>
      <c r="K777" s="9">
        <f>STATS1003B!K811/1000</f>
        <v>0</v>
      </c>
      <c r="L777" s="9">
        <f>STATS1003B!L811/1000</f>
        <v>0</v>
      </c>
      <c r="M777" s="9">
        <f>STATS1003B!M811/1000</f>
        <v>1063.8</v>
      </c>
      <c r="N777" s="9">
        <f>STATS1003B!N811/1000</f>
        <v>0</v>
      </c>
      <c r="O777" s="9">
        <f>STATS1003B!O811/1000</f>
        <v>0</v>
      </c>
      <c r="P777" s="9">
        <f>STATS1003B!P811/1000</f>
        <v>0</v>
      </c>
      <c r="Q777" s="9">
        <f>STATS1003B!Q811/1000</f>
        <v>1063.8</v>
      </c>
      <c r="R777" s="9">
        <f>STATS1003B!R811/1000</f>
        <v>0</v>
      </c>
      <c r="S777" s="9">
        <f>STATS1003B!S811/1000</f>
        <v>0</v>
      </c>
      <c r="T777" s="9">
        <f>STATS1003B!T811/1000</f>
        <v>0</v>
      </c>
      <c r="U777" s="9">
        <f>STATS1003B!U811/1000</f>
        <v>0</v>
      </c>
      <c r="V777" s="9">
        <f>STATS1003B!V811/1000</f>
        <v>1063.8</v>
      </c>
      <c r="W777" s="9">
        <f>STATS1003B!W811/1000</f>
        <v>0</v>
      </c>
      <c r="X777" s="9">
        <f>STATS1003B!X811/1000</f>
        <v>1063.8</v>
      </c>
      <c r="Y777" s="9">
        <f>STATS1003B!Y811/1000</f>
        <v>0</v>
      </c>
      <c r="Z777" s="9">
        <f>STATS1003B!Z811/1000</f>
        <v>0</v>
      </c>
      <c r="AA777" s="9">
        <f>STATS1003B!AA811/1000</f>
        <v>1063.8</v>
      </c>
      <c r="AB777" s="9">
        <f>STATS1003B!AB811/1000</f>
        <v>0</v>
      </c>
    </row>
    <row r="778" spans="1:28" x14ac:dyDescent="0.35">
      <c r="A778" s="36"/>
      <c r="B778" s="8"/>
      <c r="C778" s="7" t="s">
        <v>639</v>
      </c>
      <c r="D778" s="15" t="s">
        <v>85</v>
      </c>
      <c r="E778" s="9">
        <f>STATS1003B!E812/1000</f>
        <v>2400.0005000000001</v>
      </c>
      <c r="F778" s="9">
        <f>STATS1003B!F812/1000</f>
        <v>2400.0005000000001</v>
      </c>
      <c r="G778" s="9">
        <f>STATS1003B!G812/1000</f>
        <v>0</v>
      </c>
      <c r="H778" s="9">
        <f>STATS1003B!H812/1000</f>
        <v>2400.0005000000001</v>
      </c>
      <c r="I778" s="9">
        <f>STATS1003B!I812/1000</f>
        <v>0</v>
      </c>
      <c r="J778" s="9">
        <f>STATS1003B!J812/1000</f>
        <v>2400.0005000000001</v>
      </c>
      <c r="K778" s="9">
        <f>STATS1003B!K812/1000</f>
        <v>0</v>
      </c>
      <c r="L778" s="9">
        <f>STATS1003B!L812/1000</f>
        <v>0</v>
      </c>
      <c r="M778" s="9">
        <f>STATS1003B!M812/1000</f>
        <v>2400.0005000000001</v>
      </c>
      <c r="N778" s="9">
        <f>STATS1003B!N812/1000</f>
        <v>0</v>
      </c>
      <c r="O778" s="9">
        <f>STATS1003B!O812/1000</f>
        <v>0</v>
      </c>
      <c r="P778" s="9">
        <f>STATS1003B!P812/1000</f>
        <v>0</v>
      </c>
      <c r="Q778" s="9">
        <f>STATS1003B!Q812/1000</f>
        <v>2400.0005000000001</v>
      </c>
      <c r="R778" s="9">
        <f>STATS1003B!R812/1000</f>
        <v>0</v>
      </c>
      <c r="S778" s="9">
        <f>STATS1003B!S812/1000</f>
        <v>0</v>
      </c>
      <c r="T778" s="9">
        <f>STATS1003B!T812/1000</f>
        <v>0</v>
      </c>
      <c r="U778" s="9">
        <f>STATS1003B!U812/1000</f>
        <v>0</v>
      </c>
      <c r="V778" s="9">
        <f>STATS1003B!V812/1000</f>
        <v>2400.0005000000001</v>
      </c>
      <c r="W778" s="9">
        <f>STATS1003B!W812/1000</f>
        <v>0</v>
      </c>
      <c r="X778" s="9">
        <f>STATS1003B!X812/1000</f>
        <v>2400.0005000000001</v>
      </c>
      <c r="Y778" s="9">
        <f>STATS1003B!Y812/1000</f>
        <v>0</v>
      </c>
      <c r="Z778" s="9">
        <f>STATS1003B!Z812/1000</f>
        <v>0</v>
      </c>
      <c r="AA778" s="9">
        <f>STATS1003B!AA812/1000</f>
        <v>2400.0005000000001</v>
      </c>
      <c r="AB778" s="9">
        <f>STATS1003B!AB812/1000</f>
        <v>0</v>
      </c>
    </row>
    <row r="779" spans="1:28" x14ac:dyDescent="0.35">
      <c r="A779" s="36"/>
      <c r="B779" s="8"/>
      <c r="C779" s="7" t="s">
        <v>640</v>
      </c>
      <c r="D779" s="15" t="s">
        <v>128</v>
      </c>
      <c r="E779" s="9">
        <f>STATS1003B!E813/1000</f>
        <v>800</v>
      </c>
      <c r="F779" s="9">
        <f>STATS1003B!F813/1000</f>
        <v>800</v>
      </c>
      <c r="G779" s="9">
        <f>STATS1003B!G813/1000</f>
        <v>0</v>
      </c>
      <c r="H779" s="9">
        <f>STATS1003B!H813/1000</f>
        <v>800</v>
      </c>
      <c r="I779" s="9">
        <f>STATS1003B!I813/1000</f>
        <v>0</v>
      </c>
      <c r="J779" s="9">
        <f>STATS1003B!J813/1000</f>
        <v>800</v>
      </c>
      <c r="K779" s="9">
        <f>STATS1003B!K813/1000</f>
        <v>0</v>
      </c>
      <c r="L779" s="9">
        <f>STATS1003B!L813/1000</f>
        <v>0</v>
      </c>
      <c r="M779" s="9">
        <f>STATS1003B!M813/1000</f>
        <v>800</v>
      </c>
      <c r="N779" s="9">
        <f>STATS1003B!N813/1000</f>
        <v>0</v>
      </c>
      <c r="O779" s="9">
        <f>STATS1003B!O813/1000</f>
        <v>0</v>
      </c>
      <c r="P779" s="9">
        <f>STATS1003B!P813/1000</f>
        <v>0</v>
      </c>
      <c r="Q779" s="9">
        <f>STATS1003B!Q813/1000</f>
        <v>800</v>
      </c>
      <c r="R779" s="9">
        <f>STATS1003B!R813/1000</f>
        <v>0</v>
      </c>
      <c r="S779" s="9">
        <f>STATS1003B!S813/1000</f>
        <v>0</v>
      </c>
      <c r="T779" s="9">
        <f>STATS1003B!T813/1000</f>
        <v>0</v>
      </c>
      <c r="U779" s="9">
        <f>STATS1003B!U813/1000</f>
        <v>0</v>
      </c>
      <c r="V779" s="9">
        <f>STATS1003B!V813/1000</f>
        <v>800</v>
      </c>
      <c r="W779" s="9">
        <f>STATS1003B!W813/1000</f>
        <v>0</v>
      </c>
      <c r="X779" s="9">
        <f>STATS1003B!X813/1000</f>
        <v>800</v>
      </c>
      <c r="Y779" s="9">
        <f>STATS1003B!Y813/1000</f>
        <v>0</v>
      </c>
      <c r="Z779" s="9">
        <f>STATS1003B!Z813/1000</f>
        <v>0</v>
      </c>
      <c r="AA779" s="9">
        <f>STATS1003B!AA813/1000</f>
        <v>800</v>
      </c>
      <c r="AB779" s="9">
        <f>STATS1003B!AB813/1000</f>
        <v>0</v>
      </c>
    </row>
    <row r="780" spans="1:28" x14ac:dyDescent="0.35">
      <c r="A780" s="36"/>
      <c r="B780" s="8"/>
      <c r="C780" s="7" t="s">
        <v>641</v>
      </c>
      <c r="D780" s="15" t="s">
        <v>128</v>
      </c>
      <c r="E780" s="9">
        <f>STATS1003B!E814/1000</f>
        <v>1000</v>
      </c>
      <c r="F780" s="9">
        <f>STATS1003B!F814/1000</f>
        <v>1000</v>
      </c>
      <c r="G780" s="9">
        <f>STATS1003B!G814/1000</f>
        <v>0</v>
      </c>
      <c r="H780" s="9">
        <f>STATS1003B!H814/1000</f>
        <v>1000</v>
      </c>
      <c r="I780" s="9">
        <f>STATS1003B!I814/1000</f>
        <v>0</v>
      </c>
      <c r="J780" s="9">
        <f>STATS1003B!J814/1000</f>
        <v>1000</v>
      </c>
      <c r="K780" s="9">
        <f>STATS1003B!K814/1000</f>
        <v>0</v>
      </c>
      <c r="L780" s="9">
        <f>STATS1003B!L814/1000</f>
        <v>0</v>
      </c>
      <c r="M780" s="9">
        <f>STATS1003B!M814/1000</f>
        <v>1000</v>
      </c>
      <c r="N780" s="9">
        <f>STATS1003B!N814/1000</f>
        <v>0</v>
      </c>
      <c r="O780" s="9">
        <f>STATS1003B!O814/1000</f>
        <v>0</v>
      </c>
      <c r="P780" s="9">
        <f>STATS1003B!P814/1000</f>
        <v>0</v>
      </c>
      <c r="Q780" s="9">
        <f>STATS1003B!Q814/1000</f>
        <v>1000</v>
      </c>
      <c r="R780" s="9">
        <f>STATS1003B!R814/1000</f>
        <v>0</v>
      </c>
      <c r="S780" s="9">
        <f>STATS1003B!S814/1000</f>
        <v>0</v>
      </c>
      <c r="T780" s="9">
        <f>STATS1003B!T814/1000</f>
        <v>0</v>
      </c>
      <c r="U780" s="9">
        <f>STATS1003B!U814/1000</f>
        <v>0</v>
      </c>
      <c r="V780" s="9">
        <f>STATS1003B!V814/1000</f>
        <v>1000</v>
      </c>
      <c r="W780" s="9">
        <f>STATS1003B!W814/1000</f>
        <v>0</v>
      </c>
      <c r="X780" s="9">
        <f>STATS1003B!X814/1000</f>
        <v>1000</v>
      </c>
      <c r="Y780" s="9">
        <f>STATS1003B!Y814/1000</f>
        <v>0</v>
      </c>
      <c r="Z780" s="9">
        <f>STATS1003B!Z814/1000</f>
        <v>0</v>
      </c>
      <c r="AA780" s="9">
        <f>STATS1003B!AA814/1000</f>
        <v>1000</v>
      </c>
      <c r="AB780" s="9">
        <f>STATS1003B!AB814/1000</f>
        <v>0</v>
      </c>
    </row>
    <row r="781" spans="1:28" x14ac:dyDescent="0.35">
      <c r="A781" s="36"/>
      <c r="B781" s="8"/>
      <c r="C781" s="7" t="s">
        <v>535</v>
      </c>
      <c r="D781" s="15" t="s">
        <v>128</v>
      </c>
      <c r="E781" s="9">
        <f>STATS1003B!E815/1000</f>
        <v>3903.5</v>
      </c>
      <c r="F781" s="9">
        <f>STATS1003B!F815/1000</f>
        <v>3903.5</v>
      </c>
      <c r="G781" s="9">
        <f>STATS1003B!G815/1000</f>
        <v>0</v>
      </c>
      <c r="H781" s="9">
        <f>STATS1003B!H815/1000</f>
        <v>3903.5</v>
      </c>
      <c r="I781" s="9">
        <f>STATS1003B!I815/1000</f>
        <v>0</v>
      </c>
      <c r="J781" s="9">
        <f>STATS1003B!J815/1000</f>
        <v>3903.5</v>
      </c>
      <c r="K781" s="9">
        <f>STATS1003B!K815/1000</f>
        <v>0</v>
      </c>
      <c r="L781" s="9">
        <f>STATS1003B!L815/1000</f>
        <v>0</v>
      </c>
      <c r="M781" s="9">
        <f>STATS1003B!M815/1000</f>
        <v>3903.5</v>
      </c>
      <c r="N781" s="9">
        <f>STATS1003B!N815/1000</f>
        <v>0</v>
      </c>
      <c r="O781" s="9">
        <f>STATS1003B!O815/1000</f>
        <v>0</v>
      </c>
      <c r="P781" s="9">
        <f>STATS1003B!P815/1000</f>
        <v>0</v>
      </c>
      <c r="Q781" s="9">
        <f>STATS1003B!Q815/1000</f>
        <v>3903.5</v>
      </c>
      <c r="R781" s="9">
        <f>STATS1003B!R815/1000</f>
        <v>0</v>
      </c>
      <c r="S781" s="9">
        <f>STATS1003B!S815/1000</f>
        <v>0</v>
      </c>
      <c r="T781" s="9">
        <f>STATS1003B!T815/1000</f>
        <v>0</v>
      </c>
      <c r="U781" s="9">
        <f>STATS1003B!U815/1000</f>
        <v>0</v>
      </c>
      <c r="V781" s="9">
        <f>STATS1003B!V815/1000</f>
        <v>3903.5</v>
      </c>
      <c r="W781" s="9">
        <f>STATS1003B!W815/1000</f>
        <v>0</v>
      </c>
      <c r="X781" s="9">
        <f>STATS1003B!X815/1000</f>
        <v>3903.5</v>
      </c>
      <c r="Y781" s="9">
        <f>STATS1003B!Y815/1000</f>
        <v>0</v>
      </c>
      <c r="Z781" s="9">
        <f>STATS1003B!Z815/1000</f>
        <v>0</v>
      </c>
      <c r="AA781" s="9">
        <f>STATS1003B!AA815/1000</f>
        <v>3903.5</v>
      </c>
      <c r="AB781" s="9">
        <f>STATS1003B!AB815/1000</f>
        <v>0</v>
      </c>
    </row>
    <row r="782" spans="1:28" x14ac:dyDescent="0.35">
      <c r="A782" s="36"/>
      <c r="B782" s="7" t="s">
        <v>642</v>
      </c>
      <c r="C782" s="7" t="s">
        <v>535</v>
      </c>
      <c r="D782" s="15" t="s">
        <v>108</v>
      </c>
      <c r="E782" s="9">
        <f>STATS1003B!E816/1000</f>
        <v>2000</v>
      </c>
      <c r="F782" s="9">
        <f>STATS1003B!F816/1000</f>
        <v>2000</v>
      </c>
      <c r="G782" s="9">
        <f>STATS1003B!G816/1000</f>
        <v>0</v>
      </c>
      <c r="H782" s="9">
        <f>STATS1003B!H816/1000</f>
        <v>2000</v>
      </c>
      <c r="I782" s="9">
        <f>STATS1003B!I816/1000</f>
        <v>0</v>
      </c>
      <c r="J782" s="9">
        <f>STATS1003B!J816/1000</f>
        <v>2000</v>
      </c>
      <c r="K782" s="9">
        <f>STATS1003B!K816/1000</f>
        <v>0</v>
      </c>
      <c r="L782" s="9">
        <f>STATS1003B!L816/1000</f>
        <v>0</v>
      </c>
      <c r="M782" s="9">
        <f>STATS1003B!M816/1000</f>
        <v>2000</v>
      </c>
      <c r="N782" s="9">
        <f>STATS1003B!N816/1000</f>
        <v>0</v>
      </c>
      <c r="O782" s="9">
        <f>STATS1003B!O816/1000</f>
        <v>0</v>
      </c>
      <c r="P782" s="9">
        <f>STATS1003B!P816/1000</f>
        <v>0</v>
      </c>
      <c r="Q782" s="9">
        <f>STATS1003B!Q816/1000</f>
        <v>2000</v>
      </c>
      <c r="R782" s="9">
        <f>STATS1003B!R816/1000</f>
        <v>0</v>
      </c>
      <c r="S782" s="9">
        <f>STATS1003B!S816/1000</f>
        <v>0</v>
      </c>
      <c r="T782" s="9">
        <f>STATS1003B!T816/1000</f>
        <v>0</v>
      </c>
      <c r="U782" s="9">
        <f>STATS1003B!U816/1000</f>
        <v>0</v>
      </c>
      <c r="V782" s="9">
        <f>STATS1003B!V816/1000</f>
        <v>2000</v>
      </c>
      <c r="W782" s="9">
        <f>STATS1003B!W816/1000</f>
        <v>0</v>
      </c>
      <c r="X782" s="9">
        <f>STATS1003B!X816/1000</f>
        <v>2000</v>
      </c>
      <c r="Y782" s="9">
        <f>STATS1003B!Y816/1000</f>
        <v>0</v>
      </c>
      <c r="Z782" s="9">
        <f>STATS1003B!Z816/1000</f>
        <v>0</v>
      </c>
      <c r="AA782" s="9">
        <f>STATS1003B!AA816/1000</f>
        <v>2000</v>
      </c>
      <c r="AB782" s="9">
        <f>STATS1003B!AB816/1000</f>
        <v>0</v>
      </c>
    </row>
    <row r="783" spans="1:28" x14ac:dyDescent="0.35">
      <c r="A783" s="36"/>
      <c r="B783" s="8"/>
      <c r="C783" s="7" t="s">
        <v>535</v>
      </c>
      <c r="D783" s="15" t="s">
        <v>194</v>
      </c>
      <c r="E783" s="9">
        <f>STATS1003B!E817/1000</f>
        <v>894.69569999999999</v>
      </c>
      <c r="F783" s="9">
        <f>STATS1003B!F817/1000</f>
        <v>894.69569999999999</v>
      </c>
      <c r="G783" s="9">
        <f>STATS1003B!G817/1000</f>
        <v>0</v>
      </c>
      <c r="H783" s="9">
        <f>STATS1003B!H817/1000</f>
        <v>894.69569999999999</v>
      </c>
      <c r="I783" s="9">
        <f>STATS1003B!I817/1000</f>
        <v>0</v>
      </c>
      <c r="J783" s="9">
        <f>STATS1003B!J817/1000</f>
        <v>894.69569999999999</v>
      </c>
      <c r="K783" s="9">
        <f>STATS1003B!K817/1000</f>
        <v>0</v>
      </c>
      <c r="L783" s="9">
        <f>STATS1003B!L817/1000</f>
        <v>0</v>
      </c>
      <c r="M783" s="9">
        <f>STATS1003B!M817/1000</f>
        <v>894.69569999999999</v>
      </c>
      <c r="N783" s="9">
        <f>STATS1003B!N817/1000</f>
        <v>0</v>
      </c>
      <c r="O783" s="9">
        <f>STATS1003B!O817/1000</f>
        <v>0</v>
      </c>
      <c r="P783" s="9">
        <f>STATS1003B!P817/1000</f>
        <v>0</v>
      </c>
      <c r="Q783" s="9">
        <f>STATS1003B!Q817/1000</f>
        <v>894.69569999999999</v>
      </c>
      <c r="R783" s="9">
        <f>STATS1003B!R817/1000</f>
        <v>0</v>
      </c>
      <c r="S783" s="9">
        <f>STATS1003B!S817/1000</f>
        <v>0</v>
      </c>
      <c r="T783" s="9">
        <f>STATS1003B!T817/1000</f>
        <v>0</v>
      </c>
      <c r="U783" s="9">
        <f>STATS1003B!U817/1000</f>
        <v>0</v>
      </c>
      <c r="V783" s="9">
        <f>STATS1003B!V817/1000</f>
        <v>894.69569999999999</v>
      </c>
      <c r="W783" s="9">
        <f>STATS1003B!W817/1000</f>
        <v>0</v>
      </c>
      <c r="X783" s="9">
        <f>STATS1003B!X817/1000</f>
        <v>894.69569999999999</v>
      </c>
      <c r="Y783" s="9">
        <f>STATS1003B!Y817/1000</f>
        <v>0</v>
      </c>
      <c r="Z783" s="9">
        <f>STATS1003B!Z817/1000</f>
        <v>0</v>
      </c>
      <c r="AA783" s="9">
        <f>STATS1003B!AA817/1000</f>
        <v>894.69569999999999</v>
      </c>
      <c r="AB783" s="9">
        <f>STATS1003B!AB817/1000</f>
        <v>0</v>
      </c>
    </row>
    <row r="784" spans="1:28" x14ac:dyDescent="0.35">
      <c r="A784" s="36"/>
      <c r="B784" s="8"/>
      <c r="C784" s="7" t="s">
        <v>535</v>
      </c>
      <c r="D784" s="15" t="s">
        <v>61</v>
      </c>
      <c r="E784" s="9">
        <f>STATS1003B!E818/1000</f>
        <v>628.79346999999996</v>
      </c>
      <c r="F784" s="9">
        <f>STATS1003B!F818/1000</f>
        <v>612</v>
      </c>
      <c r="G784" s="9">
        <f>STATS1003B!G818/1000</f>
        <v>0</v>
      </c>
      <c r="H784" s="9">
        <f>STATS1003B!H818/1000</f>
        <v>612</v>
      </c>
      <c r="I784" s="9">
        <f>STATS1003B!I818/1000</f>
        <v>0</v>
      </c>
      <c r="J784" s="9">
        <f>STATS1003B!J818/1000</f>
        <v>612</v>
      </c>
      <c r="K784" s="9">
        <f>STATS1003B!K818/1000</f>
        <v>0</v>
      </c>
      <c r="L784" s="9">
        <f>STATS1003B!L818/1000</f>
        <v>0</v>
      </c>
      <c r="M784" s="9">
        <f>STATS1003B!M818/1000</f>
        <v>612</v>
      </c>
      <c r="N784" s="9">
        <f>STATS1003B!N818/1000</f>
        <v>0</v>
      </c>
      <c r="O784" s="9">
        <f>STATS1003B!O818/1000</f>
        <v>0</v>
      </c>
      <c r="P784" s="9">
        <f>STATS1003B!P818/1000</f>
        <v>0</v>
      </c>
      <c r="Q784" s="9">
        <f>STATS1003B!Q818/1000</f>
        <v>628.79346999999996</v>
      </c>
      <c r="R784" s="9">
        <f>STATS1003B!R818/1000</f>
        <v>0</v>
      </c>
      <c r="S784" s="9">
        <f>STATS1003B!S818/1000</f>
        <v>0</v>
      </c>
      <c r="T784" s="9">
        <f>STATS1003B!T818/1000</f>
        <v>16.793470000000003</v>
      </c>
      <c r="U784" s="9">
        <f>STATS1003B!U818/1000</f>
        <v>16.793470000000003</v>
      </c>
      <c r="V784" s="9">
        <f>STATS1003B!V818/1000</f>
        <v>612</v>
      </c>
      <c r="W784" s="9">
        <f>STATS1003B!W818/1000</f>
        <v>16.793469999999971</v>
      </c>
      <c r="X784" s="9">
        <f>STATS1003B!X818/1000</f>
        <v>612</v>
      </c>
      <c r="Y784" s="9">
        <f>STATS1003B!Y818/1000</f>
        <v>0</v>
      </c>
      <c r="Z784" s="9">
        <f>STATS1003B!Z818/1000</f>
        <v>16.793469999999971</v>
      </c>
      <c r="AA784" s="9">
        <f>STATS1003B!AA818/1000</f>
        <v>628.79346999999996</v>
      </c>
      <c r="AB784" s="9">
        <f>STATS1003B!AB818/1000</f>
        <v>0</v>
      </c>
    </row>
    <row r="785" spans="1:28" x14ac:dyDescent="0.35">
      <c r="A785" s="36"/>
      <c r="B785" s="8"/>
      <c r="C785" s="14" t="s">
        <v>643</v>
      </c>
      <c r="D785" s="15" t="s">
        <v>61</v>
      </c>
      <c r="E785" s="9">
        <f>STATS1003B!E819/1000</f>
        <v>758.95093000000008</v>
      </c>
      <c r="F785" s="9">
        <f>STATS1003B!F819/1000</f>
        <v>758.95093000000008</v>
      </c>
      <c r="G785" s="9">
        <f>STATS1003B!G819/1000</f>
        <v>0</v>
      </c>
      <c r="H785" s="9">
        <f>STATS1003B!H819/1000</f>
        <v>758.95093000000008</v>
      </c>
      <c r="I785" s="9">
        <f>STATS1003B!I819/1000</f>
        <v>0</v>
      </c>
      <c r="J785" s="9">
        <f>STATS1003B!J819/1000</f>
        <v>758.95093000000008</v>
      </c>
      <c r="K785" s="9">
        <f>STATS1003B!K819/1000</f>
        <v>0</v>
      </c>
      <c r="L785" s="9">
        <f>STATS1003B!L819/1000</f>
        <v>0</v>
      </c>
      <c r="M785" s="9">
        <f>STATS1003B!M819/1000</f>
        <v>758.95093000000008</v>
      </c>
      <c r="N785" s="9">
        <f>STATS1003B!N819/1000</f>
        <v>0</v>
      </c>
      <c r="O785" s="9">
        <f>STATS1003B!O819/1000</f>
        <v>0</v>
      </c>
      <c r="P785" s="9">
        <f>STATS1003B!P819/1000</f>
        <v>0</v>
      </c>
      <c r="Q785" s="9">
        <f>STATS1003B!Q819/1000</f>
        <v>758.95093000000008</v>
      </c>
      <c r="R785" s="9">
        <f>STATS1003B!R819/1000</f>
        <v>0</v>
      </c>
      <c r="S785" s="9">
        <f>STATS1003B!S819/1000</f>
        <v>0</v>
      </c>
      <c r="T785" s="9">
        <f>STATS1003B!T819/1000</f>
        <v>0</v>
      </c>
      <c r="U785" s="9">
        <f>STATS1003B!U819/1000</f>
        <v>0</v>
      </c>
      <c r="V785" s="9">
        <f>STATS1003B!V819/1000</f>
        <v>758.95093000000008</v>
      </c>
      <c r="W785" s="9">
        <f>STATS1003B!W819/1000</f>
        <v>0</v>
      </c>
      <c r="X785" s="9">
        <f>STATS1003B!X819/1000</f>
        <v>758.95093000000008</v>
      </c>
      <c r="Y785" s="9">
        <f>STATS1003B!Y819/1000</f>
        <v>0</v>
      </c>
      <c r="Z785" s="9">
        <f>STATS1003B!Z819/1000</f>
        <v>0</v>
      </c>
      <c r="AA785" s="9">
        <f>STATS1003B!AA819/1000</f>
        <v>758.95093000000008</v>
      </c>
      <c r="AB785" s="9">
        <f>STATS1003B!AB819/1000</f>
        <v>0</v>
      </c>
    </row>
    <row r="786" spans="1:28" x14ac:dyDescent="0.35">
      <c r="A786" s="36"/>
      <c r="B786" s="8"/>
      <c r="C786" s="14" t="s">
        <v>923</v>
      </c>
      <c r="D786" s="15"/>
      <c r="E786" s="9">
        <f>STATS1003B!E820/1000</f>
        <v>300</v>
      </c>
      <c r="F786" s="9">
        <f>STATS1003B!F820/1000</f>
        <v>300</v>
      </c>
      <c r="G786" s="9">
        <f>STATS1003B!G820/1000</f>
        <v>0</v>
      </c>
      <c r="H786" s="9">
        <f>STATS1003B!H820/1000</f>
        <v>300</v>
      </c>
      <c r="I786" s="9">
        <f>STATS1003B!I820/1000</f>
        <v>0</v>
      </c>
      <c r="J786" s="9">
        <f>STATS1003B!J820/1000</f>
        <v>0</v>
      </c>
      <c r="K786" s="9">
        <f>STATS1003B!K820/1000</f>
        <v>0</v>
      </c>
      <c r="L786" s="9">
        <f>STATS1003B!L820/1000</f>
        <v>0</v>
      </c>
      <c r="M786" s="9">
        <f>STATS1003B!M820/1000</f>
        <v>300</v>
      </c>
      <c r="N786" s="9">
        <f>STATS1003B!N820/1000</f>
        <v>0</v>
      </c>
      <c r="O786" s="9">
        <f>STATS1003B!O820/1000</f>
        <v>0</v>
      </c>
      <c r="P786" s="9">
        <f>STATS1003B!P820/1000</f>
        <v>0</v>
      </c>
      <c r="Q786" s="9">
        <f>STATS1003B!Q820/1000</f>
        <v>0</v>
      </c>
      <c r="R786" s="9">
        <f>STATS1003B!R820/1000</f>
        <v>0</v>
      </c>
      <c r="S786" s="9">
        <f>STATS1003B!S820/1000</f>
        <v>0</v>
      </c>
      <c r="T786" s="9">
        <f>STATS1003B!T820/1000</f>
        <v>0</v>
      </c>
      <c r="U786" s="9">
        <f>STATS1003B!U820/1000</f>
        <v>0</v>
      </c>
      <c r="V786" s="9">
        <f>STATS1003B!V820/1000</f>
        <v>300</v>
      </c>
      <c r="W786" s="9">
        <f>STATS1003B!W820/1000</f>
        <v>0</v>
      </c>
      <c r="X786" s="9">
        <f>STATS1003B!X820/1000</f>
        <v>300</v>
      </c>
      <c r="Y786" s="9">
        <f>STATS1003B!Y820/1000</f>
        <v>0</v>
      </c>
      <c r="Z786" s="9">
        <f>STATS1003B!Z820/1000</f>
        <v>0</v>
      </c>
      <c r="AA786" s="9">
        <f>STATS1003B!AA820/1000</f>
        <v>300</v>
      </c>
      <c r="AB786" s="9">
        <f>STATS1003B!AB820/1000</f>
        <v>0</v>
      </c>
    </row>
    <row r="787" spans="1:28" x14ac:dyDescent="0.35">
      <c r="A787" s="36"/>
      <c r="B787" s="8"/>
      <c r="C787" s="7" t="s">
        <v>606</v>
      </c>
      <c r="D787" s="8"/>
      <c r="E787" s="9">
        <f>STATS1003B!E821/1000</f>
        <v>2500</v>
      </c>
      <c r="F787" s="9">
        <f>STATS1003B!F821/1000</f>
        <v>2500</v>
      </c>
      <c r="G787" s="9">
        <f>STATS1003B!G821/1000</f>
        <v>0</v>
      </c>
      <c r="H787" s="9">
        <f>STATS1003B!H821/1000</f>
        <v>2500</v>
      </c>
      <c r="I787" s="9">
        <f>STATS1003B!I821/1000</f>
        <v>0</v>
      </c>
      <c r="J787" s="9">
        <f>STATS1003B!J821/1000</f>
        <v>2500</v>
      </c>
      <c r="K787" s="9">
        <f>STATS1003B!K821/1000</f>
        <v>0</v>
      </c>
      <c r="L787" s="9">
        <f>STATS1003B!L821/1000</f>
        <v>0</v>
      </c>
      <c r="M787" s="9">
        <f>STATS1003B!M821/1000</f>
        <v>2500</v>
      </c>
      <c r="N787" s="9">
        <f>STATS1003B!N821/1000</f>
        <v>0</v>
      </c>
      <c r="O787" s="9">
        <f>STATS1003B!O821/1000</f>
        <v>0</v>
      </c>
      <c r="P787" s="9">
        <f>STATS1003B!P821/1000</f>
        <v>0</v>
      </c>
      <c r="Q787" s="9">
        <f>STATS1003B!Q821/1000</f>
        <v>2500</v>
      </c>
      <c r="R787" s="9">
        <f>STATS1003B!R821/1000</f>
        <v>0</v>
      </c>
      <c r="S787" s="9">
        <f>STATS1003B!S821/1000</f>
        <v>0</v>
      </c>
      <c r="T787" s="9">
        <f>STATS1003B!T821/1000</f>
        <v>0</v>
      </c>
      <c r="U787" s="9">
        <f>STATS1003B!U821/1000</f>
        <v>0</v>
      </c>
      <c r="V787" s="9">
        <f>STATS1003B!V821/1000</f>
        <v>2500</v>
      </c>
      <c r="W787" s="9">
        <f>STATS1003B!W821/1000</f>
        <v>0</v>
      </c>
      <c r="X787" s="9">
        <f>STATS1003B!X821/1000</f>
        <v>2500</v>
      </c>
      <c r="Y787" s="9">
        <f>STATS1003B!Y821/1000</f>
        <v>0</v>
      </c>
      <c r="Z787" s="9">
        <f>STATS1003B!Z821/1000</f>
        <v>0</v>
      </c>
      <c r="AA787" s="9">
        <f>STATS1003B!AA821/1000</f>
        <v>2500</v>
      </c>
      <c r="AB787" s="9">
        <f>STATS1003B!AB821/1000</f>
        <v>0</v>
      </c>
    </row>
    <row r="788" spans="1:28" x14ac:dyDescent="0.35">
      <c r="A788" s="36"/>
      <c r="B788" s="8"/>
      <c r="C788" s="8"/>
      <c r="D788" s="8"/>
      <c r="E788" s="17" t="s">
        <v>29</v>
      </c>
      <c r="F788" s="17" t="s">
        <v>29</v>
      </c>
      <c r="G788" s="17" t="s">
        <v>29</v>
      </c>
      <c r="H788" s="17" t="s">
        <v>29</v>
      </c>
      <c r="I788" s="17" t="s">
        <v>29</v>
      </c>
      <c r="J788" s="17" t="s">
        <v>29</v>
      </c>
      <c r="K788" s="17" t="s">
        <v>29</v>
      </c>
      <c r="L788" s="17" t="s">
        <v>29</v>
      </c>
      <c r="M788" s="17" t="s">
        <v>29</v>
      </c>
      <c r="N788" s="17" t="s">
        <v>29</v>
      </c>
      <c r="O788" s="17" t="s">
        <v>29</v>
      </c>
      <c r="P788" s="17" t="s">
        <v>29</v>
      </c>
      <c r="Q788" s="17" t="s">
        <v>29</v>
      </c>
      <c r="R788" s="17" t="s">
        <v>29</v>
      </c>
      <c r="S788" s="17" t="s">
        <v>29</v>
      </c>
      <c r="T788" s="17" t="s">
        <v>29</v>
      </c>
      <c r="U788" s="17" t="s">
        <v>29</v>
      </c>
      <c r="V788" s="17" t="s">
        <v>29</v>
      </c>
      <c r="W788" s="17" t="s">
        <v>29</v>
      </c>
      <c r="X788" s="17" t="s">
        <v>29</v>
      </c>
      <c r="Y788" s="17" t="s">
        <v>29</v>
      </c>
      <c r="Z788" s="17" t="s">
        <v>29</v>
      </c>
      <c r="AA788" s="17" t="s">
        <v>29</v>
      </c>
      <c r="AB788" s="17" t="s">
        <v>29</v>
      </c>
    </row>
    <row r="789" spans="1:28" x14ac:dyDescent="0.35">
      <c r="A789" s="36"/>
      <c r="B789" s="8"/>
      <c r="C789" s="8"/>
      <c r="D789" s="8"/>
      <c r="E789" s="9">
        <f t="shared" ref="E789:Q789" si="56">SUM(E771:E788)</f>
        <v>33862.450069999999</v>
      </c>
      <c r="F789" s="9">
        <f t="shared" si="56"/>
        <v>23843.127129999997</v>
      </c>
      <c r="G789" s="9">
        <f t="shared" si="56"/>
        <v>0</v>
      </c>
      <c r="H789" s="9">
        <f t="shared" si="56"/>
        <v>23843.127129999997</v>
      </c>
      <c r="I789" s="9">
        <f t="shared" si="56"/>
        <v>0</v>
      </c>
      <c r="J789" s="9">
        <f t="shared" si="56"/>
        <v>23543.127129999997</v>
      </c>
      <c r="K789" s="9">
        <f t="shared" si="56"/>
        <v>10002.529470000001</v>
      </c>
      <c r="L789" s="9">
        <f t="shared" si="56"/>
        <v>0</v>
      </c>
      <c r="M789" s="9">
        <f t="shared" si="56"/>
        <v>23843.127129999997</v>
      </c>
      <c r="N789" s="9">
        <f t="shared" si="56"/>
        <v>10002.529470000001</v>
      </c>
      <c r="O789" s="9">
        <f t="shared" si="56"/>
        <v>0</v>
      </c>
      <c r="P789" s="9">
        <f t="shared" si="56"/>
        <v>10002.529470000001</v>
      </c>
      <c r="Q789" s="9">
        <f t="shared" si="56"/>
        <v>23559.920599999998</v>
      </c>
      <c r="R789" s="17"/>
      <c r="S789" s="17"/>
      <c r="T789" s="9">
        <f t="shared" ref="T789:Z789" si="57">SUM(T771:T788)</f>
        <v>16.793470000000003</v>
      </c>
      <c r="U789" s="9">
        <f t="shared" si="57"/>
        <v>10019.322940000002</v>
      </c>
      <c r="V789" s="9">
        <f t="shared" si="57"/>
        <v>33845.656600000002</v>
      </c>
      <c r="W789" s="9">
        <f t="shared" si="57"/>
        <v>16.793469999999971</v>
      </c>
      <c r="X789" s="9">
        <f t="shared" si="57"/>
        <v>33845.656600000002</v>
      </c>
      <c r="Y789" s="9">
        <f t="shared" si="57"/>
        <v>0</v>
      </c>
      <c r="Z789" s="9">
        <f t="shared" si="57"/>
        <v>16.793469999999971</v>
      </c>
      <c r="AA789" s="9">
        <f>SUM(AA771:AA788)</f>
        <v>33862.450069999999</v>
      </c>
      <c r="AB789" s="9">
        <f>SUM(AB771:AB788)</f>
        <v>0</v>
      </c>
    </row>
    <row r="790" spans="1:28" x14ac:dyDescent="0.35">
      <c r="A790" s="36"/>
      <c r="B790" s="8"/>
      <c r="C790" s="8"/>
      <c r="D790" s="8"/>
      <c r="E790" s="17" t="s">
        <v>29</v>
      </c>
      <c r="F790" s="17" t="s">
        <v>29</v>
      </c>
      <c r="G790" s="17" t="s">
        <v>29</v>
      </c>
      <c r="H790" s="17" t="s">
        <v>29</v>
      </c>
      <c r="I790" s="17" t="s">
        <v>29</v>
      </c>
      <c r="J790" s="17" t="s">
        <v>29</v>
      </c>
      <c r="K790" s="17" t="s">
        <v>29</v>
      </c>
      <c r="L790" s="17" t="s">
        <v>29</v>
      </c>
      <c r="M790" s="17" t="s">
        <v>29</v>
      </c>
      <c r="N790" s="17" t="s">
        <v>29</v>
      </c>
      <c r="O790" s="17" t="s">
        <v>29</v>
      </c>
      <c r="P790" s="17" t="s">
        <v>29</v>
      </c>
      <c r="Q790" s="17" t="s">
        <v>29</v>
      </c>
      <c r="R790" s="17" t="s">
        <v>29</v>
      </c>
      <c r="S790" s="17" t="s">
        <v>29</v>
      </c>
      <c r="T790" s="17" t="s">
        <v>29</v>
      </c>
      <c r="U790" s="17" t="s">
        <v>29</v>
      </c>
      <c r="V790" s="17" t="s">
        <v>29</v>
      </c>
      <c r="W790" s="17" t="s">
        <v>29</v>
      </c>
      <c r="X790" s="17" t="s">
        <v>29</v>
      </c>
      <c r="Y790" s="17" t="s">
        <v>29</v>
      </c>
      <c r="Z790" s="17" t="s">
        <v>29</v>
      </c>
      <c r="AA790" s="17" t="s">
        <v>29</v>
      </c>
      <c r="AB790" s="17" t="s">
        <v>29</v>
      </c>
    </row>
    <row r="791" spans="1:28" x14ac:dyDescent="0.35">
      <c r="A791" s="38" t="s">
        <v>976</v>
      </c>
      <c r="B791" s="7" t="s">
        <v>644</v>
      </c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17"/>
      <c r="S791" s="17"/>
      <c r="T791" s="17"/>
      <c r="U791" s="17"/>
      <c r="V791" s="17"/>
      <c r="W791" s="17"/>
      <c r="X791" s="17"/>
      <c r="Y791" s="17"/>
      <c r="Z791" s="17"/>
    </row>
    <row r="792" spans="1:28" x14ac:dyDescent="0.35">
      <c r="A792" s="36"/>
      <c r="B792" s="8"/>
      <c r="C792" s="7" t="s">
        <v>645</v>
      </c>
      <c r="D792" s="15" t="s">
        <v>150</v>
      </c>
      <c r="E792" s="9">
        <f>STATS1003B!E826/1000</f>
        <v>2821</v>
      </c>
      <c r="F792" s="9">
        <f>STATS1003B!F826/1000</f>
        <v>2821</v>
      </c>
      <c r="G792" s="9">
        <f>STATS1003B!G826/1000</f>
        <v>0</v>
      </c>
      <c r="H792" s="9">
        <f>STATS1003B!H826/1000</f>
        <v>2821</v>
      </c>
      <c r="I792" s="9">
        <f>STATS1003B!I826/1000</f>
        <v>0</v>
      </c>
      <c r="J792" s="9">
        <f>STATS1003B!J826/1000</f>
        <v>2821</v>
      </c>
      <c r="K792" s="9">
        <f>STATS1003B!K826/1000</f>
        <v>0</v>
      </c>
      <c r="L792" s="9">
        <f>STATS1003B!L826/1000</f>
        <v>0</v>
      </c>
      <c r="M792" s="9">
        <f>STATS1003B!M826/1000</f>
        <v>2821</v>
      </c>
      <c r="N792" s="9">
        <f>STATS1003B!N826/1000</f>
        <v>0</v>
      </c>
      <c r="O792" s="9">
        <f>STATS1003B!O826/1000</f>
        <v>0</v>
      </c>
      <c r="P792" s="9">
        <f>STATS1003B!P826/1000</f>
        <v>0</v>
      </c>
      <c r="Q792" s="9">
        <f>STATS1003B!Q826/1000</f>
        <v>2821</v>
      </c>
      <c r="R792" s="9">
        <f>STATS1003B!R826/1000</f>
        <v>0</v>
      </c>
      <c r="S792" s="9">
        <f>STATS1003B!S826/1000</f>
        <v>0</v>
      </c>
      <c r="T792" s="9">
        <f>STATS1003B!T826/1000</f>
        <v>0</v>
      </c>
      <c r="U792" s="9">
        <f>STATS1003B!U826/1000</f>
        <v>0</v>
      </c>
      <c r="V792" s="9">
        <f>STATS1003B!V826/1000</f>
        <v>2821</v>
      </c>
      <c r="W792" s="9">
        <f>STATS1003B!W826/1000</f>
        <v>0</v>
      </c>
      <c r="X792" s="9">
        <f>STATS1003B!X826/1000</f>
        <v>2821</v>
      </c>
      <c r="Y792" s="9">
        <f>STATS1003B!Y826/1000</f>
        <v>0</v>
      </c>
      <c r="Z792" s="9">
        <f>STATS1003B!Z826/1000</f>
        <v>0</v>
      </c>
      <c r="AA792" s="9">
        <f>STATS1003B!AA826/1000</f>
        <v>2821</v>
      </c>
      <c r="AB792" s="9">
        <f>STATS1003B!AB826/1000</f>
        <v>0</v>
      </c>
    </row>
    <row r="793" spans="1:28" x14ac:dyDescent="0.35">
      <c r="A793" s="36"/>
      <c r="B793" s="8"/>
      <c r="C793" s="7" t="s">
        <v>539</v>
      </c>
      <c r="D793" s="15" t="s">
        <v>68</v>
      </c>
      <c r="E793" s="9">
        <f>STATS1003B!E827/1000</f>
        <v>3286.7265000000002</v>
      </c>
      <c r="F793" s="9">
        <f>STATS1003B!F827/1000</f>
        <v>0</v>
      </c>
      <c r="G793" s="9">
        <f>STATS1003B!G827/1000</f>
        <v>0</v>
      </c>
      <c r="H793" s="9">
        <f>STATS1003B!H827/1000</f>
        <v>0</v>
      </c>
      <c r="I793" s="9">
        <f>STATS1003B!I827/1000</f>
        <v>0</v>
      </c>
      <c r="J793" s="9">
        <f>STATS1003B!J827/1000</f>
        <v>0</v>
      </c>
      <c r="K793" s="9">
        <f>STATS1003B!K827/1000</f>
        <v>3286.7265000000002</v>
      </c>
      <c r="L793" s="9">
        <f>STATS1003B!L827/1000</f>
        <v>0</v>
      </c>
      <c r="M793" s="9">
        <f>STATS1003B!M827/1000</f>
        <v>0</v>
      </c>
      <c r="N793" s="9">
        <f>STATS1003B!N827/1000</f>
        <v>3286.7265000000002</v>
      </c>
      <c r="O793" s="9">
        <f>STATS1003B!O827/1000</f>
        <v>0</v>
      </c>
      <c r="P793" s="9">
        <f>STATS1003B!P827/1000</f>
        <v>3286.7265000000002</v>
      </c>
      <c r="Q793" s="9">
        <f>STATS1003B!Q827/1000</f>
        <v>0</v>
      </c>
      <c r="R793" s="9">
        <f>STATS1003B!R827/1000</f>
        <v>0</v>
      </c>
      <c r="S793" s="9">
        <f>STATS1003B!S827/1000</f>
        <v>0</v>
      </c>
      <c r="T793" s="9">
        <f>STATS1003B!T827/1000</f>
        <v>0</v>
      </c>
      <c r="U793" s="9">
        <f>STATS1003B!U827/1000</f>
        <v>3286.7265000000002</v>
      </c>
      <c r="V793" s="9">
        <f>STATS1003B!V827/1000</f>
        <v>3286.7265000000002</v>
      </c>
      <c r="W793" s="9">
        <f>STATS1003B!W827/1000</f>
        <v>0</v>
      </c>
      <c r="X793" s="9">
        <f>STATS1003B!X827/1000</f>
        <v>3286.7265000000002</v>
      </c>
      <c r="Y793" s="9">
        <f>STATS1003B!Y827/1000</f>
        <v>0</v>
      </c>
      <c r="Z793" s="9">
        <f>STATS1003B!Z827/1000</f>
        <v>0</v>
      </c>
      <c r="AA793" s="9">
        <f>STATS1003B!AA827/1000</f>
        <v>3286.7265000000002</v>
      </c>
      <c r="AB793" s="9">
        <f>STATS1003B!AB827/1000</f>
        <v>0</v>
      </c>
    </row>
    <row r="794" spans="1:28" x14ac:dyDescent="0.35">
      <c r="A794" s="36"/>
      <c r="B794" s="8"/>
      <c r="C794" s="7" t="s">
        <v>545</v>
      </c>
      <c r="D794" s="15" t="s">
        <v>54</v>
      </c>
      <c r="E794" s="9">
        <f>STATS1003B!E828/1000</f>
        <v>1767.77</v>
      </c>
      <c r="F794" s="9">
        <f>STATS1003B!F828/1000</f>
        <v>0</v>
      </c>
      <c r="G794" s="9">
        <f>STATS1003B!G828/1000</f>
        <v>0</v>
      </c>
      <c r="H794" s="9">
        <f>STATS1003B!H828/1000</f>
        <v>0</v>
      </c>
      <c r="I794" s="9">
        <f>STATS1003B!I828/1000</f>
        <v>0</v>
      </c>
      <c r="J794" s="9">
        <f>STATS1003B!J828/1000</f>
        <v>0</v>
      </c>
      <c r="K794" s="9">
        <f>STATS1003B!K828/1000</f>
        <v>1767.77</v>
      </c>
      <c r="L794" s="9">
        <f>STATS1003B!L828/1000</f>
        <v>0</v>
      </c>
      <c r="M794" s="9">
        <f>STATS1003B!M828/1000</f>
        <v>0</v>
      </c>
      <c r="N794" s="9">
        <f>STATS1003B!N828/1000</f>
        <v>1767.77</v>
      </c>
      <c r="O794" s="9">
        <f>STATS1003B!O828/1000</f>
        <v>0</v>
      </c>
      <c r="P794" s="9">
        <f>STATS1003B!P828/1000</f>
        <v>1767.77</v>
      </c>
      <c r="Q794" s="9">
        <f>STATS1003B!Q828/1000</f>
        <v>0</v>
      </c>
      <c r="R794" s="9">
        <f>STATS1003B!R828/1000</f>
        <v>0</v>
      </c>
      <c r="S794" s="9">
        <f>STATS1003B!S828/1000</f>
        <v>0</v>
      </c>
      <c r="T794" s="9">
        <f>STATS1003B!T828/1000</f>
        <v>0</v>
      </c>
      <c r="U794" s="9">
        <f>STATS1003B!U828/1000</f>
        <v>1767.77</v>
      </c>
      <c r="V794" s="9">
        <f>STATS1003B!V828/1000</f>
        <v>1767.77</v>
      </c>
      <c r="W794" s="9">
        <f>STATS1003B!W828/1000</f>
        <v>0</v>
      </c>
      <c r="X794" s="9">
        <f>STATS1003B!X828/1000</f>
        <v>1767.77</v>
      </c>
      <c r="Y794" s="9">
        <f>STATS1003B!Y828/1000</f>
        <v>0</v>
      </c>
      <c r="Z794" s="9">
        <f>STATS1003B!Z828/1000</f>
        <v>0</v>
      </c>
      <c r="AA794" s="9">
        <f>STATS1003B!AA828/1000</f>
        <v>1767.77</v>
      </c>
      <c r="AB794" s="9">
        <f>STATS1003B!AB828/1000</f>
        <v>0</v>
      </c>
    </row>
    <row r="795" spans="1:28" x14ac:dyDescent="0.35">
      <c r="A795" s="36"/>
      <c r="B795" s="8"/>
      <c r="C795" s="7" t="s">
        <v>535</v>
      </c>
      <c r="D795" s="15" t="s">
        <v>54</v>
      </c>
      <c r="E795" s="9">
        <f>STATS1003B!E829/1000</f>
        <v>556.70000000000005</v>
      </c>
      <c r="F795" s="9">
        <f>STATS1003B!F829/1000</f>
        <v>556.70000000000005</v>
      </c>
      <c r="G795" s="9">
        <f>STATS1003B!G829/1000</f>
        <v>0</v>
      </c>
      <c r="H795" s="9">
        <f>STATS1003B!H829/1000</f>
        <v>556.70000000000005</v>
      </c>
      <c r="I795" s="9">
        <f>STATS1003B!I829/1000</f>
        <v>0</v>
      </c>
      <c r="J795" s="9">
        <f>STATS1003B!J829/1000</f>
        <v>556.70000000000005</v>
      </c>
      <c r="K795" s="9">
        <f>STATS1003B!K829/1000</f>
        <v>0</v>
      </c>
      <c r="L795" s="9">
        <f>STATS1003B!L829/1000</f>
        <v>0</v>
      </c>
      <c r="M795" s="9">
        <f>STATS1003B!M829/1000</f>
        <v>556.70000000000005</v>
      </c>
      <c r="N795" s="9">
        <f>STATS1003B!N829/1000</f>
        <v>0</v>
      </c>
      <c r="O795" s="9">
        <f>STATS1003B!O829/1000</f>
        <v>0</v>
      </c>
      <c r="P795" s="9">
        <f>STATS1003B!P829/1000</f>
        <v>0</v>
      </c>
      <c r="Q795" s="9">
        <f>STATS1003B!Q829/1000</f>
        <v>556.70000000000005</v>
      </c>
      <c r="R795" s="9">
        <f>STATS1003B!R829/1000</f>
        <v>0</v>
      </c>
      <c r="S795" s="9">
        <f>STATS1003B!S829/1000</f>
        <v>0</v>
      </c>
      <c r="T795" s="9">
        <f>STATS1003B!T829/1000</f>
        <v>0</v>
      </c>
      <c r="U795" s="9">
        <f>STATS1003B!U829/1000</f>
        <v>0</v>
      </c>
      <c r="V795" s="9">
        <f>STATS1003B!V829/1000</f>
        <v>556.70000000000005</v>
      </c>
      <c r="W795" s="9">
        <f>STATS1003B!W829/1000</f>
        <v>0</v>
      </c>
      <c r="X795" s="9">
        <f>STATS1003B!X829/1000</f>
        <v>556.70000000000005</v>
      </c>
      <c r="Y795" s="9">
        <f>STATS1003B!Y829/1000</f>
        <v>0</v>
      </c>
      <c r="Z795" s="9">
        <f>STATS1003B!Z829/1000</f>
        <v>0</v>
      </c>
      <c r="AA795" s="9">
        <f>STATS1003B!AA829/1000</f>
        <v>556.70000000000005</v>
      </c>
      <c r="AB795" s="9">
        <f>STATS1003B!AB829/1000</f>
        <v>0</v>
      </c>
    </row>
    <row r="796" spans="1:28" x14ac:dyDescent="0.35">
      <c r="A796" s="36"/>
      <c r="B796" s="8"/>
      <c r="C796" s="7" t="s">
        <v>535</v>
      </c>
      <c r="D796" s="15" t="s">
        <v>85</v>
      </c>
      <c r="E796" s="9">
        <f>STATS1003B!E830/1000</f>
        <v>1006.2</v>
      </c>
      <c r="F796" s="9">
        <f>STATS1003B!F830/1000</f>
        <v>1006.2</v>
      </c>
      <c r="G796" s="9">
        <f>STATS1003B!G830/1000</f>
        <v>0</v>
      </c>
      <c r="H796" s="9">
        <f>STATS1003B!H830/1000</f>
        <v>1006.2</v>
      </c>
      <c r="I796" s="9">
        <f>STATS1003B!I830/1000</f>
        <v>0</v>
      </c>
      <c r="J796" s="9">
        <f>STATS1003B!J830/1000</f>
        <v>1006.2</v>
      </c>
      <c r="K796" s="9">
        <f>STATS1003B!K830/1000</f>
        <v>0</v>
      </c>
      <c r="L796" s="9">
        <f>STATS1003B!L830/1000</f>
        <v>0</v>
      </c>
      <c r="M796" s="9">
        <f>STATS1003B!M830/1000</f>
        <v>1006.2</v>
      </c>
      <c r="N796" s="9">
        <f>STATS1003B!N830/1000</f>
        <v>0</v>
      </c>
      <c r="O796" s="9">
        <f>STATS1003B!O830/1000</f>
        <v>0</v>
      </c>
      <c r="P796" s="9">
        <f>STATS1003B!P830/1000</f>
        <v>0</v>
      </c>
      <c r="Q796" s="9">
        <f>STATS1003B!Q830/1000</f>
        <v>1006.2</v>
      </c>
      <c r="R796" s="9">
        <f>STATS1003B!R830/1000</f>
        <v>0</v>
      </c>
      <c r="S796" s="9">
        <f>STATS1003B!S830/1000</f>
        <v>0</v>
      </c>
      <c r="T796" s="9">
        <f>STATS1003B!T830/1000</f>
        <v>0</v>
      </c>
      <c r="U796" s="9">
        <f>STATS1003B!U830/1000</f>
        <v>0</v>
      </c>
      <c r="V796" s="9">
        <f>STATS1003B!V830/1000</f>
        <v>1006.2</v>
      </c>
      <c r="W796" s="9">
        <f>STATS1003B!W830/1000</f>
        <v>0</v>
      </c>
      <c r="X796" s="9">
        <f>STATS1003B!X830/1000</f>
        <v>1006.2</v>
      </c>
      <c r="Y796" s="9">
        <f>STATS1003B!Y830/1000</f>
        <v>0</v>
      </c>
      <c r="Z796" s="9">
        <f>STATS1003B!Z830/1000</f>
        <v>0</v>
      </c>
      <c r="AA796" s="9">
        <f>STATS1003B!AA830/1000</f>
        <v>1006.2</v>
      </c>
      <c r="AB796" s="9">
        <f>STATS1003B!AB830/1000</f>
        <v>0</v>
      </c>
    </row>
    <row r="797" spans="1:28" x14ac:dyDescent="0.35">
      <c r="A797" s="36"/>
      <c r="B797" s="8"/>
      <c r="C797" s="7" t="s">
        <v>535</v>
      </c>
      <c r="D797" s="15" t="s">
        <v>128</v>
      </c>
      <c r="E797" s="9">
        <f>STATS1003B!E831/1000</f>
        <v>844.2</v>
      </c>
      <c r="F797" s="9">
        <f>STATS1003B!F831/1000</f>
        <v>844.2</v>
      </c>
      <c r="G797" s="9">
        <f>STATS1003B!G831/1000</f>
        <v>0</v>
      </c>
      <c r="H797" s="9">
        <f>STATS1003B!H831/1000</f>
        <v>844.2</v>
      </c>
      <c r="I797" s="9">
        <f>STATS1003B!I831/1000</f>
        <v>0</v>
      </c>
      <c r="J797" s="9">
        <f>STATS1003B!J831/1000</f>
        <v>844.2</v>
      </c>
      <c r="K797" s="9">
        <f>STATS1003B!K831/1000</f>
        <v>0</v>
      </c>
      <c r="L797" s="9">
        <f>STATS1003B!L831/1000</f>
        <v>0</v>
      </c>
      <c r="M797" s="9">
        <f>STATS1003B!M831/1000</f>
        <v>844.2</v>
      </c>
      <c r="N797" s="9">
        <f>STATS1003B!N831/1000</f>
        <v>0</v>
      </c>
      <c r="O797" s="9">
        <f>STATS1003B!O831/1000</f>
        <v>0</v>
      </c>
      <c r="P797" s="9">
        <f>STATS1003B!P831/1000</f>
        <v>0</v>
      </c>
      <c r="Q797" s="9">
        <f>STATS1003B!Q831/1000</f>
        <v>844.2</v>
      </c>
      <c r="R797" s="9">
        <f>STATS1003B!R831/1000</f>
        <v>0</v>
      </c>
      <c r="S797" s="9">
        <f>STATS1003B!S831/1000</f>
        <v>0</v>
      </c>
      <c r="T797" s="9">
        <f>STATS1003B!T831/1000</f>
        <v>0</v>
      </c>
      <c r="U797" s="9">
        <f>STATS1003B!U831/1000</f>
        <v>0</v>
      </c>
      <c r="V797" s="9">
        <f>STATS1003B!V831/1000</f>
        <v>844.2</v>
      </c>
      <c r="W797" s="9">
        <f>STATS1003B!W831/1000</f>
        <v>0</v>
      </c>
      <c r="X797" s="9">
        <f>STATS1003B!X831/1000</f>
        <v>844.2</v>
      </c>
      <c r="Y797" s="9">
        <f>STATS1003B!Y831/1000</f>
        <v>0</v>
      </c>
      <c r="Z797" s="9">
        <f>STATS1003B!Z831/1000</f>
        <v>0</v>
      </c>
      <c r="AA797" s="9">
        <f>STATS1003B!AA831/1000</f>
        <v>844.2</v>
      </c>
      <c r="AB797" s="9">
        <f>STATS1003B!AB831/1000</f>
        <v>0</v>
      </c>
    </row>
    <row r="798" spans="1:28" x14ac:dyDescent="0.35">
      <c r="A798" s="36"/>
      <c r="B798" s="8"/>
      <c r="C798" s="7" t="s">
        <v>646</v>
      </c>
      <c r="D798" s="15" t="s">
        <v>128</v>
      </c>
      <c r="E798" s="9">
        <f>STATS1003B!E832/1000</f>
        <v>400</v>
      </c>
      <c r="F798" s="9">
        <f>STATS1003B!F832/1000</f>
        <v>400</v>
      </c>
      <c r="G798" s="9">
        <f>STATS1003B!G832/1000</f>
        <v>0</v>
      </c>
      <c r="H798" s="9">
        <f>STATS1003B!H832/1000</f>
        <v>400</v>
      </c>
      <c r="I798" s="9">
        <f>STATS1003B!I832/1000</f>
        <v>0</v>
      </c>
      <c r="J798" s="9">
        <f>STATS1003B!J832/1000</f>
        <v>400</v>
      </c>
      <c r="K798" s="9">
        <f>STATS1003B!K832/1000</f>
        <v>0</v>
      </c>
      <c r="L798" s="9">
        <f>STATS1003B!L832/1000</f>
        <v>0</v>
      </c>
      <c r="M798" s="9">
        <f>STATS1003B!M832/1000</f>
        <v>400</v>
      </c>
      <c r="N798" s="9">
        <f>STATS1003B!N832/1000</f>
        <v>0</v>
      </c>
      <c r="O798" s="9">
        <f>STATS1003B!O832/1000</f>
        <v>0</v>
      </c>
      <c r="P798" s="9">
        <f>STATS1003B!P832/1000</f>
        <v>0</v>
      </c>
      <c r="Q798" s="9">
        <f>STATS1003B!Q832/1000</f>
        <v>400</v>
      </c>
      <c r="R798" s="9">
        <f>STATS1003B!R832/1000</f>
        <v>0</v>
      </c>
      <c r="S798" s="9">
        <f>STATS1003B!S832/1000</f>
        <v>0</v>
      </c>
      <c r="T798" s="9">
        <f>STATS1003B!T832/1000</f>
        <v>0</v>
      </c>
      <c r="U798" s="9">
        <f>STATS1003B!U832/1000</f>
        <v>0</v>
      </c>
      <c r="V798" s="9">
        <f>STATS1003B!V832/1000</f>
        <v>400</v>
      </c>
      <c r="W798" s="9">
        <f>STATS1003B!W832/1000</f>
        <v>0</v>
      </c>
      <c r="X798" s="9">
        <f>STATS1003B!X832/1000</f>
        <v>400</v>
      </c>
      <c r="Y798" s="9">
        <f>STATS1003B!Y832/1000</f>
        <v>0</v>
      </c>
      <c r="Z798" s="9">
        <f>STATS1003B!Z832/1000</f>
        <v>0</v>
      </c>
      <c r="AA798" s="9">
        <f>STATS1003B!AA832/1000</f>
        <v>400</v>
      </c>
      <c r="AB798" s="9">
        <f>STATS1003B!AB832/1000</f>
        <v>0</v>
      </c>
    </row>
    <row r="799" spans="1:28" x14ac:dyDescent="0.35">
      <c r="A799" s="36"/>
      <c r="B799" s="8"/>
      <c r="C799" s="7" t="s">
        <v>535</v>
      </c>
      <c r="D799" s="15" t="s">
        <v>58</v>
      </c>
      <c r="E799" s="9">
        <f>STATS1003B!E833/1000</f>
        <v>4842.2950000000001</v>
      </c>
      <c r="F799" s="9">
        <f>STATS1003B!F833/1000</f>
        <v>4842.2950000000001</v>
      </c>
      <c r="G799" s="9">
        <f>STATS1003B!G833/1000</f>
        <v>0</v>
      </c>
      <c r="H799" s="9">
        <f>STATS1003B!H833/1000</f>
        <v>4842.2950000000001</v>
      </c>
      <c r="I799" s="9">
        <f>STATS1003B!I833/1000</f>
        <v>0</v>
      </c>
      <c r="J799" s="9">
        <f>STATS1003B!J833/1000</f>
        <v>4842.2950000000001</v>
      </c>
      <c r="K799" s="9">
        <f>STATS1003B!K833/1000</f>
        <v>0</v>
      </c>
      <c r="L799" s="9">
        <f>STATS1003B!L833/1000</f>
        <v>0</v>
      </c>
      <c r="M799" s="9">
        <f>STATS1003B!M833/1000</f>
        <v>4842.2950000000001</v>
      </c>
      <c r="N799" s="9">
        <f>STATS1003B!N833/1000</f>
        <v>0</v>
      </c>
      <c r="O799" s="9">
        <f>STATS1003B!O833/1000</f>
        <v>0</v>
      </c>
      <c r="P799" s="9">
        <f>STATS1003B!P833/1000</f>
        <v>0</v>
      </c>
      <c r="Q799" s="9">
        <f>STATS1003B!Q833/1000</f>
        <v>4842.2950000000001</v>
      </c>
      <c r="R799" s="9">
        <f>STATS1003B!R833/1000</f>
        <v>0</v>
      </c>
      <c r="S799" s="9">
        <f>STATS1003B!S833/1000</f>
        <v>0</v>
      </c>
      <c r="T799" s="9">
        <f>STATS1003B!T833/1000</f>
        <v>0</v>
      </c>
      <c r="U799" s="9">
        <f>STATS1003B!U833/1000</f>
        <v>0</v>
      </c>
      <c r="V799" s="9">
        <f>STATS1003B!V833/1000</f>
        <v>4842.2950000000001</v>
      </c>
      <c r="W799" s="9">
        <f>STATS1003B!W833/1000</f>
        <v>0</v>
      </c>
      <c r="X799" s="9">
        <f>STATS1003B!X833/1000</f>
        <v>4842.2950000000001</v>
      </c>
      <c r="Y799" s="9">
        <f>STATS1003B!Y833/1000</f>
        <v>0</v>
      </c>
      <c r="Z799" s="9">
        <f>STATS1003B!Z833/1000</f>
        <v>0</v>
      </c>
      <c r="AA799" s="9">
        <f>STATS1003B!AA833/1000</f>
        <v>4842.2950000000001</v>
      </c>
      <c r="AB799" s="9">
        <f>STATS1003B!AB833/1000</f>
        <v>0</v>
      </c>
    </row>
    <row r="800" spans="1:28" x14ac:dyDescent="0.35">
      <c r="A800" s="36"/>
      <c r="B800" s="8"/>
      <c r="C800" s="7" t="s">
        <v>535</v>
      </c>
      <c r="D800" s="15" t="s">
        <v>60</v>
      </c>
      <c r="E800" s="9">
        <f>STATS1003B!E834/1000</f>
        <v>4034.99748</v>
      </c>
      <c r="F800" s="9">
        <f>STATS1003B!F834/1000</f>
        <v>4034.99748</v>
      </c>
      <c r="G800" s="9">
        <f>STATS1003B!G834/1000</f>
        <v>0</v>
      </c>
      <c r="H800" s="9">
        <f>STATS1003B!H834/1000</f>
        <v>4034.99748</v>
      </c>
      <c r="I800" s="9">
        <f>STATS1003B!I834/1000</f>
        <v>0</v>
      </c>
      <c r="J800" s="9">
        <f>STATS1003B!J834/1000</f>
        <v>4034.99748</v>
      </c>
      <c r="K800" s="9">
        <f>STATS1003B!K834/1000</f>
        <v>0</v>
      </c>
      <c r="L800" s="9">
        <f>STATS1003B!L834/1000</f>
        <v>0</v>
      </c>
      <c r="M800" s="9">
        <f>STATS1003B!M834/1000</f>
        <v>4034.99748</v>
      </c>
      <c r="N800" s="9">
        <f>STATS1003B!N834/1000</f>
        <v>0</v>
      </c>
      <c r="O800" s="9">
        <f>STATS1003B!O834/1000</f>
        <v>0</v>
      </c>
      <c r="P800" s="9">
        <f>STATS1003B!P834/1000</f>
        <v>0</v>
      </c>
      <c r="Q800" s="9">
        <f>STATS1003B!Q834/1000</f>
        <v>4034.99748</v>
      </c>
      <c r="R800" s="9">
        <f>STATS1003B!R834/1000</f>
        <v>0</v>
      </c>
      <c r="S800" s="9">
        <f>STATS1003B!S834/1000</f>
        <v>0</v>
      </c>
      <c r="T800" s="9">
        <f>STATS1003B!T834/1000</f>
        <v>0</v>
      </c>
      <c r="U800" s="9">
        <f>STATS1003B!U834/1000</f>
        <v>0</v>
      </c>
      <c r="V800" s="9">
        <f>STATS1003B!V834/1000</f>
        <v>4034.99748</v>
      </c>
      <c r="W800" s="9">
        <f>STATS1003B!W834/1000</f>
        <v>0</v>
      </c>
      <c r="X800" s="9">
        <f>STATS1003B!X834/1000</f>
        <v>4034.99748</v>
      </c>
      <c r="Y800" s="9">
        <f>STATS1003B!Y834/1000</f>
        <v>0</v>
      </c>
      <c r="Z800" s="9">
        <f>STATS1003B!Z834/1000</f>
        <v>0</v>
      </c>
      <c r="AA800" s="9">
        <f>STATS1003B!AA834/1000</f>
        <v>4034.99748</v>
      </c>
      <c r="AB800" s="9">
        <f>STATS1003B!AB834/1000</f>
        <v>0</v>
      </c>
    </row>
    <row r="801" spans="1:28" x14ac:dyDescent="0.35">
      <c r="A801" s="36"/>
      <c r="B801" s="8"/>
      <c r="C801" s="7" t="s">
        <v>535</v>
      </c>
      <c r="D801" s="15" t="s">
        <v>73</v>
      </c>
      <c r="E801" s="9">
        <f>STATS1003B!E835/1000</f>
        <v>3118.1392799999999</v>
      </c>
      <c r="F801" s="9">
        <f>STATS1003B!F835/1000</f>
        <v>3118.1392799999999</v>
      </c>
      <c r="G801" s="9">
        <f>STATS1003B!G835/1000</f>
        <v>0</v>
      </c>
      <c r="H801" s="9">
        <f>STATS1003B!H835/1000</f>
        <v>3118.1392799999999</v>
      </c>
      <c r="I801" s="9">
        <f>STATS1003B!I835/1000</f>
        <v>0</v>
      </c>
      <c r="J801" s="9">
        <f>STATS1003B!J835/1000</f>
        <v>3118.1392799999999</v>
      </c>
      <c r="K801" s="9">
        <f>STATS1003B!K835/1000</f>
        <v>0</v>
      </c>
      <c r="L801" s="9">
        <f>STATS1003B!L835/1000</f>
        <v>0</v>
      </c>
      <c r="M801" s="9">
        <f>STATS1003B!M835/1000</f>
        <v>3118.1392799999999</v>
      </c>
      <c r="N801" s="9">
        <f>STATS1003B!N835/1000</f>
        <v>0</v>
      </c>
      <c r="O801" s="9">
        <f>STATS1003B!O835/1000</f>
        <v>0</v>
      </c>
      <c r="P801" s="9">
        <f>STATS1003B!P835/1000</f>
        <v>0</v>
      </c>
      <c r="Q801" s="9">
        <f>STATS1003B!Q835/1000</f>
        <v>3118.1392799999999</v>
      </c>
      <c r="R801" s="9">
        <f>STATS1003B!R835/1000</f>
        <v>0</v>
      </c>
      <c r="S801" s="9">
        <f>STATS1003B!S835/1000</f>
        <v>0</v>
      </c>
      <c r="T801" s="9">
        <f>STATS1003B!T835/1000</f>
        <v>0</v>
      </c>
      <c r="U801" s="9">
        <f>STATS1003B!U835/1000</f>
        <v>0</v>
      </c>
      <c r="V801" s="9">
        <f>STATS1003B!V835/1000</f>
        <v>3118.1392799999999</v>
      </c>
      <c r="W801" s="9">
        <f>STATS1003B!W835/1000</f>
        <v>0</v>
      </c>
      <c r="X801" s="9">
        <f>STATS1003B!X835/1000</f>
        <v>3118.1392799999999</v>
      </c>
      <c r="Y801" s="9">
        <f>STATS1003B!Y835/1000</f>
        <v>0</v>
      </c>
      <c r="Z801" s="9">
        <f>STATS1003B!Z835/1000</f>
        <v>0</v>
      </c>
      <c r="AA801" s="9">
        <f>STATS1003B!AA835/1000</f>
        <v>3118.1392799999999</v>
      </c>
      <c r="AB801" s="9">
        <f>STATS1003B!AB835/1000</f>
        <v>0</v>
      </c>
    </row>
    <row r="802" spans="1:28" x14ac:dyDescent="0.35">
      <c r="A802" s="36"/>
      <c r="B802" s="8"/>
      <c r="C802" s="7" t="s">
        <v>535</v>
      </c>
      <c r="D802" s="15" t="s">
        <v>61</v>
      </c>
      <c r="E802" s="9">
        <f>STATS1003B!E836/1000</f>
        <v>499.00283000000002</v>
      </c>
      <c r="F802" s="9">
        <f>STATS1003B!F836/1000</f>
        <v>481.07040000000001</v>
      </c>
      <c r="G802" s="9">
        <f>STATS1003B!G836/1000</f>
        <v>0</v>
      </c>
      <c r="H802" s="9">
        <f>STATS1003B!H836/1000</f>
        <v>481.07040000000001</v>
      </c>
      <c r="I802" s="9">
        <f>STATS1003B!I836/1000</f>
        <v>0</v>
      </c>
      <c r="J802" s="9">
        <f>STATS1003B!J836/1000</f>
        <v>481.07040000000001</v>
      </c>
      <c r="K802" s="9">
        <f>STATS1003B!K836/1000</f>
        <v>0</v>
      </c>
      <c r="L802" s="9">
        <f>STATS1003B!L836/1000</f>
        <v>0</v>
      </c>
      <c r="M802" s="9">
        <f>STATS1003B!M836/1000</f>
        <v>481.07040000000001</v>
      </c>
      <c r="N802" s="9">
        <f>STATS1003B!N836/1000</f>
        <v>0</v>
      </c>
      <c r="O802" s="9">
        <f>STATS1003B!O836/1000</f>
        <v>0</v>
      </c>
      <c r="P802" s="9">
        <f>STATS1003B!P836/1000</f>
        <v>0</v>
      </c>
      <c r="Q802" s="9">
        <f>STATS1003B!Q836/1000</f>
        <v>499.00283000000002</v>
      </c>
      <c r="R802" s="9">
        <f>STATS1003B!R836/1000</f>
        <v>0</v>
      </c>
      <c r="S802" s="9">
        <f>STATS1003B!S836/1000</f>
        <v>0</v>
      </c>
      <c r="T802" s="9">
        <f>STATS1003B!T836/1000</f>
        <v>17.93243</v>
      </c>
      <c r="U802" s="9">
        <f>STATS1003B!U836/1000</f>
        <v>17.93243</v>
      </c>
      <c r="V802" s="9">
        <f>STATS1003B!V836/1000</f>
        <v>481.07040000000001</v>
      </c>
      <c r="W802" s="9">
        <f>STATS1003B!W836/1000</f>
        <v>17.932429999999993</v>
      </c>
      <c r="X802" s="9">
        <f>STATS1003B!X836/1000</f>
        <v>481.07040000000001</v>
      </c>
      <c r="Y802" s="9">
        <f>STATS1003B!Y836/1000</f>
        <v>0</v>
      </c>
      <c r="Z802" s="9">
        <f>STATS1003B!Z836/1000</f>
        <v>17.932429999999993</v>
      </c>
      <c r="AA802" s="9">
        <f>STATS1003B!AA836/1000</f>
        <v>499.00283000000002</v>
      </c>
      <c r="AB802" s="9">
        <f>STATS1003B!AB836/1000</f>
        <v>0</v>
      </c>
    </row>
    <row r="803" spans="1:28" x14ac:dyDescent="0.35">
      <c r="A803" s="36"/>
      <c r="B803" s="8"/>
      <c r="C803" s="13" t="s">
        <v>1128</v>
      </c>
      <c r="D803" s="16" t="s">
        <v>1126</v>
      </c>
      <c r="E803" s="9">
        <f>STATS1003B!E837/1000</f>
        <v>500</v>
      </c>
      <c r="F803" s="9">
        <f>STATS1003B!F837/1000</f>
        <v>500</v>
      </c>
      <c r="G803" s="9">
        <f>STATS1003B!G837/1000</f>
        <v>0</v>
      </c>
      <c r="H803" s="9">
        <f>STATS1003B!H837/1000</f>
        <v>500</v>
      </c>
      <c r="I803" s="9">
        <f>STATS1003B!I837/1000</f>
        <v>0</v>
      </c>
      <c r="J803" s="9">
        <f>STATS1003B!J837/1000</f>
        <v>500</v>
      </c>
      <c r="K803" s="9">
        <f>STATS1003B!K837/1000</f>
        <v>0</v>
      </c>
      <c r="L803" s="9">
        <f>STATS1003B!L837/1000</f>
        <v>0</v>
      </c>
      <c r="M803" s="9">
        <f>STATS1003B!M837/1000</f>
        <v>500</v>
      </c>
      <c r="N803" s="9">
        <f>STATS1003B!N837/1000</f>
        <v>0</v>
      </c>
      <c r="O803" s="9">
        <f>STATS1003B!O837/1000</f>
        <v>0</v>
      </c>
      <c r="P803" s="9">
        <f>STATS1003B!P837/1000</f>
        <v>0</v>
      </c>
      <c r="Q803" s="9">
        <f>STATS1003B!Q837/1000</f>
        <v>0</v>
      </c>
      <c r="R803" s="9">
        <f>STATS1003B!R837/1000</f>
        <v>0</v>
      </c>
      <c r="S803" s="9">
        <f>STATS1003B!S837/1000</f>
        <v>0</v>
      </c>
      <c r="T803" s="9">
        <f>STATS1003B!T837/1000</f>
        <v>0</v>
      </c>
      <c r="U803" s="9">
        <f>STATS1003B!U837/1000</f>
        <v>0</v>
      </c>
      <c r="V803" s="9">
        <f>STATS1003B!V837/1000</f>
        <v>500</v>
      </c>
      <c r="W803" s="9">
        <f>STATS1003B!W837/1000</f>
        <v>0</v>
      </c>
      <c r="X803" s="9">
        <f>STATS1003B!X837/1000</f>
        <v>500</v>
      </c>
      <c r="Y803" s="9">
        <f>STATS1003B!Y837/1000</f>
        <v>0</v>
      </c>
      <c r="Z803" s="9">
        <f>STATS1003B!Z837/1000</f>
        <v>0</v>
      </c>
      <c r="AA803" s="9">
        <f>STATS1003B!AA837/1000</f>
        <v>500</v>
      </c>
      <c r="AB803" s="9">
        <f>STATS1003B!AB837/1000</f>
        <v>0</v>
      </c>
    </row>
    <row r="804" spans="1:28" x14ac:dyDescent="0.35">
      <c r="A804" s="36"/>
      <c r="B804" s="8"/>
      <c r="C804" s="7" t="s">
        <v>933</v>
      </c>
      <c r="D804" s="16" t="s">
        <v>1072</v>
      </c>
      <c r="E804" s="9">
        <f>STATS1003B!E838/1000</f>
        <v>3882.5036399999999</v>
      </c>
      <c r="F804" s="9">
        <f>STATS1003B!F838/1000</f>
        <v>3882.5036399999999</v>
      </c>
      <c r="G804" s="9">
        <f>STATS1003B!G838/1000</f>
        <v>0</v>
      </c>
      <c r="H804" s="9">
        <f>STATS1003B!H838/1000</f>
        <v>3882.5036399999999</v>
      </c>
      <c r="I804" s="9">
        <f>STATS1003B!I838/1000</f>
        <v>0</v>
      </c>
      <c r="J804" s="9">
        <f>STATS1003B!J838/1000</f>
        <v>0</v>
      </c>
      <c r="K804" s="9">
        <f>STATS1003B!K838/1000</f>
        <v>0</v>
      </c>
      <c r="L804" s="9">
        <f>STATS1003B!L838/1000</f>
        <v>0</v>
      </c>
      <c r="M804" s="9">
        <f>STATS1003B!M838/1000</f>
        <v>3882.5036399999999</v>
      </c>
      <c r="N804" s="9">
        <f>STATS1003B!N838/1000</f>
        <v>0</v>
      </c>
      <c r="O804" s="9">
        <f>STATS1003B!O838/1000</f>
        <v>0</v>
      </c>
      <c r="P804" s="9">
        <f>STATS1003B!P838/1000</f>
        <v>0</v>
      </c>
      <c r="Q804" s="9">
        <f>STATS1003B!Q838/1000</f>
        <v>0</v>
      </c>
      <c r="R804" s="9">
        <f>STATS1003B!R838/1000</f>
        <v>0</v>
      </c>
      <c r="S804" s="9">
        <f>STATS1003B!S838/1000</f>
        <v>0</v>
      </c>
      <c r="T804" s="9">
        <f>STATS1003B!T838/1000</f>
        <v>0</v>
      </c>
      <c r="U804" s="9">
        <f>STATS1003B!U838/1000</f>
        <v>0</v>
      </c>
      <c r="V804" s="9">
        <f>STATS1003B!V838/1000</f>
        <v>0</v>
      </c>
      <c r="W804" s="9">
        <f>STATS1003B!W838/1000</f>
        <v>0</v>
      </c>
      <c r="X804" s="9">
        <f>STATS1003B!X838/1000</f>
        <v>3882.5036399999999</v>
      </c>
      <c r="Y804" s="9">
        <f>STATS1003B!Y838/1000</f>
        <v>0</v>
      </c>
      <c r="Z804" s="9">
        <f>STATS1003B!Z838/1000</f>
        <v>0</v>
      </c>
      <c r="AA804" s="9">
        <f>STATS1003B!AA838/1000</f>
        <v>3882.5036399999999</v>
      </c>
      <c r="AB804" s="9">
        <f>STATS1003B!AB838/1000</f>
        <v>0</v>
      </c>
    </row>
    <row r="805" spans="1:28" x14ac:dyDescent="0.35">
      <c r="A805" s="36"/>
      <c r="B805" s="8"/>
      <c r="C805" s="7" t="s">
        <v>598</v>
      </c>
      <c r="D805" s="8"/>
      <c r="E805" s="9">
        <f>STATS1003B!E840/1000</f>
        <v>798.72</v>
      </c>
      <c r="F805" s="9">
        <f>STATS1003B!F840/1000</f>
        <v>798.72</v>
      </c>
      <c r="G805" s="9">
        <f>STATS1003B!G840/1000</f>
        <v>0</v>
      </c>
      <c r="H805" s="9">
        <f>STATS1003B!H840/1000</f>
        <v>798.72</v>
      </c>
      <c r="I805" s="9">
        <f>STATS1003B!I840/1000</f>
        <v>0</v>
      </c>
      <c r="J805" s="9">
        <f>STATS1003B!J840/1000</f>
        <v>798.72</v>
      </c>
      <c r="K805" s="9">
        <f>STATS1003B!K840/1000</f>
        <v>0</v>
      </c>
      <c r="L805" s="9">
        <f>STATS1003B!L840/1000</f>
        <v>0</v>
      </c>
      <c r="M805" s="9">
        <f>STATS1003B!M840/1000</f>
        <v>798.72</v>
      </c>
      <c r="N805" s="9">
        <f>STATS1003B!N840/1000</f>
        <v>0</v>
      </c>
      <c r="O805" s="9">
        <f>STATS1003B!O840/1000</f>
        <v>0</v>
      </c>
      <c r="P805" s="9">
        <f>STATS1003B!P840/1000</f>
        <v>0</v>
      </c>
      <c r="Q805" s="9">
        <f>STATS1003B!Q840/1000</f>
        <v>798.72</v>
      </c>
      <c r="R805" s="9">
        <f>STATS1003B!R840/1000</f>
        <v>0</v>
      </c>
      <c r="S805" s="9">
        <f>STATS1003B!S840/1000</f>
        <v>0</v>
      </c>
      <c r="T805" s="9">
        <f>STATS1003B!T840/1000</f>
        <v>0</v>
      </c>
      <c r="U805" s="9">
        <f>STATS1003B!U840/1000</f>
        <v>0</v>
      </c>
      <c r="V805" s="9">
        <f>STATS1003B!V840/1000</f>
        <v>798.72</v>
      </c>
      <c r="W805" s="9">
        <f>STATS1003B!W840/1000</f>
        <v>0</v>
      </c>
      <c r="X805" s="9">
        <f>STATS1003B!X840/1000</f>
        <v>798.72</v>
      </c>
      <c r="Y805" s="9">
        <f>STATS1003B!Y840/1000</f>
        <v>0</v>
      </c>
      <c r="Z805" s="9">
        <f>STATS1003B!Z840/1000</f>
        <v>0</v>
      </c>
      <c r="AA805" s="9">
        <f>STATS1003B!AA840/1000</f>
        <v>798.72</v>
      </c>
      <c r="AB805" s="9">
        <f>STATS1003B!AB840/1000</f>
        <v>0</v>
      </c>
    </row>
    <row r="806" spans="1:28" x14ac:dyDescent="0.35">
      <c r="A806" s="36"/>
      <c r="B806" s="8"/>
      <c r="C806" s="7" t="s">
        <v>550</v>
      </c>
      <c r="D806" s="8"/>
      <c r="E806" s="9">
        <f>STATS1003B!E841/1000</f>
        <v>83.548000000000002</v>
      </c>
      <c r="F806" s="9">
        <f>STATS1003B!F841/1000</f>
        <v>83.548000000000002</v>
      </c>
      <c r="G806" s="9">
        <f>STATS1003B!G841/1000</f>
        <v>0</v>
      </c>
      <c r="H806" s="9">
        <f>STATS1003B!H841/1000</f>
        <v>83.548000000000002</v>
      </c>
      <c r="I806" s="9">
        <f>STATS1003B!I841/1000</f>
        <v>0</v>
      </c>
      <c r="J806" s="9">
        <f>STATS1003B!J841/1000</f>
        <v>83.548000000000002</v>
      </c>
      <c r="K806" s="9">
        <f>STATS1003B!K841/1000</f>
        <v>0</v>
      </c>
      <c r="L806" s="9">
        <f>STATS1003B!L841/1000</f>
        <v>0</v>
      </c>
      <c r="M806" s="9">
        <f>STATS1003B!M841/1000</f>
        <v>83.548000000000002</v>
      </c>
      <c r="N806" s="9">
        <f>STATS1003B!N841/1000</f>
        <v>0</v>
      </c>
      <c r="O806" s="9">
        <f>STATS1003B!O841/1000</f>
        <v>0</v>
      </c>
      <c r="P806" s="9">
        <f>STATS1003B!P841/1000</f>
        <v>0</v>
      </c>
      <c r="Q806" s="9">
        <f>STATS1003B!Q841/1000</f>
        <v>83.548000000000002</v>
      </c>
      <c r="R806" s="9">
        <f>STATS1003B!R841/1000</f>
        <v>0</v>
      </c>
      <c r="S806" s="9">
        <f>STATS1003B!S841/1000</f>
        <v>0</v>
      </c>
      <c r="T806" s="9">
        <f>STATS1003B!T841/1000</f>
        <v>0</v>
      </c>
      <c r="U806" s="9">
        <f>STATS1003B!U841/1000</f>
        <v>0</v>
      </c>
      <c r="V806" s="9">
        <f>STATS1003B!V841/1000</f>
        <v>83.548000000000002</v>
      </c>
      <c r="W806" s="9">
        <f>STATS1003B!W841/1000</f>
        <v>0</v>
      </c>
      <c r="X806" s="9">
        <f>STATS1003B!X841/1000</f>
        <v>83.548000000000002</v>
      </c>
      <c r="Y806" s="9">
        <f>STATS1003B!Y841/1000</f>
        <v>0</v>
      </c>
      <c r="Z806" s="9">
        <f>STATS1003B!Z841/1000</f>
        <v>0</v>
      </c>
      <c r="AA806" s="9">
        <f>STATS1003B!AA841/1000</f>
        <v>83.548000000000002</v>
      </c>
      <c r="AB806" s="9">
        <f>STATS1003B!AB841/1000</f>
        <v>0</v>
      </c>
    </row>
    <row r="807" spans="1:28" x14ac:dyDescent="0.35">
      <c r="A807" s="36"/>
      <c r="B807" s="8"/>
      <c r="C807" s="7" t="s">
        <v>606</v>
      </c>
      <c r="D807" s="8"/>
      <c r="E807" s="9">
        <f>STATS1003B!E842/1000</f>
        <v>2500</v>
      </c>
      <c r="F807" s="9">
        <f>STATS1003B!F842/1000</f>
        <v>2500</v>
      </c>
      <c r="G807" s="9">
        <f>STATS1003B!G842/1000</f>
        <v>0</v>
      </c>
      <c r="H807" s="9">
        <f>STATS1003B!H842/1000</f>
        <v>2500</v>
      </c>
      <c r="I807" s="9">
        <f>STATS1003B!I842/1000</f>
        <v>0</v>
      </c>
      <c r="J807" s="9">
        <f>STATS1003B!J842/1000</f>
        <v>2500</v>
      </c>
      <c r="K807" s="9">
        <f>STATS1003B!K842/1000</f>
        <v>0</v>
      </c>
      <c r="L807" s="9">
        <f>STATS1003B!L842/1000</f>
        <v>0</v>
      </c>
      <c r="M807" s="9">
        <f>STATS1003B!M842/1000</f>
        <v>2500</v>
      </c>
      <c r="N807" s="9">
        <f>STATS1003B!N842/1000</f>
        <v>0</v>
      </c>
      <c r="O807" s="9">
        <f>STATS1003B!O842/1000</f>
        <v>0</v>
      </c>
      <c r="P807" s="9">
        <f>STATS1003B!P842/1000</f>
        <v>0</v>
      </c>
      <c r="Q807" s="9">
        <f>STATS1003B!Q842/1000</f>
        <v>2500</v>
      </c>
      <c r="R807" s="9">
        <f>STATS1003B!R842/1000</f>
        <v>0</v>
      </c>
      <c r="S807" s="9">
        <f>STATS1003B!S842/1000</f>
        <v>0</v>
      </c>
      <c r="T807" s="9">
        <f>STATS1003B!T842/1000</f>
        <v>0</v>
      </c>
      <c r="U807" s="9">
        <f>STATS1003B!U842/1000</f>
        <v>0</v>
      </c>
      <c r="V807" s="9">
        <f>STATS1003B!V842/1000</f>
        <v>2500</v>
      </c>
      <c r="W807" s="9">
        <f>STATS1003B!W842/1000</f>
        <v>0</v>
      </c>
      <c r="X807" s="9">
        <f>STATS1003B!X842/1000</f>
        <v>2500</v>
      </c>
      <c r="Y807" s="9">
        <f>STATS1003B!Y842/1000</f>
        <v>0</v>
      </c>
      <c r="Z807" s="9">
        <f>STATS1003B!Z842/1000</f>
        <v>0</v>
      </c>
      <c r="AA807" s="9">
        <f>STATS1003B!AA842/1000</f>
        <v>2500</v>
      </c>
      <c r="AB807" s="9">
        <f>STATS1003B!AB842/1000</f>
        <v>0</v>
      </c>
    </row>
    <row r="808" spans="1:28" x14ac:dyDescent="0.35">
      <c r="A808" s="36"/>
      <c r="B808" s="8"/>
      <c r="C808" s="8"/>
      <c r="D808" s="8"/>
      <c r="E808" s="17" t="s">
        <v>29</v>
      </c>
      <c r="F808" s="17" t="s">
        <v>29</v>
      </c>
      <c r="G808" s="17" t="s">
        <v>29</v>
      </c>
      <c r="H808" s="17" t="s">
        <v>29</v>
      </c>
      <c r="I808" s="17" t="s">
        <v>29</v>
      </c>
      <c r="J808" s="17" t="s">
        <v>29</v>
      </c>
      <c r="K808" s="17" t="s">
        <v>29</v>
      </c>
      <c r="L808" s="17" t="s">
        <v>29</v>
      </c>
      <c r="M808" s="17" t="s">
        <v>29</v>
      </c>
      <c r="N808" s="17" t="s">
        <v>29</v>
      </c>
      <c r="O808" s="17" t="s">
        <v>29</v>
      </c>
      <c r="P808" s="17" t="s">
        <v>29</v>
      </c>
      <c r="Q808" s="17" t="s">
        <v>29</v>
      </c>
      <c r="R808" s="17" t="s">
        <v>29</v>
      </c>
      <c r="S808" s="17" t="s">
        <v>29</v>
      </c>
      <c r="T808" s="17" t="s">
        <v>29</v>
      </c>
      <c r="U808" s="17" t="s">
        <v>29</v>
      </c>
      <c r="V808" s="17" t="s">
        <v>29</v>
      </c>
      <c r="W808" s="17" t="s">
        <v>29</v>
      </c>
      <c r="X808" s="17" t="s">
        <v>29</v>
      </c>
      <c r="Y808" s="17" t="s">
        <v>29</v>
      </c>
      <c r="Z808" s="17" t="s">
        <v>29</v>
      </c>
      <c r="AA808" s="17" t="s">
        <v>29</v>
      </c>
      <c r="AB808" s="17" t="s">
        <v>29</v>
      </c>
    </row>
    <row r="809" spans="1:28" x14ac:dyDescent="0.35">
      <c r="A809" s="36"/>
      <c r="B809" s="8"/>
      <c r="C809" s="8"/>
      <c r="D809" s="8"/>
      <c r="E809" s="9">
        <f t="shared" ref="E809:Q809" si="58">SUM(E792:E808)</f>
        <v>30941.802730000003</v>
      </c>
      <c r="F809" s="9">
        <f t="shared" si="58"/>
        <v>25869.373800000001</v>
      </c>
      <c r="G809" s="9">
        <f t="shared" si="58"/>
        <v>0</v>
      </c>
      <c r="H809" s="9">
        <f t="shared" si="58"/>
        <v>25869.373800000001</v>
      </c>
      <c r="I809" s="9">
        <f t="shared" si="58"/>
        <v>0</v>
      </c>
      <c r="J809" s="9">
        <f t="shared" si="58"/>
        <v>21986.870160000002</v>
      </c>
      <c r="K809" s="9">
        <f t="shared" si="58"/>
        <v>5054.4965000000002</v>
      </c>
      <c r="L809" s="9">
        <f t="shared" si="58"/>
        <v>0</v>
      </c>
      <c r="M809" s="9">
        <f t="shared" si="58"/>
        <v>25869.373800000001</v>
      </c>
      <c r="N809" s="9">
        <f t="shared" si="58"/>
        <v>5054.4965000000002</v>
      </c>
      <c r="O809" s="9">
        <f t="shared" si="58"/>
        <v>0</v>
      </c>
      <c r="P809" s="9">
        <f t="shared" si="58"/>
        <v>5054.4965000000002</v>
      </c>
      <c r="Q809" s="9">
        <f t="shared" si="58"/>
        <v>21504.802590000003</v>
      </c>
      <c r="R809" s="17"/>
      <c r="S809" s="17"/>
      <c r="T809" s="9">
        <f t="shared" ref="T809:Z809" si="59">SUM(T792:T808)</f>
        <v>17.93243</v>
      </c>
      <c r="U809" s="9">
        <f t="shared" si="59"/>
        <v>5072.42893</v>
      </c>
      <c r="V809" s="9">
        <f t="shared" si="59"/>
        <v>27041.366660000003</v>
      </c>
      <c r="W809" s="9">
        <f t="shared" si="59"/>
        <v>17.932429999999993</v>
      </c>
      <c r="X809" s="9">
        <f t="shared" si="59"/>
        <v>30923.870300000002</v>
      </c>
      <c r="Y809" s="9">
        <f t="shared" si="59"/>
        <v>0</v>
      </c>
      <c r="Z809" s="9">
        <f t="shared" si="59"/>
        <v>17.932429999999993</v>
      </c>
      <c r="AA809" s="9">
        <f>SUM(AA792:AA808)</f>
        <v>30941.802730000003</v>
      </c>
      <c r="AB809" s="9">
        <f>SUM(AB792:AB808)</f>
        <v>0</v>
      </c>
    </row>
    <row r="810" spans="1:28" x14ac:dyDescent="0.35">
      <c r="A810" s="36"/>
      <c r="B810" s="8"/>
      <c r="C810" s="8"/>
      <c r="D810" s="8"/>
      <c r="E810" s="17" t="s">
        <v>29</v>
      </c>
      <c r="F810" s="17" t="s">
        <v>29</v>
      </c>
      <c r="G810" s="17" t="s">
        <v>29</v>
      </c>
      <c r="H810" s="17" t="s">
        <v>29</v>
      </c>
      <c r="I810" s="17" t="s">
        <v>29</v>
      </c>
      <c r="J810" s="17" t="s">
        <v>29</v>
      </c>
      <c r="K810" s="17" t="s">
        <v>29</v>
      </c>
      <c r="L810" s="17" t="s">
        <v>29</v>
      </c>
      <c r="M810" s="17" t="s">
        <v>29</v>
      </c>
      <c r="N810" s="17" t="s">
        <v>29</v>
      </c>
      <c r="O810" s="17" t="s">
        <v>29</v>
      </c>
      <c r="P810" s="17" t="s">
        <v>29</v>
      </c>
      <c r="Q810" s="17" t="s">
        <v>29</v>
      </c>
      <c r="R810" s="17" t="s">
        <v>29</v>
      </c>
      <c r="S810" s="17" t="s">
        <v>29</v>
      </c>
      <c r="T810" s="17" t="s">
        <v>29</v>
      </c>
      <c r="U810" s="17" t="s">
        <v>29</v>
      </c>
      <c r="V810" s="17" t="s">
        <v>29</v>
      </c>
      <c r="W810" s="17" t="s">
        <v>29</v>
      </c>
      <c r="X810" s="17" t="s">
        <v>29</v>
      </c>
      <c r="Y810" s="17" t="s">
        <v>29</v>
      </c>
      <c r="Z810" s="17" t="s">
        <v>29</v>
      </c>
      <c r="AA810" s="17" t="s">
        <v>29</v>
      </c>
      <c r="AB810" s="17" t="s">
        <v>29</v>
      </c>
    </row>
    <row r="811" spans="1:28" x14ac:dyDescent="0.35">
      <c r="A811" s="38" t="s">
        <v>977</v>
      </c>
      <c r="B811" s="7" t="s">
        <v>647</v>
      </c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17"/>
      <c r="S811" s="17"/>
      <c r="T811" s="17"/>
      <c r="U811" s="17"/>
      <c r="V811" s="17"/>
      <c r="W811" s="17"/>
      <c r="X811" s="17"/>
      <c r="Y811" s="17"/>
      <c r="Z811" s="17"/>
    </row>
    <row r="812" spans="1:28" x14ac:dyDescent="0.35">
      <c r="A812" s="36"/>
      <c r="B812" s="8"/>
      <c r="C812" s="14" t="s">
        <v>648</v>
      </c>
      <c r="D812" s="21" t="s">
        <v>649</v>
      </c>
      <c r="E812" s="9">
        <f>STATS1003B!E847/1000</f>
        <v>195.54189000000002</v>
      </c>
      <c r="F812" s="9">
        <f>STATS1003B!F847/1000</f>
        <v>195.54189000000002</v>
      </c>
      <c r="G812" s="9">
        <f>STATS1003B!G847/1000</f>
        <v>0</v>
      </c>
      <c r="H812" s="9">
        <f>STATS1003B!H847/1000</f>
        <v>195.54189000000002</v>
      </c>
      <c r="I812" s="9">
        <f>STATS1003B!I847/1000</f>
        <v>0</v>
      </c>
      <c r="J812" s="9">
        <f>STATS1003B!J847/1000</f>
        <v>195.54189000000002</v>
      </c>
      <c r="K812" s="9">
        <f>STATS1003B!K847/1000</f>
        <v>0</v>
      </c>
      <c r="L812" s="9">
        <f>STATS1003B!L847/1000</f>
        <v>0</v>
      </c>
      <c r="M812" s="9">
        <f>STATS1003B!M847/1000</f>
        <v>195.54189000000002</v>
      </c>
      <c r="N812" s="9">
        <f>STATS1003B!N847/1000</f>
        <v>0</v>
      </c>
      <c r="O812" s="9">
        <f>STATS1003B!O847/1000</f>
        <v>0</v>
      </c>
      <c r="P812" s="9">
        <f>STATS1003B!P847/1000</f>
        <v>0</v>
      </c>
      <c r="Q812" s="9">
        <f>STATS1003B!Q847/1000</f>
        <v>195.54189000000002</v>
      </c>
      <c r="R812" s="9">
        <f>STATS1003B!R847/1000</f>
        <v>0</v>
      </c>
      <c r="S812" s="9">
        <f>STATS1003B!S847/1000</f>
        <v>0</v>
      </c>
      <c r="T812" s="9">
        <f>STATS1003B!T847/1000</f>
        <v>0</v>
      </c>
      <c r="U812" s="9">
        <f>STATS1003B!U847/1000</f>
        <v>0</v>
      </c>
      <c r="V812" s="9">
        <f>STATS1003B!V847/1000</f>
        <v>195.54189000000002</v>
      </c>
      <c r="W812" s="9">
        <f>STATS1003B!W847/1000</f>
        <v>0</v>
      </c>
      <c r="X812" s="9">
        <f>STATS1003B!X847/1000</f>
        <v>195.54189000000002</v>
      </c>
      <c r="Y812" s="9">
        <f>STATS1003B!Y847/1000</f>
        <v>0</v>
      </c>
      <c r="Z812" s="9">
        <f>STATS1003B!Z847/1000</f>
        <v>0</v>
      </c>
      <c r="AA812" s="9">
        <f>STATS1003B!AA847/1000</f>
        <v>195.54189000000002</v>
      </c>
      <c r="AB812" s="9">
        <f>STATS1003B!AB847/1000</f>
        <v>0</v>
      </c>
    </row>
    <row r="813" spans="1:28" x14ac:dyDescent="0.35">
      <c r="A813" s="36"/>
      <c r="B813" s="8"/>
      <c r="C813" s="7" t="s">
        <v>535</v>
      </c>
      <c r="D813" s="15" t="s">
        <v>68</v>
      </c>
      <c r="E813" s="9">
        <f>STATS1003B!E848/1000</f>
        <v>406.56723999999997</v>
      </c>
      <c r="F813" s="9">
        <f>STATS1003B!F848/1000</f>
        <v>382.94600000000003</v>
      </c>
      <c r="G813" s="9">
        <f>STATS1003B!G848/1000</f>
        <v>0</v>
      </c>
      <c r="H813" s="9">
        <f>STATS1003B!H848/1000</f>
        <v>382.94600000000003</v>
      </c>
      <c r="I813" s="9">
        <f>STATS1003B!I848/1000</f>
        <v>0</v>
      </c>
      <c r="J813" s="9">
        <f>STATS1003B!J848/1000</f>
        <v>382.94600000000003</v>
      </c>
      <c r="K813" s="9">
        <f>STATS1003B!K848/1000</f>
        <v>23.62124</v>
      </c>
      <c r="L813" s="9">
        <f>STATS1003B!L848/1000</f>
        <v>0</v>
      </c>
      <c r="M813" s="9">
        <f>STATS1003B!M848/1000</f>
        <v>382.94600000000003</v>
      </c>
      <c r="N813" s="9">
        <f>STATS1003B!N848/1000</f>
        <v>23.62124</v>
      </c>
      <c r="O813" s="9">
        <f>STATS1003B!O848/1000</f>
        <v>0</v>
      </c>
      <c r="P813" s="9">
        <f>STATS1003B!P848/1000</f>
        <v>23.62124</v>
      </c>
      <c r="Q813" s="9">
        <f>STATS1003B!Q848/1000</f>
        <v>382.94600000000003</v>
      </c>
      <c r="R813" s="9">
        <f>STATS1003B!R848/1000</f>
        <v>0</v>
      </c>
      <c r="S813" s="9">
        <f>STATS1003B!S848/1000</f>
        <v>0</v>
      </c>
      <c r="T813" s="9">
        <f>STATS1003B!T848/1000</f>
        <v>0</v>
      </c>
      <c r="U813" s="9">
        <f>STATS1003B!U848/1000</f>
        <v>23.62124</v>
      </c>
      <c r="V813" s="9">
        <f>STATS1003B!V848/1000</f>
        <v>406.56723999999997</v>
      </c>
      <c r="W813" s="9">
        <f>STATS1003B!W848/1000</f>
        <v>0</v>
      </c>
      <c r="X813" s="9">
        <f>STATS1003B!X848/1000</f>
        <v>406.56723999999997</v>
      </c>
      <c r="Y813" s="9">
        <f>STATS1003B!Y848/1000</f>
        <v>0</v>
      </c>
      <c r="Z813" s="9">
        <f>STATS1003B!Z848/1000</f>
        <v>0</v>
      </c>
      <c r="AA813" s="9">
        <f>STATS1003B!AA848/1000</f>
        <v>406.56723999999997</v>
      </c>
      <c r="AB813" s="9">
        <f>STATS1003B!AB848/1000</f>
        <v>0</v>
      </c>
    </row>
    <row r="814" spans="1:28" x14ac:dyDescent="0.35">
      <c r="A814" s="36"/>
      <c r="B814" s="8"/>
      <c r="C814" s="7" t="s">
        <v>539</v>
      </c>
      <c r="D814" s="15" t="s">
        <v>68</v>
      </c>
      <c r="E814" s="9">
        <f>STATS1003B!E849/1000</f>
        <v>4422.0830999999998</v>
      </c>
      <c r="F814" s="9">
        <f>STATS1003B!F849/1000</f>
        <v>0</v>
      </c>
      <c r="G814" s="9">
        <f>STATS1003B!G849/1000</f>
        <v>0</v>
      </c>
      <c r="H814" s="9">
        <f>STATS1003B!H849/1000</f>
        <v>0</v>
      </c>
      <c r="I814" s="9">
        <f>STATS1003B!I849/1000</f>
        <v>0</v>
      </c>
      <c r="J814" s="9">
        <f>STATS1003B!J849/1000</f>
        <v>0</v>
      </c>
      <c r="K814" s="9">
        <f>STATS1003B!K849/1000</f>
        <v>4422.0830999999998</v>
      </c>
      <c r="L814" s="9">
        <f>STATS1003B!L849/1000</f>
        <v>0</v>
      </c>
      <c r="M814" s="9">
        <f>STATS1003B!M849/1000</f>
        <v>0</v>
      </c>
      <c r="N814" s="9">
        <f>STATS1003B!N849/1000</f>
        <v>4422.0830999999998</v>
      </c>
      <c r="O814" s="9">
        <f>STATS1003B!O849/1000</f>
        <v>0</v>
      </c>
      <c r="P814" s="9">
        <f>STATS1003B!P849/1000</f>
        <v>4422.0830999999998</v>
      </c>
      <c r="Q814" s="9">
        <f>STATS1003B!Q849/1000</f>
        <v>0</v>
      </c>
      <c r="R814" s="9">
        <f>STATS1003B!R849/1000</f>
        <v>0</v>
      </c>
      <c r="S814" s="9">
        <f>STATS1003B!S849/1000</f>
        <v>0</v>
      </c>
      <c r="T814" s="9">
        <f>STATS1003B!T849/1000</f>
        <v>0</v>
      </c>
      <c r="U814" s="9">
        <f>STATS1003B!U849/1000</f>
        <v>4422.0830999999998</v>
      </c>
      <c r="V814" s="9">
        <f>STATS1003B!V849/1000</f>
        <v>4422.0830999999998</v>
      </c>
      <c r="W814" s="9">
        <f>STATS1003B!W849/1000</f>
        <v>0</v>
      </c>
      <c r="X814" s="9">
        <f>STATS1003B!X849/1000</f>
        <v>4422.0830999999998</v>
      </c>
      <c r="Y814" s="9">
        <f>STATS1003B!Y849/1000</f>
        <v>0</v>
      </c>
      <c r="Z814" s="9">
        <f>STATS1003B!Z849/1000</f>
        <v>0</v>
      </c>
      <c r="AA814" s="9">
        <f>STATS1003B!AA849/1000</f>
        <v>4422.0830999999998</v>
      </c>
      <c r="AB814" s="9">
        <f>STATS1003B!AB849/1000</f>
        <v>0</v>
      </c>
    </row>
    <row r="815" spans="1:28" x14ac:dyDescent="0.35">
      <c r="A815" s="36"/>
      <c r="B815" s="8"/>
      <c r="C815" s="7" t="s">
        <v>535</v>
      </c>
      <c r="D815" s="15" t="s">
        <v>54</v>
      </c>
      <c r="E815" s="9">
        <f>STATS1003B!E850/1000</f>
        <v>1144</v>
      </c>
      <c r="F815" s="9">
        <f>STATS1003B!F850/1000</f>
        <v>1144</v>
      </c>
      <c r="G815" s="9">
        <f>STATS1003B!G850/1000</f>
        <v>0</v>
      </c>
      <c r="H815" s="9">
        <f>STATS1003B!H850/1000</f>
        <v>1144</v>
      </c>
      <c r="I815" s="9">
        <f>STATS1003B!I850/1000</f>
        <v>0</v>
      </c>
      <c r="J815" s="9">
        <f>STATS1003B!J850/1000</f>
        <v>1144</v>
      </c>
      <c r="K815" s="9">
        <f>STATS1003B!K850/1000</f>
        <v>0</v>
      </c>
      <c r="L815" s="9">
        <f>STATS1003B!L850/1000</f>
        <v>0</v>
      </c>
      <c r="M815" s="9">
        <f>STATS1003B!M850/1000</f>
        <v>1144</v>
      </c>
      <c r="N815" s="9">
        <f>STATS1003B!N850/1000</f>
        <v>0</v>
      </c>
      <c r="O815" s="9">
        <f>STATS1003B!O850/1000</f>
        <v>0</v>
      </c>
      <c r="P815" s="9">
        <f>STATS1003B!P850/1000</f>
        <v>0</v>
      </c>
      <c r="Q815" s="9">
        <f>STATS1003B!Q850/1000</f>
        <v>1144</v>
      </c>
      <c r="R815" s="9">
        <f>STATS1003B!R850/1000</f>
        <v>0</v>
      </c>
      <c r="S815" s="9">
        <f>STATS1003B!S850/1000</f>
        <v>0</v>
      </c>
      <c r="T815" s="9">
        <f>STATS1003B!T850/1000</f>
        <v>0</v>
      </c>
      <c r="U815" s="9">
        <f>STATS1003B!U850/1000</f>
        <v>0</v>
      </c>
      <c r="V815" s="9">
        <f>STATS1003B!V850/1000</f>
        <v>1144</v>
      </c>
      <c r="W815" s="9">
        <f>STATS1003B!W850/1000</f>
        <v>0</v>
      </c>
      <c r="X815" s="9">
        <f>STATS1003B!X850/1000</f>
        <v>1144</v>
      </c>
      <c r="Y815" s="9">
        <f>STATS1003B!Y850/1000</f>
        <v>0</v>
      </c>
      <c r="Z815" s="9">
        <f>STATS1003B!Z850/1000</f>
        <v>0</v>
      </c>
      <c r="AA815" s="9">
        <f>STATS1003B!AA850/1000</f>
        <v>1144</v>
      </c>
      <c r="AB815" s="9">
        <f>STATS1003B!AB850/1000</f>
        <v>0</v>
      </c>
    </row>
    <row r="816" spans="1:28" x14ac:dyDescent="0.35">
      <c r="A816" s="36"/>
      <c r="B816" s="8"/>
      <c r="C816" s="7" t="s">
        <v>545</v>
      </c>
      <c r="D816" s="15" t="s">
        <v>54</v>
      </c>
      <c r="E816" s="9">
        <f>STATS1003B!E851/1000</f>
        <v>1953.989</v>
      </c>
      <c r="F816" s="9">
        <f>STATS1003B!F851/1000</f>
        <v>0</v>
      </c>
      <c r="G816" s="9">
        <f>STATS1003B!G851/1000</f>
        <v>0</v>
      </c>
      <c r="H816" s="9">
        <f>STATS1003B!H851/1000</f>
        <v>0</v>
      </c>
      <c r="I816" s="9">
        <f>STATS1003B!I851/1000</f>
        <v>0</v>
      </c>
      <c r="J816" s="9">
        <f>STATS1003B!J851/1000</f>
        <v>0</v>
      </c>
      <c r="K816" s="9">
        <f>STATS1003B!K851/1000</f>
        <v>1953.989</v>
      </c>
      <c r="L816" s="9">
        <f>STATS1003B!L851/1000</f>
        <v>0</v>
      </c>
      <c r="M816" s="9">
        <f>STATS1003B!M851/1000</f>
        <v>0</v>
      </c>
      <c r="N816" s="9">
        <f>STATS1003B!N851/1000</f>
        <v>1953.989</v>
      </c>
      <c r="O816" s="9">
        <f>STATS1003B!O851/1000</f>
        <v>0</v>
      </c>
      <c r="P816" s="9">
        <f>STATS1003B!P851/1000</f>
        <v>1953.989</v>
      </c>
      <c r="Q816" s="9">
        <f>STATS1003B!Q851/1000</f>
        <v>0</v>
      </c>
      <c r="R816" s="9">
        <f>STATS1003B!R851/1000</f>
        <v>0</v>
      </c>
      <c r="S816" s="9">
        <f>STATS1003B!S851/1000</f>
        <v>0</v>
      </c>
      <c r="T816" s="9">
        <f>STATS1003B!T851/1000</f>
        <v>0</v>
      </c>
      <c r="U816" s="9">
        <f>STATS1003B!U851/1000</f>
        <v>1953.989</v>
      </c>
      <c r="V816" s="9">
        <f>STATS1003B!V851/1000</f>
        <v>1953.989</v>
      </c>
      <c r="W816" s="9">
        <f>STATS1003B!W851/1000</f>
        <v>0</v>
      </c>
      <c r="X816" s="9">
        <f>STATS1003B!X851/1000</f>
        <v>1953.989</v>
      </c>
      <c r="Y816" s="9">
        <f>STATS1003B!Y851/1000</f>
        <v>0</v>
      </c>
      <c r="Z816" s="9">
        <f>STATS1003B!Z851/1000</f>
        <v>0</v>
      </c>
      <c r="AA816" s="9">
        <f>STATS1003B!AA851/1000</f>
        <v>1953.989</v>
      </c>
      <c r="AB816" s="9">
        <f>STATS1003B!AB851/1000</f>
        <v>0</v>
      </c>
    </row>
    <row r="817" spans="1:28" x14ac:dyDescent="0.35">
      <c r="A817" s="36"/>
      <c r="B817" s="8"/>
      <c r="C817" s="7" t="s">
        <v>535</v>
      </c>
      <c r="D817" s="15" t="s">
        <v>85</v>
      </c>
      <c r="E817" s="9">
        <f>STATS1003B!E852/1000</f>
        <v>2000</v>
      </c>
      <c r="F817" s="9">
        <f>STATS1003B!F852/1000</f>
        <v>2000</v>
      </c>
      <c r="G817" s="9">
        <f>STATS1003B!G852/1000</f>
        <v>0</v>
      </c>
      <c r="H817" s="9">
        <f>STATS1003B!H852/1000</f>
        <v>2000</v>
      </c>
      <c r="I817" s="9">
        <f>STATS1003B!I852/1000</f>
        <v>0</v>
      </c>
      <c r="J817" s="9">
        <f>STATS1003B!J852/1000</f>
        <v>2000</v>
      </c>
      <c r="K817" s="9">
        <f>STATS1003B!K852/1000</f>
        <v>0</v>
      </c>
      <c r="L817" s="9">
        <f>STATS1003B!L852/1000</f>
        <v>0</v>
      </c>
      <c r="M817" s="9">
        <f>STATS1003B!M852/1000</f>
        <v>2000</v>
      </c>
      <c r="N817" s="9">
        <f>STATS1003B!N852/1000</f>
        <v>0</v>
      </c>
      <c r="O817" s="9">
        <f>STATS1003B!O852/1000</f>
        <v>0</v>
      </c>
      <c r="P817" s="9">
        <f>STATS1003B!P852/1000</f>
        <v>0</v>
      </c>
      <c r="Q817" s="9">
        <f>STATS1003B!Q852/1000</f>
        <v>2000</v>
      </c>
      <c r="R817" s="9">
        <f>STATS1003B!R852/1000</f>
        <v>0</v>
      </c>
      <c r="S817" s="9">
        <f>STATS1003B!S852/1000</f>
        <v>0</v>
      </c>
      <c r="T817" s="9">
        <f>STATS1003B!T852/1000</f>
        <v>0</v>
      </c>
      <c r="U817" s="9">
        <f>STATS1003B!U852/1000</f>
        <v>0</v>
      </c>
      <c r="V817" s="9">
        <f>STATS1003B!V852/1000</f>
        <v>2000</v>
      </c>
      <c r="W817" s="9">
        <f>STATS1003B!W852/1000</f>
        <v>0</v>
      </c>
      <c r="X817" s="9">
        <f>STATS1003B!X852/1000</f>
        <v>2000</v>
      </c>
      <c r="Y817" s="9">
        <f>STATS1003B!Y852/1000</f>
        <v>0</v>
      </c>
      <c r="Z817" s="9">
        <f>STATS1003B!Z852/1000</f>
        <v>0</v>
      </c>
      <c r="AA817" s="9">
        <f>STATS1003B!AA852/1000</f>
        <v>2000</v>
      </c>
      <c r="AB817" s="9">
        <f>STATS1003B!AB852/1000</f>
        <v>0</v>
      </c>
    </row>
    <row r="818" spans="1:28" x14ac:dyDescent="0.35">
      <c r="A818" s="36"/>
      <c r="B818" s="8"/>
      <c r="C818" s="7" t="s">
        <v>650</v>
      </c>
      <c r="D818" s="15" t="s">
        <v>85</v>
      </c>
      <c r="E818" s="9">
        <f>STATS1003B!E853/1000</f>
        <v>188.98500000000001</v>
      </c>
      <c r="F818" s="9">
        <f>STATS1003B!F853/1000</f>
        <v>188.98500000000001</v>
      </c>
      <c r="G818" s="9">
        <f>STATS1003B!G853/1000</f>
        <v>0</v>
      </c>
      <c r="H818" s="9">
        <f>STATS1003B!H853/1000</f>
        <v>188.98500000000001</v>
      </c>
      <c r="I818" s="9">
        <f>STATS1003B!I853/1000</f>
        <v>0</v>
      </c>
      <c r="J818" s="9">
        <f>STATS1003B!J853/1000</f>
        <v>188.98500000000001</v>
      </c>
      <c r="K818" s="9">
        <f>STATS1003B!K853/1000</f>
        <v>0</v>
      </c>
      <c r="L818" s="9">
        <f>STATS1003B!L853/1000</f>
        <v>0</v>
      </c>
      <c r="M818" s="9">
        <f>STATS1003B!M853/1000</f>
        <v>188.98500000000001</v>
      </c>
      <c r="N818" s="9">
        <f>STATS1003B!N853/1000</f>
        <v>0</v>
      </c>
      <c r="O818" s="9">
        <f>STATS1003B!O853/1000</f>
        <v>0</v>
      </c>
      <c r="P818" s="9">
        <f>STATS1003B!P853/1000</f>
        <v>0</v>
      </c>
      <c r="Q818" s="9">
        <f>STATS1003B!Q853/1000</f>
        <v>188.98500000000001</v>
      </c>
      <c r="R818" s="9">
        <f>STATS1003B!R853/1000</f>
        <v>0</v>
      </c>
      <c r="S818" s="9">
        <f>STATS1003B!S853/1000</f>
        <v>0</v>
      </c>
      <c r="T818" s="9">
        <f>STATS1003B!T853/1000</f>
        <v>0</v>
      </c>
      <c r="U818" s="9">
        <f>STATS1003B!U853/1000</f>
        <v>0</v>
      </c>
      <c r="V818" s="9">
        <f>STATS1003B!V853/1000</f>
        <v>188.98500000000001</v>
      </c>
      <c r="W818" s="9">
        <f>STATS1003B!W853/1000</f>
        <v>0</v>
      </c>
      <c r="X818" s="9">
        <f>STATS1003B!X853/1000</f>
        <v>188.98500000000001</v>
      </c>
      <c r="Y818" s="9">
        <f>STATS1003B!Y853/1000</f>
        <v>0</v>
      </c>
      <c r="Z818" s="9">
        <f>STATS1003B!Z853/1000</f>
        <v>0</v>
      </c>
      <c r="AA818" s="9">
        <f>STATS1003B!AA853/1000</f>
        <v>188.98500000000001</v>
      </c>
      <c r="AB818" s="9">
        <f>STATS1003B!AB853/1000</f>
        <v>0</v>
      </c>
    </row>
    <row r="819" spans="1:28" x14ac:dyDescent="0.35">
      <c r="A819" s="36"/>
      <c r="B819" s="8"/>
      <c r="C819" s="7" t="s">
        <v>651</v>
      </c>
      <c r="D819" s="15" t="s">
        <v>128</v>
      </c>
      <c r="E819" s="9">
        <f>STATS1003B!E854/1000</f>
        <v>619.62400000000002</v>
      </c>
      <c r="F819" s="9">
        <f>STATS1003B!F854/1000</f>
        <v>619.62400000000002</v>
      </c>
      <c r="G819" s="9">
        <f>STATS1003B!G854/1000</f>
        <v>0</v>
      </c>
      <c r="H819" s="9">
        <f>STATS1003B!H854/1000</f>
        <v>619.62400000000002</v>
      </c>
      <c r="I819" s="9">
        <f>STATS1003B!I854/1000</f>
        <v>0</v>
      </c>
      <c r="J819" s="9">
        <f>STATS1003B!J854/1000</f>
        <v>619.62400000000002</v>
      </c>
      <c r="K819" s="9">
        <f>STATS1003B!K854/1000</f>
        <v>0</v>
      </c>
      <c r="L819" s="9">
        <f>STATS1003B!L854/1000</f>
        <v>0</v>
      </c>
      <c r="M819" s="9">
        <f>STATS1003B!M854/1000</f>
        <v>619.62400000000002</v>
      </c>
      <c r="N819" s="9">
        <f>STATS1003B!N854/1000</f>
        <v>0</v>
      </c>
      <c r="O819" s="9">
        <f>STATS1003B!O854/1000</f>
        <v>0</v>
      </c>
      <c r="P819" s="9">
        <f>STATS1003B!P854/1000</f>
        <v>0</v>
      </c>
      <c r="Q819" s="9">
        <f>STATS1003B!Q854/1000</f>
        <v>619.62400000000002</v>
      </c>
      <c r="R819" s="9">
        <f>STATS1003B!R854/1000</f>
        <v>0</v>
      </c>
      <c r="S819" s="9">
        <f>STATS1003B!S854/1000</f>
        <v>0</v>
      </c>
      <c r="T819" s="9">
        <f>STATS1003B!T854/1000</f>
        <v>0</v>
      </c>
      <c r="U819" s="9">
        <f>STATS1003B!U854/1000</f>
        <v>0</v>
      </c>
      <c r="V819" s="9">
        <f>STATS1003B!V854/1000</f>
        <v>619.62400000000002</v>
      </c>
      <c r="W819" s="9">
        <f>STATS1003B!W854/1000</f>
        <v>0</v>
      </c>
      <c r="X819" s="9">
        <f>STATS1003B!X854/1000</f>
        <v>619.62400000000002</v>
      </c>
      <c r="Y819" s="9">
        <f>STATS1003B!Y854/1000</f>
        <v>0</v>
      </c>
      <c r="Z819" s="9">
        <f>STATS1003B!Z854/1000</f>
        <v>0</v>
      </c>
      <c r="AA819" s="9">
        <f>STATS1003B!AA854/1000</f>
        <v>619.62400000000002</v>
      </c>
      <c r="AB819" s="9">
        <f>STATS1003B!AB854/1000</f>
        <v>0</v>
      </c>
    </row>
    <row r="820" spans="1:28" x14ac:dyDescent="0.35">
      <c r="A820" s="36"/>
      <c r="B820" s="8"/>
      <c r="C820" s="7" t="s">
        <v>535</v>
      </c>
      <c r="D820" s="15" t="s">
        <v>128</v>
      </c>
      <c r="E820" s="9">
        <f>STATS1003B!E855/1000</f>
        <v>3859.0639999999999</v>
      </c>
      <c r="F820" s="9">
        <f>STATS1003B!F855/1000</f>
        <v>3859.0639999999999</v>
      </c>
      <c r="G820" s="9">
        <f>STATS1003B!G855/1000</f>
        <v>0</v>
      </c>
      <c r="H820" s="9">
        <f>STATS1003B!H855/1000</f>
        <v>3859.0639999999999</v>
      </c>
      <c r="I820" s="9">
        <f>STATS1003B!I855/1000</f>
        <v>0</v>
      </c>
      <c r="J820" s="9">
        <f>STATS1003B!J855/1000</f>
        <v>3859.0639999999999</v>
      </c>
      <c r="K820" s="9">
        <f>STATS1003B!K855/1000</f>
        <v>0</v>
      </c>
      <c r="L820" s="9">
        <f>STATS1003B!L855/1000</f>
        <v>0</v>
      </c>
      <c r="M820" s="9">
        <f>STATS1003B!M855/1000</f>
        <v>3859.0639999999999</v>
      </c>
      <c r="N820" s="9">
        <f>STATS1003B!N855/1000</f>
        <v>0</v>
      </c>
      <c r="O820" s="9">
        <f>STATS1003B!O855/1000</f>
        <v>0</v>
      </c>
      <c r="P820" s="9">
        <f>STATS1003B!P855/1000</f>
        <v>0</v>
      </c>
      <c r="Q820" s="9">
        <f>STATS1003B!Q855/1000</f>
        <v>3859.0639999999999</v>
      </c>
      <c r="R820" s="9">
        <f>STATS1003B!R855/1000</f>
        <v>0</v>
      </c>
      <c r="S820" s="9">
        <f>STATS1003B!S855/1000</f>
        <v>0</v>
      </c>
      <c r="T820" s="9">
        <f>STATS1003B!T855/1000</f>
        <v>0</v>
      </c>
      <c r="U820" s="9">
        <f>STATS1003B!U855/1000</f>
        <v>0</v>
      </c>
      <c r="V820" s="9">
        <f>STATS1003B!V855/1000</f>
        <v>3859.0639999999999</v>
      </c>
      <c r="W820" s="9">
        <f>STATS1003B!W855/1000</f>
        <v>0</v>
      </c>
      <c r="X820" s="9">
        <f>STATS1003B!X855/1000</f>
        <v>3859.0639999999999</v>
      </c>
      <c r="Y820" s="9">
        <f>STATS1003B!Y855/1000</f>
        <v>0</v>
      </c>
      <c r="Z820" s="9">
        <f>STATS1003B!Z855/1000</f>
        <v>0</v>
      </c>
      <c r="AA820" s="9">
        <f>STATS1003B!AA855/1000</f>
        <v>3859.0639999999999</v>
      </c>
      <c r="AB820" s="9">
        <f>STATS1003B!AB855/1000</f>
        <v>0</v>
      </c>
    </row>
    <row r="821" spans="1:28" x14ac:dyDescent="0.35">
      <c r="A821" s="36"/>
      <c r="B821" s="8"/>
      <c r="C821" s="7" t="s">
        <v>535</v>
      </c>
      <c r="D821" s="15" t="s">
        <v>108</v>
      </c>
      <c r="E821" s="9">
        <f>STATS1003B!E856/1000</f>
        <v>7310.5309999999999</v>
      </c>
      <c r="F821" s="9">
        <f>STATS1003B!F856/1000</f>
        <v>7310.5309999999999</v>
      </c>
      <c r="G821" s="9">
        <f>STATS1003B!G856/1000</f>
        <v>0</v>
      </c>
      <c r="H821" s="9">
        <f>STATS1003B!H856/1000</f>
        <v>7310.5309999999999</v>
      </c>
      <c r="I821" s="9">
        <f>STATS1003B!I856/1000</f>
        <v>0</v>
      </c>
      <c r="J821" s="9">
        <f>STATS1003B!J856/1000</f>
        <v>7310.5309999999999</v>
      </c>
      <c r="K821" s="9">
        <f>STATS1003B!K856/1000</f>
        <v>0</v>
      </c>
      <c r="L821" s="9">
        <f>STATS1003B!L856/1000</f>
        <v>0</v>
      </c>
      <c r="M821" s="9">
        <f>STATS1003B!M856/1000</f>
        <v>7310.5309999999999</v>
      </c>
      <c r="N821" s="9">
        <f>STATS1003B!N856/1000</f>
        <v>0</v>
      </c>
      <c r="O821" s="9">
        <f>STATS1003B!O856/1000</f>
        <v>0</v>
      </c>
      <c r="P821" s="9">
        <f>STATS1003B!P856/1000</f>
        <v>0</v>
      </c>
      <c r="Q821" s="9">
        <f>STATS1003B!Q856/1000</f>
        <v>7310.5309999999999</v>
      </c>
      <c r="R821" s="9">
        <f>STATS1003B!R856/1000</f>
        <v>0</v>
      </c>
      <c r="S821" s="9">
        <f>STATS1003B!S856/1000</f>
        <v>0</v>
      </c>
      <c r="T821" s="9">
        <f>STATS1003B!T856/1000</f>
        <v>0</v>
      </c>
      <c r="U821" s="9">
        <f>STATS1003B!U856/1000</f>
        <v>0</v>
      </c>
      <c r="V821" s="9">
        <f>STATS1003B!V856/1000</f>
        <v>7310.5309999999999</v>
      </c>
      <c r="W821" s="9">
        <f>STATS1003B!W856/1000</f>
        <v>0</v>
      </c>
      <c r="X821" s="9">
        <f>STATS1003B!X856/1000</f>
        <v>7310.5309999999999</v>
      </c>
      <c r="Y821" s="9">
        <f>STATS1003B!Y856/1000</f>
        <v>0</v>
      </c>
      <c r="Z821" s="9">
        <f>STATS1003B!Z856/1000</f>
        <v>0</v>
      </c>
      <c r="AA821" s="9">
        <f>STATS1003B!AA856/1000</f>
        <v>7310.5309999999999</v>
      </c>
      <c r="AB821" s="9">
        <f>STATS1003B!AB856/1000</f>
        <v>0</v>
      </c>
    </row>
    <row r="822" spans="1:28" x14ac:dyDescent="0.35">
      <c r="A822" s="36"/>
      <c r="B822" s="8"/>
      <c r="C822" s="7" t="s">
        <v>535</v>
      </c>
      <c r="D822" s="15" t="s">
        <v>58</v>
      </c>
      <c r="E822" s="9">
        <f>STATS1003B!E857/1000</f>
        <v>10632.75</v>
      </c>
      <c r="F822" s="9">
        <f>STATS1003B!F857/1000</f>
        <v>10632.75</v>
      </c>
      <c r="G822" s="9">
        <f>STATS1003B!G857/1000</f>
        <v>0</v>
      </c>
      <c r="H822" s="9">
        <f>STATS1003B!H857/1000</f>
        <v>10632.75</v>
      </c>
      <c r="I822" s="9">
        <f>STATS1003B!I857/1000</f>
        <v>0</v>
      </c>
      <c r="J822" s="9">
        <f>STATS1003B!J857/1000</f>
        <v>10632.75</v>
      </c>
      <c r="K822" s="9">
        <f>STATS1003B!K857/1000</f>
        <v>0</v>
      </c>
      <c r="L822" s="9">
        <f>STATS1003B!L857/1000</f>
        <v>0</v>
      </c>
      <c r="M822" s="9">
        <f>STATS1003B!M857/1000</f>
        <v>10632.75</v>
      </c>
      <c r="N822" s="9">
        <f>STATS1003B!N857/1000</f>
        <v>0</v>
      </c>
      <c r="O822" s="9">
        <f>STATS1003B!O857/1000</f>
        <v>0</v>
      </c>
      <c r="P822" s="9">
        <f>STATS1003B!P857/1000</f>
        <v>0</v>
      </c>
      <c r="Q822" s="9">
        <f>STATS1003B!Q857/1000</f>
        <v>10632.75</v>
      </c>
      <c r="R822" s="9">
        <f>STATS1003B!R857/1000</f>
        <v>0</v>
      </c>
      <c r="S822" s="9">
        <f>STATS1003B!S857/1000</f>
        <v>0</v>
      </c>
      <c r="T822" s="9">
        <f>STATS1003B!T857/1000</f>
        <v>0</v>
      </c>
      <c r="U822" s="9">
        <f>STATS1003B!U857/1000</f>
        <v>0</v>
      </c>
      <c r="V822" s="9">
        <f>STATS1003B!V857/1000</f>
        <v>10632.75</v>
      </c>
      <c r="W822" s="9">
        <f>STATS1003B!W857/1000</f>
        <v>0</v>
      </c>
      <c r="X822" s="9">
        <f>STATS1003B!X857/1000</f>
        <v>10632.75</v>
      </c>
      <c r="Y822" s="9">
        <f>STATS1003B!Y857/1000</f>
        <v>0</v>
      </c>
      <c r="Z822" s="9">
        <f>STATS1003B!Z857/1000</f>
        <v>0</v>
      </c>
      <c r="AA822" s="9">
        <f>STATS1003B!AA857/1000</f>
        <v>10632.75</v>
      </c>
      <c r="AB822" s="9">
        <f>STATS1003B!AB857/1000</f>
        <v>0</v>
      </c>
    </row>
    <row r="823" spans="1:28" x14ac:dyDescent="0.35">
      <c r="A823" s="36"/>
      <c r="B823" s="8"/>
      <c r="C823" s="14" t="s">
        <v>652</v>
      </c>
      <c r="D823" s="21" t="s">
        <v>228</v>
      </c>
      <c r="E823" s="9">
        <f>STATS1003B!E858/1000</f>
        <v>313.8</v>
      </c>
      <c r="F823" s="9">
        <f>STATS1003B!F858/1000</f>
        <v>313.8</v>
      </c>
      <c r="G823" s="9">
        <f>STATS1003B!G858/1000</f>
        <v>0</v>
      </c>
      <c r="H823" s="9">
        <f>STATS1003B!H858/1000</f>
        <v>313.8</v>
      </c>
      <c r="I823" s="9">
        <f>STATS1003B!I858/1000</f>
        <v>0</v>
      </c>
      <c r="J823" s="9">
        <f>STATS1003B!J858/1000</f>
        <v>313.8</v>
      </c>
      <c r="K823" s="9">
        <f>STATS1003B!K858/1000</f>
        <v>0</v>
      </c>
      <c r="L823" s="9">
        <f>STATS1003B!L858/1000</f>
        <v>0</v>
      </c>
      <c r="M823" s="9">
        <f>STATS1003B!M858/1000</f>
        <v>313.8</v>
      </c>
      <c r="N823" s="9">
        <f>STATS1003B!N858/1000</f>
        <v>0</v>
      </c>
      <c r="O823" s="9">
        <f>STATS1003B!O858/1000</f>
        <v>0</v>
      </c>
      <c r="P823" s="9">
        <f>STATS1003B!P858/1000</f>
        <v>0</v>
      </c>
      <c r="Q823" s="9">
        <f>STATS1003B!Q858/1000</f>
        <v>313.8</v>
      </c>
      <c r="R823" s="9">
        <f>STATS1003B!R858/1000</f>
        <v>0</v>
      </c>
      <c r="S823" s="9">
        <f>STATS1003B!S858/1000</f>
        <v>0</v>
      </c>
      <c r="T823" s="9">
        <f>STATS1003B!T858/1000</f>
        <v>0</v>
      </c>
      <c r="U823" s="9">
        <f>STATS1003B!U858/1000</f>
        <v>0</v>
      </c>
      <c r="V823" s="9">
        <f>STATS1003B!V858/1000</f>
        <v>313.8</v>
      </c>
      <c r="W823" s="9">
        <f>STATS1003B!W858/1000</f>
        <v>0</v>
      </c>
      <c r="X823" s="9">
        <f>STATS1003B!X858/1000</f>
        <v>313.8</v>
      </c>
      <c r="Y823" s="9">
        <f>STATS1003B!Y858/1000</f>
        <v>0</v>
      </c>
      <c r="Z823" s="9">
        <f>STATS1003B!Z858/1000</f>
        <v>0</v>
      </c>
      <c r="AA823" s="9">
        <f>STATS1003B!AA858/1000</f>
        <v>313.8</v>
      </c>
      <c r="AB823" s="9">
        <f>STATS1003B!AB858/1000</f>
        <v>0</v>
      </c>
    </row>
    <row r="824" spans="1:28" x14ac:dyDescent="0.35">
      <c r="A824" s="36"/>
      <c r="B824" s="8"/>
      <c r="C824" s="7" t="s">
        <v>621</v>
      </c>
      <c r="D824" s="21" t="s">
        <v>73</v>
      </c>
      <c r="E824" s="9">
        <f>STATS1003B!E859/1000</f>
        <v>553</v>
      </c>
      <c r="F824" s="9">
        <f>STATS1003B!F859/1000</f>
        <v>553</v>
      </c>
      <c r="G824" s="9">
        <f>STATS1003B!G859/1000</f>
        <v>0</v>
      </c>
      <c r="H824" s="9">
        <f>STATS1003B!H859/1000</f>
        <v>553</v>
      </c>
      <c r="I824" s="9">
        <f>STATS1003B!I859/1000</f>
        <v>0</v>
      </c>
      <c r="J824" s="9">
        <f>STATS1003B!J859/1000</f>
        <v>553</v>
      </c>
      <c r="K824" s="9">
        <f>STATS1003B!K859/1000</f>
        <v>0</v>
      </c>
      <c r="L824" s="9">
        <f>STATS1003B!L859/1000</f>
        <v>0</v>
      </c>
      <c r="M824" s="9">
        <f>STATS1003B!M859/1000</f>
        <v>553</v>
      </c>
      <c r="N824" s="9">
        <f>STATS1003B!N859/1000</f>
        <v>0</v>
      </c>
      <c r="O824" s="9">
        <f>STATS1003B!O859/1000</f>
        <v>0</v>
      </c>
      <c r="P824" s="9">
        <f>STATS1003B!P859/1000</f>
        <v>0</v>
      </c>
      <c r="Q824" s="9">
        <f>STATS1003B!Q859/1000</f>
        <v>553</v>
      </c>
      <c r="R824" s="9">
        <f>STATS1003B!R859/1000</f>
        <v>0</v>
      </c>
      <c r="S824" s="9">
        <f>STATS1003B!S859/1000</f>
        <v>0</v>
      </c>
      <c r="T824" s="9">
        <f>STATS1003B!T859/1000</f>
        <v>0</v>
      </c>
      <c r="U824" s="9">
        <f>STATS1003B!U859/1000</f>
        <v>0</v>
      </c>
      <c r="V824" s="9">
        <f>STATS1003B!V859/1000</f>
        <v>553</v>
      </c>
      <c r="W824" s="9">
        <f>STATS1003B!W859/1000</f>
        <v>0</v>
      </c>
      <c r="X824" s="9">
        <f>STATS1003B!X859/1000</f>
        <v>553</v>
      </c>
      <c r="Y824" s="9">
        <f>STATS1003B!Y859/1000</f>
        <v>0</v>
      </c>
      <c r="Z824" s="9">
        <f>STATS1003B!Z859/1000</f>
        <v>0</v>
      </c>
      <c r="AA824" s="9">
        <f>STATS1003B!AA859/1000</f>
        <v>553</v>
      </c>
      <c r="AB824" s="9">
        <f>STATS1003B!AB859/1000</f>
        <v>0</v>
      </c>
    </row>
    <row r="825" spans="1:28" x14ac:dyDescent="0.35">
      <c r="A825" s="36"/>
      <c r="B825" s="8"/>
      <c r="C825" s="14" t="s">
        <v>567</v>
      </c>
      <c r="D825" s="21" t="s">
        <v>73</v>
      </c>
      <c r="E825" s="9">
        <f>STATS1003B!E860/1000</f>
        <v>463.88529</v>
      </c>
      <c r="F825" s="9">
        <f>STATS1003B!F860/1000</f>
        <v>463.88529</v>
      </c>
      <c r="G825" s="9">
        <f>STATS1003B!G860/1000</f>
        <v>0</v>
      </c>
      <c r="H825" s="9">
        <f>STATS1003B!H860/1000</f>
        <v>463.88529</v>
      </c>
      <c r="I825" s="9">
        <f>STATS1003B!I860/1000</f>
        <v>0</v>
      </c>
      <c r="J825" s="9">
        <f>STATS1003B!J860/1000</f>
        <v>463.88529</v>
      </c>
      <c r="K825" s="9">
        <f>STATS1003B!K860/1000</f>
        <v>0</v>
      </c>
      <c r="L825" s="9">
        <f>STATS1003B!L860/1000</f>
        <v>0</v>
      </c>
      <c r="M825" s="9">
        <f>STATS1003B!M860/1000</f>
        <v>463.88529</v>
      </c>
      <c r="N825" s="9">
        <f>STATS1003B!N860/1000</f>
        <v>0</v>
      </c>
      <c r="O825" s="9">
        <f>STATS1003B!O860/1000</f>
        <v>0</v>
      </c>
      <c r="P825" s="9">
        <f>STATS1003B!P860/1000</f>
        <v>0</v>
      </c>
      <c r="Q825" s="9">
        <f>STATS1003B!Q860/1000</f>
        <v>463.88529</v>
      </c>
      <c r="R825" s="9">
        <f>STATS1003B!R860/1000</f>
        <v>0</v>
      </c>
      <c r="S825" s="9">
        <f>STATS1003B!S860/1000</f>
        <v>0</v>
      </c>
      <c r="T825" s="9">
        <f>STATS1003B!T860/1000</f>
        <v>0</v>
      </c>
      <c r="U825" s="9">
        <f>STATS1003B!U860/1000</f>
        <v>0</v>
      </c>
      <c r="V825" s="9">
        <f>STATS1003B!V860/1000</f>
        <v>463.88529</v>
      </c>
      <c r="W825" s="9">
        <f>STATS1003B!W860/1000</f>
        <v>0</v>
      </c>
      <c r="X825" s="9">
        <f>STATS1003B!X860/1000</f>
        <v>463.88529</v>
      </c>
      <c r="Y825" s="9">
        <f>STATS1003B!Y860/1000</f>
        <v>0</v>
      </c>
      <c r="Z825" s="9">
        <f>STATS1003B!Z860/1000</f>
        <v>0</v>
      </c>
      <c r="AA825" s="9">
        <f>STATS1003B!AA860/1000</f>
        <v>463.88529</v>
      </c>
      <c r="AB825" s="9">
        <f>STATS1003B!AB860/1000</f>
        <v>0</v>
      </c>
    </row>
    <row r="826" spans="1:28" x14ac:dyDescent="0.35">
      <c r="A826" s="36"/>
      <c r="B826" s="8"/>
      <c r="C826" s="7" t="s">
        <v>535</v>
      </c>
      <c r="D826" s="15" t="s">
        <v>61</v>
      </c>
      <c r="E826" s="9">
        <f>STATS1003B!E861/1000</f>
        <v>1017</v>
      </c>
      <c r="F826" s="9">
        <f>STATS1003B!F861/1000</f>
        <v>1017</v>
      </c>
      <c r="G826" s="9">
        <f>STATS1003B!G861/1000</f>
        <v>0</v>
      </c>
      <c r="H826" s="9">
        <f>STATS1003B!H861/1000</f>
        <v>1017</v>
      </c>
      <c r="I826" s="9">
        <f>STATS1003B!I861/1000</f>
        <v>0</v>
      </c>
      <c r="J826" s="9">
        <f>STATS1003B!J861/1000</f>
        <v>1017</v>
      </c>
      <c r="K826" s="9">
        <f>STATS1003B!K861/1000</f>
        <v>0</v>
      </c>
      <c r="L826" s="9">
        <f>STATS1003B!L861/1000</f>
        <v>0</v>
      </c>
      <c r="M826" s="9">
        <f>STATS1003B!M861/1000</f>
        <v>1017</v>
      </c>
      <c r="N826" s="9">
        <f>STATS1003B!N861/1000</f>
        <v>0</v>
      </c>
      <c r="O826" s="9">
        <f>STATS1003B!O861/1000</f>
        <v>0</v>
      </c>
      <c r="P826" s="9">
        <f>STATS1003B!P861/1000</f>
        <v>0</v>
      </c>
      <c r="Q826" s="9">
        <f>STATS1003B!Q861/1000</f>
        <v>1017</v>
      </c>
      <c r="R826" s="9">
        <f>STATS1003B!R861/1000</f>
        <v>0</v>
      </c>
      <c r="S826" s="9">
        <f>STATS1003B!S861/1000</f>
        <v>0</v>
      </c>
      <c r="T826" s="9">
        <f>STATS1003B!T861/1000</f>
        <v>0</v>
      </c>
      <c r="U826" s="9">
        <f>STATS1003B!U861/1000</f>
        <v>0</v>
      </c>
      <c r="V826" s="9">
        <f>STATS1003B!V861/1000</f>
        <v>1017</v>
      </c>
      <c r="W826" s="9">
        <f>STATS1003B!W861/1000</f>
        <v>0</v>
      </c>
      <c r="X826" s="9">
        <f>STATS1003B!X861/1000</f>
        <v>1017</v>
      </c>
      <c r="Y826" s="9">
        <f>STATS1003B!Y861/1000</f>
        <v>0</v>
      </c>
      <c r="Z826" s="9">
        <f>STATS1003B!Z861/1000</f>
        <v>0</v>
      </c>
      <c r="AA826" s="9">
        <f>STATS1003B!AA861/1000</f>
        <v>1017</v>
      </c>
      <c r="AB826" s="9">
        <f>STATS1003B!AB861/1000</f>
        <v>0</v>
      </c>
    </row>
    <row r="827" spans="1:28" x14ac:dyDescent="0.35">
      <c r="A827" s="36"/>
      <c r="B827" s="8"/>
      <c r="C827" s="7" t="s">
        <v>621</v>
      </c>
      <c r="D827" s="21" t="s">
        <v>61</v>
      </c>
      <c r="E827" s="9">
        <f>STATS1003B!E862/1000</f>
        <v>1482.4371199999998</v>
      </c>
      <c r="F827" s="9">
        <f>STATS1003B!F862/1000</f>
        <v>1397.8066299999998</v>
      </c>
      <c r="G827" s="9">
        <f>STATS1003B!G862/1000</f>
        <v>0</v>
      </c>
      <c r="H827" s="9">
        <f>STATS1003B!H862/1000</f>
        <v>1397.8066299999998</v>
      </c>
      <c r="I827" s="9">
        <f>STATS1003B!I862/1000</f>
        <v>0</v>
      </c>
      <c r="J827" s="9">
        <f>STATS1003B!J862/1000</f>
        <v>1397.8066299999998</v>
      </c>
      <c r="K827" s="9">
        <f>STATS1003B!K862/1000</f>
        <v>0</v>
      </c>
      <c r="L827" s="9">
        <f>STATS1003B!L862/1000</f>
        <v>0</v>
      </c>
      <c r="M827" s="9">
        <f>STATS1003B!M862/1000</f>
        <v>1397.8066299999998</v>
      </c>
      <c r="N827" s="9">
        <f>STATS1003B!N862/1000</f>
        <v>0</v>
      </c>
      <c r="O827" s="9">
        <f>STATS1003B!O862/1000</f>
        <v>0</v>
      </c>
      <c r="P827" s="9">
        <f>STATS1003B!P862/1000</f>
        <v>0</v>
      </c>
      <c r="Q827" s="9">
        <f>STATS1003B!Q862/1000</f>
        <v>1482.4371199999998</v>
      </c>
      <c r="R827" s="9">
        <f>STATS1003B!R862/1000</f>
        <v>0</v>
      </c>
      <c r="S827" s="9">
        <f>STATS1003B!S862/1000</f>
        <v>0</v>
      </c>
      <c r="T827" s="9">
        <f>STATS1003B!T862/1000</f>
        <v>84.630490000000009</v>
      </c>
      <c r="U827" s="9">
        <f>STATS1003B!U862/1000</f>
        <v>84.630490000000009</v>
      </c>
      <c r="V827" s="9">
        <f>STATS1003B!V862/1000</f>
        <v>1397.8066299999998</v>
      </c>
      <c r="W827" s="9">
        <f>STATS1003B!W862/1000</f>
        <v>84.630489999999995</v>
      </c>
      <c r="X827" s="9">
        <f>STATS1003B!X862/1000</f>
        <v>1397.8066299999998</v>
      </c>
      <c r="Y827" s="9">
        <f>STATS1003B!Y862/1000</f>
        <v>0</v>
      </c>
      <c r="Z827" s="9">
        <f>STATS1003B!Z862/1000</f>
        <v>84.630489999999995</v>
      </c>
      <c r="AA827" s="9">
        <f>STATS1003B!AA862/1000</f>
        <v>1482.4371199999998</v>
      </c>
      <c r="AB827" s="9">
        <f>STATS1003B!AB862/1000</f>
        <v>0</v>
      </c>
    </row>
    <row r="828" spans="1:28" x14ac:dyDescent="0.35">
      <c r="A828" s="36"/>
      <c r="B828" s="8"/>
      <c r="C828" s="7" t="s">
        <v>1136</v>
      </c>
      <c r="D828" s="24" t="s">
        <v>1126</v>
      </c>
      <c r="E828" s="9">
        <f>STATS1003B!E863/1000</f>
        <v>300</v>
      </c>
      <c r="F828" s="9">
        <f>STATS1003B!F863/1000</f>
        <v>300</v>
      </c>
      <c r="G828" s="9">
        <f>STATS1003B!G863/1000</f>
        <v>0</v>
      </c>
      <c r="H828" s="9">
        <f>STATS1003B!H863/1000</f>
        <v>300</v>
      </c>
      <c r="I828" s="9">
        <f>STATS1003B!I863/1000</f>
        <v>0</v>
      </c>
      <c r="J828" s="9">
        <f>STATS1003B!J863/1000</f>
        <v>300</v>
      </c>
      <c r="K828" s="9">
        <f>STATS1003B!K863/1000</f>
        <v>0</v>
      </c>
      <c r="L828" s="9">
        <f>STATS1003B!L863/1000</f>
        <v>0</v>
      </c>
      <c r="M828" s="9">
        <f>STATS1003B!M863/1000</f>
        <v>300</v>
      </c>
      <c r="N828" s="9">
        <f>STATS1003B!N863/1000</f>
        <v>0</v>
      </c>
      <c r="O828" s="9">
        <f>STATS1003B!O863/1000</f>
        <v>0</v>
      </c>
      <c r="P828" s="9">
        <f>STATS1003B!P863/1000</f>
        <v>0</v>
      </c>
      <c r="Q828" s="9">
        <f>STATS1003B!Q863/1000</f>
        <v>0</v>
      </c>
      <c r="R828" s="9">
        <f>STATS1003B!R863/1000</f>
        <v>0</v>
      </c>
      <c r="S828" s="9">
        <f>STATS1003B!S863/1000</f>
        <v>0</v>
      </c>
      <c r="T828" s="9">
        <f>STATS1003B!T863/1000</f>
        <v>0</v>
      </c>
      <c r="U828" s="9">
        <f>STATS1003B!U863/1000</f>
        <v>0</v>
      </c>
      <c r="V828" s="9">
        <f>STATS1003B!V863/1000</f>
        <v>300</v>
      </c>
      <c r="W828" s="9">
        <f>STATS1003B!W863/1000</f>
        <v>0</v>
      </c>
      <c r="X828" s="9">
        <f>STATS1003B!X863/1000</f>
        <v>300</v>
      </c>
      <c r="Y828" s="9">
        <f>STATS1003B!Y863/1000</f>
        <v>0</v>
      </c>
      <c r="Z828" s="9">
        <f>STATS1003B!Z863/1000</f>
        <v>0</v>
      </c>
      <c r="AA828" s="9">
        <f>STATS1003B!AA863/1000</f>
        <v>300</v>
      </c>
      <c r="AB828" s="9">
        <f>STATS1003B!AB863/1000</f>
        <v>0</v>
      </c>
    </row>
    <row r="829" spans="1:28" x14ac:dyDescent="0.35">
      <c r="A829" s="36"/>
      <c r="B829" s="8"/>
      <c r="C829" s="13" t="s">
        <v>1145</v>
      </c>
      <c r="D829" s="24" t="s">
        <v>1126</v>
      </c>
      <c r="E829" s="9" t="e">
        <f>STATS1003B!#REF!/1000</f>
        <v>#REF!</v>
      </c>
      <c r="F829" s="9" t="e">
        <f>STATS1003B!#REF!/1000</f>
        <v>#REF!</v>
      </c>
      <c r="G829" s="9" t="e">
        <f>STATS1003B!#REF!/1000</f>
        <v>#REF!</v>
      </c>
      <c r="H829" s="9" t="e">
        <f>STATS1003B!#REF!/1000</f>
        <v>#REF!</v>
      </c>
      <c r="I829" s="9" t="e">
        <f>STATS1003B!#REF!/1000</f>
        <v>#REF!</v>
      </c>
      <c r="J829" s="9" t="e">
        <f>STATS1003B!#REF!/1000</f>
        <v>#REF!</v>
      </c>
      <c r="K829" s="9" t="e">
        <f>STATS1003B!#REF!/1000</f>
        <v>#REF!</v>
      </c>
      <c r="L829" s="9" t="e">
        <f>STATS1003B!#REF!/1000</f>
        <v>#REF!</v>
      </c>
      <c r="M829" s="9" t="e">
        <f>STATS1003B!#REF!/1000</f>
        <v>#REF!</v>
      </c>
      <c r="N829" s="9" t="e">
        <f>STATS1003B!#REF!/1000</f>
        <v>#REF!</v>
      </c>
      <c r="O829" s="9" t="e">
        <f>STATS1003B!#REF!/1000</f>
        <v>#REF!</v>
      </c>
      <c r="P829" s="9" t="e">
        <f>STATS1003B!#REF!/1000</f>
        <v>#REF!</v>
      </c>
      <c r="Q829" s="9" t="e">
        <f>STATS1003B!#REF!/1000</f>
        <v>#REF!</v>
      </c>
      <c r="R829" s="9" t="e">
        <f>STATS1003B!#REF!/1000</f>
        <v>#REF!</v>
      </c>
      <c r="S829" s="9" t="e">
        <f>STATS1003B!#REF!/1000</f>
        <v>#REF!</v>
      </c>
      <c r="T829" s="9" t="e">
        <f>STATS1003B!#REF!/1000</f>
        <v>#REF!</v>
      </c>
      <c r="U829" s="9" t="e">
        <f>STATS1003B!#REF!/1000</f>
        <v>#REF!</v>
      </c>
      <c r="V829" s="9" t="e">
        <f>STATS1003B!#REF!/1000</f>
        <v>#REF!</v>
      </c>
      <c r="W829" s="9" t="e">
        <f>STATS1003B!#REF!/1000</f>
        <v>#REF!</v>
      </c>
      <c r="X829" s="9" t="e">
        <f>STATS1003B!#REF!/1000</f>
        <v>#REF!</v>
      </c>
      <c r="Y829" s="9" t="e">
        <f>STATS1003B!#REF!/1000</f>
        <v>#REF!</v>
      </c>
      <c r="Z829" s="9" t="e">
        <f>STATS1003B!#REF!/1000</f>
        <v>#REF!</v>
      </c>
      <c r="AA829" s="9" t="e">
        <f>STATS1003B!#REF!/1000</f>
        <v>#REF!</v>
      </c>
      <c r="AB829" s="9" t="e">
        <f>STATS1003B!#REF!/1000</f>
        <v>#REF!</v>
      </c>
    </row>
    <row r="830" spans="1:28" x14ac:dyDescent="0.35">
      <c r="A830" s="36"/>
      <c r="B830" s="8"/>
      <c r="C830" s="7" t="s">
        <v>933</v>
      </c>
      <c r="D830" s="24" t="s">
        <v>1072</v>
      </c>
      <c r="E830" s="9">
        <f>STATS1003B!E866/1000</f>
        <v>1304</v>
      </c>
      <c r="F830" s="9">
        <f>STATS1003B!F866/1000</f>
        <v>1304</v>
      </c>
      <c r="G830" s="9">
        <f>STATS1003B!G866/1000</f>
        <v>0</v>
      </c>
      <c r="H830" s="9">
        <f>STATS1003B!H866/1000</f>
        <v>1304</v>
      </c>
      <c r="I830" s="9">
        <f>STATS1003B!I866/1000</f>
        <v>0</v>
      </c>
      <c r="J830" s="9">
        <f>STATS1003B!J866/1000</f>
        <v>1304</v>
      </c>
      <c r="K830" s="9">
        <f>STATS1003B!K866/1000</f>
        <v>0</v>
      </c>
      <c r="L830" s="9">
        <f>STATS1003B!L866/1000</f>
        <v>0</v>
      </c>
      <c r="M830" s="9">
        <f>STATS1003B!M866/1000</f>
        <v>1304</v>
      </c>
      <c r="N830" s="9">
        <f>STATS1003B!N866/1000</f>
        <v>0</v>
      </c>
      <c r="O830" s="9">
        <f>STATS1003B!O866/1000</f>
        <v>0</v>
      </c>
      <c r="P830" s="9">
        <f>STATS1003B!P866/1000</f>
        <v>0</v>
      </c>
      <c r="Q830" s="9">
        <f>STATS1003B!Q866/1000</f>
        <v>0</v>
      </c>
      <c r="R830" s="9">
        <f>STATS1003B!R866/1000</f>
        <v>0</v>
      </c>
      <c r="S830" s="9">
        <f>STATS1003B!S866/1000</f>
        <v>0</v>
      </c>
      <c r="T830" s="9">
        <f>STATS1003B!T866/1000</f>
        <v>0</v>
      </c>
      <c r="U830" s="9">
        <f>STATS1003B!U866/1000</f>
        <v>0</v>
      </c>
      <c r="V830" s="9">
        <f>STATS1003B!V866/1000</f>
        <v>1304</v>
      </c>
      <c r="W830" s="9">
        <f>STATS1003B!W866/1000</f>
        <v>0</v>
      </c>
      <c r="X830" s="9">
        <f>STATS1003B!X866/1000</f>
        <v>1304</v>
      </c>
      <c r="Y830" s="9">
        <f>STATS1003B!Y866/1000</f>
        <v>0</v>
      </c>
      <c r="Z830" s="9">
        <f>STATS1003B!Z866/1000</f>
        <v>0</v>
      </c>
      <c r="AA830" s="9">
        <f>STATS1003B!AA866/1000</f>
        <v>1304</v>
      </c>
      <c r="AB830" s="9">
        <f>STATS1003B!AB866/1000</f>
        <v>0</v>
      </c>
    </row>
    <row r="831" spans="1:28" x14ac:dyDescent="0.35">
      <c r="A831" s="36"/>
      <c r="B831" s="8"/>
      <c r="C831" s="7" t="s">
        <v>550</v>
      </c>
      <c r="D831" s="8"/>
      <c r="E831" s="9">
        <f>STATS1003B!E870/1000</f>
        <v>1411.241</v>
      </c>
      <c r="F831" s="9">
        <f>STATS1003B!F870/1000</f>
        <v>1411.241</v>
      </c>
      <c r="G831" s="9">
        <f>STATS1003B!G870/1000</f>
        <v>0</v>
      </c>
      <c r="H831" s="9">
        <f>STATS1003B!H870/1000</f>
        <v>1411.241</v>
      </c>
      <c r="I831" s="9">
        <f>STATS1003B!I870/1000</f>
        <v>0</v>
      </c>
      <c r="J831" s="9">
        <f>STATS1003B!J870/1000</f>
        <v>1411.241</v>
      </c>
      <c r="K831" s="9">
        <f>STATS1003B!K870/1000</f>
        <v>0</v>
      </c>
      <c r="L831" s="9">
        <f>STATS1003B!L870/1000</f>
        <v>0</v>
      </c>
      <c r="M831" s="9">
        <f>STATS1003B!M870/1000</f>
        <v>1411.241</v>
      </c>
      <c r="N831" s="9">
        <f>STATS1003B!N870/1000</f>
        <v>0</v>
      </c>
      <c r="O831" s="9">
        <f>STATS1003B!O870/1000</f>
        <v>0</v>
      </c>
      <c r="P831" s="9">
        <f>STATS1003B!P870/1000</f>
        <v>0</v>
      </c>
      <c r="Q831" s="9">
        <f>STATS1003B!Q870/1000</f>
        <v>1411.241</v>
      </c>
      <c r="R831" s="9">
        <f>STATS1003B!R870/1000</f>
        <v>0</v>
      </c>
      <c r="S831" s="9">
        <f>STATS1003B!S870/1000</f>
        <v>0</v>
      </c>
      <c r="T831" s="9">
        <f>STATS1003B!T870/1000</f>
        <v>0</v>
      </c>
      <c r="U831" s="9">
        <f>STATS1003B!U870/1000</f>
        <v>0</v>
      </c>
      <c r="V831" s="9">
        <f>STATS1003B!V870/1000</f>
        <v>1411.241</v>
      </c>
      <c r="W831" s="9">
        <f>STATS1003B!W870/1000</f>
        <v>0</v>
      </c>
      <c r="X831" s="9">
        <f>STATS1003B!X870/1000</f>
        <v>1411.241</v>
      </c>
      <c r="Y831" s="9">
        <f>STATS1003B!Y870/1000</f>
        <v>0</v>
      </c>
      <c r="Z831" s="9">
        <f>STATS1003B!Z870/1000</f>
        <v>0</v>
      </c>
      <c r="AA831" s="9">
        <f>STATS1003B!AA870/1000</f>
        <v>1411.241</v>
      </c>
      <c r="AB831" s="9">
        <f>STATS1003B!AB870/1000</f>
        <v>0</v>
      </c>
    </row>
    <row r="832" spans="1:28" x14ac:dyDescent="0.35">
      <c r="A832" s="36"/>
      <c r="B832" s="8"/>
      <c r="C832" s="8"/>
      <c r="D832" s="8"/>
      <c r="E832" s="17" t="s">
        <v>29</v>
      </c>
      <c r="F832" s="17" t="s">
        <v>29</v>
      </c>
      <c r="G832" s="17" t="s">
        <v>29</v>
      </c>
      <c r="H832" s="17" t="s">
        <v>29</v>
      </c>
      <c r="I832" s="17" t="s">
        <v>29</v>
      </c>
      <c r="J832" s="17" t="s">
        <v>29</v>
      </c>
      <c r="K832" s="17" t="s">
        <v>29</v>
      </c>
      <c r="L832" s="17" t="s">
        <v>29</v>
      </c>
      <c r="M832" s="17" t="s">
        <v>29</v>
      </c>
      <c r="N832" s="17" t="s">
        <v>29</v>
      </c>
      <c r="O832" s="17" t="s">
        <v>29</v>
      </c>
      <c r="P832" s="17" t="s">
        <v>29</v>
      </c>
      <c r="Q832" s="17" t="s">
        <v>29</v>
      </c>
      <c r="R832" s="17" t="s">
        <v>29</v>
      </c>
      <c r="S832" s="17" t="s">
        <v>29</v>
      </c>
      <c r="T832" s="17" t="s">
        <v>29</v>
      </c>
      <c r="U832" s="17" t="s">
        <v>29</v>
      </c>
      <c r="V832" s="17" t="s">
        <v>29</v>
      </c>
      <c r="W832" s="17" t="s">
        <v>29</v>
      </c>
      <c r="X832" s="17" t="s">
        <v>29</v>
      </c>
      <c r="Y832" s="17" t="s">
        <v>29</v>
      </c>
      <c r="Z832" s="17" t="s">
        <v>29</v>
      </c>
      <c r="AA832" s="17" t="s">
        <v>29</v>
      </c>
      <c r="AB832" s="17" t="s">
        <v>29</v>
      </c>
    </row>
    <row r="833" spans="1:28" x14ac:dyDescent="0.35">
      <c r="A833" s="36"/>
      <c r="B833" s="8"/>
      <c r="C833" s="8"/>
      <c r="D833" s="8"/>
      <c r="E833" s="9" t="e">
        <f t="shared" ref="E833:Q833" si="60">SUM(E812:E832)</f>
        <v>#REF!</v>
      </c>
      <c r="F833" s="9" t="e">
        <f t="shared" si="60"/>
        <v>#REF!</v>
      </c>
      <c r="G833" s="9" t="e">
        <f t="shared" si="60"/>
        <v>#REF!</v>
      </c>
      <c r="H833" s="9" t="e">
        <f t="shared" si="60"/>
        <v>#REF!</v>
      </c>
      <c r="I833" s="9" t="e">
        <f t="shared" si="60"/>
        <v>#REF!</v>
      </c>
      <c r="J833" s="9" t="e">
        <f t="shared" si="60"/>
        <v>#REF!</v>
      </c>
      <c r="K833" s="9" t="e">
        <f t="shared" si="60"/>
        <v>#REF!</v>
      </c>
      <c r="L833" s="9" t="e">
        <f t="shared" si="60"/>
        <v>#REF!</v>
      </c>
      <c r="M833" s="9" t="e">
        <f t="shared" si="60"/>
        <v>#REF!</v>
      </c>
      <c r="N833" s="9" t="e">
        <f t="shared" si="60"/>
        <v>#REF!</v>
      </c>
      <c r="O833" s="9" t="e">
        <f t="shared" si="60"/>
        <v>#REF!</v>
      </c>
      <c r="P833" s="9" t="e">
        <f t="shared" si="60"/>
        <v>#REF!</v>
      </c>
      <c r="Q833" s="9" t="e">
        <f t="shared" si="60"/>
        <v>#REF!</v>
      </c>
      <c r="R833" s="17"/>
      <c r="S833" s="17"/>
      <c r="T833" s="9" t="e">
        <f t="shared" ref="T833:Z833" si="61">SUM(T812:T832)</f>
        <v>#REF!</v>
      </c>
      <c r="U833" s="9" t="e">
        <f t="shared" si="61"/>
        <v>#REF!</v>
      </c>
      <c r="V833" s="9" t="e">
        <f t="shared" si="61"/>
        <v>#REF!</v>
      </c>
      <c r="W833" s="9" t="e">
        <f t="shared" si="61"/>
        <v>#REF!</v>
      </c>
      <c r="X833" s="9" t="e">
        <f t="shared" si="61"/>
        <v>#REF!</v>
      </c>
      <c r="Y833" s="9" t="e">
        <f t="shared" si="61"/>
        <v>#REF!</v>
      </c>
      <c r="Z833" s="9" t="e">
        <f t="shared" si="61"/>
        <v>#REF!</v>
      </c>
      <c r="AA833" s="9" t="e">
        <f>SUM(AA812:AA832)</f>
        <v>#REF!</v>
      </c>
      <c r="AB833" s="9" t="e">
        <f>SUM(AB812:AB832)</f>
        <v>#REF!</v>
      </c>
    </row>
    <row r="834" spans="1:28" x14ac:dyDescent="0.35">
      <c r="A834" s="36"/>
      <c r="B834" s="8"/>
      <c r="C834" s="8"/>
      <c r="D834" s="8"/>
      <c r="E834" s="17" t="s">
        <v>29</v>
      </c>
      <c r="F834" s="17" t="s">
        <v>29</v>
      </c>
      <c r="G834" s="17" t="s">
        <v>29</v>
      </c>
      <c r="H834" s="17" t="s">
        <v>29</v>
      </c>
      <c r="I834" s="17" t="s">
        <v>29</v>
      </c>
      <c r="J834" s="17" t="s">
        <v>29</v>
      </c>
      <c r="K834" s="17" t="s">
        <v>29</v>
      </c>
      <c r="L834" s="17" t="s">
        <v>29</v>
      </c>
      <c r="M834" s="17" t="s">
        <v>29</v>
      </c>
      <c r="N834" s="17" t="s">
        <v>29</v>
      </c>
      <c r="O834" s="17" t="s">
        <v>29</v>
      </c>
      <c r="P834" s="17" t="s">
        <v>29</v>
      </c>
      <c r="Q834" s="17" t="s">
        <v>29</v>
      </c>
      <c r="R834" s="17" t="s">
        <v>29</v>
      </c>
      <c r="S834" s="17" t="s">
        <v>29</v>
      </c>
      <c r="T834" s="17" t="s">
        <v>29</v>
      </c>
      <c r="U834" s="17" t="s">
        <v>29</v>
      </c>
      <c r="V834" s="17" t="s">
        <v>29</v>
      </c>
      <c r="W834" s="17" t="s">
        <v>29</v>
      </c>
      <c r="X834" s="17" t="s">
        <v>29</v>
      </c>
      <c r="Y834" s="17" t="s">
        <v>29</v>
      </c>
      <c r="Z834" s="17" t="s">
        <v>29</v>
      </c>
      <c r="AA834" s="17" t="s">
        <v>29</v>
      </c>
      <c r="AB834" s="17" t="s">
        <v>29</v>
      </c>
    </row>
    <row r="835" spans="1:28" x14ac:dyDescent="0.35">
      <c r="A835" s="38" t="s">
        <v>978</v>
      </c>
      <c r="B835" s="7" t="s">
        <v>653</v>
      </c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17"/>
      <c r="S835" s="17"/>
      <c r="T835" s="17"/>
      <c r="U835" s="17"/>
      <c r="V835" s="17"/>
      <c r="W835" s="17"/>
      <c r="X835" s="17"/>
      <c r="Y835" s="17"/>
      <c r="Z835" s="17"/>
    </row>
    <row r="836" spans="1:28" x14ac:dyDescent="0.35">
      <c r="A836" s="36"/>
      <c r="B836" s="8"/>
      <c r="C836" s="7" t="s">
        <v>539</v>
      </c>
      <c r="D836" s="15" t="s">
        <v>68</v>
      </c>
      <c r="E836" s="9">
        <f>STATS1003B!E875/1000</f>
        <v>1745.7574999999999</v>
      </c>
      <c r="F836" s="9">
        <f>STATS1003B!F875/1000</f>
        <v>0</v>
      </c>
      <c r="G836" s="9">
        <f>STATS1003B!G875/1000</f>
        <v>0</v>
      </c>
      <c r="H836" s="9">
        <f>STATS1003B!H875/1000</f>
        <v>0</v>
      </c>
      <c r="I836" s="9">
        <f>STATS1003B!I875/1000</f>
        <v>0</v>
      </c>
      <c r="J836" s="9">
        <f>STATS1003B!J875/1000</f>
        <v>0</v>
      </c>
      <c r="K836" s="9">
        <f>STATS1003B!K875/1000</f>
        <v>1745.7574999999999</v>
      </c>
      <c r="L836" s="9">
        <f>STATS1003B!L875/1000</f>
        <v>0</v>
      </c>
      <c r="M836" s="9">
        <f>STATS1003B!M875/1000</f>
        <v>0</v>
      </c>
      <c r="N836" s="9">
        <f>STATS1003B!N875/1000</f>
        <v>1745.7574999999999</v>
      </c>
      <c r="O836" s="9">
        <f>STATS1003B!O875/1000</f>
        <v>0</v>
      </c>
      <c r="P836" s="9">
        <f>STATS1003B!P875/1000</f>
        <v>1745.7574999999999</v>
      </c>
      <c r="Q836" s="9">
        <f>STATS1003B!Q875/1000</f>
        <v>0</v>
      </c>
      <c r="R836" s="9">
        <f>STATS1003B!R875/1000</f>
        <v>0</v>
      </c>
      <c r="S836" s="9">
        <f>STATS1003B!S875/1000</f>
        <v>0</v>
      </c>
      <c r="T836" s="9">
        <f>STATS1003B!T875/1000</f>
        <v>0</v>
      </c>
      <c r="U836" s="9">
        <f>STATS1003B!U875/1000</f>
        <v>1745.7574999999999</v>
      </c>
      <c r="V836" s="9">
        <f>STATS1003B!V875/1000</f>
        <v>1745.7574999999999</v>
      </c>
      <c r="W836" s="9">
        <f>STATS1003B!W875/1000</f>
        <v>0</v>
      </c>
      <c r="X836" s="9">
        <f>STATS1003B!X875/1000</f>
        <v>1745.7574999999999</v>
      </c>
      <c r="Y836" s="9">
        <f>STATS1003B!Y875/1000</f>
        <v>0</v>
      </c>
      <c r="Z836" s="9">
        <f>STATS1003B!Z875/1000</f>
        <v>0</v>
      </c>
      <c r="AA836" s="9">
        <f>STATS1003B!AA875/1000</f>
        <v>1745.7574999999999</v>
      </c>
      <c r="AB836" s="9">
        <f>STATS1003B!AB875/1000</f>
        <v>0</v>
      </c>
    </row>
    <row r="837" spans="1:28" x14ac:dyDescent="0.35">
      <c r="A837" s="36"/>
      <c r="B837" s="8"/>
      <c r="C837" s="7" t="s">
        <v>535</v>
      </c>
      <c r="D837" s="15" t="s">
        <v>68</v>
      </c>
      <c r="E837" s="9">
        <f>STATS1003B!E876/1000</f>
        <v>634</v>
      </c>
      <c r="F837" s="9">
        <f>STATS1003B!F876/1000</f>
        <v>634</v>
      </c>
      <c r="G837" s="9">
        <f>STATS1003B!G876/1000</f>
        <v>0</v>
      </c>
      <c r="H837" s="9">
        <f>STATS1003B!H876/1000</f>
        <v>634</v>
      </c>
      <c r="I837" s="9">
        <f>STATS1003B!I876/1000</f>
        <v>0</v>
      </c>
      <c r="J837" s="9">
        <f>STATS1003B!J876/1000</f>
        <v>634</v>
      </c>
      <c r="K837" s="9">
        <f>STATS1003B!K876/1000</f>
        <v>0</v>
      </c>
      <c r="L837" s="9">
        <f>STATS1003B!L876/1000</f>
        <v>0</v>
      </c>
      <c r="M837" s="9">
        <f>STATS1003B!M876/1000</f>
        <v>634</v>
      </c>
      <c r="N837" s="9">
        <f>STATS1003B!N876/1000</f>
        <v>0</v>
      </c>
      <c r="O837" s="9">
        <f>STATS1003B!O876/1000</f>
        <v>0</v>
      </c>
      <c r="P837" s="9">
        <f>STATS1003B!P876/1000</f>
        <v>0</v>
      </c>
      <c r="Q837" s="9">
        <f>STATS1003B!Q876/1000</f>
        <v>634</v>
      </c>
      <c r="R837" s="9">
        <f>STATS1003B!R876/1000</f>
        <v>0</v>
      </c>
      <c r="S837" s="9">
        <f>STATS1003B!S876/1000</f>
        <v>0</v>
      </c>
      <c r="T837" s="9">
        <f>STATS1003B!T876/1000</f>
        <v>0</v>
      </c>
      <c r="U837" s="9">
        <f>STATS1003B!U876/1000</f>
        <v>0</v>
      </c>
      <c r="V837" s="9">
        <f>STATS1003B!V876/1000</f>
        <v>634</v>
      </c>
      <c r="W837" s="9">
        <f>STATS1003B!W876/1000</f>
        <v>0</v>
      </c>
      <c r="X837" s="9">
        <f>STATS1003B!X876/1000</f>
        <v>634</v>
      </c>
      <c r="Y837" s="9">
        <f>STATS1003B!Y876/1000</f>
        <v>0</v>
      </c>
      <c r="Z837" s="9">
        <f>STATS1003B!Z876/1000</f>
        <v>0</v>
      </c>
      <c r="AA837" s="9">
        <f>STATS1003B!AA876/1000</f>
        <v>634</v>
      </c>
      <c r="AB837" s="9">
        <f>STATS1003B!AB876/1000</f>
        <v>0</v>
      </c>
    </row>
    <row r="838" spans="1:28" x14ac:dyDescent="0.35">
      <c r="A838" s="36"/>
      <c r="B838" s="8"/>
      <c r="C838" s="7" t="s">
        <v>535</v>
      </c>
      <c r="D838" s="15" t="s">
        <v>54</v>
      </c>
      <c r="E838" s="9">
        <f>STATS1003B!E877/1000</f>
        <v>298</v>
      </c>
      <c r="F838" s="9">
        <f>STATS1003B!F877/1000</f>
        <v>298</v>
      </c>
      <c r="G838" s="9">
        <f>STATS1003B!G877/1000</f>
        <v>0</v>
      </c>
      <c r="H838" s="9">
        <f>STATS1003B!H877/1000</f>
        <v>298</v>
      </c>
      <c r="I838" s="9">
        <f>STATS1003B!I877/1000</f>
        <v>0</v>
      </c>
      <c r="J838" s="9">
        <f>STATS1003B!J877/1000</f>
        <v>298</v>
      </c>
      <c r="K838" s="9">
        <f>STATS1003B!K877/1000</f>
        <v>0</v>
      </c>
      <c r="L838" s="9">
        <f>STATS1003B!L877/1000</f>
        <v>0</v>
      </c>
      <c r="M838" s="9">
        <f>STATS1003B!M877/1000</f>
        <v>298</v>
      </c>
      <c r="N838" s="9">
        <f>STATS1003B!N877/1000</f>
        <v>0</v>
      </c>
      <c r="O838" s="9">
        <f>STATS1003B!O877/1000</f>
        <v>0</v>
      </c>
      <c r="P838" s="9">
        <f>STATS1003B!P877/1000</f>
        <v>0</v>
      </c>
      <c r="Q838" s="9">
        <f>STATS1003B!Q877/1000</f>
        <v>298</v>
      </c>
      <c r="R838" s="9">
        <f>STATS1003B!R877/1000</f>
        <v>0</v>
      </c>
      <c r="S838" s="9">
        <f>STATS1003B!S877/1000</f>
        <v>0</v>
      </c>
      <c r="T838" s="9">
        <f>STATS1003B!T877/1000</f>
        <v>0</v>
      </c>
      <c r="U838" s="9">
        <f>STATS1003B!U877/1000</f>
        <v>0</v>
      </c>
      <c r="V838" s="9">
        <f>STATS1003B!V877/1000</f>
        <v>298</v>
      </c>
      <c r="W838" s="9">
        <f>STATS1003B!W877/1000</f>
        <v>0</v>
      </c>
      <c r="X838" s="9">
        <f>STATS1003B!X877/1000</f>
        <v>298</v>
      </c>
      <c r="Y838" s="9">
        <f>STATS1003B!Y877/1000</f>
        <v>0</v>
      </c>
      <c r="Z838" s="9">
        <f>STATS1003B!Z877/1000</f>
        <v>0</v>
      </c>
      <c r="AA838" s="9">
        <f>STATS1003B!AA877/1000</f>
        <v>298</v>
      </c>
      <c r="AB838" s="9">
        <f>STATS1003B!AB877/1000</f>
        <v>0</v>
      </c>
    </row>
    <row r="839" spans="1:28" x14ac:dyDescent="0.35">
      <c r="A839" s="36"/>
      <c r="B839" s="8"/>
      <c r="C839" s="7" t="s">
        <v>654</v>
      </c>
      <c r="D839" s="15" t="s">
        <v>54</v>
      </c>
      <c r="E839" s="9">
        <f>STATS1003B!E878/1000</f>
        <v>3886.326</v>
      </c>
      <c r="F839" s="9">
        <f>STATS1003B!F878/1000</f>
        <v>3886.326</v>
      </c>
      <c r="G839" s="9">
        <f>STATS1003B!G878/1000</f>
        <v>0</v>
      </c>
      <c r="H839" s="9">
        <f>STATS1003B!H878/1000</f>
        <v>3886.326</v>
      </c>
      <c r="I839" s="9">
        <f>STATS1003B!I878/1000</f>
        <v>0</v>
      </c>
      <c r="J839" s="9">
        <f>STATS1003B!J878/1000</f>
        <v>3886.326</v>
      </c>
      <c r="K839" s="9">
        <f>STATS1003B!K878/1000</f>
        <v>0</v>
      </c>
      <c r="L839" s="9">
        <f>STATS1003B!L878/1000</f>
        <v>0</v>
      </c>
      <c r="M839" s="9">
        <f>STATS1003B!M878/1000</f>
        <v>3886.326</v>
      </c>
      <c r="N839" s="9">
        <f>STATS1003B!N878/1000</f>
        <v>0</v>
      </c>
      <c r="O839" s="9">
        <f>STATS1003B!O878/1000</f>
        <v>0</v>
      </c>
      <c r="P839" s="9">
        <f>STATS1003B!P878/1000</f>
        <v>0</v>
      </c>
      <c r="Q839" s="9">
        <f>STATS1003B!Q878/1000</f>
        <v>3886.326</v>
      </c>
      <c r="R839" s="9">
        <f>STATS1003B!R878/1000</f>
        <v>0</v>
      </c>
      <c r="S839" s="9">
        <f>STATS1003B!S878/1000</f>
        <v>0</v>
      </c>
      <c r="T839" s="9">
        <f>STATS1003B!T878/1000</f>
        <v>0</v>
      </c>
      <c r="U839" s="9">
        <f>STATS1003B!U878/1000</f>
        <v>0</v>
      </c>
      <c r="V839" s="9">
        <f>STATS1003B!V878/1000</f>
        <v>3886.326</v>
      </c>
      <c r="W839" s="9">
        <f>STATS1003B!W878/1000</f>
        <v>0</v>
      </c>
      <c r="X839" s="9">
        <f>STATS1003B!X878/1000</f>
        <v>3886.326</v>
      </c>
      <c r="Y839" s="9">
        <f>STATS1003B!Y878/1000</f>
        <v>0</v>
      </c>
      <c r="Z839" s="9">
        <f>STATS1003B!Z878/1000</f>
        <v>0</v>
      </c>
      <c r="AA839" s="9">
        <f>STATS1003B!AA878/1000</f>
        <v>3886.326</v>
      </c>
      <c r="AB839" s="9">
        <f>STATS1003B!AB878/1000</f>
        <v>0</v>
      </c>
    </row>
    <row r="840" spans="1:28" x14ac:dyDescent="0.35">
      <c r="A840" s="36"/>
      <c r="B840" s="8"/>
      <c r="C840" s="7" t="s">
        <v>545</v>
      </c>
      <c r="D840" s="15" t="s">
        <v>54</v>
      </c>
      <c r="E840" s="9">
        <f>STATS1003B!E879/1000</f>
        <v>2306.1060000000002</v>
      </c>
      <c r="F840" s="9">
        <f>STATS1003B!F879/1000</f>
        <v>0</v>
      </c>
      <c r="G840" s="9">
        <f>STATS1003B!G879/1000</f>
        <v>0</v>
      </c>
      <c r="H840" s="9">
        <f>STATS1003B!H879/1000</f>
        <v>0</v>
      </c>
      <c r="I840" s="9">
        <f>STATS1003B!I879/1000</f>
        <v>0</v>
      </c>
      <c r="J840" s="9">
        <f>STATS1003B!J879/1000</f>
        <v>0</v>
      </c>
      <c r="K840" s="9">
        <f>STATS1003B!K879/1000</f>
        <v>2306.1060000000002</v>
      </c>
      <c r="L840" s="9">
        <f>STATS1003B!L879/1000</f>
        <v>0</v>
      </c>
      <c r="M840" s="9">
        <f>STATS1003B!M879/1000</f>
        <v>0</v>
      </c>
      <c r="N840" s="9">
        <f>STATS1003B!N879/1000</f>
        <v>2306.1060000000002</v>
      </c>
      <c r="O840" s="9">
        <f>STATS1003B!O879/1000</f>
        <v>0</v>
      </c>
      <c r="P840" s="9">
        <f>STATS1003B!P879/1000</f>
        <v>2306.1060000000002</v>
      </c>
      <c r="Q840" s="9">
        <f>STATS1003B!Q879/1000</f>
        <v>0</v>
      </c>
      <c r="R840" s="9">
        <f>STATS1003B!R879/1000</f>
        <v>0</v>
      </c>
      <c r="S840" s="9">
        <f>STATS1003B!S879/1000</f>
        <v>0</v>
      </c>
      <c r="T840" s="9">
        <f>STATS1003B!T879/1000</f>
        <v>0</v>
      </c>
      <c r="U840" s="9">
        <f>STATS1003B!U879/1000</f>
        <v>2306.1060000000002</v>
      </c>
      <c r="V840" s="9">
        <f>STATS1003B!V879/1000</f>
        <v>2306.1060000000002</v>
      </c>
      <c r="W840" s="9">
        <f>STATS1003B!W879/1000</f>
        <v>0</v>
      </c>
      <c r="X840" s="9">
        <f>STATS1003B!X879/1000</f>
        <v>2306.1060000000002</v>
      </c>
      <c r="Y840" s="9">
        <f>STATS1003B!Y879/1000</f>
        <v>0</v>
      </c>
      <c r="Z840" s="9">
        <f>STATS1003B!Z879/1000</f>
        <v>0</v>
      </c>
      <c r="AA840" s="9">
        <f>STATS1003B!AA879/1000</f>
        <v>2306.1060000000002</v>
      </c>
      <c r="AB840" s="9">
        <f>STATS1003B!AB879/1000</f>
        <v>0</v>
      </c>
    </row>
    <row r="841" spans="1:28" x14ac:dyDescent="0.35">
      <c r="A841" s="36"/>
      <c r="B841" s="8"/>
      <c r="C841" s="7" t="s">
        <v>655</v>
      </c>
      <c r="D841" s="15" t="s">
        <v>54</v>
      </c>
      <c r="E841" s="9">
        <f>STATS1003B!E880/1000</f>
        <v>955.34561999999994</v>
      </c>
      <c r="F841" s="9">
        <f>STATS1003B!F880/1000</f>
        <v>0</v>
      </c>
      <c r="G841" s="9">
        <f>STATS1003B!G880/1000</f>
        <v>0</v>
      </c>
      <c r="H841" s="9">
        <f>STATS1003B!H880/1000</f>
        <v>0</v>
      </c>
      <c r="I841" s="9">
        <f>STATS1003B!I880/1000</f>
        <v>0</v>
      </c>
      <c r="J841" s="9">
        <f>STATS1003B!J880/1000</f>
        <v>0</v>
      </c>
      <c r="K841" s="9">
        <f>STATS1003B!K880/1000</f>
        <v>955.34561999999994</v>
      </c>
      <c r="L841" s="9">
        <f>STATS1003B!L880/1000</f>
        <v>0</v>
      </c>
      <c r="M841" s="9">
        <f>STATS1003B!M880/1000</f>
        <v>0</v>
      </c>
      <c r="N841" s="9">
        <f>STATS1003B!N880/1000</f>
        <v>955.34561999999994</v>
      </c>
      <c r="O841" s="9">
        <f>STATS1003B!O880/1000</f>
        <v>0</v>
      </c>
      <c r="P841" s="9">
        <f>STATS1003B!P880/1000</f>
        <v>955.34561999999994</v>
      </c>
      <c r="Q841" s="9">
        <f>STATS1003B!Q880/1000</f>
        <v>0</v>
      </c>
      <c r="R841" s="9">
        <f>STATS1003B!R880/1000</f>
        <v>0</v>
      </c>
      <c r="S841" s="9">
        <f>STATS1003B!S880/1000</f>
        <v>0</v>
      </c>
      <c r="T841" s="9">
        <f>STATS1003B!T880/1000</f>
        <v>0</v>
      </c>
      <c r="U841" s="9">
        <f>STATS1003B!U880/1000</f>
        <v>955.34561999999994</v>
      </c>
      <c r="V841" s="9">
        <f>STATS1003B!V880/1000</f>
        <v>955.34561999999994</v>
      </c>
      <c r="W841" s="9">
        <f>STATS1003B!W880/1000</f>
        <v>0</v>
      </c>
      <c r="X841" s="9">
        <f>STATS1003B!X880/1000</f>
        <v>955.34561999999994</v>
      </c>
      <c r="Y841" s="9">
        <f>STATS1003B!Y880/1000</f>
        <v>0</v>
      </c>
      <c r="Z841" s="9">
        <f>STATS1003B!Z880/1000</f>
        <v>0</v>
      </c>
      <c r="AA841" s="9">
        <f>STATS1003B!AA880/1000</f>
        <v>955.34561999999994</v>
      </c>
      <c r="AB841" s="9">
        <f>STATS1003B!AB880/1000</f>
        <v>0</v>
      </c>
    </row>
    <row r="842" spans="1:28" x14ac:dyDescent="0.35">
      <c r="A842" s="36"/>
      <c r="B842" s="8"/>
      <c r="C842" s="7" t="s">
        <v>535</v>
      </c>
      <c r="D842" s="15" t="s">
        <v>85</v>
      </c>
      <c r="E842" s="9">
        <f>STATS1003B!E881/1000</f>
        <v>342</v>
      </c>
      <c r="F842" s="9">
        <f>STATS1003B!F881/1000</f>
        <v>342</v>
      </c>
      <c r="G842" s="9">
        <f>STATS1003B!G881/1000</f>
        <v>0</v>
      </c>
      <c r="H842" s="9">
        <f>STATS1003B!H881/1000</f>
        <v>342</v>
      </c>
      <c r="I842" s="9">
        <f>STATS1003B!I881/1000</f>
        <v>0</v>
      </c>
      <c r="J842" s="9">
        <f>STATS1003B!J881/1000</f>
        <v>342</v>
      </c>
      <c r="K842" s="9">
        <f>STATS1003B!K881/1000</f>
        <v>0</v>
      </c>
      <c r="L842" s="9">
        <f>STATS1003B!L881/1000</f>
        <v>0</v>
      </c>
      <c r="M842" s="9">
        <f>STATS1003B!M881/1000</f>
        <v>342</v>
      </c>
      <c r="N842" s="9">
        <f>STATS1003B!N881/1000</f>
        <v>0</v>
      </c>
      <c r="O842" s="9">
        <f>STATS1003B!O881/1000</f>
        <v>0</v>
      </c>
      <c r="P842" s="9">
        <f>STATS1003B!P881/1000</f>
        <v>0</v>
      </c>
      <c r="Q842" s="9">
        <f>STATS1003B!Q881/1000</f>
        <v>342</v>
      </c>
      <c r="R842" s="9">
        <f>STATS1003B!R881/1000</f>
        <v>0</v>
      </c>
      <c r="S842" s="9">
        <f>STATS1003B!S881/1000</f>
        <v>0</v>
      </c>
      <c r="T842" s="9">
        <f>STATS1003B!T881/1000</f>
        <v>0</v>
      </c>
      <c r="U842" s="9">
        <f>STATS1003B!U881/1000</f>
        <v>0</v>
      </c>
      <c r="V842" s="9">
        <f>STATS1003B!V881/1000</f>
        <v>342</v>
      </c>
      <c r="W842" s="9">
        <f>STATS1003B!W881/1000</f>
        <v>0</v>
      </c>
      <c r="X842" s="9">
        <f>STATS1003B!X881/1000</f>
        <v>342</v>
      </c>
      <c r="Y842" s="9">
        <f>STATS1003B!Y881/1000</f>
        <v>0</v>
      </c>
      <c r="Z842" s="9">
        <f>STATS1003B!Z881/1000</f>
        <v>0</v>
      </c>
      <c r="AA842" s="9">
        <f>STATS1003B!AA881/1000</f>
        <v>342</v>
      </c>
      <c r="AB842" s="9">
        <f>STATS1003B!AB881/1000</f>
        <v>0</v>
      </c>
    </row>
    <row r="843" spans="1:28" x14ac:dyDescent="0.35">
      <c r="A843" s="36"/>
      <c r="B843" s="8"/>
      <c r="C843" s="7" t="s">
        <v>654</v>
      </c>
      <c r="D843" s="15" t="s">
        <v>85</v>
      </c>
      <c r="E843" s="9">
        <f>STATS1003B!E882/1000</f>
        <v>3200</v>
      </c>
      <c r="F843" s="9">
        <f>STATS1003B!F882/1000</f>
        <v>3200</v>
      </c>
      <c r="G843" s="9">
        <f>STATS1003B!G882/1000</f>
        <v>0</v>
      </c>
      <c r="H843" s="9">
        <f>STATS1003B!H882/1000</f>
        <v>3200</v>
      </c>
      <c r="I843" s="9">
        <f>STATS1003B!I882/1000</f>
        <v>0</v>
      </c>
      <c r="J843" s="9">
        <f>STATS1003B!J882/1000</f>
        <v>3200</v>
      </c>
      <c r="K843" s="9">
        <f>STATS1003B!K882/1000</f>
        <v>0</v>
      </c>
      <c r="L843" s="9">
        <f>STATS1003B!L882/1000</f>
        <v>0</v>
      </c>
      <c r="M843" s="9">
        <f>STATS1003B!M882/1000</f>
        <v>3200</v>
      </c>
      <c r="N843" s="9">
        <f>STATS1003B!N882/1000</f>
        <v>0</v>
      </c>
      <c r="O843" s="9">
        <f>STATS1003B!O882/1000</f>
        <v>0</v>
      </c>
      <c r="P843" s="9">
        <f>STATS1003B!P882/1000</f>
        <v>0</v>
      </c>
      <c r="Q843" s="9">
        <f>STATS1003B!Q882/1000</f>
        <v>3200</v>
      </c>
      <c r="R843" s="9">
        <f>STATS1003B!R882/1000</f>
        <v>0</v>
      </c>
      <c r="S843" s="9">
        <f>STATS1003B!S882/1000</f>
        <v>0</v>
      </c>
      <c r="T843" s="9">
        <f>STATS1003B!T882/1000</f>
        <v>0</v>
      </c>
      <c r="U843" s="9">
        <f>STATS1003B!U882/1000</f>
        <v>0</v>
      </c>
      <c r="V843" s="9">
        <f>STATS1003B!V882/1000</f>
        <v>3200</v>
      </c>
      <c r="W843" s="9">
        <f>STATS1003B!W882/1000</f>
        <v>0</v>
      </c>
      <c r="X843" s="9">
        <f>STATS1003B!X882/1000</f>
        <v>3200</v>
      </c>
      <c r="Y843" s="9">
        <f>STATS1003B!Y882/1000</f>
        <v>0</v>
      </c>
      <c r="Z843" s="9">
        <f>STATS1003B!Z882/1000</f>
        <v>0</v>
      </c>
      <c r="AA843" s="9">
        <f>STATS1003B!AA882/1000</f>
        <v>3200</v>
      </c>
      <c r="AB843" s="9">
        <f>STATS1003B!AB882/1000</f>
        <v>0</v>
      </c>
    </row>
    <row r="844" spans="1:28" x14ac:dyDescent="0.35">
      <c r="A844" s="36"/>
      <c r="B844" s="8"/>
      <c r="C844" s="7" t="s">
        <v>535</v>
      </c>
      <c r="D844" s="15" t="s">
        <v>128</v>
      </c>
      <c r="E844" s="9">
        <f>STATS1003B!E883/1000</f>
        <v>2000</v>
      </c>
      <c r="F844" s="9">
        <f>STATS1003B!F883/1000</f>
        <v>2000</v>
      </c>
      <c r="G844" s="9">
        <f>STATS1003B!G883/1000</f>
        <v>0</v>
      </c>
      <c r="H844" s="9">
        <f>STATS1003B!H883/1000</f>
        <v>2000</v>
      </c>
      <c r="I844" s="9">
        <f>STATS1003B!I883/1000</f>
        <v>0</v>
      </c>
      <c r="J844" s="9">
        <f>STATS1003B!J883/1000</f>
        <v>2000</v>
      </c>
      <c r="K844" s="9">
        <f>STATS1003B!K883/1000</f>
        <v>0</v>
      </c>
      <c r="L844" s="9">
        <f>STATS1003B!L883/1000</f>
        <v>0</v>
      </c>
      <c r="M844" s="9">
        <f>STATS1003B!M883/1000</f>
        <v>2000</v>
      </c>
      <c r="N844" s="9">
        <f>STATS1003B!N883/1000</f>
        <v>0</v>
      </c>
      <c r="O844" s="9">
        <f>STATS1003B!O883/1000</f>
        <v>0</v>
      </c>
      <c r="P844" s="9">
        <f>STATS1003B!P883/1000</f>
        <v>0</v>
      </c>
      <c r="Q844" s="9">
        <f>STATS1003B!Q883/1000</f>
        <v>2000</v>
      </c>
      <c r="R844" s="9">
        <f>STATS1003B!R883/1000</f>
        <v>0</v>
      </c>
      <c r="S844" s="9">
        <f>STATS1003B!S883/1000</f>
        <v>0</v>
      </c>
      <c r="T844" s="9">
        <f>STATS1003B!T883/1000</f>
        <v>0</v>
      </c>
      <c r="U844" s="9">
        <f>STATS1003B!U883/1000</f>
        <v>0</v>
      </c>
      <c r="V844" s="9">
        <f>STATS1003B!V883/1000</f>
        <v>2000</v>
      </c>
      <c r="W844" s="9">
        <f>STATS1003B!W883/1000</f>
        <v>0</v>
      </c>
      <c r="X844" s="9">
        <f>STATS1003B!X883/1000</f>
        <v>2000</v>
      </c>
      <c r="Y844" s="9">
        <f>STATS1003B!Y883/1000</f>
        <v>0</v>
      </c>
      <c r="Z844" s="9">
        <f>STATS1003B!Z883/1000</f>
        <v>0</v>
      </c>
      <c r="AA844" s="9">
        <f>STATS1003B!AA883/1000</f>
        <v>2000</v>
      </c>
      <c r="AB844" s="9">
        <f>STATS1003B!AB883/1000</f>
        <v>0</v>
      </c>
    </row>
    <row r="845" spans="1:28" x14ac:dyDescent="0.35">
      <c r="A845" s="36"/>
      <c r="B845" s="8"/>
      <c r="C845" s="7" t="s">
        <v>656</v>
      </c>
      <c r="D845" s="15" t="s">
        <v>128</v>
      </c>
      <c r="E845" s="9">
        <f>STATS1003B!E884/1000</f>
        <v>400</v>
      </c>
      <c r="F845" s="9">
        <f>STATS1003B!F884/1000</f>
        <v>400</v>
      </c>
      <c r="G845" s="9">
        <f>STATS1003B!G884/1000</f>
        <v>0</v>
      </c>
      <c r="H845" s="9">
        <f>STATS1003B!H884/1000</f>
        <v>400</v>
      </c>
      <c r="I845" s="9">
        <f>STATS1003B!I884/1000</f>
        <v>0</v>
      </c>
      <c r="J845" s="9">
        <f>STATS1003B!J884/1000</f>
        <v>400</v>
      </c>
      <c r="K845" s="9">
        <f>STATS1003B!K884/1000</f>
        <v>0</v>
      </c>
      <c r="L845" s="9">
        <f>STATS1003B!L884/1000</f>
        <v>0</v>
      </c>
      <c r="M845" s="9">
        <f>STATS1003B!M884/1000</f>
        <v>400</v>
      </c>
      <c r="N845" s="9">
        <f>STATS1003B!N884/1000</f>
        <v>0</v>
      </c>
      <c r="O845" s="9">
        <f>STATS1003B!O884/1000</f>
        <v>0</v>
      </c>
      <c r="P845" s="9">
        <f>STATS1003B!P884/1000</f>
        <v>0</v>
      </c>
      <c r="Q845" s="9">
        <f>STATS1003B!Q884/1000</f>
        <v>400</v>
      </c>
      <c r="R845" s="9">
        <f>STATS1003B!R884/1000</f>
        <v>0</v>
      </c>
      <c r="S845" s="9">
        <f>STATS1003B!S884/1000</f>
        <v>0</v>
      </c>
      <c r="T845" s="9">
        <f>STATS1003B!T884/1000</f>
        <v>0</v>
      </c>
      <c r="U845" s="9">
        <f>STATS1003B!U884/1000</f>
        <v>0</v>
      </c>
      <c r="V845" s="9">
        <f>STATS1003B!V884/1000</f>
        <v>400</v>
      </c>
      <c r="W845" s="9">
        <f>STATS1003B!W884/1000</f>
        <v>0</v>
      </c>
      <c r="X845" s="9">
        <f>STATS1003B!X884/1000</f>
        <v>400</v>
      </c>
      <c r="Y845" s="9">
        <f>STATS1003B!Y884/1000</f>
        <v>0</v>
      </c>
      <c r="Z845" s="9">
        <f>STATS1003B!Z884/1000</f>
        <v>0</v>
      </c>
      <c r="AA845" s="9">
        <f>STATS1003B!AA884/1000</f>
        <v>400</v>
      </c>
      <c r="AB845" s="9">
        <f>STATS1003B!AB884/1000</f>
        <v>0</v>
      </c>
    </row>
    <row r="846" spans="1:28" x14ac:dyDescent="0.35">
      <c r="A846" s="36"/>
      <c r="B846" s="8"/>
      <c r="C846" s="7" t="s">
        <v>535</v>
      </c>
      <c r="D846" s="15" t="s">
        <v>108</v>
      </c>
      <c r="E846" s="9">
        <f>STATS1003B!E885/1000</f>
        <v>2778.43543</v>
      </c>
      <c r="F846" s="9">
        <f>STATS1003B!F885/1000</f>
        <v>2778.43543</v>
      </c>
      <c r="G846" s="9">
        <f>STATS1003B!G885/1000</f>
        <v>0</v>
      </c>
      <c r="H846" s="9">
        <f>STATS1003B!H885/1000</f>
        <v>2778.43543</v>
      </c>
      <c r="I846" s="9">
        <f>STATS1003B!I885/1000</f>
        <v>0</v>
      </c>
      <c r="J846" s="9">
        <f>STATS1003B!J885/1000</f>
        <v>2778.43543</v>
      </c>
      <c r="K846" s="9">
        <f>STATS1003B!K885/1000</f>
        <v>0</v>
      </c>
      <c r="L846" s="9">
        <f>STATS1003B!L885/1000</f>
        <v>0</v>
      </c>
      <c r="M846" s="9">
        <f>STATS1003B!M885/1000</f>
        <v>2778.43543</v>
      </c>
      <c r="N846" s="9">
        <f>STATS1003B!N885/1000</f>
        <v>0</v>
      </c>
      <c r="O846" s="9">
        <f>STATS1003B!O885/1000</f>
        <v>0</v>
      </c>
      <c r="P846" s="9">
        <f>STATS1003B!P885/1000</f>
        <v>0</v>
      </c>
      <c r="Q846" s="9">
        <f>STATS1003B!Q885/1000</f>
        <v>2778.43543</v>
      </c>
      <c r="R846" s="9">
        <f>STATS1003B!R885/1000</f>
        <v>0</v>
      </c>
      <c r="S846" s="9">
        <f>STATS1003B!S885/1000</f>
        <v>0</v>
      </c>
      <c r="T846" s="9">
        <f>STATS1003B!T885/1000</f>
        <v>0</v>
      </c>
      <c r="U846" s="9">
        <f>STATS1003B!U885/1000</f>
        <v>0</v>
      </c>
      <c r="V846" s="9">
        <f>STATS1003B!V885/1000</f>
        <v>2778.43543</v>
      </c>
      <c r="W846" s="9">
        <f>STATS1003B!W885/1000</f>
        <v>0</v>
      </c>
      <c r="X846" s="9">
        <f>STATS1003B!X885/1000</f>
        <v>2778.43543</v>
      </c>
      <c r="Y846" s="9">
        <f>STATS1003B!Y885/1000</f>
        <v>0</v>
      </c>
      <c r="Z846" s="9">
        <f>STATS1003B!Z885/1000</f>
        <v>0</v>
      </c>
      <c r="AA846" s="9">
        <f>STATS1003B!AA885/1000</f>
        <v>2778.43543</v>
      </c>
      <c r="AB846" s="9">
        <f>STATS1003B!AB885/1000</f>
        <v>0</v>
      </c>
    </row>
    <row r="847" spans="1:28" x14ac:dyDescent="0.35">
      <c r="A847" s="36"/>
      <c r="B847" s="8"/>
      <c r="C847" s="7" t="s">
        <v>535</v>
      </c>
      <c r="D847" s="15" t="s">
        <v>60</v>
      </c>
      <c r="E847" s="9">
        <f>STATS1003B!E886/1000</f>
        <v>2957.67</v>
      </c>
      <c r="F847" s="9">
        <f>STATS1003B!F886/1000</f>
        <v>2957.67</v>
      </c>
      <c r="G847" s="9">
        <f>STATS1003B!G886/1000</f>
        <v>0</v>
      </c>
      <c r="H847" s="9">
        <f>STATS1003B!H886/1000</f>
        <v>2957.67</v>
      </c>
      <c r="I847" s="9">
        <f>STATS1003B!I886/1000</f>
        <v>0</v>
      </c>
      <c r="J847" s="9">
        <f>STATS1003B!J886/1000</f>
        <v>2957.67</v>
      </c>
      <c r="K847" s="9">
        <f>STATS1003B!K886/1000</f>
        <v>0</v>
      </c>
      <c r="L847" s="9">
        <f>STATS1003B!L886/1000</f>
        <v>0</v>
      </c>
      <c r="M847" s="9">
        <f>STATS1003B!M886/1000</f>
        <v>2957.67</v>
      </c>
      <c r="N847" s="9">
        <f>STATS1003B!N886/1000</f>
        <v>0</v>
      </c>
      <c r="O847" s="9">
        <f>STATS1003B!O886/1000</f>
        <v>0</v>
      </c>
      <c r="P847" s="9">
        <f>STATS1003B!P886/1000</f>
        <v>0</v>
      </c>
      <c r="Q847" s="9">
        <f>STATS1003B!Q886/1000</f>
        <v>2957.67</v>
      </c>
      <c r="R847" s="9">
        <f>STATS1003B!R886/1000</f>
        <v>0</v>
      </c>
      <c r="S847" s="9">
        <f>STATS1003B!S886/1000</f>
        <v>0</v>
      </c>
      <c r="T847" s="9">
        <f>STATS1003B!T886/1000</f>
        <v>0</v>
      </c>
      <c r="U847" s="9">
        <f>STATS1003B!U886/1000</f>
        <v>0</v>
      </c>
      <c r="V847" s="9">
        <f>STATS1003B!V886/1000</f>
        <v>2957.67</v>
      </c>
      <c r="W847" s="9">
        <f>STATS1003B!W886/1000</f>
        <v>0</v>
      </c>
      <c r="X847" s="9">
        <f>STATS1003B!X886/1000</f>
        <v>2957.67</v>
      </c>
      <c r="Y847" s="9">
        <f>STATS1003B!Y886/1000</f>
        <v>0</v>
      </c>
      <c r="Z847" s="9">
        <f>STATS1003B!Z886/1000</f>
        <v>0</v>
      </c>
      <c r="AA847" s="9">
        <f>STATS1003B!AA886/1000</f>
        <v>2957.67</v>
      </c>
      <c r="AB847" s="9">
        <f>STATS1003B!AB886/1000</f>
        <v>0</v>
      </c>
    </row>
    <row r="848" spans="1:28" x14ac:dyDescent="0.35">
      <c r="A848" s="36"/>
      <c r="B848" s="8"/>
      <c r="C848" s="7" t="s">
        <v>535</v>
      </c>
      <c r="D848" s="15" t="s">
        <v>61</v>
      </c>
      <c r="E848" s="9">
        <f>STATS1003B!E887/1000</f>
        <v>1326.96</v>
      </c>
      <c r="F848" s="9">
        <f>STATS1003B!F887/1000</f>
        <v>1326.96</v>
      </c>
      <c r="G848" s="9">
        <f>STATS1003B!G887/1000</f>
        <v>0</v>
      </c>
      <c r="H848" s="9">
        <f>STATS1003B!H887/1000</f>
        <v>1326.96</v>
      </c>
      <c r="I848" s="9">
        <f>STATS1003B!I887/1000</f>
        <v>0</v>
      </c>
      <c r="J848" s="9">
        <f>STATS1003B!J887/1000</f>
        <v>1326.96</v>
      </c>
      <c r="K848" s="9">
        <f>STATS1003B!K887/1000</f>
        <v>0</v>
      </c>
      <c r="L848" s="9">
        <f>STATS1003B!L887/1000</f>
        <v>0</v>
      </c>
      <c r="M848" s="9">
        <f>STATS1003B!M887/1000</f>
        <v>1326.96</v>
      </c>
      <c r="N848" s="9">
        <f>STATS1003B!N887/1000</f>
        <v>0</v>
      </c>
      <c r="O848" s="9">
        <f>STATS1003B!O887/1000</f>
        <v>0</v>
      </c>
      <c r="P848" s="9">
        <f>STATS1003B!P887/1000</f>
        <v>0</v>
      </c>
      <c r="Q848" s="9">
        <f>STATS1003B!Q887/1000</f>
        <v>1326.96</v>
      </c>
      <c r="R848" s="9">
        <f>STATS1003B!R887/1000</f>
        <v>0</v>
      </c>
      <c r="S848" s="9">
        <f>STATS1003B!S887/1000</f>
        <v>0</v>
      </c>
      <c r="T848" s="9">
        <f>STATS1003B!T887/1000</f>
        <v>0</v>
      </c>
      <c r="U848" s="9">
        <f>STATS1003B!U887/1000</f>
        <v>0</v>
      </c>
      <c r="V848" s="9">
        <f>STATS1003B!V887/1000</f>
        <v>1326.96</v>
      </c>
      <c r="W848" s="9">
        <f>STATS1003B!W887/1000</f>
        <v>0</v>
      </c>
      <c r="X848" s="9">
        <f>STATS1003B!X887/1000</f>
        <v>1326.96</v>
      </c>
      <c r="Y848" s="9">
        <f>STATS1003B!Y887/1000</f>
        <v>0</v>
      </c>
      <c r="Z848" s="9">
        <f>STATS1003B!Z887/1000</f>
        <v>0</v>
      </c>
      <c r="AA848" s="9">
        <f>STATS1003B!AA887/1000</f>
        <v>1326.96</v>
      </c>
      <c r="AB848" s="9">
        <f>STATS1003B!AB887/1000</f>
        <v>0</v>
      </c>
    </row>
    <row r="849" spans="1:28" x14ac:dyDescent="0.35">
      <c r="A849" s="36"/>
      <c r="B849" s="8"/>
      <c r="C849" s="7" t="s">
        <v>1093</v>
      </c>
      <c r="D849" s="16" t="s">
        <v>1072</v>
      </c>
      <c r="E849" s="9">
        <f>STATS1003B!E888/1000</f>
        <v>300</v>
      </c>
      <c r="F849" s="9">
        <f>STATS1003B!F888/1000</f>
        <v>300</v>
      </c>
      <c r="G849" s="9">
        <f>STATS1003B!G888/1000</f>
        <v>0</v>
      </c>
      <c r="H849" s="9">
        <f>STATS1003B!H888/1000</f>
        <v>300</v>
      </c>
      <c r="I849" s="9">
        <f>STATS1003B!I888/1000</f>
        <v>0</v>
      </c>
      <c r="J849" s="9">
        <f>STATS1003B!J888/1000</f>
        <v>0</v>
      </c>
      <c r="K849" s="9">
        <f>STATS1003B!K888/1000</f>
        <v>0</v>
      </c>
      <c r="L849" s="9">
        <f>STATS1003B!L888/1000</f>
        <v>0</v>
      </c>
      <c r="M849" s="9">
        <f>STATS1003B!M888/1000</f>
        <v>300</v>
      </c>
      <c r="N849" s="9">
        <f>STATS1003B!N888/1000</f>
        <v>0</v>
      </c>
      <c r="O849" s="9">
        <f>STATS1003B!O888/1000</f>
        <v>0</v>
      </c>
      <c r="P849" s="9">
        <f>STATS1003B!P888/1000</f>
        <v>0</v>
      </c>
      <c r="Q849" s="9">
        <f>STATS1003B!Q888/1000</f>
        <v>0</v>
      </c>
      <c r="R849" s="9">
        <f>STATS1003B!R888/1000</f>
        <v>0</v>
      </c>
      <c r="S849" s="9">
        <f>STATS1003B!S888/1000</f>
        <v>0</v>
      </c>
      <c r="T849" s="9">
        <f>STATS1003B!T888/1000</f>
        <v>0</v>
      </c>
      <c r="U849" s="9">
        <f>STATS1003B!U888/1000</f>
        <v>0</v>
      </c>
      <c r="V849" s="9">
        <f>STATS1003B!V888/1000</f>
        <v>0</v>
      </c>
      <c r="W849" s="9">
        <f>STATS1003B!W888/1000</f>
        <v>0</v>
      </c>
      <c r="X849" s="9">
        <f>STATS1003B!X888/1000</f>
        <v>300</v>
      </c>
      <c r="Y849" s="9">
        <f>STATS1003B!Y888/1000</f>
        <v>0</v>
      </c>
      <c r="Z849" s="9">
        <f>STATS1003B!Z888/1000</f>
        <v>0</v>
      </c>
      <c r="AA849" s="9">
        <f>STATS1003B!AA888/1000</f>
        <v>300</v>
      </c>
      <c r="AB849" s="9">
        <f>STATS1003B!AB888/1000</f>
        <v>0</v>
      </c>
    </row>
    <row r="850" spans="1:28" x14ac:dyDescent="0.35">
      <c r="A850" s="36"/>
      <c r="B850" s="8"/>
      <c r="C850" s="7" t="s">
        <v>933</v>
      </c>
      <c r="D850" s="16" t="s">
        <v>1072</v>
      </c>
      <c r="E850" s="9">
        <f>STATS1003B!E889/1000</f>
        <v>1109</v>
      </c>
      <c r="F850" s="9">
        <f>STATS1003B!F889/1000</f>
        <v>1109</v>
      </c>
      <c r="G850" s="9">
        <f>STATS1003B!G889/1000</f>
        <v>0</v>
      </c>
      <c r="H850" s="9">
        <f>STATS1003B!H889/1000</f>
        <v>1109</v>
      </c>
      <c r="I850" s="9">
        <f>STATS1003B!I889/1000</f>
        <v>0</v>
      </c>
      <c r="J850" s="9">
        <f>STATS1003B!J889/1000</f>
        <v>0</v>
      </c>
      <c r="K850" s="9">
        <f>STATS1003B!K889/1000</f>
        <v>0</v>
      </c>
      <c r="L850" s="9">
        <f>STATS1003B!L889/1000</f>
        <v>0</v>
      </c>
      <c r="M850" s="9">
        <f>STATS1003B!M889/1000</f>
        <v>1109</v>
      </c>
      <c r="N850" s="9">
        <f>STATS1003B!N889/1000</f>
        <v>0</v>
      </c>
      <c r="O850" s="9">
        <f>STATS1003B!O889/1000</f>
        <v>0</v>
      </c>
      <c r="P850" s="9">
        <f>STATS1003B!P889/1000</f>
        <v>0</v>
      </c>
      <c r="Q850" s="9">
        <f>STATS1003B!Q889/1000</f>
        <v>0</v>
      </c>
      <c r="R850" s="9">
        <f>STATS1003B!R889/1000</f>
        <v>0</v>
      </c>
      <c r="S850" s="9">
        <f>STATS1003B!S889/1000</f>
        <v>0</v>
      </c>
      <c r="T850" s="9">
        <f>STATS1003B!T889/1000</f>
        <v>0</v>
      </c>
      <c r="U850" s="9">
        <f>STATS1003B!U889/1000</f>
        <v>0</v>
      </c>
      <c r="V850" s="9">
        <f>STATS1003B!V889/1000</f>
        <v>0</v>
      </c>
      <c r="W850" s="9">
        <f>STATS1003B!W889/1000</f>
        <v>0</v>
      </c>
      <c r="X850" s="9">
        <f>STATS1003B!X889/1000</f>
        <v>1109</v>
      </c>
      <c r="Y850" s="9">
        <f>STATS1003B!Y889/1000</f>
        <v>0</v>
      </c>
      <c r="Z850" s="9">
        <f>STATS1003B!Z889/1000</f>
        <v>0</v>
      </c>
      <c r="AA850" s="9">
        <f>STATS1003B!AA889/1000</f>
        <v>1109</v>
      </c>
      <c r="AB850" s="9">
        <f>STATS1003B!AB889/1000</f>
        <v>0</v>
      </c>
    </row>
    <row r="851" spans="1:28" x14ac:dyDescent="0.35">
      <c r="A851" s="36"/>
      <c r="B851" s="8"/>
      <c r="C851" s="7" t="s">
        <v>657</v>
      </c>
      <c r="D851" s="8"/>
      <c r="E851" s="9">
        <f>STATS1003B!E891/1000</f>
        <v>50</v>
      </c>
      <c r="F851" s="9">
        <f>STATS1003B!F891/1000</f>
        <v>0</v>
      </c>
      <c r="G851" s="9">
        <f>STATS1003B!G891/1000</f>
        <v>0</v>
      </c>
      <c r="H851" s="9">
        <f>STATS1003B!H891/1000</f>
        <v>0</v>
      </c>
      <c r="I851" s="9">
        <f>STATS1003B!I891/1000</f>
        <v>0</v>
      </c>
      <c r="J851" s="9">
        <f>STATS1003B!J891/1000</f>
        <v>0</v>
      </c>
      <c r="K851" s="9">
        <f>STATS1003B!K891/1000</f>
        <v>0</v>
      </c>
      <c r="L851" s="9">
        <f>STATS1003B!L891/1000</f>
        <v>0</v>
      </c>
      <c r="M851" s="9">
        <f>STATS1003B!M891/1000</f>
        <v>0</v>
      </c>
      <c r="N851" s="9">
        <f>STATS1003B!N891/1000</f>
        <v>0</v>
      </c>
      <c r="O851" s="9">
        <f>STATS1003B!O891/1000</f>
        <v>0</v>
      </c>
      <c r="P851" s="9">
        <f>STATS1003B!P891/1000</f>
        <v>0</v>
      </c>
      <c r="Q851" s="9">
        <f>STATS1003B!Q891/1000</f>
        <v>50</v>
      </c>
      <c r="R851" s="9">
        <f>STATS1003B!R891/1000</f>
        <v>0</v>
      </c>
      <c r="S851" s="9">
        <f>STATS1003B!S891/1000</f>
        <v>0</v>
      </c>
      <c r="T851" s="9">
        <f>STATS1003B!T891/1000</f>
        <v>0</v>
      </c>
      <c r="U851" s="9">
        <f>STATS1003B!U891/1000</f>
        <v>0</v>
      </c>
      <c r="V851" s="9">
        <f>STATS1003B!V891/1000</f>
        <v>0</v>
      </c>
      <c r="W851" s="9">
        <f>STATS1003B!W891/1000</f>
        <v>50</v>
      </c>
      <c r="X851" s="9">
        <f>STATS1003B!X891/1000</f>
        <v>0</v>
      </c>
      <c r="Y851" s="9">
        <f>STATS1003B!Y891/1000</f>
        <v>0</v>
      </c>
      <c r="Z851" s="9">
        <f>STATS1003B!Z891/1000</f>
        <v>50</v>
      </c>
      <c r="AA851" s="9">
        <f>STATS1003B!AA891/1000</f>
        <v>0</v>
      </c>
      <c r="AB851" s="9">
        <f>STATS1003B!AB891/1000</f>
        <v>50</v>
      </c>
    </row>
    <row r="852" spans="1:28" x14ac:dyDescent="0.35">
      <c r="A852" s="36"/>
      <c r="B852" s="8"/>
      <c r="C852" s="7" t="s">
        <v>551</v>
      </c>
      <c r="D852" s="8"/>
      <c r="E852" s="9">
        <f>STATS1003B!E892/1000</f>
        <v>23459.560989999998</v>
      </c>
      <c r="F852" s="9">
        <f>STATS1003B!F892/1000</f>
        <v>23459.560990000002</v>
      </c>
      <c r="G852" s="9">
        <f>STATS1003B!G892/1000</f>
        <v>0</v>
      </c>
      <c r="H852" s="9">
        <f>STATS1003B!H892/1000</f>
        <v>23459.560990000002</v>
      </c>
      <c r="I852" s="9">
        <f>STATS1003B!I892/1000</f>
        <v>0</v>
      </c>
      <c r="J852" s="9">
        <f>STATS1003B!J892/1000</f>
        <v>23459.560990000002</v>
      </c>
      <c r="K852" s="9">
        <f>STATS1003B!K892/1000</f>
        <v>0</v>
      </c>
      <c r="L852" s="9">
        <f>STATS1003B!L892/1000</f>
        <v>0</v>
      </c>
      <c r="M852" s="9">
        <f>STATS1003B!M892/1000</f>
        <v>23459.560990000002</v>
      </c>
      <c r="N852" s="9">
        <f>STATS1003B!N892/1000</f>
        <v>0</v>
      </c>
      <c r="O852" s="9">
        <f>STATS1003B!O892/1000</f>
        <v>0</v>
      </c>
      <c r="P852" s="9">
        <f>STATS1003B!P892/1000</f>
        <v>0</v>
      </c>
      <c r="Q852" s="9">
        <f>STATS1003B!Q892/1000</f>
        <v>23459.560989999998</v>
      </c>
      <c r="R852" s="9">
        <f>STATS1003B!R892/1000</f>
        <v>0</v>
      </c>
      <c r="S852" s="9">
        <f>STATS1003B!S892/1000</f>
        <v>0</v>
      </c>
      <c r="T852" s="9">
        <f>STATS1003B!T892/1000</f>
        <v>0</v>
      </c>
      <c r="U852" s="9">
        <f>STATS1003B!U892/1000</f>
        <v>0</v>
      </c>
      <c r="V852" s="9">
        <f>STATS1003B!V892/1000</f>
        <v>23459.560990000002</v>
      </c>
      <c r="W852" s="9">
        <f>STATS1003B!W892/1000</f>
        <v>0</v>
      </c>
      <c r="X852" s="9">
        <f>STATS1003B!X892/1000</f>
        <v>23459.560990000002</v>
      </c>
      <c r="Y852" s="9">
        <f>STATS1003B!Y892/1000</f>
        <v>0</v>
      </c>
      <c r="Z852" s="9">
        <f>STATS1003B!Z892/1000</f>
        <v>0</v>
      </c>
      <c r="AA852" s="9">
        <f>STATS1003B!AA892/1000</f>
        <v>23459.560990000002</v>
      </c>
      <c r="AB852" s="9">
        <f>STATS1003B!AB892/1000</f>
        <v>0</v>
      </c>
    </row>
    <row r="853" spans="1:28" x14ac:dyDescent="0.35">
      <c r="A853" s="36"/>
      <c r="B853" s="8"/>
      <c r="C853" s="7" t="s">
        <v>606</v>
      </c>
      <c r="D853" s="8"/>
      <c r="E853" s="9">
        <f>STATS1003B!E893/1000</f>
        <v>1989.4285400000001</v>
      </c>
      <c r="F853" s="9">
        <f>STATS1003B!F893/1000</f>
        <v>1989.4285400000001</v>
      </c>
      <c r="G853" s="9">
        <f>STATS1003B!G893/1000</f>
        <v>0</v>
      </c>
      <c r="H853" s="9">
        <f>STATS1003B!H893/1000</f>
        <v>1989.4285400000001</v>
      </c>
      <c r="I853" s="9">
        <f>STATS1003B!I893/1000</f>
        <v>0</v>
      </c>
      <c r="J853" s="9">
        <f>STATS1003B!J893/1000</f>
        <v>1989.4285400000001</v>
      </c>
      <c r="K853" s="9">
        <f>STATS1003B!K893/1000</f>
        <v>0</v>
      </c>
      <c r="L853" s="9">
        <f>STATS1003B!L893/1000</f>
        <v>0</v>
      </c>
      <c r="M853" s="9">
        <f>STATS1003B!M893/1000</f>
        <v>1989.4285400000001</v>
      </c>
      <c r="N853" s="9">
        <f>STATS1003B!N893/1000</f>
        <v>0</v>
      </c>
      <c r="O853" s="9">
        <f>STATS1003B!O893/1000</f>
        <v>0</v>
      </c>
      <c r="P853" s="9">
        <f>STATS1003B!P893/1000</f>
        <v>0</v>
      </c>
      <c r="Q853" s="9">
        <f>STATS1003B!Q893/1000</f>
        <v>1989.4285400000001</v>
      </c>
      <c r="R853" s="9">
        <f>STATS1003B!R893/1000</f>
        <v>0</v>
      </c>
      <c r="S853" s="9">
        <f>STATS1003B!S893/1000</f>
        <v>0</v>
      </c>
      <c r="T853" s="9">
        <f>STATS1003B!T893/1000</f>
        <v>0</v>
      </c>
      <c r="U853" s="9">
        <f>STATS1003B!U893/1000</f>
        <v>0</v>
      </c>
      <c r="V853" s="9">
        <f>STATS1003B!V893/1000</f>
        <v>1989.4285400000001</v>
      </c>
      <c r="W853" s="9">
        <f>STATS1003B!W893/1000</f>
        <v>0</v>
      </c>
      <c r="X853" s="9">
        <f>STATS1003B!X893/1000</f>
        <v>1989.4285400000001</v>
      </c>
      <c r="Y853" s="9">
        <f>STATS1003B!Y893/1000</f>
        <v>0</v>
      </c>
      <c r="Z853" s="9">
        <f>STATS1003B!Z893/1000</f>
        <v>0</v>
      </c>
      <c r="AA853" s="9">
        <f>STATS1003B!AA893/1000</f>
        <v>1989.4285400000001</v>
      </c>
      <c r="AB853" s="9">
        <f>STATS1003B!AB893/1000</f>
        <v>0</v>
      </c>
    </row>
    <row r="854" spans="1:28" x14ac:dyDescent="0.35">
      <c r="A854" s="36"/>
      <c r="B854" s="8"/>
      <c r="C854" s="8"/>
      <c r="D854" s="8"/>
      <c r="E854" s="17" t="s">
        <v>29</v>
      </c>
      <c r="F854" s="17" t="s">
        <v>29</v>
      </c>
      <c r="G854" s="17" t="s">
        <v>29</v>
      </c>
      <c r="H854" s="17" t="s">
        <v>29</v>
      </c>
      <c r="I854" s="17" t="s">
        <v>29</v>
      </c>
      <c r="J854" s="17" t="s">
        <v>29</v>
      </c>
      <c r="K854" s="17" t="s">
        <v>29</v>
      </c>
      <c r="L854" s="17" t="s">
        <v>29</v>
      </c>
      <c r="M854" s="17" t="s">
        <v>29</v>
      </c>
      <c r="N854" s="17" t="s">
        <v>29</v>
      </c>
      <c r="O854" s="17" t="s">
        <v>29</v>
      </c>
      <c r="P854" s="17" t="s">
        <v>29</v>
      </c>
      <c r="Q854" s="17" t="s">
        <v>29</v>
      </c>
      <c r="R854" s="17" t="s">
        <v>29</v>
      </c>
      <c r="S854" s="17" t="s">
        <v>29</v>
      </c>
      <c r="T854" s="17" t="s">
        <v>29</v>
      </c>
      <c r="U854" s="17" t="s">
        <v>29</v>
      </c>
      <c r="V854" s="17" t="s">
        <v>29</v>
      </c>
      <c r="W854" s="17" t="s">
        <v>29</v>
      </c>
      <c r="X854" s="17" t="s">
        <v>29</v>
      </c>
      <c r="Y854" s="17" t="s">
        <v>29</v>
      </c>
      <c r="Z854" s="17" t="s">
        <v>29</v>
      </c>
      <c r="AA854" s="17" t="s">
        <v>29</v>
      </c>
      <c r="AB854" s="17" t="s">
        <v>29</v>
      </c>
    </row>
    <row r="855" spans="1:28" x14ac:dyDescent="0.35">
      <c r="A855" s="36"/>
      <c r="B855" s="8"/>
      <c r="C855" s="8"/>
      <c r="D855" s="8"/>
      <c r="E855" s="9">
        <f t="shared" ref="E855:Q855" si="62">SUM(E836:E854)</f>
        <v>49738.590080000002</v>
      </c>
      <c r="F855" s="9">
        <f t="shared" si="62"/>
        <v>44681.380960000002</v>
      </c>
      <c r="G855" s="9">
        <f t="shared" si="62"/>
        <v>0</v>
      </c>
      <c r="H855" s="9">
        <f t="shared" si="62"/>
        <v>44681.380960000002</v>
      </c>
      <c r="I855" s="9">
        <f t="shared" si="62"/>
        <v>0</v>
      </c>
      <c r="J855" s="9">
        <f t="shared" si="62"/>
        <v>43272.380960000002</v>
      </c>
      <c r="K855" s="9">
        <f t="shared" si="62"/>
        <v>5007.2091200000004</v>
      </c>
      <c r="L855" s="9">
        <f t="shared" si="62"/>
        <v>0</v>
      </c>
      <c r="M855" s="9">
        <f t="shared" si="62"/>
        <v>44681.380960000002</v>
      </c>
      <c r="N855" s="9">
        <f t="shared" si="62"/>
        <v>5007.2091200000004</v>
      </c>
      <c r="O855" s="9">
        <f t="shared" si="62"/>
        <v>0</v>
      </c>
      <c r="P855" s="9">
        <f t="shared" si="62"/>
        <v>5007.2091200000004</v>
      </c>
      <c r="Q855" s="9">
        <f t="shared" si="62"/>
        <v>43322.380960000002</v>
      </c>
      <c r="R855" s="17"/>
      <c r="S855" s="17"/>
      <c r="T855" s="9">
        <f t="shared" ref="T855:Z855" si="63">SUM(T836:T854)</f>
        <v>0</v>
      </c>
      <c r="U855" s="9">
        <f t="shared" si="63"/>
        <v>5007.2091200000004</v>
      </c>
      <c r="V855" s="9">
        <f t="shared" si="63"/>
        <v>48279.590080000002</v>
      </c>
      <c r="W855" s="9">
        <f t="shared" si="63"/>
        <v>50</v>
      </c>
      <c r="X855" s="9">
        <f t="shared" si="63"/>
        <v>49688.590080000002</v>
      </c>
      <c r="Y855" s="9">
        <f t="shared" si="63"/>
        <v>0</v>
      </c>
      <c r="Z855" s="9">
        <f t="shared" si="63"/>
        <v>50</v>
      </c>
      <c r="AA855" s="9">
        <f>SUM(AA836:AA854)</f>
        <v>49688.590080000002</v>
      </c>
      <c r="AB855" s="9">
        <f>SUM(AB836:AB854)</f>
        <v>50</v>
      </c>
    </row>
    <row r="856" spans="1:28" x14ac:dyDescent="0.35">
      <c r="A856" s="36"/>
      <c r="B856" s="8"/>
      <c r="C856" s="8"/>
      <c r="D856" s="8"/>
      <c r="E856" s="17" t="s">
        <v>29</v>
      </c>
      <c r="F856" s="17" t="s">
        <v>29</v>
      </c>
      <c r="G856" s="17" t="s">
        <v>29</v>
      </c>
      <c r="H856" s="17" t="s">
        <v>29</v>
      </c>
      <c r="I856" s="17" t="s">
        <v>29</v>
      </c>
      <c r="J856" s="17" t="s">
        <v>29</v>
      </c>
      <c r="K856" s="17" t="s">
        <v>29</v>
      </c>
      <c r="L856" s="17" t="s">
        <v>29</v>
      </c>
      <c r="M856" s="17" t="s">
        <v>29</v>
      </c>
      <c r="N856" s="17" t="s">
        <v>29</v>
      </c>
      <c r="O856" s="17" t="s">
        <v>29</v>
      </c>
      <c r="P856" s="17" t="s">
        <v>29</v>
      </c>
      <c r="Q856" s="17" t="s">
        <v>29</v>
      </c>
      <c r="R856" s="17" t="s">
        <v>29</v>
      </c>
      <c r="S856" s="17" t="s">
        <v>29</v>
      </c>
      <c r="T856" s="17" t="s">
        <v>29</v>
      </c>
      <c r="U856" s="17" t="s">
        <v>29</v>
      </c>
      <c r="V856" s="17" t="s">
        <v>29</v>
      </c>
      <c r="W856" s="17" t="s">
        <v>29</v>
      </c>
      <c r="X856" s="17" t="s">
        <v>29</v>
      </c>
      <c r="Y856" s="17" t="s">
        <v>29</v>
      </c>
      <c r="Z856" s="17" t="s">
        <v>29</v>
      </c>
      <c r="AA856" s="17" t="s">
        <v>29</v>
      </c>
      <c r="AB856" s="17" t="s">
        <v>29</v>
      </c>
    </row>
    <row r="857" spans="1:28" x14ac:dyDescent="0.35">
      <c r="A857" s="38" t="s">
        <v>979</v>
      </c>
      <c r="B857" s="7" t="s">
        <v>658</v>
      </c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17"/>
      <c r="S857" s="17"/>
      <c r="T857" s="17"/>
      <c r="U857" s="17"/>
      <c r="V857" s="17"/>
      <c r="W857" s="17"/>
      <c r="X857" s="17"/>
      <c r="Y857" s="17"/>
      <c r="Z857" s="17"/>
    </row>
    <row r="858" spans="1:28" x14ac:dyDescent="0.35">
      <c r="A858" s="36"/>
      <c r="B858" s="8"/>
      <c r="C858" s="7" t="s">
        <v>659</v>
      </c>
      <c r="D858" s="15" t="s">
        <v>78</v>
      </c>
      <c r="E858" s="9">
        <f>STATS1003B!E898/1000</f>
        <v>528.8279399999999</v>
      </c>
      <c r="F858" s="9">
        <f>STATS1003B!F898/1000</f>
        <v>521</v>
      </c>
      <c r="G858" s="9">
        <f>STATS1003B!G898/1000</f>
        <v>0</v>
      </c>
      <c r="H858" s="9">
        <f>STATS1003B!H898/1000</f>
        <v>521</v>
      </c>
      <c r="I858" s="9">
        <f>STATS1003B!I898/1000</f>
        <v>0</v>
      </c>
      <c r="J858" s="9">
        <f>STATS1003B!J898/1000</f>
        <v>521</v>
      </c>
      <c r="K858" s="9">
        <f>STATS1003B!K898/1000</f>
        <v>7.8279399999999999</v>
      </c>
      <c r="L858" s="9">
        <f>STATS1003B!L898/1000</f>
        <v>0</v>
      </c>
      <c r="M858" s="9">
        <f>STATS1003B!M898/1000</f>
        <v>521</v>
      </c>
      <c r="N858" s="9">
        <f>STATS1003B!N898/1000</f>
        <v>7.8279399999999999</v>
      </c>
      <c r="O858" s="9">
        <f>STATS1003B!O898/1000</f>
        <v>0</v>
      </c>
      <c r="P858" s="9">
        <f>STATS1003B!P898/1000</f>
        <v>7.8279399999999999</v>
      </c>
      <c r="Q858" s="9">
        <f>STATS1003B!Q898/1000</f>
        <v>520.99999999999989</v>
      </c>
      <c r="R858" s="9">
        <f>STATS1003B!R898/1000</f>
        <v>0</v>
      </c>
      <c r="S858" s="9">
        <f>STATS1003B!S898/1000</f>
        <v>0</v>
      </c>
      <c r="T858" s="9">
        <f>STATS1003B!T898/1000</f>
        <v>0</v>
      </c>
      <c r="U858" s="9">
        <f>STATS1003B!U898/1000</f>
        <v>7.8279399999999999</v>
      </c>
      <c r="V858" s="9">
        <f>STATS1003B!V898/1000</f>
        <v>528.8279399999999</v>
      </c>
      <c r="W858" s="9">
        <f>STATS1003B!W898/1000</f>
        <v>0</v>
      </c>
      <c r="X858" s="9">
        <f>STATS1003B!X898/1000</f>
        <v>528.8279399999999</v>
      </c>
      <c r="Y858" s="9">
        <f>STATS1003B!Y898/1000</f>
        <v>0</v>
      </c>
      <c r="Z858" s="9">
        <f>STATS1003B!Z898/1000</f>
        <v>0</v>
      </c>
      <c r="AA858" s="9">
        <f>STATS1003B!AA898/1000</f>
        <v>528.8279399999999</v>
      </c>
      <c r="AB858" s="9">
        <f>STATS1003B!AB898/1000</f>
        <v>0</v>
      </c>
    </row>
    <row r="859" spans="1:28" x14ac:dyDescent="0.35">
      <c r="A859" s="36"/>
      <c r="B859" s="8"/>
      <c r="C859" s="7" t="s">
        <v>539</v>
      </c>
      <c r="D859" s="15" t="s">
        <v>54</v>
      </c>
      <c r="E859" s="9">
        <f>STATS1003B!E899/1000</f>
        <v>17180.944649999998</v>
      </c>
      <c r="F859" s="9">
        <f>STATS1003B!F899/1000</f>
        <v>0</v>
      </c>
      <c r="G859" s="9">
        <f>STATS1003B!G899/1000</f>
        <v>0</v>
      </c>
      <c r="H859" s="9">
        <f>STATS1003B!H899/1000</f>
        <v>0</v>
      </c>
      <c r="I859" s="9">
        <f>STATS1003B!I899/1000</f>
        <v>0</v>
      </c>
      <c r="J859" s="9">
        <f>STATS1003B!J899/1000</f>
        <v>0</v>
      </c>
      <c r="K859" s="9">
        <f>STATS1003B!K899/1000</f>
        <v>17180.944649999998</v>
      </c>
      <c r="L859" s="9">
        <f>STATS1003B!L899/1000</f>
        <v>0</v>
      </c>
      <c r="M859" s="9">
        <f>STATS1003B!M899/1000</f>
        <v>0</v>
      </c>
      <c r="N859" s="9">
        <f>STATS1003B!N899/1000</f>
        <v>17180.944649999998</v>
      </c>
      <c r="O859" s="9">
        <f>STATS1003B!O899/1000</f>
        <v>0</v>
      </c>
      <c r="P859" s="9">
        <f>STATS1003B!P899/1000</f>
        <v>17180.944649999998</v>
      </c>
      <c r="Q859" s="9">
        <f>STATS1003B!Q899/1000</f>
        <v>0</v>
      </c>
      <c r="R859" s="9">
        <f>STATS1003B!R899/1000</f>
        <v>0</v>
      </c>
      <c r="S859" s="9">
        <f>STATS1003B!S899/1000</f>
        <v>0</v>
      </c>
      <c r="T859" s="9">
        <f>STATS1003B!T899/1000</f>
        <v>0</v>
      </c>
      <c r="U859" s="9">
        <f>STATS1003B!U899/1000</f>
        <v>17180.944649999998</v>
      </c>
      <c r="V859" s="9">
        <f>STATS1003B!V899/1000</f>
        <v>17180.944649999998</v>
      </c>
      <c r="W859" s="9">
        <f>STATS1003B!W899/1000</f>
        <v>0</v>
      </c>
      <c r="X859" s="9">
        <f>STATS1003B!X899/1000</f>
        <v>17180.944649999998</v>
      </c>
      <c r="Y859" s="9">
        <f>STATS1003B!Y899/1000</f>
        <v>0</v>
      </c>
      <c r="Z859" s="9">
        <f>STATS1003B!Z899/1000</f>
        <v>0</v>
      </c>
      <c r="AA859" s="9">
        <f>STATS1003B!AA899/1000</f>
        <v>17180.944649999998</v>
      </c>
      <c r="AB859" s="9">
        <f>STATS1003B!AB899/1000</f>
        <v>0</v>
      </c>
    </row>
    <row r="860" spans="1:28" x14ac:dyDescent="0.35">
      <c r="A860" s="36"/>
      <c r="B860" s="8"/>
      <c r="C860" s="7" t="s">
        <v>545</v>
      </c>
      <c r="D860" s="15" t="s">
        <v>54</v>
      </c>
      <c r="E860" s="9">
        <f>STATS1003B!E900/1000</f>
        <v>2306.1060000000002</v>
      </c>
      <c r="F860" s="9">
        <f>STATS1003B!F900/1000</f>
        <v>0</v>
      </c>
      <c r="G860" s="9">
        <f>STATS1003B!G900/1000</f>
        <v>0</v>
      </c>
      <c r="H860" s="9">
        <f>STATS1003B!H900/1000</f>
        <v>0</v>
      </c>
      <c r="I860" s="9">
        <f>STATS1003B!I900/1000</f>
        <v>0</v>
      </c>
      <c r="J860" s="9">
        <f>STATS1003B!J900/1000</f>
        <v>0</v>
      </c>
      <c r="K860" s="9">
        <f>STATS1003B!K900/1000</f>
        <v>2306.1060000000002</v>
      </c>
      <c r="L860" s="9">
        <f>STATS1003B!L900/1000</f>
        <v>0</v>
      </c>
      <c r="M860" s="9">
        <f>STATS1003B!M900/1000</f>
        <v>0</v>
      </c>
      <c r="N860" s="9">
        <f>STATS1003B!N900/1000</f>
        <v>2306.1060000000002</v>
      </c>
      <c r="O860" s="9">
        <f>STATS1003B!O900/1000</f>
        <v>0</v>
      </c>
      <c r="P860" s="9">
        <f>STATS1003B!P900/1000</f>
        <v>2306.1060000000002</v>
      </c>
      <c r="Q860" s="9">
        <f>STATS1003B!Q900/1000</f>
        <v>0</v>
      </c>
      <c r="R860" s="9">
        <f>STATS1003B!R900/1000</f>
        <v>0</v>
      </c>
      <c r="S860" s="9">
        <f>STATS1003B!S900/1000</f>
        <v>0</v>
      </c>
      <c r="T860" s="9">
        <f>STATS1003B!T900/1000</f>
        <v>0</v>
      </c>
      <c r="U860" s="9">
        <f>STATS1003B!U900/1000</f>
        <v>2306.1060000000002</v>
      </c>
      <c r="V860" s="9">
        <f>STATS1003B!V900/1000</f>
        <v>2306.1060000000002</v>
      </c>
      <c r="W860" s="9">
        <f>STATS1003B!W900/1000</f>
        <v>0</v>
      </c>
      <c r="X860" s="9">
        <f>STATS1003B!X900/1000</f>
        <v>2306.1060000000002</v>
      </c>
      <c r="Y860" s="9">
        <f>STATS1003B!Y900/1000</f>
        <v>0</v>
      </c>
      <c r="Z860" s="9">
        <f>STATS1003B!Z900/1000</f>
        <v>0</v>
      </c>
      <c r="AA860" s="9">
        <f>STATS1003B!AA900/1000</f>
        <v>2306.1060000000002</v>
      </c>
      <c r="AB860" s="9">
        <f>STATS1003B!AB900/1000</f>
        <v>0</v>
      </c>
    </row>
    <row r="861" spans="1:28" x14ac:dyDescent="0.35">
      <c r="A861" s="36"/>
      <c r="B861" s="8"/>
      <c r="C861" s="7" t="s">
        <v>535</v>
      </c>
      <c r="D861" s="15" t="s">
        <v>54</v>
      </c>
      <c r="E861" s="9">
        <f>STATS1003B!E901/1000</f>
        <v>920.25599999999997</v>
      </c>
      <c r="F861" s="9">
        <f>STATS1003B!F901/1000</f>
        <v>920.25599999999997</v>
      </c>
      <c r="G861" s="9">
        <f>STATS1003B!G901/1000</f>
        <v>0</v>
      </c>
      <c r="H861" s="9">
        <f>STATS1003B!H901/1000</f>
        <v>920.25599999999997</v>
      </c>
      <c r="I861" s="9">
        <f>STATS1003B!I901/1000</f>
        <v>0</v>
      </c>
      <c r="J861" s="9">
        <f>STATS1003B!J901/1000</f>
        <v>920.25599999999997</v>
      </c>
      <c r="K861" s="9">
        <f>STATS1003B!K901/1000</f>
        <v>0</v>
      </c>
      <c r="L861" s="9">
        <f>STATS1003B!L901/1000</f>
        <v>0</v>
      </c>
      <c r="M861" s="9">
        <f>STATS1003B!M901/1000</f>
        <v>920.25599999999997</v>
      </c>
      <c r="N861" s="9">
        <f>STATS1003B!N901/1000</f>
        <v>0</v>
      </c>
      <c r="O861" s="9">
        <f>STATS1003B!O901/1000</f>
        <v>0</v>
      </c>
      <c r="P861" s="9">
        <f>STATS1003B!P901/1000</f>
        <v>0</v>
      </c>
      <c r="Q861" s="9">
        <f>STATS1003B!Q901/1000</f>
        <v>920.25599999999997</v>
      </c>
      <c r="R861" s="9">
        <f>STATS1003B!R901/1000</f>
        <v>0</v>
      </c>
      <c r="S861" s="9">
        <f>STATS1003B!S901/1000</f>
        <v>0</v>
      </c>
      <c r="T861" s="9">
        <f>STATS1003B!T901/1000</f>
        <v>0</v>
      </c>
      <c r="U861" s="9">
        <f>STATS1003B!U901/1000</f>
        <v>0</v>
      </c>
      <c r="V861" s="9">
        <f>STATS1003B!V901/1000</f>
        <v>920.25599999999997</v>
      </c>
      <c r="W861" s="9">
        <f>STATS1003B!W901/1000</f>
        <v>0</v>
      </c>
      <c r="X861" s="9">
        <f>STATS1003B!X901/1000</f>
        <v>920.25599999999997</v>
      </c>
      <c r="Y861" s="9">
        <f>STATS1003B!Y901/1000</f>
        <v>0</v>
      </c>
      <c r="Z861" s="9">
        <f>STATS1003B!Z901/1000</f>
        <v>0</v>
      </c>
      <c r="AA861" s="9">
        <f>STATS1003B!AA901/1000</f>
        <v>920.25599999999997</v>
      </c>
      <c r="AB861" s="9">
        <f>STATS1003B!AB901/1000</f>
        <v>0</v>
      </c>
    </row>
    <row r="862" spans="1:28" x14ac:dyDescent="0.35">
      <c r="A862" s="36"/>
      <c r="B862" s="8"/>
      <c r="C862" s="7" t="s">
        <v>557</v>
      </c>
      <c r="D862" s="15" t="s">
        <v>54</v>
      </c>
      <c r="E862" s="9">
        <f>STATS1003B!E902/1000</f>
        <v>4793.7550000000001</v>
      </c>
      <c r="F862" s="9">
        <f>STATS1003B!F902/1000</f>
        <v>4793.7550000000001</v>
      </c>
      <c r="G862" s="9">
        <f>STATS1003B!G902/1000</f>
        <v>0</v>
      </c>
      <c r="H862" s="9">
        <f>STATS1003B!H902/1000</f>
        <v>4793.7550000000001</v>
      </c>
      <c r="I862" s="9">
        <f>STATS1003B!I902/1000</f>
        <v>0</v>
      </c>
      <c r="J862" s="9">
        <f>STATS1003B!J902/1000</f>
        <v>4793.7550000000001</v>
      </c>
      <c r="K862" s="9">
        <f>STATS1003B!K902/1000</f>
        <v>0</v>
      </c>
      <c r="L862" s="9">
        <f>STATS1003B!L902/1000</f>
        <v>0</v>
      </c>
      <c r="M862" s="9">
        <f>STATS1003B!M902/1000</f>
        <v>4793.7550000000001</v>
      </c>
      <c r="N862" s="9">
        <f>STATS1003B!N902/1000</f>
        <v>0</v>
      </c>
      <c r="O862" s="9">
        <f>STATS1003B!O902/1000</f>
        <v>0</v>
      </c>
      <c r="P862" s="9">
        <f>STATS1003B!P902/1000</f>
        <v>0</v>
      </c>
      <c r="Q862" s="9">
        <f>STATS1003B!Q902/1000</f>
        <v>4793.7550000000001</v>
      </c>
      <c r="R862" s="9">
        <f>STATS1003B!R902/1000</f>
        <v>0</v>
      </c>
      <c r="S862" s="9">
        <f>STATS1003B!S902/1000</f>
        <v>0</v>
      </c>
      <c r="T862" s="9">
        <f>STATS1003B!T902/1000</f>
        <v>0</v>
      </c>
      <c r="U862" s="9">
        <f>STATS1003B!U902/1000</f>
        <v>0</v>
      </c>
      <c r="V862" s="9">
        <f>STATS1003B!V902/1000</f>
        <v>4793.7550000000001</v>
      </c>
      <c r="W862" s="9">
        <f>STATS1003B!W902/1000</f>
        <v>0</v>
      </c>
      <c r="X862" s="9">
        <f>STATS1003B!X902/1000</f>
        <v>4793.7550000000001</v>
      </c>
      <c r="Y862" s="9">
        <f>STATS1003B!Y902/1000</f>
        <v>0</v>
      </c>
      <c r="Z862" s="9">
        <f>STATS1003B!Z902/1000</f>
        <v>0</v>
      </c>
      <c r="AA862" s="9">
        <f>STATS1003B!AA902/1000</f>
        <v>4793.7550000000001</v>
      </c>
      <c r="AB862" s="9">
        <f>STATS1003B!AB902/1000</f>
        <v>0</v>
      </c>
    </row>
    <row r="863" spans="1:28" x14ac:dyDescent="0.35">
      <c r="A863" s="36"/>
      <c r="B863" s="8"/>
      <c r="C863" s="7" t="s">
        <v>535</v>
      </c>
      <c r="D863" s="15" t="s">
        <v>85</v>
      </c>
      <c r="E863" s="9">
        <f>STATS1003B!E903/1000</f>
        <v>1044.9000000000001</v>
      </c>
      <c r="F863" s="9">
        <f>STATS1003B!F903/1000</f>
        <v>1044.9000000000001</v>
      </c>
      <c r="G863" s="9">
        <f>STATS1003B!G903/1000</f>
        <v>0</v>
      </c>
      <c r="H863" s="9">
        <f>STATS1003B!H903/1000</f>
        <v>1044.9000000000001</v>
      </c>
      <c r="I863" s="9">
        <f>STATS1003B!I903/1000</f>
        <v>0</v>
      </c>
      <c r="J863" s="9">
        <f>STATS1003B!J903/1000</f>
        <v>1044.9000000000001</v>
      </c>
      <c r="K863" s="9">
        <f>STATS1003B!K903/1000</f>
        <v>0</v>
      </c>
      <c r="L863" s="9">
        <f>STATS1003B!L903/1000</f>
        <v>0</v>
      </c>
      <c r="M863" s="9">
        <f>STATS1003B!M903/1000</f>
        <v>1044.9000000000001</v>
      </c>
      <c r="N863" s="9">
        <f>STATS1003B!N903/1000</f>
        <v>0</v>
      </c>
      <c r="O863" s="9">
        <f>STATS1003B!O903/1000</f>
        <v>0</v>
      </c>
      <c r="P863" s="9">
        <f>STATS1003B!P903/1000</f>
        <v>0</v>
      </c>
      <c r="Q863" s="9">
        <f>STATS1003B!Q903/1000</f>
        <v>1044.9000000000001</v>
      </c>
      <c r="R863" s="9">
        <f>STATS1003B!R903/1000</f>
        <v>0</v>
      </c>
      <c r="S863" s="9">
        <f>STATS1003B!S903/1000</f>
        <v>0</v>
      </c>
      <c r="T863" s="9">
        <f>STATS1003B!T903/1000</f>
        <v>0</v>
      </c>
      <c r="U863" s="9">
        <f>STATS1003B!U903/1000</f>
        <v>0</v>
      </c>
      <c r="V863" s="9">
        <f>STATS1003B!V903/1000</f>
        <v>1044.9000000000001</v>
      </c>
      <c r="W863" s="9">
        <f>STATS1003B!W903/1000</f>
        <v>0</v>
      </c>
      <c r="X863" s="9">
        <f>STATS1003B!X903/1000</f>
        <v>1044.9000000000001</v>
      </c>
      <c r="Y863" s="9">
        <f>STATS1003B!Y903/1000</f>
        <v>0</v>
      </c>
      <c r="Z863" s="9">
        <f>STATS1003B!Z903/1000</f>
        <v>0</v>
      </c>
      <c r="AA863" s="9">
        <f>STATS1003B!AA903/1000</f>
        <v>1044.9000000000001</v>
      </c>
      <c r="AB863" s="9">
        <f>STATS1003B!AB903/1000</f>
        <v>0</v>
      </c>
    </row>
    <row r="864" spans="1:28" x14ac:dyDescent="0.35">
      <c r="A864" s="36"/>
      <c r="B864" s="8"/>
      <c r="C864" s="7" t="s">
        <v>660</v>
      </c>
      <c r="D864" s="15" t="s">
        <v>85</v>
      </c>
      <c r="E864" s="9">
        <f>STATS1003B!E904/1000</f>
        <v>600</v>
      </c>
      <c r="F864" s="9">
        <f>STATS1003B!F904/1000</f>
        <v>600</v>
      </c>
      <c r="G864" s="9">
        <f>STATS1003B!G904/1000</f>
        <v>0</v>
      </c>
      <c r="H864" s="9">
        <f>STATS1003B!H904/1000</f>
        <v>600</v>
      </c>
      <c r="I864" s="9">
        <f>STATS1003B!I904/1000</f>
        <v>0</v>
      </c>
      <c r="J864" s="9">
        <f>STATS1003B!J904/1000</f>
        <v>600</v>
      </c>
      <c r="K864" s="9">
        <f>STATS1003B!K904/1000</f>
        <v>0</v>
      </c>
      <c r="L864" s="9">
        <f>STATS1003B!L904/1000</f>
        <v>0</v>
      </c>
      <c r="M864" s="9">
        <f>STATS1003B!M904/1000</f>
        <v>600</v>
      </c>
      <c r="N864" s="9">
        <f>STATS1003B!N904/1000</f>
        <v>0</v>
      </c>
      <c r="O864" s="9">
        <f>STATS1003B!O904/1000</f>
        <v>0</v>
      </c>
      <c r="P864" s="9">
        <f>STATS1003B!P904/1000</f>
        <v>0</v>
      </c>
      <c r="Q864" s="9">
        <f>STATS1003B!Q904/1000</f>
        <v>600</v>
      </c>
      <c r="R864" s="9">
        <f>STATS1003B!R904/1000</f>
        <v>0</v>
      </c>
      <c r="S864" s="9">
        <f>STATS1003B!S904/1000</f>
        <v>0</v>
      </c>
      <c r="T864" s="9">
        <f>STATS1003B!T904/1000</f>
        <v>0</v>
      </c>
      <c r="U864" s="9">
        <f>STATS1003B!U904/1000</f>
        <v>0</v>
      </c>
      <c r="V864" s="9">
        <f>STATS1003B!V904/1000</f>
        <v>600</v>
      </c>
      <c r="W864" s="9">
        <f>STATS1003B!W904/1000</f>
        <v>0</v>
      </c>
      <c r="X864" s="9">
        <f>STATS1003B!X904/1000</f>
        <v>600</v>
      </c>
      <c r="Y864" s="9">
        <f>STATS1003B!Y904/1000</f>
        <v>0</v>
      </c>
      <c r="Z864" s="9">
        <f>STATS1003B!Z904/1000</f>
        <v>0</v>
      </c>
      <c r="AA864" s="9">
        <f>STATS1003B!AA904/1000</f>
        <v>600</v>
      </c>
      <c r="AB864" s="9">
        <f>STATS1003B!AB904/1000</f>
        <v>0</v>
      </c>
    </row>
    <row r="865" spans="1:28" x14ac:dyDescent="0.35">
      <c r="A865" s="36"/>
      <c r="B865" s="8"/>
      <c r="C865" s="7" t="s">
        <v>660</v>
      </c>
      <c r="D865" s="15" t="s">
        <v>128</v>
      </c>
      <c r="E865" s="9">
        <f>STATS1003B!E905/1000</f>
        <v>750</v>
      </c>
      <c r="F865" s="9">
        <f>STATS1003B!F905/1000</f>
        <v>750</v>
      </c>
      <c r="G865" s="9">
        <f>STATS1003B!G905/1000</f>
        <v>0</v>
      </c>
      <c r="H865" s="9">
        <f>STATS1003B!H905/1000</f>
        <v>750</v>
      </c>
      <c r="I865" s="9">
        <f>STATS1003B!I905/1000</f>
        <v>0</v>
      </c>
      <c r="J865" s="9">
        <f>STATS1003B!J905/1000</f>
        <v>750</v>
      </c>
      <c r="K865" s="9">
        <f>STATS1003B!K905/1000</f>
        <v>0</v>
      </c>
      <c r="L865" s="9">
        <f>STATS1003B!L905/1000</f>
        <v>0</v>
      </c>
      <c r="M865" s="9">
        <f>STATS1003B!M905/1000</f>
        <v>750</v>
      </c>
      <c r="N865" s="9">
        <f>STATS1003B!N905/1000</f>
        <v>0</v>
      </c>
      <c r="O865" s="9">
        <f>STATS1003B!O905/1000</f>
        <v>0</v>
      </c>
      <c r="P865" s="9">
        <f>STATS1003B!P905/1000</f>
        <v>0</v>
      </c>
      <c r="Q865" s="9">
        <f>STATS1003B!Q905/1000</f>
        <v>750</v>
      </c>
      <c r="R865" s="9">
        <f>STATS1003B!R905/1000</f>
        <v>0</v>
      </c>
      <c r="S865" s="9">
        <f>STATS1003B!S905/1000</f>
        <v>0</v>
      </c>
      <c r="T865" s="9">
        <f>STATS1003B!T905/1000</f>
        <v>0</v>
      </c>
      <c r="U865" s="9">
        <f>STATS1003B!U905/1000</f>
        <v>0</v>
      </c>
      <c r="V865" s="9">
        <f>STATS1003B!V905/1000</f>
        <v>750</v>
      </c>
      <c r="W865" s="9">
        <f>STATS1003B!W905/1000</f>
        <v>0</v>
      </c>
      <c r="X865" s="9">
        <f>STATS1003B!X905/1000</f>
        <v>750</v>
      </c>
      <c r="Y865" s="9">
        <f>STATS1003B!Y905/1000</f>
        <v>0</v>
      </c>
      <c r="Z865" s="9">
        <f>STATS1003B!Z905/1000</f>
        <v>0</v>
      </c>
      <c r="AA865" s="9">
        <f>STATS1003B!AA905/1000</f>
        <v>750</v>
      </c>
      <c r="AB865" s="9">
        <f>STATS1003B!AB905/1000</f>
        <v>0</v>
      </c>
    </row>
    <row r="866" spans="1:28" x14ac:dyDescent="0.35">
      <c r="A866" s="36"/>
      <c r="B866" s="8"/>
      <c r="C866" s="7" t="s">
        <v>535</v>
      </c>
      <c r="D866" s="15" t="s">
        <v>88</v>
      </c>
      <c r="E866" s="9">
        <f>STATS1003B!E906/1000</f>
        <v>3418.7395299999998</v>
      </c>
      <c r="F866" s="9">
        <f>STATS1003B!F906/1000</f>
        <v>3418.7395299999998</v>
      </c>
      <c r="G866" s="9">
        <f>STATS1003B!G906/1000</f>
        <v>0</v>
      </c>
      <c r="H866" s="9">
        <f>STATS1003B!H906/1000</f>
        <v>3418.7395299999998</v>
      </c>
      <c r="I866" s="9">
        <f>STATS1003B!I906/1000</f>
        <v>0</v>
      </c>
      <c r="J866" s="9">
        <f>STATS1003B!J906/1000</f>
        <v>3418.7395299999998</v>
      </c>
      <c r="K866" s="9">
        <f>STATS1003B!K906/1000</f>
        <v>0</v>
      </c>
      <c r="L866" s="9">
        <f>STATS1003B!L906/1000</f>
        <v>0</v>
      </c>
      <c r="M866" s="9">
        <f>STATS1003B!M906/1000</f>
        <v>3418.7395299999998</v>
      </c>
      <c r="N866" s="9">
        <f>STATS1003B!N906/1000</f>
        <v>0</v>
      </c>
      <c r="O866" s="9">
        <f>STATS1003B!O906/1000</f>
        <v>0</v>
      </c>
      <c r="P866" s="9">
        <f>STATS1003B!P906/1000</f>
        <v>0</v>
      </c>
      <c r="Q866" s="9">
        <f>STATS1003B!Q906/1000</f>
        <v>3418.7395299999998</v>
      </c>
      <c r="R866" s="9">
        <f>STATS1003B!R906/1000</f>
        <v>0</v>
      </c>
      <c r="S866" s="9">
        <f>STATS1003B!S906/1000</f>
        <v>0</v>
      </c>
      <c r="T866" s="9">
        <f>STATS1003B!T906/1000</f>
        <v>0</v>
      </c>
      <c r="U866" s="9">
        <f>STATS1003B!U906/1000</f>
        <v>0</v>
      </c>
      <c r="V866" s="9">
        <f>STATS1003B!V906/1000</f>
        <v>3418.7395299999998</v>
      </c>
      <c r="W866" s="9">
        <f>STATS1003B!W906/1000</f>
        <v>0</v>
      </c>
      <c r="X866" s="9">
        <f>STATS1003B!X906/1000</f>
        <v>3418.7395299999998</v>
      </c>
      <c r="Y866" s="9">
        <f>STATS1003B!Y906/1000</f>
        <v>0</v>
      </c>
      <c r="Z866" s="9">
        <f>STATS1003B!Z906/1000</f>
        <v>0</v>
      </c>
      <c r="AA866" s="9">
        <f>STATS1003B!AA906/1000</f>
        <v>3418.7395299999998</v>
      </c>
      <c r="AB866" s="9">
        <f>STATS1003B!AB906/1000</f>
        <v>0</v>
      </c>
    </row>
    <row r="867" spans="1:28" x14ac:dyDescent="0.35">
      <c r="A867" s="36"/>
      <c r="B867" s="8"/>
      <c r="C867" s="7" t="s">
        <v>535</v>
      </c>
      <c r="D867" s="15" t="s">
        <v>108</v>
      </c>
      <c r="E867" s="9">
        <f>STATS1003B!E907/1000</f>
        <v>8753.9118100000014</v>
      </c>
      <c r="F867" s="9">
        <f>STATS1003B!F907/1000</f>
        <v>8753.9118100000014</v>
      </c>
      <c r="G867" s="9">
        <f>STATS1003B!G907/1000</f>
        <v>0</v>
      </c>
      <c r="H867" s="9">
        <f>STATS1003B!H907/1000</f>
        <v>8753.9118100000014</v>
      </c>
      <c r="I867" s="9">
        <f>STATS1003B!I907/1000</f>
        <v>0</v>
      </c>
      <c r="J867" s="9">
        <f>STATS1003B!J907/1000</f>
        <v>8753.9118100000014</v>
      </c>
      <c r="K867" s="9">
        <f>STATS1003B!K907/1000</f>
        <v>0</v>
      </c>
      <c r="L867" s="9">
        <f>STATS1003B!L907/1000</f>
        <v>0</v>
      </c>
      <c r="M867" s="9">
        <f>STATS1003B!M907/1000</f>
        <v>8753.9118100000014</v>
      </c>
      <c r="N867" s="9">
        <f>STATS1003B!N907/1000</f>
        <v>0</v>
      </c>
      <c r="O867" s="9">
        <f>STATS1003B!O907/1000</f>
        <v>0</v>
      </c>
      <c r="P867" s="9">
        <f>STATS1003B!P907/1000</f>
        <v>0</v>
      </c>
      <c r="Q867" s="9">
        <f>STATS1003B!Q907/1000</f>
        <v>8753.9118100000014</v>
      </c>
      <c r="R867" s="9">
        <f>STATS1003B!R907/1000</f>
        <v>0</v>
      </c>
      <c r="S867" s="9">
        <f>STATS1003B!S907/1000</f>
        <v>0</v>
      </c>
      <c r="T867" s="9">
        <f>STATS1003B!T907/1000</f>
        <v>0</v>
      </c>
      <c r="U867" s="9">
        <f>STATS1003B!U907/1000</f>
        <v>0</v>
      </c>
      <c r="V867" s="9">
        <f>STATS1003B!V907/1000</f>
        <v>8753.9118100000014</v>
      </c>
      <c r="W867" s="9">
        <f>STATS1003B!W907/1000</f>
        <v>0</v>
      </c>
      <c r="X867" s="9">
        <f>STATS1003B!X907/1000</f>
        <v>8753.9118100000014</v>
      </c>
      <c r="Y867" s="9">
        <f>STATS1003B!Y907/1000</f>
        <v>0</v>
      </c>
      <c r="Z867" s="9">
        <f>STATS1003B!Z907/1000</f>
        <v>0</v>
      </c>
      <c r="AA867" s="9">
        <f>STATS1003B!AA907/1000</f>
        <v>8753.9118100000014</v>
      </c>
      <c r="AB867" s="9">
        <f>STATS1003B!AB907/1000</f>
        <v>0</v>
      </c>
    </row>
    <row r="868" spans="1:28" x14ac:dyDescent="0.35">
      <c r="A868" s="36"/>
      <c r="B868" s="8"/>
      <c r="C868" s="7" t="s">
        <v>535</v>
      </c>
      <c r="D868" s="15" t="s">
        <v>58</v>
      </c>
      <c r="E868" s="9">
        <f>STATS1003B!E908/1000</f>
        <v>2925.66</v>
      </c>
      <c r="F868" s="9">
        <f>STATS1003B!F908/1000</f>
        <v>2925.66</v>
      </c>
      <c r="G868" s="9">
        <f>STATS1003B!G908/1000</f>
        <v>0</v>
      </c>
      <c r="H868" s="9">
        <f>STATS1003B!H908/1000</f>
        <v>2925.66</v>
      </c>
      <c r="I868" s="9">
        <f>STATS1003B!I908/1000</f>
        <v>0</v>
      </c>
      <c r="J868" s="9">
        <f>STATS1003B!J908/1000</f>
        <v>2925.66</v>
      </c>
      <c r="K868" s="9">
        <f>STATS1003B!K908/1000</f>
        <v>0</v>
      </c>
      <c r="L868" s="9">
        <f>STATS1003B!L908/1000</f>
        <v>0</v>
      </c>
      <c r="M868" s="9">
        <f>STATS1003B!M908/1000</f>
        <v>2925.66</v>
      </c>
      <c r="N868" s="9">
        <f>STATS1003B!N908/1000</f>
        <v>0</v>
      </c>
      <c r="O868" s="9">
        <f>STATS1003B!O908/1000</f>
        <v>0</v>
      </c>
      <c r="P868" s="9">
        <f>STATS1003B!P908/1000</f>
        <v>0</v>
      </c>
      <c r="Q868" s="9">
        <f>STATS1003B!Q908/1000</f>
        <v>2925.66</v>
      </c>
      <c r="R868" s="9">
        <f>STATS1003B!R908/1000</f>
        <v>0</v>
      </c>
      <c r="S868" s="9">
        <f>STATS1003B!S908/1000</f>
        <v>0</v>
      </c>
      <c r="T868" s="9">
        <f>STATS1003B!T908/1000</f>
        <v>0</v>
      </c>
      <c r="U868" s="9">
        <f>STATS1003B!U908/1000</f>
        <v>0</v>
      </c>
      <c r="V868" s="9">
        <f>STATS1003B!V908/1000</f>
        <v>2925.66</v>
      </c>
      <c r="W868" s="9">
        <f>STATS1003B!W908/1000</f>
        <v>0</v>
      </c>
      <c r="X868" s="9">
        <f>STATS1003B!X908/1000</f>
        <v>2925.66</v>
      </c>
      <c r="Y868" s="9">
        <f>STATS1003B!Y908/1000</f>
        <v>0</v>
      </c>
      <c r="Z868" s="9">
        <f>STATS1003B!Z908/1000</f>
        <v>0</v>
      </c>
      <c r="AA868" s="9">
        <f>STATS1003B!AA908/1000</f>
        <v>2925.66</v>
      </c>
      <c r="AB868" s="9">
        <f>STATS1003B!AB908/1000</f>
        <v>0</v>
      </c>
    </row>
    <row r="869" spans="1:28" x14ac:dyDescent="0.35">
      <c r="A869" s="36"/>
      <c r="B869" s="8"/>
      <c r="C869" s="7" t="s">
        <v>535</v>
      </c>
      <c r="D869" s="15" t="s">
        <v>60</v>
      </c>
      <c r="E869" s="9">
        <f>STATS1003B!E909/1000</f>
        <v>5629.152</v>
      </c>
      <c r="F869" s="9">
        <f>STATS1003B!F909/1000</f>
        <v>5629.152</v>
      </c>
      <c r="G869" s="9">
        <f>STATS1003B!G909/1000</f>
        <v>0</v>
      </c>
      <c r="H869" s="9">
        <f>STATS1003B!H909/1000</f>
        <v>5629.152</v>
      </c>
      <c r="I869" s="9">
        <f>STATS1003B!I909/1000</f>
        <v>0</v>
      </c>
      <c r="J869" s="9">
        <f>STATS1003B!J909/1000</f>
        <v>5629.152</v>
      </c>
      <c r="K869" s="9">
        <f>STATS1003B!K909/1000</f>
        <v>0</v>
      </c>
      <c r="L869" s="9">
        <f>STATS1003B!L909/1000</f>
        <v>0</v>
      </c>
      <c r="M869" s="9">
        <f>STATS1003B!M909/1000</f>
        <v>5629.152</v>
      </c>
      <c r="N869" s="9">
        <f>STATS1003B!N909/1000</f>
        <v>0</v>
      </c>
      <c r="O869" s="9">
        <f>STATS1003B!O909/1000</f>
        <v>0</v>
      </c>
      <c r="P869" s="9">
        <f>STATS1003B!P909/1000</f>
        <v>0</v>
      </c>
      <c r="Q869" s="9">
        <f>STATS1003B!Q909/1000</f>
        <v>5629.152</v>
      </c>
      <c r="R869" s="9">
        <f>STATS1003B!R909/1000</f>
        <v>0</v>
      </c>
      <c r="S869" s="9">
        <f>STATS1003B!S909/1000</f>
        <v>0</v>
      </c>
      <c r="T869" s="9">
        <f>STATS1003B!T909/1000</f>
        <v>0</v>
      </c>
      <c r="U869" s="9">
        <f>STATS1003B!U909/1000</f>
        <v>0</v>
      </c>
      <c r="V869" s="9">
        <f>STATS1003B!V909/1000</f>
        <v>5629.152</v>
      </c>
      <c r="W869" s="9">
        <f>STATS1003B!W909/1000</f>
        <v>0</v>
      </c>
      <c r="X869" s="9">
        <f>STATS1003B!X909/1000</f>
        <v>5629.152</v>
      </c>
      <c r="Y869" s="9">
        <f>STATS1003B!Y909/1000</f>
        <v>0</v>
      </c>
      <c r="Z869" s="9">
        <f>STATS1003B!Z909/1000</f>
        <v>0</v>
      </c>
      <c r="AA869" s="9">
        <f>STATS1003B!AA909/1000</f>
        <v>5629.152</v>
      </c>
      <c r="AB869" s="9">
        <f>STATS1003B!AB909/1000</f>
        <v>0</v>
      </c>
    </row>
    <row r="870" spans="1:28" x14ac:dyDescent="0.35">
      <c r="A870" s="36"/>
      <c r="B870" s="8"/>
      <c r="C870" s="14" t="s">
        <v>661</v>
      </c>
      <c r="D870" s="14" t="s">
        <v>194</v>
      </c>
      <c r="E870" s="9">
        <f>STATS1003B!E910/1000</f>
        <v>637.42565999999999</v>
      </c>
      <c r="F870" s="9">
        <f>STATS1003B!F910/1000</f>
        <v>637.42565999999999</v>
      </c>
      <c r="G870" s="9">
        <f>STATS1003B!G910/1000</f>
        <v>0</v>
      </c>
      <c r="H870" s="9">
        <f>STATS1003B!H910/1000</f>
        <v>637.42565999999999</v>
      </c>
      <c r="I870" s="9">
        <f>STATS1003B!I910/1000</f>
        <v>0</v>
      </c>
      <c r="J870" s="9">
        <f>STATS1003B!J910/1000</f>
        <v>637.42565999999999</v>
      </c>
      <c r="K870" s="9">
        <f>STATS1003B!K910/1000</f>
        <v>0</v>
      </c>
      <c r="L870" s="9">
        <f>STATS1003B!L910/1000</f>
        <v>0</v>
      </c>
      <c r="M870" s="9">
        <f>STATS1003B!M910/1000</f>
        <v>637.42565999999999</v>
      </c>
      <c r="N870" s="9">
        <f>STATS1003B!N910/1000</f>
        <v>0</v>
      </c>
      <c r="O870" s="9">
        <f>STATS1003B!O910/1000</f>
        <v>0</v>
      </c>
      <c r="P870" s="9">
        <f>STATS1003B!P910/1000</f>
        <v>0</v>
      </c>
      <c r="Q870" s="9">
        <f>STATS1003B!Q910/1000</f>
        <v>637.42565999999999</v>
      </c>
      <c r="R870" s="9">
        <f>STATS1003B!R910/1000</f>
        <v>0</v>
      </c>
      <c r="S870" s="9">
        <f>STATS1003B!S910/1000</f>
        <v>0</v>
      </c>
      <c r="T870" s="9">
        <f>STATS1003B!T910/1000</f>
        <v>0</v>
      </c>
      <c r="U870" s="9">
        <f>STATS1003B!U910/1000</f>
        <v>0</v>
      </c>
      <c r="V870" s="9">
        <f>STATS1003B!V910/1000</f>
        <v>637.42565999999999</v>
      </c>
      <c r="W870" s="9">
        <f>STATS1003B!W910/1000</f>
        <v>0</v>
      </c>
      <c r="X870" s="9">
        <f>STATS1003B!X910/1000</f>
        <v>637.42565999999999</v>
      </c>
      <c r="Y870" s="9">
        <f>STATS1003B!Y910/1000</f>
        <v>0</v>
      </c>
      <c r="Z870" s="9">
        <f>STATS1003B!Z910/1000</f>
        <v>0</v>
      </c>
      <c r="AA870" s="9">
        <f>STATS1003B!AA910/1000</f>
        <v>637.42565999999999</v>
      </c>
      <c r="AB870" s="9">
        <f>STATS1003B!AB910/1000</f>
        <v>0</v>
      </c>
    </row>
    <row r="871" spans="1:28" x14ac:dyDescent="0.35">
      <c r="A871" s="36"/>
      <c r="B871" s="8"/>
      <c r="C871" s="14" t="s">
        <v>621</v>
      </c>
      <c r="D871" s="21" t="s">
        <v>73</v>
      </c>
      <c r="E871" s="9">
        <f>STATS1003B!E911/1000</f>
        <v>1513</v>
      </c>
      <c r="F871" s="9">
        <f>STATS1003B!F911/1000</f>
        <v>1513</v>
      </c>
      <c r="G871" s="9">
        <f>STATS1003B!G911/1000</f>
        <v>0</v>
      </c>
      <c r="H871" s="9">
        <f>STATS1003B!H911/1000</f>
        <v>1513</v>
      </c>
      <c r="I871" s="9">
        <f>STATS1003B!I911/1000</f>
        <v>0</v>
      </c>
      <c r="J871" s="9">
        <f>STATS1003B!J911/1000</f>
        <v>1513</v>
      </c>
      <c r="K871" s="9">
        <f>STATS1003B!K911/1000</f>
        <v>0</v>
      </c>
      <c r="L871" s="9">
        <f>STATS1003B!L911/1000</f>
        <v>0</v>
      </c>
      <c r="M871" s="9">
        <f>STATS1003B!M911/1000</f>
        <v>1513</v>
      </c>
      <c r="N871" s="9">
        <f>STATS1003B!N911/1000</f>
        <v>0</v>
      </c>
      <c r="O871" s="9">
        <f>STATS1003B!O911/1000</f>
        <v>0</v>
      </c>
      <c r="P871" s="9">
        <f>STATS1003B!P911/1000</f>
        <v>0</v>
      </c>
      <c r="Q871" s="9">
        <f>STATS1003B!Q911/1000</f>
        <v>1513</v>
      </c>
      <c r="R871" s="9">
        <f>STATS1003B!R911/1000</f>
        <v>0</v>
      </c>
      <c r="S871" s="9">
        <f>STATS1003B!S911/1000</f>
        <v>0</v>
      </c>
      <c r="T871" s="9">
        <f>STATS1003B!T911/1000</f>
        <v>0</v>
      </c>
      <c r="U871" s="9">
        <f>STATS1003B!U911/1000</f>
        <v>0</v>
      </c>
      <c r="V871" s="9">
        <f>STATS1003B!V911/1000</f>
        <v>1513</v>
      </c>
      <c r="W871" s="9">
        <f>STATS1003B!W911/1000</f>
        <v>0</v>
      </c>
      <c r="X871" s="9">
        <f>STATS1003B!X911/1000</f>
        <v>1513</v>
      </c>
      <c r="Y871" s="9">
        <f>STATS1003B!Y911/1000</f>
        <v>0</v>
      </c>
      <c r="Z871" s="9">
        <f>STATS1003B!Z911/1000</f>
        <v>0</v>
      </c>
      <c r="AA871" s="9">
        <f>STATS1003B!AA911/1000</f>
        <v>1513</v>
      </c>
      <c r="AB871" s="9">
        <f>STATS1003B!AB911/1000</f>
        <v>0</v>
      </c>
    </row>
    <row r="872" spans="1:28" x14ac:dyDescent="0.35">
      <c r="A872" s="36"/>
      <c r="B872" s="8"/>
      <c r="C872" s="7" t="s">
        <v>535</v>
      </c>
      <c r="D872" s="15" t="s">
        <v>61</v>
      </c>
      <c r="E872" s="9">
        <f>STATS1003B!E912/1000</f>
        <v>1280</v>
      </c>
      <c r="F872" s="9">
        <f>STATS1003B!F912/1000</f>
        <v>1280</v>
      </c>
      <c r="G872" s="9">
        <f>STATS1003B!G912/1000</f>
        <v>0</v>
      </c>
      <c r="H872" s="9">
        <f>STATS1003B!H912/1000</f>
        <v>1280</v>
      </c>
      <c r="I872" s="9">
        <f>STATS1003B!I912/1000</f>
        <v>0</v>
      </c>
      <c r="J872" s="9">
        <f>STATS1003B!J912/1000</f>
        <v>1280</v>
      </c>
      <c r="K872" s="9">
        <f>STATS1003B!K912/1000</f>
        <v>0</v>
      </c>
      <c r="L872" s="9">
        <f>STATS1003B!L912/1000</f>
        <v>0</v>
      </c>
      <c r="M872" s="9">
        <f>STATS1003B!M912/1000</f>
        <v>1280</v>
      </c>
      <c r="N872" s="9">
        <f>STATS1003B!N912/1000</f>
        <v>0</v>
      </c>
      <c r="O872" s="9">
        <f>STATS1003B!O912/1000</f>
        <v>0</v>
      </c>
      <c r="P872" s="9">
        <f>STATS1003B!P912/1000</f>
        <v>0</v>
      </c>
      <c r="Q872" s="9">
        <f>STATS1003B!Q912/1000</f>
        <v>1280</v>
      </c>
      <c r="R872" s="9">
        <f>STATS1003B!R912/1000</f>
        <v>0</v>
      </c>
      <c r="S872" s="9">
        <f>STATS1003B!S912/1000</f>
        <v>0</v>
      </c>
      <c r="T872" s="9">
        <f>STATS1003B!T912/1000</f>
        <v>0</v>
      </c>
      <c r="U872" s="9">
        <f>STATS1003B!U912/1000</f>
        <v>0</v>
      </c>
      <c r="V872" s="9">
        <f>STATS1003B!V912/1000</f>
        <v>1280</v>
      </c>
      <c r="W872" s="9">
        <f>STATS1003B!W912/1000</f>
        <v>0</v>
      </c>
      <c r="X872" s="9">
        <f>STATS1003B!X912/1000</f>
        <v>1280</v>
      </c>
      <c r="Y872" s="9">
        <f>STATS1003B!Y912/1000</f>
        <v>0</v>
      </c>
      <c r="Z872" s="9">
        <f>STATS1003B!Z912/1000</f>
        <v>0</v>
      </c>
      <c r="AA872" s="9">
        <f>STATS1003B!AA912/1000</f>
        <v>1280</v>
      </c>
      <c r="AB872" s="9">
        <f>STATS1003B!AB912/1000</f>
        <v>0</v>
      </c>
    </row>
    <row r="873" spans="1:28" x14ac:dyDescent="0.35">
      <c r="A873" s="36"/>
      <c r="B873" s="8"/>
      <c r="C873" s="13" t="s">
        <v>933</v>
      </c>
      <c r="D873" s="16" t="s">
        <v>1072</v>
      </c>
      <c r="E873" s="9">
        <f>STATS1003B!E914/1000</f>
        <v>2245.7029500000003</v>
      </c>
      <c r="F873" s="9">
        <f>STATS1003B!F914/1000</f>
        <v>2245.7029500000003</v>
      </c>
      <c r="G873" s="9">
        <f>STATS1003B!G914/1000</f>
        <v>0</v>
      </c>
      <c r="H873" s="9">
        <f>STATS1003B!H914/1000</f>
        <v>2245.7029500000003</v>
      </c>
      <c r="I873" s="9">
        <f>STATS1003B!I914/1000</f>
        <v>0</v>
      </c>
      <c r="J873" s="9">
        <f>STATS1003B!J914/1000</f>
        <v>0</v>
      </c>
      <c r="K873" s="9">
        <f>STATS1003B!K914/1000</f>
        <v>0</v>
      </c>
      <c r="L873" s="9">
        <f>STATS1003B!L914/1000</f>
        <v>0</v>
      </c>
      <c r="M873" s="9">
        <f>STATS1003B!M914/1000</f>
        <v>2245.7029500000003</v>
      </c>
      <c r="N873" s="9">
        <f>STATS1003B!N914/1000</f>
        <v>0</v>
      </c>
      <c r="O873" s="9">
        <f>STATS1003B!O914/1000</f>
        <v>0</v>
      </c>
      <c r="P873" s="9">
        <f>STATS1003B!P914/1000</f>
        <v>0</v>
      </c>
      <c r="Q873" s="9">
        <f>STATS1003B!Q914/1000</f>
        <v>0</v>
      </c>
      <c r="R873" s="9">
        <f>STATS1003B!R914/1000</f>
        <v>0</v>
      </c>
      <c r="S873" s="9">
        <f>STATS1003B!S914/1000</f>
        <v>0</v>
      </c>
      <c r="T873" s="9">
        <f>STATS1003B!T914/1000</f>
        <v>0</v>
      </c>
      <c r="U873" s="9">
        <f>STATS1003B!U914/1000</f>
        <v>0</v>
      </c>
      <c r="V873" s="9">
        <f>STATS1003B!V914/1000</f>
        <v>2245.7029500000003</v>
      </c>
      <c r="W873" s="9">
        <f>STATS1003B!W914/1000</f>
        <v>0</v>
      </c>
      <c r="X873" s="9">
        <f>STATS1003B!X914/1000</f>
        <v>2245.7029500000003</v>
      </c>
      <c r="Y873" s="9">
        <f>STATS1003B!Y914/1000</f>
        <v>0</v>
      </c>
      <c r="Z873" s="9">
        <f>STATS1003B!Z914/1000</f>
        <v>0</v>
      </c>
      <c r="AA873" s="9">
        <f>STATS1003B!AA914/1000</f>
        <v>2245.7029500000003</v>
      </c>
      <c r="AB873" s="9">
        <f>STATS1003B!AB914/1000</f>
        <v>0</v>
      </c>
    </row>
    <row r="874" spans="1:28" x14ac:dyDescent="0.35">
      <c r="A874" s="36"/>
      <c r="B874" s="8"/>
      <c r="C874" s="14" t="s">
        <v>568</v>
      </c>
      <c r="D874" s="8"/>
      <c r="E874" s="9">
        <f>STATS1003B!E917/1000</f>
        <v>707.35249999999996</v>
      </c>
      <c r="F874" s="9">
        <f>STATS1003B!F917/1000</f>
        <v>707.35249999999996</v>
      </c>
      <c r="G874" s="9">
        <f>STATS1003B!G917/1000</f>
        <v>0</v>
      </c>
      <c r="H874" s="9">
        <f>STATS1003B!H917/1000</f>
        <v>707.35249999999996</v>
      </c>
      <c r="I874" s="9">
        <f>STATS1003B!I917/1000</f>
        <v>0</v>
      </c>
      <c r="J874" s="9">
        <f>STATS1003B!J917/1000</f>
        <v>707.35249999999996</v>
      </c>
      <c r="K874" s="9">
        <f>STATS1003B!K917/1000</f>
        <v>0</v>
      </c>
      <c r="L874" s="9">
        <f>STATS1003B!L917/1000</f>
        <v>0</v>
      </c>
      <c r="M874" s="9">
        <f>STATS1003B!M917/1000</f>
        <v>707.35249999999996</v>
      </c>
      <c r="N874" s="9">
        <f>STATS1003B!N917/1000</f>
        <v>0</v>
      </c>
      <c r="O874" s="9">
        <f>STATS1003B!O917/1000</f>
        <v>0</v>
      </c>
      <c r="P874" s="9">
        <f>STATS1003B!P917/1000</f>
        <v>0</v>
      </c>
      <c r="Q874" s="9">
        <f>STATS1003B!Q917/1000</f>
        <v>707.35249999999996</v>
      </c>
      <c r="R874" s="9">
        <f>STATS1003B!R917/1000</f>
        <v>0</v>
      </c>
      <c r="S874" s="9">
        <f>STATS1003B!S917/1000</f>
        <v>0</v>
      </c>
      <c r="T874" s="9">
        <f>STATS1003B!T917/1000</f>
        <v>0</v>
      </c>
      <c r="U874" s="9">
        <f>STATS1003B!U917/1000</f>
        <v>0</v>
      </c>
      <c r="V874" s="9">
        <f>STATS1003B!V917/1000</f>
        <v>707.35249999999996</v>
      </c>
      <c r="W874" s="9">
        <f>STATS1003B!W917/1000</f>
        <v>0</v>
      </c>
      <c r="X874" s="9">
        <f>STATS1003B!X917/1000</f>
        <v>707.35249999999996</v>
      </c>
      <c r="Y874" s="9">
        <f>STATS1003B!Y917/1000</f>
        <v>0</v>
      </c>
      <c r="Z874" s="9">
        <f>STATS1003B!Z917/1000</f>
        <v>0</v>
      </c>
      <c r="AA874" s="9">
        <f>STATS1003B!AA917/1000</f>
        <v>707.35249999999996</v>
      </c>
      <c r="AB874" s="9">
        <f>STATS1003B!AB917/1000</f>
        <v>0</v>
      </c>
    </row>
    <row r="875" spans="1:28" x14ac:dyDescent="0.35">
      <c r="A875" s="36"/>
      <c r="B875" s="8"/>
      <c r="C875" s="7" t="s">
        <v>662</v>
      </c>
      <c r="D875" s="8"/>
      <c r="E875" s="9">
        <f>STATS1003B!E918/1000</f>
        <v>850</v>
      </c>
      <c r="F875" s="9">
        <f>STATS1003B!F918/1000</f>
        <v>850</v>
      </c>
      <c r="G875" s="9">
        <f>STATS1003B!G918/1000</f>
        <v>0</v>
      </c>
      <c r="H875" s="9">
        <f>STATS1003B!H918/1000</f>
        <v>850</v>
      </c>
      <c r="I875" s="9">
        <f>STATS1003B!I918/1000</f>
        <v>0</v>
      </c>
      <c r="J875" s="9">
        <f>STATS1003B!J918/1000</f>
        <v>850</v>
      </c>
      <c r="K875" s="9">
        <f>STATS1003B!K918/1000</f>
        <v>0</v>
      </c>
      <c r="L875" s="9">
        <f>STATS1003B!L918/1000</f>
        <v>0</v>
      </c>
      <c r="M875" s="9">
        <f>STATS1003B!M918/1000</f>
        <v>850</v>
      </c>
      <c r="N875" s="9">
        <f>STATS1003B!N918/1000</f>
        <v>0</v>
      </c>
      <c r="O875" s="9">
        <f>STATS1003B!O918/1000</f>
        <v>0</v>
      </c>
      <c r="P875" s="9">
        <f>STATS1003B!P918/1000</f>
        <v>0</v>
      </c>
      <c r="Q875" s="9">
        <f>STATS1003B!Q918/1000</f>
        <v>850</v>
      </c>
      <c r="R875" s="9">
        <f>STATS1003B!R918/1000</f>
        <v>0</v>
      </c>
      <c r="S875" s="9">
        <f>STATS1003B!S918/1000</f>
        <v>0</v>
      </c>
      <c r="T875" s="9">
        <f>STATS1003B!T918/1000</f>
        <v>0</v>
      </c>
      <c r="U875" s="9">
        <f>STATS1003B!U918/1000</f>
        <v>0</v>
      </c>
      <c r="V875" s="9">
        <f>STATS1003B!V918/1000</f>
        <v>850</v>
      </c>
      <c r="W875" s="9">
        <f>STATS1003B!W918/1000</f>
        <v>0</v>
      </c>
      <c r="X875" s="9">
        <f>STATS1003B!X918/1000</f>
        <v>850</v>
      </c>
      <c r="Y875" s="9">
        <f>STATS1003B!Y918/1000</f>
        <v>0</v>
      </c>
      <c r="Z875" s="9">
        <f>STATS1003B!Z918/1000</f>
        <v>0</v>
      </c>
      <c r="AA875" s="9">
        <f>STATS1003B!AA918/1000</f>
        <v>850</v>
      </c>
      <c r="AB875" s="9">
        <f>STATS1003B!AB918/1000</f>
        <v>0</v>
      </c>
    </row>
    <row r="876" spans="1:28" x14ac:dyDescent="0.35">
      <c r="A876" s="36"/>
      <c r="B876" s="8"/>
      <c r="C876" s="7" t="s">
        <v>663</v>
      </c>
      <c r="D876" s="8"/>
      <c r="E876" s="9">
        <f>STATS1003B!E919/1000</f>
        <v>50</v>
      </c>
      <c r="F876" s="9">
        <f>STATS1003B!F919/1000</f>
        <v>50</v>
      </c>
      <c r="G876" s="9">
        <f>STATS1003B!G919/1000</f>
        <v>0</v>
      </c>
      <c r="H876" s="9">
        <f>STATS1003B!H919/1000</f>
        <v>50</v>
      </c>
      <c r="I876" s="9">
        <f>STATS1003B!I919/1000</f>
        <v>0</v>
      </c>
      <c r="J876" s="9">
        <f>STATS1003B!J919/1000</f>
        <v>50</v>
      </c>
      <c r="K876" s="9">
        <f>STATS1003B!K919/1000</f>
        <v>0</v>
      </c>
      <c r="L876" s="9">
        <f>STATS1003B!L919/1000</f>
        <v>0</v>
      </c>
      <c r="M876" s="9">
        <f>STATS1003B!M919/1000</f>
        <v>50</v>
      </c>
      <c r="N876" s="9">
        <f>STATS1003B!N919/1000</f>
        <v>0</v>
      </c>
      <c r="O876" s="9">
        <f>STATS1003B!O919/1000</f>
        <v>0</v>
      </c>
      <c r="P876" s="9">
        <f>STATS1003B!P919/1000</f>
        <v>0</v>
      </c>
      <c r="Q876" s="9">
        <f>STATS1003B!Q919/1000</f>
        <v>50</v>
      </c>
      <c r="R876" s="9">
        <f>STATS1003B!R919/1000</f>
        <v>0</v>
      </c>
      <c r="S876" s="9">
        <f>STATS1003B!S919/1000</f>
        <v>0</v>
      </c>
      <c r="T876" s="9">
        <f>STATS1003B!T919/1000</f>
        <v>0</v>
      </c>
      <c r="U876" s="9">
        <f>STATS1003B!U919/1000</f>
        <v>0</v>
      </c>
      <c r="V876" s="9">
        <f>STATS1003B!V919/1000</f>
        <v>50</v>
      </c>
      <c r="W876" s="9">
        <f>STATS1003B!W919/1000</f>
        <v>0</v>
      </c>
      <c r="X876" s="9">
        <f>STATS1003B!X919/1000</f>
        <v>50</v>
      </c>
      <c r="Y876" s="9">
        <f>STATS1003B!Y919/1000</f>
        <v>0</v>
      </c>
      <c r="Z876" s="9">
        <f>STATS1003B!Z919/1000</f>
        <v>0</v>
      </c>
      <c r="AA876" s="9">
        <f>STATS1003B!AA919/1000</f>
        <v>50</v>
      </c>
      <c r="AB876" s="9">
        <f>STATS1003B!AB919/1000</f>
        <v>0</v>
      </c>
    </row>
    <row r="877" spans="1:28" x14ac:dyDescent="0.35">
      <c r="A877" s="36"/>
      <c r="B877" s="8"/>
      <c r="C877" s="7" t="s">
        <v>606</v>
      </c>
      <c r="D877" s="8"/>
      <c r="E877" s="9">
        <f>STATS1003B!E920/1000</f>
        <v>4722.4857400000001</v>
      </c>
      <c r="F877" s="9">
        <f>STATS1003B!F920/1000</f>
        <v>4722.4857400000001</v>
      </c>
      <c r="G877" s="9">
        <f>STATS1003B!G920/1000</f>
        <v>0</v>
      </c>
      <c r="H877" s="9">
        <f>STATS1003B!H920/1000</f>
        <v>4722.4857400000001</v>
      </c>
      <c r="I877" s="9">
        <f>STATS1003B!I920/1000</f>
        <v>0</v>
      </c>
      <c r="J877" s="9">
        <f>STATS1003B!J920/1000</f>
        <v>4722.4857400000001</v>
      </c>
      <c r="K877" s="9">
        <f>STATS1003B!K920/1000</f>
        <v>0</v>
      </c>
      <c r="L877" s="9">
        <f>STATS1003B!L920/1000</f>
        <v>0</v>
      </c>
      <c r="M877" s="9">
        <f>STATS1003B!M920/1000</f>
        <v>4722.4857400000001</v>
      </c>
      <c r="N877" s="9">
        <f>STATS1003B!N920/1000</f>
        <v>0</v>
      </c>
      <c r="O877" s="9">
        <f>STATS1003B!O920/1000</f>
        <v>0</v>
      </c>
      <c r="P877" s="9">
        <f>STATS1003B!P920/1000</f>
        <v>0</v>
      </c>
      <c r="Q877" s="9">
        <f>STATS1003B!Q920/1000</f>
        <v>4722.4857400000001</v>
      </c>
      <c r="R877" s="9">
        <f>STATS1003B!R920/1000</f>
        <v>0</v>
      </c>
      <c r="S877" s="9">
        <f>STATS1003B!S920/1000</f>
        <v>0</v>
      </c>
      <c r="T877" s="9">
        <f>STATS1003B!T920/1000</f>
        <v>0</v>
      </c>
      <c r="U877" s="9">
        <f>STATS1003B!U920/1000</f>
        <v>0</v>
      </c>
      <c r="V877" s="9">
        <f>STATS1003B!V920/1000</f>
        <v>4722.4857400000001</v>
      </c>
      <c r="W877" s="9">
        <f>STATS1003B!W920/1000</f>
        <v>0</v>
      </c>
      <c r="X877" s="9">
        <f>STATS1003B!X920/1000</f>
        <v>4722.4857400000001</v>
      </c>
      <c r="Y877" s="9">
        <f>STATS1003B!Y920/1000</f>
        <v>0</v>
      </c>
      <c r="Z877" s="9">
        <f>STATS1003B!Z920/1000</f>
        <v>0</v>
      </c>
      <c r="AA877" s="9">
        <f>STATS1003B!AA920/1000</f>
        <v>4722.4857400000001</v>
      </c>
      <c r="AB877" s="9">
        <f>STATS1003B!AB920/1000</f>
        <v>0</v>
      </c>
    </row>
    <row r="878" spans="1:28" x14ac:dyDescent="0.35">
      <c r="A878" s="36"/>
      <c r="B878" s="8"/>
      <c r="C878" s="8"/>
      <c r="D878" s="8"/>
      <c r="E878" s="17" t="s">
        <v>29</v>
      </c>
      <c r="F878" s="17" t="s">
        <v>29</v>
      </c>
      <c r="G878" s="17" t="s">
        <v>29</v>
      </c>
      <c r="H878" s="17" t="s">
        <v>29</v>
      </c>
      <c r="I878" s="17" t="s">
        <v>29</v>
      </c>
      <c r="J878" s="17" t="s">
        <v>29</v>
      </c>
      <c r="K878" s="17" t="s">
        <v>29</v>
      </c>
      <c r="L878" s="17" t="s">
        <v>29</v>
      </c>
      <c r="M878" s="17" t="s">
        <v>29</v>
      </c>
      <c r="N878" s="17" t="s">
        <v>29</v>
      </c>
      <c r="O878" s="17" t="s">
        <v>29</v>
      </c>
      <c r="P878" s="17" t="s">
        <v>29</v>
      </c>
      <c r="Q878" s="17" t="s">
        <v>29</v>
      </c>
      <c r="R878" s="17" t="s">
        <v>29</v>
      </c>
      <c r="S878" s="17" t="s">
        <v>29</v>
      </c>
      <c r="T878" s="17" t="s">
        <v>29</v>
      </c>
      <c r="U878" s="17" t="s">
        <v>29</v>
      </c>
      <c r="V878" s="17" t="s">
        <v>29</v>
      </c>
      <c r="W878" s="17" t="s">
        <v>29</v>
      </c>
      <c r="X878" s="17" t="s">
        <v>29</v>
      </c>
      <c r="Y878" s="17" t="s">
        <v>29</v>
      </c>
      <c r="Z878" s="17" t="s">
        <v>29</v>
      </c>
      <c r="AA878" s="17" t="s">
        <v>29</v>
      </c>
      <c r="AB878" s="17" t="s">
        <v>29</v>
      </c>
    </row>
    <row r="879" spans="1:28" x14ac:dyDescent="0.35">
      <c r="A879" s="36"/>
      <c r="B879" s="8"/>
      <c r="C879" s="8"/>
      <c r="D879" s="8"/>
      <c r="E879" s="9">
        <f t="shared" ref="E879:Z879" si="64">SUM(E858:E878)</f>
        <v>60858.219779999999</v>
      </c>
      <c r="F879" s="9">
        <f t="shared" si="64"/>
        <v>41363.341190000006</v>
      </c>
      <c r="G879" s="9">
        <f t="shared" si="64"/>
        <v>0</v>
      </c>
      <c r="H879" s="9">
        <f t="shared" si="64"/>
        <v>41363.341190000006</v>
      </c>
      <c r="I879" s="9">
        <f t="shared" si="64"/>
        <v>0</v>
      </c>
      <c r="J879" s="9">
        <f t="shared" si="64"/>
        <v>39117.63824</v>
      </c>
      <c r="K879" s="9">
        <f t="shared" si="64"/>
        <v>19494.878589999997</v>
      </c>
      <c r="L879" s="9">
        <f t="shared" si="64"/>
        <v>0</v>
      </c>
      <c r="M879" s="9">
        <f t="shared" si="64"/>
        <v>41363.341190000006</v>
      </c>
      <c r="N879" s="9">
        <f t="shared" si="64"/>
        <v>19494.878589999997</v>
      </c>
      <c r="O879" s="9">
        <f t="shared" si="64"/>
        <v>0</v>
      </c>
      <c r="P879" s="9">
        <f t="shared" si="64"/>
        <v>19494.878589999997</v>
      </c>
      <c r="Q879" s="9">
        <f t="shared" si="64"/>
        <v>39117.63824</v>
      </c>
      <c r="R879" s="9">
        <f t="shared" si="64"/>
        <v>0</v>
      </c>
      <c r="S879" s="9">
        <f t="shared" si="64"/>
        <v>0</v>
      </c>
      <c r="T879" s="9">
        <f t="shared" si="64"/>
        <v>0</v>
      </c>
      <c r="U879" s="9">
        <f t="shared" si="64"/>
        <v>19494.878589999997</v>
      </c>
      <c r="V879" s="9">
        <f t="shared" si="64"/>
        <v>60858.219779999999</v>
      </c>
      <c r="W879" s="9">
        <f t="shared" si="64"/>
        <v>0</v>
      </c>
      <c r="X879" s="9">
        <f t="shared" si="64"/>
        <v>60858.219779999999</v>
      </c>
      <c r="Y879" s="9">
        <f t="shared" si="64"/>
        <v>0</v>
      </c>
      <c r="Z879" s="9">
        <f t="shared" si="64"/>
        <v>0</v>
      </c>
      <c r="AA879" s="9">
        <f>SUM(AA858:AA878)</f>
        <v>60858.219779999999</v>
      </c>
      <c r="AB879" s="9">
        <f>SUM(AB858:AB878)</f>
        <v>0</v>
      </c>
    </row>
    <row r="880" spans="1:28" x14ac:dyDescent="0.35">
      <c r="A880" s="36"/>
      <c r="B880" s="8"/>
      <c r="C880" s="8"/>
      <c r="D880" s="8"/>
      <c r="E880" s="17" t="s">
        <v>29</v>
      </c>
      <c r="F880" s="17" t="s">
        <v>29</v>
      </c>
      <c r="G880" s="17" t="s">
        <v>29</v>
      </c>
      <c r="H880" s="17" t="s">
        <v>29</v>
      </c>
      <c r="I880" s="17" t="s">
        <v>29</v>
      </c>
      <c r="J880" s="17" t="s">
        <v>29</v>
      </c>
      <c r="K880" s="17" t="s">
        <v>29</v>
      </c>
      <c r="L880" s="17" t="s">
        <v>29</v>
      </c>
      <c r="M880" s="17" t="s">
        <v>29</v>
      </c>
      <c r="N880" s="17" t="s">
        <v>29</v>
      </c>
      <c r="O880" s="17" t="s">
        <v>29</v>
      </c>
      <c r="P880" s="17" t="s">
        <v>29</v>
      </c>
      <c r="Q880" s="17" t="s">
        <v>29</v>
      </c>
      <c r="R880" s="17" t="s">
        <v>29</v>
      </c>
      <c r="S880" s="17" t="s">
        <v>29</v>
      </c>
      <c r="T880" s="17" t="s">
        <v>29</v>
      </c>
      <c r="U880" s="17" t="s">
        <v>29</v>
      </c>
      <c r="V880" s="17" t="s">
        <v>29</v>
      </c>
      <c r="W880" s="17" t="s">
        <v>29</v>
      </c>
      <c r="X880" s="17" t="s">
        <v>29</v>
      </c>
      <c r="Y880" s="17" t="s">
        <v>29</v>
      </c>
      <c r="Z880" s="17" t="s">
        <v>29</v>
      </c>
      <c r="AA880" s="17" t="s">
        <v>29</v>
      </c>
      <c r="AB880" s="17" t="s">
        <v>29</v>
      </c>
    </row>
    <row r="881" spans="1:28" x14ac:dyDescent="0.35">
      <c r="A881" s="38" t="s">
        <v>980</v>
      </c>
      <c r="B881" s="7" t="s">
        <v>664</v>
      </c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17"/>
      <c r="S881" s="17"/>
      <c r="T881" s="17"/>
      <c r="U881" s="17"/>
      <c r="V881" s="17"/>
      <c r="W881" s="17"/>
      <c r="X881" s="17"/>
      <c r="Y881" s="17"/>
      <c r="Z881" s="17"/>
    </row>
    <row r="882" spans="1:28" x14ac:dyDescent="0.35">
      <c r="A882" s="36"/>
      <c r="B882" s="8"/>
      <c r="C882" s="7" t="s">
        <v>539</v>
      </c>
      <c r="D882" s="15" t="s">
        <v>68</v>
      </c>
      <c r="E882" s="9">
        <f>STATS1003B!E925/1000</f>
        <v>472.3433</v>
      </c>
      <c r="F882" s="9">
        <f>STATS1003B!F925/1000</f>
        <v>0</v>
      </c>
      <c r="G882" s="9">
        <f>STATS1003B!G925/1000</f>
        <v>0</v>
      </c>
      <c r="H882" s="9">
        <f>STATS1003B!H925/1000</f>
        <v>0</v>
      </c>
      <c r="I882" s="9">
        <f>STATS1003B!I925/1000</f>
        <v>0</v>
      </c>
      <c r="J882" s="9">
        <f>STATS1003B!J925/1000</f>
        <v>0</v>
      </c>
      <c r="K882" s="9">
        <f>STATS1003B!K925/1000</f>
        <v>472.3433</v>
      </c>
      <c r="L882" s="9">
        <f>STATS1003B!L925/1000</f>
        <v>0</v>
      </c>
      <c r="M882" s="9">
        <f>STATS1003B!M925/1000</f>
        <v>0</v>
      </c>
      <c r="N882" s="9">
        <f>STATS1003B!N925/1000</f>
        <v>472.3433</v>
      </c>
      <c r="O882" s="9">
        <f>STATS1003B!O925/1000</f>
        <v>0</v>
      </c>
      <c r="P882" s="9">
        <f>STATS1003B!P925/1000</f>
        <v>472.3433</v>
      </c>
      <c r="Q882" s="9">
        <f>STATS1003B!Q925/1000</f>
        <v>0</v>
      </c>
      <c r="R882" s="9">
        <f>STATS1003B!R925/1000</f>
        <v>0</v>
      </c>
      <c r="S882" s="9">
        <f>STATS1003B!S925/1000</f>
        <v>0</v>
      </c>
      <c r="T882" s="9">
        <f>STATS1003B!T925/1000</f>
        <v>0</v>
      </c>
      <c r="U882" s="9">
        <f>STATS1003B!U925/1000</f>
        <v>472.3433</v>
      </c>
      <c r="V882" s="9">
        <f>STATS1003B!V925/1000</f>
        <v>472.3433</v>
      </c>
      <c r="W882" s="9">
        <f>STATS1003B!W925/1000</f>
        <v>0</v>
      </c>
      <c r="X882" s="9">
        <f>STATS1003B!X925/1000</f>
        <v>472.3433</v>
      </c>
      <c r="Y882" s="9">
        <f>STATS1003B!Y925/1000</f>
        <v>0</v>
      </c>
      <c r="Z882" s="9">
        <f>STATS1003B!Z925/1000</f>
        <v>0</v>
      </c>
      <c r="AA882" s="9">
        <f>STATS1003B!AA925/1000</f>
        <v>472.3433</v>
      </c>
      <c r="AB882" s="9">
        <f>STATS1003B!AB925/1000</f>
        <v>0</v>
      </c>
    </row>
    <row r="883" spans="1:28" x14ac:dyDescent="0.35">
      <c r="A883" s="36"/>
      <c r="B883" s="8"/>
      <c r="C883" s="7" t="s">
        <v>665</v>
      </c>
      <c r="D883" s="15" t="s">
        <v>68</v>
      </c>
      <c r="E883" s="9">
        <f>STATS1003B!E926/1000</f>
        <v>1700</v>
      </c>
      <c r="F883" s="9">
        <f>STATS1003B!F926/1000</f>
        <v>685.94758000000013</v>
      </c>
      <c r="G883" s="9">
        <f>STATS1003B!G926/1000</f>
        <v>0</v>
      </c>
      <c r="H883" s="9">
        <f>STATS1003B!H926/1000</f>
        <v>685.94758000000013</v>
      </c>
      <c r="I883" s="9">
        <f>STATS1003B!I926/1000</f>
        <v>0</v>
      </c>
      <c r="J883" s="9">
        <f>STATS1003B!J926/1000</f>
        <v>685.94758000000013</v>
      </c>
      <c r="K883" s="9">
        <f>STATS1003B!K926/1000</f>
        <v>1014.0524200000001</v>
      </c>
      <c r="L883" s="9">
        <f>STATS1003B!L926/1000</f>
        <v>0</v>
      </c>
      <c r="M883" s="9">
        <f>STATS1003B!M926/1000</f>
        <v>685.94758000000013</v>
      </c>
      <c r="N883" s="9">
        <f>STATS1003B!N926/1000</f>
        <v>1014.0524200000001</v>
      </c>
      <c r="O883" s="9">
        <f>STATS1003B!O926/1000</f>
        <v>0</v>
      </c>
      <c r="P883" s="9">
        <f>STATS1003B!P926/1000</f>
        <v>1014.0524200000001</v>
      </c>
      <c r="Q883" s="9">
        <f>STATS1003B!Q926/1000</f>
        <v>685.9475799999999</v>
      </c>
      <c r="R883" s="9">
        <f>STATS1003B!R926/1000</f>
        <v>0</v>
      </c>
      <c r="S883" s="9">
        <f>STATS1003B!S926/1000</f>
        <v>0</v>
      </c>
      <c r="T883" s="9">
        <f>STATS1003B!T926/1000</f>
        <v>0</v>
      </c>
      <c r="U883" s="9">
        <f>STATS1003B!U926/1000</f>
        <v>1014.0524200000001</v>
      </c>
      <c r="V883" s="9">
        <f>STATS1003B!V926/1000</f>
        <v>1700</v>
      </c>
      <c r="W883" s="9">
        <f>STATS1003B!W926/1000</f>
        <v>0</v>
      </c>
      <c r="X883" s="9">
        <f>STATS1003B!X926/1000</f>
        <v>1700</v>
      </c>
      <c r="Y883" s="9">
        <f>STATS1003B!Y926/1000</f>
        <v>0</v>
      </c>
      <c r="Z883" s="9">
        <f>STATS1003B!Z926/1000</f>
        <v>0</v>
      </c>
      <c r="AA883" s="9">
        <f>STATS1003B!AA926/1000</f>
        <v>1700</v>
      </c>
      <c r="AB883" s="9">
        <f>STATS1003B!AB926/1000</f>
        <v>0</v>
      </c>
    </row>
    <row r="884" spans="1:28" x14ac:dyDescent="0.35">
      <c r="A884" s="36"/>
      <c r="B884" s="8"/>
      <c r="C884" s="7" t="s">
        <v>665</v>
      </c>
      <c r="D884" s="15" t="s">
        <v>68</v>
      </c>
      <c r="E884" s="9">
        <f>STATS1003B!E927/1000</f>
        <v>2550</v>
      </c>
      <c r="F884" s="9">
        <f>STATS1003B!F927/1000</f>
        <v>2545.1856699999998</v>
      </c>
      <c r="G884" s="9">
        <f>STATS1003B!G927/1000</f>
        <v>0</v>
      </c>
      <c r="H884" s="9">
        <f>STATS1003B!H927/1000</f>
        <v>2545.1856699999998</v>
      </c>
      <c r="I884" s="9">
        <f>STATS1003B!I927/1000</f>
        <v>0</v>
      </c>
      <c r="J884" s="9">
        <f>STATS1003B!J927/1000</f>
        <v>2545.1856699999998</v>
      </c>
      <c r="K884" s="9">
        <f>STATS1003B!K927/1000</f>
        <v>4.81433</v>
      </c>
      <c r="L884" s="9">
        <f>STATS1003B!L927/1000</f>
        <v>0</v>
      </c>
      <c r="M884" s="9">
        <f>STATS1003B!M927/1000</f>
        <v>2545.1856699999998</v>
      </c>
      <c r="N884" s="9">
        <f>STATS1003B!N927/1000</f>
        <v>4.81433</v>
      </c>
      <c r="O884" s="9">
        <f>STATS1003B!O927/1000</f>
        <v>0</v>
      </c>
      <c r="P884" s="9">
        <f>STATS1003B!P927/1000</f>
        <v>4.81433</v>
      </c>
      <c r="Q884" s="9">
        <f>STATS1003B!Q927/1000</f>
        <v>2545.1856699999998</v>
      </c>
      <c r="R884" s="9">
        <f>STATS1003B!R927/1000</f>
        <v>0</v>
      </c>
      <c r="S884" s="9">
        <f>STATS1003B!S927/1000</f>
        <v>0</v>
      </c>
      <c r="T884" s="9">
        <f>STATS1003B!T927/1000</f>
        <v>0</v>
      </c>
      <c r="U884" s="9">
        <f>STATS1003B!U927/1000</f>
        <v>4.81433</v>
      </c>
      <c r="V884" s="9">
        <f>STATS1003B!V927/1000</f>
        <v>2550</v>
      </c>
      <c r="W884" s="9">
        <f>STATS1003B!W927/1000</f>
        <v>0</v>
      </c>
      <c r="X884" s="9">
        <f>STATS1003B!X927/1000</f>
        <v>2550</v>
      </c>
      <c r="Y884" s="9">
        <f>STATS1003B!Y927/1000</f>
        <v>0</v>
      </c>
      <c r="Z884" s="9">
        <f>STATS1003B!Z927/1000</f>
        <v>0</v>
      </c>
      <c r="AA884" s="9">
        <f>STATS1003B!AA927/1000</f>
        <v>2550</v>
      </c>
      <c r="AB884" s="9">
        <f>STATS1003B!AB927/1000</f>
        <v>0</v>
      </c>
    </row>
    <row r="885" spans="1:28" x14ac:dyDescent="0.35">
      <c r="A885" s="36"/>
      <c r="B885" s="8"/>
      <c r="C885" s="7" t="s">
        <v>535</v>
      </c>
      <c r="D885" s="15" t="s">
        <v>54</v>
      </c>
      <c r="E885" s="9">
        <f>STATS1003B!E928/1000</f>
        <v>179.19300000000001</v>
      </c>
      <c r="F885" s="9">
        <f>STATS1003B!F928/1000</f>
        <v>179.19300000000001</v>
      </c>
      <c r="G885" s="9">
        <f>STATS1003B!G928/1000</f>
        <v>0</v>
      </c>
      <c r="H885" s="9">
        <f>STATS1003B!H928/1000</f>
        <v>179.19300000000001</v>
      </c>
      <c r="I885" s="9">
        <f>STATS1003B!I928/1000</f>
        <v>0</v>
      </c>
      <c r="J885" s="9">
        <f>STATS1003B!J928/1000</f>
        <v>179.19300000000001</v>
      </c>
      <c r="K885" s="9">
        <f>STATS1003B!K928/1000</f>
        <v>0</v>
      </c>
      <c r="L885" s="9">
        <f>STATS1003B!L928/1000</f>
        <v>0</v>
      </c>
      <c r="M885" s="9">
        <f>STATS1003B!M928/1000</f>
        <v>179.19300000000001</v>
      </c>
      <c r="N885" s="9">
        <f>STATS1003B!N928/1000</f>
        <v>0</v>
      </c>
      <c r="O885" s="9">
        <f>STATS1003B!O928/1000</f>
        <v>0</v>
      </c>
      <c r="P885" s="9">
        <f>STATS1003B!P928/1000</f>
        <v>0</v>
      </c>
      <c r="Q885" s="9">
        <f>STATS1003B!Q928/1000</f>
        <v>179.19300000000001</v>
      </c>
      <c r="R885" s="9">
        <f>STATS1003B!R928/1000</f>
        <v>0</v>
      </c>
      <c r="S885" s="9">
        <f>STATS1003B!S928/1000</f>
        <v>0</v>
      </c>
      <c r="T885" s="9">
        <f>STATS1003B!T928/1000</f>
        <v>0</v>
      </c>
      <c r="U885" s="9">
        <f>STATS1003B!U928/1000</f>
        <v>0</v>
      </c>
      <c r="V885" s="9">
        <f>STATS1003B!V928/1000</f>
        <v>179.19300000000001</v>
      </c>
      <c r="W885" s="9">
        <f>STATS1003B!W928/1000</f>
        <v>0</v>
      </c>
      <c r="X885" s="9">
        <f>STATS1003B!X928/1000</f>
        <v>179.19300000000001</v>
      </c>
      <c r="Y885" s="9">
        <f>STATS1003B!Y928/1000</f>
        <v>0</v>
      </c>
      <c r="Z885" s="9">
        <f>STATS1003B!Z928/1000</f>
        <v>0</v>
      </c>
      <c r="AA885" s="9">
        <f>STATS1003B!AA928/1000</f>
        <v>179.19300000000001</v>
      </c>
      <c r="AB885" s="9">
        <f>STATS1003B!AB928/1000</f>
        <v>0</v>
      </c>
    </row>
    <row r="886" spans="1:28" x14ac:dyDescent="0.35">
      <c r="A886" s="36"/>
      <c r="B886" s="8"/>
      <c r="C886" s="7" t="s">
        <v>545</v>
      </c>
      <c r="D886" s="15" t="s">
        <v>54</v>
      </c>
      <c r="E886" s="9">
        <f>STATS1003B!E929/1000</f>
        <v>1953.989</v>
      </c>
      <c r="F886" s="9">
        <f>STATS1003B!F929/1000</f>
        <v>0</v>
      </c>
      <c r="G886" s="9">
        <f>STATS1003B!G929/1000</f>
        <v>0</v>
      </c>
      <c r="H886" s="9">
        <f>STATS1003B!H929/1000</f>
        <v>0</v>
      </c>
      <c r="I886" s="9">
        <f>STATS1003B!I929/1000</f>
        <v>0</v>
      </c>
      <c r="J886" s="9">
        <f>STATS1003B!J929/1000</f>
        <v>0</v>
      </c>
      <c r="K886" s="9">
        <f>STATS1003B!K929/1000</f>
        <v>1953.989</v>
      </c>
      <c r="L886" s="9">
        <f>STATS1003B!L929/1000</f>
        <v>0</v>
      </c>
      <c r="M886" s="9">
        <f>STATS1003B!M929/1000</f>
        <v>0</v>
      </c>
      <c r="N886" s="9">
        <f>STATS1003B!N929/1000</f>
        <v>1953.989</v>
      </c>
      <c r="O886" s="9">
        <f>STATS1003B!O929/1000</f>
        <v>0</v>
      </c>
      <c r="P886" s="9">
        <f>STATS1003B!P929/1000</f>
        <v>1953.989</v>
      </c>
      <c r="Q886" s="9">
        <f>STATS1003B!Q929/1000</f>
        <v>0</v>
      </c>
      <c r="R886" s="9">
        <f>STATS1003B!R929/1000</f>
        <v>0</v>
      </c>
      <c r="S886" s="9">
        <f>STATS1003B!S929/1000</f>
        <v>0</v>
      </c>
      <c r="T886" s="9">
        <f>STATS1003B!T929/1000</f>
        <v>0</v>
      </c>
      <c r="U886" s="9">
        <f>STATS1003B!U929/1000</f>
        <v>1953.989</v>
      </c>
      <c r="V886" s="9">
        <f>STATS1003B!V929/1000</f>
        <v>1953.989</v>
      </c>
      <c r="W886" s="9">
        <f>STATS1003B!W929/1000</f>
        <v>0</v>
      </c>
      <c r="X886" s="9">
        <f>STATS1003B!X929/1000</f>
        <v>1953.989</v>
      </c>
      <c r="Y886" s="9">
        <f>STATS1003B!Y929/1000</f>
        <v>0</v>
      </c>
      <c r="Z886" s="9">
        <f>STATS1003B!Z929/1000</f>
        <v>0</v>
      </c>
      <c r="AA886" s="9">
        <f>STATS1003B!AA929/1000</f>
        <v>1953.989</v>
      </c>
      <c r="AB886" s="9">
        <f>STATS1003B!AB929/1000</f>
        <v>0</v>
      </c>
    </row>
    <row r="887" spans="1:28" x14ac:dyDescent="0.35">
      <c r="A887" s="36"/>
      <c r="B887" s="8"/>
      <c r="C887" s="7" t="s">
        <v>535</v>
      </c>
      <c r="D887" s="15" t="s">
        <v>85</v>
      </c>
      <c r="E887" s="9">
        <f>STATS1003B!E930/1000</f>
        <v>665.1</v>
      </c>
      <c r="F887" s="9">
        <f>STATS1003B!F930/1000</f>
        <v>665.1</v>
      </c>
      <c r="G887" s="9">
        <f>STATS1003B!G930/1000</f>
        <v>0</v>
      </c>
      <c r="H887" s="9">
        <f>STATS1003B!H930/1000</f>
        <v>665.1</v>
      </c>
      <c r="I887" s="9">
        <f>STATS1003B!I930/1000</f>
        <v>0</v>
      </c>
      <c r="J887" s="9">
        <f>STATS1003B!J930/1000</f>
        <v>665.1</v>
      </c>
      <c r="K887" s="9">
        <f>STATS1003B!K930/1000</f>
        <v>0</v>
      </c>
      <c r="L887" s="9">
        <f>STATS1003B!L930/1000</f>
        <v>0</v>
      </c>
      <c r="M887" s="9">
        <f>STATS1003B!M930/1000</f>
        <v>665.1</v>
      </c>
      <c r="N887" s="9">
        <f>STATS1003B!N930/1000</f>
        <v>0</v>
      </c>
      <c r="O887" s="9">
        <f>STATS1003B!O930/1000</f>
        <v>0</v>
      </c>
      <c r="P887" s="9">
        <f>STATS1003B!P930/1000</f>
        <v>0</v>
      </c>
      <c r="Q887" s="9">
        <f>STATS1003B!Q930/1000</f>
        <v>665.1</v>
      </c>
      <c r="R887" s="9">
        <f>STATS1003B!R930/1000</f>
        <v>0</v>
      </c>
      <c r="S887" s="9">
        <f>STATS1003B!S930/1000</f>
        <v>0</v>
      </c>
      <c r="T887" s="9">
        <f>STATS1003B!T930/1000</f>
        <v>0</v>
      </c>
      <c r="U887" s="9">
        <f>STATS1003B!U930/1000</f>
        <v>0</v>
      </c>
      <c r="V887" s="9">
        <f>STATS1003B!V930/1000</f>
        <v>665.1</v>
      </c>
      <c r="W887" s="9">
        <f>STATS1003B!W930/1000</f>
        <v>0</v>
      </c>
      <c r="X887" s="9">
        <f>STATS1003B!X930/1000</f>
        <v>665.1</v>
      </c>
      <c r="Y887" s="9">
        <f>STATS1003B!Y930/1000</f>
        <v>0</v>
      </c>
      <c r="Z887" s="9">
        <f>STATS1003B!Z930/1000</f>
        <v>0</v>
      </c>
      <c r="AA887" s="9">
        <f>STATS1003B!AA930/1000</f>
        <v>665.1</v>
      </c>
      <c r="AB887" s="9">
        <f>STATS1003B!AB930/1000</f>
        <v>0</v>
      </c>
    </row>
    <row r="888" spans="1:28" x14ac:dyDescent="0.35">
      <c r="A888" s="36"/>
      <c r="B888" s="8"/>
      <c r="C888" s="7" t="s">
        <v>535</v>
      </c>
      <c r="D888" s="15" t="s">
        <v>128</v>
      </c>
      <c r="E888" s="9">
        <f>STATS1003B!E931/1000</f>
        <v>1500</v>
      </c>
      <c r="F888" s="9">
        <f>STATS1003B!F931/1000</f>
        <v>1500</v>
      </c>
      <c r="G888" s="9">
        <f>STATS1003B!G931/1000</f>
        <v>0</v>
      </c>
      <c r="H888" s="9">
        <f>STATS1003B!H931/1000</f>
        <v>1500</v>
      </c>
      <c r="I888" s="9">
        <f>STATS1003B!I931/1000</f>
        <v>0</v>
      </c>
      <c r="J888" s="9">
        <f>STATS1003B!J931/1000</f>
        <v>1500</v>
      </c>
      <c r="K888" s="9">
        <f>STATS1003B!K931/1000</f>
        <v>0</v>
      </c>
      <c r="L888" s="9">
        <f>STATS1003B!L931/1000</f>
        <v>0</v>
      </c>
      <c r="M888" s="9">
        <f>STATS1003B!M931/1000</f>
        <v>1500</v>
      </c>
      <c r="N888" s="9">
        <f>STATS1003B!N931/1000</f>
        <v>0</v>
      </c>
      <c r="O888" s="9">
        <f>STATS1003B!O931/1000</f>
        <v>0</v>
      </c>
      <c r="P888" s="9">
        <f>STATS1003B!P931/1000</f>
        <v>0</v>
      </c>
      <c r="Q888" s="9">
        <f>STATS1003B!Q931/1000</f>
        <v>1500</v>
      </c>
      <c r="R888" s="9">
        <f>STATS1003B!R931/1000</f>
        <v>0</v>
      </c>
      <c r="S888" s="9">
        <f>STATS1003B!S931/1000</f>
        <v>0</v>
      </c>
      <c r="T888" s="9">
        <f>STATS1003B!T931/1000</f>
        <v>0</v>
      </c>
      <c r="U888" s="9">
        <f>STATS1003B!U931/1000</f>
        <v>0</v>
      </c>
      <c r="V888" s="9">
        <f>STATS1003B!V931/1000</f>
        <v>1500</v>
      </c>
      <c r="W888" s="9">
        <f>STATS1003B!W931/1000</f>
        <v>0</v>
      </c>
      <c r="X888" s="9">
        <f>STATS1003B!X931/1000</f>
        <v>1500</v>
      </c>
      <c r="Y888" s="9">
        <f>STATS1003B!Y931/1000</f>
        <v>0</v>
      </c>
      <c r="Z888" s="9">
        <f>STATS1003B!Z931/1000</f>
        <v>0</v>
      </c>
      <c r="AA888" s="9">
        <f>STATS1003B!AA931/1000</f>
        <v>1500</v>
      </c>
      <c r="AB888" s="9">
        <f>STATS1003B!AB931/1000</f>
        <v>0</v>
      </c>
    </row>
    <row r="889" spans="1:28" x14ac:dyDescent="0.35">
      <c r="A889" s="36"/>
      <c r="B889" s="8"/>
      <c r="C889" s="7" t="s">
        <v>535</v>
      </c>
      <c r="D889" s="15" t="s">
        <v>88</v>
      </c>
      <c r="E889" s="9">
        <f>STATS1003B!E932/1000</f>
        <v>516.29</v>
      </c>
      <c r="F889" s="9">
        <f>STATS1003B!F932/1000</f>
        <v>516.29</v>
      </c>
      <c r="G889" s="9">
        <f>STATS1003B!G932/1000</f>
        <v>0</v>
      </c>
      <c r="H889" s="9">
        <f>STATS1003B!H932/1000</f>
        <v>516.29</v>
      </c>
      <c r="I889" s="9">
        <f>STATS1003B!I932/1000</f>
        <v>0</v>
      </c>
      <c r="J889" s="9">
        <f>STATS1003B!J932/1000</f>
        <v>516.29</v>
      </c>
      <c r="K889" s="9">
        <f>STATS1003B!K932/1000</f>
        <v>0</v>
      </c>
      <c r="L889" s="9">
        <f>STATS1003B!L932/1000</f>
        <v>0</v>
      </c>
      <c r="M889" s="9">
        <f>STATS1003B!M932/1000</f>
        <v>516.29</v>
      </c>
      <c r="N889" s="9">
        <f>STATS1003B!N932/1000</f>
        <v>0</v>
      </c>
      <c r="O889" s="9">
        <f>STATS1003B!O932/1000</f>
        <v>0</v>
      </c>
      <c r="P889" s="9">
        <f>STATS1003B!P932/1000</f>
        <v>0</v>
      </c>
      <c r="Q889" s="9">
        <f>STATS1003B!Q932/1000</f>
        <v>516.29</v>
      </c>
      <c r="R889" s="9">
        <f>STATS1003B!R932/1000</f>
        <v>0</v>
      </c>
      <c r="S889" s="9">
        <f>STATS1003B!S932/1000</f>
        <v>0</v>
      </c>
      <c r="T889" s="9">
        <f>STATS1003B!T932/1000</f>
        <v>0</v>
      </c>
      <c r="U889" s="9">
        <f>STATS1003B!U932/1000</f>
        <v>0</v>
      </c>
      <c r="V889" s="9">
        <f>STATS1003B!V932/1000</f>
        <v>516.29</v>
      </c>
      <c r="W889" s="9">
        <f>STATS1003B!W932/1000</f>
        <v>0</v>
      </c>
      <c r="X889" s="9">
        <f>STATS1003B!X932/1000</f>
        <v>516.29</v>
      </c>
      <c r="Y889" s="9">
        <f>STATS1003B!Y932/1000</f>
        <v>0</v>
      </c>
      <c r="Z889" s="9">
        <f>STATS1003B!Z932/1000</f>
        <v>0</v>
      </c>
      <c r="AA889" s="9">
        <f>STATS1003B!AA932/1000</f>
        <v>516.29</v>
      </c>
      <c r="AB889" s="9">
        <f>STATS1003B!AB932/1000</f>
        <v>0</v>
      </c>
    </row>
    <row r="890" spans="1:28" x14ac:dyDescent="0.35">
      <c r="A890" s="36"/>
      <c r="B890" s="8"/>
      <c r="C890" s="7" t="s">
        <v>542</v>
      </c>
      <c r="D890" s="15" t="s">
        <v>88</v>
      </c>
      <c r="E890" s="9">
        <f>STATS1003B!E933/1000</f>
        <v>4500</v>
      </c>
      <c r="F890" s="9">
        <f>STATS1003B!F933/1000</f>
        <v>4500</v>
      </c>
      <c r="G890" s="9">
        <f>STATS1003B!G933/1000</f>
        <v>0</v>
      </c>
      <c r="H890" s="9">
        <f>STATS1003B!H933/1000</f>
        <v>4500</v>
      </c>
      <c r="I890" s="9">
        <f>STATS1003B!I933/1000</f>
        <v>0</v>
      </c>
      <c r="J890" s="9">
        <f>STATS1003B!J933/1000</f>
        <v>4500</v>
      </c>
      <c r="K890" s="9">
        <f>STATS1003B!K933/1000</f>
        <v>0</v>
      </c>
      <c r="L890" s="9">
        <f>STATS1003B!L933/1000</f>
        <v>0</v>
      </c>
      <c r="M890" s="9">
        <f>STATS1003B!M933/1000</f>
        <v>4500</v>
      </c>
      <c r="N890" s="9">
        <f>STATS1003B!N933/1000</f>
        <v>0</v>
      </c>
      <c r="O890" s="9">
        <f>STATS1003B!O933/1000</f>
        <v>0</v>
      </c>
      <c r="P890" s="9">
        <f>STATS1003B!P933/1000</f>
        <v>0</v>
      </c>
      <c r="Q890" s="9">
        <f>STATS1003B!Q933/1000</f>
        <v>4500</v>
      </c>
      <c r="R890" s="9">
        <f>STATS1003B!R933/1000</f>
        <v>0</v>
      </c>
      <c r="S890" s="9">
        <f>STATS1003B!S933/1000</f>
        <v>0</v>
      </c>
      <c r="T890" s="9">
        <f>STATS1003B!T933/1000</f>
        <v>0</v>
      </c>
      <c r="U890" s="9">
        <f>STATS1003B!U933/1000</f>
        <v>0</v>
      </c>
      <c r="V890" s="9">
        <f>STATS1003B!V933/1000</f>
        <v>4500</v>
      </c>
      <c r="W890" s="9">
        <f>STATS1003B!W933/1000</f>
        <v>0</v>
      </c>
      <c r="X890" s="9">
        <f>STATS1003B!X933/1000</f>
        <v>4500</v>
      </c>
      <c r="Y890" s="9">
        <f>STATS1003B!Y933/1000</f>
        <v>0</v>
      </c>
      <c r="Z890" s="9">
        <f>STATS1003B!Z933/1000</f>
        <v>0</v>
      </c>
      <c r="AA890" s="9">
        <f>STATS1003B!AA933/1000</f>
        <v>4500</v>
      </c>
      <c r="AB890" s="9">
        <f>STATS1003B!AB933/1000</f>
        <v>0</v>
      </c>
    </row>
    <row r="891" spans="1:28" x14ac:dyDescent="0.35">
      <c r="A891" s="36"/>
      <c r="B891" s="8"/>
      <c r="C891" s="7" t="s">
        <v>535</v>
      </c>
      <c r="D891" s="15" t="s">
        <v>60</v>
      </c>
      <c r="E891" s="9">
        <f>STATS1003B!E934/1000</f>
        <v>3329.1954900000001</v>
      </c>
      <c r="F891" s="9">
        <f>STATS1003B!F934/1000</f>
        <v>3329.1954900000001</v>
      </c>
      <c r="G891" s="9">
        <f>STATS1003B!G934/1000</f>
        <v>0</v>
      </c>
      <c r="H891" s="9">
        <f>STATS1003B!H934/1000</f>
        <v>3329.1954900000001</v>
      </c>
      <c r="I891" s="9">
        <f>STATS1003B!I934/1000</f>
        <v>0</v>
      </c>
      <c r="J891" s="9">
        <f>STATS1003B!J934/1000</f>
        <v>3329.1954900000001</v>
      </c>
      <c r="K891" s="9">
        <f>STATS1003B!K934/1000</f>
        <v>0</v>
      </c>
      <c r="L891" s="9">
        <f>STATS1003B!L934/1000</f>
        <v>0</v>
      </c>
      <c r="M891" s="9">
        <f>STATS1003B!M934/1000</f>
        <v>3329.1954900000001</v>
      </c>
      <c r="N891" s="9">
        <f>STATS1003B!N934/1000</f>
        <v>0</v>
      </c>
      <c r="O891" s="9">
        <f>STATS1003B!O934/1000</f>
        <v>0</v>
      </c>
      <c r="P891" s="9">
        <f>STATS1003B!P934/1000</f>
        <v>0</v>
      </c>
      <c r="Q891" s="9">
        <f>STATS1003B!Q934/1000</f>
        <v>3329.1954900000001</v>
      </c>
      <c r="R891" s="9">
        <f>STATS1003B!R934/1000</f>
        <v>0</v>
      </c>
      <c r="S891" s="9">
        <f>STATS1003B!S934/1000</f>
        <v>0</v>
      </c>
      <c r="T891" s="9">
        <f>STATS1003B!T934/1000</f>
        <v>0</v>
      </c>
      <c r="U891" s="9">
        <f>STATS1003B!U934/1000</f>
        <v>0</v>
      </c>
      <c r="V891" s="9">
        <f>STATS1003B!V934/1000</f>
        <v>3329.1954900000001</v>
      </c>
      <c r="W891" s="9">
        <f>STATS1003B!W934/1000</f>
        <v>0</v>
      </c>
      <c r="X891" s="9">
        <f>STATS1003B!X934/1000</f>
        <v>3329.1954900000001</v>
      </c>
      <c r="Y891" s="9">
        <f>STATS1003B!Y934/1000</f>
        <v>0</v>
      </c>
      <c r="Z891" s="9">
        <f>STATS1003B!Z934/1000</f>
        <v>0</v>
      </c>
      <c r="AA891" s="9">
        <f>STATS1003B!AA934/1000</f>
        <v>3329.1954900000001</v>
      </c>
      <c r="AB891" s="9">
        <f>STATS1003B!AB934/1000</f>
        <v>0</v>
      </c>
    </row>
    <row r="892" spans="1:28" x14ac:dyDescent="0.35">
      <c r="A892" s="36"/>
      <c r="B892" s="8"/>
      <c r="C892" s="7" t="s">
        <v>1125</v>
      </c>
      <c r="D892" s="16" t="s">
        <v>1126</v>
      </c>
      <c r="E892" s="9">
        <f>STATS1003B!E935/1000</f>
        <v>300</v>
      </c>
      <c r="F892" s="9">
        <f>STATS1003B!F935/1000</f>
        <v>300</v>
      </c>
      <c r="G892" s="9">
        <f>STATS1003B!G935/1000</f>
        <v>0</v>
      </c>
      <c r="H892" s="9">
        <f>STATS1003B!H935/1000</f>
        <v>300</v>
      </c>
      <c r="I892" s="9">
        <f>STATS1003B!I935/1000</f>
        <v>0</v>
      </c>
      <c r="J892" s="9">
        <f>STATS1003B!J935/1000</f>
        <v>300</v>
      </c>
      <c r="K892" s="9">
        <f>STATS1003B!K935/1000</f>
        <v>0</v>
      </c>
      <c r="L892" s="9">
        <f>STATS1003B!L935/1000</f>
        <v>0</v>
      </c>
      <c r="M892" s="9">
        <f>STATS1003B!M935/1000</f>
        <v>300</v>
      </c>
      <c r="N892" s="9">
        <f>STATS1003B!N935/1000</f>
        <v>0</v>
      </c>
      <c r="O892" s="9">
        <f>STATS1003B!O935/1000</f>
        <v>0</v>
      </c>
      <c r="P892" s="9">
        <f>STATS1003B!P935/1000</f>
        <v>0</v>
      </c>
      <c r="Q892" s="9">
        <f>STATS1003B!Q935/1000</f>
        <v>300</v>
      </c>
      <c r="R892" s="9">
        <f>STATS1003B!R935/1000</f>
        <v>0</v>
      </c>
      <c r="S892" s="9">
        <f>STATS1003B!S935/1000</f>
        <v>0</v>
      </c>
      <c r="T892" s="9">
        <f>STATS1003B!T935/1000</f>
        <v>0</v>
      </c>
      <c r="U892" s="9">
        <f>STATS1003B!U935/1000</f>
        <v>0</v>
      </c>
      <c r="V892" s="9">
        <f>STATS1003B!V935/1000</f>
        <v>300</v>
      </c>
      <c r="W892" s="9">
        <f>STATS1003B!W935/1000</f>
        <v>0</v>
      </c>
      <c r="X892" s="9">
        <f>STATS1003B!X935/1000</f>
        <v>300</v>
      </c>
      <c r="Y892" s="9">
        <f>STATS1003B!Y935/1000</f>
        <v>0</v>
      </c>
      <c r="Z892" s="9">
        <f>STATS1003B!Z935/1000</f>
        <v>0</v>
      </c>
      <c r="AA892" s="9">
        <f>STATS1003B!AA935/1000</f>
        <v>300</v>
      </c>
      <c r="AB892" s="9">
        <f>STATS1003B!AB935/1000</f>
        <v>0</v>
      </c>
    </row>
    <row r="893" spans="1:28" x14ac:dyDescent="0.35">
      <c r="A893" s="36"/>
      <c r="B893" s="8"/>
      <c r="C893" s="13" t="s">
        <v>1116</v>
      </c>
      <c r="D893" s="16" t="s">
        <v>1072</v>
      </c>
      <c r="E893" s="9">
        <f>STATS1003B!E936/1000</f>
        <v>1677.4192600000001</v>
      </c>
      <c r="F893" s="9">
        <f>STATS1003B!F936/1000</f>
        <v>1677.4192600000001</v>
      </c>
      <c r="G893" s="9">
        <f>STATS1003B!G936/1000</f>
        <v>0</v>
      </c>
      <c r="H893" s="9">
        <f>STATS1003B!H936/1000</f>
        <v>1677.4192600000001</v>
      </c>
      <c r="I893" s="9">
        <f>STATS1003B!I936/1000</f>
        <v>0</v>
      </c>
      <c r="J893" s="9">
        <f>STATS1003B!J936/1000</f>
        <v>1677.4192600000001</v>
      </c>
      <c r="K893" s="9">
        <f>STATS1003B!K936/1000</f>
        <v>0</v>
      </c>
      <c r="L893" s="9">
        <f>STATS1003B!L936/1000</f>
        <v>0</v>
      </c>
      <c r="M893" s="9">
        <f>STATS1003B!M936/1000</f>
        <v>1677.4192600000001</v>
      </c>
      <c r="N893" s="9">
        <f>STATS1003B!N936/1000</f>
        <v>0</v>
      </c>
      <c r="O893" s="9">
        <f>STATS1003B!O936/1000</f>
        <v>0</v>
      </c>
      <c r="P893" s="9">
        <f>STATS1003B!P936/1000</f>
        <v>0</v>
      </c>
      <c r="Q893" s="9">
        <f>STATS1003B!Q936/1000</f>
        <v>1677.4192600000001</v>
      </c>
      <c r="R893" s="9">
        <f>STATS1003B!R936/1000</f>
        <v>0</v>
      </c>
      <c r="S893" s="9">
        <f>STATS1003B!S936/1000</f>
        <v>0</v>
      </c>
      <c r="T893" s="9">
        <f>STATS1003B!T936/1000</f>
        <v>0</v>
      </c>
      <c r="U893" s="9">
        <f>STATS1003B!U936/1000</f>
        <v>0</v>
      </c>
      <c r="V893" s="9">
        <f>STATS1003B!V936/1000</f>
        <v>1677.4192600000001</v>
      </c>
      <c r="W893" s="9">
        <f>STATS1003B!W936/1000</f>
        <v>0</v>
      </c>
      <c r="X893" s="9">
        <f>STATS1003B!X936/1000</f>
        <v>1677.4192600000001</v>
      </c>
      <c r="Y893" s="9">
        <f>STATS1003B!Y936/1000</f>
        <v>0</v>
      </c>
      <c r="Z893" s="9">
        <f>STATS1003B!Z936/1000</f>
        <v>0</v>
      </c>
      <c r="AA893" s="9">
        <f>STATS1003B!AA936/1000</f>
        <v>1677.4192600000001</v>
      </c>
      <c r="AB893" s="9">
        <f>STATS1003B!AB936/1000</f>
        <v>0</v>
      </c>
    </row>
    <row r="894" spans="1:28" x14ac:dyDescent="0.35">
      <c r="A894" s="36"/>
      <c r="B894" s="8"/>
      <c r="C894" s="7" t="s">
        <v>562</v>
      </c>
      <c r="D894" s="8"/>
      <c r="E894" s="9">
        <f>STATS1003B!E937/1000</f>
        <v>313.09542000000005</v>
      </c>
      <c r="F894" s="9">
        <f>STATS1003B!F937/1000</f>
        <v>313.09541999999999</v>
      </c>
      <c r="G894" s="9">
        <f>STATS1003B!G937/1000</f>
        <v>0</v>
      </c>
      <c r="H894" s="9">
        <f>STATS1003B!H937/1000</f>
        <v>313.09541999999999</v>
      </c>
      <c r="I894" s="9">
        <f>STATS1003B!I937/1000</f>
        <v>0</v>
      </c>
      <c r="J894" s="9">
        <f>STATS1003B!J937/1000</f>
        <v>313.09541999999999</v>
      </c>
      <c r="K894" s="9">
        <f>STATS1003B!K937/1000</f>
        <v>0</v>
      </c>
      <c r="L894" s="9">
        <f>STATS1003B!L937/1000</f>
        <v>0</v>
      </c>
      <c r="M894" s="9">
        <f>STATS1003B!M937/1000</f>
        <v>313.09541999999999</v>
      </c>
      <c r="N894" s="9">
        <f>STATS1003B!N937/1000</f>
        <v>0</v>
      </c>
      <c r="O894" s="9">
        <f>STATS1003B!O937/1000</f>
        <v>0</v>
      </c>
      <c r="P894" s="9">
        <f>STATS1003B!P937/1000</f>
        <v>0</v>
      </c>
      <c r="Q894" s="9">
        <f>STATS1003B!Q937/1000</f>
        <v>313.09542000000005</v>
      </c>
      <c r="R894" s="9">
        <f>STATS1003B!R937/1000</f>
        <v>0</v>
      </c>
      <c r="S894" s="9">
        <f>STATS1003B!S937/1000</f>
        <v>0</v>
      </c>
      <c r="T894" s="9">
        <f>STATS1003B!T937/1000</f>
        <v>0</v>
      </c>
      <c r="U894" s="9">
        <f>STATS1003B!U937/1000</f>
        <v>0</v>
      </c>
      <c r="V894" s="9">
        <f>STATS1003B!V937/1000</f>
        <v>313.09541999999999</v>
      </c>
      <c r="W894" s="9">
        <f>STATS1003B!W937/1000</f>
        <v>0</v>
      </c>
      <c r="X894" s="9">
        <f>STATS1003B!X937/1000</f>
        <v>313.09541999999999</v>
      </c>
      <c r="Y894" s="9">
        <f>STATS1003B!Y937/1000</f>
        <v>0</v>
      </c>
      <c r="Z894" s="9">
        <f>STATS1003B!Z937/1000</f>
        <v>0</v>
      </c>
      <c r="AA894" s="9">
        <f>STATS1003B!AA937/1000</f>
        <v>313.09541999999999</v>
      </c>
      <c r="AB894" s="9">
        <f>STATS1003B!AB937/1000</f>
        <v>0</v>
      </c>
    </row>
    <row r="895" spans="1:28" x14ac:dyDescent="0.35">
      <c r="A895" s="36"/>
      <c r="B895" s="8"/>
      <c r="C895" s="7" t="s">
        <v>551</v>
      </c>
      <c r="D895" s="8"/>
      <c r="E895" s="9">
        <f>STATS1003B!E938/1000</f>
        <v>12184.36203</v>
      </c>
      <c r="F895" s="9">
        <f>STATS1003B!F938/1000</f>
        <v>12184.36203</v>
      </c>
      <c r="G895" s="9">
        <f>STATS1003B!G938/1000</f>
        <v>0</v>
      </c>
      <c r="H895" s="9">
        <f>STATS1003B!H938/1000</f>
        <v>12184.36203</v>
      </c>
      <c r="I895" s="9">
        <f>STATS1003B!I938/1000</f>
        <v>0</v>
      </c>
      <c r="J895" s="9">
        <f>STATS1003B!J938/1000</f>
        <v>12184.36203</v>
      </c>
      <c r="K895" s="9">
        <f>STATS1003B!K938/1000</f>
        <v>0</v>
      </c>
      <c r="L895" s="9">
        <f>STATS1003B!L938/1000</f>
        <v>0</v>
      </c>
      <c r="M895" s="9">
        <f>STATS1003B!M938/1000</f>
        <v>12184.36203</v>
      </c>
      <c r="N895" s="9">
        <f>STATS1003B!N938/1000</f>
        <v>0</v>
      </c>
      <c r="O895" s="9">
        <f>STATS1003B!O938/1000</f>
        <v>0</v>
      </c>
      <c r="P895" s="9">
        <f>STATS1003B!P938/1000</f>
        <v>0</v>
      </c>
      <c r="Q895" s="9">
        <f>STATS1003B!Q938/1000</f>
        <v>12184.36203</v>
      </c>
      <c r="R895" s="9">
        <f>STATS1003B!R938/1000</f>
        <v>0</v>
      </c>
      <c r="S895" s="9">
        <f>STATS1003B!S938/1000</f>
        <v>0</v>
      </c>
      <c r="T895" s="9">
        <f>STATS1003B!T938/1000</f>
        <v>0</v>
      </c>
      <c r="U895" s="9">
        <f>STATS1003B!U938/1000</f>
        <v>0</v>
      </c>
      <c r="V895" s="9">
        <f>STATS1003B!V938/1000</f>
        <v>12184.36203</v>
      </c>
      <c r="W895" s="9">
        <f>STATS1003B!W938/1000</f>
        <v>0</v>
      </c>
      <c r="X895" s="9">
        <f>STATS1003B!X938/1000</f>
        <v>12184.36203</v>
      </c>
      <c r="Y895" s="9">
        <f>STATS1003B!Y938/1000</f>
        <v>0</v>
      </c>
      <c r="Z895" s="9">
        <f>STATS1003B!Z938/1000</f>
        <v>0</v>
      </c>
      <c r="AA895" s="9">
        <f>STATS1003B!AA938/1000</f>
        <v>12184.36203</v>
      </c>
      <c r="AB895" s="9">
        <f>STATS1003B!AB938/1000</f>
        <v>0</v>
      </c>
    </row>
    <row r="896" spans="1:28" x14ac:dyDescent="0.35">
      <c r="A896" s="36"/>
      <c r="B896" s="8"/>
      <c r="C896" s="7" t="s">
        <v>606</v>
      </c>
      <c r="D896" s="8"/>
      <c r="E896" s="9">
        <f>STATS1003B!E939/1000</f>
        <v>2500</v>
      </c>
      <c r="F896" s="9">
        <f>STATS1003B!F939/1000</f>
        <v>2500</v>
      </c>
      <c r="G896" s="9">
        <f>STATS1003B!G939/1000</f>
        <v>0</v>
      </c>
      <c r="H896" s="9">
        <f>STATS1003B!H939/1000</f>
        <v>2500</v>
      </c>
      <c r="I896" s="9">
        <f>STATS1003B!I939/1000</f>
        <v>0</v>
      </c>
      <c r="J896" s="9">
        <f>STATS1003B!J939/1000</f>
        <v>2500</v>
      </c>
      <c r="K896" s="9">
        <f>STATS1003B!K939/1000</f>
        <v>0</v>
      </c>
      <c r="L896" s="9">
        <f>STATS1003B!L939/1000</f>
        <v>0</v>
      </c>
      <c r="M896" s="9">
        <f>STATS1003B!M939/1000</f>
        <v>2500</v>
      </c>
      <c r="N896" s="9">
        <f>STATS1003B!N939/1000</f>
        <v>0</v>
      </c>
      <c r="O896" s="9">
        <f>STATS1003B!O939/1000</f>
        <v>0</v>
      </c>
      <c r="P896" s="9">
        <f>STATS1003B!P939/1000</f>
        <v>0</v>
      </c>
      <c r="Q896" s="9">
        <f>STATS1003B!Q939/1000</f>
        <v>2500</v>
      </c>
      <c r="R896" s="9">
        <f>STATS1003B!R939/1000</f>
        <v>0</v>
      </c>
      <c r="S896" s="9">
        <f>STATS1003B!S939/1000</f>
        <v>0</v>
      </c>
      <c r="T896" s="9">
        <f>STATS1003B!T939/1000</f>
        <v>0</v>
      </c>
      <c r="U896" s="9">
        <f>STATS1003B!U939/1000</f>
        <v>0</v>
      </c>
      <c r="V896" s="9">
        <f>STATS1003B!V939/1000</f>
        <v>2500</v>
      </c>
      <c r="W896" s="9">
        <f>STATS1003B!W939/1000</f>
        <v>0</v>
      </c>
      <c r="X896" s="9">
        <f>STATS1003B!X939/1000</f>
        <v>2500</v>
      </c>
      <c r="Y896" s="9">
        <f>STATS1003B!Y939/1000</f>
        <v>0</v>
      </c>
      <c r="Z896" s="9">
        <f>STATS1003B!Z939/1000</f>
        <v>0</v>
      </c>
      <c r="AA896" s="9">
        <f>STATS1003B!AA939/1000</f>
        <v>2500</v>
      </c>
      <c r="AB896" s="9">
        <f>STATS1003B!AB939/1000</f>
        <v>0</v>
      </c>
    </row>
    <row r="897" spans="1:28" x14ac:dyDescent="0.35">
      <c r="A897" s="36"/>
      <c r="B897" s="8"/>
      <c r="C897" s="8"/>
      <c r="D897" s="8"/>
      <c r="E897" s="17" t="s">
        <v>29</v>
      </c>
      <c r="F897" s="17" t="s">
        <v>29</v>
      </c>
      <c r="G897" s="17" t="s">
        <v>29</v>
      </c>
      <c r="H897" s="17" t="s">
        <v>29</v>
      </c>
      <c r="I897" s="17" t="s">
        <v>29</v>
      </c>
      <c r="J897" s="17" t="s">
        <v>29</v>
      </c>
      <c r="K897" s="17" t="s">
        <v>29</v>
      </c>
      <c r="L897" s="17" t="s">
        <v>29</v>
      </c>
      <c r="M897" s="17" t="s">
        <v>29</v>
      </c>
      <c r="N897" s="17" t="s">
        <v>29</v>
      </c>
      <c r="O897" s="17" t="s">
        <v>29</v>
      </c>
      <c r="P897" s="17" t="s">
        <v>29</v>
      </c>
      <c r="Q897" s="17" t="s">
        <v>29</v>
      </c>
      <c r="R897" s="17" t="s">
        <v>29</v>
      </c>
      <c r="S897" s="17" t="s">
        <v>29</v>
      </c>
      <c r="T897" s="17" t="s">
        <v>29</v>
      </c>
      <c r="U897" s="17" t="s">
        <v>29</v>
      </c>
      <c r="V897" s="17" t="s">
        <v>29</v>
      </c>
      <c r="W897" s="17" t="s">
        <v>29</v>
      </c>
      <c r="X897" s="17" t="s">
        <v>29</v>
      </c>
      <c r="Y897" s="17" t="s">
        <v>29</v>
      </c>
      <c r="Z897" s="17" t="s">
        <v>29</v>
      </c>
      <c r="AA897" s="17" t="s">
        <v>29</v>
      </c>
      <c r="AB897" s="17" t="s">
        <v>29</v>
      </c>
    </row>
    <row r="898" spans="1:28" x14ac:dyDescent="0.35">
      <c r="A898" s="36"/>
      <c r="B898" s="8"/>
      <c r="C898" s="8"/>
      <c r="D898" s="8"/>
      <c r="E898" s="9">
        <f t="shared" ref="E898:Q898" si="65">SUM(E882:E897)</f>
        <v>34340.987500000003</v>
      </c>
      <c r="F898" s="9">
        <f t="shared" si="65"/>
        <v>30895.78845</v>
      </c>
      <c r="G898" s="9">
        <f t="shared" si="65"/>
        <v>0</v>
      </c>
      <c r="H898" s="9">
        <f t="shared" si="65"/>
        <v>30895.78845</v>
      </c>
      <c r="I898" s="9">
        <f t="shared" si="65"/>
        <v>0</v>
      </c>
      <c r="J898" s="9">
        <f t="shared" si="65"/>
        <v>30895.78845</v>
      </c>
      <c r="K898" s="9">
        <f t="shared" si="65"/>
        <v>3445.1990500000002</v>
      </c>
      <c r="L898" s="9">
        <f t="shared" si="65"/>
        <v>0</v>
      </c>
      <c r="M898" s="9">
        <f t="shared" si="65"/>
        <v>30895.78845</v>
      </c>
      <c r="N898" s="9">
        <f t="shared" si="65"/>
        <v>3445.1990500000002</v>
      </c>
      <c r="O898" s="9">
        <f t="shared" si="65"/>
        <v>0</v>
      </c>
      <c r="P898" s="9">
        <f t="shared" si="65"/>
        <v>3445.1990500000002</v>
      </c>
      <c r="Q898" s="9">
        <f t="shared" si="65"/>
        <v>30895.78845</v>
      </c>
      <c r="R898" s="17"/>
      <c r="S898" s="17"/>
      <c r="T898" s="9">
        <f t="shared" ref="T898:Z898" si="66">SUM(T882:T897)</f>
        <v>0</v>
      </c>
      <c r="U898" s="9">
        <f t="shared" si="66"/>
        <v>3445.1990500000002</v>
      </c>
      <c r="V898" s="9">
        <f t="shared" si="66"/>
        <v>34340.987500000003</v>
      </c>
      <c r="W898" s="9">
        <f t="shared" si="66"/>
        <v>0</v>
      </c>
      <c r="X898" s="9">
        <f t="shared" si="66"/>
        <v>34340.987500000003</v>
      </c>
      <c r="Y898" s="9">
        <f t="shared" si="66"/>
        <v>0</v>
      </c>
      <c r="Z898" s="9">
        <f t="shared" si="66"/>
        <v>0</v>
      </c>
      <c r="AA898" s="9">
        <f>SUM(AA882:AA897)</f>
        <v>34340.987500000003</v>
      </c>
      <c r="AB898" s="9">
        <f>SUM(AB882:AB897)</f>
        <v>0</v>
      </c>
    </row>
    <row r="899" spans="1:28" x14ac:dyDescent="0.35">
      <c r="A899" s="36"/>
      <c r="B899" s="8"/>
      <c r="C899" s="8"/>
      <c r="D899" s="8"/>
      <c r="E899" s="17" t="s">
        <v>29</v>
      </c>
      <c r="F899" s="17" t="s">
        <v>29</v>
      </c>
      <c r="G899" s="17" t="s">
        <v>29</v>
      </c>
      <c r="H899" s="17" t="s">
        <v>29</v>
      </c>
      <c r="I899" s="17" t="s">
        <v>29</v>
      </c>
      <c r="J899" s="17" t="s">
        <v>29</v>
      </c>
      <c r="K899" s="17" t="s">
        <v>29</v>
      </c>
      <c r="L899" s="17" t="s">
        <v>29</v>
      </c>
      <c r="M899" s="17" t="s">
        <v>29</v>
      </c>
      <c r="N899" s="17" t="s">
        <v>29</v>
      </c>
      <c r="O899" s="17" t="s">
        <v>29</v>
      </c>
      <c r="P899" s="17" t="s">
        <v>29</v>
      </c>
      <c r="Q899" s="17" t="s">
        <v>29</v>
      </c>
      <c r="R899" s="17" t="s">
        <v>29</v>
      </c>
      <c r="S899" s="17" t="s">
        <v>29</v>
      </c>
      <c r="T899" s="17" t="s">
        <v>29</v>
      </c>
      <c r="U899" s="17" t="s">
        <v>29</v>
      </c>
      <c r="V899" s="17" t="s">
        <v>29</v>
      </c>
      <c r="W899" s="17" t="s">
        <v>29</v>
      </c>
      <c r="X899" s="17" t="s">
        <v>29</v>
      </c>
      <c r="Y899" s="17" t="s">
        <v>29</v>
      </c>
      <c r="Z899" s="17" t="s">
        <v>29</v>
      </c>
      <c r="AA899" s="17" t="s">
        <v>29</v>
      </c>
      <c r="AB899" s="17" t="s">
        <v>29</v>
      </c>
    </row>
    <row r="900" spans="1:28" x14ac:dyDescent="0.35">
      <c r="A900" s="38" t="s">
        <v>981</v>
      </c>
      <c r="B900" s="7" t="s">
        <v>666</v>
      </c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17"/>
      <c r="S900" s="17"/>
      <c r="T900" s="17"/>
      <c r="U900" s="17"/>
      <c r="V900" s="17"/>
      <c r="W900" s="17"/>
      <c r="X900" s="17"/>
      <c r="Y900" s="17"/>
      <c r="Z900" s="17"/>
    </row>
    <row r="901" spans="1:28" x14ac:dyDescent="0.35">
      <c r="A901" s="36"/>
      <c r="B901" s="8"/>
      <c r="C901" s="7" t="s">
        <v>667</v>
      </c>
      <c r="D901" s="15" t="s">
        <v>85</v>
      </c>
      <c r="E901" s="9">
        <f>STATS1003B!E944/1000</f>
        <v>280</v>
      </c>
      <c r="F901" s="9">
        <f>STATS1003B!F944/1000</f>
        <v>280</v>
      </c>
      <c r="G901" s="9">
        <f>STATS1003B!G944/1000</f>
        <v>0</v>
      </c>
      <c r="H901" s="9">
        <f>STATS1003B!H944/1000</f>
        <v>280</v>
      </c>
      <c r="I901" s="9">
        <f>STATS1003B!I944/1000</f>
        <v>0</v>
      </c>
      <c r="J901" s="9">
        <f>STATS1003B!J944/1000</f>
        <v>280</v>
      </c>
      <c r="K901" s="9">
        <f>STATS1003B!K944/1000</f>
        <v>0</v>
      </c>
      <c r="L901" s="9">
        <f>STATS1003B!L944/1000</f>
        <v>0</v>
      </c>
      <c r="M901" s="9">
        <f>STATS1003B!M944/1000</f>
        <v>280</v>
      </c>
      <c r="N901" s="9">
        <f>STATS1003B!N944/1000</f>
        <v>0</v>
      </c>
      <c r="O901" s="9">
        <f>STATS1003B!O944/1000</f>
        <v>0</v>
      </c>
      <c r="P901" s="9">
        <f>STATS1003B!P944/1000</f>
        <v>0</v>
      </c>
      <c r="Q901" s="9">
        <f>STATS1003B!Q944/1000</f>
        <v>280</v>
      </c>
      <c r="R901" s="9">
        <f>STATS1003B!R944/1000</f>
        <v>0</v>
      </c>
      <c r="S901" s="9">
        <f>STATS1003B!S944/1000</f>
        <v>0</v>
      </c>
      <c r="T901" s="9">
        <f>STATS1003B!T944/1000</f>
        <v>0</v>
      </c>
      <c r="U901" s="9">
        <f>STATS1003B!U944/1000</f>
        <v>0</v>
      </c>
      <c r="V901" s="9">
        <f>STATS1003B!V944/1000</f>
        <v>280</v>
      </c>
      <c r="W901" s="9">
        <f>STATS1003B!W944/1000</f>
        <v>0</v>
      </c>
      <c r="X901" s="9">
        <f>STATS1003B!X944/1000</f>
        <v>280</v>
      </c>
      <c r="Y901" s="9">
        <f>STATS1003B!Y944/1000</f>
        <v>0</v>
      </c>
      <c r="Z901" s="9">
        <f>STATS1003B!Z944/1000</f>
        <v>0</v>
      </c>
      <c r="AA901" s="9">
        <f>STATS1003B!AA944/1000</f>
        <v>280</v>
      </c>
      <c r="AB901" s="9">
        <f>STATS1003B!AB944/1000</f>
        <v>0</v>
      </c>
    </row>
    <row r="902" spans="1:28" x14ac:dyDescent="0.35">
      <c r="A902" s="36"/>
      <c r="B902" s="8"/>
      <c r="C902" s="7" t="s">
        <v>667</v>
      </c>
      <c r="D902" s="15" t="s">
        <v>85</v>
      </c>
      <c r="E902" s="9">
        <f>STATS1003B!E945/1000</f>
        <v>475</v>
      </c>
      <c r="F902" s="9">
        <f>STATS1003B!F945/1000</f>
        <v>475</v>
      </c>
      <c r="G902" s="9">
        <f>STATS1003B!G945/1000</f>
        <v>0</v>
      </c>
      <c r="H902" s="9">
        <f>STATS1003B!H945/1000</f>
        <v>475</v>
      </c>
      <c r="I902" s="9">
        <f>STATS1003B!I945/1000</f>
        <v>0</v>
      </c>
      <c r="J902" s="9">
        <f>STATS1003B!J945/1000</f>
        <v>475</v>
      </c>
      <c r="K902" s="9">
        <f>STATS1003B!K945/1000</f>
        <v>0</v>
      </c>
      <c r="L902" s="9">
        <f>STATS1003B!L945/1000</f>
        <v>0</v>
      </c>
      <c r="M902" s="9">
        <f>STATS1003B!M945/1000</f>
        <v>475</v>
      </c>
      <c r="N902" s="9">
        <f>STATS1003B!N945/1000</f>
        <v>0</v>
      </c>
      <c r="O902" s="9">
        <f>STATS1003B!O945/1000</f>
        <v>0</v>
      </c>
      <c r="P902" s="9">
        <f>STATS1003B!P945/1000</f>
        <v>0</v>
      </c>
      <c r="Q902" s="9">
        <f>STATS1003B!Q945/1000</f>
        <v>475</v>
      </c>
      <c r="R902" s="9">
        <f>STATS1003B!R945/1000</f>
        <v>0</v>
      </c>
      <c r="S902" s="9">
        <f>STATS1003B!S945/1000</f>
        <v>0</v>
      </c>
      <c r="T902" s="9">
        <f>STATS1003B!T945/1000</f>
        <v>0</v>
      </c>
      <c r="U902" s="9">
        <f>STATS1003B!U945/1000</f>
        <v>0</v>
      </c>
      <c r="V902" s="9">
        <f>STATS1003B!V945/1000</f>
        <v>475</v>
      </c>
      <c r="W902" s="9">
        <f>STATS1003B!W945/1000</f>
        <v>0</v>
      </c>
      <c r="X902" s="9">
        <f>STATS1003B!X945/1000</f>
        <v>475</v>
      </c>
      <c r="Y902" s="9">
        <f>STATS1003B!Y945/1000</f>
        <v>0</v>
      </c>
      <c r="Z902" s="9">
        <f>STATS1003B!Z945/1000</f>
        <v>0</v>
      </c>
      <c r="AA902" s="9">
        <f>STATS1003B!AA945/1000</f>
        <v>475</v>
      </c>
      <c r="AB902" s="9">
        <f>STATS1003B!AB945/1000</f>
        <v>0</v>
      </c>
    </row>
    <row r="903" spans="1:28" x14ac:dyDescent="0.35">
      <c r="A903" s="36"/>
      <c r="B903" s="8"/>
      <c r="C903" s="8"/>
      <c r="D903" s="8"/>
      <c r="E903" s="17" t="s">
        <v>29</v>
      </c>
      <c r="F903" s="17" t="s">
        <v>29</v>
      </c>
      <c r="G903" s="17" t="s">
        <v>29</v>
      </c>
      <c r="H903" s="17" t="s">
        <v>29</v>
      </c>
      <c r="I903" s="17" t="s">
        <v>29</v>
      </c>
      <c r="J903" s="17" t="s">
        <v>29</v>
      </c>
      <c r="K903" s="17" t="s">
        <v>29</v>
      </c>
      <c r="L903" s="17" t="s">
        <v>29</v>
      </c>
      <c r="M903" s="17" t="s">
        <v>29</v>
      </c>
      <c r="N903" s="17" t="s">
        <v>29</v>
      </c>
      <c r="O903" s="17" t="s">
        <v>29</v>
      </c>
      <c r="P903" s="17" t="s">
        <v>29</v>
      </c>
      <c r="Q903" s="17" t="s">
        <v>29</v>
      </c>
      <c r="R903" s="17" t="s">
        <v>29</v>
      </c>
      <c r="S903" s="17" t="s">
        <v>29</v>
      </c>
      <c r="T903" s="17" t="s">
        <v>29</v>
      </c>
      <c r="U903" s="17" t="s">
        <v>29</v>
      </c>
      <c r="V903" s="17" t="s">
        <v>29</v>
      </c>
      <c r="W903" s="17" t="s">
        <v>29</v>
      </c>
      <c r="X903" s="17" t="s">
        <v>29</v>
      </c>
      <c r="Y903" s="17" t="s">
        <v>29</v>
      </c>
      <c r="Z903" s="17" t="s">
        <v>29</v>
      </c>
      <c r="AA903" s="17" t="s">
        <v>29</v>
      </c>
      <c r="AB903" s="17" t="s">
        <v>29</v>
      </c>
    </row>
    <row r="904" spans="1:28" x14ac:dyDescent="0.35">
      <c r="A904" s="36"/>
      <c r="B904" s="8"/>
      <c r="C904" s="8"/>
      <c r="D904" s="8"/>
      <c r="E904" s="9">
        <f t="shared" ref="E904:Q904" si="67">SUM(E901:E903)</f>
        <v>755</v>
      </c>
      <c r="F904" s="9">
        <f t="shared" si="67"/>
        <v>755</v>
      </c>
      <c r="G904" s="9">
        <f t="shared" si="67"/>
        <v>0</v>
      </c>
      <c r="H904" s="9">
        <f t="shared" si="67"/>
        <v>755</v>
      </c>
      <c r="I904" s="9">
        <f t="shared" si="67"/>
        <v>0</v>
      </c>
      <c r="J904" s="9">
        <f t="shared" si="67"/>
        <v>755</v>
      </c>
      <c r="K904" s="9">
        <f t="shared" si="67"/>
        <v>0</v>
      </c>
      <c r="L904" s="9">
        <f t="shared" si="67"/>
        <v>0</v>
      </c>
      <c r="M904" s="9">
        <f t="shared" si="67"/>
        <v>755</v>
      </c>
      <c r="N904" s="9">
        <f t="shared" si="67"/>
        <v>0</v>
      </c>
      <c r="O904" s="9">
        <f t="shared" si="67"/>
        <v>0</v>
      </c>
      <c r="P904" s="9">
        <f t="shared" si="67"/>
        <v>0</v>
      </c>
      <c r="Q904" s="9">
        <f t="shared" si="67"/>
        <v>755</v>
      </c>
      <c r="R904" s="17"/>
      <c r="S904" s="17"/>
      <c r="T904" s="9">
        <f t="shared" ref="T904:Z904" si="68">SUM(T901:T903)</f>
        <v>0</v>
      </c>
      <c r="U904" s="9">
        <f t="shared" si="68"/>
        <v>0</v>
      </c>
      <c r="V904" s="9">
        <f t="shared" si="68"/>
        <v>755</v>
      </c>
      <c r="W904" s="9">
        <f t="shared" si="68"/>
        <v>0</v>
      </c>
      <c r="X904" s="9">
        <f t="shared" si="68"/>
        <v>755</v>
      </c>
      <c r="Y904" s="9">
        <f t="shared" si="68"/>
        <v>0</v>
      </c>
      <c r="Z904" s="9">
        <f t="shared" si="68"/>
        <v>0</v>
      </c>
      <c r="AA904" s="9">
        <f>SUM(AA901:AA903)</f>
        <v>755</v>
      </c>
      <c r="AB904" s="9">
        <f>SUM(AB901:AB903)</f>
        <v>0</v>
      </c>
    </row>
    <row r="905" spans="1:28" x14ac:dyDescent="0.35">
      <c r="A905" s="36"/>
      <c r="B905" s="8"/>
      <c r="C905" s="8"/>
      <c r="D905" s="8"/>
      <c r="E905" s="17" t="s">
        <v>29</v>
      </c>
      <c r="F905" s="17" t="s">
        <v>29</v>
      </c>
      <c r="G905" s="17" t="s">
        <v>29</v>
      </c>
      <c r="H905" s="17" t="s">
        <v>29</v>
      </c>
      <c r="I905" s="17" t="s">
        <v>29</v>
      </c>
      <c r="J905" s="17" t="s">
        <v>29</v>
      </c>
      <c r="K905" s="17" t="s">
        <v>29</v>
      </c>
      <c r="L905" s="17" t="s">
        <v>29</v>
      </c>
      <c r="M905" s="17" t="s">
        <v>29</v>
      </c>
      <c r="N905" s="17" t="s">
        <v>29</v>
      </c>
      <c r="O905" s="17" t="s">
        <v>29</v>
      </c>
      <c r="P905" s="17" t="s">
        <v>29</v>
      </c>
      <c r="Q905" s="17" t="s">
        <v>29</v>
      </c>
      <c r="R905" s="17" t="s">
        <v>29</v>
      </c>
      <c r="S905" s="17" t="s">
        <v>29</v>
      </c>
      <c r="T905" s="17" t="s">
        <v>29</v>
      </c>
      <c r="U905" s="17" t="s">
        <v>29</v>
      </c>
      <c r="V905" s="17" t="s">
        <v>29</v>
      </c>
      <c r="W905" s="17" t="s">
        <v>29</v>
      </c>
      <c r="X905" s="17" t="s">
        <v>29</v>
      </c>
      <c r="Y905" s="17" t="s">
        <v>29</v>
      </c>
      <c r="Z905" s="17" t="s">
        <v>29</v>
      </c>
      <c r="AA905" s="17" t="s">
        <v>29</v>
      </c>
      <c r="AB905" s="17" t="s">
        <v>29</v>
      </c>
    </row>
    <row r="906" spans="1:28" x14ac:dyDescent="0.35">
      <c r="A906" s="36"/>
      <c r="B906" s="7" t="s">
        <v>668</v>
      </c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17"/>
      <c r="S906" s="17"/>
      <c r="T906" s="17"/>
      <c r="U906" s="17"/>
      <c r="V906" s="17"/>
      <c r="W906" s="17"/>
      <c r="X906" s="17"/>
      <c r="Y906" s="17"/>
      <c r="Z906" s="17"/>
    </row>
    <row r="907" spans="1:28" x14ac:dyDescent="0.35">
      <c r="A907" s="36"/>
      <c r="B907" s="8"/>
      <c r="C907" s="7" t="s">
        <v>667</v>
      </c>
      <c r="D907" s="15" t="s">
        <v>85</v>
      </c>
      <c r="E907" s="9">
        <f>STATS1003B!E950/1000</f>
        <v>160</v>
      </c>
      <c r="F907" s="9">
        <f>STATS1003B!F950/1000</f>
        <v>160</v>
      </c>
      <c r="G907" s="9">
        <f>STATS1003B!G950/1000</f>
        <v>0</v>
      </c>
      <c r="H907" s="9">
        <f>STATS1003B!H950/1000</f>
        <v>160</v>
      </c>
      <c r="I907" s="9">
        <f>STATS1003B!I950/1000</f>
        <v>0</v>
      </c>
      <c r="J907" s="9">
        <f>STATS1003B!J950/1000</f>
        <v>160</v>
      </c>
      <c r="K907" s="9">
        <f>STATS1003B!K950/1000</f>
        <v>0</v>
      </c>
      <c r="L907" s="9">
        <f>STATS1003B!L950/1000</f>
        <v>0</v>
      </c>
      <c r="M907" s="9">
        <f>STATS1003B!M950/1000</f>
        <v>160</v>
      </c>
      <c r="N907" s="9">
        <f>STATS1003B!N950/1000</f>
        <v>0</v>
      </c>
      <c r="O907" s="9">
        <f>STATS1003B!O950/1000</f>
        <v>0</v>
      </c>
      <c r="P907" s="9">
        <f>STATS1003B!P950/1000</f>
        <v>0</v>
      </c>
      <c r="Q907" s="9">
        <f>STATS1003B!Q950/1000</f>
        <v>160</v>
      </c>
      <c r="R907" s="9">
        <f>STATS1003B!R950/1000</f>
        <v>0</v>
      </c>
      <c r="S907" s="9">
        <f>STATS1003B!S950/1000</f>
        <v>0</v>
      </c>
      <c r="T907" s="9">
        <f>STATS1003B!T950/1000</f>
        <v>0</v>
      </c>
      <c r="U907" s="9">
        <f>STATS1003B!U950/1000</f>
        <v>0</v>
      </c>
      <c r="V907" s="9">
        <f>STATS1003B!V950/1000</f>
        <v>160</v>
      </c>
      <c r="W907" s="9">
        <f>STATS1003B!W950/1000</f>
        <v>0</v>
      </c>
      <c r="X907" s="9">
        <f>STATS1003B!X950/1000</f>
        <v>160</v>
      </c>
      <c r="Y907" s="9">
        <f>STATS1003B!Y950/1000</f>
        <v>0</v>
      </c>
      <c r="Z907" s="9">
        <f>STATS1003B!Z950/1000</f>
        <v>0</v>
      </c>
      <c r="AA907" s="9">
        <f>STATS1003B!AA950/1000</f>
        <v>160</v>
      </c>
      <c r="AB907" s="9">
        <f>STATS1003B!AB950/1000</f>
        <v>0</v>
      </c>
    </row>
    <row r="908" spans="1:28" x14ac:dyDescent="0.35">
      <c r="A908" s="36"/>
      <c r="B908" s="8"/>
      <c r="C908" s="8"/>
      <c r="D908" s="8"/>
      <c r="E908" s="17" t="s">
        <v>29</v>
      </c>
      <c r="F908" s="17" t="s">
        <v>29</v>
      </c>
      <c r="G908" s="17" t="s">
        <v>29</v>
      </c>
      <c r="H908" s="17" t="s">
        <v>29</v>
      </c>
      <c r="I908" s="17" t="s">
        <v>29</v>
      </c>
      <c r="J908" s="17" t="s">
        <v>29</v>
      </c>
      <c r="K908" s="17" t="s">
        <v>29</v>
      </c>
      <c r="L908" s="17" t="s">
        <v>29</v>
      </c>
      <c r="M908" s="17" t="s">
        <v>29</v>
      </c>
      <c r="N908" s="17" t="s">
        <v>29</v>
      </c>
      <c r="O908" s="17" t="s">
        <v>29</v>
      </c>
      <c r="P908" s="17" t="s">
        <v>29</v>
      </c>
      <c r="Q908" s="17" t="s">
        <v>29</v>
      </c>
      <c r="R908" s="17" t="s">
        <v>29</v>
      </c>
      <c r="S908" s="17" t="s">
        <v>29</v>
      </c>
      <c r="T908" s="17" t="s">
        <v>29</v>
      </c>
      <c r="U908" s="17" t="s">
        <v>29</v>
      </c>
      <c r="V908" s="17" t="s">
        <v>29</v>
      </c>
      <c r="W908" s="17" t="s">
        <v>29</v>
      </c>
      <c r="X908" s="17" t="s">
        <v>29</v>
      </c>
      <c r="Y908" s="17" t="s">
        <v>29</v>
      </c>
      <c r="Z908" s="17" t="s">
        <v>29</v>
      </c>
      <c r="AA908" s="17" t="s">
        <v>29</v>
      </c>
      <c r="AB908" s="17" t="s">
        <v>29</v>
      </c>
    </row>
    <row r="909" spans="1:28" x14ac:dyDescent="0.35">
      <c r="A909" s="36"/>
      <c r="B909" s="7" t="s">
        <v>669</v>
      </c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17"/>
      <c r="S909" s="17"/>
      <c r="T909" s="17"/>
      <c r="U909" s="17"/>
      <c r="V909" s="17"/>
      <c r="W909" s="17"/>
      <c r="X909" s="17"/>
      <c r="Y909" s="17"/>
      <c r="Z909" s="17"/>
    </row>
    <row r="910" spans="1:28" x14ac:dyDescent="0.35">
      <c r="A910" s="36"/>
      <c r="B910" s="8"/>
      <c r="C910" s="7" t="s">
        <v>667</v>
      </c>
      <c r="D910" s="15" t="s">
        <v>85</v>
      </c>
      <c r="E910" s="9">
        <f>STATS1003B!E953/1000</f>
        <v>160</v>
      </c>
      <c r="F910" s="9">
        <f>STATS1003B!F953/1000</f>
        <v>160</v>
      </c>
      <c r="G910" s="9">
        <f>STATS1003B!G953/1000</f>
        <v>0</v>
      </c>
      <c r="H910" s="9">
        <f>STATS1003B!H953/1000</f>
        <v>160</v>
      </c>
      <c r="I910" s="9">
        <f>STATS1003B!I953/1000</f>
        <v>0</v>
      </c>
      <c r="J910" s="9">
        <f>STATS1003B!J953/1000</f>
        <v>160</v>
      </c>
      <c r="K910" s="9">
        <f>STATS1003B!K953/1000</f>
        <v>0</v>
      </c>
      <c r="L910" s="9">
        <f>STATS1003B!L953/1000</f>
        <v>0</v>
      </c>
      <c r="M910" s="9">
        <f>STATS1003B!M953/1000</f>
        <v>160</v>
      </c>
      <c r="N910" s="9">
        <f>STATS1003B!N953/1000</f>
        <v>0</v>
      </c>
      <c r="O910" s="9">
        <f>STATS1003B!O953/1000</f>
        <v>0</v>
      </c>
      <c r="P910" s="9">
        <f>STATS1003B!P953/1000</f>
        <v>0</v>
      </c>
      <c r="Q910" s="9">
        <f>STATS1003B!Q953/1000</f>
        <v>160</v>
      </c>
      <c r="R910" s="9">
        <f>STATS1003B!R953/1000</f>
        <v>0</v>
      </c>
      <c r="S910" s="9">
        <f>STATS1003B!S953/1000</f>
        <v>0</v>
      </c>
      <c r="T910" s="9">
        <f>STATS1003B!T953/1000</f>
        <v>0</v>
      </c>
      <c r="U910" s="9">
        <f>STATS1003B!U953/1000</f>
        <v>0</v>
      </c>
      <c r="V910" s="9">
        <f>STATS1003B!V953/1000</f>
        <v>160</v>
      </c>
      <c r="W910" s="9">
        <f>STATS1003B!W953/1000</f>
        <v>0</v>
      </c>
      <c r="X910" s="9">
        <f>STATS1003B!X953/1000</f>
        <v>160</v>
      </c>
      <c r="Y910" s="9">
        <f>STATS1003B!Y953/1000</f>
        <v>0</v>
      </c>
      <c r="Z910" s="9">
        <f>STATS1003B!Z953/1000</f>
        <v>0</v>
      </c>
      <c r="AA910" s="9">
        <f>STATS1003B!AA953/1000</f>
        <v>160</v>
      </c>
      <c r="AB910" s="9">
        <f>STATS1003B!AB953/1000</f>
        <v>0</v>
      </c>
    </row>
    <row r="911" spans="1:28" x14ac:dyDescent="0.35">
      <c r="A911" s="36"/>
      <c r="B911" s="8"/>
      <c r="C911" s="7" t="s">
        <v>667</v>
      </c>
      <c r="D911" s="15" t="s">
        <v>85</v>
      </c>
      <c r="E911" s="9">
        <f>STATS1003B!E954/1000</f>
        <v>400</v>
      </c>
      <c r="F911" s="9">
        <f>STATS1003B!F954/1000</f>
        <v>0</v>
      </c>
      <c r="G911" s="9">
        <f>STATS1003B!G954/1000</f>
        <v>0</v>
      </c>
      <c r="H911" s="9">
        <f>STATS1003B!H954/1000</f>
        <v>0</v>
      </c>
      <c r="I911" s="9">
        <f>STATS1003B!I954/1000</f>
        <v>0</v>
      </c>
      <c r="J911" s="9">
        <f>STATS1003B!J954/1000</f>
        <v>0</v>
      </c>
      <c r="K911" s="9">
        <f>STATS1003B!K954/1000</f>
        <v>0</v>
      </c>
      <c r="L911" s="9">
        <f>STATS1003B!L954/1000</f>
        <v>0</v>
      </c>
      <c r="M911" s="9">
        <f>STATS1003B!M954/1000</f>
        <v>0</v>
      </c>
      <c r="N911" s="9">
        <f>STATS1003B!N954/1000</f>
        <v>0</v>
      </c>
      <c r="O911" s="9">
        <f>STATS1003B!O954/1000</f>
        <v>0</v>
      </c>
      <c r="P911" s="9">
        <f>STATS1003B!P954/1000</f>
        <v>0</v>
      </c>
      <c r="Q911" s="9">
        <f>STATS1003B!Q954/1000</f>
        <v>400</v>
      </c>
      <c r="R911" s="9">
        <f>STATS1003B!R954/1000</f>
        <v>0</v>
      </c>
      <c r="S911" s="9">
        <f>STATS1003B!S954/1000</f>
        <v>0</v>
      </c>
      <c r="T911" s="9">
        <f>STATS1003B!T954/1000</f>
        <v>0</v>
      </c>
      <c r="U911" s="9">
        <f>STATS1003B!U954/1000</f>
        <v>0</v>
      </c>
      <c r="V911" s="9">
        <f>STATS1003B!V954/1000</f>
        <v>0</v>
      </c>
      <c r="W911" s="9">
        <f>STATS1003B!W954/1000</f>
        <v>400</v>
      </c>
      <c r="X911" s="9">
        <f>STATS1003B!X954/1000</f>
        <v>0</v>
      </c>
      <c r="Y911" s="9">
        <f>STATS1003B!Y954/1000</f>
        <v>0</v>
      </c>
      <c r="Z911" s="9">
        <f>STATS1003B!Z954/1000</f>
        <v>400</v>
      </c>
      <c r="AA911" s="9">
        <f>STATS1003B!AA954/1000</f>
        <v>0</v>
      </c>
      <c r="AB911" s="9">
        <f>STATS1003B!AB954/1000</f>
        <v>400</v>
      </c>
    </row>
    <row r="912" spans="1:28" x14ac:dyDescent="0.35">
      <c r="A912" s="36"/>
      <c r="B912" s="8"/>
      <c r="C912" s="8"/>
      <c r="D912" s="8"/>
      <c r="E912" s="17" t="s">
        <v>29</v>
      </c>
      <c r="F912" s="17" t="s">
        <v>29</v>
      </c>
      <c r="G912" s="17" t="s">
        <v>29</v>
      </c>
      <c r="H912" s="17" t="s">
        <v>29</v>
      </c>
      <c r="I912" s="17" t="s">
        <v>29</v>
      </c>
      <c r="J912" s="17" t="s">
        <v>29</v>
      </c>
      <c r="K912" s="17" t="s">
        <v>29</v>
      </c>
      <c r="L912" s="17" t="s">
        <v>29</v>
      </c>
      <c r="M912" s="17" t="s">
        <v>29</v>
      </c>
      <c r="N912" s="17" t="s">
        <v>29</v>
      </c>
      <c r="O912" s="17" t="s">
        <v>29</v>
      </c>
      <c r="P912" s="17" t="s">
        <v>29</v>
      </c>
      <c r="Q912" s="17" t="s">
        <v>29</v>
      </c>
      <c r="R912" s="17" t="s">
        <v>29</v>
      </c>
      <c r="S912" s="17" t="s">
        <v>29</v>
      </c>
      <c r="T912" s="17" t="s">
        <v>29</v>
      </c>
      <c r="U912" s="17" t="s">
        <v>29</v>
      </c>
      <c r="V912" s="17" t="s">
        <v>29</v>
      </c>
      <c r="W912" s="17" t="s">
        <v>29</v>
      </c>
      <c r="X912" s="17" t="s">
        <v>29</v>
      </c>
      <c r="Y912" s="17" t="s">
        <v>29</v>
      </c>
      <c r="Z912" s="17" t="s">
        <v>29</v>
      </c>
      <c r="AA912" s="17" t="s">
        <v>29</v>
      </c>
      <c r="AB912" s="17" t="s">
        <v>29</v>
      </c>
    </row>
    <row r="913" spans="1:28" x14ac:dyDescent="0.35">
      <c r="A913" s="36"/>
      <c r="B913" s="8"/>
      <c r="C913" s="8"/>
      <c r="D913" s="8"/>
      <c r="E913" s="9">
        <f t="shared" ref="E913:Q913" si="69">SUM(E910:E911)</f>
        <v>560</v>
      </c>
      <c r="F913" s="9">
        <f t="shared" si="69"/>
        <v>160</v>
      </c>
      <c r="G913" s="9">
        <f t="shared" si="69"/>
        <v>0</v>
      </c>
      <c r="H913" s="9">
        <f t="shared" si="69"/>
        <v>160</v>
      </c>
      <c r="I913" s="9">
        <f t="shared" si="69"/>
        <v>0</v>
      </c>
      <c r="J913" s="9">
        <f t="shared" si="69"/>
        <v>160</v>
      </c>
      <c r="K913" s="9">
        <f t="shared" si="69"/>
        <v>0</v>
      </c>
      <c r="L913" s="9">
        <f t="shared" si="69"/>
        <v>0</v>
      </c>
      <c r="M913" s="9">
        <f t="shared" si="69"/>
        <v>160</v>
      </c>
      <c r="N913" s="9">
        <f t="shared" si="69"/>
        <v>0</v>
      </c>
      <c r="O913" s="9">
        <f t="shared" si="69"/>
        <v>0</v>
      </c>
      <c r="P913" s="9">
        <f t="shared" si="69"/>
        <v>0</v>
      </c>
      <c r="Q913" s="9">
        <f t="shared" si="69"/>
        <v>560</v>
      </c>
      <c r="R913" s="17"/>
      <c r="S913" s="17"/>
      <c r="T913" s="9">
        <f t="shared" ref="T913:AB913" si="70">SUM(T910:T911)</f>
        <v>0</v>
      </c>
      <c r="U913" s="9">
        <f t="shared" si="70"/>
        <v>0</v>
      </c>
      <c r="V913" s="9">
        <f t="shared" si="70"/>
        <v>160</v>
      </c>
      <c r="W913" s="9">
        <f t="shared" si="70"/>
        <v>400</v>
      </c>
      <c r="X913" s="9">
        <f t="shared" si="70"/>
        <v>160</v>
      </c>
      <c r="Y913" s="9">
        <f t="shared" si="70"/>
        <v>0</v>
      </c>
      <c r="Z913" s="9">
        <f t="shared" si="70"/>
        <v>400</v>
      </c>
      <c r="AA913" s="9">
        <f t="shared" si="70"/>
        <v>160</v>
      </c>
      <c r="AB913" s="9">
        <f t="shared" si="70"/>
        <v>400</v>
      </c>
    </row>
    <row r="914" spans="1:28" x14ac:dyDescent="0.35">
      <c r="A914" s="36"/>
      <c r="B914" s="8"/>
      <c r="C914" s="8"/>
      <c r="D914" s="8"/>
      <c r="E914" s="17" t="s">
        <v>29</v>
      </c>
      <c r="F914" s="17" t="s">
        <v>29</v>
      </c>
      <c r="G914" s="17" t="s">
        <v>29</v>
      </c>
      <c r="H914" s="17" t="s">
        <v>29</v>
      </c>
      <c r="I914" s="17" t="s">
        <v>29</v>
      </c>
      <c r="J914" s="17" t="s">
        <v>29</v>
      </c>
      <c r="K914" s="17" t="s">
        <v>29</v>
      </c>
      <c r="L914" s="17" t="s">
        <v>29</v>
      </c>
      <c r="M914" s="17" t="s">
        <v>29</v>
      </c>
      <c r="N914" s="17" t="s">
        <v>29</v>
      </c>
      <c r="O914" s="17" t="s">
        <v>29</v>
      </c>
      <c r="P914" s="17" t="s">
        <v>29</v>
      </c>
      <c r="Q914" s="17" t="s">
        <v>29</v>
      </c>
      <c r="R914" s="17" t="s">
        <v>29</v>
      </c>
      <c r="S914" s="17" t="s">
        <v>29</v>
      </c>
      <c r="T914" s="17" t="s">
        <v>29</v>
      </c>
      <c r="U914" s="17" t="s">
        <v>29</v>
      </c>
      <c r="V914" s="17" t="s">
        <v>29</v>
      </c>
      <c r="W914" s="17" t="s">
        <v>29</v>
      </c>
      <c r="X914" s="17" t="s">
        <v>29</v>
      </c>
      <c r="Y914" s="17" t="s">
        <v>29</v>
      </c>
      <c r="Z914" s="17" t="s">
        <v>29</v>
      </c>
      <c r="AA914" s="17" t="s">
        <v>29</v>
      </c>
      <c r="AB914" s="17" t="s">
        <v>29</v>
      </c>
    </row>
    <row r="915" spans="1:28" x14ac:dyDescent="0.35">
      <c r="A915" s="36"/>
      <c r="B915" s="7" t="s">
        <v>670</v>
      </c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</row>
    <row r="916" spans="1:28" x14ac:dyDescent="0.35">
      <c r="A916" s="36"/>
      <c r="B916" s="8"/>
      <c r="C916" s="7" t="s">
        <v>671</v>
      </c>
      <c r="D916" s="15" t="s">
        <v>85</v>
      </c>
      <c r="E916" s="9">
        <f>STATS1003B!E959/1000</f>
        <v>56</v>
      </c>
      <c r="F916" s="9">
        <f>STATS1003B!F959/1000</f>
        <v>0</v>
      </c>
      <c r="G916" s="9">
        <f>STATS1003B!G959/1000</f>
        <v>0</v>
      </c>
      <c r="H916" s="9">
        <f>STATS1003B!H959/1000</f>
        <v>0</v>
      </c>
      <c r="I916" s="9">
        <f>STATS1003B!I959/1000</f>
        <v>0</v>
      </c>
      <c r="J916" s="9">
        <f>STATS1003B!J959/1000</f>
        <v>0</v>
      </c>
      <c r="K916" s="9">
        <f>STATS1003B!K959/1000</f>
        <v>0</v>
      </c>
      <c r="L916" s="9">
        <f>STATS1003B!L959/1000</f>
        <v>0</v>
      </c>
      <c r="M916" s="9">
        <f>STATS1003B!M959/1000</f>
        <v>0</v>
      </c>
      <c r="N916" s="9">
        <f>STATS1003B!N959/1000</f>
        <v>0</v>
      </c>
      <c r="O916" s="9">
        <f>STATS1003B!O959/1000</f>
        <v>0</v>
      </c>
      <c r="P916" s="9">
        <f>STATS1003B!P959/1000</f>
        <v>0</v>
      </c>
      <c r="Q916" s="9">
        <f>STATS1003B!Q959/1000</f>
        <v>56</v>
      </c>
      <c r="R916" s="9">
        <f>STATS1003B!R959/1000</f>
        <v>0</v>
      </c>
      <c r="S916" s="9">
        <f>STATS1003B!S959/1000</f>
        <v>0</v>
      </c>
      <c r="T916" s="9">
        <f>STATS1003B!T959/1000</f>
        <v>0</v>
      </c>
      <c r="U916" s="9">
        <f>STATS1003B!U959/1000</f>
        <v>0</v>
      </c>
      <c r="V916" s="9">
        <f>STATS1003B!V959/1000</f>
        <v>0</v>
      </c>
      <c r="W916" s="9">
        <f>STATS1003B!W959/1000</f>
        <v>0</v>
      </c>
      <c r="X916" s="9">
        <f>STATS1003B!X959/1000</f>
        <v>0</v>
      </c>
      <c r="Y916" s="9">
        <f>STATS1003B!Y959/1000</f>
        <v>0</v>
      </c>
      <c r="Z916" s="9">
        <f>STATS1003B!Z959/1000</f>
        <v>56</v>
      </c>
      <c r="AA916" s="9">
        <f>STATS1003B!AA959/1000</f>
        <v>0</v>
      </c>
      <c r="AB916" s="9">
        <f>STATS1003B!AB959/1000</f>
        <v>56</v>
      </c>
    </row>
    <row r="917" spans="1:28" x14ac:dyDescent="0.35">
      <c r="A917" s="36"/>
      <c r="B917" s="8"/>
      <c r="C917" s="8"/>
      <c r="D917" s="8"/>
      <c r="E917" s="17" t="s">
        <v>29</v>
      </c>
      <c r="F917" s="17" t="s">
        <v>29</v>
      </c>
      <c r="G917" s="17" t="s">
        <v>29</v>
      </c>
      <c r="H917" s="17" t="s">
        <v>29</v>
      </c>
      <c r="I917" s="17" t="s">
        <v>29</v>
      </c>
      <c r="J917" s="17" t="s">
        <v>29</v>
      </c>
      <c r="K917" s="17" t="s">
        <v>29</v>
      </c>
      <c r="L917" s="17" t="s">
        <v>29</v>
      </c>
      <c r="M917" s="17" t="s">
        <v>29</v>
      </c>
      <c r="N917" s="17" t="s">
        <v>29</v>
      </c>
      <c r="O917" s="17" t="s">
        <v>29</v>
      </c>
      <c r="P917" s="17" t="s">
        <v>29</v>
      </c>
      <c r="Q917" s="17" t="s">
        <v>29</v>
      </c>
      <c r="R917" s="17" t="s">
        <v>29</v>
      </c>
      <c r="S917" s="17" t="s">
        <v>29</v>
      </c>
      <c r="T917" s="17" t="s">
        <v>29</v>
      </c>
      <c r="U917" s="17" t="s">
        <v>29</v>
      </c>
      <c r="V917" s="17" t="s">
        <v>29</v>
      </c>
      <c r="W917" s="17" t="s">
        <v>29</v>
      </c>
      <c r="X917" s="17" t="s">
        <v>29</v>
      </c>
      <c r="Y917" s="17" t="s">
        <v>29</v>
      </c>
      <c r="Z917" s="17" t="s">
        <v>29</v>
      </c>
      <c r="AA917" s="17" t="s">
        <v>29</v>
      </c>
      <c r="AB917" s="17" t="s">
        <v>29</v>
      </c>
    </row>
    <row r="918" spans="1:28" x14ac:dyDescent="0.35">
      <c r="A918" s="36"/>
      <c r="B918" s="7" t="s">
        <v>672</v>
      </c>
      <c r="C918" s="8"/>
      <c r="D918" s="8"/>
      <c r="E918" s="9" t="e">
        <f t="shared" ref="E918:AB918" si="71">E633+E661+E684+E712+E725+E748+E768+E789+E809+E833+E855+E879+E898+E904+E907+E913+E916</f>
        <v>#REF!</v>
      </c>
      <c r="F918" s="9" t="e">
        <f t="shared" si="71"/>
        <v>#REF!</v>
      </c>
      <c r="G918" s="9" t="e">
        <f t="shared" si="71"/>
        <v>#REF!</v>
      </c>
      <c r="H918" s="9" t="e">
        <f t="shared" si="71"/>
        <v>#REF!</v>
      </c>
      <c r="I918" s="9" t="e">
        <f t="shared" si="71"/>
        <v>#REF!</v>
      </c>
      <c r="J918" s="9" t="e">
        <f t="shared" si="71"/>
        <v>#REF!</v>
      </c>
      <c r="K918" s="9" t="e">
        <f t="shared" si="71"/>
        <v>#REF!</v>
      </c>
      <c r="L918" s="9" t="e">
        <f t="shared" si="71"/>
        <v>#REF!</v>
      </c>
      <c r="M918" s="9" t="e">
        <f t="shared" si="71"/>
        <v>#REF!</v>
      </c>
      <c r="N918" s="9" t="e">
        <f t="shared" si="71"/>
        <v>#REF!</v>
      </c>
      <c r="O918" s="9" t="e">
        <f t="shared" si="71"/>
        <v>#REF!</v>
      </c>
      <c r="P918" s="9" t="e">
        <f t="shared" si="71"/>
        <v>#REF!</v>
      </c>
      <c r="Q918" s="9" t="e">
        <f t="shared" si="71"/>
        <v>#REF!</v>
      </c>
      <c r="R918" s="9">
        <f t="shared" si="71"/>
        <v>0</v>
      </c>
      <c r="S918" s="9">
        <f t="shared" si="71"/>
        <v>0</v>
      </c>
      <c r="T918" s="9" t="e">
        <f t="shared" si="71"/>
        <v>#REF!</v>
      </c>
      <c r="U918" s="9" t="e">
        <f t="shared" si="71"/>
        <v>#REF!</v>
      </c>
      <c r="V918" s="9" t="e">
        <f t="shared" si="71"/>
        <v>#REF!</v>
      </c>
      <c r="W918" s="9" t="e">
        <f t="shared" si="71"/>
        <v>#REF!</v>
      </c>
      <c r="X918" s="9" t="e">
        <f t="shared" si="71"/>
        <v>#REF!</v>
      </c>
      <c r="Y918" s="9" t="e">
        <f t="shared" si="71"/>
        <v>#REF!</v>
      </c>
      <c r="Z918" s="9" t="e">
        <f t="shared" si="71"/>
        <v>#REF!</v>
      </c>
      <c r="AA918" s="9" t="e">
        <f t="shared" si="71"/>
        <v>#REF!</v>
      </c>
      <c r="AB918" s="9" t="e">
        <f t="shared" si="71"/>
        <v>#REF!</v>
      </c>
    </row>
    <row r="919" spans="1:28" x14ac:dyDescent="0.35">
      <c r="A919" s="36"/>
      <c r="B919" s="8"/>
      <c r="C919" s="8"/>
      <c r="D919" s="8"/>
      <c r="E919" s="17" t="s">
        <v>114</v>
      </c>
      <c r="F919" s="17" t="s">
        <v>114</v>
      </c>
      <c r="G919" s="17" t="s">
        <v>114</v>
      </c>
      <c r="H919" s="17" t="s">
        <v>114</v>
      </c>
      <c r="I919" s="17" t="s">
        <v>114</v>
      </c>
      <c r="J919" s="17" t="s">
        <v>114</v>
      </c>
      <c r="K919" s="17" t="s">
        <v>114</v>
      </c>
      <c r="L919" s="17" t="s">
        <v>114</v>
      </c>
      <c r="M919" s="17" t="s">
        <v>114</v>
      </c>
      <c r="N919" s="17" t="s">
        <v>114</v>
      </c>
      <c r="O919" s="17" t="s">
        <v>114</v>
      </c>
      <c r="P919" s="17" t="s">
        <v>114</v>
      </c>
      <c r="Q919" s="17" t="s">
        <v>114</v>
      </c>
      <c r="R919" s="17" t="s">
        <v>114</v>
      </c>
      <c r="S919" s="17" t="s">
        <v>114</v>
      </c>
      <c r="T919" s="17" t="s">
        <v>114</v>
      </c>
      <c r="U919" s="17" t="s">
        <v>114</v>
      </c>
      <c r="V919" s="17" t="s">
        <v>114</v>
      </c>
      <c r="W919" s="17" t="s">
        <v>114</v>
      </c>
      <c r="X919" s="17" t="s">
        <v>114</v>
      </c>
      <c r="Y919" s="17" t="s">
        <v>114</v>
      </c>
      <c r="Z919" s="17" t="s">
        <v>114</v>
      </c>
      <c r="AA919" s="17" t="s">
        <v>114</v>
      </c>
      <c r="AB919" s="17" t="s">
        <v>114</v>
      </c>
    </row>
    <row r="920" spans="1:28" x14ac:dyDescent="0.35">
      <c r="A920" s="36"/>
      <c r="B920" s="8"/>
      <c r="C920" s="8"/>
      <c r="D920" s="8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</row>
    <row r="921" spans="1:28" x14ac:dyDescent="0.35">
      <c r="A921" s="36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8" x14ac:dyDescent="0.35">
      <c r="A922" s="36"/>
      <c r="B922" s="7" t="s">
        <v>201</v>
      </c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8" x14ac:dyDescent="0.35">
      <c r="A923" s="36"/>
      <c r="B923" s="8"/>
      <c r="C923" s="7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8" x14ac:dyDescent="0.35">
      <c r="A924" s="38" t="s">
        <v>982</v>
      </c>
      <c r="B924" s="7" t="s">
        <v>202</v>
      </c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8" x14ac:dyDescent="0.35">
      <c r="A925" s="36"/>
      <c r="B925" s="8"/>
      <c r="C925" s="8"/>
      <c r="D925" s="15" t="s">
        <v>203</v>
      </c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8" x14ac:dyDescent="0.35">
      <c r="A926" s="36"/>
      <c r="B926" s="8"/>
      <c r="C926" s="7" t="s">
        <v>204</v>
      </c>
      <c r="D926" s="15" t="s">
        <v>205</v>
      </c>
      <c r="E926" s="9">
        <f>STATS1003B!E969/1000</f>
        <v>18538.041149999997</v>
      </c>
      <c r="F926" s="9">
        <f>STATS1003B!F969/1000</f>
        <v>15279.448480000001</v>
      </c>
      <c r="G926" s="9">
        <f>STATS1003B!G969/1000</f>
        <v>0</v>
      </c>
      <c r="H926" s="9">
        <f>STATS1003B!H969/1000</f>
        <v>15279.448480000001</v>
      </c>
      <c r="I926" s="9">
        <f>STATS1003B!I969/1000</f>
        <v>0</v>
      </c>
      <c r="J926" s="9">
        <f>STATS1003B!J969/1000</f>
        <v>0</v>
      </c>
      <c r="K926" s="9">
        <f>STATS1003B!K969/1000</f>
        <v>0</v>
      </c>
      <c r="L926" s="9">
        <f>STATS1003B!L969/1000</f>
        <v>0</v>
      </c>
      <c r="M926" s="9">
        <f>STATS1003B!M969/1000</f>
        <v>15279.448480000001</v>
      </c>
      <c r="N926" s="9">
        <f>STATS1003B!N969/1000</f>
        <v>3258.59267</v>
      </c>
      <c r="O926" s="9">
        <f>STATS1003B!O969/1000</f>
        <v>0</v>
      </c>
      <c r="P926" s="9">
        <f>STATS1003B!P969/1000</f>
        <v>3258.59267</v>
      </c>
      <c r="Q926" s="9">
        <f>STATS1003B!Q969/1000</f>
        <v>0</v>
      </c>
      <c r="R926" s="9">
        <f>STATS1003B!R969/1000</f>
        <v>0</v>
      </c>
      <c r="S926" s="9">
        <f>STATS1003B!S969/1000</f>
        <v>0</v>
      </c>
      <c r="T926" s="9">
        <f>STATS1003B!T969/1000</f>
        <v>0</v>
      </c>
      <c r="U926" s="9">
        <f>STATS1003B!U969/1000</f>
        <v>3258.59267</v>
      </c>
      <c r="V926" s="9">
        <f>STATS1003B!V969/1000</f>
        <v>18538.041149999997</v>
      </c>
      <c r="W926" s="9">
        <f>STATS1003B!W969/1000</f>
        <v>0</v>
      </c>
      <c r="X926" s="9">
        <f>STATS1003B!X969/1000</f>
        <v>18538.041149999997</v>
      </c>
      <c r="Y926" s="9">
        <f>STATS1003B!Y969/1000</f>
        <v>0</v>
      </c>
      <c r="Z926" s="9">
        <f>STATS1003B!Z969/1000</f>
        <v>0</v>
      </c>
      <c r="AA926" s="9">
        <f>STATS1003B!AA969/1000</f>
        <v>18538.041149999997</v>
      </c>
      <c r="AB926" s="9">
        <f>STATS1003B!AB969/1000</f>
        <v>0</v>
      </c>
    </row>
    <row r="927" spans="1:28" x14ac:dyDescent="0.35">
      <c r="A927" s="36"/>
      <c r="B927" s="8"/>
      <c r="C927" s="7" t="s">
        <v>206</v>
      </c>
      <c r="D927" s="15" t="s">
        <v>166</v>
      </c>
      <c r="E927" s="9">
        <f>STATS1003B!E970/1000</f>
        <v>3498.1603700000001</v>
      </c>
      <c r="F927" s="9">
        <f>STATS1003B!F970/1000</f>
        <v>2652.64156</v>
      </c>
      <c r="G927" s="9">
        <f>STATS1003B!G970/1000</f>
        <v>0</v>
      </c>
      <c r="H927" s="9">
        <f>STATS1003B!H970/1000</f>
        <v>2652.64156</v>
      </c>
      <c r="I927" s="9">
        <f>STATS1003B!I970/1000</f>
        <v>0</v>
      </c>
      <c r="J927" s="9">
        <f>STATS1003B!J970/1000</f>
        <v>0</v>
      </c>
      <c r="K927" s="9">
        <f>STATS1003B!K970/1000</f>
        <v>0</v>
      </c>
      <c r="L927" s="9">
        <f>STATS1003B!L970/1000</f>
        <v>0</v>
      </c>
      <c r="M927" s="9">
        <f>STATS1003B!M970/1000</f>
        <v>2652.64156</v>
      </c>
      <c r="N927" s="9">
        <f>STATS1003B!N970/1000</f>
        <v>845.51881000000003</v>
      </c>
      <c r="O927" s="9">
        <f>STATS1003B!O970/1000</f>
        <v>0</v>
      </c>
      <c r="P927" s="9">
        <f>STATS1003B!P970/1000</f>
        <v>845.51881000000003</v>
      </c>
      <c r="Q927" s="9">
        <f>STATS1003B!Q970/1000</f>
        <v>0</v>
      </c>
      <c r="R927" s="9">
        <f>STATS1003B!R970/1000</f>
        <v>0</v>
      </c>
      <c r="S927" s="9">
        <f>STATS1003B!S970/1000</f>
        <v>0</v>
      </c>
      <c r="T927" s="9">
        <f>STATS1003B!T970/1000</f>
        <v>0</v>
      </c>
      <c r="U927" s="9">
        <f>STATS1003B!U970/1000</f>
        <v>845.51881000000003</v>
      </c>
      <c r="V927" s="9">
        <f>STATS1003B!V970/1000</f>
        <v>3498.1603700000001</v>
      </c>
      <c r="W927" s="9">
        <f>STATS1003B!W970/1000</f>
        <v>0</v>
      </c>
      <c r="X927" s="9">
        <f>STATS1003B!X970/1000</f>
        <v>3498.1603700000001</v>
      </c>
      <c r="Y927" s="9">
        <f>STATS1003B!Y970/1000</f>
        <v>0</v>
      </c>
      <c r="Z927" s="9">
        <f>STATS1003B!Z970/1000</f>
        <v>0</v>
      </c>
      <c r="AA927" s="9">
        <f>STATS1003B!AA970/1000</f>
        <v>3498.1603700000001</v>
      </c>
      <c r="AB927" s="9">
        <f>STATS1003B!AB970/1000</f>
        <v>0</v>
      </c>
    </row>
    <row r="928" spans="1:28" x14ac:dyDescent="0.35">
      <c r="A928" s="36"/>
      <c r="B928" s="8"/>
      <c r="C928" s="7" t="s">
        <v>83</v>
      </c>
      <c r="D928" s="15" t="s">
        <v>67</v>
      </c>
      <c r="E928" s="9">
        <f>STATS1003B!E971/1000</f>
        <v>878.63900000000001</v>
      </c>
      <c r="F928" s="9">
        <f>STATS1003B!F971/1000</f>
        <v>878.63900000000001</v>
      </c>
      <c r="G928" s="9">
        <f>STATS1003B!G971/1000</f>
        <v>0</v>
      </c>
      <c r="H928" s="9">
        <f>STATS1003B!H971/1000</f>
        <v>878.63900000000001</v>
      </c>
      <c r="I928" s="9">
        <f>STATS1003B!I971/1000</f>
        <v>0</v>
      </c>
      <c r="J928" s="9">
        <f>STATS1003B!J971/1000</f>
        <v>0</v>
      </c>
      <c r="K928" s="9">
        <f>STATS1003B!K971/1000</f>
        <v>0</v>
      </c>
      <c r="L928" s="9">
        <f>STATS1003B!L971/1000</f>
        <v>0</v>
      </c>
      <c r="M928" s="9">
        <f>STATS1003B!M971/1000</f>
        <v>878.63900000000001</v>
      </c>
      <c r="N928" s="9">
        <f>STATS1003B!N971/1000</f>
        <v>0</v>
      </c>
      <c r="O928" s="9">
        <f>STATS1003B!O971/1000</f>
        <v>0</v>
      </c>
      <c r="P928" s="9">
        <f>STATS1003B!P971/1000</f>
        <v>0</v>
      </c>
      <c r="Q928" s="9">
        <f>STATS1003B!Q971/1000</f>
        <v>0</v>
      </c>
      <c r="R928" s="9">
        <f>STATS1003B!R971/1000</f>
        <v>0</v>
      </c>
      <c r="S928" s="9">
        <f>STATS1003B!S971/1000</f>
        <v>0</v>
      </c>
      <c r="T928" s="9">
        <f>STATS1003B!T971/1000</f>
        <v>0</v>
      </c>
      <c r="U928" s="9">
        <f>STATS1003B!U971/1000</f>
        <v>0</v>
      </c>
      <c r="V928" s="9">
        <f>STATS1003B!V971/1000</f>
        <v>878.63900000000001</v>
      </c>
      <c r="W928" s="9">
        <f>STATS1003B!W971/1000</f>
        <v>0</v>
      </c>
      <c r="X928" s="9">
        <f>STATS1003B!X971/1000</f>
        <v>878.63900000000001</v>
      </c>
      <c r="Y928" s="9">
        <f>STATS1003B!Y971/1000</f>
        <v>0</v>
      </c>
      <c r="Z928" s="9">
        <f>STATS1003B!Z971/1000</f>
        <v>0</v>
      </c>
      <c r="AA928" s="9">
        <f>STATS1003B!AA971/1000</f>
        <v>878.63900000000001</v>
      </c>
      <c r="AB928" s="9">
        <f>STATS1003B!AB971/1000</f>
        <v>0</v>
      </c>
    </row>
    <row r="929" spans="1:28" x14ac:dyDescent="0.35">
      <c r="A929" s="36"/>
      <c r="B929" s="8"/>
      <c r="C929" s="7" t="s">
        <v>55</v>
      </c>
      <c r="D929" s="15" t="s">
        <v>207</v>
      </c>
      <c r="E929" s="9">
        <f>STATS1003B!E972/1000</f>
        <v>1466.7094</v>
      </c>
      <c r="F929" s="9">
        <f>STATS1003B!F972/1000</f>
        <v>0</v>
      </c>
      <c r="G929" s="9">
        <f>STATS1003B!G972/1000</f>
        <v>0</v>
      </c>
      <c r="H929" s="9">
        <f>STATS1003B!H972/1000</f>
        <v>0</v>
      </c>
      <c r="I929" s="9">
        <f>STATS1003B!I972/1000</f>
        <v>0</v>
      </c>
      <c r="J929" s="9">
        <f>STATS1003B!J972/1000</f>
        <v>0</v>
      </c>
      <c r="K929" s="9">
        <f>STATS1003B!K972/1000</f>
        <v>0</v>
      </c>
      <c r="L929" s="9">
        <f>STATS1003B!L972/1000</f>
        <v>0</v>
      </c>
      <c r="M929" s="9">
        <f>STATS1003B!M972/1000</f>
        <v>0</v>
      </c>
      <c r="N929" s="9">
        <f>STATS1003B!N972/1000</f>
        <v>1466.7094</v>
      </c>
      <c r="O929" s="9">
        <f>STATS1003B!O972/1000</f>
        <v>0</v>
      </c>
      <c r="P929" s="9">
        <f>STATS1003B!P972/1000</f>
        <v>1466.7094</v>
      </c>
      <c r="Q929" s="9">
        <f>STATS1003B!Q972/1000</f>
        <v>0</v>
      </c>
      <c r="R929" s="9">
        <f>STATS1003B!R972/1000</f>
        <v>0</v>
      </c>
      <c r="S929" s="9">
        <f>STATS1003B!S972/1000</f>
        <v>0</v>
      </c>
      <c r="T929" s="9">
        <f>STATS1003B!T972/1000</f>
        <v>0</v>
      </c>
      <c r="U929" s="9">
        <f>STATS1003B!U972/1000</f>
        <v>1466.7094</v>
      </c>
      <c r="V929" s="9">
        <f>STATS1003B!V972/1000</f>
        <v>1466.7094</v>
      </c>
      <c r="W929" s="9">
        <f>STATS1003B!W972/1000</f>
        <v>0</v>
      </c>
      <c r="X929" s="9">
        <f>STATS1003B!X972/1000</f>
        <v>1466.7094</v>
      </c>
      <c r="Y929" s="9">
        <f>STATS1003B!Y972/1000</f>
        <v>0</v>
      </c>
      <c r="Z929" s="9">
        <f>STATS1003B!Z972/1000</f>
        <v>0</v>
      </c>
      <c r="AA929" s="9">
        <f>STATS1003B!AA972/1000</f>
        <v>1466.7094</v>
      </c>
      <c r="AB929" s="9">
        <f>STATS1003B!AB972/1000</f>
        <v>0</v>
      </c>
    </row>
    <row r="930" spans="1:28" x14ac:dyDescent="0.35">
      <c r="A930" s="36"/>
      <c r="B930" s="8"/>
      <c r="C930" s="7" t="s">
        <v>53</v>
      </c>
      <c r="D930" s="15" t="s">
        <v>54</v>
      </c>
      <c r="E930" s="9">
        <f>STATS1003B!E973/1000</f>
        <v>2306.1060000000002</v>
      </c>
      <c r="F930" s="9">
        <f>STATS1003B!F973/1000</f>
        <v>0</v>
      </c>
      <c r="G930" s="9">
        <f>STATS1003B!G973/1000</f>
        <v>0</v>
      </c>
      <c r="H930" s="9">
        <f>STATS1003B!H973/1000</f>
        <v>0</v>
      </c>
      <c r="I930" s="9">
        <f>STATS1003B!I973/1000</f>
        <v>0</v>
      </c>
      <c r="J930" s="9">
        <f>STATS1003B!J973/1000</f>
        <v>0</v>
      </c>
      <c r="K930" s="9">
        <f>STATS1003B!K973/1000</f>
        <v>0</v>
      </c>
      <c r="L930" s="9">
        <f>STATS1003B!L973/1000</f>
        <v>0</v>
      </c>
      <c r="M930" s="9">
        <f>STATS1003B!M973/1000</f>
        <v>0</v>
      </c>
      <c r="N930" s="9">
        <f>STATS1003B!N973/1000</f>
        <v>2306.1060000000002</v>
      </c>
      <c r="O930" s="9">
        <f>STATS1003B!O973/1000</f>
        <v>0</v>
      </c>
      <c r="P930" s="9">
        <f>STATS1003B!P973/1000</f>
        <v>2306.1060000000002</v>
      </c>
      <c r="Q930" s="9">
        <f>STATS1003B!Q973/1000</f>
        <v>0</v>
      </c>
      <c r="R930" s="9">
        <f>STATS1003B!R973/1000</f>
        <v>0</v>
      </c>
      <c r="S930" s="9">
        <f>STATS1003B!S973/1000</f>
        <v>0</v>
      </c>
      <c r="T930" s="9">
        <f>STATS1003B!T973/1000</f>
        <v>0</v>
      </c>
      <c r="U930" s="9">
        <f>STATS1003B!U973/1000</f>
        <v>2306.1060000000002</v>
      </c>
      <c r="V930" s="9">
        <f>STATS1003B!V973/1000</f>
        <v>2306.1060000000002</v>
      </c>
      <c r="W930" s="9">
        <f>STATS1003B!W973/1000</f>
        <v>0</v>
      </c>
      <c r="X930" s="9">
        <f>STATS1003B!X973/1000</f>
        <v>2306.1060000000002</v>
      </c>
      <c r="Y930" s="9">
        <f>STATS1003B!Y973/1000</f>
        <v>0</v>
      </c>
      <c r="Z930" s="9">
        <f>STATS1003B!Z973/1000</f>
        <v>0</v>
      </c>
      <c r="AA930" s="9">
        <f>STATS1003B!AA973/1000</f>
        <v>2306.1060000000002</v>
      </c>
      <c r="AB930" s="9">
        <f>STATS1003B!AB973/1000</f>
        <v>0</v>
      </c>
    </row>
    <row r="931" spans="1:28" x14ac:dyDescent="0.35">
      <c r="A931" s="36"/>
      <c r="B931" s="8"/>
      <c r="C931" s="7" t="s">
        <v>208</v>
      </c>
      <c r="D931" s="15" t="s">
        <v>209</v>
      </c>
      <c r="E931" s="9">
        <f>STATS1003B!E974/1000</f>
        <v>2822.9789999999998</v>
      </c>
      <c r="F931" s="9">
        <f>STATS1003B!F974/1000</f>
        <v>2311.951</v>
      </c>
      <c r="G931" s="9">
        <f>STATS1003B!G974/1000</f>
        <v>0</v>
      </c>
      <c r="H931" s="9">
        <f>STATS1003B!H974/1000</f>
        <v>2311.951</v>
      </c>
      <c r="I931" s="9">
        <f>STATS1003B!I974/1000</f>
        <v>0</v>
      </c>
      <c r="J931" s="9">
        <f>STATS1003B!J974/1000</f>
        <v>0</v>
      </c>
      <c r="K931" s="9">
        <f>STATS1003B!K974/1000</f>
        <v>0</v>
      </c>
      <c r="L931" s="9">
        <f>STATS1003B!L974/1000</f>
        <v>0</v>
      </c>
      <c r="M931" s="9">
        <f>STATS1003B!M974/1000</f>
        <v>2311.951</v>
      </c>
      <c r="N931" s="9">
        <f>STATS1003B!N974/1000</f>
        <v>0</v>
      </c>
      <c r="O931" s="9">
        <f>STATS1003B!O974/1000</f>
        <v>0</v>
      </c>
      <c r="P931" s="9">
        <f>STATS1003B!P974/1000</f>
        <v>0</v>
      </c>
      <c r="Q931" s="9">
        <f>STATS1003B!Q974/1000</f>
        <v>0</v>
      </c>
      <c r="R931" s="9">
        <f>STATS1003B!R974/1000</f>
        <v>0</v>
      </c>
      <c r="S931" s="9">
        <f>STATS1003B!S974/1000</f>
        <v>0</v>
      </c>
      <c r="T931" s="9">
        <f>STATS1003B!T974/1000</f>
        <v>0</v>
      </c>
      <c r="U931" s="9">
        <f>STATS1003B!U974/1000</f>
        <v>0</v>
      </c>
      <c r="V931" s="9">
        <f>STATS1003B!V974/1000</f>
        <v>2311.951</v>
      </c>
      <c r="W931" s="9">
        <f>STATS1003B!W974/1000</f>
        <v>511.02800000000002</v>
      </c>
      <c r="X931" s="9">
        <f>STATS1003B!X974/1000</f>
        <v>2311.951</v>
      </c>
      <c r="Y931" s="9">
        <f>STATS1003B!Y974/1000</f>
        <v>0</v>
      </c>
      <c r="Z931" s="9">
        <f>STATS1003B!Z974/1000</f>
        <v>511.02800000000002</v>
      </c>
      <c r="AA931" s="9">
        <f>STATS1003B!AA974/1000</f>
        <v>2311.951</v>
      </c>
      <c r="AB931" s="9">
        <f>STATS1003B!AB974/1000</f>
        <v>511.02800000000002</v>
      </c>
    </row>
    <row r="932" spans="1:28" x14ac:dyDescent="0.35">
      <c r="A932" s="36"/>
      <c r="B932" s="8"/>
      <c r="C932" s="7" t="s">
        <v>210</v>
      </c>
      <c r="D932" s="15" t="s">
        <v>54</v>
      </c>
      <c r="E932" s="9">
        <f>STATS1003B!E975/1000</f>
        <v>751.83299999999997</v>
      </c>
      <c r="F932" s="9">
        <f>STATS1003B!F975/1000</f>
        <v>751.83299999999997</v>
      </c>
      <c r="G932" s="9">
        <f>STATS1003B!G975/1000</f>
        <v>0</v>
      </c>
      <c r="H932" s="9">
        <f>STATS1003B!H975/1000</f>
        <v>751.83299999999997</v>
      </c>
      <c r="I932" s="9">
        <f>STATS1003B!I975/1000</f>
        <v>0</v>
      </c>
      <c r="J932" s="9">
        <f>STATS1003B!J975/1000</f>
        <v>0</v>
      </c>
      <c r="K932" s="9">
        <f>STATS1003B!K975/1000</f>
        <v>0</v>
      </c>
      <c r="L932" s="9">
        <f>STATS1003B!L975/1000</f>
        <v>0</v>
      </c>
      <c r="M932" s="9">
        <f>STATS1003B!M975/1000</f>
        <v>751.83299999999997</v>
      </c>
      <c r="N932" s="9">
        <f>STATS1003B!N975/1000</f>
        <v>0</v>
      </c>
      <c r="O932" s="9">
        <f>STATS1003B!O975/1000</f>
        <v>0</v>
      </c>
      <c r="P932" s="9">
        <f>STATS1003B!P975/1000</f>
        <v>0</v>
      </c>
      <c r="Q932" s="9">
        <f>STATS1003B!Q975/1000</f>
        <v>0</v>
      </c>
      <c r="R932" s="9">
        <f>STATS1003B!R975/1000</f>
        <v>0</v>
      </c>
      <c r="S932" s="9">
        <f>STATS1003B!S975/1000</f>
        <v>0</v>
      </c>
      <c r="T932" s="9">
        <f>STATS1003B!T975/1000</f>
        <v>0</v>
      </c>
      <c r="U932" s="9">
        <f>STATS1003B!U975/1000</f>
        <v>0</v>
      </c>
      <c r="V932" s="9">
        <f>STATS1003B!V975/1000</f>
        <v>751.83299999999997</v>
      </c>
      <c r="W932" s="9">
        <f>STATS1003B!W975/1000</f>
        <v>0</v>
      </c>
      <c r="X932" s="9">
        <f>STATS1003B!X975/1000</f>
        <v>751.83299999999997</v>
      </c>
      <c r="Y932" s="9">
        <f>STATS1003B!Y975/1000</f>
        <v>0</v>
      </c>
      <c r="Z932" s="9">
        <f>STATS1003B!Z975/1000</f>
        <v>0</v>
      </c>
      <c r="AA932" s="9">
        <f>STATS1003B!AA975/1000</f>
        <v>751.83299999999997</v>
      </c>
      <c r="AB932" s="9">
        <f>STATS1003B!AB975/1000</f>
        <v>0</v>
      </c>
    </row>
    <row r="933" spans="1:28" x14ac:dyDescent="0.35">
      <c r="A933" s="36"/>
      <c r="B933" s="8"/>
      <c r="C933" s="7" t="s">
        <v>107</v>
      </c>
      <c r="D933" s="15" t="s">
        <v>211</v>
      </c>
      <c r="E933" s="9">
        <f>STATS1003B!E976/1000</f>
        <v>17375.13222</v>
      </c>
      <c r="F933" s="9">
        <f>STATS1003B!F976/1000</f>
        <v>17375.13222</v>
      </c>
      <c r="G933" s="9">
        <f>STATS1003B!G976/1000</f>
        <v>0</v>
      </c>
      <c r="H933" s="9">
        <f>STATS1003B!H976/1000</f>
        <v>17375.13222</v>
      </c>
      <c r="I933" s="9">
        <f>STATS1003B!I976/1000</f>
        <v>0</v>
      </c>
      <c r="J933" s="9">
        <f>STATS1003B!J976/1000</f>
        <v>0</v>
      </c>
      <c r="K933" s="9">
        <f>STATS1003B!K976/1000</f>
        <v>0</v>
      </c>
      <c r="L933" s="9">
        <f>STATS1003B!L976/1000</f>
        <v>0</v>
      </c>
      <c r="M933" s="9">
        <f>STATS1003B!M976/1000</f>
        <v>17375.13222</v>
      </c>
      <c r="N933" s="9">
        <f>STATS1003B!N976/1000</f>
        <v>0</v>
      </c>
      <c r="O933" s="9">
        <f>STATS1003B!O976/1000</f>
        <v>0</v>
      </c>
      <c r="P933" s="9">
        <f>STATS1003B!P976/1000</f>
        <v>0</v>
      </c>
      <c r="Q933" s="9">
        <f>STATS1003B!Q976/1000</f>
        <v>0</v>
      </c>
      <c r="R933" s="9">
        <f>STATS1003B!R976/1000</f>
        <v>0</v>
      </c>
      <c r="S933" s="9">
        <f>STATS1003B!S976/1000</f>
        <v>0</v>
      </c>
      <c r="T933" s="9">
        <f>STATS1003B!T976/1000</f>
        <v>0</v>
      </c>
      <c r="U933" s="9">
        <f>STATS1003B!U976/1000</f>
        <v>0</v>
      </c>
      <c r="V933" s="9">
        <f>STATS1003B!V976/1000</f>
        <v>17375.13222</v>
      </c>
      <c r="W933" s="9">
        <f>STATS1003B!W976/1000</f>
        <v>0</v>
      </c>
      <c r="X933" s="9">
        <f>STATS1003B!X976/1000</f>
        <v>17375.13222</v>
      </c>
      <c r="Y933" s="9">
        <f>STATS1003B!Y976/1000</f>
        <v>0</v>
      </c>
      <c r="Z933" s="9">
        <f>STATS1003B!Z976/1000</f>
        <v>0</v>
      </c>
      <c r="AA933" s="9">
        <f>STATS1003B!AA976/1000</f>
        <v>17375.13222</v>
      </c>
      <c r="AB933" s="9">
        <f>STATS1003B!AB976/1000</f>
        <v>0</v>
      </c>
    </row>
    <row r="934" spans="1:28" x14ac:dyDescent="0.35">
      <c r="A934" s="36"/>
      <c r="B934" s="8"/>
      <c r="C934" s="7" t="s">
        <v>212</v>
      </c>
      <c r="D934" s="15" t="s">
        <v>85</v>
      </c>
      <c r="E934" s="9">
        <f>STATS1003B!E977/1000</f>
        <v>0</v>
      </c>
      <c r="F934" s="9">
        <f>STATS1003B!F977/1000</f>
        <v>0</v>
      </c>
      <c r="G934" s="9">
        <f>STATS1003B!G977/1000</f>
        <v>0</v>
      </c>
      <c r="H934" s="9">
        <f>STATS1003B!H977/1000</f>
        <v>0</v>
      </c>
      <c r="I934" s="9">
        <f>STATS1003B!I977/1000</f>
        <v>0</v>
      </c>
      <c r="J934" s="9">
        <f>STATS1003B!J977/1000</f>
        <v>0</v>
      </c>
      <c r="K934" s="9">
        <f>STATS1003B!K977/1000</f>
        <v>0</v>
      </c>
      <c r="L934" s="9">
        <f>STATS1003B!L977/1000</f>
        <v>0</v>
      </c>
      <c r="M934" s="9">
        <f>STATS1003B!M977/1000</f>
        <v>0</v>
      </c>
      <c r="N934" s="9">
        <f>STATS1003B!N977/1000</f>
        <v>0</v>
      </c>
      <c r="O934" s="9">
        <f>STATS1003B!O977/1000</f>
        <v>0</v>
      </c>
      <c r="P934" s="9">
        <f>STATS1003B!P977/1000</f>
        <v>0</v>
      </c>
      <c r="Q934" s="9">
        <f>STATS1003B!Q977/1000</f>
        <v>0</v>
      </c>
      <c r="R934" s="9">
        <f>STATS1003B!R977/1000</f>
        <v>0</v>
      </c>
      <c r="S934" s="9">
        <f>STATS1003B!S977/1000</f>
        <v>0</v>
      </c>
      <c r="T934" s="9">
        <f>STATS1003B!T977/1000</f>
        <v>0</v>
      </c>
      <c r="U934" s="9">
        <f>STATS1003B!U977/1000</f>
        <v>0</v>
      </c>
      <c r="V934" s="9">
        <f>STATS1003B!V977/1000</f>
        <v>0</v>
      </c>
      <c r="W934" s="9">
        <f>STATS1003B!W977/1000</f>
        <v>0</v>
      </c>
      <c r="X934" s="9">
        <f>STATS1003B!X977/1000</f>
        <v>0</v>
      </c>
      <c r="Y934" s="9">
        <f>STATS1003B!Y977/1000</f>
        <v>0</v>
      </c>
      <c r="Z934" s="9">
        <f>STATS1003B!Z977/1000</f>
        <v>0</v>
      </c>
      <c r="AA934" s="9">
        <f>STATS1003B!AA977/1000</f>
        <v>0</v>
      </c>
      <c r="AB934" s="9">
        <f>STATS1003B!AB977/1000</f>
        <v>0</v>
      </c>
    </row>
    <row r="935" spans="1:28" x14ac:dyDescent="0.35">
      <c r="A935" s="36"/>
      <c r="B935" s="8"/>
      <c r="C935" s="7" t="s">
        <v>213</v>
      </c>
      <c r="D935" s="15" t="s">
        <v>128</v>
      </c>
      <c r="E935" s="9">
        <f>STATS1003B!E978/1000</f>
        <v>714.46900000000005</v>
      </c>
      <c r="F935" s="9">
        <f>STATS1003B!F978/1000</f>
        <v>714.46900000000005</v>
      </c>
      <c r="G935" s="9">
        <f>STATS1003B!G978/1000</f>
        <v>0</v>
      </c>
      <c r="H935" s="9">
        <f>STATS1003B!H978/1000</f>
        <v>714.46900000000005</v>
      </c>
      <c r="I935" s="9">
        <f>STATS1003B!I978/1000</f>
        <v>0</v>
      </c>
      <c r="J935" s="9">
        <f>STATS1003B!J978/1000</f>
        <v>0</v>
      </c>
      <c r="K935" s="9">
        <f>STATS1003B!K978/1000</f>
        <v>0</v>
      </c>
      <c r="L935" s="9">
        <f>STATS1003B!L978/1000</f>
        <v>0</v>
      </c>
      <c r="M935" s="9">
        <f>STATS1003B!M978/1000</f>
        <v>714.46900000000005</v>
      </c>
      <c r="N935" s="9">
        <f>STATS1003B!N978/1000</f>
        <v>0</v>
      </c>
      <c r="O935" s="9">
        <f>STATS1003B!O978/1000</f>
        <v>0</v>
      </c>
      <c r="P935" s="9">
        <f>STATS1003B!P978/1000</f>
        <v>0</v>
      </c>
      <c r="Q935" s="9">
        <f>STATS1003B!Q978/1000</f>
        <v>0</v>
      </c>
      <c r="R935" s="9">
        <f>STATS1003B!R978/1000</f>
        <v>0</v>
      </c>
      <c r="S935" s="9">
        <f>STATS1003B!S978/1000</f>
        <v>0</v>
      </c>
      <c r="T935" s="9">
        <f>STATS1003B!T978/1000</f>
        <v>0</v>
      </c>
      <c r="U935" s="9">
        <f>STATS1003B!U978/1000</f>
        <v>0</v>
      </c>
      <c r="V935" s="9">
        <f>STATS1003B!V978/1000</f>
        <v>714.46900000000005</v>
      </c>
      <c r="W935" s="9">
        <f>STATS1003B!W978/1000</f>
        <v>0</v>
      </c>
      <c r="X935" s="9">
        <f>STATS1003B!X978/1000</f>
        <v>714.46900000000005</v>
      </c>
      <c r="Y935" s="9">
        <f>STATS1003B!Y978/1000</f>
        <v>0</v>
      </c>
      <c r="Z935" s="9">
        <f>STATS1003B!Z978/1000</f>
        <v>0</v>
      </c>
      <c r="AA935" s="9">
        <f>STATS1003B!AA978/1000</f>
        <v>714.46900000000005</v>
      </c>
      <c r="AB935" s="9">
        <f>STATS1003B!AB978/1000</f>
        <v>0</v>
      </c>
    </row>
    <row r="936" spans="1:28" x14ac:dyDescent="0.35">
      <c r="A936" s="36"/>
      <c r="B936" s="8"/>
      <c r="C936" s="7" t="s">
        <v>57</v>
      </c>
      <c r="D936" s="15" t="s">
        <v>58</v>
      </c>
      <c r="E936" s="9">
        <f>STATS1003B!E979/1000</f>
        <v>9371.2459999999992</v>
      </c>
      <c r="F936" s="9">
        <f>STATS1003B!F979/1000</f>
        <v>9371.2459999999992</v>
      </c>
      <c r="G936" s="9">
        <f>STATS1003B!G979/1000</f>
        <v>0</v>
      </c>
      <c r="H936" s="9">
        <f>STATS1003B!H979/1000</f>
        <v>9371.2459999999992</v>
      </c>
      <c r="I936" s="9">
        <f>STATS1003B!I979/1000</f>
        <v>0</v>
      </c>
      <c r="J936" s="9">
        <f>STATS1003B!J979/1000</f>
        <v>0</v>
      </c>
      <c r="K936" s="9">
        <f>STATS1003B!K979/1000</f>
        <v>0</v>
      </c>
      <c r="L936" s="9">
        <f>STATS1003B!L979/1000</f>
        <v>0</v>
      </c>
      <c r="M936" s="9">
        <f>STATS1003B!M979/1000</f>
        <v>9371.2459999999992</v>
      </c>
      <c r="N936" s="9">
        <f>STATS1003B!N979/1000</f>
        <v>0</v>
      </c>
      <c r="O936" s="9">
        <f>STATS1003B!O979/1000</f>
        <v>0</v>
      </c>
      <c r="P936" s="9">
        <f>STATS1003B!P979/1000</f>
        <v>0</v>
      </c>
      <c r="Q936" s="9">
        <f>STATS1003B!Q979/1000</f>
        <v>0</v>
      </c>
      <c r="R936" s="9">
        <f>STATS1003B!R979/1000</f>
        <v>0</v>
      </c>
      <c r="S936" s="9">
        <f>STATS1003B!S979/1000</f>
        <v>0</v>
      </c>
      <c r="T936" s="9">
        <f>STATS1003B!T979/1000</f>
        <v>0</v>
      </c>
      <c r="U936" s="9">
        <f>STATS1003B!U979/1000</f>
        <v>0</v>
      </c>
      <c r="V936" s="9">
        <f>STATS1003B!V979/1000</f>
        <v>9371.2459999999992</v>
      </c>
      <c r="W936" s="9">
        <f>STATS1003B!W979/1000</f>
        <v>0</v>
      </c>
      <c r="X936" s="9">
        <f>STATS1003B!X979/1000</f>
        <v>9371.2459999999992</v>
      </c>
      <c r="Y936" s="9">
        <f>STATS1003B!Y979/1000</f>
        <v>0</v>
      </c>
      <c r="Z936" s="9">
        <f>STATS1003B!Z979/1000</f>
        <v>0</v>
      </c>
      <c r="AA936" s="9">
        <f>STATS1003B!AA979/1000</f>
        <v>9371.2459999999992</v>
      </c>
      <c r="AB936" s="9">
        <f>STATS1003B!AB979/1000</f>
        <v>0</v>
      </c>
    </row>
    <row r="937" spans="1:28" x14ac:dyDescent="0.35">
      <c r="A937" s="36"/>
      <c r="B937" s="8"/>
      <c r="C937" s="7" t="s">
        <v>214</v>
      </c>
      <c r="D937" s="15" t="s">
        <v>194</v>
      </c>
      <c r="E937" s="9">
        <f>STATS1003B!E980/1000</f>
        <v>12907.53745</v>
      </c>
      <c r="F937" s="9">
        <f>STATS1003B!F980/1000</f>
        <v>12907.53745</v>
      </c>
      <c r="G937" s="9">
        <f>STATS1003B!G980/1000</f>
        <v>0</v>
      </c>
      <c r="H937" s="9">
        <f>STATS1003B!H980/1000</f>
        <v>12907.53745</v>
      </c>
      <c r="I937" s="9">
        <f>STATS1003B!I980/1000</f>
        <v>0</v>
      </c>
      <c r="J937" s="9">
        <f>STATS1003B!J980/1000</f>
        <v>0</v>
      </c>
      <c r="K937" s="9">
        <f>STATS1003B!K980/1000</f>
        <v>0</v>
      </c>
      <c r="L937" s="9">
        <f>STATS1003B!L980/1000</f>
        <v>0</v>
      </c>
      <c r="M937" s="9">
        <f>STATS1003B!M980/1000</f>
        <v>12907.53745</v>
      </c>
      <c r="N937" s="9">
        <f>STATS1003B!N980/1000</f>
        <v>0</v>
      </c>
      <c r="O937" s="9">
        <f>STATS1003B!O980/1000</f>
        <v>0</v>
      </c>
      <c r="P937" s="9">
        <f>STATS1003B!P980/1000</f>
        <v>0</v>
      </c>
      <c r="Q937" s="9">
        <f>STATS1003B!Q980/1000</f>
        <v>0</v>
      </c>
      <c r="R937" s="9">
        <f>STATS1003B!R980/1000</f>
        <v>0</v>
      </c>
      <c r="S937" s="9">
        <f>STATS1003B!S980/1000</f>
        <v>0</v>
      </c>
      <c r="T937" s="9">
        <f>STATS1003B!T980/1000</f>
        <v>0</v>
      </c>
      <c r="U937" s="9">
        <f>STATS1003B!U980/1000</f>
        <v>0</v>
      </c>
      <c r="V937" s="9">
        <f>STATS1003B!V980/1000</f>
        <v>12907.53745</v>
      </c>
      <c r="W937" s="9">
        <f>STATS1003B!W980/1000</f>
        <v>0</v>
      </c>
      <c r="X937" s="9">
        <f>STATS1003B!X980/1000</f>
        <v>12907.53745</v>
      </c>
      <c r="Y937" s="9">
        <f>STATS1003B!Y980/1000</f>
        <v>0</v>
      </c>
      <c r="Z937" s="9">
        <f>STATS1003B!Z980/1000</f>
        <v>0</v>
      </c>
      <c r="AA937" s="9">
        <f>STATS1003B!AA980/1000</f>
        <v>12907.53745</v>
      </c>
      <c r="AB937" s="9">
        <f>STATS1003B!AB980/1000</f>
        <v>0</v>
      </c>
    </row>
    <row r="938" spans="1:28" x14ac:dyDescent="0.35">
      <c r="A938" s="36"/>
      <c r="B938" s="8"/>
      <c r="C938" s="14" t="s">
        <v>109</v>
      </c>
      <c r="D938" s="21" t="s">
        <v>60</v>
      </c>
      <c r="E938" s="9">
        <f>STATS1003B!E982/1000</f>
        <v>15708.457560000001</v>
      </c>
      <c r="F938" s="9">
        <f>STATS1003B!F982/1000</f>
        <v>15708.457560000001</v>
      </c>
      <c r="G938" s="9">
        <f>STATS1003B!G982/1000</f>
        <v>0</v>
      </c>
      <c r="H938" s="9">
        <f>STATS1003B!H982/1000</f>
        <v>15708.457560000001</v>
      </c>
      <c r="I938" s="9">
        <f>STATS1003B!I982/1000</f>
        <v>0</v>
      </c>
      <c r="J938" s="9">
        <f>STATS1003B!J982/1000</f>
        <v>0</v>
      </c>
      <c r="K938" s="9">
        <f>STATS1003B!K982/1000</f>
        <v>0</v>
      </c>
      <c r="L938" s="9">
        <f>STATS1003B!L982/1000</f>
        <v>0</v>
      </c>
      <c r="M938" s="9">
        <f>STATS1003B!M982/1000</f>
        <v>15708.457560000001</v>
      </c>
      <c r="N938" s="9">
        <f>STATS1003B!N982/1000</f>
        <v>0</v>
      </c>
      <c r="O938" s="9">
        <f>STATS1003B!O982/1000</f>
        <v>0</v>
      </c>
      <c r="P938" s="9">
        <f>STATS1003B!P982/1000</f>
        <v>0</v>
      </c>
      <c r="Q938" s="9">
        <f>STATS1003B!Q982/1000</f>
        <v>0</v>
      </c>
      <c r="R938" s="9">
        <f>STATS1003B!R982/1000</f>
        <v>0</v>
      </c>
      <c r="S938" s="9">
        <f>STATS1003B!S982/1000</f>
        <v>0</v>
      </c>
      <c r="T938" s="9">
        <f>STATS1003B!T982/1000</f>
        <v>0</v>
      </c>
      <c r="U938" s="9">
        <f>STATS1003B!U982/1000</f>
        <v>0</v>
      </c>
      <c r="V938" s="9">
        <f>STATS1003B!V982/1000</f>
        <v>15708.457560000001</v>
      </c>
      <c r="W938" s="9">
        <f>STATS1003B!W982/1000</f>
        <v>0</v>
      </c>
      <c r="X938" s="9">
        <f>STATS1003B!X982/1000</f>
        <v>15708.457560000001</v>
      </c>
      <c r="Y938" s="9">
        <f>STATS1003B!Y982/1000</f>
        <v>0</v>
      </c>
      <c r="Z938" s="9">
        <f>STATS1003B!Z982/1000</f>
        <v>0</v>
      </c>
      <c r="AA938" s="9">
        <f>STATS1003B!AA982/1000</f>
        <v>15708.457560000001</v>
      </c>
      <c r="AB938" s="9">
        <f>STATS1003B!AB982/1000</f>
        <v>0</v>
      </c>
    </row>
    <row r="939" spans="1:28" x14ac:dyDescent="0.35">
      <c r="A939" s="36"/>
      <c r="B939" s="8"/>
      <c r="C939" s="7" t="s">
        <v>57</v>
      </c>
      <c r="D939" s="24" t="s">
        <v>61</v>
      </c>
      <c r="E939" s="9">
        <f>STATS1003B!E983/1000</f>
        <v>715.71341000000007</v>
      </c>
      <c r="F939" s="9">
        <f>STATS1003B!F983/1000</f>
        <v>715.71341000000007</v>
      </c>
      <c r="G939" s="9">
        <f>STATS1003B!G983/1000</f>
        <v>0</v>
      </c>
      <c r="H939" s="9">
        <f>STATS1003B!H983/1000</f>
        <v>715.71341000000007</v>
      </c>
      <c r="I939" s="9">
        <f>STATS1003B!I983/1000</f>
        <v>0</v>
      </c>
      <c r="J939" s="9">
        <f>STATS1003B!J983/1000</f>
        <v>0</v>
      </c>
      <c r="K939" s="9">
        <f>STATS1003B!K983/1000</f>
        <v>0</v>
      </c>
      <c r="L939" s="9">
        <f>STATS1003B!L983/1000</f>
        <v>0</v>
      </c>
      <c r="M939" s="9">
        <f>STATS1003B!M983/1000</f>
        <v>715.71341000000007</v>
      </c>
      <c r="N939" s="9">
        <f>STATS1003B!N983/1000</f>
        <v>0</v>
      </c>
      <c r="O939" s="9">
        <f>STATS1003B!O983/1000</f>
        <v>0</v>
      </c>
      <c r="P939" s="9">
        <f>STATS1003B!P983/1000</f>
        <v>0</v>
      </c>
      <c r="Q939" s="9">
        <f>STATS1003B!Q983/1000</f>
        <v>0</v>
      </c>
      <c r="R939" s="9">
        <f>STATS1003B!R983/1000</f>
        <v>0</v>
      </c>
      <c r="S939" s="9">
        <f>STATS1003B!S983/1000</f>
        <v>0</v>
      </c>
      <c r="T939" s="9">
        <f>STATS1003B!T983/1000</f>
        <v>0</v>
      </c>
      <c r="U939" s="9">
        <f>STATS1003B!U983/1000</f>
        <v>0</v>
      </c>
      <c r="V939" s="9">
        <f>STATS1003B!V983/1000</f>
        <v>715.71341000000007</v>
      </c>
      <c r="W939" s="9">
        <f>STATS1003B!W983/1000</f>
        <v>0</v>
      </c>
      <c r="X939" s="9">
        <f>STATS1003B!X983/1000</f>
        <v>715.71341000000007</v>
      </c>
      <c r="Y939" s="9">
        <f>STATS1003B!Y983/1000</f>
        <v>0</v>
      </c>
      <c r="Z939" s="9">
        <f>STATS1003B!Z983/1000</f>
        <v>0</v>
      </c>
      <c r="AA939" s="9">
        <f>STATS1003B!AA983/1000</f>
        <v>715.71341000000007</v>
      </c>
      <c r="AB939" s="9">
        <f>STATS1003B!AB983/1000</f>
        <v>0</v>
      </c>
    </row>
    <row r="940" spans="1:28" x14ac:dyDescent="0.35">
      <c r="A940" s="36"/>
      <c r="B940" s="8"/>
      <c r="C940" s="8"/>
      <c r="D940" s="8"/>
      <c r="E940" s="17" t="s">
        <v>29</v>
      </c>
      <c r="F940" s="17" t="s">
        <v>29</v>
      </c>
      <c r="G940" s="17" t="s">
        <v>29</v>
      </c>
      <c r="H940" s="17" t="s">
        <v>29</v>
      </c>
      <c r="I940" s="17" t="s">
        <v>29</v>
      </c>
      <c r="J940" s="17" t="s">
        <v>29</v>
      </c>
      <c r="K940" s="17" t="s">
        <v>29</v>
      </c>
      <c r="L940" s="17" t="s">
        <v>29</v>
      </c>
      <c r="M940" s="17" t="s">
        <v>29</v>
      </c>
      <c r="N940" s="17" t="s">
        <v>29</v>
      </c>
      <c r="O940" s="17" t="s">
        <v>29</v>
      </c>
      <c r="P940" s="17" t="s">
        <v>29</v>
      </c>
      <c r="Q940" s="17" t="s">
        <v>29</v>
      </c>
      <c r="R940" s="17" t="s">
        <v>29</v>
      </c>
      <c r="S940" s="17" t="s">
        <v>29</v>
      </c>
      <c r="T940" s="17" t="s">
        <v>29</v>
      </c>
      <c r="U940" s="17" t="s">
        <v>29</v>
      </c>
      <c r="V940" s="17" t="s">
        <v>29</v>
      </c>
      <c r="W940" s="17" t="s">
        <v>29</v>
      </c>
      <c r="X940" s="17" t="s">
        <v>29</v>
      </c>
      <c r="Y940" s="17" t="s">
        <v>29</v>
      </c>
      <c r="Z940" s="17" t="s">
        <v>29</v>
      </c>
      <c r="AA940" s="17" t="s">
        <v>29</v>
      </c>
      <c r="AB940" s="17" t="s">
        <v>29</v>
      </c>
    </row>
    <row r="941" spans="1:28" x14ac:dyDescent="0.35">
      <c r="A941" s="36"/>
      <c r="B941" s="8"/>
      <c r="C941" s="8"/>
      <c r="D941" s="8"/>
      <c r="E941" s="9">
        <f t="shared" ref="E941:AB941" si="72">SUM(E926:E939)</f>
        <v>87055.023559999987</v>
      </c>
      <c r="F941" s="9">
        <f t="shared" si="72"/>
        <v>78667.068679999997</v>
      </c>
      <c r="G941" s="9">
        <f t="shared" si="72"/>
        <v>0</v>
      </c>
      <c r="H941" s="9">
        <f t="shared" si="72"/>
        <v>78667.068679999997</v>
      </c>
      <c r="I941" s="9">
        <f t="shared" si="72"/>
        <v>0</v>
      </c>
      <c r="J941" s="9">
        <f t="shared" si="72"/>
        <v>0</v>
      </c>
      <c r="K941" s="9">
        <f t="shared" si="72"/>
        <v>0</v>
      </c>
      <c r="L941" s="9">
        <f t="shared" si="72"/>
        <v>0</v>
      </c>
      <c r="M941" s="9">
        <f t="shared" si="72"/>
        <v>78667.068679999997</v>
      </c>
      <c r="N941" s="9">
        <f t="shared" si="72"/>
        <v>7876.9268799999991</v>
      </c>
      <c r="O941" s="9">
        <f t="shared" si="72"/>
        <v>0</v>
      </c>
      <c r="P941" s="9">
        <f t="shared" si="72"/>
        <v>7876.9268799999991</v>
      </c>
      <c r="Q941" s="9">
        <f t="shared" si="72"/>
        <v>0</v>
      </c>
      <c r="R941" s="9">
        <f t="shared" si="72"/>
        <v>0</v>
      </c>
      <c r="S941" s="9">
        <f t="shared" si="72"/>
        <v>0</v>
      </c>
      <c r="T941" s="9">
        <f t="shared" si="72"/>
        <v>0</v>
      </c>
      <c r="U941" s="9">
        <f t="shared" si="72"/>
        <v>7876.9268799999991</v>
      </c>
      <c r="V941" s="9">
        <f t="shared" si="72"/>
        <v>86543.995559999981</v>
      </c>
      <c r="W941" s="9">
        <f t="shared" si="72"/>
        <v>511.02800000000002</v>
      </c>
      <c r="X941" s="9">
        <f t="shared" si="72"/>
        <v>86543.995559999981</v>
      </c>
      <c r="Y941" s="9">
        <f t="shared" si="72"/>
        <v>0</v>
      </c>
      <c r="Z941" s="9">
        <f t="shared" si="72"/>
        <v>511.02800000000002</v>
      </c>
      <c r="AA941" s="9">
        <f t="shared" si="72"/>
        <v>86543.995559999981</v>
      </c>
      <c r="AB941" s="9">
        <f t="shared" si="72"/>
        <v>511.02800000000002</v>
      </c>
    </row>
    <row r="942" spans="1:28" x14ac:dyDescent="0.35">
      <c r="A942" s="36"/>
      <c r="B942" s="8"/>
      <c r="C942" s="8"/>
      <c r="D942" s="8"/>
      <c r="E942" s="17" t="s">
        <v>29</v>
      </c>
      <c r="F942" s="17" t="s">
        <v>29</v>
      </c>
      <c r="G942" s="17" t="s">
        <v>29</v>
      </c>
      <c r="H942" s="17" t="s">
        <v>29</v>
      </c>
      <c r="I942" s="17" t="s">
        <v>29</v>
      </c>
      <c r="J942" s="17" t="s">
        <v>29</v>
      </c>
      <c r="K942" s="17" t="s">
        <v>29</v>
      </c>
      <c r="L942" s="17" t="s">
        <v>29</v>
      </c>
      <c r="M942" s="17" t="s">
        <v>29</v>
      </c>
      <c r="N942" s="17" t="s">
        <v>29</v>
      </c>
      <c r="O942" s="17" t="s">
        <v>29</v>
      </c>
      <c r="P942" s="17" t="s">
        <v>29</v>
      </c>
      <c r="Q942" s="17" t="s">
        <v>29</v>
      </c>
      <c r="R942" s="17" t="s">
        <v>29</v>
      </c>
      <c r="S942" s="17" t="s">
        <v>29</v>
      </c>
      <c r="T942" s="17" t="s">
        <v>29</v>
      </c>
      <c r="U942" s="17" t="s">
        <v>29</v>
      </c>
      <c r="V942" s="17" t="s">
        <v>29</v>
      </c>
      <c r="W942" s="17" t="s">
        <v>29</v>
      </c>
      <c r="X942" s="17" t="s">
        <v>29</v>
      </c>
      <c r="Y942" s="17" t="s">
        <v>29</v>
      </c>
      <c r="Z942" s="17" t="s">
        <v>29</v>
      </c>
      <c r="AA942" s="17" t="s">
        <v>29</v>
      </c>
      <c r="AB942" s="17" t="s">
        <v>29</v>
      </c>
    </row>
    <row r="943" spans="1:28" x14ac:dyDescent="0.35">
      <c r="A943" s="36"/>
      <c r="B943" s="7" t="s">
        <v>215</v>
      </c>
      <c r="C943" s="8"/>
      <c r="D943" s="8"/>
      <c r="E943" s="22">
        <f>E941-77914450.96</f>
        <v>-77827395.936439991</v>
      </c>
      <c r="F943" s="22">
        <f>F941-71185418.47</f>
        <v>-71106751.401319996</v>
      </c>
      <c r="G943" s="22">
        <f>G941-0</f>
        <v>0</v>
      </c>
      <c r="H943" s="22">
        <f>H941-71185418.47</f>
        <v>-71106751.401319996</v>
      </c>
      <c r="I943" s="22">
        <f>I941-77914450.96</f>
        <v>-77914450.959999993</v>
      </c>
      <c r="J943" s="22">
        <f>J941-77914450.96</f>
        <v>-77914450.959999993</v>
      </c>
      <c r="K943" s="22">
        <f>K941-77914450.96</f>
        <v>-77914450.959999993</v>
      </c>
      <c r="L943" s="22">
        <f>L941-0</f>
        <v>0</v>
      </c>
      <c r="M943" s="22">
        <f>M941-71185418.47</f>
        <v>-71106751.401319996</v>
      </c>
      <c r="N943" s="22">
        <f>N941-5850452.49</f>
        <v>-5842575.5631200001</v>
      </c>
      <c r="O943" s="22">
        <f>O941-0</f>
        <v>0</v>
      </c>
      <c r="P943" s="22">
        <f>P941-5850452.49</f>
        <v>-5842575.5631200001</v>
      </c>
      <c r="Q943" s="22">
        <f>Q941-77914450.96</f>
        <v>-77914450.959999993</v>
      </c>
      <c r="R943" s="22">
        <f>R941-77914450.96</f>
        <v>-77914450.959999993</v>
      </c>
      <c r="S943" s="22">
        <f>S941-77914450.96</f>
        <v>-77914450.959999993</v>
      </c>
      <c r="T943" s="22">
        <f>T941-0</f>
        <v>0</v>
      </c>
      <c r="U943" s="22">
        <f>U941-5850452.49</f>
        <v>-5842575.5631200001</v>
      </c>
      <c r="V943" s="22">
        <f>V941-77914450.96</f>
        <v>-77827906.964439988</v>
      </c>
      <c r="W943" s="22">
        <f>W941-77914450.96</f>
        <v>-77913939.931999996</v>
      </c>
      <c r="X943" s="22">
        <f>X941-77035870.96</f>
        <v>-76949326.964439988</v>
      </c>
      <c r="Y943" s="22">
        <f>Y941-77914450.96</f>
        <v>-77914450.959999993</v>
      </c>
      <c r="Z943" s="22">
        <f>Z941-878580</f>
        <v>-878068.97199999995</v>
      </c>
    </row>
    <row r="944" spans="1:28" x14ac:dyDescent="0.35">
      <c r="A944" s="36"/>
      <c r="B944" s="8"/>
      <c r="C944" s="7" t="s">
        <v>216</v>
      </c>
      <c r="D944" s="15" t="s">
        <v>128</v>
      </c>
      <c r="E944" s="9">
        <f>STATS1003B!E988/1000</f>
        <v>900</v>
      </c>
      <c r="F944" s="9">
        <f>STATS1003B!F988/1000</f>
        <v>900</v>
      </c>
      <c r="G944" s="9">
        <f>STATS1003B!G988/1000</f>
        <v>0</v>
      </c>
      <c r="H944" s="9">
        <f>STATS1003B!H988/1000</f>
        <v>900</v>
      </c>
      <c r="I944" s="9">
        <f>STATS1003B!I988/1000</f>
        <v>0</v>
      </c>
      <c r="J944" s="9">
        <f>STATS1003B!J988/1000</f>
        <v>0</v>
      </c>
      <c r="K944" s="9">
        <f>STATS1003B!K988/1000</f>
        <v>0</v>
      </c>
      <c r="L944" s="9">
        <f>STATS1003B!L988/1000</f>
        <v>0</v>
      </c>
      <c r="M944" s="9">
        <f>STATS1003B!M988/1000</f>
        <v>900</v>
      </c>
      <c r="N944" s="9">
        <f>STATS1003B!N988/1000</f>
        <v>0</v>
      </c>
      <c r="O944" s="9">
        <f>STATS1003B!O988/1000</f>
        <v>0</v>
      </c>
      <c r="P944" s="9">
        <f>STATS1003B!P988/1000</f>
        <v>0</v>
      </c>
      <c r="Q944" s="9">
        <f>STATS1003B!Q988/1000</f>
        <v>0</v>
      </c>
      <c r="R944" s="9">
        <f>STATS1003B!R988/1000</f>
        <v>0</v>
      </c>
      <c r="S944" s="9">
        <f>STATS1003B!S988/1000</f>
        <v>0</v>
      </c>
      <c r="T944" s="9">
        <f>STATS1003B!T988/1000</f>
        <v>0</v>
      </c>
      <c r="U944" s="9">
        <f>STATS1003B!U988/1000</f>
        <v>0</v>
      </c>
      <c r="V944" s="9">
        <f>STATS1003B!V988/1000</f>
        <v>900</v>
      </c>
      <c r="W944" s="9">
        <f>STATS1003B!W988/1000</f>
        <v>0</v>
      </c>
      <c r="X944" s="9">
        <f>STATS1003B!X988/1000</f>
        <v>900</v>
      </c>
      <c r="Y944" s="9">
        <f>STATS1003B!Y988/1000</f>
        <v>0</v>
      </c>
      <c r="Z944" s="9">
        <f>STATS1003B!Z988/1000</f>
        <v>0</v>
      </c>
      <c r="AA944" s="9">
        <f>STATS1003B!AA988/1000</f>
        <v>900</v>
      </c>
      <c r="AB944" s="9">
        <f>STATS1003B!AB988/1000</f>
        <v>0</v>
      </c>
    </row>
    <row r="945" spans="1:28" x14ac:dyDescent="0.35">
      <c r="A945" s="36"/>
      <c r="B945" s="8"/>
      <c r="C945" s="8"/>
      <c r="D945" s="8"/>
      <c r="E945" s="17" t="s">
        <v>29</v>
      </c>
      <c r="F945" s="17" t="s">
        <v>29</v>
      </c>
      <c r="G945" s="17" t="s">
        <v>29</v>
      </c>
      <c r="H945" s="17" t="s">
        <v>29</v>
      </c>
      <c r="I945" s="17" t="s">
        <v>29</v>
      </c>
      <c r="J945" s="17" t="s">
        <v>29</v>
      </c>
      <c r="K945" s="17" t="s">
        <v>29</v>
      </c>
      <c r="L945" s="17" t="s">
        <v>29</v>
      </c>
      <c r="M945" s="17" t="s">
        <v>29</v>
      </c>
      <c r="N945" s="17" t="s">
        <v>29</v>
      </c>
      <c r="O945" s="17" t="s">
        <v>29</v>
      </c>
      <c r="P945" s="17" t="s">
        <v>29</v>
      </c>
      <c r="Q945" s="17" t="s">
        <v>29</v>
      </c>
      <c r="R945" s="17" t="s">
        <v>29</v>
      </c>
      <c r="S945" s="17" t="s">
        <v>29</v>
      </c>
      <c r="T945" s="17" t="s">
        <v>29</v>
      </c>
      <c r="U945" s="17" t="s">
        <v>29</v>
      </c>
      <c r="V945" s="17" t="s">
        <v>29</v>
      </c>
      <c r="W945" s="17" t="s">
        <v>29</v>
      </c>
      <c r="X945" s="17" t="s">
        <v>29</v>
      </c>
      <c r="Y945" s="17" t="s">
        <v>29</v>
      </c>
      <c r="Z945" s="17" t="s">
        <v>29</v>
      </c>
      <c r="AA945" s="17" t="s">
        <v>29</v>
      </c>
      <c r="AB945" s="17" t="s">
        <v>29</v>
      </c>
    </row>
    <row r="946" spans="1:28" x14ac:dyDescent="0.35">
      <c r="A946" s="36"/>
      <c r="B946" s="8"/>
      <c r="C946" s="8"/>
      <c r="D946" s="8"/>
      <c r="E946" s="9">
        <f t="shared" ref="E946:AB946" si="73">E944</f>
        <v>900</v>
      </c>
      <c r="F946" s="9">
        <f t="shared" si="73"/>
        <v>900</v>
      </c>
      <c r="G946" s="9">
        <f t="shared" si="73"/>
        <v>0</v>
      </c>
      <c r="H946" s="9">
        <f t="shared" si="73"/>
        <v>900</v>
      </c>
      <c r="I946" s="9">
        <f t="shared" si="73"/>
        <v>0</v>
      </c>
      <c r="J946" s="9">
        <f t="shared" si="73"/>
        <v>0</v>
      </c>
      <c r="K946" s="9">
        <f t="shared" si="73"/>
        <v>0</v>
      </c>
      <c r="L946" s="9">
        <f t="shared" si="73"/>
        <v>0</v>
      </c>
      <c r="M946" s="9">
        <f t="shared" si="73"/>
        <v>900</v>
      </c>
      <c r="N946" s="9">
        <f t="shared" si="73"/>
        <v>0</v>
      </c>
      <c r="O946" s="9">
        <f t="shared" si="73"/>
        <v>0</v>
      </c>
      <c r="P946" s="9">
        <f t="shared" si="73"/>
        <v>0</v>
      </c>
      <c r="Q946" s="9">
        <f t="shared" si="73"/>
        <v>0</v>
      </c>
      <c r="R946" s="9">
        <f t="shared" si="73"/>
        <v>0</v>
      </c>
      <c r="S946" s="9">
        <f t="shared" si="73"/>
        <v>0</v>
      </c>
      <c r="T946" s="9">
        <f t="shared" si="73"/>
        <v>0</v>
      </c>
      <c r="U946" s="9">
        <f t="shared" si="73"/>
        <v>0</v>
      </c>
      <c r="V946" s="9">
        <f t="shared" si="73"/>
        <v>900</v>
      </c>
      <c r="W946" s="9">
        <f t="shared" si="73"/>
        <v>0</v>
      </c>
      <c r="X946" s="9">
        <f t="shared" si="73"/>
        <v>900</v>
      </c>
      <c r="Y946" s="9">
        <f t="shared" si="73"/>
        <v>0</v>
      </c>
      <c r="Z946" s="9">
        <f t="shared" si="73"/>
        <v>0</v>
      </c>
      <c r="AA946" s="9">
        <f t="shared" si="73"/>
        <v>900</v>
      </c>
      <c r="AB946" s="9">
        <f t="shared" si="73"/>
        <v>0</v>
      </c>
    </row>
    <row r="947" spans="1:28" x14ac:dyDescent="0.35">
      <c r="A947" s="36"/>
      <c r="B947" s="8"/>
      <c r="C947" s="8"/>
      <c r="D947" s="8"/>
      <c r="E947" s="17" t="s">
        <v>29</v>
      </c>
      <c r="F947" s="17" t="s">
        <v>29</v>
      </c>
      <c r="G947" s="17" t="s">
        <v>29</v>
      </c>
      <c r="H947" s="17" t="s">
        <v>29</v>
      </c>
      <c r="I947" s="17" t="s">
        <v>29</v>
      </c>
      <c r="J947" s="17" t="s">
        <v>29</v>
      </c>
      <c r="K947" s="17" t="s">
        <v>29</v>
      </c>
      <c r="L947" s="17" t="s">
        <v>29</v>
      </c>
      <c r="M947" s="17" t="s">
        <v>29</v>
      </c>
      <c r="N947" s="17" t="s">
        <v>29</v>
      </c>
      <c r="O947" s="17" t="s">
        <v>29</v>
      </c>
      <c r="P947" s="17" t="s">
        <v>29</v>
      </c>
      <c r="Q947" s="17" t="s">
        <v>29</v>
      </c>
      <c r="R947" s="17" t="s">
        <v>29</v>
      </c>
      <c r="S947" s="17" t="s">
        <v>29</v>
      </c>
      <c r="T947" s="17" t="s">
        <v>29</v>
      </c>
      <c r="U947" s="17" t="s">
        <v>29</v>
      </c>
      <c r="V947" s="17" t="s">
        <v>29</v>
      </c>
      <c r="W947" s="17" t="s">
        <v>29</v>
      </c>
      <c r="X947" s="17" t="s">
        <v>29</v>
      </c>
      <c r="Y947" s="17" t="s">
        <v>29</v>
      </c>
      <c r="Z947" s="17" t="s">
        <v>29</v>
      </c>
      <c r="AA947" s="17" t="s">
        <v>29</v>
      </c>
      <c r="AB947" s="17" t="s">
        <v>29</v>
      </c>
    </row>
    <row r="948" spans="1:28" x14ac:dyDescent="0.35">
      <c r="A948" s="38" t="s">
        <v>983</v>
      </c>
      <c r="B948" s="7" t="s">
        <v>217</v>
      </c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8" x14ac:dyDescent="0.35">
      <c r="A949" s="36"/>
      <c r="B949" s="8"/>
      <c r="C949" s="8"/>
      <c r="D949" s="15" t="s">
        <v>218</v>
      </c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8" x14ac:dyDescent="0.35">
      <c r="A950" s="36"/>
      <c r="B950" s="8"/>
      <c r="C950" s="7" t="s">
        <v>219</v>
      </c>
      <c r="D950" s="14" t="s">
        <v>220</v>
      </c>
      <c r="E950" s="9">
        <f>STATS1003B!E994/1000</f>
        <v>16916.30055</v>
      </c>
      <c r="F950" s="9">
        <f>STATS1003B!F994/1000</f>
        <v>12883.74683</v>
      </c>
      <c r="G950" s="9">
        <f>STATS1003B!G994/1000</f>
        <v>0</v>
      </c>
      <c r="H950" s="9">
        <f>STATS1003B!H994/1000</f>
        <v>12883.74683</v>
      </c>
      <c r="I950" s="9">
        <f>STATS1003B!I994/1000</f>
        <v>0</v>
      </c>
      <c r="J950" s="9">
        <f>STATS1003B!J994/1000</f>
        <v>0</v>
      </c>
      <c r="K950" s="9">
        <f>STATS1003B!K994/1000</f>
        <v>0</v>
      </c>
      <c r="L950" s="9">
        <f>STATS1003B!L994/1000</f>
        <v>0</v>
      </c>
      <c r="M950" s="9">
        <f>STATS1003B!M994/1000</f>
        <v>12883.74683</v>
      </c>
      <c r="N950" s="9">
        <f>STATS1003B!N994/1000</f>
        <v>4032.5537199999999</v>
      </c>
      <c r="O950" s="9">
        <f>STATS1003B!O994/1000</f>
        <v>0</v>
      </c>
      <c r="P950" s="9">
        <f>STATS1003B!P994/1000</f>
        <v>4032.5537199999999</v>
      </c>
      <c r="Q950" s="9">
        <f>STATS1003B!Q994/1000</f>
        <v>0</v>
      </c>
      <c r="R950" s="9">
        <f>STATS1003B!R994/1000</f>
        <v>0</v>
      </c>
      <c r="S950" s="9">
        <f>STATS1003B!S994/1000</f>
        <v>0</v>
      </c>
      <c r="T950" s="9">
        <f>STATS1003B!T994/1000</f>
        <v>0</v>
      </c>
      <c r="U950" s="9">
        <f>STATS1003B!U994/1000</f>
        <v>4032.5537199999999</v>
      </c>
      <c r="V950" s="9">
        <f>STATS1003B!V994/1000</f>
        <v>16916.30055</v>
      </c>
      <c r="W950" s="9">
        <f>STATS1003B!W994/1000</f>
        <v>0</v>
      </c>
      <c r="X950" s="9">
        <f>STATS1003B!X994/1000</f>
        <v>16916.30055</v>
      </c>
      <c r="Y950" s="9">
        <f>STATS1003B!Y994/1000</f>
        <v>0</v>
      </c>
      <c r="Z950" s="9">
        <f>STATS1003B!Z994/1000</f>
        <v>0</v>
      </c>
      <c r="AA950" s="9">
        <f>STATS1003B!AA994/1000</f>
        <v>16916.30055</v>
      </c>
      <c r="AB950" s="9">
        <f>STATS1003B!AB994/1000</f>
        <v>0</v>
      </c>
    </row>
    <row r="951" spans="1:28" x14ac:dyDescent="0.35">
      <c r="A951" s="36"/>
      <c r="B951" s="8"/>
      <c r="C951" s="7" t="s">
        <v>172</v>
      </c>
      <c r="D951" s="15" t="s">
        <v>166</v>
      </c>
      <c r="E951" s="9">
        <f>STATS1003B!E995/1000</f>
        <v>1597.144</v>
      </c>
      <c r="F951" s="9">
        <f>STATS1003B!F995/1000</f>
        <v>1597.144</v>
      </c>
      <c r="G951" s="9">
        <f>STATS1003B!G995/1000</f>
        <v>0</v>
      </c>
      <c r="H951" s="9">
        <f>STATS1003B!H995/1000</f>
        <v>1597.144</v>
      </c>
      <c r="I951" s="9">
        <f>STATS1003B!I995/1000</f>
        <v>0</v>
      </c>
      <c r="J951" s="9">
        <f>STATS1003B!J995/1000</f>
        <v>0</v>
      </c>
      <c r="K951" s="9">
        <f>STATS1003B!K995/1000</f>
        <v>0</v>
      </c>
      <c r="L951" s="9">
        <f>STATS1003B!L995/1000</f>
        <v>0</v>
      </c>
      <c r="M951" s="9">
        <f>STATS1003B!M995/1000</f>
        <v>1597.144</v>
      </c>
      <c r="N951" s="9">
        <f>STATS1003B!N995/1000</f>
        <v>0</v>
      </c>
      <c r="O951" s="9">
        <f>STATS1003B!O995/1000</f>
        <v>0</v>
      </c>
      <c r="P951" s="9">
        <f>STATS1003B!P995/1000</f>
        <v>0</v>
      </c>
      <c r="Q951" s="9">
        <f>STATS1003B!Q995/1000</f>
        <v>0</v>
      </c>
      <c r="R951" s="9">
        <f>STATS1003B!R995/1000</f>
        <v>0</v>
      </c>
      <c r="S951" s="9">
        <f>STATS1003B!S995/1000</f>
        <v>0</v>
      </c>
      <c r="T951" s="9">
        <f>STATS1003B!T995/1000</f>
        <v>0</v>
      </c>
      <c r="U951" s="9">
        <f>STATS1003B!U995/1000</f>
        <v>0</v>
      </c>
      <c r="V951" s="9">
        <f>STATS1003B!V995/1000</f>
        <v>1597.144</v>
      </c>
      <c r="W951" s="9">
        <f>STATS1003B!W995/1000</f>
        <v>0</v>
      </c>
      <c r="X951" s="9">
        <f>STATS1003B!X995/1000</f>
        <v>1597.144</v>
      </c>
      <c r="Y951" s="9">
        <f>STATS1003B!Y995/1000</f>
        <v>0</v>
      </c>
      <c r="Z951" s="9">
        <f>STATS1003B!Z995/1000</f>
        <v>0</v>
      </c>
      <c r="AA951" s="9">
        <f>STATS1003B!AA995/1000</f>
        <v>1597.144</v>
      </c>
      <c r="AB951" s="9">
        <f>STATS1003B!AB995/1000</f>
        <v>0</v>
      </c>
    </row>
    <row r="952" spans="1:28" x14ac:dyDescent="0.35">
      <c r="A952" s="36"/>
      <c r="B952" s="8"/>
      <c r="C952" s="7" t="s">
        <v>221</v>
      </c>
      <c r="D952" s="16" t="s">
        <v>68</v>
      </c>
      <c r="E952" s="9">
        <f>STATS1003B!E996/1000</f>
        <v>1224.4970000000001</v>
      </c>
      <c r="F952" s="9">
        <f>STATS1003B!F996/1000</f>
        <v>1224.4970000000001</v>
      </c>
      <c r="G952" s="9">
        <f>STATS1003B!G996/1000</f>
        <v>0</v>
      </c>
      <c r="H952" s="9">
        <f>STATS1003B!H996/1000</f>
        <v>1224.4970000000001</v>
      </c>
      <c r="I952" s="9">
        <f>STATS1003B!I996/1000</f>
        <v>0</v>
      </c>
      <c r="J952" s="9">
        <f>STATS1003B!J996/1000</f>
        <v>0</v>
      </c>
      <c r="K952" s="9">
        <f>STATS1003B!K996/1000</f>
        <v>0</v>
      </c>
      <c r="L952" s="9">
        <f>STATS1003B!L996/1000</f>
        <v>0</v>
      </c>
      <c r="M952" s="9">
        <f>STATS1003B!M996/1000</f>
        <v>1224.4970000000001</v>
      </c>
      <c r="N952" s="9">
        <f>STATS1003B!N996/1000</f>
        <v>0</v>
      </c>
      <c r="O952" s="9">
        <f>STATS1003B!O996/1000</f>
        <v>0</v>
      </c>
      <c r="P952" s="9">
        <f>STATS1003B!P996/1000</f>
        <v>0</v>
      </c>
      <c r="Q952" s="9">
        <f>STATS1003B!Q996/1000</f>
        <v>0</v>
      </c>
      <c r="R952" s="9">
        <f>STATS1003B!R996/1000</f>
        <v>0</v>
      </c>
      <c r="S952" s="9">
        <f>STATS1003B!S996/1000</f>
        <v>0</v>
      </c>
      <c r="T952" s="9">
        <f>STATS1003B!T996/1000</f>
        <v>0</v>
      </c>
      <c r="U952" s="9">
        <f>STATS1003B!U996/1000</f>
        <v>0</v>
      </c>
      <c r="V952" s="9">
        <f>STATS1003B!V996/1000</f>
        <v>1224.4970000000001</v>
      </c>
      <c r="W952" s="9">
        <f>STATS1003B!W996/1000</f>
        <v>0</v>
      </c>
      <c r="X952" s="9">
        <f>STATS1003B!X996/1000</f>
        <v>1224.4970000000001</v>
      </c>
      <c r="Y952" s="9">
        <f>STATS1003B!Y996/1000</f>
        <v>0</v>
      </c>
      <c r="Z952" s="9">
        <f>STATS1003B!Z996/1000</f>
        <v>0</v>
      </c>
      <c r="AA952" s="9">
        <f>STATS1003B!AA996/1000</f>
        <v>1224.4970000000001</v>
      </c>
      <c r="AB952" s="9">
        <f>STATS1003B!AB996/1000</f>
        <v>0</v>
      </c>
    </row>
    <row r="953" spans="1:28" x14ac:dyDescent="0.35">
      <c r="A953" s="36"/>
      <c r="B953" s="8"/>
      <c r="C953" s="7" t="s">
        <v>222</v>
      </c>
      <c r="D953" s="8"/>
      <c r="E953" s="9">
        <f>STATS1003B!E997/1000</f>
        <v>0</v>
      </c>
      <c r="F953" s="9">
        <f>STATS1003B!F997/1000</f>
        <v>0</v>
      </c>
      <c r="G953" s="9">
        <f>STATS1003B!G997/1000</f>
        <v>0</v>
      </c>
      <c r="H953" s="9">
        <f>STATS1003B!H997/1000</f>
        <v>0</v>
      </c>
      <c r="I953" s="9">
        <f>STATS1003B!I997/1000</f>
        <v>0</v>
      </c>
      <c r="J953" s="9">
        <f>STATS1003B!J997/1000</f>
        <v>0</v>
      </c>
      <c r="K953" s="9">
        <f>STATS1003B!K997/1000</f>
        <v>0</v>
      </c>
      <c r="L953" s="9">
        <f>STATS1003B!L997/1000</f>
        <v>0</v>
      </c>
      <c r="M953" s="9">
        <f>STATS1003B!M997/1000</f>
        <v>0</v>
      </c>
      <c r="N953" s="9">
        <f>STATS1003B!N997/1000</f>
        <v>0</v>
      </c>
      <c r="O953" s="9">
        <f>STATS1003B!O997/1000</f>
        <v>0</v>
      </c>
      <c r="P953" s="9">
        <f>STATS1003B!P997/1000</f>
        <v>0</v>
      </c>
      <c r="Q953" s="9">
        <f>STATS1003B!Q997/1000</f>
        <v>0</v>
      </c>
      <c r="R953" s="9">
        <f>STATS1003B!R997/1000</f>
        <v>0</v>
      </c>
      <c r="S953" s="9">
        <f>STATS1003B!S997/1000</f>
        <v>0</v>
      </c>
      <c r="T953" s="9">
        <f>STATS1003B!T997/1000</f>
        <v>0</v>
      </c>
      <c r="U953" s="9">
        <f>STATS1003B!U997/1000</f>
        <v>0</v>
      </c>
      <c r="V953" s="9">
        <f>STATS1003B!V997/1000</f>
        <v>0</v>
      </c>
      <c r="W953" s="9">
        <f>STATS1003B!W997/1000</f>
        <v>0</v>
      </c>
      <c r="X953" s="9">
        <f>STATS1003B!X997/1000</f>
        <v>0</v>
      </c>
      <c r="Y953" s="9">
        <f>STATS1003B!Y997/1000</f>
        <v>0</v>
      </c>
      <c r="Z953" s="9">
        <f>STATS1003B!Z997/1000</f>
        <v>0</v>
      </c>
      <c r="AA953" s="9">
        <f>STATS1003B!AA997/1000</f>
        <v>0</v>
      </c>
      <c r="AB953" s="9">
        <f>STATS1003B!AB997/1000</f>
        <v>0</v>
      </c>
    </row>
    <row r="954" spans="1:28" x14ac:dyDescent="0.35">
      <c r="A954" s="36"/>
      <c r="B954" s="8"/>
      <c r="C954" s="7" t="s">
        <v>53</v>
      </c>
      <c r="D954" s="15" t="s">
        <v>54</v>
      </c>
      <c r="E954" s="9">
        <f>STATS1003B!E998/1000</f>
        <v>1767.77</v>
      </c>
      <c r="F954" s="9">
        <f>STATS1003B!F998/1000</f>
        <v>0</v>
      </c>
      <c r="G954" s="9">
        <f>STATS1003B!G998/1000</f>
        <v>0</v>
      </c>
      <c r="H954" s="9">
        <f>STATS1003B!H998/1000</f>
        <v>0</v>
      </c>
      <c r="I954" s="9">
        <f>STATS1003B!I998/1000</f>
        <v>0</v>
      </c>
      <c r="J954" s="9">
        <f>STATS1003B!J998/1000</f>
        <v>0</v>
      </c>
      <c r="K954" s="9">
        <f>STATS1003B!K998/1000</f>
        <v>0</v>
      </c>
      <c r="L954" s="9">
        <f>STATS1003B!L998/1000</f>
        <v>0</v>
      </c>
      <c r="M954" s="9">
        <f>STATS1003B!M998/1000</f>
        <v>0</v>
      </c>
      <c r="N954" s="9">
        <f>STATS1003B!N998/1000</f>
        <v>1767.77</v>
      </c>
      <c r="O954" s="9">
        <f>STATS1003B!O998/1000</f>
        <v>0</v>
      </c>
      <c r="P954" s="9">
        <f>STATS1003B!P998/1000</f>
        <v>1767.77</v>
      </c>
      <c r="Q954" s="9">
        <f>STATS1003B!Q998/1000</f>
        <v>0</v>
      </c>
      <c r="R954" s="9">
        <f>STATS1003B!R998/1000</f>
        <v>0</v>
      </c>
      <c r="S954" s="9">
        <f>STATS1003B!S998/1000</f>
        <v>0</v>
      </c>
      <c r="T954" s="9">
        <f>STATS1003B!T998/1000</f>
        <v>0</v>
      </c>
      <c r="U954" s="9">
        <f>STATS1003B!U998/1000</f>
        <v>1767.77</v>
      </c>
      <c r="V954" s="9">
        <f>STATS1003B!V998/1000</f>
        <v>1767.77</v>
      </c>
      <c r="W954" s="9">
        <f>STATS1003B!W998/1000</f>
        <v>0</v>
      </c>
      <c r="X954" s="9">
        <f>STATS1003B!X998/1000</f>
        <v>1767.77</v>
      </c>
      <c r="Y954" s="9">
        <f>STATS1003B!Y998/1000</f>
        <v>0</v>
      </c>
      <c r="Z954" s="9">
        <f>STATS1003B!Z998/1000</f>
        <v>0</v>
      </c>
      <c r="AA954" s="9">
        <f>STATS1003B!AA998/1000</f>
        <v>1767.77</v>
      </c>
      <c r="AB954" s="9">
        <f>STATS1003B!AB998/1000</f>
        <v>0</v>
      </c>
    </row>
    <row r="955" spans="1:28" x14ac:dyDescent="0.35">
      <c r="A955" s="36"/>
      <c r="B955" s="8"/>
      <c r="C955" s="7" t="s">
        <v>223</v>
      </c>
      <c r="D955" s="15" t="s">
        <v>54</v>
      </c>
      <c r="E955" s="9">
        <f>STATS1003B!E999/1000</f>
        <v>543.875</v>
      </c>
      <c r="F955" s="9">
        <f>STATS1003B!F999/1000</f>
        <v>543.875</v>
      </c>
      <c r="G955" s="9">
        <f>STATS1003B!G999/1000</f>
        <v>0</v>
      </c>
      <c r="H955" s="9">
        <f>STATS1003B!H999/1000</f>
        <v>543.875</v>
      </c>
      <c r="I955" s="9">
        <f>STATS1003B!I999/1000</f>
        <v>0</v>
      </c>
      <c r="J955" s="9">
        <f>STATS1003B!J999/1000</f>
        <v>0</v>
      </c>
      <c r="K955" s="9">
        <f>STATS1003B!K999/1000</f>
        <v>0</v>
      </c>
      <c r="L955" s="9">
        <f>STATS1003B!L999/1000</f>
        <v>0</v>
      </c>
      <c r="M955" s="9">
        <f>STATS1003B!M999/1000</f>
        <v>543.875</v>
      </c>
      <c r="N955" s="9">
        <f>STATS1003B!N999/1000</f>
        <v>0</v>
      </c>
      <c r="O955" s="9">
        <f>STATS1003B!O999/1000</f>
        <v>0</v>
      </c>
      <c r="P955" s="9">
        <f>STATS1003B!P999/1000</f>
        <v>0</v>
      </c>
      <c r="Q955" s="9">
        <f>STATS1003B!Q999/1000</f>
        <v>0</v>
      </c>
      <c r="R955" s="9">
        <f>STATS1003B!R999/1000</f>
        <v>0</v>
      </c>
      <c r="S955" s="9">
        <f>STATS1003B!S999/1000</f>
        <v>0</v>
      </c>
      <c r="T955" s="9">
        <f>STATS1003B!T999/1000</f>
        <v>0</v>
      </c>
      <c r="U955" s="9">
        <f>STATS1003B!U999/1000</f>
        <v>0</v>
      </c>
      <c r="V955" s="9">
        <f>STATS1003B!V999/1000</f>
        <v>543.875</v>
      </c>
      <c r="W955" s="9">
        <f>STATS1003B!W999/1000</f>
        <v>0</v>
      </c>
      <c r="X955" s="9">
        <f>STATS1003B!X999/1000</f>
        <v>543.875</v>
      </c>
      <c r="Y955" s="9">
        <f>STATS1003B!Y999/1000</f>
        <v>0</v>
      </c>
      <c r="Z955" s="9">
        <f>STATS1003B!Z999/1000</f>
        <v>0</v>
      </c>
      <c r="AA955" s="9">
        <f>STATS1003B!AA999/1000</f>
        <v>543.875</v>
      </c>
      <c r="AB955" s="9">
        <f>STATS1003B!AB999/1000</f>
        <v>0</v>
      </c>
    </row>
    <row r="956" spans="1:28" x14ac:dyDescent="0.35">
      <c r="A956" s="36"/>
      <c r="B956" s="8"/>
      <c r="C956" s="7" t="s">
        <v>55</v>
      </c>
      <c r="D956" s="15" t="s">
        <v>224</v>
      </c>
      <c r="E956" s="9">
        <f>STATS1003B!E1000/1000</f>
        <v>4907.7460000000001</v>
      </c>
      <c r="F956" s="9">
        <f>STATS1003B!F1000/1000</f>
        <v>0</v>
      </c>
      <c r="G956" s="9">
        <f>STATS1003B!G1000/1000</f>
        <v>0</v>
      </c>
      <c r="H956" s="9">
        <f>STATS1003B!H1000/1000</f>
        <v>0</v>
      </c>
      <c r="I956" s="9">
        <f>STATS1003B!I1000/1000</f>
        <v>0</v>
      </c>
      <c r="J956" s="9">
        <f>STATS1003B!J1000/1000</f>
        <v>0</v>
      </c>
      <c r="K956" s="9">
        <f>STATS1003B!K1000/1000</f>
        <v>0</v>
      </c>
      <c r="L956" s="9">
        <f>STATS1003B!L1000/1000</f>
        <v>0</v>
      </c>
      <c r="M956" s="9">
        <f>STATS1003B!M1000/1000</f>
        <v>0</v>
      </c>
      <c r="N956" s="9">
        <f>STATS1003B!N1000/1000</f>
        <v>4907.7460000000001</v>
      </c>
      <c r="O956" s="9">
        <f>STATS1003B!O1000/1000</f>
        <v>0</v>
      </c>
      <c r="P956" s="9">
        <f>STATS1003B!P1000/1000</f>
        <v>4907.7460000000001</v>
      </c>
      <c r="Q956" s="9">
        <f>STATS1003B!Q1000/1000</f>
        <v>0</v>
      </c>
      <c r="R956" s="9">
        <f>STATS1003B!R1000/1000</f>
        <v>0</v>
      </c>
      <c r="S956" s="9">
        <f>STATS1003B!S1000/1000</f>
        <v>0</v>
      </c>
      <c r="T956" s="9">
        <f>STATS1003B!T1000/1000</f>
        <v>0</v>
      </c>
      <c r="U956" s="9">
        <f>STATS1003B!U1000/1000</f>
        <v>4907.7460000000001</v>
      </c>
      <c r="V956" s="9">
        <f>STATS1003B!V1000/1000</f>
        <v>4907.7460000000001</v>
      </c>
      <c r="W956" s="9">
        <f>STATS1003B!W1000/1000</f>
        <v>0</v>
      </c>
      <c r="X956" s="9">
        <f>STATS1003B!X1000/1000</f>
        <v>4907.7460000000001</v>
      </c>
      <c r="Y956" s="9">
        <f>STATS1003B!Y1000/1000</f>
        <v>0</v>
      </c>
      <c r="Z956" s="9">
        <f>STATS1003B!Z1000/1000</f>
        <v>0</v>
      </c>
      <c r="AA956" s="9">
        <f>STATS1003B!AA1000/1000</f>
        <v>4907.7460000000001</v>
      </c>
      <c r="AB956" s="9">
        <f>STATS1003B!AB1000/1000</f>
        <v>0</v>
      </c>
    </row>
    <row r="957" spans="1:28" x14ac:dyDescent="0.35">
      <c r="A957" s="36"/>
      <c r="B957" s="8"/>
      <c r="C957" s="7" t="s">
        <v>225</v>
      </c>
      <c r="D957" s="15" t="s">
        <v>85</v>
      </c>
      <c r="E957" s="9">
        <f>STATS1003B!E1001/1000</f>
        <v>480</v>
      </c>
      <c r="F957" s="9">
        <f>STATS1003B!F1001/1000</f>
        <v>480</v>
      </c>
      <c r="G957" s="9">
        <f>STATS1003B!G1001/1000</f>
        <v>0</v>
      </c>
      <c r="H957" s="9">
        <f>STATS1003B!H1001/1000</f>
        <v>480</v>
      </c>
      <c r="I957" s="9">
        <f>STATS1003B!I1001/1000</f>
        <v>0</v>
      </c>
      <c r="J957" s="9">
        <f>STATS1003B!J1001/1000</f>
        <v>0</v>
      </c>
      <c r="K957" s="9">
        <f>STATS1003B!K1001/1000</f>
        <v>0</v>
      </c>
      <c r="L957" s="9">
        <f>STATS1003B!L1001/1000</f>
        <v>0</v>
      </c>
      <c r="M957" s="9">
        <f>STATS1003B!M1001/1000</f>
        <v>480</v>
      </c>
      <c r="N957" s="9">
        <f>STATS1003B!N1001/1000</f>
        <v>0</v>
      </c>
      <c r="O957" s="9">
        <f>STATS1003B!O1001/1000</f>
        <v>0</v>
      </c>
      <c r="P957" s="9">
        <f>STATS1003B!P1001/1000</f>
        <v>0</v>
      </c>
      <c r="Q957" s="9">
        <f>STATS1003B!Q1001/1000</f>
        <v>0</v>
      </c>
      <c r="R957" s="9">
        <f>STATS1003B!R1001/1000</f>
        <v>0</v>
      </c>
      <c r="S957" s="9">
        <f>STATS1003B!S1001/1000</f>
        <v>0</v>
      </c>
      <c r="T957" s="9">
        <f>STATS1003B!T1001/1000</f>
        <v>0</v>
      </c>
      <c r="U957" s="9">
        <f>STATS1003B!U1001/1000</f>
        <v>0</v>
      </c>
      <c r="V957" s="9">
        <f>STATS1003B!V1001/1000</f>
        <v>480</v>
      </c>
      <c r="W957" s="9">
        <f>STATS1003B!W1001/1000</f>
        <v>0</v>
      </c>
      <c r="X957" s="9">
        <f>STATS1003B!X1001/1000</f>
        <v>480</v>
      </c>
      <c r="Y957" s="9">
        <f>STATS1003B!Y1001/1000</f>
        <v>0</v>
      </c>
      <c r="Z957" s="9">
        <f>STATS1003B!Z1001/1000</f>
        <v>0</v>
      </c>
      <c r="AA957" s="9">
        <f>STATS1003B!AA1001/1000</f>
        <v>480</v>
      </c>
      <c r="AB957" s="9">
        <f>STATS1003B!AB1001/1000</f>
        <v>0</v>
      </c>
    </row>
    <row r="958" spans="1:28" x14ac:dyDescent="0.35">
      <c r="A958" s="36"/>
      <c r="B958" s="8"/>
      <c r="C958" s="7" t="s">
        <v>226</v>
      </c>
      <c r="D958" s="15" t="s">
        <v>85</v>
      </c>
      <c r="E958" s="9">
        <f>STATS1003B!E1002/1000</f>
        <v>8840.7080000000005</v>
      </c>
      <c r="F958" s="9">
        <f>STATS1003B!F1002/1000</f>
        <v>8840.7080000000005</v>
      </c>
      <c r="G958" s="9">
        <f>STATS1003B!G1002/1000</f>
        <v>0</v>
      </c>
      <c r="H958" s="9">
        <f>STATS1003B!H1002/1000</f>
        <v>8840.7080000000005</v>
      </c>
      <c r="I958" s="9">
        <f>STATS1003B!I1002/1000</f>
        <v>0</v>
      </c>
      <c r="J958" s="9">
        <f>STATS1003B!J1002/1000</f>
        <v>0</v>
      </c>
      <c r="K958" s="9">
        <f>STATS1003B!K1002/1000</f>
        <v>0</v>
      </c>
      <c r="L958" s="9">
        <f>STATS1003B!L1002/1000</f>
        <v>0</v>
      </c>
      <c r="M958" s="9">
        <f>STATS1003B!M1002/1000</f>
        <v>8840.7080000000005</v>
      </c>
      <c r="N958" s="9">
        <f>STATS1003B!N1002/1000</f>
        <v>0</v>
      </c>
      <c r="O958" s="9">
        <f>STATS1003B!O1002/1000</f>
        <v>0</v>
      </c>
      <c r="P958" s="9">
        <f>STATS1003B!P1002/1000</f>
        <v>0</v>
      </c>
      <c r="Q958" s="9">
        <f>STATS1003B!Q1002/1000</f>
        <v>0</v>
      </c>
      <c r="R958" s="9">
        <f>STATS1003B!R1002/1000</f>
        <v>0</v>
      </c>
      <c r="S958" s="9">
        <f>STATS1003B!S1002/1000</f>
        <v>0</v>
      </c>
      <c r="T958" s="9">
        <f>STATS1003B!T1002/1000</f>
        <v>0</v>
      </c>
      <c r="U958" s="9">
        <f>STATS1003B!U1002/1000</f>
        <v>0</v>
      </c>
      <c r="V958" s="9">
        <f>STATS1003B!V1002/1000</f>
        <v>8840.7080000000005</v>
      </c>
      <c r="W958" s="9">
        <f>STATS1003B!W1002/1000</f>
        <v>0</v>
      </c>
      <c r="X958" s="9">
        <f>STATS1003B!X1002/1000</f>
        <v>8840.7080000000005</v>
      </c>
      <c r="Y958" s="9">
        <f>STATS1003B!Y1002/1000</f>
        <v>0</v>
      </c>
      <c r="Z958" s="9">
        <f>STATS1003B!Z1002/1000</f>
        <v>0</v>
      </c>
      <c r="AA958" s="9">
        <f>STATS1003B!AA1002/1000</f>
        <v>8840.7080000000005</v>
      </c>
      <c r="AB958" s="9">
        <f>STATS1003B!AB1002/1000</f>
        <v>0</v>
      </c>
    </row>
    <row r="959" spans="1:28" x14ac:dyDescent="0.35">
      <c r="A959" s="36"/>
      <c r="B959" s="8"/>
      <c r="C959" s="7" t="s">
        <v>57</v>
      </c>
      <c r="D959" s="15" t="s">
        <v>58</v>
      </c>
      <c r="E959" s="9">
        <f>STATS1003B!E1003/1000</f>
        <v>3125.5210000000002</v>
      </c>
      <c r="F959" s="9">
        <f>STATS1003B!F1003/1000</f>
        <v>3125.5210000000002</v>
      </c>
      <c r="G959" s="9">
        <f>STATS1003B!G1003/1000</f>
        <v>0</v>
      </c>
      <c r="H959" s="9">
        <f>STATS1003B!H1003/1000</f>
        <v>3125.5210000000002</v>
      </c>
      <c r="I959" s="9">
        <f>STATS1003B!I1003/1000</f>
        <v>0</v>
      </c>
      <c r="J959" s="9">
        <f>STATS1003B!J1003/1000</f>
        <v>0</v>
      </c>
      <c r="K959" s="9">
        <f>STATS1003B!K1003/1000</f>
        <v>0</v>
      </c>
      <c r="L959" s="9">
        <f>STATS1003B!L1003/1000</f>
        <v>0</v>
      </c>
      <c r="M959" s="9">
        <f>STATS1003B!M1003/1000</f>
        <v>3125.5210000000002</v>
      </c>
      <c r="N959" s="9">
        <f>STATS1003B!N1003/1000</f>
        <v>0</v>
      </c>
      <c r="O959" s="9">
        <f>STATS1003B!O1003/1000</f>
        <v>0</v>
      </c>
      <c r="P959" s="9">
        <f>STATS1003B!P1003/1000</f>
        <v>0</v>
      </c>
      <c r="Q959" s="9">
        <f>STATS1003B!Q1003/1000</f>
        <v>0</v>
      </c>
      <c r="R959" s="9">
        <f>STATS1003B!R1003/1000</f>
        <v>0</v>
      </c>
      <c r="S959" s="9">
        <f>STATS1003B!S1003/1000</f>
        <v>0</v>
      </c>
      <c r="T959" s="9">
        <f>STATS1003B!T1003/1000</f>
        <v>0</v>
      </c>
      <c r="U959" s="9">
        <f>STATS1003B!U1003/1000</f>
        <v>0</v>
      </c>
      <c r="V959" s="9">
        <f>STATS1003B!V1003/1000</f>
        <v>3125.5210000000002</v>
      </c>
      <c r="W959" s="9">
        <f>STATS1003B!W1003/1000</f>
        <v>0</v>
      </c>
      <c r="X959" s="9">
        <f>STATS1003B!X1003/1000</f>
        <v>3125.5210000000002</v>
      </c>
      <c r="Y959" s="9">
        <f>STATS1003B!Y1003/1000</f>
        <v>0</v>
      </c>
      <c r="Z959" s="9">
        <f>STATS1003B!Z1003/1000</f>
        <v>0</v>
      </c>
      <c r="AA959" s="9">
        <f>STATS1003B!AA1003/1000</f>
        <v>3125.5210000000002</v>
      </c>
      <c r="AB959" s="9">
        <f>STATS1003B!AB1003/1000</f>
        <v>0</v>
      </c>
    </row>
    <row r="960" spans="1:28" x14ac:dyDescent="0.35">
      <c r="A960" s="36"/>
      <c r="B960" s="8"/>
      <c r="C960" s="7" t="s">
        <v>57</v>
      </c>
      <c r="D960" s="15" t="s">
        <v>60</v>
      </c>
      <c r="E960" s="9">
        <f>STATS1003B!E1004/1000</f>
        <v>3473.3953099999999</v>
      </c>
      <c r="F960" s="9">
        <f>STATS1003B!F1004/1000</f>
        <v>3473.3953099999999</v>
      </c>
      <c r="G960" s="9">
        <f>STATS1003B!G1004/1000</f>
        <v>0</v>
      </c>
      <c r="H960" s="9">
        <f>STATS1003B!H1004/1000</f>
        <v>3473.3953099999999</v>
      </c>
      <c r="I960" s="9">
        <f>STATS1003B!I1004/1000</f>
        <v>0</v>
      </c>
      <c r="J960" s="9">
        <f>STATS1003B!J1004/1000</f>
        <v>0</v>
      </c>
      <c r="K960" s="9">
        <f>STATS1003B!K1004/1000</f>
        <v>0</v>
      </c>
      <c r="L960" s="9">
        <f>STATS1003B!L1004/1000</f>
        <v>0</v>
      </c>
      <c r="M960" s="9">
        <f>STATS1003B!M1004/1000</f>
        <v>3473.3953099999999</v>
      </c>
      <c r="N960" s="9">
        <f>STATS1003B!N1004/1000</f>
        <v>0</v>
      </c>
      <c r="O960" s="9">
        <f>STATS1003B!O1004/1000</f>
        <v>0</v>
      </c>
      <c r="P960" s="9">
        <f>STATS1003B!P1004/1000</f>
        <v>0</v>
      </c>
      <c r="Q960" s="9">
        <f>STATS1003B!Q1004/1000</f>
        <v>0</v>
      </c>
      <c r="R960" s="9">
        <f>STATS1003B!R1004/1000</f>
        <v>0</v>
      </c>
      <c r="S960" s="9">
        <f>STATS1003B!S1004/1000</f>
        <v>0</v>
      </c>
      <c r="T960" s="9">
        <f>STATS1003B!T1004/1000</f>
        <v>0</v>
      </c>
      <c r="U960" s="9">
        <f>STATS1003B!U1004/1000</f>
        <v>0</v>
      </c>
      <c r="V960" s="9">
        <f>STATS1003B!V1004/1000</f>
        <v>3473.3953099999999</v>
      </c>
      <c r="W960" s="9">
        <f>STATS1003B!W1004/1000</f>
        <v>0</v>
      </c>
      <c r="X960" s="9">
        <f>STATS1003B!X1004/1000</f>
        <v>3473.3953099999999</v>
      </c>
      <c r="Y960" s="9">
        <f>STATS1003B!Y1004/1000</f>
        <v>0</v>
      </c>
      <c r="Z960" s="9">
        <f>STATS1003B!Z1004/1000</f>
        <v>0</v>
      </c>
      <c r="AA960" s="9">
        <f>STATS1003B!AA1004/1000</f>
        <v>3473.3953099999999</v>
      </c>
      <c r="AB960" s="9">
        <f>STATS1003B!AB1004/1000</f>
        <v>0</v>
      </c>
    </row>
    <row r="961" spans="1:28" x14ac:dyDescent="0.35">
      <c r="A961" s="36"/>
      <c r="B961" s="8"/>
      <c r="C961" s="14" t="s">
        <v>109</v>
      </c>
      <c r="D961" s="21" t="s">
        <v>60</v>
      </c>
      <c r="E961" s="9">
        <f>STATS1003B!E1005/1000</f>
        <v>3646.4539100000002</v>
      </c>
      <c r="F961" s="9">
        <f>STATS1003B!F1005/1000</f>
        <v>3646.4539100000002</v>
      </c>
      <c r="G961" s="9">
        <f>STATS1003B!G1005/1000</f>
        <v>0</v>
      </c>
      <c r="H961" s="9">
        <f>STATS1003B!H1005/1000</f>
        <v>3646.4539100000002</v>
      </c>
      <c r="I961" s="9">
        <f>STATS1003B!I1005/1000</f>
        <v>0</v>
      </c>
      <c r="J961" s="9">
        <f>STATS1003B!J1005/1000</f>
        <v>0</v>
      </c>
      <c r="K961" s="9">
        <f>STATS1003B!K1005/1000</f>
        <v>0</v>
      </c>
      <c r="L961" s="9">
        <f>STATS1003B!L1005/1000</f>
        <v>0</v>
      </c>
      <c r="M961" s="9">
        <f>STATS1003B!M1005/1000</f>
        <v>3646.4539100000002</v>
      </c>
      <c r="N961" s="9">
        <f>STATS1003B!N1005/1000</f>
        <v>0</v>
      </c>
      <c r="O961" s="9">
        <f>STATS1003B!O1005/1000</f>
        <v>0</v>
      </c>
      <c r="P961" s="9">
        <f>STATS1003B!P1005/1000</f>
        <v>0</v>
      </c>
      <c r="Q961" s="9">
        <f>STATS1003B!Q1005/1000</f>
        <v>0</v>
      </c>
      <c r="R961" s="9">
        <f>STATS1003B!R1005/1000</f>
        <v>0</v>
      </c>
      <c r="S961" s="9">
        <f>STATS1003B!S1005/1000</f>
        <v>0</v>
      </c>
      <c r="T961" s="9">
        <f>STATS1003B!T1005/1000</f>
        <v>0</v>
      </c>
      <c r="U961" s="9">
        <f>STATS1003B!U1005/1000</f>
        <v>0</v>
      </c>
      <c r="V961" s="9">
        <f>STATS1003B!V1005/1000</f>
        <v>3646.4539100000002</v>
      </c>
      <c r="W961" s="9">
        <f>STATS1003B!W1005/1000</f>
        <v>0</v>
      </c>
      <c r="X961" s="9">
        <f>STATS1003B!X1005/1000</f>
        <v>3646.4539100000002</v>
      </c>
      <c r="Y961" s="9">
        <f>STATS1003B!Y1005/1000</f>
        <v>0</v>
      </c>
      <c r="Z961" s="9">
        <f>STATS1003B!Z1005/1000</f>
        <v>0</v>
      </c>
      <c r="AA961" s="9">
        <f>STATS1003B!AA1005/1000</f>
        <v>3646.4539100000002</v>
      </c>
      <c r="AB961" s="9">
        <f>STATS1003B!AB1005/1000</f>
        <v>0</v>
      </c>
    </row>
    <row r="962" spans="1:28" x14ac:dyDescent="0.35">
      <c r="A962" s="36"/>
      <c r="B962" s="8"/>
      <c r="C962" s="14" t="s">
        <v>227</v>
      </c>
      <c r="D962" s="15" t="s">
        <v>228</v>
      </c>
      <c r="E962" s="9">
        <f>STATS1003B!E1006/1000</f>
        <v>572.93700000000001</v>
      </c>
      <c r="F962" s="9">
        <f>STATS1003B!F1006/1000</f>
        <v>572.93700000000001</v>
      </c>
      <c r="G962" s="9">
        <f>STATS1003B!G1006/1000</f>
        <v>0</v>
      </c>
      <c r="H962" s="9">
        <f>STATS1003B!H1006/1000</f>
        <v>572.93700000000001</v>
      </c>
      <c r="I962" s="9">
        <f>STATS1003B!I1006/1000</f>
        <v>0</v>
      </c>
      <c r="J962" s="9">
        <f>STATS1003B!J1006/1000</f>
        <v>0</v>
      </c>
      <c r="K962" s="9">
        <f>STATS1003B!K1006/1000</f>
        <v>0</v>
      </c>
      <c r="L962" s="9">
        <f>STATS1003B!L1006/1000</f>
        <v>0</v>
      </c>
      <c r="M962" s="9">
        <f>STATS1003B!M1006/1000</f>
        <v>572.93700000000001</v>
      </c>
      <c r="N962" s="9">
        <f>STATS1003B!N1006/1000</f>
        <v>0</v>
      </c>
      <c r="O962" s="9">
        <f>STATS1003B!O1006/1000</f>
        <v>0</v>
      </c>
      <c r="P962" s="9">
        <f>STATS1003B!P1006/1000</f>
        <v>0</v>
      </c>
      <c r="Q962" s="9">
        <f>STATS1003B!Q1006/1000</f>
        <v>0</v>
      </c>
      <c r="R962" s="9">
        <f>STATS1003B!R1006/1000</f>
        <v>0</v>
      </c>
      <c r="S962" s="9">
        <f>STATS1003B!S1006/1000</f>
        <v>0</v>
      </c>
      <c r="T962" s="9">
        <f>STATS1003B!T1006/1000</f>
        <v>0</v>
      </c>
      <c r="U962" s="9">
        <f>STATS1003B!U1006/1000</f>
        <v>0</v>
      </c>
      <c r="V962" s="9">
        <f>STATS1003B!V1006/1000</f>
        <v>572.93700000000001</v>
      </c>
      <c r="W962" s="9">
        <f>STATS1003B!W1006/1000</f>
        <v>0</v>
      </c>
      <c r="X962" s="9">
        <f>STATS1003B!X1006/1000</f>
        <v>572.93700000000001</v>
      </c>
      <c r="Y962" s="9">
        <f>STATS1003B!Y1006/1000</f>
        <v>0</v>
      </c>
      <c r="Z962" s="9">
        <f>STATS1003B!Z1006/1000</f>
        <v>0</v>
      </c>
      <c r="AA962" s="9">
        <f>STATS1003B!AA1006/1000</f>
        <v>572.93700000000001</v>
      </c>
      <c r="AB962" s="9">
        <f>STATS1003B!AB1006/1000</f>
        <v>0</v>
      </c>
    </row>
    <row r="963" spans="1:28" x14ac:dyDescent="0.35">
      <c r="A963" s="36"/>
      <c r="B963" s="8"/>
      <c r="C963" s="14" t="s">
        <v>229</v>
      </c>
      <c r="D963" s="16" t="s">
        <v>239</v>
      </c>
      <c r="E963" s="9">
        <f>STATS1003B!E1007/1000</f>
        <v>15460</v>
      </c>
      <c r="F963" s="9">
        <f>STATS1003B!F1007/1000</f>
        <v>15460</v>
      </c>
      <c r="G963" s="9">
        <f>STATS1003B!G1007/1000</f>
        <v>0</v>
      </c>
      <c r="H963" s="9">
        <f>STATS1003B!H1007/1000</f>
        <v>15460</v>
      </c>
      <c r="I963" s="9">
        <f>STATS1003B!I1007/1000</f>
        <v>10300</v>
      </c>
      <c r="J963" s="9">
        <f>STATS1003B!J1007/1000</f>
        <v>10300</v>
      </c>
      <c r="K963" s="9">
        <f>STATS1003B!K1007/1000</f>
        <v>0</v>
      </c>
      <c r="L963" s="9">
        <f>STATS1003B!L1007/1000</f>
        <v>0</v>
      </c>
      <c r="M963" s="9">
        <f>STATS1003B!M1007/1000</f>
        <v>15460</v>
      </c>
      <c r="N963" s="9">
        <f>STATS1003B!N1007/1000</f>
        <v>0</v>
      </c>
      <c r="O963" s="9">
        <f>STATS1003B!O1007/1000</f>
        <v>0</v>
      </c>
      <c r="P963" s="9">
        <f>STATS1003B!P1007/1000</f>
        <v>0</v>
      </c>
      <c r="Q963" s="9">
        <f>STATS1003B!Q1007/1000</f>
        <v>0</v>
      </c>
      <c r="R963" s="9">
        <f>STATS1003B!R1007/1000</f>
        <v>0</v>
      </c>
      <c r="S963" s="9">
        <f>STATS1003B!S1007/1000</f>
        <v>0</v>
      </c>
      <c r="T963" s="9">
        <f>STATS1003B!T1007/1000</f>
        <v>0</v>
      </c>
      <c r="U963" s="9">
        <f>STATS1003B!U1007/1000</f>
        <v>0</v>
      </c>
      <c r="V963" s="9">
        <f>STATS1003B!V1007/1000</f>
        <v>15460</v>
      </c>
      <c r="W963" s="9">
        <f>STATS1003B!W1007/1000</f>
        <v>0</v>
      </c>
      <c r="X963" s="9">
        <f>STATS1003B!X1007/1000</f>
        <v>15460</v>
      </c>
      <c r="Y963" s="9">
        <f>STATS1003B!Y1007/1000</f>
        <v>0</v>
      </c>
      <c r="Z963" s="9">
        <f>STATS1003B!Z1007/1000</f>
        <v>0</v>
      </c>
      <c r="AA963" s="9">
        <f>STATS1003B!AA1007/1000</f>
        <v>15460</v>
      </c>
      <c r="AB963" s="9">
        <f>STATS1003B!AB1007/1000</f>
        <v>0</v>
      </c>
    </row>
    <row r="964" spans="1:28" x14ac:dyDescent="0.35">
      <c r="A964" s="36"/>
      <c r="B964" s="8"/>
      <c r="C964" s="7" t="s">
        <v>57</v>
      </c>
      <c r="D964" s="15" t="s">
        <v>73</v>
      </c>
      <c r="E964" s="9">
        <f>STATS1003B!E1008/1000</f>
        <v>2238</v>
      </c>
      <c r="F964" s="9">
        <f>STATS1003B!F1008/1000</f>
        <v>2238</v>
      </c>
      <c r="G964" s="9">
        <f>STATS1003B!G1008/1000</f>
        <v>0</v>
      </c>
      <c r="H964" s="9">
        <f>STATS1003B!H1008/1000</f>
        <v>2238</v>
      </c>
      <c r="I964" s="9">
        <f>STATS1003B!I1008/1000</f>
        <v>0</v>
      </c>
      <c r="J964" s="9">
        <f>STATS1003B!J1008/1000</f>
        <v>0</v>
      </c>
      <c r="K964" s="9">
        <f>STATS1003B!K1008/1000</f>
        <v>0</v>
      </c>
      <c r="L964" s="9">
        <f>STATS1003B!L1008/1000</f>
        <v>0</v>
      </c>
      <c r="M964" s="9">
        <f>STATS1003B!M1008/1000</f>
        <v>2238</v>
      </c>
      <c r="N964" s="9">
        <f>STATS1003B!N1008/1000</f>
        <v>0</v>
      </c>
      <c r="O964" s="9">
        <f>STATS1003B!O1008/1000</f>
        <v>0</v>
      </c>
      <c r="P964" s="9">
        <f>STATS1003B!P1008/1000</f>
        <v>0</v>
      </c>
      <c r="Q964" s="9">
        <f>STATS1003B!Q1008/1000</f>
        <v>0</v>
      </c>
      <c r="R964" s="9">
        <f>STATS1003B!R1008/1000</f>
        <v>0</v>
      </c>
      <c r="S964" s="9">
        <f>STATS1003B!S1008/1000</f>
        <v>0</v>
      </c>
      <c r="T964" s="9">
        <f>STATS1003B!T1008/1000</f>
        <v>0</v>
      </c>
      <c r="U964" s="9">
        <f>STATS1003B!U1008/1000</f>
        <v>0</v>
      </c>
      <c r="V964" s="9">
        <f>STATS1003B!V1008/1000</f>
        <v>2238</v>
      </c>
      <c r="W964" s="9">
        <f>STATS1003B!W1008/1000</f>
        <v>0</v>
      </c>
      <c r="X964" s="9">
        <f>STATS1003B!X1008/1000</f>
        <v>2238</v>
      </c>
      <c r="Y964" s="9">
        <f>STATS1003B!Y1008/1000</f>
        <v>0</v>
      </c>
      <c r="Z964" s="9">
        <f>STATS1003B!Z1008/1000</f>
        <v>0</v>
      </c>
      <c r="AA964" s="9">
        <f>STATS1003B!AA1008/1000</f>
        <v>2238</v>
      </c>
      <c r="AB964" s="9">
        <f>STATS1003B!AB1008/1000</f>
        <v>0</v>
      </c>
    </row>
    <row r="965" spans="1:28" x14ac:dyDescent="0.35">
      <c r="A965" s="36"/>
      <c r="B965" s="8"/>
      <c r="C965" s="7" t="s">
        <v>932</v>
      </c>
      <c r="D965" s="15"/>
      <c r="E965" s="9">
        <f>STATS1003B!E1009/1000</f>
        <v>497.38157000000001</v>
      </c>
      <c r="F965" s="9">
        <f>STATS1003B!F1009/1000</f>
        <v>497.38157000000001</v>
      </c>
      <c r="G965" s="9">
        <f>STATS1003B!G1009/1000</f>
        <v>0</v>
      </c>
      <c r="H965" s="9">
        <f>STATS1003B!H1009/1000</f>
        <v>497.38157000000001</v>
      </c>
      <c r="I965" s="9">
        <f>STATS1003B!I1009/1000</f>
        <v>0</v>
      </c>
      <c r="J965" s="9">
        <f>STATS1003B!J1009/1000</f>
        <v>0</v>
      </c>
      <c r="K965" s="9">
        <f>STATS1003B!K1009/1000</f>
        <v>0</v>
      </c>
      <c r="L965" s="9">
        <f>STATS1003B!L1009/1000</f>
        <v>0</v>
      </c>
      <c r="M965" s="9">
        <f>STATS1003B!M1009/1000</f>
        <v>497.38157000000001</v>
      </c>
      <c r="N965" s="9">
        <f>STATS1003B!N1009/1000</f>
        <v>0</v>
      </c>
      <c r="O965" s="9">
        <f>STATS1003B!O1009/1000</f>
        <v>0</v>
      </c>
      <c r="P965" s="9">
        <f>STATS1003B!P1009/1000</f>
        <v>0</v>
      </c>
      <c r="Q965" s="9">
        <f>STATS1003B!Q1009/1000</f>
        <v>0</v>
      </c>
      <c r="R965" s="9">
        <f>STATS1003B!R1009/1000</f>
        <v>0</v>
      </c>
      <c r="S965" s="9">
        <f>STATS1003B!S1009/1000</f>
        <v>0</v>
      </c>
      <c r="T965" s="9">
        <f>STATS1003B!T1009/1000</f>
        <v>0</v>
      </c>
      <c r="U965" s="9">
        <f>STATS1003B!U1009/1000</f>
        <v>0</v>
      </c>
      <c r="V965" s="9">
        <f>STATS1003B!V1009/1000</f>
        <v>497.38157000000001</v>
      </c>
      <c r="W965" s="9">
        <f>STATS1003B!W1009/1000</f>
        <v>0</v>
      </c>
      <c r="X965" s="9">
        <f>STATS1003B!X1009/1000</f>
        <v>497.38157000000001</v>
      </c>
      <c r="Y965" s="9">
        <f>STATS1003B!Y1009/1000</f>
        <v>0</v>
      </c>
      <c r="Z965" s="9">
        <f>STATS1003B!Z1009/1000</f>
        <v>0</v>
      </c>
      <c r="AA965" s="9">
        <f>STATS1003B!AA1009/1000</f>
        <v>497.38157000000001</v>
      </c>
      <c r="AB965" s="9">
        <f>STATS1003B!AB1009/1000</f>
        <v>0</v>
      </c>
    </row>
    <row r="966" spans="1:28" x14ac:dyDescent="0.35">
      <c r="A966" s="36"/>
      <c r="B966" s="8"/>
      <c r="C966" s="7" t="s">
        <v>57</v>
      </c>
      <c r="D966" s="16" t="s">
        <v>61</v>
      </c>
      <c r="E966" s="9">
        <f>STATS1003B!E1012/1000</f>
        <v>514</v>
      </c>
      <c r="F966" s="9">
        <f>STATS1003B!F1012/1000</f>
        <v>514</v>
      </c>
      <c r="G966" s="9">
        <f>STATS1003B!G1012/1000</f>
        <v>0</v>
      </c>
      <c r="H966" s="9">
        <f>STATS1003B!H1012/1000</f>
        <v>514</v>
      </c>
      <c r="I966" s="9">
        <f>STATS1003B!I1012/1000</f>
        <v>0</v>
      </c>
      <c r="J966" s="9">
        <f>STATS1003B!J1012/1000</f>
        <v>0</v>
      </c>
      <c r="K966" s="9">
        <f>STATS1003B!K1012/1000</f>
        <v>0</v>
      </c>
      <c r="L966" s="9">
        <f>STATS1003B!L1012/1000</f>
        <v>0</v>
      </c>
      <c r="M966" s="9">
        <f>STATS1003B!M1012/1000</f>
        <v>514</v>
      </c>
      <c r="N966" s="9">
        <f>STATS1003B!N1012/1000</f>
        <v>0</v>
      </c>
      <c r="O966" s="9">
        <f>STATS1003B!O1012/1000</f>
        <v>0</v>
      </c>
      <c r="P966" s="9">
        <f>STATS1003B!P1012/1000</f>
        <v>0</v>
      </c>
      <c r="Q966" s="9">
        <f>STATS1003B!Q1012/1000</f>
        <v>0</v>
      </c>
      <c r="R966" s="9">
        <f>STATS1003B!R1012/1000</f>
        <v>0</v>
      </c>
      <c r="S966" s="9">
        <f>STATS1003B!S1012/1000</f>
        <v>0</v>
      </c>
      <c r="T966" s="9">
        <f>STATS1003B!T1012/1000</f>
        <v>0</v>
      </c>
      <c r="U966" s="9">
        <f>STATS1003B!U1012/1000</f>
        <v>0</v>
      </c>
      <c r="V966" s="9">
        <f>STATS1003B!V1012/1000</f>
        <v>514</v>
      </c>
      <c r="W966" s="9">
        <f>STATS1003B!W1012/1000</f>
        <v>0</v>
      </c>
      <c r="X966" s="9">
        <f>STATS1003B!X1012/1000</f>
        <v>514</v>
      </c>
      <c r="Y966" s="9">
        <f>STATS1003B!Y1012/1000</f>
        <v>0</v>
      </c>
      <c r="Z966" s="9">
        <f>STATS1003B!Z1012/1000</f>
        <v>0</v>
      </c>
      <c r="AA966" s="9">
        <f>STATS1003B!AA1012/1000</f>
        <v>514</v>
      </c>
      <c r="AB966" s="9">
        <f>STATS1003B!AB1012/1000</f>
        <v>0</v>
      </c>
    </row>
    <row r="967" spans="1:28" x14ac:dyDescent="0.35">
      <c r="A967" s="36"/>
      <c r="B967" s="8"/>
      <c r="C967" s="8"/>
      <c r="D967" s="8"/>
      <c r="E967" s="17" t="s">
        <v>29</v>
      </c>
      <c r="F967" s="17" t="s">
        <v>29</v>
      </c>
      <c r="G967" s="17" t="s">
        <v>29</v>
      </c>
      <c r="H967" s="17" t="s">
        <v>29</v>
      </c>
      <c r="I967" s="17" t="s">
        <v>29</v>
      </c>
      <c r="J967" s="17" t="s">
        <v>29</v>
      </c>
      <c r="K967" s="17" t="s">
        <v>29</v>
      </c>
      <c r="L967" s="17" t="s">
        <v>29</v>
      </c>
      <c r="M967" s="17" t="s">
        <v>29</v>
      </c>
      <c r="N967" s="17" t="s">
        <v>29</v>
      </c>
      <c r="O967" s="17" t="s">
        <v>29</v>
      </c>
      <c r="P967" s="17" t="s">
        <v>29</v>
      </c>
      <c r="Q967" s="17" t="s">
        <v>29</v>
      </c>
      <c r="R967" s="17" t="s">
        <v>29</v>
      </c>
      <c r="S967" s="17" t="s">
        <v>29</v>
      </c>
      <c r="T967" s="17" t="s">
        <v>29</v>
      </c>
      <c r="U967" s="17" t="s">
        <v>29</v>
      </c>
      <c r="V967" s="17" t="s">
        <v>29</v>
      </c>
      <c r="W967" s="17" t="s">
        <v>29</v>
      </c>
      <c r="X967" s="17" t="s">
        <v>29</v>
      </c>
      <c r="Y967" s="17" t="s">
        <v>29</v>
      </c>
      <c r="Z967" s="17" t="s">
        <v>29</v>
      </c>
      <c r="AA967" s="17" t="s">
        <v>29</v>
      </c>
      <c r="AB967" s="17" t="s">
        <v>29</v>
      </c>
    </row>
    <row r="968" spans="1:28" x14ac:dyDescent="0.35">
      <c r="A968" s="36"/>
      <c r="B968" s="8"/>
      <c r="C968" s="8"/>
      <c r="D968" s="8"/>
      <c r="E968" s="9">
        <f t="shared" ref="E968:AB968" si="74">SUM(E950:E966)</f>
        <v>65805.729339999991</v>
      </c>
      <c r="F968" s="9">
        <f t="shared" si="74"/>
        <v>55097.659619999999</v>
      </c>
      <c r="G968" s="9">
        <f t="shared" si="74"/>
        <v>0</v>
      </c>
      <c r="H968" s="9">
        <f t="shared" si="74"/>
        <v>55097.659619999999</v>
      </c>
      <c r="I968" s="9">
        <f t="shared" si="74"/>
        <v>10300</v>
      </c>
      <c r="J968" s="9">
        <f t="shared" si="74"/>
        <v>10300</v>
      </c>
      <c r="K968" s="9">
        <f t="shared" si="74"/>
        <v>0</v>
      </c>
      <c r="L968" s="9">
        <f t="shared" si="74"/>
        <v>0</v>
      </c>
      <c r="M968" s="9">
        <f t="shared" si="74"/>
        <v>55097.659619999999</v>
      </c>
      <c r="N968" s="9">
        <f t="shared" si="74"/>
        <v>10708.06972</v>
      </c>
      <c r="O968" s="9">
        <f t="shared" si="74"/>
        <v>0</v>
      </c>
      <c r="P968" s="9">
        <f t="shared" si="74"/>
        <v>10708.06972</v>
      </c>
      <c r="Q968" s="9">
        <f t="shared" si="74"/>
        <v>0</v>
      </c>
      <c r="R968" s="9">
        <f t="shared" si="74"/>
        <v>0</v>
      </c>
      <c r="S968" s="9">
        <f t="shared" si="74"/>
        <v>0</v>
      </c>
      <c r="T968" s="9">
        <f t="shared" si="74"/>
        <v>0</v>
      </c>
      <c r="U968" s="9">
        <f t="shared" si="74"/>
        <v>10708.06972</v>
      </c>
      <c r="V968" s="9">
        <f t="shared" si="74"/>
        <v>65805.729339999991</v>
      </c>
      <c r="W968" s="9">
        <f t="shared" si="74"/>
        <v>0</v>
      </c>
      <c r="X968" s="9">
        <f t="shared" si="74"/>
        <v>65805.729339999991</v>
      </c>
      <c r="Y968" s="9">
        <f t="shared" si="74"/>
        <v>0</v>
      </c>
      <c r="Z968" s="9">
        <f t="shared" si="74"/>
        <v>0</v>
      </c>
      <c r="AA968" s="9">
        <f t="shared" si="74"/>
        <v>65805.729339999991</v>
      </c>
      <c r="AB968" s="9">
        <f t="shared" si="74"/>
        <v>0</v>
      </c>
    </row>
    <row r="969" spans="1:28" x14ac:dyDescent="0.35">
      <c r="A969" s="36"/>
      <c r="B969" s="8"/>
      <c r="C969" s="8"/>
      <c r="D969" s="8"/>
      <c r="E969" s="17" t="s">
        <v>29</v>
      </c>
      <c r="F969" s="17" t="s">
        <v>29</v>
      </c>
      <c r="G969" s="17" t="s">
        <v>29</v>
      </c>
      <c r="H969" s="17" t="s">
        <v>29</v>
      </c>
      <c r="I969" s="17" t="s">
        <v>29</v>
      </c>
      <c r="J969" s="17" t="s">
        <v>29</v>
      </c>
      <c r="K969" s="17" t="s">
        <v>29</v>
      </c>
      <c r="L969" s="17" t="s">
        <v>29</v>
      </c>
      <c r="M969" s="17" t="s">
        <v>29</v>
      </c>
      <c r="N969" s="17" t="s">
        <v>29</v>
      </c>
      <c r="O969" s="17" t="s">
        <v>29</v>
      </c>
      <c r="P969" s="17" t="s">
        <v>29</v>
      </c>
      <c r="Q969" s="17" t="s">
        <v>29</v>
      </c>
      <c r="R969" s="17" t="s">
        <v>29</v>
      </c>
      <c r="S969" s="17" t="s">
        <v>29</v>
      </c>
      <c r="T969" s="17" t="s">
        <v>29</v>
      </c>
      <c r="U969" s="17" t="s">
        <v>29</v>
      </c>
      <c r="V969" s="17" t="s">
        <v>29</v>
      </c>
      <c r="W969" s="17" t="s">
        <v>29</v>
      </c>
      <c r="X969" s="17" t="s">
        <v>29</v>
      </c>
      <c r="Y969" s="17" t="s">
        <v>29</v>
      </c>
      <c r="Z969" s="17" t="s">
        <v>29</v>
      </c>
      <c r="AA969" s="17" t="s">
        <v>29</v>
      </c>
      <c r="AB969" s="17" t="s">
        <v>29</v>
      </c>
    </row>
    <row r="970" spans="1:28" x14ac:dyDescent="0.35">
      <c r="A970" s="36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8" x14ac:dyDescent="0.35">
      <c r="A971" s="38" t="s">
        <v>984</v>
      </c>
      <c r="B971" s="7" t="s">
        <v>230</v>
      </c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8" x14ac:dyDescent="0.35">
      <c r="A972" s="36"/>
      <c r="B972" s="8"/>
      <c r="C972" s="7" t="s">
        <v>172</v>
      </c>
      <c r="D972" s="15" t="s">
        <v>231</v>
      </c>
      <c r="E972" s="9">
        <f>STATS1003B!E1018/1000</f>
        <v>2288.835</v>
      </c>
      <c r="F972" s="9">
        <f>STATS1003B!F1018/1000</f>
        <v>2288.835</v>
      </c>
      <c r="G972" s="9">
        <f>STATS1003B!G1018/1000</f>
        <v>0</v>
      </c>
      <c r="H972" s="9">
        <f>STATS1003B!H1018/1000</f>
        <v>2288.835</v>
      </c>
      <c r="I972" s="9">
        <f>STATS1003B!I1018/1000</f>
        <v>0</v>
      </c>
      <c r="J972" s="9">
        <f>STATS1003B!J1018/1000</f>
        <v>0</v>
      </c>
      <c r="K972" s="9">
        <f>STATS1003B!K1018/1000</f>
        <v>0</v>
      </c>
      <c r="L972" s="9">
        <f>STATS1003B!L1018/1000</f>
        <v>0</v>
      </c>
      <c r="M972" s="9">
        <f>STATS1003B!M1018/1000</f>
        <v>2288.835</v>
      </c>
      <c r="N972" s="9">
        <f>STATS1003B!N1018/1000</f>
        <v>0</v>
      </c>
      <c r="O972" s="9">
        <f>STATS1003B!O1018/1000</f>
        <v>0</v>
      </c>
      <c r="P972" s="9">
        <f>STATS1003B!P1018/1000</f>
        <v>0</v>
      </c>
      <c r="Q972" s="9">
        <f>STATS1003B!Q1018/1000</f>
        <v>0</v>
      </c>
      <c r="R972" s="9">
        <f>STATS1003B!R1018/1000</f>
        <v>0</v>
      </c>
      <c r="S972" s="9">
        <f>STATS1003B!S1018/1000</f>
        <v>0</v>
      </c>
      <c r="T972" s="9">
        <f>STATS1003B!T1018/1000</f>
        <v>0</v>
      </c>
      <c r="U972" s="9">
        <f>STATS1003B!U1018/1000</f>
        <v>0</v>
      </c>
      <c r="V972" s="9">
        <f>STATS1003B!V1018/1000</f>
        <v>2288.835</v>
      </c>
      <c r="W972" s="9">
        <f>STATS1003B!W1018/1000</f>
        <v>0</v>
      </c>
      <c r="X972" s="9">
        <f>STATS1003B!X1018/1000</f>
        <v>2288.835</v>
      </c>
      <c r="Y972" s="9">
        <f>STATS1003B!Y1018/1000</f>
        <v>0</v>
      </c>
      <c r="Z972" s="9">
        <f>STATS1003B!Z1018/1000</f>
        <v>0</v>
      </c>
      <c r="AA972" s="9">
        <f>STATS1003B!AA1018/1000</f>
        <v>2288.835</v>
      </c>
      <c r="AB972" s="9">
        <f>STATS1003B!AB1018/1000</f>
        <v>0</v>
      </c>
    </row>
    <row r="973" spans="1:28" x14ac:dyDescent="0.35">
      <c r="A973" s="36"/>
      <c r="B973" s="8"/>
      <c r="C973" s="7" t="s">
        <v>57</v>
      </c>
      <c r="D973" s="15" t="s">
        <v>232</v>
      </c>
      <c r="E973" s="9">
        <f>STATS1003B!E1019/1000</f>
        <v>9060.0585600000013</v>
      </c>
      <c r="F973" s="9">
        <f>STATS1003B!F1019/1000</f>
        <v>5775.6549999999997</v>
      </c>
      <c r="G973" s="9">
        <f>STATS1003B!G1019/1000</f>
        <v>0</v>
      </c>
      <c r="H973" s="9">
        <f>STATS1003B!H1019/1000</f>
        <v>5775.6549999999997</v>
      </c>
      <c r="I973" s="9">
        <f>STATS1003B!I1019/1000</f>
        <v>0</v>
      </c>
      <c r="J973" s="9">
        <f>STATS1003B!J1019/1000</f>
        <v>0</v>
      </c>
      <c r="K973" s="9">
        <f>STATS1003B!K1019/1000</f>
        <v>0</v>
      </c>
      <c r="L973" s="9">
        <f>STATS1003B!L1019/1000</f>
        <v>0</v>
      </c>
      <c r="M973" s="9">
        <f>STATS1003B!M1019/1000</f>
        <v>5775.6549999999997</v>
      </c>
      <c r="N973" s="9">
        <f>STATS1003B!N1019/1000</f>
        <v>3284.4035600000002</v>
      </c>
      <c r="O973" s="9">
        <f>STATS1003B!O1019/1000</f>
        <v>0</v>
      </c>
      <c r="P973" s="9">
        <f>STATS1003B!P1019/1000</f>
        <v>3284.4035600000002</v>
      </c>
      <c r="Q973" s="9">
        <f>STATS1003B!Q1019/1000</f>
        <v>0</v>
      </c>
      <c r="R973" s="9">
        <f>STATS1003B!R1019/1000</f>
        <v>0</v>
      </c>
      <c r="S973" s="9">
        <f>STATS1003B!S1019/1000</f>
        <v>0</v>
      </c>
      <c r="T973" s="9">
        <f>STATS1003B!T1019/1000</f>
        <v>0</v>
      </c>
      <c r="U973" s="9">
        <f>STATS1003B!U1019/1000</f>
        <v>3284.4035600000002</v>
      </c>
      <c r="V973" s="9">
        <f>STATS1003B!V1019/1000</f>
        <v>9060.0585600000013</v>
      </c>
      <c r="W973" s="9">
        <f>STATS1003B!W1019/1000</f>
        <v>0</v>
      </c>
      <c r="X973" s="9">
        <f>STATS1003B!X1019/1000</f>
        <v>9060.0585600000013</v>
      </c>
      <c r="Y973" s="9">
        <f>STATS1003B!Y1019/1000</f>
        <v>0</v>
      </c>
      <c r="Z973" s="9">
        <f>STATS1003B!Z1019/1000</f>
        <v>0</v>
      </c>
      <c r="AA973" s="9">
        <f>STATS1003B!AA1019/1000</f>
        <v>9060.0585600000013</v>
      </c>
      <c r="AB973" s="9">
        <f>STATS1003B!AB1019/1000</f>
        <v>0</v>
      </c>
    </row>
    <row r="974" spans="1:28" x14ac:dyDescent="0.35">
      <c r="A974" s="36"/>
      <c r="B974" s="8"/>
      <c r="C974" s="7" t="s">
        <v>192</v>
      </c>
      <c r="D974" s="15" t="s">
        <v>54</v>
      </c>
      <c r="E974" s="9">
        <f>STATS1003B!E1020/1000</f>
        <v>955.34561999999994</v>
      </c>
      <c r="F974" s="9">
        <f>STATS1003B!F1020/1000</f>
        <v>0</v>
      </c>
      <c r="G974" s="9">
        <f>STATS1003B!G1020/1000</f>
        <v>0</v>
      </c>
      <c r="H974" s="9">
        <f>STATS1003B!H1020/1000</f>
        <v>0</v>
      </c>
      <c r="I974" s="9">
        <f>STATS1003B!I1020/1000</f>
        <v>0</v>
      </c>
      <c r="J974" s="9">
        <f>STATS1003B!J1020/1000</f>
        <v>0</v>
      </c>
      <c r="K974" s="9">
        <f>STATS1003B!K1020/1000</f>
        <v>0</v>
      </c>
      <c r="L974" s="9">
        <f>STATS1003B!L1020/1000</f>
        <v>0</v>
      </c>
      <c r="M974" s="9">
        <f>STATS1003B!M1020/1000</f>
        <v>0</v>
      </c>
      <c r="N974" s="9">
        <f>STATS1003B!N1020/1000</f>
        <v>955.34561999999994</v>
      </c>
      <c r="O974" s="9">
        <f>STATS1003B!O1020/1000</f>
        <v>0</v>
      </c>
      <c r="P974" s="9">
        <f>STATS1003B!P1020/1000</f>
        <v>955.34561999999994</v>
      </c>
      <c r="Q974" s="9">
        <f>STATS1003B!Q1020/1000</f>
        <v>0</v>
      </c>
      <c r="R974" s="9">
        <f>STATS1003B!R1020/1000</f>
        <v>0</v>
      </c>
      <c r="S974" s="9">
        <f>STATS1003B!S1020/1000</f>
        <v>0</v>
      </c>
      <c r="T974" s="9">
        <f>STATS1003B!T1020/1000</f>
        <v>0</v>
      </c>
      <c r="U974" s="9">
        <f>STATS1003B!U1020/1000</f>
        <v>955.34561999999994</v>
      </c>
      <c r="V974" s="9">
        <f>STATS1003B!V1020/1000</f>
        <v>955.34561999999994</v>
      </c>
      <c r="W974" s="9">
        <f>STATS1003B!W1020/1000</f>
        <v>0</v>
      </c>
      <c r="X974" s="9">
        <f>STATS1003B!X1020/1000</f>
        <v>955.34561999999994</v>
      </c>
      <c r="Y974" s="9">
        <f>STATS1003B!Y1020/1000</f>
        <v>0</v>
      </c>
      <c r="Z974" s="9">
        <f>STATS1003B!Z1020/1000</f>
        <v>0</v>
      </c>
      <c r="AA974" s="9">
        <f>STATS1003B!AA1020/1000</f>
        <v>955.34561999999994</v>
      </c>
      <c r="AB974" s="9">
        <f>STATS1003B!AB1020/1000</f>
        <v>0</v>
      </c>
    </row>
    <row r="975" spans="1:28" x14ac:dyDescent="0.35">
      <c r="A975" s="36"/>
      <c r="B975" s="8"/>
      <c r="C975" s="7" t="s">
        <v>53</v>
      </c>
      <c r="D975" s="15" t="s">
        <v>54</v>
      </c>
      <c r="E975" s="9">
        <f>STATS1003B!E1021/1000</f>
        <v>1953.989</v>
      </c>
      <c r="F975" s="9">
        <f>STATS1003B!F1021/1000</f>
        <v>0</v>
      </c>
      <c r="G975" s="9">
        <f>STATS1003B!G1021/1000</f>
        <v>0</v>
      </c>
      <c r="H975" s="9">
        <f>STATS1003B!H1021/1000</f>
        <v>0</v>
      </c>
      <c r="I975" s="9">
        <f>STATS1003B!I1021/1000</f>
        <v>0</v>
      </c>
      <c r="J975" s="9">
        <f>STATS1003B!J1021/1000</f>
        <v>0</v>
      </c>
      <c r="K975" s="9">
        <f>STATS1003B!K1021/1000</f>
        <v>0</v>
      </c>
      <c r="L975" s="9">
        <f>STATS1003B!L1021/1000</f>
        <v>0</v>
      </c>
      <c r="M975" s="9">
        <f>STATS1003B!M1021/1000</f>
        <v>0</v>
      </c>
      <c r="N975" s="9">
        <f>STATS1003B!N1021/1000</f>
        <v>1953.989</v>
      </c>
      <c r="O975" s="9">
        <f>STATS1003B!O1021/1000</f>
        <v>0</v>
      </c>
      <c r="P975" s="9">
        <f>STATS1003B!P1021/1000</f>
        <v>1953.989</v>
      </c>
      <c r="Q975" s="9">
        <f>STATS1003B!Q1021/1000</f>
        <v>0</v>
      </c>
      <c r="R975" s="9">
        <f>STATS1003B!R1021/1000</f>
        <v>0</v>
      </c>
      <c r="S975" s="9">
        <f>STATS1003B!S1021/1000</f>
        <v>0</v>
      </c>
      <c r="T975" s="9">
        <f>STATS1003B!T1021/1000</f>
        <v>0</v>
      </c>
      <c r="U975" s="9">
        <f>STATS1003B!U1021/1000</f>
        <v>1953.989</v>
      </c>
      <c r="V975" s="9">
        <f>STATS1003B!V1021/1000</f>
        <v>1953.989</v>
      </c>
      <c r="W975" s="9">
        <f>STATS1003B!W1021/1000</f>
        <v>0</v>
      </c>
      <c r="X975" s="9">
        <f>STATS1003B!X1021/1000</f>
        <v>1953.989</v>
      </c>
      <c r="Y975" s="9">
        <f>STATS1003B!Y1021/1000</f>
        <v>0</v>
      </c>
      <c r="Z975" s="9">
        <f>STATS1003B!Z1021/1000</f>
        <v>0</v>
      </c>
      <c r="AA975" s="9">
        <f>STATS1003B!AA1021/1000</f>
        <v>1953.989</v>
      </c>
      <c r="AB975" s="9">
        <f>STATS1003B!AB1021/1000</f>
        <v>0</v>
      </c>
    </row>
    <row r="976" spans="1:28" x14ac:dyDescent="0.35">
      <c r="A976" s="36"/>
      <c r="B976" s="8"/>
      <c r="C976" s="7" t="s">
        <v>233</v>
      </c>
      <c r="D976" s="15" t="s">
        <v>234</v>
      </c>
      <c r="E976" s="9">
        <f>STATS1003B!E1022/1000</f>
        <v>430</v>
      </c>
      <c r="F976" s="9">
        <f>STATS1003B!F1022/1000</f>
        <v>430</v>
      </c>
      <c r="G976" s="9">
        <f>STATS1003B!G1022/1000</f>
        <v>0</v>
      </c>
      <c r="H976" s="9">
        <f>STATS1003B!H1022/1000</f>
        <v>430</v>
      </c>
      <c r="I976" s="9">
        <f>STATS1003B!I1022/1000</f>
        <v>0</v>
      </c>
      <c r="J976" s="9">
        <f>STATS1003B!J1022/1000</f>
        <v>0</v>
      </c>
      <c r="K976" s="9">
        <f>STATS1003B!K1022/1000</f>
        <v>0</v>
      </c>
      <c r="L976" s="9">
        <f>STATS1003B!L1022/1000</f>
        <v>0</v>
      </c>
      <c r="M976" s="9">
        <f>STATS1003B!M1022/1000</f>
        <v>430</v>
      </c>
      <c r="N976" s="9">
        <f>STATS1003B!N1022/1000</f>
        <v>0</v>
      </c>
      <c r="O976" s="9">
        <f>STATS1003B!O1022/1000</f>
        <v>0</v>
      </c>
      <c r="P976" s="9">
        <f>STATS1003B!P1022/1000</f>
        <v>0</v>
      </c>
      <c r="Q976" s="9">
        <f>STATS1003B!Q1022/1000</f>
        <v>0</v>
      </c>
      <c r="R976" s="9">
        <f>STATS1003B!R1022/1000</f>
        <v>0</v>
      </c>
      <c r="S976" s="9">
        <f>STATS1003B!S1022/1000</f>
        <v>0</v>
      </c>
      <c r="T976" s="9">
        <f>STATS1003B!T1022/1000</f>
        <v>0</v>
      </c>
      <c r="U976" s="9">
        <f>STATS1003B!U1022/1000</f>
        <v>0</v>
      </c>
      <c r="V976" s="9">
        <f>STATS1003B!V1022/1000</f>
        <v>430</v>
      </c>
      <c r="W976" s="9">
        <f>STATS1003B!W1022/1000</f>
        <v>0</v>
      </c>
      <c r="X976" s="9">
        <f>STATS1003B!X1022/1000</f>
        <v>430</v>
      </c>
      <c r="Y976" s="9">
        <f>STATS1003B!Y1022/1000</f>
        <v>0</v>
      </c>
      <c r="Z976" s="9">
        <f>STATS1003B!Z1022/1000</f>
        <v>0</v>
      </c>
      <c r="AA976" s="9">
        <f>STATS1003B!AA1022/1000</f>
        <v>430</v>
      </c>
      <c r="AB976" s="9">
        <f>STATS1003B!AB1022/1000</f>
        <v>0</v>
      </c>
    </row>
    <row r="977" spans="1:28" x14ac:dyDescent="0.35">
      <c r="A977" s="36"/>
      <c r="B977" s="8"/>
      <c r="C977" s="7" t="s">
        <v>235</v>
      </c>
      <c r="D977" s="15" t="s">
        <v>85</v>
      </c>
      <c r="E977" s="9">
        <f>STATS1003B!E1023/1000</f>
        <v>3286.8739999999998</v>
      </c>
      <c r="F977" s="9">
        <f>STATS1003B!F1023/1000</f>
        <v>3286.8739999999998</v>
      </c>
      <c r="G977" s="9">
        <f>STATS1003B!G1023/1000</f>
        <v>0</v>
      </c>
      <c r="H977" s="9">
        <f>STATS1003B!H1023/1000</f>
        <v>3286.8739999999998</v>
      </c>
      <c r="I977" s="9">
        <f>STATS1003B!I1023/1000</f>
        <v>0</v>
      </c>
      <c r="J977" s="9">
        <f>STATS1003B!J1023/1000</f>
        <v>0</v>
      </c>
      <c r="K977" s="9">
        <f>STATS1003B!K1023/1000</f>
        <v>0</v>
      </c>
      <c r="L977" s="9">
        <f>STATS1003B!L1023/1000</f>
        <v>0</v>
      </c>
      <c r="M977" s="9">
        <f>STATS1003B!M1023/1000</f>
        <v>3286.8739999999998</v>
      </c>
      <c r="N977" s="9">
        <f>STATS1003B!N1023/1000</f>
        <v>0</v>
      </c>
      <c r="O977" s="9">
        <f>STATS1003B!O1023/1000</f>
        <v>0</v>
      </c>
      <c r="P977" s="9">
        <f>STATS1003B!P1023/1000</f>
        <v>0</v>
      </c>
      <c r="Q977" s="9">
        <f>STATS1003B!Q1023/1000</f>
        <v>0</v>
      </c>
      <c r="R977" s="9">
        <f>STATS1003B!R1023/1000</f>
        <v>0</v>
      </c>
      <c r="S977" s="9">
        <f>STATS1003B!S1023/1000</f>
        <v>0</v>
      </c>
      <c r="T977" s="9">
        <f>STATS1003B!T1023/1000</f>
        <v>0</v>
      </c>
      <c r="U977" s="9">
        <f>STATS1003B!U1023/1000</f>
        <v>0</v>
      </c>
      <c r="V977" s="9">
        <f>STATS1003B!V1023/1000</f>
        <v>3286.8739999999998</v>
      </c>
      <c r="W977" s="9">
        <f>STATS1003B!W1023/1000</f>
        <v>0</v>
      </c>
      <c r="X977" s="9">
        <f>STATS1003B!X1023/1000</f>
        <v>3286.8739999999998</v>
      </c>
      <c r="Y977" s="9">
        <f>STATS1003B!Y1023/1000</f>
        <v>0</v>
      </c>
      <c r="Z977" s="9">
        <f>STATS1003B!Z1023/1000</f>
        <v>0</v>
      </c>
      <c r="AA977" s="9">
        <f>STATS1003B!AA1023/1000</f>
        <v>3286.8739999999998</v>
      </c>
      <c r="AB977" s="9">
        <f>STATS1003B!AB1023/1000</f>
        <v>0</v>
      </c>
    </row>
    <row r="978" spans="1:28" x14ac:dyDescent="0.35">
      <c r="A978" s="36"/>
      <c r="B978" s="8"/>
      <c r="C978" s="7" t="s">
        <v>55</v>
      </c>
      <c r="D978" s="15" t="s">
        <v>236</v>
      </c>
      <c r="E978" s="9">
        <f>STATS1003B!E1024/1000</f>
        <v>29437.122649999998</v>
      </c>
      <c r="F978" s="9">
        <f>STATS1003B!F1024/1000</f>
        <v>0</v>
      </c>
      <c r="G978" s="9">
        <f>STATS1003B!G1024/1000</f>
        <v>0</v>
      </c>
      <c r="H978" s="9">
        <f>STATS1003B!H1024/1000</f>
        <v>0</v>
      </c>
      <c r="I978" s="9">
        <f>STATS1003B!I1024/1000</f>
        <v>0</v>
      </c>
      <c r="J978" s="9">
        <f>STATS1003B!J1024/1000</f>
        <v>0</v>
      </c>
      <c r="K978" s="9">
        <f>STATS1003B!K1024/1000</f>
        <v>0</v>
      </c>
      <c r="L978" s="9">
        <f>STATS1003B!L1024/1000</f>
        <v>0</v>
      </c>
      <c r="M978" s="9">
        <f>STATS1003B!M1024/1000</f>
        <v>0</v>
      </c>
      <c r="N978" s="9">
        <f>STATS1003B!N1024/1000</f>
        <v>29437.122649999998</v>
      </c>
      <c r="O978" s="9">
        <f>STATS1003B!O1024/1000</f>
        <v>0</v>
      </c>
      <c r="P978" s="9">
        <f>STATS1003B!P1024/1000</f>
        <v>29437.122649999998</v>
      </c>
      <c r="Q978" s="9">
        <f>STATS1003B!Q1024/1000</f>
        <v>0</v>
      </c>
      <c r="R978" s="9">
        <f>STATS1003B!R1024/1000</f>
        <v>0</v>
      </c>
      <c r="S978" s="9">
        <f>STATS1003B!S1024/1000</f>
        <v>0</v>
      </c>
      <c r="T978" s="9">
        <f>STATS1003B!T1024/1000</f>
        <v>0</v>
      </c>
      <c r="U978" s="9">
        <f>STATS1003B!U1024/1000</f>
        <v>29437.122649999998</v>
      </c>
      <c r="V978" s="9">
        <f>STATS1003B!V1024/1000</f>
        <v>29437.122649999998</v>
      </c>
      <c r="W978" s="9">
        <f>STATS1003B!W1024/1000</f>
        <v>0</v>
      </c>
      <c r="X978" s="9">
        <f>STATS1003B!X1024/1000</f>
        <v>29437.122649999998</v>
      </c>
      <c r="Y978" s="9">
        <f>STATS1003B!Y1024/1000</f>
        <v>0</v>
      </c>
      <c r="Z978" s="9">
        <f>STATS1003B!Z1024/1000</f>
        <v>0</v>
      </c>
      <c r="AA978" s="9">
        <f>STATS1003B!AA1024/1000</f>
        <v>29437.122649999998</v>
      </c>
      <c r="AB978" s="9">
        <f>STATS1003B!AB1024/1000</f>
        <v>0</v>
      </c>
    </row>
    <row r="979" spans="1:28" x14ac:dyDescent="0.35">
      <c r="A979" s="36"/>
      <c r="B979" s="8"/>
      <c r="C979" s="7" t="s">
        <v>237</v>
      </c>
      <c r="D979" s="15" t="s">
        <v>128</v>
      </c>
      <c r="E979" s="9">
        <f>STATS1003B!E1025/1000</f>
        <v>0</v>
      </c>
      <c r="F979" s="9">
        <f>STATS1003B!F1025/1000</f>
        <v>0</v>
      </c>
      <c r="G979" s="9">
        <f>STATS1003B!G1025/1000</f>
        <v>0</v>
      </c>
      <c r="H979" s="9">
        <f>STATS1003B!H1025/1000</f>
        <v>0</v>
      </c>
      <c r="I979" s="9">
        <f>STATS1003B!I1025/1000</f>
        <v>0</v>
      </c>
      <c r="J979" s="9">
        <f>STATS1003B!J1025/1000</f>
        <v>0</v>
      </c>
      <c r="K979" s="9">
        <f>STATS1003B!K1025/1000</f>
        <v>0</v>
      </c>
      <c r="L979" s="9">
        <f>STATS1003B!L1025/1000</f>
        <v>0</v>
      </c>
      <c r="M979" s="9">
        <f>STATS1003B!M1025/1000</f>
        <v>0</v>
      </c>
      <c r="N979" s="9">
        <f>STATS1003B!N1025/1000</f>
        <v>0</v>
      </c>
      <c r="O979" s="9">
        <f>STATS1003B!O1025/1000</f>
        <v>0</v>
      </c>
      <c r="P979" s="9">
        <f>STATS1003B!P1025/1000</f>
        <v>0</v>
      </c>
      <c r="Q979" s="9">
        <f>STATS1003B!Q1025/1000</f>
        <v>0</v>
      </c>
      <c r="R979" s="9">
        <f>STATS1003B!R1025/1000</f>
        <v>0</v>
      </c>
      <c r="S979" s="9">
        <f>STATS1003B!S1025/1000</f>
        <v>0</v>
      </c>
      <c r="T979" s="9">
        <f>STATS1003B!T1025/1000</f>
        <v>0</v>
      </c>
      <c r="U979" s="9">
        <f>STATS1003B!U1025/1000</f>
        <v>0</v>
      </c>
      <c r="V979" s="9">
        <f>STATS1003B!V1025/1000</f>
        <v>0</v>
      </c>
      <c r="W979" s="9">
        <f>STATS1003B!W1025/1000</f>
        <v>0</v>
      </c>
      <c r="X979" s="9">
        <f>STATS1003B!X1025/1000</f>
        <v>0</v>
      </c>
      <c r="Y979" s="9">
        <f>STATS1003B!Y1025/1000</f>
        <v>0</v>
      </c>
      <c r="Z979" s="9">
        <f>STATS1003B!Z1025/1000</f>
        <v>0</v>
      </c>
      <c r="AA979" s="9">
        <f>STATS1003B!AA1025/1000</f>
        <v>0</v>
      </c>
      <c r="AB979" s="9">
        <f>STATS1003B!AB1025/1000</f>
        <v>0</v>
      </c>
    </row>
    <row r="980" spans="1:28" x14ac:dyDescent="0.35">
      <c r="A980" s="36"/>
      <c r="B980" s="8"/>
      <c r="C980" s="14" t="s">
        <v>109</v>
      </c>
      <c r="D980" s="21" t="s">
        <v>60</v>
      </c>
      <c r="E980" s="9">
        <f>STATS1003B!E1026/1000</f>
        <v>2500</v>
      </c>
      <c r="F980" s="9">
        <f>STATS1003B!F1026/1000</f>
        <v>2500</v>
      </c>
      <c r="G980" s="9">
        <f>STATS1003B!G1026/1000</f>
        <v>0</v>
      </c>
      <c r="H980" s="9">
        <f>STATS1003B!H1026/1000</f>
        <v>2500</v>
      </c>
      <c r="I980" s="9">
        <f>STATS1003B!I1026/1000</f>
        <v>0</v>
      </c>
      <c r="J980" s="9">
        <f>STATS1003B!J1026/1000</f>
        <v>0</v>
      </c>
      <c r="K980" s="9">
        <f>STATS1003B!K1026/1000</f>
        <v>0</v>
      </c>
      <c r="L980" s="9">
        <f>STATS1003B!L1026/1000</f>
        <v>0</v>
      </c>
      <c r="M980" s="9">
        <f>STATS1003B!M1026/1000</f>
        <v>2500</v>
      </c>
      <c r="N980" s="9">
        <f>STATS1003B!N1026/1000</f>
        <v>0</v>
      </c>
      <c r="O980" s="9">
        <f>STATS1003B!O1026/1000</f>
        <v>0</v>
      </c>
      <c r="P980" s="9">
        <f>STATS1003B!P1026/1000</f>
        <v>0</v>
      </c>
      <c r="Q980" s="9">
        <f>STATS1003B!Q1026/1000</f>
        <v>0</v>
      </c>
      <c r="R980" s="9">
        <f>STATS1003B!R1026/1000</f>
        <v>0</v>
      </c>
      <c r="S980" s="9">
        <f>STATS1003B!S1026/1000</f>
        <v>0</v>
      </c>
      <c r="T980" s="9">
        <f>STATS1003B!T1026/1000</f>
        <v>0</v>
      </c>
      <c r="U980" s="9">
        <f>STATS1003B!U1026/1000</f>
        <v>0</v>
      </c>
      <c r="V980" s="9">
        <f>STATS1003B!V1026/1000</f>
        <v>2500</v>
      </c>
      <c r="W980" s="9">
        <f>STATS1003B!W1026/1000</f>
        <v>0</v>
      </c>
      <c r="X980" s="9">
        <f>STATS1003B!X1026/1000</f>
        <v>2500</v>
      </c>
      <c r="Y980" s="9">
        <f>STATS1003B!Y1026/1000</f>
        <v>0</v>
      </c>
      <c r="Z980" s="9">
        <f>STATS1003B!Z1026/1000</f>
        <v>0</v>
      </c>
      <c r="AA980" s="9">
        <f>STATS1003B!AA1026/1000</f>
        <v>2500</v>
      </c>
      <c r="AB980" s="9">
        <f>STATS1003B!AB1026/1000</f>
        <v>0</v>
      </c>
    </row>
    <row r="981" spans="1:28" x14ac:dyDescent="0.35">
      <c r="A981" s="36"/>
      <c r="B981" s="8"/>
      <c r="C981" s="14" t="s">
        <v>57</v>
      </c>
      <c r="D981" s="21" t="s">
        <v>60</v>
      </c>
      <c r="E981" s="9">
        <f>STATS1003B!E1027/1000</f>
        <v>714</v>
      </c>
      <c r="F981" s="9">
        <f>STATS1003B!F1027/1000</f>
        <v>714</v>
      </c>
      <c r="G981" s="9">
        <f>STATS1003B!G1027/1000</f>
        <v>0</v>
      </c>
      <c r="H981" s="9">
        <f>STATS1003B!H1027/1000</f>
        <v>714</v>
      </c>
      <c r="I981" s="9">
        <f>STATS1003B!I1027/1000</f>
        <v>0</v>
      </c>
      <c r="J981" s="9">
        <f>STATS1003B!J1027/1000</f>
        <v>0</v>
      </c>
      <c r="K981" s="9">
        <f>STATS1003B!K1027/1000</f>
        <v>0</v>
      </c>
      <c r="L981" s="9">
        <f>STATS1003B!L1027/1000</f>
        <v>0</v>
      </c>
      <c r="M981" s="9">
        <f>STATS1003B!M1027/1000</f>
        <v>714</v>
      </c>
      <c r="N981" s="9">
        <f>STATS1003B!N1027/1000</f>
        <v>0</v>
      </c>
      <c r="O981" s="9">
        <f>STATS1003B!O1027/1000</f>
        <v>0</v>
      </c>
      <c r="P981" s="9">
        <f>STATS1003B!P1027/1000</f>
        <v>0</v>
      </c>
      <c r="Q981" s="9">
        <f>STATS1003B!Q1027/1000</f>
        <v>0</v>
      </c>
      <c r="R981" s="9">
        <f>STATS1003B!R1027/1000</f>
        <v>0</v>
      </c>
      <c r="S981" s="9">
        <f>STATS1003B!S1027/1000</f>
        <v>0</v>
      </c>
      <c r="T981" s="9">
        <f>STATS1003B!T1027/1000</f>
        <v>0</v>
      </c>
      <c r="U981" s="9">
        <f>STATS1003B!U1027/1000</f>
        <v>0</v>
      </c>
      <c r="V981" s="9">
        <f>STATS1003B!V1027/1000</f>
        <v>714</v>
      </c>
      <c r="W981" s="9">
        <f>STATS1003B!W1027/1000</f>
        <v>0</v>
      </c>
      <c r="X981" s="9">
        <f>STATS1003B!X1027/1000</f>
        <v>714</v>
      </c>
      <c r="Y981" s="9">
        <f>STATS1003B!Y1027/1000</f>
        <v>0</v>
      </c>
      <c r="Z981" s="9">
        <f>STATS1003B!Z1027/1000</f>
        <v>0</v>
      </c>
      <c r="AA981" s="9">
        <f>STATS1003B!AA1027/1000</f>
        <v>714</v>
      </c>
      <c r="AB981" s="9">
        <f>STATS1003B!AB1027/1000</f>
        <v>0</v>
      </c>
    </row>
    <row r="982" spans="1:28" x14ac:dyDescent="0.35">
      <c r="A982" s="36"/>
      <c r="B982" s="8"/>
      <c r="C982" s="14" t="s">
        <v>238</v>
      </c>
      <c r="D982" s="24" t="s">
        <v>239</v>
      </c>
      <c r="E982" s="9">
        <f>STATS1003B!E1028/1000</f>
        <v>891.37900000000002</v>
      </c>
      <c r="F982" s="9">
        <f>STATS1003B!F1028/1000</f>
        <v>891.37900000000002</v>
      </c>
      <c r="G982" s="9">
        <f>STATS1003B!G1028/1000</f>
        <v>0</v>
      </c>
      <c r="H982" s="9">
        <f>STATS1003B!H1028/1000</f>
        <v>891.37900000000002</v>
      </c>
      <c r="I982" s="9">
        <f>STATS1003B!I1028/1000</f>
        <v>0</v>
      </c>
      <c r="J982" s="9">
        <f>STATS1003B!J1028/1000</f>
        <v>0</v>
      </c>
      <c r="K982" s="9">
        <f>STATS1003B!K1028/1000</f>
        <v>0</v>
      </c>
      <c r="L982" s="9">
        <f>STATS1003B!L1028/1000</f>
        <v>0</v>
      </c>
      <c r="M982" s="9">
        <f>STATS1003B!M1028/1000</f>
        <v>891.37900000000002</v>
      </c>
      <c r="N982" s="9">
        <f>STATS1003B!N1028/1000</f>
        <v>0</v>
      </c>
      <c r="O982" s="9">
        <f>STATS1003B!O1028/1000</f>
        <v>0</v>
      </c>
      <c r="P982" s="9">
        <f>STATS1003B!P1028/1000</f>
        <v>0</v>
      </c>
      <c r="Q982" s="9">
        <f>STATS1003B!Q1028/1000</f>
        <v>0</v>
      </c>
      <c r="R982" s="9">
        <f>STATS1003B!R1028/1000</f>
        <v>0</v>
      </c>
      <c r="S982" s="9">
        <f>STATS1003B!S1028/1000</f>
        <v>0</v>
      </c>
      <c r="T982" s="9">
        <f>STATS1003B!T1028/1000</f>
        <v>0</v>
      </c>
      <c r="U982" s="9">
        <f>STATS1003B!U1028/1000</f>
        <v>0</v>
      </c>
      <c r="V982" s="9">
        <f>STATS1003B!V1028/1000</f>
        <v>891.37900000000002</v>
      </c>
      <c r="W982" s="9">
        <f>STATS1003B!W1028/1000</f>
        <v>0</v>
      </c>
      <c r="X982" s="9">
        <f>STATS1003B!X1028/1000</f>
        <v>891.37900000000002</v>
      </c>
      <c r="Y982" s="9">
        <f>STATS1003B!Y1028/1000</f>
        <v>0</v>
      </c>
      <c r="Z982" s="9">
        <f>STATS1003B!Z1028/1000</f>
        <v>0</v>
      </c>
      <c r="AA982" s="9">
        <f>STATS1003B!AA1028/1000</f>
        <v>891.37900000000002</v>
      </c>
      <c r="AB982" s="9">
        <f>STATS1003B!AB1028/1000</f>
        <v>0</v>
      </c>
    </row>
    <row r="983" spans="1:28" x14ac:dyDescent="0.35">
      <c r="A983" s="36"/>
      <c r="B983" s="8"/>
      <c r="C983" s="14" t="s">
        <v>925</v>
      </c>
      <c r="D983" s="24" t="s">
        <v>1072</v>
      </c>
      <c r="E983" s="9">
        <f>STATS1003B!E1029/1000</f>
        <v>108.621</v>
      </c>
      <c r="F983" s="9">
        <f>STATS1003B!F1029/1000</f>
        <v>108.621</v>
      </c>
      <c r="G983" s="9">
        <f>STATS1003B!G1029/1000</f>
        <v>0</v>
      </c>
      <c r="H983" s="9">
        <f>STATS1003B!H1029/1000</f>
        <v>108.621</v>
      </c>
      <c r="I983" s="9">
        <f>STATS1003B!I1029/1000</f>
        <v>0</v>
      </c>
      <c r="J983" s="9">
        <f>STATS1003B!J1029/1000</f>
        <v>0</v>
      </c>
      <c r="K983" s="9">
        <f>STATS1003B!K1029/1000</f>
        <v>0</v>
      </c>
      <c r="L983" s="9">
        <f>STATS1003B!L1029/1000</f>
        <v>0</v>
      </c>
      <c r="M983" s="9">
        <f>STATS1003B!M1029/1000</f>
        <v>108.621</v>
      </c>
      <c r="N983" s="9">
        <f>STATS1003B!N1029/1000</f>
        <v>0</v>
      </c>
      <c r="O983" s="9">
        <f>STATS1003B!O1029/1000</f>
        <v>0</v>
      </c>
      <c r="P983" s="9">
        <f>STATS1003B!P1029/1000</f>
        <v>0</v>
      </c>
      <c r="Q983" s="9">
        <f>STATS1003B!Q1029/1000</f>
        <v>0</v>
      </c>
      <c r="R983" s="9">
        <f>STATS1003B!R1029/1000</f>
        <v>0</v>
      </c>
      <c r="S983" s="9">
        <f>STATS1003B!S1029/1000</f>
        <v>0</v>
      </c>
      <c r="T983" s="9">
        <f>STATS1003B!T1029/1000</f>
        <v>0</v>
      </c>
      <c r="U983" s="9">
        <f>STATS1003B!U1029/1000</f>
        <v>0</v>
      </c>
      <c r="V983" s="9">
        <f>STATS1003B!V1029/1000</f>
        <v>108.621</v>
      </c>
      <c r="W983" s="9">
        <f>STATS1003B!W1029/1000</f>
        <v>0</v>
      </c>
      <c r="X983" s="9">
        <f>STATS1003B!X1029/1000</f>
        <v>108.621</v>
      </c>
      <c r="Y983" s="9">
        <f>STATS1003B!Y1029/1000</f>
        <v>0</v>
      </c>
      <c r="Z983" s="9">
        <f>STATS1003B!Z1029/1000</f>
        <v>0</v>
      </c>
      <c r="AA983" s="9">
        <f>STATS1003B!AA1029/1000</f>
        <v>108.621</v>
      </c>
      <c r="AB983" s="9">
        <f>STATS1003B!AB1029/1000</f>
        <v>0</v>
      </c>
    </row>
    <row r="984" spans="1:28" x14ac:dyDescent="0.35">
      <c r="A984" s="36"/>
      <c r="B984" s="8"/>
      <c r="C984" s="14" t="s">
        <v>932</v>
      </c>
      <c r="D984" s="24" t="s">
        <v>1072</v>
      </c>
      <c r="E984" s="9">
        <f>STATS1003B!E1030/1000</f>
        <v>400</v>
      </c>
      <c r="F984" s="9">
        <f>STATS1003B!F1030/1000</f>
        <v>400</v>
      </c>
      <c r="G984" s="9">
        <f>STATS1003B!G1030/1000</f>
        <v>0</v>
      </c>
      <c r="H984" s="9">
        <f>STATS1003B!H1030/1000</f>
        <v>400</v>
      </c>
      <c r="I984" s="9">
        <f>STATS1003B!I1030/1000</f>
        <v>0</v>
      </c>
      <c r="J984" s="9">
        <f>STATS1003B!J1030/1000</f>
        <v>0</v>
      </c>
      <c r="K984" s="9">
        <f>STATS1003B!K1030/1000</f>
        <v>0</v>
      </c>
      <c r="L984" s="9">
        <f>STATS1003B!L1030/1000</f>
        <v>0</v>
      </c>
      <c r="M984" s="9">
        <f>STATS1003B!M1030/1000</f>
        <v>400</v>
      </c>
      <c r="N984" s="9">
        <f>STATS1003B!N1030/1000</f>
        <v>0</v>
      </c>
      <c r="O984" s="9">
        <f>STATS1003B!O1030/1000</f>
        <v>0</v>
      </c>
      <c r="P984" s="9">
        <f>STATS1003B!P1030/1000</f>
        <v>0</v>
      </c>
      <c r="Q984" s="9">
        <f>STATS1003B!Q1030/1000</f>
        <v>0</v>
      </c>
      <c r="R984" s="9">
        <f>STATS1003B!R1030/1000</f>
        <v>0</v>
      </c>
      <c r="S984" s="9">
        <f>STATS1003B!S1030/1000</f>
        <v>0</v>
      </c>
      <c r="T984" s="9">
        <f>STATS1003B!T1030/1000</f>
        <v>0</v>
      </c>
      <c r="U984" s="9">
        <f>STATS1003B!U1030/1000</f>
        <v>0</v>
      </c>
      <c r="V984" s="9">
        <f>STATS1003B!V1030/1000</f>
        <v>400</v>
      </c>
      <c r="W984" s="9">
        <f>STATS1003B!W1030/1000</f>
        <v>0</v>
      </c>
      <c r="X984" s="9">
        <f>STATS1003B!X1030/1000</f>
        <v>400</v>
      </c>
      <c r="Y984" s="9">
        <f>STATS1003B!Y1030/1000</f>
        <v>0</v>
      </c>
      <c r="Z984" s="9">
        <f>STATS1003B!Z1030/1000</f>
        <v>0</v>
      </c>
      <c r="AA984" s="9">
        <f>STATS1003B!AA1030/1000</f>
        <v>400</v>
      </c>
      <c r="AB984" s="9">
        <f>STATS1003B!AB1030/1000</f>
        <v>0</v>
      </c>
    </row>
    <row r="985" spans="1:28" x14ac:dyDescent="0.35">
      <c r="A985" s="36"/>
      <c r="B985" s="8"/>
      <c r="C985" s="14" t="s">
        <v>924</v>
      </c>
      <c r="D985" s="24" t="s">
        <v>1072</v>
      </c>
      <c r="E985" s="9">
        <f>STATS1003B!E1031/1000</f>
        <v>3.1838500000000001</v>
      </c>
      <c r="F985" s="9">
        <f>STATS1003B!F1031/1000</f>
        <v>0</v>
      </c>
      <c r="G985" s="9">
        <f>STATS1003B!G1031/1000</f>
        <v>0</v>
      </c>
      <c r="H985" s="9">
        <f>STATS1003B!H1031/1000</f>
        <v>0</v>
      </c>
      <c r="I985" s="9">
        <f>STATS1003B!I1031/1000</f>
        <v>0</v>
      </c>
      <c r="J985" s="9">
        <f>STATS1003B!J1031/1000</f>
        <v>0</v>
      </c>
      <c r="K985" s="9">
        <f>STATS1003B!K1031/1000</f>
        <v>0</v>
      </c>
      <c r="L985" s="9">
        <f>STATS1003B!L1031/1000</f>
        <v>0</v>
      </c>
      <c r="M985" s="9">
        <f>STATS1003B!M1031/1000</f>
        <v>0</v>
      </c>
      <c r="N985" s="9">
        <f>STATS1003B!N1031/1000</f>
        <v>3.1838500000000001</v>
      </c>
      <c r="O985" s="9">
        <f>STATS1003B!O1031/1000</f>
        <v>0</v>
      </c>
      <c r="P985" s="9">
        <f>STATS1003B!P1031/1000</f>
        <v>3.1838500000000001</v>
      </c>
      <c r="Q985" s="9">
        <f>STATS1003B!Q1031/1000</f>
        <v>0</v>
      </c>
      <c r="R985" s="9">
        <f>STATS1003B!R1031/1000</f>
        <v>0</v>
      </c>
      <c r="S985" s="9">
        <f>STATS1003B!S1031/1000</f>
        <v>0</v>
      </c>
      <c r="T985" s="9">
        <f>STATS1003B!T1031/1000</f>
        <v>0</v>
      </c>
      <c r="U985" s="9">
        <f>STATS1003B!U1031/1000</f>
        <v>3.1838500000000001</v>
      </c>
      <c r="V985" s="9">
        <f>STATS1003B!V1031/1000</f>
        <v>3.1838500000000001</v>
      </c>
      <c r="W985" s="9">
        <f>STATS1003B!W1031/1000</f>
        <v>0</v>
      </c>
      <c r="X985" s="9">
        <f>STATS1003B!X1031/1000</f>
        <v>3.1838500000000001</v>
      </c>
      <c r="Y985" s="9">
        <f>STATS1003B!Y1031/1000</f>
        <v>0</v>
      </c>
      <c r="Z985" s="9">
        <f>STATS1003B!Z1031/1000</f>
        <v>0</v>
      </c>
      <c r="AA985" s="9">
        <f>STATS1003B!AA1031/1000</f>
        <v>3.1838500000000001</v>
      </c>
      <c r="AB985" s="9">
        <f>STATS1003B!AB1031/1000</f>
        <v>0</v>
      </c>
    </row>
    <row r="986" spans="1:28" x14ac:dyDescent="0.35">
      <c r="A986" s="36"/>
      <c r="B986" s="8"/>
      <c r="C986" s="14" t="s">
        <v>57</v>
      </c>
      <c r="D986" s="24" t="s">
        <v>61</v>
      </c>
      <c r="E986" s="9">
        <f>STATS1003B!E1032/1000</f>
        <v>564</v>
      </c>
      <c r="F986" s="9">
        <f>STATS1003B!F1032/1000</f>
        <v>564</v>
      </c>
      <c r="G986" s="9">
        <f>STATS1003B!G1032/1000</f>
        <v>0</v>
      </c>
      <c r="H986" s="9">
        <f>STATS1003B!H1032/1000</f>
        <v>564</v>
      </c>
      <c r="I986" s="9">
        <f>STATS1003B!I1032/1000</f>
        <v>564</v>
      </c>
      <c r="J986" s="9">
        <f>STATS1003B!J1032/1000</f>
        <v>564</v>
      </c>
      <c r="K986" s="9">
        <f>STATS1003B!K1032/1000</f>
        <v>0</v>
      </c>
      <c r="L986" s="9">
        <f>STATS1003B!L1032/1000</f>
        <v>0</v>
      </c>
      <c r="M986" s="9">
        <f>STATS1003B!M1032/1000</f>
        <v>564</v>
      </c>
      <c r="N986" s="9">
        <f>STATS1003B!N1032/1000</f>
        <v>0</v>
      </c>
      <c r="O986" s="9">
        <f>STATS1003B!O1032/1000</f>
        <v>0</v>
      </c>
      <c r="P986" s="9">
        <f>STATS1003B!P1032/1000</f>
        <v>0</v>
      </c>
      <c r="Q986" s="9">
        <f>STATS1003B!Q1032/1000</f>
        <v>0</v>
      </c>
      <c r="R986" s="9">
        <f>STATS1003B!R1032/1000</f>
        <v>0</v>
      </c>
      <c r="S986" s="9">
        <f>STATS1003B!S1032/1000</f>
        <v>0</v>
      </c>
      <c r="T986" s="9">
        <f>STATS1003B!T1032/1000</f>
        <v>0</v>
      </c>
      <c r="U986" s="9">
        <f>STATS1003B!U1032/1000</f>
        <v>0</v>
      </c>
      <c r="V986" s="9">
        <f>STATS1003B!V1032/1000</f>
        <v>564</v>
      </c>
      <c r="W986" s="9">
        <f>STATS1003B!W1032/1000</f>
        <v>0</v>
      </c>
      <c r="X986" s="9">
        <f>STATS1003B!X1032/1000</f>
        <v>564</v>
      </c>
      <c r="Y986" s="9">
        <f>STATS1003B!Y1032/1000</f>
        <v>0</v>
      </c>
      <c r="Z986" s="9">
        <f>STATS1003B!Z1032/1000</f>
        <v>0</v>
      </c>
      <c r="AA986" s="9">
        <f>STATS1003B!AA1032/1000</f>
        <v>564</v>
      </c>
      <c r="AB986" s="9">
        <f>STATS1003B!AB1032/1000</f>
        <v>0</v>
      </c>
    </row>
    <row r="987" spans="1:28" x14ac:dyDescent="0.35">
      <c r="A987" s="36"/>
      <c r="B987" s="8"/>
      <c r="C987" s="8"/>
      <c r="D987" s="8"/>
      <c r="E987" s="17" t="s">
        <v>29</v>
      </c>
      <c r="F987" s="17" t="s">
        <v>29</v>
      </c>
      <c r="G987" s="17" t="s">
        <v>29</v>
      </c>
      <c r="H987" s="17" t="s">
        <v>29</v>
      </c>
      <c r="I987" s="17" t="s">
        <v>29</v>
      </c>
      <c r="J987" s="17" t="s">
        <v>29</v>
      </c>
      <c r="K987" s="17" t="s">
        <v>29</v>
      </c>
      <c r="L987" s="17" t="s">
        <v>29</v>
      </c>
      <c r="M987" s="17" t="s">
        <v>29</v>
      </c>
      <c r="N987" s="17" t="s">
        <v>29</v>
      </c>
      <c r="O987" s="17" t="s">
        <v>29</v>
      </c>
      <c r="P987" s="17" t="s">
        <v>29</v>
      </c>
      <c r="Q987" s="17" t="s">
        <v>29</v>
      </c>
      <c r="R987" s="17" t="s">
        <v>29</v>
      </c>
      <c r="S987" s="17" t="s">
        <v>29</v>
      </c>
      <c r="T987" s="17" t="s">
        <v>29</v>
      </c>
      <c r="U987" s="17" t="s">
        <v>29</v>
      </c>
      <c r="V987" s="17" t="s">
        <v>29</v>
      </c>
      <c r="W987" s="17" t="s">
        <v>29</v>
      </c>
      <c r="X987" s="17" t="s">
        <v>29</v>
      </c>
      <c r="Y987" s="17" t="s">
        <v>29</v>
      </c>
      <c r="Z987" s="17" t="s">
        <v>29</v>
      </c>
      <c r="AA987" s="17" t="s">
        <v>29</v>
      </c>
      <c r="AB987" s="17" t="s">
        <v>29</v>
      </c>
    </row>
    <row r="988" spans="1:28" x14ac:dyDescent="0.35">
      <c r="A988" s="36"/>
      <c r="B988" s="8"/>
      <c r="C988" s="8"/>
      <c r="D988" s="8"/>
      <c r="E988" s="9">
        <f t="shared" ref="E988:AB988" si="75">SUM(E972:E986)</f>
        <v>52593.40868</v>
      </c>
      <c r="F988" s="9">
        <f t="shared" si="75"/>
        <v>16959.364000000001</v>
      </c>
      <c r="G988" s="9">
        <f t="shared" si="75"/>
        <v>0</v>
      </c>
      <c r="H988" s="9">
        <f t="shared" si="75"/>
        <v>16959.364000000001</v>
      </c>
      <c r="I988" s="9">
        <f t="shared" si="75"/>
        <v>564</v>
      </c>
      <c r="J988" s="9">
        <f t="shared" si="75"/>
        <v>564</v>
      </c>
      <c r="K988" s="9">
        <f t="shared" si="75"/>
        <v>0</v>
      </c>
      <c r="L988" s="9">
        <f t="shared" si="75"/>
        <v>0</v>
      </c>
      <c r="M988" s="9">
        <f t="shared" si="75"/>
        <v>16959.364000000001</v>
      </c>
      <c r="N988" s="9">
        <f t="shared" si="75"/>
        <v>35634.044679999999</v>
      </c>
      <c r="O988" s="9">
        <f t="shared" si="75"/>
        <v>0</v>
      </c>
      <c r="P988" s="9">
        <f t="shared" si="75"/>
        <v>35634.044679999999</v>
      </c>
      <c r="Q988" s="9">
        <f t="shared" si="75"/>
        <v>0</v>
      </c>
      <c r="R988" s="9">
        <f t="shared" si="75"/>
        <v>0</v>
      </c>
      <c r="S988" s="9">
        <f t="shared" si="75"/>
        <v>0</v>
      </c>
      <c r="T988" s="9">
        <f t="shared" si="75"/>
        <v>0</v>
      </c>
      <c r="U988" s="9">
        <f t="shared" si="75"/>
        <v>35634.044679999999</v>
      </c>
      <c r="V988" s="9">
        <f t="shared" si="75"/>
        <v>52593.40868</v>
      </c>
      <c r="W988" s="9">
        <f t="shared" si="75"/>
        <v>0</v>
      </c>
      <c r="X988" s="9">
        <f t="shared" si="75"/>
        <v>52593.40868</v>
      </c>
      <c r="Y988" s="9">
        <f t="shared" si="75"/>
        <v>0</v>
      </c>
      <c r="Z988" s="9">
        <f t="shared" si="75"/>
        <v>0</v>
      </c>
      <c r="AA988" s="9">
        <f t="shared" si="75"/>
        <v>52593.40868</v>
      </c>
      <c r="AB988" s="9">
        <f t="shared" si="75"/>
        <v>0</v>
      </c>
    </row>
    <row r="989" spans="1:28" x14ac:dyDescent="0.35">
      <c r="A989" s="36"/>
      <c r="B989" s="8"/>
      <c r="C989" s="8"/>
      <c r="D989" s="8"/>
      <c r="E989" s="17" t="s">
        <v>29</v>
      </c>
      <c r="F989" s="17" t="s">
        <v>29</v>
      </c>
      <c r="G989" s="17" t="s">
        <v>29</v>
      </c>
      <c r="H989" s="17" t="s">
        <v>29</v>
      </c>
      <c r="I989" s="17" t="s">
        <v>29</v>
      </c>
      <c r="J989" s="17" t="s">
        <v>29</v>
      </c>
      <c r="K989" s="17" t="s">
        <v>29</v>
      </c>
      <c r="L989" s="17" t="s">
        <v>29</v>
      </c>
      <c r="M989" s="17" t="s">
        <v>29</v>
      </c>
      <c r="N989" s="17" t="s">
        <v>29</v>
      </c>
      <c r="O989" s="17" t="s">
        <v>29</v>
      </c>
      <c r="P989" s="17" t="s">
        <v>29</v>
      </c>
      <c r="Q989" s="17" t="s">
        <v>29</v>
      </c>
      <c r="R989" s="17" t="s">
        <v>29</v>
      </c>
      <c r="S989" s="17" t="s">
        <v>29</v>
      </c>
      <c r="T989" s="17" t="s">
        <v>29</v>
      </c>
      <c r="U989" s="17" t="s">
        <v>29</v>
      </c>
      <c r="V989" s="17" t="s">
        <v>29</v>
      </c>
      <c r="W989" s="17" t="s">
        <v>29</v>
      </c>
      <c r="X989" s="17" t="s">
        <v>29</v>
      </c>
      <c r="Y989" s="17" t="s">
        <v>29</v>
      </c>
      <c r="Z989" s="17" t="s">
        <v>29</v>
      </c>
      <c r="AA989" s="17" t="s">
        <v>29</v>
      </c>
      <c r="AB989" s="17" t="s">
        <v>29</v>
      </c>
    </row>
    <row r="990" spans="1:28" x14ac:dyDescent="0.35">
      <c r="A990" s="38" t="s">
        <v>985</v>
      </c>
      <c r="B990" s="7" t="s">
        <v>240</v>
      </c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8" x14ac:dyDescent="0.35">
      <c r="A991" s="36"/>
      <c r="B991" s="8"/>
      <c r="C991" s="7" t="s">
        <v>172</v>
      </c>
      <c r="D991" s="15" t="s">
        <v>166</v>
      </c>
      <c r="E991" s="9">
        <f>STATS1003B!E1037/1000</f>
        <v>1609.847</v>
      </c>
      <c r="F991" s="9">
        <f>STATS1003B!F1037/1000</f>
        <v>1609.847</v>
      </c>
      <c r="G991" s="9">
        <f>STATS1003B!G1037/1000</f>
        <v>0</v>
      </c>
      <c r="H991" s="9">
        <f>STATS1003B!H1037/1000</f>
        <v>1609.847</v>
      </c>
      <c r="I991" s="9">
        <f>STATS1003B!I1037/1000</f>
        <v>0</v>
      </c>
      <c r="J991" s="9">
        <f>STATS1003B!J1037/1000</f>
        <v>0</v>
      </c>
      <c r="K991" s="9">
        <f>STATS1003B!K1037/1000</f>
        <v>0</v>
      </c>
      <c r="L991" s="9">
        <f>STATS1003B!L1037/1000</f>
        <v>0</v>
      </c>
      <c r="M991" s="9">
        <f>STATS1003B!M1037/1000</f>
        <v>1609.847</v>
      </c>
      <c r="N991" s="9">
        <f>STATS1003B!N1037/1000</f>
        <v>0</v>
      </c>
      <c r="O991" s="9">
        <f>STATS1003B!O1037/1000</f>
        <v>0</v>
      </c>
      <c r="P991" s="9">
        <f>STATS1003B!P1037/1000</f>
        <v>0</v>
      </c>
      <c r="Q991" s="9">
        <f>STATS1003B!Q1037/1000</f>
        <v>0</v>
      </c>
      <c r="R991" s="9">
        <f>STATS1003B!R1037/1000</f>
        <v>0</v>
      </c>
      <c r="S991" s="9">
        <f>STATS1003B!S1037/1000</f>
        <v>0</v>
      </c>
      <c r="T991" s="9">
        <f>STATS1003B!T1037/1000</f>
        <v>0</v>
      </c>
      <c r="U991" s="9">
        <f>STATS1003B!U1037/1000</f>
        <v>0</v>
      </c>
      <c r="V991" s="9">
        <f>STATS1003B!V1037/1000</f>
        <v>1609.847</v>
      </c>
      <c r="W991" s="9">
        <f>STATS1003B!W1037/1000</f>
        <v>0</v>
      </c>
      <c r="X991" s="9">
        <f>STATS1003B!X1037/1000</f>
        <v>1609.847</v>
      </c>
      <c r="Y991" s="9">
        <f>STATS1003B!Y1037/1000</f>
        <v>0</v>
      </c>
      <c r="Z991" s="9">
        <f>STATS1003B!Z1037/1000</f>
        <v>0</v>
      </c>
      <c r="AA991" s="9">
        <f>STATS1003B!AA1037/1000</f>
        <v>1609.847</v>
      </c>
      <c r="AB991" s="9">
        <f>STATS1003B!AB1037/1000</f>
        <v>0</v>
      </c>
    </row>
    <row r="992" spans="1:28" x14ac:dyDescent="0.35">
      <c r="A992" s="36"/>
      <c r="B992" s="8"/>
      <c r="C992" s="7" t="s">
        <v>55</v>
      </c>
      <c r="D992" s="15" t="s">
        <v>99</v>
      </c>
      <c r="E992" s="9">
        <f>STATS1003B!E1038/1000</f>
        <v>20755.785250000001</v>
      </c>
      <c r="F992" s="9">
        <f>STATS1003B!F1038/1000</f>
        <v>0</v>
      </c>
      <c r="G992" s="9">
        <f>STATS1003B!G1038/1000</f>
        <v>0</v>
      </c>
      <c r="H992" s="9">
        <f>STATS1003B!H1038/1000</f>
        <v>0</v>
      </c>
      <c r="I992" s="9">
        <f>STATS1003B!I1038/1000</f>
        <v>0</v>
      </c>
      <c r="J992" s="9">
        <f>STATS1003B!J1038/1000</f>
        <v>0</v>
      </c>
      <c r="K992" s="9">
        <f>STATS1003B!K1038/1000</f>
        <v>0</v>
      </c>
      <c r="L992" s="9">
        <f>STATS1003B!L1038/1000</f>
        <v>0</v>
      </c>
      <c r="M992" s="9">
        <f>STATS1003B!M1038/1000</f>
        <v>0</v>
      </c>
      <c r="N992" s="9">
        <f>STATS1003B!N1038/1000</f>
        <v>20755.785250000001</v>
      </c>
      <c r="O992" s="9">
        <f>STATS1003B!O1038/1000</f>
        <v>0</v>
      </c>
      <c r="P992" s="9">
        <f>STATS1003B!P1038/1000</f>
        <v>20755.785250000001</v>
      </c>
      <c r="Q992" s="9">
        <f>STATS1003B!Q1038/1000</f>
        <v>0</v>
      </c>
      <c r="R992" s="9">
        <f>STATS1003B!R1038/1000</f>
        <v>0</v>
      </c>
      <c r="S992" s="9">
        <f>STATS1003B!S1038/1000</f>
        <v>0</v>
      </c>
      <c r="T992" s="9">
        <f>STATS1003B!T1038/1000</f>
        <v>0</v>
      </c>
      <c r="U992" s="9">
        <f>STATS1003B!U1038/1000</f>
        <v>20755.785250000001</v>
      </c>
      <c r="V992" s="9">
        <f>STATS1003B!V1038/1000</f>
        <v>20755.785250000001</v>
      </c>
      <c r="W992" s="9">
        <f>STATS1003B!W1038/1000</f>
        <v>0</v>
      </c>
      <c r="X992" s="9">
        <f>STATS1003B!X1038/1000</f>
        <v>20755.785250000001</v>
      </c>
      <c r="Y992" s="9">
        <f>STATS1003B!Y1038/1000</f>
        <v>0</v>
      </c>
      <c r="Z992" s="9">
        <f>STATS1003B!Z1038/1000</f>
        <v>0</v>
      </c>
      <c r="AA992" s="9">
        <f>STATS1003B!AA1038/1000</f>
        <v>20755.785250000001</v>
      </c>
      <c r="AB992" s="9">
        <f>STATS1003B!AB1038/1000</f>
        <v>0</v>
      </c>
    </row>
    <row r="993" spans="1:28" x14ac:dyDescent="0.35">
      <c r="A993" s="36"/>
      <c r="B993" s="8"/>
      <c r="C993" s="7" t="s">
        <v>57</v>
      </c>
      <c r="D993" s="15" t="s">
        <v>79</v>
      </c>
      <c r="E993" s="9">
        <f>STATS1003B!E1039/1000</f>
        <v>3660.1525499999998</v>
      </c>
      <c r="F993" s="9">
        <f>STATS1003B!F1039/1000</f>
        <v>1929.4341399999998</v>
      </c>
      <c r="G993" s="9">
        <f>STATS1003B!G1039/1000</f>
        <v>0</v>
      </c>
      <c r="H993" s="9">
        <f>STATS1003B!H1039/1000</f>
        <v>1929.4341399999998</v>
      </c>
      <c r="I993" s="9">
        <f>STATS1003B!I1039/1000</f>
        <v>0</v>
      </c>
      <c r="J993" s="9">
        <f>STATS1003B!J1039/1000</f>
        <v>0</v>
      </c>
      <c r="K993" s="9">
        <f>STATS1003B!K1039/1000</f>
        <v>0</v>
      </c>
      <c r="L993" s="9">
        <f>STATS1003B!L1039/1000</f>
        <v>0</v>
      </c>
      <c r="M993" s="9">
        <f>STATS1003B!M1039/1000</f>
        <v>1929.4341399999998</v>
      </c>
      <c r="N993" s="9">
        <f>STATS1003B!N1039/1000</f>
        <v>1730.7184099999999</v>
      </c>
      <c r="O993" s="9">
        <f>STATS1003B!O1039/1000</f>
        <v>0</v>
      </c>
      <c r="P993" s="9">
        <f>STATS1003B!P1039/1000</f>
        <v>1730.7184099999999</v>
      </c>
      <c r="Q993" s="9">
        <f>STATS1003B!Q1039/1000</f>
        <v>0</v>
      </c>
      <c r="R993" s="9">
        <f>STATS1003B!R1039/1000</f>
        <v>0</v>
      </c>
      <c r="S993" s="9">
        <f>STATS1003B!S1039/1000</f>
        <v>0</v>
      </c>
      <c r="T993" s="9">
        <f>STATS1003B!T1039/1000</f>
        <v>0</v>
      </c>
      <c r="U993" s="9">
        <f>STATS1003B!U1039/1000</f>
        <v>1730.7184099999999</v>
      </c>
      <c r="V993" s="9">
        <f>STATS1003B!V1039/1000</f>
        <v>3660.1525499999998</v>
      </c>
      <c r="W993" s="9">
        <f>STATS1003B!W1039/1000</f>
        <v>0</v>
      </c>
      <c r="X993" s="9">
        <f>STATS1003B!X1039/1000</f>
        <v>3660.1525499999998</v>
      </c>
      <c r="Y993" s="9">
        <f>STATS1003B!Y1039/1000</f>
        <v>0</v>
      </c>
      <c r="Z993" s="9">
        <f>STATS1003B!Z1039/1000</f>
        <v>0</v>
      </c>
      <c r="AA993" s="9">
        <f>STATS1003B!AA1039/1000</f>
        <v>3660.1525499999998</v>
      </c>
      <c r="AB993" s="9">
        <f>STATS1003B!AB1039/1000</f>
        <v>0</v>
      </c>
    </row>
    <row r="994" spans="1:28" x14ac:dyDescent="0.35">
      <c r="A994" s="36"/>
      <c r="B994" s="8"/>
      <c r="C994" s="7" t="s">
        <v>53</v>
      </c>
      <c r="D994" s="15" t="s">
        <v>68</v>
      </c>
      <c r="E994" s="9">
        <f>STATS1003B!E1040/1000</f>
        <v>1953.989</v>
      </c>
      <c r="F994" s="9">
        <f>STATS1003B!F1040/1000</f>
        <v>0</v>
      </c>
      <c r="G994" s="9">
        <f>STATS1003B!G1040/1000</f>
        <v>0</v>
      </c>
      <c r="H994" s="9">
        <f>STATS1003B!H1040/1000</f>
        <v>0</v>
      </c>
      <c r="I994" s="9">
        <f>STATS1003B!I1040/1000</f>
        <v>0</v>
      </c>
      <c r="J994" s="9">
        <f>STATS1003B!J1040/1000</f>
        <v>0</v>
      </c>
      <c r="K994" s="9">
        <f>STATS1003B!K1040/1000</f>
        <v>0</v>
      </c>
      <c r="L994" s="9">
        <f>STATS1003B!L1040/1000</f>
        <v>0</v>
      </c>
      <c r="M994" s="9">
        <f>STATS1003B!M1040/1000</f>
        <v>0</v>
      </c>
      <c r="N994" s="9">
        <f>STATS1003B!N1040/1000</f>
        <v>1953.989</v>
      </c>
      <c r="O994" s="9">
        <f>STATS1003B!O1040/1000</f>
        <v>0</v>
      </c>
      <c r="P994" s="9">
        <f>STATS1003B!P1040/1000</f>
        <v>1953.989</v>
      </c>
      <c r="Q994" s="9">
        <f>STATS1003B!Q1040/1000</f>
        <v>0</v>
      </c>
      <c r="R994" s="9">
        <f>STATS1003B!R1040/1000</f>
        <v>0</v>
      </c>
      <c r="S994" s="9">
        <f>STATS1003B!S1040/1000</f>
        <v>0</v>
      </c>
      <c r="T994" s="9">
        <f>STATS1003B!T1040/1000</f>
        <v>0</v>
      </c>
      <c r="U994" s="9">
        <f>STATS1003B!U1040/1000</f>
        <v>1953.989</v>
      </c>
      <c r="V994" s="9">
        <f>STATS1003B!V1040/1000</f>
        <v>1953.989</v>
      </c>
      <c r="W994" s="9">
        <f>STATS1003B!W1040/1000</f>
        <v>0</v>
      </c>
      <c r="X994" s="9">
        <f>STATS1003B!X1040/1000</f>
        <v>1953.989</v>
      </c>
      <c r="Y994" s="9">
        <f>STATS1003B!Y1040/1000</f>
        <v>0</v>
      </c>
      <c r="Z994" s="9">
        <f>STATS1003B!Z1040/1000</f>
        <v>0</v>
      </c>
      <c r="AA994" s="9">
        <f>STATS1003B!AA1040/1000</f>
        <v>1953.989</v>
      </c>
      <c r="AB994" s="9">
        <f>STATS1003B!AB1040/1000</f>
        <v>0</v>
      </c>
    </row>
    <row r="995" spans="1:28" x14ac:dyDescent="0.35">
      <c r="A995" s="36"/>
      <c r="B995" s="8"/>
      <c r="C995" s="7" t="s">
        <v>192</v>
      </c>
      <c r="D995" s="15" t="s">
        <v>54</v>
      </c>
      <c r="E995" s="9">
        <f>STATS1003B!E1041/1000</f>
        <v>955.34561999999994</v>
      </c>
      <c r="F995" s="9">
        <f>STATS1003B!F1041/1000</f>
        <v>0</v>
      </c>
      <c r="G995" s="9">
        <f>STATS1003B!G1041/1000</f>
        <v>0</v>
      </c>
      <c r="H995" s="9">
        <f>STATS1003B!H1041/1000</f>
        <v>0</v>
      </c>
      <c r="I995" s="9">
        <f>STATS1003B!I1041/1000</f>
        <v>0</v>
      </c>
      <c r="J995" s="9">
        <f>STATS1003B!J1041/1000</f>
        <v>0</v>
      </c>
      <c r="K995" s="9">
        <f>STATS1003B!K1041/1000</f>
        <v>0</v>
      </c>
      <c r="L995" s="9">
        <f>STATS1003B!L1041/1000</f>
        <v>0</v>
      </c>
      <c r="M995" s="9">
        <f>STATS1003B!M1041/1000</f>
        <v>0</v>
      </c>
      <c r="N995" s="9">
        <f>STATS1003B!N1041/1000</f>
        <v>955.34561999999994</v>
      </c>
      <c r="O995" s="9">
        <f>STATS1003B!O1041/1000</f>
        <v>0</v>
      </c>
      <c r="P995" s="9">
        <f>STATS1003B!P1041/1000</f>
        <v>955.34561999999994</v>
      </c>
      <c r="Q995" s="9">
        <f>STATS1003B!Q1041/1000</f>
        <v>0</v>
      </c>
      <c r="R995" s="9">
        <f>STATS1003B!R1041/1000</f>
        <v>0</v>
      </c>
      <c r="S995" s="9">
        <f>STATS1003B!S1041/1000</f>
        <v>0</v>
      </c>
      <c r="T995" s="9">
        <f>STATS1003B!T1041/1000</f>
        <v>0</v>
      </c>
      <c r="U995" s="9">
        <f>STATS1003B!U1041/1000</f>
        <v>955.34561999999994</v>
      </c>
      <c r="V995" s="9">
        <f>STATS1003B!V1041/1000</f>
        <v>955.34561999999994</v>
      </c>
      <c r="W995" s="9">
        <f>STATS1003B!W1041/1000</f>
        <v>0</v>
      </c>
      <c r="X995" s="9">
        <f>STATS1003B!X1041/1000</f>
        <v>955.34561999999994</v>
      </c>
      <c r="Y995" s="9">
        <f>STATS1003B!Y1041/1000</f>
        <v>0</v>
      </c>
      <c r="Z995" s="9">
        <f>STATS1003B!Z1041/1000</f>
        <v>0</v>
      </c>
      <c r="AA995" s="9">
        <f>STATS1003B!AA1041/1000</f>
        <v>955.34561999999994</v>
      </c>
      <c r="AB995" s="9">
        <f>STATS1003B!AB1041/1000</f>
        <v>0</v>
      </c>
    </row>
    <row r="996" spans="1:28" x14ac:dyDescent="0.35">
      <c r="A996" s="36"/>
      <c r="B996" s="8"/>
      <c r="C996" s="7" t="s">
        <v>225</v>
      </c>
      <c r="D996" s="15" t="s">
        <v>85</v>
      </c>
      <c r="E996" s="9">
        <f>STATS1003B!E1042/1000</f>
        <v>160</v>
      </c>
      <c r="F996" s="9">
        <f>STATS1003B!F1042/1000</f>
        <v>160</v>
      </c>
      <c r="G996" s="9">
        <f>STATS1003B!G1042/1000</f>
        <v>0</v>
      </c>
      <c r="H996" s="9">
        <f>STATS1003B!H1042/1000</f>
        <v>160</v>
      </c>
      <c r="I996" s="9">
        <f>STATS1003B!I1042/1000</f>
        <v>0</v>
      </c>
      <c r="J996" s="9">
        <f>STATS1003B!J1042/1000</f>
        <v>0</v>
      </c>
      <c r="K996" s="9">
        <f>STATS1003B!K1042/1000</f>
        <v>0</v>
      </c>
      <c r="L996" s="9">
        <f>STATS1003B!L1042/1000</f>
        <v>0</v>
      </c>
      <c r="M996" s="9">
        <f>STATS1003B!M1042/1000</f>
        <v>160</v>
      </c>
      <c r="N996" s="9">
        <f>STATS1003B!N1042/1000</f>
        <v>0</v>
      </c>
      <c r="O996" s="9">
        <f>STATS1003B!O1042/1000</f>
        <v>0</v>
      </c>
      <c r="P996" s="9">
        <f>STATS1003B!P1042/1000</f>
        <v>0</v>
      </c>
      <c r="Q996" s="9">
        <f>STATS1003B!Q1042/1000</f>
        <v>0</v>
      </c>
      <c r="R996" s="9">
        <f>STATS1003B!R1042/1000</f>
        <v>0</v>
      </c>
      <c r="S996" s="9">
        <f>STATS1003B!S1042/1000</f>
        <v>0</v>
      </c>
      <c r="T996" s="9">
        <f>STATS1003B!T1042/1000</f>
        <v>0</v>
      </c>
      <c r="U996" s="9">
        <f>STATS1003B!U1042/1000</f>
        <v>0</v>
      </c>
      <c r="V996" s="9">
        <f>STATS1003B!V1042/1000</f>
        <v>160</v>
      </c>
      <c r="W996" s="9">
        <f>STATS1003B!W1042/1000</f>
        <v>0</v>
      </c>
      <c r="X996" s="9">
        <f>STATS1003B!X1042/1000</f>
        <v>160</v>
      </c>
      <c r="Y996" s="9">
        <f>STATS1003B!Y1042/1000</f>
        <v>0</v>
      </c>
      <c r="Z996" s="9">
        <f>STATS1003B!Z1042/1000</f>
        <v>0</v>
      </c>
      <c r="AA996" s="9">
        <f>STATS1003B!AA1042/1000</f>
        <v>160</v>
      </c>
      <c r="AB996" s="9">
        <f>STATS1003B!AB1042/1000</f>
        <v>0</v>
      </c>
    </row>
    <row r="997" spans="1:28" x14ac:dyDescent="0.35">
      <c r="A997" s="36"/>
      <c r="B997" s="8"/>
      <c r="C997" s="7" t="s">
        <v>241</v>
      </c>
      <c r="D997" s="15" t="s">
        <v>128</v>
      </c>
      <c r="E997" s="9">
        <f>STATS1003B!E1043/1000</f>
        <v>1000</v>
      </c>
      <c r="F997" s="9">
        <f>STATS1003B!F1043/1000</f>
        <v>1000</v>
      </c>
      <c r="G997" s="9">
        <f>STATS1003B!G1043/1000</f>
        <v>0</v>
      </c>
      <c r="H997" s="9">
        <f>STATS1003B!H1043/1000</f>
        <v>1000</v>
      </c>
      <c r="I997" s="9">
        <f>STATS1003B!I1043/1000</f>
        <v>0</v>
      </c>
      <c r="J997" s="9">
        <f>STATS1003B!J1043/1000</f>
        <v>0</v>
      </c>
      <c r="K997" s="9">
        <f>STATS1003B!K1043/1000</f>
        <v>0</v>
      </c>
      <c r="L997" s="9">
        <f>STATS1003B!L1043/1000</f>
        <v>0</v>
      </c>
      <c r="M997" s="9">
        <f>STATS1003B!M1043/1000</f>
        <v>1000</v>
      </c>
      <c r="N997" s="9">
        <f>STATS1003B!N1043/1000</f>
        <v>0</v>
      </c>
      <c r="O997" s="9">
        <f>STATS1003B!O1043/1000</f>
        <v>0</v>
      </c>
      <c r="P997" s="9">
        <f>STATS1003B!P1043/1000</f>
        <v>0</v>
      </c>
      <c r="Q997" s="9">
        <f>STATS1003B!Q1043/1000</f>
        <v>0</v>
      </c>
      <c r="R997" s="9">
        <f>STATS1003B!R1043/1000</f>
        <v>0</v>
      </c>
      <c r="S997" s="9">
        <f>STATS1003B!S1043/1000</f>
        <v>0</v>
      </c>
      <c r="T997" s="9">
        <f>STATS1003B!T1043/1000</f>
        <v>0</v>
      </c>
      <c r="U997" s="9">
        <f>STATS1003B!U1043/1000</f>
        <v>0</v>
      </c>
      <c r="V997" s="9">
        <f>STATS1003B!V1043/1000</f>
        <v>1000</v>
      </c>
      <c r="W997" s="9">
        <f>STATS1003B!W1043/1000</f>
        <v>0</v>
      </c>
      <c r="X997" s="9">
        <f>STATS1003B!X1043/1000</f>
        <v>1000</v>
      </c>
      <c r="Y997" s="9">
        <f>STATS1003B!Y1043/1000</f>
        <v>0</v>
      </c>
      <c r="Z997" s="9">
        <f>STATS1003B!Z1043/1000</f>
        <v>0</v>
      </c>
      <c r="AA997" s="9">
        <f>STATS1003B!AA1043/1000</f>
        <v>1000</v>
      </c>
      <c r="AB997" s="9">
        <f>STATS1003B!AB1043/1000</f>
        <v>0</v>
      </c>
    </row>
    <row r="998" spans="1:28" x14ac:dyDescent="0.35">
      <c r="A998" s="36"/>
      <c r="B998" s="8"/>
      <c r="C998" s="7" t="s">
        <v>57</v>
      </c>
      <c r="D998" s="15" t="s">
        <v>58</v>
      </c>
      <c r="E998" s="9">
        <f>STATS1003B!E1044/1000</f>
        <v>2076.5189999999998</v>
      </c>
      <c r="F998" s="9">
        <f>STATS1003B!F1044/1000</f>
        <v>2076.5189999999998</v>
      </c>
      <c r="G998" s="9">
        <f>STATS1003B!G1044/1000</f>
        <v>0</v>
      </c>
      <c r="H998" s="9">
        <f>STATS1003B!H1044/1000</f>
        <v>2076.5189999999998</v>
      </c>
      <c r="I998" s="9">
        <f>STATS1003B!I1044/1000</f>
        <v>0</v>
      </c>
      <c r="J998" s="9">
        <f>STATS1003B!J1044/1000</f>
        <v>0</v>
      </c>
      <c r="K998" s="9">
        <f>STATS1003B!K1044/1000</f>
        <v>0</v>
      </c>
      <c r="L998" s="9">
        <f>STATS1003B!L1044/1000</f>
        <v>0</v>
      </c>
      <c r="M998" s="9">
        <f>STATS1003B!M1044/1000</f>
        <v>2076.5189999999998</v>
      </c>
      <c r="N998" s="9">
        <f>STATS1003B!N1044/1000</f>
        <v>0</v>
      </c>
      <c r="O998" s="9">
        <f>STATS1003B!O1044/1000</f>
        <v>0</v>
      </c>
      <c r="P998" s="9">
        <f>STATS1003B!P1044/1000</f>
        <v>0</v>
      </c>
      <c r="Q998" s="9">
        <f>STATS1003B!Q1044/1000</f>
        <v>0</v>
      </c>
      <c r="R998" s="9">
        <f>STATS1003B!R1044/1000</f>
        <v>0</v>
      </c>
      <c r="S998" s="9">
        <f>STATS1003B!S1044/1000</f>
        <v>0</v>
      </c>
      <c r="T998" s="9">
        <f>STATS1003B!T1044/1000</f>
        <v>0</v>
      </c>
      <c r="U998" s="9">
        <f>STATS1003B!U1044/1000</f>
        <v>0</v>
      </c>
      <c r="V998" s="9">
        <f>STATS1003B!V1044/1000</f>
        <v>2076.5189999999998</v>
      </c>
      <c r="W998" s="9">
        <f>STATS1003B!W1044/1000</f>
        <v>0</v>
      </c>
      <c r="X998" s="9">
        <f>STATS1003B!X1044/1000</f>
        <v>2076.5189999999998</v>
      </c>
      <c r="Y998" s="9">
        <f>STATS1003B!Y1044/1000</f>
        <v>0</v>
      </c>
      <c r="Z998" s="9">
        <f>STATS1003B!Z1044/1000</f>
        <v>0</v>
      </c>
      <c r="AA998" s="9">
        <f>STATS1003B!AA1044/1000</f>
        <v>2076.5189999999998</v>
      </c>
      <c r="AB998" s="9">
        <f>STATS1003B!AB1044/1000</f>
        <v>0</v>
      </c>
    </row>
    <row r="999" spans="1:28" x14ac:dyDescent="0.35">
      <c r="A999" s="36"/>
      <c r="B999" s="8"/>
      <c r="C999" s="7" t="s">
        <v>924</v>
      </c>
      <c r="D999" s="15"/>
      <c r="E999" s="9">
        <f>STATS1003B!E1045/1000</f>
        <v>450</v>
      </c>
      <c r="F999" s="9">
        <f>STATS1003B!F1045/1000</f>
        <v>450</v>
      </c>
      <c r="G999" s="9">
        <f>STATS1003B!G1045/1000</f>
        <v>0</v>
      </c>
      <c r="H999" s="9">
        <f>STATS1003B!H1045/1000</f>
        <v>450</v>
      </c>
      <c r="I999" s="9">
        <f>STATS1003B!I1045/1000</f>
        <v>0</v>
      </c>
      <c r="J999" s="9">
        <f>STATS1003B!J1045/1000</f>
        <v>0</v>
      </c>
      <c r="K999" s="9">
        <f>STATS1003B!K1045/1000</f>
        <v>0</v>
      </c>
      <c r="L999" s="9">
        <f>STATS1003B!L1045/1000</f>
        <v>0</v>
      </c>
      <c r="M999" s="9">
        <f>STATS1003B!M1045/1000</f>
        <v>450</v>
      </c>
      <c r="N999" s="9">
        <f>STATS1003B!N1045/1000</f>
        <v>0</v>
      </c>
      <c r="O999" s="9">
        <f>STATS1003B!O1045/1000</f>
        <v>0</v>
      </c>
      <c r="P999" s="9">
        <f>STATS1003B!P1045/1000</f>
        <v>0</v>
      </c>
      <c r="Q999" s="9">
        <f>STATS1003B!Q1045/1000</f>
        <v>0</v>
      </c>
      <c r="R999" s="9">
        <f>STATS1003B!R1045/1000</f>
        <v>0</v>
      </c>
      <c r="S999" s="9">
        <f>STATS1003B!S1045/1000</f>
        <v>0</v>
      </c>
      <c r="T999" s="9">
        <f>STATS1003B!T1045/1000</f>
        <v>0</v>
      </c>
      <c r="U999" s="9">
        <f>STATS1003B!U1045/1000</f>
        <v>0</v>
      </c>
      <c r="V999" s="9">
        <f>STATS1003B!V1045/1000</f>
        <v>450</v>
      </c>
      <c r="W999" s="9">
        <f>STATS1003B!W1045/1000</f>
        <v>0</v>
      </c>
      <c r="X999" s="9">
        <f>STATS1003B!X1045/1000</f>
        <v>450</v>
      </c>
      <c r="Y999" s="9">
        <f>STATS1003B!Y1045/1000</f>
        <v>0</v>
      </c>
      <c r="Z999" s="9">
        <f>STATS1003B!Z1045/1000</f>
        <v>0</v>
      </c>
      <c r="AA999" s="9">
        <f>STATS1003B!AA1045/1000</f>
        <v>450</v>
      </c>
      <c r="AB999" s="9">
        <f>STATS1003B!AB1045/1000</f>
        <v>0</v>
      </c>
    </row>
    <row r="1000" spans="1:28" x14ac:dyDescent="0.35">
      <c r="A1000" s="36"/>
      <c r="B1000" s="8"/>
      <c r="C1000" s="7" t="s">
        <v>930</v>
      </c>
      <c r="D1000" s="16" t="s">
        <v>1072</v>
      </c>
      <c r="E1000" s="9">
        <f>STATS1003B!E1046/1000</f>
        <v>767</v>
      </c>
      <c r="F1000" s="9">
        <f>STATS1003B!F1046/1000</f>
        <v>767</v>
      </c>
      <c r="G1000" s="9">
        <f>STATS1003B!G1046/1000</f>
        <v>0</v>
      </c>
      <c r="H1000" s="9">
        <f>STATS1003B!H1046/1000</f>
        <v>767</v>
      </c>
      <c r="I1000" s="9">
        <f>STATS1003B!I1046/1000</f>
        <v>0</v>
      </c>
      <c r="J1000" s="9">
        <f>STATS1003B!J1046/1000</f>
        <v>0</v>
      </c>
      <c r="K1000" s="9">
        <f>STATS1003B!K1046/1000</f>
        <v>0</v>
      </c>
      <c r="L1000" s="9">
        <f>STATS1003B!L1046/1000</f>
        <v>0</v>
      </c>
      <c r="M1000" s="9">
        <f>STATS1003B!M1046/1000</f>
        <v>767</v>
      </c>
      <c r="N1000" s="9">
        <f>STATS1003B!N1046/1000</f>
        <v>0</v>
      </c>
      <c r="O1000" s="9">
        <f>STATS1003B!O1046/1000</f>
        <v>0</v>
      </c>
      <c r="P1000" s="9">
        <f>STATS1003B!P1046/1000</f>
        <v>0</v>
      </c>
      <c r="Q1000" s="9">
        <f>STATS1003B!Q1046/1000</f>
        <v>0</v>
      </c>
      <c r="R1000" s="9">
        <f>STATS1003B!R1046/1000</f>
        <v>0</v>
      </c>
      <c r="S1000" s="9">
        <f>STATS1003B!S1046/1000</f>
        <v>0</v>
      </c>
      <c r="T1000" s="9">
        <f>STATS1003B!T1046/1000</f>
        <v>0</v>
      </c>
      <c r="U1000" s="9">
        <f>STATS1003B!U1046/1000</f>
        <v>0</v>
      </c>
      <c r="V1000" s="9">
        <f>STATS1003B!V1046/1000</f>
        <v>767</v>
      </c>
      <c r="W1000" s="9">
        <f>STATS1003B!W1046/1000</f>
        <v>0</v>
      </c>
      <c r="X1000" s="9">
        <f>STATS1003B!X1046/1000</f>
        <v>767</v>
      </c>
      <c r="Y1000" s="9">
        <f>STATS1003B!Y1046/1000</f>
        <v>0</v>
      </c>
      <c r="Z1000" s="9">
        <f>STATS1003B!Z1046/1000</f>
        <v>0</v>
      </c>
      <c r="AA1000" s="9">
        <f>STATS1003B!AA1046/1000</f>
        <v>767</v>
      </c>
      <c r="AB1000" s="9">
        <f>STATS1003B!AB1046/1000</f>
        <v>0</v>
      </c>
    </row>
    <row r="1001" spans="1:28" x14ac:dyDescent="0.35">
      <c r="A1001" s="36"/>
      <c r="B1001" s="8"/>
      <c r="C1001" s="14" t="s">
        <v>109</v>
      </c>
      <c r="D1001" s="21" t="s">
        <v>60</v>
      </c>
      <c r="E1001" s="9">
        <f>STATS1003B!E1047/1000</f>
        <v>2500</v>
      </c>
      <c r="F1001" s="9">
        <f>STATS1003B!F1047/1000</f>
        <v>2500</v>
      </c>
      <c r="G1001" s="9">
        <f>STATS1003B!G1047/1000</f>
        <v>0</v>
      </c>
      <c r="H1001" s="9">
        <f>STATS1003B!H1047/1000</f>
        <v>2500</v>
      </c>
      <c r="I1001" s="9">
        <f>STATS1003B!I1047/1000</f>
        <v>0</v>
      </c>
      <c r="J1001" s="9">
        <f>STATS1003B!J1047/1000</f>
        <v>0</v>
      </c>
      <c r="K1001" s="9">
        <f>STATS1003B!K1047/1000</f>
        <v>0</v>
      </c>
      <c r="L1001" s="9">
        <f>STATS1003B!L1047/1000</f>
        <v>0</v>
      </c>
      <c r="M1001" s="9">
        <f>STATS1003B!M1047/1000</f>
        <v>2500</v>
      </c>
      <c r="N1001" s="9">
        <f>STATS1003B!N1047/1000</f>
        <v>0</v>
      </c>
      <c r="O1001" s="9">
        <f>STATS1003B!O1047/1000</f>
        <v>0</v>
      </c>
      <c r="P1001" s="9">
        <f>STATS1003B!P1047/1000</f>
        <v>0</v>
      </c>
      <c r="Q1001" s="9">
        <f>STATS1003B!Q1047/1000</f>
        <v>0</v>
      </c>
      <c r="R1001" s="9">
        <f>STATS1003B!R1047/1000</f>
        <v>0</v>
      </c>
      <c r="S1001" s="9">
        <f>STATS1003B!S1047/1000</f>
        <v>0</v>
      </c>
      <c r="T1001" s="9">
        <f>STATS1003B!T1047/1000</f>
        <v>0</v>
      </c>
      <c r="U1001" s="9">
        <f>STATS1003B!U1047/1000</f>
        <v>0</v>
      </c>
      <c r="V1001" s="9">
        <f>STATS1003B!V1047/1000</f>
        <v>2500</v>
      </c>
      <c r="W1001" s="9">
        <f>STATS1003B!W1047/1000</f>
        <v>0</v>
      </c>
      <c r="X1001" s="9">
        <f>STATS1003B!X1047/1000</f>
        <v>2500</v>
      </c>
      <c r="Y1001" s="9">
        <f>STATS1003B!Y1047/1000</f>
        <v>0</v>
      </c>
      <c r="Z1001" s="9">
        <f>STATS1003B!Z1047/1000</f>
        <v>0</v>
      </c>
      <c r="AA1001" s="9">
        <f>STATS1003B!AA1047/1000</f>
        <v>2500</v>
      </c>
      <c r="AB1001" s="9">
        <f>STATS1003B!AB1047/1000</f>
        <v>0</v>
      </c>
    </row>
    <row r="1002" spans="1:28" x14ac:dyDescent="0.35">
      <c r="A1002" s="36"/>
      <c r="B1002" s="8"/>
      <c r="C1002" s="7" t="s">
        <v>57</v>
      </c>
      <c r="D1002" s="15" t="s">
        <v>60</v>
      </c>
      <c r="E1002" s="9">
        <f>STATS1003B!E1048/1000</f>
        <v>1308</v>
      </c>
      <c r="F1002" s="9">
        <f>STATS1003B!F1048/1000</f>
        <v>1308</v>
      </c>
      <c r="G1002" s="9">
        <f>STATS1003B!G1048/1000</f>
        <v>0</v>
      </c>
      <c r="H1002" s="9">
        <f>STATS1003B!H1048/1000</f>
        <v>1308</v>
      </c>
      <c r="I1002" s="9">
        <f>STATS1003B!I1048/1000</f>
        <v>0</v>
      </c>
      <c r="J1002" s="9">
        <f>STATS1003B!J1048/1000</f>
        <v>0</v>
      </c>
      <c r="K1002" s="9">
        <f>STATS1003B!K1048/1000</f>
        <v>0</v>
      </c>
      <c r="L1002" s="9">
        <f>STATS1003B!L1048/1000</f>
        <v>0</v>
      </c>
      <c r="M1002" s="9">
        <f>STATS1003B!M1048/1000</f>
        <v>1308</v>
      </c>
      <c r="N1002" s="9">
        <f>STATS1003B!N1048/1000</f>
        <v>0</v>
      </c>
      <c r="O1002" s="9">
        <f>STATS1003B!O1048/1000</f>
        <v>0</v>
      </c>
      <c r="P1002" s="9">
        <f>STATS1003B!P1048/1000</f>
        <v>0</v>
      </c>
      <c r="Q1002" s="9">
        <f>STATS1003B!Q1048/1000</f>
        <v>0</v>
      </c>
      <c r="R1002" s="9">
        <f>STATS1003B!R1048/1000</f>
        <v>0</v>
      </c>
      <c r="S1002" s="9">
        <f>STATS1003B!S1048/1000</f>
        <v>0</v>
      </c>
      <c r="T1002" s="9">
        <f>STATS1003B!T1048/1000</f>
        <v>0</v>
      </c>
      <c r="U1002" s="9">
        <f>STATS1003B!U1048/1000</f>
        <v>0</v>
      </c>
      <c r="V1002" s="9">
        <f>STATS1003B!V1048/1000</f>
        <v>1308</v>
      </c>
      <c r="W1002" s="9">
        <f>STATS1003B!W1048/1000</f>
        <v>0</v>
      </c>
      <c r="X1002" s="9">
        <f>STATS1003B!X1048/1000</f>
        <v>1308</v>
      </c>
      <c r="Y1002" s="9">
        <f>STATS1003B!Y1048/1000</f>
        <v>0</v>
      </c>
      <c r="Z1002" s="9">
        <f>STATS1003B!Z1048/1000</f>
        <v>0</v>
      </c>
      <c r="AA1002" s="9">
        <f>STATS1003B!AA1048/1000</f>
        <v>1308</v>
      </c>
      <c r="AB1002" s="9">
        <f>STATS1003B!AB1048/1000</f>
        <v>0</v>
      </c>
    </row>
    <row r="1003" spans="1:28" x14ac:dyDescent="0.35">
      <c r="A1003" s="36"/>
      <c r="B1003" s="8"/>
      <c r="C1003" s="8"/>
      <c r="D1003" s="8"/>
      <c r="E1003" s="17" t="s">
        <v>29</v>
      </c>
      <c r="F1003" s="17" t="s">
        <v>29</v>
      </c>
      <c r="G1003" s="17" t="s">
        <v>29</v>
      </c>
      <c r="H1003" s="17" t="s">
        <v>29</v>
      </c>
      <c r="I1003" s="17" t="s">
        <v>29</v>
      </c>
      <c r="J1003" s="17" t="s">
        <v>29</v>
      </c>
      <c r="K1003" s="17" t="s">
        <v>29</v>
      </c>
      <c r="L1003" s="17" t="s">
        <v>29</v>
      </c>
      <c r="M1003" s="17" t="s">
        <v>29</v>
      </c>
      <c r="N1003" s="17" t="s">
        <v>29</v>
      </c>
      <c r="O1003" s="17" t="s">
        <v>29</v>
      </c>
      <c r="P1003" s="17" t="s">
        <v>29</v>
      </c>
      <c r="Q1003" s="17" t="s">
        <v>29</v>
      </c>
      <c r="R1003" s="17" t="s">
        <v>29</v>
      </c>
      <c r="S1003" s="17" t="s">
        <v>29</v>
      </c>
      <c r="T1003" s="17" t="s">
        <v>29</v>
      </c>
      <c r="U1003" s="17" t="s">
        <v>29</v>
      </c>
      <c r="V1003" s="17" t="s">
        <v>29</v>
      </c>
      <c r="W1003" s="17" t="s">
        <v>29</v>
      </c>
      <c r="X1003" s="17" t="s">
        <v>29</v>
      </c>
      <c r="Y1003" s="17" t="s">
        <v>29</v>
      </c>
      <c r="Z1003" s="17" t="s">
        <v>29</v>
      </c>
      <c r="AA1003" s="17" t="s">
        <v>29</v>
      </c>
      <c r="AB1003" s="17" t="s">
        <v>29</v>
      </c>
    </row>
    <row r="1004" spans="1:28" x14ac:dyDescent="0.35">
      <c r="A1004" s="36"/>
      <c r="B1004" s="8"/>
      <c r="C1004" s="8"/>
      <c r="D1004" s="8"/>
      <c r="E1004" s="9">
        <f t="shared" ref="E1004:AB1004" si="76">SUM(E991:E1002)</f>
        <v>37196.638420000003</v>
      </c>
      <c r="F1004" s="9">
        <f t="shared" si="76"/>
        <v>11800.800139999999</v>
      </c>
      <c r="G1004" s="9">
        <f t="shared" si="76"/>
        <v>0</v>
      </c>
      <c r="H1004" s="9">
        <f t="shared" si="76"/>
        <v>11800.800139999999</v>
      </c>
      <c r="I1004" s="9">
        <f t="shared" si="76"/>
        <v>0</v>
      </c>
      <c r="J1004" s="9">
        <f t="shared" si="76"/>
        <v>0</v>
      </c>
      <c r="K1004" s="9">
        <f t="shared" si="76"/>
        <v>0</v>
      </c>
      <c r="L1004" s="9">
        <f t="shared" si="76"/>
        <v>0</v>
      </c>
      <c r="M1004" s="9">
        <f t="shared" si="76"/>
        <v>11800.800139999999</v>
      </c>
      <c r="N1004" s="9">
        <f t="shared" si="76"/>
        <v>25395.838280000004</v>
      </c>
      <c r="O1004" s="9">
        <f t="shared" si="76"/>
        <v>0</v>
      </c>
      <c r="P1004" s="9">
        <f t="shared" si="76"/>
        <v>25395.838280000004</v>
      </c>
      <c r="Q1004" s="9">
        <f t="shared" si="76"/>
        <v>0</v>
      </c>
      <c r="R1004" s="9">
        <f t="shared" si="76"/>
        <v>0</v>
      </c>
      <c r="S1004" s="9">
        <f t="shared" si="76"/>
        <v>0</v>
      </c>
      <c r="T1004" s="9">
        <f t="shared" si="76"/>
        <v>0</v>
      </c>
      <c r="U1004" s="9">
        <f t="shared" si="76"/>
        <v>25395.838280000004</v>
      </c>
      <c r="V1004" s="9">
        <f t="shared" si="76"/>
        <v>37196.638420000003</v>
      </c>
      <c r="W1004" s="9">
        <f t="shared" si="76"/>
        <v>0</v>
      </c>
      <c r="X1004" s="9">
        <f t="shared" si="76"/>
        <v>37196.638420000003</v>
      </c>
      <c r="Y1004" s="9">
        <f t="shared" si="76"/>
        <v>0</v>
      </c>
      <c r="Z1004" s="9">
        <f t="shared" si="76"/>
        <v>0</v>
      </c>
      <c r="AA1004" s="9">
        <f t="shared" si="76"/>
        <v>37196.638420000003</v>
      </c>
      <c r="AB1004" s="9">
        <f t="shared" si="76"/>
        <v>0</v>
      </c>
    </row>
    <row r="1005" spans="1:28" x14ac:dyDescent="0.35">
      <c r="A1005" s="36"/>
      <c r="B1005" s="8"/>
      <c r="C1005" s="8"/>
      <c r="D1005" s="8"/>
      <c r="E1005" s="17" t="s">
        <v>29</v>
      </c>
      <c r="F1005" s="17" t="s">
        <v>29</v>
      </c>
      <c r="G1005" s="17" t="s">
        <v>29</v>
      </c>
      <c r="H1005" s="17" t="s">
        <v>29</v>
      </c>
      <c r="I1005" s="17" t="s">
        <v>29</v>
      </c>
      <c r="J1005" s="17" t="s">
        <v>29</v>
      </c>
      <c r="K1005" s="17" t="s">
        <v>29</v>
      </c>
      <c r="L1005" s="17" t="s">
        <v>29</v>
      </c>
      <c r="M1005" s="17" t="s">
        <v>29</v>
      </c>
      <c r="N1005" s="17" t="s">
        <v>29</v>
      </c>
      <c r="O1005" s="17" t="s">
        <v>29</v>
      </c>
      <c r="P1005" s="17" t="s">
        <v>29</v>
      </c>
      <c r="Q1005" s="17" t="s">
        <v>29</v>
      </c>
      <c r="R1005" s="17" t="s">
        <v>29</v>
      </c>
      <c r="S1005" s="17" t="s">
        <v>29</v>
      </c>
      <c r="T1005" s="17" t="s">
        <v>29</v>
      </c>
      <c r="U1005" s="17" t="s">
        <v>29</v>
      </c>
      <c r="V1005" s="17" t="s">
        <v>29</v>
      </c>
      <c r="W1005" s="17" t="s">
        <v>29</v>
      </c>
      <c r="X1005" s="17" t="s">
        <v>29</v>
      </c>
      <c r="Y1005" s="17" t="s">
        <v>29</v>
      </c>
      <c r="Z1005" s="17" t="s">
        <v>29</v>
      </c>
      <c r="AA1005" s="17" t="s">
        <v>29</v>
      </c>
      <c r="AB1005" s="17" t="s">
        <v>29</v>
      </c>
    </row>
    <row r="1006" spans="1:28" x14ac:dyDescent="0.35">
      <c r="A1006" s="38" t="s">
        <v>986</v>
      </c>
      <c r="B1006" s="7" t="s">
        <v>242</v>
      </c>
      <c r="C1006" s="8"/>
      <c r="D1006" s="8"/>
      <c r="E1006" s="8"/>
      <c r="F1006" s="8"/>
      <c r="G1006" s="8"/>
      <c r="H1006" s="8"/>
      <c r="I1006" s="8"/>
      <c r="J1006" s="8"/>
      <c r="K1006" s="8"/>
      <c r="L1006" s="8"/>
      <c r="M1006" s="8"/>
      <c r="N1006" s="8"/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</row>
    <row r="1007" spans="1:28" x14ac:dyDescent="0.35">
      <c r="A1007" s="36"/>
      <c r="B1007" s="8"/>
      <c r="C1007" s="7" t="s">
        <v>172</v>
      </c>
      <c r="D1007" s="15" t="s">
        <v>166</v>
      </c>
      <c r="E1007" s="9">
        <f>STATS1003B!E1053/1000</f>
        <v>1033.8340000000001</v>
      </c>
      <c r="F1007" s="9">
        <f>STATS1003B!F1053/1000</f>
        <v>1033.8340000000001</v>
      </c>
      <c r="G1007" s="9">
        <f>STATS1003B!G1053/1000</f>
        <v>0</v>
      </c>
      <c r="H1007" s="9">
        <f>STATS1003B!H1053/1000</f>
        <v>1033.8340000000001</v>
      </c>
      <c r="I1007" s="9">
        <f>STATS1003B!I1053/1000</f>
        <v>0</v>
      </c>
      <c r="J1007" s="9">
        <f>STATS1003B!J1053/1000</f>
        <v>0</v>
      </c>
      <c r="K1007" s="9">
        <f>STATS1003B!K1053/1000</f>
        <v>0</v>
      </c>
      <c r="L1007" s="9">
        <f>STATS1003B!L1053/1000</f>
        <v>0</v>
      </c>
      <c r="M1007" s="9">
        <f>STATS1003B!M1053/1000</f>
        <v>1033.8340000000001</v>
      </c>
      <c r="N1007" s="9">
        <f>STATS1003B!N1053/1000</f>
        <v>0</v>
      </c>
      <c r="O1007" s="9">
        <f>STATS1003B!O1053/1000</f>
        <v>0</v>
      </c>
      <c r="P1007" s="9">
        <f>STATS1003B!P1053/1000</f>
        <v>0</v>
      </c>
      <c r="Q1007" s="9">
        <f>STATS1003B!Q1053/1000</f>
        <v>0</v>
      </c>
      <c r="R1007" s="9">
        <f>STATS1003B!R1053/1000</f>
        <v>0</v>
      </c>
      <c r="S1007" s="9">
        <f>STATS1003B!S1053/1000</f>
        <v>0</v>
      </c>
      <c r="T1007" s="9">
        <f>STATS1003B!T1053/1000</f>
        <v>0</v>
      </c>
      <c r="U1007" s="9">
        <f>STATS1003B!U1053/1000</f>
        <v>0</v>
      </c>
      <c r="V1007" s="9">
        <f>STATS1003B!V1053/1000</f>
        <v>1033.8340000000001</v>
      </c>
      <c r="W1007" s="9">
        <f>STATS1003B!W1053/1000</f>
        <v>0</v>
      </c>
      <c r="X1007" s="9">
        <f>STATS1003B!X1053/1000</f>
        <v>1033.8340000000001</v>
      </c>
      <c r="Y1007" s="9">
        <f>STATS1003B!Y1053/1000</f>
        <v>0</v>
      </c>
      <c r="Z1007" s="9">
        <f>STATS1003B!Z1053/1000</f>
        <v>0</v>
      </c>
      <c r="AA1007" s="9">
        <f>STATS1003B!AA1053/1000</f>
        <v>1033.8340000000001</v>
      </c>
      <c r="AB1007" s="9">
        <f>STATS1003B!AB1053/1000</f>
        <v>0</v>
      </c>
    </row>
    <row r="1008" spans="1:28" x14ac:dyDescent="0.35">
      <c r="A1008" s="36"/>
      <c r="B1008" s="8"/>
      <c r="C1008" s="8"/>
      <c r="D1008" s="15" t="s">
        <v>79</v>
      </c>
      <c r="E1008" s="9">
        <f>STATS1003B!E1054/1000</f>
        <v>0</v>
      </c>
      <c r="F1008" s="9">
        <f>STATS1003B!F1054/1000</f>
        <v>0</v>
      </c>
      <c r="G1008" s="9">
        <f>STATS1003B!G1054/1000</f>
        <v>0</v>
      </c>
      <c r="H1008" s="9">
        <f>STATS1003B!H1054/1000</f>
        <v>0</v>
      </c>
      <c r="I1008" s="9">
        <f>STATS1003B!I1054/1000</f>
        <v>0</v>
      </c>
      <c r="J1008" s="9">
        <f>STATS1003B!J1054/1000</f>
        <v>0</v>
      </c>
      <c r="K1008" s="9">
        <f>STATS1003B!K1054/1000</f>
        <v>0</v>
      </c>
      <c r="L1008" s="9">
        <f>STATS1003B!L1054/1000</f>
        <v>0</v>
      </c>
      <c r="M1008" s="9">
        <f>STATS1003B!M1054/1000</f>
        <v>0</v>
      </c>
      <c r="N1008" s="9">
        <f>STATS1003B!N1054/1000</f>
        <v>0</v>
      </c>
      <c r="O1008" s="9">
        <f>STATS1003B!O1054/1000</f>
        <v>0</v>
      </c>
      <c r="P1008" s="9">
        <f>STATS1003B!P1054/1000</f>
        <v>0</v>
      </c>
      <c r="Q1008" s="9">
        <f>STATS1003B!Q1054/1000</f>
        <v>0</v>
      </c>
      <c r="R1008" s="9">
        <f>STATS1003B!R1054/1000</f>
        <v>0</v>
      </c>
      <c r="S1008" s="9">
        <f>STATS1003B!S1054/1000</f>
        <v>0</v>
      </c>
      <c r="T1008" s="9">
        <f>STATS1003B!T1054/1000</f>
        <v>0</v>
      </c>
      <c r="U1008" s="9">
        <f>STATS1003B!U1054/1000</f>
        <v>0</v>
      </c>
      <c r="V1008" s="9">
        <f>STATS1003B!V1054/1000</f>
        <v>0</v>
      </c>
      <c r="W1008" s="9">
        <f>STATS1003B!W1054/1000</f>
        <v>0</v>
      </c>
      <c r="X1008" s="9">
        <f>STATS1003B!X1054/1000</f>
        <v>0</v>
      </c>
      <c r="Y1008" s="9">
        <f>STATS1003B!Y1054/1000</f>
        <v>0</v>
      </c>
      <c r="Z1008" s="9">
        <f>STATS1003B!Z1054/1000</f>
        <v>0</v>
      </c>
      <c r="AA1008" s="9">
        <f>STATS1003B!AA1054/1000</f>
        <v>0</v>
      </c>
      <c r="AB1008" s="9">
        <f>STATS1003B!AB1054/1000</f>
        <v>0</v>
      </c>
    </row>
    <row r="1009" spans="1:28" x14ac:dyDescent="0.35">
      <c r="A1009" s="36"/>
      <c r="B1009" s="8"/>
      <c r="C1009" s="7" t="s">
        <v>243</v>
      </c>
      <c r="D1009" s="14" t="s">
        <v>244</v>
      </c>
      <c r="E1009" s="9">
        <f>STATS1003B!E1055/1000</f>
        <v>12085.64136</v>
      </c>
      <c r="F1009" s="9">
        <f>STATS1003B!F1055/1000</f>
        <v>11106.36434</v>
      </c>
      <c r="G1009" s="9">
        <f>STATS1003B!G1055/1000</f>
        <v>0</v>
      </c>
      <c r="H1009" s="9">
        <f>STATS1003B!H1055/1000</f>
        <v>11106.36434</v>
      </c>
      <c r="I1009" s="9">
        <f>STATS1003B!I1055/1000</f>
        <v>0</v>
      </c>
      <c r="J1009" s="9">
        <f>STATS1003B!J1055/1000</f>
        <v>0</v>
      </c>
      <c r="K1009" s="9">
        <f>STATS1003B!K1055/1000</f>
        <v>0</v>
      </c>
      <c r="L1009" s="9">
        <f>STATS1003B!L1055/1000</f>
        <v>0</v>
      </c>
      <c r="M1009" s="9">
        <f>STATS1003B!M1055/1000</f>
        <v>11106.36434</v>
      </c>
      <c r="N1009" s="9">
        <f>STATS1003B!N1055/1000</f>
        <v>979.27701999999999</v>
      </c>
      <c r="O1009" s="9">
        <f>STATS1003B!O1055/1000</f>
        <v>0</v>
      </c>
      <c r="P1009" s="9">
        <f>STATS1003B!P1055/1000</f>
        <v>979.27701999999999</v>
      </c>
      <c r="Q1009" s="9">
        <f>STATS1003B!Q1055/1000</f>
        <v>0</v>
      </c>
      <c r="R1009" s="9">
        <f>STATS1003B!R1055/1000</f>
        <v>0</v>
      </c>
      <c r="S1009" s="9">
        <f>STATS1003B!S1055/1000</f>
        <v>0</v>
      </c>
      <c r="T1009" s="9">
        <f>STATS1003B!T1055/1000</f>
        <v>0</v>
      </c>
      <c r="U1009" s="9">
        <f>STATS1003B!U1055/1000</f>
        <v>979.27701999999999</v>
      </c>
      <c r="V1009" s="9">
        <f>STATS1003B!V1055/1000</f>
        <v>12085.64136</v>
      </c>
      <c r="W1009" s="9">
        <f>STATS1003B!W1055/1000</f>
        <v>0</v>
      </c>
      <c r="X1009" s="9">
        <f>STATS1003B!X1055/1000</f>
        <v>12085.64136</v>
      </c>
      <c r="Y1009" s="9">
        <f>STATS1003B!Y1055/1000</f>
        <v>0</v>
      </c>
      <c r="Z1009" s="9">
        <f>STATS1003B!Z1055/1000</f>
        <v>0</v>
      </c>
      <c r="AA1009" s="9">
        <f>STATS1003B!AA1055/1000</f>
        <v>12085.64136</v>
      </c>
      <c r="AB1009" s="9">
        <f>STATS1003B!AB1055/1000</f>
        <v>0</v>
      </c>
    </row>
    <row r="1010" spans="1:28" x14ac:dyDescent="0.35">
      <c r="A1010" s="36"/>
      <c r="B1010" s="8"/>
      <c r="C1010" s="7" t="s">
        <v>53</v>
      </c>
      <c r="D1010" s="15" t="s">
        <v>54</v>
      </c>
      <c r="E1010" s="9">
        <f>STATS1003B!E1056/1000</f>
        <v>1767.77</v>
      </c>
      <c r="F1010" s="9">
        <f>STATS1003B!F1056/1000</f>
        <v>0</v>
      </c>
      <c r="G1010" s="9">
        <f>STATS1003B!G1056/1000</f>
        <v>0</v>
      </c>
      <c r="H1010" s="9">
        <f>STATS1003B!H1056/1000</f>
        <v>0</v>
      </c>
      <c r="I1010" s="9">
        <f>STATS1003B!I1056/1000</f>
        <v>0</v>
      </c>
      <c r="J1010" s="9">
        <f>STATS1003B!J1056/1000</f>
        <v>0</v>
      </c>
      <c r="K1010" s="9">
        <f>STATS1003B!K1056/1000</f>
        <v>0</v>
      </c>
      <c r="L1010" s="9">
        <f>STATS1003B!L1056/1000</f>
        <v>0</v>
      </c>
      <c r="M1010" s="9">
        <f>STATS1003B!M1056/1000</f>
        <v>0</v>
      </c>
      <c r="N1010" s="9">
        <f>STATS1003B!N1056/1000</f>
        <v>1767.77</v>
      </c>
      <c r="O1010" s="9">
        <f>STATS1003B!O1056/1000</f>
        <v>0</v>
      </c>
      <c r="P1010" s="9">
        <f>STATS1003B!P1056/1000</f>
        <v>1767.77</v>
      </c>
      <c r="Q1010" s="9">
        <f>STATS1003B!Q1056/1000</f>
        <v>0</v>
      </c>
      <c r="R1010" s="9">
        <f>STATS1003B!R1056/1000</f>
        <v>0</v>
      </c>
      <c r="S1010" s="9">
        <f>STATS1003B!S1056/1000</f>
        <v>0</v>
      </c>
      <c r="T1010" s="9">
        <f>STATS1003B!T1056/1000</f>
        <v>0</v>
      </c>
      <c r="U1010" s="9">
        <f>STATS1003B!U1056/1000</f>
        <v>1767.77</v>
      </c>
      <c r="V1010" s="9">
        <f>STATS1003B!V1056/1000</f>
        <v>1767.77</v>
      </c>
      <c r="W1010" s="9">
        <f>STATS1003B!W1056/1000</f>
        <v>0</v>
      </c>
      <c r="X1010" s="9">
        <f>STATS1003B!X1056/1000</f>
        <v>1767.77</v>
      </c>
      <c r="Y1010" s="9">
        <f>STATS1003B!Y1056/1000</f>
        <v>0</v>
      </c>
      <c r="Z1010" s="9">
        <f>STATS1003B!Z1056/1000</f>
        <v>0</v>
      </c>
      <c r="AA1010" s="9">
        <f>STATS1003B!AA1056/1000</f>
        <v>1767.77</v>
      </c>
      <c r="AB1010" s="9">
        <f>STATS1003B!AB1056/1000</f>
        <v>0</v>
      </c>
    </row>
    <row r="1011" spans="1:28" x14ac:dyDescent="0.35">
      <c r="A1011" s="36"/>
      <c r="B1011" s="8"/>
      <c r="C1011" s="7" t="s">
        <v>55</v>
      </c>
      <c r="D1011" s="15" t="s">
        <v>245</v>
      </c>
      <c r="E1011" s="9">
        <f>STATS1003B!E1057/1000</f>
        <v>2176.6713</v>
      </c>
      <c r="F1011" s="9">
        <f>STATS1003B!F1057/1000</f>
        <v>0</v>
      </c>
      <c r="G1011" s="9">
        <f>STATS1003B!G1057/1000</f>
        <v>0</v>
      </c>
      <c r="H1011" s="9">
        <f>STATS1003B!H1057/1000</f>
        <v>0</v>
      </c>
      <c r="I1011" s="9">
        <f>STATS1003B!I1057/1000</f>
        <v>0</v>
      </c>
      <c r="J1011" s="9">
        <f>STATS1003B!J1057/1000</f>
        <v>0</v>
      </c>
      <c r="K1011" s="9">
        <f>STATS1003B!K1057/1000</f>
        <v>0</v>
      </c>
      <c r="L1011" s="9">
        <f>STATS1003B!L1057/1000</f>
        <v>0</v>
      </c>
      <c r="M1011" s="9">
        <f>STATS1003B!M1057/1000</f>
        <v>0</v>
      </c>
      <c r="N1011" s="9">
        <f>STATS1003B!N1057/1000</f>
        <v>2176.6713</v>
      </c>
      <c r="O1011" s="9">
        <f>STATS1003B!O1057/1000</f>
        <v>0</v>
      </c>
      <c r="P1011" s="9">
        <f>STATS1003B!P1057/1000</f>
        <v>2176.6713</v>
      </c>
      <c r="Q1011" s="9">
        <f>STATS1003B!Q1057/1000</f>
        <v>0</v>
      </c>
      <c r="R1011" s="9">
        <f>STATS1003B!R1057/1000</f>
        <v>0</v>
      </c>
      <c r="S1011" s="9">
        <f>STATS1003B!S1057/1000</f>
        <v>0</v>
      </c>
      <c r="T1011" s="9">
        <f>STATS1003B!T1057/1000</f>
        <v>0</v>
      </c>
      <c r="U1011" s="9">
        <f>STATS1003B!U1057/1000</f>
        <v>2176.6713</v>
      </c>
      <c r="V1011" s="9">
        <f>STATS1003B!V1057/1000</f>
        <v>2176.6713</v>
      </c>
      <c r="W1011" s="9">
        <f>STATS1003B!W1057/1000</f>
        <v>0</v>
      </c>
      <c r="X1011" s="9">
        <f>STATS1003B!X1057/1000</f>
        <v>2176.6713</v>
      </c>
      <c r="Y1011" s="9">
        <f>STATS1003B!Y1057/1000</f>
        <v>0</v>
      </c>
      <c r="Z1011" s="9">
        <f>STATS1003B!Z1057/1000</f>
        <v>0</v>
      </c>
      <c r="AA1011" s="9">
        <f>STATS1003B!AA1057/1000</f>
        <v>2176.6713</v>
      </c>
      <c r="AB1011" s="9">
        <f>STATS1003B!AB1057/1000</f>
        <v>0</v>
      </c>
    </row>
    <row r="1012" spans="1:28" x14ac:dyDescent="0.35">
      <c r="A1012" s="36"/>
      <c r="B1012" s="8"/>
      <c r="C1012" s="7" t="s">
        <v>225</v>
      </c>
      <c r="D1012" s="15" t="s">
        <v>85</v>
      </c>
      <c r="E1012" s="9">
        <f>STATS1003B!E1058/1000</f>
        <v>560</v>
      </c>
      <c r="F1012" s="9">
        <f>STATS1003B!F1058/1000</f>
        <v>486.38400000000001</v>
      </c>
      <c r="G1012" s="9">
        <f>STATS1003B!G1058/1000</f>
        <v>0</v>
      </c>
      <c r="H1012" s="9">
        <f>STATS1003B!H1058/1000</f>
        <v>486.38400000000001</v>
      </c>
      <c r="I1012" s="9">
        <f>STATS1003B!I1058/1000</f>
        <v>0</v>
      </c>
      <c r="J1012" s="9">
        <f>STATS1003B!J1058/1000</f>
        <v>0</v>
      </c>
      <c r="K1012" s="9">
        <f>STATS1003B!K1058/1000</f>
        <v>0</v>
      </c>
      <c r="L1012" s="9">
        <f>STATS1003B!L1058/1000</f>
        <v>0</v>
      </c>
      <c r="M1012" s="9">
        <f>STATS1003B!M1058/1000</f>
        <v>486.38400000000001</v>
      </c>
      <c r="N1012" s="9">
        <f>STATS1003B!N1058/1000</f>
        <v>0</v>
      </c>
      <c r="O1012" s="9">
        <f>STATS1003B!O1058/1000</f>
        <v>0</v>
      </c>
      <c r="P1012" s="9">
        <f>STATS1003B!P1058/1000</f>
        <v>0</v>
      </c>
      <c r="Q1012" s="9">
        <f>STATS1003B!Q1058/1000</f>
        <v>0</v>
      </c>
      <c r="R1012" s="9">
        <f>STATS1003B!R1058/1000</f>
        <v>0</v>
      </c>
      <c r="S1012" s="9">
        <f>STATS1003B!S1058/1000</f>
        <v>0</v>
      </c>
      <c r="T1012" s="9">
        <f>STATS1003B!T1058/1000</f>
        <v>0</v>
      </c>
      <c r="U1012" s="9">
        <f>STATS1003B!U1058/1000</f>
        <v>0</v>
      </c>
      <c r="V1012" s="9">
        <f>STATS1003B!V1058/1000</f>
        <v>486.38400000000001</v>
      </c>
      <c r="W1012" s="9">
        <f>STATS1003B!W1058/1000</f>
        <v>73.616</v>
      </c>
      <c r="X1012" s="9">
        <f>STATS1003B!X1058/1000</f>
        <v>486.38400000000001</v>
      </c>
      <c r="Y1012" s="9">
        <f>STATS1003B!Y1058/1000</f>
        <v>0</v>
      </c>
      <c r="Z1012" s="9">
        <f>STATS1003B!Z1058/1000</f>
        <v>73.616</v>
      </c>
      <c r="AA1012" s="9">
        <f>STATS1003B!AA1058/1000</f>
        <v>486.38400000000001</v>
      </c>
      <c r="AB1012" s="9">
        <f>STATS1003B!AB1058/1000</f>
        <v>73.616</v>
      </c>
    </row>
    <row r="1013" spans="1:28" x14ac:dyDescent="0.35">
      <c r="A1013" s="36"/>
      <c r="B1013" s="8"/>
      <c r="C1013" s="7" t="s">
        <v>57</v>
      </c>
      <c r="D1013" s="15" t="s">
        <v>58</v>
      </c>
      <c r="E1013" s="9">
        <f>STATS1003B!E1059/1000</f>
        <v>1736.6479999999999</v>
      </c>
      <c r="F1013" s="9">
        <f>STATS1003B!F1059/1000</f>
        <v>1736.6479999999999</v>
      </c>
      <c r="G1013" s="9">
        <f>STATS1003B!G1059/1000</f>
        <v>0</v>
      </c>
      <c r="H1013" s="9">
        <f>STATS1003B!H1059/1000</f>
        <v>1736.6479999999999</v>
      </c>
      <c r="I1013" s="9">
        <f>STATS1003B!I1059/1000</f>
        <v>0</v>
      </c>
      <c r="J1013" s="9">
        <f>STATS1003B!J1059/1000</f>
        <v>0</v>
      </c>
      <c r="K1013" s="9">
        <f>STATS1003B!K1059/1000</f>
        <v>0</v>
      </c>
      <c r="L1013" s="9">
        <f>STATS1003B!L1059/1000</f>
        <v>0</v>
      </c>
      <c r="M1013" s="9">
        <f>STATS1003B!M1059/1000</f>
        <v>1736.6479999999999</v>
      </c>
      <c r="N1013" s="9">
        <f>STATS1003B!N1059/1000</f>
        <v>0</v>
      </c>
      <c r="O1013" s="9">
        <f>STATS1003B!O1059/1000</f>
        <v>0</v>
      </c>
      <c r="P1013" s="9">
        <f>STATS1003B!P1059/1000</f>
        <v>0</v>
      </c>
      <c r="Q1013" s="9">
        <f>STATS1003B!Q1059/1000</f>
        <v>0</v>
      </c>
      <c r="R1013" s="9">
        <f>STATS1003B!R1059/1000</f>
        <v>0</v>
      </c>
      <c r="S1013" s="9">
        <f>STATS1003B!S1059/1000</f>
        <v>0</v>
      </c>
      <c r="T1013" s="9">
        <f>STATS1003B!T1059/1000</f>
        <v>0</v>
      </c>
      <c r="U1013" s="9">
        <f>STATS1003B!U1059/1000</f>
        <v>0</v>
      </c>
      <c r="V1013" s="9">
        <f>STATS1003B!V1059/1000</f>
        <v>1736.6479999999999</v>
      </c>
      <c r="W1013" s="9">
        <f>STATS1003B!W1059/1000</f>
        <v>0</v>
      </c>
      <c r="X1013" s="9">
        <f>STATS1003B!X1059/1000</f>
        <v>1736.6479999999999</v>
      </c>
      <c r="Y1013" s="9">
        <f>STATS1003B!Y1059/1000</f>
        <v>0</v>
      </c>
      <c r="Z1013" s="9">
        <f>STATS1003B!Z1059/1000</f>
        <v>0</v>
      </c>
      <c r="AA1013" s="9">
        <f>STATS1003B!AA1059/1000</f>
        <v>1736.6479999999999</v>
      </c>
      <c r="AB1013" s="9">
        <f>STATS1003B!AB1059/1000</f>
        <v>0</v>
      </c>
    </row>
    <row r="1014" spans="1:28" x14ac:dyDescent="0.35">
      <c r="A1014" s="36"/>
      <c r="B1014" s="8"/>
      <c r="C1014" s="7" t="s">
        <v>57</v>
      </c>
      <c r="D1014" s="15" t="s">
        <v>60</v>
      </c>
      <c r="E1014" s="9">
        <f>STATS1003B!E1060/1000</f>
        <v>5391.9449999999997</v>
      </c>
      <c r="F1014" s="9">
        <f>STATS1003B!F1060/1000</f>
        <v>5391.9449999999997</v>
      </c>
      <c r="G1014" s="9">
        <f>STATS1003B!G1060/1000</f>
        <v>0</v>
      </c>
      <c r="H1014" s="9">
        <f>STATS1003B!H1060/1000</f>
        <v>5391.9449999999997</v>
      </c>
      <c r="I1014" s="9">
        <f>STATS1003B!I1060/1000</f>
        <v>0</v>
      </c>
      <c r="J1014" s="9">
        <f>STATS1003B!J1060/1000</f>
        <v>0</v>
      </c>
      <c r="K1014" s="9">
        <f>STATS1003B!K1060/1000</f>
        <v>0</v>
      </c>
      <c r="L1014" s="9">
        <f>STATS1003B!L1060/1000</f>
        <v>0</v>
      </c>
      <c r="M1014" s="9">
        <f>STATS1003B!M1060/1000</f>
        <v>5391.9449999999997</v>
      </c>
      <c r="N1014" s="9">
        <f>STATS1003B!N1060/1000</f>
        <v>0</v>
      </c>
      <c r="O1014" s="9">
        <f>STATS1003B!O1060/1000</f>
        <v>0</v>
      </c>
      <c r="P1014" s="9">
        <f>STATS1003B!P1060/1000</f>
        <v>0</v>
      </c>
      <c r="Q1014" s="9">
        <f>STATS1003B!Q1060/1000</f>
        <v>0</v>
      </c>
      <c r="R1014" s="9">
        <f>STATS1003B!R1060/1000</f>
        <v>0</v>
      </c>
      <c r="S1014" s="9">
        <f>STATS1003B!S1060/1000</f>
        <v>0</v>
      </c>
      <c r="T1014" s="9">
        <f>STATS1003B!T1060/1000</f>
        <v>0</v>
      </c>
      <c r="U1014" s="9">
        <f>STATS1003B!U1060/1000</f>
        <v>0</v>
      </c>
      <c r="V1014" s="9">
        <f>STATS1003B!V1060/1000</f>
        <v>5391.9449999999997</v>
      </c>
      <c r="W1014" s="9">
        <f>STATS1003B!W1060/1000</f>
        <v>0</v>
      </c>
      <c r="X1014" s="9">
        <f>STATS1003B!X1060/1000</f>
        <v>5391.9449999999997</v>
      </c>
      <c r="Y1014" s="9">
        <f>STATS1003B!Y1060/1000</f>
        <v>0</v>
      </c>
      <c r="Z1014" s="9">
        <f>STATS1003B!Z1060/1000</f>
        <v>0</v>
      </c>
      <c r="AA1014" s="9">
        <f>STATS1003B!AA1060/1000</f>
        <v>5391.9449999999997</v>
      </c>
      <c r="AB1014" s="9">
        <f>STATS1003B!AB1060/1000</f>
        <v>0</v>
      </c>
    </row>
    <row r="1015" spans="1:28" x14ac:dyDescent="0.35">
      <c r="A1015" s="36"/>
      <c r="B1015" s="8"/>
      <c r="C1015" s="14" t="s">
        <v>109</v>
      </c>
      <c r="D1015" s="21" t="s">
        <v>60</v>
      </c>
      <c r="E1015" s="9">
        <f>STATS1003B!E1063/1000</f>
        <v>5000</v>
      </c>
      <c r="F1015" s="9">
        <f>STATS1003B!F1063/1000</f>
        <v>5000</v>
      </c>
      <c r="G1015" s="9">
        <f>STATS1003B!G1063/1000</f>
        <v>0</v>
      </c>
      <c r="H1015" s="9">
        <f>STATS1003B!H1063/1000</f>
        <v>5000</v>
      </c>
      <c r="I1015" s="9">
        <f>STATS1003B!I1063/1000</f>
        <v>0</v>
      </c>
      <c r="J1015" s="9">
        <f>STATS1003B!J1063/1000</f>
        <v>0</v>
      </c>
      <c r="K1015" s="9">
        <f>STATS1003B!K1063/1000</f>
        <v>0</v>
      </c>
      <c r="L1015" s="9">
        <f>STATS1003B!L1063/1000</f>
        <v>0</v>
      </c>
      <c r="M1015" s="9">
        <f>STATS1003B!M1063/1000</f>
        <v>5000</v>
      </c>
      <c r="N1015" s="9">
        <f>STATS1003B!N1063/1000</f>
        <v>0</v>
      </c>
      <c r="O1015" s="9">
        <f>STATS1003B!O1063/1000</f>
        <v>0</v>
      </c>
      <c r="P1015" s="9">
        <f>STATS1003B!P1063/1000</f>
        <v>0</v>
      </c>
      <c r="Q1015" s="9">
        <f>STATS1003B!Q1063/1000</f>
        <v>0</v>
      </c>
      <c r="R1015" s="9">
        <f>STATS1003B!R1063/1000</f>
        <v>0</v>
      </c>
      <c r="S1015" s="9">
        <f>STATS1003B!S1063/1000</f>
        <v>0</v>
      </c>
      <c r="T1015" s="9">
        <f>STATS1003B!T1063/1000</f>
        <v>0</v>
      </c>
      <c r="U1015" s="9">
        <f>STATS1003B!U1063/1000</f>
        <v>0</v>
      </c>
      <c r="V1015" s="9">
        <f>STATS1003B!V1063/1000</f>
        <v>5000</v>
      </c>
      <c r="W1015" s="9">
        <f>STATS1003B!W1063/1000</f>
        <v>0</v>
      </c>
      <c r="X1015" s="9">
        <f>STATS1003B!X1063/1000</f>
        <v>5000</v>
      </c>
      <c r="Y1015" s="9">
        <f>STATS1003B!Y1063/1000</f>
        <v>0</v>
      </c>
      <c r="Z1015" s="9">
        <f>STATS1003B!Z1063/1000</f>
        <v>0</v>
      </c>
      <c r="AA1015" s="9">
        <f>STATS1003B!AA1063/1000</f>
        <v>5000</v>
      </c>
      <c r="AB1015" s="9">
        <f>STATS1003B!AB1063/1000</f>
        <v>0</v>
      </c>
    </row>
    <row r="1016" spans="1:28" x14ac:dyDescent="0.35">
      <c r="A1016" s="36"/>
      <c r="B1016" s="8"/>
      <c r="C1016" s="7" t="s">
        <v>57</v>
      </c>
      <c r="D1016" s="24" t="s">
        <v>61</v>
      </c>
      <c r="E1016" s="9">
        <f>STATS1003B!E1064/1000</f>
        <v>610</v>
      </c>
      <c r="F1016" s="9">
        <f>STATS1003B!F1064/1000</f>
        <v>610</v>
      </c>
      <c r="G1016" s="9">
        <f>STATS1003B!G1064/1000</f>
        <v>0</v>
      </c>
      <c r="H1016" s="9">
        <f>STATS1003B!H1064/1000</f>
        <v>610</v>
      </c>
      <c r="I1016" s="9">
        <f>STATS1003B!I1064/1000</f>
        <v>0</v>
      </c>
      <c r="J1016" s="9">
        <f>STATS1003B!J1064/1000</f>
        <v>0</v>
      </c>
      <c r="K1016" s="9">
        <f>STATS1003B!K1064/1000</f>
        <v>0</v>
      </c>
      <c r="L1016" s="9">
        <f>STATS1003B!L1064/1000</f>
        <v>0</v>
      </c>
      <c r="M1016" s="9">
        <f>STATS1003B!M1064/1000</f>
        <v>610</v>
      </c>
      <c r="N1016" s="9">
        <f>STATS1003B!N1064/1000</f>
        <v>0</v>
      </c>
      <c r="O1016" s="9">
        <f>STATS1003B!O1064/1000</f>
        <v>0</v>
      </c>
      <c r="P1016" s="9">
        <f>STATS1003B!P1064/1000</f>
        <v>0</v>
      </c>
      <c r="Q1016" s="9">
        <f>STATS1003B!Q1064/1000</f>
        <v>0</v>
      </c>
      <c r="R1016" s="9">
        <f>STATS1003B!R1064/1000</f>
        <v>0</v>
      </c>
      <c r="S1016" s="9">
        <f>STATS1003B!S1064/1000</f>
        <v>0</v>
      </c>
      <c r="T1016" s="9">
        <f>STATS1003B!T1064/1000</f>
        <v>0</v>
      </c>
      <c r="U1016" s="9">
        <f>STATS1003B!U1064/1000</f>
        <v>0</v>
      </c>
      <c r="V1016" s="9">
        <f>STATS1003B!V1064/1000</f>
        <v>610</v>
      </c>
      <c r="W1016" s="9">
        <f>STATS1003B!W1064/1000</f>
        <v>0</v>
      </c>
      <c r="X1016" s="9">
        <f>STATS1003B!X1064/1000</f>
        <v>610</v>
      </c>
      <c r="Y1016" s="9">
        <f>STATS1003B!Y1064/1000</f>
        <v>0</v>
      </c>
      <c r="Z1016" s="9">
        <f>STATS1003B!Z1064/1000</f>
        <v>0</v>
      </c>
      <c r="AA1016" s="9">
        <f>STATS1003B!AA1064/1000</f>
        <v>610</v>
      </c>
      <c r="AB1016" s="9">
        <f>STATS1003B!AB1064/1000</f>
        <v>0</v>
      </c>
    </row>
    <row r="1017" spans="1:28" x14ac:dyDescent="0.35">
      <c r="A1017" s="36"/>
      <c r="B1017" s="8"/>
      <c r="C1017" s="8"/>
      <c r="D1017" s="8"/>
      <c r="E1017" s="17" t="s">
        <v>29</v>
      </c>
      <c r="F1017" s="17" t="s">
        <v>29</v>
      </c>
      <c r="G1017" s="17" t="s">
        <v>29</v>
      </c>
      <c r="H1017" s="17" t="s">
        <v>29</v>
      </c>
      <c r="I1017" s="17" t="s">
        <v>29</v>
      </c>
      <c r="J1017" s="17" t="s">
        <v>29</v>
      </c>
      <c r="K1017" s="17" t="s">
        <v>29</v>
      </c>
      <c r="L1017" s="17" t="s">
        <v>29</v>
      </c>
      <c r="M1017" s="17" t="s">
        <v>29</v>
      </c>
      <c r="N1017" s="17" t="s">
        <v>29</v>
      </c>
      <c r="O1017" s="17" t="s">
        <v>29</v>
      </c>
      <c r="P1017" s="17" t="s">
        <v>29</v>
      </c>
      <c r="Q1017" s="17" t="s">
        <v>29</v>
      </c>
      <c r="R1017" s="17" t="s">
        <v>29</v>
      </c>
      <c r="S1017" s="17" t="s">
        <v>29</v>
      </c>
      <c r="T1017" s="17" t="s">
        <v>29</v>
      </c>
      <c r="U1017" s="17" t="s">
        <v>29</v>
      </c>
      <c r="V1017" s="17" t="s">
        <v>29</v>
      </c>
      <c r="W1017" s="17" t="s">
        <v>29</v>
      </c>
      <c r="X1017" s="17" t="s">
        <v>29</v>
      </c>
      <c r="Y1017" s="17" t="s">
        <v>29</v>
      </c>
      <c r="Z1017" s="17" t="s">
        <v>29</v>
      </c>
      <c r="AA1017" s="17" t="s">
        <v>29</v>
      </c>
      <c r="AB1017" s="17" t="s">
        <v>29</v>
      </c>
    </row>
    <row r="1018" spans="1:28" x14ac:dyDescent="0.35">
      <c r="A1018" s="36"/>
      <c r="B1018" s="8"/>
      <c r="C1018" s="8"/>
      <c r="D1018" s="8"/>
      <c r="E1018" s="9">
        <f t="shared" ref="E1018:AB1018" si="77">SUM(E1007:E1016)</f>
        <v>30362.509660000003</v>
      </c>
      <c r="F1018" s="9">
        <f t="shared" si="77"/>
        <v>25365.175340000002</v>
      </c>
      <c r="G1018" s="9">
        <f t="shared" si="77"/>
        <v>0</v>
      </c>
      <c r="H1018" s="9">
        <f t="shared" si="77"/>
        <v>25365.175340000002</v>
      </c>
      <c r="I1018" s="9">
        <f t="shared" si="77"/>
        <v>0</v>
      </c>
      <c r="J1018" s="9">
        <f t="shared" si="77"/>
        <v>0</v>
      </c>
      <c r="K1018" s="9">
        <f t="shared" si="77"/>
        <v>0</v>
      </c>
      <c r="L1018" s="9">
        <f t="shared" si="77"/>
        <v>0</v>
      </c>
      <c r="M1018" s="9">
        <f t="shared" si="77"/>
        <v>25365.175340000002</v>
      </c>
      <c r="N1018" s="9">
        <f t="shared" si="77"/>
        <v>4923.7183199999999</v>
      </c>
      <c r="O1018" s="9">
        <f t="shared" si="77"/>
        <v>0</v>
      </c>
      <c r="P1018" s="9">
        <f t="shared" si="77"/>
        <v>4923.7183199999999</v>
      </c>
      <c r="Q1018" s="9">
        <f t="shared" si="77"/>
        <v>0</v>
      </c>
      <c r="R1018" s="9">
        <f t="shared" si="77"/>
        <v>0</v>
      </c>
      <c r="S1018" s="9">
        <f t="shared" si="77"/>
        <v>0</v>
      </c>
      <c r="T1018" s="9">
        <f t="shared" si="77"/>
        <v>0</v>
      </c>
      <c r="U1018" s="9">
        <f t="shared" si="77"/>
        <v>4923.7183199999999</v>
      </c>
      <c r="V1018" s="9">
        <f t="shared" si="77"/>
        <v>30288.893660000002</v>
      </c>
      <c r="W1018" s="9">
        <f t="shared" si="77"/>
        <v>73.616</v>
      </c>
      <c r="X1018" s="9">
        <f t="shared" si="77"/>
        <v>30288.893660000002</v>
      </c>
      <c r="Y1018" s="9">
        <f t="shared" si="77"/>
        <v>0</v>
      </c>
      <c r="Z1018" s="9">
        <f t="shared" si="77"/>
        <v>73.616</v>
      </c>
      <c r="AA1018" s="9">
        <f t="shared" si="77"/>
        <v>30288.893660000002</v>
      </c>
      <c r="AB1018" s="9">
        <f t="shared" si="77"/>
        <v>73.616</v>
      </c>
    </row>
    <row r="1019" spans="1:28" x14ac:dyDescent="0.35">
      <c r="A1019" s="36"/>
      <c r="B1019" s="8"/>
      <c r="C1019" s="8"/>
      <c r="D1019" s="8"/>
      <c r="E1019" s="17" t="s">
        <v>29</v>
      </c>
      <c r="F1019" s="17" t="s">
        <v>29</v>
      </c>
      <c r="G1019" s="17" t="s">
        <v>29</v>
      </c>
      <c r="H1019" s="17" t="s">
        <v>29</v>
      </c>
      <c r="I1019" s="17" t="s">
        <v>29</v>
      </c>
      <c r="J1019" s="17" t="s">
        <v>29</v>
      </c>
      <c r="K1019" s="17" t="s">
        <v>29</v>
      </c>
      <c r="L1019" s="17" t="s">
        <v>29</v>
      </c>
      <c r="M1019" s="17" t="s">
        <v>29</v>
      </c>
      <c r="N1019" s="17" t="s">
        <v>29</v>
      </c>
      <c r="O1019" s="17" t="s">
        <v>29</v>
      </c>
      <c r="P1019" s="17" t="s">
        <v>29</v>
      </c>
      <c r="Q1019" s="17" t="s">
        <v>29</v>
      </c>
      <c r="R1019" s="17" t="s">
        <v>29</v>
      </c>
      <c r="S1019" s="17" t="s">
        <v>29</v>
      </c>
      <c r="T1019" s="17" t="s">
        <v>29</v>
      </c>
      <c r="U1019" s="17" t="s">
        <v>29</v>
      </c>
      <c r="V1019" s="17" t="s">
        <v>29</v>
      </c>
      <c r="W1019" s="17" t="s">
        <v>29</v>
      </c>
      <c r="X1019" s="17" t="s">
        <v>29</v>
      </c>
      <c r="Y1019" s="17" t="s">
        <v>29</v>
      </c>
      <c r="Z1019" s="17" t="s">
        <v>29</v>
      </c>
      <c r="AA1019" s="17" t="s">
        <v>29</v>
      </c>
      <c r="AB1019" s="17" t="s">
        <v>29</v>
      </c>
    </row>
    <row r="1020" spans="1:28" x14ac:dyDescent="0.35">
      <c r="A1020" s="38" t="s">
        <v>987</v>
      </c>
      <c r="B1020" s="7" t="s">
        <v>246</v>
      </c>
      <c r="C1020" s="8"/>
      <c r="D1020" s="8"/>
      <c r="E1020" s="8"/>
      <c r="F1020" s="8"/>
      <c r="G1020" s="8"/>
      <c r="H1020" s="8"/>
      <c r="I1020" s="8"/>
      <c r="J1020" s="8"/>
      <c r="K1020" s="8"/>
      <c r="L1020" s="8"/>
      <c r="M1020" s="8"/>
      <c r="N1020" s="8"/>
      <c r="O1020" s="8"/>
      <c r="P1020" s="8"/>
      <c r="Q1020" s="8"/>
      <c r="R1020" s="8"/>
      <c r="S1020" s="8"/>
      <c r="T1020" s="8"/>
      <c r="U1020" s="8"/>
      <c r="V1020" s="8"/>
      <c r="W1020" s="8"/>
      <c r="X1020" s="8"/>
      <c r="Y1020" s="8"/>
      <c r="Z1020" s="8"/>
    </row>
    <row r="1021" spans="1:28" x14ac:dyDescent="0.35">
      <c r="A1021" s="36"/>
      <c r="B1021" s="8"/>
      <c r="C1021" s="7" t="s">
        <v>172</v>
      </c>
      <c r="D1021" s="15" t="s">
        <v>166</v>
      </c>
      <c r="E1021" s="9">
        <f>STATS1003B!E1069/1000</f>
        <v>2004.7280000000001</v>
      </c>
      <c r="F1021" s="9">
        <f>STATS1003B!F1069/1000</f>
        <v>2004.7280000000001</v>
      </c>
      <c r="G1021" s="9">
        <f>STATS1003B!G1069/1000</f>
        <v>0</v>
      </c>
      <c r="H1021" s="9">
        <f>STATS1003B!H1069/1000</f>
        <v>2004.7280000000001</v>
      </c>
      <c r="I1021" s="9">
        <f>STATS1003B!I1069/1000</f>
        <v>0</v>
      </c>
      <c r="J1021" s="9">
        <f>STATS1003B!J1069/1000</f>
        <v>0</v>
      </c>
      <c r="K1021" s="9">
        <f>STATS1003B!K1069/1000</f>
        <v>0</v>
      </c>
      <c r="L1021" s="9">
        <f>STATS1003B!L1069/1000</f>
        <v>0</v>
      </c>
      <c r="M1021" s="9">
        <f>STATS1003B!M1069/1000</f>
        <v>2004.7280000000001</v>
      </c>
      <c r="N1021" s="9">
        <f>STATS1003B!N1069/1000</f>
        <v>0</v>
      </c>
      <c r="O1021" s="9">
        <f>STATS1003B!O1069/1000</f>
        <v>0</v>
      </c>
      <c r="P1021" s="9">
        <f>STATS1003B!P1069/1000</f>
        <v>0</v>
      </c>
      <c r="Q1021" s="9">
        <f>STATS1003B!Q1069/1000</f>
        <v>0</v>
      </c>
      <c r="R1021" s="9">
        <f>STATS1003B!R1069/1000</f>
        <v>0</v>
      </c>
      <c r="S1021" s="9">
        <f>STATS1003B!S1069/1000</f>
        <v>0</v>
      </c>
      <c r="T1021" s="9">
        <f>STATS1003B!T1069/1000</f>
        <v>0</v>
      </c>
      <c r="U1021" s="9">
        <f>STATS1003B!U1069/1000</f>
        <v>0</v>
      </c>
      <c r="V1021" s="9">
        <f>STATS1003B!V1069/1000</f>
        <v>2004.7280000000001</v>
      </c>
      <c r="W1021" s="9">
        <f>STATS1003B!W1069/1000</f>
        <v>0</v>
      </c>
      <c r="X1021" s="9">
        <f>STATS1003B!X1069/1000</f>
        <v>2004.7280000000001</v>
      </c>
      <c r="Y1021" s="9">
        <f>STATS1003B!Y1069/1000</f>
        <v>0</v>
      </c>
      <c r="Z1021" s="9">
        <f>STATS1003B!Z1069/1000</f>
        <v>0</v>
      </c>
      <c r="AA1021" s="9">
        <f>STATS1003B!AA1069/1000</f>
        <v>2004.7280000000001</v>
      </c>
      <c r="AB1021" s="9">
        <f>STATS1003B!AB1069/1000</f>
        <v>0</v>
      </c>
    </row>
    <row r="1022" spans="1:28" x14ac:dyDescent="0.35">
      <c r="A1022" s="36"/>
      <c r="B1022" s="8"/>
      <c r="C1022" s="7" t="s">
        <v>57</v>
      </c>
      <c r="D1022" s="15" t="s">
        <v>247</v>
      </c>
      <c r="E1022" s="9">
        <f>STATS1003B!E1070/1000</f>
        <v>4021.0395899999999</v>
      </c>
      <c r="F1022" s="9">
        <f>STATS1003B!F1070/1000</f>
        <v>3040.45</v>
      </c>
      <c r="G1022" s="9">
        <f>STATS1003B!G1070/1000</f>
        <v>0</v>
      </c>
      <c r="H1022" s="9">
        <f>STATS1003B!H1070/1000</f>
        <v>3040.45</v>
      </c>
      <c r="I1022" s="9">
        <f>STATS1003B!I1070/1000</f>
        <v>0</v>
      </c>
      <c r="J1022" s="9">
        <f>STATS1003B!J1070/1000</f>
        <v>0</v>
      </c>
      <c r="K1022" s="9">
        <f>STATS1003B!K1070/1000</f>
        <v>0</v>
      </c>
      <c r="L1022" s="9">
        <f>STATS1003B!L1070/1000</f>
        <v>0</v>
      </c>
      <c r="M1022" s="9">
        <f>STATS1003B!M1070/1000</f>
        <v>3040.45</v>
      </c>
      <c r="N1022" s="9">
        <f>STATS1003B!N1070/1000</f>
        <v>980.58958999999993</v>
      </c>
      <c r="O1022" s="9">
        <f>STATS1003B!O1070/1000</f>
        <v>0</v>
      </c>
      <c r="P1022" s="9">
        <f>STATS1003B!P1070/1000</f>
        <v>980.58958999999993</v>
      </c>
      <c r="Q1022" s="9">
        <f>STATS1003B!Q1070/1000</f>
        <v>0</v>
      </c>
      <c r="R1022" s="9">
        <f>STATS1003B!R1070/1000</f>
        <v>0</v>
      </c>
      <c r="S1022" s="9">
        <f>STATS1003B!S1070/1000</f>
        <v>0</v>
      </c>
      <c r="T1022" s="9">
        <f>STATS1003B!T1070/1000</f>
        <v>0</v>
      </c>
      <c r="U1022" s="9">
        <f>STATS1003B!U1070/1000</f>
        <v>980.58958999999993</v>
      </c>
      <c r="V1022" s="9">
        <f>STATS1003B!V1070/1000</f>
        <v>4021.0395899999999</v>
      </c>
      <c r="W1022" s="9">
        <f>STATS1003B!W1070/1000</f>
        <v>0</v>
      </c>
      <c r="X1022" s="9">
        <f>STATS1003B!X1070/1000</f>
        <v>4021.0395899999999</v>
      </c>
      <c r="Y1022" s="9">
        <f>STATS1003B!Y1070/1000</f>
        <v>0</v>
      </c>
      <c r="Z1022" s="9">
        <f>STATS1003B!Z1070/1000</f>
        <v>0</v>
      </c>
      <c r="AA1022" s="9">
        <f>STATS1003B!AA1070/1000</f>
        <v>4021.0395899999999</v>
      </c>
      <c r="AB1022" s="9">
        <f>STATS1003B!AB1070/1000</f>
        <v>0</v>
      </c>
    </row>
    <row r="1023" spans="1:28" x14ac:dyDescent="0.35">
      <c r="A1023" s="36"/>
      <c r="B1023" s="8"/>
      <c r="C1023" s="7" t="s">
        <v>53</v>
      </c>
      <c r="D1023" s="15" t="s">
        <v>68</v>
      </c>
      <c r="E1023" s="9">
        <f>STATS1003B!E1071/1000</f>
        <v>1953.989</v>
      </c>
      <c r="F1023" s="9">
        <f>STATS1003B!F1071/1000</f>
        <v>0</v>
      </c>
      <c r="G1023" s="9">
        <f>STATS1003B!G1071/1000</f>
        <v>0</v>
      </c>
      <c r="H1023" s="9">
        <f>STATS1003B!H1071/1000</f>
        <v>0</v>
      </c>
      <c r="I1023" s="9">
        <f>STATS1003B!I1071/1000</f>
        <v>0</v>
      </c>
      <c r="J1023" s="9">
        <f>STATS1003B!J1071/1000</f>
        <v>0</v>
      </c>
      <c r="K1023" s="9">
        <f>STATS1003B!K1071/1000</f>
        <v>0</v>
      </c>
      <c r="L1023" s="9">
        <f>STATS1003B!L1071/1000</f>
        <v>0</v>
      </c>
      <c r="M1023" s="9">
        <f>STATS1003B!M1071/1000</f>
        <v>0</v>
      </c>
      <c r="N1023" s="9">
        <f>STATS1003B!N1071/1000</f>
        <v>1953.989</v>
      </c>
      <c r="O1023" s="9">
        <f>STATS1003B!O1071/1000</f>
        <v>0</v>
      </c>
      <c r="P1023" s="9">
        <f>STATS1003B!P1071/1000</f>
        <v>1953.989</v>
      </c>
      <c r="Q1023" s="9">
        <f>STATS1003B!Q1071/1000</f>
        <v>0</v>
      </c>
      <c r="R1023" s="9">
        <f>STATS1003B!R1071/1000</f>
        <v>0</v>
      </c>
      <c r="S1023" s="9">
        <f>STATS1003B!S1071/1000</f>
        <v>0</v>
      </c>
      <c r="T1023" s="9">
        <f>STATS1003B!T1071/1000</f>
        <v>0</v>
      </c>
      <c r="U1023" s="9">
        <f>STATS1003B!U1071/1000</f>
        <v>1953.989</v>
      </c>
      <c r="V1023" s="9">
        <f>STATS1003B!V1071/1000</f>
        <v>1953.989</v>
      </c>
      <c r="W1023" s="9">
        <f>STATS1003B!W1071/1000</f>
        <v>0</v>
      </c>
      <c r="X1023" s="9">
        <f>STATS1003B!X1071/1000</f>
        <v>1953.989</v>
      </c>
      <c r="Y1023" s="9">
        <f>STATS1003B!Y1071/1000</f>
        <v>0</v>
      </c>
      <c r="Z1023" s="9">
        <f>STATS1003B!Z1071/1000</f>
        <v>0</v>
      </c>
      <c r="AA1023" s="9">
        <f>STATS1003B!AA1071/1000</f>
        <v>1953.989</v>
      </c>
      <c r="AB1023" s="9">
        <f>STATS1003B!AB1071/1000</f>
        <v>0</v>
      </c>
    </row>
    <row r="1024" spans="1:28" x14ac:dyDescent="0.35">
      <c r="A1024" s="36"/>
      <c r="B1024" s="8"/>
      <c r="C1024" s="7" t="s">
        <v>248</v>
      </c>
      <c r="D1024" s="15" t="s">
        <v>85</v>
      </c>
      <c r="E1024" s="9">
        <f>STATS1003B!E1072/1000</f>
        <v>80</v>
      </c>
      <c r="F1024" s="9">
        <f>STATS1003B!F1072/1000</f>
        <v>80</v>
      </c>
      <c r="G1024" s="9">
        <f>STATS1003B!G1072/1000</f>
        <v>0</v>
      </c>
      <c r="H1024" s="9">
        <f>STATS1003B!H1072/1000</f>
        <v>80</v>
      </c>
      <c r="I1024" s="9">
        <f>STATS1003B!I1072/1000</f>
        <v>0</v>
      </c>
      <c r="J1024" s="9">
        <f>STATS1003B!J1072/1000</f>
        <v>0</v>
      </c>
      <c r="K1024" s="9">
        <f>STATS1003B!K1072/1000</f>
        <v>0</v>
      </c>
      <c r="L1024" s="9">
        <f>STATS1003B!L1072/1000</f>
        <v>0</v>
      </c>
      <c r="M1024" s="9">
        <f>STATS1003B!M1072/1000</f>
        <v>80</v>
      </c>
      <c r="N1024" s="9">
        <f>STATS1003B!N1072/1000</f>
        <v>0</v>
      </c>
      <c r="O1024" s="9">
        <f>STATS1003B!O1072/1000</f>
        <v>0</v>
      </c>
      <c r="P1024" s="9">
        <f>STATS1003B!P1072/1000</f>
        <v>0</v>
      </c>
      <c r="Q1024" s="9">
        <f>STATS1003B!Q1072/1000</f>
        <v>0</v>
      </c>
      <c r="R1024" s="9">
        <f>STATS1003B!R1072/1000</f>
        <v>0</v>
      </c>
      <c r="S1024" s="9">
        <f>STATS1003B!S1072/1000</f>
        <v>0</v>
      </c>
      <c r="T1024" s="9">
        <f>STATS1003B!T1072/1000</f>
        <v>0</v>
      </c>
      <c r="U1024" s="9">
        <f>STATS1003B!U1072/1000</f>
        <v>0</v>
      </c>
      <c r="V1024" s="9">
        <f>STATS1003B!V1072/1000</f>
        <v>80</v>
      </c>
      <c r="W1024" s="9">
        <f>STATS1003B!W1072/1000</f>
        <v>0</v>
      </c>
      <c r="X1024" s="9">
        <f>STATS1003B!X1072/1000</f>
        <v>80</v>
      </c>
      <c r="Y1024" s="9">
        <f>STATS1003B!Y1072/1000</f>
        <v>0</v>
      </c>
      <c r="Z1024" s="9">
        <f>STATS1003B!Z1072/1000</f>
        <v>0</v>
      </c>
      <c r="AA1024" s="9">
        <f>STATS1003B!AA1072/1000</f>
        <v>80</v>
      </c>
      <c r="AB1024" s="9">
        <f>STATS1003B!AB1072/1000</f>
        <v>0</v>
      </c>
    </row>
    <row r="1025" spans="1:28" x14ac:dyDescent="0.35">
      <c r="A1025" s="36"/>
      <c r="B1025" s="8"/>
      <c r="C1025" s="7" t="s">
        <v>249</v>
      </c>
      <c r="D1025" s="15" t="s">
        <v>128</v>
      </c>
      <c r="E1025" s="9">
        <f>STATS1003B!E1073/1000</f>
        <v>1600</v>
      </c>
      <c r="F1025" s="9">
        <f>STATS1003B!F1073/1000</f>
        <v>1600</v>
      </c>
      <c r="G1025" s="9">
        <f>STATS1003B!G1073/1000</f>
        <v>0</v>
      </c>
      <c r="H1025" s="9">
        <f>STATS1003B!H1073/1000</f>
        <v>1600</v>
      </c>
      <c r="I1025" s="9">
        <f>STATS1003B!I1073/1000</f>
        <v>0</v>
      </c>
      <c r="J1025" s="9">
        <f>STATS1003B!J1073/1000</f>
        <v>0</v>
      </c>
      <c r="K1025" s="9">
        <f>STATS1003B!K1073/1000</f>
        <v>0</v>
      </c>
      <c r="L1025" s="9">
        <f>STATS1003B!L1073/1000</f>
        <v>0</v>
      </c>
      <c r="M1025" s="9">
        <f>STATS1003B!M1073/1000</f>
        <v>1600</v>
      </c>
      <c r="N1025" s="9">
        <f>STATS1003B!N1073/1000</f>
        <v>0</v>
      </c>
      <c r="O1025" s="9">
        <f>STATS1003B!O1073/1000</f>
        <v>0</v>
      </c>
      <c r="P1025" s="9">
        <f>STATS1003B!P1073/1000</f>
        <v>0</v>
      </c>
      <c r="Q1025" s="9">
        <f>STATS1003B!Q1073/1000</f>
        <v>0</v>
      </c>
      <c r="R1025" s="9">
        <f>STATS1003B!R1073/1000</f>
        <v>0</v>
      </c>
      <c r="S1025" s="9">
        <f>STATS1003B!S1073/1000</f>
        <v>0</v>
      </c>
      <c r="T1025" s="9">
        <f>STATS1003B!T1073/1000</f>
        <v>0</v>
      </c>
      <c r="U1025" s="9">
        <f>STATS1003B!U1073/1000</f>
        <v>0</v>
      </c>
      <c r="V1025" s="9">
        <f>STATS1003B!V1073/1000</f>
        <v>1600</v>
      </c>
      <c r="W1025" s="9">
        <f>STATS1003B!W1073/1000</f>
        <v>0</v>
      </c>
      <c r="X1025" s="9">
        <f>STATS1003B!X1073/1000</f>
        <v>1600</v>
      </c>
      <c r="Y1025" s="9">
        <f>STATS1003B!Y1073/1000</f>
        <v>0</v>
      </c>
      <c r="Z1025" s="9">
        <f>STATS1003B!Z1073/1000</f>
        <v>0</v>
      </c>
      <c r="AA1025" s="9">
        <f>STATS1003B!AA1073/1000</f>
        <v>1600</v>
      </c>
      <c r="AB1025" s="9">
        <f>STATS1003B!AB1073/1000</f>
        <v>0</v>
      </c>
    </row>
    <row r="1026" spans="1:28" x14ac:dyDescent="0.35">
      <c r="A1026" s="36"/>
      <c r="B1026" s="8"/>
      <c r="C1026" s="7" t="s">
        <v>55</v>
      </c>
      <c r="D1026" s="15" t="s">
        <v>88</v>
      </c>
      <c r="E1026" s="9">
        <f>STATS1003B!E1074/1000</f>
        <v>2249.5153</v>
      </c>
      <c r="F1026" s="9">
        <f>STATS1003B!F1074/1000</f>
        <v>0</v>
      </c>
      <c r="G1026" s="9">
        <f>STATS1003B!G1074/1000</f>
        <v>0</v>
      </c>
      <c r="H1026" s="9">
        <f>STATS1003B!H1074/1000</f>
        <v>0</v>
      </c>
      <c r="I1026" s="9">
        <f>STATS1003B!I1074/1000</f>
        <v>0</v>
      </c>
      <c r="J1026" s="9">
        <f>STATS1003B!J1074/1000</f>
        <v>0</v>
      </c>
      <c r="K1026" s="9">
        <f>STATS1003B!K1074/1000</f>
        <v>0</v>
      </c>
      <c r="L1026" s="9">
        <f>STATS1003B!L1074/1000</f>
        <v>0</v>
      </c>
      <c r="M1026" s="9">
        <f>STATS1003B!M1074/1000</f>
        <v>0</v>
      </c>
      <c r="N1026" s="9">
        <f>STATS1003B!N1074/1000</f>
        <v>2249.5153</v>
      </c>
      <c r="O1026" s="9">
        <f>STATS1003B!O1074/1000</f>
        <v>0</v>
      </c>
      <c r="P1026" s="9">
        <f>STATS1003B!P1074/1000</f>
        <v>2249.5153</v>
      </c>
      <c r="Q1026" s="9">
        <f>STATS1003B!Q1074/1000</f>
        <v>0</v>
      </c>
      <c r="R1026" s="9">
        <f>STATS1003B!R1074/1000</f>
        <v>0</v>
      </c>
      <c r="S1026" s="9">
        <f>STATS1003B!S1074/1000</f>
        <v>0</v>
      </c>
      <c r="T1026" s="9">
        <f>STATS1003B!T1074/1000</f>
        <v>0</v>
      </c>
      <c r="U1026" s="9">
        <f>STATS1003B!U1074/1000</f>
        <v>2249.5153</v>
      </c>
      <c r="V1026" s="9">
        <f>STATS1003B!V1074/1000</f>
        <v>2249.5153</v>
      </c>
      <c r="W1026" s="9">
        <f>STATS1003B!W1074/1000</f>
        <v>0</v>
      </c>
      <c r="X1026" s="9">
        <f>STATS1003B!X1074/1000</f>
        <v>2249.5153</v>
      </c>
      <c r="Y1026" s="9">
        <f>STATS1003B!Y1074/1000</f>
        <v>0</v>
      </c>
      <c r="Z1026" s="9">
        <f>STATS1003B!Z1074/1000</f>
        <v>0</v>
      </c>
      <c r="AA1026" s="9">
        <f>STATS1003B!AA1074/1000</f>
        <v>2249.5153</v>
      </c>
      <c r="AB1026" s="9">
        <f>STATS1003B!AB1074/1000</f>
        <v>0</v>
      </c>
    </row>
    <row r="1027" spans="1:28" x14ac:dyDescent="0.35">
      <c r="A1027" s="36"/>
      <c r="B1027" s="8"/>
      <c r="C1027" s="7" t="s">
        <v>57</v>
      </c>
      <c r="D1027" s="15" t="s">
        <v>58</v>
      </c>
      <c r="E1027" s="9">
        <f>STATS1003B!E1075/1000</f>
        <v>2049.6210000000001</v>
      </c>
      <c r="F1027" s="9">
        <f>STATS1003B!F1075/1000</f>
        <v>2049.6210000000001</v>
      </c>
      <c r="G1027" s="9">
        <f>STATS1003B!G1075/1000</f>
        <v>0</v>
      </c>
      <c r="H1027" s="9">
        <f>STATS1003B!H1075/1000</f>
        <v>2049.6210000000001</v>
      </c>
      <c r="I1027" s="9">
        <f>STATS1003B!I1075/1000</f>
        <v>0</v>
      </c>
      <c r="J1027" s="9">
        <f>STATS1003B!J1075/1000</f>
        <v>0</v>
      </c>
      <c r="K1027" s="9">
        <f>STATS1003B!K1075/1000</f>
        <v>0</v>
      </c>
      <c r="L1027" s="9">
        <f>STATS1003B!L1075/1000</f>
        <v>0</v>
      </c>
      <c r="M1027" s="9">
        <f>STATS1003B!M1075/1000</f>
        <v>2049.6210000000001</v>
      </c>
      <c r="N1027" s="9">
        <f>STATS1003B!N1075/1000</f>
        <v>0</v>
      </c>
      <c r="O1027" s="9">
        <f>STATS1003B!O1075/1000</f>
        <v>0</v>
      </c>
      <c r="P1027" s="9">
        <f>STATS1003B!P1075/1000</f>
        <v>0</v>
      </c>
      <c r="Q1027" s="9">
        <f>STATS1003B!Q1075/1000</f>
        <v>0</v>
      </c>
      <c r="R1027" s="9">
        <f>STATS1003B!R1075/1000</f>
        <v>0</v>
      </c>
      <c r="S1027" s="9">
        <f>STATS1003B!S1075/1000</f>
        <v>0</v>
      </c>
      <c r="T1027" s="9">
        <f>STATS1003B!T1075/1000</f>
        <v>0</v>
      </c>
      <c r="U1027" s="9">
        <f>STATS1003B!U1075/1000</f>
        <v>0</v>
      </c>
      <c r="V1027" s="9">
        <f>STATS1003B!V1075/1000</f>
        <v>2049.6210000000001</v>
      </c>
      <c r="W1027" s="9">
        <f>STATS1003B!W1075/1000</f>
        <v>0</v>
      </c>
      <c r="X1027" s="9">
        <f>STATS1003B!X1075/1000</f>
        <v>2049.6210000000001</v>
      </c>
      <c r="Y1027" s="9">
        <f>STATS1003B!Y1075/1000</f>
        <v>0</v>
      </c>
      <c r="Z1027" s="9">
        <f>STATS1003B!Z1075/1000</f>
        <v>0</v>
      </c>
      <c r="AA1027" s="9">
        <f>STATS1003B!AA1075/1000</f>
        <v>2049.6210000000001</v>
      </c>
      <c r="AB1027" s="9">
        <f>STATS1003B!AB1075/1000</f>
        <v>0</v>
      </c>
    </row>
    <row r="1028" spans="1:28" x14ac:dyDescent="0.35">
      <c r="A1028" s="36"/>
      <c r="B1028" s="8"/>
      <c r="C1028" s="14" t="s">
        <v>109</v>
      </c>
      <c r="D1028" s="21" t="s">
        <v>60</v>
      </c>
      <c r="E1028" s="9">
        <f>STATS1003B!E1076/1000</f>
        <v>1502.2619099999999</v>
      </c>
      <c r="F1028" s="9">
        <f>STATS1003B!F1076/1000</f>
        <v>1502.2619099999999</v>
      </c>
      <c r="G1028" s="9">
        <f>STATS1003B!G1076/1000</f>
        <v>0</v>
      </c>
      <c r="H1028" s="9">
        <f>STATS1003B!H1076/1000</f>
        <v>1502.2619099999999</v>
      </c>
      <c r="I1028" s="9">
        <f>STATS1003B!I1076/1000</f>
        <v>0</v>
      </c>
      <c r="J1028" s="9">
        <f>STATS1003B!J1076/1000</f>
        <v>0</v>
      </c>
      <c r="K1028" s="9">
        <f>STATS1003B!K1076/1000</f>
        <v>0</v>
      </c>
      <c r="L1028" s="9">
        <f>STATS1003B!L1076/1000</f>
        <v>0</v>
      </c>
      <c r="M1028" s="9">
        <f>STATS1003B!M1076/1000</f>
        <v>1502.2619099999999</v>
      </c>
      <c r="N1028" s="9">
        <f>STATS1003B!N1076/1000</f>
        <v>0</v>
      </c>
      <c r="O1028" s="9">
        <f>STATS1003B!O1076/1000</f>
        <v>0</v>
      </c>
      <c r="P1028" s="9">
        <f>STATS1003B!P1076/1000</f>
        <v>0</v>
      </c>
      <c r="Q1028" s="9">
        <f>STATS1003B!Q1076/1000</f>
        <v>0</v>
      </c>
      <c r="R1028" s="9">
        <f>STATS1003B!R1076/1000</f>
        <v>0</v>
      </c>
      <c r="S1028" s="9">
        <f>STATS1003B!S1076/1000</f>
        <v>0</v>
      </c>
      <c r="T1028" s="9">
        <f>STATS1003B!T1076/1000</f>
        <v>0</v>
      </c>
      <c r="U1028" s="9">
        <f>STATS1003B!U1076/1000</f>
        <v>0</v>
      </c>
      <c r="V1028" s="9">
        <f>STATS1003B!V1076/1000</f>
        <v>1502.2619099999999</v>
      </c>
      <c r="W1028" s="9">
        <f>STATS1003B!W1076/1000</f>
        <v>0</v>
      </c>
      <c r="X1028" s="9">
        <f>STATS1003B!X1076/1000</f>
        <v>1502.2619099999999</v>
      </c>
      <c r="Y1028" s="9">
        <f>STATS1003B!Y1076/1000</f>
        <v>0</v>
      </c>
      <c r="Z1028" s="9">
        <f>STATS1003B!Z1076/1000</f>
        <v>0</v>
      </c>
      <c r="AA1028" s="9">
        <f>STATS1003B!AA1076/1000</f>
        <v>1502.2619099999999</v>
      </c>
      <c r="AB1028" s="9">
        <f>STATS1003B!AB1076/1000</f>
        <v>0</v>
      </c>
    </row>
    <row r="1029" spans="1:28" x14ac:dyDescent="0.35">
      <c r="A1029" s="36"/>
      <c r="B1029" s="8"/>
      <c r="C1029" s="14" t="s">
        <v>1117</v>
      </c>
      <c r="D1029" s="24" t="s">
        <v>1072</v>
      </c>
      <c r="E1029" s="9">
        <f>STATS1003B!E1077/1000</f>
        <v>300</v>
      </c>
      <c r="F1029" s="9">
        <f>STATS1003B!F1077/1000</f>
        <v>300</v>
      </c>
      <c r="G1029" s="9">
        <f>STATS1003B!G1077/1000</f>
        <v>0</v>
      </c>
      <c r="H1029" s="9">
        <f>STATS1003B!H1077/1000</f>
        <v>300</v>
      </c>
      <c r="I1029" s="9">
        <f>STATS1003B!I1077/1000</f>
        <v>0</v>
      </c>
      <c r="J1029" s="9">
        <f>STATS1003B!J1077/1000</f>
        <v>0</v>
      </c>
      <c r="K1029" s="9">
        <f>STATS1003B!K1077/1000</f>
        <v>0</v>
      </c>
      <c r="L1029" s="9">
        <f>STATS1003B!L1077/1000</f>
        <v>0</v>
      </c>
      <c r="M1029" s="9">
        <f>STATS1003B!M1077/1000</f>
        <v>300</v>
      </c>
      <c r="N1029" s="9">
        <f>STATS1003B!N1077/1000</f>
        <v>0</v>
      </c>
      <c r="O1029" s="9">
        <f>STATS1003B!O1077/1000</f>
        <v>0</v>
      </c>
      <c r="P1029" s="9">
        <f>STATS1003B!P1077/1000</f>
        <v>0</v>
      </c>
      <c r="Q1029" s="9">
        <f>STATS1003B!Q1077/1000</f>
        <v>0</v>
      </c>
      <c r="R1029" s="9">
        <f>STATS1003B!R1077/1000</f>
        <v>0</v>
      </c>
      <c r="S1029" s="9">
        <f>STATS1003B!S1077/1000</f>
        <v>0</v>
      </c>
      <c r="T1029" s="9">
        <f>STATS1003B!T1077/1000</f>
        <v>0</v>
      </c>
      <c r="U1029" s="9">
        <f>STATS1003B!U1077/1000</f>
        <v>0</v>
      </c>
      <c r="V1029" s="9">
        <f>STATS1003B!V1077/1000</f>
        <v>300</v>
      </c>
      <c r="W1029" s="9">
        <f>STATS1003B!W1077/1000</f>
        <v>0</v>
      </c>
      <c r="X1029" s="9">
        <f>STATS1003B!X1077/1000</f>
        <v>300</v>
      </c>
      <c r="Y1029" s="9">
        <f>STATS1003B!Y1077/1000</f>
        <v>0</v>
      </c>
      <c r="Z1029" s="9">
        <f>STATS1003B!Z1077/1000</f>
        <v>0</v>
      </c>
      <c r="AA1029" s="9">
        <f>STATS1003B!AA1077/1000</f>
        <v>300</v>
      </c>
      <c r="AB1029" s="9">
        <f>STATS1003B!AB1077/1000</f>
        <v>0</v>
      </c>
    </row>
    <row r="1030" spans="1:28" x14ac:dyDescent="0.35">
      <c r="A1030" s="36"/>
      <c r="B1030" s="8"/>
      <c r="C1030" s="14" t="s">
        <v>930</v>
      </c>
      <c r="D1030" s="21"/>
      <c r="E1030" s="9">
        <f>STATS1003B!E1078/1000</f>
        <v>2163.3572899999999</v>
      </c>
      <c r="F1030" s="9">
        <f>STATS1003B!F1078/1000</f>
        <v>2163.3572899999999</v>
      </c>
      <c r="G1030" s="9">
        <f>STATS1003B!G1078/1000</f>
        <v>0</v>
      </c>
      <c r="H1030" s="9">
        <f>STATS1003B!H1078/1000</f>
        <v>2163.3572899999999</v>
      </c>
      <c r="I1030" s="9">
        <f>STATS1003B!I1078/1000</f>
        <v>0</v>
      </c>
      <c r="J1030" s="9">
        <f>STATS1003B!J1078/1000</f>
        <v>0</v>
      </c>
      <c r="K1030" s="9">
        <f>STATS1003B!K1078/1000</f>
        <v>0</v>
      </c>
      <c r="L1030" s="9">
        <f>STATS1003B!L1078/1000</f>
        <v>0</v>
      </c>
      <c r="M1030" s="9">
        <f>STATS1003B!M1078/1000</f>
        <v>2163.3572899999999</v>
      </c>
      <c r="N1030" s="9">
        <f>STATS1003B!N1078/1000</f>
        <v>0</v>
      </c>
      <c r="O1030" s="9">
        <f>STATS1003B!O1078/1000</f>
        <v>0</v>
      </c>
      <c r="P1030" s="9">
        <f>STATS1003B!P1078/1000</f>
        <v>0</v>
      </c>
      <c r="Q1030" s="9">
        <f>STATS1003B!Q1078/1000</f>
        <v>0</v>
      </c>
      <c r="R1030" s="9">
        <f>STATS1003B!R1078/1000</f>
        <v>0</v>
      </c>
      <c r="S1030" s="9">
        <f>STATS1003B!S1078/1000</f>
        <v>0</v>
      </c>
      <c r="T1030" s="9">
        <f>STATS1003B!T1078/1000</f>
        <v>0</v>
      </c>
      <c r="U1030" s="9">
        <f>STATS1003B!U1078/1000</f>
        <v>0</v>
      </c>
      <c r="V1030" s="9">
        <f>STATS1003B!V1078/1000</f>
        <v>2163.3572899999999</v>
      </c>
      <c r="W1030" s="9">
        <f>STATS1003B!W1078/1000</f>
        <v>0</v>
      </c>
      <c r="X1030" s="9">
        <f>STATS1003B!X1078/1000</f>
        <v>2163.3572899999999</v>
      </c>
      <c r="Y1030" s="9">
        <f>STATS1003B!Y1078/1000</f>
        <v>0</v>
      </c>
      <c r="Z1030" s="9">
        <f>STATS1003B!Z1078/1000</f>
        <v>0</v>
      </c>
      <c r="AA1030" s="9">
        <f>STATS1003B!AA1078/1000</f>
        <v>2163.3572899999999</v>
      </c>
      <c r="AB1030" s="9">
        <f>STATS1003B!AB1078/1000</f>
        <v>0</v>
      </c>
    </row>
    <row r="1031" spans="1:28" x14ac:dyDescent="0.35">
      <c r="A1031" s="36"/>
      <c r="B1031" s="8"/>
      <c r="C1031" s="14" t="s">
        <v>1129</v>
      </c>
      <c r="D1031" s="24" t="s">
        <v>1126</v>
      </c>
      <c r="E1031" s="9">
        <f>STATS1003B!E1079/1000</f>
        <v>2015.8043899999998</v>
      </c>
      <c r="F1031" s="9">
        <f>STATS1003B!F1079/1000</f>
        <v>2015.8043899999998</v>
      </c>
      <c r="G1031" s="9">
        <f>STATS1003B!G1079/1000</f>
        <v>0</v>
      </c>
      <c r="H1031" s="9">
        <f>STATS1003B!H1079/1000</f>
        <v>2015.8043899999998</v>
      </c>
      <c r="I1031" s="9">
        <f>STATS1003B!I1079/1000</f>
        <v>0</v>
      </c>
      <c r="J1031" s="9">
        <f>STATS1003B!J1079/1000</f>
        <v>0</v>
      </c>
      <c r="K1031" s="9">
        <f>STATS1003B!K1079/1000</f>
        <v>0</v>
      </c>
      <c r="L1031" s="9">
        <f>STATS1003B!L1079/1000</f>
        <v>0</v>
      </c>
      <c r="M1031" s="9">
        <f>STATS1003B!M1079/1000</f>
        <v>2015.8043899999998</v>
      </c>
      <c r="N1031" s="9">
        <f>STATS1003B!N1079/1000</f>
        <v>0</v>
      </c>
      <c r="O1031" s="9">
        <f>STATS1003B!O1079/1000</f>
        <v>0</v>
      </c>
      <c r="P1031" s="9">
        <f>STATS1003B!P1079/1000</f>
        <v>0</v>
      </c>
      <c r="Q1031" s="9">
        <f>STATS1003B!Q1079/1000</f>
        <v>0</v>
      </c>
      <c r="R1031" s="9">
        <f>STATS1003B!R1079/1000</f>
        <v>0</v>
      </c>
      <c r="S1031" s="9">
        <f>STATS1003B!S1079/1000</f>
        <v>0</v>
      </c>
      <c r="T1031" s="9">
        <f>STATS1003B!T1079/1000</f>
        <v>0</v>
      </c>
      <c r="U1031" s="9">
        <f>STATS1003B!U1079/1000</f>
        <v>0</v>
      </c>
      <c r="V1031" s="9">
        <f>STATS1003B!V1079/1000</f>
        <v>0</v>
      </c>
      <c r="W1031" s="9">
        <f>STATS1003B!W1079/1000</f>
        <v>0</v>
      </c>
      <c r="X1031" s="9">
        <f>STATS1003B!X1079/1000</f>
        <v>2015.8043899999998</v>
      </c>
      <c r="Y1031" s="9">
        <f>STATS1003B!Y1079/1000</f>
        <v>0</v>
      </c>
      <c r="Z1031" s="9">
        <f>STATS1003B!Z1079/1000</f>
        <v>0</v>
      </c>
      <c r="AA1031" s="9">
        <f>STATS1003B!AA1079/1000</f>
        <v>2015.8043899999998</v>
      </c>
      <c r="AB1031" s="9">
        <f>STATS1003B!AB1079/1000</f>
        <v>0</v>
      </c>
    </row>
    <row r="1032" spans="1:28" x14ac:dyDescent="0.35">
      <c r="A1032" s="36"/>
      <c r="B1032" s="8"/>
      <c r="C1032" s="14" t="s">
        <v>1079</v>
      </c>
      <c r="D1032" s="24" t="s">
        <v>1072</v>
      </c>
      <c r="E1032" s="9">
        <f>STATS1003B!E1080/1000</f>
        <v>2993.51316</v>
      </c>
      <c r="F1032" s="9">
        <f>STATS1003B!F1080/1000</f>
        <v>2993.51316</v>
      </c>
      <c r="G1032" s="9">
        <f>STATS1003B!G1080/1000</f>
        <v>0</v>
      </c>
      <c r="H1032" s="9">
        <f>STATS1003B!H1080/1000</f>
        <v>2993.51316</v>
      </c>
      <c r="I1032" s="9">
        <f>STATS1003B!I1080/1000</f>
        <v>0</v>
      </c>
      <c r="J1032" s="9">
        <f>STATS1003B!J1080/1000</f>
        <v>0</v>
      </c>
      <c r="K1032" s="9">
        <f>STATS1003B!K1080/1000</f>
        <v>0</v>
      </c>
      <c r="L1032" s="9">
        <f>STATS1003B!L1080/1000</f>
        <v>0</v>
      </c>
      <c r="M1032" s="9">
        <f>STATS1003B!M1080/1000</f>
        <v>2993.51316</v>
      </c>
      <c r="N1032" s="9">
        <f>STATS1003B!N1080/1000</f>
        <v>0</v>
      </c>
      <c r="O1032" s="9">
        <f>STATS1003B!O1080/1000</f>
        <v>0</v>
      </c>
      <c r="P1032" s="9">
        <f>STATS1003B!P1080/1000</f>
        <v>0</v>
      </c>
      <c r="Q1032" s="9">
        <f>STATS1003B!Q1080/1000</f>
        <v>0</v>
      </c>
      <c r="R1032" s="9">
        <f>STATS1003B!R1080/1000</f>
        <v>0</v>
      </c>
      <c r="S1032" s="9">
        <f>STATS1003B!S1080/1000</f>
        <v>0</v>
      </c>
      <c r="T1032" s="9">
        <f>STATS1003B!T1080/1000</f>
        <v>0</v>
      </c>
      <c r="U1032" s="9">
        <f>STATS1003B!U1080/1000</f>
        <v>0</v>
      </c>
      <c r="V1032" s="9">
        <f>STATS1003B!V1080/1000</f>
        <v>0</v>
      </c>
      <c r="W1032" s="9">
        <f>STATS1003B!W1080/1000</f>
        <v>0</v>
      </c>
      <c r="X1032" s="9">
        <f>STATS1003B!X1080/1000</f>
        <v>2993.51316</v>
      </c>
      <c r="Y1032" s="9">
        <f>STATS1003B!Y1080/1000</f>
        <v>0</v>
      </c>
      <c r="Z1032" s="9">
        <f>STATS1003B!Z1080/1000</f>
        <v>0</v>
      </c>
      <c r="AA1032" s="9">
        <f>STATS1003B!AA1080/1000</f>
        <v>2993.51316</v>
      </c>
      <c r="AB1032" s="9">
        <f>STATS1003B!AB1080/1000</f>
        <v>0</v>
      </c>
    </row>
    <row r="1033" spans="1:28" x14ac:dyDescent="0.35">
      <c r="A1033" s="36"/>
      <c r="B1033" s="8"/>
      <c r="C1033" s="7" t="s">
        <v>57</v>
      </c>
      <c r="D1033" s="15" t="s">
        <v>60</v>
      </c>
      <c r="E1033" s="9">
        <f>STATS1003B!E1082/1000</f>
        <v>2171.0540000000001</v>
      </c>
      <c r="F1033" s="9">
        <f>STATS1003B!F1082/1000</f>
        <v>2171.0540000000001</v>
      </c>
      <c r="G1033" s="9">
        <f>STATS1003B!G1082/1000</f>
        <v>0</v>
      </c>
      <c r="H1033" s="9">
        <f>STATS1003B!H1082/1000</f>
        <v>2171.0540000000001</v>
      </c>
      <c r="I1033" s="9">
        <f>STATS1003B!I1082/1000</f>
        <v>0</v>
      </c>
      <c r="J1033" s="9">
        <f>STATS1003B!J1082/1000</f>
        <v>0</v>
      </c>
      <c r="K1033" s="9">
        <f>STATS1003B!K1082/1000</f>
        <v>0</v>
      </c>
      <c r="L1033" s="9">
        <f>STATS1003B!L1082/1000</f>
        <v>0</v>
      </c>
      <c r="M1033" s="9">
        <f>STATS1003B!M1082/1000</f>
        <v>2171.0540000000001</v>
      </c>
      <c r="N1033" s="9">
        <f>STATS1003B!N1082/1000</f>
        <v>0</v>
      </c>
      <c r="O1033" s="9">
        <f>STATS1003B!O1082/1000</f>
        <v>0</v>
      </c>
      <c r="P1033" s="9">
        <f>STATS1003B!P1082/1000</f>
        <v>0</v>
      </c>
      <c r="Q1033" s="9">
        <f>STATS1003B!Q1082/1000</f>
        <v>0</v>
      </c>
      <c r="R1033" s="9">
        <f>STATS1003B!R1082/1000</f>
        <v>0</v>
      </c>
      <c r="S1033" s="9">
        <f>STATS1003B!S1082/1000</f>
        <v>0</v>
      </c>
      <c r="T1033" s="9">
        <f>STATS1003B!T1082/1000</f>
        <v>0</v>
      </c>
      <c r="U1033" s="9">
        <f>STATS1003B!U1082/1000</f>
        <v>0</v>
      </c>
      <c r="V1033" s="9">
        <f>STATS1003B!V1082/1000</f>
        <v>2171.0540000000001</v>
      </c>
      <c r="W1033" s="9">
        <f>STATS1003B!W1082/1000</f>
        <v>0</v>
      </c>
      <c r="X1033" s="9">
        <f>STATS1003B!X1082/1000</f>
        <v>2171.0540000000001</v>
      </c>
      <c r="Y1033" s="9">
        <f>STATS1003B!Y1082/1000</f>
        <v>0</v>
      </c>
      <c r="Z1033" s="9">
        <f>STATS1003B!Z1082/1000</f>
        <v>0</v>
      </c>
      <c r="AA1033" s="9">
        <f>STATS1003B!AA1082/1000</f>
        <v>2171.0540000000001</v>
      </c>
      <c r="AB1033" s="9">
        <f>STATS1003B!AB1082/1000</f>
        <v>0</v>
      </c>
    </row>
    <row r="1034" spans="1:28" x14ac:dyDescent="0.35">
      <c r="A1034" s="36"/>
      <c r="B1034" s="8"/>
      <c r="C1034" s="7" t="s">
        <v>57</v>
      </c>
      <c r="D1034" s="15" t="s">
        <v>73</v>
      </c>
      <c r="E1034" s="9">
        <f>STATS1003B!E1083/1000</f>
        <v>1001</v>
      </c>
      <c r="F1034" s="9">
        <f>STATS1003B!F1083/1000</f>
        <v>1001</v>
      </c>
      <c r="G1034" s="9">
        <f>STATS1003B!G1083/1000</f>
        <v>0</v>
      </c>
      <c r="H1034" s="9">
        <f>STATS1003B!H1083/1000</f>
        <v>1001</v>
      </c>
      <c r="I1034" s="9">
        <f>STATS1003B!I1083/1000</f>
        <v>0</v>
      </c>
      <c r="J1034" s="9">
        <f>STATS1003B!J1083/1000</f>
        <v>0</v>
      </c>
      <c r="K1034" s="9">
        <f>STATS1003B!K1083/1000</f>
        <v>0</v>
      </c>
      <c r="L1034" s="9">
        <f>STATS1003B!L1083/1000</f>
        <v>0</v>
      </c>
      <c r="M1034" s="9">
        <f>STATS1003B!M1083/1000</f>
        <v>1001</v>
      </c>
      <c r="N1034" s="9">
        <f>STATS1003B!N1083/1000</f>
        <v>0</v>
      </c>
      <c r="O1034" s="9">
        <f>STATS1003B!O1083/1000</f>
        <v>0</v>
      </c>
      <c r="P1034" s="9">
        <f>STATS1003B!P1083/1000</f>
        <v>0</v>
      </c>
      <c r="Q1034" s="9">
        <f>STATS1003B!Q1083/1000</f>
        <v>0</v>
      </c>
      <c r="R1034" s="9">
        <f>STATS1003B!R1083/1000</f>
        <v>0</v>
      </c>
      <c r="S1034" s="9">
        <f>STATS1003B!S1083/1000</f>
        <v>0</v>
      </c>
      <c r="T1034" s="9">
        <f>STATS1003B!T1083/1000</f>
        <v>0</v>
      </c>
      <c r="U1034" s="9">
        <f>STATS1003B!U1083/1000</f>
        <v>0</v>
      </c>
      <c r="V1034" s="9">
        <f>STATS1003B!V1083/1000</f>
        <v>1001</v>
      </c>
      <c r="W1034" s="9">
        <f>STATS1003B!W1083/1000</f>
        <v>0</v>
      </c>
      <c r="X1034" s="9">
        <f>STATS1003B!X1083/1000</f>
        <v>1001</v>
      </c>
      <c r="Y1034" s="9">
        <f>STATS1003B!Y1083/1000</f>
        <v>0</v>
      </c>
      <c r="Z1034" s="9">
        <f>STATS1003B!Z1083/1000</f>
        <v>0</v>
      </c>
      <c r="AA1034" s="9">
        <f>STATS1003B!AA1083/1000</f>
        <v>1001</v>
      </c>
      <c r="AB1034" s="9">
        <f>STATS1003B!AB1083/1000</f>
        <v>0</v>
      </c>
    </row>
    <row r="1035" spans="1:28" x14ac:dyDescent="0.35">
      <c r="A1035" s="36"/>
      <c r="B1035" s="8"/>
      <c r="C1035" s="7" t="s">
        <v>57</v>
      </c>
      <c r="D1035" s="16" t="s">
        <v>61</v>
      </c>
      <c r="E1035" s="9">
        <f>STATS1003B!E1084/1000</f>
        <v>787.80641000000003</v>
      </c>
      <c r="F1035" s="9">
        <f>STATS1003B!F1084/1000</f>
        <v>750</v>
      </c>
      <c r="G1035" s="9">
        <f>STATS1003B!G1084/1000</f>
        <v>0</v>
      </c>
      <c r="H1035" s="9">
        <f>STATS1003B!H1084/1000</f>
        <v>750</v>
      </c>
      <c r="I1035" s="9">
        <f>STATS1003B!I1084/1000</f>
        <v>0</v>
      </c>
      <c r="J1035" s="9">
        <f>STATS1003B!J1084/1000</f>
        <v>0</v>
      </c>
      <c r="K1035" s="9">
        <f>STATS1003B!K1084/1000</f>
        <v>0</v>
      </c>
      <c r="L1035" s="9">
        <f>STATS1003B!L1084/1000</f>
        <v>0</v>
      </c>
      <c r="M1035" s="9">
        <f>STATS1003B!M1084/1000</f>
        <v>750</v>
      </c>
      <c r="N1035" s="9">
        <f>STATS1003B!N1084/1000</f>
        <v>0</v>
      </c>
      <c r="O1035" s="9">
        <f>STATS1003B!O1084/1000</f>
        <v>0</v>
      </c>
      <c r="P1035" s="9">
        <f>STATS1003B!P1084/1000</f>
        <v>0</v>
      </c>
      <c r="Q1035" s="9">
        <f>STATS1003B!Q1084/1000</f>
        <v>37.806410000000007</v>
      </c>
      <c r="R1035" s="9">
        <f>STATS1003B!R1084/1000</f>
        <v>0</v>
      </c>
      <c r="S1035" s="9">
        <f>STATS1003B!S1084/1000</f>
        <v>0</v>
      </c>
      <c r="T1035" s="9">
        <f>STATS1003B!T1084/1000</f>
        <v>37.806410000000007</v>
      </c>
      <c r="U1035" s="9">
        <f>STATS1003B!U1084/1000</f>
        <v>37.806410000000007</v>
      </c>
      <c r="V1035" s="9">
        <f>STATS1003B!V1084/1000</f>
        <v>750</v>
      </c>
      <c r="W1035" s="9">
        <f>STATS1003B!W1084/1000</f>
        <v>37.806410000000035</v>
      </c>
      <c r="X1035" s="9">
        <f>STATS1003B!X1084/1000</f>
        <v>750</v>
      </c>
      <c r="Y1035" s="9">
        <f>STATS1003B!Y1084/1000</f>
        <v>0</v>
      </c>
      <c r="Z1035" s="9">
        <f>STATS1003B!Z1084/1000</f>
        <v>37.806410000000035</v>
      </c>
      <c r="AA1035" s="9">
        <f>STATS1003B!AA1084/1000</f>
        <v>787.80641000000003</v>
      </c>
      <c r="AB1035" s="9">
        <f>STATS1003B!AB1084/1000</f>
        <v>0</v>
      </c>
    </row>
    <row r="1036" spans="1:28" x14ac:dyDescent="0.35">
      <c r="A1036" s="36"/>
      <c r="B1036" s="8"/>
      <c r="C1036" s="8"/>
      <c r="D1036" s="8"/>
      <c r="E1036" s="17" t="s">
        <v>29</v>
      </c>
      <c r="F1036" s="17" t="s">
        <v>29</v>
      </c>
      <c r="G1036" s="17" t="s">
        <v>29</v>
      </c>
      <c r="H1036" s="17" t="s">
        <v>29</v>
      </c>
      <c r="I1036" s="17" t="s">
        <v>29</v>
      </c>
      <c r="J1036" s="17" t="s">
        <v>29</v>
      </c>
      <c r="K1036" s="17" t="s">
        <v>29</v>
      </c>
      <c r="L1036" s="17" t="s">
        <v>29</v>
      </c>
      <c r="M1036" s="17" t="s">
        <v>29</v>
      </c>
      <c r="N1036" s="17" t="s">
        <v>29</v>
      </c>
      <c r="O1036" s="17" t="s">
        <v>29</v>
      </c>
      <c r="P1036" s="17" t="s">
        <v>29</v>
      </c>
      <c r="Q1036" s="17" t="s">
        <v>29</v>
      </c>
      <c r="R1036" s="17" t="s">
        <v>29</v>
      </c>
      <c r="S1036" s="17" t="s">
        <v>29</v>
      </c>
      <c r="T1036" s="17" t="s">
        <v>29</v>
      </c>
      <c r="U1036" s="17" t="s">
        <v>29</v>
      </c>
      <c r="V1036" s="17" t="s">
        <v>29</v>
      </c>
      <c r="W1036" s="17" t="s">
        <v>29</v>
      </c>
      <c r="X1036" s="17" t="s">
        <v>29</v>
      </c>
      <c r="Y1036" s="17" t="s">
        <v>29</v>
      </c>
      <c r="Z1036" s="17" t="s">
        <v>29</v>
      </c>
      <c r="AA1036" s="17" t="s">
        <v>29</v>
      </c>
      <c r="AB1036" s="17" t="s">
        <v>29</v>
      </c>
    </row>
    <row r="1037" spans="1:28" x14ac:dyDescent="0.35">
      <c r="A1037" s="36"/>
      <c r="B1037" s="8"/>
      <c r="C1037" s="8"/>
      <c r="D1037" s="8"/>
      <c r="E1037" s="9">
        <f t="shared" ref="E1037:AB1037" si="78">SUM(E1021:E1035)</f>
        <v>26893.690049999997</v>
      </c>
      <c r="F1037" s="9">
        <f t="shared" si="78"/>
        <v>21671.789749999996</v>
      </c>
      <c r="G1037" s="9">
        <f t="shared" si="78"/>
        <v>0</v>
      </c>
      <c r="H1037" s="9">
        <f t="shared" si="78"/>
        <v>21671.789749999996</v>
      </c>
      <c r="I1037" s="9">
        <f t="shared" si="78"/>
        <v>0</v>
      </c>
      <c r="J1037" s="9">
        <f t="shared" si="78"/>
        <v>0</v>
      </c>
      <c r="K1037" s="9">
        <f t="shared" si="78"/>
        <v>0</v>
      </c>
      <c r="L1037" s="9">
        <f t="shared" si="78"/>
        <v>0</v>
      </c>
      <c r="M1037" s="9">
        <f t="shared" si="78"/>
        <v>21671.789749999996</v>
      </c>
      <c r="N1037" s="9">
        <f t="shared" si="78"/>
        <v>5184.0938900000001</v>
      </c>
      <c r="O1037" s="9">
        <f t="shared" si="78"/>
        <v>0</v>
      </c>
      <c r="P1037" s="9">
        <f t="shared" si="78"/>
        <v>5184.0938900000001</v>
      </c>
      <c r="Q1037" s="9">
        <f t="shared" si="78"/>
        <v>37.806410000000007</v>
      </c>
      <c r="R1037" s="9">
        <f t="shared" si="78"/>
        <v>0</v>
      </c>
      <c r="S1037" s="9">
        <f t="shared" si="78"/>
        <v>0</v>
      </c>
      <c r="T1037" s="9">
        <f t="shared" si="78"/>
        <v>37.806410000000007</v>
      </c>
      <c r="U1037" s="9">
        <f t="shared" si="78"/>
        <v>5221.9003000000002</v>
      </c>
      <c r="V1037" s="9">
        <f t="shared" si="78"/>
        <v>21846.566089999997</v>
      </c>
      <c r="W1037" s="9">
        <f t="shared" si="78"/>
        <v>37.806410000000035</v>
      </c>
      <c r="X1037" s="9">
        <f t="shared" si="78"/>
        <v>26855.883639999996</v>
      </c>
      <c r="Y1037" s="9">
        <f t="shared" si="78"/>
        <v>0</v>
      </c>
      <c r="Z1037" s="9">
        <f t="shared" si="78"/>
        <v>37.806410000000035</v>
      </c>
      <c r="AA1037" s="9">
        <f t="shared" si="78"/>
        <v>26893.690049999997</v>
      </c>
      <c r="AB1037" s="9">
        <f t="shared" si="78"/>
        <v>0</v>
      </c>
    </row>
    <row r="1038" spans="1:28" x14ac:dyDescent="0.35">
      <c r="A1038" s="36"/>
      <c r="B1038" s="8"/>
      <c r="C1038" s="8"/>
      <c r="D1038" s="8"/>
      <c r="E1038" s="17" t="s">
        <v>29</v>
      </c>
      <c r="F1038" s="17" t="s">
        <v>29</v>
      </c>
      <c r="G1038" s="17" t="s">
        <v>29</v>
      </c>
      <c r="H1038" s="17" t="s">
        <v>29</v>
      </c>
      <c r="I1038" s="17" t="s">
        <v>29</v>
      </c>
      <c r="J1038" s="17" t="s">
        <v>29</v>
      </c>
      <c r="K1038" s="17" t="s">
        <v>29</v>
      </c>
      <c r="L1038" s="17" t="s">
        <v>29</v>
      </c>
      <c r="M1038" s="17" t="s">
        <v>29</v>
      </c>
      <c r="N1038" s="17" t="s">
        <v>29</v>
      </c>
      <c r="O1038" s="17" t="s">
        <v>29</v>
      </c>
      <c r="P1038" s="17" t="s">
        <v>29</v>
      </c>
      <c r="Q1038" s="17" t="s">
        <v>29</v>
      </c>
      <c r="R1038" s="17" t="s">
        <v>29</v>
      </c>
      <c r="S1038" s="17" t="s">
        <v>29</v>
      </c>
      <c r="T1038" s="17" t="s">
        <v>29</v>
      </c>
      <c r="U1038" s="17" t="s">
        <v>29</v>
      </c>
      <c r="V1038" s="17" t="s">
        <v>29</v>
      </c>
      <c r="W1038" s="17" t="s">
        <v>29</v>
      </c>
      <c r="X1038" s="17" t="s">
        <v>29</v>
      </c>
      <c r="Y1038" s="17" t="s">
        <v>29</v>
      </c>
      <c r="Z1038" s="17" t="s">
        <v>29</v>
      </c>
      <c r="AA1038" s="17" t="s">
        <v>29</v>
      </c>
      <c r="AB1038" s="17" t="s">
        <v>29</v>
      </c>
    </row>
    <row r="1039" spans="1:28" x14ac:dyDescent="0.35">
      <c r="A1039" s="38" t="s">
        <v>988</v>
      </c>
      <c r="B1039" s="7" t="s">
        <v>250</v>
      </c>
      <c r="C1039" s="8"/>
      <c r="D1039" s="8"/>
      <c r="E1039" s="8"/>
      <c r="F1039" s="8"/>
      <c r="G1039" s="8"/>
      <c r="H1039" s="8"/>
      <c r="I1039" s="8"/>
      <c r="J1039" s="8"/>
      <c r="K1039" s="8"/>
      <c r="L1039" s="8"/>
      <c r="M1039" s="8"/>
      <c r="N1039" s="8"/>
      <c r="O1039" s="8"/>
      <c r="P1039" s="8"/>
      <c r="Q1039" s="8"/>
      <c r="R1039" s="8"/>
      <c r="S1039" s="8"/>
      <c r="T1039" s="8"/>
      <c r="U1039" s="8"/>
      <c r="V1039" s="8"/>
      <c r="W1039" s="8"/>
      <c r="X1039" s="8"/>
      <c r="Y1039" s="8"/>
      <c r="Z1039" s="8"/>
    </row>
    <row r="1040" spans="1:28" x14ac:dyDescent="0.35">
      <c r="A1040" s="36"/>
      <c r="B1040" s="8"/>
      <c r="C1040" s="8"/>
      <c r="D1040" s="15" t="s">
        <v>251</v>
      </c>
      <c r="E1040" s="8"/>
      <c r="F1040" s="8"/>
      <c r="G1040" s="8"/>
      <c r="H1040" s="8"/>
      <c r="I1040" s="8"/>
      <c r="J1040" s="8"/>
      <c r="K1040" s="8"/>
      <c r="L1040" s="8"/>
      <c r="M1040" s="8"/>
      <c r="N1040" s="8"/>
      <c r="O1040" s="8"/>
      <c r="P1040" s="8"/>
      <c r="Q1040" s="8"/>
      <c r="R1040" s="8"/>
      <c r="S1040" s="8"/>
      <c r="T1040" s="8"/>
      <c r="U1040" s="8"/>
      <c r="V1040" s="8"/>
      <c r="W1040" s="8"/>
      <c r="X1040" s="8"/>
      <c r="Y1040" s="8"/>
      <c r="Z1040" s="8"/>
    </row>
    <row r="1041" spans="1:28" x14ac:dyDescent="0.35">
      <c r="A1041" s="36"/>
      <c r="B1041" s="8"/>
      <c r="C1041" s="7" t="s">
        <v>252</v>
      </c>
      <c r="D1041" s="14" t="s">
        <v>191</v>
      </c>
      <c r="E1041" s="9">
        <f>STATS1003B!E1090/1000</f>
        <v>25461.984629999999</v>
      </c>
      <c r="F1041" s="9">
        <f>STATS1003B!F1090/1000</f>
        <v>25305.304609999999</v>
      </c>
      <c r="G1041" s="9">
        <f>STATS1003B!G1090/1000</f>
        <v>0</v>
      </c>
      <c r="H1041" s="9">
        <f>STATS1003B!H1090/1000</f>
        <v>25305.304609999999</v>
      </c>
      <c r="I1041" s="9">
        <f>STATS1003B!I1090/1000</f>
        <v>0</v>
      </c>
      <c r="J1041" s="9">
        <f>STATS1003B!J1090/1000</f>
        <v>0</v>
      </c>
      <c r="K1041" s="9">
        <f>STATS1003B!K1090/1000</f>
        <v>0</v>
      </c>
      <c r="L1041" s="9">
        <f>STATS1003B!L1090/1000</f>
        <v>0</v>
      </c>
      <c r="M1041" s="9">
        <f>STATS1003B!M1090/1000</f>
        <v>25305.304609999999</v>
      </c>
      <c r="N1041" s="9">
        <f>STATS1003B!N1090/1000</f>
        <v>156.68001999999998</v>
      </c>
      <c r="O1041" s="9">
        <f>STATS1003B!O1090/1000</f>
        <v>0</v>
      </c>
      <c r="P1041" s="9">
        <f>STATS1003B!P1090/1000</f>
        <v>156.68001999999998</v>
      </c>
      <c r="Q1041" s="9">
        <f>STATS1003B!Q1090/1000</f>
        <v>0</v>
      </c>
      <c r="R1041" s="9">
        <f>STATS1003B!R1090/1000</f>
        <v>0</v>
      </c>
      <c r="S1041" s="9">
        <f>STATS1003B!S1090/1000</f>
        <v>0</v>
      </c>
      <c r="T1041" s="9">
        <f>STATS1003B!T1090/1000</f>
        <v>0</v>
      </c>
      <c r="U1041" s="9">
        <f>STATS1003B!U1090/1000</f>
        <v>156.68001999999998</v>
      </c>
      <c r="V1041" s="9">
        <f>STATS1003B!V1090/1000</f>
        <v>25461.984629999999</v>
      </c>
      <c r="W1041" s="9">
        <f>STATS1003B!W1090/1000</f>
        <v>0</v>
      </c>
      <c r="X1041" s="9">
        <f>STATS1003B!X1090/1000</f>
        <v>25461.984629999999</v>
      </c>
      <c r="Y1041" s="9">
        <f>STATS1003B!Y1090/1000</f>
        <v>0</v>
      </c>
      <c r="Z1041" s="9">
        <f>STATS1003B!Z1090/1000</f>
        <v>0</v>
      </c>
      <c r="AA1041" s="9">
        <f>STATS1003B!AA1090/1000</f>
        <v>25461.984629999999</v>
      </c>
      <c r="AB1041" s="9">
        <f>STATS1003B!AB1090/1000</f>
        <v>0</v>
      </c>
    </row>
    <row r="1042" spans="1:28" x14ac:dyDescent="0.35">
      <c r="A1042" s="36"/>
      <c r="B1042" s="8"/>
      <c r="C1042" s="7" t="s">
        <v>253</v>
      </c>
      <c r="D1042" s="15" t="s">
        <v>254</v>
      </c>
      <c r="E1042" s="9">
        <f>STATS1003B!E1091/1000</f>
        <v>11726.953</v>
      </c>
      <c r="F1042" s="9">
        <f>STATS1003B!F1091/1000</f>
        <v>11726.953</v>
      </c>
      <c r="G1042" s="9">
        <f>STATS1003B!G1091/1000</f>
        <v>0</v>
      </c>
      <c r="H1042" s="9">
        <f>STATS1003B!H1091/1000</f>
        <v>11726.953</v>
      </c>
      <c r="I1042" s="9">
        <f>STATS1003B!I1091/1000</f>
        <v>0</v>
      </c>
      <c r="J1042" s="9">
        <f>STATS1003B!J1091/1000</f>
        <v>0</v>
      </c>
      <c r="K1042" s="9">
        <f>STATS1003B!K1091/1000</f>
        <v>0</v>
      </c>
      <c r="L1042" s="9">
        <f>STATS1003B!L1091/1000</f>
        <v>0</v>
      </c>
      <c r="M1042" s="9">
        <f>STATS1003B!M1091/1000</f>
        <v>11726.953</v>
      </c>
      <c r="N1042" s="9">
        <f>STATS1003B!N1091/1000</f>
        <v>0</v>
      </c>
      <c r="O1042" s="9">
        <f>STATS1003B!O1091/1000</f>
        <v>0</v>
      </c>
      <c r="P1042" s="9">
        <f>STATS1003B!P1091/1000</f>
        <v>0</v>
      </c>
      <c r="Q1042" s="9">
        <f>STATS1003B!Q1091/1000</f>
        <v>0</v>
      </c>
      <c r="R1042" s="9">
        <f>STATS1003B!R1091/1000</f>
        <v>0</v>
      </c>
      <c r="S1042" s="9">
        <f>STATS1003B!S1091/1000</f>
        <v>0</v>
      </c>
      <c r="T1042" s="9">
        <f>STATS1003B!T1091/1000</f>
        <v>0</v>
      </c>
      <c r="U1042" s="9">
        <f>STATS1003B!U1091/1000</f>
        <v>0</v>
      </c>
      <c r="V1042" s="9">
        <f>STATS1003B!V1091/1000</f>
        <v>11726.953</v>
      </c>
      <c r="W1042" s="9">
        <f>STATS1003B!W1091/1000</f>
        <v>0</v>
      </c>
      <c r="X1042" s="9">
        <f>STATS1003B!X1091/1000</f>
        <v>11726.953</v>
      </c>
      <c r="Y1042" s="9">
        <f>STATS1003B!Y1091/1000</f>
        <v>0</v>
      </c>
      <c r="Z1042" s="9">
        <f>STATS1003B!Z1091/1000</f>
        <v>0</v>
      </c>
      <c r="AA1042" s="9">
        <f>STATS1003B!AA1091/1000</f>
        <v>11726.953</v>
      </c>
      <c r="AB1042" s="9">
        <f>STATS1003B!AB1091/1000</f>
        <v>0</v>
      </c>
    </row>
    <row r="1043" spans="1:28" x14ac:dyDescent="0.35">
      <c r="A1043" s="36"/>
      <c r="B1043" s="8"/>
      <c r="C1043" s="7" t="s">
        <v>255</v>
      </c>
      <c r="D1043" s="15" t="s">
        <v>218</v>
      </c>
      <c r="E1043" s="9">
        <f>STATS1003B!E1092/1000</f>
        <v>5193.9992999999995</v>
      </c>
      <c r="F1043" s="9">
        <f>STATS1003B!F1092/1000</f>
        <v>5193.9992999999995</v>
      </c>
      <c r="G1043" s="9">
        <f>STATS1003B!G1092/1000</f>
        <v>0</v>
      </c>
      <c r="H1043" s="9">
        <f>STATS1003B!H1092/1000</f>
        <v>5193.9992999999995</v>
      </c>
      <c r="I1043" s="9">
        <f>STATS1003B!I1092/1000</f>
        <v>0</v>
      </c>
      <c r="J1043" s="9">
        <f>STATS1003B!J1092/1000</f>
        <v>0</v>
      </c>
      <c r="K1043" s="9">
        <f>STATS1003B!K1092/1000</f>
        <v>0</v>
      </c>
      <c r="L1043" s="9">
        <f>STATS1003B!L1092/1000</f>
        <v>0</v>
      </c>
      <c r="M1043" s="9">
        <f>STATS1003B!M1092/1000</f>
        <v>5193.9992999999995</v>
      </c>
      <c r="N1043" s="9">
        <f>STATS1003B!N1092/1000</f>
        <v>0</v>
      </c>
      <c r="O1043" s="9">
        <f>STATS1003B!O1092/1000</f>
        <v>0</v>
      </c>
      <c r="P1043" s="9">
        <f>STATS1003B!P1092/1000</f>
        <v>0</v>
      </c>
      <c r="Q1043" s="9">
        <f>STATS1003B!Q1092/1000</f>
        <v>0</v>
      </c>
      <c r="R1043" s="9">
        <f>STATS1003B!R1092/1000</f>
        <v>0</v>
      </c>
      <c r="S1043" s="9">
        <f>STATS1003B!S1092/1000</f>
        <v>0</v>
      </c>
      <c r="T1043" s="9">
        <f>STATS1003B!T1092/1000</f>
        <v>0</v>
      </c>
      <c r="U1043" s="9">
        <f>STATS1003B!U1092/1000</f>
        <v>0</v>
      </c>
      <c r="V1043" s="9">
        <f>STATS1003B!V1092/1000</f>
        <v>5193.9992999999995</v>
      </c>
      <c r="W1043" s="9">
        <f>STATS1003B!W1092/1000</f>
        <v>0</v>
      </c>
      <c r="X1043" s="9">
        <f>STATS1003B!X1092/1000</f>
        <v>5193.9992999999995</v>
      </c>
      <c r="Y1043" s="9">
        <f>STATS1003B!Y1092/1000</f>
        <v>0</v>
      </c>
      <c r="Z1043" s="9">
        <f>STATS1003B!Z1092/1000</f>
        <v>0</v>
      </c>
      <c r="AA1043" s="9">
        <f>STATS1003B!AA1092/1000</f>
        <v>5193.9992999999995</v>
      </c>
      <c r="AB1043" s="9">
        <f>STATS1003B!AB1092/1000</f>
        <v>0</v>
      </c>
    </row>
    <row r="1044" spans="1:28" x14ac:dyDescent="0.35">
      <c r="A1044" s="36"/>
      <c r="B1044" s="8"/>
      <c r="C1044" s="7" t="s">
        <v>53</v>
      </c>
      <c r="D1044" s="15" t="s">
        <v>54</v>
      </c>
      <c r="E1044" s="9">
        <f>STATS1003B!E1093/1000</f>
        <v>1767.77</v>
      </c>
      <c r="F1044" s="9">
        <f>STATS1003B!F1093/1000</f>
        <v>0</v>
      </c>
      <c r="G1044" s="9">
        <f>STATS1003B!G1093/1000</f>
        <v>0</v>
      </c>
      <c r="H1044" s="9">
        <f>STATS1003B!H1093/1000</f>
        <v>0</v>
      </c>
      <c r="I1044" s="9">
        <f>STATS1003B!I1093/1000</f>
        <v>0</v>
      </c>
      <c r="J1044" s="9">
        <f>STATS1003B!J1093/1000</f>
        <v>0</v>
      </c>
      <c r="K1044" s="9">
        <f>STATS1003B!K1093/1000</f>
        <v>0</v>
      </c>
      <c r="L1044" s="9">
        <f>STATS1003B!L1093/1000</f>
        <v>0</v>
      </c>
      <c r="M1044" s="9">
        <f>STATS1003B!M1093/1000</f>
        <v>0</v>
      </c>
      <c r="N1044" s="9">
        <f>STATS1003B!N1093/1000</f>
        <v>1767.77</v>
      </c>
      <c r="O1044" s="9">
        <f>STATS1003B!O1093/1000</f>
        <v>0</v>
      </c>
      <c r="P1044" s="9">
        <f>STATS1003B!P1093/1000</f>
        <v>1767.77</v>
      </c>
      <c r="Q1044" s="9">
        <f>STATS1003B!Q1093/1000</f>
        <v>0</v>
      </c>
      <c r="R1044" s="9">
        <f>STATS1003B!R1093/1000</f>
        <v>0</v>
      </c>
      <c r="S1044" s="9">
        <f>STATS1003B!S1093/1000</f>
        <v>0</v>
      </c>
      <c r="T1044" s="9">
        <f>STATS1003B!T1093/1000</f>
        <v>0</v>
      </c>
      <c r="U1044" s="9">
        <f>STATS1003B!U1093/1000</f>
        <v>1767.77</v>
      </c>
      <c r="V1044" s="9">
        <f>STATS1003B!V1093/1000</f>
        <v>1767.77</v>
      </c>
      <c r="W1044" s="9">
        <f>STATS1003B!W1093/1000</f>
        <v>0</v>
      </c>
      <c r="X1044" s="9">
        <f>STATS1003B!X1093/1000</f>
        <v>1767.77</v>
      </c>
      <c r="Y1044" s="9">
        <f>STATS1003B!Y1093/1000</f>
        <v>0</v>
      </c>
      <c r="Z1044" s="9">
        <f>STATS1003B!Z1093/1000</f>
        <v>0</v>
      </c>
      <c r="AA1044" s="9">
        <f>STATS1003B!AA1093/1000</f>
        <v>1767.77</v>
      </c>
      <c r="AB1044" s="9">
        <f>STATS1003B!AB1093/1000</f>
        <v>0</v>
      </c>
    </row>
    <row r="1045" spans="1:28" x14ac:dyDescent="0.35">
      <c r="A1045" s="36"/>
      <c r="B1045" s="8"/>
      <c r="C1045" s="7" t="s">
        <v>55</v>
      </c>
      <c r="D1045" s="15" t="s">
        <v>256</v>
      </c>
      <c r="E1045" s="9">
        <f>STATS1003B!E1094/1000</f>
        <v>8117.1698499999993</v>
      </c>
      <c r="F1045" s="9">
        <f>STATS1003B!F1094/1000</f>
        <v>0</v>
      </c>
      <c r="G1045" s="9">
        <f>STATS1003B!G1094/1000</f>
        <v>0</v>
      </c>
      <c r="H1045" s="9">
        <f>STATS1003B!H1094/1000</f>
        <v>0</v>
      </c>
      <c r="I1045" s="9">
        <f>STATS1003B!I1094/1000</f>
        <v>0</v>
      </c>
      <c r="J1045" s="9">
        <f>STATS1003B!J1094/1000</f>
        <v>0</v>
      </c>
      <c r="K1045" s="9">
        <f>STATS1003B!K1094/1000</f>
        <v>0</v>
      </c>
      <c r="L1045" s="9">
        <f>STATS1003B!L1094/1000</f>
        <v>0</v>
      </c>
      <c r="M1045" s="9">
        <f>STATS1003B!M1094/1000</f>
        <v>0</v>
      </c>
      <c r="N1045" s="9">
        <f>STATS1003B!N1094/1000</f>
        <v>8117.1698499999993</v>
      </c>
      <c r="O1045" s="9">
        <f>STATS1003B!O1094/1000</f>
        <v>0</v>
      </c>
      <c r="P1045" s="9">
        <f>STATS1003B!P1094/1000</f>
        <v>8117.1698499999993</v>
      </c>
      <c r="Q1045" s="9">
        <f>STATS1003B!Q1094/1000</f>
        <v>0</v>
      </c>
      <c r="R1045" s="9">
        <f>STATS1003B!R1094/1000</f>
        <v>0</v>
      </c>
      <c r="S1045" s="9">
        <f>STATS1003B!S1094/1000</f>
        <v>0</v>
      </c>
      <c r="T1045" s="9">
        <f>STATS1003B!T1094/1000</f>
        <v>0</v>
      </c>
      <c r="U1045" s="9">
        <f>STATS1003B!U1094/1000</f>
        <v>8117.1698499999993</v>
      </c>
      <c r="V1045" s="9">
        <f>STATS1003B!V1094/1000</f>
        <v>8117.1698499999993</v>
      </c>
      <c r="W1045" s="9">
        <f>STATS1003B!W1094/1000</f>
        <v>0</v>
      </c>
      <c r="X1045" s="9">
        <f>STATS1003B!X1094/1000</f>
        <v>8117.1698499999993</v>
      </c>
      <c r="Y1045" s="9">
        <f>STATS1003B!Y1094/1000</f>
        <v>0</v>
      </c>
      <c r="Z1045" s="9">
        <f>STATS1003B!Z1094/1000</f>
        <v>0</v>
      </c>
      <c r="AA1045" s="9">
        <f>STATS1003B!AA1094/1000</f>
        <v>8117.1698499999993</v>
      </c>
      <c r="AB1045" s="9">
        <f>STATS1003B!AB1094/1000</f>
        <v>0</v>
      </c>
    </row>
    <row r="1046" spans="1:28" x14ac:dyDescent="0.35">
      <c r="A1046" s="36"/>
      <c r="B1046" s="8"/>
      <c r="C1046" s="7" t="s">
        <v>257</v>
      </c>
      <c r="D1046" s="15" t="s">
        <v>85</v>
      </c>
      <c r="E1046" s="9">
        <f>STATS1003B!E1095/1000</f>
        <v>2000</v>
      </c>
      <c r="F1046" s="9">
        <f>STATS1003B!F1095/1000</f>
        <v>2000</v>
      </c>
      <c r="G1046" s="9">
        <f>STATS1003B!G1095/1000</f>
        <v>0</v>
      </c>
      <c r="H1046" s="9">
        <f>STATS1003B!H1095/1000</f>
        <v>2000</v>
      </c>
      <c r="I1046" s="9">
        <f>STATS1003B!I1095/1000</f>
        <v>0</v>
      </c>
      <c r="J1046" s="9">
        <f>STATS1003B!J1095/1000</f>
        <v>0</v>
      </c>
      <c r="K1046" s="9">
        <f>STATS1003B!K1095/1000</f>
        <v>0</v>
      </c>
      <c r="L1046" s="9">
        <f>STATS1003B!L1095/1000</f>
        <v>0</v>
      </c>
      <c r="M1046" s="9">
        <f>STATS1003B!M1095/1000</f>
        <v>2000</v>
      </c>
      <c r="N1046" s="9">
        <f>STATS1003B!N1095/1000</f>
        <v>0</v>
      </c>
      <c r="O1046" s="9">
        <f>STATS1003B!O1095/1000</f>
        <v>0</v>
      </c>
      <c r="P1046" s="9">
        <f>STATS1003B!P1095/1000</f>
        <v>0</v>
      </c>
      <c r="Q1046" s="9">
        <f>STATS1003B!Q1095/1000</f>
        <v>0</v>
      </c>
      <c r="R1046" s="9">
        <f>STATS1003B!R1095/1000</f>
        <v>0</v>
      </c>
      <c r="S1046" s="9">
        <f>STATS1003B!S1095/1000</f>
        <v>0</v>
      </c>
      <c r="T1046" s="9">
        <f>STATS1003B!T1095/1000</f>
        <v>0</v>
      </c>
      <c r="U1046" s="9">
        <f>STATS1003B!U1095/1000</f>
        <v>0</v>
      </c>
      <c r="V1046" s="9">
        <f>STATS1003B!V1095/1000</f>
        <v>2000</v>
      </c>
      <c r="W1046" s="9">
        <f>STATS1003B!W1095/1000</f>
        <v>0</v>
      </c>
      <c r="X1046" s="9">
        <f>STATS1003B!X1095/1000</f>
        <v>2000</v>
      </c>
      <c r="Y1046" s="9">
        <f>STATS1003B!Y1095/1000</f>
        <v>0</v>
      </c>
      <c r="Z1046" s="9">
        <f>STATS1003B!Z1095/1000</f>
        <v>0</v>
      </c>
      <c r="AA1046" s="9">
        <f>STATS1003B!AA1095/1000</f>
        <v>2000</v>
      </c>
      <c r="AB1046" s="9">
        <f>STATS1003B!AB1095/1000</f>
        <v>0</v>
      </c>
    </row>
    <row r="1047" spans="1:28" x14ac:dyDescent="0.35">
      <c r="A1047" s="36"/>
      <c r="B1047" s="8"/>
      <c r="C1047" s="7" t="s">
        <v>258</v>
      </c>
      <c r="D1047" s="15" t="s">
        <v>85</v>
      </c>
      <c r="E1047" s="9">
        <f>STATS1003B!E1096/1000</f>
        <v>80</v>
      </c>
      <c r="F1047" s="9">
        <f>STATS1003B!F1096/1000</f>
        <v>80</v>
      </c>
      <c r="G1047" s="9">
        <f>STATS1003B!G1096/1000</f>
        <v>0</v>
      </c>
      <c r="H1047" s="9">
        <f>STATS1003B!H1096/1000</f>
        <v>80</v>
      </c>
      <c r="I1047" s="9">
        <f>STATS1003B!I1096/1000</f>
        <v>0</v>
      </c>
      <c r="J1047" s="9">
        <f>STATS1003B!J1096/1000</f>
        <v>0</v>
      </c>
      <c r="K1047" s="9">
        <f>STATS1003B!K1096/1000</f>
        <v>0</v>
      </c>
      <c r="L1047" s="9">
        <f>STATS1003B!L1096/1000</f>
        <v>0</v>
      </c>
      <c r="M1047" s="9">
        <f>STATS1003B!M1096/1000</f>
        <v>80</v>
      </c>
      <c r="N1047" s="9">
        <f>STATS1003B!N1096/1000</f>
        <v>0</v>
      </c>
      <c r="O1047" s="9">
        <f>STATS1003B!O1096/1000</f>
        <v>0</v>
      </c>
      <c r="P1047" s="9">
        <f>STATS1003B!P1096/1000</f>
        <v>0</v>
      </c>
      <c r="Q1047" s="9">
        <f>STATS1003B!Q1096/1000</f>
        <v>0</v>
      </c>
      <c r="R1047" s="9">
        <f>STATS1003B!R1096/1000</f>
        <v>0</v>
      </c>
      <c r="S1047" s="9">
        <f>STATS1003B!S1096/1000</f>
        <v>0</v>
      </c>
      <c r="T1047" s="9">
        <f>STATS1003B!T1096/1000</f>
        <v>0</v>
      </c>
      <c r="U1047" s="9">
        <f>STATS1003B!U1096/1000</f>
        <v>0</v>
      </c>
      <c r="V1047" s="9">
        <f>STATS1003B!V1096/1000</f>
        <v>80</v>
      </c>
      <c r="W1047" s="9">
        <f>STATS1003B!W1096/1000</f>
        <v>0</v>
      </c>
      <c r="X1047" s="9">
        <f>STATS1003B!X1096/1000</f>
        <v>80</v>
      </c>
      <c r="Y1047" s="9">
        <f>STATS1003B!Y1096/1000</f>
        <v>0</v>
      </c>
      <c r="Z1047" s="9">
        <f>STATS1003B!Z1096/1000</f>
        <v>0</v>
      </c>
      <c r="AA1047" s="9">
        <f>STATS1003B!AA1096/1000</f>
        <v>80</v>
      </c>
      <c r="AB1047" s="9">
        <f>STATS1003B!AB1096/1000</f>
        <v>0</v>
      </c>
    </row>
    <row r="1048" spans="1:28" x14ac:dyDescent="0.35">
      <c r="A1048" s="36"/>
      <c r="B1048" s="8"/>
      <c r="C1048" s="7" t="s">
        <v>87</v>
      </c>
      <c r="D1048" s="15" t="s">
        <v>88</v>
      </c>
      <c r="E1048" s="9">
        <f>STATS1003B!E1097/1000</f>
        <v>3500</v>
      </c>
      <c r="F1048" s="9">
        <f>STATS1003B!F1097/1000</f>
        <v>3500</v>
      </c>
      <c r="G1048" s="9">
        <f>STATS1003B!G1097/1000</f>
        <v>0</v>
      </c>
      <c r="H1048" s="9">
        <f>STATS1003B!H1097/1000</f>
        <v>3500</v>
      </c>
      <c r="I1048" s="9">
        <f>STATS1003B!I1097/1000</f>
        <v>0</v>
      </c>
      <c r="J1048" s="9">
        <f>STATS1003B!J1097/1000</f>
        <v>0</v>
      </c>
      <c r="K1048" s="9">
        <f>STATS1003B!K1097/1000</f>
        <v>0</v>
      </c>
      <c r="L1048" s="9">
        <f>STATS1003B!L1097/1000</f>
        <v>0</v>
      </c>
      <c r="M1048" s="9">
        <f>STATS1003B!M1097/1000</f>
        <v>3500</v>
      </c>
      <c r="N1048" s="9">
        <f>STATS1003B!N1097/1000</f>
        <v>0</v>
      </c>
      <c r="O1048" s="9">
        <f>STATS1003B!O1097/1000</f>
        <v>0</v>
      </c>
      <c r="P1048" s="9">
        <f>STATS1003B!P1097/1000</f>
        <v>0</v>
      </c>
      <c r="Q1048" s="9">
        <f>STATS1003B!Q1097/1000</f>
        <v>0</v>
      </c>
      <c r="R1048" s="9">
        <f>STATS1003B!R1097/1000</f>
        <v>0</v>
      </c>
      <c r="S1048" s="9">
        <f>STATS1003B!S1097/1000</f>
        <v>0</v>
      </c>
      <c r="T1048" s="9">
        <f>STATS1003B!T1097/1000</f>
        <v>0</v>
      </c>
      <c r="U1048" s="9">
        <f>STATS1003B!U1097/1000</f>
        <v>0</v>
      </c>
      <c r="V1048" s="9">
        <f>STATS1003B!V1097/1000</f>
        <v>3500</v>
      </c>
      <c r="W1048" s="9">
        <f>STATS1003B!W1097/1000</f>
        <v>0</v>
      </c>
      <c r="X1048" s="9">
        <f>STATS1003B!X1097/1000</f>
        <v>3500</v>
      </c>
      <c r="Y1048" s="9">
        <f>STATS1003B!Y1097/1000</f>
        <v>0</v>
      </c>
      <c r="Z1048" s="9">
        <f>STATS1003B!Z1097/1000</f>
        <v>0</v>
      </c>
      <c r="AA1048" s="9">
        <f>STATS1003B!AA1097/1000</f>
        <v>3500</v>
      </c>
      <c r="AB1048" s="9">
        <f>STATS1003B!AB1097/1000</f>
        <v>0</v>
      </c>
    </row>
    <row r="1049" spans="1:28" x14ac:dyDescent="0.35">
      <c r="A1049" s="36"/>
      <c r="B1049" s="8"/>
      <c r="C1049" s="7" t="s">
        <v>259</v>
      </c>
      <c r="D1049" s="15" t="s">
        <v>88</v>
      </c>
      <c r="E1049" s="9">
        <f>STATS1003B!E1098/1000</f>
        <v>1000</v>
      </c>
      <c r="F1049" s="9">
        <f>STATS1003B!F1098/1000</f>
        <v>1000</v>
      </c>
      <c r="G1049" s="9">
        <f>STATS1003B!G1098/1000</f>
        <v>0</v>
      </c>
      <c r="H1049" s="9">
        <f>STATS1003B!H1098/1000</f>
        <v>1000</v>
      </c>
      <c r="I1049" s="9">
        <f>STATS1003B!I1098/1000</f>
        <v>0</v>
      </c>
      <c r="J1049" s="9">
        <f>STATS1003B!J1098/1000</f>
        <v>0</v>
      </c>
      <c r="K1049" s="9">
        <f>STATS1003B!K1098/1000</f>
        <v>0</v>
      </c>
      <c r="L1049" s="9">
        <f>STATS1003B!L1098/1000</f>
        <v>0</v>
      </c>
      <c r="M1049" s="9">
        <f>STATS1003B!M1098/1000</f>
        <v>1000</v>
      </c>
      <c r="N1049" s="9">
        <f>STATS1003B!N1098/1000</f>
        <v>0</v>
      </c>
      <c r="O1049" s="9">
        <f>STATS1003B!O1098/1000</f>
        <v>0</v>
      </c>
      <c r="P1049" s="9">
        <f>STATS1003B!P1098/1000</f>
        <v>0</v>
      </c>
      <c r="Q1049" s="9">
        <f>STATS1003B!Q1098/1000</f>
        <v>0</v>
      </c>
      <c r="R1049" s="9">
        <f>STATS1003B!R1098/1000</f>
        <v>0</v>
      </c>
      <c r="S1049" s="9">
        <f>STATS1003B!S1098/1000</f>
        <v>0</v>
      </c>
      <c r="T1049" s="9">
        <f>STATS1003B!T1098/1000</f>
        <v>0</v>
      </c>
      <c r="U1049" s="9">
        <f>STATS1003B!U1098/1000</f>
        <v>0</v>
      </c>
      <c r="V1049" s="9">
        <f>STATS1003B!V1098/1000</f>
        <v>1000</v>
      </c>
      <c r="W1049" s="9">
        <f>STATS1003B!W1098/1000</f>
        <v>0</v>
      </c>
      <c r="X1049" s="9">
        <f>STATS1003B!X1098/1000</f>
        <v>1000</v>
      </c>
      <c r="Y1049" s="9">
        <f>STATS1003B!Y1098/1000</f>
        <v>0</v>
      </c>
      <c r="Z1049" s="9">
        <f>STATS1003B!Z1098/1000</f>
        <v>0</v>
      </c>
      <c r="AA1049" s="9">
        <f>STATS1003B!AA1098/1000</f>
        <v>1000</v>
      </c>
      <c r="AB1049" s="9">
        <f>STATS1003B!AB1098/1000</f>
        <v>0</v>
      </c>
    </row>
    <row r="1050" spans="1:28" x14ac:dyDescent="0.35">
      <c r="A1050" s="36"/>
      <c r="B1050" s="8"/>
      <c r="C1050" s="7" t="s">
        <v>57</v>
      </c>
      <c r="D1050" s="15" t="s">
        <v>58</v>
      </c>
      <c r="E1050" s="9">
        <f>STATS1003B!E1099/1000</f>
        <v>3000</v>
      </c>
      <c r="F1050" s="9">
        <f>STATS1003B!F1099/1000</f>
        <v>3000</v>
      </c>
      <c r="G1050" s="9">
        <f>STATS1003B!G1099/1000</f>
        <v>0</v>
      </c>
      <c r="H1050" s="9">
        <f>STATS1003B!H1099/1000</f>
        <v>3000</v>
      </c>
      <c r="I1050" s="9">
        <f>STATS1003B!I1099/1000</f>
        <v>0</v>
      </c>
      <c r="J1050" s="9">
        <f>STATS1003B!J1099/1000</f>
        <v>0</v>
      </c>
      <c r="K1050" s="9">
        <f>STATS1003B!K1099/1000</f>
        <v>0</v>
      </c>
      <c r="L1050" s="9">
        <f>STATS1003B!L1099/1000</f>
        <v>0</v>
      </c>
      <c r="M1050" s="9">
        <f>STATS1003B!M1099/1000</f>
        <v>3000</v>
      </c>
      <c r="N1050" s="9">
        <f>STATS1003B!N1099/1000</f>
        <v>0</v>
      </c>
      <c r="O1050" s="9">
        <f>STATS1003B!O1099/1000</f>
        <v>0</v>
      </c>
      <c r="P1050" s="9">
        <f>STATS1003B!P1099/1000</f>
        <v>0</v>
      </c>
      <c r="Q1050" s="9">
        <f>STATS1003B!Q1099/1000</f>
        <v>0</v>
      </c>
      <c r="R1050" s="9">
        <f>STATS1003B!R1099/1000</f>
        <v>0</v>
      </c>
      <c r="S1050" s="9">
        <f>STATS1003B!S1099/1000</f>
        <v>0</v>
      </c>
      <c r="T1050" s="9">
        <f>STATS1003B!T1099/1000</f>
        <v>0</v>
      </c>
      <c r="U1050" s="9">
        <f>STATS1003B!U1099/1000</f>
        <v>0</v>
      </c>
      <c r="V1050" s="9">
        <f>STATS1003B!V1099/1000</f>
        <v>3000</v>
      </c>
      <c r="W1050" s="9">
        <f>STATS1003B!W1099/1000</f>
        <v>0</v>
      </c>
      <c r="X1050" s="9">
        <f>STATS1003B!X1099/1000</f>
        <v>3000</v>
      </c>
      <c r="Y1050" s="9">
        <f>STATS1003B!Y1099/1000</f>
        <v>0</v>
      </c>
      <c r="Z1050" s="9">
        <f>STATS1003B!Z1099/1000</f>
        <v>0</v>
      </c>
      <c r="AA1050" s="9">
        <f>STATS1003B!AA1099/1000</f>
        <v>3000</v>
      </c>
      <c r="AB1050" s="9">
        <f>STATS1003B!AB1099/1000</f>
        <v>0</v>
      </c>
    </row>
    <row r="1051" spans="1:28" x14ac:dyDescent="0.35">
      <c r="A1051" s="36"/>
      <c r="B1051" s="8"/>
      <c r="C1051" s="14" t="s">
        <v>109</v>
      </c>
      <c r="D1051" s="21" t="s">
        <v>60</v>
      </c>
      <c r="E1051" s="9">
        <f>STATS1003B!E1100/1000</f>
        <v>5000</v>
      </c>
      <c r="F1051" s="9">
        <f>STATS1003B!F1100/1000</f>
        <v>5000</v>
      </c>
      <c r="G1051" s="9">
        <f>STATS1003B!G1100/1000</f>
        <v>0</v>
      </c>
      <c r="H1051" s="9">
        <f>STATS1003B!H1100/1000</f>
        <v>5000</v>
      </c>
      <c r="I1051" s="9">
        <f>STATS1003B!I1100/1000</f>
        <v>1498.18551</v>
      </c>
      <c r="J1051" s="9">
        <f>STATS1003B!J1100/1000</f>
        <v>1498.18551</v>
      </c>
      <c r="K1051" s="9">
        <f>STATS1003B!K1100/1000</f>
        <v>0</v>
      </c>
      <c r="L1051" s="9">
        <f>STATS1003B!L1100/1000</f>
        <v>0</v>
      </c>
      <c r="M1051" s="9">
        <f>STATS1003B!M1100/1000</f>
        <v>5000</v>
      </c>
      <c r="N1051" s="9">
        <f>STATS1003B!N1100/1000</f>
        <v>0</v>
      </c>
      <c r="O1051" s="9">
        <f>STATS1003B!O1100/1000</f>
        <v>0</v>
      </c>
      <c r="P1051" s="9">
        <f>STATS1003B!P1100/1000</f>
        <v>0</v>
      </c>
      <c r="Q1051" s="9">
        <f>STATS1003B!Q1100/1000</f>
        <v>0</v>
      </c>
      <c r="R1051" s="9">
        <f>STATS1003B!R1100/1000</f>
        <v>0</v>
      </c>
      <c r="S1051" s="9">
        <f>STATS1003B!S1100/1000</f>
        <v>0</v>
      </c>
      <c r="T1051" s="9">
        <f>STATS1003B!T1100/1000</f>
        <v>0</v>
      </c>
      <c r="U1051" s="9">
        <f>STATS1003B!U1100/1000</f>
        <v>0</v>
      </c>
      <c r="V1051" s="9">
        <f>STATS1003B!V1100/1000</f>
        <v>5000</v>
      </c>
      <c r="W1051" s="9">
        <f>STATS1003B!W1100/1000</f>
        <v>0</v>
      </c>
      <c r="X1051" s="9">
        <f>STATS1003B!X1100/1000</f>
        <v>5000</v>
      </c>
      <c r="Y1051" s="9">
        <f>STATS1003B!Y1100/1000</f>
        <v>0</v>
      </c>
      <c r="Z1051" s="9">
        <f>STATS1003B!Z1100/1000</f>
        <v>0</v>
      </c>
      <c r="AA1051" s="9">
        <f>STATS1003B!AA1100/1000</f>
        <v>5000</v>
      </c>
      <c r="AB1051" s="9">
        <f>STATS1003B!AB1100/1000</f>
        <v>0</v>
      </c>
    </row>
    <row r="1052" spans="1:28" x14ac:dyDescent="0.35">
      <c r="A1052" s="36"/>
      <c r="B1052" s="8"/>
      <c r="C1052" s="7" t="s">
        <v>122</v>
      </c>
      <c r="D1052" s="8"/>
      <c r="E1052" s="9">
        <f>STATS1003B!E1101/1000</f>
        <v>1413.7035000000001</v>
      </c>
      <c r="F1052" s="9">
        <f>STATS1003B!F1101/1000</f>
        <v>1413.7035000000001</v>
      </c>
      <c r="G1052" s="9">
        <f>STATS1003B!G1101/1000</f>
        <v>0</v>
      </c>
      <c r="H1052" s="9">
        <f>STATS1003B!H1101/1000</f>
        <v>1413.7035000000001</v>
      </c>
      <c r="I1052" s="9">
        <f>STATS1003B!I1101/1000</f>
        <v>0</v>
      </c>
      <c r="J1052" s="9">
        <f>STATS1003B!J1101/1000</f>
        <v>0</v>
      </c>
      <c r="K1052" s="9">
        <f>STATS1003B!K1101/1000</f>
        <v>0</v>
      </c>
      <c r="L1052" s="9">
        <f>STATS1003B!L1101/1000</f>
        <v>0</v>
      </c>
      <c r="M1052" s="9">
        <f>STATS1003B!M1101/1000</f>
        <v>1413.7035000000001</v>
      </c>
      <c r="N1052" s="9">
        <f>STATS1003B!N1101/1000</f>
        <v>0</v>
      </c>
      <c r="O1052" s="9">
        <f>STATS1003B!O1101/1000</f>
        <v>0</v>
      </c>
      <c r="P1052" s="9">
        <f>STATS1003B!P1101/1000</f>
        <v>0</v>
      </c>
      <c r="Q1052" s="9">
        <f>STATS1003B!Q1101/1000</f>
        <v>0</v>
      </c>
      <c r="R1052" s="9">
        <f>STATS1003B!R1101/1000</f>
        <v>0</v>
      </c>
      <c r="S1052" s="9">
        <f>STATS1003B!S1101/1000</f>
        <v>0</v>
      </c>
      <c r="T1052" s="9">
        <f>STATS1003B!T1101/1000</f>
        <v>0</v>
      </c>
      <c r="U1052" s="9">
        <f>STATS1003B!U1101/1000</f>
        <v>0</v>
      </c>
      <c r="V1052" s="9">
        <f>STATS1003B!V1101/1000</f>
        <v>1413.7035000000001</v>
      </c>
      <c r="W1052" s="9">
        <f>STATS1003B!W1101/1000</f>
        <v>0</v>
      </c>
      <c r="X1052" s="9">
        <f>STATS1003B!X1101/1000</f>
        <v>1413.7035000000001</v>
      </c>
      <c r="Y1052" s="9">
        <f>STATS1003B!Y1101/1000</f>
        <v>0</v>
      </c>
      <c r="Z1052" s="9">
        <f>STATS1003B!Z1101/1000</f>
        <v>0</v>
      </c>
      <c r="AA1052" s="9">
        <f>STATS1003B!AA1101/1000</f>
        <v>1413.7035000000001</v>
      </c>
      <c r="AB1052" s="9">
        <f>STATS1003B!AB1101/1000</f>
        <v>0</v>
      </c>
    </row>
    <row r="1053" spans="1:28" x14ac:dyDescent="0.35">
      <c r="A1053" s="36"/>
      <c r="B1053" s="8"/>
      <c r="C1053" s="7" t="s">
        <v>1078</v>
      </c>
      <c r="D1053" s="8"/>
      <c r="E1053" s="9">
        <f>STATS1003B!E1102/1000</f>
        <v>300</v>
      </c>
      <c r="F1053" s="9">
        <f>STATS1003B!F1102/1000</f>
        <v>300</v>
      </c>
      <c r="G1053" s="9">
        <f>STATS1003B!G1102/1000</f>
        <v>0</v>
      </c>
      <c r="H1053" s="9">
        <f>STATS1003B!H1102/1000</f>
        <v>300</v>
      </c>
      <c r="I1053" s="9">
        <f>STATS1003B!I1102/1000</f>
        <v>0</v>
      </c>
      <c r="J1053" s="9">
        <f>STATS1003B!J1102/1000</f>
        <v>0</v>
      </c>
      <c r="K1053" s="9">
        <f>STATS1003B!K1102/1000</f>
        <v>0</v>
      </c>
      <c r="L1053" s="9">
        <f>STATS1003B!L1102/1000</f>
        <v>0</v>
      </c>
      <c r="M1053" s="9">
        <f>STATS1003B!M1102/1000</f>
        <v>300</v>
      </c>
      <c r="N1053" s="9">
        <f>STATS1003B!N1102/1000</f>
        <v>0</v>
      </c>
      <c r="O1053" s="9">
        <f>STATS1003B!O1102/1000</f>
        <v>0</v>
      </c>
      <c r="P1053" s="9">
        <f>STATS1003B!P1102/1000</f>
        <v>0</v>
      </c>
      <c r="Q1053" s="9">
        <f>STATS1003B!Q1102/1000</f>
        <v>0</v>
      </c>
      <c r="R1053" s="9">
        <f>STATS1003B!R1102/1000</f>
        <v>0</v>
      </c>
      <c r="S1053" s="9">
        <f>STATS1003B!S1102/1000</f>
        <v>0</v>
      </c>
      <c r="T1053" s="9">
        <f>STATS1003B!T1102/1000</f>
        <v>0</v>
      </c>
      <c r="U1053" s="9">
        <f>STATS1003B!U1102/1000</f>
        <v>0</v>
      </c>
      <c r="V1053" s="9">
        <f>STATS1003B!V1102/1000</f>
        <v>300</v>
      </c>
      <c r="W1053" s="9">
        <f>STATS1003B!W1102/1000</f>
        <v>0</v>
      </c>
      <c r="X1053" s="9">
        <f>STATS1003B!X1102/1000</f>
        <v>300</v>
      </c>
      <c r="Y1053" s="9">
        <f>STATS1003B!Y1102/1000</f>
        <v>0</v>
      </c>
      <c r="Z1053" s="9">
        <f>STATS1003B!Z1102/1000</f>
        <v>0</v>
      </c>
      <c r="AA1053" s="9">
        <f>STATS1003B!AA1102/1000</f>
        <v>300</v>
      </c>
      <c r="AB1053" s="9">
        <f>STATS1003B!AB1102/1000</f>
        <v>0</v>
      </c>
    </row>
    <row r="1054" spans="1:28" x14ac:dyDescent="0.35">
      <c r="A1054" s="36"/>
      <c r="B1054" s="8"/>
      <c r="C1054" s="7" t="s">
        <v>1106</v>
      </c>
      <c r="D1054" s="23" t="s">
        <v>1072</v>
      </c>
      <c r="E1054" s="9">
        <f>STATS1003B!E1103/1000</f>
        <v>1778.7012199999999</v>
      </c>
      <c r="F1054" s="9">
        <f>STATS1003B!F1103/1000</f>
        <v>1778.7012199999999</v>
      </c>
      <c r="G1054" s="9">
        <f>STATS1003B!G1103/1000</f>
        <v>0</v>
      </c>
      <c r="H1054" s="9">
        <f>STATS1003B!H1103/1000</f>
        <v>1778.7012199999999</v>
      </c>
      <c r="I1054" s="9">
        <f>STATS1003B!I1103/1000</f>
        <v>0</v>
      </c>
      <c r="J1054" s="9">
        <f>STATS1003B!J1103/1000</f>
        <v>0</v>
      </c>
      <c r="K1054" s="9">
        <f>STATS1003B!K1103/1000</f>
        <v>0</v>
      </c>
      <c r="L1054" s="9">
        <f>STATS1003B!L1103/1000</f>
        <v>0</v>
      </c>
      <c r="M1054" s="9">
        <f>STATS1003B!M1103/1000</f>
        <v>1778.7012199999999</v>
      </c>
      <c r="N1054" s="9">
        <f>STATS1003B!N1103/1000</f>
        <v>0</v>
      </c>
      <c r="O1054" s="9">
        <f>STATS1003B!O1103/1000</f>
        <v>0</v>
      </c>
      <c r="P1054" s="9">
        <f>STATS1003B!P1103/1000</f>
        <v>0</v>
      </c>
      <c r="Q1054" s="9">
        <f>STATS1003B!Q1103/1000</f>
        <v>0</v>
      </c>
      <c r="R1054" s="9">
        <f>STATS1003B!R1103/1000</f>
        <v>0</v>
      </c>
      <c r="S1054" s="9">
        <f>STATS1003B!S1103/1000</f>
        <v>0</v>
      </c>
      <c r="T1054" s="9">
        <f>STATS1003B!T1103/1000</f>
        <v>0</v>
      </c>
      <c r="U1054" s="9">
        <f>STATS1003B!U1103/1000</f>
        <v>0</v>
      </c>
      <c r="V1054" s="9">
        <f>STATS1003B!V1103/1000</f>
        <v>1778.7012199999999</v>
      </c>
      <c r="W1054" s="9">
        <f>STATS1003B!W1103/1000</f>
        <v>0</v>
      </c>
      <c r="X1054" s="9">
        <f>STATS1003B!X1103/1000</f>
        <v>1778.7012199999999</v>
      </c>
      <c r="Y1054" s="9">
        <f>STATS1003B!Y1103/1000</f>
        <v>0</v>
      </c>
      <c r="Z1054" s="9">
        <f>STATS1003B!Z1103/1000</f>
        <v>0</v>
      </c>
      <c r="AA1054" s="9">
        <f>STATS1003B!AA1103/1000</f>
        <v>1778.7012199999999</v>
      </c>
      <c r="AB1054" s="9">
        <f>STATS1003B!AB1103/1000</f>
        <v>0</v>
      </c>
    </row>
    <row r="1055" spans="1:28" x14ac:dyDescent="0.35">
      <c r="A1055" s="36"/>
      <c r="B1055" s="8"/>
      <c r="C1055" s="7" t="s">
        <v>57</v>
      </c>
      <c r="D1055" s="23" t="s">
        <v>61</v>
      </c>
      <c r="E1055" s="9">
        <f>STATS1003B!E1105/1000</f>
        <v>742.30845999999997</v>
      </c>
      <c r="F1055" s="9">
        <f>STATS1003B!F1105/1000</f>
        <v>742.30845999999997</v>
      </c>
      <c r="G1055" s="9">
        <f>STATS1003B!G1105/1000</f>
        <v>0</v>
      </c>
      <c r="H1055" s="9">
        <f>STATS1003B!H1105/1000</f>
        <v>742.30845999999997</v>
      </c>
      <c r="I1055" s="9">
        <f>STATS1003B!I1105/1000</f>
        <v>0</v>
      </c>
      <c r="J1055" s="9">
        <f>STATS1003B!J1105/1000</f>
        <v>0</v>
      </c>
      <c r="K1055" s="9">
        <f>STATS1003B!K1105/1000</f>
        <v>0</v>
      </c>
      <c r="L1055" s="9">
        <f>STATS1003B!L1105/1000</f>
        <v>0</v>
      </c>
      <c r="M1055" s="9">
        <f>STATS1003B!M1105/1000</f>
        <v>742.30845999999997</v>
      </c>
      <c r="N1055" s="9">
        <f>STATS1003B!N1105/1000</f>
        <v>0</v>
      </c>
      <c r="O1055" s="9">
        <f>STATS1003B!O1105/1000</f>
        <v>0</v>
      </c>
      <c r="P1055" s="9">
        <f>STATS1003B!P1105/1000</f>
        <v>0</v>
      </c>
      <c r="Q1055" s="9">
        <f>STATS1003B!Q1105/1000</f>
        <v>0</v>
      </c>
      <c r="R1055" s="9">
        <f>STATS1003B!R1105/1000</f>
        <v>0</v>
      </c>
      <c r="S1055" s="9">
        <f>STATS1003B!S1105/1000</f>
        <v>0</v>
      </c>
      <c r="T1055" s="9">
        <f>STATS1003B!T1105/1000</f>
        <v>0</v>
      </c>
      <c r="U1055" s="9">
        <f>STATS1003B!U1105/1000</f>
        <v>0</v>
      </c>
      <c r="V1055" s="9">
        <f>STATS1003B!V1105/1000</f>
        <v>742.30845999999997</v>
      </c>
      <c r="W1055" s="9">
        <f>STATS1003B!W1105/1000</f>
        <v>0</v>
      </c>
      <c r="X1055" s="9">
        <f>STATS1003B!X1105/1000</f>
        <v>742.30845999999997</v>
      </c>
      <c r="Y1055" s="9">
        <f>STATS1003B!Y1105/1000</f>
        <v>0</v>
      </c>
      <c r="Z1055" s="9">
        <f>STATS1003B!Z1105/1000</f>
        <v>0</v>
      </c>
      <c r="AA1055" s="9">
        <f>STATS1003B!AA1105/1000</f>
        <v>742.30845999999997</v>
      </c>
      <c r="AB1055" s="9">
        <f>STATS1003B!AB1105/1000</f>
        <v>0</v>
      </c>
    </row>
    <row r="1056" spans="1:28" x14ac:dyDescent="0.35">
      <c r="A1056" s="36"/>
      <c r="B1056" s="8"/>
      <c r="C1056" s="8"/>
      <c r="D1056" s="8"/>
      <c r="E1056" s="17" t="s">
        <v>29</v>
      </c>
      <c r="F1056" s="17" t="s">
        <v>29</v>
      </c>
      <c r="G1056" s="17" t="s">
        <v>29</v>
      </c>
      <c r="H1056" s="17" t="s">
        <v>29</v>
      </c>
      <c r="I1056" s="17" t="s">
        <v>29</v>
      </c>
      <c r="J1056" s="17" t="s">
        <v>29</v>
      </c>
      <c r="K1056" s="17" t="s">
        <v>29</v>
      </c>
      <c r="L1056" s="17" t="s">
        <v>29</v>
      </c>
      <c r="M1056" s="17" t="s">
        <v>29</v>
      </c>
      <c r="N1056" s="17" t="s">
        <v>29</v>
      </c>
      <c r="O1056" s="17" t="s">
        <v>29</v>
      </c>
      <c r="P1056" s="17" t="s">
        <v>29</v>
      </c>
      <c r="Q1056" s="17" t="s">
        <v>29</v>
      </c>
      <c r="R1056" s="17" t="s">
        <v>29</v>
      </c>
      <c r="S1056" s="17" t="s">
        <v>29</v>
      </c>
      <c r="T1056" s="17" t="s">
        <v>29</v>
      </c>
      <c r="U1056" s="17" t="s">
        <v>29</v>
      </c>
      <c r="V1056" s="17" t="s">
        <v>29</v>
      </c>
      <c r="W1056" s="17" t="s">
        <v>29</v>
      </c>
      <c r="X1056" s="17" t="s">
        <v>29</v>
      </c>
      <c r="Y1056" s="17" t="s">
        <v>29</v>
      </c>
      <c r="Z1056" s="17" t="s">
        <v>29</v>
      </c>
      <c r="AA1056" s="17" t="s">
        <v>29</v>
      </c>
      <c r="AB1056" s="17" t="s">
        <v>29</v>
      </c>
    </row>
    <row r="1057" spans="1:28" x14ac:dyDescent="0.35">
      <c r="A1057" s="36"/>
      <c r="B1057" s="8"/>
      <c r="C1057" s="8"/>
      <c r="D1057" s="8"/>
      <c r="E1057" s="9">
        <f>SUM(E1041:E1055)</f>
        <v>71082.589959999998</v>
      </c>
      <c r="F1057" s="9">
        <f t="shared" ref="F1057:AB1057" si="79">SUM(F1041:F1055)</f>
        <v>61040.970090000003</v>
      </c>
      <c r="G1057" s="9">
        <f t="shared" si="79"/>
        <v>0</v>
      </c>
      <c r="H1057" s="9">
        <f t="shared" si="79"/>
        <v>61040.970090000003</v>
      </c>
      <c r="I1057" s="9">
        <f t="shared" si="79"/>
        <v>1498.18551</v>
      </c>
      <c r="J1057" s="9">
        <f t="shared" si="79"/>
        <v>1498.18551</v>
      </c>
      <c r="K1057" s="9">
        <f t="shared" si="79"/>
        <v>0</v>
      </c>
      <c r="L1057" s="9">
        <f t="shared" si="79"/>
        <v>0</v>
      </c>
      <c r="M1057" s="9">
        <f t="shared" si="79"/>
        <v>61040.970090000003</v>
      </c>
      <c r="N1057" s="9">
        <f t="shared" si="79"/>
        <v>10041.619869999999</v>
      </c>
      <c r="O1057" s="9">
        <f t="shared" si="79"/>
        <v>0</v>
      </c>
      <c r="P1057" s="9">
        <f t="shared" si="79"/>
        <v>10041.619869999999</v>
      </c>
      <c r="Q1057" s="9">
        <f t="shared" si="79"/>
        <v>0</v>
      </c>
      <c r="R1057" s="9">
        <f t="shared" si="79"/>
        <v>0</v>
      </c>
      <c r="S1057" s="9">
        <f t="shared" si="79"/>
        <v>0</v>
      </c>
      <c r="T1057" s="9">
        <f t="shared" si="79"/>
        <v>0</v>
      </c>
      <c r="U1057" s="9">
        <f t="shared" si="79"/>
        <v>10041.619869999999</v>
      </c>
      <c r="V1057" s="9">
        <f t="shared" si="79"/>
        <v>71082.589959999998</v>
      </c>
      <c r="W1057" s="9">
        <f t="shared" si="79"/>
        <v>0</v>
      </c>
      <c r="X1057" s="9">
        <f t="shared" si="79"/>
        <v>71082.589959999998</v>
      </c>
      <c r="Y1057" s="9">
        <f t="shared" si="79"/>
        <v>0</v>
      </c>
      <c r="Z1057" s="9">
        <f t="shared" si="79"/>
        <v>0</v>
      </c>
      <c r="AA1057" s="9">
        <f t="shared" si="79"/>
        <v>71082.589959999998</v>
      </c>
      <c r="AB1057" s="9">
        <f t="shared" si="79"/>
        <v>0</v>
      </c>
    </row>
    <row r="1058" spans="1:28" x14ac:dyDescent="0.35">
      <c r="A1058" s="36"/>
      <c r="B1058" s="8"/>
      <c r="C1058" s="8"/>
      <c r="D1058" s="8"/>
      <c r="E1058" s="17" t="s">
        <v>29</v>
      </c>
      <c r="F1058" s="17" t="s">
        <v>29</v>
      </c>
      <c r="G1058" s="17" t="s">
        <v>29</v>
      </c>
      <c r="H1058" s="17" t="s">
        <v>29</v>
      </c>
      <c r="I1058" s="17" t="s">
        <v>29</v>
      </c>
      <c r="J1058" s="17" t="s">
        <v>29</v>
      </c>
      <c r="K1058" s="17" t="s">
        <v>29</v>
      </c>
      <c r="L1058" s="17" t="s">
        <v>29</v>
      </c>
      <c r="M1058" s="17" t="s">
        <v>29</v>
      </c>
      <c r="N1058" s="17" t="s">
        <v>29</v>
      </c>
      <c r="O1058" s="17" t="s">
        <v>29</v>
      </c>
      <c r="P1058" s="17" t="s">
        <v>29</v>
      </c>
      <c r="Q1058" s="17" t="s">
        <v>29</v>
      </c>
      <c r="R1058" s="17" t="s">
        <v>29</v>
      </c>
      <c r="S1058" s="17" t="s">
        <v>29</v>
      </c>
      <c r="T1058" s="17" t="s">
        <v>29</v>
      </c>
      <c r="U1058" s="17" t="s">
        <v>29</v>
      </c>
      <c r="V1058" s="17" t="s">
        <v>29</v>
      </c>
      <c r="W1058" s="17" t="s">
        <v>29</v>
      </c>
      <c r="X1058" s="17" t="s">
        <v>29</v>
      </c>
      <c r="Y1058" s="17" t="s">
        <v>29</v>
      </c>
      <c r="Z1058" s="17" t="s">
        <v>29</v>
      </c>
      <c r="AA1058" s="17" t="s">
        <v>29</v>
      </c>
      <c r="AB1058" s="17" t="s">
        <v>29</v>
      </c>
    </row>
    <row r="1059" spans="1:28" x14ac:dyDescent="0.35">
      <c r="A1059" s="38" t="s">
        <v>989</v>
      </c>
      <c r="B1059" s="7" t="s">
        <v>260</v>
      </c>
      <c r="C1059" s="8"/>
      <c r="D1059" s="8"/>
      <c r="E1059" s="8"/>
      <c r="F1059" s="8"/>
      <c r="G1059" s="8"/>
      <c r="H1059" s="8"/>
      <c r="I1059" s="8"/>
      <c r="J1059" s="8"/>
      <c r="K1059" s="8"/>
      <c r="L1059" s="8"/>
      <c r="M1059" s="8"/>
      <c r="N1059" s="8"/>
      <c r="O1059" s="8"/>
      <c r="P1059" s="8"/>
      <c r="Q1059" s="8"/>
      <c r="R1059" s="8"/>
      <c r="S1059" s="8"/>
      <c r="T1059" s="8"/>
      <c r="U1059" s="8"/>
      <c r="V1059" s="8"/>
      <c r="W1059" s="8"/>
      <c r="X1059" s="8"/>
      <c r="Y1059" s="8"/>
      <c r="Z1059" s="8"/>
    </row>
    <row r="1060" spans="1:28" x14ac:dyDescent="0.35">
      <c r="A1060" s="36"/>
      <c r="B1060" s="8"/>
      <c r="C1060" s="7" t="s">
        <v>261</v>
      </c>
      <c r="D1060" s="15" t="s">
        <v>262</v>
      </c>
      <c r="E1060" s="9">
        <f>STATS1003B!E1110/1000</f>
        <v>10187.1</v>
      </c>
      <c r="F1060" s="9">
        <f>STATS1003B!F1110/1000</f>
        <v>10187.1</v>
      </c>
      <c r="G1060" s="9">
        <f>STATS1003B!G1110/1000</f>
        <v>0</v>
      </c>
      <c r="H1060" s="9">
        <f>STATS1003B!H1110/1000</f>
        <v>10187.1</v>
      </c>
      <c r="I1060" s="9">
        <f>STATS1003B!I1110/1000</f>
        <v>0</v>
      </c>
      <c r="J1060" s="9">
        <f>STATS1003B!J1110/1000</f>
        <v>0</v>
      </c>
      <c r="K1060" s="9">
        <f>STATS1003B!K1110/1000</f>
        <v>0</v>
      </c>
      <c r="L1060" s="9">
        <f>STATS1003B!L1110/1000</f>
        <v>0</v>
      </c>
      <c r="M1060" s="9">
        <f>STATS1003B!M1110/1000</f>
        <v>10187.1</v>
      </c>
      <c r="N1060" s="9">
        <f>STATS1003B!N1110/1000</f>
        <v>0</v>
      </c>
      <c r="O1060" s="9">
        <f>STATS1003B!O1110/1000</f>
        <v>0</v>
      </c>
      <c r="P1060" s="9">
        <f>STATS1003B!P1110/1000</f>
        <v>0</v>
      </c>
      <c r="Q1060" s="9">
        <f>STATS1003B!Q1110/1000</f>
        <v>0</v>
      </c>
      <c r="R1060" s="9">
        <f>STATS1003B!R1110/1000</f>
        <v>0</v>
      </c>
      <c r="S1060" s="9">
        <f>STATS1003B!S1110/1000</f>
        <v>0</v>
      </c>
      <c r="T1060" s="9">
        <f>STATS1003B!T1110/1000</f>
        <v>0</v>
      </c>
      <c r="U1060" s="9">
        <f>STATS1003B!U1110/1000</f>
        <v>0</v>
      </c>
      <c r="V1060" s="9">
        <f>STATS1003B!V1110/1000</f>
        <v>10187.1</v>
      </c>
      <c r="W1060" s="9">
        <f>STATS1003B!W1110/1000</f>
        <v>0</v>
      </c>
      <c r="X1060" s="9">
        <f>STATS1003B!X1110/1000</f>
        <v>10187.1</v>
      </c>
      <c r="Y1060" s="9">
        <f>STATS1003B!Y1110/1000</f>
        <v>0</v>
      </c>
      <c r="Z1060" s="9">
        <f>STATS1003B!Z1110/1000</f>
        <v>0</v>
      </c>
      <c r="AA1060" s="9">
        <f>STATS1003B!AA1110/1000</f>
        <v>10187.1</v>
      </c>
      <c r="AB1060" s="9">
        <f>STATS1003B!AB1110/1000</f>
        <v>0</v>
      </c>
    </row>
    <row r="1061" spans="1:28" x14ac:dyDescent="0.35">
      <c r="A1061" s="36"/>
      <c r="B1061" s="8"/>
      <c r="C1061" s="7" t="s">
        <v>263</v>
      </c>
      <c r="D1061" s="15" t="s">
        <v>264</v>
      </c>
      <c r="E1061" s="9">
        <f>STATS1003B!E1111/1000</f>
        <v>12754.612050000002</v>
      </c>
      <c r="F1061" s="9">
        <f>STATS1003B!F1111/1000</f>
        <v>12754.612050000002</v>
      </c>
      <c r="G1061" s="9">
        <f>STATS1003B!G1111/1000</f>
        <v>0</v>
      </c>
      <c r="H1061" s="9">
        <f>STATS1003B!H1111/1000</f>
        <v>12754.612050000002</v>
      </c>
      <c r="I1061" s="9">
        <f>STATS1003B!I1111/1000</f>
        <v>0</v>
      </c>
      <c r="J1061" s="9">
        <f>STATS1003B!J1111/1000</f>
        <v>0</v>
      </c>
      <c r="K1061" s="9">
        <f>STATS1003B!K1111/1000</f>
        <v>0</v>
      </c>
      <c r="L1061" s="9">
        <f>STATS1003B!L1111/1000</f>
        <v>0</v>
      </c>
      <c r="M1061" s="9">
        <f>STATS1003B!M1111/1000</f>
        <v>12754.612050000002</v>
      </c>
      <c r="N1061" s="9">
        <f>STATS1003B!N1111/1000</f>
        <v>0</v>
      </c>
      <c r="O1061" s="9">
        <f>STATS1003B!O1111/1000</f>
        <v>0</v>
      </c>
      <c r="P1061" s="9">
        <f>STATS1003B!P1111/1000</f>
        <v>0</v>
      </c>
      <c r="Q1061" s="9">
        <f>STATS1003B!Q1111/1000</f>
        <v>0</v>
      </c>
      <c r="R1061" s="9">
        <f>STATS1003B!R1111/1000</f>
        <v>0</v>
      </c>
      <c r="S1061" s="9">
        <f>STATS1003B!S1111/1000</f>
        <v>0</v>
      </c>
      <c r="T1061" s="9">
        <f>STATS1003B!T1111/1000</f>
        <v>0</v>
      </c>
      <c r="U1061" s="9">
        <f>STATS1003B!U1111/1000</f>
        <v>0</v>
      </c>
      <c r="V1061" s="9">
        <f>STATS1003B!V1111/1000</f>
        <v>12754.612050000002</v>
      </c>
      <c r="W1061" s="9">
        <f>STATS1003B!W1111/1000</f>
        <v>0</v>
      </c>
      <c r="X1061" s="9">
        <f>STATS1003B!X1111/1000</f>
        <v>12754.612050000002</v>
      </c>
      <c r="Y1061" s="9">
        <f>STATS1003B!Y1111/1000</f>
        <v>0</v>
      </c>
      <c r="Z1061" s="9">
        <f>STATS1003B!Z1111/1000</f>
        <v>0</v>
      </c>
      <c r="AA1061" s="9">
        <f>STATS1003B!AA1111/1000</f>
        <v>12754.612050000002</v>
      </c>
      <c r="AB1061" s="9">
        <f>STATS1003B!AB1111/1000</f>
        <v>0</v>
      </c>
    </row>
    <row r="1062" spans="1:28" x14ac:dyDescent="0.35">
      <c r="A1062" s="36"/>
      <c r="B1062" s="8"/>
      <c r="C1062" s="7" t="s">
        <v>265</v>
      </c>
      <c r="D1062" s="7" t="s">
        <v>266</v>
      </c>
      <c r="E1062" s="9">
        <f>STATS1003B!E1112/1000</f>
        <v>16331.25585</v>
      </c>
      <c r="F1062" s="9">
        <f>STATS1003B!F1112/1000</f>
        <v>16331.25585</v>
      </c>
      <c r="G1062" s="9">
        <f>STATS1003B!G1112/1000</f>
        <v>0</v>
      </c>
      <c r="H1062" s="9">
        <f>STATS1003B!H1112/1000</f>
        <v>16331.25585</v>
      </c>
      <c r="I1062" s="9">
        <f>STATS1003B!I1112/1000</f>
        <v>0</v>
      </c>
      <c r="J1062" s="9">
        <f>STATS1003B!J1112/1000</f>
        <v>0</v>
      </c>
      <c r="K1062" s="9">
        <f>STATS1003B!K1112/1000</f>
        <v>0</v>
      </c>
      <c r="L1062" s="9">
        <f>STATS1003B!L1112/1000</f>
        <v>0</v>
      </c>
      <c r="M1062" s="9">
        <f>STATS1003B!M1112/1000</f>
        <v>16331.25585</v>
      </c>
      <c r="N1062" s="9">
        <f>STATS1003B!N1112/1000</f>
        <v>0</v>
      </c>
      <c r="O1062" s="9">
        <f>STATS1003B!O1112/1000</f>
        <v>0</v>
      </c>
      <c r="P1062" s="9">
        <f>STATS1003B!P1112/1000</f>
        <v>0</v>
      </c>
      <c r="Q1062" s="9">
        <f>STATS1003B!Q1112/1000</f>
        <v>0</v>
      </c>
      <c r="R1062" s="9">
        <f>STATS1003B!R1112/1000</f>
        <v>0</v>
      </c>
      <c r="S1062" s="9">
        <f>STATS1003B!S1112/1000</f>
        <v>0</v>
      </c>
      <c r="T1062" s="9">
        <f>STATS1003B!T1112/1000</f>
        <v>0</v>
      </c>
      <c r="U1062" s="9">
        <f>STATS1003B!U1112/1000</f>
        <v>0</v>
      </c>
      <c r="V1062" s="9">
        <f>STATS1003B!V1112/1000</f>
        <v>16331.25585</v>
      </c>
      <c r="W1062" s="9">
        <f>STATS1003B!W1112/1000</f>
        <v>0</v>
      </c>
      <c r="X1062" s="9">
        <f>STATS1003B!X1112/1000</f>
        <v>16331.25585</v>
      </c>
      <c r="Y1062" s="9">
        <f>STATS1003B!Y1112/1000</f>
        <v>0</v>
      </c>
      <c r="Z1062" s="9">
        <f>STATS1003B!Z1112/1000</f>
        <v>0</v>
      </c>
      <c r="AA1062" s="9">
        <f>STATS1003B!AA1112/1000</f>
        <v>16331.25585</v>
      </c>
      <c r="AB1062" s="9">
        <f>STATS1003B!AB1112/1000</f>
        <v>0</v>
      </c>
    </row>
    <row r="1063" spans="1:28" x14ac:dyDescent="0.35">
      <c r="A1063" s="36"/>
      <c r="B1063" s="8"/>
      <c r="C1063" s="8"/>
      <c r="D1063" s="7" t="s">
        <v>267</v>
      </c>
      <c r="E1063" s="9">
        <f>STATS1003B!E1113/1000</f>
        <v>0</v>
      </c>
      <c r="F1063" s="9">
        <f>STATS1003B!F1113/1000</f>
        <v>0</v>
      </c>
      <c r="G1063" s="9">
        <f>STATS1003B!G1113/1000</f>
        <v>0</v>
      </c>
      <c r="H1063" s="9">
        <f>STATS1003B!H1113/1000</f>
        <v>0</v>
      </c>
      <c r="I1063" s="9">
        <f>STATS1003B!I1113/1000</f>
        <v>0</v>
      </c>
      <c r="J1063" s="9">
        <f>STATS1003B!J1113/1000</f>
        <v>0</v>
      </c>
      <c r="K1063" s="9">
        <f>STATS1003B!K1113/1000</f>
        <v>0</v>
      </c>
      <c r="L1063" s="9">
        <f>STATS1003B!L1113/1000</f>
        <v>0</v>
      </c>
      <c r="M1063" s="9">
        <f>STATS1003B!M1113/1000</f>
        <v>0</v>
      </c>
      <c r="N1063" s="9">
        <f>STATS1003B!N1113/1000</f>
        <v>0</v>
      </c>
      <c r="O1063" s="9">
        <f>STATS1003B!O1113/1000</f>
        <v>0</v>
      </c>
      <c r="P1063" s="9">
        <f>STATS1003B!P1113/1000</f>
        <v>0</v>
      </c>
      <c r="Q1063" s="9">
        <f>STATS1003B!Q1113/1000</f>
        <v>0</v>
      </c>
      <c r="R1063" s="9">
        <f>STATS1003B!R1113/1000</f>
        <v>0</v>
      </c>
      <c r="S1063" s="9">
        <f>STATS1003B!S1113/1000</f>
        <v>0</v>
      </c>
      <c r="T1063" s="9">
        <f>STATS1003B!T1113/1000</f>
        <v>0</v>
      </c>
      <c r="U1063" s="9">
        <f>STATS1003B!U1113/1000</f>
        <v>0</v>
      </c>
      <c r="V1063" s="9">
        <f>STATS1003B!V1113/1000</f>
        <v>0</v>
      </c>
      <c r="W1063" s="9">
        <f>STATS1003B!W1113/1000</f>
        <v>0</v>
      </c>
      <c r="X1063" s="9">
        <f>STATS1003B!X1113/1000</f>
        <v>0</v>
      </c>
      <c r="Y1063" s="9">
        <f>STATS1003B!Y1113/1000</f>
        <v>0</v>
      </c>
      <c r="Z1063" s="9">
        <f>STATS1003B!Z1113/1000</f>
        <v>0</v>
      </c>
      <c r="AA1063" s="9">
        <f>STATS1003B!AA1113/1000</f>
        <v>0</v>
      </c>
      <c r="AB1063" s="9">
        <f>STATS1003B!AB1113/1000</f>
        <v>0</v>
      </c>
    </row>
    <row r="1064" spans="1:28" x14ac:dyDescent="0.35">
      <c r="A1064" s="36"/>
      <c r="B1064" s="8"/>
      <c r="C1064" s="7" t="s">
        <v>172</v>
      </c>
      <c r="D1064" s="15" t="s">
        <v>166</v>
      </c>
      <c r="E1064" s="9">
        <f>STATS1003B!E1114/1000</f>
        <v>601.91300000000001</v>
      </c>
      <c r="F1064" s="9">
        <f>STATS1003B!F1114/1000</f>
        <v>601.91300000000001</v>
      </c>
      <c r="G1064" s="9">
        <f>STATS1003B!G1114/1000</f>
        <v>0</v>
      </c>
      <c r="H1064" s="9">
        <f>STATS1003B!H1114/1000</f>
        <v>601.91300000000001</v>
      </c>
      <c r="I1064" s="9">
        <f>STATS1003B!I1114/1000</f>
        <v>0</v>
      </c>
      <c r="J1064" s="9">
        <f>STATS1003B!J1114/1000</f>
        <v>0</v>
      </c>
      <c r="K1064" s="9">
        <f>STATS1003B!K1114/1000</f>
        <v>0</v>
      </c>
      <c r="L1064" s="9">
        <f>STATS1003B!L1114/1000</f>
        <v>0</v>
      </c>
      <c r="M1064" s="9">
        <f>STATS1003B!M1114/1000</f>
        <v>601.91300000000001</v>
      </c>
      <c r="N1064" s="9">
        <f>STATS1003B!N1114/1000</f>
        <v>0</v>
      </c>
      <c r="O1064" s="9">
        <f>STATS1003B!O1114/1000</f>
        <v>0</v>
      </c>
      <c r="P1064" s="9">
        <f>STATS1003B!P1114/1000</f>
        <v>0</v>
      </c>
      <c r="Q1064" s="9">
        <f>STATS1003B!Q1114/1000</f>
        <v>0</v>
      </c>
      <c r="R1064" s="9">
        <f>STATS1003B!R1114/1000</f>
        <v>0</v>
      </c>
      <c r="S1064" s="9">
        <f>STATS1003B!S1114/1000</f>
        <v>0</v>
      </c>
      <c r="T1064" s="9">
        <f>STATS1003B!T1114/1000</f>
        <v>0</v>
      </c>
      <c r="U1064" s="9">
        <f>STATS1003B!U1114/1000</f>
        <v>0</v>
      </c>
      <c r="V1064" s="9">
        <f>STATS1003B!V1114/1000</f>
        <v>601.91300000000001</v>
      </c>
      <c r="W1064" s="9">
        <f>STATS1003B!W1114/1000</f>
        <v>0</v>
      </c>
      <c r="X1064" s="9">
        <f>STATS1003B!X1114/1000</f>
        <v>601.91300000000001</v>
      </c>
      <c r="Y1064" s="9">
        <f>STATS1003B!Y1114/1000</f>
        <v>0</v>
      </c>
      <c r="Z1064" s="9">
        <f>STATS1003B!Z1114/1000</f>
        <v>0</v>
      </c>
      <c r="AA1064" s="9">
        <f>STATS1003B!AA1114/1000</f>
        <v>601.91300000000001</v>
      </c>
      <c r="AB1064" s="9">
        <f>STATS1003B!AB1114/1000</f>
        <v>0</v>
      </c>
    </row>
    <row r="1065" spans="1:28" x14ac:dyDescent="0.35">
      <c r="A1065" s="36"/>
      <c r="B1065" s="8"/>
      <c r="C1065" s="7" t="s">
        <v>57</v>
      </c>
      <c r="D1065" s="15" t="s">
        <v>268</v>
      </c>
      <c r="E1065" s="9">
        <f>STATS1003B!E1115/1000</f>
        <v>13035.02686</v>
      </c>
      <c r="F1065" s="9">
        <f>STATS1003B!F1115/1000</f>
        <v>12990.97</v>
      </c>
      <c r="G1065" s="9">
        <f>STATS1003B!G1115/1000</f>
        <v>0</v>
      </c>
      <c r="H1065" s="9">
        <f>STATS1003B!H1115/1000</f>
        <v>12990.97</v>
      </c>
      <c r="I1065" s="9">
        <f>STATS1003B!I1115/1000</f>
        <v>0</v>
      </c>
      <c r="J1065" s="9">
        <f>STATS1003B!J1115/1000</f>
        <v>0</v>
      </c>
      <c r="K1065" s="9">
        <f>STATS1003B!K1115/1000</f>
        <v>0</v>
      </c>
      <c r="L1065" s="9">
        <f>STATS1003B!L1115/1000</f>
        <v>0</v>
      </c>
      <c r="M1065" s="9">
        <f>STATS1003B!M1115/1000</f>
        <v>12990.97</v>
      </c>
      <c r="N1065" s="9">
        <f>STATS1003B!N1115/1000</f>
        <v>44.05686</v>
      </c>
      <c r="O1065" s="9">
        <f>STATS1003B!O1115/1000</f>
        <v>0</v>
      </c>
      <c r="P1065" s="9">
        <f>STATS1003B!P1115/1000</f>
        <v>44.05686</v>
      </c>
      <c r="Q1065" s="9">
        <f>STATS1003B!Q1115/1000</f>
        <v>0</v>
      </c>
      <c r="R1065" s="9">
        <f>STATS1003B!R1115/1000</f>
        <v>0</v>
      </c>
      <c r="S1065" s="9">
        <f>STATS1003B!S1115/1000</f>
        <v>0</v>
      </c>
      <c r="T1065" s="9">
        <f>STATS1003B!T1115/1000</f>
        <v>0</v>
      </c>
      <c r="U1065" s="9">
        <f>STATS1003B!U1115/1000</f>
        <v>44.05686</v>
      </c>
      <c r="V1065" s="9">
        <f>STATS1003B!V1115/1000</f>
        <v>13035.02686</v>
      </c>
      <c r="W1065" s="9">
        <f>STATS1003B!W1115/1000</f>
        <v>0</v>
      </c>
      <c r="X1065" s="9">
        <f>STATS1003B!X1115/1000</f>
        <v>13035.02686</v>
      </c>
      <c r="Y1065" s="9">
        <f>STATS1003B!Y1115/1000</f>
        <v>0</v>
      </c>
      <c r="Z1065" s="9">
        <f>STATS1003B!Z1115/1000</f>
        <v>0</v>
      </c>
      <c r="AA1065" s="9">
        <f>STATS1003B!AA1115/1000</f>
        <v>13035.02686</v>
      </c>
      <c r="AB1065" s="9">
        <f>STATS1003B!AB1115/1000</f>
        <v>0</v>
      </c>
    </row>
    <row r="1066" spans="1:28" x14ac:dyDescent="0.35">
      <c r="A1066" s="36"/>
      <c r="B1066" s="8"/>
      <c r="C1066" s="7" t="s">
        <v>53</v>
      </c>
      <c r="D1066" s="15" t="s">
        <v>68</v>
      </c>
      <c r="E1066" s="9">
        <f>STATS1003B!E1116/1000</f>
        <v>1767.77</v>
      </c>
      <c r="F1066" s="9">
        <f>STATS1003B!F1116/1000</f>
        <v>0</v>
      </c>
      <c r="G1066" s="9">
        <f>STATS1003B!G1116/1000</f>
        <v>0</v>
      </c>
      <c r="H1066" s="9">
        <f>STATS1003B!H1116/1000</f>
        <v>0</v>
      </c>
      <c r="I1066" s="9">
        <f>STATS1003B!I1116/1000</f>
        <v>0</v>
      </c>
      <c r="J1066" s="9">
        <f>STATS1003B!J1116/1000</f>
        <v>0</v>
      </c>
      <c r="K1066" s="9">
        <f>STATS1003B!K1116/1000</f>
        <v>0</v>
      </c>
      <c r="L1066" s="9">
        <f>STATS1003B!L1116/1000</f>
        <v>0</v>
      </c>
      <c r="M1066" s="9">
        <f>STATS1003B!M1116/1000</f>
        <v>0</v>
      </c>
      <c r="N1066" s="9">
        <f>STATS1003B!N1116/1000</f>
        <v>1767.77</v>
      </c>
      <c r="O1066" s="9">
        <f>STATS1003B!O1116/1000</f>
        <v>0</v>
      </c>
      <c r="P1066" s="9">
        <f>STATS1003B!P1116/1000</f>
        <v>1767.77</v>
      </c>
      <c r="Q1066" s="9">
        <f>STATS1003B!Q1116/1000</f>
        <v>0</v>
      </c>
      <c r="R1066" s="9">
        <f>STATS1003B!R1116/1000</f>
        <v>0</v>
      </c>
      <c r="S1066" s="9">
        <f>STATS1003B!S1116/1000</f>
        <v>0</v>
      </c>
      <c r="T1066" s="9">
        <f>STATS1003B!T1116/1000</f>
        <v>0</v>
      </c>
      <c r="U1066" s="9">
        <f>STATS1003B!U1116/1000</f>
        <v>1767.77</v>
      </c>
      <c r="V1066" s="9">
        <f>STATS1003B!V1116/1000</f>
        <v>1767.77</v>
      </c>
      <c r="W1066" s="9">
        <f>STATS1003B!W1116/1000</f>
        <v>0</v>
      </c>
      <c r="X1066" s="9">
        <f>STATS1003B!X1116/1000</f>
        <v>1767.77</v>
      </c>
      <c r="Y1066" s="9">
        <f>STATS1003B!Y1116/1000</f>
        <v>0</v>
      </c>
      <c r="Z1066" s="9">
        <f>STATS1003B!Z1116/1000</f>
        <v>0</v>
      </c>
      <c r="AA1066" s="9">
        <f>STATS1003B!AA1116/1000</f>
        <v>1767.77</v>
      </c>
      <c r="AB1066" s="9">
        <f>STATS1003B!AB1116/1000</f>
        <v>0</v>
      </c>
    </row>
    <row r="1067" spans="1:28" x14ac:dyDescent="0.35">
      <c r="A1067" s="36"/>
      <c r="B1067" s="8"/>
      <c r="C1067" s="7" t="s">
        <v>269</v>
      </c>
      <c r="D1067" s="15" t="s">
        <v>270</v>
      </c>
      <c r="E1067" s="9">
        <f>STATS1003B!E1117/1000</f>
        <v>5950</v>
      </c>
      <c r="F1067" s="9">
        <f>STATS1003B!F1117/1000</f>
        <v>5950</v>
      </c>
      <c r="G1067" s="9">
        <f>STATS1003B!G1117/1000</f>
        <v>0</v>
      </c>
      <c r="H1067" s="9">
        <f>STATS1003B!H1117/1000</f>
        <v>5950</v>
      </c>
      <c r="I1067" s="9">
        <f>STATS1003B!I1117/1000</f>
        <v>0</v>
      </c>
      <c r="J1067" s="9">
        <f>STATS1003B!J1117/1000</f>
        <v>0</v>
      </c>
      <c r="K1067" s="9">
        <f>STATS1003B!K1117/1000</f>
        <v>0</v>
      </c>
      <c r="L1067" s="9">
        <f>STATS1003B!L1117/1000</f>
        <v>0</v>
      </c>
      <c r="M1067" s="9">
        <f>STATS1003B!M1117/1000</f>
        <v>5950</v>
      </c>
      <c r="N1067" s="9">
        <f>STATS1003B!N1117/1000</f>
        <v>0</v>
      </c>
      <c r="O1067" s="9">
        <f>STATS1003B!O1117/1000</f>
        <v>0</v>
      </c>
      <c r="P1067" s="9">
        <f>STATS1003B!P1117/1000</f>
        <v>0</v>
      </c>
      <c r="Q1067" s="9">
        <f>STATS1003B!Q1117/1000</f>
        <v>0</v>
      </c>
      <c r="R1067" s="9">
        <f>STATS1003B!R1117/1000</f>
        <v>0</v>
      </c>
      <c r="S1067" s="9">
        <f>STATS1003B!S1117/1000</f>
        <v>0</v>
      </c>
      <c r="T1067" s="9">
        <f>STATS1003B!T1117/1000</f>
        <v>0</v>
      </c>
      <c r="U1067" s="9">
        <f>STATS1003B!U1117/1000</f>
        <v>0</v>
      </c>
      <c r="V1067" s="9">
        <f>STATS1003B!V1117/1000</f>
        <v>5950</v>
      </c>
      <c r="W1067" s="9">
        <f>STATS1003B!W1117/1000</f>
        <v>0</v>
      </c>
      <c r="X1067" s="9">
        <f>STATS1003B!X1117/1000</f>
        <v>5950</v>
      </c>
      <c r="Y1067" s="9">
        <f>STATS1003B!Y1117/1000</f>
        <v>0</v>
      </c>
      <c r="Z1067" s="9">
        <f>STATS1003B!Z1117/1000</f>
        <v>0</v>
      </c>
      <c r="AA1067" s="9">
        <f>STATS1003B!AA1117/1000</f>
        <v>5950</v>
      </c>
      <c r="AB1067" s="9">
        <f>STATS1003B!AB1117/1000</f>
        <v>0</v>
      </c>
    </row>
    <row r="1068" spans="1:28" x14ac:dyDescent="0.35">
      <c r="A1068" s="36"/>
      <c r="B1068" s="8"/>
      <c r="C1068" s="7" t="s">
        <v>57</v>
      </c>
      <c r="D1068" s="15" t="s">
        <v>58</v>
      </c>
      <c r="E1068" s="9">
        <f>STATS1003B!E1118/1000</f>
        <v>3254.4090000000001</v>
      </c>
      <c r="F1068" s="9">
        <f>STATS1003B!F1118/1000</f>
        <v>3254.4090000000001</v>
      </c>
      <c r="G1068" s="9">
        <f>STATS1003B!G1118/1000</f>
        <v>0</v>
      </c>
      <c r="H1068" s="9">
        <f>STATS1003B!H1118/1000</f>
        <v>3254.4090000000001</v>
      </c>
      <c r="I1068" s="9">
        <f>STATS1003B!I1118/1000</f>
        <v>0</v>
      </c>
      <c r="J1068" s="9">
        <f>STATS1003B!J1118/1000</f>
        <v>0</v>
      </c>
      <c r="K1068" s="9">
        <f>STATS1003B!K1118/1000</f>
        <v>0</v>
      </c>
      <c r="L1068" s="9">
        <f>STATS1003B!L1118/1000</f>
        <v>0</v>
      </c>
      <c r="M1068" s="9">
        <f>STATS1003B!M1118/1000</f>
        <v>3254.4090000000001</v>
      </c>
      <c r="N1068" s="9">
        <f>STATS1003B!N1118/1000</f>
        <v>0</v>
      </c>
      <c r="O1068" s="9">
        <f>STATS1003B!O1118/1000</f>
        <v>0</v>
      </c>
      <c r="P1068" s="9">
        <f>STATS1003B!P1118/1000</f>
        <v>0</v>
      </c>
      <c r="Q1068" s="9">
        <f>STATS1003B!Q1118/1000</f>
        <v>0</v>
      </c>
      <c r="R1068" s="9">
        <f>STATS1003B!R1118/1000</f>
        <v>0</v>
      </c>
      <c r="S1068" s="9">
        <f>STATS1003B!S1118/1000</f>
        <v>0</v>
      </c>
      <c r="T1068" s="9">
        <f>STATS1003B!T1118/1000</f>
        <v>0</v>
      </c>
      <c r="U1068" s="9">
        <f>STATS1003B!U1118/1000</f>
        <v>0</v>
      </c>
      <c r="V1068" s="9">
        <f>STATS1003B!V1118/1000</f>
        <v>3254.4090000000001</v>
      </c>
      <c r="W1068" s="9">
        <f>STATS1003B!W1118/1000</f>
        <v>0</v>
      </c>
      <c r="X1068" s="9">
        <f>STATS1003B!X1118/1000</f>
        <v>3254.4090000000001</v>
      </c>
      <c r="Y1068" s="9">
        <f>STATS1003B!Y1118/1000</f>
        <v>0</v>
      </c>
      <c r="Z1068" s="9">
        <f>STATS1003B!Z1118/1000</f>
        <v>0</v>
      </c>
      <c r="AA1068" s="9">
        <f>STATS1003B!AA1118/1000</f>
        <v>3254.4090000000001</v>
      </c>
      <c r="AB1068" s="9">
        <f>STATS1003B!AB1118/1000</f>
        <v>0</v>
      </c>
    </row>
    <row r="1069" spans="1:28" x14ac:dyDescent="0.35">
      <c r="A1069" s="36"/>
      <c r="B1069" s="8"/>
      <c r="C1069" s="7" t="s">
        <v>57</v>
      </c>
      <c r="D1069" s="15" t="s">
        <v>60</v>
      </c>
      <c r="E1069" s="9">
        <f>STATS1003B!E1119/1000</f>
        <v>8844.6924799999997</v>
      </c>
      <c r="F1069" s="9">
        <f>STATS1003B!F1119/1000</f>
        <v>8844.6924799999997</v>
      </c>
      <c r="G1069" s="9">
        <f>STATS1003B!G1119/1000</f>
        <v>0</v>
      </c>
      <c r="H1069" s="9">
        <f>STATS1003B!H1119/1000</f>
        <v>8844.6924799999997</v>
      </c>
      <c r="I1069" s="9">
        <f>STATS1003B!I1119/1000</f>
        <v>0</v>
      </c>
      <c r="J1069" s="9">
        <f>STATS1003B!J1119/1000</f>
        <v>0</v>
      </c>
      <c r="K1069" s="9">
        <f>STATS1003B!K1119/1000</f>
        <v>0</v>
      </c>
      <c r="L1069" s="9">
        <f>STATS1003B!L1119/1000</f>
        <v>0</v>
      </c>
      <c r="M1069" s="9">
        <f>STATS1003B!M1119/1000</f>
        <v>8844.6924799999997</v>
      </c>
      <c r="N1069" s="9">
        <f>STATS1003B!N1119/1000</f>
        <v>0</v>
      </c>
      <c r="O1069" s="9">
        <f>STATS1003B!O1119/1000</f>
        <v>0</v>
      </c>
      <c r="P1069" s="9">
        <f>STATS1003B!P1119/1000</f>
        <v>0</v>
      </c>
      <c r="Q1069" s="9">
        <f>STATS1003B!Q1119/1000</f>
        <v>0</v>
      </c>
      <c r="R1069" s="9">
        <f>STATS1003B!R1119/1000</f>
        <v>0</v>
      </c>
      <c r="S1069" s="9">
        <f>STATS1003B!S1119/1000</f>
        <v>0</v>
      </c>
      <c r="T1069" s="9">
        <f>STATS1003B!T1119/1000</f>
        <v>0</v>
      </c>
      <c r="U1069" s="9">
        <f>STATS1003B!U1119/1000</f>
        <v>0</v>
      </c>
      <c r="V1069" s="9">
        <f>STATS1003B!V1119/1000</f>
        <v>8844.6924799999997</v>
      </c>
      <c r="W1069" s="9">
        <f>STATS1003B!W1119/1000</f>
        <v>0</v>
      </c>
      <c r="X1069" s="9">
        <f>STATS1003B!X1119/1000</f>
        <v>8844.6924799999997</v>
      </c>
      <c r="Y1069" s="9">
        <f>STATS1003B!Y1119/1000</f>
        <v>0</v>
      </c>
      <c r="Z1069" s="9">
        <f>STATS1003B!Z1119/1000</f>
        <v>0</v>
      </c>
      <c r="AA1069" s="9">
        <f>STATS1003B!AA1119/1000</f>
        <v>8844.6924799999997</v>
      </c>
      <c r="AB1069" s="9">
        <f>STATS1003B!AB1119/1000</f>
        <v>0</v>
      </c>
    </row>
    <row r="1070" spans="1:28" x14ac:dyDescent="0.35">
      <c r="A1070" s="36"/>
      <c r="B1070" s="8"/>
      <c r="C1070" s="14" t="s">
        <v>109</v>
      </c>
      <c r="D1070" s="21" t="s">
        <v>60</v>
      </c>
      <c r="E1070" s="9">
        <f>STATS1003B!E1120/1000</f>
        <v>6692.3680000000004</v>
      </c>
      <c r="F1070" s="9">
        <f>STATS1003B!F1120/1000</f>
        <v>6692.3680000000004</v>
      </c>
      <c r="G1070" s="9">
        <f>STATS1003B!G1120/1000</f>
        <v>0</v>
      </c>
      <c r="H1070" s="9">
        <f>STATS1003B!H1120/1000</f>
        <v>6692.3680000000004</v>
      </c>
      <c r="I1070" s="9">
        <f>STATS1003B!I1120/1000</f>
        <v>0</v>
      </c>
      <c r="J1070" s="9">
        <f>STATS1003B!J1120/1000</f>
        <v>0</v>
      </c>
      <c r="K1070" s="9">
        <f>STATS1003B!K1120/1000</f>
        <v>0</v>
      </c>
      <c r="L1070" s="9">
        <f>STATS1003B!L1120/1000</f>
        <v>0</v>
      </c>
      <c r="M1070" s="9">
        <f>STATS1003B!M1120/1000</f>
        <v>6692.3680000000004</v>
      </c>
      <c r="N1070" s="9">
        <f>STATS1003B!N1120/1000</f>
        <v>0</v>
      </c>
      <c r="O1070" s="9">
        <f>STATS1003B!O1120/1000</f>
        <v>0</v>
      </c>
      <c r="P1070" s="9">
        <f>STATS1003B!P1120/1000</f>
        <v>0</v>
      </c>
      <c r="Q1070" s="9">
        <f>STATS1003B!Q1120/1000</f>
        <v>0</v>
      </c>
      <c r="R1070" s="9">
        <f>STATS1003B!R1120/1000</f>
        <v>0</v>
      </c>
      <c r="S1070" s="9">
        <f>STATS1003B!S1120/1000</f>
        <v>0</v>
      </c>
      <c r="T1070" s="9">
        <f>STATS1003B!T1120/1000</f>
        <v>0</v>
      </c>
      <c r="U1070" s="9">
        <f>STATS1003B!U1120/1000</f>
        <v>0</v>
      </c>
      <c r="V1070" s="9">
        <f>STATS1003B!V1120/1000</f>
        <v>6692.3680000000004</v>
      </c>
      <c r="W1070" s="9">
        <f>STATS1003B!W1120/1000</f>
        <v>0</v>
      </c>
      <c r="X1070" s="9">
        <f>STATS1003B!X1120/1000</f>
        <v>6692.3680000000004</v>
      </c>
      <c r="Y1070" s="9">
        <f>STATS1003B!Y1120/1000</f>
        <v>0</v>
      </c>
      <c r="Z1070" s="9">
        <f>STATS1003B!Z1120/1000</f>
        <v>0</v>
      </c>
      <c r="AA1070" s="9">
        <f>STATS1003B!AA1120/1000</f>
        <v>6692.3680000000004</v>
      </c>
      <c r="AB1070" s="9">
        <f>STATS1003B!AB1120/1000</f>
        <v>0</v>
      </c>
    </row>
    <row r="1071" spans="1:28" x14ac:dyDescent="0.35">
      <c r="A1071" s="36"/>
      <c r="B1071" s="8"/>
      <c r="C1071" s="14" t="s">
        <v>95</v>
      </c>
      <c r="D1071" s="21" t="s">
        <v>73</v>
      </c>
      <c r="E1071" s="9">
        <f>STATS1003B!E1121/1000</f>
        <v>7518.8209799999995</v>
      </c>
      <c r="F1071" s="9">
        <f>STATS1003B!F1121/1000</f>
        <v>5604.5119999999997</v>
      </c>
      <c r="G1071" s="9">
        <f>STATS1003B!G1121/1000</f>
        <v>0</v>
      </c>
      <c r="H1071" s="9">
        <f>STATS1003B!H1121/1000</f>
        <v>5604.5119999999997</v>
      </c>
      <c r="I1071" s="9">
        <f>STATS1003B!I1121/1000</f>
        <v>0</v>
      </c>
      <c r="J1071" s="9">
        <f>STATS1003B!J1121/1000</f>
        <v>0</v>
      </c>
      <c r="K1071" s="9">
        <f>STATS1003B!K1121/1000</f>
        <v>0</v>
      </c>
      <c r="L1071" s="9">
        <f>STATS1003B!L1121/1000</f>
        <v>0</v>
      </c>
      <c r="M1071" s="9">
        <f>STATS1003B!M1121/1000</f>
        <v>5604.5119999999997</v>
      </c>
      <c r="N1071" s="9">
        <f>STATS1003B!N1121/1000</f>
        <v>1914.30898</v>
      </c>
      <c r="O1071" s="9">
        <f>STATS1003B!O1121/1000</f>
        <v>0</v>
      </c>
      <c r="P1071" s="9">
        <f>STATS1003B!P1121/1000</f>
        <v>1914.30898</v>
      </c>
      <c r="Q1071" s="9">
        <f>STATS1003B!Q1121/1000</f>
        <v>0</v>
      </c>
      <c r="R1071" s="9">
        <f>STATS1003B!R1121/1000</f>
        <v>0</v>
      </c>
      <c r="S1071" s="9">
        <f>STATS1003B!S1121/1000</f>
        <v>0</v>
      </c>
      <c r="T1071" s="9">
        <f>STATS1003B!T1121/1000</f>
        <v>0</v>
      </c>
      <c r="U1071" s="9">
        <f>STATS1003B!U1121/1000</f>
        <v>1914.30898</v>
      </c>
      <c r="V1071" s="9">
        <f>STATS1003B!V1121/1000</f>
        <v>7518.8209800000004</v>
      </c>
      <c r="W1071" s="9">
        <f>STATS1003B!W1121/1000</f>
        <v>0</v>
      </c>
      <c r="X1071" s="9">
        <f>STATS1003B!X1121/1000</f>
        <v>7518.8209800000004</v>
      </c>
      <c r="Y1071" s="9">
        <f>STATS1003B!Y1121/1000</f>
        <v>0</v>
      </c>
      <c r="Z1071" s="9">
        <f>STATS1003B!Z1121/1000</f>
        <v>0</v>
      </c>
      <c r="AA1071" s="9">
        <f>STATS1003B!AA1121/1000</f>
        <v>7518.8209800000004</v>
      </c>
      <c r="AB1071" s="9">
        <f>STATS1003B!AB1121/1000</f>
        <v>0</v>
      </c>
    </row>
    <row r="1072" spans="1:28" x14ac:dyDescent="0.35">
      <c r="A1072" s="36"/>
      <c r="B1072" s="8"/>
      <c r="C1072" s="7" t="s">
        <v>57</v>
      </c>
      <c r="D1072" s="21" t="s">
        <v>73</v>
      </c>
      <c r="E1072" s="9">
        <f>STATS1003B!E1122/1000</f>
        <v>15459.760549999999</v>
      </c>
      <c r="F1072" s="9">
        <f>STATS1003B!F1122/1000</f>
        <v>15459.760549999999</v>
      </c>
      <c r="G1072" s="9">
        <f>STATS1003B!G1122/1000</f>
        <v>0</v>
      </c>
      <c r="H1072" s="9">
        <f>STATS1003B!H1122/1000</f>
        <v>15459.760549999999</v>
      </c>
      <c r="I1072" s="9">
        <f>STATS1003B!I1122/1000</f>
        <v>0</v>
      </c>
      <c r="J1072" s="9">
        <f>STATS1003B!J1122/1000</f>
        <v>0</v>
      </c>
      <c r="K1072" s="9">
        <f>STATS1003B!K1122/1000</f>
        <v>0</v>
      </c>
      <c r="L1072" s="9">
        <f>STATS1003B!L1122/1000</f>
        <v>0</v>
      </c>
      <c r="M1072" s="9">
        <f>STATS1003B!M1122/1000</f>
        <v>15459.760549999999</v>
      </c>
      <c r="N1072" s="9">
        <f>STATS1003B!N1122/1000</f>
        <v>0</v>
      </c>
      <c r="O1072" s="9">
        <f>STATS1003B!O1122/1000</f>
        <v>0</v>
      </c>
      <c r="P1072" s="9">
        <f>STATS1003B!P1122/1000</f>
        <v>0</v>
      </c>
      <c r="Q1072" s="9">
        <f>STATS1003B!Q1122/1000</f>
        <v>0</v>
      </c>
      <c r="R1072" s="9">
        <f>STATS1003B!R1122/1000</f>
        <v>0</v>
      </c>
      <c r="S1072" s="9">
        <f>STATS1003B!S1122/1000</f>
        <v>0</v>
      </c>
      <c r="T1072" s="9">
        <f>STATS1003B!T1122/1000</f>
        <v>0</v>
      </c>
      <c r="U1072" s="9">
        <f>STATS1003B!U1122/1000</f>
        <v>0</v>
      </c>
      <c r="V1072" s="9">
        <f>STATS1003B!V1122/1000</f>
        <v>15459.760549999999</v>
      </c>
      <c r="W1072" s="9">
        <f>STATS1003B!W1122/1000</f>
        <v>0</v>
      </c>
      <c r="X1072" s="9">
        <f>STATS1003B!X1122/1000</f>
        <v>15459.760549999999</v>
      </c>
      <c r="Y1072" s="9">
        <f>STATS1003B!Y1122/1000</f>
        <v>0</v>
      </c>
      <c r="Z1072" s="9">
        <f>STATS1003B!Z1122/1000</f>
        <v>0</v>
      </c>
      <c r="AA1072" s="9">
        <f>STATS1003B!AA1122/1000</f>
        <v>15459.760549999999</v>
      </c>
      <c r="AB1072" s="9">
        <f>STATS1003B!AB1122/1000</f>
        <v>0</v>
      </c>
    </row>
    <row r="1073" spans="1:28" x14ac:dyDescent="0.35">
      <c r="A1073" s="36"/>
      <c r="B1073" s="8"/>
      <c r="C1073" s="7" t="str">
        <f>+C1072</f>
        <v xml:space="preserve">  EXPANSION</v>
      </c>
      <c r="D1073" s="24" t="s">
        <v>61</v>
      </c>
      <c r="E1073" s="9">
        <f>STATS1003B!E1123/1000</f>
        <v>10058.50115</v>
      </c>
      <c r="F1073" s="9">
        <f>STATS1003B!F1123/1000</f>
        <v>10058.50115</v>
      </c>
      <c r="G1073" s="9">
        <f>STATS1003B!G1123/1000</f>
        <v>0</v>
      </c>
      <c r="H1073" s="9">
        <f>STATS1003B!H1123/1000</f>
        <v>10058.50115</v>
      </c>
      <c r="I1073" s="9">
        <f>STATS1003B!I1123/1000</f>
        <v>0</v>
      </c>
      <c r="J1073" s="9">
        <f>STATS1003B!J1123/1000</f>
        <v>0</v>
      </c>
      <c r="K1073" s="9">
        <f>STATS1003B!K1123/1000</f>
        <v>0</v>
      </c>
      <c r="L1073" s="9">
        <f>STATS1003B!L1123/1000</f>
        <v>0</v>
      </c>
      <c r="M1073" s="9">
        <f>STATS1003B!M1123/1000</f>
        <v>10058.50115</v>
      </c>
      <c r="N1073" s="9">
        <f>STATS1003B!N1123/1000</f>
        <v>0</v>
      </c>
      <c r="O1073" s="9">
        <f>STATS1003B!O1123/1000</f>
        <v>0</v>
      </c>
      <c r="P1073" s="9">
        <f>STATS1003B!P1123/1000</f>
        <v>0</v>
      </c>
      <c r="Q1073" s="9">
        <f>STATS1003B!Q1123/1000</f>
        <v>0</v>
      </c>
      <c r="R1073" s="9">
        <f>STATS1003B!R1123/1000</f>
        <v>0</v>
      </c>
      <c r="S1073" s="9">
        <f>STATS1003B!S1123/1000</f>
        <v>0</v>
      </c>
      <c r="T1073" s="9">
        <f>STATS1003B!T1123/1000</f>
        <v>0</v>
      </c>
      <c r="U1073" s="9">
        <f>STATS1003B!U1123/1000</f>
        <v>0</v>
      </c>
      <c r="V1073" s="9">
        <f>STATS1003B!V1123/1000</f>
        <v>10058.50115</v>
      </c>
      <c r="W1073" s="9">
        <f>STATS1003B!W1123/1000</f>
        <v>0</v>
      </c>
      <c r="X1073" s="9">
        <f>STATS1003B!X1123/1000</f>
        <v>10058.50115</v>
      </c>
      <c r="Y1073" s="9">
        <f>STATS1003B!Y1123/1000</f>
        <v>0</v>
      </c>
      <c r="Z1073" s="9">
        <f>STATS1003B!Z1123/1000</f>
        <v>0</v>
      </c>
      <c r="AA1073" s="9">
        <f>STATS1003B!AA1123/1000</f>
        <v>10058.50115</v>
      </c>
      <c r="AB1073" s="9">
        <f>STATS1003B!AB1123/1000</f>
        <v>0</v>
      </c>
    </row>
    <row r="1074" spans="1:28" x14ac:dyDescent="0.35">
      <c r="A1074" s="36"/>
      <c r="B1074" s="8"/>
      <c r="C1074" s="7" t="s">
        <v>924</v>
      </c>
      <c r="D1074" s="24" t="s">
        <v>1072</v>
      </c>
      <c r="E1074" s="9">
        <f>STATS1003B!E1124/1000</f>
        <v>6334.7876200000001</v>
      </c>
      <c r="F1074" s="9">
        <f>STATS1003B!F1124/1000</f>
        <v>6334.7876200000001</v>
      </c>
      <c r="G1074" s="9">
        <f>STATS1003B!G1124/1000</f>
        <v>0</v>
      </c>
      <c r="H1074" s="9">
        <f>STATS1003B!H1124/1000</f>
        <v>6334.7876200000001</v>
      </c>
      <c r="I1074" s="9">
        <f>STATS1003B!I1124/1000</f>
        <v>0</v>
      </c>
      <c r="J1074" s="9">
        <f>STATS1003B!J1124/1000</f>
        <v>0</v>
      </c>
      <c r="K1074" s="9">
        <f>STATS1003B!K1124/1000</f>
        <v>0</v>
      </c>
      <c r="L1074" s="9">
        <f>STATS1003B!L1124/1000</f>
        <v>0</v>
      </c>
      <c r="M1074" s="9">
        <f>STATS1003B!M1124/1000</f>
        <v>6334.7876200000001</v>
      </c>
      <c r="N1074" s="9">
        <f>STATS1003B!N1124/1000</f>
        <v>0</v>
      </c>
      <c r="O1074" s="9">
        <f>STATS1003B!O1124/1000</f>
        <v>0</v>
      </c>
      <c r="P1074" s="9">
        <f>STATS1003B!P1124/1000</f>
        <v>0</v>
      </c>
      <c r="Q1074" s="9">
        <f>STATS1003B!Q1124/1000</f>
        <v>0</v>
      </c>
      <c r="R1074" s="9">
        <f>STATS1003B!R1124/1000</f>
        <v>0</v>
      </c>
      <c r="S1074" s="9">
        <f>STATS1003B!S1124/1000</f>
        <v>0</v>
      </c>
      <c r="T1074" s="9">
        <f>STATS1003B!T1124/1000</f>
        <v>0</v>
      </c>
      <c r="U1074" s="9">
        <f>STATS1003B!U1124/1000</f>
        <v>0</v>
      </c>
      <c r="V1074" s="9">
        <f>STATS1003B!V1124/1000</f>
        <v>0</v>
      </c>
      <c r="W1074" s="9">
        <f>STATS1003B!W1124/1000</f>
        <v>0</v>
      </c>
      <c r="X1074" s="9">
        <f>STATS1003B!X1124/1000</f>
        <v>6334.7876200000001</v>
      </c>
      <c r="Y1074" s="9">
        <f>STATS1003B!Y1124/1000</f>
        <v>0</v>
      </c>
      <c r="Z1074" s="9">
        <f>STATS1003B!Z1124/1000</f>
        <v>0</v>
      </c>
      <c r="AA1074" s="9">
        <f>STATS1003B!AA1124/1000</f>
        <v>6334.7876200000001</v>
      </c>
      <c r="AB1074" s="9">
        <f>STATS1003B!AB1124/1000</f>
        <v>0</v>
      </c>
    </row>
    <row r="1075" spans="1:28" x14ac:dyDescent="0.35">
      <c r="A1075" s="36"/>
      <c r="B1075" s="8"/>
      <c r="C1075" s="7" t="s">
        <v>930</v>
      </c>
      <c r="D1075" s="24" t="s">
        <v>1072</v>
      </c>
      <c r="E1075" s="9">
        <f>STATS1003B!E1125/1000</f>
        <v>4346.0541800000001</v>
      </c>
      <c r="F1075" s="9">
        <f>STATS1003B!F1125/1000</f>
        <v>4346.0541800000001</v>
      </c>
      <c r="G1075" s="9">
        <f>STATS1003B!G1125/1000</f>
        <v>0</v>
      </c>
      <c r="H1075" s="9">
        <f>STATS1003B!H1125/1000</f>
        <v>4346.0541800000001</v>
      </c>
      <c r="I1075" s="9">
        <f>STATS1003B!I1125/1000</f>
        <v>0</v>
      </c>
      <c r="J1075" s="9">
        <f>STATS1003B!J1125/1000</f>
        <v>0</v>
      </c>
      <c r="K1075" s="9">
        <f>STATS1003B!K1125/1000</f>
        <v>0</v>
      </c>
      <c r="L1075" s="9">
        <f>STATS1003B!L1125/1000</f>
        <v>0</v>
      </c>
      <c r="M1075" s="9">
        <f>STATS1003B!M1125/1000</f>
        <v>4346.0541800000001</v>
      </c>
      <c r="N1075" s="9">
        <f>STATS1003B!N1125/1000</f>
        <v>0</v>
      </c>
      <c r="O1075" s="9">
        <f>STATS1003B!O1125/1000</f>
        <v>0</v>
      </c>
      <c r="P1075" s="9">
        <f>STATS1003B!P1125/1000</f>
        <v>0</v>
      </c>
      <c r="Q1075" s="9">
        <f>STATS1003B!Q1125/1000</f>
        <v>0</v>
      </c>
      <c r="R1075" s="9">
        <f>STATS1003B!R1125/1000</f>
        <v>0</v>
      </c>
      <c r="S1075" s="9">
        <f>STATS1003B!S1125/1000</f>
        <v>0</v>
      </c>
      <c r="T1075" s="9">
        <f>STATS1003B!T1125/1000</f>
        <v>0</v>
      </c>
      <c r="U1075" s="9">
        <f>STATS1003B!U1125/1000</f>
        <v>0</v>
      </c>
      <c r="V1075" s="9">
        <f>STATS1003B!V1125/1000</f>
        <v>0</v>
      </c>
      <c r="W1075" s="9">
        <f>STATS1003B!W1125/1000</f>
        <v>0</v>
      </c>
      <c r="X1075" s="9">
        <f>STATS1003B!X1125/1000</f>
        <v>4346.0541800000001</v>
      </c>
      <c r="Y1075" s="9">
        <f>STATS1003B!Y1125/1000</f>
        <v>0</v>
      </c>
      <c r="Z1075" s="9">
        <f>STATS1003B!Z1125/1000</f>
        <v>0</v>
      </c>
      <c r="AA1075" s="9">
        <f>STATS1003B!AA1125/1000</f>
        <v>4346.0541800000001</v>
      </c>
      <c r="AB1075" s="9">
        <f>STATS1003B!AB1125/1000</f>
        <v>0</v>
      </c>
    </row>
    <row r="1076" spans="1:28" x14ac:dyDescent="0.35">
      <c r="A1076" s="36"/>
      <c r="B1076" s="8"/>
      <c r="C1076" s="7" t="s">
        <v>1079</v>
      </c>
      <c r="D1076" s="24" t="s">
        <v>1072</v>
      </c>
      <c r="E1076" s="9">
        <f>STATS1003B!E1126/1000</f>
        <v>6757.2870800000001</v>
      </c>
      <c r="F1076" s="9">
        <f>STATS1003B!F1126/1000</f>
        <v>6757.2870800000001</v>
      </c>
      <c r="G1076" s="9">
        <f>STATS1003B!G1126/1000</f>
        <v>0</v>
      </c>
      <c r="H1076" s="9">
        <f>STATS1003B!H1126/1000</f>
        <v>6757.2870800000001</v>
      </c>
      <c r="I1076" s="9">
        <f>STATS1003B!I1126/1000</f>
        <v>0</v>
      </c>
      <c r="J1076" s="9">
        <f>STATS1003B!J1126/1000</f>
        <v>0</v>
      </c>
      <c r="K1076" s="9">
        <f>STATS1003B!K1126/1000</f>
        <v>0</v>
      </c>
      <c r="L1076" s="9">
        <f>STATS1003B!L1126/1000</f>
        <v>0</v>
      </c>
      <c r="M1076" s="9">
        <f>STATS1003B!M1126/1000</f>
        <v>6757.2870800000001</v>
      </c>
      <c r="N1076" s="9">
        <f>STATS1003B!N1126/1000</f>
        <v>0</v>
      </c>
      <c r="O1076" s="9">
        <f>STATS1003B!O1126/1000</f>
        <v>0</v>
      </c>
      <c r="P1076" s="9">
        <f>STATS1003B!P1126/1000</f>
        <v>0</v>
      </c>
      <c r="Q1076" s="9">
        <f>STATS1003B!Q1126/1000</f>
        <v>0</v>
      </c>
      <c r="R1076" s="9">
        <f>STATS1003B!R1126/1000</f>
        <v>0</v>
      </c>
      <c r="S1076" s="9">
        <f>STATS1003B!S1126/1000</f>
        <v>0</v>
      </c>
      <c r="T1076" s="9">
        <f>STATS1003B!T1126/1000</f>
        <v>0</v>
      </c>
      <c r="U1076" s="9">
        <f>STATS1003B!U1126/1000</f>
        <v>0</v>
      </c>
      <c r="V1076" s="9">
        <f>STATS1003B!V1126/1000</f>
        <v>0</v>
      </c>
      <c r="W1076" s="9">
        <f>STATS1003B!W1126/1000</f>
        <v>0</v>
      </c>
      <c r="X1076" s="9">
        <f>STATS1003B!X1126/1000</f>
        <v>6757.2870800000001</v>
      </c>
      <c r="Y1076" s="9">
        <f>STATS1003B!Y1126/1000</f>
        <v>0</v>
      </c>
      <c r="Z1076" s="9">
        <f>STATS1003B!Z1126/1000</f>
        <v>0</v>
      </c>
      <c r="AA1076" s="9">
        <f>STATS1003B!AA1126/1000</f>
        <v>6757.2870800000001</v>
      </c>
      <c r="AB1076" s="9">
        <f>STATS1003B!AB1126/1000</f>
        <v>0</v>
      </c>
    </row>
    <row r="1077" spans="1:28" x14ac:dyDescent="0.35">
      <c r="A1077" s="36"/>
      <c r="B1077" s="8"/>
      <c r="C1077" s="14" t="s">
        <v>178</v>
      </c>
      <c r="D1077" s="14" t="s">
        <v>111</v>
      </c>
      <c r="E1077" s="9">
        <f>STATS1003B!E1128/1000</f>
        <v>1873.28</v>
      </c>
      <c r="F1077" s="9">
        <f>STATS1003B!F1128/1000</f>
        <v>1873.28</v>
      </c>
      <c r="G1077" s="9">
        <f>STATS1003B!G1128/1000</f>
        <v>0</v>
      </c>
      <c r="H1077" s="9">
        <f>STATS1003B!H1128/1000</f>
        <v>1873.28</v>
      </c>
      <c r="I1077" s="9">
        <f>STATS1003B!I1128/1000</f>
        <v>0</v>
      </c>
      <c r="J1077" s="9">
        <f>STATS1003B!J1128/1000</f>
        <v>0</v>
      </c>
      <c r="K1077" s="9">
        <f>STATS1003B!K1128/1000</f>
        <v>0</v>
      </c>
      <c r="L1077" s="9">
        <f>STATS1003B!L1128/1000</f>
        <v>0</v>
      </c>
      <c r="M1077" s="9">
        <f>STATS1003B!M1128/1000</f>
        <v>1873.28</v>
      </c>
      <c r="N1077" s="9">
        <f>STATS1003B!N1128/1000</f>
        <v>0</v>
      </c>
      <c r="O1077" s="9">
        <f>STATS1003B!O1128/1000</f>
        <v>0</v>
      </c>
      <c r="P1077" s="9">
        <f>STATS1003B!P1128/1000</f>
        <v>0</v>
      </c>
      <c r="Q1077" s="9">
        <f>STATS1003B!Q1128/1000</f>
        <v>0</v>
      </c>
      <c r="R1077" s="9">
        <f>STATS1003B!R1128/1000</f>
        <v>0</v>
      </c>
      <c r="S1077" s="9">
        <f>STATS1003B!S1128/1000</f>
        <v>0</v>
      </c>
      <c r="T1077" s="9">
        <f>STATS1003B!T1128/1000</f>
        <v>0</v>
      </c>
      <c r="U1077" s="9">
        <f>STATS1003B!U1128/1000</f>
        <v>0</v>
      </c>
      <c r="V1077" s="9">
        <f>STATS1003B!V1128/1000</f>
        <v>1873.28</v>
      </c>
      <c r="W1077" s="9">
        <f>STATS1003B!W1128/1000</f>
        <v>0</v>
      </c>
      <c r="X1077" s="9">
        <f>STATS1003B!X1128/1000</f>
        <v>1873.28</v>
      </c>
      <c r="Y1077" s="9">
        <f>STATS1003B!Y1128/1000</f>
        <v>0</v>
      </c>
      <c r="Z1077" s="9">
        <f>STATS1003B!Z1128/1000</f>
        <v>0</v>
      </c>
      <c r="AA1077" s="9">
        <f>STATS1003B!AA1128/1000</f>
        <v>1873.28</v>
      </c>
      <c r="AB1077" s="9">
        <f>STATS1003B!AB1128/1000</f>
        <v>0</v>
      </c>
    </row>
    <row r="1078" spans="1:28" x14ac:dyDescent="0.35">
      <c r="A1078" s="36"/>
      <c r="B1078" s="8"/>
      <c r="C1078" s="8"/>
      <c r="D1078" s="8"/>
      <c r="E1078" s="17" t="s">
        <v>29</v>
      </c>
      <c r="F1078" s="17" t="s">
        <v>29</v>
      </c>
      <c r="G1078" s="17" t="s">
        <v>29</v>
      </c>
      <c r="H1078" s="17" t="s">
        <v>29</v>
      </c>
      <c r="I1078" s="17" t="s">
        <v>29</v>
      </c>
      <c r="J1078" s="17" t="s">
        <v>29</v>
      </c>
      <c r="K1078" s="17" t="s">
        <v>29</v>
      </c>
      <c r="L1078" s="17" t="s">
        <v>29</v>
      </c>
      <c r="M1078" s="17" t="s">
        <v>29</v>
      </c>
      <c r="N1078" s="17" t="s">
        <v>29</v>
      </c>
      <c r="O1078" s="17" t="s">
        <v>29</v>
      </c>
      <c r="P1078" s="17" t="s">
        <v>29</v>
      </c>
      <c r="Q1078" s="17" t="s">
        <v>29</v>
      </c>
      <c r="R1078" s="17" t="s">
        <v>29</v>
      </c>
      <c r="S1078" s="17" t="s">
        <v>29</v>
      </c>
      <c r="T1078" s="17" t="s">
        <v>29</v>
      </c>
      <c r="U1078" s="17" t="s">
        <v>29</v>
      </c>
      <c r="V1078" s="17" t="s">
        <v>29</v>
      </c>
      <c r="W1078" s="17" t="s">
        <v>29</v>
      </c>
      <c r="X1078" s="17" t="s">
        <v>29</v>
      </c>
      <c r="Y1078" s="17" t="s">
        <v>29</v>
      </c>
      <c r="Z1078" s="17" t="s">
        <v>29</v>
      </c>
      <c r="AA1078" s="17" t="s">
        <v>29</v>
      </c>
      <c r="AB1078" s="17" t="s">
        <v>29</v>
      </c>
    </row>
    <row r="1079" spans="1:28" x14ac:dyDescent="0.35">
      <c r="A1079" s="36"/>
      <c r="B1079" s="8"/>
      <c r="C1079" s="8" t="s">
        <v>375</v>
      </c>
      <c r="D1079" s="8"/>
      <c r="E1079" s="9">
        <f t="shared" ref="E1079:AB1079" si="80">SUM(E1060:E1077)</f>
        <v>131767.63880000002</v>
      </c>
      <c r="F1079" s="9">
        <f t="shared" si="80"/>
        <v>128041.50296000001</v>
      </c>
      <c r="G1079" s="9">
        <f t="shared" si="80"/>
        <v>0</v>
      </c>
      <c r="H1079" s="9">
        <f t="shared" si="80"/>
        <v>128041.50296000001</v>
      </c>
      <c r="I1079" s="9">
        <f t="shared" si="80"/>
        <v>0</v>
      </c>
      <c r="J1079" s="9">
        <f t="shared" si="80"/>
        <v>0</v>
      </c>
      <c r="K1079" s="9">
        <f t="shared" si="80"/>
        <v>0</v>
      </c>
      <c r="L1079" s="9">
        <f t="shared" si="80"/>
        <v>0</v>
      </c>
      <c r="M1079" s="9">
        <f t="shared" si="80"/>
        <v>128041.50296000001</v>
      </c>
      <c r="N1079" s="9">
        <f t="shared" si="80"/>
        <v>3726.1358399999999</v>
      </c>
      <c r="O1079" s="9">
        <f t="shared" si="80"/>
        <v>0</v>
      </c>
      <c r="P1079" s="9">
        <f t="shared" si="80"/>
        <v>3726.1358399999999</v>
      </c>
      <c r="Q1079" s="9">
        <f t="shared" si="80"/>
        <v>0</v>
      </c>
      <c r="R1079" s="9">
        <f t="shared" si="80"/>
        <v>0</v>
      </c>
      <c r="S1079" s="9">
        <f t="shared" si="80"/>
        <v>0</v>
      </c>
      <c r="T1079" s="9">
        <f t="shared" si="80"/>
        <v>0</v>
      </c>
      <c r="U1079" s="9">
        <f t="shared" si="80"/>
        <v>3726.1358399999999</v>
      </c>
      <c r="V1079" s="9">
        <f t="shared" si="80"/>
        <v>114329.50992000001</v>
      </c>
      <c r="W1079" s="9">
        <f t="shared" si="80"/>
        <v>0</v>
      </c>
      <c r="X1079" s="9">
        <f t="shared" si="80"/>
        <v>131767.63880000002</v>
      </c>
      <c r="Y1079" s="9">
        <f t="shared" si="80"/>
        <v>0</v>
      </c>
      <c r="Z1079" s="9">
        <f t="shared" si="80"/>
        <v>0</v>
      </c>
      <c r="AA1079" s="9">
        <f t="shared" si="80"/>
        <v>131767.63880000002</v>
      </c>
      <c r="AB1079" s="9">
        <f t="shared" si="80"/>
        <v>0</v>
      </c>
    </row>
    <row r="1080" spans="1:28" x14ac:dyDescent="0.35">
      <c r="A1080" s="36"/>
      <c r="B1080" s="8"/>
      <c r="C1080" s="8"/>
      <c r="D1080" s="8"/>
      <c r="E1080" s="17" t="s">
        <v>29</v>
      </c>
      <c r="F1080" s="17" t="s">
        <v>29</v>
      </c>
      <c r="G1080" s="17" t="s">
        <v>29</v>
      </c>
      <c r="H1080" s="17" t="s">
        <v>29</v>
      </c>
      <c r="I1080" s="17" t="s">
        <v>29</v>
      </c>
      <c r="J1080" s="17" t="s">
        <v>29</v>
      </c>
      <c r="K1080" s="17" t="s">
        <v>29</v>
      </c>
      <c r="L1080" s="17" t="s">
        <v>29</v>
      </c>
      <c r="M1080" s="17" t="s">
        <v>29</v>
      </c>
      <c r="N1080" s="17" t="s">
        <v>29</v>
      </c>
      <c r="O1080" s="17" t="s">
        <v>29</v>
      </c>
      <c r="P1080" s="17" t="s">
        <v>29</v>
      </c>
      <c r="Q1080" s="17" t="s">
        <v>29</v>
      </c>
      <c r="R1080" s="17" t="s">
        <v>29</v>
      </c>
      <c r="S1080" s="17" t="s">
        <v>29</v>
      </c>
      <c r="T1080" s="17" t="s">
        <v>29</v>
      </c>
      <c r="U1080" s="17" t="s">
        <v>29</v>
      </c>
      <c r="V1080" s="17" t="s">
        <v>29</v>
      </c>
      <c r="W1080" s="17" t="s">
        <v>29</v>
      </c>
      <c r="X1080" s="17" t="s">
        <v>29</v>
      </c>
      <c r="Y1080" s="17" t="s">
        <v>29</v>
      </c>
      <c r="Z1080" s="17" t="s">
        <v>29</v>
      </c>
      <c r="AA1080" s="17" t="s">
        <v>29</v>
      </c>
      <c r="AB1080" s="17" t="s">
        <v>29</v>
      </c>
    </row>
    <row r="1081" spans="1:28" x14ac:dyDescent="0.35">
      <c r="A1081" s="38" t="s">
        <v>990</v>
      </c>
      <c r="B1081" s="7" t="s">
        <v>271</v>
      </c>
      <c r="C1081" s="8"/>
      <c r="D1081" s="8"/>
      <c r="E1081" s="8"/>
      <c r="F1081" s="8"/>
      <c r="G1081" s="8"/>
      <c r="H1081" s="8"/>
      <c r="I1081" s="8"/>
      <c r="J1081" s="8"/>
      <c r="K1081" s="8"/>
      <c r="L1081" s="8"/>
      <c r="M1081" s="8"/>
      <c r="N1081" s="8"/>
      <c r="O1081" s="8"/>
      <c r="P1081" s="8"/>
      <c r="Q1081" s="8"/>
      <c r="R1081" s="8"/>
      <c r="S1081" s="8"/>
      <c r="T1081" s="8"/>
      <c r="U1081" s="8"/>
      <c r="V1081" s="8"/>
      <c r="W1081" s="8"/>
      <c r="X1081" s="8"/>
      <c r="Y1081" s="8"/>
      <c r="Z1081" s="8"/>
    </row>
    <row r="1082" spans="1:28" x14ac:dyDescent="0.35">
      <c r="A1082" s="36"/>
      <c r="B1082" s="8"/>
      <c r="C1082" s="7" t="s">
        <v>272</v>
      </c>
      <c r="D1082" s="15" t="s">
        <v>273</v>
      </c>
      <c r="E1082" s="9">
        <f>STATS1003B!E1133/1000</f>
        <v>14602.828660000001</v>
      </c>
      <c r="F1082" s="9">
        <f>STATS1003B!F1133/1000</f>
        <v>13013.94664</v>
      </c>
      <c r="G1082" s="9">
        <f>STATS1003B!G1133/1000</f>
        <v>0</v>
      </c>
      <c r="H1082" s="9">
        <f>STATS1003B!H1133/1000</f>
        <v>13013.94664</v>
      </c>
      <c r="I1082" s="9">
        <f>STATS1003B!I1133/1000</f>
        <v>0</v>
      </c>
      <c r="J1082" s="9">
        <f>STATS1003B!J1133/1000</f>
        <v>0</v>
      </c>
      <c r="K1082" s="9">
        <f>STATS1003B!K1133/1000</f>
        <v>0</v>
      </c>
      <c r="L1082" s="9">
        <f>STATS1003B!L1133/1000</f>
        <v>0</v>
      </c>
      <c r="M1082" s="9">
        <f>STATS1003B!M1133/1000</f>
        <v>13013.94664</v>
      </c>
      <c r="N1082" s="9">
        <f>STATS1003B!N1133/1000</f>
        <v>1588.88202</v>
      </c>
      <c r="O1082" s="9">
        <f>STATS1003B!O1133/1000</f>
        <v>0</v>
      </c>
      <c r="P1082" s="9">
        <f>STATS1003B!P1133/1000</f>
        <v>1588.88202</v>
      </c>
      <c r="Q1082" s="9">
        <f>STATS1003B!Q1133/1000</f>
        <v>0</v>
      </c>
      <c r="R1082" s="9">
        <f>STATS1003B!R1133/1000</f>
        <v>0</v>
      </c>
      <c r="S1082" s="9">
        <f>STATS1003B!S1133/1000</f>
        <v>0</v>
      </c>
      <c r="T1082" s="9">
        <f>STATS1003B!T1133/1000</f>
        <v>0</v>
      </c>
      <c r="U1082" s="9">
        <f>STATS1003B!U1133/1000</f>
        <v>1588.88202</v>
      </c>
      <c r="V1082" s="9">
        <f>STATS1003B!V1133/1000</f>
        <v>14602.828660000001</v>
      </c>
      <c r="W1082" s="9">
        <f>STATS1003B!W1133/1000</f>
        <v>0</v>
      </c>
      <c r="X1082" s="9">
        <f>STATS1003B!X1133/1000</f>
        <v>14602.828660000001</v>
      </c>
      <c r="Y1082" s="9">
        <f>STATS1003B!Y1133/1000</f>
        <v>0</v>
      </c>
      <c r="Z1082" s="9">
        <f>STATS1003B!Z1133/1000</f>
        <v>0</v>
      </c>
      <c r="AA1082" s="9">
        <f>STATS1003B!AA1133/1000</f>
        <v>14602.828660000001</v>
      </c>
      <c r="AB1082" s="9">
        <f>STATS1003B!AB1133/1000</f>
        <v>0</v>
      </c>
    </row>
    <row r="1083" spans="1:28" x14ac:dyDescent="0.35">
      <c r="A1083" s="36"/>
      <c r="B1083" s="8"/>
      <c r="C1083" s="7" t="s">
        <v>172</v>
      </c>
      <c r="D1083" s="15" t="s">
        <v>166</v>
      </c>
      <c r="E1083" s="9">
        <f>STATS1003B!E1134/1000</f>
        <v>279.33199999999999</v>
      </c>
      <c r="F1083" s="9">
        <f>STATS1003B!F1134/1000</f>
        <v>279.33199999999999</v>
      </c>
      <c r="G1083" s="9">
        <f>STATS1003B!G1134/1000</f>
        <v>0</v>
      </c>
      <c r="H1083" s="9">
        <f>STATS1003B!H1134/1000</f>
        <v>279.33199999999999</v>
      </c>
      <c r="I1083" s="9">
        <f>STATS1003B!I1134/1000</f>
        <v>0</v>
      </c>
      <c r="J1083" s="9">
        <f>STATS1003B!J1134/1000</f>
        <v>0</v>
      </c>
      <c r="K1083" s="9">
        <f>STATS1003B!K1134/1000</f>
        <v>0</v>
      </c>
      <c r="L1083" s="9">
        <f>STATS1003B!L1134/1000</f>
        <v>0</v>
      </c>
      <c r="M1083" s="9">
        <f>STATS1003B!M1134/1000</f>
        <v>279.33199999999999</v>
      </c>
      <c r="N1083" s="9">
        <f>STATS1003B!N1134/1000</f>
        <v>0</v>
      </c>
      <c r="O1083" s="9">
        <f>STATS1003B!O1134/1000</f>
        <v>0</v>
      </c>
      <c r="P1083" s="9">
        <f>STATS1003B!P1134/1000</f>
        <v>0</v>
      </c>
      <c r="Q1083" s="9">
        <f>STATS1003B!Q1134/1000</f>
        <v>0</v>
      </c>
      <c r="R1083" s="9">
        <f>STATS1003B!R1134/1000</f>
        <v>0</v>
      </c>
      <c r="S1083" s="9">
        <f>STATS1003B!S1134/1000</f>
        <v>0</v>
      </c>
      <c r="T1083" s="9">
        <f>STATS1003B!T1134/1000</f>
        <v>0</v>
      </c>
      <c r="U1083" s="9">
        <f>STATS1003B!U1134/1000</f>
        <v>0</v>
      </c>
      <c r="V1083" s="9">
        <f>STATS1003B!V1134/1000</f>
        <v>279.33199999999999</v>
      </c>
      <c r="W1083" s="9">
        <f>STATS1003B!W1134/1000</f>
        <v>0</v>
      </c>
      <c r="X1083" s="9">
        <f>STATS1003B!X1134/1000</f>
        <v>279.33199999999999</v>
      </c>
      <c r="Y1083" s="9">
        <f>STATS1003B!Y1134/1000</f>
        <v>0</v>
      </c>
      <c r="Z1083" s="9">
        <f>STATS1003B!Z1134/1000</f>
        <v>0</v>
      </c>
      <c r="AA1083" s="9">
        <f>STATS1003B!AA1134/1000</f>
        <v>279.33199999999999</v>
      </c>
      <c r="AB1083" s="9">
        <f>STATS1003B!AB1134/1000</f>
        <v>0</v>
      </c>
    </row>
    <row r="1084" spans="1:28" x14ac:dyDescent="0.35">
      <c r="A1084" s="36"/>
      <c r="B1084" s="8"/>
      <c r="C1084" s="7" t="s">
        <v>57</v>
      </c>
      <c r="D1084" s="15" t="s">
        <v>274</v>
      </c>
      <c r="E1084" s="9">
        <f>STATS1003B!E1135/1000</f>
        <v>4376.9400500000002</v>
      </c>
      <c r="F1084" s="9">
        <f>STATS1003B!F1135/1000</f>
        <v>3591.92409</v>
      </c>
      <c r="G1084" s="9">
        <f>STATS1003B!G1135/1000</f>
        <v>0</v>
      </c>
      <c r="H1084" s="9">
        <f>STATS1003B!H1135/1000</f>
        <v>3591.92409</v>
      </c>
      <c r="I1084" s="9">
        <f>STATS1003B!I1135/1000</f>
        <v>0</v>
      </c>
      <c r="J1084" s="9">
        <f>STATS1003B!J1135/1000</f>
        <v>0</v>
      </c>
      <c r="K1084" s="9">
        <f>STATS1003B!K1135/1000</f>
        <v>0</v>
      </c>
      <c r="L1084" s="9">
        <f>STATS1003B!L1135/1000</f>
        <v>0</v>
      </c>
      <c r="M1084" s="9">
        <f>STATS1003B!M1135/1000</f>
        <v>3591.92409</v>
      </c>
      <c r="N1084" s="9">
        <f>STATS1003B!N1135/1000</f>
        <v>785.01595999999995</v>
      </c>
      <c r="O1084" s="9">
        <f>STATS1003B!O1135/1000</f>
        <v>0</v>
      </c>
      <c r="P1084" s="9">
        <f>STATS1003B!P1135/1000</f>
        <v>785.01595999999995</v>
      </c>
      <c r="Q1084" s="9">
        <f>STATS1003B!Q1135/1000</f>
        <v>0</v>
      </c>
      <c r="R1084" s="9">
        <f>STATS1003B!R1135/1000</f>
        <v>0</v>
      </c>
      <c r="S1084" s="9">
        <f>STATS1003B!S1135/1000</f>
        <v>0</v>
      </c>
      <c r="T1084" s="9">
        <f>STATS1003B!T1135/1000</f>
        <v>0</v>
      </c>
      <c r="U1084" s="9">
        <f>STATS1003B!U1135/1000</f>
        <v>785.01595999999995</v>
      </c>
      <c r="V1084" s="9">
        <f>STATS1003B!V1135/1000</f>
        <v>4376.9400500000002</v>
      </c>
      <c r="W1084" s="9">
        <f>STATS1003B!W1135/1000</f>
        <v>0</v>
      </c>
      <c r="X1084" s="9">
        <f>STATS1003B!X1135/1000</f>
        <v>4376.9400500000002</v>
      </c>
      <c r="Y1084" s="9">
        <f>STATS1003B!Y1135/1000</f>
        <v>0</v>
      </c>
      <c r="Z1084" s="9">
        <f>STATS1003B!Z1135/1000</f>
        <v>0</v>
      </c>
      <c r="AA1084" s="9">
        <f>STATS1003B!AA1135/1000</f>
        <v>4376.9400500000002</v>
      </c>
      <c r="AB1084" s="9">
        <f>STATS1003B!AB1135/1000</f>
        <v>0</v>
      </c>
    </row>
    <row r="1085" spans="1:28" x14ac:dyDescent="0.35">
      <c r="A1085" s="36"/>
      <c r="B1085" s="8"/>
      <c r="C1085" s="7" t="s">
        <v>275</v>
      </c>
      <c r="D1085" s="21" t="s">
        <v>68</v>
      </c>
      <c r="E1085" s="9">
        <f>STATS1003B!E1136/1000</f>
        <v>1325.5029999999999</v>
      </c>
      <c r="F1085" s="9">
        <f>STATS1003B!F1136/1000</f>
        <v>1325.5029999999999</v>
      </c>
      <c r="G1085" s="9">
        <f>STATS1003B!G1136/1000</f>
        <v>0</v>
      </c>
      <c r="H1085" s="9">
        <f>STATS1003B!H1136/1000</f>
        <v>1325.5029999999999</v>
      </c>
      <c r="I1085" s="9">
        <f>STATS1003B!I1136/1000</f>
        <v>0</v>
      </c>
      <c r="J1085" s="9">
        <f>STATS1003B!J1136/1000</f>
        <v>0</v>
      </c>
      <c r="K1085" s="9">
        <f>STATS1003B!K1136/1000</f>
        <v>0</v>
      </c>
      <c r="L1085" s="9">
        <f>STATS1003B!L1136/1000</f>
        <v>0</v>
      </c>
      <c r="M1085" s="9">
        <f>STATS1003B!M1136/1000</f>
        <v>1325.5029999999999</v>
      </c>
      <c r="N1085" s="9">
        <f>STATS1003B!N1136/1000</f>
        <v>0</v>
      </c>
      <c r="O1085" s="9">
        <f>STATS1003B!O1136/1000</f>
        <v>0</v>
      </c>
      <c r="P1085" s="9">
        <f>STATS1003B!P1136/1000</f>
        <v>0</v>
      </c>
      <c r="Q1085" s="9">
        <f>STATS1003B!Q1136/1000</f>
        <v>0</v>
      </c>
      <c r="R1085" s="9">
        <f>STATS1003B!R1136/1000</f>
        <v>0</v>
      </c>
      <c r="S1085" s="9">
        <f>STATS1003B!S1136/1000</f>
        <v>0</v>
      </c>
      <c r="T1085" s="9">
        <f>STATS1003B!T1136/1000</f>
        <v>0</v>
      </c>
      <c r="U1085" s="9">
        <f>STATS1003B!U1136/1000</f>
        <v>0</v>
      </c>
      <c r="V1085" s="9">
        <f>STATS1003B!V1136/1000</f>
        <v>1325.5029999999999</v>
      </c>
      <c r="W1085" s="9">
        <f>STATS1003B!W1136/1000</f>
        <v>0</v>
      </c>
      <c r="X1085" s="9">
        <f>STATS1003B!X1136/1000</f>
        <v>1325.5029999999999</v>
      </c>
      <c r="Y1085" s="9">
        <f>STATS1003B!Y1136/1000</f>
        <v>0</v>
      </c>
      <c r="Z1085" s="9">
        <f>STATS1003B!Z1136/1000</f>
        <v>0</v>
      </c>
      <c r="AA1085" s="9">
        <f>STATS1003B!AA1136/1000</f>
        <v>1325.5029999999999</v>
      </c>
      <c r="AB1085" s="9">
        <f>STATS1003B!AB1136/1000</f>
        <v>0</v>
      </c>
    </row>
    <row r="1086" spans="1:28" x14ac:dyDescent="0.35">
      <c r="A1086" s="36"/>
      <c r="B1086" s="8"/>
      <c r="C1086" s="14" t="s">
        <v>276</v>
      </c>
      <c r="D1086" s="21" t="s">
        <v>68</v>
      </c>
      <c r="E1086" s="9">
        <f>STATS1003B!E1137/1000</f>
        <v>303.02690000000001</v>
      </c>
      <c r="F1086" s="9">
        <f>STATS1003B!F1137/1000</f>
        <v>0</v>
      </c>
      <c r="G1086" s="9">
        <f>STATS1003B!G1137/1000</f>
        <v>0</v>
      </c>
      <c r="H1086" s="9">
        <f>STATS1003B!H1137/1000</f>
        <v>0</v>
      </c>
      <c r="I1086" s="9">
        <f>STATS1003B!I1137/1000</f>
        <v>0</v>
      </c>
      <c r="J1086" s="9">
        <f>STATS1003B!J1137/1000</f>
        <v>0</v>
      </c>
      <c r="K1086" s="9">
        <f>STATS1003B!K1137/1000</f>
        <v>0</v>
      </c>
      <c r="L1086" s="9">
        <f>STATS1003B!L1137/1000</f>
        <v>0</v>
      </c>
      <c r="M1086" s="9">
        <f>STATS1003B!M1137/1000</f>
        <v>0</v>
      </c>
      <c r="N1086" s="9">
        <f>STATS1003B!N1137/1000</f>
        <v>303.02690000000001</v>
      </c>
      <c r="O1086" s="9">
        <f>STATS1003B!O1137/1000</f>
        <v>0</v>
      </c>
      <c r="P1086" s="9">
        <f>STATS1003B!P1137/1000</f>
        <v>303.02690000000001</v>
      </c>
      <c r="Q1086" s="9">
        <f>STATS1003B!Q1137/1000</f>
        <v>0</v>
      </c>
      <c r="R1086" s="9">
        <f>STATS1003B!R1137/1000</f>
        <v>0</v>
      </c>
      <c r="S1086" s="9">
        <f>STATS1003B!S1137/1000</f>
        <v>0</v>
      </c>
      <c r="T1086" s="9">
        <f>STATS1003B!T1137/1000</f>
        <v>0</v>
      </c>
      <c r="U1086" s="9">
        <f>STATS1003B!U1137/1000</f>
        <v>303.02690000000001</v>
      </c>
      <c r="V1086" s="9">
        <f>STATS1003B!V1137/1000</f>
        <v>303.02690000000001</v>
      </c>
      <c r="W1086" s="9">
        <f>STATS1003B!W1137/1000</f>
        <v>0</v>
      </c>
      <c r="X1086" s="9">
        <f>STATS1003B!X1137/1000</f>
        <v>303.02690000000001</v>
      </c>
      <c r="Y1086" s="9">
        <f>STATS1003B!Y1137/1000</f>
        <v>0</v>
      </c>
      <c r="Z1086" s="9">
        <f>STATS1003B!Z1137/1000</f>
        <v>0</v>
      </c>
      <c r="AA1086" s="9">
        <f>STATS1003B!AA1137/1000</f>
        <v>303.02690000000001</v>
      </c>
      <c r="AB1086" s="9">
        <f>STATS1003B!AB1137/1000</f>
        <v>0</v>
      </c>
    </row>
    <row r="1087" spans="1:28" x14ac:dyDescent="0.35">
      <c r="A1087" s="36"/>
      <c r="B1087" s="8"/>
      <c r="C1087" s="7" t="s">
        <v>53</v>
      </c>
      <c r="D1087" s="15" t="s">
        <v>128</v>
      </c>
      <c r="E1087" s="9">
        <f>STATS1003B!E1138/1000</f>
        <v>570.94100000000003</v>
      </c>
      <c r="F1087" s="9">
        <f>STATS1003B!F1138/1000</f>
        <v>0</v>
      </c>
      <c r="G1087" s="9">
        <f>STATS1003B!G1138/1000</f>
        <v>0</v>
      </c>
      <c r="H1087" s="9">
        <f>STATS1003B!H1138/1000</f>
        <v>0</v>
      </c>
      <c r="I1087" s="9">
        <f>STATS1003B!I1138/1000</f>
        <v>0</v>
      </c>
      <c r="J1087" s="9">
        <f>STATS1003B!J1138/1000</f>
        <v>0</v>
      </c>
      <c r="K1087" s="9">
        <f>STATS1003B!K1138/1000</f>
        <v>0</v>
      </c>
      <c r="L1087" s="9">
        <f>STATS1003B!L1138/1000</f>
        <v>0</v>
      </c>
      <c r="M1087" s="9">
        <f>STATS1003B!M1138/1000</f>
        <v>0</v>
      </c>
      <c r="N1087" s="9">
        <f>STATS1003B!N1138/1000</f>
        <v>570.94100000000003</v>
      </c>
      <c r="O1087" s="9">
        <f>STATS1003B!O1138/1000</f>
        <v>0</v>
      </c>
      <c r="P1087" s="9">
        <f>STATS1003B!P1138/1000</f>
        <v>570.94100000000003</v>
      </c>
      <c r="Q1087" s="9">
        <f>STATS1003B!Q1138/1000</f>
        <v>0</v>
      </c>
      <c r="R1087" s="9">
        <f>STATS1003B!R1138/1000</f>
        <v>0</v>
      </c>
      <c r="S1087" s="9">
        <f>STATS1003B!S1138/1000</f>
        <v>0</v>
      </c>
      <c r="T1087" s="9">
        <f>STATS1003B!T1138/1000</f>
        <v>0</v>
      </c>
      <c r="U1087" s="9">
        <f>STATS1003B!U1138/1000</f>
        <v>570.94100000000003</v>
      </c>
      <c r="V1087" s="9">
        <f>STATS1003B!V1138/1000</f>
        <v>570.94100000000003</v>
      </c>
      <c r="W1087" s="9">
        <f>STATS1003B!W1138/1000</f>
        <v>0</v>
      </c>
      <c r="X1087" s="9">
        <f>STATS1003B!X1138/1000</f>
        <v>570.94100000000003</v>
      </c>
      <c r="Y1087" s="9">
        <f>STATS1003B!Y1138/1000</f>
        <v>0</v>
      </c>
      <c r="Z1087" s="9">
        <f>STATS1003B!Z1138/1000</f>
        <v>0</v>
      </c>
      <c r="AA1087" s="9">
        <f>STATS1003B!AA1138/1000</f>
        <v>570.94100000000003</v>
      </c>
      <c r="AB1087" s="9">
        <f>STATS1003B!AB1138/1000</f>
        <v>0</v>
      </c>
    </row>
    <row r="1088" spans="1:28" x14ac:dyDescent="0.35">
      <c r="A1088" s="36"/>
      <c r="B1088" s="8"/>
      <c r="C1088" s="7" t="s">
        <v>57</v>
      </c>
      <c r="D1088" s="15" t="s">
        <v>58</v>
      </c>
      <c r="E1088" s="9">
        <f>STATS1003B!E1139/1000</f>
        <v>2416.2660000000001</v>
      </c>
      <c r="F1088" s="9">
        <f>STATS1003B!F1139/1000</f>
        <v>2416.2660000000001</v>
      </c>
      <c r="G1088" s="9">
        <f>STATS1003B!G1139/1000</f>
        <v>0</v>
      </c>
      <c r="H1088" s="9">
        <f>STATS1003B!H1139/1000</f>
        <v>2416.2660000000001</v>
      </c>
      <c r="I1088" s="9">
        <f>STATS1003B!I1139/1000</f>
        <v>0</v>
      </c>
      <c r="J1088" s="9">
        <f>STATS1003B!J1139/1000</f>
        <v>0</v>
      </c>
      <c r="K1088" s="9">
        <f>STATS1003B!K1139/1000</f>
        <v>0</v>
      </c>
      <c r="L1088" s="9">
        <f>STATS1003B!L1139/1000</f>
        <v>0</v>
      </c>
      <c r="M1088" s="9">
        <f>STATS1003B!M1139/1000</f>
        <v>2416.2660000000001</v>
      </c>
      <c r="N1088" s="9">
        <f>STATS1003B!N1139/1000</f>
        <v>0</v>
      </c>
      <c r="O1088" s="9">
        <f>STATS1003B!O1139/1000</f>
        <v>0</v>
      </c>
      <c r="P1088" s="9">
        <f>STATS1003B!P1139/1000</f>
        <v>0</v>
      </c>
      <c r="Q1088" s="9">
        <f>STATS1003B!Q1139/1000</f>
        <v>0</v>
      </c>
      <c r="R1088" s="9">
        <f>STATS1003B!R1139/1000</f>
        <v>0</v>
      </c>
      <c r="S1088" s="9">
        <f>STATS1003B!S1139/1000</f>
        <v>0</v>
      </c>
      <c r="T1088" s="9">
        <f>STATS1003B!T1139/1000</f>
        <v>0</v>
      </c>
      <c r="U1088" s="9">
        <f>STATS1003B!U1139/1000</f>
        <v>0</v>
      </c>
      <c r="V1088" s="9">
        <f>STATS1003B!V1139/1000</f>
        <v>2416.2660000000001</v>
      </c>
      <c r="W1088" s="9">
        <f>STATS1003B!W1139/1000</f>
        <v>0</v>
      </c>
      <c r="X1088" s="9">
        <f>STATS1003B!X1139/1000</f>
        <v>2416.2660000000001</v>
      </c>
      <c r="Y1088" s="9">
        <f>STATS1003B!Y1139/1000</f>
        <v>0</v>
      </c>
      <c r="Z1088" s="9">
        <f>STATS1003B!Z1139/1000</f>
        <v>0</v>
      </c>
      <c r="AA1088" s="9">
        <f>STATS1003B!AA1139/1000</f>
        <v>2416.2660000000001</v>
      </c>
      <c r="AB1088" s="9">
        <f>STATS1003B!AB1139/1000</f>
        <v>0</v>
      </c>
    </row>
    <row r="1089" spans="1:28" x14ac:dyDescent="0.35">
      <c r="A1089" s="36"/>
      <c r="B1089" s="8"/>
      <c r="C1089" s="7" t="s">
        <v>57</v>
      </c>
      <c r="D1089" s="15" t="s">
        <v>60</v>
      </c>
      <c r="E1089" s="9">
        <f>STATS1003B!E1140/1000</f>
        <v>3641.3130000000001</v>
      </c>
      <c r="F1089" s="9">
        <f>STATS1003B!F1140/1000</f>
        <v>3641.3130000000001</v>
      </c>
      <c r="G1089" s="9">
        <f>STATS1003B!G1140/1000</f>
        <v>0</v>
      </c>
      <c r="H1089" s="9">
        <f>STATS1003B!H1140/1000</f>
        <v>3641.3130000000001</v>
      </c>
      <c r="I1089" s="9">
        <f>STATS1003B!I1140/1000</f>
        <v>0</v>
      </c>
      <c r="J1089" s="9">
        <f>STATS1003B!J1140/1000</f>
        <v>0</v>
      </c>
      <c r="K1089" s="9">
        <f>STATS1003B!K1140/1000</f>
        <v>0</v>
      </c>
      <c r="L1089" s="9">
        <f>STATS1003B!L1140/1000</f>
        <v>0</v>
      </c>
      <c r="M1089" s="9">
        <f>STATS1003B!M1140/1000</f>
        <v>3641.3130000000001</v>
      </c>
      <c r="N1089" s="9">
        <f>STATS1003B!N1140/1000</f>
        <v>0</v>
      </c>
      <c r="O1089" s="9">
        <f>STATS1003B!O1140/1000</f>
        <v>0</v>
      </c>
      <c r="P1089" s="9">
        <f>STATS1003B!P1140/1000</f>
        <v>0</v>
      </c>
      <c r="Q1089" s="9">
        <f>STATS1003B!Q1140/1000</f>
        <v>0</v>
      </c>
      <c r="R1089" s="9">
        <f>STATS1003B!R1140/1000</f>
        <v>0</v>
      </c>
      <c r="S1089" s="9">
        <f>STATS1003B!S1140/1000</f>
        <v>0</v>
      </c>
      <c r="T1089" s="9">
        <f>STATS1003B!T1140/1000</f>
        <v>0</v>
      </c>
      <c r="U1089" s="9">
        <f>STATS1003B!U1140/1000</f>
        <v>0</v>
      </c>
      <c r="V1089" s="9">
        <f>STATS1003B!V1140/1000</f>
        <v>3641.3130000000001</v>
      </c>
      <c r="W1089" s="9">
        <f>STATS1003B!W1140/1000</f>
        <v>0</v>
      </c>
      <c r="X1089" s="9">
        <f>STATS1003B!X1140/1000</f>
        <v>3641.3130000000001</v>
      </c>
      <c r="Y1089" s="9">
        <f>STATS1003B!Y1140/1000</f>
        <v>0</v>
      </c>
      <c r="Z1089" s="9">
        <f>STATS1003B!Z1140/1000</f>
        <v>0</v>
      </c>
      <c r="AA1089" s="9">
        <f>STATS1003B!AA1140/1000</f>
        <v>3641.3130000000001</v>
      </c>
      <c r="AB1089" s="9">
        <f>STATS1003B!AB1140/1000</f>
        <v>0</v>
      </c>
    </row>
    <row r="1090" spans="1:28" x14ac:dyDescent="0.35">
      <c r="A1090" s="36"/>
      <c r="B1090" s="8"/>
      <c r="C1090" s="14" t="s">
        <v>277</v>
      </c>
      <c r="D1090" s="21" t="s">
        <v>73</v>
      </c>
      <c r="E1090" s="9">
        <f>STATS1003B!E1141/1000</f>
        <v>1499</v>
      </c>
      <c r="F1090" s="9">
        <f>STATS1003B!F1141/1000</f>
        <v>1499</v>
      </c>
      <c r="G1090" s="9">
        <f>STATS1003B!G1141/1000</f>
        <v>0</v>
      </c>
      <c r="H1090" s="9">
        <f>STATS1003B!H1141/1000</f>
        <v>1499</v>
      </c>
      <c r="I1090" s="9">
        <f>STATS1003B!I1141/1000</f>
        <v>0</v>
      </c>
      <c r="J1090" s="9">
        <f>STATS1003B!J1141/1000</f>
        <v>0</v>
      </c>
      <c r="K1090" s="9">
        <f>STATS1003B!K1141/1000</f>
        <v>0</v>
      </c>
      <c r="L1090" s="9">
        <f>STATS1003B!L1141/1000</f>
        <v>0</v>
      </c>
      <c r="M1090" s="9">
        <f>STATS1003B!M1141/1000</f>
        <v>1499</v>
      </c>
      <c r="N1090" s="9">
        <f>STATS1003B!N1141/1000</f>
        <v>0</v>
      </c>
      <c r="O1090" s="9">
        <f>STATS1003B!O1141/1000</f>
        <v>0</v>
      </c>
      <c r="P1090" s="9">
        <f>STATS1003B!P1141/1000</f>
        <v>0</v>
      </c>
      <c r="Q1090" s="9">
        <f>STATS1003B!Q1141/1000</f>
        <v>0</v>
      </c>
      <c r="R1090" s="9">
        <f>STATS1003B!R1141/1000</f>
        <v>0</v>
      </c>
      <c r="S1090" s="9">
        <f>STATS1003B!S1141/1000</f>
        <v>0</v>
      </c>
      <c r="T1090" s="9">
        <f>STATS1003B!T1141/1000</f>
        <v>0</v>
      </c>
      <c r="U1090" s="9">
        <f>STATS1003B!U1141/1000</f>
        <v>0</v>
      </c>
      <c r="V1090" s="9">
        <f>STATS1003B!V1141/1000</f>
        <v>1499</v>
      </c>
      <c r="W1090" s="9">
        <f>STATS1003B!W1141/1000</f>
        <v>0</v>
      </c>
      <c r="X1090" s="9">
        <f>STATS1003B!X1141/1000</f>
        <v>1499</v>
      </c>
      <c r="Y1090" s="9">
        <f>STATS1003B!Y1141/1000</f>
        <v>0</v>
      </c>
      <c r="Z1090" s="9">
        <f>STATS1003B!Z1141/1000</f>
        <v>0</v>
      </c>
      <c r="AA1090" s="9">
        <f>STATS1003B!AA1141/1000</f>
        <v>1499</v>
      </c>
      <c r="AB1090" s="9">
        <f>STATS1003B!AB1141/1000</f>
        <v>0</v>
      </c>
    </row>
    <row r="1091" spans="1:28" x14ac:dyDescent="0.35">
      <c r="A1091" s="36"/>
      <c r="B1091" s="8"/>
      <c r="C1091" s="7" t="s">
        <v>57</v>
      </c>
      <c r="D1091" s="24" t="s">
        <v>61</v>
      </c>
      <c r="E1091" s="9">
        <f>STATS1003B!E1142/1000</f>
        <v>858.67466000000002</v>
      </c>
      <c r="F1091" s="9">
        <f>STATS1003B!F1142/1000</f>
        <v>768.28392000000008</v>
      </c>
      <c r="G1091" s="9">
        <f>STATS1003B!G1142/1000</f>
        <v>0</v>
      </c>
      <c r="H1091" s="9">
        <f>STATS1003B!H1142/1000</f>
        <v>768.28392000000008</v>
      </c>
      <c r="I1091" s="9">
        <f>STATS1003B!I1142/1000</f>
        <v>768.28392000000008</v>
      </c>
      <c r="J1091" s="9">
        <f>STATS1003B!J1142/1000</f>
        <v>768.28392000000008</v>
      </c>
      <c r="K1091" s="9">
        <f>STATS1003B!K1142/1000</f>
        <v>0</v>
      </c>
      <c r="L1091" s="9">
        <f>STATS1003B!L1142/1000</f>
        <v>0</v>
      </c>
      <c r="M1091" s="9">
        <f>STATS1003B!M1142/1000</f>
        <v>768.28392000000008</v>
      </c>
      <c r="N1091" s="9">
        <f>STATS1003B!N1142/1000</f>
        <v>0</v>
      </c>
      <c r="O1091" s="9">
        <f>STATS1003B!O1142/1000</f>
        <v>0</v>
      </c>
      <c r="P1091" s="9">
        <f>STATS1003B!P1142/1000</f>
        <v>0</v>
      </c>
      <c r="Q1091" s="9">
        <f>STATS1003B!Q1142/1000</f>
        <v>0</v>
      </c>
      <c r="R1091" s="9">
        <f>STATS1003B!R1142/1000</f>
        <v>0</v>
      </c>
      <c r="S1091" s="9">
        <f>STATS1003B!S1142/1000</f>
        <v>90.390740000000008</v>
      </c>
      <c r="T1091" s="9">
        <f>STATS1003B!T1142/1000</f>
        <v>90.390740000000008</v>
      </c>
      <c r="U1091" s="9">
        <f>STATS1003B!U1142/1000</f>
        <v>90.390740000000008</v>
      </c>
      <c r="V1091" s="9">
        <f>STATS1003B!V1142/1000</f>
        <v>768.28392000000008</v>
      </c>
      <c r="W1091" s="9">
        <f>STATS1003B!W1142/1000</f>
        <v>90.390739999999994</v>
      </c>
      <c r="X1091" s="9">
        <f>STATS1003B!X1142/1000</f>
        <v>768.28392000000008</v>
      </c>
      <c r="Y1091" s="9">
        <f>STATS1003B!Y1142/1000</f>
        <v>0</v>
      </c>
      <c r="Z1091" s="9">
        <f>STATS1003B!Z1142/1000</f>
        <v>90.390739999999994</v>
      </c>
      <c r="AA1091" s="9">
        <f>STATS1003B!AA1142/1000</f>
        <v>858.67466000000002</v>
      </c>
      <c r="AB1091" s="9">
        <f>STATS1003B!AB1142/1000</f>
        <v>0</v>
      </c>
    </row>
    <row r="1092" spans="1:28" x14ac:dyDescent="0.35">
      <c r="A1092" s="36"/>
      <c r="B1092" s="8"/>
      <c r="C1092" s="8"/>
      <c r="D1092" s="8"/>
      <c r="E1092" s="17" t="s">
        <v>29</v>
      </c>
      <c r="F1092" s="17" t="s">
        <v>29</v>
      </c>
      <c r="G1092" s="17" t="s">
        <v>29</v>
      </c>
      <c r="H1092" s="17" t="s">
        <v>29</v>
      </c>
      <c r="I1092" s="17" t="s">
        <v>29</v>
      </c>
      <c r="J1092" s="17" t="s">
        <v>29</v>
      </c>
      <c r="K1092" s="17" t="s">
        <v>29</v>
      </c>
      <c r="L1092" s="17" t="s">
        <v>29</v>
      </c>
      <c r="M1092" s="17" t="s">
        <v>29</v>
      </c>
      <c r="N1092" s="17" t="s">
        <v>29</v>
      </c>
      <c r="O1092" s="17" t="s">
        <v>29</v>
      </c>
      <c r="P1092" s="17" t="s">
        <v>29</v>
      </c>
      <c r="Q1092" s="17" t="s">
        <v>29</v>
      </c>
      <c r="R1092" s="17" t="s">
        <v>29</v>
      </c>
      <c r="S1092" s="17" t="s">
        <v>29</v>
      </c>
      <c r="T1092" s="17" t="s">
        <v>29</v>
      </c>
      <c r="U1092" s="17" t="s">
        <v>29</v>
      </c>
      <c r="V1092" s="17" t="s">
        <v>29</v>
      </c>
      <c r="W1092" s="17" t="s">
        <v>29</v>
      </c>
      <c r="X1092" s="17" t="s">
        <v>29</v>
      </c>
      <c r="Y1092" s="17" t="s">
        <v>29</v>
      </c>
      <c r="Z1092" s="17" t="s">
        <v>29</v>
      </c>
      <c r="AA1092" s="17" t="s">
        <v>29</v>
      </c>
      <c r="AB1092" s="17" t="s">
        <v>29</v>
      </c>
    </row>
    <row r="1093" spans="1:28" x14ac:dyDescent="0.35">
      <c r="A1093" s="36"/>
      <c r="B1093" s="8"/>
      <c r="C1093" s="8"/>
      <c r="D1093" s="8"/>
      <c r="E1093" s="9">
        <f t="shared" ref="E1093:AB1093" si="81">SUM(E1082:E1091)</f>
        <v>29873.825270000005</v>
      </c>
      <c r="F1093" s="9">
        <f t="shared" si="81"/>
        <v>26535.568650000001</v>
      </c>
      <c r="G1093" s="9">
        <f t="shared" si="81"/>
        <v>0</v>
      </c>
      <c r="H1093" s="9">
        <f t="shared" si="81"/>
        <v>26535.568650000001</v>
      </c>
      <c r="I1093" s="9">
        <f t="shared" si="81"/>
        <v>768.28392000000008</v>
      </c>
      <c r="J1093" s="9">
        <f t="shared" si="81"/>
        <v>768.28392000000008</v>
      </c>
      <c r="K1093" s="9">
        <f t="shared" si="81"/>
        <v>0</v>
      </c>
      <c r="L1093" s="9">
        <f t="shared" si="81"/>
        <v>0</v>
      </c>
      <c r="M1093" s="9">
        <f t="shared" si="81"/>
        <v>26535.568650000001</v>
      </c>
      <c r="N1093" s="9">
        <f t="shared" si="81"/>
        <v>3247.8658799999994</v>
      </c>
      <c r="O1093" s="9">
        <f t="shared" si="81"/>
        <v>0</v>
      </c>
      <c r="P1093" s="9">
        <f t="shared" si="81"/>
        <v>3247.8658799999994</v>
      </c>
      <c r="Q1093" s="9">
        <f t="shared" si="81"/>
        <v>0</v>
      </c>
      <c r="R1093" s="9">
        <f t="shared" si="81"/>
        <v>0</v>
      </c>
      <c r="S1093" s="9">
        <f t="shared" si="81"/>
        <v>90.390740000000008</v>
      </c>
      <c r="T1093" s="9">
        <f t="shared" si="81"/>
        <v>90.390740000000008</v>
      </c>
      <c r="U1093" s="9">
        <f t="shared" si="81"/>
        <v>3338.2566199999992</v>
      </c>
      <c r="V1093" s="9">
        <f t="shared" si="81"/>
        <v>29783.434530000006</v>
      </c>
      <c r="W1093" s="9">
        <f t="shared" si="81"/>
        <v>90.390739999999994</v>
      </c>
      <c r="X1093" s="9">
        <f t="shared" si="81"/>
        <v>29783.434530000006</v>
      </c>
      <c r="Y1093" s="9">
        <f t="shared" si="81"/>
        <v>0</v>
      </c>
      <c r="Z1093" s="9">
        <f t="shared" si="81"/>
        <v>90.390739999999994</v>
      </c>
      <c r="AA1093" s="9">
        <f t="shared" si="81"/>
        <v>29873.825270000005</v>
      </c>
      <c r="AB1093" s="9">
        <f t="shared" si="81"/>
        <v>0</v>
      </c>
    </row>
    <row r="1094" spans="1:28" x14ac:dyDescent="0.35">
      <c r="A1094" s="36"/>
      <c r="B1094" s="8"/>
      <c r="C1094" s="8"/>
      <c r="D1094" s="8"/>
      <c r="E1094" s="17" t="s">
        <v>29</v>
      </c>
      <c r="F1094" s="17" t="s">
        <v>29</v>
      </c>
      <c r="G1094" s="17" t="s">
        <v>29</v>
      </c>
      <c r="H1094" s="17" t="s">
        <v>29</v>
      </c>
      <c r="I1094" s="17" t="s">
        <v>29</v>
      </c>
      <c r="J1094" s="17" t="s">
        <v>29</v>
      </c>
      <c r="K1094" s="17" t="s">
        <v>29</v>
      </c>
      <c r="L1094" s="17" t="s">
        <v>29</v>
      </c>
      <c r="M1094" s="17" t="s">
        <v>29</v>
      </c>
      <c r="N1094" s="17" t="s">
        <v>29</v>
      </c>
      <c r="O1094" s="17" t="s">
        <v>29</v>
      </c>
      <c r="P1094" s="17" t="s">
        <v>29</v>
      </c>
      <c r="Q1094" s="17" t="s">
        <v>29</v>
      </c>
      <c r="R1094" s="17" t="s">
        <v>29</v>
      </c>
      <c r="S1094" s="17" t="s">
        <v>29</v>
      </c>
      <c r="T1094" s="17" t="s">
        <v>29</v>
      </c>
      <c r="U1094" s="17" t="s">
        <v>29</v>
      </c>
      <c r="V1094" s="17" t="s">
        <v>29</v>
      </c>
      <c r="W1094" s="17" t="s">
        <v>29</v>
      </c>
      <c r="X1094" s="17" t="s">
        <v>29</v>
      </c>
      <c r="Y1094" s="17" t="s">
        <v>29</v>
      </c>
      <c r="Z1094" s="17" t="s">
        <v>29</v>
      </c>
      <c r="AA1094" s="17" t="s">
        <v>29</v>
      </c>
      <c r="AB1094" s="17" t="s">
        <v>29</v>
      </c>
    </row>
    <row r="1095" spans="1:28" x14ac:dyDescent="0.35">
      <c r="A1095" s="38" t="s">
        <v>991</v>
      </c>
      <c r="B1095" s="7" t="s">
        <v>278</v>
      </c>
      <c r="C1095" s="8"/>
      <c r="D1095" s="8"/>
      <c r="E1095" s="8"/>
      <c r="F1095" s="8"/>
      <c r="G1095" s="8"/>
      <c r="H1095" s="8"/>
      <c r="I1095" s="8"/>
      <c r="J1095" s="8"/>
      <c r="K1095" s="8"/>
      <c r="L1095" s="8"/>
      <c r="M1095" s="8"/>
      <c r="N1095" s="8"/>
      <c r="O1095" s="8"/>
      <c r="P1095" s="8"/>
      <c r="Q1095" s="8"/>
      <c r="R1095" s="8"/>
      <c r="S1095" s="8"/>
      <c r="T1095" s="8"/>
      <c r="U1095" s="8"/>
      <c r="V1095" s="8"/>
      <c r="W1095" s="8"/>
      <c r="X1095" s="8"/>
      <c r="Y1095" s="8"/>
      <c r="Z1095" s="8"/>
    </row>
    <row r="1096" spans="1:28" x14ac:dyDescent="0.35">
      <c r="A1096" s="36"/>
      <c r="B1096" s="8"/>
      <c r="C1096" s="8"/>
      <c r="D1096" s="15" t="s">
        <v>218</v>
      </c>
      <c r="E1096" s="8"/>
      <c r="F1096" s="8"/>
      <c r="G1096" s="8"/>
      <c r="H1096" s="8"/>
      <c r="I1096" s="8"/>
      <c r="J1096" s="8"/>
      <c r="K1096" s="8"/>
      <c r="L1096" s="8"/>
      <c r="M1096" s="8"/>
      <c r="N1096" s="8"/>
      <c r="O1096" s="8"/>
      <c r="P1096" s="8"/>
      <c r="Q1096" s="8"/>
      <c r="R1096" s="8"/>
      <c r="S1096" s="8"/>
      <c r="T1096" s="8"/>
      <c r="U1096" s="8"/>
      <c r="V1096" s="8"/>
      <c r="W1096" s="8"/>
      <c r="X1096" s="8"/>
      <c r="Y1096" s="8"/>
      <c r="Z1096" s="8"/>
    </row>
    <row r="1097" spans="1:28" x14ac:dyDescent="0.35">
      <c r="A1097" s="36"/>
      <c r="B1097" s="8"/>
      <c r="C1097" s="7" t="s">
        <v>279</v>
      </c>
      <c r="D1097" s="14" t="s">
        <v>65</v>
      </c>
      <c r="E1097" s="9">
        <f>STATS1003B!E1148/1000</f>
        <v>9250.5238499999996</v>
      </c>
      <c r="F1097" s="9">
        <f>STATS1003B!F1148/1000</f>
        <v>8210.3072400000001</v>
      </c>
      <c r="G1097" s="9">
        <f>STATS1003B!G1148/1000</f>
        <v>0</v>
      </c>
      <c r="H1097" s="9">
        <f>STATS1003B!H1148/1000</f>
        <v>8210.3072400000001</v>
      </c>
      <c r="I1097" s="9">
        <f>STATS1003B!I1148/1000</f>
        <v>0</v>
      </c>
      <c r="J1097" s="9">
        <f>STATS1003B!J1148/1000</f>
        <v>0</v>
      </c>
      <c r="K1097" s="9">
        <f>STATS1003B!K1148/1000</f>
        <v>0</v>
      </c>
      <c r="L1097" s="9">
        <f>STATS1003B!L1148/1000</f>
        <v>0</v>
      </c>
      <c r="M1097" s="9">
        <f>STATS1003B!M1148/1000</f>
        <v>8210.3072400000001</v>
      </c>
      <c r="N1097" s="9">
        <f>STATS1003B!N1148/1000</f>
        <v>1040.2166099999999</v>
      </c>
      <c r="O1097" s="9">
        <f>STATS1003B!O1148/1000</f>
        <v>0</v>
      </c>
      <c r="P1097" s="9">
        <f>STATS1003B!P1148/1000</f>
        <v>1040.2166099999999</v>
      </c>
      <c r="Q1097" s="9">
        <f>STATS1003B!Q1148/1000</f>
        <v>0</v>
      </c>
      <c r="R1097" s="9">
        <f>STATS1003B!R1148/1000</f>
        <v>0</v>
      </c>
      <c r="S1097" s="9">
        <f>STATS1003B!S1148/1000</f>
        <v>0</v>
      </c>
      <c r="T1097" s="9">
        <f>STATS1003B!T1148/1000</f>
        <v>0</v>
      </c>
      <c r="U1097" s="9">
        <f>STATS1003B!U1148/1000</f>
        <v>1040.2166099999999</v>
      </c>
      <c r="V1097" s="9">
        <f>STATS1003B!V1148/1000</f>
        <v>9250.5238499999996</v>
      </c>
      <c r="W1097" s="9">
        <f>STATS1003B!W1148/1000</f>
        <v>0</v>
      </c>
      <c r="X1097" s="9">
        <f>STATS1003B!X1148/1000</f>
        <v>9250.5238499999996</v>
      </c>
      <c r="Y1097" s="9">
        <f>STATS1003B!Y1148/1000</f>
        <v>0</v>
      </c>
      <c r="Z1097" s="9">
        <f>STATS1003B!Z1148/1000</f>
        <v>0</v>
      </c>
      <c r="AA1097" s="9">
        <f>STATS1003B!AA1148/1000</f>
        <v>9250.5238499999996</v>
      </c>
      <c r="AB1097" s="9">
        <f>STATS1003B!AB1148/1000</f>
        <v>0</v>
      </c>
    </row>
    <row r="1098" spans="1:28" x14ac:dyDescent="0.35">
      <c r="A1098" s="36"/>
      <c r="B1098" s="8"/>
      <c r="C1098" s="7" t="s">
        <v>172</v>
      </c>
      <c r="D1098" s="15" t="s">
        <v>166</v>
      </c>
      <c r="E1098" s="9">
        <f>STATS1003B!E1149/1000</f>
        <v>1010.957</v>
      </c>
      <c r="F1098" s="9">
        <f>STATS1003B!F1149/1000</f>
        <v>1010.957</v>
      </c>
      <c r="G1098" s="9">
        <f>STATS1003B!G1149/1000</f>
        <v>0</v>
      </c>
      <c r="H1098" s="9">
        <f>STATS1003B!H1149/1000</f>
        <v>1010.957</v>
      </c>
      <c r="I1098" s="9">
        <f>STATS1003B!I1149/1000</f>
        <v>0</v>
      </c>
      <c r="J1098" s="9">
        <f>STATS1003B!J1149/1000</f>
        <v>0</v>
      </c>
      <c r="K1098" s="9">
        <f>STATS1003B!K1149/1000</f>
        <v>0</v>
      </c>
      <c r="L1098" s="9">
        <f>STATS1003B!L1149/1000</f>
        <v>0</v>
      </c>
      <c r="M1098" s="9">
        <f>STATS1003B!M1149/1000</f>
        <v>1010.957</v>
      </c>
      <c r="N1098" s="9">
        <f>STATS1003B!N1149/1000</f>
        <v>0</v>
      </c>
      <c r="O1098" s="9">
        <f>STATS1003B!O1149/1000</f>
        <v>0</v>
      </c>
      <c r="P1098" s="9">
        <f>STATS1003B!P1149/1000</f>
        <v>0</v>
      </c>
      <c r="Q1098" s="9">
        <f>STATS1003B!Q1149/1000</f>
        <v>0</v>
      </c>
      <c r="R1098" s="9">
        <f>STATS1003B!R1149/1000</f>
        <v>0</v>
      </c>
      <c r="S1098" s="9">
        <f>STATS1003B!S1149/1000</f>
        <v>0</v>
      </c>
      <c r="T1098" s="9">
        <f>STATS1003B!T1149/1000</f>
        <v>0</v>
      </c>
      <c r="U1098" s="9">
        <f>STATS1003B!U1149/1000</f>
        <v>0</v>
      </c>
      <c r="V1098" s="9">
        <f>STATS1003B!V1149/1000</f>
        <v>1010.957</v>
      </c>
      <c r="W1098" s="9">
        <f>STATS1003B!W1149/1000</f>
        <v>0</v>
      </c>
      <c r="X1098" s="9">
        <f>STATS1003B!X1149/1000</f>
        <v>1010.957</v>
      </c>
      <c r="Y1098" s="9">
        <f>STATS1003B!Y1149/1000</f>
        <v>0</v>
      </c>
      <c r="Z1098" s="9">
        <f>STATS1003B!Z1149/1000</f>
        <v>0</v>
      </c>
      <c r="AA1098" s="9">
        <f>STATS1003B!AA1149/1000</f>
        <v>1010.957</v>
      </c>
      <c r="AB1098" s="9">
        <f>STATS1003B!AB1149/1000</f>
        <v>0</v>
      </c>
    </row>
    <row r="1099" spans="1:28" x14ac:dyDescent="0.35">
      <c r="A1099" s="36"/>
      <c r="B1099" s="8"/>
      <c r="C1099" s="7" t="s">
        <v>53</v>
      </c>
      <c r="D1099" s="15" t="s">
        <v>68</v>
      </c>
      <c r="E1099" s="9">
        <f>STATS1003B!E1150/1000</f>
        <v>1953.989</v>
      </c>
      <c r="F1099" s="9">
        <f>STATS1003B!F1150/1000</f>
        <v>0</v>
      </c>
      <c r="G1099" s="9">
        <f>STATS1003B!G1150/1000</f>
        <v>0</v>
      </c>
      <c r="H1099" s="9">
        <f>STATS1003B!H1150/1000</f>
        <v>0</v>
      </c>
      <c r="I1099" s="9">
        <f>STATS1003B!I1150/1000</f>
        <v>0</v>
      </c>
      <c r="J1099" s="9">
        <f>STATS1003B!J1150/1000</f>
        <v>0</v>
      </c>
      <c r="K1099" s="9">
        <f>STATS1003B!K1150/1000</f>
        <v>0</v>
      </c>
      <c r="L1099" s="9">
        <f>STATS1003B!L1150/1000</f>
        <v>0</v>
      </c>
      <c r="M1099" s="9">
        <f>STATS1003B!M1150/1000</f>
        <v>0</v>
      </c>
      <c r="N1099" s="9">
        <f>STATS1003B!N1150/1000</f>
        <v>1953.989</v>
      </c>
      <c r="O1099" s="9">
        <f>STATS1003B!O1150/1000</f>
        <v>0</v>
      </c>
      <c r="P1099" s="9">
        <f>STATS1003B!P1150/1000</f>
        <v>1953.989</v>
      </c>
      <c r="Q1099" s="9">
        <f>STATS1003B!Q1150/1000</f>
        <v>0</v>
      </c>
      <c r="R1099" s="9">
        <f>STATS1003B!R1150/1000</f>
        <v>0</v>
      </c>
      <c r="S1099" s="9">
        <f>STATS1003B!S1150/1000</f>
        <v>0</v>
      </c>
      <c r="T1099" s="9">
        <f>STATS1003B!T1150/1000</f>
        <v>0</v>
      </c>
      <c r="U1099" s="9">
        <f>STATS1003B!U1150/1000</f>
        <v>1953.989</v>
      </c>
      <c r="V1099" s="9">
        <f>STATS1003B!V1150/1000</f>
        <v>1953.989</v>
      </c>
      <c r="W1099" s="9">
        <f>STATS1003B!W1150/1000</f>
        <v>0</v>
      </c>
      <c r="X1099" s="9">
        <f>STATS1003B!X1150/1000</f>
        <v>1953.989</v>
      </c>
      <c r="Y1099" s="9">
        <f>STATS1003B!Y1150/1000</f>
        <v>0</v>
      </c>
      <c r="Z1099" s="9">
        <f>STATS1003B!Z1150/1000</f>
        <v>0</v>
      </c>
      <c r="AA1099" s="9">
        <f>STATS1003B!AA1150/1000</f>
        <v>1953.989</v>
      </c>
      <c r="AB1099" s="9">
        <f>STATS1003B!AB1150/1000</f>
        <v>0</v>
      </c>
    </row>
    <row r="1100" spans="1:28" x14ac:dyDescent="0.35">
      <c r="A1100" s="36"/>
      <c r="B1100" s="8"/>
      <c r="C1100" s="7" t="s">
        <v>280</v>
      </c>
      <c r="D1100" s="15" t="s">
        <v>68</v>
      </c>
      <c r="E1100" s="9">
        <f>STATS1003B!E1151/1000</f>
        <v>1550</v>
      </c>
      <c r="F1100" s="9">
        <f>STATS1003B!F1151/1000</f>
        <v>1488.15996</v>
      </c>
      <c r="G1100" s="9">
        <f>STATS1003B!G1151/1000</f>
        <v>0</v>
      </c>
      <c r="H1100" s="9">
        <f>STATS1003B!H1151/1000</f>
        <v>1488.15996</v>
      </c>
      <c r="I1100" s="9">
        <f>STATS1003B!I1151/1000</f>
        <v>0</v>
      </c>
      <c r="J1100" s="9">
        <f>STATS1003B!J1151/1000</f>
        <v>0</v>
      </c>
      <c r="K1100" s="9">
        <f>STATS1003B!K1151/1000</f>
        <v>0</v>
      </c>
      <c r="L1100" s="9">
        <f>STATS1003B!L1151/1000</f>
        <v>0</v>
      </c>
      <c r="M1100" s="9">
        <f>STATS1003B!M1151/1000</f>
        <v>1488.15996</v>
      </c>
      <c r="N1100" s="9">
        <f>STATS1003B!N1151/1000</f>
        <v>61.840040000000002</v>
      </c>
      <c r="O1100" s="9">
        <f>STATS1003B!O1151/1000</f>
        <v>0</v>
      </c>
      <c r="P1100" s="9">
        <f>STATS1003B!P1151/1000</f>
        <v>61.840040000000002</v>
      </c>
      <c r="Q1100" s="9">
        <f>STATS1003B!Q1151/1000</f>
        <v>0</v>
      </c>
      <c r="R1100" s="9">
        <f>STATS1003B!R1151/1000</f>
        <v>0</v>
      </c>
      <c r="S1100" s="9">
        <f>STATS1003B!S1151/1000</f>
        <v>0</v>
      </c>
      <c r="T1100" s="9">
        <f>STATS1003B!T1151/1000</f>
        <v>0</v>
      </c>
      <c r="U1100" s="9">
        <f>STATS1003B!U1151/1000</f>
        <v>61.840040000000002</v>
      </c>
      <c r="V1100" s="9">
        <f>STATS1003B!V1151/1000</f>
        <v>1550</v>
      </c>
      <c r="W1100" s="9">
        <f>STATS1003B!W1151/1000</f>
        <v>0</v>
      </c>
      <c r="X1100" s="9">
        <f>STATS1003B!X1151/1000</f>
        <v>1550</v>
      </c>
      <c r="Y1100" s="9">
        <f>STATS1003B!Y1151/1000</f>
        <v>0</v>
      </c>
      <c r="Z1100" s="9">
        <f>STATS1003B!Z1151/1000</f>
        <v>0</v>
      </c>
      <c r="AA1100" s="9">
        <f>STATS1003B!AA1151/1000</f>
        <v>1550</v>
      </c>
      <c r="AB1100" s="9">
        <f>STATS1003B!AB1151/1000</f>
        <v>0</v>
      </c>
    </row>
    <row r="1101" spans="1:28" x14ac:dyDescent="0.35">
      <c r="A1101" s="36"/>
      <c r="B1101" s="8"/>
      <c r="C1101" s="7" t="s">
        <v>281</v>
      </c>
      <c r="D1101" s="15" t="s">
        <v>173</v>
      </c>
      <c r="E1101" s="9">
        <f>STATS1003B!E1152/1000</f>
        <v>4571.576</v>
      </c>
      <c r="F1101" s="9">
        <f>STATS1003B!F1152/1000</f>
        <v>4571.576</v>
      </c>
      <c r="G1101" s="9">
        <f>STATS1003B!G1152/1000</f>
        <v>0</v>
      </c>
      <c r="H1101" s="9">
        <f>STATS1003B!H1152/1000</f>
        <v>4571.576</v>
      </c>
      <c r="I1101" s="9">
        <f>STATS1003B!I1152/1000</f>
        <v>0</v>
      </c>
      <c r="J1101" s="9">
        <f>STATS1003B!J1152/1000</f>
        <v>0</v>
      </c>
      <c r="K1101" s="9">
        <f>STATS1003B!K1152/1000</f>
        <v>0</v>
      </c>
      <c r="L1101" s="9">
        <f>STATS1003B!L1152/1000</f>
        <v>0</v>
      </c>
      <c r="M1101" s="9">
        <f>STATS1003B!M1152/1000</f>
        <v>4571.576</v>
      </c>
      <c r="N1101" s="9">
        <f>STATS1003B!N1152/1000</f>
        <v>0</v>
      </c>
      <c r="O1101" s="9">
        <f>STATS1003B!O1152/1000</f>
        <v>0</v>
      </c>
      <c r="P1101" s="9">
        <f>STATS1003B!P1152/1000</f>
        <v>0</v>
      </c>
      <c r="Q1101" s="9">
        <f>STATS1003B!Q1152/1000</f>
        <v>0</v>
      </c>
      <c r="R1101" s="9">
        <f>STATS1003B!R1152/1000</f>
        <v>0</v>
      </c>
      <c r="S1101" s="9">
        <f>STATS1003B!S1152/1000</f>
        <v>0</v>
      </c>
      <c r="T1101" s="9">
        <f>STATS1003B!T1152/1000</f>
        <v>0</v>
      </c>
      <c r="U1101" s="9">
        <f>STATS1003B!U1152/1000</f>
        <v>0</v>
      </c>
      <c r="V1101" s="9">
        <f>STATS1003B!V1152/1000</f>
        <v>4571.576</v>
      </c>
      <c r="W1101" s="9">
        <f>STATS1003B!W1152/1000</f>
        <v>0</v>
      </c>
      <c r="X1101" s="9">
        <f>STATS1003B!X1152/1000</f>
        <v>4571.576</v>
      </c>
      <c r="Y1101" s="9">
        <f>STATS1003B!Y1152/1000</f>
        <v>0</v>
      </c>
      <c r="Z1101" s="9">
        <f>STATS1003B!Z1152/1000</f>
        <v>0</v>
      </c>
      <c r="AA1101" s="9">
        <f>STATS1003B!AA1152/1000</f>
        <v>4571.576</v>
      </c>
      <c r="AB1101" s="9">
        <f>STATS1003B!AB1152/1000</f>
        <v>0</v>
      </c>
    </row>
    <row r="1102" spans="1:28" x14ac:dyDescent="0.35">
      <c r="A1102" s="36"/>
      <c r="B1102" s="8"/>
      <c r="C1102" s="7" t="s">
        <v>55</v>
      </c>
      <c r="D1102" s="15" t="s">
        <v>270</v>
      </c>
      <c r="E1102" s="9">
        <f>STATS1003B!E1153/1000</f>
        <v>208.8879</v>
      </c>
      <c r="F1102" s="9">
        <f>STATS1003B!F1153/1000</f>
        <v>0</v>
      </c>
      <c r="G1102" s="9">
        <f>STATS1003B!G1153/1000</f>
        <v>0</v>
      </c>
      <c r="H1102" s="9">
        <f>STATS1003B!H1153/1000</f>
        <v>0</v>
      </c>
      <c r="I1102" s="9">
        <f>STATS1003B!I1153/1000</f>
        <v>0</v>
      </c>
      <c r="J1102" s="9">
        <f>STATS1003B!J1153/1000</f>
        <v>0</v>
      </c>
      <c r="K1102" s="9">
        <f>STATS1003B!K1153/1000</f>
        <v>0</v>
      </c>
      <c r="L1102" s="9">
        <f>STATS1003B!L1153/1000</f>
        <v>0</v>
      </c>
      <c r="M1102" s="9">
        <f>STATS1003B!M1153/1000</f>
        <v>0</v>
      </c>
      <c r="N1102" s="9">
        <f>STATS1003B!N1153/1000</f>
        <v>208.8879</v>
      </c>
      <c r="O1102" s="9">
        <f>STATS1003B!O1153/1000</f>
        <v>0</v>
      </c>
      <c r="P1102" s="9">
        <f>STATS1003B!P1153/1000</f>
        <v>208.8879</v>
      </c>
      <c r="Q1102" s="9">
        <f>STATS1003B!Q1153/1000</f>
        <v>0</v>
      </c>
      <c r="R1102" s="9">
        <f>STATS1003B!R1153/1000</f>
        <v>0</v>
      </c>
      <c r="S1102" s="9">
        <f>STATS1003B!S1153/1000</f>
        <v>0</v>
      </c>
      <c r="T1102" s="9">
        <f>STATS1003B!T1153/1000</f>
        <v>0</v>
      </c>
      <c r="U1102" s="9">
        <f>STATS1003B!U1153/1000</f>
        <v>208.8879</v>
      </c>
      <c r="V1102" s="9">
        <f>STATS1003B!V1153/1000</f>
        <v>208.8879</v>
      </c>
      <c r="W1102" s="9">
        <f>STATS1003B!W1153/1000</f>
        <v>0</v>
      </c>
      <c r="X1102" s="9">
        <f>STATS1003B!X1153/1000</f>
        <v>208.8879</v>
      </c>
      <c r="Y1102" s="9">
        <f>STATS1003B!Y1153/1000</f>
        <v>0</v>
      </c>
      <c r="Z1102" s="9">
        <f>STATS1003B!Z1153/1000</f>
        <v>0</v>
      </c>
      <c r="AA1102" s="9">
        <f>STATS1003B!AA1153/1000</f>
        <v>208.8879</v>
      </c>
      <c r="AB1102" s="9">
        <f>STATS1003B!AB1153/1000</f>
        <v>0</v>
      </c>
    </row>
    <row r="1103" spans="1:28" x14ac:dyDescent="0.35">
      <c r="A1103" s="36"/>
      <c r="B1103" s="8"/>
      <c r="C1103" s="7" t="s">
        <v>282</v>
      </c>
      <c r="D1103" s="15" t="s">
        <v>54</v>
      </c>
      <c r="E1103" s="9">
        <f>STATS1003B!E1154/1000</f>
        <v>3620.893</v>
      </c>
      <c r="F1103" s="9">
        <f>STATS1003B!F1154/1000</f>
        <v>3620.893</v>
      </c>
      <c r="G1103" s="9">
        <f>STATS1003B!G1154/1000</f>
        <v>0</v>
      </c>
      <c r="H1103" s="9">
        <f>STATS1003B!H1154/1000</f>
        <v>3620.893</v>
      </c>
      <c r="I1103" s="9">
        <f>STATS1003B!I1154/1000</f>
        <v>0</v>
      </c>
      <c r="J1103" s="9">
        <f>STATS1003B!J1154/1000</f>
        <v>0</v>
      </c>
      <c r="K1103" s="9">
        <f>STATS1003B!K1154/1000</f>
        <v>0</v>
      </c>
      <c r="L1103" s="9">
        <f>STATS1003B!L1154/1000</f>
        <v>0</v>
      </c>
      <c r="M1103" s="9">
        <f>STATS1003B!M1154/1000</f>
        <v>3620.893</v>
      </c>
      <c r="N1103" s="9">
        <f>STATS1003B!N1154/1000</f>
        <v>0</v>
      </c>
      <c r="O1103" s="9">
        <f>STATS1003B!O1154/1000</f>
        <v>0</v>
      </c>
      <c r="P1103" s="9">
        <f>STATS1003B!P1154/1000</f>
        <v>0</v>
      </c>
      <c r="Q1103" s="9">
        <f>STATS1003B!Q1154/1000</f>
        <v>0</v>
      </c>
      <c r="R1103" s="9">
        <f>STATS1003B!R1154/1000</f>
        <v>0</v>
      </c>
      <c r="S1103" s="9">
        <f>STATS1003B!S1154/1000</f>
        <v>0</v>
      </c>
      <c r="T1103" s="9">
        <f>STATS1003B!T1154/1000</f>
        <v>0</v>
      </c>
      <c r="U1103" s="9">
        <f>STATS1003B!U1154/1000</f>
        <v>0</v>
      </c>
      <c r="V1103" s="9">
        <f>STATS1003B!V1154/1000</f>
        <v>3620.893</v>
      </c>
      <c r="W1103" s="9">
        <f>STATS1003B!W1154/1000</f>
        <v>0</v>
      </c>
      <c r="X1103" s="9">
        <f>STATS1003B!X1154/1000</f>
        <v>3620.893</v>
      </c>
      <c r="Y1103" s="9">
        <f>STATS1003B!Y1154/1000</f>
        <v>0</v>
      </c>
      <c r="Z1103" s="9">
        <f>STATS1003B!Z1154/1000</f>
        <v>0</v>
      </c>
      <c r="AA1103" s="9">
        <f>STATS1003B!AA1154/1000</f>
        <v>3620.893</v>
      </c>
      <c r="AB1103" s="9">
        <f>STATS1003B!AB1154/1000</f>
        <v>0</v>
      </c>
    </row>
    <row r="1104" spans="1:28" x14ac:dyDescent="0.35">
      <c r="A1104" s="36"/>
      <c r="B1104" s="8"/>
      <c r="C1104" s="7" t="s">
        <v>283</v>
      </c>
      <c r="D1104" s="15" t="s">
        <v>85</v>
      </c>
      <c r="E1104" s="9">
        <f>STATS1003B!E1155/1000</f>
        <v>1200</v>
      </c>
      <c r="F1104" s="9">
        <f>STATS1003B!F1155/1000</f>
        <v>1200</v>
      </c>
      <c r="G1104" s="9">
        <f>STATS1003B!G1155/1000</f>
        <v>0</v>
      </c>
      <c r="H1104" s="9">
        <f>STATS1003B!H1155/1000</f>
        <v>1200</v>
      </c>
      <c r="I1104" s="9">
        <f>STATS1003B!I1155/1000</f>
        <v>0</v>
      </c>
      <c r="J1104" s="9">
        <f>STATS1003B!J1155/1000</f>
        <v>0</v>
      </c>
      <c r="K1104" s="9">
        <f>STATS1003B!K1155/1000</f>
        <v>0</v>
      </c>
      <c r="L1104" s="9">
        <f>STATS1003B!L1155/1000</f>
        <v>0</v>
      </c>
      <c r="M1104" s="9">
        <f>STATS1003B!M1155/1000</f>
        <v>1200</v>
      </c>
      <c r="N1104" s="9">
        <f>STATS1003B!N1155/1000</f>
        <v>0</v>
      </c>
      <c r="O1104" s="9">
        <f>STATS1003B!O1155/1000</f>
        <v>0</v>
      </c>
      <c r="P1104" s="9">
        <f>STATS1003B!P1155/1000</f>
        <v>0</v>
      </c>
      <c r="Q1104" s="9">
        <f>STATS1003B!Q1155/1000</f>
        <v>0</v>
      </c>
      <c r="R1104" s="9">
        <f>STATS1003B!R1155/1000</f>
        <v>0</v>
      </c>
      <c r="S1104" s="9">
        <f>STATS1003B!S1155/1000</f>
        <v>0</v>
      </c>
      <c r="T1104" s="9">
        <f>STATS1003B!T1155/1000</f>
        <v>0</v>
      </c>
      <c r="U1104" s="9">
        <f>STATS1003B!U1155/1000</f>
        <v>0</v>
      </c>
      <c r="V1104" s="9">
        <f>STATS1003B!V1155/1000</f>
        <v>1200</v>
      </c>
      <c r="W1104" s="9">
        <f>STATS1003B!W1155/1000</f>
        <v>0</v>
      </c>
      <c r="X1104" s="9">
        <f>STATS1003B!X1155/1000</f>
        <v>1200</v>
      </c>
      <c r="Y1104" s="9">
        <f>STATS1003B!Y1155/1000</f>
        <v>0</v>
      </c>
      <c r="Z1104" s="9">
        <f>STATS1003B!Z1155/1000</f>
        <v>0</v>
      </c>
      <c r="AA1104" s="9">
        <f>STATS1003B!AA1155/1000</f>
        <v>1200</v>
      </c>
      <c r="AB1104" s="9">
        <f>STATS1003B!AB1155/1000</f>
        <v>0</v>
      </c>
    </row>
    <row r="1105" spans="1:28" x14ac:dyDescent="0.35">
      <c r="A1105" s="36"/>
      <c r="B1105" s="8"/>
      <c r="C1105" s="7" t="s">
        <v>225</v>
      </c>
      <c r="D1105" s="15" t="s">
        <v>85</v>
      </c>
      <c r="E1105" s="9">
        <f>STATS1003B!E1156/1000</f>
        <v>160</v>
      </c>
      <c r="F1105" s="9">
        <f>STATS1003B!F1156/1000</f>
        <v>160</v>
      </c>
      <c r="G1105" s="9">
        <f>STATS1003B!G1156/1000</f>
        <v>0</v>
      </c>
      <c r="H1105" s="9">
        <f>STATS1003B!H1156/1000</f>
        <v>160</v>
      </c>
      <c r="I1105" s="9">
        <f>STATS1003B!I1156/1000</f>
        <v>0</v>
      </c>
      <c r="J1105" s="9">
        <f>STATS1003B!J1156/1000</f>
        <v>0</v>
      </c>
      <c r="K1105" s="9">
        <f>STATS1003B!K1156/1000</f>
        <v>0</v>
      </c>
      <c r="L1105" s="9">
        <f>STATS1003B!L1156/1000</f>
        <v>0</v>
      </c>
      <c r="M1105" s="9">
        <f>STATS1003B!M1156/1000</f>
        <v>160</v>
      </c>
      <c r="N1105" s="9">
        <f>STATS1003B!N1156/1000</f>
        <v>0</v>
      </c>
      <c r="O1105" s="9">
        <f>STATS1003B!O1156/1000</f>
        <v>0</v>
      </c>
      <c r="P1105" s="9">
        <f>STATS1003B!P1156/1000</f>
        <v>0</v>
      </c>
      <c r="Q1105" s="9">
        <f>STATS1003B!Q1156/1000</f>
        <v>0</v>
      </c>
      <c r="R1105" s="9">
        <f>STATS1003B!R1156/1000</f>
        <v>0</v>
      </c>
      <c r="S1105" s="9">
        <f>STATS1003B!S1156/1000</f>
        <v>0</v>
      </c>
      <c r="T1105" s="9">
        <f>STATS1003B!T1156/1000</f>
        <v>0</v>
      </c>
      <c r="U1105" s="9">
        <f>STATS1003B!U1156/1000</f>
        <v>0</v>
      </c>
      <c r="V1105" s="9">
        <f>STATS1003B!V1156/1000</f>
        <v>160</v>
      </c>
      <c r="W1105" s="9">
        <f>STATS1003B!W1156/1000</f>
        <v>0</v>
      </c>
      <c r="X1105" s="9">
        <f>STATS1003B!X1156/1000</f>
        <v>160</v>
      </c>
      <c r="Y1105" s="9">
        <f>STATS1003B!Y1156/1000</f>
        <v>0</v>
      </c>
      <c r="Z1105" s="9">
        <f>STATS1003B!Z1156/1000</f>
        <v>0</v>
      </c>
      <c r="AA1105" s="9">
        <f>STATS1003B!AA1156/1000</f>
        <v>160</v>
      </c>
      <c r="AB1105" s="9">
        <f>STATS1003B!AB1156/1000</f>
        <v>0</v>
      </c>
    </row>
    <row r="1106" spans="1:28" x14ac:dyDescent="0.35">
      <c r="A1106" s="36"/>
      <c r="B1106" s="8"/>
      <c r="C1106" s="7" t="s">
        <v>284</v>
      </c>
      <c r="D1106" s="15" t="s">
        <v>128</v>
      </c>
      <c r="E1106" s="9">
        <f>STATS1003B!E1157/1000</f>
        <v>3000</v>
      </c>
      <c r="F1106" s="9">
        <f>STATS1003B!F1157/1000</f>
        <v>3000</v>
      </c>
      <c r="G1106" s="9">
        <f>STATS1003B!G1157/1000</f>
        <v>0</v>
      </c>
      <c r="H1106" s="9">
        <f>STATS1003B!H1157/1000</f>
        <v>3000</v>
      </c>
      <c r="I1106" s="9">
        <f>STATS1003B!I1157/1000</f>
        <v>0</v>
      </c>
      <c r="J1106" s="9">
        <f>STATS1003B!J1157/1000</f>
        <v>0</v>
      </c>
      <c r="K1106" s="9">
        <f>STATS1003B!K1157/1000</f>
        <v>0</v>
      </c>
      <c r="L1106" s="9">
        <f>STATS1003B!L1157/1000</f>
        <v>0</v>
      </c>
      <c r="M1106" s="9">
        <f>STATS1003B!M1157/1000</f>
        <v>3000</v>
      </c>
      <c r="N1106" s="9">
        <f>STATS1003B!N1157/1000</f>
        <v>0</v>
      </c>
      <c r="O1106" s="9">
        <f>STATS1003B!O1157/1000</f>
        <v>0</v>
      </c>
      <c r="P1106" s="9">
        <f>STATS1003B!P1157/1000</f>
        <v>0</v>
      </c>
      <c r="Q1106" s="9">
        <f>STATS1003B!Q1157/1000</f>
        <v>0</v>
      </c>
      <c r="R1106" s="9">
        <f>STATS1003B!R1157/1000</f>
        <v>0</v>
      </c>
      <c r="S1106" s="9">
        <f>STATS1003B!S1157/1000</f>
        <v>0</v>
      </c>
      <c r="T1106" s="9">
        <f>STATS1003B!T1157/1000</f>
        <v>0</v>
      </c>
      <c r="U1106" s="9">
        <f>STATS1003B!U1157/1000</f>
        <v>0</v>
      </c>
      <c r="V1106" s="9">
        <f>STATS1003B!V1157/1000</f>
        <v>3000</v>
      </c>
      <c r="W1106" s="9">
        <f>STATS1003B!W1157/1000</f>
        <v>0</v>
      </c>
      <c r="X1106" s="9">
        <f>STATS1003B!X1157/1000</f>
        <v>3000</v>
      </c>
      <c r="Y1106" s="9">
        <f>STATS1003B!Y1157/1000</f>
        <v>0</v>
      </c>
      <c r="Z1106" s="9">
        <f>STATS1003B!Z1157/1000</f>
        <v>0</v>
      </c>
      <c r="AA1106" s="9">
        <f>STATS1003B!AA1157/1000</f>
        <v>3000</v>
      </c>
      <c r="AB1106" s="9">
        <f>STATS1003B!AB1157/1000</f>
        <v>0</v>
      </c>
    </row>
    <row r="1107" spans="1:28" x14ac:dyDescent="0.35">
      <c r="A1107" s="36"/>
      <c r="B1107" s="8"/>
      <c r="C1107" s="7" t="s">
        <v>57</v>
      </c>
      <c r="D1107" s="15" t="s">
        <v>58</v>
      </c>
      <c r="E1107" s="9">
        <f>STATS1003B!E1158/1000</f>
        <v>1288.82</v>
      </c>
      <c r="F1107" s="9">
        <f>STATS1003B!F1158/1000</f>
        <v>1288.82</v>
      </c>
      <c r="G1107" s="9">
        <f>STATS1003B!G1158/1000</f>
        <v>0</v>
      </c>
      <c r="H1107" s="9">
        <f>STATS1003B!H1158/1000</f>
        <v>1288.82</v>
      </c>
      <c r="I1107" s="9">
        <f>STATS1003B!I1158/1000</f>
        <v>0</v>
      </c>
      <c r="J1107" s="9">
        <f>STATS1003B!J1158/1000</f>
        <v>0</v>
      </c>
      <c r="K1107" s="9">
        <f>STATS1003B!K1158/1000</f>
        <v>0</v>
      </c>
      <c r="L1107" s="9">
        <f>STATS1003B!L1158/1000</f>
        <v>0</v>
      </c>
      <c r="M1107" s="9">
        <f>STATS1003B!M1158/1000</f>
        <v>1288.82</v>
      </c>
      <c r="N1107" s="9">
        <f>STATS1003B!N1158/1000</f>
        <v>0</v>
      </c>
      <c r="O1107" s="9">
        <f>STATS1003B!O1158/1000</f>
        <v>0</v>
      </c>
      <c r="P1107" s="9">
        <f>STATS1003B!P1158/1000</f>
        <v>0</v>
      </c>
      <c r="Q1107" s="9">
        <f>STATS1003B!Q1158/1000</f>
        <v>0</v>
      </c>
      <c r="R1107" s="9">
        <f>STATS1003B!R1158/1000</f>
        <v>0</v>
      </c>
      <c r="S1107" s="9">
        <f>STATS1003B!S1158/1000</f>
        <v>0</v>
      </c>
      <c r="T1107" s="9">
        <f>STATS1003B!T1158/1000</f>
        <v>0</v>
      </c>
      <c r="U1107" s="9">
        <f>STATS1003B!U1158/1000</f>
        <v>0</v>
      </c>
      <c r="V1107" s="9">
        <f>STATS1003B!V1158/1000</f>
        <v>1288.82</v>
      </c>
      <c r="W1107" s="9">
        <f>STATS1003B!W1158/1000</f>
        <v>0</v>
      </c>
      <c r="X1107" s="9">
        <f>STATS1003B!X1158/1000</f>
        <v>1288.82</v>
      </c>
      <c r="Y1107" s="9">
        <f>STATS1003B!Y1158/1000</f>
        <v>0</v>
      </c>
      <c r="Z1107" s="9">
        <f>STATS1003B!Z1158/1000</f>
        <v>0</v>
      </c>
      <c r="AA1107" s="9">
        <f>STATS1003B!AA1158/1000</f>
        <v>1288.82</v>
      </c>
      <c r="AB1107" s="9">
        <f>STATS1003B!AB1158/1000</f>
        <v>0</v>
      </c>
    </row>
    <row r="1108" spans="1:28" x14ac:dyDescent="0.35">
      <c r="A1108" s="36"/>
      <c r="B1108" s="8"/>
      <c r="C1108" s="7" t="s">
        <v>57</v>
      </c>
      <c r="D1108" s="15" t="s">
        <v>60</v>
      </c>
      <c r="E1108" s="9">
        <f>STATS1003B!E1159/1000</f>
        <v>2063.0131000000001</v>
      </c>
      <c r="F1108" s="9">
        <f>STATS1003B!F1159/1000</f>
        <v>2063.0131000000001</v>
      </c>
      <c r="G1108" s="9">
        <f>STATS1003B!G1159/1000</f>
        <v>0</v>
      </c>
      <c r="H1108" s="9">
        <f>STATS1003B!H1159/1000</f>
        <v>2063.0131000000001</v>
      </c>
      <c r="I1108" s="9">
        <f>STATS1003B!I1159/1000</f>
        <v>0</v>
      </c>
      <c r="J1108" s="9">
        <f>STATS1003B!J1159/1000</f>
        <v>0</v>
      </c>
      <c r="K1108" s="9">
        <f>STATS1003B!K1159/1000</f>
        <v>0</v>
      </c>
      <c r="L1108" s="9">
        <f>STATS1003B!L1159/1000</f>
        <v>0</v>
      </c>
      <c r="M1108" s="9">
        <f>STATS1003B!M1159/1000</f>
        <v>2063.0131000000001</v>
      </c>
      <c r="N1108" s="9">
        <f>STATS1003B!N1159/1000</f>
        <v>0</v>
      </c>
      <c r="O1108" s="9">
        <f>STATS1003B!O1159/1000</f>
        <v>0</v>
      </c>
      <c r="P1108" s="9">
        <f>STATS1003B!P1159/1000</f>
        <v>0</v>
      </c>
      <c r="Q1108" s="9">
        <f>STATS1003B!Q1159/1000</f>
        <v>0</v>
      </c>
      <c r="R1108" s="9">
        <f>STATS1003B!R1159/1000</f>
        <v>0</v>
      </c>
      <c r="S1108" s="9">
        <f>STATS1003B!S1159/1000</f>
        <v>0</v>
      </c>
      <c r="T1108" s="9">
        <f>STATS1003B!T1159/1000</f>
        <v>0</v>
      </c>
      <c r="U1108" s="9">
        <f>STATS1003B!U1159/1000</f>
        <v>0</v>
      </c>
      <c r="V1108" s="9">
        <f>STATS1003B!V1159/1000</f>
        <v>2063.0131000000001</v>
      </c>
      <c r="W1108" s="9">
        <f>STATS1003B!W1159/1000</f>
        <v>0</v>
      </c>
      <c r="X1108" s="9">
        <f>STATS1003B!X1159/1000</f>
        <v>2063.0131000000001</v>
      </c>
      <c r="Y1108" s="9">
        <f>STATS1003B!Y1159/1000</f>
        <v>0</v>
      </c>
      <c r="Z1108" s="9">
        <f>STATS1003B!Z1159/1000</f>
        <v>0</v>
      </c>
      <c r="AA1108" s="9">
        <f>STATS1003B!AA1159/1000</f>
        <v>2063.0131000000001</v>
      </c>
      <c r="AB1108" s="9">
        <f>STATS1003B!AB1159/1000</f>
        <v>0</v>
      </c>
    </row>
    <row r="1109" spans="1:28" x14ac:dyDescent="0.35">
      <c r="A1109" s="36"/>
      <c r="B1109" s="8"/>
      <c r="C1109" s="14" t="s">
        <v>109</v>
      </c>
      <c r="D1109" s="21" t="s">
        <v>60</v>
      </c>
      <c r="E1109" s="9">
        <f>STATS1003B!E1160/1000</f>
        <v>2500</v>
      </c>
      <c r="F1109" s="9">
        <f>STATS1003B!F1160/1000</f>
        <v>2500</v>
      </c>
      <c r="G1109" s="9">
        <f>STATS1003B!G1160/1000</f>
        <v>0</v>
      </c>
      <c r="H1109" s="9">
        <f>STATS1003B!H1160/1000</f>
        <v>2500</v>
      </c>
      <c r="I1109" s="9">
        <f>STATS1003B!I1160/1000</f>
        <v>0</v>
      </c>
      <c r="J1109" s="9">
        <f>STATS1003B!J1160/1000</f>
        <v>0</v>
      </c>
      <c r="K1109" s="9">
        <f>STATS1003B!K1160/1000</f>
        <v>0</v>
      </c>
      <c r="L1109" s="9">
        <f>STATS1003B!L1160/1000</f>
        <v>0</v>
      </c>
      <c r="M1109" s="9">
        <f>STATS1003B!M1160/1000</f>
        <v>2500</v>
      </c>
      <c r="N1109" s="9">
        <f>STATS1003B!N1160/1000</f>
        <v>0</v>
      </c>
      <c r="O1109" s="9">
        <f>STATS1003B!O1160/1000</f>
        <v>0</v>
      </c>
      <c r="P1109" s="9">
        <f>STATS1003B!P1160/1000</f>
        <v>0</v>
      </c>
      <c r="Q1109" s="9">
        <f>STATS1003B!Q1160/1000</f>
        <v>0</v>
      </c>
      <c r="R1109" s="9">
        <f>STATS1003B!R1160/1000</f>
        <v>0</v>
      </c>
      <c r="S1109" s="9">
        <f>STATS1003B!S1160/1000</f>
        <v>0</v>
      </c>
      <c r="T1109" s="9">
        <f>STATS1003B!T1160/1000</f>
        <v>0</v>
      </c>
      <c r="U1109" s="9">
        <f>STATS1003B!U1160/1000</f>
        <v>0</v>
      </c>
      <c r="V1109" s="9">
        <f>STATS1003B!V1160/1000</f>
        <v>2500</v>
      </c>
      <c r="W1109" s="9">
        <f>STATS1003B!W1160/1000</f>
        <v>0</v>
      </c>
      <c r="X1109" s="9">
        <f>STATS1003B!X1160/1000</f>
        <v>2500</v>
      </c>
      <c r="Y1109" s="9">
        <f>STATS1003B!Y1160/1000</f>
        <v>0</v>
      </c>
      <c r="Z1109" s="9">
        <f>STATS1003B!Z1160/1000</f>
        <v>0</v>
      </c>
      <c r="AA1109" s="9">
        <f>STATS1003B!AA1160/1000</f>
        <v>2500</v>
      </c>
      <c r="AB1109" s="9">
        <f>STATS1003B!AB1160/1000</f>
        <v>0</v>
      </c>
    </row>
    <row r="1110" spans="1:28" x14ac:dyDescent="0.35">
      <c r="A1110" s="36"/>
      <c r="B1110" s="8"/>
      <c r="C1110" s="7" t="s">
        <v>90</v>
      </c>
      <c r="D1110" s="16" t="s">
        <v>61</v>
      </c>
      <c r="E1110" s="9">
        <f>STATS1003B!E1161/1000</f>
        <v>500</v>
      </c>
      <c r="F1110" s="9">
        <f>STATS1003B!F1161/1000</f>
        <v>500</v>
      </c>
      <c r="G1110" s="9">
        <f>STATS1003B!G1161/1000</f>
        <v>0</v>
      </c>
      <c r="H1110" s="9">
        <f>STATS1003B!H1161/1000</f>
        <v>500</v>
      </c>
      <c r="I1110" s="9">
        <f>STATS1003B!I1161/1000</f>
        <v>0</v>
      </c>
      <c r="J1110" s="9">
        <f>STATS1003B!J1161/1000</f>
        <v>0</v>
      </c>
      <c r="K1110" s="9">
        <f>STATS1003B!K1161/1000</f>
        <v>0</v>
      </c>
      <c r="L1110" s="9">
        <f>STATS1003B!L1161/1000</f>
        <v>0</v>
      </c>
      <c r="M1110" s="9">
        <f>STATS1003B!M1161/1000</f>
        <v>500</v>
      </c>
      <c r="N1110" s="9">
        <f>STATS1003B!N1161/1000</f>
        <v>0</v>
      </c>
      <c r="O1110" s="9">
        <f>STATS1003B!O1161/1000</f>
        <v>0</v>
      </c>
      <c r="P1110" s="9">
        <f>STATS1003B!P1161/1000</f>
        <v>0</v>
      </c>
      <c r="Q1110" s="9">
        <f>STATS1003B!Q1161/1000</f>
        <v>0</v>
      </c>
      <c r="R1110" s="9">
        <f>STATS1003B!R1161/1000</f>
        <v>0</v>
      </c>
      <c r="S1110" s="9">
        <f>STATS1003B!S1161/1000</f>
        <v>0</v>
      </c>
      <c r="T1110" s="9">
        <f>STATS1003B!T1161/1000</f>
        <v>0</v>
      </c>
      <c r="U1110" s="9">
        <f>STATS1003B!U1161/1000</f>
        <v>0</v>
      </c>
      <c r="V1110" s="9">
        <f>STATS1003B!V1161/1000</f>
        <v>500</v>
      </c>
      <c r="W1110" s="9">
        <f>STATS1003B!W1161/1000</f>
        <v>0</v>
      </c>
      <c r="X1110" s="9">
        <f>STATS1003B!X1161/1000</f>
        <v>500</v>
      </c>
      <c r="Y1110" s="9">
        <f>STATS1003B!Y1161/1000</f>
        <v>0</v>
      </c>
      <c r="Z1110" s="9">
        <f>STATS1003B!Z1161/1000</f>
        <v>0</v>
      </c>
      <c r="AA1110" s="9">
        <f>STATS1003B!AA1161/1000</f>
        <v>500</v>
      </c>
      <c r="AB1110" s="9">
        <f>STATS1003B!AB1161/1000</f>
        <v>0</v>
      </c>
    </row>
    <row r="1111" spans="1:28" x14ac:dyDescent="0.35">
      <c r="A1111" s="36"/>
      <c r="B1111" s="8"/>
      <c r="C1111" s="7" t="s">
        <v>1134</v>
      </c>
      <c r="D1111" s="16" t="s">
        <v>1126</v>
      </c>
      <c r="E1111" s="9">
        <f>STATS1003B!E1163/1000</f>
        <v>1209.0686099999998</v>
      </c>
      <c r="F1111" s="9">
        <f>STATS1003B!F1163/1000</f>
        <v>1209.0686099999998</v>
      </c>
      <c r="G1111" s="9">
        <f>STATS1003B!G1163/1000</f>
        <v>0</v>
      </c>
      <c r="H1111" s="9">
        <f>STATS1003B!H1163/1000</f>
        <v>1209.0686099999998</v>
      </c>
      <c r="I1111" s="9">
        <f>STATS1003B!I1163/1000</f>
        <v>0</v>
      </c>
      <c r="J1111" s="9">
        <f>STATS1003B!J1163/1000</f>
        <v>0</v>
      </c>
      <c r="K1111" s="9">
        <f>STATS1003B!K1163/1000</f>
        <v>0</v>
      </c>
      <c r="L1111" s="9">
        <f>STATS1003B!L1163/1000</f>
        <v>0</v>
      </c>
      <c r="M1111" s="9">
        <f>STATS1003B!M1163/1000</f>
        <v>1209.0686099999998</v>
      </c>
      <c r="N1111" s="9">
        <f>STATS1003B!N1163/1000</f>
        <v>0</v>
      </c>
      <c r="O1111" s="9">
        <f>STATS1003B!O1163/1000</f>
        <v>0</v>
      </c>
      <c r="P1111" s="9">
        <f>STATS1003B!P1163/1000</f>
        <v>0</v>
      </c>
      <c r="Q1111" s="9">
        <f>STATS1003B!Q1163/1000</f>
        <v>0</v>
      </c>
      <c r="R1111" s="9">
        <f>STATS1003B!R1163/1000</f>
        <v>0</v>
      </c>
      <c r="S1111" s="9">
        <f>STATS1003B!S1163/1000</f>
        <v>0</v>
      </c>
      <c r="T1111" s="9">
        <f>STATS1003B!T1163/1000</f>
        <v>0</v>
      </c>
      <c r="U1111" s="9">
        <f>STATS1003B!U1163/1000</f>
        <v>0</v>
      </c>
      <c r="V1111" s="9">
        <f>STATS1003B!V1163/1000</f>
        <v>1209.0686099999998</v>
      </c>
      <c r="W1111" s="9">
        <f>STATS1003B!W1163/1000</f>
        <v>0</v>
      </c>
      <c r="X1111" s="9">
        <f>STATS1003B!X1163/1000</f>
        <v>1209.0686099999998</v>
      </c>
      <c r="Y1111" s="9">
        <f>STATS1003B!Y1163/1000</f>
        <v>0</v>
      </c>
      <c r="Z1111" s="9">
        <f>STATS1003B!Z1163/1000</f>
        <v>0</v>
      </c>
      <c r="AA1111" s="9">
        <f>STATS1003B!AA1163/1000</f>
        <v>1209.0686099999998</v>
      </c>
      <c r="AB1111" s="9">
        <f>STATS1003B!AB1163/1000</f>
        <v>0</v>
      </c>
    </row>
    <row r="1112" spans="1:28" x14ac:dyDescent="0.35">
      <c r="A1112" s="36"/>
      <c r="B1112" s="8"/>
      <c r="C1112" s="7" t="s">
        <v>930</v>
      </c>
      <c r="D1112" s="16" t="s">
        <v>1072</v>
      </c>
      <c r="E1112" s="9">
        <f>STATS1003B!E1164/1000</f>
        <v>775</v>
      </c>
      <c r="F1112" s="9">
        <f>STATS1003B!F1164/1000</f>
        <v>775</v>
      </c>
      <c r="G1112" s="9">
        <f>STATS1003B!G1164/1000</f>
        <v>0</v>
      </c>
      <c r="H1112" s="9">
        <f>STATS1003B!H1164/1000</f>
        <v>775</v>
      </c>
      <c r="I1112" s="9">
        <f>STATS1003B!I1164/1000</f>
        <v>0</v>
      </c>
      <c r="J1112" s="9">
        <f>STATS1003B!J1164/1000</f>
        <v>0</v>
      </c>
      <c r="K1112" s="9">
        <f>STATS1003B!K1164/1000</f>
        <v>0</v>
      </c>
      <c r="L1112" s="9">
        <f>STATS1003B!L1164/1000</f>
        <v>0</v>
      </c>
      <c r="M1112" s="9">
        <f>STATS1003B!M1164/1000</f>
        <v>775</v>
      </c>
      <c r="N1112" s="9">
        <f>STATS1003B!N1164/1000</f>
        <v>0</v>
      </c>
      <c r="O1112" s="9">
        <f>STATS1003B!O1164/1000</f>
        <v>0</v>
      </c>
      <c r="P1112" s="9">
        <f>STATS1003B!P1164/1000</f>
        <v>0</v>
      </c>
      <c r="Q1112" s="9">
        <f>STATS1003B!Q1164/1000</f>
        <v>0</v>
      </c>
      <c r="R1112" s="9">
        <f>STATS1003B!R1164/1000</f>
        <v>0</v>
      </c>
      <c r="S1112" s="9">
        <f>STATS1003B!S1164/1000</f>
        <v>0</v>
      </c>
      <c r="T1112" s="9">
        <f>STATS1003B!T1164/1000</f>
        <v>0</v>
      </c>
      <c r="U1112" s="9">
        <f>STATS1003B!U1164/1000</f>
        <v>0</v>
      </c>
      <c r="V1112" s="9">
        <f>STATS1003B!V1164/1000</f>
        <v>775</v>
      </c>
      <c r="W1112" s="9">
        <f>STATS1003B!W1164/1000</f>
        <v>0</v>
      </c>
      <c r="X1112" s="9">
        <f>STATS1003B!X1164/1000</f>
        <v>775</v>
      </c>
      <c r="Y1112" s="9">
        <f>STATS1003B!Y1164/1000</f>
        <v>0</v>
      </c>
      <c r="Z1112" s="9">
        <f>STATS1003B!Z1164/1000</f>
        <v>0</v>
      </c>
      <c r="AA1112" s="9">
        <f>STATS1003B!AA1164/1000</f>
        <v>775</v>
      </c>
      <c r="AB1112" s="9">
        <f>STATS1003B!AB1164/1000</f>
        <v>0</v>
      </c>
    </row>
    <row r="1113" spans="1:28" x14ac:dyDescent="0.35">
      <c r="A1113" s="36"/>
      <c r="B1113" s="8"/>
      <c r="C1113" s="7" t="s">
        <v>57</v>
      </c>
      <c r="D1113" s="16" t="s">
        <v>61</v>
      </c>
      <c r="E1113" s="9">
        <f>STATS1003B!E1165/1000</f>
        <v>613.01013999999998</v>
      </c>
      <c r="F1113" s="9">
        <f>STATS1003B!F1165/1000</f>
        <v>613.01013999999998</v>
      </c>
      <c r="G1113" s="9">
        <f>STATS1003B!G1165/1000</f>
        <v>0</v>
      </c>
      <c r="H1113" s="9">
        <f>STATS1003B!H1165/1000</f>
        <v>613.01013999999998</v>
      </c>
      <c r="I1113" s="9">
        <f>STATS1003B!I1165/1000</f>
        <v>0</v>
      </c>
      <c r="J1113" s="9">
        <f>STATS1003B!J1165/1000</f>
        <v>0</v>
      </c>
      <c r="K1113" s="9">
        <f>STATS1003B!K1165/1000</f>
        <v>0</v>
      </c>
      <c r="L1113" s="9">
        <f>STATS1003B!L1165/1000</f>
        <v>0</v>
      </c>
      <c r="M1113" s="9">
        <f>STATS1003B!M1165/1000</f>
        <v>613.01013999999998</v>
      </c>
      <c r="N1113" s="9">
        <f>STATS1003B!N1165/1000</f>
        <v>0</v>
      </c>
      <c r="O1113" s="9">
        <f>STATS1003B!O1165/1000</f>
        <v>0</v>
      </c>
      <c r="P1113" s="9">
        <f>STATS1003B!P1165/1000</f>
        <v>0</v>
      </c>
      <c r="Q1113" s="9">
        <f>STATS1003B!Q1165/1000</f>
        <v>0</v>
      </c>
      <c r="R1113" s="9">
        <f>STATS1003B!R1165/1000</f>
        <v>0</v>
      </c>
      <c r="S1113" s="9">
        <f>STATS1003B!S1165/1000</f>
        <v>0</v>
      </c>
      <c r="T1113" s="9">
        <f>STATS1003B!T1165/1000</f>
        <v>0</v>
      </c>
      <c r="U1113" s="9">
        <f>STATS1003B!U1165/1000</f>
        <v>0</v>
      </c>
      <c r="V1113" s="9">
        <f>STATS1003B!V1165/1000</f>
        <v>613.01013999999998</v>
      </c>
      <c r="W1113" s="9">
        <f>STATS1003B!W1165/1000</f>
        <v>0</v>
      </c>
      <c r="X1113" s="9">
        <f>STATS1003B!X1165/1000</f>
        <v>613.01013999999998</v>
      </c>
      <c r="Y1113" s="9">
        <f>STATS1003B!Y1165/1000</f>
        <v>0</v>
      </c>
      <c r="Z1113" s="9">
        <f>STATS1003B!Z1165/1000</f>
        <v>0</v>
      </c>
      <c r="AA1113" s="9">
        <f>STATS1003B!AA1165/1000</f>
        <v>613.01013999999998</v>
      </c>
      <c r="AB1113" s="9">
        <f>STATS1003B!AB1165/1000</f>
        <v>0</v>
      </c>
    </row>
    <row r="1114" spans="1:28" x14ac:dyDescent="0.35">
      <c r="A1114" s="36"/>
      <c r="B1114" s="8"/>
      <c r="C1114" s="8"/>
      <c r="D1114" s="8"/>
      <c r="E1114" s="17" t="s">
        <v>29</v>
      </c>
      <c r="F1114" s="17" t="s">
        <v>29</v>
      </c>
      <c r="G1114" s="17" t="s">
        <v>29</v>
      </c>
      <c r="H1114" s="17" t="s">
        <v>29</v>
      </c>
      <c r="I1114" s="17" t="s">
        <v>29</v>
      </c>
      <c r="J1114" s="17" t="s">
        <v>29</v>
      </c>
      <c r="K1114" s="17" t="s">
        <v>29</v>
      </c>
      <c r="L1114" s="17" t="s">
        <v>29</v>
      </c>
      <c r="M1114" s="17" t="s">
        <v>29</v>
      </c>
      <c r="N1114" s="17" t="s">
        <v>29</v>
      </c>
      <c r="O1114" s="17" t="s">
        <v>29</v>
      </c>
      <c r="P1114" s="17" t="s">
        <v>29</v>
      </c>
      <c r="Q1114" s="17" t="s">
        <v>29</v>
      </c>
      <c r="R1114" s="17" t="s">
        <v>29</v>
      </c>
      <c r="S1114" s="17" t="s">
        <v>29</v>
      </c>
      <c r="T1114" s="17" t="s">
        <v>29</v>
      </c>
      <c r="U1114" s="17" t="s">
        <v>29</v>
      </c>
      <c r="V1114" s="17" t="s">
        <v>29</v>
      </c>
      <c r="W1114" s="17" t="s">
        <v>29</v>
      </c>
      <c r="X1114" s="17" t="s">
        <v>29</v>
      </c>
      <c r="Y1114" s="17" t="s">
        <v>29</v>
      </c>
      <c r="Z1114" s="17" t="s">
        <v>29</v>
      </c>
      <c r="AA1114" s="17" t="s">
        <v>29</v>
      </c>
      <c r="AB1114" s="17" t="s">
        <v>29</v>
      </c>
    </row>
    <row r="1115" spans="1:28" x14ac:dyDescent="0.35">
      <c r="A1115" s="36"/>
      <c r="B1115" s="8"/>
      <c r="C1115" s="8"/>
      <c r="D1115" s="8"/>
      <c r="E1115" s="9">
        <f t="shared" ref="E1115:AB1115" si="82">SUM(E1097:E1113)</f>
        <v>35475.738599999997</v>
      </c>
      <c r="F1115" s="9">
        <f t="shared" si="82"/>
        <v>32210.805049999999</v>
      </c>
      <c r="G1115" s="9">
        <f t="shared" si="82"/>
        <v>0</v>
      </c>
      <c r="H1115" s="9">
        <f t="shared" si="82"/>
        <v>32210.805049999999</v>
      </c>
      <c r="I1115" s="9">
        <f t="shared" si="82"/>
        <v>0</v>
      </c>
      <c r="J1115" s="9">
        <f t="shared" si="82"/>
        <v>0</v>
      </c>
      <c r="K1115" s="9">
        <f t="shared" si="82"/>
        <v>0</v>
      </c>
      <c r="L1115" s="9">
        <f t="shared" si="82"/>
        <v>0</v>
      </c>
      <c r="M1115" s="9">
        <f t="shared" si="82"/>
        <v>32210.805049999999</v>
      </c>
      <c r="N1115" s="9">
        <f t="shared" si="82"/>
        <v>3264.9335500000002</v>
      </c>
      <c r="O1115" s="9">
        <f t="shared" si="82"/>
        <v>0</v>
      </c>
      <c r="P1115" s="9">
        <f t="shared" si="82"/>
        <v>3264.9335500000002</v>
      </c>
      <c r="Q1115" s="9">
        <f t="shared" si="82"/>
        <v>0</v>
      </c>
      <c r="R1115" s="9">
        <f t="shared" si="82"/>
        <v>0</v>
      </c>
      <c r="S1115" s="9">
        <f t="shared" si="82"/>
        <v>0</v>
      </c>
      <c r="T1115" s="9">
        <f t="shared" si="82"/>
        <v>0</v>
      </c>
      <c r="U1115" s="9">
        <f t="shared" si="82"/>
        <v>3264.9335500000002</v>
      </c>
      <c r="V1115" s="9">
        <f t="shared" si="82"/>
        <v>35475.738599999997</v>
      </c>
      <c r="W1115" s="9">
        <f t="shared" si="82"/>
        <v>0</v>
      </c>
      <c r="X1115" s="9">
        <f t="shared" si="82"/>
        <v>35475.738599999997</v>
      </c>
      <c r="Y1115" s="9">
        <f t="shared" si="82"/>
        <v>0</v>
      </c>
      <c r="Z1115" s="9">
        <f t="shared" si="82"/>
        <v>0</v>
      </c>
      <c r="AA1115" s="9">
        <f t="shared" si="82"/>
        <v>35475.738599999997</v>
      </c>
      <c r="AB1115" s="9">
        <f t="shared" si="82"/>
        <v>0</v>
      </c>
    </row>
    <row r="1116" spans="1:28" x14ac:dyDescent="0.35">
      <c r="A1116" s="36"/>
      <c r="B1116" s="8"/>
      <c r="C1116" s="8"/>
      <c r="D1116" s="8"/>
      <c r="E1116" s="17" t="s">
        <v>29</v>
      </c>
      <c r="F1116" s="17" t="s">
        <v>29</v>
      </c>
      <c r="G1116" s="17" t="s">
        <v>29</v>
      </c>
      <c r="H1116" s="17" t="s">
        <v>29</v>
      </c>
      <c r="I1116" s="17" t="s">
        <v>29</v>
      </c>
      <c r="J1116" s="17" t="s">
        <v>29</v>
      </c>
      <c r="K1116" s="17" t="s">
        <v>29</v>
      </c>
      <c r="L1116" s="17" t="s">
        <v>29</v>
      </c>
      <c r="M1116" s="17" t="s">
        <v>29</v>
      </c>
      <c r="N1116" s="17" t="s">
        <v>29</v>
      </c>
      <c r="O1116" s="17" t="s">
        <v>29</v>
      </c>
      <c r="P1116" s="17" t="s">
        <v>29</v>
      </c>
      <c r="Q1116" s="17" t="s">
        <v>29</v>
      </c>
      <c r="R1116" s="17" t="s">
        <v>29</v>
      </c>
      <c r="S1116" s="17" t="s">
        <v>29</v>
      </c>
      <c r="T1116" s="17" t="s">
        <v>29</v>
      </c>
      <c r="U1116" s="17" t="s">
        <v>29</v>
      </c>
      <c r="V1116" s="17" t="s">
        <v>29</v>
      </c>
      <c r="W1116" s="17" t="s">
        <v>29</v>
      </c>
      <c r="X1116" s="17" t="s">
        <v>29</v>
      </c>
      <c r="Y1116" s="17" t="s">
        <v>29</v>
      </c>
      <c r="Z1116" s="17" t="s">
        <v>29</v>
      </c>
      <c r="AA1116" s="17" t="s">
        <v>29</v>
      </c>
      <c r="AB1116" s="17" t="s">
        <v>29</v>
      </c>
    </row>
    <row r="1117" spans="1:28" x14ac:dyDescent="0.35">
      <c r="A1117" s="36">
        <v>59</v>
      </c>
      <c r="B1117" s="7" t="s">
        <v>285</v>
      </c>
      <c r="C1117" s="8"/>
      <c r="D1117" s="8"/>
      <c r="E1117" s="8"/>
      <c r="F1117" s="8"/>
      <c r="G1117" s="8"/>
      <c r="H1117" s="8"/>
      <c r="I1117" s="8"/>
      <c r="J1117" s="8"/>
      <c r="K1117" s="8"/>
      <c r="L1117" s="8"/>
      <c r="M1117" s="8"/>
      <c r="N1117" s="8"/>
      <c r="O1117" s="8"/>
      <c r="P1117" s="8"/>
      <c r="Q1117" s="8"/>
      <c r="R1117" s="8"/>
      <c r="S1117" s="8"/>
      <c r="T1117" s="8"/>
      <c r="U1117" s="8"/>
      <c r="V1117" s="8"/>
      <c r="W1117" s="8"/>
      <c r="X1117" s="8"/>
      <c r="Y1117" s="8"/>
      <c r="Z1117" s="8"/>
    </row>
    <row r="1118" spans="1:28" x14ac:dyDescent="0.35">
      <c r="A1118" s="36"/>
      <c r="B1118" s="8"/>
      <c r="C1118" s="7" t="s">
        <v>286</v>
      </c>
      <c r="D1118" s="15" t="s">
        <v>287</v>
      </c>
      <c r="E1118" s="9">
        <f>STATS1003B!E1170/1000</f>
        <v>5298.1496699999998</v>
      </c>
      <c r="F1118" s="9">
        <f>STATS1003B!F1170/1000</f>
        <v>4239.8325800000002</v>
      </c>
      <c r="G1118" s="9">
        <f>STATS1003B!G1170/1000</f>
        <v>0</v>
      </c>
      <c r="H1118" s="9">
        <f>STATS1003B!H1170/1000</f>
        <v>4239.8325800000002</v>
      </c>
      <c r="I1118" s="9">
        <f>STATS1003B!I1170/1000</f>
        <v>0</v>
      </c>
      <c r="J1118" s="9">
        <f>STATS1003B!J1170/1000</f>
        <v>0</v>
      </c>
      <c r="K1118" s="9">
        <f>STATS1003B!K1170/1000</f>
        <v>0</v>
      </c>
      <c r="L1118" s="9">
        <f>STATS1003B!L1170/1000</f>
        <v>0</v>
      </c>
      <c r="M1118" s="9">
        <f>STATS1003B!M1170/1000</f>
        <v>4239.8325800000002</v>
      </c>
      <c r="N1118" s="9">
        <f>STATS1003B!N1170/1000</f>
        <v>1058.31709</v>
      </c>
      <c r="O1118" s="9">
        <f>STATS1003B!O1170/1000</f>
        <v>0</v>
      </c>
      <c r="P1118" s="9">
        <f>STATS1003B!P1170/1000</f>
        <v>1058.31709</v>
      </c>
      <c r="Q1118" s="9">
        <f>STATS1003B!Q1170/1000</f>
        <v>0</v>
      </c>
      <c r="R1118" s="9">
        <f>STATS1003B!R1170/1000</f>
        <v>0</v>
      </c>
      <c r="S1118" s="9">
        <f>STATS1003B!S1170/1000</f>
        <v>0</v>
      </c>
      <c r="T1118" s="9">
        <f>STATS1003B!T1170/1000</f>
        <v>0</v>
      </c>
      <c r="U1118" s="9">
        <f>STATS1003B!U1170/1000</f>
        <v>1058.31709</v>
      </c>
      <c r="V1118" s="9">
        <f>STATS1003B!V1170/1000</f>
        <v>5298.1496699999998</v>
      </c>
      <c r="W1118" s="9">
        <f>STATS1003B!W1170/1000</f>
        <v>0</v>
      </c>
      <c r="X1118" s="9">
        <f>STATS1003B!X1170/1000</f>
        <v>5298.1496699999998</v>
      </c>
      <c r="Y1118" s="9">
        <f>STATS1003B!Y1170/1000</f>
        <v>0</v>
      </c>
      <c r="Z1118" s="9">
        <f>STATS1003B!Z1170/1000</f>
        <v>0</v>
      </c>
      <c r="AA1118" s="9">
        <f>STATS1003B!AA1170/1000</f>
        <v>5298.1496699999998</v>
      </c>
      <c r="AB1118" s="9">
        <f>STATS1003B!AB1170/1000</f>
        <v>0</v>
      </c>
    </row>
    <row r="1119" spans="1:28" x14ac:dyDescent="0.35">
      <c r="A1119" s="36"/>
      <c r="B1119" s="8"/>
      <c r="C1119" s="7" t="s">
        <v>280</v>
      </c>
      <c r="D1119" s="15" t="s">
        <v>288</v>
      </c>
      <c r="E1119" s="9">
        <f>STATS1003B!E1171/1000</f>
        <v>3915</v>
      </c>
      <c r="F1119" s="9">
        <f>STATS1003B!F1171/1000</f>
        <v>3915</v>
      </c>
      <c r="G1119" s="9">
        <f>STATS1003B!G1171/1000</f>
        <v>0</v>
      </c>
      <c r="H1119" s="9">
        <f>STATS1003B!H1171/1000</f>
        <v>3915</v>
      </c>
      <c r="I1119" s="9">
        <f>STATS1003B!I1171/1000</f>
        <v>0</v>
      </c>
      <c r="J1119" s="9">
        <f>STATS1003B!J1171/1000</f>
        <v>0</v>
      </c>
      <c r="K1119" s="9">
        <f>STATS1003B!K1171/1000</f>
        <v>0</v>
      </c>
      <c r="L1119" s="9">
        <f>STATS1003B!L1171/1000</f>
        <v>0</v>
      </c>
      <c r="M1119" s="9">
        <f>STATS1003B!M1171/1000</f>
        <v>3915</v>
      </c>
      <c r="N1119" s="9">
        <f>STATS1003B!N1171/1000</f>
        <v>0</v>
      </c>
      <c r="O1119" s="9">
        <f>STATS1003B!O1171/1000</f>
        <v>0</v>
      </c>
      <c r="P1119" s="9">
        <f>STATS1003B!P1171/1000</f>
        <v>0</v>
      </c>
      <c r="Q1119" s="9">
        <f>STATS1003B!Q1171/1000</f>
        <v>0</v>
      </c>
      <c r="R1119" s="9">
        <f>STATS1003B!R1171/1000</f>
        <v>0</v>
      </c>
      <c r="S1119" s="9">
        <f>STATS1003B!S1171/1000</f>
        <v>0</v>
      </c>
      <c r="T1119" s="9">
        <f>STATS1003B!T1171/1000</f>
        <v>0</v>
      </c>
      <c r="U1119" s="9">
        <f>STATS1003B!U1171/1000</f>
        <v>0</v>
      </c>
      <c r="V1119" s="9">
        <f>STATS1003B!V1171/1000</f>
        <v>3915</v>
      </c>
      <c r="W1119" s="9">
        <f>STATS1003B!W1171/1000</f>
        <v>0</v>
      </c>
      <c r="X1119" s="9">
        <f>STATS1003B!X1171/1000</f>
        <v>3915</v>
      </c>
      <c r="Y1119" s="9">
        <f>STATS1003B!Y1171/1000</f>
        <v>0</v>
      </c>
      <c r="Z1119" s="9">
        <f>STATS1003B!Z1171/1000</f>
        <v>0</v>
      </c>
      <c r="AA1119" s="9">
        <f>STATS1003B!AA1171/1000</f>
        <v>3915</v>
      </c>
      <c r="AB1119" s="9">
        <f>STATS1003B!AB1171/1000</f>
        <v>0</v>
      </c>
    </row>
    <row r="1120" spans="1:28" x14ac:dyDescent="0.35">
      <c r="A1120" s="36"/>
      <c r="B1120" s="8"/>
      <c r="C1120" s="7" t="s">
        <v>281</v>
      </c>
      <c r="D1120" s="15" t="s">
        <v>173</v>
      </c>
      <c r="E1120" s="9">
        <f>STATS1003B!E1172/1000</f>
        <v>1705.6225099999999</v>
      </c>
      <c r="F1120" s="9">
        <f>STATS1003B!F1172/1000</f>
        <v>1128.67643</v>
      </c>
      <c r="G1120" s="9">
        <f>STATS1003B!G1172/1000</f>
        <v>0</v>
      </c>
      <c r="H1120" s="9">
        <f>STATS1003B!H1172/1000</f>
        <v>1128.67643</v>
      </c>
      <c r="I1120" s="9">
        <f>STATS1003B!I1172/1000</f>
        <v>0</v>
      </c>
      <c r="J1120" s="9">
        <f>STATS1003B!J1172/1000</f>
        <v>0</v>
      </c>
      <c r="K1120" s="9">
        <f>STATS1003B!K1172/1000</f>
        <v>0</v>
      </c>
      <c r="L1120" s="9">
        <f>STATS1003B!L1172/1000</f>
        <v>0</v>
      </c>
      <c r="M1120" s="9">
        <f>STATS1003B!M1172/1000</f>
        <v>1128.67643</v>
      </c>
      <c r="N1120" s="9">
        <f>STATS1003B!N1172/1000</f>
        <v>576.94607999999994</v>
      </c>
      <c r="O1120" s="9">
        <f>STATS1003B!O1172/1000</f>
        <v>0</v>
      </c>
      <c r="P1120" s="9">
        <f>STATS1003B!P1172/1000</f>
        <v>576.94607999999994</v>
      </c>
      <c r="Q1120" s="9">
        <f>STATS1003B!Q1172/1000</f>
        <v>0</v>
      </c>
      <c r="R1120" s="9">
        <f>STATS1003B!R1172/1000</f>
        <v>0</v>
      </c>
      <c r="S1120" s="9">
        <f>STATS1003B!S1172/1000</f>
        <v>0</v>
      </c>
      <c r="T1120" s="9">
        <f>STATS1003B!T1172/1000</f>
        <v>0</v>
      </c>
      <c r="U1120" s="9">
        <f>STATS1003B!U1172/1000</f>
        <v>576.94607999999994</v>
      </c>
      <c r="V1120" s="9">
        <f>STATS1003B!V1172/1000</f>
        <v>1705.6225099999997</v>
      </c>
      <c r="W1120" s="9">
        <f>STATS1003B!W1172/1000</f>
        <v>0</v>
      </c>
      <c r="X1120" s="9">
        <f>STATS1003B!X1172/1000</f>
        <v>1705.6225099999997</v>
      </c>
      <c r="Y1120" s="9">
        <f>STATS1003B!Y1172/1000</f>
        <v>0</v>
      </c>
      <c r="Z1120" s="9">
        <f>STATS1003B!Z1172/1000</f>
        <v>0</v>
      </c>
      <c r="AA1120" s="9">
        <f>STATS1003B!AA1172/1000</f>
        <v>1705.6225099999997</v>
      </c>
      <c r="AB1120" s="9">
        <f>STATS1003B!AB1172/1000</f>
        <v>0</v>
      </c>
    </row>
    <row r="1121" spans="1:28" x14ac:dyDescent="0.35">
      <c r="A1121" s="36"/>
      <c r="B1121" s="8"/>
      <c r="C1121" s="7" t="s">
        <v>289</v>
      </c>
      <c r="D1121" s="15" t="s">
        <v>54</v>
      </c>
      <c r="E1121" s="9">
        <f>STATS1003B!E1173/1000</f>
        <v>5779.1064000000006</v>
      </c>
      <c r="F1121" s="9">
        <f>STATS1003B!F1173/1000</f>
        <v>5779.1064000000006</v>
      </c>
      <c r="G1121" s="9">
        <f>STATS1003B!G1173/1000</f>
        <v>0</v>
      </c>
      <c r="H1121" s="9">
        <f>STATS1003B!H1173/1000</f>
        <v>5779.1064000000006</v>
      </c>
      <c r="I1121" s="9">
        <f>STATS1003B!I1173/1000</f>
        <v>0</v>
      </c>
      <c r="J1121" s="9">
        <f>STATS1003B!J1173/1000</f>
        <v>0</v>
      </c>
      <c r="K1121" s="9">
        <f>STATS1003B!K1173/1000</f>
        <v>0</v>
      </c>
      <c r="L1121" s="9">
        <f>STATS1003B!L1173/1000</f>
        <v>0</v>
      </c>
      <c r="M1121" s="9">
        <f>STATS1003B!M1173/1000</f>
        <v>5779.1064000000006</v>
      </c>
      <c r="N1121" s="9">
        <f>STATS1003B!N1173/1000</f>
        <v>0</v>
      </c>
      <c r="O1121" s="9">
        <f>STATS1003B!O1173/1000</f>
        <v>0</v>
      </c>
      <c r="P1121" s="9">
        <f>STATS1003B!P1173/1000</f>
        <v>0</v>
      </c>
      <c r="Q1121" s="9">
        <f>STATS1003B!Q1173/1000</f>
        <v>0</v>
      </c>
      <c r="R1121" s="9">
        <f>STATS1003B!R1173/1000</f>
        <v>0</v>
      </c>
      <c r="S1121" s="9">
        <f>STATS1003B!S1173/1000</f>
        <v>0</v>
      </c>
      <c r="T1121" s="9">
        <f>STATS1003B!T1173/1000</f>
        <v>0</v>
      </c>
      <c r="U1121" s="9">
        <f>STATS1003B!U1173/1000</f>
        <v>0</v>
      </c>
      <c r="V1121" s="9">
        <f>STATS1003B!V1173/1000</f>
        <v>5779.1064000000006</v>
      </c>
      <c r="W1121" s="9">
        <f>STATS1003B!W1173/1000</f>
        <v>0</v>
      </c>
      <c r="X1121" s="9">
        <f>STATS1003B!X1173/1000</f>
        <v>5779.1064000000006</v>
      </c>
      <c r="Y1121" s="9">
        <f>STATS1003B!Y1173/1000</f>
        <v>0</v>
      </c>
      <c r="Z1121" s="9">
        <f>STATS1003B!Z1173/1000</f>
        <v>0</v>
      </c>
      <c r="AA1121" s="9">
        <f>STATS1003B!AA1173/1000</f>
        <v>5779.1064000000006</v>
      </c>
      <c r="AB1121" s="9">
        <f>STATS1003B!AB1173/1000</f>
        <v>0</v>
      </c>
    </row>
    <row r="1122" spans="1:28" x14ac:dyDescent="0.35">
      <c r="A1122" s="36"/>
      <c r="B1122" s="8"/>
      <c r="C1122" s="7" t="s">
        <v>53</v>
      </c>
      <c r="D1122" s="15" t="s">
        <v>54</v>
      </c>
      <c r="E1122" s="9">
        <f>STATS1003B!E1174/1000</f>
        <v>1953.989</v>
      </c>
      <c r="F1122" s="9">
        <f>STATS1003B!F1174/1000</f>
        <v>0</v>
      </c>
      <c r="G1122" s="9">
        <f>STATS1003B!G1174/1000</f>
        <v>0</v>
      </c>
      <c r="H1122" s="9">
        <f>STATS1003B!H1174/1000</f>
        <v>0</v>
      </c>
      <c r="I1122" s="9">
        <f>STATS1003B!I1174/1000</f>
        <v>0</v>
      </c>
      <c r="J1122" s="9">
        <f>STATS1003B!J1174/1000</f>
        <v>0</v>
      </c>
      <c r="K1122" s="9">
        <f>STATS1003B!K1174/1000</f>
        <v>0</v>
      </c>
      <c r="L1122" s="9">
        <f>STATS1003B!L1174/1000</f>
        <v>0</v>
      </c>
      <c r="M1122" s="9">
        <f>STATS1003B!M1174/1000</f>
        <v>0</v>
      </c>
      <c r="N1122" s="9">
        <f>STATS1003B!N1174/1000</f>
        <v>1953.989</v>
      </c>
      <c r="O1122" s="9">
        <f>STATS1003B!O1174/1000</f>
        <v>0</v>
      </c>
      <c r="P1122" s="9">
        <f>STATS1003B!P1174/1000</f>
        <v>1953.989</v>
      </c>
      <c r="Q1122" s="9">
        <f>STATS1003B!Q1174/1000</f>
        <v>0</v>
      </c>
      <c r="R1122" s="9">
        <f>STATS1003B!R1174/1000</f>
        <v>0</v>
      </c>
      <c r="S1122" s="9">
        <f>STATS1003B!S1174/1000</f>
        <v>0</v>
      </c>
      <c r="T1122" s="9">
        <f>STATS1003B!T1174/1000</f>
        <v>0</v>
      </c>
      <c r="U1122" s="9">
        <f>STATS1003B!U1174/1000</f>
        <v>1953.989</v>
      </c>
      <c r="V1122" s="9">
        <f>STATS1003B!V1174/1000</f>
        <v>1953.989</v>
      </c>
      <c r="W1122" s="9">
        <f>STATS1003B!W1174/1000</f>
        <v>0</v>
      </c>
      <c r="X1122" s="9">
        <f>STATS1003B!X1174/1000</f>
        <v>1953.989</v>
      </c>
      <c r="Y1122" s="9">
        <f>STATS1003B!Y1174/1000</f>
        <v>0</v>
      </c>
      <c r="Z1122" s="9">
        <f>STATS1003B!Z1174/1000</f>
        <v>0</v>
      </c>
      <c r="AA1122" s="9">
        <f>STATS1003B!AA1174/1000</f>
        <v>1953.989</v>
      </c>
      <c r="AB1122" s="9">
        <f>STATS1003B!AB1174/1000</f>
        <v>0</v>
      </c>
    </row>
    <row r="1123" spans="1:28" x14ac:dyDescent="0.35">
      <c r="A1123" s="36"/>
      <c r="B1123" s="8"/>
      <c r="C1123" s="7" t="s">
        <v>290</v>
      </c>
      <c r="D1123" s="15" t="s">
        <v>54</v>
      </c>
      <c r="E1123" s="9">
        <f>STATS1003B!E1175/1000</f>
        <v>835.71900000000005</v>
      </c>
      <c r="F1123" s="9">
        <f>STATS1003B!F1175/1000</f>
        <v>835.71900000000005</v>
      </c>
      <c r="G1123" s="9">
        <f>STATS1003B!G1175/1000</f>
        <v>0</v>
      </c>
      <c r="H1123" s="9">
        <f>STATS1003B!H1175/1000</f>
        <v>835.71900000000005</v>
      </c>
      <c r="I1123" s="9">
        <f>STATS1003B!I1175/1000</f>
        <v>0</v>
      </c>
      <c r="J1123" s="9">
        <f>STATS1003B!J1175/1000</f>
        <v>0</v>
      </c>
      <c r="K1123" s="9">
        <f>STATS1003B!K1175/1000</f>
        <v>0</v>
      </c>
      <c r="L1123" s="9">
        <f>STATS1003B!L1175/1000</f>
        <v>0</v>
      </c>
      <c r="M1123" s="9">
        <f>STATS1003B!M1175/1000</f>
        <v>835.71900000000005</v>
      </c>
      <c r="N1123" s="9">
        <f>STATS1003B!N1175/1000</f>
        <v>0</v>
      </c>
      <c r="O1123" s="9">
        <f>STATS1003B!O1175/1000</f>
        <v>0</v>
      </c>
      <c r="P1123" s="9">
        <f>STATS1003B!P1175/1000</f>
        <v>0</v>
      </c>
      <c r="Q1123" s="9">
        <f>STATS1003B!Q1175/1000</f>
        <v>0</v>
      </c>
      <c r="R1123" s="9">
        <f>STATS1003B!R1175/1000</f>
        <v>0</v>
      </c>
      <c r="S1123" s="9">
        <f>STATS1003B!S1175/1000</f>
        <v>0</v>
      </c>
      <c r="T1123" s="9">
        <f>STATS1003B!T1175/1000</f>
        <v>0</v>
      </c>
      <c r="U1123" s="9">
        <f>STATS1003B!U1175/1000</f>
        <v>0</v>
      </c>
      <c r="V1123" s="9">
        <f>STATS1003B!V1175/1000</f>
        <v>835.71900000000005</v>
      </c>
      <c r="W1123" s="9">
        <f>STATS1003B!W1175/1000</f>
        <v>0</v>
      </c>
      <c r="X1123" s="9">
        <f>STATS1003B!X1175/1000</f>
        <v>835.71900000000005</v>
      </c>
      <c r="Y1123" s="9">
        <f>STATS1003B!Y1175/1000</f>
        <v>0</v>
      </c>
      <c r="Z1123" s="9">
        <f>STATS1003B!Z1175/1000</f>
        <v>0</v>
      </c>
      <c r="AA1123" s="9">
        <f>STATS1003B!AA1175/1000</f>
        <v>835.71900000000005</v>
      </c>
      <c r="AB1123" s="9">
        <f>STATS1003B!AB1175/1000</f>
        <v>0</v>
      </c>
    </row>
    <row r="1124" spans="1:28" x14ac:dyDescent="0.35">
      <c r="A1124" s="36"/>
      <c r="B1124" s="8"/>
      <c r="C1124" s="7" t="s">
        <v>283</v>
      </c>
      <c r="D1124" s="15" t="s">
        <v>105</v>
      </c>
      <c r="E1124" s="9">
        <f>STATS1003B!E1176/1000</f>
        <v>5865.3959999999997</v>
      </c>
      <c r="F1124" s="9">
        <f>STATS1003B!F1176/1000</f>
        <v>5865.3959999999997</v>
      </c>
      <c r="G1124" s="9">
        <f>STATS1003B!G1176/1000</f>
        <v>0</v>
      </c>
      <c r="H1124" s="9">
        <f>STATS1003B!H1176/1000</f>
        <v>5865.3959999999997</v>
      </c>
      <c r="I1124" s="9">
        <f>STATS1003B!I1176/1000</f>
        <v>0</v>
      </c>
      <c r="J1124" s="9">
        <f>STATS1003B!J1176/1000</f>
        <v>0</v>
      </c>
      <c r="K1124" s="9">
        <f>STATS1003B!K1176/1000</f>
        <v>0</v>
      </c>
      <c r="L1124" s="9">
        <f>STATS1003B!L1176/1000</f>
        <v>0</v>
      </c>
      <c r="M1124" s="9">
        <f>STATS1003B!M1176/1000</f>
        <v>5865.3959999999997</v>
      </c>
      <c r="N1124" s="9">
        <f>STATS1003B!N1176/1000</f>
        <v>0</v>
      </c>
      <c r="O1124" s="9">
        <f>STATS1003B!O1176/1000</f>
        <v>0</v>
      </c>
      <c r="P1124" s="9">
        <f>STATS1003B!P1176/1000</f>
        <v>0</v>
      </c>
      <c r="Q1124" s="9">
        <f>STATS1003B!Q1176/1000</f>
        <v>0</v>
      </c>
      <c r="R1124" s="9">
        <f>STATS1003B!R1176/1000</f>
        <v>0</v>
      </c>
      <c r="S1124" s="9">
        <f>STATS1003B!S1176/1000</f>
        <v>0</v>
      </c>
      <c r="T1124" s="9">
        <f>STATS1003B!T1176/1000</f>
        <v>0</v>
      </c>
      <c r="U1124" s="9">
        <f>STATS1003B!U1176/1000</f>
        <v>0</v>
      </c>
      <c r="V1124" s="9">
        <f>STATS1003B!V1176/1000</f>
        <v>5865.3959999999997</v>
      </c>
      <c r="W1124" s="9">
        <f>STATS1003B!W1176/1000</f>
        <v>0</v>
      </c>
      <c r="X1124" s="9">
        <f>STATS1003B!X1176/1000</f>
        <v>5865.3959999999997</v>
      </c>
      <c r="Y1124" s="9">
        <f>STATS1003B!Y1176/1000</f>
        <v>0</v>
      </c>
      <c r="Z1124" s="9">
        <f>STATS1003B!Z1176/1000</f>
        <v>0</v>
      </c>
      <c r="AA1124" s="9">
        <f>STATS1003B!AA1176/1000</f>
        <v>5865.3959999999997</v>
      </c>
      <c r="AB1124" s="9">
        <f>STATS1003B!AB1176/1000</f>
        <v>0</v>
      </c>
    </row>
    <row r="1125" spans="1:28" x14ac:dyDescent="0.35">
      <c r="A1125" s="36"/>
      <c r="B1125" s="8"/>
      <c r="C1125" s="7" t="s">
        <v>55</v>
      </c>
      <c r="D1125" s="15" t="s">
        <v>85</v>
      </c>
      <c r="E1125" s="9">
        <f>STATS1003B!E1177/1000</f>
        <v>283.05</v>
      </c>
      <c r="F1125" s="9">
        <f>STATS1003B!F1177/1000</f>
        <v>0</v>
      </c>
      <c r="G1125" s="9">
        <f>STATS1003B!G1177/1000</f>
        <v>0</v>
      </c>
      <c r="H1125" s="9">
        <f>STATS1003B!H1177/1000</f>
        <v>0</v>
      </c>
      <c r="I1125" s="9">
        <f>STATS1003B!I1177/1000</f>
        <v>0</v>
      </c>
      <c r="J1125" s="9">
        <f>STATS1003B!J1177/1000</f>
        <v>0</v>
      </c>
      <c r="K1125" s="9">
        <f>STATS1003B!K1177/1000</f>
        <v>0</v>
      </c>
      <c r="L1125" s="9">
        <f>STATS1003B!L1177/1000</f>
        <v>0</v>
      </c>
      <c r="M1125" s="9">
        <f>STATS1003B!M1177/1000</f>
        <v>0</v>
      </c>
      <c r="N1125" s="9">
        <f>STATS1003B!N1177/1000</f>
        <v>283.05</v>
      </c>
      <c r="O1125" s="9">
        <f>STATS1003B!O1177/1000</f>
        <v>0</v>
      </c>
      <c r="P1125" s="9">
        <f>STATS1003B!P1177/1000</f>
        <v>283.05</v>
      </c>
      <c r="Q1125" s="9">
        <f>STATS1003B!Q1177/1000</f>
        <v>0</v>
      </c>
      <c r="R1125" s="9">
        <f>STATS1003B!R1177/1000</f>
        <v>0</v>
      </c>
      <c r="S1125" s="9">
        <f>STATS1003B!S1177/1000</f>
        <v>0</v>
      </c>
      <c r="T1125" s="9">
        <f>STATS1003B!T1177/1000</f>
        <v>0</v>
      </c>
      <c r="U1125" s="9">
        <f>STATS1003B!U1177/1000</f>
        <v>283.05</v>
      </c>
      <c r="V1125" s="9">
        <f>STATS1003B!V1177/1000</f>
        <v>283.05</v>
      </c>
      <c r="W1125" s="9">
        <f>STATS1003B!W1177/1000</f>
        <v>0</v>
      </c>
      <c r="X1125" s="9">
        <f>STATS1003B!X1177/1000</f>
        <v>283.05</v>
      </c>
      <c r="Y1125" s="9">
        <f>STATS1003B!Y1177/1000</f>
        <v>0</v>
      </c>
      <c r="Z1125" s="9">
        <f>STATS1003B!Z1177/1000</f>
        <v>0</v>
      </c>
      <c r="AA1125" s="9">
        <f>STATS1003B!AA1177/1000</f>
        <v>283.05</v>
      </c>
      <c r="AB1125" s="9">
        <f>STATS1003B!AB1177/1000</f>
        <v>0</v>
      </c>
    </row>
    <row r="1126" spans="1:28" x14ac:dyDescent="0.35">
      <c r="A1126" s="36"/>
      <c r="B1126" s="8"/>
      <c r="C1126" s="7" t="s">
        <v>248</v>
      </c>
      <c r="D1126" s="15" t="s">
        <v>85</v>
      </c>
      <c r="E1126" s="9">
        <f>STATS1003B!E1178/1000</f>
        <v>120</v>
      </c>
      <c r="F1126" s="9">
        <f>STATS1003B!F1178/1000</f>
        <v>120</v>
      </c>
      <c r="G1126" s="9">
        <f>STATS1003B!G1178/1000</f>
        <v>0</v>
      </c>
      <c r="H1126" s="9">
        <f>STATS1003B!H1178/1000</f>
        <v>120</v>
      </c>
      <c r="I1126" s="9">
        <f>STATS1003B!I1178/1000</f>
        <v>0</v>
      </c>
      <c r="J1126" s="9">
        <f>STATS1003B!J1178/1000</f>
        <v>0</v>
      </c>
      <c r="K1126" s="9">
        <f>STATS1003B!K1178/1000</f>
        <v>0</v>
      </c>
      <c r="L1126" s="9">
        <f>STATS1003B!L1178/1000</f>
        <v>0</v>
      </c>
      <c r="M1126" s="9">
        <f>STATS1003B!M1178/1000</f>
        <v>120</v>
      </c>
      <c r="N1126" s="9">
        <f>STATS1003B!N1178/1000</f>
        <v>0</v>
      </c>
      <c r="O1126" s="9">
        <f>STATS1003B!O1178/1000</f>
        <v>0</v>
      </c>
      <c r="P1126" s="9">
        <f>STATS1003B!P1178/1000</f>
        <v>0</v>
      </c>
      <c r="Q1126" s="9">
        <f>STATS1003B!Q1178/1000</f>
        <v>0</v>
      </c>
      <c r="R1126" s="9">
        <f>STATS1003B!R1178/1000</f>
        <v>0</v>
      </c>
      <c r="S1126" s="9">
        <f>STATS1003B!S1178/1000</f>
        <v>0</v>
      </c>
      <c r="T1126" s="9">
        <f>STATS1003B!T1178/1000</f>
        <v>0</v>
      </c>
      <c r="U1126" s="9">
        <f>STATS1003B!U1178/1000</f>
        <v>0</v>
      </c>
      <c r="V1126" s="9">
        <f>STATS1003B!V1178/1000</f>
        <v>120</v>
      </c>
      <c r="W1126" s="9">
        <f>STATS1003B!W1178/1000</f>
        <v>0</v>
      </c>
      <c r="X1126" s="9">
        <f>STATS1003B!X1178/1000</f>
        <v>120</v>
      </c>
      <c r="Y1126" s="9">
        <f>STATS1003B!Y1178/1000</f>
        <v>0</v>
      </c>
      <c r="Z1126" s="9">
        <f>STATS1003B!Z1178/1000</f>
        <v>0</v>
      </c>
      <c r="AA1126" s="9">
        <f>STATS1003B!AA1178/1000</f>
        <v>120</v>
      </c>
      <c r="AB1126" s="9">
        <f>STATS1003B!AB1178/1000</f>
        <v>0</v>
      </c>
    </row>
    <row r="1127" spans="1:28" x14ac:dyDescent="0.35">
      <c r="A1127" s="36"/>
      <c r="B1127" s="8"/>
      <c r="C1127" s="7" t="s">
        <v>284</v>
      </c>
      <c r="D1127" s="15" t="s">
        <v>128</v>
      </c>
      <c r="E1127" s="9">
        <f>STATS1003B!E1179/1000</f>
        <v>5000</v>
      </c>
      <c r="F1127" s="9">
        <f>STATS1003B!F1179/1000</f>
        <v>5000</v>
      </c>
      <c r="G1127" s="9">
        <f>STATS1003B!G1179/1000</f>
        <v>0</v>
      </c>
      <c r="H1127" s="9">
        <f>STATS1003B!H1179/1000</f>
        <v>5000</v>
      </c>
      <c r="I1127" s="9">
        <f>STATS1003B!I1179/1000</f>
        <v>0</v>
      </c>
      <c r="J1127" s="9">
        <f>STATS1003B!J1179/1000</f>
        <v>0</v>
      </c>
      <c r="K1127" s="9">
        <f>STATS1003B!K1179/1000</f>
        <v>0</v>
      </c>
      <c r="L1127" s="9">
        <f>STATS1003B!L1179/1000</f>
        <v>0</v>
      </c>
      <c r="M1127" s="9">
        <f>STATS1003B!M1179/1000</f>
        <v>5000</v>
      </c>
      <c r="N1127" s="9">
        <f>STATS1003B!N1179/1000</f>
        <v>0</v>
      </c>
      <c r="O1127" s="9">
        <f>STATS1003B!O1179/1000</f>
        <v>0</v>
      </c>
      <c r="P1127" s="9">
        <f>STATS1003B!P1179/1000</f>
        <v>0</v>
      </c>
      <c r="Q1127" s="9">
        <f>STATS1003B!Q1179/1000</f>
        <v>0</v>
      </c>
      <c r="R1127" s="9">
        <f>STATS1003B!R1179/1000</f>
        <v>0</v>
      </c>
      <c r="S1127" s="9">
        <f>STATS1003B!S1179/1000</f>
        <v>0</v>
      </c>
      <c r="T1127" s="9">
        <f>STATS1003B!T1179/1000</f>
        <v>0</v>
      </c>
      <c r="U1127" s="9">
        <f>STATS1003B!U1179/1000</f>
        <v>0</v>
      </c>
      <c r="V1127" s="9">
        <f>STATS1003B!V1179/1000</f>
        <v>5000</v>
      </c>
      <c r="W1127" s="9">
        <f>STATS1003B!W1179/1000</f>
        <v>0</v>
      </c>
      <c r="X1127" s="9">
        <f>STATS1003B!X1179/1000</f>
        <v>5000</v>
      </c>
      <c r="Y1127" s="9">
        <f>STATS1003B!Y1179/1000</f>
        <v>0</v>
      </c>
      <c r="Z1127" s="9">
        <f>STATS1003B!Z1179/1000</f>
        <v>0</v>
      </c>
      <c r="AA1127" s="9">
        <f>STATS1003B!AA1179/1000</f>
        <v>5000</v>
      </c>
      <c r="AB1127" s="9">
        <f>STATS1003B!AB1179/1000</f>
        <v>0</v>
      </c>
    </row>
    <row r="1128" spans="1:28" x14ac:dyDescent="0.35">
      <c r="A1128" s="36"/>
      <c r="B1128" s="8"/>
      <c r="C1128" s="7" t="s">
        <v>57</v>
      </c>
      <c r="D1128" s="15" t="s">
        <v>58</v>
      </c>
      <c r="E1128" s="9">
        <f>STATS1003B!E1180/1000</f>
        <v>1229.9259999999999</v>
      </c>
      <c r="F1128" s="9">
        <f>STATS1003B!F1180/1000</f>
        <v>1229.9259999999999</v>
      </c>
      <c r="G1128" s="9">
        <f>STATS1003B!G1180/1000</f>
        <v>0</v>
      </c>
      <c r="H1128" s="9">
        <f>STATS1003B!H1180/1000</f>
        <v>1229.9259999999999</v>
      </c>
      <c r="I1128" s="9">
        <f>STATS1003B!I1180/1000</f>
        <v>0</v>
      </c>
      <c r="J1128" s="9">
        <f>STATS1003B!J1180/1000</f>
        <v>0</v>
      </c>
      <c r="K1128" s="9">
        <f>STATS1003B!K1180/1000</f>
        <v>0</v>
      </c>
      <c r="L1128" s="9">
        <f>STATS1003B!L1180/1000</f>
        <v>0</v>
      </c>
      <c r="M1128" s="9">
        <f>STATS1003B!M1180/1000</f>
        <v>1229.9259999999999</v>
      </c>
      <c r="N1128" s="9">
        <f>STATS1003B!N1180/1000</f>
        <v>0</v>
      </c>
      <c r="O1128" s="9">
        <f>STATS1003B!O1180/1000</f>
        <v>0</v>
      </c>
      <c r="P1128" s="9">
        <f>STATS1003B!P1180/1000</f>
        <v>0</v>
      </c>
      <c r="Q1128" s="9">
        <f>STATS1003B!Q1180/1000</f>
        <v>0</v>
      </c>
      <c r="R1128" s="9">
        <f>STATS1003B!R1180/1000</f>
        <v>0</v>
      </c>
      <c r="S1128" s="9">
        <f>STATS1003B!S1180/1000</f>
        <v>0</v>
      </c>
      <c r="T1128" s="9">
        <f>STATS1003B!T1180/1000</f>
        <v>0</v>
      </c>
      <c r="U1128" s="9">
        <f>STATS1003B!U1180/1000</f>
        <v>0</v>
      </c>
      <c r="V1128" s="9">
        <f>STATS1003B!V1180/1000</f>
        <v>1229.9259999999999</v>
      </c>
      <c r="W1128" s="9">
        <f>STATS1003B!W1180/1000</f>
        <v>0</v>
      </c>
      <c r="X1128" s="9">
        <f>STATS1003B!X1180/1000</f>
        <v>1229.9259999999999</v>
      </c>
      <c r="Y1128" s="9">
        <f>STATS1003B!Y1180/1000</f>
        <v>0</v>
      </c>
      <c r="Z1128" s="9">
        <f>STATS1003B!Z1180/1000</f>
        <v>0</v>
      </c>
      <c r="AA1128" s="9">
        <f>STATS1003B!AA1180/1000</f>
        <v>1229.9259999999999</v>
      </c>
      <c r="AB1128" s="9">
        <f>STATS1003B!AB1180/1000</f>
        <v>0</v>
      </c>
    </row>
    <row r="1129" spans="1:28" x14ac:dyDescent="0.35">
      <c r="A1129" s="36"/>
      <c r="B1129" s="8"/>
      <c r="C1129" s="14" t="s">
        <v>109</v>
      </c>
      <c r="D1129" s="21" t="s">
        <v>60</v>
      </c>
      <c r="E1129" s="9">
        <f>STATS1003B!E1181/1000</f>
        <v>2500</v>
      </c>
      <c r="F1129" s="9">
        <f>STATS1003B!F1181/1000</f>
        <v>2500</v>
      </c>
      <c r="G1129" s="9">
        <f>STATS1003B!G1181/1000</f>
        <v>0</v>
      </c>
      <c r="H1129" s="9">
        <f>STATS1003B!H1181/1000</f>
        <v>2500</v>
      </c>
      <c r="I1129" s="9">
        <f>STATS1003B!I1181/1000</f>
        <v>0</v>
      </c>
      <c r="J1129" s="9">
        <f>STATS1003B!J1181/1000</f>
        <v>0</v>
      </c>
      <c r="K1129" s="9">
        <f>STATS1003B!K1181/1000</f>
        <v>0</v>
      </c>
      <c r="L1129" s="9">
        <f>STATS1003B!L1181/1000</f>
        <v>0</v>
      </c>
      <c r="M1129" s="9">
        <f>STATS1003B!M1181/1000</f>
        <v>2500</v>
      </c>
      <c r="N1129" s="9">
        <f>STATS1003B!N1181/1000</f>
        <v>0</v>
      </c>
      <c r="O1129" s="9">
        <f>STATS1003B!O1181/1000</f>
        <v>0</v>
      </c>
      <c r="P1129" s="9">
        <f>STATS1003B!P1181/1000</f>
        <v>0</v>
      </c>
      <c r="Q1129" s="9">
        <f>STATS1003B!Q1181/1000</f>
        <v>0</v>
      </c>
      <c r="R1129" s="9">
        <f>STATS1003B!R1181/1000</f>
        <v>0</v>
      </c>
      <c r="S1129" s="9">
        <f>STATS1003B!S1181/1000</f>
        <v>0</v>
      </c>
      <c r="T1129" s="9">
        <f>STATS1003B!T1181/1000</f>
        <v>0</v>
      </c>
      <c r="U1129" s="9">
        <f>STATS1003B!U1181/1000</f>
        <v>0</v>
      </c>
      <c r="V1129" s="9">
        <f>STATS1003B!V1181/1000</f>
        <v>2500</v>
      </c>
      <c r="W1129" s="9">
        <f>STATS1003B!W1181/1000</f>
        <v>0</v>
      </c>
      <c r="X1129" s="9">
        <f>STATS1003B!X1181/1000</f>
        <v>2500</v>
      </c>
      <c r="Y1129" s="9">
        <f>STATS1003B!Y1181/1000</f>
        <v>0</v>
      </c>
      <c r="Z1129" s="9">
        <f>STATS1003B!Z1181/1000</f>
        <v>0</v>
      </c>
      <c r="AA1129" s="9">
        <f>STATS1003B!AA1181/1000</f>
        <v>2500</v>
      </c>
      <c r="AB1129" s="9">
        <f>STATS1003B!AB1181/1000</f>
        <v>0</v>
      </c>
    </row>
    <row r="1130" spans="1:28" x14ac:dyDescent="0.35">
      <c r="A1130" s="36"/>
      <c r="B1130" s="8"/>
      <c r="C1130" s="14" t="s">
        <v>291</v>
      </c>
      <c r="D1130" s="21" t="s">
        <v>73</v>
      </c>
      <c r="E1130" s="9">
        <f>STATS1003B!E1182/1000</f>
        <v>2200</v>
      </c>
      <c r="F1130" s="9">
        <f>STATS1003B!F1182/1000</f>
        <v>2200</v>
      </c>
      <c r="G1130" s="9">
        <f>STATS1003B!G1182/1000</f>
        <v>0</v>
      </c>
      <c r="H1130" s="9">
        <f>STATS1003B!H1182/1000</f>
        <v>2200</v>
      </c>
      <c r="I1130" s="9">
        <f>STATS1003B!I1182/1000</f>
        <v>0</v>
      </c>
      <c r="J1130" s="9">
        <f>STATS1003B!J1182/1000</f>
        <v>0</v>
      </c>
      <c r="K1130" s="9">
        <f>STATS1003B!K1182/1000</f>
        <v>0</v>
      </c>
      <c r="L1130" s="9">
        <f>STATS1003B!L1182/1000</f>
        <v>0</v>
      </c>
      <c r="M1130" s="9">
        <f>STATS1003B!M1182/1000</f>
        <v>2200</v>
      </c>
      <c r="N1130" s="9">
        <f>STATS1003B!N1182/1000</f>
        <v>0</v>
      </c>
      <c r="O1130" s="9">
        <f>STATS1003B!O1182/1000</f>
        <v>0</v>
      </c>
      <c r="P1130" s="9">
        <f>STATS1003B!P1182/1000</f>
        <v>0</v>
      </c>
      <c r="Q1130" s="9">
        <f>STATS1003B!Q1182/1000</f>
        <v>0</v>
      </c>
      <c r="R1130" s="9">
        <f>STATS1003B!R1182/1000</f>
        <v>0</v>
      </c>
      <c r="S1130" s="9">
        <f>STATS1003B!S1182/1000</f>
        <v>0</v>
      </c>
      <c r="T1130" s="9">
        <f>STATS1003B!T1182/1000</f>
        <v>0</v>
      </c>
      <c r="U1130" s="9">
        <f>STATS1003B!U1182/1000</f>
        <v>0</v>
      </c>
      <c r="V1130" s="9">
        <f>STATS1003B!V1182/1000</f>
        <v>2200</v>
      </c>
      <c r="W1130" s="9">
        <f>STATS1003B!W1182/1000</f>
        <v>0</v>
      </c>
      <c r="X1130" s="9">
        <f>STATS1003B!X1182/1000</f>
        <v>2200</v>
      </c>
      <c r="Y1130" s="9">
        <f>STATS1003B!Y1182/1000</f>
        <v>0</v>
      </c>
      <c r="Z1130" s="9">
        <f>STATS1003B!Z1182/1000</f>
        <v>0</v>
      </c>
      <c r="AA1130" s="9">
        <f>STATS1003B!AA1182/1000</f>
        <v>2200</v>
      </c>
      <c r="AB1130" s="9">
        <f>STATS1003B!AB1182/1000</f>
        <v>0</v>
      </c>
    </row>
    <row r="1131" spans="1:28" x14ac:dyDescent="0.35">
      <c r="A1131" s="36"/>
      <c r="B1131" s="8"/>
      <c r="C1131" s="7" t="s">
        <v>122</v>
      </c>
      <c r="D1131" s="8"/>
      <c r="E1131" s="9">
        <f>STATS1003B!E1183/1000</f>
        <v>794.02242000000001</v>
      </c>
      <c r="F1131" s="9">
        <f>STATS1003B!F1183/1000</f>
        <v>794.02242000000001</v>
      </c>
      <c r="G1131" s="9">
        <f>STATS1003B!G1183/1000</f>
        <v>0</v>
      </c>
      <c r="H1131" s="9">
        <f>STATS1003B!H1183/1000</f>
        <v>794.02242000000001</v>
      </c>
      <c r="I1131" s="9">
        <f>STATS1003B!I1183/1000</f>
        <v>0</v>
      </c>
      <c r="J1131" s="9">
        <f>STATS1003B!J1183/1000</f>
        <v>0</v>
      </c>
      <c r="K1131" s="9">
        <f>STATS1003B!K1183/1000</f>
        <v>0</v>
      </c>
      <c r="L1131" s="9">
        <f>STATS1003B!L1183/1000</f>
        <v>0</v>
      </c>
      <c r="M1131" s="9">
        <f>STATS1003B!M1183/1000</f>
        <v>794.02242000000001</v>
      </c>
      <c r="N1131" s="9">
        <f>STATS1003B!N1183/1000</f>
        <v>0</v>
      </c>
      <c r="O1131" s="9">
        <f>STATS1003B!O1183/1000</f>
        <v>0</v>
      </c>
      <c r="P1131" s="9">
        <f>STATS1003B!P1183/1000</f>
        <v>0</v>
      </c>
      <c r="Q1131" s="9">
        <f>STATS1003B!Q1183/1000</f>
        <v>0</v>
      </c>
      <c r="R1131" s="9">
        <f>STATS1003B!R1183/1000</f>
        <v>0</v>
      </c>
      <c r="S1131" s="9">
        <f>STATS1003B!S1183/1000</f>
        <v>0</v>
      </c>
      <c r="T1131" s="9">
        <f>STATS1003B!T1183/1000</f>
        <v>0</v>
      </c>
      <c r="U1131" s="9">
        <f>STATS1003B!U1183/1000</f>
        <v>0</v>
      </c>
      <c r="V1131" s="9">
        <f>STATS1003B!V1183/1000</f>
        <v>794.02242000000001</v>
      </c>
      <c r="W1131" s="9">
        <f>STATS1003B!W1183/1000</f>
        <v>0</v>
      </c>
      <c r="X1131" s="9">
        <f>STATS1003B!X1183/1000</f>
        <v>794.02242000000001</v>
      </c>
      <c r="Y1131" s="9">
        <f>STATS1003B!Y1183/1000</f>
        <v>0</v>
      </c>
      <c r="Z1131" s="9">
        <f>STATS1003B!Z1183/1000</f>
        <v>0</v>
      </c>
      <c r="AA1131" s="9">
        <f>STATS1003B!AA1183/1000</f>
        <v>794.02242000000001</v>
      </c>
      <c r="AB1131" s="9">
        <f>STATS1003B!AB1183/1000</f>
        <v>0</v>
      </c>
    </row>
    <row r="1132" spans="1:28" x14ac:dyDescent="0.35">
      <c r="A1132" s="36"/>
      <c r="B1132" s="8"/>
      <c r="C1132" s="7" t="s">
        <v>924</v>
      </c>
      <c r="D1132" s="8"/>
      <c r="E1132" s="9">
        <f>STATS1003B!E1184/1000</f>
        <v>840.72231999999997</v>
      </c>
      <c r="F1132" s="9">
        <f>STATS1003B!F1184/1000</f>
        <v>836</v>
      </c>
      <c r="G1132" s="9">
        <f>STATS1003B!G1184/1000</f>
        <v>0</v>
      </c>
      <c r="H1132" s="9">
        <f>STATS1003B!H1184/1000</f>
        <v>836</v>
      </c>
      <c r="I1132" s="9">
        <f>STATS1003B!I1184/1000</f>
        <v>0</v>
      </c>
      <c r="J1132" s="9">
        <f>STATS1003B!J1184/1000</f>
        <v>0</v>
      </c>
      <c r="K1132" s="9">
        <f>STATS1003B!K1184/1000</f>
        <v>0</v>
      </c>
      <c r="L1132" s="9">
        <f>STATS1003B!L1184/1000</f>
        <v>0</v>
      </c>
      <c r="M1132" s="9">
        <f>STATS1003B!M1184/1000</f>
        <v>836</v>
      </c>
      <c r="N1132" s="9">
        <f>STATS1003B!N1184/1000</f>
        <v>4.7223199999999999</v>
      </c>
      <c r="O1132" s="9">
        <f>STATS1003B!O1184/1000</f>
        <v>0</v>
      </c>
      <c r="P1132" s="9">
        <f>STATS1003B!P1184/1000</f>
        <v>4.7223199999999999</v>
      </c>
      <c r="Q1132" s="9">
        <f>STATS1003B!Q1184/1000</f>
        <v>0</v>
      </c>
      <c r="R1132" s="9">
        <f>STATS1003B!R1184/1000</f>
        <v>0</v>
      </c>
      <c r="S1132" s="9">
        <f>STATS1003B!S1184/1000</f>
        <v>0</v>
      </c>
      <c r="T1132" s="9">
        <f>STATS1003B!T1184/1000</f>
        <v>0</v>
      </c>
      <c r="U1132" s="9">
        <f>STATS1003B!U1184/1000</f>
        <v>4.7223199999999999</v>
      </c>
      <c r="V1132" s="9">
        <f>STATS1003B!V1184/1000</f>
        <v>840.72231999999997</v>
      </c>
      <c r="W1132" s="9">
        <f>STATS1003B!W1184/1000</f>
        <v>0</v>
      </c>
      <c r="X1132" s="9">
        <f>STATS1003B!X1184/1000</f>
        <v>840.72231999999997</v>
      </c>
      <c r="Y1132" s="9">
        <f>STATS1003B!Y1184/1000</f>
        <v>0</v>
      </c>
      <c r="Z1132" s="9">
        <f>STATS1003B!Z1184/1000</f>
        <v>0</v>
      </c>
      <c r="AA1132" s="9">
        <f>STATS1003B!AA1184/1000</f>
        <v>840.72231999999997</v>
      </c>
      <c r="AB1132" s="9">
        <f>STATS1003B!AB1184/1000</f>
        <v>0</v>
      </c>
    </row>
    <row r="1133" spans="1:28" x14ac:dyDescent="0.35">
      <c r="A1133" s="36"/>
      <c r="B1133" s="8"/>
      <c r="C1133" s="7" t="s">
        <v>90</v>
      </c>
      <c r="D1133" s="23" t="s">
        <v>61</v>
      </c>
      <c r="E1133" s="9">
        <f>STATS1003B!E1186/1000</f>
        <v>300</v>
      </c>
      <c r="F1133" s="9">
        <f>STATS1003B!F1186/1000</f>
        <v>300</v>
      </c>
      <c r="G1133" s="9">
        <f>STATS1003B!G1186/1000</f>
        <v>0</v>
      </c>
      <c r="H1133" s="9">
        <f>STATS1003B!H1186/1000</f>
        <v>300</v>
      </c>
      <c r="I1133" s="9">
        <f>STATS1003B!I1186/1000</f>
        <v>300</v>
      </c>
      <c r="J1133" s="9">
        <f>STATS1003B!J1186/1000</f>
        <v>300</v>
      </c>
      <c r="K1133" s="9">
        <f>STATS1003B!K1186/1000</f>
        <v>0</v>
      </c>
      <c r="L1133" s="9">
        <f>STATS1003B!L1186/1000</f>
        <v>0</v>
      </c>
      <c r="M1133" s="9">
        <f>STATS1003B!M1186/1000</f>
        <v>300</v>
      </c>
      <c r="N1133" s="9">
        <f>STATS1003B!N1186/1000</f>
        <v>0</v>
      </c>
      <c r="O1133" s="9">
        <f>STATS1003B!O1186/1000</f>
        <v>0</v>
      </c>
      <c r="P1133" s="9">
        <f>STATS1003B!P1186/1000</f>
        <v>0</v>
      </c>
      <c r="Q1133" s="9">
        <f>STATS1003B!Q1186/1000</f>
        <v>0</v>
      </c>
      <c r="R1133" s="9">
        <f>STATS1003B!R1186/1000</f>
        <v>0</v>
      </c>
      <c r="S1133" s="9">
        <f>STATS1003B!S1186/1000</f>
        <v>0</v>
      </c>
      <c r="T1133" s="9">
        <f>STATS1003B!T1186/1000</f>
        <v>0</v>
      </c>
      <c r="U1133" s="9">
        <f>STATS1003B!U1186/1000</f>
        <v>0</v>
      </c>
      <c r="V1133" s="9">
        <f>STATS1003B!V1186/1000</f>
        <v>300</v>
      </c>
      <c r="W1133" s="9">
        <f>STATS1003B!W1186/1000</f>
        <v>0</v>
      </c>
      <c r="X1133" s="9">
        <f>STATS1003B!X1186/1000</f>
        <v>300</v>
      </c>
      <c r="Y1133" s="9">
        <f>STATS1003B!Y1186/1000</f>
        <v>0</v>
      </c>
      <c r="Z1133" s="9">
        <f>STATS1003B!Z1186/1000</f>
        <v>0</v>
      </c>
      <c r="AA1133" s="9">
        <f>STATS1003B!AA1186/1000</f>
        <v>300</v>
      </c>
      <c r="AB1133" s="9">
        <f>STATS1003B!AB1186/1000</f>
        <v>0</v>
      </c>
    </row>
    <row r="1134" spans="1:28" x14ac:dyDescent="0.35">
      <c r="A1134" s="36"/>
      <c r="B1134" s="8"/>
      <c r="C1134" s="8"/>
      <c r="D1134" s="8"/>
      <c r="E1134" s="17" t="s">
        <v>29</v>
      </c>
      <c r="F1134" s="17" t="s">
        <v>29</v>
      </c>
      <c r="G1134" s="17" t="s">
        <v>29</v>
      </c>
      <c r="H1134" s="17" t="s">
        <v>29</v>
      </c>
      <c r="I1134" s="17" t="s">
        <v>29</v>
      </c>
      <c r="J1134" s="17" t="s">
        <v>29</v>
      </c>
      <c r="K1134" s="17" t="s">
        <v>29</v>
      </c>
      <c r="L1134" s="17" t="s">
        <v>29</v>
      </c>
      <c r="M1134" s="17" t="s">
        <v>29</v>
      </c>
      <c r="N1134" s="17" t="s">
        <v>29</v>
      </c>
      <c r="O1134" s="17" t="s">
        <v>29</v>
      </c>
      <c r="P1134" s="17" t="s">
        <v>29</v>
      </c>
      <c r="Q1134" s="17" t="s">
        <v>29</v>
      </c>
      <c r="R1134" s="17" t="s">
        <v>29</v>
      </c>
      <c r="S1134" s="17" t="s">
        <v>29</v>
      </c>
      <c r="T1134" s="17" t="s">
        <v>29</v>
      </c>
      <c r="U1134" s="17" t="s">
        <v>29</v>
      </c>
      <c r="V1134" s="17" t="s">
        <v>29</v>
      </c>
      <c r="W1134" s="17" t="s">
        <v>29</v>
      </c>
      <c r="X1134" s="17" t="s">
        <v>29</v>
      </c>
      <c r="Y1134" s="17" t="s">
        <v>29</v>
      </c>
      <c r="Z1134" s="17" t="s">
        <v>29</v>
      </c>
      <c r="AA1134" s="17" t="s">
        <v>29</v>
      </c>
      <c r="AB1134" s="17" t="s">
        <v>29</v>
      </c>
    </row>
    <row r="1135" spans="1:28" x14ac:dyDescent="0.35">
      <c r="A1135" s="36"/>
      <c r="B1135" s="8"/>
      <c r="C1135" s="8"/>
      <c r="D1135" s="8"/>
      <c r="E1135" s="9">
        <f t="shared" ref="E1135:AB1135" si="83">SUM(E1118:E1133)</f>
        <v>38620.703320000001</v>
      </c>
      <c r="F1135" s="9">
        <f t="shared" si="83"/>
        <v>34743.678829999997</v>
      </c>
      <c r="G1135" s="9">
        <f t="shared" si="83"/>
        <v>0</v>
      </c>
      <c r="H1135" s="9">
        <f t="shared" si="83"/>
        <v>34743.678829999997</v>
      </c>
      <c r="I1135" s="9">
        <f t="shared" si="83"/>
        <v>300</v>
      </c>
      <c r="J1135" s="9">
        <f t="shared" si="83"/>
        <v>300</v>
      </c>
      <c r="K1135" s="9">
        <f t="shared" si="83"/>
        <v>0</v>
      </c>
      <c r="L1135" s="9">
        <f t="shared" si="83"/>
        <v>0</v>
      </c>
      <c r="M1135" s="9">
        <f t="shared" si="83"/>
        <v>34743.678829999997</v>
      </c>
      <c r="N1135" s="9">
        <f t="shared" si="83"/>
        <v>3877.0244899999998</v>
      </c>
      <c r="O1135" s="9">
        <f t="shared" si="83"/>
        <v>0</v>
      </c>
      <c r="P1135" s="9">
        <f t="shared" si="83"/>
        <v>3877.0244899999998</v>
      </c>
      <c r="Q1135" s="9">
        <f t="shared" si="83"/>
        <v>0</v>
      </c>
      <c r="R1135" s="9">
        <f t="shared" si="83"/>
        <v>0</v>
      </c>
      <c r="S1135" s="9">
        <f t="shared" si="83"/>
        <v>0</v>
      </c>
      <c r="T1135" s="9">
        <f t="shared" si="83"/>
        <v>0</v>
      </c>
      <c r="U1135" s="9">
        <f t="shared" si="83"/>
        <v>3877.0244899999998</v>
      </c>
      <c r="V1135" s="9">
        <f t="shared" si="83"/>
        <v>38620.703320000001</v>
      </c>
      <c r="W1135" s="9">
        <f t="shared" si="83"/>
        <v>0</v>
      </c>
      <c r="X1135" s="9">
        <f t="shared" si="83"/>
        <v>38620.703320000001</v>
      </c>
      <c r="Y1135" s="9">
        <f t="shared" si="83"/>
        <v>0</v>
      </c>
      <c r="Z1135" s="9">
        <f t="shared" si="83"/>
        <v>0</v>
      </c>
      <c r="AA1135" s="9">
        <f t="shared" si="83"/>
        <v>38620.703320000001</v>
      </c>
      <c r="AB1135" s="9">
        <f t="shared" si="83"/>
        <v>0</v>
      </c>
    </row>
    <row r="1136" spans="1:28" x14ac:dyDescent="0.35">
      <c r="A1136" s="36"/>
      <c r="B1136" s="8"/>
      <c r="C1136" s="8"/>
      <c r="D1136" s="8"/>
      <c r="E1136" s="17" t="s">
        <v>29</v>
      </c>
      <c r="F1136" s="17" t="s">
        <v>29</v>
      </c>
      <c r="G1136" s="17" t="s">
        <v>29</v>
      </c>
      <c r="H1136" s="17" t="s">
        <v>29</v>
      </c>
      <c r="I1136" s="17" t="s">
        <v>29</v>
      </c>
      <c r="J1136" s="17" t="s">
        <v>29</v>
      </c>
      <c r="K1136" s="17" t="s">
        <v>29</v>
      </c>
      <c r="L1136" s="17" t="s">
        <v>29</v>
      </c>
      <c r="M1136" s="17" t="s">
        <v>29</v>
      </c>
      <c r="N1136" s="17" t="s">
        <v>29</v>
      </c>
      <c r="O1136" s="17" t="s">
        <v>29</v>
      </c>
      <c r="P1136" s="17" t="s">
        <v>29</v>
      </c>
      <c r="Q1136" s="17" t="s">
        <v>29</v>
      </c>
      <c r="R1136" s="17" t="s">
        <v>29</v>
      </c>
      <c r="S1136" s="17" t="s">
        <v>29</v>
      </c>
      <c r="T1136" s="17" t="s">
        <v>29</v>
      </c>
      <c r="U1136" s="17" t="s">
        <v>29</v>
      </c>
      <c r="V1136" s="17" t="s">
        <v>29</v>
      </c>
      <c r="W1136" s="17" t="s">
        <v>29</v>
      </c>
      <c r="X1136" s="17" t="s">
        <v>29</v>
      </c>
      <c r="Y1136" s="17" t="s">
        <v>29</v>
      </c>
      <c r="Z1136" s="17" t="s">
        <v>29</v>
      </c>
      <c r="AA1136" s="17" t="s">
        <v>29</v>
      </c>
      <c r="AB1136" s="17" t="s">
        <v>29</v>
      </c>
    </row>
    <row r="1137" spans="1:28" x14ac:dyDescent="0.35">
      <c r="A1137" s="36"/>
      <c r="B1137" s="8"/>
      <c r="C1137" s="7" t="s">
        <v>292</v>
      </c>
      <c r="D1137" s="8"/>
      <c r="E1137" s="9">
        <f t="shared" ref="E1137:AB1137" si="84">E1135+E1115+E1093+E1079+E1057+E1037+E1018+E1004+E988+E968+E946+E941</f>
        <v>607627.4956599999</v>
      </c>
      <c r="F1137" s="9">
        <f t="shared" si="84"/>
        <v>493034.38311000005</v>
      </c>
      <c r="G1137" s="9">
        <f t="shared" si="84"/>
        <v>0</v>
      </c>
      <c r="H1137" s="9">
        <f t="shared" si="84"/>
        <v>493034.38311000005</v>
      </c>
      <c r="I1137" s="9">
        <f t="shared" si="84"/>
        <v>13430.469430000001</v>
      </c>
      <c r="J1137" s="9">
        <f t="shared" si="84"/>
        <v>13430.469430000001</v>
      </c>
      <c r="K1137" s="9">
        <f t="shared" si="84"/>
        <v>0</v>
      </c>
      <c r="L1137" s="9">
        <f t="shared" si="84"/>
        <v>0</v>
      </c>
      <c r="M1137" s="9">
        <f t="shared" si="84"/>
        <v>493034.38311000005</v>
      </c>
      <c r="N1137" s="9">
        <f t="shared" si="84"/>
        <v>113880.2714</v>
      </c>
      <c r="O1137" s="9">
        <f t="shared" si="84"/>
        <v>0</v>
      </c>
      <c r="P1137" s="9">
        <f t="shared" si="84"/>
        <v>113880.2714</v>
      </c>
      <c r="Q1137" s="9">
        <f t="shared" si="84"/>
        <v>37.806410000000007</v>
      </c>
      <c r="R1137" s="9">
        <f t="shared" si="84"/>
        <v>0</v>
      </c>
      <c r="S1137" s="9">
        <f t="shared" si="84"/>
        <v>90.390740000000008</v>
      </c>
      <c r="T1137" s="9">
        <f t="shared" si="84"/>
        <v>128.19715000000002</v>
      </c>
      <c r="U1137" s="9">
        <f t="shared" si="84"/>
        <v>114008.46855000001</v>
      </c>
      <c r="V1137" s="9">
        <f t="shared" si="84"/>
        <v>584467.20807999989</v>
      </c>
      <c r="W1137" s="9">
        <f t="shared" si="84"/>
        <v>712.84114999999997</v>
      </c>
      <c r="X1137" s="9">
        <f t="shared" si="84"/>
        <v>606914.65450999991</v>
      </c>
      <c r="Y1137" s="9">
        <f t="shared" si="84"/>
        <v>0</v>
      </c>
      <c r="Z1137" s="9">
        <f t="shared" si="84"/>
        <v>712.84114999999997</v>
      </c>
      <c r="AA1137" s="9">
        <f t="shared" si="84"/>
        <v>607042.85165999993</v>
      </c>
      <c r="AB1137" s="9">
        <f t="shared" si="84"/>
        <v>584.64400000000001</v>
      </c>
    </row>
    <row r="1138" spans="1:28" x14ac:dyDescent="0.35">
      <c r="A1138" s="36"/>
      <c r="B1138" s="8"/>
      <c r="C1138" s="8"/>
      <c r="D1138" s="8"/>
      <c r="E1138" s="17" t="s">
        <v>114</v>
      </c>
      <c r="F1138" s="17" t="s">
        <v>114</v>
      </c>
      <c r="G1138" s="17" t="s">
        <v>114</v>
      </c>
      <c r="H1138" s="17" t="s">
        <v>114</v>
      </c>
      <c r="I1138" s="17" t="s">
        <v>114</v>
      </c>
      <c r="J1138" s="17" t="s">
        <v>114</v>
      </c>
      <c r="K1138" s="17" t="s">
        <v>114</v>
      </c>
      <c r="L1138" s="17" t="s">
        <v>114</v>
      </c>
      <c r="M1138" s="17" t="s">
        <v>114</v>
      </c>
      <c r="N1138" s="17" t="s">
        <v>114</v>
      </c>
      <c r="O1138" s="17" t="s">
        <v>114</v>
      </c>
      <c r="P1138" s="17" t="s">
        <v>114</v>
      </c>
      <c r="Q1138" s="17" t="s">
        <v>114</v>
      </c>
      <c r="R1138" s="17" t="s">
        <v>114</v>
      </c>
      <c r="S1138" s="17" t="s">
        <v>114</v>
      </c>
      <c r="T1138" s="17" t="s">
        <v>114</v>
      </c>
      <c r="U1138" s="17" t="s">
        <v>114</v>
      </c>
      <c r="V1138" s="17" t="s">
        <v>114</v>
      </c>
      <c r="W1138" s="17" t="s">
        <v>114</v>
      </c>
      <c r="X1138" s="17" t="s">
        <v>114</v>
      </c>
      <c r="Y1138" s="17" t="s">
        <v>114</v>
      </c>
      <c r="Z1138" s="17" t="s">
        <v>114</v>
      </c>
      <c r="AA1138" s="17" t="s">
        <v>114</v>
      </c>
      <c r="AB1138" s="17" t="s">
        <v>114</v>
      </c>
    </row>
    <row r="1139" spans="1:28" x14ac:dyDescent="0.35">
      <c r="A1139" s="36"/>
      <c r="B1139" s="8"/>
      <c r="C1139" s="8"/>
      <c r="D1139" s="8"/>
      <c r="E1139" s="17"/>
      <c r="F1139" s="17"/>
      <c r="G1139" s="17"/>
      <c r="H1139" s="17"/>
      <c r="I1139" s="17"/>
      <c r="J1139" s="17"/>
      <c r="K1139" s="17"/>
      <c r="L1139" s="17"/>
      <c r="M1139" s="17"/>
      <c r="N1139" s="17"/>
      <c r="O1139" s="17"/>
      <c r="P1139" s="17"/>
      <c r="Q1139" s="17"/>
      <c r="R1139" s="17"/>
      <c r="S1139" s="17"/>
      <c r="T1139" s="17"/>
      <c r="U1139" s="17"/>
      <c r="V1139" s="17"/>
      <c r="W1139" s="17"/>
      <c r="X1139" s="17"/>
      <c r="Y1139" s="17"/>
      <c r="Z1139" s="17"/>
    </row>
    <row r="1140" spans="1:28" x14ac:dyDescent="0.35">
      <c r="A1140" s="36"/>
      <c r="B1140" s="8"/>
      <c r="C1140" s="8"/>
      <c r="D1140" s="8"/>
      <c r="E1140" s="17"/>
      <c r="F1140" s="17"/>
      <c r="G1140" s="17"/>
      <c r="H1140" s="17"/>
      <c r="I1140" s="17"/>
      <c r="J1140" s="17"/>
      <c r="K1140" s="17"/>
      <c r="L1140" s="17"/>
      <c r="M1140" s="17"/>
      <c r="N1140" s="17"/>
      <c r="O1140" s="17"/>
      <c r="P1140" s="17"/>
      <c r="Q1140" s="17"/>
      <c r="R1140" s="17"/>
      <c r="S1140" s="17"/>
      <c r="T1140" s="17"/>
      <c r="U1140" s="17"/>
      <c r="V1140" s="17"/>
      <c r="W1140" s="17"/>
      <c r="X1140" s="17"/>
      <c r="Y1140" s="17"/>
      <c r="Z1140" s="17"/>
    </row>
    <row r="1141" spans="1:28" x14ac:dyDescent="0.35">
      <c r="A1141" s="36"/>
      <c r="B1141" s="7" t="s">
        <v>673</v>
      </c>
      <c r="C1141" s="8"/>
      <c r="D1141" s="8"/>
      <c r="E1141" s="8"/>
      <c r="F1141" s="8"/>
      <c r="G1141" s="8"/>
      <c r="H1141" s="8"/>
      <c r="I1141" s="8"/>
      <c r="J1141" s="8"/>
      <c r="K1141" s="8"/>
      <c r="L1141" s="8"/>
      <c r="M1141" s="8"/>
      <c r="N1141" s="8"/>
      <c r="O1141" s="8"/>
      <c r="P1141" s="8"/>
      <c r="Q1141" s="8"/>
      <c r="R1141" s="17"/>
      <c r="S1141" s="17"/>
      <c r="T1141" s="17"/>
      <c r="U1141" s="17"/>
      <c r="V1141" s="17"/>
      <c r="W1141" s="17"/>
      <c r="X1141" s="17"/>
      <c r="Y1141" s="17"/>
      <c r="Z1141" s="17"/>
    </row>
    <row r="1142" spans="1:28" x14ac:dyDescent="0.35">
      <c r="A1142" s="36"/>
      <c r="B1142" s="7"/>
      <c r="C1142" s="8"/>
      <c r="D1142" s="8"/>
      <c r="E1142" s="8"/>
      <c r="F1142" s="8"/>
      <c r="G1142" s="8"/>
      <c r="H1142" s="8"/>
      <c r="I1142" s="8"/>
      <c r="J1142" s="8"/>
      <c r="K1142" s="8"/>
      <c r="L1142" s="8"/>
      <c r="M1142" s="8"/>
      <c r="N1142" s="8"/>
      <c r="O1142" s="8"/>
      <c r="P1142" s="8"/>
      <c r="Q1142" s="8"/>
      <c r="R1142" s="17"/>
      <c r="S1142" s="17"/>
      <c r="T1142" s="17"/>
      <c r="U1142" s="17"/>
      <c r="V1142" s="17"/>
      <c r="W1142" s="17"/>
      <c r="X1142" s="17"/>
      <c r="Y1142" s="17"/>
      <c r="Z1142" s="17"/>
    </row>
    <row r="1143" spans="1:28" x14ac:dyDescent="0.35">
      <c r="A1143" s="38" t="s">
        <v>992</v>
      </c>
      <c r="B1143" s="7" t="s">
        <v>674</v>
      </c>
      <c r="C1143" s="8"/>
      <c r="D1143" s="8"/>
      <c r="E1143" s="8"/>
      <c r="F1143" s="8"/>
      <c r="G1143" s="8"/>
      <c r="H1143" s="8"/>
      <c r="I1143" s="8"/>
      <c r="J1143" s="8"/>
      <c r="K1143" s="8"/>
      <c r="L1143" s="8"/>
      <c r="M1143" s="8"/>
      <c r="N1143" s="8"/>
      <c r="O1143" s="8"/>
      <c r="P1143" s="8"/>
      <c r="Q1143" s="8"/>
      <c r="R1143" s="17"/>
      <c r="S1143" s="17"/>
      <c r="T1143" s="17"/>
      <c r="U1143" s="17"/>
      <c r="V1143" s="17"/>
      <c r="W1143" s="17"/>
      <c r="X1143" s="17"/>
      <c r="Y1143" s="17"/>
      <c r="Z1143" s="17"/>
    </row>
    <row r="1144" spans="1:28" x14ac:dyDescent="0.35">
      <c r="A1144" s="36"/>
      <c r="B1144" s="8"/>
      <c r="C1144" s="7" t="s">
        <v>675</v>
      </c>
      <c r="D1144" s="15" t="s">
        <v>76</v>
      </c>
      <c r="E1144" s="9">
        <f>STATS1003B!E1197/1000</f>
        <v>2232.0402200000003</v>
      </c>
      <c r="F1144" s="9">
        <f>STATS1003B!F1197/1000</f>
        <v>1833.69569</v>
      </c>
      <c r="G1144" s="9">
        <f>STATS1003B!G1197/1000</f>
        <v>0</v>
      </c>
      <c r="H1144" s="9">
        <f>STATS1003B!H1197/1000</f>
        <v>1833.69569</v>
      </c>
      <c r="I1144" s="9">
        <f>STATS1003B!I1197/1000</f>
        <v>0</v>
      </c>
      <c r="J1144" s="9">
        <f>STATS1003B!J1197/1000</f>
        <v>1833.69569</v>
      </c>
      <c r="K1144" s="9">
        <f>STATS1003B!K1197/1000</f>
        <v>398.34453000000002</v>
      </c>
      <c r="L1144" s="9">
        <f>STATS1003B!L1197/1000</f>
        <v>0</v>
      </c>
      <c r="M1144" s="9">
        <f>STATS1003B!M1197/1000</f>
        <v>1833.69569</v>
      </c>
      <c r="N1144" s="9">
        <f>STATS1003B!N1197/1000</f>
        <v>398.34453000000002</v>
      </c>
      <c r="O1144" s="9">
        <f>STATS1003B!O1197/1000</f>
        <v>0</v>
      </c>
      <c r="P1144" s="9">
        <f>STATS1003B!P1197/1000</f>
        <v>398.34453000000002</v>
      </c>
      <c r="Q1144" s="9">
        <f>STATS1003B!Q1197/1000</f>
        <v>1833.6956900000002</v>
      </c>
      <c r="R1144" s="9">
        <f>STATS1003B!R1197/1000</f>
        <v>0</v>
      </c>
      <c r="S1144" s="9">
        <f>STATS1003B!S1197/1000</f>
        <v>0</v>
      </c>
      <c r="T1144" s="9">
        <f>STATS1003B!T1197/1000</f>
        <v>0</v>
      </c>
      <c r="U1144" s="9">
        <f>STATS1003B!U1197/1000</f>
        <v>398.34453000000002</v>
      </c>
      <c r="V1144" s="9">
        <f>STATS1003B!V1197/1000</f>
        <v>2232.0402199999999</v>
      </c>
      <c r="W1144" s="9">
        <f>STATS1003B!W1197/1000</f>
        <v>0</v>
      </c>
      <c r="X1144" s="9">
        <f>STATS1003B!X1197/1000</f>
        <v>2232.0402199999999</v>
      </c>
      <c r="Y1144" s="9">
        <f>STATS1003B!Y1197/1000</f>
        <v>0</v>
      </c>
      <c r="Z1144" s="9">
        <f>STATS1003B!Z1197/1000</f>
        <v>0</v>
      </c>
      <c r="AA1144" s="9">
        <f>STATS1003B!AA1197/1000</f>
        <v>2232.0402199999999</v>
      </c>
      <c r="AB1144" s="9">
        <f>STATS1003B!AB1197/1000</f>
        <v>0</v>
      </c>
    </row>
    <row r="1145" spans="1:28" x14ac:dyDescent="0.35">
      <c r="A1145" s="36"/>
      <c r="B1145" s="8"/>
      <c r="C1145" s="7" t="s">
        <v>539</v>
      </c>
      <c r="D1145" s="15" t="s">
        <v>68</v>
      </c>
      <c r="E1145" s="9">
        <f>STATS1003B!E1198/1000</f>
        <v>3629.9385000000002</v>
      </c>
      <c r="F1145" s="9">
        <f>STATS1003B!F1198/1000</f>
        <v>0</v>
      </c>
      <c r="G1145" s="9">
        <f>STATS1003B!G1198/1000</f>
        <v>0</v>
      </c>
      <c r="H1145" s="9">
        <f>STATS1003B!H1198/1000</f>
        <v>0</v>
      </c>
      <c r="I1145" s="9">
        <f>STATS1003B!I1198/1000</f>
        <v>0</v>
      </c>
      <c r="J1145" s="9">
        <f>STATS1003B!J1198/1000</f>
        <v>0</v>
      </c>
      <c r="K1145" s="9">
        <f>STATS1003B!K1198/1000</f>
        <v>3629.9385000000002</v>
      </c>
      <c r="L1145" s="9">
        <f>STATS1003B!L1198/1000</f>
        <v>0</v>
      </c>
      <c r="M1145" s="9">
        <f>STATS1003B!M1198/1000</f>
        <v>0</v>
      </c>
      <c r="N1145" s="9">
        <f>STATS1003B!N1198/1000</f>
        <v>3629.9385000000002</v>
      </c>
      <c r="O1145" s="9">
        <f>STATS1003B!O1198/1000</f>
        <v>0</v>
      </c>
      <c r="P1145" s="9">
        <f>STATS1003B!P1198/1000</f>
        <v>3629.9385000000002</v>
      </c>
      <c r="Q1145" s="9">
        <f>STATS1003B!Q1198/1000</f>
        <v>0</v>
      </c>
      <c r="R1145" s="9">
        <f>STATS1003B!R1198/1000</f>
        <v>0</v>
      </c>
      <c r="S1145" s="9">
        <f>STATS1003B!S1198/1000</f>
        <v>0</v>
      </c>
      <c r="T1145" s="9">
        <f>STATS1003B!T1198/1000</f>
        <v>0</v>
      </c>
      <c r="U1145" s="9">
        <f>STATS1003B!U1198/1000</f>
        <v>3629.9385000000002</v>
      </c>
      <c r="V1145" s="9">
        <f>STATS1003B!V1198/1000</f>
        <v>3629.9385000000002</v>
      </c>
      <c r="W1145" s="9">
        <f>STATS1003B!W1198/1000</f>
        <v>0</v>
      </c>
      <c r="X1145" s="9">
        <f>STATS1003B!X1198/1000</f>
        <v>3629.9385000000002</v>
      </c>
      <c r="Y1145" s="9">
        <f>STATS1003B!Y1198/1000</f>
        <v>0</v>
      </c>
      <c r="Z1145" s="9">
        <f>STATS1003B!Z1198/1000</f>
        <v>0</v>
      </c>
      <c r="AA1145" s="9">
        <f>STATS1003B!AA1198/1000</f>
        <v>3629.9385000000002</v>
      </c>
      <c r="AB1145" s="9">
        <f>STATS1003B!AB1198/1000</f>
        <v>0</v>
      </c>
    </row>
    <row r="1146" spans="1:28" x14ac:dyDescent="0.35">
      <c r="A1146" s="36"/>
      <c r="B1146" s="8"/>
      <c r="C1146" s="7" t="s">
        <v>535</v>
      </c>
      <c r="D1146" s="15" t="s">
        <v>68</v>
      </c>
      <c r="E1146" s="9">
        <f>STATS1003B!E1199/1000</f>
        <v>446.10741999999993</v>
      </c>
      <c r="F1146" s="9">
        <f>STATS1003B!F1199/1000</f>
        <v>0</v>
      </c>
      <c r="G1146" s="9">
        <f>STATS1003B!G1199/1000</f>
        <v>0</v>
      </c>
      <c r="H1146" s="9">
        <f>STATS1003B!H1199/1000</f>
        <v>0</v>
      </c>
      <c r="I1146" s="9">
        <f>STATS1003B!I1199/1000</f>
        <v>0</v>
      </c>
      <c r="J1146" s="9">
        <f>STATS1003B!J1199/1000</f>
        <v>0</v>
      </c>
      <c r="K1146" s="9">
        <f>STATS1003B!K1199/1000</f>
        <v>446.10742000000005</v>
      </c>
      <c r="L1146" s="9">
        <f>STATS1003B!L1199/1000</f>
        <v>0</v>
      </c>
      <c r="M1146" s="9">
        <f>STATS1003B!M1199/1000</f>
        <v>0</v>
      </c>
      <c r="N1146" s="9">
        <f>STATS1003B!N1199/1000</f>
        <v>446.10741999999999</v>
      </c>
      <c r="O1146" s="9">
        <f>STATS1003B!O1199/1000</f>
        <v>0</v>
      </c>
      <c r="P1146" s="9">
        <f>STATS1003B!P1199/1000</f>
        <v>446.10741999999999</v>
      </c>
      <c r="Q1146" s="9">
        <f>STATS1003B!Q1199/1000</f>
        <v>0</v>
      </c>
      <c r="R1146" s="9">
        <f>STATS1003B!R1199/1000</f>
        <v>0</v>
      </c>
      <c r="S1146" s="9">
        <f>STATS1003B!S1199/1000</f>
        <v>0</v>
      </c>
      <c r="T1146" s="9">
        <f>STATS1003B!T1199/1000</f>
        <v>0</v>
      </c>
      <c r="U1146" s="9">
        <f>STATS1003B!U1199/1000</f>
        <v>446.10741999999999</v>
      </c>
      <c r="V1146" s="9">
        <f>STATS1003B!V1199/1000</f>
        <v>446.10741999999999</v>
      </c>
      <c r="W1146" s="9">
        <f>STATS1003B!W1199/1000</f>
        <v>0</v>
      </c>
      <c r="X1146" s="9">
        <f>STATS1003B!X1199/1000</f>
        <v>446.10741999999999</v>
      </c>
      <c r="Y1146" s="9">
        <f>STATS1003B!Y1199/1000</f>
        <v>0</v>
      </c>
      <c r="Z1146" s="9">
        <f>STATS1003B!Z1199/1000</f>
        <v>0</v>
      </c>
      <c r="AA1146" s="9">
        <f>STATS1003B!AA1199/1000</f>
        <v>446.10741999999999</v>
      </c>
      <c r="AB1146" s="9">
        <f>STATS1003B!AB1199/1000</f>
        <v>0</v>
      </c>
    </row>
    <row r="1147" spans="1:28" x14ac:dyDescent="0.35">
      <c r="A1147" s="36"/>
      <c r="B1147" s="8"/>
      <c r="C1147" s="7" t="s">
        <v>545</v>
      </c>
      <c r="D1147" s="15" t="s">
        <v>54</v>
      </c>
      <c r="E1147" s="9">
        <f>STATS1003B!E1200/1000</f>
        <v>1953.989</v>
      </c>
      <c r="F1147" s="9">
        <f>STATS1003B!F1200/1000</f>
        <v>0</v>
      </c>
      <c r="G1147" s="9">
        <f>STATS1003B!G1200/1000</f>
        <v>0</v>
      </c>
      <c r="H1147" s="9">
        <f>STATS1003B!H1200/1000</f>
        <v>0</v>
      </c>
      <c r="I1147" s="9">
        <f>STATS1003B!I1200/1000</f>
        <v>0</v>
      </c>
      <c r="J1147" s="9">
        <f>STATS1003B!J1200/1000</f>
        <v>0</v>
      </c>
      <c r="K1147" s="9">
        <f>STATS1003B!K1200/1000</f>
        <v>1953.989</v>
      </c>
      <c r="L1147" s="9">
        <f>STATS1003B!L1200/1000</f>
        <v>0</v>
      </c>
      <c r="M1147" s="9">
        <f>STATS1003B!M1200/1000</f>
        <v>0</v>
      </c>
      <c r="N1147" s="9">
        <f>STATS1003B!N1200/1000</f>
        <v>1953.989</v>
      </c>
      <c r="O1147" s="9">
        <f>STATS1003B!O1200/1000</f>
        <v>0</v>
      </c>
      <c r="P1147" s="9">
        <f>STATS1003B!P1200/1000</f>
        <v>1953.989</v>
      </c>
      <c r="Q1147" s="9">
        <f>STATS1003B!Q1200/1000</f>
        <v>0</v>
      </c>
      <c r="R1147" s="9">
        <f>STATS1003B!R1200/1000</f>
        <v>0</v>
      </c>
      <c r="S1147" s="9">
        <f>STATS1003B!S1200/1000</f>
        <v>0</v>
      </c>
      <c r="T1147" s="9">
        <f>STATS1003B!T1200/1000</f>
        <v>0</v>
      </c>
      <c r="U1147" s="9">
        <f>STATS1003B!U1200/1000</f>
        <v>1953.989</v>
      </c>
      <c r="V1147" s="9">
        <f>STATS1003B!V1200/1000</f>
        <v>1953.989</v>
      </c>
      <c r="W1147" s="9">
        <f>STATS1003B!W1200/1000</f>
        <v>0</v>
      </c>
      <c r="X1147" s="9">
        <f>STATS1003B!X1200/1000</f>
        <v>1953.989</v>
      </c>
      <c r="Y1147" s="9">
        <f>STATS1003B!Y1200/1000</f>
        <v>0</v>
      </c>
      <c r="Z1147" s="9">
        <f>STATS1003B!Z1200/1000</f>
        <v>0</v>
      </c>
      <c r="AA1147" s="9">
        <f>STATS1003B!AA1200/1000</f>
        <v>1953.989</v>
      </c>
      <c r="AB1147" s="9">
        <f>STATS1003B!AB1200/1000</f>
        <v>0</v>
      </c>
    </row>
    <row r="1148" spans="1:28" x14ac:dyDescent="0.35">
      <c r="A1148" s="36"/>
      <c r="B1148" s="8"/>
      <c r="C1148" s="7" t="s">
        <v>557</v>
      </c>
      <c r="D1148" s="15" t="s">
        <v>54</v>
      </c>
      <c r="E1148" s="9">
        <f>STATS1003B!E1201/1000</f>
        <v>5307</v>
      </c>
      <c r="F1148" s="9">
        <f>STATS1003B!F1201/1000</f>
        <v>5307</v>
      </c>
      <c r="G1148" s="9">
        <f>STATS1003B!G1201/1000</f>
        <v>0</v>
      </c>
      <c r="H1148" s="9">
        <f>STATS1003B!H1201/1000</f>
        <v>5307</v>
      </c>
      <c r="I1148" s="9">
        <f>STATS1003B!I1201/1000</f>
        <v>0</v>
      </c>
      <c r="J1148" s="9">
        <f>STATS1003B!J1201/1000</f>
        <v>5307</v>
      </c>
      <c r="K1148" s="9">
        <f>STATS1003B!K1201/1000</f>
        <v>0</v>
      </c>
      <c r="L1148" s="9">
        <f>STATS1003B!L1201/1000</f>
        <v>0</v>
      </c>
      <c r="M1148" s="9">
        <f>STATS1003B!M1201/1000</f>
        <v>5307</v>
      </c>
      <c r="N1148" s="9">
        <f>STATS1003B!N1201/1000</f>
        <v>0</v>
      </c>
      <c r="O1148" s="9">
        <f>STATS1003B!O1201/1000</f>
        <v>0</v>
      </c>
      <c r="P1148" s="9">
        <f>STATS1003B!P1201/1000</f>
        <v>0</v>
      </c>
      <c r="Q1148" s="9">
        <f>STATS1003B!Q1201/1000</f>
        <v>5307</v>
      </c>
      <c r="R1148" s="9">
        <f>STATS1003B!R1201/1000</f>
        <v>0</v>
      </c>
      <c r="S1148" s="9">
        <f>STATS1003B!S1201/1000</f>
        <v>0</v>
      </c>
      <c r="T1148" s="9">
        <f>STATS1003B!T1201/1000</f>
        <v>0</v>
      </c>
      <c r="U1148" s="9">
        <f>STATS1003B!U1201/1000</f>
        <v>0</v>
      </c>
      <c r="V1148" s="9">
        <f>STATS1003B!V1201/1000</f>
        <v>5307</v>
      </c>
      <c r="W1148" s="9">
        <f>STATS1003B!W1201/1000</f>
        <v>0</v>
      </c>
      <c r="X1148" s="9">
        <f>STATS1003B!X1201/1000</f>
        <v>5307</v>
      </c>
      <c r="Y1148" s="9">
        <f>STATS1003B!Y1201/1000</f>
        <v>0</v>
      </c>
      <c r="Z1148" s="9">
        <f>STATS1003B!Z1201/1000</f>
        <v>0</v>
      </c>
      <c r="AA1148" s="9">
        <f>STATS1003B!AA1201/1000</f>
        <v>5307</v>
      </c>
      <c r="AB1148" s="9">
        <f>STATS1003B!AB1201/1000</f>
        <v>0</v>
      </c>
    </row>
    <row r="1149" spans="1:28" x14ac:dyDescent="0.35">
      <c r="A1149" s="36"/>
      <c r="B1149" s="8"/>
      <c r="C1149" s="7" t="s">
        <v>535</v>
      </c>
      <c r="D1149" s="15" t="s">
        <v>108</v>
      </c>
      <c r="E1149" s="9">
        <f>STATS1003B!E1202/1000</f>
        <v>6610.50288</v>
      </c>
      <c r="F1149" s="9">
        <f>STATS1003B!F1202/1000</f>
        <v>6610.50288</v>
      </c>
      <c r="G1149" s="9">
        <f>STATS1003B!G1202/1000</f>
        <v>0</v>
      </c>
      <c r="H1149" s="9">
        <f>STATS1003B!H1202/1000</f>
        <v>6610.50288</v>
      </c>
      <c r="I1149" s="9">
        <f>STATS1003B!I1202/1000</f>
        <v>0</v>
      </c>
      <c r="J1149" s="9">
        <f>STATS1003B!J1202/1000</f>
        <v>6610.50288</v>
      </c>
      <c r="K1149" s="9">
        <f>STATS1003B!K1202/1000</f>
        <v>0</v>
      </c>
      <c r="L1149" s="9">
        <f>STATS1003B!L1202/1000</f>
        <v>0</v>
      </c>
      <c r="M1149" s="9">
        <f>STATS1003B!M1202/1000</f>
        <v>6610.50288</v>
      </c>
      <c r="N1149" s="9">
        <f>STATS1003B!N1202/1000</f>
        <v>0</v>
      </c>
      <c r="O1149" s="9">
        <f>STATS1003B!O1202/1000</f>
        <v>0</v>
      </c>
      <c r="P1149" s="9">
        <f>STATS1003B!P1202/1000</f>
        <v>0</v>
      </c>
      <c r="Q1149" s="9">
        <f>STATS1003B!Q1202/1000</f>
        <v>6610.50288</v>
      </c>
      <c r="R1149" s="9">
        <f>STATS1003B!R1202/1000</f>
        <v>0</v>
      </c>
      <c r="S1149" s="9">
        <f>STATS1003B!S1202/1000</f>
        <v>0</v>
      </c>
      <c r="T1149" s="9">
        <f>STATS1003B!T1202/1000</f>
        <v>0</v>
      </c>
      <c r="U1149" s="9">
        <f>STATS1003B!U1202/1000</f>
        <v>0</v>
      </c>
      <c r="V1149" s="9">
        <f>STATS1003B!V1202/1000</f>
        <v>6610.50288</v>
      </c>
      <c r="W1149" s="9">
        <f>STATS1003B!W1202/1000</f>
        <v>0</v>
      </c>
      <c r="X1149" s="9">
        <f>STATS1003B!X1202/1000</f>
        <v>6610.50288</v>
      </c>
      <c r="Y1149" s="9">
        <f>STATS1003B!Y1202/1000</f>
        <v>0</v>
      </c>
      <c r="Z1149" s="9">
        <f>STATS1003B!Z1202/1000</f>
        <v>0</v>
      </c>
      <c r="AA1149" s="9">
        <f>STATS1003B!AA1202/1000</f>
        <v>6610.50288</v>
      </c>
      <c r="AB1149" s="9">
        <f>STATS1003B!AB1202/1000</f>
        <v>0</v>
      </c>
    </row>
    <row r="1150" spans="1:28" x14ac:dyDescent="0.35">
      <c r="A1150" s="36"/>
      <c r="B1150" s="8"/>
      <c r="C1150" s="7" t="s">
        <v>676</v>
      </c>
      <c r="D1150" s="15" t="s">
        <v>108</v>
      </c>
      <c r="E1150" s="9" t="e">
        <f>STATS1003B!#REF!/1000</f>
        <v>#REF!</v>
      </c>
      <c r="F1150" s="9" t="e">
        <f>STATS1003B!#REF!/1000</f>
        <v>#REF!</v>
      </c>
      <c r="G1150" s="9" t="e">
        <f>STATS1003B!#REF!/1000</f>
        <v>#REF!</v>
      </c>
      <c r="H1150" s="9" t="e">
        <f>STATS1003B!#REF!/1000</f>
        <v>#REF!</v>
      </c>
      <c r="I1150" s="9" t="e">
        <f>STATS1003B!#REF!/1000</f>
        <v>#REF!</v>
      </c>
      <c r="J1150" s="9" t="e">
        <f>STATS1003B!#REF!/1000</f>
        <v>#REF!</v>
      </c>
      <c r="K1150" s="9" t="e">
        <f>STATS1003B!#REF!/1000</f>
        <v>#REF!</v>
      </c>
      <c r="L1150" s="9" t="e">
        <f>STATS1003B!#REF!/1000</f>
        <v>#REF!</v>
      </c>
      <c r="M1150" s="9" t="e">
        <f>STATS1003B!#REF!/1000</f>
        <v>#REF!</v>
      </c>
      <c r="N1150" s="9" t="e">
        <f>STATS1003B!#REF!/1000</f>
        <v>#REF!</v>
      </c>
      <c r="O1150" s="9" t="e">
        <f>STATS1003B!#REF!/1000</f>
        <v>#REF!</v>
      </c>
      <c r="P1150" s="9" t="e">
        <f>STATS1003B!#REF!/1000</f>
        <v>#REF!</v>
      </c>
      <c r="Q1150" s="9" t="e">
        <f>STATS1003B!#REF!/1000</f>
        <v>#REF!</v>
      </c>
      <c r="R1150" s="9" t="e">
        <f>STATS1003B!#REF!/1000</f>
        <v>#REF!</v>
      </c>
      <c r="S1150" s="9" t="e">
        <f>STATS1003B!#REF!/1000</f>
        <v>#REF!</v>
      </c>
      <c r="T1150" s="9" t="e">
        <f>STATS1003B!#REF!/1000</f>
        <v>#REF!</v>
      </c>
      <c r="U1150" s="9" t="e">
        <f>STATS1003B!#REF!/1000</f>
        <v>#REF!</v>
      </c>
      <c r="V1150" s="9" t="e">
        <f>STATS1003B!#REF!/1000</f>
        <v>#REF!</v>
      </c>
      <c r="W1150" s="9" t="e">
        <f>STATS1003B!#REF!/1000</f>
        <v>#REF!</v>
      </c>
      <c r="X1150" s="9" t="e">
        <f>STATS1003B!#REF!/1000</f>
        <v>#REF!</v>
      </c>
      <c r="Y1150" s="9" t="e">
        <f>STATS1003B!#REF!/1000</f>
        <v>#REF!</v>
      </c>
      <c r="Z1150" s="9" t="e">
        <f>STATS1003B!#REF!/1000</f>
        <v>#REF!</v>
      </c>
      <c r="AA1150" s="9" t="e">
        <f>STATS1003B!#REF!/1000</f>
        <v>#REF!</v>
      </c>
      <c r="AB1150" s="9" t="e">
        <f>STATS1003B!#REF!/1000</f>
        <v>#REF!</v>
      </c>
    </row>
    <row r="1151" spans="1:28" x14ac:dyDescent="0.35">
      <c r="A1151" s="36"/>
      <c r="B1151" s="8"/>
      <c r="C1151" s="7" t="s">
        <v>535</v>
      </c>
      <c r="D1151" s="15" t="s">
        <v>58</v>
      </c>
      <c r="E1151" s="9">
        <f>STATS1003B!E1204/1000</f>
        <v>6526.8738400000002</v>
      </c>
      <c r="F1151" s="9">
        <f>STATS1003B!F1204/1000</f>
        <v>6526.8738400000002</v>
      </c>
      <c r="G1151" s="9">
        <f>STATS1003B!G1204/1000</f>
        <v>0</v>
      </c>
      <c r="H1151" s="9">
        <f>STATS1003B!H1204/1000</f>
        <v>6526.8738400000002</v>
      </c>
      <c r="I1151" s="9">
        <f>STATS1003B!I1204/1000</f>
        <v>0</v>
      </c>
      <c r="J1151" s="9">
        <f>STATS1003B!J1204/1000</f>
        <v>6526.8738400000002</v>
      </c>
      <c r="K1151" s="9">
        <f>STATS1003B!K1204/1000</f>
        <v>0</v>
      </c>
      <c r="L1151" s="9">
        <f>STATS1003B!L1204/1000</f>
        <v>0</v>
      </c>
      <c r="M1151" s="9">
        <f>STATS1003B!M1204/1000</f>
        <v>6526.8738400000002</v>
      </c>
      <c r="N1151" s="9">
        <f>STATS1003B!N1204/1000</f>
        <v>0</v>
      </c>
      <c r="O1151" s="9">
        <f>STATS1003B!O1204/1000</f>
        <v>0</v>
      </c>
      <c r="P1151" s="9">
        <f>STATS1003B!P1204/1000</f>
        <v>0</v>
      </c>
      <c r="Q1151" s="9">
        <f>STATS1003B!Q1204/1000</f>
        <v>6526.8738400000002</v>
      </c>
      <c r="R1151" s="9">
        <f>STATS1003B!R1204/1000</f>
        <v>0</v>
      </c>
      <c r="S1151" s="9">
        <f>STATS1003B!S1204/1000</f>
        <v>0</v>
      </c>
      <c r="T1151" s="9">
        <f>STATS1003B!T1204/1000</f>
        <v>0</v>
      </c>
      <c r="U1151" s="9">
        <f>STATS1003B!U1204/1000</f>
        <v>0</v>
      </c>
      <c r="V1151" s="9">
        <f>STATS1003B!V1204/1000</f>
        <v>6526.8738400000002</v>
      </c>
      <c r="W1151" s="9">
        <f>STATS1003B!W1204/1000</f>
        <v>0</v>
      </c>
      <c r="X1151" s="9">
        <f>STATS1003B!X1204/1000</f>
        <v>6526.8738400000002</v>
      </c>
      <c r="Y1151" s="9">
        <f>STATS1003B!Y1204/1000</f>
        <v>0</v>
      </c>
      <c r="Z1151" s="9">
        <f>STATS1003B!Z1204/1000</f>
        <v>0</v>
      </c>
      <c r="AA1151" s="9">
        <f>STATS1003B!AA1204/1000</f>
        <v>6526.8738400000002</v>
      </c>
      <c r="AB1151" s="9">
        <f>STATS1003B!AB1204/1000</f>
        <v>0</v>
      </c>
    </row>
    <row r="1152" spans="1:28" x14ac:dyDescent="0.35">
      <c r="A1152" s="36"/>
      <c r="B1152" s="8"/>
      <c r="C1152" s="7" t="s">
        <v>535</v>
      </c>
      <c r="D1152" s="15" t="s">
        <v>60</v>
      </c>
      <c r="E1152" s="9">
        <f>STATS1003B!E1205/1000</f>
        <v>4241.2569999999996</v>
      </c>
      <c r="F1152" s="9">
        <f>STATS1003B!F1205/1000</f>
        <v>4241.2569999999996</v>
      </c>
      <c r="G1152" s="9">
        <f>STATS1003B!G1205/1000</f>
        <v>0</v>
      </c>
      <c r="H1152" s="9">
        <f>STATS1003B!H1205/1000</f>
        <v>4241.2569999999996</v>
      </c>
      <c r="I1152" s="9">
        <f>STATS1003B!I1205/1000</f>
        <v>0</v>
      </c>
      <c r="J1152" s="9">
        <f>STATS1003B!J1205/1000</f>
        <v>4241.2569999999996</v>
      </c>
      <c r="K1152" s="9">
        <f>STATS1003B!K1205/1000</f>
        <v>0</v>
      </c>
      <c r="L1152" s="9">
        <f>STATS1003B!L1205/1000</f>
        <v>0</v>
      </c>
      <c r="M1152" s="9">
        <f>STATS1003B!M1205/1000</f>
        <v>4241.2569999999996</v>
      </c>
      <c r="N1152" s="9">
        <f>STATS1003B!N1205/1000</f>
        <v>0</v>
      </c>
      <c r="O1152" s="9">
        <f>STATS1003B!O1205/1000</f>
        <v>0</v>
      </c>
      <c r="P1152" s="9">
        <f>STATS1003B!P1205/1000</f>
        <v>0</v>
      </c>
      <c r="Q1152" s="9">
        <f>STATS1003B!Q1205/1000</f>
        <v>4241.2569999999996</v>
      </c>
      <c r="R1152" s="9">
        <f>STATS1003B!R1205/1000</f>
        <v>0</v>
      </c>
      <c r="S1152" s="9">
        <f>STATS1003B!S1205/1000</f>
        <v>0</v>
      </c>
      <c r="T1152" s="9">
        <f>STATS1003B!T1205/1000</f>
        <v>0</v>
      </c>
      <c r="U1152" s="9">
        <f>STATS1003B!U1205/1000</f>
        <v>0</v>
      </c>
      <c r="V1152" s="9">
        <f>STATS1003B!V1205/1000</f>
        <v>4241.2569999999996</v>
      </c>
      <c r="W1152" s="9">
        <f>STATS1003B!W1205/1000</f>
        <v>0</v>
      </c>
      <c r="X1152" s="9">
        <f>STATS1003B!X1205/1000</f>
        <v>4241.2569999999996</v>
      </c>
      <c r="Y1152" s="9">
        <f>STATS1003B!Y1205/1000</f>
        <v>0</v>
      </c>
      <c r="Z1152" s="9">
        <f>STATS1003B!Z1205/1000</f>
        <v>0</v>
      </c>
      <c r="AA1152" s="9">
        <f>STATS1003B!AA1205/1000</f>
        <v>4241.2569999999996</v>
      </c>
      <c r="AB1152" s="9">
        <f>STATS1003B!AB1205/1000</f>
        <v>0</v>
      </c>
    </row>
    <row r="1153" spans="1:28" x14ac:dyDescent="0.35">
      <c r="A1153" s="36"/>
      <c r="B1153" s="8"/>
      <c r="C1153" s="14" t="s">
        <v>535</v>
      </c>
      <c r="D1153" s="21" t="s">
        <v>73</v>
      </c>
      <c r="E1153" s="9">
        <f>STATS1003B!E1206/1000</f>
        <v>5527.7558399999998</v>
      </c>
      <c r="F1153" s="9">
        <f>STATS1003B!F1206/1000</f>
        <v>5527.7558399999998</v>
      </c>
      <c r="G1153" s="9">
        <f>STATS1003B!G1206/1000</f>
        <v>0</v>
      </c>
      <c r="H1153" s="9">
        <f>STATS1003B!H1206/1000</f>
        <v>5527.7558399999998</v>
      </c>
      <c r="I1153" s="9">
        <f>STATS1003B!I1206/1000</f>
        <v>0</v>
      </c>
      <c r="J1153" s="9">
        <f>STATS1003B!J1206/1000</f>
        <v>5527.7558399999998</v>
      </c>
      <c r="K1153" s="9">
        <f>STATS1003B!K1206/1000</f>
        <v>0</v>
      </c>
      <c r="L1153" s="9">
        <f>STATS1003B!L1206/1000</f>
        <v>0</v>
      </c>
      <c r="M1153" s="9">
        <f>STATS1003B!M1206/1000</f>
        <v>5527.7558399999998</v>
      </c>
      <c r="N1153" s="9">
        <f>STATS1003B!N1206/1000</f>
        <v>0</v>
      </c>
      <c r="O1153" s="9">
        <f>STATS1003B!O1206/1000</f>
        <v>0</v>
      </c>
      <c r="P1153" s="9">
        <f>STATS1003B!P1206/1000</f>
        <v>0</v>
      </c>
      <c r="Q1153" s="9">
        <f>STATS1003B!Q1206/1000</f>
        <v>5527.7558399999998</v>
      </c>
      <c r="R1153" s="9">
        <f>STATS1003B!R1206/1000</f>
        <v>0</v>
      </c>
      <c r="S1153" s="9">
        <f>STATS1003B!S1206/1000</f>
        <v>0</v>
      </c>
      <c r="T1153" s="9">
        <f>STATS1003B!T1206/1000</f>
        <v>0</v>
      </c>
      <c r="U1153" s="9">
        <f>STATS1003B!U1206/1000</f>
        <v>0</v>
      </c>
      <c r="V1153" s="9">
        <f>STATS1003B!V1206/1000</f>
        <v>5527.7558399999998</v>
      </c>
      <c r="W1153" s="9">
        <f>STATS1003B!W1206/1000</f>
        <v>0</v>
      </c>
      <c r="X1153" s="9">
        <f>STATS1003B!X1206/1000</f>
        <v>5527.7558399999998</v>
      </c>
      <c r="Y1153" s="9">
        <f>STATS1003B!Y1206/1000</f>
        <v>0</v>
      </c>
      <c r="Z1153" s="9">
        <f>STATS1003B!Z1206/1000</f>
        <v>0</v>
      </c>
      <c r="AA1153" s="9">
        <f>STATS1003B!AA1206/1000</f>
        <v>5527.7558399999998</v>
      </c>
      <c r="AB1153" s="9">
        <f>STATS1003B!AB1206/1000</f>
        <v>0</v>
      </c>
    </row>
    <row r="1154" spans="1:28" x14ac:dyDescent="0.35">
      <c r="A1154" s="36"/>
      <c r="B1154" s="8"/>
      <c r="C1154" s="14" t="s">
        <v>535</v>
      </c>
      <c r="D1154" s="21" t="s">
        <v>61</v>
      </c>
      <c r="E1154" s="9">
        <f>STATS1003B!E1207/1000</f>
        <v>4448</v>
      </c>
      <c r="F1154" s="9">
        <f>STATS1003B!F1207/1000</f>
        <v>4448</v>
      </c>
      <c r="G1154" s="9">
        <f>STATS1003B!G1207/1000</f>
        <v>0</v>
      </c>
      <c r="H1154" s="9">
        <f>STATS1003B!H1207/1000</f>
        <v>4448</v>
      </c>
      <c r="I1154" s="9">
        <f>STATS1003B!I1207/1000</f>
        <v>0</v>
      </c>
      <c r="J1154" s="9">
        <f>STATS1003B!J1207/1000</f>
        <v>4448</v>
      </c>
      <c r="K1154" s="9">
        <f>STATS1003B!K1207/1000</f>
        <v>0</v>
      </c>
      <c r="L1154" s="9">
        <f>STATS1003B!L1207/1000</f>
        <v>0</v>
      </c>
      <c r="M1154" s="9">
        <f>STATS1003B!M1207/1000</f>
        <v>4448</v>
      </c>
      <c r="N1154" s="9">
        <f>STATS1003B!N1207/1000</f>
        <v>0</v>
      </c>
      <c r="O1154" s="9">
        <f>STATS1003B!O1207/1000</f>
        <v>0</v>
      </c>
      <c r="P1154" s="9">
        <f>STATS1003B!P1207/1000</f>
        <v>0</v>
      </c>
      <c r="Q1154" s="9">
        <f>STATS1003B!Q1207/1000</f>
        <v>4448</v>
      </c>
      <c r="R1154" s="9">
        <f>STATS1003B!R1207/1000</f>
        <v>0</v>
      </c>
      <c r="S1154" s="9">
        <f>STATS1003B!S1207/1000</f>
        <v>0</v>
      </c>
      <c r="T1154" s="9">
        <f>STATS1003B!T1207/1000</f>
        <v>0</v>
      </c>
      <c r="U1154" s="9">
        <f>STATS1003B!U1207/1000</f>
        <v>0</v>
      </c>
      <c r="V1154" s="9">
        <f>STATS1003B!V1207/1000</f>
        <v>4448</v>
      </c>
      <c r="W1154" s="9">
        <f>STATS1003B!W1207/1000</f>
        <v>0</v>
      </c>
      <c r="X1154" s="9">
        <f>STATS1003B!X1207/1000</f>
        <v>4448</v>
      </c>
      <c r="Y1154" s="9">
        <f>STATS1003B!Y1207/1000</f>
        <v>0</v>
      </c>
      <c r="Z1154" s="9">
        <f>STATS1003B!Z1207/1000</f>
        <v>0</v>
      </c>
      <c r="AA1154" s="9">
        <f>STATS1003B!AA1207/1000</f>
        <v>4448</v>
      </c>
      <c r="AB1154" s="9">
        <f>STATS1003B!AB1207/1000</f>
        <v>0</v>
      </c>
    </row>
    <row r="1155" spans="1:28" x14ac:dyDescent="0.35">
      <c r="A1155" s="36"/>
      <c r="B1155" s="8"/>
      <c r="C1155" s="45" t="s">
        <v>933</v>
      </c>
      <c r="D1155" s="24" t="s">
        <v>1072</v>
      </c>
      <c r="E1155" s="9">
        <f>STATS1003B!E1208/1000</f>
        <v>3544</v>
      </c>
      <c r="F1155" s="9">
        <f>STATS1003B!F1208/1000</f>
        <v>3544</v>
      </c>
      <c r="G1155" s="9">
        <f>STATS1003B!G1208/1000</f>
        <v>0</v>
      </c>
      <c r="H1155" s="9">
        <f>STATS1003B!H1208/1000</f>
        <v>3544</v>
      </c>
      <c r="I1155" s="9">
        <f>STATS1003B!I1208/1000</f>
        <v>0</v>
      </c>
      <c r="J1155" s="9">
        <f>STATS1003B!J1208/1000</f>
        <v>3544</v>
      </c>
      <c r="K1155" s="9">
        <f>STATS1003B!K1208/1000</f>
        <v>0</v>
      </c>
      <c r="L1155" s="9">
        <f>STATS1003B!L1208/1000</f>
        <v>0</v>
      </c>
      <c r="M1155" s="9">
        <f>STATS1003B!M1208/1000</f>
        <v>3544</v>
      </c>
      <c r="N1155" s="9">
        <f>STATS1003B!N1208/1000</f>
        <v>0</v>
      </c>
      <c r="O1155" s="9">
        <f>STATS1003B!O1208/1000</f>
        <v>0</v>
      </c>
      <c r="P1155" s="9">
        <f>STATS1003B!P1208/1000</f>
        <v>0</v>
      </c>
      <c r="Q1155" s="9">
        <f>STATS1003B!Q1208/1000</f>
        <v>0</v>
      </c>
      <c r="R1155" s="9">
        <f>STATS1003B!R1208/1000</f>
        <v>0</v>
      </c>
      <c r="S1155" s="9">
        <f>STATS1003B!S1208/1000</f>
        <v>0</v>
      </c>
      <c r="T1155" s="9">
        <f>STATS1003B!T1208/1000</f>
        <v>0</v>
      </c>
      <c r="U1155" s="9">
        <f>STATS1003B!U1208/1000</f>
        <v>0</v>
      </c>
      <c r="V1155" s="9">
        <f>STATS1003B!V1208/1000</f>
        <v>3544</v>
      </c>
      <c r="W1155" s="9">
        <f>STATS1003B!W1208/1000</f>
        <v>0</v>
      </c>
      <c r="X1155" s="9">
        <f>STATS1003B!X1208/1000</f>
        <v>3544</v>
      </c>
      <c r="Y1155" s="9">
        <f>STATS1003B!Y1208/1000</f>
        <v>0</v>
      </c>
      <c r="Z1155" s="9">
        <f>STATS1003B!Z1208/1000</f>
        <v>0</v>
      </c>
      <c r="AA1155" s="9">
        <f>STATS1003B!AA1208/1000</f>
        <v>3544</v>
      </c>
      <c r="AB1155" s="9">
        <f>STATS1003B!AB1208/1000</f>
        <v>0</v>
      </c>
    </row>
    <row r="1156" spans="1:28" x14ac:dyDescent="0.35">
      <c r="A1156" s="36"/>
      <c r="B1156" s="8"/>
      <c r="C1156" s="7" t="s">
        <v>577</v>
      </c>
      <c r="D1156" s="8"/>
      <c r="E1156" s="9">
        <f>STATS1003B!E1211/1000</f>
        <v>1089.33439</v>
      </c>
      <c r="F1156" s="9">
        <f>STATS1003B!F1211/1000</f>
        <v>1089.33439</v>
      </c>
      <c r="G1156" s="9">
        <f>STATS1003B!G1211/1000</f>
        <v>0</v>
      </c>
      <c r="H1156" s="9">
        <f>STATS1003B!H1211/1000</f>
        <v>1089.33439</v>
      </c>
      <c r="I1156" s="9">
        <f>STATS1003B!I1211/1000</f>
        <v>0</v>
      </c>
      <c r="J1156" s="9">
        <f>STATS1003B!J1211/1000</f>
        <v>1089.33439</v>
      </c>
      <c r="K1156" s="9">
        <f>STATS1003B!K1211/1000</f>
        <v>0</v>
      </c>
      <c r="L1156" s="9">
        <f>STATS1003B!L1211/1000</f>
        <v>0</v>
      </c>
      <c r="M1156" s="9">
        <f>STATS1003B!M1211/1000</f>
        <v>1089.33439</v>
      </c>
      <c r="N1156" s="9">
        <f>STATS1003B!N1211/1000</f>
        <v>0</v>
      </c>
      <c r="O1156" s="9">
        <f>STATS1003B!O1211/1000</f>
        <v>0</v>
      </c>
      <c r="P1156" s="9">
        <f>STATS1003B!P1211/1000</f>
        <v>0</v>
      </c>
      <c r="Q1156" s="9">
        <f>STATS1003B!Q1211/1000</f>
        <v>1089.33439</v>
      </c>
      <c r="R1156" s="9">
        <f>STATS1003B!R1211/1000</f>
        <v>0</v>
      </c>
      <c r="S1156" s="9">
        <f>STATS1003B!S1211/1000</f>
        <v>0</v>
      </c>
      <c r="T1156" s="9">
        <f>STATS1003B!T1211/1000</f>
        <v>0</v>
      </c>
      <c r="U1156" s="9">
        <f>STATS1003B!U1211/1000</f>
        <v>0</v>
      </c>
      <c r="V1156" s="9">
        <f>STATS1003B!V1211/1000</f>
        <v>1089.33439</v>
      </c>
      <c r="W1156" s="9">
        <f>STATS1003B!W1211/1000</f>
        <v>0</v>
      </c>
      <c r="X1156" s="9">
        <f>STATS1003B!X1211/1000</f>
        <v>1089.33439</v>
      </c>
      <c r="Y1156" s="9">
        <f>STATS1003B!Y1211/1000</f>
        <v>0</v>
      </c>
      <c r="Z1156" s="9">
        <f>STATS1003B!Z1211/1000</f>
        <v>0</v>
      </c>
      <c r="AA1156" s="9">
        <f>STATS1003B!AA1211/1000</f>
        <v>1089.33439</v>
      </c>
      <c r="AB1156" s="9">
        <f>STATS1003B!AB1211/1000</f>
        <v>0</v>
      </c>
    </row>
    <row r="1157" spans="1:28" x14ac:dyDescent="0.35">
      <c r="A1157" s="36"/>
      <c r="B1157" s="8"/>
      <c r="C1157" s="7" t="s">
        <v>677</v>
      </c>
      <c r="D1157" s="8"/>
      <c r="E1157" s="9">
        <f>STATS1003B!E1212/1000</f>
        <v>626.45000000000005</v>
      </c>
      <c r="F1157" s="9">
        <f>STATS1003B!F1212/1000</f>
        <v>626.45000000000005</v>
      </c>
      <c r="G1157" s="9">
        <f>STATS1003B!G1212/1000</f>
        <v>0</v>
      </c>
      <c r="H1157" s="9">
        <f>STATS1003B!H1212/1000</f>
        <v>626.45000000000005</v>
      </c>
      <c r="I1157" s="9">
        <f>STATS1003B!I1212/1000</f>
        <v>0</v>
      </c>
      <c r="J1157" s="9">
        <f>STATS1003B!J1212/1000</f>
        <v>626.45000000000005</v>
      </c>
      <c r="K1157" s="9">
        <f>STATS1003B!K1212/1000</f>
        <v>0</v>
      </c>
      <c r="L1157" s="9">
        <f>STATS1003B!L1212/1000</f>
        <v>0</v>
      </c>
      <c r="M1157" s="9">
        <f>STATS1003B!M1212/1000</f>
        <v>626.45000000000005</v>
      </c>
      <c r="N1157" s="9">
        <f>STATS1003B!N1212/1000</f>
        <v>0</v>
      </c>
      <c r="O1157" s="9">
        <f>STATS1003B!O1212/1000</f>
        <v>0</v>
      </c>
      <c r="P1157" s="9">
        <f>STATS1003B!P1212/1000</f>
        <v>0</v>
      </c>
      <c r="Q1157" s="9">
        <f>STATS1003B!Q1212/1000</f>
        <v>626.45000000000005</v>
      </c>
      <c r="R1157" s="9">
        <f>STATS1003B!R1212/1000</f>
        <v>0</v>
      </c>
      <c r="S1157" s="9">
        <f>STATS1003B!S1212/1000</f>
        <v>0</v>
      </c>
      <c r="T1157" s="9">
        <f>STATS1003B!T1212/1000</f>
        <v>0</v>
      </c>
      <c r="U1157" s="9">
        <f>STATS1003B!U1212/1000</f>
        <v>0</v>
      </c>
      <c r="V1157" s="9">
        <f>STATS1003B!V1212/1000</f>
        <v>626.45000000000005</v>
      </c>
      <c r="W1157" s="9">
        <f>STATS1003B!W1212/1000</f>
        <v>0</v>
      </c>
      <c r="X1157" s="9">
        <f>STATS1003B!X1212/1000</f>
        <v>626.45000000000005</v>
      </c>
      <c r="Y1157" s="9">
        <f>STATS1003B!Y1212/1000</f>
        <v>0</v>
      </c>
      <c r="Z1157" s="9">
        <f>STATS1003B!Z1212/1000</f>
        <v>0</v>
      </c>
      <c r="AA1157" s="9">
        <f>STATS1003B!AA1212/1000</f>
        <v>626.45000000000005</v>
      </c>
      <c r="AB1157" s="9">
        <f>STATS1003B!AB1212/1000</f>
        <v>0</v>
      </c>
    </row>
    <row r="1158" spans="1:28" x14ac:dyDescent="0.35">
      <c r="A1158" s="36"/>
      <c r="B1158" s="8"/>
      <c r="C1158" s="7" t="s">
        <v>678</v>
      </c>
      <c r="D1158" s="8"/>
      <c r="E1158" s="9">
        <f>STATS1003B!E1213/1000</f>
        <v>1654.06025</v>
      </c>
      <c r="F1158" s="9">
        <f>STATS1003B!F1213/1000</f>
        <v>1654.06025</v>
      </c>
      <c r="G1158" s="9">
        <f>STATS1003B!G1213/1000</f>
        <v>0</v>
      </c>
      <c r="H1158" s="9">
        <f>STATS1003B!H1213/1000</f>
        <v>1654.06025</v>
      </c>
      <c r="I1158" s="9">
        <f>STATS1003B!I1213/1000</f>
        <v>0</v>
      </c>
      <c r="J1158" s="9">
        <f>STATS1003B!J1213/1000</f>
        <v>1654.06025</v>
      </c>
      <c r="K1158" s="9">
        <f>STATS1003B!K1213/1000</f>
        <v>0</v>
      </c>
      <c r="L1158" s="9">
        <f>STATS1003B!L1213/1000</f>
        <v>0</v>
      </c>
      <c r="M1158" s="9">
        <f>STATS1003B!M1213/1000</f>
        <v>1654.06025</v>
      </c>
      <c r="N1158" s="9">
        <f>STATS1003B!N1213/1000</f>
        <v>0</v>
      </c>
      <c r="O1158" s="9">
        <f>STATS1003B!O1213/1000</f>
        <v>0</v>
      </c>
      <c r="P1158" s="9">
        <f>STATS1003B!P1213/1000</f>
        <v>0</v>
      </c>
      <c r="Q1158" s="9">
        <f>STATS1003B!Q1213/1000</f>
        <v>1654.06025</v>
      </c>
      <c r="R1158" s="9">
        <f>STATS1003B!R1213/1000</f>
        <v>0</v>
      </c>
      <c r="S1158" s="9">
        <f>STATS1003B!S1213/1000</f>
        <v>0</v>
      </c>
      <c r="T1158" s="9">
        <f>STATS1003B!T1213/1000</f>
        <v>0</v>
      </c>
      <c r="U1158" s="9">
        <f>STATS1003B!U1213/1000</f>
        <v>0</v>
      </c>
      <c r="V1158" s="9">
        <f>STATS1003B!V1213/1000</f>
        <v>1654.06025</v>
      </c>
      <c r="W1158" s="9">
        <f>STATS1003B!W1213/1000</f>
        <v>0</v>
      </c>
      <c r="X1158" s="9">
        <f>STATS1003B!X1213/1000</f>
        <v>1654.06025</v>
      </c>
      <c r="Y1158" s="9">
        <f>STATS1003B!Y1213/1000</f>
        <v>0</v>
      </c>
      <c r="Z1158" s="9">
        <f>STATS1003B!Z1213/1000</f>
        <v>0</v>
      </c>
      <c r="AA1158" s="9">
        <f>STATS1003B!AA1213/1000</f>
        <v>1654.06025</v>
      </c>
      <c r="AB1158" s="9">
        <f>STATS1003B!AB1213/1000</f>
        <v>0</v>
      </c>
    </row>
    <row r="1159" spans="1:28" x14ac:dyDescent="0.35">
      <c r="A1159" s="36"/>
      <c r="B1159" s="8"/>
      <c r="C1159" s="8"/>
      <c r="D1159" s="8"/>
      <c r="E1159" s="17" t="s">
        <v>29</v>
      </c>
      <c r="F1159" s="17" t="s">
        <v>29</v>
      </c>
      <c r="G1159" s="17" t="s">
        <v>29</v>
      </c>
      <c r="H1159" s="17" t="s">
        <v>29</v>
      </c>
      <c r="I1159" s="17" t="s">
        <v>29</v>
      </c>
      <c r="J1159" s="17" t="s">
        <v>29</v>
      </c>
      <c r="K1159" s="17" t="s">
        <v>29</v>
      </c>
      <c r="L1159" s="17" t="s">
        <v>29</v>
      </c>
      <c r="M1159" s="17" t="s">
        <v>29</v>
      </c>
      <c r="N1159" s="17" t="s">
        <v>29</v>
      </c>
      <c r="O1159" s="17" t="s">
        <v>29</v>
      </c>
      <c r="P1159" s="17" t="s">
        <v>29</v>
      </c>
      <c r="Q1159" s="17" t="s">
        <v>29</v>
      </c>
      <c r="R1159" s="17" t="s">
        <v>29</v>
      </c>
      <c r="S1159" s="17" t="s">
        <v>29</v>
      </c>
      <c r="T1159" s="17" t="s">
        <v>29</v>
      </c>
      <c r="U1159" s="17" t="s">
        <v>29</v>
      </c>
      <c r="V1159" s="17" t="s">
        <v>29</v>
      </c>
      <c r="W1159" s="17" t="s">
        <v>29</v>
      </c>
      <c r="X1159" s="17" t="s">
        <v>29</v>
      </c>
      <c r="Y1159" s="17" t="s">
        <v>29</v>
      </c>
      <c r="Z1159" s="17" t="s">
        <v>29</v>
      </c>
      <c r="AA1159" s="17" t="s">
        <v>29</v>
      </c>
      <c r="AB1159" s="17" t="s">
        <v>29</v>
      </c>
    </row>
    <row r="1160" spans="1:28" x14ac:dyDescent="0.35">
      <c r="A1160" s="36"/>
      <c r="B1160" s="8"/>
      <c r="C1160" s="8"/>
      <c r="D1160" s="8"/>
      <c r="E1160" s="9" t="e">
        <f t="shared" ref="E1160:Q1160" si="85">SUM(E1144:E1159)</f>
        <v>#REF!</v>
      </c>
      <c r="F1160" s="9" t="e">
        <f t="shared" si="85"/>
        <v>#REF!</v>
      </c>
      <c r="G1160" s="9" t="e">
        <f t="shared" si="85"/>
        <v>#REF!</v>
      </c>
      <c r="H1160" s="9" t="e">
        <f t="shared" si="85"/>
        <v>#REF!</v>
      </c>
      <c r="I1160" s="9" t="e">
        <f t="shared" si="85"/>
        <v>#REF!</v>
      </c>
      <c r="J1160" s="9" t="e">
        <f t="shared" si="85"/>
        <v>#REF!</v>
      </c>
      <c r="K1160" s="9" t="e">
        <f t="shared" si="85"/>
        <v>#REF!</v>
      </c>
      <c r="L1160" s="9" t="e">
        <f t="shared" si="85"/>
        <v>#REF!</v>
      </c>
      <c r="M1160" s="9" t="e">
        <f t="shared" si="85"/>
        <v>#REF!</v>
      </c>
      <c r="N1160" s="9" t="e">
        <f t="shared" si="85"/>
        <v>#REF!</v>
      </c>
      <c r="O1160" s="9" t="e">
        <f t="shared" si="85"/>
        <v>#REF!</v>
      </c>
      <c r="P1160" s="9" t="e">
        <f t="shared" si="85"/>
        <v>#REF!</v>
      </c>
      <c r="Q1160" s="9" t="e">
        <f t="shared" si="85"/>
        <v>#REF!</v>
      </c>
      <c r="R1160" s="17"/>
      <c r="S1160" s="17"/>
      <c r="T1160" s="9" t="e">
        <f t="shared" ref="T1160:Z1160" si="86">SUM(T1144:T1159)</f>
        <v>#REF!</v>
      </c>
      <c r="U1160" s="9" t="e">
        <f t="shared" si="86"/>
        <v>#REF!</v>
      </c>
      <c r="V1160" s="9" t="e">
        <f t="shared" si="86"/>
        <v>#REF!</v>
      </c>
      <c r="W1160" s="9" t="e">
        <f t="shared" si="86"/>
        <v>#REF!</v>
      </c>
      <c r="X1160" s="9" t="e">
        <f t="shared" si="86"/>
        <v>#REF!</v>
      </c>
      <c r="Y1160" s="9" t="e">
        <f t="shared" si="86"/>
        <v>#REF!</v>
      </c>
      <c r="Z1160" s="9" t="e">
        <f t="shared" si="86"/>
        <v>#REF!</v>
      </c>
      <c r="AA1160" s="9" t="e">
        <f>SUM(AA1144:AA1159)</f>
        <v>#REF!</v>
      </c>
      <c r="AB1160" s="9" t="e">
        <f>SUM(AB1144:AB1159)</f>
        <v>#REF!</v>
      </c>
    </row>
    <row r="1161" spans="1:28" x14ac:dyDescent="0.35">
      <c r="A1161" s="36"/>
      <c r="B1161" s="8"/>
      <c r="C1161" s="8"/>
      <c r="D1161" s="8"/>
      <c r="E1161" s="17" t="s">
        <v>29</v>
      </c>
      <c r="F1161" s="17" t="s">
        <v>29</v>
      </c>
      <c r="G1161" s="17" t="s">
        <v>29</v>
      </c>
      <c r="H1161" s="17" t="s">
        <v>29</v>
      </c>
      <c r="I1161" s="17" t="s">
        <v>29</v>
      </c>
      <c r="J1161" s="17" t="s">
        <v>29</v>
      </c>
      <c r="K1161" s="17" t="s">
        <v>29</v>
      </c>
      <c r="L1161" s="17" t="s">
        <v>29</v>
      </c>
      <c r="M1161" s="17" t="s">
        <v>29</v>
      </c>
      <c r="N1161" s="17" t="s">
        <v>29</v>
      </c>
      <c r="O1161" s="17" t="s">
        <v>29</v>
      </c>
      <c r="P1161" s="17" t="s">
        <v>29</v>
      </c>
      <c r="Q1161" s="17" t="s">
        <v>29</v>
      </c>
      <c r="R1161" s="17" t="s">
        <v>29</v>
      </c>
      <c r="S1161" s="17" t="s">
        <v>29</v>
      </c>
      <c r="T1161" s="17" t="s">
        <v>29</v>
      </c>
      <c r="U1161" s="17" t="s">
        <v>29</v>
      </c>
      <c r="V1161" s="17" t="s">
        <v>29</v>
      </c>
      <c r="W1161" s="17" t="s">
        <v>29</v>
      </c>
      <c r="X1161" s="17" t="s">
        <v>29</v>
      </c>
      <c r="Y1161" s="17" t="s">
        <v>29</v>
      </c>
      <c r="Z1161" s="17" t="s">
        <v>29</v>
      </c>
      <c r="AA1161" s="17" t="s">
        <v>29</v>
      </c>
      <c r="AB1161" s="17" t="s">
        <v>29</v>
      </c>
    </row>
    <row r="1162" spans="1:28" x14ac:dyDescent="0.35">
      <c r="A1162" s="38" t="s">
        <v>993</v>
      </c>
      <c r="B1162" s="7" t="s">
        <v>679</v>
      </c>
      <c r="C1162" s="8"/>
      <c r="D1162" s="8"/>
      <c r="E1162" s="8"/>
      <c r="F1162" s="8"/>
      <c r="G1162" s="8"/>
      <c r="H1162" s="8"/>
      <c r="I1162" s="8"/>
      <c r="J1162" s="8"/>
      <c r="K1162" s="8"/>
      <c r="L1162" s="8"/>
      <c r="M1162" s="8"/>
      <c r="N1162" s="8"/>
      <c r="O1162" s="8"/>
      <c r="P1162" s="8"/>
      <c r="Q1162" s="8"/>
      <c r="R1162" s="17"/>
      <c r="S1162" s="17"/>
      <c r="T1162" s="17"/>
      <c r="U1162" s="17"/>
      <c r="V1162" s="17"/>
      <c r="W1162" s="17"/>
      <c r="X1162" s="17"/>
      <c r="Y1162" s="17"/>
      <c r="Z1162" s="17"/>
    </row>
    <row r="1163" spans="1:28" x14ac:dyDescent="0.35">
      <c r="A1163" s="36"/>
      <c r="B1163" s="8"/>
      <c r="C1163" s="7" t="s">
        <v>680</v>
      </c>
      <c r="D1163" s="15" t="s">
        <v>166</v>
      </c>
      <c r="E1163" s="9">
        <f>STATS1003B!E1218/1000</f>
        <v>1265</v>
      </c>
      <c r="F1163" s="9">
        <f>STATS1003B!F1218/1000</f>
        <v>1265</v>
      </c>
      <c r="G1163" s="9">
        <f>STATS1003B!G1218/1000</f>
        <v>0</v>
      </c>
      <c r="H1163" s="9">
        <f>STATS1003B!H1218/1000</f>
        <v>1265</v>
      </c>
      <c r="I1163" s="9">
        <f>STATS1003B!I1218/1000</f>
        <v>0</v>
      </c>
      <c r="J1163" s="9">
        <f>STATS1003B!J1218/1000</f>
        <v>1265</v>
      </c>
      <c r="K1163" s="9">
        <f>STATS1003B!K1218/1000</f>
        <v>0</v>
      </c>
      <c r="L1163" s="9">
        <f>STATS1003B!L1218/1000</f>
        <v>0</v>
      </c>
      <c r="M1163" s="9">
        <f>STATS1003B!M1218/1000</f>
        <v>1265</v>
      </c>
      <c r="N1163" s="9">
        <f>STATS1003B!N1218/1000</f>
        <v>0</v>
      </c>
      <c r="O1163" s="9">
        <f>STATS1003B!O1218/1000</f>
        <v>0</v>
      </c>
      <c r="P1163" s="9">
        <f>STATS1003B!P1218/1000</f>
        <v>0</v>
      </c>
      <c r="Q1163" s="9">
        <f>STATS1003B!Q1218/1000</f>
        <v>1265</v>
      </c>
      <c r="R1163" s="9">
        <f>STATS1003B!R1218/1000</f>
        <v>0</v>
      </c>
      <c r="S1163" s="9">
        <f>STATS1003B!S1218/1000</f>
        <v>0</v>
      </c>
      <c r="T1163" s="9">
        <f>STATS1003B!T1218/1000</f>
        <v>0</v>
      </c>
      <c r="U1163" s="9">
        <f>STATS1003B!U1218/1000</f>
        <v>0</v>
      </c>
      <c r="V1163" s="9">
        <f>STATS1003B!V1218/1000</f>
        <v>1265</v>
      </c>
      <c r="W1163" s="9">
        <f>STATS1003B!W1218/1000</f>
        <v>0</v>
      </c>
      <c r="X1163" s="9">
        <f>STATS1003B!X1218/1000</f>
        <v>1265</v>
      </c>
      <c r="Y1163" s="9">
        <f>STATS1003B!Y1218/1000</f>
        <v>0</v>
      </c>
      <c r="Z1163" s="9">
        <f>STATS1003B!Z1218/1000</f>
        <v>0</v>
      </c>
      <c r="AA1163" s="9">
        <f>STATS1003B!AA1218/1000</f>
        <v>1265</v>
      </c>
      <c r="AB1163" s="9">
        <f>STATS1003B!AB1218/1000</f>
        <v>0</v>
      </c>
    </row>
    <row r="1164" spans="1:28" x14ac:dyDescent="0.35">
      <c r="A1164" s="36"/>
      <c r="B1164" s="8"/>
      <c r="C1164" s="7" t="s">
        <v>535</v>
      </c>
      <c r="D1164" s="15" t="s">
        <v>68</v>
      </c>
      <c r="E1164" s="9">
        <f>STATS1003B!E1219/1000</f>
        <v>2382.11859</v>
      </c>
      <c r="F1164" s="9">
        <f>STATS1003B!F1219/1000</f>
        <v>1936</v>
      </c>
      <c r="G1164" s="9">
        <f>STATS1003B!G1219/1000</f>
        <v>0</v>
      </c>
      <c r="H1164" s="9">
        <f>STATS1003B!H1219/1000</f>
        <v>1936</v>
      </c>
      <c r="I1164" s="9">
        <f>STATS1003B!I1219/1000</f>
        <v>0</v>
      </c>
      <c r="J1164" s="9">
        <f>STATS1003B!J1219/1000</f>
        <v>1936</v>
      </c>
      <c r="K1164" s="9">
        <f>STATS1003B!K1219/1000</f>
        <v>446.11858999999998</v>
      </c>
      <c r="L1164" s="9">
        <f>STATS1003B!L1219/1000</f>
        <v>0</v>
      </c>
      <c r="M1164" s="9">
        <f>STATS1003B!M1219/1000</f>
        <v>1936</v>
      </c>
      <c r="N1164" s="9">
        <f>STATS1003B!N1219/1000</f>
        <v>446.11859000000004</v>
      </c>
      <c r="O1164" s="9">
        <f>STATS1003B!O1219/1000</f>
        <v>0</v>
      </c>
      <c r="P1164" s="9">
        <f>STATS1003B!P1219/1000</f>
        <v>446.11859000000004</v>
      </c>
      <c r="Q1164" s="9">
        <f>STATS1003B!Q1219/1000</f>
        <v>1935.9999999999998</v>
      </c>
      <c r="R1164" s="9">
        <f>STATS1003B!R1219/1000</f>
        <v>0</v>
      </c>
      <c r="S1164" s="9">
        <f>STATS1003B!S1219/1000</f>
        <v>0</v>
      </c>
      <c r="T1164" s="9">
        <f>STATS1003B!T1219/1000</f>
        <v>0</v>
      </c>
      <c r="U1164" s="9">
        <f>STATS1003B!U1219/1000</f>
        <v>446.11859000000004</v>
      </c>
      <c r="V1164" s="9">
        <f>STATS1003B!V1219/1000</f>
        <v>2382.11859</v>
      </c>
      <c r="W1164" s="9">
        <f>STATS1003B!W1219/1000</f>
        <v>0</v>
      </c>
      <c r="X1164" s="9">
        <f>STATS1003B!X1219/1000</f>
        <v>2382.11859</v>
      </c>
      <c r="Y1164" s="9">
        <f>STATS1003B!Y1219/1000</f>
        <v>0</v>
      </c>
      <c r="Z1164" s="9">
        <f>STATS1003B!Z1219/1000</f>
        <v>0</v>
      </c>
      <c r="AA1164" s="9">
        <f>STATS1003B!AA1219/1000</f>
        <v>2382.11859</v>
      </c>
      <c r="AB1164" s="9">
        <f>STATS1003B!AB1219/1000</f>
        <v>0</v>
      </c>
    </row>
    <row r="1165" spans="1:28" x14ac:dyDescent="0.35">
      <c r="A1165" s="36"/>
      <c r="B1165" s="8"/>
      <c r="C1165" s="7" t="s">
        <v>539</v>
      </c>
      <c r="D1165" s="15" t="s">
        <v>68</v>
      </c>
      <c r="E1165" s="9">
        <f>STATS1003B!E1220/1000</f>
        <v>395.68049999999999</v>
      </c>
      <c r="F1165" s="9">
        <f>STATS1003B!F1220/1000</f>
        <v>0</v>
      </c>
      <c r="G1165" s="9">
        <f>STATS1003B!G1220/1000</f>
        <v>0</v>
      </c>
      <c r="H1165" s="9">
        <f>STATS1003B!H1220/1000</f>
        <v>0</v>
      </c>
      <c r="I1165" s="9">
        <f>STATS1003B!I1220/1000</f>
        <v>0</v>
      </c>
      <c r="J1165" s="9">
        <f>STATS1003B!J1220/1000</f>
        <v>0</v>
      </c>
      <c r="K1165" s="9">
        <f>STATS1003B!K1220/1000</f>
        <v>395.68049999999999</v>
      </c>
      <c r="L1165" s="9">
        <f>STATS1003B!L1220/1000</f>
        <v>0</v>
      </c>
      <c r="M1165" s="9">
        <f>STATS1003B!M1220/1000</f>
        <v>0</v>
      </c>
      <c r="N1165" s="9">
        <f>STATS1003B!N1220/1000</f>
        <v>395.68049999999999</v>
      </c>
      <c r="O1165" s="9">
        <f>STATS1003B!O1220/1000</f>
        <v>0</v>
      </c>
      <c r="P1165" s="9">
        <f>STATS1003B!P1220/1000</f>
        <v>395.68049999999999</v>
      </c>
      <c r="Q1165" s="9">
        <f>STATS1003B!Q1220/1000</f>
        <v>0</v>
      </c>
      <c r="R1165" s="9">
        <f>STATS1003B!R1220/1000</f>
        <v>0</v>
      </c>
      <c r="S1165" s="9">
        <f>STATS1003B!S1220/1000</f>
        <v>0</v>
      </c>
      <c r="T1165" s="9">
        <f>STATS1003B!T1220/1000</f>
        <v>0</v>
      </c>
      <c r="U1165" s="9">
        <f>STATS1003B!U1220/1000</f>
        <v>395.68049999999999</v>
      </c>
      <c r="V1165" s="9">
        <f>STATS1003B!V1220/1000</f>
        <v>395.68049999999999</v>
      </c>
      <c r="W1165" s="9">
        <f>STATS1003B!W1220/1000</f>
        <v>0</v>
      </c>
      <c r="X1165" s="9">
        <f>STATS1003B!X1220/1000</f>
        <v>395.68049999999999</v>
      </c>
      <c r="Y1165" s="9">
        <f>STATS1003B!Y1220/1000</f>
        <v>0</v>
      </c>
      <c r="Z1165" s="9">
        <f>STATS1003B!Z1220/1000</f>
        <v>0</v>
      </c>
      <c r="AA1165" s="9">
        <f>STATS1003B!AA1220/1000</f>
        <v>395.68049999999999</v>
      </c>
      <c r="AB1165" s="9">
        <f>STATS1003B!AB1220/1000</f>
        <v>0</v>
      </c>
    </row>
    <row r="1166" spans="1:28" x14ac:dyDescent="0.35">
      <c r="A1166" s="36"/>
      <c r="B1166" s="8"/>
      <c r="C1166" s="7" t="s">
        <v>557</v>
      </c>
      <c r="D1166" s="15" t="s">
        <v>68</v>
      </c>
      <c r="E1166" s="9">
        <f>STATS1003B!E1221/1000</f>
        <v>655.70257000000026</v>
      </c>
      <c r="F1166" s="9">
        <f>STATS1003B!F1221/1000</f>
        <v>594.05898999999999</v>
      </c>
      <c r="G1166" s="9">
        <f>STATS1003B!G1221/1000</f>
        <v>0</v>
      </c>
      <c r="H1166" s="9">
        <f>STATS1003B!H1221/1000</f>
        <v>594.05898999999999</v>
      </c>
      <c r="I1166" s="9">
        <f>STATS1003B!I1221/1000</f>
        <v>0</v>
      </c>
      <c r="J1166" s="9">
        <f>STATS1003B!J1221/1000</f>
        <v>594.05898999999999</v>
      </c>
      <c r="K1166" s="9">
        <f>STATS1003B!K1221/1000</f>
        <v>61.64358</v>
      </c>
      <c r="L1166" s="9">
        <f>STATS1003B!L1221/1000</f>
        <v>0</v>
      </c>
      <c r="M1166" s="9">
        <f>STATS1003B!M1221/1000</f>
        <v>594.05898999999999</v>
      </c>
      <c r="N1166" s="9">
        <f>STATS1003B!N1221/1000</f>
        <v>61.64358</v>
      </c>
      <c r="O1166" s="9">
        <f>STATS1003B!O1221/1000</f>
        <v>0</v>
      </c>
      <c r="P1166" s="9">
        <f>STATS1003B!P1221/1000</f>
        <v>61.64358</v>
      </c>
      <c r="Q1166" s="9">
        <f>STATS1003B!Q1221/1000</f>
        <v>594.05899000000034</v>
      </c>
      <c r="R1166" s="9">
        <f>STATS1003B!R1221/1000</f>
        <v>0</v>
      </c>
      <c r="S1166" s="9">
        <f>STATS1003B!S1221/1000</f>
        <v>0</v>
      </c>
      <c r="T1166" s="9">
        <f>STATS1003B!T1221/1000</f>
        <v>0</v>
      </c>
      <c r="U1166" s="9">
        <f>STATS1003B!U1221/1000</f>
        <v>61.64358</v>
      </c>
      <c r="V1166" s="9">
        <f>STATS1003B!V1221/1000</f>
        <v>655.70256999999992</v>
      </c>
      <c r="W1166" s="9">
        <f>STATS1003B!W1221/1000</f>
        <v>0</v>
      </c>
      <c r="X1166" s="9">
        <f>STATS1003B!X1221/1000</f>
        <v>655.70256999999992</v>
      </c>
      <c r="Y1166" s="9">
        <f>STATS1003B!Y1221/1000</f>
        <v>0</v>
      </c>
      <c r="Z1166" s="9">
        <f>STATS1003B!Z1221/1000</f>
        <v>0</v>
      </c>
      <c r="AA1166" s="9">
        <f>STATS1003B!AA1221/1000</f>
        <v>655.70256999999992</v>
      </c>
      <c r="AB1166" s="9">
        <f>STATS1003B!AB1221/1000</f>
        <v>0</v>
      </c>
    </row>
    <row r="1167" spans="1:28" x14ac:dyDescent="0.35">
      <c r="A1167" s="36"/>
      <c r="B1167" s="8"/>
      <c r="C1167" s="7" t="s">
        <v>545</v>
      </c>
      <c r="D1167" s="15" t="s">
        <v>54</v>
      </c>
      <c r="E1167" s="9">
        <f>STATS1003B!E1222/1000</f>
        <v>1767.77</v>
      </c>
      <c r="F1167" s="9">
        <f>STATS1003B!F1222/1000</f>
        <v>0</v>
      </c>
      <c r="G1167" s="9">
        <f>STATS1003B!G1222/1000</f>
        <v>0</v>
      </c>
      <c r="H1167" s="9">
        <f>STATS1003B!H1222/1000</f>
        <v>0</v>
      </c>
      <c r="I1167" s="9">
        <f>STATS1003B!I1222/1000</f>
        <v>0</v>
      </c>
      <c r="J1167" s="9">
        <f>STATS1003B!J1222/1000</f>
        <v>0</v>
      </c>
      <c r="K1167" s="9">
        <f>STATS1003B!K1222/1000</f>
        <v>1767.77</v>
      </c>
      <c r="L1167" s="9">
        <f>STATS1003B!L1222/1000</f>
        <v>0</v>
      </c>
      <c r="M1167" s="9">
        <f>STATS1003B!M1222/1000</f>
        <v>0</v>
      </c>
      <c r="N1167" s="9">
        <f>STATS1003B!N1222/1000</f>
        <v>1767.77</v>
      </c>
      <c r="O1167" s="9">
        <f>STATS1003B!O1222/1000</f>
        <v>0</v>
      </c>
      <c r="P1167" s="9">
        <f>STATS1003B!P1222/1000</f>
        <v>1767.77</v>
      </c>
      <c r="Q1167" s="9">
        <f>STATS1003B!Q1222/1000</f>
        <v>0</v>
      </c>
      <c r="R1167" s="9">
        <f>STATS1003B!R1222/1000</f>
        <v>0</v>
      </c>
      <c r="S1167" s="9">
        <f>STATS1003B!S1222/1000</f>
        <v>0</v>
      </c>
      <c r="T1167" s="9">
        <f>STATS1003B!T1222/1000</f>
        <v>0</v>
      </c>
      <c r="U1167" s="9">
        <f>STATS1003B!U1222/1000</f>
        <v>1767.77</v>
      </c>
      <c r="V1167" s="9">
        <f>STATS1003B!V1222/1000</f>
        <v>1767.77</v>
      </c>
      <c r="W1167" s="9">
        <f>STATS1003B!W1222/1000</f>
        <v>0</v>
      </c>
      <c r="X1167" s="9">
        <f>STATS1003B!X1222/1000</f>
        <v>1767.77</v>
      </c>
      <c r="Y1167" s="9">
        <f>STATS1003B!Y1222/1000</f>
        <v>0</v>
      </c>
      <c r="Z1167" s="9">
        <f>STATS1003B!Z1222/1000</f>
        <v>0</v>
      </c>
      <c r="AA1167" s="9">
        <f>STATS1003B!AA1222/1000</f>
        <v>1767.77</v>
      </c>
      <c r="AB1167" s="9">
        <f>STATS1003B!AB1222/1000</f>
        <v>0</v>
      </c>
    </row>
    <row r="1168" spans="1:28" x14ac:dyDescent="0.35">
      <c r="A1168" s="36"/>
      <c r="B1168" s="8"/>
      <c r="C1168" s="7" t="s">
        <v>535</v>
      </c>
      <c r="D1168" s="15" t="s">
        <v>54</v>
      </c>
      <c r="E1168" s="9">
        <f>STATS1003B!E1223/1000</f>
        <v>684</v>
      </c>
      <c r="F1168" s="9">
        <f>STATS1003B!F1223/1000</f>
        <v>684</v>
      </c>
      <c r="G1168" s="9">
        <f>STATS1003B!G1223/1000</f>
        <v>0</v>
      </c>
      <c r="H1168" s="9">
        <f>STATS1003B!H1223/1000</f>
        <v>684</v>
      </c>
      <c r="I1168" s="9">
        <f>STATS1003B!I1223/1000</f>
        <v>0</v>
      </c>
      <c r="J1168" s="9">
        <f>STATS1003B!J1223/1000</f>
        <v>684</v>
      </c>
      <c r="K1168" s="9">
        <f>STATS1003B!K1223/1000</f>
        <v>0</v>
      </c>
      <c r="L1168" s="9">
        <f>STATS1003B!L1223/1000</f>
        <v>0</v>
      </c>
      <c r="M1168" s="9">
        <f>STATS1003B!M1223/1000</f>
        <v>684</v>
      </c>
      <c r="N1168" s="9">
        <f>STATS1003B!N1223/1000</f>
        <v>0</v>
      </c>
      <c r="O1168" s="9">
        <f>STATS1003B!O1223/1000</f>
        <v>0</v>
      </c>
      <c r="P1168" s="9">
        <f>STATS1003B!P1223/1000</f>
        <v>0</v>
      </c>
      <c r="Q1168" s="9">
        <f>STATS1003B!Q1223/1000</f>
        <v>684</v>
      </c>
      <c r="R1168" s="9">
        <f>STATS1003B!R1223/1000</f>
        <v>0</v>
      </c>
      <c r="S1168" s="9">
        <f>STATS1003B!S1223/1000</f>
        <v>0</v>
      </c>
      <c r="T1168" s="9">
        <f>STATS1003B!T1223/1000</f>
        <v>0</v>
      </c>
      <c r="U1168" s="9">
        <f>STATS1003B!U1223/1000</f>
        <v>0</v>
      </c>
      <c r="V1168" s="9">
        <f>STATS1003B!V1223/1000</f>
        <v>684</v>
      </c>
      <c r="W1168" s="9">
        <f>STATS1003B!W1223/1000</f>
        <v>0</v>
      </c>
      <c r="X1168" s="9">
        <f>STATS1003B!X1223/1000</f>
        <v>684</v>
      </c>
      <c r="Y1168" s="9">
        <f>STATS1003B!Y1223/1000</f>
        <v>0</v>
      </c>
      <c r="Z1168" s="9">
        <f>STATS1003B!Z1223/1000</f>
        <v>0</v>
      </c>
      <c r="AA1168" s="9">
        <f>STATS1003B!AA1223/1000</f>
        <v>684</v>
      </c>
      <c r="AB1168" s="9">
        <f>STATS1003B!AB1223/1000</f>
        <v>0</v>
      </c>
    </row>
    <row r="1169" spans="1:28" x14ac:dyDescent="0.35">
      <c r="A1169" s="36"/>
      <c r="B1169" s="8"/>
      <c r="C1169" s="7" t="s">
        <v>535</v>
      </c>
      <c r="D1169" s="15" t="s">
        <v>85</v>
      </c>
      <c r="E1169" s="9">
        <f>STATS1003B!E1224/1000</f>
        <v>2545.94</v>
      </c>
      <c r="F1169" s="9">
        <f>STATS1003B!F1224/1000</f>
        <v>2545.94</v>
      </c>
      <c r="G1169" s="9">
        <f>STATS1003B!G1224/1000</f>
        <v>0</v>
      </c>
      <c r="H1169" s="9">
        <f>STATS1003B!H1224/1000</f>
        <v>2545.94</v>
      </c>
      <c r="I1169" s="9">
        <f>STATS1003B!I1224/1000</f>
        <v>0</v>
      </c>
      <c r="J1169" s="9">
        <f>STATS1003B!J1224/1000</f>
        <v>2545.94</v>
      </c>
      <c r="K1169" s="9">
        <f>STATS1003B!K1224/1000</f>
        <v>0</v>
      </c>
      <c r="L1169" s="9">
        <f>STATS1003B!L1224/1000</f>
        <v>0</v>
      </c>
      <c r="M1169" s="9">
        <f>STATS1003B!M1224/1000</f>
        <v>2545.94</v>
      </c>
      <c r="N1169" s="9">
        <f>STATS1003B!N1224/1000</f>
        <v>0</v>
      </c>
      <c r="O1169" s="9">
        <f>STATS1003B!O1224/1000</f>
        <v>0</v>
      </c>
      <c r="P1169" s="9">
        <f>STATS1003B!P1224/1000</f>
        <v>0</v>
      </c>
      <c r="Q1169" s="9">
        <f>STATS1003B!Q1224/1000</f>
        <v>2545.94</v>
      </c>
      <c r="R1169" s="9">
        <f>STATS1003B!R1224/1000</f>
        <v>0</v>
      </c>
      <c r="S1169" s="9">
        <f>STATS1003B!S1224/1000</f>
        <v>0</v>
      </c>
      <c r="T1169" s="9">
        <f>STATS1003B!T1224/1000</f>
        <v>0</v>
      </c>
      <c r="U1169" s="9">
        <f>STATS1003B!U1224/1000</f>
        <v>0</v>
      </c>
      <c r="V1169" s="9">
        <f>STATS1003B!V1224/1000</f>
        <v>2545.94</v>
      </c>
      <c r="W1169" s="9">
        <f>STATS1003B!W1224/1000</f>
        <v>0</v>
      </c>
      <c r="X1169" s="9">
        <f>STATS1003B!X1224/1000</f>
        <v>2545.94</v>
      </c>
      <c r="Y1169" s="9">
        <f>STATS1003B!Y1224/1000</f>
        <v>0</v>
      </c>
      <c r="Z1169" s="9">
        <f>STATS1003B!Z1224/1000</f>
        <v>0</v>
      </c>
      <c r="AA1169" s="9">
        <f>STATS1003B!AA1224/1000</f>
        <v>2545.94</v>
      </c>
      <c r="AB1169" s="9">
        <f>STATS1003B!AB1224/1000</f>
        <v>0</v>
      </c>
    </row>
    <row r="1170" spans="1:28" x14ac:dyDescent="0.35">
      <c r="A1170" s="36"/>
      <c r="B1170" s="8"/>
      <c r="C1170" s="7" t="s">
        <v>681</v>
      </c>
      <c r="D1170" s="15" t="s">
        <v>85</v>
      </c>
      <c r="E1170" s="9">
        <f>STATS1003B!E1225/1000</f>
        <v>1185</v>
      </c>
      <c r="F1170" s="9">
        <f>STATS1003B!F1225/1000</f>
        <v>1185</v>
      </c>
      <c r="G1170" s="9">
        <f>STATS1003B!G1225/1000</f>
        <v>0</v>
      </c>
      <c r="H1170" s="9">
        <f>STATS1003B!H1225/1000</f>
        <v>1185</v>
      </c>
      <c r="I1170" s="9">
        <f>STATS1003B!I1225/1000</f>
        <v>0</v>
      </c>
      <c r="J1170" s="9">
        <f>STATS1003B!J1225/1000</f>
        <v>1185</v>
      </c>
      <c r="K1170" s="9">
        <f>STATS1003B!K1225/1000</f>
        <v>0</v>
      </c>
      <c r="L1170" s="9">
        <f>STATS1003B!L1225/1000</f>
        <v>0</v>
      </c>
      <c r="M1170" s="9">
        <f>STATS1003B!M1225/1000</f>
        <v>1185</v>
      </c>
      <c r="N1170" s="9">
        <f>STATS1003B!N1225/1000</f>
        <v>0</v>
      </c>
      <c r="O1170" s="9">
        <f>STATS1003B!O1225/1000</f>
        <v>0</v>
      </c>
      <c r="P1170" s="9">
        <f>STATS1003B!P1225/1000</f>
        <v>0</v>
      </c>
      <c r="Q1170" s="9">
        <f>STATS1003B!Q1225/1000</f>
        <v>1185</v>
      </c>
      <c r="R1170" s="9">
        <f>STATS1003B!R1225/1000</f>
        <v>0</v>
      </c>
      <c r="S1170" s="9">
        <f>STATS1003B!S1225/1000</f>
        <v>0</v>
      </c>
      <c r="T1170" s="9">
        <f>STATS1003B!T1225/1000</f>
        <v>0</v>
      </c>
      <c r="U1170" s="9">
        <f>STATS1003B!U1225/1000</f>
        <v>0</v>
      </c>
      <c r="V1170" s="9">
        <f>STATS1003B!V1225/1000</f>
        <v>1185</v>
      </c>
      <c r="W1170" s="9">
        <f>STATS1003B!W1225/1000</f>
        <v>0</v>
      </c>
      <c r="X1170" s="9">
        <f>STATS1003B!X1225/1000</f>
        <v>1185</v>
      </c>
      <c r="Y1170" s="9">
        <f>STATS1003B!Y1225/1000</f>
        <v>0</v>
      </c>
      <c r="Z1170" s="9">
        <f>STATS1003B!Z1225/1000</f>
        <v>0</v>
      </c>
      <c r="AA1170" s="9">
        <f>STATS1003B!AA1225/1000</f>
        <v>1185</v>
      </c>
      <c r="AB1170" s="9">
        <f>STATS1003B!AB1225/1000</f>
        <v>0</v>
      </c>
    </row>
    <row r="1171" spans="1:28" x14ac:dyDescent="0.35">
      <c r="A1171" s="36"/>
      <c r="B1171" s="8"/>
      <c r="C1171" s="7" t="s">
        <v>557</v>
      </c>
      <c r="D1171" s="15" t="s">
        <v>85</v>
      </c>
      <c r="E1171" s="9">
        <f>STATS1003B!E1226/1000</f>
        <v>2249</v>
      </c>
      <c r="F1171" s="9">
        <f>STATS1003B!F1226/1000</f>
        <v>2249</v>
      </c>
      <c r="G1171" s="9">
        <f>STATS1003B!G1226/1000</f>
        <v>0</v>
      </c>
      <c r="H1171" s="9">
        <f>STATS1003B!H1226/1000</f>
        <v>2249</v>
      </c>
      <c r="I1171" s="9">
        <f>STATS1003B!I1226/1000</f>
        <v>0</v>
      </c>
      <c r="J1171" s="9">
        <f>STATS1003B!J1226/1000</f>
        <v>2249</v>
      </c>
      <c r="K1171" s="9">
        <f>STATS1003B!K1226/1000</f>
        <v>0</v>
      </c>
      <c r="L1171" s="9">
        <f>STATS1003B!L1226/1000</f>
        <v>0</v>
      </c>
      <c r="M1171" s="9">
        <f>STATS1003B!M1226/1000</f>
        <v>2249</v>
      </c>
      <c r="N1171" s="9">
        <f>STATS1003B!N1226/1000</f>
        <v>0</v>
      </c>
      <c r="O1171" s="9">
        <f>STATS1003B!O1226/1000</f>
        <v>0</v>
      </c>
      <c r="P1171" s="9">
        <f>STATS1003B!P1226/1000</f>
        <v>0</v>
      </c>
      <c r="Q1171" s="9">
        <f>STATS1003B!Q1226/1000</f>
        <v>2249</v>
      </c>
      <c r="R1171" s="9">
        <f>STATS1003B!R1226/1000</f>
        <v>0</v>
      </c>
      <c r="S1171" s="9">
        <f>STATS1003B!S1226/1000</f>
        <v>0</v>
      </c>
      <c r="T1171" s="9">
        <f>STATS1003B!T1226/1000</f>
        <v>0</v>
      </c>
      <c r="U1171" s="9">
        <f>STATS1003B!U1226/1000</f>
        <v>0</v>
      </c>
      <c r="V1171" s="9">
        <f>STATS1003B!V1226/1000</f>
        <v>2249</v>
      </c>
      <c r="W1171" s="9">
        <f>STATS1003B!W1226/1000</f>
        <v>0</v>
      </c>
      <c r="X1171" s="9">
        <f>STATS1003B!X1226/1000</f>
        <v>2249</v>
      </c>
      <c r="Y1171" s="9">
        <f>STATS1003B!Y1226/1000</f>
        <v>0</v>
      </c>
      <c r="Z1171" s="9">
        <f>STATS1003B!Z1226/1000</f>
        <v>0</v>
      </c>
      <c r="AA1171" s="9">
        <f>STATS1003B!AA1226/1000</f>
        <v>2249</v>
      </c>
      <c r="AB1171" s="9">
        <f>STATS1003B!AB1226/1000</f>
        <v>0</v>
      </c>
    </row>
    <row r="1172" spans="1:28" x14ac:dyDescent="0.35">
      <c r="A1172" s="36"/>
      <c r="B1172" s="8"/>
      <c r="C1172" s="7" t="s">
        <v>682</v>
      </c>
      <c r="D1172" s="15" t="s">
        <v>128</v>
      </c>
      <c r="E1172" s="9">
        <f>STATS1003B!E1227/1000</f>
        <v>0</v>
      </c>
      <c r="F1172" s="9">
        <f>STATS1003B!F1227/1000</f>
        <v>0</v>
      </c>
      <c r="G1172" s="9">
        <f>STATS1003B!G1227/1000</f>
        <v>0</v>
      </c>
      <c r="H1172" s="9">
        <f>STATS1003B!H1227/1000</f>
        <v>0</v>
      </c>
      <c r="I1172" s="9">
        <f>STATS1003B!I1227/1000</f>
        <v>0</v>
      </c>
      <c r="J1172" s="9">
        <f>STATS1003B!J1227/1000</f>
        <v>0</v>
      </c>
      <c r="K1172" s="9">
        <f>STATS1003B!K1227/1000</f>
        <v>0</v>
      </c>
      <c r="L1172" s="9">
        <f>STATS1003B!L1227/1000</f>
        <v>0</v>
      </c>
      <c r="M1172" s="9">
        <f>STATS1003B!M1227/1000</f>
        <v>0</v>
      </c>
      <c r="N1172" s="9">
        <f>STATS1003B!N1227/1000</f>
        <v>0</v>
      </c>
      <c r="O1172" s="9">
        <f>STATS1003B!O1227/1000</f>
        <v>0</v>
      </c>
      <c r="P1172" s="9">
        <f>STATS1003B!P1227/1000</f>
        <v>0</v>
      </c>
      <c r="Q1172" s="9">
        <f>STATS1003B!Q1227/1000</f>
        <v>0</v>
      </c>
      <c r="R1172" s="9">
        <f>STATS1003B!R1227/1000</f>
        <v>0</v>
      </c>
      <c r="S1172" s="9">
        <f>STATS1003B!S1227/1000</f>
        <v>0</v>
      </c>
      <c r="T1172" s="9">
        <f>STATS1003B!T1227/1000</f>
        <v>0</v>
      </c>
      <c r="U1172" s="9">
        <f>STATS1003B!U1227/1000</f>
        <v>0</v>
      </c>
      <c r="V1172" s="9">
        <f>STATS1003B!V1227/1000</f>
        <v>0</v>
      </c>
      <c r="W1172" s="9">
        <f>STATS1003B!W1227/1000</f>
        <v>0</v>
      </c>
      <c r="X1172" s="9">
        <f>STATS1003B!X1227/1000</f>
        <v>0</v>
      </c>
      <c r="Y1172" s="9">
        <f>STATS1003B!Y1227/1000</f>
        <v>0</v>
      </c>
      <c r="Z1172" s="9">
        <f>STATS1003B!Z1227/1000</f>
        <v>0</v>
      </c>
      <c r="AA1172" s="9">
        <f>STATS1003B!AA1227/1000</f>
        <v>0</v>
      </c>
      <c r="AB1172" s="9">
        <f>STATS1003B!AB1227/1000</f>
        <v>0</v>
      </c>
    </row>
    <row r="1173" spans="1:28" x14ac:dyDescent="0.35">
      <c r="A1173" s="36"/>
      <c r="B1173" s="8"/>
      <c r="C1173" s="7" t="s">
        <v>535</v>
      </c>
      <c r="D1173" s="15" t="s">
        <v>88</v>
      </c>
      <c r="E1173" s="9">
        <f>STATS1003B!E1228/1000</f>
        <v>1854.932</v>
      </c>
      <c r="F1173" s="9">
        <f>STATS1003B!F1228/1000</f>
        <v>1854.932</v>
      </c>
      <c r="G1173" s="9">
        <f>STATS1003B!G1228/1000</f>
        <v>0</v>
      </c>
      <c r="H1173" s="9">
        <f>STATS1003B!H1228/1000</f>
        <v>1854.932</v>
      </c>
      <c r="I1173" s="9">
        <f>STATS1003B!I1228/1000</f>
        <v>0</v>
      </c>
      <c r="J1173" s="9">
        <f>STATS1003B!J1228/1000</f>
        <v>1854.932</v>
      </c>
      <c r="K1173" s="9">
        <f>STATS1003B!K1228/1000</f>
        <v>0</v>
      </c>
      <c r="L1173" s="9">
        <f>STATS1003B!L1228/1000</f>
        <v>0</v>
      </c>
      <c r="M1173" s="9">
        <f>STATS1003B!M1228/1000</f>
        <v>1854.932</v>
      </c>
      <c r="N1173" s="9">
        <f>STATS1003B!N1228/1000</f>
        <v>0</v>
      </c>
      <c r="O1173" s="9">
        <f>STATS1003B!O1228/1000</f>
        <v>0</v>
      </c>
      <c r="P1173" s="9">
        <f>STATS1003B!P1228/1000</f>
        <v>0</v>
      </c>
      <c r="Q1173" s="9">
        <f>STATS1003B!Q1228/1000</f>
        <v>1854.932</v>
      </c>
      <c r="R1173" s="9">
        <f>STATS1003B!R1228/1000</f>
        <v>0</v>
      </c>
      <c r="S1173" s="9">
        <f>STATS1003B!S1228/1000</f>
        <v>0</v>
      </c>
      <c r="T1173" s="9">
        <f>STATS1003B!T1228/1000</f>
        <v>0</v>
      </c>
      <c r="U1173" s="9">
        <f>STATS1003B!U1228/1000</f>
        <v>0</v>
      </c>
      <c r="V1173" s="9">
        <f>STATS1003B!V1228/1000</f>
        <v>1854.932</v>
      </c>
      <c r="W1173" s="9">
        <f>STATS1003B!W1228/1000</f>
        <v>0</v>
      </c>
      <c r="X1173" s="9">
        <f>STATS1003B!X1228/1000</f>
        <v>1854.932</v>
      </c>
      <c r="Y1173" s="9">
        <f>STATS1003B!Y1228/1000</f>
        <v>0</v>
      </c>
      <c r="Z1173" s="9">
        <f>STATS1003B!Z1228/1000</f>
        <v>0</v>
      </c>
      <c r="AA1173" s="9">
        <f>STATS1003B!AA1228/1000</f>
        <v>1854.932</v>
      </c>
      <c r="AB1173" s="9">
        <f>STATS1003B!AB1228/1000</f>
        <v>0</v>
      </c>
    </row>
    <row r="1174" spans="1:28" x14ac:dyDescent="0.35">
      <c r="A1174" s="36"/>
      <c r="B1174" s="8"/>
      <c r="C1174" s="7" t="s">
        <v>683</v>
      </c>
      <c r="D1174" s="15" t="s">
        <v>88</v>
      </c>
      <c r="E1174" s="9">
        <f>STATS1003B!E1229/1000</f>
        <v>250</v>
      </c>
      <c r="F1174" s="9">
        <f>STATS1003B!F1229/1000</f>
        <v>250</v>
      </c>
      <c r="G1174" s="9">
        <f>STATS1003B!G1229/1000</f>
        <v>0</v>
      </c>
      <c r="H1174" s="9">
        <f>STATS1003B!H1229/1000</f>
        <v>250</v>
      </c>
      <c r="I1174" s="9">
        <f>STATS1003B!I1229/1000</f>
        <v>0</v>
      </c>
      <c r="J1174" s="9">
        <f>STATS1003B!J1229/1000</f>
        <v>250</v>
      </c>
      <c r="K1174" s="9">
        <f>STATS1003B!K1229/1000</f>
        <v>0</v>
      </c>
      <c r="L1174" s="9">
        <f>STATS1003B!L1229/1000</f>
        <v>0</v>
      </c>
      <c r="M1174" s="9">
        <f>STATS1003B!M1229/1000</f>
        <v>250</v>
      </c>
      <c r="N1174" s="9">
        <f>STATS1003B!N1229/1000</f>
        <v>0</v>
      </c>
      <c r="O1174" s="9">
        <f>STATS1003B!O1229/1000</f>
        <v>0</v>
      </c>
      <c r="P1174" s="9">
        <f>STATS1003B!P1229/1000</f>
        <v>0</v>
      </c>
      <c r="Q1174" s="9">
        <f>STATS1003B!Q1229/1000</f>
        <v>250</v>
      </c>
      <c r="R1174" s="9">
        <f>STATS1003B!R1229/1000</f>
        <v>0</v>
      </c>
      <c r="S1174" s="9">
        <f>STATS1003B!S1229/1000</f>
        <v>0</v>
      </c>
      <c r="T1174" s="9">
        <f>STATS1003B!T1229/1000</f>
        <v>0</v>
      </c>
      <c r="U1174" s="9">
        <f>STATS1003B!U1229/1000</f>
        <v>0</v>
      </c>
      <c r="V1174" s="9">
        <f>STATS1003B!V1229/1000</f>
        <v>250</v>
      </c>
      <c r="W1174" s="9">
        <f>STATS1003B!W1229/1000</f>
        <v>0</v>
      </c>
      <c r="X1174" s="9">
        <f>STATS1003B!X1229/1000</f>
        <v>250</v>
      </c>
      <c r="Y1174" s="9">
        <f>STATS1003B!Y1229/1000</f>
        <v>0</v>
      </c>
      <c r="Z1174" s="9">
        <f>STATS1003B!Z1229/1000</f>
        <v>0</v>
      </c>
      <c r="AA1174" s="9">
        <f>STATS1003B!AA1229/1000</f>
        <v>250</v>
      </c>
      <c r="AB1174" s="9">
        <f>STATS1003B!AB1229/1000</f>
        <v>0</v>
      </c>
    </row>
    <row r="1175" spans="1:28" x14ac:dyDescent="0.35">
      <c r="A1175" s="36"/>
      <c r="B1175" s="8"/>
      <c r="C1175" s="7" t="s">
        <v>535</v>
      </c>
      <c r="D1175" s="15" t="s">
        <v>108</v>
      </c>
      <c r="E1175" s="9">
        <f>STATS1003B!E1230/1000</f>
        <v>2000</v>
      </c>
      <c r="F1175" s="9">
        <f>STATS1003B!F1230/1000</f>
        <v>2000</v>
      </c>
      <c r="G1175" s="9">
        <f>STATS1003B!G1230/1000</f>
        <v>0</v>
      </c>
      <c r="H1175" s="9">
        <f>STATS1003B!H1230/1000</f>
        <v>2000</v>
      </c>
      <c r="I1175" s="9">
        <f>STATS1003B!I1230/1000</f>
        <v>0</v>
      </c>
      <c r="J1175" s="9">
        <f>STATS1003B!J1230/1000</f>
        <v>2000</v>
      </c>
      <c r="K1175" s="9">
        <f>STATS1003B!K1230/1000</f>
        <v>0</v>
      </c>
      <c r="L1175" s="9">
        <f>STATS1003B!L1230/1000</f>
        <v>0</v>
      </c>
      <c r="M1175" s="9">
        <f>STATS1003B!M1230/1000</f>
        <v>2000</v>
      </c>
      <c r="N1175" s="9">
        <f>STATS1003B!N1230/1000</f>
        <v>0</v>
      </c>
      <c r="O1175" s="9">
        <f>STATS1003B!O1230/1000</f>
        <v>0</v>
      </c>
      <c r="P1175" s="9">
        <f>STATS1003B!P1230/1000</f>
        <v>0</v>
      </c>
      <c r="Q1175" s="9">
        <f>STATS1003B!Q1230/1000</f>
        <v>2000</v>
      </c>
      <c r="R1175" s="9">
        <f>STATS1003B!R1230/1000</f>
        <v>0</v>
      </c>
      <c r="S1175" s="9">
        <f>STATS1003B!S1230/1000</f>
        <v>0</v>
      </c>
      <c r="T1175" s="9">
        <f>STATS1003B!T1230/1000</f>
        <v>0</v>
      </c>
      <c r="U1175" s="9">
        <f>STATS1003B!U1230/1000</f>
        <v>0</v>
      </c>
      <c r="V1175" s="9">
        <f>STATS1003B!V1230/1000</f>
        <v>2000</v>
      </c>
      <c r="W1175" s="9">
        <f>STATS1003B!W1230/1000</f>
        <v>0</v>
      </c>
      <c r="X1175" s="9">
        <f>STATS1003B!X1230/1000</f>
        <v>2000</v>
      </c>
      <c r="Y1175" s="9">
        <f>STATS1003B!Y1230/1000</f>
        <v>0</v>
      </c>
      <c r="Z1175" s="9">
        <f>STATS1003B!Z1230/1000</f>
        <v>0</v>
      </c>
      <c r="AA1175" s="9">
        <f>STATS1003B!AA1230/1000</f>
        <v>2000</v>
      </c>
      <c r="AB1175" s="9">
        <f>STATS1003B!AB1230/1000</f>
        <v>0</v>
      </c>
    </row>
    <row r="1176" spans="1:28" x14ac:dyDescent="0.35">
      <c r="A1176" s="36"/>
      <c r="B1176" s="8"/>
      <c r="C1176" s="7" t="s">
        <v>535</v>
      </c>
      <c r="D1176" s="15" t="s">
        <v>58</v>
      </c>
      <c r="E1176" s="9">
        <f>STATS1003B!E1231/1000</f>
        <v>1853.6</v>
      </c>
      <c r="F1176" s="9">
        <f>STATS1003B!F1231/1000</f>
        <v>1853.6</v>
      </c>
      <c r="G1176" s="9">
        <f>STATS1003B!G1231/1000</f>
        <v>0</v>
      </c>
      <c r="H1176" s="9">
        <f>STATS1003B!H1231/1000</f>
        <v>1853.6</v>
      </c>
      <c r="I1176" s="9">
        <f>STATS1003B!I1231/1000</f>
        <v>0</v>
      </c>
      <c r="J1176" s="9">
        <f>STATS1003B!J1231/1000</f>
        <v>1853.6</v>
      </c>
      <c r="K1176" s="9">
        <f>STATS1003B!K1231/1000</f>
        <v>0</v>
      </c>
      <c r="L1176" s="9">
        <f>STATS1003B!L1231/1000</f>
        <v>0</v>
      </c>
      <c r="M1176" s="9">
        <f>STATS1003B!M1231/1000</f>
        <v>1853.6</v>
      </c>
      <c r="N1176" s="9">
        <f>STATS1003B!N1231/1000</f>
        <v>0</v>
      </c>
      <c r="O1176" s="9">
        <f>STATS1003B!O1231/1000</f>
        <v>0</v>
      </c>
      <c r="P1176" s="9">
        <f>STATS1003B!P1231/1000</f>
        <v>0</v>
      </c>
      <c r="Q1176" s="9">
        <f>STATS1003B!Q1231/1000</f>
        <v>1853.6</v>
      </c>
      <c r="R1176" s="9">
        <f>STATS1003B!R1231/1000</f>
        <v>0</v>
      </c>
      <c r="S1176" s="9">
        <f>STATS1003B!S1231/1000</f>
        <v>0</v>
      </c>
      <c r="T1176" s="9">
        <f>STATS1003B!T1231/1000</f>
        <v>0</v>
      </c>
      <c r="U1176" s="9">
        <f>STATS1003B!U1231/1000</f>
        <v>0</v>
      </c>
      <c r="V1176" s="9">
        <f>STATS1003B!V1231/1000</f>
        <v>1853.6</v>
      </c>
      <c r="W1176" s="9">
        <f>STATS1003B!W1231/1000</f>
        <v>0</v>
      </c>
      <c r="X1176" s="9">
        <f>STATS1003B!X1231/1000</f>
        <v>1853.6</v>
      </c>
      <c r="Y1176" s="9">
        <f>STATS1003B!Y1231/1000</f>
        <v>0</v>
      </c>
      <c r="Z1176" s="9">
        <f>STATS1003B!Z1231/1000</f>
        <v>0</v>
      </c>
      <c r="AA1176" s="9">
        <f>STATS1003B!AA1231/1000</f>
        <v>1853.6</v>
      </c>
      <c r="AB1176" s="9">
        <f>STATS1003B!AB1231/1000</f>
        <v>0</v>
      </c>
    </row>
    <row r="1177" spans="1:28" x14ac:dyDescent="0.35">
      <c r="A1177" s="36"/>
      <c r="B1177" s="8"/>
      <c r="C1177" s="7" t="s">
        <v>535</v>
      </c>
      <c r="D1177" s="15" t="s">
        <v>60</v>
      </c>
      <c r="E1177" s="9">
        <f>STATS1003B!E1232/1000</f>
        <v>8884.1491900000001</v>
      </c>
      <c r="F1177" s="9">
        <f>STATS1003B!F1232/1000</f>
        <v>8884.1491900000001</v>
      </c>
      <c r="G1177" s="9">
        <f>STATS1003B!G1232/1000</f>
        <v>0</v>
      </c>
      <c r="H1177" s="9">
        <f>STATS1003B!H1232/1000</f>
        <v>8884.1491900000001</v>
      </c>
      <c r="I1177" s="9">
        <f>STATS1003B!I1232/1000</f>
        <v>0</v>
      </c>
      <c r="J1177" s="9">
        <f>STATS1003B!J1232/1000</f>
        <v>8884.1491900000001</v>
      </c>
      <c r="K1177" s="9">
        <f>STATS1003B!K1232/1000</f>
        <v>0</v>
      </c>
      <c r="L1177" s="9">
        <f>STATS1003B!L1232/1000</f>
        <v>0</v>
      </c>
      <c r="M1177" s="9">
        <f>STATS1003B!M1232/1000</f>
        <v>8884.1491900000001</v>
      </c>
      <c r="N1177" s="9">
        <f>STATS1003B!N1232/1000</f>
        <v>0</v>
      </c>
      <c r="O1177" s="9">
        <f>STATS1003B!O1232/1000</f>
        <v>0</v>
      </c>
      <c r="P1177" s="9">
        <f>STATS1003B!P1232/1000</f>
        <v>0</v>
      </c>
      <c r="Q1177" s="9">
        <f>STATS1003B!Q1232/1000</f>
        <v>8884.1491900000001</v>
      </c>
      <c r="R1177" s="9">
        <f>STATS1003B!R1232/1000</f>
        <v>0</v>
      </c>
      <c r="S1177" s="9">
        <f>STATS1003B!S1232/1000</f>
        <v>0</v>
      </c>
      <c r="T1177" s="9">
        <f>STATS1003B!T1232/1000</f>
        <v>0</v>
      </c>
      <c r="U1177" s="9">
        <f>STATS1003B!U1232/1000</f>
        <v>0</v>
      </c>
      <c r="V1177" s="9">
        <f>STATS1003B!V1232/1000</f>
        <v>8884.1491900000001</v>
      </c>
      <c r="W1177" s="9">
        <f>STATS1003B!W1232/1000</f>
        <v>0</v>
      </c>
      <c r="X1177" s="9">
        <f>STATS1003B!X1232/1000</f>
        <v>8884.1491900000001</v>
      </c>
      <c r="Y1177" s="9">
        <f>STATS1003B!Y1232/1000</f>
        <v>0</v>
      </c>
      <c r="Z1177" s="9">
        <f>STATS1003B!Z1232/1000</f>
        <v>0</v>
      </c>
      <c r="AA1177" s="9">
        <f>STATS1003B!AA1232/1000</f>
        <v>8884.1491900000001</v>
      </c>
      <c r="AB1177" s="9">
        <f>STATS1003B!AB1232/1000</f>
        <v>0</v>
      </c>
    </row>
    <row r="1178" spans="1:28" x14ac:dyDescent="0.35">
      <c r="A1178" s="36"/>
      <c r="B1178" s="8"/>
      <c r="C1178" s="14" t="s">
        <v>684</v>
      </c>
      <c r="D1178" s="15" t="s">
        <v>60</v>
      </c>
      <c r="E1178" s="9">
        <f>STATS1003B!E1233/1000</f>
        <v>149.65492999999998</v>
      </c>
      <c r="F1178" s="9">
        <f>STATS1003B!F1233/1000</f>
        <v>149.65492999999998</v>
      </c>
      <c r="G1178" s="9">
        <f>STATS1003B!G1233/1000</f>
        <v>0</v>
      </c>
      <c r="H1178" s="9">
        <f>STATS1003B!H1233/1000</f>
        <v>149.65492999999998</v>
      </c>
      <c r="I1178" s="9">
        <f>STATS1003B!I1233/1000</f>
        <v>0</v>
      </c>
      <c r="J1178" s="9">
        <f>STATS1003B!J1233/1000</f>
        <v>149.65492999999998</v>
      </c>
      <c r="K1178" s="9">
        <f>STATS1003B!K1233/1000</f>
        <v>0</v>
      </c>
      <c r="L1178" s="9">
        <f>STATS1003B!L1233/1000</f>
        <v>0</v>
      </c>
      <c r="M1178" s="9">
        <f>STATS1003B!M1233/1000</f>
        <v>149.65492999999998</v>
      </c>
      <c r="N1178" s="9">
        <f>STATS1003B!N1233/1000</f>
        <v>0</v>
      </c>
      <c r="O1178" s="9">
        <f>STATS1003B!O1233/1000</f>
        <v>0</v>
      </c>
      <c r="P1178" s="9">
        <f>STATS1003B!P1233/1000</f>
        <v>0</v>
      </c>
      <c r="Q1178" s="9">
        <f>STATS1003B!Q1233/1000</f>
        <v>149.65492999999998</v>
      </c>
      <c r="R1178" s="9">
        <f>STATS1003B!R1233/1000</f>
        <v>0</v>
      </c>
      <c r="S1178" s="9">
        <f>STATS1003B!S1233/1000</f>
        <v>0</v>
      </c>
      <c r="T1178" s="9">
        <f>STATS1003B!T1233/1000</f>
        <v>0</v>
      </c>
      <c r="U1178" s="9">
        <f>STATS1003B!U1233/1000</f>
        <v>0</v>
      </c>
      <c r="V1178" s="9">
        <f>STATS1003B!V1233/1000</f>
        <v>149.65492999999998</v>
      </c>
      <c r="W1178" s="9">
        <f>STATS1003B!W1233/1000</f>
        <v>0</v>
      </c>
      <c r="X1178" s="9">
        <f>STATS1003B!X1233/1000</f>
        <v>149.65492999999998</v>
      </c>
      <c r="Y1178" s="9">
        <f>STATS1003B!Y1233/1000</f>
        <v>0</v>
      </c>
      <c r="Z1178" s="9">
        <f>STATS1003B!Z1233/1000</f>
        <v>0</v>
      </c>
      <c r="AA1178" s="9">
        <f>STATS1003B!AA1233/1000</f>
        <v>149.65492999999998</v>
      </c>
      <c r="AB1178" s="9">
        <f>STATS1003B!AB1233/1000</f>
        <v>0</v>
      </c>
    </row>
    <row r="1179" spans="1:28" x14ac:dyDescent="0.35">
      <c r="A1179" s="36"/>
      <c r="B1179" s="8"/>
      <c r="C1179" s="7" t="s">
        <v>535</v>
      </c>
      <c r="D1179" s="15" t="s">
        <v>73</v>
      </c>
      <c r="E1179" s="9">
        <f>STATS1003B!E1234/1000</f>
        <v>9357.004429999999</v>
      </c>
      <c r="F1179" s="9">
        <f>STATS1003B!F1234/1000</f>
        <v>9357.004429999999</v>
      </c>
      <c r="G1179" s="9">
        <f>STATS1003B!G1234/1000</f>
        <v>0</v>
      </c>
      <c r="H1179" s="9">
        <f>STATS1003B!H1234/1000</f>
        <v>9357.004429999999</v>
      </c>
      <c r="I1179" s="9">
        <f>STATS1003B!I1234/1000</f>
        <v>0</v>
      </c>
      <c r="J1179" s="9">
        <f>STATS1003B!J1234/1000</f>
        <v>9357.004429999999</v>
      </c>
      <c r="K1179" s="9">
        <f>STATS1003B!K1234/1000</f>
        <v>0</v>
      </c>
      <c r="L1179" s="9">
        <f>STATS1003B!L1234/1000</f>
        <v>0</v>
      </c>
      <c r="M1179" s="9">
        <f>STATS1003B!M1234/1000</f>
        <v>9357.004429999999</v>
      </c>
      <c r="N1179" s="9">
        <f>STATS1003B!N1234/1000</f>
        <v>0</v>
      </c>
      <c r="O1179" s="9">
        <f>STATS1003B!O1234/1000</f>
        <v>0</v>
      </c>
      <c r="P1179" s="9">
        <f>STATS1003B!P1234/1000</f>
        <v>0</v>
      </c>
      <c r="Q1179" s="9">
        <f>STATS1003B!Q1234/1000</f>
        <v>9357.004429999999</v>
      </c>
      <c r="R1179" s="9">
        <f>STATS1003B!R1234/1000</f>
        <v>0</v>
      </c>
      <c r="S1179" s="9">
        <f>STATS1003B!S1234/1000</f>
        <v>0</v>
      </c>
      <c r="T1179" s="9">
        <f>STATS1003B!T1234/1000</f>
        <v>0</v>
      </c>
      <c r="U1179" s="9">
        <f>STATS1003B!U1234/1000</f>
        <v>0</v>
      </c>
      <c r="V1179" s="9">
        <f>STATS1003B!V1234/1000</f>
        <v>9357.004429999999</v>
      </c>
      <c r="W1179" s="9">
        <f>STATS1003B!W1234/1000</f>
        <v>0</v>
      </c>
      <c r="X1179" s="9">
        <f>STATS1003B!X1234/1000</f>
        <v>9357.004429999999</v>
      </c>
      <c r="Y1179" s="9">
        <f>STATS1003B!Y1234/1000</f>
        <v>0</v>
      </c>
      <c r="Z1179" s="9">
        <f>STATS1003B!Z1234/1000</f>
        <v>0</v>
      </c>
      <c r="AA1179" s="9">
        <f>STATS1003B!AA1234/1000</f>
        <v>9357.004429999999</v>
      </c>
      <c r="AB1179" s="9">
        <f>STATS1003B!AB1234/1000</f>
        <v>0</v>
      </c>
    </row>
    <row r="1180" spans="1:28" x14ac:dyDescent="0.35">
      <c r="A1180" s="36"/>
      <c r="B1180" s="8"/>
      <c r="C1180" s="7" t="s">
        <v>535</v>
      </c>
      <c r="D1180" s="15" t="s">
        <v>61</v>
      </c>
      <c r="E1180" s="9">
        <f>STATS1003B!E1235/1000</f>
        <v>8497.03701</v>
      </c>
      <c r="F1180" s="9">
        <f>STATS1003B!F1235/1000</f>
        <v>7890.9913999999999</v>
      </c>
      <c r="G1180" s="9">
        <f>STATS1003B!G1235/1000</f>
        <v>0</v>
      </c>
      <c r="H1180" s="9">
        <f>STATS1003B!H1235/1000</f>
        <v>7890.9913999999999</v>
      </c>
      <c r="I1180" s="9">
        <f>STATS1003B!I1235/1000</f>
        <v>0</v>
      </c>
      <c r="J1180" s="9">
        <f>STATS1003B!J1235/1000</f>
        <v>7890.9913999999999</v>
      </c>
      <c r="K1180" s="9">
        <f>STATS1003B!K1235/1000</f>
        <v>0</v>
      </c>
      <c r="L1180" s="9">
        <f>STATS1003B!L1235/1000</f>
        <v>0</v>
      </c>
      <c r="M1180" s="9">
        <f>STATS1003B!M1235/1000</f>
        <v>7890.9913999999999</v>
      </c>
      <c r="N1180" s="9">
        <f>STATS1003B!N1235/1000</f>
        <v>0</v>
      </c>
      <c r="O1180" s="9">
        <f>STATS1003B!O1235/1000</f>
        <v>0</v>
      </c>
      <c r="P1180" s="9">
        <f>STATS1003B!P1235/1000</f>
        <v>0</v>
      </c>
      <c r="Q1180" s="9">
        <f>STATS1003B!Q1235/1000</f>
        <v>8497.03701</v>
      </c>
      <c r="R1180" s="9">
        <f>STATS1003B!R1235/1000</f>
        <v>0</v>
      </c>
      <c r="S1180" s="9">
        <f>STATS1003B!S1235/1000</f>
        <v>0</v>
      </c>
      <c r="T1180" s="9">
        <f>STATS1003B!T1235/1000</f>
        <v>606.04561000000001</v>
      </c>
      <c r="U1180" s="9">
        <f>STATS1003B!U1235/1000</f>
        <v>606.04561000000001</v>
      </c>
      <c r="V1180" s="9">
        <f>STATS1003B!V1235/1000</f>
        <v>7890.9913999999999</v>
      </c>
      <c r="W1180" s="9">
        <f>STATS1003B!W1235/1000</f>
        <v>606.04561000000035</v>
      </c>
      <c r="X1180" s="9">
        <f>STATS1003B!X1235/1000</f>
        <v>7890.9913999999999</v>
      </c>
      <c r="Y1180" s="9">
        <f>STATS1003B!Y1235/1000</f>
        <v>0</v>
      </c>
      <c r="Z1180" s="9">
        <f>STATS1003B!Z1235/1000</f>
        <v>606.04561000000035</v>
      </c>
      <c r="AA1180" s="9">
        <f>STATS1003B!AA1235/1000</f>
        <v>8497.03701</v>
      </c>
      <c r="AB1180" s="9">
        <f>STATS1003B!AB1235/1000</f>
        <v>0</v>
      </c>
    </row>
    <row r="1181" spans="1:28" x14ac:dyDescent="0.35">
      <c r="A1181" s="36"/>
      <c r="B1181" s="8"/>
      <c r="C1181" s="7" t="s">
        <v>1062</v>
      </c>
      <c r="D1181" s="15"/>
      <c r="E1181" s="9">
        <f>STATS1003B!E1238/1000</f>
        <v>475</v>
      </c>
      <c r="F1181" s="9">
        <f>STATS1003B!F1238/1000</f>
        <v>475</v>
      </c>
      <c r="G1181" s="9">
        <f>STATS1003B!G1238/1000</f>
        <v>0</v>
      </c>
      <c r="H1181" s="9">
        <f>STATS1003B!H1238/1000</f>
        <v>475</v>
      </c>
      <c r="I1181" s="9">
        <f>STATS1003B!I1238/1000</f>
        <v>0</v>
      </c>
      <c r="J1181" s="9">
        <f>STATS1003B!J1238/1000</f>
        <v>0</v>
      </c>
      <c r="K1181" s="9">
        <f>STATS1003B!K1238/1000</f>
        <v>0</v>
      </c>
      <c r="L1181" s="9">
        <f>STATS1003B!L1238/1000</f>
        <v>0</v>
      </c>
      <c r="M1181" s="9">
        <f>STATS1003B!M1238/1000</f>
        <v>475</v>
      </c>
      <c r="N1181" s="9">
        <f>STATS1003B!N1238/1000</f>
        <v>0</v>
      </c>
      <c r="O1181" s="9">
        <f>STATS1003B!O1238/1000</f>
        <v>0</v>
      </c>
      <c r="P1181" s="9">
        <f>STATS1003B!P1238/1000</f>
        <v>0</v>
      </c>
      <c r="Q1181" s="9">
        <f>STATS1003B!Q1238/1000</f>
        <v>0</v>
      </c>
      <c r="R1181" s="9">
        <f>STATS1003B!R1238/1000</f>
        <v>0</v>
      </c>
      <c r="S1181" s="9">
        <f>STATS1003B!S1238/1000</f>
        <v>0</v>
      </c>
      <c r="T1181" s="9">
        <f>STATS1003B!T1238/1000</f>
        <v>0</v>
      </c>
      <c r="U1181" s="9">
        <f>STATS1003B!U1238/1000</f>
        <v>0</v>
      </c>
      <c r="V1181" s="9">
        <f>STATS1003B!V1238/1000</f>
        <v>475</v>
      </c>
      <c r="W1181" s="9">
        <f>STATS1003B!W1238/1000</f>
        <v>0</v>
      </c>
      <c r="X1181" s="9">
        <f>STATS1003B!X1238/1000</f>
        <v>475</v>
      </c>
      <c r="Y1181" s="9">
        <f>STATS1003B!Y1238/1000</f>
        <v>0</v>
      </c>
      <c r="Z1181" s="9">
        <f>STATS1003B!Z1238/1000</f>
        <v>0</v>
      </c>
      <c r="AA1181" s="9">
        <f>STATS1003B!AA1238/1000</f>
        <v>475</v>
      </c>
      <c r="AB1181" s="9">
        <f>STATS1003B!AB1238/1000</f>
        <v>0</v>
      </c>
    </row>
    <row r="1182" spans="1:28" x14ac:dyDescent="0.35">
      <c r="A1182" s="36"/>
      <c r="B1182" s="8"/>
      <c r="C1182" s="7" t="s">
        <v>1080</v>
      </c>
      <c r="D1182" s="16" t="s">
        <v>1072</v>
      </c>
      <c r="E1182" s="9">
        <f>STATS1003B!E1242/1000</f>
        <v>6916.4997300000005</v>
      </c>
      <c r="F1182" s="9">
        <f>STATS1003B!F1242/1000</f>
        <v>6916.4997300000005</v>
      </c>
      <c r="G1182" s="9">
        <f>STATS1003B!G1242/1000</f>
        <v>0</v>
      </c>
      <c r="H1182" s="9">
        <f>STATS1003B!H1242/1000</f>
        <v>6916.4997300000005</v>
      </c>
      <c r="I1182" s="9">
        <f>STATS1003B!I1242/1000</f>
        <v>0</v>
      </c>
      <c r="J1182" s="9">
        <f>STATS1003B!J1242/1000</f>
        <v>0</v>
      </c>
      <c r="K1182" s="9">
        <f>STATS1003B!K1242/1000</f>
        <v>0</v>
      </c>
      <c r="L1182" s="9">
        <f>STATS1003B!L1242/1000</f>
        <v>0</v>
      </c>
      <c r="M1182" s="9">
        <f>STATS1003B!M1242/1000</f>
        <v>6916.4997300000005</v>
      </c>
      <c r="N1182" s="9">
        <f>STATS1003B!N1242/1000</f>
        <v>0</v>
      </c>
      <c r="O1182" s="9">
        <f>STATS1003B!O1242/1000</f>
        <v>0</v>
      </c>
      <c r="P1182" s="9">
        <f>STATS1003B!P1242/1000</f>
        <v>0</v>
      </c>
      <c r="Q1182" s="9">
        <f>STATS1003B!Q1242/1000</f>
        <v>0</v>
      </c>
      <c r="R1182" s="9">
        <f>STATS1003B!R1242/1000</f>
        <v>0</v>
      </c>
      <c r="S1182" s="9">
        <f>STATS1003B!S1242/1000</f>
        <v>0</v>
      </c>
      <c r="T1182" s="9">
        <f>STATS1003B!T1242/1000</f>
        <v>0</v>
      </c>
      <c r="U1182" s="9">
        <f>STATS1003B!U1242/1000</f>
        <v>0</v>
      </c>
      <c r="V1182" s="9">
        <f>STATS1003B!V1242/1000</f>
        <v>0</v>
      </c>
      <c r="W1182" s="9">
        <f>STATS1003B!W1242/1000</f>
        <v>0</v>
      </c>
      <c r="X1182" s="9">
        <f>STATS1003B!X1242/1000</f>
        <v>6916.4997300000005</v>
      </c>
      <c r="Y1182" s="9">
        <f>STATS1003B!Y1242/1000</f>
        <v>0</v>
      </c>
      <c r="Z1182" s="9">
        <f>STATS1003B!Z1242/1000</f>
        <v>0</v>
      </c>
      <c r="AA1182" s="9">
        <f>STATS1003B!AA1242/1000</f>
        <v>6916.4997300000005</v>
      </c>
      <c r="AB1182" s="9">
        <f>STATS1003B!AB1242/1000</f>
        <v>0</v>
      </c>
    </row>
    <row r="1183" spans="1:28" x14ac:dyDescent="0.35">
      <c r="A1183" s="36"/>
      <c r="B1183" s="8"/>
      <c r="C1183" s="7" t="s">
        <v>678</v>
      </c>
      <c r="D1183" s="8"/>
      <c r="E1183" s="9">
        <f>STATS1003B!E1243/1000</f>
        <v>4341.7813200000001</v>
      </c>
      <c r="F1183" s="9">
        <f>STATS1003B!F1243/1000</f>
        <v>4341.7813200000001</v>
      </c>
      <c r="G1183" s="9">
        <f>STATS1003B!G1243/1000</f>
        <v>0</v>
      </c>
      <c r="H1183" s="9">
        <f>STATS1003B!H1243/1000</f>
        <v>4341.7813200000001</v>
      </c>
      <c r="I1183" s="9">
        <f>STATS1003B!I1243/1000</f>
        <v>0</v>
      </c>
      <c r="J1183" s="9">
        <f>STATS1003B!J1243/1000</f>
        <v>4341.7813200000001</v>
      </c>
      <c r="K1183" s="9">
        <f>STATS1003B!K1243/1000</f>
        <v>0</v>
      </c>
      <c r="L1183" s="9">
        <f>STATS1003B!L1243/1000</f>
        <v>0</v>
      </c>
      <c r="M1183" s="9">
        <f>STATS1003B!M1243/1000</f>
        <v>4341.7813200000001</v>
      </c>
      <c r="N1183" s="9">
        <f>STATS1003B!N1243/1000</f>
        <v>0</v>
      </c>
      <c r="O1183" s="9">
        <f>STATS1003B!O1243/1000</f>
        <v>0</v>
      </c>
      <c r="P1183" s="9">
        <f>STATS1003B!P1243/1000</f>
        <v>0</v>
      </c>
      <c r="Q1183" s="9">
        <f>STATS1003B!Q1243/1000</f>
        <v>4341.7813200000001</v>
      </c>
      <c r="R1183" s="9">
        <f>STATS1003B!R1243/1000</f>
        <v>0</v>
      </c>
      <c r="S1183" s="9">
        <f>STATS1003B!S1243/1000</f>
        <v>0</v>
      </c>
      <c r="T1183" s="9">
        <f>STATS1003B!T1243/1000</f>
        <v>0</v>
      </c>
      <c r="U1183" s="9">
        <f>STATS1003B!U1243/1000</f>
        <v>0</v>
      </c>
      <c r="V1183" s="9">
        <f>STATS1003B!V1243/1000</f>
        <v>4341.7813200000001</v>
      </c>
      <c r="W1183" s="9">
        <f>STATS1003B!W1243/1000</f>
        <v>0</v>
      </c>
      <c r="X1183" s="9">
        <f>STATS1003B!X1243/1000</f>
        <v>4341.7813200000001</v>
      </c>
      <c r="Y1183" s="9">
        <f>STATS1003B!Y1243/1000</f>
        <v>0</v>
      </c>
      <c r="Z1183" s="9">
        <f>STATS1003B!Z1243/1000</f>
        <v>0</v>
      </c>
      <c r="AA1183" s="9">
        <f>STATS1003B!AA1243/1000</f>
        <v>4341.7813200000001</v>
      </c>
      <c r="AB1183" s="9">
        <f>STATS1003B!AB1243/1000</f>
        <v>0</v>
      </c>
    </row>
    <row r="1184" spans="1:28" x14ac:dyDescent="0.35">
      <c r="A1184" s="36"/>
      <c r="B1184" s="8"/>
      <c r="C1184" s="8"/>
      <c r="D1184" s="8"/>
      <c r="E1184" s="17" t="s">
        <v>29</v>
      </c>
      <c r="F1184" s="17" t="s">
        <v>29</v>
      </c>
      <c r="G1184" s="17" t="s">
        <v>29</v>
      </c>
      <c r="H1184" s="17" t="s">
        <v>29</v>
      </c>
      <c r="I1184" s="17" t="s">
        <v>29</v>
      </c>
      <c r="J1184" s="17" t="s">
        <v>29</v>
      </c>
      <c r="K1184" s="17" t="s">
        <v>29</v>
      </c>
      <c r="L1184" s="17" t="s">
        <v>29</v>
      </c>
      <c r="M1184" s="17" t="s">
        <v>29</v>
      </c>
      <c r="N1184" s="17" t="s">
        <v>29</v>
      </c>
      <c r="O1184" s="17" t="s">
        <v>29</v>
      </c>
      <c r="P1184" s="17" t="s">
        <v>29</v>
      </c>
      <c r="Q1184" s="17" t="s">
        <v>29</v>
      </c>
      <c r="R1184" s="17" t="s">
        <v>29</v>
      </c>
      <c r="S1184" s="17" t="s">
        <v>29</v>
      </c>
      <c r="T1184" s="17" t="s">
        <v>29</v>
      </c>
      <c r="U1184" s="17" t="s">
        <v>29</v>
      </c>
      <c r="V1184" s="17" t="s">
        <v>29</v>
      </c>
      <c r="W1184" s="17" t="s">
        <v>29</v>
      </c>
      <c r="X1184" s="17" t="s">
        <v>29</v>
      </c>
      <c r="Y1184" s="17" t="s">
        <v>29</v>
      </c>
      <c r="Z1184" s="17" t="s">
        <v>29</v>
      </c>
      <c r="AA1184" s="17" t="s">
        <v>29</v>
      </c>
      <c r="AB1184" s="17" t="s">
        <v>29</v>
      </c>
    </row>
    <row r="1185" spans="1:28" x14ac:dyDescent="0.35">
      <c r="A1185" s="36"/>
      <c r="B1185" s="8"/>
      <c r="C1185" s="8"/>
      <c r="D1185" s="8"/>
      <c r="E1185" s="9">
        <f t="shared" ref="E1185:Q1185" si="87">SUM(E1163:E1184)</f>
        <v>57709.870270000007</v>
      </c>
      <c r="F1185" s="9">
        <f t="shared" si="87"/>
        <v>54432.611990000005</v>
      </c>
      <c r="G1185" s="9">
        <f t="shared" si="87"/>
        <v>0</v>
      </c>
      <c r="H1185" s="9">
        <f t="shared" si="87"/>
        <v>54432.611990000005</v>
      </c>
      <c r="I1185" s="9">
        <f t="shared" si="87"/>
        <v>0</v>
      </c>
      <c r="J1185" s="9">
        <f t="shared" si="87"/>
        <v>47041.112260000002</v>
      </c>
      <c r="K1185" s="9">
        <f t="shared" si="87"/>
        <v>2671.2126699999999</v>
      </c>
      <c r="L1185" s="9">
        <f t="shared" si="87"/>
        <v>0</v>
      </c>
      <c r="M1185" s="9">
        <f t="shared" si="87"/>
        <v>54432.611990000005</v>
      </c>
      <c r="N1185" s="9">
        <f t="shared" si="87"/>
        <v>2671.2126699999999</v>
      </c>
      <c r="O1185" s="9">
        <f t="shared" si="87"/>
        <v>0</v>
      </c>
      <c r="P1185" s="9">
        <f t="shared" si="87"/>
        <v>2671.2126699999999</v>
      </c>
      <c r="Q1185" s="9">
        <f t="shared" si="87"/>
        <v>47647.157870000003</v>
      </c>
      <c r="R1185" s="17"/>
      <c r="S1185" s="17"/>
      <c r="T1185" s="9">
        <f t="shared" ref="T1185:Z1185" si="88">SUM(T1163:T1184)</f>
        <v>606.04561000000001</v>
      </c>
      <c r="U1185" s="9">
        <f t="shared" si="88"/>
        <v>3277.25828</v>
      </c>
      <c r="V1185" s="9">
        <f t="shared" si="88"/>
        <v>50187.324930000002</v>
      </c>
      <c r="W1185" s="9">
        <f t="shared" si="88"/>
        <v>606.04561000000035</v>
      </c>
      <c r="X1185" s="9">
        <f t="shared" si="88"/>
        <v>57103.824660000006</v>
      </c>
      <c r="Y1185" s="9">
        <f t="shared" si="88"/>
        <v>0</v>
      </c>
      <c r="Z1185" s="9">
        <f t="shared" si="88"/>
        <v>606.04561000000035</v>
      </c>
      <c r="AA1185" s="9">
        <f>SUM(AA1163:AA1184)</f>
        <v>57709.870270000007</v>
      </c>
      <c r="AB1185" s="9">
        <f>SUM(AB1163:AB1184)</f>
        <v>0</v>
      </c>
    </row>
    <row r="1186" spans="1:28" x14ac:dyDescent="0.35">
      <c r="A1186" s="36"/>
      <c r="B1186" s="8"/>
      <c r="C1186" s="8"/>
      <c r="D1186" s="8"/>
      <c r="E1186" s="17" t="s">
        <v>29</v>
      </c>
      <c r="F1186" s="17" t="s">
        <v>29</v>
      </c>
      <c r="G1186" s="17" t="s">
        <v>29</v>
      </c>
      <c r="H1186" s="17" t="s">
        <v>29</v>
      </c>
      <c r="I1186" s="17" t="s">
        <v>29</v>
      </c>
      <c r="J1186" s="17" t="s">
        <v>29</v>
      </c>
      <c r="K1186" s="17" t="s">
        <v>29</v>
      </c>
      <c r="L1186" s="17" t="s">
        <v>29</v>
      </c>
      <c r="M1186" s="17" t="s">
        <v>29</v>
      </c>
      <c r="N1186" s="17" t="s">
        <v>29</v>
      </c>
      <c r="O1186" s="17" t="s">
        <v>29</v>
      </c>
      <c r="P1186" s="17" t="s">
        <v>29</v>
      </c>
      <c r="Q1186" s="17" t="s">
        <v>29</v>
      </c>
      <c r="R1186" s="17" t="s">
        <v>29</v>
      </c>
      <c r="S1186" s="17" t="s">
        <v>29</v>
      </c>
      <c r="T1186" s="17" t="s">
        <v>29</v>
      </c>
      <c r="U1186" s="17" t="s">
        <v>29</v>
      </c>
      <c r="V1186" s="17" t="s">
        <v>29</v>
      </c>
      <c r="W1186" s="17" t="s">
        <v>29</v>
      </c>
      <c r="X1186" s="17" t="s">
        <v>29</v>
      </c>
      <c r="Y1186" s="17" t="s">
        <v>29</v>
      </c>
      <c r="Z1186" s="17" t="s">
        <v>29</v>
      </c>
      <c r="AA1186" s="17" t="s">
        <v>29</v>
      </c>
      <c r="AB1186" s="17" t="s">
        <v>29</v>
      </c>
    </row>
    <row r="1187" spans="1:28" x14ac:dyDescent="0.35">
      <c r="A1187" s="38" t="s">
        <v>994</v>
      </c>
      <c r="B1187" s="7" t="s">
        <v>685</v>
      </c>
      <c r="C1187" s="8"/>
      <c r="D1187" s="8"/>
      <c r="E1187" s="8"/>
      <c r="F1187" s="8"/>
      <c r="G1187" s="8"/>
      <c r="H1187" s="8"/>
      <c r="I1187" s="8"/>
      <c r="J1187" s="8"/>
      <c r="K1187" s="8"/>
      <c r="L1187" s="8"/>
      <c r="M1187" s="8"/>
      <c r="N1187" s="8"/>
      <c r="O1187" s="8"/>
      <c r="P1187" s="8"/>
      <c r="Q1187" s="8"/>
      <c r="R1187" s="17"/>
      <c r="S1187" s="17"/>
      <c r="T1187" s="17"/>
      <c r="U1187" s="17"/>
      <c r="V1187" s="17"/>
      <c r="W1187" s="17"/>
      <c r="X1187" s="17"/>
      <c r="Y1187" s="17"/>
      <c r="Z1187" s="17"/>
    </row>
    <row r="1188" spans="1:28" x14ac:dyDescent="0.35">
      <c r="A1188" s="36"/>
      <c r="B1188" s="8"/>
      <c r="C1188" s="7" t="s">
        <v>539</v>
      </c>
      <c r="D1188" s="15" t="s">
        <v>68</v>
      </c>
      <c r="E1188" s="9">
        <f>STATS1003B!E1248/1000</f>
        <v>1575.80124</v>
      </c>
      <c r="F1188" s="9">
        <f>STATS1003B!F1248/1000</f>
        <v>0</v>
      </c>
      <c r="G1188" s="9">
        <f>STATS1003B!G1248/1000</f>
        <v>0</v>
      </c>
      <c r="H1188" s="9">
        <f>STATS1003B!H1248/1000</f>
        <v>0</v>
      </c>
      <c r="I1188" s="9">
        <f>STATS1003B!I1248/1000</f>
        <v>0</v>
      </c>
      <c r="J1188" s="9">
        <f>STATS1003B!J1248/1000</f>
        <v>0</v>
      </c>
      <c r="K1188" s="9">
        <f>STATS1003B!K1248/1000</f>
        <v>1575.80124</v>
      </c>
      <c r="L1188" s="9">
        <f>STATS1003B!L1248/1000</f>
        <v>0</v>
      </c>
      <c r="M1188" s="9">
        <f>STATS1003B!M1248/1000</f>
        <v>0</v>
      </c>
      <c r="N1188" s="9">
        <f>STATS1003B!N1248/1000</f>
        <v>1575.80124</v>
      </c>
      <c r="O1188" s="9">
        <f>STATS1003B!O1248/1000</f>
        <v>0</v>
      </c>
      <c r="P1188" s="9">
        <f>STATS1003B!P1248/1000</f>
        <v>1575.80124</v>
      </c>
      <c r="Q1188" s="9">
        <f>STATS1003B!Q1248/1000</f>
        <v>0</v>
      </c>
      <c r="R1188" s="9">
        <f>STATS1003B!R1248/1000</f>
        <v>0</v>
      </c>
      <c r="S1188" s="9">
        <f>STATS1003B!S1248/1000</f>
        <v>0</v>
      </c>
      <c r="T1188" s="9">
        <f>STATS1003B!T1248/1000</f>
        <v>0</v>
      </c>
      <c r="U1188" s="9">
        <f>STATS1003B!U1248/1000</f>
        <v>1575.80124</v>
      </c>
      <c r="V1188" s="9">
        <f>STATS1003B!V1248/1000</f>
        <v>1575.80124</v>
      </c>
      <c r="W1188" s="9">
        <f>STATS1003B!W1248/1000</f>
        <v>0</v>
      </c>
      <c r="X1188" s="9">
        <f>STATS1003B!X1248/1000</f>
        <v>1575.80124</v>
      </c>
      <c r="Y1188" s="9">
        <f>STATS1003B!Y1248/1000</f>
        <v>0</v>
      </c>
      <c r="Z1188" s="9">
        <f>STATS1003B!Z1248/1000</f>
        <v>0</v>
      </c>
      <c r="AA1188" s="9">
        <f>STATS1003B!AA1248/1000</f>
        <v>1575.80124</v>
      </c>
      <c r="AB1188" s="9">
        <f>STATS1003B!AB1248/1000</f>
        <v>0</v>
      </c>
    </row>
    <row r="1189" spans="1:28" x14ac:dyDescent="0.35">
      <c r="A1189" s="36"/>
      <c r="B1189" s="8"/>
      <c r="C1189" s="7" t="s">
        <v>535</v>
      </c>
      <c r="D1189" s="15" t="s">
        <v>68</v>
      </c>
      <c r="E1189" s="9">
        <f>STATS1003B!E1249/1000</f>
        <v>52.572229999999983</v>
      </c>
      <c r="F1189" s="9">
        <f>STATS1003B!F1249/1000</f>
        <v>0</v>
      </c>
      <c r="G1189" s="9">
        <f>STATS1003B!G1249/1000</f>
        <v>0</v>
      </c>
      <c r="H1189" s="9">
        <f>STATS1003B!H1249/1000</f>
        <v>0</v>
      </c>
      <c r="I1189" s="9">
        <f>STATS1003B!I1249/1000</f>
        <v>0</v>
      </c>
      <c r="J1189" s="9">
        <f>STATS1003B!J1249/1000</f>
        <v>0</v>
      </c>
      <c r="K1189" s="9">
        <f>STATS1003B!K1249/1000</f>
        <v>52.572230000000005</v>
      </c>
      <c r="L1189" s="9">
        <f>STATS1003B!L1249/1000</f>
        <v>0</v>
      </c>
      <c r="M1189" s="9">
        <f>STATS1003B!M1249/1000</f>
        <v>0</v>
      </c>
      <c r="N1189" s="9">
        <f>STATS1003B!N1249/1000</f>
        <v>52.572230000000005</v>
      </c>
      <c r="O1189" s="9">
        <f>STATS1003B!O1249/1000</f>
        <v>0</v>
      </c>
      <c r="P1189" s="9">
        <f>STATS1003B!P1249/1000</f>
        <v>52.572230000000005</v>
      </c>
      <c r="Q1189" s="9">
        <f>STATS1003B!Q1249/1000</f>
        <v>0</v>
      </c>
      <c r="R1189" s="9">
        <f>STATS1003B!R1249/1000</f>
        <v>0</v>
      </c>
      <c r="S1189" s="9">
        <f>STATS1003B!S1249/1000</f>
        <v>0</v>
      </c>
      <c r="T1189" s="9">
        <f>STATS1003B!T1249/1000</f>
        <v>0</v>
      </c>
      <c r="U1189" s="9">
        <f>STATS1003B!U1249/1000</f>
        <v>52.572230000000005</v>
      </c>
      <c r="V1189" s="9">
        <f>STATS1003B!V1249/1000</f>
        <v>52.572230000000005</v>
      </c>
      <c r="W1189" s="9">
        <f>STATS1003B!W1249/1000</f>
        <v>0</v>
      </c>
      <c r="X1189" s="9">
        <f>STATS1003B!X1249/1000</f>
        <v>52.572230000000005</v>
      </c>
      <c r="Y1189" s="9">
        <f>STATS1003B!Y1249/1000</f>
        <v>0</v>
      </c>
      <c r="Z1189" s="9">
        <f>STATS1003B!Z1249/1000</f>
        <v>0</v>
      </c>
      <c r="AA1189" s="9">
        <f>STATS1003B!AA1249/1000</f>
        <v>52.572230000000005</v>
      </c>
      <c r="AB1189" s="9">
        <f>STATS1003B!AB1249/1000</f>
        <v>0</v>
      </c>
    </row>
    <row r="1190" spans="1:28" x14ac:dyDescent="0.35">
      <c r="A1190" s="36"/>
      <c r="B1190" s="8"/>
      <c r="C1190" s="7" t="s">
        <v>686</v>
      </c>
      <c r="D1190" s="15" t="s">
        <v>68</v>
      </c>
      <c r="E1190" s="9">
        <f>STATS1003B!E1250/1000</f>
        <v>3854.78811</v>
      </c>
      <c r="F1190" s="9">
        <f>STATS1003B!F1250/1000</f>
        <v>3854.78811</v>
      </c>
      <c r="G1190" s="9">
        <f>STATS1003B!G1250/1000</f>
        <v>0</v>
      </c>
      <c r="H1190" s="9">
        <f>STATS1003B!H1250/1000</f>
        <v>3854.78811</v>
      </c>
      <c r="I1190" s="9">
        <f>STATS1003B!I1250/1000</f>
        <v>0</v>
      </c>
      <c r="J1190" s="9">
        <f>STATS1003B!J1250/1000</f>
        <v>3854.78811</v>
      </c>
      <c r="K1190" s="9">
        <f>STATS1003B!K1250/1000</f>
        <v>0</v>
      </c>
      <c r="L1190" s="9">
        <f>STATS1003B!L1250/1000</f>
        <v>0</v>
      </c>
      <c r="M1190" s="9">
        <f>STATS1003B!M1250/1000</f>
        <v>3854.78811</v>
      </c>
      <c r="N1190" s="9">
        <f>STATS1003B!N1250/1000</f>
        <v>0</v>
      </c>
      <c r="O1190" s="9">
        <f>STATS1003B!O1250/1000</f>
        <v>0</v>
      </c>
      <c r="P1190" s="9">
        <f>STATS1003B!P1250/1000</f>
        <v>0</v>
      </c>
      <c r="Q1190" s="9">
        <f>STATS1003B!Q1250/1000</f>
        <v>3854.78811</v>
      </c>
      <c r="R1190" s="9">
        <f>STATS1003B!R1250/1000</f>
        <v>0</v>
      </c>
      <c r="S1190" s="9">
        <f>STATS1003B!S1250/1000</f>
        <v>0</v>
      </c>
      <c r="T1190" s="9">
        <f>STATS1003B!T1250/1000</f>
        <v>0</v>
      </c>
      <c r="U1190" s="9">
        <f>STATS1003B!U1250/1000</f>
        <v>0</v>
      </c>
      <c r="V1190" s="9">
        <f>STATS1003B!V1250/1000</f>
        <v>3854.78811</v>
      </c>
      <c r="W1190" s="9">
        <f>STATS1003B!W1250/1000</f>
        <v>0</v>
      </c>
      <c r="X1190" s="9">
        <f>STATS1003B!X1250/1000</f>
        <v>3854.78811</v>
      </c>
      <c r="Y1190" s="9">
        <f>STATS1003B!Y1250/1000</f>
        <v>0</v>
      </c>
      <c r="Z1190" s="9">
        <f>STATS1003B!Z1250/1000</f>
        <v>0</v>
      </c>
      <c r="AA1190" s="9">
        <f>STATS1003B!AA1250/1000</f>
        <v>3854.78811</v>
      </c>
      <c r="AB1190" s="9">
        <f>STATS1003B!AB1250/1000</f>
        <v>0</v>
      </c>
    </row>
    <row r="1191" spans="1:28" x14ac:dyDescent="0.35">
      <c r="A1191" s="36"/>
      <c r="B1191" s="8"/>
      <c r="C1191" s="7" t="s">
        <v>604</v>
      </c>
      <c r="D1191" s="15" t="s">
        <v>68</v>
      </c>
      <c r="E1191" s="9">
        <f>STATS1003B!E1251/1000</f>
        <v>340</v>
      </c>
      <c r="F1191" s="9">
        <f>STATS1003B!F1251/1000</f>
        <v>340</v>
      </c>
      <c r="G1191" s="9">
        <f>STATS1003B!G1251/1000</f>
        <v>0</v>
      </c>
      <c r="H1191" s="9">
        <f>STATS1003B!H1251/1000</f>
        <v>340</v>
      </c>
      <c r="I1191" s="9">
        <f>STATS1003B!I1251/1000</f>
        <v>0</v>
      </c>
      <c r="J1191" s="9">
        <f>STATS1003B!J1251/1000</f>
        <v>340</v>
      </c>
      <c r="K1191" s="9">
        <f>STATS1003B!K1251/1000</f>
        <v>0</v>
      </c>
      <c r="L1191" s="9">
        <f>STATS1003B!L1251/1000</f>
        <v>0</v>
      </c>
      <c r="M1191" s="9">
        <f>STATS1003B!M1251/1000</f>
        <v>340</v>
      </c>
      <c r="N1191" s="9">
        <f>STATS1003B!N1251/1000</f>
        <v>0</v>
      </c>
      <c r="O1191" s="9">
        <f>STATS1003B!O1251/1000</f>
        <v>0</v>
      </c>
      <c r="P1191" s="9">
        <f>STATS1003B!P1251/1000</f>
        <v>0</v>
      </c>
      <c r="Q1191" s="9">
        <f>STATS1003B!Q1251/1000</f>
        <v>340</v>
      </c>
      <c r="R1191" s="9">
        <f>STATS1003B!R1251/1000</f>
        <v>0</v>
      </c>
      <c r="S1191" s="9">
        <f>STATS1003B!S1251/1000</f>
        <v>0</v>
      </c>
      <c r="T1191" s="9">
        <f>STATS1003B!T1251/1000</f>
        <v>0</v>
      </c>
      <c r="U1191" s="9">
        <f>STATS1003B!U1251/1000</f>
        <v>0</v>
      </c>
      <c r="V1191" s="9">
        <f>STATS1003B!V1251/1000</f>
        <v>340</v>
      </c>
      <c r="W1191" s="9">
        <f>STATS1003B!W1251/1000</f>
        <v>0</v>
      </c>
      <c r="X1191" s="9">
        <f>STATS1003B!X1251/1000</f>
        <v>340</v>
      </c>
      <c r="Y1191" s="9">
        <f>STATS1003B!Y1251/1000</f>
        <v>0</v>
      </c>
      <c r="Z1191" s="9">
        <f>STATS1003B!Z1251/1000</f>
        <v>0</v>
      </c>
      <c r="AA1191" s="9">
        <f>STATS1003B!AA1251/1000</f>
        <v>340</v>
      </c>
      <c r="AB1191" s="9">
        <f>STATS1003B!AB1251/1000</f>
        <v>0</v>
      </c>
    </row>
    <row r="1192" spans="1:28" x14ac:dyDescent="0.35">
      <c r="A1192" s="36"/>
      <c r="B1192" s="8"/>
      <c r="C1192" s="7" t="s">
        <v>535</v>
      </c>
      <c r="D1192" s="15" t="s">
        <v>54</v>
      </c>
      <c r="E1192" s="9">
        <f>STATS1003B!E1252/1000</f>
        <v>285</v>
      </c>
      <c r="F1192" s="9">
        <f>STATS1003B!F1252/1000</f>
        <v>285</v>
      </c>
      <c r="G1192" s="9">
        <f>STATS1003B!G1252/1000</f>
        <v>0</v>
      </c>
      <c r="H1192" s="9">
        <f>STATS1003B!H1252/1000</f>
        <v>285</v>
      </c>
      <c r="I1192" s="9">
        <f>STATS1003B!I1252/1000</f>
        <v>0</v>
      </c>
      <c r="J1192" s="9">
        <f>STATS1003B!J1252/1000</f>
        <v>285</v>
      </c>
      <c r="K1192" s="9">
        <f>STATS1003B!K1252/1000</f>
        <v>0</v>
      </c>
      <c r="L1192" s="9">
        <f>STATS1003B!L1252/1000</f>
        <v>0</v>
      </c>
      <c r="M1192" s="9">
        <f>STATS1003B!M1252/1000</f>
        <v>285</v>
      </c>
      <c r="N1192" s="9">
        <f>STATS1003B!N1252/1000</f>
        <v>0</v>
      </c>
      <c r="O1192" s="9">
        <f>STATS1003B!O1252/1000</f>
        <v>0</v>
      </c>
      <c r="P1192" s="9">
        <f>STATS1003B!P1252/1000</f>
        <v>0</v>
      </c>
      <c r="Q1192" s="9">
        <f>STATS1003B!Q1252/1000</f>
        <v>285</v>
      </c>
      <c r="R1192" s="9">
        <f>STATS1003B!R1252/1000</f>
        <v>0</v>
      </c>
      <c r="S1192" s="9">
        <f>STATS1003B!S1252/1000</f>
        <v>0</v>
      </c>
      <c r="T1192" s="9">
        <f>STATS1003B!T1252/1000</f>
        <v>0</v>
      </c>
      <c r="U1192" s="9">
        <f>STATS1003B!U1252/1000</f>
        <v>0</v>
      </c>
      <c r="V1192" s="9">
        <f>STATS1003B!V1252/1000</f>
        <v>285</v>
      </c>
      <c r="W1192" s="9">
        <f>STATS1003B!W1252/1000</f>
        <v>0</v>
      </c>
      <c r="X1192" s="9">
        <f>STATS1003B!X1252/1000</f>
        <v>285</v>
      </c>
      <c r="Y1192" s="9">
        <f>STATS1003B!Y1252/1000</f>
        <v>0</v>
      </c>
      <c r="Z1192" s="9">
        <f>STATS1003B!Z1252/1000</f>
        <v>0</v>
      </c>
      <c r="AA1192" s="9">
        <f>STATS1003B!AA1252/1000</f>
        <v>285</v>
      </c>
      <c r="AB1192" s="9">
        <f>STATS1003B!AB1252/1000</f>
        <v>0</v>
      </c>
    </row>
    <row r="1193" spans="1:28" x14ac:dyDescent="0.35">
      <c r="A1193" s="36"/>
      <c r="B1193" s="8"/>
      <c r="C1193" s="7" t="s">
        <v>545</v>
      </c>
      <c r="D1193" s="15" t="s">
        <v>54</v>
      </c>
      <c r="E1193" s="9">
        <f>STATS1003B!E1253/1000</f>
        <v>2306.1060000000002</v>
      </c>
      <c r="F1193" s="9">
        <f>STATS1003B!F1253/1000</f>
        <v>0</v>
      </c>
      <c r="G1193" s="9">
        <f>STATS1003B!G1253/1000</f>
        <v>0</v>
      </c>
      <c r="H1193" s="9">
        <f>STATS1003B!H1253/1000</f>
        <v>0</v>
      </c>
      <c r="I1193" s="9">
        <f>STATS1003B!I1253/1000</f>
        <v>0</v>
      </c>
      <c r="J1193" s="9">
        <f>STATS1003B!J1253/1000</f>
        <v>0</v>
      </c>
      <c r="K1193" s="9">
        <f>STATS1003B!K1253/1000</f>
        <v>2306.1060000000002</v>
      </c>
      <c r="L1193" s="9">
        <f>STATS1003B!L1253/1000</f>
        <v>0</v>
      </c>
      <c r="M1193" s="9">
        <f>STATS1003B!M1253/1000</f>
        <v>0</v>
      </c>
      <c r="N1193" s="9">
        <f>STATS1003B!N1253/1000</f>
        <v>2306.1060000000002</v>
      </c>
      <c r="O1193" s="9">
        <f>STATS1003B!O1253/1000</f>
        <v>0</v>
      </c>
      <c r="P1193" s="9">
        <f>STATS1003B!P1253/1000</f>
        <v>2306.1060000000002</v>
      </c>
      <c r="Q1193" s="9">
        <f>STATS1003B!Q1253/1000</f>
        <v>0</v>
      </c>
      <c r="R1193" s="9">
        <f>STATS1003B!R1253/1000</f>
        <v>0</v>
      </c>
      <c r="S1193" s="9">
        <f>STATS1003B!S1253/1000</f>
        <v>0</v>
      </c>
      <c r="T1193" s="9">
        <f>STATS1003B!T1253/1000</f>
        <v>0</v>
      </c>
      <c r="U1193" s="9">
        <f>STATS1003B!U1253/1000</f>
        <v>2306.1060000000002</v>
      </c>
      <c r="V1193" s="9">
        <f>STATS1003B!V1253/1000</f>
        <v>2306.1060000000002</v>
      </c>
      <c r="W1193" s="9">
        <f>STATS1003B!W1253/1000</f>
        <v>0</v>
      </c>
      <c r="X1193" s="9">
        <f>STATS1003B!X1253/1000</f>
        <v>2306.1060000000002</v>
      </c>
      <c r="Y1193" s="9">
        <f>STATS1003B!Y1253/1000</f>
        <v>0</v>
      </c>
      <c r="Z1193" s="9">
        <f>STATS1003B!Z1253/1000</f>
        <v>0</v>
      </c>
      <c r="AA1193" s="9">
        <f>STATS1003B!AA1253/1000</f>
        <v>2306.1060000000002</v>
      </c>
      <c r="AB1193" s="9">
        <f>STATS1003B!AB1253/1000</f>
        <v>0</v>
      </c>
    </row>
    <row r="1194" spans="1:28" x14ac:dyDescent="0.35">
      <c r="A1194" s="36"/>
      <c r="B1194" s="8"/>
      <c r="C1194" s="7" t="s">
        <v>655</v>
      </c>
      <c r="D1194" s="15" t="s">
        <v>54</v>
      </c>
      <c r="E1194" s="9">
        <f>STATS1003B!E1254/1000</f>
        <v>955.34561999999994</v>
      </c>
      <c r="F1194" s="9">
        <f>STATS1003B!F1254/1000</f>
        <v>0</v>
      </c>
      <c r="G1194" s="9">
        <f>STATS1003B!G1254/1000</f>
        <v>0</v>
      </c>
      <c r="H1194" s="9">
        <f>STATS1003B!H1254/1000</f>
        <v>0</v>
      </c>
      <c r="I1194" s="9">
        <f>STATS1003B!I1254/1000</f>
        <v>0</v>
      </c>
      <c r="J1194" s="9">
        <f>STATS1003B!J1254/1000</f>
        <v>0</v>
      </c>
      <c r="K1194" s="9">
        <f>STATS1003B!K1254/1000</f>
        <v>955.34561999999994</v>
      </c>
      <c r="L1194" s="9">
        <f>STATS1003B!L1254/1000</f>
        <v>0</v>
      </c>
      <c r="M1194" s="9">
        <f>STATS1003B!M1254/1000</f>
        <v>0</v>
      </c>
      <c r="N1194" s="9">
        <f>STATS1003B!N1254/1000</f>
        <v>955.34561999999994</v>
      </c>
      <c r="O1194" s="9">
        <f>STATS1003B!O1254/1000</f>
        <v>0</v>
      </c>
      <c r="P1194" s="9">
        <f>STATS1003B!P1254/1000</f>
        <v>955.34561999999994</v>
      </c>
      <c r="Q1194" s="9">
        <f>STATS1003B!Q1254/1000</f>
        <v>0</v>
      </c>
      <c r="R1194" s="9">
        <f>STATS1003B!R1254/1000</f>
        <v>0</v>
      </c>
      <c r="S1194" s="9">
        <f>STATS1003B!S1254/1000</f>
        <v>0</v>
      </c>
      <c r="T1194" s="9">
        <f>STATS1003B!T1254/1000</f>
        <v>0</v>
      </c>
      <c r="U1194" s="9">
        <f>STATS1003B!U1254/1000</f>
        <v>955.34561999999994</v>
      </c>
      <c r="V1194" s="9">
        <f>STATS1003B!V1254/1000</f>
        <v>955.34561999999994</v>
      </c>
      <c r="W1194" s="9">
        <f>STATS1003B!W1254/1000</f>
        <v>0</v>
      </c>
      <c r="X1194" s="9">
        <f>STATS1003B!X1254/1000</f>
        <v>955.34561999999994</v>
      </c>
      <c r="Y1194" s="9">
        <f>STATS1003B!Y1254/1000</f>
        <v>0</v>
      </c>
      <c r="Z1194" s="9">
        <f>STATS1003B!Z1254/1000</f>
        <v>0</v>
      </c>
      <c r="AA1194" s="9">
        <f>STATS1003B!AA1254/1000</f>
        <v>955.34561999999994</v>
      </c>
      <c r="AB1194" s="9">
        <f>STATS1003B!AB1254/1000</f>
        <v>0</v>
      </c>
    </row>
    <row r="1195" spans="1:28" x14ac:dyDescent="0.35">
      <c r="A1195" s="36"/>
      <c r="B1195" s="8"/>
      <c r="C1195" s="7" t="s">
        <v>687</v>
      </c>
      <c r="D1195" s="15" t="s">
        <v>85</v>
      </c>
      <c r="E1195" s="9">
        <f>STATS1003B!E1255/1000</f>
        <v>100</v>
      </c>
      <c r="F1195" s="9">
        <f>STATS1003B!F1255/1000</f>
        <v>100</v>
      </c>
      <c r="G1195" s="9">
        <f>STATS1003B!G1255/1000</f>
        <v>0</v>
      </c>
      <c r="H1195" s="9">
        <f>STATS1003B!H1255/1000</f>
        <v>100</v>
      </c>
      <c r="I1195" s="9">
        <f>STATS1003B!I1255/1000</f>
        <v>0</v>
      </c>
      <c r="J1195" s="9">
        <f>STATS1003B!J1255/1000</f>
        <v>100</v>
      </c>
      <c r="K1195" s="9">
        <f>STATS1003B!K1255/1000</f>
        <v>0</v>
      </c>
      <c r="L1195" s="9">
        <f>STATS1003B!L1255/1000</f>
        <v>0</v>
      </c>
      <c r="M1195" s="9">
        <f>STATS1003B!M1255/1000</f>
        <v>100</v>
      </c>
      <c r="N1195" s="9">
        <f>STATS1003B!N1255/1000</f>
        <v>0</v>
      </c>
      <c r="O1195" s="9">
        <f>STATS1003B!O1255/1000</f>
        <v>0</v>
      </c>
      <c r="P1195" s="9">
        <f>STATS1003B!P1255/1000</f>
        <v>0</v>
      </c>
      <c r="Q1195" s="9">
        <f>STATS1003B!Q1255/1000</f>
        <v>100</v>
      </c>
      <c r="R1195" s="9">
        <f>STATS1003B!R1255/1000</f>
        <v>0</v>
      </c>
      <c r="S1195" s="9">
        <f>STATS1003B!S1255/1000</f>
        <v>0</v>
      </c>
      <c r="T1195" s="9">
        <f>STATS1003B!T1255/1000</f>
        <v>0</v>
      </c>
      <c r="U1195" s="9">
        <f>STATS1003B!U1255/1000</f>
        <v>0</v>
      </c>
      <c r="V1195" s="9">
        <f>STATS1003B!V1255/1000</f>
        <v>100</v>
      </c>
      <c r="W1195" s="9">
        <f>STATS1003B!W1255/1000</f>
        <v>0</v>
      </c>
      <c r="X1195" s="9">
        <f>STATS1003B!X1255/1000</f>
        <v>100</v>
      </c>
      <c r="Y1195" s="9">
        <f>STATS1003B!Y1255/1000</f>
        <v>0</v>
      </c>
      <c r="Z1195" s="9">
        <f>STATS1003B!Z1255/1000</f>
        <v>0</v>
      </c>
      <c r="AA1195" s="9">
        <f>STATS1003B!AA1255/1000</f>
        <v>100</v>
      </c>
      <c r="AB1195" s="9">
        <f>STATS1003B!AB1255/1000</f>
        <v>0</v>
      </c>
    </row>
    <row r="1196" spans="1:28" x14ac:dyDescent="0.35">
      <c r="A1196" s="36"/>
      <c r="B1196" s="7" t="s">
        <v>688</v>
      </c>
      <c r="C1196" s="8"/>
      <c r="D1196" s="8"/>
      <c r="E1196" s="9">
        <f>STATS1003B!E1256/1000</f>
        <v>400</v>
      </c>
      <c r="F1196" s="9">
        <f>STATS1003B!F1256/1000</f>
        <v>400</v>
      </c>
      <c r="G1196" s="9">
        <f>STATS1003B!G1256/1000</f>
        <v>0</v>
      </c>
      <c r="H1196" s="9">
        <f>STATS1003B!H1256/1000</f>
        <v>400</v>
      </c>
      <c r="I1196" s="9">
        <f>STATS1003B!I1256/1000</f>
        <v>0</v>
      </c>
      <c r="J1196" s="9">
        <f>STATS1003B!J1256/1000</f>
        <v>400</v>
      </c>
      <c r="K1196" s="9">
        <f>STATS1003B!K1256/1000</f>
        <v>0</v>
      </c>
      <c r="L1196" s="9">
        <f>STATS1003B!L1256/1000</f>
        <v>0</v>
      </c>
      <c r="M1196" s="9">
        <f>STATS1003B!M1256/1000</f>
        <v>400</v>
      </c>
      <c r="N1196" s="9">
        <f>STATS1003B!N1256/1000</f>
        <v>0</v>
      </c>
      <c r="O1196" s="9">
        <f>STATS1003B!O1256/1000</f>
        <v>0</v>
      </c>
      <c r="P1196" s="9">
        <f>STATS1003B!P1256/1000</f>
        <v>0</v>
      </c>
      <c r="Q1196" s="9">
        <f>STATS1003B!Q1256/1000</f>
        <v>400</v>
      </c>
      <c r="R1196" s="9">
        <f>STATS1003B!R1256/1000</f>
        <v>0</v>
      </c>
      <c r="S1196" s="9">
        <f>STATS1003B!S1256/1000</f>
        <v>0</v>
      </c>
      <c r="T1196" s="9">
        <f>STATS1003B!T1256/1000</f>
        <v>0</v>
      </c>
      <c r="U1196" s="9">
        <f>STATS1003B!U1256/1000</f>
        <v>0</v>
      </c>
      <c r="V1196" s="9">
        <f>STATS1003B!V1256/1000</f>
        <v>400</v>
      </c>
      <c r="W1196" s="9">
        <f>STATS1003B!W1256/1000</f>
        <v>0</v>
      </c>
      <c r="X1196" s="9">
        <f>STATS1003B!X1256/1000</f>
        <v>400</v>
      </c>
      <c r="Y1196" s="9">
        <f>STATS1003B!Y1256/1000</f>
        <v>0</v>
      </c>
      <c r="Z1196" s="9">
        <f>STATS1003B!Z1256/1000</f>
        <v>0</v>
      </c>
      <c r="AA1196" s="9">
        <f>STATS1003B!AA1256/1000</f>
        <v>400</v>
      </c>
      <c r="AB1196" s="9">
        <f>STATS1003B!AB1256/1000</f>
        <v>0</v>
      </c>
    </row>
    <row r="1197" spans="1:28" x14ac:dyDescent="0.35">
      <c r="A1197" s="36"/>
      <c r="B1197" s="7" t="s">
        <v>688</v>
      </c>
      <c r="C1197" s="8"/>
      <c r="D1197" s="8"/>
      <c r="E1197" s="9">
        <f>STATS1003B!E1257/1000</f>
        <v>0</v>
      </c>
      <c r="F1197" s="9">
        <f>STATS1003B!F1257/1000</f>
        <v>0</v>
      </c>
      <c r="G1197" s="9">
        <f>STATS1003B!G1257/1000</f>
        <v>0</v>
      </c>
      <c r="H1197" s="9">
        <f>STATS1003B!H1257/1000</f>
        <v>0</v>
      </c>
      <c r="I1197" s="9">
        <f>STATS1003B!I1257/1000</f>
        <v>0</v>
      </c>
      <c r="J1197" s="9">
        <f>STATS1003B!J1257/1000</f>
        <v>0</v>
      </c>
      <c r="K1197" s="9">
        <f>STATS1003B!K1257/1000</f>
        <v>0</v>
      </c>
      <c r="L1197" s="9">
        <f>STATS1003B!L1257/1000</f>
        <v>0</v>
      </c>
      <c r="M1197" s="9">
        <f>STATS1003B!M1257/1000</f>
        <v>0</v>
      </c>
      <c r="N1197" s="9">
        <f>STATS1003B!N1257/1000</f>
        <v>0</v>
      </c>
      <c r="O1197" s="9">
        <f>STATS1003B!O1257/1000</f>
        <v>0</v>
      </c>
      <c r="P1197" s="9">
        <f>STATS1003B!P1257/1000</f>
        <v>0</v>
      </c>
      <c r="Q1197" s="9">
        <f>STATS1003B!Q1257/1000</f>
        <v>0</v>
      </c>
      <c r="R1197" s="9">
        <f>STATS1003B!R1257/1000</f>
        <v>0</v>
      </c>
      <c r="S1197" s="9">
        <f>STATS1003B!S1257/1000</f>
        <v>0</v>
      </c>
      <c r="T1197" s="9">
        <f>STATS1003B!T1257/1000</f>
        <v>0</v>
      </c>
      <c r="U1197" s="9">
        <f>STATS1003B!U1257/1000</f>
        <v>0</v>
      </c>
      <c r="V1197" s="9">
        <f>STATS1003B!V1257/1000</f>
        <v>0</v>
      </c>
      <c r="W1197" s="9">
        <f>STATS1003B!W1257/1000</f>
        <v>0</v>
      </c>
      <c r="X1197" s="9">
        <f>STATS1003B!X1257/1000</f>
        <v>0</v>
      </c>
      <c r="Y1197" s="9">
        <f>STATS1003B!Y1257/1000</f>
        <v>0</v>
      </c>
      <c r="Z1197" s="9">
        <f>STATS1003B!Z1257/1000</f>
        <v>0</v>
      </c>
      <c r="AA1197" s="9">
        <f>STATS1003B!AA1257/1000</f>
        <v>0</v>
      </c>
      <c r="AB1197" s="9">
        <f>STATS1003B!AB1257/1000</f>
        <v>0</v>
      </c>
    </row>
    <row r="1198" spans="1:28" x14ac:dyDescent="0.35">
      <c r="A1198" s="36"/>
      <c r="B1198" s="8"/>
      <c r="C1198" s="7" t="s">
        <v>535</v>
      </c>
      <c r="D1198" s="15" t="s">
        <v>88</v>
      </c>
      <c r="E1198" s="9">
        <f>STATS1003B!E1258/1000</f>
        <v>3036.3992899999998</v>
      </c>
      <c r="F1198" s="9">
        <f>STATS1003B!F1258/1000</f>
        <v>3036.3992899999998</v>
      </c>
      <c r="G1198" s="9">
        <f>STATS1003B!G1258/1000</f>
        <v>0</v>
      </c>
      <c r="H1198" s="9">
        <f>STATS1003B!H1258/1000</f>
        <v>3036.3992899999998</v>
      </c>
      <c r="I1198" s="9">
        <f>STATS1003B!I1258/1000</f>
        <v>0</v>
      </c>
      <c r="J1198" s="9">
        <f>STATS1003B!J1258/1000</f>
        <v>3036.3992899999998</v>
      </c>
      <c r="K1198" s="9">
        <f>STATS1003B!K1258/1000</f>
        <v>0</v>
      </c>
      <c r="L1198" s="9">
        <f>STATS1003B!L1258/1000</f>
        <v>0</v>
      </c>
      <c r="M1198" s="9">
        <f>STATS1003B!M1258/1000</f>
        <v>3036.3992899999998</v>
      </c>
      <c r="N1198" s="9">
        <f>STATS1003B!N1258/1000</f>
        <v>0</v>
      </c>
      <c r="O1198" s="9">
        <f>STATS1003B!O1258/1000</f>
        <v>0</v>
      </c>
      <c r="P1198" s="9">
        <f>STATS1003B!P1258/1000</f>
        <v>0</v>
      </c>
      <c r="Q1198" s="9">
        <f>STATS1003B!Q1258/1000</f>
        <v>3036.3992899999998</v>
      </c>
      <c r="R1198" s="9">
        <f>STATS1003B!R1258/1000</f>
        <v>0</v>
      </c>
      <c r="S1198" s="9">
        <f>STATS1003B!S1258/1000</f>
        <v>0</v>
      </c>
      <c r="T1198" s="9">
        <f>STATS1003B!T1258/1000</f>
        <v>0</v>
      </c>
      <c r="U1198" s="9">
        <f>STATS1003B!U1258/1000</f>
        <v>0</v>
      </c>
      <c r="V1198" s="9">
        <f>STATS1003B!V1258/1000</f>
        <v>3036.3992899999998</v>
      </c>
      <c r="W1198" s="9">
        <f>STATS1003B!W1258/1000</f>
        <v>0</v>
      </c>
      <c r="X1198" s="9">
        <f>STATS1003B!X1258/1000</f>
        <v>3036.3992899999998</v>
      </c>
      <c r="Y1198" s="9">
        <f>STATS1003B!Y1258/1000</f>
        <v>0</v>
      </c>
      <c r="Z1198" s="9">
        <f>STATS1003B!Z1258/1000</f>
        <v>0</v>
      </c>
      <c r="AA1198" s="9">
        <f>STATS1003B!AA1258/1000</f>
        <v>3036.3992899999998</v>
      </c>
      <c r="AB1198" s="9">
        <f>STATS1003B!AB1258/1000</f>
        <v>0</v>
      </c>
    </row>
    <row r="1199" spans="1:28" x14ac:dyDescent="0.35">
      <c r="A1199" s="36"/>
      <c r="B1199" s="7" t="s">
        <v>642</v>
      </c>
      <c r="C1199" s="7" t="s">
        <v>535</v>
      </c>
      <c r="D1199" s="15" t="s">
        <v>108</v>
      </c>
      <c r="E1199" s="9">
        <f>STATS1003B!E1259/1000</f>
        <v>1517.4739999999999</v>
      </c>
      <c r="F1199" s="9">
        <f>STATS1003B!F1259/1000</f>
        <v>1517.4739999999999</v>
      </c>
      <c r="G1199" s="9">
        <f>STATS1003B!G1259/1000</f>
        <v>0</v>
      </c>
      <c r="H1199" s="9">
        <f>STATS1003B!H1259/1000</f>
        <v>1517.4739999999999</v>
      </c>
      <c r="I1199" s="9">
        <f>STATS1003B!I1259/1000</f>
        <v>0</v>
      </c>
      <c r="J1199" s="9">
        <f>STATS1003B!J1259/1000</f>
        <v>1517.4739999999999</v>
      </c>
      <c r="K1199" s="9">
        <f>STATS1003B!K1259/1000</f>
        <v>0</v>
      </c>
      <c r="L1199" s="9">
        <f>STATS1003B!L1259/1000</f>
        <v>0</v>
      </c>
      <c r="M1199" s="9">
        <f>STATS1003B!M1259/1000</f>
        <v>1517.4739999999999</v>
      </c>
      <c r="N1199" s="9">
        <f>STATS1003B!N1259/1000</f>
        <v>0</v>
      </c>
      <c r="O1199" s="9">
        <f>STATS1003B!O1259/1000</f>
        <v>0</v>
      </c>
      <c r="P1199" s="9">
        <f>STATS1003B!P1259/1000</f>
        <v>0</v>
      </c>
      <c r="Q1199" s="9">
        <f>STATS1003B!Q1259/1000</f>
        <v>1517.4739999999999</v>
      </c>
      <c r="R1199" s="9">
        <f>STATS1003B!R1259/1000</f>
        <v>0</v>
      </c>
      <c r="S1199" s="9">
        <f>STATS1003B!S1259/1000</f>
        <v>0</v>
      </c>
      <c r="T1199" s="9">
        <f>STATS1003B!T1259/1000</f>
        <v>0</v>
      </c>
      <c r="U1199" s="9">
        <f>STATS1003B!U1259/1000</f>
        <v>0</v>
      </c>
      <c r="V1199" s="9">
        <f>STATS1003B!V1259/1000</f>
        <v>1517.4739999999999</v>
      </c>
      <c r="W1199" s="9">
        <f>STATS1003B!W1259/1000</f>
        <v>0</v>
      </c>
      <c r="X1199" s="9">
        <f>STATS1003B!X1259/1000</f>
        <v>1517.4739999999999</v>
      </c>
      <c r="Y1199" s="9">
        <f>STATS1003B!Y1259/1000</f>
        <v>0</v>
      </c>
      <c r="Z1199" s="9">
        <f>STATS1003B!Z1259/1000</f>
        <v>0</v>
      </c>
      <c r="AA1199" s="9">
        <f>STATS1003B!AA1259/1000</f>
        <v>1517.4739999999999</v>
      </c>
      <c r="AB1199" s="9">
        <f>STATS1003B!AB1259/1000</f>
        <v>0</v>
      </c>
    </row>
    <row r="1200" spans="1:28" x14ac:dyDescent="0.35">
      <c r="A1200" s="36"/>
      <c r="B1200" s="8"/>
      <c r="C1200" s="7" t="s">
        <v>535</v>
      </c>
      <c r="D1200" s="15" t="s">
        <v>108</v>
      </c>
      <c r="E1200" s="9">
        <f>STATS1003B!E1260/1000</f>
        <v>10685.838689999999</v>
      </c>
      <c r="F1200" s="9">
        <f>STATS1003B!F1260/1000</f>
        <v>10685.838689999999</v>
      </c>
      <c r="G1200" s="9">
        <f>STATS1003B!G1260/1000</f>
        <v>0</v>
      </c>
      <c r="H1200" s="9">
        <f>STATS1003B!H1260/1000</f>
        <v>10685.838689999999</v>
      </c>
      <c r="I1200" s="9">
        <f>STATS1003B!I1260/1000</f>
        <v>0</v>
      </c>
      <c r="J1200" s="9">
        <f>STATS1003B!J1260/1000</f>
        <v>10685.838689999999</v>
      </c>
      <c r="K1200" s="9">
        <f>STATS1003B!K1260/1000</f>
        <v>0</v>
      </c>
      <c r="L1200" s="9">
        <f>STATS1003B!L1260/1000</f>
        <v>0</v>
      </c>
      <c r="M1200" s="9">
        <f>STATS1003B!M1260/1000</f>
        <v>10685.838689999999</v>
      </c>
      <c r="N1200" s="9">
        <f>STATS1003B!N1260/1000</f>
        <v>0</v>
      </c>
      <c r="O1200" s="9">
        <f>STATS1003B!O1260/1000</f>
        <v>0</v>
      </c>
      <c r="P1200" s="9">
        <f>STATS1003B!P1260/1000</f>
        <v>0</v>
      </c>
      <c r="Q1200" s="9">
        <f>STATS1003B!Q1260/1000</f>
        <v>10685.838689999999</v>
      </c>
      <c r="R1200" s="9">
        <f>STATS1003B!R1260/1000</f>
        <v>0</v>
      </c>
      <c r="S1200" s="9">
        <f>STATS1003B!S1260/1000</f>
        <v>0</v>
      </c>
      <c r="T1200" s="9">
        <f>STATS1003B!T1260/1000</f>
        <v>0</v>
      </c>
      <c r="U1200" s="9">
        <f>STATS1003B!U1260/1000</f>
        <v>0</v>
      </c>
      <c r="V1200" s="9">
        <f>STATS1003B!V1260/1000</f>
        <v>10685.838689999999</v>
      </c>
      <c r="W1200" s="9">
        <f>STATS1003B!W1260/1000</f>
        <v>0</v>
      </c>
      <c r="X1200" s="9">
        <f>STATS1003B!X1260/1000</f>
        <v>10685.838689999999</v>
      </c>
      <c r="Y1200" s="9">
        <f>STATS1003B!Y1260/1000</f>
        <v>0</v>
      </c>
      <c r="Z1200" s="9">
        <f>STATS1003B!Z1260/1000</f>
        <v>0</v>
      </c>
      <c r="AA1200" s="9">
        <f>STATS1003B!AA1260/1000</f>
        <v>10685.838689999999</v>
      </c>
      <c r="AB1200" s="9">
        <f>STATS1003B!AB1260/1000</f>
        <v>0</v>
      </c>
    </row>
    <row r="1201" spans="1:28" x14ac:dyDescent="0.35">
      <c r="A1201" s="36"/>
      <c r="B1201" s="8"/>
      <c r="C1201" s="7" t="s">
        <v>535</v>
      </c>
      <c r="D1201" s="15" t="s">
        <v>58</v>
      </c>
      <c r="E1201" s="9">
        <f>STATS1003B!E1261/1000</f>
        <v>6684.8990000000003</v>
      </c>
      <c r="F1201" s="9">
        <f>STATS1003B!F1261/1000</f>
        <v>6684.8990000000003</v>
      </c>
      <c r="G1201" s="9">
        <f>STATS1003B!G1261/1000</f>
        <v>0</v>
      </c>
      <c r="H1201" s="9">
        <f>STATS1003B!H1261/1000</f>
        <v>6684.8990000000003</v>
      </c>
      <c r="I1201" s="9">
        <f>STATS1003B!I1261/1000</f>
        <v>0</v>
      </c>
      <c r="J1201" s="9">
        <f>STATS1003B!J1261/1000</f>
        <v>6684.8990000000003</v>
      </c>
      <c r="K1201" s="9">
        <f>STATS1003B!K1261/1000</f>
        <v>0</v>
      </c>
      <c r="L1201" s="9">
        <f>STATS1003B!L1261/1000</f>
        <v>0</v>
      </c>
      <c r="M1201" s="9">
        <f>STATS1003B!M1261/1000</f>
        <v>6684.8990000000003</v>
      </c>
      <c r="N1201" s="9">
        <f>STATS1003B!N1261/1000</f>
        <v>0</v>
      </c>
      <c r="O1201" s="9">
        <f>STATS1003B!O1261/1000</f>
        <v>0</v>
      </c>
      <c r="P1201" s="9">
        <f>STATS1003B!P1261/1000</f>
        <v>0</v>
      </c>
      <c r="Q1201" s="9">
        <f>STATS1003B!Q1261/1000</f>
        <v>6684.8990000000003</v>
      </c>
      <c r="R1201" s="9">
        <f>STATS1003B!R1261/1000</f>
        <v>0</v>
      </c>
      <c r="S1201" s="9">
        <f>STATS1003B!S1261/1000</f>
        <v>0</v>
      </c>
      <c r="T1201" s="9">
        <f>STATS1003B!T1261/1000</f>
        <v>0</v>
      </c>
      <c r="U1201" s="9">
        <f>STATS1003B!U1261/1000</f>
        <v>0</v>
      </c>
      <c r="V1201" s="9">
        <f>STATS1003B!V1261/1000</f>
        <v>6684.8990000000003</v>
      </c>
      <c r="W1201" s="9">
        <f>STATS1003B!W1261/1000</f>
        <v>0</v>
      </c>
      <c r="X1201" s="9">
        <f>STATS1003B!X1261/1000</f>
        <v>6684.8990000000003</v>
      </c>
      <c r="Y1201" s="9">
        <f>STATS1003B!Y1261/1000</f>
        <v>0</v>
      </c>
      <c r="Z1201" s="9">
        <f>STATS1003B!Z1261/1000</f>
        <v>0</v>
      </c>
      <c r="AA1201" s="9">
        <f>STATS1003B!AA1261/1000</f>
        <v>6684.8990000000003</v>
      </c>
      <c r="AB1201" s="9">
        <f>STATS1003B!AB1261/1000</f>
        <v>0</v>
      </c>
    </row>
    <row r="1202" spans="1:28" x14ac:dyDescent="0.35">
      <c r="A1202" s="36"/>
      <c r="B1202" s="8"/>
      <c r="C1202" s="7" t="s">
        <v>535</v>
      </c>
      <c r="D1202" s="15" t="s">
        <v>60</v>
      </c>
      <c r="E1202" s="9">
        <f>STATS1003B!E1262/1000</f>
        <v>746.75</v>
      </c>
      <c r="F1202" s="9">
        <f>STATS1003B!F1262/1000</f>
        <v>746.75</v>
      </c>
      <c r="G1202" s="9">
        <f>STATS1003B!G1262/1000</f>
        <v>0</v>
      </c>
      <c r="H1202" s="9">
        <f>STATS1003B!H1262/1000</f>
        <v>746.75</v>
      </c>
      <c r="I1202" s="9">
        <f>STATS1003B!I1262/1000</f>
        <v>0</v>
      </c>
      <c r="J1202" s="9">
        <f>STATS1003B!J1262/1000</f>
        <v>746.75</v>
      </c>
      <c r="K1202" s="9">
        <f>STATS1003B!K1262/1000</f>
        <v>0</v>
      </c>
      <c r="L1202" s="9">
        <f>STATS1003B!L1262/1000</f>
        <v>0</v>
      </c>
      <c r="M1202" s="9">
        <f>STATS1003B!M1262/1000</f>
        <v>746.75</v>
      </c>
      <c r="N1202" s="9">
        <f>STATS1003B!N1262/1000</f>
        <v>0</v>
      </c>
      <c r="O1202" s="9">
        <f>STATS1003B!O1262/1000</f>
        <v>0</v>
      </c>
      <c r="P1202" s="9">
        <f>STATS1003B!P1262/1000</f>
        <v>0</v>
      </c>
      <c r="Q1202" s="9">
        <f>STATS1003B!Q1262/1000</f>
        <v>746.75</v>
      </c>
      <c r="R1202" s="9">
        <f>STATS1003B!R1262/1000</f>
        <v>0</v>
      </c>
      <c r="S1202" s="9">
        <f>STATS1003B!S1262/1000</f>
        <v>0</v>
      </c>
      <c r="T1202" s="9">
        <f>STATS1003B!T1262/1000</f>
        <v>0</v>
      </c>
      <c r="U1202" s="9">
        <f>STATS1003B!U1262/1000</f>
        <v>0</v>
      </c>
      <c r="V1202" s="9">
        <f>STATS1003B!V1262/1000</f>
        <v>746.75</v>
      </c>
      <c r="W1202" s="9">
        <f>STATS1003B!W1262/1000</f>
        <v>0</v>
      </c>
      <c r="X1202" s="9">
        <f>STATS1003B!X1262/1000</f>
        <v>746.75</v>
      </c>
      <c r="Y1202" s="9">
        <f>STATS1003B!Y1262/1000</f>
        <v>0</v>
      </c>
      <c r="Z1202" s="9">
        <f>STATS1003B!Z1262/1000</f>
        <v>0</v>
      </c>
      <c r="AA1202" s="9">
        <f>STATS1003B!AA1262/1000</f>
        <v>746.75</v>
      </c>
      <c r="AB1202" s="9">
        <f>STATS1003B!AB1262/1000</f>
        <v>0</v>
      </c>
    </row>
    <row r="1203" spans="1:28" x14ac:dyDescent="0.35">
      <c r="A1203" s="36"/>
      <c r="B1203" s="8"/>
      <c r="C1203" s="14" t="s">
        <v>689</v>
      </c>
      <c r="D1203" s="21" t="s">
        <v>194</v>
      </c>
      <c r="E1203" s="9">
        <f>STATS1003B!E1263/1000</f>
        <v>283.52193</v>
      </c>
      <c r="F1203" s="9">
        <f>STATS1003B!F1263/1000</f>
        <v>283.52193</v>
      </c>
      <c r="G1203" s="9">
        <f>STATS1003B!G1263/1000</f>
        <v>0</v>
      </c>
      <c r="H1203" s="9">
        <f>STATS1003B!H1263/1000</f>
        <v>283.52193</v>
      </c>
      <c r="I1203" s="9">
        <f>STATS1003B!I1263/1000</f>
        <v>0</v>
      </c>
      <c r="J1203" s="9">
        <f>STATS1003B!J1263/1000</f>
        <v>283.52193</v>
      </c>
      <c r="K1203" s="9">
        <f>STATS1003B!K1263/1000</f>
        <v>0</v>
      </c>
      <c r="L1203" s="9">
        <f>STATS1003B!L1263/1000</f>
        <v>0</v>
      </c>
      <c r="M1203" s="9">
        <f>STATS1003B!M1263/1000</f>
        <v>283.52193</v>
      </c>
      <c r="N1203" s="9">
        <f>STATS1003B!N1263/1000</f>
        <v>0</v>
      </c>
      <c r="O1203" s="9">
        <f>STATS1003B!O1263/1000</f>
        <v>0</v>
      </c>
      <c r="P1203" s="9">
        <f>STATS1003B!P1263/1000</f>
        <v>0</v>
      </c>
      <c r="Q1203" s="9">
        <f>STATS1003B!Q1263/1000</f>
        <v>283.52193</v>
      </c>
      <c r="R1203" s="9">
        <f>STATS1003B!R1263/1000</f>
        <v>0</v>
      </c>
      <c r="S1203" s="9">
        <f>STATS1003B!S1263/1000</f>
        <v>0</v>
      </c>
      <c r="T1203" s="9">
        <f>STATS1003B!T1263/1000</f>
        <v>0</v>
      </c>
      <c r="U1203" s="9">
        <f>STATS1003B!U1263/1000</f>
        <v>0</v>
      </c>
      <c r="V1203" s="9">
        <f>STATS1003B!V1263/1000</f>
        <v>283.52193</v>
      </c>
      <c r="W1203" s="9">
        <f>STATS1003B!W1263/1000</f>
        <v>0</v>
      </c>
      <c r="X1203" s="9">
        <f>STATS1003B!X1263/1000</f>
        <v>283.52193</v>
      </c>
      <c r="Y1203" s="9">
        <f>STATS1003B!Y1263/1000</f>
        <v>0</v>
      </c>
      <c r="Z1203" s="9">
        <f>STATS1003B!Z1263/1000</f>
        <v>0</v>
      </c>
      <c r="AA1203" s="9">
        <f>STATS1003B!AA1263/1000</f>
        <v>283.52193</v>
      </c>
      <c r="AB1203" s="9">
        <f>STATS1003B!AB1263/1000</f>
        <v>0</v>
      </c>
    </row>
    <row r="1204" spans="1:28" x14ac:dyDescent="0.35">
      <c r="A1204" s="36"/>
      <c r="B1204" s="8"/>
      <c r="C1204" s="7" t="s">
        <v>535</v>
      </c>
      <c r="D1204" s="15" t="s">
        <v>73</v>
      </c>
      <c r="E1204" s="9">
        <f>STATS1003B!E1264/1000</f>
        <v>799</v>
      </c>
      <c r="F1204" s="9">
        <f>STATS1003B!F1264/1000</f>
        <v>799</v>
      </c>
      <c r="G1204" s="9">
        <f>STATS1003B!G1264/1000</f>
        <v>0</v>
      </c>
      <c r="H1204" s="9">
        <f>STATS1003B!H1264/1000</f>
        <v>799</v>
      </c>
      <c r="I1204" s="9">
        <f>STATS1003B!I1264/1000</f>
        <v>0</v>
      </c>
      <c r="J1204" s="9">
        <f>STATS1003B!J1264/1000</f>
        <v>799</v>
      </c>
      <c r="K1204" s="9">
        <f>STATS1003B!K1264/1000</f>
        <v>0</v>
      </c>
      <c r="L1204" s="9">
        <f>STATS1003B!L1264/1000</f>
        <v>0</v>
      </c>
      <c r="M1204" s="9">
        <f>STATS1003B!M1264/1000</f>
        <v>799</v>
      </c>
      <c r="N1204" s="9">
        <f>STATS1003B!N1264/1000</f>
        <v>0</v>
      </c>
      <c r="O1204" s="9">
        <f>STATS1003B!O1264/1000</f>
        <v>0</v>
      </c>
      <c r="P1204" s="9">
        <f>STATS1003B!P1264/1000</f>
        <v>0</v>
      </c>
      <c r="Q1204" s="9">
        <f>STATS1003B!Q1264/1000</f>
        <v>799</v>
      </c>
      <c r="R1204" s="9">
        <f>STATS1003B!R1264/1000</f>
        <v>0</v>
      </c>
      <c r="S1204" s="9">
        <f>STATS1003B!S1264/1000</f>
        <v>0</v>
      </c>
      <c r="T1204" s="9">
        <f>STATS1003B!T1264/1000</f>
        <v>0</v>
      </c>
      <c r="U1204" s="9">
        <f>STATS1003B!U1264/1000</f>
        <v>0</v>
      </c>
      <c r="V1204" s="9">
        <f>STATS1003B!V1264/1000</f>
        <v>799</v>
      </c>
      <c r="W1204" s="9">
        <f>STATS1003B!W1264/1000</f>
        <v>0</v>
      </c>
      <c r="X1204" s="9">
        <f>STATS1003B!X1264/1000</f>
        <v>799</v>
      </c>
      <c r="Y1204" s="9">
        <f>STATS1003B!Y1264/1000</f>
        <v>0</v>
      </c>
      <c r="Z1204" s="9">
        <f>STATS1003B!Z1264/1000</f>
        <v>0</v>
      </c>
      <c r="AA1204" s="9">
        <f>STATS1003B!AA1264/1000</f>
        <v>799</v>
      </c>
      <c r="AB1204" s="9">
        <f>STATS1003B!AB1264/1000</f>
        <v>0</v>
      </c>
    </row>
    <row r="1205" spans="1:28" x14ac:dyDescent="0.35">
      <c r="A1205" s="36"/>
      <c r="B1205" s="8"/>
      <c r="C1205" s="14" t="s">
        <v>690</v>
      </c>
      <c r="D1205" s="21" t="s">
        <v>73</v>
      </c>
      <c r="E1205" s="9">
        <f>STATS1003B!E1265/1000</f>
        <v>272.22500000000002</v>
      </c>
      <c r="F1205" s="9">
        <f>STATS1003B!F1265/1000</f>
        <v>272.22500000000002</v>
      </c>
      <c r="G1205" s="9">
        <f>STATS1003B!G1265/1000</f>
        <v>0</v>
      </c>
      <c r="H1205" s="9">
        <f>STATS1003B!H1265/1000</f>
        <v>272.22500000000002</v>
      </c>
      <c r="I1205" s="9">
        <f>STATS1003B!I1265/1000</f>
        <v>0</v>
      </c>
      <c r="J1205" s="9">
        <f>STATS1003B!J1265/1000</f>
        <v>272.22500000000002</v>
      </c>
      <c r="K1205" s="9">
        <f>STATS1003B!K1265/1000</f>
        <v>0</v>
      </c>
      <c r="L1205" s="9">
        <f>STATS1003B!L1265/1000</f>
        <v>0</v>
      </c>
      <c r="M1205" s="9">
        <f>STATS1003B!M1265/1000</f>
        <v>272.22500000000002</v>
      </c>
      <c r="N1205" s="9">
        <f>STATS1003B!N1265/1000</f>
        <v>0</v>
      </c>
      <c r="O1205" s="9">
        <f>STATS1003B!O1265/1000</f>
        <v>0</v>
      </c>
      <c r="P1205" s="9">
        <f>STATS1003B!P1265/1000</f>
        <v>0</v>
      </c>
      <c r="Q1205" s="9">
        <f>STATS1003B!Q1265/1000</f>
        <v>272.22500000000002</v>
      </c>
      <c r="R1205" s="9">
        <f>STATS1003B!R1265/1000</f>
        <v>0</v>
      </c>
      <c r="S1205" s="9">
        <f>STATS1003B!S1265/1000</f>
        <v>0</v>
      </c>
      <c r="T1205" s="9">
        <f>STATS1003B!T1265/1000</f>
        <v>0</v>
      </c>
      <c r="U1205" s="9">
        <f>STATS1003B!U1265/1000</f>
        <v>0</v>
      </c>
      <c r="V1205" s="9">
        <f>STATS1003B!V1265/1000</f>
        <v>272.22500000000002</v>
      </c>
      <c r="W1205" s="9">
        <f>STATS1003B!W1265/1000</f>
        <v>0</v>
      </c>
      <c r="X1205" s="9">
        <f>STATS1003B!X1265/1000</f>
        <v>272.22500000000002</v>
      </c>
      <c r="Y1205" s="9">
        <f>STATS1003B!Y1265/1000</f>
        <v>0</v>
      </c>
      <c r="Z1205" s="9">
        <f>STATS1003B!Z1265/1000</f>
        <v>0</v>
      </c>
      <c r="AA1205" s="9">
        <f>STATS1003B!AA1265/1000</f>
        <v>272.22500000000002</v>
      </c>
      <c r="AB1205" s="9">
        <f>STATS1003B!AB1265/1000</f>
        <v>0</v>
      </c>
    </row>
    <row r="1206" spans="1:28" x14ac:dyDescent="0.35">
      <c r="A1206" s="36"/>
      <c r="B1206" s="8"/>
      <c r="C1206" s="14" t="s">
        <v>691</v>
      </c>
      <c r="D1206" s="21" t="s">
        <v>73</v>
      </c>
      <c r="E1206" s="9">
        <f>STATS1003B!E1266/1000</f>
        <v>443.56567000000001</v>
      </c>
      <c r="F1206" s="9">
        <f>STATS1003B!F1266/1000</f>
        <v>443.56567000000001</v>
      </c>
      <c r="G1206" s="9">
        <f>STATS1003B!G1266/1000</f>
        <v>0</v>
      </c>
      <c r="H1206" s="9">
        <f>STATS1003B!H1266/1000</f>
        <v>443.56567000000001</v>
      </c>
      <c r="I1206" s="9">
        <f>STATS1003B!I1266/1000</f>
        <v>0</v>
      </c>
      <c r="J1206" s="9">
        <f>STATS1003B!J1266/1000</f>
        <v>443.56567000000001</v>
      </c>
      <c r="K1206" s="9">
        <f>STATS1003B!K1266/1000</f>
        <v>0</v>
      </c>
      <c r="L1206" s="9">
        <f>STATS1003B!L1266/1000</f>
        <v>0</v>
      </c>
      <c r="M1206" s="9">
        <f>STATS1003B!M1266/1000</f>
        <v>443.56567000000001</v>
      </c>
      <c r="N1206" s="9">
        <f>STATS1003B!N1266/1000</f>
        <v>0</v>
      </c>
      <c r="O1206" s="9">
        <f>STATS1003B!O1266/1000</f>
        <v>0</v>
      </c>
      <c r="P1206" s="9">
        <f>STATS1003B!P1266/1000</f>
        <v>0</v>
      </c>
      <c r="Q1206" s="9">
        <f>STATS1003B!Q1266/1000</f>
        <v>443.56567000000001</v>
      </c>
      <c r="R1206" s="9">
        <f>STATS1003B!R1266/1000</f>
        <v>0</v>
      </c>
      <c r="S1206" s="9">
        <f>STATS1003B!S1266/1000</f>
        <v>0</v>
      </c>
      <c r="T1206" s="9">
        <f>STATS1003B!T1266/1000</f>
        <v>0</v>
      </c>
      <c r="U1206" s="9">
        <f>STATS1003B!U1266/1000</f>
        <v>0</v>
      </c>
      <c r="V1206" s="9">
        <f>STATS1003B!V1266/1000</f>
        <v>443.56567000000001</v>
      </c>
      <c r="W1206" s="9">
        <f>STATS1003B!W1266/1000</f>
        <v>0</v>
      </c>
      <c r="X1206" s="9">
        <f>STATS1003B!X1266/1000</f>
        <v>443.56567000000001</v>
      </c>
      <c r="Y1206" s="9">
        <f>STATS1003B!Y1266/1000</f>
        <v>0</v>
      </c>
      <c r="Z1206" s="9">
        <f>STATS1003B!Z1266/1000</f>
        <v>0</v>
      </c>
      <c r="AA1206" s="9">
        <f>STATS1003B!AA1266/1000</f>
        <v>443.56567000000001</v>
      </c>
      <c r="AB1206" s="9">
        <f>STATS1003B!AB1266/1000</f>
        <v>0</v>
      </c>
    </row>
    <row r="1207" spans="1:28" x14ac:dyDescent="0.35">
      <c r="A1207" s="36"/>
      <c r="B1207" s="8"/>
      <c r="C1207" s="7" t="s">
        <v>535</v>
      </c>
      <c r="D1207" s="15" t="s">
        <v>61</v>
      </c>
      <c r="E1207" s="9">
        <f>STATS1003B!E1267/1000</f>
        <v>2239.8599199999999</v>
      </c>
      <c r="F1207" s="9">
        <f>STATS1003B!F1267/1000</f>
        <v>2239.8599199999999</v>
      </c>
      <c r="G1207" s="9">
        <f>STATS1003B!G1267/1000</f>
        <v>0</v>
      </c>
      <c r="H1207" s="9">
        <f>STATS1003B!H1267/1000</f>
        <v>2239.8599199999999</v>
      </c>
      <c r="I1207" s="9">
        <f>STATS1003B!I1267/1000</f>
        <v>0</v>
      </c>
      <c r="J1207" s="9">
        <f>STATS1003B!J1267/1000</f>
        <v>2239.8599199999999</v>
      </c>
      <c r="K1207" s="9">
        <f>STATS1003B!K1267/1000</f>
        <v>0</v>
      </c>
      <c r="L1207" s="9">
        <f>STATS1003B!L1267/1000</f>
        <v>0</v>
      </c>
      <c r="M1207" s="9">
        <f>STATS1003B!M1267/1000</f>
        <v>2239.8599199999999</v>
      </c>
      <c r="N1207" s="9">
        <f>STATS1003B!N1267/1000</f>
        <v>0</v>
      </c>
      <c r="O1207" s="9">
        <f>STATS1003B!O1267/1000</f>
        <v>0</v>
      </c>
      <c r="P1207" s="9">
        <f>STATS1003B!P1267/1000</f>
        <v>0</v>
      </c>
      <c r="Q1207" s="9">
        <f>STATS1003B!Q1267/1000</f>
        <v>2239.8599199999999</v>
      </c>
      <c r="R1207" s="9">
        <f>STATS1003B!R1267/1000</f>
        <v>0</v>
      </c>
      <c r="S1207" s="9">
        <f>STATS1003B!S1267/1000</f>
        <v>0</v>
      </c>
      <c r="T1207" s="9">
        <f>STATS1003B!T1267/1000</f>
        <v>0</v>
      </c>
      <c r="U1207" s="9">
        <f>STATS1003B!U1267/1000</f>
        <v>0</v>
      </c>
      <c r="V1207" s="9">
        <f>STATS1003B!V1267/1000</f>
        <v>2239.8599199999999</v>
      </c>
      <c r="W1207" s="9">
        <f>STATS1003B!W1267/1000</f>
        <v>0</v>
      </c>
      <c r="X1207" s="9">
        <f>STATS1003B!X1267/1000</f>
        <v>2239.8599199999999</v>
      </c>
      <c r="Y1207" s="9">
        <f>STATS1003B!Y1267/1000</f>
        <v>0</v>
      </c>
      <c r="Z1207" s="9">
        <f>STATS1003B!Z1267/1000</f>
        <v>0</v>
      </c>
      <c r="AA1207" s="9">
        <f>STATS1003B!AA1267/1000</f>
        <v>2239.8599199999999</v>
      </c>
      <c r="AB1207" s="9">
        <f>STATS1003B!AB1267/1000</f>
        <v>0</v>
      </c>
    </row>
    <row r="1208" spans="1:28" x14ac:dyDescent="0.35">
      <c r="A1208" s="36"/>
      <c r="B1208" s="8"/>
      <c r="C1208" s="7" t="s">
        <v>621</v>
      </c>
      <c r="D1208" s="15" t="s">
        <v>61</v>
      </c>
      <c r="E1208" s="9">
        <f>STATS1003B!E1268/1000</f>
        <v>634.59322999999995</v>
      </c>
      <c r="F1208" s="9">
        <f>STATS1003B!F1268/1000</f>
        <v>634.59322999999995</v>
      </c>
      <c r="G1208" s="9">
        <f>STATS1003B!G1268/1000</f>
        <v>0</v>
      </c>
      <c r="H1208" s="9">
        <f>STATS1003B!H1268/1000</f>
        <v>634.59322999999995</v>
      </c>
      <c r="I1208" s="9">
        <f>STATS1003B!I1268/1000</f>
        <v>0</v>
      </c>
      <c r="J1208" s="9">
        <f>STATS1003B!J1268/1000</f>
        <v>634.59322999999995</v>
      </c>
      <c r="K1208" s="9">
        <f>STATS1003B!K1268/1000</f>
        <v>0</v>
      </c>
      <c r="L1208" s="9">
        <f>STATS1003B!L1268/1000</f>
        <v>0</v>
      </c>
      <c r="M1208" s="9">
        <f>STATS1003B!M1268/1000</f>
        <v>634.59322999999995</v>
      </c>
      <c r="N1208" s="9">
        <f>STATS1003B!N1268/1000</f>
        <v>0</v>
      </c>
      <c r="O1208" s="9">
        <f>STATS1003B!O1268/1000</f>
        <v>0</v>
      </c>
      <c r="P1208" s="9">
        <f>STATS1003B!P1268/1000</f>
        <v>0</v>
      </c>
      <c r="Q1208" s="9">
        <f>STATS1003B!Q1268/1000</f>
        <v>634.59322999999995</v>
      </c>
      <c r="R1208" s="9">
        <f>STATS1003B!R1268/1000</f>
        <v>0</v>
      </c>
      <c r="S1208" s="9">
        <f>STATS1003B!S1268/1000</f>
        <v>0</v>
      </c>
      <c r="T1208" s="9">
        <f>STATS1003B!T1268/1000</f>
        <v>0</v>
      </c>
      <c r="U1208" s="9">
        <f>STATS1003B!U1268/1000</f>
        <v>0</v>
      </c>
      <c r="V1208" s="9">
        <f>STATS1003B!V1268/1000</f>
        <v>634.59322999999995</v>
      </c>
      <c r="W1208" s="9">
        <f>STATS1003B!W1268/1000</f>
        <v>0</v>
      </c>
      <c r="X1208" s="9">
        <f>STATS1003B!X1268/1000</f>
        <v>634.59322999999995</v>
      </c>
      <c r="Y1208" s="9">
        <f>STATS1003B!Y1268/1000</f>
        <v>0</v>
      </c>
      <c r="Z1208" s="9">
        <f>STATS1003B!Z1268/1000</f>
        <v>0</v>
      </c>
      <c r="AA1208" s="9">
        <f>STATS1003B!AA1268/1000</f>
        <v>634.59322999999995</v>
      </c>
      <c r="AB1208" s="9">
        <f>STATS1003B!AB1268/1000</f>
        <v>0</v>
      </c>
    </row>
    <row r="1209" spans="1:28" x14ac:dyDescent="0.35">
      <c r="A1209" s="36"/>
      <c r="B1209" s="8"/>
      <c r="C1209" s="14" t="s">
        <v>692</v>
      </c>
      <c r="D1209" s="15" t="s">
        <v>61</v>
      </c>
      <c r="E1209" s="9">
        <f>STATS1003B!E1269/1000</f>
        <v>3161.98542</v>
      </c>
      <c r="F1209" s="9">
        <f>STATS1003B!F1269/1000</f>
        <v>3161.98542</v>
      </c>
      <c r="G1209" s="9">
        <f>STATS1003B!G1269/1000</f>
        <v>0</v>
      </c>
      <c r="H1209" s="9">
        <f>STATS1003B!H1269/1000</f>
        <v>3161.98542</v>
      </c>
      <c r="I1209" s="9">
        <f>STATS1003B!I1269/1000</f>
        <v>0</v>
      </c>
      <c r="J1209" s="9">
        <f>STATS1003B!J1269/1000</f>
        <v>3161.98542</v>
      </c>
      <c r="K1209" s="9">
        <f>STATS1003B!K1269/1000</f>
        <v>0</v>
      </c>
      <c r="L1209" s="9">
        <f>STATS1003B!L1269/1000</f>
        <v>0</v>
      </c>
      <c r="M1209" s="9">
        <f>STATS1003B!M1269/1000</f>
        <v>3161.98542</v>
      </c>
      <c r="N1209" s="9">
        <f>STATS1003B!N1269/1000</f>
        <v>0</v>
      </c>
      <c r="O1209" s="9">
        <f>STATS1003B!O1269/1000</f>
        <v>0</v>
      </c>
      <c r="P1209" s="9">
        <f>STATS1003B!P1269/1000</f>
        <v>0</v>
      </c>
      <c r="Q1209" s="9">
        <f>STATS1003B!Q1269/1000</f>
        <v>3161.98542</v>
      </c>
      <c r="R1209" s="9">
        <f>STATS1003B!R1269/1000</f>
        <v>0</v>
      </c>
      <c r="S1209" s="9">
        <f>STATS1003B!S1269/1000</f>
        <v>0</v>
      </c>
      <c r="T1209" s="9">
        <f>STATS1003B!T1269/1000</f>
        <v>0</v>
      </c>
      <c r="U1209" s="9">
        <f>STATS1003B!U1269/1000</f>
        <v>0</v>
      </c>
      <c r="V1209" s="9">
        <f>STATS1003B!V1269/1000</f>
        <v>3161.98542</v>
      </c>
      <c r="W1209" s="9">
        <f>STATS1003B!W1269/1000</f>
        <v>0</v>
      </c>
      <c r="X1209" s="9">
        <f>STATS1003B!X1269/1000</f>
        <v>3161.98542</v>
      </c>
      <c r="Y1209" s="9">
        <f>STATS1003B!Y1269/1000</f>
        <v>0</v>
      </c>
      <c r="Z1209" s="9">
        <f>STATS1003B!Z1269/1000</f>
        <v>0</v>
      </c>
      <c r="AA1209" s="9">
        <f>STATS1003B!AA1269/1000</f>
        <v>3161.98542</v>
      </c>
      <c r="AB1209" s="9">
        <f>STATS1003B!AB1269/1000</f>
        <v>0</v>
      </c>
    </row>
    <row r="1210" spans="1:28" x14ac:dyDescent="0.35">
      <c r="A1210" s="36"/>
      <c r="B1210" s="8"/>
      <c r="C1210" s="14" t="s">
        <v>693</v>
      </c>
      <c r="D1210" s="15" t="s">
        <v>61</v>
      </c>
      <c r="E1210" s="9">
        <f>STATS1003B!E1270/1000</f>
        <v>1433.5264999999999</v>
      </c>
      <c r="F1210" s="9">
        <f>STATS1003B!F1270/1000</f>
        <v>1433.5264999999999</v>
      </c>
      <c r="G1210" s="9">
        <f>STATS1003B!G1270/1000</f>
        <v>0</v>
      </c>
      <c r="H1210" s="9">
        <f>STATS1003B!H1270/1000</f>
        <v>1433.5264999999999</v>
      </c>
      <c r="I1210" s="9">
        <f>STATS1003B!I1270/1000</f>
        <v>0</v>
      </c>
      <c r="J1210" s="9">
        <f>STATS1003B!J1270/1000</f>
        <v>1433.5264999999999</v>
      </c>
      <c r="K1210" s="9">
        <f>STATS1003B!K1270/1000</f>
        <v>0</v>
      </c>
      <c r="L1210" s="9">
        <f>STATS1003B!L1270/1000</f>
        <v>0</v>
      </c>
      <c r="M1210" s="9">
        <f>STATS1003B!M1270/1000</f>
        <v>1433.5264999999999</v>
      </c>
      <c r="N1210" s="9">
        <f>STATS1003B!N1270/1000</f>
        <v>0</v>
      </c>
      <c r="O1210" s="9">
        <f>STATS1003B!O1270/1000</f>
        <v>0</v>
      </c>
      <c r="P1210" s="9">
        <f>STATS1003B!P1270/1000</f>
        <v>0</v>
      </c>
      <c r="Q1210" s="9">
        <f>STATS1003B!Q1270/1000</f>
        <v>1433.5264999999999</v>
      </c>
      <c r="R1210" s="9">
        <f>STATS1003B!R1270/1000</f>
        <v>0</v>
      </c>
      <c r="S1210" s="9">
        <f>STATS1003B!S1270/1000</f>
        <v>0</v>
      </c>
      <c r="T1210" s="9">
        <f>STATS1003B!T1270/1000</f>
        <v>0</v>
      </c>
      <c r="U1210" s="9">
        <f>STATS1003B!U1270/1000</f>
        <v>0</v>
      </c>
      <c r="V1210" s="9">
        <f>STATS1003B!V1270/1000</f>
        <v>1433.5264999999999</v>
      </c>
      <c r="W1210" s="9">
        <f>STATS1003B!W1270/1000</f>
        <v>0</v>
      </c>
      <c r="X1210" s="9">
        <f>STATS1003B!X1270/1000</f>
        <v>1433.5264999999999</v>
      </c>
      <c r="Y1210" s="9">
        <f>STATS1003B!Y1270/1000</f>
        <v>0</v>
      </c>
      <c r="Z1210" s="9">
        <f>STATS1003B!Z1270/1000</f>
        <v>0</v>
      </c>
      <c r="AA1210" s="9">
        <f>STATS1003B!AA1270/1000</f>
        <v>1433.5264999999999</v>
      </c>
      <c r="AB1210" s="9">
        <f>STATS1003B!AB1270/1000</f>
        <v>0</v>
      </c>
    </row>
    <row r="1211" spans="1:28" x14ac:dyDescent="0.35">
      <c r="A1211" s="36"/>
      <c r="B1211" s="8"/>
      <c r="C1211" s="45" t="s">
        <v>1081</v>
      </c>
      <c r="D1211" s="16" t="s">
        <v>1072</v>
      </c>
      <c r="E1211" s="9">
        <f>STATS1003B!E1271/1000</f>
        <v>3018.3636099999999</v>
      </c>
      <c r="F1211" s="9">
        <f>STATS1003B!F1271/1000</f>
        <v>3018.3636099999999</v>
      </c>
      <c r="G1211" s="9">
        <f>STATS1003B!G1271/1000</f>
        <v>0</v>
      </c>
      <c r="H1211" s="9">
        <f>STATS1003B!H1271/1000</f>
        <v>3018.3636099999999</v>
      </c>
      <c r="I1211" s="9">
        <f>STATS1003B!I1271/1000</f>
        <v>0</v>
      </c>
      <c r="J1211" s="9">
        <f>STATS1003B!J1271/1000</f>
        <v>0</v>
      </c>
      <c r="K1211" s="9">
        <f>STATS1003B!K1271/1000</f>
        <v>0</v>
      </c>
      <c r="L1211" s="9">
        <f>STATS1003B!L1271/1000</f>
        <v>0</v>
      </c>
      <c r="M1211" s="9">
        <f>STATS1003B!M1271/1000</f>
        <v>3018.3636099999999</v>
      </c>
      <c r="N1211" s="9">
        <f>STATS1003B!N1271/1000</f>
        <v>0</v>
      </c>
      <c r="O1211" s="9">
        <f>STATS1003B!O1271/1000</f>
        <v>0</v>
      </c>
      <c r="P1211" s="9">
        <f>STATS1003B!P1271/1000</f>
        <v>0</v>
      </c>
      <c r="Q1211" s="9">
        <f>STATS1003B!Q1271/1000</f>
        <v>0</v>
      </c>
      <c r="R1211" s="9">
        <f>STATS1003B!R1271/1000</f>
        <v>0</v>
      </c>
      <c r="S1211" s="9">
        <f>STATS1003B!S1271/1000</f>
        <v>0</v>
      </c>
      <c r="T1211" s="9">
        <f>STATS1003B!T1271/1000</f>
        <v>0</v>
      </c>
      <c r="U1211" s="9">
        <f>STATS1003B!U1271/1000</f>
        <v>0</v>
      </c>
      <c r="V1211" s="9">
        <f>STATS1003B!V1271/1000</f>
        <v>3018.3636099999999</v>
      </c>
      <c r="W1211" s="9">
        <f>STATS1003B!W1271/1000</f>
        <v>0</v>
      </c>
      <c r="X1211" s="9">
        <f>STATS1003B!X1271/1000</f>
        <v>3018.3636099999999</v>
      </c>
      <c r="Y1211" s="9">
        <f>STATS1003B!Y1271/1000</f>
        <v>0</v>
      </c>
      <c r="Z1211" s="9">
        <f>STATS1003B!Z1271/1000</f>
        <v>0</v>
      </c>
      <c r="AA1211" s="9">
        <f>STATS1003B!AA1271/1000</f>
        <v>3018.3636099999999</v>
      </c>
      <c r="AB1211" s="9">
        <f>STATS1003B!AB1271/1000</f>
        <v>0</v>
      </c>
    </row>
    <row r="1212" spans="1:28" x14ac:dyDescent="0.35">
      <c r="A1212" s="36"/>
      <c r="B1212" s="8"/>
      <c r="C1212" s="7" t="s">
        <v>569</v>
      </c>
      <c r="D1212" s="8"/>
      <c r="E1212" s="9">
        <f>STATS1003B!E1272/1000</f>
        <v>1183.806</v>
      </c>
      <c r="F1212" s="9">
        <f>STATS1003B!F1272/1000</f>
        <v>1183.806</v>
      </c>
      <c r="G1212" s="9">
        <f>STATS1003B!G1272/1000</f>
        <v>0</v>
      </c>
      <c r="H1212" s="9">
        <f>STATS1003B!H1272/1000</f>
        <v>1183.806</v>
      </c>
      <c r="I1212" s="9">
        <f>STATS1003B!I1272/1000</f>
        <v>0</v>
      </c>
      <c r="J1212" s="9">
        <f>STATS1003B!J1272/1000</f>
        <v>1183.806</v>
      </c>
      <c r="K1212" s="9">
        <f>STATS1003B!K1272/1000</f>
        <v>0</v>
      </c>
      <c r="L1212" s="9">
        <f>STATS1003B!L1272/1000</f>
        <v>0</v>
      </c>
      <c r="M1212" s="9">
        <f>STATS1003B!M1272/1000</f>
        <v>1183.806</v>
      </c>
      <c r="N1212" s="9">
        <f>STATS1003B!N1272/1000</f>
        <v>0</v>
      </c>
      <c r="O1212" s="9">
        <f>STATS1003B!O1272/1000</f>
        <v>0</v>
      </c>
      <c r="P1212" s="9">
        <f>STATS1003B!P1272/1000</f>
        <v>0</v>
      </c>
      <c r="Q1212" s="9">
        <f>STATS1003B!Q1272/1000</f>
        <v>1183.806</v>
      </c>
      <c r="R1212" s="9">
        <f>STATS1003B!R1272/1000</f>
        <v>0</v>
      </c>
      <c r="S1212" s="9">
        <f>STATS1003B!S1272/1000</f>
        <v>0</v>
      </c>
      <c r="T1212" s="9">
        <f>STATS1003B!T1272/1000</f>
        <v>0</v>
      </c>
      <c r="U1212" s="9">
        <f>STATS1003B!U1272/1000</f>
        <v>0</v>
      </c>
      <c r="V1212" s="9">
        <f>STATS1003B!V1272/1000</f>
        <v>1183.806</v>
      </c>
      <c r="W1212" s="9">
        <f>STATS1003B!W1272/1000</f>
        <v>0</v>
      </c>
      <c r="X1212" s="9">
        <f>STATS1003B!X1272/1000</f>
        <v>1183.806</v>
      </c>
      <c r="Y1212" s="9">
        <f>STATS1003B!Y1272/1000</f>
        <v>0</v>
      </c>
      <c r="Z1212" s="9">
        <f>STATS1003B!Z1272/1000</f>
        <v>0</v>
      </c>
      <c r="AA1212" s="9">
        <f>STATS1003B!AA1272/1000</f>
        <v>1183.806</v>
      </c>
      <c r="AB1212" s="9">
        <f>STATS1003B!AB1272/1000</f>
        <v>0</v>
      </c>
    </row>
    <row r="1213" spans="1:28" x14ac:dyDescent="0.35">
      <c r="A1213" s="36"/>
      <c r="B1213" s="8"/>
      <c r="C1213" s="7" t="s">
        <v>694</v>
      </c>
      <c r="D1213" s="8"/>
      <c r="E1213" s="9">
        <f>STATS1003B!E1273/1000</f>
        <v>400</v>
      </c>
      <c r="F1213" s="9">
        <f>STATS1003B!F1273/1000</f>
        <v>400</v>
      </c>
      <c r="G1213" s="9">
        <f>STATS1003B!G1273/1000</f>
        <v>0</v>
      </c>
      <c r="H1213" s="9">
        <f>STATS1003B!H1273/1000</f>
        <v>400</v>
      </c>
      <c r="I1213" s="9">
        <f>STATS1003B!I1273/1000</f>
        <v>0</v>
      </c>
      <c r="J1213" s="9">
        <f>STATS1003B!J1273/1000</f>
        <v>400</v>
      </c>
      <c r="K1213" s="9">
        <f>STATS1003B!K1273/1000</f>
        <v>0</v>
      </c>
      <c r="L1213" s="9">
        <f>STATS1003B!L1273/1000</f>
        <v>0</v>
      </c>
      <c r="M1213" s="9">
        <f>STATS1003B!M1273/1000</f>
        <v>400</v>
      </c>
      <c r="N1213" s="9">
        <f>STATS1003B!N1273/1000</f>
        <v>0</v>
      </c>
      <c r="O1213" s="9">
        <f>STATS1003B!O1273/1000</f>
        <v>0</v>
      </c>
      <c r="P1213" s="9">
        <f>STATS1003B!P1273/1000</f>
        <v>0</v>
      </c>
      <c r="Q1213" s="9">
        <f>STATS1003B!Q1273/1000</f>
        <v>400</v>
      </c>
      <c r="R1213" s="9">
        <f>STATS1003B!R1273/1000</f>
        <v>0</v>
      </c>
      <c r="S1213" s="9">
        <f>STATS1003B!S1273/1000</f>
        <v>0</v>
      </c>
      <c r="T1213" s="9">
        <f>STATS1003B!T1273/1000</f>
        <v>0</v>
      </c>
      <c r="U1213" s="9">
        <f>STATS1003B!U1273/1000</f>
        <v>0</v>
      </c>
      <c r="V1213" s="9">
        <f>STATS1003B!V1273/1000</f>
        <v>400</v>
      </c>
      <c r="W1213" s="9">
        <f>STATS1003B!W1273/1000</f>
        <v>0</v>
      </c>
      <c r="X1213" s="9">
        <f>STATS1003B!X1273/1000</f>
        <v>400</v>
      </c>
      <c r="Y1213" s="9">
        <f>STATS1003B!Y1273/1000</f>
        <v>0</v>
      </c>
      <c r="Z1213" s="9">
        <f>STATS1003B!Z1273/1000</f>
        <v>0</v>
      </c>
      <c r="AA1213" s="9">
        <f>STATS1003B!AA1273/1000</f>
        <v>400</v>
      </c>
      <c r="AB1213" s="9">
        <f>STATS1003B!AB1273/1000</f>
        <v>0</v>
      </c>
    </row>
    <row r="1214" spans="1:28" x14ac:dyDescent="0.35">
      <c r="A1214" s="36"/>
      <c r="B1214" s="8"/>
      <c r="C1214" s="7" t="s">
        <v>929</v>
      </c>
      <c r="D1214" s="8"/>
      <c r="E1214" s="9">
        <f>STATS1003B!E1275/1000</f>
        <v>489</v>
      </c>
      <c r="F1214" s="9">
        <f>STATS1003B!F1275/1000</f>
        <v>489</v>
      </c>
      <c r="G1214" s="9">
        <f>STATS1003B!G1275/1000</f>
        <v>0</v>
      </c>
      <c r="H1214" s="9">
        <f>STATS1003B!H1275/1000</f>
        <v>489</v>
      </c>
      <c r="I1214" s="9">
        <f>STATS1003B!I1275/1000</f>
        <v>0</v>
      </c>
      <c r="J1214" s="9">
        <f>STATS1003B!J1275/1000</f>
        <v>0</v>
      </c>
      <c r="K1214" s="9">
        <f>STATS1003B!K1275/1000</f>
        <v>0</v>
      </c>
      <c r="L1214" s="9">
        <f>STATS1003B!L1275/1000</f>
        <v>0</v>
      </c>
      <c r="M1214" s="9">
        <f>STATS1003B!M1275/1000</f>
        <v>489</v>
      </c>
      <c r="N1214" s="9">
        <f>STATS1003B!N1275/1000</f>
        <v>0</v>
      </c>
      <c r="O1214" s="9">
        <f>STATS1003B!O1275/1000</f>
        <v>0</v>
      </c>
      <c r="P1214" s="9">
        <f>STATS1003B!P1275/1000</f>
        <v>0</v>
      </c>
      <c r="Q1214" s="9">
        <f>STATS1003B!Q1275/1000</f>
        <v>0</v>
      </c>
      <c r="R1214" s="9">
        <f>STATS1003B!R1275/1000</f>
        <v>0</v>
      </c>
      <c r="S1214" s="9">
        <f>STATS1003B!S1275/1000</f>
        <v>0</v>
      </c>
      <c r="T1214" s="9">
        <f>STATS1003B!T1275/1000</f>
        <v>0</v>
      </c>
      <c r="U1214" s="9">
        <f>STATS1003B!U1275/1000</f>
        <v>0</v>
      </c>
      <c r="V1214" s="9">
        <f>STATS1003B!V1275/1000</f>
        <v>0</v>
      </c>
      <c r="W1214" s="9">
        <f>STATS1003B!W1275/1000</f>
        <v>0</v>
      </c>
      <c r="X1214" s="9">
        <f>STATS1003B!X1275/1000</f>
        <v>489</v>
      </c>
      <c r="Y1214" s="9">
        <f>STATS1003B!Y1275/1000</f>
        <v>0</v>
      </c>
      <c r="Z1214" s="9">
        <f>STATS1003B!Z1275/1000</f>
        <v>0</v>
      </c>
      <c r="AA1214" s="9">
        <f>STATS1003B!AA1275/1000</f>
        <v>489</v>
      </c>
      <c r="AB1214" s="9">
        <f>STATS1003B!AB1275/1000</f>
        <v>0</v>
      </c>
    </row>
    <row r="1215" spans="1:28" x14ac:dyDescent="0.35">
      <c r="A1215" s="36"/>
      <c r="B1215" s="8"/>
      <c r="C1215" s="7" t="s">
        <v>1144</v>
      </c>
      <c r="D1215" s="23" t="s">
        <v>1126</v>
      </c>
      <c r="E1215" s="9">
        <f>STATS1003B!E1276/1000</f>
        <v>508</v>
      </c>
      <c r="F1215" s="9">
        <f>STATS1003B!F1276/1000</f>
        <v>508</v>
      </c>
      <c r="G1215" s="9">
        <f>STATS1003B!G1276/1000</f>
        <v>0</v>
      </c>
      <c r="H1215" s="9">
        <f>STATS1003B!H1276/1000</f>
        <v>508</v>
      </c>
      <c r="I1215" s="9">
        <f>STATS1003B!I1276/1000</f>
        <v>0</v>
      </c>
      <c r="J1215" s="9">
        <f>STATS1003B!J1276/1000</f>
        <v>0</v>
      </c>
      <c r="K1215" s="9">
        <f>STATS1003B!K1276/1000</f>
        <v>0</v>
      </c>
      <c r="L1215" s="9">
        <f>STATS1003B!L1276/1000</f>
        <v>0</v>
      </c>
      <c r="M1215" s="9">
        <f>STATS1003B!M1276/1000</f>
        <v>508</v>
      </c>
      <c r="N1215" s="9">
        <f>STATS1003B!N1276/1000</f>
        <v>0</v>
      </c>
      <c r="O1215" s="9">
        <f>STATS1003B!O1276/1000</f>
        <v>0</v>
      </c>
      <c r="P1215" s="9">
        <f>STATS1003B!P1276/1000</f>
        <v>0</v>
      </c>
      <c r="Q1215" s="9">
        <f>STATS1003B!Q1276/1000</f>
        <v>0</v>
      </c>
      <c r="R1215" s="9">
        <f>STATS1003B!R1276/1000</f>
        <v>0</v>
      </c>
      <c r="S1215" s="9">
        <f>STATS1003B!S1276/1000</f>
        <v>0</v>
      </c>
      <c r="T1215" s="9">
        <f>STATS1003B!T1276/1000</f>
        <v>0</v>
      </c>
      <c r="U1215" s="9">
        <f>STATS1003B!U1276/1000</f>
        <v>0</v>
      </c>
      <c r="V1215" s="9">
        <f>STATS1003B!V1276/1000</f>
        <v>0</v>
      </c>
      <c r="W1215" s="9">
        <f>STATS1003B!W1276/1000</f>
        <v>0</v>
      </c>
      <c r="X1215" s="9">
        <f>STATS1003B!X1276/1000</f>
        <v>508</v>
      </c>
      <c r="Y1215" s="9">
        <f>STATS1003B!Y1276/1000</f>
        <v>0</v>
      </c>
      <c r="Z1215" s="9">
        <f>STATS1003B!Z1276/1000</f>
        <v>0</v>
      </c>
      <c r="AA1215" s="9">
        <f>STATS1003B!AA1276/1000</f>
        <v>508</v>
      </c>
      <c r="AB1215" s="9">
        <f>STATS1003B!AB1276/1000</f>
        <v>0</v>
      </c>
    </row>
    <row r="1216" spans="1:28" x14ac:dyDescent="0.35">
      <c r="A1216" s="36"/>
      <c r="B1216" s="8"/>
      <c r="C1216" s="7" t="s">
        <v>678</v>
      </c>
      <c r="D1216" s="57"/>
      <c r="E1216" s="9">
        <f>STATS1003B!E1280/1000</f>
        <v>6332.9068799999995</v>
      </c>
      <c r="F1216" s="9">
        <f>STATS1003B!F1280/1000</f>
        <v>6332.9068799999995</v>
      </c>
      <c r="G1216" s="9">
        <f>STATS1003B!G1280/1000</f>
        <v>0</v>
      </c>
      <c r="H1216" s="9">
        <f>STATS1003B!H1280/1000</f>
        <v>6332.9068799999995</v>
      </c>
      <c r="I1216" s="9">
        <f>STATS1003B!I1280/1000</f>
        <v>0</v>
      </c>
      <c r="J1216" s="9">
        <f>STATS1003B!J1280/1000</f>
        <v>6332.9068799999995</v>
      </c>
      <c r="K1216" s="9">
        <f>STATS1003B!K1280/1000</f>
        <v>0</v>
      </c>
      <c r="L1216" s="9">
        <f>STATS1003B!L1280/1000</f>
        <v>0</v>
      </c>
      <c r="M1216" s="9">
        <f>STATS1003B!M1280/1000</f>
        <v>6332.9068799999995</v>
      </c>
      <c r="N1216" s="9">
        <f>STATS1003B!N1280/1000</f>
        <v>0</v>
      </c>
      <c r="O1216" s="9">
        <f>STATS1003B!O1280/1000</f>
        <v>0</v>
      </c>
      <c r="P1216" s="9">
        <f>STATS1003B!P1280/1000</f>
        <v>0</v>
      </c>
      <c r="Q1216" s="9">
        <f>STATS1003B!Q1280/1000</f>
        <v>6332.9068799999995</v>
      </c>
      <c r="R1216" s="9">
        <f>STATS1003B!R1280/1000</f>
        <v>0</v>
      </c>
      <c r="S1216" s="9">
        <f>STATS1003B!S1280/1000</f>
        <v>0</v>
      </c>
      <c r="T1216" s="9">
        <f>STATS1003B!T1280/1000</f>
        <v>0</v>
      </c>
      <c r="U1216" s="9">
        <f>STATS1003B!U1280/1000</f>
        <v>0</v>
      </c>
      <c r="V1216" s="9">
        <f>STATS1003B!V1280/1000</f>
        <v>6332.9068799999995</v>
      </c>
      <c r="W1216" s="9">
        <f>STATS1003B!W1280/1000</f>
        <v>0</v>
      </c>
      <c r="X1216" s="9">
        <f>STATS1003B!X1280/1000</f>
        <v>6332.9068799999995</v>
      </c>
      <c r="Y1216" s="9">
        <f>STATS1003B!Y1280/1000</f>
        <v>0</v>
      </c>
      <c r="Z1216" s="9">
        <f>STATS1003B!Z1280/1000</f>
        <v>0</v>
      </c>
      <c r="AA1216" s="9">
        <f>STATS1003B!AA1280/1000</f>
        <v>6332.9068799999995</v>
      </c>
      <c r="AB1216" s="9">
        <f>STATS1003B!AB1280/1000</f>
        <v>0</v>
      </c>
    </row>
    <row r="1217" spans="1:28" x14ac:dyDescent="0.35">
      <c r="A1217" s="36"/>
      <c r="B1217" s="8"/>
      <c r="C1217" s="8"/>
      <c r="D1217" s="8"/>
      <c r="E1217" s="17" t="s">
        <v>29</v>
      </c>
      <c r="F1217" s="17" t="s">
        <v>29</v>
      </c>
      <c r="G1217" s="17" t="s">
        <v>29</v>
      </c>
      <c r="H1217" s="17" t="s">
        <v>29</v>
      </c>
      <c r="I1217" s="17" t="s">
        <v>29</v>
      </c>
      <c r="J1217" s="17" t="s">
        <v>29</v>
      </c>
      <c r="K1217" s="17" t="s">
        <v>29</v>
      </c>
      <c r="L1217" s="17" t="s">
        <v>29</v>
      </c>
      <c r="M1217" s="17" t="s">
        <v>29</v>
      </c>
      <c r="N1217" s="17" t="s">
        <v>29</v>
      </c>
      <c r="O1217" s="17" t="s">
        <v>29</v>
      </c>
      <c r="P1217" s="17" t="s">
        <v>29</v>
      </c>
      <c r="Q1217" s="17" t="s">
        <v>29</v>
      </c>
      <c r="R1217" s="17" t="s">
        <v>29</v>
      </c>
      <c r="S1217" s="17" t="s">
        <v>29</v>
      </c>
      <c r="T1217" s="17" t="s">
        <v>29</v>
      </c>
      <c r="U1217" s="17" t="s">
        <v>29</v>
      </c>
      <c r="V1217" s="17" t="s">
        <v>29</v>
      </c>
      <c r="W1217" s="17" t="s">
        <v>29</v>
      </c>
      <c r="X1217" s="17" t="s">
        <v>29</v>
      </c>
      <c r="Y1217" s="17" t="s">
        <v>29</v>
      </c>
      <c r="Z1217" s="17" t="s">
        <v>29</v>
      </c>
      <c r="AA1217" s="17" t="s">
        <v>29</v>
      </c>
      <c r="AB1217" s="17" t="s">
        <v>29</v>
      </c>
    </row>
    <row r="1218" spans="1:28" x14ac:dyDescent="0.35">
      <c r="A1218" s="36"/>
      <c r="B1218" s="8"/>
      <c r="C1218" s="8"/>
      <c r="D1218" s="8"/>
      <c r="E1218" s="9">
        <f t="shared" ref="E1218:Q1218" si="89">SUM(E1188:E1217)</f>
        <v>53741.32834</v>
      </c>
      <c r="F1218" s="9">
        <f t="shared" si="89"/>
        <v>48851.503249999994</v>
      </c>
      <c r="G1218" s="9">
        <f t="shared" si="89"/>
        <v>0</v>
      </c>
      <c r="H1218" s="9">
        <f t="shared" si="89"/>
        <v>48851.503249999994</v>
      </c>
      <c r="I1218" s="9">
        <f t="shared" si="89"/>
        <v>0</v>
      </c>
      <c r="J1218" s="9">
        <f t="shared" si="89"/>
        <v>44836.139639999994</v>
      </c>
      <c r="K1218" s="9">
        <f t="shared" si="89"/>
        <v>4889.8250900000003</v>
      </c>
      <c r="L1218" s="9">
        <f t="shared" si="89"/>
        <v>0</v>
      </c>
      <c r="M1218" s="9">
        <f t="shared" si="89"/>
        <v>48851.503249999994</v>
      </c>
      <c r="N1218" s="9">
        <f t="shared" si="89"/>
        <v>4889.8250900000003</v>
      </c>
      <c r="O1218" s="9">
        <f t="shared" si="89"/>
        <v>0</v>
      </c>
      <c r="P1218" s="9">
        <f t="shared" si="89"/>
        <v>4889.8250900000003</v>
      </c>
      <c r="Q1218" s="9">
        <f t="shared" si="89"/>
        <v>44836.139639999994</v>
      </c>
      <c r="R1218" s="17"/>
      <c r="S1218" s="17"/>
      <c r="T1218" s="9">
        <f t="shared" ref="T1218:Z1218" si="90">SUM(T1188:T1217)</f>
        <v>0</v>
      </c>
      <c r="U1218" s="9">
        <f t="shared" si="90"/>
        <v>4889.8250900000003</v>
      </c>
      <c r="V1218" s="9">
        <f t="shared" si="90"/>
        <v>52744.32834</v>
      </c>
      <c r="W1218" s="9">
        <f t="shared" si="90"/>
        <v>0</v>
      </c>
      <c r="X1218" s="9">
        <f t="shared" si="90"/>
        <v>53741.32834</v>
      </c>
      <c r="Y1218" s="9">
        <f t="shared" si="90"/>
        <v>0</v>
      </c>
      <c r="Z1218" s="9">
        <f t="shared" si="90"/>
        <v>0</v>
      </c>
      <c r="AA1218" s="9">
        <f>SUM(AA1188:AA1217)</f>
        <v>53741.32834</v>
      </c>
      <c r="AB1218" s="9">
        <f>SUM(AB1188:AB1217)</f>
        <v>0</v>
      </c>
    </row>
    <row r="1219" spans="1:28" x14ac:dyDescent="0.35">
      <c r="A1219" s="36"/>
      <c r="B1219" s="8"/>
      <c r="C1219" s="8"/>
      <c r="D1219" s="8"/>
      <c r="E1219" s="17" t="s">
        <v>29</v>
      </c>
      <c r="F1219" s="17" t="s">
        <v>29</v>
      </c>
      <c r="G1219" s="17" t="s">
        <v>29</v>
      </c>
      <c r="H1219" s="17" t="s">
        <v>29</v>
      </c>
      <c r="I1219" s="17" t="s">
        <v>29</v>
      </c>
      <c r="J1219" s="17" t="s">
        <v>29</v>
      </c>
      <c r="K1219" s="17" t="s">
        <v>29</v>
      </c>
      <c r="L1219" s="17" t="s">
        <v>29</v>
      </c>
      <c r="M1219" s="17" t="s">
        <v>29</v>
      </c>
      <c r="N1219" s="17" t="s">
        <v>29</v>
      </c>
      <c r="O1219" s="17" t="s">
        <v>29</v>
      </c>
      <c r="P1219" s="17" t="s">
        <v>29</v>
      </c>
      <c r="Q1219" s="17" t="s">
        <v>29</v>
      </c>
      <c r="R1219" s="17" t="s">
        <v>29</v>
      </c>
      <c r="S1219" s="17" t="s">
        <v>29</v>
      </c>
      <c r="T1219" s="17" t="s">
        <v>29</v>
      </c>
      <c r="U1219" s="17" t="s">
        <v>29</v>
      </c>
      <c r="V1219" s="17" t="s">
        <v>29</v>
      </c>
      <c r="W1219" s="17" t="s">
        <v>29</v>
      </c>
      <c r="X1219" s="17" t="s">
        <v>29</v>
      </c>
      <c r="Y1219" s="17" t="s">
        <v>29</v>
      </c>
      <c r="Z1219" s="17" t="s">
        <v>29</v>
      </c>
      <c r="AA1219" s="17" t="s">
        <v>29</v>
      </c>
      <c r="AB1219" s="17" t="s">
        <v>29</v>
      </c>
    </row>
    <row r="1220" spans="1:28" x14ac:dyDescent="0.35">
      <c r="A1220" s="38" t="s">
        <v>995</v>
      </c>
      <c r="B1220" s="7" t="s">
        <v>695</v>
      </c>
      <c r="C1220" s="8"/>
      <c r="D1220" s="8"/>
      <c r="E1220" s="8"/>
      <c r="F1220" s="8"/>
      <c r="G1220" s="8"/>
      <c r="H1220" s="8"/>
      <c r="I1220" s="8"/>
      <c r="J1220" s="8"/>
      <c r="K1220" s="8"/>
      <c r="L1220" s="8"/>
      <c r="M1220" s="8"/>
      <c r="N1220" s="8"/>
      <c r="O1220" s="8"/>
      <c r="P1220" s="8"/>
      <c r="Q1220" s="8"/>
      <c r="R1220" s="17"/>
      <c r="S1220" s="17"/>
      <c r="T1220" s="17"/>
      <c r="U1220" s="17"/>
      <c r="V1220" s="17"/>
      <c r="W1220" s="17"/>
      <c r="X1220" s="17"/>
      <c r="Y1220" s="17"/>
      <c r="Z1220" s="17"/>
    </row>
    <row r="1221" spans="1:28" x14ac:dyDescent="0.35">
      <c r="A1221" s="36"/>
      <c r="B1221" s="8"/>
      <c r="C1221" s="7" t="s">
        <v>539</v>
      </c>
      <c r="D1221" s="15" t="s">
        <v>68</v>
      </c>
      <c r="E1221" s="9">
        <f>STATS1003B!E1285/1000</f>
        <v>12810.063249999997</v>
      </c>
      <c r="F1221" s="9">
        <f>STATS1003B!F1285/1000</f>
        <v>0</v>
      </c>
      <c r="G1221" s="9">
        <f>STATS1003B!G1285/1000</f>
        <v>0</v>
      </c>
      <c r="H1221" s="9">
        <f>STATS1003B!H1285/1000</f>
        <v>0</v>
      </c>
      <c r="I1221" s="9">
        <f>STATS1003B!I1285/1000</f>
        <v>0</v>
      </c>
      <c r="J1221" s="9">
        <f>STATS1003B!J1285/1000</f>
        <v>0</v>
      </c>
      <c r="K1221" s="9">
        <f>STATS1003B!K1285/1000</f>
        <v>12810.063249999997</v>
      </c>
      <c r="L1221" s="9">
        <f>STATS1003B!L1285/1000</f>
        <v>0</v>
      </c>
      <c r="M1221" s="9">
        <f>STATS1003B!M1285/1000</f>
        <v>0</v>
      </c>
      <c r="N1221" s="9">
        <f>STATS1003B!N1285/1000</f>
        <v>12810.063249999999</v>
      </c>
      <c r="O1221" s="9">
        <f>STATS1003B!O1285/1000</f>
        <v>0</v>
      </c>
      <c r="P1221" s="9">
        <f>STATS1003B!P1285/1000</f>
        <v>12810.063249999999</v>
      </c>
      <c r="Q1221" s="9">
        <f>STATS1003B!Q1285/1000</f>
        <v>0</v>
      </c>
      <c r="R1221" s="9">
        <f>STATS1003B!R1285/1000</f>
        <v>0</v>
      </c>
      <c r="S1221" s="9">
        <f>STATS1003B!S1285/1000</f>
        <v>0</v>
      </c>
      <c r="T1221" s="9">
        <f>STATS1003B!T1285/1000</f>
        <v>0</v>
      </c>
      <c r="U1221" s="9">
        <f>STATS1003B!U1285/1000</f>
        <v>12810.063249999999</v>
      </c>
      <c r="V1221" s="9">
        <f>STATS1003B!V1285/1000</f>
        <v>12810.063249999999</v>
      </c>
      <c r="W1221" s="9">
        <f>STATS1003B!W1285/1000</f>
        <v>0</v>
      </c>
      <c r="X1221" s="9">
        <f>STATS1003B!X1285/1000</f>
        <v>12810.063249999999</v>
      </c>
      <c r="Y1221" s="9">
        <f>STATS1003B!Y1285/1000</f>
        <v>0</v>
      </c>
      <c r="Z1221" s="9">
        <f>STATS1003B!Z1285/1000</f>
        <v>0</v>
      </c>
      <c r="AA1221" s="9">
        <f>STATS1003B!AA1285/1000</f>
        <v>12810.063249999999</v>
      </c>
      <c r="AB1221" s="9">
        <f>STATS1003B!AB1285/1000</f>
        <v>0</v>
      </c>
    </row>
    <row r="1222" spans="1:28" x14ac:dyDescent="0.35">
      <c r="A1222" s="36"/>
      <c r="B1222" s="8"/>
      <c r="C1222" s="7" t="s">
        <v>535</v>
      </c>
      <c r="D1222" s="15" t="s">
        <v>68</v>
      </c>
      <c r="E1222" s="9">
        <f>STATS1003B!E1286/1000</f>
        <v>1448.75</v>
      </c>
      <c r="F1222" s="9">
        <f>STATS1003B!F1286/1000</f>
        <v>910.32299999999998</v>
      </c>
      <c r="G1222" s="9">
        <f>STATS1003B!G1286/1000</f>
        <v>0</v>
      </c>
      <c r="H1222" s="9">
        <f>STATS1003B!H1286/1000</f>
        <v>910.32299999999998</v>
      </c>
      <c r="I1222" s="9">
        <f>STATS1003B!I1286/1000</f>
        <v>0</v>
      </c>
      <c r="J1222" s="9">
        <f>STATS1003B!J1286/1000</f>
        <v>910.32299999999998</v>
      </c>
      <c r="K1222" s="9">
        <f>STATS1003B!K1286/1000</f>
        <v>538.42700000000002</v>
      </c>
      <c r="L1222" s="9">
        <f>STATS1003B!L1286/1000</f>
        <v>0</v>
      </c>
      <c r="M1222" s="9">
        <f>STATS1003B!M1286/1000</f>
        <v>910.32299999999998</v>
      </c>
      <c r="N1222" s="9">
        <f>STATS1003B!N1286/1000</f>
        <v>538.42700000000002</v>
      </c>
      <c r="O1222" s="9">
        <f>STATS1003B!O1286/1000</f>
        <v>0</v>
      </c>
      <c r="P1222" s="9">
        <f>STATS1003B!P1286/1000</f>
        <v>538.42700000000002</v>
      </c>
      <c r="Q1222" s="9">
        <f>STATS1003B!Q1286/1000</f>
        <v>910.32299999999998</v>
      </c>
      <c r="R1222" s="9">
        <f>STATS1003B!R1286/1000</f>
        <v>0</v>
      </c>
      <c r="S1222" s="9">
        <f>STATS1003B!S1286/1000</f>
        <v>0</v>
      </c>
      <c r="T1222" s="9">
        <f>STATS1003B!T1286/1000</f>
        <v>0</v>
      </c>
      <c r="U1222" s="9">
        <f>STATS1003B!U1286/1000</f>
        <v>538.42700000000002</v>
      </c>
      <c r="V1222" s="9">
        <f>STATS1003B!V1286/1000</f>
        <v>1448.75</v>
      </c>
      <c r="W1222" s="9">
        <f>STATS1003B!W1286/1000</f>
        <v>0</v>
      </c>
      <c r="X1222" s="9">
        <f>STATS1003B!X1286/1000</f>
        <v>1448.75</v>
      </c>
      <c r="Y1222" s="9">
        <f>STATS1003B!Y1286/1000</f>
        <v>0</v>
      </c>
      <c r="Z1222" s="9">
        <f>STATS1003B!Z1286/1000</f>
        <v>0</v>
      </c>
      <c r="AA1222" s="9">
        <f>STATS1003B!AA1286/1000</f>
        <v>1448.75</v>
      </c>
      <c r="AB1222" s="9">
        <f>STATS1003B!AB1286/1000</f>
        <v>0</v>
      </c>
    </row>
    <row r="1223" spans="1:28" x14ac:dyDescent="0.35">
      <c r="A1223" s="36"/>
      <c r="B1223" s="8"/>
      <c r="C1223" s="7" t="s">
        <v>535</v>
      </c>
      <c r="D1223" s="15" t="s">
        <v>54</v>
      </c>
      <c r="E1223" s="9">
        <f>STATS1003B!E1287/1000</f>
        <v>627</v>
      </c>
      <c r="F1223" s="9">
        <f>STATS1003B!F1287/1000</f>
        <v>467.17700000000002</v>
      </c>
      <c r="G1223" s="9">
        <f>STATS1003B!G1287/1000</f>
        <v>0</v>
      </c>
      <c r="H1223" s="9">
        <f>STATS1003B!H1287/1000</f>
        <v>467.17700000000002</v>
      </c>
      <c r="I1223" s="9">
        <f>STATS1003B!I1287/1000</f>
        <v>0</v>
      </c>
      <c r="J1223" s="9">
        <f>STATS1003B!J1287/1000</f>
        <v>467.17700000000002</v>
      </c>
      <c r="K1223" s="9">
        <f>STATS1003B!K1287/1000</f>
        <v>159.82300000000001</v>
      </c>
      <c r="L1223" s="9">
        <f>STATS1003B!L1287/1000</f>
        <v>0</v>
      </c>
      <c r="M1223" s="9">
        <f>STATS1003B!M1287/1000</f>
        <v>467.17700000000002</v>
      </c>
      <c r="N1223" s="9">
        <f>STATS1003B!N1287/1000</f>
        <v>159.82300000000001</v>
      </c>
      <c r="O1223" s="9">
        <f>STATS1003B!O1287/1000</f>
        <v>0</v>
      </c>
      <c r="P1223" s="9">
        <f>STATS1003B!P1287/1000</f>
        <v>159.82300000000001</v>
      </c>
      <c r="Q1223" s="9">
        <f>STATS1003B!Q1287/1000</f>
        <v>467.17700000000002</v>
      </c>
      <c r="R1223" s="9">
        <f>STATS1003B!R1287/1000</f>
        <v>0</v>
      </c>
      <c r="S1223" s="9">
        <f>STATS1003B!S1287/1000</f>
        <v>0</v>
      </c>
      <c r="T1223" s="9">
        <f>STATS1003B!T1287/1000</f>
        <v>0</v>
      </c>
      <c r="U1223" s="9">
        <f>STATS1003B!U1287/1000</f>
        <v>159.82300000000001</v>
      </c>
      <c r="V1223" s="9">
        <f>STATS1003B!V1287/1000</f>
        <v>627</v>
      </c>
      <c r="W1223" s="9">
        <f>STATS1003B!W1287/1000</f>
        <v>0</v>
      </c>
      <c r="X1223" s="9">
        <f>STATS1003B!X1287/1000</f>
        <v>627</v>
      </c>
      <c r="Y1223" s="9">
        <f>STATS1003B!Y1287/1000</f>
        <v>0</v>
      </c>
      <c r="Z1223" s="9">
        <f>STATS1003B!Z1287/1000</f>
        <v>0</v>
      </c>
      <c r="AA1223" s="9">
        <f>STATS1003B!AA1287/1000</f>
        <v>627</v>
      </c>
      <c r="AB1223" s="9">
        <f>STATS1003B!AB1287/1000</f>
        <v>0</v>
      </c>
    </row>
    <row r="1224" spans="1:28" x14ac:dyDescent="0.35">
      <c r="A1224" s="36"/>
      <c r="B1224" s="8"/>
      <c r="C1224" s="7" t="s">
        <v>696</v>
      </c>
      <c r="D1224" s="15" t="s">
        <v>54</v>
      </c>
      <c r="E1224" s="9">
        <f>STATS1003B!E1288/1000</f>
        <v>285</v>
      </c>
      <c r="F1224" s="9">
        <f>STATS1003B!F1288/1000</f>
        <v>285</v>
      </c>
      <c r="G1224" s="9">
        <f>STATS1003B!G1288/1000</f>
        <v>0</v>
      </c>
      <c r="H1224" s="9">
        <f>STATS1003B!H1288/1000</f>
        <v>285</v>
      </c>
      <c r="I1224" s="9">
        <f>STATS1003B!I1288/1000</f>
        <v>0</v>
      </c>
      <c r="J1224" s="9">
        <f>STATS1003B!J1288/1000</f>
        <v>285</v>
      </c>
      <c r="K1224" s="9">
        <f>STATS1003B!K1288/1000</f>
        <v>0</v>
      </c>
      <c r="L1224" s="9">
        <f>STATS1003B!L1288/1000</f>
        <v>0</v>
      </c>
      <c r="M1224" s="9">
        <f>STATS1003B!M1288/1000</f>
        <v>285</v>
      </c>
      <c r="N1224" s="9">
        <f>STATS1003B!N1288/1000</f>
        <v>0</v>
      </c>
      <c r="O1224" s="9">
        <f>STATS1003B!O1288/1000</f>
        <v>0</v>
      </c>
      <c r="P1224" s="9">
        <f>STATS1003B!P1288/1000</f>
        <v>0</v>
      </c>
      <c r="Q1224" s="9">
        <f>STATS1003B!Q1288/1000</f>
        <v>285</v>
      </c>
      <c r="R1224" s="9">
        <f>STATS1003B!R1288/1000</f>
        <v>0</v>
      </c>
      <c r="S1224" s="9">
        <f>STATS1003B!S1288/1000</f>
        <v>0</v>
      </c>
      <c r="T1224" s="9">
        <f>STATS1003B!T1288/1000</f>
        <v>0</v>
      </c>
      <c r="U1224" s="9">
        <f>STATS1003B!U1288/1000</f>
        <v>0</v>
      </c>
      <c r="V1224" s="9">
        <f>STATS1003B!V1288/1000</f>
        <v>285</v>
      </c>
      <c r="W1224" s="9">
        <f>STATS1003B!W1288/1000</f>
        <v>0</v>
      </c>
      <c r="X1224" s="9">
        <f>STATS1003B!X1288/1000</f>
        <v>285</v>
      </c>
      <c r="Y1224" s="9">
        <f>STATS1003B!Y1288/1000</f>
        <v>0</v>
      </c>
      <c r="Z1224" s="9">
        <f>STATS1003B!Z1288/1000</f>
        <v>0</v>
      </c>
      <c r="AA1224" s="9">
        <f>STATS1003B!AA1288/1000</f>
        <v>285</v>
      </c>
      <c r="AB1224" s="9">
        <f>STATS1003B!AB1288/1000</f>
        <v>0</v>
      </c>
    </row>
    <row r="1225" spans="1:28" x14ac:dyDescent="0.35">
      <c r="A1225" s="36"/>
      <c r="B1225" s="8"/>
      <c r="C1225" s="7" t="s">
        <v>545</v>
      </c>
      <c r="D1225" s="15" t="s">
        <v>54</v>
      </c>
      <c r="E1225" s="9">
        <f>STATS1003B!E1289/1000</f>
        <v>1953.989</v>
      </c>
      <c r="F1225" s="9">
        <f>STATS1003B!F1289/1000</f>
        <v>0</v>
      </c>
      <c r="G1225" s="9">
        <f>STATS1003B!G1289/1000</f>
        <v>0</v>
      </c>
      <c r="H1225" s="9">
        <f>STATS1003B!H1289/1000</f>
        <v>0</v>
      </c>
      <c r="I1225" s="9">
        <f>STATS1003B!I1289/1000</f>
        <v>0</v>
      </c>
      <c r="J1225" s="9">
        <f>STATS1003B!J1289/1000</f>
        <v>0</v>
      </c>
      <c r="K1225" s="9">
        <f>STATS1003B!K1289/1000</f>
        <v>1953.989</v>
      </c>
      <c r="L1225" s="9">
        <f>STATS1003B!L1289/1000</f>
        <v>0</v>
      </c>
      <c r="M1225" s="9">
        <f>STATS1003B!M1289/1000</f>
        <v>0</v>
      </c>
      <c r="N1225" s="9">
        <f>STATS1003B!N1289/1000</f>
        <v>1953.989</v>
      </c>
      <c r="O1225" s="9">
        <f>STATS1003B!O1289/1000</f>
        <v>0</v>
      </c>
      <c r="P1225" s="9">
        <f>STATS1003B!P1289/1000</f>
        <v>1953.989</v>
      </c>
      <c r="Q1225" s="9">
        <f>STATS1003B!Q1289/1000</f>
        <v>0</v>
      </c>
      <c r="R1225" s="9">
        <f>STATS1003B!R1289/1000</f>
        <v>0</v>
      </c>
      <c r="S1225" s="9">
        <f>STATS1003B!S1289/1000</f>
        <v>0</v>
      </c>
      <c r="T1225" s="9">
        <f>STATS1003B!T1289/1000</f>
        <v>0</v>
      </c>
      <c r="U1225" s="9">
        <f>STATS1003B!U1289/1000</f>
        <v>1953.989</v>
      </c>
      <c r="V1225" s="9">
        <f>STATS1003B!V1289/1000</f>
        <v>1953.989</v>
      </c>
      <c r="W1225" s="9">
        <f>STATS1003B!W1289/1000</f>
        <v>0</v>
      </c>
      <c r="X1225" s="9">
        <f>STATS1003B!X1289/1000</f>
        <v>1953.989</v>
      </c>
      <c r="Y1225" s="9">
        <f>STATS1003B!Y1289/1000</f>
        <v>0</v>
      </c>
      <c r="Z1225" s="9">
        <f>STATS1003B!Z1289/1000</f>
        <v>0</v>
      </c>
      <c r="AA1225" s="9">
        <f>STATS1003B!AA1289/1000</f>
        <v>1953.989</v>
      </c>
      <c r="AB1225" s="9">
        <f>STATS1003B!AB1289/1000</f>
        <v>0</v>
      </c>
    </row>
    <row r="1226" spans="1:28" x14ac:dyDescent="0.35">
      <c r="A1226" s="36"/>
      <c r="B1226" s="8"/>
      <c r="C1226" s="7" t="s">
        <v>655</v>
      </c>
      <c r="D1226" s="15" t="s">
        <v>54</v>
      </c>
      <c r="E1226" s="9">
        <f>STATS1003B!E1290/1000</f>
        <v>955.34561999999994</v>
      </c>
      <c r="F1226" s="9">
        <f>STATS1003B!F1290/1000</f>
        <v>0</v>
      </c>
      <c r="G1226" s="9">
        <f>STATS1003B!G1290/1000</f>
        <v>0</v>
      </c>
      <c r="H1226" s="9">
        <f>STATS1003B!H1290/1000</f>
        <v>0</v>
      </c>
      <c r="I1226" s="9">
        <f>STATS1003B!I1290/1000</f>
        <v>0</v>
      </c>
      <c r="J1226" s="9">
        <f>STATS1003B!J1290/1000</f>
        <v>0</v>
      </c>
      <c r="K1226" s="9">
        <f>STATS1003B!K1290/1000</f>
        <v>955.34561999999994</v>
      </c>
      <c r="L1226" s="9">
        <f>STATS1003B!L1290/1000</f>
        <v>0</v>
      </c>
      <c r="M1226" s="9">
        <f>STATS1003B!M1290/1000</f>
        <v>0</v>
      </c>
      <c r="N1226" s="9">
        <f>STATS1003B!N1290/1000</f>
        <v>955.34561999999994</v>
      </c>
      <c r="O1226" s="9">
        <f>STATS1003B!O1290/1000</f>
        <v>0</v>
      </c>
      <c r="P1226" s="9">
        <f>STATS1003B!P1290/1000</f>
        <v>955.34561999999994</v>
      </c>
      <c r="Q1226" s="9">
        <f>STATS1003B!Q1290/1000</f>
        <v>0</v>
      </c>
      <c r="R1226" s="9">
        <f>STATS1003B!R1290/1000</f>
        <v>0</v>
      </c>
      <c r="S1226" s="9">
        <f>STATS1003B!S1290/1000</f>
        <v>0</v>
      </c>
      <c r="T1226" s="9">
        <f>STATS1003B!T1290/1000</f>
        <v>0</v>
      </c>
      <c r="U1226" s="9">
        <f>STATS1003B!U1290/1000</f>
        <v>955.34561999999994</v>
      </c>
      <c r="V1226" s="9">
        <f>STATS1003B!V1290/1000</f>
        <v>955.34561999999994</v>
      </c>
      <c r="W1226" s="9">
        <f>STATS1003B!W1290/1000</f>
        <v>0</v>
      </c>
      <c r="X1226" s="9">
        <f>STATS1003B!X1290/1000</f>
        <v>955.34561999999994</v>
      </c>
      <c r="Y1226" s="9">
        <f>STATS1003B!Y1290/1000</f>
        <v>0</v>
      </c>
      <c r="Z1226" s="9">
        <f>STATS1003B!Z1290/1000</f>
        <v>0</v>
      </c>
      <c r="AA1226" s="9">
        <f>STATS1003B!AA1290/1000</f>
        <v>955.34561999999994</v>
      </c>
      <c r="AB1226" s="9">
        <f>STATS1003B!AB1290/1000</f>
        <v>0</v>
      </c>
    </row>
    <row r="1227" spans="1:28" x14ac:dyDescent="0.35">
      <c r="A1227" s="36"/>
      <c r="B1227" s="8"/>
      <c r="C1227" s="7" t="s">
        <v>535</v>
      </c>
      <c r="D1227" s="15" t="s">
        <v>85</v>
      </c>
      <c r="E1227" s="9">
        <f>STATS1003B!E1291/1000</f>
        <v>1186.2000500000001</v>
      </c>
      <c r="F1227" s="9">
        <f>STATS1003B!F1291/1000</f>
        <v>1057.6659999999999</v>
      </c>
      <c r="G1227" s="9">
        <f>STATS1003B!G1291/1000</f>
        <v>0</v>
      </c>
      <c r="H1227" s="9">
        <f>STATS1003B!H1291/1000</f>
        <v>1057.6659999999999</v>
      </c>
      <c r="I1227" s="9">
        <f>STATS1003B!I1291/1000</f>
        <v>0</v>
      </c>
      <c r="J1227" s="9">
        <f>STATS1003B!J1291/1000</f>
        <v>1057.6659999999999</v>
      </c>
      <c r="K1227" s="9">
        <f>STATS1003B!K1291/1000</f>
        <v>128.53405000000001</v>
      </c>
      <c r="L1227" s="9">
        <f>STATS1003B!L1291/1000</f>
        <v>0</v>
      </c>
      <c r="M1227" s="9">
        <f>STATS1003B!M1291/1000</f>
        <v>1057.6659999999999</v>
      </c>
      <c r="N1227" s="9">
        <f>STATS1003B!N1291/1000</f>
        <v>128.53405000000001</v>
      </c>
      <c r="O1227" s="9">
        <f>STATS1003B!O1291/1000</f>
        <v>0</v>
      </c>
      <c r="P1227" s="9">
        <f>STATS1003B!P1291/1000</f>
        <v>128.53405000000001</v>
      </c>
      <c r="Q1227" s="9">
        <f>STATS1003B!Q1291/1000</f>
        <v>1057.6659999999999</v>
      </c>
      <c r="R1227" s="9">
        <f>STATS1003B!R1291/1000</f>
        <v>0</v>
      </c>
      <c r="S1227" s="9">
        <f>STATS1003B!S1291/1000</f>
        <v>0</v>
      </c>
      <c r="T1227" s="9">
        <f>STATS1003B!T1291/1000</f>
        <v>0</v>
      </c>
      <c r="U1227" s="9">
        <f>STATS1003B!U1291/1000</f>
        <v>128.53405000000001</v>
      </c>
      <c r="V1227" s="9">
        <f>STATS1003B!V1291/1000</f>
        <v>1186.2000500000001</v>
      </c>
      <c r="W1227" s="9">
        <f>STATS1003B!W1291/1000</f>
        <v>0</v>
      </c>
      <c r="X1227" s="9">
        <f>STATS1003B!X1291/1000</f>
        <v>1186.2000500000001</v>
      </c>
      <c r="Y1227" s="9">
        <f>STATS1003B!Y1291/1000</f>
        <v>0</v>
      </c>
      <c r="Z1227" s="9">
        <f>STATS1003B!Z1291/1000</f>
        <v>0</v>
      </c>
      <c r="AA1227" s="9">
        <f>STATS1003B!AA1291/1000</f>
        <v>1186.2000500000001</v>
      </c>
      <c r="AB1227" s="9">
        <f>STATS1003B!AB1291/1000</f>
        <v>0</v>
      </c>
    </row>
    <row r="1228" spans="1:28" x14ac:dyDescent="0.35">
      <c r="A1228" s="36"/>
      <c r="B1228" s="8"/>
      <c r="C1228" s="7" t="s">
        <v>667</v>
      </c>
      <c r="D1228" s="15" t="s">
        <v>85</v>
      </c>
      <c r="E1228" s="9">
        <f>STATS1003B!E1292/1000</f>
        <v>80</v>
      </c>
      <c r="F1228" s="9">
        <f>STATS1003B!F1292/1000</f>
        <v>80</v>
      </c>
      <c r="G1228" s="9">
        <f>STATS1003B!G1292/1000</f>
        <v>0</v>
      </c>
      <c r="H1228" s="9">
        <f>STATS1003B!H1292/1000</f>
        <v>80</v>
      </c>
      <c r="I1228" s="9">
        <f>STATS1003B!I1292/1000</f>
        <v>0</v>
      </c>
      <c r="J1228" s="9">
        <f>STATS1003B!J1292/1000</f>
        <v>80</v>
      </c>
      <c r="K1228" s="9">
        <f>STATS1003B!K1292/1000</f>
        <v>0</v>
      </c>
      <c r="L1228" s="9">
        <f>STATS1003B!L1292/1000</f>
        <v>0</v>
      </c>
      <c r="M1228" s="9">
        <f>STATS1003B!M1292/1000</f>
        <v>80</v>
      </c>
      <c r="N1228" s="9">
        <f>STATS1003B!N1292/1000</f>
        <v>0</v>
      </c>
      <c r="O1228" s="9">
        <f>STATS1003B!O1292/1000</f>
        <v>0</v>
      </c>
      <c r="P1228" s="9">
        <f>STATS1003B!P1292/1000</f>
        <v>0</v>
      </c>
      <c r="Q1228" s="9">
        <f>STATS1003B!Q1292/1000</f>
        <v>80</v>
      </c>
      <c r="R1228" s="9">
        <f>STATS1003B!R1292/1000</f>
        <v>0</v>
      </c>
      <c r="S1228" s="9">
        <f>STATS1003B!S1292/1000</f>
        <v>0</v>
      </c>
      <c r="T1228" s="9">
        <f>STATS1003B!T1292/1000</f>
        <v>0</v>
      </c>
      <c r="U1228" s="9">
        <f>STATS1003B!U1292/1000</f>
        <v>0</v>
      </c>
      <c r="V1228" s="9">
        <f>STATS1003B!V1292/1000</f>
        <v>80</v>
      </c>
      <c r="W1228" s="9">
        <f>STATS1003B!W1292/1000</f>
        <v>0</v>
      </c>
      <c r="X1228" s="9">
        <f>STATS1003B!X1292/1000</f>
        <v>80</v>
      </c>
      <c r="Y1228" s="9">
        <f>STATS1003B!Y1292/1000</f>
        <v>0</v>
      </c>
      <c r="Z1228" s="9">
        <f>STATS1003B!Z1292/1000</f>
        <v>0</v>
      </c>
      <c r="AA1228" s="9">
        <f>STATS1003B!AA1292/1000</f>
        <v>80</v>
      </c>
      <c r="AB1228" s="9">
        <f>STATS1003B!AB1292/1000</f>
        <v>0</v>
      </c>
    </row>
    <row r="1229" spans="1:28" x14ac:dyDescent="0.35">
      <c r="A1229" s="36"/>
      <c r="B1229" s="8"/>
      <c r="C1229" s="7" t="s">
        <v>697</v>
      </c>
      <c r="D1229" s="15" t="s">
        <v>85</v>
      </c>
      <c r="E1229" s="9">
        <f>STATS1003B!E1293/1000</f>
        <v>277.60000000000002</v>
      </c>
      <c r="F1229" s="9">
        <f>STATS1003B!F1293/1000</f>
        <v>0</v>
      </c>
      <c r="G1229" s="9">
        <f>STATS1003B!G1293/1000</f>
        <v>0</v>
      </c>
      <c r="H1229" s="9">
        <f>STATS1003B!H1293/1000</f>
        <v>0</v>
      </c>
      <c r="I1229" s="9">
        <f>STATS1003B!I1293/1000</f>
        <v>0</v>
      </c>
      <c r="J1229" s="9">
        <f>STATS1003B!J1293/1000</f>
        <v>0</v>
      </c>
      <c r="K1229" s="9">
        <f>STATS1003B!K1293/1000</f>
        <v>0</v>
      </c>
      <c r="L1229" s="9">
        <f>STATS1003B!L1293/1000</f>
        <v>0</v>
      </c>
      <c r="M1229" s="9">
        <f>STATS1003B!M1293/1000</f>
        <v>0</v>
      </c>
      <c r="N1229" s="9">
        <f>STATS1003B!N1293/1000</f>
        <v>0</v>
      </c>
      <c r="O1229" s="9">
        <f>STATS1003B!O1293/1000</f>
        <v>0</v>
      </c>
      <c r="P1229" s="9">
        <f>STATS1003B!P1293/1000</f>
        <v>0</v>
      </c>
      <c r="Q1229" s="9">
        <f>STATS1003B!Q1293/1000</f>
        <v>277.60000000000002</v>
      </c>
      <c r="R1229" s="9">
        <f>STATS1003B!R1293/1000</f>
        <v>0</v>
      </c>
      <c r="S1229" s="9">
        <f>STATS1003B!S1293/1000</f>
        <v>0</v>
      </c>
      <c r="T1229" s="9">
        <f>STATS1003B!T1293/1000</f>
        <v>0</v>
      </c>
      <c r="U1229" s="9">
        <f>STATS1003B!U1293/1000</f>
        <v>0</v>
      </c>
      <c r="V1229" s="9">
        <f>STATS1003B!V1293/1000</f>
        <v>0</v>
      </c>
      <c r="W1229" s="9">
        <f>STATS1003B!W1293/1000</f>
        <v>277.60000000000002</v>
      </c>
      <c r="X1229" s="9">
        <f>STATS1003B!X1293/1000</f>
        <v>0</v>
      </c>
      <c r="Y1229" s="9">
        <f>STATS1003B!Y1293/1000</f>
        <v>0</v>
      </c>
      <c r="Z1229" s="9">
        <f>STATS1003B!Z1293/1000</f>
        <v>277.60000000000002</v>
      </c>
      <c r="AA1229" s="9">
        <f>STATS1003B!AA1293/1000</f>
        <v>0</v>
      </c>
      <c r="AB1229" s="9">
        <f>STATS1003B!AB1293/1000</f>
        <v>277.60000000000002</v>
      </c>
    </row>
    <row r="1230" spans="1:28" x14ac:dyDescent="0.35">
      <c r="A1230" s="36"/>
      <c r="B1230" s="8"/>
      <c r="C1230" s="7" t="s">
        <v>698</v>
      </c>
      <c r="D1230" s="15" t="s">
        <v>128</v>
      </c>
      <c r="E1230" s="9">
        <f>STATS1003B!E1294/1000</f>
        <v>1600</v>
      </c>
      <c r="F1230" s="9">
        <f>STATS1003B!F1294/1000</f>
        <v>1600</v>
      </c>
      <c r="G1230" s="9">
        <f>STATS1003B!G1294/1000</f>
        <v>0</v>
      </c>
      <c r="H1230" s="9">
        <f>STATS1003B!H1294/1000</f>
        <v>1600</v>
      </c>
      <c r="I1230" s="9">
        <f>STATS1003B!I1294/1000</f>
        <v>0</v>
      </c>
      <c r="J1230" s="9">
        <f>STATS1003B!J1294/1000</f>
        <v>1600</v>
      </c>
      <c r="K1230" s="9">
        <f>STATS1003B!K1294/1000</f>
        <v>0</v>
      </c>
      <c r="L1230" s="9">
        <f>STATS1003B!L1294/1000</f>
        <v>0</v>
      </c>
      <c r="M1230" s="9">
        <f>STATS1003B!M1294/1000</f>
        <v>1600</v>
      </c>
      <c r="N1230" s="9">
        <f>STATS1003B!N1294/1000</f>
        <v>0</v>
      </c>
      <c r="O1230" s="9">
        <f>STATS1003B!O1294/1000</f>
        <v>0</v>
      </c>
      <c r="P1230" s="9">
        <f>STATS1003B!P1294/1000</f>
        <v>0</v>
      </c>
      <c r="Q1230" s="9">
        <f>STATS1003B!Q1294/1000</f>
        <v>1600</v>
      </c>
      <c r="R1230" s="9">
        <f>STATS1003B!R1294/1000</f>
        <v>0</v>
      </c>
      <c r="S1230" s="9">
        <f>STATS1003B!S1294/1000</f>
        <v>0</v>
      </c>
      <c r="T1230" s="9">
        <f>STATS1003B!T1294/1000</f>
        <v>0</v>
      </c>
      <c r="U1230" s="9">
        <f>STATS1003B!U1294/1000</f>
        <v>0</v>
      </c>
      <c r="V1230" s="9">
        <f>STATS1003B!V1294/1000</f>
        <v>1600</v>
      </c>
      <c r="W1230" s="9">
        <f>STATS1003B!W1294/1000</f>
        <v>0</v>
      </c>
      <c r="X1230" s="9">
        <f>STATS1003B!X1294/1000</f>
        <v>1600</v>
      </c>
      <c r="Y1230" s="9">
        <f>STATS1003B!Y1294/1000</f>
        <v>0</v>
      </c>
      <c r="Z1230" s="9">
        <f>STATS1003B!Z1294/1000</f>
        <v>0</v>
      </c>
      <c r="AA1230" s="9">
        <f>STATS1003B!AA1294/1000</f>
        <v>1600</v>
      </c>
      <c r="AB1230" s="9">
        <f>STATS1003B!AB1294/1000</f>
        <v>0</v>
      </c>
    </row>
    <row r="1231" spans="1:28" x14ac:dyDescent="0.35">
      <c r="A1231" s="36"/>
      <c r="B1231" s="8"/>
      <c r="C1231" s="7" t="s">
        <v>699</v>
      </c>
      <c r="D1231" s="15" t="s">
        <v>128</v>
      </c>
      <c r="E1231" s="9">
        <f>STATS1003B!E1295/1000</f>
        <v>800</v>
      </c>
      <c r="F1231" s="9">
        <f>STATS1003B!F1295/1000</f>
        <v>800</v>
      </c>
      <c r="G1231" s="9">
        <f>STATS1003B!G1295/1000</f>
        <v>0</v>
      </c>
      <c r="H1231" s="9">
        <f>STATS1003B!H1295/1000</f>
        <v>800</v>
      </c>
      <c r="I1231" s="9">
        <f>STATS1003B!I1295/1000</f>
        <v>0</v>
      </c>
      <c r="J1231" s="9">
        <f>STATS1003B!J1295/1000</f>
        <v>800</v>
      </c>
      <c r="K1231" s="9">
        <f>STATS1003B!K1295/1000</f>
        <v>0</v>
      </c>
      <c r="L1231" s="9">
        <f>STATS1003B!L1295/1000</f>
        <v>0</v>
      </c>
      <c r="M1231" s="9">
        <f>STATS1003B!M1295/1000</f>
        <v>800</v>
      </c>
      <c r="N1231" s="9">
        <f>STATS1003B!N1295/1000</f>
        <v>0</v>
      </c>
      <c r="O1231" s="9">
        <f>STATS1003B!O1295/1000</f>
        <v>0</v>
      </c>
      <c r="P1231" s="9">
        <f>STATS1003B!P1295/1000</f>
        <v>0</v>
      </c>
      <c r="Q1231" s="9">
        <f>STATS1003B!Q1295/1000</f>
        <v>800</v>
      </c>
      <c r="R1231" s="9">
        <f>STATS1003B!R1295/1000</f>
        <v>0</v>
      </c>
      <c r="S1231" s="9">
        <f>STATS1003B!S1295/1000</f>
        <v>0</v>
      </c>
      <c r="T1231" s="9">
        <f>STATS1003B!T1295/1000</f>
        <v>0</v>
      </c>
      <c r="U1231" s="9">
        <f>STATS1003B!U1295/1000</f>
        <v>0</v>
      </c>
      <c r="V1231" s="9">
        <f>STATS1003B!V1295/1000</f>
        <v>800</v>
      </c>
      <c r="W1231" s="9">
        <f>STATS1003B!W1295/1000</f>
        <v>0</v>
      </c>
      <c r="X1231" s="9">
        <f>STATS1003B!X1295/1000</f>
        <v>800</v>
      </c>
      <c r="Y1231" s="9">
        <f>STATS1003B!Y1295/1000</f>
        <v>0</v>
      </c>
      <c r="Z1231" s="9">
        <f>STATS1003B!Z1295/1000</f>
        <v>0</v>
      </c>
      <c r="AA1231" s="9">
        <f>STATS1003B!AA1295/1000</f>
        <v>800</v>
      </c>
      <c r="AB1231" s="9">
        <f>STATS1003B!AB1295/1000</f>
        <v>0</v>
      </c>
    </row>
    <row r="1232" spans="1:28" x14ac:dyDescent="0.35">
      <c r="A1232" s="36"/>
      <c r="B1232" s="8"/>
      <c r="C1232" s="7" t="s">
        <v>535</v>
      </c>
      <c r="D1232" s="15" t="s">
        <v>128</v>
      </c>
      <c r="E1232" s="9">
        <f>STATS1003B!E1296/1000</f>
        <v>859.5</v>
      </c>
      <c r="F1232" s="9">
        <f>STATS1003B!F1296/1000</f>
        <v>859.5</v>
      </c>
      <c r="G1232" s="9">
        <f>STATS1003B!G1296/1000</f>
        <v>0</v>
      </c>
      <c r="H1232" s="9">
        <f>STATS1003B!H1296/1000</f>
        <v>859.5</v>
      </c>
      <c r="I1232" s="9">
        <f>STATS1003B!I1296/1000</f>
        <v>0</v>
      </c>
      <c r="J1232" s="9">
        <f>STATS1003B!J1296/1000</f>
        <v>859.5</v>
      </c>
      <c r="K1232" s="9">
        <f>STATS1003B!K1296/1000</f>
        <v>0</v>
      </c>
      <c r="L1232" s="9">
        <f>STATS1003B!L1296/1000</f>
        <v>0</v>
      </c>
      <c r="M1232" s="9">
        <f>STATS1003B!M1296/1000</f>
        <v>859.5</v>
      </c>
      <c r="N1232" s="9">
        <f>STATS1003B!N1296/1000</f>
        <v>0</v>
      </c>
      <c r="O1232" s="9">
        <f>STATS1003B!O1296/1000</f>
        <v>0</v>
      </c>
      <c r="P1232" s="9">
        <f>STATS1003B!P1296/1000</f>
        <v>0</v>
      </c>
      <c r="Q1232" s="9">
        <f>STATS1003B!Q1296/1000</f>
        <v>859.5</v>
      </c>
      <c r="R1232" s="9">
        <f>STATS1003B!R1296/1000</f>
        <v>0</v>
      </c>
      <c r="S1232" s="9">
        <f>STATS1003B!S1296/1000</f>
        <v>0</v>
      </c>
      <c r="T1232" s="9">
        <f>STATS1003B!T1296/1000</f>
        <v>0</v>
      </c>
      <c r="U1232" s="9">
        <f>STATS1003B!U1296/1000</f>
        <v>0</v>
      </c>
      <c r="V1232" s="9">
        <f>STATS1003B!V1296/1000</f>
        <v>859.5</v>
      </c>
      <c r="W1232" s="9">
        <f>STATS1003B!W1296/1000</f>
        <v>0</v>
      </c>
      <c r="X1232" s="9">
        <f>STATS1003B!X1296/1000</f>
        <v>859.5</v>
      </c>
      <c r="Y1232" s="9">
        <f>STATS1003B!Y1296/1000</f>
        <v>0</v>
      </c>
      <c r="Z1232" s="9">
        <f>STATS1003B!Z1296/1000</f>
        <v>0</v>
      </c>
      <c r="AA1232" s="9">
        <f>STATS1003B!AA1296/1000</f>
        <v>859.5</v>
      </c>
      <c r="AB1232" s="9">
        <f>STATS1003B!AB1296/1000</f>
        <v>0</v>
      </c>
    </row>
    <row r="1233" spans="1:28" x14ac:dyDescent="0.35">
      <c r="A1233" s="36"/>
      <c r="B1233" s="8"/>
      <c r="C1233" s="7" t="s">
        <v>535</v>
      </c>
      <c r="D1233" s="15" t="s">
        <v>88</v>
      </c>
      <c r="E1233" s="9">
        <f>STATS1003B!E1297/1000</f>
        <v>7044.4797199999994</v>
      </c>
      <c r="F1233" s="9">
        <f>STATS1003B!F1297/1000</f>
        <v>7044.4797199999994</v>
      </c>
      <c r="G1233" s="9">
        <f>STATS1003B!G1297/1000</f>
        <v>0</v>
      </c>
      <c r="H1233" s="9">
        <f>STATS1003B!H1297/1000</f>
        <v>7044.4797199999994</v>
      </c>
      <c r="I1233" s="9">
        <f>STATS1003B!I1297/1000</f>
        <v>0</v>
      </c>
      <c r="J1233" s="9">
        <f>STATS1003B!J1297/1000</f>
        <v>7044.4797199999994</v>
      </c>
      <c r="K1233" s="9">
        <f>STATS1003B!K1297/1000</f>
        <v>0</v>
      </c>
      <c r="L1233" s="9">
        <f>STATS1003B!L1297/1000</f>
        <v>0</v>
      </c>
      <c r="M1233" s="9">
        <f>STATS1003B!M1297/1000</f>
        <v>7044.4797199999994</v>
      </c>
      <c r="N1233" s="9">
        <f>STATS1003B!N1297/1000</f>
        <v>0</v>
      </c>
      <c r="O1233" s="9">
        <f>STATS1003B!O1297/1000</f>
        <v>0</v>
      </c>
      <c r="P1233" s="9">
        <f>STATS1003B!P1297/1000</f>
        <v>0</v>
      </c>
      <c r="Q1233" s="9">
        <f>STATS1003B!Q1297/1000</f>
        <v>7044.4797199999994</v>
      </c>
      <c r="R1233" s="9">
        <f>STATS1003B!R1297/1000</f>
        <v>0</v>
      </c>
      <c r="S1233" s="9">
        <f>STATS1003B!S1297/1000</f>
        <v>0</v>
      </c>
      <c r="T1233" s="9">
        <f>STATS1003B!T1297/1000</f>
        <v>0</v>
      </c>
      <c r="U1233" s="9">
        <f>STATS1003B!U1297/1000</f>
        <v>0</v>
      </c>
      <c r="V1233" s="9">
        <f>STATS1003B!V1297/1000</f>
        <v>7044.4797199999994</v>
      </c>
      <c r="W1233" s="9">
        <f>STATS1003B!W1297/1000</f>
        <v>0</v>
      </c>
      <c r="X1233" s="9">
        <f>STATS1003B!X1297/1000</f>
        <v>7044.4797199999994</v>
      </c>
      <c r="Y1233" s="9">
        <f>STATS1003B!Y1297/1000</f>
        <v>0</v>
      </c>
      <c r="Z1233" s="9">
        <f>STATS1003B!Z1297/1000</f>
        <v>0</v>
      </c>
      <c r="AA1233" s="9">
        <f>STATS1003B!AA1297/1000</f>
        <v>7044.4797199999994</v>
      </c>
      <c r="AB1233" s="9">
        <f>STATS1003B!AB1297/1000</f>
        <v>0</v>
      </c>
    </row>
    <row r="1234" spans="1:28" x14ac:dyDescent="0.35">
      <c r="A1234" s="36"/>
      <c r="B1234" s="8"/>
      <c r="C1234" s="7" t="s">
        <v>535</v>
      </c>
      <c r="D1234" s="15" t="s">
        <v>108</v>
      </c>
      <c r="E1234" s="9">
        <f>STATS1003B!E1298/1000</f>
        <v>1543.038</v>
      </c>
      <c r="F1234" s="9">
        <f>STATS1003B!F1298/1000</f>
        <v>1543.038</v>
      </c>
      <c r="G1234" s="9">
        <f>STATS1003B!G1298/1000</f>
        <v>0</v>
      </c>
      <c r="H1234" s="9">
        <f>STATS1003B!H1298/1000</f>
        <v>1543.038</v>
      </c>
      <c r="I1234" s="9">
        <f>STATS1003B!I1298/1000</f>
        <v>0</v>
      </c>
      <c r="J1234" s="9">
        <f>STATS1003B!J1298/1000</f>
        <v>1543.038</v>
      </c>
      <c r="K1234" s="9">
        <f>STATS1003B!K1298/1000</f>
        <v>0</v>
      </c>
      <c r="L1234" s="9">
        <f>STATS1003B!L1298/1000</f>
        <v>0</v>
      </c>
      <c r="M1234" s="9">
        <f>STATS1003B!M1298/1000</f>
        <v>1543.038</v>
      </c>
      <c r="N1234" s="9">
        <f>STATS1003B!N1298/1000</f>
        <v>0</v>
      </c>
      <c r="O1234" s="9">
        <f>STATS1003B!O1298/1000</f>
        <v>0</v>
      </c>
      <c r="P1234" s="9">
        <f>STATS1003B!P1298/1000</f>
        <v>0</v>
      </c>
      <c r="Q1234" s="9">
        <f>STATS1003B!Q1298/1000</f>
        <v>1543.038</v>
      </c>
      <c r="R1234" s="9">
        <f>STATS1003B!R1298/1000</f>
        <v>0</v>
      </c>
      <c r="S1234" s="9">
        <f>STATS1003B!S1298/1000</f>
        <v>0</v>
      </c>
      <c r="T1234" s="9">
        <f>STATS1003B!T1298/1000</f>
        <v>0</v>
      </c>
      <c r="U1234" s="9">
        <f>STATS1003B!U1298/1000</f>
        <v>0</v>
      </c>
      <c r="V1234" s="9">
        <f>STATS1003B!V1298/1000</f>
        <v>1543.038</v>
      </c>
      <c r="W1234" s="9">
        <f>STATS1003B!W1298/1000</f>
        <v>0</v>
      </c>
      <c r="X1234" s="9">
        <f>STATS1003B!X1298/1000</f>
        <v>1543.038</v>
      </c>
      <c r="Y1234" s="9">
        <f>STATS1003B!Y1298/1000</f>
        <v>0</v>
      </c>
      <c r="Z1234" s="9">
        <f>STATS1003B!Z1298/1000</f>
        <v>0</v>
      </c>
      <c r="AA1234" s="9">
        <f>STATS1003B!AA1298/1000</f>
        <v>1543.038</v>
      </c>
      <c r="AB1234" s="9">
        <f>STATS1003B!AB1298/1000</f>
        <v>0</v>
      </c>
    </row>
    <row r="1235" spans="1:28" x14ac:dyDescent="0.35">
      <c r="A1235" s="36"/>
      <c r="B1235" s="8"/>
      <c r="C1235" s="7" t="s">
        <v>535</v>
      </c>
      <c r="D1235" s="15" t="s">
        <v>58</v>
      </c>
      <c r="E1235" s="9">
        <f>STATS1003B!E1299/1000</f>
        <v>8321.86</v>
      </c>
      <c r="F1235" s="9">
        <f>STATS1003B!F1299/1000</f>
        <v>6832.48</v>
      </c>
      <c r="G1235" s="9">
        <f>STATS1003B!G1299/1000</f>
        <v>0</v>
      </c>
      <c r="H1235" s="9">
        <f>STATS1003B!H1299/1000</f>
        <v>6832.48</v>
      </c>
      <c r="I1235" s="9">
        <f>STATS1003B!I1299/1000</f>
        <v>1489.38</v>
      </c>
      <c r="J1235" s="9">
        <f>STATS1003B!J1299/1000</f>
        <v>8321.86</v>
      </c>
      <c r="K1235" s="9">
        <f>STATS1003B!K1299/1000</f>
        <v>0</v>
      </c>
      <c r="L1235" s="9">
        <f>STATS1003B!L1299/1000</f>
        <v>1489.38</v>
      </c>
      <c r="M1235" s="9">
        <f>STATS1003B!M1299/1000</f>
        <v>8321.86</v>
      </c>
      <c r="N1235" s="9">
        <f>STATS1003B!N1299/1000</f>
        <v>0</v>
      </c>
      <c r="O1235" s="9">
        <f>STATS1003B!O1299/1000</f>
        <v>0</v>
      </c>
      <c r="P1235" s="9">
        <f>STATS1003B!P1299/1000</f>
        <v>0</v>
      </c>
      <c r="Q1235" s="9">
        <f>STATS1003B!Q1299/1000</f>
        <v>8321.86</v>
      </c>
      <c r="R1235" s="9">
        <f>STATS1003B!R1299/1000</f>
        <v>0</v>
      </c>
      <c r="S1235" s="9">
        <f>STATS1003B!S1299/1000</f>
        <v>0</v>
      </c>
      <c r="T1235" s="9">
        <f>STATS1003B!T1299/1000</f>
        <v>0</v>
      </c>
      <c r="U1235" s="9">
        <f>STATS1003B!U1299/1000</f>
        <v>0</v>
      </c>
      <c r="V1235" s="9">
        <f>STATS1003B!V1299/1000</f>
        <v>6832.48</v>
      </c>
      <c r="W1235" s="9">
        <f>STATS1003B!W1299/1000</f>
        <v>1489.38</v>
      </c>
      <c r="X1235" s="9">
        <f>STATS1003B!X1299/1000</f>
        <v>6832.48</v>
      </c>
      <c r="Y1235" s="9">
        <f>STATS1003B!Y1299/1000</f>
        <v>0</v>
      </c>
      <c r="Z1235" s="9">
        <f>STATS1003B!Z1299/1000</f>
        <v>1489.38</v>
      </c>
      <c r="AA1235" s="9">
        <f>STATS1003B!AA1299/1000</f>
        <v>8321.86</v>
      </c>
      <c r="AB1235" s="9">
        <f>STATS1003B!AB1299/1000</f>
        <v>0</v>
      </c>
    </row>
    <row r="1236" spans="1:28" x14ac:dyDescent="0.35">
      <c r="A1236" s="36"/>
      <c r="B1236" s="8"/>
      <c r="C1236" s="7" t="s">
        <v>535</v>
      </c>
      <c r="D1236" s="15" t="s">
        <v>60</v>
      </c>
      <c r="E1236" s="9">
        <f>STATS1003B!E1300/1000</f>
        <v>1296.45</v>
      </c>
      <c r="F1236" s="9">
        <f>STATS1003B!F1300/1000</f>
        <v>1296.45</v>
      </c>
      <c r="G1236" s="9">
        <f>STATS1003B!G1300/1000</f>
        <v>0</v>
      </c>
      <c r="H1236" s="9">
        <f>STATS1003B!H1300/1000</f>
        <v>1296.45</v>
      </c>
      <c r="I1236" s="9">
        <f>STATS1003B!I1300/1000</f>
        <v>0</v>
      </c>
      <c r="J1236" s="9">
        <f>STATS1003B!J1300/1000</f>
        <v>1296.45</v>
      </c>
      <c r="K1236" s="9">
        <f>STATS1003B!K1300/1000</f>
        <v>0</v>
      </c>
      <c r="L1236" s="9">
        <f>STATS1003B!L1300/1000</f>
        <v>0</v>
      </c>
      <c r="M1236" s="9">
        <f>STATS1003B!M1300/1000</f>
        <v>1296.45</v>
      </c>
      <c r="N1236" s="9">
        <f>STATS1003B!N1300/1000</f>
        <v>0</v>
      </c>
      <c r="O1236" s="9">
        <f>STATS1003B!O1300/1000</f>
        <v>0</v>
      </c>
      <c r="P1236" s="9">
        <f>STATS1003B!P1300/1000</f>
        <v>0</v>
      </c>
      <c r="Q1236" s="9">
        <f>STATS1003B!Q1300/1000</f>
        <v>1296.45</v>
      </c>
      <c r="R1236" s="9">
        <f>STATS1003B!R1300/1000</f>
        <v>0</v>
      </c>
      <c r="S1236" s="9">
        <f>STATS1003B!S1300/1000</f>
        <v>0</v>
      </c>
      <c r="T1236" s="9">
        <f>STATS1003B!T1300/1000</f>
        <v>0</v>
      </c>
      <c r="U1236" s="9">
        <f>STATS1003B!U1300/1000</f>
        <v>0</v>
      </c>
      <c r="V1236" s="9">
        <f>STATS1003B!V1300/1000</f>
        <v>1296.45</v>
      </c>
      <c r="W1236" s="9">
        <f>STATS1003B!W1300/1000</f>
        <v>0</v>
      </c>
      <c r="X1236" s="9">
        <f>STATS1003B!X1300/1000</f>
        <v>1296.45</v>
      </c>
      <c r="Y1236" s="9">
        <f>STATS1003B!Y1300/1000</f>
        <v>0</v>
      </c>
      <c r="Z1236" s="9">
        <f>STATS1003B!Z1300/1000</f>
        <v>0</v>
      </c>
      <c r="AA1236" s="9">
        <f>STATS1003B!AA1300/1000</f>
        <v>1296.45</v>
      </c>
      <c r="AB1236" s="9">
        <f>STATS1003B!AB1300/1000</f>
        <v>0</v>
      </c>
    </row>
    <row r="1237" spans="1:28" x14ac:dyDescent="0.35">
      <c r="A1237" s="36"/>
      <c r="B1237" s="8"/>
      <c r="C1237" s="7" t="s">
        <v>535</v>
      </c>
      <c r="D1237" s="15" t="s">
        <v>73</v>
      </c>
      <c r="E1237" s="9">
        <f>STATS1003B!E1301/1000</f>
        <v>1284.73</v>
      </c>
      <c r="F1237" s="9">
        <f>STATS1003B!F1301/1000</f>
        <v>1284.73</v>
      </c>
      <c r="G1237" s="9">
        <f>STATS1003B!G1301/1000</f>
        <v>0</v>
      </c>
      <c r="H1237" s="9">
        <f>STATS1003B!H1301/1000</f>
        <v>1284.73</v>
      </c>
      <c r="I1237" s="9">
        <f>STATS1003B!I1301/1000</f>
        <v>0</v>
      </c>
      <c r="J1237" s="9">
        <f>STATS1003B!J1301/1000</f>
        <v>1284.73</v>
      </c>
      <c r="K1237" s="9">
        <f>STATS1003B!K1301/1000</f>
        <v>0</v>
      </c>
      <c r="L1237" s="9">
        <f>STATS1003B!L1301/1000</f>
        <v>0</v>
      </c>
      <c r="M1237" s="9">
        <f>STATS1003B!M1301/1000</f>
        <v>1284.73</v>
      </c>
      <c r="N1237" s="9">
        <f>STATS1003B!N1301/1000</f>
        <v>0</v>
      </c>
      <c r="O1237" s="9">
        <f>STATS1003B!O1301/1000</f>
        <v>0</v>
      </c>
      <c r="P1237" s="9">
        <f>STATS1003B!P1301/1000</f>
        <v>0</v>
      </c>
      <c r="Q1237" s="9">
        <f>STATS1003B!Q1301/1000</f>
        <v>1284.73</v>
      </c>
      <c r="R1237" s="9">
        <f>STATS1003B!R1301/1000</f>
        <v>0</v>
      </c>
      <c r="S1237" s="9">
        <f>STATS1003B!S1301/1000</f>
        <v>0</v>
      </c>
      <c r="T1237" s="9">
        <f>STATS1003B!T1301/1000</f>
        <v>0</v>
      </c>
      <c r="U1237" s="9">
        <f>STATS1003B!U1301/1000</f>
        <v>0</v>
      </c>
      <c r="V1237" s="9">
        <f>STATS1003B!V1301/1000</f>
        <v>1284.73</v>
      </c>
      <c r="W1237" s="9">
        <f>STATS1003B!W1301/1000</f>
        <v>0</v>
      </c>
      <c r="X1237" s="9">
        <f>STATS1003B!X1301/1000</f>
        <v>1284.73</v>
      </c>
      <c r="Y1237" s="9">
        <f>STATS1003B!Y1301/1000</f>
        <v>0</v>
      </c>
      <c r="Z1237" s="9">
        <f>STATS1003B!Z1301/1000</f>
        <v>0</v>
      </c>
      <c r="AA1237" s="9">
        <f>STATS1003B!AA1301/1000</f>
        <v>1284.73</v>
      </c>
      <c r="AB1237" s="9">
        <f>STATS1003B!AB1301/1000</f>
        <v>0</v>
      </c>
    </row>
    <row r="1238" spans="1:28" x14ac:dyDescent="0.35">
      <c r="A1238" s="36"/>
      <c r="B1238" s="8"/>
      <c r="C1238" s="7" t="s">
        <v>535</v>
      </c>
      <c r="D1238" s="15" t="s">
        <v>61</v>
      </c>
      <c r="E1238" s="9">
        <f>STATS1003B!E1302/1000</f>
        <v>900</v>
      </c>
      <c r="F1238" s="9">
        <f>STATS1003B!F1302/1000</f>
        <v>900</v>
      </c>
      <c r="G1238" s="9">
        <f>STATS1003B!G1302/1000</f>
        <v>0</v>
      </c>
      <c r="H1238" s="9">
        <f>STATS1003B!H1302/1000</f>
        <v>900</v>
      </c>
      <c r="I1238" s="9">
        <f>STATS1003B!I1302/1000</f>
        <v>0</v>
      </c>
      <c r="J1238" s="9">
        <f>STATS1003B!J1302/1000</f>
        <v>900</v>
      </c>
      <c r="K1238" s="9">
        <f>STATS1003B!K1302/1000</f>
        <v>0</v>
      </c>
      <c r="L1238" s="9">
        <f>STATS1003B!L1302/1000</f>
        <v>0</v>
      </c>
      <c r="M1238" s="9">
        <f>STATS1003B!M1302/1000</f>
        <v>900</v>
      </c>
      <c r="N1238" s="9">
        <f>STATS1003B!N1302/1000</f>
        <v>0</v>
      </c>
      <c r="O1238" s="9">
        <f>STATS1003B!O1302/1000</f>
        <v>0</v>
      </c>
      <c r="P1238" s="9">
        <f>STATS1003B!P1302/1000</f>
        <v>0</v>
      </c>
      <c r="Q1238" s="9">
        <f>STATS1003B!Q1302/1000</f>
        <v>900</v>
      </c>
      <c r="R1238" s="9">
        <f>STATS1003B!R1302/1000</f>
        <v>0</v>
      </c>
      <c r="S1238" s="9">
        <f>STATS1003B!S1302/1000</f>
        <v>0</v>
      </c>
      <c r="T1238" s="9">
        <f>STATS1003B!T1302/1000</f>
        <v>0</v>
      </c>
      <c r="U1238" s="9">
        <f>STATS1003B!U1302/1000</f>
        <v>0</v>
      </c>
      <c r="V1238" s="9">
        <f>STATS1003B!V1302/1000</f>
        <v>900</v>
      </c>
      <c r="W1238" s="9">
        <f>STATS1003B!W1302/1000</f>
        <v>0</v>
      </c>
      <c r="X1238" s="9">
        <f>STATS1003B!X1302/1000</f>
        <v>900</v>
      </c>
      <c r="Y1238" s="9">
        <f>STATS1003B!Y1302/1000</f>
        <v>0</v>
      </c>
      <c r="Z1238" s="9">
        <f>STATS1003B!Z1302/1000</f>
        <v>0</v>
      </c>
      <c r="AA1238" s="9">
        <f>STATS1003B!AA1302/1000</f>
        <v>900</v>
      </c>
      <c r="AB1238" s="9">
        <f>STATS1003B!AB1302/1000</f>
        <v>0</v>
      </c>
    </row>
    <row r="1239" spans="1:28" x14ac:dyDescent="0.35">
      <c r="A1239" s="36"/>
      <c r="B1239" s="8"/>
      <c r="C1239" s="7" t="s">
        <v>929</v>
      </c>
      <c r="D1239" s="16" t="s">
        <v>1072</v>
      </c>
      <c r="E1239" s="9">
        <f>STATS1003B!E1303/1000</f>
        <v>2988.3620000000001</v>
      </c>
      <c r="F1239" s="9">
        <f>STATS1003B!F1303/1000</f>
        <v>2988.3620000000001</v>
      </c>
      <c r="G1239" s="9">
        <f>STATS1003B!G1303/1000</f>
        <v>0</v>
      </c>
      <c r="H1239" s="9">
        <f>STATS1003B!H1303/1000</f>
        <v>2988.3620000000001</v>
      </c>
      <c r="I1239" s="9">
        <f>STATS1003B!I1303/1000</f>
        <v>0</v>
      </c>
      <c r="J1239" s="9">
        <f>STATS1003B!J1303/1000</f>
        <v>0</v>
      </c>
      <c r="K1239" s="9">
        <f>STATS1003B!K1303/1000</f>
        <v>0</v>
      </c>
      <c r="L1239" s="9">
        <f>STATS1003B!L1303/1000</f>
        <v>0</v>
      </c>
      <c r="M1239" s="9">
        <f>STATS1003B!M1303/1000</f>
        <v>2988.3620000000001</v>
      </c>
      <c r="N1239" s="9">
        <f>STATS1003B!N1303/1000</f>
        <v>0</v>
      </c>
      <c r="O1239" s="9">
        <f>STATS1003B!O1303/1000</f>
        <v>0</v>
      </c>
      <c r="P1239" s="9">
        <f>STATS1003B!P1303/1000</f>
        <v>0</v>
      </c>
      <c r="Q1239" s="9">
        <f>STATS1003B!Q1303/1000</f>
        <v>0</v>
      </c>
      <c r="R1239" s="9">
        <f>STATS1003B!R1303/1000</f>
        <v>0</v>
      </c>
      <c r="S1239" s="9">
        <f>STATS1003B!S1303/1000</f>
        <v>0</v>
      </c>
      <c r="T1239" s="9">
        <f>STATS1003B!T1303/1000</f>
        <v>0</v>
      </c>
      <c r="U1239" s="9">
        <f>STATS1003B!U1303/1000</f>
        <v>0</v>
      </c>
      <c r="V1239" s="9">
        <f>STATS1003B!V1303/1000</f>
        <v>2988.3620000000001</v>
      </c>
      <c r="W1239" s="9">
        <f>STATS1003B!W1303/1000</f>
        <v>0</v>
      </c>
      <c r="X1239" s="9">
        <f>STATS1003B!X1303/1000</f>
        <v>2988.3620000000001</v>
      </c>
      <c r="Y1239" s="9">
        <f>STATS1003B!Y1303/1000</f>
        <v>0</v>
      </c>
      <c r="Z1239" s="9">
        <f>STATS1003B!Z1303/1000</f>
        <v>0</v>
      </c>
      <c r="AA1239" s="9">
        <f>STATS1003B!AA1303/1000</f>
        <v>2988.3620000000001</v>
      </c>
      <c r="AB1239" s="9">
        <f>STATS1003B!AB1303/1000</f>
        <v>0</v>
      </c>
    </row>
    <row r="1240" spans="1:28" x14ac:dyDescent="0.35">
      <c r="A1240" s="36"/>
      <c r="B1240" s="8"/>
      <c r="C1240" s="7" t="s">
        <v>569</v>
      </c>
      <c r="D1240" s="8"/>
      <c r="E1240" s="9">
        <f>STATS1003B!E1304/1000</f>
        <v>1704.53</v>
      </c>
      <c r="F1240" s="9">
        <f>STATS1003B!F1304/1000</f>
        <v>1704.53</v>
      </c>
      <c r="G1240" s="9">
        <f>STATS1003B!G1304/1000</f>
        <v>0</v>
      </c>
      <c r="H1240" s="9">
        <f>STATS1003B!H1304/1000</f>
        <v>1704.53</v>
      </c>
      <c r="I1240" s="9">
        <f>STATS1003B!I1304/1000</f>
        <v>0</v>
      </c>
      <c r="J1240" s="9">
        <f>STATS1003B!J1304/1000</f>
        <v>1704.53</v>
      </c>
      <c r="K1240" s="9">
        <f>STATS1003B!K1304/1000</f>
        <v>0</v>
      </c>
      <c r="L1240" s="9">
        <f>STATS1003B!L1304/1000</f>
        <v>0</v>
      </c>
      <c r="M1240" s="9">
        <f>STATS1003B!M1304/1000</f>
        <v>1704.53</v>
      </c>
      <c r="N1240" s="9">
        <f>STATS1003B!N1304/1000</f>
        <v>0</v>
      </c>
      <c r="O1240" s="9">
        <f>STATS1003B!O1304/1000</f>
        <v>0</v>
      </c>
      <c r="P1240" s="9">
        <f>STATS1003B!P1304/1000</f>
        <v>0</v>
      </c>
      <c r="Q1240" s="9">
        <f>STATS1003B!Q1304/1000</f>
        <v>1704.53</v>
      </c>
      <c r="R1240" s="9">
        <f>STATS1003B!R1304/1000</f>
        <v>0</v>
      </c>
      <c r="S1240" s="9">
        <f>STATS1003B!S1304/1000</f>
        <v>0</v>
      </c>
      <c r="T1240" s="9">
        <f>STATS1003B!T1304/1000</f>
        <v>0</v>
      </c>
      <c r="U1240" s="9">
        <f>STATS1003B!U1304/1000</f>
        <v>0</v>
      </c>
      <c r="V1240" s="9">
        <f>STATS1003B!V1304/1000</f>
        <v>1704.53</v>
      </c>
      <c r="W1240" s="9">
        <f>STATS1003B!W1304/1000</f>
        <v>0</v>
      </c>
      <c r="X1240" s="9">
        <f>STATS1003B!X1304/1000</f>
        <v>1704.53</v>
      </c>
      <c r="Y1240" s="9">
        <f>STATS1003B!Y1304/1000</f>
        <v>0</v>
      </c>
      <c r="Z1240" s="9">
        <f>STATS1003B!Z1304/1000</f>
        <v>0</v>
      </c>
      <c r="AA1240" s="9">
        <f>STATS1003B!AA1304/1000</f>
        <v>1704.53</v>
      </c>
      <c r="AB1240" s="9">
        <f>STATS1003B!AB1304/1000</f>
        <v>0</v>
      </c>
    </row>
    <row r="1241" spans="1:28" x14ac:dyDescent="0.35">
      <c r="A1241" s="36"/>
      <c r="B1241" s="8"/>
      <c r="C1241" s="7" t="s">
        <v>700</v>
      </c>
      <c r="D1241" s="8"/>
      <c r="E1241" s="9">
        <f>STATS1003B!E1305/1000</f>
        <v>274.97762</v>
      </c>
      <c r="F1241" s="9">
        <f>STATS1003B!F1305/1000</f>
        <v>225.63897</v>
      </c>
      <c r="G1241" s="9">
        <f>STATS1003B!G1305/1000</f>
        <v>0</v>
      </c>
      <c r="H1241" s="9">
        <f>STATS1003B!H1305/1000</f>
        <v>225.63897</v>
      </c>
      <c r="I1241" s="9">
        <f>STATS1003B!I1305/1000</f>
        <v>0</v>
      </c>
      <c r="J1241" s="9">
        <f>STATS1003B!J1305/1000</f>
        <v>225.63897</v>
      </c>
      <c r="K1241" s="9">
        <f>STATS1003B!K1305/1000</f>
        <v>49.338650000000001</v>
      </c>
      <c r="L1241" s="9">
        <f>STATS1003B!L1305/1000</f>
        <v>0</v>
      </c>
      <c r="M1241" s="9">
        <f>STATS1003B!M1305/1000</f>
        <v>225.63897</v>
      </c>
      <c r="N1241" s="9">
        <f>STATS1003B!N1305/1000</f>
        <v>49.338650000000001</v>
      </c>
      <c r="O1241" s="9">
        <f>STATS1003B!O1305/1000</f>
        <v>0</v>
      </c>
      <c r="P1241" s="9">
        <f>STATS1003B!P1305/1000</f>
        <v>49.338650000000001</v>
      </c>
      <c r="Q1241" s="9">
        <f>STATS1003B!Q1305/1000</f>
        <v>225.63897</v>
      </c>
      <c r="R1241" s="9">
        <f>STATS1003B!R1305/1000</f>
        <v>0</v>
      </c>
      <c r="S1241" s="9">
        <f>STATS1003B!S1305/1000</f>
        <v>0</v>
      </c>
      <c r="T1241" s="9">
        <f>STATS1003B!T1305/1000</f>
        <v>0</v>
      </c>
      <c r="U1241" s="9">
        <f>STATS1003B!U1305/1000</f>
        <v>49.338650000000001</v>
      </c>
      <c r="V1241" s="9">
        <f>STATS1003B!V1305/1000</f>
        <v>274.97762</v>
      </c>
      <c r="W1241" s="9">
        <f>STATS1003B!W1305/1000</f>
        <v>0</v>
      </c>
      <c r="X1241" s="9">
        <f>STATS1003B!X1305/1000</f>
        <v>274.97762</v>
      </c>
      <c r="Y1241" s="9">
        <f>STATS1003B!Y1305/1000</f>
        <v>0</v>
      </c>
      <c r="Z1241" s="9">
        <f>STATS1003B!Z1305/1000</f>
        <v>0</v>
      </c>
      <c r="AA1241" s="9">
        <f>STATS1003B!AA1305/1000</f>
        <v>274.97762</v>
      </c>
      <c r="AB1241" s="9">
        <f>STATS1003B!AB1305/1000</f>
        <v>0</v>
      </c>
    </row>
    <row r="1242" spans="1:28" x14ac:dyDescent="0.35">
      <c r="A1242" s="36"/>
      <c r="B1242" s="8"/>
      <c r="C1242" s="7" t="s">
        <v>701</v>
      </c>
      <c r="D1242" s="8"/>
      <c r="E1242" s="9">
        <f>STATS1003B!E1306/1000</f>
        <v>0</v>
      </c>
      <c r="F1242" s="9">
        <f>STATS1003B!F1306/1000</f>
        <v>0</v>
      </c>
      <c r="G1242" s="9">
        <f>STATS1003B!G1306/1000</f>
        <v>0</v>
      </c>
      <c r="H1242" s="9">
        <f>STATS1003B!H1306/1000</f>
        <v>0</v>
      </c>
      <c r="I1242" s="9">
        <f>STATS1003B!I1306/1000</f>
        <v>0</v>
      </c>
      <c r="J1242" s="9">
        <f>STATS1003B!J1306/1000</f>
        <v>0</v>
      </c>
      <c r="K1242" s="9">
        <f>STATS1003B!K1306/1000</f>
        <v>0</v>
      </c>
      <c r="L1242" s="9">
        <f>STATS1003B!L1306/1000</f>
        <v>0</v>
      </c>
      <c r="M1242" s="9">
        <f>STATS1003B!M1306/1000</f>
        <v>0</v>
      </c>
      <c r="N1242" s="9">
        <f>STATS1003B!N1306/1000</f>
        <v>0</v>
      </c>
      <c r="O1242" s="9">
        <f>STATS1003B!O1306/1000</f>
        <v>0</v>
      </c>
      <c r="P1242" s="9">
        <f>STATS1003B!P1306/1000</f>
        <v>0</v>
      </c>
      <c r="Q1242" s="9">
        <f>STATS1003B!Q1306/1000</f>
        <v>0</v>
      </c>
      <c r="R1242" s="9">
        <f>STATS1003B!R1306/1000</f>
        <v>0</v>
      </c>
      <c r="S1242" s="9">
        <f>STATS1003B!S1306/1000</f>
        <v>0</v>
      </c>
      <c r="T1242" s="9">
        <f>STATS1003B!T1306/1000</f>
        <v>0</v>
      </c>
      <c r="U1242" s="9">
        <f>STATS1003B!U1306/1000</f>
        <v>0</v>
      </c>
      <c r="V1242" s="9">
        <f>STATS1003B!V1306/1000</f>
        <v>0</v>
      </c>
      <c r="W1242" s="9">
        <f>STATS1003B!W1306/1000</f>
        <v>0</v>
      </c>
      <c r="X1242" s="9">
        <f>STATS1003B!X1306/1000</f>
        <v>0</v>
      </c>
      <c r="Y1242" s="9">
        <f>STATS1003B!Y1306/1000</f>
        <v>0</v>
      </c>
      <c r="Z1242" s="9">
        <f>STATS1003B!Z1306/1000</f>
        <v>0</v>
      </c>
      <c r="AA1242" s="9">
        <f>STATS1003B!AA1306/1000</f>
        <v>0</v>
      </c>
      <c r="AB1242" s="9">
        <f>STATS1003B!AB1306/1000</f>
        <v>0</v>
      </c>
    </row>
    <row r="1243" spans="1:28" x14ac:dyDescent="0.35">
      <c r="A1243" s="36"/>
      <c r="B1243" s="8"/>
      <c r="C1243" s="7" t="s">
        <v>702</v>
      </c>
      <c r="D1243" s="8"/>
      <c r="E1243" s="9">
        <f>STATS1003B!E1307/1000</f>
        <v>87.63</v>
      </c>
      <c r="F1243" s="9">
        <f>STATS1003B!F1307/1000</f>
        <v>0</v>
      </c>
      <c r="G1243" s="9">
        <f>STATS1003B!G1307/1000</f>
        <v>0</v>
      </c>
      <c r="H1243" s="9">
        <f>STATS1003B!H1307/1000</f>
        <v>0</v>
      </c>
      <c r="I1243" s="9">
        <f>STATS1003B!I1307/1000</f>
        <v>0</v>
      </c>
      <c r="J1243" s="9">
        <f>STATS1003B!J1307/1000</f>
        <v>0</v>
      </c>
      <c r="K1243" s="9">
        <f>STATS1003B!K1307/1000</f>
        <v>87.63</v>
      </c>
      <c r="L1243" s="9">
        <f>STATS1003B!L1307/1000</f>
        <v>0</v>
      </c>
      <c r="M1243" s="9">
        <f>STATS1003B!M1307/1000</f>
        <v>0</v>
      </c>
      <c r="N1243" s="9">
        <f>STATS1003B!N1307/1000</f>
        <v>87.63</v>
      </c>
      <c r="O1243" s="9">
        <f>STATS1003B!O1307/1000</f>
        <v>0</v>
      </c>
      <c r="P1243" s="9">
        <f>STATS1003B!P1307/1000</f>
        <v>87.63</v>
      </c>
      <c r="Q1243" s="9">
        <f>STATS1003B!Q1307/1000</f>
        <v>0</v>
      </c>
      <c r="R1243" s="9">
        <f>STATS1003B!R1307/1000</f>
        <v>0</v>
      </c>
      <c r="S1243" s="9">
        <f>STATS1003B!S1307/1000</f>
        <v>0</v>
      </c>
      <c r="T1243" s="9">
        <f>STATS1003B!T1307/1000</f>
        <v>0</v>
      </c>
      <c r="U1243" s="9">
        <f>STATS1003B!U1307/1000</f>
        <v>87.63</v>
      </c>
      <c r="V1243" s="9">
        <f>STATS1003B!V1307/1000</f>
        <v>87.63</v>
      </c>
      <c r="W1243" s="9">
        <f>STATS1003B!W1307/1000</f>
        <v>0</v>
      </c>
      <c r="X1243" s="9">
        <f>STATS1003B!X1307/1000</f>
        <v>87.63</v>
      </c>
      <c r="Y1243" s="9">
        <f>STATS1003B!Y1307/1000</f>
        <v>0</v>
      </c>
      <c r="Z1243" s="9">
        <f>STATS1003B!Z1307/1000</f>
        <v>0</v>
      </c>
      <c r="AA1243" s="9">
        <f>STATS1003B!AA1307/1000</f>
        <v>87.63</v>
      </c>
      <c r="AB1243" s="9">
        <f>STATS1003B!AB1307/1000</f>
        <v>0</v>
      </c>
    </row>
    <row r="1244" spans="1:28" x14ac:dyDescent="0.35">
      <c r="A1244" s="36"/>
      <c r="B1244" s="8"/>
      <c r="C1244" s="7" t="s">
        <v>678</v>
      </c>
      <c r="D1244" s="8"/>
      <c r="E1244" s="9">
        <f>STATS1003B!E1308/1000</f>
        <v>7500</v>
      </c>
      <c r="F1244" s="9">
        <f>STATS1003B!F1308/1000</f>
        <v>7500</v>
      </c>
      <c r="G1244" s="9">
        <f>STATS1003B!G1308/1000</f>
        <v>0</v>
      </c>
      <c r="H1244" s="9">
        <f>STATS1003B!H1308/1000</f>
        <v>7500</v>
      </c>
      <c r="I1244" s="9">
        <f>STATS1003B!I1308/1000</f>
        <v>0</v>
      </c>
      <c r="J1244" s="9">
        <f>STATS1003B!J1308/1000</f>
        <v>7500</v>
      </c>
      <c r="K1244" s="9">
        <f>STATS1003B!K1308/1000</f>
        <v>0</v>
      </c>
      <c r="L1244" s="9">
        <f>STATS1003B!L1308/1000</f>
        <v>0</v>
      </c>
      <c r="M1244" s="9">
        <f>STATS1003B!M1308/1000</f>
        <v>7500</v>
      </c>
      <c r="N1244" s="9">
        <f>STATS1003B!N1308/1000</f>
        <v>0</v>
      </c>
      <c r="O1244" s="9">
        <f>STATS1003B!O1308/1000</f>
        <v>0</v>
      </c>
      <c r="P1244" s="9">
        <f>STATS1003B!P1308/1000</f>
        <v>0</v>
      </c>
      <c r="Q1244" s="9">
        <f>STATS1003B!Q1308/1000</f>
        <v>7500</v>
      </c>
      <c r="R1244" s="9">
        <f>STATS1003B!R1308/1000</f>
        <v>0</v>
      </c>
      <c r="S1244" s="9">
        <f>STATS1003B!S1308/1000</f>
        <v>0</v>
      </c>
      <c r="T1244" s="9">
        <f>STATS1003B!T1308/1000</f>
        <v>0</v>
      </c>
      <c r="U1244" s="9">
        <f>STATS1003B!U1308/1000</f>
        <v>0</v>
      </c>
      <c r="V1244" s="9">
        <f>STATS1003B!V1308/1000</f>
        <v>7500</v>
      </c>
      <c r="W1244" s="9">
        <f>STATS1003B!W1308/1000</f>
        <v>0</v>
      </c>
      <c r="X1244" s="9">
        <f>STATS1003B!X1308/1000</f>
        <v>7500</v>
      </c>
      <c r="Y1244" s="9">
        <f>STATS1003B!Y1308/1000</f>
        <v>0</v>
      </c>
      <c r="Z1244" s="9">
        <f>STATS1003B!Z1308/1000</f>
        <v>0</v>
      </c>
      <c r="AA1244" s="9">
        <f>STATS1003B!AA1308/1000</f>
        <v>7500</v>
      </c>
      <c r="AB1244" s="9">
        <f>STATS1003B!AB1308/1000</f>
        <v>0</v>
      </c>
    </row>
    <row r="1245" spans="1:28" x14ac:dyDescent="0.35">
      <c r="A1245" s="36"/>
      <c r="B1245" s="8"/>
      <c r="C1245" s="8"/>
      <c r="D1245" s="8"/>
      <c r="E1245" s="17" t="s">
        <v>29</v>
      </c>
      <c r="F1245" s="17" t="s">
        <v>29</v>
      </c>
      <c r="G1245" s="17" t="s">
        <v>29</v>
      </c>
      <c r="H1245" s="17" t="s">
        <v>29</v>
      </c>
      <c r="I1245" s="17" t="s">
        <v>29</v>
      </c>
      <c r="J1245" s="17" t="s">
        <v>29</v>
      </c>
      <c r="K1245" s="17" t="s">
        <v>29</v>
      </c>
      <c r="L1245" s="17" t="s">
        <v>29</v>
      </c>
      <c r="M1245" s="17" t="s">
        <v>29</v>
      </c>
      <c r="N1245" s="17" t="s">
        <v>29</v>
      </c>
      <c r="O1245" s="17" t="s">
        <v>29</v>
      </c>
      <c r="P1245" s="17" t="s">
        <v>29</v>
      </c>
      <c r="Q1245" s="17" t="s">
        <v>29</v>
      </c>
      <c r="R1245" s="17" t="s">
        <v>29</v>
      </c>
      <c r="S1245" s="17" t="s">
        <v>29</v>
      </c>
      <c r="T1245" s="17" t="s">
        <v>29</v>
      </c>
      <c r="U1245" s="17" t="s">
        <v>29</v>
      </c>
      <c r="V1245" s="17" t="s">
        <v>29</v>
      </c>
      <c r="W1245" s="17" t="s">
        <v>29</v>
      </c>
      <c r="X1245" s="17" t="s">
        <v>29</v>
      </c>
      <c r="Y1245" s="17" t="s">
        <v>29</v>
      </c>
      <c r="Z1245" s="17" t="s">
        <v>29</v>
      </c>
      <c r="AA1245" s="17" t="s">
        <v>29</v>
      </c>
      <c r="AB1245" s="17" t="s">
        <v>29</v>
      </c>
    </row>
    <row r="1246" spans="1:28" x14ac:dyDescent="0.35">
      <c r="A1246" s="36"/>
      <c r="B1246" s="8"/>
      <c r="C1246" s="8"/>
      <c r="D1246" s="8"/>
      <c r="E1246" s="9">
        <f t="shared" ref="E1246:Q1246" si="91">SUM(E1221:E1245)</f>
        <v>55829.505259999991</v>
      </c>
      <c r="F1246" s="9">
        <f t="shared" si="91"/>
        <v>37379.374689999997</v>
      </c>
      <c r="G1246" s="9">
        <f t="shared" si="91"/>
        <v>0</v>
      </c>
      <c r="H1246" s="9">
        <f t="shared" si="91"/>
        <v>37379.374689999997</v>
      </c>
      <c r="I1246" s="9">
        <f t="shared" si="91"/>
        <v>1489.38</v>
      </c>
      <c r="J1246" s="9">
        <f t="shared" si="91"/>
        <v>35880.392690000001</v>
      </c>
      <c r="K1246" s="9">
        <f t="shared" si="91"/>
        <v>16683.150569999998</v>
      </c>
      <c r="L1246" s="9">
        <f t="shared" si="91"/>
        <v>1489.38</v>
      </c>
      <c r="M1246" s="9">
        <f t="shared" si="91"/>
        <v>38868.754690000002</v>
      </c>
      <c r="N1246" s="9">
        <f t="shared" si="91"/>
        <v>16683.150569999998</v>
      </c>
      <c r="O1246" s="9">
        <f t="shared" si="91"/>
        <v>0</v>
      </c>
      <c r="P1246" s="9">
        <f t="shared" si="91"/>
        <v>16683.150569999998</v>
      </c>
      <c r="Q1246" s="9">
        <f t="shared" si="91"/>
        <v>36157.992689999999</v>
      </c>
      <c r="R1246" s="17"/>
      <c r="S1246" s="17"/>
      <c r="T1246" s="9">
        <f t="shared" ref="T1246:Z1246" si="92">SUM(T1221:T1245)</f>
        <v>0</v>
      </c>
      <c r="U1246" s="9">
        <f t="shared" si="92"/>
        <v>16683.150569999998</v>
      </c>
      <c r="V1246" s="9">
        <f t="shared" si="92"/>
        <v>54062.525259999995</v>
      </c>
      <c r="W1246" s="9">
        <f t="shared" si="92"/>
        <v>1766.98</v>
      </c>
      <c r="X1246" s="9">
        <f t="shared" si="92"/>
        <v>54062.525259999995</v>
      </c>
      <c r="Y1246" s="9">
        <f t="shared" si="92"/>
        <v>0</v>
      </c>
      <c r="Z1246" s="9">
        <f t="shared" si="92"/>
        <v>1766.98</v>
      </c>
      <c r="AA1246" s="9">
        <f>SUM(AA1221:AA1245)</f>
        <v>55551.90526</v>
      </c>
      <c r="AB1246" s="9">
        <f>SUM(AB1221:AB1245)</f>
        <v>277.60000000000002</v>
      </c>
    </row>
    <row r="1247" spans="1:28" x14ac:dyDescent="0.35">
      <c r="A1247" s="36"/>
      <c r="B1247" s="8"/>
      <c r="C1247" s="8"/>
      <c r="D1247" s="8"/>
      <c r="E1247" s="17" t="s">
        <v>29</v>
      </c>
      <c r="F1247" s="17" t="s">
        <v>29</v>
      </c>
      <c r="G1247" s="17" t="s">
        <v>29</v>
      </c>
      <c r="H1247" s="17" t="s">
        <v>29</v>
      </c>
      <c r="I1247" s="17" t="s">
        <v>29</v>
      </c>
      <c r="J1247" s="17" t="s">
        <v>29</v>
      </c>
      <c r="K1247" s="17" t="s">
        <v>29</v>
      </c>
      <c r="L1247" s="17" t="s">
        <v>29</v>
      </c>
      <c r="M1247" s="17" t="s">
        <v>29</v>
      </c>
      <c r="N1247" s="17" t="s">
        <v>29</v>
      </c>
      <c r="O1247" s="17" t="s">
        <v>29</v>
      </c>
      <c r="P1247" s="17" t="s">
        <v>29</v>
      </c>
      <c r="Q1247" s="17" t="s">
        <v>29</v>
      </c>
      <c r="R1247" s="17" t="s">
        <v>29</v>
      </c>
      <c r="S1247" s="17" t="s">
        <v>29</v>
      </c>
      <c r="T1247" s="17" t="s">
        <v>29</v>
      </c>
      <c r="U1247" s="17" t="s">
        <v>29</v>
      </c>
      <c r="V1247" s="17" t="s">
        <v>29</v>
      </c>
      <c r="W1247" s="17" t="s">
        <v>29</v>
      </c>
      <c r="X1247" s="17" t="s">
        <v>29</v>
      </c>
      <c r="Y1247" s="17" t="s">
        <v>29</v>
      </c>
      <c r="Z1247" s="17" t="s">
        <v>29</v>
      </c>
      <c r="AA1247" s="17" t="s">
        <v>29</v>
      </c>
      <c r="AB1247" s="17" t="s">
        <v>29</v>
      </c>
    </row>
    <row r="1248" spans="1:28" x14ac:dyDescent="0.35">
      <c r="A1248" s="38" t="s">
        <v>996</v>
      </c>
      <c r="B1248" s="7" t="s">
        <v>703</v>
      </c>
      <c r="C1248" s="8"/>
      <c r="D1248" s="8"/>
      <c r="E1248" s="8"/>
      <c r="F1248" s="8"/>
      <c r="G1248" s="8"/>
      <c r="H1248" s="8"/>
      <c r="I1248" s="8"/>
      <c r="J1248" s="8"/>
      <c r="K1248" s="8"/>
      <c r="L1248" s="8"/>
      <c r="M1248" s="8"/>
      <c r="N1248" s="8"/>
      <c r="O1248" s="8"/>
      <c r="P1248" s="8"/>
      <c r="Q1248" s="8"/>
      <c r="R1248" s="17"/>
      <c r="S1248" s="17"/>
      <c r="T1248" s="17"/>
      <c r="U1248" s="17"/>
      <c r="V1248" s="17"/>
      <c r="W1248" s="17"/>
      <c r="X1248" s="17"/>
      <c r="Y1248" s="17"/>
      <c r="Z1248" s="17"/>
    </row>
    <row r="1249" spans="1:28" x14ac:dyDescent="0.35">
      <c r="A1249" s="36"/>
      <c r="B1249" s="8"/>
      <c r="C1249" s="7" t="s">
        <v>539</v>
      </c>
      <c r="D1249" s="15" t="s">
        <v>68</v>
      </c>
      <c r="E1249" s="9">
        <f>STATS1003B!E1313/1000</f>
        <v>982.8125</v>
      </c>
      <c r="F1249" s="9">
        <f>STATS1003B!F1313/1000</f>
        <v>0</v>
      </c>
      <c r="G1249" s="9">
        <f>STATS1003B!G1313/1000</f>
        <v>0</v>
      </c>
      <c r="H1249" s="9">
        <f>STATS1003B!H1313/1000</f>
        <v>0</v>
      </c>
      <c r="I1249" s="9">
        <f>STATS1003B!I1313/1000</f>
        <v>0</v>
      </c>
      <c r="J1249" s="9">
        <f>STATS1003B!J1313/1000</f>
        <v>0</v>
      </c>
      <c r="K1249" s="9">
        <f>STATS1003B!K1313/1000</f>
        <v>982.8125</v>
      </c>
      <c r="L1249" s="9">
        <f>STATS1003B!L1313/1000</f>
        <v>0</v>
      </c>
      <c r="M1249" s="9">
        <f>STATS1003B!M1313/1000</f>
        <v>0</v>
      </c>
      <c r="N1249" s="9">
        <f>STATS1003B!N1313/1000</f>
        <v>982.8125</v>
      </c>
      <c r="O1249" s="9">
        <f>STATS1003B!O1313/1000</f>
        <v>0</v>
      </c>
      <c r="P1249" s="9">
        <f>STATS1003B!P1313/1000</f>
        <v>982.8125</v>
      </c>
      <c r="Q1249" s="9">
        <f>STATS1003B!Q1313/1000</f>
        <v>0</v>
      </c>
      <c r="R1249" s="9">
        <f>STATS1003B!R1313/1000</f>
        <v>0</v>
      </c>
      <c r="S1249" s="9">
        <f>STATS1003B!S1313/1000</f>
        <v>0</v>
      </c>
      <c r="T1249" s="9">
        <f>STATS1003B!T1313/1000</f>
        <v>0</v>
      </c>
      <c r="U1249" s="9">
        <f>STATS1003B!U1313/1000</f>
        <v>982.8125</v>
      </c>
      <c r="V1249" s="9">
        <f>STATS1003B!V1313/1000</f>
        <v>982.8125</v>
      </c>
      <c r="W1249" s="9">
        <f>STATS1003B!W1313/1000</f>
        <v>0</v>
      </c>
      <c r="X1249" s="9">
        <f>STATS1003B!X1313/1000</f>
        <v>982.8125</v>
      </c>
      <c r="Y1249" s="9">
        <f>STATS1003B!Y1313/1000</f>
        <v>0</v>
      </c>
      <c r="Z1249" s="9">
        <f>STATS1003B!Z1313/1000</f>
        <v>0</v>
      </c>
      <c r="AA1249" s="9">
        <f>STATS1003B!AA1313/1000</f>
        <v>982.8125</v>
      </c>
      <c r="AB1249" s="9">
        <f>STATS1003B!AB1313/1000</f>
        <v>0</v>
      </c>
    </row>
    <row r="1250" spans="1:28" x14ac:dyDescent="0.35">
      <c r="A1250" s="36"/>
      <c r="B1250" s="8"/>
      <c r="C1250" s="7" t="s">
        <v>704</v>
      </c>
      <c r="D1250" s="15" t="s">
        <v>68</v>
      </c>
      <c r="E1250" s="9">
        <f>STATS1003B!E1314/1000</f>
        <v>2550</v>
      </c>
      <c r="F1250" s="9">
        <f>STATS1003B!F1314/1000</f>
        <v>2550</v>
      </c>
      <c r="G1250" s="9">
        <f>STATS1003B!G1314/1000</f>
        <v>0</v>
      </c>
      <c r="H1250" s="9">
        <f>STATS1003B!H1314/1000</f>
        <v>2550</v>
      </c>
      <c r="I1250" s="9">
        <f>STATS1003B!I1314/1000</f>
        <v>0</v>
      </c>
      <c r="J1250" s="9">
        <f>STATS1003B!J1314/1000</f>
        <v>2550</v>
      </c>
      <c r="K1250" s="9">
        <f>STATS1003B!K1314/1000</f>
        <v>0</v>
      </c>
      <c r="L1250" s="9">
        <f>STATS1003B!L1314/1000</f>
        <v>0</v>
      </c>
      <c r="M1250" s="9">
        <f>STATS1003B!M1314/1000</f>
        <v>2550</v>
      </c>
      <c r="N1250" s="9">
        <f>STATS1003B!N1314/1000</f>
        <v>0</v>
      </c>
      <c r="O1250" s="9">
        <f>STATS1003B!O1314/1000</f>
        <v>0</v>
      </c>
      <c r="P1250" s="9">
        <f>STATS1003B!P1314/1000</f>
        <v>0</v>
      </c>
      <c r="Q1250" s="9">
        <f>STATS1003B!Q1314/1000</f>
        <v>2550</v>
      </c>
      <c r="R1250" s="9">
        <f>STATS1003B!R1314/1000</f>
        <v>0</v>
      </c>
      <c r="S1250" s="9">
        <f>STATS1003B!S1314/1000</f>
        <v>0</v>
      </c>
      <c r="T1250" s="9">
        <f>STATS1003B!T1314/1000</f>
        <v>0</v>
      </c>
      <c r="U1250" s="9">
        <f>STATS1003B!U1314/1000</f>
        <v>0</v>
      </c>
      <c r="V1250" s="9">
        <f>STATS1003B!V1314/1000</f>
        <v>2550</v>
      </c>
      <c r="W1250" s="9">
        <f>STATS1003B!W1314/1000</f>
        <v>0</v>
      </c>
      <c r="X1250" s="9">
        <f>STATS1003B!X1314/1000</f>
        <v>2550</v>
      </c>
      <c r="Y1250" s="9">
        <f>STATS1003B!Y1314/1000</f>
        <v>0</v>
      </c>
      <c r="Z1250" s="9">
        <f>STATS1003B!Z1314/1000</f>
        <v>0</v>
      </c>
      <c r="AA1250" s="9">
        <f>STATS1003B!AA1314/1000</f>
        <v>2550</v>
      </c>
      <c r="AB1250" s="9">
        <f>STATS1003B!AB1314/1000</f>
        <v>0</v>
      </c>
    </row>
    <row r="1251" spans="1:28" x14ac:dyDescent="0.35">
      <c r="A1251" s="36"/>
      <c r="B1251" s="8"/>
      <c r="C1251" s="7" t="s">
        <v>535</v>
      </c>
      <c r="D1251" s="15" t="s">
        <v>54</v>
      </c>
      <c r="E1251" s="9">
        <f>STATS1003B!E1315/1000</f>
        <v>911.05</v>
      </c>
      <c r="F1251" s="9">
        <f>STATS1003B!F1315/1000</f>
        <v>911.05</v>
      </c>
      <c r="G1251" s="9">
        <f>STATS1003B!G1315/1000</f>
        <v>0</v>
      </c>
      <c r="H1251" s="9">
        <f>STATS1003B!H1315/1000</f>
        <v>911.05</v>
      </c>
      <c r="I1251" s="9">
        <f>STATS1003B!I1315/1000</f>
        <v>0</v>
      </c>
      <c r="J1251" s="9">
        <f>STATS1003B!J1315/1000</f>
        <v>911.05</v>
      </c>
      <c r="K1251" s="9">
        <f>STATS1003B!K1315/1000</f>
        <v>0</v>
      </c>
      <c r="L1251" s="9">
        <f>STATS1003B!L1315/1000</f>
        <v>0</v>
      </c>
      <c r="M1251" s="9">
        <f>STATS1003B!M1315/1000</f>
        <v>911.05</v>
      </c>
      <c r="N1251" s="9">
        <f>STATS1003B!N1315/1000</f>
        <v>0</v>
      </c>
      <c r="O1251" s="9">
        <f>STATS1003B!O1315/1000</f>
        <v>0</v>
      </c>
      <c r="P1251" s="9">
        <f>STATS1003B!P1315/1000</f>
        <v>0</v>
      </c>
      <c r="Q1251" s="9">
        <f>STATS1003B!Q1315/1000</f>
        <v>911.05</v>
      </c>
      <c r="R1251" s="9">
        <f>STATS1003B!R1315/1000</f>
        <v>0</v>
      </c>
      <c r="S1251" s="9">
        <f>STATS1003B!S1315/1000</f>
        <v>0</v>
      </c>
      <c r="T1251" s="9">
        <f>STATS1003B!T1315/1000</f>
        <v>0</v>
      </c>
      <c r="U1251" s="9">
        <f>STATS1003B!U1315/1000</f>
        <v>0</v>
      </c>
      <c r="V1251" s="9">
        <f>STATS1003B!V1315/1000</f>
        <v>911.05</v>
      </c>
      <c r="W1251" s="9">
        <f>STATS1003B!W1315/1000</f>
        <v>0</v>
      </c>
      <c r="X1251" s="9">
        <f>STATS1003B!X1315/1000</f>
        <v>911.05</v>
      </c>
      <c r="Y1251" s="9">
        <f>STATS1003B!Y1315/1000</f>
        <v>0</v>
      </c>
      <c r="Z1251" s="9">
        <f>STATS1003B!Z1315/1000</f>
        <v>0</v>
      </c>
      <c r="AA1251" s="9">
        <f>STATS1003B!AA1315/1000</f>
        <v>911.05</v>
      </c>
      <c r="AB1251" s="9">
        <f>STATS1003B!AB1315/1000</f>
        <v>0</v>
      </c>
    </row>
    <row r="1252" spans="1:28" x14ac:dyDescent="0.35">
      <c r="A1252" s="36"/>
      <c r="B1252" s="8"/>
      <c r="C1252" s="7" t="s">
        <v>704</v>
      </c>
      <c r="D1252" s="15" t="s">
        <v>54</v>
      </c>
      <c r="E1252" s="9">
        <f>STATS1003B!E1316/1000</f>
        <v>5985</v>
      </c>
      <c r="F1252" s="9">
        <f>STATS1003B!F1316/1000</f>
        <v>5985</v>
      </c>
      <c r="G1252" s="9">
        <f>STATS1003B!G1316/1000</f>
        <v>0</v>
      </c>
      <c r="H1252" s="9">
        <f>STATS1003B!H1316/1000</f>
        <v>5985</v>
      </c>
      <c r="I1252" s="9">
        <f>STATS1003B!I1316/1000</f>
        <v>0</v>
      </c>
      <c r="J1252" s="9">
        <f>STATS1003B!J1316/1000</f>
        <v>5985</v>
      </c>
      <c r="K1252" s="9">
        <f>STATS1003B!K1316/1000</f>
        <v>0</v>
      </c>
      <c r="L1252" s="9">
        <f>STATS1003B!L1316/1000</f>
        <v>0</v>
      </c>
      <c r="M1252" s="9">
        <f>STATS1003B!M1316/1000</f>
        <v>5985</v>
      </c>
      <c r="N1252" s="9">
        <f>STATS1003B!N1316/1000</f>
        <v>0</v>
      </c>
      <c r="O1252" s="9">
        <f>STATS1003B!O1316/1000</f>
        <v>0</v>
      </c>
      <c r="P1252" s="9">
        <f>STATS1003B!P1316/1000</f>
        <v>0</v>
      </c>
      <c r="Q1252" s="9">
        <f>STATS1003B!Q1316/1000</f>
        <v>5985</v>
      </c>
      <c r="R1252" s="9">
        <f>STATS1003B!R1316/1000</f>
        <v>0</v>
      </c>
      <c r="S1252" s="9">
        <f>STATS1003B!S1316/1000</f>
        <v>0</v>
      </c>
      <c r="T1252" s="9">
        <f>STATS1003B!T1316/1000</f>
        <v>0</v>
      </c>
      <c r="U1252" s="9">
        <f>STATS1003B!U1316/1000</f>
        <v>0</v>
      </c>
      <c r="V1252" s="9">
        <f>STATS1003B!V1316/1000</f>
        <v>5985</v>
      </c>
      <c r="W1252" s="9">
        <f>STATS1003B!W1316/1000</f>
        <v>0</v>
      </c>
      <c r="X1252" s="9">
        <f>STATS1003B!X1316/1000</f>
        <v>5985</v>
      </c>
      <c r="Y1252" s="9">
        <f>STATS1003B!Y1316/1000</f>
        <v>0</v>
      </c>
      <c r="Z1252" s="9">
        <f>STATS1003B!Z1316/1000</f>
        <v>0</v>
      </c>
      <c r="AA1252" s="9">
        <f>STATS1003B!AA1316/1000</f>
        <v>5985</v>
      </c>
      <c r="AB1252" s="9">
        <f>STATS1003B!AB1316/1000</f>
        <v>0</v>
      </c>
    </row>
    <row r="1253" spans="1:28" x14ac:dyDescent="0.35">
      <c r="A1253" s="36"/>
      <c r="B1253" s="8"/>
      <c r="C1253" s="7" t="s">
        <v>696</v>
      </c>
      <c r="D1253" s="15" t="s">
        <v>54</v>
      </c>
      <c r="E1253" s="9">
        <f>STATS1003B!E1317/1000</f>
        <v>190</v>
      </c>
      <c r="F1253" s="9">
        <f>STATS1003B!F1317/1000</f>
        <v>190</v>
      </c>
      <c r="G1253" s="9">
        <f>STATS1003B!G1317/1000</f>
        <v>0</v>
      </c>
      <c r="H1253" s="9">
        <f>STATS1003B!H1317/1000</f>
        <v>190</v>
      </c>
      <c r="I1253" s="9">
        <f>STATS1003B!I1317/1000</f>
        <v>0</v>
      </c>
      <c r="J1253" s="9">
        <f>STATS1003B!J1317/1000</f>
        <v>190</v>
      </c>
      <c r="K1253" s="9">
        <f>STATS1003B!K1317/1000</f>
        <v>0</v>
      </c>
      <c r="L1253" s="9">
        <f>STATS1003B!L1317/1000</f>
        <v>0</v>
      </c>
      <c r="M1253" s="9">
        <f>STATS1003B!M1317/1000</f>
        <v>190</v>
      </c>
      <c r="N1253" s="9">
        <f>STATS1003B!N1317/1000</f>
        <v>0</v>
      </c>
      <c r="O1253" s="9">
        <f>STATS1003B!O1317/1000</f>
        <v>0</v>
      </c>
      <c r="P1253" s="9">
        <f>STATS1003B!P1317/1000</f>
        <v>0</v>
      </c>
      <c r="Q1253" s="9">
        <f>STATS1003B!Q1317/1000</f>
        <v>190</v>
      </c>
      <c r="R1253" s="9">
        <f>STATS1003B!R1317/1000</f>
        <v>0</v>
      </c>
      <c r="S1253" s="9">
        <f>STATS1003B!S1317/1000</f>
        <v>0</v>
      </c>
      <c r="T1253" s="9">
        <f>STATS1003B!T1317/1000</f>
        <v>0</v>
      </c>
      <c r="U1253" s="9">
        <f>STATS1003B!U1317/1000</f>
        <v>0</v>
      </c>
      <c r="V1253" s="9">
        <f>STATS1003B!V1317/1000</f>
        <v>190</v>
      </c>
      <c r="W1253" s="9">
        <f>STATS1003B!W1317/1000</f>
        <v>0</v>
      </c>
      <c r="X1253" s="9">
        <f>STATS1003B!X1317/1000</f>
        <v>190</v>
      </c>
      <c r="Y1253" s="9">
        <f>STATS1003B!Y1317/1000</f>
        <v>0</v>
      </c>
      <c r="Z1253" s="9">
        <f>STATS1003B!Z1317/1000</f>
        <v>0</v>
      </c>
      <c r="AA1253" s="9">
        <f>STATS1003B!AA1317/1000</f>
        <v>190</v>
      </c>
      <c r="AB1253" s="9">
        <f>STATS1003B!AB1317/1000</f>
        <v>0</v>
      </c>
    </row>
    <row r="1254" spans="1:28" x14ac:dyDescent="0.35">
      <c r="A1254" s="36"/>
      <c r="B1254" s="8"/>
      <c r="C1254" s="7" t="s">
        <v>655</v>
      </c>
      <c r="D1254" s="15" t="s">
        <v>54</v>
      </c>
      <c r="E1254" s="9">
        <f>STATS1003B!E1318/1000</f>
        <v>955.34561999999994</v>
      </c>
      <c r="F1254" s="9">
        <f>STATS1003B!F1318/1000</f>
        <v>0</v>
      </c>
      <c r="G1254" s="9">
        <f>STATS1003B!G1318/1000</f>
        <v>0</v>
      </c>
      <c r="H1254" s="9">
        <f>STATS1003B!H1318/1000</f>
        <v>0</v>
      </c>
      <c r="I1254" s="9">
        <f>STATS1003B!I1318/1000</f>
        <v>0</v>
      </c>
      <c r="J1254" s="9">
        <f>STATS1003B!J1318/1000</f>
        <v>0</v>
      </c>
      <c r="K1254" s="9">
        <f>STATS1003B!K1318/1000</f>
        <v>955.34561999999994</v>
      </c>
      <c r="L1254" s="9">
        <f>STATS1003B!L1318/1000</f>
        <v>0</v>
      </c>
      <c r="M1254" s="9">
        <f>STATS1003B!M1318/1000</f>
        <v>0</v>
      </c>
      <c r="N1254" s="9">
        <f>STATS1003B!N1318/1000</f>
        <v>955.34561999999994</v>
      </c>
      <c r="O1254" s="9">
        <f>STATS1003B!O1318/1000</f>
        <v>0</v>
      </c>
      <c r="P1254" s="9">
        <f>STATS1003B!P1318/1000</f>
        <v>955.34561999999994</v>
      </c>
      <c r="Q1254" s="9">
        <f>STATS1003B!Q1318/1000</f>
        <v>0</v>
      </c>
      <c r="R1254" s="9">
        <f>STATS1003B!R1318/1000</f>
        <v>0</v>
      </c>
      <c r="S1254" s="9">
        <f>STATS1003B!S1318/1000</f>
        <v>0</v>
      </c>
      <c r="T1254" s="9">
        <f>STATS1003B!T1318/1000</f>
        <v>0</v>
      </c>
      <c r="U1254" s="9">
        <f>STATS1003B!U1318/1000</f>
        <v>955.34561999999994</v>
      </c>
      <c r="V1254" s="9">
        <f>STATS1003B!V1318/1000</f>
        <v>955.34561999999994</v>
      </c>
      <c r="W1254" s="9">
        <f>STATS1003B!W1318/1000</f>
        <v>0</v>
      </c>
      <c r="X1254" s="9">
        <f>STATS1003B!X1318/1000</f>
        <v>955.34561999999994</v>
      </c>
      <c r="Y1254" s="9">
        <f>STATS1003B!Y1318/1000</f>
        <v>0</v>
      </c>
      <c r="Z1254" s="9">
        <f>STATS1003B!Z1318/1000</f>
        <v>0</v>
      </c>
      <c r="AA1254" s="9">
        <f>STATS1003B!AA1318/1000</f>
        <v>955.34561999999994</v>
      </c>
      <c r="AB1254" s="9">
        <f>STATS1003B!AB1318/1000</f>
        <v>0</v>
      </c>
    </row>
    <row r="1255" spans="1:28" x14ac:dyDescent="0.35">
      <c r="A1255" s="36"/>
      <c r="B1255" s="8"/>
      <c r="C1255" s="7" t="s">
        <v>545</v>
      </c>
      <c r="D1255" s="15" t="s">
        <v>54</v>
      </c>
      <c r="E1255" s="9">
        <f>STATS1003B!E1319/1000</f>
        <v>1953.989</v>
      </c>
      <c r="F1255" s="9">
        <f>STATS1003B!F1319/1000</f>
        <v>0</v>
      </c>
      <c r="G1255" s="9">
        <f>STATS1003B!G1319/1000</f>
        <v>0</v>
      </c>
      <c r="H1255" s="9">
        <f>STATS1003B!H1319/1000</f>
        <v>0</v>
      </c>
      <c r="I1255" s="9">
        <f>STATS1003B!I1319/1000</f>
        <v>0</v>
      </c>
      <c r="J1255" s="9">
        <f>STATS1003B!J1319/1000</f>
        <v>0</v>
      </c>
      <c r="K1255" s="9">
        <f>STATS1003B!K1319/1000</f>
        <v>1953.989</v>
      </c>
      <c r="L1255" s="9">
        <f>STATS1003B!L1319/1000</f>
        <v>0</v>
      </c>
      <c r="M1255" s="9">
        <f>STATS1003B!M1319/1000</f>
        <v>0</v>
      </c>
      <c r="N1255" s="9">
        <f>STATS1003B!N1319/1000</f>
        <v>1953.989</v>
      </c>
      <c r="O1255" s="9">
        <f>STATS1003B!O1319/1000</f>
        <v>0</v>
      </c>
      <c r="P1255" s="9">
        <f>STATS1003B!P1319/1000</f>
        <v>1953.989</v>
      </c>
      <c r="Q1255" s="9">
        <f>STATS1003B!Q1319/1000</f>
        <v>0</v>
      </c>
      <c r="R1255" s="9">
        <f>STATS1003B!R1319/1000</f>
        <v>0</v>
      </c>
      <c r="S1255" s="9">
        <f>STATS1003B!S1319/1000</f>
        <v>0</v>
      </c>
      <c r="T1255" s="9">
        <f>STATS1003B!T1319/1000</f>
        <v>0</v>
      </c>
      <c r="U1255" s="9">
        <f>STATS1003B!U1319/1000</f>
        <v>1953.989</v>
      </c>
      <c r="V1255" s="9">
        <f>STATS1003B!V1319/1000</f>
        <v>1953.989</v>
      </c>
      <c r="W1255" s="9">
        <f>STATS1003B!W1319/1000</f>
        <v>0</v>
      </c>
      <c r="X1255" s="9">
        <f>STATS1003B!X1319/1000</f>
        <v>1953.989</v>
      </c>
      <c r="Y1255" s="9">
        <f>STATS1003B!Y1319/1000</f>
        <v>0</v>
      </c>
      <c r="Z1255" s="9">
        <f>STATS1003B!Z1319/1000</f>
        <v>0</v>
      </c>
      <c r="AA1255" s="9">
        <f>STATS1003B!AA1319/1000</f>
        <v>1953.989</v>
      </c>
      <c r="AB1255" s="9">
        <f>STATS1003B!AB1319/1000</f>
        <v>0</v>
      </c>
    </row>
    <row r="1256" spans="1:28" x14ac:dyDescent="0.35">
      <c r="A1256" s="36"/>
      <c r="B1256" s="8"/>
      <c r="C1256" s="7" t="s">
        <v>535</v>
      </c>
      <c r="D1256" s="15" t="s">
        <v>85</v>
      </c>
      <c r="E1256" s="9">
        <f>STATS1003B!E1320/1000</f>
        <v>4962.6000000000004</v>
      </c>
      <c r="F1256" s="9">
        <f>STATS1003B!F1320/1000</f>
        <v>4962.6000000000004</v>
      </c>
      <c r="G1256" s="9">
        <f>STATS1003B!G1320/1000</f>
        <v>0</v>
      </c>
      <c r="H1256" s="9">
        <f>STATS1003B!H1320/1000</f>
        <v>4962.6000000000004</v>
      </c>
      <c r="I1256" s="9">
        <f>STATS1003B!I1320/1000</f>
        <v>0</v>
      </c>
      <c r="J1256" s="9">
        <f>STATS1003B!J1320/1000</f>
        <v>4962.6000000000004</v>
      </c>
      <c r="K1256" s="9">
        <f>STATS1003B!K1320/1000</f>
        <v>0</v>
      </c>
      <c r="L1256" s="9">
        <f>STATS1003B!L1320/1000</f>
        <v>0</v>
      </c>
      <c r="M1256" s="9">
        <f>STATS1003B!M1320/1000</f>
        <v>4962.6000000000004</v>
      </c>
      <c r="N1256" s="9">
        <f>STATS1003B!N1320/1000</f>
        <v>0</v>
      </c>
      <c r="O1256" s="9">
        <f>STATS1003B!O1320/1000</f>
        <v>0</v>
      </c>
      <c r="P1256" s="9">
        <f>STATS1003B!P1320/1000</f>
        <v>0</v>
      </c>
      <c r="Q1256" s="9">
        <f>STATS1003B!Q1320/1000</f>
        <v>4962.6000000000004</v>
      </c>
      <c r="R1256" s="9">
        <f>STATS1003B!R1320/1000</f>
        <v>0</v>
      </c>
      <c r="S1256" s="9">
        <f>STATS1003B!S1320/1000</f>
        <v>0</v>
      </c>
      <c r="T1256" s="9">
        <f>STATS1003B!T1320/1000</f>
        <v>0</v>
      </c>
      <c r="U1256" s="9">
        <f>STATS1003B!U1320/1000</f>
        <v>0</v>
      </c>
      <c r="V1256" s="9">
        <f>STATS1003B!V1320/1000</f>
        <v>4962.6000000000004</v>
      </c>
      <c r="W1256" s="9">
        <f>STATS1003B!W1320/1000</f>
        <v>0</v>
      </c>
      <c r="X1256" s="9">
        <f>STATS1003B!X1320/1000</f>
        <v>4962.6000000000004</v>
      </c>
      <c r="Y1256" s="9">
        <f>STATS1003B!Y1320/1000</f>
        <v>0</v>
      </c>
      <c r="Z1256" s="9">
        <f>STATS1003B!Z1320/1000</f>
        <v>0</v>
      </c>
      <c r="AA1256" s="9">
        <f>STATS1003B!AA1320/1000</f>
        <v>4962.6000000000004</v>
      </c>
      <c r="AB1256" s="9">
        <f>STATS1003B!AB1320/1000</f>
        <v>0</v>
      </c>
    </row>
    <row r="1257" spans="1:28" x14ac:dyDescent="0.35">
      <c r="A1257" s="36"/>
      <c r="B1257" s="8"/>
      <c r="C1257" s="7" t="s">
        <v>650</v>
      </c>
      <c r="D1257" s="15" t="s">
        <v>85</v>
      </c>
      <c r="E1257" s="9">
        <f>STATS1003B!E1321/1000</f>
        <v>160</v>
      </c>
      <c r="F1257" s="9">
        <f>STATS1003B!F1321/1000</f>
        <v>160</v>
      </c>
      <c r="G1257" s="9">
        <f>STATS1003B!G1321/1000</f>
        <v>0</v>
      </c>
      <c r="H1257" s="9">
        <f>STATS1003B!H1321/1000</f>
        <v>160</v>
      </c>
      <c r="I1257" s="9">
        <f>STATS1003B!I1321/1000</f>
        <v>0</v>
      </c>
      <c r="J1257" s="9">
        <f>STATS1003B!J1321/1000</f>
        <v>160</v>
      </c>
      <c r="K1257" s="9">
        <f>STATS1003B!K1321/1000</f>
        <v>0</v>
      </c>
      <c r="L1257" s="9">
        <f>STATS1003B!L1321/1000</f>
        <v>0</v>
      </c>
      <c r="M1257" s="9">
        <f>STATS1003B!M1321/1000</f>
        <v>160</v>
      </c>
      <c r="N1257" s="9">
        <f>STATS1003B!N1321/1000</f>
        <v>0</v>
      </c>
      <c r="O1257" s="9">
        <f>STATS1003B!O1321/1000</f>
        <v>0</v>
      </c>
      <c r="P1257" s="9">
        <f>STATS1003B!P1321/1000</f>
        <v>0</v>
      </c>
      <c r="Q1257" s="9">
        <f>STATS1003B!Q1321/1000</f>
        <v>160</v>
      </c>
      <c r="R1257" s="9">
        <f>STATS1003B!R1321/1000</f>
        <v>0</v>
      </c>
      <c r="S1257" s="9">
        <f>STATS1003B!S1321/1000</f>
        <v>0</v>
      </c>
      <c r="T1257" s="9">
        <f>STATS1003B!T1321/1000</f>
        <v>0</v>
      </c>
      <c r="U1257" s="9">
        <f>STATS1003B!U1321/1000</f>
        <v>0</v>
      </c>
      <c r="V1257" s="9">
        <f>STATS1003B!V1321/1000</f>
        <v>160</v>
      </c>
      <c r="W1257" s="9">
        <f>STATS1003B!W1321/1000</f>
        <v>0</v>
      </c>
      <c r="X1257" s="9">
        <f>STATS1003B!X1321/1000</f>
        <v>160</v>
      </c>
      <c r="Y1257" s="9">
        <f>STATS1003B!Y1321/1000</f>
        <v>0</v>
      </c>
      <c r="Z1257" s="9">
        <f>STATS1003B!Z1321/1000</f>
        <v>0</v>
      </c>
      <c r="AA1257" s="9">
        <f>STATS1003B!AA1321/1000</f>
        <v>160</v>
      </c>
      <c r="AB1257" s="9">
        <f>STATS1003B!AB1321/1000</f>
        <v>0</v>
      </c>
    </row>
    <row r="1258" spans="1:28" x14ac:dyDescent="0.35">
      <c r="A1258" s="36"/>
      <c r="B1258" s="8"/>
      <c r="C1258" s="7" t="s">
        <v>697</v>
      </c>
      <c r="D1258" s="15" t="s">
        <v>85</v>
      </c>
      <c r="E1258" s="9">
        <f>STATS1003B!E1322/1000</f>
        <v>14</v>
      </c>
      <c r="F1258" s="9">
        <f>STATS1003B!F1322/1000</f>
        <v>14</v>
      </c>
      <c r="G1258" s="9">
        <f>STATS1003B!G1322/1000</f>
        <v>0</v>
      </c>
      <c r="H1258" s="9">
        <f>STATS1003B!H1322/1000</f>
        <v>14</v>
      </c>
      <c r="I1258" s="9">
        <f>STATS1003B!I1322/1000</f>
        <v>0</v>
      </c>
      <c r="J1258" s="9">
        <f>STATS1003B!J1322/1000</f>
        <v>14</v>
      </c>
      <c r="K1258" s="9">
        <f>STATS1003B!K1322/1000</f>
        <v>0</v>
      </c>
      <c r="L1258" s="9">
        <f>STATS1003B!L1322/1000</f>
        <v>0</v>
      </c>
      <c r="M1258" s="9">
        <f>STATS1003B!M1322/1000</f>
        <v>14</v>
      </c>
      <c r="N1258" s="9">
        <f>STATS1003B!N1322/1000</f>
        <v>0</v>
      </c>
      <c r="O1258" s="9">
        <f>STATS1003B!O1322/1000</f>
        <v>0</v>
      </c>
      <c r="P1258" s="9">
        <f>STATS1003B!P1322/1000</f>
        <v>0</v>
      </c>
      <c r="Q1258" s="9">
        <f>STATS1003B!Q1322/1000</f>
        <v>14</v>
      </c>
      <c r="R1258" s="9">
        <f>STATS1003B!R1322/1000</f>
        <v>0</v>
      </c>
      <c r="S1258" s="9">
        <f>STATS1003B!S1322/1000</f>
        <v>0</v>
      </c>
      <c r="T1258" s="9">
        <f>STATS1003B!T1322/1000</f>
        <v>0</v>
      </c>
      <c r="U1258" s="9">
        <f>STATS1003B!U1322/1000</f>
        <v>0</v>
      </c>
      <c r="V1258" s="9">
        <f>STATS1003B!V1322/1000</f>
        <v>14</v>
      </c>
      <c r="W1258" s="9">
        <f>STATS1003B!W1322/1000</f>
        <v>0</v>
      </c>
      <c r="X1258" s="9">
        <f>STATS1003B!X1322/1000</f>
        <v>14</v>
      </c>
      <c r="Y1258" s="9">
        <f>STATS1003B!Y1322/1000</f>
        <v>0</v>
      </c>
      <c r="Z1258" s="9">
        <f>STATS1003B!Z1322/1000</f>
        <v>0</v>
      </c>
      <c r="AA1258" s="9">
        <f>STATS1003B!AA1322/1000</f>
        <v>14</v>
      </c>
      <c r="AB1258" s="9">
        <f>STATS1003B!AB1322/1000</f>
        <v>0</v>
      </c>
    </row>
    <row r="1259" spans="1:28" x14ac:dyDescent="0.35">
      <c r="A1259" s="36"/>
      <c r="B1259" s="8"/>
      <c r="C1259" s="7" t="s">
        <v>535</v>
      </c>
      <c r="D1259" s="15" t="s">
        <v>88</v>
      </c>
      <c r="E1259" s="9">
        <f>STATS1003B!E1323/1000</f>
        <v>4000</v>
      </c>
      <c r="F1259" s="9">
        <f>STATS1003B!F1323/1000</f>
        <v>4000</v>
      </c>
      <c r="G1259" s="9">
        <f>STATS1003B!G1323/1000</f>
        <v>0</v>
      </c>
      <c r="H1259" s="9">
        <f>STATS1003B!H1323/1000</f>
        <v>4000</v>
      </c>
      <c r="I1259" s="9">
        <f>STATS1003B!I1323/1000</f>
        <v>0</v>
      </c>
      <c r="J1259" s="9">
        <f>STATS1003B!J1323/1000</f>
        <v>4000</v>
      </c>
      <c r="K1259" s="9">
        <f>STATS1003B!K1323/1000</f>
        <v>0</v>
      </c>
      <c r="L1259" s="9">
        <f>STATS1003B!L1323/1000</f>
        <v>0</v>
      </c>
      <c r="M1259" s="9">
        <f>STATS1003B!M1323/1000</f>
        <v>4000</v>
      </c>
      <c r="N1259" s="9">
        <f>STATS1003B!N1323/1000</f>
        <v>0</v>
      </c>
      <c r="O1259" s="9">
        <f>STATS1003B!O1323/1000</f>
        <v>0</v>
      </c>
      <c r="P1259" s="9">
        <f>STATS1003B!P1323/1000</f>
        <v>0</v>
      </c>
      <c r="Q1259" s="9">
        <f>STATS1003B!Q1323/1000</f>
        <v>4000</v>
      </c>
      <c r="R1259" s="9">
        <f>STATS1003B!R1323/1000</f>
        <v>0</v>
      </c>
      <c r="S1259" s="9">
        <f>STATS1003B!S1323/1000</f>
        <v>0</v>
      </c>
      <c r="T1259" s="9">
        <f>STATS1003B!T1323/1000</f>
        <v>0</v>
      </c>
      <c r="U1259" s="9">
        <f>STATS1003B!U1323/1000</f>
        <v>0</v>
      </c>
      <c r="V1259" s="9">
        <f>STATS1003B!V1323/1000</f>
        <v>4000</v>
      </c>
      <c r="W1259" s="9">
        <f>STATS1003B!W1323/1000</f>
        <v>0</v>
      </c>
      <c r="X1259" s="9">
        <f>STATS1003B!X1323/1000</f>
        <v>4000</v>
      </c>
      <c r="Y1259" s="9">
        <f>STATS1003B!Y1323/1000</f>
        <v>0</v>
      </c>
      <c r="Z1259" s="9">
        <f>STATS1003B!Z1323/1000</f>
        <v>0</v>
      </c>
      <c r="AA1259" s="9">
        <f>STATS1003B!AA1323/1000</f>
        <v>4000</v>
      </c>
      <c r="AB1259" s="9">
        <f>STATS1003B!AB1323/1000</f>
        <v>0</v>
      </c>
    </row>
    <row r="1260" spans="1:28" x14ac:dyDescent="0.35">
      <c r="A1260" s="36"/>
      <c r="B1260" s="8"/>
      <c r="C1260" s="7" t="s">
        <v>705</v>
      </c>
      <c r="D1260" s="15" t="s">
        <v>88</v>
      </c>
      <c r="E1260" s="9">
        <f>STATS1003B!E1324/1000</f>
        <v>969.38800000000003</v>
      </c>
      <c r="F1260" s="9">
        <f>STATS1003B!F1324/1000</f>
        <v>969.38800000000003</v>
      </c>
      <c r="G1260" s="9">
        <f>STATS1003B!G1324/1000</f>
        <v>0</v>
      </c>
      <c r="H1260" s="9">
        <f>STATS1003B!H1324/1000</f>
        <v>969.38800000000003</v>
      </c>
      <c r="I1260" s="9">
        <f>STATS1003B!I1324/1000</f>
        <v>0</v>
      </c>
      <c r="J1260" s="9">
        <f>STATS1003B!J1324/1000</f>
        <v>969.38800000000003</v>
      </c>
      <c r="K1260" s="9">
        <f>STATS1003B!K1324/1000</f>
        <v>0</v>
      </c>
      <c r="L1260" s="9">
        <f>STATS1003B!L1324/1000</f>
        <v>0</v>
      </c>
      <c r="M1260" s="9">
        <f>STATS1003B!M1324/1000</f>
        <v>969.38800000000003</v>
      </c>
      <c r="N1260" s="9">
        <f>STATS1003B!N1324/1000</f>
        <v>0</v>
      </c>
      <c r="O1260" s="9">
        <f>STATS1003B!O1324/1000</f>
        <v>0</v>
      </c>
      <c r="P1260" s="9">
        <f>STATS1003B!P1324/1000</f>
        <v>0</v>
      </c>
      <c r="Q1260" s="9">
        <f>STATS1003B!Q1324/1000</f>
        <v>969.38800000000003</v>
      </c>
      <c r="R1260" s="9">
        <f>STATS1003B!R1324/1000</f>
        <v>0</v>
      </c>
      <c r="S1260" s="9">
        <f>STATS1003B!S1324/1000</f>
        <v>0</v>
      </c>
      <c r="T1260" s="9">
        <f>STATS1003B!T1324/1000</f>
        <v>0</v>
      </c>
      <c r="U1260" s="9">
        <f>STATS1003B!U1324/1000</f>
        <v>0</v>
      </c>
      <c r="V1260" s="9">
        <f>STATS1003B!V1324/1000</f>
        <v>969.38800000000003</v>
      </c>
      <c r="W1260" s="9">
        <f>STATS1003B!W1324/1000</f>
        <v>0</v>
      </c>
      <c r="X1260" s="9">
        <f>STATS1003B!X1324/1000</f>
        <v>969.38800000000003</v>
      </c>
      <c r="Y1260" s="9">
        <f>STATS1003B!Y1324/1000</f>
        <v>0</v>
      </c>
      <c r="Z1260" s="9">
        <f>STATS1003B!Z1324/1000</f>
        <v>0</v>
      </c>
      <c r="AA1260" s="9">
        <f>STATS1003B!AA1324/1000</f>
        <v>969.38800000000003</v>
      </c>
      <c r="AB1260" s="9">
        <f>STATS1003B!AB1324/1000</f>
        <v>0</v>
      </c>
    </row>
    <row r="1261" spans="1:28" x14ac:dyDescent="0.35">
      <c r="A1261" s="36"/>
      <c r="B1261" s="8"/>
      <c r="C1261" s="7" t="s">
        <v>535</v>
      </c>
      <c r="D1261" s="15" t="s">
        <v>108</v>
      </c>
      <c r="E1261" s="9">
        <f>STATS1003B!E1325/1000</f>
        <v>1384.694</v>
      </c>
      <c r="F1261" s="9">
        <f>STATS1003B!F1325/1000</f>
        <v>1384.694</v>
      </c>
      <c r="G1261" s="9">
        <f>STATS1003B!G1325/1000</f>
        <v>0</v>
      </c>
      <c r="H1261" s="9">
        <f>STATS1003B!H1325/1000</f>
        <v>1384.694</v>
      </c>
      <c r="I1261" s="9">
        <f>STATS1003B!I1325/1000</f>
        <v>0</v>
      </c>
      <c r="J1261" s="9">
        <f>STATS1003B!J1325/1000</f>
        <v>1384.694</v>
      </c>
      <c r="K1261" s="9">
        <f>STATS1003B!K1325/1000</f>
        <v>0</v>
      </c>
      <c r="L1261" s="9">
        <f>STATS1003B!L1325/1000</f>
        <v>0</v>
      </c>
      <c r="M1261" s="9">
        <f>STATS1003B!M1325/1000</f>
        <v>1384.694</v>
      </c>
      <c r="N1261" s="9">
        <f>STATS1003B!N1325/1000</f>
        <v>0</v>
      </c>
      <c r="O1261" s="9">
        <f>STATS1003B!O1325/1000</f>
        <v>0</v>
      </c>
      <c r="P1261" s="9">
        <f>STATS1003B!P1325/1000</f>
        <v>0</v>
      </c>
      <c r="Q1261" s="9">
        <f>STATS1003B!Q1325/1000</f>
        <v>1384.694</v>
      </c>
      <c r="R1261" s="9">
        <f>STATS1003B!R1325/1000</f>
        <v>0</v>
      </c>
      <c r="S1261" s="9">
        <f>STATS1003B!S1325/1000</f>
        <v>0</v>
      </c>
      <c r="T1261" s="9">
        <f>STATS1003B!T1325/1000</f>
        <v>0</v>
      </c>
      <c r="U1261" s="9">
        <f>STATS1003B!U1325/1000</f>
        <v>0</v>
      </c>
      <c r="V1261" s="9">
        <f>STATS1003B!V1325/1000</f>
        <v>1384.694</v>
      </c>
      <c r="W1261" s="9">
        <f>STATS1003B!W1325/1000</f>
        <v>0</v>
      </c>
      <c r="X1261" s="9">
        <f>STATS1003B!X1325/1000</f>
        <v>1384.694</v>
      </c>
      <c r="Y1261" s="9">
        <f>STATS1003B!Y1325/1000</f>
        <v>0</v>
      </c>
      <c r="Z1261" s="9">
        <f>STATS1003B!Z1325/1000</f>
        <v>0</v>
      </c>
      <c r="AA1261" s="9">
        <f>STATS1003B!AA1325/1000</f>
        <v>1384.694</v>
      </c>
      <c r="AB1261" s="9">
        <f>STATS1003B!AB1325/1000</f>
        <v>0</v>
      </c>
    </row>
    <row r="1262" spans="1:28" x14ac:dyDescent="0.35">
      <c r="A1262" s="36"/>
      <c r="B1262" s="8"/>
      <c r="C1262" s="7" t="s">
        <v>535</v>
      </c>
      <c r="D1262" s="15" t="s">
        <v>58</v>
      </c>
      <c r="E1262" s="9">
        <f>STATS1003B!E1326/1000</f>
        <v>2080.9430000000002</v>
      </c>
      <c r="F1262" s="9">
        <f>STATS1003B!F1326/1000</f>
        <v>2080.9430000000002</v>
      </c>
      <c r="G1262" s="9">
        <f>STATS1003B!G1326/1000</f>
        <v>0</v>
      </c>
      <c r="H1262" s="9">
        <f>STATS1003B!H1326/1000</f>
        <v>2080.9430000000002</v>
      </c>
      <c r="I1262" s="9">
        <f>STATS1003B!I1326/1000</f>
        <v>0</v>
      </c>
      <c r="J1262" s="9">
        <f>STATS1003B!J1326/1000</f>
        <v>2080.9430000000002</v>
      </c>
      <c r="K1262" s="9">
        <f>STATS1003B!K1326/1000</f>
        <v>0</v>
      </c>
      <c r="L1262" s="9">
        <f>STATS1003B!L1326/1000</f>
        <v>0</v>
      </c>
      <c r="M1262" s="9">
        <f>STATS1003B!M1326/1000</f>
        <v>2080.9430000000002</v>
      </c>
      <c r="N1262" s="9">
        <f>STATS1003B!N1326/1000</f>
        <v>0</v>
      </c>
      <c r="O1262" s="9">
        <f>STATS1003B!O1326/1000</f>
        <v>0</v>
      </c>
      <c r="P1262" s="9">
        <f>STATS1003B!P1326/1000</f>
        <v>0</v>
      </c>
      <c r="Q1262" s="9">
        <f>STATS1003B!Q1326/1000</f>
        <v>2080.9430000000002</v>
      </c>
      <c r="R1262" s="9">
        <f>STATS1003B!R1326/1000</f>
        <v>0</v>
      </c>
      <c r="S1262" s="9">
        <f>STATS1003B!S1326/1000</f>
        <v>0</v>
      </c>
      <c r="T1262" s="9">
        <f>STATS1003B!T1326/1000</f>
        <v>0</v>
      </c>
      <c r="U1262" s="9">
        <f>STATS1003B!U1326/1000</f>
        <v>0</v>
      </c>
      <c r="V1262" s="9">
        <f>STATS1003B!V1326/1000</f>
        <v>2080.9430000000002</v>
      </c>
      <c r="W1262" s="9">
        <f>STATS1003B!W1326/1000</f>
        <v>0</v>
      </c>
      <c r="X1262" s="9">
        <f>STATS1003B!X1326/1000</f>
        <v>2080.9430000000002</v>
      </c>
      <c r="Y1262" s="9">
        <f>STATS1003B!Y1326/1000</f>
        <v>0</v>
      </c>
      <c r="Z1262" s="9">
        <f>STATS1003B!Z1326/1000</f>
        <v>0</v>
      </c>
      <c r="AA1262" s="9">
        <f>STATS1003B!AA1326/1000</f>
        <v>2080.9430000000002</v>
      </c>
      <c r="AB1262" s="9">
        <f>STATS1003B!AB1326/1000</f>
        <v>0</v>
      </c>
    </row>
    <row r="1263" spans="1:28" x14ac:dyDescent="0.35">
      <c r="A1263" s="36"/>
      <c r="B1263" s="8"/>
      <c r="C1263" s="7" t="s">
        <v>706</v>
      </c>
      <c r="D1263" s="15" t="s">
        <v>58</v>
      </c>
      <c r="E1263" s="9">
        <f>STATS1003B!E1327/1000</f>
        <v>1140.569</v>
      </c>
      <c r="F1263" s="9">
        <f>STATS1003B!F1327/1000</f>
        <v>1140.569</v>
      </c>
      <c r="G1263" s="9">
        <f>STATS1003B!G1327/1000</f>
        <v>0</v>
      </c>
      <c r="H1263" s="9">
        <f>STATS1003B!H1327/1000</f>
        <v>1140.569</v>
      </c>
      <c r="I1263" s="9">
        <f>STATS1003B!I1327/1000</f>
        <v>0</v>
      </c>
      <c r="J1263" s="9">
        <f>STATS1003B!J1327/1000</f>
        <v>1140.569</v>
      </c>
      <c r="K1263" s="9">
        <f>STATS1003B!K1327/1000</f>
        <v>0</v>
      </c>
      <c r="L1263" s="9">
        <f>STATS1003B!L1327/1000</f>
        <v>0</v>
      </c>
      <c r="M1263" s="9">
        <f>STATS1003B!M1327/1000</f>
        <v>1140.569</v>
      </c>
      <c r="N1263" s="9">
        <f>STATS1003B!N1327/1000</f>
        <v>0</v>
      </c>
      <c r="O1263" s="9">
        <f>STATS1003B!O1327/1000</f>
        <v>0</v>
      </c>
      <c r="P1263" s="9">
        <f>STATS1003B!P1327/1000</f>
        <v>0</v>
      </c>
      <c r="Q1263" s="9">
        <f>STATS1003B!Q1327/1000</f>
        <v>1140.569</v>
      </c>
      <c r="R1263" s="9">
        <f>STATS1003B!R1327/1000</f>
        <v>0</v>
      </c>
      <c r="S1263" s="9">
        <f>STATS1003B!S1327/1000</f>
        <v>0</v>
      </c>
      <c r="T1263" s="9">
        <f>STATS1003B!T1327/1000</f>
        <v>0</v>
      </c>
      <c r="U1263" s="9">
        <f>STATS1003B!U1327/1000</f>
        <v>0</v>
      </c>
      <c r="V1263" s="9">
        <f>STATS1003B!V1327/1000</f>
        <v>1140.569</v>
      </c>
      <c r="W1263" s="9">
        <f>STATS1003B!W1327/1000</f>
        <v>0</v>
      </c>
      <c r="X1263" s="9">
        <f>STATS1003B!X1327/1000</f>
        <v>1140.569</v>
      </c>
      <c r="Y1263" s="9">
        <f>STATS1003B!Y1327/1000</f>
        <v>0</v>
      </c>
      <c r="Z1263" s="9">
        <f>STATS1003B!Z1327/1000</f>
        <v>0</v>
      </c>
      <c r="AA1263" s="9">
        <f>STATS1003B!AA1327/1000</f>
        <v>1140.569</v>
      </c>
      <c r="AB1263" s="9">
        <f>STATS1003B!AB1327/1000</f>
        <v>0</v>
      </c>
    </row>
    <row r="1264" spans="1:28" x14ac:dyDescent="0.35">
      <c r="A1264" s="36"/>
      <c r="B1264" s="8"/>
      <c r="C1264" s="7" t="s">
        <v>535</v>
      </c>
      <c r="D1264" s="21" t="s">
        <v>60</v>
      </c>
      <c r="E1264" s="9">
        <f>STATS1003B!E1328/1000</f>
        <v>5799.6419999999998</v>
      </c>
      <c r="F1264" s="9">
        <f>STATS1003B!F1328/1000</f>
        <v>5799.6419999999998</v>
      </c>
      <c r="G1264" s="9">
        <f>STATS1003B!G1328/1000</f>
        <v>0</v>
      </c>
      <c r="H1264" s="9">
        <f>STATS1003B!H1328/1000</f>
        <v>5799.6419999999998</v>
      </c>
      <c r="I1264" s="9">
        <f>STATS1003B!I1328/1000</f>
        <v>0</v>
      </c>
      <c r="J1264" s="9">
        <f>STATS1003B!J1328/1000</f>
        <v>5799.6419999999998</v>
      </c>
      <c r="K1264" s="9">
        <f>STATS1003B!K1328/1000</f>
        <v>0</v>
      </c>
      <c r="L1264" s="9">
        <f>STATS1003B!L1328/1000</f>
        <v>0</v>
      </c>
      <c r="M1264" s="9">
        <f>STATS1003B!M1328/1000</f>
        <v>5799.6419999999998</v>
      </c>
      <c r="N1264" s="9">
        <f>STATS1003B!N1328/1000</f>
        <v>0</v>
      </c>
      <c r="O1264" s="9">
        <f>STATS1003B!O1328/1000</f>
        <v>0</v>
      </c>
      <c r="P1264" s="9">
        <f>STATS1003B!P1328/1000</f>
        <v>0</v>
      </c>
      <c r="Q1264" s="9">
        <f>STATS1003B!Q1328/1000</f>
        <v>5799.6419999999998</v>
      </c>
      <c r="R1264" s="9">
        <f>STATS1003B!R1328/1000</f>
        <v>0</v>
      </c>
      <c r="S1264" s="9">
        <f>STATS1003B!S1328/1000</f>
        <v>0</v>
      </c>
      <c r="T1264" s="9">
        <f>STATS1003B!T1328/1000</f>
        <v>0</v>
      </c>
      <c r="U1264" s="9">
        <f>STATS1003B!U1328/1000</f>
        <v>0</v>
      </c>
      <c r="V1264" s="9">
        <f>STATS1003B!V1328/1000</f>
        <v>5799.6419999999998</v>
      </c>
      <c r="W1264" s="9">
        <f>STATS1003B!W1328/1000</f>
        <v>0</v>
      </c>
      <c r="X1264" s="9">
        <f>STATS1003B!X1328/1000</f>
        <v>5799.6419999999998</v>
      </c>
      <c r="Y1264" s="9">
        <f>STATS1003B!Y1328/1000</f>
        <v>0</v>
      </c>
      <c r="Z1264" s="9">
        <f>STATS1003B!Z1328/1000</f>
        <v>0</v>
      </c>
      <c r="AA1264" s="9">
        <f>STATS1003B!AA1328/1000</f>
        <v>5799.6419999999998</v>
      </c>
      <c r="AB1264" s="9">
        <f>STATS1003B!AB1328/1000</f>
        <v>0</v>
      </c>
    </row>
    <row r="1265" spans="1:28" x14ac:dyDescent="0.35">
      <c r="A1265" s="36"/>
      <c r="B1265" s="8"/>
      <c r="C1265" s="14" t="s">
        <v>535</v>
      </c>
      <c r="D1265" s="21" t="s">
        <v>73</v>
      </c>
      <c r="E1265" s="9">
        <f>STATS1003B!E1329/1000</f>
        <v>6352</v>
      </c>
      <c r="F1265" s="9">
        <f>STATS1003B!F1329/1000</f>
        <v>6352</v>
      </c>
      <c r="G1265" s="9">
        <f>STATS1003B!G1329/1000</f>
        <v>0</v>
      </c>
      <c r="H1265" s="9">
        <f>STATS1003B!H1329/1000</f>
        <v>6352</v>
      </c>
      <c r="I1265" s="9">
        <f>STATS1003B!I1329/1000</f>
        <v>0</v>
      </c>
      <c r="J1265" s="9">
        <f>STATS1003B!J1329/1000</f>
        <v>6352</v>
      </c>
      <c r="K1265" s="9">
        <f>STATS1003B!K1329/1000</f>
        <v>0</v>
      </c>
      <c r="L1265" s="9">
        <f>STATS1003B!L1329/1000</f>
        <v>0</v>
      </c>
      <c r="M1265" s="9">
        <f>STATS1003B!M1329/1000</f>
        <v>6352</v>
      </c>
      <c r="N1265" s="9">
        <f>STATS1003B!N1329/1000</f>
        <v>0</v>
      </c>
      <c r="O1265" s="9">
        <f>STATS1003B!O1329/1000</f>
        <v>0</v>
      </c>
      <c r="P1265" s="9">
        <f>STATS1003B!P1329/1000</f>
        <v>0</v>
      </c>
      <c r="Q1265" s="9">
        <f>STATS1003B!Q1329/1000</f>
        <v>6352</v>
      </c>
      <c r="R1265" s="9">
        <f>STATS1003B!R1329/1000</f>
        <v>0</v>
      </c>
      <c r="S1265" s="9">
        <f>STATS1003B!S1329/1000</f>
        <v>0</v>
      </c>
      <c r="T1265" s="9">
        <f>STATS1003B!T1329/1000</f>
        <v>0</v>
      </c>
      <c r="U1265" s="9">
        <f>STATS1003B!U1329/1000</f>
        <v>0</v>
      </c>
      <c r="V1265" s="9">
        <f>STATS1003B!V1329/1000</f>
        <v>6352</v>
      </c>
      <c r="W1265" s="9">
        <f>STATS1003B!W1329/1000</f>
        <v>0</v>
      </c>
      <c r="X1265" s="9">
        <f>STATS1003B!X1329/1000</f>
        <v>6352</v>
      </c>
      <c r="Y1265" s="9">
        <f>STATS1003B!Y1329/1000</f>
        <v>0</v>
      </c>
      <c r="Z1265" s="9">
        <f>STATS1003B!Z1329/1000</f>
        <v>0</v>
      </c>
      <c r="AA1265" s="9">
        <f>STATS1003B!AA1329/1000</f>
        <v>6352</v>
      </c>
      <c r="AB1265" s="9">
        <f>STATS1003B!AB1329/1000</f>
        <v>0</v>
      </c>
    </row>
    <row r="1266" spans="1:28" x14ac:dyDescent="0.35">
      <c r="A1266" s="36"/>
      <c r="B1266" s="8"/>
      <c r="C1266" s="14" t="s">
        <v>535</v>
      </c>
      <c r="D1266" s="21" t="s">
        <v>61</v>
      </c>
      <c r="E1266" s="9">
        <f>STATS1003B!E1330/1000</f>
        <v>3923.5998100000002</v>
      </c>
      <c r="F1266" s="9">
        <f>STATS1003B!F1330/1000</f>
        <v>3836</v>
      </c>
      <c r="G1266" s="9">
        <f>STATS1003B!G1330/1000</f>
        <v>0</v>
      </c>
      <c r="H1266" s="9">
        <f>STATS1003B!H1330/1000</f>
        <v>3836</v>
      </c>
      <c r="I1266" s="9">
        <f>STATS1003B!I1330/1000</f>
        <v>0</v>
      </c>
      <c r="J1266" s="9">
        <f>STATS1003B!J1330/1000</f>
        <v>3836</v>
      </c>
      <c r="K1266" s="9">
        <f>STATS1003B!K1330/1000</f>
        <v>0</v>
      </c>
      <c r="L1266" s="9">
        <f>STATS1003B!L1330/1000</f>
        <v>0</v>
      </c>
      <c r="M1266" s="9">
        <f>STATS1003B!M1330/1000</f>
        <v>3836</v>
      </c>
      <c r="N1266" s="9">
        <f>STATS1003B!N1330/1000</f>
        <v>0</v>
      </c>
      <c r="O1266" s="9">
        <f>STATS1003B!O1330/1000</f>
        <v>0</v>
      </c>
      <c r="P1266" s="9">
        <f>STATS1003B!P1330/1000</f>
        <v>0</v>
      </c>
      <c r="Q1266" s="9">
        <f>STATS1003B!Q1330/1000</f>
        <v>3923.5998100000002</v>
      </c>
      <c r="R1266" s="9">
        <f>STATS1003B!R1330/1000</f>
        <v>0</v>
      </c>
      <c r="S1266" s="9">
        <f>STATS1003B!S1330/1000</f>
        <v>0</v>
      </c>
      <c r="T1266" s="9">
        <f>STATS1003B!T1330/1000</f>
        <v>87.599809999999991</v>
      </c>
      <c r="U1266" s="9">
        <f>STATS1003B!U1330/1000</f>
        <v>87.599809999999991</v>
      </c>
      <c r="V1266" s="9">
        <f>STATS1003B!V1330/1000</f>
        <v>3836</v>
      </c>
      <c r="W1266" s="9">
        <f>STATS1003B!W1330/1000</f>
        <v>87.599810000000062</v>
      </c>
      <c r="X1266" s="9">
        <f>STATS1003B!X1330/1000</f>
        <v>3836</v>
      </c>
      <c r="Y1266" s="9">
        <f>STATS1003B!Y1330/1000</f>
        <v>0</v>
      </c>
      <c r="Z1266" s="9">
        <f>STATS1003B!Z1330/1000</f>
        <v>87.599810000000062</v>
      </c>
      <c r="AA1266" s="9">
        <f>STATS1003B!AA1330/1000</f>
        <v>3923.5998100000002</v>
      </c>
      <c r="AB1266" s="9">
        <f>STATS1003B!AB1330/1000</f>
        <v>0</v>
      </c>
    </row>
    <row r="1267" spans="1:28" x14ac:dyDescent="0.35">
      <c r="A1267" s="36"/>
      <c r="B1267" s="8"/>
      <c r="C1267" s="45" t="s">
        <v>1072</v>
      </c>
      <c r="D1267" s="21"/>
      <c r="E1267" s="9">
        <f>STATS1003B!E1331/1000</f>
        <v>3074</v>
      </c>
      <c r="F1267" s="9">
        <f>STATS1003B!F1331/1000</f>
        <v>3074</v>
      </c>
      <c r="G1267" s="9">
        <f>STATS1003B!G1331/1000</f>
        <v>0</v>
      </c>
      <c r="H1267" s="9">
        <f>STATS1003B!H1331/1000</f>
        <v>3074</v>
      </c>
      <c r="I1267" s="9">
        <f>STATS1003B!I1331/1000</f>
        <v>0</v>
      </c>
      <c r="J1267" s="9">
        <f>STATS1003B!J1331/1000</f>
        <v>0</v>
      </c>
      <c r="K1267" s="9">
        <f>STATS1003B!K1331/1000</f>
        <v>0</v>
      </c>
      <c r="L1267" s="9">
        <f>STATS1003B!L1331/1000</f>
        <v>0</v>
      </c>
      <c r="M1267" s="9">
        <f>STATS1003B!M1331/1000</f>
        <v>3074</v>
      </c>
      <c r="N1267" s="9">
        <f>STATS1003B!N1331/1000</f>
        <v>0</v>
      </c>
      <c r="O1267" s="9">
        <f>STATS1003B!O1331/1000</f>
        <v>0</v>
      </c>
      <c r="P1267" s="9">
        <f>STATS1003B!P1331/1000</f>
        <v>0</v>
      </c>
      <c r="Q1267" s="9">
        <f>STATS1003B!Q1331/1000</f>
        <v>0</v>
      </c>
      <c r="R1267" s="9">
        <f>STATS1003B!R1331/1000</f>
        <v>0</v>
      </c>
      <c r="S1267" s="9">
        <f>STATS1003B!S1331/1000</f>
        <v>0</v>
      </c>
      <c r="T1267" s="9">
        <f>STATS1003B!T1331/1000</f>
        <v>0</v>
      </c>
      <c r="U1267" s="9">
        <f>STATS1003B!U1331/1000</f>
        <v>0</v>
      </c>
      <c r="V1267" s="9">
        <f>STATS1003B!V1331/1000</f>
        <v>0</v>
      </c>
      <c r="W1267" s="9">
        <f>STATS1003B!W1331/1000</f>
        <v>0</v>
      </c>
      <c r="X1267" s="9">
        <f>STATS1003B!X1331/1000</f>
        <v>3074</v>
      </c>
      <c r="Y1267" s="9">
        <f>STATS1003B!Y1331/1000</f>
        <v>0</v>
      </c>
      <c r="Z1267" s="9">
        <f>STATS1003B!Z1331/1000</f>
        <v>0</v>
      </c>
      <c r="AA1267" s="9">
        <f>STATS1003B!AA1331/1000</f>
        <v>3074</v>
      </c>
      <c r="AB1267" s="9">
        <f>STATS1003B!AB1331/1000</f>
        <v>0</v>
      </c>
    </row>
    <row r="1268" spans="1:28" x14ac:dyDescent="0.35">
      <c r="A1268" s="36"/>
      <c r="B1268" s="8"/>
      <c r="C1268" s="7" t="s">
        <v>577</v>
      </c>
      <c r="D1268" s="8"/>
      <c r="E1268" s="9">
        <f>STATS1003B!E1334/1000</f>
        <v>4005.0149999999999</v>
      </c>
      <c r="F1268" s="9">
        <f>STATS1003B!F1334/1000</f>
        <v>4005.0149999999999</v>
      </c>
      <c r="G1268" s="9">
        <f>STATS1003B!G1334/1000</f>
        <v>0</v>
      </c>
      <c r="H1268" s="9">
        <f>STATS1003B!H1334/1000</f>
        <v>4005.0149999999999</v>
      </c>
      <c r="I1268" s="9">
        <f>STATS1003B!I1334/1000</f>
        <v>0</v>
      </c>
      <c r="J1268" s="9">
        <f>STATS1003B!J1334/1000</f>
        <v>4005.0149999999999</v>
      </c>
      <c r="K1268" s="9">
        <f>STATS1003B!K1334/1000</f>
        <v>0</v>
      </c>
      <c r="L1268" s="9">
        <f>STATS1003B!L1334/1000</f>
        <v>0</v>
      </c>
      <c r="M1268" s="9">
        <f>STATS1003B!M1334/1000</f>
        <v>4005.0149999999999</v>
      </c>
      <c r="N1268" s="9">
        <f>STATS1003B!N1334/1000</f>
        <v>0</v>
      </c>
      <c r="O1268" s="9">
        <f>STATS1003B!O1334/1000</f>
        <v>0</v>
      </c>
      <c r="P1268" s="9">
        <f>STATS1003B!P1334/1000</f>
        <v>0</v>
      </c>
      <c r="Q1268" s="9">
        <f>STATS1003B!Q1334/1000</f>
        <v>4005.0149999999999</v>
      </c>
      <c r="R1268" s="9">
        <f>STATS1003B!R1334/1000</f>
        <v>0</v>
      </c>
      <c r="S1268" s="9">
        <f>STATS1003B!S1334/1000</f>
        <v>0</v>
      </c>
      <c r="T1268" s="9">
        <f>STATS1003B!T1334/1000</f>
        <v>0</v>
      </c>
      <c r="U1268" s="9">
        <f>STATS1003B!U1334/1000</f>
        <v>0</v>
      </c>
      <c r="V1268" s="9">
        <f>STATS1003B!V1334/1000</f>
        <v>4005.0149999999999</v>
      </c>
      <c r="W1268" s="9">
        <f>STATS1003B!W1334/1000</f>
        <v>0</v>
      </c>
      <c r="X1268" s="9">
        <f>STATS1003B!X1334/1000</f>
        <v>4005.0149999999999</v>
      </c>
      <c r="Y1268" s="9">
        <f>STATS1003B!Y1334/1000</f>
        <v>0</v>
      </c>
      <c r="Z1268" s="9">
        <f>STATS1003B!Z1334/1000</f>
        <v>0</v>
      </c>
      <c r="AA1268" s="9">
        <f>STATS1003B!AA1334/1000</f>
        <v>4005.0149999999999</v>
      </c>
      <c r="AB1268" s="9">
        <f>STATS1003B!AB1334/1000</f>
        <v>0</v>
      </c>
    </row>
    <row r="1269" spans="1:28" x14ac:dyDescent="0.35">
      <c r="A1269" s="36"/>
      <c r="B1269" s="8"/>
      <c r="C1269" s="7" t="s">
        <v>707</v>
      </c>
      <c r="D1269" s="8"/>
      <c r="E1269" s="9">
        <f>STATS1003B!E1335/1000</f>
        <v>600</v>
      </c>
      <c r="F1269" s="9">
        <f>STATS1003B!F1335/1000</f>
        <v>600</v>
      </c>
      <c r="G1269" s="9">
        <f>STATS1003B!G1335/1000</f>
        <v>0</v>
      </c>
      <c r="H1269" s="9">
        <f>STATS1003B!H1335/1000</f>
        <v>600</v>
      </c>
      <c r="I1269" s="9">
        <f>STATS1003B!I1335/1000</f>
        <v>0</v>
      </c>
      <c r="J1269" s="9">
        <f>STATS1003B!J1335/1000</f>
        <v>600</v>
      </c>
      <c r="K1269" s="9">
        <f>STATS1003B!K1335/1000</f>
        <v>0</v>
      </c>
      <c r="L1269" s="9">
        <f>STATS1003B!L1335/1000</f>
        <v>0</v>
      </c>
      <c r="M1269" s="9">
        <f>STATS1003B!M1335/1000</f>
        <v>600</v>
      </c>
      <c r="N1269" s="9">
        <f>STATS1003B!N1335/1000</f>
        <v>0</v>
      </c>
      <c r="O1269" s="9">
        <f>STATS1003B!O1335/1000</f>
        <v>0</v>
      </c>
      <c r="P1269" s="9">
        <f>STATS1003B!P1335/1000</f>
        <v>0</v>
      </c>
      <c r="Q1269" s="9">
        <f>STATS1003B!Q1335/1000</f>
        <v>600</v>
      </c>
      <c r="R1269" s="9">
        <f>STATS1003B!R1335/1000</f>
        <v>0</v>
      </c>
      <c r="S1269" s="9">
        <f>STATS1003B!S1335/1000</f>
        <v>0</v>
      </c>
      <c r="T1269" s="9">
        <f>STATS1003B!T1335/1000</f>
        <v>0</v>
      </c>
      <c r="U1269" s="9">
        <f>STATS1003B!U1335/1000</f>
        <v>0</v>
      </c>
      <c r="V1269" s="9">
        <f>STATS1003B!V1335/1000</f>
        <v>600</v>
      </c>
      <c r="W1269" s="9">
        <f>STATS1003B!W1335/1000</f>
        <v>0</v>
      </c>
      <c r="X1269" s="9">
        <f>STATS1003B!X1335/1000</f>
        <v>600</v>
      </c>
      <c r="Y1269" s="9">
        <f>STATS1003B!Y1335/1000</f>
        <v>0</v>
      </c>
      <c r="Z1269" s="9">
        <f>STATS1003B!Z1335/1000</f>
        <v>0</v>
      </c>
      <c r="AA1269" s="9">
        <f>STATS1003B!AA1335/1000</f>
        <v>600</v>
      </c>
      <c r="AB1269" s="9">
        <f>STATS1003B!AB1335/1000</f>
        <v>0</v>
      </c>
    </row>
    <row r="1270" spans="1:28" x14ac:dyDescent="0.35">
      <c r="A1270" s="36"/>
      <c r="B1270" s="8"/>
      <c r="C1270" s="7" t="s">
        <v>708</v>
      </c>
      <c r="D1270" s="8"/>
      <c r="E1270" s="9">
        <f>STATS1003B!E1336/1000</f>
        <v>1050</v>
      </c>
      <c r="F1270" s="9">
        <f>STATS1003B!F1336/1000</f>
        <v>1050</v>
      </c>
      <c r="G1270" s="9">
        <f>STATS1003B!G1336/1000</f>
        <v>0</v>
      </c>
      <c r="H1270" s="9">
        <f>STATS1003B!H1336/1000</f>
        <v>1050</v>
      </c>
      <c r="I1270" s="9">
        <f>STATS1003B!I1336/1000</f>
        <v>0</v>
      </c>
      <c r="J1270" s="9">
        <f>STATS1003B!J1336/1000</f>
        <v>1050</v>
      </c>
      <c r="K1270" s="9">
        <f>STATS1003B!K1336/1000</f>
        <v>0</v>
      </c>
      <c r="L1270" s="9">
        <f>STATS1003B!L1336/1000</f>
        <v>0</v>
      </c>
      <c r="M1270" s="9">
        <f>STATS1003B!M1336/1000</f>
        <v>1050</v>
      </c>
      <c r="N1270" s="9">
        <f>STATS1003B!N1336/1000</f>
        <v>0</v>
      </c>
      <c r="O1270" s="9">
        <f>STATS1003B!O1336/1000</f>
        <v>0</v>
      </c>
      <c r="P1270" s="9">
        <f>STATS1003B!P1336/1000</f>
        <v>0</v>
      </c>
      <c r="Q1270" s="9">
        <f>STATS1003B!Q1336/1000</f>
        <v>1050</v>
      </c>
      <c r="R1270" s="9">
        <f>STATS1003B!R1336/1000</f>
        <v>0</v>
      </c>
      <c r="S1270" s="9">
        <f>STATS1003B!S1336/1000</f>
        <v>0</v>
      </c>
      <c r="T1270" s="9">
        <f>STATS1003B!T1336/1000</f>
        <v>0</v>
      </c>
      <c r="U1270" s="9">
        <f>STATS1003B!U1336/1000</f>
        <v>0</v>
      </c>
      <c r="V1270" s="9">
        <f>STATS1003B!V1336/1000</f>
        <v>1050</v>
      </c>
      <c r="W1270" s="9">
        <f>STATS1003B!W1336/1000</f>
        <v>0</v>
      </c>
      <c r="X1270" s="9">
        <f>STATS1003B!X1336/1000</f>
        <v>1050</v>
      </c>
      <c r="Y1270" s="9">
        <f>STATS1003B!Y1336/1000</f>
        <v>0</v>
      </c>
      <c r="Z1270" s="9">
        <f>STATS1003B!Z1336/1000</f>
        <v>0</v>
      </c>
      <c r="AA1270" s="9">
        <f>STATS1003B!AA1336/1000</f>
        <v>1050</v>
      </c>
      <c r="AB1270" s="9">
        <f>STATS1003B!AB1336/1000</f>
        <v>0</v>
      </c>
    </row>
    <row r="1271" spans="1:28" x14ac:dyDescent="0.35">
      <c r="A1271" s="36"/>
      <c r="B1271" s="15" t="s">
        <v>709</v>
      </c>
      <c r="C1271" s="7" t="s">
        <v>710</v>
      </c>
      <c r="D1271" s="8"/>
      <c r="E1271" s="9">
        <f>STATS1003B!E1337/1000</f>
        <v>2000</v>
      </c>
      <c r="F1271" s="9">
        <f>STATS1003B!F1337/1000</f>
        <v>2000</v>
      </c>
      <c r="G1271" s="9">
        <f>STATS1003B!G1337/1000</f>
        <v>0</v>
      </c>
      <c r="H1271" s="9">
        <f>STATS1003B!H1337/1000</f>
        <v>2000</v>
      </c>
      <c r="I1271" s="9">
        <f>STATS1003B!I1337/1000</f>
        <v>0</v>
      </c>
      <c r="J1271" s="9">
        <f>STATS1003B!J1337/1000</f>
        <v>2000</v>
      </c>
      <c r="K1271" s="9">
        <f>STATS1003B!K1337/1000</f>
        <v>0</v>
      </c>
      <c r="L1271" s="9">
        <f>STATS1003B!L1337/1000</f>
        <v>0</v>
      </c>
      <c r="M1271" s="9">
        <f>STATS1003B!M1337/1000</f>
        <v>2000</v>
      </c>
      <c r="N1271" s="9">
        <f>STATS1003B!N1337/1000</f>
        <v>0</v>
      </c>
      <c r="O1271" s="9">
        <f>STATS1003B!O1337/1000</f>
        <v>0</v>
      </c>
      <c r="P1271" s="9">
        <f>STATS1003B!P1337/1000</f>
        <v>0</v>
      </c>
      <c r="Q1271" s="9">
        <f>STATS1003B!Q1337/1000</f>
        <v>2000</v>
      </c>
      <c r="R1271" s="9">
        <f>STATS1003B!R1337/1000</f>
        <v>0</v>
      </c>
      <c r="S1271" s="9">
        <f>STATS1003B!S1337/1000</f>
        <v>0</v>
      </c>
      <c r="T1271" s="9">
        <f>STATS1003B!T1337/1000</f>
        <v>0</v>
      </c>
      <c r="U1271" s="9">
        <f>STATS1003B!U1337/1000</f>
        <v>0</v>
      </c>
      <c r="V1271" s="9">
        <f>STATS1003B!V1337/1000</f>
        <v>2000</v>
      </c>
      <c r="W1271" s="9">
        <f>STATS1003B!W1337/1000</f>
        <v>0</v>
      </c>
      <c r="X1271" s="9">
        <f>STATS1003B!X1337/1000</f>
        <v>2000</v>
      </c>
      <c r="Y1271" s="9">
        <f>STATS1003B!Y1337/1000</f>
        <v>0</v>
      </c>
      <c r="Z1271" s="9">
        <f>STATS1003B!Z1337/1000</f>
        <v>0</v>
      </c>
      <c r="AA1271" s="9">
        <f>STATS1003B!AA1337/1000</f>
        <v>2000</v>
      </c>
      <c r="AB1271" s="9">
        <f>STATS1003B!AB1337/1000</f>
        <v>0</v>
      </c>
    </row>
    <row r="1272" spans="1:28" x14ac:dyDescent="0.35">
      <c r="A1272" s="36"/>
      <c r="B1272" s="8"/>
      <c r="C1272" s="7" t="s">
        <v>678</v>
      </c>
      <c r="D1272" s="8"/>
      <c r="E1272" s="9">
        <f>STATS1003B!E1338/1000</f>
        <v>5000</v>
      </c>
      <c r="F1272" s="9">
        <f>STATS1003B!F1338/1000</f>
        <v>5000</v>
      </c>
      <c r="G1272" s="9">
        <f>STATS1003B!G1338/1000</f>
        <v>0</v>
      </c>
      <c r="H1272" s="9">
        <f>STATS1003B!H1338/1000</f>
        <v>5000</v>
      </c>
      <c r="I1272" s="9">
        <f>STATS1003B!I1338/1000</f>
        <v>0</v>
      </c>
      <c r="J1272" s="9">
        <f>STATS1003B!J1338/1000</f>
        <v>5000</v>
      </c>
      <c r="K1272" s="9">
        <f>STATS1003B!K1338/1000</f>
        <v>0</v>
      </c>
      <c r="L1272" s="9">
        <f>STATS1003B!L1338/1000</f>
        <v>0</v>
      </c>
      <c r="M1272" s="9">
        <f>STATS1003B!M1338/1000</f>
        <v>5000</v>
      </c>
      <c r="N1272" s="9">
        <f>STATS1003B!N1338/1000</f>
        <v>0</v>
      </c>
      <c r="O1272" s="9">
        <f>STATS1003B!O1338/1000</f>
        <v>0</v>
      </c>
      <c r="P1272" s="9">
        <f>STATS1003B!P1338/1000</f>
        <v>0</v>
      </c>
      <c r="Q1272" s="9">
        <f>STATS1003B!Q1338/1000</f>
        <v>5000</v>
      </c>
      <c r="R1272" s="9">
        <f>STATS1003B!R1338/1000</f>
        <v>0</v>
      </c>
      <c r="S1272" s="9">
        <f>STATS1003B!S1338/1000</f>
        <v>0</v>
      </c>
      <c r="T1272" s="9">
        <f>STATS1003B!T1338/1000</f>
        <v>0</v>
      </c>
      <c r="U1272" s="9">
        <f>STATS1003B!U1338/1000</f>
        <v>0</v>
      </c>
      <c r="V1272" s="9">
        <f>STATS1003B!V1338/1000</f>
        <v>5000</v>
      </c>
      <c r="W1272" s="9">
        <f>STATS1003B!W1338/1000</f>
        <v>0</v>
      </c>
      <c r="X1272" s="9">
        <f>STATS1003B!X1338/1000</f>
        <v>5000</v>
      </c>
      <c r="Y1272" s="9">
        <f>STATS1003B!Y1338/1000</f>
        <v>0</v>
      </c>
      <c r="Z1272" s="9">
        <f>STATS1003B!Z1338/1000</f>
        <v>0</v>
      </c>
      <c r="AA1272" s="9">
        <f>STATS1003B!AA1338/1000</f>
        <v>5000</v>
      </c>
      <c r="AB1272" s="9">
        <f>STATS1003B!AB1338/1000</f>
        <v>0</v>
      </c>
    </row>
    <row r="1273" spans="1:28" x14ac:dyDescent="0.35">
      <c r="A1273" s="36"/>
      <c r="B1273" s="8"/>
      <c r="C1273" s="8"/>
      <c r="D1273" s="8"/>
      <c r="E1273" s="17" t="s">
        <v>29</v>
      </c>
      <c r="F1273" s="17" t="s">
        <v>29</v>
      </c>
      <c r="G1273" s="17" t="s">
        <v>29</v>
      </c>
      <c r="H1273" s="17" t="s">
        <v>29</v>
      </c>
      <c r="I1273" s="17" t="s">
        <v>29</v>
      </c>
      <c r="J1273" s="17" t="s">
        <v>29</v>
      </c>
      <c r="K1273" s="17" t="s">
        <v>29</v>
      </c>
      <c r="L1273" s="17" t="s">
        <v>29</v>
      </c>
      <c r="M1273" s="17" t="s">
        <v>29</v>
      </c>
      <c r="N1273" s="17" t="s">
        <v>29</v>
      </c>
      <c r="O1273" s="17" t="s">
        <v>29</v>
      </c>
      <c r="P1273" s="17" t="s">
        <v>29</v>
      </c>
      <c r="Q1273" s="17" t="s">
        <v>29</v>
      </c>
      <c r="R1273" s="17" t="s">
        <v>29</v>
      </c>
      <c r="S1273" s="17" t="s">
        <v>29</v>
      </c>
      <c r="T1273" s="17" t="s">
        <v>29</v>
      </c>
      <c r="U1273" s="17" t="s">
        <v>29</v>
      </c>
      <c r="V1273" s="17" t="s">
        <v>29</v>
      </c>
      <c r="W1273" s="17" t="s">
        <v>29</v>
      </c>
      <c r="X1273" s="17" t="s">
        <v>29</v>
      </c>
      <c r="Y1273" s="17" t="s">
        <v>29</v>
      </c>
      <c r="Z1273" s="17" t="s">
        <v>29</v>
      </c>
      <c r="AA1273" s="17" t="s">
        <v>29</v>
      </c>
      <c r="AB1273" s="17" t="s">
        <v>29</v>
      </c>
    </row>
    <row r="1274" spans="1:28" x14ac:dyDescent="0.35">
      <c r="A1274" s="36"/>
      <c r="B1274" s="8"/>
      <c r="C1274" s="8"/>
      <c r="D1274" s="8"/>
      <c r="E1274" s="9">
        <f t="shared" ref="E1274:Q1274" si="93">SUM(E1249:E1273)</f>
        <v>60044.647929999992</v>
      </c>
      <c r="F1274" s="9">
        <f t="shared" si="93"/>
        <v>56064.900999999998</v>
      </c>
      <c r="G1274" s="9">
        <f t="shared" si="93"/>
        <v>0</v>
      </c>
      <c r="H1274" s="9">
        <f t="shared" si="93"/>
        <v>56064.900999999998</v>
      </c>
      <c r="I1274" s="9">
        <f t="shared" si="93"/>
        <v>0</v>
      </c>
      <c r="J1274" s="9">
        <f t="shared" si="93"/>
        <v>52990.900999999998</v>
      </c>
      <c r="K1274" s="9">
        <f t="shared" si="93"/>
        <v>3892.1471200000001</v>
      </c>
      <c r="L1274" s="9">
        <f t="shared" si="93"/>
        <v>0</v>
      </c>
      <c r="M1274" s="9">
        <f t="shared" si="93"/>
        <v>56064.900999999998</v>
      </c>
      <c r="N1274" s="9">
        <f t="shared" si="93"/>
        <v>3892.1471200000001</v>
      </c>
      <c r="O1274" s="9">
        <f t="shared" si="93"/>
        <v>0</v>
      </c>
      <c r="P1274" s="9">
        <f t="shared" si="93"/>
        <v>3892.1471200000001</v>
      </c>
      <c r="Q1274" s="9">
        <f t="shared" si="93"/>
        <v>53078.500809999998</v>
      </c>
      <c r="R1274" s="17"/>
      <c r="S1274" s="17"/>
      <c r="T1274" s="9">
        <f t="shared" ref="T1274:Z1274" si="94">SUM(T1249:T1273)</f>
        <v>87.599809999999991</v>
      </c>
      <c r="U1274" s="9">
        <f t="shared" si="94"/>
        <v>3979.7469300000002</v>
      </c>
      <c r="V1274" s="9">
        <f t="shared" si="94"/>
        <v>56883.048119999992</v>
      </c>
      <c r="W1274" s="9">
        <f t="shared" si="94"/>
        <v>87.599810000000062</v>
      </c>
      <c r="X1274" s="9">
        <f t="shared" si="94"/>
        <v>59957.048119999992</v>
      </c>
      <c r="Y1274" s="9">
        <f t="shared" si="94"/>
        <v>0</v>
      </c>
      <c r="Z1274" s="9">
        <f t="shared" si="94"/>
        <v>87.599810000000062</v>
      </c>
      <c r="AA1274" s="9">
        <f>SUM(AA1249:AA1273)</f>
        <v>60044.647929999992</v>
      </c>
      <c r="AB1274" s="9">
        <f>SUM(AB1249:AB1273)</f>
        <v>0</v>
      </c>
    </row>
    <row r="1275" spans="1:28" x14ac:dyDescent="0.35">
      <c r="A1275" s="36"/>
      <c r="B1275" s="8"/>
      <c r="C1275" s="8"/>
      <c r="D1275" s="8"/>
      <c r="E1275" s="17" t="s">
        <v>29</v>
      </c>
      <c r="F1275" s="17" t="s">
        <v>29</v>
      </c>
      <c r="G1275" s="17" t="s">
        <v>29</v>
      </c>
      <c r="H1275" s="17" t="s">
        <v>29</v>
      </c>
      <c r="I1275" s="17" t="s">
        <v>29</v>
      </c>
      <c r="J1275" s="17" t="s">
        <v>29</v>
      </c>
      <c r="K1275" s="17" t="s">
        <v>29</v>
      </c>
      <c r="L1275" s="17" t="s">
        <v>29</v>
      </c>
      <c r="M1275" s="17" t="s">
        <v>29</v>
      </c>
      <c r="N1275" s="17" t="s">
        <v>29</v>
      </c>
      <c r="O1275" s="17" t="s">
        <v>29</v>
      </c>
      <c r="P1275" s="17" t="s">
        <v>29</v>
      </c>
      <c r="Q1275" s="17" t="s">
        <v>29</v>
      </c>
      <c r="R1275" s="17" t="s">
        <v>29</v>
      </c>
      <c r="S1275" s="17" t="s">
        <v>29</v>
      </c>
      <c r="T1275" s="17" t="s">
        <v>29</v>
      </c>
      <c r="U1275" s="17" t="s">
        <v>29</v>
      </c>
      <c r="V1275" s="17" t="s">
        <v>29</v>
      </c>
      <c r="W1275" s="17" t="s">
        <v>29</v>
      </c>
      <c r="X1275" s="17" t="s">
        <v>29</v>
      </c>
      <c r="Y1275" s="17" t="s">
        <v>29</v>
      </c>
      <c r="Z1275" s="17" t="s">
        <v>29</v>
      </c>
      <c r="AA1275" s="17" t="s">
        <v>29</v>
      </c>
      <c r="AB1275" s="17" t="s">
        <v>29</v>
      </c>
    </row>
    <row r="1276" spans="1:28" x14ac:dyDescent="0.35">
      <c r="A1276" s="38" t="s">
        <v>997</v>
      </c>
      <c r="B1276" s="7" t="s">
        <v>711</v>
      </c>
      <c r="C1276" s="8"/>
      <c r="D1276" s="8"/>
      <c r="E1276" s="8"/>
      <c r="F1276" s="8"/>
      <c r="G1276" s="8"/>
      <c r="H1276" s="8"/>
      <c r="I1276" s="8"/>
      <c r="J1276" s="8"/>
      <c r="K1276" s="8"/>
      <c r="L1276" s="8"/>
      <c r="M1276" s="8"/>
      <c r="N1276" s="8"/>
      <c r="O1276" s="8"/>
      <c r="P1276" s="8"/>
      <c r="Q1276" s="8"/>
      <c r="R1276" s="17"/>
      <c r="S1276" s="17"/>
      <c r="T1276" s="17"/>
      <c r="U1276" s="17"/>
      <c r="V1276" s="17"/>
      <c r="W1276" s="17"/>
      <c r="X1276" s="17"/>
      <c r="Y1276" s="17"/>
      <c r="Z1276" s="17"/>
    </row>
    <row r="1277" spans="1:28" x14ac:dyDescent="0.35">
      <c r="A1277" s="36"/>
      <c r="B1277" s="8"/>
      <c r="C1277" s="7" t="s">
        <v>535</v>
      </c>
      <c r="D1277" s="15" t="s">
        <v>68</v>
      </c>
      <c r="E1277" s="9">
        <f>STATS1003B!E1343/1000</f>
        <v>776.33708000000001</v>
      </c>
      <c r="F1277" s="9">
        <f>STATS1003B!F1343/1000</f>
        <v>776.33708000000001</v>
      </c>
      <c r="G1277" s="9">
        <f>STATS1003B!G1343/1000</f>
        <v>0</v>
      </c>
      <c r="H1277" s="9">
        <f>STATS1003B!H1343/1000</f>
        <v>776.33708000000001</v>
      </c>
      <c r="I1277" s="9">
        <f>STATS1003B!I1343/1000</f>
        <v>0</v>
      </c>
      <c r="J1277" s="9">
        <f>STATS1003B!J1343/1000</f>
        <v>776.33708000000001</v>
      </c>
      <c r="K1277" s="9">
        <f>STATS1003B!K1343/1000</f>
        <v>0</v>
      </c>
      <c r="L1277" s="9">
        <f>STATS1003B!L1343/1000</f>
        <v>0</v>
      </c>
      <c r="M1277" s="9">
        <f>STATS1003B!M1343/1000</f>
        <v>776.33708000000001</v>
      </c>
      <c r="N1277" s="9">
        <f>STATS1003B!N1343/1000</f>
        <v>0</v>
      </c>
      <c r="O1277" s="9">
        <f>STATS1003B!O1343/1000</f>
        <v>0</v>
      </c>
      <c r="P1277" s="9">
        <f>STATS1003B!P1343/1000</f>
        <v>0</v>
      </c>
      <c r="Q1277" s="9">
        <f>STATS1003B!Q1343/1000</f>
        <v>776.33708000000001</v>
      </c>
      <c r="R1277" s="9">
        <f>STATS1003B!R1343/1000</f>
        <v>0</v>
      </c>
      <c r="S1277" s="9">
        <f>STATS1003B!S1343/1000</f>
        <v>0</v>
      </c>
      <c r="T1277" s="9">
        <f>STATS1003B!T1343/1000</f>
        <v>0</v>
      </c>
      <c r="U1277" s="9">
        <f>STATS1003B!U1343/1000</f>
        <v>0</v>
      </c>
      <c r="V1277" s="9">
        <f>STATS1003B!V1343/1000</f>
        <v>776.33708000000001</v>
      </c>
      <c r="W1277" s="9">
        <f>STATS1003B!W1343/1000</f>
        <v>0</v>
      </c>
      <c r="X1277" s="9">
        <f>STATS1003B!X1343/1000</f>
        <v>776.33708000000001</v>
      </c>
      <c r="Y1277" s="9">
        <f>STATS1003B!Y1343/1000</f>
        <v>0</v>
      </c>
      <c r="Z1277" s="9">
        <f>STATS1003B!Z1343/1000</f>
        <v>0</v>
      </c>
      <c r="AA1277" s="9">
        <f>STATS1003B!AA1343/1000</f>
        <v>776.33708000000001</v>
      </c>
      <c r="AB1277" s="9">
        <f>STATS1003B!AB1343/1000</f>
        <v>0</v>
      </c>
    </row>
    <row r="1278" spans="1:28" x14ac:dyDescent="0.35">
      <c r="A1278" s="36"/>
      <c r="B1278" s="8"/>
      <c r="C1278" s="7" t="s">
        <v>712</v>
      </c>
      <c r="D1278" s="15" t="s">
        <v>68</v>
      </c>
      <c r="E1278" s="9">
        <f>STATS1003B!E1344/1000</f>
        <v>745.34811999999999</v>
      </c>
      <c r="F1278" s="9">
        <f>STATS1003B!F1344/1000</f>
        <v>597.78966000000003</v>
      </c>
      <c r="G1278" s="9">
        <f>STATS1003B!G1344/1000</f>
        <v>0</v>
      </c>
      <c r="H1278" s="9">
        <f>STATS1003B!H1344/1000</f>
        <v>597.78966000000003</v>
      </c>
      <c r="I1278" s="9">
        <f>STATS1003B!I1344/1000</f>
        <v>0</v>
      </c>
      <c r="J1278" s="9">
        <f>STATS1003B!J1344/1000</f>
        <v>597.78966000000003</v>
      </c>
      <c r="K1278" s="9">
        <f>STATS1003B!K1344/1000</f>
        <v>147.55846000000003</v>
      </c>
      <c r="L1278" s="9">
        <f>STATS1003B!L1344/1000</f>
        <v>0</v>
      </c>
      <c r="M1278" s="9">
        <f>STATS1003B!M1344/1000</f>
        <v>597.78966000000003</v>
      </c>
      <c r="N1278" s="9">
        <f>STATS1003B!N1344/1000</f>
        <v>147.55846</v>
      </c>
      <c r="O1278" s="9">
        <f>STATS1003B!O1344/1000</f>
        <v>0</v>
      </c>
      <c r="P1278" s="9">
        <f>STATS1003B!P1344/1000</f>
        <v>147.55846</v>
      </c>
      <c r="Q1278" s="9">
        <f>STATS1003B!Q1344/1000</f>
        <v>597.78966000000003</v>
      </c>
      <c r="R1278" s="9">
        <f>STATS1003B!R1344/1000</f>
        <v>0</v>
      </c>
      <c r="S1278" s="9">
        <f>STATS1003B!S1344/1000</f>
        <v>0</v>
      </c>
      <c r="T1278" s="9">
        <f>STATS1003B!T1344/1000</f>
        <v>0</v>
      </c>
      <c r="U1278" s="9">
        <f>STATS1003B!U1344/1000</f>
        <v>147.55846</v>
      </c>
      <c r="V1278" s="9">
        <f>STATS1003B!V1344/1000</f>
        <v>745.34811999999999</v>
      </c>
      <c r="W1278" s="9">
        <f>STATS1003B!W1344/1000</f>
        <v>0</v>
      </c>
      <c r="X1278" s="9">
        <f>STATS1003B!X1344/1000</f>
        <v>745.34811999999999</v>
      </c>
      <c r="Y1278" s="9">
        <f>STATS1003B!Y1344/1000</f>
        <v>0</v>
      </c>
      <c r="Z1278" s="9">
        <f>STATS1003B!Z1344/1000</f>
        <v>0</v>
      </c>
      <c r="AA1278" s="9">
        <f>STATS1003B!AA1344/1000</f>
        <v>745.34811999999999</v>
      </c>
      <c r="AB1278" s="9">
        <f>STATS1003B!AB1344/1000</f>
        <v>0</v>
      </c>
    </row>
    <row r="1279" spans="1:28" x14ac:dyDescent="0.35">
      <c r="A1279" s="36"/>
      <c r="B1279" s="8"/>
      <c r="C1279" s="7" t="s">
        <v>539</v>
      </c>
      <c r="D1279" s="15" t="s">
        <v>68</v>
      </c>
      <c r="E1279" s="9">
        <f>STATS1003B!E1345/1000</f>
        <v>3027.1309999999999</v>
      </c>
      <c r="F1279" s="9">
        <f>STATS1003B!F1345/1000</f>
        <v>0</v>
      </c>
      <c r="G1279" s="9">
        <f>STATS1003B!G1345/1000</f>
        <v>0</v>
      </c>
      <c r="H1279" s="9">
        <f>STATS1003B!H1345/1000</f>
        <v>0</v>
      </c>
      <c r="I1279" s="9">
        <f>STATS1003B!I1345/1000</f>
        <v>0</v>
      </c>
      <c r="J1279" s="9">
        <f>STATS1003B!J1345/1000</f>
        <v>0</v>
      </c>
      <c r="K1279" s="9">
        <f>STATS1003B!K1345/1000</f>
        <v>3027.1309999999999</v>
      </c>
      <c r="L1279" s="9">
        <f>STATS1003B!L1345/1000</f>
        <v>0</v>
      </c>
      <c r="M1279" s="9">
        <f>STATS1003B!M1345/1000</f>
        <v>0</v>
      </c>
      <c r="N1279" s="9">
        <f>STATS1003B!N1345/1000</f>
        <v>3027.1309999999999</v>
      </c>
      <c r="O1279" s="9">
        <f>STATS1003B!O1345/1000</f>
        <v>0</v>
      </c>
      <c r="P1279" s="9">
        <f>STATS1003B!P1345/1000</f>
        <v>3027.1309999999999</v>
      </c>
      <c r="Q1279" s="9">
        <f>STATS1003B!Q1345/1000</f>
        <v>0</v>
      </c>
      <c r="R1279" s="9">
        <f>STATS1003B!R1345/1000</f>
        <v>0</v>
      </c>
      <c r="S1279" s="9">
        <f>STATS1003B!S1345/1000</f>
        <v>0</v>
      </c>
      <c r="T1279" s="9">
        <f>STATS1003B!T1345/1000</f>
        <v>0</v>
      </c>
      <c r="U1279" s="9">
        <f>STATS1003B!U1345/1000</f>
        <v>3027.1309999999999</v>
      </c>
      <c r="V1279" s="9">
        <f>STATS1003B!V1345/1000</f>
        <v>3027.1309999999999</v>
      </c>
      <c r="W1279" s="9">
        <f>STATS1003B!W1345/1000</f>
        <v>0</v>
      </c>
      <c r="X1279" s="9">
        <f>STATS1003B!X1345/1000</f>
        <v>3027.1309999999999</v>
      </c>
      <c r="Y1279" s="9">
        <f>STATS1003B!Y1345/1000</f>
        <v>0</v>
      </c>
      <c r="Z1279" s="9">
        <f>STATS1003B!Z1345/1000</f>
        <v>0</v>
      </c>
      <c r="AA1279" s="9">
        <f>STATS1003B!AA1345/1000</f>
        <v>3027.1309999999999</v>
      </c>
      <c r="AB1279" s="9">
        <f>STATS1003B!AB1345/1000</f>
        <v>0</v>
      </c>
    </row>
    <row r="1280" spans="1:28" x14ac:dyDescent="0.35">
      <c r="A1280" s="36"/>
      <c r="B1280" s="8"/>
      <c r="C1280" s="7" t="s">
        <v>535</v>
      </c>
      <c r="D1280" s="15" t="s">
        <v>54</v>
      </c>
      <c r="E1280" s="9">
        <f>STATS1003B!E1346/1000</f>
        <v>797.05</v>
      </c>
      <c r="F1280" s="9">
        <f>STATS1003B!F1346/1000</f>
        <v>797.05</v>
      </c>
      <c r="G1280" s="9">
        <f>STATS1003B!G1346/1000</f>
        <v>0</v>
      </c>
      <c r="H1280" s="9">
        <f>STATS1003B!H1346/1000</f>
        <v>797.05</v>
      </c>
      <c r="I1280" s="9">
        <f>STATS1003B!I1346/1000</f>
        <v>0</v>
      </c>
      <c r="J1280" s="9">
        <f>STATS1003B!J1346/1000</f>
        <v>797.05</v>
      </c>
      <c r="K1280" s="9">
        <f>STATS1003B!K1346/1000</f>
        <v>0</v>
      </c>
      <c r="L1280" s="9">
        <f>STATS1003B!L1346/1000</f>
        <v>0</v>
      </c>
      <c r="M1280" s="9">
        <f>STATS1003B!M1346/1000</f>
        <v>797.05</v>
      </c>
      <c r="N1280" s="9">
        <f>STATS1003B!N1346/1000</f>
        <v>0</v>
      </c>
      <c r="O1280" s="9">
        <f>STATS1003B!O1346/1000</f>
        <v>0</v>
      </c>
      <c r="P1280" s="9">
        <f>STATS1003B!P1346/1000</f>
        <v>0</v>
      </c>
      <c r="Q1280" s="9">
        <f>STATS1003B!Q1346/1000</f>
        <v>797.05</v>
      </c>
      <c r="R1280" s="9">
        <f>STATS1003B!R1346/1000</f>
        <v>0</v>
      </c>
      <c r="S1280" s="9">
        <f>STATS1003B!S1346/1000</f>
        <v>0</v>
      </c>
      <c r="T1280" s="9">
        <f>STATS1003B!T1346/1000</f>
        <v>0</v>
      </c>
      <c r="U1280" s="9">
        <f>STATS1003B!U1346/1000</f>
        <v>0</v>
      </c>
      <c r="V1280" s="9">
        <f>STATS1003B!V1346/1000</f>
        <v>797.05</v>
      </c>
      <c r="W1280" s="9">
        <f>STATS1003B!W1346/1000</f>
        <v>0</v>
      </c>
      <c r="X1280" s="9">
        <f>STATS1003B!X1346/1000</f>
        <v>797.05</v>
      </c>
      <c r="Y1280" s="9">
        <f>STATS1003B!Y1346/1000</f>
        <v>0</v>
      </c>
      <c r="Z1280" s="9">
        <f>STATS1003B!Z1346/1000</f>
        <v>0</v>
      </c>
      <c r="AA1280" s="9">
        <f>STATS1003B!AA1346/1000</f>
        <v>797.05</v>
      </c>
      <c r="AB1280" s="9">
        <f>STATS1003B!AB1346/1000</f>
        <v>0</v>
      </c>
    </row>
    <row r="1281" spans="1:28" x14ac:dyDescent="0.35">
      <c r="A1281" s="36"/>
      <c r="B1281" s="8"/>
      <c r="C1281" s="7" t="s">
        <v>545</v>
      </c>
      <c r="D1281" s="15" t="s">
        <v>54</v>
      </c>
      <c r="E1281" s="9">
        <f>STATS1003B!E1347/1000</f>
        <v>1767.77</v>
      </c>
      <c r="F1281" s="9">
        <f>STATS1003B!F1347/1000</f>
        <v>0</v>
      </c>
      <c r="G1281" s="9">
        <f>STATS1003B!G1347/1000</f>
        <v>0</v>
      </c>
      <c r="H1281" s="9">
        <f>STATS1003B!H1347/1000</f>
        <v>0</v>
      </c>
      <c r="I1281" s="9">
        <f>STATS1003B!I1347/1000</f>
        <v>0</v>
      </c>
      <c r="J1281" s="9">
        <f>STATS1003B!J1347/1000</f>
        <v>0</v>
      </c>
      <c r="K1281" s="9">
        <f>STATS1003B!K1347/1000</f>
        <v>1767.77</v>
      </c>
      <c r="L1281" s="9">
        <f>STATS1003B!L1347/1000</f>
        <v>0</v>
      </c>
      <c r="M1281" s="9">
        <f>STATS1003B!M1347/1000</f>
        <v>0</v>
      </c>
      <c r="N1281" s="9">
        <f>STATS1003B!N1347/1000</f>
        <v>1767.77</v>
      </c>
      <c r="O1281" s="9">
        <f>STATS1003B!O1347/1000</f>
        <v>0</v>
      </c>
      <c r="P1281" s="9">
        <f>STATS1003B!P1347/1000</f>
        <v>1767.77</v>
      </c>
      <c r="Q1281" s="9">
        <f>STATS1003B!Q1347/1000</f>
        <v>0</v>
      </c>
      <c r="R1281" s="9">
        <f>STATS1003B!R1347/1000</f>
        <v>0</v>
      </c>
      <c r="S1281" s="9">
        <f>STATS1003B!S1347/1000</f>
        <v>0</v>
      </c>
      <c r="T1281" s="9">
        <f>STATS1003B!T1347/1000</f>
        <v>0</v>
      </c>
      <c r="U1281" s="9">
        <f>STATS1003B!U1347/1000</f>
        <v>1767.77</v>
      </c>
      <c r="V1281" s="9">
        <f>STATS1003B!V1347/1000</f>
        <v>1767.77</v>
      </c>
      <c r="W1281" s="9">
        <f>STATS1003B!W1347/1000</f>
        <v>0</v>
      </c>
      <c r="X1281" s="9">
        <f>STATS1003B!X1347/1000</f>
        <v>1767.77</v>
      </c>
      <c r="Y1281" s="9">
        <f>STATS1003B!Y1347/1000</f>
        <v>0</v>
      </c>
      <c r="Z1281" s="9">
        <f>STATS1003B!Z1347/1000</f>
        <v>0</v>
      </c>
      <c r="AA1281" s="9">
        <f>STATS1003B!AA1347/1000</f>
        <v>1767.77</v>
      </c>
      <c r="AB1281" s="9">
        <f>STATS1003B!AB1347/1000</f>
        <v>0</v>
      </c>
    </row>
    <row r="1282" spans="1:28" x14ac:dyDescent="0.35">
      <c r="A1282" s="36"/>
      <c r="B1282" s="8"/>
      <c r="C1282" s="7" t="s">
        <v>557</v>
      </c>
      <c r="D1282" s="15" t="s">
        <v>54</v>
      </c>
      <c r="E1282" s="9">
        <f>STATS1003B!E1348/1000</f>
        <v>3130.45</v>
      </c>
      <c r="F1282" s="9">
        <f>STATS1003B!F1348/1000</f>
        <v>3130.45</v>
      </c>
      <c r="G1282" s="9">
        <f>STATS1003B!G1348/1000</f>
        <v>0</v>
      </c>
      <c r="H1282" s="9">
        <f>STATS1003B!H1348/1000</f>
        <v>3130.45</v>
      </c>
      <c r="I1282" s="9">
        <f>STATS1003B!I1348/1000</f>
        <v>0</v>
      </c>
      <c r="J1282" s="9">
        <f>STATS1003B!J1348/1000</f>
        <v>3130.45</v>
      </c>
      <c r="K1282" s="9">
        <f>STATS1003B!K1348/1000</f>
        <v>0</v>
      </c>
      <c r="L1282" s="9">
        <f>STATS1003B!L1348/1000</f>
        <v>0</v>
      </c>
      <c r="M1282" s="9">
        <f>STATS1003B!M1348/1000</f>
        <v>3130.45</v>
      </c>
      <c r="N1282" s="9">
        <f>STATS1003B!N1348/1000</f>
        <v>0</v>
      </c>
      <c r="O1282" s="9">
        <f>STATS1003B!O1348/1000</f>
        <v>0</v>
      </c>
      <c r="P1282" s="9">
        <f>STATS1003B!P1348/1000</f>
        <v>0</v>
      </c>
      <c r="Q1282" s="9">
        <f>STATS1003B!Q1348/1000</f>
        <v>3130.45</v>
      </c>
      <c r="R1282" s="9">
        <f>STATS1003B!R1348/1000</f>
        <v>0</v>
      </c>
      <c r="S1282" s="9">
        <f>STATS1003B!S1348/1000</f>
        <v>0</v>
      </c>
      <c r="T1282" s="9">
        <f>STATS1003B!T1348/1000</f>
        <v>0</v>
      </c>
      <c r="U1282" s="9">
        <f>STATS1003B!U1348/1000</f>
        <v>0</v>
      </c>
      <c r="V1282" s="9">
        <f>STATS1003B!V1348/1000</f>
        <v>3130.45</v>
      </c>
      <c r="W1282" s="9">
        <f>STATS1003B!W1348/1000</f>
        <v>0</v>
      </c>
      <c r="X1282" s="9">
        <f>STATS1003B!X1348/1000</f>
        <v>3130.45</v>
      </c>
      <c r="Y1282" s="9">
        <f>STATS1003B!Y1348/1000</f>
        <v>0</v>
      </c>
      <c r="Z1282" s="9">
        <f>STATS1003B!Z1348/1000</f>
        <v>0</v>
      </c>
      <c r="AA1282" s="9">
        <f>STATS1003B!AA1348/1000</f>
        <v>3130.45</v>
      </c>
      <c r="AB1282" s="9">
        <f>STATS1003B!AB1348/1000</f>
        <v>0</v>
      </c>
    </row>
    <row r="1283" spans="1:28" x14ac:dyDescent="0.35">
      <c r="A1283" s="36"/>
      <c r="B1283" s="8"/>
      <c r="C1283" s="7" t="s">
        <v>704</v>
      </c>
      <c r="D1283" s="15" t="s">
        <v>54</v>
      </c>
      <c r="E1283" s="9">
        <f>STATS1003B!E1349/1000</f>
        <v>1500</v>
      </c>
      <c r="F1283" s="9">
        <f>STATS1003B!F1349/1000</f>
        <v>1500</v>
      </c>
      <c r="G1283" s="9">
        <f>STATS1003B!G1349/1000</f>
        <v>0</v>
      </c>
      <c r="H1283" s="9">
        <f>STATS1003B!H1349/1000</f>
        <v>1500</v>
      </c>
      <c r="I1283" s="9">
        <f>STATS1003B!I1349/1000</f>
        <v>0</v>
      </c>
      <c r="J1283" s="9">
        <f>STATS1003B!J1349/1000</f>
        <v>1500</v>
      </c>
      <c r="K1283" s="9">
        <f>STATS1003B!K1349/1000</f>
        <v>0</v>
      </c>
      <c r="L1283" s="9">
        <f>STATS1003B!L1349/1000</f>
        <v>0</v>
      </c>
      <c r="M1283" s="9">
        <f>STATS1003B!M1349/1000</f>
        <v>1500</v>
      </c>
      <c r="N1283" s="9">
        <f>STATS1003B!N1349/1000</f>
        <v>0</v>
      </c>
      <c r="O1283" s="9">
        <f>STATS1003B!O1349/1000</f>
        <v>0</v>
      </c>
      <c r="P1283" s="9">
        <f>STATS1003B!P1349/1000</f>
        <v>0</v>
      </c>
      <c r="Q1283" s="9">
        <f>STATS1003B!Q1349/1000</f>
        <v>1500</v>
      </c>
      <c r="R1283" s="9">
        <f>STATS1003B!R1349/1000</f>
        <v>0</v>
      </c>
      <c r="S1283" s="9">
        <f>STATS1003B!S1349/1000</f>
        <v>0</v>
      </c>
      <c r="T1283" s="9">
        <f>STATS1003B!T1349/1000</f>
        <v>0</v>
      </c>
      <c r="U1283" s="9">
        <f>STATS1003B!U1349/1000</f>
        <v>0</v>
      </c>
      <c r="V1283" s="9">
        <f>STATS1003B!V1349/1000</f>
        <v>1500</v>
      </c>
      <c r="W1283" s="9">
        <f>STATS1003B!W1349/1000</f>
        <v>0</v>
      </c>
      <c r="X1283" s="9">
        <f>STATS1003B!X1349/1000</f>
        <v>1500</v>
      </c>
      <c r="Y1283" s="9">
        <f>STATS1003B!Y1349/1000</f>
        <v>0</v>
      </c>
      <c r="Z1283" s="9">
        <f>STATS1003B!Z1349/1000</f>
        <v>0</v>
      </c>
      <c r="AA1283" s="9">
        <f>STATS1003B!AA1349/1000</f>
        <v>1500</v>
      </c>
      <c r="AB1283" s="9">
        <f>STATS1003B!AB1349/1000</f>
        <v>0</v>
      </c>
    </row>
    <row r="1284" spans="1:28" x14ac:dyDescent="0.35">
      <c r="A1284" s="36"/>
      <c r="B1284" s="8"/>
      <c r="C1284" s="7" t="s">
        <v>713</v>
      </c>
      <c r="D1284" s="15" t="s">
        <v>54</v>
      </c>
      <c r="E1284" s="9">
        <f>STATS1003B!E1350/1000</f>
        <v>3028.6</v>
      </c>
      <c r="F1284" s="9">
        <f>STATS1003B!F1350/1000</f>
        <v>3028.6</v>
      </c>
      <c r="G1284" s="9">
        <f>STATS1003B!G1350/1000</f>
        <v>0</v>
      </c>
      <c r="H1284" s="9">
        <f>STATS1003B!H1350/1000</f>
        <v>3028.6</v>
      </c>
      <c r="I1284" s="9">
        <f>STATS1003B!I1350/1000</f>
        <v>0</v>
      </c>
      <c r="J1284" s="9">
        <f>STATS1003B!J1350/1000</f>
        <v>3028.6</v>
      </c>
      <c r="K1284" s="9">
        <f>STATS1003B!K1350/1000</f>
        <v>0</v>
      </c>
      <c r="L1284" s="9">
        <f>STATS1003B!L1350/1000</f>
        <v>0</v>
      </c>
      <c r="M1284" s="9">
        <f>STATS1003B!M1350/1000</f>
        <v>3028.6</v>
      </c>
      <c r="N1284" s="9">
        <f>STATS1003B!N1350/1000</f>
        <v>0</v>
      </c>
      <c r="O1284" s="9">
        <f>STATS1003B!O1350/1000</f>
        <v>0</v>
      </c>
      <c r="P1284" s="9">
        <f>STATS1003B!P1350/1000</f>
        <v>0</v>
      </c>
      <c r="Q1284" s="9">
        <f>STATS1003B!Q1350/1000</f>
        <v>3028.6</v>
      </c>
      <c r="R1284" s="9">
        <f>STATS1003B!R1350/1000</f>
        <v>0</v>
      </c>
      <c r="S1284" s="9">
        <f>STATS1003B!S1350/1000</f>
        <v>0</v>
      </c>
      <c r="T1284" s="9">
        <f>STATS1003B!T1350/1000</f>
        <v>0</v>
      </c>
      <c r="U1284" s="9">
        <f>STATS1003B!U1350/1000</f>
        <v>0</v>
      </c>
      <c r="V1284" s="9">
        <f>STATS1003B!V1350/1000</f>
        <v>3028.6</v>
      </c>
      <c r="W1284" s="9">
        <f>STATS1003B!W1350/1000</f>
        <v>0</v>
      </c>
      <c r="X1284" s="9">
        <f>STATS1003B!X1350/1000</f>
        <v>3028.6</v>
      </c>
      <c r="Y1284" s="9">
        <f>STATS1003B!Y1350/1000</f>
        <v>0</v>
      </c>
      <c r="Z1284" s="9">
        <f>STATS1003B!Z1350/1000</f>
        <v>0</v>
      </c>
      <c r="AA1284" s="9">
        <f>STATS1003B!AA1350/1000</f>
        <v>3028.6</v>
      </c>
      <c r="AB1284" s="9">
        <f>STATS1003B!AB1350/1000</f>
        <v>0</v>
      </c>
    </row>
    <row r="1285" spans="1:28" x14ac:dyDescent="0.35">
      <c r="A1285" s="36"/>
      <c r="B1285" s="8"/>
      <c r="C1285" s="7" t="s">
        <v>696</v>
      </c>
      <c r="D1285" s="15" t="s">
        <v>54</v>
      </c>
      <c r="E1285" s="9">
        <f>STATS1003B!E1351/1000</f>
        <v>237.5</v>
      </c>
      <c r="F1285" s="9">
        <f>STATS1003B!F1351/1000</f>
        <v>228.73699999999999</v>
      </c>
      <c r="G1285" s="9">
        <f>STATS1003B!G1351/1000</f>
        <v>0</v>
      </c>
      <c r="H1285" s="9">
        <f>STATS1003B!H1351/1000</f>
        <v>228.73699999999999</v>
      </c>
      <c r="I1285" s="9">
        <f>STATS1003B!I1351/1000</f>
        <v>0</v>
      </c>
      <c r="J1285" s="9">
        <f>STATS1003B!J1351/1000</f>
        <v>228.73699999999999</v>
      </c>
      <c r="K1285" s="9">
        <f>STATS1003B!K1351/1000</f>
        <v>0</v>
      </c>
      <c r="L1285" s="9">
        <f>STATS1003B!L1351/1000</f>
        <v>0</v>
      </c>
      <c r="M1285" s="9">
        <f>STATS1003B!M1351/1000</f>
        <v>228.73699999999999</v>
      </c>
      <c r="N1285" s="9">
        <f>STATS1003B!N1351/1000</f>
        <v>0</v>
      </c>
      <c r="O1285" s="9">
        <f>STATS1003B!O1351/1000</f>
        <v>0</v>
      </c>
      <c r="P1285" s="9">
        <f>STATS1003B!P1351/1000</f>
        <v>0</v>
      </c>
      <c r="Q1285" s="9">
        <f>STATS1003B!Q1351/1000</f>
        <v>237.5</v>
      </c>
      <c r="R1285" s="9">
        <f>STATS1003B!R1351/1000</f>
        <v>0</v>
      </c>
      <c r="S1285" s="9">
        <f>STATS1003B!S1351/1000</f>
        <v>0</v>
      </c>
      <c r="T1285" s="9">
        <f>STATS1003B!T1351/1000</f>
        <v>0</v>
      </c>
      <c r="U1285" s="9">
        <f>STATS1003B!U1351/1000</f>
        <v>0</v>
      </c>
      <c r="V1285" s="9">
        <f>STATS1003B!V1351/1000</f>
        <v>228.73699999999999</v>
      </c>
      <c r="W1285" s="9">
        <f>STATS1003B!W1351/1000</f>
        <v>8.7629999999999999</v>
      </c>
      <c r="X1285" s="9">
        <f>STATS1003B!X1351/1000</f>
        <v>228.73699999999999</v>
      </c>
      <c r="Y1285" s="9">
        <f>STATS1003B!Y1351/1000</f>
        <v>0</v>
      </c>
      <c r="Z1285" s="9">
        <f>STATS1003B!Z1351/1000</f>
        <v>8.7629999999999999</v>
      </c>
      <c r="AA1285" s="9">
        <f>STATS1003B!AA1351/1000</f>
        <v>228.73699999999999</v>
      </c>
      <c r="AB1285" s="9">
        <f>STATS1003B!AB1351/1000</f>
        <v>8.7629999999999999</v>
      </c>
    </row>
    <row r="1286" spans="1:28" x14ac:dyDescent="0.35">
      <c r="A1286" s="36"/>
      <c r="B1286" s="8"/>
      <c r="C1286" s="7" t="s">
        <v>714</v>
      </c>
      <c r="D1286" s="15" t="s">
        <v>85</v>
      </c>
      <c r="E1286" s="9">
        <f>STATS1003B!E1352/1000</f>
        <v>2400</v>
      </c>
      <c r="F1286" s="9">
        <f>STATS1003B!F1352/1000</f>
        <v>2138.377</v>
      </c>
      <c r="G1286" s="9">
        <f>STATS1003B!G1352/1000</f>
        <v>0</v>
      </c>
      <c r="H1286" s="9">
        <f>STATS1003B!H1352/1000</f>
        <v>2138.377</v>
      </c>
      <c r="I1286" s="9">
        <f>STATS1003B!I1352/1000</f>
        <v>0</v>
      </c>
      <c r="J1286" s="9">
        <f>STATS1003B!J1352/1000</f>
        <v>2138.377</v>
      </c>
      <c r="K1286" s="9">
        <f>STATS1003B!K1352/1000</f>
        <v>0</v>
      </c>
      <c r="L1286" s="9">
        <f>STATS1003B!L1352/1000</f>
        <v>0</v>
      </c>
      <c r="M1286" s="9">
        <f>STATS1003B!M1352/1000</f>
        <v>2138.377</v>
      </c>
      <c r="N1286" s="9">
        <f>STATS1003B!N1352/1000</f>
        <v>0</v>
      </c>
      <c r="O1286" s="9">
        <f>STATS1003B!O1352/1000</f>
        <v>0</v>
      </c>
      <c r="P1286" s="9">
        <f>STATS1003B!P1352/1000</f>
        <v>0</v>
      </c>
      <c r="Q1286" s="9">
        <f>STATS1003B!Q1352/1000</f>
        <v>2400</v>
      </c>
      <c r="R1286" s="9">
        <f>STATS1003B!R1352/1000</f>
        <v>0</v>
      </c>
      <c r="S1286" s="9">
        <f>STATS1003B!S1352/1000</f>
        <v>0</v>
      </c>
      <c r="T1286" s="9">
        <f>STATS1003B!T1352/1000</f>
        <v>0</v>
      </c>
      <c r="U1286" s="9">
        <f>STATS1003B!U1352/1000</f>
        <v>0</v>
      </c>
      <c r="V1286" s="9">
        <f>STATS1003B!V1352/1000</f>
        <v>2138.377</v>
      </c>
      <c r="W1286" s="9">
        <f>STATS1003B!W1352/1000</f>
        <v>261.62299999999999</v>
      </c>
      <c r="X1286" s="9">
        <f>STATS1003B!X1352/1000</f>
        <v>2138.377</v>
      </c>
      <c r="Y1286" s="9">
        <f>STATS1003B!Y1352/1000</f>
        <v>0</v>
      </c>
      <c r="Z1286" s="9">
        <f>STATS1003B!Z1352/1000</f>
        <v>261.62299999999999</v>
      </c>
      <c r="AA1286" s="9">
        <f>STATS1003B!AA1352/1000</f>
        <v>2138.377</v>
      </c>
      <c r="AB1286" s="9">
        <f>STATS1003B!AB1352/1000</f>
        <v>261.62299999999999</v>
      </c>
    </row>
    <row r="1287" spans="1:28" x14ac:dyDescent="0.35">
      <c r="A1287" s="36"/>
      <c r="B1287" s="8"/>
      <c r="C1287" s="7" t="s">
        <v>671</v>
      </c>
      <c r="D1287" s="15" t="s">
        <v>85</v>
      </c>
      <c r="E1287" s="9">
        <f>STATS1003B!E1353/1000</f>
        <v>42</v>
      </c>
      <c r="F1287" s="9">
        <f>STATS1003B!F1353/1000</f>
        <v>0</v>
      </c>
      <c r="G1287" s="9">
        <f>STATS1003B!G1353/1000</f>
        <v>0</v>
      </c>
      <c r="H1287" s="9">
        <f>STATS1003B!H1353/1000</f>
        <v>0</v>
      </c>
      <c r="I1287" s="9">
        <f>STATS1003B!I1353/1000</f>
        <v>0</v>
      </c>
      <c r="J1287" s="9">
        <f>STATS1003B!J1353/1000</f>
        <v>0</v>
      </c>
      <c r="K1287" s="9">
        <f>STATS1003B!K1353/1000</f>
        <v>0</v>
      </c>
      <c r="L1287" s="9">
        <f>STATS1003B!L1353/1000</f>
        <v>0</v>
      </c>
      <c r="M1287" s="9">
        <f>STATS1003B!M1353/1000</f>
        <v>0</v>
      </c>
      <c r="N1287" s="9">
        <f>STATS1003B!N1353/1000</f>
        <v>0</v>
      </c>
      <c r="O1287" s="9">
        <f>STATS1003B!O1353/1000</f>
        <v>0</v>
      </c>
      <c r="P1287" s="9">
        <f>STATS1003B!P1353/1000</f>
        <v>0</v>
      </c>
      <c r="Q1287" s="9">
        <f>STATS1003B!Q1353/1000</f>
        <v>42</v>
      </c>
      <c r="R1287" s="9">
        <f>STATS1003B!R1353/1000</f>
        <v>0</v>
      </c>
      <c r="S1287" s="9">
        <f>STATS1003B!S1353/1000</f>
        <v>0</v>
      </c>
      <c r="T1287" s="9">
        <f>STATS1003B!T1353/1000</f>
        <v>0</v>
      </c>
      <c r="U1287" s="9">
        <f>STATS1003B!U1353/1000</f>
        <v>0</v>
      </c>
      <c r="V1287" s="9">
        <f>STATS1003B!V1353/1000</f>
        <v>0</v>
      </c>
      <c r="W1287" s="9">
        <f>STATS1003B!W1353/1000</f>
        <v>42</v>
      </c>
      <c r="X1287" s="9">
        <f>STATS1003B!X1353/1000</f>
        <v>0</v>
      </c>
      <c r="Y1287" s="9">
        <f>STATS1003B!Y1353/1000</f>
        <v>0</v>
      </c>
      <c r="Z1287" s="9">
        <f>STATS1003B!Z1353/1000</f>
        <v>42</v>
      </c>
      <c r="AA1287" s="9">
        <f>STATS1003B!AA1353/1000</f>
        <v>0</v>
      </c>
      <c r="AB1287" s="9">
        <f>STATS1003B!AB1353/1000</f>
        <v>42</v>
      </c>
    </row>
    <row r="1288" spans="1:28" x14ac:dyDescent="0.35">
      <c r="A1288" s="36"/>
      <c r="B1288" s="8"/>
      <c r="C1288" s="7" t="s">
        <v>535</v>
      </c>
      <c r="D1288" s="15" t="s">
        <v>88</v>
      </c>
      <c r="E1288" s="9">
        <f>STATS1003B!E1354/1000</f>
        <v>4135.5083700000005</v>
      </c>
      <c r="F1288" s="9">
        <f>STATS1003B!F1354/1000</f>
        <v>4135.5083700000005</v>
      </c>
      <c r="G1288" s="9">
        <f>STATS1003B!G1354/1000</f>
        <v>0</v>
      </c>
      <c r="H1288" s="9">
        <f>STATS1003B!H1354/1000</f>
        <v>4135.5083700000005</v>
      </c>
      <c r="I1288" s="9">
        <f>STATS1003B!I1354/1000</f>
        <v>0</v>
      </c>
      <c r="J1288" s="9">
        <f>STATS1003B!J1354/1000</f>
        <v>4135.5083700000005</v>
      </c>
      <c r="K1288" s="9">
        <f>STATS1003B!K1354/1000</f>
        <v>0</v>
      </c>
      <c r="L1288" s="9">
        <f>STATS1003B!L1354/1000</f>
        <v>0</v>
      </c>
      <c r="M1288" s="9">
        <f>STATS1003B!M1354/1000</f>
        <v>4135.5083700000005</v>
      </c>
      <c r="N1288" s="9">
        <f>STATS1003B!N1354/1000</f>
        <v>0</v>
      </c>
      <c r="O1288" s="9">
        <f>STATS1003B!O1354/1000</f>
        <v>0</v>
      </c>
      <c r="P1288" s="9">
        <f>STATS1003B!P1354/1000</f>
        <v>0</v>
      </c>
      <c r="Q1288" s="9">
        <f>STATS1003B!Q1354/1000</f>
        <v>4135.5083700000005</v>
      </c>
      <c r="R1288" s="9">
        <f>STATS1003B!R1354/1000</f>
        <v>0</v>
      </c>
      <c r="S1288" s="9">
        <f>STATS1003B!S1354/1000</f>
        <v>0</v>
      </c>
      <c r="T1288" s="9">
        <f>STATS1003B!T1354/1000</f>
        <v>0</v>
      </c>
      <c r="U1288" s="9">
        <f>STATS1003B!U1354/1000</f>
        <v>0</v>
      </c>
      <c r="V1288" s="9">
        <f>STATS1003B!V1354/1000</f>
        <v>4135.5083700000005</v>
      </c>
      <c r="W1288" s="9">
        <f>STATS1003B!W1354/1000</f>
        <v>0</v>
      </c>
      <c r="X1288" s="9">
        <f>STATS1003B!X1354/1000</f>
        <v>4135.5083700000005</v>
      </c>
      <c r="Y1288" s="9">
        <f>STATS1003B!Y1354/1000</f>
        <v>0</v>
      </c>
      <c r="Z1288" s="9">
        <f>STATS1003B!Z1354/1000</f>
        <v>0</v>
      </c>
      <c r="AA1288" s="9">
        <f>STATS1003B!AA1354/1000</f>
        <v>4135.5083700000005</v>
      </c>
      <c r="AB1288" s="9">
        <f>STATS1003B!AB1354/1000</f>
        <v>0</v>
      </c>
    </row>
    <row r="1289" spans="1:28" x14ac:dyDescent="0.35">
      <c r="A1289" s="36"/>
      <c r="B1289" s="8"/>
      <c r="C1289" s="7" t="s">
        <v>715</v>
      </c>
      <c r="D1289" s="15" t="s">
        <v>108</v>
      </c>
      <c r="E1289" s="9">
        <f>STATS1003B!E1355/1000</f>
        <v>2208.0883100000001</v>
      </c>
      <c r="F1289" s="9">
        <f>STATS1003B!F1355/1000</f>
        <v>2208.0883100000001</v>
      </c>
      <c r="G1289" s="9">
        <f>STATS1003B!G1355/1000</f>
        <v>0</v>
      </c>
      <c r="H1289" s="9">
        <f>STATS1003B!H1355/1000</f>
        <v>2208.0883100000001</v>
      </c>
      <c r="I1289" s="9">
        <f>STATS1003B!I1355/1000</f>
        <v>0</v>
      </c>
      <c r="J1289" s="9">
        <f>STATS1003B!J1355/1000</f>
        <v>2208.0883100000001</v>
      </c>
      <c r="K1289" s="9">
        <f>STATS1003B!K1355/1000</f>
        <v>0</v>
      </c>
      <c r="L1289" s="9">
        <f>STATS1003B!L1355/1000</f>
        <v>0</v>
      </c>
      <c r="M1289" s="9">
        <f>STATS1003B!M1355/1000</f>
        <v>2208.0883100000001</v>
      </c>
      <c r="N1289" s="9">
        <f>STATS1003B!N1355/1000</f>
        <v>0</v>
      </c>
      <c r="O1289" s="9">
        <f>STATS1003B!O1355/1000</f>
        <v>0</v>
      </c>
      <c r="P1289" s="9">
        <f>STATS1003B!P1355/1000</f>
        <v>0</v>
      </c>
      <c r="Q1289" s="9">
        <f>STATS1003B!Q1355/1000</f>
        <v>2208.0883100000001</v>
      </c>
      <c r="R1289" s="9">
        <f>STATS1003B!R1355/1000</f>
        <v>0</v>
      </c>
      <c r="S1289" s="9">
        <f>STATS1003B!S1355/1000</f>
        <v>0</v>
      </c>
      <c r="T1289" s="9">
        <f>STATS1003B!T1355/1000</f>
        <v>0</v>
      </c>
      <c r="U1289" s="9">
        <f>STATS1003B!U1355/1000</f>
        <v>0</v>
      </c>
      <c r="V1289" s="9">
        <f>STATS1003B!V1355/1000</f>
        <v>2208.0883100000001</v>
      </c>
      <c r="W1289" s="9">
        <f>STATS1003B!W1355/1000</f>
        <v>0</v>
      </c>
      <c r="X1289" s="9">
        <f>STATS1003B!X1355/1000</f>
        <v>2208.0883100000001</v>
      </c>
      <c r="Y1289" s="9">
        <f>STATS1003B!Y1355/1000</f>
        <v>0</v>
      </c>
      <c r="Z1289" s="9">
        <f>STATS1003B!Z1355/1000</f>
        <v>0</v>
      </c>
      <c r="AA1289" s="9">
        <f>STATS1003B!AA1355/1000</f>
        <v>2208.0883100000001</v>
      </c>
      <c r="AB1289" s="9">
        <f>STATS1003B!AB1355/1000</f>
        <v>0</v>
      </c>
    </row>
    <row r="1290" spans="1:28" x14ac:dyDescent="0.35">
      <c r="A1290" s="36"/>
      <c r="B1290" s="8"/>
      <c r="C1290" s="7" t="s">
        <v>715</v>
      </c>
      <c r="D1290" s="15" t="s">
        <v>58</v>
      </c>
      <c r="E1290" s="9">
        <f>STATS1003B!E1356/1000</f>
        <v>1944.431</v>
      </c>
      <c r="F1290" s="9">
        <f>STATS1003B!F1356/1000</f>
        <v>1944.431</v>
      </c>
      <c r="G1290" s="9">
        <f>STATS1003B!G1356/1000</f>
        <v>0</v>
      </c>
      <c r="H1290" s="9">
        <f>STATS1003B!H1356/1000</f>
        <v>1944.431</v>
      </c>
      <c r="I1290" s="9">
        <f>STATS1003B!I1356/1000</f>
        <v>0</v>
      </c>
      <c r="J1290" s="9">
        <f>STATS1003B!J1356/1000</f>
        <v>1944.431</v>
      </c>
      <c r="K1290" s="9">
        <f>STATS1003B!K1356/1000</f>
        <v>0</v>
      </c>
      <c r="L1290" s="9">
        <f>STATS1003B!L1356/1000</f>
        <v>0</v>
      </c>
      <c r="M1290" s="9">
        <f>STATS1003B!M1356/1000</f>
        <v>1944.431</v>
      </c>
      <c r="N1290" s="9">
        <f>STATS1003B!N1356/1000</f>
        <v>0</v>
      </c>
      <c r="O1290" s="9">
        <f>STATS1003B!O1356/1000</f>
        <v>0</v>
      </c>
      <c r="P1290" s="9">
        <f>STATS1003B!P1356/1000</f>
        <v>0</v>
      </c>
      <c r="Q1290" s="9">
        <f>STATS1003B!Q1356/1000</f>
        <v>1944.431</v>
      </c>
      <c r="R1290" s="9">
        <f>STATS1003B!R1356/1000</f>
        <v>0</v>
      </c>
      <c r="S1290" s="9">
        <f>STATS1003B!S1356/1000</f>
        <v>0</v>
      </c>
      <c r="T1290" s="9">
        <f>STATS1003B!T1356/1000</f>
        <v>0</v>
      </c>
      <c r="U1290" s="9">
        <f>STATS1003B!U1356/1000</f>
        <v>0</v>
      </c>
      <c r="V1290" s="9">
        <f>STATS1003B!V1356/1000</f>
        <v>1944.431</v>
      </c>
      <c r="W1290" s="9">
        <f>STATS1003B!W1356/1000</f>
        <v>0</v>
      </c>
      <c r="X1290" s="9">
        <f>STATS1003B!X1356/1000</f>
        <v>1944.431</v>
      </c>
      <c r="Y1290" s="9">
        <f>STATS1003B!Y1356/1000</f>
        <v>0</v>
      </c>
      <c r="Z1290" s="9">
        <f>STATS1003B!Z1356/1000</f>
        <v>0</v>
      </c>
      <c r="AA1290" s="9">
        <f>STATS1003B!AA1356/1000</f>
        <v>1944.431</v>
      </c>
      <c r="AB1290" s="9">
        <f>STATS1003B!AB1356/1000</f>
        <v>0</v>
      </c>
    </row>
    <row r="1291" spans="1:28" x14ac:dyDescent="0.35">
      <c r="A1291" s="36"/>
      <c r="B1291" s="8"/>
      <c r="C1291" s="7" t="s">
        <v>535</v>
      </c>
      <c r="D1291" s="15" t="s">
        <v>58</v>
      </c>
      <c r="E1291" s="9">
        <f>STATS1003B!E1357/1000</f>
        <v>6615.8820199999991</v>
      </c>
      <c r="F1291" s="9">
        <f>STATS1003B!F1357/1000</f>
        <v>6615.8820199999991</v>
      </c>
      <c r="G1291" s="9">
        <f>STATS1003B!G1357/1000</f>
        <v>0</v>
      </c>
      <c r="H1291" s="9">
        <f>STATS1003B!H1357/1000</f>
        <v>6615.8820199999991</v>
      </c>
      <c r="I1291" s="9">
        <f>STATS1003B!I1357/1000</f>
        <v>0</v>
      </c>
      <c r="J1291" s="9">
        <f>STATS1003B!J1357/1000</f>
        <v>6615.8820199999991</v>
      </c>
      <c r="K1291" s="9">
        <f>STATS1003B!K1357/1000</f>
        <v>0</v>
      </c>
      <c r="L1291" s="9">
        <f>STATS1003B!L1357/1000</f>
        <v>0</v>
      </c>
      <c r="M1291" s="9">
        <f>STATS1003B!M1357/1000</f>
        <v>6615.8820199999991</v>
      </c>
      <c r="N1291" s="9">
        <f>STATS1003B!N1357/1000</f>
        <v>0</v>
      </c>
      <c r="O1291" s="9">
        <f>STATS1003B!O1357/1000</f>
        <v>0</v>
      </c>
      <c r="P1291" s="9">
        <f>STATS1003B!P1357/1000</f>
        <v>0</v>
      </c>
      <c r="Q1291" s="9">
        <f>STATS1003B!Q1357/1000</f>
        <v>6615.8820199999991</v>
      </c>
      <c r="R1291" s="9">
        <f>STATS1003B!R1357/1000</f>
        <v>0</v>
      </c>
      <c r="S1291" s="9">
        <f>STATS1003B!S1357/1000</f>
        <v>0</v>
      </c>
      <c r="T1291" s="9">
        <f>STATS1003B!T1357/1000</f>
        <v>0</v>
      </c>
      <c r="U1291" s="9">
        <f>STATS1003B!U1357/1000</f>
        <v>0</v>
      </c>
      <c r="V1291" s="9">
        <f>STATS1003B!V1357/1000</f>
        <v>6615.8820199999991</v>
      </c>
      <c r="W1291" s="9">
        <f>STATS1003B!W1357/1000</f>
        <v>0</v>
      </c>
      <c r="X1291" s="9">
        <f>STATS1003B!X1357/1000</f>
        <v>6615.8820199999991</v>
      </c>
      <c r="Y1291" s="9">
        <f>STATS1003B!Y1357/1000</f>
        <v>0</v>
      </c>
      <c r="Z1291" s="9">
        <f>STATS1003B!Z1357/1000</f>
        <v>0</v>
      </c>
      <c r="AA1291" s="9">
        <f>STATS1003B!AA1357/1000</f>
        <v>6615.8820199999991</v>
      </c>
      <c r="AB1291" s="9">
        <f>STATS1003B!AB1357/1000</f>
        <v>0</v>
      </c>
    </row>
    <row r="1292" spans="1:28" x14ac:dyDescent="0.35">
      <c r="A1292" s="36"/>
      <c r="B1292" s="8"/>
      <c r="C1292" s="7" t="s">
        <v>535</v>
      </c>
      <c r="D1292" s="15" t="s">
        <v>60</v>
      </c>
      <c r="E1292" s="9">
        <f>STATS1003B!E1358/1000</f>
        <v>4722.8402300000007</v>
      </c>
      <c r="F1292" s="9">
        <f>STATS1003B!F1358/1000</f>
        <v>4722.8402300000007</v>
      </c>
      <c r="G1292" s="9">
        <f>STATS1003B!G1358/1000</f>
        <v>0</v>
      </c>
      <c r="H1292" s="9">
        <f>STATS1003B!H1358/1000</f>
        <v>4722.8402300000007</v>
      </c>
      <c r="I1292" s="9">
        <f>STATS1003B!I1358/1000</f>
        <v>0</v>
      </c>
      <c r="J1292" s="9">
        <f>STATS1003B!J1358/1000</f>
        <v>4722.8402300000007</v>
      </c>
      <c r="K1292" s="9">
        <f>STATS1003B!K1358/1000</f>
        <v>0</v>
      </c>
      <c r="L1292" s="9">
        <f>STATS1003B!L1358/1000</f>
        <v>0</v>
      </c>
      <c r="M1292" s="9">
        <f>STATS1003B!M1358/1000</f>
        <v>4722.8402300000007</v>
      </c>
      <c r="N1292" s="9">
        <f>STATS1003B!N1358/1000</f>
        <v>0</v>
      </c>
      <c r="O1292" s="9">
        <f>STATS1003B!O1358/1000</f>
        <v>0</v>
      </c>
      <c r="P1292" s="9">
        <f>STATS1003B!P1358/1000</f>
        <v>0</v>
      </c>
      <c r="Q1292" s="9">
        <f>STATS1003B!Q1358/1000</f>
        <v>4722.8402300000007</v>
      </c>
      <c r="R1292" s="9">
        <f>STATS1003B!R1358/1000</f>
        <v>0</v>
      </c>
      <c r="S1292" s="9">
        <f>STATS1003B!S1358/1000</f>
        <v>0</v>
      </c>
      <c r="T1292" s="9">
        <f>STATS1003B!T1358/1000</f>
        <v>0</v>
      </c>
      <c r="U1292" s="9">
        <f>STATS1003B!U1358/1000</f>
        <v>0</v>
      </c>
      <c r="V1292" s="9">
        <f>STATS1003B!V1358/1000</f>
        <v>4722.8402300000007</v>
      </c>
      <c r="W1292" s="9">
        <f>STATS1003B!W1358/1000</f>
        <v>0</v>
      </c>
      <c r="X1292" s="9">
        <f>STATS1003B!X1358/1000</f>
        <v>4722.8402300000007</v>
      </c>
      <c r="Y1292" s="9">
        <f>STATS1003B!Y1358/1000</f>
        <v>0</v>
      </c>
      <c r="Z1292" s="9">
        <f>STATS1003B!Z1358/1000</f>
        <v>0</v>
      </c>
      <c r="AA1292" s="9">
        <f>STATS1003B!AA1358/1000</f>
        <v>4722.8402300000007</v>
      </c>
      <c r="AB1292" s="9">
        <f>STATS1003B!AB1358/1000</f>
        <v>0</v>
      </c>
    </row>
    <row r="1293" spans="1:28" x14ac:dyDescent="0.35">
      <c r="A1293" s="36"/>
      <c r="B1293" s="8"/>
      <c r="C1293" s="7" t="s">
        <v>716</v>
      </c>
      <c r="D1293" s="21" t="s">
        <v>60</v>
      </c>
      <c r="E1293" s="9">
        <f>STATS1003B!E1359/1000</f>
        <v>212.17500000000001</v>
      </c>
      <c r="F1293" s="9">
        <f>STATS1003B!F1359/1000</f>
        <v>212.17500000000001</v>
      </c>
      <c r="G1293" s="9">
        <f>STATS1003B!G1359/1000</f>
        <v>0</v>
      </c>
      <c r="H1293" s="9">
        <f>STATS1003B!H1359/1000</f>
        <v>212.17500000000001</v>
      </c>
      <c r="I1293" s="9">
        <f>STATS1003B!I1359/1000</f>
        <v>0</v>
      </c>
      <c r="J1293" s="9">
        <f>STATS1003B!J1359/1000</f>
        <v>212.17500000000001</v>
      </c>
      <c r="K1293" s="9">
        <f>STATS1003B!K1359/1000</f>
        <v>0</v>
      </c>
      <c r="L1293" s="9">
        <f>STATS1003B!L1359/1000</f>
        <v>0</v>
      </c>
      <c r="M1293" s="9">
        <f>STATS1003B!M1359/1000</f>
        <v>212.17500000000001</v>
      </c>
      <c r="N1293" s="9">
        <f>STATS1003B!N1359/1000</f>
        <v>0</v>
      </c>
      <c r="O1293" s="9">
        <f>STATS1003B!O1359/1000</f>
        <v>0</v>
      </c>
      <c r="P1293" s="9">
        <f>STATS1003B!P1359/1000</f>
        <v>0</v>
      </c>
      <c r="Q1293" s="9">
        <f>STATS1003B!Q1359/1000</f>
        <v>212.17500000000001</v>
      </c>
      <c r="R1293" s="9">
        <f>STATS1003B!R1359/1000</f>
        <v>0</v>
      </c>
      <c r="S1293" s="9">
        <f>STATS1003B!S1359/1000</f>
        <v>0</v>
      </c>
      <c r="T1293" s="9">
        <f>STATS1003B!T1359/1000</f>
        <v>0</v>
      </c>
      <c r="U1293" s="9">
        <f>STATS1003B!U1359/1000</f>
        <v>0</v>
      </c>
      <c r="V1293" s="9">
        <f>STATS1003B!V1359/1000</f>
        <v>212.17500000000001</v>
      </c>
      <c r="W1293" s="9">
        <f>STATS1003B!W1359/1000</f>
        <v>0</v>
      </c>
      <c r="X1293" s="9">
        <f>STATS1003B!X1359/1000</f>
        <v>212.17500000000001</v>
      </c>
      <c r="Y1293" s="9">
        <f>STATS1003B!Y1359/1000</f>
        <v>0</v>
      </c>
      <c r="Z1293" s="9">
        <f>STATS1003B!Z1359/1000</f>
        <v>0</v>
      </c>
      <c r="AA1293" s="9">
        <f>STATS1003B!AA1359/1000</f>
        <v>212.17500000000001</v>
      </c>
      <c r="AB1293" s="9">
        <f>STATS1003B!AB1359/1000</f>
        <v>0</v>
      </c>
    </row>
    <row r="1294" spans="1:28" x14ac:dyDescent="0.35">
      <c r="A1294" s="36"/>
      <c r="B1294" s="8"/>
      <c r="C1294" s="7" t="s">
        <v>535</v>
      </c>
      <c r="D1294" s="21" t="s">
        <v>73</v>
      </c>
      <c r="E1294" s="9">
        <f>STATS1003B!E1360/1000</f>
        <v>4471.3280000000004</v>
      </c>
      <c r="F1294" s="9">
        <f>STATS1003B!F1360/1000</f>
        <v>4471.3280000000004</v>
      </c>
      <c r="G1294" s="9">
        <f>STATS1003B!G1360/1000</f>
        <v>0</v>
      </c>
      <c r="H1294" s="9">
        <f>STATS1003B!H1360/1000</f>
        <v>4471.3280000000004</v>
      </c>
      <c r="I1294" s="9">
        <f>STATS1003B!I1360/1000</f>
        <v>0</v>
      </c>
      <c r="J1294" s="9">
        <f>STATS1003B!J1360/1000</f>
        <v>4471.3280000000004</v>
      </c>
      <c r="K1294" s="9">
        <f>STATS1003B!K1360/1000</f>
        <v>0</v>
      </c>
      <c r="L1294" s="9">
        <f>STATS1003B!L1360/1000</f>
        <v>0</v>
      </c>
      <c r="M1294" s="9">
        <f>STATS1003B!M1360/1000</f>
        <v>4471.3280000000004</v>
      </c>
      <c r="N1294" s="9">
        <f>STATS1003B!N1360/1000</f>
        <v>0</v>
      </c>
      <c r="O1294" s="9">
        <f>STATS1003B!O1360/1000</f>
        <v>0</v>
      </c>
      <c r="P1294" s="9">
        <f>STATS1003B!P1360/1000</f>
        <v>0</v>
      </c>
      <c r="Q1294" s="9">
        <f>STATS1003B!Q1360/1000</f>
        <v>4471.3280000000004</v>
      </c>
      <c r="R1294" s="9">
        <f>STATS1003B!R1360/1000</f>
        <v>0</v>
      </c>
      <c r="S1294" s="9">
        <f>STATS1003B!S1360/1000</f>
        <v>0</v>
      </c>
      <c r="T1294" s="9">
        <f>STATS1003B!T1360/1000</f>
        <v>0</v>
      </c>
      <c r="U1294" s="9">
        <f>STATS1003B!U1360/1000</f>
        <v>0</v>
      </c>
      <c r="V1294" s="9">
        <f>STATS1003B!V1360/1000</f>
        <v>4471.3280000000004</v>
      </c>
      <c r="W1294" s="9">
        <f>STATS1003B!W1360/1000</f>
        <v>0</v>
      </c>
      <c r="X1294" s="9">
        <f>STATS1003B!X1360/1000</f>
        <v>4471.3280000000004</v>
      </c>
      <c r="Y1294" s="9">
        <f>STATS1003B!Y1360/1000</f>
        <v>0</v>
      </c>
      <c r="Z1294" s="9">
        <f>STATS1003B!Z1360/1000</f>
        <v>0</v>
      </c>
      <c r="AA1294" s="9">
        <f>STATS1003B!AA1360/1000</f>
        <v>4471.3280000000004</v>
      </c>
      <c r="AB1294" s="9">
        <f>STATS1003B!AB1360/1000</f>
        <v>0</v>
      </c>
    </row>
    <row r="1295" spans="1:28" x14ac:dyDescent="0.35">
      <c r="A1295" s="36"/>
      <c r="B1295" s="8"/>
      <c r="C1295" s="7" t="s">
        <v>535</v>
      </c>
      <c r="D1295" s="21" t="s">
        <v>61</v>
      </c>
      <c r="E1295" s="9">
        <f>STATS1003B!E1361/1000</f>
        <v>3552.71677</v>
      </c>
      <c r="F1295" s="9">
        <f>STATS1003B!F1361/1000</f>
        <v>3552.71677</v>
      </c>
      <c r="G1295" s="9">
        <f>STATS1003B!G1361/1000</f>
        <v>0</v>
      </c>
      <c r="H1295" s="9">
        <f>STATS1003B!H1361/1000</f>
        <v>3552.71677</v>
      </c>
      <c r="I1295" s="9">
        <f>STATS1003B!I1361/1000</f>
        <v>0</v>
      </c>
      <c r="J1295" s="9">
        <f>STATS1003B!J1361/1000</f>
        <v>3552.71677</v>
      </c>
      <c r="K1295" s="9">
        <f>STATS1003B!K1361/1000</f>
        <v>0</v>
      </c>
      <c r="L1295" s="9">
        <f>STATS1003B!L1361/1000</f>
        <v>0</v>
      </c>
      <c r="M1295" s="9">
        <f>STATS1003B!M1361/1000</f>
        <v>3552.71677</v>
      </c>
      <c r="N1295" s="9">
        <f>STATS1003B!N1361/1000</f>
        <v>0</v>
      </c>
      <c r="O1295" s="9">
        <f>STATS1003B!O1361/1000</f>
        <v>0</v>
      </c>
      <c r="P1295" s="9">
        <f>STATS1003B!P1361/1000</f>
        <v>0</v>
      </c>
      <c r="Q1295" s="9">
        <f>STATS1003B!Q1361/1000</f>
        <v>3552.71677</v>
      </c>
      <c r="R1295" s="9">
        <f>STATS1003B!R1361/1000</f>
        <v>0</v>
      </c>
      <c r="S1295" s="9">
        <f>STATS1003B!S1361/1000</f>
        <v>0</v>
      </c>
      <c r="T1295" s="9">
        <f>STATS1003B!T1361/1000</f>
        <v>0</v>
      </c>
      <c r="U1295" s="9">
        <f>STATS1003B!U1361/1000</f>
        <v>0</v>
      </c>
      <c r="V1295" s="9">
        <f>STATS1003B!V1361/1000</f>
        <v>3552.71677</v>
      </c>
      <c r="W1295" s="9">
        <f>STATS1003B!W1361/1000</f>
        <v>0</v>
      </c>
      <c r="X1295" s="9">
        <f>STATS1003B!X1361/1000</f>
        <v>3552.71677</v>
      </c>
      <c r="Y1295" s="9">
        <f>STATS1003B!Y1361/1000</f>
        <v>0</v>
      </c>
      <c r="Z1295" s="9">
        <f>STATS1003B!Z1361/1000</f>
        <v>0</v>
      </c>
      <c r="AA1295" s="9">
        <f>STATS1003B!AA1361/1000</f>
        <v>3552.71677</v>
      </c>
      <c r="AB1295" s="9">
        <f>STATS1003B!AB1361/1000</f>
        <v>0</v>
      </c>
    </row>
    <row r="1296" spans="1:28" x14ac:dyDescent="0.35">
      <c r="A1296" s="36"/>
      <c r="B1296" s="8"/>
      <c r="C1296" s="7" t="s">
        <v>933</v>
      </c>
      <c r="D1296" s="24" t="s">
        <v>1072</v>
      </c>
      <c r="E1296" s="9">
        <f>STATS1003B!E1364/1000</f>
        <v>982.35659999999996</v>
      </c>
      <c r="F1296" s="9">
        <f>STATS1003B!F1364/1000</f>
        <v>982.35659999999996</v>
      </c>
      <c r="G1296" s="9">
        <f>STATS1003B!G1364/1000</f>
        <v>0</v>
      </c>
      <c r="H1296" s="9">
        <f>STATS1003B!H1364/1000</f>
        <v>982.35659999999996</v>
      </c>
      <c r="I1296" s="9">
        <f>STATS1003B!I1364/1000</f>
        <v>0</v>
      </c>
      <c r="J1296" s="9">
        <f>STATS1003B!J1364/1000</f>
        <v>982.35659999999996</v>
      </c>
      <c r="K1296" s="9">
        <f>STATS1003B!K1364/1000</f>
        <v>0</v>
      </c>
      <c r="L1296" s="9">
        <f>STATS1003B!L1364/1000</f>
        <v>0</v>
      </c>
      <c r="M1296" s="9">
        <f>STATS1003B!M1364/1000</f>
        <v>982.35659999999996</v>
      </c>
      <c r="N1296" s="9">
        <f>STATS1003B!N1364/1000</f>
        <v>0</v>
      </c>
      <c r="O1296" s="9">
        <f>STATS1003B!O1364/1000</f>
        <v>0</v>
      </c>
      <c r="P1296" s="9">
        <f>STATS1003B!P1364/1000</f>
        <v>0</v>
      </c>
      <c r="Q1296" s="9">
        <f>STATS1003B!Q1364/1000</f>
        <v>0</v>
      </c>
      <c r="R1296" s="9">
        <f>STATS1003B!R1364/1000</f>
        <v>0</v>
      </c>
      <c r="S1296" s="9">
        <f>STATS1003B!S1364/1000</f>
        <v>0</v>
      </c>
      <c r="T1296" s="9">
        <f>STATS1003B!T1364/1000</f>
        <v>0</v>
      </c>
      <c r="U1296" s="9">
        <f>STATS1003B!U1364/1000</f>
        <v>0</v>
      </c>
      <c r="V1296" s="9">
        <f>STATS1003B!V1364/1000</f>
        <v>982.35659999999996</v>
      </c>
      <c r="W1296" s="9">
        <f>STATS1003B!W1364/1000</f>
        <v>0</v>
      </c>
      <c r="X1296" s="9">
        <f>STATS1003B!X1364/1000</f>
        <v>982.35659999999996</v>
      </c>
      <c r="Y1296" s="9">
        <f>STATS1003B!Y1364/1000</f>
        <v>0</v>
      </c>
      <c r="Z1296" s="9">
        <f>STATS1003B!Z1364/1000</f>
        <v>0</v>
      </c>
      <c r="AA1296" s="9">
        <f>STATS1003B!AA1364/1000</f>
        <v>982.35659999999996</v>
      </c>
      <c r="AB1296" s="9">
        <f>STATS1003B!AB1364/1000</f>
        <v>0</v>
      </c>
    </row>
    <row r="1297" spans="1:28" x14ac:dyDescent="0.35">
      <c r="A1297" s="36"/>
      <c r="B1297" s="8"/>
      <c r="C1297" s="7" t="s">
        <v>577</v>
      </c>
      <c r="D1297" s="8"/>
      <c r="E1297" s="9">
        <f>STATS1003B!E1367/1000</f>
        <v>8916.5998299999992</v>
      </c>
      <c r="F1297" s="9">
        <f>STATS1003B!F1367/1000</f>
        <v>8916.5998299999992</v>
      </c>
      <c r="G1297" s="9">
        <f>STATS1003B!G1367/1000</f>
        <v>0</v>
      </c>
      <c r="H1297" s="9">
        <f>STATS1003B!H1367/1000</f>
        <v>8916.5998299999992</v>
      </c>
      <c r="I1297" s="9">
        <f>STATS1003B!I1367/1000</f>
        <v>0</v>
      </c>
      <c r="J1297" s="9">
        <f>STATS1003B!J1367/1000</f>
        <v>8916.5998299999992</v>
      </c>
      <c r="K1297" s="9">
        <f>STATS1003B!K1367/1000</f>
        <v>0</v>
      </c>
      <c r="L1297" s="9">
        <f>STATS1003B!L1367/1000</f>
        <v>0</v>
      </c>
      <c r="M1297" s="9">
        <f>STATS1003B!M1367/1000</f>
        <v>8916.5998299999992</v>
      </c>
      <c r="N1297" s="9">
        <f>STATS1003B!N1367/1000</f>
        <v>0</v>
      </c>
      <c r="O1297" s="9">
        <f>STATS1003B!O1367/1000</f>
        <v>0</v>
      </c>
      <c r="P1297" s="9">
        <f>STATS1003B!P1367/1000</f>
        <v>0</v>
      </c>
      <c r="Q1297" s="9">
        <f>STATS1003B!Q1367/1000</f>
        <v>8916.5998299999992</v>
      </c>
      <c r="R1297" s="9">
        <f>STATS1003B!R1367/1000</f>
        <v>0</v>
      </c>
      <c r="S1297" s="9">
        <f>STATS1003B!S1367/1000</f>
        <v>0</v>
      </c>
      <c r="T1297" s="9">
        <f>STATS1003B!T1367/1000</f>
        <v>0</v>
      </c>
      <c r="U1297" s="9">
        <f>STATS1003B!U1367/1000</f>
        <v>0</v>
      </c>
      <c r="V1297" s="9">
        <f>STATS1003B!V1367/1000</f>
        <v>8916.5998299999992</v>
      </c>
      <c r="W1297" s="9">
        <f>STATS1003B!W1367/1000</f>
        <v>0</v>
      </c>
      <c r="X1297" s="9">
        <f>STATS1003B!X1367/1000</f>
        <v>8916.5998299999992</v>
      </c>
      <c r="Y1297" s="9">
        <f>STATS1003B!Y1367/1000</f>
        <v>0</v>
      </c>
      <c r="Z1297" s="9">
        <f>STATS1003B!Z1367/1000</f>
        <v>0</v>
      </c>
      <c r="AA1297" s="9">
        <f>STATS1003B!AA1367/1000</f>
        <v>8916.5998299999992</v>
      </c>
      <c r="AB1297" s="9">
        <f>STATS1003B!AB1367/1000</f>
        <v>0</v>
      </c>
    </row>
    <row r="1298" spans="1:28" x14ac:dyDescent="0.35">
      <c r="A1298" s="36"/>
      <c r="B1298" s="8"/>
      <c r="C1298" s="7" t="s">
        <v>550</v>
      </c>
      <c r="D1298" s="8"/>
      <c r="E1298" s="9">
        <f>STATS1003B!E1368/1000</f>
        <v>497.399</v>
      </c>
      <c r="F1298" s="9">
        <f>STATS1003B!F1368/1000</f>
        <v>497.399</v>
      </c>
      <c r="G1298" s="9">
        <f>STATS1003B!G1368/1000</f>
        <v>0</v>
      </c>
      <c r="H1298" s="9">
        <f>STATS1003B!H1368/1000</f>
        <v>497.399</v>
      </c>
      <c r="I1298" s="9">
        <f>STATS1003B!I1368/1000</f>
        <v>0</v>
      </c>
      <c r="J1298" s="9">
        <f>STATS1003B!J1368/1000</f>
        <v>497.399</v>
      </c>
      <c r="K1298" s="9">
        <f>STATS1003B!K1368/1000</f>
        <v>0</v>
      </c>
      <c r="L1298" s="9">
        <f>STATS1003B!L1368/1000</f>
        <v>0</v>
      </c>
      <c r="M1298" s="9">
        <f>STATS1003B!M1368/1000</f>
        <v>497.399</v>
      </c>
      <c r="N1298" s="9">
        <f>STATS1003B!N1368/1000</f>
        <v>0</v>
      </c>
      <c r="O1298" s="9">
        <f>STATS1003B!O1368/1000</f>
        <v>0</v>
      </c>
      <c r="P1298" s="9">
        <f>STATS1003B!P1368/1000</f>
        <v>0</v>
      </c>
      <c r="Q1298" s="9">
        <f>STATS1003B!Q1368/1000</f>
        <v>497.399</v>
      </c>
      <c r="R1298" s="9">
        <f>STATS1003B!R1368/1000</f>
        <v>0</v>
      </c>
      <c r="S1298" s="9">
        <f>STATS1003B!S1368/1000</f>
        <v>0</v>
      </c>
      <c r="T1298" s="9">
        <f>STATS1003B!T1368/1000</f>
        <v>0</v>
      </c>
      <c r="U1298" s="9">
        <f>STATS1003B!U1368/1000</f>
        <v>0</v>
      </c>
      <c r="V1298" s="9">
        <f>STATS1003B!V1368/1000</f>
        <v>497.399</v>
      </c>
      <c r="W1298" s="9">
        <f>STATS1003B!W1368/1000</f>
        <v>0</v>
      </c>
      <c r="X1298" s="9">
        <f>STATS1003B!X1368/1000</f>
        <v>497.399</v>
      </c>
      <c r="Y1298" s="9">
        <f>STATS1003B!Y1368/1000</f>
        <v>0</v>
      </c>
      <c r="Z1298" s="9">
        <f>STATS1003B!Z1368/1000</f>
        <v>0</v>
      </c>
      <c r="AA1298" s="9">
        <f>STATS1003B!AA1368/1000</f>
        <v>497.399</v>
      </c>
      <c r="AB1298" s="9">
        <f>STATS1003B!AB1368/1000</f>
        <v>0</v>
      </c>
    </row>
    <row r="1299" spans="1:28" x14ac:dyDescent="0.35">
      <c r="A1299" s="36"/>
      <c r="B1299" s="8"/>
      <c r="C1299" s="7" t="s">
        <v>569</v>
      </c>
      <c r="D1299" s="8"/>
      <c r="E1299" s="9">
        <f>STATS1003B!E1369/1000</f>
        <v>813.51099999999997</v>
      </c>
      <c r="F1299" s="9">
        <f>STATS1003B!F1369/1000</f>
        <v>813.51099999999997</v>
      </c>
      <c r="G1299" s="9">
        <f>STATS1003B!G1369/1000</f>
        <v>0</v>
      </c>
      <c r="H1299" s="9">
        <f>STATS1003B!H1369/1000</f>
        <v>813.51099999999997</v>
      </c>
      <c r="I1299" s="9">
        <f>STATS1003B!I1369/1000</f>
        <v>0</v>
      </c>
      <c r="J1299" s="9">
        <f>STATS1003B!J1369/1000</f>
        <v>813.51099999999997</v>
      </c>
      <c r="K1299" s="9">
        <f>STATS1003B!K1369/1000</f>
        <v>0</v>
      </c>
      <c r="L1299" s="9">
        <f>STATS1003B!L1369/1000</f>
        <v>0</v>
      </c>
      <c r="M1299" s="9">
        <f>STATS1003B!M1369/1000</f>
        <v>813.51099999999997</v>
      </c>
      <c r="N1299" s="9">
        <f>STATS1003B!N1369/1000</f>
        <v>0</v>
      </c>
      <c r="O1299" s="9">
        <f>STATS1003B!O1369/1000</f>
        <v>0</v>
      </c>
      <c r="P1299" s="9">
        <f>STATS1003B!P1369/1000</f>
        <v>0</v>
      </c>
      <c r="Q1299" s="9">
        <f>STATS1003B!Q1369/1000</f>
        <v>813.51099999999997</v>
      </c>
      <c r="R1299" s="9">
        <f>STATS1003B!R1369/1000</f>
        <v>0</v>
      </c>
      <c r="S1299" s="9">
        <f>STATS1003B!S1369/1000</f>
        <v>0</v>
      </c>
      <c r="T1299" s="9">
        <f>STATS1003B!T1369/1000</f>
        <v>0</v>
      </c>
      <c r="U1299" s="9">
        <f>STATS1003B!U1369/1000</f>
        <v>0</v>
      </c>
      <c r="V1299" s="9">
        <f>STATS1003B!V1369/1000</f>
        <v>813.51099999999997</v>
      </c>
      <c r="W1299" s="9">
        <f>STATS1003B!W1369/1000</f>
        <v>0</v>
      </c>
      <c r="X1299" s="9">
        <f>STATS1003B!X1369/1000</f>
        <v>813.51099999999997</v>
      </c>
      <c r="Y1299" s="9">
        <f>STATS1003B!Y1369/1000</f>
        <v>0</v>
      </c>
      <c r="Z1299" s="9">
        <f>STATS1003B!Z1369/1000</f>
        <v>0</v>
      </c>
      <c r="AA1299" s="9">
        <f>STATS1003B!AA1369/1000</f>
        <v>813.51099999999997</v>
      </c>
      <c r="AB1299" s="9">
        <f>STATS1003B!AB1369/1000</f>
        <v>0</v>
      </c>
    </row>
    <row r="1300" spans="1:28" x14ac:dyDescent="0.35">
      <c r="A1300" s="36"/>
      <c r="B1300" s="8"/>
      <c r="C1300" s="7" t="s">
        <v>717</v>
      </c>
      <c r="D1300" s="8"/>
      <c r="E1300" s="9">
        <f>STATS1003B!E1370/1000</f>
        <v>300</v>
      </c>
      <c r="F1300" s="9">
        <f>STATS1003B!F1370/1000</f>
        <v>300</v>
      </c>
      <c r="G1300" s="9">
        <f>STATS1003B!G1370/1000</f>
        <v>0</v>
      </c>
      <c r="H1300" s="9">
        <f>STATS1003B!H1370/1000</f>
        <v>300</v>
      </c>
      <c r="I1300" s="9">
        <f>STATS1003B!I1370/1000</f>
        <v>0</v>
      </c>
      <c r="J1300" s="9">
        <f>STATS1003B!J1370/1000</f>
        <v>300</v>
      </c>
      <c r="K1300" s="9">
        <f>STATS1003B!K1370/1000</f>
        <v>0</v>
      </c>
      <c r="L1300" s="9">
        <f>STATS1003B!L1370/1000</f>
        <v>0</v>
      </c>
      <c r="M1300" s="9">
        <f>STATS1003B!M1370/1000</f>
        <v>300</v>
      </c>
      <c r="N1300" s="9">
        <f>STATS1003B!N1370/1000</f>
        <v>0</v>
      </c>
      <c r="O1300" s="9">
        <f>STATS1003B!O1370/1000</f>
        <v>0</v>
      </c>
      <c r="P1300" s="9">
        <f>STATS1003B!P1370/1000</f>
        <v>0</v>
      </c>
      <c r="Q1300" s="9">
        <f>STATS1003B!Q1370/1000</f>
        <v>300</v>
      </c>
      <c r="R1300" s="9">
        <f>STATS1003B!R1370/1000</f>
        <v>0</v>
      </c>
      <c r="S1300" s="9">
        <f>STATS1003B!S1370/1000</f>
        <v>0</v>
      </c>
      <c r="T1300" s="9">
        <f>STATS1003B!T1370/1000</f>
        <v>0</v>
      </c>
      <c r="U1300" s="9">
        <f>STATS1003B!U1370/1000</f>
        <v>0</v>
      </c>
      <c r="V1300" s="9">
        <f>STATS1003B!V1370/1000</f>
        <v>300</v>
      </c>
      <c r="W1300" s="9">
        <f>STATS1003B!W1370/1000</f>
        <v>0</v>
      </c>
      <c r="X1300" s="9">
        <f>STATS1003B!X1370/1000</f>
        <v>300</v>
      </c>
      <c r="Y1300" s="9">
        <f>STATS1003B!Y1370/1000</f>
        <v>0</v>
      </c>
      <c r="Z1300" s="9">
        <f>STATS1003B!Z1370/1000</f>
        <v>0</v>
      </c>
      <c r="AA1300" s="9">
        <f>STATS1003B!AA1370/1000</f>
        <v>300</v>
      </c>
      <c r="AB1300" s="9">
        <f>STATS1003B!AB1370/1000</f>
        <v>0</v>
      </c>
    </row>
    <row r="1301" spans="1:28" x14ac:dyDescent="0.35">
      <c r="A1301" s="36"/>
      <c r="B1301" s="8"/>
      <c r="C1301" s="7" t="s">
        <v>718</v>
      </c>
      <c r="D1301" s="8"/>
      <c r="E1301" s="9">
        <f>STATS1003B!E1371/1000</f>
        <v>500</v>
      </c>
      <c r="F1301" s="9">
        <f>STATS1003B!F1371/1000</f>
        <v>497.43599999999998</v>
      </c>
      <c r="G1301" s="9">
        <f>STATS1003B!G1371/1000</f>
        <v>0</v>
      </c>
      <c r="H1301" s="9">
        <f>STATS1003B!H1371/1000</f>
        <v>497.43599999999998</v>
      </c>
      <c r="I1301" s="9">
        <f>STATS1003B!I1371/1000</f>
        <v>0</v>
      </c>
      <c r="J1301" s="9">
        <f>STATS1003B!J1371/1000</f>
        <v>497.43599999999998</v>
      </c>
      <c r="K1301" s="9">
        <f>STATS1003B!K1371/1000</f>
        <v>0</v>
      </c>
      <c r="L1301" s="9">
        <f>STATS1003B!L1371/1000</f>
        <v>0</v>
      </c>
      <c r="M1301" s="9">
        <f>STATS1003B!M1371/1000</f>
        <v>497.43599999999998</v>
      </c>
      <c r="N1301" s="9">
        <f>STATS1003B!N1371/1000</f>
        <v>0</v>
      </c>
      <c r="O1301" s="9">
        <f>STATS1003B!O1371/1000</f>
        <v>0</v>
      </c>
      <c r="P1301" s="9">
        <f>STATS1003B!P1371/1000</f>
        <v>0</v>
      </c>
      <c r="Q1301" s="9">
        <f>STATS1003B!Q1371/1000</f>
        <v>500</v>
      </c>
      <c r="R1301" s="9">
        <f>STATS1003B!R1371/1000</f>
        <v>0</v>
      </c>
      <c r="S1301" s="9">
        <f>STATS1003B!S1371/1000</f>
        <v>0</v>
      </c>
      <c r="T1301" s="9">
        <f>STATS1003B!T1371/1000</f>
        <v>0</v>
      </c>
      <c r="U1301" s="9">
        <f>STATS1003B!U1371/1000</f>
        <v>0</v>
      </c>
      <c r="V1301" s="9">
        <f>STATS1003B!V1371/1000</f>
        <v>497.43599999999998</v>
      </c>
      <c r="W1301" s="9">
        <f>STATS1003B!W1371/1000</f>
        <v>2.5640000000000001</v>
      </c>
      <c r="X1301" s="9">
        <f>STATS1003B!X1371/1000</f>
        <v>497.43599999999998</v>
      </c>
      <c r="Y1301" s="9">
        <f>STATS1003B!Y1371/1000</f>
        <v>0</v>
      </c>
      <c r="Z1301" s="9">
        <f>STATS1003B!Z1371/1000</f>
        <v>2.5640000000000001</v>
      </c>
      <c r="AA1301" s="9">
        <f>STATS1003B!AA1371/1000</f>
        <v>497.43599999999998</v>
      </c>
      <c r="AB1301" s="9">
        <f>STATS1003B!AB1371/1000</f>
        <v>2.5640000000000001</v>
      </c>
    </row>
    <row r="1302" spans="1:28" x14ac:dyDescent="0.35">
      <c r="A1302" s="36"/>
      <c r="B1302" s="8"/>
      <c r="C1302" s="7" t="s">
        <v>702</v>
      </c>
      <c r="D1302" s="8"/>
      <c r="E1302" s="9">
        <f>STATS1003B!E1372/1000</f>
        <v>300</v>
      </c>
      <c r="F1302" s="9">
        <f>STATS1003B!F1372/1000</f>
        <v>0</v>
      </c>
      <c r="G1302" s="9">
        <f>STATS1003B!G1372/1000</f>
        <v>0</v>
      </c>
      <c r="H1302" s="9">
        <f>STATS1003B!H1372/1000</f>
        <v>0</v>
      </c>
      <c r="I1302" s="9">
        <f>STATS1003B!I1372/1000</f>
        <v>0</v>
      </c>
      <c r="J1302" s="9">
        <f>STATS1003B!J1372/1000</f>
        <v>0</v>
      </c>
      <c r="K1302" s="9">
        <f>STATS1003B!K1372/1000</f>
        <v>300</v>
      </c>
      <c r="L1302" s="9">
        <f>STATS1003B!L1372/1000</f>
        <v>0</v>
      </c>
      <c r="M1302" s="9">
        <f>STATS1003B!M1372/1000</f>
        <v>0</v>
      </c>
      <c r="N1302" s="9">
        <f>STATS1003B!N1372/1000</f>
        <v>300</v>
      </c>
      <c r="O1302" s="9">
        <f>STATS1003B!O1372/1000</f>
        <v>0</v>
      </c>
      <c r="P1302" s="9">
        <f>STATS1003B!P1372/1000</f>
        <v>300</v>
      </c>
      <c r="Q1302" s="9">
        <f>STATS1003B!Q1372/1000</f>
        <v>0</v>
      </c>
      <c r="R1302" s="9">
        <f>STATS1003B!R1372/1000</f>
        <v>0</v>
      </c>
      <c r="S1302" s="9">
        <f>STATS1003B!S1372/1000</f>
        <v>0</v>
      </c>
      <c r="T1302" s="9">
        <f>STATS1003B!T1372/1000</f>
        <v>0</v>
      </c>
      <c r="U1302" s="9">
        <f>STATS1003B!U1372/1000</f>
        <v>300</v>
      </c>
      <c r="V1302" s="9">
        <f>STATS1003B!V1372/1000</f>
        <v>300</v>
      </c>
      <c r="W1302" s="9">
        <f>STATS1003B!W1372/1000</f>
        <v>0</v>
      </c>
      <c r="X1302" s="9">
        <f>STATS1003B!X1372/1000</f>
        <v>300</v>
      </c>
      <c r="Y1302" s="9">
        <f>STATS1003B!Y1372/1000</f>
        <v>0</v>
      </c>
      <c r="Z1302" s="9">
        <f>STATS1003B!Z1372/1000</f>
        <v>0</v>
      </c>
      <c r="AA1302" s="9">
        <f>STATS1003B!AA1372/1000</f>
        <v>300</v>
      </c>
      <c r="AB1302" s="9">
        <f>STATS1003B!AB1372/1000</f>
        <v>0</v>
      </c>
    </row>
    <row r="1303" spans="1:28" x14ac:dyDescent="0.35">
      <c r="A1303" s="36"/>
      <c r="B1303" s="8"/>
      <c r="C1303" s="7" t="s">
        <v>551</v>
      </c>
      <c r="D1303" s="8"/>
      <c r="E1303" s="9">
        <f>STATS1003B!E1373/1000</f>
        <v>387.14815000000004</v>
      </c>
      <c r="F1303" s="9">
        <f>STATS1003B!F1373/1000</f>
        <v>387.14815000000004</v>
      </c>
      <c r="G1303" s="9">
        <f>STATS1003B!G1373/1000</f>
        <v>0</v>
      </c>
      <c r="H1303" s="9">
        <f>STATS1003B!H1373/1000</f>
        <v>387.14815000000004</v>
      </c>
      <c r="I1303" s="9">
        <f>STATS1003B!I1373/1000</f>
        <v>0</v>
      </c>
      <c r="J1303" s="9">
        <f>STATS1003B!J1373/1000</f>
        <v>387.14815000000004</v>
      </c>
      <c r="K1303" s="9">
        <f>STATS1003B!K1373/1000</f>
        <v>0</v>
      </c>
      <c r="L1303" s="9">
        <f>STATS1003B!L1373/1000</f>
        <v>0</v>
      </c>
      <c r="M1303" s="9">
        <f>STATS1003B!M1373/1000</f>
        <v>387.14815000000004</v>
      </c>
      <c r="N1303" s="9">
        <f>STATS1003B!N1373/1000</f>
        <v>0</v>
      </c>
      <c r="O1303" s="9">
        <f>STATS1003B!O1373/1000</f>
        <v>0</v>
      </c>
      <c r="P1303" s="9">
        <f>STATS1003B!P1373/1000</f>
        <v>0</v>
      </c>
      <c r="Q1303" s="9">
        <f>STATS1003B!Q1373/1000</f>
        <v>387.14815000000004</v>
      </c>
      <c r="R1303" s="9">
        <f>STATS1003B!R1373/1000</f>
        <v>0</v>
      </c>
      <c r="S1303" s="9">
        <f>STATS1003B!S1373/1000</f>
        <v>0</v>
      </c>
      <c r="T1303" s="9">
        <f>STATS1003B!T1373/1000</f>
        <v>0</v>
      </c>
      <c r="U1303" s="9">
        <f>STATS1003B!U1373/1000</f>
        <v>0</v>
      </c>
      <c r="V1303" s="9">
        <f>STATS1003B!V1373/1000</f>
        <v>387.14815000000004</v>
      </c>
      <c r="W1303" s="9">
        <f>STATS1003B!W1373/1000</f>
        <v>0</v>
      </c>
      <c r="X1303" s="9">
        <f>STATS1003B!X1373/1000</f>
        <v>387.14815000000004</v>
      </c>
      <c r="Y1303" s="9">
        <f>STATS1003B!Y1373/1000</f>
        <v>0</v>
      </c>
      <c r="Z1303" s="9">
        <f>STATS1003B!Z1373/1000</f>
        <v>0</v>
      </c>
      <c r="AA1303" s="9">
        <f>STATS1003B!AA1373/1000</f>
        <v>387.14815000000004</v>
      </c>
      <c r="AB1303" s="9">
        <f>STATS1003B!AB1373/1000</f>
        <v>0</v>
      </c>
    </row>
    <row r="1304" spans="1:28" x14ac:dyDescent="0.35">
      <c r="A1304" s="36"/>
      <c r="B1304" s="8"/>
      <c r="C1304" s="7" t="s">
        <v>678</v>
      </c>
      <c r="D1304" s="8"/>
      <c r="E1304" s="9">
        <f>STATS1003B!E1374/1000</f>
        <v>5000</v>
      </c>
      <c r="F1304" s="9">
        <f>STATS1003B!F1374/1000</f>
        <v>5000</v>
      </c>
      <c r="G1304" s="9">
        <f>STATS1003B!G1374/1000</f>
        <v>0</v>
      </c>
      <c r="H1304" s="9">
        <f>STATS1003B!H1374/1000</f>
        <v>5000</v>
      </c>
      <c r="I1304" s="9">
        <f>STATS1003B!I1374/1000</f>
        <v>0</v>
      </c>
      <c r="J1304" s="9">
        <f>STATS1003B!J1374/1000</f>
        <v>5000</v>
      </c>
      <c r="K1304" s="9">
        <f>STATS1003B!K1374/1000</f>
        <v>0</v>
      </c>
      <c r="L1304" s="9">
        <f>STATS1003B!L1374/1000</f>
        <v>0</v>
      </c>
      <c r="M1304" s="9">
        <f>STATS1003B!M1374/1000</f>
        <v>5000</v>
      </c>
      <c r="N1304" s="9">
        <f>STATS1003B!N1374/1000</f>
        <v>0</v>
      </c>
      <c r="O1304" s="9">
        <f>STATS1003B!O1374/1000</f>
        <v>0</v>
      </c>
      <c r="P1304" s="9">
        <f>STATS1003B!P1374/1000</f>
        <v>0</v>
      </c>
      <c r="Q1304" s="9">
        <f>STATS1003B!Q1374/1000</f>
        <v>5000</v>
      </c>
      <c r="R1304" s="9">
        <f>STATS1003B!R1374/1000</f>
        <v>0</v>
      </c>
      <c r="S1304" s="9">
        <f>STATS1003B!S1374/1000</f>
        <v>0</v>
      </c>
      <c r="T1304" s="9">
        <f>STATS1003B!T1374/1000</f>
        <v>0</v>
      </c>
      <c r="U1304" s="9">
        <f>STATS1003B!U1374/1000</f>
        <v>0</v>
      </c>
      <c r="V1304" s="9">
        <f>STATS1003B!V1374/1000</f>
        <v>5000</v>
      </c>
      <c r="W1304" s="9">
        <f>STATS1003B!W1374/1000</f>
        <v>0</v>
      </c>
      <c r="X1304" s="9">
        <f>STATS1003B!X1374/1000</f>
        <v>5000</v>
      </c>
      <c r="Y1304" s="9">
        <f>STATS1003B!Y1374/1000</f>
        <v>0</v>
      </c>
      <c r="Z1304" s="9">
        <f>STATS1003B!Z1374/1000</f>
        <v>0</v>
      </c>
      <c r="AA1304" s="9">
        <f>STATS1003B!AA1374/1000</f>
        <v>5000</v>
      </c>
      <c r="AB1304" s="9">
        <f>STATS1003B!AB1374/1000</f>
        <v>0</v>
      </c>
    </row>
    <row r="1305" spans="1:28" x14ac:dyDescent="0.35">
      <c r="A1305" s="36"/>
      <c r="B1305" s="8"/>
      <c r="C1305" s="8"/>
      <c r="D1305" s="8"/>
      <c r="E1305" s="17" t="s">
        <v>29</v>
      </c>
      <c r="F1305" s="17" t="s">
        <v>29</v>
      </c>
      <c r="G1305" s="17" t="s">
        <v>29</v>
      </c>
      <c r="H1305" s="17" t="s">
        <v>29</v>
      </c>
      <c r="I1305" s="17" t="s">
        <v>29</v>
      </c>
      <c r="J1305" s="17" t="s">
        <v>29</v>
      </c>
      <c r="K1305" s="17" t="s">
        <v>29</v>
      </c>
      <c r="L1305" s="17" t="s">
        <v>29</v>
      </c>
      <c r="M1305" s="17" t="s">
        <v>29</v>
      </c>
      <c r="N1305" s="17" t="s">
        <v>29</v>
      </c>
      <c r="O1305" s="17" t="s">
        <v>29</v>
      </c>
      <c r="P1305" s="17" t="s">
        <v>29</v>
      </c>
      <c r="Q1305" s="17" t="s">
        <v>29</v>
      </c>
      <c r="R1305" s="17" t="s">
        <v>29</v>
      </c>
      <c r="S1305" s="17" t="s">
        <v>29</v>
      </c>
      <c r="T1305" s="17" t="s">
        <v>29</v>
      </c>
      <c r="U1305" s="17" t="s">
        <v>29</v>
      </c>
      <c r="V1305" s="17" t="s">
        <v>29</v>
      </c>
      <c r="W1305" s="17" t="s">
        <v>29</v>
      </c>
      <c r="X1305" s="17" t="s">
        <v>29</v>
      </c>
      <c r="Y1305" s="17" t="s">
        <v>29</v>
      </c>
      <c r="Z1305" s="17" t="s">
        <v>29</v>
      </c>
      <c r="AA1305" s="17" t="s">
        <v>29</v>
      </c>
      <c r="AB1305" s="17" t="s">
        <v>29</v>
      </c>
    </row>
    <row r="1306" spans="1:28" x14ac:dyDescent="0.35">
      <c r="A1306" s="36"/>
      <c r="B1306" s="8"/>
      <c r="C1306" s="8"/>
      <c r="D1306" s="8"/>
      <c r="E1306" s="9">
        <f t="shared" ref="E1306:Q1306" si="95">SUM(E1277:E1305)</f>
        <v>63012.170479999993</v>
      </c>
      <c r="F1306" s="9">
        <f t="shared" si="95"/>
        <v>57454.761019999991</v>
      </c>
      <c r="G1306" s="9">
        <f t="shared" si="95"/>
        <v>0</v>
      </c>
      <c r="H1306" s="9">
        <f t="shared" si="95"/>
        <v>57454.761019999991</v>
      </c>
      <c r="I1306" s="9">
        <f t="shared" si="95"/>
        <v>0</v>
      </c>
      <c r="J1306" s="9">
        <f t="shared" si="95"/>
        <v>57454.761019999991</v>
      </c>
      <c r="K1306" s="9">
        <f t="shared" si="95"/>
        <v>5242.45946</v>
      </c>
      <c r="L1306" s="9">
        <f t="shared" si="95"/>
        <v>0</v>
      </c>
      <c r="M1306" s="9">
        <f t="shared" si="95"/>
        <v>57454.761019999991</v>
      </c>
      <c r="N1306" s="9">
        <f t="shared" si="95"/>
        <v>5242.45946</v>
      </c>
      <c r="O1306" s="9">
        <f t="shared" si="95"/>
        <v>0</v>
      </c>
      <c r="P1306" s="9">
        <f t="shared" si="95"/>
        <v>5242.45946</v>
      </c>
      <c r="Q1306" s="9">
        <f t="shared" si="95"/>
        <v>56787.354419999996</v>
      </c>
      <c r="R1306" s="17"/>
      <c r="S1306" s="17"/>
      <c r="T1306" s="9">
        <f t="shared" ref="T1306:Z1306" si="96">SUM(T1277:T1305)</f>
        <v>0</v>
      </c>
      <c r="U1306" s="9">
        <f t="shared" si="96"/>
        <v>5242.45946</v>
      </c>
      <c r="V1306" s="9">
        <f t="shared" si="96"/>
        <v>62697.220479999996</v>
      </c>
      <c r="W1306" s="9">
        <f t="shared" si="96"/>
        <v>314.95</v>
      </c>
      <c r="X1306" s="9">
        <f t="shared" si="96"/>
        <v>62697.220479999996</v>
      </c>
      <c r="Y1306" s="9">
        <f t="shared" si="96"/>
        <v>0</v>
      </c>
      <c r="Z1306" s="9">
        <f t="shared" si="96"/>
        <v>314.95</v>
      </c>
      <c r="AA1306" s="9">
        <f>SUM(AA1277:AA1305)</f>
        <v>62697.220479999996</v>
      </c>
      <c r="AB1306" s="9">
        <f>SUM(AB1277:AB1305)</f>
        <v>314.95</v>
      </c>
    </row>
    <row r="1307" spans="1:28" x14ac:dyDescent="0.35">
      <c r="A1307" s="36"/>
      <c r="B1307" s="8"/>
      <c r="C1307" s="8"/>
      <c r="D1307" s="8"/>
      <c r="E1307" s="17" t="s">
        <v>29</v>
      </c>
      <c r="F1307" s="17" t="s">
        <v>29</v>
      </c>
      <c r="G1307" s="17" t="s">
        <v>29</v>
      </c>
      <c r="H1307" s="17" t="s">
        <v>29</v>
      </c>
      <c r="I1307" s="17" t="s">
        <v>29</v>
      </c>
      <c r="J1307" s="17" t="s">
        <v>29</v>
      </c>
      <c r="K1307" s="17" t="s">
        <v>29</v>
      </c>
      <c r="L1307" s="17" t="s">
        <v>29</v>
      </c>
      <c r="M1307" s="17" t="s">
        <v>29</v>
      </c>
      <c r="N1307" s="17" t="s">
        <v>29</v>
      </c>
      <c r="O1307" s="17" t="s">
        <v>29</v>
      </c>
      <c r="P1307" s="17" t="s">
        <v>29</v>
      </c>
      <c r="Q1307" s="17" t="s">
        <v>29</v>
      </c>
      <c r="R1307" s="17" t="s">
        <v>29</v>
      </c>
      <c r="S1307" s="17" t="s">
        <v>29</v>
      </c>
      <c r="T1307" s="17" t="s">
        <v>29</v>
      </c>
      <c r="U1307" s="17" t="s">
        <v>29</v>
      </c>
      <c r="V1307" s="17" t="s">
        <v>29</v>
      </c>
      <c r="W1307" s="17" t="s">
        <v>29</v>
      </c>
      <c r="X1307" s="17" t="s">
        <v>29</v>
      </c>
      <c r="Y1307" s="17" t="s">
        <v>29</v>
      </c>
      <c r="Z1307" s="17" t="s">
        <v>29</v>
      </c>
      <c r="AA1307" s="17" t="s">
        <v>29</v>
      </c>
      <c r="AB1307" s="17" t="s">
        <v>29</v>
      </c>
    </row>
    <row r="1308" spans="1:28" x14ac:dyDescent="0.35">
      <c r="A1308" s="38" t="s">
        <v>998</v>
      </c>
      <c r="B1308" s="7" t="s">
        <v>719</v>
      </c>
      <c r="C1308" s="8"/>
      <c r="D1308" s="8"/>
      <c r="E1308" s="8"/>
      <c r="F1308" s="8"/>
      <c r="G1308" s="8"/>
      <c r="H1308" s="8"/>
      <c r="I1308" s="8"/>
      <c r="J1308" s="8"/>
      <c r="K1308" s="8"/>
      <c r="L1308" s="8"/>
      <c r="M1308" s="8"/>
      <c r="N1308" s="8"/>
      <c r="O1308" s="8"/>
      <c r="P1308" s="8"/>
      <c r="Q1308" s="8"/>
      <c r="R1308" s="17"/>
      <c r="S1308" s="17"/>
      <c r="T1308" s="17"/>
      <c r="U1308" s="17"/>
      <c r="V1308" s="17"/>
      <c r="W1308" s="17"/>
      <c r="X1308" s="17"/>
      <c r="Y1308" s="17"/>
      <c r="Z1308" s="17"/>
    </row>
    <row r="1309" spans="1:28" x14ac:dyDescent="0.35">
      <c r="A1309" s="36"/>
      <c r="B1309" s="8"/>
      <c r="C1309" s="7" t="s">
        <v>720</v>
      </c>
      <c r="D1309" s="15" t="s">
        <v>78</v>
      </c>
      <c r="E1309" s="9">
        <f>STATS1003B!E1379/1000</f>
        <v>242.54361999999998</v>
      </c>
      <c r="F1309" s="9">
        <f>STATS1003B!F1379/1000</f>
        <v>84.6</v>
      </c>
      <c r="G1309" s="9">
        <f>STATS1003B!G1379/1000</f>
        <v>0</v>
      </c>
      <c r="H1309" s="9">
        <f>STATS1003B!H1379/1000</f>
        <v>84.6</v>
      </c>
      <c r="I1309" s="9">
        <f>STATS1003B!I1379/1000</f>
        <v>0</v>
      </c>
      <c r="J1309" s="9">
        <f>STATS1003B!J1379/1000</f>
        <v>84.6</v>
      </c>
      <c r="K1309" s="9">
        <f>STATS1003B!K1379/1000</f>
        <v>157.94361999999998</v>
      </c>
      <c r="L1309" s="9">
        <f>STATS1003B!L1379/1000</f>
        <v>0</v>
      </c>
      <c r="M1309" s="9">
        <f>STATS1003B!M1379/1000</f>
        <v>84.6</v>
      </c>
      <c r="N1309" s="9">
        <f>STATS1003B!N1379/1000</f>
        <v>157.94361999999998</v>
      </c>
      <c r="O1309" s="9">
        <f>STATS1003B!O1379/1000</f>
        <v>0</v>
      </c>
      <c r="P1309" s="9">
        <f>STATS1003B!P1379/1000</f>
        <v>157.94361999999998</v>
      </c>
      <c r="Q1309" s="9">
        <f>STATS1003B!Q1379/1000</f>
        <v>84.599999999999966</v>
      </c>
      <c r="R1309" s="9">
        <f>STATS1003B!R1379/1000</f>
        <v>0</v>
      </c>
      <c r="S1309" s="9">
        <f>STATS1003B!S1379/1000</f>
        <v>0</v>
      </c>
      <c r="T1309" s="9">
        <f>STATS1003B!T1379/1000</f>
        <v>0</v>
      </c>
      <c r="U1309" s="9">
        <f>STATS1003B!U1379/1000</f>
        <v>157.94361999999998</v>
      </c>
      <c r="V1309" s="9">
        <f>STATS1003B!V1379/1000</f>
        <v>242.54362</v>
      </c>
      <c r="W1309" s="9">
        <f>STATS1003B!W1379/1000</f>
        <v>0</v>
      </c>
      <c r="X1309" s="9">
        <f>STATS1003B!X1379/1000</f>
        <v>242.54362</v>
      </c>
      <c r="Y1309" s="9">
        <f>STATS1003B!Y1379/1000</f>
        <v>0</v>
      </c>
      <c r="Z1309" s="9">
        <f>STATS1003B!Z1379/1000</f>
        <v>0</v>
      </c>
      <c r="AA1309" s="9">
        <f>STATS1003B!AA1379/1000</f>
        <v>242.54362</v>
      </c>
      <c r="AB1309" s="9">
        <f>STATS1003B!AB1379/1000</f>
        <v>0</v>
      </c>
    </row>
    <row r="1310" spans="1:28" x14ac:dyDescent="0.35">
      <c r="A1310" s="36"/>
      <c r="B1310" s="8"/>
      <c r="C1310" s="7" t="s">
        <v>535</v>
      </c>
      <c r="D1310" s="15" t="s">
        <v>68</v>
      </c>
      <c r="E1310" s="9">
        <f>STATS1003B!E1380/1000</f>
        <v>743.09152999999981</v>
      </c>
      <c r="F1310" s="9">
        <f>STATS1003B!F1380/1000</f>
        <v>596.39244999999994</v>
      </c>
      <c r="G1310" s="9">
        <f>STATS1003B!G1380/1000</f>
        <v>0</v>
      </c>
      <c r="H1310" s="9">
        <f>STATS1003B!H1380/1000</f>
        <v>596.39244999999994</v>
      </c>
      <c r="I1310" s="9">
        <f>STATS1003B!I1380/1000</f>
        <v>0</v>
      </c>
      <c r="J1310" s="9">
        <f>STATS1003B!J1380/1000</f>
        <v>596.39244999999994</v>
      </c>
      <c r="K1310" s="9">
        <f>STATS1003B!K1380/1000</f>
        <v>146.69907999999998</v>
      </c>
      <c r="L1310" s="9">
        <f>STATS1003B!L1380/1000</f>
        <v>0</v>
      </c>
      <c r="M1310" s="9">
        <f>STATS1003B!M1380/1000</f>
        <v>596.39244999999994</v>
      </c>
      <c r="N1310" s="9">
        <f>STATS1003B!N1380/1000</f>
        <v>146.69907999999998</v>
      </c>
      <c r="O1310" s="9">
        <f>STATS1003B!O1380/1000</f>
        <v>0</v>
      </c>
      <c r="P1310" s="9">
        <f>STATS1003B!P1380/1000</f>
        <v>146.69907999999998</v>
      </c>
      <c r="Q1310" s="9">
        <f>STATS1003B!Q1380/1000</f>
        <v>596.39244999999983</v>
      </c>
      <c r="R1310" s="9">
        <f>STATS1003B!R1380/1000</f>
        <v>0</v>
      </c>
      <c r="S1310" s="9">
        <f>STATS1003B!S1380/1000</f>
        <v>0</v>
      </c>
      <c r="T1310" s="9">
        <f>STATS1003B!T1380/1000</f>
        <v>0</v>
      </c>
      <c r="U1310" s="9">
        <f>STATS1003B!U1380/1000</f>
        <v>146.69907999999998</v>
      </c>
      <c r="V1310" s="9">
        <f>STATS1003B!V1380/1000</f>
        <v>743.09152999999992</v>
      </c>
      <c r="W1310" s="9">
        <f>STATS1003B!W1380/1000</f>
        <v>0</v>
      </c>
      <c r="X1310" s="9">
        <f>STATS1003B!X1380/1000</f>
        <v>743.09152999999992</v>
      </c>
      <c r="Y1310" s="9">
        <f>STATS1003B!Y1380/1000</f>
        <v>0</v>
      </c>
      <c r="Z1310" s="9">
        <f>STATS1003B!Z1380/1000</f>
        <v>0</v>
      </c>
      <c r="AA1310" s="9">
        <f>STATS1003B!AA1380/1000</f>
        <v>743.09152999999992</v>
      </c>
      <c r="AB1310" s="9">
        <f>STATS1003B!AB1380/1000</f>
        <v>0</v>
      </c>
    </row>
    <row r="1311" spans="1:28" x14ac:dyDescent="0.35">
      <c r="A1311" s="36"/>
      <c r="B1311" s="8"/>
      <c r="C1311" s="7" t="s">
        <v>539</v>
      </c>
      <c r="D1311" s="15" t="s">
        <v>68</v>
      </c>
      <c r="E1311" s="9">
        <f>STATS1003B!E1381/1000</f>
        <v>4456.424</v>
      </c>
      <c r="F1311" s="9">
        <f>STATS1003B!F1381/1000</f>
        <v>0</v>
      </c>
      <c r="G1311" s="9">
        <f>STATS1003B!G1381/1000</f>
        <v>0</v>
      </c>
      <c r="H1311" s="9">
        <f>STATS1003B!H1381/1000</f>
        <v>0</v>
      </c>
      <c r="I1311" s="9">
        <f>STATS1003B!I1381/1000</f>
        <v>0</v>
      </c>
      <c r="J1311" s="9">
        <f>STATS1003B!J1381/1000</f>
        <v>0</v>
      </c>
      <c r="K1311" s="9">
        <f>STATS1003B!K1381/1000</f>
        <v>4456.424</v>
      </c>
      <c r="L1311" s="9">
        <f>STATS1003B!L1381/1000</f>
        <v>0</v>
      </c>
      <c r="M1311" s="9">
        <f>STATS1003B!M1381/1000</f>
        <v>0</v>
      </c>
      <c r="N1311" s="9">
        <f>STATS1003B!N1381/1000</f>
        <v>4456.424</v>
      </c>
      <c r="O1311" s="9">
        <f>STATS1003B!O1381/1000</f>
        <v>0</v>
      </c>
      <c r="P1311" s="9">
        <f>STATS1003B!P1381/1000</f>
        <v>4456.424</v>
      </c>
      <c r="Q1311" s="9">
        <f>STATS1003B!Q1381/1000</f>
        <v>0</v>
      </c>
      <c r="R1311" s="9">
        <f>STATS1003B!R1381/1000</f>
        <v>0</v>
      </c>
      <c r="S1311" s="9">
        <f>STATS1003B!S1381/1000</f>
        <v>0</v>
      </c>
      <c r="T1311" s="9">
        <f>STATS1003B!T1381/1000</f>
        <v>0</v>
      </c>
      <c r="U1311" s="9">
        <f>STATS1003B!U1381/1000</f>
        <v>4456.424</v>
      </c>
      <c r="V1311" s="9">
        <f>STATS1003B!V1381/1000</f>
        <v>4456.424</v>
      </c>
      <c r="W1311" s="9">
        <f>STATS1003B!W1381/1000</f>
        <v>0</v>
      </c>
      <c r="X1311" s="9">
        <f>STATS1003B!X1381/1000</f>
        <v>4456.424</v>
      </c>
      <c r="Y1311" s="9">
        <f>STATS1003B!Y1381/1000</f>
        <v>0</v>
      </c>
      <c r="Z1311" s="9">
        <f>STATS1003B!Z1381/1000</f>
        <v>0</v>
      </c>
      <c r="AA1311" s="9">
        <f>STATS1003B!AA1381/1000</f>
        <v>4456.424</v>
      </c>
      <c r="AB1311" s="9">
        <f>STATS1003B!AB1381/1000</f>
        <v>0</v>
      </c>
    </row>
    <row r="1312" spans="1:28" x14ac:dyDescent="0.35">
      <c r="A1312" s="36"/>
      <c r="B1312" s="8"/>
      <c r="C1312" s="7" t="s">
        <v>557</v>
      </c>
      <c r="D1312" s="15" t="s">
        <v>68</v>
      </c>
      <c r="E1312" s="9">
        <f>STATS1003B!E1382/1000</f>
        <v>2057.8486000000003</v>
      </c>
      <c r="F1312" s="9">
        <f>STATS1003B!F1382/1000</f>
        <v>1932.0930000000001</v>
      </c>
      <c r="G1312" s="9">
        <f>STATS1003B!G1382/1000</f>
        <v>0</v>
      </c>
      <c r="H1312" s="9">
        <f>STATS1003B!H1382/1000</f>
        <v>1932.0930000000001</v>
      </c>
      <c r="I1312" s="9">
        <f>STATS1003B!I1382/1000</f>
        <v>0</v>
      </c>
      <c r="J1312" s="9">
        <f>STATS1003B!J1382/1000</f>
        <v>1932.0930000000001</v>
      </c>
      <c r="K1312" s="9">
        <f>STATS1003B!K1382/1000</f>
        <v>125.7556</v>
      </c>
      <c r="L1312" s="9">
        <f>STATS1003B!L1382/1000</f>
        <v>0</v>
      </c>
      <c r="M1312" s="9">
        <f>STATS1003B!M1382/1000</f>
        <v>1932.0930000000001</v>
      </c>
      <c r="N1312" s="9">
        <f>STATS1003B!N1382/1000</f>
        <v>125.7556</v>
      </c>
      <c r="O1312" s="9">
        <f>STATS1003B!O1382/1000</f>
        <v>0</v>
      </c>
      <c r="P1312" s="9">
        <f>STATS1003B!P1382/1000</f>
        <v>125.7556</v>
      </c>
      <c r="Q1312" s="9">
        <f>STATS1003B!Q1382/1000</f>
        <v>1932.0930000000001</v>
      </c>
      <c r="R1312" s="9">
        <f>STATS1003B!R1382/1000</f>
        <v>0</v>
      </c>
      <c r="S1312" s="9">
        <f>STATS1003B!S1382/1000</f>
        <v>0</v>
      </c>
      <c r="T1312" s="9">
        <f>STATS1003B!T1382/1000</f>
        <v>0</v>
      </c>
      <c r="U1312" s="9">
        <f>STATS1003B!U1382/1000</f>
        <v>125.7556</v>
      </c>
      <c r="V1312" s="9">
        <f>STATS1003B!V1382/1000</f>
        <v>2057.8486000000003</v>
      </c>
      <c r="W1312" s="9">
        <f>STATS1003B!W1382/1000</f>
        <v>0</v>
      </c>
      <c r="X1312" s="9">
        <f>STATS1003B!X1382/1000</f>
        <v>2057.8486000000003</v>
      </c>
      <c r="Y1312" s="9">
        <f>STATS1003B!Y1382/1000</f>
        <v>0</v>
      </c>
      <c r="Z1312" s="9">
        <f>STATS1003B!Z1382/1000</f>
        <v>0</v>
      </c>
      <c r="AA1312" s="9">
        <f>STATS1003B!AA1382/1000</f>
        <v>2057.8486000000003</v>
      </c>
      <c r="AB1312" s="9">
        <f>STATS1003B!AB1382/1000</f>
        <v>0</v>
      </c>
    </row>
    <row r="1313" spans="1:28" x14ac:dyDescent="0.35">
      <c r="A1313" s="36"/>
      <c r="B1313" s="8"/>
      <c r="C1313" s="7" t="s">
        <v>535</v>
      </c>
      <c r="D1313" s="15" t="s">
        <v>54</v>
      </c>
      <c r="E1313" s="9">
        <f>STATS1003B!E1383/1000</f>
        <v>570</v>
      </c>
      <c r="F1313" s="9">
        <f>STATS1003B!F1383/1000</f>
        <v>570</v>
      </c>
      <c r="G1313" s="9">
        <f>STATS1003B!G1383/1000</f>
        <v>0</v>
      </c>
      <c r="H1313" s="9">
        <f>STATS1003B!H1383/1000</f>
        <v>570</v>
      </c>
      <c r="I1313" s="9">
        <f>STATS1003B!I1383/1000</f>
        <v>0</v>
      </c>
      <c r="J1313" s="9">
        <f>STATS1003B!J1383/1000</f>
        <v>570</v>
      </c>
      <c r="K1313" s="9">
        <f>STATS1003B!K1383/1000</f>
        <v>0</v>
      </c>
      <c r="L1313" s="9">
        <f>STATS1003B!L1383/1000</f>
        <v>0</v>
      </c>
      <c r="M1313" s="9">
        <f>STATS1003B!M1383/1000</f>
        <v>570</v>
      </c>
      <c r="N1313" s="9">
        <f>STATS1003B!N1383/1000</f>
        <v>0</v>
      </c>
      <c r="O1313" s="9">
        <f>STATS1003B!O1383/1000</f>
        <v>0</v>
      </c>
      <c r="P1313" s="9">
        <f>STATS1003B!P1383/1000</f>
        <v>0</v>
      </c>
      <c r="Q1313" s="9">
        <f>STATS1003B!Q1383/1000</f>
        <v>570</v>
      </c>
      <c r="R1313" s="9">
        <f>STATS1003B!R1383/1000</f>
        <v>0</v>
      </c>
      <c r="S1313" s="9">
        <f>STATS1003B!S1383/1000</f>
        <v>0</v>
      </c>
      <c r="T1313" s="9">
        <f>STATS1003B!T1383/1000</f>
        <v>0</v>
      </c>
      <c r="U1313" s="9">
        <f>STATS1003B!U1383/1000</f>
        <v>0</v>
      </c>
      <c r="V1313" s="9">
        <f>STATS1003B!V1383/1000</f>
        <v>570</v>
      </c>
      <c r="W1313" s="9">
        <f>STATS1003B!W1383/1000</f>
        <v>0</v>
      </c>
      <c r="X1313" s="9">
        <f>STATS1003B!X1383/1000</f>
        <v>570</v>
      </c>
      <c r="Y1313" s="9">
        <f>STATS1003B!Y1383/1000</f>
        <v>0</v>
      </c>
      <c r="Z1313" s="9">
        <f>STATS1003B!Z1383/1000</f>
        <v>0</v>
      </c>
      <c r="AA1313" s="9">
        <f>STATS1003B!AA1383/1000</f>
        <v>570</v>
      </c>
      <c r="AB1313" s="9">
        <f>STATS1003B!AB1383/1000</f>
        <v>0</v>
      </c>
    </row>
    <row r="1314" spans="1:28" x14ac:dyDescent="0.35">
      <c r="A1314" s="36"/>
      <c r="B1314" s="8"/>
      <c r="C1314" s="7" t="s">
        <v>545</v>
      </c>
      <c r="D1314" s="15" t="s">
        <v>54</v>
      </c>
      <c r="E1314" s="9">
        <f>STATS1003B!E1384/1000</f>
        <v>1767.77</v>
      </c>
      <c r="F1314" s="9">
        <f>STATS1003B!F1384/1000</f>
        <v>0</v>
      </c>
      <c r="G1314" s="9">
        <f>STATS1003B!G1384/1000</f>
        <v>0</v>
      </c>
      <c r="H1314" s="9">
        <f>STATS1003B!H1384/1000</f>
        <v>0</v>
      </c>
      <c r="I1314" s="9">
        <f>STATS1003B!I1384/1000</f>
        <v>0</v>
      </c>
      <c r="J1314" s="9">
        <f>STATS1003B!J1384/1000</f>
        <v>0</v>
      </c>
      <c r="K1314" s="9">
        <f>STATS1003B!K1384/1000</f>
        <v>1767.77</v>
      </c>
      <c r="L1314" s="9">
        <f>STATS1003B!L1384/1000</f>
        <v>0</v>
      </c>
      <c r="M1314" s="9">
        <f>STATS1003B!M1384/1000</f>
        <v>0</v>
      </c>
      <c r="N1314" s="9">
        <f>STATS1003B!N1384/1000</f>
        <v>1767.77</v>
      </c>
      <c r="O1314" s="9">
        <f>STATS1003B!O1384/1000</f>
        <v>0</v>
      </c>
      <c r="P1314" s="9">
        <f>STATS1003B!P1384/1000</f>
        <v>1767.77</v>
      </c>
      <c r="Q1314" s="9">
        <f>STATS1003B!Q1384/1000</f>
        <v>0</v>
      </c>
      <c r="R1314" s="9">
        <f>STATS1003B!R1384/1000</f>
        <v>0</v>
      </c>
      <c r="S1314" s="9">
        <f>STATS1003B!S1384/1000</f>
        <v>0</v>
      </c>
      <c r="T1314" s="9">
        <f>STATS1003B!T1384/1000</f>
        <v>0</v>
      </c>
      <c r="U1314" s="9">
        <f>STATS1003B!U1384/1000</f>
        <v>1767.77</v>
      </c>
      <c r="V1314" s="9">
        <f>STATS1003B!V1384/1000</f>
        <v>1767.77</v>
      </c>
      <c r="W1314" s="9">
        <f>STATS1003B!W1384/1000</f>
        <v>0</v>
      </c>
      <c r="X1314" s="9">
        <f>STATS1003B!X1384/1000</f>
        <v>1767.77</v>
      </c>
      <c r="Y1314" s="9">
        <f>STATS1003B!Y1384/1000</f>
        <v>0</v>
      </c>
      <c r="Z1314" s="9">
        <f>STATS1003B!Z1384/1000</f>
        <v>0</v>
      </c>
      <c r="AA1314" s="9">
        <f>STATS1003B!AA1384/1000</f>
        <v>1767.77</v>
      </c>
      <c r="AB1314" s="9">
        <f>STATS1003B!AB1384/1000</f>
        <v>0</v>
      </c>
    </row>
    <row r="1315" spans="1:28" x14ac:dyDescent="0.35">
      <c r="A1315" s="36"/>
      <c r="B1315" s="8"/>
      <c r="C1315" s="7" t="s">
        <v>535</v>
      </c>
      <c r="D1315" s="15" t="s">
        <v>85</v>
      </c>
      <c r="E1315" s="9">
        <f>STATS1003B!E1385/1000</f>
        <v>2000</v>
      </c>
      <c r="F1315" s="9">
        <f>STATS1003B!F1385/1000</f>
        <v>2000</v>
      </c>
      <c r="G1315" s="9">
        <f>STATS1003B!G1385/1000</f>
        <v>0</v>
      </c>
      <c r="H1315" s="9">
        <f>STATS1003B!H1385/1000</f>
        <v>2000</v>
      </c>
      <c r="I1315" s="9">
        <f>STATS1003B!I1385/1000</f>
        <v>0</v>
      </c>
      <c r="J1315" s="9">
        <f>STATS1003B!J1385/1000</f>
        <v>2000</v>
      </c>
      <c r="K1315" s="9">
        <f>STATS1003B!K1385/1000</f>
        <v>0</v>
      </c>
      <c r="L1315" s="9">
        <f>STATS1003B!L1385/1000</f>
        <v>0</v>
      </c>
      <c r="M1315" s="9">
        <f>STATS1003B!M1385/1000</f>
        <v>2000</v>
      </c>
      <c r="N1315" s="9">
        <f>STATS1003B!N1385/1000</f>
        <v>0</v>
      </c>
      <c r="O1315" s="9">
        <f>STATS1003B!O1385/1000</f>
        <v>0</v>
      </c>
      <c r="P1315" s="9">
        <f>STATS1003B!P1385/1000</f>
        <v>0</v>
      </c>
      <c r="Q1315" s="9">
        <f>STATS1003B!Q1385/1000</f>
        <v>2000</v>
      </c>
      <c r="R1315" s="9">
        <f>STATS1003B!R1385/1000</f>
        <v>0</v>
      </c>
      <c r="S1315" s="9">
        <f>STATS1003B!S1385/1000</f>
        <v>0</v>
      </c>
      <c r="T1315" s="9">
        <f>STATS1003B!T1385/1000</f>
        <v>0</v>
      </c>
      <c r="U1315" s="9">
        <f>STATS1003B!U1385/1000</f>
        <v>0</v>
      </c>
      <c r="V1315" s="9">
        <f>STATS1003B!V1385/1000</f>
        <v>2000</v>
      </c>
      <c r="W1315" s="9">
        <f>STATS1003B!W1385/1000</f>
        <v>0</v>
      </c>
      <c r="X1315" s="9">
        <f>STATS1003B!X1385/1000</f>
        <v>2000</v>
      </c>
      <c r="Y1315" s="9">
        <f>STATS1003B!Y1385/1000</f>
        <v>0</v>
      </c>
      <c r="Z1315" s="9">
        <f>STATS1003B!Z1385/1000</f>
        <v>0</v>
      </c>
      <c r="AA1315" s="9">
        <f>STATS1003B!AA1385/1000</f>
        <v>2000</v>
      </c>
      <c r="AB1315" s="9">
        <f>STATS1003B!AB1385/1000</f>
        <v>0</v>
      </c>
    </row>
    <row r="1316" spans="1:28" x14ac:dyDescent="0.35">
      <c r="A1316" s="36"/>
      <c r="B1316" s="8"/>
      <c r="C1316" s="7" t="s">
        <v>557</v>
      </c>
      <c r="D1316" s="15" t="s">
        <v>85</v>
      </c>
      <c r="E1316" s="9">
        <f>STATS1003B!E1386/1000</f>
        <v>2000</v>
      </c>
      <c r="F1316" s="9">
        <f>STATS1003B!F1386/1000</f>
        <v>2000</v>
      </c>
      <c r="G1316" s="9">
        <f>STATS1003B!G1386/1000</f>
        <v>0</v>
      </c>
      <c r="H1316" s="9">
        <f>STATS1003B!H1386/1000</f>
        <v>2000</v>
      </c>
      <c r="I1316" s="9">
        <f>STATS1003B!I1386/1000</f>
        <v>0</v>
      </c>
      <c r="J1316" s="9">
        <f>STATS1003B!J1386/1000</f>
        <v>2000</v>
      </c>
      <c r="K1316" s="9">
        <f>STATS1003B!K1386/1000</f>
        <v>0</v>
      </c>
      <c r="L1316" s="9">
        <f>STATS1003B!L1386/1000</f>
        <v>0</v>
      </c>
      <c r="M1316" s="9">
        <f>STATS1003B!M1386/1000</f>
        <v>2000</v>
      </c>
      <c r="N1316" s="9">
        <f>STATS1003B!N1386/1000</f>
        <v>0</v>
      </c>
      <c r="O1316" s="9">
        <f>STATS1003B!O1386/1000</f>
        <v>0</v>
      </c>
      <c r="P1316" s="9">
        <f>STATS1003B!P1386/1000</f>
        <v>0</v>
      </c>
      <c r="Q1316" s="9">
        <f>STATS1003B!Q1386/1000</f>
        <v>2000</v>
      </c>
      <c r="R1316" s="9">
        <f>STATS1003B!R1386/1000</f>
        <v>0</v>
      </c>
      <c r="S1316" s="9">
        <f>STATS1003B!S1386/1000</f>
        <v>0</v>
      </c>
      <c r="T1316" s="9">
        <f>STATS1003B!T1386/1000</f>
        <v>0</v>
      </c>
      <c r="U1316" s="9">
        <f>STATS1003B!U1386/1000</f>
        <v>0</v>
      </c>
      <c r="V1316" s="9">
        <f>STATS1003B!V1386/1000</f>
        <v>2000</v>
      </c>
      <c r="W1316" s="9">
        <f>STATS1003B!W1386/1000</f>
        <v>0</v>
      </c>
      <c r="X1316" s="9">
        <f>STATS1003B!X1386/1000</f>
        <v>2000</v>
      </c>
      <c r="Y1316" s="9">
        <f>STATS1003B!Y1386/1000</f>
        <v>0</v>
      </c>
      <c r="Z1316" s="9">
        <f>STATS1003B!Z1386/1000</f>
        <v>0</v>
      </c>
      <c r="AA1316" s="9">
        <f>STATS1003B!AA1386/1000</f>
        <v>2000</v>
      </c>
      <c r="AB1316" s="9">
        <f>STATS1003B!AB1386/1000</f>
        <v>0</v>
      </c>
    </row>
    <row r="1317" spans="1:28" x14ac:dyDescent="0.35">
      <c r="A1317" s="36"/>
      <c r="B1317" s="8"/>
      <c r="C1317" s="7" t="s">
        <v>566</v>
      </c>
      <c r="D1317" s="15" t="s">
        <v>128</v>
      </c>
      <c r="E1317" s="9">
        <f>STATS1003B!E1387/1000</f>
        <v>786</v>
      </c>
      <c r="F1317" s="9">
        <f>STATS1003B!F1387/1000</f>
        <v>786</v>
      </c>
      <c r="G1317" s="9">
        <f>STATS1003B!G1387/1000</f>
        <v>0</v>
      </c>
      <c r="H1317" s="9">
        <f>STATS1003B!H1387/1000</f>
        <v>786</v>
      </c>
      <c r="I1317" s="9">
        <f>STATS1003B!I1387/1000</f>
        <v>0</v>
      </c>
      <c r="J1317" s="9">
        <f>STATS1003B!J1387/1000</f>
        <v>786</v>
      </c>
      <c r="K1317" s="9">
        <f>STATS1003B!K1387/1000</f>
        <v>0</v>
      </c>
      <c r="L1317" s="9">
        <f>STATS1003B!L1387/1000</f>
        <v>0</v>
      </c>
      <c r="M1317" s="9">
        <f>STATS1003B!M1387/1000</f>
        <v>786</v>
      </c>
      <c r="N1317" s="9">
        <f>STATS1003B!N1387/1000</f>
        <v>0</v>
      </c>
      <c r="O1317" s="9">
        <f>STATS1003B!O1387/1000</f>
        <v>0</v>
      </c>
      <c r="P1317" s="9">
        <f>STATS1003B!P1387/1000</f>
        <v>0</v>
      </c>
      <c r="Q1317" s="9">
        <f>STATS1003B!Q1387/1000</f>
        <v>786</v>
      </c>
      <c r="R1317" s="9">
        <f>STATS1003B!R1387/1000</f>
        <v>0</v>
      </c>
      <c r="S1317" s="9">
        <f>STATS1003B!S1387/1000</f>
        <v>0</v>
      </c>
      <c r="T1317" s="9">
        <f>STATS1003B!T1387/1000</f>
        <v>0</v>
      </c>
      <c r="U1317" s="9">
        <f>STATS1003B!U1387/1000</f>
        <v>0</v>
      </c>
      <c r="V1317" s="9">
        <f>STATS1003B!V1387/1000</f>
        <v>786</v>
      </c>
      <c r="W1317" s="9">
        <f>STATS1003B!W1387/1000</f>
        <v>0</v>
      </c>
      <c r="X1317" s="9">
        <f>STATS1003B!X1387/1000</f>
        <v>786</v>
      </c>
      <c r="Y1317" s="9">
        <f>STATS1003B!Y1387/1000</f>
        <v>0</v>
      </c>
      <c r="Z1317" s="9">
        <f>STATS1003B!Z1387/1000</f>
        <v>0</v>
      </c>
      <c r="AA1317" s="9">
        <f>STATS1003B!AA1387/1000</f>
        <v>786</v>
      </c>
      <c r="AB1317" s="9">
        <f>STATS1003B!AB1387/1000</f>
        <v>0</v>
      </c>
    </row>
    <row r="1318" spans="1:28" x14ac:dyDescent="0.35">
      <c r="A1318" s="36"/>
      <c r="B1318" s="8"/>
      <c r="C1318" s="7" t="s">
        <v>535</v>
      </c>
      <c r="D1318" s="15" t="s">
        <v>88</v>
      </c>
      <c r="E1318" s="9">
        <f>STATS1003B!E1388/1000</f>
        <v>1694.1410000000001</v>
      </c>
      <c r="F1318" s="9">
        <f>STATS1003B!F1388/1000</f>
        <v>1694.1410000000001</v>
      </c>
      <c r="G1318" s="9">
        <f>STATS1003B!G1388/1000</f>
        <v>0</v>
      </c>
      <c r="H1318" s="9">
        <f>STATS1003B!H1388/1000</f>
        <v>1694.1410000000001</v>
      </c>
      <c r="I1318" s="9">
        <f>STATS1003B!I1388/1000</f>
        <v>0</v>
      </c>
      <c r="J1318" s="9">
        <f>STATS1003B!J1388/1000</f>
        <v>1694.1410000000001</v>
      </c>
      <c r="K1318" s="9">
        <f>STATS1003B!K1388/1000</f>
        <v>0</v>
      </c>
      <c r="L1318" s="9">
        <f>STATS1003B!L1388/1000</f>
        <v>0</v>
      </c>
      <c r="M1318" s="9">
        <f>STATS1003B!M1388/1000</f>
        <v>1694.1410000000001</v>
      </c>
      <c r="N1318" s="9">
        <f>STATS1003B!N1388/1000</f>
        <v>0</v>
      </c>
      <c r="O1318" s="9">
        <f>STATS1003B!O1388/1000</f>
        <v>0</v>
      </c>
      <c r="P1318" s="9">
        <f>STATS1003B!P1388/1000</f>
        <v>0</v>
      </c>
      <c r="Q1318" s="9">
        <f>STATS1003B!Q1388/1000</f>
        <v>1694.1410000000001</v>
      </c>
      <c r="R1318" s="9">
        <f>STATS1003B!R1388/1000</f>
        <v>0</v>
      </c>
      <c r="S1318" s="9">
        <f>STATS1003B!S1388/1000</f>
        <v>0</v>
      </c>
      <c r="T1318" s="9">
        <f>STATS1003B!T1388/1000</f>
        <v>0</v>
      </c>
      <c r="U1318" s="9">
        <f>STATS1003B!U1388/1000</f>
        <v>0</v>
      </c>
      <c r="V1318" s="9">
        <f>STATS1003B!V1388/1000</f>
        <v>1694.1410000000001</v>
      </c>
      <c r="W1318" s="9">
        <f>STATS1003B!W1388/1000</f>
        <v>0</v>
      </c>
      <c r="X1318" s="9">
        <f>STATS1003B!X1388/1000</f>
        <v>1694.1410000000001</v>
      </c>
      <c r="Y1318" s="9">
        <f>STATS1003B!Y1388/1000</f>
        <v>0</v>
      </c>
      <c r="Z1318" s="9">
        <f>STATS1003B!Z1388/1000</f>
        <v>0</v>
      </c>
      <c r="AA1318" s="9">
        <f>STATS1003B!AA1388/1000</f>
        <v>1694.1410000000001</v>
      </c>
      <c r="AB1318" s="9">
        <f>STATS1003B!AB1388/1000</f>
        <v>0</v>
      </c>
    </row>
    <row r="1319" spans="1:28" x14ac:dyDescent="0.35">
      <c r="A1319" s="36"/>
      <c r="B1319" s="8"/>
      <c r="C1319" s="7" t="s">
        <v>535</v>
      </c>
      <c r="D1319" s="15" t="s">
        <v>58</v>
      </c>
      <c r="E1319" s="9">
        <f>STATS1003B!E1389/1000</f>
        <v>4311.6510499999995</v>
      </c>
      <c r="F1319" s="9">
        <f>STATS1003B!F1389/1000</f>
        <v>4311.6510499999995</v>
      </c>
      <c r="G1319" s="9">
        <f>STATS1003B!G1389/1000</f>
        <v>0</v>
      </c>
      <c r="H1319" s="9">
        <f>STATS1003B!H1389/1000</f>
        <v>4311.6510499999995</v>
      </c>
      <c r="I1319" s="9">
        <f>STATS1003B!I1389/1000</f>
        <v>0</v>
      </c>
      <c r="J1319" s="9">
        <f>STATS1003B!J1389/1000</f>
        <v>4311.6510499999995</v>
      </c>
      <c r="K1319" s="9">
        <f>STATS1003B!K1389/1000</f>
        <v>0</v>
      </c>
      <c r="L1319" s="9">
        <f>STATS1003B!L1389/1000</f>
        <v>0</v>
      </c>
      <c r="M1319" s="9">
        <f>STATS1003B!M1389/1000</f>
        <v>4311.6510499999995</v>
      </c>
      <c r="N1319" s="9">
        <f>STATS1003B!N1389/1000</f>
        <v>0</v>
      </c>
      <c r="O1319" s="9">
        <f>STATS1003B!O1389/1000</f>
        <v>0</v>
      </c>
      <c r="P1319" s="9">
        <f>STATS1003B!P1389/1000</f>
        <v>0</v>
      </c>
      <c r="Q1319" s="9">
        <f>STATS1003B!Q1389/1000</f>
        <v>4311.6510499999995</v>
      </c>
      <c r="R1319" s="9">
        <f>STATS1003B!R1389/1000</f>
        <v>0</v>
      </c>
      <c r="S1319" s="9">
        <f>STATS1003B!S1389/1000</f>
        <v>0</v>
      </c>
      <c r="T1319" s="9">
        <f>STATS1003B!T1389/1000</f>
        <v>0</v>
      </c>
      <c r="U1319" s="9">
        <f>STATS1003B!U1389/1000</f>
        <v>0</v>
      </c>
      <c r="V1319" s="9">
        <f>STATS1003B!V1389/1000</f>
        <v>4311.6510499999995</v>
      </c>
      <c r="W1319" s="9">
        <f>STATS1003B!W1389/1000</f>
        <v>0</v>
      </c>
      <c r="X1319" s="9">
        <f>STATS1003B!X1389/1000</f>
        <v>4311.6510499999995</v>
      </c>
      <c r="Y1319" s="9">
        <f>STATS1003B!Y1389/1000</f>
        <v>0</v>
      </c>
      <c r="Z1319" s="9">
        <f>STATS1003B!Z1389/1000</f>
        <v>0</v>
      </c>
      <c r="AA1319" s="9">
        <f>STATS1003B!AA1389/1000</f>
        <v>4311.6510499999995</v>
      </c>
      <c r="AB1319" s="9">
        <f>STATS1003B!AB1389/1000</f>
        <v>0</v>
      </c>
    </row>
    <row r="1320" spans="1:28" x14ac:dyDescent="0.35">
      <c r="A1320" s="36"/>
      <c r="B1320" s="8"/>
      <c r="C1320" s="7" t="s">
        <v>721</v>
      </c>
      <c r="D1320" s="21" t="s">
        <v>60</v>
      </c>
      <c r="E1320" s="9">
        <f>STATS1003B!E1390/1000</f>
        <v>4300</v>
      </c>
      <c r="F1320" s="9">
        <f>STATS1003B!F1390/1000</f>
        <v>4300</v>
      </c>
      <c r="G1320" s="9">
        <f>STATS1003B!G1390/1000</f>
        <v>0</v>
      </c>
      <c r="H1320" s="9">
        <f>STATS1003B!H1390/1000</f>
        <v>4300</v>
      </c>
      <c r="I1320" s="9">
        <f>STATS1003B!I1390/1000</f>
        <v>0</v>
      </c>
      <c r="J1320" s="9">
        <f>STATS1003B!J1390/1000</f>
        <v>4300</v>
      </c>
      <c r="K1320" s="9">
        <f>STATS1003B!K1390/1000</f>
        <v>0</v>
      </c>
      <c r="L1320" s="9">
        <f>STATS1003B!L1390/1000</f>
        <v>0</v>
      </c>
      <c r="M1320" s="9">
        <f>STATS1003B!M1390/1000</f>
        <v>4300</v>
      </c>
      <c r="N1320" s="9">
        <f>STATS1003B!N1390/1000</f>
        <v>0</v>
      </c>
      <c r="O1320" s="9">
        <f>STATS1003B!O1390/1000</f>
        <v>0</v>
      </c>
      <c r="P1320" s="9">
        <f>STATS1003B!P1390/1000</f>
        <v>0</v>
      </c>
      <c r="Q1320" s="9">
        <f>STATS1003B!Q1390/1000</f>
        <v>4300</v>
      </c>
      <c r="R1320" s="9">
        <f>STATS1003B!R1390/1000</f>
        <v>0</v>
      </c>
      <c r="S1320" s="9">
        <f>STATS1003B!S1390/1000</f>
        <v>0</v>
      </c>
      <c r="T1320" s="9">
        <f>STATS1003B!T1390/1000</f>
        <v>0</v>
      </c>
      <c r="U1320" s="9">
        <f>STATS1003B!U1390/1000</f>
        <v>0</v>
      </c>
      <c r="V1320" s="9">
        <f>STATS1003B!V1390/1000</f>
        <v>4300</v>
      </c>
      <c r="W1320" s="9">
        <f>STATS1003B!W1390/1000</f>
        <v>0</v>
      </c>
      <c r="X1320" s="9">
        <f>STATS1003B!X1390/1000</f>
        <v>4300</v>
      </c>
      <c r="Y1320" s="9">
        <f>STATS1003B!Y1390/1000</f>
        <v>0</v>
      </c>
      <c r="Z1320" s="9">
        <f>STATS1003B!Z1390/1000</f>
        <v>0</v>
      </c>
      <c r="AA1320" s="9">
        <f>STATS1003B!AA1390/1000</f>
        <v>4300</v>
      </c>
      <c r="AB1320" s="9">
        <f>STATS1003B!AB1390/1000</f>
        <v>0</v>
      </c>
    </row>
    <row r="1321" spans="1:28" x14ac:dyDescent="0.35">
      <c r="A1321" s="36"/>
      <c r="B1321" s="8"/>
      <c r="C1321" s="7" t="s">
        <v>535</v>
      </c>
      <c r="D1321" s="21" t="s">
        <v>60</v>
      </c>
      <c r="E1321" s="9">
        <f>STATS1003B!E1391/1000</f>
        <v>2113.15</v>
      </c>
      <c r="F1321" s="9">
        <f>STATS1003B!F1391/1000</f>
        <v>2113.15</v>
      </c>
      <c r="G1321" s="9">
        <f>STATS1003B!G1391/1000</f>
        <v>0</v>
      </c>
      <c r="H1321" s="9">
        <f>STATS1003B!H1391/1000</f>
        <v>2113.15</v>
      </c>
      <c r="I1321" s="9">
        <f>STATS1003B!I1391/1000</f>
        <v>0</v>
      </c>
      <c r="J1321" s="9">
        <f>STATS1003B!J1391/1000</f>
        <v>2113.15</v>
      </c>
      <c r="K1321" s="9">
        <f>STATS1003B!K1391/1000</f>
        <v>0</v>
      </c>
      <c r="L1321" s="9">
        <f>STATS1003B!L1391/1000</f>
        <v>0</v>
      </c>
      <c r="M1321" s="9">
        <f>STATS1003B!M1391/1000</f>
        <v>2113.15</v>
      </c>
      <c r="N1321" s="9">
        <f>STATS1003B!N1391/1000</f>
        <v>0</v>
      </c>
      <c r="O1321" s="9">
        <f>STATS1003B!O1391/1000</f>
        <v>0</v>
      </c>
      <c r="P1321" s="9">
        <f>STATS1003B!P1391/1000</f>
        <v>0</v>
      </c>
      <c r="Q1321" s="9">
        <f>STATS1003B!Q1391/1000</f>
        <v>2113.15</v>
      </c>
      <c r="R1321" s="9">
        <f>STATS1003B!R1391/1000</f>
        <v>0</v>
      </c>
      <c r="S1321" s="9">
        <f>STATS1003B!S1391/1000</f>
        <v>0</v>
      </c>
      <c r="T1321" s="9">
        <f>STATS1003B!T1391/1000</f>
        <v>0</v>
      </c>
      <c r="U1321" s="9">
        <f>STATS1003B!U1391/1000</f>
        <v>0</v>
      </c>
      <c r="V1321" s="9">
        <f>STATS1003B!V1391/1000</f>
        <v>2113.15</v>
      </c>
      <c r="W1321" s="9">
        <f>STATS1003B!W1391/1000</f>
        <v>0</v>
      </c>
      <c r="X1321" s="9">
        <f>STATS1003B!X1391/1000</f>
        <v>2113.15</v>
      </c>
      <c r="Y1321" s="9">
        <f>STATS1003B!Y1391/1000</f>
        <v>0</v>
      </c>
      <c r="Z1321" s="9">
        <f>STATS1003B!Z1391/1000</f>
        <v>0</v>
      </c>
      <c r="AA1321" s="9">
        <f>STATS1003B!AA1391/1000</f>
        <v>2113.15</v>
      </c>
      <c r="AB1321" s="9">
        <f>STATS1003B!AB1391/1000</f>
        <v>0</v>
      </c>
    </row>
    <row r="1322" spans="1:28" x14ac:dyDescent="0.35">
      <c r="A1322" s="36"/>
      <c r="B1322" s="8"/>
      <c r="C1322" s="7" t="s">
        <v>535</v>
      </c>
      <c r="D1322" s="21" t="s">
        <v>73</v>
      </c>
      <c r="E1322" s="9">
        <f>STATS1003B!E1392/1000</f>
        <v>1887.7744</v>
      </c>
      <c r="F1322" s="9">
        <f>STATS1003B!F1392/1000</f>
        <v>1887.7744</v>
      </c>
      <c r="G1322" s="9">
        <f>STATS1003B!G1392/1000</f>
        <v>0</v>
      </c>
      <c r="H1322" s="9">
        <f>STATS1003B!H1392/1000</f>
        <v>1887.7744</v>
      </c>
      <c r="I1322" s="9">
        <f>STATS1003B!I1392/1000</f>
        <v>0</v>
      </c>
      <c r="J1322" s="9">
        <f>STATS1003B!J1392/1000</f>
        <v>1887.7744</v>
      </c>
      <c r="K1322" s="9">
        <f>STATS1003B!K1392/1000</f>
        <v>0</v>
      </c>
      <c r="L1322" s="9">
        <f>STATS1003B!L1392/1000</f>
        <v>0</v>
      </c>
      <c r="M1322" s="9">
        <f>STATS1003B!M1392/1000</f>
        <v>1887.7744</v>
      </c>
      <c r="N1322" s="9">
        <f>STATS1003B!N1392/1000</f>
        <v>0</v>
      </c>
      <c r="O1322" s="9">
        <f>STATS1003B!O1392/1000</f>
        <v>0</v>
      </c>
      <c r="P1322" s="9">
        <f>STATS1003B!P1392/1000</f>
        <v>0</v>
      </c>
      <c r="Q1322" s="9">
        <f>STATS1003B!Q1392/1000</f>
        <v>1887.7744</v>
      </c>
      <c r="R1322" s="9">
        <f>STATS1003B!R1392/1000</f>
        <v>0</v>
      </c>
      <c r="S1322" s="9">
        <f>STATS1003B!S1392/1000</f>
        <v>0</v>
      </c>
      <c r="T1322" s="9">
        <f>STATS1003B!T1392/1000</f>
        <v>0</v>
      </c>
      <c r="U1322" s="9">
        <f>STATS1003B!U1392/1000</f>
        <v>0</v>
      </c>
      <c r="V1322" s="9">
        <f>STATS1003B!V1392/1000</f>
        <v>1887.7744</v>
      </c>
      <c r="W1322" s="9">
        <f>STATS1003B!W1392/1000</f>
        <v>0</v>
      </c>
      <c r="X1322" s="9">
        <f>STATS1003B!X1392/1000</f>
        <v>1887.7744</v>
      </c>
      <c r="Y1322" s="9">
        <f>STATS1003B!Y1392/1000</f>
        <v>0</v>
      </c>
      <c r="Z1322" s="9">
        <f>STATS1003B!Z1392/1000</f>
        <v>0</v>
      </c>
      <c r="AA1322" s="9">
        <f>STATS1003B!AA1392/1000</f>
        <v>1887.7744</v>
      </c>
      <c r="AB1322" s="9">
        <f>STATS1003B!AB1392/1000</f>
        <v>0</v>
      </c>
    </row>
    <row r="1323" spans="1:28" x14ac:dyDescent="0.35">
      <c r="A1323" s="36"/>
      <c r="B1323" s="8"/>
      <c r="C1323" s="14" t="s">
        <v>721</v>
      </c>
      <c r="D1323" s="21" t="s">
        <v>73</v>
      </c>
      <c r="E1323" s="9">
        <f>STATS1003B!E1393/1000</f>
        <v>4750</v>
      </c>
      <c r="F1323" s="9">
        <f>STATS1003B!F1393/1000</f>
        <v>4750</v>
      </c>
      <c r="G1323" s="9">
        <f>STATS1003B!G1393/1000</f>
        <v>0</v>
      </c>
      <c r="H1323" s="9">
        <f>STATS1003B!H1393/1000</f>
        <v>4750</v>
      </c>
      <c r="I1323" s="9">
        <f>STATS1003B!I1393/1000</f>
        <v>0</v>
      </c>
      <c r="J1323" s="9">
        <f>STATS1003B!J1393/1000</f>
        <v>4750</v>
      </c>
      <c r="K1323" s="9">
        <f>STATS1003B!K1393/1000</f>
        <v>0</v>
      </c>
      <c r="L1323" s="9">
        <f>STATS1003B!L1393/1000</f>
        <v>0</v>
      </c>
      <c r="M1323" s="9">
        <f>STATS1003B!M1393/1000</f>
        <v>4750</v>
      </c>
      <c r="N1323" s="9">
        <f>STATS1003B!N1393/1000</f>
        <v>0</v>
      </c>
      <c r="O1323" s="9">
        <f>STATS1003B!O1393/1000</f>
        <v>0</v>
      </c>
      <c r="P1323" s="9">
        <f>STATS1003B!P1393/1000</f>
        <v>0</v>
      </c>
      <c r="Q1323" s="9">
        <f>STATS1003B!Q1393/1000</f>
        <v>4750</v>
      </c>
      <c r="R1323" s="9">
        <f>STATS1003B!R1393/1000</f>
        <v>0</v>
      </c>
      <c r="S1323" s="9">
        <f>STATS1003B!S1393/1000</f>
        <v>0</v>
      </c>
      <c r="T1323" s="9">
        <f>STATS1003B!T1393/1000</f>
        <v>0</v>
      </c>
      <c r="U1323" s="9">
        <f>STATS1003B!U1393/1000</f>
        <v>0</v>
      </c>
      <c r="V1323" s="9">
        <f>STATS1003B!V1393/1000</f>
        <v>4750</v>
      </c>
      <c r="W1323" s="9">
        <f>STATS1003B!W1393/1000</f>
        <v>0</v>
      </c>
      <c r="X1323" s="9">
        <f>STATS1003B!X1393/1000</f>
        <v>4750</v>
      </c>
      <c r="Y1323" s="9">
        <f>STATS1003B!Y1393/1000</f>
        <v>0</v>
      </c>
      <c r="Z1323" s="9">
        <f>STATS1003B!Z1393/1000</f>
        <v>0</v>
      </c>
      <c r="AA1323" s="9">
        <f>STATS1003B!AA1393/1000</f>
        <v>4750</v>
      </c>
      <c r="AB1323" s="9">
        <f>STATS1003B!AB1393/1000</f>
        <v>0</v>
      </c>
    </row>
    <row r="1324" spans="1:28" x14ac:dyDescent="0.35">
      <c r="A1324" s="36"/>
      <c r="B1324" s="8"/>
      <c r="C1324" s="14" t="s">
        <v>535</v>
      </c>
      <c r="D1324" s="21" t="s">
        <v>61</v>
      </c>
      <c r="E1324" s="9">
        <f>STATS1003B!E1394/1000</f>
        <v>2438</v>
      </c>
      <c r="F1324" s="9">
        <f>STATS1003B!F1394/1000</f>
        <v>2438</v>
      </c>
      <c r="G1324" s="9">
        <f>STATS1003B!G1394/1000</f>
        <v>0</v>
      </c>
      <c r="H1324" s="9">
        <f>STATS1003B!H1394/1000</f>
        <v>2438</v>
      </c>
      <c r="I1324" s="9">
        <f>STATS1003B!I1394/1000</f>
        <v>0</v>
      </c>
      <c r="J1324" s="9">
        <f>STATS1003B!J1394/1000</f>
        <v>2438</v>
      </c>
      <c r="K1324" s="9">
        <f>STATS1003B!K1394/1000</f>
        <v>0</v>
      </c>
      <c r="L1324" s="9">
        <f>STATS1003B!L1394/1000</f>
        <v>0</v>
      </c>
      <c r="M1324" s="9">
        <f>STATS1003B!M1394/1000</f>
        <v>2438</v>
      </c>
      <c r="N1324" s="9">
        <f>STATS1003B!N1394/1000</f>
        <v>0</v>
      </c>
      <c r="O1324" s="9">
        <f>STATS1003B!O1394/1000</f>
        <v>0</v>
      </c>
      <c r="P1324" s="9">
        <f>STATS1003B!P1394/1000</f>
        <v>0</v>
      </c>
      <c r="Q1324" s="9">
        <f>STATS1003B!Q1394/1000</f>
        <v>2438</v>
      </c>
      <c r="R1324" s="9">
        <f>STATS1003B!R1394/1000</f>
        <v>0</v>
      </c>
      <c r="S1324" s="9">
        <f>STATS1003B!S1394/1000</f>
        <v>0</v>
      </c>
      <c r="T1324" s="9">
        <f>STATS1003B!T1394/1000</f>
        <v>0</v>
      </c>
      <c r="U1324" s="9">
        <f>STATS1003B!U1394/1000</f>
        <v>0</v>
      </c>
      <c r="V1324" s="9">
        <f>STATS1003B!V1394/1000</f>
        <v>2438</v>
      </c>
      <c r="W1324" s="9">
        <f>STATS1003B!W1394/1000</f>
        <v>0</v>
      </c>
      <c r="X1324" s="9">
        <f>STATS1003B!X1394/1000</f>
        <v>2438</v>
      </c>
      <c r="Y1324" s="9">
        <f>STATS1003B!Y1394/1000</f>
        <v>0</v>
      </c>
      <c r="Z1324" s="9">
        <f>STATS1003B!Z1394/1000</f>
        <v>0</v>
      </c>
      <c r="AA1324" s="9">
        <f>STATS1003B!AA1394/1000</f>
        <v>2438</v>
      </c>
      <c r="AB1324" s="9">
        <f>STATS1003B!AB1394/1000</f>
        <v>0</v>
      </c>
    </row>
    <row r="1325" spans="1:28" x14ac:dyDescent="0.35">
      <c r="A1325" s="36"/>
      <c r="B1325" s="8"/>
      <c r="C1325" s="14" t="s">
        <v>1140</v>
      </c>
      <c r="D1325" s="24" t="s">
        <v>1126</v>
      </c>
      <c r="E1325" s="9">
        <f>STATS1003B!E1395/1000</f>
        <v>500</v>
      </c>
      <c r="F1325" s="9">
        <f>STATS1003B!F1395/1000</f>
        <v>500</v>
      </c>
      <c r="G1325" s="9">
        <f>STATS1003B!G1395/1000</f>
        <v>0</v>
      </c>
      <c r="H1325" s="9">
        <f>STATS1003B!H1395/1000</f>
        <v>500</v>
      </c>
      <c r="I1325" s="9">
        <f>STATS1003B!I1395/1000</f>
        <v>0</v>
      </c>
      <c r="J1325" s="9">
        <f>STATS1003B!J1395/1000</f>
        <v>500</v>
      </c>
      <c r="K1325" s="9">
        <f>STATS1003B!K1395/1000</f>
        <v>0</v>
      </c>
      <c r="L1325" s="9">
        <f>STATS1003B!L1395/1000</f>
        <v>0</v>
      </c>
      <c r="M1325" s="9">
        <f>STATS1003B!M1395/1000</f>
        <v>500</v>
      </c>
      <c r="N1325" s="9">
        <f>STATS1003B!N1395/1000</f>
        <v>0</v>
      </c>
      <c r="O1325" s="9">
        <f>STATS1003B!O1395/1000</f>
        <v>0</v>
      </c>
      <c r="P1325" s="9">
        <f>STATS1003B!P1395/1000</f>
        <v>0</v>
      </c>
      <c r="Q1325" s="9">
        <f>STATS1003B!Q1395/1000</f>
        <v>500</v>
      </c>
      <c r="R1325" s="9">
        <f>STATS1003B!R1395/1000</f>
        <v>0</v>
      </c>
      <c r="S1325" s="9">
        <f>STATS1003B!S1395/1000</f>
        <v>0</v>
      </c>
      <c r="T1325" s="9">
        <f>STATS1003B!T1395/1000</f>
        <v>0</v>
      </c>
      <c r="U1325" s="9">
        <f>STATS1003B!U1395/1000</f>
        <v>0</v>
      </c>
      <c r="V1325" s="9">
        <f>STATS1003B!V1395/1000</f>
        <v>500</v>
      </c>
      <c r="W1325" s="9">
        <f>STATS1003B!W1395/1000</f>
        <v>0</v>
      </c>
      <c r="X1325" s="9">
        <f>STATS1003B!X1395/1000</f>
        <v>500</v>
      </c>
      <c r="Y1325" s="9">
        <f>STATS1003B!Y1395/1000</f>
        <v>0</v>
      </c>
      <c r="Z1325" s="9">
        <f>STATS1003B!Z1395/1000</f>
        <v>0</v>
      </c>
      <c r="AA1325" s="9">
        <f>STATS1003B!AA1395/1000</f>
        <v>500</v>
      </c>
      <c r="AB1325" s="9">
        <f>STATS1003B!AB1395/1000</f>
        <v>0</v>
      </c>
    </row>
    <row r="1326" spans="1:28" x14ac:dyDescent="0.35">
      <c r="A1326" s="36"/>
      <c r="B1326" s="8"/>
      <c r="C1326" s="14" t="s">
        <v>933</v>
      </c>
      <c r="D1326" s="24" t="s">
        <v>1072</v>
      </c>
      <c r="E1326" s="9">
        <f>STATS1003B!E1396/1000</f>
        <v>1172</v>
      </c>
      <c r="F1326" s="9">
        <f>STATS1003B!F1396/1000</f>
        <v>1172</v>
      </c>
      <c r="G1326" s="9">
        <f>STATS1003B!G1396/1000</f>
        <v>0</v>
      </c>
      <c r="H1326" s="9">
        <f>STATS1003B!H1396/1000</f>
        <v>1172</v>
      </c>
      <c r="I1326" s="9">
        <f>STATS1003B!I1396/1000</f>
        <v>0</v>
      </c>
      <c r="J1326" s="9">
        <f>STATS1003B!J1396/1000</f>
        <v>1172</v>
      </c>
      <c r="K1326" s="9">
        <f>STATS1003B!K1396/1000</f>
        <v>0</v>
      </c>
      <c r="L1326" s="9">
        <f>STATS1003B!L1396/1000</f>
        <v>0</v>
      </c>
      <c r="M1326" s="9">
        <f>STATS1003B!M1396/1000</f>
        <v>1172</v>
      </c>
      <c r="N1326" s="9">
        <f>STATS1003B!N1396/1000</f>
        <v>0</v>
      </c>
      <c r="O1326" s="9">
        <f>STATS1003B!O1396/1000</f>
        <v>0</v>
      </c>
      <c r="P1326" s="9">
        <f>STATS1003B!P1396/1000</f>
        <v>0</v>
      </c>
      <c r="Q1326" s="9">
        <f>STATS1003B!Q1396/1000</f>
        <v>0</v>
      </c>
      <c r="R1326" s="9">
        <f>STATS1003B!R1396/1000</f>
        <v>0</v>
      </c>
      <c r="S1326" s="9">
        <f>STATS1003B!S1396/1000</f>
        <v>0</v>
      </c>
      <c r="T1326" s="9">
        <f>STATS1003B!T1396/1000</f>
        <v>0</v>
      </c>
      <c r="U1326" s="9">
        <f>STATS1003B!U1396/1000</f>
        <v>0</v>
      </c>
      <c r="V1326" s="9">
        <f>STATS1003B!V1396/1000</f>
        <v>1172</v>
      </c>
      <c r="W1326" s="9">
        <f>STATS1003B!W1396/1000</f>
        <v>0</v>
      </c>
      <c r="X1326" s="9">
        <f>STATS1003B!X1396/1000</f>
        <v>1172</v>
      </c>
      <c r="Y1326" s="9">
        <f>STATS1003B!Y1396/1000</f>
        <v>0</v>
      </c>
      <c r="Z1326" s="9">
        <f>STATS1003B!Z1396/1000</f>
        <v>0</v>
      </c>
      <c r="AA1326" s="9">
        <f>STATS1003B!AA1396/1000</f>
        <v>1172</v>
      </c>
      <c r="AB1326" s="9">
        <f>STATS1003B!AB1396/1000</f>
        <v>0</v>
      </c>
    </row>
    <row r="1327" spans="1:28" x14ac:dyDescent="0.35">
      <c r="A1327" s="36"/>
      <c r="B1327" s="8"/>
      <c r="C1327" s="7" t="s">
        <v>550</v>
      </c>
      <c r="D1327" s="8"/>
      <c r="E1327" s="9">
        <f>STATS1003B!E1398/1000</f>
        <v>742.29499999999996</v>
      </c>
      <c r="F1327" s="9">
        <f>STATS1003B!F1398/1000</f>
        <v>742.29499999999996</v>
      </c>
      <c r="G1327" s="9">
        <f>STATS1003B!G1398/1000</f>
        <v>0</v>
      </c>
      <c r="H1327" s="9">
        <f>STATS1003B!H1398/1000</f>
        <v>742.29499999999996</v>
      </c>
      <c r="I1327" s="9">
        <f>STATS1003B!I1398/1000</f>
        <v>0</v>
      </c>
      <c r="J1327" s="9">
        <f>STATS1003B!J1398/1000</f>
        <v>742.29499999999996</v>
      </c>
      <c r="K1327" s="9">
        <f>STATS1003B!K1398/1000</f>
        <v>0</v>
      </c>
      <c r="L1327" s="9">
        <f>STATS1003B!L1398/1000</f>
        <v>0</v>
      </c>
      <c r="M1327" s="9">
        <f>STATS1003B!M1398/1000</f>
        <v>742.29499999999996</v>
      </c>
      <c r="N1327" s="9">
        <f>STATS1003B!N1398/1000</f>
        <v>0</v>
      </c>
      <c r="O1327" s="9">
        <f>STATS1003B!O1398/1000</f>
        <v>0</v>
      </c>
      <c r="P1327" s="9">
        <f>STATS1003B!P1398/1000</f>
        <v>0</v>
      </c>
      <c r="Q1327" s="9">
        <f>STATS1003B!Q1398/1000</f>
        <v>742.29499999999996</v>
      </c>
      <c r="R1327" s="9">
        <f>STATS1003B!R1398/1000</f>
        <v>0</v>
      </c>
      <c r="S1327" s="9">
        <f>STATS1003B!S1398/1000</f>
        <v>0</v>
      </c>
      <c r="T1327" s="9">
        <f>STATS1003B!T1398/1000</f>
        <v>0</v>
      </c>
      <c r="U1327" s="9">
        <f>STATS1003B!U1398/1000</f>
        <v>0</v>
      </c>
      <c r="V1327" s="9">
        <f>STATS1003B!V1398/1000</f>
        <v>742.29499999999996</v>
      </c>
      <c r="W1327" s="9">
        <f>STATS1003B!W1398/1000</f>
        <v>0</v>
      </c>
      <c r="X1327" s="9">
        <f>STATS1003B!X1398/1000</f>
        <v>742.29499999999996</v>
      </c>
      <c r="Y1327" s="9">
        <f>STATS1003B!Y1398/1000</f>
        <v>0</v>
      </c>
      <c r="Z1327" s="9">
        <f>STATS1003B!Z1398/1000</f>
        <v>0</v>
      </c>
      <c r="AA1327" s="9">
        <f>STATS1003B!AA1398/1000</f>
        <v>742.29499999999996</v>
      </c>
      <c r="AB1327" s="9">
        <f>STATS1003B!AB1398/1000</f>
        <v>0</v>
      </c>
    </row>
    <row r="1328" spans="1:28" x14ac:dyDescent="0.35">
      <c r="A1328" s="36"/>
      <c r="B1328" s="8"/>
      <c r="C1328" s="7" t="s">
        <v>702</v>
      </c>
      <c r="D1328" s="8"/>
      <c r="E1328" s="9">
        <f>STATS1003B!E1399/1000</f>
        <v>300</v>
      </c>
      <c r="F1328" s="9">
        <f>STATS1003B!F1399/1000</f>
        <v>0</v>
      </c>
      <c r="G1328" s="9">
        <f>STATS1003B!G1399/1000</f>
        <v>0</v>
      </c>
      <c r="H1328" s="9">
        <f>STATS1003B!H1399/1000</f>
        <v>0</v>
      </c>
      <c r="I1328" s="9">
        <f>STATS1003B!I1399/1000</f>
        <v>0</v>
      </c>
      <c r="J1328" s="9">
        <f>STATS1003B!J1399/1000</f>
        <v>0</v>
      </c>
      <c r="K1328" s="9">
        <f>STATS1003B!K1399/1000</f>
        <v>300</v>
      </c>
      <c r="L1328" s="9">
        <f>STATS1003B!L1399/1000</f>
        <v>0</v>
      </c>
      <c r="M1328" s="9">
        <f>STATS1003B!M1399/1000</f>
        <v>0</v>
      </c>
      <c r="N1328" s="9">
        <f>STATS1003B!N1399/1000</f>
        <v>300</v>
      </c>
      <c r="O1328" s="9">
        <f>STATS1003B!O1399/1000</f>
        <v>0</v>
      </c>
      <c r="P1328" s="9">
        <f>STATS1003B!P1399/1000</f>
        <v>300</v>
      </c>
      <c r="Q1328" s="9">
        <f>STATS1003B!Q1399/1000</f>
        <v>0</v>
      </c>
      <c r="R1328" s="9">
        <f>STATS1003B!R1399/1000</f>
        <v>0</v>
      </c>
      <c r="S1328" s="9">
        <f>STATS1003B!S1399/1000</f>
        <v>0</v>
      </c>
      <c r="T1328" s="9">
        <f>STATS1003B!T1399/1000</f>
        <v>0</v>
      </c>
      <c r="U1328" s="9">
        <f>STATS1003B!U1399/1000</f>
        <v>300</v>
      </c>
      <c r="V1328" s="9">
        <f>STATS1003B!V1399/1000</f>
        <v>300</v>
      </c>
      <c r="W1328" s="9">
        <f>STATS1003B!W1399/1000</f>
        <v>0</v>
      </c>
      <c r="X1328" s="9">
        <f>STATS1003B!X1399/1000</f>
        <v>300</v>
      </c>
      <c r="Y1328" s="9">
        <f>STATS1003B!Y1399/1000</f>
        <v>0</v>
      </c>
      <c r="Z1328" s="9">
        <f>STATS1003B!Z1399/1000</f>
        <v>0</v>
      </c>
      <c r="AA1328" s="9">
        <f>STATS1003B!AA1399/1000</f>
        <v>300</v>
      </c>
      <c r="AB1328" s="9">
        <f>STATS1003B!AB1399/1000</f>
        <v>0</v>
      </c>
    </row>
    <row r="1329" spans="1:28" x14ac:dyDescent="0.35">
      <c r="A1329" s="36"/>
      <c r="B1329" s="8"/>
      <c r="C1329" s="7" t="s">
        <v>592</v>
      </c>
      <c r="D1329" s="8"/>
      <c r="E1329" s="9">
        <f>STATS1003B!E1400/1000</f>
        <v>213.06200000000004</v>
      </c>
      <c r="F1329" s="9">
        <f>STATS1003B!F1400/1000</f>
        <v>213.06200000000001</v>
      </c>
      <c r="G1329" s="9">
        <f>STATS1003B!G1400/1000</f>
        <v>0</v>
      </c>
      <c r="H1329" s="9">
        <f>STATS1003B!H1400/1000</f>
        <v>213.06200000000001</v>
      </c>
      <c r="I1329" s="9">
        <f>STATS1003B!I1400/1000</f>
        <v>0</v>
      </c>
      <c r="J1329" s="9">
        <f>STATS1003B!J1400/1000</f>
        <v>213.06200000000001</v>
      </c>
      <c r="K1329" s="9">
        <f>STATS1003B!K1400/1000</f>
        <v>0</v>
      </c>
      <c r="L1329" s="9">
        <f>STATS1003B!L1400/1000</f>
        <v>0</v>
      </c>
      <c r="M1329" s="9">
        <f>STATS1003B!M1400/1000</f>
        <v>213.06200000000001</v>
      </c>
      <c r="N1329" s="9">
        <f>STATS1003B!N1400/1000</f>
        <v>0</v>
      </c>
      <c r="O1329" s="9">
        <f>STATS1003B!O1400/1000</f>
        <v>0</v>
      </c>
      <c r="P1329" s="9">
        <f>STATS1003B!P1400/1000</f>
        <v>0</v>
      </c>
      <c r="Q1329" s="9">
        <f>STATS1003B!Q1400/1000</f>
        <v>213.06200000000004</v>
      </c>
      <c r="R1329" s="9">
        <f>STATS1003B!R1400/1000</f>
        <v>0</v>
      </c>
      <c r="S1329" s="9">
        <f>STATS1003B!S1400/1000</f>
        <v>0</v>
      </c>
      <c r="T1329" s="9">
        <f>STATS1003B!T1400/1000</f>
        <v>0</v>
      </c>
      <c r="U1329" s="9">
        <f>STATS1003B!U1400/1000</f>
        <v>0</v>
      </c>
      <c r="V1329" s="9">
        <f>STATS1003B!V1400/1000</f>
        <v>213.06200000000001</v>
      </c>
      <c r="W1329" s="9">
        <f>STATS1003B!W1400/1000</f>
        <v>0</v>
      </c>
      <c r="X1329" s="9">
        <f>STATS1003B!X1400/1000</f>
        <v>213.06200000000001</v>
      </c>
      <c r="Y1329" s="9">
        <f>STATS1003B!Y1400/1000</f>
        <v>0</v>
      </c>
      <c r="Z1329" s="9">
        <f>STATS1003B!Z1400/1000</f>
        <v>0</v>
      </c>
      <c r="AA1329" s="9">
        <f>STATS1003B!AA1400/1000</f>
        <v>213.06200000000001</v>
      </c>
      <c r="AB1329" s="9">
        <f>STATS1003B!AB1400/1000</f>
        <v>0</v>
      </c>
    </row>
    <row r="1330" spans="1:28" x14ac:dyDescent="0.35">
      <c r="A1330" s="36"/>
      <c r="B1330" s="8"/>
      <c r="C1330" s="7" t="s">
        <v>678</v>
      </c>
      <c r="D1330" s="8"/>
      <c r="E1330" s="9">
        <f>STATS1003B!E1401/1000</f>
        <v>7181.1092500000004</v>
      </c>
      <c r="F1330" s="9">
        <f>STATS1003B!F1401/1000</f>
        <v>7181.1092500000004</v>
      </c>
      <c r="G1330" s="9">
        <f>STATS1003B!G1401/1000</f>
        <v>0</v>
      </c>
      <c r="H1330" s="9">
        <f>STATS1003B!H1401/1000</f>
        <v>7181.1092500000004</v>
      </c>
      <c r="I1330" s="9">
        <f>STATS1003B!I1401/1000</f>
        <v>0</v>
      </c>
      <c r="J1330" s="9">
        <f>STATS1003B!J1401/1000</f>
        <v>7181.1092500000004</v>
      </c>
      <c r="K1330" s="9">
        <f>STATS1003B!K1401/1000</f>
        <v>0</v>
      </c>
      <c r="L1330" s="9">
        <f>STATS1003B!L1401/1000</f>
        <v>0</v>
      </c>
      <c r="M1330" s="9">
        <f>STATS1003B!M1401/1000</f>
        <v>7181.1092500000004</v>
      </c>
      <c r="N1330" s="9">
        <f>STATS1003B!N1401/1000</f>
        <v>0</v>
      </c>
      <c r="O1330" s="9">
        <f>STATS1003B!O1401/1000</f>
        <v>0</v>
      </c>
      <c r="P1330" s="9">
        <f>STATS1003B!P1401/1000</f>
        <v>0</v>
      </c>
      <c r="Q1330" s="9">
        <f>STATS1003B!Q1401/1000</f>
        <v>7181.1092500000004</v>
      </c>
      <c r="R1330" s="9">
        <f>STATS1003B!R1401/1000</f>
        <v>0</v>
      </c>
      <c r="S1330" s="9">
        <f>STATS1003B!S1401/1000</f>
        <v>0</v>
      </c>
      <c r="T1330" s="9">
        <f>STATS1003B!T1401/1000</f>
        <v>0</v>
      </c>
      <c r="U1330" s="9">
        <f>STATS1003B!U1401/1000</f>
        <v>0</v>
      </c>
      <c r="V1330" s="9">
        <f>STATS1003B!V1401/1000</f>
        <v>7181.1092500000004</v>
      </c>
      <c r="W1330" s="9">
        <f>STATS1003B!W1401/1000</f>
        <v>0</v>
      </c>
      <c r="X1330" s="9">
        <f>STATS1003B!X1401/1000</f>
        <v>7181.1092500000004</v>
      </c>
      <c r="Y1330" s="9">
        <f>STATS1003B!Y1401/1000</f>
        <v>0</v>
      </c>
      <c r="Z1330" s="9">
        <f>STATS1003B!Z1401/1000</f>
        <v>0</v>
      </c>
      <c r="AA1330" s="9">
        <f>STATS1003B!AA1401/1000</f>
        <v>7181.1092500000004</v>
      </c>
      <c r="AB1330" s="9">
        <f>STATS1003B!AB1401/1000</f>
        <v>0</v>
      </c>
    </row>
    <row r="1331" spans="1:28" x14ac:dyDescent="0.35">
      <c r="A1331" s="36"/>
      <c r="B1331" s="8"/>
      <c r="C1331" s="8"/>
      <c r="D1331" s="8"/>
      <c r="E1331" s="17" t="s">
        <v>29</v>
      </c>
      <c r="F1331" s="17" t="s">
        <v>29</v>
      </c>
      <c r="G1331" s="17" t="s">
        <v>29</v>
      </c>
      <c r="H1331" s="17" t="s">
        <v>29</v>
      </c>
      <c r="I1331" s="17" t="s">
        <v>29</v>
      </c>
      <c r="J1331" s="17" t="s">
        <v>29</v>
      </c>
      <c r="K1331" s="17" t="s">
        <v>29</v>
      </c>
      <c r="L1331" s="17" t="s">
        <v>29</v>
      </c>
      <c r="M1331" s="17" t="s">
        <v>29</v>
      </c>
      <c r="N1331" s="17" t="s">
        <v>29</v>
      </c>
      <c r="O1331" s="17" t="s">
        <v>29</v>
      </c>
      <c r="P1331" s="17" t="s">
        <v>29</v>
      </c>
      <c r="Q1331" s="17" t="s">
        <v>29</v>
      </c>
      <c r="R1331" s="17" t="s">
        <v>29</v>
      </c>
      <c r="S1331" s="17" t="s">
        <v>29</v>
      </c>
      <c r="T1331" s="17" t="s">
        <v>29</v>
      </c>
      <c r="U1331" s="17" t="s">
        <v>29</v>
      </c>
      <c r="V1331" s="17" t="s">
        <v>29</v>
      </c>
      <c r="W1331" s="17" t="s">
        <v>29</v>
      </c>
      <c r="X1331" s="17" t="s">
        <v>29</v>
      </c>
      <c r="Y1331" s="17" t="s">
        <v>29</v>
      </c>
      <c r="Z1331" s="17" t="s">
        <v>29</v>
      </c>
      <c r="AA1331" s="17" t="s">
        <v>29</v>
      </c>
      <c r="AB1331" s="17" t="s">
        <v>29</v>
      </c>
    </row>
    <row r="1332" spans="1:28" x14ac:dyDescent="0.35">
      <c r="A1332" s="36"/>
      <c r="B1332" s="8"/>
      <c r="C1332" s="8"/>
      <c r="D1332" s="8"/>
      <c r="E1332" s="9">
        <f t="shared" ref="E1332:Q1332" si="97">SUM(E1309:E1331)</f>
        <v>46226.860449999993</v>
      </c>
      <c r="F1332" s="9">
        <f t="shared" si="97"/>
        <v>39272.268149999996</v>
      </c>
      <c r="G1332" s="9">
        <f t="shared" si="97"/>
        <v>0</v>
      </c>
      <c r="H1332" s="9">
        <f t="shared" si="97"/>
        <v>39272.268149999996</v>
      </c>
      <c r="I1332" s="9">
        <f t="shared" si="97"/>
        <v>0</v>
      </c>
      <c r="J1332" s="9">
        <f t="shared" si="97"/>
        <v>39272.268149999996</v>
      </c>
      <c r="K1332" s="9">
        <f t="shared" si="97"/>
        <v>6954.5923000000003</v>
      </c>
      <c r="L1332" s="9">
        <f t="shared" si="97"/>
        <v>0</v>
      </c>
      <c r="M1332" s="9">
        <f t="shared" si="97"/>
        <v>39272.268149999996</v>
      </c>
      <c r="N1332" s="9">
        <f t="shared" si="97"/>
        <v>6954.5923000000003</v>
      </c>
      <c r="O1332" s="9">
        <f t="shared" si="97"/>
        <v>0</v>
      </c>
      <c r="P1332" s="9">
        <f t="shared" si="97"/>
        <v>6954.5923000000003</v>
      </c>
      <c r="Q1332" s="9">
        <f t="shared" si="97"/>
        <v>38100.268149999996</v>
      </c>
      <c r="R1332" s="17"/>
      <c r="S1332" s="17"/>
      <c r="T1332" s="9">
        <f t="shared" ref="T1332:Z1332" si="98">SUM(T1309:T1331)</f>
        <v>0</v>
      </c>
      <c r="U1332" s="9">
        <f t="shared" si="98"/>
        <v>6954.5923000000003</v>
      </c>
      <c r="V1332" s="9">
        <f t="shared" si="98"/>
        <v>46226.860449999993</v>
      </c>
      <c r="W1332" s="9">
        <f t="shared" si="98"/>
        <v>0</v>
      </c>
      <c r="X1332" s="9">
        <f t="shared" si="98"/>
        <v>46226.860449999993</v>
      </c>
      <c r="Y1332" s="9">
        <f t="shared" si="98"/>
        <v>0</v>
      </c>
      <c r="Z1332" s="9">
        <f t="shared" si="98"/>
        <v>0</v>
      </c>
      <c r="AA1332" s="9">
        <f>SUM(AA1309:AA1331)</f>
        <v>46226.860449999993</v>
      </c>
      <c r="AB1332" s="9">
        <f>SUM(AB1309:AB1331)</f>
        <v>0</v>
      </c>
    </row>
    <row r="1333" spans="1:28" x14ac:dyDescent="0.35">
      <c r="A1333" s="36"/>
      <c r="B1333" s="8"/>
      <c r="C1333" s="8"/>
      <c r="D1333" s="8"/>
      <c r="E1333" s="17" t="s">
        <v>29</v>
      </c>
      <c r="F1333" s="17" t="s">
        <v>29</v>
      </c>
      <c r="G1333" s="17" t="s">
        <v>29</v>
      </c>
      <c r="H1333" s="17" t="s">
        <v>29</v>
      </c>
      <c r="I1333" s="17" t="s">
        <v>29</v>
      </c>
      <c r="J1333" s="17" t="s">
        <v>29</v>
      </c>
      <c r="K1333" s="17" t="s">
        <v>29</v>
      </c>
      <c r="L1333" s="17" t="s">
        <v>29</v>
      </c>
      <c r="M1333" s="17" t="s">
        <v>29</v>
      </c>
      <c r="N1333" s="17" t="s">
        <v>29</v>
      </c>
      <c r="O1333" s="17" t="s">
        <v>29</v>
      </c>
      <c r="P1333" s="17" t="s">
        <v>29</v>
      </c>
      <c r="Q1333" s="17" t="s">
        <v>29</v>
      </c>
      <c r="R1333" s="17" t="s">
        <v>29</v>
      </c>
      <c r="S1333" s="17" t="s">
        <v>29</v>
      </c>
      <c r="T1333" s="17" t="s">
        <v>29</v>
      </c>
      <c r="U1333" s="17" t="s">
        <v>29</v>
      </c>
      <c r="V1333" s="17" t="s">
        <v>29</v>
      </c>
      <c r="W1333" s="17" t="s">
        <v>29</v>
      </c>
      <c r="X1333" s="17" t="s">
        <v>29</v>
      </c>
      <c r="Y1333" s="17" t="s">
        <v>29</v>
      </c>
      <c r="Z1333" s="17" t="s">
        <v>29</v>
      </c>
      <c r="AA1333" s="17" t="s">
        <v>29</v>
      </c>
      <c r="AB1333" s="17" t="s">
        <v>29</v>
      </c>
    </row>
    <row r="1334" spans="1:28" x14ac:dyDescent="0.35">
      <c r="A1334" s="38" t="s">
        <v>999</v>
      </c>
      <c r="B1334" s="7" t="s">
        <v>722</v>
      </c>
      <c r="C1334" s="8"/>
      <c r="D1334" s="8"/>
      <c r="E1334" s="8"/>
      <c r="F1334" s="8"/>
      <c r="G1334" s="8"/>
      <c r="H1334" s="8"/>
      <c r="I1334" s="8"/>
      <c r="J1334" s="8"/>
      <c r="K1334" s="8"/>
      <c r="L1334" s="8"/>
      <c r="M1334" s="8"/>
      <c r="N1334" s="8"/>
      <c r="O1334" s="8"/>
      <c r="P1334" s="8"/>
      <c r="Q1334" s="8"/>
      <c r="R1334" s="17"/>
      <c r="S1334" s="17"/>
      <c r="T1334" s="17"/>
      <c r="U1334" s="17"/>
      <c r="V1334" s="17"/>
      <c r="W1334" s="17"/>
      <c r="X1334" s="17"/>
      <c r="Y1334" s="17"/>
      <c r="Z1334" s="17"/>
    </row>
    <row r="1335" spans="1:28" x14ac:dyDescent="0.35">
      <c r="A1335" s="36"/>
      <c r="B1335" s="8"/>
      <c r="C1335" s="7" t="s">
        <v>535</v>
      </c>
      <c r="D1335" s="15" t="s">
        <v>68</v>
      </c>
      <c r="E1335" s="9">
        <f>STATS1003B!E1406/1000</f>
        <v>1382.348</v>
      </c>
      <c r="F1335" s="9">
        <f>STATS1003B!F1406/1000</f>
        <v>1382.348</v>
      </c>
      <c r="G1335" s="9">
        <f>STATS1003B!G1406/1000</f>
        <v>0</v>
      </c>
      <c r="H1335" s="9">
        <f>STATS1003B!H1406/1000</f>
        <v>1382.348</v>
      </c>
      <c r="I1335" s="9">
        <f>STATS1003B!I1406/1000</f>
        <v>0</v>
      </c>
      <c r="J1335" s="9">
        <f>STATS1003B!J1406/1000</f>
        <v>1382.348</v>
      </c>
      <c r="K1335" s="9">
        <f>STATS1003B!K1406/1000</f>
        <v>0</v>
      </c>
      <c r="L1335" s="9">
        <f>STATS1003B!L1406/1000</f>
        <v>0</v>
      </c>
      <c r="M1335" s="9">
        <f>STATS1003B!M1406/1000</f>
        <v>1382.348</v>
      </c>
      <c r="N1335" s="9">
        <f>STATS1003B!N1406/1000</f>
        <v>0</v>
      </c>
      <c r="O1335" s="9">
        <f>STATS1003B!O1406/1000</f>
        <v>0</v>
      </c>
      <c r="P1335" s="9">
        <f>STATS1003B!P1406/1000</f>
        <v>0</v>
      </c>
      <c r="Q1335" s="9">
        <f>STATS1003B!Q1406/1000</f>
        <v>1382.348</v>
      </c>
      <c r="R1335" s="9">
        <f>STATS1003B!R1406/1000</f>
        <v>0</v>
      </c>
      <c r="S1335" s="9">
        <f>STATS1003B!S1406/1000</f>
        <v>0</v>
      </c>
      <c r="T1335" s="9">
        <f>STATS1003B!T1406/1000</f>
        <v>0</v>
      </c>
      <c r="U1335" s="9">
        <f>STATS1003B!U1406/1000</f>
        <v>0</v>
      </c>
      <c r="V1335" s="9">
        <f>STATS1003B!V1406/1000</f>
        <v>1382.348</v>
      </c>
      <c r="W1335" s="9">
        <f>STATS1003B!W1406/1000</f>
        <v>0</v>
      </c>
      <c r="X1335" s="9">
        <f>STATS1003B!X1406/1000</f>
        <v>1382.348</v>
      </c>
      <c r="Y1335" s="9">
        <f>STATS1003B!Y1406/1000</f>
        <v>0</v>
      </c>
      <c r="Z1335" s="9">
        <f>STATS1003B!Z1406/1000</f>
        <v>0</v>
      </c>
      <c r="AA1335" s="9">
        <f>STATS1003B!AA1406/1000</f>
        <v>1382.348</v>
      </c>
      <c r="AB1335" s="9">
        <f>STATS1003B!AB1406/1000</f>
        <v>0</v>
      </c>
    </row>
    <row r="1336" spans="1:28" x14ac:dyDescent="0.35">
      <c r="A1336" s="36"/>
      <c r="B1336" s="8"/>
      <c r="C1336" s="7" t="s">
        <v>723</v>
      </c>
      <c r="D1336" s="15" t="s">
        <v>68</v>
      </c>
      <c r="E1336" s="9">
        <f>STATS1003B!E1407/1000</f>
        <v>146.33799999999999</v>
      </c>
      <c r="F1336" s="9">
        <f>STATS1003B!F1407/1000</f>
        <v>146.33799999999999</v>
      </c>
      <c r="G1336" s="9">
        <f>STATS1003B!G1407/1000</f>
        <v>0</v>
      </c>
      <c r="H1336" s="9">
        <f>STATS1003B!H1407/1000</f>
        <v>146.33799999999999</v>
      </c>
      <c r="I1336" s="9">
        <f>STATS1003B!I1407/1000</f>
        <v>0</v>
      </c>
      <c r="J1336" s="9">
        <f>STATS1003B!J1407/1000</f>
        <v>146.33799999999999</v>
      </c>
      <c r="K1336" s="9">
        <f>STATS1003B!K1407/1000</f>
        <v>0</v>
      </c>
      <c r="L1336" s="9">
        <f>STATS1003B!L1407/1000</f>
        <v>0</v>
      </c>
      <c r="M1336" s="9">
        <f>STATS1003B!M1407/1000</f>
        <v>146.33799999999999</v>
      </c>
      <c r="N1336" s="9">
        <f>STATS1003B!N1407/1000</f>
        <v>0</v>
      </c>
      <c r="O1336" s="9">
        <f>STATS1003B!O1407/1000</f>
        <v>0</v>
      </c>
      <c r="P1336" s="9">
        <f>STATS1003B!P1407/1000</f>
        <v>0</v>
      </c>
      <c r="Q1336" s="9">
        <f>STATS1003B!Q1407/1000</f>
        <v>146.33799999999999</v>
      </c>
      <c r="R1336" s="9">
        <f>STATS1003B!R1407/1000</f>
        <v>0</v>
      </c>
      <c r="S1336" s="9">
        <f>STATS1003B!S1407/1000</f>
        <v>0</v>
      </c>
      <c r="T1336" s="9">
        <f>STATS1003B!T1407/1000</f>
        <v>0</v>
      </c>
      <c r="U1336" s="9">
        <f>STATS1003B!U1407/1000</f>
        <v>0</v>
      </c>
      <c r="V1336" s="9">
        <f>STATS1003B!V1407/1000</f>
        <v>146.33799999999999</v>
      </c>
      <c r="W1336" s="9">
        <f>STATS1003B!W1407/1000</f>
        <v>0</v>
      </c>
      <c r="X1336" s="9">
        <f>STATS1003B!X1407/1000</f>
        <v>146.33799999999999</v>
      </c>
      <c r="Y1336" s="9">
        <f>STATS1003B!Y1407/1000</f>
        <v>0</v>
      </c>
      <c r="Z1336" s="9">
        <f>STATS1003B!Z1407/1000</f>
        <v>0</v>
      </c>
      <c r="AA1336" s="9">
        <f>STATS1003B!AA1407/1000</f>
        <v>146.33799999999999</v>
      </c>
      <c r="AB1336" s="9">
        <f>STATS1003B!AB1407/1000</f>
        <v>0</v>
      </c>
    </row>
    <row r="1337" spans="1:28" x14ac:dyDescent="0.35">
      <c r="A1337" s="36"/>
      <c r="B1337" s="8"/>
      <c r="C1337" s="7" t="s">
        <v>539</v>
      </c>
      <c r="D1337" s="15" t="s">
        <v>68</v>
      </c>
      <c r="E1337" s="9">
        <f>STATS1003B!E1408/1000</f>
        <v>3574.547</v>
      </c>
      <c r="F1337" s="9">
        <f>STATS1003B!F1408/1000</f>
        <v>0</v>
      </c>
      <c r="G1337" s="9">
        <f>STATS1003B!G1408/1000</f>
        <v>0</v>
      </c>
      <c r="H1337" s="9">
        <f>STATS1003B!H1408/1000</f>
        <v>0</v>
      </c>
      <c r="I1337" s="9">
        <f>STATS1003B!I1408/1000</f>
        <v>0</v>
      </c>
      <c r="J1337" s="9">
        <f>STATS1003B!J1408/1000</f>
        <v>0</v>
      </c>
      <c r="K1337" s="9">
        <f>STATS1003B!K1408/1000</f>
        <v>3574.547</v>
      </c>
      <c r="L1337" s="9">
        <f>STATS1003B!L1408/1000</f>
        <v>0</v>
      </c>
      <c r="M1337" s="9">
        <f>STATS1003B!M1408/1000</f>
        <v>0</v>
      </c>
      <c r="N1337" s="9">
        <f>STATS1003B!N1408/1000</f>
        <v>3574.547</v>
      </c>
      <c r="O1337" s="9">
        <f>STATS1003B!O1408/1000</f>
        <v>0</v>
      </c>
      <c r="P1337" s="9">
        <f>STATS1003B!P1408/1000</f>
        <v>3574.547</v>
      </c>
      <c r="Q1337" s="9">
        <f>STATS1003B!Q1408/1000</f>
        <v>0</v>
      </c>
      <c r="R1337" s="9">
        <f>STATS1003B!R1408/1000</f>
        <v>0</v>
      </c>
      <c r="S1337" s="9">
        <f>STATS1003B!S1408/1000</f>
        <v>0</v>
      </c>
      <c r="T1337" s="9">
        <f>STATS1003B!T1408/1000</f>
        <v>0</v>
      </c>
      <c r="U1337" s="9">
        <f>STATS1003B!U1408/1000</f>
        <v>3574.547</v>
      </c>
      <c r="V1337" s="9">
        <f>STATS1003B!V1408/1000</f>
        <v>3574.547</v>
      </c>
      <c r="W1337" s="9">
        <f>STATS1003B!W1408/1000</f>
        <v>0</v>
      </c>
      <c r="X1337" s="9">
        <f>STATS1003B!X1408/1000</f>
        <v>3574.547</v>
      </c>
      <c r="Y1337" s="9">
        <f>STATS1003B!Y1408/1000</f>
        <v>0</v>
      </c>
      <c r="Z1337" s="9">
        <f>STATS1003B!Z1408/1000</f>
        <v>0</v>
      </c>
      <c r="AA1337" s="9">
        <f>STATS1003B!AA1408/1000</f>
        <v>3574.547</v>
      </c>
      <c r="AB1337" s="9">
        <f>STATS1003B!AB1408/1000</f>
        <v>0</v>
      </c>
    </row>
    <row r="1338" spans="1:28" x14ac:dyDescent="0.35">
      <c r="A1338" s="36"/>
      <c r="B1338" s="8"/>
      <c r="C1338" s="7" t="s">
        <v>724</v>
      </c>
      <c r="D1338" s="15" t="s">
        <v>54</v>
      </c>
      <c r="E1338" s="9">
        <f>STATS1003B!E1409/1000</f>
        <v>190</v>
      </c>
      <c r="F1338" s="9">
        <f>STATS1003B!F1409/1000</f>
        <v>190</v>
      </c>
      <c r="G1338" s="9">
        <f>STATS1003B!G1409/1000</f>
        <v>0</v>
      </c>
      <c r="H1338" s="9">
        <f>STATS1003B!H1409/1000</f>
        <v>190</v>
      </c>
      <c r="I1338" s="9">
        <f>STATS1003B!I1409/1000</f>
        <v>0</v>
      </c>
      <c r="J1338" s="9">
        <f>STATS1003B!J1409/1000</f>
        <v>190</v>
      </c>
      <c r="K1338" s="9">
        <f>STATS1003B!K1409/1000</f>
        <v>0</v>
      </c>
      <c r="L1338" s="9">
        <f>STATS1003B!L1409/1000</f>
        <v>0</v>
      </c>
      <c r="M1338" s="9">
        <f>STATS1003B!M1409/1000</f>
        <v>190</v>
      </c>
      <c r="N1338" s="9">
        <f>STATS1003B!N1409/1000</f>
        <v>0</v>
      </c>
      <c r="O1338" s="9">
        <f>STATS1003B!O1409/1000</f>
        <v>0</v>
      </c>
      <c r="P1338" s="9">
        <f>STATS1003B!P1409/1000</f>
        <v>0</v>
      </c>
      <c r="Q1338" s="9">
        <f>STATS1003B!Q1409/1000</f>
        <v>190</v>
      </c>
      <c r="R1338" s="9">
        <f>STATS1003B!R1409/1000</f>
        <v>0</v>
      </c>
      <c r="S1338" s="9">
        <f>STATS1003B!S1409/1000</f>
        <v>0</v>
      </c>
      <c r="T1338" s="9">
        <f>STATS1003B!T1409/1000</f>
        <v>0</v>
      </c>
      <c r="U1338" s="9">
        <f>STATS1003B!U1409/1000</f>
        <v>0</v>
      </c>
      <c r="V1338" s="9">
        <f>STATS1003B!V1409/1000</f>
        <v>190</v>
      </c>
      <c r="W1338" s="9">
        <f>STATS1003B!W1409/1000</f>
        <v>0</v>
      </c>
      <c r="X1338" s="9">
        <f>STATS1003B!X1409/1000</f>
        <v>190</v>
      </c>
      <c r="Y1338" s="9">
        <f>STATS1003B!Y1409/1000</f>
        <v>0</v>
      </c>
      <c r="Z1338" s="9">
        <f>STATS1003B!Z1409/1000</f>
        <v>0</v>
      </c>
      <c r="AA1338" s="9">
        <f>STATS1003B!AA1409/1000</f>
        <v>190</v>
      </c>
      <c r="AB1338" s="9">
        <f>STATS1003B!AB1409/1000</f>
        <v>0</v>
      </c>
    </row>
    <row r="1339" spans="1:28" x14ac:dyDescent="0.35">
      <c r="A1339" s="36"/>
      <c r="B1339" s="8"/>
      <c r="C1339" s="7" t="s">
        <v>545</v>
      </c>
      <c r="D1339" s="15" t="s">
        <v>54</v>
      </c>
      <c r="E1339" s="9">
        <f>STATS1003B!E1410/1000</f>
        <v>1953.989</v>
      </c>
      <c r="F1339" s="9">
        <f>STATS1003B!F1410/1000</f>
        <v>0</v>
      </c>
      <c r="G1339" s="9">
        <f>STATS1003B!G1410/1000</f>
        <v>0</v>
      </c>
      <c r="H1339" s="9">
        <f>STATS1003B!H1410/1000</f>
        <v>0</v>
      </c>
      <c r="I1339" s="9">
        <f>STATS1003B!I1410/1000</f>
        <v>0</v>
      </c>
      <c r="J1339" s="9">
        <f>STATS1003B!J1410/1000</f>
        <v>0</v>
      </c>
      <c r="K1339" s="9">
        <f>STATS1003B!K1410/1000</f>
        <v>1953.989</v>
      </c>
      <c r="L1339" s="9">
        <f>STATS1003B!L1410/1000</f>
        <v>0</v>
      </c>
      <c r="M1339" s="9">
        <f>STATS1003B!M1410/1000</f>
        <v>0</v>
      </c>
      <c r="N1339" s="9">
        <f>STATS1003B!N1410/1000</f>
        <v>1953.989</v>
      </c>
      <c r="O1339" s="9">
        <f>STATS1003B!O1410/1000</f>
        <v>0</v>
      </c>
      <c r="P1339" s="9">
        <f>STATS1003B!P1410/1000</f>
        <v>1953.989</v>
      </c>
      <c r="Q1339" s="9">
        <f>STATS1003B!Q1410/1000</f>
        <v>0</v>
      </c>
      <c r="R1339" s="9">
        <f>STATS1003B!R1410/1000</f>
        <v>0</v>
      </c>
      <c r="S1339" s="9">
        <f>STATS1003B!S1410/1000</f>
        <v>0</v>
      </c>
      <c r="T1339" s="9">
        <f>STATS1003B!T1410/1000</f>
        <v>0</v>
      </c>
      <c r="U1339" s="9">
        <f>STATS1003B!U1410/1000</f>
        <v>1953.989</v>
      </c>
      <c r="V1339" s="9">
        <f>STATS1003B!V1410/1000</f>
        <v>1953.989</v>
      </c>
      <c r="W1339" s="9">
        <f>STATS1003B!W1410/1000</f>
        <v>0</v>
      </c>
      <c r="X1339" s="9">
        <f>STATS1003B!X1410/1000</f>
        <v>1953.989</v>
      </c>
      <c r="Y1339" s="9">
        <f>STATS1003B!Y1410/1000</f>
        <v>0</v>
      </c>
      <c r="Z1339" s="9">
        <f>STATS1003B!Z1410/1000</f>
        <v>0</v>
      </c>
      <c r="AA1339" s="9">
        <f>STATS1003B!AA1410/1000</f>
        <v>1953.989</v>
      </c>
      <c r="AB1339" s="9">
        <f>STATS1003B!AB1410/1000</f>
        <v>0</v>
      </c>
    </row>
    <row r="1340" spans="1:28" x14ac:dyDescent="0.35">
      <c r="A1340" s="36"/>
      <c r="B1340" s="8"/>
      <c r="C1340" s="7" t="s">
        <v>725</v>
      </c>
      <c r="D1340" s="15" t="s">
        <v>54</v>
      </c>
      <c r="E1340" s="9">
        <f>STATS1003B!E1411/1000</f>
        <v>955.34561999999994</v>
      </c>
      <c r="F1340" s="9">
        <f>STATS1003B!F1411/1000</f>
        <v>0</v>
      </c>
      <c r="G1340" s="9">
        <f>STATS1003B!G1411/1000</f>
        <v>0</v>
      </c>
      <c r="H1340" s="9">
        <f>STATS1003B!H1411/1000</f>
        <v>0</v>
      </c>
      <c r="I1340" s="9">
        <f>STATS1003B!I1411/1000</f>
        <v>0</v>
      </c>
      <c r="J1340" s="9">
        <f>STATS1003B!J1411/1000</f>
        <v>0</v>
      </c>
      <c r="K1340" s="9">
        <f>STATS1003B!K1411/1000</f>
        <v>955.34561999999994</v>
      </c>
      <c r="L1340" s="9">
        <f>STATS1003B!L1411/1000</f>
        <v>0</v>
      </c>
      <c r="M1340" s="9">
        <f>STATS1003B!M1411/1000</f>
        <v>0</v>
      </c>
      <c r="N1340" s="9">
        <f>STATS1003B!N1411/1000</f>
        <v>955.34561999999994</v>
      </c>
      <c r="O1340" s="9">
        <f>STATS1003B!O1411/1000</f>
        <v>0</v>
      </c>
      <c r="P1340" s="9">
        <f>STATS1003B!P1411/1000</f>
        <v>955.34561999999994</v>
      </c>
      <c r="Q1340" s="9">
        <f>STATS1003B!Q1411/1000</f>
        <v>0</v>
      </c>
      <c r="R1340" s="9">
        <f>STATS1003B!R1411/1000</f>
        <v>0</v>
      </c>
      <c r="S1340" s="9">
        <f>STATS1003B!S1411/1000</f>
        <v>0</v>
      </c>
      <c r="T1340" s="9">
        <f>STATS1003B!T1411/1000</f>
        <v>0</v>
      </c>
      <c r="U1340" s="9">
        <f>STATS1003B!U1411/1000</f>
        <v>955.34561999999994</v>
      </c>
      <c r="V1340" s="9">
        <f>STATS1003B!V1411/1000</f>
        <v>955.34561999999994</v>
      </c>
      <c r="W1340" s="9">
        <f>STATS1003B!W1411/1000</f>
        <v>0</v>
      </c>
      <c r="X1340" s="9">
        <f>STATS1003B!X1411/1000</f>
        <v>955.34561999999994</v>
      </c>
      <c r="Y1340" s="9">
        <f>STATS1003B!Y1411/1000</f>
        <v>0</v>
      </c>
      <c r="Z1340" s="9">
        <f>STATS1003B!Z1411/1000</f>
        <v>0</v>
      </c>
      <c r="AA1340" s="9">
        <f>STATS1003B!AA1411/1000</f>
        <v>955.34561999999994</v>
      </c>
      <c r="AB1340" s="9">
        <f>STATS1003B!AB1411/1000</f>
        <v>0</v>
      </c>
    </row>
    <row r="1341" spans="1:28" x14ac:dyDescent="0.35">
      <c r="A1341" s="36"/>
      <c r="B1341" s="8"/>
      <c r="C1341" s="7" t="s">
        <v>535</v>
      </c>
      <c r="D1341" s="15" t="s">
        <v>85</v>
      </c>
      <c r="E1341" s="9">
        <f>STATS1003B!E1412/1000</f>
        <v>2555</v>
      </c>
      <c r="F1341" s="9">
        <f>STATS1003B!F1412/1000</f>
        <v>2555</v>
      </c>
      <c r="G1341" s="9">
        <f>STATS1003B!G1412/1000</f>
        <v>0</v>
      </c>
      <c r="H1341" s="9">
        <f>STATS1003B!H1412/1000</f>
        <v>2555</v>
      </c>
      <c r="I1341" s="9">
        <f>STATS1003B!I1412/1000</f>
        <v>0</v>
      </c>
      <c r="J1341" s="9">
        <f>STATS1003B!J1412/1000</f>
        <v>2555</v>
      </c>
      <c r="K1341" s="9">
        <f>STATS1003B!K1412/1000</f>
        <v>0</v>
      </c>
      <c r="L1341" s="9">
        <f>STATS1003B!L1412/1000</f>
        <v>0</v>
      </c>
      <c r="M1341" s="9">
        <f>STATS1003B!M1412/1000</f>
        <v>2555</v>
      </c>
      <c r="N1341" s="9">
        <f>STATS1003B!N1412/1000</f>
        <v>0</v>
      </c>
      <c r="O1341" s="9">
        <f>STATS1003B!O1412/1000</f>
        <v>0</v>
      </c>
      <c r="P1341" s="9">
        <f>STATS1003B!P1412/1000</f>
        <v>0</v>
      </c>
      <c r="Q1341" s="9">
        <f>STATS1003B!Q1412/1000</f>
        <v>2555</v>
      </c>
      <c r="R1341" s="9">
        <f>STATS1003B!R1412/1000</f>
        <v>0</v>
      </c>
      <c r="S1341" s="9">
        <f>STATS1003B!S1412/1000</f>
        <v>0</v>
      </c>
      <c r="T1341" s="9">
        <f>STATS1003B!T1412/1000</f>
        <v>0</v>
      </c>
      <c r="U1341" s="9">
        <f>STATS1003B!U1412/1000</f>
        <v>0</v>
      </c>
      <c r="V1341" s="9">
        <f>STATS1003B!V1412/1000</f>
        <v>2555</v>
      </c>
      <c r="W1341" s="9">
        <f>STATS1003B!W1412/1000</f>
        <v>0</v>
      </c>
      <c r="X1341" s="9">
        <f>STATS1003B!X1412/1000</f>
        <v>2555</v>
      </c>
      <c r="Y1341" s="9">
        <f>STATS1003B!Y1412/1000</f>
        <v>0</v>
      </c>
      <c r="Z1341" s="9">
        <f>STATS1003B!Z1412/1000</f>
        <v>0</v>
      </c>
      <c r="AA1341" s="9">
        <f>STATS1003B!AA1412/1000</f>
        <v>2555</v>
      </c>
      <c r="AB1341" s="9">
        <f>STATS1003B!AB1412/1000</f>
        <v>0</v>
      </c>
    </row>
    <row r="1342" spans="1:28" x14ac:dyDescent="0.35">
      <c r="A1342" s="36"/>
      <c r="B1342" s="8"/>
      <c r="C1342" s="7" t="s">
        <v>557</v>
      </c>
      <c r="D1342" s="15" t="s">
        <v>85</v>
      </c>
      <c r="E1342" s="9">
        <f>STATS1003B!E1413/1000</f>
        <v>2721.36148</v>
      </c>
      <c r="F1342" s="9">
        <f>STATS1003B!F1413/1000</f>
        <v>2721.36148</v>
      </c>
      <c r="G1342" s="9">
        <f>STATS1003B!G1413/1000</f>
        <v>0</v>
      </c>
      <c r="H1342" s="9">
        <f>STATS1003B!H1413/1000</f>
        <v>2721.36148</v>
      </c>
      <c r="I1342" s="9">
        <f>STATS1003B!I1413/1000</f>
        <v>0</v>
      </c>
      <c r="J1342" s="9">
        <f>STATS1003B!J1413/1000</f>
        <v>2721.36148</v>
      </c>
      <c r="K1342" s="9">
        <f>STATS1003B!K1413/1000</f>
        <v>0</v>
      </c>
      <c r="L1342" s="9">
        <f>STATS1003B!L1413/1000</f>
        <v>0</v>
      </c>
      <c r="M1342" s="9">
        <f>STATS1003B!M1413/1000</f>
        <v>2721.36148</v>
      </c>
      <c r="N1342" s="9">
        <f>STATS1003B!N1413/1000</f>
        <v>0</v>
      </c>
      <c r="O1342" s="9">
        <f>STATS1003B!O1413/1000</f>
        <v>0</v>
      </c>
      <c r="P1342" s="9">
        <f>STATS1003B!P1413/1000</f>
        <v>0</v>
      </c>
      <c r="Q1342" s="9">
        <f>STATS1003B!Q1413/1000</f>
        <v>2721.36148</v>
      </c>
      <c r="R1342" s="9">
        <f>STATS1003B!R1413/1000</f>
        <v>0</v>
      </c>
      <c r="S1342" s="9">
        <f>STATS1003B!S1413/1000</f>
        <v>0</v>
      </c>
      <c r="T1342" s="9">
        <f>STATS1003B!T1413/1000</f>
        <v>0</v>
      </c>
      <c r="U1342" s="9">
        <f>STATS1003B!U1413/1000</f>
        <v>0</v>
      </c>
      <c r="V1342" s="9">
        <f>STATS1003B!V1413/1000</f>
        <v>2721.36148</v>
      </c>
      <c r="W1342" s="9">
        <f>STATS1003B!W1413/1000</f>
        <v>0</v>
      </c>
      <c r="X1342" s="9">
        <f>STATS1003B!X1413/1000</f>
        <v>2721.36148</v>
      </c>
      <c r="Y1342" s="9">
        <f>STATS1003B!Y1413/1000</f>
        <v>0</v>
      </c>
      <c r="Z1342" s="9">
        <f>STATS1003B!Z1413/1000</f>
        <v>0</v>
      </c>
      <c r="AA1342" s="9">
        <f>STATS1003B!AA1413/1000</f>
        <v>2721.36148</v>
      </c>
      <c r="AB1342" s="9">
        <f>STATS1003B!AB1413/1000</f>
        <v>0</v>
      </c>
    </row>
    <row r="1343" spans="1:28" x14ac:dyDescent="0.35">
      <c r="A1343" s="36"/>
      <c r="B1343" s="8"/>
      <c r="C1343" s="7" t="s">
        <v>726</v>
      </c>
      <c r="D1343" s="15" t="s">
        <v>85</v>
      </c>
      <c r="E1343" s="9">
        <f>STATS1003B!E1414/1000</f>
        <v>80</v>
      </c>
      <c r="F1343" s="9">
        <f>STATS1003B!F1414/1000</f>
        <v>80</v>
      </c>
      <c r="G1343" s="9">
        <f>STATS1003B!G1414/1000</f>
        <v>0</v>
      </c>
      <c r="H1343" s="9">
        <f>STATS1003B!H1414/1000</f>
        <v>80</v>
      </c>
      <c r="I1343" s="9">
        <f>STATS1003B!I1414/1000</f>
        <v>0</v>
      </c>
      <c r="J1343" s="9">
        <f>STATS1003B!J1414/1000</f>
        <v>80</v>
      </c>
      <c r="K1343" s="9">
        <f>STATS1003B!K1414/1000</f>
        <v>0</v>
      </c>
      <c r="L1343" s="9">
        <f>STATS1003B!L1414/1000</f>
        <v>0</v>
      </c>
      <c r="M1343" s="9">
        <f>STATS1003B!M1414/1000</f>
        <v>80</v>
      </c>
      <c r="N1343" s="9">
        <f>STATS1003B!N1414/1000</f>
        <v>0</v>
      </c>
      <c r="O1343" s="9">
        <f>STATS1003B!O1414/1000</f>
        <v>0</v>
      </c>
      <c r="P1343" s="9">
        <f>STATS1003B!P1414/1000</f>
        <v>0</v>
      </c>
      <c r="Q1343" s="9">
        <f>STATS1003B!Q1414/1000</f>
        <v>80</v>
      </c>
      <c r="R1343" s="9">
        <f>STATS1003B!R1414/1000</f>
        <v>0</v>
      </c>
      <c r="S1343" s="9">
        <f>STATS1003B!S1414/1000</f>
        <v>0</v>
      </c>
      <c r="T1343" s="9">
        <f>STATS1003B!T1414/1000</f>
        <v>0</v>
      </c>
      <c r="U1343" s="9">
        <f>STATS1003B!U1414/1000</f>
        <v>0</v>
      </c>
      <c r="V1343" s="9">
        <f>STATS1003B!V1414/1000</f>
        <v>80</v>
      </c>
      <c r="W1343" s="9">
        <f>STATS1003B!W1414/1000</f>
        <v>0</v>
      </c>
      <c r="X1343" s="9">
        <f>STATS1003B!X1414/1000</f>
        <v>80</v>
      </c>
      <c r="Y1343" s="9">
        <f>STATS1003B!Y1414/1000</f>
        <v>0</v>
      </c>
      <c r="Z1343" s="9">
        <f>STATS1003B!Z1414/1000</f>
        <v>0</v>
      </c>
      <c r="AA1343" s="9">
        <f>STATS1003B!AA1414/1000</f>
        <v>80</v>
      </c>
      <c r="AB1343" s="9">
        <f>STATS1003B!AB1414/1000</f>
        <v>0</v>
      </c>
    </row>
    <row r="1344" spans="1:28" x14ac:dyDescent="0.35">
      <c r="A1344" s="36"/>
      <c r="B1344" s="8"/>
      <c r="C1344" s="7" t="s">
        <v>727</v>
      </c>
      <c r="D1344" s="15" t="s">
        <v>85</v>
      </c>
      <c r="E1344" s="9">
        <f>STATS1003B!E1415/1000</f>
        <v>186.55</v>
      </c>
      <c r="F1344" s="9">
        <f>STATS1003B!F1415/1000</f>
        <v>186.55</v>
      </c>
      <c r="G1344" s="9">
        <f>STATS1003B!G1415/1000</f>
        <v>0</v>
      </c>
      <c r="H1344" s="9">
        <f>STATS1003B!H1415/1000</f>
        <v>186.55</v>
      </c>
      <c r="I1344" s="9">
        <f>STATS1003B!I1415/1000</f>
        <v>0</v>
      </c>
      <c r="J1344" s="9">
        <f>STATS1003B!J1415/1000</f>
        <v>186.55</v>
      </c>
      <c r="K1344" s="9">
        <f>STATS1003B!K1415/1000</f>
        <v>0</v>
      </c>
      <c r="L1344" s="9">
        <f>STATS1003B!L1415/1000</f>
        <v>0</v>
      </c>
      <c r="M1344" s="9">
        <f>STATS1003B!M1415/1000</f>
        <v>186.55</v>
      </c>
      <c r="N1344" s="9">
        <f>STATS1003B!N1415/1000</f>
        <v>0</v>
      </c>
      <c r="O1344" s="9">
        <f>STATS1003B!O1415/1000</f>
        <v>0</v>
      </c>
      <c r="P1344" s="9">
        <f>STATS1003B!P1415/1000</f>
        <v>0</v>
      </c>
      <c r="Q1344" s="9">
        <f>STATS1003B!Q1415/1000</f>
        <v>186.55</v>
      </c>
      <c r="R1344" s="9">
        <f>STATS1003B!R1415/1000</f>
        <v>0</v>
      </c>
      <c r="S1344" s="9">
        <f>STATS1003B!S1415/1000</f>
        <v>0</v>
      </c>
      <c r="T1344" s="9">
        <f>STATS1003B!T1415/1000</f>
        <v>0</v>
      </c>
      <c r="U1344" s="9">
        <f>STATS1003B!U1415/1000</f>
        <v>0</v>
      </c>
      <c r="V1344" s="9">
        <f>STATS1003B!V1415/1000</f>
        <v>186.55</v>
      </c>
      <c r="W1344" s="9">
        <f>STATS1003B!W1415/1000</f>
        <v>0</v>
      </c>
      <c r="X1344" s="9">
        <f>STATS1003B!X1415/1000</f>
        <v>186.55</v>
      </c>
      <c r="Y1344" s="9">
        <f>STATS1003B!Y1415/1000</f>
        <v>0</v>
      </c>
      <c r="Z1344" s="9">
        <f>STATS1003B!Z1415/1000</f>
        <v>0</v>
      </c>
      <c r="AA1344" s="9">
        <f>STATS1003B!AA1415/1000</f>
        <v>186.55</v>
      </c>
      <c r="AB1344" s="9">
        <f>STATS1003B!AB1415/1000</f>
        <v>0</v>
      </c>
    </row>
    <row r="1345" spans="1:28" x14ac:dyDescent="0.35">
      <c r="A1345" s="36"/>
      <c r="B1345" s="8"/>
      <c r="C1345" s="7" t="s">
        <v>671</v>
      </c>
      <c r="D1345" s="15" t="s">
        <v>85</v>
      </c>
      <c r="E1345" s="9">
        <f>STATS1003B!E1416/1000</f>
        <v>0</v>
      </c>
      <c r="F1345" s="9">
        <f>STATS1003B!F1416/1000</f>
        <v>0</v>
      </c>
      <c r="G1345" s="9">
        <f>STATS1003B!G1416/1000</f>
        <v>0</v>
      </c>
      <c r="H1345" s="9">
        <f>STATS1003B!H1416/1000</f>
        <v>0</v>
      </c>
      <c r="I1345" s="9">
        <f>STATS1003B!I1416/1000</f>
        <v>0</v>
      </c>
      <c r="J1345" s="9">
        <f>STATS1003B!J1416/1000</f>
        <v>0</v>
      </c>
      <c r="K1345" s="9">
        <f>STATS1003B!K1416/1000</f>
        <v>0</v>
      </c>
      <c r="L1345" s="9">
        <f>STATS1003B!L1416/1000</f>
        <v>0</v>
      </c>
      <c r="M1345" s="9">
        <f>STATS1003B!M1416/1000</f>
        <v>0</v>
      </c>
      <c r="N1345" s="9">
        <f>STATS1003B!N1416/1000</f>
        <v>0</v>
      </c>
      <c r="O1345" s="9">
        <f>STATS1003B!O1416/1000</f>
        <v>0</v>
      </c>
      <c r="P1345" s="9">
        <f>STATS1003B!P1416/1000</f>
        <v>0</v>
      </c>
      <c r="Q1345" s="9">
        <f>STATS1003B!Q1416/1000</f>
        <v>0</v>
      </c>
      <c r="R1345" s="9">
        <f>STATS1003B!R1416/1000</f>
        <v>0</v>
      </c>
      <c r="S1345" s="9">
        <f>STATS1003B!S1416/1000</f>
        <v>0</v>
      </c>
      <c r="T1345" s="9">
        <f>STATS1003B!T1416/1000</f>
        <v>0</v>
      </c>
      <c r="U1345" s="9">
        <f>STATS1003B!U1416/1000</f>
        <v>0</v>
      </c>
      <c r="V1345" s="9">
        <f>STATS1003B!V1416/1000</f>
        <v>0</v>
      </c>
      <c r="W1345" s="9">
        <f>STATS1003B!W1416/1000</f>
        <v>0</v>
      </c>
      <c r="X1345" s="9">
        <f>STATS1003B!X1416/1000</f>
        <v>0</v>
      </c>
      <c r="Y1345" s="9">
        <f>STATS1003B!Y1416/1000</f>
        <v>0</v>
      </c>
      <c r="Z1345" s="9">
        <f>STATS1003B!Z1416/1000</f>
        <v>0</v>
      </c>
      <c r="AA1345" s="9">
        <f>STATS1003B!AA1416/1000</f>
        <v>0</v>
      </c>
      <c r="AB1345" s="9">
        <f>STATS1003B!AB1416/1000</f>
        <v>0</v>
      </c>
    </row>
    <row r="1346" spans="1:28" x14ac:dyDescent="0.35">
      <c r="A1346" s="36"/>
      <c r="B1346" s="8"/>
      <c r="C1346" s="7" t="s">
        <v>535</v>
      </c>
      <c r="D1346" s="15" t="s">
        <v>128</v>
      </c>
      <c r="E1346" s="9">
        <f>STATS1003B!E1417/1000</f>
        <v>1845</v>
      </c>
      <c r="F1346" s="9">
        <f>STATS1003B!F1417/1000</f>
        <v>1845</v>
      </c>
      <c r="G1346" s="9">
        <f>STATS1003B!G1417/1000</f>
        <v>0</v>
      </c>
      <c r="H1346" s="9">
        <f>STATS1003B!H1417/1000</f>
        <v>1845</v>
      </c>
      <c r="I1346" s="9">
        <f>STATS1003B!I1417/1000</f>
        <v>0</v>
      </c>
      <c r="J1346" s="9">
        <f>STATS1003B!J1417/1000</f>
        <v>1845</v>
      </c>
      <c r="K1346" s="9">
        <f>STATS1003B!K1417/1000</f>
        <v>0</v>
      </c>
      <c r="L1346" s="9">
        <f>STATS1003B!L1417/1000</f>
        <v>0</v>
      </c>
      <c r="M1346" s="9">
        <f>STATS1003B!M1417/1000</f>
        <v>1845</v>
      </c>
      <c r="N1346" s="9">
        <f>STATS1003B!N1417/1000</f>
        <v>0</v>
      </c>
      <c r="O1346" s="9">
        <f>STATS1003B!O1417/1000</f>
        <v>0</v>
      </c>
      <c r="P1346" s="9">
        <f>STATS1003B!P1417/1000</f>
        <v>0</v>
      </c>
      <c r="Q1346" s="9">
        <f>STATS1003B!Q1417/1000</f>
        <v>1845</v>
      </c>
      <c r="R1346" s="9">
        <f>STATS1003B!R1417/1000</f>
        <v>0</v>
      </c>
      <c r="S1346" s="9">
        <f>STATS1003B!S1417/1000</f>
        <v>0</v>
      </c>
      <c r="T1346" s="9">
        <f>STATS1003B!T1417/1000</f>
        <v>0</v>
      </c>
      <c r="U1346" s="9">
        <f>STATS1003B!U1417/1000</f>
        <v>0</v>
      </c>
      <c r="V1346" s="9">
        <f>STATS1003B!V1417/1000</f>
        <v>1845</v>
      </c>
      <c r="W1346" s="9">
        <f>STATS1003B!W1417/1000</f>
        <v>0</v>
      </c>
      <c r="X1346" s="9">
        <f>STATS1003B!X1417/1000</f>
        <v>1845</v>
      </c>
      <c r="Y1346" s="9">
        <f>STATS1003B!Y1417/1000</f>
        <v>0</v>
      </c>
      <c r="Z1346" s="9">
        <f>STATS1003B!Z1417/1000</f>
        <v>0</v>
      </c>
      <c r="AA1346" s="9">
        <f>STATS1003B!AA1417/1000</f>
        <v>1845</v>
      </c>
      <c r="AB1346" s="9">
        <f>STATS1003B!AB1417/1000</f>
        <v>0</v>
      </c>
    </row>
    <row r="1347" spans="1:28" x14ac:dyDescent="0.35">
      <c r="A1347" s="36"/>
      <c r="B1347" s="8"/>
      <c r="C1347" s="7" t="s">
        <v>535</v>
      </c>
      <c r="D1347" s="15" t="s">
        <v>88</v>
      </c>
      <c r="E1347" s="9">
        <f>STATS1003B!E1418/1000</f>
        <v>5079.89192</v>
      </c>
      <c r="F1347" s="9">
        <f>STATS1003B!F1418/1000</f>
        <v>5079.89192</v>
      </c>
      <c r="G1347" s="9">
        <f>STATS1003B!G1418/1000</f>
        <v>0</v>
      </c>
      <c r="H1347" s="9">
        <f>STATS1003B!H1418/1000</f>
        <v>5079.89192</v>
      </c>
      <c r="I1347" s="9">
        <f>STATS1003B!I1418/1000</f>
        <v>0</v>
      </c>
      <c r="J1347" s="9">
        <f>STATS1003B!J1418/1000</f>
        <v>5079.89192</v>
      </c>
      <c r="K1347" s="9">
        <f>STATS1003B!K1418/1000</f>
        <v>0</v>
      </c>
      <c r="L1347" s="9">
        <f>STATS1003B!L1418/1000</f>
        <v>0</v>
      </c>
      <c r="M1347" s="9">
        <f>STATS1003B!M1418/1000</f>
        <v>5079.89192</v>
      </c>
      <c r="N1347" s="9">
        <f>STATS1003B!N1418/1000</f>
        <v>0</v>
      </c>
      <c r="O1347" s="9">
        <f>STATS1003B!O1418/1000</f>
        <v>0</v>
      </c>
      <c r="P1347" s="9">
        <f>STATS1003B!P1418/1000</f>
        <v>0</v>
      </c>
      <c r="Q1347" s="9">
        <f>STATS1003B!Q1418/1000</f>
        <v>5079.89192</v>
      </c>
      <c r="R1347" s="9">
        <f>STATS1003B!R1418/1000</f>
        <v>0</v>
      </c>
      <c r="S1347" s="9">
        <f>STATS1003B!S1418/1000</f>
        <v>0</v>
      </c>
      <c r="T1347" s="9">
        <f>STATS1003B!T1418/1000</f>
        <v>0</v>
      </c>
      <c r="U1347" s="9">
        <f>STATS1003B!U1418/1000</f>
        <v>0</v>
      </c>
      <c r="V1347" s="9">
        <f>STATS1003B!V1418/1000</f>
        <v>5079.89192</v>
      </c>
      <c r="W1347" s="9">
        <f>STATS1003B!W1418/1000</f>
        <v>0</v>
      </c>
      <c r="X1347" s="9">
        <f>STATS1003B!X1418/1000</f>
        <v>5079.89192</v>
      </c>
      <c r="Y1347" s="9">
        <f>STATS1003B!Y1418/1000</f>
        <v>0</v>
      </c>
      <c r="Z1347" s="9">
        <f>STATS1003B!Z1418/1000</f>
        <v>0</v>
      </c>
      <c r="AA1347" s="9">
        <f>STATS1003B!AA1418/1000</f>
        <v>5079.89192</v>
      </c>
      <c r="AB1347" s="9">
        <f>STATS1003B!AB1418/1000</f>
        <v>0</v>
      </c>
    </row>
    <row r="1348" spans="1:28" x14ac:dyDescent="0.35">
      <c r="A1348" s="36"/>
      <c r="B1348" s="8"/>
      <c r="C1348" s="7" t="s">
        <v>535</v>
      </c>
      <c r="D1348" s="15" t="s">
        <v>108</v>
      </c>
      <c r="E1348" s="9">
        <f>STATS1003B!E1419/1000</f>
        <v>2000</v>
      </c>
      <c r="F1348" s="9">
        <f>STATS1003B!F1419/1000</f>
        <v>2000</v>
      </c>
      <c r="G1348" s="9">
        <f>STATS1003B!G1419/1000</f>
        <v>0</v>
      </c>
      <c r="H1348" s="9">
        <f>STATS1003B!H1419/1000</f>
        <v>2000</v>
      </c>
      <c r="I1348" s="9">
        <f>STATS1003B!I1419/1000</f>
        <v>0</v>
      </c>
      <c r="J1348" s="9">
        <f>STATS1003B!J1419/1000</f>
        <v>2000</v>
      </c>
      <c r="K1348" s="9">
        <f>STATS1003B!K1419/1000</f>
        <v>0</v>
      </c>
      <c r="L1348" s="9">
        <f>STATS1003B!L1419/1000</f>
        <v>0</v>
      </c>
      <c r="M1348" s="9">
        <f>STATS1003B!M1419/1000</f>
        <v>2000</v>
      </c>
      <c r="N1348" s="9">
        <f>STATS1003B!N1419/1000</f>
        <v>0</v>
      </c>
      <c r="O1348" s="9">
        <f>STATS1003B!O1419/1000</f>
        <v>0</v>
      </c>
      <c r="P1348" s="9">
        <f>STATS1003B!P1419/1000</f>
        <v>0</v>
      </c>
      <c r="Q1348" s="9">
        <f>STATS1003B!Q1419/1000</f>
        <v>2000</v>
      </c>
      <c r="R1348" s="9">
        <f>STATS1003B!R1419/1000</f>
        <v>0</v>
      </c>
      <c r="S1348" s="9">
        <f>STATS1003B!S1419/1000</f>
        <v>0</v>
      </c>
      <c r="T1348" s="9">
        <f>STATS1003B!T1419/1000</f>
        <v>0</v>
      </c>
      <c r="U1348" s="9">
        <f>STATS1003B!U1419/1000</f>
        <v>0</v>
      </c>
      <c r="V1348" s="9">
        <f>STATS1003B!V1419/1000</f>
        <v>2000</v>
      </c>
      <c r="W1348" s="9">
        <f>STATS1003B!W1419/1000</f>
        <v>0</v>
      </c>
      <c r="X1348" s="9">
        <f>STATS1003B!X1419/1000</f>
        <v>2000</v>
      </c>
      <c r="Y1348" s="9">
        <f>STATS1003B!Y1419/1000</f>
        <v>0</v>
      </c>
      <c r="Z1348" s="9">
        <f>STATS1003B!Z1419/1000</f>
        <v>0</v>
      </c>
      <c r="AA1348" s="9">
        <f>STATS1003B!AA1419/1000</f>
        <v>2000</v>
      </c>
      <c r="AB1348" s="9">
        <f>STATS1003B!AB1419/1000</f>
        <v>0</v>
      </c>
    </row>
    <row r="1349" spans="1:28" x14ac:dyDescent="0.35">
      <c r="A1349" s="36"/>
      <c r="B1349" s="8"/>
      <c r="C1349" s="7" t="s">
        <v>728</v>
      </c>
      <c r="D1349" s="15" t="s">
        <v>108</v>
      </c>
      <c r="E1349" s="9">
        <f>STATS1003B!E1420/1000</f>
        <v>800</v>
      </c>
      <c r="F1349" s="9">
        <f>STATS1003B!F1420/1000</f>
        <v>800</v>
      </c>
      <c r="G1349" s="9">
        <f>STATS1003B!G1420/1000</f>
        <v>0</v>
      </c>
      <c r="H1349" s="9">
        <f>STATS1003B!H1420/1000</f>
        <v>800</v>
      </c>
      <c r="I1349" s="9">
        <f>STATS1003B!I1420/1000</f>
        <v>0</v>
      </c>
      <c r="J1349" s="9">
        <f>STATS1003B!J1420/1000</f>
        <v>800</v>
      </c>
      <c r="K1349" s="9">
        <f>STATS1003B!K1420/1000</f>
        <v>0</v>
      </c>
      <c r="L1349" s="9">
        <f>STATS1003B!L1420/1000</f>
        <v>0</v>
      </c>
      <c r="M1349" s="9">
        <f>STATS1003B!M1420/1000</f>
        <v>800</v>
      </c>
      <c r="N1349" s="9">
        <f>STATS1003B!N1420/1000</f>
        <v>0</v>
      </c>
      <c r="O1349" s="9">
        <f>STATS1003B!O1420/1000</f>
        <v>0</v>
      </c>
      <c r="P1349" s="9">
        <f>STATS1003B!P1420/1000</f>
        <v>0</v>
      </c>
      <c r="Q1349" s="9">
        <f>STATS1003B!Q1420/1000</f>
        <v>800</v>
      </c>
      <c r="R1349" s="9">
        <f>STATS1003B!R1420/1000</f>
        <v>0</v>
      </c>
      <c r="S1349" s="9">
        <f>STATS1003B!S1420/1000</f>
        <v>0</v>
      </c>
      <c r="T1349" s="9">
        <f>STATS1003B!T1420/1000</f>
        <v>0</v>
      </c>
      <c r="U1349" s="9">
        <f>STATS1003B!U1420/1000</f>
        <v>0</v>
      </c>
      <c r="V1349" s="9">
        <f>STATS1003B!V1420/1000</f>
        <v>800</v>
      </c>
      <c r="W1349" s="9">
        <f>STATS1003B!W1420/1000</f>
        <v>0</v>
      </c>
      <c r="X1349" s="9">
        <f>STATS1003B!X1420/1000</f>
        <v>800</v>
      </c>
      <c r="Y1349" s="9">
        <f>STATS1003B!Y1420/1000</f>
        <v>0</v>
      </c>
      <c r="Z1349" s="9">
        <f>STATS1003B!Z1420/1000</f>
        <v>0</v>
      </c>
      <c r="AA1349" s="9">
        <f>STATS1003B!AA1420/1000</f>
        <v>800</v>
      </c>
      <c r="AB1349" s="9">
        <f>STATS1003B!AB1420/1000</f>
        <v>0</v>
      </c>
    </row>
    <row r="1350" spans="1:28" x14ac:dyDescent="0.35">
      <c r="A1350" s="36"/>
      <c r="B1350" s="8"/>
      <c r="C1350" s="7" t="s">
        <v>729</v>
      </c>
      <c r="D1350" s="15" t="s">
        <v>108</v>
      </c>
      <c r="E1350" s="9">
        <f>STATS1003B!E1421/1000</f>
        <v>3800</v>
      </c>
      <c r="F1350" s="9">
        <f>STATS1003B!F1421/1000</f>
        <v>3800</v>
      </c>
      <c r="G1350" s="9">
        <f>STATS1003B!G1421/1000</f>
        <v>0</v>
      </c>
      <c r="H1350" s="9">
        <f>STATS1003B!H1421/1000</f>
        <v>3800</v>
      </c>
      <c r="I1350" s="9">
        <f>STATS1003B!I1421/1000</f>
        <v>0</v>
      </c>
      <c r="J1350" s="9">
        <f>STATS1003B!J1421/1000</f>
        <v>3800</v>
      </c>
      <c r="K1350" s="9">
        <f>STATS1003B!K1421/1000</f>
        <v>0</v>
      </c>
      <c r="L1350" s="9">
        <f>STATS1003B!L1421/1000</f>
        <v>0</v>
      </c>
      <c r="M1350" s="9">
        <f>STATS1003B!M1421/1000</f>
        <v>3800</v>
      </c>
      <c r="N1350" s="9">
        <f>STATS1003B!N1421/1000</f>
        <v>0</v>
      </c>
      <c r="O1350" s="9">
        <f>STATS1003B!O1421/1000</f>
        <v>0</v>
      </c>
      <c r="P1350" s="9">
        <f>STATS1003B!P1421/1000</f>
        <v>0</v>
      </c>
      <c r="Q1350" s="9">
        <f>STATS1003B!Q1421/1000</f>
        <v>3800</v>
      </c>
      <c r="R1350" s="9">
        <f>STATS1003B!R1421/1000</f>
        <v>0</v>
      </c>
      <c r="S1350" s="9">
        <f>STATS1003B!S1421/1000</f>
        <v>0</v>
      </c>
      <c r="T1350" s="9">
        <f>STATS1003B!T1421/1000</f>
        <v>0</v>
      </c>
      <c r="U1350" s="9">
        <f>STATS1003B!U1421/1000</f>
        <v>0</v>
      </c>
      <c r="V1350" s="9">
        <f>STATS1003B!V1421/1000</f>
        <v>3800</v>
      </c>
      <c r="W1350" s="9">
        <f>STATS1003B!W1421/1000</f>
        <v>0</v>
      </c>
      <c r="X1350" s="9">
        <f>STATS1003B!X1421/1000</f>
        <v>3800</v>
      </c>
      <c r="Y1350" s="9">
        <f>STATS1003B!Y1421/1000</f>
        <v>0</v>
      </c>
      <c r="Z1350" s="9">
        <f>STATS1003B!Z1421/1000</f>
        <v>0</v>
      </c>
      <c r="AA1350" s="9">
        <f>STATS1003B!AA1421/1000</f>
        <v>3800</v>
      </c>
      <c r="AB1350" s="9">
        <f>STATS1003B!AB1421/1000</f>
        <v>0</v>
      </c>
    </row>
    <row r="1351" spans="1:28" x14ac:dyDescent="0.35">
      <c r="A1351" s="36"/>
      <c r="B1351" s="8"/>
      <c r="C1351" s="7" t="s">
        <v>535</v>
      </c>
      <c r="D1351" s="21" t="s">
        <v>60</v>
      </c>
      <c r="E1351" s="9">
        <f>STATS1003B!E1422/1000</f>
        <v>5448.9489999999996</v>
      </c>
      <c r="F1351" s="9">
        <f>STATS1003B!F1422/1000</f>
        <v>5448.9489999999996</v>
      </c>
      <c r="G1351" s="9">
        <f>STATS1003B!G1422/1000</f>
        <v>0</v>
      </c>
      <c r="H1351" s="9">
        <f>STATS1003B!H1422/1000</f>
        <v>5448.9489999999996</v>
      </c>
      <c r="I1351" s="9">
        <f>STATS1003B!I1422/1000</f>
        <v>0</v>
      </c>
      <c r="J1351" s="9">
        <f>STATS1003B!J1422/1000</f>
        <v>5448.9489999999996</v>
      </c>
      <c r="K1351" s="9">
        <f>STATS1003B!K1422/1000</f>
        <v>0</v>
      </c>
      <c r="L1351" s="9">
        <f>STATS1003B!L1422/1000</f>
        <v>0</v>
      </c>
      <c r="M1351" s="9">
        <f>STATS1003B!M1422/1000</f>
        <v>5448.9489999999996</v>
      </c>
      <c r="N1351" s="9">
        <f>STATS1003B!N1422/1000</f>
        <v>0</v>
      </c>
      <c r="O1351" s="9">
        <f>STATS1003B!O1422/1000</f>
        <v>0</v>
      </c>
      <c r="P1351" s="9">
        <f>STATS1003B!P1422/1000</f>
        <v>0</v>
      </c>
      <c r="Q1351" s="9">
        <f>STATS1003B!Q1422/1000</f>
        <v>5448.9489999999996</v>
      </c>
      <c r="R1351" s="9">
        <f>STATS1003B!R1422/1000</f>
        <v>0</v>
      </c>
      <c r="S1351" s="9">
        <f>STATS1003B!S1422/1000</f>
        <v>0</v>
      </c>
      <c r="T1351" s="9">
        <f>STATS1003B!T1422/1000</f>
        <v>0</v>
      </c>
      <c r="U1351" s="9">
        <f>STATS1003B!U1422/1000</f>
        <v>0</v>
      </c>
      <c r="V1351" s="9">
        <f>STATS1003B!V1422/1000</f>
        <v>5448.9489999999996</v>
      </c>
      <c r="W1351" s="9">
        <f>STATS1003B!W1422/1000</f>
        <v>0</v>
      </c>
      <c r="X1351" s="9">
        <f>STATS1003B!X1422/1000</f>
        <v>5448.9489999999996</v>
      </c>
      <c r="Y1351" s="9">
        <f>STATS1003B!Y1422/1000</f>
        <v>0</v>
      </c>
      <c r="Z1351" s="9">
        <f>STATS1003B!Z1422/1000</f>
        <v>0</v>
      </c>
      <c r="AA1351" s="9">
        <f>STATS1003B!AA1422/1000</f>
        <v>5448.9489999999996</v>
      </c>
      <c r="AB1351" s="9">
        <f>STATS1003B!AB1422/1000</f>
        <v>0</v>
      </c>
    </row>
    <row r="1352" spans="1:28" x14ac:dyDescent="0.35">
      <c r="A1352" s="36"/>
      <c r="B1352" s="8"/>
      <c r="C1352" s="7" t="s">
        <v>730</v>
      </c>
      <c r="D1352" s="21" t="s">
        <v>194</v>
      </c>
      <c r="E1352" s="9">
        <f>STATS1003B!E1423/1000</f>
        <v>751.37214000000006</v>
      </c>
      <c r="F1352" s="9">
        <f>STATS1003B!F1423/1000</f>
        <v>751.37214000000006</v>
      </c>
      <c r="G1352" s="9">
        <f>STATS1003B!G1423/1000</f>
        <v>0</v>
      </c>
      <c r="H1352" s="9">
        <f>STATS1003B!H1423/1000</f>
        <v>751.37214000000006</v>
      </c>
      <c r="I1352" s="9">
        <f>STATS1003B!I1423/1000</f>
        <v>0</v>
      </c>
      <c r="J1352" s="9">
        <f>STATS1003B!J1423/1000</f>
        <v>751.37214000000006</v>
      </c>
      <c r="K1352" s="9">
        <f>STATS1003B!K1423/1000</f>
        <v>0</v>
      </c>
      <c r="L1352" s="9">
        <f>STATS1003B!L1423/1000</f>
        <v>0</v>
      </c>
      <c r="M1352" s="9">
        <f>STATS1003B!M1423/1000</f>
        <v>751.37214000000006</v>
      </c>
      <c r="N1352" s="9">
        <f>STATS1003B!N1423/1000</f>
        <v>0</v>
      </c>
      <c r="O1352" s="9">
        <f>STATS1003B!O1423/1000</f>
        <v>0</v>
      </c>
      <c r="P1352" s="9">
        <f>STATS1003B!P1423/1000</f>
        <v>0</v>
      </c>
      <c r="Q1352" s="9">
        <f>STATS1003B!Q1423/1000</f>
        <v>751.37214000000006</v>
      </c>
      <c r="R1352" s="9">
        <f>STATS1003B!R1423/1000</f>
        <v>0</v>
      </c>
      <c r="S1352" s="9">
        <f>STATS1003B!S1423/1000</f>
        <v>0</v>
      </c>
      <c r="T1352" s="9">
        <f>STATS1003B!T1423/1000</f>
        <v>0</v>
      </c>
      <c r="U1352" s="9">
        <f>STATS1003B!U1423/1000</f>
        <v>0</v>
      </c>
      <c r="V1352" s="9">
        <f>STATS1003B!V1423/1000</f>
        <v>751.37214000000006</v>
      </c>
      <c r="W1352" s="9">
        <f>STATS1003B!W1423/1000</f>
        <v>0</v>
      </c>
      <c r="X1352" s="9">
        <f>STATS1003B!X1423/1000</f>
        <v>751.37214000000006</v>
      </c>
      <c r="Y1352" s="9">
        <f>STATS1003B!Y1423/1000</f>
        <v>0</v>
      </c>
      <c r="Z1352" s="9">
        <f>STATS1003B!Z1423/1000</f>
        <v>0</v>
      </c>
      <c r="AA1352" s="9">
        <f>STATS1003B!AA1423/1000</f>
        <v>751.37214000000006</v>
      </c>
      <c r="AB1352" s="9">
        <f>STATS1003B!AB1423/1000</f>
        <v>0</v>
      </c>
    </row>
    <row r="1353" spans="1:28" x14ac:dyDescent="0.35">
      <c r="A1353" s="36"/>
      <c r="B1353" s="8"/>
      <c r="C1353" s="7" t="s">
        <v>535</v>
      </c>
      <c r="D1353" s="21" t="s">
        <v>73</v>
      </c>
      <c r="E1353" s="9">
        <f>STATS1003B!E1424/1000</f>
        <v>5644.6472599999997</v>
      </c>
      <c r="F1353" s="9">
        <f>STATS1003B!F1424/1000</f>
        <v>5644.6472599999997</v>
      </c>
      <c r="G1353" s="9">
        <f>STATS1003B!G1424/1000</f>
        <v>0</v>
      </c>
      <c r="H1353" s="9">
        <f>STATS1003B!H1424/1000</f>
        <v>5644.6472599999997</v>
      </c>
      <c r="I1353" s="9">
        <f>STATS1003B!I1424/1000</f>
        <v>0</v>
      </c>
      <c r="J1353" s="9">
        <f>STATS1003B!J1424/1000</f>
        <v>5644.6472599999997</v>
      </c>
      <c r="K1353" s="9">
        <f>STATS1003B!K1424/1000</f>
        <v>0</v>
      </c>
      <c r="L1353" s="9">
        <f>STATS1003B!L1424/1000</f>
        <v>0</v>
      </c>
      <c r="M1353" s="9">
        <f>STATS1003B!M1424/1000</f>
        <v>5644.6472599999997</v>
      </c>
      <c r="N1353" s="9">
        <f>STATS1003B!N1424/1000</f>
        <v>0</v>
      </c>
      <c r="O1353" s="9">
        <f>STATS1003B!O1424/1000</f>
        <v>0</v>
      </c>
      <c r="P1353" s="9">
        <f>STATS1003B!P1424/1000</f>
        <v>0</v>
      </c>
      <c r="Q1353" s="9">
        <f>STATS1003B!Q1424/1000</f>
        <v>5644.6472599999997</v>
      </c>
      <c r="R1353" s="9">
        <f>STATS1003B!R1424/1000</f>
        <v>0</v>
      </c>
      <c r="S1353" s="9">
        <f>STATS1003B!S1424/1000</f>
        <v>0</v>
      </c>
      <c r="T1353" s="9">
        <f>STATS1003B!T1424/1000</f>
        <v>0</v>
      </c>
      <c r="U1353" s="9">
        <f>STATS1003B!U1424/1000</f>
        <v>0</v>
      </c>
      <c r="V1353" s="9">
        <f>STATS1003B!V1424/1000</f>
        <v>5644.6472599999997</v>
      </c>
      <c r="W1353" s="9">
        <f>STATS1003B!W1424/1000</f>
        <v>0</v>
      </c>
      <c r="X1353" s="9">
        <f>STATS1003B!X1424/1000</f>
        <v>5644.6472599999997</v>
      </c>
      <c r="Y1353" s="9">
        <f>STATS1003B!Y1424/1000</f>
        <v>0</v>
      </c>
      <c r="Z1353" s="9">
        <f>STATS1003B!Z1424/1000</f>
        <v>0</v>
      </c>
      <c r="AA1353" s="9">
        <f>STATS1003B!AA1424/1000</f>
        <v>5644.6472599999997</v>
      </c>
      <c r="AB1353" s="9">
        <f>STATS1003B!AB1424/1000</f>
        <v>0</v>
      </c>
    </row>
    <row r="1354" spans="1:28" x14ac:dyDescent="0.35">
      <c r="A1354" s="36"/>
      <c r="B1354" s="8"/>
      <c r="C1354" s="14" t="s">
        <v>621</v>
      </c>
      <c r="D1354" s="21" t="s">
        <v>73</v>
      </c>
      <c r="E1354" s="9">
        <f>STATS1003B!E1425/1000</f>
        <v>2299.712</v>
      </c>
      <c r="F1354" s="9">
        <f>STATS1003B!F1425/1000</f>
        <v>2299.712</v>
      </c>
      <c r="G1354" s="9">
        <f>STATS1003B!G1425/1000</f>
        <v>0</v>
      </c>
      <c r="H1354" s="9">
        <f>STATS1003B!H1425/1000</f>
        <v>2299.712</v>
      </c>
      <c r="I1354" s="9">
        <f>STATS1003B!I1425/1000</f>
        <v>0</v>
      </c>
      <c r="J1354" s="9">
        <f>STATS1003B!J1425/1000</f>
        <v>2299.712</v>
      </c>
      <c r="K1354" s="9">
        <f>STATS1003B!K1425/1000</f>
        <v>0</v>
      </c>
      <c r="L1354" s="9">
        <f>STATS1003B!L1425/1000</f>
        <v>0</v>
      </c>
      <c r="M1354" s="9">
        <f>STATS1003B!M1425/1000</f>
        <v>2299.712</v>
      </c>
      <c r="N1354" s="9">
        <f>STATS1003B!N1425/1000</f>
        <v>0</v>
      </c>
      <c r="O1354" s="9">
        <f>STATS1003B!O1425/1000</f>
        <v>0</v>
      </c>
      <c r="P1354" s="9">
        <f>STATS1003B!P1425/1000</f>
        <v>0</v>
      </c>
      <c r="Q1354" s="9">
        <f>STATS1003B!Q1425/1000</f>
        <v>2299.712</v>
      </c>
      <c r="R1354" s="9">
        <f>STATS1003B!R1425/1000</f>
        <v>0</v>
      </c>
      <c r="S1354" s="9">
        <f>STATS1003B!S1425/1000</f>
        <v>0</v>
      </c>
      <c r="T1354" s="9">
        <f>STATS1003B!T1425/1000</f>
        <v>0</v>
      </c>
      <c r="U1354" s="9">
        <f>STATS1003B!U1425/1000</f>
        <v>0</v>
      </c>
      <c r="V1354" s="9">
        <f>STATS1003B!V1425/1000</f>
        <v>2299.712</v>
      </c>
      <c r="W1354" s="9">
        <f>STATS1003B!W1425/1000</f>
        <v>0</v>
      </c>
      <c r="X1354" s="9">
        <f>STATS1003B!X1425/1000</f>
        <v>2299.712</v>
      </c>
      <c r="Y1354" s="9">
        <f>STATS1003B!Y1425/1000</f>
        <v>0</v>
      </c>
      <c r="Z1354" s="9">
        <f>STATS1003B!Z1425/1000</f>
        <v>0</v>
      </c>
      <c r="AA1354" s="9">
        <f>STATS1003B!AA1425/1000</f>
        <v>2299.712</v>
      </c>
      <c r="AB1354" s="9">
        <f>STATS1003B!AB1425/1000</f>
        <v>0</v>
      </c>
    </row>
    <row r="1355" spans="1:28" x14ac:dyDescent="0.35">
      <c r="A1355" s="36"/>
      <c r="B1355" s="8"/>
      <c r="C1355" s="14" t="s">
        <v>535</v>
      </c>
      <c r="D1355" s="21" t="s">
        <v>61</v>
      </c>
      <c r="E1355" s="9">
        <f>STATS1003B!E1426/1000</f>
        <v>9393.0918399999991</v>
      </c>
      <c r="F1355" s="9">
        <f>STATS1003B!F1426/1000</f>
        <v>9393.0918399999991</v>
      </c>
      <c r="G1355" s="9">
        <f>STATS1003B!G1426/1000</f>
        <v>0</v>
      </c>
      <c r="H1355" s="9">
        <f>STATS1003B!H1426/1000</f>
        <v>9393.0918399999991</v>
      </c>
      <c r="I1355" s="9">
        <f>STATS1003B!I1426/1000</f>
        <v>0</v>
      </c>
      <c r="J1355" s="9">
        <f>STATS1003B!J1426/1000</f>
        <v>9393.0918399999991</v>
      </c>
      <c r="K1355" s="9">
        <f>STATS1003B!K1426/1000</f>
        <v>0</v>
      </c>
      <c r="L1355" s="9">
        <f>STATS1003B!L1426/1000</f>
        <v>0</v>
      </c>
      <c r="M1355" s="9">
        <f>STATS1003B!M1426/1000</f>
        <v>9393.0918399999991</v>
      </c>
      <c r="N1355" s="9">
        <f>STATS1003B!N1426/1000</f>
        <v>0</v>
      </c>
      <c r="O1355" s="9">
        <f>STATS1003B!O1426/1000</f>
        <v>0</v>
      </c>
      <c r="P1355" s="9">
        <f>STATS1003B!P1426/1000</f>
        <v>0</v>
      </c>
      <c r="Q1355" s="9">
        <f>STATS1003B!Q1426/1000</f>
        <v>9393.0918399999991</v>
      </c>
      <c r="R1355" s="9">
        <f>STATS1003B!R1426/1000</f>
        <v>0</v>
      </c>
      <c r="S1355" s="9">
        <f>STATS1003B!S1426/1000</f>
        <v>0</v>
      </c>
      <c r="T1355" s="9">
        <f>STATS1003B!T1426/1000</f>
        <v>0</v>
      </c>
      <c r="U1355" s="9">
        <f>STATS1003B!U1426/1000</f>
        <v>0</v>
      </c>
      <c r="V1355" s="9">
        <f>STATS1003B!V1426/1000</f>
        <v>9393.0918399999991</v>
      </c>
      <c r="W1355" s="9">
        <f>STATS1003B!W1426/1000</f>
        <v>0</v>
      </c>
      <c r="X1355" s="9">
        <f>STATS1003B!X1426/1000</f>
        <v>9393.0918399999991</v>
      </c>
      <c r="Y1355" s="9">
        <f>STATS1003B!Y1426/1000</f>
        <v>0</v>
      </c>
      <c r="Z1355" s="9">
        <f>STATS1003B!Z1426/1000</f>
        <v>0</v>
      </c>
      <c r="AA1355" s="9">
        <f>STATS1003B!AA1426/1000</f>
        <v>9393.0918399999991</v>
      </c>
      <c r="AB1355" s="9">
        <f>STATS1003B!AB1426/1000</f>
        <v>0</v>
      </c>
    </row>
    <row r="1356" spans="1:28" x14ac:dyDescent="0.35">
      <c r="A1356" s="36"/>
      <c r="B1356" s="8"/>
      <c r="C1356" s="14" t="s">
        <v>621</v>
      </c>
      <c r="D1356" s="21" t="s">
        <v>61</v>
      </c>
      <c r="E1356" s="9">
        <f>STATS1003B!E1427/1000</f>
        <v>1444.90717</v>
      </c>
      <c r="F1356" s="9">
        <f>STATS1003B!F1427/1000</f>
        <v>1444.90717</v>
      </c>
      <c r="G1356" s="9">
        <f>STATS1003B!G1427/1000</f>
        <v>0</v>
      </c>
      <c r="H1356" s="9">
        <f>STATS1003B!H1427/1000</f>
        <v>1444.90717</v>
      </c>
      <c r="I1356" s="9">
        <f>STATS1003B!I1427/1000</f>
        <v>0</v>
      </c>
      <c r="J1356" s="9">
        <f>STATS1003B!J1427/1000</f>
        <v>1444.90717</v>
      </c>
      <c r="K1356" s="9">
        <f>STATS1003B!K1427/1000</f>
        <v>0</v>
      </c>
      <c r="L1356" s="9">
        <f>STATS1003B!L1427/1000</f>
        <v>0</v>
      </c>
      <c r="M1356" s="9">
        <f>STATS1003B!M1427/1000</f>
        <v>1444.90717</v>
      </c>
      <c r="N1356" s="9">
        <f>STATS1003B!N1427/1000</f>
        <v>0</v>
      </c>
      <c r="O1356" s="9">
        <f>STATS1003B!O1427/1000</f>
        <v>0</v>
      </c>
      <c r="P1356" s="9">
        <f>STATS1003B!P1427/1000</f>
        <v>0</v>
      </c>
      <c r="Q1356" s="9">
        <f>STATS1003B!Q1427/1000</f>
        <v>1444.90717</v>
      </c>
      <c r="R1356" s="9">
        <f>STATS1003B!R1427/1000</f>
        <v>0</v>
      </c>
      <c r="S1356" s="9">
        <f>STATS1003B!S1427/1000</f>
        <v>0</v>
      </c>
      <c r="T1356" s="9">
        <f>STATS1003B!T1427/1000</f>
        <v>0</v>
      </c>
      <c r="U1356" s="9">
        <f>STATS1003B!U1427/1000</f>
        <v>0</v>
      </c>
      <c r="V1356" s="9">
        <f>STATS1003B!V1427/1000</f>
        <v>1444.90717</v>
      </c>
      <c r="W1356" s="9">
        <f>STATS1003B!W1427/1000</f>
        <v>0</v>
      </c>
      <c r="X1356" s="9">
        <f>STATS1003B!X1427/1000</f>
        <v>1444.90717</v>
      </c>
      <c r="Y1356" s="9">
        <f>STATS1003B!Y1427/1000</f>
        <v>0</v>
      </c>
      <c r="Z1356" s="9">
        <f>STATS1003B!Z1427/1000</f>
        <v>0</v>
      </c>
      <c r="AA1356" s="9">
        <f>STATS1003B!AA1427/1000</f>
        <v>1444.90717</v>
      </c>
      <c r="AB1356" s="9">
        <f>STATS1003B!AB1427/1000</f>
        <v>0</v>
      </c>
    </row>
    <row r="1357" spans="1:28" x14ac:dyDescent="0.35">
      <c r="A1357" s="36"/>
      <c r="B1357" s="8"/>
      <c r="C1357" s="14" t="s">
        <v>929</v>
      </c>
      <c r="D1357" s="24" t="s">
        <v>1072</v>
      </c>
      <c r="E1357" s="9">
        <f>STATS1003B!E1428/1000</f>
        <v>3957.6431000000002</v>
      </c>
      <c r="F1357" s="9">
        <f>STATS1003B!F1428/1000</f>
        <v>3957.6431000000002</v>
      </c>
      <c r="G1357" s="9">
        <f>STATS1003B!G1428/1000</f>
        <v>0</v>
      </c>
      <c r="H1357" s="9">
        <f>STATS1003B!H1428/1000</f>
        <v>3957.6431000000002</v>
      </c>
      <c r="I1357" s="9">
        <f>STATS1003B!I1428/1000</f>
        <v>0</v>
      </c>
      <c r="J1357" s="9">
        <f>STATS1003B!J1428/1000</f>
        <v>0</v>
      </c>
      <c r="K1357" s="9">
        <f>STATS1003B!K1428/1000</f>
        <v>0</v>
      </c>
      <c r="L1357" s="9">
        <f>STATS1003B!L1428/1000</f>
        <v>0</v>
      </c>
      <c r="M1357" s="9">
        <f>STATS1003B!M1428/1000</f>
        <v>3957.6431000000002</v>
      </c>
      <c r="N1357" s="9">
        <f>STATS1003B!N1428/1000</f>
        <v>0</v>
      </c>
      <c r="O1357" s="9">
        <f>STATS1003B!O1428/1000</f>
        <v>0</v>
      </c>
      <c r="P1357" s="9">
        <f>STATS1003B!P1428/1000</f>
        <v>0</v>
      </c>
      <c r="Q1357" s="9">
        <f>STATS1003B!Q1428/1000</f>
        <v>0</v>
      </c>
      <c r="R1357" s="9">
        <f>STATS1003B!R1428/1000</f>
        <v>0</v>
      </c>
      <c r="S1357" s="9">
        <f>STATS1003B!S1428/1000</f>
        <v>0</v>
      </c>
      <c r="T1357" s="9">
        <f>STATS1003B!T1428/1000</f>
        <v>0</v>
      </c>
      <c r="U1357" s="9">
        <f>STATS1003B!U1428/1000</f>
        <v>0</v>
      </c>
      <c r="V1357" s="9">
        <f>STATS1003B!V1428/1000</f>
        <v>3957.6431000000002</v>
      </c>
      <c r="W1357" s="9">
        <f>STATS1003B!W1428/1000</f>
        <v>0</v>
      </c>
      <c r="X1357" s="9">
        <f>STATS1003B!X1428/1000</f>
        <v>3957.6431000000002</v>
      </c>
      <c r="Y1357" s="9">
        <f>STATS1003B!Y1428/1000</f>
        <v>0</v>
      </c>
      <c r="Z1357" s="9">
        <f>STATS1003B!Z1428/1000</f>
        <v>0</v>
      </c>
      <c r="AA1357" s="9">
        <f>STATS1003B!AA1428/1000</f>
        <v>3957.6431000000002</v>
      </c>
      <c r="AB1357" s="9">
        <f>STATS1003B!AB1428/1000</f>
        <v>0</v>
      </c>
    </row>
    <row r="1358" spans="1:28" x14ac:dyDescent="0.35">
      <c r="A1358" s="36"/>
      <c r="B1358" s="8"/>
      <c r="C1358" s="7" t="s">
        <v>577</v>
      </c>
      <c r="D1358" s="8"/>
      <c r="E1358" s="9">
        <f>STATS1003B!E1430/1000</f>
        <v>39.02711</v>
      </c>
      <c r="F1358" s="9">
        <f>STATS1003B!F1430/1000</f>
        <v>0</v>
      </c>
      <c r="G1358" s="9">
        <f>STATS1003B!G1430/1000</f>
        <v>0</v>
      </c>
      <c r="H1358" s="9">
        <f>STATS1003B!H1430/1000</f>
        <v>0</v>
      </c>
      <c r="I1358" s="9">
        <f>STATS1003B!I1430/1000</f>
        <v>0</v>
      </c>
      <c r="J1358" s="9">
        <f>STATS1003B!J1430/1000</f>
        <v>0</v>
      </c>
      <c r="K1358" s="9">
        <f>STATS1003B!K1430/1000</f>
        <v>39.02711</v>
      </c>
      <c r="L1358" s="9">
        <f>STATS1003B!L1430/1000</f>
        <v>0</v>
      </c>
      <c r="M1358" s="9">
        <f>STATS1003B!M1430/1000</f>
        <v>0</v>
      </c>
      <c r="N1358" s="9">
        <f>STATS1003B!N1430/1000</f>
        <v>39.02711</v>
      </c>
      <c r="O1358" s="9">
        <f>STATS1003B!O1430/1000</f>
        <v>0</v>
      </c>
      <c r="P1358" s="9">
        <f>STATS1003B!P1430/1000</f>
        <v>39.02711</v>
      </c>
      <c r="Q1358" s="9">
        <f>STATS1003B!Q1430/1000</f>
        <v>0</v>
      </c>
      <c r="R1358" s="9">
        <f>STATS1003B!R1430/1000</f>
        <v>0</v>
      </c>
      <c r="S1358" s="9">
        <f>STATS1003B!S1430/1000</f>
        <v>0</v>
      </c>
      <c r="T1358" s="9">
        <f>STATS1003B!T1430/1000</f>
        <v>0</v>
      </c>
      <c r="U1358" s="9">
        <f>STATS1003B!U1430/1000</f>
        <v>39.02711</v>
      </c>
      <c r="V1358" s="9">
        <f>STATS1003B!V1430/1000</f>
        <v>39.02711</v>
      </c>
      <c r="W1358" s="9">
        <f>STATS1003B!W1430/1000</f>
        <v>0</v>
      </c>
      <c r="X1358" s="9">
        <f>STATS1003B!X1430/1000</f>
        <v>39.02711</v>
      </c>
      <c r="Y1358" s="9">
        <f>STATS1003B!Y1430/1000</f>
        <v>0</v>
      </c>
      <c r="Z1358" s="9">
        <f>STATS1003B!Z1430/1000</f>
        <v>0</v>
      </c>
      <c r="AA1358" s="9">
        <f>STATS1003B!AA1430/1000</f>
        <v>39.02711</v>
      </c>
      <c r="AB1358" s="9">
        <f>STATS1003B!AB1430/1000</f>
        <v>0</v>
      </c>
    </row>
    <row r="1359" spans="1:28" x14ac:dyDescent="0.35">
      <c r="A1359" s="36"/>
      <c r="B1359" s="8"/>
      <c r="C1359" s="7" t="s">
        <v>592</v>
      </c>
      <c r="D1359" s="8"/>
      <c r="E1359" s="9">
        <f>STATS1003B!E1431/1000</f>
        <v>2244.0192499999998</v>
      </c>
      <c r="F1359" s="9">
        <f>STATS1003B!F1431/1000</f>
        <v>2241.9070000000002</v>
      </c>
      <c r="G1359" s="9">
        <f>STATS1003B!G1431/1000</f>
        <v>0</v>
      </c>
      <c r="H1359" s="9">
        <f>STATS1003B!H1431/1000</f>
        <v>2241.9070000000002</v>
      </c>
      <c r="I1359" s="9">
        <f>STATS1003B!I1431/1000</f>
        <v>0</v>
      </c>
      <c r="J1359" s="9">
        <f>STATS1003B!J1431/1000</f>
        <v>2241.9070000000002</v>
      </c>
      <c r="K1359" s="9">
        <f>STATS1003B!K1431/1000</f>
        <v>2.11225</v>
      </c>
      <c r="L1359" s="9">
        <f>STATS1003B!L1431/1000</f>
        <v>0</v>
      </c>
      <c r="M1359" s="9">
        <f>STATS1003B!M1431/1000</f>
        <v>2241.9070000000002</v>
      </c>
      <c r="N1359" s="9">
        <f>STATS1003B!N1431/1000</f>
        <v>2.11225</v>
      </c>
      <c r="O1359" s="9">
        <f>STATS1003B!O1431/1000</f>
        <v>0</v>
      </c>
      <c r="P1359" s="9">
        <f>STATS1003B!P1431/1000</f>
        <v>2.11225</v>
      </c>
      <c r="Q1359" s="9">
        <f>STATS1003B!Q1431/1000</f>
        <v>2241.9070000000002</v>
      </c>
      <c r="R1359" s="9">
        <f>STATS1003B!R1431/1000</f>
        <v>0</v>
      </c>
      <c r="S1359" s="9">
        <f>STATS1003B!S1431/1000</f>
        <v>0</v>
      </c>
      <c r="T1359" s="9">
        <f>STATS1003B!T1431/1000</f>
        <v>0</v>
      </c>
      <c r="U1359" s="9">
        <f>STATS1003B!U1431/1000</f>
        <v>2.11225</v>
      </c>
      <c r="V1359" s="9">
        <f>STATS1003B!V1431/1000</f>
        <v>2244.0192499999998</v>
      </c>
      <c r="W1359" s="9">
        <f>STATS1003B!W1431/1000</f>
        <v>0</v>
      </c>
      <c r="X1359" s="9">
        <f>STATS1003B!X1431/1000</f>
        <v>2244.0192499999998</v>
      </c>
      <c r="Y1359" s="9">
        <f>STATS1003B!Y1431/1000</f>
        <v>0</v>
      </c>
      <c r="Z1359" s="9">
        <f>STATS1003B!Z1431/1000</f>
        <v>0</v>
      </c>
      <c r="AA1359" s="9">
        <f>STATS1003B!AA1431/1000</f>
        <v>2244.0192499999998</v>
      </c>
      <c r="AB1359" s="9">
        <f>STATS1003B!AB1431/1000</f>
        <v>0</v>
      </c>
    </row>
    <row r="1360" spans="1:28" x14ac:dyDescent="0.35">
      <c r="A1360" s="36"/>
      <c r="B1360" s="8"/>
      <c r="C1360" s="7" t="s">
        <v>678</v>
      </c>
      <c r="D1360" s="8"/>
      <c r="E1360" s="9">
        <f>STATS1003B!E1432/1000</f>
        <v>9781.0543100000014</v>
      </c>
      <c r="F1360" s="9">
        <f>STATS1003B!F1432/1000</f>
        <v>7920.6910900000003</v>
      </c>
      <c r="G1360" s="9">
        <f>STATS1003B!G1432/1000</f>
        <v>0</v>
      </c>
      <c r="H1360" s="9">
        <f>STATS1003B!H1432/1000</f>
        <v>7920.6910900000003</v>
      </c>
      <c r="I1360" s="9">
        <f>STATS1003B!I1432/1000</f>
        <v>1860.36322</v>
      </c>
      <c r="J1360" s="9">
        <f>STATS1003B!J1432/1000</f>
        <v>9781.0543100000014</v>
      </c>
      <c r="K1360" s="9">
        <f>STATS1003B!K1432/1000</f>
        <v>0</v>
      </c>
      <c r="L1360" s="9">
        <f>STATS1003B!L1432/1000</f>
        <v>1860.36322</v>
      </c>
      <c r="M1360" s="9">
        <f>STATS1003B!M1432/1000</f>
        <v>9781.0543100000014</v>
      </c>
      <c r="N1360" s="9">
        <f>STATS1003B!N1432/1000</f>
        <v>0</v>
      </c>
      <c r="O1360" s="9">
        <f>STATS1003B!O1432/1000</f>
        <v>0</v>
      </c>
      <c r="P1360" s="9">
        <f>STATS1003B!P1432/1000</f>
        <v>0</v>
      </c>
      <c r="Q1360" s="9">
        <f>STATS1003B!Q1432/1000</f>
        <v>9781.0543100000014</v>
      </c>
      <c r="R1360" s="9">
        <f>STATS1003B!R1432/1000</f>
        <v>0</v>
      </c>
      <c r="S1360" s="9">
        <f>STATS1003B!S1432/1000</f>
        <v>0</v>
      </c>
      <c r="T1360" s="9">
        <f>STATS1003B!T1432/1000</f>
        <v>0</v>
      </c>
      <c r="U1360" s="9">
        <f>STATS1003B!U1432/1000</f>
        <v>0</v>
      </c>
      <c r="V1360" s="9">
        <f>STATS1003B!V1432/1000</f>
        <v>7920.6910900000003</v>
      </c>
      <c r="W1360" s="9">
        <f>STATS1003B!W1432/1000</f>
        <v>1860.3632200000006</v>
      </c>
      <c r="X1360" s="9">
        <f>STATS1003B!X1432/1000</f>
        <v>7920.6910900000003</v>
      </c>
      <c r="Y1360" s="9">
        <f>STATS1003B!Y1432/1000</f>
        <v>0</v>
      </c>
      <c r="Z1360" s="9">
        <f>STATS1003B!Z1432/1000</f>
        <v>1860.3632200000006</v>
      </c>
      <c r="AA1360" s="9">
        <f>STATS1003B!AA1432/1000</f>
        <v>9781.0543100000014</v>
      </c>
      <c r="AB1360" s="9">
        <f>STATS1003B!AB1432/1000</f>
        <v>0</v>
      </c>
    </row>
    <row r="1361" spans="1:28" x14ac:dyDescent="0.35">
      <c r="A1361" s="36"/>
      <c r="B1361" s="8"/>
      <c r="C1361" s="8"/>
      <c r="D1361" s="8"/>
      <c r="E1361" s="17" t="s">
        <v>29</v>
      </c>
      <c r="F1361" s="17" t="s">
        <v>29</v>
      </c>
      <c r="G1361" s="17" t="s">
        <v>29</v>
      </c>
      <c r="H1361" s="17" t="s">
        <v>29</v>
      </c>
      <c r="I1361" s="17" t="s">
        <v>29</v>
      </c>
      <c r="J1361" s="17" t="s">
        <v>29</v>
      </c>
      <c r="K1361" s="17" t="s">
        <v>29</v>
      </c>
      <c r="L1361" s="17" t="s">
        <v>29</v>
      </c>
      <c r="M1361" s="17" t="s">
        <v>29</v>
      </c>
      <c r="N1361" s="17" t="s">
        <v>29</v>
      </c>
      <c r="O1361" s="17" t="s">
        <v>29</v>
      </c>
      <c r="P1361" s="17" t="s">
        <v>29</v>
      </c>
      <c r="Q1361" s="17" t="s">
        <v>29</v>
      </c>
      <c r="R1361" s="17" t="s">
        <v>29</v>
      </c>
      <c r="S1361" s="17" t="s">
        <v>29</v>
      </c>
      <c r="T1361" s="17" t="s">
        <v>29</v>
      </c>
      <c r="U1361" s="17" t="s">
        <v>29</v>
      </c>
      <c r="V1361" s="17" t="s">
        <v>29</v>
      </c>
      <c r="W1361" s="17" t="s">
        <v>29</v>
      </c>
      <c r="X1361" s="17" t="s">
        <v>29</v>
      </c>
      <c r="Y1361" s="17" t="s">
        <v>29</v>
      </c>
      <c r="Z1361" s="17" t="s">
        <v>29</v>
      </c>
      <c r="AA1361" s="17" t="s">
        <v>29</v>
      </c>
      <c r="AB1361" s="17" t="s">
        <v>29</v>
      </c>
    </row>
    <row r="1362" spans="1:28" x14ac:dyDescent="0.35">
      <c r="A1362" s="36"/>
      <c r="B1362" s="8"/>
      <c r="C1362" s="8"/>
      <c r="D1362" s="8"/>
      <c r="E1362" s="9">
        <f t="shared" ref="E1362:Q1362" si="99">SUM(E1335:E1361)</f>
        <v>68274.794200000004</v>
      </c>
      <c r="F1362" s="9">
        <f t="shared" si="99"/>
        <v>59889.409999999996</v>
      </c>
      <c r="G1362" s="9">
        <f t="shared" si="99"/>
        <v>0</v>
      </c>
      <c r="H1362" s="9">
        <f t="shared" si="99"/>
        <v>59889.409999999996</v>
      </c>
      <c r="I1362" s="9">
        <f t="shared" si="99"/>
        <v>1860.36322</v>
      </c>
      <c r="J1362" s="9">
        <f t="shared" si="99"/>
        <v>57792.130119999994</v>
      </c>
      <c r="K1362" s="9">
        <f t="shared" si="99"/>
        <v>6525.0209800000002</v>
      </c>
      <c r="L1362" s="9">
        <f t="shared" si="99"/>
        <v>1860.36322</v>
      </c>
      <c r="M1362" s="9">
        <f t="shared" si="99"/>
        <v>61749.773219999995</v>
      </c>
      <c r="N1362" s="9">
        <f t="shared" si="99"/>
        <v>6525.0209800000002</v>
      </c>
      <c r="O1362" s="9">
        <f t="shared" si="99"/>
        <v>0</v>
      </c>
      <c r="P1362" s="9">
        <f t="shared" si="99"/>
        <v>6525.0209800000002</v>
      </c>
      <c r="Q1362" s="9">
        <f t="shared" si="99"/>
        <v>57792.130119999994</v>
      </c>
      <c r="R1362" s="17"/>
      <c r="S1362" s="17"/>
      <c r="T1362" s="9">
        <f t="shared" ref="T1362:Z1362" si="100">SUM(T1335:T1361)</f>
        <v>0</v>
      </c>
      <c r="U1362" s="9">
        <f t="shared" si="100"/>
        <v>6525.0209800000002</v>
      </c>
      <c r="V1362" s="9">
        <f t="shared" si="100"/>
        <v>66414.430980000005</v>
      </c>
      <c r="W1362" s="9">
        <f t="shared" si="100"/>
        <v>1860.3632200000006</v>
      </c>
      <c r="X1362" s="9">
        <f t="shared" si="100"/>
        <v>66414.430980000005</v>
      </c>
      <c r="Y1362" s="9">
        <f t="shared" si="100"/>
        <v>0</v>
      </c>
      <c r="Z1362" s="9">
        <f t="shared" si="100"/>
        <v>1860.3632200000006</v>
      </c>
      <c r="AA1362" s="9">
        <f>SUM(AA1335:AA1361)</f>
        <v>68274.794200000004</v>
      </c>
      <c r="AB1362" s="9">
        <f>SUM(AB1335:AB1361)</f>
        <v>0</v>
      </c>
    </row>
    <row r="1363" spans="1:28" x14ac:dyDescent="0.35">
      <c r="A1363" s="36"/>
      <c r="B1363" s="8"/>
      <c r="C1363" s="8"/>
      <c r="D1363" s="8"/>
      <c r="E1363" s="17" t="s">
        <v>29</v>
      </c>
      <c r="F1363" s="17" t="s">
        <v>29</v>
      </c>
      <c r="G1363" s="17" t="s">
        <v>29</v>
      </c>
      <c r="H1363" s="17" t="s">
        <v>29</v>
      </c>
      <c r="I1363" s="17" t="s">
        <v>29</v>
      </c>
      <c r="J1363" s="17" t="s">
        <v>29</v>
      </c>
      <c r="K1363" s="17" t="s">
        <v>29</v>
      </c>
      <c r="L1363" s="17" t="s">
        <v>29</v>
      </c>
      <c r="M1363" s="17" t="s">
        <v>29</v>
      </c>
      <c r="N1363" s="17" t="s">
        <v>29</v>
      </c>
      <c r="O1363" s="17" t="s">
        <v>29</v>
      </c>
      <c r="P1363" s="17" t="s">
        <v>29</v>
      </c>
      <c r="Q1363" s="17" t="s">
        <v>29</v>
      </c>
      <c r="R1363" s="17" t="s">
        <v>29</v>
      </c>
      <c r="S1363" s="17" t="s">
        <v>29</v>
      </c>
      <c r="T1363" s="17" t="s">
        <v>29</v>
      </c>
      <c r="U1363" s="17" t="s">
        <v>29</v>
      </c>
      <c r="V1363" s="17" t="s">
        <v>29</v>
      </c>
      <c r="W1363" s="17" t="s">
        <v>29</v>
      </c>
      <c r="X1363" s="17" t="s">
        <v>29</v>
      </c>
      <c r="Y1363" s="17" t="s">
        <v>29</v>
      </c>
      <c r="Z1363" s="17" t="s">
        <v>29</v>
      </c>
      <c r="AA1363" s="17" t="s">
        <v>29</v>
      </c>
      <c r="AB1363" s="17" t="s">
        <v>29</v>
      </c>
    </row>
    <row r="1364" spans="1:28" x14ac:dyDescent="0.35">
      <c r="A1364" s="38" t="s">
        <v>1000</v>
      </c>
      <c r="B1364" s="7" t="s">
        <v>731</v>
      </c>
      <c r="C1364" s="8"/>
      <c r="D1364" s="8"/>
      <c r="E1364" s="8"/>
      <c r="F1364" s="8"/>
      <c r="G1364" s="8"/>
      <c r="H1364" s="8"/>
      <c r="I1364" s="8"/>
      <c r="J1364" s="8"/>
      <c r="K1364" s="8"/>
      <c r="L1364" s="8"/>
      <c r="M1364" s="8"/>
      <c r="N1364" s="8"/>
      <c r="O1364" s="8"/>
      <c r="P1364" s="8"/>
      <c r="Q1364" s="8"/>
      <c r="R1364" s="17"/>
      <c r="S1364" s="17"/>
      <c r="T1364" s="17"/>
      <c r="U1364" s="17"/>
      <c r="V1364" s="17"/>
      <c r="W1364" s="17"/>
      <c r="X1364" s="17"/>
      <c r="Y1364" s="17"/>
      <c r="Z1364" s="17"/>
    </row>
    <row r="1365" spans="1:28" x14ac:dyDescent="0.35">
      <c r="A1365" s="36"/>
      <c r="B1365" s="8"/>
      <c r="C1365" s="7" t="s">
        <v>535</v>
      </c>
      <c r="D1365" s="15" t="s">
        <v>78</v>
      </c>
      <c r="E1365" s="9">
        <f>STATS1003B!E1437/1000</f>
        <v>1322.8562299999999</v>
      </c>
      <c r="F1365" s="9">
        <f>STATS1003B!F1437/1000</f>
        <v>785.8</v>
      </c>
      <c r="G1365" s="9">
        <f>STATS1003B!G1437/1000</f>
        <v>0</v>
      </c>
      <c r="H1365" s="9">
        <f>STATS1003B!H1437/1000</f>
        <v>785.8</v>
      </c>
      <c r="I1365" s="9">
        <f>STATS1003B!I1437/1000</f>
        <v>0</v>
      </c>
      <c r="J1365" s="9">
        <f>STATS1003B!J1437/1000</f>
        <v>785.8</v>
      </c>
      <c r="K1365" s="9">
        <f>STATS1003B!K1437/1000</f>
        <v>537.05623000000003</v>
      </c>
      <c r="L1365" s="9">
        <f>STATS1003B!L1437/1000</f>
        <v>0</v>
      </c>
      <c r="M1365" s="9">
        <f>STATS1003B!M1437/1000</f>
        <v>785.8</v>
      </c>
      <c r="N1365" s="9">
        <f>STATS1003B!N1437/1000</f>
        <v>537.05623000000003</v>
      </c>
      <c r="O1365" s="9">
        <f>STATS1003B!O1437/1000</f>
        <v>0</v>
      </c>
      <c r="P1365" s="9">
        <f>STATS1003B!P1437/1000</f>
        <v>537.05623000000003</v>
      </c>
      <c r="Q1365" s="9">
        <f>STATS1003B!Q1437/1000</f>
        <v>785.8</v>
      </c>
      <c r="R1365" s="9">
        <f>STATS1003B!R1437/1000</f>
        <v>0</v>
      </c>
      <c r="S1365" s="9">
        <f>STATS1003B!S1437/1000</f>
        <v>0</v>
      </c>
      <c r="T1365" s="9">
        <f>STATS1003B!T1437/1000</f>
        <v>0</v>
      </c>
      <c r="U1365" s="9">
        <f>STATS1003B!U1437/1000</f>
        <v>537.05623000000003</v>
      </c>
      <c r="V1365" s="9">
        <f>STATS1003B!V1437/1000</f>
        <v>1322.8562299999999</v>
      </c>
      <c r="W1365" s="9">
        <f>STATS1003B!W1437/1000</f>
        <v>0</v>
      </c>
      <c r="X1365" s="9">
        <f>STATS1003B!X1437/1000</f>
        <v>1322.8562299999999</v>
      </c>
      <c r="Y1365" s="9">
        <f>STATS1003B!Y1437/1000</f>
        <v>0</v>
      </c>
      <c r="Z1365" s="9">
        <f>STATS1003B!Z1437/1000</f>
        <v>0</v>
      </c>
      <c r="AA1365" s="9">
        <f>STATS1003B!AA1437/1000</f>
        <v>1322.8562299999999</v>
      </c>
      <c r="AB1365" s="9">
        <f>STATS1003B!AB1437/1000</f>
        <v>0</v>
      </c>
    </row>
    <row r="1366" spans="1:28" x14ac:dyDescent="0.35">
      <c r="A1366" s="36"/>
      <c r="B1366" s="8"/>
      <c r="C1366" s="7" t="s">
        <v>604</v>
      </c>
      <c r="D1366" s="15" t="s">
        <v>68</v>
      </c>
      <c r="E1366" s="9">
        <f>STATS1003B!E1438/1000</f>
        <v>850</v>
      </c>
      <c r="F1366" s="9">
        <f>STATS1003B!F1438/1000</f>
        <v>850</v>
      </c>
      <c r="G1366" s="9">
        <f>STATS1003B!G1438/1000</f>
        <v>0</v>
      </c>
      <c r="H1366" s="9">
        <f>STATS1003B!H1438/1000</f>
        <v>850</v>
      </c>
      <c r="I1366" s="9">
        <f>STATS1003B!I1438/1000</f>
        <v>0</v>
      </c>
      <c r="J1366" s="9">
        <f>STATS1003B!J1438/1000</f>
        <v>850</v>
      </c>
      <c r="K1366" s="9">
        <f>STATS1003B!K1438/1000</f>
        <v>0</v>
      </c>
      <c r="L1366" s="9">
        <f>STATS1003B!L1438/1000</f>
        <v>0</v>
      </c>
      <c r="M1366" s="9">
        <f>STATS1003B!M1438/1000</f>
        <v>850</v>
      </c>
      <c r="N1366" s="9">
        <f>STATS1003B!N1438/1000</f>
        <v>0</v>
      </c>
      <c r="O1366" s="9">
        <f>STATS1003B!O1438/1000</f>
        <v>0</v>
      </c>
      <c r="P1366" s="9">
        <f>STATS1003B!P1438/1000</f>
        <v>0</v>
      </c>
      <c r="Q1366" s="9">
        <f>STATS1003B!Q1438/1000</f>
        <v>850</v>
      </c>
      <c r="R1366" s="9">
        <f>STATS1003B!R1438/1000</f>
        <v>0</v>
      </c>
      <c r="S1366" s="9">
        <f>STATS1003B!S1438/1000</f>
        <v>0</v>
      </c>
      <c r="T1366" s="9">
        <f>STATS1003B!T1438/1000</f>
        <v>0</v>
      </c>
      <c r="U1366" s="9">
        <f>STATS1003B!U1438/1000</f>
        <v>0</v>
      </c>
      <c r="V1366" s="9">
        <f>STATS1003B!V1438/1000</f>
        <v>850</v>
      </c>
      <c r="W1366" s="9">
        <f>STATS1003B!W1438/1000</f>
        <v>0</v>
      </c>
      <c r="X1366" s="9">
        <f>STATS1003B!X1438/1000</f>
        <v>850</v>
      </c>
      <c r="Y1366" s="9">
        <f>STATS1003B!Y1438/1000</f>
        <v>0</v>
      </c>
      <c r="Z1366" s="9">
        <f>STATS1003B!Z1438/1000</f>
        <v>0</v>
      </c>
      <c r="AA1366" s="9">
        <f>STATS1003B!AA1438/1000</f>
        <v>850</v>
      </c>
      <c r="AB1366" s="9">
        <f>STATS1003B!AB1438/1000</f>
        <v>0</v>
      </c>
    </row>
    <row r="1367" spans="1:28" x14ac:dyDescent="0.35">
      <c r="A1367" s="36"/>
      <c r="B1367" s="8"/>
      <c r="C1367" s="7" t="s">
        <v>604</v>
      </c>
      <c r="D1367" s="15" t="s">
        <v>68</v>
      </c>
      <c r="E1367" s="9">
        <f>STATS1003B!E1439/1000</f>
        <v>317.41619000000003</v>
      </c>
      <c r="F1367" s="9">
        <f>STATS1003B!F1439/1000</f>
        <v>239.6</v>
      </c>
      <c r="G1367" s="9">
        <f>STATS1003B!G1439/1000</f>
        <v>0</v>
      </c>
      <c r="H1367" s="9">
        <f>STATS1003B!H1439/1000</f>
        <v>239.6</v>
      </c>
      <c r="I1367" s="9">
        <f>STATS1003B!I1439/1000</f>
        <v>0</v>
      </c>
      <c r="J1367" s="9">
        <f>STATS1003B!J1439/1000</f>
        <v>239.6</v>
      </c>
      <c r="K1367" s="9">
        <f>STATS1003B!K1439/1000</f>
        <v>77.816190000000006</v>
      </c>
      <c r="L1367" s="9">
        <f>STATS1003B!L1439/1000</f>
        <v>0</v>
      </c>
      <c r="M1367" s="9">
        <f>STATS1003B!M1439/1000</f>
        <v>239.6</v>
      </c>
      <c r="N1367" s="9">
        <f>STATS1003B!N1439/1000</f>
        <v>77.816190000000006</v>
      </c>
      <c r="O1367" s="9">
        <f>STATS1003B!O1439/1000</f>
        <v>0</v>
      </c>
      <c r="P1367" s="9">
        <f>STATS1003B!P1439/1000</f>
        <v>77.816190000000006</v>
      </c>
      <c r="Q1367" s="9">
        <f>STATS1003B!Q1439/1000</f>
        <v>239.6</v>
      </c>
      <c r="R1367" s="9">
        <f>STATS1003B!R1439/1000</f>
        <v>0</v>
      </c>
      <c r="S1367" s="9">
        <f>STATS1003B!S1439/1000</f>
        <v>0</v>
      </c>
      <c r="T1367" s="9">
        <f>STATS1003B!T1439/1000</f>
        <v>0</v>
      </c>
      <c r="U1367" s="9">
        <f>STATS1003B!U1439/1000</f>
        <v>77.816190000000006</v>
      </c>
      <c r="V1367" s="9">
        <f>STATS1003B!V1439/1000</f>
        <v>317.41619000000003</v>
      </c>
      <c r="W1367" s="9">
        <f>STATS1003B!W1439/1000</f>
        <v>0</v>
      </c>
      <c r="X1367" s="9">
        <f>STATS1003B!X1439/1000</f>
        <v>317.41619000000003</v>
      </c>
      <c r="Y1367" s="9">
        <f>STATS1003B!Y1439/1000</f>
        <v>0</v>
      </c>
      <c r="Z1367" s="9">
        <f>STATS1003B!Z1439/1000</f>
        <v>0</v>
      </c>
      <c r="AA1367" s="9">
        <f>STATS1003B!AA1439/1000</f>
        <v>317.41619000000003</v>
      </c>
      <c r="AB1367" s="9">
        <f>STATS1003B!AB1439/1000</f>
        <v>0</v>
      </c>
    </row>
    <row r="1368" spans="1:28" x14ac:dyDescent="0.35">
      <c r="A1368" s="36"/>
      <c r="B1368" s="8"/>
      <c r="C1368" s="7" t="s">
        <v>732</v>
      </c>
      <c r="D1368" s="15" t="s">
        <v>68</v>
      </c>
      <c r="E1368" s="9">
        <f>STATS1003B!E1440/1000</f>
        <v>1700</v>
      </c>
      <c r="F1368" s="9">
        <f>STATS1003B!F1440/1000</f>
        <v>1700</v>
      </c>
      <c r="G1368" s="9">
        <f>STATS1003B!G1440/1000</f>
        <v>0</v>
      </c>
      <c r="H1368" s="9">
        <f>STATS1003B!H1440/1000</f>
        <v>1700</v>
      </c>
      <c r="I1368" s="9">
        <f>STATS1003B!I1440/1000</f>
        <v>0</v>
      </c>
      <c r="J1368" s="9">
        <f>STATS1003B!J1440/1000</f>
        <v>1700</v>
      </c>
      <c r="K1368" s="9">
        <f>STATS1003B!K1440/1000</f>
        <v>0</v>
      </c>
      <c r="L1368" s="9">
        <f>STATS1003B!L1440/1000</f>
        <v>0</v>
      </c>
      <c r="M1368" s="9">
        <f>STATS1003B!M1440/1000</f>
        <v>1700</v>
      </c>
      <c r="N1368" s="9">
        <f>STATS1003B!N1440/1000</f>
        <v>0</v>
      </c>
      <c r="O1368" s="9">
        <f>STATS1003B!O1440/1000</f>
        <v>0</v>
      </c>
      <c r="P1368" s="9">
        <f>STATS1003B!P1440/1000</f>
        <v>0</v>
      </c>
      <c r="Q1368" s="9">
        <f>STATS1003B!Q1440/1000</f>
        <v>1700</v>
      </c>
      <c r="R1368" s="9">
        <f>STATS1003B!R1440/1000</f>
        <v>0</v>
      </c>
      <c r="S1368" s="9">
        <f>STATS1003B!S1440/1000</f>
        <v>0</v>
      </c>
      <c r="T1368" s="9">
        <f>STATS1003B!T1440/1000</f>
        <v>0</v>
      </c>
      <c r="U1368" s="9">
        <f>STATS1003B!U1440/1000</f>
        <v>0</v>
      </c>
      <c r="V1368" s="9">
        <f>STATS1003B!V1440/1000</f>
        <v>1700</v>
      </c>
      <c r="W1368" s="9">
        <f>STATS1003B!W1440/1000</f>
        <v>0</v>
      </c>
      <c r="X1368" s="9">
        <f>STATS1003B!X1440/1000</f>
        <v>1700</v>
      </c>
      <c r="Y1368" s="9">
        <f>STATS1003B!Y1440/1000</f>
        <v>0</v>
      </c>
      <c r="Z1368" s="9">
        <f>STATS1003B!Z1440/1000</f>
        <v>0</v>
      </c>
      <c r="AA1368" s="9">
        <f>STATS1003B!AA1440/1000</f>
        <v>1700</v>
      </c>
      <c r="AB1368" s="9">
        <f>STATS1003B!AB1440/1000</f>
        <v>0</v>
      </c>
    </row>
    <row r="1369" spans="1:28" x14ac:dyDescent="0.35">
      <c r="A1369" s="36"/>
      <c r="B1369" s="8"/>
      <c r="C1369" s="7" t="s">
        <v>686</v>
      </c>
      <c r="D1369" s="15" t="s">
        <v>68</v>
      </c>
      <c r="E1369" s="9">
        <f>STATS1003B!E1441/1000</f>
        <v>116.87</v>
      </c>
      <c r="F1369" s="9">
        <f>STATS1003B!F1441/1000</f>
        <v>116.87</v>
      </c>
      <c r="G1369" s="9">
        <f>STATS1003B!G1441/1000</f>
        <v>0</v>
      </c>
      <c r="H1369" s="9">
        <f>STATS1003B!H1441/1000</f>
        <v>116.87</v>
      </c>
      <c r="I1369" s="9">
        <f>STATS1003B!I1441/1000</f>
        <v>0</v>
      </c>
      <c r="J1369" s="9">
        <f>STATS1003B!J1441/1000</f>
        <v>116.87</v>
      </c>
      <c r="K1369" s="9">
        <f>STATS1003B!K1441/1000</f>
        <v>0</v>
      </c>
      <c r="L1369" s="9">
        <f>STATS1003B!L1441/1000</f>
        <v>0</v>
      </c>
      <c r="M1369" s="9">
        <f>STATS1003B!M1441/1000</f>
        <v>116.87</v>
      </c>
      <c r="N1369" s="9">
        <f>STATS1003B!N1441/1000</f>
        <v>0</v>
      </c>
      <c r="O1369" s="9">
        <f>STATS1003B!O1441/1000</f>
        <v>0</v>
      </c>
      <c r="P1369" s="9">
        <f>STATS1003B!P1441/1000</f>
        <v>0</v>
      </c>
      <c r="Q1369" s="9">
        <f>STATS1003B!Q1441/1000</f>
        <v>116.87</v>
      </c>
      <c r="R1369" s="9">
        <f>STATS1003B!R1441/1000</f>
        <v>0</v>
      </c>
      <c r="S1369" s="9">
        <f>STATS1003B!S1441/1000</f>
        <v>0</v>
      </c>
      <c r="T1369" s="9">
        <f>STATS1003B!T1441/1000</f>
        <v>0</v>
      </c>
      <c r="U1369" s="9">
        <f>STATS1003B!U1441/1000</f>
        <v>0</v>
      </c>
      <c r="V1369" s="9">
        <f>STATS1003B!V1441/1000</f>
        <v>116.87</v>
      </c>
      <c r="W1369" s="9">
        <f>STATS1003B!W1441/1000</f>
        <v>0</v>
      </c>
      <c r="X1369" s="9">
        <f>STATS1003B!X1441/1000</f>
        <v>116.87</v>
      </c>
      <c r="Y1369" s="9">
        <f>STATS1003B!Y1441/1000</f>
        <v>0</v>
      </c>
      <c r="Z1369" s="9">
        <f>STATS1003B!Z1441/1000</f>
        <v>0</v>
      </c>
      <c r="AA1369" s="9">
        <f>STATS1003B!AA1441/1000</f>
        <v>116.87</v>
      </c>
      <c r="AB1369" s="9">
        <f>STATS1003B!AB1441/1000</f>
        <v>0</v>
      </c>
    </row>
    <row r="1370" spans="1:28" x14ac:dyDescent="0.35">
      <c r="A1370" s="36"/>
      <c r="B1370" s="8"/>
      <c r="C1370" s="7" t="s">
        <v>535</v>
      </c>
      <c r="D1370" s="15" t="s">
        <v>54</v>
      </c>
      <c r="E1370" s="9">
        <f>STATS1003B!E1442/1000</f>
        <v>513</v>
      </c>
      <c r="F1370" s="9">
        <f>STATS1003B!F1442/1000</f>
        <v>513</v>
      </c>
      <c r="G1370" s="9">
        <f>STATS1003B!G1442/1000</f>
        <v>0</v>
      </c>
      <c r="H1370" s="9">
        <f>STATS1003B!H1442/1000</f>
        <v>513</v>
      </c>
      <c r="I1370" s="9">
        <f>STATS1003B!I1442/1000</f>
        <v>0</v>
      </c>
      <c r="J1370" s="9">
        <f>STATS1003B!J1442/1000</f>
        <v>513</v>
      </c>
      <c r="K1370" s="9">
        <f>STATS1003B!K1442/1000</f>
        <v>0</v>
      </c>
      <c r="L1370" s="9">
        <f>STATS1003B!L1442/1000</f>
        <v>0</v>
      </c>
      <c r="M1370" s="9">
        <f>STATS1003B!M1442/1000</f>
        <v>513</v>
      </c>
      <c r="N1370" s="9">
        <f>STATS1003B!N1442/1000</f>
        <v>0</v>
      </c>
      <c r="O1370" s="9">
        <f>STATS1003B!O1442/1000</f>
        <v>0</v>
      </c>
      <c r="P1370" s="9">
        <f>STATS1003B!P1442/1000</f>
        <v>0</v>
      </c>
      <c r="Q1370" s="9">
        <f>STATS1003B!Q1442/1000</f>
        <v>513</v>
      </c>
      <c r="R1370" s="9">
        <f>STATS1003B!R1442/1000</f>
        <v>0</v>
      </c>
      <c r="S1370" s="9">
        <f>STATS1003B!S1442/1000</f>
        <v>0</v>
      </c>
      <c r="T1370" s="9">
        <f>STATS1003B!T1442/1000</f>
        <v>0</v>
      </c>
      <c r="U1370" s="9">
        <f>STATS1003B!U1442/1000</f>
        <v>0</v>
      </c>
      <c r="V1370" s="9">
        <f>STATS1003B!V1442/1000</f>
        <v>513</v>
      </c>
      <c r="W1370" s="9">
        <f>STATS1003B!W1442/1000</f>
        <v>0</v>
      </c>
      <c r="X1370" s="9">
        <f>STATS1003B!X1442/1000</f>
        <v>513</v>
      </c>
      <c r="Y1370" s="9">
        <f>STATS1003B!Y1442/1000</f>
        <v>0</v>
      </c>
      <c r="Z1370" s="9">
        <f>STATS1003B!Z1442/1000</f>
        <v>0</v>
      </c>
      <c r="AA1370" s="9">
        <f>STATS1003B!AA1442/1000</f>
        <v>513</v>
      </c>
      <c r="AB1370" s="9">
        <f>STATS1003B!AB1442/1000</f>
        <v>0</v>
      </c>
    </row>
    <row r="1371" spans="1:28" x14ac:dyDescent="0.35">
      <c r="A1371" s="36"/>
      <c r="B1371" s="8"/>
      <c r="C1371" s="7" t="s">
        <v>604</v>
      </c>
      <c r="D1371" s="15" t="s">
        <v>54</v>
      </c>
      <c r="E1371" s="9">
        <f>STATS1003B!E1443/1000</f>
        <v>285</v>
      </c>
      <c r="F1371" s="9">
        <f>STATS1003B!F1443/1000</f>
        <v>285</v>
      </c>
      <c r="G1371" s="9">
        <f>STATS1003B!G1443/1000</f>
        <v>0</v>
      </c>
      <c r="H1371" s="9">
        <f>STATS1003B!H1443/1000</f>
        <v>285</v>
      </c>
      <c r="I1371" s="9">
        <f>STATS1003B!I1443/1000</f>
        <v>0</v>
      </c>
      <c r="J1371" s="9">
        <f>STATS1003B!J1443/1000</f>
        <v>285</v>
      </c>
      <c r="K1371" s="9">
        <f>STATS1003B!K1443/1000</f>
        <v>0</v>
      </c>
      <c r="L1371" s="9">
        <f>STATS1003B!L1443/1000</f>
        <v>0</v>
      </c>
      <c r="M1371" s="9">
        <f>STATS1003B!M1443/1000</f>
        <v>285</v>
      </c>
      <c r="N1371" s="9">
        <f>STATS1003B!N1443/1000</f>
        <v>0</v>
      </c>
      <c r="O1371" s="9">
        <f>STATS1003B!O1443/1000</f>
        <v>0</v>
      </c>
      <c r="P1371" s="9">
        <f>STATS1003B!P1443/1000</f>
        <v>0</v>
      </c>
      <c r="Q1371" s="9">
        <f>STATS1003B!Q1443/1000</f>
        <v>285</v>
      </c>
      <c r="R1371" s="9">
        <f>STATS1003B!R1443/1000</f>
        <v>0</v>
      </c>
      <c r="S1371" s="9">
        <f>STATS1003B!S1443/1000</f>
        <v>0</v>
      </c>
      <c r="T1371" s="9">
        <f>STATS1003B!T1443/1000</f>
        <v>0</v>
      </c>
      <c r="U1371" s="9">
        <f>STATS1003B!U1443/1000</f>
        <v>0</v>
      </c>
      <c r="V1371" s="9">
        <f>STATS1003B!V1443/1000</f>
        <v>285</v>
      </c>
      <c r="W1371" s="9">
        <f>STATS1003B!W1443/1000</f>
        <v>0</v>
      </c>
      <c r="X1371" s="9">
        <f>STATS1003B!X1443/1000</f>
        <v>285</v>
      </c>
      <c r="Y1371" s="9">
        <f>STATS1003B!Y1443/1000</f>
        <v>0</v>
      </c>
      <c r="Z1371" s="9">
        <f>STATS1003B!Z1443/1000</f>
        <v>0</v>
      </c>
      <c r="AA1371" s="9">
        <f>STATS1003B!AA1443/1000</f>
        <v>285</v>
      </c>
      <c r="AB1371" s="9">
        <f>STATS1003B!AB1443/1000</f>
        <v>0</v>
      </c>
    </row>
    <row r="1372" spans="1:28" x14ac:dyDescent="0.35">
      <c r="A1372" s="36"/>
      <c r="B1372" s="8"/>
      <c r="C1372" s="7" t="s">
        <v>733</v>
      </c>
      <c r="D1372" s="15" t="s">
        <v>54</v>
      </c>
      <c r="E1372" s="9">
        <f>STATS1003B!E1444/1000</f>
        <v>1608.61</v>
      </c>
      <c r="F1372" s="9">
        <f>STATS1003B!F1444/1000</f>
        <v>1608.61</v>
      </c>
      <c r="G1372" s="9">
        <f>STATS1003B!G1444/1000</f>
        <v>0</v>
      </c>
      <c r="H1372" s="9">
        <f>STATS1003B!H1444/1000</f>
        <v>1608.61</v>
      </c>
      <c r="I1372" s="9">
        <f>STATS1003B!I1444/1000</f>
        <v>0</v>
      </c>
      <c r="J1372" s="9">
        <f>STATS1003B!J1444/1000</f>
        <v>1608.61</v>
      </c>
      <c r="K1372" s="9">
        <f>STATS1003B!K1444/1000</f>
        <v>0</v>
      </c>
      <c r="L1372" s="9">
        <f>STATS1003B!L1444/1000</f>
        <v>0</v>
      </c>
      <c r="M1372" s="9">
        <f>STATS1003B!M1444/1000</f>
        <v>1608.61</v>
      </c>
      <c r="N1372" s="9">
        <f>STATS1003B!N1444/1000</f>
        <v>0</v>
      </c>
      <c r="O1372" s="9">
        <f>STATS1003B!O1444/1000</f>
        <v>0</v>
      </c>
      <c r="P1372" s="9">
        <f>STATS1003B!P1444/1000</f>
        <v>0</v>
      </c>
      <c r="Q1372" s="9">
        <f>STATS1003B!Q1444/1000</f>
        <v>1608.61</v>
      </c>
      <c r="R1372" s="9">
        <f>STATS1003B!R1444/1000</f>
        <v>0</v>
      </c>
      <c r="S1372" s="9">
        <f>STATS1003B!S1444/1000</f>
        <v>0</v>
      </c>
      <c r="T1372" s="9">
        <f>STATS1003B!T1444/1000</f>
        <v>0</v>
      </c>
      <c r="U1372" s="9">
        <f>STATS1003B!U1444/1000</f>
        <v>0</v>
      </c>
      <c r="V1372" s="9">
        <f>STATS1003B!V1444/1000</f>
        <v>1608.61</v>
      </c>
      <c r="W1372" s="9">
        <f>STATS1003B!W1444/1000</f>
        <v>0</v>
      </c>
      <c r="X1372" s="9">
        <f>STATS1003B!X1444/1000</f>
        <v>1608.61</v>
      </c>
      <c r="Y1372" s="9">
        <f>STATS1003B!Y1444/1000</f>
        <v>0</v>
      </c>
      <c r="Z1372" s="9">
        <f>STATS1003B!Z1444/1000</f>
        <v>0</v>
      </c>
      <c r="AA1372" s="9">
        <f>STATS1003B!AA1444/1000</f>
        <v>1608.61</v>
      </c>
      <c r="AB1372" s="9">
        <f>STATS1003B!AB1444/1000</f>
        <v>0</v>
      </c>
    </row>
    <row r="1373" spans="1:28" x14ac:dyDescent="0.35">
      <c r="A1373" s="36"/>
      <c r="B1373" s="8"/>
      <c r="C1373" s="7" t="s">
        <v>733</v>
      </c>
      <c r="D1373" s="15" t="s">
        <v>54</v>
      </c>
      <c r="E1373" s="9">
        <f>STATS1003B!E1445/1000</f>
        <v>0</v>
      </c>
      <c r="F1373" s="9">
        <f>STATS1003B!F1445/1000</f>
        <v>0</v>
      </c>
      <c r="G1373" s="9">
        <f>STATS1003B!G1445/1000</f>
        <v>0</v>
      </c>
      <c r="H1373" s="9">
        <f>STATS1003B!H1445/1000</f>
        <v>0</v>
      </c>
      <c r="I1373" s="9">
        <f>STATS1003B!I1445/1000</f>
        <v>0</v>
      </c>
      <c r="J1373" s="9">
        <f>STATS1003B!J1445/1000</f>
        <v>0</v>
      </c>
      <c r="K1373" s="9">
        <f>STATS1003B!K1445/1000</f>
        <v>0</v>
      </c>
      <c r="L1373" s="9">
        <f>STATS1003B!L1445/1000</f>
        <v>0</v>
      </c>
      <c r="M1373" s="9">
        <f>STATS1003B!M1445/1000</f>
        <v>0</v>
      </c>
      <c r="N1373" s="9">
        <f>STATS1003B!N1445/1000</f>
        <v>0</v>
      </c>
      <c r="O1373" s="9">
        <f>STATS1003B!O1445/1000</f>
        <v>0</v>
      </c>
      <c r="P1373" s="9">
        <f>STATS1003B!P1445/1000</f>
        <v>0</v>
      </c>
      <c r="Q1373" s="9">
        <f>STATS1003B!Q1445/1000</f>
        <v>0</v>
      </c>
      <c r="R1373" s="9">
        <f>STATS1003B!R1445/1000</f>
        <v>0</v>
      </c>
      <c r="S1373" s="9">
        <f>STATS1003B!S1445/1000</f>
        <v>0</v>
      </c>
      <c r="T1373" s="9">
        <f>STATS1003B!T1445/1000</f>
        <v>0</v>
      </c>
      <c r="U1373" s="9">
        <f>STATS1003B!U1445/1000</f>
        <v>0</v>
      </c>
      <c r="V1373" s="9">
        <f>STATS1003B!V1445/1000</f>
        <v>0</v>
      </c>
      <c r="W1373" s="9">
        <f>STATS1003B!W1445/1000</f>
        <v>0</v>
      </c>
      <c r="X1373" s="9">
        <f>STATS1003B!X1445/1000</f>
        <v>0</v>
      </c>
      <c r="Y1373" s="9">
        <f>STATS1003B!Y1445/1000</f>
        <v>0</v>
      </c>
      <c r="Z1373" s="9">
        <f>STATS1003B!Z1445/1000</f>
        <v>0</v>
      </c>
      <c r="AA1373" s="9">
        <f>STATS1003B!AA1445/1000</f>
        <v>0</v>
      </c>
      <c r="AB1373" s="9">
        <f>STATS1003B!AB1445/1000</f>
        <v>0</v>
      </c>
    </row>
    <row r="1374" spans="1:28" x14ac:dyDescent="0.35">
      <c r="A1374" s="36"/>
      <c r="B1374" s="8"/>
      <c r="C1374" s="7" t="s">
        <v>545</v>
      </c>
      <c r="D1374" s="15" t="s">
        <v>54</v>
      </c>
      <c r="E1374" s="9">
        <f>STATS1003B!E1446/1000</f>
        <v>1953.989</v>
      </c>
      <c r="F1374" s="9">
        <f>STATS1003B!F1446/1000</f>
        <v>0</v>
      </c>
      <c r="G1374" s="9">
        <f>STATS1003B!G1446/1000</f>
        <v>0</v>
      </c>
      <c r="H1374" s="9">
        <f>STATS1003B!H1446/1000</f>
        <v>0</v>
      </c>
      <c r="I1374" s="9">
        <f>STATS1003B!I1446/1000</f>
        <v>0</v>
      </c>
      <c r="J1374" s="9">
        <f>STATS1003B!J1446/1000</f>
        <v>0</v>
      </c>
      <c r="K1374" s="9">
        <f>STATS1003B!K1446/1000</f>
        <v>1953.989</v>
      </c>
      <c r="L1374" s="9">
        <f>STATS1003B!L1446/1000</f>
        <v>0</v>
      </c>
      <c r="M1374" s="9">
        <f>STATS1003B!M1446/1000</f>
        <v>0</v>
      </c>
      <c r="N1374" s="9">
        <f>STATS1003B!N1446/1000</f>
        <v>1953.989</v>
      </c>
      <c r="O1374" s="9">
        <f>STATS1003B!O1446/1000</f>
        <v>0</v>
      </c>
      <c r="P1374" s="9">
        <f>STATS1003B!P1446/1000</f>
        <v>1953.989</v>
      </c>
      <c r="Q1374" s="9">
        <f>STATS1003B!Q1446/1000</f>
        <v>0</v>
      </c>
      <c r="R1374" s="9">
        <f>STATS1003B!R1446/1000</f>
        <v>0</v>
      </c>
      <c r="S1374" s="9">
        <f>STATS1003B!S1446/1000</f>
        <v>0</v>
      </c>
      <c r="T1374" s="9">
        <f>STATS1003B!T1446/1000</f>
        <v>0</v>
      </c>
      <c r="U1374" s="9">
        <f>STATS1003B!U1446/1000</f>
        <v>1953.989</v>
      </c>
      <c r="V1374" s="9">
        <f>STATS1003B!V1446/1000</f>
        <v>1953.989</v>
      </c>
      <c r="W1374" s="9">
        <f>STATS1003B!W1446/1000</f>
        <v>0</v>
      </c>
      <c r="X1374" s="9">
        <f>STATS1003B!X1446/1000</f>
        <v>1953.989</v>
      </c>
      <c r="Y1374" s="9">
        <f>STATS1003B!Y1446/1000</f>
        <v>0</v>
      </c>
      <c r="Z1374" s="9">
        <f>STATS1003B!Z1446/1000</f>
        <v>0</v>
      </c>
      <c r="AA1374" s="9">
        <f>STATS1003B!AA1446/1000</f>
        <v>1953.989</v>
      </c>
      <c r="AB1374" s="9">
        <f>STATS1003B!AB1446/1000</f>
        <v>0</v>
      </c>
    </row>
    <row r="1375" spans="1:28" x14ac:dyDescent="0.35">
      <c r="A1375" s="36"/>
      <c r="B1375" s="8"/>
      <c r="C1375" s="7" t="s">
        <v>612</v>
      </c>
      <c r="D1375" s="15" t="s">
        <v>85</v>
      </c>
      <c r="E1375" s="9">
        <f>STATS1003B!E1447/1000</f>
        <v>125.68300000000001</v>
      </c>
      <c r="F1375" s="9">
        <f>STATS1003B!F1447/1000</f>
        <v>125.68300000000001</v>
      </c>
      <c r="G1375" s="9">
        <f>STATS1003B!G1447/1000</f>
        <v>0</v>
      </c>
      <c r="H1375" s="9">
        <f>STATS1003B!H1447/1000</f>
        <v>125.68300000000001</v>
      </c>
      <c r="I1375" s="9">
        <f>STATS1003B!I1447/1000</f>
        <v>0</v>
      </c>
      <c r="J1375" s="9">
        <f>STATS1003B!J1447/1000</f>
        <v>125.68300000000001</v>
      </c>
      <c r="K1375" s="9">
        <f>STATS1003B!K1447/1000</f>
        <v>0</v>
      </c>
      <c r="L1375" s="9">
        <f>STATS1003B!L1447/1000</f>
        <v>0</v>
      </c>
      <c r="M1375" s="9">
        <f>STATS1003B!M1447/1000</f>
        <v>125.68300000000001</v>
      </c>
      <c r="N1375" s="9">
        <f>STATS1003B!N1447/1000</f>
        <v>0</v>
      </c>
      <c r="O1375" s="9">
        <f>STATS1003B!O1447/1000</f>
        <v>0</v>
      </c>
      <c r="P1375" s="9">
        <f>STATS1003B!P1447/1000</f>
        <v>0</v>
      </c>
      <c r="Q1375" s="9">
        <f>STATS1003B!Q1447/1000</f>
        <v>125.68300000000001</v>
      </c>
      <c r="R1375" s="9">
        <f>STATS1003B!R1447/1000</f>
        <v>0</v>
      </c>
      <c r="S1375" s="9">
        <f>STATS1003B!S1447/1000</f>
        <v>0</v>
      </c>
      <c r="T1375" s="9">
        <f>STATS1003B!T1447/1000</f>
        <v>0</v>
      </c>
      <c r="U1375" s="9">
        <f>STATS1003B!U1447/1000</f>
        <v>0</v>
      </c>
      <c r="V1375" s="9">
        <f>STATS1003B!V1447/1000</f>
        <v>125.68300000000001</v>
      </c>
      <c r="W1375" s="9">
        <f>STATS1003B!W1447/1000</f>
        <v>0</v>
      </c>
      <c r="X1375" s="9">
        <f>STATS1003B!X1447/1000</f>
        <v>125.68300000000001</v>
      </c>
      <c r="Y1375" s="9">
        <f>STATS1003B!Y1447/1000</f>
        <v>0</v>
      </c>
      <c r="Z1375" s="9">
        <f>STATS1003B!Z1447/1000</f>
        <v>0</v>
      </c>
      <c r="AA1375" s="9">
        <f>STATS1003B!AA1447/1000</f>
        <v>125.68300000000001</v>
      </c>
      <c r="AB1375" s="9">
        <f>STATS1003B!AB1447/1000</f>
        <v>0</v>
      </c>
    </row>
    <row r="1376" spans="1:28" x14ac:dyDescent="0.35">
      <c r="A1376" s="36"/>
      <c r="B1376" s="8"/>
      <c r="C1376" s="7" t="s">
        <v>667</v>
      </c>
      <c r="D1376" s="15" t="s">
        <v>85</v>
      </c>
      <c r="E1376" s="9">
        <f>STATS1003B!E1448/1000</f>
        <v>340</v>
      </c>
      <c r="F1376" s="9">
        <f>STATS1003B!F1448/1000</f>
        <v>340</v>
      </c>
      <c r="G1376" s="9">
        <f>STATS1003B!G1448/1000</f>
        <v>0</v>
      </c>
      <c r="H1376" s="9">
        <f>STATS1003B!H1448/1000</f>
        <v>340</v>
      </c>
      <c r="I1376" s="9">
        <f>STATS1003B!I1448/1000</f>
        <v>0</v>
      </c>
      <c r="J1376" s="9">
        <f>STATS1003B!J1448/1000</f>
        <v>340</v>
      </c>
      <c r="K1376" s="9">
        <f>STATS1003B!K1448/1000</f>
        <v>0</v>
      </c>
      <c r="L1376" s="9">
        <f>STATS1003B!L1448/1000</f>
        <v>0</v>
      </c>
      <c r="M1376" s="9">
        <f>STATS1003B!M1448/1000</f>
        <v>340</v>
      </c>
      <c r="N1376" s="9">
        <f>STATS1003B!N1448/1000</f>
        <v>0</v>
      </c>
      <c r="O1376" s="9">
        <f>STATS1003B!O1448/1000</f>
        <v>0</v>
      </c>
      <c r="P1376" s="9">
        <f>STATS1003B!P1448/1000</f>
        <v>0</v>
      </c>
      <c r="Q1376" s="9">
        <f>STATS1003B!Q1448/1000</f>
        <v>340</v>
      </c>
      <c r="R1376" s="9">
        <f>STATS1003B!R1448/1000</f>
        <v>0</v>
      </c>
      <c r="S1376" s="9">
        <f>STATS1003B!S1448/1000</f>
        <v>0</v>
      </c>
      <c r="T1376" s="9">
        <f>STATS1003B!T1448/1000</f>
        <v>0</v>
      </c>
      <c r="U1376" s="9">
        <f>STATS1003B!U1448/1000</f>
        <v>0</v>
      </c>
      <c r="V1376" s="9">
        <f>STATS1003B!V1448/1000</f>
        <v>340</v>
      </c>
      <c r="W1376" s="9">
        <f>STATS1003B!W1448/1000</f>
        <v>0</v>
      </c>
      <c r="X1376" s="9">
        <f>STATS1003B!X1448/1000</f>
        <v>340</v>
      </c>
      <c r="Y1376" s="9">
        <f>STATS1003B!Y1448/1000</f>
        <v>0</v>
      </c>
      <c r="Z1376" s="9">
        <f>STATS1003B!Z1448/1000</f>
        <v>0</v>
      </c>
      <c r="AA1376" s="9">
        <f>STATS1003B!AA1448/1000</f>
        <v>340</v>
      </c>
      <c r="AB1376" s="9">
        <f>STATS1003B!AB1448/1000</f>
        <v>0</v>
      </c>
    </row>
    <row r="1377" spans="1:28" x14ac:dyDescent="0.35">
      <c r="A1377" s="36"/>
      <c r="B1377" s="8"/>
      <c r="C1377" s="7" t="s">
        <v>734</v>
      </c>
      <c r="D1377" s="15" t="s">
        <v>85</v>
      </c>
      <c r="E1377" s="9">
        <f>STATS1003B!E1449/1000</f>
        <v>1599.0139999999999</v>
      </c>
      <c r="F1377" s="9">
        <f>STATS1003B!F1449/1000</f>
        <v>1599.0139999999999</v>
      </c>
      <c r="G1377" s="9">
        <f>STATS1003B!G1449/1000</f>
        <v>0</v>
      </c>
      <c r="H1377" s="9">
        <f>STATS1003B!H1449/1000</f>
        <v>1599.0139999999999</v>
      </c>
      <c r="I1377" s="9">
        <f>STATS1003B!I1449/1000</f>
        <v>0</v>
      </c>
      <c r="J1377" s="9">
        <f>STATS1003B!J1449/1000</f>
        <v>1599.0139999999999</v>
      </c>
      <c r="K1377" s="9">
        <f>STATS1003B!K1449/1000</f>
        <v>0</v>
      </c>
      <c r="L1377" s="9">
        <f>STATS1003B!L1449/1000</f>
        <v>0</v>
      </c>
      <c r="M1377" s="9">
        <f>STATS1003B!M1449/1000</f>
        <v>1599.0139999999999</v>
      </c>
      <c r="N1377" s="9">
        <f>STATS1003B!N1449/1000</f>
        <v>0</v>
      </c>
      <c r="O1377" s="9">
        <f>STATS1003B!O1449/1000</f>
        <v>0</v>
      </c>
      <c r="P1377" s="9">
        <f>STATS1003B!P1449/1000</f>
        <v>0</v>
      </c>
      <c r="Q1377" s="9">
        <f>STATS1003B!Q1449/1000</f>
        <v>1599.0139999999999</v>
      </c>
      <c r="R1377" s="9">
        <f>STATS1003B!R1449/1000</f>
        <v>0</v>
      </c>
      <c r="S1377" s="9">
        <f>STATS1003B!S1449/1000</f>
        <v>0</v>
      </c>
      <c r="T1377" s="9">
        <f>STATS1003B!T1449/1000</f>
        <v>0</v>
      </c>
      <c r="U1377" s="9">
        <f>STATS1003B!U1449/1000</f>
        <v>0</v>
      </c>
      <c r="V1377" s="9">
        <f>STATS1003B!V1449/1000</f>
        <v>1599.0139999999999</v>
      </c>
      <c r="W1377" s="9">
        <f>STATS1003B!W1449/1000</f>
        <v>0</v>
      </c>
      <c r="X1377" s="9">
        <f>STATS1003B!X1449/1000</f>
        <v>1599.0139999999999</v>
      </c>
      <c r="Y1377" s="9">
        <f>STATS1003B!Y1449/1000</f>
        <v>0</v>
      </c>
      <c r="Z1377" s="9">
        <f>STATS1003B!Z1449/1000</f>
        <v>0</v>
      </c>
      <c r="AA1377" s="9">
        <f>STATS1003B!AA1449/1000</f>
        <v>1599.0139999999999</v>
      </c>
      <c r="AB1377" s="9">
        <f>STATS1003B!AB1449/1000</f>
        <v>0</v>
      </c>
    </row>
    <row r="1378" spans="1:28" x14ac:dyDescent="0.35">
      <c r="A1378" s="36"/>
      <c r="B1378" s="8"/>
      <c r="C1378" s="7" t="s">
        <v>535</v>
      </c>
      <c r="D1378" s="15" t="s">
        <v>128</v>
      </c>
      <c r="E1378" s="9">
        <f>STATS1003B!E1450/1000</f>
        <v>3480.0120000000002</v>
      </c>
      <c r="F1378" s="9">
        <f>STATS1003B!F1450/1000</f>
        <v>3480.0120000000002</v>
      </c>
      <c r="G1378" s="9">
        <f>STATS1003B!G1450/1000</f>
        <v>0</v>
      </c>
      <c r="H1378" s="9">
        <f>STATS1003B!H1450/1000</f>
        <v>3480.0120000000002</v>
      </c>
      <c r="I1378" s="9">
        <f>STATS1003B!I1450/1000</f>
        <v>0</v>
      </c>
      <c r="J1378" s="9">
        <f>STATS1003B!J1450/1000</f>
        <v>3480.0120000000002</v>
      </c>
      <c r="K1378" s="9">
        <f>STATS1003B!K1450/1000</f>
        <v>0</v>
      </c>
      <c r="L1378" s="9">
        <f>STATS1003B!L1450/1000</f>
        <v>0</v>
      </c>
      <c r="M1378" s="9">
        <f>STATS1003B!M1450/1000</f>
        <v>3480.0120000000002</v>
      </c>
      <c r="N1378" s="9">
        <f>STATS1003B!N1450/1000</f>
        <v>0</v>
      </c>
      <c r="O1378" s="9">
        <f>STATS1003B!O1450/1000</f>
        <v>0</v>
      </c>
      <c r="P1378" s="9">
        <f>STATS1003B!P1450/1000</f>
        <v>0</v>
      </c>
      <c r="Q1378" s="9">
        <f>STATS1003B!Q1450/1000</f>
        <v>3480.0120000000002</v>
      </c>
      <c r="R1378" s="9">
        <f>STATS1003B!R1450/1000</f>
        <v>0</v>
      </c>
      <c r="S1378" s="9">
        <f>STATS1003B!S1450/1000</f>
        <v>0</v>
      </c>
      <c r="T1378" s="9">
        <f>STATS1003B!T1450/1000</f>
        <v>0</v>
      </c>
      <c r="U1378" s="9">
        <f>STATS1003B!U1450/1000</f>
        <v>0</v>
      </c>
      <c r="V1378" s="9">
        <f>STATS1003B!V1450/1000</f>
        <v>3480.0120000000002</v>
      </c>
      <c r="W1378" s="9">
        <f>STATS1003B!W1450/1000</f>
        <v>0</v>
      </c>
      <c r="X1378" s="9">
        <f>STATS1003B!X1450/1000</f>
        <v>3480.0120000000002</v>
      </c>
      <c r="Y1378" s="9">
        <f>STATS1003B!Y1450/1000</f>
        <v>0</v>
      </c>
      <c r="Z1378" s="9">
        <f>STATS1003B!Z1450/1000</f>
        <v>0</v>
      </c>
      <c r="AA1378" s="9">
        <f>STATS1003B!AA1450/1000</f>
        <v>3480.0120000000002</v>
      </c>
      <c r="AB1378" s="9">
        <f>STATS1003B!AB1450/1000</f>
        <v>0</v>
      </c>
    </row>
    <row r="1379" spans="1:28" x14ac:dyDescent="0.35">
      <c r="A1379" s="36"/>
      <c r="B1379" s="8"/>
      <c r="C1379" s="7" t="s">
        <v>535</v>
      </c>
      <c r="D1379" s="15" t="s">
        <v>88</v>
      </c>
      <c r="E1379" s="9">
        <f>STATS1003B!E1451/1000</f>
        <v>1512.63168</v>
      </c>
      <c r="F1379" s="9">
        <f>STATS1003B!F1451/1000</f>
        <v>1512.6316800000002</v>
      </c>
      <c r="G1379" s="9">
        <f>STATS1003B!G1451/1000</f>
        <v>0</v>
      </c>
      <c r="H1379" s="9">
        <f>STATS1003B!H1451/1000</f>
        <v>1512.6316800000002</v>
      </c>
      <c r="I1379" s="9">
        <f>STATS1003B!I1451/1000</f>
        <v>0</v>
      </c>
      <c r="J1379" s="9">
        <f>STATS1003B!J1451/1000</f>
        <v>1512.6316800000002</v>
      </c>
      <c r="K1379" s="9">
        <f>STATS1003B!K1451/1000</f>
        <v>0</v>
      </c>
      <c r="L1379" s="9">
        <f>STATS1003B!L1451/1000</f>
        <v>0</v>
      </c>
      <c r="M1379" s="9">
        <f>STATS1003B!M1451/1000</f>
        <v>1512.6316800000002</v>
      </c>
      <c r="N1379" s="9">
        <f>STATS1003B!N1451/1000</f>
        <v>0</v>
      </c>
      <c r="O1379" s="9">
        <f>STATS1003B!O1451/1000</f>
        <v>0</v>
      </c>
      <c r="P1379" s="9">
        <f>STATS1003B!P1451/1000</f>
        <v>0</v>
      </c>
      <c r="Q1379" s="9">
        <f>STATS1003B!Q1451/1000</f>
        <v>1512.63168</v>
      </c>
      <c r="R1379" s="9">
        <f>STATS1003B!R1451/1000</f>
        <v>0</v>
      </c>
      <c r="S1379" s="9">
        <f>STATS1003B!S1451/1000</f>
        <v>0</v>
      </c>
      <c r="T1379" s="9">
        <f>STATS1003B!T1451/1000</f>
        <v>0</v>
      </c>
      <c r="U1379" s="9">
        <f>STATS1003B!U1451/1000</f>
        <v>0</v>
      </c>
      <c r="V1379" s="9">
        <f>STATS1003B!V1451/1000</f>
        <v>1512.6316800000002</v>
      </c>
      <c r="W1379" s="9">
        <f>STATS1003B!W1451/1000</f>
        <v>0</v>
      </c>
      <c r="X1379" s="9">
        <f>STATS1003B!X1451/1000</f>
        <v>1512.6316800000002</v>
      </c>
      <c r="Y1379" s="9">
        <f>STATS1003B!Y1451/1000</f>
        <v>0</v>
      </c>
      <c r="Z1379" s="9">
        <f>STATS1003B!Z1451/1000</f>
        <v>0</v>
      </c>
      <c r="AA1379" s="9">
        <f>STATS1003B!AA1451/1000</f>
        <v>1512.6316800000002</v>
      </c>
      <c r="AB1379" s="9">
        <f>STATS1003B!AB1451/1000</f>
        <v>0</v>
      </c>
    </row>
    <row r="1380" spans="1:28" x14ac:dyDescent="0.35">
      <c r="A1380" s="36"/>
      <c r="B1380" s="7" t="s">
        <v>642</v>
      </c>
      <c r="C1380" s="7" t="s">
        <v>535</v>
      </c>
      <c r="D1380" s="15" t="s">
        <v>108</v>
      </c>
      <c r="E1380" s="9">
        <f>STATS1003B!E1452/1000</f>
        <v>1039.2265500000001</v>
      </c>
      <c r="F1380" s="9">
        <f>STATS1003B!F1452/1000</f>
        <v>1039.2265500000001</v>
      </c>
      <c r="G1380" s="9">
        <f>STATS1003B!G1452/1000</f>
        <v>0</v>
      </c>
      <c r="H1380" s="9">
        <f>STATS1003B!H1452/1000</f>
        <v>1039.2265500000001</v>
      </c>
      <c r="I1380" s="9">
        <f>STATS1003B!I1452/1000</f>
        <v>0</v>
      </c>
      <c r="J1380" s="9">
        <f>STATS1003B!J1452/1000</f>
        <v>1039.2265500000001</v>
      </c>
      <c r="K1380" s="9">
        <f>STATS1003B!K1452/1000</f>
        <v>0</v>
      </c>
      <c r="L1380" s="9">
        <f>STATS1003B!L1452/1000</f>
        <v>0</v>
      </c>
      <c r="M1380" s="9">
        <f>STATS1003B!M1452/1000</f>
        <v>1039.2265500000001</v>
      </c>
      <c r="N1380" s="9">
        <f>STATS1003B!N1452/1000</f>
        <v>0</v>
      </c>
      <c r="O1380" s="9">
        <f>STATS1003B!O1452/1000</f>
        <v>0</v>
      </c>
      <c r="P1380" s="9">
        <f>STATS1003B!P1452/1000</f>
        <v>0</v>
      </c>
      <c r="Q1380" s="9">
        <f>STATS1003B!Q1452/1000</f>
        <v>1039.2265500000001</v>
      </c>
      <c r="R1380" s="9">
        <f>STATS1003B!R1452/1000</f>
        <v>0</v>
      </c>
      <c r="S1380" s="9">
        <f>STATS1003B!S1452/1000</f>
        <v>0</v>
      </c>
      <c r="T1380" s="9">
        <f>STATS1003B!T1452/1000</f>
        <v>0</v>
      </c>
      <c r="U1380" s="9">
        <f>STATS1003B!U1452/1000</f>
        <v>0</v>
      </c>
      <c r="V1380" s="9">
        <f>STATS1003B!V1452/1000</f>
        <v>1039.2265500000001</v>
      </c>
      <c r="W1380" s="9">
        <f>STATS1003B!W1452/1000</f>
        <v>0</v>
      </c>
      <c r="X1380" s="9">
        <f>STATS1003B!X1452/1000</f>
        <v>1039.2265500000001</v>
      </c>
      <c r="Y1380" s="9">
        <f>STATS1003B!Y1452/1000</f>
        <v>0</v>
      </c>
      <c r="Z1380" s="9">
        <f>STATS1003B!Z1452/1000</f>
        <v>0</v>
      </c>
      <c r="AA1380" s="9">
        <f>STATS1003B!AA1452/1000</f>
        <v>1039.2265500000001</v>
      </c>
      <c r="AB1380" s="9">
        <f>STATS1003B!AB1452/1000</f>
        <v>0</v>
      </c>
    </row>
    <row r="1381" spans="1:28" x14ac:dyDescent="0.35">
      <c r="A1381" s="36"/>
      <c r="B1381" s="8"/>
      <c r="C1381" s="7" t="s">
        <v>535</v>
      </c>
      <c r="D1381" s="15" t="s">
        <v>58</v>
      </c>
      <c r="E1381" s="9">
        <f>STATS1003B!E1453/1000</f>
        <v>1659.191</v>
      </c>
      <c r="F1381" s="9">
        <f>STATS1003B!F1453/1000</f>
        <v>1659.191</v>
      </c>
      <c r="G1381" s="9">
        <f>STATS1003B!G1453/1000</f>
        <v>0</v>
      </c>
      <c r="H1381" s="9">
        <f>STATS1003B!H1453/1000</f>
        <v>1659.191</v>
      </c>
      <c r="I1381" s="9">
        <f>STATS1003B!I1453/1000</f>
        <v>0</v>
      </c>
      <c r="J1381" s="9">
        <f>STATS1003B!J1453/1000</f>
        <v>1659.191</v>
      </c>
      <c r="K1381" s="9">
        <f>STATS1003B!K1453/1000</f>
        <v>0</v>
      </c>
      <c r="L1381" s="9">
        <f>STATS1003B!L1453/1000</f>
        <v>0</v>
      </c>
      <c r="M1381" s="9">
        <f>STATS1003B!M1453/1000</f>
        <v>1659.191</v>
      </c>
      <c r="N1381" s="9">
        <f>STATS1003B!N1453/1000</f>
        <v>0</v>
      </c>
      <c r="O1381" s="9">
        <f>STATS1003B!O1453/1000</f>
        <v>0</v>
      </c>
      <c r="P1381" s="9">
        <f>STATS1003B!P1453/1000</f>
        <v>0</v>
      </c>
      <c r="Q1381" s="9">
        <f>STATS1003B!Q1453/1000</f>
        <v>1659.191</v>
      </c>
      <c r="R1381" s="9">
        <f>STATS1003B!R1453/1000</f>
        <v>0</v>
      </c>
      <c r="S1381" s="9">
        <f>STATS1003B!S1453/1000</f>
        <v>0</v>
      </c>
      <c r="T1381" s="9">
        <f>STATS1003B!T1453/1000</f>
        <v>0</v>
      </c>
      <c r="U1381" s="9">
        <f>STATS1003B!U1453/1000</f>
        <v>0</v>
      </c>
      <c r="V1381" s="9">
        <f>STATS1003B!V1453/1000</f>
        <v>1659.191</v>
      </c>
      <c r="W1381" s="9">
        <f>STATS1003B!W1453/1000</f>
        <v>0</v>
      </c>
      <c r="X1381" s="9">
        <f>STATS1003B!X1453/1000</f>
        <v>1659.191</v>
      </c>
      <c r="Y1381" s="9">
        <f>STATS1003B!Y1453/1000</f>
        <v>0</v>
      </c>
      <c r="Z1381" s="9">
        <f>STATS1003B!Z1453/1000</f>
        <v>0</v>
      </c>
      <c r="AA1381" s="9">
        <f>STATS1003B!AA1453/1000</f>
        <v>1659.191</v>
      </c>
      <c r="AB1381" s="9">
        <f>STATS1003B!AB1453/1000</f>
        <v>0</v>
      </c>
    </row>
    <row r="1382" spans="1:28" x14ac:dyDescent="0.35">
      <c r="A1382" s="36"/>
      <c r="B1382" s="8"/>
      <c r="C1382" s="7" t="s">
        <v>735</v>
      </c>
      <c r="D1382" s="21" t="s">
        <v>60</v>
      </c>
      <c r="E1382" s="9">
        <f>STATS1003B!E1454/1000</f>
        <v>1461.24422</v>
      </c>
      <c r="F1382" s="9">
        <f>STATS1003B!F1454/1000</f>
        <v>1461.24422</v>
      </c>
      <c r="G1382" s="9">
        <f>STATS1003B!G1454/1000</f>
        <v>0</v>
      </c>
      <c r="H1382" s="9">
        <f>STATS1003B!H1454/1000</f>
        <v>1461.24422</v>
      </c>
      <c r="I1382" s="9">
        <f>STATS1003B!I1454/1000</f>
        <v>0</v>
      </c>
      <c r="J1382" s="9">
        <f>STATS1003B!J1454/1000</f>
        <v>1461.24422</v>
      </c>
      <c r="K1382" s="9">
        <f>STATS1003B!K1454/1000</f>
        <v>0</v>
      </c>
      <c r="L1382" s="9">
        <f>STATS1003B!L1454/1000</f>
        <v>0</v>
      </c>
      <c r="M1382" s="9">
        <f>STATS1003B!M1454/1000</f>
        <v>1461.24422</v>
      </c>
      <c r="N1382" s="9">
        <f>STATS1003B!N1454/1000</f>
        <v>0</v>
      </c>
      <c r="O1382" s="9">
        <f>STATS1003B!O1454/1000</f>
        <v>0</v>
      </c>
      <c r="P1382" s="9">
        <f>STATS1003B!P1454/1000</f>
        <v>0</v>
      </c>
      <c r="Q1382" s="9">
        <f>STATS1003B!Q1454/1000</f>
        <v>1461.24422</v>
      </c>
      <c r="R1382" s="9">
        <f>STATS1003B!R1454/1000</f>
        <v>0</v>
      </c>
      <c r="S1382" s="9">
        <f>STATS1003B!S1454/1000</f>
        <v>0</v>
      </c>
      <c r="T1382" s="9">
        <f>STATS1003B!T1454/1000</f>
        <v>0</v>
      </c>
      <c r="U1382" s="9">
        <f>STATS1003B!U1454/1000</f>
        <v>0</v>
      </c>
      <c r="V1382" s="9">
        <f>STATS1003B!V1454/1000</f>
        <v>1461.24422</v>
      </c>
      <c r="W1382" s="9">
        <f>STATS1003B!W1454/1000</f>
        <v>0</v>
      </c>
      <c r="X1382" s="9">
        <f>STATS1003B!X1454/1000</f>
        <v>1461.24422</v>
      </c>
      <c r="Y1382" s="9">
        <f>STATS1003B!Y1454/1000</f>
        <v>0</v>
      </c>
      <c r="Z1382" s="9">
        <f>STATS1003B!Z1454/1000</f>
        <v>0</v>
      </c>
      <c r="AA1382" s="9">
        <f>STATS1003B!AA1454/1000</f>
        <v>1461.24422</v>
      </c>
      <c r="AB1382" s="9">
        <f>STATS1003B!AB1454/1000</f>
        <v>0</v>
      </c>
    </row>
    <row r="1383" spans="1:28" x14ac:dyDescent="0.35">
      <c r="A1383" s="36"/>
      <c r="B1383" s="8"/>
      <c r="C1383" s="7" t="s">
        <v>535</v>
      </c>
      <c r="D1383" s="21" t="s">
        <v>60</v>
      </c>
      <c r="E1383" s="9">
        <f>STATS1003B!E1455/1000</f>
        <v>1441.2860000000001</v>
      </c>
      <c r="F1383" s="9">
        <f>STATS1003B!F1455/1000</f>
        <v>1441.2860000000001</v>
      </c>
      <c r="G1383" s="9">
        <f>STATS1003B!G1455/1000</f>
        <v>0</v>
      </c>
      <c r="H1383" s="9">
        <f>STATS1003B!H1455/1000</f>
        <v>1441.2860000000001</v>
      </c>
      <c r="I1383" s="9">
        <f>STATS1003B!I1455/1000</f>
        <v>0</v>
      </c>
      <c r="J1383" s="9">
        <f>STATS1003B!J1455/1000</f>
        <v>1441.2860000000001</v>
      </c>
      <c r="K1383" s="9">
        <f>STATS1003B!K1455/1000</f>
        <v>0</v>
      </c>
      <c r="L1383" s="9">
        <f>STATS1003B!L1455/1000</f>
        <v>0</v>
      </c>
      <c r="M1383" s="9">
        <f>STATS1003B!M1455/1000</f>
        <v>1441.2860000000001</v>
      </c>
      <c r="N1383" s="9">
        <f>STATS1003B!N1455/1000</f>
        <v>0</v>
      </c>
      <c r="O1383" s="9">
        <f>STATS1003B!O1455/1000</f>
        <v>0</v>
      </c>
      <c r="P1383" s="9">
        <f>STATS1003B!P1455/1000</f>
        <v>0</v>
      </c>
      <c r="Q1383" s="9">
        <f>STATS1003B!Q1455/1000</f>
        <v>1441.2860000000001</v>
      </c>
      <c r="R1383" s="9">
        <f>STATS1003B!R1455/1000</f>
        <v>0</v>
      </c>
      <c r="S1383" s="9">
        <f>STATS1003B!S1455/1000</f>
        <v>0</v>
      </c>
      <c r="T1383" s="9">
        <f>STATS1003B!T1455/1000</f>
        <v>0</v>
      </c>
      <c r="U1383" s="9">
        <f>STATS1003B!U1455/1000</f>
        <v>0</v>
      </c>
      <c r="V1383" s="9">
        <f>STATS1003B!V1455/1000</f>
        <v>1441.2860000000001</v>
      </c>
      <c r="W1383" s="9">
        <f>STATS1003B!W1455/1000</f>
        <v>0</v>
      </c>
      <c r="X1383" s="9">
        <f>STATS1003B!X1455/1000</f>
        <v>1441.2860000000001</v>
      </c>
      <c r="Y1383" s="9">
        <f>STATS1003B!Y1455/1000</f>
        <v>0</v>
      </c>
      <c r="Z1383" s="9">
        <f>STATS1003B!Z1455/1000</f>
        <v>0</v>
      </c>
      <c r="AA1383" s="9">
        <f>STATS1003B!AA1455/1000</f>
        <v>1441.2860000000001</v>
      </c>
      <c r="AB1383" s="9">
        <f>STATS1003B!AB1455/1000</f>
        <v>0</v>
      </c>
    </row>
    <row r="1384" spans="1:28" x14ac:dyDescent="0.35">
      <c r="A1384" s="36"/>
      <c r="B1384" s="8"/>
      <c r="C1384" s="14" t="s">
        <v>736</v>
      </c>
      <c r="D1384" s="21" t="s">
        <v>60</v>
      </c>
      <c r="E1384" s="9">
        <f>STATS1003B!E1456/1000</f>
        <v>5000</v>
      </c>
      <c r="F1384" s="9">
        <f>STATS1003B!F1456/1000</f>
        <v>5000</v>
      </c>
      <c r="G1384" s="9">
        <f>STATS1003B!G1456/1000</f>
        <v>0</v>
      </c>
      <c r="H1384" s="9">
        <f>STATS1003B!H1456/1000</f>
        <v>5000</v>
      </c>
      <c r="I1384" s="9">
        <f>STATS1003B!I1456/1000</f>
        <v>0</v>
      </c>
      <c r="J1384" s="9">
        <f>STATS1003B!J1456/1000</f>
        <v>5000</v>
      </c>
      <c r="K1384" s="9">
        <f>STATS1003B!K1456/1000</f>
        <v>0</v>
      </c>
      <c r="L1384" s="9">
        <f>STATS1003B!L1456/1000</f>
        <v>0</v>
      </c>
      <c r="M1384" s="9">
        <f>STATS1003B!M1456/1000</f>
        <v>5000</v>
      </c>
      <c r="N1384" s="9">
        <f>STATS1003B!N1456/1000</f>
        <v>0</v>
      </c>
      <c r="O1384" s="9">
        <f>STATS1003B!O1456/1000</f>
        <v>0</v>
      </c>
      <c r="P1384" s="9">
        <f>STATS1003B!P1456/1000</f>
        <v>0</v>
      </c>
      <c r="Q1384" s="9">
        <f>STATS1003B!Q1456/1000</f>
        <v>5000</v>
      </c>
      <c r="R1384" s="9">
        <f>STATS1003B!R1456/1000</f>
        <v>0</v>
      </c>
      <c r="S1384" s="9">
        <f>STATS1003B!S1456/1000</f>
        <v>0</v>
      </c>
      <c r="T1384" s="9">
        <f>STATS1003B!T1456/1000</f>
        <v>0</v>
      </c>
      <c r="U1384" s="9">
        <f>STATS1003B!U1456/1000</f>
        <v>0</v>
      </c>
      <c r="V1384" s="9">
        <f>STATS1003B!V1456/1000</f>
        <v>5000</v>
      </c>
      <c r="W1384" s="9">
        <f>STATS1003B!W1456/1000</f>
        <v>0</v>
      </c>
      <c r="X1384" s="9">
        <f>STATS1003B!X1456/1000</f>
        <v>5000</v>
      </c>
      <c r="Y1384" s="9">
        <f>STATS1003B!Y1456/1000</f>
        <v>0</v>
      </c>
      <c r="Z1384" s="9">
        <f>STATS1003B!Z1456/1000</f>
        <v>0</v>
      </c>
      <c r="AA1384" s="9">
        <f>STATS1003B!AA1456/1000</f>
        <v>5000</v>
      </c>
      <c r="AB1384" s="9">
        <f>STATS1003B!AB1456/1000</f>
        <v>0</v>
      </c>
    </row>
    <row r="1385" spans="1:28" x14ac:dyDescent="0.35">
      <c r="A1385" s="36"/>
      <c r="B1385" s="8"/>
      <c r="C1385" s="7" t="s">
        <v>535</v>
      </c>
      <c r="D1385" s="21" t="s">
        <v>73</v>
      </c>
      <c r="E1385" s="9">
        <f>STATS1003B!E1457/1000</f>
        <v>945</v>
      </c>
      <c r="F1385" s="9">
        <f>STATS1003B!F1457/1000</f>
        <v>945</v>
      </c>
      <c r="G1385" s="9">
        <f>STATS1003B!G1457/1000</f>
        <v>0</v>
      </c>
      <c r="H1385" s="9">
        <f>STATS1003B!H1457/1000</f>
        <v>945</v>
      </c>
      <c r="I1385" s="9">
        <f>STATS1003B!I1457/1000</f>
        <v>0</v>
      </c>
      <c r="J1385" s="9">
        <f>STATS1003B!J1457/1000</f>
        <v>945</v>
      </c>
      <c r="K1385" s="9">
        <f>STATS1003B!K1457/1000</f>
        <v>0</v>
      </c>
      <c r="L1385" s="9">
        <f>STATS1003B!L1457/1000</f>
        <v>0</v>
      </c>
      <c r="M1385" s="9">
        <f>STATS1003B!M1457/1000</f>
        <v>945</v>
      </c>
      <c r="N1385" s="9">
        <f>STATS1003B!N1457/1000</f>
        <v>0</v>
      </c>
      <c r="O1385" s="9">
        <f>STATS1003B!O1457/1000</f>
        <v>0</v>
      </c>
      <c r="P1385" s="9">
        <f>STATS1003B!P1457/1000</f>
        <v>0</v>
      </c>
      <c r="Q1385" s="9">
        <f>STATS1003B!Q1457/1000</f>
        <v>945</v>
      </c>
      <c r="R1385" s="9">
        <f>STATS1003B!R1457/1000</f>
        <v>0</v>
      </c>
      <c r="S1385" s="9">
        <f>STATS1003B!S1457/1000</f>
        <v>0</v>
      </c>
      <c r="T1385" s="9">
        <f>STATS1003B!T1457/1000</f>
        <v>0</v>
      </c>
      <c r="U1385" s="9">
        <f>STATS1003B!U1457/1000</f>
        <v>0</v>
      </c>
      <c r="V1385" s="9">
        <f>STATS1003B!V1457/1000</f>
        <v>945</v>
      </c>
      <c r="W1385" s="9">
        <f>STATS1003B!W1457/1000</f>
        <v>0</v>
      </c>
      <c r="X1385" s="9">
        <f>STATS1003B!X1457/1000</f>
        <v>945</v>
      </c>
      <c r="Y1385" s="9">
        <f>STATS1003B!Y1457/1000</f>
        <v>0</v>
      </c>
      <c r="Z1385" s="9">
        <f>STATS1003B!Z1457/1000</f>
        <v>0</v>
      </c>
      <c r="AA1385" s="9">
        <f>STATS1003B!AA1457/1000</f>
        <v>945</v>
      </c>
      <c r="AB1385" s="9">
        <f>STATS1003B!AB1457/1000</f>
        <v>0</v>
      </c>
    </row>
    <row r="1386" spans="1:28" x14ac:dyDescent="0.35">
      <c r="A1386" s="36"/>
      <c r="B1386" s="8"/>
      <c r="C1386" s="14" t="s">
        <v>737</v>
      </c>
      <c r="D1386" s="21" t="s">
        <v>73</v>
      </c>
      <c r="E1386" s="9">
        <f>STATS1003B!E1458/1000</f>
        <v>1260.7750000000001</v>
      </c>
      <c r="F1386" s="9">
        <f>STATS1003B!F1458/1000</f>
        <v>1260.7750000000001</v>
      </c>
      <c r="G1386" s="9">
        <f>STATS1003B!G1458/1000</f>
        <v>0</v>
      </c>
      <c r="H1386" s="9">
        <f>STATS1003B!H1458/1000</f>
        <v>1260.7750000000001</v>
      </c>
      <c r="I1386" s="9">
        <f>STATS1003B!I1458/1000</f>
        <v>0</v>
      </c>
      <c r="J1386" s="9">
        <f>STATS1003B!J1458/1000</f>
        <v>1260.7750000000001</v>
      </c>
      <c r="K1386" s="9">
        <f>STATS1003B!K1458/1000</f>
        <v>0</v>
      </c>
      <c r="L1386" s="9">
        <f>STATS1003B!L1458/1000</f>
        <v>0</v>
      </c>
      <c r="M1386" s="9">
        <f>STATS1003B!M1458/1000</f>
        <v>1260.7750000000001</v>
      </c>
      <c r="N1386" s="9">
        <f>STATS1003B!N1458/1000</f>
        <v>0</v>
      </c>
      <c r="O1386" s="9">
        <f>STATS1003B!O1458/1000</f>
        <v>0</v>
      </c>
      <c r="P1386" s="9">
        <f>STATS1003B!P1458/1000</f>
        <v>0</v>
      </c>
      <c r="Q1386" s="9">
        <f>STATS1003B!Q1458/1000</f>
        <v>1260.7750000000001</v>
      </c>
      <c r="R1386" s="9">
        <f>STATS1003B!R1458/1000</f>
        <v>0</v>
      </c>
      <c r="S1386" s="9">
        <f>STATS1003B!S1458/1000</f>
        <v>0</v>
      </c>
      <c r="T1386" s="9">
        <f>STATS1003B!T1458/1000</f>
        <v>0</v>
      </c>
      <c r="U1386" s="9">
        <f>STATS1003B!U1458/1000</f>
        <v>0</v>
      </c>
      <c r="V1386" s="9">
        <f>STATS1003B!V1458/1000</f>
        <v>1260.7750000000001</v>
      </c>
      <c r="W1386" s="9">
        <f>STATS1003B!W1458/1000</f>
        <v>0</v>
      </c>
      <c r="X1386" s="9">
        <f>STATS1003B!X1458/1000</f>
        <v>1260.7750000000001</v>
      </c>
      <c r="Y1386" s="9">
        <f>STATS1003B!Y1458/1000</f>
        <v>0</v>
      </c>
      <c r="Z1386" s="9">
        <f>STATS1003B!Z1458/1000</f>
        <v>0</v>
      </c>
      <c r="AA1386" s="9">
        <f>STATS1003B!AA1458/1000</f>
        <v>1260.7750000000001</v>
      </c>
      <c r="AB1386" s="9">
        <f>STATS1003B!AB1458/1000</f>
        <v>0</v>
      </c>
    </row>
    <row r="1387" spans="1:28" x14ac:dyDescent="0.35">
      <c r="A1387" s="36"/>
      <c r="B1387" s="8"/>
      <c r="C1387" s="45" t="s">
        <v>1141</v>
      </c>
      <c r="D1387" s="24" t="s">
        <v>1126</v>
      </c>
      <c r="E1387" s="9">
        <f>STATS1003B!E1459/1000</f>
        <v>98.861919999999998</v>
      </c>
      <c r="F1387" s="9">
        <f>STATS1003B!F1459/1000</f>
        <v>98.861919999999998</v>
      </c>
      <c r="G1387" s="9">
        <f>STATS1003B!G1459/1000</f>
        <v>0</v>
      </c>
      <c r="H1387" s="9">
        <f>STATS1003B!H1459/1000</f>
        <v>98.861919999999998</v>
      </c>
      <c r="I1387" s="9">
        <f>STATS1003B!I1459/1000</f>
        <v>0</v>
      </c>
      <c r="J1387" s="9">
        <f>STATS1003B!J1459/1000</f>
        <v>98.861919999999998</v>
      </c>
      <c r="K1387" s="9">
        <f>STATS1003B!K1459/1000</f>
        <v>0</v>
      </c>
      <c r="L1387" s="9">
        <f>STATS1003B!L1459/1000</f>
        <v>0</v>
      </c>
      <c r="M1387" s="9">
        <f>STATS1003B!M1459/1000</f>
        <v>98.861919999999998</v>
      </c>
      <c r="N1387" s="9">
        <f>STATS1003B!N1459/1000</f>
        <v>0</v>
      </c>
      <c r="O1387" s="9">
        <f>STATS1003B!O1459/1000</f>
        <v>0</v>
      </c>
      <c r="P1387" s="9">
        <f>STATS1003B!P1459/1000</f>
        <v>0</v>
      </c>
      <c r="Q1387" s="9">
        <f>STATS1003B!Q1459/1000</f>
        <v>0</v>
      </c>
      <c r="R1387" s="9">
        <f>STATS1003B!R1459/1000</f>
        <v>0</v>
      </c>
      <c r="S1387" s="9">
        <f>STATS1003B!S1459/1000</f>
        <v>0</v>
      </c>
      <c r="T1387" s="9">
        <f>STATS1003B!T1459/1000</f>
        <v>0</v>
      </c>
      <c r="U1387" s="9">
        <f>STATS1003B!U1459/1000</f>
        <v>0</v>
      </c>
      <c r="V1387" s="9">
        <f>STATS1003B!V1459/1000</f>
        <v>98.861919999999998</v>
      </c>
      <c r="W1387" s="9">
        <f>STATS1003B!W1459/1000</f>
        <v>0</v>
      </c>
      <c r="X1387" s="9">
        <f>STATS1003B!X1459/1000</f>
        <v>98.861919999999998</v>
      </c>
      <c r="Y1387" s="9">
        <f>STATS1003B!Y1459/1000</f>
        <v>0</v>
      </c>
      <c r="Z1387" s="9">
        <f>STATS1003B!Z1459/1000</f>
        <v>0</v>
      </c>
      <c r="AA1387" s="9">
        <f>STATS1003B!AA1459/1000</f>
        <v>98.861919999999998</v>
      </c>
      <c r="AB1387" s="9">
        <f>STATS1003B!AB1459/1000</f>
        <v>0</v>
      </c>
    </row>
    <row r="1388" spans="1:28" x14ac:dyDescent="0.35">
      <c r="A1388" s="36"/>
      <c r="B1388" s="8"/>
      <c r="C1388" s="7" t="s">
        <v>535</v>
      </c>
      <c r="D1388" s="21" t="s">
        <v>61</v>
      </c>
      <c r="E1388" s="9">
        <f>STATS1003B!E1461/1000</f>
        <v>1692.7279900000001</v>
      </c>
      <c r="F1388" s="9">
        <f>STATS1003B!F1461/1000</f>
        <v>1692.7279900000001</v>
      </c>
      <c r="G1388" s="9">
        <f>STATS1003B!G1461/1000</f>
        <v>0</v>
      </c>
      <c r="H1388" s="9">
        <f>STATS1003B!H1461/1000</f>
        <v>1692.7279900000001</v>
      </c>
      <c r="I1388" s="9">
        <f>STATS1003B!I1461/1000</f>
        <v>0</v>
      </c>
      <c r="J1388" s="9">
        <f>STATS1003B!J1461/1000</f>
        <v>1692.7279900000001</v>
      </c>
      <c r="K1388" s="9">
        <f>STATS1003B!K1461/1000</f>
        <v>0</v>
      </c>
      <c r="L1388" s="9">
        <f>STATS1003B!L1461/1000</f>
        <v>0</v>
      </c>
      <c r="M1388" s="9">
        <f>STATS1003B!M1461/1000</f>
        <v>1692.7279900000001</v>
      </c>
      <c r="N1388" s="9">
        <f>STATS1003B!N1461/1000</f>
        <v>0</v>
      </c>
      <c r="O1388" s="9">
        <f>STATS1003B!O1461/1000</f>
        <v>0</v>
      </c>
      <c r="P1388" s="9">
        <f>STATS1003B!P1461/1000</f>
        <v>0</v>
      </c>
      <c r="Q1388" s="9">
        <f>STATS1003B!Q1461/1000</f>
        <v>1692.7279900000001</v>
      </c>
      <c r="R1388" s="9">
        <f>STATS1003B!R1461/1000</f>
        <v>0</v>
      </c>
      <c r="S1388" s="9">
        <f>STATS1003B!S1461/1000</f>
        <v>0</v>
      </c>
      <c r="T1388" s="9">
        <f>STATS1003B!T1461/1000</f>
        <v>0</v>
      </c>
      <c r="U1388" s="9">
        <f>STATS1003B!U1461/1000</f>
        <v>0</v>
      </c>
      <c r="V1388" s="9">
        <f>STATS1003B!V1461/1000</f>
        <v>1692.7279900000001</v>
      </c>
      <c r="W1388" s="9">
        <f>STATS1003B!W1461/1000</f>
        <v>0</v>
      </c>
      <c r="X1388" s="9">
        <f>STATS1003B!X1461/1000</f>
        <v>1692.7279900000001</v>
      </c>
      <c r="Y1388" s="9">
        <f>STATS1003B!Y1461/1000</f>
        <v>0</v>
      </c>
      <c r="Z1388" s="9">
        <f>STATS1003B!Z1461/1000</f>
        <v>0</v>
      </c>
      <c r="AA1388" s="9">
        <f>STATS1003B!AA1461/1000</f>
        <v>1692.7279900000001</v>
      </c>
      <c r="AB1388" s="9">
        <f>STATS1003B!AB1461/1000</f>
        <v>0</v>
      </c>
    </row>
    <row r="1389" spans="1:28" x14ac:dyDescent="0.35">
      <c r="A1389" s="36"/>
      <c r="B1389" s="8"/>
      <c r="C1389" s="14" t="s">
        <v>738</v>
      </c>
      <c r="D1389" s="21" t="s">
        <v>61</v>
      </c>
      <c r="E1389" s="9">
        <f>STATS1003B!E1462/1000</f>
        <v>2448.1098900000002</v>
      </c>
      <c r="F1389" s="9">
        <f>STATS1003B!F1462/1000</f>
        <v>2448.1098900000002</v>
      </c>
      <c r="G1389" s="9">
        <f>STATS1003B!G1462/1000</f>
        <v>0</v>
      </c>
      <c r="H1389" s="9">
        <f>STATS1003B!H1462/1000</f>
        <v>2448.1098900000002</v>
      </c>
      <c r="I1389" s="9">
        <f>STATS1003B!I1462/1000</f>
        <v>0</v>
      </c>
      <c r="J1389" s="9">
        <f>STATS1003B!J1462/1000</f>
        <v>2448.1098900000002</v>
      </c>
      <c r="K1389" s="9">
        <f>STATS1003B!K1462/1000</f>
        <v>0</v>
      </c>
      <c r="L1389" s="9">
        <f>STATS1003B!L1462/1000</f>
        <v>0</v>
      </c>
      <c r="M1389" s="9">
        <f>STATS1003B!M1462/1000</f>
        <v>2448.1098900000002</v>
      </c>
      <c r="N1389" s="9">
        <f>STATS1003B!N1462/1000</f>
        <v>0</v>
      </c>
      <c r="O1389" s="9">
        <f>STATS1003B!O1462/1000</f>
        <v>0</v>
      </c>
      <c r="P1389" s="9">
        <f>STATS1003B!P1462/1000</f>
        <v>0</v>
      </c>
      <c r="Q1389" s="9">
        <f>STATS1003B!Q1462/1000</f>
        <v>2448.1098900000002</v>
      </c>
      <c r="R1389" s="9">
        <f>STATS1003B!R1462/1000</f>
        <v>0</v>
      </c>
      <c r="S1389" s="9">
        <f>STATS1003B!S1462/1000</f>
        <v>0</v>
      </c>
      <c r="T1389" s="9">
        <f>STATS1003B!T1462/1000</f>
        <v>0</v>
      </c>
      <c r="U1389" s="9">
        <f>STATS1003B!U1462/1000</f>
        <v>0</v>
      </c>
      <c r="V1389" s="9">
        <f>STATS1003B!V1462/1000</f>
        <v>2448.1098900000002</v>
      </c>
      <c r="W1389" s="9">
        <f>STATS1003B!W1462/1000</f>
        <v>0</v>
      </c>
      <c r="X1389" s="9">
        <f>STATS1003B!X1462/1000</f>
        <v>2448.1098900000002</v>
      </c>
      <c r="Y1389" s="9">
        <f>STATS1003B!Y1462/1000</f>
        <v>0</v>
      </c>
      <c r="Z1389" s="9">
        <f>STATS1003B!Z1462/1000</f>
        <v>0</v>
      </c>
      <c r="AA1389" s="9">
        <f>STATS1003B!AA1462/1000</f>
        <v>2448.1098900000002</v>
      </c>
      <c r="AB1389" s="9">
        <f>STATS1003B!AB1462/1000</f>
        <v>0</v>
      </c>
    </row>
    <row r="1390" spans="1:28" x14ac:dyDescent="0.35">
      <c r="A1390" s="36"/>
      <c r="B1390" s="8"/>
      <c r="C1390" s="7" t="s">
        <v>739</v>
      </c>
      <c r="D1390" s="8"/>
      <c r="E1390" s="9">
        <f>STATS1003B!E1463/1000</f>
        <v>567.82500000000005</v>
      </c>
      <c r="F1390" s="9">
        <f>STATS1003B!F1463/1000</f>
        <v>567.82500000000005</v>
      </c>
      <c r="G1390" s="9">
        <f>STATS1003B!G1463/1000</f>
        <v>0</v>
      </c>
      <c r="H1390" s="9">
        <f>STATS1003B!H1463/1000</f>
        <v>567.82500000000005</v>
      </c>
      <c r="I1390" s="9">
        <f>STATS1003B!I1463/1000</f>
        <v>0</v>
      </c>
      <c r="J1390" s="9">
        <f>STATS1003B!J1463/1000</f>
        <v>567.82500000000005</v>
      </c>
      <c r="K1390" s="9">
        <f>STATS1003B!K1463/1000</f>
        <v>0</v>
      </c>
      <c r="L1390" s="9">
        <f>STATS1003B!L1463/1000</f>
        <v>0</v>
      </c>
      <c r="M1390" s="9">
        <f>STATS1003B!M1463/1000</f>
        <v>567.82500000000005</v>
      </c>
      <c r="N1390" s="9">
        <f>STATS1003B!N1463/1000</f>
        <v>0</v>
      </c>
      <c r="O1390" s="9">
        <f>STATS1003B!O1463/1000</f>
        <v>0</v>
      </c>
      <c r="P1390" s="9">
        <f>STATS1003B!P1463/1000</f>
        <v>0</v>
      </c>
      <c r="Q1390" s="9">
        <f>STATS1003B!Q1463/1000</f>
        <v>567.82500000000005</v>
      </c>
      <c r="R1390" s="9">
        <f>STATS1003B!R1463/1000</f>
        <v>0</v>
      </c>
      <c r="S1390" s="9">
        <f>STATS1003B!S1463/1000</f>
        <v>0</v>
      </c>
      <c r="T1390" s="9">
        <f>STATS1003B!T1463/1000</f>
        <v>0</v>
      </c>
      <c r="U1390" s="9">
        <f>STATS1003B!U1463/1000</f>
        <v>0</v>
      </c>
      <c r="V1390" s="9">
        <f>STATS1003B!V1463/1000</f>
        <v>567.82500000000005</v>
      </c>
      <c r="W1390" s="9">
        <f>STATS1003B!W1463/1000</f>
        <v>0</v>
      </c>
      <c r="X1390" s="9">
        <f>STATS1003B!X1463/1000</f>
        <v>567.82500000000005</v>
      </c>
      <c r="Y1390" s="9">
        <f>STATS1003B!Y1463/1000</f>
        <v>0</v>
      </c>
      <c r="Z1390" s="9">
        <f>STATS1003B!Z1463/1000</f>
        <v>0</v>
      </c>
      <c r="AA1390" s="9">
        <f>STATS1003B!AA1463/1000</f>
        <v>567.82500000000005</v>
      </c>
      <c r="AB1390" s="9">
        <f>STATS1003B!AB1463/1000</f>
        <v>0</v>
      </c>
    </row>
    <row r="1391" spans="1:28" x14ac:dyDescent="0.35">
      <c r="A1391" s="36"/>
      <c r="B1391" s="8"/>
      <c r="C1391" s="7" t="s">
        <v>739</v>
      </c>
      <c r="D1391" s="8"/>
      <c r="E1391" s="9">
        <f>STATS1003B!E1464/1000</f>
        <v>1202.204</v>
      </c>
      <c r="F1391" s="9">
        <f>STATS1003B!F1464/1000</f>
        <v>1202.204</v>
      </c>
      <c r="G1391" s="9">
        <f>STATS1003B!G1464/1000</f>
        <v>0</v>
      </c>
      <c r="H1391" s="9">
        <f>STATS1003B!H1464/1000</f>
        <v>1202.204</v>
      </c>
      <c r="I1391" s="9">
        <f>STATS1003B!I1464/1000</f>
        <v>0</v>
      </c>
      <c r="J1391" s="9">
        <f>STATS1003B!J1464/1000</f>
        <v>1202.204</v>
      </c>
      <c r="K1391" s="9">
        <f>STATS1003B!K1464/1000</f>
        <v>0</v>
      </c>
      <c r="L1391" s="9">
        <f>STATS1003B!L1464/1000</f>
        <v>0</v>
      </c>
      <c r="M1391" s="9">
        <f>STATS1003B!M1464/1000</f>
        <v>1202.204</v>
      </c>
      <c r="N1391" s="9">
        <f>STATS1003B!N1464/1000</f>
        <v>0</v>
      </c>
      <c r="O1391" s="9">
        <f>STATS1003B!O1464/1000</f>
        <v>0</v>
      </c>
      <c r="P1391" s="9">
        <f>STATS1003B!P1464/1000</f>
        <v>0</v>
      </c>
      <c r="Q1391" s="9">
        <f>STATS1003B!Q1464/1000</f>
        <v>1202.204</v>
      </c>
      <c r="R1391" s="9">
        <f>STATS1003B!R1464/1000</f>
        <v>0</v>
      </c>
      <c r="S1391" s="9">
        <f>STATS1003B!S1464/1000</f>
        <v>0</v>
      </c>
      <c r="T1391" s="9">
        <f>STATS1003B!T1464/1000</f>
        <v>0</v>
      </c>
      <c r="U1391" s="9">
        <f>STATS1003B!U1464/1000</f>
        <v>0</v>
      </c>
      <c r="V1391" s="9">
        <f>STATS1003B!V1464/1000</f>
        <v>1202.204</v>
      </c>
      <c r="W1391" s="9">
        <f>STATS1003B!W1464/1000</f>
        <v>0</v>
      </c>
      <c r="X1391" s="9">
        <f>STATS1003B!X1464/1000</f>
        <v>1202.204</v>
      </c>
      <c r="Y1391" s="9">
        <f>STATS1003B!Y1464/1000</f>
        <v>0</v>
      </c>
      <c r="Z1391" s="9">
        <f>STATS1003B!Z1464/1000</f>
        <v>0</v>
      </c>
      <c r="AA1391" s="9">
        <f>STATS1003B!AA1464/1000</f>
        <v>1202.204</v>
      </c>
      <c r="AB1391" s="9">
        <f>STATS1003B!AB1464/1000</f>
        <v>0</v>
      </c>
    </row>
    <row r="1392" spans="1:28" x14ac:dyDescent="0.35">
      <c r="A1392" s="36"/>
      <c r="B1392" s="8"/>
      <c r="C1392" s="7" t="s">
        <v>933</v>
      </c>
      <c r="D1392" s="23" t="s">
        <v>1072</v>
      </c>
      <c r="E1392" s="9">
        <f>STATS1003B!E1466/1000</f>
        <v>1290.89861</v>
      </c>
      <c r="F1392" s="9">
        <f>STATS1003B!F1466/1000</f>
        <v>1290.89861</v>
      </c>
      <c r="G1392" s="9">
        <f>STATS1003B!G1466/1000</f>
        <v>0</v>
      </c>
      <c r="H1392" s="9">
        <f>STATS1003B!H1466/1000</f>
        <v>1290.89861</v>
      </c>
      <c r="I1392" s="9">
        <f>STATS1003B!I1466/1000</f>
        <v>0</v>
      </c>
      <c r="J1392" s="9">
        <f>STATS1003B!J1466/1000</f>
        <v>1290.89861</v>
      </c>
      <c r="K1392" s="9">
        <f>STATS1003B!K1466/1000</f>
        <v>0</v>
      </c>
      <c r="L1392" s="9">
        <f>STATS1003B!L1466/1000</f>
        <v>0</v>
      </c>
      <c r="M1392" s="9">
        <f>STATS1003B!M1466/1000</f>
        <v>1290.89861</v>
      </c>
      <c r="N1392" s="9">
        <f>STATS1003B!N1466/1000</f>
        <v>0</v>
      </c>
      <c r="O1392" s="9">
        <f>STATS1003B!O1466/1000</f>
        <v>0</v>
      </c>
      <c r="P1392" s="9">
        <f>STATS1003B!P1466/1000</f>
        <v>0</v>
      </c>
      <c r="Q1392" s="9">
        <f>STATS1003B!Q1466/1000</f>
        <v>0</v>
      </c>
      <c r="R1392" s="9">
        <f>STATS1003B!R1466/1000</f>
        <v>0</v>
      </c>
      <c r="S1392" s="9">
        <f>STATS1003B!S1466/1000</f>
        <v>0</v>
      </c>
      <c r="T1392" s="9">
        <f>STATS1003B!T1466/1000</f>
        <v>0</v>
      </c>
      <c r="U1392" s="9">
        <f>STATS1003B!U1466/1000</f>
        <v>0</v>
      </c>
      <c r="V1392" s="9">
        <f>STATS1003B!V1466/1000</f>
        <v>1290.89861</v>
      </c>
      <c r="W1392" s="9">
        <f>STATS1003B!W1466/1000</f>
        <v>0</v>
      </c>
      <c r="X1392" s="9">
        <f>STATS1003B!X1466/1000</f>
        <v>1290.89861</v>
      </c>
      <c r="Y1392" s="9">
        <f>STATS1003B!Y1466/1000</f>
        <v>0</v>
      </c>
      <c r="Z1392" s="9">
        <f>STATS1003B!Z1466/1000</f>
        <v>0</v>
      </c>
      <c r="AA1392" s="9">
        <f>STATS1003B!AA1466/1000</f>
        <v>1290.89861</v>
      </c>
      <c r="AB1392" s="9">
        <f>STATS1003B!AB1466/1000</f>
        <v>0</v>
      </c>
    </row>
    <row r="1393" spans="1:28" x14ac:dyDescent="0.35">
      <c r="A1393" s="36"/>
      <c r="B1393" s="8"/>
      <c r="C1393" s="7" t="s">
        <v>678</v>
      </c>
      <c r="D1393" s="8"/>
      <c r="E1393" s="9">
        <f>STATS1003B!E1470/1000</f>
        <v>4741.7132300000003</v>
      </c>
      <c r="F1393" s="9">
        <f>STATS1003B!F1470/1000</f>
        <v>4741.7132300000003</v>
      </c>
      <c r="G1393" s="9">
        <f>STATS1003B!G1470/1000</f>
        <v>0</v>
      </c>
      <c r="H1393" s="9">
        <f>STATS1003B!H1470/1000</f>
        <v>4741.7132300000003</v>
      </c>
      <c r="I1393" s="9">
        <f>STATS1003B!I1470/1000</f>
        <v>0</v>
      </c>
      <c r="J1393" s="9">
        <f>STATS1003B!J1470/1000</f>
        <v>4741.7132300000003</v>
      </c>
      <c r="K1393" s="9">
        <f>STATS1003B!K1470/1000</f>
        <v>0</v>
      </c>
      <c r="L1393" s="9">
        <f>STATS1003B!L1470/1000</f>
        <v>0</v>
      </c>
      <c r="M1393" s="9">
        <f>STATS1003B!M1470/1000</f>
        <v>4741.7132300000003</v>
      </c>
      <c r="N1393" s="9">
        <f>STATS1003B!N1470/1000</f>
        <v>0</v>
      </c>
      <c r="O1393" s="9">
        <f>STATS1003B!O1470/1000</f>
        <v>0</v>
      </c>
      <c r="P1393" s="9">
        <f>STATS1003B!P1470/1000</f>
        <v>0</v>
      </c>
      <c r="Q1393" s="9">
        <f>STATS1003B!Q1470/1000</f>
        <v>4741.7132300000003</v>
      </c>
      <c r="R1393" s="9">
        <f>STATS1003B!R1470/1000</f>
        <v>0</v>
      </c>
      <c r="S1393" s="9">
        <f>STATS1003B!S1470/1000</f>
        <v>0</v>
      </c>
      <c r="T1393" s="9">
        <f>STATS1003B!T1470/1000</f>
        <v>0</v>
      </c>
      <c r="U1393" s="9">
        <f>STATS1003B!U1470/1000</f>
        <v>0</v>
      </c>
      <c r="V1393" s="9">
        <f>STATS1003B!V1470/1000</f>
        <v>4741.7132300000003</v>
      </c>
      <c r="W1393" s="9">
        <f>STATS1003B!W1470/1000</f>
        <v>0</v>
      </c>
      <c r="X1393" s="9">
        <f>STATS1003B!X1470/1000</f>
        <v>4741.7132300000003</v>
      </c>
      <c r="Y1393" s="9">
        <f>STATS1003B!Y1470/1000</f>
        <v>0</v>
      </c>
      <c r="Z1393" s="9">
        <f>STATS1003B!Z1470/1000</f>
        <v>0</v>
      </c>
      <c r="AA1393" s="9">
        <f>STATS1003B!AA1470/1000</f>
        <v>4741.7132300000003</v>
      </c>
      <c r="AB1393" s="9">
        <f>STATS1003B!AB1470/1000</f>
        <v>0</v>
      </c>
    </row>
    <row r="1394" spans="1:28" x14ac:dyDescent="0.35">
      <c r="A1394" s="36"/>
      <c r="B1394" s="8"/>
      <c r="C1394" s="8"/>
      <c r="D1394" s="8"/>
      <c r="E1394" s="17" t="s">
        <v>29</v>
      </c>
      <c r="F1394" s="17" t="s">
        <v>29</v>
      </c>
      <c r="G1394" s="17" t="s">
        <v>29</v>
      </c>
      <c r="H1394" s="17" t="s">
        <v>29</v>
      </c>
      <c r="I1394" s="17" t="s">
        <v>29</v>
      </c>
      <c r="J1394" s="17" t="s">
        <v>29</v>
      </c>
      <c r="K1394" s="17" t="s">
        <v>29</v>
      </c>
      <c r="L1394" s="17" t="s">
        <v>29</v>
      </c>
      <c r="M1394" s="17" t="s">
        <v>29</v>
      </c>
      <c r="N1394" s="17" t="s">
        <v>29</v>
      </c>
      <c r="O1394" s="17" t="s">
        <v>29</v>
      </c>
      <c r="P1394" s="17" t="s">
        <v>29</v>
      </c>
      <c r="Q1394" s="17" t="s">
        <v>29</v>
      </c>
      <c r="R1394" s="17" t="s">
        <v>29</v>
      </c>
      <c r="S1394" s="17" t="s">
        <v>29</v>
      </c>
      <c r="T1394" s="17" t="s">
        <v>29</v>
      </c>
      <c r="U1394" s="17" t="s">
        <v>29</v>
      </c>
      <c r="V1394" s="17" t="s">
        <v>29</v>
      </c>
      <c r="W1394" s="17" t="s">
        <v>29</v>
      </c>
      <c r="X1394" s="17" t="s">
        <v>29</v>
      </c>
      <c r="Y1394" s="17" t="s">
        <v>29</v>
      </c>
      <c r="Z1394" s="17" t="s">
        <v>29</v>
      </c>
      <c r="AA1394" s="17" t="s">
        <v>29</v>
      </c>
      <c r="AB1394" s="17" t="s">
        <v>29</v>
      </c>
    </row>
    <row r="1395" spans="1:28" x14ac:dyDescent="0.35">
      <c r="A1395" s="36"/>
      <c r="B1395" s="8"/>
      <c r="C1395" s="8"/>
      <c r="D1395" s="8"/>
      <c r="E1395" s="9">
        <f t="shared" ref="E1395:Q1395" si="101">SUM(E1365:E1394)</f>
        <v>40574.145509999995</v>
      </c>
      <c r="F1395" s="9">
        <f t="shared" si="101"/>
        <v>38005.284090000001</v>
      </c>
      <c r="G1395" s="9">
        <f t="shared" si="101"/>
        <v>0</v>
      </c>
      <c r="H1395" s="9">
        <f t="shared" si="101"/>
        <v>38005.284090000001</v>
      </c>
      <c r="I1395" s="9">
        <f t="shared" si="101"/>
        <v>0</v>
      </c>
      <c r="J1395" s="9">
        <f t="shared" si="101"/>
        <v>38005.284090000001</v>
      </c>
      <c r="K1395" s="9">
        <f t="shared" si="101"/>
        <v>2568.8614200000002</v>
      </c>
      <c r="L1395" s="9">
        <f t="shared" si="101"/>
        <v>0</v>
      </c>
      <c r="M1395" s="9">
        <f t="shared" si="101"/>
        <v>38005.284090000001</v>
      </c>
      <c r="N1395" s="9">
        <f t="shared" si="101"/>
        <v>2568.8614200000002</v>
      </c>
      <c r="O1395" s="9">
        <f t="shared" si="101"/>
        <v>0</v>
      </c>
      <c r="P1395" s="9">
        <f t="shared" si="101"/>
        <v>2568.8614200000002</v>
      </c>
      <c r="Q1395" s="9">
        <f t="shared" si="101"/>
        <v>36615.523560000001</v>
      </c>
      <c r="R1395" s="17"/>
      <c r="S1395" s="17"/>
      <c r="T1395" s="9">
        <f t="shared" ref="T1395:Z1395" si="102">SUM(T1365:T1394)</f>
        <v>0</v>
      </c>
      <c r="U1395" s="9">
        <f t="shared" si="102"/>
        <v>2568.8614200000002</v>
      </c>
      <c r="V1395" s="9">
        <f t="shared" si="102"/>
        <v>40574.145509999995</v>
      </c>
      <c r="W1395" s="9">
        <f t="shared" si="102"/>
        <v>0</v>
      </c>
      <c r="X1395" s="9">
        <f t="shared" si="102"/>
        <v>40574.145509999995</v>
      </c>
      <c r="Y1395" s="9">
        <f t="shared" si="102"/>
        <v>0</v>
      </c>
      <c r="Z1395" s="9">
        <f t="shared" si="102"/>
        <v>0</v>
      </c>
      <c r="AA1395" s="9">
        <f>SUM(AA1365:AA1394)</f>
        <v>40574.145509999995</v>
      </c>
      <c r="AB1395" s="9">
        <f>SUM(AB1365:AB1394)</f>
        <v>0</v>
      </c>
    </row>
    <row r="1396" spans="1:28" x14ac:dyDescent="0.35">
      <c r="A1396" s="36"/>
      <c r="B1396" s="8"/>
      <c r="C1396" s="8"/>
      <c r="D1396" s="8"/>
      <c r="E1396" s="17" t="s">
        <v>29</v>
      </c>
      <c r="F1396" s="17" t="s">
        <v>29</v>
      </c>
      <c r="G1396" s="17" t="s">
        <v>29</v>
      </c>
      <c r="H1396" s="17" t="s">
        <v>29</v>
      </c>
      <c r="I1396" s="17" t="s">
        <v>29</v>
      </c>
      <c r="J1396" s="17" t="s">
        <v>29</v>
      </c>
      <c r="K1396" s="17" t="s">
        <v>29</v>
      </c>
      <c r="L1396" s="17" t="s">
        <v>29</v>
      </c>
      <c r="M1396" s="17" t="s">
        <v>29</v>
      </c>
      <c r="N1396" s="17" t="s">
        <v>29</v>
      </c>
      <c r="O1396" s="17" t="s">
        <v>29</v>
      </c>
      <c r="P1396" s="17" t="s">
        <v>29</v>
      </c>
      <c r="Q1396" s="17" t="s">
        <v>29</v>
      </c>
      <c r="R1396" s="17" t="s">
        <v>29</v>
      </c>
      <c r="S1396" s="17" t="s">
        <v>29</v>
      </c>
      <c r="T1396" s="17" t="s">
        <v>29</v>
      </c>
      <c r="U1396" s="17" t="s">
        <v>29</v>
      </c>
      <c r="V1396" s="17" t="s">
        <v>29</v>
      </c>
      <c r="W1396" s="17" t="s">
        <v>29</v>
      </c>
      <c r="X1396" s="17" t="s">
        <v>29</v>
      </c>
      <c r="Y1396" s="17" t="s">
        <v>29</v>
      </c>
      <c r="Z1396" s="17" t="s">
        <v>29</v>
      </c>
      <c r="AA1396" s="17" t="s">
        <v>29</v>
      </c>
      <c r="AB1396" s="17" t="s">
        <v>29</v>
      </c>
    </row>
    <row r="1397" spans="1:28" x14ac:dyDescent="0.35">
      <c r="A1397" s="38" t="s">
        <v>1001</v>
      </c>
      <c r="B1397" s="7" t="s">
        <v>740</v>
      </c>
      <c r="C1397" s="8"/>
      <c r="D1397" s="8"/>
      <c r="E1397" s="8"/>
      <c r="F1397" s="8"/>
      <c r="G1397" s="8"/>
      <c r="H1397" s="8"/>
      <c r="I1397" s="8"/>
      <c r="J1397" s="8"/>
      <c r="K1397" s="8"/>
      <c r="L1397" s="8"/>
      <c r="M1397" s="8"/>
      <c r="N1397" s="8"/>
      <c r="O1397" s="8"/>
      <c r="P1397" s="8"/>
      <c r="Q1397" s="8"/>
      <c r="R1397" s="17"/>
      <c r="S1397" s="17"/>
      <c r="T1397" s="17"/>
      <c r="U1397" s="17"/>
      <c r="V1397" s="17"/>
      <c r="W1397" s="17"/>
      <c r="X1397" s="17"/>
      <c r="Y1397" s="17"/>
      <c r="Z1397" s="17"/>
    </row>
    <row r="1398" spans="1:28" x14ac:dyDescent="0.35">
      <c r="A1398" s="36"/>
      <c r="B1398" s="8"/>
      <c r="C1398" s="7" t="s">
        <v>535</v>
      </c>
      <c r="D1398" s="15" t="s">
        <v>68</v>
      </c>
      <c r="E1398" s="9">
        <f>STATS1003B!E1475/1000</f>
        <v>1447.37781</v>
      </c>
      <c r="F1398" s="9">
        <f>STATS1003B!F1475/1000</f>
        <v>998.4</v>
      </c>
      <c r="G1398" s="9">
        <f>STATS1003B!G1475/1000</f>
        <v>0</v>
      </c>
      <c r="H1398" s="9">
        <f>STATS1003B!H1475/1000</f>
        <v>998.4</v>
      </c>
      <c r="I1398" s="9">
        <f>STATS1003B!I1475/1000</f>
        <v>0</v>
      </c>
      <c r="J1398" s="9">
        <f>STATS1003B!J1475/1000</f>
        <v>998.4</v>
      </c>
      <c r="K1398" s="9">
        <f>STATS1003B!K1475/1000</f>
        <v>448.97780999999998</v>
      </c>
      <c r="L1398" s="9">
        <f>STATS1003B!L1475/1000</f>
        <v>0</v>
      </c>
      <c r="M1398" s="9">
        <f>STATS1003B!M1475/1000</f>
        <v>998.4</v>
      </c>
      <c r="N1398" s="9">
        <f>STATS1003B!N1475/1000</f>
        <v>448.97780999999998</v>
      </c>
      <c r="O1398" s="9">
        <f>STATS1003B!O1475/1000</f>
        <v>0</v>
      </c>
      <c r="P1398" s="9">
        <f>STATS1003B!P1475/1000</f>
        <v>448.97780999999998</v>
      </c>
      <c r="Q1398" s="9">
        <f>STATS1003B!Q1475/1000</f>
        <v>998.4</v>
      </c>
      <c r="R1398" s="9">
        <f>STATS1003B!R1475/1000</f>
        <v>0</v>
      </c>
      <c r="S1398" s="9">
        <f>STATS1003B!S1475/1000</f>
        <v>0</v>
      </c>
      <c r="T1398" s="9">
        <f>STATS1003B!T1475/1000</f>
        <v>0</v>
      </c>
      <c r="U1398" s="9">
        <f>STATS1003B!U1475/1000</f>
        <v>448.97780999999998</v>
      </c>
      <c r="V1398" s="9">
        <f>STATS1003B!V1475/1000</f>
        <v>1447.37781</v>
      </c>
      <c r="W1398" s="9">
        <f>STATS1003B!W1475/1000</f>
        <v>0</v>
      </c>
      <c r="X1398" s="9">
        <f>STATS1003B!X1475/1000</f>
        <v>1447.37781</v>
      </c>
      <c r="Y1398" s="9">
        <f>STATS1003B!Y1475/1000</f>
        <v>0</v>
      </c>
      <c r="Z1398" s="9">
        <f>STATS1003B!Z1475/1000</f>
        <v>0</v>
      </c>
      <c r="AA1398" s="9">
        <f>STATS1003B!AA1475/1000</f>
        <v>1447.37781</v>
      </c>
      <c r="AB1398" s="9">
        <f>STATS1003B!AB1475/1000</f>
        <v>0</v>
      </c>
    </row>
    <row r="1399" spans="1:28" x14ac:dyDescent="0.35">
      <c r="A1399" s="36"/>
      <c r="B1399" s="8"/>
      <c r="C1399" s="7" t="s">
        <v>704</v>
      </c>
      <c r="D1399" s="15" t="s">
        <v>68</v>
      </c>
      <c r="E1399" s="9">
        <f>STATS1003B!E1476/1000</f>
        <v>5100</v>
      </c>
      <c r="F1399" s="9">
        <f>STATS1003B!F1476/1000</f>
        <v>3280.0190200000002</v>
      </c>
      <c r="G1399" s="9">
        <f>STATS1003B!G1476/1000</f>
        <v>0</v>
      </c>
      <c r="H1399" s="9">
        <f>STATS1003B!H1476/1000</f>
        <v>3280.0190200000002</v>
      </c>
      <c r="I1399" s="9">
        <f>STATS1003B!I1476/1000</f>
        <v>0</v>
      </c>
      <c r="J1399" s="9">
        <f>STATS1003B!J1476/1000</f>
        <v>3280.0190200000002</v>
      </c>
      <c r="K1399" s="9">
        <f>STATS1003B!K1476/1000</f>
        <v>1804.24252</v>
      </c>
      <c r="L1399" s="9">
        <f>STATS1003B!L1476/1000</f>
        <v>0</v>
      </c>
      <c r="M1399" s="9">
        <f>STATS1003B!M1476/1000</f>
        <v>3280.0190200000002</v>
      </c>
      <c r="N1399" s="9">
        <f>STATS1003B!N1476/1000</f>
        <v>1804.24252</v>
      </c>
      <c r="O1399" s="9">
        <f>STATS1003B!O1476/1000</f>
        <v>0</v>
      </c>
      <c r="P1399" s="9">
        <f>STATS1003B!P1476/1000</f>
        <v>1804.24252</v>
      </c>
      <c r="Q1399" s="9">
        <f>STATS1003B!Q1476/1000</f>
        <v>3295.7574799999998</v>
      </c>
      <c r="R1399" s="9">
        <f>STATS1003B!R1476/1000</f>
        <v>0</v>
      </c>
      <c r="S1399" s="9">
        <f>STATS1003B!S1476/1000</f>
        <v>0</v>
      </c>
      <c r="T1399" s="9">
        <f>STATS1003B!T1476/1000</f>
        <v>0</v>
      </c>
      <c r="U1399" s="9">
        <f>STATS1003B!U1476/1000</f>
        <v>1804.24252</v>
      </c>
      <c r="V1399" s="9">
        <f>STATS1003B!V1476/1000</f>
        <v>5084.2615400000004</v>
      </c>
      <c r="W1399" s="9">
        <f>STATS1003B!W1476/1000</f>
        <v>15.738459999999963</v>
      </c>
      <c r="X1399" s="9">
        <f>STATS1003B!X1476/1000</f>
        <v>5084.2615400000004</v>
      </c>
      <c r="Y1399" s="9">
        <f>STATS1003B!Y1476/1000</f>
        <v>0</v>
      </c>
      <c r="Z1399" s="9">
        <f>STATS1003B!Z1476/1000</f>
        <v>15.738459999999963</v>
      </c>
      <c r="AA1399" s="9">
        <f>STATS1003B!AA1476/1000</f>
        <v>5084.2615400000004</v>
      </c>
      <c r="AB1399" s="9">
        <f>STATS1003B!AB1476/1000</f>
        <v>15.738459999999963</v>
      </c>
    </row>
    <row r="1400" spans="1:28" x14ac:dyDescent="0.35">
      <c r="A1400" s="36"/>
      <c r="B1400" s="8"/>
      <c r="C1400" s="7" t="s">
        <v>535</v>
      </c>
      <c r="D1400" s="15" t="s">
        <v>54</v>
      </c>
      <c r="E1400" s="9">
        <f>STATS1003B!E1477/1000</f>
        <v>197.6</v>
      </c>
      <c r="F1400" s="9">
        <f>STATS1003B!F1477/1000</f>
        <v>197.6</v>
      </c>
      <c r="G1400" s="9">
        <f>STATS1003B!G1477/1000</f>
        <v>0</v>
      </c>
      <c r="H1400" s="9">
        <f>STATS1003B!H1477/1000</f>
        <v>197.6</v>
      </c>
      <c r="I1400" s="9">
        <f>STATS1003B!I1477/1000</f>
        <v>0</v>
      </c>
      <c r="J1400" s="9">
        <f>STATS1003B!J1477/1000</f>
        <v>197.6</v>
      </c>
      <c r="K1400" s="9">
        <f>STATS1003B!K1477/1000</f>
        <v>0</v>
      </c>
      <c r="L1400" s="9">
        <f>STATS1003B!L1477/1000</f>
        <v>0</v>
      </c>
      <c r="M1400" s="9">
        <f>STATS1003B!M1477/1000</f>
        <v>197.6</v>
      </c>
      <c r="N1400" s="9">
        <f>STATS1003B!N1477/1000</f>
        <v>0</v>
      </c>
      <c r="O1400" s="9">
        <f>STATS1003B!O1477/1000</f>
        <v>0</v>
      </c>
      <c r="P1400" s="9">
        <f>STATS1003B!P1477/1000</f>
        <v>0</v>
      </c>
      <c r="Q1400" s="9">
        <f>STATS1003B!Q1477/1000</f>
        <v>197.6</v>
      </c>
      <c r="R1400" s="9">
        <f>STATS1003B!R1477/1000</f>
        <v>0</v>
      </c>
      <c r="S1400" s="9">
        <f>STATS1003B!S1477/1000</f>
        <v>0</v>
      </c>
      <c r="T1400" s="9">
        <f>STATS1003B!T1477/1000</f>
        <v>0</v>
      </c>
      <c r="U1400" s="9">
        <f>STATS1003B!U1477/1000</f>
        <v>0</v>
      </c>
      <c r="V1400" s="9">
        <f>STATS1003B!V1477/1000</f>
        <v>197.6</v>
      </c>
      <c r="W1400" s="9">
        <f>STATS1003B!W1477/1000</f>
        <v>0</v>
      </c>
      <c r="X1400" s="9">
        <f>STATS1003B!X1477/1000</f>
        <v>197.6</v>
      </c>
      <c r="Y1400" s="9">
        <f>STATS1003B!Y1477/1000</f>
        <v>0</v>
      </c>
      <c r="Z1400" s="9">
        <f>STATS1003B!Z1477/1000</f>
        <v>0</v>
      </c>
      <c r="AA1400" s="9">
        <f>STATS1003B!AA1477/1000</f>
        <v>197.6</v>
      </c>
      <c r="AB1400" s="9">
        <f>STATS1003B!AB1477/1000</f>
        <v>0</v>
      </c>
    </row>
    <row r="1401" spans="1:28" x14ac:dyDescent="0.35">
      <c r="A1401" s="36"/>
      <c r="B1401" s="8"/>
      <c r="C1401" s="7" t="s">
        <v>603</v>
      </c>
      <c r="D1401" s="15" t="s">
        <v>54</v>
      </c>
      <c r="E1401" s="9">
        <f>STATS1003B!E1478/1000</f>
        <v>950</v>
      </c>
      <c r="F1401" s="9">
        <f>STATS1003B!F1478/1000</f>
        <v>856.53499999999997</v>
      </c>
      <c r="G1401" s="9">
        <f>STATS1003B!G1478/1000</f>
        <v>0</v>
      </c>
      <c r="H1401" s="9">
        <f>STATS1003B!H1478/1000</f>
        <v>856.53499999999997</v>
      </c>
      <c r="I1401" s="9">
        <f>STATS1003B!I1478/1000</f>
        <v>0</v>
      </c>
      <c r="J1401" s="9">
        <f>STATS1003B!J1478/1000</f>
        <v>856.53499999999997</v>
      </c>
      <c r="K1401" s="9">
        <f>STATS1003B!K1478/1000</f>
        <v>0</v>
      </c>
      <c r="L1401" s="9">
        <f>STATS1003B!L1478/1000</f>
        <v>0</v>
      </c>
      <c r="M1401" s="9">
        <f>STATS1003B!M1478/1000</f>
        <v>856.53499999999997</v>
      </c>
      <c r="N1401" s="9">
        <f>STATS1003B!N1478/1000</f>
        <v>0</v>
      </c>
      <c r="O1401" s="9">
        <f>STATS1003B!O1478/1000</f>
        <v>0</v>
      </c>
      <c r="P1401" s="9">
        <f>STATS1003B!P1478/1000</f>
        <v>0</v>
      </c>
      <c r="Q1401" s="9">
        <f>STATS1003B!Q1478/1000</f>
        <v>950</v>
      </c>
      <c r="R1401" s="9">
        <f>STATS1003B!R1478/1000</f>
        <v>0</v>
      </c>
      <c r="S1401" s="9">
        <f>STATS1003B!S1478/1000</f>
        <v>0</v>
      </c>
      <c r="T1401" s="9">
        <f>STATS1003B!T1478/1000</f>
        <v>0</v>
      </c>
      <c r="U1401" s="9">
        <f>STATS1003B!U1478/1000</f>
        <v>0</v>
      </c>
      <c r="V1401" s="9">
        <f>STATS1003B!V1478/1000</f>
        <v>856.53499999999997</v>
      </c>
      <c r="W1401" s="9">
        <f>STATS1003B!W1478/1000</f>
        <v>93.465000000000003</v>
      </c>
      <c r="X1401" s="9">
        <f>STATS1003B!X1478/1000</f>
        <v>856.53499999999997</v>
      </c>
      <c r="Y1401" s="9">
        <f>STATS1003B!Y1478/1000</f>
        <v>0</v>
      </c>
      <c r="Z1401" s="9">
        <f>STATS1003B!Z1478/1000</f>
        <v>93.465000000000003</v>
      </c>
      <c r="AA1401" s="9">
        <f>STATS1003B!AA1478/1000</f>
        <v>856.53499999999997</v>
      </c>
      <c r="AB1401" s="9">
        <f>STATS1003B!AB1478/1000</f>
        <v>93.465000000000003</v>
      </c>
    </row>
    <row r="1402" spans="1:28" x14ac:dyDescent="0.35">
      <c r="A1402" s="36"/>
      <c r="B1402" s="8"/>
      <c r="C1402" s="7" t="s">
        <v>540</v>
      </c>
      <c r="D1402" s="15" t="s">
        <v>54</v>
      </c>
      <c r="E1402" s="9">
        <f>STATS1003B!E1479/1000</f>
        <v>570.94100000000003</v>
      </c>
      <c r="F1402" s="9">
        <f>STATS1003B!F1479/1000</f>
        <v>0</v>
      </c>
      <c r="G1402" s="9">
        <f>STATS1003B!G1479/1000</f>
        <v>0</v>
      </c>
      <c r="H1402" s="9">
        <f>STATS1003B!H1479/1000</f>
        <v>0</v>
      </c>
      <c r="I1402" s="9">
        <f>STATS1003B!I1479/1000</f>
        <v>0</v>
      </c>
      <c r="J1402" s="9">
        <f>STATS1003B!J1479/1000</f>
        <v>0</v>
      </c>
      <c r="K1402" s="9">
        <f>STATS1003B!K1479/1000</f>
        <v>570.94100000000003</v>
      </c>
      <c r="L1402" s="9">
        <f>STATS1003B!L1479/1000</f>
        <v>0</v>
      </c>
      <c r="M1402" s="9">
        <f>STATS1003B!M1479/1000</f>
        <v>0</v>
      </c>
      <c r="N1402" s="9">
        <f>STATS1003B!N1479/1000</f>
        <v>570.94100000000003</v>
      </c>
      <c r="O1402" s="9">
        <f>STATS1003B!O1479/1000</f>
        <v>0</v>
      </c>
      <c r="P1402" s="9">
        <f>STATS1003B!P1479/1000</f>
        <v>570.94100000000003</v>
      </c>
      <c r="Q1402" s="9">
        <f>STATS1003B!Q1479/1000</f>
        <v>0</v>
      </c>
      <c r="R1402" s="9">
        <f>STATS1003B!R1479/1000</f>
        <v>0</v>
      </c>
      <c r="S1402" s="9">
        <f>STATS1003B!S1479/1000</f>
        <v>0</v>
      </c>
      <c r="T1402" s="9">
        <f>STATS1003B!T1479/1000</f>
        <v>0</v>
      </c>
      <c r="U1402" s="9">
        <f>STATS1003B!U1479/1000</f>
        <v>570.94100000000003</v>
      </c>
      <c r="V1402" s="9">
        <f>STATS1003B!V1479/1000</f>
        <v>570.94100000000003</v>
      </c>
      <c r="W1402" s="9">
        <f>STATS1003B!W1479/1000</f>
        <v>0</v>
      </c>
      <c r="X1402" s="9">
        <f>STATS1003B!X1479/1000</f>
        <v>570.94100000000003</v>
      </c>
      <c r="Y1402" s="9">
        <f>STATS1003B!Y1479/1000</f>
        <v>0</v>
      </c>
      <c r="Z1402" s="9">
        <f>STATS1003B!Z1479/1000</f>
        <v>0</v>
      </c>
      <c r="AA1402" s="9">
        <f>STATS1003B!AA1479/1000</f>
        <v>570.94100000000003</v>
      </c>
      <c r="AB1402" s="9">
        <f>STATS1003B!AB1479/1000</f>
        <v>0</v>
      </c>
    </row>
    <row r="1403" spans="1:28" x14ac:dyDescent="0.35">
      <c r="A1403" s="36"/>
      <c r="B1403" s="8"/>
      <c r="C1403" s="7" t="s">
        <v>535</v>
      </c>
      <c r="D1403" s="15" t="s">
        <v>85</v>
      </c>
      <c r="E1403" s="9">
        <f>STATS1003B!E1480/1000</f>
        <v>1672.597</v>
      </c>
      <c r="F1403" s="9">
        <f>STATS1003B!F1480/1000</f>
        <v>1672.597</v>
      </c>
      <c r="G1403" s="9">
        <f>STATS1003B!G1480/1000</f>
        <v>0</v>
      </c>
      <c r="H1403" s="9">
        <f>STATS1003B!H1480/1000</f>
        <v>1672.597</v>
      </c>
      <c r="I1403" s="9">
        <f>STATS1003B!I1480/1000</f>
        <v>0</v>
      </c>
      <c r="J1403" s="9">
        <f>STATS1003B!J1480/1000</f>
        <v>1672.597</v>
      </c>
      <c r="K1403" s="9">
        <f>STATS1003B!K1480/1000</f>
        <v>0</v>
      </c>
      <c r="L1403" s="9">
        <f>STATS1003B!L1480/1000</f>
        <v>0</v>
      </c>
      <c r="M1403" s="9">
        <f>STATS1003B!M1480/1000</f>
        <v>1672.597</v>
      </c>
      <c r="N1403" s="9">
        <f>STATS1003B!N1480/1000</f>
        <v>0</v>
      </c>
      <c r="O1403" s="9">
        <f>STATS1003B!O1480/1000</f>
        <v>0</v>
      </c>
      <c r="P1403" s="9">
        <f>STATS1003B!P1480/1000</f>
        <v>0</v>
      </c>
      <c r="Q1403" s="9">
        <f>STATS1003B!Q1480/1000</f>
        <v>1672.597</v>
      </c>
      <c r="R1403" s="9">
        <f>STATS1003B!R1480/1000</f>
        <v>0</v>
      </c>
      <c r="S1403" s="9">
        <f>STATS1003B!S1480/1000</f>
        <v>0</v>
      </c>
      <c r="T1403" s="9">
        <f>STATS1003B!T1480/1000</f>
        <v>0</v>
      </c>
      <c r="U1403" s="9">
        <f>STATS1003B!U1480/1000</f>
        <v>0</v>
      </c>
      <c r="V1403" s="9">
        <f>STATS1003B!V1480/1000</f>
        <v>1672.597</v>
      </c>
      <c r="W1403" s="9">
        <f>STATS1003B!W1480/1000</f>
        <v>0</v>
      </c>
      <c r="X1403" s="9">
        <f>STATS1003B!X1480/1000</f>
        <v>1672.597</v>
      </c>
      <c r="Y1403" s="9">
        <f>STATS1003B!Y1480/1000</f>
        <v>0</v>
      </c>
      <c r="Z1403" s="9">
        <f>STATS1003B!Z1480/1000</f>
        <v>0</v>
      </c>
      <c r="AA1403" s="9">
        <f>STATS1003B!AA1480/1000</f>
        <v>1672.597</v>
      </c>
      <c r="AB1403" s="9">
        <f>STATS1003B!AB1480/1000</f>
        <v>0</v>
      </c>
    </row>
    <row r="1404" spans="1:28" x14ac:dyDescent="0.35">
      <c r="A1404" s="36"/>
      <c r="B1404" s="8"/>
      <c r="C1404" s="7" t="s">
        <v>667</v>
      </c>
      <c r="D1404" s="15" t="s">
        <v>85</v>
      </c>
      <c r="E1404" s="9">
        <f>STATS1003B!E1481/1000</f>
        <v>120</v>
      </c>
      <c r="F1404" s="9">
        <f>STATS1003B!F1481/1000</f>
        <v>120</v>
      </c>
      <c r="G1404" s="9">
        <f>STATS1003B!G1481/1000</f>
        <v>0</v>
      </c>
      <c r="H1404" s="9">
        <f>STATS1003B!H1481/1000</f>
        <v>120</v>
      </c>
      <c r="I1404" s="9">
        <f>STATS1003B!I1481/1000</f>
        <v>0</v>
      </c>
      <c r="J1404" s="9">
        <f>STATS1003B!J1481/1000</f>
        <v>120</v>
      </c>
      <c r="K1404" s="9">
        <f>STATS1003B!K1481/1000</f>
        <v>0</v>
      </c>
      <c r="L1404" s="9">
        <f>STATS1003B!L1481/1000</f>
        <v>0</v>
      </c>
      <c r="M1404" s="9">
        <f>STATS1003B!M1481/1000</f>
        <v>120</v>
      </c>
      <c r="N1404" s="9">
        <f>STATS1003B!N1481/1000</f>
        <v>0</v>
      </c>
      <c r="O1404" s="9">
        <f>STATS1003B!O1481/1000</f>
        <v>0</v>
      </c>
      <c r="P1404" s="9">
        <f>STATS1003B!P1481/1000</f>
        <v>0</v>
      </c>
      <c r="Q1404" s="9">
        <f>STATS1003B!Q1481/1000</f>
        <v>120</v>
      </c>
      <c r="R1404" s="9">
        <f>STATS1003B!R1481/1000</f>
        <v>0</v>
      </c>
      <c r="S1404" s="9">
        <f>STATS1003B!S1481/1000</f>
        <v>0</v>
      </c>
      <c r="T1404" s="9">
        <f>STATS1003B!T1481/1000</f>
        <v>0</v>
      </c>
      <c r="U1404" s="9">
        <f>STATS1003B!U1481/1000</f>
        <v>0</v>
      </c>
      <c r="V1404" s="9">
        <f>STATS1003B!V1481/1000</f>
        <v>120</v>
      </c>
      <c r="W1404" s="9">
        <f>STATS1003B!W1481/1000</f>
        <v>0</v>
      </c>
      <c r="X1404" s="9">
        <f>STATS1003B!X1481/1000</f>
        <v>120</v>
      </c>
      <c r="Y1404" s="9">
        <f>STATS1003B!Y1481/1000</f>
        <v>0</v>
      </c>
      <c r="Z1404" s="9">
        <f>STATS1003B!Z1481/1000</f>
        <v>0</v>
      </c>
      <c r="AA1404" s="9">
        <f>STATS1003B!AA1481/1000</f>
        <v>120</v>
      </c>
      <c r="AB1404" s="9">
        <f>STATS1003B!AB1481/1000</f>
        <v>0</v>
      </c>
    </row>
    <row r="1405" spans="1:28" x14ac:dyDescent="0.35">
      <c r="A1405" s="36"/>
      <c r="B1405" s="8"/>
      <c r="C1405" s="7" t="s">
        <v>535</v>
      </c>
      <c r="D1405" s="15" t="s">
        <v>128</v>
      </c>
      <c r="E1405" s="9">
        <f>STATS1003B!E1482/1000</f>
        <v>3084.9026600000002</v>
      </c>
      <c r="F1405" s="9">
        <f>STATS1003B!F1482/1000</f>
        <v>3084.9026600000002</v>
      </c>
      <c r="G1405" s="9">
        <f>STATS1003B!G1482/1000</f>
        <v>0</v>
      </c>
      <c r="H1405" s="9">
        <f>STATS1003B!H1482/1000</f>
        <v>3084.9026600000002</v>
      </c>
      <c r="I1405" s="9">
        <f>STATS1003B!I1482/1000</f>
        <v>0</v>
      </c>
      <c r="J1405" s="9">
        <f>STATS1003B!J1482/1000</f>
        <v>3084.9026600000002</v>
      </c>
      <c r="K1405" s="9">
        <f>STATS1003B!K1482/1000</f>
        <v>0</v>
      </c>
      <c r="L1405" s="9">
        <f>STATS1003B!L1482/1000</f>
        <v>0</v>
      </c>
      <c r="M1405" s="9">
        <f>STATS1003B!M1482/1000</f>
        <v>3084.9026600000002</v>
      </c>
      <c r="N1405" s="9">
        <f>STATS1003B!N1482/1000</f>
        <v>0</v>
      </c>
      <c r="O1405" s="9">
        <f>STATS1003B!O1482/1000</f>
        <v>0</v>
      </c>
      <c r="P1405" s="9">
        <f>STATS1003B!P1482/1000</f>
        <v>0</v>
      </c>
      <c r="Q1405" s="9">
        <f>STATS1003B!Q1482/1000</f>
        <v>3084.9026600000002</v>
      </c>
      <c r="R1405" s="9">
        <f>STATS1003B!R1482/1000</f>
        <v>0</v>
      </c>
      <c r="S1405" s="9">
        <f>STATS1003B!S1482/1000</f>
        <v>0</v>
      </c>
      <c r="T1405" s="9">
        <f>STATS1003B!T1482/1000</f>
        <v>0</v>
      </c>
      <c r="U1405" s="9">
        <f>STATS1003B!U1482/1000</f>
        <v>0</v>
      </c>
      <c r="V1405" s="9">
        <f>STATS1003B!V1482/1000</f>
        <v>3084.9026600000002</v>
      </c>
      <c r="W1405" s="9">
        <f>STATS1003B!W1482/1000</f>
        <v>0</v>
      </c>
      <c r="X1405" s="9">
        <f>STATS1003B!X1482/1000</f>
        <v>3084.9026600000002</v>
      </c>
      <c r="Y1405" s="9">
        <f>STATS1003B!Y1482/1000</f>
        <v>0</v>
      </c>
      <c r="Z1405" s="9">
        <f>STATS1003B!Z1482/1000</f>
        <v>0</v>
      </c>
      <c r="AA1405" s="9">
        <f>STATS1003B!AA1482/1000</f>
        <v>3084.9026600000002</v>
      </c>
      <c r="AB1405" s="9">
        <f>STATS1003B!AB1482/1000</f>
        <v>0</v>
      </c>
    </row>
    <row r="1406" spans="1:28" x14ac:dyDescent="0.35">
      <c r="A1406" s="36"/>
      <c r="B1406" s="8"/>
      <c r="C1406" s="7" t="s">
        <v>741</v>
      </c>
      <c r="D1406" s="15" t="s">
        <v>128</v>
      </c>
      <c r="E1406" s="9">
        <f>STATS1003B!E1483/1000</f>
        <v>716</v>
      </c>
      <c r="F1406" s="9">
        <f>STATS1003B!F1483/1000</f>
        <v>716</v>
      </c>
      <c r="G1406" s="9">
        <f>STATS1003B!G1483/1000</f>
        <v>0</v>
      </c>
      <c r="H1406" s="9">
        <f>STATS1003B!H1483/1000</f>
        <v>716</v>
      </c>
      <c r="I1406" s="9">
        <f>STATS1003B!I1483/1000</f>
        <v>0</v>
      </c>
      <c r="J1406" s="9">
        <f>STATS1003B!J1483/1000</f>
        <v>716</v>
      </c>
      <c r="K1406" s="9">
        <f>STATS1003B!K1483/1000</f>
        <v>0</v>
      </c>
      <c r="L1406" s="9">
        <f>STATS1003B!L1483/1000</f>
        <v>0</v>
      </c>
      <c r="M1406" s="9">
        <f>STATS1003B!M1483/1000</f>
        <v>716</v>
      </c>
      <c r="N1406" s="9">
        <f>STATS1003B!N1483/1000</f>
        <v>0</v>
      </c>
      <c r="O1406" s="9">
        <f>STATS1003B!O1483/1000</f>
        <v>0</v>
      </c>
      <c r="P1406" s="9">
        <f>STATS1003B!P1483/1000</f>
        <v>0</v>
      </c>
      <c r="Q1406" s="9">
        <f>STATS1003B!Q1483/1000</f>
        <v>716</v>
      </c>
      <c r="R1406" s="9">
        <f>STATS1003B!R1483/1000</f>
        <v>0</v>
      </c>
      <c r="S1406" s="9">
        <f>STATS1003B!S1483/1000</f>
        <v>0</v>
      </c>
      <c r="T1406" s="9">
        <f>STATS1003B!T1483/1000</f>
        <v>0</v>
      </c>
      <c r="U1406" s="9">
        <f>STATS1003B!U1483/1000</f>
        <v>0</v>
      </c>
      <c r="V1406" s="9">
        <f>STATS1003B!V1483/1000</f>
        <v>716</v>
      </c>
      <c r="W1406" s="9">
        <f>STATS1003B!W1483/1000</f>
        <v>0</v>
      </c>
      <c r="X1406" s="9">
        <f>STATS1003B!X1483/1000</f>
        <v>716</v>
      </c>
      <c r="Y1406" s="9">
        <f>STATS1003B!Y1483/1000</f>
        <v>0</v>
      </c>
      <c r="Z1406" s="9">
        <f>STATS1003B!Z1483/1000</f>
        <v>0</v>
      </c>
      <c r="AA1406" s="9">
        <f>STATS1003B!AA1483/1000</f>
        <v>716</v>
      </c>
      <c r="AB1406" s="9">
        <f>STATS1003B!AB1483/1000</f>
        <v>0</v>
      </c>
    </row>
    <row r="1407" spans="1:28" x14ac:dyDescent="0.35">
      <c r="A1407" s="36"/>
      <c r="B1407" s="8"/>
      <c r="C1407" s="7" t="s">
        <v>535</v>
      </c>
      <c r="D1407" s="15" t="s">
        <v>88</v>
      </c>
      <c r="E1407" s="9">
        <f>STATS1003B!E1484/1000</f>
        <v>5901.2789700000003</v>
      </c>
      <c r="F1407" s="9">
        <f>STATS1003B!F1484/1000</f>
        <v>5901.2789699999994</v>
      </c>
      <c r="G1407" s="9">
        <f>STATS1003B!G1484/1000</f>
        <v>0</v>
      </c>
      <c r="H1407" s="9">
        <f>STATS1003B!H1484/1000</f>
        <v>5901.2789699999994</v>
      </c>
      <c r="I1407" s="9">
        <f>STATS1003B!I1484/1000</f>
        <v>0</v>
      </c>
      <c r="J1407" s="9">
        <f>STATS1003B!J1484/1000</f>
        <v>5901.2789699999994</v>
      </c>
      <c r="K1407" s="9">
        <f>STATS1003B!K1484/1000</f>
        <v>0</v>
      </c>
      <c r="L1407" s="9">
        <f>STATS1003B!L1484/1000</f>
        <v>0</v>
      </c>
      <c r="M1407" s="9">
        <f>STATS1003B!M1484/1000</f>
        <v>5901.2789699999994</v>
      </c>
      <c r="N1407" s="9">
        <f>STATS1003B!N1484/1000</f>
        <v>0</v>
      </c>
      <c r="O1407" s="9">
        <f>STATS1003B!O1484/1000</f>
        <v>0</v>
      </c>
      <c r="P1407" s="9">
        <f>STATS1003B!P1484/1000</f>
        <v>0</v>
      </c>
      <c r="Q1407" s="9">
        <f>STATS1003B!Q1484/1000</f>
        <v>5901.2789700000003</v>
      </c>
      <c r="R1407" s="9">
        <f>STATS1003B!R1484/1000</f>
        <v>0</v>
      </c>
      <c r="S1407" s="9">
        <f>STATS1003B!S1484/1000</f>
        <v>0</v>
      </c>
      <c r="T1407" s="9">
        <f>STATS1003B!T1484/1000</f>
        <v>0</v>
      </c>
      <c r="U1407" s="9">
        <f>STATS1003B!U1484/1000</f>
        <v>0</v>
      </c>
      <c r="V1407" s="9">
        <f>STATS1003B!V1484/1000</f>
        <v>5901.2789699999994</v>
      </c>
      <c r="W1407" s="9">
        <f>STATS1003B!W1484/1000</f>
        <v>0</v>
      </c>
      <c r="X1407" s="9">
        <f>STATS1003B!X1484/1000</f>
        <v>5901.2789699999994</v>
      </c>
      <c r="Y1407" s="9">
        <f>STATS1003B!Y1484/1000</f>
        <v>0</v>
      </c>
      <c r="Z1407" s="9">
        <f>STATS1003B!Z1484/1000</f>
        <v>0</v>
      </c>
      <c r="AA1407" s="9">
        <f>STATS1003B!AA1484/1000</f>
        <v>5901.2789699999994</v>
      </c>
      <c r="AB1407" s="9">
        <f>STATS1003B!AB1484/1000</f>
        <v>0</v>
      </c>
    </row>
    <row r="1408" spans="1:28" x14ac:dyDescent="0.35">
      <c r="A1408" s="36"/>
      <c r="B1408" s="8"/>
      <c r="C1408" s="7" t="s">
        <v>603</v>
      </c>
      <c r="D1408" s="15" t="s">
        <v>108</v>
      </c>
      <c r="E1408" s="9">
        <f>STATS1003B!E1485/1000</f>
        <v>93.465000000000003</v>
      </c>
      <c r="F1408" s="9">
        <f>STATS1003B!F1485/1000</f>
        <v>93.465000000000003</v>
      </c>
      <c r="G1408" s="9">
        <f>STATS1003B!G1485/1000</f>
        <v>0</v>
      </c>
      <c r="H1408" s="9">
        <f>STATS1003B!H1485/1000</f>
        <v>93.465000000000003</v>
      </c>
      <c r="I1408" s="9">
        <f>STATS1003B!I1485/1000</f>
        <v>0</v>
      </c>
      <c r="J1408" s="9">
        <f>STATS1003B!J1485/1000</f>
        <v>93.465000000000003</v>
      </c>
      <c r="K1408" s="9">
        <f>STATS1003B!K1485/1000</f>
        <v>0</v>
      </c>
      <c r="L1408" s="9">
        <f>STATS1003B!L1485/1000</f>
        <v>0</v>
      </c>
      <c r="M1408" s="9">
        <f>STATS1003B!M1485/1000</f>
        <v>93.465000000000003</v>
      </c>
      <c r="N1408" s="9">
        <f>STATS1003B!N1485/1000</f>
        <v>0</v>
      </c>
      <c r="O1408" s="9">
        <f>STATS1003B!O1485/1000</f>
        <v>0</v>
      </c>
      <c r="P1408" s="9">
        <f>STATS1003B!P1485/1000</f>
        <v>0</v>
      </c>
      <c r="Q1408" s="9">
        <f>STATS1003B!Q1485/1000</f>
        <v>93.465000000000003</v>
      </c>
      <c r="R1408" s="9">
        <f>STATS1003B!R1485/1000</f>
        <v>0</v>
      </c>
      <c r="S1408" s="9">
        <f>STATS1003B!S1485/1000</f>
        <v>0</v>
      </c>
      <c r="T1408" s="9">
        <f>STATS1003B!T1485/1000</f>
        <v>0</v>
      </c>
      <c r="U1408" s="9">
        <f>STATS1003B!U1485/1000</f>
        <v>0</v>
      </c>
      <c r="V1408" s="9">
        <f>STATS1003B!V1485/1000</f>
        <v>93.465000000000003</v>
      </c>
      <c r="W1408" s="9">
        <f>STATS1003B!W1485/1000</f>
        <v>0</v>
      </c>
      <c r="X1408" s="9">
        <f>STATS1003B!X1485/1000</f>
        <v>93.465000000000003</v>
      </c>
      <c r="Y1408" s="9">
        <f>STATS1003B!Y1485/1000</f>
        <v>0</v>
      </c>
      <c r="Z1408" s="9">
        <f>STATS1003B!Z1485/1000</f>
        <v>0</v>
      </c>
      <c r="AA1408" s="9">
        <f>STATS1003B!AA1485/1000</f>
        <v>93.465000000000003</v>
      </c>
      <c r="AB1408" s="9">
        <f>STATS1003B!AB1485/1000</f>
        <v>0</v>
      </c>
    </row>
    <row r="1409" spans="1:28" x14ac:dyDescent="0.35">
      <c r="A1409" s="36"/>
      <c r="B1409" s="8"/>
      <c r="C1409" s="7" t="s">
        <v>535</v>
      </c>
      <c r="D1409" s="15" t="s">
        <v>58</v>
      </c>
      <c r="E1409" s="9">
        <f>STATS1003B!E1486/1000</f>
        <v>3548.386</v>
      </c>
      <c r="F1409" s="9">
        <f>STATS1003B!F1486/1000</f>
        <v>3548.386</v>
      </c>
      <c r="G1409" s="9">
        <f>STATS1003B!G1486/1000</f>
        <v>0</v>
      </c>
      <c r="H1409" s="9">
        <f>STATS1003B!H1486/1000</f>
        <v>3548.386</v>
      </c>
      <c r="I1409" s="9">
        <f>STATS1003B!I1486/1000</f>
        <v>0</v>
      </c>
      <c r="J1409" s="9">
        <f>STATS1003B!J1486/1000</f>
        <v>3548.386</v>
      </c>
      <c r="K1409" s="9">
        <f>STATS1003B!K1486/1000</f>
        <v>0</v>
      </c>
      <c r="L1409" s="9">
        <f>STATS1003B!L1486/1000</f>
        <v>0</v>
      </c>
      <c r="M1409" s="9">
        <f>STATS1003B!M1486/1000</f>
        <v>3548.386</v>
      </c>
      <c r="N1409" s="9">
        <f>STATS1003B!N1486/1000</f>
        <v>0</v>
      </c>
      <c r="O1409" s="9">
        <f>STATS1003B!O1486/1000</f>
        <v>0</v>
      </c>
      <c r="P1409" s="9">
        <f>STATS1003B!P1486/1000</f>
        <v>0</v>
      </c>
      <c r="Q1409" s="9">
        <f>STATS1003B!Q1486/1000</f>
        <v>3548.386</v>
      </c>
      <c r="R1409" s="9">
        <f>STATS1003B!R1486/1000</f>
        <v>0</v>
      </c>
      <c r="S1409" s="9">
        <f>STATS1003B!S1486/1000</f>
        <v>0</v>
      </c>
      <c r="T1409" s="9">
        <f>STATS1003B!T1486/1000</f>
        <v>0</v>
      </c>
      <c r="U1409" s="9">
        <f>STATS1003B!U1486/1000</f>
        <v>0</v>
      </c>
      <c r="V1409" s="9">
        <f>STATS1003B!V1486/1000</f>
        <v>3548.386</v>
      </c>
      <c r="W1409" s="9">
        <f>STATS1003B!W1486/1000</f>
        <v>0</v>
      </c>
      <c r="X1409" s="9">
        <f>STATS1003B!X1486/1000</f>
        <v>3548.386</v>
      </c>
      <c r="Y1409" s="9">
        <f>STATS1003B!Y1486/1000</f>
        <v>0</v>
      </c>
      <c r="Z1409" s="9">
        <f>STATS1003B!Z1486/1000</f>
        <v>0</v>
      </c>
      <c r="AA1409" s="9">
        <f>STATS1003B!AA1486/1000</f>
        <v>3548.386</v>
      </c>
      <c r="AB1409" s="9">
        <f>STATS1003B!AB1486/1000</f>
        <v>0</v>
      </c>
    </row>
    <row r="1410" spans="1:28" x14ac:dyDescent="0.35">
      <c r="A1410" s="36"/>
      <c r="B1410" s="8"/>
      <c r="C1410" s="14" t="s">
        <v>742</v>
      </c>
      <c r="D1410" s="15" t="s">
        <v>58</v>
      </c>
      <c r="E1410" s="9">
        <f>STATS1003B!E1487/1000</f>
        <v>150</v>
      </c>
      <c r="F1410" s="9">
        <f>STATS1003B!F1487/1000</f>
        <v>150</v>
      </c>
      <c r="G1410" s="9">
        <f>STATS1003B!G1487/1000</f>
        <v>0</v>
      </c>
      <c r="H1410" s="9">
        <f>STATS1003B!H1487/1000</f>
        <v>150</v>
      </c>
      <c r="I1410" s="9">
        <f>STATS1003B!I1487/1000</f>
        <v>0</v>
      </c>
      <c r="J1410" s="9">
        <f>STATS1003B!J1487/1000</f>
        <v>150</v>
      </c>
      <c r="K1410" s="9">
        <f>STATS1003B!K1487/1000</f>
        <v>0</v>
      </c>
      <c r="L1410" s="9">
        <f>STATS1003B!L1487/1000</f>
        <v>0</v>
      </c>
      <c r="M1410" s="9">
        <f>STATS1003B!M1487/1000</f>
        <v>150</v>
      </c>
      <c r="N1410" s="9">
        <f>STATS1003B!N1487/1000</f>
        <v>0</v>
      </c>
      <c r="O1410" s="9">
        <f>STATS1003B!O1487/1000</f>
        <v>0</v>
      </c>
      <c r="P1410" s="9">
        <f>STATS1003B!P1487/1000</f>
        <v>0</v>
      </c>
      <c r="Q1410" s="9">
        <f>STATS1003B!Q1487/1000</f>
        <v>150</v>
      </c>
      <c r="R1410" s="9">
        <f>STATS1003B!R1487/1000</f>
        <v>0</v>
      </c>
      <c r="S1410" s="9">
        <f>STATS1003B!S1487/1000</f>
        <v>0</v>
      </c>
      <c r="T1410" s="9">
        <f>STATS1003B!T1487/1000</f>
        <v>0</v>
      </c>
      <c r="U1410" s="9">
        <f>STATS1003B!U1487/1000</f>
        <v>0</v>
      </c>
      <c r="V1410" s="9">
        <f>STATS1003B!V1487/1000</f>
        <v>150</v>
      </c>
      <c r="W1410" s="9">
        <f>STATS1003B!W1487/1000</f>
        <v>0</v>
      </c>
      <c r="X1410" s="9">
        <f>STATS1003B!X1487/1000</f>
        <v>150</v>
      </c>
      <c r="Y1410" s="9">
        <f>STATS1003B!Y1487/1000</f>
        <v>0</v>
      </c>
      <c r="Z1410" s="9">
        <f>STATS1003B!Z1487/1000</f>
        <v>0</v>
      </c>
      <c r="AA1410" s="9">
        <f>STATS1003B!AA1487/1000</f>
        <v>150</v>
      </c>
      <c r="AB1410" s="9">
        <f>STATS1003B!AB1487/1000</f>
        <v>0</v>
      </c>
    </row>
    <row r="1411" spans="1:28" x14ac:dyDescent="0.35">
      <c r="A1411" s="36"/>
      <c r="B1411" s="8"/>
      <c r="C1411" s="7" t="s">
        <v>743</v>
      </c>
      <c r="D1411" s="15" t="s">
        <v>60</v>
      </c>
      <c r="E1411" s="9">
        <f>STATS1003B!E1488/1000</f>
        <v>878</v>
      </c>
      <c r="F1411" s="9">
        <f>STATS1003B!F1488/1000</f>
        <v>878</v>
      </c>
      <c r="G1411" s="9">
        <f>STATS1003B!G1488/1000</f>
        <v>0</v>
      </c>
      <c r="H1411" s="9">
        <f>STATS1003B!H1488/1000</f>
        <v>878</v>
      </c>
      <c r="I1411" s="9">
        <f>STATS1003B!I1488/1000</f>
        <v>0</v>
      </c>
      <c r="J1411" s="9">
        <f>STATS1003B!J1488/1000</f>
        <v>878</v>
      </c>
      <c r="K1411" s="9">
        <f>STATS1003B!K1488/1000</f>
        <v>0</v>
      </c>
      <c r="L1411" s="9">
        <f>STATS1003B!L1488/1000</f>
        <v>0</v>
      </c>
      <c r="M1411" s="9">
        <f>STATS1003B!M1488/1000</f>
        <v>878</v>
      </c>
      <c r="N1411" s="9">
        <f>STATS1003B!N1488/1000</f>
        <v>0</v>
      </c>
      <c r="O1411" s="9">
        <f>STATS1003B!O1488/1000</f>
        <v>0</v>
      </c>
      <c r="P1411" s="9">
        <f>STATS1003B!P1488/1000</f>
        <v>0</v>
      </c>
      <c r="Q1411" s="9">
        <f>STATS1003B!Q1488/1000</f>
        <v>878</v>
      </c>
      <c r="R1411" s="9">
        <f>STATS1003B!R1488/1000</f>
        <v>0</v>
      </c>
      <c r="S1411" s="9">
        <f>STATS1003B!S1488/1000</f>
        <v>0</v>
      </c>
      <c r="T1411" s="9">
        <f>STATS1003B!T1488/1000</f>
        <v>0</v>
      </c>
      <c r="U1411" s="9">
        <f>STATS1003B!U1488/1000</f>
        <v>0</v>
      </c>
      <c r="V1411" s="9">
        <f>STATS1003B!V1488/1000</f>
        <v>878</v>
      </c>
      <c r="W1411" s="9">
        <f>STATS1003B!W1488/1000</f>
        <v>0</v>
      </c>
      <c r="X1411" s="9">
        <f>STATS1003B!X1488/1000</f>
        <v>878</v>
      </c>
      <c r="Y1411" s="9">
        <f>STATS1003B!Y1488/1000</f>
        <v>0</v>
      </c>
      <c r="Z1411" s="9">
        <f>STATS1003B!Z1488/1000</f>
        <v>0</v>
      </c>
      <c r="AA1411" s="9">
        <f>STATS1003B!AA1488/1000</f>
        <v>878</v>
      </c>
      <c r="AB1411" s="9">
        <f>STATS1003B!AB1488/1000</f>
        <v>0</v>
      </c>
    </row>
    <row r="1412" spans="1:28" x14ac:dyDescent="0.35">
      <c r="A1412" s="36"/>
      <c r="B1412" s="8"/>
      <c r="C1412" s="7" t="s">
        <v>743</v>
      </c>
      <c r="D1412" s="15" t="s">
        <v>73</v>
      </c>
      <c r="E1412" s="9">
        <f>STATS1003B!E1489/1000</f>
        <v>3416.6410000000001</v>
      </c>
      <c r="F1412" s="9">
        <f>STATS1003B!F1489/1000</f>
        <v>3416.6410000000001</v>
      </c>
      <c r="G1412" s="9">
        <f>STATS1003B!G1489/1000</f>
        <v>0</v>
      </c>
      <c r="H1412" s="9">
        <f>STATS1003B!H1489/1000</f>
        <v>3416.6410000000001</v>
      </c>
      <c r="I1412" s="9">
        <f>STATS1003B!I1489/1000</f>
        <v>0</v>
      </c>
      <c r="J1412" s="9">
        <f>STATS1003B!J1489/1000</f>
        <v>3416.6410000000001</v>
      </c>
      <c r="K1412" s="9">
        <f>STATS1003B!K1489/1000</f>
        <v>0</v>
      </c>
      <c r="L1412" s="9">
        <f>STATS1003B!L1489/1000</f>
        <v>0</v>
      </c>
      <c r="M1412" s="9">
        <f>STATS1003B!M1489/1000</f>
        <v>3416.6410000000001</v>
      </c>
      <c r="N1412" s="9">
        <f>STATS1003B!N1489/1000</f>
        <v>0</v>
      </c>
      <c r="O1412" s="9">
        <f>STATS1003B!O1489/1000</f>
        <v>0</v>
      </c>
      <c r="P1412" s="9">
        <f>STATS1003B!P1489/1000</f>
        <v>0</v>
      </c>
      <c r="Q1412" s="9">
        <f>STATS1003B!Q1489/1000</f>
        <v>3416.6410000000001</v>
      </c>
      <c r="R1412" s="9">
        <f>STATS1003B!R1489/1000</f>
        <v>0</v>
      </c>
      <c r="S1412" s="9">
        <f>STATS1003B!S1489/1000</f>
        <v>0</v>
      </c>
      <c r="T1412" s="9">
        <f>STATS1003B!T1489/1000</f>
        <v>0</v>
      </c>
      <c r="U1412" s="9">
        <f>STATS1003B!U1489/1000</f>
        <v>0</v>
      </c>
      <c r="V1412" s="9">
        <f>STATS1003B!V1489/1000</f>
        <v>3416.6410000000001</v>
      </c>
      <c r="W1412" s="9">
        <f>STATS1003B!W1489/1000</f>
        <v>0</v>
      </c>
      <c r="X1412" s="9">
        <f>STATS1003B!X1489/1000</f>
        <v>3416.6410000000001</v>
      </c>
      <c r="Y1412" s="9">
        <f>STATS1003B!Y1489/1000</f>
        <v>0</v>
      </c>
      <c r="Z1412" s="9">
        <f>STATS1003B!Z1489/1000</f>
        <v>0</v>
      </c>
      <c r="AA1412" s="9">
        <f>STATS1003B!AA1489/1000</f>
        <v>3416.6410000000001</v>
      </c>
      <c r="AB1412" s="9">
        <f>STATS1003B!AB1489/1000</f>
        <v>0</v>
      </c>
    </row>
    <row r="1413" spans="1:28" x14ac:dyDescent="0.35">
      <c r="A1413" s="36"/>
      <c r="B1413" s="8"/>
      <c r="C1413" s="7" t="s">
        <v>743</v>
      </c>
      <c r="D1413" s="15" t="s">
        <v>61</v>
      </c>
      <c r="E1413" s="9">
        <f>STATS1003B!E1490/1000</f>
        <v>719</v>
      </c>
      <c r="F1413" s="9">
        <f>STATS1003B!F1490/1000</f>
        <v>719</v>
      </c>
      <c r="G1413" s="9">
        <f>STATS1003B!G1490/1000</f>
        <v>0</v>
      </c>
      <c r="H1413" s="9">
        <f>STATS1003B!H1490/1000</f>
        <v>719</v>
      </c>
      <c r="I1413" s="9">
        <f>STATS1003B!I1490/1000</f>
        <v>0</v>
      </c>
      <c r="J1413" s="9">
        <f>STATS1003B!J1490/1000</f>
        <v>719</v>
      </c>
      <c r="K1413" s="9">
        <f>STATS1003B!K1490/1000</f>
        <v>0</v>
      </c>
      <c r="L1413" s="9">
        <f>STATS1003B!L1490/1000</f>
        <v>0</v>
      </c>
      <c r="M1413" s="9">
        <f>STATS1003B!M1490/1000</f>
        <v>719</v>
      </c>
      <c r="N1413" s="9">
        <f>STATS1003B!N1490/1000</f>
        <v>0</v>
      </c>
      <c r="O1413" s="9">
        <f>STATS1003B!O1490/1000</f>
        <v>0</v>
      </c>
      <c r="P1413" s="9">
        <f>STATS1003B!P1490/1000</f>
        <v>0</v>
      </c>
      <c r="Q1413" s="9">
        <f>STATS1003B!Q1490/1000</f>
        <v>719</v>
      </c>
      <c r="R1413" s="9">
        <f>STATS1003B!R1490/1000</f>
        <v>0</v>
      </c>
      <c r="S1413" s="9">
        <f>STATS1003B!S1490/1000</f>
        <v>0</v>
      </c>
      <c r="T1413" s="9">
        <f>STATS1003B!T1490/1000</f>
        <v>0</v>
      </c>
      <c r="U1413" s="9">
        <f>STATS1003B!U1490/1000</f>
        <v>0</v>
      </c>
      <c r="V1413" s="9">
        <f>STATS1003B!V1490/1000</f>
        <v>719</v>
      </c>
      <c r="W1413" s="9">
        <f>STATS1003B!W1490/1000</f>
        <v>0</v>
      </c>
      <c r="X1413" s="9">
        <f>STATS1003B!X1490/1000</f>
        <v>719</v>
      </c>
      <c r="Y1413" s="9">
        <f>STATS1003B!Y1490/1000</f>
        <v>0</v>
      </c>
      <c r="Z1413" s="9">
        <f>STATS1003B!Z1490/1000</f>
        <v>0</v>
      </c>
      <c r="AA1413" s="9">
        <f>STATS1003B!AA1490/1000</f>
        <v>719</v>
      </c>
      <c r="AB1413" s="9">
        <f>STATS1003B!AB1490/1000</f>
        <v>0</v>
      </c>
    </row>
    <row r="1414" spans="1:28" x14ac:dyDescent="0.35">
      <c r="A1414" s="36"/>
      <c r="B1414" s="8"/>
      <c r="C1414" s="7" t="s">
        <v>933</v>
      </c>
      <c r="D1414" s="16" t="s">
        <v>1072</v>
      </c>
      <c r="E1414" s="9">
        <f>STATS1003B!E1491/1000</f>
        <v>1718</v>
      </c>
      <c r="F1414" s="9">
        <f>STATS1003B!F1491/1000</f>
        <v>1718</v>
      </c>
      <c r="G1414" s="9">
        <f>STATS1003B!G1491/1000</f>
        <v>0</v>
      </c>
      <c r="H1414" s="9">
        <f>STATS1003B!H1491/1000</f>
        <v>1718</v>
      </c>
      <c r="I1414" s="9">
        <f>STATS1003B!I1491/1000</f>
        <v>0</v>
      </c>
      <c r="J1414" s="9">
        <f>STATS1003B!J1491/1000</f>
        <v>1718</v>
      </c>
      <c r="K1414" s="9">
        <f>STATS1003B!K1491/1000</f>
        <v>0</v>
      </c>
      <c r="L1414" s="9">
        <f>STATS1003B!L1491/1000</f>
        <v>0</v>
      </c>
      <c r="M1414" s="9">
        <f>STATS1003B!M1491/1000</f>
        <v>1718</v>
      </c>
      <c r="N1414" s="9">
        <f>STATS1003B!N1491/1000</f>
        <v>0</v>
      </c>
      <c r="O1414" s="9">
        <f>STATS1003B!O1491/1000</f>
        <v>0</v>
      </c>
      <c r="P1414" s="9">
        <f>STATS1003B!P1491/1000</f>
        <v>0</v>
      </c>
      <c r="Q1414" s="9">
        <f>STATS1003B!Q1491/1000</f>
        <v>1718</v>
      </c>
      <c r="R1414" s="9">
        <f>STATS1003B!R1491/1000</f>
        <v>0</v>
      </c>
      <c r="S1414" s="9">
        <f>STATS1003B!S1491/1000</f>
        <v>0</v>
      </c>
      <c r="T1414" s="9">
        <f>STATS1003B!T1491/1000</f>
        <v>0</v>
      </c>
      <c r="U1414" s="9">
        <f>STATS1003B!U1491/1000</f>
        <v>0</v>
      </c>
      <c r="V1414" s="9">
        <f>STATS1003B!V1491/1000</f>
        <v>1718</v>
      </c>
      <c r="W1414" s="9">
        <f>STATS1003B!W1491/1000</f>
        <v>0</v>
      </c>
      <c r="X1414" s="9">
        <f>STATS1003B!X1491/1000</f>
        <v>1718</v>
      </c>
      <c r="Y1414" s="9">
        <f>STATS1003B!Y1491/1000</f>
        <v>0</v>
      </c>
      <c r="Z1414" s="9">
        <f>STATS1003B!Z1491/1000</f>
        <v>0</v>
      </c>
      <c r="AA1414" s="9">
        <f>STATS1003B!AA1491/1000</f>
        <v>1718</v>
      </c>
      <c r="AB1414" s="9">
        <f>STATS1003B!AB1491/1000</f>
        <v>0</v>
      </c>
    </row>
    <row r="1415" spans="1:28" x14ac:dyDescent="0.35">
      <c r="A1415" s="36"/>
      <c r="B1415" s="8"/>
      <c r="C1415" s="7" t="s">
        <v>598</v>
      </c>
      <c r="D1415" s="8"/>
      <c r="E1415" s="9">
        <f>STATS1003B!E1493/1000</f>
        <v>792.76857999999993</v>
      </c>
      <c r="F1415" s="9">
        <f>STATS1003B!F1493/1000</f>
        <v>792.76857999999993</v>
      </c>
      <c r="G1415" s="9">
        <f>STATS1003B!G1493/1000</f>
        <v>0</v>
      </c>
      <c r="H1415" s="9">
        <f>STATS1003B!H1493/1000</f>
        <v>792.76857999999993</v>
      </c>
      <c r="I1415" s="9">
        <f>STATS1003B!I1493/1000</f>
        <v>0</v>
      </c>
      <c r="J1415" s="9">
        <f>STATS1003B!J1493/1000</f>
        <v>792.76857999999993</v>
      </c>
      <c r="K1415" s="9">
        <f>STATS1003B!K1493/1000</f>
        <v>0</v>
      </c>
      <c r="L1415" s="9">
        <f>STATS1003B!L1493/1000</f>
        <v>0</v>
      </c>
      <c r="M1415" s="9">
        <f>STATS1003B!M1493/1000</f>
        <v>792.76857999999993</v>
      </c>
      <c r="N1415" s="9">
        <f>STATS1003B!N1493/1000</f>
        <v>0</v>
      </c>
      <c r="O1415" s="9">
        <f>STATS1003B!O1493/1000</f>
        <v>0</v>
      </c>
      <c r="P1415" s="9">
        <f>STATS1003B!P1493/1000</f>
        <v>0</v>
      </c>
      <c r="Q1415" s="9">
        <f>STATS1003B!Q1493/1000</f>
        <v>792.76857999999993</v>
      </c>
      <c r="R1415" s="9">
        <f>STATS1003B!R1493/1000</f>
        <v>0</v>
      </c>
      <c r="S1415" s="9">
        <f>STATS1003B!S1493/1000</f>
        <v>0</v>
      </c>
      <c r="T1415" s="9">
        <f>STATS1003B!T1493/1000</f>
        <v>0</v>
      </c>
      <c r="U1415" s="9">
        <f>STATS1003B!U1493/1000</f>
        <v>0</v>
      </c>
      <c r="V1415" s="9">
        <f>STATS1003B!V1493/1000</f>
        <v>792.76857999999993</v>
      </c>
      <c r="W1415" s="9">
        <f>STATS1003B!W1493/1000</f>
        <v>0</v>
      </c>
      <c r="X1415" s="9">
        <f>STATS1003B!X1493/1000</f>
        <v>792.76857999999993</v>
      </c>
      <c r="Y1415" s="9">
        <f>STATS1003B!Y1493/1000</f>
        <v>0</v>
      </c>
      <c r="Z1415" s="9">
        <f>STATS1003B!Z1493/1000</f>
        <v>0</v>
      </c>
      <c r="AA1415" s="9">
        <f>STATS1003B!AA1493/1000</f>
        <v>792.76857999999993</v>
      </c>
      <c r="AB1415" s="9">
        <f>STATS1003B!AB1493/1000</f>
        <v>0</v>
      </c>
    </row>
    <row r="1416" spans="1:28" x14ac:dyDescent="0.35">
      <c r="A1416" s="36"/>
      <c r="B1416" s="8"/>
      <c r="C1416" s="7" t="s">
        <v>569</v>
      </c>
      <c r="D1416" s="8"/>
      <c r="E1416" s="9">
        <f>STATS1003B!E1494/1000</f>
        <v>424</v>
      </c>
      <c r="F1416" s="9">
        <f>STATS1003B!F1494/1000</f>
        <v>424</v>
      </c>
      <c r="G1416" s="9">
        <f>STATS1003B!G1494/1000</f>
        <v>0</v>
      </c>
      <c r="H1416" s="9">
        <f>STATS1003B!H1494/1000</f>
        <v>424</v>
      </c>
      <c r="I1416" s="9">
        <f>STATS1003B!I1494/1000</f>
        <v>0</v>
      </c>
      <c r="J1416" s="9">
        <f>STATS1003B!J1494/1000</f>
        <v>424</v>
      </c>
      <c r="K1416" s="9">
        <f>STATS1003B!K1494/1000</f>
        <v>0</v>
      </c>
      <c r="L1416" s="9">
        <f>STATS1003B!L1494/1000</f>
        <v>0</v>
      </c>
      <c r="M1416" s="9">
        <f>STATS1003B!M1494/1000</f>
        <v>424</v>
      </c>
      <c r="N1416" s="9">
        <f>STATS1003B!N1494/1000</f>
        <v>0</v>
      </c>
      <c r="O1416" s="9">
        <f>STATS1003B!O1494/1000</f>
        <v>0</v>
      </c>
      <c r="P1416" s="9">
        <f>STATS1003B!P1494/1000</f>
        <v>0</v>
      </c>
      <c r="Q1416" s="9">
        <f>STATS1003B!Q1494/1000</f>
        <v>424</v>
      </c>
      <c r="R1416" s="9">
        <f>STATS1003B!R1494/1000</f>
        <v>0</v>
      </c>
      <c r="S1416" s="9">
        <f>STATS1003B!S1494/1000</f>
        <v>0</v>
      </c>
      <c r="T1416" s="9">
        <f>STATS1003B!T1494/1000</f>
        <v>0</v>
      </c>
      <c r="U1416" s="9">
        <f>STATS1003B!U1494/1000</f>
        <v>0</v>
      </c>
      <c r="V1416" s="9">
        <f>STATS1003B!V1494/1000</f>
        <v>424</v>
      </c>
      <c r="W1416" s="9">
        <f>STATS1003B!W1494/1000</f>
        <v>0</v>
      </c>
      <c r="X1416" s="9">
        <f>STATS1003B!X1494/1000</f>
        <v>424</v>
      </c>
      <c r="Y1416" s="9">
        <f>STATS1003B!Y1494/1000</f>
        <v>0</v>
      </c>
      <c r="Z1416" s="9">
        <f>STATS1003B!Z1494/1000</f>
        <v>0</v>
      </c>
      <c r="AA1416" s="9">
        <f>STATS1003B!AA1494/1000</f>
        <v>424</v>
      </c>
      <c r="AB1416" s="9">
        <f>STATS1003B!AB1494/1000</f>
        <v>0</v>
      </c>
    </row>
    <row r="1417" spans="1:28" x14ac:dyDescent="0.35">
      <c r="A1417" s="36"/>
      <c r="B1417" s="8"/>
      <c r="C1417" s="7" t="s">
        <v>702</v>
      </c>
      <c r="D1417" s="8"/>
      <c r="E1417" s="9">
        <f>STATS1003B!E1495/1000</f>
        <v>300</v>
      </c>
      <c r="F1417" s="9">
        <f>STATS1003B!F1495/1000</f>
        <v>0</v>
      </c>
      <c r="G1417" s="9">
        <f>STATS1003B!G1495/1000</f>
        <v>0</v>
      </c>
      <c r="H1417" s="9">
        <f>STATS1003B!H1495/1000</f>
        <v>0</v>
      </c>
      <c r="I1417" s="9">
        <f>STATS1003B!I1495/1000</f>
        <v>0</v>
      </c>
      <c r="J1417" s="9">
        <f>STATS1003B!J1495/1000</f>
        <v>0</v>
      </c>
      <c r="K1417" s="9">
        <f>STATS1003B!K1495/1000</f>
        <v>300</v>
      </c>
      <c r="L1417" s="9">
        <f>STATS1003B!L1495/1000</f>
        <v>0</v>
      </c>
      <c r="M1417" s="9">
        <f>STATS1003B!M1495/1000</f>
        <v>0</v>
      </c>
      <c r="N1417" s="9">
        <f>STATS1003B!N1495/1000</f>
        <v>300</v>
      </c>
      <c r="O1417" s="9">
        <f>STATS1003B!O1495/1000</f>
        <v>0</v>
      </c>
      <c r="P1417" s="9">
        <f>STATS1003B!P1495/1000</f>
        <v>300</v>
      </c>
      <c r="Q1417" s="9">
        <f>STATS1003B!Q1495/1000</f>
        <v>0</v>
      </c>
      <c r="R1417" s="9">
        <f>STATS1003B!R1495/1000</f>
        <v>0</v>
      </c>
      <c r="S1417" s="9">
        <f>STATS1003B!S1495/1000</f>
        <v>0</v>
      </c>
      <c r="T1417" s="9">
        <f>STATS1003B!T1495/1000</f>
        <v>0</v>
      </c>
      <c r="U1417" s="9">
        <f>STATS1003B!U1495/1000</f>
        <v>300</v>
      </c>
      <c r="V1417" s="9">
        <f>STATS1003B!V1495/1000</f>
        <v>300</v>
      </c>
      <c r="W1417" s="9">
        <f>STATS1003B!W1495/1000</f>
        <v>0</v>
      </c>
      <c r="X1417" s="9">
        <f>STATS1003B!X1495/1000</f>
        <v>300</v>
      </c>
      <c r="Y1417" s="9">
        <f>STATS1003B!Y1495/1000</f>
        <v>0</v>
      </c>
      <c r="Z1417" s="9">
        <f>STATS1003B!Z1495/1000</f>
        <v>0</v>
      </c>
      <c r="AA1417" s="9">
        <f>STATS1003B!AA1495/1000</f>
        <v>300</v>
      </c>
      <c r="AB1417" s="9">
        <f>STATS1003B!AB1495/1000</f>
        <v>0</v>
      </c>
    </row>
    <row r="1418" spans="1:28" x14ac:dyDescent="0.35">
      <c r="A1418" s="36"/>
      <c r="B1418" s="8"/>
      <c r="C1418" s="7" t="s">
        <v>678</v>
      </c>
      <c r="D1418" s="8"/>
      <c r="E1418" s="9">
        <f>STATS1003B!E1496/1000</f>
        <v>2500</v>
      </c>
      <c r="F1418" s="9">
        <f>STATS1003B!F1496/1000</f>
        <v>2500</v>
      </c>
      <c r="G1418" s="9">
        <f>STATS1003B!G1496/1000</f>
        <v>0</v>
      </c>
      <c r="H1418" s="9">
        <f>STATS1003B!H1496/1000</f>
        <v>2500</v>
      </c>
      <c r="I1418" s="9">
        <f>STATS1003B!I1496/1000</f>
        <v>0</v>
      </c>
      <c r="J1418" s="9">
        <f>STATS1003B!J1496/1000</f>
        <v>2500</v>
      </c>
      <c r="K1418" s="9">
        <f>STATS1003B!K1496/1000</f>
        <v>0</v>
      </c>
      <c r="L1418" s="9">
        <f>STATS1003B!L1496/1000</f>
        <v>0</v>
      </c>
      <c r="M1418" s="9">
        <f>STATS1003B!M1496/1000</f>
        <v>2500</v>
      </c>
      <c r="N1418" s="9">
        <f>STATS1003B!N1496/1000</f>
        <v>0</v>
      </c>
      <c r="O1418" s="9">
        <f>STATS1003B!O1496/1000</f>
        <v>0</v>
      </c>
      <c r="P1418" s="9">
        <f>STATS1003B!P1496/1000</f>
        <v>0</v>
      </c>
      <c r="Q1418" s="9">
        <f>STATS1003B!Q1496/1000</f>
        <v>2500</v>
      </c>
      <c r="R1418" s="9">
        <f>STATS1003B!R1496/1000</f>
        <v>0</v>
      </c>
      <c r="S1418" s="9">
        <f>STATS1003B!S1496/1000</f>
        <v>0</v>
      </c>
      <c r="T1418" s="9">
        <f>STATS1003B!T1496/1000</f>
        <v>0</v>
      </c>
      <c r="U1418" s="9">
        <f>STATS1003B!U1496/1000</f>
        <v>0</v>
      </c>
      <c r="V1418" s="9">
        <f>STATS1003B!V1496/1000</f>
        <v>2500</v>
      </c>
      <c r="W1418" s="9">
        <f>STATS1003B!W1496/1000</f>
        <v>0</v>
      </c>
      <c r="X1418" s="9">
        <f>STATS1003B!X1496/1000</f>
        <v>2500</v>
      </c>
      <c r="Y1418" s="9">
        <f>STATS1003B!Y1496/1000</f>
        <v>0</v>
      </c>
      <c r="Z1418" s="9">
        <f>STATS1003B!Z1496/1000</f>
        <v>0</v>
      </c>
      <c r="AA1418" s="9">
        <f>STATS1003B!AA1496/1000</f>
        <v>2500</v>
      </c>
      <c r="AB1418" s="9">
        <f>STATS1003B!AB1496/1000</f>
        <v>0</v>
      </c>
    </row>
    <row r="1419" spans="1:28" x14ac:dyDescent="0.35">
      <c r="A1419" s="36"/>
      <c r="B1419" s="8"/>
      <c r="C1419" s="8"/>
      <c r="D1419" s="8"/>
      <c r="E1419" s="17" t="s">
        <v>29</v>
      </c>
      <c r="F1419" s="17" t="s">
        <v>29</v>
      </c>
      <c r="G1419" s="17" t="s">
        <v>29</v>
      </c>
      <c r="H1419" s="17" t="s">
        <v>29</v>
      </c>
      <c r="I1419" s="17" t="s">
        <v>29</v>
      </c>
      <c r="J1419" s="17" t="s">
        <v>29</v>
      </c>
      <c r="K1419" s="17" t="s">
        <v>29</v>
      </c>
      <c r="L1419" s="17" t="s">
        <v>29</v>
      </c>
      <c r="M1419" s="17" t="s">
        <v>29</v>
      </c>
      <c r="N1419" s="17" t="s">
        <v>29</v>
      </c>
      <c r="O1419" s="17" t="s">
        <v>29</v>
      </c>
      <c r="P1419" s="17" t="s">
        <v>29</v>
      </c>
      <c r="Q1419" s="17" t="s">
        <v>29</v>
      </c>
      <c r="R1419" s="17" t="s">
        <v>29</v>
      </c>
      <c r="S1419" s="17" t="s">
        <v>29</v>
      </c>
      <c r="T1419" s="17" t="s">
        <v>29</v>
      </c>
      <c r="U1419" s="17" t="s">
        <v>29</v>
      </c>
      <c r="V1419" s="17" t="s">
        <v>29</v>
      </c>
      <c r="W1419" s="17" t="s">
        <v>29</v>
      </c>
      <c r="X1419" s="17" t="s">
        <v>29</v>
      </c>
      <c r="Y1419" s="17" t="s">
        <v>29</v>
      </c>
      <c r="Z1419" s="17" t="s">
        <v>29</v>
      </c>
      <c r="AA1419" s="17" t="s">
        <v>29</v>
      </c>
      <c r="AB1419" s="17" t="s">
        <v>29</v>
      </c>
    </row>
    <row r="1420" spans="1:28" x14ac:dyDescent="0.35">
      <c r="A1420" s="36"/>
      <c r="B1420" s="8"/>
      <c r="C1420" s="8"/>
      <c r="D1420" s="8"/>
      <c r="E1420" s="9">
        <f t="shared" ref="E1420:Q1420" si="103">SUM(E1398:E1419)</f>
        <v>34300.958019999998</v>
      </c>
      <c r="F1420" s="9">
        <f t="shared" si="103"/>
        <v>31067.593229999999</v>
      </c>
      <c r="G1420" s="9">
        <f>SUM(G1398:G1418)</f>
        <v>0</v>
      </c>
      <c r="H1420" s="9">
        <f t="shared" si="103"/>
        <v>31067.593229999999</v>
      </c>
      <c r="I1420" s="9">
        <f t="shared" si="103"/>
        <v>0</v>
      </c>
      <c r="J1420" s="9">
        <f t="shared" si="103"/>
        <v>31067.593229999999</v>
      </c>
      <c r="K1420" s="9">
        <f t="shared" si="103"/>
        <v>3124.1613299999999</v>
      </c>
      <c r="L1420" s="9">
        <f t="shared" si="103"/>
        <v>0</v>
      </c>
      <c r="M1420" s="9">
        <f t="shared" si="103"/>
        <v>31067.593229999999</v>
      </c>
      <c r="N1420" s="9">
        <f t="shared" si="103"/>
        <v>3124.1613299999999</v>
      </c>
      <c r="O1420" s="9"/>
      <c r="P1420" s="9">
        <f t="shared" si="103"/>
        <v>3124.1613299999999</v>
      </c>
      <c r="Q1420" s="9">
        <f t="shared" si="103"/>
        <v>31176.796689999999</v>
      </c>
      <c r="R1420" s="17"/>
      <c r="S1420" s="17"/>
      <c r="T1420" s="9">
        <f t="shared" ref="T1420:Z1420" si="104">SUM(T1398:T1419)</f>
        <v>0</v>
      </c>
      <c r="U1420" s="9">
        <f t="shared" si="104"/>
        <v>3124.1613299999999</v>
      </c>
      <c r="V1420" s="9">
        <f t="shared" si="104"/>
        <v>34191.754560000001</v>
      </c>
      <c r="W1420" s="9">
        <f t="shared" si="104"/>
        <v>109.20345999999996</v>
      </c>
      <c r="X1420" s="9">
        <f t="shared" si="104"/>
        <v>34191.754560000001</v>
      </c>
      <c r="Y1420" s="9">
        <f t="shared" si="104"/>
        <v>0</v>
      </c>
      <c r="Z1420" s="9">
        <f t="shared" si="104"/>
        <v>109.20345999999996</v>
      </c>
      <c r="AA1420" s="9">
        <f>SUM(AA1398:AA1419)</f>
        <v>34191.754560000001</v>
      </c>
      <c r="AB1420" s="9">
        <f>SUM(AB1398:AB1419)</f>
        <v>109.20345999999996</v>
      </c>
    </row>
    <row r="1421" spans="1:28" x14ac:dyDescent="0.35">
      <c r="A1421" s="36"/>
      <c r="B1421" s="8"/>
      <c r="C1421" s="8"/>
      <c r="D1421" s="8"/>
      <c r="E1421" s="17" t="s">
        <v>29</v>
      </c>
      <c r="F1421" s="17" t="s">
        <v>29</v>
      </c>
      <c r="G1421" s="17" t="s">
        <v>29</v>
      </c>
      <c r="H1421" s="17" t="s">
        <v>29</v>
      </c>
      <c r="I1421" s="17" t="s">
        <v>29</v>
      </c>
      <c r="J1421" s="17" t="s">
        <v>29</v>
      </c>
      <c r="K1421" s="17" t="s">
        <v>29</v>
      </c>
      <c r="L1421" s="17" t="s">
        <v>29</v>
      </c>
      <c r="M1421" s="17" t="s">
        <v>29</v>
      </c>
      <c r="N1421" s="17" t="s">
        <v>29</v>
      </c>
      <c r="O1421" s="17" t="s">
        <v>29</v>
      </c>
      <c r="P1421" s="17" t="s">
        <v>29</v>
      </c>
      <c r="Q1421" s="17" t="s">
        <v>29</v>
      </c>
      <c r="R1421" s="17" t="s">
        <v>29</v>
      </c>
      <c r="S1421" s="17" t="s">
        <v>29</v>
      </c>
      <c r="T1421" s="17" t="s">
        <v>29</v>
      </c>
      <c r="U1421" s="17" t="s">
        <v>29</v>
      </c>
      <c r="V1421" s="17" t="s">
        <v>29</v>
      </c>
      <c r="W1421" s="17" t="s">
        <v>29</v>
      </c>
      <c r="X1421" s="17" t="s">
        <v>29</v>
      </c>
      <c r="Y1421" s="17" t="s">
        <v>29</v>
      </c>
      <c r="Z1421" s="17" t="s">
        <v>29</v>
      </c>
      <c r="AA1421" s="17" t="s">
        <v>29</v>
      </c>
      <c r="AB1421" s="17" t="s">
        <v>29</v>
      </c>
    </row>
    <row r="1422" spans="1:28" x14ac:dyDescent="0.35">
      <c r="A1422" s="36"/>
      <c r="B1422" s="8"/>
      <c r="C1422" s="7" t="s">
        <v>744</v>
      </c>
      <c r="D1422" s="8"/>
      <c r="E1422" s="8"/>
      <c r="F1422" s="8"/>
      <c r="G1422" s="8"/>
      <c r="H1422" s="8"/>
      <c r="I1422" s="8"/>
      <c r="J1422" s="8"/>
      <c r="K1422" s="8"/>
      <c r="L1422" s="8"/>
      <c r="M1422" s="8"/>
      <c r="N1422" s="8"/>
      <c r="O1422" s="8"/>
      <c r="P1422" s="8"/>
      <c r="Q1422" s="8"/>
      <c r="R1422" s="17"/>
      <c r="S1422" s="17"/>
      <c r="T1422" s="17"/>
      <c r="U1422" s="17"/>
      <c r="V1422" s="17"/>
      <c r="W1422" s="17"/>
      <c r="X1422" s="17"/>
      <c r="Y1422" s="17"/>
      <c r="Z1422" s="17"/>
    </row>
    <row r="1423" spans="1:28" x14ac:dyDescent="0.35">
      <c r="A1423" s="36"/>
      <c r="B1423" s="8"/>
      <c r="C1423" s="7" t="s">
        <v>745</v>
      </c>
      <c r="D1423" s="15" t="s">
        <v>54</v>
      </c>
      <c r="E1423" s="9">
        <f>STATS1003B!E1501/1000</f>
        <v>95</v>
      </c>
      <c r="F1423" s="9">
        <f>STATS1003B!F1501/1000</f>
        <v>95</v>
      </c>
      <c r="G1423" s="9">
        <f>STATS1003B!G1501/1000</f>
        <v>0</v>
      </c>
      <c r="H1423" s="9">
        <f>STATS1003B!H1501/1000</f>
        <v>95</v>
      </c>
      <c r="I1423" s="9">
        <f>STATS1003B!I1501/1000</f>
        <v>0</v>
      </c>
      <c r="J1423" s="9">
        <f>STATS1003B!J1501/1000</f>
        <v>95</v>
      </c>
      <c r="K1423" s="9">
        <f>STATS1003B!K1501/1000</f>
        <v>0</v>
      </c>
      <c r="L1423" s="9">
        <f>STATS1003B!L1501/1000</f>
        <v>0</v>
      </c>
      <c r="M1423" s="9">
        <f>STATS1003B!M1501/1000</f>
        <v>95</v>
      </c>
      <c r="N1423" s="9">
        <f>STATS1003B!N1501/1000</f>
        <v>0</v>
      </c>
      <c r="O1423" s="9">
        <f>STATS1003B!O1501/1000</f>
        <v>0</v>
      </c>
      <c r="P1423" s="9">
        <f>STATS1003B!P1501/1000</f>
        <v>0</v>
      </c>
      <c r="Q1423" s="9">
        <f>STATS1003B!Q1501/1000</f>
        <v>95</v>
      </c>
      <c r="R1423" s="9">
        <f>STATS1003B!R1501/1000</f>
        <v>0</v>
      </c>
      <c r="S1423" s="9">
        <f>STATS1003B!S1501/1000</f>
        <v>0</v>
      </c>
      <c r="T1423" s="9">
        <f>STATS1003B!T1501/1000</f>
        <v>0</v>
      </c>
      <c r="U1423" s="9">
        <f>STATS1003B!U1501/1000</f>
        <v>0</v>
      </c>
      <c r="V1423" s="9">
        <f>STATS1003B!V1501/1000</f>
        <v>95</v>
      </c>
      <c r="W1423" s="9">
        <f>STATS1003B!W1501/1000</f>
        <v>0</v>
      </c>
      <c r="X1423" s="9">
        <f>STATS1003B!X1501/1000</f>
        <v>95</v>
      </c>
      <c r="Y1423" s="9">
        <f>STATS1003B!Y1501/1000</f>
        <v>0</v>
      </c>
      <c r="Z1423" s="9">
        <f>STATS1003B!Z1501/1000</f>
        <v>0</v>
      </c>
      <c r="AA1423" s="9">
        <f>STATS1003B!AA1501/1000</f>
        <v>95</v>
      </c>
      <c r="AB1423" s="9">
        <f>STATS1003B!AB1501/1000</f>
        <v>0</v>
      </c>
    </row>
    <row r="1424" spans="1:28" x14ac:dyDescent="0.35">
      <c r="A1424" s="36"/>
      <c r="B1424" s="8"/>
      <c r="C1424" s="8"/>
      <c r="D1424" s="8"/>
      <c r="E1424" s="17" t="s">
        <v>29</v>
      </c>
      <c r="F1424" s="17" t="s">
        <v>29</v>
      </c>
      <c r="G1424" s="17" t="s">
        <v>29</v>
      </c>
      <c r="H1424" s="17" t="s">
        <v>29</v>
      </c>
      <c r="I1424" s="17" t="s">
        <v>29</v>
      </c>
      <c r="J1424" s="17" t="s">
        <v>29</v>
      </c>
      <c r="K1424" s="17" t="s">
        <v>29</v>
      </c>
      <c r="L1424" s="17" t="s">
        <v>29</v>
      </c>
      <c r="M1424" s="17" t="s">
        <v>29</v>
      </c>
      <c r="N1424" s="17" t="s">
        <v>29</v>
      </c>
      <c r="O1424" s="17" t="s">
        <v>29</v>
      </c>
      <c r="P1424" s="17" t="s">
        <v>29</v>
      </c>
      <c r="Q1424" s="17" t="s">
        <v>29</v>
      </c>
      <c r="R1424" s="17" t="s">
        <v>29</v>
      </c>
      <c r="S1424" s="17" t="s">
        <v>29</v>
      </c>
      <c r="T1424" s="17" t="s">
        <v>29</v>
      </c>
      <c r="U1424" s="17" t="s">
        <v>29</v>
      </c>
      <c r="V1424" s="17" t="s">
        <v>29</v>
      </c>
      <c r="W1424" s="17" t="s">
        <v>29</v>
      </c>
      <c r="X1424" s="17" t="s">
        <v>29</v>
      </c>
      <c r="Y1424" s="17" t="s">
        <v>29</v>
      </c>
      <c r="Z1424" s="17" t="s">
        <v>29</v>
      </c>
      <c r="AA1424" s="17" t="s">
        <v>29</v>
      </c>
      <c r="AB1424" s="17" t="s">
        <v>29</v>
      </c>
    </row>
    <row r="1425" spans="1:28" x14ac:dyDescent="0.35">
      <c r="A1425" s="36"/>
      <c r="B1425" s="8"/>
      <c r="C1425" s="7" t="s">
        <v>746</v>
      </c>
      <c r="D1425" s="8"/>
      <c r="E1425" s="8"/>
      <c r="F1425" s="8"/>
      <c r="G1425" s="8"/>
      <c r="H1425" s="8"/>
      <c r="I1425" s="8"/>
      <c r="J1425" s="8"/>
      <c r="K1425" s="8"/>
      <c r="L1425" s="8"/>
      <c r="M1425" s="8"/>
      <c r="N1425" s="8"/>
      <c r="O1425" s="8"/>
      <c r="P1425" s="8"/>
      <c r="Q1425" s="8"/>
      <c r="R1425" s="17"/>
      <c r="S1425" s="17"/>
      <c r="T1425" s="17"/>
      <c r="U1425" s="17"/>
      <c r="V1425" s="17"/>
      <c r="W1425" s="17"/>
      <c r="X1425" s="17"/>
      <c r="Y1425" s="17"/>
      <c r="Z1425" s="17"/>
    </row>
    <row r="1426" spans="1:28" x14ac:dyDescent="0.35">
      <c r="A1426" s="36"/>
      <c r="B1426" s="8"/>
      <c r="C1426" s="7" t="s">
        <v>745</v>
      </c>
      <c r="D1426" s="15" t="s">
        <v>54</v>
      </c>
      <c r="E1426" s="9">
        <f>STATS1003B!E1504/1000</f>
        <v>285</v>
      </c>
      <c r="F1426" s="9">
        <f>STATS1003B!F1504/1000</f>
        <v>285</v>
      </c>
      <c r="G1426" s="9">
        <f>STATS1003B!G1504/1000</f>
        <v>0</v>
      </c>
      <c r="H1426" s="9">
        <f>STATS1003B!H1504/1000</f>
        <v>285</v>
      </c>
      <c r="I1426" s="9">
        <f>STATS1003B!I1504/1000</f>
        <v>0</v>
      </c>
      <c r="J1426" s="9">
        <f>STATS1003B!J1504/1000</f>
        <v>285</v>
      </c>
      <c r="K1426" s="9">
        <f>STATS1003B!K1504/1000</f>
        <v>0</v>
      </c>
      <c r="L1426" s="9">
        <f>STATS1003B!L1504/1000</f>
        <v>0</v>
      </c>
      <c r="M1426" s="9">
        <f>STATS1003B!M1504/1000</f>
        <v>285</v>
      </c>
      <c r="N1426" s="9">
        <f>STATS1003B!N1504/1000</f>
        <v>0</v>
      </c>
      <c r="O1426" s="9">
        <f>STATS1003B!O1504/1000</f>
        <v>0</v>
      </c>
      <c r="P1426" s="9">
        <f>STATS1003B!P1504/1000</f>
        <v>0</v>
      </c>
      <c r="Q1426" s="9">
        <f>STATS1003B!Q1504/1000</f>
        <v>285</v>
      </c>
      <c r="R1426" s="9">
        <f>STATS1003B!R1504/1000</f>
        <v>0</v>
      </c>
      <c r="S1426" s="9">
        <f>STATS1003B!S1504/1000</f>
        <v>0</v>
      </c>
      <c r="T1426" s="9">
        <f>STATS1003B!T1504/1000</f>
        <v>0</v>
      </c>
      <c r="U1426" s="9">
        <f>STATS1003B!U1504/1000</f>
        <v>0</v>
      </c>
      <c r="V1426" s="9">
        <f>STATS1003B!V1504/1000</f>
        <v>285</v>
      </c>
      <c r="W1426" s="9">
        <f>STATS1003B!W1504/1000</f>
        <v>0</v>
      </c>
      <c r="X1426" s="9">
        <f>STATS1003B!X1504/1000</f>
        <v>285</v>
      </c>
      <c r="Y1426" s="9">
        <f>STATS1003B!Y1504/1000</f>
        <v>0</v>
      </c>
      <c r="Z1426" s="9">
        <f>STATS1003B!Z1504/1000</f>
        <v>0</v>
      </c>
      <c r="AA1426" s="9">
        <f>STATS1003B!AA1504/1000</f>
        <v>285</v>
      </c>
      <c r="AB1426" s="9">
        <f>STATS1003B!AB1504/1000</f>
        <v>0</v>
      </c>
    </row>
    <row r="1427" spans="1:28" x14ac:dyDescent="0.35">
      <c r="A1427" s="36"/>
      <c r="B1427" s="8"/>
      <c r="C1427" s="8"/>
      <c r="D1427" s="8"/>
      <c r="E1427" s="17" t="s">
        <v>29</v>
      </c>
      <c r="F1427" s="17" t="s">
        <v>29</v>
      </c>
      <c r="G1427" s="17" t="s">
        <v>29</v>
      </c>
      <c r="H1427" s="17" t="s">
        <v>29</v>
      </c>
      <c r="I1427" s="17" t="s">
        <v>29</v>
      </c>
      <c r="J1427" s="17" t="s">
        <v>29</v>
      </c>
      <c r="K1427" s="17" t="s">
        <v>29</v>
      </c>
      <c r="L1427" s="17" t="s">
        <v>29</v>
      </c>
      <c r="M1427" s="17" t="s">
        <v>29</v>
      </c>
      <c r="N1427" s="17" t="s">
        <v>29</v>
      </c>
      <c r="O1427" s="17" t="s">
        <v>29</v>
      </c>
      <c r="P1427" s="17" t="s">
        <v>29</v>
      </c>
      <c r="Q1427" s="17" t="s">
        <v>29</v>
      </c>
      <c r="R1427" s="17" t="s">
        <v>29</v>
      </c>
      <c r="S1427" s="17" t="s">
        <v>29</v>
      </c>
      <c r="T1427" s="17" t="s">
        <v>29</v>
      </c>
      <c r="U1427" s="17" t="s">
        <v>29</v>
      </c>
      <c r="V1427" s="17" t="s">
        <v>29</v>
      </c>
      <c r="W1427" s="17" t="s">
        <v>29</v>
      </c>
      <c r="X1427" s="17" t="s">
        <v>29</v>
      </c>
      <c r="Y1427" s="17" t="s">
        <v>29</v>
      </c>
      <c r="Z1427" s="17" t="s">
        <v>29</v>
      </c>
      <c r="AA1427" s="17" t="s">
        <v>29</v>
      </c>
      <c r="AB1427" s="17" t="s">
        <v>29</v>
      </c>
    </row>
    <row r="1428" spans="1:28" x14ac:dyDescent="0.35">
      <c r="A1428" s="36"/>
      <c r="B1428" s="8"/>
      <c r="C1428" s="7" t="s">
        <v>747</v>
      </c>
      <c r="D1428" s="8"/>
      <c r="E1428" s="8"/>
      <c r="F1428" s="8"/>
      <c r="G1428" s="8"/>
      <c r="H1428" s="8"/>
      <c r="I1428" s="8"/>
      <c r="J1428" s="8"/>
      <c r="K1428" s="8"/>
      <c r="L1428" s="8"/>
      <c r="M1428" s="8"/>
      <c r="N1428" s="8"/>
      <c r="O1428" s="8"/>
      <c r="P1428" s="8"/>
      <c r="Q1428" s="8"/>
      <c r="R1428" s="17"/>
      <c r="S1428" s="17"/>
      <c r="T1428" s="17"/>
      <c r="U1428" s="17"/>
      <c r="V1428" s="17"/>
      <c r="W1428" s="17"/>
      <c r="X1428" s="17"/>
      <c r="Y1428" s="17"/>
      <c r="Z1428" s="17"/>
    </row>
    <row r="1429" spans="1:28" x14ac:dyDescent="0.35">
      <c r="A1429" s="36"/>
      <c r="B1429" s="8"/>
      <c r="C1429" s="7" t="s">
        <v>745</v>
      </c>
      <c r="D1429" s="15" t="s">
        <v>54</v>
      </c>
      <c r="E1429" s="9">
        <f>STATS1003B!E1507/1000</f>
        <v>237.5</v>
      </c>
      <c r="F1429" s="9">
        <f>STATS1003B!F1507/1000</f>
        <v>237.5</v>
      </c>
      <c r="G1429" s="9">
        <f>STATS1003B!G1507/1000</f>
        <v>0</v>
      </c>
      <c r="H1429" s="9">
        <f>STATS1003B!H1507/1000</f>
        <v>237.5</v>
      </c>
      <c r="I1429" s="9">
        <f>STATS1003B!I1507/1000</f>
        <v>0</v>
      </c>
      <c r="J1429" s="9">
        <f>STATS1003B!J1507/1000</f>
        <v>237.5</v>
      </c>
      <c r="K1429" s="9">
        <f>STATS1003B!K1507/1000</f>
        <v>0</v>
      </c>
      <c r="L1429" s="9">
        <f>STATS1003B!L1507/1000</f>
        <v>0</v>
      </c>
      <c r="M1429" s="9">
        <f>STATS1003B!M1507/1000</f>
        <v>237.5</v>
      </c>
      <c r="N1429" s="9">
        <f>STATS1003B!N1507/1000</f>
        <v>0</v>
      </c>
      <c r="O1429" s="9">
        <f>STATS1003B!O1507/1000</f>
        <v>0</v>
      </c>
      <c r="P1429" s="9">
        <f>STATS1003B!P1507/1000</f>
        <v>0</v>
      </c>
      <c r="Q1429" s="9">
        <f>STATS1003B!Q1507/1000</f>
        <v>237.5</v>
      </c>
      <c r="R1429" s="9">
        <f>STATS1003B!R1507/1000</f>
        <v>0</v>
      </c>
      <c r="S1429" s="9">
        <f>STATS1003B!S1507/1000</f>
        <v>0</v>
      </c>
      <c r="T1429" s="9">
        <f>STATS1003B!T1507/1000</f>
        <v>0</v>
      </c>
      <c r="U1429" s="9">
        <f>STATS1003B!U1507/1000</f>
        <v>0</v>
      </c>
      <c r="V1429" s="9">
        <f>STATS1003B!V1507/1000</f>
        <v>237.5</v>
      </c>
      <c r="W1429" s="9">
        <f>STATS1003B!W1507/1000</f>
        <v>0</v>
      </c>
      <c r="X1429" s="9">
        <f>STATS1003B!X1507/1000</f>
        <v>237.5</v>
      </c>
      <c r="Y1429" s="9">
        <f>STATS1003B!Y1507/1000</f>
        <v>0</v>
      </c>
      <c r="Z1429" s="9">
        <f>STATS1003B!Z1507/1000</f>
        <v>0</v>
      </c>
      <c r="AA1429" s="9">
        <f>STATS1003B!AA1507/1000</f>
        <v>237.5</v>
      </c>
      <c r="AB1429" s="9">
        <f>STATS1003B!AB1507/1000</f>
        <v>0</v>
      </c>
    </row>
    <row r="1430" spans="1:28" x14ac:dyDescent="0.35">
      <c r="A1430" s="36"/>
      <c r="B1430" s="8"/>
      <c r="C1430" s="8"/>
      <c r="D1430" s="8"/>
      <c r="E1430" s="17" t="s">
        <v>29</v>
      </c>
      <c r="F1430" s="17" t="s">
        <v>29</v>
      </c>
      <c r="G1430" s="17" t="s">
        <v>29</v>
      </c>
      <c r="H1430" s="17" t="s">
        <v>29</v>
      </c>
      <c r="I1430" s="17" t="s">
        <v>29</v>
      </c>
      <c r="J1430" s="17" t="s">
        <v>29</v>
      </c>
      <c r="K1430" s="17" t="s">
        <v>29</v>
      </c>
      <c r="L1430" s="17" t="s">
        <v>29</v>
      </c>
      <c r="M1430" s="17" t="s">
        <v>29</v>
      </c>
      <c r="N1430" s="17" t="s">
        <v>29</v>
      </c>
      <c r="O1430" s="17" t="s">
        <v>29</v>
      </c>
      <c r="P1430" s="17" t="s">
        <v>29</v>
      </c>
      <c r="Q1430" s="17" t="s">
        <v>29</v>
      </c>
      <c r="R1430" s="17" t="s">
        <v>29</v>
      </c>
      <c r="S1430" s="17" t="s">
        <v>29</v>
      </c>
      <c r="T1430" s="17" t="s">
        <v>29</v>
      </c>
      <c r="U1430" s="17" t="s">
        <v>29</v>
      </c>
      <c r="V1430" s="17" t="s">
        <v>29</v>
      </c>
      <c r="W1430" s="17" t="s">
        <v>29</v>
      </c>
      <c r="X1430" s="17" t="s">
        <v>29</v>
      </c>
      <c r="Y1430" s="17" t="s">
        <v>29</v>
      </c>
      <c r="Z1430" s="17" t="s">
        <v>29</v>
      </c>
      <c r="AA1430" s="17" t="s">
        <v>29</v>
      </c>
      <c r="AB1430" s="17" t="s">
        <v>29</v>
      </c>
    </row>
    <row r="1431" spans="1:28" x14ac:dyDescent="0.35">
      <c r="A1431" s="36"/>
      <c r="B1431" s="8"/>
      <c r="C1431" s="7" t="s">
        <v>748</v>
      </c>
      <c r="D1431" s="8"/>
      <c r="E1431" s="8"/>
      <c r="F1431" s="8"/>
      <c r="G1431" s="8"/>
      <c r="H1431" s="8"/>
      <c r="I1431" s="8"/>
      <c r="J1431" s="8"/>
      <c r="K1431" s="8"/>
      <c r="L1431" s="8"/>
      <c r="M1431" s="8"/>
      <c r="N1431" s="8"/>
      <c r="O1431" s="8"/>
      <c r="P1431" s="8"/>
      <c r="Q1431" s="8"/>
      <c r="R1431" s="17"/>
      <c r="S1431" s="17"/>
      <c r="T1431" s="17"/>
      <c r="U1431" s="17"/>
      <c r="V1431" s="17"/>
      <c r="W1431" s="17"/>
      <c r="X1431" s="17"/>
      <c r="Y1431" s="17"/>
      <c r="Z1431" s="17"/>
    </row>
    <row r="1432" spans="1:28" x14ac:dyDescent="0.35">
      <c r="A1432" s="36"/>
      <c r="B1432" s="8"/>
      <c r="C1432" s="7" t="s">
        <v>745</v>
      </c>
      <c r="D1432" s="15" t="s">
        <v>54</v>
      </c>
      <c r="E1432" s="9">
        <f>STATS1003B!E1510/1000</f>
        <v>285</v>
      </c>
      <c r="F1432" s="9">
        <f>STATS1003B!F1510/1000</f>
        <v>285</v>
      </c>
      <c r="G1432" s="9">
        <f>STATS1003B!G1510/1000</f>
        <v>0</v>
      </c>
      <c r="H1432" s="9">
        <f>STATS1003B!H1510/1000</f>
        <v>285</v>
      </c>
      <c r="I1432" s="9">
        <f>STATS1003B!I1510/1000</f>
        <v>0</v>
      </c>
      <c r="J1432" s="9">
        <f>STATS1003B!J1510/1000</f>
        <v>285</v>
      </c>
      <c r="K1432" s="9">
        <f>STATS1003B!K1510/1000</f>
        <v>0</v>
      </c>
      <c r="L1432" s="9">
        <f>STATS1003B!L1510/1000</f>
        <v>0</v>
      </c>
      <c r="M1432" s="9">
        <f>STATS1003B!M1510/1000</f>
        <v>285</v>
      </c>
      <c r="N1432" s="9">
        <f>STATS1003B!N1510/1000</f>
        <v>0</v>
      </c>
      <c r="O1432" s="9">
        <f>STATS1003B!O1510/1000</f>
        <v>0</v>
      </c>
      <c r="P1432" s="9">
        <f>STATS1003B!P1510/1000</f>
        <v>0</v>
      </c>
      <c r="Q1432" s="9">
        <f>STATS1003B!Q1510/1000</f>
        <v>285</v>
      </c>
      <c r="R1432" s="9">
        <f>STATS1003B!R1510/1000</f>
        <v>0</v>
      </c>
      <c r="S1432" s="9">
        <f>STATS1003B!S1510/1000</f>
        <v>0</v>
      </c>
      <c r="T1432" s="9">
        <f>STATS1003B!T1510/1000</f>
        <v>0</v>
      </c>
      <c r="U1432" s="9">
        <f>STATS1003B!U1510/1000</f>
        <v>0</v>
      </c>
      <c r="V1432" s="9">
        <f>STATS1003B!V1510/1000</f>
        <v>285</v>
      </c>
      <c r="W1432" s="9">
        <f>STATS1003B!W1510/1000</f>
        <v>0</v>
      </c>
      <c r="X1432" s="9">
        <f>STATS1003B!X1510/1000</f>
        <v>285</v>
      </c>
      <c r="Y1432" s="9">
        <f>STATS1003B!Y1510/1000</f>
        <v>0</v>
      </c>
      <c r="Z1432" s="9">
        <f>STATS1003B!Z1510/1000</f>
        <v>0</v>
      </c>
      <c r="AA1432" s="9">
        <f>STATS1003B!AA1510/1000</f>
        <v>285</v>
      </c>
      <c r="AB1432" s="9">
        <f>STATS1003B!AB1510/1000</f>
        <v>0</v>
      </c>
    </row>
    <row r="1433" spans="1:28" x14ac:dyDescent="0.35">
      <c r="A1433" s="36"/>
      <c r="B1433" s="8"/>
      <c r="C1433" s="8"/>
      <c r="D1433" s="8"/>
      <c r="E1433" s="17" t="s">
        <v>29</v>
      </c>
      <c r="F1433" s="17" t="s">
        <v>29</v>
      </c>
      <c r="G1433" s="17" t="s">
        <v>29</v>
      </c>
      <c r="H1433" s="17" t="s">
        <v>29</v>
      </c>
      <c r="I1433" s="17" t="s">
        <v>29</v>
      </c>
      <c r="J1433" s="17" t="s">
        <v>29</v>
      </c>
      <c r="K1433" s="17" t="s">
        <v>29</v>
      </c>
      <c r="L1433" s="17" t="s">
        <v>29</v>
      </c>
      <c r="M1433" s="17" t="s">
        <v>29</v>
      </c>
      <c r="N1433" s="17" t="s">
        <v>29</v>
      </c>
      <c r="O1433" s="17" t="s">
        <v>29</v>
      </c>
      <c r="P1433" s="17" t="s">
        <v>29</v>
      </c>
      <c r="Q1433" s="17" t="s">
        <v>29</v>
      </c>
      <c r="R1433" s="17" t="s">
        <v>29</v>
      </c>
      <c r="S1433" s="17" t="s">
        <v>29</v>
      </c>
      <c r="T1433" s="17" t="s">
        <v>29</v>
      </c>
      <c r="U1433" s="17" t="s">
        <v>29</v>
      </c>
      <c r="V1433" s="17" t="s">
        <v>29</v>
      </c>
      <c r="W1433" s="17" t="s">
        <v>29</v>
      </c>
      <c r="X1433" s="17" t="s">
        <v>29</v>
      </c>
      <c r="Y1433" s="17" t="s">
        <v>29</v>
      </c>
      <c r="Z1433" s="17" t="s">
        <v>29</v>
      </c>
      <c r="AA1433" s="17" t="s">
        <v>29</v>
      </c>
      <c r="AB1433" s="17" t="s">
        <v>29</v>
      </c>
    </row>
    <row r="1434" spans="1:28" x14ac:dyDescent="0.35">
      <c r="A1434" s="36"/>
      <c r="B1434" s="8"/>
      <c r="C1434" s="7" t="s">
        <v>749</v>
      </c>
      <c r="D1434" s="8"/>
      <c r="E1434" s="8"/>
      <c r="F1434" s="8"/>
      <c r="G1434" s="8"/>
      <c r="H1434" s="8"/>
      <c r="I1434" s="8"/>
      <c r="J1434" s="8"/>
      <c r="K1434" s="8"/>
      <c r="L1434" s="8"/>
      <c r="M1434" s="8"/>
      <c r="N1434" s="8"/>
      <c r="O1434" s="8"/>
      <c r="P1434" s="8"/>
      <c r="Q1434" s="8"/>
      <c r="R1434" s="17"/>
      <c r="S1434" s="17"/>
      <c r="T1434" s="17"/>
      <c r="U1434" s="17"/>
      <c r="V1434" s="17"/>
      <c r="W1434" s="17"/>
      <c r="X1434" s="17"/>
      <c r="Y1434" s="17"/>
      <c r="Z1434" s="17"/>
    </row>
    <row r="1435" spans="1:28" x14ac:dyDescent="0.35">
      <c r="A1435" s="36"/>
      <c r="B1435" s="8"/>
      <c r="C1435" s="7" t="s">
        <v>745</v>
      </c>
      <c r="D1435" s="15" t="s">
        <v>54</v>
      </c>
      <c r="E1435" s="9">
        <f>STATS1003B!E1513/1000</f>
        <v>475</v>
      </c>
      <c r="F1435" s="9">
        <f>STATS1003B!F1513/1000</f>
        <v>475</v>
      </c>
      <c r="G1435" s="9">
        <f>STATS1003B!G1513/1000</f>
        <v>0</v>
      </c>
      <c r="H1435" s="9">
        <f>STATS1003B!H1513/1000</f>
        <v>475</v>
      </c>
      <c r="I1435" s="9">
        <f>STATS1003B!I1513/1000</f>
        <v>0</v>
      </c>
      <c r="J1435" s="9">
        <f>STATS1003B!J1513/1000</f>
        <v>475</v>
      </c>
      <c r="K1435" s="9">
        <f>STATS1003B!K1513/1000</f>
        <v>0</v>
      </c>
      <c r="L1435" s="9">
        <f>STATS1003B!L1513/1000</f>
        <v>0</v>
      </c>
      <c r="M1435" s="9">
        <f>STATS1003B!M1513/1000</f>
        <v>475</v>
      </c>
      <c r="N1435" s="9">
        <f>STATS1003B!N1513/1000</f>
        <v>0</v>
      </c>
      <c r="O1435" s="9">
        <f>STATS1003B!O1513/1000</f>
        <v>0</v>
      </c>
      <c r="P1435" s="9">
        <f>STATS1003B!P1513/1000</f>
        <v>0</v>
      </c>
      <c r="Q1435" s="9">
        <f>STATS1003B!Q1513/1000</f>
        <v>475</v>
      </c>
      <c r="R1435" s="9">
        <f>STATS1003B!R1513/1000</f>
        <v>0</v>
      </c>
      <c r="S1435" s="9">
        <f>STATS1003B!S1513/1000</f>
        <v>0</v>
      </c>
      <c r="T1435" s="9">
        <f>STATS1003B!T1513/1000</f>
        <v>0</v>
      </c>
      <c r="U1435" s="9">
        <f>STATS1003B!U1513/1000</f>
        <v>0</v>
      </c>
      <c r="V1435" s="9">
        <f>STATS1003B!V1513/1000</f>
        <v>475</v>
      </c>
      <c r="W1435" s="9">
        <f>STATS1003B!W1513/1000</f>
        <v>0</v>
      </c>
      <c r="X1435" s="9">
        <f>STATS1003B!X1513/1000</f>
        <v>475</v>
      </c>
      <c r="Y1435" s="9">
        <f>STATS1003B!Y1513/1000</f>
        <v>0</v>
      </c>
      <c r="Z1435" s="9">
        <f>STATS1003B!Z1513/1000</f>
        <v>0</v>
      </c>
      <c r="AA1435" s="9">
        <f>STATS1003B!AA1513/1000</f>
        <v>475</v>
      </c>
      <c r="AB1435" s="9">
        <f>STATS1003B!AB1513/1000</f>
        <v>0</v>
      </c>
    </row>
    <row r="1436" spans="1:28" x14ac:dyDescent="0.35">
      <c r="A1436" s="36"/>
      <c r="B1436" s="8"/>
      <c r="C1436" s="8"/>
      <c r="D1436" s="8"/>
      <c r="E1436" s="17" t="s">
        <v>29</v>
      </c>
      <c r="F1436" s="17" t="s">
        <v>29</v>
      </c>
      <c r="G1436" s="17" t="s">
        <v>29</v>
      </c>
      <c r="H1436" s="17" t="s">
        <v>29</v>
      </c>
      <c r="I1436" s="17" t="s">
        <v>29</v>
      </c>
      <c r="J1436" s="17" t="s">
        <v>29</v>
      </c>
      <c r="K1436" s="17" t="s">
        <v>29</v>
      </c>
      <c r="L1436" s="17" t="s">
        <v>29</v>
      </c>
      <c r="M1436" s="17" t="s">
        <v>29</v>
      </c>
      <c r="N1436" s="17" t="s">
        <v>29</v>
      </c>
      <c r="O1436" s="17" t="s">
        <v>29</v>
      </c>
      <c r="P1436" s="17" t="s">
        <v>29</v>
      </c>
      <c r="Q1436" s="17" t="s">
        <v>29</v>
      </c>
      <c r="R1436" s="17" t="s">
        <v>29</v>
      </c>
      <c r="S1436" s="17" t="s">
        <v>29</v>
      </c>
      <c r="T1436" s="17" t="s">
        <v>29</v>
      </c>
      <c r="U1436" s="17" t="s">
        <v>29</v>
      </c>
      <c r="V1436" s="17" t="s">
        <v>29</v>
      </c>
      <c r="W1436" s="17" t="s">
        <v>29</v>
      </c>
      <c r="X1436" s="17" t="s">
        <v>29</v>
      </c>
      <c r="Y1436" s="17" t="s">
        <v>29</v>
      </c>
      <c r="Z1436" s="17" t="s">
        <v>29</v>
      </c>
      <c r="AA1436" s="17" t="s">
        <v>29</v>
      </c>
      <c r="AB1436" s="17" t="s">
        <v>29</v>
      </c>
    </row>
    <row r="1437" spans="1:28" x14ac:dyDescent="0.35">
      <c r="A1437" s="36"/>
      <c r="B1437" s="8"/>
      <c r="C1437" s="7" t="s">
        <v>750</v>
      </c>
      <c r="D1437" s="8"/>
      <c r="E1437" s="8"/>
      <c r="F1437" s="8"/>
      <c r="G1437" s="8"/>
      <c r="H1437" s="8"/>
      <c r="I1437" s="8"/>
      <c r="J1437" s="8"/>
      <c r="K1437" s="8"/>
      <c r="L1437" s="8"/>
      <c r="M1437" s="8"/>
      <c r="N1437" s="8"/>
      <c r="O1437" s="8"/>
      <c r="P1437" s="8"/>
      <c r="Q1437" s="8"/>
      <c r="R1437" s="17"/>
      <c r="S1437" s="17"/>
      <c r="T1437" s="17"/>
      <c r="U1437" s="17"/>
      <c r="V1437" s="17"/>
      <c r="W1437" s="17"/>
      <c r="X1437" s="17"/>
      <c r="Y1437" s="17"/>
      <c r="Z1437" s="17"/>
    </row>
    <row r="1438" spans="1:28" x14ac:dyDescent="0.35">
      <c r="A1438" s="36"/>
      <c r="B1438" s="8"/>
      <c r="C1438" s="7" t="s">
        <v>745</v>
      </c>
      <c r="D1438" s="15" t="s">
        <v>54</v>
      </c>
      <c r="E1438" s="9">
        <f>STATS1003B!E1516/1000</f>
        <v>190</v>
      </c>
      <c r="F1438" s="9">
        <f>STATS1003B!F1516/1000</f>
        <v>190</v>
      </c>
      <c r="G1438" s="9">
        <f>STATS1003B!G1516/1000</f>
        <v>0</v>
      </c>
      <c r="H1438" s="9">
        <f>STATS1003B!H1516/1000</f>
        <v>190</v>
      </c>
      <c r="I1438" s="9">
        <f>STATS1003B!I1516/1000</f>
        <v>0</v>
      </c>
      <c r="J1438" s="9">
        <f>STATS1003B!J1516/1000</f>
        <v>190</v>
      </c>
      <c r="K1438" s="9">
        <f>STATS1003B!K1516/1000</f>
        <v>0</v>
      </c>
      <c r="L1438" s="9">
        <f>STATS1003B!L1516/1000</f>
        <v>0</v>
      </c>
      <c r="M1438" s="9">
        <f>STATS1003B!M1516/1000</f>
        <v>190</v>
      </c>
      <c r="N1438" s="9">
        <f>STATS1003B!N1516/1000</f>
        <v>0</v>
      </c>
      <c r="O1438" s="9">
        <f>STATS1003B!O1516/1000</f>
        <v>0</v>
      </c>
      <c r="P1438" s="9">
        <f>STATS1003B!P1516/1000</f>
        <v>0</v>
      </c>
      <c r="Q1438" s="9">
        <f>STATS1003B!Q1516/1000</f>
        <v>190</v>
      </c>
      <c r="R1438" s="9">
        <f>STATS1003B!R1516/1000</f>
        <v>0</v>
      </c>
      <c r="S1438" s="9">
        <f>STATS1003B!S1516/1000</f>
        <v>0</v>
      </c>
      <c r="T1438" s="9">
        <f>STATS1003B!T1516/1000</f>
        <v>0</v>
      </c>
      <c r="U1438" s="9">
        <f>STATS1003B!U1516/1000</f>
        <v>0</v>
      </c>
      <c r="V1438" s="9">
        <f>STATS1003B!V1516/1000</f>
        <v>190</v>
      </c>
      <c r="W1438" s="9">
        <f>STATS1003B!W1516/1000</f>
        <v>0</v>
      </c>
      <c r="X1438" s="9">
        <f>STATS1003B!X1516/1000</f>
        <v>190</v>
      </c>
      <c r="Y1438" s="9">
        <f>STATS1003B!Y1516/1000</f>
        <v>0</v>
      </c>
      <c r="Z1438" s="9">
        <f>STATS1003B!Z1516/1000</f>
        <v>0</v>
      </c>
      <c r="AA1438" s="9">
        <f>STATS1003B!AA1516/1000</f>
        <v>190</v>
      </c>
      <c r="AB1438" s="9">
        <f>STATS1003B!AB1516/1000</f>
        <v>0</v>
      </c>
    </row>
    <row r="1439" spans="1:28" x14ac:dyDescent="0.35">
      <c r="A1439" s="36"/>
      <c r="B1439" s="8"/>
      <c r="C1439" s="8"/>
      <c r="D1439" s="8"/>
      <c r="E1439" s="17" t="s">
        <v>29</v>
      </c>
      <c r="F1439" s="17" t="s">
        <v>29</v>
      </c>
      <c r="G1439" s="17" t="s">
        <v>29</v>
      </c>
      <c r="H1439" s="17" t="s">
        <v>29</v>
      </c>
      <c r="I1439" s="17" t="s">
        <v>29</v>
      </c>
      <c r="J1439" s="17" t="s">
        <v>29</v>
      </c>
      <c r="K1439" s="17" t="s">
        <v>29</v>
      </c>
      <c r="L1439" s="17" t="s">
        <v>29</v>
      </c>
      <c r="M1439" s="17" t="s">
        <v>29</v>
      </c>
      <c r="N1439" s="17" t="s">
        <v>29</v>
      </c>
      <c r="O1439" s="17" t="s">
        <v>29</v>
      </c>
      <c r="P1439" s="17" t="s">
        <v>29</v>
      </c>
      <c r="Q1439" s="17" t="s">
        <v>29</v>
      </c>
      <c r="R1439" s="17" t="s">
        <v>29</v>
      </c>
      <c r="S1439" s="17" t="s">
        <v>29</v>
      </c>
      <c r="T1439" s="17" t="s">
        <v>29</v>
      </c>
      <c r="U1439" s="17" t="s">
        <v>29</v>
      </c>
      <c r="V1439" s="17" t="s">
        <v>29</v>
      </c>
      <c r="W1439" s="17" t="s">
        <v>29</v>
      </c>
      <c r="X1439" s="17" t="s">
        <v>29</v>
      </c>
      <c r="Y1439" s="17" t="s">
        <v>29</v>
      </c>
      <c r="Z1439" s="17" t="s">
        <v>29</v>
      </c>
      <c r="AA1439" s="17" t="s">
        <v>29</v>
      </c>
      <c r="AB1439" s="17" t="s">
        <v>29</v>
      </c>
    </row>
    <row r="1440" spans="1:28" x14ac:dyDescent="0.35">
      <c r="A1440" s="36"/>
      <c r="B1440" s="8"/>
      <c r="C1440" s="7" t="s">
        <v>751</v>
      </c>
      <c r="D1440" s="8"/>
      <c r="E1440" s="8"/>
      <c r="F1440" s="8"/>
      <c r="G1440" s="8"/>
      <c r="H1440" s="8"/>
      <c r="I1440" s="8"/>
      <c r="J1440" s="8"/>
      <c r="K1440" s="8"/>
      <c r="L1440" s="8"/>
      <c r="M1440" s="8"/>
      <c r="N1440" s="8"/>
      <c r="O1440" s="8"/>
      <c r="P1440" s="8"/>
      <c r="Q1440" s="8"/>
      <c r="R1440" s="17"/>
      <c r="S1440" s="17"/>
      <c r="T1440" s="17"/>
      <c r="U1440" s="17"/>
      <c r="V1440" s="17"/>
      <c r="W1440" s="17"/>
      <c r="X1440" s="17"/>
      <c r="Y1440" s="17"/>
      <c r="Z1440" s="17"/>
    </row>
    <row r="1441" spans="1:28" x14ac:dyDescent="0.35">
      <c r="A1441" s="36"/>
      <c r="B1441" s="8"/>
      <c r="C1441" s="7" t="s">
        <v>745</v>
      </c>
      <c r="D1441" s="15" t="s">
        <v>54</v>
      </c>
      <c r="E1441" s="9">
        <f>STATS1003B!E1519/1000</f>
        <v>190</v>
      </c>
      <c r="F1441" s="9">
        <f>STATS1003B!F1519/1000</f>
        <v>190</v>
      </c>
      <c r="G1441" s="9">
        <f>STATS1003B!G1519/1000</f>
        <v>0</v>
      </c>
      <c r="H1441" s="9">
        <f>STATS1003B!H1519/1000</f>
        <v>190</v>
      </c>
      <c r="I1441" s="9">
        <f>STATS1003B!I1519/1000</f>
        <v>0</v>
      </c>
      <c r="J1441" s="9">
        <f>STATS1003B!J1519/1000</f>
        <v>190</v>
      </c>
      <c r="K1441" s="9">
        <f>STATS1003B!K1519/1000</f>
        <v>0</v>
      </c>
      <c r="L1441" s="9">
        <f>STATS1003B!L1519/1000</f>
        <v>0</v>
      </c>
      <c r="M1441" s="9">
        <f>STATS1003B!M1519/1000</f>
        <v>190</v>
      </c>
      <c r="N1441" s="9">
        <f>STATS1003B!N1519/1000</f>
        <v>0</v>
      </c>
      <c r="O1441" s="9">
        <f>STATS1003B!O1519/1000</f>
        <v>0</v>
      </c>
      <c r="P1441" s="9">
        <f>STATS1003B!P1519/1000</f>
        <v>0</v>
      </c>
      <c r="Q1441" s="9">
        <f>STATS1003B!Q1519/1000</f>
        <v>190</v>
      </c>
      <c r="R1441" s="9">
        <f>STATS1003B!R1519/1000</f>
        <v>0</v>
      </c>
      <c r="S1441" s="9">
        <f>STATS1003B!S1519/1000</f>
        <v>0</v>
      </c>
      <c r="T1441" s="9">
        <f>STATS1003B!T1519/1000</f>
        <v>0</v>
      </c>
      <c r="U1441" s="9">
        <f>STATS1003B!U1519/1000</f>
        <v>0</v>
      </c>
      <c r="V1441" s="9">
        <f>STATS1003B!V1519/1000</f>
        <v>190</v>
      </c>
      <c r="W1441" s="9">
        <f>STATS1003B!W1519/1000</f>
        <v>0</v>
      </c>
      <c r="X1441" s="9">
        <f>STATS1003B!X1519/1000</f>
        <v>190</v>
      </c>
      <c r="Y1441" s="9">
        <f>STATS1003B!Y1519/1000</f>
        <v>0</v>
      </c>
      <c r="Z1441" s="9">
        <f>STATS1003B!Z1519/1000</f>
        <v>0</v>
      </c>
      <c r="AA1441" s="9">
        <f>STATS1003B!AA1519/1000</f>
        <v>190</v>
      </c>
      <c r="AB1441" s="9">
        <f>STATS1003B!AB1519/1000</f>
        <v>0</v>
      </c>
    </row>
    <row r="1442" spans="1:28" x14ac:dyDescent="0.35">
      <c r="A1442" s="36"/>
      <c r="B1442" s="8"/>
      <c r="C1442" s="8"/>
      <c r="D1442" s="8"/>
      <c r="E1442" s="17" t="s">
        <v>29</v>
      </c>
      <c r="F1442" s="17" t="s">
        <v>29</v>
      </c>
      <c r="G1442" s="17" t="s">
        <v>29</v>
      </c>
      <c r="H1442" s="17" t="s">
        <v>29</v>
      </c>
      <c r="I1442" s="17" t="s">
        <v>29</v>
      </c>
      <c r="J1442" s="17" t="s">
        <v>29</v>
      </c>
      <c r="K1442" s="17" t="s">
        <v>29</v>
      </c>
      <c r="L1442" s="17" t="s">
        <v>29</v>
      </c>
      <c r="M1442" s="17" t="s">
        <v>29</v>
      </c>
      <c r="N1442" s="17" t="s">
        <v>29</v>
      </c>
      <c r="O1442" s="17" t="s">
        <v>29</v>
      </c>
      <c r="P1442" s="17" t="s">
        <v>29</v>
      </c>
      <c r="Q1442" s="17" t="s">
        <v>29</v>
      </c>
      <c r="R1442" s="17" t="s">
        <v>29</v>
      </c>
      <c r="S1442" s="17" t="s">
        <v>29</v>
      </c>
      <c r="T1442" s="17" t="s">
        <v>29</v>
      </c>
      <c r="U1442" s="17" t="s">
        <v>29</v>
      </c>
      <c r="V1442" s="17" t="s">
        <v>29</v>
      </c>
      <c r="W1442" s="17" t="s">
        <v>29</v>
      </c>
      <c r="X1442" s="17" t="s">
        <v>29</v>
      </c>
      <c r="Y1442" s="17" t="s">
        <v>29</v>
      </c>
      <c r="Z1442" s="17" t="s">
        <v>29</v>
      </c>
      <c r="AA1442" s="17" t="s">
        <v>29</v>
      </c>
      <c r="AB1442" s="17" t="s">
        <v>29</v>
      </c>
    </row>
    <row r="1443" spans="1:28" x14ac:dyDescent="0.35">
      <c r="A1443" s="36"/>
      <c r="B1443" s="8"/>
      <c r="C1443" s="7" t="s">
        <v>752</v>
      </c>
      <c r="D1443" s="8"/>
      <c r="E1443" s="8"/>
      <c r="F1443" s="8"/>
      <c r="G1443" s="8"/>
      <c r="H1443" s="8"/>
      <c r="I1443" s="8"/>
      <c r="J1443" s="8"/>
      <c r="K1443" s="8"/>
      <c r="L1443" s="8"/>
      <c r="M1443" s="8"/>
      <c r="N1443" s="8"/>
      <c r="O1443" s="8"/>
      <c r="P1443" s="8"/>
      <c r="Q1443" s="8"/>
      <c r="R1443" s="17"/>
      <c r="S1443" s="17"/>
      <c r="T1443" s="17"/>
      <c r="U1443" s="17"/>
      <c r="V1443" s="17"/>
      <c r="W1443" s="17"/>
      <c r="X1443" s="17"/>
      <c r="Y1443" s="17"/>
      <c r="Z1443" s="17"/>
    </row>
    <row r="1444" spans="1:28" x14ac:dyDescent="0.35">
      <c r="A1444" s="36"/>
      <c r="B1444" s="8"/>
      <c r="C1444" s="7" t="s">
        <v>745</v>
      </c>
      <c r="D1444" s="15" t="s">
        <v>54</v>
      </c>
      <c r="E1444" s="9">
        <f>STATS1003B!E1522/1000</f>
        <v>137.75</v>
      </c>
      <c r="F1444" s="9">
        <f>STATS1003B!F1522/1000</f>
        <v>137.75</v>
      </c>
      <c r="G1444" s="9">
        <f>STATS1003B!G1522/1000</f>
        <v>0</v>
      </c>
      <c r="H1444" s="9">
        <f>STATS1003B!H1522/1000</f>
        <v>137.75</v>
      </c>
      <c r="I1444" s="9">
        <f>STATS1003B!I1522/1000</f>
        <v>0</v>
      </c>
      <c r="J1444" s="9">
        <f>STATS1003B!J1522/1000</f>
        <v>137.75</v>
      </c>
      <c r="K1444" s="9">
        <f>STATS1003B!K1522/1000</f>
        <v>0</v>
      </c>
      <c r="L1444" s="9">
        <f>STATS1003B!L1522/1000</f>
        <v>0</v>
      </c>
      <c r="M1444" s="9">
        <f>STATS1003B!M1522/1000</f>
        <v>137.75</v>
      </c>
      <c r="N1444" s="9">
        <f>STATS1003B!N1522/1000</f>
        <v>0</v>
      </c>
      <c r="O1444" s="9">
        <f>STATS1003B!O1522/1000</f>
        <v>0</v>
      </c>
      <c r="P1444" s="9">
        <f>STATS1003B!P1522/1000</f>
        <v>0</v>
      </c>
      <c r="Q1444" s="9">
        <f>STATS1003B!Q1522/1000</f>
        <v>137.75</v>
      </c>
      <c r="R1444" s="9">
        <f>STATS1003B!R1522/1000</f>
        <v>0</v>
      </c>
      <c r="S1444" s="9">
        <f>STATS1003B!S1522/1000</f>
        <v>0</v>
      </c>
      <c r="T1444" s="9">
        <f>STATS1003B!T1522/1000</f>
        <v>0</v>
      </c>
      <c r="U1444" s="9">
        <f>STATS1003B!U1522/1000</f>
        <v>0</v>
      </c>
      <c r="V1444" s="9">
        <f>STATS1003B!V1522/1000</f>
        <v>137.75</v>
      </c>
      <c r="W1444" s="9">
        <f>STATS1003B!W1522/1000</f>
        <v>0</v>
      </c>
      <c r="X1444" s="9">
        <f>STATS1003B!X1522/1000</f>
        <v>137.75</v>
      </c>
      <c r="Y1444" s="9">
        <f>STATS1003B!Y1522/1000</f>
        <v>0</v>
      </c>
      <c r="Z1444" s="9">
        <f>STATS1003B!Z1522/1000</f>
        <v>0</v>
      </c>
      <c r="AA1444" s="9">
        <f>STATS1003B!AA1522/1000</f>
        <v>137.75</v>
      </c>
      <c r="AB1444" s="9">
        <f>STATS1003B!AB1522/1000</f>
        <v>0</v>
      </c>
    </row>
    <row r="1445" spans="1:28" x14ac:dyDescent="0.35">
      <c r="A1445" s="36"/>
      <c r="B1445" s="8"/>
      <c r="C1445" s="8"/>
      <c r="D1445" s="8"/>
      <c r="E1445" s="17" t="s">
        <v>29</v>
      </c>
      <c r="F1445" s="17" t="s">
        <v>29</v>
      </c>
      <c r="G1445" s="17" t="s">
        <v>29</v>
      </c>
      <c r="H1445" s="17" t="s">
        <v>29</v>
      </c>
      <c r="I1445" s="17" t="s">
        <v>29</v>
      </c>
      <c r="J1445" s="17" t="s">
        <v>29</v>
      </c>
      <c r="K1445" s="17" t="s">
        <v>29</v>
      </c>
      <c r="L1445" s="17" t="s">
        <v>29</v>
      </c>
      <c r="M1445" s="17" t="s">
        <v>29</v>
      </c>
      <c r="N1445" s="17" t="s">
        <v>29</v>
      </c>
      <c r="O1445" s="17" t="s">
        <v>29</v>
      </c>
      <c r="P1445" s="17" t="s">
        <v>29</v>
      </c>
      <c r="Q1445" s="17" t="s">
        <v>29</v>
      </c>
      <c r="R1445" s="17" t="s">
        <v>29</v>
      </c>
      <c r="S1445" s="17" t="s">
        <v>29</v>
      </c>
      <c r="T1445" s="17" t="s">
        <v>29</v>
      </c>
      <c r="U1445" s="17" t="s">
        <v>29</v>
      </c>
      <c r="V1445" s="17" t="s">
        <v>29</v>
      </c>
      <c r="W1445" s="17" t="s">
        <v>29</v>
      </c>
      <c r="X1445" s="17" t="s">
        <v>29</v>
      </c>
      <c r="Y1445" s="17" t="s">
        <v>29</v>
      </c>
      <c r="Z1445" s="17" t="s">
        <v>29</v>
      </c>
      <c r="AA1445" s="17" t="s">
        <v>29</v>
      </c>
      <c r="AB1445" s="17" t="s">
        <v>29</v>
      </c>
    </row>
    <row r="1446" spans="1:28" x14ac:dyDescent="0.35">
      <c r="A1446" s="36"/>
      <c r="B1446" s="8"/>
      <c r="C1446" s="7" t="s">
        <v>753</v>
      </c>
      <c r="D1446" s="8"/>
      <c r="E1446" s="8"/>
      <c r="F1446" s="8"/>
      <c r="G1446" s="8"/>
      <c r="H1446" s="8"/>
      <c r="I1446" s="8"/>
      <c r="J1446" s="8"/>
      <c r="K1446" s="8"/>
      <c r="L1446" s="8"/>
      <c r="M1446" s="8"/>
      <c r="N1446" s="8"/>
      <c r="O1446" s="8"/>
      <c r="P1446" s="8"/>
      <c r="Q1446" s="8"/>
      <c r="R1446" s="17"/>
      <c r="S1446" s="17"/>
      <c r="T1446" s="17"/>
      <c r="U1446" s="17"/>
      <c r="V1446" s="17"/>
      <c r="W1446" s="17"/>
      <c r="X1446" s="17"/>
      <c r="Y1446" s="17"/>
      <c r="Z1446" s="17"/>
    </row>
    <row r="1447" spans="1:28" x14ac:dyDescent="0.35">
      <c r="A1447" s="36"/>
      <c r="B1447" s="8"/>
      <c r="C1447" s="7" t="s">
        <v>745</v>
      </c>
      <c r="D1447" s="15" t="s">
        <v>54</v>
      </c>
      <c r="E1447" s="9">
        <f>STATS1003B!E1525/1000</f>
        <v>190</v>
      </c>
      <c r="F1447" s="9">
        <f>STATS1003B!F1525/1000</f>
        <v>190</v>
      </c>
      <c r="G1447" s="9">
        <f>STATS1003B!G1525/1000</f>
        <v>0</v>
      </c>
      <c r="H1447" s="9">
        <f>STATS1003B!H1525/1000</f>
        <v>190</v>
      </c>
      <c r="I1447" s="9">
        <f>STATS1003B!I1525/1000</f>
        <v>0</v>
      </c>
      <c r="J1447" s="9">
        <f>STATS1003B!J1525/1000</f>
        <v>190</v>
      </c>
      <c r="K1447" s="9">
        <f>STATS1003B!K1525/1000</f>
        <v>0</v>
      </c>
      <c r="L1447" s="9">
        <f>STATS1003B!L1525/1000</f>
        <v>0</v>
      </c>
      <c r="M1447" s="9">
        <f>STATS1003B!M1525/1000</f>
        <v>190</v>
      </c>
      <c r="N1447" s="9">
        <f>STATS1003B!N1525/1000</f>
        <v>0</v>
      </c>
      <c r="O1447" s="9">
        <f>STATS1003B!O1525/1000</f>
        <v>0</v>
      </c>
      <c r="P1447" s="9">
        <f>STATS1003B!P1525/1000</f>
        <v>0</v>
      </c>
      <c r="Q1447" s="9">
        <f>STATS1003B!Q1525/1000</f>
        <v>190</v>
      </c>
      <c r="R1447" s="9">
        <f>STATS1003B!R1525/1000</f>
        <v>0</v>
      </c>
      <c r="S1447" s="9">
        <f>STATS1003B!S1525/1000</f>
        <v>0</v>
      </c>
      <c r="T1447" s="9">
        <f>STATS1003B!T1525/1000</f>
        <v>0</v>
      </c>
      <c r="U1447" s="9">
        <f>STATS1003B!U1525/1000</f>
        <v>0</v>
      </c>
      <c r="V1447" s="9">
        <f>STATS1003B!V1525/1000</f>
        <v>190</v>
      </c>
      <c r="W1447" s="9">
        <f>STATS1003B!W1525/1000</f>
        <v>0</v>
      </c>
      <c r="X1447" s="9">
        <f>STATS1003B!X1525/1000</f>
        <v>190</v>
      </c>
      <c r="Y1447" s="9">
        <f>STATS1003B!Y1525/1000</f>
        <v>0</v>
      </c>
      <c r="Z1447" s="9">
        <f>STATS1003B!Z1525/1000</f>
        <v>0</v>
      </c>
      <c r="AA1447" s="9">
        <f>STATS1003B!AA1525/1000</f>
        <v>190</v>
      </c>
      <c r="AB1447" s="9">
        <f>STATS1003B!AB1525/1000</f>
        <v>0</v>
      </c>
    </row>
    <row r="1448" spans="1:28" x14ac:dyDescent="0.35">
      <c r="A1448" s="36"/>
      <c r="B1448" s="8"/>
      <c r="C1448" s="8"/>
      <c r="D1448" s="8"/>
      <c r="E1448" s="17" t="s">
        <v>29</v>
      </c>
      <c r="F1448" s="17" t="s">
        <v>29</v>
      </c>
      <c r="G1448" s="17" t="s">
        <v>29</v>
      </c>
      <c r="H1448" s="17" t="s">
        <v>29</v>
      </c>
      <c r="I1448" s="17" t="s">
        <v>29</v>
      </c>
      <c r="J1448" s="17" t="s">
        <v>29</v>
      </c>
      <c r="K1448" s="17" t="s">
        <v>29</v>
      </c>
      <c r="L1448" s="17" t="s">
        <v>29</v>
      </c>
      <c r="M1448" s="17" t="s">
        <v>29</v>
      </c>
      <c r="N1448" s="17" t="s">
        <v>29</v>
      </c>
      <c r="O1448" s="17" t="s">
        <v>29</v>
      </c>
      <c r="P1448" s="17" t="s">
        <v>29</v>
      </c>
      <c r="Q1448" s="17" t="s">
        <v>29</v>
      </c>
      <c r="R1448" s="17" t="s">
        <v>29</v>
      </c>
      <c r="S1448" s="17" t="s">
        <v>29</v>
      </c>
      <c r="T1448" s="17" t="s">
        <v>29</v>
      </c>
      <c r="U1448" s="17" t="s">
        <v>29</v>
      </c>
      <c r="V1448" s="17" t="s">
        <v>29</v>
      </c>
      <c r="W1448" s="17" t="s">
        <v>29</v>
      </c>
      <c r="X1448" s="17" t="s">
        <v>29</v>
      </c>
      <c r="Y1448" s="17" t="s">
        <v>29</v>
      </c>
      <c r="Z1448" s="17" t="s">
        <v>29</v>
      </c>
      <c r="AA1448" s="17" t="s">
        <v>29</v>
      </c>
      <c r="AB1448" s="17" t="s">
        <v>29</v>
      </c>
    </row>
    <row r="1449" spans="1:28" x14ac:dyDescent="0.35">
      <c r="A1449" s="36"/>
      <c r="B1449" s="8"/>
      <c r="C1449" s="7" t="s">
        <v>754</v>
      </c>
      <c r="D1449" s="8"/>
      <c r="E1449" s="8"/>
      <c r="F1449" s="8"/>
      <c r="G1449" s="8"/>
      <c r="H1449" s="8"/>
      <c r="I1449" s="8"/>
      <c r="J1449" s="8"/>
      <c r="K1449" s="8"/>
      <c r="L1449" s="8"/>
      <c r="M1449" s="8"/>
      <c r="N1449" s="8"/>
      <c r="O1449" s="8"/>
      <c r="P1449" s="8"/>
      <c r="Q1449" s="8"/>
      <c r="R1449" s="17"/>
      <c r="S1449" s="17"/>
      <c r="T1449" s="17"/>
      <c r="U1449" s="17"/>
      <c r="V1449" s="17"/>
      <c r="W1449" s="17"/>
      <c r="X1449" s="17"/>
      <c r="Y1449" s="17"/>
      <c r="Z1449" s="17"/>
    </row>
    <row r="1450" spans="1:28" x14ac:dyDescent="0.35">
      <c r="A1450" s="36"/>
      <c r="B1450" s="8"/>
      <c r="C1450" s="7" t="s">
        <v>745</v>
      </c>
      <c r="D1450" s="15" t="s">
        <v>54</v>
      </c>
      <c r="E1450" s="9">
        <f>STATS1003B!E1528/1000</f>
        <v>95</v>
      </c>
      <c r="F1450" s="9">
        <f>STATS1003B!F1528/1000</f>
        <v>95</v>
      </c>
      <c r="G1450" s="9">
        <f>STATS1003B!G1528/1000</f>
        <v>0</v>
      </c>
      <c r="H1450" s="9">
        <f>STATS1003B!H1528/1000</f>
        <v>95</v>
      </c>
      <c r="I1450" s="9">
        <f>STATS1003B!I1528/1000</f>
        <v>0</v>
      </c>
      <c r="J1450" s="9">
        <f>STATS1003B!J1528/1000</f>
        <v>95</v>
      </c>
      <c r="K1450" s="9">
        <f>STATS1003B!K1528/1000</f>
        <v>0</v>
      </c>
      <c r="L1450" s="9">
        <f>STATS1003B!L1528/1000</f>
        <v>0</v>
      </c>
      <c r="M1450" s="9">
        <f>STATS1003B!M1528/1000</f>
        <v>95</v>
      </c>
      <c r="N1450" s="9">
        <f>STATS1003B!N1528/1000</f>
        <v>0</v>
      </c>
      <c r="O1450" s="9">
        <f>STATS1003B!O1528/1000</f>
        <v>0</v>
      </c>
      <c r="P1450" s="9">
        <f>STATS1003B!P1528/1000</f>
        <v>0</v>
      </c>
      <c r="Q1450" s="9">
        <f>STATS1003B!Q1528/1000</f>
        <v>95</v>
      </c>
      <c r="R1450" s="9">
        <f>STATS1003B!R1528/1000</f>
        <v>0</v>
      </c>
      <c r="S1450" s="9">
        <f>STATS1003B!S1528/1000</f>
        <v>0</v>
      </c>
      <c r="T1450" s="9">
        <f>STATS1003B!T1528/1000</f>
        <v>0</v>
      </c>
      <c r="U1450" s="9">
        <f>STATS1003B!U1528/1000</f>
        <v>0</v>
      </c>
      <c r="V1450" s="9">
        <f>STATS1003B!V1528/1000</f>
        <v>95</v>
      </c>
      <c r="W1450" s="9">
        <f>STATS1003B!W1528/1000</f>
        <v>0</v>
      </c>
      <c r="X1450" s="9">
        <f>STATS1003B!X1528/1000</f>
        <v>95</v>
      </c>
      <c r="Y1450" s="9">
        <f>STATS1003B!Y1528/1000</f>
        <v>0</v>
      </c>
      <c r="Z1450" s="9">
        <f>STATS1003B!Z1528/1000</f>
        <v>0</v>
      </c>
      <c r="AA1450" s="9">
        <f>STATS1003B!AA1528/1000</f>
        <v>95</v>
      </c>
      <c r="AB1450" s="9">
        <f>STATS1003B!AB1528/1000</f>
        <v>0</v>
      </c>
    </row>
    <row r="1451" spans="1:28" x14ac:dyDescent="0.35">
      <c r="A1451" s="36"/>
      <c r="B1451" s="8"/>
      <c r="C1451" s="8"/>
      <c r="D1451" s="8"/>
      <c r="E1451" s="17" t="s">
        <v>29</v>
      </c>
      <c r="F1451" s="17" t="s">
        <v>29</v>
      </c>
      <c r="G1451" s="17" t="s">
        <v>29</v>
      </c>
      <c r="H1451" s="17" t="s">
        <v>29</v>
      </c>
      <c r="I1451" s="17" t="s">
        <v>29</v>
      </c>
      <c r="J1451" s="17" t="s">
        <v>29</v>
      </c>
      <c r="K1451" s="17" t="s">
        <v>29</v>
      </c>
      <c r="L1451" s="17" t="s">
        <v>29</v>
      </c>
      <c r="M1451" s="17" t="s">
        <v>29</v>
      </c>
      <c r="N1451" s="17" t="s">
        <v>29</v>
      </c>
      <c r="O1451" s="17" t="s">
        <v>29</v>
      </c>
      <c r="P1451" s="17" t="s">
        <v>29</v>
      </c>
      <c r="Q1451" s="17" t="s">
        <v>29</v>
      </c>
      <c r="R1451" s="17" t="s">
        <v>29</v>
      </c>
      <c r="S1451" s="17" t="s">
        <v>29</v>
      </c>
      <c r="T1451" s="17" t="s">
        <v>29</v>
      </c>
      <c r="U1451" s="17" t="s">
        <v>29</v>
      </c>
      <c r="V1451" s="17" t="s">
        <v>29</v>
      </c>
      <c r="W1451" s="17" t="s">
        <v>29</v>
      </c>
      <c r="X1451" s="17" t="s">
        <v>29</v>
      </c>
      <c r="Y1451" s="17" t="s">
        <v>29</v>
      </c>
      <c r="Z1451" s="17" t="s">
        <v>29</v>
      </c>
      <c r="AA1451" s="17" t="s">
        <v>29</v>
      </c>
      <c r="AB1451" s="17" t="s">
        <v>29</v>
      </c>
    </row>
    <row r="1452" spans="1:28" x14ac:dyDescent="0.35">
      <c r="A1452" s="36"/>
      <c r="B1452" s="8"/>
      <c r="C1452" s="7" t="s">
        <v>755</v>
      </c>
      <c r="D1452" s="8"/>
      <c r="E1452" s="8"/>
      <c r="F1452" s="8"/>
      <c r="G1452" s="8"/>
      <c r="H1452" s="8"/>
      <c r="I1452" s="8"/>
      <c r="J1452" s="8"/>
      <c r="K1452" s="8"/>
      <c r="L1452" s="8"/>
      <c r="M1452" s="8"/>
      <c r="N1452" s="8"/>
      <c r="O1452" s="8"/>
      <c r="P1452" s="8"/>
      <c r="Q1452" s="8"/>
      <c r="R1452" s="17"/>
      <c r="S1452" s="17"/>
      <c r="T1452" s="17"/>
      <c r="U1452" s="17"/>
      <c r="V1452" s="17"/>
      <c r="W1452" s="17"/>
      <c r="X1452" s="17"/>
      <c r="Y1452" s="17"/>
      <c r="Z1452" s="17"/>
    </row>
    <row r="1453" spans="1:28" x14ac:dyDescent="0.35">
      <c r="A1453" s="36"/>
      <c r="B1453" s="8"/>
      <c r="C1453" s="7" t="s">
        <v>745</v>
      </c>
      <c r="D1453" s="15" t="s">
        <v>54</v>
      </c>
      <c r="E1453" s="9">
        <f>STATS1003B!E1531/1000</f>
        <v>190</v>
      </c>
      <c r="F1453" s="9">
        <f>STATS1003B!F1531/1000</f>
        <v>190</v>
      </c>
      <c r="G1453" s="9">
        <f>STATS1003B!G1531/1000</f>
        <v>0</v>
      </c>
      <c r="H1453" s="9">
        <f>STATS1003B!H1531/1000</f>
        <v>190</v>
      </c>
      <c r="I1453" s="9">
        <f>STATS1003B!I1531/1000</f>
        <v>0</v>
      </c>
      <c r="J1453" s="9">
        <f>STATS1003B!J1531/1000</f>
        <v>190</v>
      </c>
      <c r="K1453" s="9">
        <f>STATS1003B!K1531/1000</f>
        <v>0</v>
      </c>
      <c r="L1453" s="9">
        <f>STATS1003B!L1531/1000</f>
        <v>0</v>
      </c>
      <c r="M1453" s="9">
        <f>STATS1003B!M1531/1000</f>
        <v>190</v>
      </c>
      <c r="N1453" s="9">
        <f>STATS1003B!N1531/1000</f>
        <v>0</v>
      </c>
      <c r="O1453" s="9">
        <f>STATS1003B!O1531/1000</f>
        <v>0</v>
      </c>
      <c r="P1453" s="9">
        <f>STATS1003B!P1531/1000</f>
        <v>0</v>
      </c>
      <c r="Q1453" s="9">
        <f>STATS1003B!Q1531/1000</f>
        <v>190</v>
      </c>
      <c r="R1453" s="9">
        <f>STATS1003B!R1531/1000</f>
        <v>0</v>
      </c>
      <c r="S1453" s="9">
        <f>STATS1003B!S1531/1000</f>
        <v>0</v>
      </c>
      <c r="T1453" s="9">
        <f>STATS1003B!T1531/1000</f>
        <v>0</v>
      </c>
      <c r="U1453" s="9">
        <f>STATS1003B!U1531/1000</f>
        <v>0</v>
      </c>
      <c r="V1453" s="9">
        <f>STATS1003B!V1531/1000</f>
        <v>190</v>
      </c>
      <c r="W1453" s="9">
        <f>STATS1003B!W1531/1000</f>
        <v>0</v>
      </c>
      <c r="X1453" s="9">
        <f>STATS1003B!X1531/1000</f>
        <v>190</v>
      </c>
      <c r="Y1453" s="9">
        <f>STATS1003B!Y1531/1000</f>
        <v>0</v>
      </c>
      <c r="Z1453" s="9">
        <f>STATS1003B!Z1531/1000</f>
        <v>0</v>
      </c>
      <c r="AA1453" s="9">
        <f>STATS1003B!AA1531/1000</f>
        <v>190</v>
      </c>
      <c r="AB1453" s="9">
        <f>STATS1003B!AB1531/1000</f>
        <v>0</v>
      </c>
    </row>
    <row r="1454" spans="1:28" x14ac:dyDescent="0.35">
      <c r="A1454" s="36"/>
      <c r="B1454" s="8"/>
      <c r="C1454" s="8"/>
      <c r="D1454" s="8"/>
      <c r="E1454" s="17" t="s">
        <v>29</v>
      </c>
      <c r="F1454" s="17" t="s">
        <v>29</v>
      </c>
      <c r="G1454" s="17" t="s">
        <v>29</v>
      </c>
      <c r="H1454" s="17" t="s">
        <v>29</v>
      </c>
      <c r="I1454" s="17" t="s">
        <v>29</v>
      </c>
      <c r="J1454" s="17" t="s">
        <v>29</v>
      </c>
      <c r="K1454" s="17" t="s">
        <v>29</v>
      </c>
      <c r="L1454" s="17" t="s">
        <v>29</v>
      </c>
      <c r="M1454" s="17" t="s">
        <v>29</v>
      </c>
      <c r="N1454" s="17" t="s">
        <v>29</v>
      </c>
      <c r="O1454" s="17" t="s">
        <v>29</v>
      </c>
      <c r="P1454" s="17" t="s">
        <v>29</v>
      </c>
      <c r="Q1454" s="17" t="s">
        <v>29</v>
      </c>
      <c r="R1454" s="17" t="s">
        <v>29</v>
      </c>
      <c r="S1454" s="17" t="s">
        <v>29</v>
      </c>
      <c r="T1454" s="17" t="s">
        <v>29</v>
      </c>
      <c r="U1454" s="17" t="s">
        <v>29</v>
      </c>
      <c r="V1454" s="17" t="s">
        <v>29</v>
      </c>
      <c r="W1454" s="17" t="s">
        <v>29</v>
      </c>
      <c r="X1454" s="17" t="s">
        <v>29</v>
      </c>
      <c r="Y1454" s="17" t="s">
        <v>29</v>
      </c>
      <c r="Z1454" s="17" t="s">
        <v>29</v>
      </c>
      <c r="AA1454" s="17" t="s">
        <v>29</v>
      </c>
      <c r="AB1454" s="17" t="s">
        <v>29</v>
      </c>
    </row>
    <row r="1455" spans="1:28" x14ac:dyDescent="0.35">
      <c r="A1455" s="36"/>
      <c r="B1455" s="8"/>
      <c r="C1455" s="7" t="s">
        <v>756</v>
      </c>
      <c r="D1455" s="8"/>
      <c r="E1455" s="8"/>
      <c r="F1455" s="8"/>
      <c r="G1455" s="8"/>
      <c r="H1455" s="8"/>
      <c r="I1455" s="8"/>
      <c r="J1455" s="8"/>
      <c r="K1455" s="8"/>
      <c r="L1455" s="8"/>
      <c r="M1455" s="8"/>
      <c r="N1455" s="8"/>
      <c r="O1455" s="8"/>
      <c r="P1455" s="8"/>
      <c r="Q1455" s="8"/>
      <c r="R1455" s="17"/>
      <c r="S1455" s="17"/>
      <c r="T1455" s="17"/>
      <c r="U1455" s="17"/>
      <c r="V1455" s="17"/>
      <c r="W1455" s="17"/>
      <c r="X1455" s="17"/>
      <c r="Y1455" s="17"/>
      <c r="Z1455" s="17"/>
    </row>
    <row r="1456" spans="1:28" x14ac:dyDescent="0.35">
      <c r="A1456" s="36"/>
      <c r="B1456" s="8"/>
      <c r="C1456" s="7" t="s">
        <v>745</v>
      </c>
      <c r="D1456" s="15" t="s">
        <v>54</v>
      </c>
      <c r="E1456" s="9">
        <f>STATS1003B!E1534/1000</f>
        <v>95</v>
      </c>
      <c r="F1456" s="9">
        <f>STATS1003B!F1534/1000</f>
        <v>95</v>
      </c>
      <c r="G1456" s="9">
        <f>STATS1003B!G1534/1000</f>
        <v>0</v>
      </c>
      <c r="H1456" s="9">
        <f>STATS1003B!H1534/1000</f>
        <v>95</v>
      </c>
      <c r="I1456" s="9">
        <f>STATS1003B!I1534/1000</f>
        <v>0</v>
      </c>
      <c r="J1456" s="9">
        <f>STATS1003B!J1534/1000</f>
        <v>95</v>
      </c>
      <c r="K1456" s="9">
        <f>STATS1003B!K1534/1000</f>
        <v>0</v>
      </c>
      <c r="L1456" s="9">
        <f>STATS1003B!L1534/1000</f>
        <v>0</v>
      </c>
      <c r="M1456" s="9">
        <f>STATS1003B!M1534/1000</f>
        <v>95</v>
      </c>
      <c r="N1456" s="9">
        <f>STATS1003B!N1534/1000</f>
        <v>0</v>
      </c>
      <c r="O1456" s="9">
        <f>STATS1003B!O1534/1000</f>
        <v>0</v>
      </c>
      <c r="P1456" s="9">
        <f>STATS1003B!P1534/1000</f>
        <v>0</v>
      </c>
      <c r="Q1456" s="9">
        <f>STATS1003B!Q1534/1000</f>
        <v>95</v>
      </c>
      <c r="R1456" s="9">
        <f>STATS1003B!R1534/1000</f>
        <v>0</v>
      </c>
      <c r="S1456" s="9">
        <f>STATS1003B!S1534/1000</f>
        <v>0</v>
      </c>
      <c r="T1456" s="9">
        <f>STATS1003B!T1534/1000</f>
        <v>0</v>
      </c>
      <c r="U1456" s="9">
        <f>STATS1003B!U1534/1000</f>
        <v>0</v>
      </c>
      <c r="V1456" s="9">
        <f>STATS1003B!V1534/1000</f>
        <v>95</v>
      </c>
      <c r="W1456" s="9">
        <f>STATS1003B!W1534/1000</f>
        <v>0</v>
      </c>
      <c r="X1456" s="9">
        <f>STATS1003B!X1534/1000</f>
        <v>95</v>
      </c>
      <c r="Y1456" s="9">
        <f>STATS1003B!Y1534/1000</f>
        <v>0</v>
      </c>
      <c r="Z1456" s="9">
        <f>STATS1003B!Z1534/1000</f>
        <v>0</v>
      </c>
      <c r="AA1456" s="9">
        <f>STATS1003B!AA1534/1000</f>
        <v>95</v>
      </c>
      <c r="AB1456" s="9">
        <f>STATS1003B!AB1534/1000</f>
        <v>0</v>
      </c>
    </row>
    <row r="1457" spans="1:28" x14ac:dyDescent="0.35">
      <c r="A1457" s="36"/>
      <c r="B1457" s="8"/>
      <c r="C1457" s="8"/>
      <c r="D1457" s="8"/>
      <c r="E1457" s="17" t="s">
        <v>29</v>
      </c>
      <c r="F1457" s="17" t="s">
        <v>29</v>
      </c>
      <c r="G1457" s="17" t="s">
        <v>29</v>
      </c>
      <c r="H1457" s="17" t="s">
        <v>29</v>
      </c>
      <c r="I1457" s="17" t="s">
        <v>29</v>
      </c>
      <c r="J1457" s="17" t="s">
        <v>29</v>
      </c>
      <c r="K1457" s="17" t="s">
        <v>29</v>
      </c>
      <c r="L1457" s="17" t="s">
        <v>29</v>
      </c>
      <c r="M1457" s="17" t="s">
        <v>29</v>
      </c>
      <c r="N1457" s="17" t="s">
        <v>29</v>
      </c>
      <c r="O1457" s="17" t="s">
        <v>29</v>
      </c>
      <c r="P1457" s="17" t="s">
        <v>29</v>
      </c>
      <c r="Q1457" s="17" t="s">
        <v>29</v>
      </c>
      <c r="R1457" s="17" t="s">
        <v>29</v>
      </c>
      <c r="S1457" s="17" t="s">
        <v>29</v>
      </c>
      <c r="T1457" s="17" t="s">
        <v>29</v>
      </c>
      <c r="U1457" s="17" t="s">
        <v>29</v>
      </c>
      <c r="V1457" s="17" t="s">
        <v>29</v>
      </c>
      <c r="W1457" s="17" t="s">
        <v>29</v>
      </c>
      <c r="X1457" s="17" t="s">
        <v>29</v>
      </c>
      <c r="Y1457" s="17" t="s">
        <v>29</v>
      </c>
      <c r="Z1457" s="17" t="s">
        <v>29</v>
      </c>
      <c r="AA1457" s="17" t="s">
        <v>29</v>
      </c>
      <c r="AB1457" s="17" t="s">
        <v>29</v>
      </c>
    </row>
    <row r="1458" spans="1:28" x14ac:dyDescent="0.35">
      <c r="A1458" s="36"/>
      <c r="B1458" s="8"/>
      <c r="C1458" s="7" t="s">
        <v>757</v>
      </c>
      <c r="D1458" s="8"/>
      <c r="E1458" s="8"/>
      <c r="F1458" s="8"/>
      <c r="G1458" s="8"/>
      <c r="H1458" s="8"/>
      <c r="I1458" s="8"/>
      <c r="J1458" s="8"/>
      <c r="K1458" s="8"/>
      <c r="L1458" s="8"/>
      <c r="M1458" s="8"/>
      <c r="N1458" s="8"/>
      <c r="O1458" s="8"/>
      <c r="P1458" s="8"/>
      <c r="Q1458" s="8"/>
      <c r="R1458" s="17"/>
      <c r="S1458" s="17"/>
      <c r="T1458" s="17"/>
      <c r="U1458" s="17"/>
      <c r="V1458" s="17"/>
      <c r="W1458" s="17"/>
      <c r="X1458" s="17"/>
      <c r="Y1458" s="17"/>
      <c r="Z1458" s="17"/>
    </row>
    <row r="1459" spans="1:28" x14ac:dyDescent="0.35">
      <c r="A1459" s="36"/>
      <c r="B1459" s="8"/>
      <c r="C1459" s="7" t="s">
        <v>745</v>
      </c>
      <c r="D1459" s="15" t="s">
        <v>54</v>
      </c>
      <c r="E1459" s="9">
        <f>STATS1003B!E1537/1000</f>
        <v>475</v>
      </c>
      <c r="F1459" s="9">
        <f>STATS1003B!F1537/1000</f>
        <v>475</v>
      </c>
      <c r="G1459" s="9">
        <f>STATS1003B!G1537/1000</f>
        <v>0</v>
      </c>
      <c r="H1459" s="9">
        <f>STATS1003B!H1537/1000</f>
        <v>475</v>
      </c>
      <c r="I1459" s="9">
        <f>STATS1003B!I1537/1000</f>
        <v>0</v>
      </c>
      <c r="J1459" s="9">
        <f>STATS1003B!J1537/1000</f>
        <v>475</v>
      </c>
      <c r="K1459" s="9">
        <f>STATS1003B!K1537/1000</f>
        <v>0</v>
      </c>
      <c r="L1459" s="9">
        <f>STATS1003B!L1537/1000</f>
        <v>0</v>
      </c>
      <c r="M1459" s="9">
        <f>STATS1003B!M1537/1000</f>
        <v>475</v>
      </c>
      <c r="N1459" s="9">
        <f>STATS1003B!N1537/1000</f>
        <v>0</v>
      </c>
      <c r="O1459" s="9">
        <f>STATS1003B!O1537/1000</f>
        <v>0</v>
      </c>
      <c r="P1459" s="9">
        <f>STATS1003B!P1537/1000</f>
        <v>0</v>
      </c>
      <c r="Q1459" s="9">
        <f>STATS1003B!Q1537/1000</f>
        <v>475</v>
      </c>
      <c r="R1459" s="9">
        <f>STATS1003B!R1537/1000</f>
        <v>0</v>
      </c>
      <c r="S1459" s="9">
        <f>STATS1003B!S1537/1000</f>
        <v>0</v>
      </c>
      <c r="T1459" s="9">
        <f>STATS1003B!T1537/1000</f>
        <v>0</v>
      </c>
      <c r="U1459" s="9">
        <f>STATS1003B!U1537/1000</f>
        <v>0</v>
      </c>
      <c r="V1459" s="9">
        <f>STATS1003B!V1537/1000</f>
        <v>475</v>
      </c>
      <c r="W1459" s="9">
        <f>STATS1003B!W1537/1000</f>
        <v>0</v>
      </c>
      <c r="X1459" s="9">
        <f>STATS1003B!X1537/1000</f>
        <v>475</v>
      </c>
      <c r="Y1459" s="9">
        <f>STATS1003B!Y1537/1000</f>
        <v>0</v>
      </c>
      <c r="Z1459" s="9">
        <f>STATS1003B!Z1537/1000</f>
        <v>0</v>
      </c>
      <c r="AA1459" s="9">
        <f>STATS1003B!AA1537/1000</f>
        <v>475</v>
      </c>
      <c r="AB1459" s="9">
        <f>STATS1003B!AB1537/1000</f>
        <v>0</v>
      </c>
    </row>
    <row r="1460" spans="1:28" x14ac:dyDescent="0.35">
      <c r="A1460" s="36"/>
      <c r="B1460" s="8"/>
      <c r="C1460" s="8"/>
      <c r="D1460" s="8"/>
      <c r="E1460" s="17" t="s">
        <v>29</v>
      </c>
      <c r="F1460" s="17" t="s">
        <v>29</v>
      </c>
      <c r="G1460" s="17" t="s">
        <v>29</v>
      </c>
      <c r="H1460" s="17" t="s">
        <v>29</v>
      </c>
      <c r="I1460" s="17" t="s">
        <v>29</v>
      </c>
      <c r="J1460" s="17" t="s">
        <v>29</v>
      </c>
      <c r="K1460" s="17" t="s">
        <v>29</v>
      </c>
      <c r="L1460" s="17" t="s">
        <v>29</v>
      </c>
      <c r="M1460" s="17" t="s">
        <v>29</v>
      </c>
      <c r="N1460" s="17" t="s">
        <v>29</v>
      </c>
      <c r="O1460" s="17" t="s">
        <v>29</v>
      </c>
      <c r="P1460" s="17" t="s">
        <v>29</v>
      </c>
      <c r="Q1460" s="17" t="s">
        <v>29</v>
      </c>
      <c r="R1460" s="17" t="s">
        <v>29</v>
      </c>
      <c r="S1460" s="17" t="s">
        <v>29</v>
      </c>
      <c r="T1460" s="17" t="s">
        <v>29</v>
      </c>
      <c r="U1460" s="17" t="s">
        <v>29</v>
      </c>
      <c r="V1460" s="17" t="s">
        <v>29</v>
      </c>
      <c r="W1460" s="17" t="s">
        <v>29</v>
      </c>
      <c r="X1460" s="17" t="s">
        <v>29</v>
      </c>
      <c r="Y1460" s="17" t="s">
        <v>29</v>
      </c>
      <c r="Z1460" s="17" t="s">
        <v>29</v>
      </c>
      <c r="AA1460" s="17" t="s">
        <v>29</v>
      </c>
      <c r="AB1460" s="17" t="s">
        <v>29</v>
      </c>
    </row>
    <row r="1461" spans="1:28" x14ac:dyDescent="0.35">
      <c r="A1461" s="36"/>
      <c r="B1461" s="8"/>
      <c r="C1461" s="7" t="s">
        <v>758</v>
      </c>
      <c r="D1461" s="8"/>
      <c r="E1461" s="8"/>
      <c r="F1461" s="8"/>
      <c r="G1461" s="8"/>
      <c r="H1461" s="8"/>
      <c r="I1461" s="8"/>
      <c r="J1461" s="8"/>
      <c r="K1461" s="8"/>
      <c r="L1461" s="8"/>
      <c r="M1461" s="8"/>
      <c r="N1461" s="8"/>
      <c r="O1461" s="8"/>
      <c r="P1461" s="8"/>
      <c r="Q1461" s="8"/>
      <c r="R1461" s="17"/>
      <c r="S1461" s="17"/>
      <c r="T1461" s="17"/>
      <c r="U1461" s="17"/>
      <c r="V1461" s="17"/>
      <c r="W1461" s="17"/>
      <c r="X1461" s="17"/>
      <c r="Y1461" s="17"/>
      <c r="Z1461" s="17"/>
    </row>
    <row r="1462" spans="1:28" x14ac:dyDescent="0.35">
      <c r="A1462" s="36"/>
      <c r="B1462" s="8"/>
      <c r="C1462" s="7" t="s">
        <v>745</v>
      </c>
      <c r="D1462" s="15" t="s">
        <v>54</v>
      </c>
      <c r="E1462" s="9">
        <f>STATS1003B!E1540/1000</f>
        <v>285</v>
      </c>
      <c r="F1462" s="9">
        <f>STATS1003B!F1540/1000</f>
        <v>285</v>
      </c>
      <c r="G1462" s="9">
        <f>STATS1003B!G1540/1000</f>
        <v>0</v>
      </c>
      <c r="H1462" s="9">
        <f>STATS1003B!H1540/1000</f>
        <v>285</v>
      </c>
      <c r="I1462" s="9">
        <f>STATS1003B!I1540/1000</f>
        <v>0</v>
      </c>
      <c r="J1462" s="9">
        <f>STATS1003B!J1540/1000</f>
        <v>285</v>
      </c>
      <c r="K1462" s="9">
        <f>STATS1003B!K1540/1000</f>
        <v>0</v>
      </c>
      <c r="L1462" s="9">
        <f>STATS1003B!L1540/1000</f>
        <v>0</v>
      </c>
      <c r="M1462" s="9">
        <f>STATS1003B!M1540/1000</f>
        <v>285</v>
      </c>
      <c r="N1462" s="9">
        <f>STATS1003B!N1540/1000</f>
        <v>0</v>
      </c>
      <c r="O1462" s="9">
        <f>STATS1003B!O1540/1000</f>
        <v>0</v>
      </c>
      <c r="P1462" s="9">
        <f>STATS1003B!P1540/1000</f>
        <v>0</v>
      </c>
      <c r="Q1462" s="9">
        <f>STATS1003B!Q1540/1000</f>
        <v>285</v>
      </c>
      <c r="R1462" s="9">
        <f>STATS1003B!R1540/1000</f>
        <v>0</v>
      </c>
      <c r="S1462" s="9">
        <f>STATS1003B!S1540/1000</f>
        <v>0</v>
      </c>
      <c r="T1462" s="9">
        <f>STATS1003B!T1540/1000</f>
        <v>0</v>
      </c>
      <c r="U1462" s="9">
        <f>STATS1003B!U1540/1000</f>
        <v>0</v>
      </c>
      <c r="V1462" s="9">
        <f>STATS1003B!V1540/1000</f>
        <v>285</v>
      </c>
      <c r="W1462" s="9">
        <f>STATS1003B!W1540/1000</f>
        <v>0</v>
      </c>
      <c r="X1462" s="9">
        <f>STATS1003B!X1540/1000</f>
        <v>285</v>
      </c>
      <c r="Y1462" s="9">
        <f>STATS1003B!Y1540/1000</f>
        <v>0</v>
      </c>
      <c r="Z1462" s="9">
        <f>STATS1003B!Z1540/1000</f>
        <v>0</v>
      </c>
      <c r="AA1462" s="9">
        <f>STATS1003B!AA1540/1000</f>
        <v>285</v>
      </c>
      <c r="AB1462" s="9">
        <f>STATS1003B!AB1540/1000</f>
        <v>0</v>
      </c>
    </row>
    <row r="1463" spans="1:28" x14ac:dyDescent="0.35">
      <c r="A1463" s="36"/>
      <c r="B1463" s="8"/>
      <c r="C1463" s="8"/>
      <c r="D1463" s="8"/>
      <c r="E1463" s="17" t="s">
        <v>29</v>
      </c>
      <c r="F1463" s="17" t="s">
        <v>29</v>
      </c>
      <c r="G1463" s="17" t="s">
        <v>29</v>
      </c>
      <c r="H1463" s="17" t="s">
        <v>29</v>
      </c>
      <c r="I1463" s="17" t="s">
        <v>29</v>
      </c>
      <c r="J1463" s="17" t="s">
        <v>29</v>
      </c>
      <c r="K1463" s="17" t="s">
        <v>29</v>
      </c>
      <c r="L1463" s="17" t="s">
        <v>29</v>
      </c>
      <c r="M1463" s="17" t="s">
        <v>29</v>
      </c>
      <c r="N1463" s="17" t="s">
        <v>29</v>
      </c>
      <c r="O1463" s="17" t="s">
        <v>29</v>
      </c>
      <c r="P1463" s="17" t="s">
        <v>29</v>
      </c>
      <c r="Q1463" s="17" t="s">
        <v>29</v>
      </c>
      <c r="R1463" s="17" t="s">
        <v>29</v>
      </c>
      <c r="S1463" s="17" t="s">
        <v>29</v>
      </c>
      <c r="T1463" s="17" t="s">
        <v>29</v>
      </c>
      <c r="U1463" s="17" t="s">
        <v>29</v>
      </c>
      <c r="V1463" s="17" t="s">
        <v>29</v>
      </c>
      <c r="W1463" s="17" t="s">
        <v>29</v>
      </c>
      <c r="X1463" s="17" t="s">
        <v>29</v>
      </c>
      <c r="Y1463" s="17" t="s">
        <v>29</v>
      </c>
      <c r="Z1463" s="17" t="s">
        <v>29</v>
      </c>
      <c r="AA1463" s="17" t="s">
        <v>29</v>
      </c>
      <c r="AB1463" s="17" t="s">
        <v>29</v>
      </c>
    </row>
    <row r="1464" spans="1:28" x14ac:dyDescent="0.35">
      <c r="A1464" s="36"/>
      <c r="B1464" s="8"/>
      <c r="C1464" s="8"/>
      <c r="D1464" s="8"/>
      <c r="E1464" s="9">
        <f t="shared" ref="E1464:AB1464" si="105">SUM(E1423:E1462)</f>
        <v>3225.25</v>
      </c>
      <c r="F1464" s="9">
        <f t="shared" si="105"/>
        <v>3225.25</v>
      </c>
      <c r="G1464" s="9"/>
      <c r="H1464" s="9">
        <f t="shared" si="105"/>
        <v>3225.25</v>
      </c>
      <c r="I1464" s="9">
        <f t="shared" si="105"/>
        <v>0</v>
      </c>
      <c r="J1464" s="9">
        <f t="shared" si="105"/>
        <v>3225.25</v>
      </c>
      <c r="K1464" s="9">
        <f t="shared" si="105"/>
        <v>0</v>
      </c>
      <c r="L1464" s="9">
        <f t="shared" si="105"/>
        <v>0</v>
      </c>
      <c r="M1464" s="9">
        <f t="shared" si="105"/>
        <v>3225.25</v>
      </c>
      <c r="N1464" s="9">
        <f t="shared" si="105"/>
        <v>0</v>
      </c>
      <c r="O1464" s="9">
        <f t="shared" si="105"/>
        <v>0</v>
      </c>
      <c r="P1464" s="9">
        <f t="shared" si="105"/>
        <v>0</v>
      </c>
      <c r="Q1464" s="9">
        <f t="shared" si="105"/>
        <v>3225.25</v>
      </c>
      <c r="R1464" s="9">
        <f t="shared" si="105"/>
        <v>0</v>
      </c>
      <c r="S1464" s="9">
        <f t="shared" si="105"/>
        <v>0</v>
      </c>
      <c r="T1464" s="9">
        <f t="shared" si="105"/>
        <v>0</v>
      </c>
      <c r="U1464" s="9">
        <f t="shared" si="105"/>
        <v>0</v>
      </c>
      <c r="V1464" s="9">
        <f t="shared" si="105"/>
        <v>3225.25</v>
      </c>
      <c r="W1464" s="9">
        <f t="shared" si="105"/>
        <v>0</v>
      </c>
      <c r="X1464" s="9">
        <f t="shared" si="105"/>
        <v>3225.25</v>
      </c>
      <c r="Y1464" s="9">
        <f t="shared" si="105"/>
        <v>0</v>
      </c>
      <c r="Z1464" s="9">
        <f t="shared" si="105"/>
        <v>0</v>
      </c>
      <c r="AA1464" s="9">
        <f t="shared" si="105"/>
        <v>3225.25</v>
      </c>
      <c r="AB1464" s="9">
        <f t="shared" si="105"/>
        <v>0</v>
      </c>
    </row>
    <row r="1465" spans="1:28" x14ac:dyDescent="0.35">
      <c r="A1465" s="36"/>
      <c r="B1465" s="8"/>
      <c r="C1465" s="8"/>
      <c r="D1465" s="8"/>
      <c r="E1465" s="17" t="s">
        <v>29</v>
      </c>
      <c r="F1465" s="17" t="s">
        <v>29</v>
      </c>
      <c r="G1465" s="17" t="s">
        <v>29</v>
      </c>
      <c r="H1465" s="17" t="s">
        <v>29</v>
      </c>
      <c r="I1465" s="17" t="s">
        <v>29</v>
      </c>
      <c r="J1465" s="17" t="s">
        <v>29</v>
      </c>
      <c r="K1465" s="17" t="s">
        <v>29</v>
      </c>
      <c r="L1465" s="17" t="s">
        <v>29</v>
      </c>
      <c r="M1465" s="17" t="s">
        <v>29</v>
      </c>
      <c r="N1465" s="17" t="s">
        <v>29</v>
      </c>
      <c r="O1465" s="17" t="s">
        <v>29</v>
      </c>
      <c r="P1465" s="17" t="s">
        <v>29</v>
      </c>
      <c r="Q1465" s="17" t="s">
        <v>29</v>
      </c>
      <c r="R1465" s="17" t="s">
        <v>29</v>
      </c>
      <c r="S1465" s="17" t="s">
        <v>29</v>
      </c>
      <c r="T1465" s="17" t="s">
        <v>29</v>
      </c>
      <c r="U1465" s="17" t="s">
        <v>29</v>
      </c>
      <c r="V1465" s="17" t="s">
        <v>29</v>
      </c>
      <c r="W1465" s="17" t="s">
        <v>29</v>
      </c>
      <c r="X1465" s="17" t="s">
        <v>29</v>
      </c>
      <c r="Y1465" s="17" t="s">
        <v>29</v>
      </c>
      <c r="Z1465" s="17" t="s">
        <v>29</v>
      </c>
      <c r="AA1465" s="17" t="s">
        <v>29</v>
      </c>
      <c r="AB1465" s="17" t="s">
        <v>29</v>
      </c>
    </row>
    <row r="1466" spans="1:28" x14ac:dyDescent="0.35">
      <c r="A1466" s="36"/>
      <c r="B1466" s="7" t="s">
        <v>759</v>
      </c>
      <c r="C1466" s="8"/>
      <c r="D1466" s="8"/>
      <c r="E1466" s="9" t="e">
        <f t="shared" ref="E1466:AB1466" si="106">E1160+E1185+E1218+E1246+E1274+E1306+E1332+E1362+E1395+E1420+E1464</f>
        <v>#REF!</v>
      </c>
      <c r="F1466" s="9" t="e">
        <f t="shared" si="106"/>
        <v>#REF!</v>
      </c>
      <c r="G1466" s="9" t="e">
        <f t="shared" si="106"/>
        <v>#REF!</v>
      </c>
      <c r="H1466" s="9" t="e">
        <f t="shared" si="106"/>
        <v>#REF!</v>
      </c>
      <c r="I1466" s="9" t="e">
        <f t="shared" si="106"/>
        <v>#REF!</v>
      </c>
      <c r="J1466" s="9" t="e">
        <f t="shared" si="106"/>
        <v>#REF!</v>
      </c>
      <c r="K1466" s="9" t="e">
        <f t="shared" si="106"/>
        <v>#REF!</v>
      </c>
      <c r="L1466" s="9" t="e">
        <f t="shared" si="106"/>
        <v>#REF!</v>
      </c>
      <c r="M1466" s="9" t="e">
        <f t="shared" si="106"/>
        <v>#REF!</v>
      </c>
      <c r="N1466" s="9" t="e">
        <f t="shared" si="106"/>
        <v>#REF!</v>
      </c>
      <c r="O1466" s="9" t="e">
        <f t="shared" si="106"/>
        <v>#REF!</v>
      </c>
      <c r="P1466" s="9" t="e">
        <f t="shared" si="106"/>
        <v>#REF!</v>
      </c>
      <c r="Q1466" s="9" t="e">
        <f t="shared" si="106"/>
        <v>#REF!</v>
      </c>
      <c r="R1466" s="9">
        <f t="shared" si="106"/>
        <v>0</v>
      </c>
      <c r="S1466" s="9">
        <f t="shared" si="106"/>
        <v>0</v>
      </c>
      <c r="T1466" s="9" t="e">
        <f t="shared" si="106"/>
        <v>#REF!</v>
      </c>
      <c r="U1466" s="9" t="e">
        <f t="shared" si="106"/>
        <v>#REF!</v>
      </c>
      <c r="V1466" s="9" t="e">
        <f t="shared" si="106"/>
        <v>#REF!</v>
      </c>
      <c r="W1466" s="9" t="e">
        <f t="shared" si="106"/>
        <v>#REF!</v>
      </c>
      <c r="X1466" s="9" t="e">
        <f t="shared" si="106"/>
        <v>#REF!</v>
      </c>
      <c r="Y1466" s="9" t="e">
        <f t="shared" si="106"/>
        <v>#REF!</v>
      </c>
      <c r="Z1466" s="9" t="e">
        <f t="shared" si="106"/>
        <v>#REF!</v>
      </c>
      <c r="AA1466" s="9" t="e">
        <f t="shared" si="106"/>
        <v>#REF!</v>
      </c>
      <c r="AB1466" s="9" t="e">
        <f t="shared" si="106"/>
        <v>#REF!</v>
      </c>
    </row>
    <row r="1467" spans="1:28" x14ac:dyDescent="0.35">
      <c r="A1467" s="36"/>
      <c r="B1467" s="8"/>
      <c r="C1467" s="8"/>
      <c r="D1467" s="8"/>
      <c r="E1467" s="17" t="s">
        <v>114</v>
      </c>
      <c r="F1467" s="17" t="s">
        <v>114</v>
      </c>
      <c r="G1467" s="17" t="s">
        <v>114</v>
      </c>
      <c r="H1467" s="17" t="s">
        <v>114</v>
      </c>
      <c r="I1467" s="17" t="s">
        <v>114</v>
      </c>
      <c r="J1467" s="17" t="s">
        <v>114</v>
      </c>
      <c r="K1467" s="17" t="s">
        <v>114</v>
      </c>
      <c r="L1467" s="17" t="s">
        <v>114</v>
      </c>
      <c r="M1467" s="17" t="s">
        <v>114</v>
      </c>
      <c r="N1467" s="17" t="s">
        <v>114</v>
      </c>
      <c r="O1467" s="17" t="s">
        <v>114</v>
      </c>
      <c r="P1467" s="17" t="s">
        <v>114</v>
      </c>
      <c r="Q1467" s="17" t="s">
        <v>114</v>
      </c>
      <c r="R1467" s="17" t="s">
        <v>114</v>
      </c>
      <c r="S1467" s="17" t="s">
        <v>114</v>
      </c>
      <c r="T1467" s="17" t="s">
        <v>114</v>
      </c>
      <c r="U1467" s="17" t="s">
        <v>114</v>
      </c>
      <c r="V1467" s="17" t="s">
        <v>114</v>
      </c>
      <c r="W1467" s="17" t="s">
        <v>114</v>
      </c>
      <c r="X1467" s="17" t="s">
        <v>114</v>
      </c>
      <c r="Y1467" s="17" t="s">
        <v>114</v>
      </c>
      <c r="Z1467" s="17" t="s">
        <v>114</v>
      </c>
      <c r="AA1467" s="17" t="s">
        <v>114</v>
      </c>
      <c r="AB1467" s="17" t="s">
        <v>114</v>
      </c>
    </row>
    <row r="1468" spans="1:28" x14ac:dyDescent="0.35">
      <c r="A1468" s="36"/>
      <c r="B1468" s="8"/>
      <c r="C1468" s="8"/>
      <c r="D1468" s="8"/>
      <c r="E1468" s="18"/>
      <c r="F1468" s="17"/>
      <c r="G1468" s="17"/>
      <c r="H1468" s="17"/>
      <c r="I1468" s="17"/>
      <c r="J1468" s="17"/>
      <c r="K1468" s="17"/>
      <c r="L1468" s="17"/>
      <c r="M1468" s="17"/>
      <c r="N1468" s="17"/>
      <c r="O1468" s="17"/>
      <c r="P1468" s="17"/>
      <c r="Q1468" s="17"/>
      <c r="R1468" s="17"/>
      <c r="S1468" s="17"/>
      <c r="T1468" s="17"/>
      <c r="U1468" s="17"/>
      <c r="V1468" s="17"/>
      <c r="W1468" s="17"/>
      <c r="X1468" s="17"/>
      <c r="Y1468" s="17"/>
      <c r="Z1468" s="17"/>
    </row>
    <row r="1469" spans="1:28" x14ac:dyDescent="0.35">
      <c r="A1469" s="36"/>
      <c r="B1469" s="8"/>
      <c r="C1469" s="8"/>
      <c r="D1469" s="8"/>
      <c r="E1469" s="17"/>
      <c r="F1469" s="17"/>
      <c r="G1469" s="17"/>
      <c r="H1469" s="17"/>
      <c r="I1469" s="17"/>
      <c r="J1469" s="17"/>
      <c r="K1469" s="17"/>
      <c r="L1469" s="17"/>
      <c r="M1469" s="17"/>
      <c r="N1469" s="17"/>
      <c r="O1469" s="17"/>
      <c r="P1469" s="17"/>
      <c r="Q1469" s="17"/>
      <c r="R1469" s="17"/>
      <c r="S1469" s="17"/>
      <c r="T1469" s="17"/>
      <c r="U1469" s="17"/>
      <c r="V1469" s="17"/>
      <c r="W1469" s="17"/>
      <c r="X1469" s="17"/>
      <c r="Y1469" s="17"/>
      <c r="Z1469" s="17"/>
    </row>
    <row r="1470" spans="1:28" x14ac:dyDescent="0.35">
      <c r="A1470" s="36"/>
      <c r="B1470" s="7" t="s">
        <v>293</v>
      </c>
      <c r="C1470" s="8"/>
      <c r="D1470" s="8"/>
      <c r="E1470" s="8"/>
      <c r="F1470" s="8"/>
      <c r="G1470" s="8"/>
      <c r="H1470" s="8"/>
      <c r="I1470" s="8"/>
      <c r="J1470" s="8"/>
      <c r="K1470" s="8"/>
      <c r="L1470" s="8"/>
      <c r="M1470" s="8"/>
      <c r="N1470" s="8"/>
      <c r="O1470" s="8"/>
      <c r="P1470" s="8"/>
      <c r="Q1470" s="8"/>
      <c r="R1470" s="8"/>
      <c r="S1470" s="8"/>
      <c r="T1470" s="8"/>
      <c r="U1470" s="8"/>
      <c r="V1470" s="8"/>
      <c r="W1470" s="8"/>
      <c r="X1470" s="8"/>
      <c r="Y1470" s="8"/>
      <c r="Z1470" s="8"/>
    </row>
    <row r="1471" spans="1:28" x14ac:dyDescent="0.35">
      <c r="A1471" s="36"/>
      <c r="B1471" s="8"/>
      <c r="C1471" s="7"/>
      <c r="D1471" s="8"/>
      <c r="E1471" s="8"/>
      <c r="F1471" s="8"/>
      <c r="G1471" s="8"/>
      <c r="H1471" s="8"/>
      <c r="I1471" s="8"/>
      <c r="J1471" s="8"/>
      <c r="K1471" s="8"/>
      <c r="L1471" s="8"/>
      <c r="M1471" s="8"/>
      <c r="N1471" s="8"/>
      <c r="O1471" s="8"/>
      <c r="P1471" s="8"/>
      <c r="Q1471" s="8"/>
      <c r="R1471" s="8"/>
      <c r="S1471" s="8"/>
      <c r="T1471" s="8"/>
      <c r="U1471" s="8"/>
      <c r="V1471" s="8"/>
      <c r="W1471" s="8"/>
      <c r="X1471" s="8"/>
      <c r="Y1471" s="8"/>
      <c r="Z1471" s="8"/>
    </row>
    <row r="1472" spans="1:28" x14ac:dyDescent="0.35">
      <c r="A1472" s="38" t="s">
        <v>1002</v>
      </c>
      <c r="B1472" s="7" t="s">
        <v>294</v>
      </c>
      <c r="C1472" s="8"/>
      <c r="D1472" s="8"/>
      <c r="E1472" s="8"/>
      <c r="F1472" s="8"/>
      <c r="G1472" s="8"/>
      <c r="H1472" s="8"/>
      <c r="I1472" s="8"/>
      <c r="J1472" s="8"/>
      <c r="K1472" s="8"/>
      <c r="L1472" s="8"/>
      <c r="M1472" s="8"/>
      <c r="N1472" s="8"/>
      <c r="O1472" s="8"/>
      <c r="P1472" s="8"/>
      <c r="Q1472" s="8"/>
      <c r="R1472" s="8"/>
      <c r="S1472" s="8"/>
      <c r="T1472" s="8"/>
      <c r="U1472" s="8"/>
      <c r="V1472" s="8"/>
      <c r="W1472" s="8"/>
      <c r="X1472" s="8"/>
      <c r="Y1472" s="8"/>
      <c r="Z1472" s="8"/>
    </row>
    <row r="1473" spans="1:28" x14ac:dyDescent="0.35">
      <c r="A1473" s="36"/>
      <c r="B1473" s="8"/>
      <c r="C1473" s="7" t="s">
        <v>295</v>
      </c>
      <c r="D1473" s="15" t="s">
        <v>296</v>
      </c>
      <c r="E1473" s="9">
        <f>STATS1003B!E1551/1000</f>
        <v>190</v>
      </c>
      <c r="F1473" s="9">
        <f>STATS1003B!F1551/1000</f>
        <v>190</v>
      </c>
      <c r="G1473" s="9">
        <f>STATS1003B!G1551/1000</f>
        <v>0</v>
      </c>
      <c r="H1473" s="9">
        <f>STATS1003B!H1551/1000</f>
        <v>190</v>
      </c>
      <c r="I1473" s="9">
        <f>STATS1003B!I1551/1000</f>
        <v>0</v>
      </c>
      <c r="J1473" s="9">
        <f>STATS1003B!J1551/1000</f>
        <v>0</v>
      </c>
      <c r="K1473" s="9">
        <f>STATS1003B!K1551/1000</f>
        <v>0</v>
      </c>
      <c r="L1473" s="9">
        <f>STATS1003B!L1551/1000</f>
        <v>0</v>
      </c>
      <c r="M1473" s="9">
        <f>STATS1003B!M1551/1000</f>
        <v>190</v>
      </c>
      <c r="N1473" s="9">
        <f>STATS1003B!N1551/1000</f>
        <v>0</v>
      </c>
      <c r="O1473" s="9">
        <f>STATS1003B!O1551/1000</f>
        <v>0</v>
      </c>
      <c r="P1473" s="9">
        <f>STATS1003B!P1551/1000</f>
        <v>0</v>
      </c>
      <c r="Q1473" s="9">
        <f>STATS1003B!Q1551/1000</f>
        <v>0</v>
      </c>
      <c r="R1473" s="9">
        <f>STATS1003B!R1551/1000</f>
        <v>0</v>
      </c>
      <c r="S1473" s="9">
        <f>STATS1003B!S1551/1000</f>
        <v>0</v>
      </c>
      <c r="T1473" s="9">
        <f>STATS1003B!T1551/1000</f>
        <v>0</v>
      </c>
      <c r="U1473" s="9">
        <f>STATS1003B!U1551/1000</f>
        <v>0</v>
      </c>
      <c r="V1473" s="9">
        <f>STATS1003B!V1551/1000</f>
        <v>190</v>
      </c>
      <c r="W1473" s="9">
        <f>STATS1003B!W1551/1000</f>
        <v>0</v>
      </c>
      <c r="X1473" s="9">
        <f>STATS1003B!X1551/1000</f>
        <v>190</v>
      </c>
      <c r="Y1473" s="9">
        <f>STATS1003B!Y1551/1000</f>
        <v>0</v>
      </c>
      <c r="Z1473" s="9">
        <f>STATS1003B!Z1551/1000</f>
        <v>0</v>
      </c>
      <c r="AA1473" s="9">
        <f>STATS1003B!AA1551/1000</f>
        <v>190</v>
      </c>
      <c r="AB1473" s="9">
        <f>STATS1003B!AB1551/1000</f>
        <v>0</v>
      </c>
    </row>
    <row r="1474" spans="1:28" x14ac:dyDescent="0.35">
      <c r="A1474" s="36"/>
      <c r="B1474" s="8"/>
      <c r="C1474" s="7" t="s">
        <v>297</v>
      </c>
      <c r="D1474" s="21" t="s">
        <v>78</v>
      </c>
      <c r="E1474" s="9">
        <f>STATS1003B!E1552/1000</f>
        <v>894.32985999999994</v>
      </c>
      <c r="F1474" s="9">
        <f>STATS1003B!F1552/1000</f>
        <v>445.822</v>
      </c>
      <c r="G1474" s="9">
        <f>STATS1003B!G1552/1000</f>
        <v>0</v>
      </c>
      <c r="H1474" s="9">
        <f>STATS1003B!H1552/1000</f>
        <v>445.822</v>
      </c>
      <c r="I1474" s="9">
        <f>STATS1003B!I1552/1000</f>
        <v>0</v>
      </c>
      <c r="J1474" s="9">
        <f>STATS1003B!J1552/1000</f>
        <v>0</v>
      </c>
      <c r="K1474" s="9">
        <f>STATS1003B!K1552/1000</f>
        <v>0</v>
      </c>
      <c r="L1474" s="9">
        <f>STATS1003B!L1552/1000</f>
        <v>0</v>
      </c>
      <c r="M1474" s="9">
        <f>STATS1003B!M1552/1000</f>
        <v>445.822</v>
      </c>
      <c r="N1474" s="9">
        <f>STATS1003B!N1552/1000</f>
        <v>448.50785999999999</v>
      </c>
      <c r="O1474" s="9">
        <f>STATS1003B!O1552/1000</f>
        <v>0</v>
      </c>
      <c r="P1474" s="9">
        <f>STATS1003B!P1552/1000</f>
        <v>448.50785999999999</v>
      </c>
      <c r="Q1474" s="9">
        <f>STATS1003B!Q1552/1000</f>
        <v>0</v>
      </c>
      <c r="R1474" s="9">
        <f>STATS1003B!R1552/1000</f>
        <v>0</v>
      </c>
      <c r="S1474" s="9">
        <f>STATS1003B!S1552/1000</f>
        <v>0</v>
      </c>
      <c r="T1474" s="9">
        <f>STATS1003B!T1552/1000</f>
        <v>0</v>
      </c>
      <c r="U1474" s="9">
        <f>STATS1003B!U1552/1000</f>
        <v>448.50785999999999</v>
      </c>
      <c r="V1474" s="9">
        <f>STATS1003B!V1552/1000</f>
        <v>894.32985999999994</v>
      </c>
      <c r="W1474" s="9">
        <f>STATS1003B!W1552/1000</f>
        <v>0</v>
      </c>
      <c r="X1474" s="9">
        <f>STATS1003B!X1552/1000</f>
        <v>894.32985999999994</v>
      </c>
      <c r="Y1474" s="9">
        <f>STATS1003B!Y1552/1000</f>
        <v>0</v>
      </c>
      <c r="Z1474" s="9">
        <f>STATS1003B!Z1552/1000</f>
        <v>0</v>
      </c>
      <c r="AA1474" s="9">
        <f>STATS1003B!AA1552/1000</f>
        <v>894.32985999999994</v>
      </c>
      <c r="AB1474" s="9">
        <f>STATS1003B!AB1552/1000</f>
        <v>0</v>
      </c>
    </row>
    <row r="1475" spans="1:28" x14ac:dyDescent="0.35">
      <c r="A1475" s="36"/>
      <c r="B1475" s="8"/>
      <c r="C1475" s="7" t="s">
        <v>298</v>
      </c>
      <c r="D1475" s="15" t="s">
        <v>78</v>
      </c>
      <c r="E1475" s="9">
        <f>STATS1003B!E1553/1000</f>
        <v>127</v>
      </c>
      <c r="F1475" s="9">
        <f>STATS1003B!F1553/1000</f>
        <v>127</v>
      </c>
      <c r="G1475" s="9">
        <f>STATS1003B!G1553/1000</f>
        <v>0</v>
      </c>
      <c r="H1475" s="9">
        <f>STATS1003B!H1553/1000</f>
        <v>127</v>
      </c>
      <c r="I1475" s="9">
        <f>STATS1003B!I1553/1000</f>
        <v>0</v>
      </c>
      <c r="J1475" s="9">
        <f>STATS1003B!J1553/1000</f>
        <v>0</v>
      </c>
      <c r="K1475" s="9">
        <f>STATS1003B!K1553/1000</f>
        <v>0</v>
      </c>
      <c r="L1475" s="9">
        <f>STATS1003B!L1553/1000</f>
        <v>0</v>
      </c>
      <c r="M1475" s="9">
        <f>STATS1003B!M1553/1000</f>
        <v>127</v>
      </c>
      <c r="N1475" s="9">
        <f>STATS1003B!N1553/1000</f>
        <v>0</v>
      </c>
      <c r="O1475" s="9">
        <f>STATS1003B!O1553/1000</f>
        <v>0</v>
      </c>
      <c r="P1475" s="9">
        <f>STATS1003B!P1553/1000</f>
        <v>0</v>
      </c>
      <c r="Q1475" s="9">
        <f>STATS1003B!Q1553/1000</f>
        <v>0</v>
      </c>
      <c r="R1475" s="9">
        <f>STATS1003B!R1553/1000</f>
        <v>0</v>
      </c>
      <c r="S1475" s="9">
        <f>STATS1003B!S1553/1000</f>
        <v>0</v>
      </c>
      <c r="T1475" s="9">
        <f>STATS1003B!T1553/1000</f>
        <v>0</v>
      </c>
      <c r="U1475" s="9">
        <f>STATS1003B!U1553/1000</f>
        <v>0</v>
      </c>
      <c r="V1475" s="9">
        <f>STATS1003B!V1553/1000</f>
        <v>127</v>
      </c>
      <c r="W1475" s="9">
        <f>STATS1003B!W1553/1000</f>
        <v>0</v>
      </c>
      <c r="X1475" s="9">
        <f>STATS1003B!X1553/1000</f>
        <v>127</v>
      </c>
      <c r="Y1475" s="9">
        <f>STATS1003B!Y1553/1000</f>
        <v>0</v>
      </c>
      <c r="Z1475" s="9">
        <f>STATS1003B!Z1553/1000</f>
        <v>0</v>
      </c>
      <c r="AA1475" s="9">
        <f>STATS1003B!AA1553/1000</f>
        <v>127</v>
      </c>
      <c r="AB1475" s="9">
        <f>STATS1003B!AB1553/1000</f>
        <v>0</v>
      </c>
    </row>
    <row r="1476" spans="1:28" x14ac:dyDescent="0.35">
      <c r="A1476" s="36"/>
      <c r="B1476" s="8"/>
      <c r="C1476" s="7" t="s">
        <v>1082</v>
      </c>
      <c r="D1476" s="16" t="s">
        <v>1072</v>
      </c>
      <c r="E1476" s="9">
        <f>STATS1003B!E1554/1000</f>
        <v>277.99897999999996</v>
      </c>
      <c r="F1476" s="9">
        <f>STATS1003B!F1554/1000</f>
        <v>0</v>
      </c>
      <c r="G1476" s="9">
        <f>STATS1003B!G1554/1000</f>
        <v>0</v>
      </c>
      <c r="H1476" s="9">
        <f>STATS1003B!H1554/1000</f>
        <v>0</v>
      </c>
      <c r="I1476" s="9">
        <f>STATS1003B!I1554/1000</f>
        <v>0</v>
      </c>
      <c r="J1476" s="9">
        <f>STATS1003B!J1554/1000</f>
        <v>0</v>
      </c>
      <c r="K1476" s="9">
        <f>STATS1003B!K1554/1000</f>
        <v>0</v>
      </c>
      <c r="L1476" s="9">
        <f>STATS1003B!L1554/1000</f>
        <v>0</v>
      </c>
      <c r="M1476" s="9">
        <f>STATS1003B!M1554/1000</f>
        <v>0</v>
      </c>
      <c r="N1476" s="9">
        <f>STATS1003B!N1554/1000</f>
        <v>277.99897999999996</v>
      </c>
      <c r="O1476" s="9">
        <f>STATS1003B!O1554/1000</f>
        <v>0</v>
      </c>
      <c r="P1476" s="9">
        <f>STATS1003B!P1554/1000</f>
        <v>277.99897999999996</v>
      </c>
      <c r="Q1476" s="9">
        <f>STATS1003B!Q1554/1000</f>
        <v>0</v>
      </c>
      <c r="R1476" s="9">
        <f>STATS1003B!R1554/1000</f>
        <v>0</v>
      </c>
      <c r="S1476" s="9">
        <f>STATS1003B!S1554/1000</f>
        <v>0</v>
      </c>
      <c r="T1476" s="9">
        <f>STATS1003B!T1554/1000</f>
        <v>0</v>
      </c>
      <c r="U1476" s="9">
        <f>STATS1003B!U1554/1000</f>
        <v>277.99897999999996</v>
      </c>
      <c r="V1476" s="9">
        <f>STATS1003B!V1554/1000</f>
        <v>277.99897999999996</v>
      </c>
      <c r="W1476" s="9">
        <f>STATS1003B!W1554/1000</f>
        <v>0</v>
      </c>
      <c r="X1476" s="9">
        <f>STATS1003B!X1554/1000</f>
        <v>277.99897999999996</v>
      </c>
      <c r="Y1476" s="9">
        <f>STATS1003B!Y1554/1000</f>
        <v>0</v>
      </c>
      <c r="Z1476" s="9">
        <f>STATS1003B!Z1554/1000</f>
        <v>0</v>
      </c>
      <c r="AA1476" s="9">
        <f>STATS1003B!AA1554/1000</f>
        <v>277.99897999999996</v>
      </c>
      <c r="AB1476" s="9">
        <f>STATS1003B!AB1554/1000</f>
        <v>0</v>
      </c>
    </row>
    <row r="1477" spans="1:28" x14ac:dyDescent="0.35">
      <c r="A1477" s="36"/>
      <c r="B1477" s="8"/>
      <c r="C1477" s="7" t="s">
        <v>57</v>
      </c>
      <c r="D1477" s="15" t="s">
        <v>152</v>
      </c>
      <c r="E1477" s="9">
        <f>STATS1003B!E1555/1000</f>
        <v>3848.94886</v>
      </c>
      <c r="F1477" s="9">
        <f>STATS1003B!F1555/1000</f>
        <v>3301.9520000000002</v>
      </c>
      <c r="G1477" s="9">
        <f>STATS1003B!G1555/1000</f>
        <v>0</v>
      </c>
      <c r="H1477" s="9">
        <f>STATS1003B!H1555/1000</f>
        <v>3301.9520000000002</v>
      </c>
      <c r="I1477" s="9">
        <f>STATS1003B!I1555/1000</f>
        <v>0</v>
      </c>
      <c r="J1477" s="9">
        <f>STATS1003B!J1555/1000</f>
        <v>0</v>
      </c>
      <c r="K1477" s="9">
        <f>STATS1003B!K1555/1000</f>
        <v>0</v>
      </c>
      <c r="L1477" s="9">
        <f>STATS1003B!L1555/1000</f>
        <v>0</v>
      </c>
      <c r="M1477" s="9">
        <f>STATS1003B!M1555/1000</f>
        <v>3301.9520000000002</v>
      </c>
      <c r="N1477" s="9">
        <f>STATS1003B!N1555/1000</f>
        <v>546.99685999999997</v>
      </c>
      <c r="O1477" s="9">
        <f>STATS1003B!O1555/1000</f>
        <v>0</v>
      </c>
      <c r="P1477" s="9">
        <f>STATS1003B!P1555/1000</f>
        <v>546.99685999999997</v>
      </c>
      <c r="Q1477" s="9">
        <f>STATS1003B!Q1555/1000</f>
        <v>0</v>
      </c>
      <c r="R1477" s="9">
        <f>STATS1003B!R1555/1000</f>
        <v>0</v>
      </c>
      <c r="S1477" s="9">
        <f>STATS1003B!S1555/1000</f>
        <v>0</v>
      </c>
      <c r="T1477" s="9">
        <f>STATS1003B!T1555/1000</f>
        <v>0</v>
      </c>
      <c r="U1477" s="9">
        <f>STATS1003B!U1555/1000</f>
        <v>546.99685999999997</v>
      </c>
      <c r="V1477" s="9">
        <f>STATS1003B!V1555/1000</f>
        <v>3848.94886</v>
      </c>
      <c r="W1477" s="9">
        <f>STATS1003B!W1555/1000</f>
        <v>0</v>
      </c>
      <c r="X1477" s="9">
        <f>STATS1003B!X1555/1000</f>
        <v>3848.94886</v>
      </c>
      <c r="Y1477" s="9">
        <f>STATS1003B!Y1555/1000</f>
        <v>0</v>
      </c>
      <c r="Z1477" s="9">
        <f>STATS1003B!Z1555/1000</f>
        <v>0</v>
      </c>
      <c r="AA1477" s="9">
        <f>STATS1003B!AA1555/1000</f>
        <v>3848.94886</v>
      </c>
      <c r="AB1477" s="9">
        <f>STATS1003B!AB1555/1000</f>
        <v>0</v>
      </c>
    </row>
    <row r="1478" spans="1:28" x14ac:dyDescent="0.35">
      <c r="A1478" s="36"/>
      <c r="B1478" s="8"/>
      <c r="C1478" s="7" t="s">
        <v>53</v>
      </c>
      <c r="D1478" s="15" t="s">
        <v>68</v>
      </c>
      <c r="E1478" s="9">
        <f>STATS1003B!E1556/1000</f>
        <v>1953.989</v>
      </c>
      <c r="F1478" s="9">
        <f>STATS1003B!F1556/1000</f>
        <v>0</v>
      </c>
      <c r="G1478" s="9">
        <f>STATS1003B!G1556/1000</f>
        <v>0</v>
      </c>
      <c r="H1478" s="9">
        <f>STATS1003B!H1556/1000</f>
        <v>0</v>
      </c>
      <c r="I1478" s="9">
        <f>STATS1003B!I1556/1000</f>
        <v>0</v>
      </c>
      <c r="J1478" s="9">
        <f>STATS1003B!J1556/1000</f>
        <v>0</v>
      </c>
      <c r="K1478" s="9">
        <f>STATS1003B!K1556/1000</f>
        <v>0</v>
      </c>
      <c r="L1478" s="9">
        <f>STATS1003B!L1556/1000</f>
        <v>0</v>
      </c>
      <c r="M1478" s="9">
        <f>STATS1003B!M1556/1000</f>
        <v>0</v>
      </c>
      <c r="N1478" s="9">
        <f>STATS1003B!N1556/1000</f>
        <v>1953.989</v>
      </c>
      <c r="O1478" s="9">
        <f>STATS1003B!O1556/1000</f>
        <v>0</v>
      </c>
      <c r="P1478" s="9">
        <f>STATS1003B!P1556/1000</f>
        <v>1953.989</v>
      </c>
      <c r="Q1478" s="9">
        <f>STATS1003B!Q1556/1000</f>
        <v>0</v>
      </c>
      <c r="R1478" s="9">
        <f>STATS1003B!R1556/1000</f>
        <v>0</v>
      </c>
      <c r="S1478" s="9">
        <f>STATS1003B!S1556/1000</f>
        <v>0</v>
      </c>
      <c r="T1478" s="9">
        <f>STATS1003B!T1556/1000</f>
        <v>0</v>
      </c>
      <c r="U1478" s="9">
        <f>STATS1003B!U1556/1000</f>
        <v>1953.989</v>
      </c>
      <c r="V1478" s="9">
        <f>STATS1003B!V1556/1000</f>
        <v>1953.989</v>
      </c>
      <c r="W1478" s="9">
        <f>STATS1003B!W1556/1000</f>
        <v>0</v>
      </c>
      <c r="X1478" s="9">
        <f>STATS1003B!X1556/1000</f>
        <v>1953.989</v>
      </c>
      <c r="Y1478" s="9">
        <f>STATS1003B!Y1556/1000</f>
        <v>0</v>
      </c>
      <c r="Z1478" s="9">
        <f>STATS1003B!Z1556/1000</f>
        <v>0</v>
      </c>
      <c r="AA1478" s="9">
        <f>STATS1003B!AA1556/1000</f>
        <v>1953.989</v>
      </c>
      <c r="AB1478" s="9">
        <f>STATS1003B!AB1556/1000</f>
        <v>0</v>
      </c>
    </row>
    <row r="1479" spans="1:28" x14ac:dyDescent="0.35">
      <c r="A1479" s="36"/>
      <c r="B1479" s="8"/>
      <c r="C1479" s="7" t="s">
        <v>69</v>
      </c>
      <c r="D1479" s="15" t="s">
        <v>54</v>
      </c>
      <c r="E1479" s="9">
        <f>STATS1003B!E1557/1000</f>
        <v>955.34561999999994</v>
      </c>
      <c r="F1479" s="9">
        <f>STATS1003B!F1557/1000</f>
        <v>0</v>
      </c>
      <c r="G1479" s="9">
        <f>STATS1003B!G1557/1000</f>
        <v>0</v>
      </c>
      <c r="H1479" s="9">
        <f>STATS1003B!H1557/1000</f>
        <v>0</v>
      </c>
      <c r="I1479" s="9">
        <f>STATS1003B!I1557/1000</f>
        <v>0</v>
      </c>
      <c r="J1479" s="9">
        <f>STATS1003B!J1557/1000</f>
        <v>0</v>
      </c>
      <c r="K1479" s="9">
        <f>STATS1003B!K1557/1000</f>
        <v>0</v>
      </c>
      <c r="L1479" s="9">
        <f>STATS1003B!L1557/1000</f>
        <v>0</v>
      </c>
      <c r="M1479" s="9">
        <f>STATS1003B!M1557/1000</f>
        <v>0</v>
      </c>
      <c r="N1479" s="9">
        <f>STATS1003B!N1557/1000</f>
        <v>955.34561999999994</v>
      </c>
      <c r="O1479" s="9">
        <f>STATS1003B!O1557/1000</f>
        <v>0</v>
      </c>
      <c r="P1479" s="9">
        <f>STATS1003B!P1557/1000</f>
        <v>955.34561999999994</v>
      </c>
      <c r="Q1479" s="9">
        <f>STATS1003B!Q1557/1000</f>
        <v>0</v>
      </c>
      <c r="R1479" s="9">
        <f>STATS1003B!R1557/1000</f>
        <v>0</v>
      </c>
      <c r="S1479" s="9">
        <f>STATS1003B!S1557/1000</f>
        <v>0</v>
      </c>
      <c r="T1479" s="9">
        <f>STATS1003B!T1557/1000</f>
        <v>0</v>
      </c>
      <c r="U1479" s="9">
        <f>STATS1003B!U1557/1000</f>
        <v>955.34561999999994</v>
      </c>
      <c r="V1479" s="9">
        <f>STATS1003B!V1557/1000</f>
        <v>955.34561999999994</v>
      </c>
      <c r="W1479" s="9">
        <f>STATS1003B!W1557/1000</f>
        <v>0</v>
      </c>
      <c r="X1479" s="9">
        <f>STATS1003B!X1557/1000</f>
        <v>955.34561999999994</v>
      </c>
      <c r="Y1479" s="9">
        <f>STATS1003B!Y1557/1000</f>
        <v>0</v>
      </c>
      <c r="Z1479" s="9">
        <f>STATS1003B!Z1557/1000</f>
        <v>0</v>
      </c>
      <c r="AA1479" s="9">
        <f>STATS1003B!AA1557/1000</f>
        <v>955.34561999999994</v>
      </c>
      <c r="AB1479" s="9">
        <f>STATS1003B!AB1557/1000</f>
        <v>0</v>
      </c>
    </row>
    <row r="1480" spans="1:28" x14ac:dyDescent="0.35">
      <c r="A1480" s="36"/>
      <c r="B1480" s="8"/>
      <c r="C1480" s="7" t="s">
        <v>299</v>
      </c>
      <c r="D1480" s="15" t="s">
        <v>54</v>
      </c>
      <c r="E1480" s="9">
        <f>STATS1003B!E1558/1000</f>
        <v>1900</v>
      </c>
      <c r="F1480" s="9">
        <f>STATS1003B!F1558/1000</f>
        <v>1900</v>
      </c>
      <c r="G1480" s="9">
        <f>STATS1003B!G1558/1000</f>
        <v>0</v>
      </c>
      <c r="H1480" s="9">
        <f>STATS1003B!H1558/1000</f>
        <v>1900</v>
      </c>
      <c r="I1480" s="9">
        <f>STATS1003B!I1558/1000</f>
        <v>0</v>
      </c>
      <c r="J1480" s="9">
        <f>STATS1003B!J1558/1000</f>
        <v>0</v>
      </c>
      <c r="K1480" s="9">
        <f>STATS1003B!K1558/1000</f>
        <v>0</v>
      </c>
      <c r="L1480" s="9">
        <f>STATS1003B!L1558/1000</f>
        <v>0</v>
      </c>
      <c r="M1480" s="9">
        <f>STATS1003B!M1558/1000</f>
        <v>1900</v>
      </c>
      <c r="N1480" s="9">
        <f>STATS1003B!N1558/1000</f>
        <v>0</v>
      </c>
      <c r="O1480" s="9">
        <f>STATS1003B!O1558/1000</f>
        <v>0</v>
      </c>
      <c r="P1480" s="9">
        <f>STATS1003B!P1558/1000</f>
        <v>0</v>
      </c>
      <c r="Q1480" s="9">
        <f>STATS1003B!Q1558/1000</f>
        <v>0</v>
      </c>
      <c r="R1480" s="9">
        <f>STATS1003B!R1558/1000</f>
        <v>0</v>
      </c>
      <c r="S1480" s="9">
        <f>STATS1003B!S1558/1000</f>
        <v>0</v>
      </c>
      <c r="T1480" s="9">
        <f>STATS1003B!T1558/1000</f>
        <v>0</v>
      </c>
      <c r="U1480" s="9">
        <f>STATS1003B!U1558/1000</f>
        <v>0</v>
      </c>
      <c r="V1480" s="9">
        <f>STATS1003B!V1558/1000</f>
        <v>1900</v>
      </c>
      <c r="W1480" s="9">
        <f>STATS1003B!W1558/1000</f>
        <v>0</v>
      </c>
      <c r="X1480" s="9">
        <f>STATS1003B!X1558/1000</f>
        <v>1900</v>
      </c>
      <c r="Y1480" s="9">
        <f>STATS1003B!Y1558/1000</f>
        <v>0</v>
      </c>
      <c r="Z1480" s="9">
        <f>STATS1003B!Z1558/1000</f>
        <v>0</v>
      </c>
      <c r="AA1480" s="9">
        <f>STATS1003B!AA1558/1000</f>
        <v>1900</v>
      </c>
      <c r="AB1480" s="9">
        <f>STATS1003B!AB1558/1000</f>
        <v>0</v>
      </c>
    </row>
    <row r="1481" spans="1:28" x14ac:dyDescent="0.35">
      <c r="A1481" s="36"/>
      <c r="B1481" s="8"/>
      <c r="C1481" s="7" t="s">
        <v>300</v>
      </c>
      <c r="D1481" s="15" t="s">
        <v>54</v>
      </c>
      <c r="E1481" s="9">
        <f>STATS1003B!E1559/1000</f>
        <v>570</v>
      </c>
      <c r="F1481" s="9">
        <f>STATS1003B!F1559/1000</f>
        <v>570</v>
      </c>
      <c r="G1481" s="9">
        <f>STATS1003B!G1559/1000</f>
        <v>0</v>
      </c>
      <c r="H1481" s="9">
        <f>STATS1003B!H1559/1000</f>
        <v>570</v>
      </c>
      <c r="I1481" s="9">
        <f>STATS1003B!I1559/1000</f>
        <v>0</v>
      </c>
      <c r="J1481" s="9">
        <f>STATS1003B!J1559/1000</f>
        <v>0</v>
      </c>
      <c r="K1481" s="9">
        <f>STATS1003B!K1559/1000</f>
        <v>0</v>
      </c>
      <c r="L1481" s="9">
        <f>STATS1003B!L1559/1000</f>
        <v>0</v>
      </c>
      <c r="M1481" s="9">
        <f>STATS1003B!M1559/1000</f>
        <v>570</v>
      </c>
      <c r="N1481" s="9">
        <f>STATS1003B!N1559/1000</f>
        <v>0</v>
      </c>
      <c r="O1481" s="9">
        <f>STATS1003B!O1559/1000</f>
        <v>0</v>
      </c>
      <c r="P1481" s="9">
        <f>STATS1003B!P1559/1000</f>
        <v>0</v>
      </c>
      <c r="Q1481" s="9">
        <f>STATS1003B!Q1559/1000</f>
        <v>0</v>
      </c>
      <c r="R1481" s="9">
        <f>STATS1003B!R1559/1000</f>
        <v>0</v>
      </c>
      <c r="S1481" s="9">
        <f>STATS1003B!S1559/1000</f>
        <v>0</v>
      </c>
      <c r="T1481" s="9">
        <f>STATS1003B!T1559/1000</f>
        <v>0</v>
      </c>
      <c r="U1481" s="9">
        <f>STATS1003B!U1559/1000</f>
        <v>0</v>
      </c>
      <c r="V1481" s="9">
        <f>STATS1003B!V1559/1000</f>
        <v>570</v>
      </c>
      <c r="W1481" s="9">
        <f>STATS1003B!W1559/1000</f>
        <v>0</v>
      </c>
      <c r="X1481" s="9">
        <f>STATS1003B!X1559/1000</f>
        <v>570</v>
      </c>
      <c r="Y1481" s="9">
        <f>STATS1003B!Y1559/1000</f>
        <v>0</v>
      </c>
      <c r="Z1481" s="9">
        <f>STATS1003B!Z1559/1000</f>
        <v>0</v>
      </c>
      <c r="AA1481" s="9">
        <f>STATS1003B!AA1559/1000</f>
        <v>570</v>
      </c>
      <c r="AB1481" s="9">
        <f>STATS1003B!AB1559/1000</f>
        <v>0</v>
      </c>
    </row>
    <row r="1482" spans="1:28" x14ac:dyDescent="0.35">
      <c r="A1482" s="36"/>
      <c r="B1482" s="8"/>
      <c r="C1482" s="7" t="s">
        <v>301</v>
      </c>
      <c r="D1482" s="15" t="s">
        <v>234</v>
      </c>
      <c r="E1482" s="9">
        <f>STATS1003B!E1560/1000</f>
        <v>799.5</v>
      </c>
      <c r="F1482" s="9">
        <f>STATS1003B!F1560/1000</f>
        <v>765.24699999999996</v>
      </c>
      <c r="G1482" s="9">
        <f>STATS1003B!G1560/1000</f>
        <v>0</v>
      </c>
      <c r="H1482" s="9">
        <f>STATS1003B!H1560/1000</f>
        <v>765.24699999999996</v>
      </c>
      <c r="I1482" s="9">
        <f>STATS1003B!I1560/1000</f>
        <v>0</v>
      </c>
      <c r="J1482" s="9">
        <f>STATS1003B!J1560/1000</f>
        <v>0</v>
      </c>
      <c r="K1482" s="9">
        <f>STATS1003B!K1560/1000</f>
        <v>0</v>
      </c>
      <c r="L1482" s="9">
        <f>STATS1003B!L1560/1000</f>
        <v>0</v>
      </c>
      <c r="M1482" s="9">
        <f>STATS1003B!M1560/1000</f>
        <v>765.24699999999996</v>
      </c>
      <c r="N1482" s="9">
        <f>STATS1003B!N1560/1000</f>
        <v>0</v>
      </c>
      <c r="O1482" s="9">
        <f>STATS1003B!O1560/1000</f>
        <v>0</v>
      </c>
      <c r="P1482" s="9">
        <f>STATS1003B!P1560/1000</f>
        <v>0</v>
      </c>
      <c r="Q1482" s="9">
        <f>STATS1003B!Q1560/1000</f>
        <v>0</v>
      </c>
      <c r="R1482" s="9">
        <f>STATS1003B!R1560/1000</f>
        <v>0</v>
      </c>
      <c r="S1482" s="9">
        <f>STATS1003B!S1560/1000</f>
        <v>0</v>
      </c>
      <c r="T1482" s="9">
        <f>STATS1003B!T1560/1000</f>
        <v>0</v>
      </c>
      <c r="U1482" s="9">
        <f>STATS1003B!U1560/1000</f>
        <v>0</v>
      </c>
      <c r="V1482" s="9">
        <f>STATS1003B!V1560/1000</f>
        <v>765.24699999999996</v>
      </c>
      <c r="W1482" s="9">
        <f>STATS1003B!W1560/1000</f>
        <v>34.253</v>
      </c>
      <c r="X1482" s="9">
        <f>STATS1003B!X1560/1000</f>
        <v>765.24699999999996</v>
      </c>
      <c r="Y1482" s="9">
        <f>STATS1003B!Y1560/1000</f>
        <v>0</v>
      </c>
      <c r="Z1482" s="9">
        <f>STATS1003B!Z1560/1000</f>
        <v>34.253</v>
      </c>
      <c r="AA1482" s="9">
        <f>STATS1003B!AA1560/1000</f>
        <v>765.24699999999996</v>
      </c>
      <c r="AB1482" s="9">
        <f>STATS1003B!AB1560/1000</f>
        <v>34.253</v>
      </c>
    </row>
    <row r="1483" spans="1:28" x14ac:dyDescent="0.35">
      <c r="A1483" s="36"/>
      <c r="B1483" s="8"/>
      <c r="C1483" s="7" t="s">
        <v>302</v>
      </c>
      <c r="D1483" s="15" t="s">
        <v>85</v>
      </c>
      <c r="E1483" s="9">
        <f>STATS1003B!E1561/1000</f>
        <v>120</v>
      </c>
      <c r="F1483" s="9">
        <f>STATS1003B!F1561/1000</f>
        <v>120</v>
      </c>
      <c r="G1483" s="9">
        <f>STATS1003B!G1561/1000</f>
        <v>0</v>
      </c>
      <c r="H1483" s="9">
        <f>STATS1003B!H1561/1000</f>
        <v>120</v>
      </c>
      <c r="I1483" s="9">
        <f>STATS1003B!I1561/1000</f>
        <v>0</v>
      </c>
      <c r="J1483" s="9">
        <f>STATS1003B!J1561/1000</f>
        <v>0</v>
      </c>
      <c r="K1483" s="9">
        <f>STATS1003B!K1561/1000</f>
        <v>0</v>
      </c>
      <c r="L1483" s="9">
        <f>STATS1003B!L1561/1000</f>
        <v>0</v>
      </c>
      <c r="M1483" s="9">
        <f>STATS1003B!M1561/1000</f>
        <v>120</v>
      </c>
      <c r="N1483" s="9">
        <f>STATS1003B!N1561/1000</f>
        <v>0</v>
      </c>
      <c r="O1483" s="9">
        <f>STATS1003B!O1561/1000</f>
        <v>0</v>
      </c>
      <c r="P1483" s="9">
        <f>STATS1003B!P1561/1000</f>
        <v>0</v>
      </c>
      <c r="Q1483" s="9">
        <f>STATS1003B!Q1561/1000</f>
        <v>0</v>
      </c>
      <c r="R1483" s="9">
        <f>STATS1003B!R1561/1000</f>
        <v>0</v>
      </c>
      <c r="S1483" s="9">
        <f>STATS1003B!S1561/1000</f>
        <v>0</v>
      </c>
      <c r="T1483" s="9">
        <f>STATS1003B!T1561/1000</f>
        <v>0</v>
      </c>
      <c r="U1483" s="9">
        <f>STATS1003B!U1561/1000</f>
        <v>0</v>
      </c>
      <c r="V1483" s="9">
        <f>STATS1003B!V1561/1000</f>
        <v>120</v>
      </c>
      <c r="W1483" s="9">
        <f>STATS1003B!W1561/1000</f>
        <v>0</v>
      </c>
      <c r="X1483" s="9">
        <f>STATS1003B!X1561/1000</f>
        <v>120</v>
      </c>
      <c r="Y1483" s="9">
        <f>STATS1003B!Y1561/1000</f>
        <v>0</v>
      </c>
      <c r="Z1483" s="9">
        <f>STATS1003B!Z1561/1000</f>
        <v>0</v>
      </c>
      <c r="AA1483" s="9">
        <f>STATS1003B!AA1561/1000</f>
        <v>120</v>
      </c>
      <c r="AB1483" s="9">
        <f>STATS1003B!AB1561/1000</f>
        <v>0</v>
      </c>
    </row>
    <row r="1484" spans="1:28" x14ac:dyDescent="0.35">
      <c r="A1484" s="36"/>
      <c r="B1484" s="8"/>
      <c r="C1484" s="7" t="s">
        <v>55</v>
      </c>
      <c r="D1484" s="15" t="s">
        <v>88</v>
      </c>
      <c r="E1484" s="9">
        <f>STATS1003B!E1562/1000</f>
        <v>822.67200000000003</v>
      </c>
      <c r="F1484" s="9">
        <f>STATS1003B!F1562/1000</f>
        <v>0</v>
      </c>
      <c r="G1484" s="9">
        <f>STATS1003B!G1562/1000</f>
        <v>0</v>
      </c>
      <c r="H1484" s="9">
        <f>STATS1003B!H1562/1000</f>
        <v>0</v>
      </c>
      <c r="I1484" s="9">
        <f>STATS1003B!I1562/1000</f>
        <v>0</v>
      </c>
      <c r="J1484" s="9">
        <f>STATS1003B!J1562/1000</f>
        <v>0</v>
      </c>
      <c r="K1484" s="9">
        <f>STATS1003B!K1562/1000</f>
        <v>0</v>
      </c>
      <c r="L1484" s="9">
        <f>STATS1003B!L1562/1000</f>
        <v>0</v>
      </c>
      <c r="M1484" s="9">
        <f>STATS1003B!M1562/1000</f>
        <v>0</v>
      </c>
      <c r="N1484" s="9">
        <f>STATS1003B!N1562/1000</f>
        <v>822.67200000000003</v>
      </c>
      <c r="O1484" s="9">
        <f>STATS1003B!O1562/1000</f>
        <v>0</v>
      </c>
      <c r="P1484" s="9">
        <f>STATS1003B!P1562/1000</f>
        <v>822.67200000000003</v>
      </c>
      <c r="Q1484" s="9">
        <f>STATS1003B!Q1562/1000</f>
        <v>0</v>
      </c>
      <c r="R1484" s="9">
        <f>STATS1003B!R1562/1000</f>
        <v>0</v>
      </c>
      <c r="S1484" s="9">
        <f>STATS1003B!S1562/1000</f>
        <v>0</v>
      </c>
      <c r="T1484" s="9">
        <f>STATS1003B!T1562/1000</f>
        <v>0</v>
      </c>
      <c r="U1484" s="9">
        <f>STATS1003B!U1562/1000</f>
        <v>822.67200000000003</v>
      </c>
      <c r="V1484" s="9">
        <f>STATS1003B!V1562/1000</f>
        <v>822.67200000000003</v>
      </c>
      <c r="W1484" s="9">
        <f>STATS1003B!W1562/1000</f>
        <v>0</v>
      </c>
      <c r="X1484" s="9">
        <f>STATS1003B!X1562/1000</f>
        <v>822.67200000000003</v>
      </c>
      <c r="Y1484" s="9">
        <f>STATS1003B!Y1562/1000</f>
        <v>0</v>
      </c>
      <c r="Z1484" s="9">
        <f>STATS1003B!Z1562/1000</f>
        <v>0</v>
      </c>
      <c r="AA1484" s="9">
        <f>STATS1003B!AA1562/1000</f>
        <v>822.67200000000003</v>
      </c>
      <c r="AB1484" s="9">
        <f>STATS1003B!AB1562/1000</f>
        <v>0</v>
      </c>
    </row>
    <row r="1485" spans="1:28" x14ac:dyDescent="0.35">
      <c r="A1485" s="36"/>
      <c r="B1485" s="8"/>
      <c r="C1485" s="7" t="s">
        <v>153</v>
      </c>
      <c r="D1485" s="15" t="s">
        <v>88</v>
      </c>
      <c r="E1485" s="9">
        <f>STATS1003B!E1563/1000</f>
        <v>187.69264000000001</v>
      </c>
      <c r="F1485" s="9">
        <f>STATS1003B!F1563/1000</f>
        <v>187.69264000000001</v>
      </c>
      <c r="G1485" s="9">
        <f>STATS1003B!G1563/1000</f>
        <v>0</v>
      </c>
      <c r="H1485" s="9">
        <f>STATS1003B!H1563/1000</f>
        <v>187.69264000000001</v>
      </c>
      <c r="I1485" s="9">
        <f>STATS1003B!I1563/1000</f>
        <v>0</v>
      </c>
      <c r="J1485" s="9">
        <f>STATS1003B!J1563/1000</f>
        <v>0</v>
      </c>
      <c r="K1485" s="9">
        <f>STATS1003B!K1563/1000</f>
        <v>0</v>
      </c>
      <c r="L1485" s="9">
        <f>STATS1003B!L1563/1000</f>
        <v>0</v>
      </c>
      <c r="M1485" s="9">
        <f>STATS1003B!M1563/1000</f>
        <v>187.69264000000001</v>
      </c>
      <c r="N1485" s="9">
        <f>STATS1003B!N1563/1000</f>
        <v>0</v>
      </c>
      <c r="O1485" s="9">
        <f>STATS1003B!O1563/1000</f>
        <v>0</v>
      </c>
      <c r="P1485" s="9">
        <f>STATS1003B!P1563/1000</f>
        <v>0</v>
      </c>
      <c r="Q1485" s="9">
        <f>STATS1003B!Q1563/1000</f>
        <v>0</v>
      </c>
      <c r="R1485" s="9">
        <f>STATS1003B!R1563/1000</f>
        <v>0</v>
      </c>
      <c r="S1485" s="9">
        <f>STATS1003B!S1563/1000</f>
        <v>0</v>
      </c>
      <c r="T1485" s="9">
        <f>STATS1003B!T1563/1000</f>
        <v>0</v>
      </c>
      <c r="U1485" s="9">
        <f>STATS1003B!U1563/1000</f>
        <v>0</v>
      </c>
      <c r="V1485" s="9">
        <f>STATS1003B!V1563/1000</f>
        <v>187.69264000000001</v>
      </c>
      <c r="W1485" s="9">
        <f>STATS1003B!W1563/1000</f>
        <v>0</v>
      </c>
      <c r="X1485" s="9">
        <f>STATS1003B!X1563/1000</f>
        <v>187.69264000000001</v>
      </c>
      <c r="Y1485" s="9">
        <f>STATS1003B!Y1563/1000</f>
        <v>0</v>
      </c>
      <c r="Z1485" s="9">
        <f>STATS1003B!Z1563/1000</f>
        <v>0</v>
      </c>
      <c r="AA1485" s="9">
        <f>STATS1003B!AA1563/1000</f>
        <v>187.69264000000001</v>
      </c>
      <c r="AB1485" s="9">
        <f>STATS1003B!AB1563/1000</f>
        <v>0</v>
      </c>
    </row>
    <row r="1486" spans="1:28" x14ac:dyDescent="0.35">
      <c r="A1486" s="36"/>
      <c r="B1486" s="8"/>
      <c r="C1486" s="7" t="s">
        <v>1137</v>
      </c>
      <c r="D1486" s="15" t="s">
        <v>58</v>
      </c>
      <c r="E1486" s="9">
        <f>STATS1003B!E1564/1000</f>
        <v>1050</v>
      </c>
      <c r="F1486" s="9">
        <f>STATS1003B!F1564/1000</f>
        <v>1050</v>
      </c>
      <c r="G1486" s="9">
        <f>STATS1003B!G1564/1000</f>
        <v>0</v>
      </c>
      <c r="H1486" s="9">
        <f>STATS1003B!H1564/1000</f>
        <v>1050</v>
      </c>
      <c r="I1486" s="9">
        <f>STATS1003B!I1564/1000</f>
        <v>0</v>
      </c>
      <c r="J1486" s="9">
        <f>STATS1003B!J1564/1000</f>
        <v>0</v>
      </c>
      <c r="K1486" s="9">
        <f>STATS1003B!K1564/1000</f>
        <v>0</v>
      </c>
      <c r="L1486" s="9">
        <f>STATS1003B!L1564/1000</f>
        <v>0</v>
      </c>
      <c r="M1486" s="9">
        <f>STATS1003B!M1564/1000</f>
        <v>1050</v>
      </c>
      <c r="N1486" s="9">
        <f>STATS1003B!N1564/1000</f>
        <v>0</v>
      </c>
      <c r="O1486" s="9">
        <f>STATS1003B!O1564/1000</f>
        <v>0</v>
      </c>
      <c r="P1486" s="9">
        <f>STATS1003B!P1564/1000</f>
        <v>0</v>
      </c>
      <c r="Q1486" s="9">
        <f>STATS1003B!Q1564/1000</f>
        <v>0</v>
      </c>
      <c r="R1486" s="9">
        <f>STATS1003B!R1564/1000</f>
        <v>0</v>
      </c>
      <c r="S1486" s="9">
        <f>STATS1003B!S1564/1000</f>
        <v>0</v>
      </c>
      <c r="T1486" s="9">
        <f>STATS1003B!T1564/1000</f>
        <v>0</v>
      </c>
      <c r="U1486" s="9">
        <f>STATS1003B!U1564/1000</f>
        <v>0</v>
      </c>
      <c r="V1486" s="9">
        <f>STATS1003B!V1564/1000</f>
        <v>1050</v>
      </c>
      <c r="W1486" s="9">
        <f>STATS1003B!W1564/1000</f>
        <v>0</v>
      </c>
      <c r="X1486" s="9">
        <f>STATS1003B!X1564/1000</f>
        <v>1050</v>
      </c>
      <c r="Y1486" s="9">
        <f>STATS1003B!Y1564/1000</f>
        <v>0</v>
      </c>
      <c r="Z1486" s="9">
        <f>STATS1003B!Z1564/1000</f>
        <v>0</v>
      </c>
      <c r="AA1486" s="9">
        <f>STATS1003B!AA1564/1000</f>
        <v>1050</v>
      </c>
      <c r="AB1486" s="9">
        <f>STATS1003B!AB1564/1000</f>
        <v>0</v>
      </c>
    </row>
    <row r="1487" spans="1:28" x14ac:dyDescent="0.35">
      <c r="A1487" s="36"/>
      <c r="B1487" s="8"/>
      <c r="C1487" s="14" t="s">
        <v>109</v>
      </c>
      <c r="D1487" s="21" t="s">
        <v>60</v>
      </c>
      <c r="E1487" s="9">
        <f>STATS1003B!E1565/1000</f>
        <v>2500</v>
      </c>
      <c r="F1487" s="9">
        <f>STATS1003B!F1565/1000</f>
        <v>2500</v>
      </c>
      <c r="G1487" s="9">
        <f>STATS1003B!G1565/1000</f>
        <v>0</v>
      </c>
      <c r="H1487" s="9">
        <f>STATS1003B!H1565/1000</f>
        <v>2500</v>
      </c>
      <c r="I1487" s="9">
        <f>STATS1003B!I1565/1000</f>
        <v>0</v>
      </c>
      <c r="J1487" s="9">
        <f>STATS1003B!J1565/1000</f>
        <v>0</v>
      </c>
      <c r="K1487" s="9">
        <f>STATS1003B!K1565/1000</f>
        <v>0</v>
      </c>
      <c r="L1487" s="9">
        <f>STATS1003B!L1565/1000</f>
        <v>0</v>
      </c>
      <c r="M1487" s="9">
        <f>STATS1003B!M1565/1000</f>
        <v>2500</v>
      </c>
      <c r="N1487" s="9">
        <f>STATS1003B!N1565/1000</f>
        <v>0</v>
      </c>
      <c r="O1487" s="9">
        <f>STATS1003B!O1565/1000</f>
        <v>0</v>
      </c>
      <c r="P1487" s="9">
        <f>STATS1003B!P1565/1000</f>
        <v>0</v>
      </c>
      <c r="Q1487" s="9">
        <f>STATS1003B!Q1565/1000</f>
        <v>0</v>
      </c>
      <c r="R1487" s="9">
        <f>STATS1003B!R1565/1000</f>
        <v>0</v>
      </c>
      <c r="S1487" s="9">
        <f>STATS1003B!S1565/1000</f>
        <v>0</v>
      </c>
      <c r="T1487" s="9">
        <f>STATS1003B!T1565/1000</f>
        <v>0</v>
      </c>
      <c r="U1487" s="9">
        <f>STATS1003B!U1565/1000</f>
        <v>0</v>
      </c>
      <c r="V1487" s="9">
        <f>STATS1003B!V1565/1000</f>
        <v>2500</v>
      </c>
      <c r="W1487" s="9">
        <f>STATS1003B!W1565/1000</f>
        <v>0</v>
      </c>
      <c r="X1487" s="9">
        <f>STATS1003B!X1565/1000</f>
        <v>2500</v>
      </c>
      <c r="Y1487" s="9">
        <f>STATS1003B!Y1565/1000</f>
        <v>0</v>
      </c>
      <c r="Z1487" s="9">
        <f>STATS1003B!Z1565/1000</f>
        <v>0</v>
      </c>
      <c r="AA1487" s="9">
        <f>STATS1003B!AA1565/1000</f>
        <v>2500</v>
      </c>
      <c r="AB1487" s="9">
        <f>STATS1003B!AB1565/1000</f>
        <v>0</v>
      </c>
    </row>
    <row r="1488" spans="1:28" x14ac:dyDescent="0.35">
      <c r="A1488" s="36"/>
      <c r="B1488" s="8"/>
      <c r="C1488" s="7" t="s">
        <v>122</v>
      </c>
      <c r="D1488" s="8"/>
      <c r="E1488" s="9">
        <f>STATS1003B!E1566/1000</f>
        <v>228.46299999999999</v>
      </c>
      <c r="F1488" s="9">
        <f>STATS1003B!F1566/1000</f>
        <v>228.46299999999999</v>
      </c>
      <c r="G1488" s="9">
        <f>STATS1003B!G1566/1000</f>
        <v>0</v>
      </c>
      <c r="H1488" s="9">
        <f>STATS1003B!H1566/1000</f>
        <v>228.46299999999999</v>
      </c>
      <c r="I1488" s="9">
        <f>STATS1003B!I1566/1000</f>
        <v>0</v>
      </c>
      <c r="J1488" s="9">
        <f>STATS1003B!J1566/1000</f>
        <v>0</v>
      </c>
      <c r="K1488" s="9">
        <f>STATS1003B!K1566/1000</f>
        <v>0</v>
      </c>
      <c r="L1488" s="9">
        <f>STATS1003B!L1566/1000</f>
        <v>0</v>
      </c>
      <c r="M1488" s="9">
        <f>STATS1003B!M1566/1000</f>
        <v>228.46299999999999</v>
      </c>
      <c r="N1488" s="9">
        <f>STATS1003B!N1566/1000</f>
        <v>0</v>
      </c>
      <c r="O1488" s="9">
        <f>STATS1003B!O1566/1000</f>
        <v>0</v>
      </c>
      <c r="P1488" s="9">
        <f>STATS1003B!P1566/1000</f>
        <v>0</v>
      </c>
      <c r="Q1488" s="9">
        <f>STATS1003B!Q1566/1000</f>
        <v>0</v>
      </c>
      <c r="R1488" s="9">
        <f>STATS1003B!R1566/1000</f>
        <v>0</v>
      </c>
      <c r="S1488" s="9">
        <f>STATS1003B!S1566/1000</f>
        <v>0</v>
      </c>
      <c r="T1488" s="9">
        <f>STATS1003B!T1566/1000</f>
        <v>0</v>
      </c>
      <c r="U1488" s="9">
        <f>STATS1003B!U1566/1000</f>
        <v>0</v>
      </c>
      <c r="V1488" s="9">
        <f>STATS1003B!V1566/1000</f>
        <v>228.46299999999999</v>
      </c>
      <c r="W1488" s="9">
        <f>STATS1003B!W1566/1000</f>
        <v>0</v>
      </c>
      <c r="X1488" s="9">
        <f>STATS1003B!X1566/1000</f>
        <v>228.46299999999999</v>
      </c>
      <c r="Y1488" s="9">
        <f>STATS1003B!Y1566/1000</f>
        <v>0</v>
      </c>
      <c r="Z1488" s="9">
        <f>STATS1003B!Z1566/1000</f>
        <v>0</v>
      </c>
      <c r="AA1488" s="9">
        <f>STATS1003B!AA1566/1000</f>
        <v>228.46299999999999</v>
      </c>
      <c r="AB1488" s="9">
        <f>STATS1003B!AB1566/1000</f>
        <v>0</v>
      </c>
    </row>
    <row r="1489" spans="1:28" x14ac:dyDescent="0.35">
      <c r="A1489" s="36"/>
      <c r="B1489" s="8"/>
      <c r="C1489" s="7" t="s">
        <v>930</v>
      </c>
      <c r="D1489" s="8"/>
      <c r="E1489" s="9">
        <f>STATS1003B!E1567/1000</f>
        <v>1218.4912400000001</v>
      </c>
      <c r="F1489" s="9">
        <f>STATS1003B!F1567/1000</f>
        <v>1218.4912400000001</v>
      </c>
      <c r="G1489" s="9">
        <f>STATS1003B!G1567/1000</f>
        <v>0</v>
      </c>
      <c r="H1489" s="9">
        <f>STATS1003B!H1567/1000</f>
        <v>1218.4912400000001</v>
      </c>
      <c r="I1489" s="9">
        <f>STATS1003B!I1567/1000</f>
        <v>0</v>
      </c>
      <c r="J1489" s="9">
        <f>STATS1003B!J1567/1000</f>
        <v>0</v>
      </c>
      <c r="K1489" s="9">
        <f>STATS1003B!K1567/1000</f>
        <v>0</v>
      </c>
      <c r="L1489" s="9">
        <f>STATS1003B!L1567/1000</f>
        <v>0</v>
      </c>
      <c r="M1489" s="9">
        <f>STATS1003B!M1567/1000</f>
        <v>1218.4912400000001</v>
      </c>
      <c r="N1489" s="9">
        <f>STATS1003B!N1567/1000</f>
        <v>0</v>
      </c>
      <c r="O1489" s="9">
        <f>STATS1003B!O1567/1000</f>
        <v>0</v>
      </c>
      <c r="P1489" s="9">
        <f>STATS1003B!P1567/1000</f>
        <v>0</v>
      </c>
      <c r="Q1489" s="9">
        <f>STATS1003B!Q1567/1000</f>
        <v>0</v>
      </c>
      <c r="R1489" s="9">
        <f>STATS1003B!R1567/1000</f>
        <v>0</v>
      </c>
      <c r="S1489" s="9">
        <f>STATS1003B!S1567/1000</f>
        <v>0</v>
      </c>
      <c r="T1489" s="9">
        <f>STATS1003B!T1567/1000</f>
        <v>0</v>
      </c>
      <c r="U1489" s="9">
        <f>STATS1003B!U1567/1000</f>
        <v>0</v>
      </c>
      <c r="V1489" s="9">
        <f>STATS1003B!V1567/1000</f>
        <v>1218.4912400000001</v>
      </c>
      <c r="W1489" s="9">
        <f>STATS1003B!W1567/1000</f>
        <v>0</v>
      </c>
      <c r="X1489" s="9">
        <f>STATS1003B!X1567/1000</f>
        <v>1218.4912400000001</v>
      </c>
      <c r="Y1489" s="9">
        <f>STATS1003B!Y1567/1000</f>
        <v>0</v>
      </c>
      <c r="Z1489" s="9">
        <f>STATS1003B!Z1567/1000</f>
        <v>0</v>
      </c>
      <c r="AA1489" s="9">
        <f>STATS1003B!AA1567/1000</f>
        <v>1218.4912400000001</v>
      </c>
      <c r="AB1489" s="9">
        <f>STATS1003B!AB1567/1000</f>
        <v>0</v>
      </c>
    </row>
    <row r="1490" spans="1:28" x14ac:dyDescent="0.35">
      <c r="A1490" s="36"/>
      <c r="B1490" s="8"/>
      <c r="C1490" s="7" t="s">
        <v>57</v>
      </c>
      <c r="D1490" s="23" t="s">
        <v>61</v>
      </c>
      <c r="E1490" s="9">
        <f>STATS1003B!E1569/1000</f>
        <v>1561</v>
      </c>
      <c r="F1490" s="9">
        <f>STATS1003B!F1569/1000</f>
        <v>1561</v>
      </c>
      <c r="G1490" s="9">
        <f>STATS1003B!G1569/1000</f>
        <v>0</v>
      </c>
      <c r="H1490" s="9">
        <f>STATS1003B!H1569/1000</f>
        <v>1561</v>
      </c>
      <c r="I1490" s="9">
        <f>STATS1003B!I1569/1000</f>
        <v>0</v>
      </c>
      <c r="J1490" s="9">
        <f>STATS1003B!J1569/1000</f>
        <v>0</v>
      </c>
      <c r="K1490" s="9">
        <f>STATS1003B!K1569/1000</f>
        <v>0</v>
      </c>
      <c r="L1490" s="9">
        <f>STATS1003B!L1569/1000</f>
        <v>0</v>
      </c>
      <c r="M1490" s="9">
        <f>STATS1003B!M1569/1000</f>
        <v>1561</v>
      </c>
      <c r="N1490" s="9">
        <f>STATS1003B!N1569/1000</f>
        <v>0</v>
      </c>
      <c r="O1490" s="9">
        <f>STATS1003B!O1569/1000</f>
        <v>0</v>
      </c>
      <c r="P1490" s="9">
        <f>STATS1003B!P1569/1000</f>
        <v>0</v>
      </c>
      <c r="Q1490" s="9">
        <f>STATS1003B!Q1569/1000</f>
        <v>0</v>
      </c>
      <c r="R1490" s="9">
        <f>STATS1003B!R1569/1000</f>
        <v>0</v>
      </c>
      <c r="S1490" s="9">
        <f>STATS1003B!S1569/1000</f>
        <v>0</v>
      </c>
      <c r="T1490" s="9">
        <f>STATS1003B!T1569/1000</f>
        <v>0</v>
      </c>
      <c r="U1490" s="9">
        <f>STATS1003B!U1569/1000</f>
        <v>0</v>
      </c>
      <c r="V1490" s="9">
        <f>STATS1003B!V1569/1000</f>
        <v>1561</v>
      </c>
      <c r="W1490" s="9">
        <f>STATS1003B!W1569/1000</f>
        <v>0</v>
      </c>
      <c r="X1490" s="9">
        <f>STATS1003B!X1569/1000</f>
        <v>1561</v>
      </c>
      <c r="Y1490" s="9">
        <f>STATS1003B!Y1569/1000</f>
        <v>0</v>
      </c>
      <c r="Z1490" s="9">
        <f>STATS1003B!Z1569/1000</f>
        <v>0</v>
      </c>
      <c r="AA1490" s="9">
        <f>STATS1003B!AA1569/1000</f>
        <v>1561</v>
      </c>
      <c r="AB1490" s="9">
        <f>STATS1003B!AB1569/1000</f>
        <v>0</v>
      </c>
    </row>
    <row r="1491" spans="1:28" x14ac:dyDescent="0.35">
      <c r="A1491" s="36"/>
      <c r="B1491" s="8"/>
      <c r="C1491" s="8"/>
      <c r="D1491" s="8"/>
      <c r="E1491" s="17" t="s">
        <v>29</v>
      </c>
      <c r="F1491" s="17" t="s">
        <v>29</v>
      </c>
      <c r="G1491" s="17" t="s">
        <v>29</v>
      </c>
      <c r="H1491" s="17" t="s">
        <v>29</v>
      </c>
      <c r="I1491" s="17" t="s">
        <v>29</v>
      </c>
      <c r="J1491" s="17" t="s">
        <v>29</v>
      </c>
      <c r="K1491" s="17" t="s">
        <v>29</v>
      </c>
      <c r="L1491" s="17" t="s">
        <v>29</v>
      </c>
      <c r="M1491" s="17" t="s">
        <v>29</v>
      </c>
      <c r="N1491" s="17" t="s">
        <v>29</v>
      </c>
      <c r="O1491" s="17" t="s">
        <v>29</v>
      </c>
      <c r="P1491" s="17" t="s">
        <v>29</v>
      </c>
      <c r="Q1491" s="17" t="s">
        <v>29</v>
      </c>
      <c r="R1491" s="17" t="s">
        <v>29</v>
      </c>
      <c r="S1491" s="17" t="s">
        <v>29</v>
      </c>
      <c r="T1491" s="17" t="s">
        <v>29</v>
      </c>
      <c r="U1491" s="17" t="s">
        <v>29</v>
      </c>
      <c r="V1491" s="17" t="s">
        <v>29</v>
      </c>
      <c r="W1491" s="17" t="s">
        <v>29</v>
      </c>
      <c r="X1491" s="17" t="s">
        <v>29</v>
      </c>
      <c r="Y1491" s="17" t="s">
        <v>29</v>
      </c>
      <c r="Z1491" s="17" t="s">
        <v>29</v>
      </c>
      <c r="AA1491" s="17" t="s">
        <v>29</v>
      </c>
      <c r="AB1491" s="17" t="s">
        <v>29</v>
      </c>
    </row>
    <row r="1492" spans="1:28" x14ac:dyDescent="0.35">
      <c r="A1492" s="36"/>
      <c r="B1492" s="8"/>
      <c r="C1492" s="8"/>
      <c r="D1492" s="8"/>
      <c r="E1492" s="9">
        <f t="shared" ref="E1492:AB1492" si="107">SUM(E1473:E1490)</f>
        <v>19205.431199999999</v>
      </c>
      <c r="F1492" s="9">
        <f t="shared" si="107"/>
        <v>14165.667880000001</v>
      </c>
      <c r="G1492" s="9">
        <f t="shared" si="107"/>
        <v>0</v>
      </c>
      <c r="H1492" s="9">
        <f t="shared" si="107"/>
        <v>14165.667880000001</v>
      </c>
      <c r="I1492" s="9">
        <f t="shared" si="107"/>
        <v>0</v>
      </c>
      <c r="J1492" s="9">
        <f t="shared" si="107"/>
        <v>0</v>
      </c>
      <c r="K1492" s="9">
        <f t="shared" si="107"/>
        <v>0</v>
      </c>
      <c r="L1492" s="9">
        <f t="shared" si="107"/>
        <v>0</v>
      </c>
      <c r="M1492" s="9">
        <f t="shared" si="107"/>
        <v>14165.667880000001</v>
      </c>
      <c r="N1492" s="9">
        <f t="shared" si="107"/>
        <v>5005.5103199999994</v>
      </c>
      <c r="O1492" s="9">
        <f t="shared" si="107"/>
        <v>0</v>
      </c>
      <c r="P1492" s="9">
        <f t="shared" si="107"/>
        <v>5005.5103199999994</v>
      </c>
      <c r="Q1492" s="9">
        <f t="shared" si="107"/>
        <v>0</v>
      </c>
      <c r="R1492" s="9">
        <f t="shared" si="107"/>
        <v>0</v>
      </c>
      <c r="S1492" s="9">
        <f t="shared" si="107"/>
        <v>0</v>
      </c>
      <c r="T1492" s="9">
        <f t="shared" si="107"/>
        <v>0</v>
      </c>
      <c r="U1492" s="9">
        <f t="shared" si="107"/>
        <v>5005.5103199999994</v>
      </c>
      <c r="V1492" s="9">
        <f t="shared" si="107"/>
        <v>19171.178199999998</v>
      </c>
      <c r="W1492" s="9">
        <f t="shared" si="107"/>
        <v>34.253</v>
      </c>
      <c r="X1492" s="9">
        <f t="shared" si="107"/>
        <v>19171.178199999998</v>
      </c>
      <c r="Y1492" s="9">
        <f t="shared" si="107"/>
        <v>0</v>
      </c>
      <c r="Z1492" s="9">
        <f t="shared" si="107"/>
        <v>34.253</v>
      </c>
      <c r="AA1492" s="9">
        <f t="shared" si="107"/>
        <v>19171.178199999998</v>
      </c>
      <c r="AB1492" s="9">
        <f t="shared" si="107"/>
        <v>34.253</v>
      </c>
    </row>
    <row r="1493" spans="1:28" x14ac:dyDescent="0.35">
      <c r="A1493" s="36"/>
      <c r="B1493" s="8"/>
      <c r="C1493" s="8"/>
      <c r="D1493" s="8"/>
      <c r="E1493" s="17" t="s">
        <v>29</v>
      </c>
      <c r="F1493" s="17" t="s">
        <v>29</v>
      </c>
      <c r="G1493" s="17" t="s">
        <v>29</v>
      </c>
      <c r="H1493" s="17" t="s">
        <v>29</v>
      </c>
      <c r="I1493" s="17" t="s">
        <v>29</v>
      </c>
      <c r="J1493" s="17" t="s">
        <v>29</v>
      </c>
      <c r="K1493" s="17" t="s">
        <v>29</v>
      </c>
      <c r="L1493" s="17" t="s">
        <v>29</v>
      </c>
      <c r="M1493" s="17" t="s">
        <v>29</v>
      </c>
      <c r="N1493" s="17" t="s">
        <v>29</v>
      </c>
      <c r="O1493" s="17" t="s">
        <v>29</v>
      </c>
      <c r="P1493" s="17" t="s">
        <v>29</v>
      </c>
      <c r="Q1493" s="17" t="s">
        <v>29</v>
      </c>
      <c r="R1493" s="17" t="s">
        <v>29</v>
      </c>
      <c r="S1493" s="17" t="s">
        <v>29</v>
      </c>
      <c r="T1493" s="17" t="s">
        <v>29</v>
      </c>
      <c r="U1493" s="17" t="s">
        <v>29</v>
      </c>
      <c r="V1493" s="17" t="s">
        <v>29</v>
      </c>
      <c r="W1493" s="17" t="s">
        <v>29</v>
      </c>
      <c r="X1493" s="17" t="s">
        <v>29</v>
      </c>
      <c r="Y1493" s="17" t="s">
        <v>29</v>
      </c>
      <c r="Z1493" s="17" t="s">
        <v>29</v>
      </c>
      <c r="AA1493" s="17" t="s">
        <v>29</v>
      </c>
      <c r="AB1493" s="17" t="s">
        <v>29</v>
      </c>
    </row>
    <row r="1494" spans="1:28" x14ac:dyDescent="0.35">
      <c r="A1494" s="38" t="s">
        <v>1003</v>
      </c>
      <c r="B1494" s="7" t="s">
        <v>303</v>
      </c>
      <c r="C1494" s="8"/>
      <c r="D1494" s="15" t="s">
        <v>304</v>
      </c>
      <c r="E1494" s="8"/>
      <c r="F1494" s="8"/>
      <c r="G1494" s="8"/>
      <c r="H1494" s="8"/>
      <c r="I1494" s="8"/>
      <c r="J1494" s="8"/>
      <c r="K1494" s="8"/>
      <c r="L1494" s="8"/>
      <c r="M1494" s="8"/>
      <c r="N1494" s="8"/>
      <c r="O1494" s="8"/>
      <c r="P1494" s="8"/>
      <c r="Q1494" s="8"/>
      <c r="R1494" s="8"/>
      <c r="S1494" s="8"/>
      <c r="T1494" s="8"/>
      <c r="U1494" s="8"/>
      <c r="V1494" s="8"/>
      <c r="W1494" s="8"/>
      <c r="X1494" s="8"/>
      <c r="Y1494" s="8"/>
      <c r="Z1494" s="8"/>
    </row>
    <row r="1495" spans="1:28" x14ac:dyDescent="0.35">
      <c r="A1495" s="36"/>
      <c r="B1495" s="8"/>
      <c r="C1495" s="7" t="s">
        <v>305</v>
      </c>
      <c r="D1495" s="14" t="s">
        <v>52</v>
      </c>
      <c r="E1495" s="9">
        <f>STATS1003B!E1574/1000</f>
        <v>16277.62996</v>
      </c>
      <c r="F1495" s="9">
        <f>STATS1003B!F1574/1000</f>
        <v>15424.535179999999</v>
      </c>
      <c r="G1495" s="9">
        <f>STATS1003B!G1574/1000</f>
        <v>0</v>
      </c>
      <c r="H1495" s="9">
        <f>STATS1003B!H1574/1000</f>
        <v>15424.535179999999</v>
      </c>
      <c r="I1495" s="9">
        <f>STATS1003B!I1574/1000</f>
        <v>0</v>
      </c>
      <c r="J1495" s="9">
        <f>STATS1003B!J1574/1000</f>
        <v>0</v>
      </c>
      <c r="K1495" s="9">
        <f>STATS1003B!K1574/1000</f>
        <v>0</v>
      </c>
      <c r="L1495" s="9">
        <f>STATS1003B!L1574/1000</f>
        <v>0</v>
      </c>
      <c r="M1495" s="9">
        <f>STATS1003B!M1574/1000</f>
        <v>15424.535179999999</v>
      </c>
      <c r="N1495" s="9">
        <f>STATS1003B!N1574/1000</f>
        <v>853.09478000000001</v>
      </c>
      <c r="O1495" s="9">
        <f>STATS1003B!O1574/1000</f>
        <v>0</v>
      </c>
      <c r="P1495" s="9">
        <f>STATS1003B!P1574/1000</f>
        <v>853.09478000000001</v>
      </c>
      <c r="Q1495" s="9">
        <f>STATS1003B!Q1574/1000</f>
        <v>0</v>
      </c>
      <c r="R1495" s="9">
        <f>STATS1003B!R1574/1000</f>
        <v>0</v>
      </c>
      <c r="S1495" s="9">
        <f>STATS1003B!S1574/1000</f>
        <v>0</v>
      </c>
      <c r="T1495" s="9">
        <f>STATS1003B!T1574/1000</f>
        <v>0</v>
      </c>
      <c r="U1495" s="9">
        <f>STATS1003B!U1574/1000</f>
        <v>853.09478000000001</v>
      </c>
      <c r="V1495" s="9">
        <f>STATS1003B!V1574/1000</f>
        <v>16277.629959999998</v>
      </c>
      <c r="W1495" s="9">
        <f>STATS1003B!W1574/1000</f>
        <v>0</v>
      </c>
      <c r="X1495" s="9">
        <f>STATS1003B!X1574/1000</f>
        <v>16277.629959999998</v>
      </c>
      <c r="Y1495" s="9">
        <f>STATS1003B!Y1574/1000</f>
        <v>0</v>
      </c>
      <c r="Z1495" s="9">
        <f>STATS1003B!Z1574/1000</f>
        <v>0</v>
      </c>
      <c r="AA1495" s="9">
        <f>STATS1003B!AA1574/1000</f>
        <v>16277.629959999998</v>
      </c>
      <c r="AB1495" s="9">
        <f>STATS1003B!AB1574/1000</f>
        <v>0</v>
      </c>
    </row>
    <row r="1496" spans="1:28" x14ac:dyDescent="0.35">
      <c r="A1496" s="36"/>
      <c r="B1496" s="8"/>
      <c r="C1496" s="7" t="s">
        <v>172</v>
      </c>
      <c r="D1496" s="15" t="s">
        <v>166</v>
      </c>
      <c r="E1496" s="9">
        <f>STATS1003B!E1575/1000</f>
        <v>663.83900000000006</v>
      </c>
      <c r="F1496" s="9">
        <f>STATS1003B!F1575/1000</f>
        <v>663.83900000000006</v>
      </c>
      <c r="G1496" s="9">
        <f>STATS1003B!G1575/1000</f>
        <v>0</v>
      </c>
      <c r="H1496" s="9">
        <f>STATS1003B!H1575/1000</f>
        <v>663.83900000000006</v>
      </c>
      <c r="I1496" s="9">
        <f>STATS1003B!I1575/1000</f>
        <v>0</v>
      </c>
      <c r="J1496" s="9">
        <f>STATS1003B!J1575/1000</f>
        <v>0</v>
      </c>
      <c r="K1496" s="9">
        <f>STATS1003B!K1575/1000</f>
        <v>0</v>
      </c>
      <c r="L1496" s="9">
        <f>STATS1003B!L1575/1000</f>
        <v>0</v>
      </c>
      <c r="M1496" s="9">
        <f>STATS1003B!M1575/1000</f>
        <v>663.83900000000006</v>
      </c>
      <c r="N1496" s="9">
        <f>STATS1003B!N1575/1000</f>
        <v>0</v>
      </c>
      <c r="O1496" s="9">
        <f>STATS1003B!O1575/1000</f>
        <v>0</v>
      </c>
      <c r="P1496" s="9">
        <f>STATS1003B!P1575/1000</f>
        <v>0</v>
      </c>
      <c r="Q1496" s="9">
        <f>STATS1003B!Q1575/1000</f>
        <v>0</v>
      </c>
      <c r="R1496" s="9">
        <f>STATS1003B!R1575/1000</f>
        <v>0</v>
      </c>
      <c r="S1496" s="9">
        <f>STATS1003B!S1575/1000</f>
        <v>0</v>
      </c>
      <c r="T1496" s="9">
        <f>STATS1003B!T1575/1000</f>
        <v>0</v>
      </c>
      <c r="U1496" s="9">
        <f>STATS1003B!U1575/1000</f>
        <v>0</v>
      </c>
      <c r="V1496" s="9">
        <f>STATS1003B!V1575/1000</f>
        <v>663.83900000000006</v>
      </c>
      <c r="W1496" s="9">
        <f>STATS1003B!W1575/1000</f>
        <v>0</v>
      </c>
      <c r="X1496" s="9">
        <f>STATS1003B!X1575/1000</f>
        <v>663.83900000000006</v>
      </c>
      <c r="Y1496" s="9">
        <f>STATS1003B!Y1575/1000</f>
        <v>0</v>
      </c>
      <c r="Z1496" s="9">
        <f>STATS1003B!Z1575/1000</f>
        <v>0</v>
      </c>
      <c r="AA1496" s="9">
        <f>STATS1003B!AA1575/1000</f>
        <v>663.83900000000006</v>
      </c>
      <c r="AB1496" s="9">
        <f>STATS1003B!AB1575/1000</f>
        <v>0</v>
      </c>
    </row>
    <row r="1497" spans="1:28" x14ac:dyDescent="0.35">
      <c r="A1497" s="36"/>
      <c r="B1497" s="8"/>
      <c r="C1497" s="7" t="s">
        <v>295</v>
      </c>
      <c r="D1497" s="15" t="s">
        <v>306</v>
      </c>
      <c r="E1497" s="9">
        <f>STATS1003B!E1576/1000</f>
        <v>60</v>
      </c>
      <c r="F1497" s="9">
        <f>STATS1003B!F1576/1000</f>
        <v>0</v>
      </c>
      <c r="G1497" s="9">
        <f>STATS1003B!G1576/1000</f>
        <v>0</v>
      </c>
      <c r="H1497" s="9">
        <f>STATS1003B!H1576/1000</f>
        <v>0</v>
      </c>
      <c r="I1497" s="9">
        <f>STATS1003B!I1576/1000</f>
        <v>0</v>
      </c>
      <c r="J1497" s="9">
        <f>STATS1003B!J1576/1000</f>
        <v>0</v>
      </c>
      <c r="K1497" s="9">
        <f>STATS1003B!K1576/1000</f>
        <v>0</v>
      </c>
      <c r="L1497" s="9">
        <f>STATS1003B!L1576/1000</f>
        <v>0</v>
      </c>
      <c r="M1497" s="9">
        <f>STATS1003B!M1576/1000</f>
        <v>0</v>
      </c>
      <c r="N1497" s="9">
        <f>STATS1003B!N1576/1000</f>
        <v>0</v>
      </c>
      <c r="O1497" s="9">
        <f>STATS1003B!O1576/1000</f>
        <v>0</v>
      </c>
      <c r="P1497" s="9">
        <f>STATS1003B!P1576/1000</f>
        <v>0</v>
      </c>
      <c r="Q1497" s="9">
        <f>STATS1003B!Q1576/1000</f>
        <v>0</v>
      </c>
      <c r="R1497" s="9">
        <f>STATS1003B!R1576/1000</f>
        <v>0</v>
      </c>
      <c r="S1497" s="9">
        <f>STATS1003B!S1576/1000</f>
        <v>0</v>
      </c>
      <c r="T1497" s="9">
        <f>STATS1003B!T1576/1000</f>
        <v>0</v>
      </c>
      <c r="U1497" s="9">
        <f>STATS1003B!U1576/1000</f>
        <v>0</v>
      </c>
      <c r="V1497" s="9">
        <f>STATS1003B!V1576/1000</f>
        <v>0</v>
      </c>
      <c r="W1497" s="9">
        <f>STATS1003B!W1576/1000</f>
        <v>60</v>
      </c>
      <c r="X1497" s="9">
        <f>STATS1003B!X1576/1000</f>
        <v>0</v>
      </c>
      <c r="Y1497" s="9">
        <f>STATS1003B!Y1576/1000</f>
        <v>0</v>
      </c>
      <c r="Z1497" s="9">
        <f>STATS1003B!Z1576/1000</f>
        <v>60</v>
      </c>
      <c r="AA1497" s="9">
        <f>STATS1003B!AA1576/1000</f>
        <v>0</v>
      </c>
      <c r="AB1497" s="9">
        <f>STATS1003B!AB1576/1000</f>
        <v>60</v>
      </c>
    </row>
    <row r="1498" spans="1:28" x14ac:dyDescent="0.35">
      <c r="A1498" s="36"/>
      <c r="B1498" s="8"/>
      <c r="C1498" s="7" t="s">
        <v>53</v>
      </c>
      <c r="D1498" s="15" t="s">
        <v>54</v>
      </c>
      <c r="E1498" s="9">
        <f>STATS1003B!E1577/1000</f>
        <v>1767.77</v>
      </c>
      <c r="F1498" s="9">
        <f>STATS1003B!F1577/1000</f>
        <v>0</v>
      </c>
      <c r="G1498" s="9">
        <f>STATS1003B!G1577/1000</f>
        <v>0</v>
      </c>
      <c r="H1498" s="9">
        <f>STATS1003B!H1577/1000</f>
        <v>0</v>
      </c>
      <c r="I1498" s="9">
        <f>STATS1003B!I1577/1000</f>
        <v>0</v>
      </c>
      <c r="J1498" s="9">
        <f>STATS1003B!J1577/1000</f>
        <v>0</v>
      </c>
      <c r="K1498" s="9">
        <f>STATS1003B!K1577/1000</f>
        <v>0</v>
      </c>
      <c r="L1498" s="9">
        <f>STATS1003B!L1577/1000</f>
        <v>0</v>
      </c>
      <c r="M1498" s="9">
        <f>STATS1003B!M1577/1000</f>
        <v>0</v>
      </c>
      <c r="N1498" s="9">
        <f>STATS1003B!N1577/1000</f>
        <v>1767.77</v>
      </c>
      <c r="O1498" s="9">
        <f>STATS1003B!O1577/1000</f>
        <v>0</v>
      </c>
      <c r="P1498" s="9">
        <f>STATS1003B!P1577/1000</f>
        <v>1767.77</v>
      </c>
      <c r="Q1498" s="9">
        <f>STATS1003B!Q1577/1000</f>
        <v>0</v>
      </c>
      <c r="R1498" s="9">
        <f>STATS1003B!R1577/1000</f>
        <v>0</v>
      </c>
      <c r="S1498" s="9">
        <f>STATS1003B!S1577/1000</f>
        <v>0</v>
      </c>
      <c r="T1498" s="9">
        <f>STATS1003B!T1577/1000</f>
        <v>0</v>
      </c>
      <c r="U1498" s="9">
        <f>STATS1003B!U1577/1000</f>
        <v>1767.77</v>
      </c>
      <c r="V1498" s="9">
        <f>STATS1003B!V1577/1000</f>
        <v>1767.77</v>
      </c>
      <c r="W1498" s="9">
        <f>STATS1003B!W1577/1000</f>
        <v>0</v>
      </c>
      <c r="X1498" s="9">
        <f>STATS1003B!X1577/1000</f>
        <v>1767.77</v>
      </c>
      <c r="Y1498" s="9">
        <f>STATS1003B!Y1577/1000</f>
        <v>0</v>
      </c>
      <c r="Z1498" s="9">
        <f>STATS1003B!Z1577/1000</f>
        <v>0</v>
      </c>
      <c r="AA1498" s="9">
        <f>STATS1003B!AA1577/1000</f>
        <v>1767.77</v>
      </c>
      <c r="AB1498" s="9">
        <f>STATS1003B!AB1577/1000</f>
        <v>0</v>
      </c>
    </row>
    <row r="1499" spans="1:28" x14ac:dyDescent="0.35">
      <c r="A1499" s="36"/>
      <c r="B1499" s="8"/>
      <c r="C1499" s="7" t="s">
        <v>307</v>
      </c>
      <c r="D1499" s="15" t="s">
        <v>308</v>
      </c>
      <c r="E1499" s="9">
        <f>STATS1003B!E1578/1000</f>
        <v>1750</v>
      </c>
      <c r="F1499" s="9">
        <f>STATS1003B!F1578/1000</f>
        <v>1750</v>
      </c>
      <c r="G1499" s="9">
        <f>STATS1003B!G1578/1000</f>
        <v>0</v>
      </c>
      <c r="H1499" s="9">
        <f>STATS1003B!H1578/1000</f>
        <v>1750</v>
      </c>
      <c r="I1499" s="9">
        <f>STATS1003B!I1578/1000</f>
        <v>0</v>
      </c>
      <c r="J1499" s="9">
        <f>STATS1003B!J1578/1000</f>
        <v>0</v>
      </c>
      <c r="K1499" s="9">
        <f>STATS1003B!K1578/1000</f>
        <v>0</v>
      </c>
      <c r="L1499" s="9">
        <f>STATS1003B!L1578/1000</f>
        <v>0</v>
      </c>
      <c r="M1499" s="9">
        <f>STATS1003B!M1578/1000</f>
        <v>1750</v>
      </c>
      <c r="N1499" s="9">
        <f>STATS1003B!N1578/1000</f>
        <v>0</v>
      </c>
      <c r="O1499" s="9">
        <f>STATS1003B!O1578/1000</f>
        <v>0</v>
      </c>
      <c r="P1499" s="9">
        <f>STATS1003B!P1578/1000</f>
        <v>0</v>
      </c>
      <c r="Q1499" s="9">
        <f>STATS1003B!Q1578/1000</f>
        <v>0</v>
      </c>
      <c r="R1499" s="9">
        <f>STATS1003B!R1578/1000</f>
        <v>0</v>
      </c>
      <c r="S1499" s="9">
        <f>STATS1003B!S1578/1000</f>
        <v>0</v>
      </c>
      <c r="T1499" s="9">
        <f>STATS1003B!T1578/1000</f>
        <v>0</v>
      </c>
      <c r="U1499" s="9">
        <f>STATS1003B!U1578/1000</f>
        <v>0</v>
      </c>
      <c r="V1499" s="9">
        <f>STATS1003B!V1578/1000</f>
        <v>1750</v>
      </c>
      <c r="W1499" s="9">
        <f>STATS1003B!W1578/1000</f>
        <v>0</v>
      </c>
      <c r="X1499" s="9">
        <f>STATS1003B!X1578/1000</f>
        <v>1750</v>
      </c>
      <c r="Y1499" s="9">
        <f>STATS1003B!Y1578/1000</f>
        <v>0</v>
      </c>
      <c r="Z1499" s="9">
        <f>STATS1003B!Z1578/1000</f>
        <v>0</v>
      </c>
      <c r="AA1499" s="9">
        <f>STATS1003B!AA1578/1000</f>
        <v>1750</v>
      </c>
      <c r="AB1499" s="9">
        <f>STATS1003B!AB1578/1000</f>
        <v>0</v>
      </c>
    </row>
    <row r="1500" spans="1:28" x14ac:dyDescent="0.35">
      <c r="A1500" s="36"/>
      <c r="B1500" s="8"/>
      <c r="C1500" s="7" t="s">
        <v>300</v>
      </c>
      <c r="D1500" s="15" t="s">
        <v>234</v>
      </c>
      <c r="E1500" s="9">
        <f>STATS1003B!E1579/1000</f>
        <v>605</v>
      </c>
      <c r="F1500" s="9">
        <f>STATS1003B!F1579/1000</f>
        <v>605</v>
      </c>
      <c r="G1500" s="9">
        <f>STATS1003B!G1579/1000</f>
        <v>0</v>
      </c>
      <c r="H1500" s="9">
        <f>STATS1003B!H1579/1000</f>
        <v>605</v>
      </c>
      <c r="I1500" s="9">
        <f>STATS1003B!I1579/1000</f>
        <v>0</v>
      </c>
      <c r="J1500" s="9">
        <f>STATS1003B!J1579/1000</f>
        <v>0</v>
      </c>
      <c r="K1500" s="9">
        <f>STATS1003B!K1579/1000</f>
        <v>0</v>
      </c>
      <c r="L1500" s="9">
        <f>STATS1003B!L1579/1000</f>
        <v>0</v>
      </c>
      <c r="M1500" s="9">
        <f>STATS1003B!M1579/1000</f>
        <v>605</v>
      </c>
      <c r="N1500" s="9">
        <f>STATS1003B!N1579/1000</f>
        <v>0</v>
      </c>
      <c r="O1500" s="9">
        <f>STATS1003B!O1579/1000</f>
        <v>0</v>
      </c>
      <c r="P1500" s="9">
        <f>STATS1003B!P1579/1000</f>
        <v>0</v>
      </c>
      <c r="Q1500" s="9">
        <f>STATS1003B!Q1579/1000</f>
        <v>0</v>
      </c>
      <c r="R1500" s="9">
        <f>STATS1003B!R1579/1000</f>
        <v>0</v>
      </c>
      <c r="S1500" s="9">
        <f>STATS1003B!S1579/1000</f>
        <v>0</v>
      </c>
      <c r="T1500" s="9">
        <f>STATS1003B!T1579/1000</f>
        <v>0</v>
      </c>
      <c r="U1500" s="9">
        <f>STATS1003B!U1579/1000</f>
        <v>0</v>
      </c>
      <c r="V1500" s="9">
        <f>STATS1003B!V1579/1000</f>
        <v>605</v>
      </c>
      <c r="W1500" s="9">
        <f>STATS1003B!W1579/1000</f>
        <v>0</v>
      </c>
      <c r="X1500" s="9">
        <f>STATS1003B!X1579/1000</f>
        <v>605</v>
      </c>
      <c r="Y1500" s="9">
        <f>STATS1003B!Y1579/1000</f>
        <v>0</v>
      </c>
      <c r="Z1500" s="9">
        <f>STATS1003B!Z1579/1000</f>
        <v>0</v>
      </c>
      <c r="AA1500" s="9">
        <f>STATS1003B!AA1579/1000</f>
        <v>605</v>
      </c>
      <c r="AB1500" s="9">
        <f>STATS1003B!AB1579/1000</f>
        <v>0</v>
      </c>
    </row>
    <row r="1501" spans="1:28" x14ac:dyDescent="0.35">
      <c r="A1501" s="36"/>
      <c r="B1501" s="8"/>
      <c r="C1501" s="7" t="s">
        <v>106</v>
      </c>
      <c r="D1501" s="15" t="s">
        <v>234</v>
      </c>
      <c r="E1501" s="9">
        <f>STATS1003B!E1580/1000</f>
        <v>307.5</v>
      </c>
      <c r="F1501" s="9">
        <f>STATS1003B!F1580/1000</f>
        <v>219.04</v>
      </c>
      <c r="G1501" s="9">
        <f>STATS1003B!G1580/1000</f>
        <v>0</v>
      </c>
      <c r="H1501" s="9">
        <f>STATS1003B!H1580/1000</f>
        <v>219.04</v>
      </c>
      <c r="I1501" s="9">
        <f>STATS1003B!I1580/1000</f>
        <v>0</v>
      </c>
      <c r="J1501" s="9">
        <f>STATS1003B!J1580/1000</f>
        <v>0</v>
      </c>
      <c r="K1501" s="9">
        <f>STATS1003B!K1580/1000</f>
        <v>0</v>
      </c>
      <c r="L1501" s="9">
        <f>STATS1003B!L1580/1000</f>
        <v>0</v>
      </c>
      <c r="M1501" s="9">
        <f>STATS1003B!M1580/1000</f>
        <v>219.04</v>
      </c>
      <c r="N1501" s="9">
        <f>STATS1003B!N1580/1000</f>
        <v>0</v>
      </c>
      <c r="O1501" s="9">
        <f>STATS1003B!O1580/1000</f>
        <v>0</v>
      </c>
      <c r="P1501" s="9">
        <f>STATS1003B!P1580/1000</f>
        <v>0</v>
      </c>
      <c r="Q1501" s="9">
        <f>STATS1003B!Q1580/1000</f>
        <v>0</v>
      </c>
      <c r="R1501" s="9">
        <f>STATS1003B!R1580/1000</f>
        <v>0</v>
      </c>
      <c r="S1501" s="9">
        <f>STATS1003B!S1580/1000</f>
        <v>0</v>
      </c>
      <c r="T1501" s="9">
        <f>STATS1003B!T1580/1000</f>
        <v>0</v>
      </c>
      <c r="U1501" s="9">
        <f>STATS1003B!U1580/1000</f>
        <v>0</v>
      </c>
      <c r="V1501" s="9">
        <f>STATS1003B!V1580/1000</f>
        <v>219.04</v>
      </c>
      <c r="W1501" s="9">
        <f>STATS1003B!W1580/1000</f>
        <v>88.46</v>
      </c>
      <c r="X1501" s="9">
        <f>STATS1003B!X1580/1000</f>
        <v>219.04</v>
      </c>
      <c r="Y1501" s="9">
        <f>STATS1003B!Y1580/1000</f>
        <v>0</v>
      </c>
      <c r="Z1501" s="9">
        <f>STATS1003B!Z1580/1000</f>
        <v>88.46</v>
      </c>
      <c r="AA1501" s="9">
        <f>STATS1003B!AA1580/1000</f>
        <v>219.04</v>
      </c>
      <c r="AB1501" s="9">
        <f>STATS1003B!AB1580/1000</f>
        <v>88.46</v>
      </c>
    </row>
    <row r="1502" spans="1:28" x14ac:dyDescent="0.35">
      <c r="A1502" s="36"/>
      <c r="B1502" s="8"/>
      <c r="C1502" s="7" t="s">
        <v>309</v>
      </c>
      <c r="D1502" s="15" t="s">
        <v>234</v>
      </c>
      <c r="E1502" s="9">
        <f>STATS1003B!E1581/1000</f>
        <v>2700</v>
      </c>
      <c r="F1502" s="9">
        <f>STATS1003B!F1581/1000</f>
        <v>2700</v>
      </c>
      <c r="G1502" s="9">
        <f>STATS1003B!G1581/1000</f>
        <v>0</v>
      </c>
      <c r="H1502" s="9">
        <f>STATS1003B!H1581/1000</f>
        <v>2700</v>
      </c>
      <c r="I1502" s="9">
        <f>STATS1003B!I1581/1000</f>
        <v>0</v>
      </c>
      <c r="J1502" s="9">
        <f>STATS1003B!J1581/1000</f>
        <v>0</v>
      </c>
      <c r="K1502" s="9">
        <f>STATS1003B!K1581/1000</f>
        <v>0</v>
      </c>
      <c r="L1502" s="9">
        <f>STATS1003B!L1581/1000</f>
        <v>0</v>
      </c>
      <c r="M1502" s="9">
        <f>STATS1003B!M1581/1000</f>
        <v>2700</v>
      </c>
      <c r="N1502" s="9">
        <f>STATS1003B!N1581/1000</f>
        <v>0</v>
      </c>
      <c r="O1502" s="9">
        <f>STATS1003B!O1581/1000</f>
        <v>0</v>
      </c>
      <c r="P1502" s="9">
        <f>STATS1003B!P1581/1000</f>
        <v>0</v>
      </c>
      <c r="Q1502" s="9">
        <f>STATS1003B!Q1581/1000</f>
        <v>0</v>
      </c>
      <c r="R1502" s="9">
        <f>STATS1003B!R1581/1000</f>
        <v>0</v>
      </c>
      <c r="S1502" s="9">
        <f>STATS1003B!S1581/1000</f>
        <v>0</v>
      </c>
      <c r="T1502" s="9">
        <f>STATS1003B!T1581/1000</f>
        <v>0</v>
      </c>
      <c r="U1502" s="9">
        <f>STATS1003B!U1581/1000</f>
        <v>0</v>
      </c>
      <c r="V1502" s="9">
        <f>STATS1003B!V1581/1000</f>
        <v>2700</v>
      </c>
      <c r="W1502" s="9">
        <f>STATS1003B!W1581/1000</f>
        <v>0</v>
      </c>
      <c r="X1502" s="9">
        <f>STATS1003B!X1581/1000</f>
        <v>2700</v>
      </c>
      <c r="Y1502" s="9">
        <f>STATS1003B!Y1581/1000</f>
        <v>0</v>
      </c>
      <c r="Z1502" s="9">
        <f>STATS1003B!Z1581/1000</f>
        <v>0</v>
      </c>
      <c r="AA1502" s="9">
        <f>STATS1003B!AA1581/1000</f>
        <v>2700</v>
      </c>
      <c r="AB1502" s="9">
        <f>STATS1003B!AB1581/1000</f>
        <v>0</v>
      </c>
    </row>
    <row r="1503" spans="1:28" x14ac:dyDescent="0.35">
      <c r="A1503" s="36"/>
      <c r="B1503" s="8"/>
      <c r="C1503" s="7" t="s">
        <v>302</v>
      </c>
      <c r="D1503" s="15" t="s">
        <v>85</v>
      </c>
      <c r="E1503" s="9">
        <f>STATS1003B!E1582/1000</f>
        <v>200</v>
      </c>
      <c r="F1503" s="9">
        <f>STATS1003B!F1582/1000</f>
        <v>200</v>
      </c>
      <c r="G1503" s="9">
        <f>STATS1003B!G1582/1000</f>
        <v>0</v>
      </c>
      <c r="H1503" s="9">
        <f>STATS1003B!H1582/1000</f>
        <v>200</v>
      </c>
      <c r="I1503" s="9">
        <f>STATS1003B!I1582/1000</f>
        <v>0</v>
      </c>
      <c r="J1503" s="9">
        <f>STATS1003B!J1582/1000</f>
        <v>0</v>
      </c>
      <c r="K1503" s="9">
        <f>STATS1003B!K1582/1000</f>
        <v>0</v>
      </c>
      <c r="L1503" s="9">
        <f>STATS1003B!L1582/1000</f>
        <v>0</v>
      </c>
      <c r="M1503" s="9">
        <f>STATS1003B!M1582/1000</f>
        <v>200</v>
      </c>
      <c r="N1503" s="9">
        <f>STATS1003B!N1582/1000</f>
        <v>0</v>
      </c>
      <c r="O1503" s="9">
        <f>STATS1003B!O1582/1000</f>
        <v>0</v>
      </c>
      <c r="P1503" s="9">
        <f>STATS1003B!P1582/1000</f>
        <v>0</v>
      </c>
      <c r="Q1503" s="9">
        <f>STATS1003B!Q1582/1000</f>
        <v>0</v>
      </c>
      <c r="R1503" s="9">
        <f>STATS1003B!R1582/1000</f>
        <v>0</v>
      </c>
      <c r="S1503" s="9">
        <f>STATS1003B!S1582/1000</f>
        <v>0</v>
      </c>
      <c r="T1503" s="9">
        <f>STATS1003B!T1582/1000</f>
        <v>0</v>
      </c>
      <c r="U1503" s="9">
        <f>STATS1003B!U1582/1000</f>
        <v>0</v>
      </c>
      <c r="V1503" s="9">
        <f>STATS1003B!V1582/1000</f>
        <v>200</v>
      </c>
      <c r="W1503" s="9">
        <f>STATS1003B!W1582/1000</f>
        <v>0</v>
      </c>
      <c r="X1503" s="9">
        <f>STATS1003B!X1582/1000</f>
        <v>200</v>
      </c>
      <c r="Y1503" s="9">
        <f>STATS1003B!Y1582/1000</f>
        <v>0</v>
      </c>
      <c r="Z1503" s="9">
        <f>STATS1003B!Z1582/1000</f>
        <v>0</v>
      </c>
      <c r="AA1503" s="9">
        <f>STATS1003B!AA1582/1000</f>
        <v>200</v>
      </c>
      <c r="AB1503" s="9">
        <f>STATS1003B!AB1582/1000</f>
        <v>0</v>
      </c>
    </row>
    <row r="1504" spans="1:28" x14ac:dyDescent="0.35">
      <c r="A1504" s="36"/>
      <c r="B1504" s="8"/>
      <c r="C1504" s="7" t="s">
        <v>55</v>
      </c>
      <c r="D1504" s="15" t="s">
        <v>88</v>
      </c>
      <c r="E1504" s="9">
        <f>STATS1003B!E1583/1000</f>
        <v>812.32349999999997</v>
      </c>
      <c r="F1504" s="9">
        <f>STATS1003B!F1583/1000</f>
        <v>0</v>
      </c>
      <c r="G1504" s="9">
        <f>STATS1003B!G1583/1000</f>
        <v>0</v>
      </c>
      <c r="H1504" s="9">
        <f>STATS1003B!H1583/1000</f>
        <v>0</v>
      </c>
      <c r="I1504" s="9">
        <f>STATS1003B!I1583/1000</f>
        <v>0</v>
      </c>
      <c r="J1504" s="9">
        <f>STATS1003B!J1583/1000</f>
        <v>0</v>
      </c>
      <c r="K1504" s="9">
        <f>STATS1003B!K1583/1000</f>
        <v>0</v>
      </c>
      <c r="L1504" s="9">
        <f>STATS1003B!L1583/1000</f>
        <v>0</v>
      </c>
      <c r="M1504" s="9">
        <f>STATS1003B!M1583/1000</f>
        <v>0</v>
      </c>
      <c r="N1504" s="9">
        <f>STATS1003B!N1583/1000</f>
        <v>812.32349999999997</v>
      </c>
      <c r="O1504" s="9">
        <f>STATS1003B!O1583/1000</f>
        <v>0</v>
      </c>
      <c r="P1504" s="9">
        <f>STATS1003B!P1583/1000</f>
        <v>812.32349999999997</v>
      </c>
      <c r="Q1504" s="9">
        <f>STATS1003B!Q1583/1000</f>
        <v>0</v>
      </c>
      <c r="R1504" s="9">
        <f>STATS1003B!R1583/1000</f>
        <v>0</v>
      </c>
      <c r="S1504" s="9">
        <f>STATS1003B!S1583/1000</f>
        <v>0</v>
      </c>
      <c r="T1504" s="9">
        <f>STATS1003B!T1583/1000</f>
        <v>0</v>
      </c>
      <c r="U1504" s="9">
        <f>STATS1003B!U1583/1000</f>
        <v>812.32349999999997</v>
      </c>
      <c r="V1504" s="9">
        <f>STATS1003B!V1583/1000</f>
        <v>812.32349999999997</v>
      </c>
      <c r="W1504" s="9">
        <f>STATS1003B!W1583/1000</f>
        <v>0</v>
      </c>
      <c r="X1504" s="9">
        <f>STATS1003B!X1583/1000</f>
        <v>812.32349999999997</v>
      </c>
      <c r="Y1504" s="9">
        <f>STATS1003B!Y1583/1000</f>
        <v>0</v>
      </c>
      <c r="Z1504" s="9">
        <f>STATS1003B!Z1583/1000</f>
        <v>0</v>
      </c>
      <c r="AA1504" s="9">
        <f>STATS1003B!AA1583/1000</f>
        <v>812.32349999999997</v>
      </c>
      <c r="AB1504" s="9">
        <f>STATS1003B!AB1583/1000</f>
        <v>0</v>
      </c>
    </row>
    <row r="1505" spans="1:28" x14ac:dyDescent="0.35">
      <c r="A1505" s="36"/>
      <c r="B1505" s="8"/>
      <c r="C1505" s="7" t="s">
        <v>57</v>
      </c>
      <c r="D1505" s="15" t="s">
        <v>58</v>
      </c>
      <c r="E1505" s="9">
        <f>STATS1003B!E1584/1000</f>
        <v>8148</v>
      </c>
      <c r="F1505" s="9">
        <f>STATS1003B!F1584/1000</f>
        <v>8148</v>
      </c>
      <c r="G1505" s="9">
        <f>STATS1003B!G1584/1000</f>
        <v>0</v>
      </c>
      <c r="H1505" s="9">
        <f>STATS1003B!H1584/1000</f>
        <v>8148</v>
      </c>
      <c r="I1505" s="9">
        <f>STATS1003B!I1584/1000</f>
        <v>0</v>
      </c>
      <c r="J1505" s="9">
        <f>STATS1003B!J1584/1000</f>
        <v>0</v>
      </c>
      <c r="K1505" s="9">
        <f>STATS1003B!K1584/1000</f>
        <v>0</v>
      </c>
      <c r="L1505" s="9">
        <f>STATS1003B!L1584/1000</f>
        <v>0</v>
      </c>
      <c r="M1505" s="9">
        <f>STATS1003B!M1584/1000</f>
        <v>8148</v>
      </c>
      <c r="N1505" s="9">
        <f>STATS1003B!N1584/1000</f>
        <v>0</v>
      </c>
      <c r="O1505" s="9">
        <f>STATS1003B!O1584/1000</f>
        <v>0</v>
      </c>
      <c r="P1505" s="9">
        <f>STATS1003B!P1584/1000</f>
        <v>0</v>
      </c>
      <c r="Q1505" s="9">
        <f>STATS1003B!Q1584/1000</f>
        <v>0</v>
      </c>
      <c r="R1505" s="9">
        <f>STATS1003B!R1584/1000</f>
        <v>0</v>
      </c>
      <c r="S1505" s="9">
        <f>STATS1003B!S1584/1000</f>
        <v>0</v>
      </c>
      <c r="T1505" s="9">
        <f>STATS1003B!T1584/1000</f>
        <v>0</v>
      </c>
      <c r="U1505" s="9">
        <f>STATS1003B!U1584/1000</f>
        <v>0</v>
      </c>
      <c r="V1505" s="9">
        <f>STATS1003B!V1584/1000</f>
        <v>8148</v>
      </c>
      <c r="W1505" s="9">
        <f>STATS1003B!W1584/1000</f>
        <v>0</v>
      </c>
      <c r="X1505" s="9">
        <f>STATS1003B!X1584/1000</f>
        <v>8148</v>
      </c>
      <c r="Y1505" s="9">
        <f>STATS1003B!Y1584/1000</f>
        <v>0</v>
      </c>
      <c r="Z1505" s="9">
        <f>STATS1003B!Z1584/1000</f>
        <v>0</v>
      </c>
      <c r="AA1505" s="9">
        <f>STATS1003B!AA1584/1000</f>
        <v>8148</v>
      </c>
      <c r="AB1505" s="9">
        <f>STATS1003B!AB1584/1000</f>
        <v>0</v>
      </c>
    </row>
    <row r="1506" spans="1:28" x14ac:dyDescent="0.35">
      <c r="A1506" s="36"/>
      <c r="B1506" s="8"/>
      <c r="C1506" s="14" t="s">
        <v>310</v>
      </c>
      <c r="D1506" s="21" t="s">
        <v>58</v>
      </c>
      <c r="E1506" s="9">
        <f>STATS1003B!E1585/1000</f>
        <v>500</v>
      </c>
      <c r="F1506" s="9">
        <f>STATS1003B!F1585/1000</f>
        <v>500</v>
      </c>
      <c r="G1506" s="9">
        <f>STATS1003B!G1585/1000</f>
        <v>0</v>
      </c>
      <c r="H1506" s="9">
        <f>STATS1003B!H1585/1000</f>
        <v>500</v>
      </c>
      <c r="I1506" s="9">
        <f>STATS1003B!I1585/1000</f>
        <v>0</v>
      </c>
      <c r="J1506" s="9">
        <f>STATS1003B!J1585/1000</f>
        <v>0</v>
      </c>
      <c r="K1506" s="9">
        <f>STATS1003B!K1585/1000</f>
        <v>0</v>
      </c>
      <c r="L1506" s="9">
        <f>STATS1003B!L1585/1000</f>
        <v>0</v>
      </c>
      <c r="M1506" s="9">
        <f>STATS1003B!M1585/1000</f>
        <v>500</v>
      </c>
      <c r="N1506" s="9">
        <f>STATS1003B!N1585/1000</f>
        <v>0</v>
      </c>
      <c r="O1506" s="9">
        <f>STATS1003B!O1585/1000</f>
        <v>0</v>
      </c>
      <c r="P1506" s="9">
        <f>STATS1003B!P1585/1000</f>
        <v>0</v>
      </c>
      <c r="Q1506" s="9">
        <f>STATS1003B!Q1585/1000</f>
        <v>0</v>
      </c>
      <c r="R1506" s="9">
        <f>STATS1003B!R1585/1000</f>
        <v>0</v>
      </c>
      <c r="S1506" s="9">
        <f>STATS1003B!S1585/1000</f>
        <v>0</v>
      </c>
      <c r="T1506" s="9">
        <f>STATS1003B!T1585/1000</f>
        <v>0</v>
      </c>
      <c r="U1506" s="9">
        <f>STATS1003B!U1585/1000</f>
        <v>0</v>
      </c>
      <c r="V1506" s="9">
        <f>STATS1003B!V1585/1000</f>
        <v>500</v>
      </c>
      <c r="W1506" s="9">
        <f>STATS1003B!W1585/1000</f>
        <v>0</v>
      </c>
      <c r="X1506" s="9">
        <f>STATS1003B!X1585/1000</f>
        <v>500</v>
      </c>
      <c r="Y1506" s="9">
        <f>STATS1003B!Y1585/1000</f>
        <v>0</v>
      </c>
      <c r="Z1506" s="9">
        <f>STATS1003B!Z1585/1000</f>
        <v>0</v>
      </c>
      <c r="AA1506" s="9">
        <f>STATS1003B!AA1585/1000</f>
        <v>500</v>
      </c>
      <c r="AB1506" s="9">
        <f>STATS1003B!AB1585/1000</f>
        <v>0</v>
      </c>
    </row>
    <row r="1507" spans="1:28" x14ac:dyDescent="0.35">
      <c r="A1507" s="36"/>
      <c r="B1507" s="8"/>
      <c r="C1507" s="14" t="s">
        <v>311</v>
      </c>
      <c r="D1507" s="21" t="s">
        <v>60</v>
      </c>
      <c r="E1507" s="9">
        <f>STATS1003B!E1586/1000</f>
        <v>400</v>
      </c>
      <c r="F1507" s="9">
        <f>STATS1003B!F1586/1000</f>
        <v>400</v>
      </c>
      <c r="G1507" s="9">
        <f>STATS1003B!G1586/1000</f>
        <v>0</v>
      </c>
      <c r="H1507" s="9">
        <f>STATS1003B!H1586/1000</f>
        <v>400</v>
      </c>
      <c r="I1507" s="9">
        <f>STATS1003B!I1586/1000</f>
        <v>0</v>
      </c>
      <c r="J1507" s="9">
        <f>STATS1003B!J1586/1000</f>
        <v>0</v>
      </c>
      <c r="K1507" s="9">
        <f>STATS1003B!K1586/1000</f>
        <v>0</v>
      </c>
      <c r="L1507" s="9">
        <f>STATS1003B!L1586/1000</f>
        <v>0</v>
      </c>
      <c r="M1507" s="9">
        <f>STATS1003B!M1586/1000</f>
        <v>400</v>
      </c>
      <c r="N1507" s="9">
        <f>STATS1003B!N1586/1000</f>
        <v>0</v>
      </c>
      <c r="O1507" s="9">
        <f>STATS1003B!O1586/1000</f>
        <v>0</v>
      </c>
      <c r="P1507" s="9">
        <f>STATS1003B!P1586/1000</f>
        <v>0</v>
      </c>
      <c r="Q1507" s="9">
        <f>STATS1003B!Q1586/1000</f>
        <v>0</v>
      </c>
      <c r="R1507" s="9">
        <f>STATS1003B!R1586/1000</f>
        <v>0</v>
      </c>
      <c r="S1507" s="9">
        <f>STATS1003B!S1586/1000</f>
        <v>0</v>
      </c>
      <c r="T1507" s="9">
        <f>STATS1003B!T1586/1000</f>
        <v>0</v>
      </c>
      <c r="U1507" s="9">
        <f>STATS1003B!U1586/1000</f>
        <v>0</v>
      </c>
      <c r="V1507" s="9">
        <f>STATS1003B!V1586/1000</f>
        <v>400</v>
      </c>
      <c r="W1507" s="9">
        <f>STATS1003B!W1586/1000</f>
        <v>0</v>
      </c>
      <c r="X1507" s="9">
        <f>STATS1003B!X1586/1000</f>
        <v>400</v>
      </c>
      <c r="Y1507" s="9">
        <f>STATS1003B!Y1586/1000</f>
        <v>0</v>
      </c>
      <c r="Z1507" s="9">
        <f>STATS1003B!Z1586/1000</f>
        <v>0</v>
      </c>
      <c r="AA1507" s="9">
        <f>STATS1003B!AA1586/1000</f>
        <v>400</v>
      </c>
      <c r="AB1507" s="9">
        <f>STATS1003B!AB1586/1000</f>
        <v>0</v>
      </c>
    </row>
    <row r="1508" spans="1:28" x14ac:dyDescent="0.35">
      <c r="A1508" s="36"/>
      <c r="B1508" s="8"/>
      <c r="C1508" s="14" t="s">
        <v>109</v>
      </c>
      <c r="D1508" s="21" t="s">
        <v>60</v>
      </c>
      <c r="E1508" s="9">
        <f>STATS1003B!E1587/1000</f>
        <v>2500</v>
      </c>
      <c r="F1508" s="9">
        <f>STATS1003B!F1587/1000</f>
        <v>2500</v>
      </c>
      <c r="G1508" s="9">
        <f>STATS1003B!G1587/1000</f>
        <v>0</v>
      </c>
      <c r="H1508" s="9">
        <f>STATS1003B!H1587/1000</f>
        <v>2500</v>
      </c>
      <c r="I1508" s="9">
        <f>STATS1003B!I1587/1000</f>
        <v>0</v>
      </c>
      <c r="J1508" s="9">
        <f>STATS1003B!J1587/1000</f>
        <v>0</v>
      </c>
      <c r="K1508" s="9">
        <f>STATS1003B!K1587/1000</f>
        <v>0</v>
      </c>
      <c r="L1508" s="9">
        <f>STATS1003B!L1587/1000</f>
        <v>0</v>
      </c>
      <c r="M1508" s="9">
        <f>STATS1003B!M1587/1000</f>
        <v>2500</v>
      </c>
      <c r="N1508" s="9">
        <f>STATS1003B!N1587/1000</f>
        <v>0</v>
      </c>
      <c r="O1508" s="9">
        <f>STATS1003B!O1587/1000</f>
        <v>0</v>
      </c>
      <c r="P1508" s="9">
        <f>STATS1003B!P1587/1000</f>
        <v>0</v>
      </c>
      <c r="Q1508" s="9">
        <f>STATS1003B!Q1587/1000</f>
        <v>0</v>
      </c>
      <c r="R1508" s="9">
        <f>STATS1003B!R1587/1000</f>
        <v>0</v>
      </c>
      <c r="S1508" s="9">
        <f>STATS1003B!S1587/1000</f>
        <v>0</v>
      </c>
      <c r="T1508" s="9">
        <f>STATS1003B!T1587/1000</f>
        <v>0</v>
      </c>
      <c r="U1508" s="9">
        <f>STATS1003B!U1587/1000</f>
        <v>0</v>
      </c>
      <c r="V1508" s="9">
        <f>STATS1003B!V1587/1000</f>
        <v>2500</v>
      </c>
      <c r="W1508" s="9">
        <f>STATS1003B!W1587/1000</f>
        <v>0</v>
      </c>
      <c r="X1508" s="9">
        <f>STATS1003B!X1587/1000</f>
        <v>2500</v>
      </c>
      <c r="Y1508" s="9">
        <f>STATS1003B!Y1587/1000</f>
        <v>0</v>
      </c>
      <c r="Z1508" s="9">
        <f>STATS1003B!Z1587/1000</f>
        <v>0</v>
      </c>
      <c r="AA1508" s="9">
        <f>STATS1003B!AA1587/1000</f>
        <v>2500</v>
      </c>
      <c r="AB1508" s="9">
        <f>STATS1003B!AB1587/1000</f>
        <v>0</v>
      </c>
    </row>
    <row r="1509" spans="1:28" x14ac:dyDescent="0.35">
      <c r="A1509" s="36"/>
      <c r="B1509" s="8"/>
      <c r="C1509" s="7" t="s">
        <v>57</v>
      </c>
      <c r="D1509" s="15" t="s">
        <v>60</v>
      </c>
      <c r="E1509" s="9">
        <f>STATS1003B!E1588/1000</f>
        <v>3023</v>
      </c>
      <c r="F1509" s="9">
        <f>STATS1003B!F1588/1000</f>
        <v>3023</v>
      </c>
      <c r="G1509" s="9">
        <f>STATS1003B!G1588/1000</f>
        <v>0</v>
      </c>
      <c r="H1509" s="9">
        <f>STATS1003B!H1588/1000</f>
        <v>3023</v>
      </c>
      <c r="I1509" s="9">
        <f>STATS1003B!I1588/1000</f>
        <v>0</v>
      </c>
      <c r="J1509" s="9">
        <f>STATS1003B!J1588/1000</f>
        <v>0</v>
      </c>
      <c r="K1509" s="9">
        <f>STATS1003B!K1588/1000</f>
        <v>0</v>
      </c>
      <c r="L1509" s="9">
        <f>STATS1003B!L1588/1000</f>
        <v>0</v>
      </c>
      <c r="M1509" s="9">
        <f>STATS1003B!M1588/1000</f>
        <v>3023</v>
      </c>
      <c r="N1509" s="9">
        <f>STATS1003B!N1588/1000</f>
        <v>0</v>
      </c>
      <c r="O1509" s="9">
        <f>STATS1003B!O1588/1000</f>
        <v>0</v>
      </c>
      <c r="P1509" s="9">
        <f>STATS1003B!P1588/1000</f>
        <v>0</v>
      </c>
      <c r="Q1509" s="9">
        <f>STATS1003B!Q1588/1000</f>
        <v>0</v>
      </c>
      <c r="R1509" s="9">
        <f>STATS1003B!R1588/1000</f>
        <v>0</v>
      </c>
      <c r="S1509" s="9">
        <f>STATS1003B!S1588/1000</f>
        <v>0</v>
      </c>
      <c r="T1509" s="9">
        <f>STATS1003B!T1588/1000</f>
        <v>0</v>
      </c>
      <c r="U1509" s="9">
        <f>STATS1003B!U1588/1000</f>
        <v>0</v>
      </c>
      <c r="V1509" s="9">
        <f>STATS1003B!V1588/1000</f>
        <v>3023</v>
      </c>
      <c r="W1509" s="9">
        <f>STATS1003B!W1588/1000</f>
        <v>0</v>
      </c>
      <c r="X1509" s="9">
        <f>STATS1003B!X1588/1000</f>
        <v>3023</v>
      </c>
      <c r="Y1509" s="9">
        <f>STATS1003B!Y1588/1000</f>
        <v>0</v>
      </c>
      <c r="Z1509" s="9">
        <f>STATS1003B!Z1588/1000</f>
        <v>0</v>
      </c>
      <c r="AA1509" s="9">
        <f>STATS1003B!AA1588/1000</f>
        <v>3023</v>
      </c>
      <c r="AB1509" s="9">
        <f>STATS1003B!AB1588/1000</f>
        <v>0</v>
      </c>
    </row>
    <row r="1510" spans="1:28" x14ac:dyDescent="0.35">
      <c r="A1510" s="36"/>
      <c r="B1510" s="8"/>
      <c r="C1510" s="7" t="s">
        <v>57</v>
      </c>
      <c r="D1510" s="15" t="s">
        <v>73</v>
      </c>
      <c r="E1510" s="9">
        <f>STATS1003B!E1589/1000</f>
        <v>912.01900000000001</v>
      </c>
      <c r="F1510" s="9">
        <f>STATS1003B!F1589/1000</f>
        <v>912.01900000000001</v>
      </c>
      <c r="G1510" s="9">
        <f>STATS1003B!G1589/1000</f>
        <v>0</v>
      </c>
      <c r="H1510" s="9">
        <f>STATS1003B!H1589/1000</f>
        <v>912.01900000000001</v>
      </c>
      <c r="I1510" s="9">
        <f>STATS1003B!I1589/1000</f>
        <v>0</v>
      </c>
      <c r="J1510" s="9">
        <f>STATS1003B!J1589/1000</f>
        <v>0</v>
      </c>
      <c r="K1510" s="9">
        <f>STATS1003B!K1589/1000</f>
        <v>0</v>
      </c>
      <c r="L1510" s="9">
        <f>STATS1003B!L1589/1000</f>
        <v>0</v>
      </c>
      <c r="M1510" s="9">
        <f>STATS1003B!M1589/1000</f>
        <v>912.01900000000001</v>
      </c>
      <c r="N1510" s="9">
        <f>STATS1003B!N1589/1000</f>
        <v>0</v>
      </c>
      <c r="O1510" s="9">
        <f>STATS1003B!O1589/1000</f>
        <v>0</v>
      </c>
      <c r="P1510" s="9">
        <f>STATS1003B!P1589/1000</f>
        <v>0</v>
      </c>
      <c r="Q1510" s="9">
        <f>STATS1003B!Q1589/1000</f>
        <v>0</v>
      </c>
      <c r="R1510" s="9">
        <f>STATS1003B!R1589/1000</f>
        <v>0</v>
      </c>
      <c r="S1510" s="9">
        <f>STATS1003B!S1589/1000</f>
        <v>0</v>
      </c>
      <c r="T1510" s="9">
        <f>STATS1003B!T1589/1000</f>
        <v>0</v>
      </c>
      <c r="U1510" s="9">
        <f>STATS1003B!U1589/1000</f>
        <v>0</v>
      </c>
      <c r="V1510" s="9">
        <f>STATS1003B!V1589/1000</f>
        <v>912.01900000000001</v>
      </c>
      <c r="W1510" s="9">
        <f>STATS1003B!W1589/1000</f>
        <v>0</v>
      </c>
      <c r="X1510" s="9">
        <f>STATS1003B!X1589/1000</f>
        <v>912.01900000000001</v>
      </c>
      <c r="Y1510" s="9">
        <f>STATS1003B!Y1589/1000</f>
        <v>0</v>
      </c>
      <c r="Z1510" s="9">
        <f>STATS1003B!Z1589/1000</f>
        <v>0</v>
      </c>
      <c r="AA1510" s="9">
        <f>STATS1003B!AA1589/1000</f>
        <v>912.01900000000001</v>
      </c>
      <c r="AB1510" s="9">
        <f>STATS1003B!AB1589/1000</f>
        <v>0</v>
      </c>
    </row>
    <row r="1511" spans="1:28" x14ac:dyDescent="0.35">
      <c r="A1511" s="36"/>
      <c r="B1511" s="8"/>
      <c r="C1511" s="7" t="s">
        <v>930</v>
      </c>
      <c r="D1511" s="15"/>
      <c r="E1511" s="9">
        <f>STATS1003B!E1590/1000</f>
        <v>2129.8342200000002</v>
      </c>
      <c r="F1511" s="9">
        <f>STATS1003B!F1590/1000</f>
        <v>2129.8342200000002</v>
      </c>
      <c r="G1511" s="9">
        <f>STATS1003B!G1590/1000</f>
        <v>0</v>
      </c>
      <c r="H1511" s="9">
        <f>STATS1003B!H1590/1000</f>
        <v>2129.8342200000002</v>
      </c>
      <c r="I1511" s="9">
        <f>STATS1003B!I1590/1000</f>
        <v>0</v>
      </c>
      <c r="J1511" s="9">
        <f>STATS1003B!J1590/1000</f>
        <v>0</v>
      </c>
      <c r="K1511" s="9">
        <f>STATS1003B!K1590/1000</f>
        <v>0</v>
      </c>
      <c r="L1511" s="9">
        <f>STATS1003B!L1590/1000</f>
        <v>0</v>
      </c>
      <c r="M1511" s="9">
        <f>STATS1003B!M1590/1000</f>
        <v>2129.8342200000002</v>
      </c>
      <c r="N1511" s="9">
        <f>STATS1003B!N1590/1000</f>
        <v>0</v>
      </c>
      <c r="O1511" s="9">
        <f>STATS1003B!O1590/1000</f>
        <v>0</v>
      </c>
      <c r="P1511" s="9">
        <f>STATS1003B!P1590/1000</f>
        <v>0</v>
      </c>
      <c r="Q1511" s="9">
        <f>STATS1003B!Q1590/1000</f>
        <v>0</v>
      </c>
      <c r="R1511" s="9">
        <f>STATS1003B!R1590/1000</f>
        <v>0</v>
      </c>
      <c r="S1511" s="9">
        <f>STATS1003B!S1590/1000</f>
        <v>0</v>
      </c>
      <c r="T1511" s="9">
        <f>STATS1003B!T1590/1000</f>
        <v>0</v>
      </c>
      <c r="U1511" s="9">
        <f>STATS1003B!U1590/1000</f>
        <v>0</v>
      </c>
      <c r="V1511" s="9">
        <f>STATS1003B!V1590/1000</f>
        <v>2129.8342200000002</v>
      </c>
      <c r="W1511" s="9">
        <f>STATS1003B!W1590/1000</f>
        <v>0</v>
      </c>
      <c r="X1511" s="9">
        <f>STATS1003B!X1590/1000</f>
        <v>2129.8342200000002</v>
      </c>
      <c r="Y1511" s="9">
        <f>STATS1003B!Y1590/1000</f>
        <v>0</v>
      </c>
      <c r="Z1511" s="9">
        <f>STATS1003B!Z1590/1000</f>
        <v>0</v>
      </c>
      <c r="AA1511" s="9">
        <f>STATS1003B!AA1590/1000</f>
        <v>2129.8342200000002</v>
      </c>
      <c r="AB1511" s="9">
        <f>STATS1003B!AB1590/1000</f>
        <v>0</v>
      </c>
    </row>
    <row r="1512" spans="1:28" x14ac:dyDescent="0.35">
      <c r="A1512" s="36"/>
      <c r="B1512" s="8"/>
      <c r="C1512" s="7" t="s">
        <v>57</v>
      </c>
      <c r="D1512" s="16" t="s">
        <v>61</v>
      </c>
      <c r="E1512" s="9">
        <f>STATS1003B!E1593/1000</f>
        <v>794</v>
      </c>
      <c r="F1512" s="9">
        <f>STATS1003B!F1593/1000</f>
        <v>794</v>
      </c>
      <c r="G1512" s="9">
        <f>STATS1003B!G1593/1000</f>
        <v>0</v>
      </c>
      <c r="H1512" s="9">
        <f>STATS1003B!H1593/1000</f>
        <v>794</v>
      </c>
      <c r="I1512" s="9">
        <f>STATS1003B!I1593/1000</f>
        <v>0</v>
      </c>
      <c r="J1512" s="9">
        <f>STATS1003B!J1593/1000</f>
        <v>0</v>
      </c>
      <c r="K1512" s="9">
        <f>STATS1003B!K1593/1000</f>
        <v>0</v>
      </c>
      <c r="L1512" s="9">
        <f>STATS1003B!L1593/1000</f>
        <v>0</v>
      </c>
      <c r="M1512" s="9">
        <f>STATS1003B!M1593/1000</f>
        <v>794</v>
      </c>
      <c r="N1512" s="9">
        <f>STATS1003B!N1593/1000</f>
        <v>0</v>
      </c>
      <c r="O1512" s="9">
        <f>STATS1003B!O1593/1000</f>
        <v>0</v>
      </c>
      <c r="P1512" s="9">
        <f>STATS1003B!P1593/1000</f>
        <v>0</v>
      </c>
      <c r="Q1512" s="9">
        <f>STATS1003B!Q1593/1000</f>
        <v>0</v>
      </c>
      <c r="R1512" s="9">
        <f>STATS1003B!R1593/1000</f>
        <v>0</v>
      </c>
      <c r="S1512" s="9">
        <f>STATS1003B!S1593/1000</f>
        <v>0</v>
      </c>
      <c r="T1512" s="9">
        <f>STATS1003B!T1593/1000</f>
        <v>0</v>
      </c>
      <c r="U1512" s="9">
        <f>STATS1003B!U1593/1000</f>
        <v>0</v>
      </c>
      <c r="V1512" s="9">
        <f>STATS1003B!V1593/1000</f>
        <v>794</v>
      </c>
      <c r="W1512" s="9">
        <f>STATS1003B!W1593/1000</f>
        <v>0</v>
      </c>
      <c r="X1512" s="9">
        <f>STATS1003B!X1593/1000</f>
        <v>794</v>
      </c>
      <c r="Y1512" s="9">
        <f>STATS1003B!Y1593/1000</f>
        <v>0</v>
      </c>
      <c r="Z1512" s="9">
        <f>STATS1003B!Z1593/1000</f>
        <v>0</v>
      </c>
      <c r="AA1512" s="9">
        <f>STATS1003B!AA1593/1000</f>
        <v>794</v>
      </c>
      <c r="AB1512" s="9">
        <f>STATS1003B!AB1593/1000</f>
        <v>0</v>
      </c>
    </row>
    <row r="1513" spans="1:28" x14ac:dyDescent="0.35">
      <c r="A1513" s="36"/>
      <c r="B1513" s="8"/>
      <c r="C1513" s="8"/>
      <c r="D1513" s="8"/>
      <c r="E1513" s="17" t="s">
        <v>29</v>
      </c>
      <c r="F1513" s="17" t="s">
        <v>29</v>
      </c>
      <c r="G1513" s="17" t="s">
        <v>29</v>
      </c>
      <c r="H1513" s="17" t="s">
        <v>29</v>
      </c>
      <c r="I1513" s="17" t="s">
        <v>29</v>
      </c>
      <c r="J1513" s="17" t="s">
        <v>29</v>
      </c>
      <c r="K1513" s="17" t="s">
        <v>29</v>
      </c>
      <c r="L1513" s="17" t="s">
        <v>29</v>
      </c>
      <c r="M1513" s="17" t="s">
        <v>29</v>
      </c>
      <c r="N1513" s="17" t="s">
        <v>29</v>
      </c>
      <c r="O1513" s="17" t="s">
        <v>29</v>
      </c>
      <c r="P1513" s="17" t="s">
        <v>29</v>
      </c>
      <c r="Q1513" s="17" t="s">
        <v>29</v>
      </c>
      <c r="R1513" s="17" t="s">
        <v>29</v>
      </c>
      <c r="S1513" s="17" t="s">
        <v>29</v>
      </c>
      <c r="T1513" s="17" t="s">
        <v>29</v>
      </c>
      <c r="U1513" s="17" t="s">
        <v>29</v>
      </c>
      <c r="V1513" s="17" t="s">
        <v>29</v>
      </c>
      <c r="W1513" s="17" t="s">
        <v>29</v>
      </c>
      <c r="X1513" s="17" t="s">
        <v>29</v>
      </c>
      <c r="Y1513" s="17" t="s">
        <v>29</v>
      </c>
      <c r="Z1513" s="17" t="s">
        <v>29</v>
      </c>
      <c r="AA1513" s="17" t="s">
        <v>29</v>
      </c>
      <c r="AB1513" s="17" t="s">
        <v>29</v>
      </c>
    </row>
    <row r="1514" spans="1:28" x14ac:dyDescent="0.35">
      <c r="A1514" s="36"/>
      <c r="B1514" s="8"/>
      <c r="C1514" s="8"/>
      <c r="D1514" s="8"/>
      <c r="E1514" s="9">
        <f t="shared" ref="E1514:AB1514" si="108">SUM(E1495:E1512)</f>
        <v>43550.915679999998</v>
      </c>
      <c r="F1514" s="9">
        <f t="shared" si="108"/>
        <v>39969.267399999997</v>
      </c>
      <c r="G1514" s="9">
        <f t="shared" si="108"/>
        <v>0</v>
      </c>
      <c r="H1514" s="9">
        <f t="shared" si="108"/>
        <v>39969.267399999997</v>
      </c>
      <c r="I1514" s="9">
        <f t="shared" si="108"/>
        <v>0</v>
      </c>
      <c r="J1514" s="9">
        <f t="shared" si="108"/>
        <v>0</v>
      </c>
      <c r="K1514" s="9">
        <f t="shared" si="108"/>
        <v>0</v>
      </c>
      <c r="L1514" s="9">
        <f t="shared" si="108"/>
        <v>0</v>
      </c>
      <c r="M1514" s="9">
        <f t="shared" si="108"/>
        <v>39969.267399999997</v>
      </c>
      <c r="N1514" s="9">
        <f t="shared" si="108"/>
        <v>3433.1882799999998</v>
      </c>
      <c r="O1514" s="9">
        <f t="shared" si="108"/>
        <v>0</v>
      </c>
      <c r="P1514" s="9">
        <f t="shared" si="108"/>
        <v>3433.1882799999998</v>
      </c>
      <c r="Q1514" s="9">
        <f t="shared" si="108"/>
        <v>0</v>
      </c>
      <c r="R1514" s="9">
        <f t="shared" si="108"/>
        <v>0</v>
      </c>
      <c r="S1514" s="9">
        <f t="shared" si="108"/>
        <v>0</v>
      </c>
      <c r="T1514" s="9">
        <f t="shared" si="108"/>
        <v>0</v>
      </c>
      <c r="U1514" s="9">
        <f t="shared" si="108"/>
        <v>3433.1882799999998</v>
      </c>
      <c r="V1514" s="9">
        <f t="shared" si="108"/>
        <v>43402.455679999992</v>
      </c>
      <c r="W1514" s="9">
        <f t="shared" si="108"/>
        <v>148.45999999999998</v>
      </c>
      <c r="X1514" s="9">
        <f t="shared" si="108"/>
        <v>43402.455679999992</v>
      </c>
      <c r="Y1514" s="9">
        <f t="shared" si="108"/>
        <v>0</v>
      </c>
      <c r="Z1514" s="9">
        <f t="shared" si="108"/>
        <v>148.45999999999998</v>
      </c>
      <c r="AA1514" s="9">
        <f t="shared" si="108"/>
        <v>43402.455679999992</v>
      </c>
      <c r="AB1514" s="9">
        <f t="shared" si="108"/>
        <v>148.45999999999998</v>
      </c>
    </row>
    <row r="1515" spans="1:28" x14ac:dyDescent="0.35">
      <c r="A1515" s="36"/>
      <c r="B1515" s="8"/>
      <c r="C1515" s="8"/>
      <c r="D1515" s="8"/>
      <c r="E1515" s="17" t="s">
        <v>29</v>
      </c>
      <c r="F1515" s="17" t="s">
        <v>29</v>
      </c>
      <c r="G1515" s="17" t="s">
        <v>29</v>
      </c>
      <c r="H1515" s="17" t="s">
        <v>29</v>
      </c>
      <c r="I1515" s="17" t="s">
        <v>29</v>
      </c>
      <c r="J1515" s="17" t="s">
        <v>29</v>
      </c>
      <c r="K1515" s="17" t="s">
        <v>29</v>
      </c>
      <c r="L1515" s="17" t="s">
        <v>29</v>
      </c>
      <c r="M1515" s="17" t="s">
        <v>29</v>
      </c>
      <c r="N1515" s="17" t="s">
        <v>29</v>
      </c>
      <c r="O1515" s="17" t="s">
        <v>29</v>
      </c>
      <c r="P1515" s="17" t="s">
        <v>29</v>
      </c>
      <c r="Q1515" s="17" t="s">
        <v>29</v>
      </c>
      <c r="R1515" s="17" t="s">
        <v>29</v>
      </c>
      <c r="S1515" s="17" t="s">
        <v>29</v>
      </c>
      <c r="T1515" s="17" t="s">
        <v>29</v>
      </c>
      <c r="U1515" s="17" t="s">
        <v>29</v>
      </c>
      <c r="V1515" s="17" t="s">
        <v>29</v>
      </c>
      <c r="W1515" s="17" t="s">
        <v>29</v>
      </c>
      <c r="X1515" s="17" t="s">
        <v>29</v>
      </c>
      <c r="Y1515" s="17" t="s">
        <v>29</v>
      </c>
      <c r="Z1515" s="17" t="s">
        <v>29</v>
      </c>
      <c r="AA1515" s="17" t="s">
        <v>29</v>
      </c>
      <c r="AB1515" s="17" t="s">
        <v>29</v>
      </c>
    </row>
    <row r="1516" spans="1:28" x14ac:dyDescent="0.35">
      <c r="A1516" s="38" t="s">
        <v>1004</v>
      </c>
      <c r="B1516" s="7" t="s">
        <v>312</v>
      </c>
      <c r="C1516" s="8"/>
      <c r="D1516" s="8"/>
      <c r="E1516" s="8"/>
      <c r="F1516" s="8"/>
      <c r="G1516" s="8"/>
      <c r="H1516" s="8"/>
      <c r="I1516" s="8"/>
      <c r="J1516" s="8"/>
      <c r="K1516" s="8"/>
      <c r="L1516" s="8"/>
      <c r="M1516" s="8"/>
      <c r="N1516" s="8"/>
      <c r="O1516" s="8"/>
      <c r="P1516" s="8"/>
      <c r="Q1516" s="8"/>
      <c r="R1516" s="8"/>
      <c r="S1516" s="8"/>
      <c r="T1516" s="8"/>
      <c r="U1516" s="8"/>
      <c r="V1516" s="8"/>
      <c r="W1516" s="8"/>
      <c r="X1516" s="8"/>
      <c r="Y1516" s="8"/>
      <c r="Z1516" s="8"/>
    </row>
    <row r="1517" spans="1:28" x14ac:dyDescent="0.35">
      <c r="A1517" s="36"/>
      <c r="B1517" s="8"/>
      <c r="C1517" s="8"/>
      <c r="D1517" s="15" t="s">
        <v>79</v>
      </c>
      <c r="E1517" s="8"/>
      <c r="F1517" s="8"/>
      <c r="G1517" s="8"/>
      <c r="H1517" s="8"/>
      <c r="I1517" s="8"/>
      <c r="J1517" s="8"/>
      <c r="K1517" s="8"/>
      <c r="L1517" s="8"/>
      <c r="M1517" s="8"/>
      <c r="N1517" s="8"/>
      <c r="O1517" s="8"/>
      <c r="P1517" s="8"/>
      <c r="Q1517" s="8"/>
      <c r="R1517" s="8"/>
      <c r="S1517" s="8"/>
      <c r="T1517" s="8"/>
      <c r="U1517" s="8"/>
      <c r="V1517" s="8"/>
      <c r="W1517" s="8"/>
      <c r="X1517" s="8"/>
      <c r="Y1517" s="8"/>
      <c r="Z1517" s="8"/>
    </row>
    <row r="1518" spans="1:28" x14ac:dyDescent="0.35">
      <c r="A1518" s="36"/>
      <c r="B1518" s="8"/>
      <c r="C1518" s="7" t="s">
        <v>313</v>
      </c>
      <c r="D1518" s="14" t="s">
        <v>314</v>
      </c>
      <c r="E1518" s="9">
        <f>STATS1003B!E1599/1000</f>
        <v>18444.555510000002</v>
      </c>
      <c r="F1518" s="9">
        <f>STATS1003B!F1599/1000</f>
        <v>17305.50589</v>
      </c>
      <c r="G1518" s="9">
        <f>STATS1003B!G1599/1000</f>
        <v>0</v>
      </c>
      <c r="H1518" s="9">
        <f>STATS1003B!H1599/1000</f>
        <v>17305.50589</v>
      </c>
      <c r="I1518" s="9">
        <f>STATS1003B!I1599/1000</f>
        <v>0</v>
      </c>
      <c r="J1518" s="9">
        <f>STATS1003B!J1599/1000</f>
        <v>0</v>
      </c>
      <c r="K1518" s="9">
        <f>STATS1003B!K1599/1000</f>
        <v>0</v>
      </c>
      <c r="L1518" s="9">
        <f>STATS1003B!L1599/1000</f>
        <v>0</v>
      </c>
      <c r="M1518" s="9">
        <f>STATS1003B!M1599/1000</f>
        <v>17305.50589</v>
      </c>
      <c r="N1518" s="9">
        <f>STATS1003B!N1599/1000</f>
        <v>1139.04962</v>
      </c>
      <c r="O1518" s="9">
        <f>STATS1003B!O1599/1000</f>
        <v>0</v>
      </c>
      <c r="P1518" s="9">
        <f>STATS1003B!P1599/1000</f>
        <v>1139.04962</v>
      </c>
      <c r="Q1518" s="9">
        <f>STATS1003B!Q1599/1000</f>
        <v>0</v>
      </c>
      <c r="R1518" s="9">
        <f>STATS1003B!R1599/1000</f>
        <v>0</v>
      </c>
      <c r="S1518" s="9">
        <f>STATS1003B!S1599/1000</f>
        <v>0</v>
      </c>
      <c r="T1518" s="9">
        <f>STATS1003B!T1599/1000</f>
        <v>0</v>
      </c>
      <c r="U1518" s="9">
        <f>STATS1003B!U1599/1000</f>
        <v>1139.04962</v>
      </c>
      <c r="V1518" s="9">
        <f>STATS1003B!V1599/1000</f>
        <v>18444.555510000002</v>
      </c>
      <c r="W1518" s="9">
        <f>STATS1003B!W1599/1000</f>
        <v>0</v>
      </c>
      <c r="X1518" s="9">
        <f>STATS1003B!X1599/1000</f>
        <v>18444.555510000002</v>
      </c>
      <c r="Y1518" s="9">
        <f>STATS1003B!Y1599/1000</f>
        <v>0</v>
      </c>
      <c r="Z1518" s="9">
        <f>STATS1003B!Z1599/1000</f>
        <v>0</v>
      </c>
      <c r="AA1518" s="9">
        <f>STATS1003B!AA1599/1000</f>
        <v>18444.555510000002</v>
      </c>
      <c r="AB1518" s="9">
        <f>STATS1003B!AB1599/1000</f>
        <v>0</v>
      </c>
    </row>
    <row r="1519" spans="1:28" x14ac:dyDescent="0.35">
      <c r="A1519" s="36"/>
      <c r="B1519" s="8"/>
      <c r="C1519" s="7" t="s">
        <v>53</v>
      </c>
      <c r="D1519" s="15" t="s">
        <v>54</v>
      </c>
      <c r="E1519" s="9">
        <f>STATS1003B!E1600/1000</f>
        <v>1953.989</v>
      </c>
      <c r="F1519" s="9">
        <f>STATS1003B!F1600/1000</f>
        <v>0</v>
      </c>
      <c r="G1519" s="9">
        <f>STATS1003B!G1600/1000</f>
        <v>0</v>
      </c>
      <c r="H1519" s="9">
        <f>STATS1003B!H1600/1000</f>
        <v>0</v>
      </c>
      <c r="I1519" s="9">
        <f>STATS1003B!I1600/1000</f>
        <v>0</v>
      </c>
      <c r="J1519" s="9">
        <f>STATS1003B!J1600/1000</f>
        <v>0</v>
      </c>
      <c r="K1519" s="9">
        <f>STATS1003B!K1600/1000</f>
        <v>0</v>
      </c>
      <c r="L1519" s="9">
        <f>STATS1003B!L1600/1000</f>
        <v>0</v>
      </c>
      <c r="M1519" s="9">
        <f>STATS1003B!M1600/1000</f>
        <v>0</v>
      </c>
      <c r="N1519" s="9">
        <f>STATS1003B!N1600/1000</f>
        <v>1953.989</v>
      </c>
      <c r="O1519" s="9">
        <f>STATS1003B!O1600/1000</f>
        <v>0</v>
      </c>
      <c r="P1519" s="9">
        <f>STATS1003B!P1600/1000</f>
        <v>1953.989</v>
      </c>
      <c r="Q1519" s="9">
        <f>STATS1003B!Q1600/1000</f>
        <v>0</v>
      </c>
      <c r="R1519" s="9">
        <f>STATS1003B!R1600/1000</f>
        <v>0</v>
      </c>
      <c r="S1519" s="9">
        <f>STATS1003B!S1600/1000</f>
        <v>0</v>
      </c>
      <c r="T1519" s="9">
        <f>STATS1003B!T1600/1000</f>
        <v>0</v>
      </c>
      <c r="U1519" s="9">
        <f>STATS1003B!U1600/1000</f>
        <v>1953.989</v>
      </c>
      <c r="V1519" s="9">
        <f>STATS1003B!V1600/1000</f>
        <v>1953.989</v>
      </c>
      <c r="W1519" s="9">
        <f>STATS1003B!W1600/1000</f>
        <v>0</v>
      </c>
      <c r="X1519" s="9">
        <f>STATS1003B!X1600/1000</f>
        <v>1953.989</v>
      </c>
      <c r="Y1519" s="9">
        <f>STATS1003B!Y1600/1000</f>
        <v>0</v>
      </c>
      <c r="Z1519" s="9">
        <f>STATS1003B!Z1600/1000</f>
        <v>0</v>
      </c>
      <c r="AA1519" s="9">
        <f>STATS1003B!AA1600/1000</f>
        <v>1953.989</v>
      </c>
      <c r="AB1519" s="9">
        <f>STATS1003B!AB1600/1000</f>
        <v>0</v>
      </c>
    </row>
    <row r="1520" spans="1:28" x14ac:dyDescent="0.35">
      <c r="A1520" s="36"/>
      <c r="B1520" s="8"/>
      <c r="C1520" s="7" t="s">
        <v>315</v>
      </c>
      <c r="D1520" s="15" t="s">
        <v>54</v>
      </c>
      <c r="E1520" s="9">
        <f>STATS1003B!E1601/1000</f>
        <v>2255.88</v>
      </c>
      <c r="F1520" s="9">
        <f>STATS1003B!F1601/1000</f>
        <v>2255.88</v>
      </c>
      <c r="G1520" s="9">
        <f>STATS1003B!G1601/1000</f>
        <v>0</v>
      </c>
      <c r="H1520" s="9">
        <f>STATS1003B!H1601/1000</f>
        <v>2255.88</v>
      </c>
      <c r="I1520" s="9">
        <f>STATS1003B!I1601/1000</f>
        <v>0</v>
      </c>
      <c r="J1520" s="9">
        <f>STATS1003B!J1601/1000</f>
        <v>0</v>
      </c>
      <c r="K1520" s="9">
        <f>STATS1003B!K1601/1000</f>
        <v>0</v>
      </c>
      <c r="L1520" s="9">
        <f>STATS1003B!L1601/1000</f>
        <v>0</v>
      </c>
      <c r="M1520" s="9">
        <f>STATS1003B!M1601/1000</f>
        <v>2255.88</v>
      </c>
      <c r="N1520" s="9">
        <f>STATS1003B!N1601/1000</f>
        <v>0</v>
      </c>
      <c r="O1520" s="9">
        <f>STATS1003B!O1601/1000</f>
        <v>0</v>
      </c>
      <c r="P1520" s="9">
        <f>STATS1003B!P1601/1000</f>
        <v>0</v>
      </c>
      <c r="Q1520" s="9">
        <f>STATS1003B!Q1601/1000</f>
        <v>0</v>
      </c>
      <c r="R1520" s="9">
        <f>STATS1003B!R1601/1000</f>
        <v>0</v>
      </c>
      <c r="S1520" s="9">
        <f>STATS1003B!S1601/1000</f>
        <v>0</v>
      </c>
      <c r="T1520" s="9">
        <f>STATS1003B!T1601/1000</f>
        <v>0</v>
      </c>
      <c r="U1520" s="9">
        <f>STATS1003B!U1601/1000</f>
        <v>0</v>
      </c>
      <c r="V1520" s="9">
        <f>STATS1003B!V1601/1000</f>
        <v>2255.88</v>
      </c>
      <c r="W1520" s="9">
        <f>STATS1003B!W1601/1000</f>
        <v>0</v>
      </c>
      <c r="X1520" s="9">
        <f>STATS1003B!X1601/1000</f>
        <v>2255.88</v>
      </c>
      <c r="Y1520" s="9">
        <f>STATS1003B!Y1601/1000</f>
        <v>0</v>
      </c>
      <c r="Z1520" s="9">
        <f>STATS1003B!Z1601/1000</f>
        <v>0</v>
      </c>
      <c r="AA1520" s="9">
        <f>STATS1003B!AA1601/1000</f>
        <v>2255.88</v>
      </c>
      <c r="AB1520" s="9">
        <f>STATS1003B!AB1601/1000</f>
        <v>0</v>
      </c>
    </row>
    <row r="1521" spans="1:28" x14ac:dyDescent="0.35">
      <c r="A1521" s="36"/>
      <c r="B1521" s="8"/>
      <c r="C1521" s="7" t="s">
        <v>316</v>
      </c>
      <c r="D1521" s="15" t="s">
        <v>234</v>
      </c>
      <c r="E1521" s="9">
        <f>STATS1003B!E1602/1000</f>
        <v>721.4</v>
      </c>
      <c r="F1521" s="9">
        <f>STATS1003B!F1602/1000</f>
        <v>685.41372999999999</v>
      </c>
      <c r="G1521" s="9">
        <f>STATS1003B!G1602/1000</f>
        <v>0</v>
      </c>
      <c r="H1521" s="9">
        <f>STATS1003B!H1602/1000</f>
        <v>685.41372999999999</v>
      </c>
      <c r="I1521" s="9">
        <f>STATS1003B!I1602/1000</f>
        <v>0</v>
      </c>
      <c r="J1521" s="9">
        <f>STATS1003B!J1602/1000</f>
        <v>0</v>
      </c>
      <c r="K1521" s="9">
        <f>STATS1003B!K1602/1000</f>
        <v>0</v>
      </c>
      <c r="L1521" s="9">
        <f>STATS1003B!L1602/1000</f>
        <v>0</v>
      </c>
      <c r="M1521" s="9">
        <f>STATS1003B!M1602/1000</f>
        <v>685.41372999999999</v>
      </c>
      <c r="N1521" s="9">
        <f>STATS1003B!N1602/1000</f>
        <v>0</v>
      </c>
      <c r="O1521" s="9">
        <f>STATS1003B!O1602/1000</f>
        <v>0</v>
      </c>
      <c r="P1521" s="9">
        <f>STATS1003B!P1602/1000</f>
        <v>0</v>
      </c>
      <c r="Q1521" s="9">
        <f>STATS1003B!Q1602/1000</f>
        <v>0</v>
      </c>
      <c r="R1521" s="9">
        <f>STATS1003B!R1602/1000</f>
        <v>0</v>
      </c>
      <c r="S1521" s="9">
        <f>STATS1003B!S1602/1000</f>
        <v>0</v>
      </c>
      <c r="T1521" s="9">
        <f>STATS1003B!T1602/1000</f>
        <v>0</v>
      </c>
      <c r="U1521" s="9">
        <f>STATS1003B!U1602/1000</f>
        <v>0</v>
      </c>
      <c r="V1521" s="9">
        <f>STATS1003B!V1602/1000</f>
        <v>685.41372999999999</v>
      </c>
      <c r="W1521" s="9">
        <f>STATS1003B!W1602/1000</f>
        <v>35.986270000000019</v>
      </c>
      <c r="X1521" s="9">
        <f>STATS1003B!X1602/1000</f>
        <v>685.41372999999999</v>
      </c>
      <c r="Y1521" s="9">
        <f>STATS1003B!Y1602/1000</f>
        <v>0</v>
      </c>
      <c r="Z1521" s="9">
        <f>STATS1003B!Z1602/1000</f>
        <v>35.986270000000019</v>
      </c>
      <c r="AA1521" s="9">
        <f>STATS1003B!AA1602/1000</f>
        <v>685.41372999999999</v>
      </c>
      <c r="AB1521" s="9">
        <f>STATS1003B!AB1602/1000</f>
        <v>35.986270000000019</v>
      </c>
    </row>
    <row r="1522" spans="1:28" x14ac:dyDescent="0.35">
      <c r="A1522" s="36"/>
      <c r="B1522" s="8"/>
      <c r="C1522" s="7" t="s">
        <v>300</v>
      </c>
      <c r="D1522" s="15" t="s">
        <v>85</v>
      </c>
      <c r="E1522" s="9">
        <f>STATS1003B!E1603/1000</f>
        <v>160</v>
      </c>
      <c r="F1522" s="9">
        <f>STATS1003B!F1603/1000</f>
        <v>160</v>
      </c>
      <c r="G1522" s="9">
        <f>STATS1003B!G1603/1000</f>
        <v>0</v>
      </c>
      <c r="H1522" s="9">
        <f>STATS1003B!H1603/1000</f>
        <v>160</v>
      </c>
      <c r="I1522" s="9">
        <f>STATS1003B!I1603/1000</f>
        <v>0</v>
      </c>
      <c r="J1522" s="9">
        <f>STATS1003B!J1603/1000</f>
        <v>0</v>
      </c>
      <c r="K1522" s="9">
        <f>STATS1003B!K1603/1000</f>
        <v>0</v>
      </c>
      <c r="L1522" s="9">
        <f>STATS1003B!L1603/1000</f>
        <v>0</v>
      </c>
      <c r="M1522" s="9">
        <f>STATS1003B!M1603/1000</f>
        <v>160</v>
      </c>
      <c r="N1522" s="9">
        <f>STATS1003B!N1603/1000</f>
        <v>0</v>
      </c>
      <c r="O1522" s="9">
        <f>STATS1003B!O1603/1000</f>
        <v>0</v>
      </c>
      <c r="P1522" s="9">
        <f>STATS1003B!P1603/1000</f>
        <v>0</v>
      </c>
      <c r="Q1522" s="9">
        <f>STATS1003B!Q1603/1000</f>
        <v>0</v>
      </c>
      <c r="R1522" s="9">
        <f>STATS1003B!R1603/1000</f>
        <v>0</v>
      </c>
      <c r="S1522" s="9">
        <f>STATS1003B!S1603/1000</f>
        <v>0</v>
      </c>
      <c r="T1522" s="9">
        <f>STATS1003B!T1603/1000</f>
        <v>0</v>
      </c>
      <c r="U1522" s="9">
        <f>STATS1003B!U1603/1000</f>
        <v>0</v>
      </c>
      <c r="V1522" s="9">
        <f>STATS1003B!V1603/1000</f>
        <v>160</v>
      </c>
      <c r="W1522" s="9">
        <f>STATS1003B!W1603/1000</f>
        <v>0</v>
      </c>
      <c r="X1522" s="9">
        <f>STATS1003B!X1603/1000</f>
        <v>160</v>
      </c>
      <c r="Y1522" s="9">
        <f>STATS1003B!Y1603/1000</f>
        <v>0</v>
      </c>
      <c r="Z1522" s="9">
        <f>STATS1003B!Z1603/1000</f>
        <v>0</v>
      </c>
      <c r="AA1522" s="9">
        <f>STATS1003B!AA1603/1000</f>
        <v>160</v>
      </c>
      <c r="AB1522" s="9">
        <f>STATS1003B!AB1603/1000</f>
        <v>0</v>
      </c>
    </row>
    <row r="1523" spans="1:28" x14ac:dyDescent="0.35">
      <c r="A1523" s="36"/>
      <c r="B1523" s="8"/>
      <c r="C1523" s="7" t="s">
        <v>317</v>
      </c>
      <c r="D1523" s="15" t="s">
        <v>85</v>
      </c>
      <c r="E1523" s="9">
        <f>STATS1003B!E1604/1000</f>
        <v>4340.9930000000004</v>
      </c>
      <c r="F1523" s="9">
        <f>STATS1003B!F1604/1000</f>
        <v>4340.9930000000004</v>
      </c>
      <c r="G1523" s="9">
        <f>STATS1003B!G1604/1000</f>
        <v>0</v>
      </c>
      <c r="H1523" s="9">
        <f>STATS1003B!H1604/1000</f>
        <v>4340.9930000000004</v>
      </c>
      <c r="I1523" s="9">
        <f>STATS1003B!I1604/1000</f>
        <v>0</v>
      </c>
      <c r="J1523" s="9">
        <f>STATS1003B!J1604/1000</f>
        <v>0</v>
      </c>
      <c r="K1523" s="9">
        <f>STATS1003B!K1604/1000</f>
        <v>0</v>
      </c>
      <c r="L1523" s="9">
        <f>STATS1003B!L1604/1000</f>
        <v>0</v>
      </c>
      <c r="M1523" s="9">
        <f>STATS1003B!M1604/1000</f>
        <v>4340.9930000000004</v>
      </c>
      <c r="N1523" s="9">
        <f>STATS1003B!N1604/1000</f>
        <v>0</v>
      </c>
      <c r="O1523" s="9">
        <f>STATS1003B!O1604/1000</f>
        <v>0</v>
      </c>
      <c r="P1523" s="9">
        <f>STATS1003B!P1604/1000</f>
        <v>0</v>
      </c>
      <c r="Q1523" s="9">
        <f>STATS1003B!Q1604/1000</f>
        <v>0</v>
      </c>
      <c r="R1523" s="9">
        <f>STATS1003B!R1604/1000</f>
        <v>0</v>
      </c>
      <c r="S1523" s="9">
        <f>STATS1003B!S1604/1000</f>
        <v>0</v>
      </c>
      <c r="T1523" s="9">
        <f>STATS1003B!T1604/1000</f>
        <v>0</v>
      </c>
      <c r="U1523" s="9">
        <f>STATS1003B!U1604/1000</f>
        <v>0</v>
      </c>
      <c r="V1523" s="9">
        <f>STATS1003B!V1604/1000</f>
        <v>4340.9930000000004</v>
      </c>
      <c r="W1523" s="9">
        <f>STATS1003B!W1604/1000</f>
        <v>0</v>
      </c>
      <c r="X1523" s="9">
        <f>STATS1003B!X1604/1000</f>
        <v>4340.9930000000004</v>
      </c>
      <c r="Y1523" s="9">
        <f>STATS1003B!Y1604/1000</f>
        <v>0</v>
      </c>
      <c r="Z1523" s="9">
        <f>STATS1003B!Z1604/1000</f>
        <v>0</v>
      </c>
      <c r="AA1523" s="9">
        <f>STATS1003B!AA1604/1000</f>
        <v>4340.9930000000004</v>
      </c>
      <c r="AB1523" s="9">
        <f>STATS1003B!AB1604/1000</f>
        <v>0</v>
      </c>
    </row>
    <row r="1524" spans="1:28" x14ac:dyDescent="0.35">
      <c r="A1524" s="36"/>
      <c r="B1524" s="8"/>
      <c r="C1524" s="7" t="s">
        <v>302</v>
      </c>
      <c r="D1524" s="15" t="s">
        <v>85</v>
      </c>
      <c r="E1524" s="9">
        <f>STATS1003B!E1605/1000</f>
        <v>320</v>
      </c>
      <c r="F1524" s="9">
        <f>STATS1003B!F1605/1000</f>
        <v>320</v>
      </c>
      <c r="G1524" s="9">
        <f>STATS1003B!G1605/1000</f>
        <v>0</v>
      </c>
      <c r="H1524" s="9">
        <f>STATS1003B!H1605/1000</f>
        <v>320</v>
      </c>
      <c r="I1524" s="9">
        <f>STATS1003B!I1605/1000</f>
        <v>0</v>
      </c>
      <c r="J1524" s="9">
        <f>STATS1003B!J1605/1000</f>
        <v>0</v>
      </c>
      <c r="K1524" s="9">
        <f>STATS1003B!K1605/1000</f>
        <v>0</v>
      </c>
      <c r="L1524" s="9">
        <f>STATS1003B!L1605/1000</f>
        <v>0</v>
      </c>
      <c r="M1524" s="9">
        <f>STATS1003B!M1605/1000</f>
        <v>320</v>
      </c>
      <c r="N1524" s="9">
        <f>STATS1003B!N1605/1000</f>
        <v>0</v>
      </c>
      <c r="O1524" s="9">
        <f>STATS1003B!O1605/1000</f>
        <v>0</v>
      </c>
      <c r="P1524" s="9">
        <f>STATS1003B!P1605/1000</f>
        <v>0</v>
      </c>
      <c r="Q1524" s="9">
        <f>STATS1003B!Q1605/1000</f>
        <v>0</v>
      </c>
      <c r="R1524" s="9">
        <f>STATS1003B!R1605/1000</f>
        <v>0</v>
      </c>
      <c r="S1524" s="9">
        <f>STATS1003B!S1605/1000</f>
        <v>0</v>
      </c>
      <c r="T1524" s="9">
        <f>STATS1003B!T1605/1000</f>
        <v>0</v>
      </c>
      <c r="U1524" s="9">
        <f>STATS1003B!U1605/1000</f>
        <v>0</v>
      </c>
      <c r="V1524" s="9">
        <f>STATS1003B!V1605/1000</f>
        <v>320</v>
      </c>
      <c r="W1524" s="9">
        <f>STATS1003B!W1605/1000</f>
        <v>0</v>
      </c>
      <c r="X1524" s="9">
        <f>STATS1003B!X1605/1000</f>
        <v>320</v>
      </c>
      <c r="Y1524" s="9">
        <f>STATS1003B!Y1605/1000</f>
        <v>0</v>
      </c>
      <c r="Z1524" s="9">
        <f>STATS1003B!Z1605/1000</f>
        <v>0</v>
      </c>
      <c r="AA1524" s="9">
        <f>STATS1003B!AA1605/1000</f>
        <v>320</v>
      </c>
      <c r="AB1524" s="9">
        <f>STATS1003B!AB1605/1000</f>
        <v>0</v>
      </c>
    </row>
    <row r="1525" spans="1:28" x14ac:dyDescent="0.35">
      <c r="A1525" s="36"/>
      <c r="B1525" s="8"/>
      <c r="C1525" s="7" t="s">
        <v>318</v>
      </c>
      <c r="D1525" s="15" t="s">
        <v>85</v>
      </c>
      <c r="E1525" s="9">
        <f>STATS1003B!E1606/1000</f>
        <v>6331.0860000000002</v>
      </c>
      <c r="F1525" s="9">
        <f>STATS1003B!F1606/1000</f>
        <v>6331.0860000000002</v>
      </c>
      <c r="G1525" s="9">
        <f>STATS1003B!G1606/1000</f>
        <v>0</v>
      </c>
      <c r="H1525" s="9">
        <f>STATS1003B!H1606/1000</f>
        <v>6331.0860000000002</v>
      </c>
      <c r="I1525" s="9">
        <f>STATS1003B!I1606/1000</f>
        <v>0</v>
      </c>
      <c r="J1525" s="9">
        <f>STATS1003B!J1606/1000</f>
        <v>0</v>
      </c>
      <c r="K1525" s="9">
        <f>STATS1003B!K1606/1000</f>
        <v>0</v>
      </c>
      <c r="L1525" s="9">
        <f>STATS1003B!L1606/1000</f>
        <v>0</v>
      </c>
      <c r="M1525" s="9">
        <f>STATS1003B!M1606/1000</f>
        <v>6331.0860000000002</v>
      </c>
      <c r="N1525" s="9">
        <f>STATS1003B!N1606/1000</f>
        <v>0</v>
      </c>
      <c r="O1525" s="9">
        <f>STATS1003B!O1606/1000</f>
        <v>0</v>
      </c>
      <c r="P1525" s="9">
        <f>STATS1003B!P1606/1000</f>
        <v>0</v>
      </c>
      <c r="Q1525" s="9">
        <f>STATS1003B!Q1606/1000</f>
        <v>0</v>
      </c>
      <c r="R1525" s="9">
        <f>STATS1003B!R1606/1000</f>
        <v>0</v>
      </c>
      <c r="S1525" s="9">
        <f>STATS1003B!S1606/1000</f>
        <v>0</v>
      </c>
      <c r="T1525" s="9">
        <f>STATS1003B!T1606/1000</f>
        <v>0</v>
      </c>
      <c r="U1525" s="9">
        <f>STATS1003B!U1606/1000</f>
        <v>0</v>
      </c>
      <c r="V1525" s="9">
        <f>STATS1003B!V1606/1000</f>
        <v>6331.0860000000002</v>
      </c>
      <c r="W1525" s="9">
        <f>STATS1003B!W1606/1000</f>
        <v>0</v>
      </c>
      <c r="X1525" s="9">
        <f>STATS1003B!X1606/1000</f>
        <v>6331.0860000000002</v>
      </c>
      <c r="Y1525" s="9">
        <f>STATS1003B!Y1606/1000</f>
        <v>0</v>
      </c>
      <c r="Z1525" s="9">
        <f>STATS1003B!Z1606/1000</f>
        <v>0</v>
      </c>
      <c r="AA1525" s="9">
        <f>STATS1003B!AA1606/1000</f>
        <v>6331.0860000000002</v>
      </c>
      <c r="AB1525" s="9">
        <f>STATS1003B!AB1606/1000</f>
        <v>0</v>
      </c>
    </row>
    <row r="1526" spans="1:28" x14ac:dyDescent="0.35">
      <c r="A1526" s="36"/>
      <c r="B1526" s="8"/>
      <c r="C1526" s="7" t="s">
        <v>319</v>
      </c>
      <c r="D1526" s="8"/>
      <c r="E1526" s="9">
        <f>STATS1003B!E1607/1000</f>
        <v>0</v>
      </c>
      <c r="F1526" s="9">
        <f>STATS1003B!F1607/1000</f>
        <v>0</v>
      </c>
      <c r="G1526" s="9">
        <f>STATS1003B!G1607/1000</f>
        <v>0</v>
      </c>
      <c r="H1526" s="9">
        <f>STATS1003B!H1607/1000</f>
        <v>0</v>
      </c>
      <c r="I1526" s="9">
        <f>STATS1003B!I1607/1000</f>
        <v>0</v>
      </c>
      <c r="J1526" s="9">
        <f>STATS1003B!J1607/1000</f>
        <v>0</v>
      </c>
      <c r="K1526" s="9">
        <f>STATS1003B!K1607/1000</f>
        <v>0</v>
      </c>
      <c r="L1526" s="9">
        <f>STATS1003B!L1607/1000</f>
        <v>0</v>
      </c>
      <c r="M1526" s="9">
        <f>STATS1003B!M1607/1000</f>
        <v>0</v>
      </c>
      <c r="N1526" s="9">
        <f>STATS1003B!N1607/1000</f>
        <v>0</v>
      </c>
      <c r="O1526" s="9">
        <f>STATS1003B!O1607/1000</f>
        <v>0</v>
      </c>
      <c r="P1526" s="9">
        <f>STATS1003B!P1607/1000</f>
        <v>0</v>
      </c>
      <c r="Q1526" s="9">
        <f>STATS1003B!Q1607/1000</f>
        <v>0</v>
      </c>
      <c r="R1526" s="9">
        <f>STATS1003B!R1607/1000</f>
        <v>0</v>
      </c>
      <c r="S1526" s="9">
        <f>STATS1003B!S1607/1000</f>
        <v>0</v>
      </c>
      <c r="T1526" s="9">
        <f>STATS1003B!T1607/1000</f>
        <v>0</v>
      </c>
      <c r="U1526" s="9">
        <f>STATS1003B!U1607/1000</f>
        <v>0</v>
      </c>
      <c r="V1526" s="9">
        <f>STATS1003B!V1607/1000</f>
        <v>0</v>
      </c>
      <c r="W1526" s="9">
        <f>STATS1003B!W1607/1000</f>
        <v>0</v>
      </c>
      <c r="X1526" s="9">
        <f>STATS1003B!X1607/1000</f>
        <v>0</v>
      </c>
      <c r="Y1526" s="9">
        <f>STATS1003B!Y1607/1000</f>
        <v>0</v>
      </c>
      <c r="Z1526" s="9">
        <f>STATS1003B!Z1607/1000</f>
        <v>0</v>
      </c>
      <c r="AA1526" s="9">
        <f>STATS1003B!AA1607/1000</f>
        <v>0</v>
      </c>
      <c r="AB1526" s="9">
        <f>STATS1003B!AB1607/1000</f>
        <v>0</v>
      </c>
    </row>
    <row r="1527" spans="1:28" x14ac:dyDescent="0.35">
      <c r="A1527" s="36"/>
      <c r="B1527" s="8"/>
      <c r="C1527" s="14" t="s">
        <v>109</v>
      </c>
      <c r="D1527" s="21" t="s">
        <v>60</v>
      </c>
      <c r="E1527" s="9">
        <f>STATS1003B!E1608/1000</f>
        <v>6977.3729999999996</v>
      </c>
      <c r="F1527" s="9">
        <f>STATS1003B!F1608/1000</f>
        <v>6977.3729999999996</v>
      </c>
      <c r="G1527" s="9">
        <f>STATS1003B!G1608/1000</f>
        <v>0</v>
      </c>
      <c r="H1527" s="9">
        <f>STATS1003B!H1608/1000</f>
        <v>6977.3729999999996</v>
      </c>
      <c r="I1527" s="9">
        <f>STATS1003B!I1608/1000</f>
        <v>0</v>
      </c>
      <c r="J1527" s="9">
        <f>STATS1003B!J1608/1000</f>
        <v>0</v>
      </c>
      <c r="K1527" s="9">
        <f>STATS1003B!K1608/1000</f>
        <v>0</v>
      </c>
      <c r="L1527" s="9">
        <f>STATS1003B!L1608/1000</f>
        <v>0</v>
      </c>
      <c r="M1527" s="9">
        <f>STATS1003B!M1608/1000</f>
        <v>6977.3729999999996</v>
      </c>
      <c r="N1527" s="9">
        <f>STATS1003B!N1608/1000</f>
        <v>0</v>
      </c>
      <c r="O1527" s="9">
        <f>STATS1003B!O1608/1000</f>
        <v>0</v>
      </c>
      <c r="P1527" s="9">
        <f>STATS1003B!P1608/1000</f>
        <v>0</v>
      </c>
      <c r="Q1527" s="9">
        <f>STATS1003B!Q1608/1000</f>
        <v>0</v>
      </c>
      <c r="R1527" s="9">
        <f>STATS1003B!R1608/1000</f>
        <v>0</v>
      </c>
      <c r="S1527" s="9">
        <f>STATS1003B!S1608/1000</f>
        <v>0</v>
      </c>
      <c r="T1527" s="9">
        <f>STATS1003B!T1608/1000</f>
        <v>0</v>
      </c>
      <c r="U1527" s="9">
        <f>STATS1003B!U1608/1000</f>
        <v>0</v>
      </c>
      <c r="V1527" s="9">
        <f>STATS1003B!V1608/1000</f>
        <v>6977.3729999999996</v>
      </c>
      <c r="W1527" s="9">
        <f>STATS1003B!W1608/1000</f>
        <v>0</v>
      </c>
      <c r="X1527" s="9">
        <f>STATS1003B!X1608/1000</f>
        <v>6977.3729999999996</v>
      </c>
      <c r="Y1527" s="9">
        <f>STATS1003B!Y1608/1000</f>
        <v>0</v>
      </c>
      <c r="Z1527" s="9">
        <f>STATS1003B!Z1608/1000</f>
        <v>0</v>
      </c>
      <c r="AA1527" s="9">
        <f>STATS1003B!AA1608/1000</f>
        <v>6977.3729999999996</v>
      </c>
      <c r="AB1527" s="9">
        <f>STATS1003B!AB1608/1000</f>
        <v>0</v>
      </c>
    </row>
    <row r="1528" spans="1:28" x14ac:dyDescent="0.35">
      <c r="A1528" s="36"/>
      <c r="B1528" s="8"/>
      <c r="C1528" s="14" t="s">
        <v>57</v>
      </c>
      <c r="D1528" s="21" t="s">
        <v>60</v>
      </c>
      <c r="E1528" s="9">
        <f>STATS1003B!E1609/1000</f>
        <v>2642.7510000000002</v>
      </c>
      <c r="F1528" s="9">
        <f>STATS1003B!F1609/1000</f>
        <v>2642.7510000000002</v>
      </c>
      <c r="G1528" s="9">
        <f>STATS1003B!G1609/1000</f>
        <v>0</v>
      </c>
      <c r="H1528" s="9">
        <f>STATS1003B!H1609/1000</f>
        <v>2642.7510000000002</v>
      </c>
      <c r="I1528" s="9">
        <f>STATS1003B!I1609/1000</f>
        <v>0</v>
      </c>
      <c r="J1528" s="9">
        <f>STATS1003B!J1609/1000</f>
        <v>0</v>
      </c>
      <c r="K1528" s="9">
        <f>STATS1003B!K1609/1000</f>
        <v>0</v>
      </c>
      <c r="L1528" s="9">
        <f>STATS1003B!L1609/1000</f>
        <v>0</v>
      </c>
      <c r="M1528" s="9">
        <f>STATS1003B!M1609/1000</f>
        <v>2642.7510000000002</v>
      </c>
      <c r="N1528" s="9">
        <f>STATS1003B!N1609/1000</f>
        <v>0</v>
      </c>
      <c r="O1528" s="9">
        <f>STATS1003B!O1609/1000</f>
        <v>0</v>
      </c>
      <c r="P1528" s="9">
        <f>STATS1003B!P1609/1000</f>
        <v>0</v>
      </c>
      <c r="Q1528" s="9">
        <f>STATS1003B!Q1609/1000</f>
        <v>0</v>
      </c>
      <c r="R1528" s="9">
        <f>STATS1003B!R1609/1000</f>
        <v>0</v>
      </c>
      <c r="S1528" s="9">
        <f>STATS1003B!S1609/1000</f>
        <v>0</v>
      </c>
      <c r="T1528" s="9">
        <f>STATS1003B!T1609/1000</f>
        <v>0</v>
      </c>
      <c r="U1528" s="9">
        <f>STATS1003B!U1609/1000</f>
        <v>0</v>
      </c>
      <c r="V1528" s="9">
        <f>STATS1003B!V1609/1000</f>
        <v>2642.7510000000002</v>
      </c>
      <c r="W1528" s="9">
        <f>STATS1003B!W1609/1000</f>
        <v>0</v>
      </c>
      <c r="X1528" s="9">
        <f>STATS1003B!X1609/1000</f>
        <v>2642.7510000000002</v>
      </c>
      <c r="Y1528" s="9">
        <f>STATS1003B!Y1609/1000</f>
        <v>0</v>
      </c>
      <c r="Z1528" s="9">
        <f>STATS1003B!Z1609/1000</f>
        <v>0</v>
      </c>
      <c r="AA1528" s="9">
        <f>STATS1003B!AA1609/1000</f>
        <v>2642.7510000000002</v>
      </c>
      <c r="AB1528" s="9">
        <f>STATS1003B!AB1609/1000</f>
        <v>0</v>
      </c>
    </row>
    <row r="1529" spans="1:28" x14ac:dyDescent="0.35">
      <c r="A1529" s="36"/>
      <c r="B1529" s="8"/>
      <c r="C1529" s="14" t="s">
        <v>320</v>
      </c>
      <c r="D1529" s="21" t="s">
        <v>60</v>
      </c>
      <c r="E1529" s="9">
        <f>STATS1003B!E1610/1000</f>
        <v>379.84699999999998</v>
      </c>
      <c r="F1529" s="9">
        <f>STATS1003B!F1610/1000</f>
        <v>379.84699999999998</v>
      </c>
      <c r="G1529" s="9">
        <f>STATS1003B!G1610/1000</f>
        <v>0</v>
      </c>
      <c r="H1529" s="9">
        <f>STATS1003B!H1610/1000</f>
        <v>379.84699999999998</v>
      </c>
      <c r="I1529" s="9">
        <f>STATS1003B!I1610/1000</f>
        <v>379.84699999999998</v>
      </c>
      <c r="J1529" s="9">
        <f>STATS1003B!J1610/1000</f>
        <v>379.84699999999998</v>
      </c>
      <c r="K1529" s="9">
        <f>STATS1003B!K1610/1000</f>
        <v>0</v>
      </c>
      <c r="L1529" s="9">
        <f>STATS1003B!L1610/1000</f>
        <v>0</v>
      </c>
      <c r="M1529" s="9">
        <f>STATS1003B!M1610/1000</f>
        <v>379.84699999999998</v>
      </c>
      <c r="N1529" s="9">
        <f>STATS1003B!N1610/1000</f>
        <v>0</v>
      </c>
      <c r="O1529" s="9">
        <f>STATS1003B!O1610/1000</f>
        <v>0</v>
      </c>
      <c r="P1529" s="9">
        <f>STATS1003B!P1610/1000</f>
        <v>0</v>
      </c>
      <c r="Q1529" s="9">
        <f>STATS1003B!Q1610/1000</f>
        <v>0</v>
      </c>
      <c r="R1529" s="9">
        <f>STATS1003B!R1610/1000</f>
        <v>0</v>
      </c>
      <c r="S1529" s="9">
        <f>STATS1003B!S1610/1000</f>
        <v>0</v>
      </c>
      <c r="T1529" s="9">
        <f>STATS1003B!T1610/1000</f>
        <v>0</v>
      </c>
      <c r="U1529" s="9">
        <f>STATS1003B!U1610/1000</f>
        <v>0</v>
      </c>
      <c r="V1529" s="9">
        <f>STATS1003B!V1610/1000</f>
        <v>379.84699999999998</v>
      </c>
      <c r="W1529" s="9">
        <f>STATS1003B!W1610/1000</f>
        <v>0</v>
      </c>
      <c r="X1529" s="9">
        <f>STATS1003B!X1610/1000</f>
        <v>379.84699999999998</v>
      </c>
      <c r="Y1529" s="9">
        <f>STATS1003B!Y1610/1000</f>
        <v>0</v>
      </c>
      <c r="Z1529" s="9">
        <f>STATS1003B!Z1610/1000</f>
        <v>0</v>
      </c>
      <c r="AA1529" s="9">
        <f>STATS1003B!AA1610/1000</f>
        <v>379.84699999999998</v>
      </c>
      <c r="AB1529" s="9">
        <f>STATS1003B!AB1610/1000</f>
        <v>0</v>
      </c>
    </row>
    <row r="1530" spans="1:28" x14ac:dyDescent="0.35">
      <c r="A1530" s="36"/>
      <c r="B1530" s="8"/>
      <c r="C1530" s="14" t="s">
        <v>57</v>
      </c>
      <c r="D1530" s="21" t="s">
        <v>73</v>
      </c>
      <c r="E1530" s="9">
        <f>STATS1003B!E1611/1000</f>
        <v>3857</v>
      </c>
      <c r="F1530" s="9">
        <f>STATS1003B!F1611/1000</f>
        <v>3857</v>
      </c>
      <c r="G1530" s="9">
        <f>STATS1003B!G1611/1000</f>
        <v>0</v>
      </c>
      <c r="H1530" s="9">
        <f>STATS1003B!H1611/1000</f>
        <v>3857</v>
      </c>
      <c r="I1530" s="9">
        <f>STATS1003B!I1611/1000</f>
        <v>0</v>
      </c>
      <c r="J1530" s="9">
        <f>STATS1003B!J1611/1000</f>
        <v>0</v>
      </c>
      <c r="K1530" s="9">
        <f>STATS1003B!K1611/1000</f>
        <v>0</v>
      </c>
      <c r="L1530" s="9">
        <f>STATS1003B!L1611/1000</f>
        <v>0</v>
      </c>
      <c r="M1530" s="9">
        <f>STATS1003B!M1611/1000</f>
        <v>3857</v>
      </c>
      <c r="N1530" s="9">
        <f>STATS1003B!N1611/1000</f>
        <v>0</v>
      </c>
      <c r="O1530" s="9">
        <f>STATS1003B!O1611/1000</f>
        <v>0</v>
      </c>
      <c r="P1530" s="9">
        <f>STATS1003B!P1611/1000</f>
        <v>0</v>
      </c>
      <c r="Q1530" s="9">
        <f>STATS1003B!Q1611/1000</f>
        <v>0</v>
      </c>
      <c r="R1530" s="9">
        <f>STATS1003B!R1611/1000</f>
        <v>0</v>
      </c>
      <c r="S1530" s="9">
        <f>STATS1003B!S1611/1000</f>
        <v>0</v>
      </c>
      <c r="T1530" s="9">
        <f>STATS1003B!T1611/1000</f>
        <v>0</v>
      </c>
      <c r="U1530" s="9">
        <f>STATS1003B!U1611/1000</f>
        <v>0</v>
      </c>
      <c r="V1530" s="9">
        <f>STATS1003B!V1611/1000</f>
        <v>3857</v>
      </c>
      <c r="W1530" s="9">
        <f>STATS1003B!W1611/1000</f>
        <v>0</v>
      </c>
      <c r="X1530" s="9">
        <f>STATS1003B!X1611/1000</f>
        <v>3857</v>
      </c>
      <c r="Y1530" s="9">
        <f>STATS1003B!Y1611/1000</f>
        <v>0</v>
      </c>
      <c r="Z1530" s="9">
        <f>STATS1003B!Z1611/1000</f>
        <v>0</v>
      </c>
      <c r="AA1530" s="9">
        <f>STATS1003B!AA1611/1000</f>
        <v>3857</v>
      </c>
      <c r="AB1530" s="9">
        <f>STATS1003B!AB1611/1000</f>
        <v>0</v>
      </c>
    </row>
    <row r="1531" spans="1:28" x14ac:dyDescent="0.35">
      <c r="A1531" s="36"/>
      <c r="B1531" s="8"/>
      <c r="C1531" s="14" t="s">
        <v>95</v>
      </c>
      <c r="D1531" s="21" t="s">
        <v>73</v>
      </c>
      <c r="E1531" s="9">
        <f>STATS1003B!E1612/1000</f>
        <v>272.40364</v>
      </c>
      <c r="F1531" s="9">
        <f>STATS1003B!F1612/1000</f>
        <v>272.40364</v>
      </c>
      <c r="G1531" s="9">
        <f>STATS1003B!G1612/1000</f>
        <v>0</v>
      </c>
      <c r="H1531" s="9">
        <f>STATS1003B!H1612/1000</f>
        <v>272.40364</v>
      </c>
      <c r="I1531" s="9">
        <f>STATS1003B!I1612/1000</f>
        <v>0</v>
      </c>
      <c r="J1531" s="9">
        <f>STATS1003B!J1612/1000</f>
        <v>0</v>
      </c>
      <c r="K1531" s="9">
        <f>STATS1003B!K1612/1000</f>
        <v>0</v>
      </c>
      <c r="L1531" s="9">
        <f>STATS1003B!L1612/1000</f>
        <v>0</v>
      </c>
      <c r="M1531" s="9">
        <f>STATS1003B!M1612/1000</f>
        <v>272.40364</v>
      </c>
      <c r="N1531" s="9">
        <f>STATS1003B!N1612/1000</f>
        <v>0</v>
      </c>
      <c r="O1531" s="9">
        <f>STATS1003B!O1612/1000</f>
        <v>0</v>
      </c>
      <c r="P1531" s="9">
        <f>STATS1003B!P1612/1000</f>
        <v>0</v>
      </c>
      <c r="Q1531" s="9">
        <f>STATS1003B!Q1612/1000</f>
        <v>0</v>
      </c>
      <c r="R1531" s="9">
        <f>STATS1003B!R1612/1000</f>
        <v>0</v>
      </c>
      <c r="S1531" s="9">
        <f>STATS1003B!S1612/1000</f>
        <v>0</v>
      </c>
      <c r="T1531" s="9">
        <f>STATS1003B!T1612/1000</f>
        <v>0</v>
      </c>
      <c r="U1531" s="9">
        <f>STATS1003B!U1612/1000</f>
        <v>0</v>
      </c>
      <c r="V1531" s="9">
        <f>STATS1003B!V1612/1000</f>
        <v>272.40364</v>
      </c>
      <c r="W1531" s="9">
        <f>STATS1003B!W1612/1000</f>
        <v>0</v>
      </c>
      <c r="X1531" s="9">
        <f>STATS1003B!X1612/1000</f>
        <v>272.40364</v>
      </c>
      <c r="Y1531" s="9">
        <f>STATS1003B!Y1612/1000</f>
        <v>0</v>
      </c>
      <c r="Z1531" s="9">
        <f>STATS1003B!Z1612/1000</f>
        <v>0</v>
      </c>
      <c r="AA1531" s="9">
        <f>STATS1003B!AA1612/1000</f>
        <v>272.40364</v>
      </c>
      <c r="AB1531" s="9">
        <f>STATS1003B!AB1612/1000</f>
        <v>0</v>
      </c>
    </row>
    <row r="1532" spans="1:28" x14ac:dyDescent="0.35">
      <c r="A1532" s="36"/>
      <c r="B1532" s="8"/>
      <c r="C1532" s="14" t="s">
        <v>57</v>
      </c>
      <c r="D1532" s="24" t="s">
        <v>61</v>
      </c>
      <c r="E1532" s="9">
        <f>STATS1003B!E1613/1000</f>
        <v>2377.40931</v>
      </c>
      <c r="F1532" s="9">
        <f>STATS1003B!F1613/1000</f>
        <v>2377.40931</v>
      </c>
      <c r="G1532" s="9">
        <f>STATS1003B!G1613/1000</f>
        <v>0</v>
      </c>
      <c r="H1532" s="9">
        <f>STATS1003B!H1613/1000</f>
        <v>2377.40931</v>
      </c>
      <c r="I1532" s="9">
        <f>STATS1003B!I1613/1000</f>
        <v>0</v>
      </c>
      <c r="J1532" s="9">
        <f>STATS1003B!J1613/1000</f>
        <v>0</v>
      </c>
      <c r="K1532" s="9">
        <f>STATS1003B!K1613/1000</f>
        <v>0</v>
      </c>
      <c r="L1532" s="9">
        <f>STATS1003B!L1613/1000</f>
        <v>0</v>
      </c>
      <c r="M1532" s="9">
        <f>STATS1003B!M1613/1000</f>
        <v>2377.40931</v>
      </c>
      <c r="N1532" s="9">
        <f>STATS1003B!N1613/1000</f>
        <v>0</v>
      </c>
      <c r="O1532" s="9">
        <f>STATS1003B!O1613/1000</f>
        <v>0</v>
      </c>
      <c r="P1532" s="9">
        <f>STATS1003B!P1613/1000</f>
        <v>0</v>
      </c>
      <c r="Q1532" s="9">
        <f>STATS1003B!Q1613/1000</f>
        <v>0</v>
      </c>
      <c r="R1532" s="9">
        <f>STATS1003B!R1613/1000</f>
        <v>0</v>
      </c>
      <c r="S1532" s="9">
        <f>STATS1003B!S1613/1000</f>
        <v>0</v>
      </c>
      <c r="T1532" s="9">
        <f>STATS1003B!T1613/1000</f>
        <v>0</v>
      </c>
      <c r="U1532" s="9">
        <f>STATS1003B!U1613/1000</f>
        <v>0</v>
      </c>
      <c r="V1532" s="9">
        <f>STATS1003B!V1613/1000</f>
        <v>2377.40931</v>
      </c>
      <c r="W1532" s="9">
        <f>STATS1003B!W1613/1000</f>
        <v>0</v>
      </c>
      <c r="X1532" s="9">
        <f>STATS1003B!X1613/1000</f>
        <v>2377.40931</v>
      </c>
      <c r="Y1532" s="9">
        <f>STATS1003B!Y1613/1000</f>
        <v>0</v>
      </c>
      <c r="Z1532" s="9">
        <f>STATS1003B!Z1613/1000</f>
        <v>0</v>
      </c>
      <c r="AA1532" s="9">
        <f>STATS1003B!AA1613/1000</f>
        <v>2377.40931</v>
      </c>
      <c r="AB1532" s="9">
        <f>STATS1003B!AB1613/1000</f>
        <v>0</v>
      </c>
    </row>
    <row r="1533" spans="1:28" x14ac:dyDescent="0.35">
      <c r="A1533" s="36"/>
      <c r="B1533" s="8"/>
      <c r="C1533" s="14" t="s">
        <v>1138</v>
      </c>
      <c r="D1533" s="24" t="s">
        <v>1126</v>
      </c>
      <c r="E1533" s="9">
        <f>STATS1003B!E1615/1000</f>
        <v>3350.6888900000004</v>
      </c>
      <c r="F1533" s="9">
        <f>STATS1003B!F1615/1000</f>
        <v>3350.6888900000004</v>
      </c>
      <c r="G1533" s="9">
        <f>STATS1003B!G1615/1000</f>
        <v>0</v>
      </c>
      <c r="H1533" s="9">
        <f>STATS1003B!H1615/1000</f>
        <v>3350.6888900000004</v>
      </c>
      <c r="I1533" s="9">
        <f>STATS1003B!I1615/1000</f>
        <v>0</v>
      </c>
      <c r="J1533" s="9">
        <f>STATS1003B!J1615/1000</f>
        <v>0</v>
      </c>
      <c r="K1533" s="9">
        <f>STATS1003B!K1615/1000</f>
        <v>0</v>
      </c>
      <c r="L1533" s="9">
        <f>STATS1003B!L1615/1000</f>
        <v>0</v>
      </c>
      <c r="M1533" s="9">
        <f>STATS1003B!M1615/1000</f>
        <v>3350.6888900000004</v>
      </c>
      <c r="N1533" s="9">
        <f>STATS1003B!N1615/1000</f>
        <v>0</v>
      </c>
      <c r="O1533" s="9">
        <f>STATS1003B!O1615/1000</f>
        <v>0</v>
      </c>
      <c r="P1533" s="9">
        <f>STATS1003B!P1615/1000</f>
        <v>0</v>
      </c>
      <c r="Q1533" s="9">
        <f>STATS1003B!Q1615/1000</f>
        <v>0</v>
      </c>
      <c r="R1533" s="9">
        <f>STATS1003B!R1615/1000</f>
        <v>0</v>
      </c>
      <c r="S1533" s="9">
        <f>STATS1003B!S1615/1000</f>
        <v>0</v>
      </c>
      <c r="T1533" s="9">
        <f>STATS1003B!T1615/1000</f>
        <v>0</v>
      </c>
      <c r="U1533" s="9">
        <f>STATS1003B!U1615/1000</f>
        <v>0</v>
      </c>
      <c r="V1533" s="9">
        <f>STATS1003B!V1615/1000</f>
        <v>3350.6888900000004</v>
      </c>
      <c r="W1533" s="9">
        <f>STATS1003B!W1615/1000</f>
        <v>0</v>
      </c>
      <c r="X1533" s="9">
        <f>STATS1003B!X1615/1000</f>
        <v>3350.6888900000004</v>
      </c>
      <c r="Y1533" s="9">
        <f>STATS1003B!Y1615/1000</f>
        <v>0</v>
      </c>
      <c r="Z1533" s="9">
        <f>STATS1003B!Z1615/1000</f>
        <v>0</v>
      </c>
      <c r="AA1533" s="9">
        <f>STATS1003B!AA1615/1000</f>
        <v>3350.6888900000004</v>
      </c>
      <c r="AB1533" s="9">
        <f>STATS1003B!AB1615/1000</f>
        <v>0</v>
      </c>
    </row>
    <row r="1534" spans="1:28" x14ac:dyDescent="0.35">
      <c r="A1534" s="36"/>
      <c r="B1534" s="8"/>
      <c r="C1534" s="14" t="s">
        <v>930</v>
      </c>
      <c r="D1534" s="24" t="s">
        <v>1072</v>
      </c>
      <c r="E1534" s="9">
        <f>STATS1003B!E1616/1000</f>
        <v>1897</v>
      </c>
      <c r="F1534" s="9">
        <f>STATS1003B!F1616/1000</f>
        <v>1897</v>
      </c>
      <c r="G1534" s="9">
        <f>STATS1003B!G1616/1000</f>
        <v>0</v>
      </c>
      <c r="H1534" s="9">
        <f>STATS1003B!H1616/1000</f>
        <v>1897</v>
      </c>
      <c r="I1534" s="9">
        <f>STATS1003B!I1616/1000</f>
        <v>0</v>
      </c>
      <c r="J1534" s="9">
        <f>STATS1003B!J1616/1000</f>
        <v>0</v>
      </c>
      <c r="K1534" s="9">
        <f>STATS1003B!K1616/1000</f>
        <v>0</v>
      </c>
      <c r="L1534" s="9">
        <f>STATS1003B!L1616/1000</f>
        <v>0</v>
      </c>
      <c r="M1534" s="9">
        <f>STATS1003B!M1616/1000</f>
        <v>1897</v>
      </c>
      <c r="N1534" s="9">
        <f>STATS1003B!N1616/1000</f>
        <v>0</v>
      </c>
      <c r="O1534" s="9">
        <f>STATS1003B!O1616/1000</f>
        <v>0</v>
      </c>
      <c r="P1534" s="9">
        <f>STATS1003B!P1616/1000</f>
        <v>0</v>
      </c>
      <c r="Q1534" s="9">
        <f>STATS1003B!Q1616/1000</f>
        <v>0</v>
      </c>
      <c r="R1534" s="9">
        <f>STATS1003B!R1616/1000</f>
        <v>0</v>
      </c>
      <c r="S1534" s="9">
        <f>STATS1003B!S1616/1000</f>
        <v>0</v>
      </c>
      <c r="T1534" s="9">
        <f>STATS1003B!T1616/1000</f>
        <v>0</v>
      </c>
      <c r="U1534" s="9">
        <f>STATS1003B!U1616/1000</f>
        <v>0</v>
      </c>
      <c r="V1534" s="9">
        <f>STATS1003B!V1616/1000</f>
        <v>1897</v>
      </c>
      <c r="W1534" s="9">
        <f>STATS1003B!W1616/1000</f>
        <v>0</v>
      </c>
      <c r="X1534" s="9">
        <f>STATS1003B!X1616/1000</f>
        <v>1897</v>
      </c>
      <c r="Y1534" s="9">
        <f>STATS1003B!Y1616/1000</f>
        <v>0</v>
      </c>
      <c r="Z1534" s="9">
        <f>STATS1003B!Z1616/1000</f>
        <v>0</v>
      </c>
      <c r="AA1534" s="9">
        <f>STATS1003B!AA1616/1000</f>
        <v>1897</v>
      </c>
      <c r="AB1534" s="9">
        <f>STATS1003B!AB1616/1000</f>
        <v>0</v>
      </c>
    </row>
    <row r="1535" spans="1:28" x14ac:dyDescent="0.35">
      <c r="A1535" s="36"/>
      <c r="B1535" s="8"/>
      <c r="C1535" s="7" t="s">
        <v>321</v>
      </c>
      <c r="D1535" s="8"/>
      <c r="E1535" s="9">
        <f>STATS1003B!E1619/1000</f>
        <v>2308.5700000000002</v>
      </c>
      <c r="F1535" s="9">
        <f>STATS1003B!F1619/1000</f>
        <v>2308.5700000000002</v>
      </c>
      <c r="G1535" s="9">
        <f>STATS1003B!G1619/1000</f>
        <v>0</v>
      </c>
      <c r="H1535" s="9">
        <f>STATS1003B!H1619/1000</f>
        <v>2308.5700000000002</v>
      </c>
      <c r="I1535" s="9">
        <f>STATS1003B!I1619/1000</f>
        <v>0</v>
      </c>
      <c r="J1535" s="9">
        <f>STATS1003B!J1619/1000</f>
        <v>0</v>
      </c>
      <c r="K1535" s="9">
        <f>STATS1003B!K1619/1000</f>
        <v>0</v>
      </c>
      <c r="L1535" s="9">
        <f>STATS1003B!L1619/1000</f>
        <v>0</v>
      </c>
      <c r="M1535" s="9">
        <f>STATS1003B!M1619/1000</f>
        <v>2308.5700000000002</v>
      </c>
      <c r="N1535" s="9">
        <f>STATS1003B!N1619/1000</f>
        <v>0</v>
      </c>
      <c r="O1535" s="9">
        <f>STATS1003B!O1619/1000</f>
        <v>0</v>
      </c>
      <c r="P1535" s="9">
        <f>STATS1003B!P1619/1000</f>
        <v>0</v>
      </c>
      <c r="Q1535" s="9">
        <f>STATS1003B!Q1619/1000</f>
        <v>0</v>
      </c>
      <c r="R1535" s="9">
        <f>STATS1003B!R1619/1000</f>
        <v>0</v>
      </c>
      <c r="S1535" s="9">
        <f>STATS1003B!S1619/1000</f>
        <v>0</v>
      </c>
      <c r="T1535" s="9">
        <f>STATS1003B!T1619/1000</f>
        <v>0</v>
      </c>
      <c r="U1535" s="9">
        <f>STATS1003B!U1619/1000</f>
        <v>0</v>
      </c>
      <c r="V1535" s="9">
        <f>STATS1003B!V1619/1000</f>
        <v>2308.5700000000002</v>
      </c>
      <c r="W1535" s="9">
        <f>STATS1003B!W1619/1000</f>
        <v>0</v>
      </c>
      <c r="X1535" s="9">
        <f>STATS1003B!X1619/1000</f>
        <v>2308.5700000000002</v>
      </c>
      <c r="Y1535" s="9">
        <f>STATS1003B!Y1619/1000</f>
        <v>0</v>
      </c>
      <c r="Z1535" s="9">
        <f>STATS1003B!Z1619/1000</f>
        <v>0</v>
      </c>
      <c r="AA1535" s="9">
        <f>STATS1003B!AA1619/1000</f>
        <v>2308.5700000000002</v>
      </c>
      <c r="AB1535" s="9">
        <f>STATS1003B!AB1619/1000</f>
        <v>0</v>
      </c>
    </row>
    <row r="1536" spans="1:28" x14ac:dyDescent="0.35">
      <c r="A1536" s="36"/>
      <c r="B1536" s="8"/>
      <c r="C1536" s="8"/>
      <c r="D1536" s="8"/>
      <c r="E1536" s="17" t="s">
        <v>29</v>
      </c>
      <c r="F1536" s="17" t="s">
        <v>29</v>
      </c>
      <c r="G1536" s="17" t="s">
        <v>29</v>
      </c>
      <c r="H1536" s="17" t="s">
        <v>29</v>
      </c>
      <c r="I1536" s="17" t="s">
        <v>29</v>
      </c>
      <c r="J1536" s="17" t="s">
        <v>29</v>
      </c>
      <c r="K1536" s="17" t="s">
        <v>29</v>
      </c>
      <c r="L1536" s="17" t="s">
        <v>29</v>
      </c>
      <c r="M1536" s="17" t="s">
        <v>29</v>
      </c>
      <c r="N1536" s="17" t="s">
        <v>29</v>
      </c>
      <c r="O1536" s="17" t="s">
        <v>29</v>
      </c>
      <c r="P1536" s="17" t="s">
        <v>29</v>
      </c>
      <c r="Q1536" s="17" t="s">
        <v>29</v>
      </c>
      <c r="R1536" s="17" t="s">
        <v>29</v>
      </c>
      <c r="S1536" s="17" t="s">
        <v>29</v>
      </c>
      <c r="T1536" s="17" t="s">
        <v>29</v>
      </c>
      <c r="U1536" s="17" t="s">
        <v>29</v>
      </c>
      <c r="V1536" s="17" t="s">
        <v>29</v>
      </c>
      <c r="W1536" s="17" t="s">
        <v>29</v>
      </c>
      <c r="X1536" s="17" t="s">
        <v>29</v>
      </c>
      <c r="Y1536" s="17" t="s">
        <v>29</v>
      </c>
      <c r="Z1536" s="17" t="s">
        <v>29</v>
      </c>
      <c r="AA1536" s="17" t="s">
        <v>29</v>
      </c>
      <c r="AB1536" s="17" t="s">
        <v>29</v>
      </c>
    </row>
    <row r="1537" spans="1:28" x14ac:dyDescent="0.35">
      <c r="A1537" s="36"/>
      <c r="B1537" s="8"/>
      <c r="C1537" s="8"/>
      <c r="D1537" s="8"/>
      <c r="E1537" s="9">
        <f t="shared" ref="E1537:AB1537" si="109">SUM(E1518:E1535)</f>
        <v>58590.946350000013</v>
      </c>
      <c r="F1537" s="9">
        <f t="shared" si="109"/>
        <v>55461.921459999998</v>
      </c>
      <c r="G1537" s="9">
        <f t="shared" si="109"/>
        <v>0</v>
      </c>
      <c r="H1537" s="9">
        <f t="shared" si="109"/>
        <v>55461.921459999998</v>
      </c>
      <c r="I1537" s="9">
        <f t="shared" si="109"/>
        <v>379.84699999999998</v>
      </c>
      <c r="J1537" s="9">
        <f t="shared" si="109"/>
        <v>379.84699999999998</v>
      </c>
      <c r="K1537" s="9">
        <f t="shared" si="109"/>
        <v>0</v>
      </c>
      <c r="L1537" s="9">
        <f t="shared" si="109"/>
        <v>0</v>
      </c>
      <c r="M1537" s="9">
        <f t="shared" si="109"/>
        <v>55461.921459999998</v>
      </c>
      <c r="N1537" s="9">
        <f t="shared" si="109"/>
        <v>3093.0386200000003</v>
      </c>
      <c r="O1537" s="9">
        <f t="shared" si="109"/>
        <v>0</v>
      </c>
      <c r="P1537" s="9">
        <f t="shared" si="109"/>
        <v>3093.0386200000003</v>
      </c>
      <c r="Q1537" s="9">
        <f t="shared" si="109"/>
        <v>0</v>
      </c>
      <c r="R1537" s="9">
        <f t="shared" si="109"/>
        <v>0</v>
      </c>
      <c r="S1537" s="9">
        <f t="shared" si="109"/>
        <v>0</v>
      </c>
      <c r="T1537" s="9">
        <f t="shared" si="109"/>
        <v>0</v>
      </c>
      <c r="U1537" s="9">
        <f t="shared" si="109"/>
        <v>3093.0386200000003</v>
      </c>
      <c r="V1537" s="9">
        <f t="shared" si="109"/>
        <v>58554.960080000004</v>
      </c>
      <c r="W1537" s="9">
        <f t="shared" si="109"/>
        <v>35.986270000000019</v>
      </c>
      <c r="X1537" s="9">
        <f t="shared" si="109"/>
        <v>58554.960080000004</v>
      </c>
      <c r="Y1537" s="9">
        <f t="shared" si="109"/>
        <v>0</v>
      </c>
      <c r="Z1537" s="9">
        <f t="shared" si="109"/>
        <v>35.986270000000019</v>
      </c>
      <c r="AA1537" s="9">
        <f t="shared" si="109"/>
        <v>58554.960080000004</v>
      </c>
      <c r="AB1537" s="9">
        <f t="shared" si="109"/>
        <v>35.986270000000019</v>
      </c>
    </row>
    <row r="1538" spans="1:28" x14ac:dyDescent="0.35">
      <c r="A1538" s="36"/>
      <c r="B1538" s="8"/>
      <c r="C1538" s="8"/>
      <c r="D1538" s="8"/>
      <c r="E1538" s="17" t="s">
        <v>29</v>
      </c>
      <c r="F1538" s="17" t="s">
        <v>29</v>
      </c>
      <c r="G1538" s="17" t="s">
        <v>29</v>
      </c>
      <c r="H1538" s="17" t="s">
        <v>29</v>
      </c>
      <c r="I1538" s="17" t="s">
        <v>29</v>
      </c>
      <c r="J1538" s="17" t="s">
        <v>29</v>
      </c>
      <c r="K1538" s="17" t="s">
        <v>29</v>
      </c>
      <c r="L1538" s="17" t="s">
        <v>29</v>
      </c>
      <c r="M1538" s="17" t="s">
        <v>29</v>
      </c>
      <c r="N1538" s="17" t="s">
        <v>29</v>
      </c>
      <c r="O1538" s="17" t="s">
        <v>29</v>
      </c>
      <c r="P1538" s="17" t="s">
        <v>29</v>
      </c>
      <c r="Q1538" s="17" t="s">
        <v>29</v>
      </c>
      <c r="R1538" s="17" t="s">
        <v>29</v>
      </c>
      <c r="S1538" s="17" t="s">
        <v>29</v>
      </c>
      <c r="T1538" s="17" t="s">
        <v>29</v>
      </c>
      <c r="U1538" s="17" t="s">
        <v>29</v>
      </c>
      <c r="V1538" s="17" t="s">
        <v>29</v>
      </c>
      <c r="W1538" s="17" t="s">
        <v>29</v>
      </c>
      <c r="X1538" s="17" t="s">
        <v>29</v>
      </c>
      <c r="Y1538" s="17" t="s">
        <v>29</v>
      </c>
      <c r="Z1538" s="17" t="s">
        <v>29</v>
      </c>
      <c r="AA1538" s="17" t="s">
        <v>29</v>
      </c>
      <c r="AB1538" s="17" t="s">
        <v>29</v>
      </c>
    </row>
    <row r="1539" spans="1:28" x14ac:dyDescent="0.35">
      <c r="A1539" s="38" t="s">
        <v>1005</v>
      </c>
      <c r="B1539" s="7" t="s">
        <v>322</v>
      </c>
      <c r="C1539" s="8"/>
      <c r="D1539" s="8"/>
      <c r="E1539" s="8"/>
      <c r="F1539" s="8"/>
      <c r="G1539" s="8"/>
      <c r="H1539" s="8"/>
      <c r="I1539" s="8"/>
      <c r="J1539" s="8"/>
      <c r="K1539" s="8"/>
      <c r="L1539" s="8"/>
      <c r="M1539" s="8"/>
      <c r="N1539" s="8"/>
      <c r="O1539" s="8"/>
      <c r="P1539" s="8"/>
      <c r="Q1539" s="8"/>
      <c r="R1539" s="8"/>
      <c r="S1539" s="8"/>
      <c r="T1539" s="8"/>
      <c r="U1539" s="8"/>
      <c r="V1539" s="8"/>
      <c r="W1539" s="8"/>
      <c r="X1539" s="8"/>
      <c r="Y1539" s="8"/>
      <c r="Z1539" s="8"/>
    </row>
    <row r="1540" spans="1:28" x14ac:dyDescent="0.35">
      <c r="A1540" s="36"/>
      <c r="B1540" s="8"/>
      <c r="C1540" s="7" t="s">
        <v>323</v>
      </c>
      <c r="D1540" s="15" t="s">
        <v>68</v>
      </c>
      <c r="E1540" s="9">
        <f>STATS1003B!E1624/1000</f>
        <v>700</v>
      </c>
      <c r="F1540" s="9">
        <f>STATS1003B!F1624/1000</f>
        <v>700</v>
      </c>
      <c r="G1540" s="9">
        <f>STATS1003B!G1624/1000</f>
        <v>0</v>
      </c>
      <c r="H1540" s="9">
        <f>STATS1003B!H1624/1000</f>
        <v>700</v>
      </c>
      <c r="I1540" s="9">
        <f>STATS1003B!I1624/1000</f>
        <v>0</v>
      </c>
      <c r="J1540" s="9">
        <f>STATS1003B!J1624/1000</f>
        <v>0</v>
      </c>
      <c r="K1540" s="9">
        <f>STATS1003B!K1624/1000</f>
        <v>0</v>
      </c>
      <c r="L1540" s="9">
        <f>STATS1003B!L1624/1000</f>
        <v>0</v>
      </c>
      <c r="M1540" s="9">
        <f>STATS1003B!M1624/1000</f>
        <v>700</v>
      </c>
      <c r="N1540" s="9">
        <f>STATS1003B!N1624/1000</f>
        <v>0</v>
      </c>
      <c r="O1540" s="9">
        <f>STATS1003B!O1624/1000</f>
        <v>0</v>
      </c>
      <c r="P1540" s="9">
        <f>STATS1003B!P1624/1000</f>
        <v>0</v>
      </c>
      <c r="Q1540" s="9">
        <f>STATS1003B!Q1624/1000</f>
        <v>0</v>
      </c>
      <c r="R1540" s="9">
        <f>STATS1003B!R1624/1000</f>
        <v>0</v>
      </c>
      <c r="S1540" s="9">
        <f>STATS1003B!S1624/1000</f>
        <v>0</v>
      </c>
      <c r="T1540" s="9">
        <f>STATS1003B!T1624/1000</f>
        <v>0</v>
      </c>
      <c r="U1540" s="9">
        <f>STATS1003B!U1624/1000</f>
        <v>0</v>
      </c>
      <c r="V1540" s="9">
        <f>STATS1003B!V1624/1000</f>
        <v>700</v>
      </c>
      <c r="W1540" s="9">
        <f>STATS1003B!W1624/1000</f>
        <v>0</v>
      </c>
      <c r="X1540" s="9">
        <f>STATS1003B!X1624/1000</f>
        <v>700</v>
      </c>
      <c r="Y1540" s="9">
        <f>STATS1003B!Y1624/1000</f>
        <v>0</v>
      </c>
      <c r="Z1540" s="9">
        <f>STATS1003B!Z1624/1000</f>
        <v>0</v>
      </c>
      <c r="AA1540" s="9">
        <f>STATS1003B!AA1624/1000</f>
        <v>700</v>
      </c>
      <c r="AB1540" s="9">
        <f>STATS1003B!AB1624/1000</f>
        <v>0</v>
      </c>
    </row>
    <row r="1541" spans="1:28" x14ac:dyDescent="0.35">
      <c r="A1541" s="36"/>
      <c r="B1541" s="8"/>
      <c r="C1541" s="7" t="s">
        <v>324</v>
      </c>
      <c r="D1541" s="15" t="s">
        <v>68</v>
      </c>
      <c r="E1541" s="9">
        <f>STATS1003B!E1625/1000</f>
        <v>40</v>
      </c>
      <c r="F1541" s="9">
        <f>STATS1003B!F1625/1000</f>
        <v>40</v>
      </c>
      <c r="G1541" s="9">
        <f>STATS1003B!G1625/1000</f>
        <v>0</v>
      </c>
      <c r="H1541" s="9">
        <f>STATS1003B!H1625/1000</f>
        <v>40</v>
      </c>
      <c r="I1541" s="9">
        <f>STATS1003B!I1625/1000</f>
        <v>0</v>
      </c>
      <c r="J1541" s="9">
        <f>STATS1003B!J1625/1000</f>
        <v>0</v>
      </c>
      <c r="K1541" s="9">
        <f>STATS1003B!K1625/1000</f>
        <v>0</v>
      </c>
      <c r="L1541" s="9">
        <f>STATS1003B!L1625/1000</f>
        <v>0</v>
      </c>
      <c r="M1541" s="9">
        <f>STATS1003B!M1625/1000</f>
        <v>40</v>
      </c>
      <c r="N1541" s="9">
        <f>STATS1003B!N1625/1000</f>
        <v>0</v>
      </c>
      <c r="O1541" s="9">
        <f>STATS1003B!O1625/1000</f>
        <v>0</v>
      </c>
      <c r="P1541" s="9">
        <f>STATS1003B!P1625/1000</f>
        <v>0</v>
      </c>
      <c r="Q1541" s="9">
        <f>STATS1003B!Q1625/1000</f>
        <v>0</v>
      </c>
      <c r="R1541" s="9">
        <f>STATS1003B!R1625/1000</f>
        <v>0</v>
      </c>
      <c r="S1541" s="9">
        <f>STATS1003B!S1625/1000</f>
        <v>0</v>
      </c>
      <c r="T1541" s="9">
        <f>STATS1003B!T1625/1000</f>
        <v>0</v>
      </c>
      <c r="U1541" s="9">
        <f>STATS1003B!U1625/1000</f>
        <v>0</v>
      </c>
      <c r="V1541" s="9">
        <f>STATS1003B!V1625/1000</f>
        <v>40</v>
      </c>
      <c r="W1541" s="9">
        <f>STATS1003B!W1625/1000</f>
        <v>0</v>
      </c>
      <c r="X1541" s="9">
        <f>STATS1003B!X1625/1000</f>
        <v>40</v>
      </c>
      <c r="Y1541" s="9">
        <f>STATS1003B!Y1625/1000</f>
        <v>0</v>
      </c>
      <c r="Z1541" s="9">
        <f>STATS1003B!Z1625/1000</f>
        <v>0</v>
      </c>
      <c r="AA1541" s="9">
        <f>STATS1003B!AA1625/1000</f>
        <v>40</v>
      </c>
      <c r="AB1541" s="9">
        <f>STATS1003B!AB1625/1000</f>
        <v>0</v>
      </c>
    </row>
    <row r="1542" spans="1:28" x14ac:dyDescent="0.35">
      <c r="A1542" s="36"/>
      <c r="B1542" s="8"/>
      <c r="C1542" s="7" t="s">
        <v>174</v>
      </c>
      <c r="D1542" s="15" t="s">
        <v>325</v>
      </c>
      <c r="E1542" s="9">
        <f>STATS1003B!E1626/1000</f>
        <v>4274.7310199999993</v>
      </c>
      <c r="F1542" s="9">
        <f>STATS1003B!F1626/1000</f>
        <v>4026.4380000000001</v>
      </c>
      <c r="G1542" s="9">
        <f>STATS1003B!G1626/1000</f>
        <v>0</v>
      </c>
      <c r="H1542" s="9">
        <f>STATS1003B!H1626/1000</f>
        <v>4026.4380000000001</v>
      </c>
      <c r="I1542" s="9">
        <f>STATS1003B!I1626/1000</f>
        <v>0</v>
      </c>
      <c r="J1542" s="9">
        <f>STATS1003B!J1626/1000</f>
        <v>0</v>
      </c>
      <c r="K1542" s="9">
        <f>STATS1003B!K1626/1000</f>
        <v>0</v>
      </c>
      <c r="L1542" s="9">
        <f>STATS1003B!L1626/1000</f>
        <v>0</v>
      </c>
      <c r="M1542" s="9">
        <f>STATS1003B!M1626/1000</f>
        <v>4026.4380000000001</v>
      </c>
      <c r="N1542" s="9">
        <f>STATS1003B!N1626/1000</f>
        <v>248.29301999999998</v>
      </c>
      <c r="O1542" s="9">
        <f>STATS1003B!O1626/1000</f>
        <v>0</v>
      </c>
      <c r="P1542" s="9">
        <f>STATS1003B!P1626/1000</f>
        <v>248.29301999999998</v>
      </c>
      <c r="Q1542" s="9">
        <f>STATS1003B!Q1626/1000</f>
        <v>0</v>
      </c>
      <c r="R1542" s="9">
        <f>STATS1003B!R1626/1000</f>
        <v>0</v>
      </c>
      <c r="S1542" s="9">
        <f>STATS1003B!S1626/1000</f>
        <v>0</v>
      </c>
      <c r="T1542" s="9">
        <f>STATS1003B!T1626/1000</f>
        <v>0</v>
      </c>
      <c r="U1542" s="9">
        <f>STATS1003B!U1626/1000</f>
        <v>248.29301999999998</v>
      </c>
      <c r="V1542" s="9">
        <f>STATS1003B!V1626/1000</f>
        <v>4274.7310199999993</v>
      </c>
      <c r="W1542" s="9">
        <f>STATS1003B!W1626/1000</f>
        <v>0</v>
      </c>
      <c r="X1542" s="9">
        <f>STATS1003B!X1626/1000</f>
        <v>4274.7310199999993</v>
      </c>
      <c r="Y1542" s="9">
        <f>STATS1003B!Y1626/1000</f>
        <v>0</v>
      </c>
      <c r="Z1542" s="9">
        <f>STATS1003B!Z1626/1000</f>
        <v>0</v>
      </c>
      <c r="AA1542" s="9">
        <f>STATS1003B!AA1626/1000</f>
        <v>4274.7310199999993</v>
      </c>
      <c r="AB1542" s="9">
        <f>STATS1003B!AB1626/1000</f>
        <v>0</v>
      </c>
    </row>
    <row r="1543" spans="1:28" x14ac:dyDescent="0.35">
      <c r="A1543" s="36"/>
      <c r="B1543" s="8"/>
      <c r="C1543" s="7" t="s">
        <v>326</v>
      </c>
      <c r="D1543" s="15" t="s">
        <v>68</v>
      </c>
      <c r="E1543" s="9">
        <f>STATS1003B!E1627/1000</f>
        <v>7744.63</v>
      </c>
      <c r="F1543" s="9">
        <f>STATS1003B!F1627/1000</f>
        <v>7473.5679500000006</v>
      </c>
      <c r="G1543" s="9">
        <f>STATS1003B!G1627/1000</f>
        <v>0</v>
      </c>
      <c r="H1543" s="9">
        <f>STATS1003B!H1627/1000</f>
        <v>7473.5679500000006</v>
      </c>
      <c r="I1543" s="9">
        <f>STATS1003B!I1627/1000</f>
        <v>0</v>
      </c>
      <c r="J1543" s="9">
        <f>STATS1003B!J1627/1000</f>
        <v>0</v>
      </c>
      <c r="K1543" s="9">
        <f>STATS1003B!K1627/1000</f>
        <v>0</v>
      </c>
      <c r="L1543" s="9">
        <f>STATS1003B!L1627/1000</f>
        <v>0</v>
      </c>
      <c r="M1543" s="9">
        <f>STATS1003B!M1627/1000</f>
        <v>7473.5679500000006</v>
      </c>
      <c r="N1543" s="9">
        <f>STATS1003B!N1627/1000</f>
        <v>0</v>
      </c>
      <c r="O1543" s="9">
        <f>STATS1003B!O1627/1000</f>
        <v>0</v>
      </c>
      <c r="P1543" s="9">
        <f>STATS1003B!P1627/1000</f>
        <v>0</v>
      </c>
      <c r="Q1543" s="9">
        <f>STATS1003B!Q1627/1000</f>
        <v>0</v>
      </c>
      <c r="R1543" s="9">
        <f>STATS1003B!R1627/1000</f>
        <v>0</v>
      </c>
      <c r="S1543" s="9">
        <f>STATS1003B!S1627/1000</f>
        <v>0</v>
      </c>
      <c r="T1543" s="9">
        <f>STATS1003B!T1627/1000</f>
        <v>0</v>
      </c>
      <c r="U1543" s="9">
        <f>STATS1003B!U1627/1000</f>
        <v>0</v>
      </c>
      <c r="V1543" s="9">
        <f>STATS1003B!V1627/1000</f>
        <v>7473.5679500000006</v>
      </c>
      <c r="W1543" s="9">
        <f>STATS1003B!W1627/1000</f>
        <v>271.06204999999983</v>
      </c>
      <c r="X1543" s="9">
        <f>STATS1003B!X1627/1000</f>
        <v>7473.5679500000006</v>
      </c>
      <c r="Y1543" s="9">
        <f>STATS1003B!Y1627/1000</f>
        <v>0</v>
      </c>
      <c r="Z1543" s="9">
        <f>STATS1003B!Z1627/1000</f>
        <v>271.06204999999983</v>
      </c>
      <c r="AA1543" s="9">
        <f>STATS1003B!AA1627/1000</f>
        <v>7473.5679500000006</v>
      </c>
      <c r="AB1543" s="9">
        <f>STATS1003B!AB1627/1000</f>
        <v>271.06204999999983</v>
      </c>
    </row>
    <row r="1544" spans="1:28" x14ac:dyDescent="0.35">
      <c r="A1544" s="36"/>
      <c r="B1544" s="8"/>
      <c r="C1544" s="7" t="s">
        <v>53</v>
      </c>
      <c r="D1544" s="15" t="s">
        <v>54</v>
      </c>
      <c r="E1544" s="9">
        <f>STATS1003B!E1628/1000</f>
        <v>1953.989</v>
      </c>
      <c r="F1544" s="9">
        <f>STATS1003B!F1628/1000</f>
        <v>0</v>
      </c>
      <c r="G1544" s="9">
        <f>STATS1003B!G1628/1000</f>
        <v>0</v>
      </c>
      <c r="H1544" s="9">
        <f>STATS1003B!H1628/1000</f>
        <v>0</v>
      </c>
      <c r="I1544" s="9">
        <f>STATS1003B!I1628/1000</f>
        <v>0</v>
      </c>
      <c r="J1544" s="9">
        <f>STATS1003B!J1628/1000</f>
        <v>0</v>
      </c>
      <c r="K1544" s="9">
        <f>STATS1003B!K1628/1000</f>
        <v>0</v>
      </c>
      <c r="L1544" s="9">
        <f>STATS1003B!L1628/1000</f>
        <v>0</v>
      </c>
      <c r="M1544" s="9">
        <f>STATS1003B!M1628/1000</f>
        <v>0</v>
      </c>
      <c r="N1544" s="9">
        <f>STATS1003B!N1628/1000</f>
        <v>1953.989</v>
      </c>
      <c r="O1544" s="9">
        <f>STATS1003B!O1628/1000</f>
        <v>0</v>
      </c>
      <c r="P1544" s="9">
        <f>STATS1003B!P1628/1000</f>
        <v>1953.989</v>
      </c>
      <c r="Q1544" s="9">
        <f>STATS1003B!Q1628/1000</f>
        <v>0</v>
      </c>
      <c r="R1544" s="9">
        <f>STATS1003B!R1628/1000</f>
        <v>0</v>
      </c>
      <c r="S1544" s="9">
        <f>STATS1003B!S1628/1000</f>
        <v>0</v>
      </c>
      <c r="T1544" s="9">
        <f>STATS1003B!T1628/1000</f>
        <v>0</v>
      </c>
      <c r="U1544" s="9">
        <f>STATS1003B!U1628/1000</f>
        <v>1953.989</v>
      </c>
      <c r="V1544" s="9">
        <f>STATS1003B!V1628/1000</f>
        <v>1953.989</v>
      </c>
      <c r="W1544" s="9">
        <f>STATS1003B!W1628/1000</f>
        <v>0</v>
      </c>
      <c r="X1544" s="9">
        <f>STATS1003B!X1628/1000</f>
        <v>1953.989</v>
      </c>
      <c r="Y1544" s="9">
        <f>STATS1003B!Y1628/1000</f>
        <v>0</v>
      </c>
      <c r="Z1544" s="9">
        <f>STATS1003B!Z1628/1000</f>
        <v>0</v>
      </c>
      <c r="AA1544" s="9">
        <f>STATS1003B!AA1628/1000</f>
        <v>1953.989</v>
      </c>
      <c r="AB1544" s="9">
        <f>STATS1003B!AB1628/1000</f>
        <v>0</v>
      </c>
    </row>
    <row r="1545" spans="1:28" x14ac:dyDescent="0.35">
      <c r="A1545" s="36"/>
      <c r="B1545" s="8"/>
      <c r="C1545" s="7" t="s">
        <v>326</v>
      </c>
      <c r="D1545" s="15" t="s">
        <v>234</v>
      </c>
      <c r="E1545" s="9">
        <f>STATS1003B!E1629/1000</f>
        <v>419.6</v>
      </c>
      <c r="F1545" s="9">
        <f>STATS1003B!F1629/1000</f>
        <v>229.6</v>
      </c>
      <c r="G1545" s="9">
        <f>STATS1003B!G1629/1000</f>
        <v>0</v>
      </c>
      <c r="H1545" s="9">
        <f>STATS1003B!H1629/1000</f>
        <v>229.6</v>
      </c>
      <c r="I1545" s="9">
        <f>STATS1003B!I1629/1000</f>
        <v>0</v>
      </c>
      <c r="J1545" s="9">
        <f>STATS1003B!J1629/1000</f>
        <v>0</v>
      </c>
      <c r="K1545" s="9">
        <f>STATS1003B!K1629/1000</f>
        <v>0</v>
      </c>
      <c r="L1545" s="9">
        <f>STATS1003B!L1629/1000</f>
        <v>0</v>
      </c>
      <c r="M1545" s="9">
        <f>STATS1003B!M1629/1000</f>
        <v>229.6</v>
      </c>
      <c r="N1545" s="9">
        <f>STATS1003B!N1629/1000</f>
        <v>0</v>
      </c>
      <c r="O1545" s="9">
        <f>STATS1003B!O1629/1000</f>
        <v>0</v>
      </c>
      <c r="P1545" s="9">
        <f>STATS1003B!P1629/1000</f>
        <v>0</v>
      </c>
      <c r="Q1545" s="9">
        <f>STATS1003B!Q1629/1000</f>
        <v>0</v>
      </c>
      <c r="R1545" s="9">
        <f>STATS1003B!R1629/1000</f>
        <v>0</v>
      </c>
      <c r="S1545" s="9">
        <f>STATS1003B!S1629/1000</f>
        <v>0</v>
      </c>
      <c r="T1545" s="9">
        <f>STATS1003B!T1629/1000</f>
        <v>0</v>
      </c>
      <c r="U1545" s="9">
        <f>STATS1003B!U1629/1000</f>
        <v>0</v>
      </c>
      <c r="V1545" s="9">
        <f>STATS1003B!V1629/1000</f>
        <v>229.6</v>
      </c>
      <c r="W1545" s="9">
        <f>STATS1003B!W1629/1000</f>
        <v>190</v>
      </c>
      <c r="X1545" s="9">
        <f>STATS1003B!X1629/1000</f>
        <v>229.6</v>
      </c>
      <c r="Y1545" s="9">
        <f>STATS1003B!Y1629/1000</f>
        <v>0</v>
      </c>
      <c r="Z1545" s="9">
        <f>STATS1003B!Z1629/1000</f>
        <v>190</v>
      </c>
      <c r="AA1545" s="9">
        <f>STATS1003B!AA1629/1000</f>
        <v>229.6</v>
      </c>
      <c r="AB1545" s="9">
        <f>STATS1003B!AB1629/1000</f>
        <v>190</v>
      </c>
    </row>
    <row r="1546" spans="1:28" x14ac:dyDescent="0.35">
      <c r="A1546" s="36"/>
      <c r="B1546" s="8"/>
      <c r="C1546" s="7" t="s">
        <v>300</v>
      </c>
      <c r="D1546" s="15" t="s">
        <v>85</v>
      </c>
      <c r="E1546" s="9">
        <f>STATS1003B!E1630/1000</f>
        <v>80</v>
      </c>
      <c r="F1546" s="9">
        <f>STATS1003B!F1630/1000</f>
        <v>0</v>
      </c>
      <c r="G1546" s="9">
        <f>STATS1003B!G1630/1000</f>
        <v>0</v>
      </c>
      <c r="H1546" s="9">
        <f>STATS1003B!H1630/1000</f>
        <v>0</v>
      </c>
      <c r="I1546" s="9">
        <f>STATS1003B!I1630/1000</f>
        <v>0</v>
      </c>
      <c r="J1546" s="9">
        <f>STATS1003B!J1630/1000</f>
        <v>0</v>
      </c>
      <c r="K1546" s="9">
        <f>STATS1003B!K1630/1000</f>
        <v>0</v>
      </c>
      <c r="L1546" s="9">
        <f>STATS1003B!L1630/1000</f>
        <v>0</v>
      </c>
      <c r="M1546" s="9">
        <f>STATS1003B!M1630/1000</f>
        <v>0</v>
      </c>
      <c r="N1546" s="9">
        <f>STATS1003B!N1630/1000</f>
        <v>0</v>
      </c>
      <c r="O1546" s="9">
        <f>STATS1003B!O1630/1000</f>
        <v>0</v>
      </c>
      <c r="P1546" s="9">
        <f>STATS1003B!P1630/1000</f>
        <v>0</v>
      </c>
      <c r="Q1546" s="9">
        <f>STATS1003B!Q1630/1000</f>
        <v>0</v>
      </c>
      <c r="R1546" s="9">
        <f>STATS1003B!R1630/1000</f>
        <v>0</v>
      </c>
      <c r="S1546" s="9">
        <f>STATS1003B!S1630/1000</f>
        <v>0</v>
      </c>
      <c r="T1546" s="9">
        <f>STATS1003B!T1630/1000</f>
        <v>0</v>
      </c>
      <c r="U1546" s="9">
        <f>STATS1003B!U1630/1000</f>
        <v>0</v>
      </c>
      <c r="V1546" s="9">
        <f>STATS1003B!V1630/1000</f>
        <v>0</v>
      </c>
      <c r="W1546" s="9">
        <f>STATS1003B!W1630/1000</f>
        <v>80</v>
      </c>
      <c r="X1546" s="9">
        <f>STATS1003B!X1630/1000</f>
        <v>0</v>
      </c>
      <c r="Y1546" s="9">
        <f>STATS1003B!Y1630/1000</f>
        <v>0</v>
      </c>
      <c r="Z1546" s="9">
        <f>STATS1003B!Z1630/1000</f>
        <v>80</v>
      </c>
      <c r="AA1546" s="9">
        <f>STATS1003B!AA1630/1000</f>
        <v>0</v>
      </c>
      <c r="AB1546" s="9">
        <f>STATS1003B!AB1630/1000</f>
        <v>80</v>
      </c>
    </row>
    <row r="1547" spans="1:28" x14ac:dyDescent="0.35">
      <c r="A1547" s="36"/>
      <c r="B1547" s="8"/>
      <c r="C1547" s="7" t="s">
        <v>302</v>
      </c>
      <c r="D1547" s="15" t="s">
        <v>85</v>
      </c>
      <c r="E1547" s="9">
        <f>STATS1003B!E1631/1000</f>
        <v>200</v>
      </c>
      <c r="F1547" s="9">
        <f>STATS1003B!F1631/1000</f>
        <v>0</v>
      </c>
      <c r="G1547" s="9">
        <f>STATS1003B!G1631/1000</f>
        <v>0</v>
      </c>
      <c r="H1547" s="9">
        <f>STATS1003B!H1631/1000</f>
        <v>0</v>
      </c>
      <c r="I1547" s="9">
        <f>STATS1003B!I1631/1000</f>
        <v>0</v>
      </c>
      <c r="J1547" s="9">
        <f>STATS1003B!J1631/1000</f>
        <v>0</v>
      </c>
      <c r="K1547" s="9">
        <f>STATS1003B!K1631/1000</f>
        <v>0</v>
      </c>
      <c r="L1547" s="9">
        <f>STATS1003B!L1631/1000</f>
        <v>0</v>
      </c>
      <c r="M1547" s="9">
        <f>STATS1003B!M1631/1000</f>
        <v>0</v>
      </c>
      <c r="N1547" s="9">
        <f>STATS1003B!N1631/1000</f>
        <v>0</v>
      </c>
      <c r="O1547" s="9">
        <f>STATS1003B!O1631/1000</f>
        <v>0</v>
      </c>
      <c r="P1547" s="9">
        <f>STATS1003B!P1631/1000</f>
        <v>0</v>
      </c>
      <c r="Q1547" s="9">
        <f>STATS1003B!Q1631/1000</f>
        <v>0</v>
      </c>
      <c r="R1547" s="9">
        <f>STATS1003B!R1631/1000</f>
        <v>0</v>
      </c>
      <c r="S1547" s="9">
        <f>STATS1003B!S1631/1000</f>
        <v>0</v>
      </c>
      <c r="T1547" s="9">
        <f>STATS1003B!T1631/1000</f>
        <v>0</v>
      </c>
      <c r="U1547" s="9">
        <f>STATS1003B!U1631/1000</f>
        <v>0</v>
      </c>
      <c r="V1547" s="9">
        <f>STATS1003B!V1631/1000</f>
        <v>0</v>
      </c>
      <c r="W1547" s="9">
        <f>STATS1003B!W1631/1000</f>
        <v>200</v>
      </c>
      <c r="X1547" s="9">
        <f>STATS1003B!X1631/1000</f>
        <v>0</v>
      </c>
      <c r="Y1547" s="9">
        <f>STATS1003B!Y1631/1000</f>
        <v>0</v>
      </c>
      <c r="Z1547" s="9">
        <f>STATS1003B!Z1631/1000</f>
        <v>200</v>
      </c>
      <c r="AA1547" s="9">
        <f>STATS1003B!AA1631/1000</f>
        <v>0</v>
      </c>
      <c r="AB1547" s="9">
        <f>STATS1003B!AB1631/1000</f>
        <v>200</v>
      </c>
    </row>
    <row r="1548" spans="1:28" x14ac:dyDescent="0.35">
      <c r="A1548" s="36"/>
      <c r="B1548" s="8"/>
      <c r="C1548" s="14" t="s">
        <v>109</v>
      </c>
      <c r="D1548" s="21" t="s">
        <v>60</v>
      </c>
      <c r="E1548" s="9">
        <f>STATS1003B!E1632/1000</f>
        <v>2500</v>
      </c>
      <c r="F1548" s="9">
        <f>STATS1003B!F1632/1000</f>
        <v>2500</v>
      </c>
      <c r="G1548" s="9">
        <f>STATS1003B!G1632/1000</f>
        <v>0</v>
      </c>
      <c r="H1548" s="9">
        <f>STATS1003B!H1632/1000</f>
        <v>2500</v>
      </c>
      <c r="I1548" s="9">
        <f>STATS1003B!I1632/1000</f>
        <v>0</v>
      </c>
      <c r="J1548" s="9">
        <f>STATS1003B!J1632/1000</f>
        <v>0</v>
      </c>
      <c r="K1548" s="9">
        <f>STATS1003B!K1632/1000</f>
        <v>0</v>
      </c>
      <c r="L1548" s="9">
        <f>STATS1003B!L1632/1000</f>
        <v>0</v>
      </c>
      <c r="M1548" s="9">
        <f>STATS1003B!M1632/1000</f>
        <v>2500</v>
      </c>
      <c r="N1548" s="9">
        <f>STATS1003B!N1632/1000</f>
        <v>0</v>
      </c>
      <c r="O1548" s="9">
        <f>STATS1003B!O1632/1000</f>
        <v>0</v>
      </c>
      <c r="P1548" s="9">
        <f>STATS1003B!P1632/1000</f>
        <v>0</v>
      </c>
      <c r="Q1548" s="9">
        <f>STATS1003B!Q1632/1000</f>
        <v>0</v>
      </c>
      <c r="R1548" s="9">
        <f>STATS1003B!R1632/1000</f>
        <v>0</v>
      </c>
      <c r="S1548" s="9">
        <f>STATS1003B!S1632/1000</f>
        <v>0</v>
      </c>
      <c r="T1548" s="9">
        <f>STATS1003B!T1632/1000</f>
        <v>0</v>
      </c>
      <c r="U1548" s="9">
        <f>STATS1003B!U1632/1000</f>
        <v>0</v>
      </c>
      <c r="V1548" s="9">
        <f>STATS1003B!V1632/1000</f>
        <v>2500</v>
      </c>
      <c r="W1548" s="9">
        <f>STATS1003B!W1632/1000</f>
        <v>0</v>
      </c>
      <c r="X1548" s="9">
        <f>STATS1003B!X1632/1000</f>
        <v>2500</v>
      </c>
      <c r="Y1548" s="9">
        <f>STATS1003B!Y1632/1000</f>
        <v>0</v>
      </c>
      <c r="Z1548" s="9">
        <f>STATS1003B!Z1632/1000</f>
        <v>0</v>
      </c>
      <c r="AA1548" s="9">
        <f>STATS1003B!AA1632/1000</f>
        <v>2500</v>
      </c>
      <c r="AB1548" s="9">
        <f>STATS1003B!AB1632/1000</f>
        <v>0</v>
      </c>
    </row>
    <row r="1549" spans="1:28" x14ac:dyDescent="0.35">
      <c r="A1549" s="36"/>
      <c r="B1549" s="8"/>
      <c r="C1549" s="14" t="s">
        <v>57</v>
      </c>
      <c r="D1549" s="21" t="s">
        <v>60</v>
      </c>
      <c r="E1549" s="9">
        <f>STATS1003B!E1633/1000</f>
        <v>2404</v>
      </c>
      <c r="F1549" s="9">
        <f>STATS1003B!F1633/1000</f>
        <v>2404</v>
      </c>
      <c r="G1549" s="9">
        <f>STATS1003B!G1633/1000</f>
        <v>0</v>
      </c>
      <c r="H1549" s="9">
        <f>STATS1003B!H1633/1000</f>
        <v>2404</v>
      </c>
      <c r="I1549" s="9">
        <f>STATS1003B!I1633/1000</f>
        <v>0</v>
      </c>
      <c r="J1549" s="9">
        <f>STATS1003B!J1633/1000</f>
        <v>0</v>
      </c>
      <c r="K1549" s="9">
        <f>STATS1003B!K1633/1000</f>
        <v>0</v>
      </c>
      <c r="L1549" s="9">
        <f>STATS1003B!L1633/1000</f>
        <v>0</v>
      </c>
      <c r="M1549" s="9">
        <f>STATS1003B!M1633/1000</f>
        <v>2404</v>
      </c>
      <c r="N1549" s="9">
        <f>STATS1003B!N1633/1000</f>
        <v>0</v>
      </c>
      <c r="O1549" s="9">
        <f>STATS1003B!O1633/1000</f>
        <v>0</v>
      </c>
      <c r="P1549" s="9">
        <f>STATS1003B!P1633/1000</f>
        <v>0</v>
      </c>
      <c r="Q1549" s="9">
        <f>STATS1003B!Q1633/1000</f>
        <v>0</v>
      </c>
      <c r="R1549" s="9">
        <f>STATS1003B!R1633/1000</f>
        <v>0</v>
      </c>
      <c r="S1549" s="9">
        <f>STATS1003B!S1633/1000</f>
        <v>0</v>
      </c>
      <c r="T1549" s="9">
        <f>STATS1003B!T1633/1000</f>
        <v>0</v>
      </c>
      <c r="U1549" s="9">
        <f>STATS1003B!U1633/1000</f>
        <v>0</v>
      </c>
      <c r="V1549" s="9">
        <f>STATS1003B!V1633/1000</f>
        <v>2404</v>
      </c>
      <c r="W1549" s="9">
        <f>STATS1003B!W1633/1000</f>
        <v>0</v>
      </c>
      <c r="X1549" s="9">
        <f>STATS1003B!X1633/1000</f>
        <v>2404</v>
      </c>
      <c r="Y1549" s="9">
        <f>STATS1003B!Y1633/1000</f>
        <v>0</v>
      </c>
      <c r="Z1549" s="9">
        <f>STATS1003B!Z1633/1000</f>
        <v>0</v>
      </c>
      <c r="AA1549" s="9">
        <f>STATS1003B!AA1633/1000</f>
        <v>2404</v>
      </c>
      <c r="AB1549" s="9">
        <f>STATS1003B!AB1633/1000</f>
        <v>0</v>
      </c>
    </row>
    <row r="1550" spans="1:28" x14ac:dyDescent="0.35">
      <c r="A1550" s="36"/>
      <c r="B1550" s="8"/>
      <c r="C1550" s="14" t="s">
        <v>327</v>
      </c>
      <c r="D1550" s="21" t="s">
        <v>194</v>
      </c>
      <c r="E1550" s="9">
        <f>STATS1003B!E1634/1000</f>
        <v>7377.6465600000001</v>
      </c>
      <c r="F1550" s="9">
        <f>STATS1003B!F1634/1000</f>
        <v>7377.6465600000001</v>
      </c>
      <c r="G1550" s="9">
        <f>STATS1003B!G1634/1000</f>
        <v>0</v>
      </c>
      <c r="H1550" s="9">
        <f>STATS1003B!H1634/1000</f>
        <v>7377.6465600000001</v>
      </c>
      <c r="I1550" s="9">
        <f>STATS1003B!I1634/1000</f>
        <v>0</v>
      </c>
      <c r="J1550" s="9">
        <f>STATS1003B!J1634/1000</f>
        <v>0</v>
      </c>
      <c r="K1550" s="9">
        <f>STATS1003B!K1634/1000</f>
        <v>0</v>
      </c>
      <c r="L1550" s="9">
        <f>STATS1003B!L1634/1000</f>
        <v>0</v>
      </c>
      <c r="M1550" s="9">
        <f>STATS1003B!M1634/1000</f>
        <v>7377.6465600000001</v>
      </c>
      <c r="N1550" s="9">
        <f>STATS1003B!N1634/1000</f>
        <v>0</v>
      </c>
      <c r="O1550" s="9">
        <f>STATS1003B!O1634/1000</f>
        <v>0</v>
      </c>
      <c r="P1550" s="9">
        <f>STATS1003B!P1634/1000</f>
        <v>0</v>
      </c>
      <c r="Q1550" s="9">
        <f>STATS1003B!Q1634/1000</f>
        <v>0</v>
      </c>
      <c r="R1550" s="9">
        <f>STATS1003B!R1634/1000</f>
        <v>0</v>
      </c>
      <c r="S1550" s="9">
        <f>STATS1003B!S1634/1000</f>
        <v>0</v>
      </c>
      <c r="T1550" s="9">
        <f>STATS1003B!T1634/1000</f>
        <v>0</v>
      </c>
      <c r="U1550" s="9">
        <f>STATS1003B!U1634/1000</f>
        <v>0</v>
      </c>
      <c r="V1550" s="9">
        <f>STATS1003B!V1634/1000</f>
        <v>7377.6465600000001</v>
      </c>
      <c r="W1550" s="9">
        <f>STATS1003B!W1634/1000</f>
        <v>0</v>
      </c>
      <c r="X1550" s="9">
        <f>STATS1003B!X1634/1000</f>
        <v>7377.6465600000001</v>
      </c>
      <c r="Y1550" s="9">
        <f>STATS1003B!Y1634/1000</f>
        <v>0</v>
      </c>
      <c r="Z1550" s="9">
        <f>STATS1003B!Z1634/1000</f>
        <v>0</v>
      </c>
      <c r="AA1550" s="9">
        <f>STATS1003B!AA1634/1000</f>
        <v>7377.6465600000001</v>
      </c>
      <c r="AB1550" s="9">
        <f>STATS1003B!AB1634/1000</f>
        <v>0</v>
      </c>
    </row>
    <row r="1551" spans="1:28" x14ac:dyDescent="0.35">
      <c r="A1551" s="36"/>
      <c r="B1551" s="8"/>
      <c r="C1551" s="7" t="s">
        <v>122</v>
      </c>
      <c r="D1551" s="8"/>
      <c r="E1551" s="9">
        <f>STATS1003B!E1636/1000</f>
        <v>1015.3869999999999</v>
      </c>
      <c r="F1551" s="9">
        <f>STATS1003B!F1636/1000</f>
        <v>1015.3869999999999</v>
      </c>
      <c r="G1551" s="9">
        <f>STATS1003B!G1636/1000</f>
        <v>0</v>
      </c>
      <c r="H1551" s="9">
        <f>STATS1003B!H1636/1000</f>
        <v>1015.3869999999999</v>
      </c>
      <c r="I1551" s="9">
        <f>STATS1003B!I1636/1000</f>
        <v>0</v>
      </c>
      <c r="J1551" s="9">
        <f>STATS1003B!J1636/1000</f>
        <v>0</v>
      </c>
      <c r="K1551" s="9">
        <f>STATS1003B!K1636/1000</f>
        <v>0</v>
      </c>
      <c r="L1551" s="9">
        <f>STATS1003B!L1636/1000</f>
        <v>0</v>
      </c>
      <c r="M1551" s="9">
        <f>STATS1003B!M1636/1000</f>
        <v>1015.3869999999999</v>
      </c>
      <c r="N1551" s="9">
        <f>STATS1003B!N1636/1000</f>
        <v>0</v>
      </c>
      <c r="O1551" s="9">
        <f>STATS1003B!O1636/1000</f>
        <v>0</v>
      </c>
      <c r="P1551" s="9">
        <f>STATS1003B!P1636/1000</f>
        <v>0</v>
      </c>
      <c r="Q1551" s="9">
        <f>STATS1003B!Q1636/1000</f>
        <v>0</v>
      </c>
      <c r="R1551" s="9">
        <f>STATS1003B!R1636/1000</f>
        <v>0</v>
      </c>
      <c r="S1551" s="9">
        <f>STATS1003B!S1636/1000</f>
        <v>0</v>
      </c>
      <c r="T1551" s="9">
        <f>STATS1003B!T1636/1000</f>
        <v>0</v>
      </c>
      <c r="U1551" s="9">
        <f>STATS1003B!U1636/1000</f>
        <v>0</v>
      </c>
      <c r="V1551" s="9">
        <f>STATS1003B!V1636/1000</f>
        <v>1015.3869999999999</v>
      </c>
      <c r="W1551" s="9">
        <f>STATS1003B!W1636/1000</f>
        <v>0</v>
      </c>
      <c r="X1551" s="9">
        <f>STATS1003B!X1636/1000</f>
        <v>1015.3869999999999</v>
      </c>
      <c r="Y1551" s="9">
        <f>STATS1003B!Y1636/1000</f>
        <v>0</v>
      </c>
      <c r="Z1551" s="9">
        <f>STATS1003B!Z1636/1000</f>
        <v>0</v>
      </c>
      <c r="AA1551" s="9">
        <f>STATS1003B!AA1636/1000</f>
        <v>1015.3869999999999</v>
      </c>
      <c r="AB1551" s="9">
        <f>STATS1003B!AB1636/1000</f>
        <v>0</v>
      </c>
    </row>
    <row r="1552" spans="1:28" x14ac:dyDescent="0.35">
      <c r="A1552" s="36"/>
      <c r="B1552" s="8"/>
      <c r="C1552" s="7" t="s">
        <v>1063</v>
      </c>
      <c r="D1552" s="23" t="s">
        <v>1072</v>
      </c>
      <c r="E1552" s="9">
        <f>STATS1003B!E1637/1000</f>
        <v>1116.84322</v>
      </c>
      <c r="F1552" s="9">
        <f>STATS1003B!F1637/1000</f>
        <v>1116.84322</v>
      </c>
      <c r="G1552" s="9">
        <f>STATS1003B!G1637/1000</f>
        <v>0</v>
      </c>
      <c r="H1552" s="9">
        <f>STATS1003B!H1637/1000</f>
        <v>1116.84322</v>
      </c>
      <c r="I1552" s="9">
        <f>STATS1003B!I1637/1000</f>
        <v>0</v>
      </c>
      <c r="J1552" s="9">
        <f>STATS1003B!J1637/1000</f>
        <v>0</v>
      </c>
      <c r="K1552" s="9">
        <f>STATS1003B!K1637/1000</f>
        <v>0</v>
      </c>
      <c r="L1552" s="9">
        <f>STATS1003B!L1637/1000</f>
        <v>0</v>
      </c>
      <c r="M1552" s="9">
        <f>STATS1003B!M1637/1000</f>
        <v>1116.84322</v>
      </c>
      <c r="N1552" s="9">
        <f>STATS1003B!N1637/1000</f>
        <v>0</v>
      </c>
      <c r="O1552" s="9">
        <f>STATS1003B!O1637/1000</f>
        <v>0</v>
      </c>
      <c r="P1552" s="9">
        <f>STATS1003B!P1637/1000</f>
        <v>0</v>
      </c>
      <c r="Q1552" s="9">
        <f>STATS1003B!Q1637/1000</f>
        <v>0</v>
      </c>
      <c r="R1552" s="9">
        <f>STATS1003B!R1637/1000</f>
        <v>0</v>
      </c>
      <c r="S1552" s="9">
        <f>STATS1003B!S1637/1000</f>
        <v>0</v>
      </c>
      <c r="T1552" s="9">
        <f>STATS1003B!T1637/1000</f>
        <v>0</v>
      </c>
      <c r="U1552" s="9">
        <f>STATS1003B!U1637/1000</f>
        <v>0</v>
      </c>
      <c r="V1552" s="9">
        <f>STATS1003B!V1637/1000</f>
        <v>1116.84322</v>
      </c>
      <c r="W1552" s="9">
        <f>STATS1003B!W1637/1000</f>
        <v>0</v>
      </c>
      <c r="X1552" s="9">
        <f>STATS1003B!X1637/1000</f>
        <v>1116.84322</v>
      </c>
      <c r="Y1552" s="9">
        <f>STATS1003B!Y1637/1000</f>
        <v>0</v>
      </c>
      <c r="Z1552" s="9">
        <f>STATS1003B!Z1637/1000</f>
        <v>0</v>
      </c>
      <c r="AA1552" s="9">
        <f>STATS1003B!AA1637/1000</f>
        <v>1116.84322</v>
      </c>
      <c r="AB1552" s="9">
        <f>STATS1003B!AB1637/1000</f>
        <v>0</v>
      </c>
    </row>
    <row r="1553" spans="1:28" x14ac:dyDescent="0.35">
      <c r="A1553" s="36"/>
      <c r="B1553" s="8"/>
      <c r="C1553" s="7" t="s">
        <v>1095</v>
      </c>
      <c r="D1553" s="23" t="s">
        <v>1072</v>
      </c>
      <c r="E1553" s="9">
        <f>STATS1003B!E1638/1000</f>
        <v>1272</v>
      </c>
      <c r="F1553" s="9">
        <f>STATS1003B!F1638/1000</f>
        <v>1272</v>
      </c>
      <c r="G1553" s="9">
        <f>STATS1003B!G1638/1000</f>
        <v>0</v>
      </c>
      <c r="H1553" s="9">
        <f>STATS1003B!H1638/1000</f>
        <v>1272</v>
      </c>
      <c r="I1553" s="9">
        <f>STATS1003B!I1638/1000</f>
        <v>0</v>
      </c>
      <c r="J1553" s="9">
        <f>STATS1003B!J1638/1000</f>
        <v>0</v>
      </c>
      <c r="K1553" s="9">
        <f>STATS1003B!K1638/1000</f>
        <v>0</v>
      </c>
      <c r="L1553" s="9">
        <f>STATS1003B!L1638/1000</f>
        <v>0</v>
      </c>
      <c r="M1553" s="9">
        <f>STATS1003B!M1638/1000</f>
        <v>1272</v>
      </c>
      <c r="N1553" s="9">
        <f>STATS1003B!N1638/1000</f>
        <v>0</v>
      </c>
      <c r="O1553" s="9">
        <f>STATS1003B!O1638/1000</f>
        <v>0</v>
      </c>
      <c r="P1553" s="9">
        <f>STATS1003B!P1638/1000</f>
        <v>0</v>
      </c>
      <c r="Q1553" s="9">
        <f>STATS1003B!Q1638/1000</f>
        <v>0</v>
      </c>
      <c r="R1553" s="9">
        <f>STATS1003B!R1638/1000</f>
        <v>0</v>
      </c>
      <c r="S1553" s="9">
        <f>STATS1003B!S1638/1000</f>
        <v>0</v>
      </c>
      <c r="T1553" s="9">
        <f>STATS1003B!T1638/1000</f>
        <v>0</v>
      </c>
      <c r="U1553" s="9">
        <f>STATS1003B!U1638/1000</f>
        <v>0</v>
      </c>
      <c r="V1553" s="9">
        <f>STATS1003B!V1638/1000</f>
        <v>1272</v>
      </c>
      <c r="W1553" s="9">
        <f>STATS1003B!W1638/1000</f>
        <v>0</v>
      </c>
      <c r="X1553" s="9">
        <f>STATS1003B!X1638/1000</f>
        <v>1272</v>
      </c>
      <c r="Y1553" s="9">
        <f>STATS1003B!Y1638/1000</f>
        <v>0</v>
      </c>
      <c r="Z1553" s="9">
        <f>STATS1003B!Z1638/1000</f>
        <v>0</v>
      </c>
      <c r="AA1553" s="9">
        <f>STATS1003B!AA1638/1000</f>
        <v>1272</v>
      </c>
      <c r="AB1553" s="9">
        <f>STATS1003B!AB1638/1000</f>
        <v>0</v>
      </c>
    </row>
    <row r="1554" spans="1:28" x14ac:dyDescent="0.35">
      <c r="A1554" s="36"/>
      <c r="B1554" s="8"/>
      <c r="C1554" s="14" t="s">
        <v>57</v>
      </c>
      <c r="D1554" s="24" t="s">
        <v>61</v>
      </c>
      <c r="E1554" s="9">
        <f>STATS1003B!E1640/1000</f>
        <v>3450.7885099999999</v>
      </c>
      <c r="F1554" s="9">
        <f>STATS1003B!F1640/1000</f>
        <v>3402</v>
      </c>
      <c r="G1554" s="9">
        <f>STATS1003B!G1640/1000</f>
        <v>0</v>
      </c>
      <c r="H1554" s="9">
        <f>STATS1003B!H1640/1000</f>
        <v>3402</v>
      </c>
      <c r="I1554" s="9">
        <f>STATS1003B!I1640/1000</f>
        <v>3054.1669999999999</v>
      </c>
      <c r="J1554" s="9">
        <f>STATS1003B!J1640/1000</f>
        <v>0</v>
      </c>
      <c r="K1554" s="9">
        <f>STATS1003B!K1640/1000</f>
        <v>0</v>
      </c>
      <c r="L1554" s="9">
        <f>STATS1003B!L1640/1000</f>
        <v>0</v>
      </c>
      <c r="M1554" s="9">
        <f>STATS1003B!M1640/1000</f>
        <v>3402</v>
      </c>
      <c r="N1554" s="9">
        <f>STATS1003B!N1640/1000</f>
        <v>0</v>
      </c>
      <c r="O1554" s="9">
        <f>STATS1003B!O1640/1000</f>
        <v>0</v>
      </c>
      <c r="P1554" s="9">
        <f>STATS1003B!P1640/1000</f>
        <v>0</v>
      </c>
      <c r="Q1554" s="9">
        <f>STATS1003B!Q1640/1000</f>
        <v>48.788510000000002</v>
      </c>
      <c r="R1554" s="9">
        <f>STATS1003B!R1640/1000</f>
        <v>0</v>
      </c>
      <c r="S1554" s="9">
        <f>STATS1003B!S1640/1000</f>
        <v>0</v>
      </c>
      <c r="T1554" s="9">
        <f>STATS1003B!T1640/1000</f>
        <v>48.788510000000002</v>
      </c>
      <c r="U1554" s="9">
        <f>STATS1003B!U1640/1000</f>
        <v>48.788510000000002</v>
      </c>
      <c r="V1554" s="9">
        <f>STATS1003B!V1640/1000</f>
        <v>3402</v>
      </c>
      <c r="W1554" s="9">
        <f>STATS1003B!W1640/1000</f>
        <v>48.788509999999775</v>
      </c>
      <c r="X1554" s="9">
        <f>STATS1003B!X1640/1000</f>
        <v>3402</v>
      </c>
      <c r="Y1554" s="9">
        <f>STATS1003B!Y1640/1000</f>
        <v>0</v>
      </c>
      <c r="Z1554" s="9">
        <f>STATS1003B!Z1640/1000</f>
        <v>48.788509999999775</v>
      </c>
      <c r="AA1554" s="9">
        <f>STATS1003B!AA1640/1000</f>
        <v>3450.7885099999999</v>
      </c>
      <c r="AB1554" s="9">
        <f>STATS1003B!AB1640/1000</f>
        <v>0</v>
      </c>
    </row>
    <row r="1555" spans="1:28" x14ac:dyDescent="0.35">
      <c r="A1555" s="36"/>
      <c r="B1555" s="8"/>
      <c r="C1555" s="8"/>
      <c r="D1555" s="8"/>
      <c r="E1555" s="17" t="s">
        <v>29</v>
      </c>
      <c r="F1555" s="17" t="s">
        <v>29</v>
      </c>
      <c r="G1555" s="17" t="s">
        <v>29</v>
      </c>
      <c r="H1555" s="17" t="s">
        <v>29</v>
      </c>
      <c r="I1555" s="17" t="s">
        <v>29</v>
      </c>
      <c r="J1555" s="17" t="s">
        <v>29</v>
      </c>
      <c r="K1555" s="17" t="s">
        <v>29</v>
      </c>
      <c r="L1555" s="17" t="s">
        <v>29</v>
      </c>
      <c r="M1555" s="17" t="s">
        <v>29</v>
      </c>
      <c r="N1555" s="17" t="s">
        <v>29</v>
      </c>
      <c r="O1555" s="17" t="s">
        <v>29</v>
      </c>
      <c r="P1555" s="17" t="s">
        <v>29</v>
      </c>
      <c r="Q1555" s="17" t="s">
        <v>29</v>
      </c>
      <c r="R1555" s="17" t="s">
        <v>29</v>
      </c>
      <c r="S1555" s="17" t="s">
        <v>29</v>
      </c>
      <c r="T1555" s="17" t="s">
        <v>29</v>
      </c>
      <c r="U1555" s="17" t="s">
        <v>29</v>
      </c>
      <c r="V1555" s="17" t="s">
        <v>29</v>
      </c>
      <c r="W1555" s="17" t="s">
        <v>29</v>
      </c>
      <c r="X1555" s="17" t="s">
        <v>29</v>
      </c>
      <c r="Y1555" s="17" t="s">
        <v>29</v>
      </c>
      <c r="Z1555" s="17" t="s">
        <v>29</v>
      </c>
      <c r="AA1555" s="17" t="s">
        <v>29</v>
      </c>
      <c r="AB1555" s="17" t="s">
        <v>29</v>
      </c>
    </row>
    <row r="1556" spans="1:28" x14ac:dyDescent="0.35">
      <c r="A1556" s="36"/>
      <c r="B1556" s="8"/>
      <c r="C1556" s="8"/>
      <c r="D1556" s="8"/>
      <c r="E1556" s="9">
        <f t="shared" ref="E1556:AB1556" si="110">SUM(E1540:E1554)</f>
        <v>34549.615310000001</v>
      </c>
      <c r="F1556" s="9">
        <f t="shared" si="110"/>
        <v>31557.48273</v>
      </c>
      <c r="G1556" s="9">
        <f t="shared" si="110"/>
        <v>0</v>
      </c>
      <c r="H1556" s="9">
        <f t="shared" si="110"/>
        <v>31557.48273</v>
      </c>
      <c r="I1556" s="9">
        <f t="shared" si="110"/>
        <v>3054.1669999999999</v>
      </c>
      <c r="J1556" s="9">
        <f t="shared" si="110"/>
        <v>0</v>
      </c>
      <c r="K1556" s="9">
        <f t="shared" si="110"/>
        <v>0</v>
      </c>
      <c r="L1556" s="9">
        <f t="shared" si="110"/>
        <v>0</v>
      </c>
      <c r="M1556" s="9">
        <f t="shared" si="110"/>
        <v>31557.48273</v>
      </c>
      <c r="N1556" s="9">
        <f t="shared" si="110"/>
        <v>2202.2820200000001</v>
      </c>
      <c r="O1556" s="9">
        <f t="shared" si="110"/>
        <v>0</v>
      </c>
      <c r="P1556" s="9">
        <f t="shared" si="110"/>
        <v>2202.2820200000001</v>
      </c>
      <c r="Q1556" s="9">
        <f t="shared" si="110"/>
        <v>48.788510000000002</v>
      </c>
      <c r="R1556" s="9">
        <f t="shared" si="110"/>
        <v>0</v>
      </c>
      <c r="S1556" s="9">
        <f t="shared" si="110"/>
        <v>0</v>
      </c>
      <c r="T1556" s="9">
        <f t="shared" si="110"/>
        <v>48.788510000000002</v>
      </c>
      <c r="U1556" s="9">
        <f t="shared" si="110"/>
        <v>2251.07053</v>
      </c>
      <c r="V1556" s="9">
        <f t="shared" si="110"/>
        <v>33759.764750000002</v>
      </c>
      <c r="W1556" s="9">
        <f t="shared" si="110"/>
        <v>789.85055999999952</v>
      </c>
      <c r="X1556" s="9">
        <f t="shared" si="110"/>
        <v>33759.764750000002</v>
      </c>
      <c r="Y1556" s="9">
        <f t="shared" si="110"/>
        <v>0</v>
      </c>
      <c r="Z1556" s="9">
        <f t="shared" si="110"/>
        <v>789.85055999999952</v>
      </c>
      <c r="AA1556" s="9">
        <f t="shared" si="110"/>
        <v>33808.553260000001</v>
      </c>
      <c r="AB1556" s="9">
        <f t="shared" si="110"/>
        <v>741.06204999999977</v>
      </c>
    </row>
    <row r="1557" spans="1:28" x14ac:dyDescent="0.35">
      <c r="A1557" s="36"/>
      <c r="B1557" s="8"/>
      <c r="C1557" s="8"/>
      <c r="D1557" s="8"/>
      <c r="E1557" s="17" t="s">
        <v>29</v>
      </c>
      <c r="F1557" s="17" t="s">
        <v>29</v>
      </c>
      <c r="G1557" s="17" t="s">
        <v>29</v>
      </c>
      <c r="H1557" s="17" t="s">
        <v>29</v>
      </c>
      <c r="I1557" s="17" t="s">
        <v>29</v>
      </c>
      <c r="J1557" s="17" t="s">
        <v>29</v>
      </c>
      <c r="K1557" s="17" t="s">
        <v>29</v>
      </c>
      <c r="L1557" s="17" t="s">
        <v>29</v>
      </c>
      <c r="M1557" s="17" t="s">
        <v>29</v>
      </c>
      <c r="N1557" s="17" t="s">
        <v>29</v>
      </c>
      <c r="O1557" s="17" t="s">
        <v>29</v>
      </c>
      <c r="P1557" s="17" t="s">
        <v>29</v>
      </c>
      <c r="Q1557" s="17" t="s">
        <v>29</v>
      </c>
      <c r="R1557" s="17" t="s">
        <v>29</v>
      </c>
      <c r="S1557" s="17" t="s">
        <v>29</v>
      </c>
      <c r="T1557" s="17" t="s">
        <v>29</v>
      </c>
      <c r="U1557" s="17" t="s">
        <v>29</v>
      </c>
      <c r="V1557" s="17" t="s">
        <v>29</v>
      </c>
      <c r="W1557" s="17" t="s">
        <v>29</v>
      </c>
      <c r="X1557" s="17" t="s">
        <v>29</v>
      </c>
      <c r="Y1557" s="17" t="s">
        <v>29</v>
      </c>
      <c r="Z1557" s="17" t="s">
        <v>29</v>
      </c>
      <c r="AA1557" s="17" t="s">
        <v>29</v>
      </c>
      <c r="AB1557" s="17" t="s">
        <v>29</v>
      </c>
    </row>
    <row r="1558" spans="1:28" x14ac:dyDescent="0.35">
      <c r="A1558" s="38" t="s">
        <v>1006</v>
      </c>
      <c r="B1558" s="7" t="s">
        <v>328</v>
      </c>
      <c r="C1558" s="8"/>
      <c r="D1558" s="8"/>
      <c r="E1558" s="8"/>
      <c r="F1558" s="8"/>
      <c r="G1558" s="8"/>
      <c r="H1558" s="8"/>
      <c r="I1558" s="8"/>
      <c r="J1558" s="8"/>
      <c r="K1558" s="8"/>
      <c r="L1558" s="8"/>
      <c r="M1558" s="8"/>
      <c r="N1558" s="8"/>
      <c r="O1558" s="8"/>
      <c r="P1558" s="8"/>
      <c r="Q1558" s="8"/>
      <c r="R1558" s="8"/>
      <c r="S1558" s="8"/>
      <c r="T1558" s="8"/>
      <c r="U1558" s="8"/>
      <c r="V1558" s="8"/>
      <c r="W1558" s="8"/>
      <c r="X1558" s="8"/>
      <c r="Y1558" s="8"/>
      <c r="Z1558" s="8"/>
    </row>
    <row r="1559" spans="1:28" x14ac:dyDescent="0.35">
      <c r="A1559" s="36"/>
      <c r="B1559" s="8"/>
      <c r="C1559" s="7" t="s">
        <v>329</v>
      </c>
      <c r="D1559" s="15" t="s">
        <v>68</v>
      </c>
      <c r="E1559" s="9">
        <f>STATS1003B!E1645/1000</f>
        <v>0</v>
      </c>
      <c r="F1559" s="9">
        <f>STATS1003B!F1645/1000</f>
        <v>0</v>
      </c>
      <c r="G1559" s="9">
        <f>STATS1003B!G1645/1000</f>
        <v>0</v>
      </c>
      <c r="H1559" s="9">
        <f>STATS1003B!H1645/1000</f>
        <v>0</v>
      </c>
      <c r="I1559" s="9">
        <f>STATS1003B!I1645/1000</f>
        <v>0</v>
      </c>
      <c r="J1559" s="9">
        <f>STATS1003B!J1645/1000</f>
        <v>0</v>
      </c>
      <c r="K1559" s="9">
        <f>STATS1003B!K1645/1000</f>
        <v>0</v>
      </c>
      <c r="L1559" s="9">
        <f>STATS1003B!L1645/1000</f>
        <v>0</v>
      </c>
      <c r="M1559" s="9">
        <f>STATS1003B!M1645/1000</f>
        <v>0</v>
      </c>
      <c r="N1559" s="9">
        <f>STATS1003B!N1645/1000</f>
        <v>0</v>
      </c>
      <c r="O1559" s="9">
        <f>STATS1003B!O1645/1000</f>
        <v>0</v>
      </c>
      <c r="P1559" s="9">
        <f>STATS1003B!P1645/1000</f>
        <v>0</v>
      </c>
      <c r="Q1559" s="9">
        <f>STATS1003B!Q1645/1000</f>
        <v>0</v>
      </c>
      <c r="R1559" s="9">
        <f>STATS1003B!R1645/1000</f>
        <v>0</v>
      </c>
      <c r="S1559" s="9">
        <f>STATS1003B!S1645/1000</f>
        <v>0</v>
      </c>
      <c r="T1559" s="9">
        <f>STATS1003B!T1645/1000</f>
        <v>0</v>
      </c>
      <c r="U1559" s="9">
        <f>STATS1003B!U1645/1000</f>
        <v>0</v>
      </c>
      <c r="V1559" s="9">
        <f>STATS1003B!V1645/1000</f>
        <v>0</v>
      </c>
      <c r="W1559" s="9">
        <f>STATS1003B!W1645/1000</f>
        <v>0</v>
      </c>
      <c r="X1559" s="9">
        <f>STATS1003B!X1645/1000</f>
        <v>0</v>
      </c>
      <c r="Y1559" s="9">
        <f>STATS1003B!Y1645/1000</f>
        <v>0</v>
      </c>
      <c r="Z1559" s="9">
        <f>STATS1003B!Z1645/1000</f>
        <v>0</v>
      </c>
      <c r="AA1559" s="9">
        <f>STATS1003B!AA1645/1000</f>
        <v>0</v>
      </c>
      <c r="AB1559" s="9">
        <f>STATS1003B!AB1645/1000</f>
        <v>0</v>
      </c>
    </row>
    <row r="1560" spans="1:28" x14ac:dyDescent="0.35">
      <c r="A1560" s="36"/>
      <c r="B1560" s="8"/>
      <c r="C1560" s="7" t="s">
        <v>330</v>
      </c>
      <c r="D1560" s="15" t="s">
        <v>234</v>
      </c>
      <c r="E1560" s="9">
        <f>STATS1003B!E1646/1000</f>
        <v>14339.6</v>
      </c>
      <c r="F1560" s="9">
        <f>STATS1003B!F1646/1000</f>
        <v>14313.752109999999</v>
      </c>
      <c r="G1560" s="9">
        <f>STATS1003B!G1646/1000</f>
        <v>0</v>
      </c>
      <c r="H1560" s="9">
        <f>STATS1003B!H1646/1000</f>
        <v>14313.752109999999</v>
      </c>
      <c r="I1560" s="9">
        <f>STATS1003B!I1646/1000</f>
        <v>0</v>
      </c>
      <c r="J1560" s="9">
        <f>STATS1003B!J1646/1000</f>
        <v>0</v>
      </c>
      <c r="K1560" s="9">
        <f>STATS1003B!K1646/1000</f>
        <v>0</v>
      </c>
      <c r="L1560" s="9">
        <f>STATS1003B!L1646/1000</f>
        <v>0</v>
      </c>
      <c r="M1560" s="9">
        <f>STATS1003B!M1646/1000</f>
        <v>14313.752109999999</v>
      </c>
      <c r="N1560" s="9">
        <f>STATS1003B!N1646/1000</f>
        <v>0</v>
      </c>
      <c r="O1560" s="9">
        <f>STATS1003B!O1646/1000</f>
        <v>0</v>
      </c>
      <c r="P1560" s="9">
        <f>STATS1003B!P1646/1000</f>
        <v>0</v>
      </c>
      <c r="Q1560" s="9">
        <f>STATS1003B!Q1646/1000</f>
        <v>0</v>
      </c>
      <c r="R1560" s="9">
        <f>STATS1003B!R1646/1000</f>
        <v>0</v>
      </c>
      <c r="S1560" s="9">
        <f>STATS1003B!S1646/1000</f>
        <v>0</v>
      </c>
      <c r="T1560" s="9">
        <f>STATS1003B!T1646/1000</f>
        <v>0</v>
      </c>
      <c r="U1560" s="9">
        <f>STATS1003B!U1646/1000</f>
        <v>0</v>
      </c>
      <c r="V1560" s="9">
        <f>STATS1003B!V1646/1000</f>
        <v>14313.752109999999</v>
      </c>
      <c r="W1560" s="9">
        <f>STATS1003B!W1646/1000</f>
        <v>25.847890000000596</v>
      </c>
      <c r="X1560" s="9">
        <f>STATS1003B!X1646/1000</f>
        <v>14313.752109999999</v>
      </c>
      <c r="Y1560" s="9">
        <f>STATS1003B!Y1646/1000</f>
        <v>0</v>
      </c>
      <c r="Z1560" s="9">
        <f>STATS1003B!Z1646/1000</f>
        <v>25.847890000000596</v>
      </c>
      <c r="AA1560" s="9">
        <f>STATS1003B!AA1646/1000</f>
        <v>14313.752109999999</v>
      </c>
      <c r="AB1560" s="9">
        <f>STATS1003B!AB1646/1000</f>
        <v>25.847890000000596</v>
      </c>
    </row>
    <row r="1561" spans="1:28" x14ac:dyDescent="0.35">
      <c r="A1561" s="36"/>
      <c r="B1561" s="8"/>
      <c r="C1561" s="7" t="s">
        <v>57</v>
      </c>
      <c r="D1561" s="15" t="s">
        <v>105</v>
      </c>
      <c r="E1561" s="9">
        <f>STATS1003B!E1647/1000</f>
        <v>3210.8209999999999</v>
      </c>
      <c r="F1561" s="9">
        <f>STATS1003B!F1647/1000</f>
        <v>3210.8209999999999</v>
      </c>
      <c r="G1561" s="9">
        <f>STATS1003B!G1647/1000</f>
        <v>0</v>
      </c>
      <c r="H1561" s="9">
        <f>STATS1003B!H1647/1000</f>
        <v>3210.8209999999999</v>
      </c>
      <c r="I1561" s="9">
        <f>STATS1003B!I1647/1000</f>
        <v>0</v>
      </c>
      <c r="J1561" s="9">
        <f>STATS1003B!J1647/1000</f>
        <v>0</v>
      </c>
      <c r="K1561" s="9">
        <f>STATS1003B!K1647/1000</f>
        <v>0</v>
      </c>
      <c r="L1561" s="9">
        <f>STATS1003B!L1647/1000</f>
        <v>0</v>
      </c>
      <c r="M1561" s="9">
        <f>STATS1003B!M1647/1000</f>
        <v>3210.8209999999999</v>
      </c>
      <c r="N1561" s="9">
        <f>STATS1003B!N1647/1000</f>
        <v>0</v>
      </c>
      <c r="O1561" s="9">
        <f>STATS1003B!O1647/1000</f>
        <v>0</v>
      </c>
      <c r="P1561" s="9">
        <f>STATS1003B!P1647/1000</f>
        <v>0</v>
      </c>
      <c r="Q1561" s="9">
        <f>STATS1003B!Q1647/1000</f>
        <v>0</v>
      </c>
      <c r="R1561" s="9">
        <f>STATS1003B!R1647/1000</f>
        <v>0</v>
      </c>
      <c r="S1561" s="9">
        <f>STATS1003B!S1647/1000</f>
        <v>0</v>
      </c>
      <c r="T1561" s="9">
        <f>STATS1003B!T1647/1000</f>
        <v>0</v>
      </c>
      <c r="U1561" s="9">
        <f>STATS1003B!U1647/1000</f>
        <v>0</v>
      </c>
      <c r="V1561" s="9">
        <f>STATS1003B!V1647/1000</f>
        <v>3210.8209999999999</v>
      </c>
      <c r="W1561" s="9">
        <f>STATS1003B!W1647/1000</f>
        <v>0</v>
      </c>
      <c r="X1561" s="9">
        <f>STATS1003B!X1647/1000</f>
        <v>3210.8209999999999</v>
      </c>
      <c r="Y1561" s="9">
        <f>STATS1003B!Y1647/1000</f>
        <v>0</v>
      </c>
      <c r="Z1561" s="9">
        <f>STATS1003B!Z1647/1000</f>
        <v>0</v>
      </c>
      <c r="AA1561" s="9">
        <f>STATS1003B!AA1647/1000</f>
        <v>3210.8209999999999</v>
      </c>
      <c r="AB1561" s="9">
        <f>STATS1003B!AB1647/1000</f>
        <v>0</v>
      </c>
    </row>
    <row r="1562" spans="1:28" x14ac:dyDescent="0.35">
      <c r="A1562" s="36"/>
      <c r="B1562" s="8"/>
      <c r="C1562" s="7" t="s">
        <v>192</v>
      </c>
      <c r="D1562" s="15" t="s">
        <v>128</v>
      </c>
      <c r="E1562" s="9">
        <f>STATS1003B!E1648/1000</f>
        <v>955.34561999999994</v>
      </c>
      <c r="F1562" s="9">
        <f>STATS1003B!F1648/1000</f>
        <v>0</v>
      </c>
      <c r="G1562" s="9">
        <f>STATS1003B!G1648/1000</f>
        <v>0</v>
      </c>
      <c r="H1562" s="9">
        <f>STATS1003B!H1648/1000</f>
        <v>0</v>
      </c>
      <c r="I1562" s="9">
        <f>STATS1003B!I1648/1000</f>
        <v>0</v>
      </c>
      <c r="J1562" s="9">
        <f>STATS1003B!J1648/1000</f>
        <v>0</v>
      </c>
      <c r="K1562" s="9">
        <f>STATS1003B!K1648/1000</f>
        <v>0</v>
      </c>
      <c r="L1562" s="9">
        <f>STATS1003B!L1648/1000</f>
        <v>0</v>
      </c>
      <c r="M1562" s="9">
        <f>STATS1003B!M1648/1000</f>
        <v>0</v>
      </c>
      <c r="N1562" s="9">
        <f>STATS1003B!N1648/1000</f>
        <v>955.34561999999994</v>
      </c>
      <c r="O1562" s="9">
        <f>STATS1003B!O1648/1000</f>
        <v>0</v>
      </c>
      <c r="P1562" s="9">
        <f>STATS1003B!P1648/1000</f>
        <v>955.34561999999994</v>
      </c>
      <c r="Q1562" s="9">
        <f>STATS1003B!Q1648/1000</f>
        <v>0</v>
      </c>
      <c r="R1562" s="9">
        <f>STATS1003B!R1648/1000</f>
        <v>0</v>
      </c>
      <c r="S1562" s="9">
        <f>STATS1003B!S1648/1000</f>
        <v>0</v>
      </c>
      <c r="T1562" s="9">
        <f>STATS1003B!T1648/1000</f>
        <v>0</v>
      </c>
      <c r="U1562" s="9">
        <f>STATS1003B!U1648/1000</f>
        <v>955.34561999999994</v>
      </c>
      <c r="V1562" s="9">
        <f>STATS1003B!V1648/1000</f>
        <v>955.34561999999994</v>
      </c>
      <c r="W1562" s="9">
        <f>STATS1003B!W1648/1000</f>
        <v>0</v>
      </c>
      <c r="X1562" s="9">
        <f>STATS1003B!X1648/1000</f>
        <v>955.34561999999994</v>
      </c>
      <c r="Y1562" s="9">
        <f>STATS1003B!Y1648/1000</f>
        <v>0</v>
      </c>
      <c r="Z1562" s="9">
        <f>STATS1003B!Z1648/1000</f>
        <v>0</v>
      </c>
      <c r="AA1562" s="9">
        <f>STATS1003B!AA1648/1000</f>
        <v>955.34561999999994</v>
      </c>
      <c r="AB1562" s="9">
        <f>STATS1003B!AB1648/1000</f>
        <v>0</v>
      </c>
    </row>
    <row r="1563" spans="1:28" x14ac:dyDescent="0.35">
      <c r="A1563" s="36"/>
      <c r="B1563" s="8"/>
      <c r="C1563" s="7" t="s">
        <v>331</v>
      </c>
      <c r="D1563" s="15" t="s">
        <v>85</v>
      </c>
      <c r="E1563" s="9">
        <f>STATS1003B!E1649/1000</f>
        <v>1550.885</v>
      </c>
      <c r="F1563" s="9">
        <f>STATS1003B!F1649/1000</f>
        <v>1550.885</v>
      </c>
      <c r="G1563" s="9">
        <f>STATS1003B!G1649/1000</f>
        <v>0</v>
      </c>
      <c r="H1563" s="9">
        <f>STATS1003B!H1649/1000</f>
        <v>1550.885</v>
      </c>
      <c r="I1563" s="9">
        <f>STATS1003B!I1649/1000</f>
        <v>0</v>
      </c>
      <c r="J1563" s="9">
        <f>STATS1003B!J1649/1000</f>
        <v>0</v>
      </c>
      <c r="K1563" s="9">
        <f>STATS1003B!K1649/1000</f>
        <v>0</v>
      </c>
      <c r="L1563" s="9">
        <f>STATS1003B!L1649/1000</f>
        <v>0</v>
      </c>
      <c r="M1563" s="9">
        <f>STATS1003B!M1649/1000</f>
        <v>1550.885</v>
      </c>
      <c r="N1563" s="9">
        <f>STATS1003B!N1649/1000</f>
        <v>0</v>
      </c>
      <c r="O1563" s="9">
        <f>STATS1003B!O1649/1000</f>
        <v>0</v>
      </c>
      <c r="P1563" s="9">
        <f>STATS1003B!P1649/1000</f>
        <v>0</v>
      </c>
      <c r="Q1563" s="9">
        <f>STATS1003B!Q1649/1000</f>
        <v>0</v>
      </c>
      <c r="R1563" s="9">
        <f>STATS1003B!R1649/1000</f>
        <v>0</v>
      </c>
      <c r="S1563" s="9">
        <f>STATS1003B!S1649/1000</f>
        <v>0</v>
      </c>
      <c r="T1563" s="9">
        <f>STATS1003B!T1649/1000</f>
        <v>0</v>
      </c>
      <c r="U1563" s="9">
        <f>STATS1003B!U1649/1000</f>
        <v>0</v>
      </c>
      <c r="V1563" s="9">
        <f>STATS1003B!V1649/1000</f>
        <v>1550.885</v>
      </c>
      <c r="W1563" s="9">
        <f>STATS1003B!W1649/1000</f>
        <v>0</v>
      </c>
      <c r="X1563" s="9">
        <f>STATS1003B!X1649/1000</f>
        <v>1550.885</v>
      </c>
      <c r="Y1563" s="9">
        <f>STATS1003B!Y1649/1000</f>
        <v>0</v>
      </c>
      <c r="Z1563" s="9">
        <f>STATS1003B!Z1649/1000</f>
        <v>0</v>
      </c>
      <c r="AA1563" s="9">
        <f>STATS1003B!AA1649/1000</f>
        <v>1550.885</v>
      </c>
      <c r="AB1563" s="9">
        <f>STATS1003B!AB1649/1000</f>
        <v>0</v>
      </c>
    </row>
    <row r="1564" spans="1:28" x14ac:dyDescent="0.35">
      <c r="A1564" s="36"/>
      <c r="B1564" s="8"/>
      <c r="C1564" s="7" t="s">
        <v>318</v>
      </c>
      <c r="D1564" s="15" t="s">
        <v>85</v>
      </c>
      <c r="E1564" s="9">
        <f>STATS1003B!E1650/1000</f>
        <v>4428.2060000000001</v>
      </c>
      <c r="F1564" s="9">
        <f>STATS1003B!F1650/1000</f>
        <v>4258.1239999999998</v>
      </c>
      <c r="G1564" s="9">
        <f>STATS1003B!G1650/1000</f>
        <v>0</v>
      </c>
      <c r="H1564" s="9">
        <f>STATS1003B!H1650/1000</f>
        <v>4258.1239999999998</v>
      </c>
      <c r="I1564" s="9">
        <f>STATS1003B!I1650/1000</f>
        <v>0</v>
      </c>
      <c r="J1564" s="9">
        <f>STATS1003B!J1650/1000</f>
        <v>0</v>
      </c>
      <c r="K1564" s="9">
        <f>STATS1003B!K1650/1000</f>
        <v>0</v>
      </c>
      <c r="L1564" s="9">
        <f>STATS1003B!L1650/1000</f>
        <v>0</v>
      </c>
      <c r="M1564" s="9">
        <f>STATS1003B!M1650/1000</f>
        <v>4258.1239999999998</v>
      </c>
      <c r="N1564" s="9">
        <f>STATS1003B!N1650/1000</f>
        <v>0</v>
      </c>
      <c r="O1564" s="9">
        <f>STATS1003B!O1650/1000</f>
        <v>0</v>
      </c>
      <c r="P1564" s="9">
        <f>STATS1003B!P1650/1000</f>
        <v>0</v>
      </c>
      <c r="Q1564" s="9">
        <f>STATS1003B!Q1650/1000</f>
        <v>0</v>
      </c>
      <c r="R1564" s="9">
        <f>STATS1003B!R1650/1000</f>
        <v>0</v>
      </c>
      <c r="S1564" s="9">
        <f>STATS1003B!S1650/1000</f>
        <v>0</v>
      </c>
      <c r="T1564" s="9">
        <f>STATS1003B!T1650/1000</f>
        <v>0</v>
      </c>
      <c r="U1564" s="9">
        <f>STATS1003B!U1650/1000</f>
        <v>0</v>
      </c>
      <c r="V1564" s="9">
        <f>STATS1003B!V1650/1000</f>
        <v>4258.1239999999998</v>
      </c>
      <c r="W1564" s="9">
        <f>STATS1003B!W1650/1000</f>
        <v>170.08199999999999</v>
      </c>
      <c r="X1564" s="9">
        <f>STATS1003B!X1650/1000</f>
        <v>4258.1239999999998</v>
      </c>
      <c r="Y1564" s="9">
        <f>STATS1003B!Y1650/1000</f>
        <v>0</v>
      </c>
      <c r="Z1564" s="9">
        <f>STATS1003B!Z1650/1000</f>
        <v>170.08199999999999</v>
      </c>
      <c r="AA1564" s="9">
        <f>STATS1003B!AA1650/1000</f>
        <v>4258.1239999999998</v>
      </c>
      <c r="AB1564" s="9">
        <f>STATS1003B!AB1650/1000</f>
        <v>170.08199999999999</v>
      </c>
    </row>
    <row r="1565" spans="1:28" x14ac:dyDescent="0.35">
      <c r="A1565" s="36"/>
      <c r="B1565" s="8"/>
      <c r="C1565" s="7" t="s">
        <v>332</v>
      </c>
      <c r="D1565" s="8"/>
      <c r="E1565" s="9">
        <f>STATS1003B!E1651/1000</f>
        <v>0</v>
      </c>
      <c r="F1565" s="9">
        <f>STATS1003B!F1651/1000</f>
        <v>0</v>
      </c>
      <c r="G1565" s="9">
        <f>STATS1003B!G1651/1000</f>
        <v>0</v>
      </c>
      <c r="H1565" s="9">
        <f>STATS1003B!H1651/1000</f>
        <v>0</v>
      </c>
      <c r="I1565" s="9">
        <f>STATS1003B!I1651/1000</f>
        <v>0</v>
      </c>
      <c r="J1565" s="9">
        <f>STATS1003B!J1651/1000</f>
        <v>0</v>
      </c>
      <c r="K1565" s="9">
        <f>STATS1003B!K1651/1000</f>
        <v>0</v>
      </c>
      <c r="L1565" s="9">
        <f>STATS1003B!L1651/1000</f>
        <v>0</v>
      </c>
      <c r="M1565" s="9">
        <f>STATS1003B!M1651/1000</f>
        <v>0</v>
      </c>
      <c r="N1565" s="9">
        <f>STATS1003B!N1651/1000</f>
        <v>0</v>
      </c>
      <c r="O1565" s="9">
        <f>STATS1003B!O1651/1000</f>
        <v>0</v>
      </c>
      <c r="P1565" s="9">
        <f>STATS1003B!P1651/1000</f>
        <v>0</v>
      </c>
      <c r="Q1565" s="9">
        <f>STATS1003B!Q1651/1000</f>
        <v>0</v>
      </c>
      <c r="R1565" s="9">
        <f>STATS1003B!R1651/1000</f>
        <v>0</v>
      </c>
      <c r="S1565" s="9">
        <f>STATS1003B!S1651/1000</f>
        <v>0</v>
      </c>
      <c r="T1565" s="9">
        <f>STATS1003B!T1651/1000</f>
        <v>0</v>
      </c>
      <c r="U1565" s="9">
        <f>STATS1003B!U1651/1000</f>
        <v>0</v>
      </c>
      <c r="V1565" s="9">
        <f>STATS1003B!V1651/1000</f>
        <v>0</v>
      </c>
      <c r="W1565" s="9">
        <f>STATS1003B!W1651/1000</f>
        <v>0</v>
      </c>
      <c r="X1565" s="9">
        <f>STATS1003B!X1651/1000</f>
        <v>0</v>
      </c>
      <c r="Y1565" s="9">
        <f>STATS1003B!Y1651/1000</f>
        <v>0</v>
      </c>
      <c r="Z1565" s="9">
        <f>STATS1003B!Z1651/1000</f>
        <v>0</v>
      </c>
      <c r="AA1565" s="9">
        <f>STATS1003B!AA1651/1000</f>
        <v>0</v>
      </c>
      <c r="AB1565" s="9">
        <f>STATS1003B!AB1651/1000</f>
        <v>0</v>
      </c>
    </row>
    <row r="1566" spans="1:28" x14ac:dyDescent="0.35">
      <c r="A1566" s="36"/>
      <c r="B1566" s="8"/>
      <c r="C1566" s="7" t="s">
        <v>333</v>
      </c>
      <c r="D1566" s="15" t="s">
        <v>58</v>
      </c>
      <c r="E1566" s="9">
        <f>STATS1003B!E1652/1000</f>
        <v>700</v>
      </c>
      <c r="F1566" s="9">
        <f>STATS1003B!F1652/1000</f>
        <v>700</v>
      </c>
      <c r="G1566" s="9">
        <f>STATS1003B!G1652/1000</f>
        <v>0</v>
      </c>
      <c r="H1566" s="9">
        <f>STATS1003B!H1652/1000</f>
        <v>700</v>
      </c>
      <c r="I1566" s="9">
        <f>STATS1003B!I1652/1000</f>
        <v>0</v>
      </c>
      <c r="J1566" s="9">
        <f>STATS1003B!J1652/1000</f>
        <v>0</v>
      </c>
      <c r="K1566" s="9">
        <f>STATS1003B!K1652/1000</f>
        <v>0</v>
      </c>
      <c r="L1566" s="9">
        <f>STATS1003B!L1652/1000</f>
        <v>0</v>
      </c>
      <c r="M1566" s="9">
        <f>STATS1003B!M1652/1000</f>
        <v>700</v>
      </c>
      <c r="N1566" s="9">
        <f>STATS1003B!N1652/1000</f>
        <v>0</v>
      </c>
      <c r="O1566" s="9">
        <f>STATS1003B!O1652/1000</f>
        <v>0</v>
      </c>
      <c r="P1566" s="9">
        <f>STATS1003B!P1652/1000</f>
        <v>0</v>
      </c>
      <c r="Q1566" s="9">
        <f>STATS1003B!Q1652/1000</f>
        <v>0</v>
      </c>
      <c r="R1566" s="9">
        <f>STATS1003B!R1652/1000</f>
        <v>0</v>
      </c>
      <c r="S1566" s="9">
        <f>STATS1003B!S1652/1000</f>
        <v>0</v>
      </c>
      <c r="T1566" s="9">
        <f>STATS1003B!T1652/1000</f>
        <v>0</v>
      </c>
      <c r="U1566" s="9">
        <f>STATS1003B!U1652/1000</f>
        <v>0</v>
      </c>
      <c r="V1566" s="9">
        <f>STATS1003B!V1652/1000</f>
        <v>700</v>
      </c>
      <c r="W1566" s="9">
        <f>STATS1003B!W1652/1000</f>
        <v>0</v>
      </c>
      <c r="X1566" s="9">
        <f>STATS1003B!X1652/1000</f>
        <v>700</v>
      </c>
      <c r="Y1566" s="9">
        <f>STATS1003B!Y1652/1000</f>
        <v>0</v>
      </c>
      <c r="Z1566" s="9">
        <f>STATS1003B!Z1652/1000</f>
        <v>0</v>
      </c>
      <c r="AA1566" s="9">
        <f>STATS1003B!AA1652/1000</f>
        <v>700</v>
      </c>
      <c r="AB1566" s="9">
        <f>STATS1003B!AB1652/1000</f>
        <v>0</v>
      </c>
    </row>
    <row r="1567" spans="1:28" x14ac:dyDescent="0.35">
      <c r="A1567" s="36"/>
      <c r="B1567" s="8"/>
      <c r="C1567" s="14" t="s">
        <v>109</v>
      </c>
      <c r="D1567" s="21" t="s">
        <v>60</v>
      </c>
      <c r="E1567" s="9">
        <f>STATS1003B!E1653/1000</f>
        <v>2500</v>
      </c>
      <c r="F1567" s="9">
        <f>STATS1003B!F1653/1000</f>
        <v>2500</v>
      </c>
      <c r="G1567" s="9">
        <f>STATS1003B!G1653/1000</f>
        <v>0</v>
      </c>
      <c r="H1567" s="9">
        <f>STATS1003B!H1653/1000</f>
        <v>2500</v>
      </c>
      <c r="I1567" s="9">
        <f>STATS1003B!I1653/1000</f>
        <v>0</v>
      </c>
      <c r="J1567" s="9">
        <f>STATS1003B!J1653/1000</f>
        <v>0</v>
      </c>
      <c r="K1567" s="9">
        <f>STATS1003B!K1653/1000</f>
        <v>0</v>
      </c>
      <c r="L1567" s="9">
        <f>STATS1003B!L1653/1000</f>
        <v>0</v>
      </c>
      <c r="M1567" s="9">
        <f>STATS1003B!M1653/1000</f>
        <v>2500</v>
      </c>
      <c r="N1567" s="9">
        <f>STATS1003B!N1653/1000</f>
        <v>0</v>
      </c>
      <c r="O1567" s="9">
        <f>STATS1003B!O1653/1000</f>
        <v>0</v>
      </c>
      <c r="P1567" s="9">
        <f>STATS1003B!P1653/1000</f>
        <v>0</v>
      </c>
      <c r="Q1567" s="9">
        <f>STATS1003B!Q1653/1000</f>
        <v>0</v>
      </c>
      <c r="R1567" s="9">
        <f>STATS1003B!R1653/1000</f>
        <v>0</v>
      </c>
      <c r="S1567" s="9">
        <f>STATS1003B!S1653/1000</f>
        <v>0</v>
      </c>
      <c r="T1567" s="9">
        <f>STATS1003B!T1653/1000</f>
        <v>0</v>
      </c>
      <c r="U1567" s="9">
        <f>STATS1003B!U1653/1000</f>
        <v>0</v>
      </c>
      <c r="V1567" s="9">
        <f>STATS1003B!V1653/1000</f>
        <v>2500</v>
      </c>
      <c r="W1567" s="9">
        <f>STATS1003B!W1653/1000</f>
        <v>0</v>
      </c>
      <c r="X1567" s="9">
        <f>STATS1003B!X1653/1000</f>
        <v>2500</v>
      </c>
      <c r="Y1567" s="9">
        <f>STATS1003B!Y1653/1000</f>
        <v>0</v>
      </c>
      <c r="Z1567" s="9">
        <f>STATS1003B!Z1653/1000</f>
        <v>0</v>
      </c>
      <c r="AA1567" s="9">
        <f>STATS1003B!AA1653/1000</f>
        <v>2500</v>
      </c>
      <c r="AB1567" s="9">
        <f>STATS1003B!AB1653/1000</f>
        <v>0</v>
      </c>
    </row>
    <row r="1568" spans="1:28" x14ac:dyDescent="0.35">
      <c r="A1568" s="36"/>
      <c r="B1568" s="8"/>
      <c r="C1568" s="14" t="s">
        <v>57</v>
      </c>
      <c r="D1568" s="21" t="s">
        <v>60</v>
      </c>
      <c r="E1568" s="9">
        <f>STATS1003B!E1654/1000</f>
        <v>1098</v>
      </c>
      <c r="F1568" s="9">
        <f>STATS1003B!F1654/1000</f>
        <v>1098</v>
      </c>
      <c r="G1568" s="9">
        <f>STATS1003B!G1654/1000</f>
        <v>0</v>
      </c>
      <c r="H1568" s="9">
        <f>STATS1003B!H1654/1000</f>
        <v>1098</v>
      </c>
      <c r="I1568" s="9">
        <f>STATS1003B!I1654/1000</f>
        <v>0</v>
      </c>
      <c r="J1568" s="9">
        <f>STATS1003B!J1654/1000</f>
        <v>0</v>
      </c>
      <c r="K1568" s="9">
        <f>STATS1003B!K1654/1000</f>
        <v>0</v>
      </c>
      <c r="L1568" s="9">
        <f>STATS1003B!L1654/1000</f>
        <v>0</v>
      </c>
      <c r="M1568" s="9">
        <f>STATS1003B!M1654/1000</f>
        <v>1098</v>
      </c>
      <c r="N1568" s="9">
        <f>STATS1003B!N1654/1000</f>
        <v>0</v>
      </c>
      <c r="O1568" s="9">
        <f>STATS1003B!O1654/1000</f>
        <v>0</v>
      </c>
      <c r="P1568" s="9">
        <f>STATS1003B!P1654/1000</f>
        <v>0</v>
      </c>
      <c r="Q1568" s="9">
        <f>STATS1003B!Q1654/1000</f>
        <v>0</v>
      </c>
      <c r="R1568" s="9">
        <f>STATS1003B!R1654/1000</f>
        <v>0</v>
      </c>
      <c r="S1568" s="9">
        <f>STATS1003B!S1654/1000</f>
        <v>0</v>
      </c>
      <c r="T1568" s="9">
        <f>STATS1003B!T1654/1000</f>
        <v>0</v>
      </c>
      <c r="U1568" s="9">
        <f>STATS1003B!U1654/1000</f>
        <v>0</v>
      </c>
      <c r="V1568" s="9">
        <f>STATS1003B!V1654/1000</f>
        <v>1098</v>
      </c>
      <c r="W1568" s="9">
        <f>STATS1003B!W1654/1000</f>
        <v>0</v>
      </c>
      <c r="X1568" s="9">
        <f>STATS1003B!X1654/1000</f>
        <v>1098</v>
      </c>
      <c r="Y1568" s="9">
        <f>STATS1003B!Y1654/1000</f>
        <v>0</v>
      </c>
      <c r="Z1568" s="9">
        <f>STATS1003B!Z1654/1000</f>
        <v>0</v>
      </c>
      <c r="AA1568" s="9">
        <f>STATS1003B!AA1654/1000</f>
        <v>1098</v>
      </c>
      <c r="AB1568" s="9">
        <f>STATS1003B!AB1654/1000</f>
        <v>0</v>
      </c>
    </row>
    <row r="1569" spans="1:28" x14ac:dyDescent="0.35">
      <c r="A1569" s="36"/>
      <c r="B1569" s="8"/>
      <c r="C1569" s="14" t="s">
        <v>57</v>
      </c>
      <c r="D1569" s="21" t="s">
        <v>73</v>
      </c>
      <c r="E1569" s="9">
        <f>STATS1003B!E1655/1000</f>
        <v>4098</v>
      </c>
      <c r="F1569" s="9">
        <f>STATS1003B!F1655/1000</f>
        <v>4098</v>
      </c>
      <c r="G1569" s="9">
        <f>STATS1003B!G1655/1000</f>
        <v>0</v>
      </c>
      <c r="H1569" s="9">
        <f>STATS1003B!H1655/1000</f>
        <v>4098</v>
      </c>
      <c r="I1569" s="9">
        <f>STATS1003B!I1655/1000</f>
        <v>0</v>
      </c>
      <c r="J1569" s="9">
        <f>STATS1003B!J1655/1000</f>
        <v>0</v>
      </c>
      <c r="K1569" s="9">
        <f>STATS1003B!K1655/1000</f>
        <v>0</v>
      </c>
      <c r="L1569" s="9">
        <f>STATS1003B!L1655/1000</f>
        <v>0</v>
      </c>
      <c r="M1569" s="9">
        <f>STATS1003B!M1655/1000</f>
        <v>4098</v>
      </c>
      <c r="N1569" s="9">
        <f>STATS1003B!N1655/1000</f>
        <v>0</v>
      </c>
      <c r="O1569" s="9">
        <f>STATS1003B!O1655/1000</f>
        <v>0</v>
      </c>
      <c r="P1569" s="9">
        <f>STATS1003B!P1655/1000</f>
        <v>0</v>
      </c>
      <c r="Q1569" s="9">
        <f>STATS1003B!Q1655/1000</f>
        <v>0</v>
      </c>
      <c r="R1569" s="9">
        <f>STATS1003B!R1655/1000</f>
        <v>0</v>
      </c>
      <c r="S1569" s="9">
        <f>STATS1003B!S1655/1000</f>
        <v>0</v>
      </c>
      <c r="T1569" s="9">
        <f>STATS1003B!T1655/1000</f>
        <v>0</v>
      </c>
      <c r="U1569" s="9">
        <f>STATS1003B!U1655/1000</f>
        <v>0</v>
      </c>
      <c r="V1569" s="9">
        <f>STATS1003B!V1655/1000</f>
        <v>4098</v>
      </c>
      <c r="W1569" s="9">
        <f>STATS1003B!W1655/1000</f>
        <v>0</v>
      </c>
      <c r="X1569" s="9">
        <f>STATS1003B!X1655/1000</f>
        <v>4098</v>
      </c>
      <c r="Y1569" s="9">
        <f>STATS1003B!Y1655/1000</f>
        <v>0</v>
      </c>
      <c r="Z1569" s="9">
        <f>STATS1003B!Z1655/1000</f>
        <v>0</v>
      </c>
      <c r="AA1569" s="9">
        <f>STATS1003B!AA1655/1000</f>
        <v>4098</v>
      </c>
      <c r="AB1569" s="9">
        <f>STATS1003B!AB1655/1000</f>
        <v>0</v>
      </c>
    </row>
    <row r="1570" spans="1:28" x14ac:dyDescent="0.35">
      <c r="A1570" s="36"/>
      <c r="B1570" s="8"/>
      <c r="C1570" s="7" t="s">
        <v>122</v>
      </c>
      <c r="D1570" s="8"/>
      <c r="E1570" s="9">
        <f>STATS1003B!E1656/1000</f>
        <v>977.77499999999998</v>
      </c>
      <c r="F1570" s="9">
        <f>STATS1003B!F1656/1000</f>
        <v>977.77499999999998</v>
      </c>
      <c r="G1570" s="9">
        <f>STATS1003B!G1656/1000</f>
        <v>0</v>
      </c>
      <c r="H1570" s="9">
        <f>STATS1003B!H1656/1000</f>
        <v>977.77499999999998</v>
      </c>
      <c r="I1570" s="9">
        <f>STATS1003B!I1656/1000</f>
        <v>0</v>
      </c>
      <c r="J1570" s="9">
        <f>STATS1003B!J1656/1000</f>
        <v>0</v>
      </c>
      <c r="K1570" s="9">
        <f>STATS1003B!K1656/1000</f>
        <v>0</v>
      </c>
      <c r="L1570" s="9">
        <f>STATS1003B!L1656/1000</f>
        <v>0</v>
      </c>
      <c r="M1570" s="9">
        <f>STATS1003B!M1656/1000</f>
        <v>977.77499999999998</v>
      </c>
      <c r="N1570" s="9">
        <f>STATS1003B!N1656/1000</f>
        <v>0</v>
      </c>
      <c r="O1570" s="9">
        <f>STATS1003B!O1656/1000</f>
        <v>0</v>
      </c>
      <c r="P1570" s="9">
        <f>STATS1003B!P1656/1000</f>
        <v>0</v>
      </c>
      <c r="Q1570" s="9">
        <f>STATS1003B!Q1656/1000</f>
        <v>0</v>
      </c>
      <c r="R1570" s="9">
        <f>STATS1003B!R1656/1000</f>
        <v>0</v>
      </c>
      <c r="S1570" s="9">
        <f>STATS1003B!S1656/1000</f>
        <v>0</v>
      </c>
      <c r="T1570" s="9">
        <f>STATS1003B!T1656/1000</f>
        <v>0</v>
      </c>
      <c r="U1570" s="9">
        <f>STATS1003B!U1656/1000</f>
        <v>0</v>
      </c>
      <c r="V1570" s="9">
        <f>STATS1003B!V1656/1000</f>
        <v>977.77499999999998</v>
      </c>
      <c r="W1570" s="9">
        <f>STATS1003B!W1656/1000</f>
        <v>0</v>
      </c>
      <c r="X1570" s="9">
        <f>STATS1003B!X1656/1000</f>
        <v>977.77499999999998</v>
      </c>
      <c r="Y1570" s="9">
        <f>STATS1003B!Y1656/1000</f>
        <v>0</v>
      </c>
      <c r="Z1570" s="9">
        <f>STATS1003B!Z1656/1000</f>
        <v>0</v>
      </c>
      <c r="AA1570" s="9">
        <f>STATS1003B!AA1656/1000</f>
        <v>977.77499999999998</v>
      </c>
      <c r="AB1570" s="9">
        <f>STATS1003B!AB1656/1000</f>
        <v>0</v>
      </c>
    </row>
    <row r="1571" spans="1:28" x14ac:dyDescent="0.35">
      <c r="A1571" s="36"/>
      <c r="B1571" s="8"/>
      <c r="C1571" s="14" t="s">
        <v>57</v>
      </c>
      <c r="D1571" s="24" t="s">
        <v>61</v>
      </c>
      <c r="E1571" s="9">
        <f>STATS1003B!E1660/1000</f>
        <v>4645.9120000000003</v>
      </c>
      <c r="F1571" s="9">
        <f>STATS1003B!F1660/1000</f>
        <v>1591.7449999999999</v>
      </c>
      <c r="G1571" s="9">
        <f>STATS1003B!G1660/1000</f>
        <v>0</v>
      </c>
      <c r="H1571" s="9">
        <f>STATS1003B!H1660/1000</f>
        <v>1591.7449999999999</v>
      </c>
      <c r="I1571" s="9">
        <f>STATS1003B!I1660/1000</f>
        <v>0</v>
      </c>
      <c r="J1571" s="9">
        <f>STATS1003B!J1660/1000</f>
        <v>0</v>
      </c>
      <c r="K1571" s="9">
        <f>STATS1003B!K1660/1000</f>
        <v>0</v>
      </c>
      <c r="L1571" s="9">
        <f>STATS1003B!L1660/1000</f>
        <v>0</v>
      </c>
      <c r="M1571" s="9">
        <f>STATS1003B!M1660/1000</f>
        <v>1591.7449999999999</v>
      </c>
      <c r="N1571" s="9">
        <f>STATS1003B!N1660/1000</f>
        <v>0</v>
      </c>
      <c r="O1571" s="9">
        <f>STATS1003B!O1660/1000</f>
        <v>0</v>
      </c>
      <c r="P1571" s="9">
        <f>STATS1003B!P1660/1000</f>
        <v>0</v>
      </c>
      <c r="Q1571" s="9">
        <f>STATS1003B!Q1660/1000</f>
        <v>0</v>
      </c>
      <c r="R1571" s="9">
        <f>STATS1003B!R1660/1000</f>
        <v>0</v>
      </c>
      <c r="S1571" s="9">
        <f>STATS1003B!S1660/1000</f>
        <v>0</v>
      </c>
      <c r="T1571" s="9">
        <f>STATS1003B!T1660/1000</f>
        <v>0</v>
      </c>
      <c r="U1571" s="9">
        <f>STATS1003B!U1660/1000</f>
        <v>0</v>
      </c>
      <c r="V1571" s="9">
        <f>STATS1003B!V1660/1000</f>
        <v>1591.7449999999999</v>
      </c>
      <c r="W1571" s="9">
        <f>STATS1003B!W1660/1000</f>
        <v>3054.1669999999999</v>
      </c>
      <c r="X1571" s="9">
        <f>STATS1003B!X1660/1000</f>
        <v>1591.7449999999999</v>
      </c>
      <c r="Y1571" s="9">
        <f>STATS1003B!Y1660/1000</f>
        <v>0</v>
      </c>
      <c r="Z1571" s="9">
        <f>STATS1003B!Z1660/1000</f>
        <v>3054.1669999999999</v>
      </c>
      <c r="AA1571" s="9">
        <f>STATS1003B!AA1660/1000</f>
        <v>1591.7449999999999</v>
      </c>
      <c r="AB1571" s="9">
        <f>STATS1003B!AB1660/1000</f>
        <v>3054.1669999999999</v>
      </c>
    </row>
    <row r="1572" spans="1:28" x14ac:dyDescent="0.35">
      <c r="A1572" s="36"/>
      <c r="B1572" s="8"/>
      <c r="C1572" s="8"/>
      <c r="D1572" s="8"/>
      <c r="E1572" s="17" t="s">
        <v>29</v>
      </c>
      <c r="F1572" s="17" t="s">
        <v>29</v>
      </c>
      <c r="G1572" s="17" t="s">
        <v>29</v>
      </c>
      <c r="H1572" s="17" t="s">
        <v>29</v>
      </c>
      <c r="I1572" s="17" t="s">
        <v>29</v>
      </c>
      <c r="J1572" s="17" t="s">
        <v>29</v>
      </c>
      <c r="K1572" s="17" t="s">
        <v>29</v>
      </c>
      <c r="L1572" s="17" t="s">
        <v>29</v>
      </c>
      <c r="M1572" s="17" t="s">
        <v>29</v>
      </c>
      <c r="N1572" s="17" t="s">
        <v>29</v>
      </c>
      <c r="O1572" s="17" t="s">
        <v>29</v>
      </c>
      <c r="P1572" s="17" t="s">
        <v>29</v>
      </c>
      <c r="Q1572" s="17" t="s">
        <v>29</v>
      </c>
      <c r="R1572" s="17" t="s">
        <v>29</v>
      </c>
      <c r="S1572" s="17" t="s">
        <v>29</v>
      </c>
      <c r="T1572" s="17" t="s">
        <v>29</v>
      </c>
      <c r="U1572" s="17" t="s">
        <v>29</v>
      </c>
      <c r="V1572" s="17" t="s">
        <v>29</v>
      </c>
      <c r="W1572" s="17" t="s">
        <v>29</v>
      </c>
      <c r="X1572" s="17" t="s">
        <v>29</v>
      </c>
      <c r="Y1572" s="17" t="s">
        <v>29</v>
      </c>
      <c r="Z1572" s="17" t="s">
        <v>29</v>
      </c>
      <c r="AA1572" s="17" t="s">
        <v>29</v>
      </c>
      <c r="AB1572" s="17" t="s">
        <v>29</v>
      </c>
    </row>
    <row r="1573" spans="1:28" x14ac:dyDescent="0.35">
      <c r="A1573" s="36"/>
      <c r="B1573" s="8"/>
      <c r="C1573" s="8"/>
      <c r="D1573" s="8"/>
      <c r="E1573" s="9">
        <f t="shared" ref="E1573:AB1573" si="111">SUM(E1559:E1571)</f>
        <v>38504.544620000001</v>
      </c>
      <c r="F1573" s="9">
        <f t="shared" si="111"/>
        <v>34299.10211</v>
      </c>
      <c r="G1573" s="9">
        <f t="shared" si="111"/>
        <v>0</v>
      </c>
      <c r="H1573" s="9">
        <f t="shared" si="111"/>
        <v>34299.10211</v>
      </c>
      <c r="I1573" s="9">
        <f t="shared" si="111"/>
        <v>0</v>
      </c>
      <c r="J1573" s="9">
        <f t="shared" si="111"/>
        <v>0</v>
      </c>
      <c r="K1573" s="9">
        <f t="shared" si="111"/>
        <v>0</v>
      </c>
      <c r="L1573" s="9">
        <f t="shared" si="111"/>
        <v>0</v>
      </c>
      <c r="M1573" s="9">
        <f t="shared" si="111"/>
        <v>34299.10211</v>
      </c>
      <c r="N1573" s="9">
        <f t="shared" si="111"/>
        <v>955.34561999999994</v>
      </c>
      <c r="O1573" s="9">
        <f t="shared" si="111"/>
        <v>0</v>
      </c>
      <c r="P1573" s="9">
        <f t="shared" si="111"/>
        <v>955.34561999999994</v>
      </c>
      <c r="Q1573" s="9">
        <f t="shared" si="111"/>
        <v>0</v>
      </c>
      <c r="R1573" s="9">
        <f t="shared" si="111"/>
        <v>0</v>
      </c>
      <c r="S1573" s="9">
        <f t="shared" si="111"/>
        <v>0</v>
      </c>
      <c r="T1573" s="9">
        <f t="shared" si="111"/>
        <v>0</v>
      </c>
      <c r="U1573" s="9">
        <f t="shared" si="111"/>
        <v>955.34561999999994</v>
      </c>
      <c r="V1573" s="9">
        <f t="shared" si="111"/>
        <v>35254.44773</v>
      </c>
      <c r="W1573" s="9">
        <f t="shared" si="111"/>
        <v>3250.0968900000007</v>
      </c>
      <c r="X1573" s="9">
        <f t="shared" si="111"/>
        <v>35254.44773</v>
      </c>
      <c r="Y1573" s="9">
        <f t="shared" si="111"/>
        <v>0</v>
      </c>
      <c r="Z1573" s="9">
        <f t="shared" si="111"/>
        <v>3250.0968900000007</v>
      </c>
      <c r="AA1573" s="9">
        <f t="shared" si="111"/>
        <v>35254.44773</v>
      </c>
      <c r="AB1573" s="9">
        <f t="shared" si="111"/>
        <v>3250.0968900000007</v>
      </c>
    </row>
    <row r="1574" spans="1:28" x14ac:dyDescent="0.35">
      <c r="A1574" s="36"/>
      <c r="B1574" s="8"/>
      <c r="C1574" s="8"/>
      <c r="D1574" s="8"/>
      <c r="E1574" s="17" t="s">
        <v>29</v>
      </c>
      <c r="F1574" s="17" t="s">
        <v>29</v>
      </c>
      <c r="G1574" s="17" t="s">
        <v>29</v>
      </c>
      <c r="H1574" s="17" t="s">
        <v>29</v>
      </c>
      <c r="I1574" s="17" t="s">
        <v>29</v>
      </c>
      <c r="J1574" s="17" t="s">
        <v>29</v>
      </c>
      <c r="K1574" s="17" t="s">
        <v>29</v>
      </c>
      <c r="L1574" s="17" t="s">
        <v>29</v>
      </c>
      <c r="M1574" s="17" t="s">
        <v>29</v>
      </c>
      <c r="N1574" s="17" t="s">
        <v>29</v>
      </c>
      <c r="O1574" s="17" t="s">
        <v>29</v>
      </c>
      <c r="P1574" s="17" t="s">
        <v>29</v>
      </c>
      <c r="Q1574" s="17" t="s">
        <v>29</v>
      </c>
      <c r="R1574" s="17" t="s">
        <v>29</v>
      </c>
      <c r="S1574" s="17" t="s">
        <v>29</v>
      </c>
      <c r="T1574" s="17" t="s">
        <v>29</v>
      </c>
      <c r="U1574" s="17" t="s">
        <v>29</v>
      </c>
      <c r="V1574" s="17" t="s">
        <v>29</v>
      </c>
      <c r="W1574" s="17" t="s">
        <v>29</v>
      </c>
      <c r="X1574" s="17" t="s">
        <v>29</v>
      </c>
      <c r="Y1574" s="17" t="s">
        <v>29</v>
      </c>
      <c r="Z1574" s="17" t="s">
        <v>29</v>
      </c>
      <c r="AA1574" s="17" t="s">
        <v>29</v>
      </c>
      <c r="AB1574" s="17" t="s">
        <v>29</v>
      </c>
    </row>
    <row r="1575" spans="1:28" x14ac:dyDescent="0.35">
      <c r="A1575" s="38" t="s">
        <v>1007</v>
      </c>
      <c r="B1575" s="7" t="s">
        <v>334</v>
      </c>
      <c r="C1575" s="8"/>
      <c r="D1575" s="8"/>
      <c r="E1575" s="8"/>
      <c r="F1575" s="8"/>
      <c r="G1575" s="8"/>
      <c r="H1575" s="8"/>
      <c r="I1575" s="8"/>
      <c r="J1575" s="8"/>
      <c r="K1575" s="8"/>
      <c r="L1575" s="8"/>
      <c r="M1575" s="8"/>
      <c r="N1575" s="8"/>
      <c r="O1575" s="8"/>
      <c r="P1575" s="8"/>
      <c r="Q1575" s="8"/>
      <c r="R1575" s="8"/>
      <c r="S1575" s="8"/>
      <c r="T1575" s="8"/>
      <c r="U1575" s="8"/>
      <c r="V1575" s="8"/>
      <c r="W1575" s="8"/>
      <c r="X1575" s="8"/>
      <c r="Y1575" s="8"/>
      <c r="Z1575" s="8"/>
    </row>
    <row r="1576" spans="1:28" x14ac:dyDescent="0.35">
      <c r="A1576" s="36"/>
      <c r="B1576" s="8"/>
      <c r="C1576" s="7" t="s">
        <v>53</v>
      </c>
      <c r="D1576" s="15" t="s">
        <v>68</v>
      </c>
      <c r="E1576" s="9">
        <f>STATS1003B!E1665/1000</f>
        <v>1767.77</v>
      </c>
      <c r="F1576" s="9">
        <f>STATS1003B!F1665/1000</f>
        <v>0</v>
      </c>
      <c r="G1576" s="9">
        <f>STATS1003B!G1665/1000</f>
        <v>0</v>
      </c>
      <c r="H1576" s="9">
        <f>STATS1003B!H1665/1000</f>
        <v>0</v>
      </c>
      <c r="I1576" s="9">
        <f>STATS1003B!I1665/1000</f>
        <v>0</v>
      </c>
      <c r="J1576" s="9">
        <f>STATS1003B!J1665/1000</f>
        <v>0</v>
      </c>
      <c r="K1576" s="9">
        <f>STATS1003B!K1665/1000</f>
        <v>0</v>
      </c>
      <c r="L1576" s="9">
        <f>STATS1003B!L1665/1000</f>
        <v>0</v>
      </c>
      <c r="M1576" s="9">
        <f>STATS1003B!M1665/1000</f>
        <v>0</v>
      </c>
      <c r="N1576" s="9">
        <f>STATS1003B!N1665/1000</f>
        <v>1767.77</v>
      </c>
      <c r="O1576" s="9">
        <f>STATS1003B!O1665/1000</f>
        <v>0</v>
      </c>
      <c r="P1576" s="9">
        <f>STATS1003B!P1665/1000</f>
        <v>1767.77</v>
      </c>
      <c r="Q1576" s="9">
        <f>STATS1003B!Q1665/1000</f>
        <v>0</v>
      </c>
      <c r="R1576" s="9">
        <f>STATS1003B!R1665/1000</f>
        <v>0</v>
      </c>
      <c r="S1576" s="9">
        <f>STATS1003B!S1665/1000</f>
        <v>0</v>
      </c>
      <c r="T1576" s="9">
        <f>STATS1003B!T1665/1000</f>
        <v>0</v>
      </c>
      <c r="U1576" s="9">
        <f>STATS1003B!U1665/1000</f>
        <v>1767.77</v>
      </c>
      <c r="V1576" s="9">
        <f>STATS1003B!V1665/1000</f>
        <v>1767.77</v>
      </c>
      <c r="W1576" s="9">
        <f>STATS1003B!W1665/1000</f>
        <v>0</v>
      </c>
      <c r="X1576" s="9">
        <f>STATS1003B!X1665/1000</f>
        <v>1767.77</v>
      </c>
      <c r="Y1576" s="9">
        <f>STATS1003B!Y1665/1000</f>
        <v>0</v>
      </c>
      <c r="Z1576" s="9">
        <f>STATS1003B!Z1665/1000</f>
        <v>0</v>
      </c>
      <c r="AA1576" s="9">
        <f>STATS1003B!AA1665/1000</f>
        <v>1767.77</v>
      </c>
      <c r="AB1576" s="9">
        <f>STATS1003B!AB1665/1000</f>
        <v>0</v>
      </c>
    </row>
    <row r="1577" spans="1:28" x14ac:dyDescent="0.35">
      <c r="A1577" s="36"/>
      <c r="B1577" s="8"/>
      <c r="C1577" s="7" t="s">
        <v>57</v>
      </c>
      <c r="D1577" s="15" t="s">
        <v>335</v>
      </c>
      <c r="E1577" s="9">
        <f>STATS1003B!E1666/1000</f>
        <v>11818.84108</v>
      </c>
      <c r="F1577" s="9">
        <f>STATS1003B!F1666/1000</f>
        <v>11818.84108</v>
      </c>
      <c r="G1577" s="9">
        <f>STATS1003B!G1666/1000</f>
        <v>0</v>
      </c>
      <c r="H1577" s="9">
        <f>STATS1003B!H1666/1000</f>
        <v>11818.84108</v>
      </c>
      <c r="I1577" s="9">
        <f>STATS1003B!I1666/1000</f>
        <v>0</v>
      </c>
      <c r="J1577" s="9">
        <f>STATS1003B!J1666/1000</f>
        <v>0</v>
      </c>
      <c r="K1577" s="9">
        <f>STATS1003B!K1666/1000</f>
        <v>0</v>
      </c>
      <c r="L1577" s="9">
        <f>STATS1003B!L1666/1000</f>
        <v>0</v>
      </c>
      <c r="M1577" s="9">
        <f>STATS1003B!M1666/1000</f>
        <v>11818.84108</v>
      </c>
      <c r="N1577" s="9">
        <f>STATS1003B!N1666/1000</f>
        <v>0</v>
      </c>
      <c r="O1577" s="9">
        <f>STATS1003B!O1666/1000</f>
        <v>0</v>
      </c>
      <c r="P1577" s="9">
        <f>STATS1003B!P1666/1000</f>
        <v>0</v>
      </c>
      <c r="Q1577" s="9">
        <f>STATS1003B!Q1666/1000</f>
        <v>0</v>
      </c>
      <c r="R1577" s="9">
        <f>STATS1003B!R1666/1000</f>
        <v>0</v>
      </c>
      <c r="S1577" s="9">
        <f>STATS1003B!S1666/1000</f>
        <v>0</v>
      </c>
      <c r="T1577" s="9">
        <f>STATS1003B!T1666/1000</f>
        <v>0</v>
      </c>
      <c r="U1577" s="9">
        <f>STATS1003B!U1666/1000</f>
        <v>0</v>
      </c>
      <c r="V1577" s="9">
        <f>STATS1003B!V1666/1000</f>
        <v>11818.84108</v>
      </c>
      <c r="W1577" s="9">
        <f>STATS1003B!W1666/1000</f>
        <v>0</v>
      </c>
      <c r="X1577" s="9">
        <f>STATS1003B!X1666/1000</f>
        <v>11818.84108</v>
      </c>
      <c r="Y1577" s="9">
        <f>STATS1003B!Y1666/1000</f>
        <v>0</v>
      </c>
      <c r="Z1577" s="9">
        <f>STATS1003B!Z1666/1000</f>
        <v>0</v>
      </c>
      <c r="AA1577" s="9">
        <f>STATS1003B!AA1666/1000</f>
        <v>11818.84108</v>
      </c>
      <c r="AB1577" s="9">
        <f>STATS1003B!AB1666/1000</f>
        <v>0</v>
      </c>
    </row>
    <row r="1578" spans="1:28" x14ac:dyDescent="0.35">
      <c r="A1578" s="36"/>
      <c r="B1578" s="8"/>
      <c r="C1578" s="7" t="s">
        <v>336</v>
      </c>
      <c r="D1578" s="15" t="s">
        <v>108</v>
      </c>
      <c r="E1578" s="9">
        <f>STATS1003B!E1667/1000</f>
        <v>500</v>
      </c>
      <c r="F1578" s="9">
        <f>STATS1003B!F1667/1000</f>
        <v>500</v>
      </c>
      <c r="G1578" s="9">
        <f>STATS1003B!G1667/1000</f>
        <v>0</v>
      </c>
      <c r="H1578" s="9">
        <f>STATS1003B!H1667/1000</f>
        <v>500</v>
      </c>
      <c r="I1578" s="9">
        <f>STATS1003B!I1667/1000</f>
        <v>0</v>
      </c>
      <c r="J1578" s="9">
        <f>STATS1003B!J1667/1000</f>
        <v>0</v>
      </c>
      <c r="K1578" s="9">
        <f>STATS1003B!K1667/1000</f>
        <v>0</v>
      </c>
      <c r="L1578" s="9">
        <f>STATS1003B!L1667/1000</f>
        <v>0</v>
      </c>
      <c r="M1578" s="9">
        <f>STATS1003B!M1667/1000</f>
        <v>500</v>
      </c>
      <c r="N1578" s="9">
        <f>STATS1003B!N1667/1000</f>
        <v>0</v>
      </c>
      <c r="O1578" s="9">
        <f>STATS1003B!O1667/1000</f>
        <v>0</v>
      </c>
      <c r="P1578" s="9">
        <f>STATS1003B!P1667/1000</f>
        <v>0</v>
      </c>
      <c r="Q1578" s="9">
        <f>STATS1003B!Q1667/1000</f>
        <v>0</v>
      </c>
      <c r="R1578" s="9">
        <f>STATS1003B!R1667/1000</f>
        <v>0</v>
      </c>
      <c r="S1578" s="9">
        <f>STATS1003B!S1667/1000</f>
        <v>0</v>
      </c>
      <c r="T1578" s="9">
        <f>STATS1003B!T1667/1000</f>
        <v>0</v>
      </c>
      <c r="U1578" s="9">
        <f>STATS1003B!U1667/1000</f>
        <v>0</v>
      </c>
      <c r="V1578" s="9">
        <f>STATS1003B!V1667/1000</f>
        <v>500</v>
      </c>
      <c r="W1578" s="9">
        <f>STATS1003B!W1667/1000</f>
        <v>0</v>
      </c>
      <c r="X1578" s="9">
        <f>STATS1003B!X1667/1000</f>
        <v>500</v>
      </c>
      <c r="Y1578" s="9">
        <f>STATS1003B!Y1667/1000</f>
        <v>0</v>
      </c>
      <c r="Z1578" s="9">
        <f>STATS1003B!Z1667/1000</f>
        <v>0</v>
      </c>
      <c r="AA1578" s="9">
        <f>STATS1003B!AA1667/1000</f>
        <v>500</v>
      </c>
      <c r="AB1578" s="9">
        <f>STATS1003B!AB1667/1000</f>
        <v>0</v>
      </c>
    </row>
    <row r="1579" spans="1:28" x14ac:dyDescent="0.35">
      <c r="A1579" s="36"/>
      <c r="B1579" s="8"/>
      <c r="C1579" s="7" t="s">
        <v>337</v>
      </c>
      <c r="D1579" s="15" t="s">
        <v>108</v>
      </c>
      <c r="E1579" s="9">
        <f>STATS1003B!E1668/1000</f>
        <v>277.26150000000001</v>
      </c>
      <c r="F1579" s="9">
        <f>STATS1003B!F1668/1000</f>
        <v>277.26150000000001</v>
      </c>
      <c r="G1579" s="9">
        <f>STATS1003B!G1668/1000</f>
        <v>0</v>
      </c>
      <c r="H1579" s="9">
        <f>STATS1003B!H1668/1000</f>
        <v>277.26150000000001</v>
      </c>
      <c r="I1579" s="9">
        <f>STATS1003B!I1668/1000</f>
        <v>0</v>
      </c>
      <c r="J1579" s="9">
        <f>STATS1003B!J1668/1000</f>
        <v>0</v>
      </c>
      <c r="K1579" s="9">
        <f>STATS1003B!K1668/1000</f>
        <v>0</v>
      </c>
      <c r="L1579" s="9">
        <f>STATS1003B!L1668/1000</f>
        <v>0</v>
      </c>
      <c r="M1579" s="9">
        <f>STATS1003B!M1668/1000</f>
        <v>277.26150000000001</v>
      </c>
      <c r="N1579" s="9">
        <f>STATS1003B!N1668/1000</f>
        <v>0</v>
      </c>
      <c r="O1579" s="9">
        <f>STATS1003B!O1668/1000</f>
        <v>0</v>
      </c>
      <c r="P1579" s="9">
        <f>STATS1003B!P1668/1000</f>
        <v>0</v>
      </c>
      <c r="Q1579" s="9">
        <f>STATS1003B!Q1668/1000</f>
        <v>0</v>
      </c>
      <c r="R1579" s="9">
        <f>STATS1003B!R1668/1000</f>
        <v>0</v>
      </c>
      <c r="S1579" s="9">
        <f>STATS1003B!S1668/1000</f>
        <v>0</v>
      </c>
      <c r="T1579" s="9">
        <f>STATS1003B!T1668/1000</f>
        <v>0</v>
      </c>
      <c r="U1579" s="9">
        <f>STATS1003B!U1668/1000</f>
        <v>0</v>
      </c>
      <c r="V1579" s="9">
        <f>STATS1003B!V1668/1000</f>
        <v>277.26150000000001</v>
      </c>
      <c r="W1579" s="9">
        <f>STATS1003B!W1668/1000</f>
        <v>0</v>
      </c>
      <c r="X1579" s="9">
        <f>STATS1003B!X1668/1000</f>
        <v>277.26150000000001</v>
      </c>
      <c r="Y1579" s="9">
        <f>STATS1003B!Y1668/1000</f>
        <v>0</v>
      </c>
      <c r="Z1579" s="9">
        <f>STATS1003B!Z1668/1000</f>
        <v>0</v>
      </c>
      <c r="AA1579" s="9">
        <f>STATS1003B!AA1668/1000</f>
        <v>277.26150000000001</v>
      </c>
      <c r="AB1579" s="9">
        <f>STATS1003B!AB1668/1000</f>
        <v>0</v>
      </c>
    </row>
    <row r="1580" spans="1:28" x14ac:dyDescent="0.35">
      <c r="A1580" s="36"/>
      <c r="B1580" s="8"/>
      <c r="C1580" s="7" t="s">
        <v>57</v>
      </c>
      <c r="D1580" s="15" t="s">
        <v>58</v>
      </c>
      <c r="E1580" s="9">
        <f>STATS1003B!E1669/1000</f>
        <v>8498.1550000000007</v>
      </c>
      <c r="F1580" s="9">
        <f>STATS1003B!F1669/1000</f>
        <v>8498.1550000000007</v>
      </c>
      <c r="G1580" s="9">
        <f>STATS1003B!G1669/1000</f>
        <v>0</v>
      </c>
      <c r="H1580" s="9">
        <f>STATS1003B!H1669/1000</f>
        <v>8498.1550000000007</v>
      </c>
      <c r="I1580" s="9">
        <f>STATS1003B!I1669/1000</f>
        <v>0</v>
      </c>
      <c r="J1580" s="9">
        <f>STATS1003B!J1669/1000</f>
        <v>0</v>
      </c>
      <c r="K1580" s="9">
        <f>STATS1003B!K1669/1000</f>
        <v>0</v>
      </c>
      <c r="L1580" s="9">
        <f>STATS1003B!L1669/1000</f>
        <v>0</v>
      </c>
      <c r="M1580" s="9">
        <f>STATS1003B!M1669/1000</f>
        <v>8498.1550000000007</v>
      </c>
      <c r="N1580" s="9">
        <f>STATS1003B!N1669/1000</f>
        <v>0</v>
      </c>
      <c r="O1580" s="9">
        <f>STATS1003B!O1669/1000</f>
        <v>0</v>
      </c>
      <c r="P1580" s="9">
        <f>STATS1003B!P1669/1000</f>
        <v>0</v>
      </c>
      <c r="Q1580" s="9">
        <f>STATS1003B!Q1669/1000</f>
        <v>0</v>
      </c>
      <c r="R1580" s="9">
        <f>STATS1003B!R1669/1000</f>
        <v>0</v>
      </c>
      <c r="S1580" s="9">
        <f>STATS1003B!S1669/1000</f>
        <v>0</v>
      </c>
      <c r="T1580" s="9">
        <f>STATS1003B!T1669/1000</f>
        <v>0</v>
      </c>
      <c r="U1580" s="9">
        <f>STATS1003B!U1669/1000</f>
        <v>0</v>
      </c>
      <c r="V1580" s="9">
        <f>STATS1003B!V1669/1000</f>
        <v>8498.1550000000007</v>
      </c>
      <c r="W1580" s="9">
        <f>STATS1003B!W1669/1000</f>
        <v>0</v>
      </c>
      <c r="X1580" s="9">
        <f>STATS1003B!X1669/1000</f>
        <v>8498.1550000000007</v>
      </c>
      <c r="Y1580" s="9">
        <f>STATS1003B!Y1669/1000</f>
        <v>0</v>
      </c>
      <c r="Z1580" s="9">
        <f>STATS1003B!Z1669/1000</f>
        <v>0</v>
      </c>
      <c r="AA1580" s="9">
        <f>STATS1003B!AA1669/1000</f>
        <v>8498.1550000000007</v>
      </c>
      <c r="AB1580" s="9">
        <f>STATS1003B!AB1669/1000</f>
        <v>0</v>
      </c>
    </row>
    <row r="1581" spans="1:28" x14ac:dyDescent="0.35">
      <c r="A1581" s="36"/>
      <c r="B1581" s="8"/>
      <c r="C1581" s="7" t="s">
        <v>57</v>
      </c>
      <c r="D1581" s="15" t="s">
        <v>60</v>
      </c>
      <c r="E1581" s="9">
        <f>STATS1003B!E1670/1000</f>
        <v>5563.875</v>
      </c>
      <c r="F1581" s="9">
        <f>STATS1003B!F1670/1000</f>
        <v>5563.875</v>
      </c>
      <c r="G1581" s="9">
        <f>STATS1003B!G1670/1000</f>
        <v>0</v>
      </c>
      <c r="H1581" s="9">
        <f>STATS1003B!H1670/1000</f>
        <v>5563.875</v>
      </c>
      <c r="I1581" s="9">
        <f>STATS1003B!I1670/1000</f>
        <v>0</v>
      </c>
      <c r="J1581" s="9">
        <f>STATS1003B!J1670/1000</f>
        <v>0</v>
      </c>
      <c r="K1581" s="9">
        <f>STATS1003B!K1670/1000</f>
        <v>0</v>
      </c>
      <c r="L1581" s="9">
        <f>STATS1003B!L1670/1000</f>
        <v>0</v>
      </c>
      <c r="M1581" s="9">
        <f>STATS1003B!M1670/1000</f>
        <v>5563.875</v>
      </c>
      <c r="N1581" s="9">
        <f>STATS1003B!N1670/1000</f>
        <v>0</v>
      </c>
      <c r="O1581" s="9">
        <f>STATS1003B!O1670/1000</f>
        <v>0</v>
      </c>
      <c r="P1581" s="9">
        <f>STATS1003B!P1670/1000</f>
        <v>0</v>
      </c>
      <c r="Q1581" s="9">
        <f>STATS1003B!Q1670/1000</f>
        <v>0</v>
      </c>
      <c r="R1581" s="9">
        <f>STATS1003B!R1670/1000</f>
        <v>0</v>
      </c>
      <c r="S1581" s="9">
        <f>STATS1003B!S1670/1000</f>
        <v>0</v>
      </c>
      <c r="T1581" s="9">
        <f>STATS1003B!T1670/1000</f>
        <v>0</v>
      </c>
      <c r="U1581" s="9">
        <f>STATS1003B!U1670/1000</f>
        <v>0</v>
      </c>
      <c r="V1581" s="9">
        <f>STATS1003B!V1670/1000</f>
        <v>5563.875</v>
      </c>
      <c r="W1581" s="9">
        <f>STATS1003B!W1670/1000</f>
        <v>0</v>
      </c>
      <c r="X1581" s="9">
        <f>STATS1003B!X1670/1000</f>
        <v>5563.875</v>
      </c>
      <c r="Y1581" s="9">
        <f>STATS1003B!Y1670/1000</f>
        <v>0</v>
      </c>
      <c r="Z1581" s="9">
        <f>STATS1003B!Z1670/1000</f>
        <v>0</v>
      </c>
      <c r="AA1581" s="9">
        <f>STATS1003B!AA1670/1000</f>
        <v>5563.875</v>
      </c>
      <c r="AB1581" s="9">
        <f>STATS1003B!AB1670/1000</f>
        <v>0</v>
      </c>
    </row>
    <row r="1582" spans="1:28" x14ac:dyDescent="0.35">
      <c r="A1582" s="36"/>
      <c r="B1582" s="8"/>
      <c r="C1582" s="14" t="s">
        <v>109</v>
      </c>
      <c r="D1582" s="21" t="s">
        <v>60</v>
      </c>
      <c r="E1582" s="9">
        <f>STATS1003B!E1671/1000</f>
        <v>4605.2440500000002</v>
      </c>
      <c r="F1582" s="9">
        <f>STATS1003B!F1671/1000</f>
        <v>4605.2440500000002</v>
      </c>
      <c r="G1582" s="9">
        <f>STATS1003B!G1671/1000</f>
        <v>0</v>
      </c>
      <c r="H1582" s="9">
        <f>STATS1003B!H1671/1000</f>
        <v>4605.2440500000002</v>
      </c>
      <c r="I1582" s="9">
        <f>STATS1003B!I1671/1000</f>
        <v>0</v>
      </c>
      <c r="J1582" s="9">
        <f>STATS1003B!J1671/1000</f>
        <v>0</v>
      </c>
      <c r="K1582" s="9">
        <f>STATS1003B!K1671/1000</f>
        <v>0</v>
      </c>
      <c r="L1582" s="9">
        <f>STATS1003B!L1671/1000</f>
        <v>0</v>
      </c>
      <c r="M1582" s="9">
        <f>STATS1003B!M1671/1000</f>
        <v>4605.2440500000002</v>
      </c>
      <c r="N1582" s="9">
        <f>STATS1003B!N1671/1000</f>
        <v>0</v>
      </c>
      <c r="O1582" s="9">
        <f>STATS1003B!O1671/1000</f>
        <v>0</v>
      </c>
      <c r="P1582" s="9">
        <f>STATS1003B!P1671/1000</f>
        <v>0</v>
      </c>
      <c r="Q1582" s="9">
        <f>STATS1003B!Q1671/1000</f>
        <v>0</v>
      </c>
      <c r="R1582" s="9">
        <f>STATS1003B!R1671/1000</f>
        <v>0</v>
      </c>
      <c r="S1582" s="9">
        <f>STATS1003B!S1671/1000</f>
        <v>0</v>
      </c>
      <c r="T1582" s="9">
        <f>STATS1003B!T1671/1000</f>
        <v>0</v>
      </c>
      <c r="U1582" s="9">
        <f>STATS1003B!U1671/1000</f>
        <v>0</v>
      </c>
      <c r="V1582" s="9">
        <f>STATS1003B!V1671/1000</f>
        <v>4605.2440500000002</v>
      </c>
      <c r="W1582" s="9">
        <f>STATS1003B!W1671/1000</f>
        <v>0</v>
      </c>
      <c r="X1582" s="9">
        <f>STATS1003B!X1671/1000</f>
        <v>4605.2440500000002</v>
      </c>
      <c r="Y1582" s="9">
        <f>STATS1003B!Y1671/1000</f>
        <v>0</v>
      </c>
      <c r="Z1582" s="9">
        <f>STATS1003B!Z1671/1000</f>
        <v>0</v>
      </c>
      <c r="AA1582" s="9">
        <f>STATS1003B!AA1671/1000</f>
        <v>4605.2440500000002</v>
      </c>
      <c r="AB1582" s="9">
        <f>STATS1003B!AB1671/1000</f>
        <v>0</v>
      </c>
    </row>
    <row r="1583" spans="1:28" x14ac:dyDescent="0.35">
      <c r="A1583" s="36"/>
      <c r="B1583" s="8"/>
      <c r="C1583" s="7" t="s">
        <v>57</v>
      </c>
      <c r="D1583" s="15" t="s">
        <v>73</v>
      </c>
      <c r="E1583" s="9">
        <f>STATS1003B!E1672/1000</f>
        <v>3293.0340000000001</v>
      </c>
      <c r="F1583" s="9">
        <f>STATS1003B!F1672/1000</f>
        <v>3293.0340000000001</v>
      </c>
      <c r="G1583" s="9">
        <f>STATS1003B!G1672/1000</f>
        <v>0</v>
      </c>
      <c r="H1583" s="9">
        <f>STATS1003B!H1672/1000</f>
        <v>3293.0340000000001</v>
      </c>
      <c r="I1583" s="9">
        <f>STATS1003B!I1672/1000</f>
        <v>0</v>
      </c>
      <c r="J1583" s="9">
        <f>STATS1003B!J1672/1000</f>
        <v>0</v>
      </c>
      <c r="K1583" s="9">
        <f>STATS1003B!K1672/1000</f>
        <v>0</v>
      </c>
      <c r="L1583" s="9">
        <f>STATS1003B!L1672/1000</f>
        <v>0</v>
      </c>
      <c r="M1583" s="9">
        <f>STATS1003B!M1672/1000</f>
        <v>3293.0340000000001</v>
      </c>
      <c r="N1583" s="9">
        <f>STATS1003B!N1672/1000</f>
        <v>0</v>
      </c>
      <c r="O1583" s="9">
        <f>STATS1003B!O1672/1000</f>
        <v>0</v>
      </c>
      <c r="P1583" s="9">
        <f>STATS1003B!P1672/1000</f>
        <v>0</v>
      </c>
      <c r="Q1583" s="9">
        <f>STATS1003B!Q1672/1000</f>
        <v>0</v>
      </c>
      <c r="R1583" s="9">
        <f>STATS1003B!R1672/1000</f>
        <v>0</v>
      </c>
      <c r="S1583" s="9">
        <f>STATS1003B!S1672/1000</f>
        <v>0</v>
      </c>
      <c r="T1583" s="9">
        <f>STATS1003B!T1672/1000</f>
        <v>0</v>
      </c>
      <c r="U1583" s="9">
        <f>STATS1003B!U1672/1000</f>
        <v>0</v>
      </c>
      <c r="V1583" s="9">
        <f>STATS1003B!V1672/1000</f>
        <v>3293.0340000000001</v>
      </c>
      <c r="W1583" s="9">
        <f>STATS1003B!W1672/1000</f>
        <v>0</v>
      </c>
      <c r="X1583" s="9">
        <f>STATS1003B!X1672/1000</f>
        <v>3293.0340000000001</v>
      </c>
      <c r="Y1583" s="9">
        <f>STATS1003B!Y1672/1000</f>
        <v>0</v>
      </c>
      <c r="Z1583" s="9">
        <f>STATS1003B!Z1672/1000</f>
        <v>0</v>
      </c>
      <c r="AA1583" s="9">
        <f>STATS1003B!AA1672/1000</f>
        <v>3293.0340000000001</v>
      </c>
      <c r="AB1583" s="9">
        <f>STATS1003B!AB1672/1000</f>
        <v>0</v>
      </c>
    </row>
    <row r="1584" spans="1:28" x14ac:dyDescent="0.35">
      <c r="A1584" s="36"/>
      <c r="B1584" s="8"/>
      <c r="C1584" s="7" t="s">
        <v>57</v>
      </c>
      <c r="D1584" s="16" t="s">
        <v>61</v>
      </c>
      <c r="E1584" s="9">
        <f>STATS1003B!E1673/1000</f>
        <v>750</v>
      </c>
      <c r="F1584" s="9">
        <f>STATS1003B!F1673/1000</f>
        <v>750</v>
      </c>
      <c r="G1584" s="9">
        <f>STATS1003B!G1673/1000</f>
        <v>0</v>
      </c>
      <c r="H1584" s="9">
        <f>STATS1003B!H1673/1000</f>
        <v>750</v>
      </c>
      <c r="I1584" s="9">
        <f>STATS1003B!I1673/1000</f>
        <v>0</v>
      </c>
      <c r="J1584" s="9">
        <f>STATS1003B!J1673/1000</f>
        <v>0</v>
      </c>
      <c r="K1584" s="9">
        <f>STATS1003B!K1673/1000</f>
        <v>0</v>
      </c>
      <c r="L1584" s="9">
        <f>STATS1003B!L1673/1000</f>
        <v>0</v>
      </c>
      <c r="M1584" s="9">
        <f>STATS1003B!M1673/1000</f>
        <v>750</v>
      </c>
      <c r="N1584" s="9">
        <f>STATS1003B!N1673/1000</f>
        <v>0</v>
      </c>
      <c r="O1584" s="9">
        <f>STATS1003B!O1673/1000</f>
        <v>0</v>
      </c>
      <c r="P1584" s="9">
        <f>STATS1003B!P1673/1000</f>
        <v>0</v>
      </c>
      <c r="Q1584" s="9">
        <f>STATS1003B!Q1673/1000</f>
        <v>0</v>
      </c>
      <c r="R1584" s="9">
        <f>STATS1003B!R1673/1000</f>
        <v>0</v>
      </c>
      <c r="S1584" s="9">
        <f>STATS1003B!S1673/1000</f>
        <v>0</v>
      </c>
      <c r="T1584" s="9">
        <f>STATS1003B!T1673/1000</f>
        <v>0</v>
      </c>
      <c r="U1584" s="9">
        <f>STATS1003B!U1673/1000</f>
        <v>0</v>
      </c>
      <c r="V1584" s="9">
        <f>STATS1003B!V1673/1000</f>
        <v>750</v>
      </c>
      <c r="W1584" s="9">
        <f>STATS1003B!W1673/1000</f>
        <v>0</v>
      </c>
      <c r="X1584" s="9">
        <f>STATS1003B!X1673/1000</f>
        <v>750</v>
      </c>
      <c r="Y1584" s="9">
        <f>STATS1003B!Y1673/1000</f>
        <v>0</v>
      </c>
      <c r="Z1584" s="9">
        <f>STATS1003B!Z1673/1000</f>
        <v>0</v>
      </c>
      <c r="AA1584" s="9">
        <f>STATS1003B!AA1673/1000</f>
        <v>750</v>
      </c>
      <c r="AB1584" s="9">
        <f>STATS1003B!AB1673/1000</f>
        <v>0</v>
      </c>
    </row>
    <row r="1585" spans="1:28" x14ac:dyDescent="0.35">
      <c r="A1585" s="36"/>
      <c r="B1585" s="8"/>
      <c r="C1585" s="7" t="s">
        <v>930</v>
      </c>
      <c r="D1585" s="16" t="s">
        <v>1072</v>
      </c>
      <c r="E1585" s="9">
        <f>STATS1003B!E1675/1000</f>
        <v>4444.9385400000001</v>
      </c>
      <c r="F1585" s="9">
        <f>STATS1003B!F1675/1000</f>
        <v>4444.9385380000003</v>
      </c>
      <c r="G1585" s="9">
        <f>STATS1003B!G1675/1000</f>
        <v>0</v>
      </c>
      <c r="H1585" s="9">
        <f>STATS1003B!H1675/1000</f>
        <v>4444.9385380000003</v>
      </c>
      <c r="I1585" s="9">
        <f>STATS1003B!I1675/1000</f>
        <v>0</v>
      </c>
      <c r="J1585" s="9">
        <f>STATS1003B!J1675/1000</f>
        <v>0</v>
      </c>
      <c r="K1585" s="9">
        <f>STATS1003B!K1675/1000</f>
        <v>0</v>
      </c>
      <c r="L1585" s="9">
        <f>STATS1003B!L1675/1000</f>
        <v>0</v>
      </c>
      <c r="M1585" s="9">
        <f>STATS1003B!M1675/1000</f>
        <v>4444.9385380000003</v>
      </c>
      <c r="N1585" s="9">
        <f>STATS1003B!N1675/1000</f>
        <v>0</v>
      </c>
      <c r="O1585" s="9">
        <f>STATS1003B!O1675/1000</f>
        <v>0</v>
      </c>
      <c r="P1585" s="9">
        <f>STATS1003B!P1675/1000</f>
        <v>0</v>
      </c>
      <c r="Q1585" s="9">
        <f>STATS1003B!Q1675/1000</f>
        <v>0</v>
      </c>
      <c r="R1585" s="9">
        <f>STATS1003B!R1675/1000</f>
        <v>0</v>
      </c>
      <c r="S1585" s="9">
        <f>STATS1003B!S1675/1000</f>
        <v>0</v>
      </c>
      <c r="T1585" s="9">
        <f>STATS1003B!T1675/1000</f>
        <v>0</v>
      </c>
      <c r="U1585" s="9">
        <f>STATS1003B!U1675/1000</f>
        <v>0</v>
      </c>
      <c r="V1585" s="9">
        <f>STATS1003B!V1675/1000</f>
        <v>4444.9385380000003</v>
      </c>
      <c r="W1585" s="9">
        <f>STATS1003B!W1675/1000</f>
        <v>1.9999993965029718E-6</v>
      </c>
      <c r="X1585" s="9">
        <f>STATS1003B!X1675/1000</f>
        <v>4444.9385380000003</v>
      </c>
      <c r="Y1585" s="9">
        <f>STATS1003B!Y1675/1000</f>
        <v>0</v>
      </c>
      <c r="Z1585" s="9">
        <f>STATS1003B!Z1675/1000</f>
        <v>1.9999993965029718E-6</v>
      </c>
      <c r="AA1585" s="9">
        <f>STATS1003B!AA1675/1000</f>
        <v>4444.9385380000003</v>
      </c>
      <c r="AB1585" s="9">
        <f>STATS1003B!AB1675/1000</f>
        <v>1.9999993965029718E-6</v>
      </c>
    </row>
    <row r="1586" spans="1:28" x14ac:dyDescent="0.35">
      <c r="A1586" s="36"/>
      <c r="B1586" s="8"/>
      <c r="C1586" s="7" t="s">
        <v>338</v>
      </c>
      <c r="D1586" s="16" t="s">
        <v>61</v>
      </c>
      <c r="E1586" s="9">
        <f>STATS1003B!E1678/1000</f>
        <v>500</v>
      </c>
      <c r="F1586" s="9">
        <f>STATS1003B!F1678/1000</f>
        <v>500</v>
      </c>
      <c r="G1586" s="9">
        <f>STATS1003B!G1678/1000</f>
        <v>0</v>
      </c>
      <c r="H1586" s="9">
        <f>STATS1003B!H1678/1000</f>
        <v>500</v>
      </c>
      <c r="I1586" s="9">
        <f>STATS1003B!I1678/1000</f>
        <v>500</v>
      </c>
      <c r="J1586" s="9">
        <f>STATS1003B!J1678/1000</f>
        <v>500</v>
      </c>
      <c r="K1586" s="9">
        <f>STATS1003B!K1678/1000</f>
        <v>0</v>
      </c>
      <c r="L1586" s="9">
        <f>STATS1003B!L1678/1000</f>
        <v>0</v>
      </c>
      <c r="M1586" s="9">
        <f>STATS1003B!M1678/1000</f>
        <v>500</v>
      </c>
      <c r="N1586" s="9">
        <f>STATS1003B!N1678/1000</f>
        <v>0</v>
      </c>
      <c r="O1586" s="9">
        <f>STATS1003B!O1678/1000</f>
        <v>0</v>
      </c>
      <c r="P1586" s="9">
        <f>STATS1003B!P1678/1000</f>
        <v>0</v>
      </c>
      <c r="Q1586" s="9">
        <f>STATS1003B!Q1678/1000</f>
        <v>0</v>
      </c>
      <c r="R1586" s="9">
        <f>STATS1003B!R1678/1000</f>
        <v>0</v>
      </c>
      <c r="S1586" s="9">
        <f>STATS1003B!S1678/1000</f>
        <v>0</v>
      </c>
      <c r="T1586" s="9">
        <f>STATS1003B!T1678/1000</f>
        <v>0</v>
      </c>
      <c r="U1586" s="9">
        <f>STATS1003B!U1678/1000</f>
        <v>0</v>
      </c>
      <c r="V1586" s="9">
        <f>STATS1003B!V1678/1000</f>
        <v>500</v>
      </c>
      <c r="W1586" s="9">
        <f>STATS1003B!W1678/1000</f>
        <v>0</v>
      </c>
      <c r="X1586" s="9">
        <f>STATS1003B!X1678/1000</f>
        <v>500</v>
      </c>
      <c r="Y1586" s="9">
        <f>STATS1003B!Y1678/1000</f>
        <v>0</v>
      </c>
      <c r="Z1586" s="9">
        <f>STATS1003B!Z1678/1000</f>
        <v>0</v>
      </c>
      <c r="AA1586" s="9">
        <f>STATS1003B!AA1678/1000</f>
        <v>500</v>
      </c>
      <c r="AB1586" s="9">
        <f>STATS1003B!AB1678/1000</f>
        <v>0</v>
      </c>
    </row>
    <row r="1587" spans="1:28" x14ac:dyDescent="0.35">
      <c r="A1587" s="36"/>
      <c r="B1587" s="8"/>
      <c r="C1587" s="7" t="s">
        <v>507</v>
      </c>
      <c r="D1587" s="16"/>
      <c r="E1587" s="9">
        <f>STATS1003B!E1679/1000</f>
        <v>2626.0839900000001</v>
      </c>
      <c r="F1587" s="9">
        <f>STATS1003B!F1679/1000</f>
        <v>2626.0839900000001</v>
      </c>
      <c r="G1587" s="9">
        <f>STATS1003B!G1679/1000</f>
        <v>0</v>
      </c>
      <c r="H1587" s="9">
        <f>STATS1003B!H1679/1000</f>
        <v>2626.0839900000001</v>
      </c>
      <c r="I1587" s="9">
        <f>STATS1003B!I1679/1000</f>
        <v>500</v>
      </c>
      <c r="J1587" s="9">
        <f>STATS1003B!J1679/1000</f>
        <v>500</v>
      </c>
      <c r="K1587" s="9">
        <f>STATS1003B!K1679/1000</f>
        <v>0</v>
      </c>
      <c r="L1587" s="9">
        <f>STATS1003B!L1679/1000</f>
        <v>0</v>
      </c>
      <c r="M1587" s="9">
        <f>STATS1003B!M1679/1000</f>
        <v>2626.0839900000001</v>
      </c>
      <c r="N1587" s="9">
        <f>STATS1003B!N1679/1000</f>
        <v>0</v>
      </c>
      <c r="O1587" s="9">
        <f>STATS1003B!O1679/1000</f>
        <v>0</v>
      </c>
      <c r="P1587" s="9">
        <f>STATS1003B!P1679/1000</f>
        <v>0</v>
      </c>
      <c r="Q1587" s="9">
        <f>STATS1003B!Q1679/1000</f>
        <v>0</v>
      </c>
      <c r="R1587" s="9">
        <f>STATS1003B!R1679/1000</f>
        <v>0</v>
      </c>
      <c r="S1587" s="9">
        <f>STATS1003B!S1679/1000</f>
        <v>0</v>
      </c>
      <c r="T1587" s="9">
        <f>STATS1003B!T1679/1000</f>
        <v>0</v>
      </c>
      <c r="U1587" s="9">
        <f>STATS1003B!U1679/1000</f>
        <v>0</v>
      </c>
      <c r="V1587" s="9">
        <f>STATS1003B!V1679/1000</f>
        <v>2626.0839900000001</v>
      </c>
      <c r="W1587" s="9">
        <f>STATS1003B!W1679/1000</f>
        <v>0</v>
      </c>
      <c r="X1587" s="9">
        <f>STATS1003B!X1679/1000</f>
        <v>2626.0839900000001</v>
      </c>
      <c r="Y1587" s="9">
        <f>STATS1003B!Y1679/1000</f>
        <v>0</v>
      </c>
      <c r="Z1587" s="9">
        <f>STATS1003B!Z1679/1000</f>
        <v>0</v>
      </c>
      <c r="AA1587" s="9">
        <f>STATS1003B!AA1679/1000</f>
        <v>2626.0839900000001</v>
      </c>
      <c r="AB1587" s="9">
        <f>STATS1003B!AB1679/1000</f>
        <v>0</v>
      </c>
    </row>
    <row r="1588" spans="1:28" x14ac:dyDescent="0.35">
      <c r="A1588" s="36"/>
      <c r="B1588" s="8"/>
      <c r="C1588" s="8"/>
      <c r="D1588" s="8"/>
      <c r="E1588" s="17" t="s">
        <v>29</v>
      </c>
      <c r="F1588" s="17" t="s">
        <v>29</v>
      </c>
      <c r="G1588" s="17" t="s">
        <v>29</v>
      </c>
      <c r="H1588" s="17" t="s">
        <v>29</v>
      </c>
      <c r="I1588" s="17" t="s">
        <v>29</v>
      </c>
      <c r="J1588" s="17" t="s">
        <v>29</v>
      </c>
      <c r="K1588" s="17" t="s">
        <v>29</v>
      </c>
      <c r="L1588" s="17" t="s">
        <v>29</v>
      </c>
      <c r="M1588" s="17" t="s">
        <v>29</v>
      </c>
      <c r="N1588" s="17" t="s">
        <v>29</v>
      </c>
      <c r="O1588" s="17" t="s">
        <v>29</v>
      </c>
      <c r="P1588" s="17" t="s">
        <v>29</v>
      </c>
      <c r="Q1588" s="17" t="s">
        <v>29</v>
      </c>
      <c r="R1588" s="17" t="s">
        <v>29</v>
      </c>
      <c r="S1588" s="17" t="s">
        <v>29</v>
      </c>
      <c r="T1588" s="17" t="s">
        <v>29</v>
      </c>
      <c r="U1588" s="17" t="s">
        <v>29</v>
      </c>
      <c r="V1588" s="17" t="s">
        <v>29</v>
      </c>
      <c r="W1588" s="17" t="s">
        <v>29</v>
      </c>
      <c r="X1588" s="17" t="s">
        <v>29</v>
      </c>
      <c r="Y1588" s="17" t="s">
        <v>29</v>
      </c>
      <c r="Z1588" s="17" t="s">
        <v>29</v>
      </c>
      <c r="AA1588" s="17" t="s">
        <v>29</v>
      </c>
      <c r="AB1588" s="17" t="s">
        <v>29</v>
      </c>
    </row>
    <row r="1589" spans="1:28" x14ac:dyDescent="0.35">
      <c r="A1589" s="36"/>
      <c r="B1589" s="8"/>
      <c r="C1589" s="8"/>
      <c r="D1589" s="8"/>
      <c r="E1589" s="9">
        <f>SUM(E1576:E1587)</f>
        <v>44645.203160000005</v>
      </c>
      <c r="F1589" s="9">
        <f t="shared" ref="F1589:AB1589" si="112">SUM(F1576:F1587)</f>
        <v>42877.433158000007</v>
      </c>
      <c r="G1589" s="9">
        <f t="shared" si="112"/>
        <v>0</v>
      </c>
      <c r="H1589" s="9">
        <f t="shared" si="112"/>
        <v>42877.433158000007</v>
      </c>
      <c r="I1589" s="9">
        <f t="shared" si="112"/>
        <v>1000</v>
      </c>
      <c r="J1589" s="9">
        <f t="shared" si="112"/>
        <v>1000</v>
      </c>
      <c r="K1589" s="9">
        <f t="shared" si="112"/>
        <v>0</v>
      </c>
      <c r="L1589" s="9">
        <f t="shared" si="112"/>
        <v>0</v>
      </c>
      <c r="M1589" s="9">
        <f t="shared" si="112"/>
        <v>42877.433158000007</v>
      </c>
      <c r="N1589" s="9">
        <f t="shared" si="112"/>
        <v>1767.77</v>
      </c>
      <c r="O1589" s="9">
        <f t="shared" si="112"/>
        <v>0</v>
      </c>
      <c r="P1589" s="9">
        <f t="shared" si="112"/>
        <v>1767.77</v>
      </c>
      <c r="Q1589" s="9">
        <f t="shared" si="112"/>
        <v>0</v>
      </c>
      <c r="R1589" s="9">
        <f t="shared" si="112"/>
        <v>0</v>
      </c>
      <c r="S1589" s="9">
        <f t="shared" si="112"/>
        <v>0</v>
      </c>
      <c r="T1589" s="9">
        <f t="shared" si="112"/>
        <v>0</v>
      </c>
      <c r="U1589" s="9">
        <f t="shared" si="112"/>
        <v>1767.77</v>
      </c>
      <c r="V1589" s="9">
        <f t="shared" si="112"/>
        <v>44645.203158000004</v>
      </c>
      <c r="W1589" s="9">
        <f t="shared" si="112"/>
        <v>1.9999993965029718E-6</v>
      </c>
      <c r="X1589" s="9">
        <f t="shared" si="112"/>
        <v>44645.203158000004</v>
      </c>
      <c r="Y1589" s="9">
        <f t="shared" si="112"/>
        <v>0</v>
      </c>
      <c r="Z1589" s="9">
        <f t="shared" si="112"/>
        <v>1.9999993965029718E-6</v>
      </c>
      <c r="AA1589" s="9">
        <f t="shared" si="112"/>
        <v>44645.203158000004</v>
      </c>
      <c r="AB1589" s="9">
        <f t="shared" si="112"/>
        <v>1.9999993965029718E-6</v>
      </c>
    </row>
    <row r="1590" spans="1:28" x14ac:dyDescent="0.35">
      <c r="A1590" s="36"/>
      <c r="B1590" s="8"/>
      <c r="C1590" s="8"/>
      <c r="D1590" s="8"/>
      <c r="E1590" s="17" t="s">
        <v>29</v>
      </c>
      <c r="F1590" s="17" t="s">
        <v>29</v>
      </c>
      <c r="G1590" s="17" t="s">
        <v>29</v>
      </c>
      <c r="H1590" s="17" t="s">
        <v>29</v>
      </c>
      <c r="I1590" s="17" t="s">
        <v>29</v>
      </c>
      <c r="J1590" s="17" t="s">
        <v>29</v>
      </c>
      <c r="K1590" s="17" t="s">
        <v>29</v>
      </c>
      <c r="L1590" s="17" t="s">
        <v>29</v>
      </c>
      <c r="M1590" s="17" t="s">
        <v>29</v>
      </c>
      <c r="N1590" s="17" t="s">
        <v>29</v>
      </c>
      <c r="O1590" s="17" t="s">
        <v>29</v>
      </c>
      <c r="P1590" s="17" t="s">
        <v>29</v>
      </c>
      <c r="Q1590" s="17" t="s">
        <v>29</v>
      </c>
      <c r="R1590" s="17" t="s">
        <v>29</v>
      </c>
      <c r="S1590" s="17" t="s">
        <v>29</v>
      </c>
      <c r="T1590" s="17" t="s">
        <v>29</v>
      </c>
      <c r="U1590" s="17" t="s">
        <v>29</v>
      </c>
      <c r="V1590" s="17" t="s">
        <v>29</v>
      </c>
      <c r="W1590" s="17" t="s">
        <v>29</v>
      </c>
      <c r="X1590" s="17" t="s">
        <v>29</v>
      </c>
      <c r="Y1590" s="17" t="s">
        <v>29</v>
      </c>
      <c r="Z1590" s="17" t="s">
        <v>29</v>
      </c>
      <c r="AA1590" s="17" t="s">
        <v>29</v>
      </c>
      <c r="AB1590" s="17" t="s">
        <v>29</v>
      </c>
    </row>
    <row r="1591" spans="1:28" x14ac:dyDescent="0.35">
      <c r="A1591" s="38" t="s">
        <v>1008</v>
      </c>
      <c r="B1591" s="7" t="s">
        <v>339</v>
      </c>
      <c r="C1591" s="8"/>
      <c r="D1591" s="8"/>
      <c r="E1591" s="8"/>
      <c r="F1591" s="8"/>
      <c r="G1591" s="8"/>
      <c r="H1591" s="8"/>
      <c r="I1591" s="8"/>
      <c r="J1591" s="8"/>
      <c r="K1591" s="8"/>
      <c r="L1591" s="8"/>
      <c r="M1591" s="8"/>
      <c r="N1591" s="8"/>
      <c r="O1591" s="8"/>
      <c r="P1591" s="8"/>
      <c r="Q1591" s="8"/>
      <c r="R1591" s="8"/>
      <c r="S1591" s="8"/>
      <c r="T1591" s="8"/>
      <c r="U1591" s="8"/>
      <c r="V1591" s="8"/>
      <c r="W1591" s="8"/>
      <c r="X1591" s="8"/>
      <c r="Y1591" s="8"/>
      <c r="Z1591" s="8"/>
    </row>
    <row r="1592" spans="1:28" x14ac:dyDescent="0.35">
      <c r="A1592" s="36"/>
      <c r="B1592" s="8"/>
      <c r="C1592" s="7" t="s">
        <v>57</v>
      </c>
      <c r="D1592" s="15" t="s">
        <v>340</v>
      </c>
      <c r="E1592" s="9">
        <f>STATS1003B!E1684/1000</f>
        <v>10504.91784</v>
      </c>
      <c r="F1592" s="9">
        <f>STATS1003B!F1684/1000</f>
        <v>10500</v>
      </c>
      <c r="G1592" s="9">
        <f>STATS1003B!G1684/1000</f>
        <v>0</v>
      </c>
      <c r="H1592" s="9">
        <f>STATS1003B!H1684/1000</f>
        <v>10500</v>
      </c>
      <c r="I1592" s="9">
        <f>STATS1003B!I1684/1000</f>
        <v>0</v>
      </c>
      <c r="J1592" s="9">
        <f>STATS1003B!J1684/1000</f>
        <v>0</v>
      </c>
      <c r="K1592" s="9">
        <f>STATS1003B!K1684/1000</f>
        <v>0</v>
      </c>
      <c r="L1592" s="9">
        <f>STATS1003B!L1684/1000</f>
        <v>0</v>
      </c>
      <c r="M1592" s="9">
        <f>STATS1003B!M1684/1000</f>
        <v>10500</v>
      </c>
      <c r="N1592" s="9">
        <f>STATS1003B!N1684/1000</f>
        <v>4.91784</v>
      </c>
      <c r="O1592" s="9">
        <f>STATS1003B!O1684/1000</f>
        <v>0</v>
      </c>
      <c r="P1592" s="9">
        <f>STATS1003B!P1684/1000</f>
        <v>4.91784</v>
      </c>
      <c r="Q1592" s="9">
        <f>STATS1003B!Q1684/1000</f>
        <v>0</v>
      </c>
      <c r="R1592" s="9">
        <f>STATS1003B!R1684/1000</f>
        <v>0</v>
      </c>
      <c r="S1592" s="9">
        <f>STATS1003B!S1684/1000</f>
        <v>0</v>
      </c>
      <c r="T1592" s="9">
        <f>STATS1003B!T1684/1000</f>
        <v>0</v>
      </c>
      <c r="U1592" s="9">
        <f>STATS1003B!U1684/1000</f>
        <v>4.91784</v>
      </c>
      <c r="V1592" s="9">
        <f>STATS1003B!V1684/1000</f>
        <v>10504.91784</v>
      </c>
      <c r="W1592" s="9">
        <f>STATS1003B!W1684/1000</f>
        <v>0</v>
      </c>
      <c r="X1592" s="9">
        <f>STATS1003B!X1684/1000</f>
        <v>10504.91784</v>
      </c>
      <c r="Y1592" s="9">
        <f>STATS1003B!Y1684/1000</f>
        <v>0</v>
      </c>
      <c r="Z1592" s="9">
        <f>STATS1003B!Z1684/1000</f>
        <v>0</v>
      </c>
      <c r="AA1592" s="9">
        <f>STATS1003B!AA1684/1000</f>
        <v>10504.91784</v>
      </c>
      <c r="AB1592" s="9">
        <f>STATS1003B!AB1684/1000</f>
        <v>0</v>
      </c>
    </row>
    <row r="1593" spans="1:28" x14ac:dyDescent="0.35">
      <c r="A1593" s="36"/>
      <c r="B1593" s="8"/>
      <c r="C1593" s="7" t="s">
        <v>53</v>
      </c>
      <c r="D1593" s="15" t="s">
        <v>54</v>
      </c>
      <c r="E1593" s="9">
        <f>STATS1003B!E1685/1000</f>
        <v>1953.989</v>
      </c>
      <c r="F1593" s="9">
        <f>STATS1003B!F1685/1000</f>
        <v>0</v>
      </c>
      <c r="G1593" s="9">
        <f>STATS1003B!G1685/1000</f>
        <v>0</v>
      </c>
      <c r="H1593" s="9">
        <f>STATS1003B!H1685/1000</f>
        <v>0</v>
      </c>
      <c r="I1593" s="9">
        <f>STATS1003B!I1685/1000</f>
        <v>0</v>
      </c>
      <c r="J1593" s="9">
        <f>STATS1003B!J1685/1000</f>
        <v>0</v>
      </c>
      <c r="K1593" s="9">
        <f>STATS1003B!K1685/1000</f>
        <v>0</v>
      </c>
      <c r="L1593" s="9">
        <f>STATS1003B!L1685/1000</f>
        <v>0</v>
      </c>
      <c r="M1593" s="9">
        <f>STATS1003B!M1685/1000</f>
        <v>0</v>
      </c>
      <c r="N1593" s="9">
        <f>STATS1003B!N1685/1000</f>
        <v>1953.989</v>
      </c>
      <c r="O1593" s="9">
        <f>STATS1003B!O1685/1000</f>
        <v>0</v>
      </c>
      <c r="P1593" s="9">
        <f>STATS1003B!P1685/1000</f>
        <v>1953.989</v>
      </c>
      <c r="Q1593" s="9">
        <f>STATS1003B!Q1685/1000</f>
        <v>0</v>
      </c>
      <c r="R1593" s="9">
        <f>STATS1003B!R1685/1000</f>
        <v>0</v>
      </c>
      <c r="S1593" s="9">
        <f>STATS1003B!S1685/1000</f>
        <v>0</v>
      </c>
      <c r="T1593" s="9">
        <f>STATS1003B!T1685/1000</f>
        <v>0</v>
      </c>
      <c r="U1593" s="9">
        <f>STATS1003B!U1685/1000</f>
        <v>1953.989</v>
      </c>
      <c r="V1593" s="9">
        <f>STATS1003B!V1685/1000</f>
        <v>1953.989</v>
      </c>
      <c r="W1593" s="9">
        <f>STATS1003B!W1685/1000</f>
        <v>0</v>
      </c>
      <c r="X1593" s="9">
        <f>STATS1003B!X1685/1000</f>
        <v>1953.989</v>
      </c>
      <c r="Y1593" s="9">
        <f>STATS1003B!Y1685/1000</f>
        <v>0</v>
      </c>
      <c r="Z1593" s="9">
        <f>STATS1003B!Z1685/1000</f>
        <v>0</v>
      </c>
      <c r="AA1593" s="9">
        <f>STATS1003B!AA1685/1000</f>
        <v>1953.989</v>
      </c>
      <c r="AB1593" s="9">
        <f>STATS1003B!AB1685/1000</f>
        <v>0</v>
      </c>
    </row>
    <row r="1594" spans="1:28" x14ac:dyDescent="0.35">
      <c r="A1594" s="36"/>
      <c r="B1594" s="8"/>
      <c r="C1594" s="7" t="s">
        <v>330</v>
      </c>
      <c r="D1594" s="15" t="s">
        <v>54</v>
      </c>
      <c r="E1594" s="9">
        <f>STATS1003B!E1686/1000</f>
        <v>0</v>
      </c>
      <c r="F1594" s="9">
        <f>STATS1003B!F1686/1000</f>
        <v>0</v>
      </c>
      <c r="G1594" s="9">
        <f>STATS1003B!G1686/1000</f>
        <v>0</v>
      </c>
      <c r="H1594" s="9">
        <f>STATS1003B!H1686/1000</f>
        <v>0</v>
      </c>
      <c r="I1594" s="9">
        <f>STATS1003B!I1686/1000</f>
        <v>0</v>
      </c>
      <c r="J1594" s="9">
        <f>STATS1003B!J1686/1000</f>
        <v>0</v>
      </c>
      <c r="K1594" s="9">
        <f>STATS1003B!K1686/1000</f>
        <v>0</v>
      </c>
      <c r="L1594" s="9">
        <f>STATS1003B!L1686/1000</f>
        <v>0</v>
      </c>
      <c r="M1594" s="9">
        <f>STATS1003B!M1686/1000</f>
        <v>0</v>
      </c>
      <c r="N1594" s="9">
        <f>STATS1003B!N1686/1000</f>
        <v>0</v>
      </c>
      <c r="O1594" s="9">
        <f>STATS1003B!O1686/1000</f>
        <v>0</v>
      </c>
      <c r="P1594" s="9">
        <f>STATS1003B!P1686/1000</f>
        <v>0</v>
      </c>
      <c r="Q1594" s="9">
        <f>STATS1003B!Q1686/1000</f>
        <v>0</v>
      </c>
      <c r="R1594" s="9">
        <f>STATS1003B!R1686/1000</f>
        <v>0</v>
      </c>
      <c r="S1594" s="9">
        <f>STATS1003B!S1686/1000</f>
        <v>0</v>
      </c>
      <c r="T1594" s="9">
        <f>STATS1003B!T1686/1000</f>
        <v>0</v>
      </c>
      <c r="U1594" s="9">
        <f>STATS1003B!U1686/1000</f>
        <v>0</v>
      </c>
      <c r="V1594" s="9">
        <f>STATS1003B!V1686/1000</f>
        <v>0</v>
      </c>
      <c r="W1594" s="9">
        <f>STATS1003B!W1686/1000</f>
        <v>0</v>
      </c>
      <c r="X1594" s="9">
        <f>STATS1003B!X1686/1000</f>
        <v>0</v>
      </c>
      <c r="Y1594" s="9">
        <f>STATS1003B!Y1686/1000</f>
        <v>0</v>
      </c>
      <c r="Z1594" s="9">
        <f>STATS1003B!Z1686/1000</f>
        <v>0</v>
      </c>
      <c r="AA1594" s="9">
        <f>STATS1003B!AA1686/1000</f>
        <v>0</v>
      </c>
      <c r="AB1594" s="9">
        <f>STATS1003B!AB1686/1000</f>
        <v>0</v>
      </c>
    </row>
    <row r="1595" spans="1:28" x14ac:dyDescent="0.35">
      <c r="A1595" s="36" t="s">
        <v>1107</v>
      </c>
      <c r="B1595" s="8"/>
      <c r="C1595" s="7" t="s">
        <v>55</v>
      </c>
      <c r="D1595" s="15" t="s">
        <v>88</v>
      </c>
      <c r="E1595" s="9">
        <f>STATS1003B!E1687/1000</f>
        <v>688.14</v>
      </c>
      <c r="F1595" s="9">
        <f>STATS1003B!F1687/1000</f>
        <v>0</v>
      </c>
      <c r="G1595" s="9">
        <f>STATS1003B!G1687/1000</f>
        <v>0</v>
      </c>
      <c r="H1595" s="9">
        <f>STATS1003B!H1687/1000</f>
        <v>0</v>
      </c>
      <c r="I1595" s="9">
        <f>STATS1003B!I1687/1000</f>
        <v>0</v>
      </c>
      <c r="J1595" s="9">
        <f>STATS1003B!J1687/1000</f>
        <v>0</v>
      </c>
      <c r="K1595" s="9">
        <f>STATS1003B!K1687/1000</f>
        <v>0</v>
      </c>
      <c r="L1595" s="9">
        <f>STATS1003B!L1687/1000</f>
        <v>0</v>
      </c>
      <c r="M1595" s="9">
        <f>STATS1003B!M1687/1000</f>
        <v>0</v>
      </c>
      <c r="N1595" s="9">
        <f>STATS1003B!N1687/1000</f>
        <v>688.14</v>
      </c>
      <c r="O1595" s="9">
        <f>STATS1003B!O1687/1000</f>
        <v>0</v>
      </c>
      <c r="P1595" s="9">
        <f>STATS1003B!P1687/1000</f>
        <v>688.14</v>
      </c>
      <c r="Q1595" s="9">
        <f>STATS1003B!Q1687/1000</f>
        <v>0</v>
      </c>
      <c r="R1595" s="9">
        <f>STATS1003B!R1687/1000</f>
        <v>0</v>
      </c>
      <c r="S1595" s="9">
        <f>STATS1003B!S1687/1000</f>
        <v>0</v>
      </c>
      <c r="T1595" s="9">
        <f>STATS1003B!T1687/1000</f>
        <v>0</v>
      </c>
      <c r="U1595" s="9">
        <f>STATS1003B!U1687/1000</f>
        <v>688.14</v>
      </c>
      <c r="V1595" s="9">
        <f>STATS1003B!V1687/1000</f>
        <v>688.14</v>
      </c>
      <c r="W1595" s="9">
        <f>STATS1003B!W1687/1000</f>
        <v>0</v>
      </c>
      <c r="X1595" s="9">
        <f>STATS1003B!X1687/1000</f>
        <v>688.14</v>
      </c>
      <c r="Y1595" s="9">
        <f>STATS1003B!Y1687/1000</f>
        <v>0</v>
      </c>
      <c r="Z1595" s="9">
        <f>STATS1003B!Z1687/1000</f>
        <v>0</v>
      </c>
      <c r="AA1595" s="9">
        <f>STATS1003B!AA1687/1000</f>
        <v>688.14</v>
      </c>
      <c r="AB1595" s="9">
        <f>STATS1003B!AB1687/1000</f>
        <v>0</v>
      </c>
    </row>
    <row r="1596" spans="1:28" x14ac:dyDescent="0.35">
      <c r="A1596" s="36"/>
      <c r="B1596" s="8"/>
      <c r="C1596" s="7" t="s">
        <v>341</v>
      </c>
      <c r="D1596" s="15" t="s">
        <v>88</v>
      </c>
      <c r="E1596" s="9">
        <f>STATS1003B!E1688/1000</f>
        <v>4465.2441600000002</v>
      </c>
      <c r="F1596" s="9">
        <f>STATS1003B!F1688/1000</f>
        <v>4465.2441600000002</v>
      </c>
      <c r="G1596" s="9">
        <f>STATS1003B!G1688/1000</f>
        <v>0</v>
      </c>
      <c r="H1596" s="9">
        <f>STATS1003B!H1688/1000</f>
        <v>4465.2441600000002</v>
      </c>
      <c r="I1596" s="9">
        <f>STATS1003B!I1688/1000</f>
        <v>0</v>
      </c>
      <c r="J1596" s="9">
        <f>STATS1003B!J1688/1000</f>
        <v>0</v>
      </c>
      <c r="K1596" s="9">
        <f>STATS1003B!K1688/1000</f>
        <v>0</v>
      </c>
      <c r="L1596" s="9">
        <f>STATS1003B!L1688/1000</f>
        <v>0</v>
      </c>
      <c r="M1596" s="9">
        <f>STATS1003B!M1688/1000</f>
        <v>4465.2441600000002</v>
      </c>
      <c r="N1596" s="9">
        <f>STATS1003B!N1688/1000</f>
        <v>0</v>
      </c>
      <c r="O1596" s="9">
        <f>STATS1003B!O1688/1000</f>
        <v>0</v>
      </c>
      <c r="P1596" s="9">
        <f>STATS1003B!P1688/1000</f>
        <v>0</v>
      </c>
      <c r="Q1596" s="9">
        <f>STATS1003B!Q1688/1000</f>
        <v>0</v>
      </c>
      <c r="R1596" s="9">
        <f>STATS1003B!R1688/1000</f>
        <v>0</v>
      </c>
      <c r="S1596" s="9">
        <f>STATS1003B!S1688/1000</f>
        <v>0</v>
      </c>
      <c r="T1596" s="9">
        <f>STATS1003B!T1688/1000</f>
        <v>0</v>
      </c>
      <c r="U1596" s="9">
        <f>STATS1003B!U1688/1000</f>
        <v>0</v>
      </c>
      <c r="V1596" s="9">
        <f>STATS1003B!V1688/1000</f>
        <v>4465.2441600000002</v>
      </c>
      <c r="W1596" s="9">
        <f>STATS1003B!W1688/1000</f>
        <v>0</v>
      </c>
      <c r="X1596" s="9">
        <f>STATS1003B!X1688/1000</f>
        <v>4465.2441600000002</v>
      </c>
      <c r="Y1596" s="9">
        <f>STATS1003B!Y1688/1000</f>
        <v>0</v>
      </c>
      <c r="Z1596" s="9">
        <f>STATS1003B!Z1688/1000</f>
        <v>0</v>
      </c>
      <c r="AA1596" s="9">
        <f>STATS1003B!AA1688/1000</f>
        <v>4465.2441600000002</v>
      </c>
      <c r="AB1596" s="9">
        <f>STATS1003B!AB1688/1000</f>
        <v>0</v>
      </c>
    </row>
    <row r="1597" spans="1:28" x14ac:dyDescent="0.35">
      <c r="A1597" s="36"/>
      <c r="B1597" s="8"/>
      <c r="C1597" s="7" t="s">
        <v>57</v>
      </c>
      <c r="D1597" s="15" t="s">
        <v>58</v>
      </c>
      <c r="E1597" s="9">
        <f>STATS1003B!E1689/1000</f>
        <v>5372.4920599999996</v>
      </c>
      <c r="F1597" s="9">
        <f>STATS1003B!F1689/1000</f>
        <v>5372.4920599999996</v>
      </c>
      <c r="G1597" s="9">
        <f>STATS1003B!G1689/1000</f>
        <v>0</v>
      </c>
      <c r="H1597" s="9">
        <f>STATS1003B!H1689/1000</f>
        <v>5372.4920599999996</v>
      </c>
      <c r="I1597" s="9">
        <f>STATS1003B!I1689/1000</f>
        <v>0</v>
      </c>
      <c r="J1597" s="9">
        <f>STATS1003B!J1689/1000</f>
        <v>0</v>
      </c>
      <c r="K1597" s="9">
        <f>STATS1003B!K1689/1000</f>
        <v>0</v>
      </c>
      <c r="L1597" s="9">
        <f>STATS1003B!L1689/1000</f>
        <v>0</v>
      </c>
      <c r="M1597" s="9">
        <f>STATS1003B!M1689/1000</f>
        <v>5372.4920599999996</v>
      </c>
      <c r="N1597" s="9">
        <f>STATS1003B!N1689/1000</f>
        <v>0</v>
      </c>
      <c r="O1597" s="9">
        <f>STATS1003B!O1689/1000</f>
        <v>0</v>
      </c>
      <c r="P1597" s="9">
        <f>STATS1003B!P1689/1000</f>
        <v>0</v>
      </c>
      <c r="Q1597" s="9">
        <f>STATS1003B!Q1689/1000</f>
        <v>0</v>
      </c>
      <c r="R1597" s="9">
        <f>STATS1003B!R1689/1000</f>
        <v>0</v>
      </c>
      <c r="S1597" s="9">
        <f>STATS1003B!S1689/1000</f>
        <v>0</v>
      </c>
      <c r="T1597" s="9">
        <f>STATS1003B!T1689/1000</f>
        <v>0</v>
      </c>
      <c r="U1597" s="9">
        <f>STATS1003B!U1689/1000</f>
        <v>0</v>
      </c>
      <c r="V1597" s="9">
        <f>STATS1003B!V1689/1000</f>
        <v>5372.4920599999996</v>
      </c>
      <c r="W1597" s="9">
        <f>STATS1003B!W1689/1000</f>
        <v>0</v>
      </c>
      <c r="X1597" s="9">
        <f>STATS1003B!X1689/1000</f>
        <v>5372.4920599999996</v>
      </c>
      <c r="Y1597" s="9">
        <f>STATS1003B!Y1689/1000</f>
        <v>0</v>
      </c>
      <c r="Z1597" s="9">
        <f>STATS1003B!Z1689/1000</f>
        <v>0</v>
      </c>
      <c r="AA1597" s="9">
        <f>STATS1003B!AA1689/1000</f>
        <v>5372.4920599999996</v>
      </c>
      <c r="AB1597" s="9">
        <f>STATS1003B!AB1689/1000</f>
        <v>0</v>
      </c>
    </row>
    <row r="1598" spans="1:28" x14ac:dyDescent="0.35">
      <c r="A1598" s="36"/>
      <c r="B1598" s="8"/>
      <c r="C1598" s="7" t="s">
        <v>57</v>
      </c>
      <c r="D1598" s="15" t="s">
        <v>60</v>
      </c>
      <c r="E1598" s="9">
        <f>STATS1003B!E1690/1000</f>
        <v>4347.3649999999998</v>
      </c>
      <c r="F1598" s="9">
        <f>STATS1003B!F1690/1000</f>
        <v>4347.3649999999998</v>
      </c>
      <c r="G1598" s="9">
        <f>STATS1003B!G1690/1000</f>
        <v>0</v>
      </c>
      <c r="H1598" s="9">
        <f>STATS1003B!H1690/1000</f>
        <v>4347.3649999999998</v>
      </c>
      <c r="I1598" s="9">
        <f>STATS1003B!I1690/1000</f>
        <v>0</v>
      </c>
      <c r="J1598" s="9">
        <f>STATS1003B!J1690/1000</f>
        <v>0</v>
      </c>
      <c r="K1598" s="9">
        <f>STATS1003B!K1690/1000</f>
        <v>0</v>
      </c>
      <c r="L1598" s="9">
        <f>STATS1003B!L1690/1000</f>
        <v>0</v>
      </c>
      <c r="M1598" s="9">
        <f>STATS1003B!M1690/1000</f>
        <v>4347.3649999999998</v>
      </c>
      <c r="N1598" s="9">
        <f>STATS1003B!N1690/1000</f>
        <v>0</v>
      </c>
      <c r="O1598" s="9">
        <f>STATS1003B!O1690/1000</f>
        <v>0</v>
      </c>
      <c r="P1598" s="9">
        <f>STATS1003B!P1690/1000</f>
        <v>0</v>
      </c>
      <c r="Q1598" s="9">
        <f>STATS1003B!Q1690/1000</f>
        <v>0</v>
      </c>
      <c r="R1598" s="9">
        <f>STATS1003B!R1690/1000</f>
        <v>0</v>
      </c>
      <c r="S1598" s="9">
        <f>STATS1003B!S1690/1000</f>
        <v>0</v>
      </c>
      <c r="T1598" s="9">
        <f>STATS1003B!T1690/1000</f>
        <v>0</v>
      </c>
      <c r="U1598" s="9">
        <f>STATS1003B!U1690/1000</f>
        <v>0</v>
      </c>
      <c r="V1598" s="9">
        <f>STATS1003B!V1690/1000</f>
        <v>4347.3649999999998</v>
      </c>
      <c r="W1598" s="9">
        <f>STATS1003B!W1690/1000</f>
        <v>0</v>
      </c>
      <c r="X1598" s="9">
        <f>STATS1003B!X1690/1000</f>
        <v>4347.3649999999998</v>
      </c>
      <c r="Y1598" s="9">
        <f>STATS1003B!Y1690/1000</f>
        <v>0</v>
      </c>
      <c r="Z1598" s="9">
        <f>STATS1003B!Z1690/1000</f>
        <v>0</v>
      </c>
      <c r="AA1598" s="9">
        <f>STATS1003B!AA1690/1000</f>
        <v>4347.3649999999998</v>
      </c>
      <c r="AB1598" s="9">
        <f>STATS1003B!AB1690/1000</f>
        <v>0</v>
      </c>
    </row>
    <row r="1599" spans="1:28" x14ac:dyDescent="0.35">
      <c r="A1599" s="36"/>
      <c r="B1599" s="8"/>
      <c r="C1599" s="7" t="s">
        <v>57</v>
      </c>
      <c r="D1599" s="15" t="s">
        <v>73</v>
      </c>
      <c r="E1599" s="9">
        <f>STATS1003B!E1691/1000</f>
        <v>1141</v>
      </c>
      <c r="F1599" s="9">
        <f>STATS1003B!F1691/1000</f>
        <v>1141</v>
      </c>
      <c r="G1599" s="9">
        <f>STATS1003B!G1691/1000</f>
        <v>0</v>
      </c>
      <c r="H1599" s="9">
        <f>STATS1003B!H1691/1000</f>
        <v>1141</v>
      </c>
      <c r="I1599" s="9">
        <f>STATS1003B!I1691/1000</f>
        <v>0</v>
      </c>
      <c r="J1599" s="9">
        <f>STATS1003B!J1691/1000</f>
        <v>0</v>
      </c>
      <c r="K1599" s="9">
        <f>STATS1003B!K1691/1000</f>
        <v>0</v>
      </c>
      <c r="L1599" s="9">
        <f>STATS1003B!L1691/1000</f>
        <v>0</v>
      </c>
      <c r="M1599" s="9">
        <f>STATS1003B!M1691/1000</f>
        <v>1141</v>
      </c>
      <c r="N1599" s="9">
        <f>STATS1003B!N1691/1000</f>
        <v>0</v>
      </c>
      <c r="O1599" s="9">
        <f>STATS1003B!O1691/1000</f>
        <v>0</v>
      </c>
      <c r="P1599" s="9">
        <f>STATS1003B!P1691/1000</f>
        <v>0</v>
      </c>
      <c r="Q1599" s="9">
        <f>STATS1003B!Q1691/1000</f>
        <v>0</v>
      </c>
      <c r="R1599" s="9">
        <f>STATS1003B!R1691/1000</f>
        <v>0</v>
      </c>
      <c r="S1599" s="9">
        <f>STATS1003B!S1691/1000</f>
        <v>0</v>
      </c>
      <c r="T1599" s="9">
        <f>STATS1003B!T1691/1000</f>
        <v>0</v>
      </c>
      <c r="U1599" s="9">
        <f>STATS1003B!U1691/1000</f>
        <v>0</v>
      </c>
      <c r="V1599" s="9">
        <f>STATS1003B!V1691/1000</f>
        <v>1141</v>
      </c>
      <c r="W1599" s="9">
        <f>STATS1003B!W1691/1000</f>
        <v>0</v>
      </c>
      <c r="X1599" s="9">
        <f>STATS1003B!X1691/1000</f>
        <v>1141</v>
      </c>
      <c r="Y1599" s="9">
        <f>STATS1003B!Y1691/1000</f>
        <v>0</v>
      </c>
      <c r="Z1599" s="9">
        <f>STATS1003B!Z1691/1000</f>
        <v>0</v>
      </c>
      <c r="AA1599" s="9">
        <f>STATS1003B!AA1691/1000</f>
        <v>1141</v>
      </c>
      <c r="AB1599" s="9">
        <f>STATS1003B!AB1691/1000</f>
        <v>0</v>
      </c>
    </row>
    <row r="1600" spans="1:28" x14ac:dyDescent="0.35">
      <c r="A1600" s="36"/>
      <c r="B1600" s="8"/>
      <c r="C1600" s="14" t="s">
        <v>109</v>
      </c>
      <c r="D1600" s="21" t="s">
        <v>60</v>
      </c>
      <c r="E1600" s="9">
        <f>STATS1003B!E1692/1000</f>
        <v>5000</v>
      </c>
      <c r="F1600" s="9">
        <f>STATS1003B!F1692/1000</f>
        <v>5000</v>
      </c>
      <c r="G1600" s="9">
        <f>STATS1003B!G1692/1000</f>
        <v>0</v>
      </c>
      <c r="H1600" s="9">
        <f>STATS1003B!H1692/1000</f>
        <v>5000</v>
      </c>
      <c r="I1600" s="9">
        <f>STATS1003B!I1692/1000</f>
        <v>0</v>
      </c>
      <c r="J1600" s="9">
        <f>STATS1003B!J1692/1000</f>
        <v>0</v>
      </c>
      <c r="K1600" s="9">
        <f>STATS1003B!K1692/1000</f>
        <v>0</v>
      </c>
      <c r="L1600" s="9">
        <f>STATS1003B!L1692/1000</f>
        <v>0</v>
      </c>
      <c r="M1600" s="9">
        <f>STATS1003B!M1692/1000</f>
        <v>5000</v>
      </c>
      <c r="N1600" s="9">
        <f>STATS1003B!N1692/1000</f>
        <v>0</v>
      </c>
      <c r="O1600" s="9">
        <f>STATS1003B!O1692/1000</f>
        <v>0</v>
      </c>
      <c r="P1600" s="9">
        <f>STATS1003B!P1692/1000</f>
        <v>0</v>
      </c>
      <c r="Q1600" s="9">
        <f>STATS1003B!Q1692/1000</f>
        <v>0</v>
      </c>
      <c r="R1600" s="9">
        <f>STATS1003B!R1692/1000</f>
        <v>0</v>
      </c>
      <c r="S1600" s="9">
        <f>STATS1003B!S1692/1000</f>
        <v>0</v>
      </c>
      <c r="T1600" s="9">
        <f>STATS1003B!T1692/1000</f>
        <v>0</v>
      </c>
      <c r="U1600" s="9">
        <f>STATS1003B!U1692/1000</f>
        <v>0</v>
      </c>
      <c r="V1600" s="9">
        <f>STATS1003B!V1692/1000</f>
        <v>5000</v>
      </c>
      <c r="W1600" s="9">
        <f>STATS1003B!W1692/1000</f>
        <v>0</v>
      </c>
      <c r="X1600" s="9">
        <f>STATS1003B!X1692/1000</f>
        <v>5000</v>
      </c>
      <c r="Y1600" s="9">
        <f>STATS1003B!Y1692/1000</f>
        <v>0</v>
      </c>
      <c r="Z1600" s="9">
        <f>STATS1003B!Z1692/1000</f>
        <v>0</v>
      </c>
      <c r="AA1600" s="9">
        <f>STATS1003B!AA1692/1000</f>
        <v>5000</v>
      </c>
      <c r="AB1600" s="9">
        <f>STATS1003B!AB1692/1000</f>
        <v>0</v>
      </c>
    </row>
    <row r="1601" spans="1:28" x14ac:dyDescent="0.35">
      <c r="A1601" s="36"/>
      <c r="B1601" s="8"/>
      <c r="C1601" s="7" t="s">
        <v>342</v>
      </c>
      <c r="D1601" s="16" t="s">
        <v>194</v>
      </c>
      <c r="E1601" s="9">
        <f>STATS1003B!E1693/1000</f>
        <v>2921.9171200000001</v>
      </c>
      <c r="F1601" s="9">
        <f>STATS1003B!F1693/1000</f>
        <v>2921.9171200000001</v>
      </c>
      <c r="G1601" s="9">
        <f>STATS1003B!G1693/1000</f>
        <v>0</v>
      </c>
      <c r="H1601" s="9">
        <f>STATS1003B!H1693/1000</f>
        <v>2921.9171200000001</v>
      </c>
      <c r="I1601" s="9">
        <f>STATS1003B!I1693/1000</f>
        <v>0</v>
      </c>
      <c r="J1601" s="9">
        <f>STATS1003B!J1693/1000</f>
        <v>0</v>
      </c>
      <c r="K1601" s="9">
        <f>STATS1003B!K1693/1000</f>
        <v>0</v>
      </c>
      <c r="L1601" s="9">
        <f>STATS1003B!L1693/1000</f>
        <v>0</v>
      </c>
      <c r="M1601" s="9">
        <f>STATS1003B!M1693/1000</f>
        <v>2921.9171200000001</v>
      </c>
      <c r="N1601" s="9">
        <f>STATS1003B!N1693/1000</f>
        <v>0</v>
      </c>
      <c r="O1601" s="9">
        <f>STATS1003B!O1693/1000</f>
        <v>0</v>
      </c>
      <c r="P1601" s="9">
        <f>STATS1003B!P1693/1000</f>
        <v>0</v>
      </c>
      <c r="Q1601" s="9">
        <f>STATS1003B!Q1693/1000</f>
        <v>0</v>
      </c>
      <c r="R1601" s="9">
        <f>STATS1003B!R1693/1000</f>
        <v>0</v>
      </c>
      <c r="S1601" s="9">
        <f>STATS1003B!S1693/1000</f>
        <v>0</v>
      </c>
      <c r="T1601" s="9">
        <f>STATS1003B!T1693/1000</f>
        <v>0</v>
      </c>
      <c r="U1601" s="9">
        <f>STATS1003B!U1693/1000</f>
        <v>0</v>
      </c>
      <c r="V1601" s="9">
        <f>STATS1003B!V1693/1000</f>
        <v>2921.9171200000001</v>
      </c>
      <c r="W1601" s="9">
        <f>STATS1003B!W1693/1000</f>
        <v>0</v>
      </c>
      <c r="X1601" s="9">
        <f>STATS1003B!X1693/1000</f>
        <v>2921.9171200000001</v>
      </c>
      <c r="Y1601" s="9">
        <f>STATS1003B!Y1693/1000</f>
        <v>0</v>
      </c>
      <c r="Z1601" s="9">
        <f>STATS1003B!Z1693/1000</f>
        <v>0</v>
      </c>
      <c r="AA1601" s="9">
        <f>STATS1003B!AA1693/1000</f>
        <v>2921.9171200000001</v>
      </c>
      <c r="AB1601" s="9">
        <f>STATS1003B!AB1693/1000</f>
        <v>0</v>
      </c>
    </row>
    <row r="1602" spans="1:28" x14ac:dyDescent="0.35">
      <c r="A1602" s="36"/>
      <c r="B1602" s="8"/>
      <c r="C1602" s="7" t="s">
        <v>930</v>
      </c>
      <c r="D1602" s="16" t="s">
        <v>1072</v>
      </c>
      <c r="E1602" s="9">
        <f>STATS1003B!E1697/1000</f>
        <v>3755</v>
      </c>
      <c r="F1602" s="9">
        <f>STATS1003B!F1697/1000</f>
        <v>3755</v>
      </c>
      <c r="G1602" s="9">
        <f>STATS1003B!G1697/1000</f>
        <v>0</v>
      </c>
      <c r="H1602" s="9">
        <f>STATS1003B!H1697/1000</f>
        <v>3755</v>
      </c>
      <c r="I1602" s="9">
        <f>STATS1003B!I1697/1000</f>
        <v>0</v>
      </c>
      <c r="J1602" s="9">
        <f>STATS1003B!J1697/1000</f>
        <v>0</v>
      </c>
      <c r="K1602" s="9">
        <f>STATS1003B!K1697/1000</f>
        <v>0</v>
      </c>
      <c r="L1602" s="9">
        <f>STATS1003B!L1697/1000</f>
        <v>0</v>
      </c>
      <c r="M1602" s="9">
        <f>STATS1003B!M1697/1000</f>
        <v>3755</v>
      </c>
      <c r="N1602" s="9">
        <f>STATS1003B!N1697/1000</f>
        <v>0</v>
      </c>
      <c r="O1602" s="9">
        <f>STATS1003B!O1697/1000</f>
        <v>0</v>
      </c>
      <c r="P1602" s="9">
        <f>STATS1003B!P1697/1000</f>
        <v>0</v>
      </c>
      <c r="Q1602" s="9">
        <f>STATS1003B!Q1697/1000</f>
        <v>0</v>
      </c>
      <c r="R1602" s="9">
        <f>STATS1003B!R1697/1000</f>
        <v>0</v>
      </c>
      <c r="S1602" s="9">
        <f>STATS1003B!S1697/1000</f>
        <v>0</v>
      </c>
      <c r="T1602" s="9">
        <f>STATS1003B!T1697/1000</f>
        <v>0</v>
      </c>
      <c r="U1602" s="9">
        <f>STATS1003B!U1697/1000</f>
        <v>0</v>
      </c>
      <c r="V1602" s="9">
        <f>STATS1003B!V1697/1000</f>
        <v>3755</v>
      </c>
      <c r="W1602" s="9">
        <f>STATS1003B!W1697/1000</f>
        <v>0</v>
      </c>
      <c r="X1602" s="9">
        <f>STATS1003B!X1697/1000</f>
        <v>3755</v>
      </c>
      <c r="Y1602" s="9">
        <f>STATS1003B!Y1697/1000</f>
        <v>0</v>
      </c>
      <c r="Z1602" s="9">
        <f>STATS1003B!Z1697/1000</f>
        <v>0</v>
      </c>
      <c r="AA1602" s="9">
        <f>STATS1003B!AA1697/1000</f>
        <v>3755</v>
      </c>
      <c r="AB1602" s="9">
        <f>STATS1003B!AB1697/1000</f>
        <v>0</v>
      </c>
    </row>
    <row r="1603" spans="1:28" x14ac:dyDescent="0.35">
      <c r="A1603" s="36"/>
      <c r="B1603" s="8"/>
      <c r="C1603" s="7" t="s">
        <v>924</v>
      </c>
      <c r="D1603" s="16" t="s">
        <v>61</v>
      </c>
      <c r="E1603" s="9">
        <f>STATS1003B!E1698/1000</f>
        <v>1135.4025200000001</v>
      </c>
      <c r="F1603" s="9">
        <f>STATS1003B!F1698/1000</f>
        <v>1110.5959700000001</v>
      </c>
      <c r="G1603" s="9">
        <f>STATS1003B!G1698/1000</f>
        <v>0</v>
      </c>
      <c r="H1603" s="9">
        <f>STATS1003B!H1698/1000</f>
        <v>1110.5959700000001</v>
      </c>
      <c r="I1603" s="9">
        <f>STATS1003B!I1698/1000</f>
        <v>0</v>
      </c>
      <c r="J1603" s="9">
        <f>STATS1003B!J1698/1000</f>
        <v>0</v>
      </c>
      <c r="K1603" s="9">
        <f>STATS1003B!K1698/1000</f>
        <v>0</v>
      </c>
      <c r="L1603" s="9">
        <f>STATS1003B!L1698/1000</f>
        <v>0</v>
      </c>
      <c r="M1603" s="9">
        <f>STATS1003B!M1698/1000</f>
        <v>1110.5959700000001</v>
      </c>
      <c r="N1603" s="9">
        <f>STATS1003B!N1698/1000</f>
        <v>23.3794</v>
      </c>
      <c r="O1603" s="9">
        <f>STATS1003B!O1698/1000</f>
        <v>0</v>
      </c>
      <c r="P1603" s="9">
        <f>STATS1003B!P1698/1000</f>
        <v>23.3794</v>
      </c>
      <c r="Q1603" s="9">
        <f>STATS1003B!Q1698/1000</f>
        <v>24.806549999999998</v>
      </c>
      <c r="R1603" s="9">
        <f>STATS1003B!R1698/1000</f>
        <v>0</v>
      </c>
      <c r="S1603" s="9">
        <f>STATS1003B!S1698/1000</f>
        <v>0</v>
      </c>
      <c r="T1603" s="9">
        <f>STATS1003B!T1698/1000</f>
        <v>1.4271500000000001</v>
      </c>
      <c r="U1603" s="9">
        <f>STATS1003B!U1698/1000</f>
        <v>24.806550000000001</v>
      </c>
      <c r="V1603" s="9">
        <f>STATS1003B!V1698/1000</f>
        <v>1133.9753699999999</v>
      </c>
      <c r="W1603" s="9">
        <f>STATS1003B!W1698/1000</f>
        <v>1.4271500000001398</v>
      </c>
      <c r="X1603" s="9">
        <f>STATS1003B!X1698/1000</f>
        <v>1133.9753699999999</v>
      </c>
      <c r="Y1603" s="9">
        <f>STATS1003B!Y1698/1000</f>
        <v>0</v>
      </c>
      <c r="Z1603" s="9">
        <f>STATS1003B!Z1698/1000</f>
        <v>1.4271500000001398</v>
      </c>
      <c r="AA1603" s="9">
        <f>STATS1003B!AA1698/1000</f>
        <v>1135.4025200000001</v>
      </c>
      <c r="AB1603" s="9">
        <f>STATS1003B!AB1698/1000</f>
        <v>0</v>
      </c>
    </row>
    <row r="1604" spans="1:28" x14ac:dyDescent="0.35">
      <c r="A1604" s="36"/>
      <c r="B1604" s="8"/>
      <c r="C1604" s="8"/>
      <c r="D1604" s="8"/>
      <c r="E1604" s="17" t="s">
        <v>29</v>
      </c>
      <c r="F1604" s="17" t="s">
        <v>29</v>
      </c>
      <c r="G1604" s="17" t="s">
        <v>29</v>
      </c>
      <c r="H1604" s="17" t="s">
        <v>29</v>
      </c>
      <c r="I1604" s="17" t="s">
        <v>29</v>
      </c>
      <c r="J1604" s="17" t="s">
        <v>29</v>
      </c>
      <c r="K1604" s="17" t="s">
        <v>29</v>
      </c>
      <c r="L1604" s="17" t="s">
        <v>29</v>
      </c>
      <c r="M1604" s="17" t="s">
        <v>29</v>
      </c>
      <c r="N1604" s="17" t="s">
        <v>29</v>
      </c>
      <c r="O1604" s="17" t="s">
        <v>29</v>
      </c>
      <c r="P1604" s="17" t="s">
        <v>29</v>
      </c>
      <c r="Q1604" s="17" t="s">
        <v>29</v>
      </c>
      <c r="R1604" s="17" t="s">
        <v>29</v>
      </c>
      <c r="S1604" s="17" t="s">
        <v>29</v>
      </c>
      <c r="T1604" s="17" t="s">
        <v>29</v>
      </c>
      <c r="U1604" s="17" t="s">
        <v>29</v>
      </c>
      <c r="V1604" s="17" t="s">
        <v>29</v>
      </c>
      <c r="W1604" s="17" t="s">
        <v>29</v>
      </c>
      <c r="X1604" s="17" t="s">
        <v>29</v>
      </c>
      <c r="Y1604" s="17" t="s">
        <v>29</v>
      </c>
      <c r="Z1604" s="17" t="s">
        <v>29</v>
      </c>
      <c r="AA1604" s="17" t="s">
        <v>29</v>
      </c>
      <c r="AB1604" s="17" t="s">
        <v>29</v>
      </c>
    </row>
    <row r="1605" spans="1:28" x14ac:dyDescent="0.35">
      <c r="A1605" s="36"/>
      <c r="B1605" s="8"/>
      <c r="C1605" s="8"/>
      <c r="D1605" s="8"/>
      <c r="E1605" s="9">
        <f t="shared" ref="E1605:AB1605" si="113">SUM(E1592:E1603)</f>
        <v>41285.467700000001</v>
      </c>
      <c r="F1605" s="9">
        <f t="shared" si="113"/>
        <v>38613.614309999997</v>
      </c>
      <c r="G1605" s="9">
        <f t="shared" si="113"/>
        <v>0</v>
      </c>
      <c r="H1605" s="9">
        <f t="shared" si="113"/>
        <v>38613.614309999997</v>
      </c>
      <c r="I1605" s="9">
        <f t="shared" si="113"/>
        <v>0</v>
      </c>
      <c r="J1605" s="9">
        <f t="shared" si="113"/>
        <v>0</v>
      </c>
      <c r="K1605" s="9">
        <f t="shared" si="113"/>
        <v>0</v>
      </c>
      <c r="L1605" s="9">
        <f t="shared" si="113"/>
        <v>0</v>
      </c>
      <c r="M1605" s="9">
        <f t="shared" si="113"/>
        <v>38613.614309999997</v>
      </c>
      <c r="N1605" s="9">
        <f t="shared" si="113"/>
        <v>2670.4262399999998</v>
      </c>
      <c r="O1605" s="9">
        <f t="shared" si="113"/>
        <v>0</v>
      </c>
      <c r="P1605" s="9">
        <f t="shared" si="113"/>
        <v>2670.4262399999998</v>
      </c>
      <c r="Q1605" s="9">
        <f t="shared" si="113"/>
        <v>24.806549999999998</v>
      </c>
      <c r="R1605" s="9">
        <f t="shared" si="113"/>
        <v>0</v>
      </c>
      <c r="S1605" s="9">
        <f t="shared" si="113"/>
        <v>0</v>
      </c>
      <c r="T1605" s="9">
        <f t="shared" si="113"/>
        <v>1.4271500000000001</v>
      </c>
      <c r="U1605" s="9">
        <f t="shared" si="113"/>
        <v>2671.8533899999998</v>
      </c>
      <c r="V1605" s="9">
        <f t="shared" si="113"/>
        <v>41284.040549999998</v>
      </c>
      <c r="W1605" s="9">
        <f t="shared" si="113"/>
        <v>1.4271500000001398</v>
      </c>
      <c r="X1605" s="9">
        <f t="shared" si="113"/>
        <v>41284.040549999998</v>
      </c>
      <c r="Y1605" s="9">
        <f t="shared" si="113"/>
        <v>0</v>
      </c>
      <c r="Z1605" s="9">
        <f t="shared" si="113"/>
        <v>1.4271500000001398</v>
      </c>
      <c r="AA1605" s="9">
        <f t="shared" si="113"/>
        <v>41285.467700000001</v>
      </c>
      <c r="AB1605" s="9">
        <f t="shared" si="113"/>
        <v>0</v>
      </c>
    </row>
    <row r="1606" spans="1:28" x14ac:dyDescent="0.35">
      <c r="A1606" s="36"/>
      <c r="B1606" s="8"/>
      <c r="C1606" s="8"/>
      <c r="D1606" s="8"/>
      <c r="E1606" s="17" t="s">
        <v>29</v>
      </c>
      <c r="F1606" s="17" t="s">
        <v>29</v>
      </c>
      <c r="G1606" s="17" t="s">
        <v>29</v>
      </c>
      <c r="H1606" s="17" t="s">
        <v>29</v>
      </c>
      <c r="I1606" s="17" t="s">
        <v>29</v>
      </c>
      <c r="J1606" s="17" t="s">
        <v>29</v>
      </c>
      <c r="K1606" s="17" t="s">
        <v>29</v>
      </c>
      <c r="L1606" s="17" t="s">
        <v>29</v>
      </c>
      <c r="M1606" s="17" t="s">
        <v>29</v>
      </c>
      <c r="N1606" s="17" t="s">
        <v>29</v>
      </c>
      <c r="O1606" s="17" t="s">
        <v>29</v>
      </c>
      <c r="P1606" s="17" t="s">
        <v>29</v>
      </c>
      <c r="Q1606" s="17" t="s">
        <v>29</v>
      </c>
      <c r="R1606" s="17" t="s">
        <v>29</v>
      </c>
      <c r="S1606" s="17" t="s">
        <v>29</v>
      </c>
      <c r="T1606" s="17" t="s">
        <v>29</v>
      </c>
      <c r="U1606" s="17" t="s">
        <v>29</v>
      </c>
      <c r="V1606" s="17" t="s">
        <v>29</v>
      </c>
      <c r="W1606" s="17" t="s">
        <v>29</v>
      </c>
      <c r="X1606" s="17" t="s">
        <v>29</v>
      </c>
      <c r="Y1606" s="17" t="s">
        <v>29</v>
      </c>
      <c r="Z1606" s="17" t="s">
        <v>29</v>
      </c>
      <c r="AA1606" s="17" t="s">
        <v>29</v>
      </c>
      <c r="AB1606" s="17" t="s">
        <v>29</v>
      </c>
    </row>
    <row r="1607" spans="1:28" x14ac:dyDescent="0.35">
      <c r="A1607" s="38" t="s">
        <v>1009</v>
      </c>
      <c r="B1607" s="7" t="s">
        <v>343</v>
      </c>
      <c r="C1607" s="8"/>
      <c r="D1607" s="8"/>
      <c r="E1607" s="8"/>
      <c r="F1607" s="8"/>
      <c r="G1607" s="8"/>
      <c r="H1607" s="8"/>
      <c r="I1607" s="8"/>
      <c r="J1607" s="8"/>
      <c r="K1607" s="8"/>
      <c r="L1607" s="8"/>
      <c r="M1607" s="8"/>
      <c r="N1607" s="8"/>
      <c r="O1607" s="8"/>
      <c r="P1607" s="8"/>
      <c r="Q1607" s="8"/>
      <c r="R1607" s="8"/>
      <c r="S1607" s="8"/>
      <c r="T1607" s="8"/>
      <c r="U1607" s="8"/>
      <c r="V1607" s="8"/>
      <c r="W1607" s="8"/>
      <c r="X1607" s="8"/>
      <c r="Y1607" s="8"/>
      <c r="Z1607" s="8"/>
    </row>
    <row r="1608" spans="1:28" x14ac:dyDescent="0.35">
      <c r="A1608" s="36"/>
      <c r="B1608" s="8"/>
      <c r="C1608" s="7" t="s">
        <v>344</v>
      </c>
      <c r="D1608" s="15" t="s">
        <v>166</v>
      </c>
      <c r="E1608" s="9">
        <f>STATS1003B!E1703/1000</f>
        <v>5173.6499999999996</v>
      </c>
      <c r="F1608" s="9">
        <f>STATS1003B!F1703/1000</f>
        <v>5173.6499999999996</v>
      </c>
      <c r="G1608" s="9">
        <f>STATS1003B!G1703/1000</f>
        <v>0</v>
      </c>
      <c r="H1608" s="9">
        <f>STATS1003B!H1703/1000</f>
        <v>5173.6499999999996</v>
      </c>
      <c r="I1608" s="9">
        <f>STATS1003B!I1703/1000</f>
        <v>0</v>
      </c>
      <c r="J1608" s="9">
        <f>STATS1003B!J1703/1000</f>
        <v>0</v>
      </c>
      <c r="K1608" s="9">
        <f>STATS1003B!K1703/1000</f>
        <v>0</v>
      </c>
      <c r="L1608" s="9">
        <f>STATS1003B!L1703/1000</f>
        <v>0</v>
      </c>
      <c r="M1608" s="9">
        <f>STATS1003B!M1703/1000</f>
        <v>5173.6499999999996</v>
      </c>
      <c r="N1608" s="9">
        <f>STATS1003B!N1703/1000</f>
        <v>0</v>
      </c>
      <c r="O1608" s="9">
        <f>STATS1003B!O1703/1000</f>
        <v>0</v>
      </c>
      <c r="P1608" s="9">
        <f>STATS1003B!P1703/1000</f>
        <v>0</v>
      </c>
      <c r="Q1608" s="9">
        <f>STATS1003B!Q1703/1000</f>
        <v>0</v>
      </c>
      <c r="R1608" s="9">
        <f>STATS1003B!R1703/1000</f>
        <v>0</v>
      </c>
      <c r="S1608" s="9">
        <f>STATS1003B!S1703/1000</f>
        <v>0</v>
      </c>
      <c r="T1608" s="9">
        <f>STATS1003B!T1703/1000</f>
        <v>0</v>
      </c>
      <c r="U1608" s="9">
        <f>STATS1003B!U1703/1000</f>
        <v>0</v>
      </c>
      <c r="V1608" s="9">
        <f>STATS1003B!V1703/1000</f>
        <v>5173.6499999999996</v>
      </c>
      <c r="W1608" s="9">
        <f>STATS1003B!W1703/1000</f>
        <v>0</v>
      </c>
      <c r="X1608" s="9">
        <f>STATS1003B!X1703/1000</f>
        <v>5173.6499999999996</v>
      </c>
      <c r="Y1608" s="9">
        <f>STATS1003B!Y1703/1000</f>
        <v>0</v>
      </c>
      <c r="Z1608" s="9">
        <f>STATS1003B!Z1703/1000</f>
        <v>0</v>
      </c>
      <c r="AA1608" s="9">
        <f>STATS1003B!AA1703/1000</f>
        <v>5173.6499999999996</v>
      </c>
      <c r="AB1608" s="9">
        <f>STATS1003B!AB1703/1000</f>
        <v>0</v>
      </c>
    </row>
    <row r="1609" spans="1:28" x14ac:dyDescent="0.35">
      <c r="A1609" s="36"/>
      <c r="B1609" s="8"/>
      <c r="C1609" s="7" t="s">
        <v>57</v>
      </c>
      <c r="D1609" s="15" t="s">
        <v>68</v>
      </c>
      <c r="E1609" s="9">
        <f>STATS1003B!E1704/1000</f>
        <v>490.59611999999998</v>
      </c>
      <c r="F1609" s="9">
        <f>STATS1003B!F1704/1000</f>
        <v>0</v>
      </c>
      <c r="G1609" s="9">
        <f>STATS1003B!G1704/1000</f>
        <v>0</v>
      </c>
      <c r="H1609" s="9">
        <f>STATS1003B!H1704/1000</f>
        <v>0</v>
      </c>
      <c r="I1609" s="9">
        <f>STATS1003B!I1704/1000</f>
        <v>0</v>
      </c>
      <c r="J1609" s="9">
        <f>STATS1003B!J1704/1000</f>
        <v>0</v>
      </c>
      <c r="K1609" s="9">
        <f>STATS1003B!K1704/1000</f>
        <v>0</v>
      </c>
      <c r="L1609" s="9">
        <f>STATS1003B!L1704/1000</f>
        <v>0</v>
      </c>
      <c r="M1609" s="9">
        <f>STATS1003B!M1704/1000</f>
        <v>0</v>
      </c>
      <c r="N1609" s="9">
        <f>STATS1003B!N1704/1000</f>
        <v>490.59611999999998</v>
      </c>
      <c r="O1609" s="9">
        <f>STATS1003B!O1704/1000</f>
        <v>0</v>
      </c>
      <c r="P1609" s="9">
        <f>STATS1003B!P1704/1000</f>
        <v>490.59611999999998</v>
      </c>
      <c r="Q1609" s="9">
        <f>STATS1003B!Q1704/1000</f>
        <v>0</v>
      </c>
      <c r="R1609" s="9">
        <f>STATS1003B!R1704/1000</f>
        <v>0</v>
      </c>
      <c r="S1609" s="9">
        <f>STATS1003B!S1704/1000</f>
        <v>0</v>
      </c>
      <c r="T1609" s="9">
        <f>STATS1003B!T1704/1000</f>
        <v>0</v>
      </c>
      <c r="U1609" s="9">
        <f>STATS1003B!U1704/1000</f>
        <v>490.59611999999998</v>
      </c>
      <c r="V1609" s="9">
        <f>STATS1003B!V1704/1000</f>
        <v>490.59611999999998</v>
      </c>
      <c r="W1609" s="9">
        <f>STATS1003B!W1704/1000</f>
        <v>0</v>
      </c>
      <c r="X1609" s="9">
        <f>STATS1003B!X1704/1000</f>
        <v>490.59611999999998</v>
      </c>
      <c r="Y1609" s="9">
        <f>STATS1003B!Y1704/1000</f>
        <v>0</v>
      </c>
      <c r="Z1609" s="9">
        <f>STATS1003B!Z1704/1000</f>
        <v>0</v>
      </c>
      <c r="AA1609" s="9">
        <f>STATS1003B!AA1704/1000</f>
        <v>490.59611999999998</v>
      </c>
      <c r="AB1609" s="9">
        <f>STATS1003B!AB1704/1000</f>
        <v>0</v>
      </c>
    </row>
    <row r="1610" spans="1:28" x14ac:dyDescent="0.35">
      <c r="A1610" s="36"/>
      <c r="B1610" s="8"/>
      <c r="C1610" s="7" t="s">
        <v>53</v>
      </c>
      <c r="D1610" s="15" t="s">
        <v>54</v>
      </c>
      <c r="E1610" s="9">
        <f>STATS1003B!E1705/1000</f>
        <v>570.94100000000003</v>
      </c>
      <c r="F1610" s="9">
        <f>STATS1003B!F1705/1000</f>
        <v>0</v>
      </c>
      <c r="G1610" s="9">
        <f>STATS1003B!G1705/1000</f>
        <v>0</v>
      </c>
      <c r="H1610" s="9">
        <f>STATS1003B!H1705/1000</f>
        <v>0</v>
      </c>
      <c r="I1610" s="9">
        <f>STATS1003B!I1705/1000</f>
        <v>0</v>
      </c>
      <c r="J1610" s="9">
        <f>STATS1003B!J1705/1000</f>
        <v>0</v>
      </c>
      <c r="K1610" s="9">
        <f>STATS1003B!K1705/1000</f>
        <v>0</v>
      </c>
      <c r="L1610" s="9">
        <f>STATS1003B!L1705/1000</f>
        <v>0</v>
      </c>
      <c r="M1610" s="9">
        <f>STATS1003B!M1705/1000</f>
        <v>0</v>
      </c>
      <c r="N1610" s="9">
        <f>STATS1003B!N1705/1000</f>
        <v>570.94100000000003</v>
      </c>
      <c r="O1610" s="9">
        <f>STATS1003B!O1705/1000</f>
        <v>0</v>
      </c>
      <c r="P1610" s="9">
        <f>STATS1003B!P1705/1000</f>
        <v>570.94100000000003</v>
      </c>
      <c r="Q1610" s="9">
        <f>STATS1003B!Q1705/1000</f>
        <v>0</v>
      </c>
      <c r="R1610" s="9">
        <f>STATS1003B!R1705/1000</f>
        <v>0</v>
      </c>
      <c r="S1610" s="9">
        <f>STATS1003B!S1705/1000</f>
        <v>0</v>
      </c>
      <c r="T1610" s="9">
        <f>STATS1003B!T1705/1000</f>
        <v>0</v>
      </c>
      <c r="U1610" s="9">
        <f>STATS1003B!U1705/1000</f>
        <v>570.94100000000003</v>
      </c>
      <c r="V1610" s="9">
        <f>STATS1003B!V1705/1000</f>
        <v>570.94100000000003</v>
      </c>
      <c r="W1610" s="9">
        <f>STATS1003B!W1705/1000</f>
        <v>0</v>
      </c>
      <c r="X1610" s="9">
        <f>STATS1003B!X1705/1000</f>
        <v>570.94100000000003</v>
      </c>
      <c r="Y1610" s="9">
        <f>STATS1003B!Y1705/1000</f>
        <v>0</v>
      </c>
      <c r="Z1610" s="9">
        <f>STATS1003B!Z1705/1000</f>
        <v>0</v>
      </c>
      <c r="AA1610" s="9">
        <f>STATS1003B!AA1705/1000</f>
        <v>570.94100000000003</v>
      </c>
      <c r="AB1610" s="9">
        <f>STATS1003B!AB1705/1000</f>
        <v>0</v>
      </c>
    </row>
    <row r="1611" spans="1:28" x14ac:dyDescent="0.35">
      <c r="A1611" s="36"/>
      <c r="B1611" s="8"/>
      <c r="C1611" s="7" t="s">
        <v>345</v>
      </c>
      <c r="D1611" s="15" t="s">
        <v>54</v>
      </c>
      <c r="E1611" s="9">
        <f>STATS1003B!E1706/1000</f>
        <v>104</v>
      </c>
      <c r="F1611" s="9">
        <f>STATS1003B!F1706/1000</f>
        <v>104</v>
      </c>
      <c r="G1611" s="9">
        <f>STATS1003B!G1706/1000</f>
        <v>0</v>
      </c>
      <c r="H1611" s="9">
        <f>STATS1003B!H1706/1000</f>
        <v>104</v>
      </c>
      <c r="I1611" s="9">
        <f>STATS1003B!I1706/1000</f>
        <v>0</v>
      </c>
      <c r="J1611" s="9">
        <f>STATS1003B!J1706/1000</f>
        <v>0</v>
      </c>
      <c r="K1611" s="9">
        <f>STATS1003B!K1706/1000</f>
        <v>0</v>
      </c>
      <c r="L1611" s="9">
        <f>STATS1003B!L1706/1000</f>
        <v>0</v>
      </c>
      <c r="M1611" s="9">
        <f>STATS1003B!M1706/1000</f>
        <v>104</v>
      </c>
      <c r="N1611" s="9">
        <f>STATS1003B!N1706/1000</f>
        <v>0</v>
      </c>
      <c r="O1611" s="9">
        <f>STATS1003B!O1706/1000</f>
        <v>0</v>
      </c>
      <c r="P1611" s="9">
        <f>STATS1003B!P1706/1000</f>
        <v>0</v>
      </c>
      <c r="Q1611" s="9">
        <f>STATS1003B!Q1706/1000</f>
        <v>0</v>
      </c>
      <c r="R1611" s="9">
        <f>STATS1003B!R1706/1000</f>
        <v>0</v>
      </c>
      <c r="S1611" s="9">
        <f>STATS1003B!S1706/1000</f>
        <v>0</v>
      </c>
      <c r="T1611" s="9">
        <f>STATS1003B!T1706/1000</f>
        <v>0</v>
      </c>
      <c r="U1611" s="9">
        <f>STATS1003B!U1706/1000</f>
        <v>0</v>
      </c>
      <c r="V1611" s="9">
        <f>STATS1003B!V1706/1000</f>
        <v>104</v>
      </c>
      <c r="W1611" s="9">
        <f>STATS1003B!W1706/1000</f>
        <v>0</v>
      </c>
      <c r="X1611" s="9">
        <f>STATS1003B!X1706/1000</f>
        <v>104</v>
      </c>
      <c r="Y1611" s="9">
        <f>STATS1003B!Y1706/1000</f>
        <v>0</v>
      </c>
      <c r="Z1611" s="9">
        <f>STATS1003B!Z1706/1000</f>
        <v>0</v>
      </c>
      <c r="AA1611" s="9">
        <f>STATS1003B!AA1706/1000</f>
        <v>104</v>
      </c>
      <c r="AB1611" s="9">
        <f>STATS1003B!AB1706/1000</f>
        <v>0</v>
      </c>
    </row>
    <row r="1612" spans="1:28" x14ac:dyDescent="0.35">
      <c r="A1612" s="36"/>
      <c r="B1612" s="8"/>
      <c r="C1612" s="7" t="s">
        <v>57</v>
      </c>
      <c r="D1612" s="15" t="s">
        <v>85</v>
      </c>
      <c r="E1612" s="9">
        <f>STATS1003B!E1707/1000</f>
        <v>450</v>
      </c>
      <c r="F1612" s="9">
        <f>STATS1003B!F1707/1000</f>
        <v>450</v>
      </c>
      <c r="G1612" s="9">
        <f>STATS1003B!G1707/1000</f>
        <v>0</v>
      </c>
      <c r="H1612" s="9">
        <f>STATS1003B!H1707/1000</f>
        <v>450</v>
      </c>
      <c r="I1612" s="9">
        <f>STATS1003B!I1707/1000</f>
        <v>0</v>
      </c>
      <c r="J1612" s="9">
        <f>STATS1003B!J1707/1000</f>
        <v>0</v>
      </c>
      <c r="K1612" s="9">
        <f>STATS1003B!K1707/1000</f>
        <v>0</v>
      </c>
      <c r="L1612" s="9">
        <f>STATS1003B!L1707/1000</f>
        <v>0</v>
      </c>
      <c r="M1612" s="9">
        <f>STATS1003B!M1707/1000</f>
        <v>450</v>
      </c>
      <c r="N1612" s="9">
        <f>STATS1003B!N1707/1000</f>
        <v>0</v>
      </c>
      <c r="O1612" s="9">
        <f>STATS1003B!O1707/1000</f>
        <v>0</v>
      </c>
      <c r="P1612" s="9">
        <f>STATS1003B!P1707/1000</f>
        <v>0</v>
      </c>
      <c r="Q1612" s="9">
        <f>STATS1003B!Q1707/1000</f>
        <v>0</v>
      </c>
      <c r="R1612" s="9">
        <f>STATS1003B!R1707/1000</f>
        <v>0</v>
      </c>
      <c r="S1612" s="9">
        <f>STATS1003B!S1707/1000</f>
        <v>0</v>
      </c>
      <c r="T1612" s="9">
        <f>STATS1003B!T1707/1000</f>
        <v>0</v>
      </c>
      <c r="U1612" s="9">
        <f>STATS1003B!U1707/1000</f>
        <v>0</v>
      </c>
      <c r="V1612" s="9">
        <f>STATS1003B!V1707/1000</f>
        <v>450</v>
      </c>
      <c r="W1612" s="9">
        <f>STATS1003B!W1707/1000</f>
        <v>0</v>
      </c>
      <c r="X1612" s="9">
        <f>STATS1003B!X1707/1000</f>
        <v>450</v>
      </c>
      <c r="Y1612" s="9">
        <f>STATS1003B!Y1707/1000</f>
        <v>0</v>
      </c>
      <c r="Z1612" s="9">
        <f>STATS1003B!Z1707/1000</f>
        <v>0</v>
      </c>
      <c r="AA1612" s="9">
        <f>STATS1003B!AA1707/1000</f>
        <v>450</v>
      </c>
      <c r="AB1612" s="9">
        <f>STATS1003B!AB1707/1000</f>
        <v>0</v>
      </c>
    </row>
    <row r="1613" spans="1:28" x14ac:dyDescent="0.35">
      <c r="A1613" s="36"/>
      <c r="B1613" s="8"/>
      <c r="C1613" s="7" t="s">
        <v>346</v>
      </c>
      <c r="D1613" s="15" t="s">
        <v>85</v>
      </c>
      <c r="E1613" s="9">
        <f>STATS1003B!E1708/1000</f>
        <v>102.4</v>
      </c>
      <c r="F1613" s="9">
        <f>STATS1003B!F1708/1000</f>
        <v>102.4</v>
      </c>
      <c r="G1613" s="9">
        <f>STATS1003B!G1708/1000</f>
        <v>0</v>
      </c>
      <c r="H1613" s="9">
        <f>STATS1003B!H1708/1000</f>
        <v>102.4</v>
      </c>
      <c r="I1613" s="9">
        <f>STATS1003B!I1708/1000</f>
        <v>0</v>
      </c>
      <c r="J1613" s="9">
        <f>STATS1003B!J1708/1000</f>
        <v>0</v>
      </c>
      <c r="K1613" s="9">
        <f>STATS1003B!K1708/1000</f>
        <v>0</v>
      </c>
      <c r="L1613" s="9">
        <f>STATS1003B!L1708/1000</f>
        <v>0</v>
      </c>
      <c r="M1613" s="9">
        <f>STATS1003B!M1708/1000</f>
        <v>102.4</v>
      </c>
      <c r="N1613" s="9">
        <f>STATS1003B!N1708/1000</f>
        <v>0</v>
      </c>
      <c r="O1613" s="9">
        <f>STATS1003B!O1708/1000</f>
        <v>0</v>
      </c>
      <c r="P1613" s="9">
        <f>STATS1003B!P1708/1000</f>
        <v>0</v>
      </c>
      <c r="Q1613" s="9">
        <f>STATS1003B!Q1708/1000</f>
        <v>0</v>
      </c>
      <c r="R1613" s="9">
        <f>STATS1003B!R1708/1000</f>
        <v>0</v>
      </c>
      <c r="S1613" s="9">
        <f>STATS1003B!S1708/1000</f>
        <v>0</v>
      </c>
      <c r="T1613" s="9">
        <f>STATS1003B!T1708/1000</f>
        <v>0</v>
      </c>
      <c r="U1613" s="9">
        <f>STATS1003B!U1708/1000</f>
        <v>0</v>
      </c>
      <c r="V1613" s="9">
        <f>STATS1003B!V1708/1000</f>
        <v>102.4</v>
      </c>
      <c r="W1613" s="9">
        <f>STATS1003B!W1708/1000</f>
        <v>0</v>
      </c>
      <c r="X1613" s="9">
        <f>STATS1003B!X1708/1000</f>
        <v>102.4</v>
      </c>
      <c r="Y1613" s="9">
        <f>STATS1003B!Y1708/1000</f>
        <v>0</v>
      </c>
      <c r="Z1613" s="9">
        <f>STATS1003B!Z1708/1000</f>
        <v>0</v>
      </c>
      <c r="AA1613" s="9">
        <f>STATS1003B!AA1708/1000</f>
        <v>102.4</v>
      </c>
      <c r="AB1613" s="9">
        <f>STATS1003B!AB1708/1000</f>
        <v>0</v>
      </c>
    </row>
    <row r="1614" spans="1:28" x14ac:dyDescent="0.35">
      <c r="A1614" s="36"/>
      <c r="B1614" s="8"/>
      <c r="C1614" s="7" t="s">
        <v>57</v>
      </c>
      <c r="D1614" s="15" t="s">
        <v>60</v>
      </c>
      <c r="E1614" s="9">
        <f>STATS1003B!E1709/1000</f>
        <v>2244.2869999999998</v>
      </c>
      <c r="F1614" s="9">
        <f>STATS1003B!F1709/1000</f>
        <v>2244.2869999999998</v>
      </c>
      <c r="G1614" s="9">
        <f>STATS1003B!G1709/1000</f>
        <v>0</v>
      </c>
      <c r="H1614" s="9">
        <f>STATS1003B!H1709/1000</f>
        <v>2244.2869999999998</v>
      </c>
      <c r="I1614" s="9">
        <f>STATS1003B!I1709/1000</f>
        <v>0</v>
      </c>
      <c r="J1614" s="9">
        <f>STATS1003B!J1709/1000</f>
        <v>0</v>
      </c>
      <c r="K1614" s="9">
        <f>STATS1003B!K1709/1000</f>
        <v>0</v>
      </c>
      <c r="L1614" s="9">
        <f>STATS1003B!L1709/1000</f>
        <v>0</v>
      </c>
      <c r="M1614" s="9">
        <f>STATS1003B!M1709/1000</f>
        <v>2244.2869999999998</v>
      </c>
      <c r="N1614" s="9">
        <f>STATS1003B!N1709/1000</f>
        <v>0</v>
      </c>
      <c r="O1614" s="9">
        <f>STATS1003B!O1709/1000</f>
        <v>0</v>
      </c>
      <c r="P1614" s="9">
        <f>STATS1003B!P1709/1000</f>
        <v>0</v>
      </c>
      <c r="Q1614" s="9">
        <f>STATS1003B!Q1709/1000</f>
        <v>0</v>
      </c>
      <c r="R1614" s="9">
        <f>STATS1003B!R1709/1000</f>
        <v>0</v>
      </c>
      <c r="S1614" s="9">
        <f>STATS1003B!S1709/1000</f>
        <v>0</v>
      </c>
      <c r="T1614" s="9">
        <f>STATS1003B!T1709/1000</f>
        <v>0</v>
      </c>
      <c r="U1614" s="9">
        <f>STATS1003B!U1709/1000</f>
        <v>0</v>
      </c>
      <c r="V1614" s="9">
        <f>STATS1003B!V1709/1000</f>
        <v>2244.2869999999998</v>
      </c>
      <c r="W1614" s="9">
        <f>STATS1003B!W1709/1000</f>
        <v>0</v>
      </c>
      <c r="X1614" s="9">
        <f>STATS1003B!X1709/1000</f>
        <v>2244.2869999999998</v>
      </c>
      <c r="Y1614" s="9">
        <f>STATS1003B!Y1709/1000</f>
        <v>0</v>
      </c>
      <c r="Z1614" s="9">
        <f>STATS1003B!Z1709/1000</f>
        <v>0</v>
      </c>
      <c r="AA1614" s="9">
        <f>STATS1003B!AA1709/1000</f>
        <v>2244.2869999999998</v>
      </c>
      <c r="AB1614" s="9">
        <f>STATS1003B!AB1709/1000</f>
        <v>0</v>
      </c>
    </row>
    <row r="1615" spans="1:28" x14ac:dyDescent="0.35">
      <c r="A1615" s="36"/>
      <c r="B1615" s="8"/>
      <c r="C1615" s="7" t="s">
        <v>57</v>
      </c>
      <c r="D1615" s="16" t="s">
        <v>61</v>
      </c>
      <c r="E1615" s="9">
        <f>STATS1003B!E1710/1000</f>
        <v>250</v>
      </c>
      <c r="F1615" s="9">
        <f>STATS1003B!F1710/1000</f>
        <v>250</v>
      </c>
      <c r="G1615" s="9">
        <f>STATS1003B!G1710/1000</f>
        <v>0</v>
      </c>
      <c r="H1615" s="9">
        <f>STATS1003B!H1710/1000</f>
        <v>250</v>
      </c>
      <c r="I1615" s="9">
        <f>STATS1003B!I1710/1000</f>
        <v>0</v>
      </c>
      <c r="J1615" s="9">
        <f>STATS1003B!J1710/1000</f>
        <v>0</v>
      </c>
      <c r="K1615" s="9">
        <f>STATS1003B!K1710/1000</f>
        <v>0</v>
      </c>
      <c r="L1615" s="9">
        <f>STATS1003B!L1710/1000</f>
        <v>0</v>
      </c>
      <c r="M1615" s="9">
        <f>STATS1003B!M1710/1000</f>
        <v>250</v>
      </c>
      <c r="N1615" s="9">
        <f>STATS1003B!N1710/1000</f>
        <v>0</v>
      </c>
      <c r="O1615" s="9">
        <f>STATS1003B!O1710/1000</f>
        <v>0</v>
      </c>
      <c r="P1615" s="9">
        <f>STATS1003B!P1710/1000</f>
        <v>0</v>
      </c>
      <c r="Q1615" s="9">
        <f>STATS1003B!Q1710/1000</f>
        <v>0</v>
      </c>
      <c r="R1615" s="9">
        <f>STATS1003B!R1710/1000</f>
        <v>0</v>
      </c>
      <c r="S1615" s="9">
        <f>STATS1003B!S1710/1000</f>
        <v>0</v>
      </c>
      <c r="T1615" s="9">
        <f>STATS1003B!T1710/1000</f>
        <v>0</v>
      </c>
      <c r="U1615" s="9">
        <f>STATS1003B!U1710/1000</f>
        <v>0</v>
      </c>
      <c r="V1615" s="9">
        <f>STATS1003B!V1710/1000</f>
        <v>250</v>
      </c>
      <c r="W1615" s="9">
        <f>STATS1003B!W1710/1000</f>
        <v>0</v>
      </c>
      <c r="X1615" s="9">
        <f>STATS1003B!X1710/1000</f>
        <v>250</v>
      </c>
      <c r="Y1615" s="9">
        <f>STATS1003B!Y1710/1000</f>
        <v>0</v>
      </c>
      <c r="Z1615" s="9">
        <f>STATS1003B!Z1710/1000</f>
        <v>0</v>
      </c>
      <c r="AA1615" s="9">
        <f>STATS1003B!AA1710/1000</f>
        <v>250</v>
      </c>
      <c r="AB1615" s="9">
        <f>STATS1003B!AB1710/1000</f>
        <v>0</v>
      </c>
    </row>
    <row r="1616" spans="1:28" x14ac:dyDescent="0.35">
      <c r="A1616" s="36"/>
      <c r="B1616" s="8"/>
      <c r="C1616" s="8"/>
      <c r="D1616" s="8"/>
      <c r="E1616" s="17" t="s">
        <v>29</v>
      </c>
      <c r="F1616" s="17" t="s">
        <v>29</v>
      </c>
      <c r="G1616" s="17" t="s">
        <v>29</v>
      </c>
      <c r="H1616" s="17" t="s">
        <v>29</v>
      </c>
      <c r="I1616" s="17" t="s">
        <v>29</v>
      </c>
      <c r="J1616" s="17" t="s">
        <v>29</v>
      </c>
      <c r="K1616" s="17" t="s">
        <v>29</v>
      </c>
      <c r="L1616" s="17" t="s">
        <v>29</v>
      </c>
      <c r="M1616" s="17" t="s">
        <v>29</v>
      </c>
      <c r="N1616" s="17" t="s">
        <v>29</v>
      </c>
      <c r="O1616" s="17" t="s">
        <v>29</v>
      </c>
      <c r="P1616" s="17" t="s">
        <v>29</v>
      </c>
      <c r="Q1616" s="17" t="s">
        <v>29</v>
      </c>
      <c r="R1616" s="17" t="s">
        <v>29</v>
      </c>
      <c r="S1616" s="17" t="s">
        <v>29</v>
      </c>
      <c r="T1616" s="17" t="s">
        <v>29</v>
      </c>
      <c r="U1616" s="17" t="s">
        <v>29</v>
      </c>
      <c r="V1616" s="17" t="s">
        <v>29</v>
      </c>
      <c r="W1616" s="17" t="s">
        <v>29</v>
      </c>
      <c r="X1616" s="17" t="s">
        <v>29</v>
      </c>
      <c r="Y1616" s="17" t="s">
        <v>29</v>
      </c>
      <c r="Z1616" s="17" t="s">
        <v>29</v>
      </c>
      <c r="AA1616" s="17" t="s">
        <v>29</v>
      </c>
      <c r="AB1616" s="17" t="s">
        <v>29</v>
      </c>
    </row>
    <row r="1617" spans="1:28" x14ac:dyDescent="0.35">
      <c r="A1617" s="36"/>
      <c r="B1617" s="8"/>
      <c r="C1617" s="8"/>
      <c r="D1617" s="8"/>
      <c r="E1617" s="9">
        <f t="shared" ref="E1617:AB1617" si="114">SUM(E1608:E1615)</f>
        <v>9385.8741199999986</v>
      </c>
      <c r="F1617" s="9">
        <f t="shared" si="114"/>
        <v>8324.3369999999995</v>
      </c>
      <c r="G1617" s="9">
        <f t="shared" si="114"/>
        <v>0</v>
      </c>
      <c r="H1617" s="9">
        <f t="shared" si="114"/>
        <v>8324.3369999999995</v>
      </c>
      <c r="I1617" s="9">
        <f t="shared" si="114"/>
        <v>0</v>
      </c>
      <c r="J1617" s="9">
        <f t="shared" si="114"/>
        <v>0</v>
      </c>
      <c r="K1617" s="9">
        <f t="shared" si="114"/>
        <v>0</v>
      </c>
      <c r="L1617" s="9">
        <f t="shared" si="114"/>
        <v>0</v>
      </c>
      <c r="M1617" s="9">
        <f t="shared" si="114"/>
        <v>8324.3369999999995</v>
      </c>
      <c r="N1617" s="9">
        <f t="shared" si="114"/>
        <v>1061.53712</v>
      </c>
      <c r="O1617" s="9">
        <f t="shared" si="114"/>
        <v>0</v>
      </c>
      <c r="P1617" s="9">
        <f t="shared" si="114"/>
        <v>1061.53712</v>
      </c>
      <c r="Q1617" s="9">
        <f t="shared" si="114"/>
        <v>0</v>
      </c>
      <c r="R1617" s="9">
        <f t="shared" si="114"/>
        <v>0</v>
      </c>
      <c r="S1617" s="9">
        <f t="shared" si="114"/>
        <v>0</v>
      </c>
      <c r="T1617" s="9">
        <f t="shared" si="114"/>
        <v>0</v>
      </c>
      <c r="U1617" s="9">
        <f t="shared" si="114"/>
        <v>1061.53712</v>
      </c>
      <c r="V1617" s="9">
        <f t="shared" si="114"/>
        <v>9385.8741199999986</v>
      </c>
      <c r="W1617" s="9">
        <f t="shared" si="114"/>
        <v>0</v>
      </c>
      <c r="X1617" s="9">
        <f t="shared" si="114"/>
        <v>9385.8741199999986</v>
      </c>
      <c r="Y1617" s="9">
        <f t="shared" si="114"/>
        <v>0</v>
      </c>
      <c r="Z1617" s="9">
        <f t="shared" si="114"/>
        <v>0</v>
      </c>
      <c r="AA1617" s="9">
        <f t="shared" si="114"/>
        <v>9385.8741199999986</v>
      </c>
      <c r="AB1617" s="9">
        <f t="shared" si="114"/>
        <v>0</v>
      </c>
    </row>
    <row r="1618" spans="1:28" x14ac:dyDescent="0.35">
      <c r="A1618" s="36"/>
      <c r="B1618" s="8"/>
      <c r="C1618" s="8"/>
      <c r="D1618" s="8"/>
      <c r="E1618" s="17" t="s">
        <v>29</v>
      </c>
      <c r="F1618" s="17" t="s">
        <v>29</v>
      </c>
      <c r="G1618" s="17" t="s">
        <v>29</v>
      </c>
      <c r="H1618" s="17" t="s">
        <v>29</v>
      </c>
      <c r="I1618" s="17" t="s">
        <v>29</v>
      </c>
      <c r="J1618" s="17" t="s">
        <v>29</v>
      </c>
      <c r="K1618" s="17" t="s">
        <v>29</v>
      </c>
      <c r="L1618" s="17" t="s">
        <v>29</v>
      </c>
      <c r="M1618" s="17" t="s">
        <v>29</v>
      </c>
      <c r="N1618" s="17" t="s">
        <v>29</v>
      </c>
      <c r="O1618" s="17" t="s">
        <v>29</v>
      </c>
      <c r="P1618" s="17" t="s">
        <v>29</v>
      </c>
      <c r="Q1618" s="17" t="s">
        <v>29</v>
      </c>
      <c r="R1618" s="17" t="s">
        <v>29</v>
      </c>
      <c r="S1618" s="17" t="s">
        <v>29</v>
      </c>
      <c r="T1618" s="17" t="s">
        <v>29</v>
      </c>
      <c r="U1618" s="17" t="s">
        <v>29</v>
      </c>
      <c r="V1618" s="17" t="s">
        <v>29</v>
      </c>
      <c r="W1618" s="17" t="s">
        <v>29</v>
      </c>
      <c r="X1618" s="17" t="s">
        <v>29</v>
      </c>
      <c r="Y1618" s="17" t="s">
        <v>29</v>
      </c>
      <c r="Z1618" s="17" t="s">
        <v>29</v>
      </c>
      <c r="AA1618" s="17" t="s">
        <v>29</v>
      </c>
      <c r="AB1618" s="17" t="s">
        <v>29</v>
      </c>
    </row>
    <row r="1619" spans="1:28" x14ac:dyDescent="0.35">
      <c r="A1619" s="38" t="s">
        <v>1010</v>
      </c>
      <c r="B1619" s="7" t="s">
        <v>347</v>
      </c>
      <c r="C1619" s="8"/>
      <c r="D1619" s="8"/>
      <c r="E1619" s="8"/>
      <c r="F1619" s="8"/>
      <c r="G1619" s="8"/>
      <c r="H1619" s="8"/>
      <c r="I1619" s="8"/>
      <c r="J1619" s="8"/>
      <c r="K1619" s="8"/>
      <c r="L1619" s="8"/>
      <c r="M1619" s="8"/>
      <c r="N1619" s="8"/>
      <c r="O1619" s="8"/>
      <c r="P1619" s="8"/>
      <c r="Q1619" s="8"/>
      <c r="R1619" s="8"/>
      <c r="S1619" s="8"/>
      <c r="T1619" s="8"/>
      <c r="U1619" s="8"/>
      <c r="V1619" s="8"/>
      <c r="W1619" s="8"/>
      <c r="X1619" s="8"/>
      <c r="Y1619" s="8"/>
      <c r="Z1619" s="8"/>
    </row>
    <row r="1620" spans="1:28" x14ac:dyDescent="0.35">
      <c r="A1620" s="36"/>
      <c r="B1620" s="8"/>
      <c r="C1620" s="7" t="s">
        <v>348</v>
      </c>
      <c r="D1620" s="15" t="s">
        <v>166</v>
      </c>
      <c r="E1620" s="9">
        <f>STATS1003B!E1715/1000</f>
        <v>1924</v>
      </c>
      <c r="F1620" s="9">
        <f>STATS1003B!F1715/1000</f>
        <v>1924</v>
      </c>
      <c r="G1620" s="9">
        <f>STATS1003B!G1715/1000</f>
        <v>0</v>
      </c>
      <c r="H1620" s="9">
        <f>STATS1003B!H1715/1000</f>
        <v>1924</v>
      </c>
      <c r="I1620" s="9">
        <f>STATS1003B!I1715/1000</f>
        <v>0</v>
      </c>
      <c r="J1620" s="9">
        <f>STATS1003B!J1715/1000</f>
        <v>0</v>
      </c>
      <c r="K1620" s="9">
        <f>STATS1003B!K1715/1000</f>
        <v>0</v>
      </c>
      <c r="L1620" s="9">
        <f>STATS1003B!L1715/1000</f>
        <v>0</v>
      </c>
      <c r="M1620" s="9">
        <f>STATS1003B!M1715/1000</f>
        <v>1924</v>
      </c>
      <c r="N1620" s="9">
        <f>STATS1003B!N1715/1000</f>
        <v>0</v>
      </c>
      <c r="O1620" s="9">
        <f>STATS1003B!O1715/1000</f>
        <v>0</v>
      </c>
      <c r="P1620" s="9">
        <f>STATS1003B!P1715/1000</f>
        <v>0</v>
      </c>
      <c r="Q1620" s="9">
        <f>STATS1003B!Q1715/1000</f>
        <v>0</v>
      </c>
      <c r="R1620" s="9">
        <f>STATS1003B!R1715/1000</f>
        <v>0</v>
      </c>
      <c r="S1620" s="9">
        <f>STATS1003B!S1715/1000</f>
        <v>0</v>
      </c>
      <c r="T1620" s="9">
        <f>STATS1003B!T1715/1000</f>
        <v>0</v>
      </c>
      <c r="U1620" s="9">
        <f>STATS1003B!U1715/1000</f>
        <v>0</v>
      </c>
      <c r="V1620" s="9">
        <f>STATS1003B!V1715/1000</f>
        <v>1924</v>
      </c>
      <c r="W1620" s="9">
        <f>STATS1003B!W1715/1000</f>
        <v>0</v>
      </c>
      <c r="X1620" s="9">
        <f>STATS1003B!X1715/1000</f>
        <v>1924</v>
      </c>
      <c r="Y1620" s="9">
        <f>STATS1003B!Y1715/1000</f>
        <v>0</v>
      </c>
      <c r="Z1620" s="9">
        <f>STATS1003B!Z1715/1000</f>
        <v>0</v>
      </c>
      <c r="AA1620" s="9">
        <f>STATS1003B!AA1715/1000</f>
        <v>1924</v>
      </c>
      <c r="AB1620" s="9">
        <f>STATS1003B!AB1715/1000</f>
        <v>0</v>
      </c>
    </row>
    <row r="1621" spans="1:28" x14ac:dyDescent="0.35">
      <c r="A1621" s="36"/>
      <c r="B1621" s="8"/>
      <c r="C1621" s="7" t="s">
        <v>57</v>
      </c>
      <c r="D1621" s="15" t="s">
        <v>68</v>
      </c>
      <c r="E1621" s="9">
        <f>STATS1003B!E1716/1000</f>
        <v>548.63834999999995</v>
      </c>
      <c r="F1621" s="9">
        <f>STATS1003B!F1716/1000</f>
        <v>329.83300000000003</v>
      </c>
      <c r="G1621" s="9">
        <f>STATS1003B!G1716/1000</f>
        <v>0</v>
      </c>
      <c r="H1621" s="9">
        <f>STATS1003B!H1716/1000</f>
        <v>329.83300000000003</v>
      </c>
      <c r="I1621" s="9">
        <f>STATS1003B!I1716/1000</f>
        <v>0</v>
      </c>
      <c r="J1621" s="9">
        <f>STATS1003B!J1716/1000</f>
        <v>0</v>
      </c>
      <c r="K1621" s="9">
        <f>STATS1003B!K1716/1000</f>
        <v>0</v>
      </c>
      <c r="L1621" s="9">
        <f>STATS1003B!L1716/1000</f>
        <v>0</v>
      </c>
      <c r="M1621" s="9">
        <f>STATS1003B!M1716/1000</f>
        <v>329.83300000000003</v>
      </c>
      <c r="N1621" s="9">
        <f>STATS1003B!N1716/1000</f>
        <v>218.80535</v>
      </c>
      <c r="O1621" s="9">
        <f>STATS1003B!O1716/1000</f>
        <v>0</v>
      </c>
      <c r="P1621" s="9">
        <f>STATS1003B!P1716/1000</f>
        <v>218.80535</v>
      </c>
      <c r="Q1621" s="9">
        <f>STATS1003B!Q1716/1000</f>
        <v>0</v>
      </c>
      <c r="R1621" s="9">
        <f>STATS1003B!R1716/1000</f>
        <v>0</v>
      </c>
      <c r="S1621" s="9">
        <f>STATS1003B!S1716/1000</f>
        <v>0</v>
      </c>
      <c r="T1621" s="9">
        <f>STATS1003B!T1716/1000</f>
        <v>0</v>
      </c>
      <c r="U1621" s="9">
        <f>STATS1003B!U1716/1000</f>
        <v>218.80535</v>
      </c>
      <c r="V1621" s="9">
        <f>STATS1003B!V1716/1000</f>
        <v>548.63834999999995</v>
      </c>
      <c r="W1621" s="9">
        <f>STATS1003B!W1716/1000</f>
        <v>0</v>
      </c>
      <c r="X1621" s="9">
        <f>STATS1003B!X1716/1000</f>
        <v>548.63834999999995</v>
      </c>
      <c r="Y1621" s="9">
        <f>STATS1003B!Y1716/1000</f>
        <v>0</v>
      </c>
      <c r="Z1621" s="9">
        <f>STATS1003B!Z1716/1000</f>
        <v>0</v>
      </c>
      <c r="AA1621" s="9">
        <f>STATS1003B!AA1716/1000</f>
        <v>548.63834999999995</v>
      </c>
      <c r="AB1621" s="9">
        <f>STATS1003B!AB1716/1000</f>
        <v>0</v>
      </c>
    </row>
    <row r="1622" spans="1:28" x14ac:dyDescent="0.35">
      <c r="A1622" s="36"/>
      <c r="B1622" s="8"/>
      <c r="C1622" s="7" t="s">
        <v>53</v>
      </c>
      <c r="D1622" s="15" t="s">
        <v>68</v>
      </c>
      <c r="E1622" s="9">
        <f>STATS1003B!E1717/1000</f>
        <v>570.94100000000003</v>
      </c>
      <c r="F1622" s="9">
        <f>STATS1003B!F1717/1000</f>
        <v>0</v>
      </c>
      <c r="G1622" s="9">
        <f>STATS1003B!G1717/1000</f>
        <v>0</v>
      </c>
      <c r="H1622" s="9">
        <f>STATS1003B!H1717/1000</f>
        <v>0</v>
      </c>
      <c r="I1622" s="9">
        <f>STATS1003B!I1717/1000</f>
        <v>0</v>
      </c>
      <c r="J1622" s="9">
        <f>STATS1003B!J1717/1000</f>
        <v>0</v>
      </c>
      <c r="K1622" s="9">
        <f>STATS1003B!K1717/1000</f>
        <v>0</v>
      </c>
      <c r="L1622" s="9">
        <f>STATS1003B!L1717/1000</f>
        <v>0</v>
      </c>
      <c r="M1622" s="9">
        <f>STATS1003B!M1717/1000</f>
        <v>0</v>
      </c>
      <c r="N1622" s="9">
        <f>STATS1003B!N1717/1000</f>
        <v>570.94100000000003</v>
      </c>
      <c r="O1622" s="9">
        <f>STATS1003B!O1717/1000</f>
        <v>0</v>
      </c>
      <c r="P1622" s="9">
        <f>STATS1003B!P1717/1000</f>
        <v>570.94100000000003</v>
      </c>
      <c r="Q1622" s="9">
        <f>STATS1003B!Q1717/1000</f>
        <v>0</v>
      </c>
      <c r="R1622" s="9">
        <f>STATS1003B!R1717/1000</f>
        <v>0</v>
      </c>
      <c r="S1622" s="9">
        <f>STATS1003B!S1717/1000</f>
        <v>0</v>
      </c>
      <c r="T1622" s="9">
        <f>STATS1003B!T1717/1000</f>
        <v>0</v>
      </c>
      <c r="U1622" s="9">
        <f>STATS1003B!U1717/1000</f>
        <v>570.94100000000003</v>
      </c>
      <c r="V1622" s="9">
        <f>STATS1003B!V1717/1000</f>
        <v>570.94100000000003</v>
      </c>
      <c r="W1622" s="9">
        <f>STATS1003B!W1717/1000</f>
        <v>0</v>
      </c>
      <c r="X1622" s="9">
        <f>STATS1003B!X1717/1000</f>
        <v>570.94100000000003</v>
      </c>
      <c r="Y1622" s="9">
        <f>STATS1003B!Y1717/1000</f>
        <v>0</v>
      </c>
      <c r="Z1622" s="9">
        <f>STATS1003B!Z1717/1000</f>
        <v>0</v>
      </c>
      <c r="AA1622" s="9">
        <f>STATS1003B!AA1717/1000</f>
        <v>570.94100000000003</v>
      </c>
      <c r="AB1622" s="9">
        <f>STATS1003B!AB1717/1000</f>
        <v>0</v>
      </c>
    </row>
    <row r="1623" spans="1:28" x14ac:dyDescent="0.35">
      <c r="A1623" s="36"/>
      <c r="B1623" s="8"/>
      <c r="C1623" s="7" t="s">
        <v>57</v>
      </c>
      <c r="D1623" s="15" t="s">
        <v>60</v>
      </c>
      <c r="E1623" s="9">
        <f>STATS1003B!E1718/1000</f>
        <v>6401.1009999999997</v>
      </c>
      <c r="F1623" s="9">
        <f>STATS1003B!F1718/1000</f>
        <v>6401.1009999999997</v>
      </c>
      <c r="G1623" s="9">
        <f>STATS1003B!G1718/1000</f>
        <v>0</v>
      </c>
      <c r="H1623" s="9">
        <f>STATS1003B!H1718/1000</f>
        <v>6401.1009999999997</v>
      </c>
      <c r="I1623" s="9">
        <f>STATS1003B!I1718/1000</f>
        <v>0</v>
      </c>
      <c r="J1623" s="9">
        <f>STATS1003B!J1718/1000</f>
        <v>0</v>
      </c>
      <c r="K1623" s="9">
        <f>STATS1003B!K1718/1000</f>
        <v>0</v>
      </c>
      <c r="L1623" s="9">
        <f>STATS1003B!L1718/1000</f>
        <v>0</v>
      </c>
      <c r="M1623" s="9">
        <f>STATS1003B!M1718/1000</f>
        <v>6401.1009999999997</v>
      </c>
      <c r="N1623" s="9">
        <f>STATS1003B!N1718/1000</f>
        <v>0</v>
      </c>
      <c r="O1623" s="9">
        <f>STATS1003B!O1718/1000</f>
        <v>0</v>
      </c>
      <c r="P1623" s="9">
        <f>STATS1003B!P1718/1000</f>
        <v>0</v>
      </c>
      <c r="Q1623" s="9">
        <f>STATS1003B!Q1718/1000</f>
        <v>0</v>
      </c>
      <c r="R1623" s="9">
        <f>STATS1003B!R1718/1000</f>
        <v>0</v>
      </c>
      <c r="S1623" s="9">
        <f>STATS1003B!S1718/1000</f>
        <v>0</v>
      </c>
      <c r="T1623" s="9">
        <f>STATS1003B!T1718/1000</f>
        <v>0</v>
      </c>
      <c r="U1623" s="9">
        <f>STATS1003B!U1718/1000</f>
        <v>0</v>
      </c>
      <c r="V1623" s="9">
        <f>STATS1003B!V1718/1000</f>
        <v>6401.1009999999997</v>
      </c>
      <c r="W1623" s="9">
        <f>STATS1003B!W1718/1000</f>
        <v>0</v>
      </c>
      <c r="X1623" s="9">
        <f>STATS1003B!X1718/1000</f>
        <v>6401.1009999999997</v>
      </c>
      <c r="Y1623" s="9">
        <f>STATS1003B!Y1718/1000</f>
        <v>0</v>
      </c>
      <c r="Z1623" s="9">
        <f>STATS1003B!Z1718/1000</f>
        <v>0</v>
      </c>
      <c r="AA1623" s="9">
        <f>STATS1003B!AA1718/1000</f>
        <v>6401.1009999999997</v>
      </c>
      <c r="AB1623" s="9">
        <f>STATS1003B!AB1718/1000</f>
        <v>0</v>
      </c>
    </row>
    <row r="1624" spans="1:28" x14ac:dyDescent="0.35">
      <c r="A1624" s="36"/>
      <c r="B1624" s="8"/>
      <c r="C1624" s="7" t="s">
        <v>924</v>
      </c>
      <c r="D1624" s="15"/>
      <c r="E1624" s="9">
        <f>STATS1003B!E1719/1000</f>
        <v>281.63</v>
      </c>
      <c r="F1624" s="9">
        <f>STATS1003B!F1719/1000</f>
        <v>281.63</v>
      </c>
      <c r="G1624" s="9">
        <f>STATS1003B!G1719/1000</f>
        <v>0</v>
      </c>
      <c r="H1624" s="9">
        <f>STATS1003B!H1719/1000</f>
        <v>281.63</v>
      </c>
      <c r="I1624" s="9">
        <f>STATS1003B!I1719/1000</f>
        <v>0</v>
      </c>
      <c r="J1624" s="9">
        <f>STATS1003B!J1719/1000</f>
        <v>0</v>
      </c>
      <c r="K1624" s="9">
        <f>STATS1003B!K1719/1000</f>
        <v>0</v>
      </c>
      <c r="L1624" s="9">
        <f>STATS1003B!L1719/1000</f>
        <v>0</v>
      </c>
      <c r="M1624" s="9">
        <f>STATS1003B!M1719/1000</f>
        <v>281.63</v>
      </c>
      <c r="N1624" s="9">
        <f>STATS1003B!N1719/1000</f>
        <v>0</v>
      </c>
      <c r="O1624" s="9">
        <f>STATS1003B!O1719/1000</f>
        <v>0</v>
      </c>
      <c r="P1624" s="9">
        <f>STATS1003B!P1719/1000</f>
        <v>0</v>
      </c>
      <c r="Q1624" s="9">
        <f>STATS1003B!Q1719/1000</f>
        <v>0</v>
      </c>
      <c r="R1624" s="9">
        <f>STATS1003B!R1719/1000</f>
        <v>0</v>
      </c>
      <c r="S1624" s="9">
        <f>STATS1003B!S1719/1000</f>
        <v>0</v>
      </c>
      <c r="T1624" s="9">
        <f>STATS1003B!T1719/1000</f>
        <v>0</v>
      </c>
      <c r="U1624" s="9">
        <f>STATS1003B!U1719/1000</f>
        <v>0</v>
      </c>
      <c r="V1624" s="9">
        <f>STATS1003B!V1719/1000</f>
        <v>281.63</v>
      </c>
      <c r="W1624" s="9">
        <f>STATS1003B!W1719/1000</f>
        <v>0</v>
      </c>
      <c r="X1624" s="9">
        <f>STATS1003B!X1719/1000</f>
        <v>281.63</v>
      </c>
      <c r="Y1624" s="9">
        <f>STATS1003B!Y1719/1000</f>
        <v>0</v>
      </c>
      <c r="Z1624" s="9">
        <f>STATS1003B!Z1719/1000</f>
        <v>0</v>
      </c>
      <c r="AA1624" s="9">
        <f>STATS1003B!AA1719/1000</f>
        <v>281.63</v>
      </c>
      <c r="AB1624" s="9">
        <f>STATS1003B!AB1719/1000</f>
        <v>0</v>
      </c>
    </row>
    <row r="1625" spans="1:28" x14ac:dyDescent="0.35">
      <c r="A1625" s="36"/>
      <c r="B1625" s="8"/>
      <c r="C1625" s="7" t="s">
        <v>930</v>
      </c>
      <c r="D1625" s="16" t="s">
        <v>1072</v>
      </c>
      <c r="E1625" s="9">
        <f>STATS1003B!E1720/1000</f>
        <v>764.12492000000009</v>
      </c>
      <c r="F1625" s="9">
        <f>STATS1003B!F1720/1000</f>
        <v>764.12492000000009</v>
      </c>
      <c r="G1625" s="9">
        <f>STATS1003B!G1720/1000</f>
        <v>0</v>
      </c>
      <c r="H1625" s="9">
        <f>STATS1003B!H1720/1000</f>
        <v>764.12492000000009</v>
      </c>
      <c r="I1625" s="9">
        <f>STATS1003B!I1720/1000</f>
        <v>0</v>
      </c>
      <c r="J1625" s="9">
        <f>STATS1003B!J1720/1000</f>
        <v>0</v>
      </c>
      <c r="K1625" s="9">
        <f>STATS1003B!K1720/1000</f>
        <v>0</v>
      </c>
      <c r="L1625" s="9">
        <f>STATS1003B!L1720/1000</f>
        <v>0</v>
      </c>
      <c r="M1625" s="9">
        <f>STATS1003B!M1720/1000</f>
        <v>764.12492000000009</v>
      </c>
      <c r="N1625" s="9">
        <f>STATS1003B!N1720/1000</f>
        <v>0</v>
      </c>
      <c r="O1625" s="9">
        <f>STATS1003B!O1720/1000</f>
        <v>0</v>
      </c>
      <c r="P1625" s="9">
        <f>STATS1003B!P1720/1000</f>
        <v>0</v>
      </c>
      <c r="Q1625" s="9">
        <f>STATS1003B!Q1720/1000</f>
        <v>0</v>
      </c>
      <c r="R1625" s="9">
        <f>STATS1003B!R1720/1000</f>
        <v>0</v>
      </c>
      <c r="S1625" s="9">
        <f>STATS1003B!S1720/1000</f>
        <v>0</v>
      </c>
      <c r="T1625" s="9">
        <f>STATS1003B!T1720/1000</f>
        <v>0</v>
      </c>
      <c r="U1625" s="9">
        <f>STATS1003B!U1720/1000</f>
        <v>0</v>
      </c>
      <c r="V1625" s="9">
        <f>STATS1003B!V1720/1000</f>
        <v>764.12492000000009</v>
      </c>
      <c r="W1625" s="9">
        <f>STATS1003B!W1720/1000</f>
        <v>0</v>
      </c>
      <c r="X1625" s="9">
        <f>STATS1003B!X1720/1000</f>
        <v>764.12492000000009</v>
      </c>
      <c r="Y1625" s="9">
        <f>STATS1003B!Y1720/1000</f>
        <v>0</v>
      </c>
      <c r="Z1625" s="9">
        <f>STATS1003B!Z1720/1000</f>
        <v>0</v>
      </c>
      <c r="AA1625" s="9">
        <f>STATS1003B!AA1720/1000</f>
        <v>764.12492000000009</v>
      </c>
      <c r="AB1625" s="9">
        <f>STATS1003B!AB1720/1000</f>
        <v>0</v>
      </c>
    </row>
    <row r="1626" spans="1:28" x14ac:dyDescent="0.35">
      <c r="A1626" s="36"/>
      <c r="B1626" s="8"/>
      <c r="C1626" s="7" t="s">
        <v>57</v>
      </c>
      <c r="D1626" s="16" t="s">
        <v>61</v>
      </c>
      <c r="E1626" s="9">
        <f>STATS1003B!E1721/1000</f>
        <v>281.63</v>
      </c>
      <c r="F1626" s="9">
        <f>STATS1003B!F1721/1000</f>
        <v>281.63</v>
      </c>
      <c r="G1626" s="9">
        <f>STATS1003B!G1721/1000</f>
        <v>0</v>
      </c>
      <c r="H1626" s="9">
        <f>STATS1003B!H1721/1000</f>
        <v>281.63</v>
      </c>
      <c r="I1626" s="9">
        <f>STATS1003B!I1721/1000</f>
        <v>0</v>
      </c>
      <c r="J1626" s="9">
        <f>STATS1003B!J1721/1000</f>
        <v>0</v>
      </c>
      <c r="K1626" s="9">
        <f>STATS1003B!K1721/1000</f>
        <v>0</v>
      </c>
      <c r="L1626" s="9">
        <f>STATS1003B!L1721/1000</f>
        <v>0</v>
      </c>
      <c r="M1626" s="9">
        <f>STATS1003B!M1721/1000</f>
        <v>281.63</v>
      </c>
      <c r="N1626" s="9">
        <f>STATS1003B!N1721/1000</f>
        <v>0</v>
      </c>
      <c r="O1626" s="9">
        <f>STATS1003B!O1721/1000</f>
        <v>0</v>
      </c>
      <c r="P1626" s="9">
        <f>STATS1003B!P1721/1000</f>
        <v>0</v>
      </c>
      <c r="Q1626" s="9">
        <f>STATS1003B!Q1721/1000</f>
        <v>0</v>
      </c>
      <c r="R1626" s="9">
        <f>STATS1003B!R1721/1000</f>
        <v>0</v>
      </c>
      <c r="S1626" s="9">
        <f>STATS1003B!S1721/1000</f>
        <v>0</v>
      </c>
      <c r="T1626" s="9">
        <f>STATS1003B!T1721/1000</f>
        <v>0</v>
      </c>
      <c r="U1626" s="9">
        <f>STATS1003B!U1721/1000</f>
        <v>0</v>
      </c>
      <c r="V1626" s="9">
        <f>STATS1003B!V1721/1000</f>
        <v>281.63</v>
      </c>
      <c r="W1626" s="9">
        <f>STATS1003B!W1721/1000</f>
        <v>0</v>
      </c>
      <c r="X1626" s="9">
        <f>STATS1003B!X1721/1000</f>
        <v>281.63</v>
      </c>
      <c r="Y1626" s="9">
        <f>STATS1003B!Y1721/1000</f>
        <v>0</v>
      </c>
      <c r="Z1626" s="9">
        <f>STATS1003B!Z1721/1000</f>
        <v>0</v>
      </c>
      <c r="AA1626" s="9">
        <f>STATS1003B!AA1721/1000</f>
        <v>281.63</v>
      </c>
      <c r="AB1626" s="9">
        <f>STATS1003B!AB1721/1000</f>
        <v>0</v>
      </c>
    </row>
    <row r="1627" spans="1:28" x14ac:dyDescent="0.35">
      <c r="A1627" s="36"/>
      <c r="B1627" s="8"/>
      <c r="C1627" s="9"/>
      <c r="D1627" s="8"/>
      <c r="E1627" s="17" t="s">
        <v>29</v>
      </c>
      <c r="F1627" s="17" t="s">
        <v>29</v>
      </c>
      <c r="G1627" s="17" t="s">
        <v>29</v>
      </c>
      <c r="H1627" s="17" t="s">
        <v>29</v>
      </c>
      <c r="I1627" s="17" t="s">
        <v>29</v>
      </c>
      <c r="J1627" s="17" t="s">
        <v>29</v>
      </c>
      <c r="K1627" s="17" t="s">
        <v>29</v>
      </c>
      <c r="L1627" s="17" t="s">
        <v>29</v>
      </c>
      <c r="M1627" s="17" t="s">
        <v>29</v>
      </c>
      <c r="N1627" s="17" t="s">
        <v>29</v>
      </c>
      <c r="O1627" s="17" t="s">
        <v>29</v>
      </c>
      <c r="P1627" s="17" t="s">
        <v>29</v>
      </c>
      <c r="Q1627" s="17" t="s">
        <v>29</v>
      </c>
      <c r="R1627" s="17" t="s">
        <v>29</v>
      </c>
      <c r="S1627" s="17" t="s">
        <v>29</v>
      </c>
      <c r="T1627" s="17" t="s">
        <v>29</v>
      </c>
      <c r="U1627" s="17" t="s">
        <v>29</v>
      </c>
      <c r="V1627" s="17" t="s">
        <v>29</v>
      </c>
      <c r="W1627" s="17" t="s">
        <v>29</v>
      </c>
      <c r="X1627" s="17" t="s">
        <v>29</v>
      </c>
      <c r="Y1627" s="17" t="s">
        <v>29</v>
      </c>
      <c r="Z1627" s="17" t="s">
        <v>29</v>
      </c>
      <c r="AA1627" s="17" t="s">
        <v>29</v>
      </c>
      <c r="AB1627" s="17" t="s">
        <v>29</v>
      </c>
    </row>
    <row r="1628" spans="1:28" x14ac:dyDescent="0.35">
      <c r="A1628" s="36"/>
      <c r="B1628" s="8"/>
      <c r="C1628" s="9"/>
      <c r="D1628" s="8"/>
      <c r="E1628" s="9">
        <f t="shared" ref="E1628:AB1628" si="115">SUM(E1620:E1626)</f>
        <v>10772.065269999997</v>
      </c>
      <c r="F1628" s="9">
        <f t="shared" si="115"/>
        <v>9982.3189199999979</v>
      </c>
      <c r="G1628" s="9">
        <f t="shared" si="115"/>
        <v>0</v>
      </c>
      <c r="H1628" s="9">
        <f t="shared" si="115"/>
        <v>9982.3189199999979</v>
      </c>
      <c r="I1628" s="9">
        <f t="shared" si="115"/>
        <v>0</v>
      </c>
      <c r="J1628" s="9">
        <f t="shared" si="115"/>
        <v>0</v>
      </c>
      <c r="K1628" s="9">
        <f t="shared" si="115"/>
        <v>0</v>
      </c>
      <c r="L1628" s="9">
        <f t="shared" si="115"/>
        <v>0</v>
      </c>
      <c r="M1628" s="9">
        <f t="shared" si="115"/>
        <v>9982.3189199999979</v>
      </c>
      <c r="N1628" s="9">
        <f t="shared" si="115"/>
        <v>789.74635000000001</v>
      </c>
      <c r="O1628" s="9">
        <f t="shared" si="115"/>
        <v>0</v>
      </c>
      <c r="P1628" s="9">
        <f t="shared" si="115"/>
        <v>789.74635000000001</v>
      </c>
      <c r="Q1628" s="9">
        <f t="shared" si="115"/>
        <v>0</v>
      </c>
      <c r="R1628" s="9">
        <f t="shared" si="115"/>
        <v>0</v>
      </c>
      <c r="S1628" s="9">
        <f t="shared" si="115"/>
        <v>0</v>
      </c>
      <c r="T1628" s="9">
        <f t="shared" si="115"/>
        <v>0</v>
      </c>
      <c r="U1628" s="9">
        <f t="shared" si="115"/>
        <v>789.74635000000001</v>
      </c>
      <c r="V1628" s="9">
        <f t="shared" si="115"/>
        <v>10772.065269999997</v>
      </c>
      <c r="W1628" s="9">
        <f t="shared" si="115"/>
        <v>0</v>
      </c>
      <c r="X1628" s="9">
        <f t="shared" si="115"/>
        <v>10772.065269999997</v>
      </c>
      <c r="Y1628" s="9">
        <f t="shared" si="115"/>
        <v>0</v>
      </c>
      <c r="Z1628" s="9">
        <f t="shared" si="115"/>
        <v>0</v>
      </c>
      <c r="AA1628" s="9">
        <f t="shared" si="115"/>
        <v>10772.065269999997</v>
      </c>
      <c r="AB1628" s="9">
        <f t="shared" si="115"/>
        <v>0</v>
      </c>
    </row>
    <row r="1629" spans="1:28" x14ac:dyDescent="0.35">
      <c r="A1629" s="36"/>
      <c r="B1629" s="8"/>
      <c r="C1629" s="8"/>
      <c r="D1629" s="8"/>
      <c r="E1629" s="17" t="s">
        <v>29</v>
      </c>
      <c r="F1629" s="17" t="s">
        <v>29</v>
      </c>
      <c r="G1629" s="17" t="s">
        <v>29</v>
      </c>
      <c r="H1629" s="17" t="s">
        <v>29</v>
      </c>
      <c r="I1629" s="17" t="s">
        <v>29</v>
      </c>
      <c r="J1629" s="17" t="s">
        <v>29</v>
      </c>
      <c r="K1629" s="17" t="s">
        <v>29</v>
      </c>
      <c r="L1629" s="17" t="s">
        <v>29</v>
      </c>
      <c r="M1629" s="17" t="s">
        <v>29</v>
      </c>
      <c r="N1629" s="17" t="s">
        <v>29</v>
      </c>
      <c r="O1629" s="17" t="s">
        <v>29</v>
      </c>
      <c r="P1629" s="17" t="s">
        <v>29</v>
      </c>
      <c r="Q1629" s="17" t="s">
        <v>29</v>
      </c>
      <c r="R1629" s="17" t="s">
        <v>29</v>
      </c>
      <c r="S1629" s="17" t="s">
        <v>29</v>
      </c>
      <c r="T1629" s="17" t="s">
        <v>29</v>
      </c>
      <c r="U1629" s="17" t="s">
        <v>29</v>
      </c>
      <c r="V1629" s="17" t="s">
        <v>29</v>
      </c>
      <c r="W1629" s="17" t="s">
        <v>29</v>
      </c>
      <c r="X1629" s="17" t="s">
        <v>29</v>
      </c>
      <c r="Y1629" s="17" t="s">
        <v>29</v>
      </c>
      <c r="Z1629" s="17" t="s">
        <v>29</v>
      </c>
      <c r="AA1629" s="17" t="s">
        <v>29</v>
      </c>
      <c r="AB1629" s="17" t="s">
        <v>29</v>
      </c>
    </row>
    <row r="1630" spans="1:28" x14ac:dyDescent="0.35">
      <c r="A1630" s="38" t="s">
        <v>1011</v>
      </c>
      <c r="B1630" s="7" t="s">
        <v>349</v>
      </c>
      <c r="C1630" s="8"/>
      <c r="D1630" s="8"/>
      <c r="E1630" s="8"/>
      <c r="F1630" s="8"/>
      <c r="G1630" s="8"/>
      <c r="H1630" s="8"/>
      <c r="I1630" s="8"/>
      <c r="J1630" s="8"/>
      <c r="K1630" s="8"/>
      <c r="L1630" s="8"/>
      <c r="M1630" s="8"/>
      <c r="N1630" s="8"/>
      <c r="O1630" s="8"/>
      <c r="P1630" s="8"/>
      <c r="Q1630" s="8"/>
      <c r="R1630" s="8"/>
      <c r="S1630" s="8"/>
      <c r="T1630" s="8"/>
      <c r="U1630" s="8"/>
      <c r="V1630" s="8"/>
      <c r="W1630" s="8"/>
      <c r="X1630" s="8"/>
      <c r="Y1630" s="8"/>
      <c r="Z1630" s="8"/>
    </row>
    <row r="1631" spans="1:28" x14ac:dyDescent="0.35">
      <c r="A1631" s="36"/>
      <c r="B1631" s="8"/>
      <c r="C1631" s="7" t="s">
        <v>57</v>
      </c>
      <c r="D1631" s="15" t="s">
        <v>68</v>
      </c>
      <c r="E1631" s="9">
        <f>STATS1003B!E1726/1000</f>
        <v>323.23899999999998</v>
      </c>
      <c r="F1631" s="9">
        <f>STATS1003B!F1726/1000</f>
        <v>323.23899999999998</v>
      </c>
      <c r="G1631" s="9">
        <f>STATS1003B!G1726/1000</f>
        <v>0</v>
      </c>
      <c r="H1631" s="9">
        <f>STATS1003B!H1726/1000</f>
        <v>323.23899999999998</v>
      </c>
      <c r="I1631" s="9">
        <f>STATS1003B!I1726/1000</f>
        <v>0</v>
      </c>
      <c r="J1631" s="9">
        <f>STATS1003B!J1726/1000</f>
        <v>0</v>
      </c>
      <c r="K1631" s="9">
        <f>STATS1003B!K1726/1000</f>
        <v>0</v>
      </c>
      <c r="L1631" s="9">
        <f>STATS1003B!L1726/1000</f>
        <v>0</v>
      </c>
      <c r="M1631" s="9">
        <f>STATS1003B!M1726/1000</f>
        <v>323.23899999999998</v>
      </c>
      <c r="N1631" s="9">
        <f>STATS1003B!N1726/1000</f>
        <v>0</v>
      </c>
      <c r="O1631" s="9">
        <f>STATS1003B!O1726/1000</f>
        <v>0</v>
      </c>
      <c r="P1631" s="9">
        <f>STATS1003B!P1726/1000</f>
        <v>0</v>
      </c>
      <c r="Q1631" s="9">
        <f>STATS1003B!Q1726/1000</f>
        <v>0</v>
      </c>
      <c r="R1631" s="9">
        <f>STATS1003B!R1726/1000</f>
        <v>0</v>
      </c>
      <c r="S1631" s="9">
        <f>STATS1003B!S1726/1000</f>
        <v>0</v>
      </c>
      <c r="T1631" s="9">
        <f>STATS1003B!T1726/1000</f>
        <v>0</v>
      </c>
      <c r="U1631" s="9">
        <f>STATS1003B!U1726/1000</f>
        <v>0</v>
      </c>
      <c r="V1631" s="9">
        <f>STATS1003B!V1726/1000</f>
        <v>323.23899999999998</v>
      </c>
      <c r="W1631" s="9">
        <f>STATS1003B!W1726/1000</f>
        <v>0</v>
      </c>
      <c r="X1631" s="9">
        <f>STATS1003B!X1726/1000</f>
        <v>323.23899999999998</v>
      </c>
      <c r="Y1631" s="9">
        <f>STATS1003B!Y1726/1000</f>
        <v>0</v>
      </c>
      <c r="Z1631" s="9">
        <f>STATS1003B!Z1726/1000</f>
        <v>0</v>
      </c>
      <c r="AA1631" s="9">
        <f>STATS1003B!AA1726/1000</f>
        <v>323.23899999999998</v>
      </c>
      <c r="AB1631" s="9">
        <f>STATS1003B!AB1726/1000</f>
        <v>0</v>
      </c>
    </row>
    <row r="1632" spans="1:28" x14ac:dyDescent="0.35">
      <c r="A1632" s="36"/>
      <c r="B1632" s="8"/>
      <c r="C1632" s="7" t="s">
        <v>53</v>
      </c>
      <c r="D1632" s="15" t="s">
        <v>68</v>
      </c>
      <c r="E1632" s="9">
        <f>STATS1003B!E1727/1000</f>
        <v>570.94100000000003</v>
      </c>
      <c r="F1632" s="9">
        <f>STATS1003B!F1727/1000</f>
        <v>0</v>
      </c>
      <c r="G1632" s="9">
        <f>STATS1003B!G1727/1000</f>
        <v>0</v>
      </c>
      <c r="H1632" s="9">
        <f>STATS1003B!H1727/1000</f>
        <v>0</v>
      </c>
      <c r="I1632" s="9">
        <f>STATS1003B!I1727/1000</f>
        <v>0</v>
      </c>
      <c r="J1632" s="9">
        <f>STATS1003B!J1727/1000</f>
        <v>0</v>
      </c>
      <c r="K1632" s="9">
        <f>STATS1003B!K1727/1000</f>
        <v>0</v>
      </c>
      <c r="L1632" s="9">
        <f>STATS1003B!L1727/1000</f>
        <v>0</v>
      </c>
      <c r="M1632" s="9">
        <f>STATS1003B!M1727/1000</f>
        <v>0</v>
      </c>
      <c r="N1632" s="9">
        <f>STATS1003B!N1727/1000</f>
        <v>570.94100000000003</v>
      </c>
      <c r="O1632" s="9">
        <f>STATS1003B!O1727/1000</f>
        <v>0</v>
      </c>
      <c r="P1632" s="9">
        <f>STATS1003B!P1727/1000</f>
        <v>570.94100000000003</v>
      </c>
      <c r="Q1632" s="9">
        <f>STATS1003B!Q1727/1000</f>
        <v>0</v>
      </c>
      <c r="R1632" s="9">
        <f>STATS1003B!R1727/1000</f>
        <v>0</v>
      </c>
      <c r="S1632" s="9">
        <f>STATS1003B!S1727/1000</f>
        <v>0</v>
      </c>
      <c r="T1632" s="9">
        <f>STATS1003B!T1727/1000</f>
        <v>0</v>
      </c>
      <c r="U1632" s="9">
        <f>STATS1003B!U1727/1000</f>
        <v>570.94100000000003</v>
      </c>
      <c r="V1632" s="9">
        <f>STATS1003B!V1727/1000</f>
        <v>570.94100000000003</v>
      </c>
      <c r="W1632" s="9">
        <f>STATS1003B!W1727/1000</f>
        <v>0</v>
      </c>
      <c r="X1632" s="9">
        <f>STATS1003B!X1727/1000</f>
        <v>570.94100000000003</v>
      </c>
      <c r="Y1632" s="9">
        <f>STATS1003B!Y1727/1000</f>
        <v>0</v>
      </c>
      <c r="Z1632" s="9">
        <f>STATS1003B!Z1727/1000</f>
        <v>0</v>
      </c>
      <c r="AA1632" s="9">
        <f>STATS1003B!AA1727/1000</f>
        <v>570.94100000000003</v>
      </c>
      <c r="AB1632" s="9">
        <f>STATS1003B!AB1727/1000</f>
        <v>0</v>
      </c>
    </row>
    <row r="1633" spans="1:28" x14ac:dyDescent="0.35">
      <c r="A1633" s="36"/>
      <c r="B1633" s="8"/>
      <c r="C1633" s="7" t="s">
        <v>350</v>
      </c>
      <c r="D1633" s="15" t="s">
        <v>234</v>
      </c>
      <c r="E1633" s="9">
        <f>STATS1003B!E1728/1000</f>
        <v>3989.3530000000001</v>
      </c>
      <c r="F1633" s="9">
        <f>STATS1003B!F1728/1000</f>
        <v>3989.3530000000001</v>
      </c>
      <c r="G1633" s="9">
        <f>STATS1003B!G1728/1000</f>
        <v>0</v>
      </c>
      <c r="H1633" s="9">
        <f>STATS1003B!H1728/1000</f>
        <v>3989.3530000000001</v>
      </c>
      <c r="I1633" s="9">
        <f>STATS1003B!I1728/1000</f>
        <v>0</v>
      </c>
      <c r="J1633" s="9">
        <f>STATS1003B!J1728/1000</f>
        <v>0</v>
      </c>
      <c r="K1633" s="9">
        <f>STATS1003B!K1728/1000</f>
        <v>0</v>
      </c>
      <c r="L1633" s="9">
        <f>STATS1003B!L1728/1000</f>
        <v>0</v>
      </c>
      <c r="M1633" s="9">
        <f>STATS1003B!M1728/1000</f>
        <v>3989.3530000000001</v>
      </c>
      <c r="N1633" s="9">
        <f>STATS1003B!N1728/1000</f>
        <v>0</v>
      </c>
      <c r="O1633" s="9">
        <f>STATS1003B!O1728/1000</f>
        <v>0</v>
      </c>
      <c r="P1633" s="9">
        <f>STATS1003B!P1728/1000</f>
        <v>0</v>
      </c>
      <c r="Q1633" s="9">
        <f>STATS1003B!Q1728/1000</f>
        <v>0</v>
      </c>
      <c r="R1633" s="9">
        <f>STATS1003B!R1728/1000</f>
        <v>0</v>
      </c>
      <c r="S1633" s="9">
        <f>STATS1003B!S1728/1000</f>
        <v>0</v>
      </c>
      <c r="T1633" s="9">
        <f>STATS1003B!T1728/1000</f>
        <v>0</v>
      </c>
      <c r="U1633" s="9">
        <f>STATS1003B!U1728/1000</f>
        <v>0</v>
      </c>
      <c r="V1633" s="9">
        <f>STATS1003B!V1728/1000</f>
        <v>3989.3530000000001</v>
      </c>
      <c r="W1633" s="9">
        <f>STATS1003B!W1728/1000</f>
        <v>0</v>
      </c>
      <c r="X1633" s="9">
        <f>STATS1003B!X1728/1000</f>
        <v>3989.3530000000001</v>
      </c>
      <c r="Y1633" s="9">
        <f>STATS1003B!Y1728/1000</f>
        <v>0</v>
      </c>
      <c r="Z1633" s="9">
        <f>STATS1003B!Z1728/1000</f>
        <v>0</v>
      </c>
      <c r="AA1633" s="9">
        <f>STATS1003B!AA1728/1000</f>
        <v>3989.3530000000001</v>
      </c>
      <c r="AB1633" s="9">
        <f>STATS1003B!AB1728/1000</f>
        <v>0</v>
      </c>
    </row>
    <row r="1634" spans="1:28" x14ac:dyDescent="0.35">
      <c r="A1634" s="36"/>
      <c r="B1634" s="8"/>
      <c r="C1634" s="7" t="s">
        <v>57</v>
      </c>
      <c r="D1634" s="15" t="s">
        <v>54</v>
      </c>
      <c r="E1634" s="9">
        <f>STATS1003B!E1729/1000</f>
        <v>137.47800000000001</v>
      </c>
      <c r="F1634" s="9">
        <f>STATS1003B!F1729/1000</f>
        <v>137.47800000000001</v>
      </c>
      <c r="G1634" s="9">
        <f>STATS1003B!G1729/1000</f>
        <v>0</v>
      </c>
      <c r="H1634" s="9">
        <f>STATS1003B!H1729/1000</f>
        <v>137.47800000000001</v>
      </c>
      <c r="I1634" s="9">
        <f>STATS1003B!I1729/1000</f>
        <v>0</v>
      </c>
      <c r="J1634" s="9">
        <f>STATS1003B!J1729/1000</f>
        <v>0</v>
      </c>
      <c r="K1634" s="9">
        <f>STATS1003B!K1729/1000</f>
        <v>0</v>
      </c>
      <c r="L1634" s="9">
        <f>STATS1003B!L1729/1000</f>
        <v>0</v>
      </c>
      <c r="M1634" s="9">
        <f>STATS1003B!M1729/1000</f>
        <v>137.47800000000001</v>
      </c>
      <c r="N1634" s="9">
        <f>STATS1003B!N1729/1000</f>
        <v>0</v>
      </c>
      <c r="O1634" s="9">
        <f>STATS1003B!O1729/1000</f>
        <v>0</v>
      </c>
      <c r="P1634" s="9">
        <f>STATS1003B!P1729/1000</f>
        <v>0</v>
      </c>
      <c r="Q1634" s="9">
        <f>STATS1003B!Q1729/1000</f>
        <v>0</v>
      </c>
      <c r="R1634" s="9">
        <f>STATS1003B!R1729/1000</f>
        <v>0</v>
      </c>
      <c r="S1634" s="9">
        <f>STATS1003B!S1729/1000</f>
        <v>0</v>
      </c>
      <c r="T1634" s="9">
        <f>STATS1003B!T1729/1000</f>
        <v>0</v>
      </c>
      <c r="U1634" s="9">
        <f>STATS1003B!U1729/1000</f>
        <v>0</v>
      </c>
      <c r="V1634" s="9">
        <f>STATS1003B!V1729/1000</f>
        <v>137.47800000000001</v>
      </c>
      <c r="W1634" s="9">
        <f>STATS1003B!W1729/1000</f>
        <v>0</v>
      </c>
      <c r="X1634" s="9">
        <f>STATS1003B!X1729/1000</f>
        <v>137.47800000000001</v>
      </c>
      <c r="Y1634" s="9">
        <f>STATS1003B!Y1729/1000</f>
        <v>0</v>
      </c>
      <c r="Z1634" s="9">
        <f>STATS1003B!Z1729/1000</f>
        <v>0</v>
      </c>
      <c r="AA1634" s="9">
        <f>STATS1003B!AA1729/1000</f>
        <v>137.47800000000001</v>
      </c>
      <c r="AB1634" s="9">
        <f>STATS1003B!AB1729/1000</f>
        <v>0</v>
      </c>
    </row>
    <row r="1635" spans="1:28" x14ac:dyDescent="0.35">
      <c r="A1635" s="36"/>
      <c r="B1635" s="8"/>
      <c r="C1635" s="7" t="s">
        <v>351</v>
      </c>
      <c r="D1635" s="15" t="s">
        <v>234</v>
      </c>
      <c r="E1635" s="9">
        <f>STATS1003B!E1730/1000</f>
        <v>232</v>
      </c>
      <c r="F1635" s="9">
        <f>STATS1003B!F1730/1000</f>
        <v>232</v>
      </c>
      <c r="G1635" s="9">
        <f>STATS1003B!G1730/1000</f>
        <v>0</v>
      </c>
      <c r="H1635" s="9">
        <f>STATS1003B!H1730/1000</f>
        <v>232</v>
      </c>
      <c r="I1635" s="9">
        <f>STATS1003B!I1730/1000</f>
        <v>0</v>
      </c>
      <c r="J1635" s="9">
        <f>STATS1003B!J1730/1000</f>
        <v>0</v>
      </c>
      <c r="K1635" s="9">
        <f>STATS1003B!K1730/1000</f>
        <v>0</v>
      </c>
      <c r="L1635" s="9">
        <f>STATS1003B!L1730/1000</f>
        <v>0</v>
      </c>
      <c r="M1635" s="9">
        <f>STATS1003B!M1730/1000</f>
        <v>232</v>
      </c>
      <c r="N1635" s="9">
        <f>STATS1003B!N1730/1000</f>
        <v>0</v>
      </c>
      <c r="O1635" s="9">
        <f>STATS1003B!O1730/1000</f>
        <v>0</v>
      </c>
      <c r="P1635" s="9">
        <f>STATS1003B!P1730/1000</f>
        <v>0</v>
      </c>
      <c r="Q1635" s="9">
        <f>STATS1003B!Q1730/1000</f>
        <v>0</v>
      </c>
      <c r="R1635" s="9">
        <f>STATS1003B!R1730/1000</f>
        <v>0</v>
      </c>
      <c r="S1635" s="9">
        <f>STATS1003B!S1730/1000</f>
        <v>0</v>
      </c>
      <c r="T1635" s="9">
        <f>STATS1003B!T1730/1000</f>
        <v>0</v>
      </c>
      <c r="U1635" s="9">
        <f>STATS1003B!U1730/1000</f>
        <v>0</v>
      </c>
      <c r="V1635" s="9">
        <f>STATS1003B!V1730/1000</f>
        <v>232</v>
      </c>
      <c r="W1635" s="9">
        <f>STATS1003B!W1730/1000</f>
        <v>0</v>
      </c>
      <c r="X1635" s="9">
        <f>STATS1003B!X1730/1000</f>
        <v>232</v>
      </c>
      <c r="Y1635" s="9">
        <f>STATS1003B!Y1730/1000</f>
        <v>0</v>
      </c>
      <c r="Z1635" s="9">
        <f>STATS1003B!Z1730/1000</f>
        <v>0</v>
      </c>
      <c r="AA1635" s="9">
        <f>STATS1003B!AA1730/1000</f>
        <v>232</v>
      </c>
      <c r="AB1635" s="9">
        <f>STATS1003B!AB1730/1000</f>
        <v>0</v>
      </c>
    </row>
    <row r="1636" spans="1:28" x14ac:dyDescent="0.35">
      <c r="A1636" s="36"/>
      <c r="B1636" s="8"/>
      <c r="C1636" s="7" t="s">
        <v>57</v>
      </c>
      <c r="D1636" s="15" t="s">
        <v>85</v>
      </c>
      <c r="E1636" s="9">
        <f>STATS1003B!E1731/1000</f>
        <v>900</v>
      </c>
      <c r="F1636" s="9">
        <f>STATS1003B!F1731/1000</f>
        <v>900</v>
      </c>
      <c r="G1636" s="9">
        <f>STATS1003B!G1731/1000</f>
        <v>0</v>
      </c>
      <c r="H1636" s="9">
        <f>STATS1003B!H1731/1000</f>
        <v>900</v>
      </c>
      <c r="I1636" s="9">
        <f>STATS1003B!I1731/1000</f>
        <v>0</v>
      </c>
      <c r="J1636" s="9">
        <f>STATS1003B!J1731/1000</f>
        <v>0</v>
      </c>
      <c r="K1636" s="9">
        <f>STATS1003B!K1731/1000</f>
        <v>0</v>
      </c>
      <c r="L1636" s="9">
        <f>STATS1003B!L1731/1000</f>
        <v>0</v>
      </c>
      <c r="M1636" s="9">
        <f>STATS1003B!M1731/1000</f>
        <v>900</v>
      </c>
      <c r="N1636" s="9">
        <f>STATS1003B!N1731/1000</f>
        <v>0</v>
      </c>
      <c r="O1636" s="9">
        <f>STATS1003B!O1731/1000</f>
        <v>0</v>
      </c>
      <c r="P1636" s="9">
        <f>STATS1003B!P1731/1000</f>
        <v>0</v>
      </c>
      <c r="Q1636" s="9">
        <f>STATS1003B!Q1731/1000</f>
        <v>0</v>
      </c>
      <c r="R1636" s="9">
        <f>STATS1003B!R1731/1000</f>
        <v>0</v>
      </c>
      <c r="S1636" s="9">
        <f>STATS1003B!S1731/1000</f>
        <v>0</v>
      </c>
      <c r="T1636" s="9">
        <f>STATS1003B!T1731/1000</f>
        <v>0</v>
      </c>
      <c r="U1636" s="9">
        <f>STATS1003B!U1731/1000</f>
        <v>0</v>
      </c>
      <c r="V1636" s="9">
        <f>STATS1003B!V1731/1000</f>
        <v>900</v>
      </c>
      <c r="W1636" s="9">
        <f>STATS1003B!W1731/1000</f>
        <v>0</v>
      </c>
      <c r="X1636" s="9">
        <f>STATS1003B!X1731/1000</f>
        <v>900</v>
      </c>
      <c r="Y1636" s="9">
        <f>STATS1003B!Y1731/1000</f>
        <v>0</v>
      </c>
      <c r="Z1636" s="9">
        <f>STATS1003B!Z1731/1000</f>
        <v>0</v>
      </c>
      <c r="AA1636" s="9">
        <f>STATS1003B!AA1731/1000</f>
        <v>900</v>
      </c>
      <c r="AB1636" s="9">
        <f>STATS1003B!AB1731/1000</f>
        <v>0</v>
      </c>
    </row>
    <row r="1637" spans="1:28" x14ac:dyDescent="0.35">
      <c r="A1637" s="36"/>
      <c r="B1637" s="8"/>
      <c r="C1637" s="7" t="s">
        <v>302</v>
      </c>
      <c r="D1637" s="15" t="s">
        <v>85</v>
      </c>
      <c r="E1637" s="9">
        <f>STATS1003B!E1732/1000</f>
        <v>160</v>
      </c>
      <c r="F1637" s="9">
        <f>STATS1003B!F1732/1000</f>
        <v>160</v>
      </c>
      <c r="G1637" s="9">
        <f>STATS1003B!G1732/1000</f>
        <v>0</v>
      </c>
      <c r="H1637" s="9">
        <f>STATS1003B!H1732/1000</f>
        <v>160</v>
      </c>
      <c r="I1637" s="9">
        <f>STATS1003B!I1732/1000</f>
        <v>0</v>
      </c>
      <c r="J1637" s="9">
        <f>STATS1003B!J1732/1000</f>
        <v>0</v>
      </c>
      <c r="K1637" s="9">
        <f>STATS1003B!K1732/1000</f>
        <v>0</v>
      </c>
      <c r="L1637" s="9">
        <f>STATS1003B!L1732/1000</f>
        <v>0</v>
      </c>
      <c r="M1637" s="9">
        <f>STATS1003B!M1732/1000</f>
        <v>160</v>
      </c>
      <c r="N1637" s="9">
        <f>STATS1003B!N1732/1000</f>
        <v>0</v>
      </c>
      <c r="O1637" s="9">
        <f>STATS1003B!O1732/1000</f>
        <v>0</v>
      </c>
      <c r="P1637" s="9">
        <f>STATS1003B!P1732/1000</f>
        <v>0</v>
      </c>
      <c r="Q1637" s="9">
        <f>STATS1003B!Q1732/1000</f>
        <v>0</v>
      </c>
      <c r="R1637" s="9">
        <f>STATS1003B!R1732/1000</f>
        <v>0</v>
      </c>
      <c r="S1637" s="9">
        <f>STATS1003B!S1732/1000</f>
        <v>0</v>
      </c>
      <c r="T1637" s="9">
        <f>STATS1003B!T1732/1000</f>
        <v>0</v>
      </c>
      <c r="U1637" s="9">
        <f>STATS1003B!U1732/1000</f>
        <v>0</v>
      </c>
      <c r="V1637" s="9">
        <f>STATS1003B!V1732/1000</f>
        <v>160</v>
      </c>
      <c r="W1637" s="9">
        <f>STATS1003B!W1732/1000</f>
        <v>0</v>
      </c>
      <c r="X1637" s="9">
        <f>STATS1003B!X1732/1000</f>
        <v>160</v>
      </c>
      <c r="Y1637" s="9">
        <f>STATS1003B!Y1732/1000</f>
        <v>0</v>
      </c>
      <c r="Z1637" s="9">
        <f>STATS1003B!Z1732/1000</f>
        <v>0</v>
      </c>
      <c r="AA1637" s="9">
        <f>STATS1003B!AA1732/1000</f>
        <v>160</v>
      </c>
      <c r="AB1637" s="9">
        <f>STATS1003B!AB1732/1000</f>
        <v>0</v>
      </c>
    </row>
    <row r="1638" spans="1:28" x14ac:dyDescent="0.35">
      <c r="A1638" s="36"/>
      <c r="B1638" s="8"/>
      <c r="C1638" s="7" t="s">
        <v>57</v>
      </c>
      <c r="D1638" s="15" t="s">
        <v>128</v>
      </c>
      <c r="E1638" s="9">
        <f>STATS1003B!E1733/1000</f>
        <v>594</v>
      </c>
      <c r="F1638" s="9">
        <f>STATS1003B!F1733/1000</f>
        <v>594</v>
      </c>
      <c r="G1638" s="9">
        <f>STATS1003B!G1733/1000</f>
        <v>0</v>
      </c>
      <c r="H1638" s="9">
        <f>STATS1003B!H1733/1000</f>
        <v>594</v>
      </c>
      <c r="I1638" s="9">
        <f>STATS1003B!I1733/1000</f>
        <v>0</v>
      </c>
      <c r="J1638" s="9">
        <f>STATS1003B!J1733/1000</f>
        <v>0</v>
      </c>
      <c r="K1638" s="9">
        <f>STATS1003B!K1733/1000</f>
        <v>0</v>
      </c>
      <c r="L1638" s="9">
        <f>STATS1003B!L1733/1000</f>
        <v>0</v>
      </c>
      <c r="M1638" s="9">
        <f>STATS1003B!M1733/1000</f>
        <v>594</v>
      </c>
      <c r="N1638" s="9">
        <f>STATS1003B!N1733/1000</f>
        <v>0</v>
      </c>
      <c r="O1638" s="9">
        <f>STATS1003B!O1733/1000</f>
        <v>0</v>
      </c>
      <c r="P1638" s="9">
        <f>STATS1003B!P1733/1000</f>
        <v>0</v>
      </c>
      <c r="Q1638" s="9">
        <f>STATS1003B!Q1733/1000</f>
        <v>0</v>
      </c>
      <c r="R1638" s="9">
        <f>STATS1003B!R1733/1000</f>
        <v>0</v>
      </c>
      <c r="S1638" s="9">
        <f>STATS1003B!S1733/1000</f>
        <v>0</v>
      </c>
      <c r="T1638" s="9">
        <f>STATS1003B!T1733/1000</f>
        <v>0</v>
      </c>
      <c r="U1638" s="9">
        <f>STATS1003B!U1733/1000</f>
        <v>0</v>
      </c>
      <c r="V1638" s="9">
        <f>STATS1003B!V1733/1000</f>
        <v>594</v>
      </c>
      <c r="W1638" s="9">
        <f>STATS1003B!W1733/1000</f>
        <v>0</v>
      </c>
      <c r="X1638" s="9">
        <f>STATS1003B!X1733/1000</f>
        <v>594</v>
      </c>
      <c r="Y1638" s="9">
        <f>STATS1003B!Y1733/1000</f>
        <v>0</v>
      </c>
      <c r="Z1638" s="9">
        <f>STATS1003B!Z1733/1000</f>
        <v>0</v>
      </c>
      <c r="AA1638" s="9">
        <f>STATS1003B!AA1733/1000</f>
        <v>594</v>
      </c>
      <c r="AB1638" s="9">
        <f>STATS1003B!AB1733/1000</f>
        <v>0</v>
      </c>
    </row>
    <row r="1639" spans="1:28" x14ac:dyDescent="0.35">
      <c r="A1639" s="36"/>
      <c r="B1639" s="8"/>
      <c r="C1639" s="7" t="s">
        <v>57</v>
      </c>
      <c r="D1639" s="15" t="s">
        <v>60</v>
      </c>
      <c r="E1639" s="9">
        <f>STATS1003B!E1734/1000</f>
        <v>777.16399999999999</v>
      </c>
      <c r="F1639" s="9">
        <f>STATS1003B!F1734/1000</f>
        <v>777.16399999999999</v>
      </c>
      <c r="G1639" s="9">
        <f>STATS1003B!G1734/1000</f>
        <v>0</v>
      </c>
      <c r="H1639" s="9">
        <f>STATS1003B!H1734/1000</f>
        <v>777.16399999999999</v>
      </c>
      <c r="I1639" s="9">
        <f>STATS1003B!I1734/1000</f>
        <v>0</v>
      </c>
      <c r="J1639" s="9">
        <f>STATS1003B!J1734/1000</f>
        <v>0</v>
      </c>
      <c r="K1639" s="9">
        <f>STATS1003B!K1734/1000</f>
        <v>0</v>
      </c>
      <c r="L1639" s="9">
        <f>STATS1003B!L1734/1000</f>
        <v>0</v>
      </c>
      <c r="M1639" s="9">
        <f>STATS1003B!M1734/1000</f>
        <v>777.16399999999999</v>
      </c>
      <c r="N1639" s="9">
        <f>STATS1003B!N1734/1000</f>
        <v>0</v>
      </c>
      <c r="O1639" s="9">
        <f>STATS1003B!O1734/1000</f>
        <v>0</v>
      </c>
      <c r="P1639" s="9">
        <f>STATS1003B!P1734/1000</f>
        <v>0</v>
      </c>
      <c r="Q1639" s="9">
        <f>STATS1003B!Q1734/1000</f>
        <v>0</v>
      </c>
      <c r="R1639" s="9">
        <f>STATS1003B!R1734/1000</f>
        <v>0</v>
      </c>
      <c r="S1639" s="9">
        <f>STATS1003B!S1734/1000</f>
        <v>0</v>
      </c>
      <c r="T1639" s="9">
        <f>STATS1003B!T1734/1000</f>
        <v>0</v>
      </c>
      <c r="U1639" s="9">
        <f>STATS1003B!U1734/1000</f>
        <v>0</v>
      </c>
      <c r="V1639" s="9">
        <f>STATS1003B!V1734/1000</f>
        <v>777.16399999999999</v>
      </c>
      <c r="W1639" s="9">
        <f>STATS1003B!W1734/1000</f>
        <v>0</v>
      </c>
      <c r="X1639" s="9">
        <f>STATS1003B!X1734/1000</f>
        <v>777.16399999999999</v>
      </c>
      <c r="Y1639" s="9">
        <f>STATS1003B!Y1734/1000</f>
        <v>0</v>
      </c>
      <c r="Z1639" s="9">
        <f>STATS1003B!Z1734/1000</f>
        <v>0</v>
      </c>
      <c r="AA1639" s="9">
        <f>STATS1003B!AA1734/1000</f>
        <v>777.16399999999999</v>
      </c>
      <c r="AB1639" s="9">
        <f>STATS1003B!AB1734/1000</f>
        <v>0</v>
      </c>
    </row>
    <row r="1640" spans="1:28" x14ac:dyDescent="0.35">
      <c r="A1640" s="36"/>
      <c r="B1640" s="8"/>
      <c r="C1640" s="7" t="s">
        <v>57</v>
      </c>
      <c r="D1640" s="15" t="s">
        <v>73</v>
      </c>
      <c r="E1640" s="9">
        <f>STATS1003B!E1735/1000</f>
        <v>1326</v>
      </c>
      <c r="F1640" s="9">
        <f>STATS1003B!F1735/1000</f>
        <v>1326</v>
      </c>
      <c r="G1640" s="9">
        <f>STATS1003B!G1735/1000</f>
        <v>0</v>
      </c>
      <c r="H1640" s="9">
        <f>STATS1003B!H1735/1000</f>
        <v>1326</v>
      </c>
      <c r="I1640" s="9">
        <f>STATS1003B!I1735/1000</f>
        <v>0</v>
      </c>
      <c r="J1640" s="9">
        <f>STATS1003B!J1735/1000</f>
        <v>0</v>
      </c>
      <c r="K1640" s="9">
        <f>STATS1003B!K1735/1000</f>
        <v>0</v>
      </c>
      <c r="L1640" s="9">
        <f>STATS1003B!L1735/1000</f>
        <v>0</v>
      </c>
      <c r="M1640" s="9">
        <f>STATS1003B!M1735/1000</f>
        <v>1326</v>
      </c>
      <c r="N1640" s="9">
        <f>STATS1003B!N1735/1000</f>
        <v>0</v>
      </c>
      <c r="O1640" s="9">
        <f>STATS1003B!O1735/1000</f>
        <v>0</v>
      </c>
      <c r="P1640" s="9">
        <f>STATS1003B!P1735/1000</f>
        <v>0</v>
      </c>
      <c r="Q1640" s="9">
        <f>STATS1003B!Q1735/1000</f>
        <v>0</v>
      </c>
      <c r="R1640" s="9">
        <f>STATS1003B!R1735/1000</f>
        <v>0</v>
      </c>
      <c r="S1640" s="9">
        <f>STATS1003B!S1735/1000</f>
        <v>0</v>
      </c>
      <c r="T1640" s="9">
        <f>STATS1003B!T1735/1000</f>
        <v>0</v>
      </c>
      <c r="U1640" s="9">
        <f>STATS1003B!U1735/1000</f>
        <v>0</v>
      </c>
      <c r="V1640" s="9">
        <f>STATS1003B!V1735/1000</f>
        <v>1326</v>
      </c>
      <c r="W1640" s="9">
        <f>STATS1003B!W1735/1000</f>
        <v>0</v>
      </c>
      <c r="X1640" s="9">
        <f>STATS1003B!X1735/1000</f>
        <v>1326</v>
      </c>
      <c r="Y1640" s="9">
        <f>STATS1003B!Y1735/1000</f>
        <v>0</v>
      </c>
      <c r="Z1640" s="9">
        <f>STATS1003B!Z1735/1000</f>
        <v>0</v>
      </c>
      <c r="AA1640" s="9">
        <f>STATS1003B!AA1735/1000</f>
        <v>1326</v>
      </c>
      <c r="AB1640" s="9">
        <f>STATS1003B!AB1735/1000</f>
        <v>0</v>
      </c>
    </row>
    <row r="1641" spans="1:28" x14ac:dyDescent="0.35">
      <c r="A1641" s="36"/>
      <c r="B1641" s="8"/>
      <c r="C1641" s="7" t="s">
        <v>925</v>
      </c>
      <c r="D1641" s="15"/>
      <c r="E1641" s="9">
        <f>STATS1003B!E1736/1000</f>
        <v>494.67884000000004</v>
      </c>
      <c r="F1641" s="9">
        <f>STATS1003B!F1736/1000</f>
        <v>494.67884000000004</v>
      </c>
      <c r="G1641" s="9">
        <f>STATS1003B!G1736/1000</f>
        <v>0</v>
      </c>
      <c r="H1641" s="9">
        <f>STATS1003B!H1736/1000</f>
        <v>494.67884000000004</v>
      </c>
      <c r="I1641" s="9">
        <f>STATS1003B!I1736/1000</f>
        <v>0</v>
      </c>
      <c r="J1641" s="9">
        <f>STATS1003B!J1736/1000</f>
        <v>0</v>
      </c>
      <c r="K1641" s="9">
        <f>STATS1003B!K1736/1000</f>
        <v>0</v>
      </c>
      <c r="L1641" s="9">
        <f>STATS1003B!L1736/1000</f>
        <v>0</v>
      </c>
      <c r="M1641" s="9">
        <f>STATS1003B!M1736/1000</f>
        <v>494.67884000000004</v>
      </c>
      <c r="N1641" s="9">
        <f>STATS1003B!N1736/1000</f>
        <v>0</v>
      </c>
      <c r="O1641" s="9">
        <f>STATS1003B!O1736/1000</f>
        <v>0</v>
      </c>
      <c r="P1641" s="9">
        <f>STATS1003B!P1736/1000</f>
        <v>0</v>
      </c>
      <c r="Q1641" s="9">
        <f>STATS1003B!Q1736/1000</f>
        <v>0</v>
      </c>
      <c r="R1641" s="9">
        <f>STATS1003B!R1736/1000</f>
        <v>0</v>
      </c>
      <c r="S1641" s="9">
        <f>STATS1003B!S1736/1000</f>
        <v>0</v>
      </c>
      <c r="T1641" s="9">
        <f>STATS1003B!T1736/1000</f>
        <v>0</v>
      </c>
      <c r="U1641" s="9">
        <f>STATS1003B!U1736/1000</f>
        <v>0</v>
      </c>
      <c r="V1641" s="9">
        <f>STATS1003B!V1736/1000</f>
        <v>494.67884000000004</v>
      </c>
      <c r="W1641" s="9">
        <f>STATS1003B!W1736/1000</f>
        <v>0</v>
      </c>
      <c r="X1641" s="9">
        <f>STATS1003B!X1736/1000</f>
        <v>494.67884000000004</v>
      </c>
      <c r="Y1641" s="9">
        <f>STATS1003B!Y1736/1000</f>
        <v>0</v>
      </c>
      <c r="Z1641" s="9">
        <f>STATS1003B!Z1736/1000</f>
        <v>0</v>
      </c>
      <c r="AA1641" s="9">
        <f>STATS1003B!AA1736/1000</f>
        <v>494.67884000000004</v>
      </c>
      <c r="AB1641" s="9">
        <f>STATS1003B!AB1736/1000</f>
        <v>0</v>
      </c>
    </row>
    <row r="1642" spans="1:28" x14ac:dyDescent="0.35">
      <c r="A1642" s="36"/>
      <c r="B1642" s="8"/>
      <c r="C1642" s="7" t="s">
        <v>930</v>
      </c>
      <c r="D1642" s="16" t="s">
        <v>1072</v>
      </c>
      <c r="E1642" s="9">
        <f>STATS1003B!E1737/1000</f>
        <v>556.19592</v>
      </c>
      <c r="F1642" s="9">
        <f>STATS1003B!F1737/1000</f>
        <v>556.19592</v>
      </c>
      <c r="G1642" s="9">
        <f>STATS1003B!G1737/1000</f>
        <v>0</v>
      </c>
      <c r="H1642" s="9">
        <f>STATS1003B!H1737/1000</f>
        <v>556.19592</v>
      </c>
      <c r="I1642" s="9">
        <f>STATS1003B!I1737/1000</f>
        <v>0</v>
      </c>
      <c r="J1642" s="9">
        <f>STATS1003B!J1737/1000</f>
        <v>0</v>
      </c>
      <c r="K1642" s="9">
        <f>STATS1003B!K1737/1000</f>
        <v>0</v>
      </c>
      <c r="L1642" s="9">
        <f>STATS1003B!L1737/1000</f>
        <v>0</v>
      </c>
      <c r="M1642" s="9">
        <f>STATS1003B!M1737/1000</f>
        <v>556.19592</v>
      </c>
      <c r="N1642" s="9">
        <f>STATS1003B!N1737/1000</f>
        <v>0</v>
      </c>
      <c r="O1642" s="9">
        <f>STATS1003B!O1737/1000</f>
        <v>0</v>
      </c>
      <c r="P1642" s="9">
        <f>STATS1003B!P1737/1000</f>
        <v>0</v>
      </c>
      <c r="Q1642" s="9">
        <f>STATS1003B!Q1737/1000</f>
        <v>0</v>
      </c>
      <c r="R1642" s="9">
        <f>STATS1003B!R1737/1000</f>
        <v>0</v>
      </c>
      <c r="S1642" s="9">
        <f>STATS1003B!S1737/1000</f>
        <v>0</v>
      </c>
      <c r="T1642" s="9">
        <f>STATS1003B!T1737/1000</f>
        <v>0</v>
      </c>
      <c r="U1642" s="9">
        <f>STATS1003B!U1737/1000</f>
        <v>0</v>
      </c>
      <c r="V1642" s="9">
        <f>STATS1003B!V1737/1000</f>
        <v>556.19592</v>
      </c>
      <c r="W1642" s="9">
        <f>STATS1003B!W1737/1000</f>
        <v>0</v>
      </c>
      <c r="X1642" s="9">
        <f>STATS1003B!X1737/1000</f>
        <v>556.19592</v>
      </c>
      <c r="Y1642" s="9">
        <f>STATS1003B!Y1737/1000</f>
        <v>0</v>
      </c>
      <c r="Z1642" s="9">
        <f>STATS1003B!Z1737/1000</f>
        <v>0</v>
      </c>
      <c r="AA1642" s="9">
        <f>STATS1003B!AA1737/1000</f>
        <v>556.19592</v>
      </c>
      <c r="AB1642" s="9">
        <f>STATS1003B!AB1737/1000</f>
        <v>0</v>
      </c>
    </row>
    <row r="1643" spans="1:28" x14ac:dyDescent="0.35">
      <c r="A1643" s="36"/>
      <c r="B1643" s="8"/>
      <c r="C1643" s="7" t="s">
        <v>57</v>
      </c>
      <c r="D1643" s="16" t="s">
        <v>61</v>
      </c>
      <c r="E1643" s="9">
        <f>STATS1003B!E1738/1000</f>
        <v>644.65904</v>
      </c>
      <c r="F1643" s="9">
        <f>STATS1003B!F1738/1000</f>
        <v>639.17200000000003</v>
      </c>
      <c r="G1643" s="9">
        <f>STATS1003B!G1738/1000</f>
        <v>0</v>
      </c>
      <c r="H1643" s="9">
        <f>STATS1003B!H1738/1000</f>
        <v>639.17200000000003</v>
      </c>
      <c r="I1643" s="9">
        <f>STATS1003B!I1738/1000</f>
        <v>639.17200000000003</v>
      </c>
      <c r="J1643" s="9">
        <f>STATS1003B!J1738/1000</f>
        <v>0</v>
      </c>
      <c r="K1643" s="9">
        <f>STATS1003B!K1738/1000</f>
        <v>0</v>
      </c>
      <c r="L1643" s="9">
        <f>STATS1003B!L1738/1000</f>
        <v>0</v>
      </c>
      <c r="M1643" s="9">
        <f>STATS1003B!M1738/1000</f>
        <v>639.17200000000003</v>
      </c>
      <c r="N1643" s="9">
        <f>STATS1003B!N1738/1000</f>
        <v>0</v>
      </c>
      <c r="O1643" s="9">
        <f>STATS1003B!O1738/1000</f>
        <v>0</v>
      </c>
      <c r="P1643" s="9">
        <f>STATS1003B!P1738/1000</f>
        <v>0</v>
      </c>
      <c r="Q1643" s="9">
        <f>STATS1003B!Q1738/1000</f>
        <v>5.4870400000000004</v>
      </c>
      <c r="R1643" s="9">
        <f>STATS1003B!R1738/1000</f>
        <v>0</v>
      </c>
      <c r="S1643" s="9">
        <f>STATS1003B!S1738/1000</f>
        <v>0</v>
      </c>
      <c r="T1643" s="9">
        <f>STATS1003B!T1738/1000</f>
        <v>5.4870400000000004</v>
      </c>
      <c r="U1643" s="9">
        <f>STATS1003B!U1738/1000</f>
        <v>5.4870400000000004</v>
      </c>
      <c r="V1643" s="9">
        <f>STATS1003B!V1738/1000</f>
        <v>639.17200000000003</v>
      </c>
      <c r="W1643" s="9">
        <f>STATS1003B!W1738/1000</f>
        <v>5.4870400000000377</v>
      </c>
      <c r="X1643" s="9">
        <f>STATS1003B!X1738/1000</f>
        <v>639.17200000000003</v>
      </c>
      <c r="Y1643" s="9">
        <f>STATS1003B!Y1738/1000</f>
        <v>0</v>
      </c>
      <c r="Z1643" s="9">
        <f>STATS1003B!Z1738/1000</f>
        <v>5.4870400000000377</v>
      </c>
      <c r="AA1643" s="9">
        <f>STATS1003B!AA1738/1000</f>
        <v>644.65904</v>
      </c>
      <c r="AB1643" s="9">
        <f>STATS1003B!AB1738/1000</f>
        <v>0</v>
      </c>
    </row>
    <row r="1644" spans="1:28" x14ac:dyDescent="0.35">
      <c r="A1644" s="36"/>
      <c r="B1644" s="8"/>
      <c r="C1644" s="8"/>
      <c r="D1644" s="8"/>
      <c r="E1644" s="17" t="s">
        <v>29</v>
      </c>
      <c r="F1644" s="17" t="s">
        <v>29</v>
      </c>
      <c r="G1644" s="17" t="s">
        <v>29</v>
      </c>
      <c r="H1644" s="17" t="s">
        <v>29</v>
      </c>
      <c r="I1644" s="17" t="s">
        <v>29</v>
      </c>
      <c r="J1644" s="17" t="s">
        <v>29</v>
      </c>
      <c r="K1644" s="17" t="s">
        <v>29</v>
      </c>
      <c r="L1644" s="17" t="s">
        <v>29</v>
      </c>
      <c r="M1644" s="17" t="s">
        <v>29</v>
      </c>
      <c r="N1644" s="17" t="s">
        <v>29</v>
      </c>
      <c r="O1644" s="17" t="s">
        <v>29</v>
      </c>
      <c r="P1644" s="17" t="s">
        <v>29</v>
      </c>
      <c r="Q1644" s="17" t="s">
        <v>29</v>
      </c>
      <c r="R1644" s="17" t="s">
        <v>29</v>
      </c>
      <c r="S1644" s="17" t="s">
        <v>29</v>
      </c>
      <c r="T1644" s="17" t="s">
        <v>29</v>
      </c>
      <c r="U1644" s="17" t="s">
        <v>29</v>
      </c>
      <c r="V1644" s="17" t="s">
        <v>29</v>
      </c>
      <c r="W1644" s="17" t="s">
        <v>29</v>
      </c>
      <c r="X1644" s="17" t="s">
        <v>29</v>
      </c>
      <c r="Y1644" s="17" t="s">
        <v>29</v>
      </c>
      <c r="Z1644" s="17" t="s">
        <v>29</v>
      </c>
      <c r="AA1644" s="17" t="s">
        <v>29</v>
      </c>
      <c r="AB1644" s="17" t="s">
        <v>29</v>
      </c>
    </row>
    <row r="1645" spans="1:28" x14ac:dyDescent="0.35">
      <c r="A1645" s="36"/>
      <c r="B1645" s="8"/>
      <c r="C1645" s="8"/>
      <c r="D1645" s="8"/>
      <c r="E1645" s="9">
        <f t="shared" ref="E1645:AB1645" si="116">SUM(E1631:E1643)</f>
        <v>10705.7088</v>
      </c>
      <c r="F1645" s="9">
        <f t="shared" si="116"/>
        <v>10129.280760000001</v>
      </c>
      <c r="G1645" s="9">
        <f t="shared" si="116"/>
        <v>0</v>
      </c>
      <c r="H1645" s="9">
        <f t="shared" si="116"/>
        <v>10129.280760000001</v>
      </c>
      <c r="I1645" s="9">
        <f t="shared" si="116"/>
        <v>639.17200000000003</v>
      </c>
      <c r="J1645" s="9">
        <f t="shared" si="116"/>
        <v>0</v>
      </c>
      <c r="K1645" s="9">
        <f t="shared" si="116"/>
        <v>0</v>
      </c>
      <c r="L1645" s="9">
        <f t="shared" si="116"/>
        <v>0</v>
      </c>
      <c r="M1645" s="9">
        <f t="shared" si="116"/>
        <v>10129.280760000001</v>
      </c>
      <c r="N1645" s="9">
        <f t="shared" si="116"/>
        <v>570.94100000000003</v>
      </c>
      <c r="O1645" s="9">
        <f t="shared" si="116"/>
        <v>0</v>
      </c>
      <c r="P1645" s="9">
        <f t="shared" si="116"/>
        <v>570.94100000000003</v>
      </c>
      <c r="Q1645" s="9">
        <f t="shared" si="116"/>
        <v>5.4870400000000004</v>
      </c>
      <c r="R1645" s="9">
        <f t="shared" si="116"/>
        <v>0</v>
      </c>
      <c r="S1645" s="9">
        <f t="shared" si="116"/>
        <v>0</v>
      </c>
      <c r="T1645" s="9">
        <f t="shared" si="116"/>
        <v>5.4870400000000004</v>
      </c>
      <c r="U1645" s="9">
        <f t="shared" si="116"/>
        <v>576.42804000000001</v>
      </c>
      <c r="V1645" s="9">
        <f t="shared" si="116"/>
        <v>10700.22176</v>
      </c>
      <c r="W1645" s="9">
        <f t="shared" si="116"/>
        <v>5.4870400000000377</v>
      </c>
      <c r="X1645" s="9">
        <f t="shared" si="116"/>
        <v>10700.22176</v>
      </c>
      <c r="Y1645" s="9">
        <f t="shared" si="116"/>
        <v>0</v>
      </c>
      <c r="Z1645" s="9">
        <f t="shared" si="116"/>
        <v>5.4870400000000377</v>
      </c>
      <c r="AA1645" s="9">
        <f t="shared" si="116"/>
        <v>10705.7088</v>
      </c>
      <c r="AB1645" s="9">
        <f t="shared" si="116"/>
        <v>0</v>
      </c>
    </row>
    <row r="1646" spans="1:28" x14ac:dyDescent="0.35">
      <c r="A1646" s="36"/>
      <c r="B1646" s="8"/>
      <c r="C1646" s="8"/>
      <c r="D1646" s="8"/>
      <c r="E1646" s="17" t="s">
        <v>29</v>
      </c>
      <c r="F1646" s="17" t="s">
        <v>29</v>
      </c>
      <c r="G1646" s="17" t="s">
        <v>29</v>
      </c>
      <c r="H1646" s="17" t="s">
        <v>29</v>
      </c>
      <c r="I1646" s="17" t="s">
        <v>29</v>
      </c>
      <c r="J1646" s="17" t="s">
        <v>29</v>
      </c>
      <c r="K1646" s="17" t="s">
        <v>29</v>
      </c>
      <c r="L1646" s="17" t="s">
        <v>29</v>
      </c>
      <c r="M1646" s="17" t="s">
        <v>29</v>
      </c>
      <c r="N1646" s="17" t="s">
        <v>29</v>
      </c>
      <c r="O1646" s="17" t="s">
        <v>29</v>
      </c>
      <c r="P1646" s="17" t="s">
        <v>29</v>
      </c>
      <c r="Q1646" s="17" t="s">
        <v>29</v>
      </c>
      <c r="R1646" s="17" t="s">
        <v>29</v>
      </c>
      <c r="S1646" s="17" t="s">
        <v>29</v>
      </c>
      <c r="T1646" s="17" t="s">
        <v>29</v>
      </c>
      <c r="U1646" s="17" t="s">
        <v>29</v>
      </c>
      <c r="V1646" s="17" t="s">
        <v>29</v>
      </c>
      <c r="W1646" s="17" t="s">
        <v>29</v>
      </c>
      <c r="X1646" s="17" t="s">
        <v>29</v>
      </c>
      <c r="Y1646" s="17" t="s">
        <v>29</v>
      </c>
      <c r="Z1646" s="17" t="s">
        <v>29</v>
      </c>
      <c r="AA1646" s="17" t="s">
        <v>29</v>
      </c>
      <c r="AB1646" s="17" t="s">
        <v>29</v>
      </c>
    </row>
    <row r="1647" spans="1:28" x14ac:dyDescent="0.35">
      <c r="A1647" s="36"/>
      <c r="B1647" s="8"/>
      <c r="C1647" s="7" t="s">
        <v>352</v>
      </c>
      <c r="D1647" s="8"/>
      <c r="E1647" s="9">
        <f t="shared" ref="E1647:AB1647" si="117">E1645+E1628+E1617+E1605+E1589+E1573+E1556+E1537+E1514+E1492</f>
        <v>311195.77220999997</v>
      </c>
      <c r="F1647" s="9">
        <f t="shared" si="117"/>
        <v>285380.425728</v>
      </c>
      <c r="G1647" s="9">
        <f t="shared" si="117"/>
        <v>0</v>
      </c>
      <c r="H1647" s="9">
        <f t="shared" si="117"/>
        <v>285380.425728</v>
      </c>
      <c r="I1647" s="9">
        <f t="shared" si="117"/>
        <v>5073.1859999999997</v>
      </c>
      <c r="J1647" s="9">
        <f t="shared" si="117"/>
        <v>1379.847</v>
      </c>
      <c r="K1647" s="9">
        <f t="shared" si="117"/>
        <v>0</v>
      </c>
      <c r="L1647" s="9">
        <f t="shared" si="117"/>
        <v>0</v>
      </c>
      <c r="M1647" s="9">
        <f t="shared" si="117"/>
        <v>285380.425728</v>
      </c>
      <c r="N1647" s="9">
        <f t="shared" si="117"/>
        <v>21549.78557</v>
      </c>
      <c r="O1647" s="9">
        <f t="shared" si="117"/>
        <v>0</v>
      </c>
      <c r="P1647" s="9">
        <f t="shared" si="117"/>
        <v>21549.78557</v>
      </c>
      <c r="Q1647" s="9">
        <f t="shared" si="117"/>
        <v>79.082099999999997</v>
      </c>
      <c r="R1647" s="9">
        <f t="shared" si="117"/>
        <v>0</v>
      </c>
      <c r="S1647" s="9">
        <f t="shared" si="117"/>
        <v>0</v>
      </c>
      <c r="T1647" s="9">
        <f t="shared" si="117"/>
        <v>55.7027</v>
      </c>
      <c r="U1647" s="9">
        <f t="shared" si="117"/>
        <v>21605.488269999994</v>
      </c>
      <c r="V1647" s="9">
        <f t="shared" si="117"/>
        <v>306930.21129800007</v>
      </c>
      <c r="W1647" s="9">
        <f t="shared" si="117"/>
        <v>4265.560911999999</v>
      </c>
      <c r="X1647" s="9">
        <f t="shared" si="117"/>
        <v>306930.21129800007</v>
      </c>
      <c r="Y1647" s="9">
        <f t="shared" si="117"/>
        <v>0</v>
      </c>
      <c r="Z1647" s="9">
        <f t="shared" si="117"/>
        <v>4265.560911999999</v>
      </c>
      <c r="AA1647" s="9">
        <f t="shared" si="117"/>
        <v>306985.91399800003</v>
      </c>
      <c r="AB1647" s="9">
        <f t="shared" si="117"/>
        <v>4209.8582119999992</v>
      </c>
    </row>
    <row r="1648" spans="1:28" x14ac:dyDescent="0.35">
      <c r="A1648" s="36"/>
      <c r="B1648" s="8"/>
      <c r="C1648" s="8"/>
      <c r="D1648" s="8"/>
      <c r="E1648" s="17" t="s">
        <v>114</v>
      </c>
      <c r="F1648" s="17" t="s">
        <v>114</v>
      </c>
      <c r="G1648" s="17" t="s">
        <v>114</v>
      </c>
      <c r="H1648" s="17" t="s">
        <v>114</v>
      </c>
      <c r="I1648" s="17" t="s">
        <v>114</v>
      </c>
      <c r="J1648" s="17" t="s">
        <v>114</v>
      </c>
      <c r="K1648" s="17" t="s">
        <v>114</v>
      </c>
      <c r="L1648" s="17" t="s">
        <v>114</v>
      </c>
      <c r="M1648" s="17" t="s">
        <v>114</v>
      </c>
      <c r="N1648" s="17" t="s">
        <v>114</v>
      </c>
      <c r="O1648" s="17" t="s">
        <v>114</v>
      </c>
      <c r="P1648" s="17" t="s">
        <v>114</v>
      </c>
      <c r="Q1648" s="17" t="s">
        <v>114</v>
      </c>
      <c r="R1648" s="17" t="s">
        <v>114</v>
      </c>
      <c r="S1648" s="17" t="s">
        <v>114</v>
      </c>
      <c r="T1648" s="17" t="s">
        <v>114</v>
      </c>
      <c r="U1648" s="17" t="s">
        <v>114</v>
      </c>
      <c r="V1648" s="17" t="s">
        <v>114</v>
      </c>
      <c r="W1648" s="17" t="s">
        <v>114</v>
      </c>
      <c r="X1648" s="17" t="s">
        <v>114</v>
      </c>
      <c r="Y1648" s="17" t="s">
        <v>114</v>
      </c>
      <c r="Z1648" s="17" t="s">
        <v>114</v>
      </c>
      <c r="AA1648" s="17" t="s">
        <v>114</v>
      </c>
      <c r="AB1648" s="17" t="s">
        <v>114</v>
      </c>
    </row>
    <row r="1649" spans="1:28" x14ac:dyDescent="0.35">
      <c r="A1649" s="36"/>
      <c r="B1649" s="8"/>
      <c r="C1649" s="8"/>
      <c r="D1649" s="8"/>
      <c r="E1649" s="17"/>
      <c r="F1649" s="17"/>
      <c r="G1649" s="17"/>
      <c r="H1649" s="17"/>
      <c r="I1649" s="17"/>
      <c r="J1649" s="17"/>
      <c r="K1649" s="17"/>
      <c r="L1649" s="17"/>
      <c r="M1649" s="17"/>
      <c r="N1649" s="17"/>
      <c r="O1649" s="17"/>
      <c r="P1649" s="17"/>
      <c r="Q1649" s="17"/>
      <c r="R1649" s="17"/>
      <c r="S1649" s="17"/>
      <c r="T1649" s="17"/>
      <c r="U1649" s="17"/>
      <c r="V1649" s="17"/>
      <c r="W1649" s="17"/>
      <c r="X1649" s="17"/>
      <c r="Y1649" s="17"/>
      <c r="Z1649" s="17"/>
    </row>
    <row r="1650" spans="1:28" x14ac:dyDescent="0.35">
      <c r="A1650" s="36"/>
      <c r="B1650" s="8"/>
      <c r="C1650" s="8"/>
      <c r="D1650" s="8"/>
      <c r="E1650" s="17"/>
      <c r="F1650" s="17"/>
      <c r="G1650" s="17"/>
      <c r="H1650" s="17"/>
      <c r="I1650" s="17"/>
      <c r="J1650" s="17"/>
      <c r="K1650" s="17"/>
      <c r="L1650" s="17"/>
      <c r="M1650" s="17"/>
      <c r="N1650" s="17"/>
      <c r="O1650" s="17"/>
      <c r="P1650" s="17"/>
      <c r="Q1650" s="17"/>
      <c r="R1650" s="17"/>
      <c r="S1650" s="17"/>
      <c r="T1650" s="17"/>
      <c r="U1650" s="17"/>
      <c r="V1650" s="17"/>
      <c r="W1650" s="17"/>
      <c r="X1650" s="17"/>
      <c r="Y1650" s="17"/>
      <c r="Z1650" s="17"/>
    </row>
    <row r="1651" spans="1:28" x14ac:dyDescent="0.35">
      <c r="A1651" s="36"/>
      <c r="B1651" s="7" t="s">
        <v>760</v>
      </c>
      <c r="C1651" s="8"/>
      <c r="D1651" s="8"/>
      <c r="E1651" s="8"/>
      <c r="F1651" s="8"/>
      <c r="G1651" s="8"/>
      <c r="H1651" s="8"/>
      <c r="I1651" s="8"/>
      <c r="J1651" s="8"/>
      <c r="K1651" s="8"/>
      <c r="L1651" s="8"/>
      <c r="M1651" s="8"/>
      <c r="N1651" s="8"/>
      <c r="O1651" s="8"/>
      <c r="P1651" s="8"/>
      <c r="Q1651" s="8"/>
      <c r="R1651" s="17"/>
      <c r="S1651" s="17"/>
      <c r="T1651" s="17"/>
      <c r="U1651" s="17"/>
      <c r="V1651" s="17"/>
      <c r="W1651" s="17"/>
      <c r="X1651" s="17"/>
      <c r="Y1651" s="17"/>
      <c r="Z1651" s="17"/>
    </row>
    <row r="1652" spans="1:28" x14ac:dyDescent="0.35">
      <c r="A1652" s="36"/>
      <c r="B1652" s="7"/>
      <c r="C1652" s="8"/>
      <c r="D1652" s="8"/>
      <c r="E1652" s="8"/>
      <c r="F1652" s="8"/>
      <c r="G1652" s="8"/>
      <c r="H1652" s="8"/>
      <c r="I1652" s="8"/>
      <c r="J1652" s="8"/>
      <c r="K1652" s="8"/>
      <c r="L1652" s="8"/>
      <c r="M1652" s="8"/>
      <c r="N1652" s="8"/>
      <c r="O1652" s="8"/>
      <c r="P1652" s="8"/>
      <c r="Q1652" s="8"/>
      <c r="R1652" s="17"/>
      <c r="S1652" s="17"/>
      <c r="T1652" s="17"/>
      <c r="U1652" s="17"/>
      <c r="V1652" s="17"/>
      <c r="W1652" s="17"/>
      <c r="X1652" s="17"/>
      <c r="Y1652" s="17"/>
      <c r="Z1652" s="17"/>
    </row>
    <row r="1653" spans="1:28" x14ac:dyDescent="0.35">
      <c r="A1653" s="38" t="s">
        <v>1012</v>
      </c>
      <c r="B1653" s="7" t="s">
        <v>761</v>
      </c>
      <c r="C1653" s="8"/>
      <c r="D1653" s="8"/>
      <c r="E1653" s="8"/>
      <c r="F1653" s="8"/>
      <c r="G1653" s="8"/>
      <c r="H1653" s="8"/>
      <c r="I1653" s="8"/>
      <c r="J1653" s="8"/>
      <c r="K1653" s="8"/>
      <c r="L1653" s="8"/>
      <c r="M1653" s="8"/>
      <c r="N1653" s="8"/>
      <c r="O1653" s="8"/>
      <c r="P1653" s="8"/>
      <c r="Q1653" s="8"/>
      <c r="R1653" s="17"/>
      <c r="S1653" s="17"/>
      <c r="T1653" s="17"/>
      <c r="U1653" s="17"/>
      <c r="V1653" s="17"/>
      <c r="W1653" s="17"/>
      <c r="X1653" s="17"/>
      <c r="Y1653" s="17"/>
      <c r="Z1653" s="17"/>
    </row>
    <row r="1654" spans="1:28" x14ac:dyDescent="0.35">
      <c r="A1654" s="36"/>
      <c r="B1654" s="8"/>
      <c r="C1654" s="7" t="s">
        <v>535</v>
      </c>
      <c r="D1654" s="15" t="s">
        <v>68</v>
      </c>
      <c r="E1654" s="9">
        <f>STATS1003B!E1749/1000</f>
        <v>219.27060999999998</v>
      </c>
      <c r="F1654" s="9">
        <f>STATS1003B!F1749/1000</f>
        <v>103.895</v>
      </c>
      <c r="G1654" s="9">
        <f>STATS1003B!G1749/1000</f>
        <v>0</v>
      </c>
      <c r="H1654" s="9">
        <f>STATS1003B!H1749/1000</f>
        <v>103.895</v>
      </c>
      <c r="I1654" s="9">
        <f>STATS1003B!I1749/1000</f>
        <v>0</v>
      </c>
      <c r="J1654" s="9">
        <f>STATS1003B!J1749/1000</f>
        <v>103.895</v>
      </c>
      <c r="K1654" s="9">
        <f>STATS1003B!K1749/1000</f>
        <v>115.37560999999999</v>
      </c>
      <c r="L1654" s="9">
        <f>STATS1003B!L1749/1000</f>
        <v>0</v>
      </c>
      <c r="M1654" s="9">
        <f>STATS1003B!M1749/1000</f>
        <v>103.895</v>
      </c>
      <c r="N1654" s="9">
        <f>STATS1003B!N1749/1000</f>
        <v>115.37560999999999</v>
      </c>
      <c r="O1654" s="9">
        <f>STATS1003B!O1749/1000</f>
        <v>0</v>
      </c>
      <c r="P1654" s="9">
        <f>STATS1003B!P1749/1000</f>
        <v>115.37560999999999</v>
      </c>
      <c r="Q1654" s="9">
        <f>STATS1003B!Q1749/1000</f>
        <v>103.89499999999998</v>
      </c>
      <c r="R1654" s="9">
        <f>STATS1003B!R1749/1000</f>
        <v>0</v>
      </c>
      <c r="S1654" s="9">
        <f>STATS1003B!S1749/1000</f>
        <v>0</v>
      </c>
      <c r="T1654" s="9">
        <f>STATS1003B!T1749/1000</f>
        <v>0</v>
      </c>
      <c r="U1654" s="9">
        <f>STATS1003B!U1749/1000</f>
        <v>115.37560999999999</v>
      </c>
      <c r="V1654" s="9">
        <f>STATS1003B!V1749/1000</f>
        <v>0</v>
      </c>
      <c r="W1654" s="9">
        <f>STATS1003B!W1749/1000</f>
        <v>0</v>
      </c>
      <c r="X1654" s="9">
        <f>STATS1003B!X1749/1000</f>
        <v>219.27060999999998</v>
      </c>
      <c r="Y1654" s="9">
        <f>STATS1003B!Y1749/1000</f>
        <v>0</v>
      </c>
      <c r="Z1654" s="9">
        <f>STATS1003B!Z1749/1000</f>
        <v>0</v>
      </c>
      <c r="AA1654" s="9">
        <f>STATS1003B!AA1749/1000</f>
        <v>219.27060999999998</v>
      </c>
      <c r="AB1654" s="9">
        <f>STATS1003B!AB1749/1000</f>
        <v>0</v>
      </c>
    </row>
    <row r="1655" spans="1:28" x14ac:dyDescent="0.35">
      <c r="A1655" s="36"/>
      <c r="B1655" s="8"/>
      <c r="C1655" s="7" t="s">
        <v>539</v>
      </c>
      <c r="D1655" s="15" t="s">
        <v>68</v>
      </c>
      <c r="E1655" s="9">
        <f>STATS1003B!E1750/1000</f>
        <v>759.62135999999998</v>
      </c>
      <c r="F1655" s="9">
        <f>STATS1003B!F1750/1000</f>
        <v>0</v>
      </c>
      <c r="G1655" s="9">
        <f>STATS1003B!G1750/1000</f>
        <v>0</v>
      </c>
      <c r="H1655" s="9">
        <f>STATS1003B!H1750/1000</f>
        <v>0</v>
      </c>
      <c r="I1655" s="9">
        <f>STATS1003B!I1750/1000</f>
        <v>0</v>
      </c>
      <c r="J1655" s="9">
        <f>STATS1003B!J1750/1000</f>
        <v>0</v>
      </c>
      <c r="K1655" s="9">
        <f>STATS1003B!K1750/1000</f>
        <v>759.62135999999998</v>
      </c>
      <c r="L1655" s="9">
        <f>STATS1003B!L1750/1000</f>
        <v>0</v>
      </c>
      <c r="M1655" s="9">
        <f>STATS1003B!M1750/1000</f>
        <v>0</v>
      </c>
      <c r="N1655" s="9">
        <f>STATS1003B!N1750/1000</f>
        <v>759.62135999999998</v>
      </c>
      <c r="O1655" s="9">
        <f>STATS1003B!O1750/1000</f>
        <v>0</v>
      </c>
      <c r="P1655" s="9">
        <f>STATS1003B!P1750/1000</f>
        <v>759.62135999999998</v>
      </c>
      <c r="Q1655" s="9">
        <f>STATS1003B!Q1750/1000</f>
        <v>0</v>
      </c>
      <c r="R1655" s="9">
        <f>STATS1003B!R1750/1000</f>
        <v>0</v>
      </c>
      <c r="S1655" s="9">
        <f>STATS1003B!S1750/1000</f>
        <v>0</v>
      </c>
      <c r="T1655" s="9">
        <f>STATS1003B!T1750/1000</f>
        <v>0</v>
      </c>
      <c r="U1655" s="9">
        <f>STATS1003B!U1750/1000</f>
        <v>759.62135999999998</v>
      </c>
      <c r="V1655" s="9">
        <f>STATS1003B!V1750/1000</f>
        <v>0</v>
      </c>
      <c r="W1655" s="9">
        <f>STATS1003B!W1750/1000</f>
        <v>0</v>
      </c>
      <c r="X1655" s="9">
        <f>STATS1003B!X1750/1000</f>
        <v>759.62135999999998</v>
      </c>
      <c r="Y1655" s="9">
        <f>STATS1003B!Y1750/1000</f>
        <v>0</v>
      </c>
      <c r="Z1655" s="9">
        <f>STATS1003B!Z1750/1000</f>
        <v>0</v>
      </c>
      <c r="AA1655" s="9">
        <f>STATS1003B!AA1750/1000</f>
        <v>759.62135999999998</v>
      </c>
      <c r="AB1655" s="9">
        <f>STATS1003B!AB1750/1000</f>
        <v>0</v>
      </c>
    </row>
    <row r="1656" spans="1:28" x14ac:dyDescent="0.35">
      <c r="A1656" s="36"/>
      <c r="B1656" s="8"/>
      <c r="C1656" s="7" t="s">
        <v>535</v>
      </c>
      <c r="D1656" s="15" t="s">
        <v>54</v>
      </c>
      <c r="E1656" s="9">
        <f>STATS1003B!E1751/1000</f>
        <v>838.82899999999995</v>
      </c>
      <c r="F1656" s="9">
        <f>STATS1003B!F1751/1000</f>
        <v>838.82899999999995</v>
      </c>
      <c r="G1656" s="9">
        <f>STATS1003B!G1751/1000</f>
        <v>0</v>
      </c>
      <c r="H1656" s="9">
        <f>STATS1003B!H1751/1000</f>
        <v>838.82899999999995</v>
      </c>
      <c r="I1656" s="9">
        <f>STATS1003B!I1751/1000</f>
        <v>0</v>
      </c>
      <c r="J1656" s="9">
        <f>STATS1003B!J1751/1000</f>
        <v>838.82899999999995</v>
      </c>
      <c r="K1656" s="9">
        <f>STATS1003B!K1751/1000</f>
        <v>0</v>
      </c>
      <c r="L1656" s="9">
        <f>STATS1003B!L1751/1000</f>
        <v>0</v>
      </c>
      <c r="M1656" s="9">
        <f>STATS1003B!M1751/1000</f>
        <v>838.82899999999995</v>
      </c>
      <c r="N1656" s="9">
        <f>STATS1003B!N1751/1000</f>
        <v>0</v>
      </c>
      <c r="O1656" s="9">
        <f>STATS1003B!O1751/1000</f>
        <v>0</v>
      </c>
      <c r="P1656" s="9">
        <f>STATS1003B!P1751/1000</f>
        <v>0</v>
      </c>
      <c r="Q1656" s="9">
        <f>STATS1003B!Q1751/1000</f>
        <v>838.82899999999995</v>
      </c>
      <c r="R1656" s="9">
        <f>STATS1003B!R1751/1000</f>
        <v>0</v>
      </c>
      <c r="S1656" s="9">
        <f>STATS1003B!S1751/1000</f>
        <v>0</v>
      </c>
      <c r="T1656" s="9">
        <f>STATS1003B!T1751/1000</f>
        <v>0</v>
      </c>
      <c r="U1656" s="9">
        <f>STATS1003B!U1751/1000</f>
        <v>0</v>
      </c>
      <c r="V1656" s="9">
        <f>STATS1003B!V1751/1000</f>
        <v>0</v>
      </c>
      <c r="W1656" s="9">
        <f>STATS1003B!W1751/1000</f>
        <v>0</v>
      </c>
      <c r="X1656" s="9">
        <f>STATS1003B!X1751/1000</f>
        <v>838.82899999999995</v>
      </c>
      <c r="Y1656" s="9">
        <f>STATS1003B!Y1751/1000</f>
        <v>0</v>
      </c>
      <c r="Z1656" s="9">
        <f>STATS1003B!Z1751/1000</f>
        <v>0</v>
      </c>
      <c r="AA1656" s="9">
        <f>STATS1003B!AA1751/1000</f>
        <v>838.82899999999995</v>
      </c>
      <c r="AB1656" s="9">
        <f>STATS1003B!AB1751/1000</f>
        <v>0</v>
      </c>
    </row>
    <row r="1657" spans="1:28" x14ac:dyDescent="0.35">
      <c r="A1657" s="36"/>
      <c r="B1657" s="8"/>
      <c r="C1657" s="7" t="s">
        <v>545</v>
      </c>
      <c r="D1657" s="15" t="s">
        <v>54</v>
      </c>
      <c r="E1657" s="9">
        <f>STATS1003B!E1752/1000</f>
        <v>1953.989</v>
      </c>
      <c r="F1657" s="9">
        <f>STATS1003B!F1752/1000</f>
        <v>0</v>
      </c>
      <c r="G1657" s="9">
        <f>STATS1003B!G1752/1000</f>
        <v>0</v>
      </c>
      <c r="H1657" s="9">
        <f>STATS1003B!H1752/1000</f>
        <v>0</v>
      </c>
      <c r="I1657" s="9">
        <f>STATS1003B!I1752/1000</f>
        <v>0</v>
      </c>
      <c r="J1657" s="9">
        <f>STATS1003B!J1752/1000</f>
        <v>0</v>
      </c>
      <c r="K1657" s="9">
        <f>STATS1003B!K1752/1000</f>
        <v>1953.989</v>
      </c>
      <c r="L1657" s="9">
        <f>STATS1003B!L1752/1000</f>
        <v>0</v>
      </c>
      <c r="M1657" s="9">
        <f>STATS1003B!M1752/1000</f>
        <v>0</v>
      </c>
      <c r="N1657" s="9">
        <f>STATS1003B!N1752/1000</f>
        <v>1953.989</v>
      </c>
      <c r="O1657" s="9">
        <f>STATS1003B!O1752/1000</f>
        <v>0</v>
      </c>
      <c r="P1657" s="9">
        <f>STATS1003B!P1752/1000</f>
        <v>1953.989</v>
      </c>
      <c r="Q1657" s="9">
        <f>STATS1003B!Q1752/1000</f>
        <v>0</v>
      </c>
      <c r="R1657" s="9">
        <f>STATS1003B!R1752/1000</f>
        <v>0</v>
      </c>
      <c r="S1657" s="9">
        <f>STATS1003B!S1752/1000</f>
        <v>0</v>
      </c>
      <c r="T1657" s="9">
        <f>STATS1003B!T1752/1000</f>
        <v>0</v>
      </c>
      <c r="U1657" s="9">
        <f>STATS1003B!U1752/1000</f>
        <v>1953.989</v>
      </c>
      <c r="V1657" s="9">
        <f>STATS1003B!V1752/1000</f>
        <v>0</v>
      </c>
      <c r="W1657" s="9">
        <f>STATS1003B!W1752/1000</f>
        <v>0</v>
      </c>
      <c r="X1657" s="9">
        <f>STATS1003B!X1752/1000</f>
        <v>1953.989</v>
      </c>
      <c r="Y1657" s="9">
        <f>STATS1003B!Y1752/1000</f>
        <v>0</v>
      </c>
      <c r="Z1657" s="9">
        <f>STATS1003B!Z1752/1000</f>
        <v>0</v>
      </c>
      <c r="AA1657" s="9">
        <f>STATS1003B!AA1752/1000</f>
        <v>1953.989</v>
      </c>
      <c r="AB1657" s="9">
        <f>STATS1003B!AB1752/1000</f>
        <v>0</v>
      </c>
    </row>
    <row r="1658" spans="1:28" x14ac:dyDescent="0.35">
      <c r="A1658" s="36"/>
      <c r="B1658" s="8"/>
      <c r="C1658" s="7" t="s">
        <v>535</v>
      </c>
      <c r="D1658" s="15" t="s">
        <v>85</v>
      </c>
      <c r="E1658" s="9">
        <f>STATS1003B!E1753/1000</f>
        <v>2540.3890000000001</v>
      </c>
      <c r="F1658" s="9">
        <f>STATS1003B!F1753/1000</f>
        <v>2540.3890000000001</v>
      </c>
      <c r="G1658" s="9">
        <f>STATS1003B!G1753/1000</f>
        <v>0</v>
      </c>
      <c r="H1658" s="9">
        <f>STATS1003B!H1753/1000</f>
        <v>2540.3890000000001</v>
      </c>
      <c r="I1658" s="9">
        <f>STATS1003B!I1753/1000</f>
        <v>0</v>
      </c>
      <c r="J1658" s="9">
        <f>STATS1003B!J1753/1000</f>
        <v>2540.3890000000001</v>
      </c>
      <c r="K1658" s="9">
        <f>STATS1003B!K1753/1000</f>
        <v>0</v>
      </c>
      <c r="L1658" s="9">
        <f>STATS1003B!L1753/1000</f>
        <v>0</v>
      </c>
      <c r="M1658" s="9">
        <f>STATS1003B!M1753/1000</f>
        <v>2540.3890000000001</v>
      </c>
      <c r="N1658" s="9">
        <f>STATS1003B!N1753/1000</f>
        <v>0</v>
      </c>
      <c r="O1658" s="9">
        <f>STATS1003B!O1753/1000</f>
        <v>0</v>
      </c>
      <c r="P1658" s="9">
        <f>STATS1003B!P1753/1000</f>
        <v>0</v>
      </c>
      <c r="Q1658" s="9">
        <f>STATS1003B!Q1753/1000</f>
        <v>2540.3890000000001</v>
      </c>
      <c r="R1658" s="9">
        <f>STATS1003B!R1753/1000</f>
        <v>0</v>
      </c>
      <c r="S1658" s="9">
        <f>STATS1003B!S1753/1000</f>
        <v>0</v>
      </c>
      <c r="T1658" s="9">
        <f>STATS1003B!T1753/1000</f>
        <v>0</v>
      </c>
      <c r="U1658" s="9">
        <f>STATS1003B!U1753/1000</f>
        <v>0</v>
      </c>
      <c r="V1658" s="9">
        <f>STATS1003B!V1753/1000</f>
        <v>0</v>
      </c>
      <c r="W1658" s="9">
        <f>STATS1003B!W1753/1000</f>
        <v>0</v>
      </c>
      <c r="X1658" s="9">
        <f>STATS1003B!X1753/1000</f>
        <v>2540.3890000000001</v>
      </c>
      <c r="Y1658" s="9">
        <f>STATS1003B!Y1753/1000</f>
        <v>0</v>
      </c>
      <c r="Z1658" s="9">
        <f>STATS1003B!Z1753/1000</f>
        <v>0</v>
      </c>
      <c r="AA1658" s="9">
        <f>STATS1003B!AA1753/1000</f>
        <v>2540.3890000000001</v>
      </c>
      <c r="AB1658" s="9">
        <f>STATS1003B!AB1753/1000</f>
        <v>0</v>
      </c>
    </row>
    <row r="1659" spans="1:28" x14ac:dyDescent="0.35">
      <c r="A1659" s="36"/>
      <c r="B1659" s="8"/>
      <c r="C1659" s="7" t="s">
        <v>535</v>
      </c>
      <c r="D1659" s="15" t="s">
        <v>128</v>
      </c>
      <c r="E1659" s="9">
        <f>STATS1003B!E1754/1000</f>
        <v>1200</v>
      </c>
      <c r="F1659" s="9">
        <f>STATS1003B!F1754/1000</f>
        <v>1200</v>
      </c>
      <c r="G1659" s="9">
        <f>STATS1003B!G1754/1000</f>
        <v>0</v>
      </c>
      <c r="H1659" s="9">
        <f>STATS1003B!H1754/1000</f>
        <v>1200</v>
      </c>
      <c r="I1659" s="9">
        <f>STATS1003B!I1754/1000</f>
        <v>0</v>
      </c>
      <c r="J1659" s="9">
        <f>STATS1003B!J1754/1000</f>
        <v>1200</v>
      </c>
      <c r="K1659" s="9">
        <f>STATS1003B!K1754/1000</f>
        <v>0</v>
      </c>
      <c r="L1659" s="9">
        <f>STATS1003B!L1754/1000</f>
        <v>0</v>
      </c>
      <c r="M1659" s="9">
        <f>STATS1003B!M1754/1000</f>
        <v>1200</v>
      </c>
      <c r="N1659" s="9">
        <f>STATS1003B!N1754/1000</f>
        <v>0</v>
      </c>
      <c r="O1659" s="9">
        <f>STATS1003B!O1754/1000</f>
        <v>0</v>
      </c>
      <c r="P1659" s="9">
        <f>STATS1003B!P1754/1000</f>
        <v>0</v>
      </c>
      <c r="Q1659" s="9">
        <f>STATS1003B!Q1754/1000</f>
        <v>1200</v>
      </c>
      <c r="R1659" s="9">
        <f>STATS1003B!R1754/1000</f>
        <v>0</v>
      </c>
      <c r="S1659" s="9">
        <f>STATS1003B!S1754/1000</f>
        <v>0</v>
      </c>
      <c r="T1659" s="9">
        <f>STATS1003B!T1754/1000</f>
        <v>0</v>
      </c>
      <c r="U1659" s="9">
        <f>STATS1003B!U1754/1000</f>
        <v>0</v>
      </c>
      <c r="V1659" s="9">
        <f>STATS1003B!V1754/1000</f>
        <v>0</v>
      </c>
      <c r="W1659" s="9">
        <f>STATS1003B!W1754/1000</f>
        <v>0</v>
      </c>
      <c r="X1659" s="9">
        <f>STATS1003B!X1754/1000</f>
        <v>1200</v>
      </c>
      <c r="Y1659" s="9">
        <f>STATS1003B!Y1754/1000</f>
        <v>0</v>
      </c>
      <c r="Z1659" s="9">
        <f>STATS1003B!Z1754/1000</f>
        <v>0</v>
      </c>
      <c r="AA1659" s="9">
        <f>STATS1003B!AA1754/1000</f>
        <v>1200</v>
      </c>
      <c r="AB1659" s="9">
        <f>STATS1003B!AB1754/1000</f>
        <v>0</v>
      </c>
    </row>
    <row r="1660" spans="1:28" x14ac:dyDescent="0.35">
      <c r="A1660" s="36"/>
      <c r="B1660" s="8"/>
      <c r="C1660" s="7" t="s">
        <v>535</v>
      </c>
      <c r="D1660" s="15" t="s">
        <v>60</v>
      </c>
      <c r="E1660" s="9">
        <f>STATS1003B!E1755/1000</f>
        <v>2334.0659999999998</v>
      </c>
      <c r="F1660" s="9">
        <f>STATS1003B!F1755/1000</f>
        <v>2334.0659999999998</v>
      </c>
      <c r="G1660" s="9">
        <f>STATS1003B!G1755/1000</f>
        <v>0</v>
      </c>
      <c r="H1660" s="9">
        <f>STATS1003B!H1755/1000</f>
        <v>2334.0659999999998</v>
      </c>
      <c r="I1660" s="9">
        <f>STATS1003B!I1755/1000</f>
        <v>0</v>
      </c>
      <c r="J1660" s="9">
        <f>STATS1003B!J1755/1000</f>
        <v>2334.0659999999998</v>
      </c>
      <c r="K1660" s="9">
        <f>STATS1003B!K1755/1000</f>
        <v>0</v>
      </c>
      <c r="L1660" s="9">
        <f>STATS1003B!L1755/1000</f>
        <v>0</v>
      </c>
      <c r="M1660" s="9">
        <f>STATS1003B!M1755/1000</f>
        <v>2334.0659999999998</v>
      </c>
      <c r="N1660" s="9">
        <f>STATS1003B!N1755/1000</f>
        <v>0</v>
      </c>
      <c r="O1660" s="9">
        <f>STATS1003B!O1755/1000</f>
        <v>0</v>
      </c>
      <c r="P1660" s="9">
        <f>STATS1003B!P1755/1000</f>
        <v>0</v>
      </c>
      <c r="Q1660" s="9">
        <f>STATS1003B!Q1755/1000</f>
        <v>2334.0659999999998</v>
      </c>
      <c r="R1660" s="9">
        <f>STATS1003B!R1755/1000</f>
        <v>0</v>
      </c>
      <c r="S1660" s="9">
        <f>STATS1003B!S1755/1000</f>
        <v>0</v>
      </c>
      <c r="T1660" s="9">
        <f>STATS1003B!T1755/1000</f>
        <v>0</v>
      </c>
      <c r="U1660" s="9">
        <f>STATS1003B!U1755/1000</f>
        <v>0</v>
      </c>
      <c r="V1660" s="9">
        <f>STATS1003B!V1755/1000</f>
        <v>0</v>
      </c>
      <c r="W1660" s="9">
        <f>STATS1003B!W1755/1000</f>
        <v>0</v>
      </c>
      <c r="X1660" s="9">
        <f>STATS1003B!X1755/1000</f>
        <v>2334.0659999999998</v>
      </c>
      <c r="Y1660" s="9">
        <f>STATS1003B!Y1755/1000</f>
        <v>0</v>
      </c>
      <c r="Z1660" s="9">
        <f>STATS1003B!Z1755/1000</f>
        <v>0</v>
      </c>
      <c r="AA1660" s="9">
        <f>STATS1003B!AA1755/1000</f>
        <v>2334.0659999999998</v>
      </c>
      <c r="AB1660" s="9">
        <f>STATS1003B!AB1755/1000</f>
        <v>0</v>
      </c>
    </row>
    <row r="1661" spans="1:28" x14ac:dyDescent="0.35">
      <c r="A1661" s="36"/>
      <c r="B1661" s="8"/>
      <c r="C1661" s="14" t="s">
        <v>535</v>
      </c>
      <c r="D1661" s="21" t="s">
        <v>73</v>
      </c>
      <c r="E1661" s="9">
        <f>STATS1003B!E1756/1000</f>
        <v>1579.0152399999999</v>
      </c>
      <c r="F1661" s="9">
        <f>STATS1003B!F1756/1000</f>
        <v>1579.0152399999999</v>
      </c>
      <c r="G1661" s="9">
        <f>STATS1003B!G1756/1000</f>
        <v>0</v>
      </c>
      <c r="H1661" s="9">
        <f>STATS1003B!H1756/1000</f>
        <v>1579.0152399999999</v>
      </c>
      <c r="I1661" s="9">
        <f>STATS1003B!I1756/1000</f>
        <v>0</v>
      </c>
      <c r="J1661" s="9">
        <f>STATS1003B!J1756/1000</f>
        <v>1579.0152399999999</v>
      </c>
      <c r="K1661" s="9">
        <f>STATS1003B!K1756/1000</f>
        <v>0</v>
      </c>
      <c r="L1661" s="9">
        <f>STATS1003B!L1756/1000</f>
        <v>0</v>
      </c>
      <c r="M1661" s="9">
        <f>STATS1003B!M1756/1000</f>
        <v>1579.0152399999999</v>
      </c>
      <c r="N1661" s="9">
        <f>STATS1003B!N1756/1000</f>
        <v>0</v>
      </c>
      <c r="O1661" s="9">
        <f>STATS1003B!O1756/1000</f>
        <v>0</v>
      </c>
      <c r="P1661" s="9">
        <f>STATS1003B!P1756/1000</f>
        <v>0</v>
      </c>
      <c r="Q1661" s="9">
        <f>STATS1003B!Q1756/1000</f>
        <v>1579.0152399999999</v>
      </c>
      <c r="R1661" s="9">
        <f>STATS1003B!R1756/1000</f>
        <v>0</v>
      </c>
      <c r="S1661" s="9">
        <f>STATS1003B!S1756/1000</f>
        <v>0</v>
      </c>
      <c r="T1661" s="9">
        <f>STATS1003B!T1756/1000</f>
        <v>0</v>
      </c>
      <c r="U1661" s="9">
        <f>STATS1003B!U1756/1000</f>
        <v>0</v>
      </c>
      <c r="V1661" s="9">
        <f>STATS1003B!V1756/1000</f>
        <v>0</v>
      </c>
      <c r="W1661" s="9">
        <f>STATS1003B!W1756/1000</f>
        <v>0</v>
      </c>
      <c r="X1661" s="9">
        <f>STATS1003B!X1756/1000</f>
        <v>1579.0152399999999</v>
      </c>
      <c r="Y1661" s="9">
        <f>STATS1003B!Y1756/1000</f>
        <v>0</v>
      </c>
      <c r="Z1661" s="9">
        <f>STATS1003B!Z1756/1000</f>
        <v>0</v>
      </c>
      <c r="AA1661" s="9">
        <f>STATS1003B!AA1756/1000</f>
        <v>1579.0152399999999</v>
      </c>
      <c r="AB1661" s="9">
        <f>STATS1003B!AB1756/1000</f>
        <v>0</v>
      </c>
    </row>
    <row r="1662" spans="1:28" x14ac:dyDescent="0.35">
      <c r="A1662" s="36"/>
      <c r="B1662" s="14" t="s">
        <v>762</v>
      </c>
      <c r="C1662" s="14" t="s">
        <v>535</v>
      </c>
      <c r="D1662" s="21" t="s">
        <v>61</v>
      </c>
      <c r="E1662" s="9">
        <f>STATS1003B!E1757/1000</f>
        <v>1357.2180000000001</v>
      </c>
      <c r="F1662" s="9">
        <f>STATS1003B!F1757/1000</f>
        <v>1357.2180000000001</v>
      </c>
      <c r="G1662" s="9">
        <f>STATS1003B!G1757/1000</f>
        <v>0</v>
      </c>
      <c r="H1662" s="9">
        <f>STATS1003B!H1757/1000</f>
        <v>1357.2180000000001</v>
      </c>
      <c r="I1662" s="9">
        <f>STATS1003B!I1757/1000</f>
        <v>0</v>
      </c>
      <c r="J1662" s="9">
        <f>STATS1003B!J1757/1000</f>
        <v>1357.2180000000001</v>
      </c>
      <c r="K1662" s="9">
        <f>STATS1003B!K1757/1000</f>
        <v>0</v>
      </c>
      <c r="L1662" s="9">
        <f>STATS1003B!L1757/1000</f>
        <v>0</v>
      </c>
      <c r="M1662" s="9">
        <f>STATS1003B!M1757/1000</f>
        <v>1357.2180000000001</v>
      </c>
      <c r="N1662" s="9">
        <f>STATS1003B!N1757/1000</f>
        <v>0</v>
      </c>
      <c r="O1662" s="9">
        <f>STATS1003B!O1757/1000</f>
        <v>0</v>
      </c>
      <c r="P1662" s="9">
        <f>STATS1003B!P1757/1000</f>
        <v>0</v>
      </c>
      <c r="Q1662" s="9">
        <f>STATS1003B!Q1757/1000</f>
        <v>1357.2180000000001</v>
      </c>
      <c r="R1662" s="9">
        <f>STATS1003B!R1757/1000</f>
        <v>0</v>
      </c>
      <c r="S1662" s="9">
        <f>STATS1003B!S1757/1000</f>
        <v>0</v>
      </c>
      <c r="T1662" s="9">
        <f>STATS1003B!T1757/1000</f>
        <v>0</v>
      </c>
      <c r="U1662" s="9">
        <f>STATS1003B!U1757/1000</f>
        <v>0</v>
      </c>
      <c r="V1662" s="9">
        <f>STATS1003B!V1757/1000</f>
        <v>0</v>
      </c>
      <c r="W1662" s="9">
        <f>STATS1003B!W1757/1000</f>
        <v>0</v>
      </c>
      <c r="X1662" s="9">
        <f>STATS1003B!X1757/1000</f>
        <v>1357.2180000000001</v>
      </c>
      <c r="Y1662" s="9">
        <f>STATS1003B!Y1757/1000</f>
        <v>0</v>
      </c>
      <c r="Z1662" s="9">
        <f>STATS1003B!Z1757/1000</f>
        <v>0</v>
      </c>
      <c r="AA1662" s="9">
        <f>STATS1003B!AA1757/1000</f>
        <v>1357.2180000000001</v>
      </c>
      <c r="AB1662" s="9">
        <f>STATS1003B!AB1757/1000</f>
        <v>0</v>
      </c>
    </row>
    <row r="1663" spans="1:28" x14ac:dyDescent="0.35">
      <c r="A1663" s="36"/>
      <c r="B1663" s="14"/>
      <c r="C1663" s="14" t="s">
        <v>1120</v>
      </c>
      <c r="D1663" s="24" t="s">
        <v>1072</v>
      </c>
      <c r="E1663" s="9">
        <f>STATS1003B!E1758/1000</f>
        <v>70</v>
      </c>
      <c r="F1663" s="9">
        <f>STATS1003B!F1758/1000</f>
        <v>70</v>
      </c>
      <c r="G1663" s="9">
        <f>STATS1003B!G1758/1000</f>
        <v>0</v>
      </c>
      <c r="H1663" s="9">
        <f>STATS1003B!H1758/1000</f>
        <v>70</v>
      </c>
      <c r="I1663" s="9">
        <f>STATS1003B!I1758/1000</f>
        <v>0</v>
      </c>
      <c r="J1663" s="9">
        <f>STATS1003B!J1758/1000</f>
        <v>70</v>
      </c>
      <c r="K1663" s="9">
        <f>STATS1003B!K1758/1000</f>
        <v>0</v>
      </c>
      <c r="L1663" s="9">
        <f>STATS1003B!L1758/1000</f>
        <v>0</v>
      </c>
      <c r="M1663" s="9">
        <f>STATS1003B!M1758/1000</f>
        <v>70</v>
      </c>
      <c r="N1663" s="9">
        <f>STATS1003B!N1758/1000</f>
        <v>0</v>
      </c>
      <c r="O1663" s="9">
        <f>STATS1003B!O1758/1000</f>
        <v>0</v>
      </c>
      <c r="P1663" s="9">
        <f>STATS1003B!P1758/1000</f>
        <v>0</v>
      </c>
      <c r="Q1663" s="9">
        <f>STATS1003B!Q1758/1000</f>
        <v>70</v>
      </c>
      <c r="R1663" s="9">
        <f>STATS1003B!R1758/1000</f>
        <v>0</v>
      </c>
      <c r="S1663" s="9">
        <f>STATS1003B!S1758/1000</f>
        <v>0</v>
      </c>
      <c r="T1663" s="9">
        <f>STATS1003B!T1758/1000</f>
        <v>0</v>
      </c>
      <c r="U1663" s="9">
        <f>STATS1003B!U1758/1000</f>
        <v>0</v>
      </c>
      <c r="V1663" s="9">
        <f>STATS1003B!V1758/1000</f>
        <v>0</v>
      </c>
      <c r="W1663" s="9">
        <f>STATS1003B!W1758/1000</f>
        <v>0</v>
      </c>
      <c r="X1663" s="9">
        <f>STATS1003B!X1758/1000</f>
        <v>70</v>
      </c>
      <c r="Y1663" s="9">
        <f>STATS1003B!Y1758/1000</f>
        <v>0</v>
      </c>
      <c r="Z1663" s="9">
        <f>STATS1003B!Z1758/1000</f>
        <v>0</v>
      </c>
      <c r="AA1663" s="9">
        <f>STATS1003B!AA1758/1000</f>
        <v>70</v>
      </c>
      <c r="AB1663" s="9">
        <f>STATS1003B!AB1758/1000</f>
        <v>0</v>
      </c>
    </row>
    <row r="1664" spans="1:28" x14ac:dyDescent="0.35">
      <c r="A1664" s="36"/>
      <c r="B1664" s="14"/>
      <c r="C1664" s="14" t="s">
        <v>933</v>
      </c>
      <c r="D1664" s="24" t="s">
        <v>1072</v>
      </c>
      <c r="E1664" s="9">
        <f>STATS1003B!E1759/1000</f>
        <v>1139</v>
      </c>
      <c r="F1664" s="9">
        <f>STATS1003B!F1759/1000</f>
        <v>1139</v>
      </c>
      <c r="G1664" s="9">
        <f>STATS1003B!G1759/1000</f>
        <v>0</v>
      </c>
      <c r="H1664" s="9">
        <f>STATS1003B!H1759/1000</f>
        <v>1139</v>
      </c>
      <c r="I1664" s="9">
        <f>STATS1003B!I1759/1000</f>
        <v>0</v>
      </c>
      <c r="J1664" s="9">
        <f>STATS1003B!J1759/1000</f>
        <v>1139</v>
      </c>
      <c r="K1664" s="9">
        <f>STATS1003B!K1759/1000</f>
        <v>0</v>
      </c>
      <c r="L1664" s="9">
        <f>STATS1003B!L1759/1000</f>
        <v>0</v>
      </c>
      <c r="M1664" s="9">
        <f>STATS1003B!M1759/1000</f>
        <v>1139</v>
      </c>
      <c r="N1664" s="9">
        <f>STATS1003B!N1759/1000</f>
        <v>0</v>
      </c>
      <c r="O1664" s="9">
        <f>STATS1003B!O1759/1000</f>
        <v>0</v>
      </c>
      <c r="P1664" s="9">
        <f>STATS1003B!P1759/1000</f>
        <v>0</v>
      </c>
      <c r="Q1664" s="9">
        <f>STATS1003B!Q1759/1000</f>
        <v>0</v>
      </c>
      <c r="R1664" s="9">
        <f>STATS1003B!R1759/1000</f>
        <v>0</v>
      </c>
      <c r="S1664" s="9">
        <f>STATS1003B!S1759/1000</f>
        <v>0</v>
      </c>
      <c r="T1664" s="9">
        <f>STATS1003B!T1759/1000</f>
        <v>0</v>
      </c>
      <c r="U1664" s="9">
        <f>STATS1003B!U1759/1000</f>
        <v>0</v>
      </c>
      <c r="V1664" s="9">
        <f>STATS1003B!V1759/1000</f>
        <v>0</v>
      </c>
      <c r="W1664" s="9">
        <f>STATS1003B!W1759/1000</f>
        <v>0</v>
      </c>
      <c r="X1664" s="9">
        <f>STATS1003B!X1759/1000</f>
        <v>1139</v>
      </c>
      <c r="Y1664" s="9">
        <f>STATS1003B!Y1759/1000</f>
        <v>0</v>
      </c>
      <c r="Z1664" s="9">
        <f>STATS1003B!Z1759/1000</f>
        <v>0</v>
      </c>
      <c r="AA1664" s="9">
        <f>STATS1003B!AA1759/1000</f>
        <v>1139</v>
      </c>
      <c r="AB1664" s="9">
        <f>STATS1003B!AB1759/1000</f>
        <v>0</v>
      </c>
    </row>
    <row r="1665" spans="1:28" x14ac:dyDescent="0.35">
      <c r="A1665" s="36"/>
      <c r="B1665" s="8"/>
      <c r="C1665" s="7" t="s">
        <v>592</v>
      </c>
      <c r="D1665" s="8"/>
      <c r="E1665" s="9">
        <f>STATS1003B!E1760/1000</f>
        <v>373.18334999999996</v>
      </c>
      <c r="F1665" s="9">
        <f>STATS1003B!F1760/1000</f>
        <v>373.18334999999996</v>
      </c>
      <c r="G1665" s="9">
        <f>STATS1003B!G1760/1000</f>
        <v>0</v>
      </c>
      <c r="H1665" s="9">
        <f>STATS1003B!H1760/1000</f>
        <v>373.18334999999996</v>
      </c>
      <c r="I1665" s="9">
        <f>STATS1003B!I1760/1000</f>
        <v>0</v>
      </c>
      <c r="J1665" s="9">
        <f>STATS1003B!J1760/1000</f>
        <v>373.18334999999996</v>
      </c>
      <c r="K1665" s="9">
        <f>STATS1003B!K1760/1000</f>
        <v>0</v>
      </c>
      <c r="L1665" s="9">
        <f>STATS1003B!L1760/1000</f>
        <v>0</v>
      </c>
      <c r="M1665" s="9">
        <f>STATS1003B!M1760/1000</f>
        <v>373.18334999999996</v>
      </c>
      <c r="N1665" s="9">
        <f>STATS1003B!N1760/1000</f>
        <v>0</v>
      </c>
      <c r="O1665" s="9">
        <f>STATS1003B!O1760/1000</f>
        <v>0</v>
      </c>
      <c r="P1665" s="9">
        <f>STATS1003B!P1760/1000</f>
        <v>0</v>
      </c>
      <c r="Q1665" s="9">
        <f>STATS1003B!Q1760/1000</f>
        <v>373.18334999999996</v>
      </c>
      <c r="R1665" s="9">
        <f>STATS1003B!R1760/1000</f>
        <v>0</v>
      </c>
      <c r="S1665" s="9">
        <f>STATS1003B!S1760/1000</f>
        <v>0</v>
      </c>
      <c r="T1665" s="9">
        <f>STATS1003B!T1760/1000</f>
        <v>0</v>
      </c>
      <c r="U1665" s="9">
        <f>STATS1003B!U1760/1000</f>
        <v>0</v>
      </c>
      <c r="V1665" s="9">
        <f>STATS1003B!V1760/1000</f>
        <v>0</v>
      </c>
      <c r="W1665" s="9">
        <f>STATS1003B!W1760/1000</f>
        <v>0</v>
      </c>
      <c r="X1665" s="9">
        <f>STATS1003B!X1760/1000</f>
        <v>373.18334999999996</v>
      </c>
      <c r="Y1665" s="9">
        <f>STATS1003B!Y1760/1000</f>
        <v>0</v>
      </c>
      <c r="Z1665" s="9">
        <f>STATS1003B!Z1760/1000</f>
        <v>0</v>
      </c>
      <c r="AA1665" s="9">
        <f>STATS1003B!AA1760/1000</f>
        <v>373.18334999999996</v>
      </c>
      <c r="AB1665" s="9">
        <f>STATS1003B!AB1760/1000</f>
        <v>0</v>
      </c>
    </row>
    <row r="1666" spans="1:28" x14ac:dyDescent="0.35">
      <c r="A1666" s="36"/>
      <c r="B1666" s="8"/>
      <c r="C1666" s="8"/>
      <c r="D1666" s="8"/>
      <c r="E1666" s="17" t="s">
        <v>29</v>
      </c>
      <c r="F1666" s="17" t="s">
        <v>29</v>
      </c>
      <c r="G1666" s="17" t="s">
        <v>29</v>
      </c>
      <c r="H1666" s="17" t="s">
        <v>29</v>
      </c>
      <c r="I1666" s="17" t="s">
        <v>29</v>
      </c>
      <c r="J1666" s="17" t="s">
        <v>29</v>
      </c>
      <c r="K1666" s="17" t="s">
        <v>29</v>
      </c>
      <c r="L1666" s="17" t="s">
        <v>29</v>
      </c>
      <c r="M1666" s="17" t="s">
        <v>29</v>
      </c>
      <c r="N1666" s="17" t="s">
        <v>29</v>
      </c>
      <c r="O1666" s="17" t="s">
        <v>29</v>
      </c>
      <c r="P1666" s="17" t="s">
        <v>29</v>
      </c>
      <c r="Q1666" s="17" t="s">
        <v>29</v>
      </c>
      <c r="R1666" s="17"/>
      <c r="S1666" s="17"/>
      <c r="T1666" s="17"/>
      <c r="U1666" s="17"/>
      <c r="V1666" s="17"/>
      <c r="W1666" s="17"/>
      <c r="X1666" s="17"/>
      <c r="Y1666" s="17"/>
      <c r="Z1666" s="17"/>
      <c r="AA1666" s="17" t="s">
        <v>29</v>
      </c>
      <c r="AB1666" s="17" t="s">
        <v>29</v>
      </c>
    </row>
    <row r="1667" spans="1:28" x14ac:dyDescent="0.35">
      <c r="A1667" s="36"/>
      <c r="B1667" s="8"/>
      <c r="C1667" s="8"/>
      <c r="D1667" s="8"/>
      <c r="E1667" s="9">
        <f t="shared" ref="E1667:Q1667" si="118">SUM(E1654:E1666)</f>
        <v>14364.581560000001</v>
      </c>
      <c r="F1667" s="9">
        <f t="shared" si="118"/>
        <v>11535.595590000001</v>
      </c>
      <c r="G1667" s="9">
        <f t="shared" si="118"/>
        <v>0</v>
      </c>
      <c r="H1667" s="9">
        <f t="shared" si="118"/>
        <v>11535.595590000001</v>
      </c>
      <c r="I1667" s="9">
        <f t="shared" si="118"/>
        <v>0</v>
      </c>
      <c r="J1667" s="9">
        <f t="shared" si="118"/>
        <v>11535.595590000001</v>
      </c>
      <c r="K1667" s="9">
        <f t="shared" si="118"/>
        <v>2828.9859699999997</v>
      </c>
      <c r="L1667" s="9">
        <f t="shared" si="118"/>
        <v>0</v>
      </c>
      <c r="M1667" s="9">
        <f t="shared" si="118"/>
        <v>11535.595590000001</v>
      </c>
      <c r="N1667" s="9">
        <f t="shared" si="118"/>
        <v>2828.9859699999997</v>
      </c>
      <c r="O1667" s="9">
        <f t="shared" si="118"/>
        <v>0</v>
      </c>
      <c r="P1667" s="9">
        <f t="shared" si="118"/>
        <v>2828.9859699999997</v>
      </c>
      <c r="Q1667" s="9">
        <f t="shared" si="118"/>
        <v>10396.595590000001</v>
      </c>
      <c r="R1667" s="17"/>
      <c r="S1667" s="17"/>
      <c r="T1667" s="9">
        <f>SUM(T1654:T1666)</f>
        <v>0</v>
      </c>
      <c r="U1667" s="9">
        <f>SUM(U1654:U1666)</f>
        <v>2828.9859699999997</v>
      </c>
      <c r="V1667" s="9">
        <f>SUM(V1654:V1666)</f>
        <v>0</v>
      </c>
      <c r="W1667" s="9">
        <f>SUM(W1654:W1666)</f>
        <v>0</v>
      </c>
      <c r="X1667" s="9">
        <f>+H1667+P1667</f>
        <v>14364.581560000001</v>
      </c>
      <c r="Y1667" s="8"/>
      <c r="Z1667" s="9">
        <f>+E1667-X1667</f>
        <v>0</v>
      </c>
      <c r="AA1667" s="9">
        <f>+F1667-Y1667</f>
        <v>11535.595590000001</v>
      </c>
      <c r="AB1667" s="9">
        <f>+G1667-Z1667</f>
        <v>0</v>
      </c>
    </row>
    <row r="1668" spans="1:28" x14ac:dyDescent="0.35">
      <c r="A1668" s="36"/>
      <c r="B1668" s="8"/>
      <c r="C1668" s="8"/>
      <c r="D1668" s="8"/>
      <c r="E1668" s="17" t="s">
        <v>29</v>
      </c>
      <c r="F1668" s="17" t="s">
        <v>29</v>
      </c>
      <c r="G1668" s="17" t="s">
        <v>29</v>
      </c>
      <c r="H1668" s="17" t="s">
        <v>29</v>
      </c>
      <c r="I1668" s="17" t="s">
        <v>29</v>
      </c>
      <c r="J1668" s="17" t="s">
        <v>29</v>
      </c>
      <c r="K1668" s="17" t="s">
        <v>29</v>
      </c>
      <c r="L1668" s="17" t="s">
        <v>29</v>
      </c>
      <c r="M1668" s="17" t="s">
        <v>29</v>
      </c>
      <c r="N1668" s="17" t="s">
        <v>29</v>
      </c>
      <c r="O1668" s="17" t="s">
        <v>29</v>
      </c>
      <c r="P1668" s="17" t="s">
        <v>29</v>
      </c>
      <c r="Q1668" s="17" t="s">
        <v>29</v>
      </c>
      <c r="R1668" s="17"/>
      <c r="S1668" s="17"/>
      <c r="T1668" s="17"/>
      <c r="U1668" s="17"/>
      <c r="V1668" s="17"/>
      <c r="W1668" s="17"/>
      <c r="X1668" s="17"/>
      <c r="Y1668" s="17"/>
      <c r="Z1668" s="17"/>
      <c r="AA1668" s="17" t="s">
        <v>29</v>
      </c>
      <c r="AB1668" s="17" t="s">
        <v>29</v>
      </c>
    </row>
    <row r="1669" spans="1:28" x14ac:dyDescent="0.35">
      <c r="A1669" s="38" t="s">
        <v>1013</v>
      </c>
      <c r="B1669" s="7" t="s">
        <v>763</v>
      </c>
      <c r="C1669" s="8"/>
      <c r="D1669" s="8"/>
      <c r="E1669" s="8"/>
      <c r="F1669" s="8"/>
      <c r="G1669" s="8"/>
      <c r="H1669" s="8"/>
      <c r="I1669" s="8"/>
      <c r="J1669" s="8"/>
      <c r="K1669" s="8"/>
      <c r="L1669" s="8"/>
      <c r="M1669" s="8"/>
      <c r="N1669" s="8"/>
      <c r="O1669" s="8"/>
      <c r="P1669" s="8"/>
      <c r="Q1669" s="8"/>
      <c r="R1669" s="17"/>
      <c r="S1669" s="17"/>
      <c r="T1669" s="17"/>
      <c r="U1669" s="17"/>
      <c r="V1669" s="17"/>
      <c r="W1669" s="17"/>
      <c r="X1669" s="17"/>
      <c r="Y1669" s="17"/>
      <c r="Z1669" s="17"/>
    </row>
    <row r="1670" spans="1:28" x14ac:dyDescent="0.35">
      <c r="A1670" s="36"/>
      <c r="B1670" s="8"/>
      <c r="C1670" s="7" t="s">
        <v>535</v>
      </c>
      <c r="D1670" s="15" t="s">
        <v>68</v>
      </c>
      <c r="E1670" s="9">
        <f>STATS1003B!E1765/1000</f>
        <v>1155.3854099999999</v>
      </c>
      <c r="F1670" s="9">
        <f>STATS1003B!F1765/1000</f>
        <v>542.54399999999998</v>
      </c>
      <c r="G1670" s="9">
        <f>STATS1003B!G1765/1000</f>
        <v>0</v>
      </c>
      <c r="H1670" s="9">
        <f>STATS1003B!H1765/1000</f>
        <v>542.54399999999998</v>
      </c>
      <c r="I1670" s="9">
        <f>STATS1003B!I1765/1000</f>
        <v>0</v>
      </c>
      <c r="J1670" s="9">
        <f>STATS1003B!J1765/1000</f>
        <v>542.54399999999998</v>
      </c>
      <c r="K1670" s="9">
        <f>STATS1003B!K1765/1000</f>
        <v>612.84141</v>
      </c>
      <c r="L1670" s="9">
        <f>STATS1003B!L1765/1000</f>
        <v>0</v>
      </c>
      <c r="M1670" s="9">
        <f>STATS1003B!M1765/1000</f>
        <v>542.54399999999998</v>
      </c>
      <c r="N1670" s="9">
        <f>STATS1003B!N1765/1000</f>
        <v>612.84141</v>
      </c>
      <c r="O1670" s="9">
        <f>STATS1003B!O1765/1000</f>
        <v>0</v>
      </c>
      <c r="P1670" s="9">
        <f>STATS1003B!P1765/1000</f>
        <v>612.84141</v>
      </c>
      <c r="Q1670" s="9">
        <f>STATS1003B!Q1765/1000</f>
        <v>542.54399999999987</v>
      </c>
      <c r="R1670" s="9">
        <f>STATS1003B!R1765/1000</f>
        <v>0</v>
      </c>
      <c r="S1670" s="9">
        <f>STATS1003B!S1765/1000</f>
        <v>0</v>
      </c>
      <c r="T1670" s="9">
        <f>STATS1003B!T1765/1000</f>
        <v>0</v>
      </c>
      <c r="U1670" s="9">
        <f>STATS1003B!U1765/1000</f>
        <v>612.84141</v>
      </c>
      <c r="V1670" s="9">
        <f>STATS1003B!V1765/1000</f>
        <v>0</v>
      </c>
      <c r="W1670" s="9">
        <f>STATS1003B!W1765/1000</f>
        <v>0</v>
      </c>
      <c r="X1670" s="9">
        <f>STATS1003B!X1765/1000</f>
        <v>1155.3854100000001</v>
      </c>
      <c r="Y1670" s="9">
        <f>STATS1003B!Y1765/1000</f>
        <v>0</v>
      </c>
      <c r="Z1670" s="9">
        <f>STATS1003B!Z1765/1000</f>
        <v>0</v>
      </c>
      <c r="AA1670" s="9">
        <f>STATS1003B!AA1765/1000</f>
        <v>1155.3854100000001</v>
      </c>
      <c r="AB1670" s="9">
        <f>STATS1003B!AB1765/1000</f>
        <v>0</v>
      </c>
    </row>
    <row r="1671" spans="1:28" x14ac:dyDescent="0.35">
      <c r="A1671" s="36"/>
      <c r="B1671" s="8"/>
      <c r="C1671" s="7" t="s">
        <v>539</v>
      </c>
      <c r="D1671" s="15" t="s">
        <v>68</v>
      </c>
      <c r="E1671" s="9">
        <f>STATS1003B!E1766/1000</f>
        <v>314.5</v>
      </c>
      <c r="F1671" s="9">
        <f>STATS1003B!F1766/1000</f>
        <v>0</v>
      </c>
      <c r="G1671" s="9">
        <f>STATS1003B!G1766/1000</f>
        <v>0</v>
      </c>
      <c r="H1671" s="9">
        <f>STATS1003B!H1766/1000</f>
        <v>0</v>
      </c>
      <c r="I1671" s="9">
        <f>STATS1003B!I1766/1000</f>
        <v>0</v>
      </c>
      <c r="J1671" s="9">
        <f>STATS1003B!J1766/1000</f>
        <v>0</v>
      </c>
      <c r="K1671" s="9">
        <f>STATS1003B!K1766/1000</f>
        <v>314.5</v>
      </c>
      <c r="L1671" s="9">
        <f>STATS1003B!L1766/1000</f>
        <v>0</v>
      </c>
      <c r="M1671" s="9">
        <f>STATS1003B!M1766/1000</f>
        <v>0</v>
      </c>
      <c r="N1671" s="9">
        <f>STATS1003B!N1766/1000</f>
        <v>314.5</v>
      </c>
      <c r="O1671" s="9">
        <f>STATS1003B!O1766/1000</f>
        <v>0</v>
      </c>
      <c r="P1671" s="9">
        <f>STATS1003B!P1766/1000</f>
        <v>314.5</v>
      </c>
      <c r="Q1671" s="9">
        <f>STATS1003B!Q1766/1000</f>
        <v>0</v>
      </c>
      <c r="R1671" s="9">
        <f>STATS1003B!R1766/1000</f>
        <v>0</v>
      </c>
      <c r="S1671" s="9">
        <f>STATS1003B!S1766/1000</f>
        <v>0</v>
      </c>
      <c r="T1671" s="9">
        <f>STATS1003B!T1766/1000</f>
        <v>0</v>
      </c>
      <c r="U1671" s="9">
        <f>STATS1003B!U1766/1000</f>
        <v>314.5</v>
      </c>
      <c r="V1671" s="9">
        <f>STATS1003B!V1766/1000</f>
        <v>0</v>
      </c>
      <c r="W1671" s="9">
        <f>STATS1003B!W1766/1000</f>
        <v>0</v>
      </c>
      <c r="X1671" s="9">
        <f>STATS1003B!X1766/1000</f>
        <v>314.5</v>
      </c>
      <c r="Y1671" s="9">
        <f>STATS1003B!Y1766/1000</f>
        <v>0</v>
      </c>
      <c r="Z1671" s="9">
        <f>STATS1003B!Z1766/1000</f>
        <v>0</v>
      </c>
      <c r="AA1671" s="9">
        <f>STATS1003B!AA1766/1000</f>
        <v>314.5</v>
      </c>
      <c r="AB1671" s="9">
        <f>STATS1003B!AB1766/1000</f>
        <v>0</v>
      </c>
    </row>
    <row r="1672" spans="1:28" x14ac:dyDescent="0.35">
      <c r="A1672" s="36"/>
      <c r="B1672" s="8"/>
      <c r="C1672" s="7" t="s">
        <v>535</v>
      </c>
      <c r="D1672" s="15" t="s">
        <v>54</v>
      </c>
      <c r="E1672" s="9">
        <f>STATS1003B!E1767/1000</f>
        <v>408.5</v>
      </c>
      <c r="F1672" s="9">
        <f>STATS1003B!F1767/1000</f>
        <v>408.5</v>
      </c>
      <c r="G1672" s="9">
        <f>STATS1003B!G1767/1000</f>
        <v>0</v>
      </c>
      <c r="H1672" s="9">
        <f>STATS1003B!H1767/1000</f>
        <v>408.5</v>
      </c>
      <c r="I1672" s="9">
        <f>STATS1003B!I1767/1000</f>
        <v>0</v>
      </c>
      <c r="J1672" s="9">
        <f>STATS1003B!J1767/1000</f>
        <v>408.5</v>
      </c>
      <c r="K1672" s="9">
        <f>STATS1003B!K1767/1000</f>
        <v>0</v>
      </c>
      <c r="L1672" s="9">
        <f>STATS1003B!L1767/1000</f>
        <v>0</v>
      </c>
      <c r="M1672" s="9">
        <f>STATS1003B!M1767/1000</f>
        <v>408.5</v>
      </c>
      <c r="N1672" s="9">
        <f>STATS1003B!N1767/1000</f>
        <v>0</v>
      </c>
      <c r="O1672" s="9">
        <f>STATS1003B!O1767/1000</f>
        <v>0</v>
      </c>
      <c r="P1672" s="9">
        <f>STATS1003B!P1767/1000</f>
        <v>0</v>
      </c>
      <c r="Q1672" s="9">
        <f>STATS1003B!Q1767/1000</f>
        <v>408.5</v>
      </c>
      <c r="R1672" s="9">
        <f>STATS1003B!R1767/1000</f>
        <v>0</v>
      </c>
      <c r="S1672" s="9">
        <f>STATS1003B!S1767/1000</f>
        <v>0</v>
      </c>
      <c r="T1672" s="9">
        <f>STATS1003B!T1767/1000</f>
        <v>0</v>
      </c>
      <c r="U1672" s="9">
        <f>STATS1003B!U1767/1000</f>
        <v>0</v>
      </c>
      <c r="V1672" s="9">
        <f>STATS1003B!V1767/1000</f>
        <v>0</v>
      </c>
      <c r="W1672" s="9">
        <f>STATS1003B!W1767/1000</f>
        <v>0</v>
      </c>
      <c r="X1672" s="9">
        <f>STATS1003B!X1767/1000</f>
        <v>408.5</v>
      </c>
      <c r="Y1672" s="9">
        <f>STATS1003B!Y1767/1000</f>
        <v>0</v>
      </c>
      <c r="Z1672" s="9">
        <f>STATS1003B!Z1767/1000</f>
        <v>0</v>
      </c>
      <c r="AA1672" s="9">
        <f>STATS1003B!AA1767/1000</f>
        <v>408.5</v>
      </c>
      <c r="AB1672" s="9">
        <f>STATS1003B!AB1767/1000</f>
        <v>0</v>
      </c>
    </row>
    <row r="1673" spans="1:28" x14ac:dyDescent="0.35">
      <c r="A1673" s="36"/>
      <c r="B1673" s="8"/>
      <c r="C1673" s="7" t="s">
        <v>545</v>
      </c>
      <c r="D1673" s="15" t="s">
        <v>54</v>
      </c>
      <c r="E1673" s="9">
        <f>STATS1003B!E1768/1000</f>
        <v>1953.989</v>
      </c>
      <c r="F1673" s="9">
        <f>STATS1003B!F1768/1000</f>
        <v>0</v>
      </c>
      <c r="G1673" s="9">
        <f>STATS1003B!G1768/1000</f>
        <v>0</v>
      </c>
      <c r="H1673" s="9">
        <f>STATS1003B!H1768/1000</f>
        <v>0</v>
      </c>
      <c r="I1673" s="9">
        <f>STATS1003B!I1768/1000</f>
        <v>0</v>
      </c>
      <c r="J1673" s="9">
        <f>STATS1003B!J1768/1000</f>
        <v>0</v>
      </c>
      <c r="K1673" s="9">
        <f>STATS1003B!K1768/1000</f>
        <v>1953.989</v>
      </c>
      <c r="L1673" s="9">
        <f>STATS1003B!L1768/1000</f>
        <v>0</v>
      </c>
      <c r="M1673" s="9">
        <f>STATS1003B!M1768/1000</f>
        <v>0</v>
      </c>
      <c r="N1673" s="9">
        <f>STATS1003B!N1768/1000</f>
        <v>1953.989</v>
      </c>
      <c r="O1673" s="9">
        <f>STATS1003B!O1768/1000</f>
        <v>0</v>
      </c>
      <c r="P1673" s="9">
        <f>STATS1003B!P1768/1000</f>
        <v>1953.989</v>
      </c>
      <c r="Q1673" s="9">
        <f>STATS1003B!Q1768/1000</f>
        <v>0</v>
      </c>
      <c r="R1673" s="9">
        <f>STATS1003B!R1768/1000</f>
        <v>0</v>
      </c>
      <c r="S1673" s="9">
        <f>STATS1003B!S1768/1000</f>
        <v>0</v>
      </c>
      <c r="T1673" s="9">
        <f>STATS1003B!T1768/1000</f>
        <v>0</v>
      </c>
      <c r="U1673" s="9">
        <f>STATS1003B!U1768/1000</f>
        <v>1953.989</v>
      </c>
      <c r="V1673" s="9">
        <f>STATS1003B!V1768/1000</f>
        <v>0</v>
      </c>
      <c r="W1673" s="9">
        <f>STATS1003B!W1768/1000</f>
        <v>0</v>
      </c>
      <c r="X1673" s="9">
        <f>STATS1003B!X1768/1000</f>
        <v>1953.989</v>
      </c>
      <c r="Y1673" s="9">
        <f>STATS1003B!Y1768/1000</f>
        <v>0</v>
      </c>
      <c r="Z1673" s="9">
        <f>STATS1003B!Z1768/1000</f>
        <v>0</v>
      </c>
      <c r="AA1673" s="9">
        <f>STATS1003B!AA1768/1000</f>
        <v>1953.989</v>
      </c>
      <c r="AB1673" s="9">
        <f>STATS1003B!AB1768/1000</f>
        <v>0</v>
      </c>
    </row>
    <row r="1674" spans="1:28" x14ac:dyDescent="0.35">
      <c r="A1674" s="36"/>
      <c r="B1674" s="8"/>
      <c r="C1674" s="7" t="s">
        <v>535</v>
      </c>
      <c r="D1674" s="15" t="s">
        <v>85</v>
      </c>
      <c r="E1674" s="9">
        <f>STATS1003B!E1769/1000</f>
        <v>716.35299999999995</v>
      </c>
      <c r="F1674" s="9">
        <f>STATS1003B!F1769/1000</f>
        <v>716.35299999999995</v>
      </c>
      <c r="G1674" s="9">
        <f>STATS1003B!G1769/1000</f>
        <v>0</v>
      </c>
      <c r="H1674" s="9">
        <f>STATS1003B!H1769/1000</f>
        <v>716.35299999999995</v>
      </c>
      <c r="I1674" s="9">
        <f>STATS1003B!I1769/1000</f>
        <v>0</v>
      </c>
      <c r="J1674" s="9">
        <f>STATS1003B!J1769/1000</f>
        <v>716.35299999999995</v>
      </c>
      <c r="K1674" s="9">
        <f>STATS1003B!K1769/1000</f>
        <v>0</v>
      </c>
      <c r="L1674" s="9">
        <f>STATS1003B!L1769/1000</f>
        <v>0</v>
      </c>
      <c r="M1674" s="9">
        <f>STATS1003B!M1769/1000</f>
        <v>716.35299999999995</v>
      </c>
      <c r="N1674" s="9">
        <f>STATS1003B!N1769/1000</f>
        <v>0</v>
      </c>
      <c r="O1674" s="9">
        <f>STATS1003B!O1769/1000</f>
        <v>0</v>
      </c>
      <c r="P1674" s="9">
        <f>STATS1003B!P1769/1000</f>
        <v>0</v>
      </c>
      <c r="Q1674" s="9">
        <f>STATS1003B!Q1769/1000</f>
        <v>716.35299999999995</v>
      </c>
      <c r="R1674" s="9">
        <f>STATS1003B!R1769/1000</f>
        <v>0</v>
      </c>
      <c r="S1674" s="9">
        <f>STATS1003B!S1769/1000</f>
        <v>0</v>
      </c>
      <c r="T1674" s="9">
        <f>STATS1003B!T1769/1000</f>
        <v>0</v>
      </c>
      <c r="U1674" s="9">
        <f>STATS1003B!U1769/1000</f>
        <v>0</v>
      </c>
      <c r="V1674" s="9">
        <f>STATS1003B!V1769/1000</f>
        <v>0</v>
      </c>
      <c r="W1674" s="9">
        <f>STATS1003B!W1769/1000</f>
        <v>0</v>
      </c>
      <c r="X1674" s="9">
        <f>STATS1003B!X1769/1000</f>
        <v>716.35299999999995</v>
      </c>
      <c r="Y1674" s="9">
        <f>STATS1003B!Y1769/1000</f>
        <v>0</v>
      </c>
      <c r="Z1674" s="9">
        <f>STATS1003B!Z1769/1000</f>
        <v>0</v>
      </c>
      <c r="AA1674" s="9">
        <f>STATS1003B!AA1769/1000</f>
        <v>716.35299999999995</v>
      </c>
      <c r="AB1674" s="9">
        <f>STATS1003B!AB1769/1000</f>
        <v>0</v>
      </c>
    </row>
    <row r="1675" spans="1:28" x14ac:dyDescent="0.35">
      <c r="A1675" s="36"/>
      <c r="B1675" s="8"/>
      <c r="C1675" s="8"/>
      <c r="D1675" s="8"/>
      <c r="E1675" s="17" t="s">
        <v>29</v>
      </c>
      <c r="F1675" s="17" t="s">
        <v>29</v>
      </c>
      <c r="G1675" s="17" t="s">
        <v>29</v>
      </c>
      <c r="H1675" s="17" t="s">
        <v>29</v>
      </c>
      <c r="I1675" s="17" t="s">
        <v>29</v>
      </c>
      <c r="J1675" s="17" t="s">
        <v>29</v>
      </c>
      <c r="K1675" s="17" t="s">
        <v>29</v>
      </c>
      <c r="L1675" s="17" t="s">
        <v>29</v>
      </c>
      <c r="M1675" s="17" t="s">
        <v>29</v>
      </c>
      <c r="N1675" s="17" t="s">
        <v>29</v>
      </c>
      <c r="O1675" s="17" t="s">
        <v>29</v>
      </c>
      <c r="P1675" s="17" t="s">
        <v>29</v>
      </c>
      <c r="Q1675" s="17" t="s">
        <v>29</v>
      </c>
      <c r="R1675" s="17"/>
      <c r="S1675" s="17"/>
      <c r="T1675" s="17"/>
      <c r="U1675" s="17"/>
      <c r="V1675" s="17"/>
      <c r="W1675" s="17"/>
      <c r="X1675" s="17"/>
      <c r="Y1675" s="17"/>
      <c r="Z1675" s="17"/>
      <c r="AA1675" s="17" t="s">
        <v>29</v>
      </c>
      <c r="AB1675" s="17" t="s">
        <v>29</v>
      </c>
    </row>
    <row r="1676" spans="1:28" x14ac:dyDescent="0.35">
      <c r="A1676" s="36"/>
      <c r="B1676" s="8"/>
      <c r="C1676" s="8"/>
      <c r="D1676" s="8"/>
      <c r="E1676" s="9">
        <f t="shared" ref="E1676:Q1676" si="119">SUM(E1670:E1675)</f>
        <v>4548.7274099999995</v>
      </c>
      <c r="F1676" s="9">
        <f t="shared" si="119"/>
        <v>1667.3969999999999</v>
      </c>
      <c r="G1676" s="9">
        <f t="shared" si="119"/>
        <v>0</v>
      </c>
      <c r="H1676" s="9">
        <f t="shared" si="119"/>
        <v>1667.3969999999999</v>
      </c>
      <c r="I1676" s="9">
        <f t="shared" si="119"/>
        <v>0</v>
      </c>
      <c r="J1676" s="9">
        <f t="shared" si="119"/>
        <v>1667.3969999999999</v>
      </c>
      <c r="K1676" s="9">
        <f t="shared" si="119"/>
        <v>2881.33041</v>
      </c>
      <c r="L1676" s="9">
        <f t="shared" si="119"/>
        <v>0</v>
      </c>
      <c r="M1676" s="9">
        <f t="shared" si="119"/>
        <v>1667.3969999999999</v>
      </c>
      <c r="N1676" s="9">
        <f t="shared" si="119"/>
        <v>2881.33041</v>
      </c>
      <c r="O1676" s="9">
        <f t="shared" si="119"/>
        <v>0</v>
      </c>
      <c r="P1676" s="9">
        <f t="shared" si="119"/>
        <v>2881.33041</v>
      </c>
      <c r="Q1676" s="9">
        <f t="shared" si="119"/>
        <v>1667.3969999999999</v>
      </c>
      <c r="R1676" s="17"/>
      <c r="S1676" s="17"/>
      <c r="T1676" s="9">
        <f>SUM(T1670:T1675)</f>
        <v>0</v>
      </c>
      <c r="U1676" s="9">
        <f>SUM(U1670:U1675)</f>
        <v>2881.33041</v>
      </c>
      <c r="V1676" s="9">
        <f>SUM(V1670:V1675)</f>
        <v>0</v>
      </c>
      <c r="W1676" s="9">
        <f>SUM(W1670:W1675)</f>
        <v>0</v>
      </c>
      <c r="X1676" s="9">
        <f>+H1676+P1676</f>
        <v>4548.7274099999995</v>
      </c>
      <c r="Y1676" s="8"/>
      <c r="Z1676" s="9">
        <f>+E1676-X1676</f>
        <v>0</v>
      </c>
      <c r="AA1676" s="9">
        <f>+F1676-Y1676</f>
        <v>1667.3969999999999</v>
      </c>
      <c r="AB1676" s="9">
        <f>+G1676-Z1676</f>
        <v>0</v>
      </c>
    </row>
    <row r="1677" spans="1:28" x14ac:dyDescent="0.35">
      <c r="A1677" s="36"/>
      <c r="B1677" s="8"/>
      <c r="C1677" s="8"/>
      <c r="D1677" s="8"/>
      <c r="E1677" s="17" t="s">
        <v>29</v>
      </c>
      <c r="F1677" s="17" t="s">
        <v>29</v>
      </c>
      <c r="G1677" s="17" t="s">
        <v>29</v>
      </c>
      <c r="H1677" s="17" t="s">
        <v>29</v>
      </c>
      <c r="I1677" s="17" t="s">
        <v>29</v>
      </c>
      <c r="J1677" s="17" t="s">
        <v>29</v>
      </c>
      <c r="K1677" s="17" t="s">
        <v>29</v>
      </c>
      <c r="L1677" s="17" t="s">
        <v>29</v>
      </c>
      <c r="M1677" s="17" t="s">
        <v>29</v>
      </c>
      <c r="N1677" s="17" t="s">
        <v>29</v>
      </c>
      <c r="O1677" s="17" t="s">
        <v>29</v>
      </c>
      <c r="P1677" s="17" t="s">
        <v>29</v>
      </c>
      <c r="Q1677" s="17" t="s">
        <v>29</v>
      </c>
      <c r="R1677" s="17"/>
      <c r="S1677" s="17"/>
      <c r="T1677" s="17"/>
      <c r="U1677" s="17"/>
      <c r="V1677" s="17"/>
      <c r="W1677" s="17"/>
      <c r="X1677" s="17"/>
      <c r="Y1677" s="17"/>
      <c r="Z1677" s="17"/>
      <c r="AA1677" s="17" t="s">
        <v>29</v>
      </c>
      <c r="AB1677" s="17" t="s">
        <v>29</v>
      </c>
    </row>
    <row r="1678" spans="1:28" x14ac:dyDescent="0.35">
      <c r="A1678" s="38" t="s">
        <v>1014</v>
      </c>
      <c r="B1678" s="7" t="s">
        <v>764</v>
      </c>
      <c r="C1678" s="8"/>
      <c r="D1678" s="8"/>
      <c r="E1678" s="8"/>
      <c r="F1678" s="8"/>
      <c r="G1678" s="8"/>
      <c r="H1678" s="8"/>
      <c r="I1678" s="8"/>
      <c r="J1678" s="8"/>
      <c r="K1678" s="8"/>
      <c r="L1678" s="8"/>
      <c r="M1678" s="8"/>
      <c r="N1678" s="8"/>
      <c r="O1678" s="8"/>
      <c r="P1678" s="8"/>
      <c r="Q1678" s="8"/>
      <c r="R1678" s="17"/>
      <c r="S1678" s="17"/>
      <c r="T1678" s="17"/>
      <c r="U1678" s="18"/>
      <c r="V1678" s="17"/>
      <c r="W1678" s="17"/>
      <c r="X1678" s="18"/>
      <c r="Y1678" s="17"/>
      <c r="Z1678" s="18"/>
    </row>
    <row r="1679" spans="1:28" x14ac:dyDescent="0.35">
      <c r="A1679" s="36"/>
      <c r="B1679" s="8"/>
      <c r="C1679" s="7" t="s">
        <v>539</v>
      </c>
      <c r="D1679" s="15" t="s">
        <v>68</v>
      </c>
      <c r="E1679" s="9">
        <f>STATS1003B!E1774/1000</f>
        <v>391.67975000000001</v>
      </c>
      <c r="F1679" s="9">
        <f>STATS1003B!F1774/1000</f>
        <v>0</v>
      </c>
      <c r="G1679" s="9">
        <f>STATS1003B!G1774/1000</f>
        <v>0</v>
      </c>
      <c r="H1679" s="9">
        <f>STATS1003B!H1774/1000</f>
        <v>0</v>
      </c>
      <c r="I1679" s="9">
        <f>STATS1003B!I1774/1000</f>
        <v>0</v>
      </c>
      <c r="J1679" s="9">
        <f>STATS1003B!J1774/1000</f>
        <v>0</v>
      </c>
      <c r="K1679" s="9">
        <f>STATS1003B!K1774/1000</f>
        <v>391.67975000000001</v>
      </c>
      <c r="L1679" s="9">
        <f>STATS1003B!L1774/1000</f>
        <v>0</v>
      </c>
      <c r="M1679" s="9">
        <f>STATS1003B!M1774/1000</f>
        <v>0</v>
      </c>
      <c r="N1679" s="9">
        <f>STATS1003B!N1774/1000</f>
        <v>391.67975000000001</v>
      </c>
      <c r="O1679" s="9">
        <f>STATS1003B!O1774/1000</f>
        <v>0</v>
      </c>
      <c r="P1679" s="9">
        <f>STATS1003B!P1774/1000</f>
        <v>391.67975000000001</v>
      </c>
      <c r="Q1679" s="9">
        <f>STATS1003B!Q1774/1000</f>
        <v>0</v>
      </c>
      <c r="R1679" s="9">
        <f>STATS1003B!R1774/1000</f>
        <v>0</v>
      </c>
      <c r="S1679" s="9">
        <f>STATS1003B!S1774/1000</f>
        <v>0</v>
      </c>
      <c r="T1679" s="9">
        <f>STATS1003B!T1774/1000</f>
        <v>0</v>
      </c>
      <c r="U1679" s="9">
        <f>STATS1003B!U1774/1000</f>
        <v>391.67975000000001</v>
      </c>
      <c r="V1679" s="9">
        <f>STATS1003B!V1774/1000</f>
        <v>0</v>
      </c>
      <c r="W1679" s="9">
        <f>STATS1003B!W1774/1000</f>
        <v>0</v>
      </c>
      <c r="X1679" s="9">
        <f>STATS1003B!X1774/1000</f>
        <v>391.67975000000001</v>
      </c>
      <c r="Y1679" s="9">
        <f>STATS1003B!Y1774/1000</f>
        <v>0</v>
      </c>
      <c r="Z1679" s="9">
        <f>STATS1003B!Z1774/1000</f>
        <v>0</v>
      </c>
      <c r="AA1679" s="9">
        <f>STATS1003B!AA1774/1000</f>
        <v>391.67975000000001</v>
      </c>
      <c r="AB1679" s="9">
        <f>STATS1003B!AB1774/1000</f>
        <v>0</v>
      </c>
    </row>
    <row r="1680" spans="1:28" x14ac:dyDescent="0.35">
      <c r="A1680" s="36"/>
      <c r="B1680" s="8"/>
      <c r="C1680" s="7" t="s">
        <v>535</v>
      </c>
      <c r="D1680" s="15" t="s">
        <v>68</v>
      </c>
      <c r="E1680" s="9">
        <f>STATS1003B!E1775/1000</f>
        <v>1717</v>
      </c>
      <c r="F1680" s="9">
        <f>STATS1003B!F1775/1000</f>
        <v>596.23</v>
      </c>
      <c r="G1680" s="9">
        <f>STATS1003B!G1775/1000</f>
        <v>0</v>
      </c>
      <c r="H1680" s="9">
        <f>STATS1003B!H1775/1000</f>
        <v>596.23</v>
      </c>
      <c r="I1680" s="9">
        <f>STATS1003B!I1775/1000</f>
        <v>0</v>
      </c>
      <c r="J1680" s="9">
        <f>STATS1003B!J1775/1000</f>
        <v>596.23</v>
      </c>
      <c r="K1680" s="9">
        <f>STATS1003B!K1775/1000</f>
        <v>1120.77</v>
      </c>
      <c r="L1680" s="9">
        <f>STATS1003B!L1775/1000</f>
        <v>0</v>
      </c>
      <c r="M1680" s="9">
        <f>STATS1003B!M1775/1000</f>
        <v>596.23</v>
      </c>
      <c r="N1680" s="9">
        <f>STATS1003B!N1775/1000</f>
        <v>1120.77</v>
      </c>
      <c r="O1680" s="9">
        <f>STATS1003B!O1775/1000</f>
        <v>0</v>
      </c>
      <c r="P1680" s="9">
        <f>STATS1003B!P1775/1000</f>
        <v>1120.77</v>
      </c>
      <c r="Q1680" s="9">
        <f>STATS1003B!Q1775/1000</f>
        <v>596.23</v>
      </c>
      <c r="R1680" s="9">
        <f>STATS1003B!R1775/1000</f>
        <v>0</v>
      </c>
      <c r="S1680" s="9">
        <f>STATS1003B!S1775/1000</f>
        <v>0</v>
      </c>
      <c r="T1680" s="9">
        <f>STATS1003B!T1775/1000</f>
        <v>0</v>
      </c>
      <c r="U1680" s="9">
        <f>STATS1003B!U1775/1000</f>
        <v>1120.77</v>
      </c>
      <c r="V1680" s="9">
        <f>STATS1003B!V1775/1000</f>
        <v>0</v>
      </c>
      <c r="W1680" s="9">
        <f>STATS1003B!W1775/1000</f>
        <v>0</v>
      </c>
      <c r="X1680" s="9">
        <f>STATS1003B!X1775/1000</f>
        <v>1717</v>
      </c>
      <c r="Y1680" s="9">
        <f>STATS1003B!Y1775/1000</f>
        <v>0</v>
      </c>
      <c r="Z1680" s="9">
        <f>STATS1003B!Z1775/1000</f>
        <v>0</v>
      </c>
      <c r="AA1680" s="9">
        <f>STATS1003B!AA1775/1000</f>
        <v>1717</v>
      </c>
      <c r="AB1680" s="9">
        <f>STATS1003B!AB1775/1000</f>
        <v>0</v>
      </c>
    </row>
    <row r="1681" spans="1:28" x14ac:dyDescent="0.35">
      <c r="A1681" s="36"/>
      <c r="B1681" s="8"/>
      <c r="C1681" s="7" t="s">
        <v>545</v>
      </c>
      <c r="D1681" s="15" t="s">
        <v>54</v>
      </c>
      <c r="E1681" s="9">
        <f>STATS1003B!E1776/1000</f>
        <v>1767.77</v>
      </c>
      <c r="F1681" s="9">
        <f>STATS1003B!F1776/1000</f>
        <v>0</v>
      </c>
      <c r="G1681" s="9">
        <f>STATS1003B!G1776/1000</f>
        <v>0</v>
      </c>
      <c r="H1681" s="9">
        <f>STATS1003B!H1776/1000</f>
        <v>0</v>
      </c>
      <c r="I1681" s="9">
        <f>STATS1003B!I1776/1000</f>
        <v>0</v>
      </c>
      <c r="J1681" s="9">
        <f>STATS1003B!J1776/1000</f>
        <v>0</v>
      </c>
      <c r="K1681" s="9">
        <f>STATS1003B!K1776/1000</f>
        <v>1767.77</v>
      </c>
      <c r="L1681" s="9">
        <f>STATS1003B!L1776/1000</f>
        <v>0</v>
      </c>
      <c r="M1681" s="9">
        <f>STATS1003B!M1776/1000</f>
        <v>0</v>
      </c>
      <c r="N1681" s="9">
        <f>STATS1003B!N1776/1000</f>
        <v>1767.77</v>
      </c>
      <c r="O1681" s="9">
        <f>STATS1003B!O1776/1000</f>
        <v>0</v>
      </c>
      <c r="P1681" s="9">
        <f>STATS1003B!P1776/1000</f>
        <v>1767.77</v>
      </c>
      <c r="Q1681" s="9">
        <f>STATS1003B!Q1776/1000</f>
        <v>0</v>
      </c>
      <c r="R1681" s="9">
        <f>STATS1003B!R1776/1000</f>
        <v>0</v>
      </c>
      <c r="S1681" s="9">
        <f>STATS1003B!S1776/1000</f>
        <v>0</v>
      </c>
      <c r="T1681" s="9">
        <f>STATS1003B!T1776/1000</f>
        <v>0</v>
      </c>
      <c r="U1681" s="9">
        <f>STATS1003B!U1776/1000</f>
        <v>1767.77</v>
      </c>
      <c r="V1681" s="9">
        <f>STATS1003B!V1776/1000</f>
        <v>0</v>
      </c>
      <c r="W1681" s="9">
        <f>STATS1003B!W1776/1000</f>
        <v>0</v>
      </c>
      <c r="X1681" s="9">
        <f>STATS1003B!X1776/1000</f>
        <v>1767.77</v>
      </c>
      <c r="Y1681" s="9">
        <f>STATS1003B!Y1776/1000</f>
        <v>0</v>
      </c>
      <c r="Z1681" s="9">
        <f>STATS1003B!Z1776/1000</f>
        <v>0</v>
      </c>
      <c r="AA1681" s="9">
        <f>STATS1003B!AA1776/1000</f>
        <v>1767.77</v>
      </c>
      <c r="AB1681" s="9">
        <f>STATS1003B!AB1776/1000</f>
        <v>0</v>
      </c>
    </row>
    <row r="1682" spans="1:28" x14ac:dyDescent="0.35">
      <c r="A1682" s="36"/>
      <c r="B1682" s="8"/>
      <c r="C1682" s="7" t="s">
        <v>535</v>
      </c>
      <c r="D1682" s="15" t="s">
        <v>54</v>
      </c>
      <c r="E1682" s="9">
        <f>STATS1003B!E1777/1000</f>
        <v>1245.45</v>
      </c>
      <c r="F1682" s="9">
        <f>STATS1003B!F1777/1000</f>
        <v>1245.45</v>
      </c>
      <c r="G1682" s="9">
        <f>STATS1003B!G1777/1000</f>
        <v>0</v>
      </c>
      <c r="H1682" s="9">
        <f>STATS1003B!H1777/1000</f>
        <v>1245.45</v>
      </c>
      <c r="I1682" s="9">
        <f>STATS1003B!I1777/1000</f>
        <v>0</v>
      </c>
      <c r="J1682" s="9">
        <f>STATS1003B!J1777/1000</f>
        <v>1245.45</v>
      </c>
      <c r="K1682" s="9">
        <f>STATS1003B!K1777/1000</f>
        <v>0</v>
      </c>
      <c r="L1682" s="9">
        <f>STATS1003B!L1777/1000</f>
        <v>0</v>
      </c>
      <c r="M1682" s="9">
        <f>STATS1003B!M1777/1000</f>
        <v>1245.45</v>
      </c>
      <c r="N1682" s="9">
        <f>STATS1003B!N1777/1000</f>
        <v>0</v>
      </c>
      <c r="O1682" s="9">
        <f>STATS1003B!O1777/1000</f>
        <v>0</v>
      </c>
      <c r="P1682" s="9">
        <f>STATS1003B!P1777/1000</f>
        <v>0</v>
      </c>
      <c r="Q1682" s="9">
        <f>STATS1003B!Q1777/1000</f>
        <v>1245.45</v>
      </c>
      <c r="R1682" s="9">
        <f>STATS1003B!R1777/1000</f>
        <v>0</v>
      </c>
      <c r="S1682" s="9">
        <f>STATS1003B!S1777/1000</f>
        <v>0</v>
      </c>
      <c r="T1682" s="9">
        <f>STATS1003B!T1777/1000</f>
        <v>0</v>
      </c>
      <c r="U1682" s="9">
        <f>STATS1003B!U1777/1000</f>
        <v>0</v>
      </c>
      <c r="V1682" s="9">
        <f>STATS1003B!V1777/1000</f>
        <v>0</v>
      </c>
      <c r="W1682" s="9">
        <f>STATS1003B!W1777/1000</f>
        <v>0</v>
      </c>
      <c r="X1682" s="9">
        <f>STATS1003B!X1777/1000</f>
        <v>1245.45</v>
      </c>
      <c r="Y1682" s="9">
        <f>STATS1003B!Y1777/1000</f>
        <v>0</v>
      </c>
      <c r="Z1682" s="9">
        <f>STATS1003B!Z1777/1000</f>
        <v>0</v>
      </c>
      <c r="AA1682" s="9">
        <f>STATS1003B!AA1777/1000</f>
        <v>1245.45</v>
      </c>
      <c r="AB1682" s="9">
        <f>STATS1003B!AB1777/1000</f>
        <v>0</v>
      </c>
    </row>
    <row r="1683" spans="1:28" x14ac:dyDescent="0.35">
      <c r="A1683" s="36"/>
      <c r="B1683" s="8"/>
      <c r="C1683" s="7" t="s">
        <v>535</v>
      </c>
      <c r="D1683" s="15" t="s">
        <v>85</v>
      </c>
      <c r="E1683" s="9">
        <f>STATS1003B!E1778/1000</f>
        <v>2267.1</v>
      </c>
      <c r="F1683" s="9">
        <f>STATS1003B!F1778/1000</f>
        <v>2267.1</v>
      </c>
      <c r="G1683" s="9">
        <f>STATS1003B!G1778/1000</f>
        <v>0</v>
      </c>
      <c r="H1683" s="9">
        <f>STATS1003B!H1778/1000</f>
        <v>2267.1</v>
      </c>
      <c r="I1683" s="9">
        <f>STATS1003B!I1778/1000</f>
        <v>0</v>
      </c>
      <c r="J1683" s="9">
        <f>STATS1003B!J1778/1000</f>
        <v>2267.1</v>
      </c>
      <c r="K1683" s="9">
        <f>STATS1003B!K1778/1000</f>
        <v>0</v>
      </c>
      <c r="L1683" s="9">
        <f>STATS1003B!L1778/1000</f>
        <v>0</v>
      </c>
      <c r="M1683" s="9">
        <f>STATS1003B!M1778/1000</f>
        <v>2267.1</v>
      </c>
      <c r="N1683" s="9">
        <f>STATS1003B!N1778/1000</f>
        <v>0</v>
      </c>
      <c r="O1683" s="9">
        <f>STATS1003B!O1778/1000</f>
        <v>0</v>
      </c>
      <c r="P1683" s="9">
        <f>STATS1003B!P1778/1000</f>
        <v>0</v>
      </c>
      <c r="Q1683" s="9">
        <f>STATS1003B!Q1778/1000</f>
        <v>2267.1</v>
      </c>
      <c r="R1683" s="9">
        <f>STATS1003B!R1778/1000</f>
        <v>0</v>
      </c>
      <c r="S1683" s="9">
        <f>STATS1003B!S1778/1000</f>
        <v>0</v>
      </c>
      <c r="T1683" s="9">
        <f>STATS1003B!T1778/1000</f>
        <v>0</v>
      </c>
      <c r="U1683" s="9">
        <f>STATS1003B!U1778/1000</f>
        <v>0</v>
      </c>
      <c r="V1683" s="9">
        <f>STATS1003B!V1778/1000</f>
        <v>0</v>
      </c>
      <c r="W1683" s="9">
        <f>STATS1003B!W1778/1000</f>
        <v>0</v>
      </c>
      <c r="X1683" s="9">
        <f>STATS1003B!X1778/1000</f>
        <v>2267.1</v>
      </c>
      <c r="Y1683" s="9">
        <f>STATS1003B!Y1778/1000</f>
        <v>0</v>
      </c>
      <c r="Z1683" s="9">
        <f>STATS1003B!Z1778/1000</f>
        <v>0</v>
      </c>
      <c r="AA1683" s="9">
        <f>STATS1003B!AA1778/1000</f>
        <v>2267.1</v>
      </c>
      <c r="AB1683" s="9">
        <f>STATS1003B!AB1778/1000</f>
        <v>0</v>
      </c>
    </row>
    <row r="1684" spans="1:28" x14ac:dyDescent="0.35">
      <c r="A1684" s="36"/>
      <c r="B1684" s="8"/>
      <c r="C1684" s="7" t="s">
        <v>535</v>
      </c>
      <c r="D1684" s="15" t="s">
        <v>128</v>
      </c>
      <c r="E1684" s="9">
        <f>STATS1003B!E1779/1000</f>
        <v>869.94500000000005</v>
      </c>
      <c r="F1684" s="9">
        <f>STATS1003B!F1779/1000</f>
        <v>869.94500000000005</v>
      </c>
      <c r="G1684" s="9">
        <f>STATS1003B!G1779/1000</f>
        <v>0</v>
      </c>
      <c r="H1684" s="9">
        <f>STATS1003B!H1779/1000</f>
        <v>869.94500000000005</v>
      </c>
      <c r="I1684" s="9">
        <f>STATS1003B!I1779/1000</f>
        <v>0</v>
      </c>
      <c r="J1684" s="9">
        <f>STATS1003B!J1779/1000</f>
        <v>869.94500000000005</v>
      </c>
      <c r="K1684" s="9">
        <f>STATS1003B!K1779/1000</f>
        <v>0</v>
      </c>
      <c r="L1684" s="9">
        <f>STATS1003B!L1779/1000</f>
        <v>0</v>
      </c>
      <c r="M1684" s="9">
        <f>STATS1003B!M1779/1000</f>
        <v>869.94500000000005</v>
      </c>
      <c r="N1684" s="9">
        <f>STATS1003B!N1779/1000</f>
        <v>0</v>
      </c>
      <c r="O1684" s="9">
        <f>STATS1003B!O1779/1000</f>
        <v>0</v>
      </c>
      <c r="P1684" s="9">
        <f>STATS1003B!P1779/1000</f>
        <v>0</v>
      </c>
      <c r="Q1684" s="9">
        <f>STATS1003B!Q1779/1000</f>
        <v>869.94500000000005</v>
      </c>
      <c r="R1684" s="9">
        <f>STATS1003B!R1779/1000</f>
        <v>0</v>
      </c>
      <c r="S1684" s="9">
        <f>STATS1003B!S1779/1000</f>
        <v>0</v>
      </c>
      <c r="T1684" s="9">
        <f>STATS1003B!T1779/1000</f>
        <v>0</v>
      </c>
      <c r="U1684" s="9">
        <f>STATS1003B!U1779/1000</f>
        <v>0</v>
      </c>
      <c r="V1684" s="9">
        <f>STATS1003B!V1779/1000</f>
        <v>0</v>
      </c>
      <c r="W1684" s="9">
        <f>STATS1003B!W1779/1000</f>
        <v>0</v>
      </c>
      <c r="X1684" s="9">
        <f>STATS1003B!X1779/1000</f>
        <v>869.94500000000005</v>
      </c>
      <c r="Y1684" s="9">
        <f>STATS1003B!Y1779/1000</f>
        <v>0</v>
      </c>
      <c r="Z1684" s="9">
        <f>STATS1003B!Z1779/1000</f>
        <v>0</v>
      </c>
      <c r="AA1684" s="9">
        <f>STATS1003B!AA1779/1000</f>
        <v>869.94500000000005</v>
      </c>
      <c r="AB1684" s="9">
        <f>STATS1003B!AB1779/1000</f>
        <v>0</v>
      </c>
    </row>
    <row r="1685" spans="1:28" x14ac:dyDescent="0.35">
      <c r="A1685" s="36"/>
      <c r="B1685" s="8"/>
      <c r="C1685" s="7" t="s">
        <v>535</v>
      </c>
      <c r="D1685" s="15" t="s">
        <v>88</v>
      </c>
      <c r="E1685" s="9">
        <f>STATS1003B!E1780/1000</f>
        <v>2715.2953499999999</v>
      </c>
      <c r="F1685" s="9">
        <f>STATS1003B!F1780/1000</f>
        <v>2715.2953499999999</v>
      </c>
      <c r="G1685" s="9">
        <f>STATS1003B!G1780/1000</f>
        <v>0</v>
      </c>
      <c r="H1685" s="9">
        <f>STATS1003B!H1780/1000</f>
        <v>2715.2953499999999</v>
      </c>
      <c r="I1685" s="9">
        <f>STATS1003B!I1780/1000</f>
        <v>0</v>
      </c>
      <c r="J1685" s="9">
        <f>STATS1003B!J1780/1000</f>
        <v>2715.2953499999999</v>
      </c>
      <c r="K1685" s="9">
        <f>STATS1003B!K1780/1000</f>
        <v>0</v>
      </c>
      <c r="L1685" s="9">
        <f>STATS1003B!L1780/1000</f>
        <v>0</v>
      </c>
      <c r="M1685" s="9">
        <f>STATS1003B!M1780/1000</f>
        <v>2715.2953499999999</v>
      </c>
      <c r="N1685" s="9">
        <f>STATS1003B!N1780/1000</f>
        <v>0</v>
      </c>
      <c r="O1685" s="9">
        <f>STATS1003B!O1780/1000</f>
        <v>0</v>
      </c>
      <c r="P1685" s="9">
        <f>STATS1003B!P1780/1000</f>
        <v>0</v>
      </c>
      <c r="Q1685" s="9">
        <f>STATS1003B!Q1780/1000</f>
        <v>2715.2953499999999</v>
      </c>
      <c r="R1685" s="9">
        <f>STATS1003B!R1780/1000</f>
        <v>0</v>
      </c>
      <c r="S1685" s="9">
        <f>STATS1003B!S1780/1000</f>
        <v>0</v>
      </c>
      <c r="T1685" s="9">
        <f>STATS1003B!T1780/1000</f>
        <v>0</v>
      </c>
      <c r="U1685" s="9">
        <f>STATS1003B!U1780/1000</f>
        <v>0</v>
      </c>
      <c r="V1685" s="9">
        <f>STATS1003B!V1780/1000</f>
        <v>0</v>
      </c>
      <c r="W1685" s="9">
        <f>STATS1003B!W1780/1000</f>
        <v>0</v>
      </c>
      <c r="X1685" s="9">
        <f>STATS1003B!X1780/1000</f>
        <v>2715.2953499999999</v>
      </c>
      <c r="Y1685" s="9">
        <f>STATS1003B!Y1780/1000</f>
        <v>0</v>
      </c>
      <c r="Z1685" s="9">
        <f>STATS1003B!Z1780/1000</f>
        <v>0</v>
      </c>
      <c r="AA1685" s="9">
        <f>STATS1003B!AA1780/1000</f>
        <v>2715.2953499999999</v>
      </c>
      <c r="AB1685" s="9">
        <f>STATS1003B!AB1780/1000</f>
        <v>0</v>
      </c>
    </row>
    <row r="1686" spans="1:28" x14ac:dyDescent="0.35">
      <c r="A1686" s="36"/>
      <c r="B1686" s="8"/>
      <c r="C1686" s="7" t="s">
        <v>535</v>
      </c>
      <c r="D1686" s="15" t="s">
        <v>58</v>
      </c>
      <c r="E1686" s="9">
        <f>STATS1003B!E1781/1000</f>
        <v>2013</v>
      </c>
      <c r="F1686" s="9">
        <f>STATS1003B!F1781/1000</f>
        <v>0</v>
      </c>
      <c r="G1686" s="9">
        <f>STATS1003B!G1781/1000</f>
        <v>0</v>
      </c>
      <c r="H1686" s="9">
        <f>STATS1003B!H1781/1000</f>
        <v>0</v>
      </c>
      <c r="I1686" s="9">
        <f>STATS1003B!I1781/1000</f>
        <v>2013</v>
      </c>
      <c r="J1686" s="9">
        <f>STATS1003B!J1781/1000</f>
        <v>2013</v>
      </c>
      <c r="K1686" s="9">
        <f>STATS1003B!K1781/1000</f>
        <v>0</v>
      </c>
      <c r="L1686" s="9">
        <f>STATS1003B!L1781/1000</f>
        <v>2013</v>
      </c>
      <c r="M1686" s="9">
        <f>STATS1003B!M1781/1000</f>
        <v>2013</v>
      </c>
      <c r="N1686" s="9">
        <f>STATS1003B!N1781/1000</f>
        <v>0</v>
      </c>
      <c r="O1686" s="9">
        <f>STATS1003B!O1781/1000</f>
        <v>0</v>
      </c>
      <c r="P1686" s="9">
        <f>STATS1003B!P1781/1000</f>
        <v>0</v>
      </c>
      <c r="Q1686" s="9">
        <f>STATS1003B!Q1781/1000</f>
        <v>2013</v>
      </c>
      <c r="R1686" s="9">
        <f>STATS1003B!R1781/1000</f>
        <v>0</v>
      </c>
      <c r="S1686" s="9">
        <f>STATS1003B!S1781/1000</f>
        <v>0</v>
      </c>
      <c r="T1686" s="9">
        <f>STATS1003B!T1781/1000</f>
        <v>0</v>
      </c>
      <c r="U1686" s="9">
        <f>STATS1003B!U1781/1000</f>
        <v>0</v>
      </c>
      <c r="V1686" s="9">
        <f>STATS1003B!V1781/1000</f>
        <v>0</v>
      </c>
      <c r="W1686" s="9">
        <f>STATS1003B!W1781/1000</f>
        <v>0</v>
      </c>
      <c r="X1686" s="9">
        <f>STATS1003B!X1781/1000</f>
        <v>0</v>
      </c>
      <c r="Y1686" s="9">
        <f>STATS1003B!Y1781/1000</f>
        <v>0</v>
      </c>
      <c r="Z1686" s="9">
        <f>STATS1003B!Z1781/1000</f>
        <v>2013</v>
      </c>
      <c r="AA1686" s="9">
        <f>STATS1003B!AA1781/1000</f>
        <v>2013</v>
      </c>
      <c r="AB1686" s="9">
        <f>STATS1003B!AB1781/1000</f>
        <v>0</v>
      </c>
    </row>
    <row r="1687" spans="1:28" x14ac:dyDescent="0.35">
      <c r="A1687" s="36"/>
      <c r="B1687" s="8"/>
      <c r="C1687" s="14" t="s">
        <v>621</v>
      </c>
      <c r="D1687" s="21" t="s">
        <v>73</v>
      </c>
      <c r="E1687" s="9">
        <f>STATS1003B!E1782/1000</f>
        <v>773.72199999999998</v>
      </c>
      <c r="F1687" s="9">
        <f>STATS1003B!F1782/1000</f>
        <v>773.72199999999998</v>
      </c>
      <c r="G1687" s="9">
        <f>STATS1003B!G1782/1000</f>
        <v>0</v>
      </c>
      <c r="H1687" s="9">
        <f>STATS1003B!H1782/1000</f>
        <v>773.72199999999998</v>
      </c>
      <c r="I1687" s="9">
        <f>STATS1003B!I1782/1000</f>
        <v>0</v>
      </c>
      <c r="J1687" s="9">
        <f>STATS1003B!J1782/1000</f>
        <v>773.72199999999998</v>
      </c>
      <c r="K1687" s="9">
        <f>STATS1003B!K1782/1000</f>
        <v>0</v>
      </c>
      <c r="L1687" s="9">
        <f>STATS1003B!L1782/1000</f>
        <v>0</v>
      </c>
      <c r="M1687" s="9">
        <f>STATS1003B!M1782/1000</f>
        <v>773.72199999999998</v>
      </c>
      <c r="N1687" s="9">
        <f>STATS1003B!N1782/1000</f>
        <v>0</v>
      </c>
      <c r="O1687" s="9">
        <f>STATS1003B!O1782/1000</f>
        <v>0</v>
      </c>
      <c r="P1687" s="9">
        <f>STATS1003B!P1782/1000</f>
        <v>0</v>
      </c>
      <c r="Q1687" s="9">
        <f>STATS1003B!Q1782/1000</f>
        <v>773.72199999999998</v>
      </c>
      <c r="R1687" s="9">
        <f>STATS1003B!R1782/1000</f>
        <v>0</v>
      </c>
      <c r="S1687" s="9">
        <f>STATS1003B!S1782/1000</f>
        <v>0</v>
      </c>
      <c r="T1687" s="9">
        <f>STATS1003B!T1782/1000</f>
        <v>0</v>
      </c>
      <c r="U1687" s="9">
        <f>STATS1003B!U1782/1000</f>
        <v>0</v>
      </c>
      <c r="V1687" s="9">
        <f>STATS1003B!V1782/1000</f>
        <v>0</v>
      </c>
      <c r="W1687" s="9">
        <f>STATS1003B!W1782/1000</f>
        <v>0</v>
      </c>
      <c r="X1687" s="9">
        <f>STATS1003B!X1782/1000</f>
        <v>773.72199999999998</v>
      </c>
      <c r="Y1687" s="9">
        <f>STATS1003B!Y1782/1000</f>
        <v>0</v>
      </c>
      <c r="Z1687" s="9">
        <f>STATS1003B!Z1782/1000</f>
        <v>0</v>
      </c>
      <c r="AA1687" s="9">
        <f>STATS1003B!AA1782/1000</f>
        <v>773.72199999999998</v>
      </c>
      <c r="AB1687" s="9">
        <f>STATS1003B!AB1782/1000</f>
        <v>0</v>
      </c>
    </row>
    <row r="1688" spans="1:28" x14ac:dyDescent="0.35">
      <c r="A1688" s="36"/>
      <c r="B1688" s="8"/>
      <c r="C1688" s="7" t="s">
        <v>535</v>
      </c>
      <c r="D1688" s="15" t="s">
        <v>61</v>
      </c>
      <c r="E1688" s="9">
        <f>STATS1003B!E1783/1000</f>
        <v>780</v>
      </c>
      <c r="F1688" s="9">
        <f>STATS1003B!F1783/1000</f>
        <v>780</v>
      </c>
      <c r="G1688" s="9">
        <f>STATS1003B!G1783/1000</f>
        <v>0</v>
      </c>
      <c r="H1688" s="9">
        <f>STATS1003B!H1783/1000</f>
        <v>780</v>
      </c>
      <c r="I1688" s="9">
        <f>STATS1003B!I1783/1000</f>
        <v>0</v>
      </c>
      <c r="J1688" s="9">
        <f>STATS1003B!J1783/1000</f>
        <v>780</v>
      </c>
      <c r="K1688" s="9">
        <f>STATS1003B!K1783/1000</f>
        <v>0</v>
      </c>
      <c r="L1688" s="9">
        <f>STATS1003B!L1783/1000</f>
        <v>0</v>
      </c>
      <c r="M1688" s="9">
        <f>STATS1003B!M1783/1000</f>
        <v>780</v>
      </c>
      <c r="N1688" s="9">
        <f>STATS1003B!N1783/1000</f>
        <v>0</v>
      </c>
      <c r="O1688" s="9">
        <f>STATS1003B!O1783/1000</f>
        <v>0</v>
      </c>
      <c r="P1688" s="9">
        <f>STATS1003B!P1783/1000</f>
        <v>0</v>
      </c>
      <c r="Q1688" s="9">
        <f>STATS1003B!Q1783/1000</f>
        <v>780</v>
      </c>
      <c r="R1688" s="9">
        <f>STATS1003B!R1783/1000</f>
        <v>0</v>
      </c>
      <c r="S1688" s="9">
        <f>STATS1003B!S1783/1000</f>
        <v>0</v>
      </c>
      <c r="T1688" s="9">
        <f>STATS1003B!T1783/1000</f>
        <v>0</v>
      </c>
      <c r="U1688" s="9">
        <f>STATS1003B!U1783/1000</f>
        <v>0</v>
      </c>
      <c r="V1688" s="9">
        <f>STATS1003B!V1783/1000</f>
        <v>0</v>
      </c>
      <c r="W1688" s="9">
        <f>STATS1003B!W1783/1000</f>
        <v>0</v>
      </c>
      <c r="X1688" s="9">
        <f>STATS1003B!X1783/1000</f>
        <v>780</v>
      </c>
      <c r="Y1688" s="9">
        <f>STATS1003B!Y1783/1000</f>
        <v>0</v>
      </c>
      <c r="Z1688" s="9">
        <f>STATS1003B!Z1783/1000</f>
        <v>0</v>
      </c>
      <c r="AA1688" s="9">
        <f>STATS1003B!AA1783/1000</f>
        <v>780</v>
      </c>
      <c r="AB1688" s="9">
        <f>STATS1003B!AB1783/1000</f>
        <v>0</v>
      </c>
    </row>
    <row r="1689" spans="1:28" x14ac:dyDescent="0.35">
      <c r="A1689" s="36"/>
      <c r="B1689" s="8"/>
      <c r="C1689" s="7" t="s">
        <v>1119</v>
      </c>
      <c r="D1689" s="16" t="s">
        <v>1072</v>
      </c>
      <c r="E1689" s="9">
        <f>STATS1003B!E1784/1000</f>
        <v>70</v>
      </c>
      <c r="F1689" s="9">
        <f>STATS1003B!F1784/1000</f>
        <v>70</v>
      </c>
      <c r="G1689" s="9">
        <f>STATS1003B!G1784/1000</f>
        <v>0</v>
      </c>
      <c r="H1689" s="9">
        <f>STATS1003B!H1784/1000</f>
        <v>70</v>
      </c>
      <c r="I1689" s="9">
        <f>STATS1003B!I1784/1000</f>
        <v>0</v>
      </c>
      <c r="J1689" s="9">
        <f>STATS1003B!J1784/1000</f>
        <v>70</v>
      </c>
      <c r="K1689" s="9">
        <f>STATS1003B!K1784/1000</f>
        <v>0</v>
      </c>
      <c r="L1689" s="9">
        <f>STATS1003B!L1784/1000</f>
        <v>0</v>
      </c>
      <c r="M1689" s="9">
        <f>STATS1003B!M1784/1000</f>
        <v>70</v>
      </c>
      <c r="N1689" s="9">
        <f>STATS1003B!N1784/1000</f>
        <v>0</v>
      </c>
      <c r="O1689" s="9">
        <f>STATS1003B!O1784/1000</f>
        <v>0</v>
      </c>
      <c r="P1689" s="9">
        <f>STATS1003B!P1784/1000</f>
        <v>0</v>
      </c>
      <c r="Q1689" s="9">
        <f>STATS1003B!Q1784/1000</f>
        <v>70</v>
      </c>
      <c r="R1689" s="9">
        <f>STATS1003B!R1784/1000</f>
        <v>0</v>
      </c>
      <c r="S1689" s="9">
        <f>STATS1003B!S1784/1000</f>
        <v>0</v>
      </c>
      <c r="T1689" s="9">
        <f>STATS1003B!T1784/1000</f>
        <v>0</v>
      </c>
      <c r="U1689" s="9">
        <f>STATS1003B!U1784/1000</f>
        <v>0</v>
      </c>
      <c r="V1689" s="9">
        <f>STATS1003B!V1784/1000</f>
        <v>0</v>
      </c>
      <c r="W1689" s="9">
        <f>STATS1003B!W1784/1000</f>
        <v>0</v>
      </c>
      <c r="X1689" s="9">
        <f>STATS1003B!X1784/1000</f>
        <v>70</v>
      </c>
      <c r="Y1689" s="9">
        <f>STATS1003B!Y1784/1000</f>
        <v>0</v>
      </c>
      <c r="Z1689" s="9">
        <f>STATS1003B!Z1784/1000</f>
        <v>0</v>
      </c>
      <c r="AA1689" s="9">
        <f>STATS1003B!AA1784/1000</f>
        <v>70</v>
      </c>
      <c r="AB1689" s="9">
        <f>STATS1003B!AB1784/1000</f>
        <v>0</v>
      </c>
    </row>
    <row r="1690" spans="1:28" x14ac:dyDescent="0.35">
      <c r="A1690" s="36"/>
      <c r="B1690" s="8"/>
      <c r="C1690" s="7" t="s">
        <v>592</v>
      </c>
      <c r="D1690" s="8"/>
      <c r="E1690" s="9">
        <f>STATS1003B!E1785/1000</f>
        <v>468.99086</v>
      </c>
      <c r="F1690" s="9">
        <f>STATS1003B!F1785/1000</f>
        <v>288.36200000000002</v>
      </c>
      <c r="G1690" s="9">
        <f>STATS1003B!G1785/1000</f>
        <v>0</v>
      </c>
      <c r="H1690" s="9">
        <f>STATS1003B!H1785/1000</f>
        <v>288.36200000000002</v>
      </c>
      <c r="I1690" s="9">
        <f>STATS1003B!I1785/1000</f>
        <v>0</v>
      </c>
      <c r="J1690" s="9">
        <f>STATS1003B!J1785/1000</f>
        <v>288.36200000000002</v>
      </c>
      <c r="K1690" s="9">
        <f>STATS1003B!K1785/1000</f>
        <v>180.62885999999997</v>
      </c>
      <c r="L1690" s="9">
        <f>STATS1003B!L1785/1000</f>
        <v>0</v>
      </c>
      <c r="M1690" s="9">
        <f>STATS1003B!M1785/1000</f>
        <v>288.36200000000002</v>
      </c>
      <c r="N1690" s="9">
        <f>STATS1003B!N1785/1000</f>
        <v>180.62885999999997</v>
      </c>
      <c r="O1690" s="9">
        <f>STATS1003B!O1785/1000</f>
        <v>0</v>
      </c>
      <c r="P1690" s="9">
        <f>STATS1003B!P1785/1000</f>
        <v>180.62885999999997</v>
      </c>
      <c r="Q1690" s="9">
        <f>STATS1003B!Q1785/1000</f>
        <v>288.36200000000002</v>
      </c>
      <c r="R1690" s="9">
        <f>STATS1003B!R1785/1000</f>
        <v>0</v>
      </c>
      <c r="S1690" s="9">
        <f>STATS1003B!S1785/1000</f>
        <v>0</v>
      </c>
      <c r="T1690" s="9">
        <f>STATS1003B!T1785/1000</f>
        <v>0</v>
      </c>
      <c r="U1690" s="9">
        <f>STATS1003B!U1785/1000</f>
        <v>180.62885999999997</v>
      </c>
      <c r="V1690" s="9">
        <f>STATS1003B!V1785/1000</f>
        <v>0</v>
      </c>
      <c r="W1690" s="9">
        <f>STATS1003B!W1785/1000</f>
        <v>0</v>
      </c>
      <c r="X1690" s="9">
        <f>STATS1003B!X1785/1000</f>
        <v>468.99086</v>
      </c>
      <c r="Y1690" s="9">
        <f>STATS1003B!Y1785/1000</f>
        <v>0</v>
      </c>
      <c r="Z1690" s="9">
        <f>STATS1003B!Z1785/1000</f>
        <v>0</v>
      </c>
      <c r="AA1690" s="9">
        <f>STATS1003B!AA1785/1000</f>
        <v>468.99086</v>
      </c>
      <c r="AB1690" s="9">
        <f>STATS1003B!AB1785/1000</f>
        <v>0</v>
      </c>
    </row>
    <row r="1691" spans="1:28" x14ac:dyDescent="0.35">
      <c r="A1691" s="36"/>
      <c r="B1691" s="8"/>
      <c r="C1691" s="7" t="s">
        <v>606</v>
      </c>
      <c r="D1691" s="8"/>
      <c r="E1691" s="9">
        <f>STATS1003B!E1786/1000</f>
        <v>2500</v>
      </c>
      <c r="F1691" s="9">
        <f>STATS1003B!F1786/1000</f>
        <v>2500</v>
      </c>
      <c r="G1691" s="9">
        <f>STATS1003B!G1786/1000</f>
        <v>0</v>
      </c>
      <c r="H1691" s="9">
        <f>STATS1003B!H1786/1000</f>
        <v>2500</v>
      </c>
      <c r="I1691" s="9">
        <f>STATS1003B!I1786/1000</f>
        <v>0</v>
      </c>
      <c r="J1691" s="9">
        <f>STATS1003B!J1786/1000</f>
        <v>2500</v>
      </c>
      <c r="K1691" s="9">
        <f>STATS1003B!K1786/1000</f>
        <v>0</v>
      </c>
      <c r="L1691" s="9">
        <f>STATS1003B!L1786/1000</f>
        <v>0</v>
      </c>
      <c r="M1691" s="9">
        <f>STATS1003B!M1786/1000</f>
        <v>2500</v>
      </c>
      <c r="N1691" s="9">
        <f>STATS1003B!N1786/1000</f>
        <v>0</v>
      </c>
      <c r="O1691" s="9">
        <f>STATS1003B!O1786/1000</f>
        <v>0</v>
      </c>
      <c r="P1691" s="9">
        <f>STATS1003B!P1786/1000</f>
        <v>0</v>
      </c>
      <c r="Q1691" s="9">
        <f>STATS1003B!Q1786/1000</f>
        <v>2500</v>
      </c>
      <c r="R1691" s="9">
        <f>STATS1003B!R1786/1000</f>
        <v>0</v>
      </c>
      <c r="S1691" s="9">
        <f>STATS1003B!S1786/1000</f>
        <v>0</v>
      </c>
      <c r="T1691" s="9">
        <f>STATS1003B!T1786/1000</f>
        <v>0</v>
      </c>
      <c r="U1691" s="9">
        <f>STATS1003B!U1786/1000</f>
        <v>0</v>
      </c>
      <c r="V1691" s="9">
        <f>STATS1003B!V1786/1000</f>
        <v>0</v>
      </c>
      <c r="W1691" s="9">
        <f>STATS1003B!W1786/1000</f>
        <v>0</v>
      </c>
      <c r="X1691" s="9">
        <f>STATS1003B!X1786/1000</f>
        <v>2500</v>
      </c>
      <c r="Y1691" s="9">
        <f>STATS1003B!Y1786/1000</f>
        <v>0</v>
      </c>
      <c r="Z1691" s="9">
        <f>STATS1003B!Z1786/1000</f>
        <v>0</v>
      </c>
      <c r="AA1691" s="9">
        <f>STATS1003B!AA1786/1000</f>
        <v>2500</v>
      </c>
      <c r="AB1691" s="9">
        <f>STATS1003B!AB1786/1000</f>
        <v>0</v>
      </c>
    </row>
    <row r="1692" spans="1:28" x14ac:dyDescent="0.35">
      <c r="A1692" s="36"/>
      <c r="B1692" s="8"/>
      <c r="C1692" s="8"/>
      <c r="D1692" s="8"/>
      <c r="E1692" s="17" t="s">
        <v>29</v>
      </c>
      <c r="F1692" s="17" t="s">
        <v>29</v>
      </c>
      <c r="G1692" s="17" t="s">
        <v>29</v>
      </c>
      <c r="H1692" s="17" t="s">
        <v>29</v>
      </c>
      <c r="I1692" s="17" t="s">
        <v>29</v>
      </c>
      <c r="J1692" s="17" t="s">
        <v>29</v>
      </c>
      <c r="K1692" s="17" t="s">
        <v>29</v>
      </c>
      <c r="L1692" s="17" t="s">
        <v>29</v>
      </c>
      <c r="M1692" s="17" t="s">
        <v>29</v>
      </c>
      <c r="N1692" s="17" t="s">
        <v>29</v>
      </c>
      <c r="O1692" s="17" t="s">
        <v>29</v>
      </c>
      <c r="P1692" s="17" t="s">
        <v>29</v>
      </c>
      <c r="Q1692" s="17" t="s">
        <v>29</v>
      </c>
      <c r="R1692" s="17"/>
      <c r="S1692" s="17"/>
      <c r="T1692" s="17"/>
      <c r="U1692" s="17"/>
      <c r="V1692" s="17"/>
      <c r="W1692" s="17"/>
      <c r="X1692" s="17"/>
      <c r="Y1692" s="17"/>
      <c r="Z1692" s="17"/>
      <c r="AA1692" s="17" t="s">
        <v>29</v>
      </c>
      <c r="AB1692" s="17" t="s">
        <v>29</v>
      </c>
    </row>
    <row r="1693" spans="1:28" x14ac:dyDescent="0.35">
      <c r="A1693" s="36"/>
      <c r="B1693" s="8"/>
      <c r="C1693" s="8"/>
      <c r="D1693" s="8"/>
      <c r="E1693" s="9">
        <f t="shared" ref="E1693:Q1693" si="120">SUM(E1679:E1692)</f>
        <v>17579.952960000002</v>
      </c>
      <c r="F1693" s="9">
        <f t="shared" si="120"/>
        <v>12106.104349999998</v>
      </c>
      <c r="G1693" s="9">
        <f t="shared" si="120"/>
        <v>0</v>
      </c>
      <c r="H1693" s="9">
        <f t="shared" si="120"/>
        <v>12106.104349999998</v>
      </c>
      <c r="I1693" s="9">
        <f t="shared" si="120"/>
        <v>2013</v>
      </c>
      <c r="J1693" s="9">
        <f t="shared" si="120"/>
        <v>14119.104349999998</v>
      </c>
      <c r="K1693" s="9">
        <f t="shared" si="120"/>
        <v>3460.84861</v>
      </c>
      <c r="L1693" s="9">
        <f t="shared" si="120"/>
        <v>2013</v>
      </c>
      <c r="M1693" s="9">
        <f t="shared" si="120"/>
        <v>14119.104349999998</v>
      </c>
      <c r="N1693" s="9">
        <f t="shared" si="120"/>
        <v>3460.84861</v>
      </c>
      <c r="O1693" s="9">
        <f t="shared" si="120"/>
        <v>0</v>
      </c>
      <c r="P1693" s="9">
        <f t="shared" si="120"/>
        <v>3460.84861</v>
      </c>
      <c r="Q1693" s="9">
        <f t="shared" si="120"/>
        <v>14119.104349999998</v>
      </c>
      <c r="R1693" s="17"/>
      <c r="S1693" s="17"/>
      <c r="T1693" s="9">
        <f t="shared" ref="T1693:Z1693" si="121">SUM(T1679:T1692)</f>
        <v>0</v>
      </c>
      <c r="U1693" s="9">
        <f t="shared" si="121"/>
        <v>3460.84861</v>
      </c>
      <c r="V1693" s="9">
        <f t="shared" si="121"/>
        <v>0</v>
      </c>
      <c r="W1693" s="9">
        <f t="shared" si="121"/>
        <v>0</v>
      </c>
      <c r="X1693" s="9">
        <f t="shared" si="121"/>
        <v>15566.952960000001</v>
      </c>
      <c r="Y1693" s="9">
        <f t="shared" si="121"/>
        <v>0</v>
      </c>
      <c r="Z1693" s="9">
        <f t="shared" si="121"/>
        <v>2013</v>
      </c>
      <c r="AA1693" s="9">
        <f>SUM(AA1679:AA1692)</f>
        <v>17579.952960000002</v>
      </c>
      <c r="AB1693" s="9">
        <f>SUM(AB1679:AB1692)</f>
        <v>0</v>
      </c>
    </row>
    <row r="1694" spans="1:28" x14ac:dyDescent="0.35">
      <c r="A1694" s="36"/>
      <c r="B1694" s="8"/>
      <c r="C1694" s="8"/>
      <c r="D1694" s="8"/>
      <c r="E1694" s="17" t="s">
        <v>29</v>
      </c>
      <c r="F1694" s="17" t="s">
        <v>29</v>
      </c>
      <c r="G1694" s="17" t="s">
        <v>29</v>
      </c>
      <c r="H1694" s="17" t="s">
        <v>29</v>
      </c>
      <c r="I1694" s="17" t="s">
        <v>29</v>
      </c>
      <c r="J1694" s="17" t="s">
        <v>29</v>
      </c>
      <c r="K1694" s="17" t="s">
        <v>29</v>
      </c>
      <c r="L1694" s="17" t="s">
        <v>29</v>
      </c>
      <c r="M1694" s="17" t="s">
        <v>29</v>
      </c>
      <c r="N1694" s="17" t="s">
        <v>29</v>
      </c>
      <c r="O1694" s="17" t="s">
        <v>29</v>
      </c>
      <c r="P1694" s="17" t="s">
        <v>29</v>
      </c>
      <c r="Q1694" s="17" t="s">
        <v>29</v>
      </c>
      <c r="R1694" s="17"/>
      <c r="S1694" s="17"/>
      <c r="T1694" s="17"/>
      <c r="U1694" s="17"/>
      <c r="V1694" s="17"/>
      <c r="W1694" s="17"/>
      <c r="X1694" s="17"/>
      <c r="Y1694" s="17"/>
      <c r="Z1694" s="17"/>
      <c r="AA1694" s="17" t="s">
        <v>29</v>
      </c>
      <c r="AB1694" s="17" t="s">
        <v>29</v>
      </c>
    </row>
    <row r="1695" spans="1:28" x14ac:dyDescent="0.35">
      <c r="A1695" s="38" t="s">
        <v>1015</v>
      </c>
      <c r="B1695" s="7" t="s">
        <v>765</v>
      </c>
      <c r="C1695" s="8"/>
      <c r="D1695" s="8"/>
      <c r="E1695" s="8"/>
      <c r="F1695" s="8"/>
      <c r="G1695" s="8"/>
      <c r="H1695" s="8"/>
      <c r="I1695" s="8"/>
      <c r="J1695" s="8"/>
      <c r="K1695" s="8"/>
      <c r="L1695" s="8"/>
      <c r="M1695" s="8"/>
      <c r="N1695" s="8"/>
      <c r="O1695" s="8"/>
      <c r="P1695" s="8"/>
      <c r="Q1695" s="8"/>
      <c r="R1695" s="17"/>
      <c r="S1695" s="17"/>
      <c r="T1695" s="17"/>
      <c r="U1695" s="17"/>
      <c r="V1695" s="17"/>
      <c r="W1695" s="17"/>
      <c r="X1695" s="17"/>
      <c r="Y1695" s="17"/>
      <c r="Z1695" s="17"/>
    </row>
    <row r="1696" spans="1:28" x14ac:dyDescent="0.35">
      <c r="A1696" s="36"/>
      <c r="B1696" s="8"/>
      <c r="C1696" s="7" t="s">
        <v>535</v>
      </c>
      <c r="D1696" s="15" t="s">
        <v>68</v>
      </c>
      <c r="E1696" s="9">
        <f>STATS1003B!E1791/1000</f>
        <v>1336.1883</v>
      </c>
      <c r="F1696" s="9">
        <f>STATS1003B!F1791/1000</f>
        <v>0</v>
      </c>
      <c r="G1696" s="9">
        <f>STATS1003B!G1791/1000</f>
        <v>0</v>
      </c>
      <c r="H1696" s="9">
        <f>STATS1003B!H1791/1000</f>
        <v>0</v>
      </c>
      <c r="I1696" s="9">
        <f>STATS1003B!I1791/1000</f>
        <v>0</v>
      </c>
      <c r="J1696" s="9">
        <f>STATS1003B!J1791/1000</f>
        <v>0</v>
      </c>
      <c r="K1696" s="9">
        <f>STATS1003B!K1791/1000</f>
        <v>1336.1883</v>
      </c>
      <c r="L1696" s="9">
        <f>STATS1003B!L1791/1000</f>
        <v>0</v>
      </c>
      <c r="M1696" s="9">
        <f>STATS1003B!M1791/1000</f>
        <v>0</v>
      </c>
      <c r="N1696" s="9">
        <f>STATS1003B!N1791/1000</f>
        <v>1336.1883</v>
      </c>
      <c r="O1696" s="9">
        <f>STATS1003B!O1791/1000</f>
        <v>0</v>
      </c>
      <c r="P1696" s="9">
        <f>STATS1003B!P1791/1000</f>
        <v>1336.1883</v>
      </c>
      <c r="Q1696" s="9">
        <f>STATS1003B!Q1791/1000</f>
        <v>0</v>
      </c>
      <c r="R1696" s="9">
        <f>STATS1003B!R1791/1000</f>
        <v>0</v>
      </c>
      <c r="S1696" s="9">
        <f>STATS1003B!S1791/1000</f>
        <v>0</v>
      </c>
      <c r="T1696" s="9">
        <f>STATS1003B!T1791/1000</f>
        <v>0</v>
      </c>
      <c r="U1696" s="9">
        <f>STATS1003B!U1791/1000</f>
        <v>1336.1883</v>
      </c>
      <c r="V1696" s="9">
        <f>STATS1003B!V1791/1000</f>
        <v>0</v>
      </c>
      <c r="W1696" s="9">
        <f>STATS1003B!W1791/1000</f>
        <v>0</v>
      </c>
      <c r="X1696" s="9">
        <f>STATS1003B!X1791/1000</f>
        <v>1336.1883</v>
      </c>
      <c r="Y1696" s="9">
        <f>STATS1003B!Y1791/1000</f>
        <v>0</v>
      </c>
      <c r="Z1696" s="9">
        <f>STATS1003B!Z1791/1000</f>
        <v>0</v>
      </c>
      <c r="AA1696" s="9">
        <f>STATS1003B!AA1791/1000</f>
        <v>1336.1883</v>
      </c>
      <c r="AB1696" s="9">
        <f>STATS1003B!AB1791/1000</f>
        <v>0</v>
      </c>
    </row>
    <row r="1697" spans="1:28" x14ac:dyDescent="0.35">
      <c r="A1697" s="36"/>
      <c r="B1697" s="8"/>
      <c r="C1697" s="7" t="s">
        <v>535</v>
      </c>
      <c r="D1697" s="15" t="s">
        <v>54</v>
      </c>
      <c r="E1697" s="9">
        <f>STATS1003B!E1792/1000</f>
        <v>870.83</v>
      </c>
      <c r="F1697" s="9">
        <f>STATS1003B!F1792/1000</f>
        <v>870.83</v>
      </c>
      <c r="G1697" s="9">
        <f>STATS1003B!G1792/1000</f>
        <v>0</v>
      </c>
      <c r="H1697" s="9">
        <f>STATS1003B!H1792/1000</f>
        <v>870.83</v>
      </c>
      <c r="I1697" s="9">
        <f>STATS1003B!I1792/1000</f>
        <v>0</v>
      </c>
      <c r="J1697" s="9">
        <f>STATS1003B!J1792/1000</f>
        <v>870.83</v>
      </c>
      <c r="K1697" s="9">
        <f>STATS1003B!K1792/1000</f>
        <v>0</v>
      </c>
      <c r="L1697" s="9">
        <f>STATS1003B!L1792/1000</f>
        <v>0</v>
      </c>
      <c r="M1697" s="9">
        <f>STATS1003B!M1792/1000</f>
        <v>870.83</v>
      </c>
      <c r="N1697" s="9">
        <f>STATS1003B!N1792/1000</f>
        <v>0</v>
      </c>
      <c r="O1697" s="9">
        <f>STATS1003B!O1792/1000</f>
        <v>0</v>
      </c>
      <c r="P1697" s="9">
        <f>STATS1003B!P1792/1000</f>
        <v>0</v>
      </c>
      <c r="Q1697" s="9">
        <f>STATS1003B!Q1792/1000</f>
        <v>870.83</v>
      </c>
      <c r="R1697" s="9">
        <f>STATS1003B!R1792/1000</f>
        <v>0</v>
      </c>
      <c r="S1697" s="9">
        <f>STATS1003B!S1792/1000</f>
        <v>0</v>
      </c>
      <c r="T1697" s="9">
        <f>STATS1003B!T1792/1000</f>
        <v>0</v>
      </c>
      <c r="U1697" s="9">
        <f>STATS1003B!U1792/1000</f>
        <v>0</v>
      </c>
      <c r="V1697" s="9">
        <f>STATS1003B!V1792/1000</f>
        <v>0</v>
      </c>
      <c r="W1697" s="9">
        <f>STATS1003B!W1792/1000</f>
        <v>0</v>
      </c>
      <c r="X1697" s="9">
        <f>STATS1003B!X1792/1000</f>
        <v>870.83</v>
      </c>
      <c r="Y1697" s="9">
        <f>STATS1003B!Y1792/1000</f>
        <v>0</v>
      </c>
      <c r="Z1697" s="9">
        <f>STATS1003B!Z1792/1000</f>
        <v>0</v>
      </c>
      <c r="AA1697" s="9">
        <f>STATS1003B!AA1792/1000</f>
        <v>870.83</v>
      </c>
      <c r="AB1697" s="9">
        <f>STATS1003B!AB1792/1000</f>
        <v>0</v>
      </c>
    </row>
    <row r="1698" spans="1:28" x14ac:dyDescent="0.35">
      <c r="A1698" s="36"/>
      <c r="B1698" s="8"/>
      <c r="C1698" s="7" t="s">
        <v>545</v>
      </c>
      <c r="D1698" s="15" t="s">
        <v>54</v>
      </c>
      <c r="E1698" s="9">
        <f>STATS1003B!E1793/1000</f>
        <v>1767.77</v>
      </c>
      <c r="F1698" s="9">
        <f>STATS1003B!F1793/1000</f>
        <v>0</v>
      </c>
      <c r="G1698" s="9">
        <f>STATS1003B!G1793/1000</f>
        <v>0</v>
      </c>
      <c r="H1698" s="9">
        <f>STATS1003B!H1793/1000</f>
        <v>0</v>
      </c>
      <c r="I1698" s="9">
        <f>STATS1003B!I1793/1000</f>
        <v>0</v>
      </c>
      <c r="J1698" s="9">
        <f>STATS1003B!J1793/1000</f>
        <v>0</v>
      </c>
      <c r="K1698" s="9">
        <f>STATS1003B!K1793/1000</f>
        <v>1767.77</v>
      </c>
      <c r="L1698" s="9">
        <f>STATS1003B!L1793/1000</f>
        <v>0</v>
      </c>
      <c r="M1698" s="9">
        <f>STATS1003B!M1793/1000</f>
        <v>0</v>
      </c>
      <c r="N1698" s="9">
        <f>STATS1003B!N1793/1000</f>
        <v>1767.77</v>
      </c>
      <c r="O1698" s="9">
        <f>STATS1003B!O1793/1000</f>
        <v>0</v>
      </c>
      <c r="P1698" s="9">
        <f>STATS1003B!P1793/1000</f>
        <v>1767.77</v>
      </c>
      <c r="Q1698" s="9">
        <f>STATS1003B!Q1793/1000</f>
        <v>0</v>
      </c>
      <c r="R1698" s="9">
        <f>STATS1003B!R1793/1000</f>
        <v>0</v>
      </c>
      <c r="S1698" s="9">
        <f>STATS1003B!S1793/1000</f>
        <v>0</v>
      </c>
      <c r="T1698" s="9">
        <f>STATS1003B!T1793/1000</f>
        <v>0</v>
      </c>
      <c r="U1698" s="9">
        <f>STATS1003B!U1793/1000</f>
        <v>1767.77</v>
      </c>
      <c r="V1698" s="9">
        <f>STATS1003B!V1793/1000</f>
        <v>0</v>
      </c>
      <c r="W1698" s="9">
        <f>STATS1003B!W1793/1000</f>
        <v>0</v>
      </c>
      <c r="X1698" s="9">
        <f>STATS1003B!X1793/1000</f>
        <v>1767.77</v>
      </c>
      <c r="Y1698" s="9">
        <f>STATS1003B!Y1793/1000</f>
        <v>0</v>
      </c>
      <c r="Z1698" s="9">
        <f>STATS1003B!Z1793/1000</f>
        <v>0</v>
      </c>
      <c r="AA1698" s="9">
        <f>STATS1003B!AA1793/1000</f>
        <v>1767.77</v>
      </c>
      <c r="AB1698" s="9">
        <f>STATS1003B!AB1793/1000</f>
        <v>0</v>
      </c>
    </row>
    <row r="1699" spans="1:28" x14ac:dyDescent="0.35">
      <c r="A1699" s="36"/>
      <c r="B1699" s="8"/>
      <c r="C1699" s="7" t="s">
        <v>535</v>
      </c>
      <c r="D1699" s="15" t="s">
        <v>85</v>
      </c>
      <c r="E1699" s="9">
        <f>STATS1003B!E1794/1000</f>
        <v>1597.04</v>
      </c>
      <c r="F1699" s="9">
        <f>STATS1003B!F1794/1000</f>
        <v>1597.04</v>
      </c>
      <c r="G1699" s="9">
        <f>STATS1003B!G1794/1000</f>
        <v>0</v>
      </c>
      <c r="H1699" s="9">
        <f>STATS1003B!H1794/1000</f>
        <v>1597.04</v>
      </c>
      <c r="I1699" s="9">
        <f>STATS1003B!I1794/1000</f>
        <v>0</v>
      </c>
      <c r="J1699" s="9">
        <f>STATS1003B!J1794/1000</f>
        <v>1597.04</v>
      </c>
      <c r="K1699" s="9">
        <f>STATS1003B!K1794/1000</f>
        <v>0</v>
      </c>
      <c r="L1699" s="9">
        <f>STATS1003B!L1794/1000</f>
        <v>0</v>
      </c>
      <c r="M1699" s="9">
        <f>STATS1003B!M1794/1000</f>
        <v>1597.04</v>
      </c>
      <c r="N1699" s="9">
        <f>STATS1003B!N1794/1000</f>
        <v>0</v>
      </c>
      <c r="O1699" s="9">
        <f>STATS1003B!O1794/1000</f>
        <v>0</v>
      </c>
      <c r="P1699" s="9">
        <f>STATS1003B!P1794/1000</f>
        <v>0</v>
      </c>
      <c r="Q1699" s="9">
        <f>STATS1003B!Q1794/1000</f>
        <v>1597.04</v>
      </c>
      <c r="R1699" s="9">
        <f>STATS1003B!R1794/1000</f>
        <v>0</v>
      </c>
      <c r="S1699" s="9">
        <f>STATS1003B!S1794/1000</f>
        <v>0</v>
      </c>
      <c r="T1699" s="9">
        <f>STATS1003B!T1794/1000</f>
        <v>0</v>
      </c>
      <c r="U1699" s="9">
        <f>STATS1003B!U1794/1000</f>
        <v>0</v>
      </c>
      <c r="V1699" s="9">
        <f>STATS1003B!V1794/1000</f>
        <v>0</v>
      </c>
      <c r="W1699" s="9">
        <f>STATS1003B!W1794/1000</f>
        <v>0</v>
      </c>
      <c r="X1699" s="9">
        <f>STATS1003B!X1794/1000</f>
        <v>1597.04</v>
      </c>
      <c r="Y1699" s="9">
        <f>STATS1003B!Y1794/1000</f>
        <v>0</v>
      </c>
      <c r="Z1699" s="9">
        <f>STATS1003B!Z1794/1000</f>
        <v>0</v>
      </c>
      <c r="AA1699" s="9">
        <f>STATS1003B!AA1794/1000</f>
        <v>1597.04</v>
      </c>
      <c r="AB1699" s="9">
        <f>STATS1003B!AB1794/1000</f>
        <v>0</v>
      </c>
    </row>
    <row r="1700" spans="1:28" x14ac:dyDescent="0.35">
      <c r="A1700" s="36"/>
      <c r="B1700" s="8"/>
      <c r="C1700" s="7" t="s">
        <v>766</v>
      </c>
      <c r="D1700" s="15" t="s">
        <v>85</v>
      </c>
      <c r="E1700" s="9">
        <f>STATS1003B!E1795/1000</f>
        <v>800</v>
      </c>
      <c r="F1700" s="9">
        <f>STATS1003B!F1795/1000</f>
        <v>800</v>
      </c>
      <c r="G1700" s="9">
        <f>STATS1003B!G1795/1000</f>
        <v>0</v>
      </c>
      <c r="H1700" s="9">
        <f>STATS1003B!H1795/1000</f>
        <v>800</v>
      </c>
      <c r="I1700" s="9">
        <f>STATS1003B!I1795/1000</f>
        <v>0</v>
      </c>
      <c r="J1700" s="9">
        <f>STATS1003B!J1795/1000</f>
        <v>800</v>
      </c>
      <c r="K1700" s="9">
        <f>STATS1003B!K1795/1000</f>
        <v>0</v>
      </c>
      <c r="L1700" s="9">
        <f>STATS1003B!L1795/1000</f>
        <v>0</v>
      </c>
      <c r="M1700" s="9">
        <f>STATS1003B!M1795/1000</f>
        <v>800</v>
      </c>
      <c r="N1700" s="9">
        <f>STATS1003B!N1795/1000</f>
        <v>0</v>
      </c>
      <c r="O1700" s="9">
        <f>STATS1003B!O1795/1000</f>
        <v>0</v>
      </c>
      <c r="P1700" s="9">
        <f>STATS1003B!P1795/1000</f>
        <v>0</v>
      </c>
      <c r="Q1700" s="9">
        <f>STATS1003B!Q1795/1000</f>
        <v>800</v>
      </c>
      <c r="R1700" s="9">
        <f>STATS1003B!R1795/1000</f>
        <v>0</v>
      </c>
      <c r="S1700" s="9">
        <f>STATS1003B!S1795/1000</f>
        <v>0</v>
      </c>
      <c r="T1700" s="9">
        <f>STATS1003B!T1795/1000</f>
        <v>0</v>
      </c>
      <c r="U1700" s="9">
        <f>STATS1003B!U1795/1000</f>
        <v>0</v>
      </c>
      <c r="V1700" s="9">
        <f>STATS1003B!V1795/1000</f>
        <v>0</v>
      </c>
      <c r="W1700" s="9">
        <f>STATS1003B!W1795/1000</f>
        <v>0</v>
      </c>
      <c r="X1700" s="9">
        <f>STATS1003B!X1795/1000</f>
        <v>800</v>
      </c>
      <c r="Y1700" s="9">
        <f>STATS1003B!Y1795/1000</f>
        <v>0</v>
      </c>
      <c r="Z1700" s="9">
        <f>STATS1003B!Z1795/1000</f>
        <v>0</v>
      </c>
      <c r="AA1700" s="9">
        <f>STATS1003B!AA1795/1000</f>
        <v>800</v>
      </c>
      <c r="AB1700" s="9">
        <f>STATS1003B!AB1795/1000</f>
        <v>0</v>
      </c>
    </row>
    <row r="1701" spans="1:28" x14ac:dyDescent="0.35">
      <c r="A1701" s="36"/>
      <c r="B1701" s="8"/>
      <c r="C1701" s="7" t="s">
        <v>535</v>
      </c>
      <c r="D1701" s="15" t="s">
        <v>128</v>
      </c>
      <c r="E1701" s="9">
        <f>STATS1003B!E1796/1000</f>
        <v>1200</v>
      </c>
      <c r="F1701" s="9">
        <f>STATS1003B!F1796/1000</f>
        <v>1200</v>
      </c>
      <c r="G1701" s="9">
        <f>STATS1003B!G1796/1000</f>
        <v>0</v>
      </c>
      <c r="H1701" s="9">
        <f>STATS1003B!H1796/1000</f>
        <v>1200</v>
      </c>
      <c r="I1701" s="9">
        <f>STATS1003B!I1796/1000</f>
        <v>0</v>
      </c>
      <c r="J1701" s="9">
        <f>STATS1003B!J1796/1000</f>
        <v>1200</v>
      </c>
      <c r="K1701" s="9">
        <f>STATS1003B!K1796/1000</f>
        <v>0</v>
      </c>
      <c r="L1701" s="9">
        <f>STATS1003B!L1796/1000</f>
        <v>0</v>
      </c>
      <c r="M1701" s="9">
        <f>STATS1003B!M1796/1000</f>
        <v>1200</v>
      </c>
      <c r="N1701" s="9">
        <f>STATS1003B!N1796/1000</f>
        <v>0</v>
      </c>
      <c r="O1701" s="9">
        <f>STATS1003B!O1796/1000</f>
        <v>0</v>
      </c>
      <c r="P1701" s="9">
        <f>STATS1003B!P1796/1000</f>
        <v>0</v>
      </c>
      <c r="Q1701" s="9">
        <f>STATS1003B!Q1796/1000</f>
        <v>1200</v>
      </c>
      <c r="R1701" s="9">
        <f>STATS1003B!R1796/1000</f>
        <v>0</v>
      </c>
      <c r="S1701" s="9">
        <f>STATS1003B!S1796/1000</f>
        <v>0</v>
      </c>
      <c r="T1701" s="9">
        <f>STATS1003B!T1796/1000</f>
        <v>0</v>
      </c>
      <c r="U1701" s="9">
        <f>STATS1003B!U1796/1000</f>
        <v>0</v>
      </c>
      <c r="V1701" s="9">
        <f>STATS1003B!V1796/1000</f>
        <v>0</v>
      </c>
      <c r="W1701" s="9">
        <f>STATS1003B!W1796/1000</f>
        <v>0</v>
      </c>
      <c r="X1701" s="9">
        <f>STATS1003B!X1796/1000</f>
        <v>1200</v>
      </c>
      <c r="Y1701" s="9">
        <f>STATS1003B!Y1796/1000</f>
        <v>0</v>
      </c>
      <c r="Z1701" s="9">
        <f>STATS1003B!Z1796/1000</f>
        <v>0</v>
      </c>
      <c r="AA1701" s="9">
        <f>STATS1003B!AA1796/1000</f>
        <v>1200</v>
      </c>
      <c r="AB1701" s="9">
        <f>STATS1003B!AB1796/1000</f>
        <v>0</v>
      </c>
    </row>
    <row r="1702" spans="1:28" x14ac:dyDescent="0.35">
      <c r="A1702" s="36"/>
      <c r="B1702" s="8"/>
      <c r="C1702" s="7" t="s">
        <v>535</v>
      </c>
      <c r="D1702" s="21" t="s">
        <v>60</v>
      </c>
      <c r="E1702" s="9">
        <f>STATS1003B!E1797/1000</f>
        <v>1922</v>
      </c>
      <c r="F1702" s="9">
        <f>STATS1003B!F1797/1000</f>
        <v>1922</v>
      </c>
      <c r="G1702" s="9">
        <f>STATS1003B!G1797/1000</f>
        <v>0</v>
      </c>
      <c r="H1702" s="9">
        <f>STATS1003B!H1797/1000</f>
        <v>1922</v>
      </c>
      <c r="I1702" s="9">
        <f>STATS1003B!I1797/1000</f>
        <v>0</v>
      </c>
      <c r="J1702" s="9">
        <f>STATS1003B!J1797/1000</f>
        <v>1922</v>
      </c>
      <c r="K1702" s="9">
        <f>STATS1003B!K1797/1000</f>
        <v>0</v>
      </c>
      <c r="L1702" s="9">
        <f>STATS1003B!L1797/1000</f>
        <v>0</v>
      </c>
      <c r="M1702" s="9">
        <f>STATS1003B!M1797/1000</f>
        <v>1922</v>
      </c>
      <c r="N1702" s="9">
        <f>STATS1003B!N1797/1000</f>
        <v>0</v>
      </c>
      <c r="O1702" s="9">
        <f>STATS1003B!O1797/1000</f>
        <v>0</v>
      </c>
      <c r="P1702" s="9">
        <f>STATS1003B!P1797/1000</f>
        <v>0</v>
      </c>
      <c r="Q1702" s="9">
        <f>STATS1003B!Q1797/1000</f>
        <v>1922</v>
      </c>
      <c r="R1702" s="9">
        <f>STATS1003B!R1797/1000</f>
        <v>0</v>
      </c>
      <c r="S1702" s="9">
        <f>STATS1003B!S1797/1000</f>
        <v>0</v>
      </c>
      <c r="T1702" s="9">
        <f>STATS1003B!T1797/1000</f>
        <v>0</v>
      </c>
      <c r="U1702" s="9">
        <f>STATS1003B!U1797/1000</f>
        <v>0</v>
      </c>
      <c r="V1702" s="9">
        <f>STATS1003B!V1797/1000</f>
        <v>0</v>
      </c>
      <c r="W1702" s="9">
        <f>STATS1003B!W1797/1000</f>
        <v>0</v>
      </c>
      <c r="X1702" s="9">
        <f>STATS1003B!X1797/1000</f>
        <v>1922</v>
      </c>
      <c r="Y1702" s="9">
        <f>STATS1003B!Y1797/1000</f>
        <v>0</v>
      </c>
      <c r="Z1702" s="9">
        <f>STATS1003B!Z1797/1000</f>
        <v>0</v>
      </c>
      <c r="AA1702" s="9">
        <f>STATS1003B!AA1797/1000</f>
        <v>1922</v>
      </c>
      <c r="AB1702" s="9">
        <f>STATS1003B!AB1797/1000</f>
        <v>0</v>
      </c>
    </row>
    <row r="1703" spans="1:28" x14ac:dyDescent="0.35">
      <c r="A1703" s="36"/>
      <c r="B1703" s="8"/>
      <c r="C1703" s="14" t="s">
        <v>535</v>
      </c>
      <c r="D1703" s="21" t="s">
        <v>73</v>
      </c>
      <c r="E1703" s="9">
        <f>STATS1003B!E1798/1000</f>
        <v>612.20000000000005</v>
      </c>
      <c r="F1703" s="9">
        <f>STATS1003B!F1798/1000</f>
        <v>612.20000000000005</v>
      </c>
      <c r="G1703" s="9">
        <f>STATS1003B!G1798/1000</f>
        <v>0</v>
      </c>
      <c r="H1703" s="9">
        <f>STATS1003B!H1798/1000</f>
        <v>612.20000000000005</v>
      </c>
      <c r="I1703" s="9">
        <f>STATS1003B!I1798/1000</f>
        <v>0</v>
      </c>
      <c r="J1703" s="9">
        <f>STATS1003B!J1798/1000</f>
        <v>612.20000000000005</v>
      </c>
      <c r="K1703" s="9">
        <f>STATS1003B!K1798/1000</f>
        <v>0</v>
      </c>
      <c r="L1703" s="9">
        <f>STATS1003B!L1798/1000</f>
        <v>0</v>
      </c>
      <c r="M1703" s="9">
        <f>STATS1003B!M1798/1000</f>
        <v>612.20000000000005</v>
      </c>
      <c r="N1703" s="9">
        <f>STATS1003B!N1798/1000</f>
        <v>0</v>
      </c>
      <c r="O1703" s="9">
        <f>STATS1003B!O1798/1000</f>
        <v>0</v>
      </c>
      <c r="P1703" s="9">
        <f>STATS1003B!P1798/1000</f>
        <v>0</v>
      </c>
      <c r="Q1703" s="9">
        <f>STATS1003B!Q1798/1000</f>
        <v>612.20000000000005</v>
      </c>
      <c r="R1703" s="9">
        <f>STATS1003B!R1798/1000</f>
        <v>0</v>
      </c>
      <c r="S1703" s="9">
        <f>STATS1003B!S1798/1000</f>
        <v>0</v>
      </c>
      <c r="T1703" s="9">
        <f>STATS1003B!T1798/1000</f>
        <v>0</v>
      </c>
      <c r="U1703" s="9">
        <f>STATS1003B!U1798/1000</f>
        <v>0</v>
      </c>
      <c r="V1703" s="9">
        <f>STATS1003B!V1798/1000</f>
        <v>0</v>
      </c>
      <c r="W1703" s="9">
        <f>STATS1003B!W1798/1000</f>
        <v>0</v>
      </c>
      <c r="X1703" s="9">
        <f>STATS1003B!X1798/1000</f>
        <v>612.20000000000005</v>
      </c>
      <c r="Y1703" s="9">
        <f>STATS1003B!Y1798/1000</f>
        <v>0</v>
      </c>
      <c r="Z1703" s="9">
        <f>STATS1003B!Z1798/1000</f>
        <v>0</v>
      </c>
      <c r="AA1703" s="9">
        <f>STATS1003B!AA1798/1000</f>
        <v>612.20000000000005</v>
      </c>
      <c r="AB1703" s="9">
        <f>STATS1003B!AB1798/1000</f>
        <v>0</v>
      </c>
    </row>
    <row r="1704" spans="1:28" x14ac:dyDescent="0.35">
      <c r="A1704" s="36"/>
      <c r="B1704" s="8"/>
      <c r="C1704" s="14" t="s">
        <v>535</v>
      </c>
      <c r="D1704" s="21" t="s">
        <v>61</v>
      </c>
      <c r="E1704" s="9">
        <f>STATS1003B!E1799/1000</f>
        <v>452.79212000000001</v>
      </c>
      <c r="F1704" s="9">
        <f>STATS1003B!F1799/1000</f>
        <v>452.79212000000001</v>
      </c>
      <c r="G1704" s="9">
        <f>STATS1003B!G1799/1000</f>
        <v>0</v>
      </c>
      <c r="H1704" s="9">
        <f>STATS1003B!H1799/1000</f>
        <v>452.79212000000001</v>
      </c>
      <c r="I1704" s="9">
        <f>STATS1003B!I1799/1000</f>
        <v>0</v>
      </c>
      <c r="J1704" s="9">
        <f>STATS1003B!J1799/1000</f>
        <v>452.79212000000001</v>
      </c>
      <c r="K1704" s="9">
        <f>STATS1003B!K1799/1000</f>
        <v>0</v>
      </c>
      <c r="L1704" s="9">
        <f>STATS1003B!L1799/1000</f>
        <v>0</v>
      </c>
      <c r="M1704" s="9">
        <f>STATS1003B!M1799/1000</f>
        <v>452.79212000000001</v>
      </c>
      <c r="N1704" s="9">
        <f>STATS1003B!N1799/1000</f>
        <v>0</v>
      </c>
      <c r="O1704" s="9">
        <f>STATS1003B!O1799/1000</f>
        <v>0</v>
      </c>
      <c r="P1704" s="9">
        <f>STATS1003B!P1799/1000</f>
        <v>0</v>
      </c>
      <c r="Q1704" s="9">
        <f>STATS1003B!Q1799/1000</f>
        <v>452.79212000000001</v>
      </c>
      <c r="R1704" s="9">
        <f>STATS1003B!R1799/1000</f>
        <v>0</v>
      </c>
      <c r="S1704" s="9">
        <f>STATS1003B!S1799/1000</f>
        <v>0</v>
      </c>
      <c r="T1704" s="9">
        <f>STATS1003B!T1799/1000</f>
        <v>0</v>
      </c>
      <c r="U1704" s="9">
        <f>STATS1003B!U1799/1000</f>
        <v>0</v>
      </c>
      <c r="V1704" s="9">
        <f>STATS1003B!V1799/1000</f>
        <v>0</v>
      </c>
      <c r="W1704" s="9">
        <f>STATS1003B!W1799/1000</f>
        <v>0</v>
      </c>
      <c r="X1704" s="9">
        <f>STATS1003B!X1799/1000</f>
        <v>452.79212000000001</v>
      </c>
      <c r="Y1704" s="9">
        <f>STATS1003B!Y1799/1000</f>
        <v>0</v>
      </c>
      <c r="Z1704" s="9">
        <f>STATS1003B!Z1799/1000</f>
        <v>0</v>
      </c>
      <c r="AA1704" s="9">
        <f>STATS1003B!AA1799/1000</f>
        <v>452.79212000000001</v>
      </c>
      <c r="AB1704" s="9">
        <f>STATS1003B!AB1799/1000</f>
        <v>0</v>
      </c>
    </row>
    <row r="1705" spans="1:28" x14ac:dyDescent="0.35">
      <c r="A1705" s="36"/>
      <c r="B1705" s="8"/>
      <c r="C1705" s="14" t="s">
        <v>933</v>
      </c>
      <c r="D1705" s="24" t="s">
        <v>1072</v>
      </c>
      <c r="E1705" s="9">
        <f>STATS1003B!E1800/1000</f>
        <v>506</v>
      </c>
      <c r="F1705" s="9">
        <f>STATS1003B!F1800/1000</f>
        <v>506</v>
      </c>
      <c r="G1705" s="9">
        <f>STATS1003B!G1800/1000</f>
        <v>0</v>
      </c>
      <c r="H1705" s="9">
        <f>STATS1003B!H1800/1000</f>
        <v>506</v>
      </c>
      <c r="I1705" s="9">
        <f>STATS1003B!I1800/1000</f>
        <v>0</v>
      </c>
      <c r="J1705" s="9">
        <f>STATS1003B!J1800/1000</f>
        <v>506</v>
      </c>
      <c r="K1705" s="9">
        <f>STATS1003B!K1800/1000</f>
        <v>0</v>
      </c>
      <c r="L1705" s="9">
        <f>STATS1003B!L1800/1000</f>
        <v>0</v>
      </c>
      <c r="M1705" s="9">
        <f>STATS1003B!M1800/1000</f>
        <v>506</v>
      </c>
      <c r="N1705" s="9">
        <f>STATS1003B!N1800/1000</f>
        <v>0</v>
      </c>
      <c r="O1705" s="9">
        <f>STATS1003B!O1800/1000</f>
        <v>0</v>
      </c>
      <c r="P1705" s="9">
        <f>STATS1003B!P1800/1000</f>
        <v>0</v>
      </c>
      <c r="Q1705" s="9">
        <f>STATS1003B!Q1800/1000</f>
        <v>506</v>
      </c>
      <c r="R1705" s="9">
        <f>STATS1003B!R1800/1000</f>
        <v>0</v>
      </c>
      <c r="S1705" s="9">
        <f>STATS1003B!S1800/1000</f>
        <v>0</v>
      </c>
      <c r="T1705" s="9">
        <f>STATS1003B!T1800/1000</f>
        <v>0</v>
      </c>
      <c r="U1705" s="9">
        <f>STATS1003B!U1800/1000</f>
        <v>0</v>
      </c>
      <c r="V1705" s="9">
        <f>STATS1003B!V1800/1000</f>
        <v>0</v>
      </c>
      <c r="W1705" s="9">
        <f>STATS1003B!W1800/1000</f>
        <v>0</v>
      </c>
      <c r="X1705" s="9">
        <f>STATS1003B!X1800/1000</f>
        <v>506</v>
      </c>
      <c r="Y1705" s="9">
        <f>STATS1003B!Y1800/1000</f>
        <v>0</v>
      </c>
      <c r="Z1705" s="9">
        <f>STATS1003B!Z1800/1000</f>
        <v>0</v>
      </c>
      <c r="AA1705" s="9">
        <f>STATS1003B!AA1800/1000</f>
        <v>506</v>
      </c>
      <c r="AB1705" s="9">
        <f>STATS1003B!AB1800/1000</f>
        <v>0</v>
      </c>
    </row>
    <row r="1706" spans="1:28" x14ac:dyDescent="0.35">
      <c r="A1706" s="36"/>
      <c r="B1706" s="8"/>
      <c r="C1706" s="7" t="s">
        <v>598</v>
      </c>
      <c r="D1706" s="8"/>
      <c r="E1706" s="9">
        <f>STATS1003B!E1802/1000</f>
        <v>305.28403000000003</v>
      </c>
      <c r="F1706" s="9">
        <f>STATS1003B!F1802/1000</f>
        <v>305.28403000000003</v>
      </c>
      <c r="G1706" s="9">
        <f>STATS1003B!G1802/1000</f>
        <v>0</v>
      </c>
      <c r="H1706" s="9">
        <f>STATS1003B!H1802/1000</f>
        <v>305.28403000000003</v>
      </c>
      <c r="I1706" s="9">
        <f>STATS1003B!I1802/1000</f>
        <v>0</v>
      </c>
      <c r="J1706" s="9">
        <f>STATS1003B!J1802/1000</f>
        <v>305.28403000000003</v>
      </c>
      <c r="K1706" s="9">
        <f>STATS1003B!K1802/1000</f>
        <v>0</v>
      </c>
      <c r="L1706" s="9">
        <f>STATS1003B!L1802/1000</f>
        <v>0</v>
      </c>
      <c r="M1706" s="9">
        <f>STATS1003B!M1802/1000</f>
        <v>305.28403000000003</v>
      </c>
      <c r="N1706" s="9">
        <f>STATS1003B!N1802/1000</f>
        <v>0</v>
      </c>
      <c r="O1706" s="9">
        <f>STATS1003B!O1802/1000</f>
        <v>0</v>
      </c>
      <c r="P1706" s="9">
        <f>STATS1003B!P1802/1000</f>
        <v>0</v>
      </c>
      <c r="Q1706" s="9">
        <f>STATS1003B!Q1802/1000</f>
        <v>305.28403000000003</v>
      </c>
      <c r="R1706" s="9">
        <f>STATS1003B!R1802/1000</f>
        <v>0</v>
      </c>
      <c r="S1706" s="9">
        <f>STATS1003B!S1802/1000</f>
        <v>0</v>
      </c>
      <c r="T1706" s="9">
        <f>STATS1003B!T1802/1000</f>
        <v>0</v>
      </c>
      <c r="U1706" s="9">
        <f>STATS1003B!U1802/1000</f>
        <v>0</v>
      </c>
      <c r="V1706" s="9">
        <f>STATS1003B!V1802/1000</f>
        <v>0</v>
      </c>
      <c r="W1706" s="9">
        <f>STATS1003B!W1802/1000</f>
        <v>0</v>
      </c>
      <c r="X1706" s="9">
        <f>STATS1003B!X1802/1000</f>
        <v>305.28403000000003</v>
      </c>
      <c r="Y1706" s="9">
        <f>STATS1003B!Y1802/1000</f>
        <v>0</v>
      </c>
      <c r="Z1706" s="9">
        <f>STATS1003B!Z1802/1000</f>
        <v>0</v>
      </c>
      <c r="AA1706" s="9">
        <f>STATS1003B!AA1802/1000</f>
        <v>305.28403000000003</v>
      </c>
      <c r="AB1706" s="9">
        <f>STATS1003B!AB1802/1000</f>
        <v>0</v>
      </c>
    </row>
    <row r="1707" spans="1:28" x14ac:dyDescent="0.35">
      <c r="A1707" s="36"/>
      <c r="B1707" s="8"/>
      <c r="C1707" s="7" t="s">
        <v>550</v>
      </c>
      <c r="D1707" s="8"/>
      <c r="E1707" s="9">
        <f>STATS1003B!E1803/1000</f>
        <v>296.25</v>
      </c>
      <c r="F1707" s="9">
        <f>STATS1003B!F1803/1000</f>
        <v>296.25</v>
      </c>
      <c r="G1707" s="9">
        <f>STATS1003B!G1803/1000</f>
        <v>0</v>
      </c>
      <c r="H1707" s="9">
        <f>STATS1003B!H1803/1000</f>
        <v>296.25</v>
      </c>
      <c r="I1707" s="9">
        <f>STATS1003B!I1803/1000</f>
        <v>0</v>
      </c>
      <c r="J1707" s="9">
        <f>STATS1003B!J1803/1000</f>
        <v>296.25</v>
      </c>
      <c r="K1707" s="9">
        <f>STATS1003B!K1803/1000</f>
        <v>0</v>
      </c>
      <c r="L1707" s="9">
        <f>STATS1003B!L1803/1000</f>
        <v>0</v>
      </c>
      <c r="M1707" s="9">
        <f>STATS1003B!M1803/1000</f>
        <v>296.25</v>
      </c>
      <c r="N1707" s="9">
        <f>STATS1003B!N1803/1000</f>
        <v>0</v>
      </c>
      <c r="O1707" s="9">
        <f>STATS1003B!O1803/1000</f>
        <v>0</v>
      </c>
      <c r="P1707" s="9">
        <f>STATS1003B!P1803/1000</f>
        <v>0</v>
      </c>
      <c r="Q1707" s="9">
        <f>STATS1003B!Q1803/1000</f>
        <v>296.25</v>
      </c>
      <c r="R1707" s="9">
        <f>STATS1003B!R1803/1000</f>
        <v>0</v>
      </c>
      <c r="S1707" s="9">
        <f>STATS1003B!S1803/1000</f>
        <v>0</v>
      </c>
      <c r="T1707" s="9">
        <f>STATS1003B!T1803/1000</f>
        <v>0</v>
      </c>
      <c r="U1707" s="9">
        <f>STATS1003B!U1803/1000</f>
        <v>0</v>
      </c>
      <c r="V1707" s="9">
        <f>STATS1003B!V1803/1000</f>
        <v>0</v>
      </c>
      <c r="W1707" s="9">
        <f>STATS1003B!W1803/1000</f>
        <v>0</v>
      </c>
      <c r="X1707" s="9">
        <f>STATS1003B!X1803/1000</f>
        <v>296.25</v>
      </c>
      <c r="Y1707" s="9">
        <f>STATS1003B!Y1803/1000</f>
        <v>0</v>
      </c>
      <c r="Z1707" s="9">
        <f>STATS1003B!Z1803/1000</f>
        <v>0</v>
      </c>
      <c r="AA1707" s="9">
        <f>STATS1003B!AA1803/1000</f>
        <v>296.25</v>
      </c>
      <c r="AB1707" s="9">
        <f>STATS1003B!AB1803/1000</f>
        <v>0</v>
      </c>
    </row>
    <row r="1708" spans="1:28" x14ac:dyDescent="0.35">
      <c r="A1708" s="36"/>
      <c r="B1708" s="8"/>
      <c r="C1708" s="7" t="s">
        <v>606</v>
      </c>
      <c r="D1708" s="8"/>
      <c r="E1708" s="9">
        <f>STATS1003B!E1804/1000</f>
        <v>2500</v>
      </c>
      <c r="F1708" s="9">
        <f>STATS1003B!F1804/1000</f>
        <v>2500</v>
      </c>
      <c r="G1708" s="9">
        <f>STATS1003B!G1804/1000</f>
        <v>0</v>
      </c>
      <c r="H1708" s="9">
        <f>STATS1003B!H1804/1000</f>
        <v>2500</v>
      </c>
      <c r="I1708" s="9">
        <f>STATS1003B!I1804/1000</f>
        <v>0</v>
      </c>
      <c r="J1708" s="9">
        <f>STATS1003B!J1804/1000</f>
        <v>2500</v>
      </c>
      <c r="K1708" s="9">
        <f>STATS1003B!K1804/1000</f>
        <v>0</v>
      </c>
      <c r="L1708" s="9">
        <f>STATS1003B!L1804/1000</f>
        <v>0</v>
      </c>
      <c r="M1708" s="9">
        <f>STATS1003B!M1804/1000</f>
        <v>2500</v>
      </c>
      <c r="N1708" s="9">
        <f>STATS1003B!N1804/1000</f>
        <v>0</v>
      </c>
      <c r="O1708" s="9">
        <f>STATS1003B!O1804/1000</f>
        <v>0</v>
      </c>
      <c r="P1708" s="9">
        <f>STATS1003B!P1804/1000</f>
        <v>0</v>
      </c>
      <c r="Q1708" s="9">
        <f>STATS1003B!Q1804/1000</f>
        <v>2500</v>
      </c>
      <c r="R1708" s="9">
        <f>STATS1003B!R1804/1000</f>
        <v>0</v>
      </c>
      <c r="S1708" s="9">
        <f>STATS1003B!S1804/1000</f>
        <v>0</v>
      </c>
      <c r="T1708" s="9">
        <f>STATS1003B!T1804/1000</f>
        <v>0</v>
      </c>
      <c r="U1708" s="9">
        <f>STATS1003B!U1804/1000</f>
        <v>0</v>
      </c>
      <c r="V1708" s="9">
        <f>STATS1003B!V1804/1000</f>
        <v>0</v>
      </c>
      <c r="W1708" s="9">
        <f>STATS1003B!W1804/1000</f>
        <v>0</v>
      </c>
      <c r="X1708" s="9">
        <f>STATS1003B!X1804/1000</f>
        <v>2500</v>
      </c>
      <c r="Y1708" s="9">
        <f>STATS1003B!Y1804/1000</f>
        <v>0</v>
      </c>
      <c r="Z1708" s="9">
        <f>STATS1003B!Z1804/1000</f>
        <v>0</v>
      </c>
      <c r="AA1708" s="9">
        <f>STATS1003B!AA1804/1000</f>
        <v>2500</v>
      </c>
      <c r="AB1708" s="9">
        <f>STATS1003B!AB1804/1000</f>
        <v>0</v>
      </c>
    </row>
    <row r="1709" spans="1:28" x14ac:dyDescent="0.35">
      <c r="A1709" s="36"/>
      <c r="B1709" s="8"/>
      <c r="C1709" s="8"/>
      <c r="D1709" s="8"/>
      <c r="E1709" s="17" t="s">
        <v>29</v>
      </c>
      <c r="F1709" s="17" t="s">
        <v>29</v>
      </c>
      <c r="G1709" s="17" t="s">
        <v>29</v>
      </c>
      <c r="H1709" s="17" t="s">
        <v>29</v>
      </c>
      <c r="I1709" s="17" t="s">
        <v>29</v>
      </c>
      <c r="J1709" s="17" t="s">
        <v>29</v>
      </c>
      <c r="K1709" s="17" t="s">
        <v>29</v>
      </c>
      <c r="L1709" s="17" t="s">
        <v>29</v>
      </c>
      <c r="M1709" s="17" t="s">
        <v>29</v>
      </c>
      <c r="N1709" s="17" t="s">
        <v>29</v>
      </c>
      <c r="O1709" s="17" t="s">
        <v>29</v>
      </c>
      <c r="P1709" s="17" t="s">
        <v>29</v>
      </c>
      <c r="Q1709" s="17" t="s">
        <v>29</v>
      </c>
      <c r="R1709" s="17"/>
      <c r="S1709" s="17"/>
      <c r="T1709" s="17"/>
      <c r="U1709" s="17"/>
      <c r="V1709" s="17"/>
      <c r="W1709" s="17"/>
      <c r="X1709" s="17"/>
      <c r="Y1709" s="17"/>
      <c r="Z1709" s="17"/>
      <c r="AA1709" s="17" t="s">
        <v>29</v>
      </c>
      <c r="AB1709" s="17" t="s">
        <v>29</v>
      </c>
    </row>
    <row r="1710" spans="1:28" x14ac:dyDescent="0.35">
      <c r="A1710" s="36"/>
      <c r="B1710" s="8"/>
      <c r="C1710" s="8"/>
      <c r="D1710" s="8"/>
      <c r="E1710" s="9">
        <f t="shared" ref="E1710:Q1710" si="122">SUM(E1696:E1709)</f>
        <v>14166.354450000003</v>
      </c>
      <c r="F1710" s="9">
        <f t="shared" si="122"/>
        <v>11062.39615</v>
      </c>
      <c r="G1710" s="9">
        <f t="shared" si="122"/>
        <v>0</v>
      </c>
      <c r="H1710" s="9">
        <f t="shared" si="122"/>
        <v>11062.39615</v>
      </c>
      <c r="I1710" s="9">
        <f t="shared" si="122"/>
        <v>0</v>
      </c>
      <c r="J1710" s="9">
        <f t="shared" si="122"/>
        <v>11062.39615</v>
      </c>
      <c r="K1710" s="9">
        <f t="shared" si="122"/>
        <v>3103.9583000000002</v>
      </c>
      <c r="L1710" s="9">
        <f t="shared" si="122"/>
        <v>0</v>
      </c>
      <c r="M1710" s="9">
        <f t="shared" si="122"/>
        <v>11062.39615</v>
      </c>
      <c r="N1710" s="9">
        <f t="shared" si="122"/>
        <v>3103.9583000000002</v>
      </c>
      <c r="O1710" s="9">
        <f t="shared" si="122"/>
        <v>0</v>
      </c>
      <c r="P1710" s="9">
        <f t="shared" si="122"/>
        <v>3103.9583000000002</v>
      </c>
      <c r="Q1710" s="9">
        <f t="shared" si="122"/>
        <v>11062.39615</v>
      </c>
      <c r="R1710" s="17"/>
      <c r="S1710" s="17"/>
      <c r="T1710" s="18">
        <v>0</v>
      </c>
      <c r="U1710" s="9">
        <f t="shared" ref="U1710:Z1710" si="123">SUM(U1696:U1709)</f>
        <v>3103.9583000000002</v>
      </c>
      <c r="V1710" s="9">
        <f t="shared" si="123"/>
        <v>0</v>
      </c>
      <c r="W1710" s="9">
        <f t="shared" si="123"/>
        <v>0</v>
      </c>
      <c r="X1710" s="9">
        <f t="shared" si="123"/>
        <v>14166.354450000003</v>
      </c>
      <c r="Y1710" s="9">
        <f t="shared" si="123"/>
        <v>0</v>
      </c>
      <c r="Z1710" s="9">
        <f t="shared" si="123"/>
        <v>0</v>
      </c>
      <c r="AA1710" s="9">
        <f>SUM(AA1696:AA1709)</f>
        <v>14166.354450000003</v>
      </c>
      <c r="AB1710" s="9">
        <f>SUM(AB1696:AB1709)</f>
        <v>0</v>
      </c>
    </row>
    <row r="1711" spans="1:28" x14ac:dyDescent="0.35">
      <c r="A1711" s="36"/>
      <c r="B1711" s="8"/>
      <c r="C1711" s="8"/>
      <c r="D1711" s="8"/>
      <c r="E1711" s="17" t="s">
        <v>29</v>
      </c>
      <c r="F1711" s="17" t="s">
        <v>29</v>
      </c>
      <c r="G1711" s="17" t="s">
        <v>29</v>
      </c>
      <c r="H1711" s="17" t="s">
        <v>29</v>
      </c>
      <c r="I1711" s="17" t="s">
        <v>29</v>
      </c>
      <c r="J1711" s="17" t="s">
        <v>29</v>
      </c>
      <c r="K1711" s="17" t="s">
        <v>29</v>
      </c>
      <c r="L1711" s="17" t="s">
        <v>29</v>
      </c>
      <c r="M1711" s="17" t="s">
        <v>29</v>
      </c>
      <c r="N1711" s="17" t="s">
        <v>29</v>
      </c>
      <c r="O1711" s="17" t="s">
        <v>29</v>
      </c>
      <c r="P1711" s="17" t="s">
        <v>29</v>
      </c>
      <c r="Q1711" s="17" t="s">
        <v>29</v>
      </c>
      <c r="R1711" s="17"/>
      <c r="S1711" s="17"/>
      <c r="T1711" s="17"/>
      <c r="U1711" s="17"/>
      <c r="V1711" s="17"/>
      <c r="W1711" s="17"/>
      <c r="X1711" s="17"/>
      <c r="Y1711" s="17"/>
      <c r="Z1711" s="17"/>
      <c r="AA1711" s="17" t="s">
        <v>29</v>
      </c>
      <c r="AB1711" s="17" t="s">
        <v>29</v>
      </c>
    </row>
    <row r="1712" spans="1:28" x14ac:dyDescent="0.35">
      <c r="A1712" s="38" t="s">
        <v>1016</v>
      </c>
      <c r="B1712" s="7" t="s">
        <v>767</v>
      </c>
      <c r="C1712" s="8"/>
      <c r="D1712" s="8"/>
      <c r="E1712" s="8"/>
      <c r="F1712" s="8"/>
      <c r="G1712" s="8"/>
      <c r="H1712" s="8"/>
      <c r="I1712" s="8"/>
      <c r="J1712" s="8"/>
      <c r="K1712" s="8"/>
      <c r="L1712" s="8"/>
      <c r="M1712" s="8"/>
      <c r="N1712" s="8"/>
      <c r="O1712" s="8"/>
      <c r="P1712" s="8"/>
      <c r="Q1712" s="8"/>
      <c r="R1712" s="17"/>
      <c r="S1712" s="17"/>
      <c r="T1712" s="17"/>
      <c r="U1712" s="17"/>
      <c r="V1712" s="17"/>
      <c r="W1712" s="17"/>
      <c r="X1712" s="17"/>
      <c r="Y1712" s="17"/>
      <c r="Z1712" s="17"/>
    </row>
    <row r="1713" spans="1:28" x14ac:dyDescent="0.35">
      <c r="A1713" s="36"/>
      <c r="B1713" s="8"/>
      <c r="C1713" s="7" t="s">
        <v>535</v>
      </c>
      <c r="D1713" s="15" t="s">
        <v>68</v>
      </c>
      <c r="E1713" s="9">
        <f>STATS1003B!E1809/1000</f>
        <v>48.317999999999998</v>
      </c>
      <c r="F1713" s="9">
        <f>STATS1003B!F1809/1000</f>
        <v>0</v>
      </c>
      <c r="G1713" s="9">
        <f>STATS1003B!G1809/1000</f>
        <v>0</v>
      </c>
      <c r="H1713" s="9">
        <f>STATS1003B!H1809/1000</f>
        <v>0</v>
      </c>
      <c r="I1713" s="9">
        <f>STATS1003B!I1809/1000</f>
        <v>0</v>
      </c>
      <c r="J1713" s="9">
        <f>STATS1003B!J1809/1000</f>
        <v>0</v>
      </c>
      <c r="K1713" s="9">
        <f>STATS1003B!K1809/1000</f>
        <v>48.317999999999998</v>
      </c>
      <c r="L1713" s="9">
        <f>STATS1003B!L1809/1000</f>
        <v>0</v>
      </c>
      <c r="M1713" s="9">
        <f>STATS1003B!M1809/1000</f>
        <v>0</v>
      </c>
      <c r="N1713" s="9">
        <f>STATS1003B!N1809/1000</f>
        <v>48.317999999999998</v>
      </c>
      <c r="O1713" s="9">
        <f>STATS1003B!O1809/1000</f>
        <v>0</v>
      </c>
      <c r="P1713" s="9">
        <f>STATS1003B!P1809/1000</f>
        <v>48.317999999999998</v>
      </c>
      <c r="Q1713" s="9">
        <f>STATS1003B!Q1809/1000</f>
        <v>0</v>
      </c>
      <c r="R1713" s="9">
        <f>STATS1003B!R1809/1000</f>
        <v>0</v>
      </c>
      <c r="S1713" s="9">
        <f>STATS1003B!S1809/1000</f>
        <v>0</v>
      </c>
      <c r="T1713" s="9">
        <f>STATS1003B!T1809/1000</f>
        <v>0</v>
      </c>
      <c r="U1713" s="9">
        <f>STATS1003B!U1809/1000</f>
        <v>48.317999999999998</v>
      </c>
      <c r="V1713" s="9">
        <f>STATS1003B!V1809/1000</f>
        <v>0</v>
      </c>
      <c r="W1713" s="9">
        <f>STATS1003B!W1809/1000</f>
        <v>0</v>
      </c>
      <c r="X1713" s="9">
        <f>STATS1003B!X1809/1000</f>
        <v>48.317999999999998</v>
      </c>
      <c r="Y1713" s="9">
        <f>STATS1003B!Y1809/1000</f>
        <v>0</v>
      </c>
      <c r="Z1713" s="9">
        <f>STATS1003B!Z1809/1000</f>
        <v>0</v>
      </c>
      <c r="AA1713" s="9">
        <f>STATS1003B!AA1809/1000</f>
        <v>48.317999999999998</v>
      </c>
      <c r="AB1713" s="9">
        <f>STATS1003B!AB1809/1000</f>
        <v>0</v>
      </c>
    </row>
    <row r="1714" spans="1:28" x14ac:dyDescent="0.35">
      <c r="A1714" s="36"/>
      <c r="B1714" s="8"/>
      <c r="C1714" s="7" t="s">
        <v>539</v>
      </c>
      <c r="D1714" s="15" t="s">
        <v>68</v>
      </c>
      <c r="E1714" s="9">
        <f>STATS1003B!E1810/1000</f>
        <v>1224.7453500000001</v>
      </c>
      <c r="F1714" s="9">
        <f>STATS1003B!F1810/1000</f>
        <v>0</v>
      </c>
      <c r="G1714" s="9">
        <f>STATS1003B!G1810/1000</f>
        <v>0</v>
      </c>
      <c r="H1714" s="9">
        <f>STATS1003B!H1810/1000</f>
        <v>0</v>
      </c>
      <c r="I1714" s="9">
        <f>STATS1003B!I1810/1000</f>
        <v>0</v>
      </c>
      <c r="J1714" s="9">
        <f>STATS1003B!J1810/1000</f>
        <v>0</v>
      </c>
      <c r="K1714" s="9">
        <f>STATS1003B!K1810/1000</f>
        <v>1224.7453500000001</v>
      </c>
      <c r="L1714" s="9">
        <f>STATS1003B!L1810/1000</f>
        <v>0</v>
      </c>
      <c r="M1714" s="9">
        <f>STATS1003B!M1810/1000</f>
        <v>0</v>
      </c>
      <c r="N1714" s="9">
        <f>STATS1003B!N1810/1000</f>
        <v>1224.7453500000001</v>
      </c>
      <c r="O1714" s="9">
        <f>STATS1003B!O1810/1000</f>
        <v>0</v>
      </c>
      <c r="P1714" s="9">
        <f>STATS1003B!P1810/1000</f>
        <v>1224.7453500000001</v>
      </c>
      <c r="Q1714" s="9">
        <f>STATS1003B!Q1810/1000</f>
        <v>0</v>
      </c>
      <c r="R1714" s="9">
        <f>STATS1003B!R1810/1000</f>
        <v>0</v>
      </c>
      <c r="S1714" s="9">
        <f>STATS1003B!S1810/1000</f>
        <v>0</v>
      </c>
      <c r="T1714" s="9">
        <f>STATS1003B!T1810/1000</f>
        <v>0</v>
      </c>
      <c r="U1714" s="9">
        <f>STATS1003B!U1810/1000</f>
        <v>1224.7453500000001</v>
      </c>
      <c r="V1714" s="9">
        <f>STATS1003B!V1810/1000</f>
        <v>0</v>
      </c>
      <c r="W1714" s="9">
        <f>STATS1003B!W1810/1000</f>
        <v>0</v>
      </c>
      <c r="X1714" s="9">
        <f>STATS1003B!X1810/1000</f>
        <v>1224.7453500000001</v>
      </c>
      <c r="Y1714" s="9">
        <f>STATS1003B!Y1810/1000</f>
        <v>0</v>
      </c>
      <c r="Z1714" s="9">
        <f>STATS1003B!Z1810/1000</f>
        <v>0</v>
      </c>
      <c r="AA1714" s="9">
        <f>STATS1003B!AA1810/1000</f>
        <v>1224.7453500000001</v>
      </c>
      <c r="AB1714" s="9">
        <f>STATS1003B!AB1810/1000</f>
        <v>0</v>
      </c>
    </row>
    <row r="1715" spans="1:28" x14ac:dyDescent="0.35">
      <c r="A1715" s="36"/>
      <c r="B1715" s="8"/>
      <c r="C1715" s="7" t="s">
        <v>545</v>
      </c>
      <c r="D1715" s="15" t="s">
        <v>54</v>
      </c>
      <c r="E1715" s="9">
        <f>STATS1003B!E1811/1000</f>
        <v>1953.989</v>
      </c>
      <c r="F1715" s="9">
        <f>STATS1003B!F1811/1000</f>
        <v>0</v>
      </c>
      <c r="G1715" s="9">
        <f>STATS1003B!G1811/1000</f>
        <v>0</v>
      </c>
      <c r="H1715" s="9">
        <f>STATS1003B!H1811/1000</f>
        <v>0</v>
      </c>
      <c r="I1715" s="9">
        <f>STATS1003B!I1811/1000</f>
        <v>0</v>
      </c>
      <c r="J1715" s="9">
        <f>STATS1003B!J1811/1000</f>
        <v>0</v>
      </c>
      <c r="K1715" s="9">
        <f>STATS1003B!K1811/1000</f>
        <v>1953.989</v>
      </c>
      <c r="L1715" s="9">
        <f>STATS1003B!L1811/1000</f>
        <v>0</v>
      </c>
      <c r="M1715" s="9">
        <f>STATS1003B!M1811/1000</f>
        <v>0</v>
      </c>
      <c r="N1715" s="9">
        <f>STATS1003B!N1811/1000</f>
        <v>1953.989</v>
      </c>
      <c r="O1715" s="9">
        <f>STATS1003B!O1811/1000</f>
        <v>0</v>
      </c>
      <c r="P1715" s="9">
        <f>STATS1003B!P1811/1000</f>
        <v>1953.989</v>
      </c>
      <c r="Q1715" s="9">
        <f>STATS1003B!Q1811/1000</f>
        <v>0</v>
      </c>
      <c r="R1715" s="9">
        <f>STATS1003B!R1811/1000</f>
        <v>0</v>
      </c>
      <c r="S1715" s="9">
        <f>STATS1003B!S1811/1000</f>
        <v>0</v>
      </c>
      <c r="T1715" s="9">
        <f>STATS1003B!T1811/1000</f>
        <v>0</v>
      </c>
      <c r="U1715" s="9">
        <f>STATS1003B!U1811/1000</f>
        <v>1953.989</v>
      </c>
      <c r="V1715" s="9">
        <f>STATS1003B!V1811/1000</f>
        <v>0</v>
      </c>
      <c r="W1715" s="9">
        <f>STATS1003B!W1811/1000</f>
        <v>0</v>
      </c>
      <c r="X1715" s="9">
        <f>STATS1003B!X1811/1000</f>
        <v>1953.989</v>
      </c>
      <c r="Y1715" s="9">
        <f>STATS1003B!Y1811/1000</f>
        <v>0</v>
      </c>
      <c r="Z1715" s="9">
        <f>STATS1003B!Z1811/1000</f>
        <v>0</v>
      </c>
      <c r="AA1715" s="9">
        <f>STATS1003B!AA1811/1000</f>
        <v>1953.989</v>
      </c>
      <c r="AB1715" s="9">
        <f>STATS1003B!AB1811/1000</f>
        <v>0</v>
      </c>
    </row>
    <row r="1716" spans="1:28" x14ac:dyDescent="0.35">
      <c r="A1716" s="36"/>
      <c r="B1716" s="8"/>
      <c r="C1716" s="7" t="s">
        <v>535</v>
      </c>
      <c r="D1716" s="15" t="s">
        <v>85</v>
      </c>
      <c r="E1716" s="9">
        <f>STATS1003B!E1812/1000</f>
        <v>2000</v>
      </c>
      <c r="F1716" s="9">
        <f>STATS1003B!F1812/1000</f>
        <v>2000</v>
      </c>
      <c r="G1716" s="9">
        <f>STATS1003B!G1812/1000</f>
        <v>0</v>
      </c>
      <c r="H1716" s="9">
        <f>STATS1003B!H1812/1000</f>
        <v>2000</v>
      </c>
      <c r="I1716" s="9">
        <f>STATS1003B!I1812/1000</f>
        <v>0</v>
      </c>
      <c r="J1716" s="9">
        <f>STATS1003B!J1812/1000</f>
        <v>2000</v>
      </c>
      <c r="K1716" s="9">
        <f>STATS1003B!K1812/1000</f>
        <v>0</v>
      </c>
      <c r="L1716" s="9">
        <f>STATS1003B!L1812/1000</f>
        <v>0</v>
      </c>
      <c r="M1716" s="9">
        <f>STATS1003B!M1812/1000</f>
        <v>2000</v>
      </c>
      <c r="N1716" s="9">
        <f>STATS1003B!N1812/1000</f>
        <v>0</v>
      </c>
      <c r="O1716" s="9">
        <f>STATS1003B!O1812/1000</f>
        <v>0</v>
      </c>
      <c r="P1716" s="9">
        <f>STATS1003B!P1812/1000</f>
        <v>0</v>
      </c>
      <c r="Q1716" s="9">
        <f>STATS1003B!Q1812/1000</f>
        <v>2000</v>
      </c>
      <c r="R1716" s="9">
        <f>STATS1003B!R1812/1000</f>
        <v>0</v>
      </c>
      <c r="S1716" s="9">
        <f>STATS1003B!S1812/1000</f>
        <v>0</v>
      </c>
      <c r="T1716" s="9">
        <f>STATS1003B!T1812/1000</f>
        <v>0</v>
      </c>
      <c r="U1716" s="9">
        <f>STATS1003B!U1812/1000</f>
        <v>0</v>
      </c>
      <c r="V1716" s="9">
        <f>STATS1003B!V1812/1000</f>
        <v>0</v>
      </c>
      <c r="W1716" s="9">
        <f>STATS1003B!W1812/1000</f>
        <v>0</v>
      </c>
      <c r="X1716" s="9">
        <f>STATS1003B!X1812/1000</f>
        <v>2000</v>
      </c>
      <c r="Y1716" s="9">
        <f>STATS1003B!Y1812/1000</f>
        <v>0</v>
      </c>
      <c r="Z1716" s="9">
        <f>STATS1003B!Z1812/1000</f>
        <v>0</v>
      </c>
      <c r="AA1716" s="9">
        <f>STATS1003B!AA1812/1000</f>
        <v>2000</v>
      </c>
      <c r="AB1716" s="9">
        <f>STATS1003B!AB1812/1000</f>
        <v>0</v>
      </c>
    </row>
    <row r="1717" spans="1:28" x14ac:dyDescent="0.35">
      <c r="A1717" s="36"/>
      <c r="B1717" s="8"/>
      <c r="C1717" s="7" t="s">
        <v>603</v>
      </c>
      <c r="D1717" s="15" t="s">
        <v>85</v>
      </c>
      <c r="E1717" s="9">
        <f>STATS1003B!E1813/1000</f>
        <v>80</v>
      </c>
      <c r="F1717" s="9">
        <f>STATS1003B!F1813/1000</f>
        <v>80</v>
      </c>
      <c r="G1717" s="9">
        <f>STATS1003B!G1813/1000</f>
        <v>0</v>
      </c>
      <c r="H1717" s="9">
        <f>STATS1003B!H1813/1000</f>
        <v>80</v>
      </c>
      <c r="I1717" s="9">
        <f>STATS1003B!I1813/1000</f>
        <v>0</v>
      </c>
      <c r="J1717" s="9">
        <f>STATS1003B!J1813/1000</f>
        <v>80</v>
      </c>
      <c r="K1717" s="9">
        <f>STATS1003B!K1813/1000</f>
        <v>0</v>
      </c>
      <c r="L1717" s="9">
        <f>STATS1003B!L1813/1000</f>
        <v>0</v>
      </c>
      <c r="M1717" s="9">
        <f>STATS1003B!M1813/1000</f>
        <v>80</v>
      </c>
      <c r="N1717" s="9">
        <f>STATS1003B!N1813/1000</f>
        <v>0</v>
      </c>
      <c r="O1717" s="9">
        <f>STATS1003B!O1813/1000</f>
        <v>0</v>
      </c>
      <c r="P1717" s="9">
        <f>STATS1003B!P1813/1000</f>
        <v>0</v>
      </c>
      <c r="Q1717" s="9">
        <f>STATS1003B!Q1813/1000</f>
        <v>80</v>
      </c>
      <c r="R1717" s="9">
        <f>STATS1003B!R1813/1000</f>
        <v>0</v>
      </c>
      <c r="S1717" s="9">
        <f>STATS1003B!S1813/1000</f>
        <v>0</v>
      </c>
      <c r="T1717" s="9">
        <f>STATS1003B!T1813/1000</f>
        <v>0</v>
      </c>
      <c r="U1717" s="9">
        <f>STATS1003B!U1813/1000</f>
        <v>0</v>
      </c>
      <c r="V1717" s="9">
        <f>STATS1003B!V1813/1000</f>
        <v>0</v>
      </c>
      <c r="W1717" s="9">
        <f>STATS1003B!W1813/1000</f>
        <v>0</v>
      </c>
      <c r="X1717" s="9">
        <f>STATS1003B!X1813/1000</f>
        <v>80</v>
      </c>
      <c r="Y1717" s="9">
        <f>STATS1003B!Y1813/1000</f>
        <v>0</v>
      </c>
      <c r="Z1717" s="9">
        <f>STATS1003B!Z1813/1000</f>
        <v>0</v>
      </c>
      <c r="AA1717" s="9">
        <f>STATS1003B!AA1813/1000</f>
        <v>80</v>
      </c>
      <c r="AB1717" s="9">
        <f>STATS1003B!AB1813/1000</f>
        <v>0</v>
      </c>
    </row>
    <row r="1718" spans="1:28" x14ac:dyDescent="0.35">
      <c r="A1718" s="36"/>
      <c r="B1718" s="8"/>
      <c r="C1718" s="7" t="s">
        <v>535</v>
      </c>
      <c r="D1718" s="15" t="s">
        <v>128</v>
      </c>
      <c r="E1718" s="9">
        <f>STATS1003B!E1814/1000</f>
        <v>2400</v>
      </c>
      <c r="F1718" s="9">
        <f>STATS1003B!F1814/1000</f>
        <v>2400</v>
      </c>
      <c r="G1718" s="9">
        <f>STATS1003B!G1814/1000</f>
        <v>0</v>
      </c>
      <c r="H1718" s="9">
        <f>STATS1003B!H1814/1000</f>
        <v>2400</v>
      </c>
      <c r="I1718" s="9">
        <f>STATS1003B!I1814/1000</f>
        <v>0</v>
      </c>
      <c r="J1718" s="9">
        <f>STATS1003B!J1814/1000</f>
        <v>2400</v>
      </c>
      <c r="K1718" s="9">
        <f>STATS1003B!K1814/1000</f>
        <v>0</v>
      </c>
      <c r="L1718" s="9">
        <f>STATS1003B!L1814/1000</f>
        <v>0</v>
      </c>
      <c r="M1718" s="9">
        <f>STATS1003B!M1814/1000</f>
        <v>2400</v>
      </c>
      <c r="N1718" s="9">
        <f>STATS1003B!N1814/1000</f>
        <v>0</v>
      </c>
      <c r="O1718" s="9">
        <f>STATS1003B!O1814/1000</f>
        <v>0</v>
      </c>
      <c r="P1718" s="9">
        <f>STATS1003B!P1814/1000</f>
        <v>0</v>
      </c>
      <c r="Q1718" s="9">
        <f>STATS1003B!Q1814/1000</f>
        <v>2400</v>
      </c>
      <c r="R1718" s="9">
        <f>STATS1003B!R1814/1000</f>
        <v>0</v>
      </c>
      <c r="S1718" s="9">
        <f>STATS1003B!S1814/1000</f>
        <v>0</v>
      </c>
      <c r="T1718" s="9">
        <f>STATS1003B!T1814/1000</f>
        <v>0</v>
      </c>
      <c r="U1718" s="9">
        <f>STATS1003B!U1814/1000</f>
        <v>0</v>
      </c>
      <c r="V1718" s="9">
        <f>STATS1003B!V1814/1000</f>
        <v>0</v>
      </c>
      <c r="W1718" s="9">
        <f>STATS1003B!W1814/1000</f>
        <v>0</v>
      </c>
      <c r="X1718" s="9">
        <f>STATS1003B!X1814/1000</f>
        <v>2400</v>
      </c>
      <c r="Y1718" s="9">
        <f>STATS1003B!Y1814/1000</f>
        <v>0</v>
      </c>
      <c r="Z1718" s="9">
        <f>STATS1003B!Z1814/1000</f>
        <v>0</v>
      </c>
      <c r="AA1718" s="9">
        <f>STATS1003B!AA1814/1000</f>
        <v>2400</v>
      </c>
      <c r="AB1718" s="9">
        <f>STATS1003B!AB1814/1000</f>
        <v>0</v>
      </c>
    </row>
    <row r="1719" spans="1:28" x14ac:dyDescent="0.35">
      <c r="A1719" s="36"/>
      <c r="B1719" s="8"/>
      <c r="C1719" s="7" t="s">
        <v>535</v>
      </c>
      <c r="D1719" s="15" t="s">
        <v>108</v>
      </c>
      <c r="E1719" s="9">
        <f>STATS1003B!E1815/1000</f>
        <v>5540.8475099999996</v>
      </c>
      <c r="F1719" s="9">
        <f>STATS1003B!F1815/1000</f>
        <v>5540.8475099999996</v>
      </c>
      <c r="G1719" s="9">
        <f>STATS1003B!G1815/1000</f>
        <v>0</v>
      </c>
      <c r="H1719" s="9">
        <f>STATS1003B!H1815/1000</f>
        <v>5540.8475099999996</v>
      </c>
      <c r="I1719" s="9">
        <f>STATS1003B!I1815/1000</f>
        <v>0</v>
      </c>
      <c r="J1719" s="9">
        <f>STATS1003B!J1815/1000</f>
        <v>5540.8475099999996</v>
      </c>
      <c r="K1719" s="9">
        <f>STATS1003B!K1815/1000</f>
        <v>0</v>
      </c>
      <c r="L1719" s="9">
        <f>STATS1003B!L1815/1000</f>
        <v>0</v>
      </c>
      <c r="M1719" s="9">
        <f>STATS1003B!M1815/1000</f>
        <v>5540.8475099999996</v>
      </c>
      <c r="N1719" s="9">
        <f>STATS1003B!N1815/1000</f>
        <v>0</v>
      </c>
      <c r="O1719" s="9">
        <f>STATS1003B!O1815/1000</f>
        <v>0</v>
      </c>
      <c r="P1719" s="9">
        <f>STATS1003B!P1815/1000</f>
        <v>0</v>
      </c>
      <c r="Q1719" s="9">
        <f>STATS1003B!Q1815/1000</f>
        <v>5540.8475099999996</v>
      </c>
      <c r="R1719" s="9">
        <f>STATS1003B!R1815/1000</f>
        <v>0</v>
      </c>
      <c r="S1719" s="9">
        <f>STATS1003B!S1815/1000</f>
        <v>0</v>
      </c>
      <c r="T1719" s="9">
        <f>STATS1003B!T1815/1000</f>
        <v>0</v>
      </c>
      <c r="U1719" s="9">
        <f>STATS1003B!U1815/1000</f>
        <v>0</v>
      </c>
      <c r="V1719" s="9">
        <f>STATS1003B!V1815/1000</f>
        <v>0</v>
      </c>
      <c r="W1719" s="9">
        <f>STATS1003B!W1815/1000</f>
        <v>0</v>
      </c>
      <c r="X1719" s="9">
        <f>STATS1003B!X1815/1000</f>
        <v>5540.8475099999996</v>
      </c>
      <c r="Y1719" s="9">
        <f>STATS1003B!Y1815/1000</f>
        <v>0</v>
      </c>
      <c r="Z1719" s="9">
        <f>STATS1003B!Z1815/1000</f>
        <v>0</v>
      </c>
      <c r="AA1719" s="9">
        <f>STATS1003B!AA1815/1000</f>
        <v>5540.8475099999996</v>
      </c>
      <c r="AB1719" s="9">
        <f>STATS1003B!AB1815/1000</f>
        <v>0</v>
      </c>
    </row>
    <row r="1720" spans="1:28" x14ac:dyDescent="0.35">
      <c r="A1720" s="36"/>
      <c r="B1720" s="8"/>
      <c r="C1720" s="7" t="s">
        <v>535</v>
      </c>
      <c r="D1720" s="15" t="s">
        <v>58</v>
      </c>
      <c r="E1720" s="9">
        <f>STATS1003B!E1816/1000</f>
        <v>2116.018</v>
      </c>
      <c r="F1720" s="9">
        <f>STATS1003B!F1816/1000</f>
        <v>2116.018</v>
      </c>
      <c r="G1720" s="9">
        <f>STATS1003B!G1816/1000</f>
        <v>0</v>
      </c>
      <c r="H1720" s="9">
        <f>STATS1003B!H1816/1000</f>
        <v>2116.018</v>
      </c>
      <c r="I1720" s="9">
        <f>STATS1003B!I1816/1000</f>
        <v>0</v>
      </c>
      <c r="J1720" s="9">
        <f>STATS1003B!J1816/1000</f>
        <v>2116.018</v>
      </c>
      <c r="K1720" s="9">
        <f>STATS1003B!K1816/1000</f>
        <v>0</v>
      </c>
      <c r="L1720" s="9">
        <f>STATS1003B!L1816/1000</f>
        <v>0</v>
      </c>
      <c r="M1720" s="9">
        <f>STATS1003B!M1816/1000</f>
        <v>2116.018</v>
      </c>
      <c r="N1720" s="9">
        <f>STATS1003B!N1816/1000</f>
        <v>0</v>
      </c>
      <c r="O1720" s="9">
        <f>STATS1003B!O1816/1000</f>
        <v>0</v>
      </c>
      <c r="P1720" s="9">
        <f>STATS1003B!P1816/1000</f>
        <v>0</v>
      </c>
      <c r="Q1720" s="9">
        <f>STATS1003B!Q1816/1000</f>
        <v>2116.018</v>
      </c>
      <c r="R1720" s="9">
        <f>STATS1003B!R1816/1000</f>
        <v>0</v>
      </c>
      <c r="S1720" s="9">
        <f>STATS1003B!S1816/1000</f>
        <v>0</v>
      </c>
      <c r="T1720" s="9">
        <f>STATS1003B!T1816/1000</f>
        <v>0</v>
      </c>
      <c r="U1720" s="9">
        <f>STATS1003B!U1816/1000</f>
        <v>0</v>
      </c>
      <c r="V1720" s="9">
        <f>STATS1003B!V1816/1000</f>
        <v>0</v>
      </c>
      <c r="W1720" s="9">
        <f>STATS1003B!W1816/1000</f>
        <v>0</v>
      </c>
      <c r="X1720" s="9">
        <f>STATS1003B!X1816/1000</f>
        <v>2116.018</v>
      </c>
      <c r="Y1720" s="9">
        <f>STATS1003B!Y1816/1000</f>
        <v>0</v>
      </c>
      <c r="Z1720" s="9">
        <f>STATS1003B!Z1816/1000</f>
        <v>0</v>
      </c>
      <c r="AA1720" s="9">
        <f>STATS1003B!AA1816/1000</f>
        <v>2116.018</v>
      </c>
      <c r="AB1720" s="9">
        <f>STATS1003B!AB1816/1000</f>
        <v>0</v>
      </c>
    </row>
    <row r="1721" spans="1:28" x14ac:dyDescent="0.35">
      <c r="A1721" s="36"/>
      <c r="B1721" s="8"/>
      <c r="C1721" s="7" t="s">
        <v>535</v>
      </c>
      <c r="D1721" s="15" t="s">
        <v>60</v>
      </c>
      <c r="E1721" s="9">
        <f>STATS1003B!E1817/1000</f>
        <v>615</v>
      </c>
      <c r="F1721" s="9">
        <f>STATS1003B!F1817/1000</f>
        <v>615</v>
      </c>
      <c r="G1721" s="9">
        <f>STATS1003B!G1817/1000</f>
        <v>0</v>
      </c>
      <c r="H1721" s="9">
        <f>STATS1003B!H1817/1000</f>
        <v>615</v>
      </c>
      <c r="I1721" s="9">
        <f>STATS1003B!I1817/1000</f>
        <v>0</v>
      </c>
      <c r="J1721" s="9">
        <f>STATS1003B!J1817/1000</f>
        <v>615</v>
      </c>
      <c r="K1721" s="9">
        <f>STATS1003B!K1817/1000</f>
        <v>0</v>
      </c>
      <c r="L1721" s="9">
        <f>STATS1003B!L1817/1000</f>
        <v>0</v>
      </c>
      <c r="M1721" s="9">
        <f>STATS1003B!M1817/1000</f>
        <v>615</v>
      </c>
      <c r="N1721" s="9">
        <f>STATS1003B!N1817/1000</f>
        <v>0</v>
      </c>
      <c r="O1721" s="9">
        <f>STATS1003B!O1817/1000</f>
        <v>0</v>
      </c>
      <c r="P1721" s="9">
        <f>STATS1003B!P1817/1000</f>
        <v>0</v>
      </c>
      <c r="Q1721" s="9">
        <f>STATS1003B!Q1817/1000</f>
        <v>615</v>
      </c>
      <c r="R1721" s="9">
        <f>STATS1003B!R1817/1000</f>
        <v>0</v>
      </c>
      <c r="S1721" s="9">
        <f>STATS1003B!S1817/1000</f>
        <v>0</v>
      </c>
      <c r="T1721" s="9">
        <f>STATS1003B!T1817/1000</f>
        <v>0</v>
      </c>
      <c r="U1721" s="9">
        <f>STATS1003B!U1817/1000</f>
        <v>0</v>
      </c>
      <c r="V1721" s="9">
        <f>STATS1003B!V1817/1000</f>
        <v>0</v>
      </c>
      <c r="W1721" s="9">
        <f>STATS1003B!W1817/1000</f>
        <v>0</v>
      </c>
      <c r="X1721" s="9">
        <f>STATS1003B!X1817/1000</f>
        <v>615</v>
      </c>
      <c r="Y1721" s="9">
        <f>STATS1003B!Y1817/1000</f>
        <v>0</v>
      </c>
      <c r="Z1721" s="9">
        <f>STATS1003B!Z1817/1000</f>
        <v>0</v>
      </c>
      <c r="AA1721" s="9">
        <f>STATS1003B!AA1817/1000</f>
        <v>615</v>
      </c>
      <c r="AB1721" s="9">
        <f>STATS1003B!AB1817/1000</f>
        <v>0</v>
      </c>
    </row>
    <row r="1722" spans="1:28" x14ac:dyDescent="0.35">
      <c r="A1722" s="36"/>
      <c r="B1722" s="8"/>
      <c r="C1722" s="14" t="s">
        <v>535</v>
      </c>
      <c r="D1722" s="21" t="s">
        <v>73</v>
      </c>
      <c r="E1722" s="9">
        <f>STATS1003B!E1818/1000</f>
        <v>1478.4449999999999</v>
      </c>
      <c r="F1722" s="9">
        <f>STATS1003B!F1818/1000</f>
        <v>1478.4449999999999</v>
      </c>
      <c r="G1722" s="9">
        <f>STATS1003B!G1818/1000</f>
        <v>0</v>
      </c>
      <c r="H1722" s="9">
        <f>STATS1003B!H1818/1000</f>
        <v>1478.4449999999999</v>
      </c>
      <c r="I1722" s="9">
        <f>STATS1003B!I1818/1000</f>
        <v>0</v>
      </c>
      <c r="J1722" s="9">
        <f>STATS1003B!J1818/1000</f>
        <v>1478.4449999999999</v>
      </c>
      <c r="K1722" s="9">
        <f>STATS1003B!K1818/1000</f>
        <v>0</v>
      </c>
      <c r="L1722" s="9">
        <f>STATS1003B!L1818/1000</f>
        <v>0</v>
      </c>
      <c r="M1722" s="9">
        <f>STATS1003B!M1818/1000</f>
        <v>1478.4449999999999</v>
      </c>
      <c r="N1722" s="9">
        <f>STATS1003B!N1818/1000</f>
        <v>0</v>
      </c>
      <c r="O1722" s="9">
        <f>STATS1003B!O1818/1000</f>
        <v>0</v>
      </c>
      <c r="P1722" s="9">
        <f>STATS1003B!P1818/1000</f>
        <v>0</v>
      </c>
      <c r="Q1722" s="9">
        <f>STATS1003B!Q1818/1000</f>
        <v>1478.4449999999999</v>
      </c>
      <c r="R1722" s="9">
        <f>STATS1003B!R1818/1000</f>
        <v>0</v>
      </c>
      <c r="S1722" s="9">
        <f>STATS1003B!S1818/1000</f>
        <v>0</v>
      </c>
      <c r="T1722" s="9">
        <f>STATS1003B!T1818/1000</f>
        <v>0</v>
      </c>
      <c r="U1722" s="9">
        <f>STATS1003B!U1818/1000</f>
        <v>0</v>
      </c>
      <c r="V1722" s="9">
        <f>STATS1003B!V1818/1000</f>
        <v>0</v>
      </c>
      <c r="W1722" s="9">
        <f>STATS1003B!W1818/1000</f>
        <v>0</v>
      </c>
      <c r="X1722" s="9">
        <f>STATS1003B!X1818/1000</f>
        <v>1478.4449999999999</v>
      </c>
      <c r="Y1722" s="9">
        <f>STATS1003B!Y1818/1000</f>
        <v>0</v>
      </c>
      <c r="Z1722" s="9">
        <f>STATS1003B!Z1818/1000</f>
        <v>0</v>
      </c>
      <c r="AA1722" s="9">
        <f>STATS1003B!AA1818/1000</f>
        <v>1478.4449999999999</v>
      </c>
      <c r="AB1722" s="9">
        <f>STATS1003B!AB1818/1000</f>
        <v>0</v>
      </c>
    </row>
    <row r="1723" spans="1:28" x14ac:dyDescent="0.35">
      <c r="A1723" s="36"/>
      <c r="B1723" s="8"/>
      <c r="C1723" s="14" t="s">
        <v>535</v>
      </c>
      <c r="D1723" s="21" t="s">
        <v>61</v>
      </c>
      <c r="E1723" s="9">
        <f>STATS1003B!E1819/1000</f>
        <v>1477.1061800000002</v>
      </c>
      <c r="F1723" s="9">
        <f>STATS1003B!F1819/1000</f>
        <v>1477.1061800000002</v>
      </c>
      <c r="G1723" s="9">
        <f>STATS1003B!G1819/1000</f>
        <v>0</v>
      </c>
      <c r="H1723" s="9">
        <f>STATS1003B!H1819/1000</f>
        <v>1477.1061800000002</v>
      </c>
      <c r="I1723" s="9">
        <f>STATS1003B!I1819/1000</f>
        <v>0</v>
      </c>
      <c r="J1723" s="9">
        <f>STATS1003B!J1819/1000</f>
        <v>1477.1061800000002</v>
      </c>
      <c r="K1723" s="9">
        <f>STATS1003B!K1819/1000</f>
        <v>0</v>
      </c>
      <c r="L1723" s="9">
        <f>STATS1003B!L1819/1000</f>
        <v>0</v>
      </c>
      <c r="M1723" s="9">
        <f>STATS1003B!M1819/1000</f>
        <v>1477.1061800000002</v>
      </c>
      <c r="N1723" s="9">
        <f>STATS1003B!N1819/1000</f>
        <v>0</v>
      </c>
      <c r="O1723" s="9">
        <f>STATS1003B!O1819/1000</f>
        <v>0</v>
      </c>
      <c r="P1723" s="9">
        <f>STATS1003B!P1819/1000</f>
        <v>0</v>
      </c>
      <c r="Q1723" s="9">
        <f>STATS1003B!Q1819/1000</f>
        <v>1477.1061800000002</v>
      </c>
      <c r="R1723" s="9">
        <f>STATS1003B!R1819/1000</f>
        <v>0</v>
      </c>
      <c r="S1723" s="9">
        <f>STATS1003B!S1819/1000</f>
        <v>0</v>
      </c>
      <c r="T1723" s="9">
        <f>STATS1003B!T1819/1000</f>
        <v>0</v>
      </c>
      <c r="U1723" s="9">
        <f>STATS1003B!U1819/1000</f>
        <v>0</v>
      </c>
      <c r="V1723" s="9">
        <f>STATS1003B!V1819/1000</f>
        <v>0</v>
      </c>
      <c r="W1723" s="9">
        <f>STATS1003B!W1819/1000</f>
        <v>0</v>
      </c>
      <c r="X1723" s="9">
        <f>STATS1003B!X1819/1000</f>
        <v>1477.1061800000002</v>
      </c>
      <c r="Y1723" s="9">
        <f>STATS1003B!Y1819/1000</f>
        <v>0</v>
      </c>
      <c r="Z1723" s="9">
        <f>STATS1003B!Z1819/1000</f>
        <v>0</v>
      </c>
      <c r="AA1723" s="9">
        <f>STATS1003B!AA1819/1000</f>
        <v>1477.1061800000002</v>
      </c>
      <c r="AB1723" s="9">
        <f>STATS1003B!AB1819/1000</f>
        <v>0</v>
      </c>
    </row>
    <row r="1724" spans="1:28" x14ac:dyDescent="0.35">
      <c r="A1724" s="36"/>
      <c r="B1724" s="8"/>
      <c r="C1724" s="14" t="s">
        <v>933</v>
      </c>
      <c r="D1724" s="24" t="s">
        <v>1072</v>
      </c>
      <c r="E1724" s="9">
        <f>STATS1003B!E1820/1000</f>
        <v>1274</v>
      </c>
      <c r="F1724" s="9">
        <f>STATS1003B!F1820/1000</f>
        <v>1274</v>
      </c>
      <c r="G1724" s="9">
        <f>STATS1003B!G1820/1000</f>
        <v>0</v>
      </c>
      <c r="H1724" s="9">
        <f>STATS1003B!H1820/1000</f>
        <v>1274</v>
      </c>
      <c r="I1724" s="9">
        <f>STATS1003B!I1820/1000</f>
        <v>0</v>
      </c>
      <c r="J1724" s="9">
        <f>STATS1003B!J1820/1000</f>
        <v>0</v>
      </c>
      <c r="K1724" s="9">
        <f>STATS1003B!K1820/1000</f>
        <v>0</v>
      </c>
      <c r="L1724" s="9">
        <f>STATS1003B!L1820/1000</f>
        <v>0</v>
      </c>
      <c r="M1724" s="9">
        <f>STATS1003B!M1820/1000</f>
        <v>1274</v>
      </c>
      <c r="N1724" s="9">
        <f>STATS1003B!N1820/1000</f>
        <v>0</v>
      </c>
      <c r="O1724" s="9">
        <f>STATS1003B!O1820/1000</f>
        <v>0</v>
      </c>
      <c r="P1724" s="9">
        <f>STATS1003B!P1820/1000</f>
        <v>0</v>
      </c>
      <c r="Q1724" s="9">
        <f>STATS1003B!Q1820/1000</f>
        <v>0</v>
      </c>
      <c r="R1724" s="9">
        <f>STATS1003B!R1820/1000</f>
        <v>0</v>
      </c>
      <c r="S1724" s="9">
        <f>STATS1003B!S1820/1000</f>
        <v>0</v>
      </c>
      <c r="T1724" s="9">
        <f>STATS1003B!T1820/1000</f>
        <v>0</v>
      </c>
      <c r="U1724" s="9">
        <f>STATS1003B!U1820/1000</f>
        <v>0</v>
      </c>
      <c r="V1724" s="9">
        <f>STATS1003B!V1820/1000</f>
        <v>0</v>
      </c>
      <c r="W1724" s="9">
        <f>STATS1003B!W1820/1000</f>
        <v>0</v>
      </c>
      <c r="X1724" s="9">
        <f>STATS1003B!X1820/1000</f>
        <v>1274</v>
      </c>
      <c r="Y1724" s="9">
        <f>STATS1003B!Y1820/1000</f>
        <v>0</v>
      </c>
      <c r="Z1724" s="9">
        <f>STATS1003B!Z1820/1000</f>
        <v>0</v>
      </c>
      <c r="AA1724" s="9">
        <f>STATS1003B!AA1820/1000</f>
        <v>1274</v>
      </c>
      <c r="AB1724" s="9">
        <f>STATS1003B!AB1820/1000</f>
        <v>0</v>
      </c>
    </row>
    <row r="1725" spans="1:28" x14ac:dyDescent="0.35">
      <c r="A1725" s="36"/>
      <c r="B1725" s="8"/>
      <c r="C1725" s="7" t="s">
        <v>551</v>
      </c>
      <c r="D1725" s="8"/>
      <c r="E1725" s="9">
        <f>STATS1003B!E1821/1000</f>
        <v>3106.63789</v>
      </c>
      <c r="F1725" s="9">
        <f>STATS1003B!F1821/1000</f>
        <v>3106.63789</v>
      </c>
      <c r="G1725" s="9">
        <f>STATS1003B!G1821/1000</f>
        <v>0</v>
      </c>
      <c r="H1725" s="9">
        <f>STATS1003B!H1821/1000</f>
        <v>3106.63789</v>
      </c>
      <c r="I1725" s="9">
        <f>STATS1003B!I1821/1000</f>
        <v>0</v>
      </c>
      <c r="J1725" s="9">
        <f>STATS1003B!J1821/1000</f>
        <v>3106.63789</v>
      </c>
      <c r="K1725" s="9">
        <f>STATS1003B!K1821/1000</f>
        <v>0</v>
      </c>
      <c r="L1725" s="9">
        <f>STATS1003B!L1821/1000</f>
        <v>0</v>
      </c>
      <c r="M1725" s="9">
        <f>STATS1003B!M1821/1000</f>
        <v>3106.63789</v>
      </c>
      <c r="N1725" s="9">
        <f>STATS1003B!N1821/1000</f>
        <v>0</v>
      </c>
      <c r="O1725" s="9">
        <f>STATS1003B!O1821/1000</f>
        <v>0</v>
      </c>
      <c r="P1725" s="9">
        <f>STATS1003B!P1821/1000</f>
        <v>0</v>
      </c>
      <c r="Q1725" s="9">
        <f>STATS1003B!Q1821/1000</f>
        <v>3106.63789</v>
      </c>
      <c r="R1725" s="9">
        <f>STATS1003B!R1821/1000</f>
        <v>0</v>
      </c>
      <c r="S1725" s="9">
        <f>STATS1003B!S1821/1000</f>
        <v>0</v>
      </c>
      <c r="T1725" s="9">
        <f>STATS1003B!T1821/1000</f>
        <v>0</v>
      </c>
      <c r="U1725" s="9">
        <f>STATS1003B!U1821/1000</f>
        <v>0</v>
      </c>
      <c r="V1725" s="9">
        <f>STATS1003B!V1821/1000</f>
        <v>0</v>
      </c>
      <c r="W1725" s="9">
        <f>STATS1003B!W1821/1000</f>
        <v>0</v>
      </c>
      <c r="X1725" s="9">
        <f>STATS1003B!X1821/1000</f>
        <v>3106.63789</v>
      </c>
      <c r="Y1725" s="9">
        <f>STATS1003B!Y1821/1000</f>
        <v>0</v>
      </c>
      <c r="Z1725" s="9">
        <f>STATS1003B!Z1821/1000</f>
        <v>0</v>
      </c>
      <c r="AA1725" s="9">
        <f>STATS1003B!AA1821/1000</f>
        <v>3106.63789</v>
      </c>
      <c r="AB1725" s="9">
        <f>STATS1003B!AB1821/1000</f>
        <v>0</v>
      </c>
    </row>
    <row r="1726" spans="1:28" x14ac:dyDescent="0.35">
      <c r="A1726" s="36"/>
      <c r="B1726" s="8"/>
      <c r="C1726" s="7" t="s">
        <v>606</v>
      </c>
      <c r="D1726" s="8"/>
      <c r="E1726" s="9">
        <f>STATS1003B!E1822/1000</f>
        <v>8302.3900400000002</v>
      </c>
      <c r="F1726" s="9">
        <f>STATS1003B!F1822/1000</f>
        <v>5000</v>
      </c>
      <c r="G1726" s="9">
        <f>STATS1003B!G1822/1000</f>
        <v>0</v>
      </c>
      <c r="H1726" s="9">
        <f>STATS1003B!H1822/1000</f>
        <v>5000</v>
      </c>
      <c r="I1726" s="9">
        <f>STATS1003B!I1822/1000</f>
        <v>3302.3900400000002</v>
      </c>
      <c r="J1726" s="9">
        <f>STATS1003B!J1822/1000</f>
        <v>8302.3900400000002</v>
      </c>
      <c r="K1726" s="9">
        <f>STATS1003B!K1822/1000</f>
        <v>0</v>
      </c>
      <c r="L1726" s="9">
        <f>STATS1003B!L1822/1000</f>
        <v>3302.3900400000002</v>
      </c>
      <c r="M1726" s="9">
        <f>STATS1003B!M1822/1000</f>
        <v>8302.3900400000002</v>
      </c>
      <c r="N1726" s="9">
        <f>STATS1003B!N1822/1000</f>
        <v>0</v>
      </c>
      <c r="O1726" s="9">
        <f>STATS1003B!O1822/1000</f>
        <v>0</v>
      </c>
      <c r="P1726" s="9">
        <f>STATS1003B!P1822/1000</f>
        <v>0</v>
      </c>
      <c r="Q1726" s="9">
        <f>STATS1003B!Q1822/1000</f>
        <v>8302.3900400000002</v>
      </c>
      <c r="R1726" s="9">
        <f>STATS1003B!R1822/1000</f>
        <v>0</v>
      </c>
      <c r="S1726" s="9">
        <f>STATS1003B!S1822/1000</f>
        <v>0</v>
      </c>
      <c r="T1726" s="9">
        <f>STATS1003B!T1822/1000</f>
        <v>0</v>
      </c>
      <c r="U1726" s="9">
        <f>STATS1003B!U1822/1000</f>
        <v>0</v>
      </c>
      <c r="V1726" s="9">
        <f>STATS1003B!V1822/1000</f>
        <v>0</v>
      </c>
      <c r="W1726" s="9">
        <f>STATS1003B!W1822/1000</f>
        <v>0</v>
      </c>
      <c r="X1726" s="9">
        <f>STATS1003B!X1822/1000</f>
        <v>5000</v>
      </c>
      <c r="Y1726" s="9">
        <f>STATS1003B!Y1822/1000</f>
        <v>0</v>
      </c>
      <c r="Z1726" s="9">
        <f>STATS1003B!Z1822/1000</f>
        <v>3302.3900400000002</v>
      </c>
      <c r="AA1726" s="9">
        <f>STATS1003B!AA1822/1000</f>
        <v>8302.3900400000002</v>
      </c>
      <c r="AB1726" s="9">
        <f>STATS1003B!AB1822/1000</f>
        <v>0</v>
      </c>
    </row>
    <row r="1727" spans="1:28" x14ac:dyDescent="0.35">
      <c r="A1727" s="36"/>
      <c r="B1727" s="8"/>
      <c r="C1727" s="8"/>
      <c r="D1727" s="8"/>
      <c r="E1727" s="17" t="s">
        <v>29</v>
      </c>
      <c r="F1727" s="17" t="s">
        <v>29</v>
      </c>
      <c r="G1727" s="17" t="s">
        <v>29</v>
      </c>
      <c r="H1727" s="17" t="s">
        <v>29</v>
      </c>
      <c r="I1727" s="17" t="s">
        <v>29</v>
      </c>
      <c r="J1727" s="17" t="s">
        <v>29</v>
      </c>
      <c r="K1727" s="17" t="s">
        <v>29</v>
      </c>
      <c r="L1727" s="17" t="s">
        <v>29</v>
      </c>
      <c r="M1727" s="17" t="s">
        <v>29</v>
      </c>
      <c r="N1727" s="17" t="s">
        <v>29</v>
      </c>
      <c r="O1727" s="17" t="s">
        <v>29</v>
      </c>
      <c r="P1727" s="17" t="s">
        <v>29</v>
      </c>
      <c r="Q1727" s="17" t="s">
        <v>29</v>
      </c>
      <c r="R1727" s="17"/>
      <c r="S1727" s="17"/>
      <c r="T1727" s="17"/>
      <c r="U1727" s="17"/>
      <c r="V1727" s="17"/>
      <c r="W1727" s="17"/>
      <c r="X1727" s="17"/>
      <c r="Y1727" s="17"/>
      <c r="Z1727" s="17"/>
      <c r="AA1727" s="17" t="s">
        <v>29</v>
      </c>
      <c r="AB1727" s="17" t="s">
        <v>29</v>
      </c>
    </row>
    <row r="1728" spans="1:28" x14ac:dyDescent="0.35">
      <c r="A1728" s="36"/>
      <c r="B1728" s="8"/>
      <c r="C1728" s="8"/>
      <c r="D1728" s="8"/>
      <c r="E1728" s="9">
        <f t="shared" ref="E1728:Q1728" si="124">SUM(E1713:E1727)</f>
        <v>31617.49697</v>
      </c>
      <c r="F1728" s="9">
        <f t="shared" si="124"/>
        <v>25088.054579999996</v>
      </c>
      <c r="G1728" s="9">
        <f t="shared" si="124"/>
        <v>0</v>
      </c>
      <c r="H1728" s="9">
        <f t="shared" si="124"/>
        <v>25088.054579999996</v>
      </c>
      <c r="I1728" s="9">
        <f t="shared" si="124"/>
        <v>3302.3900400000002</v>
      </c>
      <c r="J1728" s="9">
        <f t="shared" si="124"/>
        <v>27116.444620000002</v>
      </c>
      <c r="K1728" s="9">
        <f t="shared" si="124"/>
        <v>3227.0523499999999</v>
      </c>
      <c r="L1728" s="9">
        <f t="shared" si="124"/>
        <v>3302.3900400000002</v>
      </c>
      <c r="M1728" s="9">
        <f t="shared" si="124"/>
        <v>28390.444619999995</v>
      </c>
      <c r="N1728" s="9">
        <f t="shared" si="124"/>
        <v>3227.0523499999999</v>
      </c>
      <c r="O1728" s="9">
        <f t="shared" si="124"/>
        <v>0</v>
      </c>
      <c r="P1728" s="9">
        <f t="shared" si="124"/>
        <v>3227.0523499999999</v>
      </c>
      <c r="Q1728" s="9">
        <f t="shared" si="124"/>
        <v>27116.444620000002</v>
      </c>
      <c r="R1728" s="17"/>
      <c r="S1728" s="17"/>
      <c r="T1728" s="9">
        <f t="shared" ref="T1728:Z1728" si="125">SUM(T1713:T1727)</f>
        <v>0</v>
      </c>
      <c r="U1728" s="9">
        <f t="shared" si="125"/>
        <v>3227.0523499999999</v>
      </c>
      <c r="V1728" s="9">
        <f t="shared" si="125"/>
        <v>0</v>
      </c>
      <c r="W1728" s="9">
        <f t="shared" si="125"/>
        <v>0</v>
      </c>
      <c r="X1728" s="9">
        <f t="shared" si="125"/>
        <v>28315.106930000002</v>
      </c>
      <c r="Y1728" s="9">
        <f t="shared" si="125"/>
        <v>0</v>
      </c>
      <c r="Z1728" s="9">
        <f t="shared" si="125"/>
        <v>3302.3900400000002</v>
      </c>
      <c r="AA1728" s="9">
        <f>SUM(AA1713:AA1727)</f>
        <v>31617.49697</v>
      </c>
      <c r="AB1728" s="9">
        <f>SUM(AB1713:AB1727)</f>
        <v>0</v>
      </c>
    </row>
    <row r="1729" spans="1:28" x14ac:dyDescent="0.35">
      <c r="A1729" s="36"/>
      <c r="B1729" s="8"/>
      <c r="C1729" s="8"/>
      <c r="D1729" s="8"/>
      <c r="E1729" s="17" t="s">
        <v>29</v>
      </c>
      <c r="F1729" s="17" t="s">
        <v>29</v>
      </c>
      <c r="G1729" s="17" t="s">
        <v>29</v>
      </c>
      <c r="H1729" s="17" t="s">
        <v>29</v>
      </c>
      <c r="I1729" s="17" t="s">
        <v>29</v>
      </c>
      <c r="J1729" s="17" t="s">
        <v>29</v>
      </c>
      <c r="K1729" s="17" t="s">
        <v>29</v>
      </c>
      <c r="L1729" s="17" t="s">
        <v>29</v>
      </c>
      <c r="M1729" s="17" t="s">
        <v>29</v>
      </c>
      <c r="N1729" s="17" t="s">
        <v>29</v>
      </c>
      <c r="O1729" s="17" t="s">
        <v>29</v>
      </c>
      <c r="P1729" s="17" t="s">
        <v>29</v>
      </c>
      <c r="Q1729" s="17" t="s">
        <v>29</v>
      </c>
      <c r="R1729" s="17"/>
      <c r="S1729" s="17"/>
      <c r="T1729" s="17"/>
      <c r="U1729" s="17"/>
      <c r="V1729" s="17"/>
      <c r="W1729" s="17"/>
      <c r="X1729" s="17"/>
      <c r="Y1729" s="17"/>
      <c r="Z1729" s="17"/>
      <c r="AA1729" s="17" t="s">
        <v>29</v>
      </c>
      <c r="AB1729" s="17" t="s">
        <v>29</v>
      </c>
    </row>
    <row r="1730" spans="1:28" x14ac:dyDescent="0.35">
      <c r="A1730" s="38" t="s">
        <v>1017</v>
      </c>
      <c r="B1730" s="7" t="s">
        <v>768</v>
      </c>
      <c r="C1730" s="8"/>
      <c r="D1730" s="8"/>
      <c r="E1730" s="8"/>
      <c r="F1730" s="8"/>
      <c r="G1730" s="8"/>
      <c r="H1730" s="8"/>
      <c r="I1730" s="8"/>
      <c r="J1730" s="8"/>
      <c r="K1730" s="8"/>
      <c r="L1730" s="8"/>
      <c r="M1730" s="8"/>
      <c r="N1730" s="8"/>
      <c r="O1730" s="8"/>
      <c r="P1730" s="8"/>
      <c r="Q1730" s="8"/>
      <c r="R1730" s="17"/>
      <c r="S1730" s="17"/>
      <c r="T1730" s="17"/>
      <c r="U1730" s="17"/>
      <c r="V1730" s="17"/>
      <c r="W1730" s="17"/>
      <c r="X1730" s="17"/>
      <c r="Y1730" s="17"/>
      <c r="Z1730" s="17"/>
    </row>
    <row r="1731" spans="1:28" x14ac:dyDescent="0.35">
      <c r="A1731" s="36"/>
      <c r="B1731" s="8"/>
      <c r="C1731" s="7" t="s">
        <v>769</v>
      </c>
      <c r="D1731" s="15" t="s">
        <v>166</v>
      </c>
      <c r="E1731" s="9">
        <f>STATS1003B!E1827/1000</f>
        <v>3163</v>
      </c>
      <c r="F1731" s="9">
        <f>STATS1003B!F1827/1000</f>
        <v>3163</v>
      </c>
      <c r="G1731" s="9">
        <f>STATS1003B!G1827/1000</f>
        <v>0</v>
      </c>
      <c r="H1731" s="9">
        <f>STATS1003B!H1827/1000</f>
        <v>3163</v>
      </c>
      <c r="I1731" s="9">
        <f>STATS1003B!I1827/1000</f>
        <v>0</v>
      </c>
      <c r="J1731" s="9">
        <f>STATS1003B!J1827/1000</f>
        <v>3163</v>
      </c>
      <c r="K1731" s="9">
        <f>STATS1003B!K1827/1000</f>
        <v>0</v>
      </c>
      <c r="L1731" s="9">
        <f>STATS1003B!L1827/1000</f>
        <v>0</v>
      </c>
      <c r="M1731" s="9">
        <f>STATS1003B!M1827/1000</f>
        <v>3163</v>
      </c>
      <c r="N1731" s="9">
        <f>STATS1003B!N1827/1000</f>
        <v>0</v>
      </c>
      <c r="O1731" s="9">
        <f>STATS1003B!O1827/1000</f>
        <v>0</v>
      </c>
      <c r="P1731" s="9">
        <f>STATS1003B!P1827/1000</f>
        <v>0</v>
      </c>
      <c r="Q1731" s="9">
        <f>STATS1003B!Q1827/1000</f>
        <v>3163</v>
      </c>
      <c r="R1731" s="9">
        <f>STATS1003B!R1827/1000</f>
        <v>0</v>
      </c>
      <c r="S1731" s="9">
        <f>STATS1003B!S1827/1000</f>
        <v>0</v>
      </c>
      <c r="T1731" s="9">
        <f>STATS1003B!T1827/1000</f>
        <v>0</v>
      </c>
      <c r="U1731" s="9">
        <f>STATS1003B!U1827/1000</f>
        <v>0</v>
      </c>
      <c r="V1731" s="9">
        <f>STATS1003B!V1827/1000</f>
        <v>0</v>
      </c>
      <c r="W1731" s="9">
        <f>STATS1003B!W1827/1000</f>
        <v>0</v>
      </c>
      <c r="X1731" s="9">
        <f>STATS1003B!X1827/1000</f>
        <v>3163</v>
      </c>
      <c r="Y1731" s="9">
        <f>STATS1003B!Y1827/1000</f>
        <v>0</v>
      </c>
      <c r="Z1731" s="9">
        <f>STATS1003B!Z1827/1000</f>
        <v>0</v>
      </c>
      <c r="AA1731" s="9">
        <f>STATS1003B!AA1827/1000</f>
        <v>3163</v>
      </c>
      <c r="AB1731" s="9">
        <f>STATS1003B!AB1827/1000</f>
        <v>0</v>
      </c>
    </row>
    <row r="1732" spans="1:28" x14ac:dyDescent="0.35">
      <c r="A1732" s="36"/>
      <c r="B1732" s="8"/>
      <c r="C1732" s="7" t="s">
        <v>535</v>
      </c>
      <c r="D1732" s="15" t="s">
        <v>68</v>
      </c>
      <c r="E1732" s="9">
        <f>STATS1003B!E1828/1000</f>
        <v>5735</v>
      </c>
      <c r="F1732" s="9">
        <f>STATS1003B!F1828/1000</f>
        <v>5735</v>
      </c>
      <c r="G1732" s="9">
        <f>STATS1003B!G1828/1000</f>
        <v>0</v>
      </c>
      <c r="H1732" s="9">
        <f>STATS1003B!H1828/1000</f>
        <v>5735</v>
      </c>
      <c r="I1732" s="9">
        <f>STATS1003B!I1828/1000</f>
        <v>0</v>
      </c>
      <c r="J1732" s="9">
        <f>STATS1003B!J1828/1000</f>
        <v>5735</v>
      </c>
      <c r="K1732" s="9">
        <f>STATS1003B!K1828/1000</f>
        <v>0</v>
      </c>
      <c r="L1732" s="9">
        <f>STATS1003B!L1828/1000</f>
        <v>0</v>
      </c>
      <c r="M1732" s="9">
        <f>STATS1003B!M1828/1000</f>
        <v>5735</v>
      </c>
      <c r="N1732" s="9">
        <f>STATS1003B!N1828/1000</f>
        <v>0</v>
      </c>
      <c r="O1732" s="9">
        <f>STATS1003B!O1828/1000</f>
        <v>0</v>
      </c>
      <c r="P1732" s="9">
        <f>STATS1003B!P1828/1000</f>
        <v>0</v>
      </c>
      <c r="Q1732" s="9">
        <f>STATS1003B!Q1828/1000</f>
        <v>5735</v>
      </c>
      <c r="R1732" s="9">
        <f>STATS1003B!R1828/1000</f>
        <v>0</v>
      </c>
      <c r="S1732" s="9">
        <f>STATS1003B!S1828/1000</f>
        <v>0</v>
      </c>
      <c r="T1732" s="9">
        <f>STATS1003B!T1828/1000</f>
        <v>0</v>
      </c>
      <c r="U1732" s="9">
        <f>STATS1003B!U1828/1000</f>
        <v>0</v>
      </c>
      <c r="V1732" s="9">
        <f>STATS1003B!V1828/1000</f>
        <v>0</v>
      </c>
      <c r="W1732" s="9">
        <f>STATS1003B!W1828/1000</f>
        <v>0</v>
      </c>
      <c r="X1732" s="9">
        <f>STATS1003B!X1828/1000</f>
        <v>5735</v>
      </c>
      <c r="Y1732" s="9">
        <f>STATS1003B!Y1828/1000</f>
        <v>0</v>
      </c>
      <c r="Z1732" s="9">
        <f>STATS1003B!Z1828/1000</f>
        <v>0</v>
      </c>
      <c r="AA1732" s="9">
        <f>STATS1003B!AA1828/1000</f>
        <v>5735</v>
      </c>
      <c r="AB1732" s="9">
        <f>STATS1003B!AB1828/1000</f>
        <v>0</v>
      </c>
    </row>
    <row r="1733" spans="1:28" x14ac:dyDescent="0.35">
      <c r="A1733" s="36"/>
      <c r="B1733" s="8"/>
      <c r="C1733" s="7" t="s">
        <v>535</v>
      </c>
      <c r="D1733" s="15" t="s">
        <v>54</v>
      </c>
      <c r="E1733" s="9">
        <f>STATS1003B!E1829/1000</f>
        <v>1049.44175</v>
      </c>
      <c r="F1733" s="9">
        <f>STATS1003B!F1829/1000</f>
        <v>1049.44175</v>
      </c>
      <c r="G1733" s="9">
        <f>STATS1003B!G1829/1000</f>
        <v>0</v>
      </c>
      <c r="H1733" s="9">
        <f>STATS1003B!H1829/1000</f>
        <v>1049.44175</v>
      </c>
      <c r="I1733" s="9">
        <f>STATS1003B!I1829/1000</f>
        <v>0</v>
      </c>
      <c r="J1733" s="9">
        <f>STATS1003B!J1829/1000</f>
        <v>1049.44175</v>
      </c>
      <c r="K1733" s="9">
        <f>STATS1003B!K1829/1000</f>
        <v>0</v>
      </c>
      <c r="L1733" s="9">
        <f>STATS1003B!L1829/1000</f>
        <v>0</v>
      </c>
      <c r="M1733" s="9">
        <f>STATS1003B!M1829/1000</f>
        <v>1049.44175</v>
      </c>
      <c r="N1733" s="9">
        <f>STATS1003B!N1829/1000</f>
        <v>0</v>
      </c>
      <c r="O1733" s="9">
        <f>STATS1003B!O1829/1000</f>
        <v>0</v>
      </c>
      <c r="P1733" s="9">
        <f>STATS1003B!P1829/1000</f>
        <v>0</v>
      </c>
      <c r="Q1733" s="9">
        <f>STATS1003B!Q1829/1000</f>
        <v>1049.44175</v>
      </c>
      <c r="R1733" s="9">
        <f>STATS1003B!R1829/1000</f>
        <v>0</v>
      </c>
      <c r="S1733" s="9">
        <f>STATS1003B!S1829/1000</f>
        <v>0</v>
      </c>
      <c r="T1733" s="9">
        <f>STATS1003B!T1829/1000</f>
        <v>0</v>
      </c>
      <c r="U1733" s="9">
        <f>STATS1003B!U1829/1000</f>
        <v>0</v>
      </c>
      <c r="V1733" s="9">
        <f>STATS1003B!V1829/1000</f>
        <v>0</v>
      </c>
      <c r="W1733" s="9">
        <f>STATS1003B!W1829/1000</f>
        <v>0</v>
      </c>
      <c r="X1733" s="9">
        <f>STATS1003B!X1829/1000</f>
        <v>1049.44175</v>
      </c>
      <c r="Y1733" s="9">
        <f>STATS1003B!Y1829/1000</f>
        <v>0</v>
      </c>
      <c r="Z1733" s="9">
        <f>STATS1003B!Z1829/1000</f>
        <v>0</v>
      </c>
      <c r="AA1733" s="9">
        <f>STATS1003B!AA1829/1000</f>
        <v>1049.44175</v>
      </c>
      <c r="AB1733" s="9">
        <f>STATS1003B!AB1829/1000</f>
        <v>0</v>
      </c>
    </row>
    <row r="1734" spans="1:28" x14ac:dyDescent="0.35">
      <c r="A1734" s="36"/>
      <c r="B1734" s="8"/>
      <c r="C1734" s="7" t="s">
        <v>545</v>
      </c>
      <c r="D1734" s="15" t="s">
        <v>54</v>
      </c>
      <c r="E1734" s="9">
        <f>STATS1003B!E1830/1000</f>
        <v>1953.989</v>
      </c>
      <c r="F1734" s="9">
        <f>STATS1003B!F1830/1000</f>
        <v>0</v>
      </c>
      <c r="G1734" s="9">
        <f>STATS1003B!G1830/1000</f>
        <v>0</v>
      </c>
      <c r="H1734" s="9">
        <f>STATS1003B!H1830/1000</f>
        <v>0</v>
      </c>
      <c r="I1734" s="9">
        <f>STATS1003B!I1830/1000</f>
        <v>0</v>
      </c>
      <c r="J1734" s="9">
        <f>STATS1003B!J1830/1000</f>
        <v>0</v>
      </c>
      <c r="K1734" s="9">
        <f>STATS1003B!K1830/1000</f>
        <v>1953.989</v>
      </c>
      <c r="L1734" s="9">
        <f>STATS1003B!L1830/1000</f>
        <v>0</v>
      </c>
      <c r="M1734" s="9">
        <f>STATS1003B!M1830/1000</f>
        <v>0</v>
      </c>
      <c r="N1734" s="9">
        <f>STATS1003B!N1830/1000</f>
        <v>1953.989</v>
      </c>
      <c r="O1734" s="9">
        <f>STATS1003B!O1830/1000</f>
        <v>0</v>
      </c>
      <c r="P1734" s="9">
        <f>STATS1003B!P1830/1000</f>
        <v>1953.989</v>
      </c>
      <c r="Q1734" s="9">
        <f>STATS1003B!Q1830/1000</f>
        <v>0</v>
      </c>
      <c r="R1734" s="9">
        <f>STATS1003B!R1830/1000</f>
        <v>0</v>
      </c>
      <c r="S1734" s="9">
        <f>STATS1003B!S1830/1000</f>
        <v>0</v>
      </c>
      <c r="T1734" s="9">
        <f>STATS1003B!T1830/1000</f>
        <v>0</v>
      </c>
      <c r="U1734" s="9">
        <f>STATS1003B!U1830/1000</f>
        <v>1953.989</v>
      </c>
      <c r="V1734" s="9">
        <f>STATS1003B!V1830/1000</f>
        <v>0</v>
      </c>
      <c r="W1734" s="9">
        <f>STATS1003B!W1830/1000</f>
        <v>0</v>
      </c>
      <c r="X1734" s="9">
        <f>STATS1003B!X1830/1000</f>
        <v>1953.989</v>
      </c>
      <c r="Y1734" s="9">
        <f>STATS1003B!Y1830/1000</f>
        <v>0</v>
      </c>
      <c r="Z1734" s="9">
        <f>STATS1003B!Z1830/1000</f>
        <v>0</v>
      </c>
      <c r="AA1734" s="9">
        <f>STATS1003B!AA1830/1000</f>
        <v>1953.989</v>
      </c>
      <c r="AB1734" s="9">
        <f>STATS1003B!AB1830/1000</f>
        <v>0</v>
      </c>
    </row>
    <row r="1735" spans="1:28" x14ac:dyDescent="0.35">
      <c r="A1735" s="36"/>
      <c r="B1735" s="8"/>
      <c r="C1735" s="7" t="s">
        <v>535</v>
      </c>
      <c r="D1735" s="15" t="s">
        <v>85</v>
      </c>
      <c r="E1735" s="9">
        <f>STATS1003B!E1831/1000</f>
        <v>2000</v>
      </c>
      <c r="F1735" s="9">
        <f>STATS1003B!F1831/1000</f>
        <v>2000</v>
      </c>
      <c r="G1735" s="9">
        <f>STATS1003B!G1831/1000</f>
        <v>0</v>
      </c>
      <c r="H1735" s="9">
        <f>STATS1003B!H1831/1000</f>
        <v>2000</v>
      </c>
      <c r="I1735" s="9">
        <f>STATS1003B!I1831/1000</f>
        <v>0</v>
      </c>
      <c r="J1735" s="9">
        <f>STATS1003B!J1831/1000</f>
        <v>2000</v>
      </c>
      <c r="K1735" s="9">
        <f>STATS1003B!K1831/1000</f>
        <v>0</v>
      </c>
      <c r="L1735" s="9">
        <f>STATS1003B!L1831/1000</f>
        <v>0</v>
      </c>
      <c r="M1735" s="9">
        <f>STATS1003B!M1831/1000</f>
        <v>2000</v>
      </c>
      <c r="N1735" s="9">
        <f>STATS1003B!N1831/1000</f>
        <v>0</v>
      </c>
      <c r="O1735" s="9">
        <f>STATS1003B!O1831/1000</f>
        <v>0</v>
      </c>
      <c r="P1735" s="9">
        <f>STATS1003B!P1831/1000</f>
        <v>0</v>
      </c>
      <c r="Q1735" s="9">
        <f>STATS1003B!Q1831/1000</f>
        <v>2000</v>
      </c>
      <c r="R1735" s="9">
        <f>STATS1003B!R1831/1000</f>
        <v>0</v>
      </c>
      <c r="S1735" s="9">
        <f>STATS1003B!S1831/1000</f>
        <v>0</v>
      </c>
      <c r="T1735" s="9">
        <f>STATS1003B!T1831/1000</f>
        <v>0</v>
      </c>
      <c r="U1735" s="9">
        <f>STATS1003B!U1831/1000</f>
        <v>0</v>
      </c>
      <c r="V1735" s="9">
        <f>STATS1003B!V1831/1000</f>
        <v>0</v>
      </c>
      <c r="W1735" s="9">
        <f>STATS1003B!W1831/1000</f>
        <v>0</v>
      </c>
      <c r="X1735" s="9">
        <f>STATS1003B!X1831/1000</f>
        <v>2000</v>
      </c>
      <c r="Y1735" s="9">
        <f>STATS1003B!Y1831/1000</f>
        <v>0</v>
      </c>
      <c r="Z1735" s="9">
        <f>STATS1003B!Z1831/1000</f>
        <v>0</v>
      </c>
      <c r="AA1735" s="9">
        <f>STATS1003B!AA1831/1000</f>
        <v>2000</v>
      </c>
      <c r="AB1735" s="9">
        <f>STATS1003B!AB1831/1000</f>
        <v>0</v>
      </c>
    </row>
    <row r="1736" spans="1:28" x14ac:dyDescent="0.35">
      <c r="A1736" s="36"/>
      <c r="B1736" s="8"/>
      <c r="C1736" s="7" t="s">
        <v>770</v>
      </c>
      <c r="D1736" s="15" t="s">
        <v>85</v>
      </c>
      <c r="E1736" s="9">
        <f>STATS1003B!E1832/1000</f>
        <v>1000</v>
      </c>
      <c r="F1736" s="9">
        <f>STATS1003B!F1832/1000</f>
        <v>1000</v>
      </c>
      <c r="G1736" s="9">
        <f>STATS1003B!G1832/1000</f>
        <v>0</v>
      </c>
      <c r="H1736" s="9">
        <f>STATS1003B!H1832/1000</f>
        <v>1000</v>
      </c>
      <c r="I1736" s="9">
        <f>STATS1003B!I1832/1000</f>
        <v>0</v>
      </c>
      <c r="J1736" s="9">
        <f>STATS1003B!J1832/1000</f>
        <v>1000</v>
      </c>
      <c r="K1736" s="9">
        <f>STATS1003B!K1832/1000</f>
        <v>0</v>
      </c>
      <c r="L1736" s="9">
        <f>STATS1003B!L1832/1000</f>
        <v>0</v>
      </c>
      <c r="M1736" s="9">
        <f>STATS1003B!M1832/1000</f>
        <v>1000</v>
      </c>
      <c r="N1736" s="9">
        <f>STATS1003B!N1832/1000</f>
        <v>0</v>
      </c>
      <c r="O1736" s="9">
        <f>STATS1003B!O1832/1000</f>
        <v>0</v>
      </c>
      <c r="P1736" s="9">
        <f>STATS1003B!P1832/1000</f>
        <v>0</v>
      </c>
      <c r="Q1736" s="9">
        <f>STATS1003B!Q1832/1000</f>
        <v>1000</v>
      </c>
      <c r="R1736" s="9">
        <f>STATS1003B!R1832/1000</f>
        <v>0</v>
      </c>
      <c r="S1736" s="9">
        <f>STATS1003B!S1832/1000</f>
        <v>0</v>
      </c>
      <c r="T1736" s="9">
        <f>STATS1003B!T1832/1000</f>
        <v>0</v>
      </c>
      <c r="U1736" s="9">
        <f>STATS1003B!U1832/1000</f>
        <v>0</v>
      </c>
      <c r="V1736" s="9">
        <f>STATS1003B!V1832/1000</f>
        <v>0</v>
      </c>
      <c r="W1736" s="9">
        <f>STATS1003B!W1832/1000</f>
        <v>0</v>
      </c>
      <c r="X1736" s="9">
        <f>STATS1003B!X1832/1000</f>
        <v>1000</v>
      </c>
      <c r="Y1736" s="9">
        <f>STATS1003B!Y1832/1000</f>
        <v>0</v>
      </c>
      <c r="Z1736" s="9">
        <f>STATS1003B!Z1832/1000</f>
        <v>0</v>
      </c>
      <c r="AA1736" s="9">
        <f>STATS1003B!AA1832/1000</f>
        <v>1000</v>
      </c>
      <c r="AB1736" s="9">
        <f>STATS1003B!AB1832/1000</f>
        <v>0</v>
      </c>
    </row>
    <row r="1737" spans="1:28" x14ac:dyDescent="0.35">
      <c r="A1737" s="36"/>
      <c r="B1737" s="8"/>
      <c r="C1737" s="7" t="s">
        <v>771</v>
      </c>
      <c r="D1737" s="15" t="s">
        <v>85</v>
      </c>
      <c r="E1737" s="9">
        <f>STATS1003B!E1833/1000</f>
        <v>800</v>
      </c>
      <c r="F1737" s="9">
        <f>STATS1003B!F1833/1000</f>
        <v>800</v>
      </c>
      <c r="G1737" s="9">
        <f>STATS1003B!G1833/1000</f>
        <v>0</v>
      </c>
      <c r="H1737" s="9">
        <f>STATS1003B!H1833/1000</f>
        <v>800</v>
      </c>
      <c r="I1737" s="9">
        <f>STATS1003B!I1833/1000</f>
        <v>0</v>
      </c>
      <c r="J1737" s="9">
        <f>STATS1003B!J1833/1000</f>
        <v>800</v>
      </c>
      <c r="K1737" s="9">
        <f>STATS1003B!K1833/1000</f>
        <v>0</v>
      </c>
      <c r="L1737" s="9">
        <f>STATS1003B!L1833/1000</f>
        <v>0</v>
      </c>
      <c r="M1737" s="9">
        <f>STATS1003B!M1833/1000</f>
        <v>800</v>
      </c>
      <c r="N1737" s="9">
        <f>STATS1003B!N1833/1000</f>
        <v>0</v>
      </c>
      <c r="O1737" s="9">
        <f>STATS1003B!O1833/1000</f>
        <v>0</v>
      </c>
      <c r="P1737" s="9">
        <f>STATS1003B!P1833/1000</f>
        <v>0</v>
      </c>
      <c r="Q1737" s="9">
        <f>STATS1003B!Q1833/1000</f>
        <v>800</v>
      </c>
      <c r="R1737" s="9">
        <f>STATS1003B!R1833/1000</f>
        <v>0</v>
      </c>
      <c r="S1737" s="9">
        <f>STATS1003B!S1833/1000</f>
        <v>0</v>
      </c>
      <c r="T1737" s="9">
        <f>STATS1003B!T1833/1000</f>
        <v>0</v>
      </c>
      <c r="U1737" s="9">
        <f>STATS1003B!U1833/1000</f>
        <v>0</v>
      </c>
      <c r="V1737" s="9">
        <f>STATS1003B!V1833/1000</f>
        <v>0</v>
      </c>
      <c r="W1737" s="9">
        <f>STATS1003B!W1833/1000</f>
        <v>0</v>
      </c>
      <c r="X1737" s="9">
        <f>STATS1003B!X1833/1000</f>
        <v>800</v>
      </c>
      <c r="Y1737" s="9">
        <f>STATS1003B!Y1833/1000</f>
        <v>0</v>
      </c>
      <c r="Z1737" s="9">
        <f>STATS1003B!Z1833/1000</f>
        <v>0</v>
      </c>
      <c r="AA1737" s="9">
        <f>STATS1003B!AA1833/1000</f>
        <v>800</v>
      </c>
      <c r="AB1737" s="9">
        <f>STATS1003B!AB1833/1000</f>
        <v>0</v>
      </c>
    </row>
    <row r="1738" spans="1:28" x14ac:dyDescent="0.35">
      <c r="A1738" s="36"/>
      <c r="B1738" s="8"/>
      <c r="C1738" s="7" t="s">
        <v>535</v>
      </c>
      <c r="D1738" s="15" t="s">
        <v>88</v>
      </c>
      <c r="E1738" s="9">
        <f>STATS1003B!E1834/1000</f>
        <v>2851.8</v>
      </c>
      <c r="F1738" s="9">
        <f>STATS1003B!F1834/1000</f>
        <v>2851.8</v>
      </c>
      <c r="G1738" s="9">
        <f>STATS1003B!G1834/1000</f>
        <v>0</v>
      </c>
      <c r="H1738" s="9">
        <f>STATS1003B!H1834/1000</f>
        <v>2851.8</v>
      </c>
      <c r="I1738" s="9">
        <f>STATS1003B!I1834/1000</f>
        <v>0</v>
      </c>
      <c r="J1738" s="9">
        <f>STATS1003B!J1834/1000</f>
        <v>2851.8</v>
      </c>
      <c r="K1738" s="9">
        <f>STATS1003B!K1834/1000</f>
        <v>0</v>
      </c>
      <c r="L1738" s="9">
        <f>STATS1003B!L1834/1000</f>
        <v>0</v>
      </c>
      <c r="M1738" s="9">
        <f>STATS1003B!M1834/1000</f>
        <v>2851.8</v>
      </c>
      <c r="N1738" s="9">
        <f>STATS1003B!N1834/1000</f>
        <v>0</v>
      </c>
      <c r="O1738" s="9">
        <f>STATS1003B!O1834/1000</f>
        <v>0</v>
      </c>
      <c r="P1738" s="9">
        <f>STATS1003B!P1834/1000</f>
        <v>0</v>
      </c>
      <c r="Q1738" s="9">
        <f>STATS1003B!Q1834/1000</f>
        <v>2851.8</v>
      </c>
      <c r="R1738" s="9">
        <f>STATS1003B!R1834/1000</f>
        <v>0</v>
      </c>
      <c r="S1738" s="9">
        <f>STATS1003B!S1834/1000</f>
        <v>0</v>
      </c>
      <c r="T1738" s="9">
        <f>STATS1003B!T1834/1000</f>
        <v>0</v>
      </c>
      <c r="U1738" s="9">
        <f>STATS1003B!U1834/1000</f>
        <v>0</v>
      </c>
      <c r="V1738" s="9">
        <f>STATS1003B!V1834/1000</f>
        <v>0</v>
      </c>
      <c r="W1738" s="9">
        <f>STATS1003B!W1834/1000</f>
        <v>0</v>
      </c>
      <c r="X1738" s="9">
        <f>STATS1003B!X1834/1000</f>
        <v>2851.8</v>
      </c>
      <c r="Y1738" s="9">
        <f>STATS1003B!Y1834/1000</f>
        <v>0</v>
      </c>
      <c r="Z1738" s="9">
        <f>STATS1003B!Z1834/1000</f>
        <v>0</v>
      </c>
      <c r="AA1738" s="9">
        <f>STATS1003B!AA1834/1000</f>
        <v>2851.8</v>
      </c>
      <c r="AB1738" s="9">
        <f>STATS1003B!AB1834/1000</f>
        <v>0</v>
      </c>
    </row>
    <row r="1739" spans="1:28" x14ac:dyDescent="0.35">
      <c r="A1739" s="36"/>
      <c r="B1739" s="8"/>
      <c r="C1739" s="7" t="s">
        <v>535</v>
      </c>
      <c r="D1739" s="15" t="s">
        <v>58</v>
      </c>
      <c r="E1739" s="9">
        <f>STATS1003B!E1835/1000</f>
        <v>2183.8850000000002</v>
      </c>
      <c r="F1739" s="9">
        <f>STATS1003B!F1835/1000</f>
        <v>2183.8850000000002</v>
      </c>
      <c r="G1739" s="9">
        <f>STATS1003B!G1835/1000</f>
        <v>0</v>
      </c>
      <c r="H1739" s="9">
        <f>STATS1003B!H1835/1000</f>
        <v>2183.8850000000002</v>
      </c>
      <c r="I1739" s="9">
        <f>STATS1003B!I1835/1000</f>
        <v>0</v>
      </c>
      <c r="J1739" s="9">
        <f>STATS1003B!J1835/1000</f>
        <v>2183.8850000000002</v>
      </c>
      <c r="K1739" s="9">
        <f>STATS1003B!K1835/1000</f>
        <v>0</v>
      </c>
      <c r="L1739" s="9">
        <f>STATS1003B!L1835/1000</f>
        <v>0</v>
      </c>
      <c r="M1739" s="9">
        <f>STATS1003B!M1835/1000</f>
        <v>2183.8850000000002</v>
      </c>
      <c r="N1739" s="9">
        <f>STATS1003B!N1835/1000</f>
        <v>0</v>
      </c>
      <c r="O1739" s="9">
        <f>STATS1003B!O1835/1000</f>
        <v>0</v>
      </c>
      <c r="P1739" s="9">
        <f>STATS1003B!P1835/1000</f>
        <v>0</v>
      </c>
      <c r="Q1739" s="9">
        <f>STATS1003B!Q1835/1000</f>
        <v>2183.8850000000002</v>
      </c>
      <c r="R1739" s="9">
        <f>STATS1003B!R1835/1000</f>
        <v>0</v>
      </c>
      <c r="S1739" s="9">
        <f>STATS1003B!S1835/1000</f>
        <v>0</v>
      </c>
      <c r="T1739" s="9">
        <f>STATS1003B!T1835/1000</f>
        <v>0</v>
      </c>
      <c r="U1739" s="9">
        <f>STATS1003B!U1835/1000</f>
        <v>0</v>
      </c>
      <c r="V1739" s="9">
        <f>STATS1003B!V1835/1000</f>
        <v>0</v>
      </c>
      <c r="W1739" s="9">
        <f>STATS1003B!W1835/1000</f>
        <v>0</v>
      </c>
      <c r="X1739" s="9">
        <f>STATS1003B!X1835/1000</f>
        <v>2183.8850000000002</v>
      </c>
      <c r="Y1739" s="9">
        <f>STATS1003B!Y1835/1000</f>
        <v>0</v>
      </c>
      <c r="Z1739" s="9">
        <f>STATS1003B!Z1835/1000</f>
        <v>0</v>
      </c>
      <c r="AA1739" s="9">
        <f>STATS1003B!AA1835/1000</f>
        <v>2183.8850000000002</v>
      </c>
      <c r="AB1739" s="9">
        <f>STATS1003B!AB1835/1000</f>
        <v>0</v>
      </c>
    </row>
    <row r="1740" spans="1:28" x14ac:dyDescent="0.35">
      <c r="A1740" s="36"/>
      <c r="B1740" s="8"/>
      <c r="C1740" s="7" t="s">
        <v>535</v>
      </c>
      <c r="D1740" s="21" t="s">
        <v>60</v>
      </c>
      <c r="E1740" s="9">
        <f>STATS1003B!E1836/1000</f>
        <v>3363.54</v>
      </c>
      <c r="F1740" s="9">
        <f>STATS1003B!F1836/1000</f>
        <v>3363.54</v>
      </c>
      <c r="G1740" s="9">
        <f>STATS1003B!G1836/1000</f>
        <v>0</v>
      </c>
      <c r="H1740" s="9">
        <f>STATS1003B!H1836/1000</f>
        <v>3363.54</v>
      </c>
      <c r="I1740" s="9">
        <f>STATS1003B!I1836/1000</f>
        <v>0</v>
      </c>
      <c r="J1740" s="9">
        <f>STATS1003B!J1836/1000</f>
        <v>3363.54</v>
      </c>
      <c r="K1740" s="9">
        <f>STATS1003B!K1836/1000</f>
        <v>0</v>
      </c>
      <c r="L1740" s="9">
        <f>STATS1003B!L1836/1000</f>
        <v>0</v>
      </c>
      <c r="M1740" s="9">
        <f>STATS1003B!M1836/1000</f>
        <v>3363.54</v>
      </c>
      <c r="N1740" s="9">
        <f>STATS1003B!N1836/1000</f>
        <v>0</v>
      </c>
      <c r="O1740" s="9">
        <f>STATS1003B!O1836/1000</f>
        <v>0</v>
      </c>
      <c r="P1740" s="9">
        <f>STATS1003B!P1836/1000</f>
        <v>0</v>
      </c>
      <c r="Q1740" s="9">
        <f>STATS1003B!Q1836/1000</f>
        <v>3363.54</v>
      </c>
      <c r="R1740" s="9">
        <f>STATS1003B!R1836/1000</f>
        <v>0</v>
      </c>
      <c r="S1740" s="9">
        <f>STATS1003B!S1836/1000</f>
        <v>0</v>
      </c>
      <c r="T1740" s="9">
        <f>STATS1003B!T1836/1000</f>
        <v>0</v>
      </c>
      <c r="U1740" s="9">
        <f>STATS1003B!U1836/1000</f>
        <v>0</v>
      </c>
      <c r="V1740" s="9">
        <f>STATS1003B!V1836/1000</f>
        <v>0</v>
      </c>
      <c r="W1740" s="9">
        <f>STATS1003B!W1836/1000</f>
        <v>0</v>
      </c>
      <c r="X1740" s="9">
        <f>STATS1003B!X1836/1000</f>
        <v>3363.54</v>
      </c>
      <c r="Y1740" s="9">
        <f>STATS1003B!Y1836/1000</f>
        <v>0</v>
      </c>
      <c r="Z1740" s="9">
        <f>STATS1003B!Z1836/1000</f>
        <v>0</v>
      </c>
      <c r="AA1740" s="9">
        <f>STATS1003B!AA1836/1000</f>
        <v>3363.54</v>
      </c>
      <c r="AB1740" s="9">
        <f>STATS1003B!AB1836/1000</f>
        <v>0</v>
      </c>
    </row>
    <row r="1741" spans="1:28" x14ac:dyDescent="0.35">
      <c r="A1741" s="36"/>
      <c r="B1741" s="8"/>
      <c r="C1741" s="14" t="s">
        <v>661</v>
      </c>
      <c r="D1741" s="21" t="s">
        <v>772</v>
      </c>
      <c r="E1741" s="9">
        <f>STATS1003B!E1837/1000</f>
        <v>579</v>
      </c>
      <c r="F1741" s="9">
        <f>STATS1003B!F1837/1000</f>
        <v>579</v>
      </c>
      <c r="G1741" s="9">
        <f>STATS1003B!G1837/1000</f>
        <v>0</v>
      </c>
      <c r="H1741" s="9">
        <f>STATS1003B!H1837/1000</f>
        <v>579</v>
      </c>
      <c r="I1741" s="9">
        <f>STATS1003B!I1837/1000</f>
        <v>0</v>
      </c>
      <c r="J1741" s="9">
        <f>STATS1003B!J1837/1000</f>
        <v>579</v>
      </c>
      <c r="K1741" s="9">
        <f>STATS1003B!K1837/1000</f>
        <v>0</v>
      </c>
      <c r="L1741" s="9">
        <f>STATS1003B!L1837/1000</f>
        <v>0</v>
      </c>
      <c r="M1741" s="9">
        <f>STATS1003B!M1837/1000</f>
        <v>579</v>
      </c>
      <c r="N1741" s="9">
        <f>STATS1003B!N1837/1000</f>
        <v>0</v>
      </c>
      <c r="O1741" s="9">
        <f>STATS1003B!O1837/1000</f>
        <v>0</v>
      </c>
      <c r="P1741" s="9">
        <f>STATS1003B!P1837/1000</f>
        <v>0</v>
      </c>
      <c r="Q1741" s="9">
        <f>STATS1003B!Q1837/1000</f>
        <v>579</v>
      </c>
      <c r="R1741" s="9">
        <f>STATS1003B!R1837/1000</f>
        <v>0</v>
      </c>
      <c r="S1741" s="9">
        <f>STATS1003B!S1837/1000</f>
        <v>0</v>
      </c>
      <c r="T1741" s="9">
        <f>STATS1003B!T1837/1000</f>
        <v>0</v>
      </c>
      <c r="U1741" s="9">
        <f>STATS1003B!U1837/1000</f>
        <v>0</v>
      </c>
      <c r="V1741" s="9">
        <f>STATS1003B!V1837/1000</f>
        <v>0</v>
      </c>
      <c r="W1741" s="9">
        <f>STATS1003B!W1837/1000</f>
        <v>0</v>
      </c>
      <c r="X1741" s="9">
        <f>STATS1003B!X1837/1000</f>
        <v>579</v>
      </c>
      <c r="Y1741" s="9">
        <f>STATS1003B!Y1837/1000</f>
        <v>0</v>
      </c>
      <c r="Z1741" s="9">
        <f>STATS1003B!Z1837/1000</f>
        <v>0</v>
      </c>
      <c r="AA1741" s="9">
        <f>STATS1003B!AA1837/1000</f>
        <v>579</v>
      </c>
      <c r="AB1741" s="9">
        <f>STATS1003B!AB1837/1000</f>
        <v>0</v>
      </c>
    </row>
    <row r="1742" spans="1:28" x14ac:dyDescent="0.35">
      <c r="A1742" s="36"/>
      <c r="B1742" s="8"/>
      <c r="C1742" s="7" t="s">
        <v>535</v>
      </c>
      <c r="D1742" s="21" t="s">
        <v>73</v>
      </c>
      <c r="E1742" s="9">
        <f>STATS1003B!E1838/1000</f>
        <v>7754.7677000000003</v>
      </c>
      <c r="F1742" s="9">
        <f>STATS1003B!F1838/1000</f>
        <v>7754.7677000000003</v>
      </c>
      <c r="G1742" s="9">
        <f>STATS1003B!G1838/1000</f>
        <v>0</v>
      </c>
      <c r="H1742" s="9">
        <f>STATS1003B!H1838/1000</f>
        <v>7754.7677000000003</v>
      </c>
      <c r="I1742" s="9">
        <f>STATS1003B!I1838/1000</f>
        <v>0</v>
      </c>
      <c r="J1742" s="9">
        <f>STATS1003B!J1838/1000</f>
        <v>7754.7677000000003</v>
      </c>
      <c r="K1742" s="9">
        <f>STATS1003B!K1838/1000</f>
        <v>0</v>
      </c>
      <c r="L1742" s="9">
        <f>STATS1003B!L1838/1000</f>
        <v>0</v>
      </c>
      <c r="M1742" s="9">
        <f>STATS1003B!M1838/1000</f>
        <v>7754.7677000000003</v>
      </c>
      <c r="N1742" s="9">
        <f>STATS1003B!N1838/1000</f>
        <v>0</v>
      </c>
      <c r="O1742" s="9">
        <f>STATS1003B!O1838/1000</f>
        <v>0</v>
      </c>
      <c r="P1742" s="9">
        <f>STATS1003B!P1838/1000</f>
        <v>0</v>
      </c>
      <c r="Q1742" s="9">
        <f>STATS1003B!Q1838/1000</f>
        <v>7754.7677000000003</v>
      </c>
      <c r="R1742" s="9">
        <f>STATS1003B!R1838/1000</f>
        <v>0</v>
      </c>
      <c r="S1742" s="9">
        <f>STATS1003B!S1838/1000</f>
        <v>0</v>
      </c>
      <c r="T1742" s="9">
        <f>STATS1003B!T1838/1000</f>
        <v>0</v>
      </c>
      <c r="U1742" s="9">
        <f>STATS1003B!U1838/1000</f>
        <v>0</v>
      </c>
      <c r="V1742" s="9">
        <f>STATS1003B!V1838/1000</f>
        <v>0</v>
      </c>
      <c r="W1742" s="9">
        <f>STATS1003B!W1838/1000</f>
        <v>0</v>
      </c>
      <c r="X1742" s="9">
        <f>STATS1003B!X1838/1000</f>
        <v>7754.7677000000003</v>
      </c>
      <c r="Y1742" s="9">
        <f>STATS1003B!Y1838/1000</f>
        <v>0</v>
      </c>
      <c r="Z1742" s="9">
        <f>STATS1003B!Z1838/1000</f>
        <v>0</v>
      </c>
      <c r="AA1742" s="9">
        <f>STATS1003B!AA1838/1000</f>
        <v>7754.7677000000003</v>
      </c>
      <c r="AB1742" s="9">
        <f>STATS1003B!AB1838/1000</f>
        <v>0</v>
      </c>
    </row>
    <row r="1743" spans="1:28" x14ac:dyDescent="0.35">
      <c r="A1743" s="36"/>
      <c r="B1743" s="14" t="s">
        <v>762</v>
      </c>
      <c r="C1743" s="7" t="s">
        <v>535</v>
      </c>
      <c r="D1743" s="21" t="s">
        <v>61</v>
      </c>
      <c r="E1743" s="9">
        <f>STATS1003B!E1839/1000</f>
        <v>1355.346</v>
      </c>
      <c r="F1743" s="9">
        <f>STATS1003B!F1839/1000</f>
        <v>1355.346</v>
      </c>
      <c r="G1743" s="9">
        <f>STATS1003B!G1839/1000</f>
        <v>0</v>
      </c>
      <c r="H1743" s="9">
        <f>STATS1003B!H1839/1000</f>
        <v>1355.346</v>
      </c>
      <c r="I1743" s="9">
        <f>STATS1003B!I1839/1000</f>
        <v>0</v>
      </c>
      <c r="J1743" s="9">
        <f>STATS1003B!J1839/1000</f>
        <v>1355.346</v>
      </c>
      <c r="K1743" s="9">
        <f>STATS1003B!K1839/1000</f>
        <v>0</v>
      </c>
      <c r="L1743" s="9">
        <f>STATS1003B!L1839/1000</f>
        <v>0</v>
      </c>
      <c r="M1743" s="9">
        <f>STATS1003B!M1839/1000</f>
        <v>1355.346</v>
      </c>
      <c r="N1743" s="9">
        <f>STATS1003B!N1839/1000</f>
        <v>0</v>
      </c>
      <c r="O1743" s="9">
        <f>STATS1003B!O1839/1000</f>
        <v>0</v>
      </c>
      <c r="P1743" s="9">
        <f>STATS1003B!P1839/1000</f>
        <v>0</v>
      </c>
      <c r="Q1743" s="9">
        <f>STATS1003B!Q1839/1000</f>
        <v>1355.346</v>
      </c>
      <c r="R1743" s="9">
        <f>STATS1003B!R1839/1000</f>
        <v>0</v>
      </c>
      <c r="S1743" s="9">
        <f>STATS1003B!S1839/1000</f>
        <v>0</v>
      </c>
      <c r="T1743" s="9">
        <f>STATS1003B!T1839/1000</f>
        <v>0</v>
      </c>
      <c r="U1743" s="9">
        <f>STATS1003B!U1839/1000</f>
        <v>0</v>
      </c>
      <c r="V1743" s="9">
        <f>STATS1003B!V1839/1000</f>
        <v>0</v>
      </c>
      <c r="W1743" s="9">
        <f>STATS1003B!W1839/1000</f>
        <v>0</v>
      </c>
      <c r="X1743" s="9">
        <f>STATS1003B!X1839/1000</f>
        <v>1355.346</v>
      </c>
      <c r="Y1743" s="9">
        <f>STATS1003B!Y1839/1000</f>
        <v>0</v>
      </c>
      <c r="Z1743" s="9">
        <f>STATS1003B!Z1839/1000</f>
        <v>0</v>
      </c>
      <c r="AA1743" s="9">
        <f>STATS1003B!AA1839/1000</f>
        <v>1355.346</v>
      </c>
      <c r="AB1743" s="9">
        <f>STATS1003B!AB1839/1000</f>
        <v>0</v>
      </c>
    </row>
    <row r="1744" spans="1:28" x14ac:dyDescent="0.35">
      <c r="A1744" s="36"/>
      <c r="B1744" s="14"/>
      <c r="C1744" s="13" t="s">
        <v>933</v>
      </c>
      <c r="D1744" s="21"/>
      <c r="E1744" s="9">
        <f>STATS1003B!E1840/1000</f>
        <v>1772</v>
      </c>
      <c r="F1744" s="9">
        <f>STATS1003B!F1840/1000</f>
        <v>1772</v>
      </c>
      <c r="G1744" s="9">
        <f>STATS1003B!G1840/1000</f>
        <v>0</v>
      </c>
      <c r="H1744" s="9">
        <f>STATS1003B!H1840/1000</f>
        <v>1772</v>
      </c>
      <c r="I1744" s="9">
        <f>STATS1003B!I1840/1000</f>
        <v>0</v>
      </c>
      <c r="J1744" s="9">
        <f>STATS1003B!J1840/1000</f>
        <v>0</v>
      </c>
      <c r="K1744" s="9">
        <f>STATS1003B!K1840/1000</f>
        <v>0</v>
      </c>
      <c r="L1744" s="9">
        <f>STATS1003B!L1840/1000</f>
        <v>0</v>
      </c>
      <c r="M1744" s="9">
        <f>STATS1003B!M1840/1000</f>
        <v>1772</v>
      </c>
      <c r="N1744" s="9">
        <f>STATS1003B!N1840/1000</f>
        <v>0</v>
      </c>
      <c r="O1744" s="9">
        <f>STATS1003B!O1840/1000</f>
        <v>0</v>
      </c>
      <c r="P1744" s="9">
        <f>STATS1003B!P1840/1000</f>
        <v>0</v>
      </c>
      <c r="Q1744" s="9">
        <f>STATS1003B!Q1840/1000</f>
        <v>0</v>
      </c>
      <c r="R1744" s="9">
        <f>STATS1003B!R1840/1000</f>
        <v>0</v>
      </c>
      <c r="S1744" s="9">
        <f>STATS1003B!S1840/1000</f>
        <v>0</v>
      </c>
      <c r="T1744" s="9">
        <f>STATS1003B!T1840/1000</f>
        <v>0</v>
      </c>
      <c r="U1744" s="9">
        <f>STATS1003B!U1840/1000</f>
        <v>0</v>
      </c>
      <c r="V1744" s="9">
        <f>STATS1003B!V1840/1000</f>
        <v>0</v>
      </c>
      <c r="W1744" s="9">
        <f>STATS1003B!W1840/1000</f>
        <v>0</v>
      </c>
      <c r="X1744" s="9">
        <f>STATS1003B!X1840/1000</f>
        <v>1772</v>
      </c>
      <c r="Y1744" s="9">
        <f>STATS1003B!Y1840/1000</f>
        <v>0</v>
      </c>
      <c r="Z1744" s="9">
        <f>STATS1003B!Z1840/1000</f>
        <v>0</v>
      </c>
      <c r="AA1744" s="9">
        <f>STATS1003B!AA1840/1000</f>
        <v>1772</v>
      </c>
      <c r="AB1744" s="9">
        <f>STATS1003B!AB1840/1000</f>
        <v>0</v>
      </c>
    </row>
    <row r="1745" spans="1:28" x14ac:dyDescent="0.35">
      <c r="A1745" s="36"/>
      <c r="B1745" s="8"/>
      <c r="C1745" s="7" t="s">
        <v>550</v>
      </c>
      <c r="D1745" s="8"/>
      <c r="E1745" s="9">
        <f>STATS1003B!E1843/1000</f>
        <v>721.39499999999998</v>
      </c>
      <c r="F1745" s="9">
        <f>STATS1003B!F1843/1000</f>
        <v>721.39499999999998</v>
      </c>
      <c r="G1745" s="9">
        <f>STATS1003B!G1843/1000</f>
        <v>0</v>
      </c>
      <c r="H1745" s="9">
        <f>STATS1003B!H1843/1000</f>
        <v>721.39499999999998</v>
      </c>
      <c r="I1745" s="9">
        <f>STATS1003B!I1843/1000</f>
        <v>0</v>
      </c>
      <c r="J1745" s="9">
        <f>STATS1003B!J1843/1000</f>
        <v>721.39499999999998</v>
      </c>
      <c r="K1745" s="9">
        <f>STATS1003B!K1843/1000</f>
        <v>0</v>
      </c>
      <c r="L1745" s="9">
        <f>STATS1003B!L1843/1000</f>
        <v>0</v>
      </c>
      <c r="M1745" s="9">
        <f>STATS1003B!M1843/1000</f>
        <v>721.39499999999998</v>
      </c>
      <c r="N1745" s="9">
        <f>STATS1003B!N1843/1000</f>
        <v>0</v>
      </c>
      <c r="O1745" s="9">
        <f>STATS1003B!O1843/1000</f>
        <v>0</v>
      </c>
      <c r="P1745" s="9">
        <f>STATS1003B!P1843/1000</f>
        <v>0</v>
      </c>
      <c r="Q1745" s="9">
        <f>STATS1003B!Q1843/1000</f>
        <v>721.39499999999998</v>
      </c>
      <c r="R1745" s="9">
        <f>STATS1003B!R1843/1000</f>
        <v>0</v>
      </c>
      <c r="S1745" s="9">
        <f>STATS1003B!S1843/1000</f>
        <v>0</v>
      </c>
      <c r="T1745" s="9">
        <f>STATS1003B!T1843/1000</f>
        <v>0</v>
      </c>
      <c r="U1745" s="9">
        <f>STATS1003B!U1843/1000</f>
        <v>0</v>
      </c>
      <c r="V1745" s="9">
        <f>STATS1003B!V1843/1000</f>
        <v>0</v>
      </c>
      <c r="W1745" s="9">
        <f>STATS1003B!W1843/1000</f>
        <v>0</v>
      </c>
      <c r="X1745" s="9">
        <f>STATS1003B!X1843/1000</f>
        <v>721.39499999999998</v>
      </c>
      <c r="Y1745" s="9">
        <f>STATS1003B!Y1843/1000</f>
        <v>0</v>
      </c>
      <c r="Z1745" s="9">
        <f>STATS1003B!Z1843/1000</f>
        <v>0</v>
      </c>
      <c r="AA1745" s="9">
        <f>STATS1003B!AA1843/1000</f>
        <v>721.39499999999998</v>
      </c>
      <c r="AB1745" s="9">
        <f>STATS1003B!AB1843/1000</f>
        <v>0</v>
      </c>
    </row>
    <row r="1746" spans="1:28" x14ac:dyDescent="0.35">
      <c r="A1746" s="36"/>
      <c r="B1746" s="8"/>
      <c r="C1746" s="7" t="s">
        <v>592</v>
      </c>
      <c r="D1746" s="8"/>
      <c r="E1746" s="9">
        <f>STATS1003B!E1844/1000</f>
        <v>1807.8457900000001</v>
      </c>
      <c r="F1746" s="9">
        <f>STATS1003B!F1844/1000</f>
        <v>1473.9941199999998</v>
      </c>
      <c r="G1746" s="9">
        <f>STATS1003B!G1844/1000</f>
        <v>0</v>
      </c>
      <c r="H1746" s="9">
        <f>STATS1003B!H1844/1000</f>
        <v>1473.9941199999998</v>
      </c>
      <c r="I1746" s="9">
        <f>STATS1003B!I1844/1000</f>
        <v>0</v>
      </c>
      <c r="J1746" s="9">
        <f>STATS1003B!J1844/1000</f>
        <v>1473.9941199999998</v>
      </c>
      <c r="K1746" s="9">
        <f>STATS1003B!K1844/1000</f>
        <v>333.85166999999996</v>
      </c>
      <c r="L1746" s="9">
        <f>STATS1003B!L1844/1000</f>
        <v>0</v>
      </c>
      <c r="M1746" s="9">
        <f>STATS1003B!M1844/1000</f>
        <v>1473.9941199999998</v>
      </c>
      <c r="N1746" s="9">
        <f>STATS1003B!N1844/1000</f>
        <v>333.85166999999996</v>
      </c>
      <c r="O1746" s="9">
        <f>STATS1003B!O1844/1000</f>
        <v>0</v>
      </c>
      <c r="P1746" s="9">
        <f>STATS1003B!P1844/1000</f>
        <v>333.85166999999996</v>
      </c>
      <c r="Q1746" s="9">
        <f>STATS1003B!Q1844/1000</f>
        <v>1473.9941200000001</v>
      </c>
      <c r="R1746" s="9">
        <f>STATS1003B!R1844/1000</f>
        <v>0</v>
      </c>
      <c r="S1746" s="9">
        <f>STATS1003B!S1844/1000</f>
        <v>0</v>
      </c>
      <c r="T1746" s="9">
        <f>STATS1003B!T1844/1000</f>
        <v>0</v>
      </c>
      <c r="U1746" s="9">
        <f>STATS1003B!U1844/1000</f>
        <v>333.85166999999996</v>
      </c>
      <c r="V1746" s="9">
        <f>STATS1003B!V1844/1000</f>
        <v>0</v>
      </c>
      <c r="W1746" s="9">
        <f>STATS1003B!W1844/1000</f>
        <v>0</v>
      </c>
      <c r="X1746" s="9">
        <f>STATS1003B!X1844/1000</f>
        <v>1807.8457899999999</v>
      </c>
      <c r="Y1746" s="9">
        <f>STATS1003B!Y1844/1000</f>
        <v>0</v>
      </c>
      <c r="Z1746" s="9">
        <f>STATS1003B!Z1844/1000</f>
        <v>0</v>
      </c>
      <c r="AA1746" s="9">
        <f>STATS1003B!AA1844/1000</f>
        <v>1807.8457899999999</v>
      </c>
      <c r="AB1746" s="9">
        <f>STATS1003B!AB1844/1000</f>
        <v>0</v>
      </c>
    </row>
    <row r="1747" spans="1:28" x14ac:dyDescent="0.35">
      <c r="A1747" s="36"/>
      <c r="B1747" s="8"/>
      <c r="C1747" s="7" t="s">
        <v>606</v>
      </c>
      <c r="D1747" s="8"/>
      <c r="E1747" s="9">
        <f>STATS1003B!E1845/1000</f>
        <v>5886.9363899999998</v>
      </c>
      <c r="F1747" s="9">
        <f>STATS1003B!F1845/1000</f>
        <v>5886.9363899999998</v>
      </c>
      <c r="G1747" s="9">
        <f>STATS1003B!G1845/1000</f>
        <v>0</v>
      </c>
      <c r="H1747" s="9">
        <f>STATS1003B!H1845/1000</f>
        <v>5886.9363899999998</v>
      </c>
      <c r="I1747" s="9">
        <f>STATS1003B!I1845/1000</f>
        <v>0</v>
      </c>
      <c r="J1747" s="9">
        <f>STATS1003B!J1845/1000</f>
        <v>5886.9363899999998</v>
      </c>
      <c r="K1747" s="9">
        <f>STATS1003B!K1845/1000</f>
        <v>0</v>
      </c>
      <c r="L1747" s="9">
        <f>STATS1003B!L1845/1000</f>
        <v>0</v>
      </c>
      <c r="M1747" s="9">
        <f>STATS1003B!M1845/1000</f>
        <v>5886.9363899999998</v>
      </c>
      <c r="N1747" s="9">
        <f>STATS1003B!N1845/1000</f>
        <v>0</v>
      </c>
      <c r="O1747" s="9">
        <f>STATS1003B!O1845/1000</f>
        <v>0</v>
      </c>
      <c r="P1747" s="9">
        <f>STATS1003B!P1845/1000</f>
        <v>0</v>
      </c>
      <c r="Q1747" s="9">
        <f>STATS1003B!Q1845/1000</f>
        <v>5886.9363899999998</v>
      </c>
      <c r="R1747" s="9">
        <f>STATS1003B!R1845/1000</f>
        <v>0</v>
      </c>
      <c r="S1747" s="9">
        <f>STATS1003B!S1845/1000</f>
        <v>0</v>
      </c>
      <c r="T1747" s="9">
        <f>STATS1003B!T1845/1000</f>
        <v>0</v>
      </c>
      <c r="U1747" s="9">
        <f>STATS1003B!U1845/1000</f>
        <v>0</v>
      </c>
      <c r="V1747" s="9">
        <f>STATS1003B!V1845/1000</f>
        <v>0</v>
      </c>
      <c r="W1747" s="9">
        <f>STATS1003B!W1845/1000</f>
        <v>0</v>
      </c>
      <c r="X1747" s="9">
        <f>STATS1003B!X1845/1000</f>
        <v>5886.9363899999998</v>
      </c>
      <c r="Y1747" s="9">
        <f>STATS1003B!Y1845/1000</f>
        <v>0</v>
      </c>
      <c r="Z1747" s="9">
        <f>STATS1003B!Z1845/1000</f>
        <v>0</v>
      </c>
      <c r="AA1747" s="9">
        <f>STATS1003B!AA1845/1000</f>
        <v>5886.9363899999998</v>
      </c>
      <c r="AB1747" s="9">
        <f>STATS1003B!AB1845/1000</f>
        <v>0</v>
      </c>
    </row>
    <row r="1748" spans="1:28" x14ac:dyDescent="0.35">
      <c r="A1748" s="36"/>
      <c r="B1748" s="8"/>
      <c r="C1748" s="8"/>
      <c r="D1748" s="8"/>
      <c r="E1748" s="17" t="s">
        <v>29</v>
      </c>
      <c r="F1748" s="17" t="s">
        <v>29</v>
      </c>
      <c r="G1748" s="17" t="s">
        <v>29</v>
      </c>
      <c r="H1748" s="17" t="s">
        <v>29</v>
      </c>
      <c r="I1748" s="17" t="s">
        <v>29</v>
      </c>
      <c r="J1748" s="17" t="s">
        <v>29</v>
      </c>
      <c r="K1748" s="17" t="s">
        <v>29</v>
      </c>
      <c r="L1748" s="17" t="s">
        <v>29</v>
      </c>
      <c r="M1748" s="17" t="s">
        <v>29</v>
      </c>
      <c r="N1748" s="17" t="s">
        <v>29</v>
      </c>
      <c r="O1748" s="17" t="s">
        <v>29</v>
      </c>
      <c r="P1748" s="17" t="s">
        <v>29</v>
      </c>
      <c r="Q1748" s="17" t="s">
        <v>29</v>
      </c>
      <c r="R1748" s="17"/>
      <c r="S1748" s="17"/>
      <c r="T1748" s="17"/>
      <c r="U1748" s="17"/>
      <c r="V1748" s="17"/>
      <c r="W1748" s="17"/>
      <c r="X1748" s="17"/>
      <c r="Y1748" s="17"/>
      <c r="Z1748" s="17"/>
      <c r="AA1748" s="17" t="s">
        <v>29</v>
      </c>
      <c r="AB1748" s="17" t="s">
        <v>29</v>
      </c>
    </row>
    <row r="1749" spans="1:28" x14ac:dyDescent="0.35">
      <c r="A1749" s="36"/>
      <c r="B1749" s="8"/>
      <c r="C1749" s="8"/>
      <c r="D1749" s="8"/>
      <c r="E1749" s="9">
        <f t="shared" ref="E1749:Q1749" si="126">SUM(E1731:E1748)</f>
        <v>43977.946629999999</v>
      </c>
      <c r="F1749" s="9">
        <f t="shared" si="126"/>
        <v>41690.105960000008</v>
      </c>
      <c r="G1749" s="9">
        <f t="shared" si="126"/>
        <v>0</v>
      </c>
      <c r="H1749" s="9">
        <f t="shared" si="126"/>
        <v>41690.105960000008</v>
      </c>
      <c r="I1749" s="9">
        <f t="shared" si="126"/>
        <v>0</v>
      </c>
      <c r="J1749" s="9">
        <f t="shared" si="126"/>
        <v>39918.105960000008</v>
      </c>
      <c r="K1749" s="9">
        <f t="shared" si="126"/>
        <v>2287.84067</v>
      </c>
      <c r="L1749" s="9">
        <f t="shared" si="126"/>
        <v>0</v>
      </c>
      <c r="M1749" s="9">
        <f t="shared" si="126"/>
        <v>41690.105960000008</v>
      </c>
      <c r="N1749" s="9">
        <f t="shared" si="126"/>
        <v>2287.84067</v>
      </c>
      <c r="O1749" s="9">
        <f t="shared" si="126"/>
        <v>0</v>
      </c>
      <c r="P1749" s="9">
        <f t="shared" si="126"/>
        <v>2287.84067</v>
      </c>
      <c r="Q1749" s="9">
        <f t="shared" si="126"/>
        <v>39918.105960000008</v>
      </c>
      <c r="R1749" s="17"/>
      <c r="S1749" s="17"/>
      <c r="T1749" s="9">
        <f t="shared" ref="T1749:Z1749" si="127">SUM(T1731:T1748)</f>
        <v>0</v>
      </c>
      <c r="U1749" s="9">
        <f t="shared" si="127"/>
        <v>2287.84067</v>
      </c>
      <c r="V1749" s="9">
        <f t="shared" si="127"/>
        <v>0</v>
      </c>
      <c r="W1749" s="9">
        <f t="shared" si="127"/>
        <v>0</v>
      </c>
      <c r="X1749" s="9">
        <f t="shared" si="127"/>
        <v>43977.946629999999</v>
      </c>
      <c r="Y1749" s="9">
        <f t="shared" si="127"/>
        <v>0</v>
      </c>
      <c r="Z1749" s="9">
        <f t="shared" si="127"/>
        <v>0</v>
      </c>
      <c r="AA1749" s="9">
        <f>SUM(AA1731:AA1748)</f>
        <v>43977.946629999999</v>
      </c>
      <c r="AB1749" s="9">
        <f>SUM(AB1731:AB1748)</f>
        <v>0</v>
      </c>
    </row>
    <row r="1750" spans="1:28" x14ac:dyDescent="0.35">
      <c r="A1750" s="36"/>
      <c r="B1750" s="8"/>
      <c r="C1750" s="8"/>
      <c r="D1750" s="8"/>
      <c r="E1750" s="17" t="s">
        <v>29</v>
      </c>
      <c r="F1750" s="17" t="s">
        <v>29</v>
      </c>
      <c r="G1750" s="17" t="s">
        <v>29</v>
      </c>
      <c r="H1750" s="17" t="s">
        <v>29</v>
      </c>
      <c r="I1750" s="17" t="s">
        <v>29</v>
      </c>
      <c r="J1750" s="17" t="s">
        <v>29</v>
      </c>
      <c r="K1750" s="17" t="s">
        <v>29</v>
      </c>
      <c r="L1750" s="17" t="s">
        <v>29</v>
      </c>
      <c r="M1750" s="17" t="s">
        <v>29</v>
      </c>
      <c r="N1750" s="17" t="s">
        <v>29</v>
      </c>
      <c r="O1750" s="17" t="s">
        <v>29</v>
      </c>
      <c r="P1750" s="17" t="s">
        <v>29</v>
      </c>
      <c r="Q1750" s="17" t="s">
        <v>29</v>
      </c>
      <c r="R1750" s="17"/>
      <c r="S1750" s="17"/>
      <c r="T1750" s="17"/>
      <c r="U1750" s="17"/>
      <c r="V1750" s="17"/>
      <c r="W1750" s="17"/>
      <c r="X1750" s="17"/>
      <c r="Y1750" s="17"/>
      <c r="Z1750" s="17"/>
      <c r="AA1750" s="17" t="s">
        <v>29</v>
      </c>
      <c r="AB1750" s="17" t="s">
        <v>29</v>
      </c>
    </row>
    <row r="1751" spans="1:28" x14ac:dyDescent="0.35">
      <c r="A1751" s="38" t="s">
        <v>1018</v>
      </c>
      <c r="B1751" s="7" t="s">
        <v>773</v>
      </c>
      <c r="C1751" s="8"/>
      <c r="D1751" s="8"/>
      <c r="E1751" s="8"/>
      <c r="F1751" s="8"/>
      <c r="G1751" s="8"/>
      <c r="H1751" s="8"/>
      <c r="I1751" s="8"/>
      <c r="J1751" s="8"/>
      <c r="K1751" s="8"/>
      <c r="L1751" s="8"/>
      <c r="M1751" s="8"/>
      <c r="N1751" s="8"/>
      <c r="O1751" s="8"/>
      <c r="P1751" s="8"/>
      <c r="Q1751" s="8"/>
      <c r="R1751" s="17"/>
      <c r="S1751" s="17"/>
      <c r="T1751" s="17"/>
      <c r="U1751" s="17"/>
      <c r="V1751" s="17"/>
      <c r="W1751" s="17"/>
      <c r="X1751" s="17"/>
      <c r="Y1751" s="17"/>
      <c r="Z1751" s="17"/>
    </row>
    <row r="1752" spans="1:28" x14ac:dyDescent="0.35">
      <c r="A1752" s="36"/>
      <c r="B1752" s="8"/>
      <c r="C1752" s="7" t="s">
        <v>774</v>
      </c>
      <c r="D1752" s="15" t="s">
        <v>166</v>
      </c>
      <c r="E1752" s="9">
        <f>STATS1003B!E1850/1000</f>
        <v>401.625</v>
      </c>
      <c r="F1752" s="9">
        <f>STATS1003B!F1850/1000</f>
        <v>401.625</v>
      </c>
      <c r="G1752" s="9">
        <f>STATS1003B!G1850/1000</f>
        <v>0</v>
      </c>
      <c r="H1752" s="9">
        <f>STATS1003B!H1850/1000</f>
        <v>401.625</v>
      </c>
      <c r="I1752" s="9">
        <f>STATS1003B!I1850/1000</f>
        <v>0</v>
      </c>
      <c r="J1752" s="9">
        <f>STATS1003B!J1850/1000</f>
        <v>401.625</v>
      </c>
      <c r="K1752" s="9">
        <f>STATS1003B!K1850/1000</f>
        <v>0</v>
      </c>
      <c r="L1752" s="9">
        <f>STATS1003B!L1850/1000</f>
        <v>0</v>
      </c>
      <c r="M1752" s="9">
        <f>STATS1003B!M1850/1000</f>
        <v>401.625</v>
      </c>
      <c r="N1752" s="9">
        <f>STATS1003B!N1850/1000</f>
        <v>0</v>
      </c>
      <c r="O1752" s="9">
        <f>STATS1003B!O1850/1000</f>
        <v>0</v>
      </c>
      <c r="P1752" s="9">
        <f>STATS1003B!P1850/1000</f>
        <v>0</v>
      </c>
      <c r="Q1752" s="9">
        <f>STATS1003B!Q1850/1000</f>
        <v>401.625</v>
      </c>
      <c r="R1752" s="9">
        <f>STATS1003B!R1850/1000</f>
        <v>0</v>
      </c>
      <c r="S1752" s="9">
        <f>STATS1003B!S1850/1000</f>
        <v>0</v>
      </c>
      <c r="T1752" s="9">
        <f>STATS1003B!T1850/1000</f>
        <v>0</v>
      </c>
      <c r="U1752" s="9">
        <f>STATS1003B!U1850/1000</f>
        <v>0</v>
      </c>
      <c r="V1752" s="9">
        <f>STATS1003B!V1850/1000</f>
        <v>0</v>
      </c>
      <c r="W1752" s="9">
        <f>STATS1003B!W1850/1000</f>
        <v>0</v>
      </c>
      <c r="X1752" s="9">
        <f>STATS1003B!X1850/1000</f>
        <v>401.625</v>
      </c>
      <c r="Y1752" s="9">
        <f>STATS1003B!Y1850/1000</f>
        <v>0</v>
      </c>
      <c r="Z1752" s="9">
        <f>STATS1003B!Z1850/1000</f>
        <v>0</v>
      </c>
      <c r="AA1752" s="9">
        <f>STATS1003B!AA1850/1000</f>
        <v>401.625</v>
      </c>
      <c r="AB1752" s="9">
        <f>STATS1003B!AB1850/1000</f>
        <v>0</v>
      </c>
    </row>
    <row r="1753" spans="1:28" x14ac:dyDescent="0.35">
      <c r="A1753" s="36"/>
      <c r="B1753" s="8"/>
      <c r="C1753" s="7" t="s">
        <v>775</v>
      </c>
      <c r="D1753" s="15" t="s">
        <v>166</v>
      </c>
      <c r="E1753" s="9">
        <f>STATS1003B!E1851/1000</f>
        <v>388.86399999999998</v>
      </c>
      <c r="F1753" s="9">
        <f>STATS1003B!F1851/1000</f>
        <v>388.86399999999998</v>
      </c>
      <c r="G1753" s="9">
        <f>STATS1003B!G1851/1000</f>
        <v>0</v>
      </c>
      <c r="H1753" s="9">
        <f>STATS1003B!H1851/1000</f>
        <v>388.86399999999998</v>
      </c>
      <c r="I1753" s="9">
        <f>STATS1003B!I1851/1000</f>
        <v>0</v>
      </c>
      <c r="J1753" s="9">
        <f>STATS1003B!J1851/1000</f>
        <v>388.86399999999998</v>
      </c>
      <c r="K1753" s="9">
        <f>STATS1003B!K1851/1000</f>
        <v>0</v>
      </c>
      <c r="L1753" s="9">
        <f>STATS1003B!L1851/1000</f>
        <v>0</v>
      </c>
      <c r="M1753" s="9">
        <f>STATS1003B!M1851/1000</f>
        <v>388.86399999999998</v>
      </c>
      <c r="N1753" s="9">
        <f>STATS1003B!N1851/1000</f>
        <v>0</v>
      </c>
      <c r="O1753" s="9">
        <f>STATS1003B!O1851/1000</f>
        <v>0</v>
      </c>
      <c r="P1753" s="9">
        <f>STATS1003B!P1851/1000</f>
        <v>0</v>
      </c>
      <c r="Q1753" s="9">
        <f>STATS1003B!Q1851/1000</f>
        <v>388.86399999999998</v>
      </c>
      <c r="R1753" s="9">
        <f>STATS1003B!R1851/1000</f>
        <v>0</v>
      </c>
      <c r="S1753" s="9">
        <f>STATS1003B!S1851/1000</f>
        <v>0</v>
      </c>
      <c r="T1753" s="9">
        <f>STATS1003B!T1851/1000</f>
        <v>0</v>
      </c>
      <c r="U1753" s="9">
        <f>STATS1003B!U1851/1000</f>
        <v>0</v>
      </c>
      <c r="V1753" s="9">
        <f>STATS1003B!V1851/1000</f>
        <v>0</v>
      </c>
      <c r="W1753" s="9">
        <f>STATS1003B!W1851/1000</f>
        <v>0</v>
      </c>
      <c r="X1753" s="9">
        <f>STATS1003B!X1851/1000</f>
        <v>388.86399999999998</v>
      </c>
      <c r="Y1753" s="9">
        <f>STATS1003B!Y1851/1000</f>
        <v>0</v>
      </c>
      <c r="Z1753" s="9">
        <f>STATS1003B!Z1851/1000</f>
        <v>0</v>
      </c>
      <c r="AA1753" s="9">
        <f>STATS1003B!AA1851/1000</f>
        <v>388.86399999999998</v>
      </c>
      <c r="AB1753" s="9">
        <f>STATS1003B!AB1851/1000</f>
        <v>0</v>
      </c>
    </row>
    <row r="1754" spans="1:28" x14ac:dyDescent="0.35">
      <c r="A1754" s="36"/>
      <c r="B1754" s="8"/>
      <c r="C1754" s="7" t="s">
        <v>776</v>
      </c>
      <c r="D1754" s="15" t="s">
        <v>166</v>
      </c>
      <c r="E1754" s="9">
        <f>STATS1003B!E1852/1000</f>
        <v>450.5</v>
      </c>
      <c r="F1754" s="9">
        <f>STATS1003B!F1852/1000</f>
        <v>450.5</v>
      </c>
      <c r="G1754" s="9">
        <f>STATS1003B!G1852/1000</f>
        <v>0</v>
      </c>
      <c r="H1754" s="9">
        <f>STATS1003B!H1852/1000</f>
        <v>450.5</v>
      </c>
      <c r="I1754" s="9">
        <f>STATS1003B!I1852/1000</f>
        <v>0</v>
      </c>
      <c r="J1754" s="9">
        <f>STATS1003B!J1852/1000</f>
        <v>450.5</v>
      </c>
      <c r="K1754" s="9">
        <f>STATS1003B!K1852/1000</f>
        <v>0</v>
      </c>
      <c r="L1754" s="9">
        <f>STATS1003B!L1852/1000</f>
        <v>0</v>
      </c>
      <c r="M1754" s="9">
        <f>STATS1003B!M1852/1000</f>
        <v>450.5</v>
      </c>
      <c r="N1754" s="9">
        <f>STATS1003B!N1852/1000</f>
        <v>0</v>
      </c>
      <c r="O1754" s="9">
        <f>STATS1003B!O1852/1000</f>
        <v>0</v>
      </c>
      <c r="P1754" s="9">
        <f>STATS1003B!P1852/1000</f>
        <v>0</v>
      </c>
      <c r="Q1754" s="9">
        <f>STATS1003B!Q1852/1000</f>
        <v>450.5</v>
      </c>
      <c r="R1754" s="9">
        <f>STATS1003B!R1852/1000</f>
        <v>0</v>
      </c>
      <c r="S1754" s="9">
        <f>STATS1003B!S1852/1000</f>
        <v>0</v>
      </c>
      <c r="T1754" s="9">
        <f>STATS1003B!T1852/1000</f>
        <v>0</v>
      </c>
      <c r="U1754" s="9">
        <f>STATS1003B!U1852/1000</f>
        <v>0</v>
      </c>
      <c r="V1754" s="9">
        <f>STATS1003B!V1852/1000</f>
        <v>0</v>
      </c>
      <c r="W1754" s="9">
        <f>STATS1003B!W1852/1000</f>
        <v>0</v>
      </c>
      <c r="X1754" s="9">
        <f>STATS1003B!X1852/1000</f>
        <v>450.5</v>
      </c>
      <c r="Y1754" s="9">
        <f>STATS1003B!Y1852/1000</f>
        <v>0</v>
      </c>
      <c r="Z1754" s="9">
        <f>STATS1003B!Z1852/1000</f>
        <v>0</v>
      </c>
      <c r="AA1754" s="9">
        <f>STATS1003B!AA1852/1000</f>
        <v>450.5</v>
      </c>
      <c r="AB1754" s="9">
        <f>STATS1003B!AB1852/1000</f>
        <v>0</v>
      </c>
    </row>
    <row r="1755" spans="1:28" x14ac:dyDescent="0.35">
      <c r="A1755" s="36"/>
      <c r="B1755" s="8"/>
      <c r="C1755" s="7" t="s">
        <v>777</v>
      </c>
      <c r="D1755" s="15" t="s">
        <v>78</v>
      </c>
      <c r="E1755" s="9">
        <f>STATS1003B!E1853/1000</f>
        <v>1973.0609999999999</v>
      </c>
      <c r="F1755" s="9">
        <f>STATS1003B!F1853/1000</f>
        <v>1973.0609999999999</v>
      </c>
      <c r="G1755" s="9">
        <f>STATS1003B!G1853/1000</f>
        <v>0</v>
      </c>
      <c r="H1755" s="9">
        <f>STATS1003B!H1853/1000</f>
        <v>1973.0609999999999</v>
      </c>
      <c r="I1755" s="9">
        <f>STATS1003B!I1853/1000</f>
        <v>0</v>
      </c>
      <c r="J1755" s="9">
        <f>STATS1003B!J1853/1000</f>
        <v>1973.0609999999999</v>
      </c>
      <c r="K1755" s="9">
        <f>STATS1003B!K1853/1000</f>
        <v>0</v>
      </c>
      <c r="L1755" s="9">
        <f>STATS1003B!L1853/1000</f>
        <v>0</v>
      </c>
      <c r="M1755" s="9">
        <f>STATS1003B!M1853/1000</f>
        <v>1973.0609999999999</v>
      </c>
      <c r="N1755" s="9">
        <f>STATS1003B!N1853/1000</f>
        <v>0</v>
      </c>
      <c r="O1755" s="9">
        <f>STATS1003B!O1853/1000</f>
        <v>0</v>
      </c>
      <c r="P1755" s="9">
        <f>STATS1003B!P1853/1000</f>
        <v>0</v>
      </c>
      <c r="Q1755" s="9">
        <f>STATS1003B!Q1853/1000</f>
        <v>1973.0609999999999</v>
      </c>
      <c r="R1755" s="9">
        <f>STATS1003B!R1853/1000</f>
        <v>0</v>
      </c>
      <c r="S1755" s="9">
        <f>STATS1003B!S1853/1000</f>
        <v>0</v>
      </c>
      <c r="T1755" s="9">
        <f>STATS1003B!T1853/1000</f>
        <v>0</v>
      </c>
      <c r="U1755" s="9">
        <f>STATS1003B!U1853/1000</f>
        <v>0</v>
      </c>
      <c r="V1755" s="9">
        <f>STATS1003B!V1853/1000</f>
        <v>0</v>
      </c>
      <c r="W1755" s="9">
        <f>STATS1003B!W1853/1000</f>
        <v>0</v>
      </c>
      <c r="X1755" s="9">
        <f>STATS1003B!X1853/1000</f>
        <v>1973.0609999999999</v>
      </c>
      <c r="Y1755" s="9">
        <f>STATS1003B!Y1853/1000</f>
        <v>0</v>
      </c>
      <c r="Z1755" s="9">
        <f>STATS1003B!Z1853/1000</f>
        <v>0</v>
      </c>
      <c r="AA1755" s="9">
        <f>STATS1003B!AA1853/1000</f>
        <v>1973.0609999999999</v>
      </c>
      <c r="AB1755" s="9">
        <f>STATS1003B!AB1853/1000</f>
        <v>0</v>
      </c>
    </row>
    <row r="1756" spans="1:28" x14ac:dyDescent="0.35">
      <c r="A1756" s="36"/>
      <c r="B1756" s="8"/>
      <c r="C1756" s="7" t="s">
        <v>535</v>
      </c>
      <c r="D1756" s="15" t="s">
        <v>68</v>
      </c>
      <c r="E1756" s="9">
        <f>STATS1003B!E1854/1000</f>
        <v>3540.5880000000002</v>
      </c>
      <c r="F1756" s="9">
        <f>STATS1003B!F1854/1000</f>
        <v>1337.27</v>
      </c>
      <c r="G1756" s="9">
        <f>STATS1003B!G1854/1000</f>
        <v>0</v>
      </c>
      <c r="H1756" s="9">
        <f>STATS1003B!H1854/1000</f>
        <v>1337.27</v>
      </c>
      <c r="I1756" s="9">
        <f>STATS1003B!I1854/1000</f>
        <v>0</v>
      </c>
      <c r="J1756" s="9">
        <f>STATS1003B!J1854/1000</f>
        <v>1337.27</v>
      </c>
      <c r="K1756" s="9">
        <f>STATS1003B!K1854/1000</f>
        <v>2203.3180000000002</v>
      </c>
      <c r="L1756" s="9">
        <f>STATS1003B!L1854/1000</f>
        <v>0</v>
      </c>
      <c r="M1756" s="9">
        <f>STATS1003B!M1854/1000</f>
        <v>1337.27</v>
      </c>
      <c r="N1756" s="9">
        <f>STATS1003B!N1854/1000</f>
        <v>2203.3180000000002</v>
      </c>
      <c r="O1756" s="9">
        <f>STATS1003B!O1854/1000</f>
        <v>0</v>
      </c>
      <c r="P1756" s="9">
        <f>STATS1003B!P1854/1000</f>
        <v>2203.3180000000002</v>
      </c>
      <c r="Q1756" s="9">
        <f>STATS1003B!Q1854/1000</f>
        <v>1337.27</v>
      </c>
      <c r="R1756" s="9">
        <f>STATS1003B!R1854/1000</f>
        <v>0</v>
      </c>
      <c r="S1756" s="9">
        <f>STATS1003B!S1854/1000</f>
        <v>0</v>
      </c>
      <c r="T1756" s="9">
        <f>STATS1003B!T1854/1000</f>
        <v>0</v>
      </c>
      <c r="U1756" s="9">
        <f>STATS1003B!U1854/1000</f>
        <v>2203.3180000000002</v>
      </c>
      <c r="V1756" s="9">
        <f>STATS1003B!V1854/1000</f>
        <v>0</v>
      </c>
      <c r="W1756" s="9">
        <f>STATS1003B!W1854/1000</f>
        <v>0</v>
      </c>
      <c r="X1756" s="9">
        <f>STATS1003B!X1854/1000</f>
        <v>3540.5880000000002</v>
      </c>
      <c r="Y1756" s="9">
        <f>STATS1003B!Y1854/1000</f>
        <v>0</v>
      </c>
      <c r="Z1756" s="9">
        <f>STATS1003B!Z1854/1000</f>
        <v>0</v>
      </c>
      <c r="AA1756" s="9">
        <f>STATS1003B!AA1854/1000</f>
        <v>3540.5880000000002</v>
      </c>
      <c r="AB1756" s="9">
        <f>STATS1003B!AB1854/1000</f>
        <v>0</v>
      </c>
    </row>
    <row r="1757" spans="1:28" x14ac:dyDescent="0.35">
      <c r="A1757" s="36"/>
      <c r="B1757" s="8"/>
      <c r="C1757" s="7" t="s">
        <v>539</v>
      </c>
      <c r="D1757" s="15" t="s">
        <v>68</v>
      </c>
      <c r="E1757" s="9">
        <f>STATS1003B!E1855/1000</f>
        <v>2672.5347000000002</v>
      </c>
      <c r="F1757" s="9">
        <f>STATS1003B!F1855/1000</f>
        <v>0</v>
      </c>
      <c r="G1757" s="9">
        <f>STATS1003B!G1855/1000</f>
        <v>0</v>
      </c>
      <c r="H1757" s="9">
        <f>STATS1003B!H1855/1000</f>
        <v>0</v>
      </c>
      <c r="I1757" s="9">
        <f>STATS1003B!I1855/1000</f>
        <v>0</v>
      </c>
      <c r="J1757" s="9">
        <f>STATS1003B!J1855/1000</f>
        <v>0</v>
      </c>
      <c r="K1757" s="9">
        <f>STATS1003B!K1855/1000</f>
        <v>2672.5347000000002</v>
      </c>
      <c r="L1757" s="9">
        <f>STATS1003B!L1855/1000</f>
        <v>0</v>
      </c>
      <c r="M1757" s="9">
        <f>STATS1003B!M1855/1000</f>
        <v>0</v>
      </c>
      <c r="N1757" s="9">
        <f>STATS1003B!N1855/1000</f>
        <v>2672.5347000000002</v>
      </c>
      <c r="O1757" s="9">
        <f>STATS1003B!O1855/1000</f>
        <v>0</v>
      </c>
      <c r="P1757" s="9">
        <f>STATS1003B!P1855/1000</f>
        <v>2672.5347000000002</v>
      </c>
      <c r="Q1757" s="9">
        <f>STATS1003B!Q1855/1000</f>
        <v>0</v>
      </c>
      <c r="R1757" s="9">
        <f>STATS1003B!R1855/1000</f>
        <v>0</v>
      </c>
      <c r="S1757" s="9">
        <f>STATS1003B!S1855/1000</f>
        <v>0</v>
      </c>
      <c r="T1757" s="9">
        <f>STATS1003B!T1855/1000</f>
        <v>0</v>
      </c>
      <c r="U1757" s="9">
        <f>STATS1003B!U1855/1000</f>
        <v>2672.5347000000002</v>
      </c>
      <c r="V1757" s="9">
        <f>STATS1003B!V1855/1000</f>
        <v>0</v>
      </c>
      <c r="W1757" s="9">
        <f>STATS1003B!W1855/1000</f>
        <v>0</v>
      </c>
      <c r="X1757" s="9">
        <f>STATS1003B!X1855/1000</f>
        <v>2672.5347000000002</v>
      </c>
      <c r="Y1757" s="9">
        <f>STATS1003B!Y1855/1000</f>
        <v>0</v>
      </c>
      <c r="Z1757" s="9">
        <f>STATS1003B!Z1855/1000</f>
        <v>0</v>
      </c>
      <c r="AA1757" s="9">
        <f>STATS1003B!AA1855/1000</f>
        <v>2672.5347000000002</v>
      </c>
      <c r="AB1757" s="9">
        <f>STATS1003B!AB1855/1000</f>
        <v>0</v>
      </c>
    </row>
    <row r="1758" spans="1:28" x14ac:dyDescent="0.35">
      <c r="A1758" s="36"/>
      <c r="B1758" s="8"/>
      <c r="C1758" s="7" t="s">
        <v>545</v>
      </c>
      <c r="D1758" s="15" t="s">
        <v>54</v>
      </c>
      <c r="E1758" s="9">
        <f>STATS1003B!E1856/1000</f>
        <v>1767.77</v>
      </c>
      <c r="F1758" s="9">
        <f>STATS1003B!F1856/1000</f>
        <v>0</v>
      </c>
      <c r="G1758" s="9">
        <f>STATS1003B!G1856/1000</f>
        <v>0</v>
      </c>
      <c r="H1758" s="9">
        <f>STATS1003B!H1856/1000</f>
        <v>0</v>
      </c>
      <c r="I1758" s="9">
        <f>STATS1003B!I1856/1000</f>
        <v>0</v>
      </c>
      <c r="J1758" s="9">
        <f>STATS1003B!J1856/1000</f>
        <v>0</v>
      </c>
      <c r="K1758" s="9">
        <f>STATS1003B!K1856/1000</f>
        <v>1767.77</v>
      </c>
      <c r="L1758" s="9">
        <f>STATS1003B!L1856/1000</f>
        <v>0</v>
      </c>
      <c r="M1758" s="9">
        <f>STATS1003B!M1856/1000</f>
        <v>0</v>
      </c>
      <c r="N1758" s="9">
        <f>STATS1003B!N1856/1000</f>
        <v>1767.77</v>
      </c>
      <c r="O1758" s="9">
        <f>STATS1003B!O1856/1000</f>
        <v>0</v>
      </c>
      <c r="P1758" s="9">
        <f>STATS1003B!P1856/1000</f>
        <v>1767.77</v>
      </c>
      <c r="Q1758" s="9">
        <f>STATS1003B!Q1856/1000</f>
        <v>0</v>
      </c>
      <c r="R1758" s="9">
        <f>STATS1003B!R1856/1000</f>
        <v>0</v>
      </c>
      <c r="S1758" s="9">
        <f>STATS1003B!S1856/1000</f>
        <v>0</v>
      </c>
      <c r="T1758" s="9">
        <f>STATS1003B!T1856/1000</f>
        <v>0</v>
      </c>
      <c r="U1758" s="9">
        <f>STATS1003B!U1856/1000</f>
        <v>1767.77</v>
      </c>
      <c r="V1758" s="9">
        <f>STATS1003B!V1856/1000</f>
        <v>0</v>
      </c>
      <c r="W1758" s="9">
        <f>STATS1003B!W1856/1000</f>
        <v>0</v>
      </c>
      <c r="X1758" s="9">
        <f>STATS1003B!X1856/1000</f>
        <v>1767.77</v>
      </c>
      <c r="Y1758" s="9">
        <f>STATS1003B!Y1856/1000</f>
        <v>0</v>
      </c>
      <c r="Z1758" s="9">
        <f>STATS1003B!Z1856/1000</f>
        <v>0</v>
      </c>
      <c r="AA1758" s="9">
        <f>STATS1003B!AA1856/1000</f>
        <v>1767.77</v>
      </c>
      <c r="AB1758" s="9">
        <f>STATS1003B!AB1856/1000</f>
        <v>0</v>
      </c>
    </row>
    <row r="1759" spans="1:28" x14ac:dyDescent="0.35">
      <c r="A1759" s="36"/>
      <c r="B1759" s="8"/>
      <c r="C1759" s="7" t="s">
        <v>778</v>
      </c>
      <c r="D1759" s="15" t="s">
        <v>54</v>
      </c>
      <c r="E1759" s="9">
        <f>STATS1003B!E1857/1000</f>
        <v>1900</v>
      </c>
      <c r="F1759" s="9">
        <f>STATS1003B!F1857/1000</f>
        <v>1900</v>
      </c>
      <c r="G1759" s="9">
        <f>STATS1003B!G1857/1000</f>
        <v>0</v>
      </c>
      <c r="H1759" s="9">
        <f>STATS1003B!H1857/1000</f>
        <v>1900</v>
      </c>
      <c r="I1759" s="9">
        <f>STATS1003B!I1857/1000</f>
        <v>0</v>
      </c>
      <c r="J1759" s="9">
        <f>STATS1003B!J1857/1000</f>
        <v>1900</v>
      </c>
      <c r="K1759" s="9">
        <f>STATS1003B!K1857/1000</f>
        <v>0</v>
      </c>
      <c r="L1759" s="9">
        <f>STATS1003B!L1857/1000</f>
        <v>0</v>
      </c>
      <c r="M1759" s="9">
        <f>STATS1003B!M1857/1000</f>
        <v>1900</v>
      </c>
      <c r="N1759" s="9">
        <f>STATS1003B!N1857/1000</f>
        <v>0</v>
      </c>
      <c r="O1759" s="9">
        <f>STATS1003B!O1857/1000</f>
        <v>0</v>
      </c>
      <c r="P1759" s="9">
        <f>STATS1003B!P1857/1000</f>
        <v>0</v>
      </c>
      <c r="Q1759" s="9">
        <f>STATS1003B!Q1857/1000</f>
        <v>1900</v>
      </c>
      <c r="R1759" s="9">
        <f>STATS1003B!R1857/1000</f>
        <v>0</v>
      </c>
      <c r="S1759" s="9">
        <f>STATS1003B!S1857/1000</f>
        <v>0</v>
      </c>
      <c r="T1759" s="9">
        <f>STATS1003B!T1857/1000</f>
        <v>0</v>
      </c>
      <c r="U1759" s="9">
        <f>STATS1003B!U1857/1000</f>
        <v>0</v>
      </c>
      <c r="V1759" s="9">
        <f>STATS1003B!V1857/1000</f>
        <v>0</v>
      </c>
      <c r="W1759" s="9">
        <f>STATS1003B!W1857/1000</f>
        <v>0</v>
      </c>
      <c r="X1759" s="9">
        <f>STATS1003B!X1857/1000</f>
        <v>1900</v>
      </c>
      <c r="Y1759" s="9">
        <f>STATS1003B!Y1857/1000</f>
        <v>0</v>
      </c>
      <c r="Z1759" s="9">
        <f>STATS1003B!Z1857/1000</f>
        <v>0</v>
      </c>
      <c r="AA1759" s="9">
        <f>STATS1003B!AA1857/1000</f>
        <v>1900</v>
      </c>
      <c r="AB1759" s="9">
        <f>STATS1003B!AB1857/1000</f>
        <v>0</v>
      </c>
    </row>
    <row r="1760" spans="1:28" x14ac:dyDescent="0.35">
      <c r="A1760" s="36"/>
      <c r="B1760" s="8"/>
      <c r="C1760" s="7" t="s">
        <v>535</v>
      </c>
      <c r="D1760" s="15" t="s">
        <v>85</v>
      </c>
      <c r="E1760" s="9">
        <f>STATS1003B!E1858/1000</f>
        <v>1859.41</v>
      </c>
      <c r="F1760" s="9">
        <f>STATS1003B!F1858/1000</f>
        <v>1859.41</v>
      </c>
      <c r="G1760" s="9">
        <f>STATS1003B!G1858/1000</f>
        <v>0</v>
      </c>
      <c r="H1760" s="9">
        <f>STATS1003B!H1858/1000</f>
        <v>1859.41</v>
      </c>
      <c r="I1760" s="9">
        <f>STATS1003B!I1858/1000</f>
        <v>0</v>
      </c>
      <c r="J1760" s="9">
        <f>STATS1003B!J1858/1000</f>
        <v>1859.41</v>
      </c>
      <c r="K1760" s="9">
        <f>STATS1003B!K1858/1000</f>
        <v>0</v>
      </c>
      <c r="L1760" s="9">
        <f>STATS1003B!L1858/1000</f>
        <v>0</v>
      </c>
      <c r="M1760" s="9">
        <f>STATS1003B!M1858/1000</f>
        <v>1859.41</v>
      </c>
      <c r="N1760" s="9">
        <f>STATS1003B!N1858/1000</f>
        <v>0</v>
      </c>
      <c r="O1760" s="9">
        <f>STATS1003B!O1858/1000</f>
        <v>0</v>
      </c>
      <c r="P1760" s="9">
        <f>STATS1003B!P1858/1000</f>
        <v>0</v>
      </c>
      <c r="Q1760" s="9">
        <f>STATS1003B!Q1858/1000</f>
        <v>1859.41</v>
      </c>
      <c r="R1760" s="9">
        <f>STATS1003B!R1858/1000</f>
        <v>0</v>
      </c>
      <c r="S1760" s="9">
        <f>STATS1003B!S1858/1000</f>
        <v>0</v>
      </c>
      <c r="T1760" s="9">
        <f>STATS1003B!T1858/1000</f>
        <v>0</v>
      </c>
      <c r="U1760" s="9">
        <f>STATS1003B!U1858/1000</f>
        <v>0</v>
      </c>
      <c r="V1760" s="9">
        <f>STATS1003B!V1858/1000</f>
        <v>0</v>
      </c>
      <c r="W1760" s="9">
        <f>STATS1003B!W1858/1000</f>
        <v>0</v>
      </c>
      <c r="X1760" s="9">
        <f>STATS1003B!X1858/1000</f>
        <v>1859.41</v>
      </c>
      <c r="Y1760" s="9">
        <f>STATS1003B!Y1858/1000</f>
        <v>0</v>
      </c>
      <c r="Z1760" s="9">
        <f>STATS1003B!Z1858/1000</f>
        <v>0</v>
      </c>
      <c r="AA1760" s="9">
        <f>STATS1003B!AA1858/1000</f>
        <v>1859.41</v>
      </c>
      <c r="AB1760" s="9">
        <f>STATS1003B!AB1858/1000</f>
        <v>0</v>
      </c>
    </row>
    <row r="1761" spans="1:28" x14ac:dyDescent="0.35">
      <c r="A1761" s="36"/>
      <c r="B1761" s="8"/>
      <c r="C1761" s="7" t="s">
        <v>535</v>
      </c>
      <c r="D1761" s="15" t="s">
        <v>88</v>
      </c>
      <c r="E1761" s="9">
        <f>STATS1003B!E1859/1000</f>
        <v>1624.0928200000001</v>
      </c>
      <c r="F1761" s="9">
        <f>STATS1003B!F1859/1000</f>
        <v>1624.0928200000001</v>
      </c>
      <c r="G1761" s="9">
        <f>STATS1003B!G1859/1000</f>
        <v>0</v>
      </c>
      <c r="H1761" s="9">
        <f>STATS1003B!H1859/1000</f>
        <v>1624.0928200000001</v>
      </c>
      <c r="I1761" s="9">
        <f>STATS1003B!I1859/1000</f>
        <v>0</v>
      </c>
      <c r="J1761" s="9">
        <f>STATS1003B!J1859/1000</f>
        <v>1624.0928200000001</v>
      </c>
      <c r="K1761" s="9">
        <f>STATS1003B!K1859/1000</f>
        <v>0</v>
      </c>
      <c r="L1761" s="9">
        <f>STATS1003B!L1859/1000</f>
        <v>0</v>
      </c>
      <c r="M1761" s="9">
        <f>STATS1003B!M1859/1000</f>
        <v>1624.0928200000001</v>
      </c>
      <c r="N1761" s="9">
        <f>STATS1003B!N1859/1000</f>
        <v>0</v>
      </c>
      <c r="O1761" s="9">
        <f>STATS1003B!O1859/1000</f>
        <v>0</v>
      </c>
      <c r="P1761" s="9">
        <f>STATS1003B!P1859/1000</f>
        <v>0</v>
      </c>
      <c r="Q1761" s="9">
        <f>STATS1003B!Q1859/1000</f>
        <v>1624.0928200000001</v>
      </c>
      <c r="R1761" s="9">
        <f>STATS1003B!R1859/1000</f>
        <v>0</v>
      </c>
      <c r="S1761" s="9">
        <f>STATS1003B!S1859/1000</f>
        <v>0</v>
      </c>
      <c r="T1761" s="9">
        <f>STATS1003B!T1859/1000</f>
        <v>0</v>
      </c>
      <c r="U1761" s="9">
        <f>STATS1003B!U1859/1000</f>
        <v>0</v>
      </c>
      <c r="V1761" s="9">
        <f>STATS1003B!V1859/1000</f>
        <v>0</v>
      </c>
      <c r="W1761" s="9">
        <f>STATS1003B!W1859/1000</f>
        <v>0</v>
      </c>
      <c r="X1761" s="9">
        <f>STATS1003B!X1859/1000</f>
        <v>1624.0928200000001</v>
      </c>
      <c r="Y1761" s="9">
        <f>STATS1003B!Y1859/1000</f>
        <v>0</v>
      </c>
      <c r="Z1761" s="9">
        <f>STATS1003B!Z1859/1000</f>
        <v>0</v>
      </c>
      <c r="AA1761" s="9">
        <f>STATS1003B!AA1859/1000</f>
        <v>1624.0928200000001</v>
      </c>
      <c r="AB1761" s="9">
        <f>STATS1003B!AB1859/1000</f>
        <v>0</v>
      </c>
    </row>
    <row r="1762" spans="1:28" x14ac:dyDescent="0.35">
      <c r="A1762" s="36"/>
      <c r="B1762" s="8"/>
      <c r="C1762" s="7" t="s">
        <v>535</v>
      </c>
      <c r="D1762" s="15" t="s">
        <v>58</v>
      </c>
      <c r="E1762" s="9">
        <f>STATS1003B!E1860/1000</f>
        <v>1886.4</v>
      </c>
      <c r="F1762" s="9">
        <f>STATS1003B!F1860/1000</f>
        <v>1886.4</v>
      </c>
      <c r="G1762" s="9">
        <f>STATS1003B!G1860/1000</f>
        <v>0</v>
      </c>
      <c r="H1762" s="9">
        <f>STATS1003B!H1860/1000</f>
        <v>1886.4</v>
      </c>
      <c r="I1762" s="9">
        <f>STATS1003B!I1860/1000</f>
        <v>0</v>
      </c>
      <c r="J1762" s="9">
        <f>STATS1003B!J1860/1000</f>
        <v>1886.4</v>
      </c>
      <c r="K1762" s="9">
        <f>STATS1003B!K1860/1000</f>
        <v>0</v>
      </c>
      <c r="L1762" s="9">
        <f>STATS1003B!L1860/1000</f>
        <v>0</v>
      </c>
      <c r="M1762" s="9">
        <f>STATS1003B!M1860/1000</f>
        <v>1886.4</v>
      </c>
      <c r="N1762" s="9">
        <f>STATS1003B!N1860/1000</f>
        <v>0</v>
      </c>
      <c r="O1762" s="9">
        <f>STATS1003B!O1860/1000</f>
        <v>0</v>
      </c>
      <c r="P1762" s="9">
        <f>STATS1003B!P1860/1000</f>
        <v>0</v>
      </c>
      <c r="Q1762" s="9">
        <f>STATS1003B!Q1860/1000</f>
        <v>1886.4</v>
      </c>
      <c r="R1762" s="9">
        <f>STATS1003B!R1860/1000</f>
        <v>0</v>
      </c>
      <c r="S1762" s="9">
        <f>STATS1003B!S1860/1000</f>
        <v>0</v>
      </c>
      <c r="T1762" s="9">
        <f>STATS1003B!T1860/1000</f>
        <v>0</v>
      </c>
      <c r="U1762" s="9">
        <f>STATS1003B!U1860/1000</f>
        <v>0</v>
      </c>
      <c r="V1762" s="9">
        <f>STATS1003B!V1860/1000</f>
        <v>0</v>
      </c>
      <c r="W1762" s="9">
        <f>STATS1003B!W1860/1000</f>
        <v>0</v>
      </c>
      <c r="X1762" s="9">
        <f>STATS1003B!X1860/1000</f>
        <v>1886.4</v>
      </c>
      <c r="Y1762" s="9">
        <f>STATS1003B!Y1860/1000</f>
        <v>0</v>
      </c>
      <c r="Z1762" s="9">
        <f>STATS1003B!Z1860/1000</f>
        <v>0</v>
      </c>
      <c r="AA1762" s="9">
        <f>STATS1003B!AA1860/1000</f>
        <v>1886.4</v>
      </c>
      <c r="AB1762" s="9">
        <f>STATS1003B!AB1860/1000</f>
        <v>0</v>
      </c>
    </row>
    <row r="1763" spans="1:28" x14ac:dyDescent="0.35">
      <c r="A1763" s="36"/>
      <c r="B1763" s="8"/>
      <c r="C1763" s="7" t="s">
        <v>535</v>
      </c>
      <c r="D1763" s="15" t="s">
        <v>60</v>
      </c>
      <c r="E1763" s="9">
        <f>STATS1003B!E1861/1000</f>
        <v>6485.0910000000003</v>
      </c>
      <c r="F1763" s="9">
        <f>STATS1003B!F1861/1000</f>
        <v>6485.0910000000003</v>
      </c>
      <c r="G1763" s="9">
        <f>STATS1003B!G1861/1000</f>
        <v>0</v>
      </c>
      <c r="H1763" s="9">
        <f>STATS1003B!H1861/1000</f>
        <v>6485.0910000000003</v>
      </c>
      <c r="I1763" s="9">
        <f>STATS1003B!I1861/1000</f>
        <v>0</v>
      </c>
      <c r="J1763" s="9">
        <f>STATS1003B!J1861/1000</f>
        <v>6485.0910000000003</v>
      </c>
      <c r="K1763" s="9">
        <f>STATS1003B!K1861/1000</f>
        <v>0</v>
      </c>
      <c r="L1763" s="9">
        <f>STATS1003B!L1861/1000</f>
        <v>0</v>
      </c>
      <c r="M1763" s="9">
        <f>STATS1003B!M1861/1000</f>
        <v>6485.0910000000003</v>
      </c>
      <c r="N1763" s="9">
        <f>STATS1003B!N1861/1000</f>
        <v>0</v>
      </c>
      <c r="O1763" s="9">
        <f>STATS1003B!O1861/1000</f>
        <v>0</v>
      </c>
      <c r="P1763" s="9">
        <f>STATS1003B!P1861/1000</f>
        <v>0</v>
      </c>
      <c r="Q1763" s="9">
        <f>STATS1003B!Q1861/1000</f>
        <v>6485.0910000000003</v>
      </c>
      <c r="R1763" s="9">
        <f>STATS1003B!R1861/1000</f>
        <v>0</v>
      </c>
      <c r="S1763" s="9">
        <f>STATS1003B!S1861/1000</f>
        <v>0</v>
      </c>
      <c r="T1763" s="9">
        <f>STATS1003B!T1861/1000</f>
        <v>0</v>
      </c>
      <c r="U1763" s="9">
        <f>STATS1003B!U1861/1000</f>
        <v>0</v>
      </c>
      <c r="V1763" s="9">
        <f>STATS1003B!V1861/1000</f>
        <v>0</v>
      </c>
      <c r="W1763" s="9">
        <f>STATS1003B!W1861/1000</f>
        <v>0</v>
      </c>
      <c r="X1763" s="9">
        <f>STATS1003B!X1861/1000</f>
        <v>6485.0910000000003</v>
      </c>
      <c r="Y1763" s="9">
        <f>STATS1003B!Y1861/1000</f>
        <v>0</v>
      </c>
      <c r="Z1763" s="9">
        <f>STATS1003B!Z1861/1000</f>
        <v>0</v>
      </c>
      <c r="AA1763" s="9">
        <f>STATS1003B!AA1861/1000</f>
        <v>6485.0910000000003</v>
      </c>
      <c r="AB1763" s="9">
        <f>STATS1003B!AB1861/1000</f>
        <v>0</v>
      </c>
    </row>
    <row r="1764" spans="1:28" x14ac:dyDescent="0.35">
      <c r="A1764" s="36"/>
      <c r="B1764" s="8"/>
      <c r="C1764" s="14" t="s">
        <v>535</v>
      </c>
      <c r="D1764" s="21" t="s">
        <v>73</v>
      </c>
      <c r="E1764" s="9">
        <f>STATS1003B!E1862/1000</f>
        <v>9207.3799999999992</v>
      </c>
      <c r="F1764" s="9">
        <f>STATS1003B!F1862/1000</f>
        <v>9207.3799999999992</v>
      </c>
      <c r="G1764" s="9">
        <f>STATS1003B!G1862/1000</f>
        <v>0</v>
      </c>
      <c r="H1764" s="9">
        <f>STATS1003B!H1862/1000</f>
        <v>9207.3799999999992</v>
      </c>
      <c r="I1764" s="9">
        <f>STATS1003B!I1862/1000</f>
        <v>0</v>
      </c>
      <c r="J1764" s="9">
        <f>STATS1003B!J1862/1000</f>
        <v>9207.3799999999992</v>
      </c>
      <c r="K1764" s="9">
        <f>STATS1003B!K1862/1000</f>
        <v>0</v>
      </c>
      <c r="L1764" s="9">
        <f>STATS1003B!L1862/1000</f>
        <v>0</v>
      </c>
      <c r="M1764" s="9">
        <f>STATS1003B!M1862/1000</f>
        <v>9207.3799999999992</v>
      </c>
      <c r="N1764" s="9">
        <f>STATS1003B!N1862/1000</f>
        <v>0</v>
      </c>
      <c r="O1764" s="9">
        <f>STATS1003B!O1862/1000</f>
        <v>0</v>
      </c>
      <c r="P1764" s="9">
        <f>STATS1003B!P1862/1000</f>
        <v>0</v>
      </c>
      <c r="Q1764" s="9">
        <f>STATS1003B!Q1862/1000</f>
        <v>9207.3799999999992</v>
      </c>
      <c r="R1764" s="9">
        <f>STATS1003B!R1862/1000</f>
        <v>0</v>
      </c>
      <c r="S1764" s="9">
        <f>STATS1003B!S1862/1000</f>
        <v>0</v>
      </c>
      <c r="T1764" s="9">
        <f>STATS1003B!T1862/1000</f>
        <v>0</v>
      </c>
      <c r="U1764" s="9">
        <f>STATS1003B!U1862/1000</f>
        <v>0</v>
      </c>
      <c r="V1764" s="9">
        <f>STATS1003B!V1862/1000</f>
        <v>0</v>
      </c>
      <c r="W1764" s="9">
        <f>STATS1003B!W1862/1000</f>
        <v>0</v>
      </c>
      <c r="X1764" s="9">
        <f>STATS1003B!X1862/1000</f>
        <v>9207.3799999999992</v>
      </c>
      <c r="Y1764" s="9">
        <f>STATS1003B!Y1862/1000</f>
        <v>0</v>
      </c>
      <c r="Z1764" s="9">
        <f>STATS1003B!Z1862/1000</f>
        <v>0</v>
      </c>
      <c r="AA1764" s="9">
        <f>STATS1003B!AA1862/1000</f>
        <v>9207.3799999999992</v>
      </c>
      <c r="AB1764" s="9">
        <f>STATS1003B!AB1862/1000</f>
        <v>0</v>
      </c>
    </row>
    <row r="1765" spans="1:28" x14ac:dyDescent="0.35">
      <c r="A1765" s="36"/>
      <c r="B1765" s="8"/>
      <c r="C1765" s="14" t="s">
        <v>535</v>
      </c>
      <c r="D1765" s="21" t="s">
        <v>61</v>
      </c>
      <c r="E1765" s="9">
        <f>STATS1003B!E1863/1000</f>
        <v>9191</v>
      </c>
      <c r="F1765" s="9">
        <f>STATS1003B!F1863/1000</f>
        <v>9191</v>
      </c>
      <c r="G1765" s="9">
        <f>STATS1003B!G1863/1000</f>
        <v>0</v>
      </c>
      <c r="H1765" s="9">
        <f>STATS1003B!H1863/1000</f>
        <v>9191</v>
      </c>
      <c r="I1765" s="9">
        <f>STATS1003B!I1863/1000</f>
        <v>0</v>
      </c>
      <c r="J1765" s="9">
        <f>STATS1003B!J1863/1000</f>
        <v>9191</v>
      </c>
      <c r="K1765" s="9">
        <f>STATS1003B!K1863/1000</f>
        <v>0</v>
      </c>
      <c r="L1765" s="9">
        <f>STATS1003B!L1863/1000</f>
        <v>0</v>
      </c>
      <c r="M1765" s="9">
        <f>STATS1003B!M1863/1000</f>
        <v>9191</v>
      </c>
      <c r="N1765" s="9">
        <f>STATS1003B!N1863/1000</f>
        <v>0</v>
      </c>
      <c r="O1765" s="9">
        <f>STATS1003B!O1863/1000</f>
        <v>0</v>
      </c>
      <c r="P1765" s="9">
        <f>STATS1003B!P1863/1000</f>
        <v>0</v>
      </c>
      <c r="Q1765" s="9">
        <f>STATS1003B!Q1863/1000</f>
        <v>9191</v>
      </c>
      <c r="R1765" s="9">
        <f>STATS1003B!R1863/1000</f>
        <v>0</v>
      </c>
      <c r="S1765" s="9">
        <f>STATS1003B!S1863/1000</f>
        <v>0</v>
      </c>
      <c r="T1765" s="9">
        <f>STATS1003B!T1863/1000</f>
        <v>0</v>
      </c>
      <c r="U1765" s="9">
        <f>STATS1003B!U1863/1000</f>
        <v>0</v>
      </c>
      <c r="V1765" s="9">
        <f>STATS1003B!V1863/1000</f>
        <v>0</v>
      </c>
      <c r="W1765" s="9">
        <f>STATS1003B!W1863/1000</f>
        <v>0</v>
      </c>
      <c r="X1765" s="9">
        <f>STATS1003B!X1863/1000</f>
        <v>9191</v>
      </c>
      <c r="Y1765" s="9">
        <f>STATS1003B!Y1863/1000</f>
        <v>0</v>
      </c>
      <c r="Z1765" s="9">
        <f>STATS1003B!Z1863/1000</f>
        <v>0</v>
      </c>
      <c r="AA1765" s="9">
        <f>STATS1003B!AA1863/1000</f>
        <v>9191</v>
      </c>
      <c r="AB1765" s="9">
        <f>STATS1003B!AB1863/1000</f>
        <v>0</v>
      </c>
    </row>
    <row r="1766" spans="1:28" x14ac:dyDescent="0.35">
      <c r="A1766" s="36"/>
      <c r="B1766" s="8"/>
      <c r="C1766" s="14" t="s">
        <v>933</v>
      </c>
      <c r="D1766" s="24" t="s">
        <v>1072</v>
      </c>
      <c r="E1766" s="9">
        <f>STATS1003B!E1864/1000</f>
        <v>6912.1541799999995</v>
      </c>
      <c r="F1766" s="9">
        <f>STATS1003B!F1864/1000</f>
        <v>6912.1541799999995</v>
      </c>
      <c r="G1766" s="9">
        <f>STATS1003B!G1864/1000</f>
        <v>0</v>
      </c>
      <c r="H1766" s="9">
        <f>STATS1003B!H1864/1000</f>
        <v>6912.1541799999995</v>
      </c>
      <c r="I1766" s="9">
        <f>STATS1003B!I1864/1000</f>
        <v>0</v>
      </c>
      <c r="J1766" s="9">
        <f>STATS1003B!J1864/1000</f>
        <v>0</v>
      </c>
      <c r="K1766" s="9">
        <f>STATS1003B!K1864/1000</f>
        <v>0</v>
      </c>
      <c r="L1766" s="9">
        <f>STATS1003B!L1864/1000</f>
        <v>0</v>
      </c>
      <c r="M1766" s="9">
        <f>STATS1003B!M1864/1000</f>
        <v>6912.1541799999995</v>
      </c>
      <c r="N1766" s="9">
        <f>STATS1003B!N1864/1000</f>
        <v>0</v>
      </c>
      <c r="O1766" s="9">
        <f>STATS1003B!O1864/1000</f>
        <v>0</v>
      </c>
      <c r="P1766" s="9">
        <f>STATS1003B!P1864/1000</f>
        <v>0</v>
      </c>
      <c r="Q1766" s="9">
        <f>STATS1003B!Q1864/1000</f>
        <v>0</v>
      </c>
      <c r="R1766" s="9">
        <f>STATS1003B!R1864/1000</f>
        <v>0</v>
      </c>
      <c r="S1766" s="9">
        <f>STATS1003B!S1864/1000</f>
        <v>0</v>
      </c>
      <c r="T1766" s="9">
        <f>STATS1003B!T1864/1000</f>
        <v>0</v>
      </c>
      <c r="U1766" s="9">
        <f>STATS1003B!U1864/1000</f>
        <v>0</v>
      </c>
      <c r="V1766" s="9">
        <f>STATS1003B!V1864/1000</f>
        <v>0</v>
      </c>
      <c r="W1766" s="9">
        <f>STATS1003B!W1864/1000</f>
        <v>0</v>
      </c>
      <c r="X1766" s="9">
        <f>STATS1003B!X1864/1000</f>
        <v>6912.1541799999995</v>
      </c>
      <c r="Y1766" s="9">
        <f>STATS1003B!Y1864/1000</f>
        <v>0</v>
      </c>
      <c r="Z1766" s="9">
        <f>STATS1003B!Z1864/1000</f>
        <v>0</v>
      </c>
      <c r="AA1766" s="9">
        <f>STATS1003B!AA1864/1000</f>
        <v>6912.1541799999995</v>
      </c>
      <c r="AB1766" s="9">
        <f>STATS1003B!AB1864/1000</f>
        <v>0</v>
      </c>
    </row>
    <row r="1767" spans="1:28" x14ac:dyDescent="0.35">
      <c r="A1767" s="36"/>
      <c r="B1767" s="8"/>
      <c r="C1767" s="7" t="s">
        <v>606</v>
      </c>
      <c r="D1767" s="8"/>
      <c r="E1767" s="9">
        <f>STATS1003B!E1867/1000</f>
        <v>3799.8701000000001</v>
      </c>
      <c r="F1767" s="9">
        <f>STATS1003B!F1867/1000</f>
        <v>2500</v>
      </c>
      <c r="G1767" s="9">
        <f>STATS1003B!G1867/1000</f>
        <v>0</v>
      </c>
      <c r="H1767" s="9">
        <f>STATS1003B!H1867/1000</f>
        <v>2500</v>
      </c>
      <c r="I1767" s="9">
        <f>STATS1003B!I1867/1000</f>
        <v>1299.8701000000001</v>
      </c>
      <c r="J1767" s="9">
        <f>STATS1003B!J1867/1000</f>
        <v>3799.8701000000001</v>
      </c>
      <c r="K1767" s="9">
        <f>STATS1003B!K1867/1000</f>
        <v>0</v>
      </c>
      <c r="L1767" s="9">
        <f>STATS1003B!L1867/1000</f>
        <v>1299.8701000000001</v>
      </c>
      <c r="M1767" s="9">
        <f>STATS1003B!M1867/1000</f>
        <v>3799.8701000000001</v>
      </c>
      <c r="N1767" s="9">
        <f>STATS1003B!N1867/1000</f>
        <v>0</v>
      </c>
      <c r="O1767" s="9">
        <f>STATS1003B!O1867/1000</f>
        <v>0</v>
      </c>
      <c r="P1767" s="9">
        <f>STATS1003B!P1867/1000</f>
        <v>0</v>
      </c>
      <c r="Q1767" s="9">
        <f>STATS1003B!Q1867/1000</f>
        <v>3799.8701000000001</v>
      </c>
      <c r="R1767" s="9">
        <f>STATS1003B!R1867/1000</f>
        <v>0</v>
      </c>
      <c r="S1767" s="9">
        <f>STATS1003B!S1867/1000</f>
        <v>0</v>
      </c>
      <c r="T1767" s="9">
        <f>STATS1003B!T1867/1000</f>
        <v>0</v>
      </c>
      <c r="U1767" s="9">
        <f>STATS1003B!U1867/1000</f>
        <v>0</v>
      </c>
      <c r="V1767" s="9">
        <f>STATS1003B!V1867/1000</f>
        <v>0</v>
      </c>
      <c r="W1767" s="9">
        <f>STATS1003B!W1867/1000</f>
        <v>0</v>
      </c>
      <c r="X1767" s="9">
        <f>STATS1003B!X1867/1000</f>
        <v>2500</v>
      </c>
      <c r="Y1767" s="9">
        <f>STATS1003B!Y1867/1000</f>
        <v>0</v>
      </c>
      <c r="Z1767" s="9">
        <f>STATS1003B!Z1867/1000</f>
        <v>1299.8701000000001</v>
      </c>
      <c r="AA1767" s="9">
        <f>STATS1003B!AA1867/1000</f>
        <v>3799.8701000000001</v>
      </c>
      <c r="AB1767" s="9">
        <f>STATS1003B!AB1867/1000</f>
        <v>0</v>
      </c>
    </row>
    <row r="1768" spans="1:28" x14ac:dyDescent="0.35">
      <c r="A1768" s="36"/>
      <c r="B1768" s="8"/>
      <c r="C1768" s="8"/>
      <c r="D1768" s="8"/>
      <c r="E1768" s="17" t="s">
        <v>29</v>
      </c>
      <c r="F1768" s="17" t="s">
        <v>29</v>
      </c>
      <c r="G1768" s="17" t="s">
        <v>29</v>
      </c>
      <c r="H1768" s="17" t="s">
        <v>29</v>
      </c>
      <c r="I1768" s="17" t="s">
        <v>29</v>
      </c>
      <c r="J1768" s="17" t="s">
        <v>29</v>
      </c>
      <c r="K1768" s="17" t="s">
        <v>29</v>
      </c>
      <c r="L1768" s="17" t="s">
        <v>29</v>
      </c>
      <c r="M1768" s="17" t="s">
        <v>29</v>
      </c>
      <c r="N1768" s="17" t="s">
        <v>29</v>
      </c>
      <c r="O1768" s="17" t="s">
        <v>29</v>
      </c>
      <c r="P1768" s="17" t="s">
        <v>29</v>
      </c>
      <c r="Q1768" s="17" t="s">
        <v>29</v>
      </c>
      <c r="R1768" s="17"/>
      <c r="S1768" s="17"/>
      <c r="T1768" s="17"/>
      <c r="U1768" s="17"/>
      <c r="V1768" s="17"/>
      <c r="W1768" s="17"/>
      <c r="X1768" s="17" t="s">
        <v>29</v>
      </c>
      <c r="Y1768" s="17"/>
      <c r="Z1768" s="17"/>
      <c r="AA1768" s="17" t="s">
        <v>29</v>
      </c>
      <c r="AB1768" s="17" t="s">
        <v>29</v>
      </c>
    </row>
    <row r="1769" spans="1:28" x14ac:dyDescent="0.35">
      <c r="A1769" s="36"/>
      <c r="B1769" s="8"/>
      <c r="C1769" s="8"/>
      <c r="D1769" s="8"/>
      <c r="E1769" s="9">
        <f t="shared" ref="E1769:Q1769" si="128">SUM(E1752:E1768)</f>
        <v>54060.340799999998</v>
      </c>
      <c r="F1769" s="9">
        <f t="shared" si="128"/>
        <v>46116.847999999998</v>
      </c>
      <c r="G1769" s="9">
        <f t="shared" si="128"/>
        <v>0</v>
      </c>
      <c r="H1769" s="9">
        <f t="shared" si="128"/>
        <v>46116.847999999998</v>
      </c>
      <c r="I1769" s="9">
        <f t="shared" si="128"/>
        <v>1299.8701000000001</v>
      </c>
      <c r="J1769" s="9">
        <f t="shared" si="128"/>
        <v>40504.563920000001</v>
      </c>
      <c r="K1769" s="9">
        <f t="shared" si="128"/>
        <v>6643.6226999999999</v>
      </c>
      <c r="L1769" s="9">
        <f t="shared" si="128"/>
        <v>1299.8701000000001</v>
      </c>
      <c r="M1769" s="9">
        <f t="shared" si="128"/>
        <v>47416.718099999998</v>
      </c>
      <c r="N1769" s="9">
        <f t="shared" si="128"/>
        <v>6643.6226999999999</v>
      </c>
      <c r="O1769" s="9">
        <f t="shared" si="128"/>
        <v>0</v>
      </c>
      <c r="P1769" s="9">
        <f t="shared" si="128"/>
        <v>6643.6226999999999</v>
      </c>
      <c r="Q1769" s="9">
        <f t="shared" si="128"/>
        <v>40504.563920000001</v>
      </c>
      <c r="R1769" s="17"/>
      <c r="S1769" s="17"/>
      <c r="T1769" s="9">
        <f t="shared" ref="T1769:Z1769" si="129">SUM(T1752:T1768)</f>
        <v>0</v>
      </c>
      <c r="U1769" s="9">
        <f t="shared" si="129"/>
        <v>6643.6226999999999</v>
      </c>
      <c r="V1769" s="9">
        <f t="shared" si="129"/>
        <v>0</v>
      </c>
      <c r="W1769" s="9">
        <f t="shared" si="129"/>
        <v>0</v>
      </c>
      <c r="X1769" s="9">
        <f t="shared" si="129"/>
        <v>52760.470699999998</v>
      </c>
      <c r="Y1769" s="9">
        <f t="shared" si="129"/>
        <v>0</v>
      </c>
      <c r="Z1769" s="9">
        <f t="shared" si="129"/>
        <v>1299.8701000000001</v>
      </c>
      <c r="AA1769" s="9">
        <f>SUM(AA1752:AA1768)</f>
        <v>54060.340799999998</v>
      </c>
      <c r="AB1769" s="9">
        <f>SUM(AB1752:AB1768)</f>
        <v>0</v>
      </c>
    </row>
    <row r="1770" spans="1:28" x14ac:dyDescent="0.35">
      <c r="A1770" s="36"/>
      <c r="B1770" s="8"/>
      <c r="C1770" s="8"/>
      <c r="D1770" s="8"/>
      <c r="E1770" s="17" t="s">
        <v>29</v>
      </c>
      <c r="F1770" s="17" t="s">
        <v>29</v>
      </c>
      <c r="G1770" s="17" t="s">
        <v>29</v>
      </c>
      <c r="H1770" s="17" t="s">
        <v>29</v>
      </c>
      <c r="I1770" s="17" t="s">
        <v>29</v>
      </c>
      <c r="J1770" s="17" t="s">
        <v>29</v>
      </c>
      <c r="K1770" s="17" t="s">
        <v>29</v>
      </c>
      <c r="L1770" s="17" t="s">
        <v>29</v>
      </c>
      <c r="M1770" s="17" t="s">
        <v>29</v>
      </c>
      <c r="N1770" s="17" t="s">
        <v>29</v>
      </c>
      <c r="O1770" s="17" t="s">
        <v>29</v>
      </c>
      <c r="P1770" s="17" t="s">
        <v>29</v>
      </c>
      <c r="Q1770" s="17" t="s">
        <v>29</v>
      </c>
      <c r="R1770" s="17"/>
      <c r="S1770" s="17"/>
      <c r="T1770" s="17"/>
      <c r="U1770" s="17"/>
      <c r="V1770" s="17"/>
      <c r="W1770" s="17"/>
      <c r="X1770" s="17" t="s">
        <v>29</v>
      </c>
      <c r="Y1770" s="17"/>
      <c r="Z1770" s="17"/>
      <c r="AA1770" s="17" t="s">
        <v>29</v>
      </c>
      <c r="AB1770" s="17" t="s">
        <v>29</v>
      </c>
    </row>
    <row r="1771" spans="1:28" x14ac:dyDescent="0.35">
      <c r="A1771" s="38" t="s">
        <v>1019</v>
      </c>
      <c r="B1771" s="7" t="s">
        <v>779</v>
      </c>
      <c r="C1771" s="8"/>
      <c r="D1771" s="8"/>
      <c r="E1771" s="8"/>
      <c r="F1771" s="8"/>
      <c r="G1771" s="8"/>
      <c r="H1771" s="8"/>
      <c r="I1771" s="8"/>
      <c r="J1771" s="8"/>
      <c r="K1771" s="8"/>
      <c r="L1771" s="8"/>
      <c r="M1771" s="8"/>
      <c r="N1771" s="8"/>
      <c r="O1771" s="8"/>
      <c r="P1771" s="8"/>
      <c r="Q1771" s="8"/>
      <c r="R1771" s="17"/>
      <c r="S1771" s="17"/>
      <c r="T1771" s="17"/>
      <c r="U1771" s="17"/>
      <c r="V1771" s="17"/>
      <c r="W1771" s="17"/>
      <c r="X1771" s="17"/>
      <c r="Y1771" s="17"/>
      <c r="Z1771" s="17"/>
    </row>
    <row r="1772" spans="1:28" x14ac:dyDescent="0.35">
      <c r="A1772" s="36"/>
      <c r="B1772" s="8"/>
      <c r="C1772" s="7" t="s">
        <v>780</v>
      </c>
      <c r="D1772" s="15" t="s">
        <v>166</v>
      </c>
      <c r="E1772" s="9">
        <f>STATS1003B!E1872/1000</f>
        <v>778.19600000000003</v>
      </c>
      <c r="F1772" s="9">
        <f>STATS1003B!F1872/1000</f>
        <v>778.19600000000003</v>
      </c>
      <c r="G1772" s="9">
        <f>STATS1003B!G1872/1000</f>
        <v>0</v>
      </c>
      <c r="H1772" s="9">
        <f>STATS1003B!H1872/1000</f>
        <v>778.19600000000003</v>
      </c>
      <c r="I1772" s="9">
        <f>STATS1003B!I1872/1000</f>
        <v>0</v>
      </c>
      <c r="J1772" s="9">
        <f>STATS1003B!J1872/1000</f>
        <v>778.19600000000003</v>
      </c>
      <c r="K1772" s="9">
        <f>STATS1003B!K1872/1000</f>
        <v>0</v>
      </c>
      <c r="L1772" s="9">
        <f>STATS1003B!L1872/1000</f>
        <v>0</v>
      </c>
      <c r="M1772" s="9">
        <f>STATS1003B!M1872/1000</f>
        <v>778.19600000000003</v>
      </c>
      <c r="N1772" s="9">
        <f>STATS1003B!N1872/1000</f>
        <v>0</v>
      </c>
      <c r="O1772" s="9">
        <f>STATS1003B!O1872/1000</f>
        <v>0</v>
      </c>
      <c r="P1772" s="9">
        <f>STATS1003B!P1872/1000</f>
        <v>0</v>
      </c>
      <c r="Q1772" s="9">
        <f>STATS1003B!Q1872/1000</f>
        <v>778.19600000000003</v>
      </c>
      <c r="R1772" s="9">
        <f>STATS1003B!R1872/1000</f>
        <v>0</v>
      </c>
      <c r="S1772" s="9">
        <f>STATS1003B!S1872/1000</f>
        <v>0</v>
      </c>
      <c r="T1772" s="9">
        <f>STATS1003B!T1872/1000</f>
        <v>0</v>
      </c>
      <c r="U1772" s="9">
        <f>STATS1003B!U1872/1000</f>
        <v>0</v>
      </c>
      <c r="V1772" s="9">
        <f>STATS1003B!V1872/1000</f>
        <v>0</v>
      </c>
      <c r="W1772" s="9">
        <f>STATS1003B!W1872/1000</f>
        <v>0</v>
      </c>
      <c r="X1772" s="9">
        <f>STATS1003B!X1872/1000</f>
        <v>778.19600000000003</v>
      </c>
      <c r="Y1772" s="9">
        <f>STATS1003B!Y1872/1000</f>
        <v>0</v>
      </c>
      <c r="Z1772" s="9">
        <f>STATS1003B!Z1872/1000</f>
        <v>0</v>
      </c>
      <c r="AA1772" s="9">
        <f>STATS1003B!AA1872/1000</f>
        <v>778.19600000000003</v>
      </c>
      <c r="AB1772" s="9">
        <f>STATS1003B!AB1872/1000</f>
        <v>0</v>
      </c>
    </row>
    <row r="1773" spans="1:28" x14ac:dyDescent="0.35">
      <c r="A1773" s="36"/>
      <c r="B1773" s="8"/>
      <c r="C1773" s="7" t="s">
        <v>781</v>
      </c>
      <c r="D1773" s="15" t="s">
        <v>166</v>
      </c>
      <c r="E1773" s="9">
        <f>STATS1003B!E1873/1000</f>
        <v>550</v>
      </c>
      <c r="F1773" s="9">
        <f>STATS1003B!F1873/1000</f>
        <v>550</v>
      </c>
      <c r="G1773" s="9">
        <f>STATS1003B!G1873/1000</f>
        <v>0</v>
      </c>
      <c r="H1773" s="9">
        <f>STATS1003B!H1873/1000</f>
        <v>550</v>
      </c>
      <c r="I1773" s="9">
        <f>STATS1003B!I1873/1000</f>
        <v>0</v>
      </c>
      <c r="J1773" s="9">
        <f>STATS1003B!J1873/1000</f>
        <v>550</v>
      </c>
      <c r="K1773" s="9">
        <f>STATS1003B!K1873/1000</f>
        <v>0</v>
      </c>
      <c r="L1773" s="9">
        <f>STATS1003B!L1873/1000</f>
        <v>0</v>
      </c>
      <c r="M1773" s="9">
        <f>STATS1003B!M1873/1000</f>
        <v>550</v>
      </c>
      <c r="N1773" s="9">
        <f>STATS1003B!N1873/1000</f>
        <v>0</v>
      </c>
      <c r="O1773" s="9">
        <f>STATS1003B!O1873/1000</f>
        <v>0</v>
      </c>
      <c r="P1773" s="9">
        <f>STATS1003B!P1873/1000</f>
        <v>0</v>
      </c>
      <c r="Q1773" s="9">
        <f>STATS1003B!Q1873/1000</f>
        <v>550</v>
      </c>
      <c r="R1773" s="9">
        <f>STATS1003B!R1873/1000</f>
        <v>0</v>
      </c>
      <c r="S1773" s="9">
        <f>STATS1003B!S1873/1000</f>
        <v>0</v>
      </c>
      <c r="T1773" s="9">
        <f>STATS1003B!T1873/1000</f>
        <v>0</v>
      </c>
      <c r="U1773" s="9">
        <f>STATS1003B!U1873/1000</f>
        <v>0</v>
      </c>
      <c r="V1773" s="9">
        <f>STATS1003B!V1873/1000</f>
        <v>0</v>
      </c>
      <c r="W1773" s="9">
        <f>STATS1003B!W1873/1000</f>
        <v>0</v>
      </c>
      <c r="X1773" s="9">
        <f>STATS1003B!X1873/1000</f>
        <v>550</v>
      </c>
      <c r="Y1773" s="9">
        <f>STATS1003B!Y1873/1000</f>
        <v>0</v>
      </c>
      <c r="Z1773" s="9">
        <f>STATS1003B!Z1873/1000</f>
        <v>0</v>
      </c>
      <c r="AA1773" s="9">
        <f>STATS1003B!AA1873/1000</f>
        <v>550</v>
      </c>
      <c r="AB1773" s="9">
        <f>STATS1003B!AB1873/1000</f>
        <v>0</v>
      </c>
    </row>
    <row r="1774" spans="1:28" x14ac:dyDescent="0.35">
      <c r="A1774" s="36"/>
      <c r="B1774" s="8"/>
      <c r="C1774" s="7" t="s">
        <v>782</v>
      </c>
      <c r="D1774" s="15" t="s">
        <v>166</v>
      </c>
      <c r="E1774" s="9">
        <f>STATS1003B!E1874/1000</f>
        <v>7417.3023600000006</v>
      </c>
      <c r="F1774" s="9">
        <f>STATS1003B!F1874/1000</f>
        <v>7404.7259999999997</v>
      </c>
      <c r="G1774" s="9">
        <f>STATS1003B!G1874/1000</f>
        <v>0</v>
      </c>
      <c r="H1774" s="9">
        <f>STATS1003B!H1874/1000</f>
        <v>7404.7259999999997</v>
      </c>
      <c r="I1774" s="9">
        <f>STATS1003B!I1874/1000</f>
        <v>0</v>
      </c>
      <c r="J1774" s="9">
        <f>STATS1003B!J1874/1000</f>
        <v>7404.7259999999997</v>
      </c>
      <c r="K1774" s="9">
        <f>STATS1003B!K1874/1000</f>
        <v>12.576360000000015</v>
      </c>
      <c r="L1774" s="9">
        <f>STATS1003B!L1874/1000</f>
        <v>0</v>
      </c>
      <c r="M1774" s="9">
        <f>STATS1003B!M1874/1000</f>
        <v>7404.7259999999997</v>
      </c>
      <c r="N1774" s="9">
        <f>STATS1003B!N1874/1000</f>
        <v>12.576360000000001</v>
      </c>
      <c r="O1774" s="9">
        <f>STATS1003B!O1874/1000</f>
        <v>0</v>
      </c>
      <c r="P1774" s="9">
        <f>STATS1003B!P1874/1000</f>
        <v>12.576360000000001</v>
      </c>
      <c r="Q1774" s="9">
        <f>STATS1003B!Q1874/1000</f>
        <v>7404.7259999999997</v>
      </c>
      <c r="R1774" s="9">
        <f>STATS1003B!R1874/1000</f>
        <v>0</v>
      </c>
      <c r="S1774" s="9">
        <f>STATS1003B!S1874/1000</f>
        <v>0</v>
      </c>
      <c r="T1774" s="9">
        <f>STATS1003B!T1874/1000</f>
        <v>0</v>
      </c>
      <c r="U1774" s="9">
        <f>STATS1003B!U1874/1000</f>
        <v>12.576360000000001</v>
      </c>
      <c r="V1774" s="9">
        <f>STATS1003B!V1874/1000</f>
        <v>0</v>
      </c>
      <c r="W1774" s="9">
        <f>STATS1003B!W1874/1000</f>
        <v>0</v>
      </c>
      <c r="X1774" s="9">
        <f>STATS1003B!X1874/1000</f>
        <v>7417.3023600000006</v>
      </c>
      <c r="Y1774" s="9">
        <f>STATS1003B!Y1874/1000</f>
        <v>0</v>
      </c>
      <c r="Z1774" s="9">
        <f>STATS1003B!Z1874/1000</f>
        <v>0</v>
      </c>
      <c r="AA1774" s="9">
        <f>STATS1003B!AA1874/1000</f>
        <v>7417.3023600000006</v>
      </c>
      <c r="AB1774" s="9">
        <f>STATS1003B!AB1874/1000</f>
        <v>0</v>
      </c>
    </row>
    <row r="1775" spans="1:28" x14ac:dyDescent="0.35">
      <c r="A1775" s="36"/>
      <c r="B1775" s="8"/>
      <c r="C1775" s="7" t="s">
        <v>535</v>
      </c>
      <c r="D1775" s="15" t="s">
        <v>68</v>
      </c>
      <c r="E1775" s="9">
        <f>STATS1003B!E1875/1000</f>
        <v>2660</v>
      </c>
      <c r="F1775" s="9">
        <f>STATS1003B!F1875/1000</f>
        <v>1102.7588999999998</v>
      </c>
      <c r="G1775" s="9">
        <f>STATS1003B!G1875/1000</f>
        <v>0</v>
      </c>
      <c r="H1775" s="9">
        <f>STATS1003B!H1875/1000</f>
        <v>1102.7588999999998</v>
      </c>
      <c r="I1775" s="9">
        <f>STATS1003B!I1875/1000</f>
        <v>0</v>
      </c>
      <c r="J1775" s="9">
        <f>STATS1003B!J1875/1000</f>
        <v>1102.7588999999998</v>
      </c>
      <c r="K1775" s="9">
        <f>STATS1003B!K1875/1000</f>
        <v>1557.2411000000002</v>
      </c>
      <c r="L1775" s="9">
        <f>STATS1003B!L1875/1000</f>
        <v>0</v>
      </c>
      <c r="M1775" s="9">
        <f>STATS1003B!M1875/1000</f>
        <v>1102.7588999999998</v>
      </c>
      <c r="N1775" s="9">
        <f>STATS1003B!N1875/1000</f>
        <v>1557.2411000000002</v>
      </c>
      <c r="O1775" s="9">
        <f>STATS1003B!O1875/1000</f>
        <v>0</v>
      </c>
      <c r="P1775" s="9">
        <f>STATS1003B!P1875/1000</f>
        <v>1557.2411000000002</v>
      </c>
      <c r="Q1775" s="9">
        <f>STATS1003B!Q1875/1000</f>
        <v>1102.7588999999998</v>
      </c>
      <c r="R1775" s="9">
        <f>STATS1003B!R1875/1000</f>
        <v>0</v>
      </c>
      <c r="S1775" s="9">
        <f>STATS1003B!S1875/1000</f>
        <v>0</v>
      </c>
      <c r="T1775" s="9">
        <f>STATS1003B!T1875/1000</f>
        <v>0</v>
      </c>
      <c r="U1775" s="9">
        <f>STATS1003B!U1875/1000</f>
        <v>1557.2411000000002</v>
      </c>
      <c r="V1775" s="9">
        <f>STATS1003B!V1875/1000</f>
        <v>0</v>
      </c>
      <c r="W1775" s="9">
        <f>STATS1003B!W1875/1000</f>
        <v>0</v>
      </c>
      <c r="X1775" s="9">
        <f>STATS1003B!X1875/1000</f>
        <v>2660</v>
      </c>
      <c r="Y1775" s="9">
        <f>STATS1003B!Y1875/1000</f>
        <v>0</v>
      </c>
      <c r="Z1775" s="9">
        <f>STATS1003B!Z1875/1000</f>
        <v>0</v>
      </c>
      <c r="AA1775" s="9">
        <f>STATS1003B!AA1875/1000</f>
        <v>2660</v>
      </c>
      <c r="AB1775" s="9">
        <f>STATS1003B!AB1875/1000</f>
        <v>0</v>
      </c>
    </row>
    <row r="1776" spans="1:28" x14ac:dyDescent="0.35">
      <c r="A1776" s="36"/>
      <c r="B1776" s="8"/>
      <c r="C1776" s="7" t="s">
        <v>539</v>
      </c>
      <c r="D1776" s="15" t="s">
        <v>68</v>
      </c>
      <c r="E1776" s="9">
        <f>STATS1003B!E1876/1000</f>
        <v>429.54700000000003</v>
      </c>
      <c r="F1776" s="9">
        <f>STATS1003B!F1876/1000</f>
        <v>0</v>
      </c>
      <c r="G1776" s="9">
        <f>STATS1003B!G1876/1000</f>
        <v>0</v>
      </c>
      <c r="H1776" s="9">
        <f>STATS1003B!H1876/1000</f>
        <v>0</v>
      </c>
      <c r="I1776" s="9">
        <f>STATS1003B!I1876/1000</f>
        <v>0</v>
      </c>
      <c r="J1776" s="9">
        <f>STATS1003B!J1876/1000</f>
        <v>0</v>
      </c>
      <c r="K1776" s="9">
        <f>STATS1003B!K1876/1000</f>
        <v>429.54700000000003</v>
      </c>
      <c r="L1776" s="9">
        <f>STATS1003B!L1876/1000</f>
        <v>0</v>
      </c>
      <c r="M1776" s="9">
        <f>STATS1003B!M1876/1000</f>
        <v>0</v>
      </c>
      <c r="N1776" s="9">
        <f>STATS1003B!N1876/1000</f>
        <v>429.54700000000003</v>
      </c>
      <c r="O1776" s="9">
        <f>STATS1003B!O1876/1000</f>
        <v>0</v>
      </c>
      <c r="P1776" s="9">
        <f>STATS1003B!P1876/1000</f>
        <v>429.54700000000003</v>
      </c>
      <c r="Q1776" s="9">
        <f>STATS1003B!Q1876/1000</f>
        <v>0</v>
      </c>
      <c r="R1776" s="9">
        <f>STATS1003B!R1876/1000</f>
        <v>0</v>
      </c>
      <c r="S1776" s="9">
        <f>STATS1003B!S1876/1000</f>
        <v>0</v>
      </c>
      <c r="T1776" s="9">
        <f>STATS1003B!T1876/1000</f>
        <v>0</v>
      </c>
      <c r="U1776" s="9">
        <f>STATS1003B!U1876/1000</f>
        <v>429.54700000000003</v>
      </c>
      <c r="V1776" s="9">
        <f>STATS1003B!V1876/1000</f>
        <v>0</v>
      </c>
      <c r="W1776" s="9">
        <f>STATS1003B!W1876/1000</f>
        <v>0</v>
      </c>
      <c r="X1776" s="9">
        <f>STATS1003B!X1876/1000</f>
        <v>429.54700000000003</v>
      </c>
      <c r="Y1776" s="9">
        <f>STATS1003B!Y1876/1000</f>
        <v>0</v>
      </c>
      <c r="Z1776" s="9">
        <f>STATS1003B!Z1876/1000</f>
        <v>0</v>
      </c>
      <c r="AA1776" s="9">
        <f>STATS1003B!AA1876/1000</f>
        <v>429.54700000000003</v>
      </c>
      <c r="AB1776" s="9">
        <f>STATS1003B!AB1876/1000</f>
        <v>0</v>
      </c>
    </row>
    <row r="1777" spans="1:28" x14ac:dyDescent="0.35">
      <c r="A1777" s="36"/>
      <c r="B1777" s="8"/>
      <c r="C1777" s="7" t="s">
        <v>535</v>
      </c>
      <c r="D1777" s="15" t="s">
        <v>54</v>
      </c>
      <c r="E1777" s="9">
        <f>STATS1003B!E1877/1000</f>
        <v>1547.8420000000001</v>
      </c>
      <c r="F1777" s="9">
        <f>STATS1003B!F1877/1000</f>
        <v>1547.8420000000001</v>
      </c>
      <c r="G1777" s="9">
        <f>STATS1003B!G1877/1000</f>
        <v>0</v>
      </c>
      <c r="H1777" s="9">
        <f>STATS1003B!H1877/1000</f>
        <v>1547.8420000000001</v>
      </c>
      <c r="I1777" s="9">
        <f>STATS1003B!I1877/1000</f>
        <v>0</v>
      </c>
      <c r="J1777" s="9">
        <f>STATS1003B!J1877/1000</f>
        <v>1547.8420000000001</v>
      </c>
      <c r="K1777" s="9">
        <f>STATS1003B!K1877/1000</f>
        <v>0</v>
      </c>
      <c r="L1777" s="9">
        <f>STATS1003B!L1877/1000</f>
        <v>0</v>
      </c>
      <c r="M1777" s="9">
        <f>STATS1003B!M1877/1000</f>
        <v>1547.8420000000001</v>
      </c>
      <c r="N1777" s="9">
        <f>STATS1003B!N1877/1000</f>
        <v>0</v>
      </c>
      <c r="O1777" s="9">
        <f>STATS1003B!O1877/1000</f>
        <v>0</v>
      </c>
      <c r="P1777" s="9">
        <f>STATS1003B!P1877/1000</f>
        <v>0</v>
      </c>
      <c r="Q1777" s="9">
        <f>STATS1003B!Q1877/1000</f>
        <v>1547.8420000000001</v>
      </c>
      <c r="R1777" s="9">
        <f>STATS1003B!R1877/1000</f>
        <v>0</v>
      </c>
      <c r="S1777" s="9">
        <f>STATS1003B!S1877/1000</f>
        <v>0</v>
      </c>
      <c r="T1777" s="9">
        <f>STATS1003B!T1877/1000</f>
        <v>0</v>
      </c>
      <c r="U1777" s="9">
        <f>STATS1003B!U1877/1000</f>
        <v>0</v>
      </c>
      <c r="V1777" s="9">
        <f>STATS1003B!V1877/1000</f>
        <v>0</v>
      </c>
      <c r="W1777" s="9">
        <f>STATS1003B!W1877/1000</f>
        <v>0</v>
      </c>
      <c r="X1777" s="9">
        <f>STATS1003B!X1877/1000</f>
        <v>1547.8420000000001</v>
      </c>
      <c r="Y1777" s="9">
        <f>STATS1003B!Y1877/1000</f>
        <v>0</v>
      </c>
      <c r="Z1777" s="9">
        <f>STATS1003B!Z1877/1000</f>
        <v>0</v>
      </c>
      <c r="AA1777" s="9">
        <f>STATS1003B!AA1877/1000</f>
        <v>1547.8420000000001</v>
      </c>
      <c r="AB1777" s="9">
        <f>STATS1003B!AB1877/1000</f>
        <v>0</v>
      </c>
    </row>
    <row r="1778" spans="1:28" x14ac:dyDescent="0.35">
      <c r="A1778" s="36"/>
      <c r="B1778" s="8"/>
      <c r="C1778" s="7" t="s">
        <v>545</v>
      </c>
      <c r="D1778" s="15" t="s">
        <v>54</v>
      </c>
      <c r="E1778" s="9">
        <f>STATS1003B!E1878/1000</f>
        <v>1767.77</v>
      </c>
      <c r="F1778" s="9">
        <f>STATS1003B!F1878/1000</f>
        <v>0</v>
      </c>
      <c r="G1778" s="9">
        <f>STATS1003B!G1878/1000</f>
        <v>0</v>
      </c>
      <c r="H1778" s="9">
        <f>STATS1003B!H1878/1000</f>
        <v>0</v>
      </c>
      <c r="I1778" s="9">
        <f>STATS1003B!I1878/1000</f>
        <v>0</v>
      </c>
      <c r="J1778" s="9">
        <f>STATS1003B!J1878/1000</f>
        <v>0</v>
      </c>
      <c r="K1778" s="9">
        <f>STATS1003B!K1878/1000</f>
        <v>1767.77</v>
      </c>
      <c r="L1778" s="9">
        <f>STATS1003B!L1878/1000</f>
        <v>0</v>
      </c>
      <c r="M1778" s="9">
        <f>STATS1003B!M1878/1000</f>
        <v>0</v>
      </c>
      <c r="N1778" s="9">
        <f>STATS1003B!N1878/1000</f>
        <v>1767.77</v>
      </c>
      <c r="O1778" s="9">
        <f>STATS1003B!O1878/1000</f>
        <v>0</v>
      </c>
      <c r="P1778" s="9">
        <f>STATS1003B!P1878/1000</f>
        <v>1767.77</v>
      </c>
      <c r="Q1778" s="9">
        <f>STATS1003B!Q1878/1000</f>
        <v>0</v>
      </c>
      <c r="R1778" s="9">
        <f>STATS1003B!R1878/1000</f>
        <v>0</v>
      </c>
      <c r="S1778" s="9">
        <f>STATS1003B!S1878/1000</f>
        <v>0</v>
      </c>
      <c r="T1778" s="9">
        <f>STATS1003B!T1878/1000</f>
        <v>0</v>
      </c>
      <c r="U1778" s="9">
        <f>STATS1003B!U1878/1000</f>
        <v>1767.77</v>
      </c>
      <c r="V1778" s="9">
        <f>STATS1003B!V1878/1000</f>
        <v>0</v>
      </c>
      <c r="W1778" s="9">
        <f>STATS1003B!W1878/1000</f>
        <v>0</v>
      </c>
      <c r="X1778" s="9">
        <f>STATS1003B!X1878/1000</f>
        <v>1767.77</v>
      </c>
      <c r="Y1778" s="9">
        <f>STATS1003B!Y1878/1000</f>
        <v>0</v>
      </c>
      <c r="Z1778" s="9">
        <f>STATS1003B!Z1878/1000</f>
        <v>0</v>
      </c>
      <c r="AA1778" s="9">
        <f>STATS1003B!AA1878/1000</f>
        <v>1767.77</v>
      </c>
      <c r="AB1778" s="9">
        <f>STATS1003B!AB1878/1000</f>
        <v>0</v>
      </c>
    </row>
    <row r="1779" spans="1:28" x14ac:dyDescent="0.35">
      <c r="A1779" s="36"/>
      <c r="B1779" s="8"/>
      <c r="C1779" s="7" t="s">
        <v>535</v>
      </c>
      <c r="D1779" s="15" t="s">
        <v>85</v>
      </c>
      <c r="E1779" s="9">
        <f>STATS1003B!E1879/1000</f>
        <v>4045.0160000000001</v>
      </c>
      <c r="F1779" s="9">
        <f>STATS1003B!F1879/1000</f>
        <v>4045.0160000000001</v>
      </c>
      <c r="G1779" s="9">
        <f>STATS1003B!G1879/1000</f>
        <v>0</v>
      </c>
      <c r="H1779" s="9">
        <f>STATS1003B!H1879/1000</f>
        <v>4045.0160000000001</v>
      </c>
      <c r="I1779" s="9">
        <f>STATS1003B!I1879/1000</f>
        <v>0</v>
      </c>
      <c r="J1779" s="9">
        <f>STATS1003B!J1879/1000</f>
        <v>4045.0160000000001</v>
      </c>
      <c r="K1779" s="9">
        <f>STATS1003B!K1879/1000</f>
        <v>0</v>
      </c>
      <c r="L1779" s="9">
        <f>STATS1003B!L1879/1000</f>
        <v>0</v>
      </c>
      <c r="M1779" s="9">
        <f>STATS1003B!M1879/1000</f>
        <v>4045.0160000000001</v>
      </c>
      <c r="N1779" s="9">
        <f>STATS1003B!N1879/1000</f>
        <v>0</v>
      </c>
      <c r="O1779" s="9">
        <f>STATS1003B!O1879/1000</f>
        <v>0</v>
      </c>
      <c r="P1779" s="9">
        <f>STATS1003B!P1879/1000</f>
        <v>0</v>
      </c>
      <c r="Q1779" s="9">
        <f>STATS1003B!Q1879/1000</f>
        <v>4045.0160000000001</v>
      </c>
      <c r="R1779" s="9">
        <f>STATS1003B!R1879/1000</f>
        <v>0</v>
      </c>
      <c r="S1779" s="9">
        <f>STATS1003B!S1879/1000</f>
        <v>0</v>
      </c>
      <c r="T1779" s="9">
        <f>STATS1003B!T1879/1000</f>
        <v>0</v>
      </c>
      <c r="U1779" s="9">
        <f>STATS1003B!U1879/1000</f>
        <v>0</v>
      </c>
      <c r="V1779" s="9">
        <f>STATS1003B!V1879/1000</f>
        <v>0</v>
      </c>
      <c r="W1779" s="9">
        <f>STATS1003B!W1879/1000</f>
        <v>0</v>
      </c>
      <c r="X1779" s="9">
        <f>STATS1003B!X1879/1000</f>
        <v>4045.0160000000001</v>
      </c>
      <c r="Y1779" s="9">
        <f>STATS1003B!Y1879/1000</f>
        <v>0</v>
      </c>
      <c r="Z1779" s="9">
        <f>STATS1003B!Z1879/1000</f>
        <v>0</v>
      </c>
      <c r="AA1779" s="9">
        <f>STATS1003B!AA1879/1000</f>
        <v>4045.0160000000001</v>
      </c>
      <c r="AB1779" s="9">
        <f>STATS1003B!AB1879/1000</f>
        <v>0</v>
      </c>
    </row>
    <row r="1780" spans="1:28" x14ac:dyDescent="0.35">
      <c r="A1780" s="36"/>
      <c r="B1780" s="8"/>
      <c r="C1780" s="7" t="s">
        <v>783</v>
      </c>
      <c r="D1780" s="15" t="s">
        <v>85</v>
      </c>
      <c r="E1780" s="9">
        <f>STATS1003B!E1880/1000</f>
        <v>2874.71884</v>
      </c>
      <c r="F1780" s="9">
        <f>STATS1003B!F1880/1000</f>
        <v>2874.71884</v>
      </c>
      <c r="G1780" s="9">
        <f>STATS1003B!G1880/1000</f>
        <v>0</v>
      </c>
      <c r="H1780" s="9">
        <f>STATS1003B!H1880/1000</f>
        <v>2874.71884</v>
      </c>
      <c r="I1780" s="9">
        <f>STATS1003B!I1880/1000</f>
        <v>0</v>
      </c>
      <c r="J1780" s="9">
        <f>STATS1003B!J1880/1000</f>
        <v>2874.71884</v>
      </c>
      <c r="K1780" s="9">
        <f>STATS1003B!K1880/1000</f>
        <v>0</v>
      </c>
      <c r="L1780" s="9">
        <f>STATS1003B!L1880/1000</f>
        <v>0</v>
      </c>
      <c r="M1780" s="9">
        <f>STATS1003B!M1880/1000</f>
        <v>2874.71884</v>
      </c>
      <c r="N1780" s="9">
        <f>STATS1003B!N1880/1000</f>
        <v>0</v>
      </c>
      <c r="O1780" s="9">
        <f>STATS1003B!O1880/1000</f>
        <v>0</v>
      </c>
      <c r="P1780" s="9">
        <f>STATS1003B!P1880/1000</f>
        <v>0</v>
      </c>
      <c r="Q1780" s="9">
        <f>STATS1003B!Q1880/1000</f>
        <v>2874.71884</v>
      </c>
      <c r="R1780" s="9">
        <f>STATS1003B!R1880/1000</f>
        <v>0</v>
      </c>
      <c r="S1780" s="9">
        <f>STATS1003B!S1880/1000</f>
        <v>0</v>
      </c>
      <c r="T1780" s="9">
        <f>STATS1003B!T1880/1000</f>
        <v>0</v>
      </c>
      <c r="U1780" s="9">
        <f>STATS1003B!U1880/1000</f>
        <v>0</v>
      </c>
      <c r="V1780" s="9">
        <f>STATS1003B!V1880/1000</f>
        <v>0</v>
      </c>
      <c r="W1780" s="9">
        <f>STATS1003B!W1880/1000</f>
        <v>0</v>
      </c>
      <c r="X1780" s="9">
        <f>STATS1003B!X1880/1000</f>
        <v>2874.71884</v>
      </c>
      <c r="Y1780" s="9">
        <f>STATS1003B!Y1880/1000</f>
        <v>0</v>
      </c>
      <c r="Z1780" s="9">
        <f>STATS1003B!Z1880/1000</f>
        <v>0</v>
      </c>
      <c r="AA1780" s="9">
        <f>STATS1003B!AA1880/1000</f>
        <v>2874.71884</v>
      </c>
      <c r="AB1780" s="9">
        <f>STATS1003B!AB1880/1000</f>
        <v>0</v>
      </c>
    </row>
    <row r="1781" spans="1:28" x14ac:dyDescent="0.35">
      <c r="A1781" s="36"/>
      <c r="B1781" s="8"/>
      <c r="C1781" s="7" t="s">
        <v>603</v>
      </c>
      <c r="D1781" s="15" t="s">
        <v>85</v>
      </c>
      <c r="E1781" s="9">
        <f>STATS1003B!E1881/1000</f>
        <v>160</v>
      </c>
      <c r="F1781" s="9">
        <f>STATS1003B!F1881/1000</f>
        <v>160</v>
      </c>
      <c r="G1781" s="9">
        <f>STATS1003B!G1881/1000</f>
        <v>0</v>
      </c>
      <c r="H1781" s="9">
        <f>STATS1003B!H1881/1000</f>
        <v>160</v>
      </c>
      <c r="I1781" s="9">
        <f>STATS1003B!I1881/1000</f>
        <v>0</v>
      </c>
      <c r="J1781" s="9">
        <f>STATS1003B!J1881/1000</f>
        <v>160</v>
      </c>
      <c r="K1781" s="9">
        <f>STATS1003B!K1881/1000</f>
        <v>0</v>
      </c>
      <c r="L1781" s="9">
        <f>STATS1003B!L1881/1000</f>
        <v>0</v>
      </c>
      <c r="M1781" s="9">
        <f>STATS1003B!M1881/1000</f>
        <v>160</v>
      </c>
      <c r="N1781" s="9">
        <f>STATS1003B!N1881/1000</f>
        <v>0</v>
      </c>
      <c r="O1781" s="9">
        <f>STATS1003B!O1881/1000</f>
        <v>0</v>
      </c>
      <c r="P1781" s="9">
        <f>STATS1003B!P1881/1000</f>
        <v>0</v>
      </c>
      <c r="Q1781" s="9">
        <f>STATS1003B!Q1881/1000</f>
        <v>160</v>
      </c>
      <c r="R1781" s="9">
        <f>STATS1003B!R1881/1000</f>
        <v>0</v>
      </c>
      <c r="S1781" s="9">
        <f>STATS1003B!S1881/1000</f>
        <v>0</v>
      </c>
      <c r="T1781" s="9">
        <f>STATS1003B!T1881/1000</f>
        <v>0</v>
      </c>
      <c r="U1781" s="9">
        <f>STATS1003B!U1881/1000</f>
        <v>0</v>
      </c>
      <c r="V1781" s="9">
        <f>STATS1003B!V1881/1000</f>
        <v>0</v>
      </c>
      <c r="W1781" s="9">
        <f>STATS1003B!W1881/1000</f>
        <v>0</v>
      </c>
      <c r="X1781" s="9">
        <f>STATS1003B!X1881/1000</f>
        <v>160</v>
      </c>
      <c r="Y1781" s="9">
        <f>STATS1003B!Y1881/1000</f>
        <v>0</v>
      </c>
      <c r="Z1781" s="9">
        <f>STATS1003B!Z1881/1000</f>
        <v>0</v>
      </c>
      <c r="AA1781" s="9">
        <f>STATS1003B!AA1881/1000</f>
        <v>160</v>
      </c>
      <c r="AB1781" s="9">
        <f>STATS1003B!AB1881/1000</f>
        <v>0</v>
      </c>
    </row>
    <row r="1782" spans="1:28" x14ac:dyDescent="0.35">
      <c r="A1782" s="36"/>
      <c r="B1782" s="8"/>
      <c r="C1782" s="7" t="s">
        <v>667</v>
      </c>
      <c r="D1782" s="15" t="s">
        <v>85</v>
      </c>
      <c r="E1782" s="9">
        <f>STATS1003B!E1882/1000</f>
        <v>120</v>
      </c>
      <c r="F1782" s="9">
        <f>STATS1003B!F1882/1000</f>
        <v>120</v>
      </c>
      <c r="G1782" s="9">
        <f>STATS1003B!G1882/1000</f>
        <v>0</v>
      </c>
      <c r="H1782" s="9">
        <f>STATS1003B!H1882/1000</f>
        <v>120</v>
      </c>
      <c r="I1782" s="9">
        <f>STATS1003B!I1882/1000</f>
        <v>0</v>
      </c>
      <c r="J1782" s="9">
        <f>STATS1003B!J1882/1000</f>
        <v>120</v>
      </c>
      <c r="K1782" s="9">
        <f>STATS1003B!K1882/1000</f>
        <v>0</v>
      </c>
      <c r="L1782" s="9">
        <f>STATS1003B!L1882/1000</f>
        <v>0</v>
      </c>
      <c r="M1782" s="9">
        <f>STATS1003B!M1882/1000</f>
        <v>120</v>
      </c>
      <c r="N1782" s="9">
        <f>STATS1003B!N1882/1000</f>
        <v>0</v>
      </c>
      <c r="O1782" s="9">
        <f>STATS1003B!O1882/1000</f>
        <v>0</v>
      </c>
      <c r="P1782" s="9">
        <f>STATS1003B!P1882/1000</f>
        <v>0</v>
      </c>
      <c r="Q1782" s="9">
        <f>STATS1003B!Q1882/1000</f>
        <v>120</v>
      </c>
      <c r="R1782" s="9">
        <f>STATS1003B!R1882/1000</f>
        <v>0</v>
      </c>
      <c r="S1782" s="9">
        <f>STATS1003B!S1882/1000</f>
        <v>0</v>
      </c>
      <c r="T1782" s="9">
        <f>STATS1003B!T1882/1000</f>
        <v>0</v>
      </c>
      <c r="U1782" s="9">
        <f>STATS1003B!U1882/1000</f>
        <v>0</v>
      </c>
      <c r="V1782" s="9">
        <f>STATS1003B!V1882/1000</f>
        <v>0</v>
      </c>
      <c r="W1782" s="9">
        <f>STATS1003B!W1882/1000</f>
        <v>0</v>
      </c>
      <c r="X1782" s="9">
        <f>STATS1003B!X1882/1000</f>
        <v>120</v>
      </c>
      <c r="Y1782" s="9">
        <f>STATS1003B!Y1882/1000</f>
        <v>0</v>
      </c>
      <c r="Z1782" s="9">
        <f>STATS1003B!Z1882/1000</f>
        <v>0</v>
      </c>
      <c r="AA1782" s="9">
        <f>STATS1003B!AA1882/1000</f>
        <v>120</v>
      </c>
      <c r="AB1782" s="9">
        <f>STATS1003B!AB1882/1000</f>
        <v>0</v>
      </c>
    </row>
    <row r="1783" spans="1:28" x14ac:dyDescent="0.35">
      <c r="A1783" s="36"/>
      <c r="B1783" s="8"/>
      <c r="C1783" s="7" t="s">
        <v>671</v>
      </c>
      <c r="D1783" s="15" t="s">
        <v>85</v>
      </c>
      <c r="E1783" s="9">
        <f>STATS1003B!E1883/1000</f>
        <v>240</v>
      </c>
      <c r="F1783" s="9">
        <f>STATS1003B!F1883/1000</f>
        <v>240</v>
      </c>
      <c r="G1783" s="9">
        <f>STATS1003B!G1883/1000</f>
        <v>0</v>
      </c>
      <c r="H1783" s="9">
        <f>STATS1003B!H1883/1000</f>
        <v>240</v>
      </c>
      <c r="I1783" s="9">
        <f>STATS1003B!I1883/1000</f>
        <v>0</v>
      </c>
      <c r="J1783" s="9">
        <f>STATS1003B!J1883/1000</f>
        <v>240</v>
      </c>
      <c r="K1783" s="9">
        <f>STATS1003B!K1883/1000</f>
        <v>0</v>
      </c>
      <c r="L1783" s="9">
        <f>STATS1003B!L1883/1000</f>
        <v>0</v>
      </c>
      <c r="M1783" s="9">
        <f>STATS1003B!M1883/1000</f>
        <v>240</v>
      </c>
      <c r="N1783" s="9">
        <f>STATS1003B!N1883/1000</f>
        <v>0</v>
      </c>
      <c r="O1783" s="9">
        <f>STATS1003B!O1883/1000</f>
        <v>0</v>
      </c>
      <c r="P1783" s="9">
        <f>STATS1003B!P1883/1000</f>
        <v>0</v>
      </c>
      <c r="Q1783" s="9">
        <f>STATS1003B!Q1883/1000</f>
        <v>240</v>
      </c>
      <c r="R1783" s="9">
        <f>STATS1003B!R1883/1000</f>
        <v>0</v>
      </c>
      <c r="S1783" s="9">
        <f>STATS1003B!S1883/1000</f>
        <v>0</v>
      </c>
      <c r="T1783" s="9">
        <f>STATS1003B!T1883/1000</f>
        <v>0</v>
      </c>
      <c r="U1783" s="9">
        <f>STATS1003B!U1883/1000</f>
        <v>0</v>
      </c>
      <c r="V1783" s="9">
        <f>STATS1003B!V1883/1000</f>
        <v>0</v>
      </c>
      <c r="W1783" s="9">
        <f>STATS1003B!W1883/1000</f>
        <v>0</v>
      </c>
      <c r="X1783" s="9">
        <f>STATS1003B!X1883/1000</f>
        <v>240</v>
      </c>
      <c r="Y1783" s="9">
        <f>STATS1003B!Y1883/1000</f>
        <v>0</v>
      </c>
      <c r="Z1783" s="9">
        <f>STATS1003B!Z1883/1000</f>
        <v>0</v>
      </c>
      <c r="AA1783" s="9">
        <f>STATS1003B!AA1883/1000</f>
        <v>240</v>
      </c>
      <c r="AB1783" s="9">
        <f>STATS1003B!AB1883/1000</f>
        <v>0</v>
      </c>
    </row>
    <row r="1784" spans="1:28" x14ac:dyDescent="0.35">
      <c r="A1784" s="36"/>
      <c r="B1784" s="8"/>
      <c r="C1784" s="7" t="s">
        <v>535</v>
      </c>
      <c r="D1784" s="15" t="s">
        <v>128</v>
      </c>
      <c r="E1784" s="9">
        <f>STATS1003B!E1884/1000</f>
        <v>524.24199999999996</v>
      </c>
      <c r="F1784" s="9">
        <f>STATS1003B!F1884/1000</f>
        <v>524.24199999999996</v>
      </c>
      <c r="G1784" s="9">
        <f>STATS1003B!G1884/1000</f>
        <v>0</v>
      </c>
      <c r="H1784" s="9">
        <f>STATS1003B!H1884/1000</f>
        <v>524.24199999999996</v>
      </c>
      <c r="I1784" s="9">
        <f>STATS1003B!I1884/1000</f>
        <v>0</v>
      </c>
      <c r="J1784" s="9">
        <f>STATS1003B!J1884/1000</f>
        <v>524.24199999999996</v>
      </c>
      <c r="K1784" s="9">
        <f>STATS1003B!K1884/1000</f>
        <v>0</v>
      </c>
      <c r="L1784" s="9">
        <f>STATS1003B!L1884/1000</f>
        <v>0</v>
      </c>
      <c r="M1784" s="9">
        <f>STATS1003B!M1884/1000</f>
        <v>524.24199999999996</v>
      </c>
      <c r="N1784" s="9">
        <f>STATS1003B!N1884/1000</f>
        <v>0</v>
      </c>
      <c r="O1784" s="9">
        <f>STATS1003B!O1884/1000</f>
        <v>0</v>
      </c>
      <c r="P1784" s="9">
        <f>STATS1003B!P1884/1000</f>
        <v>0</v>
      </c>
      <c r="Q1784" s="9">
        <f>STATS1003B!Q1884/1000</f>
        <v>524.24199999999996</v>
      </c>
      <c r="R1784" s="9">
        <f>STATS1003B!R1884/1000</f>
        <v>0</v>
      </c>
      <c r="S1784" s="9">
        <f>STATS1003B!S1884/1000</f>
        <v>0</v>
      </c>
      <c r="T1784" s="9">
        <f>STATS1003B!T1884/1000</f>
        <v>0</v>
      </c>
      <c r="U1784" s="9">
        <f>STATS1003B!U1884/1000</f>
        <v>0</v>
      </c>
      <c r="V1784" s="9">
        <f>STATS1003B!V1884/1000</f>
        <v>0</v>
      </c>
      <c r="W1784" s="9">
        <f>STATS1003B!W1884/1000</f>
        <v>0</v>
      </c>
      <c r="X1784" s="9">
        <f>STATS1003B!X1884/1000</f>
        <v>524.24199999999996</v>
      </c>
      <c r="Y1784" s="9">
        <f>STATS1003B!Y1884/1000</f>
        <v>0</v>
      </c>
      <c r="Z1784" s="9">
        <f>STATS1003B!Z1884/1000</f>
        <v>0</v>
      </c>
      <c r="AA1784" s="9">
        <f>STATS1003B!AA1884/1000</f>
        <v>524.24199999999996</v>
      </c>
      <c r="AB1784" s="9">
        <f>STATS1003B!AB1884/1000</f>
        <v>0</v>
      </c>
    </row>
    <row r="1785" spans="1:28" x14ac:dyDescent="0.35">
      <c r="A1785" s="36"/>
      <c r="B1785" s="8"/>
      <c r="C1785" s="7" t="s">
        <v>784</v>
      </c>
      <c r="D1785" s="15" t="s">
        <v>128</v>
      </c>
      <c r="E1785" s="9">
        <f>STATS1003B!E1885/1000</f>
        <v>1100</v>
      </c>
      <c r="F1785" s="9">
        <f>STATS1003B!F1885/1000</f>
        <v>1100</v>
      </c>
      <c r="G1785" s="9">
        <f>STATS1003B!G1885/1000</f>
        <v>0</v>
      </c>
      <c r="H1785" s="9">
        <f>STATS1003B!H1885/1000</f>
        <v>1100</v>
      </c>
      <c r="I1785" s="9">
        <f>STATS1003B!I1885/1000</f>
        <v>0</v>
      </c>
      <c r="J1785" s="9">
        <f>STATS1003B!J1885/1000</f>
        <v>1100</v>
      </c>
      <c r="K1785" s="9">
        <f>STATS1003B!K1885/1000</f>
        <v>0</v>
      </c>
      <c r="L1785" s="9">
        <f>STATS1003B!L1885/1000</f>
        <v>0</v>
      </c>
      <c r="M1785" s="9">
        <f>STATS1003B!M1885/1000</f>
        <v>1100</v>
      </c>
      <c r="N1785" s="9">
        <f>STATS1003B!N1885/1000</f>
        <v>0</v>
      </c>
      <c r="O1785" s="9">
        <f>STATS1003B!O1885/1000</f>
        <v>0</v>
      </c>
      <c r="P1785" s="9">
        <f>STATS1003B!P1885/1000</f>
        <v>0</v>
      </c>
      <c r="Q1785" s="9">
        <f>STATS1003B!Q1885/1000</f>
        <v>1100</v>
      </c>
      <c r="R1785" s="9">
        <f>STATS1003B!R1885/1000</f>
        <v>0</v>
      </c>
      <c r="S1785" s="9">
        <f>STATS1003B!S1885/1000</f>
        <v>0</v>
      </c>
      <c r="T1785" s="9">
        <f>STATS1003B!T1885/1000</f>
        <v>0</v>
      </c>
      <c r="U1785" s="9">
        <f>STATS1003B!U1885/1000</f>
        <v>0</v>
      </c>
      <c r="V1785" s="9">
        <f>STATS1003B!V1885/1000</f>
        <v>0</v>
      </c>
      <c r="W1785" s="9">
        <f>STATS1003B!W1885/1000</f>
        <v>0</v>
      </c>
      <c r="X1785" s="9">
        <f>STATS1003B!X1885/1000</f>
        <v>1100</v>
      </c>
      <c r="Y1785" s="9">
        <f>STATS1003B!Y1885/1000</f>
        <v>0</v>
      </c>
      <c r="Z1785" s="9">
        <f>STATS1003B!Z1885/1000</f>
        <v>0</v>
      </c>
      <c r="AA1785" s="9">
        <f>STATS1003B!AA1885/1000</f>
        <v>1100</v>
      </c>
      <c r="AB1785" s="9">
        <f>STATS1003B!AB1885/1000</f>
        <v>0</v>
      </c>
    </row>
    <row r="1786" spans="1:28" x14ac:dyDescent="0.35">
      <c r="A1786" s="36"/>
      <c r="B1786" s="8"/>
      <c r="C1786" s="7" t="s">
        <v>535</v>
      </c>
      <c r="D1786" s="15" t="s">
        <v>128</v>
      </c>
      <c r="E1786" s="9">
        <f>STATS1003B!E1886/1000</f>
        <v>1012.491</v>
      </c>
      <c r="F1786" s="9">
        <f>STATS1003B!F1886/1000</f>
        <v>1012.491</v>
      </c>
      <c r="G1786" s="9">
        <f>STATS1003B!G1886/1000</f>
        <v>0</v>
      </c>
      <c r="H1786" s="9">
        <f>STATS1003B!H1886/1000</f>
        <v>1012.491</v>
      </c>
      <c r="I1786" s="9">
        <f>STATS1003B!I1886/1000</f>
        <v>0</v>
      </c>
      <c r="J1786" s="9">
        <f>STATS1003B!J1886/1000</f>
        <v>1012.491</v>
      </c>
      <c r="K1786" s="9">
        <f>STATS1003B!K1886/1000</f>
        <v>0</v>
      </c>
      <c r="L1786" s="9">
        <f>STATS1003B!L1886/1000</f>
        <v>0</v>
      </c>
      <c r="M1786" s="9">
        <f>STATS1003B!M1886/1000</f>
        <v>1012.491</v>
      </c>
      <c r="N1786" s="9">
        <f>STATS1003B!N1886/1000</f>
        <v>0</v>
      </c>
      <c r="O1786" s="9">
        <f>STATS1003B!O1886/1000</f>
        <v>0</v>
      </c>
      <c r="P1786" s="9">
        <f>STATS1003B!P1886/1000</f>
        <v>0</v>
      </c>
      <c r="Q1786" s="9">
        <f>STATS1003B!Q1886/1000</f>
        <v>1012.491</v>
      </c>
      <c r="R1786" s="9">
        <f>STATS1003B!R1886/1000</f>
        <v>0</v>
      </c>
      <c r="S1786" s="9">
        <f>STATS1003B!S1886/1000</f>
        <v>0</v>
      </c>
      <c r="T1786" s="9">
        <f>STATS1003B!T1886/1000</f>
        <v>0</v>
      </c>
      <c r="U1786" s="9">
        <f>STATS1003B!U1886/1000</f>
        <v>0</v>
      </c>
      <c r="V1786" s="9">
        <f>STATS1003B!V1886/1000</f>
        <v>0</v>
      </c>
      <c r="W1786" s="9">
        <f>STATS1003B!W1886/1000</f>
        <v>0</v>
      </c>
      <c r="X1786" s="9">
        <f>STATS1003B!X1886/1000</f>
        <v>1012.491</v>
      </c>
      <c r="Y1786" s="9">
        <f>STATS1003B!Y1886/1000</f>
        <v>0</v>
      </c>
      <c r="Z1786" s="9">
        <f>STATS1003B!Z1886/1000</f>
        <v>0</v>
      </c>
      <c r="AA1786" s="9">
        <f>STATS1003B!AA1886/1000</f>
        <v>1012.491</v>
      </c>
      <c r="AB1786" s="9">
        <f>STATS1003B!AB1886/1000</f>
        <v>0</v>
      </c>
    </row>
    <row r="1787" spans="1:28" x14ac:dyDescent="0.35">
      <c r="A1787" s="36"/>
      <c r="B1787" s="8"/>
      <c r="C1787" s="7" t="s">
        <v>535</v>
      </c>
      <c r="D1787" s="15" t="s">
        <v>88</v>
      </c>
      <c r="E1787" s="9">
        <f>STATS1003B!E1887/1000</f>
        <v>5074.9549999999999</v>
      </c>
      <c r="F1787" s="9">
        <f>STATS1003B!F1887/1000</f>
        <v>5074.9549999999999</v>
      </c>
      <c r="G1787" s="9">
        <f>STATS1003B!G1887/1000</f>
        <v>0</v>
      </c>
      <c r="H1787" s="9">
        <f>STATS1003B!H1887/1000</f>
        <v>5074.9549999999999</v>
      </c>
      <c r="I1787" s="9">
        <f>STATS1003B!I1887/1000</f>
        <v>0</v>
      </c>
      <c r="J1787" s="9">
        <f>STATS1003B!J1887/1000</f>
        <v>5074.9549999999999</v>
      </c>
      <c r="K1787" s="9">
        <f>STATS1003B!K1887/1000</f>
        <v>0</v>
      </c>
      <c r="L1787" s="9">
        <f>STATS1003B!L1887/1000</f>
        <v>0</v>
      </c>
      <c r="M1787" s="9">
        <f>STATS1003B!M1887/1000</f>
        <v>5074.9549999999999</v>
      </c>
      <c r="N1787" s="9">
        <f>STATS1003B!N1887/1000</f>
        <v>0</v>
      </c>
      <c r="O1787" s="9">
        <f>STATS1003B!O1887/1000</f>
        <v>0</v>
      </c>
      <c r="P1787" s="9">
        <f>STATS1003B!P1887/1000</f>
        <v>0</v>
      </c>
      <c r="Q1787" s="9">
        <f>STATS1003B!Q1887/1000</f>
        <v>5074.9549999999999</v>
      </c>
      <c r="R1787" s="9">
        <f>STATS1003B!R1887/1000</f>
        <v>0</v>
      </c>
      <c r="S1787" s="9">
        <f>STATS1003B!S1887/1000</f>
        <v>0</v>
      </c>
      <c r="T1787" s="9">
        <f>STATS1003B!T1887/1000</f>
        <v>0</v>
      </c>
      <c r="U1787" s="9">
        <f>STATS1003B!U1887/1000</f>
        <v>0</v>
      </c>
      <c r="V1787" s="9">
        <f>STATS1003B!V1887/1000</f>
        <v>0</v>
      </c>
      <c r="W1787" s="9">
        <f>STATS1003B!W1887/1000</f>
        <v>0</v>
      </c>
      <c r="X1787" s="9">
        <f>STATS1003B!X1887/1000</f>
        <v>5074.9549999999999</v>
      </c>
      <c r="Y1787" s="9">
        <f>STATS1003B!Y1887/1000</f>
        <v>0</v>
      </c>
      <c r="Z1787" s="9">
        <f>STATS1003B!Z1887/1000</f>
        <v>0</v>
      </c>
      <c r="AA1787" s="9">
        <f>STATS1003B!AA1887/1000</f>
        <v>5074.9549999999999</v>
      </c>
      <c r="AB1787" s="9">
        <f>STATS1003B!AB1887/1000</f>
        <v>0</v>
      </c>
    </row>
    <row r="1788" spans="1:28" x14ac:dyDescent="0.35">
      <c r="A1788" s="36"/>
      <c r="B1788" s="8"/>
      <c r="C1788" s="7" t="s">
        <v>535</v>
      </c>
      <c r="D1788" s="15" t="s">
        <v>58</v>
      </c>
      <c r="E1788" s="9">
        <f>STATS1003B!E1888/1000</f>
        <v>9561.7260000000006</v>
      </c>
      <c r="F1788" s="9">
        <f>STATS1003B!F1888/1000</f>
        <v>9561.7260000000006</v>
      </c>
      <c r="G1788" s="9">
        <f>STATS1003B!G1888/1000</f>
        <v>0</v>
      </c>
      <c r="H1788" s="9">
        <f>STATS1003B!H1888/1000</f>
        <v>9561.7260000000006</v>
      </c>
      <c r="I1788" s="9">
        <f>STATS1003B!I1888/1000</f>
        <v>0</v>
      </c>
      <c r="J1788" s="9">
        <f>STATS1003B!J1888/1000</f>
        <v>9561.7260000000006</v>
      </c>
      <c r="K1788" s="9">
        <f>STATS1003B!K1888/1000</f>
        <v>0</v>
      </c>
      <c r="L1788" s="9">
        <f>STATS1003B!L1888/1000</f>
        <v>0</v>
      </c>
      <c r="M1788" s="9">
        <f>STATS1003B!M1888/1000</f>
        <v>9561.7260000000006</v>
      </c>
      <c r="N1788" s="9">
        <f>STATS1003B!N1888/1000</f>
        <v>0</v>
      </c>
      <c r="O1788" s="9">
        <f>STATS1003B!O1888/1000</f>
        <v>0</v>
      </c>
      <c r="P1788" s="9">
        <f>STATS1003B!P1888/1000</f>
        <v>0</v>
      </c>
      <c r="Q1788" s="9">
        <f>STATS1003B!Q1888/1000</f>
        <v>9561.7260000000006</v>
      </c>
      <c r="R1788" s="9">
        <f>STATS1003B!R1888/1000</f>
        <v>0</v>
      </c>
      <c r="S1788" s="9">
        <f>STATS1003B!S1888/1000</f>
        <v>0</v>
      </c>
      <c r="T1788" s="9">
        <f>STATS1003B!T1888/1000</f>
        <v>0</v>
      </c>
      <c r="U1788" s="9">
        <f>STATS1003B!U1888/1000</f>
        <v>0</v>
      </c>
      <c r="V1788" s="9">
        <f>STATS1003B!V1888/1000</f>
        <v>0</v>
      </c>
      <c r="W1788" s="9">
        <f>STATS1003B!W1888/1000</f>
        <v>0</v>
      </c>
      <c r="X1788" s="9">
        <f>STATS1003B!X1888/1000</f>
        <v>9561.7260000000006</v>
      </c>
      <c r="Y1788" s="9">
        <f>STATS1003B!Y1888/1000</f>
        <v>0</v>
      </c>
      <c r="Z1788" s="9">
        <f>STATS1003B!Z1888/1000</f>
        <v>0</v>
      </c>
      <c r="AA1788" s="9">
        <f>STATS1003B!AA1888/1000</f>
        <v>9561.7260000000006</v>
      </c>
      <c r="AB1788" s="9">
        <f>STATS1003B!AB1888/1000</f>
        <v>0</v>
      </c>
    </row>
    <row r="1789" spans="1:28" x14ac:dyDescent="0.35">
      <c r="A1789" s="36"/>
      <c r="B1789" s="8"/>
      <c r="C1789" s="7" t="s">
        <v>535</v>
      </c>
      <c r="D1789" s="15" t="s">
        <v>60</v>
      </c>
      <c r="E1789" s="9">
        <f>STATS1003B!E1889/1000</f>
        <v>8196.7822099999994</v>
      </c>
      <c r="F1789" s="9">
        <f>STATS1003B!F1889/1000</f>
        <v>8196.7822099999994</v>
      </c>
      <c r="G1789" s="9">
        <f>STATS1003B!G1889/1000</f>
        <v>0</v>
      </c>
      <c r="H1789" s="9">
        <f>STATS1003B!H1889/1000</f>
        <v>8196.7822099999994</v>
      </c>
      <c r="I1789" s="9">
        <f>STATS1003B!I1889/1000</f>
        <v>0</v>
      </c>
      <c r="J1789" s="9">
        <f>STATS1003B!J1889/1000</f>
        <v>8196.7822099999994</v>
      </c>
      <c r="K1789" s="9">
        <f>STATS1003B!K1889/1000</f>
        <v>0</v>
      </c>
      <c r="L1789" s="9">
        <f>STATS1003B!L1889/1000</f>
        <v>0</v>
      </c>
      <c r="M1789" s="9">
        <f>STATS1003B!M1889/1000</f>
        <v>8196.7822099999994</v>
      </c>
      <c r="N1789" s="9">
        <f>STATS1003B!N1889/1000</f>
        <v>0</v>
      </c>
      <c r="O1789" s="9">
        <f>STATS1003B!O1889/1000</f>
        <v>0</v>
      </c>
      <c r="P1789" s="9">
        <f>STATS1003B!P1889/1000</f>
        <v>0</v>
      </c>
      <c r="Q1789" s="9">
        <f>STATS1003B!Q1889/1000</f>
        <v>8196.7822099999994</v>
      </c>
      <c r="R1789" s="9">
        <f>STATS1003B!R1889/1000</f>
        <v>0</v>
      </c>
      <c r="S1789" s="9">
        <f>STATS1003B!S1889/1000</f>
        <v>0</v>
      </c>
      <c r="T1789" s="9">
        <f>STATS1003B!T1889/1000</f>
        <v>0</v>
      </c>
      <c r="U1789" s="9">
        <f>STATS1003B!U1889/1000</f>
        <v>0</v>
      </c>
      <c r="V1789" s="9">
        <f>STATS1003B!V1889/1000</f>
        <v>0</v>
      </c>
      <c r="W1789" s="9">
        <f>STATS1003B!W1889/1000</f>
        <v>0</v>
      </c>
      <c r="X1789" s="9">
        <f>STATS1003B!X1889/1000</f>
        <v>8196.7822099999994</v>
      </c>
      <c r="Y1789" s="9">
        <f>STATS1003B!Y1889/1000</f>
        <v>0</v>
      </c>
      <c r="Z1789" s="9">
        <f>STATS1003B!Z1889/1000</f>
        <v>0</v>
      </c>
      <c r="AA1789" s="9">
        <f>STATS1003B!AA1889/1000</f>
        <v>8196.7822099999994</v>
      </c>
      <c r="AB1789" s="9">
        <f>STATS1003B!AB1889/1000</f>
        <v>0</v>
      </c>
    </row>
    <row r="1790" spans="1:28" x14ac:dyDescent="0.35">
      <c r="A1790" s="36"/>
      <c r="B1790" s="8"/>
      <c r="C1790" s="7" t="s">
        <v>785</v>
      </c>
      <c r="D1790" s="15" t="s">
        <v>60</v>
      </c>
      <c r="E1790" s="9">
        <f>STATS1003B!E1893/1000</f>
        <v>1000</v>
      </c>
      <c r="F1790" s="9">
        <f>STATS1003B!F1893/1000</f>
        <v>1000</v>
      </c>
      <c r="G1790" s="9">
        <f>STATS1003B!G1893/1000</f>
        <v>0</v>
      </c>
      <c r="H1790" s="9">
        <f>STATS1003B!H1893/1000</f>
        <v>1000</v>
      </c>
      <c r="I1790" s="9">
        <f>STATS1003B!I1893/1000</f>
        <v>0</v>
      </c>
      <c r="J1790" s="9">
        <f>STATS1003B!J1893/1000</f>
        <v>1000</v>
      </c>
      <c r="K1790" s="9">
        <f>STATS1003B!K1893/1000</f>
        <v>0</v>
      </c>
      <c r="L1790" s="9">
        <f>STATS1003B!L1893/1000</f>
        <v>0</v>
      </c>
      <c r="M1790" s="9">
        <f>STATS1003B!M1893/1000</f>
        <v>1000</v>
      </c>
      <c r="N1790" s="9">
        <f>STATS1003B!N1893/1000</f>
        <v>0</v>
      </c>
      <c r="O1790" s="9">
        <f>STATS1003B!O1893/1000</f>
        <v>0</v>
      </c>
      <c r="P1790" s="9">
        <f>STATS1003B!P1893/1000</f>
        <v>0</v>
      </c>
      <c r="Q1790" s="9">
        <f>STATS1003B!Q1893/1000</f>
        <v>1000</v>
      </c>
      <c r="R1790" s="9">
        <f>STATS1003B!R1893/1000</f>
        <v>0</v>
      </c>
      <c r="S1790" s="9">
        <f>STATS1003B!S1893/1000</f>
        <v>0</v>
      </c>
      <c r="T1790" s="9">
        <f>STATS1003B!T1893/1000</f>
        <v>0</v>
      </c>
      <c r="U1790" s="9">
        <f>STATS1003B!U1893/1000</f>
        <v>0</v>
      </c>
      <c r="V1790" s="9">
        <f>STATS1003B!V1893/1000</f>
        <v>0</v>
      </c>
      <c r="W1790" s="9">
        <f>STATS1003B!W1893/1000</f>
        <v>0</v>
      </c>
      <c r="X1790" s="9">
        <f>STATS1003B!X1893/1000</f>
        <v>1000</v>
      </c>
      <c r="Y1790" s="9">
        <f>STATS1003B!Y1893/1000</f>
        <v>0</v>
      </c>
      <c r="Z1790" s="9">
        <f>STATS1003B!Z1893/1000</f>
        <v>0</v>
      </c>
      <c r="AA1790" s="9">
        <f>STATS1003B!AA1893/1000</f>
        <v>1000</v>
      </c>
      <c r="AB1790" s="9">
        <f>STATS1003B!AB1893/1000</f>
        <v>0</v>
      </c>
    </row>
    <row r="1791" spans="1:28" x14ac:dyDescent="0.35">
      <c r="A1791" s="36"/>
      <c r="B1791" s="8"/>
      <c r="C1791" s="7" t="s">
        <v>535</v>
      </c>
      <c r="D1791" s="21" t="s">
        <v>73</v>
      </c>
      <c r="E1791" s="9">
        <f>STATS1003B!E1894/1000</f>
        <v>8480.7080000000005</v>
      </c>
      <c r="F1791" s="9">
        <f>STATS1003B!F1894/1000</f>
        <v>8480.7080000000005</v>
      </c>
      <c r="G1791" s="9">
        <f>STATS1003B!G1894/1000</f>
        <v>0</v>
      </c>
      <c r="H1791" s="9">
        <f>STATS1003B!H1894/1000</f>
        <v>8480.7080000000005</v>
      </c>
      <c r="I1791" s="9">
        <f>STATS1003B!I1894/1000</f>
        <v>0</v>
      </c>
      <c r="J1791" s="9">
        <f>STATS1003B!J1894/1000</f>
        <v>8480.7080000000005</v>
      </c>
      <c r="K1791" s="9">
        <f>STATS1003B!K1894/1000</f>
        <v>0</v>
      </c>
      <c r="L1791" s="9">
        <f>STATS1003B!L1894/1000</f>
        <v>0</v>
      </c>
      <c r="M1791" s="9">
        <f>STATS1003B!M1894/1000</f>
        <v>8480.7080000000005</v>
      </c>
      <c r="N1791" s="9">
        <f>STATS1003B!N1894/1000</f>
        <v>0</v>
      </c>
      <c r="O1791" s="9">
        <f>STATS1003B!O1894/1000</f>
        <v>0</v>
      </c>
      <c r="P1791" s="9">
        <f>STATS1003B!P1894/1000</f>
        <v>0</v>
      </c>
      <c r="Q1791" s="9">
        <f>STATS1003B!Q1894/1000</f>
        <v>8480.7080000000005</v>
      </c>
      <c r="R1791" s="9">
        <f>STATS1003B!R1894/1000</f>
        <v>0</v>
      </c>
      <c r="S1791" s="9">
        <f>STATS1003B!S1894/1000</f>
        <v>0</v>
      </c>
      <c r="T1791" s="9">
        <f>STATS1003B!T1894/1000</f>
        <v>0</v>
      </c>
      <c r="U1791" s="9">
        <f>STATS1003B!U1894/1000</f>
        <v>0</v>
      </c>
      <c r="V1791" s="9">
        <f>STATS1003B!V1894/1000</f>
        <v>0</v>
      </c>
      <c r="W1791" s="9">
        <f>STATS1003B!W1894/1000</f>
        <v>0</v>
      </c>
      <c r="X1791" s="9">
        <f>STATS1003B!X1894/1000</f>
        <v>8480.7080000000005</v>
      </c>
      <c r="Y1791" s="9">
        <f>STATS1003B!Y1894/1000</f>
        <v>0</v>
      </c>
      <c r="Z1791" s="9">
        <f>STATS1003B!Z1894/1000</f>
        <v>0</v>
      </c>
      <c r="AA1791" s="9">
        <f>STATS1003B!AA1894/1000</f>
        <v>8480.7080000000005</v>
      </c>
      <c r="AB1791" s="9">
        <f>STATS1003B!AB1894/1000</f>
        <v>0</v>
      </c>
    </row>
    <row r="1792" spans="1:28" x14ac:dyDescent="0.35">
      <c r="A1792" s="36"/>
      <c r="B1792" s="8"/>
      <c r="C1792" s="7" t="s">
        <v>535</v>
      </c>
      <c r="D1792" s="21" t="s">
        <v>61</v>
      </c>
      <c r="E1792" s="9">
        <f>STATS1003B!E1895/1000</f>
        <v>8027.6912700000003</v>
      </c>
      <c r="F1792" s="9">
        <f>STATS1003B!F1895/1000</f>
        <v>7861.6587399999999</v>
      </c>
      <c r="G1792" s="9">
        <f>STATS1003B!G1895/1000</f>
        <v>0</v>
      </c>
      <c r="H1792" s="9">
        <f>STATS1003B!H1895/1000</f>
        <v>7861.6587399999999</v>
      </c>
      <c r="I1792" s="9">
        <f>STATS1003B!I1895/1000</f>
        <v>0</v>
      </c>
      <c r="J1792" s="9">
        <f>STATS1003B!J1895/1000</f>
        <v>7861.6587399999999</v>
      </c>
      <c r="K1792" s="9">
        <f>STATS1003B!K1895/1000</f>
        <v>0</v>
      </c>
      <c r="L1792" s="9">
        <f>STATS1003B!L1895/1000</f>
        <v>0</v>
      </c>
      <c r="M1792" s="9">
        <f>STATS1003B!M1895/1000</f>
        <v>7861.6587399999999</v>
      </c>
      <c r="N1792" s="9">
        <f>STATS1003B!N1895/1000</f>
        <v>0</v>
      </c>
      <c r="O1792" s="9">
        <f>STATS1003B!O1895/1000</f>
        <v>0</v>
      </c>
      <c r="P1792" s="9">
        <f>STATS1003B!P1895/1000</f>
        <v>0</v>
      </c>
      <c r="Q1792" s="9">
        <f>STATS1003B!Q1895/1000</f>
        <v>8027.6912700000003</v>
      </c>
      <c r="R1792" s="9">
        <f>STATS1003B!R1895/1000</f>
        <v>0</v>
      </c>
      <c r="S1792" s="9">
        <f>STATS1003B!S1895/1000</f>
        <v>0</v>
      </c>
      <c r="T1792" s="9">
        <f>STATS1003B!T1895/1000</f>
        <v>166.03253000000001</v>
      </c>
      <c r="U1792" s="9">
        <f>STATS1003B!U1895/1000</f>
        <v>166.03253000000001</v>
      </c>
      <c r="V1792" s="9">
        <f>STATS1003B!V1895/1000</f>
        <v>0</v>
      </c>
      <c r="W1792" s="9">
        <f>STATS1003B!W1895/1000</f>
        <v>0</v>
      </c>
      <c r="X1792" s="9">
        <f>STATS1003B!X1895/1000</f>
        <v>7861.6587399999999</v>
      </c>
      <c r="Y1792" s="9">
        <f>STATS1003B!Y1895/1000</f>
        <v>0</v>
      </c>
      <c r="Z1792" s="9">
        <f>STATS1003B!Z1895/1000</f>
        <v>166.03253000000026</v>
      </c>
      <c r="AA1792" s="9">
        <f>STATS1003B!AA1895/1000</f>
        <v>8027.6912700000003</v>
      </c>
      <c r="AB1792" s="9">
        <f>STATS1003B!AB1895/1000</f>
        <v>0</v>
      </c>
    </row>
    <row r="1793" spans="1:28" x14ac:dyDescent="0.35">
      <c r="A1793" s="36"/>
      <c r="B1793" s="8"/>
      <c r="C1793" s="7" t="s">
        <v>702</v>
      </c>
      <c r="D1793" s="8"/>
      <c r="E1793" s="9">
        <f>STATS1003B!E1896/1000</f>
        <v>273</v>
      </c>
      <c r="F1793" s="9">
        <f>STATS1003B!F1896/1000</f>
        <v>0</v>
      </c>
      <c r="G1793" s="9">
        <f>STATS1003B!G1896/1000</f>
        <v>0</v>
      </c>
      <c r="H1793" s="9">
        <f>STATS1003B!H1896/1000</f>
        <v>0</v>
      </c>
      <c r="I1793" s="9">
        <f>STATS1003B!I1896/1000</f>
        <v>0</v>
      </c>
      <c r="J1793" s="9">
        <f>STATS1003B!J1896/1000</f>
        <v>0</v>
      </c>
      <c r="K1793" s="9">
        <f>STATS1003B!K1896/1000</f>
        <v>273</v>
      </c>
      <c r="L1793" s="9">
        <f>STATS1003B!L1896/1000</f>
        <v>0</v>
      </c>
      <c r="M1793" s="9">
        <f>STATS1003B!M1896/1000</f>
        <v>0</v>
      </c>
      <c r="N1793" s="9">
        <f>STATS1003B!N1896/1000</f>
        <v>273</v>
      </c>
      <c r="O1793" s="9">
        <f>STATS1003B!O1896/1000</f>
        <v>0</v>
      </c>
      <c r="P1793" s="9">
        <f>STATS1003B!P1896/1000</f>
        <v>273</v>
      </c>
      <c r="Q1793" s="9">
        <f>STATS1003B!Q1896/1000</f>
        <v>0</v>
      </c>
      <c r="R1793" s="9">
        <f>STATS1003B!R1896/1000</f>
        <v>0</v>
      </c>
      <c r="S1793" s="9">
        <f>STATS1003B!S1896/1000</f>
        <v>0</v>
      </c>
      <c r="T1793" s="9">
        <f>STATS1003B!T1896/1000</f>
        <v>0</v>
      </c>
      <c r="U1793" s="9">
        <f>STATS1003B!U1896/1000</f>
        <v>273</v>
      </c>
      <c r="V1793" s="9">
        <f>STATS1003B!V1896/1000</f>
        <v>0</v>
      </c>
      <c r="W1793" s="9">
        <f>STATS1003B!W1896/1000</f>
        <v>0</v>
      </c>
      <c r="X1793" s="9">
        <f>STATS1003B!X1896/1000</f>
        <v>273</v>
      </c>
      <c r="Y1793" s="9">
        <f>STATS1003B!Y1896/1000</f>
        <v>0</v>
      </c>
      <c r="Z1793" s="9">
        <f>STATS1003B!Z1896/1000</f>
        <v>0</v>
      </c>
      <c r="AA1793" s="9">
        <f>STATS1003B!AA1896/1000</f>
        <v>273</v>
      </c>
      <c r="AB1793" s="9">
        <f>STATS1003B!AB1896/1000</f>
        <v>0</v>
      </c>
    </row>
    <row r="1794" spans="1:28" x14ac:dyDescent="0.35">
      <c r="A1794" s="36"/>
      <c r="B1794" s="8"/>
      <c r="C1794" s="7" t="s">
        <v>592</v>
      </c>
      <c r="D1794" s="8"/>
      <c r="E1794" s="9">
        <f>STATS1003B!E1897/1000</f>
        <v>1999.99766</v>
      </c>
      <c r="F1794" s="9">
        <f>STATS1003B!F1897/1000</f>
        <v>1948.1426600000002</v>
      </c>
      <c r="G1794" s="9">
        <f>STATS1003B!G1897/1000</f>
        <v>0</v>
      </c>
      <c r="H1794" s="9">
        <f>STATS1003B!H1897/1000</f>
        <v>1948.1426600000002</v>
      </c>
      <c r="I1794" s="9">
        <f>STATS1003B!I1897/1000</f>
        <v>0</v>
      </c>
      <c r="J1794" s="9">
        <f>STATS1003B!J1897/1000</f>
        <v>1948.1426600000002</v>
      </c>
      <c r="K1794" s="9">
        <f>STATS1003B!K1897/1000</f>
        <v>51.854999999999997</v>
      </c>
      <c r="L1794" s="9">
        <f>STATS1003B!L1897/1000</f>
        <v>0</v>
      </c>
      <c r="M1794" s="9">
        <f>STATS1003B!M1897/1000</f>
        <v>1948.1426600000002</v>
      </c>
      <c r="N1794" s="9">
        <f>STATS1003B!N1897/1000</f>
        <v>51.854999999999997</v>
      </c>
      <c r="O1794" s="9">
        <f>STATS1003B!O1897/1000</f>
        <v>0</v>
      </c>
      <c r="P1794" s="9">
        <f>STATS1003B!P1897/1000</f>
        <v>51.854999999999997</v>
      </c>
      <c r="Q1794" s="9">
        <f>STATS1003B!Q1897/1000</f>
        <v>1948.14266</v>
      </c>
      <c r="R1794" s="9">
        <f>STATS1003B!R1897/1000</f>
        <v>0</v>
      </c>
      <c r="S1794" s="9">
        <f>STATS1003B!S1897/1000</f>
        <v>0</v>
      </c>
      <c r="T1794" s="9">
        <f>STATS1003B!T1897/1000</f>
        <v>0</v>
      </c>
      <c r="U1794" s="9">
        <f>STATS1003B!U1897/1000</f>
        <v>51.854999999999997</v>
      </c>
      <c r="V1794" s="9">
        <f>STATS1003B!V1897/1000</f>
        <v>0</v>
      </c>
      <c r="W1794" s="9">
        <f>STATS1003B!W1897/1000</f>
        <v>0</v>
      </c>
      <c r="X1794" s="9">
        <f>STATS1003B!X1897/1000</f>
        <v>1999.9976600000002</v>
      </c>
      <c r="Y1794" s="9">
        <f>STATS1003B!Y1897/1000</f>
        <v>0</v>
      </c>
      <c r="Z1794" s="9">
        <f>STATS1003B!Z1897/1000</f>
        <v>0</v>
      </c>
      <c r="AA1794" s="9">
        <f>STATS1003B!AA1897/1000</f>
        <v>1999.9976600000002</v>
      </c>
      <c r="AB1794" s="9">
        <f>STATS1003B!AB1897/1000</f>
        <v>0</v>
      </c>
    </row>
    <row r="1795" spans="1:28" x14ac:dyDescent="0.35">
      <c r="A1795" s="36"/>
      <c r="B1795" s="8"/>
      <c r="C1795" s="7" t="s">
        <v>598</v>
      </c>
      <c r="D1795" s="8"/>
      <c r="E1795" s="9">
        <f>STATS1003B!E1898/1000</f>
        <v>217.21299999999999</v>
      </c>
      <c r="F1795" s="9">
        <f>STATS1003B!F1898/1000</f>
        <v>217.21299999999999</v>
      </c>
      <c r="G1795" s="9">
        <f>STATS1003B!G1898/1000</f>
        <v>0</v>
      </c>
      <c r="H1795" s="9">
        <f>STATS1003B!H1898/1000</f>
        <v>217.21299999999999</v>
      </c>
      <c r="I1795" s="9">
        <f>STATS1003B!I1898/1000</f>
        <v>0</v>
      </c>
      <c r="J1795" s="9">
        <f>STATS1003B!J1898/1000</f>
        <v>217.21299999999999</v>
      </c>
      <c r="K1795" s="9">
        <f>STATS1003B!K1898/1000</f>
        <v>0</v>
      </c>
      <c r="L1795" s="9">
        <f>STATS1003B!L1898/1000</f>
        <v>0</v>
      </c>
      <c r="M1795" s="9">
        <f>STATS1003B!M1898/1000</f>
        <v>217.21299999999999</v>
      </c>
      <c r="N1795" s="9">
        <f>STATS1003B!N1898/1000</f>
        <v>0</v>
      </c>
      <c r="O1795" s="9">
        <f>STATS1003B!O1898/1000</f>
        <v>0</v>
      </c>
      <c r="P1795" s="9">
        <f>STATS1003B!P1898/1000</f>
        <v>0</v>
      </c>
      <c r="Q1795" s="9">
        <f>STATS1003B!Q1898/1000</f>
        <v>217.21299999999999</v>
      </c>
      <c r="R1795" s="9">
        <f>STATS1003B!R1898/1000</f>
        <v>0</v>
      </c>
      <c r="S1795" s="9">
        <f>STATS1003B!S1898/1000</f>
        <v>0</v>
      </c>
      <c r="T1795" s="9">
        <f>STATS1003B!T1898/1000</f>
        <v>0</v>
      </c>
      <c r="U1795" s="9">
        <f>STATS1003B!U1898/1000</f>
        <v>0</v>
      </c>
      <c r="V1795" s="9">
        <f>STATS1003B!V1898/1000</f>
        <v>0</v>
      </c>
      <c r="W1795" s="9">
        <f>STATS1003B!W1898/1000</f>
        <v>0</v>
      </c>
      <c r="X1795" s="9">
        <f>STATS1003B!X1898/1000</f>
        <v>217.21299999999999</v>
      </c>
      <c r="Y1795" s="9">
        <f>STATS1003B!Y1898/1000</f>
        <v>0</v>
      </c>
      <c r="Z1795" s="9">
        <f>STATS1003B!Z1898/1000</f>
        <v>0</v>
      </c>
      <c r="AA1795" s="9">
        <f>STATS1003B!AA1898/1000</f>
        <v>217.21299999999999</v>
      </c>
      <c r="AB1795" s="9">
        <f>STATS1003B!AB1898/1000</f>
        <v>0</v>
      </c>
    </row>
    <row r="1796" spans="1:28" x14ac:dyDescent="0.35">
      <c r="A1796" s="36"/>
      <c r="B1796" s="8"/>
      <c r="C1796" s="7" t="s">
        <v>1083</v>
      </c>
      <c r="D1796" s="8"/>
      <c r="E1796" s="9">
        <f>STATS1003B!E1899/1000</f>
        <v>12886.418089999999</v>
      </c>
      <c r="F1796" s="9">
        <f>STATS1003B!F1899/1000</f>
        <v>12886.418089999999</v>
      </c>
      <c r="G1796" s="9">
        <f>STATS1003B!G1899/1000</f>
        <v>0</v>
      </c>
      <c r="H1796" s="9">
        <f>STATS1003B!H1899/1000</f>
        <v>12886.418089999999</v>
      </c>
      <c r="I1796" s="9">
        <f>STATS1003B!I1899/1000</f>
        <v>0</v>
      </c>
      <c r="J1796" s="9">
        <f>STATS1003B!J1899/1000</f>
        <v>0</v>
      </c>
      <c r="K1796" s="9">
        <f>STATS1003B!K1899/1000</f>
        <v>0</v>
      </c>
      <c r="L1796" s="9">
        <f>STATS1003B!L1899/1000</f>
        <v>0</v>
      </c>
      <c r="M1796" s="9">
        <f>STATS1003B!M1899/1000</f>
        <v>12886.418089999999</v>
      </c>
      <c r="N1796" s="9">
        <f>STATS1003B!N1899/1000</f>
        <v>0</v>
      </c>
      <c r="O1796" s="9">
        <f>STATS1003B!O1899/1000</f>
        <v>0</v>
      </c>
      <c r="P1796" s="9">
        <f>STATS1003B!P1899/1000</f>
        <v>0</v>
      </c>
      <c r="Q1796" s="9">
        <f>STATS1003B!Q1899/1000</f>
        <v>0</v>
      </c>
      <c r="R1796" s="9">
        <f>STATS1003B!R1899/1000</f>
        <v>0</v>
      </c>
      <c r="S1796" s="9">
        <f>STATS1003B!S1899/1000</f>
        <v>0</v>
      </c>
      <c r="T1796" s="9">
        <f>STATS1003B!T1899/1000</f>
        <v>0</v>
      </c>
      <c r="U1796" s="9">
        <f>STATS1003B!U1899/1000</f>
        <v>0</v>
      </c>
      <c r="V1796" s="9">
        <f>STATS1003B!V1899/1000</f>
        <v>0</v>
      </c>
      <c r="W1796" s="9">
        <f>STATS1003B!W1899/1000</f>
        <v>0</v>
      </c>
      <c r="X1796" s="9">
        <f>STATS1003B!X1899/1000</f>
        <v>12886.418089999999</v>
      </c>
      <c r="Y1796" s="9">
        <f>STATS1003B!Y1899/1000</f>
        <v>0</v>
      </c>
      <c r="Z1796" s="9">
        <f>STATS1003B!Z1899/1000</f>
        <v>0</v>
      </c>
      <c r="AA1796" s="9">
        <f>STATS1003B!AA1899/1000</f>
        <v>12886.418089999999</v>
      </c>
      <c r="AB1796" s="9">
        <f>STATS1003B!AB1899/1000</f>
        <v>0</v>
      </c>
    </row>
    <row r="1797" spans="1:28" x14ac:dyDescent="0.35">
      <c r="A1797" s="36"/>
      <c r="B1797" s="8"/>
      <c r="C1797" s="7" t="s">
        <v>1074</v>
      </c>
      <c r="D1797" s="23" t="s">
        <v>1072</v>
      </c>
      <c r="E1797" s="9">
        <f>STATS1003B!E1900/1000</f>
        <v>6162.5879999999997</v>
      </c>
      <c r="F1797" s="9">
        <f>STATS1003B!F1900/1000</f>
        <v>6162.5879999999997</v>
      </c>
      <c r="G1797" s="9">
        <f>STATS1003B!G1900/1000</f>
        <v>0</v>
      </c>
      <c r="H1797" s="9">
        <f>STATS1003B!H1900/1000</f>
        <v>6162.5879999999997</v>
      </c>
      <c r="I1797" s="9">
        <f>STATS1003B!I1900/1000</f>
        <v>0</v>
      </c>
      <c r="J1797" s="9">
        <f>STATS1003B!J1900/1000</f>
        <v>0</v>
      </c>
      <c r="K1797" s="9">
        <f>STATS1003B!K1900/1000</f>
        <v>0</v>
      </c>
      <c r="L1797" s="9">
        <f>STATS1003B!L1900/1000</f>
        <v>0</v>
      </c>
      <c r="M1797" s="9">
        <f>STATS1003B!M1900/1000</f>
        <v>6162.5879999999997</v>
      </c>
      <c r="N1797" s="9">
        <f>STATS1003B!N1900/1000</f>
        <v>0</v>
      </c>
      <c r="O1797" s="9">
        <f>STATS1003B!O1900/1000</f>
        <v>0</v>
      </c>
      <c r="P1797" s="9">
        <f>STATS1003B!P1900/1000</f>
        <v>0</v>
      </c>
      <c r="Q1797" s="9">
        <f>STATS1003B!Q1900/1000</f>
        <v>0</v>
      </c>
      <c r="R1797" s="9">
        <f>STATS1003B!R1900/1000</f>
        <v>0</v>
      </c>
      <c r="S1797" s="9">
        <f>STATS1003B!S1900/1000</f>
        <v>0</v>
      </c>
      <c r="T1797" s="9">
        <f>STATS1003B!T1900/1000</f>
        <v>0</v>
      </c>
      <c r="U1797" s="9">
        <f>STATS1003B!U1900/1000</f>
        <v>0</v>
      </c>
      <c r="V1797" s="9">
        <f>STATS1003B!V1900/1000</f>
        <v>0</v>
      </c>
      <c r="W1797" s="9">
        <f>STATS1003B!W1900/1000</f>
        <v>0</v>
      </c>
      <c r="X1797" s="9">
        <f>STATS1003B!X1900/1000</f>
        <v>6162.5879999999997</v>
      </c>
      <c r="Y1797" s="9">
        <f>STATS1003B!Y1900/1000</f>
        <v>0</v>
      </c>
      <c r="Z1797" s="9">
        <f>STATS1003B!Z1900/1000</f>
        <v>0</v>
      </c>
      <c r="AA1797" s="9">
        <f>STATS1003B!AA1900/1000</f>
        <v>6162.5879999999997</v>
      </c>
      <c r="AB1797" s="9">
        <f>STATS1003B!AB1900/1000</f>
        <v>0</v>
      </c>
    </row>
    <row r="1798" spans="1:28" x14ac:dyDescent="0.35">
      <c r="A1798" s="36"/>
      <c r="B1798" s="8"/>
      <c r="C1798" s="7" t="s">
        <v>606</v>
      </c>
      <c r="D1798" s="8"/>
      <c r="E1798" s="9">
        <f>STATS1003B!E1901/1000</f>
        <v>5338.4664599999996</v>
      </c>
      <c r="F1798" s="9">
        <f>STATS1003B!F1901/1000</f>
        <v>4240.70507</v>
      </c>
      <c r="G1798" s="9">
        <f>STATS1003B!G1901/1000</f>
        <v>0</v>
      </c>
      <c r="H1798" s="9">
        <f>STATS1003B!H1901/1000</f>
        <v>4240.70507</v>
      </c>
      <c r="I1798" s="9">
        <f>STATS1003B!I1901/1000</f>
        <v>1097.7613899999997</v>
      </c>
      <c r="J1798" s="9">
        <f>STATS1003B!J1901/1000</f>
        <v>5338.4664599999996</v>
      </c>
      <c r="K1798" s="9">
        <f>STATS1003B!K1901/1000</f>
        <v>0</v>
      </c>
      <c r="L1798" s="9">
        <f>STATS1003B!L1901/1000</f>
        <v>1097.7613899999999</v>
      </c>
      <c r="M1798" s="9">
        <f>STATS1003B!M1901/1000</f>
        <v>5338.4664599999996</v>
      </c>
      <c r="N1798" s="9">
        <f>STATS1003B!N1901/1000</f>
        <v>0</v>
      </c>
      <c r="O1798" s="9">
        <f>STATS1003B!O1901/1000</f>
        <v>0</v>
      </c>
      <c r="P1798" s="9">
        <f>STATS1003B!P1901/1000</f>
        <v>0</v>
      </c>
      <c r="Q1798" s="9">
        <f>STATS1003B!Q1901/1000</f>
        <v>5338.4664599999996</v>
      </c>
      <c r="R1798" s="9">
        <f>STATS1003B!R1901/1000</f>
        <v>0</v>
      </c>
      <c r="S1798" s="9">
        <f>STATS1003B!S1901/1000</f>
        <v>0</v>
      </c>
      <c r="T1798" s="9">
        <f>STATS1003B!T1901/1000</f>
        <v>0</v>
      </c>
      <c r="U1798" s="9">
        <f>STATS1003B!U1901/1000</f>
        <v>0</v>
      </c>
      <c r="V1798" s="9">
        <f>STATS1003B!V1901/1000</f>
        <v>0</v>
      </c>
      <c r="W1798" s="9">
        <f>STATS1003B!W1901/1000</f>
        <v>0</v>
      </c>
      <c r="X1798" s="9">
        <f>STATS1003B!X1901/1000</f>
        <v>4240.70507</v>
      </c>
      <c r="Y1798" s="9">
        <f>STATS1003B!Y1901/1000</f>
        <v>0</v>
      </c>
      <c r="Z1798" s="9">
        <f>STATS1003B!Z1901/1000</f>
        <v>1097.7613899999997</v>
      </c>
      <c r="AA1798" s="9">
        <f>STATS1003B!AA1901/1000</f>
        <v>5338.4664599999996</v>
      </c>
      <c r="AB1798" s="9">
        <f>STATS1003B!AB1901/1000</f>
        <v>0</v>
      </c>
    </row>
    <row r="1799" spans="1:28" x14ac:dyDescent="0.35">
      <c r="A1799" s="36"/>
      <c r="B1799" s="8"/>
      <c r="C1799" s="8"/>
      <c r="D1799" s="8"/>
      <c r="E1799" s="17" t="s">
        <v>29</v>
      </c>
      <c r="F1799" s="17" t="s">
        <v>29</v>
      </c>
      <c r="G1799" s="17" t="s">
        <v>29</v>
      </c>
      <c r="H1799" s="17" t="s">
        <v>29</v>
      </c>
      <c r="I1799" s="17" t="s">
        <v>29</v>
      </c>
      <c r="J1799" s="17" t="s">
        <v>29</v>
      </c>
      <c r="K1799" s="17" t="s">
        <v>29</v>
      </c>
      <c r="L1799" s="17" t="s">
        <v>29</v>
      </c>
      <c r="M1799" s="17" t="s">
        <v>29</v>
      </c>
      <c r="N1799" s="17" t="s">
        <v>29</v>
      </c>
      <c r="O1799" s="17" t="s">
        <v>29</v>
      </c>
      <c r="P1799" s="17" t="s">
        <v>29</v>
      </c>
      <c r="Q1799" s="17" t="s">
        <v>29</v>
      </c>
      <c r="R1799" s="17"/>
      <c r="S1799" s="17"/>
      <c r="T1799" s="17"/>
      <c r="U1799" s="17"/>
      <c r="V1799" s="17"/>
      <c r="W1799" s="17"/>
      <c r="X1799" s="17" t="s">
        <v>29</v>
      </c>
      <c r="Y1799" s="17"/>
      <c r="Z1799" s="17"/>
      <c r="AA1799" s="17" t="s">
        <v>29</v>
      </c>
      <c r="AB1799" s="17" t="s">
        <v>29</v>
      </c>
    </row>
    <row r="1800" spans="1:28" x14ac:dyDescent="0.35">
      <c r="A1800" s="36"/>
      <c r="B1800" s="8"/>
      <c r="C1800" s="8"/>
      <c r="D1800" s="8"/>
      <c r="E1800" s="9">
        <f t="shared" ref="E1800:Q1800" si="130">SUM(E1772:E1799)</f>
        <v>92446.670889999994</v>
      </c>
      <c r="F1800" s="9">
        <f t="shared" si="130"/>
        <v>87090.88751</v>
      </c>
      <c r="G1800" s="9">
        <f t="shared" si="130"/>
        <v>0</v>
      </c>
      <c r="H1800" s="9">
        <f t="shared" si="130"/>
        <v>87090.88751</v>
      </c>
      <c r="I1800" s="9">
        <f t="shared" si="130"/>
        <v>1097.7613899999997</v>
      </c>
      <c r="J1800" s="9">
        <f t="shared" si="130"/>
        <v>69139.642810000005</v>
      </c>
      <c r="K1800" s="9">
        <f t="shared" si="130"/>
        <v>4091.9894600000002</v>
      </c>
      <c r="L1800" s="9">
        <f t="shared" si="130"/>
        <v>1097.7613899999999</v>
      </c>
      <c r="M1800" s="9">
        <f t="shared" si="130"/>
        <v>88188.6489</v>
      </c>
      <c r="N1800" s="9">
        <f t="shared" si="130"/>
        <v>4091.9894600000002</v>
      </c>
      <c r="O1800" s="9">
        <f t="shared" si="130"/>
        <v>0</v>
      </c>
      <c r="P1800" s="9">
        <f t="shared" si="130"/>
        <v>4091.9894600000002</v>
      </c>
      <c r="Q1800" s="9">
        <f t="shared" si="130"/>
        <v>69305.675340000002</v>
      </c>
      <c r="R1800" s="17"/>
      <c r="S1800" s="17"/>
      <c r="T1800" s="9">
        <f t="shared" ref="T1800:Z1800" si="131">SUM(T1772:T1799)</f>
        <v>166.03253000000001</v>
      </c>
      <c r="U1800" s="9">
        <f t="shared" si="131"/>
        <v>4258.0219899999993</v>
      </c>
      <c r="V1800" s="9">
        <f t="shared" si="131"/>
        <v>0</v>
      </c>
      <c r="W1800" s="9">
        <f t="shared" si="131"/>
        <v>0</v>
      </c>
      <c r="X1800" s="9">
        <f t="shared" si="131"/>
        <v>91182.876969999998</v>
      </c>
      <c r="Y1800" s="9">
        <f t="shared" si="131"/>
        <v>0</v>
      </c>
      <c r="Z1800" s="9">
        <f t="shared" si="131"/>
        <v>1263.7939199999998</v>
      </c>
      <c r="AA1800" s="9">
        <f>SUM(AA1772:AA1799)</f>
        <v>92446.670889999994</v>
      </c>
      <c r="AB1800" s="9">
        <f>SUM(AB1772:AB1799)</f>
        <v>0</v>
      </c>
    </row>
    <row r="1801" spans="1:28" x14ac:dyDescent="0.35">
      <c r="A1801" s="36"/>
      <c r="B1801" s="8"/>
      <c r="C1801" s="8"/>
      <c r="D1801" s="8"/>
      <c r="E1801" s="17" t="s">
        <v>29</v>
      </c>
      <c r="F1801" s="17" t="s">
        <v>29</v>
      </c>
      <c r="G1801" s="17" t="s">
        <v>29</v>
      </c>
      <c r="H1801" s="17" t="s">
        <v>29</v>
      </c>
      <c r="I1801" s="17" t="s">
        <v>29</v>
      </c>
      <c r="J1801" s="17" t="s">
        <v>29</v>
      </c>
      <c r="K1801" s="17" t="s">
        <v>29</v>
      </c>
      <c r="L1801" s="17" t="s">
        <v>29</v>
      </c>
      <c r="M1801" s="17" t="s">
        <v>29</v>
      </c>
      <c r="N1801" s="17" t="s">
        <v>29</v>
      </c>
      <c r="O1801" s="17" t="s">
        <v>29</v>
      </c>
      <c r="P1801" s="17" t="s">
        <v>29</v>
      </c>
      <c r="Q1801" s="17" t="s">
        <v>29</v>
      </c>
      <c r="R1801" s="17"/>
      <c r="S1801" s="17"/>
      <c r="T1801" s="17"/>
      <c r="U1801" s="17"/>
      <c r="V1801" s="17"/>
      <c r="W1801" s="17"/>
      <c r="X1801" s="17" t="s">
        <v>29</v>
      </c>
      <c r="Y1801" s="17"/>
      <c r="Z1801" s="17"/>
      <c r="AA1801" s="17" t="s">
        <v>29</v>
      </c>
      <c r="AB1801" s="17" t="s">
        <v>29</v>
      </c>
    </row>
    <row r="1802" spans="1:28" x14ac:dyDescent="0.35">
      <c r="A1802" s="38" t="s">
        <v>1020</v>
      </c>
      <c r="B1802" s="7" t="s">
        <v>786</v>
      </c>
      <c r="C1802" s="8"/>
      <c r="D1802" s="8"/>
      <c r="E1802" s="8"/>
      <c r="F1802" s="8"/>
      <c r="G1802" s="8"/>
      <c r="H1802" s="8"/>
      <c r="I1802" s="8"/>
      <c r="J1802" s="8"/>
      <c r="K1802" s="8"/>
      <c r="L1802" s="8"/>
      <c r="M1802" s="8"/>
      <c r="N1802" s="8"/>
      <c r="O1802" s="8"/>
      <c r="P1802" s="8"/>
      <c r="Q1802" s="8"/>
      <c r="R1802" s="17"/>
      <c r="S1802" s="17"/>
      <c r="T1802" s="17"/>
      <c r="U1802" s="17"/>
      <c r="V1802" s="17"/>
      <c r="W1802" s="17"/>
      <c r="X1802" s="17"/>
      <c r="Y1802" s="17"/>
      <c r="Z1802" s="17"/>
    </row>
    <row r="1803" spans="1:28" x14ac:dyDescent="0.35">
      <c r="A1803" s="36"/>
      <c r="B1803" s="8"/>
      <c r="C1803" s="7" t="s">
        <v>787</v>
      </c>
      <c r="D1803" s="15" t="s">
        <v>150</v>
      </c>
      <c r="E1803" s="9">
        <v>8851000</v>
      </c>
      <c r="F1803" s="9">
        <v>8851000</v>
      </c>
      <c r="G1803" s="8"/>
      <c r="H1803" s="9">
        <f t="shared" ref="H1803:H1818" si="132">F1803+G1803</f>
        <v>8851000</v>
      </c>
      <c r="I1803" s="8"/>
      <c r="J1803" s="9">
        <f t="shared" ref="J1803:J1818" si="133">H1803+I1803</f>
        <v>8851000</v>
      </c>
      <c r="K1803" s="8"/>
      <c r="L1803" s="8"/>
      <c r="M1803" s="9">
        <f>+H1803+L1803</f>
        <v>8851000</v>
      </c>
      <c r="N1803" s="8"/>
      <c r="O1803" s="9"/>
      <c r="P1803" s="9">
        <f>+N1803+O1803</f>
        <v>0</v>
      </c>
      <c r="Q1803" s="9">
        <f t="shared" ref="Q1803:Q1818" si="134">E1803-P1803</f>
        <v>8851000</v>
      </c>
      <c r="R1803" s="17"/>
      <c r="S1803" s="17"/>
      <c r="T1803" s="17"/>
      <c r="U1803" s="18">
        <f t="shared" ref="U1803:U1818" si="135">+P1803+T1803</f>
        <v>0</v>
      </c>
      <c r="V1803" s="17"/>
      <c r="W1803" s="17"/>
      <c r="X1803" s="9">
        <f t="shared" ref="X1803:X1818" si="136">+H1803+P1803</f>
        <v>8851000</v>
      </c>
      <c r="Y1803" s="8"/>
      <c r="Z1803" s="9">
        <f t="shared" ref="Z1803:Z1818" si="137">+E1803-X1803</f>
        <v>0</v>
      </c>
      <c r="AA1803" s="8">
        <f t="shared" ref="AA1803:AA1818" si="138">+M1803+U1803</f>
        <v>8851000</v>
      </c>
      <c r="AB1803" s="8">
        <f t="shared" ref="AB1803:AB1818" si="139">+E1803-AA1803</f>
        <v>0</v>
      </c>
    </row>
    <row r="1804" spans="1:28" x14ac:dyDescent="0.35">
      <c r="A1804" s="36"/>
      <c r="B1804" s="8"/>
      <c r="C1804" s="7" t="s">
        <v>777</v>
      </c>
      <c r="D1804" s="15" t="s">
        <v>78</v>
      </c>
      <c r="E1804" s="9">
        <f>7077000-2002901.25</f>
        <v>5074098.75</v>
      </c>
      <c r="F1804" s="9">
        <f>4694168.63+379930.12</f>
        <v>5074098.75</v>
      </c>
      <c r="G1804" s="8"/>
      <c r="H1804" s="9">
        <f t="shared" si="132"/>
        <v>5074098.75</v>
      </c>
      <c r="I1804" s="8"/>
      <c r="J1804" s="9">
        <f t="shared" si="133"/>
        <v>5074098.75</v>
      </c>
      <c r="K1804" s="8"/>
      <c r="L1804" s="8"/>
      <c r="M1804" s="9">
        <f t="shared" ref="M1804:M1818" si="140">+H1804+L1804</f>
        <v>5074098.75</v>
      </c>
      <c r="N1804" s="8"/>
      <c r="O1804" s="9"/>
      <c r="P1804" s="9">
        <f t="shared" ref="P1804:P1818" si="141">+N1804+O1804</f>
        <v>0</v>
      </c>
      <c r="Q1804" s="9">
        <f t="shared" si="134"/>
        <v>5074098.75</v>
      </c>
      <c r="R1804" s="17"/>
      <c r="S1804" s="17"/>
      <c r="T1804" s="17"/>
      <c r="U1804" s="18">
        <f t="shared" si="135"/>
        <v>0</v>
      </c>
      <c r="V1804" s="17"/>
      <c r="W1804" s="17"/>
      <c r="X1804" s="9">
        <f t="shared" si="136"/>
        <v>5074098.75</v>
      </c>
      <c r="Y1804" s="8"/>
      <c r="Z1804" s="9">
        <f t="shared" si="137"/>
        <v>0</v>
      </c>
      <c r="AA1804" s="8">
        <f t="shared" si="138"/>
        <v>5074098.75</v>
      </c>
      <c r="AB1804" s="8">
        <f t="shared" si="139"/>
        <v>0</v>
      </c>
    </row>
    <row r="1805" spans="1:28" x14ac:dyDescent="0.35">
      <c r="A1805" s="36"/>
      <c r="B1805" s="8"/>
      <c r="C1805" s="7" t="s">
        <v>535</v>
      </c>
      <c r="D1805" s="15" t="s">
        <v>68</v>
      </c>
      <c r="E1805" s="9">
        <f>22189150-3672301.48</f>
        <v>18516848.52</v>
      </c>
      <c r="F1805" s="9">
        <v>5792181.4100000001</v>
      </c>
      <c r="G1805" s="8"/>
      <c r="H1805" s="9">
        <f t="shared" si="132"/>
        <v>5792181.4100000001</v>
      </c>
      <c r="I1805" s="8"/>
      <c r="J1805" s="9">
        <f t="shared" si="133"/>
        <v>5792181.4100000001</v>
      </c>
      <c r="K1805" s="9">
        <f>10465479.61+2259187.5</f>
        <v>12724667.109999999</v>
      </c>
      <c r="L1805" s="8"/>
      <c r="M1805" s="9">
        <f t="shared" si="140"/>
        <v>5792181.4100000001</v>
      </c>
      <c r="N1805" s="8">
        <v>12724667.109999999</v>
      </c>
      <c r="O1805" s="9"/>
      <c r="P1805" s="9">
        <f t="shared" si="141"/>
        <v>12724667.109999999</v>
      </c>
      <c r="Q1805" s="9">
        <f t="shared" si="134"/>
        <v>5792181.4100000001</v>
      </c>
      <c r="R1805" s="17"/>
      <c r="S1805" s="17"/>
      <c r="T1805" s="17"/>
      <c r="U1805" s="18">
        <f t="shared" si="135"/>
        <v>12724667.109999999</v>
      </c>
      <c r="V1805" s="17"/>
      <c r="W1805" s="17"/>
      <c r="X1805" s="9">
        <f t="shared" si="136"/>
        <v>18516848.52</v>
      </c>
      <c r="Y1805" s="8"/>
      <c r="Z1805" s="9">
        <f t="shared" si="137"/>
        <v>0</v>
      </c>
      <c r="AA1805" s="8">
        <f t="shared" si="138"/>
        <v>18516848.52</v>
      </c>
      <c r="AB1805" s="8">
        <f t="shared" si="139"/>
        <v>0</v>
      </c>
    </row>
    <row r="1806" spans="1:28" x14ac:dyDescent="0.35">
      <c r="A1806" s="36"/>
      <c r="B1806" s="8"/>
      <c r="C1806" s="7" t="s">
        <v>539</v>
      </c>
      <c r="D1806" s="15" t="s">
        <v>68</v>
      </c>
      <c r="E1806" s="9">
        <v>1105792.5</v>
      </c>
      <c r="F1806" s="8"/>
      <c r="G1806" s="8"/>
      <c r="H1806" s="9">
        <f t="shared" si="132"/>
        <v>0</v>
      </c>
      <c r="I1806" s="8"/>
      <c r="J1806" s="9">
        <f t="shared" si="133"/>
        <v>0</v>
      </c>
      <c r="K1806" s="9">
        <v>1105792.5</v>
      </c>
      <c r="L1806" s="8"/>
      <c r="M1806" s="9">
        <f t="shared" si="140"/>
        <v>0</v>
      </c>
      <c r="N1806" s="8">
        <v>1105792.5</v>
      </c>
      <c r="O1806" s="9"/>
      <c r="P1806" s="9">
        <f t="shared" si="141"/>
        <v>1105792.5</v>
      </c>
      <c r="Q1806" s="9">
        <f t="shared" si="134"/>
        <v>0</v>
      </c>
      <c r="R1806" s="17"/>
      <c r="S1806" s="17"/>
      <c r="T1806" s="17"/>
      <c r="U1806" s="18">
        <f t="shared" si="135"/>
        <v>1105792.5</v>
      </c>
      <c r="V1806" s="17"/>
      <c r="W1806" s="17"/>
      <c r="X1806" s="9">
        <f t="shared" si="136"/>
        <v>1105792.5</v>
      </c>
      <c r="Y1806" s="8"/>
      <c r="Z1806" s="9">
        <f t="shared" si="137"/>
        <v>0</v>
      </c>
      <c r="AA1806" s="8">
        <f t="shared" si="138"/>
        <v>1105792.5</v>
      </c>
      <c r="AB1806" s="8">
        <f t="shared" si="139"/>
        <v>0</v>
      </c>
    </row>
    <row r="1807" spans="1:28" x14ac:dyDescent="0.35">
      <c r="A1807" s="36"/>
      <c r="B1807" s="8"/>
      <c r="C1807" s="7" t="s">
        <v>535</v>
      </c>
      <c r="D1807" s="15" t="s">
        <v>54</v>
      </c>
      <c r="E1807" s="9">
        <f>2339000-116950-187414</f>
        <v>2034636</v>
      </c>
      <c r="F1807" s="9">
        <f>2000000+34636</f>
        <v>2034636</v>
      </c>
      <c r="G1807" s="8"/>
      <c r="H1807" s="9">
        <f t="shared" si="132"/>
        <v>2034636</v>
      </c>
      <c r="I1807" s="8"/>
      <c r="J1807" s="9">
        <f t="shared" si="133"/>
        <v>2034636</v>
      </c>
      <c r="K1807" s="8"/>
      <c r="L1807" s="8"/>
      <c r="M1807" s="9">
        <f t="shared" si="140"/>
        <v>2034636</v>
      </c>
      <c r="N1807" s="8"/>
      <c r="O1807" s="9"/>
      <c r="P1807" s="9">
        <f t="shared" si="141"/>
        <v>0</v>
      </c>
      <c r="Q1807" s="9">
        <f t="shared" si="134"/>
        <v>2034636</v>
      </c>
      <c r="R1807" s="17"/>
      <c r="S1807" s="17"/>
      <c r="T1807" s="17"/>
      <c r="U1807" s="18">
        <f t="shared" si="135"/>
        <v>0</v>
      </c>
      <c r="V1807" s="17"/>
      <c r="W1807" s="17"/>
      <c r="X1807" s="9">
        <f t="shared" si="136"/>
        <v>2034636</v>
      </c>
      <c r="Y1807" s="8"/>
      <c r="Z1807" s="9">
        <f t="shared" si="137"/>
        <v>0</v>
      </c>
      <c r="AA1807" s="8">
        <f t="shared" si="138"/>
        <v>2034636</v>
      </c>
      <c r="AB1807" s="8">
        <f t="shared" si="139"/>
        <v>0</v>
      </c>
    </row>
    <row r="1808" spans="1:28" x14ac:dyDescent="0.35">
      <c r="A1808" s="36"/>
      <c r="B1808" s="8"/>
      <c r="C1808" s="7" t="s">
        <v>545</v>
      </c>
      <c r="D1808" s="15" t="s">
        <v>54</v>
      </c>
      <c r="E1808" s="9">
        <v>1767770</v>
      </c>
      <c r="F1808" s="8"/>
      <c r="G1808" s="8"/>
      <c r="H1808" s="9">
        <f t="shared" si="132"/>
        <v>0</v>
      </c>
      <c r="I1808" s="8"/>
      <c r="J1808" s="9">
        <f t="shared" si="133"/>
        <v>0</v>
      </c>
      <c r="K1808" s="9">
        <v>1767770</v>
      </c>
      <c r="L1808" s="8"/>
      <c r="M1808" s="9">
        <f t="shared" si="140"/>
        <v>0</v>
      </c>
      <c r="N1808" s="8">
        <v>1767770</v>
      </c>
      <c r="O1808" s="9"/>
      <c r="P1808" s="9">
        <f t="shared" si="141"/>
        <v>1767770</v>
      </c>
      <c r="Q1808" s="9">
        <f t="shared" si="134"/>
        <v>0</v>
      </c>
      <c r="R1808" s="17"/>
      <c r="S1808" s="17"/>
      <c r="T1808" s="17"/>
      <c r="U1808" s="18">
        <f t="shared" si="135"/>
        <v>1767770</v>
      </c>
      <c r="V1808" s="17"/>
      <c r="W1808" s="17"/>
      <c r="X1808" s="9">
        <f t="shared" si="136"/>
        <v>1767770</v>
      </c>
      <c r="Y1808" s="8"/>
      <c r="Z1808" s="9">
        <f t="shared" si="137"/>
        <v>0</v>
      </c>
      <c r="AA1808" s="8">
        <f t="shared" si="138"/>
        <v>1767770</v>
      </c>
      <c r="AB1808" s="8">
        <f t="shared" si="139"/>
        <v>0</v>
      </c>
    </row>
    <row r="1809" spans="1:28" x14ac:dyDescent="0.35">
      <c r="A1809" s="36"/>
      <c r="B1809" s="8"/>
      <c r="C1809" s="7" t="s">
        <v>535</v>
      </c>
      <c r="D1809" s="15" t="s">
        <v>85</v>
      </c>
      <c r="E1809" s="9">
        <f>6491000-649100</f>
        <v>5841900</v>
      </c>
      <c r="F1809" s="9">
        <f>3867640+1657560+316700</f>
        <v>5841900</v>
      </c>
      <c r="G1809" s="8"/>
      <c r="H1809" s="9">
        <f t="shared" si="132"/>
        <v>5841900</v>
      </c>
      <c r="I1809" s="8"/>
      <c r="J1809" s="9">
        <f t="shared" si="133"/>
        <v>5841900</v>
      </c>
      <c r="K1809" s="8"/>
      <c r="L1809" s="8"/>
      <c r="M1809" s="9">
        <f t="shared" si="140"/>
        <v>5841900</v>
      </c>
      <c r="N1809" s="8"/>
      <c r="O1809" s="9"/>
      <c r="P1809" s="9">
        <f t="shared" si="141"/>
        <v>0</v>
      </c>
      <c r="Q1809" s="9">
        <f t="shared" si="134"/>
        <v>5841900</v>
      </c>
      <c r="R1809" s="17"/>
      <c r="S1809" s="17"/>
      <c r="T1809" s="17"/>
      <c r="U1809" s="18">
        <f t="shared" si="135"/>
        <v>0</v>
      </c>
      <c r="V1809" s="17"/>
      <c r="W1809" s="17"/>
      <c r="X1809" s="9">
        <f t="shared" si="136"/>
        <v>5841900</v>
      </c>
      <c r="Y1809" s="8"/>
      <c r="Z1809" s="9">
        <f t="shared" si="137"/>
        <v>0</v>
      </c>
      <c r="AA1809" s="8">
        <f t="shared" si="138"/>
        <v>5841900</v>
      </c>
      <c r="AB1809" s="8">
        <f t="shared" si="139"/>
        <v>0</v>
      </c>
    </row>
    <row r="1810" spans="1:28" x14ac:dyDescent="0.35">
      <c r="A1810" s="36"/>
      <c r="B1810" s="8"/>
      <c r="C1810" s="7" t="s">
        <v>603</v>
      </c>
      <c r="D1810" s="15" t="s">
        <v>85</v>
      </c>
      <c r="E1810" s="9">
        <f>400000-400000</f>
        <v>0</v>
      </c>
      <c r="F1810" s="8"/>
      <c r="G1810" s="8"/>
      <c r="H1810" s="9">
        <f t="shared" si="132"/>
        <v>0</v>
      </c>
      <c r="I1810" s="8"/>
      <c r="J1810" s="9">
        <f t="shared" si="133"/>
        <v>0</v>
      </c>
      <c r="K1810" s="8"/>
      <c r="L1810" s="8"/>
      <c r="M1810" s="9">
        <f t="shared" si="140"/>
        <v>0</v>
      </c>
      <c r="N1810" s="8"/>
      <c r="O1810" s="9"/>
      <c r="P1810" s="9">
        <f t="shared" si="141"/>
        <v>0</v>
      </c>
      <c r="Q1810" s="9">
        <f t="shared" si="134"/>
        <v>0</v>
      </c>
      <c r="R1810" s="17"/>
      <c r="S1810" s="17"/>
      <c r="T1810" s="17"/>
      <c r="U1810" s="18">
        <f t="shared" si="135"/>
        <v>0</v>
      </c>
      <c r="V1810" s="17"/>
      <c r="W1810" s="17"/>
      <c r="X1810" s="9">
        <f t="shared" si="136"/>
        <v>0</v>
      </c>
      <c r="Y1810" s="8"/>
      <c r="Z1810" s="9">
        <f t="shared" si="137"/>
        <v>0</v>
      </c>
      <c r="AA1810" s="8">
        <f t="shared" si="138"/>
        <v>0</v>
      </c>
      <c r="AB1810" s="8">
        <f t="shared" si="139"/>
        <v>0</v>
      </c>
    </row>
    <row r="1811" spans="1:28" x14ac:dyDescent="0.35">
      <c r="A1811" s="36"/>
      <c r="B1811" s="8"/>
      <c r="C1811" s="7" t="s">
        <v>535</v>
      </c>
      <c r="D1811" s="15" t="s">
        <v>128</v>
      </c>
      <c r="E1811" s="9">
        <v>2000000</v>
      </c>
      <c r="F1811" s="9">
        <v>2000000</v>
      </c>
      <c r="G1811" s="8"/>
      <c r="H1811" s="9">
        <f t="shared" si="132"/>
        <v>2000000</v>
      </c>
      <c r="I1811" s="8"/>
      <c r="J1811" s="9">
        <f t="shared" si="133"/>
        <v>2000000</v>
      </c>
      <c r="K1811" s="8"/>
      <c r="L1811" s="8"/>
      <c r="M1811" s="9">
        <f t="shared" si="140"/>
        <v>2000000</v>
      </c>
      <c r="N1811" s="8"/>
      <c r="O1811" s="9"/>
      <c r="P1811" s="9">
        <f t="shared" si="141"/>
        <v>0</v>
      </c>
      <c r="Q1811" s="9">
        <f t="shared" si="134"/>
        <v>2000000</v>
      </c>
      <c r="R1811" s="17"/>
      <c r="S1811" s="17"/>
      <c r="T1811" s="17"/>
      <c r="U1811" s="18">
        <f t="shared" si="135"/>
        <v>0</v>
      </c>
      <c r="V1811" s="17"/>
      <c r="W1811" s="17"/>
      <c r="X1811" s="9">
        <f t="shared" si="136"/>
        <v>2000000</v>
      </c>
      <c r="Y1811" s="8"/>
      <c r="Z1811" s="9">
        <f t="shared" si="137"/>
        <v>0</v>
      </c>
      <c r="AA1811" s="8">
        <f t="shared" si="138"/>
        <v>2000000</v>
      </c>
      <c r="AB1811" s="8">
        <f t="shared" si="139"/>
        <v>0</v>
      </c>
    </row>
    <row r="1812" spans="1:28" x14ac:dyDescent="0.35">
      <c r="A1812" s="36"/>
      <c r="B1812" s="8"/>
      <c r="C1812" s="7" t="s">
        <v>535</v>
      </c>
      <c r="D1812" s="15" t="s">
        <v>88</v>
      </c>
      <c r="E1812" s="9">
        <f>1764000+517839</f>
        <v>2281839</v>
      </c>
      <c r="F1812" s="9">
        <f>517839+1764000</f>
        <v>2281839</v>
      </c>
      <c r="G1812" s="8"/>
      <c r="H1812" s="9">
        <f t="shared" si="132"/>
        <v>2281839</v>
      </c>
      <c r="I1812" s="8"/>
      <c r="J1812" s="9">
        <f t="shared" si="133"/>
        <v>2281839</v>
      </c>
      <c r="K1812" s="8"/>
      <c r="L1812" s="8"/>
      <c r="M1812" s="9">
        <f t="shared" si="140"/>
        <v>2281839</v>
      </c>
      <c r="N1812" s="8"/>
      <c r="O1812" s="9"/>
      <c r="P1812" s="9">
        <f t="shared" si="141"/>
        <v>0</v>
      </c>
      <c r="Q1812" s="9">
        <f t="shared" si="134"/>
        <v>2281839</v>
      </c>
      <c r="R1812" s="17"/>
      <c r="S1812" s="17"/>
      <c r="T1812" s="17"/>
      <c r="U1812" s="18">
        <f t="shared" si="135"/>
        <v>0</v>
      </c>
      <c r="V1812" s="17"/>
      <c r="W1812" s="17"/>
      <c r="X1812" s="9">
        <f t="shared" si="136"/>
        <v>2281839</v>
      </c>
      <c r="Y1812" s="8"/>
      <c r="Z1812" s="9">
        <f t="shared" si="137"/>
        <v>0</v>
      </c>
      <c r="AA1812" s="8">
        <f t="shared" si="138"/>
        <v>2281839</v>
      </c>
      <c r="AB1812" s="8">
        <f t="shared" si="139"/>
        <v>0</v>
      </c>
    </row>
    <row r="1813" spans="1:28" x14ac:dyDescent="0.35">
      <c r="A1813" s="36"/>
      <c r="B1813" s="8"/>
      <c r="C1813" s="7" t="s">
        <v>535</v>
      </c>
      <c r="D1813" s="15" t="s">
        <v>58</v>
      </c>
      <c r="E1813" s="9">
        <v>358157.79</v>
      </c>
      <c r="F1813" s="9">
        <v>358157.79</v>
      </c>
      <c r="G1813" s="8"/>
      <c r="H1813" s="9">
        <f t="shared" si="132"/>
        <v>358157.79</v>
      </c>
      <c r="I1813" s="8"/>
      <c r="J1813" s="9">
        <f t="shared" si="133"/>
        <v>358157.79</v>
      </c>
      <c r="K1813" s="8"/>
      <c r="L1813" s="8"/>
      <c r="M1813" s="9">
        <f t="shared" si="140"/>
        <v>358157.79</v>
      </c>
      <c r="N1813" s="8"/>
      <c r="O1813" s="9"/>
      <c r="P1813" s="9">
        <f t="shared" si="141"/>
        <v>0</v>
      </c>
      <c r="Q1813" s="9">
        <f t="shared" si="134"/>
        <v>358157.79</v>
      </c>
      <c r="R1813" s="17"/>
      <c r="S1813" s="17"/>
      <c r="T1813" s="17"/>
      <c r="U1813" s="18">
        <f t="shared" si="135"/>
        <v>0</v>
      </c>
      <c r="V1813" s="17"/>
      <c r="W1813" s="17"/>
      <c r="X1813" s="9">
        <f t="shared" si="136"/>
        <v>358157.79</v>
      </c>
      <c r="Y1813" s="8"/>
      <c r="Z1813" s="9">
        <f t="shared" si="137"/>
        <v>0</v>
      </c>
      <c r="AA1813" s="8">
        <f t="shared" si="138"/>
        <v>358157.79</v>
      </c>
      <c r="AB1813" s="8">
        <f t="shared" si="139"/>
        <v>0</v>
      </c>
    </row>
    <row r="1814" spans="1:28" x14ac:dyDescent="0.35">
      <c r="A1814" s="36"/>
      <c r="B1814" s="8"/>
      <c r="C1814" s="7" t="s">
        <v>535</v>
      </c>
      <c r="D1814" s="15" t="s">
        <v>60</v>
      </c>
      <c r="E1814" s="9">
        <f>3545793+3733012+1772455+970655</f>
        <v>10021915</v>
      </c>
      <c r="F1814" s="9">
        <f>7278805+1772455+970655</f>
        <v>10021915</v>
      </c>
      <c r="G1814" s="9"/>
      <c r="H1814" s="9">
        <f t="shared" si="132"/>
        <v>10021915</v>
      </c>
      <c r="I1814" s="9"/>
      <c r="J1814" s="9">
        <f t="shared" si="133"/>
        <v>10021915</v>
      </c>
      <c r="K1814" s="8"/>
      <c r="L1814" s="8"/>
      <c r="M1814" s="9">
        <f t="shared" si="140"/>
        <v>10021915</v>
      </c>
      <c r="N1814" s="8"/>
      <c r="O1814" s="9"/>
      <c r="P1814" s="9">
        <f t="shared" si="141"/>
        <v>0</v>
      </c>
      <c r="Q1814" s="9">
        <f t="shared" si="134"/>
        <v>10021915</v>
      </c>
      <c r="R1814" s="17"/>
      <c r="S1814" s="17"/>
      <c r="T1814" s="17"/>
      <c r="U1814" s="18">
        <f t="shared" si="135"/>
        <v>0</v>
      </c>
      <c r="V1814" s="17"/>
      <c r="W1814" s="17"/>
      <c r="X1814" s="9">
        <f t="shared" si="136"/>
        <v>10021915</v>
      </c>
      <c r="Y1814" s="8"/>
      <c r="Z1814" s="9">
        <f t="shared" si="137"/>
        <v>0</v>
      </c>
      <c r="AA1814" s="8">
        <f t="shared" si="138"/>
        <v>10021915</v>
      </c>
      <c r="AB1814" s="8">
        <f t="shared" si="139"/>
        <v>0</v>
      </c>
    </row>
    <row r="1815" spans="1:28" x14ac:dyDescent="0.35">
      <c r="A1815" s="36"/>
      <c r="B1815" s="8"/>
      <c r="C1815" s="7" t="s">
        <v>535</v>
      </c>
      <c r="D1815" s="15" t="s">
        <v>73</v>
      </c>
      <c r="E1815" s="9">
        <f>6168812+570188</f>
        <v>6739000</v>
      </c>
      <c r="F1815" s="9">
        <f>6168812+570188</f>
        <v>6739000</v>
      </c>
      <c r="G1815" s="8"/>
      <c r="H1815" s="9">
        <f t="shared" si="132"/>
        <v>6739000</v>
      </c>
      <c r="I1815" s="8"/>
      <c r="J1815" s="9">
        <f t="shared" si="133"/>
        <v>6739000</v>
      </c>
      <c r="K1815" s="8"/>
      <c r="L1815" s="8"/>
      <c r="M1815" s="9">
        <f t="shared" si="140"/>
        <v>6739000</v>
      </c>
      <c r="N1815" s="8"/>
      <c r="O1815" s="9"/>
      <c r="P1815" s="9">
        <f t="shared" si="141"/>
        <v>0</v>
      </c>
      <c r="Q1815" s="9">
        <f t="shared" si="134"/>
        <v>6739000</v>
      </c>
      <c r="R1815" s="17"/>
      <c r="S1815" s="17"/>
      <c r="T1815" s="17"/>
      <c r="U1815" s="18">
        <f t="shared" si="135"/>
        <v>0</v>
      </c>
      <c r="V1815" s="17"/>
      <c r="W1815" s="17"/>
      <c r="X1815" s="9">
        <f t="shared" si="136"/>
        <v>6739000</v>
      </c>
      <c r="Y1815" s="8"/>
      <c r="Z1815" s="9">
        <f t="shared" si="137"/>
        <v>0</v>
      </c>
      <c r="AA1815" s="8">
        <f t="shared" si="138"/>
        <v>6739000</v>
      </c>
      <c r="AB1815" s="8">
        <f t="shared" si="139"/>
        <v>0</v>
      </c>
    </row>
    <row r="1816" spans="1:28" x14ac:dyDescent="0.35">
      <c r="A1816" s="36"/>
      <c r="B1816" s="8"/>
      <c r="C1816" s="7" t="s">
        <v>535</v>
      </c>
      <c r="D1816" s="15" t="s">
        <v>61</v>
      </c>
      <c r="E1816" s="11">
        <v>8072000</v>
      </c>
      <c r="F1816" s="11">
        <v>8072000</v>
      </c>
      <c r="G1816" s="8"/>
      <c r="H1816" s="9">
        <f t="shared" si="132"/>
        <v>8072000</v>
      </c>
      <c r="I1816" s="8"/>
      <c r="J1816" s="9">
        <f t="shared" si="133"/>
        <v>8072000</v>
      </c>
      <c r="K1816" s="8"/>
      <c r="L1816" s="8"/>
      <c r="M1816" s="9">
        <f t="shared" si="140"/>
        <v>8072000</v>
      </c>
      <c r="N1816" s="8"/>
      <c r="O1816" s="9"/>
      <c r="P1816" s="9">
        <f t="shared" si="141"/>
        <v>0</v>
      </c>
      <c r="Q1816" s="9">
        <f t="shared" si="134"/>
        <v>8072000</v>
      </c>
      <c r="R1816" s="17"/>
      <c r="S1816" s="17"/>
      <c r="T1816" s="17"/>
      <c r="U1816" s="18">
        <f t="shared" si="135"/>
        <v>0</v>
      </c>
      <c r="V1816" s="17"/>
      <c r="W1816" s="17"/>
      <c r="X1816" s="9">
        <f t="shared" si="136"/>
        <v>8072000</v>
      </c>
      <c r="Y1816" s="8"/>
      <c r="Z1816" s="9">
        <f t="shared" si="137"/>
        <v>0</v>
      </c>
      <c r="AA1816" s="8">
        <f t="shared" si="138"/>
        <v>8072000</v>
      </c>
      <c r="AB1816" s="8">
        <f t="shared" si="139"/>
        <v>0</v>
      </c>
    </row>
    <row r="1817" spans="1:28" x14ac:dyDescent="0.35">
      <c r="A1817" s="36"/>
      <c r="B1817" s="8"/>
      <c r="C1817" s="7" t="s">
        <v>550</v>
      </c>
      <c r="D1817" s="8"/>
      <c r="E1817" s="9">
        <v>85766</v>
      </c>
      <c r="F1817" s="9">
        <v>85766</v>
      </c>
      <c r="G1817" s="8"/>
      <c r="H1817" s="9">
        <f t="shared" si="132"/>
        <v>85766</v>
      </c>
      <c r="I1817" s="8"/>
      <c r="J1817" s="9">
        <f t="shared" si="133"/>
        <v>85766</v>
      </c>
      <c r="K1817" s="8"/>
      <c r="L1817" s="8"/>
      <c r="M1817" s="9">
        <f t="shared" si="140"/>
        <v>85766</v>
      </c>
      <c r="N1817" s="8"/>
      <c r="O1817" s="9"/>
      <c r="P1817" s="9">
        <f t="shared" si="141"/>
        <v>0</v>
      </c>
      <c r="Q1817" s="9">
        <f t="shared" si="134"/>
        <v>85766</v>
      </c>
      <c r="R1817" s="17"/>
      <c r="S1817" s="17"/>
      <c r="T1817" s="17"/>
      <c r="U1817" s="18">
        <f t="shared" si="135"/>
        <v>0</v>
      </c>
      <c r="V1817" s="17"/>
      <c r="W1817" s="17"/>
      <c r="X1817" s="9">
        <f t="shared" si="136"/>
        <v>85766</v>
      </c>
      <c r="Y1817" s="8"/>
      <c r="Z1817" s="9">
        <f t="shared" si="137"/>
        <v>0</v>
      </c>
      <c r="AA1817" s="8">
        <f t="shared" si="138"/>
        <v>85766</v>
      </c>
      <c r="AB1817" s="8">
        <f t="shared" si="139"/>
        <v>0</v>
      </c>
    </row>
    <row r="1818" spans="1:28" x14ac:dyDescent="0.35">
      <c r="A1818" s="36"/>
      <c r="B1818" s="8"/>
      <c r="C1818" s="7" t="s">
        <v>606</v>
      </c>
      <c r="D1818" s="8"/>
      <c r="E1818" s="9">
        <v>2500000</v>
      </c>
      <c r="F1818" s="9">
        <v>2500000</v>
      </c>
      <c r="G1818" s="8"/>
      <c r="H1818" s="9">
        <f t="shared" si="132"/>
        <v>2500000</v>
      </c>
      <c r="I1818" s="8"/>
      <c r="J1818" s="9">
        <f t="shared" si="133"/>
        <v>2500000</v>
      </c>
      <c r="K1818" s="8"/>
      <c r="L1818" s="8"/>
      <c r="M1818" s="9">
        <f t="shared" si="140"/>
        <v>2500000</v>
      </c>
      <c r="N1818" s="8"/>
      <c r="O1818" s="9"/>
      <c r="P1818" s="9">
        <f t="shared" si="141"/>
        <v>0</v>
      </c>
      <c r="Q1818" s="9">
        <f t="shared" si="134"/>
        <v>2500000</v>
      </c>
      <c r="R1818" s="17"/>
      <c r="S1818" s="17"/>
      <c r="T1818" s="17"/>
      <c r="U1818" s="18">
        <f t="shared" si="135"/>
        <v>0</v>
      </c>
      <c r="V1818" s="17"/>
      <c r="W1818" s="17"/>
      <c r="X1818" s="9">
        <f t="shared" si="136"/>
        <v>2500000</v>
      </c>
      <c r="Y1818" s="8"/>
      <c r="Z1818" s="9">
        <f t="shared" si="137"/>
        <v>0</v>
      </c>
      <c r="AA1818" s="8">
        <f t="shared" si="138"/>
        <v>2500000</v>
      </c>
      <c r="AB1818" s="8">
        <f t="shared" si="139"/>
        <v>0</v>
      </c>
    </row>
    <row r="1819" spans="1:28" x14ac:dyDescent="0.35">
      <c r="A1819" s="36"/>
      <c r="B1819" s="8"/>
      <c r="C1819" s="8"/>
      <c r="D1819" s="8"/>
      <c r="E1819" s="17" t="s">
        <v>29</v>
      </c>
      <c r="F1819" s="17" t="s">
        <v>29</v>
      </c>
      <c r="G1819" s="17" t="s">
        <v>29</v>
      </c>
      <c r="H1819" s="17" t="s">
        <v>29</v>
      </c>
      <c r="I1819" s="17" t="s">
        <v>29</v>
      </c>
      <c r="J1819" s="17" t="s">
        <v>29</v>
      </c>
      <c r="K1819" s="17" t="s">
        <v>29</v>
      </c>
      <c r="L1819" s="17" t="s">
        <v>29</v>
      </c>
      <c r="M1819" s="17" t="s">
        <v>29</v>
      </c>
      <c r="N1819" s="17" t="s">
        <v>29</v>
      </c>
      <c r="O1819" s="17" t="s">
        <v>29</v>
      </c>
      <c r="P1819" s="17" t="s">
        <v>29</v>
      </c>
      <c r="Q1819" s="17" t="s">
        <v>29</v>
      </c>
      <c r="R1819" s="17"/>
      <c r="S1819" s="17"/>
      <c r="T1819" s="17"/>
      <c r="U1819" s="17" t="s">
        <v>29</v>
      </c>
      <c r="V1819" s="17"/>
      <c r="W1819" s="17"/>
      <c r="X1819" s="17"/>
      <c r="Y1819" s="17"/>
      <c r="Z1819" s="17"/>
      <c r="AA1819" s="17" t="s">
        <v>29</v>
      </c>
      <c r="AB1819" s="17" t="s">
        <v>29</v>
      </c>
    </row>
    <row r="1820" spans="1:28" x14ac:dyDescent="0.35">
      <c r="A1820" s="36"/>
      <c r="B1820" s="8"/>
      <c r="C1820" s="8"/>
      <c r="D1820" s="8"/>
      <c r="E1820" s="9">
        <f t="shared" ref="E1820:Q1820" si="142">SUM(E1803:E1819)</f>
        <v>75250723.560000002</v>
      </c>
      <c r="F1820" s="9">
        <f t="shared" si="142"/>
        <v>59652493.950000003</v>
      </c>
      <c r="G1820" s="9">
        <f t="shared" si="142"/>
        <v>0</v>
      </c>
      <c r="H1820" s="9">
        <f t="shared" si="142"/>
        <v>59652493.950000003</v>
      </c>
      <c r="I1820" s="9">
        <f t="shared" si="142"/>
        <v>0</v>
      </c>
      <c r="J1820" s="9">
        <f t="shared" si="142"/>
        <v>59652493.950000003</v>
      </c>
      <c r="K1820" s="9">
        <f t="shared" si="142"/>
        <v>15598229.609999999</v>
      </c>
      <c r="L1820" s="9">
        <f t="shared" si="142"/>
        <v>0</v>
      </c>
      <c r="M1820" s="9">
        <f t="shared" si="142"/>
        <v>59652493.950000003</v>
      </c>
      <c r="N1820" s="9">
        <f t="shared" si="142"/>
        <v>15598229.609999999</v>
      </c>
      <c r="O1820" s="9">
        <f t="shared" si="142"/>
        <v>0</v>
      </c>
      <c r="P1820" s="9">
        <f t="shared" si="142"/>
        <v>15598229.609999999</v>
      </c>
      <c r="Q1820" s="9">
        <f t="shared" si="142"/>
        <v>59652493.950000003</v>
      </c>
      <c r="R1820" s="17"/>
      <c r="S1820" s="17"/>
      <c r="T1820" s="9">
        <f t="shared" ref="T1820:Z1820" si="143">SUM(T1803:T1819)</f>
        <v>0</v>
      </c>
      <c r="U1820" s="9">
        <f t="shared" si="143"/>
        <v>15598229.609999999</v>
      </c>
      <c r="V1820" s="9">
        <f t="shared" si="143"/>
        <v>0</v>
      </c>
      <c r="W1820" s="9">
        <f t="shared" si="143"/>
        <v>0</v>
      </c>
      <c r="X1820" s="9">
        <f t="shared" si="143"/>
        <v>75250723.560000002</v>
      </c>
      <c r="Y1820" s="9">
        <f t="shared" si="143"/>
        <v>0</v>
      </c>
      <c r="Z1820" s="9">
        <f t="shared" si="143"/>
        <v>0</v>
      </c>
      <c r="AA1820" s="9">
        <f>SUM(AA1803:AA1819)</f>
        <v>75250723.560000002</v>
      </c>
      <c r="AB1820" s="9">
        <f>SUM(AB1803:AB1819)</f>
        <v>0</v>
      </c>
    </row>
    <row r="1821" spans="1:28" x14ac:dyDescent="0.35">
      <c r="A1821" s="36"/>
      <c r="B1821" s="8"/>
      <c r="C1821" s="8"/>
      <c r="D1821" s="8"/>
      <c r="E1821" s="17" t="s">
        <v>29</v>
      </c>
      <c r="F1821" s="17" t="s">
        <v>29</v>
      </c>
      <c r="G1821" s="17" t="s">
        <v>29</v>
      </c>
      <c r="H1821" s="17" t="s">
        <v>29</v>
      </c>
      <c r="I1821" s="17" t="s">
        <v>29</v>
      </c>
      <c r="J1821" s="17" t="s">
        <v>29</v>
      </c>
      <c r="K1821" s="17" t="s">
        <v>29</v>
      </c>
      <c r="L1821" s="17" t="s">
        <v>29</v>
      </c>
      <c r="M1821" s="17" t="s">
        <v>29</v>
      </c>
      <c r="N1821" s="17" t="s">
        <v>29</v>
      </c>
      <c r="O1821" s="17" t="s">
        <v>29</v>
      </c>
      <c r="P1821" s="17" t="s">
        <v>29</v>
      </c>
      <c r="Q1821" s="17" t="s">
        <v>29</v>
      </c>
      <c r="R1821" s="17"/>
      <c r="S1821" s="17"/>
      <c r="T1821" s="17"/>
      <c r="U1821" s="17" t="s">
        <v>29</v>
      </c>
      <c r="V1821" s="17"/>
      <c r="W1821" s="17"/>
      <c r="X1821" s="17"/>
      <c r="Y1821" s="17"/>
      <c r="Z1821" s="17"/>
      <c r="AA1821" s="17" t="s">
        <v>29</v>
      </c>
      <c r="AB1821" s="17" t="s">
        <v>29</v>
      </c>
    </row>
    <row r="1822" spans="1:28" x14ac:dyDescent="0.35">
      <c r="A1822" s="38" t="s">
        <v>1021</v>
      </c>
      <c r="B1822" s="7" t="s">
        <v>788</v>
      </c>
      <c r="C1822" s="8"/>
      <c r="D1822" s="8"/>
      <c r="E1822" s="8"/>
      <c r="F1822" s="8"/>
      <c r="G1822" s="8"/>
      <c r="H1822" s="8"/>
      <c r="I1822" s="8"/>
      <c r="J1822" s="8"/>
      <c r="K1822" s="8"/>
      <c r="L1822" s="8"/>
      <c r="M1822" s="8"/>
      <c r="N1822" s="8"/>
      <c r="O1822" s="8"/>
      <c r="P1822" s="8"/>
      <c r="Q1822" s="8"/>
      <c r="R1822" s="17"/>
      <c r="S1822" s="17"/>
      <c r="T1822" s="17"/>
      <c r="U1822" s="17"/>
      <c r="V1822" s="17"/>
      <c r="W1822" s="17"/>
      <c r="X1822" s="17"/>
      <c r="Y1822" s="17"/>
      <c r="Z1822" s="17"/>
    </row>
    <row r="1823" spans="1:28" x14ac:dyDescent="0.35">
      <c r="A1823" s="36"/>
      <c r="B1823" s="8"/>
      <c r="C1823" s="7" t="s">
        <v>535</v>
      </c>
      <c r="D1823" s="15" t="s">
        <v>150</v>
      </c>
      <c r="E1823" s="9">
        <v>9493816.1999999993</v>
      </c>
      <c r="F1823" s="9">
        <f>6767848.95+1556025.74</f>
        <v>8323874.6900000004</v>
      </c>
      <c r="G1823" s="8"/>
      <c r="H1823" s="9">
        <f t="shared" ref="H1823:H1845" si="144">F1823+G1823</f>
        <v>8323874.6900000004</v>
      </c>
      <c r="I1823" s="8"/>
      <c r="J1823" s="9">
        <f t="shared" ref="J1823:J1845" si="145">H1823+I1823</f>
        <v>8323874.6900000004</v>
      </c>
      <c r="K1823" s="9">
        <v>1169941.51</v>
      </c>
      <c r="L1823" s="8"/>
      <c r="M1823" s="9">
        <f>+H1823+L1823</f>
        <v>8323874.6900000004</v>
      </c>
      <c r="N1823" s="8">
        <v>1169941.51</v>
      </c>
      <c r="O1823" s="9"/>
      <c r="P1823" s="9">
        <f>+N1823+O1823</f>
        <v>1169941.51</v>
      </c>
      <c r="Q1823" s="9">
        <f t="shared" ref="Q1823:Q1845" si="146">E1823-P1823</f>
        <v>8323874.6899999995</v>
      </c>
      <c r="R1823" s="17"/>
      <c r="S1823" s="17"/>
      <c r="T1823" s="17"/>
      <c r="U1823" s="18">
        <f t="shared" ref="U1823:U1845" si="147">+P1823+T1823</f>
        <v>1169941.51</v>
      </c>
      <c r="V1823" s="17"/>
      <c r="W1823" s="17"/>
      <c r="X1823" s="9">
        <f t="shared" ref="X1823:X1845" si="148">+H1823+P1823</f>
        <v>9493816.2000000011</v>
      </c>
      <c r="Y1823" s="8"/>
      <c r="Z1823" s="9">
        <f t="shared" ref="Z1823:Z1845" si="149">+E1823-X1823</f>
        <v>0</v>
      </c>
      <c r="AA1823" s="8">
        <f t="shared" ref="AA1823:AA1845" si="150">+M1823+U1823</f>
        <v>9493816.2000000011</v>
      </c>
      <c r="AB1823" s="8">
        <f t="shared" ref="AB1823:AB1845" si="151">+E1823-AA1823</f>
        <v>0</v>
      </c>
    </row>
    <row r="1824" spans="1:28" x14ac:dyDescent="0.35">
      <c r="A1824" s="36"/>
      <c r="B1824" s="8"/>
      <c r="C1824" s="7" t="s">
        <v>789</v>
      </c>
      <c r="D1824" s="15" t="s">
        <v>150</v>
      </c>
      <c r="E1824" s="9">
        <v>5895000</v>
      </c>
      <c r="F1824" s="9">
        <f>5865000+30000</f>
        <v>5895000</v>
      </c>
      <c r="G1824" s="8"/>
      <c r="H1824" s="9">
        <f t="shared" si="144"/>
        <v>5895000</v>
      </c>
      <c r="I1824" s="8"/>
      <c r="J1824" s="9">
        <f t="shared" si="145"/>
        <v>5895000</v>
      </c>
      <c r="K1824" s="8"/>
      <c r="L1824" s="8"/>
      <c r="M1824" s="9">
        <f t="shared" ref="M1824:M1845" si="152">+H1824+L1824</f>
        <v>5895000</v>
      </c>
      <c r="N1824" s="8"/>
      <c r="O1824" s="9"/>
      <c r="P1824" s="9">
        <f t="shared" ref="P1824:P1845" si="153">+N1824+O1824</f>
        <v>0</v>
      </c>
      <c r="Q1824" s="9">
        <f t="shared" si="146"/>
        <v>5895000</v>
      </c>
      <c r="R1824" s="17"/>
      <c r="S1824" s="17"/>
      <c r="T1824" s="17"/>
      <c r="U1824" s="18">
        <f t="shared" si="147"/>
        <v>0</v>
      </c>
      <c r="V1824" s="17"/>
      <c r="W1824" s="17"/>
      <c r="X1824" s="9">
        <f t="shared" si="148"/>
        <v>5895000</v>
      </c>
      <c r="Y1824" s="8"/>
      <c r="Z1824" s="9">
        <f t="shared" si="149"/>
        <v>0</v>
      </c>
      <c r="AA1824" s="8">
        <f t="shared" si="150"/>
        <v>5895000</v>
      </c>
      <c r="AB1824" s="8">
        <f t="shared" si="151"/>
        <v>0</v>
      </c>
    </row>
    <row r="1825" spans="1:28" x14ac:dyDescent="0.35">
      <c r="A1825" s="36"/>
      <c r="B1825" s="8"/>
      <c r="C1825" s="7" t="s">
        <v>790</v>
      </c>
      <c r="D1825" s="15" t="s">
        <v>166</v>
      </c>
      <c r="E1825" s="9">
        <v>4651000</v>
      </c>
      <c r="F1825" s="9">
        <f>3332957.53+1318042.47</f>
        <v>4651000</v>
      </c>
      <c r="G1825" s="8"/>
      <c r="H1825" s="9">
        <f t="shared" si="144"/>
        <v>4651000</v>
      </c>
      <c r="I1825" s="8"/>
      <c r="J1825" s="9">
        <f t="shared" si="145"/>
        <v>4651000</v>
      </c>
      <c r="K1825" s="8"/>
      <c r="L1825" s="8"/>
      <c r="M1825" s="9">
        <f t="shared" si="152"/>
        <v>4651000</v>
      </c>
      <c r="N1825" s="8"/>
      <c r="O1825" s="9"/>
      <c r="P1825" s="9">
        <f t="shared" si="153"/>
        <v>0</v>
      </c>
      <c r="Q1825" s="9">
        <f t="shared" si="146"/>
        <v>4651000</v>
      </c>
      <c r="R1825" s="17"/>
      <c r="S1825" s="17"/>
      <c r="T1825" s="17"/>
      <c r="U1825" s="18">
        <f t="shared" si="147"/>
        <v>0</v>
      </c>
      <c r="V1825" s="17"/>
      <c r="W1825" s="17"/>
      <c r="X1825" s="9">
        <f t="shared" si="148"/>
        <v>4651000</v>
      </c>
      <c r="Y1825" s="8"/>
      <c r="Z1825" s="9">
        <f t="shared" si="149"/>
        <v>0</v>
      </c>
      <c r="AA1825" s="8">
        <f t="shared" si="150"/>
        <v>4651000</v>
      </c>
      <c r="AB1825" s="8">
        <f t="shared" si="151"/>
        <v>0</v>
      </c>
    </row>
    <row r="1826" spans="1:28" x14ac:dyDescent="0.35">
      <c r="A1826" s="36"/>
      <c r="B1826" s="8"/>
      <c r="C1826" s="7" t="s">
        <v>791</v>
      </c>
      <c r="D1826" s="15" t="s">
        <v>166</v>
      </c>
      <c r="E1826" s="9">
        <f>4196000-312.45</f>
        <v>4195687.55</v>
      </c>
      <c r="F1826" s="9">
        <v>4195687.55</v>
      </c>
      <c r="G1826" s="8"/>
      <c r="H1826" s="9">
        <f t="shared" si="144"/>
        <v>4195687.55</v>
      </c>
      <c r="I1826" s="8"/>
      <c r="J1826" s="9">
        <f t="shared" si="145"/>
        <v>4195687.55</v>
      </c>
      <c r="K1826" s="8"/>
      <c r="L1826" s="8"/>
      <c r="M1826" s="9">
        <f t="shared" si="152"/>
        <v>4195687.55</v>
      </c>
      <c r="N1826" s="8"/>
      <c r="O1826" s="9"/>
      <c r="P1826" s="9">
        <f t="shared" si="153"/>
        <v>0</v>
      </c>
      <c r="Q1826" s="9">
        <f t="shared" si="146"/>
        <v>4195687.55</v>
      </c>
      <c r="R1826" s="17"/>
      <c r="S1826" s="17"/>
      <c r="T1826" s="17"/>
      <c r="U1826" s="18">
        <f t="shared" si="147"/>
        <v>0</v>
      </c>
      <c r="V1826" s="17"/>
      <c r="W1826" s="17"/>
      <c r="X1826" s="9">
        <f t="shared" si="148"/>
        <v>4195687.55</v>
      </c>
      <c r="Y1826" s="8"/>
      <c r="Z1826" s="9">
        <f t="shared" si="149"/>
        <v>0</v>
      </c>
      <c r="AA1826" s="8">
        <f t="shared" si="150"/>
        <v>4195687.55</v>
      </c>
      <c r="AB1826" s="8">
        <f t="shared" si="151"/>
        <v>0</v>
      </c>
    </row>
    <row r="1827" spans="1:28" x14ac:dyDescent="0.35">
      <c r="A1827" s="36"/>
      <c r="B1827" s="8"/>
      <c r="C1827" s="7" t="s">
        <v>792</v>
      </c>
      <c r="D1827" s="15" t="s">
        <v>166</v>
      </c>
      <c r="E1827" s="9">
        <v>1969716</v>
      </c>
      <c r="F1827" s="9">
        <f>1930048.14+39667.86</f>
        <v>1969716</v>
      </c>
      <c r="G1827" s="8"/>
      <c r="H1827" s="9">
        <f t="shared" si="144"/>
        <v>1969716</v>
      </c>
      <c r="I1827" s="8"/>
      <c r="J1827" s="9">
        <f t="shared" si="145"/>
        <v>1969716</v>
      </c>
      <c r="K1827" s="8"/>
      <c r="L1827" s="8"/>
      <c r="M1827" s="9">
        <f t="shared" si="152"/>
        <v>1969716</v>
      </c>
      <c r="N1827" s="8"/>
      <c r="O1827" s="9"/>
      <c r="P1827" s="9">
        <f t="shared" si="153"/>
        <v>0</v>
      </c>
      <c r="Q1827" s="9">
        <f t="shared" si="146"/>
        <v>1969716</v>
      </c>
      <c r="R1827" s="17"/>
      <c r="S1827" s="17"/>
      <c r="T1827" s="17"/>
      <c r="U1827" s="18">
        <f t="shared" si="147"/>
        <v>0</v>
      </c>
      <c r="V1827" s="17"/>
      <c r="W1827" s="17"/>
      <c r="X1827" s="9">
        <f t="shared" si="148"/>
        <v>1969716</v>
      </c>
      <c r="Y1827" s="8"/>
      <c r="Z1827" s="9">
        <f t="shared" si="149"/>
        <v>0</v>
      </c>
      <c r="AA1827" s="8">
        <f t="shared" si="150"/>
        <v>1969716</v>
      </c>
      <c r="AB1827" s="8">
        <f t="shared" si="151"/>
        <v>0</v>
      </c>
    </row>
    <row r="1828" spans="1:28" x14ac:dyDescent="0.35">
      <c r="A1828" s="36"/>
      <c r="B1828" s="8"/>
      <c r="C1828" s="7" t="s">
        <v>777</v>
      </c>
      <c r="D1828" s="15" t="s">
        <v>78</v>
      </c>
      <c r="E1828" s="9">
        <f>900000-147679</f>
        <v>752321</v>
      </c>
      <c r="F1828" s="9">
        <v>752321</v>
      </c>
      <c r="G1828" s="8"/>
      <c r="H1828" s="9">
        <f t="shared" si="144"/>
        <v>752321</v>
      </c>
      <c r="I1828" s="8"/>
      <c r="J1828" s="9">
        <f t="shared" si="145"/>
        <v>752321</v>
      </c>
      <c r="K1828" s="8"/>
      <c r="L1828" s="8"/>
      <c r="M1828" s="9">
        <f t="shared" si="152"/>
        <v>752321</v>
      </c>
      <c r="N1828" s="8"/>
      <c r="O1828" s="9"/>
      <c r="P1828" s="9">
        <f t="shared" si="153"/>
        <v>0</v>
      </c>
      <c r="Q1828" s="9">
        <f t="shared" si="146"/>
        <v>752321</v>
      </c>
      <c r="R1828" s="17"/>
      <c r="S1828" s="17"/>
      <c r="T1828" s="17"/>
      <c r="U1828" s="18">
        <f t="shared" si="147"/>
        <v>0</v>
      </c>
      <c r="V1828" s="17"/>
      <c r="W1828" s="17"/>
      <c r="X1828" s="9">
        <f t="shared" si="148"/>
        <v>752321</v>
      </c>
      <c r="Y1828" s="8"/>
      <c r="Z1828" s="9">
        <f t="shared" si="149"/>
        <v>0</v>
      </c>
      <c r="AA1828" s="8">
        <f t="shared" si="150"/>
        <v>752321</v>
      </c>
      <c r="AB1828" s="8">
        <f t="shared" si="151"/>
        <v>0</v>
      </c>
    </row>
    <row r="1829" spans="1:28" x14ac:dyDescent="0.35">
      <c r="A1829" s="36"/>
      <c r="B1829" s="8"/>
      <c r="C1829" s="7" t="s">
        <v>793</v>
      </c>
      <c r="D1829" s="15" t="s">
        <v>78</v>
      </c>
      <c r="E1829" s="9">
        <f>2320850-24970.7</f>
        <v>2295879.2999999998</v>
      </c>
      <c r="F1829" s="9">
        <v>1644245</v>
      </c>
      <c r="G1829" s="8"/>
      <c r="H1829" s="9">
        <f t="shared" si="144"/>
        <v>1644245</v>
      </c>
      <c r="I1829" s="8"/>
      <c r="J1829" s="9">
        <f t="shared" si="145"/>
        <v>1644245</v>
      </c>
      <c r="K1829" s="9">
        <v>651634.30000000005</v>
      </c>
      <c r="L1829" s="8"/>
      <c r="M1829" s="9">
        <f t="shared" si="152"/>
        <v>1644245</v>
      </c>
      <c r="N1829" s="8">
        <v>651634.30000000005</v>
      </c>
      <c r="O1829" s="9"/>
      <c r="P1829" s="9">
        <f t="shared" si="153"/>
        <v>651634.30000000005</v>
      </c>
      <c r="Q1829" s="9">
        <f t="shared" si="146"/>
        <v>1644244.9999999998</v>
      </c>
      <c r="R1829" s="17"/>
      <c r="S1829" s="17"/>
      <c r="T1829" s="17"/>
      <c r="U1829" s="18">
        <f t="shared" si="147"/>
        <v>651634.30000000005</v>
      </c>
      <c r="V1829" s="17"/>
      <c r="W1829" s="17"/>
      <c r="X1829" s="9">
        <f t="shared" si="148"/>
        <v>2295879.2999999998</v>
      </c>
      <c r="Y1829" s="8"/>
      <c r="Z1829" s="9">
        <f t="shared" si="149"/>
        <v>0</v>
      </c>
      <c r="AA1829" s="8">
        <f t="shared" si="150"/>
        <v>2295879.2999999998</v>
      </c>
      <c r="AB1829" s="8">
        <f t="shared" si="151"/>
        <v>0</v>
      </c>
    </row>
    <row r="1830" spans="1:28" x14ac:dyDescent="0.35">
      <c r="A1830" s="36"/>
      <c r="B1830" s="8"/>
      <c r="C1830" s="7" t="s">
        <v>535</v>
      </c>
      <c r="D1830" s="15" t="s">
        <v>68</v>
      </c>
      <c r="E1830" s="9">
        <f>5978350-3402141.94</f>
        <v>2576208.06</v>
      </c>
      <c r="F1830" s="9">
        <v>429030.7</v>
      </c>
      <c r="G1830" s="8"/>
      <c r="H1830" s="9">
        <f t="shared" si="144"/>
        <v>429030.7</v>
      </c>
      <c r="I1830" s="8"/>
      <c r="J1830" s="9">
        <f t="shared" si="145"/>
        <v>429030.7</v>
      </c>
      <c r="K1830" s="9">
        <v>2147177.36</v>
      </c>
      <c r="L1830" s="8"/>
      <c r="M1830" s="9">
        <f t="shared" si="152"/>
        <v>429030.7</v>
      </c>
      <c r="N1830" s="8">
        <v>2147177.36</v>
      </c>
      <c r="O1830" s="9"/>
      <c r="P1830" s="9">
        <f t="shared" si="153"/>
        <v>2147177.36</v>
      </c>
      <c r="Q1830" s="9">
        <f t="shared" si="146"/>
        <v>429030.70000000019</v>
      </c>
      <c r="R1830" s="17"/>
      <c r="S1830" s="17"/>
      <c r="T1830" s="17"/>
      <c r="U1830" s="18">
        <f t="shared" si="147"/>
        <v>2147177.36</v>
      </c>
      <c r="V1830" s="17"/>
      <c r="W1830" s="17"/>
      <c r="X1830" s="9">
        <f t="shared" si="148"/>
        <v>2576208.06</v>
      </c>
      <c r="Y1830" s="8"/>
      <c r="Z1830" s="9">
        <f t="shared" si="149"/>
        <v>0</v>
      </c>
      <c r="AA1830" s="8">
        <f t="shared" si="150"/>
        <v>2576208.06</v>
      </c>
      <c r="AB1830" s="8">
        <f t="shared" si="151"/>
        <v>0</v>
      </c>
    </row>
    <row r="1831" spans="1:28" x14ac:dyDescent="0.35">
      <c r="A1831" s="36"/>
      <c r="B1831" s="8"/>
      <c r="C1831" s="7" t="s">
        <v>539</v>
      </c>
      <c r="D1831" s="15" t="s">
        <v>68</v>
      </c>
      <c r="E1831" s="9">
        <v>571589.81000000006</v>
      </c>
      <c r="F1831" s="8"/>
      <c r="G1831" s="8"/>
      <c r="H1831" s="9">
        <f t="shared" si="144"/>
        <v>0</v>
      </c>
      <c r="I1831" s="8"/>
      <c r="J1831" s="9">
        <f t="shared" si="145"/>
        <v>0</v>
      </c>
      <c r="K1831" s="9">
        <v>571589.81000000006</v>
      </c>
      <c r="L1831" s="8"/>
      <c r="M1831" s="9">
        <f t="shared" si="152"/>
        <v>0</v>
      </c>
      <c r="N1831" s="8">
        <v>571589.81000000006</v>
      </c>
      <c r="O1831" s="9"/>
      <c r="P1831" s="9">
        <f t="shared" si="153"/>
        <v>571589.81000000006</v>
      </c>
      <c r="Q1831" s="9">
        <f t="shared" si="146"/>
        <v>0</v>
      </c>
      <c r="R1831" s="17"/>
      <c r="S1831" s="17"/>
      <c r="T1831" s="17"/>
      <c r="U1831" s="18">
        <f t="shared" si="147"/>
        <v>571589.81000000006</v>
      </c>
      <c r="V1831" s="17"/>
      <c r="W1831" s="17"/>
      <c r="X1831" s="9">
        <f t="shared" si="148"/>
        <v>571589.81000000006</v>
      </c>
      <c r="Y1831" s="8"/>
      <c r="Z1831" s="9">
        <f t="shared" si="149"/>
        <v>0</v>
      </c>
      <c r="AA1831" s="8">
        <f t="shared" si="150"/>
        <v>571589.81000000006</v>
      </c>
      <c r="AB1831" s="8">
        <f t="shared" si="151"/>
        <v>0</v>
      </c>
    </row>
    <row r="1832" spans="1:28" x14ac:dyDescent="0.35">
      <c r="A1832" s="36"/>
      <c r="B1832" s="8"/>
      <c r="C1832" s="7" t="s">
        <v>545</v>
      </c>
      <c r="D1832" s="15" t="s">
        <v>54</v>
      </c>
      <c r="E1832" s="9">
        <v>1767770</v>
      </c>
      <c r="F1832" s="8"/>
      <c r="G1832" s="8"/>
      <c r="H1832" s="9">
        <f t="shared" si="144"/>
        <v>0</v>
      </c>
      <c r="I1832" s="8"/>
      <c r="J1832" s="9">
        <f t="shared" si="145"/>
        <v>0</v>
      </c>
      <c r="K1832" s="9">
        <v>1767770</v>
      </c>
      <c r="L1832" s="8"/>
      <c r="M1832" s="9">
        <f t="shared" si="152"/>
        <v>0</v>
      </c>
      <c r="N1832" s="8">
        <v>1767770</v>
      </c>
      <c r="O1832" s="9"/>
      <c r="P1832" s="9">
        <f t="shared" si="153"/>
        <v>1767770</v>
      </c>
      <c r="Q1832" s="9">
        <f t="shared" si="146"/>
        <v>0</v>
      </c>
      <c r="R1832" s="17"/>
      <c r="S1832" s="17"/>
      <c r="T1832" s="17"/>
      <c r="U1832" s="18">
        <f t="shared" si="147"/>
        <v>1767770</v>
      </c>
      <c r="V1832" s="17"/>
      <c r="W1832" s="17"/>
      <c r="X1832" s="9">
        <f t="shared" si="148"/>
        <v>1767770</v>
      </c>
      <c r="Y1832" s="8"/>
      <c r="Z1832" s="9">
        <f t="shared" si="149"/>
        <v>0</v>
      </c>
      <c r="AA1832" s="8">
        <f t="shared" si="150"/>
        <v>1767770</v>
      </c>
      <c r="AB1832" s="8">
        <f t="shared" si="151"/>
        <v>0</v>
      </c>
    </row>
    <row r="1833" spans="1:28" x14ac:dyDescent="0.35">
      <c r="A1833" s="36"/>
      <c r="B1833" s="8"/>
      <c r="C1833" s="7" t="s">
        <v>794</v>
      </c>
      <c r="D1833" s="15" t="s">
        <v>54</v>
      </c>
      <c r="E1833" s="9">
        <f>3000000-150000-2159902.41</f>
        <v>690097.58999999985</v>
      </c>
      <c r="F1833" s="9">
        <v>690097.59</v>
      </c>
      <c r="G1833" s="8"/>
      <c r="H1833" s="9">
        <f t="shared" si="144"/>
        <v>690097.59</v>
      </c>
      <c r="I1833" s="8"/>
      <c r="J1833" s="9">
        <f t="shared" si="145"/>
        <v>690097.59</v>
      </c>
      <c r="K1833" s="8"/>
      <c r="L1833" s="8"/>
      <c r="M1833" s="9">
        <f t="shared" si="152"/>
        <v>690097.59</v>
      </c>
      <c r="N1833" s="8"/>
      <c r="O1833" s="9"/>
      <c r="P1833" s="9">
        <f t="shared" si="153"/>
        <v>0</v>
      </c>
      <c r="Q1833" s="9">
        <f t="shared" si="146"/>
        <v>690097.58999999985</v>
      </c>
      <c r="R1833" s="17"/>
      <c r="S1833" s="17"/>
      <c r="T1833" s="17"/>
      <c r="U1833" s="18">
        <f t="shared" si="147"/>
        <v>0</v>
      </c>
      <c r="V1833" s="17"/>
      <c r="W1833" s="17"/>
      <c r="X1833" s="9">
        <f t="shared" si="148"/>
        <v>690097.59</v>
      </c>
      <c r="Y1833" s="8"/>
      <c r="Z1833" s="9">
        <f t="shared" si="149"/>
        <v>0</v>
      </c>
      <c r="AA1833" s="8">
        <f t="shared" si="150"/>
        <v>690097.59</v>
      </c>
      <c r="AB1833" s="8">
        <f t="shared" si="151"/>
        <v>0</v>
      </c>
    </row>
    <row r="1834" spans="1:28" x14ac:dyDescent="0.35">
      <c r="A1834" s="36"/>
      <c r="B1834" s="8"/>
      <c r="C1834" s="7" t="s">
        <v>535</v>
      </c>
      <c r="D1834" s="15" t="s">
        <v>85</v>
      </c>
      <c r="E1834" s="9">
        <f>6630000-663000</f>
        <v>5967000</v>
      </c>
      <c r="F1834" s="9">
        <f>3198388+1370738+1397874</f>
        <v>5967000</v>
      </c>
      <c r="G1834" s="8"/>
      <c r="H1834" s="9">
        <f t="shared" si="144"/>
        <v>5967000</v>
      </c>
      <c r="I1834" s="8"/>
      <c r="J1834" s="9">
        <f t="shared" si="145"/>
        <v>5967000</v>
      </c>
      <c r="K1834" s="8"/>
      <c r="L1834" s="8"/>
      <c r="M1834" s="9">
        <f t="shared" si="152"/>
        <v>5967000</v>
      </c>
      <c r="N1834" s="8"/>
      <c r="O1834" s="9"/>
      <c r="P1834" s="9">
        <f t="shared" si="153"/>
        <v>0</v>
      </c>
      <c r="Q1834" s="9">
        <f t="shared" si="146"/>
        <v>5967000</v>
      </c>
      <c r="R1834" s="17"/>
      <c r="S1834" s="17"/>
      <c r="T1834" s="17"/>
      <c r="U1834" s="18">
        <f t="shared" si="147"/>
        <v>0</v>
      </c>
      <c r="V1834" s="17"/>
      <c r="W1834" s="17"/>
      <c r="X1834" s="9">
        <f t="shared" si="148"/>
        <v>5967000</v>
      </c>
      <c r="Y1834" s="8"/>
      <c r="Z1834" s="9">
        <f t="shared" si="149"/>
        <v>0</v>
      </c>
      <c r="AA1834" s="8">
        <f t="shared" si="150"/>
        <v>5967000</v>
      </c>
      <c r="AB1834" s="8">
        <f t="shared" si="151"/>
        <v>0</v>
      </c>
    </row>
    <row r="1835" spans="1:28" x14ac:dyDescent="0.35">
      <c r="A1835" s="36"/>
      <c r="B1835" s="8"/>
      <c r="C1835" s="7" t="s">
        <v>795</v>
      </c>
      <c r="D1835" s="15" t="s">
        <v>85</v>
      </c>
      <c r="E1835" s="9">
        <v>504851</v>
      </c>
      <c r="F1835" s="9">
        <v>504851</v>
      </c>
      <c r="G1835" s="8"/>
      <c r="H1835" s="9">
        <f t="shared" si="144"/>
        <v>504851</v>
      </c>
      <c r="I1835" s="8"/>
      <c r="J1835" s="9">
        <f t="shared" si="145"/>
        <v>504851</v>
      </c>
      <c r="K1835" s="8"/>
      <c r="L1835" s="8"/>
      <c r="M1835" s="9">
        <f t="shared" si="152"/>
        <v>504851</v>
      </c>
      <c r="N1835" s="8"/>
      <c r="O1835" s="9"/>
      <c r="P1835" s="9">
        <f t="shared" si="153"/>
        <v>0</v>
      </c>
      <c r="Q1835" s="9">
        <f t="shared" si="146"/>
        <v>504851</v>
      </c>
      <c r="R1835" s="17"/>
      <c r="S1835" s="17"/>
      <c r="T1835" s="17"/>
      <c r="U1835" s="18">
        <f t="shared" si="147"/>
        <v>0</v>
      </c>
      <c r="V1835" s="17"/>
      <c r="W1835" s="17"/>
      <c r="X1835" s="9">
        <f t="shared" si="148"/>
        <v>504851</v>
      </c>
      <c r="Y1835" s="8"/>
      <c r="Z1835" s="9">
        <f t="shared" si="149"/>
        <v>0</v>
      </c>
      <c r="AA1835" s="8">
        <f t="shared" si="150"/>
        <v>504851</v>
      </c>
      <c r="AB1835" s="8">
        <f t="shared" si="151"/>
        <v>0</v>
      </c>
    </row>
    <row r="1836" spans="1:28" x14ac:dyDescent="0.35">
      <c r="A1836" s="36"/>
      <c r="B1836" s="8"/>
      <c r="C1836" s="7" t="s">
        <v>535</v>
      </c>
      <c r="D1836" s="15" t="s">
        <v>88</v>
      </c>
      <c r="E1836" s="9">
        <f>2000000+2511454.7+2204997.27</f>
        <v>6716451.9700000007</v>
      </c>
      <c r="F1836" s="9">
        <f>2000000+2204997.27+2511454.7</f>
        <v>6716451.9699999997</v>
      </c>
      <c r="G1836" s="8"/>
      <c r="H1836" s="9">
        <f t="shared" si="144"/>
        <v>6716451.9699999997</v>
      </c>
      <c r="I1836" s="8"/>
      <c r="J1836" s="9">
        <f t="shared" si="145"/>
        <v>6716451.9699999997</v>
      </c>
      <c r="K1836" s="8"/>
      <c r="L1836" s="8"/>
      <c r="M1836" s="9">
        <f t="shared" si="152"/>
        <v>6716451.9699999997</v>
      </c>
      <c r="N1836" s="8"/>
      <c r="O1836" s="9"/>
      <c r="P1836" s="9">
        <f t="shared" si="153"/>
        <v>0</v>
      </c>
      <c r="Q1836" s="9">
        <f t="shared" si="146"/>
        <v>6716451.9700000007</v>
      </c>
      <c r="R1836" s="17"/>
      <c r="S1836" s="17"/>
      <c r="T1836" s="17"/>
      <c r="U1836" s="18">
        <f t="shared" si="147"/>
        <v>0</v>
      </c>
      <c r="V1836" s="17"/>
      <c r="W1836" s="17"/>
      <c r="X1836" s="9">
        <f t="shared" si="148"/>
        <v>6716451.9699999997</v>
      </c>
      <c r="Y1836" s="8"/>
      <c r="Z1836" s="9">
        <f t="shared" si="149"/>
        <v>0</v>
      </c>
      <c r="AA1836" s="8">
        <f t="shared" si="150"/>
        <v>6716451.9699999997</v>
      </c>
      <c r="AB1836" s="8">
        <f t="shared" si="151"/>
        <v>0</v>
      </c>
    </row>
    <row r="1837" spans="1:28" x14ac:dyDescent="0.35">
      <c r="A1837" s="36"/>
      <c r="B1837" s="8"/>
      <c r="C1837" s="7" t="s">
        <v>535</v>
      </c>
      <c r="D1837" s="15" t="s">
        <v>58</v>
      </c>
      <c r="E1837" s="9">
        <v>2500000</v>
      </c>
      <c r="F1837" s="9">
        <v>2500000</v>
      </c>
      <c r="G1837" s="8"/>
      <c r="H1837" s="9">
        <f t="shared" si="144"/>
        <v>2500000</v>
      </c>
      <c r="I1837" s="8"/>
      <c r="J1837" s="9">
        <f t="shared" si="145"/>
        <v>2500000</v>
      </c>
      <c r="K1837" s="8"/>
      <c r="L1837" s="8"/>
      <c r="M1837" s="9">
        <f t="shared" si="152"/>
        <v>2500000</v>
      </c>
      <c r="N1837" s="8"/>
      <c r="O1837" s="9"/>
      <c r="P1837" s="9">
        <f t="shared" si="153"/>
        <v>0</v>
      </c>
      <c r="Q1837" s="9">
        <f t="shared" si="146"/>
        <v>2500000</v>
      </c>
      <c r="R1837" s="17"/>
      <c r="S1837" s="17"/>
      <c r="T1837" s="17"/>
      <c r="U1837" s="18">
        <f t="shared" si="147"/>
        <v>0</v>
      </c>
      <c r="V1837" s="17"/>
      <c r="W1837" s="17"/>
      <c r="X1837" s="9">
        <f t="shared" si="148"/>
        <v>2500000</v>
      </c>
      <c r="Y1837" s="8"/>
      <c r="Z1837" s="9">
        <f t="shared" si="149"/>
        <v>0</v>
      </c>
      <c r="AA1837" s="8">
        <f t="shared" si="150"/>
        <v>2500000</v>
      </c>
      <c r="AB1837" s="8">
        <f t="shared" si="151"/>
        <v>0</v>
      </c>
    </row>
    <row r="1838" spans="1:28" x14ac:dyDescent="0.35">
      <c r="A1838" s="36"/>
      <c r="B1838" s="8"/>
      <c r="C1838" s="7" t="s">
        <v>535</v>
      </c>
      <c r="D1838" s="21" t="s">
        <v>60</v>
      </c>
      <c r="E1838" s="9">
        <f>676937+5649682+3938000</f>
        <v>10264619</v>
      </c>
      <c r="F1838" s="9">
        <f>676937+5649682+3938000</f>
        <v>10264619</v>
      </c>
      <c r="G1838" s="8"/>
      <c r="H1838" s="9">
        <f t="shared" si="144"/>
        <v>10264619</v>
      </c>
      <c r="I1838" s="8"/>
      <c r="J1838" s="9">
        <f t="shared" si="145"/>
        <v>10264619</v>
      </c>
      <c r="K1838" s="8"/>
      <c r="L1838" s="8"/>
      <c r="M1838" s="9">
        <f t="shared" si="152"/>
        <v>10264619</v>
      </c>
      <c r="N1838" s="8"/>
      <c r="O1838" s="9"/>
      <c r="P1838" s="9">
        <f t="shared" si="153"/>
        <v>0</v>
      </c>
      <c r="Q1838" s="9">
        <f t="shared" si="146"/>
        <v>10264619</v>
      </c>
      <c r="R1838" s="17"/>
      <c r="S1838" s="17"/>
      <c r="T1838" s="17"/>
      <c r="U1838" s="18">
        <f t="shared" si="147"/>
        <v>0</v>
      </c>
      <c r="V1838" s="17"/>
      <c r="W1838" s="17"/>
      <c r="X1838" s="9">
        <f t="shared" si="148"/>
        <v>10264619</v>
      </c>
      <c r="Y1838" s="8"/>
      <c r="Z1838" s="9">
        <f t="shared" si="149"/>
        <v>0</v>
      </c>
      <c r="AA1838" s="8">
        <f t="shared" si="150"/>
        <v>10264619</v>
      </c>
      <c r="AB1838" s="8">
        <f t="shared" si="151"/>
        <v>0</v>
      </c>
    </row>
    <row r="1839" spans="1:28" x14ac:dyDescent="0.35">
      <c r="A1839" s="36"/>
      <c r="B1839" s="8"/>
      <c r="C1839" s="7" t="s">
        <v>535</v>
      </c>
      <c r="D1839" s="21" t="s">
        <v>73</v>
      </c>
      <c r="E1839" s="9">
        <f>2719936+2873400+2228330+3214886.22</f>
        <v>11036552.220000001</v>
      </c>
      <c r="F1839" s="9">
        <f>2719936+2873400+2228330+3214886.22</f>
        <v>11036552.220000001</v>
      </c>
      <c r="G1839" s="8"/>
      <c r="H1839" s="9">
        <f t="shared" si="144"/>
        <v>11036552.220000001</v>
      </c>
      <c r="I1839" s="8"/>
      <c r="J1839" s="9">
        <f t="shared" si="145"/>
        <v>11036552.220000001</v>
      </c>
      <c r="K1839" s="8"/>
      <c r="L1839" s="8"/>
      <c r="M1839" s="9">
        <f t="shared" si="152"/>
        <v>11036552.220000001</v>
      </c>
      <c r="N1839" s="8"/>
      <c r="O1839" s="9"/>
      <c r="P1839" s="9">
        <f t="shared" si="153"/>
        <v>0</v>
      </c>
      <c r="Q1839" s="9">
        <f t="shared" si="146"/>
        <v>11036552.220000001</v>
      </c>
      <c r="R1839" s="17"/>
      <c r="S1839" s="17"/>
      <c r="T1839" s="17"/>
      <c r="U1839" s="18">
        <f t="shared" si="147"/>
        <v>0</v>
      </c>
      <c r="V1839" s="17"/>
      <c r="W1839" s="17"/>
      <c r="X1839" s="9">
        <f t="shared" si="148"/>
        <v>11036552.220000001</v>
      </c>
      <c r="Y1839" s="8"/>
      <c r="Z1839" s="9">
        <f t="shared" si="149"/>
        <v>0</v>
      </c>
      <c r="AA1839" s="8">
        <f t="shared" si="150"/>
        <v>11036552.220000001</v>
      </c>
      <c r="AB1839" s="8">
        <f t="shared" si="151"/>
        <v>0</v>
      </c>
    </row>
    <row r="1840" spans="1:28" x14ac:dyDescent="0.35">
      <c r="A1840" s="36"/>
      <c r="B1840" s="8"/>
      <c r="C1840" s="7" t="s">
        <v>535</v>
      </c>
      <c r="D1840" s="21" t="s">
        <v>61</v>
      </c>
      <c r="E1840" s="11">
        <v>10131026.99</v>
      </c>
      <c r="F1840" s="11">
        <v>10131026.99</v>
      </c>
      <c r="G1840" s="8"/>
      <c r="H1840" s="9">
        <f t="shared" si="144"/>
        <v>10131026.99</v>
      </c>
      <c r="I1840" s="8"/>
      <c r="J1840" s="9">
        <f t="shared" si="145"/>
        <v>10131026.99</v>
      </c>
      <c r="K1840" s="8"/>
      <c r="L1840" s="8"/>
      <c r="M1840" s="9">
        <f t="shared" si="152"/>
        <v>10131026.99</v>
      </c>
      <c r="N1840" s="8"/>
      <c r="O1840" s="9"/>
      <c r="P1840" s="9">
        <f t="shared" si="153"/>
        <v>0</v>
      </c>
      <c r="Q1840" s="9">
        <f t="shared" si="146"/>
        <v>10131026.99</v>
      </c>
      <c r="R1840" s="17"/>
      <c r="S1840" s="17"/>
      <c r="T1840" s="17"/>
      <c r="U1840" s="18">
        <f t="shared" si="147"/>
        <v>0</v>
      </c>
      <c r="V1840" s="17"/>
      <c r="W1840" s="17"/>
      <c r="X1840" s="9">
        <f t="shared" si="148"/>
        <v>10131026.99</v>
      </c>
      <c r="Y1840" s="8"/>
      <c r="Z1840" s="9">
        <f t="shared" si="149"/>
        <v>0</v>
      </c>
      <c r="AA1840" s="8">
        <f t="shared" si="150"/>
        <v>10131026.99</v>
      </c>
      <c r="AB1840" s="8">
        <f t="shared" si="151"/>
        <v>0</v>
      </c>
    </row>
    <row r="1841" spans="1:28" x14ac:dyDescent="0.35">
      <c r="A1841" s="36"/>
      <c r="B1841" s="8"/>
      <c r="C1841" s="7" t="s">
        <v>621</v>
      </c>
      <c r="D1841" s="21" t="s">
        <v>61</v>
      </c>
      <c r="E1841" s="11">
        <v>564000</v>
      </c>
      <c r="F1841" s="11">
        <v>564000</v>
      </c>
      <c r="G1841" s="8"/>
      <c r="H1841" s="9">
        <f t="shared" si="144"/>
        <v>564000</v>
      </c>
      <c r="I1841" s="8"/>
      <c r="J1841" s="9">
        <f t="shared" si="145"/>
        <v>564000</v>
      </c>
      <c r="K1841" s="8"/>
      <c r="L1841" s="8"/>
      <c r="M1841" s="9">
        <f t="shared" si="152"/>
        <v>564000</v>
      </c>
      <c r="N1841" s="8"/>
      <c r="O1841" s="9"/>
      <c r="P1841" s="9">
        <f t="shared" si="153"/>
        <v>0</v>
      </c>
      <c r="Q1841" s="9">
        <f t="shared" si="146"/>
        <v>564000</v>
      </c>
      <c r="R1841" s="17"/>
      <c r="S1841" s="17"/>
      <c r="T1841" s="17"/>
      <c r="U1841" s="18">
        <f t="shared" si="147"/>
        <v>0</v>
      </c>
      <c r="V1841" s="17"/>
      <c r="W1841" s="17"/>
      <c r="X1841" s="9">
        <f t="shared" si="148"/>
        <v>564000</v>
      </c>
      <c r="Y1841" s="8"/>
      <c r="Z1841" s="9">
        <f t="shared" si="149"/>
        <v>0</v>
      </c>
      <c r="AA1841" s="8">
        <f t="shared" si="150"/>
        <v>564000</v>
      </c>
      <c r="AB1841" s="8">
        <f t="shared" si="151"/>
        <v>0</v>
      </c>
    </row>
    <row r="1842" spans="1:28" x14ac:dyDescent="0.35">
      <c r="A1842" s="36"/>
      <c r="B1842" s="8"/>
      <c r="C1842" s="13" t="s">
        <v>933</v>
      </c>
      <c r="D1842" s="24" t="s">
        <v>1072</v>
      </c>
      <c r="E1842" s="11">
        <v>5427608.8099999996</v>
      </c>
      <c r="F1842" s="11">
        <v>5427608.8099999996</v>
      </c>
      <c r="G1842" s="8"/>
      <c r="H1842" s="9">
        <f>+F1842+G1842</f>
        <v>5427608.8099999996</v>
      </c>
      <c r="I1842" s="8"/>
      <c r="J1842" s="9">
        <f t="shared" si="145"/>
        <v>5427608.8099999996</v>
      </c>
      <c r="K1842" s="8"/>
      <c r="L1842" s="8"/>
      <c r="M1842" s="9">
        <f t="shared" si="152"/>
        <v>5427608.8099999996</v>
      </c>
      <c r="N1842" s="8"/>
      <c r="O1842" s="9"/>
      <c r="P1842" s="9">
        <v>0</v>
      </c>
      <c r="Q1842" s="9"/>
      <c r="R1842" s="17"/>
      <c r="S1842" s="17"/>
      <c r="T1842" s="17"/>
      <c r="U1842" s="18">
        <f>+P1842+T1842</f>
        <v>0</v>
      </c>
      <c r="V1842" s="17"/>
      <c r="W1842" s="17"/>
      <c r="X1842" s="9">
        <f t="shared" si="148"/>
        <v>5427608.8099999996</v>
      </c>
      <c r="Y1842" s="8"/>
      <c r="Z1842" s="9">
        <f t="shared" si="149"/>
        <v>0</v>
      </c>
      <c r="AA1842" s="8">
        <f t="shared" si="150"/>
        <v>5427608.8099999996</v>
      </c>
      <c r="AB1842" s="8">
        <f t="shared" si="151"/>
        <v>0</v>
      </c>
    </row>
    <row r="1843" spans="1:28" x14ac:dyDescent="0.35">
      <c r="A1843" s="36"/>
      <c r="B1843" s="8"/>
      <c r="C1843" s="7" t="s">
        <v>598</v>
      </c>
      <c r="D1843" s="8"/>
      <c r="E1843" s="9">
        <v>70762.2</v>
      </c>
      <c r="F1843" s="9">
        <v>70762.2</v>
      </c>
      <c r="G1843" s="8"/>
      <c r="H1843" s="9">
        <f t="shared" si="144"/>
        <v>70762.2</v>
      </c>
      <c r="I1843" s="8"/>
      <c r="J1843" s="9">
        <f t="shared" si="145"/>
        <v>70762.2</v>
      </c>
      <c r="K1843" s="8"/>
      <c r="L1843" s="8"/>
      <c r="M1843" s="9">
        <f t="shared" si="152"/>
        <v>70762.2</v>
      </c>
      <c r="N1843" s="8"/>
      <c r="O1843" s="9"/>
      <c r="P1843" s="9">
        <f t="shared" si="153"/>
        <v>0</v>
      </c>
      <c r="Q1843" s="9">
        <f t="shared" si="146"/>
        <v>70762.2</v>
      </c>
      <c r="R1843" s="17"/>
      <c r="S1843" s="17"/>
      <c r="T1843" s="17"/>
      <c r="U1843" s="18">
        <f t="shared" si="147"/>
        <v>0</v>
      </c>
      <c r="V1843" s="17"/>
      <c r="W1843" s="17"/>
      <c r="X1843" s="9">
        <f t="shared" si="148"/>
        <v>70762.2</v>
      </c>
      <c r="Y1843" s="8"/>
      <c r="Z1843" s="9">
        <f t="shared" si="149"/>
        <v>0</v>
      </c>
      <c r="AA1843" s="8">
        <f t="shared" si="150"/>
        <v>70762.2</v>
      </c>
      <c r="AB1843" s="8">
        <f t="shared" si="151"/>
        <v>0</v>
      </c>
    </row>
    <row r="1844" spans="1:28" x14ac:dyDescent="0.35">
      <c r="A1844" s="36"/>
      <c r="B1844" s="8"/>
      <c r="C1844" s="7" t="s">
        <v>550</v>
      </c>
      <c r="D1844" s="8"/>
      <c r="E1844" s="9">
        <v>1338381</v>
      </c>
      <c r="F1844" s="9">
        <v>1338381</v>
      </c>
      <c r="G1844" s="8"/>
      <c r="H1844" s="9">
        <f t="shared" si="144"/>
        <v>1338381</v>
      </c>
      <c r="I1844" s="8"/>
      <c r="J1844" s="9">
        <f t="shared" si="145"/>
        <v>1338381</v>
      </c>
      <c r="K1844" s="8"/>
      <c r="L1844" s="8"/>
      <c r="M1844" s="9">
        <f t="shared" si="152"/>
        <v>1338381</v>
      </c>
      <c r="N1844" s="8"/>
      <c r="O1844" s="9"/>
      <c r="P1844" s="9">
        <f t="shared" si="153"/>
        <v>0</v>
      </c>
      <c r="Q1844" s="9">
        <f t="shared" si="146"/>
        <v>1338381</v>
      </c>
      <c r="R1844" s="17"/>
      <c r="S1844" s="17"/>
      <c r="T1844" s="17"/>
      <c r="U1844" s="18">
        <f t="shared" si="147"/>
        <v>0</v>
      </c>
      <c r="V1844" s="17"/>
      <c r="W1844" s="17"/>
      <c r="X1844" s="9">
        <f t="shared" si="148"/>
        <v>1338381</v>
      </c>
      <c r="Y1844" s="8"/>
      <c r="Z1844" s="9">
        <f t="shared" si="149"/>
        <v>0</v>
      </c>
      <c r="AA1844" s="8">
        <f t="shared" si="150"/>
        <v>1338381</v>
      </c>
      <c r="AB1844" s="8">
        <f t="shared" si="151"/>
        <v>0</v>
      </c>
    </row>
    <row r="1845" spans="1:28" x14ac:dyDescent="0.35">
      <c r="A1845" s="36"/>
      <c r="B1845" s="8"/>
      <c r="C1845" s="7" t="s">
        <v>606</v>
      </c>
      <c r="D1845" s="8"/>
      <c r="E1845" s="9">
        <v>2500000</v>
      </c>
      <c r="F1845" s="9">
        <v>2500000</v>
      </c>
      <c r="G1845" s="8"/>
      <c r="H1845" s="9">
        <f t="shared" si="144"/>
        <v>2500000</v>
      </c>
      <c r="I1845" s="8"/>
      <c r="J1845" s="9">
        <f t="shared" si="145"/>
        <v>2500000</v>
      </c>
      <c r="K1845" s="8"/>
      <c r="L1845" s="8"/>
      <c r="M1845" s="9">
        <f t="shared" si="152"/>
        <v>2500000</v>
      </c>
      <c r="N1845" s="8"/>
      <c r="O1845" s="9"/>
      <c r="P1845" s="9">
        <f t="shared" si="153"/>
        <v>0</v>
      </c>
      <c r="Q1845" s="9">
        <f t="shared" si="146"/>
        <v>2500000</v>
      </c>
      <c r="R1845" s="17"/>
      <c r="S1845" s="17"/>
      <c r="T1845" s="17"/>
      <c r="U1845" s="18">
        <f t="shared" si="147"/>
        <v>0</v>
      </c>
      <c r="V1845" s="17"/>
      <c r="W1845" s="17"/>
      <c r="X1845" s="9">
        <f t="shared" si="148"/>
        <v>2500000</v>
      </c>
      <c r="Y1845" s="8"/>
      <c r="Z1845" s="9">
        <f t="shared" si="149"/>
        <v>0</v>
      </c>
      <c r="AA1845" s="8">
        <f t="shared" si="150"/>
        <v>2500000</v>
      </c>
      <c r="AB1845" s="8">
        <f t="shared" si="151"/>
        <v>0</v>
      </c>
    </row>
    <row r="1846" spans="1:28" x14ac:dyDescent="0.35">
      <c r="A1846" s="36"/>
      <c r="B1846" s="8"/>
      <c r="C1846" s="8"/>
      <c r="D1846" s="8"/>
      <c r="E1846" s="17" t="s">
        <v>29</v>
      </c>
      <c r="F1846" s="17" t="s">
        <v>29</v>
      </c>
      <c r="G1846" s="17" t="s">
        <v>29</v>
      </c>
      <c r="H1846" s="17" t="s">
        <v>29</v>
      </c>
      <c r="I1846" s="17" t="s">
        <v>29</v>
      </c>
      <c r="J1846" s="17" t="s">
        <v>29</v>
      </c>
      <c r="K1846" s="17" t="s">
        <v>29</v>
      </c>
      <c r="L1846" s="17" t="s">
        <v>29</v>
      </c>
      <c r="M1846" s="17" t="s">
        <v>29</v>
      </c>
      <c r="N1846" s="17" t="s">
        <v>29</v>
      </c>
      <c r="O1846" s="17" t="s">
        <v>29</v>
      </c>
      <c r="P1846" s="17" t="s">
        <v>29</v>
      </c>
      <c r="Q1846" s="17" t="s">
        <v>29</v>
      </c>
      <c r="R1846" s="17"/>
      <c r="S1846" s="17"/>
      <c r="T1846" s="17"/>
      <c r="U1846" s="17" t="s">
        <v>29</v>
      </c>
      <c r="V1846" s="17"/>
      <c r="W1846" s="17"/>
      <c r="X1846" s="17"/>
      <c r="Y1846" s="17"/>
      <c r="Z1846" s="17"/>
      <c r="AA1846" s="17" t="s">
        <v>29</v>
      </c>
      <c r="AB1846" s="17" t="s">
        <v>29</v>
      </c>
    </row>
    <row r="1847" spans="1:28" x14ac:dyDescent="0.35">
      <c r="A1847" s="36"/>
      <c r="B1847" s="8"/>
      <c r="C1847" s="8"/>
      <c r="D1847" s="8"/>
      <c r="E1847" s="9">
        <f t="shared" ref="E1847:Q1847" si="154">SUM(E1823:E1846)</f>
        <v>91880338.700000003</v>
      </c>
      <c r="F1847" s="9">
        <f t="shared" si="154"/>
        <v>85572225.719999999</v>
      </c>
      <c r="G1847" s="9">
        <f t="shared" si="154"/>
        <v>0</v>
      </c>
      <c r="H1847" s="9">
        <f t="shared" si="154"/>
        <v>85572225.719999999</v>
      </c>
      <c r="I1847" s="9">
        <f t="shared" si="154"/>
        <v>0</v>
      </c>
      <c r="J1847" s="9">
        <f t="shared" si="154"/>
        <v>85572225.719999999</v>
      </c>
      <c r="K1847" s="9">
        <f t="shared" si="154"/>
        <v>6308112.9800000004</v>
      </c>
      <c r="L1847" s="9">
        <f t="shared" si="154"/>
        <v>0</v>
      </c>
      <c r="M1847" s="9">
        <f t="shared" si="154"/>
        <v>85572225.719999999</v>
      </c>
      <c r="N1847" s="9">
        <f t="shared" si="154"/>
        <v>6308112.9800000004</v>
      </c>
      <c r="O1847" s="9">
        <f t="shared" si="154"/>
        <v>0</v>
      </c>
      <c r="P1847" s="9">
        <f t="shared" si="154"/>
        <v>6308112.9800000004</v>
      </c>
      <c r="Q1847" s="9">
        <f t="shared" si="154"/>
        <v>80144616.909999996</v>
      </c>
      <c r="R1847" s="17"/>
      <c r="S1847" s="17"/>
      <c r="T1847" s="9">
        <f t="shared" ref="T1847:Z1847" si="155">SUM(T1823:T1846)</f>
        <v>0</v>
      </c>
      <c r="U1847" s="9">
        <f t="shared" si="155"/>
        <v>6308112.9800000004</v>
      </c>
      <c r="V1847" s="9">
        <f t="shared" si="155"/>
        <v>0</v>
      </c>
      <c r="W1847" s="9">
        <f t="shared" si="155"/>
        <v>0</v>
      </c>
      <c r="X1847" s="9">
        <f t="shared" si="155"/>
        <v>91880338.700000003</v>
      </c>
      <c r="Y1847" s="9">
        <f t="shared" si="155"/>
        <v>0</v>
      </c>
      <c r="Z1847" s="9">
        <f t="shared" si="155"/>
        <v>0</v>
      </c>
      <c r="AA1847" s="9">
        <f>SUM(AA1823:AA1846)</f>
        <v>91880338.700000003</v>
      </c>
      <c r="AB1847" s="9">
        <f>SUM(AB1823:AB1846)</f>
        <v>0</v>
      </c>
    </row>
    <row r="1848" spans="1:28" x14ac:dyDescent="0.35">
      <c r="A1848" s="36"/>
      <c r="B1848" s="8"/>
      <c r="C1848" s="8"/>
      <c r="D1848" s="8"/>
      <c r="E1848" s="17" t="s">
        <v>29</v>
      </c>
      <c r="F1848" s="17" t="s">
        <v>29</v>
      </c>
      <c r="G1848" s="17" t="s">
        <v>29</v>
      </c>
      <c r="H1848" s="17" t="s">
        <v>29</v>
      </c>
      <c r="I1848" s="17" t="s">
        <v>29</v>
      </c>
      <c r="J1848" s="17" t="s">
        <v>29</v>
      </c>
      <c r="K1848" s="17" t="s">
        <v>29</v>
      </c>
      <c r="L1848" s="17" t="s">
        <v>29</v>
      </c>
      <c r="M1848" s="17" t="s">
        <v>29</v>
      </c>
      <c r="N1848" s="17" t="s">
        <v>29</v>
      </c>
      <c r="O1848" s="17" t="s">
        <v>29</v>
      </c>
      <c r="P1848" s="17" t="s">
        <v>29</v>
      </c>
      <c r="Q1848" s="17" t="s">
        <v>29</v>
      </c>
      <c r="R1848" s="17"/>
      <c r="S1848" s="17"/>
      <c r="T1848" s="17"/>
      <c r="U1848" s="17" t="s">
        <v>29</v>
      </c>
      <c r="V1848" s="17"/>
      <c r="W1848" s="17"/>
      <c r="X1848" s="17"/>
      <c r="Y1848" s="17"/>
      <c r="Z1848" s="17"/>
      <c r="AA1848" s="17" t="s">
        <v>29</v>
      </c>
      <c r="AB1848" s="17" t="s">
        <v>29</v>
      </c>
    </row>
    <row r="1849" spans="1:28" x14ac:dyDescent="0.35">
      <c r="A1849" s="38" t="s">
        <v>1022</v>
      </c>
      <c r="B1849" s="7" t="s">
        <v>796</v>
      </c>
      <c r="C1849" s="8"/>
      <c r="D1849" s="8"/>
      <c r="E1849" s="8"/>
      <c r="F1849" s="8"/>
      <c r="G1849" s="8"/>
      <c r="H1849" s="8"/>
      <c r="I1849" s="8"/>
      <c r="J1849" s="8"/>
      <c r="K1849" s="8"/>
      <c r="L1849" s="8"/>
      <c r="M1849" s="8"/>
      <c r="N1849" s="8"/>
      <c r="O1849" s="8"/>
      <c r="P1849" s="8"/>
      <c r="Q1849" s="8"/>
      <c r="R1849" s="17"/>
      <c r="S1849" s="17"/>
      <c r="T1849" s="17"/>
      <c r="U1849" s="17"/>
      <c r="V1849" s="17"/>
      <c r="W1849" s="17"/>
      <c r="X1849" s="17"/>
      <c r="Y1849" s="17"/>
      <c r="Z1849" s="17"/>
    </row>
    <row r="1850" spans="1:28" x14ac:dyDescent="0.35">
      <c r="A1850" s="36"/>
      <c r="B1850" s="8"/>
      <c r="C1850" s="7" t="s">
        <v>797</v>
      </c>
      <c r="D1850" s="15" t="s">
        <v>166</v>
      </c>
      <c r="E1850" s="9">
        <v>1888418.87</v>
      </c>
      <c r="F1850" s="9">
        <v>1888418.87</v>
      </c>
      <c r="G1850" s="8"/>
      <c r="H1850" s="9">
        <f t="shared" ref="H1850:H1861" si="156">F1850+G1850</f>
        <v>1888418.87</v>
      </c>
      <c r="I1850" s="8"/>
      <c r="J1850" s="9">
        <f t="shared" ref="J1850:J1861" si="157">H1850+I1850</f>
        <v>1888418.87</v>
      </c>
      <c r="K1850" s="8"/>
      <c r="L1850" s="8"/>
      <c r="M1850" s="9">
        <f>+H1850+L1850</f>
        <v>1888418.87</v>
      </c>
      <c r="N1850" s="8"/>
      <c r="O1850" s="9"/>
      <c r="P1850" s="9">
        <f>+N1850+O1850</f>
        <v>0</v>
      </c>
      <c r="Q1850" s="9">
        <f t="shared" ref="Q1850:Q1861" si="158">E1850-P1850</f>
        <v>1888418.87</v>
      </c>
      <c r="R1850" s="17"/>
      <c r="S1850" s="17"/>
      <c r="T1850" s="17"/>
      <c r="U1850" s="18">
        <f t="shared" ref="U1850:U1861" si="159">+P1850+T1850</f>
        <v>0</v>
      </c>
      <c r="V1850" s="17"/>
      <c r="W1850" s="17"/>
      <c r="X1850" s="9">
        <f t="shared" ref="X1850:X1861" si="160">+H1850+P1850</f>
        <v>1888418.87</v>
      </c>
      <c r="Y1850" s="8"/>
      <c r="Z1850" s="9">
        <f t="shared" ref="Z1850:Z1861" si="161">+E1850-X1850</f>
        <v>0</v>
      </c>
      <c r="AA1850" s="8">
        <f t="shared" ref="AA1850:AA1861" si="162">+M1850+U1850</f>
        <v>1888418.87</v>
      </c>
      <c r="AB1850" s="8">
        <f t="shared" ref="AB1850:AB1861" si="163">+E1850-AA1850</f>
        <v>0</v>
      </c>
    </row>
    <row r="1851" spans="1:28" x14ac:dyDescent="0.35">
      <c r="A1851" s="36"/>
      <c r="B1851" s="8"/>
      <c r="C1851" s="7" t="s">
        <v>535</v>
      </c>
      <c r="D1851" s="15" t="s">
        <v>68</v>
      </c>
      <c r="E1851" s="9">
        <f>1614050-853408.6</f>
        <v>760641.4</v>
      </c>
      <c r="F1851" s="8"/>
      <c r="G1851" s="8"/>
      <c r="H1851" s="9">
        <f t="shared" si="156"/>
        <v>0</v>
      </c>
      <c r="I1851" s="8"/>
      <c r="J1851" s="9">
        <f t="shared" si="157"/>
        <v>0</v>
      </c>
      <c r="K1851" s="9">
        <v>760641.4</v>
      </c>
      <c r="L1851" s="8"/>
      <c r="M1851" s="9">
        <f t="shared" ref="M1851:M1861" si="164">+H1851+L1851</f>
        <v>0</v>
      </c>
      <c r="N1851" s="8">
        <v>760641.4</v>
      </c>
      <c r="O1851" s="9"/>
      <c r="P1851" s="9">
        <f t="shared" ref="P1851:P1861" si="165">+N1851+O1851</f>
        <v>760641.4</v>
      </c>
      <c r="Q1851" s="9">
        <f t="shared" si="158"/>
        <v>0</v>
      </c>
      <c r="R1851" s="17"/>
      <c r="S1851" s="17"/>
      <c r="T1851" s="17"/>
      <c r="U1851" s="18">
        <f t="shared" si="159"/>
        <v>760641.4</v>
      </c>
      <c r="V1851" s="17"/>
      <c r="W1851" s="17"/>
      <c r="X1851" s="9">
        <f t="shared" si="160"/>
        <v>760641.4</v>
      </c>
      <c r="Y1851" s="8"/>
      <c r="Z1851" s="9">
        <f t="shared" si="161"/>
        <v>0</v>
      </c>
      <c r="AA1851" s="8">
        <f t="shared" si="162"/>
        <v>760641.4</v>
      </c>
      <c r="AB1851" s="8">
        <f t="shared" si="163"/>
        <v>0</v>
      </c>
    </row>
    <row r="1852" spans="1:28" x14ac:dyDescent="0.35">
      <c r="A1852" s="36"/>
      <c r="B1852" s="8"/>
      <c r="C1852" s="7" t="s">
        <v>535</v>
      </c>
      <c r="D1852" s="15" t="s">
        <v>54</v>
      </c>
      <c r="E1852" s="9">
        <f>1052000-52600</f>
        <v>999400</v>
      </c>
      <c r="F1852" s="9">
        <v>999400</v>
      </c>
      <c r="G1852" s="8"/>
      <c r="H1852" s="9">
        <f t="shared" si="156"/>
        <v>999400</v>
      </c>
      <c r="I1852" s="8"/>
      <c r="J1852" s="9">
        <f t="shared" si="157"/>
        <v>999400</v>
      </c>
      <c r="K1852" s="8"/>
      <c r="L1852" s="8"/>
      <c r="M1852" s="9">
        <f t="shared" si="164"/>
        <v>999400</v>
      </c>
      <c r="N1852" s="8"/>
      <c r="O1852" s="9"/>
      <c r="P1852" s="9">
        <f t="shared" si="165"/>
        <v>0</v>
      </c>
      <c r="Q1852" s="9">
        <f t="shared" si="158"/>
        <v>999400</v>
      </c>
      <c r="R1852" s="17"/>
      <c r="S1852" s="17"/>
      <c r="T1852" s="17"/>
      <c r="U1852" s="18">
        <f t="shared" si="159"/>
        <v>0</v>
      </c>
      <c r="V1852" s="17"/>
      <c r="W1852" s="17"/>
      <c r="X1852" s="9">
        <f t="shared" si="160"/>
        <v>999400</v>
      </c>
      <c r="Y1852" s="8"/>
      <c r="Z1852" s="9">
        <f t="shared" si="161"/>
        <v>0</v>
      </c>
      <c r="AA1852" s="8">
        <f t="shared" si="162"/>
        <v>999400</v>
      </c>
      <c r="AB1852" s="8">
        <f t="shared" si="163"/>
        <v>0</v>
      </c>
    </row>
    <row r="1853" spans="1:28" x14ac:dyDescent="0.35">
      <c r="A1853" s="36"/>
      <c r="B1853" s="8"/>
      <c r="C1853" s="7" t="s">
        <v>545</v>
      </c>
      <c r="D1853" s="15" t="s">
        <v>54</v>
      </c>
      <c r="E1853" s="9">
        <v>570941</v>
      </c>
      <c r="F1853" s="8"/>
      <c r="G1853" s="8"/>
      <c r="H1853" s="9">
        <f t="shared" si="156"/>
        <v>0</v>
      </c>
      <c r="I1853" s="8"/>
      <c r="J1853" s="9">
        <f t="shared" si="157"/>
        <v>0</v>
      </c>
      <c r="K1853" s="9">
        <v>570941</v>
      </c>
      <c r="L1853" s="8"/>
      <c r="M1853" s="9">
        <f t="shared" si="164"/>
        <v>0</v>
      </c>
      <c r="N1853" s="8">
        <v>570941</v>
      </c>
      <c r="O1853" s="9"/>
      <c r="P1853" s="9">
        <f t="shared" si="165"/>
        <v>570941</v>
      </c>
      <c r="Q1853" s="9">
        <f t="shared" si="158"/>
        <v>0</v>
      </c>
      <c r="R1853" s="17"/>
      <c r="S1853" s="17"/>
      <c r="T1853" s="17"/>
      <c r="U1853" s="18">
        <f t="shared" si="159"/>
        <v>570941</v>
      </c>
      <c r="V1853" s="17"/>
      <c r="W1853" s="17"/>
      <c r="X1853" s="9">
        <f t="shared" si="160"/>
        <v>570941</v>
      </c>
      <c r="Y1853" s="8"/>
      <c r="Z1853" s="9">
        <f t="shared" si="161"/>
        <v>0</v>
      </c>
      <c r="AA1853" s="8">
        <f t="shared" si="162"/>
        <v>570941</v>
      </c>
      <c r="AB1853" s="8">
        <f t="shared" si="163"/>
        <v>0</v>
      </c>
    </row>
    <row r="1854" spans="1:28" x14ac:dyDescent="0.35">
      <c r="A1854" s="36"/>
      <c r="B1854" s="8"/>
      <c r="C1854" s="7" t="s">
        <v>535</v>
      </c>
      <c r="D1854" s="15" t="s">
        <v>128</v>
      </c>
      <c r="E1854" s="9">
        <v>701018</v>
      </c>
      <c r="F1854" s="9">
        <v>701018</v>
      </c>
      <c r="G1854" s="8"/>
      <c r="H1854" s="9">
        <f t="shared" si="156"/>
        <v>701018</v>
      </c>
      <c r="I1854" s="8"/>
      <c r="J1854" s="9">
        <f t="shared" si="157"/>
        <v>701018</v>
      </c>
      <c r="K1854" s="8"/>
      <c r="L1854" s="8"/>
      <c r="M1854" s="9">
        <f t="shared" si="164"/>
        <v>701018</v>
      </c>
      <c r="N1854" s="8"/>
      <c r="O1854" s="9"/>
      <c r="P1854" s="9">
        <f t="shared" si="165"/>
        <v>0</v>
      </c>
      <c r="Q1854" s="9">
        <f t="shared" si="158"/>
        <v>701018</v>
      </c>
      <c r="R1854" s="17"/>
      <c r="S1854" s="17"/>
      <c r="T1854" s="17"/>
      <c r="U1854" s="18">
        <f t="shared" si="159"/>
        <v>0</v>
      </c>
      <c r="V1854" s="17"/>
      <c r="W1854" s="17"/>
      <c r="X1854" s="9">
        <f t="shared" si="160"/>
        <v>701018</v>
      </c>
      <c r="Y1854" s="8"/>
      <c r="Z1854" s="9">
        <f t="shared" si="161"/>
        <v>0</v>
      </c>
      <c r="AA1854" s="8">
        <f t="shared" si="162"/>
        <v>701018</v>
      </c>
      <c r="AB1854" s="8">
        <f t="shared" si="163"/>
        <v>0</v>
      </c>
    </row>
    <row r="1855" spans="1:28" x14ac:dyDescent="0.35">
      <c r="A1855" s="36"/>
      <c r="B1855" s="8"/>
      <c r="C1855" s="7" t="s">
        <v>535</v>
      </c>
      <c r="D1855" s="15" t="s">
        <v>88</v>
      </c>
      <c r="E1855" s="9">
        <v>1251159</v>
      </c>
      <c r="F1855" s="9">
        <v>1251159</v>
      </c>
      <c r="G1855" s="8"/>
      <c r="H1855" s="9">
        <f t="shared" si="156"/>
        <v>1251159</v>
      </c>
      <c r="I1855" s="8"/>
      <c r="J1855" s="9">
        <f t="shared" si="157"/>
        <v>1251159</v>
      </c>
      <c r="K1855" s="8"/>
      <c r="L1855" s="8"/>
      <c r="M1855" s="9">
        <f t="shared" si="164"/>
        <v>1251159</v>
      </c>
      <c r="N1855" s="8"/>
      <c r="O1855" s="9"/>
      <c r="P1855" s="9">
        <f t="shared" si="165"/>
        <v>0</v>
      </c>
      <c r="Q1855" s="9">
        <f t="shared" si="158"/>
        <v>1251159</v>
      </c>
      <c r="R1855" s="17"/>
      <c r="S1855" s="17"/>
      <c r="T1855" s="17"/>
      <c r="U1855" s="18">
        <f t="shared" si="159"/>
        <v>0</v>
      </c>
      <c r="V1855" s="17"/>
      <c r="W1855" s="17"/>
      <c r="X1855" s="9">
        <f t="shared" si="160"/>
        <v>1251159</v>
      </c>
      <c r="Y1855" s="8"/>
      <c r="Z1855" s="9">
        <f t="shared" si="161"/>
        <v>0</v>
      </c>
      <c r="AA1855" s="8">
        <f t="shared" si="162"/>
        <v>1251159</v>
      </c>
      <c r="AB1855" s="8">
        <f t="shared" si="163"/>
        <v>0</v>
      </c>
    </row>
    <row r="1856" spans="1:28" x14ac:dyDescent="0.35">
      <c r="A1856" s="36"/>
      <c r="B1856" s="8"/>
      <c r="C1856" s="7" t="s">
        <v>535</v>
      </c>
      <c r="D1856" s="15" t="s">
        <v>108</v>
      </c>
      <c r="E1856" s="9">
        <v>3010997.78</v>
      </c>
      <c r="F1856" s="9">
        <v>3010997.78</v>
      </c>
      <c r="G1856" s="8"/>
      <c r="H1856" s="9">
        <f t="shared" si="156"/>
        <v>3010997.78</v>
      </c>
      <c r="I1856" s="8"/>
      <c r="J1856" s="9">
        <f t="shared" si="157"/>
        <v>3010997.78</v>
      </c>
      <c r="K1856" s="8"/>
      <c r="L1856" s="8"/>
      <c r="M1856" s="9">
        <f t="shared" si="164"/>
        <v>3010997.78</v>
      </c>
      <c r="N1856" s="8"/>
      <c r="O1856" s="9"/>
      <c r="P1856" s="9">
        <f t="shared" si="165"/>
        <v>0</v>
      </c>
      <c r="Q1856" s="9">
        <f t="shared" si="158"/>
        <v>3010997.78</v>
      </c>
      <c r="R1856" s="17"/>
      <c r="S1856" s="17"/>
      <c r="T1856" s="17"/>
      <c r="U1856" s="18">
        <f t="shared" si="159"/>
        <v>0</v>
      </c>
      <c r="V1856" s="17"/>
      <c r="W1856" s="17"/>
      <c r="X1856" s="9">
        <f t="shared" si="160"/>
        <v>3010997.78</v>
      </c>
      <c r="Y1856" s="8"/>
      <c r="Z1856" s="9">
        <f t="shared" si="161"/>
        <v>0</v>
      </c>
      <c r="AA1856" s="8">
        <f t="shared" si="162"/>
        <v>3010997.78</v>
      </c>
      <c r="AB1856" s="8">
        <f t="shared" si="163"/>
        <v>0</v>
      </c>
    </row>
    <row r="1857" spans="1:28" x14ac:dyDescent="0.35">
      <c r="A1857" s="36"/>
      <c r="B1857" s="8"/>
      <c r="C1857" s="7" t="s">
        <v>535</v>
      </c>
      <c r="D1857" s="15" t="s">
        <v>58</v>
      </c>
      <c r="E1857" s="9">
        <v>2500000</v>
      </c>
      <c r="F1857" s="9">
        <v>2500000</v>
      </c>
      <c r="G1857" s="8"/>
      <c r="H1857" s="9">
        <f t="shared" si="156"/>
        <v>2500000</v>
      </c>
      <c r="I1857" s="8"/>
      <c r="J1857" s="9">
        <f t="shared" si="157"/>
        <v>2500000</v>
      </c>
      <c r="K1857" s="8"/>
      <c r="L1857" s="8"/>
      <c r="M1857" s="9">
        <f t="shared" si="164"/>
        <v>2500000</v>
      </c>
      <c r="N1857" s="8"/>
      <c r="O1857" s="9"/>
      <c r="P1857" s="9">
        <f t="shared" si="165"/>
        <v>0</v>
      </c>
      <c r="Q1857" s="9">
        <f t="shared" si="158"/>
        <v>2500000</v>
      </c>
      <c r="R1857" s="17"/>
      <c r="S1857" s="17"/>
      <c r="T1857" s="17"/>
      <c r="U1857" s="18">
        <f t="shared" si="159"/>
        <v>0</v>
      </c>
      <c r="V1857" s="17"/>
      <c r="W1857" s="17"/>
      <c r="X1857" s="9">
        <f t="shared" si="160"/>
        <v>2500000</v>
      </c>
      <c r="Y1857" s="8"/>
      <c r="Z1857" s="9">
        <f t="shared" si="161"/>
        <v>0</v>
      </c>
      <c r="AA1857" s="8">
        <f t="shared" si="162"/>
        <v>2500000</v>
      </c>
      <c r="AB1857" s="8">
        <f t="shared" si="163"/>
        <v>0</v>
      </c>
    </row>
    <row r="1858" spans="1:28" x14ac:dyDescent="0.35">
      <c r="A1858" s="36"/>
      <c r="B1858" s="8"/>
      <c r="C1858" s="7" t="s">
        <v>535</v>
      </c>
      <c r="D1858" s="15" t="s">
        <v>61</v>
      </c>
      <c r="E1858" s="11">
        <v>493000</v>
      </c>
      <c r="F1858" s="11">
        <v>493000</v>
      </c>
      <c r="G1858" s="8"/>
      <c r="H1858" s="9">
        <f t="shared" si="156"/>
        <v>493000</v>
      </c>
      <c r="I1858" s="8"/>
      <c r="J1858" s="9">
        <f t="shared" si="157"/>
        <v>493000</v>
      </c>
      <c r="K1858" s="8"/>
      <c r="L1858" s="8"/>
      <c r="M1858" s="9">
        <f t="shared" si="164"/>
        <v>493000</v>
      </c>
      <c r="N1858" s="8"/>
      <c r="O1858" s="9"/>
      <c r="P1858" s="9">
        <f t="shared" si="165"/>
        <v>0</v>
      </c>
      <c r="Q1858" s="9">
        <f t="shared" si="158"/>
        <v>493000</v>
      </c>
      <c r="R1858" s="17"/>
      <c r="S1858" s="17"/>
      <c r="T1858" s="17"/>
      <c r="U1858" s="18">
        <f t="shared" si="159"/>
        <v>0</v>
      </c>
      <c r="V1858" s="17"/>
      <c r="W1858" s="17"/>
      <c r="X1858" s="9">
        <f t="shared" si="160"/>
        <v>493000</v>
      </c>
      <c r="Y1858" s="8"/>
      <c r="Z1858" s="9">
        <f t="shared" si="161"/>
        <v>0</v>
      </c>
      <c r="AA1858" s="8">
        <f t="shared" si="162"/>
        <v>493000</v>
      </c>
      <c r="AB1858" s="8">
        <f t="shared" si="163"/>
        <v>0</v>
      </c>
    </row>
    <row r="1859" spans="1:28" x14ac:dyDescent="0.35">
      <c r="A1859" s="36"/>
      <c r="B1859" s="8"/>
      <c r="C1859" s="7" t="s">
        <v>933</v>
      </c>
      <c r="D1859" s="16" t="s">
        <v>1072</v>
      </c>
      <c r="E1859" s="11">
        <v>635620</v>
      </c>
      <c r="F1859" s="11">
        <v>635620</v>
      </c>
      <c r="G1859" s="8"/>
      <c r="H1859" s="9">
        <f>+F1859+G1859</f>
        <v>635620</v>
      </c>
      <c r="I1859" s="8"/>
      <c r="J1859" s="9">
        <f t="shared" si="157"/>
        <v>635620</v>
      </c>
      <c r="K1859" s="8"/>
      <c r="L1859" s="8"/>
      <c r="M1859" s="9">
        <f t="shared" si="164"/>
        <v>635620</v>
      </c>
      <c r="N1859" s="8"/>
      <c r="O1859" s="9"/>
      <c r="P1859" s="9">
        <f>+N1859+O1859</f>
        <v>0</v>
      </c>
      <c r="Q1859" s="9">
        <f t="shared" si="158"/>
        <v>635620</v>
      </c>
      <c r="R1859" s="17"/>
      <c r="S1859" s="17"/>
      <c r="T1859" s="17"/>
      <c r="U1859" s="18">
        <f t="shared" si="159"/>
        <v>0</v>
      </c>
      <c r="V1859" s="17"/>
      <c r="W1859" s="17"/>
      <c r="X1859" s="9">
        <f t="shared" si="160"/>
        <v>635620</v>
      </c>
      <c r="Y1859" s="8"/>
      <c r="Z1859" s="9">
        <f t="shared" si="161"/>
        <v>0</v>
      </c>
      <c r="AA1859" s="8">
        <f t="shared" si="162"/>
        <v>635620</v>
      </c>
      <c r="AB1859" s="8">
        <f t="shared" si="163"/>
        <v>0</v>
      </c>
    </row>
    <row r="1860" spans="1:28" x14ac:dyDescent="0.35">
      <c r="A1860" s="36"/>
      <c r="B1860" s="8"/>
      <c r="C1860" s="7" t="s">
        <v>598</v>
      </c>
      <c r="D1860" s="8"/>
      <c r="E1860" s="9">
        <v>783246</v>
      </c>
      <c r="F1860" s="9">
        <v>783246</v>
      </c>
      <c r="G1860" s="8"/>
      <c r="H1860" s="9">
        <f t="shared" si="156"/>
        <v>783246</v>
      </c>
      <c r="I1860" s="8"/>
      <c r="J1860" s="9">
        <f t="shared" si="157"/>
        <v>783246</v>
      </c>
      <c r="K1860" s="8"/>
      <c r="L1860" s="8"/>
      <c r="M1860" s="9">
        <f t="shared" si="164"/>
        <v>783246</v>
      </c>
      <c r="N1860" s="8"/>
      <c r="O1860" s="9"/>
      <c r="P1860" s="9">
        <f t="shared" si="165"/>
        <v>0</v>
      </c>
      <c r="Q1860" s="9">
        <f t="shared" si="158"/>
        <v>783246</v>
      </c>
      <c r="R1860" s="17"/>
      <c r="S1860" s="17"/>
      <c r="T1860" s="17"/>
      <c r="U1860" s="18">
        <f t="shared" si="159"/>
        <v>0</v>
      </c>
      <c r="V1860" s="17"/>
      <c r="W1860" s="17"/>
      <c r="X1860" s="9">
        <f t="shared" si="160"/>
        <v>783246</v>
      </c>
      <c r="Y1860" s="8"/>
      <c r="Z1860" s="9">
        <f t="shared" si="161"/>
        <v>0</v>
      </c>
      <c r="AA1860" s="8">
        <f t="shared" si="162"/>
        <v>783246</v>
      </c>
      <c r="AB1860" s="8">
        <f t="shared" si="163"/>
        <v>0</v>
      </c>
    </row>
    <row r="1861" spans="1:28" x14ac:dyDescent="0.35">
      <c r="A1861" s="36"/>
      <c r="B1861" s="8"/>
      <c r="C1861" s="7" t="s">
        <v>606</v>
      </c>
      <c r="D1861" s="8"/>
      <c r="E1861" s="9">
        <f>2500000+1239247.62+175330.53</f>
        <v>3914578.15</v>
      </c>
      <c r="F1861" s="9">
        <f>2500000+1239247.62+175330.53</f>
        <v>3914578.15</v>
      </c>
      <c r="G1861" s="8"/>
      <c r="H1861" s="9">
        <f t="shared" si="156"/>
        <v>3914578.15</v>
      </c>
      <c r="I1861" s="8"/>
      <c r="J1861" s="9">
        <f t="shared" si="157"/>
        <v>3914578.15</v>
      </c>
      <c r="K1861" s="8"/>
      <c r="L1861" s="8"/>
      <c r="M1861" s="9">
        <f t="shared" si="164"/>
        <v>3914578.15</v>
      </c>
      <c r="N1861" s="8"/>
      <c r="O1861" s="9"/>
      <c r="P1861" s="9">
        <f t="shared" si="165"/>
        <v>0</v>
      </c>
      <c r="Q1861" s="9">
        <f t="shared" si="158"/>
        <v>3914578.15</v>
      </c>
      <c r="R1861" s="17"/>
      <c r="S1861" s="17"/>
      <c r="T1861" s="17"/>
      <c r="U1861" s="18">
        <f t="shared" si="159"/>
        <v>0</v>
      </c>
      <c r="V1861" s="17"/>
      <c r="W1861" s="17"/>
      <c r="X1861" s="9">
        <f t="shared" si="160"/>
        <v>3914578.15</v>
      </c>
      <c r="Y1861" s="8"/>
      <c r="Z1861" s="9">
        <f t="shared" si="161"/>
        <v>0</v>
      </c>
      <c r="AA1861" s="8">
        <f t="shared" si="162"/>
        <v>3914578.15</v>
      </c>
      <c r="AB1861" s="8">
        <f t="shared" si="163"/>
        <v>0</v>
      </c>
    </row>
    <row r="1862" spans="1:28" x14ac:dyDescent="0.35">
      <c r="A1862" s="36"/>
      <c r="B1862" s="8"/>
      <c r="C1862" s="8"/>
      <c r="D1862" s="8"/>
      <c r="E1862" s="17" t="s">
        <v>29</v>
      </c>
      <c r="F1862" s="17" t="s">
        <v>29</v>
      </c>
      <c r="G1862" s="17" t="s">
        <v>29</v>
      </c>
      <c r="H1862" s="17" t="s">
        <v>29</v>
      </c>
      <c r="I1862" s="17" t="s">
        <v>29</v>
      </c>
      <c r="J1862" s="17" t="s">
        <v>29</v>
      </c>
      <c r="K1862" s="17" t="s">
        <v>29</v>
      </c>
      <c r="L1862" s="17" t="s">
        <v>29</v>
      </c>
      <c r="M1862" s="17" t="s">
        <v>29</v>
      </c>
      <c r="N1862" s="17" t="s">
        <v>29</v>
      </c>
      <c r="O1862" s="17" t="s">
        <v>29</v>
      </c>
      <c r="P1862" s="17" t="s">
        <v>29</v>
      </c>
      <c r="Q1862" s="17" t="s">
        <v>29</v>
      </c>
      <c r="R1862" s="17"/>
      <c r="S1862" s="17"/>
      <c r="T1862" s="17"/>
      <c r="U1862" s="17"/>
      <c r="V1862" s="17"/>
      <c r="W1862" s="17"/>
      <c r="X1862" s="17"/>
      <c r="Y1862" s="17"/>
      <c r="Z1862" s="17"/>
      <c r="AA1862" s="17" t="s">
        <v>29</v>
      </c>
      <c r="AB1862" s="17" t="s">
        <v>29</v>
      </c>
    </row>
    <row r="1863" spans="1:28" x14ac:dyDescent="0.35">
      <c r="A1863" s="36"/>
      <c r="B1863" s="8"/>
      <c r="C1863" s="8"/>
      <c r="D1863" s="8"/>
      <c r="E1863" s="9">
        <f t="shared" ref="E1863:Q1863" si="166">SUM(E1850:E1862)</f>
        <v>17509020.199999999</v>
      </c>
      <c r="F1863" s="9">
        <f t="shared" si="166"/>
        <v>16177437.800000001</v>
      </c>
      <c r="G1863" s="9">
        <f t="shared" si="166"/>
        <v>0</v>
      </c>
      <c r="H1863" s="9">
        <f t="shared" si="166"/>
        <v>16177437.800000001</v>
      </c>
      <c r="I1863" s="9">
        <f t="shared" si="166"/>
        <v>0</v>
      </c>
      <c r="J1863" s="9">
        <f t="shared" si="166"/>
        <v>16177437.800000001</v>
      </c>
      <c r="K1863" s="9">
        <f t="shared" si="166"/>
        <v>1331582.3999999999</v>
      </c>
      <c r="L1863" s="9">
        <f t="shared" si="166"/>
        <v>0</v>
      </c>
      <c r="M1863" s="9">
        <f t="shared" si="166"/>
        <v>16177437.800000001</v>
      </c>
      <c r="N1863" s="9">
        <f t="shared" si="166"/>
        <v>1331582.3999999999</v>
      </c>
      <c r="O1863" s="9">
        <f t="shared" si="166"/>
        <v>0</v>
      </c>
      <c r="P1863" s="9">
        <f t="shared" si="166"/>
        <v>1331582.3999999999</v>
      </c>
      <c r="Q1863" s="9">
        <f t="shared" si="166"/>
        <v>16177437.800000001</v>
      </c>
      <c r="R1863" s="17"/>
      <c r="S1863" s="17"/>
      <c r="T1863" s="9">
        <f t="shared" ref="T1863:Z1863" si="167">SUM(T1850:T1862)</f>
        <v>0</v>
      </c>
      <c r="U1863" s="9">
        <f t="shared" si="167"/>
        <v>1331582.3999999999</v>
      </c>
      <c r="V1863" s="9">
        <f t="shared" si="167"/>
        <v>0</v>
      </c>
      <c r="W1863" s="9">
        <f t="shared" si="167"/>
        <v>0</v>
      </c>
      <c r="X1863" s="9">
        <f t="shared" si="167"/>
        <v>17509020.199999999</v>
      </c>
      <c r="Y1863" s="9">
        <f t="shared" si="167"/>
        <v>0</v>
      </c>
      <c r="Z1863" s="9">
        <f t="shared" si="167"/>
        <v>0</v>
      </c>
      <c r="AA1863" s="9">
        <f>SUM(AA1850:AA1862)</f>
        <v>17509020.199999999</v>
      </c>
      <c r="AB1863" s="9">
        <f>SUM(AB1850:AB1862)</f>
        <v>0</v>
      </c>
    </row>
    <row r="1864" spans="1:28" x14ac:dyDescent="0.35">
      <c r="A1864" s="36"/>
      <c r="B1864" s="8"/>
      <c r="C1864" s="8"/>
      <c r="D1864" s="8"/>
      <c r="E1864" s="17" t="s">
        <v>29</v>
      </c>
      <c r="F1864" s="17" t="s">
        <v>29</v>
      </c>
      <c r="G1864" s="17" t="s">
        <v>29</v>
      </c>
      <c r="H1864" s="17" t="s">
        <v>29</v>
      </c>
      <c r="I1864" s="17" t="s">
        <v>29</v>
      </c>
      <c r="J1864" s="17" t="s">
        <v>29</v>
      </c>
      <c r="K1864" s="17" t="s">
        <v>29</v>
      </c>
      <c r="L1864" s="17" t="s">
        <v>29</v>
      </c>
      <c r="M1864" s="17" t="s">
        <v>29</v>
      </c>
      <c r="N1864" s="17" t="s">
        <v>29</v>
      </c>
      <c r="O1864" s="17" t="s">
        <v>29</v>
      </c>
      <c r="P1864" s="17" t="s">
        <v>29</v>
      </c>
      <c r="Q1864" s="17" t="s">
        <v>29</v>
      </c>
      <c r="R1864" s="17"/>
      <c r="S1864" s="17"/>
      <c r="T1864" s="17"/>
      <c r="U1864" s="17"/>
      <c r="V1864" s="17"/>
      <c r="W1864" s="17"/>
      <c r="X1864" s="17"/>
      <c r="Y1864" s="17"/>
      <c r="Z1864" s="17"/>
      <c r="AA1864" s="17" t="s">
        <v>29</v>
      </c>
      <c r="AB1864" s="17" t="s">
        <v>29</v>
      </c>
    </row>
    <row r="1865" spans="1:28" x14ac:dyDescent="0.35">
      <c r="A1865" s="36"/>
      <c r="B1865" s="7" t="s">
        <v>798</v>
      </c>
      <c r="C1865" s="8"/>
      <c r="D1865" s="8"/>
      <c r="E1865" s="9">
        <f t="shared" ref="E1865:AB1865" si="168">E1667+E1676+E1693+E1710+E1728+E1749+E1769+E1800+E1820+E1847+E1863</f>
        <v>184912844.53166997</v>
      </c>
      <c r="F1865" s="9">
        <f t="shared" si="168"/>
        <v>161638514.85914001</v>
      </c>
      <c r="G1865" s="9">
        <f t="shared" si="168"/>
        <v>0</v>
      </c>
      <c r="H1865" s="9">
        <f t="shared" si="168"/>
        <v>161638514.85914001</v>
      </c>
      <c r="I1865" s="9">
        <f t="shared" si="168"/>
        <v>7713.02153</v>
      </c>
      <c r="J1865" s="9">
        <f t="shared" si="168"/>
        <v>161617220.72040001</v>
      </c>
      <c r="K1865" s="9">
        <f t="shared" si="168"/>
        <v>23266450.618469998</v>
      </c>
      <c r="L1865" s="9">
        <f t="shared" si="168"/>
        <v>7713.02153</v>
      </c>
      <c r="M1865" s="9">
        <f t="shared" si="168"/>
        <v>161646227.88067001</v>
      </c>
      <c r="N1865" s="9">
        <f t="shared" si="168"/>
        <v>23266450.618469998</v>
      </c>
      <c r="O1865" s="9">
        <f t="shared" si="168"/>
        <v>0</v>
      </c>
      <c r="P1865" s="9">
        <f t="shared" si="168"/>
        <v>23266450.618469998</v>
      </c>
      <c r="Q1865" s="9">
        <f t="shared" si="168"/>
        <v>156188638.94293001</v>
      </c>
      <c r="R1865" s="9">
        <f t="shared" si="168"/>
        <v>0</v>
      </c>
      <c r="S1865" s="9">
        <f t="shared" si="168"/>
        <v>0</v>
      </c>
      <c r="T1865" s="9">
        <f t="shared" si="168"/>
        <v>166.03253000000001</v>
      </c>
      <c r="U1865" s="9">
        <f t="shared" si="168"/>
        <v>23266616.651000001</v>
      </c>
      <c r="V1865" s="9">
        <f t="shared" si="168"/>
        <v>0</v>
      </c>
      <c r="W1865" s="9">
        <f t="shared" si="168"/>
        <v>0</v>
      </c>
      <c r="X1865" s="9">
        <f t="shared" si="168"/>
        <v>184904965.47760999</v>
      </c>
      <c r="Y1865" s="9">
        <f t="shared" si="168"/>
        <v>0</v>
      </c>
      <c r="Z1865" s="9">
        <f t="shared" si="168"/>
        <v>7879.0540600000004</v>
      </c>
      <c r="AA1865" s="9">
        <f t="shared" si="168"/>
        <v>184907134.21529001</v>
      </c>
      <c r="AB1865" s="9">
        <f t="shared" si="168"/>
        <v>0</v>
      </c>
    </row>
    <row r="1866" spans="1:28" x14ac:dyDescent="0.35">
      <c r="A1866" s="36"/>
      <c r="B1866" s="8"/>
      <c r="C1866" s="8"/>
      <c r="D1866" s="8"/>
      <c r="E1866" s="17" t="s">
        <v>114</v>
      </c>
      <c r="F1866" s="17" t="s">
        <v>114</v>
      </c>
      <c r="G1866" s="17" t="s">
        <v>114</v>
      </c>
      <c r="H1866" s="17" t="s">
        <v>114</v>
      </c>
      <c r="I1866" s="17" t="s">
        <v>114</v>
      </c>
      <c r="J1866" s="17" t="s">
        <v>114</v>
      </c>
      <c r="K1866" s="17" t="s">
        <v>114</v>
      </c>
      <c r="L1866" s="17" t="s">
        <v>114</v>
      </c>
      <c r="M1866" s="17" t="s">
        <v>114</v>
      </c>
      <c r="N1866" s="17" t="s">
        <v>114</v>
      </c>
      <c r="O1866" s="17" t="s">
        <v>114</v>
      </c>
      <c r="P1866" s="17" t="s">
        <v>114</v>
      </c>
      <c r="Q1866" s="17" t="s">
        <v>114</v>
      </c>
      <c r="R1866" s="17" t="s">
        <v>114</v>
      </c>
      <c r="S1866" s="17" t="s">
        <v>114</v>
      </c>
      <c r="T1866" s="17" t="s">
        <v>114</v>
      </c>
      <c r="U1866" s="17" t="s">
        <v>114</v>
      </c>
      <c r="V1866" s="17" t="s">
        <v>114</v>
      </c>
      <c r="W1866" s="17" t="s">
        <v>114</v>
      </c>
      <c r="X1866" s="17" t="s">
        <v>114</v>
      </c>
      <c r="Y1866" s="17" t="s">
        <v>114</v>
      </c>
      <c r="Z1866" s="17" t="s">
        <v>114</v>
      </c>
      <c r="AA1866" s="17" t="s">
        <v>114</v>
      </c>
      <c r="AB1866" s="17" t="s">
        <v>114</v>
      </c>
    </row>
    <row r="1867" spans="1:28" x14ac:dyDescent="0.35">
      <c r="A1867" s="36"/>
      <c r="B1867" s="8"/>
      <c r="C1867" s="8"/>
      <c r="D1867" s="8"/>
      <c r="E1867" s="17"/>
      <c r="F1867" s="17"/>
      <c r="G1867" s="17"/>
      <c r="H1867" s="17"/>
      <c r="I1867" s="17"/>
      <c r="J1867" s="17"/>
      <c r="K1867" s="17"/>
      <c r="L1867" s="17"/>
      <c r="M1867" s="17"/>
      <c r="N1867" s="17"/>
      <c r="O1867" s="17"/>
      <c r="P1867" s="17"/>
      <c r="Q1867" s="17"/>
      <c r="R1867" s="17"/>
      <c r="S1867" s="17"/>
      <c r="T1867" s="17"/>
      <c r="U1867" s="17"/>
      <c r="V1867" s="17"/>
      <c r="W1867" s="17"/>
      <c r="X1867" s="17"/>
      <c r="Y1867" s="17"/>
      <c r="Z1867" s="17"/>
    </row>
    <row r="1868" spans="1:28" x14ac:dyDescent="0.35">
      <c r="A1868" s="36"/>
      <c r="B1868" s="7" t="s">
        <v>353</v>
      </c>
      <c r="C1868" s="8"/>
      <c r="D1868" s="8"/>
      <c r="E1868" s="8"/>
      <c r="F1868" s="8"/>
      <c r="G1868" s="8"/>
      <c r="H1868" s="8"/>
      <c r="I1868" s="8"/>
      <c r="J1868" s="8"/>
      <c r="K1868" s="8"/>
      <c r="L1868" s="8"/>
      <c r="M1868" s="8"/>
      <c r="N1868" s="8"/>
      <c r="O1868" s="8"/>
      <c r="P1868" s="8"/>
      <c r="Q1868" s="8"/>
      <c r="R1868" s="8"/>
      <c r="S1868" s="8"/>
      <c r="T1868" s="8"/>
      <c r="U1868" s="8"/>
      <c r="V1868" s="8"/>
      <c r="W1868" s="8"/>
      <c r="X1868" s="8"/>
      <c r="Y1868" s="8"/>
      <c r="Z1868" s="8"/>
    </row>
    <row r="1869" spans="1:28" x14ac:dyDescent="0.35">
      <c r="A1869" s="36"/>
      <c r="B1869" s="8"/>
      <c r="C1869" s="8"/>
      <c r="D1869" s="8"/>
      <c r="E1869" s="8"/>
      <c r="F1869" s="8"/>
      <c r="G1869" s="8"/>
      <c r="H1869" s="8"/>
      <c r="I1869" s="8"/>
      <c r="J1869" s="8"/>
      <c r="K1869" s="8"/>
      <c r="L1869" s="8"/>
      <c r="M1869" s="8"/>
      <c r="N1869" s="8"/>
      <c r="O1869" s="8"/>
      <c r="P1869" s="8"/>
      <c r="Q1869" s="8"/>
      <c r="R1869" s="8"/>
      <c r="S1869" s="8"/>
      <c r="T1869" s="8"/>
      <c r="U1869" s="8"/>
      <c r="V1869" s="8"/>
      <c r="W1869" s="8"/>
      <c r="X1869" s="8"/>
      <c r="Y1869" s="8"/>
      <c r="Z1869" s="8"/>
    </row>
    <row r="1870" spans="1:28" x14ac:dyDescent="0.35">
      <c r="A1870" s="38" t="s">
        <v>1023</v>
      </c>
      <c r="B1870" s="7" t="s">
        <v>354</v>
      </c>
      <c r="C1870" s="8"/>
      <c r="D1870" s="8"/>
      <c r="E1870" s="8"/>
      <c r="F1870" s="8"/>
      <c r="G1870" s="8"/>
      <c r="H1870" s="8"/>
      <c r="I1870" s="8"/>
      <c r="J1870" s="8"/>
      <c r="K1870" s="8"/>
      <c r="L1870" s="8"/>
      <c r="M1870" s="8"/>
      <c r="N1870" s="8"/>
      <c r="O1870" s="8"/>
      <c r="P1870" s="8"/>
      <c r="Q1870" s="8"/>
      <c r="R1870" s="8"/>
      <c r="S1870" s="8"/>
      <c r="T1870" s="8"/>
      <c r="U1870" s="8"/>
      <c r="V1870" s="8"/>
      <c r="W1870" s="8"/>
      <c r="X1870" s="8"/>
      <c r="Y1870" s="8"/>
      <c r="Z1870" s="8"/>
    </row>
    <row r="1871" spans="1:28" x14ac:dyDescent="0.35">
      <c r="A1871" s="36"/>
      <c r="B1871" s="8"/>
      <c r="C1871" s="7" t="s">
        <v>355</v>
      </c>
      <c r="D1871" s="15" t="s">
        <v>306</v>
      </c>
      <c r="E1871" s="9">
        <v>2320000</v>
      </c>
      <c r="F1871" s="9">
        <v>2320000</v>
      </c>
      <c r="G1871" s="8"/>
      <c r="H1871" s="9">
        <f t="shared" ref="H1871:H1881" si="169">F1871+G1871</f>
        <v>2320000</v>
      </c>
      <c r="I1871" s="8"/>
      <c r="J1871" s="8"/>
      <c r="K1871" s="8"/>
      <c r="L1871" s="9"/>
      <c r="M1871" s="9">
        <f t="shared" ref="M1871:M1881" si="170">H1871+L1871</f>
        <v>2320000</v>
      </c>
      <c r="N1871" s="9">
        <v>0</v>
      </c>
      <c r="O1871" s="8"/>
      <c r="P1871" s="9">
        <f t="shared" ref="P1871:P1881" si="171">N1871+O1871</f>
        <v>0</v>
      </c>
      <c r="Q1871" s="8"/>
      <c r="R1871" s="8"/>
      <c r="S1871" s="8"/>
      <c r="T1871" s="9"/>
      <c r="U1871" s="9">
        <f t="shared" ref="U1871:U1881" si="172">P1871+T1871</f>
        <v>0</v>
      </c>
      <c r="V1871" s="9">
        <f t="shared" ref="V1871:V1881" si="173">P1871+H1871</f>
        <v>2320000</v>
      </c>
      <c r="W1871" s="9">
        <f t="shared" ref="W1871:W1881" si="174">E1871-V1871</f>
        <v>0</v>
      </c>
      <c r="X1871" s="9">
        <f t="shared" ref="X1871:X1881" si="175">+H1871+P1871</f>
        <v>2320000</v>
      </c>
      <c r="Y1871" s="8"/>
      <c r="Z1871" s="9">
        <f t="shared" ref="Z1871:Z1881" si="176">+E1871-X1871</f>
        <v>0</v>
      </c>
      <c r="AA1871" s="8">
        <f t="shared" ref="AA1871:AA1881" si="177">+M1871+U1871</f>
        <v>2320000</v>
      </c>
      <c r="AB1871" s="8">
        <f t="shared" ref="AB1871:AB1881" si="178">+E1871-AA1871</f>
        <v>0</v>
      </c>
    </row>
    <row r="1872" spans="1:28" x14ac:dyDescent="0.35">
      <c r="A1872" s="36"/>
      <c r="B1872" s="8"/>
      <c r="C1872" s="7" t="s">
        <v>57</v>
      </c>
      <c r="D1872" s="15" t="s">
        <v>68</v>
      </c>
      <c r="E1872" s="9">
        <v>1019152.64</v>
      </c>
      <c r="F1872" s="9">
        <v>887671.99</v>
      </c>
      <c r="G1872" s="8"/>
      <c r="H1872" s="9">
        <f t="shared" si="169"/>
        <v>887671.99</v>
      </c>
      <c r="I1872" s="8"/>
      <c r="J1872" s="8"/>
      <c r="K1872" s="8"/>
      <c r="L1872" s="9"/>
      <c r="M1872" s="9">
        <f t="shared" si="170"/>
        <v>887671.99</v>
      </c>
      <c r="N1872" s="9">
        <v>131480.65</v>
      </c>
      <c r="O1872" s="8"/>
      <c r="P1872" s="9">
        <f t="shared" si="171"/>
        <v>131480.65</v>
      </c>
      <c r="Q1872" s="8"/>
      <c r="R1872" s="8"/>
      <c r="S1872" s="8"/>
      <c r="T1872" s="9"/>
      <c r="U1872" s="9">
        <f t="shared" si="172"/>
        <v>131480.65</v>
      </c>
      <c r="V1872" s="9">
        <f t="shared" si="173"/>
        <v>1019152.64</v>
      </c>
      <c r="W1872" s="9">
        <f t="shared" si="174"/>
        <v>0</v>
      </c>
      <c r="X1872" s="9">
        <f t="shared" si="175"/>
        <v>1019152.64</v>
      </c>
      <c r="Y1872" s="8"/>
      <c r="Z1872" s="9">
        <f t="shared" si="176"/>
        <v>0</v>
      </c>
      <c r="AA1872" s="8">
        <f t="shared" si="177"/>
        <v>1019152.64</v>
      </c>
      <c r="AB1872" s="8">
        <f t="shared" si="178"/>
        <v>0</v>
      </c>
    </row>
    <row r="1873" spans="1:28" x14ac:dyDescent="0.35">
      <c r="A1873" s="36"/>
      <c r="B1873" s="8"/>
      <c r="C1873" s="7" t="s">
        <v>53</v>
      </c>
      <c r="D1873" s="15" t="s">
        <v>68</v>
      </c>
      <c r="E1873" s="9">
        <v>1953989</v>
      </c>
      <c r="F1873" s="9">
        <v>0</v>
      </c>
      <c r="G1873" s="8"/>
      <c r="H1873" s="9">
        <f t="shared" si="169"/>
        <v>0</v>
      </c>
      <c r="I1873" s="8"/>
      <c r="J1873" s="8"/>
      <c r="K1873" s="8"/>
      <c r="L1873" s="9"/>
      <c r="M1873" s="9">
        <f t="shared" si="170"/>
        <v>0</v>
      </c>
      <c r="N1873" s="9">
        <v>1953989</v>
      </c>
      <c r="O1873" s="8"/>
      <c r="P1873" s="9">
        <f t="shared" si="171"/>
        <v>1953989</v>
      </c>
      <c r="Q1873" s="8"/>
      <c r="R1873" s="8"/>
      <c r="S1873" s="8"/>
      <c r="T1873" s="9"/>
      <c r="U1873" s="9">
        <f t="shared" si="172"/>
        <v>1953989</v>
      </c>
      <c r="V1873" s="9">
        <f t="shared" si="173"/>
        <v>1953989</v>
      </c>
      <c r="W1873" s="9">
        <f t="shared" si="174"/>
        <v>0</v>
      </c>
      <c r="X1873" s="9">
        <f t="shared" si="175"/>
        <v>1953989</v>
      </c>
      <c r="Y1873" s="8"/>
      <c r="Z1873" s="9">
        <f t="shared" si="176"/>
        <v>0</v>
      </c>
      <c r="AA1873" s="8">
        <f t="shared" si="177"/>
        <v>1953989</v>
      </c>
      <c r="AB1873" s="8">
        <f t="shared" si="178"/>
        <v>0</v>
      </c>
    </row>
    <row r="1874" spans="1:28" x14ac:dyDescent="0.35">
      <c r="A1874" s="36"/>
      <c r="B1874" s="8"/>
      <c r="C1874" s="7" t="s">
        <v>192</v>
      </c>
      <c r="D1874" s="15" t="s">
        <v>54</v>
      </c>
      <c r="E1874" s="9">
        <v>955345.62</v>
      </c>
      <c r="F1874" s="9">
        <v>0</v>
      </c>
      <c r="G1874" s="8"/>
      <c r="H1874" s="9">
        <f t="shared" si="169"/>
        <v>0</v>
      </c>
      <c r="I1874" s="8"/>
      <c r="J1874" s="8"/>
      <c r="K1874" s="8"/>
      <c r="L1874" s="9"/>
      <c r="M1874" s="9">
        <f t="shared" si="170"/>
        <v>0</v>
      </c>
      <c r="N1874" s="9">
        <v>955345.62</v>
      </c>
      <c r="O1874" s="8"/>
      <c r="P1874" s="9">
        <f t="shared" si="171"/>
        <v>955345.62</v>
      </c>
      <c r="Q1874" s="8"/>
      <c r="R1874" s="8"/>
      <c r="S1874" s="8"/>
      <c r="T1874" s="9"/>
      <c r="U1874" s="9">
        <f t="shared" si="172"/>
        <v>955345.62</v>
      </c>
      <c r="V1874" s="9">
        <f t="shared" si="173"/>
        <v>955345.62</v>
      </c>
      <c r="W1874" s="9">
        <f t="shared" si="174"/>
        <v>0</v>
      </c>
      <c r="X1874" s="9">
        <f t="shared" si="175"/>
        <v>955345.62</v>
      </c>
      <c r="Y1874" s="8"/>
      <c r="Z1874" s="9">
        <f t="shared" si="176"/>
        <v>0</v>
      </c>
      <c r="AA1874" s="8">
        <f t="shared" si="177"/>
        <v>955345.62</v>
      </c>
      <c r="AB1874" s="8">
        <f t="shared" si="178"/>
        <v>0</v>
      </c>
    </row>
    <row r="1875" spans="1:28" x14ac:dyDescent="0.35">
      <c r="A1875" s="36"/>
      <c r="B1875" s="8"/>
      <c r="C1875" s="7" t="s">
        <v>57</v>
      </c>
      <c r="D1875" s="15" t="s">
        <v>85</v>
      </c>
      <c r="E1875" s="9">
        <v>1170000</v>
      </c>
      <c r="F1875" s="9">
        <v>1170000</v>
      </c>
      <c r="G1875" s="8"/>
      <c r="H1875" s="9">
        <f t="shared" si="169"/>
        <v>1170000</v>
      </c>
      <c r="I1875" s="8"/>
      <c r="J1875" s="8"/>
      <c r="K1875" s="8"/>
      <c r="L1875" s="9"/>
      <c r="M1875" s="9">
        <f t="shared" si="170"/>
        <v>1170000</v>
      </c>
      <c r="N1875" s="9">
        <v>0</v>
      </c>
      <c r="O1875" s="8"/>
      <c r="P1875" s="9">
        <f t="shared" si="171"/>
        <v>0</v>
      </c>
      <c r="Q1875" s="8"/>
      <c r="R1875" s="8"/>
      <c r="S1875" s="8"/>
      <c r="T1875" s="9"/>
      <c r="U1875" s="9">
        <f t="shared" si="172"/>
        <v>0</v>
      </c>
      <c r="V1875" s="9">
        <f t="shared" si="173"/>
        <v>1170000</v>
      </c>
      <c r="W1875" s="9">
        <f t="shared" si="174"/>
        <v>0</v>
      </c>
      <c r="X1875" s="9">
        <f t="shared" si="175"/>
        <v>1170000</v>
      </c>
      <c r="Y1875" s="8"/>
      <c r="Z1875" s="9">
        <f t="shared" si="176"/>
        <v>0</v>
      </c>
      <c r="AA1875" s="8">
        <f t="shared" si="177"/>
        <v>1170000</v>
      </c>
      <c r="AB1875" s="8">
        <f t="shared" si="178"/>
        <v>0</v>
      </c>
    </row>
    <row r="1876" spans="1:28" x14ac:dyDescent="0.35">
      <c r="A1876" s="36"/>
      <c r="B1876" s="8"/>
      <c r="C1876" s="7" t="s">
        <v>57</v>
      </c>
      <c r="D1876" s="15" t="s">
        <v>88</v>
      </c>
      <c r="E1876" s="9">
        <v>533065</v>
      </c>
      <c r="F1876" s="9">
        <v>533065</v>
      </c>
      <c r="G1876" s="14" t="s">
        <v>356</v>
      </c>
      <c r="H1876" s="9" t="e">
        <f t="shared" si="169"/>
        <v>#VALUE!</v>
      </c>
      <c r="I1876" s="8"/>
      <c r="J1876" s="8"/>
      <c r="K1876" s="8"/>
      <c r="L1876" s="9"/>
      <c r="M1876" s="9" t="e">
        <f t="shared" si="170"/>
        <v>#VALUE!</v>
      </c>
      <c r="N1876" s="9">
        <v>0</v>
      </c>
      <c r="O1876" s="8"/>
      <c r="P1876" s="9">
        <f t="shared" si="171"/>
        <v>0</v>
      </c>
      <c r="Q1876" s="8"/>
      <c r="R1876" s="8"/>
      <c r="S1876" s="8"/>
      <c r="T1876" s="9"/>
      <c r="U1876" s="9">
        <f t="shared" si="172"/>
        <v>0</v>
      </c>
      <c r="V1876" s="9" t="e">
        <f t="shared" si="173"/>
        <v>#VALUE!</v>
      </c>
      <c r="W1876" s="9" t="e">
        <f t="shared" si="174"/>
        <v>#VALUE!</v>
      </c>
      <c r="X1876" s="9" t="e">
        <f t="shared" si="175"/>
        <v>#VALUE!</v>
      </c>
      <c r="Y1876" s="8"/>
      <c r="Z1876" s="9" t="e">
        <f t="shared" si="176"/>
        <v>#VALUE!</v>
      </c>
      <c r="AA1876" s="8" t="e">
        <f t="shared" si="177"/>
        <v>#VALUE!</v>
      </c>
      <c r="AB1876" s="8" t="e">
        <f t="shared" si="178"/>
        <v>#VALUE!</v>
      </c>
    </row>
    <row r="1877" spans="1:28" x14ac:dyDescent="0.35">
      <c r="A1877" s="36"/>
      <c r="B1877" s="8"/>
      <c r="C1877" s="7" t="s">
        <v>57</v>
      </c>
      <c r="D1877" s="15" t="s">
        <v>60</v>
      </c>
      <c r="E1877" s="9">
        <v>1902000</v>
      </c>
      <c r="F1877" s="11">
        <v>1902000</v>
      </c>
      <c r="G1877" s="8"/>
      <c r="H1877" s="9">
        <f t="shared" si="169"/>
        <v>1902000</v>
      </c>
      <c r="I1877" s="8"/>
      <c r="J1877" s="8"/>
      <c r="K1877" s="8"/>
      <c r="L1877" s="9"/>
      <c r="M1877" s="9">
        <f t="shared" si="170"/>
        <v>1902000</v>
      </c>
      <c r="N1877" s="9">
        <v>0</v>
      </c>
      <c r="O1877" s="8"/>
      <c r="P1877" s="9">
        <f t="shared" si="171"/>
        <v>0</v>
      </c>
      <c r="Q1877" s="8"/>
      <c r="R1877" s="8"/>
      <c r="S1877" s="8"/>
      <c r="T1877" s="9"/>
      <c r="U1877" s="9">
        <f t="shared" si="172"/>
        <v>0</v>
      </c>
      <c r="V1877" s="9">
        <f t="shared" si="173"/>
        <v>1902000</v>
      </c>
      <c r="W1877" s="9">
        <f t="shared" si="174"/>
        <v>0</v>
      </c>
      <c r="X1877" s="9">
        <f t="shared" si="175"/>
        <v>1902000</v>
      </c>
      <c r="Y1877" s="8"/>
      <c r="Z1877" s="9">
        <f t="shared" si="176"/>
        <v>0</v>
      </c>
      <c r="AA1877" s="8">
        <f t="shared" si="177"/>
        <v>1902000</v>
      </c>
      <c r="AB1877" s="8">
        <f t="shared" si="178"/>
        <v>0</v>
      </c>
    </row>
    <row r="1878" spans="1:28" x14ac:dyDescent="0.35">
      <c r="A1878" s="36"/>
      <c r="B1878" s="8"/>
      <c r="C1878" s="14" t="s">
        <v>109</v>
      </c>
      <c r="D1878" s="21" t="s">
        <v>60</v>
      </c>
      <c r="E1878" s="9">
        <v>4600000</v>
      </c>
      <c r="F1878" s="11">
        <v>4600000</v>
      </c>
      <c r="G1878" s="8"/>
      <c r="H1878" s="9">
        <f t="shared" si="169"/>
        <v>4600000</v>
      </c>
      <c r="I1878" s="8"/>
      <c r="J1878" s="8"/>
      <c r="K1878" s="8"/>
      <c r="L1878" s="9"/>
      <c r="M1878" s="9">
        <f t="shared" si="170"/>
        <v>4600000</v>
      </c>
      <c r="N1878" s="9">
        <v>0</v>
      </c>
      <c r="O1878" s="8"/>
      <c r="P1878" s="9">
        <f t="shared" si="171"/>
        <v>0</v>
      </c>
      <c r="Q1878" s="8"/>
      <c r="R1878" s="8"/>
      <c r="S1878" s="8"/>
      <c r="T1878" s="9"/>
      <c r="U1878" s="9">
        <f t="shared" si="172"/>
        <v>0</v>
      </c>
      <c r="V1878" s="9">
        <f t="shared" si="173"/>
        <v>4600000</v>
      </c>
      <c r="W1878" s="9">
        <f t="shared" si="174"/>
        <v>0</v>
      </c>
      <c r="X1878" s="9">
        <f t="shared" si="175"/>
        <v>4600000</v>
      </c>
      <c r="Y1878" s="8"/>
      <c r="Z1878" s="9">
        <f t="shared" si="176"/>
        <v>0</v>
      </c>
      <c r="AA1878" s="8">
        <f t="shared" si="177"/>
        <v>4600000</v>
      </c>
      <c r="AB1878" s="8">
        <f t="shared" si="178"/>
        <v>0</v>
      </c>
    </row>
    <row r="1879" spans="1:28" x14ac:dyDescent="0.35">
      <c r="A1879" s="36"/>
      <c r="B1879" s="8"/>
      <c r="C1879" s="7" t="s">
        <v>57</v>
      </c>
      <c r="D1879" s="15" t="s">
        <v>73</v>
      </c>
      <c r="E1879" s="9">
        <v>3632555.97</v>
      </c>
      <c r="F1879" s="11">
        <v>3632555.97</v>
      </c>
      <c r="G1879" s="8"/>
      <c r="H1879" s="9">
        <f t="shared" si="169"/>
        <v>3632555.97</v>
      </c>
      <c r="I1879" s="8"/>
      <c r="J1879" s="8"/>
      <c r="K1879" s="8"/>
      <c r="L1879" s="9"/>
      <c r="M1879" s="9">
        <f t="shared" si="170"/>
        <v>3632555.97</v>
      </c>
      <c r="N1879" s="9">
        <v>0</v>
      </c>
      <c r="O1879" s="8"/>
      <c r="P1879" s="9">
        <f t="shared" si="171"/>
        <v>0</v>
      </c>
      <c r="Q1879" s="8"/>
      <c r="R1879" s="8"/>
      <c r="S1879" s="8"/>
      <c r="T1879" s="9"/>
      <c r="U1879" s="9">
        <f t="shared" si="172"/>
        <v>0</v>
      </c>
      <c r="V1879" s="9">
        <f t="shared" si="173"/>
        <v>3632555.97</v>
      </c>
      <c r="W1879" s="9">
        <f t="shared" si="174"/>
        <v>0</v>
      </c>
      <c r="X1879" s="9">
        <f t="shared" si="175"/>
        <v>3632555.97</v>
      </c>
      <c r="Y1879" s="8"/>
      <c r="Z1879" s="9">
        <f t="shared" si="176"/>
        <v>0</v>
      </c>
      <c r="AA1879" s="8">
        <f t="shared" si="177"/>
        <v>3632555.97</v>
      </c>
      <c r="AB1879" s="8">
        <f t="shared" si="178"/>
        <v>0</v>
      </c>
    </row>
    <row r="1880" spans="1:28" x14ac:dyDescent="0.35">
      <c r="A1880" s="36"/>
      <c r="B1880" s="8"/>
      <c r="C1880" s="7" t="s">
        <v>930</v>
      </c>
      <c r="D1880" s="15"/>
      <c r="E1880" s="9">
        <v>300000</v>
      </c>
      <c r="F1880" s="11">
        <v>300000</v>
      </c>
      <c r="G1880" s="8"/>
      <c r="H1880" s="9">
        <f>+F1880+G1880</f>
        <v>300000</v>
      </c>
      <c r="I1880" s="8"/>
      <c r="J1880" s="8"/>
      <c r="K1880" s="8"/>
      <c r="L1880" s="9"/>
      <c r="M1880" s="9">
        <f t="shared" si="170"/>
        <v>300000</v>
      </c>
      <c r="N1880" s="9">
        <v>0</v>
      </c>
      <c r="O1880" s="8"/>
      <c r="P1880" s="9">
        <f t="shared" si="171"/>
        <v>0</v>
      </c>
      <c r="Q1880" s="8"/>
      <c r="R1880" s="8"/>
      <c r="S1880" s="8"/>
      <c r="T1880" s="9"/>
      <c r="U1880" s="9">
        <f t="shared" si="172"/>
        <v>0</v>
      </c>
      <c r="V1880" s="9">
        <f t="shared" si="173"/>
        <v>300000</v>
      </c>
      <c r="W1880" s="9">
        <f t="shared" si="174"/>
        <v>0</v>
      </c>
      <c r="X1880" s="9">
        <f t="shared" si="175"/>
        <v>300000</v>
      </c>
      <c r="Y1880" s="8"/>
      <c r="Z1880" s="9">
        <f t="shared" si="176"/>
        <v>0</v>
      </c>
      <c r="AA1880" s="8">
        <f t="shared" si="177"/>
        <v>300000</v>
      </c>
      <c r="AB1880" s="8">
        <f t="shared" si="178"/>
        <v>0</v>
      </c>
    </row>
    <row r="1881" spans="1:28" x14ac:dyDescent="0.35">
      <c r="A1881" s="36"/>
      <c r="B1881" s="8"/>
      <c r="C1881" s="7" t="s">
        <v>57</v>
      </c>
      <c r="D1881" s="16" t="s">
        <v>61</v>
      </c>
      <c r="E1881" s="9">
        <f>803110.4+1043687</f>
        <v>1846797.4</v>
      </c>
      <c r="F1881" s="8">
        <f>803110.4+1043687</f>
        <v>1846797.4</v>
      </c>
      <c r="G1881" s="8"/>
      <c r="H1881" s="9">
        <f t="shared" si="169"/>
        <v>1846797.4</v>
      </c>
      <c r="I1881" s="8"/>
      <c r="J1881" s="8"/>
      <c r="K1881" s="8"/>
      <c r="L1881" s="9"/>
      <c r="M1881" s="9">
        <f t="shared" si="170"/>
        <v>1846797.4</v>
      </c>
      <c r="N1881" s="9">
        <v>0</v>
      </c>
      <c r="O1881" s="8"/>
      <c r="P1881" s="9">
        <f t="shared" si="171"/>
        <v>0</v>
      </c>
      <c r="Q1881" s="8"/>
      <c r="R1881" s="8"/>
      <c r="S1881" s="8"/>
      <c r="T1881" s="9"/>
      <c r="U1881" s="9">
        <f t="shared" si="172"/>
        <v>0</v>
      </c>
      <c r="V1881" s="9">
        <f t="shared" si="173"/>
        <v>1846797.4</v>
      </c>
      <c r="W1881" s="9">
        <f t="shared" si="174"/>
        <v>0</v>
      </c>
      <c r="X1881" s="9">
        <f t="shared" si="175"/>
        <v>1846797.4</v>
      </c>
      <c r="Y1881" s="8"/>
      <c r="Z1881" s="9">
        <f t="shared" si="176"/>
        <v>0</v>
      </c>
      <c r="AA1881" s="8">
        <f t="shared" si="177"/>
        <v>1846797.4</v>
      </c>
      <c r="AB1881" s="8">
        <f t="shared" si="178"/>
        <v>0</v>
      </c>
    </row>
    <row r="1882" spans="1:28" x14ac:dyDescent="0.35">
      <c r="A1882" s="36"/>
      <c r="B1882" s="8"/>
      <c r="C1882" s="8"/>
      <c r="D1882" s="8"/>
      <c r="E1882" s="17" t="s">
        <v>29</v>
      </c>
      <c r="F1882" s="17" t="s">
        <v>29</v>
      </c>
      <c r="G1882" s="17" t="s">
        <v>29</v>
      </c>
      <c r="H1882" s="17" t="s">
        <v>29</v>
      </c>
      <c r="I1882" s="17" t="s">
        <v>29</v>
      </c>
      <c r="J1882" s="17" t="s">
        <v>29</v>
      </c>
      <c r="K1882" s="17" t="s">
        <v>29</v>
      </c>
      <c r="L1882" s="17" t="s">
        <v>29</v>
      </c>
      <c r="M1882" s="17" t="s">
        <v>29</v>
      </c>
      <c r="N1882" s="17" t="s">
        <v>29</v>
      </c>
      <c r="O1882" s="17" t="s">
        <v>29</v>
      </c>
      <c r="P1882" s="17" t="s">
        <v>29</v>
      </c>
      <c r="Q1882" s="17" t="s">
        <v>29</v>
      </c>
      <c r="R1882" s="17" t="s">
        <v>29</v>
      </c>
      <c r="S1882" s="17" t="s">
        <v>29</v>
      </c>
      <c r="T1882" s="17" t="s">
        <v>29</v>
      </c>
      <c r="U1882" s="17" t="s">
        <v>29</v>
      </c>
      <c r="V1882" s="17" t="s">
        <v>29</v>
      </c>
      <c r="W1882" s="17" t="s">
        <v>29</v>
      </c>
      <c r="X1882" s="17" t="s">
        <v>29</v>
      </c>
      <c r="Y1882" s="17" t="s">
        <v>29</v>
      </c>
      <c r="Z1882" s="17" t="s">
        <v>29</v>
      </c>
      <c r="AA1882" s="17" t="s">
        <v>29</v>
      </c>
      <c r="AB1882" s="17" t="s">
        <v>29</v>
      </c>
    </row>
    <row r="1883" spans="1:28" x14ac:dyDescent="0.35">
      <c r="A1883" s="36"/>
      <c r="B1883" s="8"/>
      <c r="C1883" s="8"/>
      <c r="D1883" s="8"/>
      <c r="E1883" s="9">
        <f t="shared" ref="E1883:AB1883" si="179">SUM(E1871:E1881)</f>
        <v>20232905.629999999</v>
      </c>
      <c r="F1883" s="9">
        <f t="shared" si="179"/>
        <v>17192090.359999999</v>
      </c>
      <c r="G1883" s="9">
        <f t="shared" si="179"/>
        <v>0</v>
      </c>
      <c r="H1883" s="9" t="e">
        <f t="shared" si="179"/>
        <v>#VALUE!</v>
      </c>
      <c r="I1883" s="9">
        <f t="shared" si="179"/>
        <v>0</v>
      </c>
      <c r="J1883" s="9">
        <f t="shared" si="179"/>
        <v>0</v>
      </c>
      <c r="K1883" s="9">
        <f t="shared" si="179"/>
        <v>0</v>
      </c>
      <c r="L1883" s="9">
        <f t="shared" si="179"/>
        <v>0</v>
      </c>
      <c r="M1883" s="9" t="e">
        <f t="shared" si="179"/>
        <v>#VALUE!</v>
      </c>
      <c r="N1883" s="9">
        <f t="shared" si="179"/>
        <v>3040815.27</v>
      </c>
      <c r="O1883" s="9">
        <f t="shared" si="179"/>
        <v>0</v>
      </c>
      <c r="P1883" s="9">
        <f t="shared" si="179"/>
        <v>3040815.27</v>
      </c>
      <c r="Q1883" s="9">
        <f t="shared" si="179"/>
        <v>0</v>
      </c>
      <c r="R1883" s="9">
        <f t="shared" si="179"/>
        <v>0</v>
      </c>
      <c r="S1883" s="9">
        <f t="shared" si="179"/>
        <v>0</v>
      </c>
      <c r="T1883" s="9">
        <f t="shared" si="179"/>
        <v>0</v>
      </c>
      <c r="U1883" s="9">
        <f t="shared" si="179"/>
        <v>3040815.27</v>
      </c>
      <c r="V1883" s="9" t="e">
        <f t="shared" si="179"/>
        <v>#VALUE!</v>
      </c>
      <c r="W1883" s="9" t="e">
        <f t="shared" si="179"/>
        <v>#VALUE!</v>
      </c>
      <c r="X1883" s="9" t="e">
        <f t="shared" si="179"/>
        <v>#VALUE!</v>
      </c>
      <c r="Y1883" s="9">
        <f t="shared" si="179"/>
        <v>0</v>
      </c>
      <c r="Z1883" s="9" t="e">
        <f t="shared" si="179"/>
        <v>#VALUE!</v>
      </c>
      <c r="AA1883" s="9" t="e">
        <f t="shared" si="179"/>
        <v>#VALUE!</v>
      </c>
      <c r="AB1883" s="9" t="e">
        <f t="shared" si="179"/>
        <v>#VALUE!</v>
      </c>
    </row>
    <row r="1884" spans="1:28" x14ac:dyDescent="0.35">
      <c r="A1884" s="36"/>
      <c r="B1884" s="8"/>
      <c r="C1884" s="8"/>
      <c r="D1884" s="8"/>
      <c r="E1884" s="17" t="s">
        <v>29</v>
      </c>
      <c r="F1884" s="17" t="s">
        <v>29</v>
      </c>
      <c r="G1884" s="17" t="s">
        <v>29</v>
      </c>
      <c r="H1884" s="17" t="s">
        <v>29</v>
      </c>
      <c r="I1884" s="17" t="s">
        <v>29</v>
      </c>
      <c r="J1884" s="17" t="s">
        <v>29</v>
      </c>
      <c r="K1884" s="17" t="s">
        <v>29</v>
      </c>
      <c r="L1884" s="17" t="s">
        <v>29</v>
      </c>
      <c r="M1884" s="17" t="s">
        <v>29</v>
      </c>
      <c r="N1884" s="17" t="s">
        <v>29</v>
      </c>
      <c r="O1884" s="17" t="s">
        <v>29</v>
      </c>
      <c r="P1884" s="17" t="s">
        <v>29</v>
      </c>
      <c r="Q1884" s="17" t="s">
        <v>29</v>
      </c>
      <c r="R1884" s="17" t="s">
        <v>29</v>
      </c>
      <c r="S1884" s="17" t="s">
        <v>29</v>
      </c>
      <c r="T1884" s="17" t="s">
        <v>29</v>
      </c>
      <c r="U1884" s="17" t="s">
        <v>29</v>
      </c>
      <c r="V1884" s="17" t="s">
        <v>29</v>
      </c>
      <c r="W1884" s="17" t="s">
        <v>29</v>
      </c>
      <c r="X1884" s="17" t="s">
        <v>29</v>
      </c>
      <c r="Y1884" s="17" t="s">
        <v>29</v>
      </c>
      <c r="Z1884" s="17" t="s">
        <v>29</v>
      </c>
      <c r="AA1884" s="17" t="s">
        <v>29</v>
      </c>
      <c r="AB1884" s="17" t="s">
        <v>29</v>
      </c>
    </row>
    <row r="1885" spans="1:28" x14ac:dyDescent="0.35">
      <c r="A1885" s="38" t="s">
        <v>1024</v>
      </c>
      <c r="B1885" s="7" t="s">
        <v>357</v>
      </c>
      <c r="C1885" s="8"/>
      <c r="D1885" s="8"/>
      <c r="E1885" s="8"/>
      <c r="F1885" s="8"/>
      <c r="G1885" s="8"/>
      <c r="H1885" s="8"/>
      <c r="I1885" s="8"/>
      <c r="J1885" s="8"/>
      <c r="K1885" s="8"/>
      <c r="L1885" s="8"/>
      <c r="M1885" s="8"/>
      <c r="N1885" s="8"/>
      <c r="O1885" s="8"/>
      <c r="P1885" s="8"/>
      <c r="Q1885" s="8"/>
      <c r="R1885" s="8"/>
      <c r="S1885" s="8"/>
      <c r="T1885" s="8"/>
      <c r="U1885" s="8"/>
      <c r="V1885" s="8"/>
      <c r="W1885" s="8"/>
      <c r="X1885" s="8"/>
      <c r="Y1885" s="8"/>
      <c r="Z1885" s="8"/>
    </row>
    <row r="1886" spans="1:28" x14ac:dyDescent="0.35">
      <c r="A1886" s="36"/>
      <c r="B1886" s="8"/>
      <c r="C1886" s="7" t="s">
        <v>261</v>
      </c>
      <c r="D1886" s="8"/>
      <c r="E1886" s="9">
        <f>1706000-350539.94</f>
        <v>1355460.06</v>
      </c>
      <c r="F1886" s="9">
        <v>1355460.06</v>
      </c>
      <c r="G1886" s="8"/>
      <c r="H1886" s="9">
        <f t="shared" ref="H1886:H1902" si="180">F1886+G1886</f>
        <v>1355460.06</v>
      </c>
      <c r="I1886" s="8"/>
      <c r="J1886" s="8"/>
      <c r="K1886" s="8"/>
      <c r="L1886" s="9"/>
      <c r="M1886" s="9">
        <f t="shared" ref="M1886:M1902" si="181">H1886+L1886</f>
        <v>1355460.06</v>
      </c>
      <c r="N1886" s="9">
        <v>0</v>
      </c>
      <c r="O1886" s="8"/>
      <c r="P1886" s="9">
        <f t="shared" ref="P1886:P1902" si="182">N1886+O1886</f>
        <v>0</v>
      </c>
      <c r="Q1886" s="9"/>
      <c r="R1886" s="8"/>
      <c r="S1886" s="9"/>
      <c r="T1886" s="9"/>
      <c r="U1886" s="9">
        <f t="shared" ref="U1886:U1902" si="183">P1886+T1886</f>
        <v>0</v>
      </c>
      <c r="V1886" s="9">
        <f t="shared" ref="V1886:V1902" si="184">P1886+H1886</f>
        <v>1355460.06</v>
      </c>
      <c r="W1886" s="9">
        <f t="shared" ref="W1886:W1902" si="185">E1886-V1886</f>
        <v>0</v>
      </c>
      <c r="X1886" s="9">
        <f t="shared" ref="X1886:X1902" si="186">+H1886+P1886</f>
        <v>1355460.06</v>
      </c>
      <c r="Y1886" s="8"/>
      <c r="Z1886" s="9">
        <f t="shared" ref="Z1886:Z1902" si="187">+E1886-X1886</f>
        <v>0</v>
      </c>
      <c r="AA1886" s="8">
        <f t="shared" ref="AA1886:AA1902" si="188">+M1886+U1886</f>
        <v>1355460.06</v>
      </c>
      <c r="AB1886" s="8">
        <f t="shared" ref="AB1886:AB1902" si="189">+E1886-AA1886</f>
        <v>0</v>
      </c>
    </row>
    <row r="1887" spans="1:28" x14ac:dyDescent="0.35">
      <c r="A1887" s="36"/>
      <c r="B1887" s="8"/>
      <c r="C1887" s="7" t="s">
        <v>345</v>
      </c>
      <c r="D1887" s="15" t="s">
        <v>247</v>
      </c>
      <c r="E1887" s="9">
        <v>13934098.27</v>
      </c>
      <c r="F1887" s="9">
        <v>13298215.859999999</v>
      </c>
      <c r="G1887" s="8"/>
      <c r="H1887" s="9">
        <f t="shared" si="180"/>
        <v>13298215.859999999</v>
      </c>
      <c r="I1887" s="8"/>
      <c r="J1887" s="8"/>
      <c r="K1887" s="8"/>
      <c r="L1887" s="9"/>
      <c r="M1887" s="9">
        <f t="shared" si="181"/>
        <v>13298215.859999999</v>
      </c>
      <c r="N1887" s="9">
        <v>635882.41</v>
      </c>
      <c r="O1887" s="8"/>
      <c r="P1887" s="9">
        <f t="shared" si="182"/>
        <v>635882.41</v>
      </c>
      <c r="Q1887" s="8"/>
      <c r="R1887" s="8"/>
      <c r="S1887" s="8"/>
      <c r="T1887" s="9"/>
      <c r="U1887" s="9">
        <f t="shared" si="183"/>
        <v>635882.41</v>
      </c>
      <c r="V1887" s="9">
        <f t="shared" si="184"/>
        <v>13934098.27</v>
      </c>
      <c r="W1887" s="9">
        <f t="shared" si="185"/>
        <v>0</v>
      </c>
      <c r="X1887" s="9">
        <f t="shared" si="186"/>
        <v>13934098.27</v>
      </c>
      <c r="Y1887" s="8"/>
      <c r="Z1887" s="9">
        <f t="shared" si="187"/>
        <v>0</v>
      </c>
      <c r="AA1887" s="8">
        <f t="shared" si="188"/>
        <v>13934098.27</v>
      </c>
      <c r="AB1887" s="8">
        <f t="shared" si="189"/>
        <v>0</v>
      </c>
    </row>
    <row r="1888" spans="1:28" x14ac:dyDescent="0.35">
      <c r="A1888" s="36"/>
      <c r="B1888" s="8"/>
      <c r="C1888" s="7" t="s">
        <v>53</v>
      </c>
      <c r="D1888" s="15" t="s">
        <v>68</v>
      </c>
      <c r="E1888" s="9">
        <v>1953989</v>
      </c>
      <c r="F1888" s="9">
        <v>0</v>
      </c>
      <c r="G1888" s="8"/>
      <c r="H1888" s="9">
        <f t="shared" si="180"/>
        <v>0</v>
      </c>
      <c r="I1888" s="8"/>
      <c r="J1888" s="8"/>
      <c r="K1888" s="8"/>
      <c r="L1888" s="9"/>
      <c r="M1888" s="9">
        <f t="shared" si="181"/>
        <v>0</v>
      </c>
      <c r="N1888" s="9">
        <v>1953989</v>
      </c>
      <c r="O1888" s="8"/>
      <c r="P1888" s="9">
        <f t="shared" si="182"/>
        <v>1953989</v>
      </c>
      <c r="Q1888" s="8"/>
      <c r="R1888" s="8"/>
      <c r="S1888" s="8"/>
      <c r="T1888" s="9"/>
      <c r="U1888" s="9">
        <f t="shared" si="183"/>
        <v>1953989</v>
      </c>
      <c r="V1888" s="9">
        <f t="shared" si="184"/>
        <v>1953989</v>
      </c>
      <c r="W1888" s="9">
        <f t="shared" si="185"/>
        <v>0</v>
      </c>
      <c r="X1888" s="9">
        <f t="shared" si="186"/>
        <v>1953989</v>
      </c>
      <c r="Y1888" s="8"/>
      <c r="Z1888" s="9">
        <f t="shared" si="187"/>
        <v>0</v>
      </c>
      <c r="AA1888" s="8">
        <f t="shared" si="188"/>
        <v>1953989</v>
      </c>
      <c r="AB1888" s="8">
        <f t="shared" si="189"/>
        <v>0</v>
      </c>
    </row>
    <row r="1889" spans="1:28" x14ac:dyDescent="0.35">
      <c r="A1889" s="36"/>
      <c r="B1889" s="8"/>
      <c r="C1889" s="7" t="s">
        <v>83</v>
      </c>
      <c r="D1889" s="15" t="s">
        <v>67</v>
      </c>
      <c r="E1889" s="9">
        <v>375561</v>
      </c>
      <c r="F1889" s="9">
        <v>375561</v>
      </c>
      <c r="G1889" s="8"/>
      <c r="H1889" s="9">
        <f t="shared" si="180"/>
        <v>375561</v>
      </c>
      <c r="I1889" s="8"/>
      <c r="J1889" s="8"/>
      <c r="K1889" s="8"/>
      <c r="L1889" s="9"/>
      <c r="M1889" s="9">
        <f t="shared" si="181"/>
        <v>375561</v>
      </c>
      <c r="N1889" s="9">
        <v>0</v>
      </c>
      <c r="O1889" s="8"/>
      <c r="P1889" s="9">
        <f t="shared" si="182"/>
        <v>0</v>
      </c>
      <c r="Q1889" s="8"/>
      <c r="R1889" s="8"/>
      <c r="S1889" s="8"/>
      <c r="T1889" s="9"/>
      <c r="U1889" s="9">
        <f t="shared" si="183"/>
        <v>0</v>
      </c>
      <c r="V1889" s="9">
        <f t="shared" si="184"/>
        <v>375561</v>
      </c>
      <c r="W1889" s="9">
        <f t="shared" si="185"/>
        <v>0</v>
      </c>
      <c r="X1889" s="9">
        <f t="shared" si="186"/>
        <v>375561</v>
      </c>
      <c r="Y1889" s="8"/>
      <c r="Z1889" s="9">
        <f t="shared" si="187"/>
        <v>0</v>
      </c>
      <c r="AA1889" s="8">
        <f t="shared" si="188"/>
        <v>375561</v>
      </c>
      <c r="AB1889" s="8">
        <f t="shared" si="189"/>
        <v>0</v>
      </c>
    </row>
    <row r="1890" spans="1:28" x14ac:dyDescent="0.35">
      <c r="A1890" s="36"/>
      <c r="B1890" s="8"/>
      <c r="C1890" s="7" t="s">
        <v>358</v>
      </c>
      <c r="D1890" s="15" t="s">
        <v>128</v>
      </c>
      <c r="E1890" s="9">
        <v>120000</v>
      </c>
      <c r="F1890" s="9">
        <v>120000</v>
      </c>
      <c r="G1890" s="8"/>
      <c r="H1890" s="9">
        <f t="shared" si="180"/>
        <v>120000</v>
      </c>
      <c r="I1890" s="8"/>
      <c r="J1890" s="8"/>
      <c r="K1890" s="8"/>
      <c r="L1890" s="9"/>
      <c r="M1890" s="9">
        <f t="shared" si="181"/>
        <v>120000</v>
      </c>
      <c r="N1890" s="9">
        <v>0</v>
      </c>
      <c r="O1890" s="8"/>
      <c r="P1890" s="9">
        <f t="shared" si="182"/>
        <v>0</v>
      </c>
      <c r="Q1890" s="8"/>
      <c r="R1890" s="8"/>
      <c r="S1890" s="8"/>
      <c r="T1890" s="9"/>
      <c r="U1890" s="9">
        <f t="shared" si="183"/>
        <v>0</v>
      </c>
      <c r="V1890" s="9">
        <f t="shared" si="184"/>
        <v>120000</v>
      </c>
      <c r="W1890" s="9">
        <f t="shared" si="185"/>
        <v>0</v>
      </c>
      <c r="X1890" s="9">
        <f t="shared" si="186"/>
        <v>120000</v>
      </c>
      <c r="Y1890" s="8"/>
      <c r="Z1890" s="9">
        <f t="shared" si="187"/>
        <v>0</v>
      </c>
      <c r="AA1890" s="8">
        <f t="shared" si="188"/>
        <v>120000</v>
      </c>
      <c r="AB1890" s="8">
        <f t="shared" si="189"/>
        <v>0</v>
      </c>
    </row>
    <row r="1891" spans="1:28" x14ac:dyDescent="0.35">
      <c r="A1891" s="36"/>
      <c r="B1891" s="8"/>
      <c r="C1891" s="7" t="s">
        <v>359</v>
      </c>
      <c r="D1891" s="15" t="s">
        <v>128</v>
      </c>
      <c r="E1891" s="9">
        <v>80000</v>
      </c>
      <c r="F1891" s="9">
        <v>0</v>
      </c>
      <c r="G1891" s="8"/>
      <c r="H1891" s="9">
        <f t="shared" si="180"/>
        <v>0</v>
      </c>
      <c r="I1891" s="8"/>
      <c r="J1891" s="8"/>
      <c r="K1891" s="8"/>
      <c r="L1891" s="9"/>
      <c r="M1891" s="9">
        <f t="shared" si="181"/>
        <v>0</v>
      </c>
      <c r="N1891" s="9">
        <v>0</v>
      </c>
      <c r="O1891" s="8"/>
      <c r="P1891" s="9">
        <f t="shared" si="182"/>
        <v>0</v>
      </c>
      <c r="Q1891" s="8"/>
      <c r="R1891" s="8"/>
      <c r="S1891" s="8"/>
      <c r="T1891" s="9"/>
      <c r="U1891" s="9">
        <f t="shared" si="183"/>
        <v>0</v>
      </c>
      <c r="V1891" s="9">
        <f t="shared" si="184"/>
        <v>0</v>
      </c>
      <c r="W1891" s="9">
        <f t="shared" si="185"/>
        <v>80000</v>
      </c>
      <c r="X1891" s="9">
        <f t="shared" si="186"/>
        <v>0</v>
      </c>
      <c r="Y1891" s="8"/>
      <c r="Z1891" s="9">
        <f t="shared" si="187"/>
        <v>80000</v>
      </c>
      <c r="AA1891" s="8">
        <f t="shared" si="188"/>
        <v>0</v>
      </c>
      <c r="AB1891" s="8">
        <f t="shared" si="189"/>
        <v>80000</v>
      </c>
    </row>
    <row r="1892" spans="1:28" x14ac:dyDescent="0.35">
      <c r="A1892" s="36"/>
      <c r="B1892" s="8"/>
      <c r="C1892" s="7" t="s">
        <v>55</v>
      </c>
      <c r="D1892" s="15" t="s">
        <v>88</v>
      </c>
      <c r="E1892" s="9">
        <v>1576755.19</v>
      </c>
      <c r="F1892" s="9">
        <v>0</v>
      </c>
      <c r="G1892" s="8"/>
      <c r="H1892" s="9">
        <f t="shared" si="180"/>
        <v>0</v>
      </c>
      <c r="I1892" s="8"/>
      <c r="J1892" s="8"/>
      <c r="K1892" s="8"/>
      <c r="L1892" s="9"/>
      <c r="M1892" s="9">
        <f t="shared" si="181"/>
        <v>0</v>
      </c>
      <c r="N1892" s="9">
        <v>1576755.19</v>
      </c>
      <c r="O1892" s="8"/>
      <c r="P1892" s="9">
        <f t="shared" si="182"/>
        <v>1576755.19</v>
      </c>
      <c r="Q1892" s="8"/>
      <c r="R1892" s="8"/>
      <c r="S1892" s="8"/>
      <c r="T1892" s="9"/>
      <c r="U1892" s="9">
        <f t="shared" si="183"/>
        <v>1576755.19</v>
      </c>
      <c r="V1892" s="9">
        <f t="shared" si="184"/>
        <v>1576755.19</v>
      </c>
      <c r="W1892" s="9">
        <f t="shared" si="185"/>
        <v>0</v>
      </c>
      <c r="X1892" s="9">
        <f t="shared" si="186"/>
        <v>1576755.19</v>
      </c>
      <c r="Y1892" s="8"/>
      <c r="Z1892" s="9">
        <f t="shared" si="187"/>
        <v>0</v>
      </c>
      <c r="AA1892" s="8">
        <f t="shared" si="188"/>
        <v>1576755.19</v>
      </c>
      <c r="AB1892" s="8">
        <f t="shared" si="189"/>
        <v>0</v>
      </c>
    </row>
    <row r="1893" spans="1:28" x14ac:dyDescent="0.35">
      <c r="A1893" s="36"/>
      <c r="B1893" s="8"/>
      <c r="C1893" s="7" t="s">
        <v>360</v>
      </c>
      <c r="D1893" s="15" t="s">
        <v>108</v>
      </c>
      <c r="E1893" s="9">
        <v>550000</v>
      </c>
      <c r="F1893" s="9">
        <v>550000</v>
      </c>
      <c r="G1893" s="8"/>
      <c r="H1893" s="9">
        <f t="shared" si="180"/>
        <v>550000</v>
      </c>
      <c r="I1893" s="9"/>
      <c r="J1893" s="8"/>
      <c r="K1893" s="8"/>
      <c r="L1893" s="9"/>
      <c r="M1893" s="9">
        <f t="shared" si="181"/>
        <v>550000</v>
      </c>
      <c r="N1893" s="9">
        <v>0</v>
      </c>
      <c r="O1893" s="8"/>
      <c r="P1893" s="9">
        <f t="shared" si="182"/>
        <v>0</v>
      </c>
      <c r="Q1893" s="8"/>
      <c r="R1893" s="8"/>
      <c r="S1893" s="8"/>
      <c r="T1893" s="9"/>
      <c r="U1893" s="9">
        <f t="shared" si="183"/>
        <v>0</v>
      </c>
      <c r="V1893" s="9">
        <f t="shared" si="184"/>
        <v>550000</v>
      </c>
      <c r="W1893" s="9">
        <f t="shared" si="185"/>
        <v>0</v>
      </c>
      <c r="X1893" s="9">
        <f t="shared" si="186"/>
        <v>550000</v>
      </c>
      <c r="Y1893" s="8"/>
      <c r="Z1893" s="9">
        <f t="shared" si="187"/>
        <v>0</v>
      </c>
      <c r="AA1893" s="8">
        <f t="shared" si="188"/>
        <v>550000</v>
      </c>
      <c r="AB1893" s="8">
        <f t="shared" si="189"/>
        <v>0</v>
      </c>
    </row>
    <row r="1894" spans="1:28" x14ac:dyDescent="0.35">
      <c r="A1894" s="36"/>
      <c r="B1894" s="8"/>
      <c r="C1894" s="7" t="s">
        <v>57</v>
      </c>
      <c r="D1894" s="15" t="s">
        <v>58</v>
      </c>
      <c r="E1894" s="9">
        <v>3278340</v>
      </c>
      <c r="F1894" s="9">
        <v>3278340</v>
      </c>
      <c r="G1894" s="8"/>
      <c r="H1894" s="9">
        <f t="shared" si="180"/>
        <v>3278340</v>
      </c>
      <c r="I1894" s="8"/>
      <c r="J1894" s="8"/>
      <c r="K1894" s="8"/>
      <c r="L1894" s="9"/>
      <c r="M1894" s="9">
        <f t="shared" si="181"/>
        <v>3278340</v>
      </c>
      <c r="N1894" s="9">
        <v>0</v>
      </c>
      <c r="O1894" s="8"/>
      <c r="P1894" s="9">
        <f t="shared" si="182"/>
        <v>0</v>
      </c>
      <c r="Q1894" s="8"/>
      <c r="R1894" s="8"/>
      <c r="S1894" s="8"/>
      <c r="T1894" s="9"/>
      <c r="U1894" s="9">
        <f t="shared" si="183"/>
        <v>0</v>
      </c>
      <c r="V1894" s="9">
        <f t="shared" si="184"/>
        <v>3278340</v>
      </c>
      <c r="W1894" s="9">
        <f t="shared" si="185"/>
        <v>0</v>
      </c>
      <c r="X1894" s="9">
        <f t="shared" si="186"/>
        <v>3278340</v>
      </c>
      <c r="Y1894" s="8"/>
      <c r="Z1894" s="9">
        <f t="shared" si="187"/>
        <v>0</v>
      </c>
      <c r="AA1894" s="8">
        <f t="shared" si="188"/>
        <v>3278340</v>
      </c>
      <c r="AB1894" s="8">
        <f t="shared" si="189"/>
        <v>0</v>
      </c>
    </row>
    <row r="1895" spans="1:28" x14ac:dyDescent="0.35">
      <c r="A1895" s="36"/>
      <c r="B1895" s="8"/>
      <c r="C1895" s="14" t="s">
        <v>109</v>
      </c>
      <c r="D1895" s="21" t="s">
        <v>60</v>
      </c>
      <c r="E1895" s="9">
        <v>7500000</v>
      </c>
      <c r="F1895" s="11">
        <v>7500000</v>
      </c>
      <c r="G1895" s="8"/>
      <c r="H1895" s="9">
        <f t="shared" si="180"/>
        <v>7500000</v>
      </c>
      <c r="I1895" s="8"/>
      <c r="J1895" s="8"/>
      <c r="K1895" s="8"/>
      <c r="L1895" s="9"/>
      <c r="M1895" s="9">
        <f t="shared" si="181"/>
        <v>7500000</v>
      </c>
      <c r="N1895" s="9">
        <v>0</v>
      </c>
      <c r="O1895" s="8"/>
      <c r="P1895" s="9">
        <f t="shared" si="182"/>
        <v>0</v>
      </c>
      <c r="Q1895" s="8"/>
      <c r="R1895" s="8"/>
      <c r="S1895" s="8"/>
      <c r="T1895" s="9"/>
      <c r="U1895" s="9">
        <f t="shared" si="183"/>
        <v>0</v>
      </c>
      <c r="V1895" s="9">
        <f t="shared" si="184"/>
        <v>7500000</v>
      </c>
      <c r="W1895" s="9">
        <f t="shared" si="185"/>
        <v>0</v>
      </c>
      <c r="X1895" s="9">
        <f t="shared" si="186"/>
        <v>7500000</v>
      </c>
      <c r="Y1895" s="8"/>
      <c r="Z1895" s="9">
        <f t="shared" si="187"/>
        <v>0</v>
      </c>
      <c r="AA1895" s="8">
        <f t="shared" si="188"/>
        <v>7500000</v>
      </c>
      <c r="AB1895" s="8">
        <f t="shared" si="189"/>
        <v>0</v>
      </c>
    </row>
    <row r="1896" spans="1:28" x14ac:dyDescent="0.35">
      <c r="A1896" s="36"/>
      <c r="B1896" s="8"/>
      <c r="C1896" s="7" t="s">
        <v>69</v>
      </c>
      <c r="D1896" s="8"/>
      <c r="E1896" s="9">
        <v>955345.62</v>
      </c>
      <c r="F1896" s="9">
        <v>0</v>
      </c>
      <c r="G1896" s="8"/>
      <c r="H1896" s="9">
        <f t="shared" si="180"/>
        <v>0</v>
      </c>
      <c r="I1896" s="8"/>
      <c r="J1896" s="8"/>
      <c r="K1896" s="8"/>
      <c r="L1896" s="9"/>
      <c r="M1896" s="9">
        <f t="shared" si="181"/>
        <v>0</v>
      </c>
      <c r="N1896" s="9">
        <v>955345.62</v>
      </c>
      <c r="O1896" s="8"/>
      <c r="P1896" s="9">
        <f t="shared" si="182"/>
        <v>955345.62</v>
      </c>
      <c r="Q1896" s="8"/>
      <c r="R1896" s="8"/>
      <c r="S1896" s="8"/>
      <c r="T1896" s="9"/>
      <c r="U1896" s="9">
        <f t="shared" si="183"/>
        <v>955345.62</v>
      </c>
      <c r="V1896" s="9">
        <f t="shared" si="184"/>
        <v>955345.62</v>
      </c>
      <c r="W1896" s="9">
        <f t="shared" si="185"/>
        <v>0</v>
      </c>
      <c r="X1896" s="9">
        <f t="shared" si="186"/>
        <v>955345.62</v>
      </c>
      <c r="Y1896" s="8"/>
      <c r="Z1896" s="9">
        <f t="shared" si="187"/>
        <v>0</v>
      </c>
      <c r="AA1896" s="8">
        <f t="shared" si="188"/>
        <v>955345.62</v>
      </c>
      <c r="AB1896" s="8">
        <f t="shared" si="189"/>
        <v>0</v>
      </c>
    </row>
    <row r="1897" spans="1:28" x14ac:dyDescent="0.35">
      <c r="A1897" s="36"/>
      <c r="B1897" s="8"/>
      <c r="C1897" s="7" t="s">
        <v>57</v>
      </c>
      <c r="D1897" s="15" t="s">
        <v>60</v>
      </c>
      <c r="E1897" s="9">
        <f>2087170+1722729+556429+2468884.51+3164787.49</f>
        <v>10000000</v>
      </c>
      <c r="F1897" s="11">
        <f>6835212.51+3164787.49</f>
        <v>10000000</v>
      </c>
      <c r="G1897" s="11"/>
      <c r="H1897" s="9">
        <f t="shared" si="180"/>
        <v>10000000</v>
      </c>
      <c r="I1897" s="11"/>
      <c r="J1897" s="11"/>
      <c r="K1897" s="8"/>
      <c r="L1897" s="9"/>
      <c r="M1897" s="9">
        <f t="shared" si="181"/>
        <v>10000000</v>
      </c>
      <c r="N1897" s="9">
        <v>0</v>
      </c>
      <c r="O1897" s="8"/>
      <c r="P1897" s="9">
        <f t="shared" si="182"/>
        <v>0</v>
      </c>
      <c r="Q1897" s="8"/>
      <c r="R1897" s="8"/>
      <c r="S1897" s="8"/>
      <c r="T1897" s="9"/>
      <c r="U1897" s="9">
        <f t="shared" si="183"/>
        <v>0</v>
      </c>
      <c r="V1897" s="9">
        <f t="shared" si="184"/>
        <v>10000000</v>
      </c>
      <c r="W1897" s="9">
        <f t="shared" si="185"/>
        <v>0</v>
      </c>
      <c r="X1897" s="9">
        <f t="shared" si="186"/>
        <v>10000000</v>
      </c>
      <c r="Y1897" s="8"/>
      <c r="Z1897" s="9">
        <f t="shared" si="187"/>
        <v>0</v>
      </c>
      <c r="AA1897" s="8">
        <f t="shared" si="188"/>
        <v>10000000</v>
      </c>
      <c r="AB1897" s="8">
        <f t="shared" si="189"/>
        <v>0</v>
      </c>
    </row>
    <row r="1898" spans="1:28" x14ac:dyDescent="0.35">
      <c r="A1898" s="36"/>
      <c r="B1898" s="8"/>
      <c r="C1898" s="7" t="s">
        <v>57</v>
      </c>
      <c r="D1898" s="15" t="s">
        <v>73</v>
      </c>
      <c r="E1898" s="9">
        <v>15107577.140000001</v>
      </c>
      <c r="F1898" s="11">
        <v>15107577.140000001</v>
      </c>
      <c r="G1898" s="8"/>
      <c r="H1898" s="9">
        <f t="shared" si="180"/>
        <v>15107577.140000001</v>
      </c>
      <c r="I1898" s="8"/>
      <c r="J1898" s="8"/>
      <c r="K1898" s="8"/>
      <c r="L1898" s="9"/>
      <c r="M1898" s="9">
        <f t="shared" si="181"/>
        <v>15107577.140000001</v>
      </c>
      <c r="N1898" s="9">
        <v>0</v>
      </c>
      <c r="O1898" s="8"/>
      <c r="P1898" s="9">
        <f t="shared" si="182"/>
        <v>0</v>
      </c>
      <c r="Q1898" s="8"/>
      <c r="R1898" s="8"/>
      <c r="S1898" s="8"/>
      <c r="T1898" s="9"/>
      <c r="U1898" s="9">
        <f t="shared" si="183"/>
        <v>0</v>
      </c>
      <c r="V1898" s="9">
        <f t="shared" si="184"/>
        <v>15107577.140000001</v>
      </c>
      <c r="W1898" s="9">
        <f t="shared" si="185"/>
        <v>0</v>
      </c>
      <c r="X1898" s="9">
        <f t="shared" si="186"/>
        <v>15107577.140000001</v>
      </c>
      <c r="Y1898" s="8"/>
      <c r="Z1898" s="9">
        <f t="shared" si="187"/>
        <v>0</v>
      </c>
      <c r="AA1898" s="8">
        <f t="shared" si="188"/>
        <v>15107577.140000001</v>
      </c>
      <c r="AB1898" s="8">
        <f t="shared" si="189"/>
        <v>0</v>
      </c>
    </row>
    <row r="1899" spans="1:28" x14ac:dyDescent="0.35">
      <c r="A1899" s="36"/>
      <c r="B1899" s="8"/>
      <c r="C1899" s="7" t="s">
        <v>1065</v>
      </c>
      <c r="D1899" s="15"/>
      <c r="E1899" s="9">
        <v>700000</v>
      </c>
      <c r="F1899" s="8">
        <v>700000</v>
      </c>
      <c r="G1899" s="8"/>
      <c r="H1899" s="9">
        <f t="shared" si="180"/>
        <v>700000</v>
      </c>
      <c r="I1899" s="8"/>
      <c r="J1899" s="8"/>
      <c r="K1899" s="8"/>
      <c r="L1899" s="9"/>
      <c r="M1899" s="9">
        <f t="shared" si="181"/>
        <v>700000</v>
      </c>
      <c r="N1899" s="9">
        <v>0</v>
      </c>
      <c r="O1899" s="8"/>
      <c r="P1899" s="9">
        <f t="shared" si="182"/>
        <v>0</v>
      </c>
      <c r="Q1899" s="8"/>
      <c r="R1899" s="8"/>
      <c r="S1899" s="8"/>
      <c r="T1899" s="9"/>
      <c r="U1899" s="9">
        <f>P1899+T1899</f>
        <v>0</v>
      </c>
      <c r="V1899" s="9">
        <f>P1899+H1899</f>
        <v>700000</v>
      </c>
      <c r="W1899" s="9">
        <f>E1899-V1899</f>
        <v>0</v>
      </c>
      <c r="X1899" s="9">
        <f t="shared" si="186"/>
        <v>700000</v>
      </c>
      <c r="Y1899" s="8"/>
      <c r="Z1899" s="9">
        <f t="shared" si="187"/>
        <v>0</v>
      </c>
      <c r="AA1899" s="8">
        <f t="shared" si="188"/>
        <v>700000</v>
      </c>
      <c r="AB1899" s="8">
        <f t="shared" si="189"/>
        <v>0</v>
      </c>
    </row>
    <row r="1900" spans="1:28" x14ac:dyDescent="0.35">
      <c r="A1900" s="36"/>
      <c r="B1900" s="8"/>
      <c r="C1900" s="7" t="s">
        <v>924</v>
      </c>
      <c r="D1900" s="15"/>
      <c r="E1900" s="9">
        <v>109086.54</v>
      </c>
      <c r="F1900" s="8"/>
      <c r="G1900" s="8"/>
      <c r="H1900" s="9"/>
      <c r="I1900" s="8"/>
      <c r="J1900" s="8"/>
      <c r="K1900" s="8"/>
      <c r="L1900" s="9"/>
      <c r="M1900" s="9"/>
      <c r="N1900" s="9">
        <v>109086.54</v>
      </c>
      <c r="O1900" s="8"/>
      <c r="P1900" s="9">
        <f>+N1900+O1900</f>
        <v>109086.54</v>
      </c>
      <c r="Q1900" s="8"/>
      <c r="R1900" s="8"/>
      <c r="S1900" s="8"/>
      <c r="T1900" s="9"/>
      <c r="U1900" s="9">
        <f>+P1900+T1900</f>
        <v>109086.54</v>
      </c>
      <c r="V1900" s="9"/>
      <c r="W1900" s="9"/>
      <c r="X1900" s="9">
        <f t="shared" si="186"/>
        <v>109086.54</v>
      </c>
      <c r="Y1900" s="8"/>
      <c r="Z1900" s="9">
        <f t="shared" si="187"/>
        <v>0</v>
      </c>
      <c r="AA1900" s="8">
        <f t="shared" si="188"/>
        <v>109086.54</v>
      </c>
      <c r="AB1900" s="8">
        <f t="shared" si="189"/>
        <v>0</v>
      </c>
    </row>
    <row r="1901" spans="1:28" x14ac:dyDescent="0.35">
      <c r="A1901" s="36"/>
      <c r="B1901" s="8"/>
      <c r="C1901" s="7" t="s">
        <v>930</v>
      </c>
      <c r="D1901" s="15"/>
      <c r="E1901" s="9">
        <f>8132000+8142000</f>
        <v>16274000</v>
      </c>
      <c r="F1901" s="8">
        <f>8132000+8142000</f>
        <v>16274000</v>
      </c>
      <c r="G1901" s="8"/>
      <c r="H1901" s="9">
        <f>+F1901+G1901</f>
        <v>16274000</v>
      </c>
      <c r="I1901" s="8"/>
      <c r="J1901" s="8"/>
      <c r="K1901" s="8"/>
      <c r="L1901" s="9"/>
      <c r="M1901" s="9">
        <f>+H1901+L1901</f>
        <v>16274000</v>
      </c>
      <c r="N1901" s="9">
        <v>0</v>
      </c>
      <c r="O1901" s="8"/>
      <c r="P1901" s="9">
        <f>+N1901+O1901</f>
        <v>0</v>
      </c>
      <c r="Q1901" s="8"/>
      <c r="R1901" s="8"/>
      <c r="S1901" s="8"/>
      <c r="T1901" s="9"/>
      <c r="U1901" s="9">
        <f>+P1901+T1901</f>
        <v>0</v>
      </c>
      <c r="V1901" s="9"/>
      <c r="W1901" s="9"/>
      <c r="X1901" s="9">
        <f t="shared" si="186"/>
        <v>16274000</v>
      </c>
      <c r="Y1901" s="8"/>
      <c r="Z1901" s="9">
        <f t="shared" si="187"/>
        <v>0</v>
      </c>
      <c r="AA1901" s="8">
        <f t="shared" si="188"/>
        <v>16274000</v>
      </c>
      <c r="AB1901" s="8">
        <f t="shared" si="189"/>
        <v>0</v>
      </c>
    </row>
    <row r="1902" spans="1:28" x14ac:dyDescent="0.35">
      <c r="A1902" s="36"/>
      <c r="B1902" s="8"/>
      <c r="C1902" s="7" t="s">
        <v>57</v>
      </c>
      <c r="D1902" s="16" t="s">
        <v>61</v>
      </c>
      <c r="E1902" s="9">
        <f>2021003.96+14842996.03+32572.23</f>
        <v>16896572.219999999</v>
      </c>
      <c r="F1902" s="8">
        <f>2021003.96+14842996.03</f>
        <v>16863999.989999998</v>
      </c>
      <c r="G1902" s="8"/>
      <c r="H1902" s="9">
        <f t="shared" si="180"/>
        <v>16863999.989999998</v>
      </c>
      <c r="I1902" s="8"/>
      <c r="J1902" s="8"/>
      <c r="K1902" s="8"/>
      <c r="L1902" s="9"/>
      <c r="M1902" s="9">
        <f t="shared" si="181"/>
        <v>16863999.989999998</v>
      </c>
      <c r="N1902" s="9">
        <v>0</v>
      </c>
      <c r="O1902" s="8"/>
      <c r="P1902" s="9">
        <f t="shared" si="182"/>
        <v>0</v>
      </c>
      <c r="Q1902" s="8">
        <v>32572.23</v>
      </c>
      <c r="R1902" s="8"/>
      <c r="S1902" s="8"/>
      <c r="T1902" s="9">
        <v>32572.23</v>
      </c>
      <c r="U1902" s="9">
        <f t="shared" si="183"/>
        <v>32572.23</v>
      </c>
      <c r="V1902" s="9">
        <f t="shared" si="184"/>
        <v>16863999.989999998</v>
      </c>
      <c r="W1902" s="9">
        <f t="shared" si="185"/>
        <v>32572.230000000447</v>
      </c>
      <c r="X1902" s="9">
        <f t="shared" si="186"/>
        <v>16863999.989999998</v>
      </c>
      <c r="Y1902" s="8"/>
      <c r="Z1902" s="9">
        <f t="shared" si="187"/>
        <v>32572.230000000447</v>
      </c>
      <c r="AA1902" s="8">
        <f t="shared" si="188"/>
        <v>16896572.219999999</v>
      </c>
      <c r="AB1902" s="8">
        <f t="shared" si="189"/>
        <v>0</v>
      </c>
    </row>
    <row r="1903" spans="1:28" x14ac:dyDescent="0.35">
      <c r="A1903" s="36"/>
      <c r="B1903" s="8"/>
      <c r="C1903" s="8"/>
      <c r="D1903" s="8"/>
      <c r="E1903" s="17" t="s">
        <v>29</v>
      </c>
      <c r="F1903" s="17" t="s">
        <v>29</v>
      </c>
      <c r="G1903" s="17" t="s">
        <v>29</v>
      </c>
      <c r="H1903" s="17" t="s">
        <v>29</v>
      </c>
      <c r="I1903" s="17" t="s">
        <v>29</v>
      </c>
      <c r="J1903" s="17" t="s">
        <v>29</v>
      </c>
      <c r="K1903" s="17" t="s">
        <v>29</v>
      </c>
      <c r="L1903" s="17" t="s">
        <v>29</v>
      </c>
      <c r="M1903" s="17" t="s">
        <v>29</v>
      </c>
      <c r="N1903" s="17" t="s">
        <v>29</v>
      </c>
      <c r="O1903" s="17" t="s">
        <v>29</v>
      </c>
      <c r="P1903" s="17" t="s">
        <v>29</v>
      </c>
      <c r="Q1903" s="17" t="s">
        <v>29</v>
      </c>
      <c r="R1903" s="17" t="s">
        <v>29</v>
      </c>
      <c r="S1903" s="17" t="s">
        <v>29</v>
      </c>
      <c r="T1903" s="17" t="s">
        <v>29</v>
      </c>
      <c r="U1903" s="17" t="s">
        <v>29</v>
      </c>
      <c r="V1903" s="17" t="s">
        <v>29</v>
      </c>
      <c r="W1903" s="17" t="s">
        <v>29</v>
      </c>
      <c r="X1903" s="17" t="s">
        <v>29</v>
      </c>
      <c r="Y1903" s="17" t="s">
        <v>29</v>
      </c>
      <c r="Z1903" s="17" t="s">
        <v>29</v>
      </c>
      <c r="AA1903" s="17" t="s">
        <v>29</v>
      </c>
      <c r="AB1903" s="17" t="s">
        <v>29</v>
      </c>
    </row>
    <row r="1904" spans="1:28" x14ac:dyDescent="0.35">
      <c r="A1904" s="36"/>
      <c r="B1904" s="8"/>
      <c r="C1904" s="8"/>
      <c r="D1904" s="8"/>
      <c r="E1904" s="9">
        <f t="shared" ref="E1904:AB1904" si="190">SUM(E1886:E1902)</f>
        <v>90766785.039999992</v>
      </c>
      <c r="F1904" s="9">
        <f t="shared" si="190"/>
        <v>85423154.049999997</v>
      </c>
      <c r="G1904" s="9">
        <f t="shared" si="190"/>
        <v>0</v>
      </c>
      <c r="H1904" s="9">
        <f t="shared" si="190"/>
        <v>85423154.049999997</v>
      </c>
      <c r="I1904" s="9">
        <f t="shared" si="190"/>
        <v>0</v>
      </c>
      <c r="J1904" s="9">
        <f t="shared" si="190"/>
        <v>0</v>
      </c>
      <c r="K1904" s="9">
        <f t="shared" si="190"/>
        <v>0</v>
      </c>
      <c r="L1904" s="9">
        <f t="shared" si="190"/>
        <v>0</v>
      </c>
      <c r="M1904" s="9">
        <f t="shared" si="190"/>
        <v>85423154.049999997</v>
      </c>
      <c r="N1904" s="9">
        <f t="shared" si="190"/>
        <v>5231058.76</v>
      </c>
      <c r="O1904" s="9">
        <f t="shared" si="190"/>
        <v>0</v>
      </c>
      <c r="P1904" s="9">
        <f t="shared" si="190"/>
        <v>5231058.76</v>
      </c>
      <c r="Q1904" s="9">
        <f t="shared" si="190"/>
        <v>32572.23</v>
      </c>
      <c r="R1904" s="9">
        <f t="shared" si="190"/>
        <v>0</v>
      </c>
      <c r="S1904" s="9">
        <f t="shared" si="190"/>
        <v>0</v>
      </c>
      <c r="T1904" s="9">
        <f t="shared" si="190"/>
        <v>32572.23</v>
      </c>
      <c r="U1904" s="9">
        <f t="shared" si="190"/>
        <v>5263630.99</v>
      </c>
      <c r="V1904" s="9">
        <f t="shared" si="190"/>
        <v>74271126.269999996</v>
      </c>
      <c r="W1904" s="9">
        <f t="shared" si="190"/>
        <v>112572.23000000045</v>
      </c>
      <c r="X1904" s="9">
        <f t="shared" si="190"/>
        <v>90654212.809999987</v>
      </c>
      <c r="Y1904" s="9">
        <f t="shared" si="190"/>
        <v>0</v>
      </c>
      <c r="Z1904" s="9">
        <f t="shared" si="190"/>
        <v>112572.23000000045</v>
      </c>
      <c r="AA1904" s="9">
        <f t="shared" si="190"/>
        <v>90686785.039999992</v>
      </c>
      <c r="AB1904" s="9">
        <f t="shared" si="190"/>
        <v>80000</v>
      </c>
    </row>
    <row r="1905" spans="1:28" x14ac:dyDescent="0.35">
      <c r="A1905" s="36"/>
      <c r="B1905" s="8"/>
      <c r="C1905" s="8"/>
      <c r="D1905" s="8"/>
      <c r="E1905" s="17" t="s">
        <v>29</v>
      </c>
      <c r="F1905" s="17" t="s">
        <v>29</v>
      </c>
      <c r="G1905" s="17" t="s">
        <v>29</v>
      </c>
      <c r="H1905" s="17" t="s">
        <v>29</v>
      </c>
      <c r="I1905" s="17" t="s">
        <v>29</v>
      </c>
      <c r="J1905" s="17" t="s">
        <v>29</v>
      </c>
      <c r="K1905" s="17" t="s">
        <v>29</v>
      </c>
      <c r="L1905" s="17" t="s">
        <v>29</v>
      </c>
      <c r="M1905" s="17" t="s">
        <v>29</v>
      </c>
      <c r="N1905" s="17" t="s">
        <v>29</v>
      </c>
      <c r="O1905" s="17" t="s">
        <v>29</v>
      </c>
      <c r="P1905" s="17" t="s">
        <v>29</v>
      </c>
      <c r="Q1905" s="17" t="s">
        <v>29</v>
      </c>
      <c r="R1905" s="17" t="s">
        <v>29</v>
      </c>
      <c r="S1905" s="17" t="s">
        <v>29</v>
      </c>
      <c r="T1905" s="17" t="s">
        <v>29</v>
      </c>
      <c r="U1905" s="17" t="s">
        <v>29</v>
      </c>
      <c r="V1905" s="17" t="s">
        <v>29</v>
      </c>
      <c r="W1905" s="17" t="s">
        <v>29</v>
      </c>
      <c r="X1905" s="17" t="s">
        <v>29</v>
      </c>
      <c r="Y1905" s="17" t="s">
        <v>29</v>
      </c>
      <c r="Z1905" s="17" t="s">
        <v>29</v>
      </c>
      <c r="AA1905" s="17" t="s">
        <v>29</v>
      </c>
      <c r="AB1905" s="17" t="s">
        <v>29</v>
      </c>
    </row>
    <row r="1906" spans="1:28" x14ac:dyDescent="0.35">
      <c r="A1906" s="38" t="s">
        <v>1025</v>
      </c>
      <c r="B1906" s="7" t="s">
        <v>361</v>
      </c>
      <c r="C1906" s="8"/>
      <c r="D1906" s="8"/>
      <c r="E1906" s="8"/>
      <c r="F1906" s="8"/>
      <c r="G1906" s="8"/>
      <c r="H1906" s="8"/>
      <c r="I1906" s="8"/>
      <c r="J1906" s="8"/>
      <c r="K1906" s="8"/>
      <c r="L1906" s="8"/>
      <c r="M1906" s="8"/>
      <c r="N1906" s="8"/>
      <c r="O1906" s="8"/>
      <c r="P1906" s="8"/>
      <c r="Q1906" s="8"/>
      <c r="R1906" s="8"/>
      <c r="S1906" s="8"/>
      <c r="T1906" s="8"/>
      <c r="U1906" s="8"/>
      <c r="V1906" s="8"/>
      <c r="W1906" s="8"/>
      <c r="X1906" s="8"/>
      <c r="Y1906" s="8"/>
      <c r="Z1906" s="8"/>
    </row>
    <row r="1907" spans="1:28" x14ac:dyDescent="0.35">
      <c r="A1907" s="36"/>
      <c r="B1907" s="8"/>
      <c r="C1907" s="8"/>
      <c r="D1907" s="15" t="s">
        <v>362</v>
      </c>
      <c r="E1907" s="8"/>
      <c r="F1907" s="8"/>
      <c r="G1907" s="8"/>
      <c r="H1907" s="8"/>
      <c r="I1907" s="8"/>
      <c r="J1907" s="8"/>
      <c r="K1907" s="8"/>
      <c r="L1907" s="8"/>
      <c r="M1907" s="8"/>
      <c r="N1907" s="8"/>
      <c r="O1907" s="8"/>
      <c r="P1907" s="8"/>
      <c r="Q1907" s="8"/>
      <c r="R1907" s="8"/>
      <c r="S1907" s="8"/>
      <c r="T1907" s="8"/>
      <c r="U1907" s="8"/>
      <c r="V1907" s="8"/>
      <c r="W1907" s="8"/>
      <c r="X1907" s="8"/>
      <c r="Y1907" s="8"/>
      <c r="Z1907" s="8"/>
    </row>
    <row r="1908" spans="1:28" x14ac:dyDescent="0.35">
      <c r="A1908" s="36"/>
      <c r="B1908" s="8"/>
      <c r="C1908" s="7" t="s">
        <v>363</v>
      </c>
      <c r="D1908" s="14" t="s">
        <v>364</v>
      </c>
      <c r="E1908" s="9">
        <v>21392780.350000001</v>
      </c>
      <c r="F1908" s="9">
        <v>21392780.350000001</v>
      </c>
      <c r="G1908" s="8"/>
      <c r="H1908" s="9">
        <f t="shared" ref="H1908:H1925" si="191">F1908+G1908</f>
        <v>21392780.350000001</v>
      </c>
      <c r="I1908" s="8"/>
      <c r="J1908" s="8"/>
      <c r="K1908" s="8"/>
      <c r="L1908" s="9"/>
      <c r="M1908" s="9">
        <f t="shared" ref="M1908:M1925" si="192">H1908+L1908</f>
        <v>21392780.350000001</v>
      </c>
      <c r="N1908" s="9">
        <v>0</v>
      </c>
      <c r="O1908" s="8"/>
      <c r="P1908" s="9">
        <f t="shared" ref="P1908:P1925" si="193">N1908+O1908</f>
        <v>0</v>
      </c>
      <c r="Q1908" s="8"/>
      <c r="R1908" s="8"/>
      <c r="S1908" s="8"/>
      <c r="T1908" s="9"/>
      <c r="U1908" s="9">
        <f t="shared" ref="U1908:U1925" si="194">P1908+T1908</f>
        <v>0</v>
      </c>
      <c r="V1908" s="9">
        <f t="shared" ref="V1908:V1925" si="195">P1908+H1908</f>
        <v>21392780.350000001</v>
      </c>
      <c r="W1908" s="9">
        <f t="shared" ref="W1908:W1925" si="196">E1908-V1908</f>
        <v>0</v>
      </c>
      <c r="X1908" s="9">
        <f t="shared" ref="X1908:X1925" si="197">+H1908+P1908</f>
        <v>21392780.350000001</v>
      </c>
      <c r="Y1908" s="8"/>
      <c r="Z1908" s="9">
        <f t="shared" ref="Z1908:Z1925" si="198">+E1908-X1908</f>
        <v>0</v>
      </c>
      <c r="AA1908" s="8">
        <f t="shared" ref="AA1908:AA1925" si="199">+M1908+U1908</f>
        <v>21392780.350000001</v>
      </c>
      <c r="AB1908" s="8">
        <f t="shared" ref="AB1908:AB1925" si="200">+E1908-AA1908</f>
        <v>0</v>
      </c>
    </row>
    <row r="1909" spans="1:28" x14ac:dyDescent="0.35">
      <c r="A1909" s="36"/>
      <c r="B1909" s="8"/>
      <c r="C1909" s="7" t="s">
        <v>83</v>
      </c>
      <c r="D1909" s="15" t="s">
        <v>67</v>
      </c>
      <c r="E1909" s="9">
        <v>776966</v>
      </c>
      <c r="F1909" s="9">
        <v>600709.6</v>
      </c>
      <c r="G1909" s="8"/>
      <c r="H1909" s="9">
        <f t="shared" si="191"/>
        <v>600709.6</v>
      </c>
      <c r="I1909" s="8"/>
      <c r="J1909" s="8"/>
      <c r="K1909" s="8"/>
      <c r="L1909" s="9"/>
      <c r="M1909" s="9">
        <f t="shared" si="192"/>
        <v>600709.6</v>
      </c>
      <c r="N1909" s="9">
        <v>176256.4</v>
      </c>
      <c r="O1909" s="8"/>
      <c r="P1909" s="9">
        <f t="shared" si="193"/>
        <v>176256.4</v>
      </c>
      <c r="Q1909" s="9"/>
      <c r="R1909" s="8"/>
      <c r="S1909" s="9"/>
      <c r="T1909" s="9"/>
      <c r="U1909" s="9">
        <f t="shared" si="194"/>
        <v>176256.4</v>
      </c>
      <c r="V1909" s="9">
        <f t="shared" si="195"/>
        <v>776966</v>
      </c>
      <c r="W1909" s="9">
        <f t="shared" si="196"/>
        <v>0</v>
      </c>
      <c r="X1909" s="9">
        <f t="shared" si="197"/>
        <v>776966</v>
      </c>
      <c r="Y1909" s="8"/>
      <c r="Z1909" s="9">
        <f t="shared" si="198"/>
        <v>0</v>
      </c>
      <c r="AA1909" s="8">
        <f t="shared" si="199"/>
        <v>776966</v>
      </c>
      <c r="AB1909" s="8">
        <f t="shared" si="200"/>
        <v>0</v>
      </c>
    </row>
    <row r="1910" spans="1:28" x14ac:dyDescent="0.35">
      <c r="A1910" s="36"/>
      <c r="B1910" s="8"/>
      <c r="C1910" s="7" t="s">
        <v>192</v>
      </c>
      <c r="D1910" s="15" t="s">
        <v>54</v>
      </c>
      <c r="E1910" s="9">
        <v>955345.62</v>
      </c>
      <c r="F1910" s="9">
        <v>0</v>
      </c>
      <c r="G1910" s="8"/>
      <c r="H1910" s="9">
        <f t="shared" si="191"/>
        <v>0</v>
      </c>
      <c r="I1910" s="8"/>
      <c r="J1910" s="8"/>
      <c r="K1910" s="8"/>
      <c r="L1910" s="9"/>
      <c r="M1910" s="9">
        <f t="shared" si="192"/>
        <v>0</v>
      </c>
      <c r="N1910" s="9">
        <v>955345.62</v>
      </c>
      <c r="O1910" s="8"/>
      <c r="P1910" s="9">
        <f t="shared" si="193"/>
        <v>955345.62</v>
      </c>
      <c r="Q1910" s="8"/>
      <c r="R1910" s="8"/>
      <c r="S1910" s="8"/>
      <c r="T1910" s="9"/>
      <c r="U1910" s="9">
        <f t="shared" si="194"/>
        <v>955345.62</v>
      </c>
      <c r="V1910" s="9">
        <f t="shared" si="195"/>
        <v>955345.62</v>
      </c>
      <c r="W1910" s="9">
        <f t="shared" si="196"/>
        <v>0</v>
      </c>
      <c r="X1910" s="9">
        <f t="shared" si="197"/>
        <v>955345.62</v>
      </c>
      <c r="Y1910" s="8"/>
      <c r="Z1910" s="9">
        <f t="shared" si="198"/>
        <v>0</v>
      </c>
      <c r="AA1910" s="8">
        <f t="shared" si="199"/>
        <v>955345.62</v>
      </c>
      <c r="AB1910" s="8">
        <f t="shared" si="200"/>
        <v>0</v>
      </c>
    </row>
    <row r="1911" spans="1:28" x14ac:dyDescent="0.35">
      <c r="A1911" s="36"/>
      <c r="B1911" s="8"/>
      <c r="C1911" s="7" t="s">
        <v>53</v>
      </c>
      <c r="D1911" s="15" t="s">
        <v>54</v>
      </c>
      <c r="E1911" s="9">
        <v>1953989</v>
      </c>
      <c r="F1911" s="9">
        <v>0</v>
      </c>
      <c r="G1911" s="8"/>
      <c r="H1911" s="9">
        <f t="shared" si="191"/>
        <v>0</v>
      </c>
      <c r="I1911" s="8"/>
      <c r="J1911" s="8"/>
      <c r="K1911" s="8"/>
      <c r="L1911" s="9"/>
      <c r="M1911" s="9">
        <f t="shared" si="192"/>
        <v>0</v>
      </c>
      <c r="N1911" s="9">
        <v>1953989</v>
      </c>
      <c r="O1911" s="8"/>
      <c r="P1911" s="9">
        <f t="shared" si="193"/>
        <v>1953989</v>
      </c>
      <c r="Q1911" s="8"/>
      <c r="R1911" s="8"/>
      <c r="S1911" s="8"/>
      <c r="T1911" s="9"/>
      <c r="U1911" s="9">
        <f t="shared" si="194"/>
        <v>1953989</v>
      </c>
      <c r="V1911" s="9">
        <f t="shared" si="195"/>
        <v>1953989</v>
      </c>
      <c r="W1911" s="9">
        <f t="shared" si="196"/>
        <v>0</v>
      </c>
      <c r="X1911" s="9">
        <f t="shared" si="197"/>
        <v>1953989</v>
      </c>
      <c r="Y1911" s="8"/>
      <c r="Z1911" s="9">
        <f t="shared" si="198"/>
        <v>0</v>
      </c>
      <c r="AA1911" s="8">
        <f t="shared" si="199"/>
        <v>1953989</v>
      </c>
      <c r="AB1911" s="8">
        <f t="shared" si="200"/>
        <v>0</v>
      </c>
    </row>
    <row r="1912" spans="1:28" x14ac:dyDescent="0.35">
      <c r="A1912" s="36"/>
      <c r="B1912" s="8"/>
      <c r="C1912" s="7" t="s">
        <v>55</v>
      </c>
      <c r="D1912" s="15" t="s">
        <v>54</v>
      </c>
      <c r="E1912" s="9">
        <v>983662.63</v>
      </c>
      <c r="F1912" s="9">
        <v>0</v>
      </c>
      <c r="G1912" s="8"/>
      <c r="H1912" s="9">
        <f t="shared" si="191"/>
        <v>0</v>
      </c>
      <c r="I1912" s="8"/>
      <c r="J1912" s="8"/>
      <c r="K1912" s="8"/>
      <c r="L1912" s="9"/>
      <c r="M1912" s="9">
        <f t="shared" si="192"/>
        <v>0</v>
      </c>
      <c r="N1912" s="9">
        <f>279205.55+704457.08</f>
        <v>983662.62999999989</v>
      </c>
      <c r="O1912" s="8"/>
      <c r="P1912" s="9">
        <f t="shared" si="193"/>
        <v>983662.62999999989</v>
      </c>
      <c r="Q1912" s="8"/>
      <c r="R1912" s="8"/>
      <c r="S1912" s="8"/>
      <c r="T1912" s="9"/>
      <c r="U1912" s="9">
        <f t="shared" si="194"/>
        <v>983662.62999999989</v>
      </c>
      <c r="V1912" s="9">
        <f t="shared" si="195"/>
        <v>983662.62999999989</v>
      </c>
      <c r="W1912" s="9">
        <f t="shared" si="196"/>
        <v>0</v>
      </c>
      <c r="X1912" s="9">
        <f t="shared" si="197"/>
        <v>983662.62999999989</v>
      </c>
      <c r="Y1912" s="8"/>
      <c r="Z1912" s="9">
        <f t="shared" si="198"/>
        <v>0</v>
      </c>
      <c r="AA1912" s="8">
        <f t="shared" si="199"/>
        <v>983662.62999999989</v>
      </c>
      <c r="AB1912" s="8">
        <f t="shared" si="200"/>
        <v>0</v>
      </c>
    </row>
    <row r="1913" spans="1:28" x14ac:dyDescent="0.35">
      <c r="A1913" s="36"/>
      <c r="B1913" s="8"/>
      <c r="C1913" s="7" t="s">
        <v>365</v>
      </c>
      <c r="D1913" s="15" t="s">
        <v>54</v>
      </c>
      <c r="E1913" s="9">
        <f>351500-500</f>
        <v>351000</v>
      </c>
      <c r="F1913" s="9">
        <v>351000</v>
      </c>
      <c r="G1913" s="8"/>
      <c r="H1913" s="9">
        <f t="shared" si="191"/>
        <v>351000</v>
      </c>
      <c r="I1913" s="8"/>
      <c r="J1913" s="8"/>
      <c r="K1913" s="8"/>
      <c r="L1913" s="9"/>
      <c r="M1913" s="9">
        <f t="shared" si="192"/>
        <v>351000</v>
      </c>
      <c r="N1913" s="9">
        <v>0</v>
      </c>
      <c r="O1913" s="8"/>
      <c r="P1913" s="9">
        <f t="shared" si="193"/>
        <v>0</v>
      </c>
      <c r="Q1913" s="8"/>
      <c r="R1913" s="8"/>
      <c r="S1913" s="8"/>
      <c r="T1913" s="9"/>
      <c r="U1913" s="9">
        <f t="shared" si="194"/>
        <v>0</v>
      </c>
      <c r="V1913" s="9">
        <f t="shared" si="195"/>
        <v>351000</v>
      </c>
      <c r="W1913" s="9">
        <f t="shared" si="196"/>
        <v>0</v>
      </c>
      <c r="X1913" s="9">
        <f t="shared" si="197"/>
        <v>351000</v>
      </c>
      <c r="Y1913" s="8"/>
      <c r="Z1913" s="9">
        <f t="shared" si="198"/>
        <v>0</v>
      </c>
      <c r="AA1913" s="8">
        <f t="shared" si="199"/>
        <v>351000</v>
      </c>
      <c r="AB1913" s="8">
        <f t="shared" si="200"/>
        <v>0</v>
      </c>
    </row>
    <row r="1914" spans="1:28" x14ac:dyDescent="0.35">
      <c r="A1914" s="36"/>
      <c r="B1914" s="8"/>
      <c r="C1914" s="7" t="s">
        <v>366</v>
      </c>
      <c r="D1914" s="15" t="s">
        <v>85</v>
      </c>
      <c r="E1914" s="9">
        <v>160000</v>
      </c>
      <c r="F1914" s="9">
        <v>160000</v>
      </c>
      <c r="G1914" s="8"/>
      <c r="H1914" s="9">
        <f t="shared" si="191"/>
        <v>160000</v>
      </c>
      <c r="I1914" s="8"/>
      <c r="J1914" s="8"/>
      <c r="K1914" s="8"/>
      <c r="L1914" s="9"/>
      <c r="M1914" s="9">
        <f t="shared" si="192"/>
        <v>160000</v>
      </c>
      <c r="N1914" s="9">
        <v>0</v>
      </c>
      <c r="O1914" s="8"/>
      <c r="P1914" s="9">
        <f t="shared" si="193"/>
        <v>0</v>
      </c>
      <c r="Q1914" s="8"/>
      <c r="R1914" s="8"/>
      <c r="S1914" s="8"/>
      <c r="T1914" s="9"/>
      <c r="U1914" s="9">
        <f t="shared" si="194"/>
        <v>0</v>
      </c>
      <c r="V1914" s="9">
        <f t="shared" si="195"/>
        <v>160000</v>
      </c>
      <c r="W1914" s="9">
        <f t="shared" si="196"/>
        <v>0</v>
      </c>
      <c r="X1914" s="9">
        <f t="shared" si="197"/>
        <v>160000</v>
      </c>
      <c r="Y1914" s="8"/>
      <c r="Z1914" s="9">
        <f t="shared" si="198"/>
        <v>0</v>
      </c>
      <c r="AA1914" s="8">
        <f t="shared" si="199"/>
        <v>160000</v>
      </c>
      <c r="AB1914" s="8">
        <f t="shared" si="200"/>
        <v>0</v>
      </c>
    </row>
    <row r="1915" spans="1:28" x14ac:dyDescent="0.35">
      <c r="A1915" s="36"/>
      <c r="B1915" s="8"/>
      <c r="C1915" s="7" t="s">
        <v>367</v>
      </c>
      <c r="D1915" s="15" t="s">
        <v>128</v>
      </c>
      <c r="E1915" s="9">
        <v>190000</v>
      </c>
      <c r="F1915" s="9">
        <v>190000</v>
      </c>
      <c r="G1915" s="8"/>
      <c r="H1915" s="9">
        <f t="shared" si="191"/>
        <v>190000</v>
      </c>
      <c r="I1915" s="8"/>
      <c r="J1915" s="8"/>
      <c r="K1915" s="8"/>
      <c r="L1915" s="9"/>
      <c r="M1915" s="9">
        <f t="shared" si="192"/>
        <v>190000</v>
      </c>
      <c r="N1915" s="9">
        <v>0</v>
      </c>
      <c r="O1915" s="8"/>
      <c r="P1915" s="9">
        <f t="shared" si="193"/>
        <v>0</v>
      </c>
      <c r="Q1915" s="8"/>
      <c r="R1915" s="8"/>
      <c r="S1915" s="8"/>
      <c r="T1915" s="9"/>
      <c r="U1915" s="9">
        <f t="shared" si="194"/>
        <v>0</v>
      </c>
      <c r="V1915" s="9">
        <f t="shared" si="195"/>
        <v>190000</v>
      </c>
      <c r="W1915" s="9">
        <f t="shared" si="196"/>
        <v>0</v>
      </c>
      <c r="X1915" s="9">
        <f t="shared" si="197"/>
        <v>190000</v>
      </c>
      <c r="Y1915" s="8"/>
      <c r="Z1915" s="9">
        <f t="shared" si="198"/>
        <v>0</v>
      </c>
      <c r="AA1915" s="8">
        <f t="shared" si="199"/>
        <v>190000</v>
      </c>
      <c r="AB1915" s="8">
        <f t="shared" si="200"/>
        <v>0</v>
      </c>
    </row>
    <row r="1916" spans="1:28" x14ac:dyDescent="0.35">
      <c r="A1916" s="36"/>
      <c r="B1916" s="8"/>
      <c r="C1916" s="7" t="s">
        <v>355</v>
      </c>
      <c r="D1916" s="15" t="s">
        <v>128</v>
      </c>
      <c r="E1916" s="9">
        <v>1500000</v>
      </c>
      <c r="F1916" s="9">
        <v>1500000</v>
      </c>
      <c r="G1916" s="8"/>
      <c r="H1916" s="9">
        <f t="shared" si="191"/>
        <v>1500000</v>
      </c>
      <c r="I1916" s="8"/>
      <c r="J1916" s="8"/>
      <c r="K1916" s="8"/>
      <c r="L1916" s="9"/>
      <c r="M1916" s="9">
        <f t="shared" si="192"/>
        <v>1500000</v>
      </c>
      <c r="N1916" s="9">
        <v>0</v>
      </c>
      <c r="O1916" s="8"/>
      <c r="P1916" s="9">
        <f t="shared" si="193"/>
        <v>0</v>
      </c>
      <c r="Q1916" s="8"/>
      <c r="R1916" s="8"/>
      <c r="S1916" s="8"/>
      <c r="T1916" s="9"/>
      <c r="U1916" s="9">
        <f t="shared" si="194"/>
        <v>0</v>
      </c>
      <c r="V1916" s="9">
        <f t="shared" si="195"/>
        <v>1500000</v>
      </c>
      <c r="W1916" s="9">
        <f t="shared" si="196"/>
        <v>0</v>
      </c>
      <c r="X1916" s="9">
        <f t="shared" si="197"/>
        <v>1500000</v>
      </c>
      <c r="Y1916" s="8"/>
      <c r="Z1916" s="9">
        <f t="shared" si="198"/>
        <v>0</v>
      </c>
      <c r="AA1916" s="8">
        <f t="shared" si="199"/>
        <v>1500000</v>
      </c>
      <c r="AB1916" s="8">
        <f t="shared" si="200"/>
        <v>0</v>
      </c>
    </row>
    <row r="1917" spans="1:28" x14ac:dyDescent="0.35">
      <c r="A1917" s="36"/>
      <c r="B1917" s="8"/>
      <c r="C1917" s="7" t="s">
        <v>57</v>
      </c>
      <c r="D1917" s="15" t="s">
        <v>58</v>
      </c>
      <c r="E1917" s="9">
        <v>1231650</v>
      </c>
      <c r="F1917" s="9">
        <v>1231650</v>
      </c>
      <c r="G1917" s="8"/>
      <c r="H1917" s="9">
        <f t="shared" si="191"/>
        <v>1231650</v>
      </c>
      <c r="I1917" s="8"/>
      <c r="J1917" s="8"/>
      <c r="K1917" s="8"/>
      <c r="L1917" s="9"/>
      <c r="M1917" s="9">
        <f t="shared" si="192"/>
        <v>1231650</v>
      </c>
      <c r="N1917" s="9">
        <v>0</v>
      </c>
      <c r="O1917" s="8"/>
      <c r="P1917" s="9">
        <f t="shared" si="193"/>
        <v>0</v>
      </c>
      <c r="Q1917" s="8"/>
      <c r="R1917" s="8"/>
      <c r="S1917" s="8"/>
      <c r="T1917" s="9"/>
      <c r="U1917" s="9">
        <f t="shared" si="194"/>
        <v>0</v>
      </c>
      <c r="V1917" s="9">
        <f t="shared" si="195"/>
        <v>1231650</v>
      </c>
      <c r="W1917" s="9">
        <f t="shared" si="196"/>
        <v>0</v>
      </c>
      <c r="X1917" s="9">
        <f t="shared" si="197"/>
        <v>1231650</v>
      </c>
      <c r="Y1917" s="8"/>
      <c r="Z1917" s="9">
        <f t="shared" si="198"/>
        <v>0</v>
      </c>
      <c r="AA1917" s="8">
        <f t="shared" si="199"/>
        <v>1231650</v>
      </c>
      <c r="AB1917" s="8">
        <f t="shared" si="200"/>
        <v>0</v>
      </c>
    </row>
    <row r="1918" spans="1:28" x14ac:dyDescent="0.35">
      <c r="A1918" s="36"/>
      <c r="B1918" s="8"/>
      <c r="C1918" s="14" t="s">
        <v>109</v>
      </c>
      <c r="D1918" s="21" t="s">
        <v>60</v>
      </c>
      <c r="E1918" s="9">
        <v>1654545.35</v>
      </c>
      <c r="F1918" s="11">
        <f>2500000+2500000-2500000-845454.65</f>
        <v>1654545.35</v>
      </c>
      <c r="G1918" s="8"/>
      <c r="H1918" s="9">
        <f t="shared" si="191"/>
        <v>1654545.35</v>
      </c>
      <c r="I1918" s="8"/>
      <c r="J1918" s="8"/>
      <c r="K1918" s="8"/>
      <c r="L1918" s="9"/>
      <c r="M1918" s="9">
        <f t="shared" si="192"/>
        <v>1654545.35</v>
      </c>
      <c r="N1918" s="9">
        <v>0</v>
      </c>
      <c r="O1918" s="8"/>
      <c r="P1918" s="9">
        <f t="shared" si="193"/>
        <v>0</v>
      </c>
      <c r="Q1918" s="8"/>
      <c r="R1918" s="8"/>
      <c r="S1918" s="8"/>
      <c r="T1918" s="9"/>
      <c r="U1918" s="9">
        <f t="shared" si="194"/>
        <v>0</v>
      </c>
      <c r="V1918" s="9">
        <f t="shared" si="195"/>
        <v>1654545.35</v>
      </c>
      <c r="W1918" s="9">
        <f t="shared" si="196"/>
        <v>0</v>
      </c>
      <c r="X1918" s="9">
        <f t="shared" si="197"/>
        <v>1654545.35</v>
      </c>
      <c r="Y1918" s="8"/>
      <c r="Z1918" s="9">
        <f t="shared" si="198"/>
        <v>0</v>
      </c>
      <c r="AA1918" s="8">
        <f t="shared" si="199"/>
        <v>1654545.35</v>
      </c>
      <c r="AB1918" s="8">
        <f t="shared" si="200"/>
        <v>0</v>
      </c>
    </row>
    <row r="1919" spans="1:28" x14ac:dyDescent="0.35">
      <c r="A1919" s="36"/>
      <c r="B1919" s="8"/>
      <c r="C1919" s="7" t="s">
        <v>368</v>
      </c>
      <c r="D1919" s="15" t="s">
        <v>58</v>
      </c>
      <c r="E1919" s="9">
        <v>2000000</v>
      </c>
      <c r="F1919" s="11">
        <v>2000000</v>
      </c>
      <c r="G1919" s="8"/>
      <c r="H1919" s="9">
        <f t="shared" si="191"/>
        <v>2000000</v>
      </c>
      <c r="I1919" s="9"/>
      <c r="J1919" s="8"/>
      <c r="K1919" s="8"/>
      <c r="L1919" s="9"/>
      <c r="M1919" s="9">
        <f t="shared" si="192"/>
        <v>2000000</v>
      </c>
      <c r="N1919" s="9">
        <v>0</v>
      </c>
      <c r="O1919" s="8"/>
      <c r="P1919" s="9">
        <f t="shared" si="193"/>
        <v>0</v>
      </c>
      <c r="Q1919" s="8"/>
      <c r="R1919" s="8"/>
      <c r="S1919" s="8"/>
      <c r="T1919" s="9"/>
      <c r="U1919" s="9">
        <f t="shared" si="194"/>
        <v>0</v>
      </c>
      <c r="V1919" s="9">
        <f t="shared" si="195"/>
        <v>2000000</v>
      </c>
      <c r="W1919" s="9">
        <f t="shared" si="196"/>
        <v>0</v>
      </c>
      <c r="X1919" s="9">
        <f t="shared" si="197"/>
        <v>2000000</v>
      </c>
      <c r="Y1919" s="8"/>
      <c r="Z1919" s="9">
        <f t="shared" si="198"/>
        <v>0</v>
      </c>
      <c r="AA1919" s="8">
        <f t="shared" si="199"/>
        <v>2000000</v>
      </c>
      <c r="AB1919" s="8">
        <f t="shared" si="200"/>
        <v>0</v>
      </c>
    </row>
    <row r="1920" spans="1:28" x14ac:dyDescent="0.35">
      <c r="A1920" s="36"/>
      <c r="B1920" s="8"/>
      <c r="C1920" s="14" t="s">
        <v>57</v>
      </c>
      <c r="D1920" s="15" t="s">
        <v>60</v>
      </c>
      <c r="E1920" s="9">
        <v>6839207</v>
      </c>
      <c r="F1920" s="11">
        <f>5444565+1394642</f>
        <v>6839207</v>
      </c>
      <c r="G1920" s="8"/>
      <c r="H1920" s="9">
        <f t="shared" si="191"/>
        <v>6839207</v>
      </c>
      <c r="I1920" s="9"/>
      <c r="J1920" s="8"/>
      <c r="K1920" s="8"/>
      <c r="L1920" s="9"/>
      <c r="M1920" s="9">
        <f t="shared" si="192"/>
        <v>6839207</v>
      </c>
      <c r="N1920" s="9">
        <v>0</v>
      </c>
      <c r="O1920" s="8"/>
      <c r="P1920" s="9">
        <f t="shared" si="193"/>
        <v>0</v>
      </c>
      <c r="Q1920" s="8"/>
      <c r="R1920" s="8"/>
      <c r="S1920" s="8"/>
      <c r="T1920" s="9"/>
      <c r="U1920" s="9">
        <f t="shared" si="194"/>
        <v>0</v>
      </c>
      <c r="V1920" s="9">
        <f t="shared" si="195"/>
        <v>6839207</v>
      </c>
      <c r="W1920" s="9">
        <f t="shared" si="196"/>
        <v>0</v>
      </c>
      <c r="X1920" s="9">
        <f t="shared" si="197"/>
        <v>6839207</v>
      </c>
      <c r="Y1920" s="8"/>
      <c r="Z1920" s="9">
        <f t="shared" si="198"/>
        <v>0</v>
      </c>
      <c r="AA1920" s="8">
        <f t="shared" si="199"/>
        <v>6839207</v>
      </c>
      <c r="AB1920" s="8">
        <f t="shared" si="200"/>
        <v>0</v>
      </c>
    </row>
    <row r="1921" spans="1:28" x14ac:dyDescent="0.35">
      <c r="A1921" s="36"/>
      <c r="B1921" s="8"/>
      <c r="C1921" s="14" t="s">
        <v>57</v>
      </c>
      <c r="D1921" s="15" t="s">
        <v>73</v>
      </c>
      <c r="E1921" s="9">
        <v>21808905.59</v>
      </c>
      <c r="F1921" s="11">
        <v>21808905.59</v>
      </c>
      <c r="G1921" s="8"/>
      <c r="H1921" s="9">
        <f t="shared" si="191"/>
        <v>21808905.59</v>
      </c>
      <c r="I1921" s="9"/>
      <c r="J1921" s="8"/>
      <c r="K1921" s="8"/>
      <c r="L1921" s="9"/>
      <c r="M1921" s="9">
        <f t="shared" si="192"/>
        <v>21808905.59</v>
      </c>
      <c r="N1921" s="9">
        <v>0</v>
      </c>
      <c r="O1921" s="8"/>
      <c r="P1921" s="9">
        <f t="shared" si="193"/>
        <v>0</v>
      </c>
      <c r="Q1921" s="8"/>
      <c r="R1921" s="8"/>
      <c r="S1921" s="8"/>
      <c r="T1921" s="9"/>
      <c r="U1921" s="9">
        <f t="shared" si="194"/>
        <v>0</v>
      </c>
      <c r="V1921" s="9">
        <f t="shared" si="195"/>
        <v>21808905.59</v>
      </c>
      <c r="W1921" s="9">
        <f t="shared" si="196"/>
        <v>0</v>
      </c>
      <c r="X1921" s="9">
        <f t="shared" si="197"/>
        <v>21808905.59</v>
      </c>
      <c r="Y1921" s="8"/>
      <c r="Z1921" s="9">
        <f t="shared" si="198"/>
        <v>0</v>
      </c>
      <c r="AA1921" s="8">
        <f t="shared" si="199"/>
        <v>21808905.59</v>
      </c>
      <c r="AB1921" s="8">
        <f t="shared" si="200"/>
        <v>0</v>
      </c>
    </row>
    <row r="1922" spans="1:28" x14ac:dyDescent="0.35">
      <c r="A1922" s="36"/>
      <c r="B1922" s="8"/>
      <c r="C1922" s="7" t="s">
        <v>122</v>
      </c>
      <c r="D1922" s="8"/>
      <c r="E1922" s="9">
        <v>2196111.9</v>
      </c>
      <c r="F1922" s="9">
        <v>2196111.9</v>
      </c>
      <c r="G1922" s="8"/>
      <c r="H1922" s="9">
        <f t="shared" si="191"/>
        <v>2196111.9</v>
      </c>
      <c r="I1922" s="8"/>
      <c r="J1922" s="8"/>
      <c r="K1922" s="8"/>
      <c r="L1922" s="9"/>
      <c r="M1922" s="9">
        <f t="shared" si="192"/>
        <v>2196111.9</v>
      </c>
      <c r="N1922" s="9">
        <v>0</v>
      </c>
      <c r="O1922" s="8"/>
      <c r="P1922" s="9">
        <f t="shared" si="193"/>
        <v>0</v>
      </c>
      <c r="Q1922" s="8"/>
      <c r="R1922" s="8"/>
      <c r="S1922" s="8"/>
      <c r="T1922" s="9"/>
      <c r="U1922" s="9">
        <f t="shared" si="194"/>
        <v>0</v>
      </c>
      <c r="V1922" s="9">
        <f t="shared" si="195"/>
        <v>2196111.9</v>
      </c>
      <c r="W1922" s="9">
        <f t="shared" si="196"/>
        <v>0</v>
      </c>
      <c r="X1922" s="9">
        <f t="shared" si="197"/>
        <v>2196111.9</v>
      </c>
      <c r="Y1922" s="8"/>
      <c r="Z1922" s="9">
        <f t="shared" si="198"/>
        <v>0</v>
      </c>
      <c r="AA1922" s="8">
        <f t="shared" si="199"/>
        <v>2196111.9</v>
      </c>
      <c r="AB1922" s="8">
        <f t="shared" si="200"/>
        <v>0</v>
      </c>
    </row>
    <row r="1923" spans="1:28" x14ac:dyDescent="0.35">
      <c r="A1923" s="36"/>
      <c r="B1923" s="8"/>
      <c r="C1923" s="7" t="s">
        <v>930</v>
      </c>
      <c r="D1923" s="23" t="s">
        <v>1072</v>
      </c>
      <c r="E1923" s="9">
        <v>17437537</v>
      </c>
      <c r="F1923" s="8">
        <v>17437537</v>
      </c>
      <c r="G1923" s="8"/>
      <c r="H1923" s="9">
        <f>F1923+G1923</f>
        <v>17437537</v>
      </c>
      <c r="I1923" s="8"/>
      <c r="J1923" s="8"/>
      <c r="K1923" s="8"/>
      <c r="L1923" s="9"/>
      <c r="M1923" s="9">
        <f>H1923+L1923</f>
        <v>17437537</v>
      </c>
      <c r="N1923" s="9">
        <v>0</v>
      </c>
      <c r="O1923" s="8"/>
      <c r="P1923" s="9">
        <f>+N1923+O1923</f>
        <v>0</v>
      </c>
      <c r="Q1923" s="8"/>
      <c r="R1923" s="8"/>
      <c r="S1923" s="8"/>
      <c r="T1923" s="9"/>
      <c r="U1923" s="9">
        <f>P1923+T1923</f>
        <v>0</v>
      </c>
      <c r="V1923" s="9">
        <f>P1923+H1923</f>
        <v>17437537</v>
      </c>
      <c r="W1923" s="9">
        <f>E1923-V1923</f>
        <v>0</v>
      </c>
      <c r="X1923" s="9">
        <f t="shared" si="197"/>
        <v>17437537</v>
      </c>
      <c r="Y1923" s="8"/>
      <c r="Z1923" s="9">
        <f t="shared" si="198"/>
        <v>0</v>
      </c>
      <c r="AA1923" s="8">
        <f t="shared" si="199"/>
        <v>17437537</v>
      </c>
      <c r="AB1923" s="8">
        <f t="shared" si="200"/>
        <v>0</v>
      </c>
    </row>
    <row r="1924" spans="1:28" x14ac:dyDescent="0.35">
      <c r="A1924" s="36"/>
      <c r="B1924" s="8"/>
      <c r="C1924" s="7" t="s">
        <v>1106</v>
      </c>
      <c r="D1924" s="23" t="s">
        <v>1072</v>
      </c>
      <c r="E1924" s="9">
        <f>8364329.82+9756592.69</f>
        <v>18120922.509999998</v>
      </c>
      <c r="F1924" s="8">
        <f>8364329.82+9756592.69</f>
        <v>18120922.509999998</v>
      </c>
      <c r="G1924" s="8"/>
      <c r="H1924" s="9">
        <f>+F1924+G1924</f>
        <v>18120922.509999998</v>
      </c>
      <c r="I1924" s="8"/>
      <c r="J1924" s="8"/>
      <c r="K1924" s="8"/>
      <c r="L1924" s="9"/>
      <c r="M1924" s="9">
        <f>H1924+L1924</f>
        <v>18120922.509999998</v>
      </c>
      <c r="N1924" s="9">
        <v>0</v>
      </c>
      <c r="O1924" s="8"/>
      <c r="P1924" s="9">
        <f>+N1924+O1924</f>
        <v>0</v>
      </c>
      <c r="Q1924" s="8"/>
      <c r="R1924" s="8"/>
      <c r="S1924" s="8"/>
      <c r="T1924" s="9"/>
      <c r="U1924" s="9">
        <f>P1924+T1924</f>
        <v>0</v>
      </c>
      <c r="V1924" s="9">
        <f>P1924+H1924</f>
        <v>18120922.509999998</v>
      </c>
      <c r="W1924" s="9">
        <f>E1924-V1924</f>
        <v>0</v>
      </c>
      <c r="X1924" s="9">
        <f t="shared" si="197"/>
        <v>18120922.509999998</v>
      </c>
      <c r="Y1924" s="8"/>
      <c r="Z1924" s="9">
        <f t="shared" si="198"/>
        <v>0</v>
      </c>
      <c r="AA1924" s="8">
        <f t="shared" si="199"/>
        <v>18120922.509999998</v>
      </c>
      <c r="AB1924" s="8">
        <f t="shared" si="200"/>
        <v>0</v>
      </c>
    </row>
    <row r="1925" spans="1:28" x14ac:dyDescent="0.35">
      <c r="A1925" s="36"/>
      <c r="B1925" s="8"/>
      <c r="C1925" s="14" t="s">
        <v>57</v>
      </c>
      <c r="D1925" s="23" t="s">
        <v>61</v>
      </c>
      <c r="E1925" s="9">
        <f>18077231.28+70080.87</f>
        <v>18147312.150000002</v>
      </c>
      <c r="F1925" s="9">
        <v>18077231.280000001</v>
      </c>
      <c r="G1925" s="8"/>
      <c r="H1925" s="9">
        <f t="shared" si="191"/>
        <v>18077231.280000001</v>
      </c>
      <c r="I1925" s="8">
        <v>18077231.280000001</v>
      </c>
      <c r="J1925" s="8">
        <v>18077231.280000001</v>
      </c>
      <c r="K1925" s="8"/>
      <c r="L1925" s="9"/>
      <c r="M1925" s="9">
        <f t="shared" si="192"/>
        <v>18077231.280000001</v>
      </c>
      <c r="N1925" s="9">
        <v>0</v>
      </c>
      <c r="O1925" s="8"/>
      <c r="P1925" s="9">
        <f t="shared" si="193"/>
        <v>0</v>
      </c>
      <c r="Q1925" s="8">
        <v>70080.87</v>
      </c>
      <c r="R1925" s="8"/>
      <c r="S1925" s="8"/>
      <c r="T1925" s="9">
        <v>70080.87</v>
      </c>
      <c r="U1925" s="9">
        <f t="shared" si="194"/>
        <v>70080.87</v>
      </c>
      <c r="V1925" s="9">
        <f t="shared" si="195"/>
        <v>18077231.280000001</v>
      </c>
      <c r="W1925" s="9">
        <f t="shared" si="196"/>
        <v>70080.870000001043</v>
      </c>
      <c r="X1925" s="9">
        <f t="shared" si="197"/>
        <v>18077231.280000001</v>
      </c>
      <c r="Y1925" s="8"/>
      <c r="Z1925" s="9">
        <f t="shared" si="198"/>
        <v>70080.870000001043</v>
      </c>
      <c r="AA1925" s="8">
        <f t="shared" si="199"/>
        <v>18147312.150000002</v>
      </c>
      <c r="AB1925" s="8">
        <f t="shared" si="200"/>
        <v>0</v>
      </c>
    </row>
    <row r="1926" spans="1:28" x14ac:dyDescent="0.35">
      <c r="A1926" s="36"/>
      <c r="B1926" s="8"/>
      <c r="C1926" s="8"/>
      <c r="D1926" s="8"/>
      <c r="E1926" s="17" t="s">
        <v>29</v>
      </c>
      <c r="F1926" s="17" t="s">
        <v>29</v>
      </c>
      <c r="G1926" s="17" t="s">
        <v>29</v>
      </c>
      <c r="H1926" s="17" t="s">
        <v>29</v>
      </c>
      <c r="I1926" s="17" t="s">
        <v>29</v>
      </c>
      <c r="J1926" s="17" t="s">
        <v>29</v>
      </c>
      <c r="K1926" s="17" t="s">
        <v>29</v>
      </c>
      <c r="L1926" s="17" t="s">
        <v>29</v>
      </c>
      <c r="M1926" s="17" t="s">
        <v>29</v>
      </c>
      <c r="N1926" s="17" t="s">
        <v>29</v>
      </c>
      <c r="O1926" s="17" t="s">
        <v>29</v>
      </c>
      <c r="P1926" s="17" t="s">
        <v>29</v>
      </c>
      <c r="Q1926" s="17" t="s">
        <v>29</v>
      </c>
      <c r="R1926" s="17" t="s">
        <v>29</v>
      </c>
      <c r="S1926" s="17" t="s">
        <v>29</v>
      </c>
      <c r="T1926" s="17" t="s">
        <v>29</v>
      </c>
      <c r="U1926" s="17" t="s">
        <v>29</v>
      </c>
      <c r="V1926" s="17" t="s">
        <v>29</v>
      </c>
      <c r="W1926" s="17" t="s">
        <v>29</v>
      </c>
      <c r="X1926" s="17" t="s">
        <v>29</v>
      </c>
      <c r="Y1926" s="17" t="s">
        <v>29</v>
      </c>
      <c r="Z1926" s="17" t="s">
        <v>29</v>
      </c>
      <c r="AA1926" s="17" t="s">
        <v>29</v>
      </c>
      <c r="AB1926" s="17" t="s">
        <v>29</v>
      </c>
    </row>
    <row r="1927" spans="1:28" x14ac:dyDescent="0.35">
      <c r="A1927" s="36"/>
      <c r="B1927" s="8"/>
      <c r="C1927" s="8"/>
      <c r="D1927" s="8"/>
      <c r="E1927" s="9">
        <f t="shared" ref="E1927:AB1927" si="201">SUM(E1908:E1925)</f>
        <v>117699935.09999999</v>
      </c>
      <c r="F1927" s="9">
        <f t="shared" si="201"/>
        <v>113560600.57999998</v>
      </c>
      <c r="G1927" s="9">
        <f t="shared" si="201"/>
        <v>0</v>
      </c>
      <c r="H1927" s="9">
        <f t="shared" si="201"/>
        <v>113560600.57999998</v>
      </c>
      <c r="I1927" s="9">
        <f t="shared" si="201"/>
        <v>18077231.280000001</v>
      </c>
      <c r="J1927" s="9">
        <f t="shared" si="201"/>
        <v>18077231.280000001</v>
      </c>
      <c r="K1927" s="9">
        <f t="shared" si="201"/>
        <v>0</v>
      </c>
      <c r="L1927" s="9">
        <f t="shared" si="201"/>
        <v>0</v>
      </c>
      <c r="M1927" s="9">
        <f t="shared" si="201"/>
        <v>113560600.57999998</v>
      </c>
      <c r="N1927" s="9">
        <f t="shared" si="201"/>
        <v>4069253.65</v>
      </c>
      <c r="O1927" s="9">
        <f t="shared" si="201"/>
        <v>0</v>
      </c>
      <c r="P1927" s="9">
        <f t="shared" si="201"/>
        <v>4069253.65</v>
      </c>
      <c r="Q1927" s="9">
        <f t="shared" si="201"/>
        <v>70080.87</v>
      </c>
      <c r="R1927" s="9">
        <f t="shared" si="201"/>
        <v>0</v>
      </c>
      <c r="S1927" s="9">
        <f t="shared" si="201"/>
        <v>0</v>
      </c>
      <c r="T1927" s="9">
        <f t="shared" si="201"/>
        <v>70080.87</v>
      </c>
      <c r="U1927" s="9">
        <f t="shared" si="201"/>
        <v>4139334.52</v>
      </c>
      <c r="V1927" s="9">
        <f t="shared" si="201"/>
        <v>117629854.22999999</v>
      </c>
      <c r="W1927" s="9">
        <f t="shared" si="201"/>
        <v>70080.870000001043</v>
      </c>
      <c r="X1927" s="9">
        <f t="shared" si="201"/>
        <v>117629854.22999999</v>
      </c>
      <c r="Y1927" s="9">
        <f t="shared" si="201"/>
        <v>0</v>
      </c>
      <c r="Z1927" s="9">
        <f t="shared" si="201"/>
        <v>70080.870000001043</v>
      </c>
      <c r="AA1927" s="9">
        <f t="shared" si="201"/>
        <v>117699935.09999999</v>
      </c>
      <c r="AB1927" s="9">
        <f t="shared" si="201"/>
        <v>0</v>
      </c>
    </row>
    <row r="1928" spans="1:28" x14ac:dyDescent="0.35">
      <c r="A1928" s="36"/>
      <c r="B1928" s="8"/>
      <c r="C1928" s="8"/>
      <c r="D1928" s="8"/>
      <c r="E1928" s="17" t="s">
        <v>29</v>
      </c>
      <c r="F1928" s="17" t="s">
        <v>29</v>
      </c>
      <c r="G1928" s="17" t="s">
        <v>29</v>
      </c>
      <c r="H1928" s="17" t="s">
        <v>29</v>
      </c>
      <c r="I1928" s="17" t="s">
        <v>29</v>
      </c>
      <c r="J1928" s="17" t="s">
        <v>29</v>
      </c>
      <c r="K1928" s="17" t="s">
        <v>29</v>
      </c>
      <c r="L1928" s="17" t="s">
        <v>29</v>
      </c>
      <c r="M1928" s="17" t="s">
        <v>29</v>
      </c>
      <c r="N1928" s="17" t="s">
        <v>29</v>
      </c>
      <c r="O1928" s="17" t="s">
        <v>29</v>
      </c>
      <c r="P1928" s="17" t="s">
        <v>29</v>
      </c>
      <c r="Q1928" s="17" t="s">
        <v>29</v>
      </c>
      <c r="R1928" s="17" t="s">
        <v>29</v>
      </c>
      <c r="S1928" s="17" t="s">
        <v>29</v>
      </c>
      <c r="T1928" s="17" t="s">
        <v>29</v>
      </c>
      <c r="U1928" s="17" t="s">
        <v>29</v>
      </c>
      <c r="V1928" s="17" t="s">
        <v>29</v>
      </c>
      <c r="W1928" s="17" t="s">
        <v>29</v>
      </c>
      <c r="X1928" s="17" t="s">
        <v>29</v>
      </c>
      <c r="Y1928" s="17" t="s">
        <v>29</v>
      </c>
      <c r="Z1928" s="17" t="s">
        <v>29</v>
      </c>
      <c r="AA1928" s="17" t="s">
        <v>29</v>
      </c>
      <c r="AB1928" s="17" t="s">
        <v>29</v>
      </c>
    </row>
    <row r="1929" spans="1:28" x14ac:dyDescent="0.35">
      <c r="A1929" s="38" t="s">
        <v>1026</v>
      </c>
      <c r="B1929" s="7" t="s">
        <v>369</v>
      </c>
      <c r="C1929" s="8"/>
      <c r="D1929" s="8"/>
      <c r="E1929" s="8"/>
      <c r="F1929" s="8"/>
      <c r="G1929" s="8"/>
      <c r="H1929" s="8"/>
      <c r="I1929" s="8"/>
      <c r="J1929" s="8"/>
      <c r="K1929" s="8"/>
      <c r="L1929" s="8"/>
      <c r="M1929" s="8"/>
      <c r="N1929" s="8"/>
      <c r="O1929" s="8"/>
      <c r="P1929" s="8"/>
      <c r="Q1929" s="8"/>
      <c r="R1929" s="8"/>
      <c r="S1929" s="8"/>
      <c r="T1929" s="8"/>
      <c r="U1929" s="8"/>
      <c r="V1929" s="8"/>
      <c r="W1929" s="8"/>
      <c r="X1929" s="8"/>
      <c r="Y1929" s="8"/>
      <c r="Z1929" s="8"/>
    </row>
    <row r="1930" spans="1:28" x14ac:dyDescent="0.35">
      <c r="A1930" s="36"/>
      <c r="B1930" s="8"/>
      <c r="C1930" s="8"/>
      <c r="D1930" s="15" t="s">
        <v>370</v>
      </c>
      <c r="E1930" s="8"/>
      <c r="F1930" s="8"/>
      <c r="G1930" s="8"/>
      <c r="H1930" s="8"/>
      <c r="I1930" s="8"/>
      <c r="J1930" s="8"/>
      <c r="K1930" s="8"/>
      <c r="L1930" s="8"/>
      <c r="M1930" s="8"/>
      <c r="N1930" s="8"/>
      <c r="O1930" s="8"/>
      <c r="P1930" s="8"/>
      <c r="Q1930" s="8"/>
      <c r="R1930" s="8"/>
      <c r="S1930" s="8"/>
      <c r="T1930" s="8"/>
      <c r="U1930" s="8"/>
      <c r="V1930" s="8"/>
      <c r="W1930" s="8"/>
      <c r="X1930" s="8"/>
      <c r="Y1930" s="8"/>
      <c r="Z1930" s="8"/>
    </row>
    <row r="1931" spans="1:28" x14ac:dyDescent="0.35">
      <c r="A1931" s="36"/>
      <c r="B1931" s="8"/>
      <c r="C1931" s="7" t="s">
        <v>51</v>
      </c>
      <c r="D1931" s="14" t="s">
        <v>371</v>
      </c>
      <c r="E1931" s="9">
        <v>18200518.390000001</v>
      </c>
      <c r="F1931" s="9">
        <v>16921788.510000002</v>
      </c>
      <c r="G1931" s="8"/>
      <c r="H1931" s="9">
        <f t="shared" ref="H1931:H1945" si="202">F1931+G1931</f>
        <v>16921788.510000002</v>
      </c>
      <c r="I1931" s="8"/>
      <c r="J1931" s="8"/>
      <c r="K1931" s="8"/>
      <c r="L1931" s="9"/>
      <c r="M1931" s="9">
        <f t="shared" ref="M1931:M1945" si="203">H1931+L1931</f>
        <v>16921788.510000002</v>
      </c>
      <c r="N1931" s="9">
        <f>730573.97+548155.91</f>
        <v>1278729.8799999999</v>
      </c>
      <c r="O1931" s="8"/>
      <c r="P1931" s="9">
        <f t="shared" ref="P1931:P1945" si="204">N1931+O1931</f>
        <v>1278729.8799999999</v>
      </c>
      <c r="Q1931" s="8"/>
      <c r="R1931" s="8"/>
      <c r="S1931" s="8"/>
      <c r="T1931" s="9"/>
      <c r="U1931" s="9">
        <f t="shared" ref="U1931:U1945" si="205">P1931+T1931</f>
        <v>1278729.8799999999</v>
      </c>
      <c r="V1931" s="9">
        <f t="shared" ref="V1931:V1945" si="206">P1931+H1931</f>
        <v>18200518.390000001</v>
      </c>
      <c r="W1931" s="9">
        <f t="shared" ref="W1931:W1945" si="207">E1931-V1931</f>
        <v>0</v>
      </c>
      <c r="X1931" s="9">
        <f t="shared" ref="X1931:X1945" si="208">+H1931+P1931</f>
        <v>18200518.390000001</v>
      </c>
      <c r="Y1931" s="8"/>
      <c r="Z1931" s="9">
        <f t="shared" ref="Z1931:Z1945" si="209">+E1931-X1931</f>
        <v>0</v>
      </c>
      <c r="AA1931" s="8">
        <f t="shared" ref="AA1931:AA1945" si="210">+M1931+U1931</f>
        <v>18200518.390000001</v>
      </c>
      <c r="AB1931" s="8">
        <f t="shared" ref="AB1931:AB1945" si="211">+E1931-AA1931</f>
        <v>0</v>
      </c>
    </row>
    <row r="1932" spans="1:28" x14ac:dyDescent="0.35">
      <c r="A1932" s="36"/>
      <c r="B1932" s="8"/>
      <c r="C1932" s="7" t="s">
        <v>53</v>
      </c>
      <c r="D1932" s="15" t="s">
        <v>68</v>
      </c>
      <c r="E1932" s="9">
        <v>1767770</v>
      </c>
      <c r="F1932" s="9">
        <v>0</v>
      </c>
      <c r="G1932" s="8"/>
      <c r="H1932" s="9">
        <f t="shared" si="202"/>
        <v>0</v>
      </c>
      <c r="I1932" s="8"/>
      <c r="J1932" s="8"/>
      <c r="K1932" s="8"/>
      <c r="L1932" s="9"/>
      <c r="M1932" s="9">
        <f t="shared" si="203"/>
        <v>0</v>
      </c>
      <c r="N1932" s="9">
        <v>1767770</v>
      </c>
      <c r="O1932" s="8"/>
      <c r="P1932" s="9">
        <f t="shared" si="204"/>
        <v>1767770</v>
      </c>
      <c r="Q1932" s="8"/>
      <c r="R1932" s="8"/>
      <c r="S1932" s="8"/>
      <c r="T1932" s="9"/>
      <c r="U1932" s="9">
        <f t="shared" si="205"/>
        <v>1767770</v>
      </c>
      <c r="V1932" s="9">
        <f t="shared" si="206"/>
        <v>1767770</v>
      </c>
      <c r="W1932" s="9">
        <f t="shared" si="207"/>
        <v>0</v>
      </c>
      <c r="X1932" s="9">
        <f t="shared" si="208"/>
        <v>1767770</v>
      </c>
      <c r="Y1932" s="8"/>
      <c r="Z1932" s="9">
        <f t="shared" si="209"/>
        <v>0</v>
      </c>
      <c r="AA1932" s="8">
        <f t="shared" si="210"/>
        <v>1767770</v>
      </c>
      <c r="AB1932" s="8">
        <f t="shared" si="211"/>
        <v>0</v>
      </c>
    </row>
    <row r="1933" spans="1:28" x14ac:dyDescent="0.35">
      <c r="A1933" s="36"/>
      <c r="B1933" s="8"/>
      <c r="C1933" s="7" t="s">
        <v>192</v>
      </c>
      <c r="D1933" s="15" t="s">
        <v>54</v>
      </c>
      <c r="E1933" s="9">
        <v>955345.62</v>
      </c>
      <c r="F1933" s="9">
        <v>0</v>
      </c>
      <c r="G1933" s="8"/>
      <c r="H1933" s="9">
        <f t="shared" si="202"/>
        <v>0</v>
      </c>
      <c r="I1933" s="8"/>
      <c r="J1933" s="8"/>
      <c r="K1933" s="8"/>
      <c r="L1933" s="9"/>
      <c r="M1933" s="9">
        <f t="shared" si="203"/>
        <v>0</v>
      </c>
      <c r="N1933" s="9">
        <v>955345.62</v>
      </c>
      <c r="O1933" s="8"/>
      <c r="P1933" s="9">
        <f t="shared" si="204"/>
        <v>955345.62</v>
      </c>
      <c r="Q1933" s="8"/>
      <c r="R1933" s="8"/>
      <c r="S1933" s="8"/>
      <c r="T1933" s="9"/>
      <c r="U1933" s="9">
        <f t="shared" si="205"/>
        <v>955345.62</v>
      </c>
      <c r="V1933" s="9">
        <f t="shared" si="206"/>
        <v>955345.62</v>
      </c>
      <c r="W1933" s="9">
        <f t="shared" si="207"/>
        <v>0</v>
      </c>
      <c r="X1933" s="9">
        <f t="shared" si="208"/>
        <v>955345.62</v>
      </c>
      <c r="Y1933" s="8"/>
      <c r="Z1933" s="9">
        <f t="shared" si="209"/>
        <v>0</v>
      </c>
      <c r="AA1933" s="8">
        <f t="shared" si="210"/>
        <v>955345.62</v>
      </c>
      <c r="AB1933" s="8">
        <f t="shared" si="211"/>
        <v>0</v>
      </c>
    </row>
    <row r="1934" spans="1:28" x14ac:dyDescent="0.35">
      <c r="A1934" s="36"/>
      <c r="B1934" s="8"/>
      <c r="C1934" s="7" t="s">
        <v>372</v>
      </c>
      <c r="D1934" s="15" t="s">
        <v>85</v>
      </c>
      <c r="E1934" s="9">
        <v>4000000</v>
      </c>
      <c r="F1934" s="9">
        <v>4000000</v>
      </c>
      <c r="G1934" s="8"/>
      <c r="H1934" s="9">
        <f t="shared" si="202"/>
        <v>4000000</v>
      </c>
      <c r="I1934" s="8"/>
      <c r="J1934" s="8"/>
      <c r="K1934" s="8"/>
      <c r="L1934" s="9"/>
      <c r="M1934" s="9">
        <f t="shared" si="203"/>
        <v>4000000</v>
      </c>
      <c r="N1934" s="9">
        <v>0</v>
      </c>
      <c r="O1934" s="8"/>
      <c r="P1934" s="9">
        <f t="shared" si="204"/>
        <v>0</v>
      </c>
      <c r="Q1934" s="8"/>
      <c r="R1934" s="8"/>
      <c r="S1934" s="8"/>
      <c r="T1934" s="9"/>
      <c r="U1934" s="9">
        <f t="shared" si="205"/>
        <v>0</v>
      </c>
      <c r="V1934" s="9">
        <f t="shared" si="206"/>
        <v>4000000</v>
      </c>
      <c r="W1934" s="9">
        <f t="shared" si="207"/>
        <v>0</v>
      </c>
      <c r="X1934" s="9">
        <f t="shared" si="208"/>
        <v>4000000</v>
      </c>
      <c r="Y1934" s="8"/>
      <c r="Z1934" s="9">
        <f t="shared" si="209"/>
        <v>0</v>
      </c>
      <c r="AA1934" s="8">
        <f t="shared" si="210"/>
        <v>4000000</v>
      </c>
      <c r="AB1934" s="8">
        <f t="shared" si="211"/>
        <v>0</v>
      </c>
    </row>
    <row r="1935" spans="1:28" x14ac:dyDescent="0.35">
      <c r="A1935" s="36"/>
      <c r="B1935" s="8"/>
      <c r="C1935" s="7" t="s">
        <v>57</v>
      </c>
      <c r="D1935" s="15" t="s">
        <v>58</v>
      </c>
      <c r="E1935" s="9">
        <v>3290826</v>
      </c>
      <c r="F1935" s="9">
        <v>3290826</v>
      </c>
      <c r="G1935" s="8"/>
      <c r="H1935" s="9">
        <f t="shared" si="202"/>
        <v>3290826</v>
      </c>
      <c r="I1935" s="8"/>
      <c r="J1935" s="8"/>
      <c r="K1935" s="8"/>
      <c r="L1935" s="9"/>
      <c r="M1935" s="9">
        <f t="shared" si="203"/>
        <v>3290826</v>
      </c>
      <c r="N1935" s="9">
        <v>0</v>
      </c>
      <c r="O1935" s="8"/>
      <c r="P1935" s="9">
        <f t="shared" si="204"/>
        <v>0</v>
      </c>
      <c r="Q1935" s="8"/>
      <c r="R1935" s="8"/>
      <c r="S1935" s="8"/>
      <c r="T1935" s="9"/>
      <c r="U1935" s="9">
        <f t="shared" si="205"/>
        <v>0</v>
      </c>
      <c r="V1935" s="9">
        <f t="shared" si="206"/>
        <v>3290826</v>
      </c>
      <c r="W1935" s="9">
        <f t="shared" si="207"/>
        <v>0</v>
      </c>
      <c r="X1935" s="9">
        <f t="shared" si="208"/>
        <v>3290826</v>
      </c>
      <c r="Y1935" s="8"/>
      <c r="Z1935" s="9">
        <f t="shared" si="209"/>
        <v>0</v>
      </c>
      <c r="AA1935" s="8">
        <f t="shared" si="210"/>
        <v>3290826</v>
      </c>
      <c r="AB1935" s="8">
        <f t="shared" si="211"/>
        <v>0</v>
      </c>
    </row>
    <row r="1936" spans="1:28" x14ac:dyDescent="0.35">
      <c r="A1936" s="36"/>
      <c r="B1936" s="8"/>
      <c r="C1936" s="7" t="s">
        <v>57</v>
      </c>
      <c r="D1936" s="15" t="s">
        <v>60</v>
      </c>
      <c r="E1936" s="9">
        <v>9092089.5600000005</v>
      </c>
      <c r="F1936" s="11">
        <v>9092089.5600000005</v>
      </c>
      <c r="G1936" s="8"/>
      <c r="H1936" s="9">
        <f t="shared" si="202"/>
        <v>9092089.5600000005</v>
      </c>
      <c r="I1936" s="8"/>
      <c r="J1936" s="8"/>
      <c r="K1936" s="8"/>
      <c r="L1936" s="9"/>
      <c r="M1936" s="9">
        <f t="shared" si="203"/>
        <v>9092089.5600000005</v>
      </c>
      <c r="N1936" s="9">
        <v>0</v>
      </c>
      <c r="O1936" s="8"/>
      <c r="P1936" s="9">
        <f t="shared" si="204"/>
        <v>0</v>
      </c>
      <c r="Q1936" s="8"/>
      <c r="R1936" s="8"/>
      <c r="S1936" s="8"/>
      <c r="T1936" s="9"/>
      <c r="U1936" s="9">
        <f t="shared" si="205"/>
        <v>0</v>
      </c>
      <c r="V1936" s="9">
        <f t="shared" si="206"/>
        <v>9092089.5600000005</v>
      </c>
      <c r="W1936" s="9">
        <f t="shared" si="207"/>
        <v>0</v>
      </c>
      <c r="X1936" s="9">
        <f t="shared" si="208"/>
        <v>9092089.5600000005</v>
      </c>
      <c r="Y1936" s="8"/>
      <c r="Z1936" s="9">
        <f t="shared" si="209"/>
        <v>0</v>
      </c>
      <c r="AA1936" s="8">
        <f t="shared" si="210"/>
        <v>9092089.5600000005</v>
      </c>
      <c r="AB1936" s="8">
        <f t="shared" si="211"/>
        <v>0</v>
      </c>
    </row>
    <row r="1937" spans="1:28" x14ac:dyDescent="0.35">
      <c r="A1937" s="36"/>
      <c r="B1937" s="8"/>
      <c r="C1937" s="14" t="s">
        <v>109</v>
      </c>
      <c r="D1937" s="21" t="s">
        <v>60</v>
      </c>
      <c r="E1937" s="9">
        <v>7500000</v>
      </c>
      <c r="F1937" s="11">
        <v>7500000</v>
      </c>
      <c r="G1937" s="8"/>
      <c r="H1937" s="9">
        <f t="shared" si="202"/>
        <v>7500000</v>
      </c>
      <c r="I1937" s="8"/>
      <c r="J1937" s="8"/>
      <c r="K1937" s="8"/>
      <c r="L1937" s="9"/>
      <c r="M1937" s="9">
        <f t="shared" si="203"/>
        <v>7500000</v>
      </c>
      <c r="N1937" s="9">
        <v>0</v>
      </c>
      <c r="O1937" s="8"/>
      <c r="P1937" s="9">
        <f t="shared" si="204"/>
        <v>0</v>
      </c>
      <c r="Q1937" s="8"/>
      <c r="R1937" s="8"/>
      <c r="S1937" s="8"/>
      <c r="T1937" s="9"/>
      <c r="U1937" s="9">
        <f t="shared" si="205"/>
        <v>0</v>
      </c>
      <c r="V1937" s="9">
        <f t="shared" si="206"/>
        <v>7500000</v>
      </c>
      <c r="W1937" s="9">
        <f t="shared" si="207"/>
        <v>0</v>
      </c>
      <c r="X1937" s="9">
        <f t="shared" si="208"/>
        <v>7500000</v>
      </c>
      <c r="Y1937" s="8"/>
      <c r="Z1937" s="9">
        <f t="shared" si="209"/>
        <v>0</v>
      </c>
      <c r="AA1937" s="8">
        <f t="shared" si="210"/>
        <v>7500000</v>
      </c>
      <c r="AB1937" s="8">
        <f t="shared" si="211"/>
        <v>0</v>
      </c>
    </row>
    <row r="1938" spans="1:28" x14ac:dyDescent="0.35">
      <c r="A1938" s="36"/>
      <c r="B1938" s="8"/>
      <c r="C1938" s="14" t="s">
        <v>373</v>
      </c>
      <c r="D1938" s="21" t="s">
        <v>60</v>
      </c>
      <c r="E1938" s="9">
        <v>3200000</v>
      </c>
      <c r="F1938" s="11">
        <v>3200000</v>
      </c>
      <c r="G1938" s="8"/>
      <c r="H1938" s="9">
        <f t="shared" si="202"/>
        <v>3200000</v>
      </c>
      <c r="I1938" s="8"/>
      <c r="J1938" s="8"/>
      <c r="K1938" s="8"/>
      <c r="L1938" s="9"/>
      <c r="M1938" s="9">
        <f t="shared" si="203"/>
        <v>3200000</v>
      </c>
      <c r="N1938" s="9">
        <v>0</v>
      </c>
      <c r="O1938" s="8"/>
      <c r="P1938" s="9">
        <f t="shared" si="204"/>
        <v>0</v>
      </c>
      <c r="Q1938" s="8"/>
      <c r="R1938" s="8"/>
      <c r="S1938" s="8"/>
      <c r="T1938" s="9"/>
      <c r="U1938" s="9">
        <f t="shared" si="205"/>
        <v>0</v>
      </c>
      <c r="V1938" s="9">
        <f t="shared" si="206"/>
        <v>3200000</v>
      </c>
      <c r="W1938" s="9">
        <f t="shared" si="207"/>
        <v>0</v>
      </c>
      <c r="X1938" s="9">
        <f t="shared" si="208"/>
        <v>3200000</v>
      </c>
      <c r="Y1938" s="8"/>
      <c r="Z1938" s="9">
        <f t="shared" si="209"/>
        <v>0</v>
      </c>
      <c r="AA1938" s="8">
        <f t="shared" si="210"/>
        <v>3200000</v>
      </c>
      <c r="AB1938" s="8">
        <f t="shared" si="211"/>
        <v>0</v>
      </c>
    </row>
    <row r="1939" spans="1:28" x14ac:dyDescent="0.35">
      <c r="A1939" s="36"/>
      <c r="B1939" s="8"/>
      <c r="C1939" s="7" t="s">
        <v>374</v>
      </c>
      <c r="D1939" s="15" t="s">
        <v>60</v>
      </c>
      <c r="E1939" s="9">
        <v>500000</v>
      </c>
      <c r="F1939" s="11">
        <v>500000</v>
      </c>
      <c r="G1939" s="8"/>
      <c r="H1939" s="9">
        <f t="shared" si="202"/>
        <v>500000</v>
      </c>
      <c r="I1939" s="8"/>
      <c r="J1939" s="8"/>
      <c r="K1939" s="8"/>
      <c r="L1939" s="9"/>
      <c r="M1939" s="9">
        <f t="shared" si="203"/>
        <v>500000</v>
      </c>
      <c r="N1939" s="9">
        <v>0</v>
      </c>
      <c r="O1939" s="8"/>
      <c r="P1939" s="9">
        <f t="shared" si="204"/>
        <v>0</v>
      </c>
      <c r="Q1939" s="8"/>
      <c r="R1939" s="8"/>
      <c r="S1939" s="8"/>
      <c r="T1939" s="9"/>
      <c r="U1939" s="9">
        <f t="shared" si="205"/>
        <v>0</v>
      </c>
      <c r="V1939" s="9">
        <f t="shared" si="206"/>
        <v>500000</v>
      </c>
      <c r="W1939" s="9">
        <f t="shared" si="207"/>
        <v>0</v>
      </c>
      <c r="X1939" s="9">
        <f t="shared" si="208"/>
        <v>500000</v>
      </c>
      <c r="Y1939" s="8"/>
      <c r="Z1939" s="9">
        <f t="shared" si="209"/>
        <v>0</v>
      </c>
      <c r="AA1939" s="8">
        <f t="shared" si="210"/>
        <v>500000</v>
      </c>
      <c r="AB1939" s="8">
        <f t="shared" si="211"/>
        <v>0</v>
      </c>
    </row>
    <row r="1940" spans="1:28" x14ac:dyDescent="0.35">
      <c r="A1940" s="36"/>
      <c r="B1940" s="8"/>
      <c r="C1940" s="7" t="s">
        <v>57</v>
      </c>
      <c r="D1940" s="15" t="s">
        <v>73</v>
      </c>
      <c r="E1940" s="9">
        <v>12747022</v>
      </c>
      <c r="F1940" s="11">
        <v>12747022</v>
      </c>
      <c r="G1940" s="8"/>
      <c r="H1940" s="9">
        <f>F1940+G1940</f>
        <v>12747022</v>
      </c>
      <c r="I1940" s="8"/>
      <c r="J1940" s="8"/>
      <c r="K1940" s="8"/>
      <c r="L1940" s="9"/>
      <c r="M1940" s="9">
        <f>H1940+L1940</f>
        <v>12747022</v>
      </c>
      <c r="N1940" s="9">
        <v>0</v>
      </c>
      <c r="O1940" s="8"/>
      <c r="P1940" s="9">
        <f t="shared" si="204"/>
        <v>0</v>
      </c>
      <c r="Q1940" s="8"/>
      <c r="R1940" s="8"/>
      <c r="S1940" s="8"/>
      <c r="T1940" s="9"/>
      <c r="U1940" s="9">
        <f t="shared" si="205"/>
        <v>0</v>
      </c>
      <c r="V1940" s="9">
        <f t="shared" si="206"/>
        <v>12747022</v>
      </c>
      <c r="W1940" s="9">
        <f t="shared" si="207"/>
        <v>0</v>
      </c>
      <c r="X1940" s="9">
        <f t="shared" si="208"/>
        <v>12747022</v>
      </c>
      <c r="Y1940" s="8"/>
      <c r="Z1940" s="9">
        <f t="shared" si="209"/>
        <v>0</v>
      </c>
      <c r="AA1940" s="8">
        <f t="shared" si="210"/>
        <v>12747022</v>
      </c>
      <c r="AB1940" s="8">
        <f t="shared" si="211"/>
        <v>0</v>
      </c>
    </row>
    <row r="1941" spans="1:28" x14ac:dyDescent="0.35">
      <c r="A1941" s="36"/>
      <c r="B1941" s="8"/>
      <c r="C1941" s="7" t="s">
        <v>62</v>
      </c>
      <c r="D1941" s="8"/>
      <c r="E1941" s="9">
        <v>1066621.5</v>
      </c>
      <c r="F1941" s="9">
        <v>1066621.5</v>
      </c>
      <c r="G1941" s="8"/>
      <c r="H1941" s="9">
        <f t="shared" si="202"/>
        <v>1066621.5</v>
      </c>
      <c r="I1941" s="8"/>
      <c r="J1941" s="8"/>
      <c r="K1941" s="8"/>
      <c r="L1941" s="9"/>
      <c r="M1941" s="9">
        <f t="shared" si="203"/>
        <v>1066621.5</v>
      </c>
      <c r="N1941" s="9">
        <v>0</v>
      </c>
      <c r="O1941" s="8"/>
      <c r="P1941" s="9">
        <f t="shared" si="204"/>
        <v>0</v>
      </c>
      <c r="Q1941" s="8"/>
      <c r="R1941" s="8"/>
      <c r="S1941" s="8"/>
      <c r="T1941" s="9"/>
      <c r="U1941" s="9">
        <f t="shared" si="205"/>
        <v>0</v>
      </c>
      <c r="V1941" s="9">
        <f t="shared" si="206"/>
        <v>1066621.5</v>
      </c>
      <c r="W1941" s="9">
        <f t="shared" si="207"/>
        <v>0</v>
      </c>
      <c r="X1941" s="9">
        <f t="shared" si="208"/>
        <v>1066621.5</v>
      </c>
      <c r="Y1941" s="8"/>
      <c r="Z1941" s="9">
        <f t="shared" si="209"/>
        <v>0</v>
      </c>
      <c r="AA1941" s="8">
        <f t="shared" si="210"/>
        <v>1066621.5</v>
      </c>
      <c r="AB1941" s="8">
        <f t="shared" si="211"/>
        <v>0</v>
      </c>
    </row>
    <row r="1942" spans="1:28" x14ac:dyDescent="0.35">
      <c r="A1942" s="36"/>
      <c r="B1942" s="8"/>
      <c r="C1942" s="7" t="s">
        <v>924</v>
      </c>
      <c r="D1942" s="8"/>
      <c r="E1942" s="9">
        <f>509562.58+312691.88</f>
        <v>822254.46</v>
      </c>
      <c r="F1942" s="9">
        <f>509562.58+312691.88</f>
        <v>822254.46</v>
      </c>
      <c r="G1942" s="8"/>
      <c r="H1942" s="9">
        <f>F1942+G1942</f>
        <v>822254.46</v>
      </c>
      <c r="I1942" s="8"/>
      <c r="J1942" s="8"/>
      <c r="K1942" s="8"/>
      <c r="L1942" s="9"/>
      <c r="M1942" s="9">
        <f>H1942+L1942</f>
        <v>822254.46</v>
      </c>
      <c r="N1942" s="9">
        <v>0</v>
      </c>
      <c r="O1942" s="8"/>
      <c r="P1942" s="9">
        <f>+N1942+O1942</f>
        <v>0</v>
      </c>
      <c r="Q1942" s="8"/>
      <c r="R1942" s="8"/>
      <c r="S1942" s="8"/>
      <c r="T1942" s="9"/>
      <c r="U1942" s="9">
        <f>P1942+T1942</f>
        <v>0</v>
      </c>
      <c r="V1942" s="9">
        <f>P1942+H1942</f>
        <v>822254.46</v>
      </c>
      <c r="W1942" s="9">
        <f>E1942-V1942</f>
        <v>0</v>
      </c>
      <c r="X1942" s="9">
        <f t="shared" si="208"/>
        <v>822254.46</v>
      </c>
      <c r="Y1942" s="8"/>
      <c r="Z1942" s="9">
        <f t="shared" si="209"/>
        <v>0</v>
      </c>
      <c r="AA1942" s="8">
        <f t="shared" si="210"/>
        <v>822254.46</v>
      </c>
      <c r="AB1942" s="8">
        <f t="shared" si="211"/>
        <v>0</v>
      </c>
    </row>
    <row r="1943" spans="1:28" x14ac:dyDescent="0.35">
      <c r="A1943" s="36"/>
      <c r="B1943" s="8"/>
      <c r="C1943" s="7" t="s">
        <v>930</v>
      </c>
      <c r="D1943" s="23" t="s">
        <v>1072</v>
      </c>
      <c r="E1943" s="9">
        <f>8171263.38+4871893.86</f>
        <v>13043157.24</v>
      </c>
      <c r="F1943" s="9">
        <f>8171263.38+4871893.86</f>
        <v>13043157.24</v>
      </c>
      <c r="G1943" s="8"/>
      <c r="H1943" s="9">
        <f>+F1943+G1943</f>
        <v>13043157.24</v>
      </c>
      <c r="I1943" s="8"/>
      <c r="J1943" s="8"/>
      <c r="K1943" s="8"/>
      <c r="L1943" s="9"/>
      <c r="M1943" s="9">
        <f>H1943+L1943</f>
        <v>13043157.24</v>
      </c>
      <c r="N1943" s="9">
        <v>0</v>
      </c>
      <c r="O1943" s="8"/>
      <c r="P1943" s="9">
        <f>+N1943+O1943</f>
        <v>0</v>
      </c>
      <c r="Q1943" s="8"/>
      <c r="R1943" s="8"/>
      <c r="S1943" s="8"/>
      <c r="T1943" s="9"/>
      <c r="U1943" s="9">
        <f>P1943+T1943</f>
        <v>0</v>
      </c>
      <c r="V1943" s="9">
        <f>P1943+H1943</f>
        <v>13043157.24</v>
      </c>
      <c r="W1943" s="9"/>
      <c r="X1943" s="9">
        <f t="shared" si="208"/>
        <v>13043157.24</v>
      </c>
      <c r="Y1943" s="8"/>
      <c r="Z1943" s="9">
        <f t="shared" si="209"/>
        <v>0</v>
      </c>
      <c r="AA1943" s="8">
        <f t="shared" si="210"/>
        <v>13043157.24</v>
      </c>
      <c r="AB1943" s="8">
        <f t="shared" si="211"/>
        <v>0</v>
      </c>
    </row>
    <row r="1944" spans="1:28" x14ac:dyDescent="0.35">
      <c r="A1944" s="36"/>
      <c r="B1944" s="8"/>
      <c r="C1944" s="7" t="s">
        <v>1073</v>
      </c>
      <c r="D1944" s="23" t="s">
        <v>1072</v>
      </c>
      <c r="E1944" s="9">
        <v>802506.57</v>
      </c>
      <c r="F1944" s="9">
        <v>802506.57</v>
      </c>
      <c r="G1944" s="8"/>
      <c r="H1944" s="9">
        <f>+F1944+G1944</f>
        <v>802506.57</v>
      </c>
      <c r="I1944" s="8"/>
      <c r="J1944" s="8"/>
      <c r="K1944" s="8"/>
      <c r="L1944" s="9"/>
      <c r="M1944" s="9">
        <f>+H1944+L1944</f>
        <v>802506.57</v>
      </c>
      <c r="N1944" s="9">
        <v>0</v>
      </c>
      <c r="O1944" s="8"/>
      <c r="P1944" s="9">
        <v>0</v>
      </c>
      <c r="Q1944" s="8"/>
      <c r="R1944" s="8"/>
      <c r="S1944" s="8"/>
      <c r="T1944" s="9"/>
      <c r="U1944" s="9">
        <f>P1944+T1944</f>
        <v>0</v>
      </c>
      <c r="V1944" s="9">
        <f>P1944+H1944</f>
        <v>802506.57</v>
      </c>
      <c r="W1944" s="9">
        <f>E1944-V1944</f>
        <v>0</v>
      </c>
      <c r="X1944" s="9">
        <f t="shared" si="208"/>
        <v>802506.57</v>
      </c>
      <c r="Y1944" s="8"/>
      <c r="Z1944" s="9">
        <f t="shared" si="209"/>
        <v>0</v>
      </c>
      <c r="AA1944" s="8">
        <f t="shared" si="210"/>
        <v>802506.57</v>
      </c>
      <c r="AB1944" s="8">
        <f t="shared" si="211"/>
        <v>0</v>
      </c>
    </row>
    <row r="1945" spans="1:28" x14ac:dyDescent="0.35">
      <c r="A1945" s="36"/>
      <c r="B1945" s="8"/>
      <c r="C1945" s="7" t="s">
        <v>57</v>
      </c>
      <c r="D1945" s="23" t="s">
        <v>61</v>
      </c>
      <c r="E1945" s="9">
        <v>13695409.359999999</v>
      </c>
      <c r="F1945" s="9">
        <v>13695409.359999999</v>
      </c>
      <c r="G1945" s="8"/>
      <c r="H1945" s="9">
        <f t="shared" si="202"/>
        <v>13695409.359999999</v>
      </c>
      <c r="I1945" s="8">
        <v>13695409.359999999</v>
      </c>
      <c r="J1945" s="8">
        <v>13695409.359999999</v>
      </c>
      <c r="K1945" s="8"/>
      <c r="L1945" s="9"/>
      <c r="M1945" s="9">
        <f t="shared" si="203"/>
        <v>13695409.359999999</v>
      </c>
      <c r="N1945" s="9">
        <v>0</v>
      </c>
      <c r="O1945" s="8"/>
      <c r="P1945" s="9">
        <f t="shared" si="204"/>
        <v>0</v>
      </c>
      <c r="Q1945" s="8"/>
      <c r="R1945" s="8"/>
      <c r="S1945" s="8"/>
      <c r="T1945" s="9"/>
      <c r="U1945" s="9">
        <f t="shared" si="205"/>
        <v>0</v>
      </c>
      <c r="V1945" s="9">
        <f t="shared" si="206"/>
        <v>13695409.359999999</v>
      </c>
      <c r="W1945" s="9">
        <f t="shared" si="207"/>
        <v>0</v>
      </c>
      <c r="X1945" s="9">
        <f t="shared" si="208"/>
        <v>13695409.359999999</v>
      </c>
      <c r="Y1945" s="8"/>
      <c r="Z1945" s="9">
        <f t="shared" si="209"/>
        <v>0</v>
      </c>
      <c r="AA1945" s="8">
        <f t="shared" si="210"/>
        <v>13695409.359999999</v>
      </c>
      <c r="AB1945" s="8">
        <f t="shared" si="211"/>
        <v>0</v>
      </c>
    </row>
    <row r="1946" spans="1:28" x14ac:dyDescent="0.35">
      <c r="A1946" s="36"/>
      <c r="B1946" s="8"/>
      <c r="C1946" s="14" t="s">
        <v>375</v>
      </c>
      <c r="D1946" s="8"/>
      <c r="E1946" s="17" t="s">
        <v>29</v>
      </c>
      <c r="F1946" s="17" t="s">
        <v>29</v>
      </c>
      <c r="G1946" s="17" t="s">
        <v>29</v>
      </c>
      <c r="H1946" s="17" t="s">
        <v>29</v>
      </c>
      <c r="I1946" s="17" t="s">
        <v>29</v>
      </c>
      <c r="J1946" s="17" t="s">
        <v>29</v>
      </c>
      <c r="K1946" s="17" t="s">
        <v>29</v>
      </c>
      <c r="L1946" s="17" t="s">
        <v>29</v>
      </c>
      <c r="M1946" s="17" t="s">
        <v>29</v>
      </c>
      <c r="N1946" s="17" t="s">
        <v>29</v>
      </c>
      <c r="O1946" s="17" t="s">
        <v>29</v>
      </c>
      <c r="P1946" s="17" t="s">
        <v>29</v>
      </c>
      <c r="Q1946" s="17" t="s">
        <v>29</v>
      </c>
      <c r="R1946" s="17" t="s">
        <v>29</v>
      </c>
      <c r="S1946" s="17" t="s">
        <v>29</v>
      </c>
      <c r="T1946" s="17" t="s">
        <v>29</v>
      </c>
      <c r="U1946" s="17" t="s">
        <v>29</v>
      </c>
      <c r="V1946" s="17" t="s">
        <v>29</v>
      </c>
      <c r="W1946" s="17" t="s">
        <v>29</v>
      </c>
      <c r="X1946" s="17" t="s">
        <v>29</v>
      </c>
      <c r="Y1946" s="17" t="s">
        <v>29</v>
      </c>
      <c r="Z1946" s="17" t="s">
        <v>29</v>
      </c>
      <c r="AA1946" s="17" t="s">
        <v>29</v>
      </c>
      <c r="AB1946" s="17" t="s">
        <v>29</v>
      </c>
    </row>
    <row r="1947" spans="1:28" x14ac:dyDescent="0.35">
      <c r="A1947" s="36"/>
      <c r="B1947" s="8"/>
      <c r="C1947" s="8"/>
      <c r="D1947" s="8"/>
      <c r="E1947" s="9">
        <f t="shared" ref="E1947:AB1947" si="212">SUM(E1931:E1945)</f>
        <v>90683520.699999988</v>
      </c>
      <c r="F1947" s="9">
        <f t="shared" si="212"/>
        <v>86681675.199999988</v>
      </c>
      <c r="G1947" s="9">
        <f t="shared" si="212"/>
        <v>0</v>
      </c>
      <c r="H1947" s="9">
        <f t="shared" si="212"/>
        <v>86681675.199999988</v>
      </c>
      <c r="I1947" s="9">
        <f t="shared" si="212"/>
        <v>13695409.359999999</v>
      </c>
      <c r="J1947" s="9">
        <f t="shared" si="212"/>
        <v>13695409.359999999</v>
      </c>
      <c r="K1947" s="9">
        <f t="shared" si="212"/>
        <v>0</v>
      </c>
      <c r="L1947" s="9">
        <f t="shared" si="212"/>
        <v>0</v>
      </c>
      <c r="M1947" s="9">
        <f t="shared" si="212"/>
        <v>86681675.199999988</v>
      </c>
      <c r="N1947" s="9">
        <f t="shared" si="212"/>
        <v>4001845.5</v>
      </c>
      <c r="O1947" s="9">
        <f t="shared" si="212"/>
        <v>0</v>
      </c>
      <c r="P1947" s="9">
        <f t="shared" si="212"/>
        <v>4001845.5</v>
      </c>
      <c r="Q1947" s="9">
        <f t="shared" si="212"/>
        <v>0</v>
      </c>
      <c r="R1947" s="9">
        <f t="shared" si="212"/>
        <v>0</v>
      </c>
      <c r="S1947" s="9">
        <f t="shared" si="212"/>
        <v>0</v>
      </c>
      <c r="T1947" s="9">
        <f t="shared" si="212"/>
        <v>0</v>
      </c>
      <c r="U1947" s="9">
        <f t="shared" si="212"/>
        <v>4001845.5</v>
      </c>
      <c r="V1947" s="9">
        <f t="shared" si="212"/>
        <v>90683520.699999988</v>
      </c>
      <c r="W1947" s="9">
        <f t="shared" si="212"/>
        <v>0</v>
      </c>
      <c r="X1947" s="9">
        <f t="shared" si="212"/>
        <v>90683520.699999988</v>
      </c>
      <c r="Y1947" s="9">
        <f t="shared" si="212"/>
        <v>0</v>
      </c>
      <c r="Z1947" s="9">
        <f t="shared" si="212"/>
        <v>0</v>
      </c>
      <c r="AA1947" s="9">
        <f t="shared" si="212"/>
        <v>90683520.699999988</v>
      </c>
      <c r="AB1947" s="9">
        <f t="shared" si="212"/>
        <v>0</v>
      </c>
    </row>
    <row r="1948" spans="1:28" x14ac:dyDescent="0.35">
      <c r="A1948" s="36"/>
      <c r="B1948" s="8"/>
      <c r="C1948" s="8"/>
      <c r="D1948" s="8"/>
      <c r="E1948" s="17" t="s">
        <v>29</v>
      </c>
      <c r="F1948" s="17" t="s">
        <v>29</v>
      </c>
      <c r="G1948" s="17" t="s">
        <v>29</v>
      </c>
      <c r="H1948" s="17" t="s">
        <v>29</v>
      </c>
      <c r="I1948" s="17" t="s">
        <v>29</v>
      </c>
      <c r="J1948" s="17" t="s">
        <v>29</v>
      </c>
      <c r="K1948" s="17" t="s">
        <v>29</v>
      </c>
      <c r="L1948" s="17" t="s">
        <v>29</v>
      </c>
      <c r="M1948" s="17" t="s">
        <v>29</v>
      </c>
      <c r="N1948" s="17" t="s">
        <v>29</v>
      </c>
      <c r="O1948" s="17" t="s">
        <v>29</v>
      </c>
      <c r="P1948" s="17" t="s">
        <v>29</v>
      </c>
      <c r="Q1948" s="17" t="s">
        <v>29</v>
      </c>
      <c r="R1948" s="17" t="s">
        <v>29</v>
      </c>
      <c r="S1948" s="17" t="s">
        <v>29</v>
      </c>
      <c r="T1948" s="17" t="s">
        <v>29</v>
      </c>
      <c r="U1948" s="17" t="s">
        <v>29</v>
      </c>
      <c r="V1948" s="17" t="s">
        <v>29</v>
      </c>
      <c r="W1948" s="17" t="s">
        <v>29</v>
      </c>
      <c r="X1948" s="17" t="s">
        <v>29</v>
      </c>
      <c r="Y1948" s="17" t="s">
        <v>29</v>
      </c>
      <c r="Z1948" s="17" t="s">
        <v>29</v>
      </c>
      <c r="AA1948" s="17" t="s">
        <v>29</v>
      </c>
      <c r="AB1948" s="17" t="s">
        <v>29</v>
      </c>
    </row>
    <row r="1949" spans="1:28" x14ac:dyDescent="0.35">
      <c r="A1949" s="38" t="s">
        <v>1027</v>
      </c>
      <c r="B1949" s="7" t="s">
        <v>376</v>
      </c>
      <c r="C1949" s="8"/>
      <c r="D1949" s="8"/>
      <c r="E1949" s="8"/>
      <c r="F1949" s="8"/>
      <c r="G1949" s="8"/>
      <c r="H1949" s="8"/>
      <c r="I1949" s="8"/>
      <c r="J1949" s="8"/>
      <c r="K1949" s="8"/>
      <c r="L1949" s="8"/>
      <c r="M1949" s="8"/>
      <c r="N1949" s="8"/>
      <c r="O1949" s="8"/>
      <c r="P1949" s="8"/>
      <c r="Q1949" s="8"/>
      <c r="R1949" s="8"/>
      <c r="S1949" s="8"/>
      <c r="T1949" s="8"/>
      <c r="U1949" s="8"/>
      <c r="V1949" s="8"/>
      <c r="W1949" s="8"/>
      <c r="X1949" s="8"/>
      <c r="Y1949" s="8"/>
      <c r="Z1949" s="8"/>
    </row>
    <row r="1950" spans="1:28" x14ac:dyDescent="0.35">
      <c r="A1950" s="36"/>
      <c r="B1950" s="8"/>
      <c r="C1950" s="7" t="s">
        <v>377</v>
      </c>
      <c r="D1950" s="15" t="s">
        <v>378</v>
      </c>
      <c r="E1950" s="9">
        <v>17621965.73</v>
      </c>
      <c r="F1950" s="9">
        <v>16571030.210000001</v>
      </c>
      <c r="G1950" s="8"/>
      <c r="H1950" s="9">
        <f>F1950+G1950</f>
        <v>16571030.210000001</v>
      </c>
      <c r="I1950" s="8"/>
      <c r="J1950" s="8"/>
      <c r="K1950" s="8"/>
      <c r="L1950" s="9"/>
      <c r="M1950" s="9">
        <f>H1950+L1950</f>
        <v>16571030.210000001</v>
      </c>
      <c r="N1950" s="9">
        <v>1050935.52</v>
      </c>
      <c r="O1950" s="8"/>
      <c r="P1950" s="9">
        <f>N1950+O1950</f>
        <v>1050935.52</v>
      </c>
      <c r="Q1950" s="8"/>
      <c r="R1950" s="8"/>
      <c r="S1950" s="8"/>
      <c r="T1950" s="9"/>
      <c r="U1950" s="9">
        <f>P1950+T1950</f>
        <v>1050935.52</v>
      </c>
      <c r="V1950" s="9">
        <f>P1950+H1950</f>
        <v>17621965.73</v>
      </c>
      <c r="W1950" s="9">
        <f>E1950-V1950</f>
        <v>0</v>
      </c>
      <c r="X1950" s="9">
        <f>+H1950+P1950</f>
        <v>17621965.73</v>
      </c>
      <c r="Y1950" s="8"/>
      <c r="Z1950" s="9">
        <f>+E1950-X1950</f>
        <v>0</v>
      </c>
      <c r="AA1950" s="8">
        <f>+M1950+U1950</f>
        <v>17621965.73</v>
      </c>
      <c r="AB1950" s="8">
        <f>+E1950-AA1950</f>
        <v>0</v>
      </c>
    </row>
    <row r="1951" spans="1:28" x14ac:dyDescent="0.35">
      <c r="A1951" s="36"/>
      <c r="B1951" s="8"/>
      <c r="C1951" s="8"/>
      <c r="D1951" s="15" t="s">
        <v>79</v>
      </c>
      <c r="E1951" s="8"/>
      <c r="F1951" s="8"/>
      <c r="G1951" s="8"/>
      <c r="H1951" s="8"/>
      <c r="I1951" s="8"/>
      <c r="J1951" s="8"/>
      <c r="K1951" s="8"/>
      <c r="L1951" s="8"/>
      <c r="M1951" s="8"/>
      <c r="N1951" s="8"/>
      <c r="O1951" s="8"/>
      <c r="P1951" s="8"/>
      <c r="Q1951" s="8"/>
      <c r="R1951" s="8"/>
      <c r="S1951" s="8"/>
      <c r="T1951" s="8"/>
      <c r="U1951" s="8"/>
      <c r="V1951" s="8"/>
      <c r="W1951" s="8"/>
      <c r="X1951" s="8"/>
      <c r="Y1951" s="8"/>
      <c r="Z1951" s="8"/>
    </row>
    <row r="1952" spans="1:28" x14ac:dyDescent="0.35">
      <c r="A1952" s="36"/>
      <c r="B1952" s="8"/>
      <c r="C1952" s="7" t="s">
        <v>57</v>
      </c>
      <c r="D1952" s="14" t="s">
        <v>379</v>
      </c>
      <c r="E1952" s="9">
        <v>6508345.5300000003</v>
      </c>
      <c r="F1952" s="9">
        <v>6432818.5999999996</v>
      </c>
      <c r="G1952" s="8"/>
      <c r="H1952" s="9">
        <f t="shared" ref="H1952:H1963" si="213">F1952+G1952</f>
        <v>6432818.5999999996</v>
      </c>
      <c r="I1952" s="8"/>
      <c r="J1952" s="8"/>
      <c r="K1952" s="8"/>
      <c r="L1952" s="9"/>
      <c r="M1952" s="9">
        <f t="shared" ref="M1952:M1963" si="214">H1952+L1952</f>
        <v>6432818.5999999996</v>
      </c>
      <c r="N1952" s="9">
        <v>75526.929999999993</v>
      </c>
      <c r="O1952" s="8"/>
      <c r="P1952" s="9">
        <f t="shared" ref="P1952:P1963" si="215">N1952+O1952</f>
        <v>75526.929999999993</v>
      </c>
      <c r="Q1952" s="8"/>
      <c r="R1952" s="8"/>
      <c r="S1952" s="8"/>
      <c r="T1952" s="9"/>
      <c r="U1952" s="9">
        <f t="shared" ref="U1952:U1963" si="216">P1952+T1952</f>
        <v>75526.929999999993</v>
      </c>
      <c r="V1952" s="9">
        <f t="shared" ref="V1952:V1963" si="217">P1952+H1952</f>
        <v>6508345.5299999993</v>
      </c>
      <c r="W1952" s="9">
        <f t="shared" ref="W1952:W1963" si="218">E1952-V1952</f>
        <v>0</v>
      </c>
      <c r="X1952" s="9">
        <f t="shared" ref="X1952:X1963" si="219">+H1952+P1952</f>
        <v>6508345.5299999993</v>
      </c>
      <c r="Y1952" s="8"/>
      <c r="Z1952" s="9">
        <f t="shared" ref="Z1952:Z1963" si="220">+E1952-X1952</f>
        <v>0</v>
      </c>
      <c r="AA1952" s="8">
        <f t="shared" ref="AA1952:AA1963" si="221">+M1952+U1952</f>
        <v>6508345.5299999993</v>
      </c>
      <c r="AB1952" s="8">
        <f t="shared" ref="AB1952:AB1963" si="222">+E1952-AA1952</f>
        <v>0</v>
      </c>
    </row>
    <row r="1953" spans="1:28" x14ac:dyDescent="0.35">
      <c r="A1953" s="36"/>
      <c r="B1953" s="8"/>
      <c r="C1953" s="7" t="s">
        <v>53</v>
      </c>
      <c r="D1953" s="15" t="s">
        <v>54</v>
      </c>
      <c r="E1953" s="9">
        <v>1767770</v>
      </c>
      <c r="F1953" s="8"/>
      <c r="G1953" s="8"/>
      <c r="H1953" s="9">
        <f t="shared" si="213"/>
        <v>0</v>
      </c>
      <c r="I1953" s="8"/>
      <c r="J1953" s="8"/>
      <c r="K1953" s="8"/>
      <c r="L1953" s="9"/>
      <c r="M1953" s="9">
        <f t="shared" si="214"/>
        <v>0</v>
      </c>
      <c r="N1953" s="9">
        <v>1767770</v>
      </c>
      <c r="O1953" s="8"/>
      <c r="P1953" s="9">
        <f t="shared" si="215"/>
        <v>1767770</v>
      </c>
      <c r="Q1953" s="8"/>
      <c r="R1953" s="8"/>
      <c r="S1953" s="8"/>
      <c r="T1953" s="9"/>
      <c r="U1953" s="9">
        <f t="shared" si="216"/>
        <v>1767770</v>
      </c>
      <c r="V1953" s="9">
        <f t="shared" si="217"/>
        <v>1767770</v>
      </c>
      <c r="W1953" s="9">
        <f t="shared" si="218"/>
        <v>0</v>
      </c>
      <c r="X1953" s="9">
        <f t="shared" si="219"/>
        <v>1767770</v>
      </c>
      <c r="Y1953" s="8"/>
      <c r="Z1953" s="9">
        <f t="shared" si="220"/>
        <v>0</v>
      </c>
      <c r="AA1953" s="8">
        <f t="shared" si="221"/>
        <v>1767770</v>
      </c>
      <c r="AB1953" s="8">
        <f t="shared" si="222"/>
        <v>0</v>
      </c>
    </row>
    <row r="1954" spans="1:28" x14ac:dyDescent="0.35">
      <c r="A1954" s="36"/>
      <c r="B1954" s="8"/>
      <c r="C1954" s="7" t="s">
        <v>284</v>
      </c>
      <c r="D1954" s="15" t="s">
        <v>54</v>
      </c>
      <c r="E1954" s="9">
        <v>7933450</v>
      </c>
      <c r="F1954" s="9">
        <v>7933450</v>
      </c>
      <c r="G1954" s="8"/>
      <c r="H1954" s="9">
        <f t="shared" si="213"/>
        <v>7933450</v>
      </c>
      <c r="I1954" s="8"/>
      <c r="J1954" s="8"/>
      <c r="K1954" s="8"/>
      <c r="L1954" s="9"/>
      <c r="M1954" s="9">
        <f t="shared" si="214"/>
        <v>7933450</v>
      </c>
      <c r="N1954" s="9">
        <v>0</v>
      </c>
      <c r="O1954" s="8"/>
      <c r="P1954" s="9">
        <f t="shared" si="215"/>
        <v>0</v>
      </c>
      <c r="Q1954" s="8"/>
      <c r="R1954" s="8"/>
      <c r="S1954" s="8"/>
      <c r="T1954" s="9"/>
      <c r="U1954" s="9">
        <f t="shared" si="216"/>
        <v>0</v>
      </c>
      <c r="V1954" s="9">
        <f t="shared" si="217"/>
        <v>7933450</v>
      </c>
      <c r="W1954" s="9">
        <f t="shared" si="218"/>
        <v>0</v>
      </c>
      <c r="X1954" s="9">
        <f t="shared" si="219"/>
        <v>7933450</v>
      </c>
      <c r="Y1954" s="8"/>
      <c r="Z1954" s="9">
        <f t="shared" si="220"/>
        <v>0</v>
      </c>
      <c r="AA1954" s="8">
        <f t="shared" si="221"/>
        <v>7933450</v>
      </c>
      <c r="AB1954" s="8">
        <f t="shared" si="222"/>
        <v>0</v>
      </c>
    </row>
    <row r="1955" spans="1:28" x14ac:dyDescent="0.35">
      <c r="A1955" s="36"/>
      <c r="B1955" s="8"/>
      <c r="C1955" s="7" t="s">
        <v>55</v>
      </c>
      <c r="D1955" s="15" t="s">
        <v>88</v>
      </c>
      <c r="E1955" s="9">
        <v>1179375</v>
      </c>
      <c r="F1955" s="9">
        <v>0</v>
      </c>
      <c r="G1955" s="8"/>
      <c r="H1955" s="9">
        <f t="shared" si="213"/>
        <v>0</v>
      </c>
      <c r="I1955" s="8"/>
      <c r="J1955" s="8"/>
      <c r="K1955" s="8"/>
      <c r="L1955" s="9"/>
      <c r="M1955" s="9">
        <f t="shared" si="214"/>
        <v>0</v>
      </c>
      <c r="N1955" s="9">
        <v>1179375</v>
      </c>
      <c r="O1955" s="8"/>
      <c r="P1955" s="9">
        <f t="shared" si="215"/>
        <v>1179375</v>
      </c>
      <c r="Q1955" s="8"/>
      <c r="R1955" s="8"/>
      <c r="S1955" s="8"/>
      <c r="T1955" s="9"/>
      <c r="U1955" s="9">
        <f t="shared" si="216"/>
        <v>1179375</v>
      </c>
      <c r="V1955" s="9">
        <f t="shared" si="217"/>
        <v>1179375</v>
      </c>
      <c r="W1955" s="9">
        <f t="shared" si="218"/>
        <v>0</v>
      </c>
      <c r="X1955" s="9">
        <f t="shared" si="219"/>
        <v>1179375</v>
      </c>
      <c r="Y1955" s="8"/>
      <c r="Z1955" s="9">
        <f t="shared" si="220"/>
        <v>0</v>
      </c>
      <c r="AA1955" s="8">
        <f t="shared" si="221"/>
        <v>1179375</v>
      </c>
      <c r="AB1955" s="8">
        <f t="shared" si="222"/>
        <v>0</v>
      </c>
    </row>
    <row r="1956" spans="1:28" x14ac:dyDescent="0.35">
      <c r="A1956" s="36"/>
      <c r="B1956" s="8"/>
      <c r="C1956" s="7" t="s">
        <v>57</v>
      </c>
      <c r="D1956" s="15" t="s">
        <v>58</v>
      </c>
      <c r="E1956" s="9">
        <v>2881354</v>
      </c>
      <c r="F1956" s="9">
        <v>2881354</v>
      </c>
      <c r="G1956" s="8"/>
      <c r="H1956" s="9">
        <f t="shared" si="213"/>
        <v>2881354</v>
      </c>
      <c r="I1956" s="8"/>
      <c r="J1956" s="8"/>
      <c r="K1956" s="8"/>
      <c r="L1956" s="9"/>
      <c r="M1956" s="9">
        <f t="shared" si="214"/>
        <v>2881354</v>
      </c>
      <c r="N1956" s="9">
        <v>0</v>
      </c>
      <c r="O1956" s="8"/>
      <c r="P1956" s="9">
        <f t="shared" si="215"/>
        <v>0</v>
      </c>
      <c r="Q1956" s="8"/>
      <c r="R1956" s="8"/>
      <c r="S1956" s="8"/>
      <c r="T1956" s="9"/>
      <c r="U1956" s="9">
        <f t="shared" si="216"/>
        <v>0</v>
      </c>
      <c r="V1956" s="9">
        <f t="shared" si="217"/>
        <v>2881354</v>
      </c>
      <c r="W1956" s="9">
        <f t="shared" si="218"/>
        <v>0</v>
      </c>
      <c r="X1956" s="9">
        <f t="shared" si="219"/>
        <v>2881354</v>
      </c>
      <c r="Y1956" s="8"/>
      <c r="Z1956" s="9">
        <f t="shared" si="220"/>
        <v>0</v>
      </c>
      <c r="AA1956" s="8">
        <f t="shared" si="221"/>
        <v>2881354</v>
      </c>
      <c r="AB1956" s="8">
        <f t="shared" si="222"/>
        <v>0</v>
      </c>
    </row>
    <row r="1957" spans="1:28" x14ac:dyDescent="0.35">
      <c r="A1957" s="36"/>
      <c r="B1957" s="8"/>
      <c r="C1957" s="7" t="s">
        <v>57</v>
      </c>
      <c r="D1957" s="15" t="s">
        <v>60</v>
      </c>
      <c r="E1957" s="9">
        <v>4459891</v>
      </c>
      <c r="F1957" s="11">
        <v>4459891</v>
      </c>
      <c r="G1957" s="8"/>
      <c r="H1957" s="9">
        <f t="shared" si="213"/>
        <v>4459891</v>
      </c>
      <c r="I1957" s="8"/>
      <c r="J1957" s="8"/>
      <c r="K1957" s="8"/>
      <c r="L1957" s="9"/>
      <c r="M1957" s="9">
        <f t="shared" si="214"/>
        <v>4459891</v>
      </c>
      <c r="N1957" s="9">
        <v>0</v>
      </c>
      <c r="O1957" s="8"/>
      <c r="P1957" s="9">
        <f t="shared" si="215"/>
        <v>0</v>
      </c>
      <c r="Q1957" s="8"/>
      <c r="R1957" s="8"/>
      <c r="S1957" s="8"/>
      <c r="T1957" s="9"/>
      <c r="U1957" s="9">
        <f t="shared" si="216"/>
        <v>0</v>
      </c>
      <c r="V1957" s="9">
        <f t="shared" si="217"/>
        <v>4459891</v>
      </c>
      <c r="W1957" s="9">
        <f t="shared" si="218"/>
        <v>0</v>
      </c>
      <c r="X1957" s="9">
        <f t="shared" si="219"/>
        <v>4459891</v>
      </c>
      <c r="Y1957" s="8"/>
      <c r="Z1957" s="9">
        <f t="shared" si="220"/>
        <v>0</v>
      </c>
      <c r="AA1957" s="8">
        <f t="shared" si="221"/>
        <v>4459891</v>
      </c>
      <c r="AB1957" s="8">
        <f t="shared" si="222"/>
        <v>0</v>
      </c>
    </row>
    <row r="1958" spans="1:28" x14ac:dyDescent="0.35">
      <c r="A1958" s="36"/>
      <c r="B1958" s="8"/>
      <c r="C1958" s="7" t="s">
        <v>380</v>
      </c>
      <c r="D1958" s="8"/>
      <c r="E1958" s="9">
        <v>1168000</v>
      </c>
      <c r="F1958" s="9">
        <v>1168000</v>
      </c>
      <c r="G1958" s="8"/>
      <c r="H1958" s="9">
        <f t="shared" si="213"/>
        <v>1168000</v>
      </c>
      <c r="I1958" s="8"/>
      <c r="J1958" s="8"/>
      <c r="K1958" s="8"/>
      <c r="L1958" s="9"/>
      <c r="M1958" s="9">
        <f t="shared" si="214"/>
        <v>1168000</v>
      </c>
      <c r="N1958" s="9">
        <v>0</v>
      </c>
      <c r="O1958" s="8"/>
      <c r="P1958" s="9">
        <f t="shared" si="215"/>
        <v>0</v>
      </c>
      <c r="Q1958" s="8"/>
      <c r="R1958" s="8"/>
      <c r="S1958" s="8"/>
      <c r="T1958" s="9"/>
      <c r="U1958" s="9">
        <f t="shared" si="216"/>
        <v>0</v>
      </c>
      <c r="V1958" s="9">
        <f t="shared" si="217"/>
        <v>1168000</v>
      </c>
      <c r="W1958" s="9">
        <f t="shared" si="218"/>
        <v>0</v>
      </c>
      <c r="X1958" s="9">
        <f t="shared" si="219"/>
        <v>1168000</v>
      </c>
      <c r="Y1958" s="8"/>
      <c r="Z1958" s="9">
        <f t="shared" si="220"/>
        <v>0</v>
      </c>
      <c r="AA1958" s="8">
        <f t="shared" si="221"/>
        <v>1168000</v>
      </c>
      <c r="AB1958" s="8">
        <f t="shared" si="222"/>
        <v>0</v>
      </c>
    </row>
    <row r="1959" spans="1:28" x14ac:dyDescent="0.35">
      <c r="A1959" s="36"/>
      <c r="B1959" s="8"/>
      <c r="C1959" s="14" t="s">
        <v>109</v>
      </c>
      <c r="D1959" s="21" t="s">
        <v>60</v>
      </c>
      <c r="E1959" s="9">
        <v>2500000</v>
      </c>
      <c r="F1959" s="11">
        <v>2500000</v>
      </c>
      <c r="G1959" s="8"/>
      <c r="H1959" s="9">
        <f t="shared" si="213"/>
        <v>2500000</v>
      </c>
      <c r="I1959" s="8"/>
      <c r="J1959" s="8"/>
      <c r="K1959" s="8"/>
      <c r="L1959" s="9"/>
      <c r="M1959" s="9">
        <f t="shared" si="214"/>
        <v>2500000</v>
      </c>
      <c r="N1959" s="9">
        <v>0</v>
      </c>
      <c r="O1959" s="8"/>
      <c r="P1959" s="9">
        <f t="shared" si="215"/>
        <v>0</v>
      </c>
      <c r="Q1959" s="8"/>
      <c r="R1959" s="8"/>
      <c r="S1959" s="8"/>
      <c r="T1959" s="9"/>
      <c r="U1959" s="9">
        <f t="shared" si="216"/>
        <v>0</v>
      </c>
      <c r="V1959" s="9">
        <f t="shared" si="217"/>
        <v>2500000</v>
      </c>
      <c r="W1959" s="9">
        <f t="shared" si="218"/>
        <v>0</v>
      </c>
      <c r="X1959" s="9">
        <f t="shared" si="219"/>
        <v>2500000</v>
      </c>
      <c r="Y1959" s="8"/>
      <c r="Z1959" s="9">
        <f t="shared" si="220"/>
        <v>0</v>
      </c>
      <c r="AA1959" s="8">
        <f t="shared" si="221"/>
        <v>2500000</v>
      </c>
      <c r="AB1959" s="8">
        <f t="shared" si="222"/>
        <v>0</v>
      </c>
    </row>
    <row r="1960" spans="1:28" x14ac:dyDescent="0.35">
      <c r="A1960" s="36"/>
      <c r="B1960" s="8"/>
      <c r="C1960" s="7" t="s">
        <v>381</v>
      </c>
      <c r="D1960" s="15" t="s">
        <v>73</v>
      </c>
      <c r="E1960" s="9">
        <v>10524961.369999999</v>
      </c>
      <c r="F1960" s="11">
        <v>7742967</v>
      </c>
      <c r="G1960" s="8"/>
      <c r="H1960" s="9">
        <f t="shared" si="213"/>
        <v>7742967</v>
      </c>
      <c r="I1960" s="8"/>
      <c r="J1960" s="8"/>
      <c r="K1960" s="8"/>
      <c r="L1960" s="9"/>
      <c r="M1960" s="9">
        <f t="shared" si="214"/>
        <v>7742967</v>
      </c>
      <c r="N1960" s="9">
        <v>0</v>
      </c>
      <c r="O1960" s="8"/>
      <c r="P1960" s="9">
        <f t="shared" si="215"/>
        <v>0</v>
      </c>
      <c r="Q1960" s="11">
        <v>0</v>
      </c>
      <c r="R1960" s="8"/>
      <c r="S1960" s="11">
        <v>0</v>
      </c>
      <c r="T1960" s="9"/>
      <c r="U1960" s="9">
        <f t="shared" si="216"/>
        <v>0</v>
      </c>
      <c r="V1960" s="9">
        <f t="shared" si="217"/>
        <v>7742967</v>
      </c>
      <c r="W1960" s="9">
        <f t="shared" si="218"/>
        <v>2781994.3699999992</v>
      </c>
      <c r="X1960" s="9">
        <f t="shared" si="219"/>
        <v>7742967</v>
      </c>
      <c r="Y1960" s="8"/>
      <c r="Z1960" s="9">
        <f t="shared" si="220"/>
        <v>2781994.3699999992</v>
      </c>
      <c r="AA1960" s="8">
        <f t="shared" si="221"/>
        <v>7742967</v>
      </c>
      <c r="AB1960" s="8">
        <f t="shared" si="222"/>
        <v>2781994.3699999992</v>
      </c>
    </row>
    <row r="1961" spans="1:28" x14ac:dyDescent="0.35">
      <c r="A1961" s="36"/>
      <c r="B1961" s="8"/>
      <c r="C1961" s="14" t="s">
        <v>382</v>
      </c>
      <c r="D1961" s="15" t="s">
        <v>73</v>
      </c>
      <c r="E1961" s="9">
        <v>10070736</v>
      </c>
      <c r="F1961" s="11">
        <v>10070736</v>
      </c>
      <c r="G1961" s="8"/>
      <c r="H1961" s="9">
        <f t="shared" si="213"/>
        <v>10070736</v>
      </c>
      <c r="I1961" s="8"/>
      <c r="J1961" s="8"/>
      <c r="K1961" s="8"/>
      <c r="L1961" s="9"/>
      <c r="M1961" s="9">
        <f t="shared" si="214"/>
        <v>10070736</v>
      </c>
      <c r="N1961" s="9">
        <v>0</v>
      </c>
      <c r="O1961" s="8"/>
      <c r="P1961" s="9">
        <f t="shared" si="215"/>
        <v>0</v>
      </c>
      <c r="Q1961" s="8"/>
      <c r="R1961" s="8"/>
      <c r="S1961" s="8"/>
      <c r="T1961" s="9"/>
      <c r="U1961" s="9">
        <f t="shared" si="216"/>
        <v>0</v>
      </c>
      <c r="V1961" s="9">
        <f t="shared" si="217"/>
        <v>10070736</v>
      </c>
      <c r="W1961" s="9">
        <f t="shared" si="218"/>
        <v>0</v>
      </c>
      <c r="X1961" s="9">
        <f t="shared" si="219"/>
        <v>10070736</v>
      </c>
      <c r="Y1961" s="8"/>
      <c r="Z1961" s="9">
        <f t="shared" si="220"/>
        <v>0</v>
      </c>
      <c r="AA1961" s="8">
        <f t="shared" si="221"/>
        <v>10070736</v>
      </c>
      <c r="AB1961" s="8">
        <f t="shared" si="222"/>
        <v>0</v>
      </c>
    </row>
    <row r="1962" spans="1:28" x14ac:dyDescent="0.35">
      <c r="A1962" s="36"/>
      <c r="B1962" s="8"/>
      <c r="C1962" s="14" t="s">
        <v>930</v>
      </c>
      <c r="D1962" s="16" t="s">
        <v>1072</v>
      </c>
      <c r="E1962" s="9">
        <v>2658000</v>
      </c>
      <c r="F1962" s="11">
        <v>2658000</v>
      </c>
      <c r="G1962" s="8"/>
      <c r="H1962" s="9">
        <f>+F1962+G1962</f>
        <v>2658000</v>
      </c>
      <c r="I1962" s="8"/>
      <c r="J1962" s="8"/>
      <c r="K1962" s="8"/>
      <c r="L1962" s="9"/>
      <c r="M1962" s="9">
        <f t="shared" si="214"/>
        <v>2658000</v>
      </c>
      <c r="N1962" s="9">
        <v>0</v>
      </c>
      <c r="O1962" s="8"/>
      <c r="P1962" s="9">
        <f t="shared" si="215"/>
        <v>0</v>
      </c>
      <c r="Q1962" s="8"/>
      <c r="R1962" s="8"/>
      <c r="S1962" s="8"/>
      <c r="T1962" s="9"/>
      <c r="U1962" s="9">
        <f t="shared" si="216"/>
        <v>0</v>
      </c>
      <c r="V1962" s="9">
        <f t="shared" si="217"/>
        <v>2658000</v>
      </c>
      <c r="W1962" s="9">
        <f t="shared" si="218"/>
        <v>0</v>
      </c>
      <c r="X1962" s="9">
        <f t="shared" si="219"/>
        <v>2658000</v>
      </c>
      <c r="Y1962" s="8"/>
      <c r="Z1962" s="9">
        <f t="shared" si="220"/>
        <v>0</v>
      </c>
      <c r="AA1962" s="8">
        <f t="shared" si="221"/>
        <v>2658000</v>
      </c>
      <c r="AB1962" s="8">
        <f t="shared" si="222"/>
        <v>0</v>
      </c>
    </row>
    <row r="1963" spans="1:28" x14ac:dyDescent="0.35">
      <c r="A1963" s="36"/>
      <c r="B1963" s="8"/>
      <c r="C1963" s="7" t="s">
        <v>57</v>
      </c>
      <c r="D1963" s="16" t="s">
        <v>61</v>
      </c>
      <c r="E1963" s="9">
        <v>4085000</v>
      </c>
      <c r="F1963" s="8">
        <v>4085000</v>
      </c>
      <c r="G1963" s="8"/>
      <c r="H1963" s="9">
        <f t="shared" si="213"/>
        <v>4085000</v>
      </c>
      <c r="I1963" s="8"/>
      <c r="J1963" s="8"/>
      <c r="K1963" s="8"/>
      <c r="L1963" s="9"/>
      <c r="M1963" s="9">
        <f t="shared" si="214"/>
        <v>4085000</v>
      </c>
      <c r="N1963" s="9">
        <v>0</v>
      </c>
      <c r="O1963" s="8"/>
      <c r="P1963" s="9">
        <f t="shared" si="215"/>
        <v>0</v>
      </c>
      <c r="Q1963" s="8"/>
      <c r="R1963" s="8"/>
      <c r="S1963" s="8"/>
      <c r="T1963" s="9"/>
      <c r="U1963" s="9">
        <f t="shared" si="216"/>
        <v>0</v>
      </c>
      <c r="V1963" s="9">
        <f t="shared" si="217"/>
        <v>4085000</v>
      </c>
      <c r="W1963" s="9">
        <f t="shared" si="218"/>
        <v>0</v>
      </c>
      <c r="X1963" s="9">
        <f t="shared" si="219"/>
        <v>4085000</v>
      </c>
      <c r="Y1963" s="8"/>
      <c r="Z1963" s="9">
        <f t="shared" si="220"/>
        <v>0</v>
      </c>
      <c r="AA1963" s="8">
        <f t="shared" si="221"/>
        <v>4085000</v>
      </c>
      <c r="AB1963" s="8">
        <f t="shared" si="222"/>
        <v>0</v>
      </c>
    </row>
    <row r="1964" spans="1:28" x14ac:dyDescent="0.35">
      <c r="A1964" s="36"/>
      <c r="B1964" s="8"/>
      <c r="C1964" s="8"/>
      <c r="D1964" s="8"/>
      <c r="E1964" s="17" t="s">
        <v>29</v>
      </c>
      <c r="F1964" s="17" t="s">
        <v>29</v>
      </c>
      <c r="G1964" s="17" t="s">
        <v>29</v>
      </c>
      <c r="H1964" s="17" t="s">
        <v>29</v>
      </c>
      <c r="I1964" s="17" t="s">
        <v>29</v>
      </c>
      <c r="J1964" s="17" t="s">
        <v>29</v>
      </c>
      <c r="K1964" s="17" t="s">
        <v>29</v>
      </c>
      <c r="L1964" s="17" t="s">
        <v>29</v>
      </c>
      <c r="M1964" s="17" t="s">
        <v>29</v>
      </c>
      <c r="N1964" s="17" t="s">
        <v>29</v>
      </c>
      <c r="O1964" s="17" t="s">
        <v>29</v>
      </c>
      <c r="P1964" s="17" t="s">
        <v>29</v>
      </c>
      <c r="Q1964" s="17" t="s">
        <v>29</v>
      </c>
      <c r="R1964" s="17" t="s">
        <v>29</v>
      </c>
      <c r="S1964" s="17" t="s">
        <v>29</v>
      </c>
      <c r="T1964" s="17" t="s">
        <v>29</v>
      </c>
      <c r="U1964" s="17" t="s">
        <v>29</v>
      </c>
      <c r="V1964" s="17" t="s">
        <v>29</v>
      </c>
      <c r="W1964" s="17" t="s">
        <v>29</v>
      </c>
      <c r="X1964" s="17" t="s">
        <v>29</v>
      </c>
      <c r="Y1964" s="17" t="s">
        <v>29</v>
      </c>
      <c r="Z1964" s="17" t="s">
        <v>29</v>
      </c>
      <c r="AA1964" s="17" t="s">
        <v>29</v>
      </c>
      <c r="AB1964" s="17" t="s">
        <v>29</v>
      </c>
    </row>
    <row r="1965" spans="1:28" x14ac:dyDescent="0.35">
      <c r="A1965" s="36"/>
      <c r="B1965" s="8"/>
      <c r="C1965" s="8"/>
      <c r="D1965" s="8"/>
      <c r="E1965" s="9">
        <f t="shared" ref="E1965:AB1965" si="223">SUM(E1950:E1963)</f>
        <v>73358848.629999995</v>
      </c>
      <c r="F1965" s="9">
        <f t="shared" si="223"/>
        <v>66503246.810000002</v>
      </c>
      <c r="G1965" s="9">
        <f t="shared" si="223"/>
        <v>0</v>
      </c>
      <c r="H1965" s="9">
        <f t="shared" si="223"/>
        <v>66503246.810000002</v>
      </c>
      <c r="I1965" s="9">
        <f t="shared" si="223"/>
        <v>0</v>
      </c>
      <c r="J1965" s="9">
        <f t="shared" si="223"/>
        <v>0</v>
      </c>
      <c r="K1965" s="9">
        <f t="shared" si="223"/>
        <v>0</v>
      </c>
      <c r="L1965" s="9">
        <f t="shared" si="223"/>
        <v>0</v>
      </c>
      <c r="M1965" s="9">
        <f t="shared" si="223"/>
        <v>66503246.810000002</v>
      </c>
      <c r="N1965" s="9">
        <f t="shared" si="223"/>
        <v>4073607.45</v>
      </c>
      <c r="O1965" s="9">
        <f t="shared" si="223"/>
        <v>0</v>
      </c>
      <c r="P1965" s="9">
        <f t="shared" si="223"/>
        <v>4073607.45</v>
      </c>
      <c r="Q1965" s="9">
        <f t="shared" si="223"/>
        <v>0</v>
      </c>
      <c r="R1965" s="9">
        <f t="shared" si="223"/>
        <v>0</v>
      </c>
      <c r="S1965" s="9">
        <f t="shared" si="223"/>
        <v>0</v>
      </c>
      <c r="T1965" s="9">
        <f t="shared" si="223"/>
        <v>0</v>
      </c>
      <c r="U1965" s="9">
        <f t="shared" si="223"/>
        <v>4073607.45</v>
      </c>
      <c r="V1965" s="9">
        <f t="shared" si="223"/>
        <v>70576854.25999999</v>
      </c>
      <c r="W1965" s="9">
        <f t="shared" si="223"/>
        <v>2781994.3699999992</v>
      </c>
      <c r="X1965" s="9">
        <f t="shared" si="223"/>
        <v>70576854.25999999</v>
      </c>
      <c r="Y1965" s="9">
        <f t="shared" si="223"/>
        <v>0</v>
      </c>
      <c r="Z1965" s="9">
        <f t="shared" si="223"/>
        <v>2781994.3699999992</v>
      </c>
      <c r="AA1965" s="9">
        <f t="shared" si="223"/>
        <v>70576854.25999999</v>
      </c>
      <c r="AB1965" s="9">
        <f t="shared" si="223"/>
        <v>2781994.3699999992</v>
      </c>
    </row>
    <row r="1966" spans="1:28" x14ac:dyDescent="0.35">
      <c r="A1966" s="36"/>
      <c r="B1966" s="8"/>
      <c r="C1966" s="8"/>
      <c r="D1966" s="8"/>
      <c r="E1966" s="17" t="s">
        <v>29</v>
      </c>
      <c r="F1966" s="17" t="s">
        <v>29</v>
      </c>
      <c r="G1966" s="17" t="s">
        <v>29</v>
      </c>
      <c r="H1966" s="17" t="s">
        <v>29</v>
      </c>
      <c r="I1966" s="17" t="s">
        <v>29</v>
      </c>
      <c r="J1966" s="17" t="s">
        <v>29</v>
      </c>
      <c r="K1966" s="17" t="s">
        <v>29</v>
      </c>
      <c r="L1966" s="17" t="s">
        <v>29</v>
      </c>
      <c r="M1966" s="17" t="s">
        <v>29</v>
      </c>
      <c r="N1966" s="17" t="s">
        <v>29</v>
      </c>
      <c r="O1966" s="17" t="s">
        <v>29</v>
      </c>
      <c r="P1966" s="17" t="s">
        <v>29</v>
      </c>
      <c r="Q1966" s="17" t="s">
        <v>29</v>
      </c>
      <c r="R1966" s="17" t="s">
        <v>29</v>
      </c>
      <c r="S1966" s="17" t="s">
        <v>29</v>
      </c>
      <c r="T1966" s="17" t="s">
        <v>29</v>
      </c>
      <c r="U1966" s="17" t="s">
        <v>29</v>
      </c>
      <c r="V1966" s="17" t="s">
        <v>29</v>
      </c>
      <c r="W1966" s="17" t="s">
        <v>29</v>
      </c>
      <c r="X1966" s="17" t="s">
        <v>29</v>
      </c>
      <c r="Y1966" s="17" t="s">
        <v>29</v>
      </c>
      <c r="Z1966" s="17" t="s">
        <v>29</v>
      </c>
      <c r="AA1966" s="17" t="s">
        <v>29</v>
      </c>
      <c r="AB1966" s="17" t="s">
        <v>29</v>
      </c>
    </row>
    <row r="1967" spans="1:28" x14ac:dyDescent="0.35">
      <c r="A1967" s="36"/>
      <c r="B1967" s="8"/>
      <c r="C1967" s="7" t="s">
        <v>383</v>
      </c>
      <c r="D1967" s="8"/>
      <c r="E1967" s="9">
        <f t="shared" ref="E1967:AB1967" si="224">E1965+E1947+E1927+E1904+E1883</f>
        <v>392741995.0999999</v>
      </c>
      <c r="F1967" s="9">
        <f t="shared" si="224"/>
        <v>369360767</v>
      </c>
      <c r="G1967" s="9">
        <f t="shared" si="224"/>
        <v>0</v>
      </c>
      <c r="H1967" s="9" t="e">
        <f t="shared" si="224"/>
        <v>#VALUE!</v>
      </c>
      <c r="I1967" s="9">
        <f t="shared" si="224"/>
        <v>31772640.640000001</v>
      </c>
      <c r="J1967" s="9">
        <f t="shared" si="224"/>
        <v>31772640.640000001</v>
      </c>
      <c r="K1967" s="9">
        <f t="shared" si="224"/>
        <v>0</v>
      </c>
      <c r="L1967" s="9">
        <f t="shared" si="224"/>
        <v>0</v>
      </c>
      <c r="M1967" s="9" t="e">
        <f t="shared" si="224"/>
        <v>#VALUE!</v>
      </c>
      <c r="N1967" s="9">
        <f t="shared" si="224"/>
        <v>20416580.629999999</v>
      </c>
      <c r="O1967" s="9">
        <f t="shared" si="224"/>
        <v>0</v>
      </c>
      <c r="P1967" s="9">
        <f t="shared" si="224"/>
        <v>20416580.629999999</v>
      </c>
      <c r="Q1967" s="9">
        <f t="shared" si="224"/>
        <v>102653.09999999999</v>
      </c>
      <c r="R1967" s="9">
        <f t="shared" si="224"/>
        <v>0</v>
      </c>
      <c r="S1967" s="9">
        <f t="shared" si="224"/>
        <v>0</v>
      </c>
      <c r="T1967" s="9">
        <f t="shared" si="224"/>
        <v>102653.09999999999</v>
      </c>
      <c r="U1967" s="9">
        <f t="shared" si="224"/>
        <v>20519233.73</v>
      </c>
      <c r="V1967" s="9" t="e">
        <f t="shared" si="224"/>
        <v>#VALUE!</v>
      </c>
      <c r="W1967" s="9" t="e">
        <f t="shared" si="224"/>
        <v>#VALUE!</v>
      </c>
      <c r="X1967" s="9" t="e">
        <f t="shared" si="224"/>
        <v>#VALUE!</v>
      </c>
      <c r="Y1967" s="9">
        <f t="shared" si="224"/>
        <v>0</v>
      </c>
      <c r="Z1967" s="9" t="e">
        <f t="shared" si="224"/>
        <v>#VALUE!</v>
      </c>
      <c r="AA1967" s="9" t="e">
        <f t="shared" si="224"/>
        <v>#VALUE!</v>
      </c>
      <c r="AB1967" s="9" t="e">
        <f t="shared" si="224"/>
        <v>#VALUE!</v>
      </c>
    </row>
    <row r="1968" spans="1:28" x14ac:dyDescent="0.35">
      <c r="A1968" s="36"/>
      <c r="B1968" s="8"/>
      <c r="C1968" s="8"/>
      <c r="D1968" s="8"/>
      <c r="E1968" s="17" t="s">
        <v>114</v>
      </c>
      <c r="F1968" s="17" t="s">
        <v>114</v>
      </c>
      <c r="G1968" s="17" t="s">
        <v>114</v>
      </c>
      <c r="H1968" s="17" t="s">
        <v>114</v>
      </c>
      <c r="I1968" s="17" t="s">
        <v>114</v>
      </c>
      <c r="J1968" s="17" t="s">
        <v>114</v>
      </c>
      <c r="K1968" s="17" t="s">
        <v>114</v>
      </c>
      <c r="L1968" s="17" t="s">
        <v>114</v>
      </c>
      <c r="M1968" s="17" t="s">
        <v>114</v>
      </c>
      <c r="N1968" s="17" t="s">
        <v>114</v>
      </c>
      <c r="O1968" s="17" t="s">
        <v>114</v>
      </c>
      <c r="P1968" s="17" t="s">
        <v>114</v>
      </c>
      <c r="Q1968" s="17" t="s">
        <v>114</v>
      </c>
      <c r="R1968" s="17" t="s">
        <v>114</v>
      </c>
      <c r="S1968" s="17" t="s">
        <v>114</v>
      </c>
      <c r="T1968" s="17" t="s">
        <v>114</v>
      </c>
      <c r="U1968" s="17" t="s">
        <v>114</v>
      </c>
      <c r="V1968" s="17" t="s">
        <v>114</v>
      </c>
      <c r="W1968" s="17" t="s">
        <v>114</v>
      </c>
      <c r="X1968" s="17" t="s">
        <v>114</v>
      </c>
      <c r="Y1968" s="17" t="s">
        <v>114</v>
      </c>
      <c r="Z1968" s="17" t="s">
        <v>114</v>
      </c>
      <c r="AA1968" s="17" t="s">
        <v>114</v>
      </c>
      <c r="AB1968" s="17" t="s">
        <v>114</v>
      </c>
    </row>
    <row r="1969" spans="1:28" x14ac:dyDescent="0.35">
      <c r="A1969" s="36"/>
      <c r="B1969" s="7" t="s">
        <v>799</v>
      </c>
      <c r="C1969" s="8"/>
      <c r="D1969" s="8"/>
      <c r="E1969" s="8"/>
      <c r="F1969" s="8"/>
      <c r="G1969" s="8"/>
      <c r="H1969" s="8"/>
      <c r="I1969" s="8"/>
      <c r="J1969" s="8"/>
      <c r="K1969" s="8"/>
      <c r="L1969" s="8"/>
      <c r="M1969" s="8"/>
      <c r="N1969" s="8"/>
      <c r="O1969" s="8"/>
      <c r="P1969" s="8"/>
      <c r="Q1969" s="8"/>
      <c r="R1969" s="8"/>
      <c r="S1969" s="8"/>
      <c r="T1969" s="8"/>
      <c r="U1969" s="8"/>
      <c r="V1969" s="8"/>
      <c r="W1969" s="8"/>
      <c r="X1969" s="8"/>
      <c r="Y1969" s="8"/>
      <c r="Z1969" s="8"/>
    </row>
    <row r="1970" spans="1:28" x14ac:dyDescent="0.35">
      <c r="A1970" s="36"/>
      <c r="B1970" s="7"/>
      <c r="C1970" s="8"/>
      <c r="D1970" s="8"/>
      <c r="E1970" s="8"/>
      <c r="F1970" s="8"/>
      <c r="G1970" s="8"/>
      <c r="H1970" s="8"/>
      <c r="I1970" s="8"/>
      <c r="J1970" s="8"/>
      <c r="K1970" s="8"/>
      <c r="L1970" s="8"/>
      <c r="M1970" s="8"/>
      <c r="N1970" s="8"/>
      <c r="O1970" s="8"/>
      <c r="P1970" s="8"/>
      <c r="Q1970" s="8"/>
      <c r="R1970" s="8"/>
      <c r="S1970" s="8"/>
      <c r="T1970" s="8"/>
      <c r="U1970" s="8"/>
      <c r="V1970" s="8"/>
      <c r="W1970" s="8"/>
      <c r="X1970" s="8"/>
      <c r="Y1970" s="8"/>
      <c r="Z1970" s="8"/>
    </row>
    <row r="1971" spans="1:28" x14ac:dyDescent="0.35">
      <c r="A1971" s="38" t="s">
        <v>1028</v>
      </c>
      <c r="B1971" s="14" t="s">
        <v>800</v>
      </c>
      <c r="C1971" s="8"/>
      <c r="D1971" s="8"/>
      <c r="E1971" s="8"/>
      <c r="F1971" s="8"/>
      <c r="G1971" s="8"/>
      <c r="H1971" s="8"/>
      <c r="I1971" s="8"/>
      <c r="J1971" s="8"/>
      <c r="K1971" s="8"/>
      <c r="L1971" s="8"/>
      <c r="M1971" s="8"/>
      <c r="N1971" s="8"/>
      <c r="O1971" s="8"/>
      <c r="P1971" s="8"/>
      <c r="Q1971" s="8"/>
      <c r="R1971" s="8"/>
      <c r="S1971" s="8"/>
      <c r="T1971" s="8"/>
      <c r="U1971" s="8"/>
      <c r="V1971" s="8"/>
      <c r="W1971" s="8"/>
      <c r="X1971" s="8"/>
      <c r="Y1971" s="8"/>
      <c r="Z1971" s="8"/>
    </row>
    <row r="1972" spans="1:28" x14ac:dyDescent="0.35">
      <c r="A1972" s="36"/>
      <c r="B1972" s="8"/>
      <c r="C1972" s="7" t="s">
        <v>535</v>
      </c>
      <c r="D1972" s="15" t="s">
        <v>68</v>
      </c>
      <c r="E1972" s="9">
        <f>1133350-1130943.19</f>
        <v>2406.8100000000559</v>
      </c>
      <c r="F1972" s="8"/>
      <c r="G1972" s="8"/>
      <c r="H1972" s="9">
        <f t="shared" ref="H1972:H1993" si="225">F1972+G1972</f>
        <v>0</v>
      </c>
      <c r="I1972" s="8"/>
      <c r="J1972" s="9">
        <f t="shared" ref="J1972:J1993" si="226">H1972+I1972</f>
        <v>0</v>
      </c>
      <c r="K1972" s="9">
        <f>76.55+2330.26</f>
        <v>2406.8100000000004</v>
      </c>
      <c r="L1972" s="8"/>
      <c r="M1972" s="9">
        <f>+H1972+L1972</f>
        <v>0</v>
      </c>
      <c r="N1972" s="8">
        <v>2406.81</v>
      </c>
      <c r="O1972" s="9"/>
      <c r="P1972" s="9">
        <f>+N1972+O1972</f>
        <v>2406.81</v>
      </c>
      <c r="Q1972" s="9">
        <f t="shared" ref="Q1972:Q1993" si="227">E1972-P1972</f>
        <v>5.5933924159035087E-11</v>
      </c>
      <c r="R1972" s="8"/>
      <c r="S1972" s="8"/>
      <c r="T1972" s="8"/>
      <c r="U1972" s="18">
        <f t="shared" ref="U1972:U1993" si="228">+P1972+T1972</f>
        <v>2406.81</v>
      </c>
      <c r="V1972" s="17"/>
      <c r="W1972" s="17"/>
      <c r="X1972" s="9">
        <f t="shared" ref="X1972:X1993" si="229">+H1972+P1972</f>
        <v>2406.81</v>
      </c>
      <c r="Y1972" s="8"/>
      <c r="Z1972" s="9">
        <f t="shared" ref="Z1972:Z1993" si="230">+E1972-X1972</f>
        <v>5.5933924159035087E-11</v>
      </c>
      <c r="AA1972" s="8">
        <f t="shared" ref="AA1972:AA1993" si="231">+M1972+U1972</f>
        <v>2406.81</v>
      </c>
      <c r="AB1972" s="8">
        <f t="shared" ref="AB1972:AB1993" si="232">+E1972-AA1972</f>
        <v>5.5933924159035087E-11</v>
      </c>
    </row>
    <row r="1973" spans="1:28" x14ac:dyDescent="0.35">
      <c r="A1973" s="36"/>
      <c r="B1973" s="8"/>
      <c r="C1973" s="7" t="s">
        <v>539</v>
      </c>
      <c r="D1973" s="15" t="s">
        <v>68</v>
      </c>
      <c r="E1973" s="9">
        <v>8590.94</v>
      </c>
      <c r="F1973" s="8"/>
      <c r="G1973" s="8"/>
      <c r="H1973" s="9">
        <f t="shared" si="225"/>
        <v>0</v>
      </c>
      <c r="I1973" s="8"/>
      <c r="J1973" s="9">
        <f t="shared" si="226"/>
        <v>0</v>
      </c>
      <c r="K1973" s="9">
        <v>8590.94</v>
      </c>
      <c r="L1973" s="8"/>
      <c r="M1973" s="9">
        <f t="shared" ref="M1973:M1993" si="233">+H1973+L1973</f>
        <v>0</v>
      </c>
      <c r="N1973" s="8">
        <v>8590.94</v>
      </c>
      <c r="O1973" s="9"/>
      <c r="P1973" s="9">
        <f t="shared" ref="P1973:P1993" si="234">+N1973+O1973</f>
        <v>8590.94</v>
      </c>
      <c r="Q1973" s="9">
        <f t="shared" si="227"/>
        <v>0</v>
      </c>
      <c r="R1973" s="8"/>
      <c r="S1973" s="8"/>
      <c r="T1973" s="8"/>
      <c r="U1973" s="18">
        <f t="shared" si="228"/>
        <v>8590.94</v>
      </c>
      <c r="V1973" s="17"/>
      <c r="W1973" s="17"/>
      <c r="X1973" s="9">
        <f t="shared" si="229"/>
        <v>8590.94</v>
      </c>
      <c r="Y1973" s="8"/>
      <c r="Z1973" s="9">
        <f t="shared" si="230"/>
        <v>0</v>
      </c>
      <c r="AA1973" s="8">
        <f t="shared" si="231"/>
        <v>8590.94</v>
      </c>
      <c r="AB1973" s="8">
        <f t="shared" si="232"/>
        <v>0</v>
      </c>
    </row>
    <row r="1974" spans="1:28" x14ac:dyDescent="0.35">
      <c r="A1974" s="36"/>
      <c r="B1974" s="8"/>
      <c r="C1974" s="7" t="s">
        <v>535</v>
      </c>
      <c r="D1974" s="15" t="s">
        <v>54</v>
      </c>
      <c r="E1974" s="9">
        <f>556000-27800-28904-76164</f>
        <v>423132</v>
      </c>
      <c r="F1974" s="9">
        <v>423132</v>
      </c>
      <c r="G1974" s="8"/>
      <c r="H1974" s="9">
        <f t="shared" si="225"/>
        <v>423132</v>
      </c>
      <c r="I1974" s="8"/>
      <c r="J1974" s="9">
        <f t="shared" si="226"/>
        <v>423132</v>
      </c>
      <c r="K1974" s="8"/>
      <c r="L1974" s="8"/>
      <c r="M1974" s="9">
        <f t="shared" si="233"/>
        <v>423132</v>
      </c>
      <c r="N1974" s="8"/>
      <c r="O1974" s="9"/>
      <c r="P1974" s="9">
        <f t="shared" si="234"/>
        <v>0</v>
      </c>
      <c r="Q1974" s="9">
        <f t="shared" si="227"/>
        <v>423132</v>
      </c>
      <c r="R1974" s="8"/>
      <c r="S1974" s="8"/>
      <c r="T1974" s="8"/>
      <c r="U1974" s="18">
        <f t="shared" si="228"/>
        <v>0</v>
      </c>
      <c r="V1974" s="17"/>
      <c r="W1974" s="17"/>
      <c r="X1974" s="9">
        <f t="shared" si="229"/>
        <v>423132</v>
      </c>
      <c r="Y1974" s="8"/>
      <c r="Z1974" s="9">
        <f t="shared" si="230"/>
        <v>0</v>
      </c>
      <c r="AA1974" s="8">
        <f t="shared" si="231"/>
        <v>423132</v>
      </c>
      <c r="AB1974" s="8">
        <f t="shared" si="232"/>
        <v>0</v>
      </c>
    </row>
    <row r="1975" spans="1:28" x14ac:dyDescent="0.35">
      <c r="A1975" s="36"/>
      <c r="B1975" s="8"/>
      <c r="C1975" s="7" t="s">
        <v>545</v>
      </c>
      <c r="D1975" s="15" t="s">
        <v>54</v>
      </c>
      <c r="E1975" s="9">
        <v>1767770</v>
      </c>
      <c r="F1975" s="8"/>
      <c r="G1975" s="8"/>
      <c r="H1975" s="9">
        <f t="shared" si="225"/>
        <v>0</v>
      </c>
      <c r="I1975" s="8"/>
      <c r="J1975" s="9">
        <f t="shared" si="226"/>
        <v>0</v>
      </c>
      <c r="K1975" s="9">
        <v>1767770</v>
      </c>
      <c r="L1975" s="8"/>
      <c r="M1975" s="9">
        <f t="shared" si="233"/>
        <v>0</v>
      </c>
      <c r="N1975" s="8">
        <v>1767770</v>
      </c>
      <c r="O1975" s="9"/>
      <c r="P1975" s="9">
        <f t="shared" si="234"/>
        <v>1767770</v>
      </c>
      <c r="Q1975" s="9">
        <f t="shared" si="227"/>
        <v>0</v>
      </c>
      <c r="R1975" s="8"/>
      <c r="S1975" s="8"/>
      <c r="T1975" s="8"/>
      <c r="U1975" s="18">
        <f t="shared" si="228"/>
        <v>1767770</v>
      </c>
      <c r="V1975" s="17"/>
      <c r="W1975" s="17"/>
      <c r="X1975" s="9">
        <f t="shared" si="229"/>
        <v>1767770</v>
      </c>
      <c r="Y1975" s="8"/>
      <c r="Z1975" s="9">
        <f t="shared" si="230"/>
        <v>0</v>
      </c>
      <c r="AA1975" s="8">
        <f t="shared" si="231"/>
        <v>1767770</v>
      </c>
      <c r="AB1975" s="8">
        <f t="shared" si="232"/>
        <v>0</v>
      </c>
    </row>
    <row r="1976" spans="1:28" x14ac:dyDescent="0.35">
      <c r="A1976" s="36"/>
      <c r="B1976" s="8"/>
      <c r="C1976" s="7" t="s">
        <v>557</v>
      </c>
      <c r="D1976" s="15" t="s">
        <v>54</v>
      </c>
      <c r="E1976" s="9">
        <v>1663000</v>
      </c>
      <c r="F1976" s="9">
        <v>1663000</v>
      </c>
      <c r="G1976" s="8"/>
      <c r="H1976" s="9">
        <f t="shared" si="225"/>
        <v>1663000</v>
      </c>
      <c r="I1976" s="8"/>
      <c r="J1976" s="9">
        <f t="shared" si="226"/>
        <v>1663000</v>
      </c>
      <c r="K1976" s="8"/>
      <c r="L1976" s="8"/>
      <c r="M1976" s="9">
        <f t="shared" si="233"/>
        <v>1663000</v>
      </c>
      <c r="N1976" s="8"/>
      <c r="O1976" s="9"/>
      <c r="P1976" s="9">
        <f t="shared" si="234"/>
        <v>0</v>
      </c>
      <c r="Q1976" s="9">
        <f t="shared" si="227"/>
        <v>1663000</v>
      </c>
      <c r="R1976" s="8"/>
      <c r="S1976" s="8"/>
      <c r="T1976" s="8"/>
      <c r="U1976" s="18">
        <f t="shared" si="228"/>
        <v>0</v>
      </c>
      <c r="V1976" s="17"/>
      <c r="W1976" s="17"/>
      <c r="X1976" s="9">
        <f t="shared" si="229"/>
        <v>1663000</v>
      </c>
      <c r="Y1976" s="8"/>
      <c r="Z1976" s="9">
        <f t="shared" si="230"/>
        <v>0</v>
      </c>
      <c r="AA1976" s="8">
        <f t="shared" si="231"/>
        <v>1663000</v>
      </c>
      <c r="AB1976" s="8">
        <f t="shared" si="232"/>
        <v>0</v>
      </c>
    </row>
    <row r="1977" spans="1:28" x14ac:dyDescent="0.35">
      <c r="A1977" s="36"/>
      <c r="B1977" s="8"/>
      <c r="C1977" s="7" t="s">
        <v>535</v>
      </c>
      <c r="D1977" s="15" t="s">
        <v>85</v>
      </c>
      <c r="E1977" s="9">
        <f>933000-93300</f>
        <v>839700</v>
      </c>
      <c r="F1977" s="9">
        <v>839700</v>
      </c>
      <c r="G1977" s="8"/>
      <c r="H1977" s="9">
        <f t="shared" si="225"/>
        <v>839700</v>
      </c>
      <c r="I1977" s="8"/>
      <c r="J1977" s="9">
        <f t="shared" si="226"/>
        <v>839700</v>
      </c>
      <c r="K1977" s="8"/>
      <c r="L1977" s="8"/>
      <c r="M1977" s="9">
        <f t="shared" si="233"/>
        <v>839700</v>
      </c>
      <c r="N1977" s="8"/>
      <c r="O1977" s="9"/>
      <c r="P1977" s="9">
        <f t="shared" si="234"/>
        <v>0</v>
      </c>
      <c r="Q1977" s="9">
        <f t="shared" si="227"/>
        <v>839700</v>
      </c>
      <c r="R1977" s="8"/>
      <c r="S1977" s="8"/>
      <c r="T1977" s="8"/>
      <c r="U1977" s="18">
        <f t="shared" si="228"/>
        <v>0</v>
      </c>
      <c r="V1977" s="17"/>
      <c r="W1977" s="17"/>
      <c r="X1977" s="9">
        <f t="shared" si="229"/>
        <v>839700</v>
      </c>
      <c r="Y1977" s="8"/>
      <c r="Z1977" s="9">
        <f t="shared" si="230"/>
        <v>0</v>
      </c>
      <c r="AA1977" s="8">
        <f t="shared" si="231"/>
        <v>839700</v>
      </c>
      <c r="AB1977" s="8">
        <f t="shared" si="232"/>
        <v>0</v>
      </c>
    </row>
    <row r="1978" spans="1:28" x14ac:dyDescent="0.35">
      <c r="A1978" s="36"/>
      <c r="B1978" s="8"/>
      <c r="C1978" s="7" t="s">
        <v>535</v>
      </c>
      <c r="D1978" s="15" t="s">
        <v>88</v>
      </c>
      <c r="E1978" s="9">
        <v>900000</v>
      </c>
      <c r="F1978" s="9">
        <v>900000</v>
      </c>
      <c r="G1978" s="8"/>
      <c r="H1978" s="9">
        <f t="shared" si="225"/>
        <v>900000</v>
      </c>
      <c r="I1978" s="8"/>
      <c r="J1978" s="9">
        <f t="shared" si="226"/>
        <v>900000</v>
      </c>
      <c r="K1978" s="8"/>
      <c r="L1978" s="8"/>
      <c r="M1978" s="9">
        <f t="shared" si="233"/>
        <v>900000</v>
      </c>
      <c r="N1978" s="8"/>
      <c r="O1978" s="9"/>
      <c r="P1978" s="9">
        <f t="shared" si="234"/>
        <v>0</v>
      </c>
      <c r="Q1978" s="9">
        <f t="shared" si="227"/>
        <v>900000</v>
      </c>
      <c r="R1978" s="8"/>
      <c r="S1978" s="8"/>
      <c r="T1978" s="8"/>
      <c r="U1978" s="18">
        <f t="shared" si="228"/>
        <v>0</v>
      </c>
      <c r="V1978" s="17"/>
      <c r="W1978" s="17"/>
      <c r="X1978" s="9">
        <f t="shared" si="229"/>
        <v>900000</v>
      </c>
      <c r="Y1978" s="8"/>
      <c r="Z1978" s="9">
        <f t="shared" si="230"/>
        <v>0</v>
      </c>
      <c r="AA1978" s="8">
        <f t="shared" si="231"/>
        <v>900000</v>
      </c>
      <c r="AB1978" s="8">
        <f t="shared" si="232"/>
        <v>0</v>
      </c>
    </row>
    <row r="1979" spans="1:28" x14ac:dyDescent="0.35">
      <c r="A1979" s="36"/>
      <c r="B1979" s="8"/>
      <c r="C1979" s="7" t="s">
        <v>535</v>
      </c>
      <c r="D1979" s="15" t="s">
        <v>108</v>
      </c>
      <c r="E1979" s="9">
        <f>1277560+3103109</f>
        <v>4380669</v>
      </c>
      <c r="F1979" s="9">
        <v>4380669</v>
      </c>
      <c r="G1979" s="8"/>
      <c r="H1979" s="9">
        <f t="shared" si="225"/>
        <v>4380669</v>
      </c>
      <c r="I1979" s="8"/>
      <c r="J1979" s="9">
        <f t="shared" si="226"/>
        <v>4380669</v>
      </c>
      <c r="K1979" s="8"/>
      <c r="L1979" s="8"/>
      <c r="M1979" s="9">
        <f t="shared" si="233"/>
        <v>4380669</v>
      </c>
      <c r="N1979" s="8"/>
      <c r="O1979" s="9"/>
      <c r="P1979" s="9">
        <f t="shared" si="234"/>
        <v>0</v>
      </c>
      <c r="Q1979" s="9">
        <f t="shared" si="227"/>
        <v>4380669</v>
      </c>
      <c r="R1979" s="8"/>
      <c r="S1979" s="8"/>
      <c r="T1979" s="8"/>
      <c r="U1979" s="18">
        <f t="shared" si="228"/>
        <v>0</v>
      </c>
      <c r="V1979" s="17"/>
      <c r="W1979" s="17"/>
      <c r="X1979" s="9">
        <f t="shared" si="229"/>
        <v>4380669</v>
      </c>
      <c r="Y1979" s="8"/>
      <c r="Z1979" s="9">
        <f t="shared" si="230"/>
        <v>0</v>
      </c>
      <c r="AA1979" s="8">
        <f t="shared" si="231"/>
        <v>4380669</v>
      </c>
      <c r="AB1979" s="8">
        <f t="shared" si="232"/>
        <v>0</v>
      </c>
    </row>
    <row r="1980" spans="1:28" x14ac:dyDescent="0.35">
      <c r="A1980" s="36"/>
      <c r="B1980" s="8"/>
      <c r="C1980" s="7" t="s">
        <v>801</v>
      </c>
      <c r="D1980" s="15" t="s">
        <v>108</v>
      </c>
      <c r="E1980" s="9">
        <f>1000000+4176560+705580</f>
        <v>5882140</v>
      </c>
      <c r="F1980" s="9">
        <v>5882140</v>
      </c>
      <c r="G1980" s="8"/>
      <c r="H1980" s="9">
        <f t="shared" si="225"/>
        <v>5882140</v>
      </c>
      <c r="I1980" s="8"/>
      <c r="J1980" s="9">
        <f t="shared" si="226"/>
        <v>5882140</v>
      </c>
      <c r="K1980" s="8"/>
      <c r="L1980" s="8"/>
      <c r="M1980" s="9">
        <f t="shared" si="233"/>
        <v>5882140</v>
      </c>
      <c r="N1980" s="8"/>
      <c r="O1980" s="9"/>
      <c r="P1980" s="9">
        <f t="shared" si="234"/>
        <v>0</v>
      </c>
      <c r="Q1980" s="9">
        <f t="shared" si="227"/>
        <v>5882140</v>
      </c>
      <c r="R1980" s="8"/>
      <c r="S1980" s="8"/>
      <c r="T1980" s="8"/>
      <c r="U1980" s="18">
        <f t="shared" si="228"/>
        <v>0</v>
      </c>
      <c r="V1980" s="17"/>
      <c r="W1980" s="17"/>
      <c r="X1980" s="9">
        <f t="shared" si="229"/>
        <v>5882140</v>
      </c>
      <c r="Y1980" s="8"/>
      <c r="Z1980" s="9">
        <f t="shared" si="230"/>
        <v>0</v>
      </c>
      <c r="AA1980" s="8">
        <f t="shared" si="231"/>
        <v>5882140</v>
      </c>
      <c r="AB1980" s="8">
        <f t="shared" si="232"/>
        <v>0</v>
      </c>
    </row>
    <row r="1981" spans="1:28" x14ac:dyDescent="0.35">
      <c r="A1981" s="36"/>
      <c r="B1981" s="8"/>
      <c r="C1981" s="7" t="s">
        <v>802</v>
      </c>
      <c r="D1981" s="15" t="s">
        <v>108</v>
      </c>
      <c r="E1981" s="9">
        <v>1700000</v>
      </c>
      <c r="F1981" s="9">
        <v>1700000</v>
      </c>
      <c r="G1981" s="8"/>
      <c r="H1981" s="9">
        <f t="shared" si="225"/>
        <v>1700000</v>
      </c>
      <c r="I1981" s="8"/>
      <c r="J1981" s="9">
        <f t="shared" si="226"/>
        <v>1700000</v>
      </c>
      <c r="K1981" s="8"/>
      <c r="L1981" s="8"/>
      <c r="M1981" s="9">
        <f t="shared" si="233"/>
        <v>1700000</v>
      </c>
      <c r="N1981" s="8"/>
      <c r="O1981" s="9"/>
      <c r="P1981" s="9">
        <f t="shared" si="234"/>
        <v>0</v>
      </c>
      <c r="Q1981" s="9">
        <f t="shared" si="227"/>
        <v>1700000</v>
      </c>
      <c r="R1981" s="8"/>
      <c r="S1981" s="8"/>
      <c r="T1981" s="8"/>
      <c r="U1981" s="18">
        <f t="shared" si="228"/>
        <v>0</v>
      </c>
      <c r="V1981" s="17"/>
      <c r="W1981" s="17"/>
      <c r="X1981" s="9">
        <f t="shared" si="229"/>
        <v>1700000</v>
      </c>
      <c r="Y1981" s="8"/>
      <c r="Z1981" s="9">
        <f t="shared" si="230"/>
        <v>0</v>
      </c>
      <c r="AA1981" s="8">
        <f t="shared" si="231"/>
        <v>1700000</v>
      </c>
      <c r="AB1981" s="8">
        <f t="shared" si="232"/>
        <v>0</v>
      </c>
    </row>
    <row r="1982" spans="1:28" x14ac:dyDescent="0.35">
      <c r="A1982" s="36"/>
      <c r="B1982" s="8"/>
      <c r="C1982" s="7" t="s">
        <v>801</v>
      </c>
      <c r="D1982" s="21" t="s">
        <v>58</v>
      </c>
      <c r="E1982" s="9">
        <v>4508153.1100000003</v>
      </c>
      <c r="F1982" s="9">
        <v>4508153.1100000003</v>
      </c>
      <c r="G1982" s="8"/>
      <c r="H1982" s="9">
        <f t="shared" si="225"/>
        <v>4508153.1100000003</v>
      </c>
      <c r="I1982" s="8"/>
      <c r="J1982" s="9">
        <f t="shared" si="226"/>
        <v>4508153.1100000003</v>
      </c>
      <c r="K1982" s="8"/>
      <c r="L1982" s="8"/>
      <c r="M1982" s="9">
        <f t="shared" si="233"/>
        <v>4508153.1100000003</v>
      </c>
      <c r="N1982" s="8"/>
      <c r="O1982" s="9"/>
      <c r="P1982" s="9">
        <f t="shared" si="234"/>
        <v>0</v>
      </c>
      <c r="Q1982" s="9">
        <f t="shared" si="227"/>
        <v>4508153.1100000003</v>
      </c>
      <c r="R1982" s="8"/>
      <c r="S1982" s="8"/>
      <c r="T1982" s="8"/>
      <c r="U1982" s="18">
        <f t="shared" si="228"/>
        <v>0</v>
      </c>
      <c r="V1982" s="17"/>
      <c r="W1982" s="17"/>
      <c r="X1982" s="9">
        <f t="shared" si="229"/>
        <v>4508153.1100000003</v>
      </c>
      <c r="Y1982" s="8"/>
      <c r="Z1982" s="9">
        <f t="shared" si="230"/>
        <v>0</v>
      </c>
      <c r="AA1982" s="8">
        <f t="shared" si="231"/>
        <v>4508153.1100000003</v>
      </c>
      <c r="AB1982" s="8">
        <f t="shared" si="232"/>
        <v>0</v>
      </c>
    </row>
    <row r="1983" spans="1:28" x14ac:dyDescent="0.35">
      <c r="A1983" s="36"/>
      <c r="B1983" s="8"/>
      <c r="C1983" s="7" t="s">
        <v>535</v>
      </c>
      <c r="D1983" s="15" t="s">
        <v>58</v>
      </c>
      <c r="E1983" s="9">
        <v>12452042.060000001</v>
      </c>
      <c r="F1983" s="9">
        <f>3320572+9131470.06</f>
        <v>12452042.060000001</v>
      </c>
      <c r="G1983" s="8"/>
      <c r="H1983" s="9">
        <f t="shared" si="225"/>
        <v>12452042.060000001</v>
      </c>
      <c r="I1983" s="8"/>
      <c r="J1983" s="9">
        <f t="shared" si="226"/>
        <v>12452042.060000001</v>
      </c>
      <c r="K1983" s="8"/>
      <c r="L1983" s="8"/>
      <c r="M1983" s="9">
        <f t="shared" si="233"/>
        <v>12452042.060000001</v>
      </c>
      <c r="N1983" s="8"/>
      <c r="O1983" s="9"/>
      <c r="P1983" s="9">
        <f t="shared" si="234"/>
        <v>0</v>
      </c>
      <c r="Q1983" s="9">
        <f t="shared" si="227"/>
        <v>12452042.060000001</v>
      </c>
      <c r="R1983" s="8"/>
      <c r="S1983" s="8"/>
      <c r="T1983" s="8"/>
      <c r="U1983" s="18">
        <f t="shared" si="228"/>
        <v>0</v>
      </c>
      <c r="V1983" s="17"/>
      <c r="W1983" s="17"/>
      <c r="X1983" s="9">
        <f t="shared" si="229"/>
        <v>12452042.060000001</v>
      </c>
      <c r="Y1983" s="8"/>
      <c r="Z1983" s="9">
        <f t="shared" si="230"/>
        <v>0</v>
      </c>
      <c r="AA1983" s="8">
        <f t="shared" si="231"/>
        <v>12452042.060000001</v>
      </c>
      <c r="AB1983" s="8">
        <f t="shared" si="232"/>
        <v>0</v>
      </c>
    </row>
    <row r="1984" spans="1:28" x14ac:dyDescent="0.35">
      <c r="A1984" s="36"/>
      <c r="B1984" s="8"/>
      <c r="C1984" s="7" t="s">
        <v>535</v>
      </c>
      <c r="D1984" s="15" t="s">
        <v>60</v>
      </c>
      <c r="E1984" s="9">
        <v>4225326.95</v>
      </c>
      <c r="F1984" s="9">
        <v>4225326.95</v>
      </c>
      <c r="G1984" s="8"/>
      <c r="H1984" s="9">
        <f t="shared" si="225"/>
        <v>4225326.95</v>
      </c>
      <c r="I1984" s="8"/>
      <c r="J1984" s="9">
        <f t="shared" si="226"/>
        <v>4225326.95</v>
      </c>
      <c r="K1984" s="8"/>
      <c r="L1984" s="8"/>
      <c r="M1984" s="9">
        <f t="shared" si="233"/>
        <v>4225326.95</v>
      </c>
      <c r="N1984" s="8"/>
      <c r="O1984" s="9"/>
      <c r="P1984" s="9">
        <f t="shared" si="234"/>
        <v>0</v>
      </c>
      <c r="Q1984" s="9">
        <f t="shared" si="227"/>
        <v>4225326.95</v>
      </c>
      <c r="R1984" s="8"/>
      <c r="S1984" s="8"/>
      <c r="T1984" s="8"/>
      <c r="U1984" s="18">
        <f t="shared" si="228"/>
        <v>0</v>
      </c>
      <c r="V1984" s="17"/>
      <c r="W1984" s="17"/>
      <c r="X1984" s="9">
        <f t="shared" si="229"/>
        <v>4225326.95</v>
      </c>
      <c r="Y1984" s="8"/>
      <c r="Z1984" s="9">
        <f t="shared" si="230"/>
        <v>0</v>
      </c>
      <c r="AA1984" s="8">
        <f t="shared" si="231"/>
        <v>4225326.95</v>
      </c>
      <c r="AB1984" s="8">
        <f t="shared" si="232"/>
        <v>0</v>
      </c>
    </row>
    <row r="1985" spans="1:28" x14ac:dyDescent="0.35">
      <c r="A1985" s="36"/>
      <c r="B1985" s="8"/>
      <c r="C1985" s="7" t="s">
        <v>535</v>
      </c>
      <c r="D1985" s="15" t="s">
        <v>73</v>
      </c>
      <c r="E1985" s="9">
        <v>1018000</v>
      </c>
      <c r="F1985" s="9">
        <v>1018000</v>
      </c>
      <c r="G1985" s="9"/>
      <c r="H1985" s="9">
        <f t="shared" si="225"/>
        <v>1018000</v>
      </c>
      <c r="I1985" s="9">
        <v>0</v>
      </c>
      <c r="J1985" s="9">
        <f t="shared" si="226"/>
        <v>1018000</v>
      </c>
      <c r="K1985" s="8"/>
      <c r="L1985" s="8"/>
      <c r="M1985" s="9">
        <f t="shared" si="233"/>
        <v>1018000</v>
      </c>
      <c r="N1985" s="8"/>
      <c r="O1985" s="9"/>
      <c r="P1985" s="9">
        <f t="shared" si="234"/>
        <v>0</v>
      </c>
      <c r="Q1985" s="9">
        <f t="shared" si="227"/>
        <v>1018000</v>
      </c>
      <c r="R1985" s="8"/>
      <c r="S1985" s="8"/>
      <c r="T1985" s="8"/>
      <c r="U1985" s="18">
        <f t="shared" si="228"/>
        <v>0</v>
      </c>
      <c r="V1985" s="17"/>
      <c r="W1985" s="17"/>
      <c r="X1985" s="9">
        <f t="shared" si="229"/>
        <v>1018000</v>
      </c>
      <c r="Y1985" s="8"/>
      <c r="Z1985" s="9">
        <f t="shared" si="230"/>
        <v>0</v>
      </c>
      <c r="AA1985" s="8">
        <f t="shared" si="231"/>
        <v>1018000</v>
      </c>
      <c r="AB1985" s="8">
        <f t="shared" si="232"/>
        <v>0</v>
      </c>
    </row>
    <row r="1986" spans="1:28" x14ac:dyDescent="0.35">
      <c r="A1986" s="36"/>
      <c r="B1986" s="8"/>
      <c r="C1986" s="14" t="s">
        <v>621</v>
      </c>
      <c r="D1986" s="21" t="s">
        <v>73</v>
      </c>
      <c r="E1986" s="11">
        <v>1109730</v>
      </c>
      <c r="F1986" s="11">
        <v>1109730</v>
      </c>
      <c r="G1986" s="8"/>
      <c r="H1986" s="9">
        <f t="shared" si="225"/>
        <v>1109730</v>
      </c>
      <c r="I1986" s="8"/>
      <c r="J1986" s="9">
        <f t="shared" si="226"/>
        <v>1109730</v>
      </c>
      <c r="K1986" s="8"/>
      <c r="L1986" s="8"/>
      <c r="M1986" s="9">
        <f t="shared" si="233"/>
        <v>1109730</v>
      </c>
      <c r="N1986" s="8"/>
      <c r="O1986" s="9"/>
      <c r="P1986" s="9">
        <f t="shared" si="234"/>
        <v>0</v>
      </c>
      <c r="Q1986" s="9">
        <f t="shared" si="227"/>
        <v>1109730</v>
      </c>
      <c r="R1986" s="8"/>
      <c r="S1986" s="8"/>
      <c r="T1986" s="8"/>
      <c r="U1986" s="18">
        <f t="shared" si="228"/>
        <v>0</v>
      </c>
      <c r="V1986" s="17"/>
      <c r="W1986" s="17"/>
      <c r="X1986" s="9">
        <f t="shared" si="229"/>
        <v>1109730</v>
      </c>
      <c r="Y1986" s="8"/>
      <c r="Z1986" s="9">
        <f t="shared" si="230"/>
        <v>0</v>
      </c>
      <c r="AA1986" s="8">
        <f t="shared" si="231"/>
        <v>1109730</v>
      </c>
      <c r="AB1986" s="8">
        <f t="shared" si="232"/>
        <v>0</v>
      </c>
    </row>
    <row r="1987" spans="1:28" x14ac:dyDescent="0.35">
      <c r="A1987" s="36"/>
      <c r="B1987" s="8"/>
      <c r="C1987" s="14" t="s">
        <v>929</v>
      </c>
      <c r="D1987" s="21"/>
      <c r="E1987" s="11">
        <f>549832.4+1648457.17</f>
        <v>2198289.5699999998</v>
      </c>
      <c r="F1987" s="11">
        <f>549832.4+1648457.17</f>
        <v>2198289.5699999998</v>
      </c>
      <c r="G1987" s="8"/>
      <c r="H1987" s="9">
        <f>+F1987+G1987</f>
        <v>2198289.5699999998</v>
      </c>
      <c r="I1987" s="8"/>
      <c r="J1987" s="9"/>
      <c r="K1987" s="8"/>
      <c r="L1987" s="8"/>
      <c r="M1987" s="9">
        <f t="shared" si="233"/>
        <v>2198289.5699999998</v>
      </c>
      <c r="N1987" s="8"/>
      <c r="O1987" s="9"/>
      <c r="P1987" s="9">
        <f t="shared" si="234"/>
        <v>0</v>
      </c>
      <c r="Q1987" s="9"/>
      <c r="R1987" s="8"/>
      <c r="S1987" s="8"/>
      <c r="T1987" s="8"/>
      <c r="U1987" s="18">
        <f>+P1987+T1987</f>
        <v>0</v>
      </c>
      <c r="V1987" s="17"/>
      <c r="W1987" s="17"/>
      <c r="X1987" s="9">
        <f t="shared" si="229"/>
        <v>2198289.5699999998</v>
      </c>
      <c r="Y1987" s="8"/>
      <c r="Z1987" s="9">
        <f t="shared" si="230"/>
        <v>0</v>
      </c>
      <c r="AA1987" s="8">
        <f t="shared" si="231"/>
        <v>2198289.5699999998</v>
      </c>
      <c r="AB1987" s="8">
        <f t="shared" si="232"/>
        <v>0</v>
      </c>
    </row>
    <row r="1988" spans="1:28" x14ac:dyDescent="0.35">
      <c r="A1988" s="36"/>
      <c r="B1988" s="8"/>
      <c r="C1988" s="14" t="s">
        <v>1094</v>
      </c>
      <c r="D1988" s="24" t="s">
        <v>1072</v>
      </c>
      <c r="E1988" s="11">
        <f>4377356.34+441850.5</f>
        <v>4819206.84</v>
      </c>
      <c r="F1988" s="11">
        <f>4377356.34+441850.5</f>
        <v>4819206.84</v>
      </c>
      <c r="G1988" s="8"/>
      <c r="H1988" s="9">
        <f>+F1988+G1988</f>
        <v>4819206.84</v>
      </c>
      <c r="I1988" s="8"/>
      <c r="J1988" s="9"/>
      <c r="K1988" s="8"/>
      <c r="L1988" s="8"/>
      <c r="M1988" s="9">
        <f>+H1988+L1988</f>
        <v>4819206.84</v>
      </c>
      <c r="N1988" s="8"/>
      <c r="O1988" s="9"/>
      <c r="P1988" s="9">
        <f>+N1988+O1988</f>
        <v>0</v>
      </c>
      <c r="Q1988" s="9"/>
      <c r="R1988" s="8"/>
      <c r="S1988" s="8"/>
      <c r="T1988" s="8"/>
      <c r="U1988" s="18">
        <f>+P1988+T1988</f>
        <v>0</v>
      </c>
      <c r="V1988" s="17"/>
      <c r="W1988" s="17"/>
      <c r="X1988" s="9">
        <f t="shared" si="229"/>
        <v>4819206.84</v>
      </c>
      <c r="Y1988" s="8"/>
      <c r="Z1988" s="9">
        <f t="shared" si="230"/>
        <v>0</v>
      </c>
      <c r="AA1988" s="8">
        <f t="shared" si="231"/>
        <v>4819206.84</v>
      </c>
      <c r="AB1988" s="8">
        <f t="shared" si="232"/>
        <v>0</v>
      </c>
    </row>
    <row r="1989" spans="1:28" x14ac:dyDescent="0.35">
      <c r="A1989" s="36"/>
      <c r="B1989" s="8"/>
      <c r="C1989" s="7" t="s">
        <v>535</v>
      </c>
      <c r="D1989" s="15" t="s">
        <v>61</v>
      </c>
      <c r="E1989" s="11">
        <v>1240371.6399999999</v>
      </c>
      <c r="F1989" s="11">
        <v>1240371.6399999999</v>
      </c>
      <c r="G1989" s="8"/>
      <c r="H1989" s="9">
        <f t="shared" si="225"/>
        <v>1240371.6399999999</v>
      </c>
      <c r="I1989" s="8"/>
      <c r="J1989" s="9">
        <f t="shared" si="226"/>
        <v>1240371.6399999999</v>
      </c>
      <c r="K1989" s="8"/>
      <c r="L1989" s="8"/>
      <c r="M1989" s="9">
        <f t="shared" si="233"/>
        <v>1240371.6399999999</v>
      </c>
      <c r="N1989" s="8"/>
      <c r="O1989" s="9"/>
      <c r="P1989" s="9">
        <f t="shared" si="234"/>
        <v>0</v>
      </c>
      <c r="Q1989" s="9">
        <f t="shared" si="227"/>
        <v>1240371.6399999999</v>
      </c>
      <c r="R1989" s="8"/>
      <c r="S1989" s="8"/>
      <c r="T1989" s="8"/>
      <c r="U1989" s="18">
        <f t="shared" si="228"/>
        <v>0</v>
      </c>
      <c r="V1989" s="17"/>
      <c r="W1989" s="17"/>
      <c r="X1989" s="9">
        <f t="shared" si="229"/>
        <v>1240371.6399999999</v>
      </c>
      <c r="Y1989" s="8"/>
      <c r="Z1989" s="9">
        <f t="shared" si="230"/>
        <v>0</v>
      </c>
      <c r="AA1989" s="8">
        <f t="shared" si="231"/>
        <v>1240371.6399999999</v>
      </c>
      <c r="AB1989" s="8">
        <f t="shared" si="232"/>
        <v>0</v>
      </c>
    </row>
    <row r="1990" spans="1:28" x14ac:dyDescent="0.35">
      <c r="A1990" s="36"/>
      <c r="B1990" s="8"/>
      <c r="C1990" s="14" t="s">
        <v>621</v>
      </c>
      <c r="D1990" s="21" t="s">
        <v>61</v>
      </c>
      <c r="E1990" s="11">
        <f>1119103.65+9514.9</f>
        <v>1128618.5499999998</v>
      </c>
      <c r="F1990" s="11">
        <v>1119103.6499999999</v>
      </c>
      <c r="G1990" s="8"/>
      <c r="H1990" s="9">
        <f t="shared" si="225"/>
        <v>1119103.6499999999</v>
      </c>
      <c r="I1990" s="8"/>
      <c r="J1990" s="9">
        <f t="shared" si="226"/>
        <v>1119103.6499999999</v>
      </c>
      <c r="K1990" s="8"/>
      <c r="L1990" s="8"/>
      <c r="M1990" s="9">
        <f t="shared" si="233"/>
        <v>1119103.6499999999</v>
      </c>
      <c r="N1990" s="11"/>
      <c r="O1990" s="9"/>
      <c r="P1990" s="9">
        <f t="shared" si="234"/>
        <v>0</v>
      </c>
      <c r="Q1990" s="9">
        <f t="shared" si="227"/>
        <v>1128618.5499999998</v>
      </c>
      <c r="R1990" s="8"/>
      <c r="S1990" s="8"/>
      <c r="T1990" s="8">
        <v>9514.9</v>
      </c>
      <c r="U1990" s="18">
        <f t="shared" si="228"/>
        <v>9514.9</v>
      </c>
      <c r="V1990" s="17"/>
      <c r="W1990" s="17"/>
      <c r="X1990" s="9">
        <f t="shared" si="229"/>
        <v>1119103.6499999999</v>
      </c>
      <c r="Y1990" s="8"/>
      <c r="Z1990" s="9">
        <f t="shared" si="230"/>
        <v>9514.8999999999069</v>
      </c>
      <c r="AA1990" s="8">
        <f t="shared" si="231"/>
        <v>1128618.5499999998</v>
      </c>
      <c r="AB1990" s="8">
        <f t="shared" si="232"/>
        <v>0</v>
      </c>
    </row>
    <row r="1991" spans="1:28" x14ac:dyDescent="0.35">
      <c r="A1991" s="36"/>
      <c r="B1991" s="8"/>
      <c r="C1991" s="7" t="s">
        <v>598</v>
      </c>
      <c r="D1991" s="8"/>
      <c r="E1991" s="9">
        <v>785130</v>
      </c>
      <c r="F1991" s="9">
        <v>785130</v>
      </c>
      <c r="G1991" s="8"/>
      <c r="H1991" s="9">
        <f t="shared" si="225"/>
        <v>785130</v>
      </c>
      <c r="I1991" s="8"/>
      <c r="J1991" s="9">
        <f t="shared" si="226"/>
        <v>785130</v>
      </c>
      <c r="K1991" s="8"/>
      <c r="L1991" s="8"/>
      <c r="M1991" s="9">
        <f t="shared" si="233"/>
        <v>785130</v>
      </c>
      <c r="N1991" s="8"/>
      <c r="O1991" s="9"/>
      <c r="P1991" s="9">
        <f t="shared" si="234"/>
        <v>0</v>
      </c>
      <c r="Q1991" s="9">
        <f t="shared" si="227"/>
        <v>785130</v>
      </c>
      <c r="R1991" s="8"/>
      <c r="S1991" s="8"/>
      <c r="T1991" s="8"/>
      <c r="U1991" s="18">
        <f t="shared" si="228"/>
        <v>0</v>
      </c>
      <c r="V1991" s="17"/>
      <c r="W1991" s="17"/>
      <c r="X1991" s="9">
        <f t="shared" si="229"/>
        <v>785130</v>
      </c>
      <c r="Y1991" s="8"/>
      <c r="Z1991" s="9">
        <f t="shared" si="230"/>
        <v>0</v>
      </c>
      <c r="AA1991" s="8">
        <f t="shared" si="231"/>
        <v>785130</v>
      </c>
      <c r="AB1991" s="8">
        <f t="shared" si="232"/>
        <v>0</v>
      </c>
    </row>
    <row r="1992" spans="1:28" x14ac:dyDescent="0.35">
      <c r="A1992" s="36"/>
      <c r="B1992" s="8"/>
      <c r="C1992" s="7" t="s">
        <v>550</v>
      </c>
      <c r="D1992" s="8"/>
      <c r="E1992" s="9">
        <v>105737</v>
      </c>
      <c r="F1992" s="9">
        <v>105737</v>
      </c>
      <c r="G1992" s="8"/>
      <c r="H1992" s="9">
        <f t="shared" si="225"/>
        <v>105737</v>
      </c>
      <c r="I1992" s="8"/>
      <c r="J1992" s="9">
        <f t="shared" si="226"/>
        <v>105737</v>
      </c>
      <c r="K1992" s="8"/>
      <c r="L1992" s="8"/>
      <c r="M1992" s="9">
        <f t="shared" si="233"/>
        <v>105737</v>
      </c>
      <c r="N1992" s="8"/>
      <c r="O1992" s="9"/>
      <c r="P1992" s="9">
        <f t="shared" si="234"/>
        <v>0</v>
      </c>
      <c r="Q1992" s="9">
        <f t="shared" si="227"/>
        <v>105737</v>
      </c>
      <c r="R1992" s="8"/>
      <c r="S1992" s="8"/>
      <c r="T1992" s="8"/>
      <c r="U1992" s="18">
        <f t="shared" si="228"/>
        <v>0</v>
      </c>
      <c r="V1992" s="17"/>
      <c r="W1992" s="17"/>
      <c r="X1992" s="9">
        <f t="shared" si="229"/>
        <v>105737</v>
      </c>
      <c r="Y1992" s="8"/>
      <c r="Z1992" s="9">
        <f t="shared" si="230"/>
        <v>0</v>
      </c>
      <c r="AA1992" s="8">
        <f t="shared" si="231"/>
        <v>105737</v>
      </c>
      <c r="AB1992" s="8">
        <f t="shared" si="232"/>
        <v>0</v>
      </c>
    </row>
    <row r="1993" spans="1:28" x14ac:dyDescent="0.35">
      <c r="A1993" s="36"/>
      <c r="B1993" s="8"/>
      <c r="C1993" s="7" t="s">
        <v>606</v>
      </c>
      <c r="D1993" s="8"/>
      <c r="E1993" s="9">
        <f>2500000+2500000+2500000+1991615+1959827.35-1959827.35-2500000+2090111.78</f>
        <v>9081726.7799999993</v>
      </c>
      <c r="F1993" s="9">
        <f>11451442.35-1959827.35-2500000+2090111.78</f>
        <v>9081726.7799999993</v>
      </c>
      <c r="G1993" s="8"/>
      <c r="H1993" s="9">
        <f t="shared" si="225"/>
        <v>9081726.7799999993</v>
      </c>
      <c r="I1993" s="8"/>
      <c r="J1993" s="9">
        <f t="shared" si="226"/>
        <v>9081726.7799999993</v>
      </c>
      <c r="K1993" s="8"/>
      <c r="L1993" s="8"/>
      <c r="M1993" s="9">
        <f t="shared" si="233"/>
        <v>9081726.7799999993</v>
      </c>
      <c r="N1993" s="8"/>
      <c r="O1993" s="9"/>
      <c r="P1993" s="9">
        <f t="shared" si="234"/>
        <v>0</v>
      </c>
      <c r="Q1993" s="9">
        <f t="shared" si="227"/>
        <v>9081726.7799999993</v>
      </c>
      <c r="R1993" s="8"/>
      <c r="S1993" s="8"/>
      <c r="T1993" s="8"/>
      <c r="U1993" s="18">
        <f t="shared" si="228"/>
        <v>0</v>
      </c>
      <c r="V1993" s="17"/>
      <c r="W1993" s="17"/>
      <c r="X1993" s="9">
        <f t="shared" si="229"/>
        <v>9081726.7799999993</v>
      </c>
      <c r="Y1993" s="8"/>
      <c r="Z1993" s="9">
        <f t="shared" si="230"/>
        <v>0</v>
      </c>
      <c r="AA1993" s="8">
        <f t="shared" si="231"/>
        <v>9081726.7799999993</v>
      </c>
      <c r="AB1993" s="8">
        <f t="shared" si="232"/>
        <v>0</v>
      </c>
    </row>
    <row r="1994" spans="1:28" x14ac:dyDescent="0.35">
      <c r="A1994" s="36"/>
      <c r="B1994" s="8"/>
      <c r="C1994" s="8"/>
      <c r="D1994" s="8"/>
      <c r="E1994" s="17" t="s">
        <v>29</v>
      </c>
      <c r="F1994" s="17" t="s">
        <v>29</v>
      </c>
      <c r="G1994" s="17" t="s">
        <v>29</v>
      </c>
      <c r="H1994" s="17" t="s">
        <v>29</v>
      </c>
      <c r="I1994" s="17" t="s">
        <v>29</v>
      </c>
      <c r="J1994" s="17" t="s">
        <v>29</v>
      </c>
      <c r="K1994" s="17" t="s">
        <v>29</v>
      </c>
      <c r="L1994" s="17" t="s">
        <v>29</v>
      </c>
      <c r="M1994" s="17" t="s">
        <v>29</v>
      </c>
      <c r="N1994" s="17" t="s">
        <v>29</v>
      </c>
      <c r="O1994" s="17" t="s">
        <v>29</v>
      </c>
      <c r="P1994" s="17" t="s">
        <v>29</v>
      </c>
      <c r="Q1994" s="17" t="s">
        <v>29</v>
      </c>
      <c r="R1994" s="17" t="s">
        <v>29</v>
      </c>
      <c r="S1994" s="17" t="s">
        <v>29</v>
      </c>
      <c r="T1994" s="17" t="s">
        <v>29</v>
      </c>
      <c r="U1994" s="17" t="s">
        <v>29</v>
      </c>
      <c r="V1994" s="17" t="s">
        <v>29</v>
      </c>
      <c r="W1994" s="17" t="s">
        <v>29</v>
      </c>
      <c r="X1994" s="17" t="s">
        <v>29</v>
      </c>
      <c r="Y1994" s="17" t="s">
        <v>29</v>
      </c>
      <c r="Z1994" s="17" t="s">
        <v>29</v>
      </c>
      <c r="AA1994" s="17" t="s">
        <v>29</v>
      </c>
      <c r="AB1994" s="17" t="s">
        <v>29</v>
      </c>
    </row>
    <row r="1995" spans="1:28" x14ac:dyDescent="0.35">
      <c r="A1995" s="36"/>
      <c r="B1995" s="8"/>
      <c r="C1995" s="8"/>
      <c r="D1995" s="8"/>
      <c r="E1995" s="9">
        <f t="shared" ref="E1995:Q1995" si="235">SUM(E1972:E1994)</f>
        <v>60239741.25</v>
      </c>
      <c r="F1995" s="9">
        <f t="shared" si="235"/>
        <v>58451458.600000001</v>
      </c>
      <c r="G1995" s="9">
        <f t="shared" si="235"/>
        <v>0</v>
      </c>
      <c r="H1995" s="9">
        <f t="shared" si="235"/>
        <v>58451458.600000001</v>
      </c>
      <c r="I1995" s="9">
        <f t="shared" si="235"/>
        <v>0</v>
      </c>
      <c r="J1995" s="9">
        <f t="shared" si="235"/>
        <v>51433962.190000005</v>
      </c>
      <c r="K1995" s="9">
        <f t="shared" si="235"/>
        <v>1778767.75</v>
      </c>
      <c r="L1995" s="9">
        <f t="shared" si="235"/>
        <v>0</v>
      </c>
      <c r="M1995" s="9">
        <f t="shared" si="235"/>
        <v>58451458.600000001</v>
      </c>
      <c r="N1995" s="9">
        <f t="shared" si="235"/>
        <v>1778767.75</v>
      </c>
      <c r="O1995" s="9">
        <f t="shared" si="235"/>
        <v>0</v>
      </c>
      <c r="P1995" s="9">
        <f t="shared" si="235"/>
        <v>1778767.75</v>
      </c>
      <c r="Q1995" s="9">
        <f t="shared" si="235"/>
        <v>51443477.090000004</v>
      </c>
      <c r="R1995" s="8"/>
      <c r="S1995" s="8"/>
      <c r="T1995" s="9">
        <f t="shared" ref="T1995:Z1995" si="236">SUM(T1972:T1994)</f>
        <v>9514.9</v>
      </c>
      <c r="U1995" s="9">
        <f t="shared" si="236"/>
        <v>1788282.65</v>
      </c>
      <c r="V1995" s="9">
        <f t="shared" si="236"/>
        <v>0</v>
      </c>
      <c r="W1995" s="9">
        <f t="shared" si="236"/>
        <v>0</v>
      </c>
      <c r="X1995" s="9">
        <f t="shared" si="236"/>
        <v>60230226.350000001</v>
      </c>
      <c r="Y1995" s="9">
        <f t="shared" si="236"/>
        <v>0</v>
      </c>
      <c r="Z1995" s="9">
        <f t="shared" si="236"/>
        <v>9514.8999999999633</v>
      </c>
      <c r="AA1995" s="9">
        <f>SUM(AA1972:AA1994)</f>
        <v>60239741.25</v>
      </c>
      <c r="AB1995" s="9">
        <f>SUM(AB1972:AB1994)</f>
        <v>5.5933924159035087E-11</v>
      </c>
    </row>
    <row r="1996" spans="1:28" x14ac:dyDescent="0.35">
      <c r="A1996" s="36"/>
      <c r="B1996" s="8"/>
      <c r="C1996" s="8"/>
      <c r="D1996" s="8"/>
      <c r="E1996" s="17" t="s">
        <v>29</v>
      </c>
      <c r="F1996" s="17" t="s">
        <v>29</v>
      </c>
      <c r="G1996" s="17" t="s">
        <v>29</v>
      </c>
      <c r="H1996" s="17" t="s">
        <v>29</v>
      </c>
      <c r="I1996" s="17" t="s">
        <v>29</v>
      </c>
      <c r="J1996" s="17" t="s">
        <v>29</v>
      </c>
      <c r="K1996" s="17" t="s">
        <v>29</v>
      </c>
      <c r="L1996" s="17" t="s">
        <v>29</v>
      </c>
      <c r="M1996" s="17" t="s">
        <v>29</v>
      </c>
      <c r="N1996" s="17" t="s">
        <v>29</v>
      </c>
      <c r="O1996" s="17" t="s">
        <v>29</v>
      </c>
      <c r="P1996" s="17" t="s">
        <v>29</v>
      </c>
      <c r="Q1996" s="17" t="s">
        <v>29</v>
      </c>
      <c r="R1996" s="17" t="s">
        <v>29</v>
      </c>
      <c r="S1996" s="17" t="s">
        <v>29</v>
      </c>
      <c r="T1996" s="17" t="s">
        <v>29</v>
      </c>
      <c r="U1996" s="17" t="s">
        <v>29</v>
      </c>
      <c r="V1996" s="17" t="s">
        <v>29</v>
      </c>
      <c r="W1996" s="17" t="s">
        <v>29</v>
      </c>
      <c r="X1996" s="17" t="s">
        <v>29</v>
      </c>
      <c r="Y1996" s="17" t="s">
        <v>29</v>
      </c>
      <c r="Z1996" s="17" t="s">
        <v>29</v>
      </c>
      <c r="AA1996" s="17" t="s">
        <v>29</v>
      </c>
      <c r="AB1996" s="17" t="s">
        <v>29</v>
      </c>
    </row>
    <row r="1997" spans="1:28" x14ac:dyDescent="0.35">
      <c r="A1997" s="38" t="s">
        <v>1029</v>
      </c>
      <c r="B1997" s="7" t="s">
        <v>803</v>
      </c>
      <c r="C1997" s="8"/>
      <c r="D1997" s="8"/>
      <c r="E1997" s="8"/>
      <c r="F1997" s="8"/>
      <c r="G1997" s="8"/>
      <c r="H1997" s="8"/>
      <c r="I1997" s="8"/>
      <c r="J1997" s="8"/>
      <c r="K1997" s="8"/>
      <c r="L1997" s="8"/>
      <c r="M1997" s="8"/>
      <c r="N1997" s="8"/>
      <c r="O1997" s="8"/>
      <c r="P1997" s="8"/>
      <c r="Q1997" s="8"/>
      <c r="R1997" s="8"/>
      <c r="S1997" s="8"/>
      <c r="T1997" s="8"/>
      <c r="U1997" s="8"/>
      <c r="V1997" s="8"/>
      <c r="W1997" s="8"/>
      <c r="X1997" s="8"/>
      <c r="Y1997" s="8"/>
      <c r="Z1997" s="8"/>
    </row>
    <row r="1998" spans="1:28" x14ac:dyDescent="0.35">
      <c r="A1998" s="36"/>
      <c r="B1998" s="8"/>
      <c r="C1998" s="7" t="s">
        <v>804</v>
      </c>
      <c r="D1998" s="21" t="s">
        <v>68</v>
      </c>
      <c r="E1998" s="9">
        <f>2325600-1144300</f>
        <v>1181300</v>
      </c>
      <c r="F1998" s="9">
        <v>1181300</v>
      </c>
      <c r="G1998" s="8"/>
      <c r="H1998" s="9">
        <f t="shared" ref="H1998:H2019" si="237">F1998+G1998</f>
        <v>1181300</v>
      </c>
      <c r="I1998" s="8"/>
      <c r="J1998" s="9">
        <f t="shared" ref="J1998:J2019" si="238">H1998+I1998</f>
        <v>1181300</v>
      </c>
      <c r="K1998" s="9">
        <v>0</v>
      </c>
      <c r="L1998" s="8"/>
      <c r="M1998" s="9">
        <f>+H1998+L1998</f>
        <v>1181300</v>
      </c>
      <c r="N1998" s="8"/>
      <c r="O1998" s="9"/>
      <c r="P1998" s="9">
        <f>+N1998+O1998</f>
        <v>0</v>
      </c>
      <c r="Q1998" s="9">
        <f t="shared" ref="Q1998:Q2019" si="239">E1998-P1998</f>
        <v>1181300</v>
      </c>
      <c r="R1998" s="8"/>
      <c r="S1998" s="8"/>
      <c r="T1998" s="8"/>
      <c r="U1998" s="18">
        <f t="shared" ref="U1998:U2019" si="240">+P1998+T1998</f>
        <v>0</v>
      </c>
      <c r="V1998" s="17"/>
      <c r="W1998" s="17"/>
      <c r="X1998" s="9">
        <f t="shared" ref="X1998:X2019" si="241">+H1998+P1998</f>
        <v>1181300</v>
      </c>
      <c r="Y1998" s="8"/>
      <c r="Z1998" s="9">
        <f t="shared" ref="Z1998:Z2019" si="242">+E1998-X1998</f>
        <v>0</v>
      </c>
      <c r="AA1998" s="8">
        <f t="shared" ref="AA1998:AA2019" si="243">+M1998+U1998</f>
        <v>1181300</v>
      </c>
      <c r="AB1998" s="8">
        <f t="shared" ref="AB1998:AB2019" si="244">+E1998-AA1998</f>
        <v>0</v>
      </c>
    </row>
    <row r="1999" spans="1:28" x14ac:dyDescent="0.35">
      <c r="A1999" s="36"/>
      <c r="B1999" s="8"/>
      <c r="C1999" s="7" t="s">
        <v>545</v>
      </c>
      <c r="D1999" s="15" t="s">
        <v>54</v>
      </c>
      <c r="E1999" s="9">
        <v>1953989</v>
      </c>
      <c r="F1999" s="8"/>
      <c r="G1999" s="8"/>
      <c r="H1999" s="9">
        <f t="shared" si="237"/>
        <v>0</v>
      </c>
      <c r="I1999" s="8"/>
      <c r="J1999" s="9">
        <f t="shared" si="238"/>
        <v>0</v>
      </c>
      <c r="K1999" s="9">
        <v>1953989</v>
      </c>
      <c r="L1999" s="8"/>
      <c r="M1999" s="9">
        <f t="shared" ref="M1999:M2019" si="245">+H1999+L1999</f>
        <v>0</v>
      </c>
      <c r="N1999" s="8">
        <v>1953989</v>
      </c>
      <c r="O1999" s="9"/>
      <c r="P1999" s="9">
        <f t="shared" ref="P1999:P2019" si="246">+N1999+O1999</f>
        <v>1953989</v>
      </c>
      <c r="Q1999" s="9">
        <f t="shared" si="239"/>
        <v>0</v>
      </c>
      <c r="R1999" s="8"/>
      <c r="S1999" s="8"/>
      <c r="T1999" s="8"/>
      <c r="U1999" s="18">
        <f t="shared" si="240"/>
        <v>1953989</v>
      </c>
      <c r="V1999" s="17"/>
      <c r="W1999" s="17"/>
      <c r="X1999" s="9">
        <f t="shared" si="241"/>
        <v>1953989</v>
      </c>
      <c r="Y1999" s="8"/>
      <c r="Z1999" s="9">
        <f t="shared" si="242"/>
        <v>0</v>
      </c>
      <c r="AA1999" s="8">
        <f t="shared" si="243"/>
        <v>1953989</v>
      </c>
      <c r="AB1999" s="8">
        <f t="shared" si="244"/>
        <v>0</v>
      </c>
    </row>
    <row r="2000" spans="1:28" x14ac:dyDescent="0.35">
      <c r="A2000" s="36"/>
      <c r="B2000" s="8"/>
      <c r="C2000" s="7" t="s">
        <v>601</v>
      </c>
      <c r="D2000" s="15" t="s">
        <v>54</v>
      </c>
      <c r="E2000" s="9">
        <v>955345.62</v>
      </c>
      <c r="F2000" s="8"/>
      <c r="G2000" s="8"/>
      <c r="H2000" s="9">
        <f t="shared" si="237"/>
        <v>0</v>
      </c>
      <c r="I2000" s="8"/>
      <c r="J2000" s="9">
        <f t="shared" si="238"/>
        <v>0</v>
      </c>
      <c r="K2000" s="9">
        <v>955345.62</v>
      </c>
      <c r="L2000" s="8"/>
      <c r="M2000" s="9">
        <f t="shared" si="245"/>
        <v>0</v>
      </c>
      <c r="N2000" s="8">
        <v>955345.62</v>
      </c>
      <c r="O2000" s="9"/>
      <c r="P2000" s="9">
        <f t="shared" si="246"/>
        <v>955345.62</v>
      </c>
      <c r="Q2000" s="9">
        <f t="shared" si="239"/>
        <v>0</v>
      </c>
      <c r="R2000" s="8"/>
      <c r="S2000" s="8"/>
      <c r="T2000" s="8"/>
      <c r="U2000" s="18">
        <f t="shared" si="240"/>
        <v>955345.62</v>
      </c>
      <c r="V2000" s="17"/>
      <c r="W2000" s="17"/>
      <c r="X2000" s="9">
        <f t="shared" si="241"/>
        <v>955345.62</v>
      </c>
      <c r="Y2000" s="8"/>
      <c r="Z2000" s="9">
        <f t="shared" si="242"/>
        <v>0</v>
      </c>
      <c r="AA2000" s="8">
        <f t="shared" si="243"/>
        <v>955345.62</v>
      </c>
      <c r="AB2000" s="8">
        <f t="shared" si="244"/>
        <v>0</v>
      </c>
    </row>
    <row r="2001" spans="1:28" x14ac:dyDescent="0.35">
      <c r="A2001" s="36"/>
      <c r="B2001" s="8"/>
      <c r="C2001" s="7" t="s">
        <v>535</v>
      </c>
      <c r="D2001" s="15" t="s">
        <v>54</v>
      </c>
      <c r="E2001" s="9">
        <f>1002000-50100-69158-134622</f>
        <v>748120</v>
      </c>
      <c r="F2001" s="9">
        <v>748120</v>
      </c>
      <c r="G2001" s="8"/>
      <c r="H2001" s="9">
        <f t="shared" si="237"/>
        <v>748120</v>
      </c>
      <c r="I2001" s="8"/>
      <c r="J2001" s="9">
        <f t="shared" si="238"/>
        <v>748120</v>
      </c>
      <c r="K2001" s="8"/>
      <c r="L2001" s="8"/>
      <c r="M2001" s="9">
        <f t="shared" si="245"/>
        <v>748120</v>
      </c>
      <c r="N2001" s="8"/>
      <c r="O2001" s="9"/>
      <c r="P2001" s="9">
        <f t="shared" si="246"/>
        <v>0</v>
      </c>
      <c r="Q2001" s="9">
        <f t="shared" si="239"/>
        <v>748120</v>
      </c>
      <c r="R2001" s="8"/>
      <c r="S2001" s="8"/>
      <c r="T2001" s="8"/>
      <c r="U2001" s="18">
        <f t="shared" si="240"/>
        <v>0</v>
      </c>
      <c r="V2001" s="17"/>
      <c r="W2001" s="17"/>
      <c r="X2001" s="9">
        <f t="shared" si="241"/>
        <v>748120</v>
      </c>
      <c r="Y2001" s="8"/>
      <c r="Z2001" s="9">
        <f t="shared" si="242"/>
        <v>0</v>
      </c>
      <c r="AA2001" s="8">
        <f t="shared" si="243"/>
        <v>748120</v>
      </c>
      <c r="AB2001" s="8">
        <f t="shared" si="244"/>
        <v>0</v>
      </c>
    </row>
    <row r="2002" spans="1:28" x14ac:dyDescent="0.35">
      <c r="A2002" s="36"/>
      <c r="B2002" s="8"/>
      <c r="C2002" s="7" t="s">
        <v>557</v>
      </c>
      <c r="D2002" s="15" t="s">
        <v>54</v>
      </c>
      <c r="E2002" s="9">
        <v>3849000</v>
      </c>
      <c r="F2002" s="9">
        <f>2649300+1199700</f>
        <v>3849000</v>
      </c>
      <c r="G2002" s="8"/>
      <c r="H2002" s="9">
        <f t="shared" si="237"/>
        <v>3849000</v>
      </c>
      <c r="I2002" s="8"/>
      <c r="J2002" s="9">
        <f t="shared" si="238"/>
        <v>3849000</v>
      </c>
      <c r="K2002" s="8"/>
      <c r="L2002" s="8"/>
      <c r="M2002" s="9">
        <f t="shared" si="245"/>
        <v>3849000</v>
      </c>
      <c r="N2002" s="8"/>
      <c r="O2002" s="9"/>
      <c r="P2002" s="9">
        <f t="shared" si="246"/>
        <v>0</v>
      </c>
      <c r="Q2002" s="9">
        <f t="shared" si="239"/>
        <v>3849000</v>
      </c>
      <c r="R2002" s="8"/>
      <c r="S2002" s="8"/>
      <c r="T2002" s="8"/>
      <c r="U2002" s="18">
        <f t="shared" si="240"/>
        <v>0</v>
      </c>
      <c r="V2002" s="17"/>
      <c r="W2002" s="17"/>
      <c r="X2002" s="9">
        <f t="shared" si="241"/>
        <v>3849000</v>
      </c>
      <c r="Y2002" s="8"/>
      <c r="Z2002" s="9">
        <f t="shared" si="242"/>
        <v>0</v>
      </c>
      <c r="AA2002" s="8">
        <f t="shared" si="243"/>
        <v>3849000</v>
      </c>
      <c r="AB2002" s="8">
        <f t="shared" si="244"/>
        <v>0</v>
      </c>
    </row>
    <row r="2003" spans="1:28" x14ac:dyDescent="0.35">
      <c r="A2003" s="36"/>
      <c r="B2003" s="8"/>
      <c r="C2003" s="7" t="s">
        <v>535</v>
      </c>
      <c r="D2003" s="15" t="s">
        <v>85</v>
      </c>
      <c r="E2003" s="9">
        <v>1436551.93</v>
      </c>
      <c r="F2003" s="9">
        <f>1094330+342221.93</f>
        <v>1436551.93</v>
      </c>
      <c r="G2003" s="8"/>
      <c r="H2003" s="9">
        <f t="shared" si="237"/>
        <v>1436551.93</v>
      </c>
      <c r="I2003" s="8"/>
      <c r="J2003" s="9">
        <f t="shared" si="238"/>
        <v>1436551.93</v>
      </c>
      <c r="K2003" s="8"/>
      <c r="L2003" s="8"/>
      <c r="M2003" s="9">
        <f t="shared" si="245"/>
        <v>1436551.93</v>
      </c>
      <c r="N2003" s="8"/>
      <c r="O2003" s="9"/>
      <c r="P2003" s="9">
        <f t="shared" si="246"/>
        <v>0</v>
      </c>
      <c r="Q2003" s="9">
        <f t="shared" si="239"/>
        <v>1436551.93</v>
      </c>
      <c r="R2003" s="8"/>
      <c r="S2003" s="8"/>
      <c r="T2003" s="8"/>
      <c r="U2003" s="18">
        <f t="shared" si="240"/>
        <v>0</v>
      </c>
      <c r="V2003" s="17"/>
      <c r="W2003" s="17"/>
      <c r="X2003" s="9">
        <f t="shared" si="241"/>
        <v>1436551.93</v>
      </c>
      <c r="Y2003" s="8"/>
      <c r="Z2003" s="9">
        <f t="shared" si="242"/>
        <v>0</v>
      </c>
      <c r="AA2003" s="8">
        <f t="shared" si="243"/>
        <v>1436551.93</v>
      </c>
      <c r="AB2003" s="8">
        <f t="shared" si="244"/>
        <v>0</v>
      </c>
    </row>
    <row r="2004" spans="1:28" x14ac:dyDescent="0.35">
      <c r="A2004" s="36"/>
      <c r="B2004" s="8"/>
      <c r="C2004" s="7" t="s">
        <v>805</v>
      </c>
      <c r="D2004" s="15" t="s">
        <v>85</v>
      </c>
      <c r="E2004" s="9">
        <f>7322222+677778</f>
        <v>8000000</v>
      </c>
      <c r="F2004" s="9">
        <f>4023000+2131044.32+1550932.45</f>
        <v>7704976.7700000005</v>
      </c>
      <c r="G2004" s="8"/>
      <c r="H2004" s="9">
        <f t="shared" si="237"/>
        <v>7704976.7700000005</v>
      </c>
      <c r="I2004" s="8"/>
      <c r="J2004" s="9">
        <f t="shared" si="238"/>
        <v>7704976.7700000005</v>
      </c>
      <c r="K2004" s="8"/>
      <c r="L2004" s="8"/>
      <c r="M2004" s="9">
        <f t="shared" si="245"/>
        <v>7704976.7700000005</v>
      </c>
      <c r="N2004" s="8"/>
      <c r="O2004" s="9"/>
      <c r="P2004" s="9">
        <f t="shared" si="246"/>
        <v>0</v>
      </c>
      <c r="Q2004" s="9">
        <f t="shared" si="239"/>
        <v>8000000</v>
      </c>
      <c r="R2004" s="8"/>
      <c r="S2004" s="8"/>
      <c r="T2004" s="8"/>
      <c r="U2004" s="18">
        <f t="shared" si="240"/>
        <v>0</v>
      </c>
      <c r="V2004" s="17"/>
      <c r="W2004" s="17"/>
      <c r="X2004" s="9">
        <f t="shared" si="241"/>
        <v>7704976.7700000005</v>
      </c>
      <c r="Y2004" s="8"/>
      <c r="Z2004" s="9">
        <f t="shared" si="242"/>
        <v>295023.22999999952</v>
      </c>
      <c r="AA2004" s="8">
        <f t="shared" si="243"/>
        <v>7704976.7700000005</v>
      </c>
      <c r="AB2004" s="8">
        <f t="shared" si="244"/>
        <v>295023.22999999952</v>
      </c>
    </row>
    <row r="2005" spans="1:28" x14ac:dyDescent="0.35">
      <c r="A2005" s="36"/>
      <c r="B2005" s="8"/>
      <c r="C2005" s="7" t="s">
        <v>535</v>
      </c>
      <c r="D2005" s="15" t="s">
        <v>88</v>
      </c>
      <c r="E2005" s="9">
        <f>1967579.18+1100000+1225857+2584214</f>
        <v>6877650.1799999997</v>
      </c>
      <c r="F2005" s="9">
        <f>1967579.18+1100000+1225857+2584214</f>
        <v>6877650.1799999997</v>
      </c>
      <c r="G2005" s="8"/>
      <c r="H2005" s="9">
        <f t="shared" si="237"/>
        <v>6877650.1799999997</v>
      </c>
      <c r="I2005" s="8"/>
      <c r="J2005" s="9">
        <f t="shared" si="238"/>
        <v>6877650.1799999997</v>
      </c>
      <c r="K2005" s="8"/>
      <c r="L2005" s="8"/>
      <c r="M2005" s="9">
        <f t="shared" si="245"/>
        <v>6877650.1799999997</v>
      </c>
      <c r="N2005" s="8"/>
      <c r="O2005" s="9"/>
      <c r="P2005" s="9">
        <f t="shared" si="246"/>
        <v>0</v>
      </c>
      <c r="Q2005" s="9">
        <f t="shared" si="239"/>
        <v>6877650.1799999997</v>
      </c>
      <c r="R2005" s="8"/>
      <c r="S2005" s="8"/>
      <c r="T2005" s="8"/>
      <c r="U2005" s="18">
        <f t="shared" si="240"/>
        <v>0</v>
      </c>
      <c r="V2005" s="17"/>
      <c r="W2005" s="17"/>
      <c r="X2005" s="9">
        <f t="shared" si="241"/>
        <v>6877650.1799999997</v>
      </c>
      <c r="Y2005" s="8"/>
      <c r="Z2005" s="9">
        <f t="shared" si="242"/>
        <v>0</v>
      </c>
      <c r="AA2005" s="8">
        <f t="shared" si="243"/>
        <v>6877650.1799999997</v>
      </c>
      <c r="AB2005" s="8">
        <f t="shared" si="244"/>
        <v>0</v>
      </c>
    </row>
    <row r="2006" spans="1:28" x14ac:dyDescent="0.35">
      <c r="A2006" s="36"/>
      <c r="B2006" s="8"/>
      <c r="C2006" s="7" t="s">
        <v>535</v>
      </c>
      <c r="D2006" s="15" t="s">
        <v>108</v>
      </c>
      <c r="E2006" s="9">
        <v>985214.13</v>
      </c>
      <c r="F2006" s="9">
        <v>985214.13</v>
      </c>
      <c r="G2006" s="8"/>
      <c r="H2006" s="9">
        <f t="shared" si="237"/>
        <v>985214.13</v>
      </c>
      <c r="I2006" s="8"/>
      <c r="J2006" s="9">
        <f t="shared" si="238"/>
        <v>985214.13</v>
      </c>
      <c r="K2006" s="8"/>
      <c r="L2006" s="8"/>
      <c r="M2006" s="9">
        <f t="shared" si="245"/>
        <v>985214.13</v>
      </c>
      <c r="N2006" s="8"/>
      <c r="O2006" s="9"/>
      <c r="P2006" s="9">
        <f t="shared" si="246"/>
        <v>0</v>
      </c>
      <c r="Q2006" s="9">
        <f t="shared" si="239"/>
        <v>985214.13</v>
      </c>
      <c r="R2006" s="8"/>
      <c r="S2006" s="8"/>
      <c r="T2006" s="8"/>
      <c r="U2006" s="18">
        <f t="shared" si="240"/>
        <v>0</v>
      </c>
      <c r="V2006" s="17"/>
      <c r="W2006" s="17"/>
      <c r="X2006" s="9">
        <f t="shared" si="241"/>
        <v>985214.13</v>
      </c>
      <c r="Y2006" s="8"/>
      <c r="Z2006" s="9">
        <f t="shared" si="242"/>
        <v>0</v>
      </c>
      <c r="AA2006" s="8">
        <f t="shared" si="243"/>
        <v>985214.13</v>
      </c>
      <c r="AB2006" s="8">
        <f t="shared" si="244"/>
        <v>0</v>
      </c>
    </row>
    <row r="2007" spans="1:28" x14ac:dyDescent="0.35">
      <c r="A2007" s="36"/>
      <c r="B2007" s="7" t="s">
        <v>806</v>
      </c>
      <c r="C2007" s="7" t="s">
        <v>535</v>
      </c>
      <c r="D2007" s="15" t="s">
        <v>108</v>
      </c>
      <c r="E2007" s="9">
        <v>3048830</v>
      </c>
      <c r="F2007" s="9">
        <v>3048830</v>
      </c>
      <c r="G2007" s="8"/>
      <c r="H2007" s="9">
        <f t="shared" si="237"/>
        <v>3048830</v>
      </c>
      <c r="I2007" s="8"/>
      <c r="J2007" s="9">
        <f t="shared" si="238"/>
        <v>3048830</v>
      </c>
      <c r="K2007" s="8"/>
      <c r="L2007" s="8"/>
      <c r="M2007" s="9">
        <f t="shared" si="245"/>
        <v>3048830</v>
      </c>
      <c r="N2007" s="8"/>
      <c r="O2007" s="9"/>
      <c r="P2007" s="9">
        <f t="shared" si="246"/>
        <v>0</v>
      </c>
      <c r="Q2007" s="9">
        <f t="shared" si="239"/>
        <v>3048830</v>
      </c>
      <c r="R2007" s="8"/>
      <c r="S2007" s="8"/>
      <c r="T2007" s="8"/>
      <c r="U2007" s="18">
        <f t="shared" si="240"/>
        <v>0</v>
      </c>
      <c r="V2007" s="17"/>
      <c r="W2007" s="17"/>
      <c r="X2007" s="9">
        <f t="shared" si="241"/>
        <v>3048830</v>
      </c>
      <c r="Y2007" s="8"/>
      <c r="Z2007" s="9">
        <f t="shared" si="242"/>
        <v>0</v>
      </c>
      <c r="AA2007" s="8">
        <f t="shared" si="243"/>
        <v>3048830</v>
      </c>
      <c r="AB2007" s="8">
        <f t="shared" si="244"/>
        <v>0</v>
      </c>
    </row>
    <row r="2008" spans="1:28" x14ac:dyDescent="0.35">
      <c r="A2008" s="36"/>
      <c r="B2008" s="8"/>
      <c r="C2008" s="7" t="s">
        <v>807</v>
      </c>
      <c r="D2008" s="15" t="s">
        <v>108</v>
      </c>
      <c r="E2008" s="9">
        <v>1700000</v>
      </c>
      <c r="F2008" s="9">
        <v>1700000</v>
      </c>
      <c r="G2008" s="8"/>
      <c r="H2008" s="9">
        <f t="shared" si="237"/>
        <v>1700000</v>
      </c>
      <c r="I2008" s="8"/>
      <c r="J2008" s="9">
        <f t="shared" si="238"/>
        <v>1700000</v>
      </c>
      <c r="K2008" s="8"/>
      <c r="L2008" s="8"/>
      <c r="M2008" s="9">
        <f t="shared" si="245"/>
        <v>1700000</v>
      </c>
      <c r="N2008" s="8"/>
      <c r="O2008" s="9"/>
      <c r="P2008" s="9">
        <f t="shared" si="246"/>
        <v>0</v>
      </c>
      <c r="Q2008" s="9">
        <f t="shared" si="239"/>
        <v>1700000</v>
      </c>
      <c r="R2008" s="8"/>
      <c r="S2008" s="8"/>
      <c r="T2008" s="8"/>
      <c r="U2008" s="18">
        <f t="shared" si="240"/>
        <v>0</v>
      </c>
      <c r="V2008" s="17"/>
      <c r="W2008" s="17"/>
      <c r="X2008" s="9">
        <f t="shared" si="241"/>
        <v>1700000</v>
      </c>
      <c r="Y2008" s="8"/>
      <c r="Z2008" s="9">
        <f t="shared" si="242"/>
        <v>0</v>
      </c>
      <c r="AA2008" s="8">
        <f t="shared" si="243"/>
        <v>1700000</v>
      </c>
      <c r="AB2008" s="8">
        <f t="shared" si="244"/>
        <v>0</v>
      </c>
    </row>
    <row r="2009" spans="1:28" x14ac:dyDescent="0.35">
      <c r="A2009" s="36"/>
      <c r="B2009" s="8"/>
      <c r="C2009" s="7" t="s">
        <v>535</v>
      </c>
      <c r="D2009" s="15" t="s">
        <v>58</v>
      </c>
      <c r="E2009" s="9">
        <f>2281910+1988566+6202827.13+3013127</f>
        <v>13486430.129999999</v>
      </c>
      <c r="F2009" s="9">
        <v>13486430.130000001</v>
      </c>
      <c r="G2009" s="8"/>
      <c r="H2009" s="9">
        <f t="shared" si="237"/>
        <v>13486430.130000001</v>
      </c>
      <c r="I2009" s="8"/>
      <c r="J2009" s="9">
        <f t="shared" si="238"/>
        <v>13486430.130000001</v>
      </c>
      <c r="K2009" s="8"/>
      <c r="L2009" s="8"/>
      <c r="M2009" s="9">
        <f t="shared" si="245"/>
        <v>13486430.130000001</v>
      </c>
      <c r="N2009" s="8"/>
      <c r="O2009" s="9"/>
      <c r="P2009" s="9">
        <f t="shared" si="246"/>
        <v>0</v>
      </c>
      <c r="Q2009" s="9">
        <f t="shared" si="239"/>
        <v>13486430.129999999</v>
      </c>
      <c r="R2009" s="8"/>
      <c r="S2009" s="8"/>
      <c r="T2009" s="8"/>
      <c r="U2009" s="18">
        <f t="shared" si="240"/>
        <v>0</v>
      </c>
      <c r="V2009" s="17"/>
      <c r="W2009" s="17"/>
      <c r="X2009" s="9">
        <f t="shared" si="241"/>
        <v>13486430.130000001</v>
      </c>
      <c r="Y2009" s="8"/>
      <c r="Z2009" s="9">
        <f t="shared" si="242"/>
        <v>0</v>
      </c>
      <c r="AA2009" s="8">
        <f t="shared" si="243"/>
        <v>13486430.130000001</v>
      </c>
      <c r="AB2009" s="8">
        <f t="shared" si="244"/>
        <v>0</v>
      </c>
    </row>
    <row r="2010" spans="1:28" x14ac:dyDescent="0.35">
      <c r="A2010" s="36"/>
      <c r="B2010" s="8"/>
      <c r="C2010" s="7" t="s">
        <v>535</v>
      </c>
      <c r="D2010" s="15" t="s">
        <v>60</v>
      </c>
      <c r="E2010" s="9">
        <f>5000000+4621782.15+3630532</f>
        <v>13252314.15</v>
      </c>
      <c r="F2010" s="9">
        <f>5000000+4621782.15+3630532</f>
        <v>13252314.15</v>
      </c>
      <c r="G2010" s="8"/>
      <c r="H2010" s="9">
        <f t="shared" si="237"/>
        <v>13252314.15</v>
      </c>
      <c r="I2010" s="8"/>
      <c r="J2010" s="9">
        <f t="shared" si="238"/>
        <v>13252314.15</v>
      </c>
      <c r="K2010" s="8"/>
      <c r="L2010" s="8"/>
      <c r="M2010" s="9">
        <f t="shared" si="245"/>
        <v>13252314.15</v>
      </c>
      <c r="N2010" s="8"/>
      <c r="O2010" s="9"/>
      <c r="P2010" s="9">
        <f t="shared" si="246"/>
        <v>0</v>
      </c>
      <c r="Q2010" s="9">
        <f t="shared" si="239"/>
        <v>13252314.15</v>
      </c>
      <c r="R2010" s="8"/>
      <c r="S2010" s="8"/>
      <c r="T2010" s="8"/>
      <c r="U2010" s="18">
        <f t="shared" si="240"/>
        <v>0</v>
      </c>
      <c r="V2010" s="17"/>
      <c r="W2010" s="17"/>
      <c r="X2010" s="9">
        <f t="shared" si="241"/>
        <v>13252314.15</v>
      </c>
      <c r="Y2010" s="8"/>
      <c r="Z2010" s="9">
        <f t="shared" si="242"/>
        <v>0</v>
      </c>
      <c r="AA2010" s="8">
        <f t="shared" si="243"/>
        <v>13252314.15</v>
      </c>
      <c r="AB2010" s="8">
        <f t="shared" si="244"/>
        <v>0</v>
      </c>
    </row>
    <row r="2011" spans="1:28" x14ac:dyDescent="0.35">
      <c r="A2011" s="36"/>
      <c r="B2011" s="8"/>
      <c r="C2011" s="14" t="s">
        <v>652</v>
      </c>
      <c r="D2011" s="21" t="s">
        <v>194</v>
      </c>
      <c r="E2011" s="11">
        <v>1527847.27</v>
      </c>
      <c r="F2011" s="11">
        <v>1527847.27</v>
      </c>
      <c r="G2011" s="9"/>
      <c r="H2011" s="9">
        <f t="shared" si="237"/>
        <v>1527847.27</v>
      </c>
      <c r="I2011" s="8"/>
      <c r="J2011" s="9">
        <f t="shared" si="238"/>
        <v>1527847.27</v>
      </c>
      <c r="K2011" s="8"/>
      <c r="L2011" s="8"/>
      <c r="M2011" s="9">
        <f t="shared" si="245"/>
        <v>1527847.27</v>
      </c>
      <c r="N2011" s="8"/>
      <c r="O2011" s="9"/>
      <c r="P2011" s="9">
        <f t="shared" si="246"/>
        <v>0</v>
      </c>
      <c r="Q2011" s="9">
        <f t="shared" si="239"/>
        <v>1527847.27</v>
      </c>
      <c r="R2011" s="8"/>
      <c r="S2011" s="8"/>
      <c r="T2011" s="8"/>
      <c r="U2011" s="18">
        <f t="shared" si="240"/>
        <v>0</v>
      </c>
      <c r="V2011" s="17"/>
      <c r="W2011" s="17"/>
      <c r="X2011" s="9">
        <f t="shared" si="241"/>
        <v>1527847.27</v>
      </c>
      <c r="Y2011" s="8"/>
      <c r="Z2011" s="9">
        <f t="shared" si="242"/>
        <v>0</v>
      </c>
      <c r="AA2011" s="8">
        <f t="shared" si="243"/>
        <v>1527847.27</v>
      </c>
      <c r="AB2011" s="8">
        <f t="shared" si="244"/>
        <v>0</v>
      </c>
    </row>
    <row r="2012" spans="1:28" x14ac:dyDescent="0.35">
      <c r="A2012" s="36"/>
      <c r="B2012" s="8"/>
      <c r="C2012" s="14" t="s">
        <v>808</v>
      </c>
      <c r="D2012" s="21" t="s">
        <v>194</v>
      </c>
      <c r="E2012" s="11">
        <v>645144.56999999995</v>
      </c>
      <c r="F2012" s="11">
        <v>645144.56999999995</v>
      </c>
      <c r="G2012" s="8"/>
      <c r="H2012" s="9">
        <f t="shared" si="237"/>
        <v>645144.56999999995</v>
      </c>
      <c r="I2012" s="8"/>
      <c r="J2012" s="9">
        <f t="shared" si="238"/>
        <v>645144.56999999995</v>
      </c>
      <c r="K2012" s="8"/>
      <c r="L2012" s="8"/>
      <c r="M2012" s="9">
        <f t="shared" si="245"/>
        <v>645144.56999999995</v>
      </c>
      <c r="N2012" s="8"/>
      <c r="O2012" s="9"/>
      <c r="P2012" s="9">
        <f t="shared" si="246"/>
        <v>0</v>
      </c>
      <c r="Q2012" s="9">
        <f t="shared" si="239"/>
        <v>645144.56999999995</v>
      </c>
      <c r="R2012" s="8"/>
      <c r="S2012" s="8"/>
      <c r="T2012" s="8"/>
      <c r="U2012" s="18">
        <f t="shared" si="240"/>
        <v>0</v>
      </c>
      <c r="V2012" s="17"/>
      <c r="W2012" s="17"/>
      <c r="X2012" s="9">
        <f t="shared" si="241"/>
        <v>645144.56999999995</v>
      </c>
      <c r="Y2012" s="8"/>
      <c r="Z2012" s="9">
        <f t="shared" si="242"/>
        <v>0</v>
      </c>
      <c r="AA2012" s="8">
        <f t="shared" si="243"/>
        <v>645144.56999999995</v>
      </c>
      <c r="AB2012" s="8">
        <f t="shared" si="244"/>
        <v>0</v>
      </c>
    </row>
    <row r="2013" spans="1:28" x14ac:dyDescent="0.35">
      <c r="A2013" s="36"/>
      <c r="B2013" s="8"/>
      <c r="C2013" s="7" t="s">
        <v>535</v>
      </c>
      <c r="D2013" s="15" t="s">
        <v>73</v>
      </c>
      <c r="E2013" s="9">
        <v>1325240.6200000001</v>
      </c>
      <c r="F2013" s="9">
        <v>1325240.6200000001</v>
      </c>
      <c r="G2013" s="8"/>
      <c r="H2013" s="9">
        <f t="shared" si="237"/>
        <v>1325240.6200000001</v>
      </c>
      <c r="I2013" s="8"/>
      <c r="J2013" s="9">
        <f t="shared" si="238"/>
        <v>1325240.6200000001</v>
      </c>
      <c r="K2013" s="8"/>
      <c r="L2013" s="8"/>
      <c r="M2013" s="9">
        <f t="shared" si="245"/>
        <v>1325240.6200000001</v>
      </c>
      <c r="N2013" s="8"/>
      <c r="O2013" s="9"/>
      <c r="P2013" s="9">
        <f t="shared" si="246"/>
        <v>0</v>
      </c>
      <c r="Q2013" s="9">
        <f t="shared" si="239"/>
        <v>1325240.6200000001</v>
      </c>
      <c r="R2013" s="8"/>
      <c r="S2013" s="8"/>
      <c r="T2013" s="8"/>
      <c r="U2013" s="18">
        <f t="shared" si="240"/>
        <v>0</v>
      </c>
      <c r="V2013" s="17"/>
      <c r="W2013" s="17"/>
      <c r="X2013" s="9">
        <f t="shared" si="241"/>
        <v>1325240.6200000001</v>
      </c>
      <c r="Y2013" s="8"/>
      <c r="Z2013" s="9">
        <f t="shared" si="242"/>
        <v>0</v>
      </c>
      <c r="AA2013" s="8">
        <f t="shared" si="243"/>
        <v>1325240.6200000001</v>
      </c>
      <c r="AB2013" s="8">
        <f t="shared" si="244"/>
        <v>0</v>
      </c>
    </row>
    <row r="2014" spans="1:28" x14ac:dyDescent="0.35">
      <c r="A2014" s="36"/>
      <c r="B2014" s="8"/>
      <c r="C2014" s="14" t="s">
        <v>621</v>
      </c>
      <c r="D2014" s="21" t="s">
        <v>73</v>
      </c>
      <c r="E2014" s="11">
        <f>3093275+738311.2+2255000</f>
        <v>6086586.2000000002</v>
      </c>
      <c r="F2014" s="11">
        <f>3093275+2993311.2</f>
        <v>6086586.2000000002</v>
      </c>
      <c r="G2014" s="8"/>
      <c r="H2014" s="9">
        <f t="shared" si="237"/>
        <v>6086586.2000000002</v>
      </c>
      <c r="I2014" s="8"/>
      <c r="J2014" s="9">
        <f t="shared" si="238"/>
        <v>6086586.2000000002</v>
      </c>
      <c r="K2014" s="8"/>
      <c r="L2014" s="8"/>
      <c r="M2014" s="9">
        <f t="shared" si="245"/>
        <v>6086586.2000000002</v>
      </c>
      <c r="N2014" s="8"/>
      <c r="O2014" s="9"/>
      <c r="P2014" s="9">
        <f t="shared" si="246"/>
        <v>0</v>
      </c>
      <c r="Q2014" s="9">
        <f t="shared" si="239"/>
        <v>6086586.2000000002</v>
      </c>
      <c r="R2014" s="8"/>
      <c r="S2014" s="8"/>
      <c r="T2014" s="8"/>
      <c r="U2014" s="18">
        <f t="shared" si="240"/>
        <v>0</v>
      </c>
      <c r="V2014" s="17"/>
      <c r="W2014" s="17"/>
      <c r="X2014" s="9">
        <f t="shared" si="241"/>
        <v>6086586.2000000002</v>
      </c>
      <c r="Y2014" s="8"/>
      <c r="Z2014" s="9">
        <f t="shared" si="242"/>
        <v>0</v>
      </c>
      <c r="AA2014" s="8">
        <f t="shared" si="243"/>
        <v>6086586.2000000002</v>
      </c>
      <c r="AB2014" s="8">
        <f t="shared" si="244"/>
        <v>0</v>
      </c>
    </row>
    <row r="2015" spans="1:28" x14ac:dyDescent="0.35">
      <c r="A2015" s="36"/>
      <c r="B2015" s="8"/>
      <c r="C2015" s="7" t="s">
        <v>535</v>
      </c>
      <c r="D2015" s="15" t="s">
        <v>61</v>
      </c>
      <c r="E2015" s="11">
        <v>495347.32</v>
      </c>
      <c r="F2015" s="11">
        <v>495347.32</v>
      </c>
      <c r="G2015" s="8"/>
      <c r="H2015" s="9">
        <f t="shared" si="237"/>
        <v>495347.32</v>
      </c>
      <c r="I2015" s="8"/>
      <c r="J2015" s="9">
        <f t="shared" si="238"/>
        <v>495347.32</v>
      </c>
      <c r="K2015" s="8"/>
      <c r="L2015" s="8"/>
      <c r="M2015" s="9">
        <f t="shared" si="245"/>
        <v>495347.32</v>
      </c>
      <c r="N2015" s="8"/>
      <c r="O2015" s="9"/>
      <c r="P2015" s="9">
        <f t="shared" si="246"/>
        <v>0</v>
      </c>
      <c r="Q2015" s="9">
        <f t="shared" si="239"/>
        <v>495347.32</v>
      </c>
      <c r="R2015" s="8"/>
      <c r="S2015" s="8"/>
      <c r="T2015" s="8"/>
      <c r="U2015" s="18">
        <f t="shared" si="240"/>
        <v>0</v>
      </c>
      <c r="V2015" s="17"/>
      <c r="W2015" s="17"/>
      <c r="X2015" s="9">
        <f t="shared" si="241"/>
        <v>495347.32</v>
      </c>
      <c r="Y2015" s="8"/>
      <c r="Z2015" s="9">
        <f t="shared" si="242"/>
        <v>0</v>
      </c>
      <c r="AA2015" s="8">
        <f t="shared" si="243"/>
        <v>495347.32</v>
      </c>
      <c r="AB2015" s="8">
        <f t="shared" si="244"/>
        <v>0</v>
      </c>
    </row>
    <row r="2016" spans="1:28" x14ac:dyDescent="0.35">
      <c r="A2016" s="36"/>
      <c r="B2016" s="8"/>
      <c r="C2016" s="13" t="s">
        <v>933</v>
      </c>
      <c r="D2016" s="16" t="s">
        <v>1072</v>
      </c>
      <c r="E2016" s="11">
        <f>1307873.7</f>
        <v>1307873.7</v>
      </c>
      <c r="F2016" s="11">
        <v>1307873.7</v>
      </c>
      <c r="G2016" s="8"/>
      <c r="H2016" s="9">
        <f>+F2016+G2016</f>
        <v>1307873.7</v>
      </c>
      <c r="I2016" s="8"/>
      <c r="J2016" s="9">
        <f t="shared" si="238"/>
        <v>1307873.7</v>
      </c>
      <c r="K2016" s="8"/>
      <c r="L2016" s="8"/>
      <c r="M2016" s="9">
        <f t="shared" si="245"/>
        <v>1307873.7</v>
      </c>
      <c r="N2016" s="8"/>
      <c r="O2016" s="9"/>
      <c r="P2016" s="9">
        <f>+N2016+O2016</f>
        <v>0</v>
      </c>
      <c r="Q2016" s="9">
        <f t="shared" si="239"/>
        <v>1307873.7</v>
      </c>
      <c r="R2016" s="8"/>
      <c r="S2016" s="8"/>
      <c r="T2016" s="8"/>
      <c r="U2016" s="18">
        <f t="shared" si="240"/>
        <v>0</v>
      </c>
      <c r="V2016" s="17"/>
      <c r="W2016" s="17"/>
      <c r="X2016" s="9">
        <f t="shared" si="241"/>
        <v>1307873.7</v>
      </c>
      <c r="Y2016" s="8"/>
      <c r="Z2016" s="9">
        <f t="shared" si="242"/>
        <v>0</v>
      </c>
      <c r="AA2016" s="8">
        <f t="shared" si="243"/>
        <v>1307873.7</v>
      </c>
      <c r="AB2016" s="8">
        <f t="shared" si="244"/>
        <v>0</v>
      </c>
    </row>
    <row r="2017" spans="1:28" x14ac:dyDescent="0.35">
      <c r="A2017" s="36"/>
      <c r="B2017" s="8"/>
      <c r="C2017" s="13" t="s">
        <v>1133</v>
      </c>
      <c r="D2017" s="16" t="s">
        <v>1126</v>
      </c>
      <c r="E2017" s="11">
        <v>2000000</v>
      </c>
      <c r="F2017" s="11"/>
      <c r="G2017" s="8">
        <v>2000000</v>
      </c>
      <c r="H2017" s="9">
        <f>+F2017+G2017</f>
        <v>2000000</v>
      </c>
      <c r="I2017" s="8"/>
      <c r="J2017" s="9">
        <f t="shared" si="238"/>
        <v>2000000</v>
      </c>
      <c r="K2017" s="8"/>
      <c r="L2017" s="8"/>
      <c r="M2017" s="9">
        <f t="shared" si="245"/>
        <v>2000000</v>
      </c>
      <c r="N2017" s="8"/>
      <c r="O2017" s="9"/>
      <c r="P2017" s="9">
        <f>+N2017+O2017</f>
        <v>0</v>
      </c>
      <c r="Q2017" s="9"/>
      <c r="R2017" s="8"/>
      <c r="S2017" s="8"/>
      <c r="T2017" s="8"/>
      <c r="U2017" s="18">
        <f t="shared" si="240"/>
        <v>0</v>
      </c>
      <c r="V2017" s="17"/>
      <c r="W2017" s="17"/>
      <c r="X2017" s="9">
        <f t="shared" si="241"/>
        <v>2000000</v>
      </c>
      <c r="Y2017" s="8"/>
      <c r="Z2017" s="9">
        <f t="shared" si="242"/>
        <v>0</v>
      </c>
      <c r="AA2017" s="8">
        <f t="shared" si="243"/>
        <v>2000000</v>
      </c>
      <c r="AB2017" s="8">
        <f t="shared" si="244"/>
        <v>0</v>
      </c>
    </row>
    <row r="2018" spans="1:28" x14ac:dyDescent="0.35">
      <c r="A2018" s="36"/>
      <c r="B2018" s="8"/>
      <c r="C2018" s="7" t="s">
        <v>598</v>
      </c>
      <c r="D2018" s="8"/>
      <c r="E2018" s="9">
        <v>874390.57</v>
      </c>
      <c r="F2018" s="9">
        <f>776038.57+98352</f>
        <v>874390.57</v>
      </c>
      <c r="G2018" s="8"/>
      <c r="H2018" s="9">
        <f t="shared" si="237"/>
        <v>874390.57</v>
      </c>
      <c r="I2018" s="8"/>
      <c r="J2018" s="9">
        <f t="shared" si="238"/>
        <v>874390.57</v>
      </c>
      <c r="K2018" s="8"/>
      <c r="L2018" s="8"/>
      <c r="M2018" s="9">
        <f t="shared" si="245"/>
        <v>874390.57</v>
      </c>
      <c r="N2018" s="8"/>
      <c r="O2018" s="9"/>
      <c r="P2018" s="9">
        <f t="shared" si="246"/>
        <v>0</v>
      </c>
      <c r="Q2018" s="9">
        <f t="shared" si="239"/>
        <v>874390.57</v>
      </c>
      <c r="R2018" s="8"/>
      <c r="S2018" s="8"/>
      <c r="T2018" s="8"/>
      <c r="U2018" s="18">
        <f t="shared" si="240"/>
        <v>0</v>
      </c>
      <c r="V2018" s="17"/>
      <c r="W2018" s="17"/>
      <c r="X2018" s="9">
        <f t="shared" si="241"/>
        <v>874390.57</v>
      </c>
      <c r="Y2018" s="8"/>
      <c r="Z2018" s="9">
        <f t="shared" si="242"/>
        <v>0</v>
      </c>
      <c r="AA2018" s="8">
        <f t="shared" si="243"/>
        <v>874390.57</v>
      </c>
      <c r="AB2018" s="8">
        <f t="shared" si="244"/>
        <v>0</v>
      </c>
    </row>
    <row r="2019" spans="1:28" x14ac:dyDescent="0.35">
      <c r="A2019" s="36"/>
      <c r="B2019" s="8"/>
      <c r="C2019" s="7" t="s">
        <v>606</v>
      </c>
      <c r="D2019" s="8"/>
      <c r="E2019" s="9">
        <f>5000000+2500000-2500000</f>
        <v>5000000</v>
      </c>
      <c r="F2019" s="9">
        <f>7500000-2500000</f>
        <v>5000000</v>
      </c>
      <c r="G2019" s="8"/>
      <c r="H2019" s="9">
        <f t="shared" si="237"/>
        <v>5000000</v>
      </c>
      <c r="I2019" s="8"/>
      <c r="J2019" s="9">
        <f t="shared" si="238"/>
        <v>5000000</v>
      </c>
      <c r="K2019" s="8"/>
      <c r="L2019" s="8"/>
      <c r="M2019" s="9">
        <f t="shared" si="245"/>
        <v>5000000</v>
      </c>
      <c r="N2019" s="8"/>
      <c r="O2019" s="9"/>
      <c r="P2019" s="9">
        <f t="shared" si="246"/>
        <v>0</v>
      </c>
      <c r="Q2019" s="9">
        <f t="shared" si="239"/>
        <v>5000000</v>
      </c>
      <c r="R2019" s="8"/>
      <c r="S2019" s="8"/>
      <c r="T2019" s="8"/>
      <c r="U2019" s="18">
        <f t="shared" si="240"/>
        <v>0</v>
      </c>
      <c r="V2019" s="17"/>
      <c r="W2019" s="17"/>
      <c r="X2019" s="9">
        <f t="shared" si="241"/>
        <v>5000000</v>
      </c>
      <c r="Y2019" s="8"/>
      <c r="Z2019" s="9">
        <f t="shared" si="242"/>
        <v>0</v>
      </c>
      <c r="AA2019" s="8">
        <f t="shared" si="243"/>
        <v>5000000</v>
      </c>
      <c r="AB2019" s="8">
        <f t="shared" si="244"/>
        <v>0</v>
      </c>
    </row>
    <row r="2020" spans="1:28" x14ac:dyDescent="0.35">
      <c r="A2020" s="36"/>
      <c r="B2020" s="8"/>
      <c r="C2020" s="8"/>
      <c r="D2020" s="8"/>
      <c r="E2020" s="17" t="s">
        <v>29</v>
      </c>
      <c r="F2020" s="17" t="s">
        <v>29</v>
      </c>
      <c r="G2020" s="17" t="s">
        <v>29</v>
      </c>
      <c r="H2020" s="17" t="s">
        <v>29</v>
      </c>
      <c r="I2020" s="17" t="s">
        <v>29</v>
      </c>
      <c r="J2020" s="17" t="s">
        <v>29</v>
      </c>
      <c r="K2020" s="17" t="s">
        <v>29</v>
      </c>
      <c r="L2020" s="17" t="s">
        <v>29</v>
      </c>
      <c r="M2020" s="17" t="s">
        <v>29</v>
      </c>
      <c r="N2020" s="17" t="s">
        <v>29</v>
      </c>
      <c r="O2020" s="17" t="s">
        <v>29</v>
      </c>
      <c r="P2020" s="17" t="s">
        <v>29</v>
      </c>
      <c r="Q2020" s="17" t="s">
        <v>29</v>
      </c>
      <c r="R2020" s="17" t="s">
        <v>29</v>
      </c>
      <c r="S2020" s="17" t="s">
        <v>29</v>
      </c>
      <c r="T2020" s="17" t="s">
        <v>29</v>
      </c>
      <c r="U2020" s="17" t="s">
        <v>29</v>
      </c>
      <c r="V2020" s="17" t="s">
        <v>29</v>
      </c>
      <c r="W2020" s="17" t="s">
        <v>29</v>
      </c>
      <c r="X2020" s="17" t="s">
        <v>29</v>
      </c>
      <c r="Y2020" s="17" t="s">
        <v>29</v>
      </c>
      <c r="Z2020" s="17" t="s">
        <v>29</v>
      </c>
      <c r="AA2020" s="17" t="s">
        <v>29</v>
      </c>
      <c r="AB2020" s="17" t="s">
        <v>29</v>
      </c>
    </row>
    <row r="2021" spans="1:28" x14ac:dyDescent="0.35">
      <c r="A2021" s="36"/>
      <c r="B2021" s="8"/>
      <c r="C2021" s="8"/>
      <c r="D2021" s="8"/>
      <c r="E2021" s="9">
        <f t="shared" ref="E2021:Q2021" si="247">SUM(E1998:E2020)</f>
        <v>76737175.389999986</v>
      </c>
      <c r="F2021" s="9">
        <f t="shared" si="247"/>
        <v>71532817.540000007</v>
      </c>
      <c r="G2021" s="9">
        <f t="shared" si="247"/>
        <v>2000000</v>
      </c>
      <c r="H2021" s="9">
        <f t="shared" si="247"/>
        <v>73532817.539999992</v>
      </c>
      <c r="I2021" s="9">
        <f t="shared" si="247"/>
        <v>0</v>
      </c>
      <c r="J2021" s="9">
        <f t="shared" si="247"/>
        <v>73532817.539999992</v>
      </c>
      <c r="K2021" s="9">
        <f t="shared" si="247"/>
        <v>2909334.62</v>
      </c>
      <c r="L2021" s="9">
        <f t="shared" si="247"/>
        <v>0</v>
      </c>
      <c r="M2021" s="9">
        <f t="shared" si="247"/>
        <v>73532817.539999992</v>
      </c>
      <c r="N2021" s="9">
        <f t="shared" si="247"/>
        <v>2909334.62</v>
      </c>
      <c r="O2021" s="9">
        <f t="shared" si="247"/>
        <v>0</v>
      </c>
      <c r="P2021" s="9">
        <f t="shared" si="247"/>
        <v>2909334.62</v>
      </c>
      <c r="Q2021" s="9">
        <f t="shared" si="247"/>
        <v>71827840.770000011</v>
      </c>
      <c r="R2021" s="8"/>
      <c r="S2021" s="8"/>
      <c r="T2021" s="9">
        <f t="shared" ref="T2021:Z2021" si="248">SUM(T1998:T2020)</f>
        <v>0</v>
      </c>
      <c r="U2021" s="9">
        <f t="shared" si="248"/>
        <v>2909334.62</v>
      </c>
      <c r="V2021" s="9">
        <f t="shared" si="248"/>
        <v>0</v>
      </c>
      <c r="W2021" s="9">
        <f t="shared" si="248"/>
        <v>0</v>
      </c>
      <c r="X2021" s="9">
        <f t="shared" si="248"/>
        <v>76442152.159999996</v>
      </c>
      <c r="Y2021" s="9">
        <f t="shared" si="248"/>
        <v>0</v>
      </c>
      <c r="Z2021" s="9">
        <f t="shared" si="248"/>
        <v>295023.22999999952</v>
      </c>
      <c r="AA2021" s="9">
        <f>SUM(AA1998:AA2020)</f>
        <v>76442152.159999996</v>
      </c>
      <c r="AB2021" s="9">
        <f>SUM(AB1998:AB2020)</f>
        <v>295023.22999999952</v>
      </c>
    </row>
    <row r="2022" spans="1:28" x14ac:dyDescent="0.35">
      <c r="A2022" s="36"/>
      <c r="B2022" s="8"/>
      <c r="C2022" s="8"/>
      <c r="D2022" s="8"/>
      <c r="E2022" s="17" t="s">
        <v>29</v>
      </c>
      <c r="F2022" s="17" t="s">
        <v>29</v>
      </c>
      <c r="G2022" s="17" t="s">
        <v>29</v>
      </c>
      <c r="H2022" s="17" t="s">
        <v>29</v>
      </c>
      <c r="I2022" s="17" t="s">
        <v>29</v>
      </c>
      <c r="J2022" s="17" t="s">
        <v>29</v>
      </c>
      <c r="K2022" s="17" t="s">
        <v>29</v>
      </c>
      <c r="L2022" s="17" t="s">
        <v>29</v>
      </c>
      <c r="M2022" s="17" t="s">
        <v>29</v>
      </c>
      <c r="N2022" s="17" t="s">
        <v>29</v>
      </c>
      <c r="O2022" s="17" t="s">
        <v>29</v>
      </c>
      <c r="P2022" s="17" t="s">
        <v>29</v>
      </c>
      <c r="Q2022" s="17" t="s">
        <v>29</v>
      </c>
      <c r="R2022" s="17" t="s">
        <v>29</v>
      </c>
      <c r="S2022" s="17" t="s">
        <v>29</v>
      </c>
      <c r="T2022" s="17" t="s">
        <v>29</v>
      </c>
      <c r="U2022" s="17" t="s">
        <v>29</v>
      </c>
      <c r="V2022" s="17" t="s">
        <v>29</v>
      </c>
      <c r="W2022" s="17" t="s">
        <v>29</v>
      </c>
      <c r="X2022" s="17" t="s">
        <v>29</v>
      </c>
      <c r="Y2022" s="17" t="s">
        <v>29</v>
      </c>
      <c r="Z2022" s="17" t="s">
        <v>29</v>
      </c>
      <c r="AA2022" s="17" t="s">
        <v>29</v>
      </c>
      <c r="AB2022" s="17" t="s">
        <v>29</v>
      </c>
    </row>
    <row r="2023" spans="1:28" x14ac:dyDescent="0.35">
      <c r="A2023" s="38" t="s">
        <v>1030</v>
      </c>
      <c r="B2023" s="7" t="s">
        <v>809</v>
      </c>
      <c r="C2023" s="8"/>
      <c r="D2023" s="8"/>
      <c r="E2023" s="8"/>
      <c r="F2023" s="8"/>
      <c r="G2023" s="8"/>
      <c r="H2023" s="8"/>
      <c r="I2023" s="8"/>
      <c r="J2023" s="8"/>
      <c r="K2023" s="8"/>
      <c r="L2023" s="8"/>
      <c r="M2023" s="8"/>
      <c r="N2023" s="8"/>
      <c r="O2023" s="8"/>
      <c r="P2023" s="8"/>
      <c r="Q2023" s="8"/>
      <c r="R2023" s="8"/>
      <c r="S2023" s="8"/>
      <c r="T2023" s="8"/>
      <c r="U2023" s="8"/>
      <c r="V2023" s="8"/>
      <c r="W2023" s="8"/>
      <c r="X2023" s="8"/>
      <c r="Y2023" s="8"/>
      <c r="Z2023" s="8"/>
    </row>
    <row r="2024" spans="1:28" x14ac:dyDescent="0.35">
      <c r="A2024" s="36"/>
      <c r="B2024" s="8"/>
      <c r="C2024" s="7" t="s">
        <v>810</v>
      </c>
      <c r="D2024" s="15" t="s">
        <v>811</v>
      </c>
      <c r="E2024" s="9">
        <v>1260000</v>
      </c>
      <c r="F2024" s="9">
        <v>1260000</v>
      </c>
      <c r="G2024" s="8"/>
      <c r="H2024" s="9">
        <f t="shared" ref="H2024:H2050" si="249">F2024+G2024</f>
        <v>1260000</v>
      </c>
      <c r="I2024" s="8"/>
      <c r="J2024" s="9">
        <f t="shared" ref="J2024:J2050" si="250">H2024+I2024</f>
        <v>1260000</v>
      </c>
      <c r="K2024" s="8"/>
      <c r="L2024" s="8"/>
      <c r="M2024" s="9">
        <f>+H2024+L2024</f>
        <v>1260000</v>
      </c>
      <c r="N2024" s="8"/>
      <c r="O2024" s="9"/>
      <c r="P2024" s="9">
        <f>+N2024+O2024</f>
        <v>0</v>
      </c>
      <c r="Q2024" s="9">
        <f t="shared" ref="Q2024:Q2050" si="251">E2024-P2024</f>
        <v>1260000</v>
      </c>
      <c r="R2024" s="8"/>
      <c r="S2024" s="8"/>
      <c r="T2024" s="8"/>
      <c r="U2024" s="18">
        <f t="shared" ref="U2024:U2050" si="252">+P2024+T2024</f>
        <v>0</v>
      </c>
      <c r="V2024" s="17"/>
      <c r="W2024" s="17"/>
      <c r="X2024" s="9">
        <f t="shared" ref="X2024:X2050" si="253">+H2024+P2024</f>
        <v>1260000</v>
      </c>
      <c r="Y2024" s="8"/>
      <c r="Z2024" s="9">
        <f t="shared" ref="Z2024:Z2050" si="254">+E2024-X2024</f>
        <v>0</v>
      </c>
      <c r="AA2024" s="8">
        <f t="shared" ref="AA2024:AA2050" si="255">+M2024+U2024</f>
        <v>1260000</v>
      </c>
      <c r="AB2024" s="8">
        <f t="shared" ref="AB2024:AB2050" si="256">+E2024-AA2024</f>
        <v>0</v>
      </c>
    </row>
    <row r="2025" spans="1:28" x14ac:dyDescent="0.35">
      <c r="A2025" s="36"/>
      <c r="B2025" s="8"/>
      <c r="C2025" s="7" t="s">
        <v>535</v>
      </c>
      <c r="D2025" s="15" t="s">
        <v>68</v>
      </c>
      <c r="E2025" s="9">
        <f>1200800-529512.48</f>
        <v>671287.52</v>
      </c>
      <c r="F2025" s="9">
        <v>648790.89</v>
      </c>
      <c r="G2025" s="8"/>
      <c r="H2025" s="9">
        <f t="shared" si="249"/>
        <v>648790.89</v>
      </c>
      <c r="I2025" s="8"/>
      <c r="J2025" s="9">
        <f t="shared" si="250"/>
        <v>648790.89</v>
      </c>
      <c r="K2025" s="9">
        <f>7047+15372.43+77.2</f>
        <v>22496.63</v>
      </c>
      <c r="L2025" s="8"/>
      <c r="M2025" s="9">
        <f t="shared" ref="M2025:M2050" si="257">+H2025+L2025</f>
        <v>648790.89</v>
      </c>
      <c r="N2025" s="8">
        <v>22496.63</v>
      </c>
      <c r="O2025" s="9"/>
      <c r="P2025" s="9">
        <f t="shared" ref="P2025:P2050" si="258">+N2025+O2025</f>
        <v>22496.63</v>
      </c>
      <c r="Q2025" s="9">
        <f t="shared" si="251"/>
        <v>648790.89</v>
      </c>
      <c r="R2025" s="8"/>
      <c r="S2025" s="8"/>
      <c r="T2025" s="8"/>
      <c r="U2025" s="18">
        <f t="shared" si="252"/>
        <v>22496.63</v>
      </c>
      <c r="V2025" s="17"/>
      <c r="W2025" s="17"/>
      <c r="X2025" s="9">
        <f t="shared" si="253"/>
        <v>671287.52</v>
      </c>
      <c r="Y2025" s="8"/>
      <c r="Z2025" s="9">
        <f t="shared" si="254"/>
        <v>0</v>
      </c>
      <c r="AA2025" s="8">
        <f t="shared" si="255"/>
        <v>671287.52</v>
      </c>
      <c r="AB2025" s="8">
        <f t="shared" si="256"/>
        <v>0</v>
      </c>
    </row>
    <row r="2026" spans="1:28" x14ac:dyDescent="0.35">
      <c r="A2026" s="36"/>
      <c r="B2026" s="8"/>
      <c r="C2026" s="7" t="s">
        <v>535</v>
      </c>
      <c r="D2026" s="15" t="s">
        <v>54</v>
      </c>
      <c r="E2026" s="9">
        <f>1625000-81250-383833-176937</f>
        <v>982980</v>
      </c>
      <c r="F2026" s="9">
        <v>982980</v>
      </c>
      <c r="G2026" s="8"/>
      <c r="H2026" s="9">
        <f t="shared" si="249"/>
        <v>982980</v>
      </c>
      <c r="I2026" s="8"/>
      <c r="J2026" s="9">
        <f t="shared" si="250"/>
        <v>982980</v>
      </c>
      <c r="K2026" s="8"/>
      <c r="L2026" s="8"/>
      <c r="M2026" s="9">
        <f t="shared" si="257"/>
        <v>982980</v>
      </c>
      <c r="N2026" s="8"/>
      <c r="O2026" s="9"/>
      <c r="P2026" s="9">
        <f t="shared" si="258"/>
        <v>0</v>
      </c>
      <c r="Q2026" s="9">
        <f t="shared" si="251"/>
        <v>982980</v>
      </c>
      <c r="R2026" s="8"/>
      <c r="S2026" s="8"/>
      <c r="T2026" s="8"/>
      <c r="U2026" s="18">
        <f t="shared" si="252"/>
        <v>0</v>
      </c>
      <c r="V2026" s="17"/>
      <c r="W2026" s="17"/>
      <c r="X2026" s="9">
        <f t="shared" si="253"/>
        <v>982980</v>
      </c>
      <c r="Y2026" s="8"/>
      <c r="Z2026" s="9">
        <f t="shared" si="254"/>
        <v>0</v>
      </c>
      <c r="AA2026" s="8">
        <f t="shared" si="255"/>
        <v>982980</v>
      </c>
      <c r="AB2026" s="8">
        <f t="shared" si="256"/>
        <v>0</v>
      </c>
    </row>
    <row r="2027" spans="1:28" x14ac:dyDescent="0.35">
      <c r="A2027" s="36"/>
      <c r="B2027" s="8"/>
      <c r="C2027" s="7" t="s">
        <v>545</v>
      </c>
      <c r="D2027" s="15" t="s">
        <v>54</v>
      </c>
      <c r="E2027" s="9">
        <v>1953989</v>
      </c>
      <c r="F2027" s="8"/>
      <c r="G2027" s="8"/>
      <c r="H2027" s="9">
        <f t="shared" si="249"/>
        <v>0</v>
      </c>
      <c r="I2027" s="8"/>
      <c r="J2027" s="9">
        <f t="shared" si="250"/>
        <v>0</v>
      </c>
      <c r="K2027" s="9">
        <v>1953989</v>
      </c>
      <c r="L2027" s="8"/>
      <c r="M2027" s="9">
        <f t="shared" si="257"/>
        <v>0</v>
      </c>
      <c r="N2027" s="8">
        <v>1953989</v>
      </c>
      <c r="O2027" s="9"/>
      <c r="P2027" s="9">
        <f t="shared" si="258"/>
        <v>1953989</v>
      </c>
      <c r="Q2027" s="9">
        <f t="shared" si="251"/>
        <v>0</v>
      </c>
      <c r="R2027" s="8"/>
      <c r="S2027" s="8"/>
      <c r="T2027" s="8"/>
      <c r="U2027" s="18">
        <f t="shared" si="252"/>
        <v>1953989</v>
      </c>
      <c r="V2027" s="17"/>
      <c r="W2027" s="17"/>
      <c r="X2027" s="9">
        <f t="shared" si="253"/>
        <v>1953989</v>
      </c>
      <c r="Y2027" s="8"/>
      <c r="Z2027" s="9">
        <f t="shared" si="254"/>
        <v>0</v>
      </c>
      <c r="AA2027" s="8">
        <f t="shared" si="255"/>
        <v>1953989</v>
      </c>
      <c r="AB2027" s="8">
        <f t="shared" si="256"/>
        <v>0</v>
      </c>
    </row>
    <row r="2028" spans="1:28" x14ac:dyDescent="0.35">
      <c r="A2028" s="36"/>
      <c r="B2028" s="8"/>
      <c r="C2028" s="7" t="s">
        <v>812</v>
      </c>
      <c r="D2028" s="15" t="s">
        <v>54</v>
      </c>
      <c r="E2028" s="9">
        <f>2250000-112500</f>
        <v>2137500</v>
      </c>
      <c r="F2028" s="9">
        <f>1166609+970891</f>
        <v>2137500</v>
      </c>
      <c r="G2028" s="8"/>
      <c r="H2028" s="9">
        <f t="shared" si="249"/>
        <v>2137500</v>
      </c>
      <c r="I2028" s="8"/>
      <c r="J2028" s="9">
        <f t="shared" si="250"/>
        <v>2137500</v>
      </c>
      <c r="K2028" s="8"/>
      <c r="L2028" s="8"/>
      <c r="M2028" s="9">
        <f t="shared" si="257"/>
        <v>2137500</v>
      </c>
      <c r="N2028" s="8"/>
      <c r="O2028" s="9"/>
      <c r="P2028" s="9">
        <f t="shared" si="258"/>
        <v>0</v>
      </c>
      <c r="Q2028" s="9">
        <f t="shared" si="251"/>
        <v>2137500</v>
      </c>
      <c r="R2028" s="8"/>
      <c r="S2028" s="8"/>
      <c r="T2028" s="8"/>
      <c r="U2028" s="18">
        <f t="shared" si="252"/>
        <v>0</v>
      </c>
      <c r="V2028" s="17"/>
      <c r="W2028" s="17"/>
      <c r="X2028" s="9">
        <f t="shared" si="253"/>
        <v>2137500</v>
      </c>
      <c r="Y2028" s="8"/>
      <c r="Z2028" s="9">
        <f t="shared" si="254"/>
        <v>0</v>
      </c>
      <c r="AA2028" s="8">
        <f t="shared" si="255"/>
        <v>2137500</v>
      </c>
      <c r="AB2028" s="8">
        <f t="shared" si="256"/>
        <v>0</v>
      </c>
    </row>
    <row r="2029" spans="1:28" x14ac:dyDescent="0.35">
      <c r="A2029" s="36"/>
      <c r="B2029" s="8"/>
      <c r="C2029" s="7" t="s">
        <v>535</v>
      </c>
      <c r="D2029" s="15" t="s">
        <v>85</v>
      </c>
      <c r="E2029" s="9">
        <v>956276</v>
      </c>
      <c r="F2029" s="9">
        <f>869276+87000</f>
        <v>956276</v>
      </c>
      <c r="G2029" s="8"/>
      <c r="H2029" s="9">
        <f t="shared" si="249"/>
        <v>956276</v>
      </c>
      <c r="I2029" s="8"/>
      <c r="J2029" s="9">
        <f t="shared" si="250"/>
        <v>956276</v>
      </c>
      <c r="K2029" s="8"/>
      <c r="L2029" s="8"/>
      <c r="M2029" s="9">
        <f t="shared" si="257"/>
        <v>956276</v>
      </c>
      <c r="N2029" s="8"/>
      <c r="O2029" s="9"/>
      <c r="P2029" s="9">
        <f t="shared" si="258"/>
        <v>0</v>
      </c>
      <c r="Q2029" s="9">
        <f t="shared" si="251"/>
        <v>956276</v>
      </c>
      <c r="R2029" s="8"/>
      <c r="S2029" s="8"/>
      <c r="T2029" s="8"/>
      <c r="U2029" s="18">
        <f t="shared" si="252"/>
        <v>0</v>
      </c>
      <c r="V2029" s="17"/>
      <c r="W2029" s="17"/>
      <c r="X2029" s="9">
        <f t="shared" si="253"/>
        <v>956276</v>
      </c>
      <c r="Y2029" s="8"/>
      <c r="Z2029" s="9">
        <f t="shared" si="254"/>
        <v>0</v>
      </c>
      <c r="AA2029" s="8">
        <f t="shared" si="255"/>
        <v>956276</v>
      </c>
      <c r="AB2029" s="8">
        <f t="shared" si="256"/>
        <v>0</v>
      </c>
    </row>
    <row r="2030" spans="1:28" x14ac:dyDescent="0.35">
      <c r="A2030" s="36"/>
      <c r="B2030" s="8"/>
      <c r="C2030" s="7" t="s">
        <v>813</v>
      </c>
      <c r="D2030" s="15" t="s">
        <v>85</v>
      </c>
      <c r="E2030" s="9">
        <v>800000</v>
      </c>
      <c r="F2030" s="9">
        <v>800000</v>
      </c>
      <c r="G2030" s="8"/>
      <c r="H2030" s="9">
        <f t="shared" si="249"/>
        <v>800000</v>
      </c>
      <c r="I2030" s="8"/>
      <c r="J2030" s="9">
        <f t="shared" si="250"/>
        <v>800000</v>
      </c>
      <c r="K2030" s="8"/>
      <c r="L2030" s="8"/>
      <c r="M2030" s="9">
        <f t="shared" si="257"/>
        <v>800000</v>
      </c>
      <c r="N2030" s="8"/>
      <c r="O2030" s="9"/>
      <c r="P2030" s="9">
        <f t="shared" si="258"/>
        <v>0</v>
      </c>
      <c r="Q2030" s="9">
        <f t="shared" si="251"/>
        <v>800000</v>
      </c>
      <c r="R2030" s="8"/>
      <c r="S2030" s="8"/>
      <c r="T2030" s="8"/>
      <c r="U2030" s="18">
        <f t="shared" si="252"/>
        <v>0</v>
      </c>
      <c r="V2030" s="17"/>
      <c r="W2030" s="17"/>
      <c r="X2030" s="9">
        <f t="shared" si="253"/>
        <v>800000</v>
      </c>
      <c r="Y2030" s="8"/>
      <c r="Z2030" s="9">
        <f t="shared" si="254"/>
        <v>0</v>
      </c>
      <c r="AA2030" s="8">
        <f t="shared" si="255"/>
        <v>800000</v>
      </c>
      <c r="AB2030" s="8">
        <f t="shared" si="256"/>
        <v>0</v>
      </c>
    </row>
    <row r="2031" spans="1:28" x14ac:dyDescent="0.35">
      <c r="A2031" s="36"/>
      <c r="B2031" s="8"/>
      <c r="C2031" s="7" t="s">
        <v>727</v>
      </c>
      <c r="D2031" s="15" t="s">
        <v>85</v>
      </c>
      <c r="E2031" s="9">
        <f>120000+120000</f>
        <v>240000</v>
      </c>
      <c r="F2031" s="9">
        <v>240000</v>
      </c>
      <c r="G2031" s="8"/>
      <c r="H2031" s="9">
        <f t="shared" si="249"/>
        <v>240000</v>
      </c>
      <c r="I2031" s="8"/>
      <c r="J2031" s="9">
        <f t="shared" si="250"/>
        <v>240000</v>
      </c>
      <c r="K2031" s="8"/>
      <c r="L2031" s="8"/>
      <c r="M2031" s="9">
        <f t="shared" si="257"/>
        <v>240000</v>
      </c>
      <c r="N2031" s="8"/>
      <c r="O2031" s="9"/>
      <c r="P2031" s="9">
        <f t="shared" si="258"/>
        <v>0</v>
      </c>
      <c r="Q2031" s="9">
        <f t="shared" si="251"/>
        <v>240000</v>
      </c>
      <c r="R2031" s="8"/>
      <c r="S2031" s="8"/>
      <c r="T2031" s="8"/>
      <c r="U2031" s="18">
        <f t="shared" si="252"/>
        <v>0</v>
      </c>
      <c r="V2031" s="17"/>
      <c r="W2031" s="17"/>
      <c r="X2031" s="9">
        <f t="shared" si="253"/>
        <v>240000</v>
      </c>
      <c r="Y2031" s="8"/>
      <c r="Z2031" s="9">
        <f t="shared" si="254"/>
        <v>0</v>
      </c>
      <c r="AA2031" s="8">
        <f t="shared" si="255"/>
        <v>240000</v>
      </c>
      <c r="AB2031" s="8">
        <f t="shared" si="256"/>
        <v>0</v>
      </c>
    </row>
    <row r="2032" spans="1:28" x14ac:dyDescent="0.35">
      <c r="A2032" s="36"/>
      <c r="B2032" s="8"/>
      <c r="C2032" s="7" t="s">
        <v>814</v>
      </c>
      <c r="D2032" s="15" t="s">
        <v>85</v>
      </c>
      <c r="E2032" s="9">
        <f>240000+160000</f>
        <v>400000</v>
      </c>
      <c r="F2032" s="8"/>
      <c r="G2032" s="8"/>
      <c r="H2032" s="9">
        <f t="shared" si="249"/>
        <v>0</v>
      </c>
      <c r="I2032" s="9">
        <v>400000</v>
      </c>
      <c r="J2032" s="9">
        <f t="shared" si="250"/>
        <v>400000</v>
      </c>
      <c r="K2032" s="8"/>
      <c r="L2032" s="8">
        <v>400000</v>
      </c>
      <c r="M2032" s="9">
        <f t="shared" si="257"/>
        <v>400000</v>
      </c>
      <c r="N2032" s="8"/>
      <c r="O2032" s="9"/>
      <c r="P2032" s="9">
        <f t="shared" si="258"/>
        <v>0</v>
      </c>
      <c r="Q2032" s="9">
        <f t="shared" si="251"/>
        <v>400000</v>
      </c>
      <c r="R2032" s="8"/>
      <c r="S2032" s="8"/>
      <c r="T2032" s="8"/>
      <c r="U2032" s="18">
        <f t="shared" si="252"/>
        <v>0</v>
      </c>
      <c r="V2032" s="17"/>
      <c r="W2032" s="17"/>
      <c r="X2032" s="9">
        <f t="shared" si="253"/>
        <v>0</v>
      </c>
      <c r="Y2032" s="8"/>
      <c r="Z2032" s="9">
        <f t="shared" si="254"/>
        <v>400000</v>
      </c>
      <c r="AA2032" s="8">
        <f t="shared" si="255"/>
        <v>400000</v>
      </c>
      <c r="AB2032" s="8">
        <f t="shared" si="256"/>
        <v>0</v>
      </c>
    </row>
    <row r="2033" spans="1:28" x14ac:dyDescent="0.35">
      <c r="A2033" s="36"/>
      <c r="B2033" s="7" t="s">
        <v>546</v>
      </c>
      <c r="C2033" s="7" t="s">
        <v>815</v>
      </c>
      <c r="D2033" s="21" t="s">
        <v>128</v>
      </c>
      <c r="E2033" s="9">
        <f>800000-800000</f>
        <v>0</v>
      </c>
      <c r="F2033" s="8"/>
      <c r="G2033" s="8"/>
      <c r="H2033" s="9">
        <f t="shared" si="249"/>
        <v>0</v>
      </c>
      <c r="I2033" s="8"/>
      <c r="J2033" s="9">
        <f t="shared" si="250"/>
        <v>0</v>
      </c>
      <c r="K2033" s="8"/>
      <c r="L2033" s="8"/>
      <c r="M2033" s="9">
        <f t="shared" si="257"/>
        <v>0</v>
      </c>
      <c r="N2033" s="8"/>
      <c r="O2033" s="9"/>
      <c r="P2033" s="9">
        <f t="shared" si="258"/>
        <v>0</v>
      </c>
      <c r="Q2033" s="9">
        <f t="shared" si="251"/>
        <v>0</v>
      </c>
      <c r="R2033" s="8"/>
      <c r="S2033" s="8"/>
      <c r="T2033" s="8"/>
      <c r="U2033" s="18">
        <f t="shared" si="252"/>
        <v>0</v>
      </c>
      <c r="V2033" s="17"/>
      <c r="W2033" s="17"/>
      <c r="X2033" s="9">
        <f t="shared" si="253"/>
        <v>0</v>
      </c>
      <c r="Y2033" s="8"/>
      <c r="Z2033" s="9">
        <f t="shared" si="254"/>
        <v>0</v>
      </c>
      <c r="AA2033" s="8">
        <f t="shared" si="255"/>
        <v>0</v>
      </c>
      <c r="AB2033" s="8">
        <f t="shared" si="256"/>
        <v>0</v>
      </c>
    </row>
    <row r="2034" spans="1:28" x14ac:dyDescent="0.35">
      <c r="A2034" s="36"/>
      <c r="B2034" s="8"/>
      <c r="C2034" s="7" t="s">
        <v>535</v>
      </c>
      <c r="D2034" s="15" t="s">
        <v>88</v>
      </c>
      <c r="E2034" s="9">
        <f>1966312+1789065</f>
        <v>3755377</v>
      </c>
      <c r="F2034" s="9">
        <v>3755377</v>
      </c>
      <c r="G2034" s="8"/>
      <c r="H2034" s="9">
        <f t="shared" si="249"/>
        <v>3755377</v>
      </c>
      <c r="I2034" s="8"/>
      <c r="J2034" s="9">
        <f t="shared" si="250"/>
        <v>3755377</v>
      </c>
      <c r="K2034" s="8"/>
      <c r="L2034" s="8"/>
      <c r="M2034" s="9">
        <f t="shared" si="257"/>
        <v>3755377</v>
      </c>
      <c r="N2034" s="8"/>
      <c r="O2034" s="9"/>
      <c r="P2034" s="9">
        <f t="shared" si="258"/>
        <v>0</v>
      </c>
      <c r="Q2034" s="9">
        <f t="shared" si="251"/>
        <v>3755377</v>
      </c>
      <c r="R2034" s="8"/>
      <c r="S2034" s="8"/>
      <c r="T2034" s="8"/>
      <c r="U2034" s="18">
        <f t="shared" si="252"/>
        <v>0</v>
      </c>
      <c r="V2034" s="17"/>
      <c r="W2034" s="17"/>
      <c r="X2034" s="9">
        <f t="shared" si="253"/>
        <v>3755377</v>
      </c>
      <c r="Y2034" s="8"/>
      <c r="Z2034" s="9">
        <f t="shared" si="254"/>
        <v>0</v>
      </c>
      <c r="AA2034" s="8">
        <f t="shared" si="255"/>
        <v>3755377</v>
      </c>
      <c r="AB2034" s="8">
        <f t="shared" si="256"/>
        <v>0</v>
      </c>
    </row>
    <row r="2035" spans="1:28" x14ac:dyDescent="0.35">
      <c r="A2035" s="36"/>
      <c r="B2035" s="8"/>
      <c r="C2035" s="7" t="s">
        <v>535</v>
      </c>
      <c r="D2035" s="15" t="s">
        <v>108</v>
      </c>
      <c r="E2035" s="9">
        <f>1452339+1271650</f>
        <v>2723989</v>
      </c>
      <c r="F2035" s="9">
        <f>1452339+1271650</f>
        <v>2723989</v>
      </c>
      <c r="G2035" s="8"/>
      <c r="H2035" s="9">
        <f t="shared" si="249"/>
        <v>2723989</v>
      </c>
      <c r="I2035" s="8"/>
      <c r="J2035" s="9">
        <f t="shared" si="250"/>
        <v>2723989</v>
      </c>
      <c r="K2035" s="8"/>
      <c r="L2035" s="8"/>
      <c r="M2035" s="9">
        <f t="shared" si="257"/>
        <v>2723989</v>
      </c>
      <c r="N2035" s="8"/>
      <c r="O2035" s="9"/>
      <c r="P2035" s="9">
        <f t="shared" si="258"/>
        <v>0</v>
      </c>
      <c r="Q2035" s="9">
        <f t="shared" si="251"/>
        <v>2723989</v>
      </c>
      <c r="R2035" s="8"/>
      <c r="S2035" s="8"/>
      <c r="T2035" s="8"/>
      <c r="U2035" s="18">
        <f t="shared" si="252"/>
        <v>0</v>
      </c>
      <c r="V2035" s="17"/>
      <c r="W2035" s="17"/>
      <c r="X2035" s="9">
        <f t="shared" si="253"/>
        <v>2723989</v>
      </c>
      <c r="Y2035" s="8"/>
      <c r="Z2035" s="9">
        <f t="shared" si="254"/>
        <v>0</v>
      </c>
      <c r="AA2035" s="8">
        <f t="shared" si="255"/>
        <v>2723989</v>
      </c>
      <c r="AB2035" s="8">
        <f t="shared" si="256"/>
        <v>0</v>
      </c>
    </row>
    <row r="2036" spans="1:28" x14ac:dyDescent="0.35">
      <c r="A2036" s="36"/>
      <c r="B2036" s="8"/>
      <c r="C2036" s="7" t="s">
        <v>535</v>
      </c>
      <c r="D2036" s="15" t="s">
        <v>58</v>
      </c>
      <c r="E2036" s="9">
        <f>3147563+2553310+1486130</f>
        <v>7187003</v>
      </c>
      <c r="F2036" s="9">
        <v>7187003</v>
      </c>
      <c r="G2036" s="8"/>
      <c r="H2036" s="9">
        <f t="shared" si="249"/>
        <v>7187003</v>
      </c>
      <c r="I2036" s="8"/>
      <c r="J2036" s="9">
        <f t="shared" si="250"/>
        <v>7187003</v>
      </c>
      <c r="K2036" s="8"/>
      <c r="L2036" s="8"/>
      <c r="M2036" s="9">
        <f t="shared" si="257"/>
        <v>7187003</v>
      </c>
      <c r="N2036" s="8"/>
      <c r="O2036" s="9"/>
      <c r="P2036" s="9">
        <f t="shared" si="258"/>
        <v>0</v>
      </c>
      <c r="Q2036" s="9">
        <f t="shared" si="251"/>
        <v>7187003</v>
      </c>
      <c r="R2036" s="8"/>
      <c r="S2036" s="8"/>
      <c r="T2036" s="8"/>
      <c r="U2036" s="18">
        <f t="shared" si="252"/>
        <v>0</v>
      </c>
      <c r="V2036" s="17"/>
      <c r="W2036" s="17"/>
      <c r="X2036" s="9">
        <f t="shared" si="253"/>
        <v>7187003</v>
      </c>
      <c r="Y2036" s="8"/>
      <c r="Z2036" s="9">
        <f t="shared" si="254"/>
        <v>0</v>
      </c>
      <c r="AA2036" s="8">
        <f t="shared" si="255"/>
        <v>7187003</v>
      </c>
      <c r="AB2036" s="8">
        <f t="shared" si="256"/>
        <v>0</v>
      </c>
    </row>
    <row r="2037" spans="1:28" x14ac:dyDescent="0.35">
      <c r="A2037" s="36"/>
      <c r="B2037" s="8"/>
      <c r="C2037" s="7" t="s">
        <v>535</v>
      </c>
      <c r="D2037" s="15" t="s">
        <v>60</v>
      </c>
      <c r="E2037" s="9">
        <f>4562578.57+1823131.8-1823131.8+1761480</f>
        <v>6324058.5700000003</v>
      </c>
      <c r="F2037" s="9">
        <f>6385710.37-1823131.8+1761480</f>
        <v>6324058.5700000003</v>
      </c>
      <c r="G2037" s="8"/>
      <c r="H2037" s="9">
        <f t="shared" si="249"/>
        <v>6324058.5700000003</v>
      </c>
      <c r="I2037" s="8"/>
      <c r="J2037" s="9">
        <f t="shared" si="250"/>
        <v>6324058.5700000003</v>
      </c>
      <c r="K2037" s="8"/>
      <c r="L2037" s="8"/>
      <c r="M2037" s="9">
        <f t="shared" si="257"/>
        <v>6324058.5700000003</v>
      </c>
      <c r="N2037" s="8"/>
      <c r="O2037" s="9"/>
      <c r="P2037" s="9">
        <f t="shared" si="258"/>
        <v>0</v>
      </c>
      <c r="Q2037" s="9">
        <f t="shared" si="251"/>
        <v>6324058.5700000003</v>
      </c>
      <c r="R2037" s="8"/>
      <c r="S2037" s="8"/>
      <c r="T2037" s="8"/>
      <c r="U2037" s="18">
        <f t="shared" si="252"/>
        <v>0</v>
      </c>
      <c r="V2037" s="17"/>
      <c r="W2037" s="17"/>
      <c r="X2037" s="9">
        <f t="shared" si="253"/>
        <v>6324058.5700000003</v>
      </c>
      <c r="Y2037" s="8"/>
      <c r="Z2037" s="9">
        <f t="shared" si="254"/>
        <v>0</v>
      </c>
      <c r="AA2037" s="8">
        <f t="shared" si="255"/>
        <v>6324058.5700000003</v>
      </c>
      <c r="AB2037" s="8">
        <f t="shared" si="256"/>
        <v>0</v>
      </c>
    </row>
    <row r="2038" spans="1:28" x14ac:dyDescent="0.35">
      <c r="A2038" s="36"/>
      <c r="B2038" s="8"/>
      <c r="C2038" s="7" t="s">
        <v>816</v>
      </c>
      <c r="D2038" s="15" t="s">
        <v>60</v>
      </c>
      <c r="E2038" s="9">
        <f>100000+700000</f>
        <v>800000</v>
      </c>
      <c r="F2038" s="9">
        <f>100000+700000</f>
        <v>800000</v>
      </c>
      <c r="G2038" s="8"/>
      <c r="H2038" s="9">
        <f t="shared" si="249"/>
        <v>800000</v>
      </c>
      <c r="I2038" s="8"/>
      <c r="J2038" s="9">
        <f t="shared" si="250"/>
        <v>800000</v>
      </c>
      <c r="K2038" s="8"/>
      <c r="L2038" s="8"/>
      <c r="M2038" s="9">
        <f t="shared" si="257"/>
        <v>800000</v>
      </c>
      <c r="N2038" s="8"/>
      <c r="O2038" s="9"/>
      <c r="P2038" s="9">
        <f t="shared" si="258"/>
        <v>0</v>
      </c>
      <c r="Q2038" s="9">
        <f t="shared" si="251"/>
        <v>800000</v>
      </c>
      <c r="R2038" s="8"/>
      <c r="S2038" s="8"/>
      <c r="T2038" s="8"/>
      <c r="U2038" s="18">
        <f t="shared" si="252"/>
        <v>0</v>
      </c>
      <c r="V2038" s="17"/>
      <c r="W2038" s="17"/>
      <c r="X2038" s="9">
        <f t="shared" si="253"/>
        <v>800000</v>
      </c>
      <c r="Y2038" s="8"/>
      <c r="Z2038" s="9">
        <f t="shared" si="254"/>
        <v>0</v>
      </c>
      <c r="AA2038" s="8">
        <f t="shared" si="255"/>
        <v>800000</v>
      </c>
      <c r="AB2038" s="8">
        <f t="shared" si="256"/>
        <v>0</v>
      </c>
    </row>
    <row r="2039" spans="1:28" x14ac:dyDescent="0.35">
      <c r="A2039" s="36"/>
      <c r="B2039" s="8"/>
      <c r="C2039" s="7" t="s">
        <v>535</v>
      </c>
      <c r="D2039" s="15" t="s">
        <v>73</v>
      </c>
      <c r="E2039" s="9">
        <f>1924000+2041342</f>
        <v>3965342</v>
      </c>
      <c r="F2039" s="9">
        <f>1924000+2041342</f>
        <v>3965342</v>
      </c>
      <c r="G2039" s="9"/>
      <c r="H2039" s="9">
        <f t="shared" si="249"/>
        <v>3965342</v>
      </c>
      <c r="I2039" s="9"/>
      <c r="J2039" s="9">
        <f t="shared" si="250"/>
        <v>3965342</v>
      </c>
      <c r="K2039" s="8"/>
      <c r="L2039" s="8"/>
      <c r="M2039" s="9">
        <f t="shared" si="257"/>
        <v>3965342</v>
      </c>
      <c r="N2039" s="8"/>
      <c r="O2039" s="9"/>
      <c r="P2039" s="9">
        <f t="shared" si="258"/>
        <v>0</v>
      </c>
      <c r="Q2039" s="9">
        <f t="shared" si="251"/>
        <v>3965342</v>
      </c>
      <c r="R2039" s="8"/>
      <c r="S2039" s="8"/>
      <c r="T2039" s="8"/>
      <c r="U2039" s="18">
        <f t="shared" si="252"/>
        <v>0</v>
      </c>
      <c r="V2039" s="17"/>
      <c r="W2039" s="17"/>
      <c r="X2039" s="9">
        <f t="shared" si="253"/>
        <v>3965342</v>
      </c>
      <c r="Y2039" s="8"/>
      <c r="Z2039" s="9">
        <f t="shared" si="254"/>
        <v>0</v>
      </c>
      <c r="AA2039" s="8">
        <f t="shared" si="255"/>
        <v>3965342</v>
      </c>
      <c r="AB2039" s="8">
        <f t="shared" si="256"/>
        <v>0</v>
      </c>
    </row>
    <row r="2040" spans="1:28" x14ac:dyDescent="0.35">
      <c r="A2040" s="36"/>
      <c r="B2040" s="8"/>
      <c r="C2040" s="7" t="s">
        <v>535</v>
      </c>
      <c r="D2040" s="15" t="s">
        <v>61</v>
      </c>
      <c r="E2040" s="11">
        <v>2520871.6800000002</v>
      </c>
      <c r="F2040" s="11">
        <v>2520871.6800000002</v>
      </c>
      <c r="G2040" s="8"/>
      <c r="H2040" s="9">
        <f t="shared" si="249"/>
        <v>2520871.6800000002</v>
      </c>
      <c r="I2040" s="9"/>
      <c r="J2040" s="9">
        <f t="shared" si="250"/>
        <v>2520871.6800000002</v>
      </c>
      <c r="K2040" s="8"/>
      <c r="L2040" s="8"/>
      <c r="M2040" s="9">
        <f t="shared" si="257"/>
        <v>2520871.6800000002</v>
      </c>
      <c r="N2040" s="8"/>
      <c r="O2040" s="9"/>
      <c r="P2040" s="9">
        <f t="shared" si="258"/>
        <v>0</v>
      </c>
      <c r="Q2040" s="9">
        <f t="shared" si="251"/>
        <v>2520871.6800000002</v>
      </c>
      <c r="R2040" s="8"/>
      <c r="S2040" s="8"/>
      <c r="T2040" s="8"/>
      <c r="U2040" s="18">
        <f t="shared" si="252"/>
        <v>0</v>
      </c>
      <c r="V2040" s="17"/>
      <c r="W2040" s="17"/>
      <c r="X2040" s="9">
        <f t="shared" si="253"/>
        <v>2520871.6800000002</v>
      </c>
      <c r="Y2040" s="8"/>
      <c r="Z2040" s="9">
        <f t="shared" si="254"/>
        <v>0</v>
      </c>
      <c r="AA2040" s="8">
        <f t="shared" si="255"/>
        <v>2520871.6800000002</v>
      </c>
      <c r="AB2040" s="8">
        <f t="shared" si="256"/>
        <v>0</v>
      </c>
    </row>
    <row r="2041" spans="1:28" x14ac:dyDescent="0.35">
      <c r="A2041" s="36"/>
      <c r="B2041" s="8"/>
      <c r="C2041" s="7" t="s">
        <v>621</v>
      </c>
      <c r="D2041" s="15" t="s">
        <v>61</v>
      </c>
      <c r="E2041" s="11">
        <f>1496303.84+7029.1</f>
        <v>1503332.9400000002</v>
      </c>
      <c r="F2041" s="11">
        <v>1496303.84</v>
      </c>
      <c r="G2041" s="8"/>
      <c r="H2041" s="9">
        <f t="shared" si="249"/>
        <v>1496303.84</v>
      </c>
      <c r="I2041" s="9"/>
      <c r="J2041" s="9">
        <f t="shared" si="250"/>
        <v>1496303.84</v>
      </c>
      <c r="K2041" s="8"/>
      <c r="L2041" s="8"/>
      <c r="M2041" s="9">
        <f t="shared" si="257"/>
        <v>1496303.84</v>
      </c>
      <c r="N2041" s="11"/>
      <c r="O2041" s="9"/>
      <c r="P2041" s="9">
        <f t="shared" si="258"/>
        <v>0</v>
      </c>
      <c r="Q2041" s="9">
        <f t="shared" si="251"/>
        <v>1503332.9400000002</v>
      </c>
      <c r="R2041" s="8"/>
      <c r="S2041" s="8"/>
      <c r="T2041" s="8">
        <v>7029.1</v>
      </c>
      <c r="U2041" s="18">
        <f t="shared" si="252"/>
        <v>7029.1</v>
      </c>
      <c r="V2041" s="17"/>
      <c r="W2041" s="17"/>
      <c r="X2041" s="9">
        <f t="shared" si="253"/>
        <v>1496303.84</v>
      </c>
      <c r="Y2041" s="8"/>
      <c r="Z2041" s="9">
        <f t="shared" si="254"/>
        <v>7029.1000000000931</v>
      </c>
      <c r="AA2041" s="8">
        <f t="shared" si="255"/>
        <v>1503332.9400000002</v>
      </c>
      <c r="AB2041" s="8">
        <f t="shared" si="256"/>
        <v>0</v>
      </c>
    </row>
    <row r="2042" spans="1:28" x14ac:dyDescent="0.35">
      <c r="A2042" s="36"/>
      <c r="B2042" s="8"/>
      <c r="C2042" s="13" t="s">
        <v>933</v>
      </c>
      <c r="D2042" s="16" t="s">
        <v>1072</v>
      </c>
      <c r="E2042" s="11">
        <f>1081356.89+1539643.11+3279188.82</f>
        <v>5900188.8200000003</v>
      </c>
      <c r="F2042" s="8">
        <f>1081356.89+1539643.11+3279188.82</f>
        <v>5900188.8200000003</v>
      </c>
      <c r="G2042" s="8"/>
      <c r="H2042" s="9">
        <f>F2042+G2042</f>
        <v>5900188.8200000003</v>
      </c>
      <c r="I2042" s="9"/>
      <c r="J2042" s="9">
        <f>H2042+I2042</f>
        <v>5900188.8200000003</v>
      </c>
      <c r="K2042" s="8"/>
      <c r="L2042" s="8"/>
      <c r="M2042" s="9">
        <f>+H2042+L2042</f>
        <v>5900188.8200000003</v>
      </c>
      <c r="N2042" s="11"/>
      <c r="O2042" s="9"/>
      <c r="P2042" s="9">
        <f>+N2042+O2042</f>
        <v>0</v>
      </c>
      <c r="Q2042" s="9"/>
      <c r="R2042" s="8"/>
      <c r="S2042" s="8"/>
      <c r="T2042" s="8"/>
      <c r="U2042" s="18">
        <f>+P2042+T2042</f>
        <v>0</v>
      </c>
      <c r="V2042" s="17"/>
      <c r="W2042" s="17"/>
      <c r="X2042" s="9">
        <f t="shared" si="253"/>
        <v>5900188.8200000003</v>
      </c>
      <c r="Y2042" s="8"/>
      <c r="Z2042" s="9">
        <f t="shared" si="254"/>
        <v>0</v>
      </c>
      <c r="AA2042" s="8">
        <f t="shared" si="255"/>
        <v>5900188.8200000003</v>
      </c>
      <c r="AB2042" s="8">
        <f t="shared" si="256"/>
        <v>0</v>
      </c>
    </row>
    <row r="2043" spans="1:28" x14ac:dyDescent="0.35">
      <c r="A2043" s="36"/>
      <c r="B2043" s="8"/>
      <c r="C2043" s="7" t="s">
        <v>1083</v>
      </c>
      <c r="D2043" s="16" t="s">
        <v>1072</v>
      </c>
      <c r="E2043" s="11">
        <v>5224324.99</v>
      </c>
      <c r="F2043" s="8">
        <v>5224324.99</v>
      </c>
      <c r="G2043" s="8"/>
      <c r="H2043" s="9">
        <f>+F2043+G2043</f>
        <v>5224324.99</v>
      </c>
      <c r="I2043" s="9"/>
      <c r="J2043" s="9">
        <f>H2043+I2043</f>
        <v>5224324.99</v>
      </c>
      <c r="K2043" s="8"/>
      <c r="L2043" s="8"/>
      <c r="M2043" s="9">
        <f>+H2043+L2043</f>
        <v>5224324.99</v>
      </c>
      <c r="N2043" s="11"/>
      <c r="O2043" s="9"/>
      <c r="P2043" s="9">
        <f>+N2043+O2043</f>
        <v>0</v>
      </c>
      <c r="Q2043" s="9"/>
      <c r="R2043" s="8"/>
      <c r="S2043" s="8"/>
      <c r="T2043" s="8"/>
      <c r="U2043" s="18">
        <f>+P2043+T2043</f>
        <v>0</v>
      </c>
      <c r="V2043" s="17"/>
      <c r="W2043" s="17"/>
      <c r="X2043" s="9">
        <f t="shared" si="253"/>
        <v>5224324.99</v>
      </c>
      <c r="Y2043" s="8"/>
      <c r="Z2043" s="9">
        <f t="shared" si="254"/>
        <v>0</v>
      </c>
      <c r="AA2043" s="8">
        <f t="shared" si="255"/>
        <v>5224324.99</v>
      </c>
      <c r="AB2043" s="8">
        <f t="shared" si="256"/>
        <v>0</v>
      </c>
    </row>
    <row r="2044" spans="1:28" x14ac:dyDescent="0.35">
      <c r="A2044" s="36"/>
      <c r="B2044" s="8"/>
      <c r="C2044" s="7" t="s">
        <v>817</v>
      </c>
      <c r="D2044" s="8"/>
      <c r="E2044" s="9">
        <v>192452</v>
      </c>
      <c r="F2044" s="9">
        <v>192452</v>
      </c>
      <c r="G2044" s="8"/>
      <c r="H2044" s="9">
        <f t="shared" si="249"/>
        <v>192452</v>
      </c>
      <c r="I2044" s="8"/>
      <c r="J2044" s="9">
        <f t="shared" si="250"/>
        <v>192452</v>
      </c>
      <c r="K2044" s="8"/>
      <c r="L2044" s="8"/>
      <c r="M2044" s="9">
        <f t="shared" si="257"/>
        <v>192452</v>
      </c>
      <c r="N2044" s="8"/>
      <c r="O2044" s="9"/>
      <c r="P2044" s="9">
        <f t="shared" si="258"/>
        <v>0</v>
      </c>
      <c r="Q2044" s="9">
        <f t="shared" si="251"/>
        <v>192452</v>
      </c>
      <c r="R2044" s="8"/>
      <c r="S2044" s="8"/>
      <c r="T2044" s="8"/>
      <c r="U2044" s="18">
        <f t="shared" si="252"/>
        <v>0</v>
      </c>
      <c r="V2044" s="17"/>
      <c r="W2044" s="17"/>
      <c r="X2044" s="9">
        <f t="shared" si="253"/>
        <v>192452</v>
      </c>
      <c r="Y2044" s="8"/>
      <c r="Z2044" s="9">
        <f t="shared" si="254"/>
        <v>0</v>
      </c>
      <c r="AA2044" s="8">
        <f t="shared" si="255"/>
        <v>192452</v>
      </c>
      <c r="AB2044" s="8">
        <f t="shared" si="256"/>
        <v>0</v>
      </c>
    </row>
    <row r="2045" spans="1:28" x14ac:dyDescent="0.35">
      <c r="A2045" s="36"/>
      <c r="B2045" s="8"/>
      <c r="C2045" s="7" t="s">
        <v>569</v>
      </c>
      <c r="D2045" s="8"/>
      <c r="E2045" s="9">
        <v>66746.64</v>
      </c>
      <c r="F2045" s="8"/>
      <c r="G2045" s="8"/>
      <c r="H2045" s="9">
        <f t="shared" si="249"/>
        <v>0</v>
      </c>
      <c r="I2045" s="8"/>
      <c r="J2045" s="9">
        <f t="shared" si="250"/>
        <v>0</v>
      </c>
      <c r="K2045" s="9">
        <v>66746.64</v>
      </c>
      <c r="L2045" s="8"/>
      <c r="M2045" s="9">
        <f t="shared" si="257"/>
        <v>0</v>
      </c>
      <c r="N2045" s="8">
        <v>66746.64</v>
      </c>
      <c r="O2045" s="9"/>
      <c r="P2045" s="9">
        <f t="shared" si="258"/>
        <v>66746.64</v>
      </c>
      <c r="Q2045" s="9">
        <f t="shared" si="251"/>
        <v>0</v>
      </c>
      <c r="R2045" s="8"/>
      <c r="S2045" s="8"/>
      <c r="T2045" s="8"/>
      <c r="U2045" s="18">
        <f t="shared" si="252"/>
        <v>66746.64</v>
      </c>
      <c r="V2045" s="17"/>
      <c r="W2045" s="17"/>
      <c r="X2045" s="9">
        <f t="shared" si="253"/>
        <v>66746.64</v>
      </c>
      <c r="Y2045" s="8"/>
      <c r="Z2045" s="9">
        <f t="shared" si="254"/>
        <v>0</v>
      </c>
      <c r="AA2045" s="8">
        <f t="shared" si="255"/>
        <v>66746.64</v>
      </c>
      <c r="AB2045" s="8">
        <f t="shared" si="256"/>
        <v>0</v>
      </c>
    </row>
    <row r="2046" spans="1:28" x14ac:dyDescent="0.35">
      <c r="A2046" s="36"/>
      <c r="B2046" s="8"/>
      <c r="C2046" s="7" t="s">
        <v>813</v>
      </c>
      <c r="D2046" s="8"/>
      <c r="E2046" s="9">
        <v>1000000</v>
      </c>
      <c r="F2046" s="9">
        <v>1000000</v>
      </c>
      <c r="G2046" s="8"/>
      <c r="H2046" s="9">
        <f t="shared" si="249"/>
        <v>1000000</v>
      </c>
      <c r="I2046" s="8"/>
      <c r="J2046" s="9">
        <f t="shared" si="250"/>
        <v>1000000</v>
      </c>
      <c r="K2046" s="8"/>
      <c r="L2046" s="8"/>
      <c r="M2046" s="9">
        <f t="shared" si="257"/>
        <v>1000000</v>
      </c>
      <c r="N2046" s="8"/>
      <c r="O2046" s="9"/>
      <c r="P2046" s="9">
        <f t="shared" si="258"/>
        <v>0</v>
      </c>
      <c r="Q2046" s="9">
        <f t="shared" si="251"/>
        <v>1000000</v>
      </c>
      <c r="R2046" s="8"/>
      <c r="S2046" s="8"/>
      <c r="T2046" s="8"/>
      <c r="U2046" s="18">
        <f t="shared" si="252"/>
        <v>0</v>
      </c>
      <c r="V2046" s="17"/>
      <c r="W2046" s="17"/>
      <c r="X2046" s="9">
        <f t="shared" si="253"/>
        <v>1000000</v>
      </c>
      <c r="Y2046" s="8"/>
      <c r="Z2046" s="9">
        <f t="shared" si="254"/>
        <v>0</v>
      </c>
      <c r="AA2046" s="8">
        <f t="shared" si="255"/>
        <v>1000000</v>
      </c>
      <c r="AB2046" s="8">
        <f t="shared" si="256"/>
        <v>0</v>
      </c>
    </row>
    <row r="2047" spans="1:28" x14ac:dyDescent="0.35">
      <c r="A2047" s="36"/>
      <c r="B2047" s="8"/>
      <c r="C2047" s="7" t="s">
        <v>818</v>
      </c>
      <c r="D2047" s="8"/>
      <c r="E2047" s="9">
        <f>1300000-345849.4+0.4-16519.37</f>
        <v>937631.63</v>
      </c>
      <c r="F2047" s="9">
        <v>733962</v>
      </c>
      <c r="G2047" s="8"/>
      <c r="H2047" s="9">
        <f t="shared" si="249"/>
        <v>733962</v>
      </c>
      <c r="I2047" s="8"/>
      <c r="J2047" s="9">
        <f t="shared" si="250"/>
        <v>733962</v>
      </c>
      <c r="K2047" s="9">
        <f>27469.63+167900+8300</f>
        <v>203669.63</v>
      </c>
      <c r="L2047" s="8"/>
      <c r="M2047" s="9">
        <f t="shared" si="257"/>
        <v>733962</v>
      </c>
      <c r="N2047" s="8">
        <v>203669.63</v>
      </c>
      <c r="O2047" s="9"/>
      <c r="P2047" s="9">
        <f t="shared" si="258"/>
        <v>203669.63</v>
      </c>
      <c r="Q2047" s="9">
        <f t="shared" si="251"/>
        <v>733962</v>
      </c>
      <c r="R2047" s="8"/>
      <c r="S2047" s="8"/>
      <c r="T2047" s="8"/>
      <c r="U2047" s="18">
        <f t="shared" si="252"/>
        <v>203669.63</v>
      </c>
      <c r="V2047" s="17"/>
      <c r="W2047" s="17"/>
      <c r="X2047" s="9">
        <f t="shared" si="253"/>
        <v>937631.63</v>
      </c>
      <c r="Y2047" s="8"/>
      <c r="Z2047" s="9">
        <f t="shared" si="254"/>
        <v>0</v>
      </c>
      <c r="AA2047" s="8">
        <f t="shared" si="255"/>
        <v>937631.63</v>
      </c>
      <c r="AB2047" s="8">
        <f t="shared" si="256"/>
        <v>0</v>
      </c>
    </row>
    <row r="2048" spans="1:28" x14ac:dyDescent="0.35">
      <c r="A2048" s="36"/>
      <c r="B2048" s="8"/>
      <c r="C2048" s="7" t="s">
        <v>819</v>
      </c>
      <c r="D2048" s="8"/>
      <c r="E2048" s="9">
        <v>618839</v>
      </c>
      <c r="F2048" s="9">
        <v>618839</v>
      </c>
      <c r="G2048" s="8"/>
      <c r="H2048" s="9">
        <f t="shared" si="249"/>
        <v>618839</v>
      </c>
      <c r="I2048" s="8"/>
      <c r="J2048" s="9">
        <f t="shared" si="250"/>
        <v>618839</v>
      </c>
      <c r="K2048" s="8"/>
      <c r="L2048" s="8"/>
      <c r="M2048" s="9">
        <f t="shared" si="257"/>
        <v>618839</v>
      </c>
      <c r="N2048" s="8"/>
      <c r="O2048" s="9"/>
      <c r="P2048" s="9">
        <f t="shared" si="258"/>
        <v>0</v>
      </c>
      <c r="Q2048" s="9">
        <f t="shared" si="251"/>
        <v>618839</v>
      </c>
      <c r="R2048" s="8"/>
      <c r="S2048" s="8"/>
      <c r="T2048" s="8"/>
      <c r="U2048" s="18">
        <f t="shared" si="252"/>
        <v>0</v>
      </c>
      <c r="V2048" s="17"/>
      <c r="W2048" s="17"/>
      <c r="X2048" s="9">
        <f t="shared" si="253"/>
        <v>618839</v>
      </c>
      <c r="Y2048" s="8"/>
      <c r="Z2048" s="9">
        <f t="shared" si="254"/>
        <v>0</v>
      </c>
      <c r="AA2048" s="8">
        <f t="shared" si="255"/>
        <v>618839</v>
      </c>
      <c r="AB2048" s="8">
        <f t="shared" si="256"/>
        <v>0</v>
      </c>
    </row>
    <row r="2049" spans="1:28" x14ac:dyDescent="0.35">
      <c r="A2049" s="36"/>
      <c r="B2049" s="8"/>
      <c r="C2049" s="7" t="s">
        <v>551</v>
      </c>
      <c r="D2049" s="8"/>
      <c r="E2049" s="9">
        <f>547148.75+1536824.63+2009342.77+1218540+80000+100530+497367.21+866887.48</f>
        <v>6856640.8399999999</v>
      </c>
      <c r="F2049" s="9">
        <f>547148.75+3546167.4+1399070+1364254.69</f>
        <v>6856640.8399999999</v>
      </c>
      <c r="G2049" s="8"/>
      <c r="H2049" s="9">
        <f t="shared" si="249"/>
        <v>6856640.8399999999</v>
      </c>
      <c r="I2049" s="8"/>
      <c r="J2049" s="9">
        <f t="shared" si="250"/>
        <v>6856640.8399999999</v>
      </c>
      <c r="K2049" s="8"/>
      <c r="L2049" s="8"/>
      <c r="M2049" s="9">
        <f t="shared" si="257"/>
        <v>6856640.8399999999</v>
      </c>
      <c r="N2049" s="8"/>
      <c r="O2049" s="9"/>
      <c r="P2049" s="9">
        <f t="shared" si="258"/>
        <v>0</v>
      </c>
      <c r="Q2049" s="9">
        <f t="shared" si="251"/>
        <v>6856640.8399999999</v>
      </c>
      <c r="R2049" s="8"/>
      <c r="S2049" s="8"/>
      <c r="T2049" s="8"/>
      <c r="U2049" s="18">
        <f t="shared" si="252"/>
        <v>0</v>
      </c>
      <c r="V2049" s="17"/>
      <c r="W2049" s="17"/>
      <c r="X2049" s="9">
        <f t="shared" si="253"/>
        <v>6856640.8399999999</v>
      </c>
      <c r="Y2049" s="8"/>
      <c r="Z2049" s="9">
        <f t="shared" si="254"/>
        <v>0</v>
      </c>
      <c r="AA2049" s="8">
        <f t="shared" si="255"/>
        <v>6856640.8399999999</v>
      </c>
      <c r="AB2049" s="8">
        <f t="shared" si="256"/>
        <v>0</v>
      </c>
    </row>
    <row r="2050" spans="1:28" x14ac:dyDescent="0.35">
      <c r="A2050" s="36"/>
      <c r="B2050" s="8"/>
      <c r="C2050" s="7" t="s">
        <v>606</v>
      </c>
      <c r="D2050" s="8"/>
      <c r="E2050" s="9">
        <f>1544000+5000000+2500000</f>
        <v>9044000</v>
      </c>
      <c r="F2050" s="9">
        <v>9044000</v>
      </c>
      <c r="G2050" s="8"/>
      <c r="H2050" s="9">
        <f t="shared" si="249"/>
        <v>9044000</v>
      </c>
      <c r="I2050" s="8"/>
      <c r="J2050" s="9">
        <f t="shared" si="250"/>
        <v>9044000</v>
      </c>
      <c r="K2050" s="8"/>
      <c r="L2050" s="8"/>
      <c r="M2050" s="9">
        <f t="shared" si="257"/>
        <v>9044000</v>
      </c>
      <c r="N2050" s="8"/>
      <c r="O2050" s="9"/>
      <c r="P2050" s="9">
        <f t="shared" si="258"/>
        <v>0</v>
      </c>
      <c r="Q2050" s="9">
        <f t="shared" si="251"/>
        <v>9044000</v>
      </c>
      <c r="R2050" s="8"/>
      <c r="S2050" s="8"/>
      <c r="T2050" s="8"/>
      <c r="U2050" s="18">
        <f t="shared" si="252"/>
        <v>0</v>
      </c>
      <c r="V2050" s="17"/>
      <c r="W2050" s="17"/>
      <c r="X2050" s="9">
        <f t="shared" si="253"/>
        <v>9044000</v>
      </c>
      <c r="Y2050" s="8"/>
      <c r="Z2050" s="9">
        <f t="shared" si="254"/>
        <v>0</v>
      </c>
      <c r="AA2050" s="8">
        <f t="shared" si="255"/>
        <v>9044000</v>
      </c>
      <c r="AB2050" s="8">
        <f t="shared" si="256"/>
        <v>0</v>
      </c>
    </row>
    <row r="2051" spans="1:28" x14ac:dyDescent="0.35">
      <c r="A2051" s="36"/>
      <c r="B2051" s="8"/>
      <c r="C2051" s="8"/>
      <c r="D2051" s="8"/>
      <c r="E2051" s="17" t="s">
        <v>29</v>
      </c>
      <c r="F2051" s="17" t="s">
        <v>29</v>
      </c>
      <c r="G2051" s="17" t="s">
        <v>29</v>
      </c>
      <c r="H2051" s="17" t="s">
        <v>29</v>
      </c>
      <c r="I2051" s="17" t="s">
        <v>29</v>
      </c>
      <c r="J2051" s="17" t="s">
        <v>29</v>
      </c>
      <c r="K2051" s="17" t="s">
        <v>29</v>
      </c>
      <c r="L2051" s="17" t="s">
        <v>29</v>
      </c>
      <c r="M2051" s="17" t="s">
        <v>29</v>
      </c>
      <c r="N2051" s="17" t="s">
        <v>29</v>
      </c>
      <c r="O2051" s="17" t="s">
        <v>29</v>
      </c>
      <c r="P2051" s="17" t="s">
        <v>29</v>
      </c>
      <c r="Q2051" s="17" t="s">
        <v>29</v>
      </c>
      <c r="R2051" s="17" t="s">
        <v>29</v>
      </c>
      <c r="S2051" s="17" t="s">
        <v>29</v>
      </c>
      <c r="T2051" s="17" t="s">
        <v>29</v>
      </c>
      <c r="U2051" s="17" t="s">
        <v>29</v>
      </c>
      <c r="V2051" s="17" t="s">
        <v>29</v>
      </c>
      <c r="W2051" s="17" t="s">
        <v>29</v>
      </c>
      <c r="X2051" s="17" t="s">
        <v>29</v>
      </c>
      <c r="Y2051" s="17" t="s">
        <v>29</v>
      </c>
      <c r="Z2051" s="17" t="s">
        <v>29</v>
      </c>
      <c r="AA2051" s="17" t="s">
        <v>29</v>
      </c>
      <c r="AB2051" s="17" t="s">
        <v>29</v>
      </c>
    </row>
    <row r="2052" spans="1:28" x14ac:dyDescent="0.35">
      <c r="A2052" s="36"/>
      <c r="B2052" s="8"/>
      <c r="C2052" s="8"/>
      <c r="D2052" s="8"/>
      <c r="E2052" s="9">
        <f t="shared" ref="E2052:Q2052" si="259">SUM(E2024:E2051)</f>
        <v>68022830.63000001</v>
      </c>
      <c r="F2052" s="9">
        <f t="shared" si="259"/>
        <v>65368899.63000001</v>
      </c>
      <c r="G2052" s="9">
        <f t="shared" si="259"/>
        <v>0</v>
      </c>
      <c r="H2052" s="9">
        <f t="shared" si="259"/>
        <v>65368899.63000001</v>
      </c>
      <c r="I2052" s="9">
        <f t="shared" si="259"/>
        <v>400000</v>
      </c>
      <c r="J2052" s="9">
        <f t="shared" si="259"/>
        <v>65768899.63000001</v>
      </c>
      <c r="K2052" s="9">
        <f t="shared" si="259"/>
        <v>2246901.9</v>
      </c>
      <c r="L2052" s="9">
        <f t="shared" si="259"/>
        <v>400000</v>
      </c>
      <c r="M2052" s="9">
        <f t="shared" si="259"/>
        <v>65768899.63000001</v>
      </c>
      <c r="N2052" s="9">
        <f t="shared" si="259"/>
        <v>2246901.9</v>
      </c>
      <c r="O2052" s="9">
        <f t="shared" si="259"/>
        <v>0</v>
      </c>
      <c r="P2052" s="9">
        <f t="shared" si="259"/>
        <v>2246901.9</v>
      </c>
      <c r="Q2052" s="9">
        <f t="shared" si="259"/>
        <v>54651414.920000002</v>
      </c>
      <c r="R2052" s="8"/>
      <c r="S2052" s="8"/>
      <c r="T2052" s="9">
        <f t="shared" ref="T2052:Z2052" si="260">SUM(T2024:T2051)</f>
        <v>7029.1</v>
      </c>
      <c r="U2052" s="9">
        <f t="shared" si="260"/>
        <v>2253931</v>
      </c>
      <c r="V2052" s="9">
        <f t="shared" si="260"/>
        <v>0</v>
      </c>
      <c r="W2052" s="9">
        <f t="shared" si="260"/>
        <v>0</v>
      </c>
      <c r="X2052" s="9">
        <f t="shared" si="260"/>
        <v>67615801.530000016</v>
      </c>
      <c r="Y2052" s="9">
        <f t="shared" si="260"/>
        <v>0</v>
      </c>
      <c r="Z2052" s="9">
        <f t="shared" si="260"/>
        <v>407029.10000000009</v>
      </c>
      <c r="AA2052" s="9">
        <f>SUM(AA2024:AA2051)</f>
        <v>68022830.63000001</v>
      </c>
      <c r="AB2052" s="9">
        <f>SUM(AB2024:AB2051)</f>
        <v>0</v>
      </c>
    </row>
    <row r="2053" spans="1:28" x14ac:dyDescent="0.35">
      <c r="A2053" s="36"/>
      <c r="B2053" s="8"/>
      <c r="C2053" s="8"/>
      <c r="D2053" s="8"/>
      <c r="E2053" s="17" t="s">
        <v>29</v>
      </c>
      <c r="F2053" s="17" t="s">
        <v>29</v>
      </c>
      <c r="G2053" s="17" t="s">
        <v>29</v>
      </c>
      <c r="H2053" s="17" t="s">
        <v>29</v>
      </c>
      <c r="I2053" s="17" t="s">
        <v>29</v>
      </c>
      <c r="J2053" s="17" t="s">
        <v>29</v>
      </c>
      <c r="K2053" s="17" t="s">
        <v>29</v>
      </c>
      <c r="L2053" s="17" t="s">
        <v>29</v>
      </c>
      <c r="M2053" s="17" t="s">
        <v>29</v>
      </c>
      <c r="N2053" s="17" t="s">
        <v>29</v>
      </c>
      <c r="O2053" s="17" t="s">
        <v>29</v>
      </c>
      <c r="P2053" s="17" t="s">
        <v>29</v>
      </c>
      <c r="Q2053" s="17" t="s">
        <v>29</v>
      </c>
      <c r="R2053" s="17" t="s">
        <v>29</v>
      </c>
      <c r="S2053" s="17" t="s">
        <v>29</v>
      </c>
      <c r="T2053" s="17" t="s">
        <v>29</v>
      </c>
      <c r="U2053" s="17" t="s">
        <v>29</v>
      </c>
      <c r="V2053" s="17" t="s">
        <v>29</v>
      </c>
      <c r="W2053" s="17" t="s">
        <v>29</v>
      </c>
      <c r="X2053" s="17" t="s">
        <v>29</v>
      </c>
      <c r="Y2053" s="17" t="s">
        <v>29</v>
      </c>
      <c r="Z2053" s="17" t="s">
        <v>29</v>
      </c>
      <c r="AA2053" s="17" t="s">
        <v>29</v>
      </c>
      <c r="AB2053" s="17" t="s">
        <v>29</v>
      </c>
    </row>
    <row r="2054" spans="1:28" x14ac:dyDescent="0.35">
      <c r="A2054" s="38" t="s">
        <v>1031</v>
      </c>
      <c r="B2054" s="7" t="s">
        <v>820</v>
      </c>
      <c r="C2054" s="8"/>
      <c r="D2054" s="8"/>
      <c r="E2054" s="8"/>
      <c r="F2054" s="8"/>
      <c r="G2054" s="8"/>
      <c r="H2054" s="8"/>
      <c r="I2054" s="8"/>
      <c r="J2054" s="8"/>
      <c r="K2054" s="8"/>
      <c r="L2054" s="8"/>
      <c r="M2054" s="8"/>
      <c r="N2054" s="8"/>
      <c r="O2054" s="8"/>
      <c r="P2054" s="8"/>
      <c r="Q2054" s="8"/>
      <c r="R2054" s="8"/>
      <c r="S2054" s="8"/>
      <c r="T2054" s="8"/>
      <c r="U2054" s="8"/>
      <c r="V2054" s="8"/>
      <c r="W2054" s="8"/>
      <c r="X2054" s="8"/>
      <c r="Y2054" s="8"/>
      <c r="Z2054" s="8"/>
    </row>
    <row r="2055" spans="1:28" x14ac:dyDescent="0.35">
      <c r="A2055" s="36"/>
      <c r="B2055" s="8"/>
      <c r="C2055" s="7" t="s">
        <v>535</v>
      </c>
      <c r="D2055" s="15" t="s">
        <v>68</v>
      </c>
      <c r="E2055" s="9">
        <f>1150450-959665.01</f>
        <v>190784.99</v>
      </c>
      <c r="F2055" s="9">
        <v>134954.59</v>
      </c>
      <c r="G2055" s="8"/>
      <c r="H2055" s="9">
        <f t="shared" ref="H2055:H2070" si="261">F2055+G2055</f>
        <v>134954.59</v>
      </c>
      <c r="I2055" s="8"/>
      <c r="J2055" s="9">
        <f t="shared" ref="J2055:J2070" si="262">H2055+I2055</f>
        <v>134954.59</v>
      </c>
      <c r="K2055" s="9">
        <v>55830.400000000001</v>
      </c>
      <c r="L2055" s="8"/>
      <c r="M2055" s="9">
        <f>+H2055+L2055</f>
        <v>134954.59</v>
      </c>
      <c r="N2055" s="8">
        <v>55830.400000000001</v>
      </c>
      <c r="O2055" s="9"/>
      <c r="P2055" s="9">
        <f>+N2055+O2055</f>
        <v>55830.400000000001</v>
      </c>
      <c r="Q2055" s="9">
        <f t="shared" ref="Q2055:Q2070" si="263">E2055-P2055</f>
        <v>134954.59</v>
      </c>
      <c r="R2055" s="8"/>
      <c r="S2055" s="8"/>
      <c r="T2055" s="8"/>
      <c r="U2055" s="18">
        <f t="shared" ref="U2055:U2070" si="264">+P2055+T2055</f>
        <v>55830.400000000001</v>
      </c>
      <c r="V2055" s="17"/>
      <c r="W2055" s="17"/>
      <c r="X2055" s="9">
        <f t="shared" ref="X2055:X2070" si="265">+H2055+P2055</f>
        <v>190784.99</v>
      </c>
      <c r="Y2055" s="8"/>
      <c r="Z2055" s="9">
        <f t="shared" ref="Z2055:Z2070" si="266">+E2055-X2055</f>
        <v>0</v>
      </c>
      <c r="AA2055" s="8">
        <f t="shared" ref="AA2055:AA2070" si="267">+M2055+U2055</f>
        <v>190784.99</v>
      </c>
      <c r="AB2055" s="8">
        <f t="shared" ref="AB2055:AB2070" si="268">+E2055-AA2055</f>
        <v>0</v>
      </c>
    </row>
    <row r="2056" spans="1:28" x14ac:dyDescent="0.35">
      <c r="A2056" s="36"/>
      <c r="B2056" s="8"/>
      <c r="C2056" s="7" t="s">
        <v>535</v>
      </c>
      <c r="D2056" s="15" t="s">
        <v>54</v>
      </c>
      <c r="E2056" s="9">
        <f>823000-41150-200650</f>
        <v>581200</v>
      </c>
      <c r="F2056" s="9">
        <v>581200</v>
      </c>
      <c r="G2056" s="8"/>
      <c r="H2056" s="9">
        <f t="shared" si="261"/>
        <v>581200</v>
      </c>
      <c r="I2056" s="8"/>
      <c r="J2056" s="9">
        <f t="shared" si="262"/>
        <v>581200</v>
      </c>
      <c r="K2056" s="8"/>
      <c r="L2056" s="8"/>
      <c r="M2056" s="9">
        <f t="shared" ref="M2056:M2070" si="269">+H2056+L2056</f>
        <v>581200</v>
      </c>
      <c r="N2056" s="8"/>
      <c r="O2056" s="9"/>
      <c r="P2056" s="9">
        <f t="shared" ref="P2056:P2070" si="270">+N2056+O2056</f>
        <v>0</v>
      </c>
      <c r="Q2056" s="9">
        <f t="shared" si="263"/>
        <v>581200</v>
      </c>
      <c r="R2056" s="8"/>
      <c r="S2056" s="8"/>
      <c r="T2056" s="8"/>
      <c r="U2056" s="18">
        <f t="shared" si="264"/>
        <v>0</v>
      </c>
      <c r="V2056" s="17"/>
      <c r="W2056" s="17"/>
      <c r="X2056" s="9">
        <f t="shared" si="265"/>
        <v>581200</v>
      </c>
      <c r="Y2056" s="8"/>
      <c r="Z2056" s="9">
        <f t="shared" si="266"/>
        <v>0</v>
      </c>
      <c r="AA2056" s="8">
        <f t="shared" si="267"/>
        <v>581200</v>
      </c>
      <c r="AB2056" s="8">
        <f t="shared" si="268"/>
        <v>0</v>
      </c>
    </row>
    <row r="2057" spans="1:28" x14ac:dyDescent="0.35">
      <c r="A2057" s="36"/>
      <c r="B2057" s="8"/>
      <c r="C2057" s="7" t="s">
        <v>821</v>
      </c>
      <c r="D2057" s="15" t="s">
        <v>54</v>
      </c>
      <c r="E2057" s="9">
        <v>1767770</v>
      </c>
      <c r="F2057" s="8"/>
      <c r="G2057" s="8"/>
      <c r="H2057" s="9">
        <f t="shared" si="261"/>
        <v>0</v>
      </c>
      <c r="I2057" s="8"/>
      <c r="J2057" s="9">
        <f t="shared" si="262"/>
        <v>0</v>
      </c>
      <c r="K2057" s="9">
        <v>1767770</v>
      </c>
      <c r="L2057" s="8"/>
      <c r="M2057" s="9">
        <f t="shared" si="269"/>
        <v>0</v>
      </c>
      <c r="N2057" s="8">
        <v>1767770</v>
      </c>
      <c r="O2057" s="9"/>
      <c r="P2057" s="9">
        <f t="shared" si="270"/>
        <v>1767770</v>
      </c>
      <c r="Q2057" s="9">
        <f t="shared" si="263"/>
        <v>0</v>
      </c>
      <c r="R2057" s="8"/>
      <c r="S2057" s="8"/>
      <c r="T2057" s="8"/>
      <c r="U2057" s="18">
        <f t="shared" si="264"/>
        <v>1767770</v>
      </c>
      <c r="V2057" s="17"/>
      <c r="W2057" s="17"/>
      <c r="X2057" s="9">
        <f t="shared" si="265"/>
        <v>1767770</v>
      </c>
      <c r="Y2057" s="8"/>
      <c r="Z2057" s="9">
        <f t="shared" si="266"/>
        <v>0</v>
      </c>
      <c r="AA2057" s="8">
        <f t="shared" si="267"/>
        <v>1767770</v>
      </c>
      <c r="AB2057" s="8">
        <f t="shared" si="268"/>
        <v>0</v>
      </c>
    </row>
    <row r="2058" spans="1:28" x14ac:dyDescent="0.35">
      <c r="A2058" s="36"/>
      <c r="B2058" s="8"/>
      <c r="C2058" s="7" t="s">
        <v>535</v>
      </c>
      <c r="D2058" s="15" t="s">
        <v>85</v>
      </c>
      <c r="E2058" s="9">
        <f>1123000-112300</f>
        <v>1010700</v>
      </c>
      <c r="F2058" s="9">
        <v>1010700</v>
      </c>
      <c r="G2058" s="8"/>
      <c r="H2058" s="9">
        <f t="shared" si="261"/>
        <v>1010700</v>
      </c>
      <c r="I2058" s="8"/>
      <c r="J2058" s="9">
        <f t="shared" si="262"/>
        <v>1010700</v>
      </c>
      <c r="K2058" s="8"/>
      <c r="L2058" s="8"/>
      <c r="M2058" s="9">
        <f t="shared" si="269"/>
        <v>1010700</v>
      </c>
      <c r="N2058" s="8"/>
      <c r="O2058" s="9"/>
      <c r="P2058" s="9">
        <f t="shared" si="270"/>
        <v>0</v>
      </c>
      <c r="Q2058" s="9">
        <f t="shared" si="263"/>
        <v>1010700</v>
      </c>
      <c r="R2058" s="8"/>
      <c r="S2058" s="8"/>
      <c r="T2058" s="8"/>
      <c r="U2058" s="18">
        <f t="shared" si="264"/>
        <v>0</v>
      </c>
      <c r="V2058" s="17"/>
      <c r="W2058" s="17"/>
      <c r="X2058" s="9">
        <f t="shared" si="265"/>
        <v>1010700</v>
      </c>
      <c r="Y2058" s="8"/>
      <c r="Z2058" s="9">
        <f t="shared" si="266"/>
        <v>0</v>
      </c>
      <c r="AA2058" s="8">
        <f t="shared" si="267"/>
        <v>1010700</v>
      </c>
      <c r="AB2058" s="8">
        <f t="shared" si="268"/>
        <v>0</v>
      </c>
    </row>
    <row r="2059" spans="1:28" x14ac:dyDescent="0.35">
      <c r="A2059" s="36"/>
      <c r="B2059" s="8"/>
      <c r="C2059" s="7" t="s">
        <v>822</v>
      </c>
      <c r="D2059" s="15" t="s">
        <v>85</v>
      </c>
      <c r="E2059" s="9">
        <v>1060000</v>
      </c>
      <c r="F2059" s="9">
        <v>1060000</v>
      </c>
      <c r="G2059" s="8"/>
      <c r="H2059" s="9">
        <f t="shared" si="261"/>
        <v>1060000</v>
      </c>
      <c r="I2059" s="8"/>
      <c r="J2059" s="9">
        <f t="shared" si="262"/>
        <v>1060000</v>
      </c>
      <c r="K2059" s="8"/>
      <c r="L2059" s="8"/>
      <c r="M2059" s="9">
        <f t="shared" si="269"/>
        <v>1060000</v>
      </c>
      <c r="N2059" s="8"/>
      <c r="O2059" s="9"/>
      <c r="P2059" s="9">
        <f t="shared" si="270"/>
        <v>0</v>
      </c>
      <c r="Q2059" s="9">
        <f t="shared" si="263"/>
        <v>1060000</v>
      </c>
      <c r="R2059" s="8"/>
      <c r="S2059" s="8"/>
      <c r="T2059" s="8"/>
      <c r="U2059" s="18">
        <f t="shared" si="264"/>
        <v>0</v>
      </c>
      <c r="V2059" s="17"/>
      <c r="W2059" s="17"/>
      <c r="X2059" s="9">
        <f t="shared" si="265"/>
        <v>1060000</v>
      </c>
      <c r="Y2059" s="8"/>
      <c r="Z2059" s="9">
        <f t="shared" si="266"/>
        <v>0</v>
      </c>
      <c r="AA2059" s="8">
        <f t="shared" si="267"/>
        <v>1060000</v>
      </c>
      <c r="AB2059" s="8">
        <f t="shared" si="268"/>
        <v>0</v>
      </c>
    </row>
    <row r="2060" spans="1:28" x14ac:dyDescent="0.35">
      <c r="A2060" s="36"/>
      <c r="B2060" s="8"/>
      <c r="C2060" s="7" t="s">
        <v>667</v>
      </c>
      <c r="D2060" s="15" t="s">
        <v>85</v>
      </c>
      <c r="E2060" s="9">
        <v>120000</v>
      </c>
      <c r="F2060" s="9">
        <v>120000</v>
      </c>
      <c r="G2060" s="8"/>
      <c r="H2060" s="9">
        <f t="shared" si="261"/>
        <v>120000</v>
      </c>
      <c r="I2060" s="8"/>
      <c r="J2060" s="9">
        <f t="shared" si="262"/>
        <v>120000</v>
      </c>
      <c r="K2060" s="8"/>
      <c r="L2060" s="8"/>
      <c r="M2060" s="9">
        <f t="shared" si="269"/>
        <v>120000</v>
      </c>
      <c r="N2060" s="8"/>
      <c r="O2060" s="9"/>
      <c r="P2060" s="9">
        <f t="shared" si="270"/>
        <v>0</v>
      </c>
      <c r="Q2060" s="9">
        <f t="shared" si="263"/>
        <v>120000</v>
      </c>
      <c r="R2060" s="8"/>
      <c r="S2060" s="8"/>
      <c r="T2060" s="8"/>
      <c r="U2060" s="18">
        <f t="shared" si="264"/>
        <v>0</v>
      </c>
      <c r="V2060" s="17"/>
      <c r="W2060" s="17"/>
      <c r="X2060" s="9">
        <f t="shared" si="265"/>
        <v>120000</v>
      </c>
      <c r="Y2060" s="8"/>
      <c r="Z2060" s="9">
        <f t="shared" si="266"/>
        <v>0</v>
      </c>
      <c r="AA2060" s="8">
        <f t="shared" si="267"/>
        <v>120000</v>
      </c>
      <c r="AB2060" s="8">
        <f t="shared" si="268"/>
        <v>0</v>
      </c>
    </row>
    <row r="2061" spans="1:28" x14ac:dyDescent="0.35">
      <c r="A2061" s="36"/>
      <c r="B2061" s="8"/>
      <c r="C2061" s="7" t="s">
        <v>823</v>
      </c>
      <c r="D2061" s="15" t="s">
        <v>128</v>
      </c>
      <c r="E2061" s="9">
        <v>800000</v>
      </c>
      <c r="F2061" s="8"/>
      <c r="G2061" s="8"/>
      <c r="H2061" s="9">
        <f t="shared" si="261"/>
        <v>0</v>
      </c>
      <c r="I2061" s="9">
        <v>800000</v>
      </c>
      <c r="J2061" s="9">
        <f t="shared" si="262"/>
        <v>800000</v>
      </c>
      <c r="K2061" s="8"/>
      <c r="L2061" s="8">
        <v>800000</v>
      </c>
      <c r="M2061" s="9">
        <f t="shared" si="269"/>
        <v>800000</v>
      </c>
      <c r="N2061" s="8"/>
      <c r="O2061" s="9"/>
      <c r="P2061" s="9">
        <f t="shared" si="270"/>
        <v>0</v>
      </c>
      <c r="Q2061" s="9">
        <f t="shared" si="263"/>
        <v>800000</v>
      </c>
      <c r="R2061" s="8"/>
      <c r="S2061" s="8"/>
      <c r="T2061" s="8"/>
      <c r="U2061" s="18">
        <f t="shared" si="264"/>
        <v>0</v>
      </c>
      <c r="V2061" s="17"/>
      <c r="W2061" s="17"/>
      <c r="X2061" s="9">
        <f t="shared" si="265"/>
        <v>0</v>
      </c>
      <c r="Y2061" s="8"/>
      <c r="Z2061" s="9">
        <f t="shared" si="266"/>
        <v>800000</v>
      </c>
      <c r="AA2061" s="8">
        <f t="shared" si="267"/>
        <v>800000</v>
      </c>
      <c r="AB2061" s="8">
        <f t="shared" si="268"/>
        <v>0</v>
      </c>
    </row>
    <row r="2062" spans="1:28" x14ac:dyDescent="0.35">
      <c r="A2062" s="36"/>
      <c r="B2062" s="8"/>
      <c r="C2062" s="7" t="s">
        <v>535</v>
      </c>
      <c r="D2062" s="15" t="s">
        <v>88</v>
      </c>
      <c r="E2062" s="9">
        <v>1500000</v>
      </c>
      <c r="F2062" s="9">
        <v>1500000</v>
      </c>
      <c r="G2062" s="8"/>
      <c r="H2062" s="9">
        <f t="shared" si="261"/>
        <v>1500000</v>
      </c>
      <c r="I2062" s="8"/>
      <c r="J2062" s="9">
        <f t="shared" si="262"/>
        <v>1500000</v>
      </c>
      <c r="K2062" s="8"/>
      <c r="L2062" s="8"/>
      <c r="M2062" s="9">
        <f t="shared" si="269"/>
        <v>1500000</v>
      </c>
      <c r="N2062" s="8"/>
      <c r="O2062" s="9"/>
      <c r="P2062" s="9">
        <f t="shared" si="270"/>
        <v>0</v>
      </c>
      <c r="Q2062" s="9">
        <f t="shared" si="263"/>
        <v>1500000</v>
      </c>
      <c r="R2062" s="8"/>
      <c r="S2062" s="8"/>
      <c r="T2062" s="8"/>
      <c r="U2062" s="18">
        <f t="shared" si="264"/>
        <v>0</v>
      </c>
      <c r="V2062" s="17"/>
      <c r="W2062" s="17"/>
      <c r="X2062" s="9">
        <f t="shared" si="265"/>
        <v>1500000</v>
      </c>
      <c r="Y2062" s="8"/>
      <c r="Z2062" s="9">
        <f t="shared" si="266"/>
        <v>0</v>
      </c>
      <c r="AA2062" s="8">
        <f t="shared" si="267"/>
        <v>1500000</v>
      </c>
      <c r="AB2062" s="8">
        <f t="shared" si="268"/>
        <v>0</v>
      </c>
    </row>
    <row r="2063" spans="1:28" x14ac:dyDescent="0.35">
      <c r="A2063" s="36"/>
      <c r="B2063" s="15" t="s">
        <v>605</v>
      </c>
      <c r="C2063" s="7" t="s">
        <v>535</v>
      </c>
      <c r="D2063" s="15" t="s">
        <v>108</v>
      </c>
      <c r="E2063" s="9">
        <v>2202520.23</v>
      </c>
      <c r="F2063" s="9">
        <v>2202520.23</v>
      </c>
      <c r="G2063" s="8"/>
      <c r="H2063" s="9">
        <f t="shared" si="261"/>
        <v>2202520.23</v>
      </c>
      <c r="I2063" s="8"/>
      <c r="J2063" s="9">
        <f t="shared" si="262"/>
        <v>2202520.23</v>
      </c>
      <c r="K2063" s="8"/>
      <c r="L2063" s="8"/>
      <c r="M2063" s="9">
        <f t="shared" si="269"/>
        <v>2202520.23</v>
      </c>
      <c r="N2063" s="8"/>
      <c r="O2063" s="9"/>
      <c r="P2063" s="9">
        <f t="shared" si="270"/>
        <v>0</v>
      </c>
      <c r="Q2063" s="9">
        <f t="shared" si="263"/>
        <v>2202520.23</v>
      </c>
      <c r="R2063" s="8"/>
      <c r="S2063" s="8"/>
      <c r="T2063" s="8"/>
      <c r="U2063" s="18">
        <f t="shared" si="264"/>
        <v>0</v>
      </c>
      <c r="V2063" s="17"/>
      <c r="W2063" s="17"/>
      <c r="X2063" s="9">
        <f t="shared" si="265"/>
        <v>2202520.23</v>
      </c>
      <c r="Y2063" s="8"/>
      <c r="Z2063" s="9">
        <f t="shared" si="266"/>
        <v>0</v>
      </c>
      <c r="AA2063" s="8">
        <f t="shared" si="267"/>
        <v>2202520.23</v>
      </c>
      <c r="AB2063" s="8">
        <f t="shared" si="268"/>
        <v>0</v>
      </c>
    </row>
    <row r="2064" spans="1:28" x14ac:dyDescent="0.35">
      <c r="A2064" s="36"/>
      <c r="B2064" s="8"/>
      <c r="C2064" s="7" t="s">
        <v>535</v>
      </c>
      <c r="D2064" s="21" t="s">
        <v>60</v>
      </c>
      <c r="E2064" s="9">
        <v>3192850</v>
      </c>
      <c r="F2064" s="9">
        <v>3192850</v>
      </c>
      <c r="G2064" s="8"/>
      <c r="H2064" s="9">
        <f t="shared" si="261"/>
        <v>3192850</v>
      </c>
      <c r="I2064" s="8"/>
      <c r="J2064" s="9">
        <f t="shared" si="262"/>
        <v>3192850</v>
      </c>
      <c r="K2064" s="8"/>
      <c r="L2064" s="8"/>
      <c r="M2064" s="9">
        <f t="shared" si="269"/>
        <v>3192850</v>
      </c>
      <c r="N2064" s="8"/>
      <c r="O2064" s="9"/>
      <c r="P2064" s="9">
        <f t="shared" si="270"/>
        <v>0</v>
      </c>
      <c r="Q2064" s="9">
        <f t="shared" si="263"/>
        <v>3192850</v>
      </c>
      <c r="R2064" s="8"/>
      <c r="S2064" s="8"/>
      <c r="T2064" s="8"/>
      <c r="U2064" s="18">
        <f t="shared" si="264"/>
        <v>0</v>
      </c>
      <c r="V2064" s="17"/>
      <c r="W2064" s="17"/>
      <c r="X2064" s="9">
        <f t="shared" si="265"/>
        <v>3192850</v>
      </c>
      <c r="Y2064" s="8"/>
      <c r="Z2064" s="9">
        <f t="shared" si="266"/>
        <v>0</v>
      </c>
      <c r="AA2064" s="8">
        <f t="shared" si="267"/>
        <v>3192850</v>
      </c>
      <c r="AB2064" s="8">
        <f t="shared" si="268"/>
        <v>0</v>
      </c>
    </row>
    <row r="2065" spans="1:28" x14ac:dyDescent="0.35">
      <c r="A2065" s="36"/>
      <c r="B2065" s="8"/>
      <c r="C2065" s="7" t="s">
        <v>535</v>
      </c>
      <c r="D2065" s="21" t="s">
        <v>73</v>
      </c>
      <c r="E2065" s="9">
        <f>1250465+532245.36</f>
        <v>1782710.3599999999</v>
      </c>
      <c r="F2065" s="9">
        <v>1782710.36</v>
      </c>
      <c r="G2065" s="8"/>
      <c r="H2065" s="9">
        <f t="shared" si="261"/>
        <v>1782710.36</v>
      </c>
      <c r="I2065" s="8"/>
      <c r="J2065" s="9">
        <f t="shared" si="262"/>
        <v>1782710.36</v>
      </c>
      <c r="K2065" s="8"/>
      <c r="L2065" s="8"/>
      <c r="M2065" s="9">
        <f t="shared" si="269"/>
        <v>1782710.36</v>
      </c>
      <c r="N2065" s="8"/>
      <c r="O2065" s="9"/>
      <c r="P2065" s="9">
        <f t="shared" si="270"/>
        <v>0</v>
      </c>
      <c r="Q2065" s="9">
        <f t="shared" si="263"/>
        <v>1782710.3599999999</v>
      </c>
      <c r="R2065" s="8"/>
      <c r="S2065" s="8"/>
      <c r="T2065" s="8"/>
      <c r="U2065" s="18">
        <f t="shared" si="264"/>
        <v>0</v>
      </c>
      <c r="V2065" s="17"/>
      <c r="W2065" s="17"/>
      <c r="X2065" s="9">
        <f t="shared" si="265"/>
        <v>1782710.36</v>
      </c>
      <c r="Y2065" s="8"/>
      <c r="Z2065" s="9">
        <f t="shared" si="266"/>
        <v>0</v>
      </c>
      <c r="AA2065" s="8">
        <f t="shared" si="267"/>
        <v>1782710.36</v>
      </c>
      <c r="AB2065" s="8">
        <f t="shared" si="268"/>
        <v>0</v>
      </c>
    </row>
    <row r="2066" spans="1:28" x14ac:dyDescent="0.35">
      <c r="A2066" s="36"/>
      <c r="B2066" s="8"/>
      <c r="C2066" s="7" t="s">
        <v>535</v>
      </c>
      <c r="D2066" s="21" t="s">
        <v>61</v>
      </c>
      <c r="E2066" s="11">
        <f>395947.65+2001052.35</f>
        <v>2397000</v>
      </c>
      <c r="F2066" s="11">
        <f>395947.65+2001052.35</f>
        <v>2397000</v>
      </c>
      <c r="G2066" s="8"/>
      <c r="H2066" s="9">
        <f t="shared" si="261"/>
        <v>2397000</v>
      </c>
      <c r="I2066" s="8"/>
      <c r="J2066" s="9">
        <f t="shared" si="262"/>
        <v>2397000</v>
      </c>
      <c r="K2066" s="8"/>
      <c r="L2066" s="8"/>
      <c r="M2066" s="9">
        <f t="shared" si="269"/>
        <v>2397000</v>
      </c>
      <c r="N2066" s="8"/>
      <c r="O2066" s="9"/>
      <c r="P2066" s="9">
        <f t="shared" si="270"/>
        <v>0</v>
      </c>
      <c r="Q2066" s="9">
        <f t="shared" si="263"/>
        <v>2397000</v>
      </c>
      <c r="R2066" s="8"/>
      <c r="S2066" s="8"/>
      <c r="T2066" s="8"/>
      <c r="U2066" s="18">
        <f t="shared" si="264"/>
        <v>0</v>
      </c>
      <c r="V2066" s="17"/>
      <c r="W2066" s="17"/>
      <c r="X2066" s="9">
        <f t="shared" si="265"/>
        <v>2397000</v>
      </c>
      <c r="Y2066" s="8"/>
      <c r="Z2066" s="9">
        <f t="shared" si="266"/>
        <v>0</v>
      </c>
      <c r="AA2066" s="8">
        <f t="shared" si="267"/>
        <v>2397000</v>
      </c>
      <c r="AB2066" s="8">
        <f t="shared" si="268"/>
        <v>0</v>
      </c>
    </row>
    <row r="2067" spans="1:28" x14ac:dyDescent="0.35">
      <c r="A2067" s="36"/>
      <c r="B2067" s="8"/>
      <c r="C2067" s="7" t="s">
        <v>569</v>
      </c>
      <c r="D2067" s="8"/>
      <c r="E2067" s="9">
        <v>965521.58</v>
      </c>
      <c r="F2067" s="9">
        <v>965521.58</v>
      </c>
      <c r="G2067" s="8"/>
      <c r="H2067" s="9">
        <f t="shared" si="261"/>
        <v>965521.58</v>
      </c>
      <c r="I2067" s="8"/>
      <c r="J2067" s="9">
        <f t="shared" si="262"/>
        <v>965521.58</v>
      </c>
      <c r="K2067" s="8"/>
      <c r="L2067" s="8"/>
      <c r="M2067" s="9">
        <f t="shared" si="269"/>
        <v>965521.58</v>
      </c>
      <c r="N2067" s="8"/>
      <c r="O2067" s="9"/>
      <c r="P2067" s="9">
        <f t="shared" si="270"/>
        <v>0</v>
      </c>
      <c r="Q2067" s="9">
        <f t="shared" si="263"/>
        <v>965521.58</v>
      </c>
      <c r="R2067" s="8"/>
      <c r="S2067" s="8"/>
      <c r="T2067" s="8"/>
      <c r="U2067" s="18">
        <f t="shared" si="264"/>
        <v>0</v>
      </c>
      <c r="V2067" s="17"/>
      <c r="W2067" s="17"/>
      <c r="X2067" s="9">
        <f t="shared" si="265"/>
        <v>965521.58</v>
      </c>
      <c r="Y2067" s="8"/>
      <c r="Z2067" s="9">
        <f t="shared" si="266"/>
        <v>0</v>
      </c>
      <c r="AA2067" s="8">
        <f t="shared" si="267"/>
        <v>965521.58</v>
      </c>
      <c r="AB2067" s="8">
        <f t="shared" si="268"/>
        <v>0</v>
      </c>
    </row>
    <row r="2068" spans="1:28" x14ac:dyDescent="0.35">
      <c r="A2068" s="36"/>
      <c r="B2068" s="8"/>
      <c r="C2068" s="7" t="s">
        <v>933</v>
      </c>
      <c r="D2068" s="8"/>
      <c r="E2068" s="9">
        <v>1494000</v>
      </c>
      <c r="F2068" s="9">
        <v>1494000</v>
      </c>
      <c r="G2068" s="8"/>
      <c r="H2068" s="9">
        <f>+F2068+G2068</f>
        <v>1494000</v>
      </c>
      <c r="I2068" s="8"/>
      <c r="J2068" s="9"/>
      <c r="K2068" s="8"/>
      <c r="L2068" s="8"/>
      <c r="M2068" s="9">
        <f>+H2068+L2068</f>
        <v>1494000</v>
      </c>
      <c r="N2068" s="8"/>
      <c r="O2068" s="9"/>
      <c r="P2068" s="9">
        <f t="shared" si="270"/>
        <v>0</v>
      </c>
      <c r="Q2068" s="9"/>
      <c r="R2068" s="8"/>
      <c r="S2068" s="8"/>
      <c r="T2068" s="8"/>
      <c r="U2068" s="18">
        <f>+P2068+T2068</f>
        <v>0</v>
      </c>
      <c r="V2068" s="17"/>
      <c r="W2068" s="17"/>
      <c r="X2068" s="9">
        <f t="shared" si="265"/>
        <v>1494000</v>
      </c>
      <c r="Y2068" s="8"/>
      <c r="Z2068" s="9">
        <f t="shared" si="266"/>
        <v>0</v>
      </c>
      <c r="AA2068" s="8">
        <f t="shared" si="267"/>
        <v>1494000</v>
      </c>
      <c r="AB2068" s="8">
        <f t="shared" si="268"/>
        <v>0</v>
      </c>
    </row>
    <row r="2069" spans="1:28" x14ac:dyDescent="0.35">
      <c r="A2069" s="36"/>
      <c r="B2069" s="8"/>
      <c r="C2069" s="13" t="s">
        <v>1083</v>
      </c>
      <c r="D2069" s="23" t="s">
        <v>1072</v>
      </c>
      <c r="E2069" s="9">
        <f>5713343.72+1571678.25</f>
        <v>7285021.9699999997</v>
      </c>
      <c r="F2069" s="8">
        <f>5713343.72+1571678.25</f>
        <v>7285021.9699999997</v>
      </c>
      <c r="G2069" s="8"/>
      <c r="H2069" s="9">
        <f>+F2069+G2069</f>
        <v>7285021.9699999997</v>
      </c>
      <c r="I2069" s="8"/>
      <c r="J2069" s="9"/>
      <c r="K2069" s="8"/>
      <c r="L2069" s="8"/>
      <c r="M2069" s="9">
        <f>+H2069+L2069</f>
        <v>7285021.9699999997</v>
      </c>
      <c r="N2069" s="8"/>
      <c r="O2069" s="9"/>
      <c r="P2069" s="9">
        <f>+N2069+O2069</f>
        <v>0</v>
      </c>
      <c r="Q2069" s="9"/>
      <c r="R2069" s="8"/>
      <c r="S2069" s="8"/>
      <c r="T2069" s="8"/>
      <c r="U2069" s="18">
        <f>+P2069+T2069</f>
        <v>0</v>
      </c>
      <c r="V2069" s="17"/>
      <c r="W2069" s="17"/>
      <c r="X2069" s="9">
        <f t="shared" si="265"/>
        <v>7285021.9699999997</v>
      </c>
      <c r="Y2069" s="8"/>
      <c r="Z2069" s="9">
        <f t="shared" si="266"/>
        <v>0</v>
      </c>
      <c r="AA2069" s="8">
        <f t="shared" si="267"/>
        <v>7285021.9699999997</v>
      </c>
      <c r="AB2069" s="8">
        <f t="shared" si="268"/>
        <v>0</v>
      </c>
    </row>
    <row r="2070" spans="1:28" x14ac:dyDescent="0.35">
      <c r="A2070" s="36"/>
      <c r="B2070" s="8"/>
      <c r="C2070" s="7" t="s">
        <v>606</v>
      </c>
      <c r="D2070" s="8"/>
      <c r="E2070" s="9">
        <v>1598745</v>
      </c>
      <c r="F2070" s="9">
        <v>1598745</v>
      </c>
      <c r="G2070" s="8"/>
      <c r="H2070" s="9">
        <f t="shared" si="261"/>
        <v>1598745</v>
      </c>
      <c r="I2070" s="8"/>
      <c r="J2070" s="9">
        <f t="shared" si="262"/>
        <v>1598745</v>
      </c>
      <c r="K2070" s="8"/>
      <c r="L2070" s="8"/>
      <c r="M2070" s="9">
        <f t="shared" si="269"/>
        <v>1598745</v>
      </c>
      <c r="N2070" s="8"/>
      <c r="O2070" s="9"/>
      <c r="P2070" s="9">
        <f t="shared" si="270"/>
        <v>0</v>
      </c>
      <c r="Q2070" s="9">
        <f t="shared" si="263"/>
        <v>1598745</v>
      </c>
      <c r="R2070" s="8"/>
      <c r="S2070" s="8"/>
      <c r="T2070" s="8"/>
      <c r="U2070" s="18">
        <f t="shared" si="264"/>
        <v>0</v>
      </c>
      <c r="V2070" s="17"/>
      <c r="W2070" s="17"/>
      <c r="X2070" s="9">
        <f t="shared" si="265"/>
        <v>1598745</v>
      </c>
      <c r="Y2070" s="8"/>
      <c r="Z2070" s="9">
        <f t="shared" si="266"/>
        <v>0</v>
      </c>
      <c r="AA2070" s="8">
        <f t="shared" si="267"/>
        <v>1598745</v>
      </c>
      <c r="AB2070" s="8">
        <f t="shared" si="268"/>
        <v>0</v>
      </c>
    </row>
    <row r="2071" spans="1:28" x14ac:dyDescent="0.35">
      <c r="A2071" s="36"/>
      <c r="B2071" s="8"/>
      <c r="C2071" s="8"/>
      <c r="D2071" s="8"/>
      <c r="E2071" s="17" t="s">
        <v>29</v>
      </c>
      <c r="F2071" s="17" t="s">
        <v>29</v>
      </c>
      <c r="G2071" s="17" t="s">
        <v>29</v>
      </c>
      <c r="H2071" s="17" t="s">
        <v>29</v>
      </c>
      <c r="I2071" s="17" t="s">
        <v>29</v>
      </c>
      <c r="J2071" s="17" t="s">
        <v>29</v>
      </c>
      <c r="K2071" s="17" t="s">
        <v>29</v>
      </c>
      <c r="L2071" s="17" t="s">
        <v>29</v>
      </c>
      <c r="M2071" s="17" t="s">
        <v>29</v>
      </c>
      <c r="N2071" s="17" t="s">
        <v>29</v>
      </c>
      <c r="O2071" s="17" t="s">
        <v>29</v>
      </c>
      <c r="P2071" s="17" t="s">
        <v>29</v>
      </c>
      <c r="Q2071" s="17" t="s">
        <v>29</v>
      </c>
      <c r="R2071" s="17" t="s">
        <v>29</v>
      </c>
      <c r="S2071" s="17" t="s">
        <v>29</v>
      </c>
      <c r="T2071" s="17" t="s">
        <v>29</v>
      </c>
      <c r="U2071" s="17" t="s">
        <v>29</v>
      </c>
      <c r="V2071" s="17" t="s">
        <v>29</v>
      </c>
      <c r="W2071" s="17" t="s">
        <v>29</v>
      </c>
      <c r="X2071" s="17" t="s">
        <v>29</v>
      </c>
      <c r="Y2071" s="17" t="s">
        <v>29</v>
      </c>
      <c r="Z2071" s="17" t="s">
        <v>29</v>
      </c>
      <c r="AA2071" s="17" t="s">
        <v>29</v>
      </c>
      <c r="AB2071" s="17" t="s">
        <v>29</v>
      </c>
    </row>
    <row r="2072" spans="1:28" x14ac:dyDescent="0.35">
      <c r="A2072" s="36"/>
      <c r="B2072" s="8"/>
      <c r="C2072" s="8"/>
      <c r="D2072" s="8"/>
      <c r="E2072" s="9">
        <f t="shared" ref="E2072:Q2072" si="271">SUM(E2055:E2071)</f>
        <v>27948824.129999999</v>
      </c>
      <c r="F2072" s="9">
        <f t="shared" si="271"/>
        <v>25325223.73</v>
      </c>
      <c r="G2072" s="9">
        <f t="shared" si="271"/>
        <v>0</v>
      </c>
      <c r="H2072" s="9">
        <f t="shared" si="271"/>
        <v>25325223.73</v>
      </c>
      <c r="I2072" s="9">
        <f t="shared" si="271"/>
        <v>800000</v>
      </c>
      <c r="J2072" s="9">
        <f t="shared" si="271"/>
        <v>17346201.759999998</v>
      </c>
      <c r="K2072" s="9">
        <f t="shared" si="271"/>
        <v>1823600.4</v>
      </c>
      <c r="L2072" s="9">
        <f t="shared" si="271"/>
        <v>800000</v>
      </c>
      <c r="M2072" s="9">
        <f t="shared" si="271"/>
        <v>26125223.729999997</v>
      </c>
      <c r="N2072" s="9">
        <f t="shared" si="271"/>
        <v>1823600.4</v>
      </c>
      <c r="O2072" s="9">
        <f t="shared" si="271"/>
        <v>0</v>
      </c>
      <c r="P2072" s="9">
        <f t="shared" si="271"/>
        <v>1823600.4</v>
      </c>
      <c r="Q2072" s="9">
        <f t="shared" si="271"/>
        <v>17346201.759999998</v>
      </c>
      <c r="R2072" s="8"/>
      <c r="S2072" s="8"/>
      <c r="T2072" s="9">
        <f t="shared" ref="T2072:Z2072" si="272">SUM(T2055:T2071)</f>
        <v>0</v>
      </c>
      <c r="U2072" s="9">
        <f t="shared" si="272"/>
        <v>1823600.4</v>
      </c>
      <c r="V2072" s="9">
        <f t="shared" si="272"/>
        <v>0</v>
      </c>
      <c r="W2072" s="9">
        <f t="shared" si="272"/>
        <v>0</v>
      </c>
      <c r="X2072" s="9">
        <f t="shared" si="272"/>
        <v>27148824.129999999</v>
      </c>
      <c r="Y2072" s="9">
        <f t="shared" si="272"/>
        <v>0</v>
      </c>
      <c r="Z2072" s="9">
        <f t="shared" si="272"/>
        <v>800000</v>
      </c>
      <c r="AA2072" s="9">
        <f>SUM(AA2055:AA2071)</f>
        <v>27948824.129999999</v>
      </c>
      <c r="AB2072" s="9">
        <f>SUM(AB2055:AB2071)</f>
        <v>0</v>
      </c>
    </row>
    <row r="2073" spans="1:28" x14ac:dyDescent="0.35">
      <c r="A2073" s="36"/>
      <c r="B2073" s="8"/>
      <c r="C2073" s="8"/>
      <c r="D2073" s="8"/>
      <c r="E2073" s="17" t="s">
        <v>29</v>
      </c>
      <c r="F2073" s="17" t="s">
        <v>29</v>
      </c>
      <c r="G2073" s="17" t="s">
        <v>29</v>
      </c>
      <c r="H2073" s="17" t="s">
        <v>29</v>
      </c>
      <c r="I2073" s="17" t="s">
        <v>29</v>
      </c>
      <c r="J2073" s="17" t="s">
        <v>29</v>
      </c>
      <c r="K2073" s="17" t="s">
        <v>29</v>
      </c>
      <c r="L2073" s="17" t="s">
        <v>29</v>
      </c>
      <c r="M2073" s="17" t="s">
        <v>29</v>
      </c>
      <c r="N2073" s="17" t="s">
        <v>29</v>
      </c>
      <c r="O2073" s="17" t="s">
        <v>29</v>
      </c>
      <c r="P2073" s="17" t="s">
        <v>29</v>
      </c>
      <c r="Q2073" s="17" t="s">
        <v>29</v>
      </c>
      <c r="R2073" s="17" t="s">
        <v>29</v>
      </c>
      <c r="S2073" s="17" t="s">
        <v>29</v>
      </c>
      <c r="T2073" s="17" t="s">
        <v>29</v>
      </c>
      <c r="U2073" s="17" t="s">
        <v>29</v>
      </c>
      <c r="V2073" s="17" t="s">
        <v>29</v>
      </c>
      <c r="W2073" s="17" t="s">
        <v>29</v>
      </c>
      <c r="X2073" s="17" t="s">
        <v>29</v>
      </c>
      <c r="Y2073" s="17" t="s">
        <v>29</v>
      </c>
      <c r="Z2073" s="17" t="s">
        <v>29</v>
      </c>
      <c r="AA2073" s="17" t="s">
        <v>29</v>
      </c>
      <c r="AB2073" s="17" t="s">
        <v>29</v>
      </c>
    </row>
    <row r="2074" spans="1:28" x14ac:dyDescent="0.35">
      <c r="A2074" s="38" t="s">
        <v>1032</v>
      </c>
      <c r="B2074" s="7" t="s">
        <v>824</v>
      </c>
      <c r="C2074" s="8"/>
      <c r="D2074" s="8"/>
      <c r="E2074" s="8"/>
      <c r="F2074" s="8"/>
      <c r="G2074" s="8"/>
      <c r="H2074" s="8"/>
      <c r="I2074" s="8"/>
      <c r="J2074" s="8"/>
      <c r="K2074" s="8"/>
      <c r="L2074" s="8"/>
      <c r="M2074" s="8"/>
      <c r="N2074" s="8"/>
      <c r="O2074" s="8"/>
      <c r="P2074" s="8"/>
      <c r="Q2074" s="8"/>
      <c r="R2074" s="8"/>
      <c r="S2074" s="8"/>
      <c r="T2074" s="8"/>
      <c r="U2074" s="8"/>
      <c r="V2074" s="8"/>
      <c r="W2074" s="8"/>
      <c r="X2074" s="8"/>
      <c r="Y2074" s="8"/>
      <c r="Z2074" s="8"/>
    </row>
    <row r="2075" spans="1:28" x14ac:dyDescent="0.35">
      <c r="A2075" s="36"/>
      <c r="B2075" s="8"/>
      <c r="C2075" s="7" t="s">
        <v>535</v>
      </c>
      <c r="D2075" s="15" t="s">
        <v>68</v>
      </c>
      <c r="E2075" s="9">
        <f>3504550-3197104.17</f>
        <v>307445.83000000007</v>
      </c>
      <c r="F2075" s="8"/>
      <c r="G2075" s="8"/>
      <c r="H2075" s="9">
        <f t="shared" ref="H2075:H2094" si="273">F2075+G2075</f>
        <v>0</v>
      </c>
      <c r="I2075" s="8"/>
      <c r="J2075" s="9">
        <f t="shared" ref="J2075:J2094" si="274">H2075+I2075</f>
        <v>0</v>
      </c>
      <c r="K2075" s="9">
        <v>307445.83</v>
      </c>
      <c r="L2075" s="8"/>
      <c r="M2075" s="9">
        <f>+H2075+L2075</f>
        <v>0</v>
      </c>
      <c r="N2075" s="8">
        <v>307445.83</v>
      </c>
      <c r="O2075" s="9"/>
      <c r="P2075" s="9">
        <f>+N2075+O2075</f>
        <v>307445.83</v>
      </c>
      <c r="Q2075" s="9">
        <f t="shared" ref="Q2075:Q2094" si="275">E2075-P2075</f>
        <v>0</v>
      </c>
      <c r="R2075" s="8"/>
      <c r="S2075" s="8"/>
      <c r="T2075" s="8"/>
      <c r="U2075" s="18">
        <f t="shared" ref="U2075:U2094" si="276">+P2075+T2075</f>
        <v>307445.83</v>
      </c>
      <c r="V2075" s="17"/>
      <c r="W2075" s="17"/>
      <c r="X2075" s="9">
        <f t="shared" ref="X2075:X2094" si="277">+H2075+P2075</f>
        <v>307445.83</v>
      </c>
      <c r="Y2075" s="8"/>
      <c r="Z2075" s="9">
        <f t="shared" ref="Z2075:Z2094" si="278">+E2075-X2075</f>
        <v>0</v>
      </c>
      <c r="AA2075" s="8">
        <f t="shared" ref="AA2075:AA2094" si="279">+M2075+U2075</f>
        <v>307445.83</v>
      </c>
      <c r="AB2075" s="8">
        <f t="shared" ref="AB2075:AB2094" si="280">+E2075-AA2075</f>
        <v>0</v>
      </c>
    </row>
    <row r="2076" spans="1:28" x14ac:dyDescent="0.35">
      <c r="A2076" s="36"/>
      <c r="B2076" s="8"/>
      <c r="C2076" s="7" t="s">
        <v>539</v>
      </c>
      <c r="D2076" s="15" t="s">
        <v>68</v>
      </c>
      <c r="E2076" s="9">
        <v>505782.9</v>
      </c>
      <c r="F2076" s="8"/>
      <c r="G2076" s="8"/>
      <c r="H2076" s="9">
        <f t="shared" si="273"/>
        <v>0</v>
      </c>
      <c r="I2076" s="8"/>
      <c r="J2076" s="9">
        <f t="shared" si="274"/>
        <v>0</v>
      </c>
      <c r="K2076" s="9">
        <v>505782.9</v>
      </c>
      <c r="L2076" s="8"/>
      <c r="M2076" s="9">
        <f t="shared" ref="M2076:M2094" si="281">+H2076+L2076</f>
        <v>0</v>
      </c>
      <c r="N2076" s="8">
        <v>505782.9</v>
      </c>
      <c r="O2076" s="9"/>
      <c r="P2076" s="9">
        <f t="shared" ref="P2076:P2094" si="282">+N2076+O2076</f>
        <v>505782.9</v>
      </c>
      <c r="Q2076" s="9">
        <f t="shared" si="275"/>
        <v>0</v>
      </c>
      <c r="R2076" s="8"/>
      <c r="S2076" s="8"/>
      <c r="T2076" s="8"/>
      <c r="U2076" s="18">
        <f t="shared" si="276"/>
        <v>505782.9</v>
      </c>
      <c r="V2076" s="17"/>
      <c r="W2076" s="17"/>
      <c r="X2076" s="9">
        <f t="shared" si="277"/>
        <v>505782.9</v>
      </c>
      <c r="Y2076" s="8"/>
      <c r="Z2076" s="9">
        <f t="shared" si="278"/>
        <v>0</v>
      </c>
      <c r="AA2076" s="8">
        <f t="shared" si="279"/>
        <v>505782.9</v>
      </c>
      <c r="AB2076" s="8">
        <f t="shared" si="280"/>
        <v>0</v>
      </c>
    </row>
    <row r="2077" spans="1:28" x14ac:dyDescent="0.35">
      <c r="A2077" s="36"/>
      <c r="B2077" s="8"/>
      <c r="C2077" s="7" t="s">
        <v>535</v>
      </c>
      <c r="D2077" s="15" t="s">
        <v>54</v>
      </c>
      <c r="E2077" s="9">
        <f>645000-32250-72750</f>
        <v>540000</v>
      </c>
      <c r="F2077" s="9">
        <v>540000</v>
      </c>
      <c r="G2077" s="8"/>
      <c r="H2077" s="9">
        <f t="shared" si="273"/>
        <v>540000</v>
      </c>
      <c r="I2077" s="8"/>
      <c r="J2077" s="9">
        <f t="shared" si="274"/>
        <v>540000</v>
      </c>
      <c r="K2077" s="8"/>
      <c r="L2077" s="8"/>
      <c r="M2077" s="9">
        <f t="shared" si="281"/>
        <v>540000</v>
      </c>
      <c r="N2077" s="8"/>
      <c r="O2077" s="9"/>
      <c r="P2077" s="9">
        <f t="shared" si="282"/>
        <v>0</v>
      </c>
      <c r="Q2077" s="9">
        <f t="shared" si="275"/>
        <v>540000</v>
      </c>
      <c r="R2077" s="8"/>
      <c r="S2077" s="8"/>
      <c r="T2077" s="8"/>
      <c r="U2077" s="18">
        <f t="shared" si="276"/>
        <v>0</v>
      </c>
      <c r="V2077" s="17"/>
      <c r="W2077" s="17"/>
      <c r="X2077" s="9">
        <f t="shared" si="277"/>
        <v>540000</v>
      </c>
      <c r="Y2077" s="8"/>
      <c r="Z2077" s="9">
        <f t="shared" si="278"/>
        <v>0</v>
      </c>
      <c r="AA2077" s="8">
        <f t="shared" si="279"/>
        <v>540000</v>
      </c>
      <c r="AB2077" s="8">
        <f t="shared" si="280"/>
        <v>0</v>
      </c>
    </row>
    <row r="2078" spans="1:28" x14ac:dyDescent="0.35">
      <c r="A2078" s="36"/>
      <c r="B2078" s="8"/>
      <c r="C2078" s="7" t="s">
        <v>825</v>
      </c>
      <c r="D2078" s="15" t="s">
        <v>54</v>
      </c>
      <c r="E2078" s="9">
        <f>570000+570000-40124</f>
        <v>1099876</v>
      </c>
      <c r="F2078" s="9">
        <f>529876+570000</f>
        <v>1099876</v>
      </c>
      <c r="G2078" s="8"/>
      <c r="H2078" s="9">
        <f t="shared" si="273"/>
        <v>1099876</v>
      </c>
      <c r="I2078" s="8"/>
      <c r="J2078" s="9">
        <f t="shared" si="274"/>
        <v>1099876</v>
      </c>
      <c r="K2078" s="8"/>
      <c r="L2078" s="8"/>
      <c r="M2078" s="9">
        <f t="shared" si="281"/>
        <v>1099876</v>
      </c>
      <c r="N2078" s="8"/>
      <c r="O2078" s="9"/>
      <c r="P2078" s="9">
        <f t="shared" si="282"/>
        <v>0</v>
      </c>
      <c r="Q2078" s="9">
        <f t="shared" si="275"/>
        <v>1099876</v>
      </c>
      <c r="R2078" s="8"/>
      <c r="S2078" s="8"/>
      <c r="T2078" s="8"/>
      <c r="U2078" s="18">
        <f t="shared" si="276"/>
        <v>0</v>
      </c>
      <c r="V2078" s="17"/>
      <c r="W2078" s="17"/>
      <c r="X2078" s="9">
        <f t="shared" si="277"/>
        <v>1099876</v>
      </c>
      <c r="Y2078" s="8"/>
      <c r="Z2078" s="9">
        <f t="shared" si="278"/>
        <v>0</v>
      </c>
      <c r="AA2078" s="8">
        <f t="shared" si="279"/>
        <v>1099876</v>
      </c>
      <c r="AB2078" s="8">
        <f t="shared" si="280"/>
        <v>0</v>
      </c>
    </row>
    <row r="2079" spans="1:28" x14ac:dyDescent="0.35">
      <c r="A2079" s="36"/>
      <c r="B2079" s="8"/>
      <c r="C2079" s="7" t="s">
        <v>825</v>
      </c>
      <c r="D2079" s="15" t="s">
        <v>54</v>
      </c>
      <c r="E2079" s="9">
        <f>190000-21140</f>
        <v>168860</v>
      </c>
      <c r="F2079" s="9">
        <v>168860</v>
      </c>
      <c r="G2079" s="8"/>
      <c r="H2079" s="9">
        <f t="shared" si="273"/>
        <v>168860</v>
      </c>
      <c r="I2079" s="8"/>
      <c r="J2079" s="9">
        <f t="shared" si="274"/>
        <v>168860</v>
      </c>
      <c r="K2079" s="8"/>
      <c r="L2079" s="8"/>
      <c r="M2079" s="9">
        <f t="shared" si="281"/>
        <v>168860</v>
      </c>
      <c r="N2079" s="8"/>
      <c r="O2079" s="9"/>
      <c r="P2079" s="9">
        <f t="shared" si="282"/>
        <v>0</v>
      </c>
      <c r="Q2079" s="9">
        <f t="shared" si="275"/>
        <v>168860</v>
      </c>
      <c r="R2079" s="8"/>
      <c r="S2079" s="8"/>
      <c r="T2079" s="8"/>
      <c r="U2079" s="18">
        <f t="shared" si="276"/>
        <v>0</v>
      </c>
      <c r="V2079" s="17"/>
      <c r="W2079" s="17"/>
      <c r="X2079" s="9">
        <f t="shared" si="277"/>
        <v>168860</v>
      </c>
      <c r="Y2079" s="8"/>
      <c r="Z2079" s="9">
        <f t="shared" si="278"/>
        <v>0</v>
      </c>
      <c r="AA2079" s="8">
        <f t="shared" si="279"/>
        <v>168860</v>
      </c>
      <c r="AB2079" s="8">
        <f t="shared" si="280"/>
        <v>0</v>
      </c>
    </row>
    <row r="2080" spans="1:28" x14ac:dyDescent="0.35">
      <c r="A2080" s="36"/>
      <c r="B2080" s="8"/>
      <c r="C2080" s="7" t="s">
        <v>545</v>
      </c>
      <c r="D2080" s="15" t="s">
        <v>54</v>
      </c>
      <c r="E2080" s="9">
        <v>1767770</v>
      </c>
      <c r="F2080" s="8"/>
      <c r="G2080" s="8"/>
      <c r="H2080" s="9">
        <f t="shared" si="273"/>
        <v>0</v>
      </c>
      <c r="I2080" s="8"/>
      <c r="J2080" s="9">
        <f t="shared" si="274"/>
        <v>0</v>
      </c>
      <c r="K2080" s="9">
        <v>1767770</v>
      </c>
      <c r="L2080" s="8"/>
      <c r="M2080" s="9">
        <f t="shared" si="281"/>
        <v>0</v>
      </c>
      <c r="N2080" s="8">
        <v>1767770</v>
      </c>
      <c r="O2080" s="9"/>
      <c r="P2080" s="9">
        <f t="shared" si="282"/>
        <v>1767770</v>
      </c>
      <c r="Q2080" s="9">
        <f t="shared" si="275"/>
        <v>0</v>
      </c>
      <c r="R2080" s="8"/>
      <c r="S2080" s="8"/>
      <c r="T2080" s="8"/>
      <c r="U2080" s="18">
        <f t="shared" si="276"/>
        <v>1767770</v>
      </c>
      <c r="V2080" s="17"/>
      <c r="W2080" s="17"/>
      <c r="X2080" s="9">
        <f t="shared" si="277"/>
        <v>1767770</v>
      </c>
      <c r="Y2080" s="8"/>
      <c r="Z2080" s="9">
        <f t="shared" si="278"/>
        <v>0</v>
      </c>
      <c r="AA2080" s="8">
        <f t="shared" si="279"/>
        <v>1767770</v>
      </c>
      <c r="AB2080" s="8">
        <f t="shared" si="280"/>
        <v>0</v>
      </c>
    </row>
    <row r="2081" spans="1:28" x14ac:dyDescent="0.35">
      <c r="A2081" s="36"/>
      <c r="B2081" s="8"/>
      <c r="C2081" s="7" t="s">
        <v>535</v>
      </c>
      <c r="D2081" s="15" t="s">
        <v>85</v>
      </c>
      <c r="E2081" s="9">
        <f>1650000-165000</f>
        <v>1485000</v>
      </c>
      <c r="F2081" s="9">
        <v>1485000</v>
      </c>
      <c r="G2081" s="8"/>
      <c r="H2081" s="9">
        <f t="shared" si="273"/>
        <v>1485000</v>
      </c>
      <c r="I2081" s="8"/>
      <c r="J2081" s="9">
        <f t="shared" si="274"/>
        <v>1485000</v>
      </c>
      <c r="K2081" s="8"/>
      <c r="L2081" s="8"/>
      <c r="M2081" s="9">
        <f t="shared" si="281"/>
        <v>1485000</v>
      </c>
      <c r="N2081" s="8"/>
      <c r="O2081" s="9"/>
      <c r="P2081" s="9">
        <f t="shared" si="282"/>
        <v>0</v>
      </c>
      <c r="Q2081" s="9">
        <f t="shared" si="275"/>
        <v>1485000</v>
      </c>
      <c r="R2081" s="8"/>
      <c r="S2081" s="8"/>
      <c r="T2081" s="8"/>
      <c r="U2081" s="18">
        <f t="shared" si="276"/>
        <v>0</v>
      </c>
      <c r="V2081" s="17"/>
      <c r="W2081" s="17"/>
      <c r="X2081" s="9">
        <f t="shared" si="277"/>
        <v>1485000</v>
      </c>
      <c r="Y2081" s="8"/>
      <c r="Z2081" s="9">
        <f t="shared" si="278"/>
        <v>0</v>
      </c>
      <c r="AA2081" s="8">
        <f t="shared" si="279"/>
        <v>1485000</v>
      </c>
      <c r="AB2081" s="8">
        <f t="shared" si="280"/>
        <v>0</v>
      </c>
    </row>
    <row r="2082" spans="1:28" x14ac:dyDescent="0.35">
      <c r="A2082" s="36"/>
      <c r="B2082" s="8"/>
      <c r="C2082" s="7" t="s">
        <v>535</v>
      </c>
      <c r="D2082" s="15" t="s">
        <v>128</v>
      </c>
      <c r="E2082" s="9">
        <v>900000</v>
      </c>
      <c r="F2082" s="9">
        <v>900000</v>
      </c>
      <c r="G2082" s="8"/>
      <c r="H2082" s="9">
        <f t="shared" si="273"/>
        <v>900000</v>
      </c>
      <c r="I2082" s="8"/>
      <c r="J2082" s="9">
        <f t="shared" si="274"/>
        <v>900000</v>
      </c>
      <c r="K2082" s="8"/>
      <c r="L2082" s="8"/>
      <c r="M2082" s="9">
        <f t="shared" si="281"/>
        <v>900000</v>
      </c>
      <c r="N2082" s="8"/>
      <c r="O2082" s="9"/>
      <c r="P2082" s="9">
        <f t="shared" si="282"/>
        <v>0</v>
      </c>
      <c r="Q2082" s="9">
        <f t="shared" si="275"/>
        <v>900000</v>
      </c>
      <c r="R2082" s="8"/>
      <c r="S2082" s="8"/>
      <c r="T2082" s="8"/>
      <c r="U2082" s="18">
        <f t="shared" si="276"/>
        <v>0</v>
      </c>
      <c r="V2082" s="17"/>
      <c r="W2082" s="17"/>
      <c r="X2082" s="9">
        <f t="shared" si="277"/>
        <v>900000</v>
      </c>
      <c r="Y2082" s="8"/>
      <c r="Z2082" s="9">
        <f t="shared" si="278"/>
        <v>0</v>
      </c>
      <c r="AA2082" s="8">
        <f t="shared" si="279"/>
        <v>900000</v>
      </c>
      <c r="AB2082" s="8">
        <f t="shared" si="280"/>
        <v>0</v>
      </c>
    </row>
    <row r="2083" spans="1:28" x14ac:dyDescent="0.35">
      <c r="A2083" s="36"/>
      <c r="B2083" s="8"/>
      <c r="C2083" s="7" t="s">
        <v>535</v>
      </c>
      <c r="D2083" s="15" t="s">
        <v>108</v>
      </c>
      <c r="E2083" s="9">
        <f>2137692.37+1092948.39</f>
        <v>3230640.76</v>
      </c>
      <c r="F2083" s="9">
        <v>3230640.76</v>
      </c>
      <c r="G2083" s="8"/>
      <c r="H2083" s="9">
        <f t="shared" si="273"/>
        <v>3230640.76</v>
      </c>
      <c r="I2083" s="8"/>
      <c r="J2083" s="9">
        <f t="shared" si="274"/>
        <v>3230640.76</v>
      </c>
      <c r="K2083" s="8"/>
      <c r="L2083" s="8"/>
      <c r="M2083" s="9">
        <f t="shared" si="281"/>
        <v>3230640.76</v>
      </c>
      <c r="N2083" s="8"/>
      <c r="O2083" s="9"/>
      <c r="P2083" s="9">
        <f t="shared" si="282"/>
        <v>0</v>
      </c>
      <c r="Q2083" s="9">
        <f t="shared" si="275"/>
        <v>3230640.76</v>
      </c>
      <c r="R2083" s="8"/>
      <c r="S2083" s="8"/>
      <c r="T2083" s="8"/>
      <c r="U2083" s="18">
        <f t="shared" si="276"/>
        <v>0</v>
      </c>
      <c r="V2083" s="17"/>
      <c r="W2083" s="17"/>
      <c r="X2083" s="9">
        <f t="shared" si="277"/>
        <v>3230640.76</v>
      </c>
      <c r="Y2083" s="8"/>
      <c r="Z2083" s="9">
        <f t="shared" si="278"/>
        <v>0</v>
      </c>
      <c r="AA2083" s="8">
        <f t="shared" si="279"/>
        <v>3230640.76</v>
      </c>
      <c r="AB2083" s="8">
        <f t="shared" si="280"/>
        <v>0</v>
      </c>
    </row>
    <row r="2084" spans="1:28" x14ac:dyDescent="0.35">
      <c r="A2084" s="36"/>
      <c r="B2084" s="8"/>
      <c r="C2084" s="7" t="s">
        <v>801</v>
      </c>
      <c r="D2084" s="15" t="s">
        <v>108</v>
      </c>
      <c r="E2084" s="9">
        <v>250000</v>
      </c>
      <c r="F2084" s="9">
        <v>250000</v>
      </c>
      <c r="G2084" s="8"/>
      <c r="H2084" s="9">
        <f t="shared" si="273"/>
        <v>250000</v>
      </c>
      <c r="I2084" s="8"/>
      <c r="J2084" s="9">
        <f t="shared" si="274"/>
        <v>250000</v>
      </c>
      <c r="K2084" s="8"/>
      <c r="L2084" s="8"/>
      <c r="M2084" s="9">
        <f t="shared" si="281"/>
        <v>250000</v>
      </c>
      <c r="N2084" s="8"/>
      <c r="O2084" s="9"/>
      <c r="P2084" s="9">
        <f t="shared" si="282"/>
        <v>0</v>
      </c>
      <c r="Q2084" s="9">
        <f t="shared" si="275"/>
        <v>250000</v>
      </c>
      <c r="R2084" s="8"/>
      <c r="S2084" s="8"/>
      <c r="T2084" s="8"/>
      <c r="U2084" s="18">
        <f t="shared" si="276"/>
        <v>0</v>
      </c>
      <c r="V2084" s="17"/>
      <c r="W2084" s="17"/>
      <c r="X2084" s="9">
        <f t="shared" si="277"/>
        <v>250000</v>
      </c>
      <c r="Y2084" s="8"/>
      <c r="Z2084" s="9">
        <f t="shared" si="278"/>
        <v>0</v>
      </c>
      <c r="AA2084" s="8">
        <f t="shared" si="279"/>
        <v>250000</v>
      </c>
      <c r="AB2084" s="8">
        <f t="shared" si="280"/>
        <v>0</v>
      </c>
    </row>
    <row r="2085" spans="1:28" x14ac:dyDescent="0.35">
      <c r="A2085" s="36"/>
      <c r="B2085" s="8"/>
      <c r="C2085" s="7" t="s">
        <v>535</v>
      </c>
      <c r="D2085" s="15" t="s">
        <v>58</v>
      </c>
      <c r="E2085" s="9">
        <f>1018710.15+1242726+1957884</f>
        <v>4219320.1500000004</v>
      </c>
      <c r="F2085" s="9">
        <v>4219320.1500000004</v>
      </c>
      <c r="G2085" s="8"/>
      <c r="H2085" s="9">
        <f t="shared" si="273"/>
        <v>4219320.1500000004</v>
      </c>
      <c r="I2085" s="8"/>
      <c r="J2085" s="9">
        <f t="shared" si="274"/>
        <v>4219320.1500000004</v>
      </c>
      <c r="K2085" s="8"/>
      <c r="L2085" s="8"/>
      <c r="M2085" s="9">
        <f t="shared" si="281"/>
        <v>4219320.1500000004</v>
      </c>
      <c r="N2085" s="8"/>
      <c r="O2085" s="9"/>
      <c r="P2085" s="9">
        <f t="shared" si="282"/>
        <v>0</v>
      </c>
      <c r="Q2085" s="9">
        <f t="shared" si="275"/>
        <v>4219320.1500000004</v>
      </c>
      <c r="R2085" s="8"/>
      <c r="S2085" s="8"/>
      <c r="T2085" s="8"/>
      <c r="U2085" s="18">
        <f t="shared" si="276"/>
        <v>0</v>
      </c>
      <c r="V2085" s="17"/>
      <c r="W2085" s="17"/>
      <c r="X2085" s="9">
        <f t="shared" si="277"/>
        <v>4219320.1500000004</v>
      </c>
      <c r="Y2085" s="8"/>
      <c r="Z2085" s="9">
        <f t="shared" si="278"/>
        <v>0</v>
      </c>
      <c r="AA2085" s="8">
        <f t="shared" si="279"/>
        <v>4219320.1500000004</v>
      </c>
      <c r="AB2085" s="8">
        <f t="shared" si="280"/>
        <v>0</v>
      </c>
    </row>
    <row r="2086" spans="1:28" x14ac:dyDescent="0.35">
      <c r="A2086" s="36"/>
      <c r="B2086" s="8"/>
      <c r="C2086" s="7" t="s">
        <v>535</v>
      </c>
      <c r="D2086" s="15" t="s">
        <v>60</v>
      </c>
      <c r="E2086" s="9">
        <f>3314085+2906930+3243350</f>
        <v>9464365</v>
      </c>
      <c r="F2086" s="9">
        <f>3314085+6150280</f>
        <v>9464365</v>
      </c>
      <c r="G2086" s="8"/>
      <c r="H2086" s="9">
        <f t="shared" si="273"/>
        <v>9464365</v>
      </c>
      <c r="I2086" s="8"/>
      <c r="J2086" s="9">
        <f t="shared" si="274"/>
        <v>9464365</v>
      </c>
      <c r="K2086" s="8"/>
      <c r="L2086" s="8"/>
      <c r="M2086" s="9">
        <f t="shared" si="281"/>
        <v>9464365</v>
      </c>
      <c r="N2086" s="8"/>
      <c r="O2086" s="9"/>
      <c r="P2086" s="9">
        <f t="shared" si="282"/>
        <v>0</v>
      </c>
      <c r="Q2086" s="9">
        <f t="shared" si="275"/>
        <v>9464365</v>
      </c>
      <c r="R2086" s="8"/>
      <c r="S2086" s="8"/>
      <c r="T2086" s="8"/>
      <c r="U2086" s="18">
        <f t="shared" si="276"/>
        <v>0</v>
      </c>
      <c r="V2086" s="17"/>
      <c r="W2086" s="17"/>
      <c r="X2086" s="9">
        <f t="shared" si="277"/>
        <v>9464365</v>
      </c>
      <c r="Y2086" s="8"/>
      <c r="Z2086" s="9">
        <f t="shared" si="278"/>
        <v>0</v>
      </c>
      <c r="AA2086" s="8">
        <f t="shared" si="279"/>
        <v>9464365</v>
      </c>
      <c r="AB2086" s="8">
        <f t="shared" si="280"/>
        <v>0</v>
      </c>
    </row>
    <row r="2087" spans="1:28" x14ac:dyDescent="0.35">
      <c r="A2087" s="36"/>
      <c r="B2087" s="8"/>
      <c r="C2087" s="7" t="s">
        <v>535</v>
      </c>
      <c r="D2087" s="15" t="s">
        <v>73</v>
      </c>
      <c r="E2087" s="9">
        <f>1151668+1348233</f>
        <v>2499901</v>
      </c>
      <c r="F2087" s="9">
        <f>1151668+1348233</f>
        <v>2499901</v>
      </c>
      <c r="G2087" s="9"/>
      <c r="H2087" s="9">
        <f t="shared" si="273"/>
        <v>2499901</v>
      </c>
      <c r="I2087" s="9">
        <v>0</v>
      </c>
      <c r="J2087" s="9">
        <f t="shared" si="274"/>
        <v>2499901</v>
      </c>
      <c r="K2087" s="8"/>
      <c r="L2087" s="8"/>
      <c r="M2087" s="9">
        <f t="shared" si="281"/>
        <v>2499901</v>
      </c>
      <c r="N2087" s="8"/>
      <c r="O2087" s="9"/>
      <c r="P2087" s="9">
        <f t="shared" si="282"/>
        <v>0</v>
      </c>
      <c r="Q2087" s="9">
        <f t="shared" si="275"/>
        <v>2499901</v>
      </c>
      <c r="R2087" s="8"/>
      <c r="S2087" s="8"/>
      <c r="T2087" s="8"/>
      <c r="U2087" s="18">
        <f t="shared" si="276"/>
        <v>0</v>
      </c>
      <c r="V2087" s="17"/>
      <c r="W2087" s="17"/>
      <c r="X2087" s="9">
        <f t="shared" si="277"/>
        <v>2499901</v>
      </c>
      <c r="Y2087" s="8"/>
      <c r="Z2087" s="9">
        <f t="shared" si="278"/>
        <v>0</v>
      </c>
      <c r="AA2087" s="8">
        <f t="shared" si="279"/>
        <v>2499901</v>
      </c>
      <c r="AB2087" s="8">
        <f t="shared" si="280"/>
        <v>0</v>
      </c>
    </row>
    <row r="2088" spans="1:28" x14ac:dyDescent="0.35">
      <c r="A2088" s="36"/>
      <c r="B2088" s="8"/>
      <c r="C2088" s="7" t="s">
        <v>535</v>
      </c>
      <c r="D2088" s="15" t="s">
        <v>61</v>
      </c>
      <c r="E2088" s="11">
        <f>2000000+14650.7</f>
        <v>2014650.7</v>
      </c>
      <c r="F2088" s="9">
        <v>2000000</v>
      </c>
      <c r="G2088" s="9"/>
      <c r="H2088" s="9">
        <f t="shared" si="273"/>
        <v>2000000</v>
      </c>
      <c r="I2088" s="9"/>
      <c r="J2088" s="9">
        <f t="shared" si="274"/>
        <v>2000000</v>
      </c>
      <c r="K2088" s="8"/>
      <c r="L2088" s="8"/>
      <c r="M2088" s="9">
        <f t="shared" si="281"/>
        <v>2000000</v>
      </c>
      <c r="N2088" s="11"/>
      <c r="O2088" s="9"/>
      <c r="P2088" s="9">
        <f t="shared" si="282"/>
        <v>0</v>
      </c>
      <c r="Q2088" s="9">
        <f t="shared" si="275"/>
        <v>2014650.7</v>
      </c>
      <c r="R2088" s="8"/>
      <c r="S2088" s="8"/>
      <c r="T2088" s="8">
        <v>14650.7</v>
      </c>
      <c r="U2088" s="18">
        <f t="shared" si="276"/>
        <v>14650.7</v>
      </c>
      <c r="V2088" s="17"/>
      <c r="W2088" s="17"/>
      <c r="X2088" s="9">
        <f t="shared" si="277"/>
        <v>2000000</v>
      </c>
      <c r="Y2088" s="8"/>
      <c r="Z2088" s="9">
        <f t="shared" si="278"/>
        <v>14650.699999999953</v>
      </c>
      <c r="AA2088" s="8">
        <f t="shared" si="279"/>
        <v>2014650.7</v>
      </c>
      <c r="AB2088" s="8">
        <f t="shared" si="280"/>
        <v>0</v>
      </c>
    </row>
    <row r="2089" spans="1:28" x14ac:dyDescent="0.35">
      <c r="A2089" s="36"/>
      <c r="B2089" s="8"/>
      <c r="C2089" s="7" t="s">
        <v>898</v>
      </c>
      <c r="D2089" s="15"/>
      <c r="E2089" s="11">
        <v>20820.689999999999</v>
      </c>
      <c r="F2089" s="9"/>
      <c r="G2089" s="9"/>
      <c r="H2089" s="9"/>
      <c r="I2089" s="9"/>
      <c r="J2089" s="9"/>
      <c r="K2089" s="8"/>
      <c r="L2089" s="8"/>
      <c r="M2089" s="9"/>
      <c r="N2089" s="11">
        <v>20820.689999999999</v>
      </c>
      <c r="O2089" s="9"/>
      <c r="P2089" s="9">
        <f>+N2089+O2089</f>
        <v>20820.689999999999</v>
      </c>
      <c r="Q2089" s="9"/>
      <c r="R2089" s="8"/>
      <c r="S2089" s="8"/>
      <c r="T2089" s="8"/>
      <c r="U2089" s="18">
        <f>+P2089+T2089</f>
        <v>20820.689999999999</v>
      </c>
      <c r="V2089" s="17"/>
      <c r="W2089" s="17"/>
      <c r="X2089" s="9">
        <f t="shared" si="277"/>
        <v>20820.689999999999</v>
      </c>
      <c r="Y2089" s="8"/>
      <c r="Z2089" s="9">
        <f t="shared" si="278"/>
        <v>0</v>
      </c>
      <c r="AA2089" s="8">
        <f t="shared" si="279"/>
        <v>20820.689999999999</v>
      </c>
      <c r="AB2089" s="8">
        <f t="shared" si="280"/>
        <v>0</v>
      </c>
    </row>
    <row r="2090" spans="1:28" x14ac:dyDescent="0.35">
      <c r="A2090" s="36"/>
      <c r="B2090" s="8"/>
      <c r="C2090" s="7" t="s">
        <v>933</v>
      </c>
      <c r="D2090" s="16" t="s">
        <v>1072</v>
      </c>
      <c r="E2090" s="11">
        <v>2939261.51</v>
      </c>
      <c r="F2090" s="9">
        <v>2939261.51</v>
      </c>
      <c r="G2090" s="9"/>
      <c r="H2090" s="9">
        <f>F2090+G2090</f>
        <v>2939261.51</v>
      </c>
      <c r="I2090" s="9"/>
      <c r="J2090" s="9">
        <f>H2090+I2090</f>
        <v>2939261.51</v>
      </c>
      <c r="K2090" s="8"/>
      <c r="L2090" s="8"/>
      <c r="M2090" s="9">
        <f>+H2090+L2090</f>
        <v>2939261.51</v>
      </c>
      <c r="N2090" s="11"/>
      <c r="O2090" s="9"/>
      <c r="P2090" s="9">
        <f>+N2090+O2090</f>
        <v>0</v>
      </c>
      <c r="Q2090" s="9"/>
      <c r="R2090" s="8"/>
      <c r="S2090" s="8"/>
      <c r="T2090" s="8"/>
      <c r="U2090" s="18">
        <f>+P2090+T2090</f>
        <v>0</v>
      </c>
      <c r="V2090" s="17"/>
      <c r="W2090" s="17"/>
      <c r="X2090" s="9">
        <f t="shared" si="277"/>
        <v>2939261.51</v>
      </c>
      <c r="Y2090" s="8"/>
      <c r="Z2090" s="9">
        <f t="shared" si="278"/>
        <v>0</v>
      </c>
      <c r="AA2090" s="8">
        <f t="shared" si="279"/>
        <v>2939261.51</v>
      </c>
      <c r="AB2090" s="8">
        <f t="shared" si="280"/>
        <v>0</v>
      </c>
    </row>
    <row r="2091" spans="1:28" x14ac:dyDescent="0.35">
      <c r="A2091" s="36"/>
      <c r="B2091" s="8"/>
      <c r="C2091" s="14" t="s">
        <v>568</v>
      </c>
      <c r="D2091" s="8"/>
      <c r="E2091" s="11">
        <v>873739.65</v>
      </c>
      <c r="F2091" s="9">
        <v>873739.65</v>
      </c>
      <c r="G2091" s="11"/>
      <c r="H2091" s="9">
        <f t="shared" si="273"/>
        <v>873739.65</v>
      </c>
      <c r="I2091" s="9"/>
      <c r="J2091" s="9">
        <f t="shared" si="274"/>
        <v>873739.65</v>
      </c>
      <c r="K2091" s="8"/>
      <c r="L2091" s="8"/>
      <c r="M2091" s="9">
        <f t="shared" si="281"/>
        <v>873739.65</v>
      </c>
      <c r="N2091" s="8"/>
      <c r="O2091" s="9"/>
      <c r="P2091" s="9">
        <f t="shared" si="282"/>
        <v>0</v>
      </c>
      <c r="Q2091" s="9">
        <f t="shared" si="275"/>
        <v>873739.65</v>
      </c>
      <c r="R2091" s="8"/>
      <c r="S2091" s="8"/>
      <c r="T2091" s="8"/>
      <c r="U2091" s="18">
        <f t="shared" si="276"/>
        <v>0</v>
      </c>
      <c r="V2091" s="17"/>
      <c r="W2091" s="17"/>
      <c r="X2091" s="9">
        <f t="shared" si="277"/>
        <v>873739.65</v>
      </c>
      <c r="Y2091" s="8"/>
      <c r="Z2091" s="9">
        <f t="shared" si="278"/>
        <v>0</v>
      </c>
      <c r="AA2091" s="8">
        <f t="shared" si="279"/>
        <v>873739.65</v>
      </c>
      <c r="AB2091" s="8">
        <f t="shared" si="280"/>
        <v>0</v>
      </c>
    </row>
    <row r="2092" spans="1:28" x14ac:dyDescent="0.35">
      <c r="A2092" s="36"/>
      <c r="B2092" s="8"/>
      <c r="C2092" s="7" t="s">
        <v>598</v>
      </c>
      <c r="D2092" s="8"/>
      <c r="E2092" s="9">
        <v>631320.29</v>
      </c>
      <c r="F2092" s="9">
        <v>631320.29</v>
      </c>
      <c r="G2092" s="8"/>
      <c r="H2092" s="9">
        <f t="shared" si="273"/>
        <v>631320.29</v>
      </c>
      <c r="I2092" s="8"/>
      <c r="J2092" s="9">
        <f t="shared" si="274"/>
        <v>631320.29</v>
      </c>
      <c r="K2092" s="8"/>
      <c r="L2092" s="8"/>
      <c r="M2092" s="9">
        <f t="shared" si="281"/>
        <v>631320.29</v>
      </c>
      <c r="N2092" s="8"/>
      <c r="O2092" s="9"/>
      <c r="P2092" s="9">
        <f t="shared" si="282"/>
        <v>0</v>
      </c>
      <c r="Q2092" s="9">
        <f t="shared" si="275"/>
        <v>631320.29</v>
      </c>
      <c r="R2092" s="8"/>
      <c r="S2092" s="8"/>
      <c r="T2092" s="8"/>
      <c r="U2092" s="18">
        <f t="shared" si="276"/>
        <v>0</v>
      </c>
      <c r="V2092" s="17"/>
      <c r="W2092" s="17"/>
      <c r="X2092" s="9">
        <f t="shared" si="277"/>
        <v>631320.29</v>
      </c>
      <c r="Y2092" s="8"/>
      <c r="Z2092" s="9">
        <f t="shared" si="278"/>
        <v>0</v>
      </c>
      <c r="AA2092" s="8">
        <f t="shared" si="279"/>
        <v>631320.29</v>
      </c>
      <c r="AB2092" s="8">
        <f t="shared" si="280"/>
        <v>0</v>
      </c>
    </row>
    <row r="2093" spans="1:28" x14ac:dyDescent="0.35">
      <c r="A2093" s="36"/>
      <c r="B2093" s="8"/>
      <c r="C2093" s="7" t="s">
        <v>569</v>
      </c>
      <c r="D2093" s="8"/>
      <c r="E2093" s="9">
        <v>1112873</v>
      </c>
      <c r="F2093" s="9">
        <v>1112873</v>
      </c>
      <c r="G2093" s="8"/>
      <c r="H2093" s="9">
        <f t="shared" si="273"/>
        <v>1112873</v>
      </c>
      <c r="I2093" s="8"/>
      <c r="J2093" s="9">
        <f t="shared" si="274"/>
        <v>1112873</v>
      </c>
      <c r="K2093" s="8"/>
      <c r="L2093" s="8"/>
      <c r="M2093" s="9">
        <f t="shared" si="281"/>
        <v>1112873</v>
      </c>
      <c r="N2093" s="8"/>
      <c r="O2093" s="9"/>
      <c r="P2093" s="9">
        <f t="shared" si="282"/>
        <v>0</v>
      </c>
      <c r="Q2093" s="9">
        <f t="shared" si="275"/>
        <v>1112873</v>
      </c>
      <c r="R2093" s="8"/>
      <c r="S2093" s="8"/>
      <c r="T2093" s="8"/>
      <c r="U2093" s="18">
        <f t="shared" si="276"/>
        <v>0</v>
      </c>
      <c r="V2093" s="17"/>
      <c r="W2093" s="17"/>
      <c r="X2093" s="9">
        <f t="shared" si="277"/>
        <v>1112873</v>
      </c>
      <c r="Y2093" s="8"/>
      <c r="Z2093" s="9">
        <f t="shared" si="278"/>
        <v>0</v>
      </c>
      <c r="AA2093" s="8">
        <f t="shared" si="279"/>
        <v>1112873</v>
      </c>
      <c r="AB2093" s="8">
        <f t="shared" si="280"/>
        <v>0</v>
      </c>
    </row>
    <row r="2094" spans="1:28" x14ac:dyDescent="0.35">
      <c r="A2094" s="36"/>
      <c r="B2094" s="15" t="s">
        <v>709</v>
      </c>
      <c r="C2094" s="7" t="s">
        <v>826</v>
      </c>
      <c r="D2094" s="8"/>
      <c r="E2094" s="9">
        <v>2400000</v>
      </c>
      <c r="F2094" s="9">
        <f>2201768+198232</f>
        <v>2400000</v>
      </c>
      <c r="G2094" s="8"/>
      <c r="H2094" s="9">
        <f t="shared" si="273"/>
        <v>2400000</v>
      </c>
      <c r="I2094" s="8"/>
      <c r="J2094" s="9">
        <f t="shared" si="274"/>
        <v>2400000</v>
      </c>
      <c r="K2094" s="8"/>
      <c r="L2094" s="8"/>
      <c r="M2094" s="9">
        <f t="shared" si="281"/>
        <v>2400000</v>
      </c>
      <c r="N2094" s="8"/>
      <c r="O2094" s="9"/>
      <c r="P2094" s="9">
        <f t="shared" si="282"/>
        <v>0</v>
      </c>
      <c r="Q2094" s="9">
        <f t="shared" si="275"/>
        <v>2400000</v>
      </c>
      <c r="R2094" s="8"/>
      <c r="S2094" s="8"/>
      <c r="T2094" s="8"/>
      <c r="U2094" s="18">
        <f t="shared" si="276"/>
        <v>0</v>
      </c>
      <c r="V2094" s="17"/>
      <c r="W2094" s="17"/>
      <c r="X2094" s="9">
        <f t="shared" si="277"/>
        <v>2400000</v>
      </c>
      <c r="Y2094" s="8"/>
      <c r="Z2094" s="9">
        <f t="shared" si="278"/>
        <v>0</v>
      </c>
      <c r="AA2094" s="8">
        <f t="shared" si="279"/>
        <v>2400000</v>
      </c>
      <c r="AB2094" s="8">
        <f t="shared" si="280"/>
        <v>0</v>
      </c>
    </row>
    <row r="2095" spans="1:28" x14ac:dyDescent="0.35">
      <c r="A2095" s="36"/>
      <c r="B2095" s="8"/>
      <c r="C2095" s="8"/>
      <c r="D2095" s="8"/>
      <c r="E2095" s="17" t="s">
        <v>29</v>
      </c>
      <c r="F2095" s="17" t="s">
        <v>29</v>
      </c>
      <c r="G2095" s="17" t="s">
        <v>29</v>
      </c>
      <c r="H2095" s="17" t="s">
        <v>29</v>
      </c>
      <c r="I2095" s="17" t="s">
        <v>29</v>
      </c>
      <c r="J2095" s="17" t="s">
        <v>29</v>
      </c>
      <c r="K2095" s="17" t="s">
        <v>29</v>
      </c>
      <c r="L2095" s="17" t="s">
        <v>29</v>
      </c>
      <c r="M2095" s="17" t="s">
        <v>29</v>
      </c>
      <c r="N2095" s="17" t="s">
        <v>29</v>
      </c>
      <c r="O2095" s="17" t="s">
        <v>29</v>
      </c>
      <c r="P2095" s="17" t="s">
        <v>29</v>
      </c>
      <c r="Q2095" s="17" t="s">
        <v>29</v>
      </c>
      <c r="R2095" s="17" t="s">
        <v>29</v>
      </c>
      <c r="S2095" s="17" t="s">
        <v>29</v>
      </c>
      <c r="T2095" s="17" t="s">
        <v>29</v>
      </c>
      <c r="U2095" s="17" t="s">
        <v>29</v>
      </c>
      <c r="V2095" s="17" t="s">
        <v>29</v>
      </c>
      <c r="W2095" s="17" t="s">
        <v>29</v>
      </c>
      <c r="X2095" s="17" t="s">
        <v>29</v>
      </c>
      <c r="Y2095" s="17" t="s">
        <v>29</v>
      </c>
      <c r="Z2095" s="17" t="s">
        <v>29</v>
      </c>
      <c r="AA2095" s="17" t="s">
        <v>29</v>
      </c>
      <c r="AB2095" s="17" t="s">
        <v>29</v>
      </c>
    </row>
    <row r="2096" spans="1:28" x14ac:dyDescent="0.35">
      <c r="A2096" s="36"/>
      <c r="B2096" s="8"/>
      <c r="C2096" s="8"/>
      <c r="D2096" s="8"/>
      <c r="E2096" s="9">
        <f t="shared" ref="E2096:Q2096" si="283">SUM(E2075:E2095)</f>
        <v>36431627.479999997</v>
      </c>
      <c r="F2096" s="9">
        <f t="shared" si="283"/>
        <v>33815157.359999999</v>
      </c>
      <c r="G2096" s="9">
        <f t="shared" si="283"/>
        <v>0</v>
      </c>
      <c r="H2096" s="9">
        <f t="shared" si="283"/>
        <v>33815157.359999999</v>
      </c>
      <c r="I2096" s="9">
        <f t="shared" si="283"/>
        <v>0</v>
      </c>
      <c r="J2096" s="9">
        <f t="shared" si="283"/>
        <v>33815157.359999999</v>
      </c>
      <c r="K2096" s="9">
        <f t="shared" si="283"/>
        <v>2580998.73</v>
      </c>
      <c r="L2096" s="9">
        <f t="shared" si="283"/>
        <v>0</v>
      </c>
      <c r="M2096" s="9">
        <f t="shared" si="283"/>
        <v>33815157.359999999</v>
      </c>
      <c r="N2096" s="9">
        <f t="shared" si="283"/>
        <v>2601819.42</v>
      </c>
      <c r="O2096" s="9">
        <f t="shared" si="283"/>
        <v>0</v>
      </c>
      <c r="P2096" s="9">
        <f t="shared" si="283"/>
        <v>2601819.42</v>
      </c>
      <c r="Q2096" s="9">
        <f t="shared" si="283"/>
        <v>30890546.549999997</v>
      </c>
      <c r="R2096" s="8"/>
      <c r="S2096" s="8"/>
      <c r="T2096" s="9">
        <f t="shared" ref="T2096:Z2096" si="284">SUM(T2075:T2095)</f>
        <v>14650.7</v>
      </c>
      <c r="U2096" s="9">
        <f t="shared" si="284"/>
        <v>2616470.12</v>
      </c>
      <c r="V2096" s="9">
        <f t="shared" si="284"/>
        <v>0</v>
      </c>
      <c r="W2096" s="9">
        <f t="shared" si="284"/>
        <v>0</v>
      </c>
      <c r="X2096" s="9">
        <f t="shared" si="284"/>
        <v>36416976.780000001</v>
      </c>
      <c r="Y2096" s="9">
        <f t="shared" si="284"/>
        <v>0</v>
      </c>
      <c r="Z2096" s="9">
        <f t="shared" si="284"/>
        <v>14650.699999999953</v>
      </c>
      <c r="AA2096" s="9">
        <f>SUM(AA2075:AA2095)</f>
        <v>36431627.479999997</v>
      </c>
      <c r="AB2096" s="9">
        <f>SUM(AB2075:AB2095)</f>
        <v>0</v>
      </c>
    </row>
    <row r="2097" spans="1:28" x14ac:dyDescent="0.35">
      <c r="A2097" s="36"/>
      <c r="B2097" s="8"/>
      <c r="C2097" s="8"/>
      <c r="D2097" s="8"/>
      <c r="E2097" s="17" t="s">
        <v>29</v>
      </c>
      <c r="F2097" s="17" t="s">
        <v>29</v>
      </c>
      <c r="G2097" s="17" t="s">
        <v>29</v>
      </c>
      <c r="H2097" s="17" t="s">
        <v>29</v>
      </c>
      <c r="I2097" s="17" t="s">
        <v>29</v>
      </c>
      <c r="J2097" s="17" t="s">
        <v>29</v>
      </c>
      <c r="K2097" s="17" t="s">
        <v>29</v>
      </c>
      <c r="L2097" s="17" t="s">
        <v>29</v>
      </c>
      <c r="M2097" s="17" t="s">
        <v>29</v>
      </c>
      <c r="N2097" s="17" t="s">
        <v>29</v>
      </c>
      <c r="O2097" s="17" t="s">
        <v>29</v>
      </c>
      <c r="P2097" s="17" t="s">
        <v>29</v>
      </c>
      <c r="Q2097" s="17" t="s">
        <v>29</v>
      </c>
      <c r="R2097" s="17" t="s">
        <v>29</v>
      </c>
      <c r="S2097" s="17" t="s">
        <v>29</v>
      </c>
      <c r="T2097" s="17" t="s">
        <v>29</v>
      </c>
      <c r="U2097" s="17" t="s">
        <v>29</v>
      </c>
      <c r="V2097" s="17" t="s">
        <v>29</v>
      </c>
      <c r="W2097" s="17" t="s">
        <v>29</v>
      </c>
      <c r="X2097" s="17" t="s">
        <v>29</v>
      </c>
      <c r="Y2097" s="17" t="s">
        <v>29</v>
      </c>
      <c r="Z2097" s="17" t="s">
        <v>29</v>
      </c>
      <c r="AA2097" s="17" t="s">
        <v>29</v>
      </c>
      <c r="AB2097" s="17" t="s">
        <v>29</v>
      </c>
    </row>
    <row r="2098" spans="1:28" x14ac:dyDescent="0.35">
      <c r="A2098" s="38" t="s">
        <v>1033</v>
      </c>
      <c r="B2098" s="7" t="s">
        <v>827</v>
      </c>
      <c r="C2098" s="8"/>
      <c r="D2098" s="8"/>
      <c r="E2098" s="8"/>
      <c r="F2098" s="8"/>
      <c r="G2098" s="8"/>
      <c r="H2098" s="8"/>
      <c r="I2098" s="8"/>
      <c r="J2098" s="8"/>
      <c r="K2098" s="8"/>
      <c r="L2098" s="8"/>
      <c r="M2098" s="8"/>
      <c r="N2098" s="8"/>
      <c r="O2098" s="8"/>
      <c r="P2098" s="8"/>
      <c r="Q2098" s="8"/>
      <c r="R2098" s="8"/>
      <c r="S2098" s="8"/>
      <c r="T2098" s="8"/>
      <c r="U2098" s="8"/>
      <c r="V2098" s="8"/>
      <c r="W2098" s="8"/>
      <c r="X2098" s="8"/>
      <c r="Y2098" s="8"/>
      <c r="Z2098" s="8"/>
    </row>
    <row r="2099" spans="1:28" x14ac:dyDescent="0.35">
      <c r="A2099" s="36"/>
      <c r="B2099" s="8"/>
      <c r="C2099" s="7" t="s">
        <v>539</v>
      </c>
      <c r="D2099" s="15" t="s">
        <v>68</v>
      </c>
      <c r="E2099" s="9">
        <f>126589.5+3440700+1254657.5+5557152.48</f>
        <v>10379099.48</v>
      </c>
      <c r="F2099" s="8"/>
      <c r="G2099" s="8"/>
      <c r="H2099" s="9">
        <f t="shared" ref="H2099:H2116" si="285">F2099+G2099</f>
        <v>0</v>
      </c>
      <c r="I2099" s="8"/>
      <c r="J2099" s="9">
        <f t="shared" ref="J2099:J2116" si="286">H2099+I2099</f>
        <v>0</v>
      </c>
      <c r="K2099" s="9">
        <f>3567289.5+1254657.5+5557152.48</f>
        <v>10379099.48</v>
      </c>
      <c r="L2099" s="8"/>
      <c r="M2099" s="9">
        <f>+H2099+L2099</f>
        <v>0</v>
      </c>
      <c r="N2099" s="8">
        <v>10379099.48</v>
      </c>
      <c r="O2099" s="9"/>
      <c r="P2099" s="9">
        <f>+N2099+O2099</f>
        <v>10379099.48</v>
      </c>
      <c r="Q2099" s="9">
        <f t="shared" ref="Q2099:Q2116" si="287">E2099-P2099</f>
        <v>0</v>
      </c>
      <c r="R2099" s="8"/>
      <c r="S2099" s="8"/>
      <c r="T2099" s="8"/>
      <c r="U2099" s="18">
        <f t="shared" ref="U2099:U2116" si="288">+P2099+T2099</f>
        <v>10379099.48</v>
      </c>
      <c r="V2099" s="17"/>
      <c r="W2099" s="17"/>
      <c r="X2099" s="9">
        <f t="shared" ref="X2099:X2116" si="289">+H2099+P2099</f>
        <v>10379099.48</v>
      </c>
      <c r="Y2099" s="8"/>
      <c r="Z2099" s="9">
        <f t="shared" ref="Z2099:Z2116" si="290">+E2099-X2099</f>
        <v>0</v>
      </c>
      <c r="AA2099" s="8">
        <f t="shared" ref="AA2099:AA2116" si="291">+M2099+U2099</f>
        <v>10379099.48</v>
      </c>
      <c r="AB2099" s="8">
        <f t="shared" ref="AB2099:AB2116" si="292">+E2099-AA2099</f>
        <v>0</v>
      </c>
    </row>
    <row r="2100" spans="1:28" x14ac:dyDescent="0.35">
      <c r="A2100" s="36"/>
      <c r="B2100" s="8"/>
      <c r="C2100" s="7" t="s">
        <v>535</v>
      </c>
      <c r="D2100" s="15" t="s">
        <v>68</v>
      </c>
      <c r="E2100" s="9">
        <f>1573200-1398931.74</f>
        <v>174268.26</v>
      </c>
      <c r="F2100" s="8"/>
      <c r="G2100" s="8"/>
      <c r="H2100" s="9">
        <f t="shared" si="285"/>
        <v>0</v>
      </c>
      <c r="I2100" s="8"/>
      <c r="J2100" s="9">
        <f t="shared" si="286"/>
        <v>0</v>
      </c>
      <c r="K2100" s="9">
        <v>174268.26</v>
      </c>
      <c r="L2100" s="8"/>
      <c r="M2100" s="9">
        <f t="shared" ref="M2100:M2116" si="293">+H2100+L2100</f>
        <v>0</v>
      </c>
      <c r="N2100" s="8">
        <v>174268.26</v>
      </c>
      <c r="O2100" s="9"/>
      <c r="P2100" s="9">
        <f t="shared" ref="P2100:P2116" si="294">+N2100+O2100</f>
        <v>174268.26</v>
      </c>
      <c r="Q2100" s="9">
        <f t="shared" si="287"/>
        <v>0</v>
      </c>
      <c r="R2100" s="8"/>
      <c r="S2100" s="8"/>
      <c r="T2100" s="8"/>
      <c r="U2100" s="18">
        <f t="shared" si="288"/>
        <v>174268.26</v>
      </c>
      <c r="V2100" s="17"/>
      <c r="W2100" s="17"/>
      <c r="X2100" s="9">
        <f t="shared" si="289"/>
        <v>174268.26</v>
      </c>
      <c r="Y2100" s="8"/>
      <c r="Z2100" s="9">
        <f t="shared" si="290"/>
        <v>0</v>
      </c>
      <c r="AA2100" s="8">
        <f t="shared" si="291"/>
        <v>174268.26</v>
      </c>
      <c r="AB2100" s="8">
        <f t="shared" si="292"/>
        <v>0</v>
      </c>
    </row>
    <row r="2101" spans="1:28" x14ac:dyDescent="0.35">
      <c r="A2101" s="36"/>
      <c r="B2101" s="8"/>
      <c r="C2101" s="7" t="s">
        <v>535</v>
      </c>
      <c r="D2101" s="15" t="s">
        <v>54</v>
      </c>
      <c r="E2101" s="9">
        <f>466000-23300</f>
        <v>442700</v>
      </c>
      <c r="F2101" s="9">
        <v>442700</v>
      </c>
      <c r="G2101" s="8"/>
      <c r="H2101" s="9">
        <f t="shared" si="285"/>
        <v>442700</v>
      </c>
      <c r="I2101" s="8"/>
      <c r="J2101" s="9">
        <f t="shared" si="286"/>
        <v>442700</v>
      </c>
      <c r="K2101" s="8"/>
      <c r="L2101" s="8"/>
      <c r="M2101" s="9">
        <f t="shared" si="293"/>
        <v>442700</v>
      </c>
      <c r="N2101" s="8"/>
      <c r="O2101" s="9"/>
      <c r="P2101" s="9">
        <f t="shared" si="294"/>
        <v>0</v>
      </c>
      <c r="Q2101" s="9">
        <f t="shared" si="287"/>
        <v>442700</v>
      </c>
      <c r="R2101" s="8"/>
      <c r="S2101" s="8"/>
      <c r="T2101" s="8"/>
      <c r="U2101" s="18">
        <f t="shared" si="288"/>
        <v>0</v>
      </c>
      <c r="V2101" s="17"/>
      <c r="W2101" s="17"/>
      <c r="X2101" s="9">
        <f t="shared" si="289"/>
        <v>442700</v>
      </c>
      <c r="Y2101" s="8"/>
      <c r="Z2101" s="9">
        <f t="shared" si="290"/>
        <v>0</v>
      </c>
      <c r="AA2101" s="8">
        <f t="shared" si="291"/>
        <v>442700</v>
      </c>
      <c r="AB2101" s="8">
        <f t="shared" si="292"/>
        <v>0</v>
      </c>
    </row>
    <row r="2102" spans="1:28" x14ac:dyDescent="0.35">
      <c r="A2102" s="36"/>
      <c r="B2102" s="8"/>
      <c r="C2102" s="7" t="s">
        <v>557</v>
      </c>
      <c r="D2102" s="15" t="s">
        <v>54</v>
      </c>
      <c r="E2102" s="9">
        <v>4426847.5999999996</v>
      </c>
      <c r="F2102" s="9">
        <f>3098793.6+1328054</f>
        <v>4426847.5999999996</v>
      </c>
      <c r="G2102" s="8"/>
      <c r="H2102" s="9">
        <f t="shared" si="285"/>
        <v>4426847.5999999996</v>
      </c>
      <c r="I2102" s="8"/>
      <c r="J2102" s="9">
        <f t="shared" si="286"/>
        <v>4426847.5999999996</v>
      </c>
      <c r="K2102" s="8"/>
      <c r="L2102" s="8"/>
      <c r="M2102" s="9">
        <f t="shared" si="293"/>
        <v>4426847.5999999996</v>
      </c>
      <c r="N2102" s="8"/>
      <c r="O2102" s="9"/>
      <c r="P2102" s="9">
        <f t="shared" si="294"/>
        <v>0</v>
      </c>
      <c r="Q2102" s="9">
        <f t="shared" si="287"/>
        <v>4426847.5999999996</v>
      </c>
      <c r="R2102" s="8"/>
      <c r="S2102" s="8"/>
      <c r="T2102" s="8"/>
      <c r="U2102" s="18">
        <f t="shared" si="288"/>
        <v>0</v>
      </c>
      <c r="V2102" s="17"/>
      <c r="W2102" s="17"/>
      <c r="X2102" s="9">
        <f t="shared" si="289"/>
        <v>4426847.5999999996</v>
      </c>
      <c r="Y2102" s="8"/>
      <c r="Z2102" s="9">
        <f t="shared" si="290"/>
        <v>0</v>
      </c>
      <c r="AA2102" s="8">
        <f t="shared" si="291"/>
        <v>4426847.5999999996</v>
      </c>
      <c r="AB2102" s="8">
        <f t="shared" si="292"/>
        <v>0</v>
      </c>
    </row>
    <row r="2103" spans="1:28" x14ac:dyDescent="0.35">
      <c r="A2103" s="36"/>
      <c r="B2103" s="8"/>
      <c r="C2103" s="7" t="s">
        <v>696</v>
      </c>
      <c r="D2103" s="15" t="s">
        <v>54</v>
      </c>
      <c r="E2103" s="9">
        <f>53915+183585</f>
        <v>237500</v>
      </c>
      <c r="F2103" s="9">
        <f>53915+178450</f>
        <v>232365</v>
      </c>
      <c r="G2103" s="8"/>
      <c r="H2103" s="9">
        <f t="shared" si="285"/>
        <v>232365</v>
      </c>
      <c r="I2103" s="8"/>
      <c r="J2103" s="9">
        <f t="shared" si="286"/>
        <v>232365</v>
      </c>
      <c r="K2103" s="8"/>
      <c r="L2103" s="8"/>
      <c r="M2103" s="9">
        <f t="shared" si="293"/>
        <v>232365</v>
      </c>
      <c r="N2103" s="8"/>
      <c r="O2103" s="9"/>
      <c r="P2103" s="9">
        <f t="shared" si="294"/>
        <v>0</v>
      </c>
      <c r="Q2103" s="9">
        <f t="shared" si="287"/>
        <v>237500</v>
      </c>
      <c r="R2103" s="8"/>
      <c r="S2103" s="8"/>
      <c r="T2103" s="8"/>
      <c r="U2103" s="18">
        <f t="shared" si="288"/>
        <v>0</v>
      </c>
      <c r="V2103" s="17"/>
      <c r="W2103" s="17"/>
      <c r="X2103" s="9">
        <f t="shared" si="289"/>
        <v>232365</v>
      </c>
      <c r="Y2103" s="8"/>
      <c r="Z2103" s="9">
        <f t="shared" si="290"/>
        <v>5135</v>
      </c>
      <c r="AA2103" s="8">
        <f t="shared" si="291"/>
        <v>232365</v>
      </c>
      <c r="AB2103" s="8">
        <f t="shared" si="292"/>
        <v>5135</v>
      </c>
    </row>
    <row r="2104" spans="1:28" x14ac:dyDescent="0.35">
      <c r="A2104" s="36"/>
      <c r="B2104" s="8"/>
      <c r="C2104" s="7" t="s">
        <v>545</v>
      </c>
      <c r="D2104" s="15" t="s">
        <v>54</v>
      </c>
      <c r="E2104" s="9">
        <v>1953989</v>
      </c>
      <c r="F2104" s="8"/>
      <c r="G2104" s="8"/>
      <c r="H2104" s="9">
        <f t="shared" si="285"/>
        <v>0</v>
      </c>
      <c r="I2104" s="8"/>
      <c r="J2104" s="9">
        <f t="shared" si="286"/>
        <v>0</v>
      </c>
      <c r="K2104" s="9">
        <v>1953989</v>
      </c>
      <c r="L2104" s="8"/>
      <c r="M2104" s="9">
        <f t="shared" si="293"/>
        <v>0</v>
      </c>
      <c r="N2104" s="8">
        <v>1953989</v>
      </c>
      <c r="O2104" s="9"/>
      <c r="P2104" s="9">
        <f t="shared" si="294"/>
        <v>1953989</v>
      </c>
      <c r="Q2104" s="9">
        <f t="shared" si="287"/>
        <v>0</v>
      </c>
      <c r="R2104" s="8"/>
      <c r="S2104" s="8"/>
      <c r="T2104" s="8"/>
      <c r="U2104" s="18">
        <f t="shared" si="288"/>
        <v>1953989</v>
      </c>
      <c r="V2104" s="17"/>
      <c r="W2104" s="17"/>
      <c r="X2104" s="9">
        <f t="shared" si="289"/>
        <v>1953989</v>
      </c>
      <c r="Y2104" s="8"/>
      <c r="Z2104" s="9">
        <f t="shared" si="290"/>
        <v>0</v>
      </c>
      <c r="AA2104" s="8">
        <f t="shared" si="291"/>
        <v>1953989</v>
      </c>
      <c r="AB2104" s="8">
        <f t="shared" si="292"/>
        <v>0</v>
      </c>
    </row>
    <row r="2105" spans="1:28" x14ac:dyDescent="0.35">
      <c r="A2105" s="36"/>
      <c r="B2105" s="8"/>
      <c r="C2105" s="7" t="s">
        <v>535</v>
      </c>
      <c r="D2105" s="15" t="s">
        <v>85</v>
      </c>
      <c r="E2105" s="9">
        <f>1060000-106000</f>
        <v>954000</v>
      </c>
      <c r="F2105" s="9">
        <v>954000</v>
      </c>
      <c r="G2105" s="8"/>
      <c r="H2105" s="9">
        <f t="shared" si="285"/>
        <v>954000</v>
      </c>
      <c r="I2105" s="8"/>
      <c r="J2105" s="9">
        <f t="shared" si="286"/>
        <v>954000</v>
      </c>
      <c r="K2105" s="8"/>
      <c r="L2105" s="8"/>
      <c r="M2105" s="9">
        <f t="shared" si="293"/>
        <v>954000</v>
      </c>
      <c r="N2105" s="8"/>
      <c r="O2105" s="9"/>
      <c r="P2105" s="9">
        <f t="shared" si="294"/>
        <v>0</v>
      </c>
      <c r="Q2105" s="9">
        <f t="shared" si="287"/>
        <v>954000</v>
      </c>
      <c r="R2105" s="8"/>
      <c r="S2105" s="8"/>
      <c r="T2105" s="8"/>
      <c r="U2105" s="18">
        <f t="shared" si="288"/>
        <v>0</v>
      </c>
      <c r="V2105" s="17"/>
      <c r="W2105" s="17"/>
      <c r="X2105" s="9">
        <f t="shared" si="289"/>
        <v>954000</v>
      </c>
      <c r="Y2105" s="8"/>
      <c r="Z2105" s="9">
        <f t="shared" si="290"/>
        <v>0</v>
      </c>
      <c r="AA2105" s="8">
        <f t="shared" si="291"/>
        <v>954000</v>
      </c>
      <c r="AB2105" s="8">
        <f t="shared" si="292"/>
        <v>0</v>
      </c>
    </row>
    <row r="2106" spans="1:28" x14ac:dyDescent="0.35">
      <c r="A2106" s="36"/>
      <c r="B2106" s="8"/>
      <c r="C2106" s="7" t="s">
        <v>603</v>
      </c>
      <c r="D2106" s="15" t="s">
        <v>85</v>
      </c>
      <c r="E2106" s="9">
        <v>288000</v>
      </c>
      <c r="F2106" s="9">
        <v>288000</v>
      </c>
      <c r="G2106" s="8"/>
      <c r="H2106" s="9">
        <f t="shared" si="285"/>
        <v>288000</v>
      </c>
      <c r="I2106" s="8"/>
      <c r="J2106" s="9">
        <f t="shared" si="286"/>
        <v>288000</v>
      </c>
      <c r="K2106" s="8"/>
      <c r="L2106" s="8"/>
      <c r="M2106" s="9">
        <f t="shared" si="293"/>
        <v>288000</v>
      </c>
      <c r="N2106" s="8"/>
      <c r="O2106" s="9"/>
      <c r="P2106" s="9">
        <f t="shared" si="294"/>
        <v>0</v>
      </c>
      <c r="Q2106" s="9">
        <f t="shared" si="287"/>
        <v>288000</v>
      </c>
      <c r="R2106" s="8"/>
      <c r="S2106" s="8"/>
      <c r="T2106" s="8"/>
      <c r="U2106" s="18">
        <f t="shared" si="288"/>
        <v>0</v>
      </c>
      <c r="V2106" s="17"/>
      <c r="W2106" s="17"/>
      <c r="X2106" s="9">
        <f t="shared" si="289"/>
        <v>288000</v>
      </c>
      <c r="Y2106" s="8"/>
      <c r="Z2106" s="9">
        <f t="shared" si="290"/>
        <v>0</v>
      </c>
      <c r="AA2106" s="8">
        <f t="shared" si="291"/>
        <v>288000</v>
      </c>
      <c r="AB2106" s="8">
        <f t="shared" si="292"/>
        <v>0</v>
      </c>
    </row>
    <row r="2107" spans="1:28" x14ac:dyDescent="0.35">
      <c r="A2107" s="36"/>
      <c r="B2107" s="8"/>
      <c r="C2107" s="7" t="s">
        <v>535</v>
      </c>
      <c r="D2107" s="15" t="s">
        <v>128</v>
      </c>
      <c r="E2107" s="9">
        <v>540000</v>
      </c>
      <c r="F2107" s="9">
        <v>540000</v>
      </c>
      <c r="G2107" s="8"/>
      <c r="H2107" s="9">
        <f t="shared" si="285"/>
        <v>540000</v>
      </c>
      <c r="I2107" s="8"/>
      <c r="J2107" s="9">
        <f t="shared" si="286"/>
        <v>540000</v>
      </c>
      <c r="K2107" s="8"/>
      <c r="L2107" s="8"/>
      <c r="M2107" s="9">
        <f t="shared" si="293"/>
        <v>540000</v>
      </c>
      <c r="N2107" s="8"/>
      <c r="O2107" s="9"/>
      <c r="P2107" s="9">
        <f t="shared" si="294"/>
        <v>0</v>
      </c>
      <c r="Q2107" s="9">
        <f t="shared" si="287"/>
        <v>540000</v>
      </c>
      <c r="R2107" s="8"/>
      <c r="S2107" s="8"/>
      <c r="T2107" s="8"/>
      <c r="U2107" s="18">
        <f t="shared" si="288"/>
        <v>0</v>
      </c>
      <c r="V2107" s="17"/>
      <c r="W2107" s="17"/>
      <c r="X2107" s="9">
        <f t="shared" si="289"/>
        <v>540000</v>
      </c>
      <c r="Y2107" s="8"/>
      <c r="Z2107" s="9">
        <f t="shared" si="290"/>
        <v>0</v>
      </c>
      <c r="AA2107" s="8">
        <f t="shared" si="291"/>
        <v>540000</v>
      </c>
      <c r="AB2107" s="8">
        <f t="shared" si="292"/>
        <v>0</v>
      </c>
    </row>
    <row r="2108" spans="1:28" x14ac:dyDescent="0.35">
      <c r="A2108" s="36"/>
      <c r="B2108" s="8"/>
      <c r="C2108" s="7" t="s">
        <v>535</v>
      </c>
      <c r="D2108" s="15" t="s">
        <v>108</v>
      </c>
      <c r="E2108" s="9">
        <f>3787343+1278023.51</f>
        <v>5065366.51</v>
      </c>
      <c r="F2108" s="9">
        <f>3787343+1278023.51</f>
        <v>5065366.51</v>
      </c>
      <c r="G2108" s="8"/>
      <c r="H2108" s="9">
        <f t="shared" si="285"/>
        <v>5065366.51</v>
      </c>
      <c r="I2108" s="8"/>
      <c r="J2108" s="9">
        <f t="shared" si="286"/>
        <v>5065366.51</v>
      </c>
      <c r="K2108" s="8"/>
      <c r="L2108" s="8"/>
      <c r="M2108" s="9">
        <f t="shared" si="293"/>
        <v>5065366.51</v>
      </c>
      <c r="N2108" s="8"/>
      <c r="O2108" s="9"/>
      <c r="P2108" s="9">
        <f t="shared" si="294"/>
        <v>0</v>
      </c>
      <c r="Q2108" s="9">
        <f t="shared" si="287"/>
        <v>5065366.51</v>
      </c>
      <c r="R2108" s="8"/>
      <c r="S2108" s="8"/>
      <c r="T2108" s="8"/>
      <c r="U2108" s="18">
        <f t="shared" si="288"/>
        <v>0</v>
      </c>
      <c r="V2108" s="17"/>
      <c r="W2108" s="17"/>
      <c r="X2108" s="9">
        <f t="shared" si="289"/>
        <v>5065366.51</v>
      </c>
      <c r="Y2108" s="8"/>
      <c r="Z2108" s="9">
        <f t="shared" si="290"/>
        <v>0</v>
      </c>
      <c r="AA2108" s="8">
        <f t="shared" si="291"/>
        <v>5065366.51</v>
      </c>
      <c r="AB2108" s="8">
        <f t="shared" si="292"/>
        <v>0</v>
      </c>
    </row>
    <row r="2109" spans="1:28" x14ac:dyDescent="0.35">
      <c r="A2109" s="36"/>
      <c r="B2109" s="8"/>
      <c r="C2109" s="7" t="s">
        <v>535</v>
      </c>
      <c r="D2109" s="15" t="s">
        <v>58</v>
      </c>
      <c r="E2109" s="9">
        <v>4414631</v>
      </c>
      <c r="F2109" s="9">
        <v>4414631</v>
      </c>
      <c r="G2109" s="8"/>
      <c r="H2109" s="9">
        <f t="shared" si="285"/>
        <v>4414631</v>
      </c>
      <c r="I2109" s="8"/>
      <c r="J2109" s="9">
        <f t="shared" si="286"/>
        <v>4414631</v>
      </c>
      <c r="K2109" s="8"/>
      <c r="L2109" s="8"/>
      <c r="M2109" s="9">
        <f t="shared" si="293"/>
        <v>4414631</v>
      </c>
      <c r="N2109" s="8"/>
      <c r="O2109" s="9"/>
      <c r="P2109" s="9">
        <f t="shared" si="294"/>
        <v>0</v>
      </c>
      <c r="Q2109" s="9">
        <f t="shared" si="287"/>
        <v>4414631</v>
      </c>
      <c r="R2109" s="8"/>
      <c r="S2109" s="8"/>
      <c r="T2109" s="8"/>
      <c r="U2109" s="18">
        <f t="shared" si="288"/>
        <v>0</v>
      </c>
      <c r="V2109" s="17"/>
      <c r="W2109" s="17"/>
      <c r="X2109" s="9">
        <f t="shared" si="289"/>
        <v>4414631</v>
      </c>
      <c r="Y2109" s="8"/>
      <c r="Z2109" s="9">
        <f t="shared" si="290"/>
        <v>0</v>
      </c>
      <c r="AA2109" s="8">
        <f t="shared" si="291"/>
        <v>4414631</v>
      </c>
      <c r="AB2109" s="8">
        <f t="shared" si="292"/>
        <v>0</v>
      </c>
    </row>
    <row r="2110" spans="1:28" x14ac:dyDescent="0.35">
      <c r="A2110" s="36"/>
      <c r="B2110" s="8"/>
      <c r="C2110" s="7" t="s">
        <v>535</v>
      </c>
      <c r="D2110" s="15" t="s">
        <v>60</v>
      </c>
      <c r="E2110" s="9">
        <v>4463814</v>
      </c>
      <c r="F2110" s="9">
        <v>4463814</v>
      </c>
      <c r="G2110" s="8"/>
      <c r="H2110" s="9">
        <f t="shared" si="285"/>
        <v>4463814</v>
      </c>
      <c r="I2110" s="8"/>
      <c r="J2110" s="9">
        <f t="shared" si="286"/>
        <v>4463814</v>
      </c>
      <c r="K2110" s="8"/>
      <c r="L2110" s="8"/>
      <c r="M2110" s="9">
        <f t="shared" si="293"/>
        <v>4463814</v>
      </c>
      <c r="N2110" s="8"/>
      <c r="O2110" s="9"/>
      <c r="P2110" s="9">
        <f t="shared" si="294"/>
        <v>0</v>
      </c>
      <c r="Q2110" s="9">
        <f t="shared" si="287"/>
        <v>4463814</v>
      </c>
      <c r="R2110" s="8"/>
      <c r="S2110" s="8"/>
      <c r="T2110" s="8"/>
      <c r="U2110" s="18">
        <f t="shared" si="288"/>
        <v>0</v>
      </c>
      <c r="V2110" s="17"/>
      <c r="W2110" s="17"/>
      <c r="X2110" s="9">
        <f t="shared" si="289"/>
        <v>4463814</v>
      </c>
      <c r="Y2110" s="8"/>
      <c r="Z2110" s="9">
        <f t="shared" si="290"/>
        <v>0</v>
      </c>
      <c r="AA2110" s="8">
        <f t="shared" si="291"/>
        <v>4463814</v>
      </c>
      <c r="AB2110" s="8">
        <f t="shared" si="292"/>
        <v>0</v>
      </c>
    </row>
    <row r="2111" spans="1:28" x14ac:dyDescent="0.35">
      <c r="A2111" s="36"/>
      <c r="B2111" s="8"/>
      <c r="C2111" s="7" t="s">
        <v>535</v>
      </c>
      <c r="D2111" s="15" t="s">
        <v>73</v>
      </c>
      <c r="E2111" s="9">
        <v>752713</v>
      </c>
      <c r="F2111" s="9">
        <v>752713</v>
      </c>
      <c r="G2111" s="8"/>
      <c r="H2111" s="9">
        <f t="shared" si="285"/>
        <v>752713</v>
      </c>
      <c r="I2111" s="8"/>
      <c r="J2111" s="9">
        <f t="shared" si="286"/>
        <v>752713</v>
      </c>
      <c r="K2111" s="8"/>
      <c r="L2111" s="8"/>
      <c r="M2111" s="9">
        <f t="shared" si="293"/>
        <v>752713</v>
      </c>
      <c r="N2111" s="8"/>
      <c r="O2111" s="9"/>
      <c r="P2111" s="9">
        <f t="shared" si="294"/>
        <v>0</v>
      </c>
      <c r="Q2111" s="9">
        <f t="shared" si="287"/>
        <v>752713</v>
      </c>
      <c r="R2111" s="8"/>
      <c r="S2111" s="8"/>
      <c r="T2111" s="8"/>
      <c r="U2111" s="18">
        <f t="shared" si="288"/>
        <v>0</v>
      </c>
      <c r="V2111" s="17"/>
      <c r="W2111" s="17"/>
      <c r="X2111" s="9">
        <f t="shared" si="289"/>
        <v>752713</v>
      </c>
      <c r="Y2111" s="8"/>
      <c r="Z2111" s="9">
        <f t="shared" si="290"/>
        <v>0</v>
      </c>
      <c r="AA2111" s="8">
        <f t="shared" si="291"/>
        <v>752713</v>
      </c>
      <c r="AB2111" s="8">
        <f t="shared" si="292"/>
        <v>0</v>
      </c>
    </row>
    <row r="2112" spans="1:28" x14ac:dyDescent="0.35">
      <c r="A2112" s="36"/>
      <c r="B2112" s="14" t="s">
        <v>620</v>
      </c>
      <c r="C2112" s="7" t="s">
        <v>535</v>
      </c>
      <c r="D2112" s="15" t="s">
        <v>61</v>
      </c>
      <c r="E2112" s="11">
        <f>596579.11+842485.67+199910.52+692493.25</f>
        <v>2331468.5499999998</v>
      </c>
      <c r="F2112" s="11">
        <f>199910.52+2131558.03</f>
        <v>2331468.5499999998</v>
      </c>
      <c r="G2112" s="8"/>
      <c r="H2112" s="9">
        <f t="shared" si="285"/>
        <v>2331468.5499999998</v>
      </c>
      <c r="I2112" s="8"/>
      <c r="J2112" s="9">
        <f t="shared" si="286"/>
        <v>2331468.5499999998</v>
      </c>
      <c r="K2112" s="8"/>
      <c r="L2112" s="8"/>
      <c r="M2112" s="9">
        <f t="shared" si="293"/>
        <v>2331468.5499999998</v>
      </c>
      <c r="N2112" s="8"/>
      <c r="O2112" s="9"/>
      <c r="P2112" s="9">
        <f t="shared" si="294"/>
        <v>0</v>
      </c>
      <c r="Q2112" s="9">
        <f t="shared" si="287"/>
        <v>2331468.5499999998</v>
      </c>
      <c r="R2112" s="8"/>
      <c r="S2112" s="8"/>
      <c r="T2112" s="8"/>
      <c r="U2112" s="18">
        <f t="shared" si="288"/>
        <v>0</v>
      </c>
      <c r="V2112" s="17"/>
      <c r="W2112" s="17"/>
      <c r="X2112" s="9">
        <f t="shared" si="289"/>
        <v>2331468.5499999998</v>
      </c>
      <c r="Y2112" s="8"/>
      <c r="Z2112" s="9">
        <f t="shared" si="290"/>
        <v>0</v>
      </c>
      <c r="AA2112" s="8">
        <f t="shared" si="291"/>
        <v>2331468.5499999998</v>
      </c>
      <c r="AB2112" s="9">
        <f>+G2112-Z2112</f>
        <v>0</v>
      </c>
    </row>
    <row r="2113" spans="1:28" x14ac:dyDescent="0.35">
      <c r="A2113" s="36"/>
      <c r="B2113" s="14"/>
      <c r="C2113" s="7" t="s">
        <v>933</v>
      </c>
      <c r="D2113" s="16" t="s">
        <v>1126</v>
      </c>
      <c r="E2113" s="11">
        <v>744000</v>
      </c>
      <c r="F2113" s="11">
        <v>744000</v>
      </c>
      <c r="G2113" s="8"/>
      <c r="H2113" s="9">
        <f>+F2113+G2113</f>
        <v>744000</v>
      </c>
      <c r="I2113" s="8"/>
      <c r="J2113" s="9">
        <f t="shared" si="286"/>
        <v>744000</v>
      </c>
      <c r="K2113" s="8"/>
      <c r="L2113" s="8"/>
      <c r="M2113" s="9">
        <f t="shared" si="293"/>
        <v>744000</v>
      </c>
      <c r="N2113" s="8"/>
      <c r="O2113" s="9"/>
      <c r="P2113" s="9">
        <f>+N2113+O2113</f>
        <v>0</v>
      </c>
      <c r="Q2113" s="9"/>
      <c r="R2113" s="8"/>
      <c r="S2113" s="8"/>
      <c r="T2113" s="8"/>
      <c r="U2113" s="18">
        <f t="shared" si="288"/>
        <v>0</v>
      </c>
      <c r="V2113" s="17"/>
      <c r="W2113" s="17"/>
      <c r="X2113" s="9">
        <f t="shared" si="289"/>
        <v>744000</v>
      </c>
      <c r="Y2113" s="8"/>
      <c r="Z2113" s="9">
        <f t="shared" si="290"/>
        <v>0</v>
      </c>
      <c r="AA2113" s="8">
        <f t="shared" si="291"/>
        <v>744000</v>
      </c>
      <c r="AB2113" s="9">
        <f>+G2113-Z2113</f>
        <v>0</v>
      </c>
    </row>
    <row r="2114" spans="1:28" x14ac:dyDescent="0.35">
      <c r="A2114" s="36"/>
      <c r="B2114" s="8"/>
      <c r="C2114" s="7" t="s">
        <v>577</v>
      </c>
      <c r="D2114" s="8"/>
      <c r="E2114" s="9">
        <v>191650</v>
      </c>
      <c r="F2114" s="9">
        <v>191650</v>
      </c>
      <c r="G2114" s="8"/>
      <c r="H2114" s="9">
        <f t="shared" si="285"/>
        <v>191650</v>
      </c>
      <c r="I2114" s="8"/>
      <c r="J2114" s="9">
        <f t="shared" si="286"/>
        <v>191650</v>
      </c>
      <c r="K2114" s="8"/>
      <c r="L2114" s="8"/>
      <c r="M2114" s="9">
        <f t="shared" si="293"/>
        <v>191650</v>
      </c>
      <c r="N2114" s="8"/>
      <c r="O2114" s="9"/>
      <c r="P2114" s="9">
        <f t="shared" si="294"/>
        <v>0</v>
      </c>
      <c r="Q2114" s="9">
        <f t="shared" si="287"/>
        <v>191650</v>
      </c>
      <c r="R2114" s="8"/>
      <c r="S2114" s="8"/>
      <c r="T2114" s="8"/>
      <c r="U2114" s="18">
        <f t="shared" si="288"/>
        <v>0</v>
      </c>
      <c r="V2114" s="17"/>
      <c r="W2114" s="17"/>
      <c r="X2114" s="9">
        <f t="shared" si="289"/>
        <v>191650</v>
      </c>
      <c r="Y2114" s="8"/>
      <c r="Z2114" s="9">
        <f t="shared" si="290"/>
        <v>0</v>
      </c>
      <c r="AA2114" s="8">
        <f t="shared" si="291"/>
        <v>191650</v>
      </c>
      <c r="AB2114" s="8">
        <f t="shared" si="292"/>
        <v>0</v>
      </c>
    </row>
    <row r="2115" spans="1:28" x14ac:dyDescent="0.35">
      <c r="A2115" s="36"/>
      <c r="B2115" s="8"/>
      <c r="C2115" s="7" t="s">
        <v>598</v>
      </c>
      <c r="D2115" s="8"/>
      <c r="E2115" s="9">
        <v>177560</v>
      </c>
      <c r="F2115" s="9">
        <v>177560</v>
      </c>
      <c r="G2115" s="8"/>
      <c r="H2115" s="9">
        <f t="shared" si="285"/>
        <v>177560</v>
      </c>
      <c r="I2115" s="8"/>
      <c r="J2115" s="9">
        <f t="shared" si="286"/>
        <v>177560</v>
      </c>
      <c r="K2115" s="8"/>
      <c r="L2115" s="8"/>
      <c r="M2115" s="9">
        <f t="shared" si="293"/>
        <v>177560</v>
      </c>
      <c r="N2115" s="8"/>
      <c r="O2115" s="9"/>
      <c r="P2115" s="9">
        <f t="shared" si="294"/>
        <v>0</v>
      </c>
      <c r="Q2115" s="9">
        <f t="shared" si="287"/>
        <v>177560</v>
      </c>
      <c r="R2115" s="8"/>
      <c r="S2115" s="8"/>
      <c r="T2115" s="8"/>
      <c r="U2115" s="18">
        <f t="shared" si="288"/>
        <v>0</v>
      </c>
      <c r="V2115" s="17"/>
      <c r="W2115" s="17"/>
      <c r="X2115" s="9">
        <f t="shared" si="289"/>
        <v>177560</v>
      </c>
      <c r="Y2115" s="8"/>
      <c r="Z2115" s="9">
        <f t="shared" si="290"/>
        <v>0</v>
      </c>
      <c r="AA2115" s="8">
        <f t="shared" si="291"/>
        <v>177560</v>
      </c>
      <c r="AB2115" s="8">
        <f t="shared" si="292"/>
        <v>0</v>
      </c>
    </row>
    <row r="2116" spans="1:28" x14ac:dyDescent="0.35">
      <c r="A2116" s="36"/>
      <c r="B2116" s="8"/>
      <c r="C2116" s="7" t="s">
        <v>606</v>
      </c>
      <c r="D2116" s="8"/>
      <c r="E2116" s="9">
        <f>2500000+2500000+2500000</f>
        <v>7500000</v>
      </c>
      <c r="F2116" s="9">
        <v>7500000</v>
      </c>
      <c r="G2116" s="8"/>
      <c r="H2116" s="9">
        <f t="shared" si="285"/>
        <v>7500000</v>
      </c>
      <c r="I2116" s="8"/>
      <c r="J2116" s="9">
        <f t="shared" si="286"/>
        <v>7500000</v>
      </c>
      <c r="K2116" s="8"/>
      <c r="L2116" s="8"/>
      <c r="M2116" s="9">
        <f t="shared" si="293"/>
        <v>7500000</v>
      </c>
      <c r="N2116" s="8"/>
      <c r="O2116" s="9"/>
      <c r="P2116" s="9">
        <f t="shared" si="294"/>
        <v>0</v>
      </c>
      <c r="Q2116" s="9">
        <f t="shared" si="287"/>
        <v>7500000</v>
      </c>
      <c r="R2116" s="8"/>
      <c r="S2116" s="8"/>
      <c r="T2116" s="8"/>
      <c r="U2116" s="18">
        <f t="shared" si="288"/>
        <v>0</v>
      </c>
      <c r="V2116" s="17"/>
      <c r="W2116" s="17"/>
      <c r="X2116" s="9">
        <f t="shared" si="289"/>
        <v>7500000</v>
      </c>
      <c r="Y2116" s="8"/>
      <c r="Z2116" s="9">
        <f t="shared" si="290"/>
        <v>0</v>
      </c>
      <c r="AA2116" s="8">
        <f t="shared" si="291"/>
        <v>7500000</v>
      </c>
      <c r="AB2116" s="8">
        <f t="shared" si="292"/>
        <v>0</v>
      </c>
    </row>
    <row r="2117" spans="1:28" x14ac:dyDescent="0.35">
      <c r="A2117" s="36"/>
      <c r="B2117" s="8"/>
      <c r="C2117" s="8"/>
      <c r="D2117" s="8"/>
      <c r="E2117" s="17" t="s">
        <v>29</v>
      </c>
      <c r="F2117" s="17" t="s">
        <v>29</v>
      </c>
      <c r="G2117" s="17" t="s">
        <v>29</v>
      </c>
      <c r="H2117" s="17" t="s">
        <v>29</v>
      </c>
      <c r="I2117" s="17" t="s">
        <v>29</v>
      </c>
      <c r="J2117" s="17" t="s">
        <v>29</v>
      </c>
      <c r="K2117" s="17" t="s">
        <v>29</v>
      </c>
      <c r="L2117" s="17" t="s">
        <v>29</v>
      </c>
      <c r="M2117" s="17" t="s">
        <v>29</v>
      </c>
      <c r="N2117" s="17" t="s">
        <v>29</v>
      </c>
      <c r="O2117" s="17" t="s">
        <v>29</v>
      </c>
      <c r="P2117" s="17" t="s">
        <v>29</v>
      </c>
      <c r="Q2117" s="17" t="s">
        <v>29</v>
      </c>
      <c r="R2117" s="17" t="s">
        <v>29</v>
      </c>
      <c r="S2117" s="17" t="s">
        <v>29</v>
      </c>
      <c r="T2117" s="17" t="s">
        <v>29</v>
      </c>
      <c r="U2117" s="17" t="s">
        <v>29</v>
      </c>
      <c r="V2117" s="17" t="s">
        <v>29</v>
      </c>
      <c r="W2117" s="17" t="s">
        <v>29</v>
      </c>
      <c r="X2117" s="17" t="s">
        <v>29</v>
      </c>
      <c r="Y2117" s="17" t="s">
        <v>29</v>
      </c>
      <c r="Z2117" s="17" t="s">
        <v>29</v>
      </c>
      <c r="AA2117" s="17" t="s">
        <v>29</v>
      </c>
      <c r="AB2117" s="17" t="s">
        <v>29</v>
      </c>
    </row>
    <row r="2118" spans="1:28" x14ac:dyDescent="0.35">
      <c r="A2118" s="36"/>
      <c r="B2118" s="8"/>
      <c r="C2118" s="8"/>
      <c r="D2118" s="8"/>
      <c r="E2118" s="9">
        <f t="shared" ref="E2118:Q2118" si="295">SUM(E2099:E2117)</f>
        <v>45037607.399999999</v>
      </c>
      <c r="F2118" s="9">
        <f t="shared" si="295"/>
        <v>32525115.66</v>
      </c>
      <c r="G2118" s="9">
        <f t="shared" si="295"/>
        <v>0</v>
      </c>
      <c r="H2118" s="9">
        <f t="shared" si="295"/>
        <v>32525115.66</v>
      </c>
      <c r="I2118" s="9">
        <f t="shared" si="295"/>
        <v>0</v>
      </c>
      <c r="J2118" s="9">
        <f t="shared" si="295"/>
        <v>32525115.66</v>
      </c>
      <c r="K2118" s="9">
        <f t="shared" si="295"/>
        <v>12507356.74</v>
      </c>
      <c r="L2118" s="9">
        <f t="shared" si="295"/>
        <v>0</v>
      </c>
      <c r="M2118" s="9">
        <f t="shared" si="295"/>
        <v>32525115.66</v>
      </c>
      <c r="N2118" s="9">
        <f t="shared" si="295"/>
        <v>12507356.74</v>
      </c>
      <c r="O2118" s="9">
        <f t="shared" si="295"/>
        <v>0</v>
      </c>
      <c r="P2118" s="9">
        <f t="shared" si="295"/>
        <v>12507356.74</v>
      </c>
      <c r="Q2118" s="9">
        <f t="shared" si="295"/>
        <v>31786250.66</v>
      </c>
      <c r="R2118" s="8"/>
      <c r="S2118" s="8"/>
      <c r="T2118" s="9">
        <f t="shared" ref="T2118:Z2118" si="296">SUM(T2099:T2117)</f>
        <v>0</v>
      </c>
      <c r="U2118" s="9">
        <f t="shared" si="296"/>
        <v>12507356.74</v>
      </c>
      <c r="V2118" s="9">
        <f t="shared" si="296"/>
        <v>0</v>
      </c>
      <c r="W2118" s="9">
        <f t="shared" si="296"/>
        <v>0</v>
      </c>
      <c r="X2118" s="9">
        <f t="shared" si="296"/>
        <v>45032472.399999999</v>
      </c>
      <c r="Y2118" s="9">
        <f t="shared" si="296"/>
        <v>0</v>
      </c>
      <c r="Z2118" s="9">
        <f t="shared" si="296"/>
        <v>5135</v>
      </c>
      <c r="AA2118" s="9">
        <f>SUM(AA2099:AA2117)</f>
        <v>45032472.399999999</v>
      </c>
      <c r="AB2118" s="9">
        <f>SUM(AB2099:AB2117)</f>
        <v>5135</v>
      </c>
    </row>
    <row r="2119" spans="1:28" x14ac:dyDescent="0.35">
      <c r="A2119" s="36"/>
      <c r="B2119" s="8"/>
      <c r="C2119" s="8"/>
      <c r="D2119" s="8"/>
      <c r="E2119" s="17" t="s">
        <v>29</v>
      </c>
      <c r="F2119" s="17" t="s">
        <v>29</v>
      </c>
      <c r="G2119" s="17" t="s">
        <v>29</v>
      </c>
      <c r="H2119" s="17" t="s">
        <v>29</v>
      </c>
      <c r="I2119" s="17" t="s">
        <v>29</v>
      </c>
      <c r="J2119" s="17" t="s">
        <v>29</v>
      </c>
      <c r="K2119" s="17" t="s">
        <v>29</v>
      </c>
      <c r="L2119" s="17" t="s">
        <v>29</v>
      </c>
      <c r="M2119" s="17" t="s">
        <v>29</v>
      </c>
      <c r="N2119" s="17" t="s">
        <v>29</v>
      </c>
      <c r="O2119" s="17" t="s">
        <v>29</v>
      </c>
      <c r="P2119" s="17" t="s">
        <v>29</v>
      </c>
      <c r="Q2119" s="17" t="s">
        <v>29</v>
      </c>
      <c r="R2119" s="17" t="s">
        <v>29</v>
      </c>
      <c r="S2119" s="17" t="s">
        <v>29</v>
      </c>
      <c r="T2119" s="17" t="s">
        <v>29</v>
      </c>
      <c r="U2119" s="17" t="s">
        <v>29</v>
      </c>
      <c r="V2119" s="17" t="s">
        <v>29</v>
      </c>
      <c r="W2119" s="17" t="s">
        <v>29</v>
      </c>
      <c r="X2119" s="17" t="s">
        <v>29</v>
      </c>
      <c r="Y2119" s="17" t="s">
        <v>29</v>
      </c>
      <c r="Z2119" s="17" t="s">
        <v>29</v>
      </c>
      <c r="AA2119" s="17" t="s">
        <v>29</v>
      </c>
      <c r="AB2119" s="17" t="s">
        <v>29</v>
      </c>
    </row>
    <row r="2120" spans="1:28" x14ac:dyDescent="0.35">
      <c r="A2120" s="38" t="s">
        <v>1034</v>
      </c>
      <c r="B2120" s="7" t="s">
        <v>828</v>
      </c>
      <c r="C2120" s="8"/>
      <c r="D2120" s="8"/>
      <c r="E2120" s="8"/>
      <c r="F2120" s="8"/>
      <c r="G2120" s="8"/>
      <c r="H2120" s="8"/>
      <c r="I2120" s="8"/>
      <c r="J2120" s="8"/>
      <c r="K2120" s="8"/>
      <c r="L2120" s="8"/>
      <c r="M2120" s="8"/>
      <c r="N2120" s="8"/>
      <c r="O2120" s="8"/>
      <c r="P2120" s="8"/>
      <c r="Q2120" s="8"/>
      <c r="R2120" s="8"/>
      <c r="S2120" s="8"/>
      <c r="T2120" s="8"/>
      <c r="U2120" s="8"/>
      <c r="V2120" s="8"/>
      <c r="W2120" s="8"/>
      <c r="X2120" s="8"/>
      <c r="Y2120" s="8"/>
      <c r="Z2120" s="8"/>
    </row>
    <row r="2121" spans="1:28" x14ac:dyDescent="0.35">
      <c r="A2121" s="36"/>
      <c r="B2121" s="8"/>
      <c r="C2121" s="7" t="s">
        <v>535</v>
      </c>
      <c r="D2121" s="15" t="s">
        <v>68</v>
      </c>
      <c r="E2121" s="9">
        <f>855000-81584.8</f>
        <v>773415.2</v>
      </c>
      <c r="F2121" s="9">
        <v>232186</v>
      </c>
      <c r="G2121" s="8"/>
      <c r="H2121" s="9">
        <f t="shared" ref="H2121:H2135" si="297">F2121+G2121</f>
        <v>232186</v>
      </c>
      <c r="I2121" s="8"/>
      <c r="J2121" s="9">
        <f t="shared" ref="J2121:J2135" si="298">H2121+I2121</f>
        <v>232186</v>
      </c>
      <c r="K2121" s="9">
        <v>541229.19999999995</v>
      </c>
      <c r="L2121" s="8"/>
      <c r="M2121" s="9">
        <f>+H2121+L2121</f>
        <v>232186</v>
      </c>
      <c r="N2121" s="8">
        <v>541229.19999999995</v>
      </c>
      <c r="O2121" s="9"/>
      <c r="P2121" s="9">
        <f>+N2121+O2121</f>
        <v>541229.19999999995</v>
      </c>
      <c r="Q2121" s="9">
        <f t="shared" ref="Q2121:Q2135" si="299">E2121-P2121</f>
        <v>232186</v>
      </c>
      <c r="R2121" s="8"/>
      <c r="S2121" s="8"/>
      <c r="T2121" s="8"/>
      <c r="U2121" s="18">
        <f t="shared" ref="U2121:U2135" si="300">+P2121+T2121</f>
        <v>541229.19999999995</v>
      </c>
      <c r="V2121" s="17"/>
      <c r="W2121" s="17"/>
      <c r="X2121" s="9">
        <f t="shared" ref="X2121:X2135" si="301">+H2121+P2121</f>
        <v>773415.2</v>
      </c>
      <c r="Y2121" s="8"/>
      <c r="Z2121" s="9">
        <f t="shared" ref="Z2121:Z2135" si="302">+E2121-X2121</f>
        <v>0</v>
      </c>
      <c r="AA2121" s="8">
        <f t="shared" ref="AA2121:AA2135" si="303">+M2121+U2121</f>
        <v>773415.2</v>
      </c>
      <c r="AB2121" s="8">
        <f t="shared" ref="AB2121:AB2135" si="304">+E2121-AA2121</f>
        <v>0</v>
      </c>
    </row>
    <row r="2122" spans="1:28" x14ac:dyDescent="0.35">
      <c r="A2122" s="36"/>
      <c r="B2122" s="8"/>
      <c r="C2122" s="7" t="s">
        <v>539</v>
      </c>
      <c r="D2122" s="15" t="s">
        <v>68</v>
      </c>
      <c r="E2122" s="9">
        <v>385358.4</v>
      </c>
      <c r="F2122" s="8"/>
      <c r="G2122" s="8"/>
      <c r="H2122" s="9">
        <f t="shared" si="297"/>
        <v>0</v>
      </c>
      <c r="I2122" s="8"/>
      <c r="J2122" s="9">
        <f t="shared" si="298"/>
        <v>0</v>
      </c>
      <c r="K2122" s="9">
        <v>385358.4</v>
      </c>
      <c r="L2122" s="8"/>
      <c r="M2122" s="9">
        <f t="shared" ref="M2122:M2135" si="305">+H2122+L2122</f>
        <v>0</v>
      </c>
      <c r="N2122" s="8">
        <v>385358.4</v>
      </c>
      <c r="O2122" s="9"/>
      <c r="P2122" s="9">
        <f t="shared" ref="P2122:P2135" si="306">+N2122+O2122</f>
        <v>385358.4</v>
      </c>
      <c r="Q2122" s="9">
        <f t="shared" si="299"/>
        <v>0</v>
      </c>
      <c r="R2122" s="8"/>
      <c r="S2122" s="8"/>
      <c r="T2122" s="8"/>
      <c r="U2122" s="18">
        <f t="shared" si="300"/>
        <v>385358.4</v>
      </c>
      <c r="V2122" s="17"/>
      <c r="W2122" s="17"/>
      <c r="X2122" s="9">
        <f t="shared" si="301"/>
        <v>385358.4</v>
      </c>
      <c r="Y2122" s="8"/>
      <c r="Z2122" s="9">
        <f t="shared" si="302"/>
        <v>0</v>
      </c>
      <c r="AA2122" s="8">
        <f t="shared" si="303"/>
        <v>385358.4</v>
      </c>
      <c r="AB2122" s="8">
        <f t="shared" si="304"/>
        <v>0</v>
      </c>
    </row>
    <row r="2123" spans="1:28" x14ac:dyDescent="0.35">
      <c r="A2123" s="36"/>
      <c r="B2123" s="8"/>
      <c r="C2123" s="7" t="s">
        <v>535</v>
      </c>
      <c r="D2123" s="15" t="s">
        <v>54</v>
      </c>
      <c r="E2123" s="9">
        <v>199000</v>
      </c>
      <c r="F2123" s="9">
        <v>199000</v>
      </c>
      <c r="G2123" s="8"/>
      <c r="H2123" s="9">
        <f t="shared" si="297"/>
        <v>199000</v>
      </c>
      <c r="I2123" s="8"/>
      <c r="J2123" s="9">
        <f t="shared" si="298"/>
        <v>199000</v>
      </c>
      <c r="K2123" s="8"/>
      <c r="L2123" s="8"/>
      <c r="M2123" s="9">
        <f t="shared" si="305"/>
        <v>199000</v>
      </c>
      <c r="N2123" s="8"/>
      <c r="O2123" s="9"/>
      <c r="P2123" s="9">
        <f t="shared" si="306"/>
        <v>0</v>
      </c>
      <c r="Q2123" s="9">
        <f t="shared" si="299"/>
        <v>199000</v>
      </c>
      <c r="R2123" s="8"/>
      <c r="S2123" s="8"/>
      <c r="T2123" s="8"/>
      <c r="U2123" s="18">
        <f t="shared" si="300"/>
        <v>0</v>
      </c>
      <c r="V2123" s="17"/>
      <c r="W2123" s="17"/>
      <c r="X2123" s="9">
        <f t="shared" si="301"/>
        <v>199000</v>
      </c>
      <c r="Y2123" s="8"/>
      <c r="Z2123" s="9">
        <f t="shared" si="302"/>
        <v>0</v>
      </c>
      <c r="AA2123" s="8">
        <f t="shared" si="303"/>
        <v>199000</v>
      </c>
      <c r="AB2123" s="8">
        <f t="shared" si="304"/>
        <v>0</v>
      </c>
    </row>
    <row r="2124" spans="1:28" x14ac:dyDescent="0.35">
      <c r="A2124" s="36"/>
      <c r="B2124" s="8"/>
      <c r="C2124" s="7" t="s">
        <v>545</v>
      </c>
      <c r="D2124" s="15" t="s">
        <v>54</v>
      </c>
      <c r="E2124" s="9">
        <v>570941</v>
      </c>
      <c r="F2124" s="8"/>
      <c r="G2124" s="8"/>
      <c r="H2124" s="9">
        <f t="shared" si="297"/>
        <v>0</v>
      </c>
      <c r="I2124" s="8"/>
      <c r="J2124" s="9">
        <f t="shared" si="298"/>
        <v>0</v>
      </c>
      <c r="K2124" s="9">
        <v>570941</v>
      </c>
      <c r="L2124" s="8"/>
      <c r="M2124" s="9">
        <f t="shared" si="305"/>
        <v>0</v>
      </c>
      <c r="N2124" s="8">
        <v>570941</v>
      </c>
      <c r="O2124" s="9"/>
      <c r="P2124" s="9">
        <f t="shared" si="306"/>
        <v>570941</v>
      </c>
      <c r="Q2124" s="9">
        <f t="shared" si="299"/>
        <v>0</v>
      </c>
      <c r="R2124" s="8"/>
      <c r="S2124" s="8"/>
      <c r="T2124" s="8"/>
      <c r="U2124" s="18">
        <f t="shared" si="300"/>
        <v>570941</v>
      </c>
      <c r="V2124" s="17"/>
      <c r="W2124" s="17"/>
      <c r="X2124" s="9">
        <f t="shared" si="301"/>
        <v>570941</v>
      </c>
      <c r="Y2124" s="8"/>
      <c r="Z2124" s="9">
        <f t="shared" si="302"/>
        <v>0</v>
      </c>
      <c r="AA2124" s="8">
        <f t="shared" si="303"/>
        <v>570941</v>
      </c>
      <c r="AB2124" s="8">
        <f t="shared" si="304"/>
        <v>0</v>
      </c>
    </row>
    <row r="2125" spans="1:28" x14ac:dyDescent="0.35">
      <c r="A2125" s="36"/>
      <c r="B2125" s="8"/>
      <c r="C2125" s="7" t="s">
        <v>557</v>
      </c>
      <c r="D2125" s="15" t="s">
        <v>54</v>
      </c>
      <c r="E2125" s="9">
        <v>1500000</v>
      </c>
      <c r="F2125" s="9">
        <v>1500000</v>
      </c>
      <c r="G2125" s="8"/>
      <c r="H2125" s="9">
        <f t="shared" si="297"/>
        <v>1500000</v>
      </c>
      <c r="I2125" s="8"/>
      <c r="J2125" s="9">
        <f t="shared" si="298"/>
        <v>1500000</v>
      </c>
      <c r="K2125" s="8"/>
      <c r="L2125" s="8"/>
      <c r="M2125" s="9">
        <f t="shared" si="305"/>
        <v>1500000</v>
      </c>
      <c r="N2125" s="8"/>
      <c r="O2125" s="9"/>
      <c r="P2125" s="9">
        <f t="shared" si="306"/>
        <v>0</v>
      </c>
      <c r="Q2125" s="9">
        <f t="shared" si="299"/>
        <v>1500000</v>
      </c>
      <c r="R2125" s="8"/>
      <c r="S2125" s="8"/>
      <c r="T2125" s="8"/>
      <c r="U2125" s="18">
        <f t="shared" si="300"/>
        <v>0</v>
      </c>
      <c r="V2125" s="17"/>
      <c r="W2125" s="17"/>
      <c r="X2125" s="9">
        <f t="shared" si="301"/>
        <v>1500000</v>
      </c>
      <c r="Y2125" s="8"/>
      <c r="Z2125" s="9">
        <f t="shared" si="302"/>
        <v>0</v>
      </c>
      <c r="AA2125" s="8">
        <f t="shared" si="303"/>
        <v>1500000</v>
      </c>
      <c r="AB2125" s="8">
        <f t="shared" si="304"/>
        <v>0</v>
      </c>
    </row>
    <row r="2126" spans="1:28" x14ac:dyDescent="0.35">
      <c r="A2126" s="36"/>
      <c r="B2126" s="8"/>
      <c r="C2126" s="7" t="s">
        <v>535</v>
      </c>
      <c r="D2126" s="15" t="s">
        <v>85</v>
      </c>
      <c r="E2126" s="9">
        <f>300000-30000</f>
        <v>270000</v>
      </c>
      <c r="F2126" s="9">
        <v>270000</v>
      </c>
      <c r="G2126" s="8"/>
      <c r="H2126" s="9">
        <f t="shared" si="297"/>
        <v>270000</v>
      </c>
      <c r="I2126" s="8"/>
      <c r="J2126" s="9">
        <f t="shared" si="298"/>
        <v>270000</v>
      </c>
      <c r="K2126" s="8"/>
      <c r="L2126" s="8"/>
      <c r="M2126" s="9">
        <f t="shared" si="305"/>
        <v>270000</v>
      </c>
      <c r="N2126" s="8"/>
      <c r="O2126" s="9"/>
      <c r="P2126" s="9">
        <f t="shared" si="306"/>
        <v>0</v>
      </c>
      <c r="Q2126" s="9">
        <f t="shared" si="299"/>
        <v>270000</v>
      </c>
      <c r="R2126" s="8"/>
      <c r="S2126" s="8"/>
      <c r="T2126" s="8"/>
      <c r="U2126" s="18">
        <f t="shared" si="300"/>
        <v>0</v>
      </c>
      <c r="V2126" s="17"/>
      <c r="W2126" s="17"/>
      <c r="X2126" s="9">
        <f t="shared" si="301"/>
        <v>270000</v>
      </c>
      <c r="Y2126" s="8"/>
      <c r="Z2126" s="9">
        <f t="shared" si="302"/>
        <v>0</v>
      </c>
      <c r="AA2126" s="8">
        <f t="shared" si="303"/>
        <v>270000</v>
      </c>
      <c r="AB2126" s="8">
        <f t="shared" si="304"/>
        <v>0</v>
      </c>
    </row>
    <row r="2127" spans="1:28" x14ac:dyDescent="0.35">
      <c r="A2127" s="36"/>
      <c r="B2127" s="8"/>
      <c r="C2127" s="7" t="s">
        <v>557</v>
      </c>
      <c r="D2127" s="15" t="s">
        <v>85</v>
      </c>
      <c r="E2127" s="9">
        <v>1500000</v>
      </c>
      <c r="F2127" s="9">
        <v>1500000</v>
      </c>
      <c r="G2127" s="8"/>
      <c r="H2127" s="9">
        <f t="shared" si="297"/>
        <v>1500000</v>
      </c>
      <c r="I2127" s="8"/>
      <c r="J2127" s="9">
        <f t="shared" si="298"/>
        <v>1500000</v>
      </c>
      <c r="K2127" s="8"/>
      <c r="L2127" s="8"/>
      <c r="M2127" s="9">
        <f t="shared" si="305"/>
        <v>1500000</v>
      </c>
      <c r="N2127" s="8"/>
      <c r="O2127" s="9"/>
      <c r="P2127" s="9">
        <f t="shared" si="306"/>
        <v>0</v>
      </c>
      <c r="Q2127" s="9">
        <f t="shared" si="299"/>
        <v>1500000</v>
      </c>
      <c r="R2127" s="8"/>
      <c r="S2127" s="8"/>
      <c r="T2127" s="8"/>
      <c r="U2127" s="18">
        <f t="shared" si="300"/>
        <v>0</v>
      </c>
      <c r="V2127" s="17"/>
      <c r="W2127" s="17"/>
      <c r="X2127" s="9">
        <f t="shared" si="301"/>
        <v>1500000</v>
      </c>
      <c r="Y2127" s="8"/>
      <c r="Z2127" s="9">
        <f t="shared" si="302"/>
        <v>0</v>
      </c>
      <c r="AA2127" s="8">
        <f t="shared" si="303"/>
        <v>1500000</v>
      </c>
      <c r="AB2127" s="8">
        <f t="shared" si="304"/>
        <v>0</v>
      </c>
    </row>
    <row r="2128" spans="1:28" x14ac:dyDescent="0.35">
      <c r="A2128" s="36"/>
      <c r="B2128" s="8"/>
      <c r="C2128" s="7" t="s">
        <v>535</v>
      </c>
      <c r="D2128" s="15" t="s">
        <v>128</v>
      </c>
      <c r="E2128" s="9">
        <f>3183837.73+500000</f>
        <v>3683837.73</v>
      </c>
      <c r="F2128" s="9">
        <f>3183837.73+500000</f>
        <v>3683837.73</v>
      </c>
      <c r="G2128" s="8"/>
      <c r="H2128" s="9">
        <f t="shared" si="297"/>
        <v>3683837.73</v>
      </c>
      <c r="I2128" s="8"/>
      <c r="J2128" s="9">
        <f t="shared" si="298"/>
        <v>3683837.73</v>
      </c>
      <c r="K2128" s="8"/>
      <c r="L2128" s="8"/>
      <c r="M2128" s="9">
        <f t="shared" si="305"/>
        <v>3683837.73</v>
      </c>
      <c r="N2128" s="8"/>
      <c r="O2128" s="9"/>
      <c r="P2128" s="9">
        <f t="shared" si="306"/>
        <v>0</v>
      </c>
      <c r="Q2128" s="9">
        <f t="shared" si="299"/>
        <v>3683837.73</v>
      </c>
      <c r="R2128" s="8"/>
      <c r="S2128" s="8"/>
      <c r="T2128" s="8"/>
      <c r="U2128" s="18">
        <f t="shared" si="300"/>
        <v>0</v>
      </c>
      <c r="V2128" s="17"/>
      <c r="W2128" s="17"/>
      <c r="X2128" s="9">
        <f t="shared" si="301"/>
        <v>3683837.73</v>
      </c>
      <c r="Y2128" s="8"/>
      <c r="Z2128" s="9">
        <f t="shared" si="302"/>
        <v>0</v>
      </c>
      <c r="AA2128" s="8">
        <f t="shared" si="303"/>
        <v>3683837.73</v>
      </c>
      <c r="AB2128" s="8">
        <f t="shared" si="304"/>
        <v>0</v>
      </c>
    </row>
    <row r="2129" spans="1:28" x14ac:dyDescent="0.35">
      <c r="A2129" s="36"/>
      <c r="B2129" s="8"/>
      <c r="C2129" s="7" t="s">
        <v>542</v>
      </c>
      <c r="D2129" s="15" t="s">
        <v>88</v>
      </c>
      <c r="E2129" s="9">
        <v>6200000</v>
      </c>
      <c r="F2129" s="9">
        <v>6200000</v>
      </c>
      <c r="G2129" s="8"/>
      <c r="H2129" s="9">
        <f t="shared" si="297"/>
        <v>6200000</v>
      </c>
      <c r="I2129" s="8"/>
      <c r="J2129" s="9">
        <f t="shared" si="298"/>
        <v>6200000</v>
      </c>
      <c r="K2129" s="8"/>
      <c r="L2129" s="8"/>
      <c r="M2129" s="9">
        <f t="shared" si="305"/>
        <v>6200000</v>
      </c>
      <c r="N2129" s="8"/>
      <c r="O2129" s="9"/>
      <c r="P2129" s="9">
        <f t="shared" si="306"/>
        <v>0</v>
      </c>
      <c r="Q2129" s="9">
        <f t="shared" si="299"/>
        <v>6200000</v>
      </c>
      <c r="R2129" s="8"/>
      <c r="S2129" s="8"/>
      <c r="T2129" s="8"/>
      <c r="U2129" s="18">
        <f t="shared" si="300"/>
        <v>0</v>
      </c>
      <c r="V2129" s="17"/>
      <c r="W2129" s="17"/>
      <c r="X2129" s="9">
        <f t="shared" si="301"/>
        <v>6200000</v>
      </c>
      <c r="Y2129" s="8"/>
      <c r="Z2129" s="9">
        <f t="shared" si="302"/>
        <v>0</v>
      </c>
      <c r="AA2129" s="8">
        <f t="shared" si="303"/>
        <v>6200000</v>
      </c>
      <c r="AB2129" s="8">
        <f t="shared" si="304"/>
        <v>0</v>
      </c>
    </row>
    <row r="2130" spans="1:28" x14ac:dyDescent="0.35">
      <c r="A2130" s="36"/>
      <c r="B2130" s="8"/>
      <c r="C2130" s="7" t="s">
        <v>535</v>
      </c>
      <c r="D2130" s="15" t="s">
        <v>108</v>
      </c>
      <c r="E2130" s="9">
        <f>3271929.23+2028274</f>
        <v>5300203.2300000004</v>
      </c>
      <c r="F2130" s="9">
        <f>3271929.23+2028274</f>
        <v>5300203.2300000004</v>
      </c>
      <c r="G2130" s="8"/>
      <c r="H2130" s="9">
        <f t="shared" si="297"/>
        <v>5300203.2300000004</v>
      </c>
      <c r="I2130" s="8"/>
      <c r="J2130" s="9">
        <f t="shared" si="298"/>
        <v>5300203.2300000004</v>
      </c>
      <c r="K2130" s="8"/>
      <c r="L2130" s="8"/>
      <c r="M2130" s="9">
        <f t="shared" si="305"/>
        <v>5300203.2300000004</v>
      </c>
      <c r="N2130" s="8"/>
      <c r="O2130" s="9"/>
      <c r="P2130" s="9">
        <f t="shared" si="306"/>
        <v>0</v>
      </c>
      <c r="Q2130" s="9">
        <f t="shared" si="299"/>
        <v>5300203.2300000004</v>
      </c>
      <c r="R2130" s="8"/>
      <c r="S2130" s="8"/>
      <c r="T2130" s="8"/>
      <c r="U2130" s="18">
        <f t="shared" si="300"/>
        <v>0</v>
      </c>
      <c r="V2130" s="17"/>
      <c r="W2130" s="17"/>
      <c r="X2130" s="9">
        <f t="shared" si="301"/>
        <v>5300203.2300000004</v>
      </c>
      <c r="Y2130" s="8"/>
      <c r="Z2130" s="9">
        <f t="shared" si="302"/>
        <v>0</v>
      </c>
      <c r="AA2130" s="8">
        <f t="shared" si="303"/>
        <v>5300203.2300000004</v>
      </c>
      <c r="AB2130" s="8">
        <f t="shared" si="304"/>
        <v>0</v>
      </c>
    </row>
    <row r="2131" spans="1:28" x14ac:dyDescent="0.35">
      <c r="A2131" s="36"/>
      <c r="B2131" s="8"/>
      <c r="C2131" s="7" t="s">
        <v>535</v>
      </c>
      <c r="D2131" s="15" t="s">
        <v>58</v>
      </c>
      <c r="E2131" s="9">
        <f>3497162.62+1089450+1710150</f>
        <v>6296762.6200000001</v>
      </c>
      <c r="F2131" s="9">
        <f>4586612.62+1710150</f>
        <v>6296762.6200000001</v>
      </c>
      <c r="G2131" s="8"/>
      <c r="H2131" s="9">
        <f t="shared" si="297"/>
        <v>6296762.6200000001</v>
      </c>
      <c r="I2131" s="8"/>
      <c r="J2131" s="9">
        <f t="shared" si="298"/>
        <v>6296762.6200000001</v>
      </c>
      <c r="K2131" s="8"/>
      <c r="L2131" s="8"/>
      <c r="M2131" s="9">
        <f t="shared" si="305"/>
        <v>6296762.6200000001</v>
      </c>
      <c r="N2131" s="8"/>
      <c r="O2131" s="9"/>
      <c r="P2131" s="9">
        <f t="shared" si="306"/>
        <v>0</v>
      </c>
      <c r="Q2131" s="9">
        <f t="shared" si="299"/>
        <v>6296762.6200000001</v>
      </c>
      <c r="R2131" s="8"/>
      <c r="S2131" s="8"/>
      <c r="T2131" s="8"/>
      <c r="U2131" s="18">
        <f t="shared" si="300"/>
        <v>0</v>
      </c>
      <c r="V2131" s="17"/>
      <c r="W2131" s="17"/>
      <c r="X2131" s="9">
        <f t="shared" si="301"/>
        <v>6296762.6200000001</v>
      </c>
      <c r="Y2131" s="8"/>
      <c r="Z2131" s="9">
        <f t="shared" si="302"/>
        <v>0</v>
      </c>
      <c r="AA2131" s="8">
        <f t="shared" si="303"/>
        <v>6296762.6200000001</v>
      </c>
      <c r="AB2131" s="8">
        <f t="shared" si="304"/>
        <v>0</v>
      </c>
    </row>
    <row r="2132" spans="1:28" x14ac:dyDescent="0.35">
      <c r="A2132" s="36"/>
      <c r="B2132" s="8"/>
      <c r="C2132" s="7" t="s">
        <v>535</v>
      </c>
      <c r="D2132" s="15" t="s">
        <v>60</v>
      </c>
      <c r="E2132" s="9">
        <f>3660145+3800000+6000000+2359759.62-2359759.62</f>
        <v>13460145</v>
      </c>
      <c r="F2132" s="9">
        <f>3660145+3800000+6000000+2359759.62-2359759.62</f>
        <v>13460145</v>
      </c>
      <c r="G2132" s="8"/>
      <c r="H2132" s="9">
        <f t="shared" si="297"/>
        <v>13460145</v>
      </c>
      <c r="I2132" s="9"/>
      <c r="J2132" s="9">
        <f t="shared" si="298"/>
        <v>13460145</v>
      </c>
      <c r="K2132" s="8"/>
      <c r="L2132" s="8"/>
      <c r="M2132" s="9">
        <f t="shared" si="305"/>
        <v>13460145</v>
      </c>
      <c r="N2132" s="8"/>
      <c r="O2132" s="9"/>
      <c r="P2132" s="9">
        <f t="shared" si="306"/>
        <v>0</v>
      </c>
      <c r="Q2132" s="9">
        <f t="shared" si="299"/>
        <v>13460145</v>
      </c>
      <c r="R2132" s="8"/>
      <c r="S2132" s="8"/>
      <c r="T2132" s="8"/>
      <c r="U2132" s="18">
        <f t="shared" si="300"/>
        <v>0</v>
      </c>
      <c r="V2132" s="17"/>
      <c r="W2132" s="17"/>
      <c r="X2132" s="9">
        <f t="shared" si="301"/>
        <v>13460145</v>
      </c>
      <c r="Y2132" s="8"/>
      <c r="Z2132" s="9">
        <f t="shared" si="302"/>
        <v>0</v>
      </c>
      <c r="AA2132" s="8">
        <f t="shared" si="303"/>
        <v>13460145</v>
      </c>
      <c r="AB2132" s="8">
        <f t="shared" si="304"/>
        <v>0</v>
      </c>
    </row>
    <row r="2133" spans="1:28" x14ac:dyDescent="0.35">
      <c r="A2133" s="36"/>
      <c r="B2133" s="8"/>
      <c r="C2133" s="14" t="s">
        <v>535</v>
      </c>
      <c r="D2133" s="21" t="s">
        <v>73</v>
      </c>
      <c r="E2133" s="11">
        <v>5000000</v>
      </c>
      <c r="F2133" s="11">
        <v>5000000</v>
      </c>
      <c r="G2133" s="8"/>
      <c r="H2133" s="9">
        <f t="shared" si="297"/>
        <v>5000000</v>
      </c>
      <c r="I2133" s="8"/>
      <c r="J2133" s="9">
        <f t="shared" si="298"/>
        <v>5000000</v>
      </c>
      <c r="K2133" s="8"/>
      <c r="L2133" s="8"/>
      <c r="M2133" s="9">
        <f t="shared" si="305"/>
        <v>5000000</v>
      </c>
      <c r="N2133" s="8"/>
      <c r="O2133" s="9"/>
      <c r="P2133" s="9">
        <f t="shared" si="306"/>
        <v>0</v>
      </c>
      <c r="Q2133" s="9">
        <f t="shared" si="299"/>
        <v>5000000</v>
      </c>
      <c r="R2133" s="8"/>
      <c r="S2133" s="8"/>
      <c r="T2133" s="8"/>
      <c r="U2133" s="18">
        <f t="shared" si="300"/>
        <v>0</v>
      </c>
      <c r="V2133" s="17"/>
      <c r="W2133" s="17"/>
      <c r="X2133" s="9">
        <f t="shared" si="301"/>
        <v>5000000</v>
      </c>
      <c r="Y2133" s="8"/>
      <c r="Z2133" s="9">
        <f t="shared" si="302"/>
        <v>0</v>
      </c>
      <c r="AA2133" s="8">
        <f t="shared" si="303"/>
        <v>5000000</v>
      </c>
      <c r="AB2133" s="8">
        <f t="shared" si="304"/>
        <v>0</v>
      </c>
    </row>
    <row r="2134" spans="1:28" x14ac:dyDescent="0.35">
      <c r="A2134" s="36"/>
      <c r="B2134" s="8"/>
      <c r="C2134" s="7" t="s">
        <v>550</v>
      </c>
      <c r="D2134" s="8"/>
      <c r="E2134" s="9">
        <v>475501</v>
      </c>
      <c r="F2134" s="9">
        <v>475501</v>
      </c>
      <c r="G2134" s="8"/>
      <c r="H2134" s="9">
        <f t="shared" si="297"/>
        <v>475501</v>
      </c>
      <c r="I2134" s="8"/>
      <c r="J2134" s="9">
        <f t="shared" si="298"/>
        <v>475501</v>
      </c>
      <c r="K2134" s="8"/>
      <c r="L2134" s="8"/>
      <c r="M2134" s="9">
        <f t="shared" si="305"/>
        <v>475501</v>
      </c>
      <c r="N2134" s="8"/>
      <c r="O2134" s="9"/>
      <c r="P2134" s="9">
        <f t="shared" si="306"/>
        <v>0</v>
      </c>
      <c r="Q2134" s="9">
        <f t="shared" si="299"/>
        <v>475501</v>
      </c>
      <c r="R2134" s="8"/>
      <c r="S2134" s="8"/>
      <c r="T2134" s="8"/>
      <c r="U2134" s="18">
        <f t="shared" si="300"/>
        <v>0</v>
      </c>
      <c r="V2134" s="17"/>
      <c r="W2134" s="17"/>
      <c r="X2134" s="9">
        <f t="shared" si="301"/>
        <v>475501</v>
      </c>
      <c r="Y2134" s="8"/>
      <c r="Z2134" s="9">
        <f t="shared" si="302"/>
        <v>0</v>
      </c>
      <c r="AA2134" s="8">
        <f t="shared" si="303"/>
        <v>475501</v>
      </c>
      <c r="AB2134" s="8">
        <f t="shared" si="304"/>
        <v>0</v>
      </c>
    </row>
    <row r="2135" spans="1:28" x14ac:dyDescent="0.35">
      <c r="A2135" s="36"/>
      <c r="B2135" s="8"/>
      <c r="C2135" s="7" t="s">
        <v>606</v>
      </c>
      <c r="D2135" s="8"/>
      <c r="E2135" s="9">
        <f>1380313+3619687</f>
        <v>5000000</v>
      </c>
      <c r="F2135" s="9">
        <v>5000000</v>
      </c>
      <c r="G2135" s="8"/>
      <c r="H2135" s="9">
        <f t="shared" si="297"/>
        <v>5000000</v>
      </c>
      <c r="I2135" s="8"/>
      <c r="J2135" s="9">
        <f t="shared" si="298"/>
        <v>5000000</v>
      </c>
      <c r="K2135" s="8"/>
      <c r="L2135" s="8"/>
      <c r="M2135" s="9">
        <f t="shared" si="305"/>
        <v>5000000</v>
      </c>
      <c r="N2135" s="8"/>
      <c r="O2135" s="9"/>
      <c r="P2135" s="9">
        <f t="shared" si="306"/>
        <v>0</v>
      </c>
      <c r="Q2135" s="9">
        <f t="shared" si="299"/>
        <v>5000000</v>
      </c>
      <c r="R2135" s="8"/>
      <c r="S2135" s="8"/>
      <c r="T2135" s="8"/>
      <c r="U2135" s="18">
        <f t="shared" si="300"/>
        <v>0</v>
      </c>
      <c r="V2135" s="17"/>
      <c r="W2135" s="17"/>
      <c r="X2135" s="9">
        <f t="shared" si="301"/>
        <v>5000000</v>
      </c>
      <c r="Y2135" s="8"/>
      <c r="Z2135" s="9">
        <f t="shared" si="302"/>
        <v>0</v>
      </c>
      <c r="AA2135" s="8">
        <f t="shared" si="303"/>
        <v>5000000</v>
      </c>
      <c r="AB2135" s="8">
        <f t="shared" si="304"/>
        <v>0</v>
      </c>
    </row>
    <row r="2136" spans="1:28" x14ac:dyDescent="0.35">
      <c r="A2136" s="36"/>
      <c r="B2136" s="8"/>
      <c r="C2136" s="8"/>
      <c r="D2136" s="8"/>
      <c r="E2136" s="17" t="s">
        <v>29</v>
      </c>
      <c r="F2136" s="17" t="s">
        <v>29</v>
      </c>
      <c r="G2136" s="17" t="s">
        <v>29</v>
      </c>
      <c r="H2136" s="17" t="s">
        <v>29</v>
      </c>
      <c r="I2136" s="17" t="s">
        <v>29</v>
      </c>
      <c r="J2136" s="17" t="s">
        <v>29</v>
      </c>
      <c r="K2136" s="17" t="s">
        <v>29</v>
      </c>
      <c r="L2136" s="17" t="s">
        <v>29</v>
      </c>
      <c r="M2136" s="17" t="s">
        <v>29</v>
      </c>
      <c r="N2136" s="17" t="s">
        <v>29</v>
      </c>
      <c r="O2136" s="17" t="s">
        <v>29</v>
      </c>
      <c r="P2136" s="17" t="s">
        <v>29</v>
      </c>
      <c r="Q2136" s="17" t="s">
        <v>29</v>
      </c>
      <c r="R2136" s="17" t="s">
        <v>29</v>
      </c>
      <c r="S2136" s="17" t="s">
        <v>29</v>
      </c>
      <c r="T2136" s="17" t="s">
        <v>29</v>
      </c>
      <c r="U2136" s="17" t="s">
        <v>29</v>
      </c>
      <c r="V2136" s="17" t="s">
        <v>29</v>
      </c>
      <c r="W2136" s="17" t="s">
        <v>29</v>
      </c>
      <c r="X2136" s="17" t="s">
        <v>29</v>
      </c>
      <c r="Y2136" s="17" t="s">
        <v>29</v>
      </c>
      <c r="Z2136" s="17" t="s">
        <v>29</v>
      </c>
      <c r="AA2136" s="17" t="s">
        <v>29</v>
      </c>
      <c r="AB2136" s="17" t="s">
        <v>29</v>
      </c>
    </row>
    <row r="2137" spans="1:28" x14ac:dyDescent="0.35">
      <c r="A2137" s="36"/>
      <c r="B2137" s="8"/>
      <c r="C2137" s="8"/>
      <c r="D2137" s="8"/>
      <c r="E2137" s="9">
        <f t="shared" ref="E2137:Q2137" si="307">SUM(E2121:E2136)</f>
        <v>50615164.180000007</v>
      </c>
      <c r="F2137" s="9">
        <f t="shared" si="307"/>
        <v>49117635.579999998</v>
      </c>
      <c r="G2137" s="9">
        <f t="shared" si="307"/>
        <v>0</v>
      </c>
      <c r="H2137" s="9">
        <f t="shared" si="307"/>
        <v>49117635.579999998</v>
      </c>
      <c r="I2137" s="9">
        <f t="shared" si="307"/>
        <v>0</v>
      </c>
      <c r="J2137" s="9">
        <f t="shared" si="307"/>
        <v>49117635.579999998</v>
      </c>
      <c r="K2137" s="9">
        <f t="shared" si="307"/>
        <v>1497528.6</v>
      </c>
      <c r="L2137" s="9">
        <f t="shared" si="307"/>
        <v>0</v>
      </c>
      <c r="M2137" s="9">
        <f t="shared" si="307"/>
        <v>49117635.579999998</v>
      </c>
      <c r="N2137" s="9">
        <f t="shared" si="307"/>
        <v>1497528.6</v>
      </c>
      <c r="O2137" s="9">
        <f t="shared" si="307"/>
        <v>0</v>
      </c>
      <c r="P2137" s="9">
        <f t="shared" si="307"/>
        <v>1497528.6</v>
      </c>
      <c r="Q2137" s="9">
        <f t="shared" si="307"/>
        <v>49117635.579999998</v>
      </c>
      <c r="R2137" s="8"/>
      <c r="S2137" s="8"/>
      <c r="T2137" s="9">
        <f t="shared" ref="T2137:Z2137" si="308">SUM(T2121:T2136)</f>
        <v>0</v>
      </c>
      <c r="U2137" s="9">
        <f t="shared" si="308"/>
        <v>1497528.6</v>
      </c>
      <c r="V2137" s="9">
        <f t="shared" si="308"/>
        <v>0</v>
      </c>
      <c r="W2137" s="9">
        <f t="shared" si="308"/>
        <v>0</v>
      </c>
      <c r="X2137" s="9">
        <f t="shared" si="308"/>
        <v>50615164.180000007</v>
      </c>
      <c r="Y2137" s="9">
        <f t="shared" si="308"/>
        <v>0</v>
      </c>
      <c r="Z2137" s="9">
        <f t="shared" si="308"/>
        <v>0</v>
      </c>
      <c r="AA2137" s="9">
        <f>SUM(AA2121:AA2136)</f>
        <v>50615164.180000007</v>
      </c>
      <c r="AB2137" s="9">
        <f>SUM(AB2121:AB2136)</f>
        <v>0</v>
      </c>
    </row>
    <row r="2138" spans="1:28" x14ac:dyDescent="0.35">
      <c r="A2138" s="36"/>
      <c r="B2138" s="8"/>
      <c r="C2138" s="8"/>
      <c r="D2138" s="8"/>
      <c r="E2138" s="17" t="s">
        <v>29</v>
      </c>
      <c r="F2138" s="17" t="s">
        <v>29</v>
      </c>
      <c r="G2138" s="17" t="s">
        <v>29</v>
      </c>
      <c r="H2138" s="17" t="s">
        <v>29</v>
      </c>
      <c r="I2138" s="17" t="s">
        <v>29</v>
      </c>
      <c r="J2138" s="17" t="s">
        <v>29</v>
      </c>
      <c r="K2138" s="17" t="s">
        <v>29</v>
      </c>
      <c r="L2138" s="17" t="s">
        <v>29</v>
      </c>
      <c r="M2138" s="17" t="s">
        <v>29</v>
      </c>
      <c r="N2138" s="17" t="s">
        <v>29</v>
      </c>
      <c r="O2138" s="17" t="s">
        <v>29</v>
      </c>
      <c r="P2138" s="17" t="s">
        <v>29</v>
      </c>
      <c r="Q2138" s="17" t="s">
        <v>29</v>
      </c>
      <c r="R2138" s="17" t="s">
        <v>29</v>
      </c>
      <c r="S2138" s="17" t="s">
        <v>29</v>
      </c>
      <c r="T2138" s="17" t="s">
        <v>29</v>
      </c>
      <c r="U2138" s="17" t="s">
        <v>29</v>
      </c>
      <c r="V2138" s="17" t="s">
        <v>29</v>
      </c>
      <c r="W2138" s="17" t="s">
        <v>29</v>
      </c>
      <c r="X2138" s="17" t="s">
        <v>29</v>
      </c>
      <c r="Y2138" s="17" t="s">
        <v>29</v>
      </c>
      <c r="Z2138" s="17" t="s">
        <v>29</v>
      </c>
      <c r="AA2138" s="17" t="s">
        <v>29</v>
      </c>
      <c r="AB2138" s="17" t="s">
        <v>29</v>
      </c>
    </row>
    <row r="2139" spans="1:28" x14ac:dyDescent="0.35">
      <c r="A2139" s="38" t="s">
        <v>1035</v>
      </c>
      <c r="B2139" s="7" t="s">
        <v>829</v>
      </c>
      <c r="C2139" s="8"/>
      <c r="D2139" s="8"/>
      <c r="E2139" s="8"/>
      <c r="F2139" s="8"/>
      <c r="G2139" s="8"/>
      <c r="H2139" s="8"/>
      <c r="I2139" s="8"/>
      <c r="J2139" s="8"/>
      <c r="K2139" s="8"/>
      <c r="L2139" s="8"/>
      <c r="M2139" s="8"/>
      <c r="N2139" s="8"/>
      <c r="O2139" s="8"/>
      <c r="P2139" s="8"/>
      <c r="Q2139" s="8"/>
      <c r="R2139" s="8"/>
      <c r="S2139" s="8"/>
      <c r="T2139" s="8"/>
      <c r="U2139" s="8"/>
      <c r="V2139" s="8"/>
      <c r="W2139" s="8"/>
      <c r="X2139" s="8"/>
      <c r="Y2139" s="8"/>
      <c r="Z2139" s="8"/>
    </row>
    <row r="2140" spans="1:28" x14ac:dyDescent="0.35">
      <c r="A2140" s="36"/>
      <c r="B2140" s="8"/>
      <c r="C2140" s="7" t="s">
        <v>535</v>
      </c>
      <c r="D2140" s="15" t="s">
        <v>68</v>
      </c>
      <c r="E2140" s="9">
        <f>2570700-1590572.78</f>
        <v>980127.22</v>
      </c>
      <c r="F2140" s="9">
        <v>640520</v>
      </c>
      <c r="G2140" s="8"/>
      <c r="H2140" s="9">
        <f t="shared" ref="H2140:H2163" si="309">F2140+G2140</f>
        <v>640520</v>
      </c>
      <c r="I2140" s="8"/>
      <c r="J2140" s="9">
        <f t="shared" ref="J2140:J2163" si="310">H2140+I2140</f>
        <v>640520</v>
      </c>
      <c r="K2140" s="9">
        <f>75663.06+263944.16</f>
        <v>339607.22</v>
      </c>
      <c r="L2140" s="8"/>
      <c r="M2140" s="9">
        <f>+H2140+L2140</f>
        <v>640520</v>
      </c>
      <c r="N2140" s="8">
        <v>339607.22</v>
      </c>
      <c r="O2140" s="9"/>
      <c r="P2140" s="9">
        <f>+N2140+O2140</f>
        <v>339607.22</v>
      </c>
      <c r="Q2140" s="9">
        <f t="shared" ref="Q2140:Q2163" si="311">E2140-P2140</f>
        <v>640520</v>
      </c>
      <c r="R2140" s="8"/>
      <c r="S2140" s="8"/>
      <c r="T2140" s="8"/>
      <c r="U2140" s="18">
        <f t="shared" ref="U2140:U2163" si="312">+P2140+T2140</f>
        <v>339607.22</v>
      </c>
      <c r="V2140" s="17"/>
      <c r="W2140" s="17"/>
      <c r="X2140" s="9">
        <f t="shared" ref="X2140:X2163" si="313">+H2140+P2140</f>
        <v>980127.22</v>
      </c>
      <c r="Y2140" s="8"/>
      <c r="Z2140" s="9">
        <f t="shared" ref="Z2140:Z2163" si="314">+E2140-X2140</f>
        <v>0</v>
      </c>
      <c r="AA2140" s="8">
        <f t="shared" ref="AA2140:AA2163" si="315">+M2140+U2140</f>
        <v>980127.22</v>
      </c>
      <c r="AB2140" s="8">
        <f t="shared" ref="AB2140:AB2163" si="316">+E2140-AA2140</f>
        <v>0</v>
      </c>
    </row>
    <row r="2141" spans="1:28" x14ac:dyDescent="0.35">
      <c r="A2141" s="36"/>
      <c r="B2141" s="8"/>
      <c r="C2141" s="7" t="s">
        <v>535</v>
      </c>
      <c r="D2141" s="15" t="s">
        <v>54</v>
      </c>
      <c r="E2141" s="9">
        <f>1484000-74200-41293</f>
        <v>1368507</v>
      </c>
      <c r="F2141" s="9">
        <v>1368507</v>
      </c>
      <c r="G2141" s="8"/>
      <c r="H2141" s="9">
        <f t="shared" si="309"/>
        <v>1368507</v>
      </c>
      <c r="I2141" s="8"/>
      <c r="J2141" s="9">
        <f t="shared" si="310"/>
        <v>1368507</v>
      </c>
      <c r="K2141" s="8"/>
      <c r="L2141" s="8"/>
      <c r="M2141" s="9">
        <f t="shared" ref="M2141:M2163" si="317">+H2141+L2141</f>
        <v>1368507</v>
      </c>
      <c r="N2141" s="8"/>
      <c r="O2141" s="9"/>
      <c r="P2141" s="9">
        <f t="shared" ref="P2141:P2163" si="318">+N2141+O2141</f>
        <v>0</v>
      </c>
      <c r="Q2141" s="9">
        <f t="shared" si="311"/>
        <v>1368507</v>
      </c>
      <c r="R2141" s="8"/>
      <c r="S2141" s="8"/>
      <c r="T2141" s="8"/>
      <c r="U2141" s="18">
        <f t="shared" si="312"/>
        <v>0</v>
      </c>
      <c r="V2141" s="17"/>
      <c r="W2141" s="17"/>
      <c r="X2141" s="9">
        <f t="shared" si="313"/>
        <v>1368507</v>
      </c>
      <c r="Y2141" s="8"/>
      <c r="Z2141" s="9">
        <f t="shared" si="314"/>
        <v>0</v>
      </c>
      <c r="AA2141" s="8">
        <f t="shared" si="315"/>
        <v>1368507</v>
      </c>
      <c r="AB2141" s="8">
        <f t="shared" si="316"/>
        <v>0</v>
      </c>
    </row>
    <row r="2142" spans="1:28" x14ac:dyDescent="0.35">
      <c r="A2142" s="36"/>
      <c r="B2142" s="8"/>
      <c r="C2142" s="7" t="s">
        <v>545</v>
      </c>
      <c r="D2142" s="15" t="s">
        <v>54</v>
      </c>
      <c r="E2142" s="9">
        <v>1953989</v>
      </c>
      <c r="F2142" s="8"/>
      <c r="G2142" s="8"/>
      <c r="H2142" s="9">
        <f t="shared" si="309"/>
        <v>0</v>
      </c>
      <c r="I2142" s="8"/>
      <c r="J2142" s="9">
        <f t="shared" si="310"/>
        <v>0</v>
      </c>
      <c r="K2142" s="9">
        <v>1953989</v>
      </c>
      <c r="L2142" s="8"/>
      <c r="M2142" s="9">
        <f t="shared" si="317"/>
        <v>0</v>
      </c>
      <c r="N2142" s="8">
        <v>1953989</v>
      </c>
      <c r="O2142" s="9"/>
      <c r="P2142" s="9">
        <f t="shared" si="318"/>
        <v>1953989</v>
      </c>
      <c r="Q2142" s="9">
        <f t="shared" si="311"/>
        <v>0</v>
      </c>
      <c r="R2142" s="8"/>
      <c r="S2142" s="8"/>
      <c r="T2142" s="8"/>
      <c r="U2142" s="18">
        <f t="shared" si="312"/>
        <v>1953989</v>
      </c>
      <c r="V2142" s="17"/>
      <c r="W2142" s="17"/>
      <c r="X2142" s="9">
        <f t="shared" si="313"/>
        <v>1953989</v>
      </c>
      <c r="Y2142" s="8"/>
      <c r="Z2142" s="9">
        <f t="shared" si="314"/>
        <v>0</v>
      </c>
      <c r="AA2142" s="8">
        <f t="shared" si="315"/>
        <v>1953989</v>
      </c>
      <c r="AB2142" s="8">
        <f t="shared" si="316"/>
        <v>0</v>
      </c>
    </row>
    <row r="2143" spans="1:28" x14ac:dyDescent="0.35">
      <c r="A2143" s="36"/>
      <c r="B2143" s="8"/>
      <c r="C2143" s="7" t="s">
        <v>535</v>
      </c>
      <c r="D2143" s="15" t="s">
        <v>85</v>
      </c>
      <c r="E2143" s="9">
        <f>2743000-274300</f>
        <v>2468700</v>
      </c>
      <c r="F2143" s="9">
        <f>172205+2000000+296495</f>
        <v>2468700</v>
      </c>
      <c r="G2143" s="8"/>
      <c r="H2143" s="9">
        <f t="shared" si="309"/>
        <v>2468700</v>
      </c>
      <c r="I2143" s="8"/>
      <c r="J2143" s="9">
        <f t="shared" si="310"/>
        <v>2468700</v>
      </c>
      <c r="K2143" s="8"/>
      <c r="L2143" s="8"/>
      <c r="M2143" s="9">
        <f t="shared" si="317"/>
        <v>2468700</v>
      </c>
      <c r="N2143" s="8"/>
      <c r="O2143" s="9"/>
      <c r="P2143" s="9">
        <f t="shared" si="318"/>
        <v>0</v>
      </c>
      <c r="Q2143" s="9">
        <f t="shared" si="311"/>
        <v>2468700</v>
      </c>
      <c r="R2143" s="8"/>
      <c r="S2143" s="8"/>
      <c r="T2143" s="8"/>
      <c r="U2143" s="18">
        <f t="shared" si="312"/>
        <v>0</v>
      </c>
      <c r="V2143" s="17"/>
      <c r="W2143" s="17"/>
      <c r="X2143" s="9">
        <f t="shared" si="313"/>
        <v>2468700</v>
      </c>
      <c r="Y2143" s="8"/>
      <c r="Z2143" s="9">
        <f t="shared" si="314"/>
        <v>0</v>
      </c>
      <c r="AA2143" s="8">
        <f t="shared" si="315"/>
        <v>2468700</v>
      </c>
      <c r="AB2143" s="8">
        <f t="shared" si="316"/>
        <v>0</v>
      </c>
    </row>
    <row r="2144" spans="1:28" x14ac:dyDescent="0.35">
      <c r="A2144" s="36"/>
      <c r="B2144" s="8"/>
      <c r="C2144" s="7" t="s">
        <v>830</v>
      </c>
      <c r="D2144" s="15" t="s">
        <v>85</v>
      </c>
      <c r="E2144" s="9">
        <v>300000</v>
      </c>
      <c r="F2144" s="9">
        <v>300000</v>
      </c>
      <c r="G2144" s="8"/>
      <c r="H2144" s="9">
        <f t="shared" si="309"/>
        <v>300000</v>
      </c>
      <c r="I2144" s="8"/>
      <c r="J2144" s="9">
        <f t="shared" si="310"/>
        <v>300000</v>
      </c>
      <c r="K2144" s="8"/>
      <c r="L2144" s="8"/>
      <c r="M2144" s="9">
        <f t="shared" si="317"/>
        <v>300000</v>
      </c>
      <c r="N2144" s="8"/>
      <c r="O2144" s="9"/>
      <c r="P2144" s="9">
        <f t="shared" si="318"/>
        <v>0</v>
      </c>
      <c r="Q2144" s="9">
        <f t="shared" si="311"/>
        <v>300000</v>
      </c>
      <c r="R2144" s="8"/>
      <c r="S2144" s="8"/>
      <c r="T2144" s="8"/>
      <c r="U2144" s="18">
        <f t="shared" si="312"/>
        <v>0</v>
      </c>
      <c r="V2144" s="17"/>
      <c r="W2144" s="17"/>
      <c r="X2144" s="9">
        <f t="shared" si="313"/>
        <v>300000</v>
      </c>
      <c r="Y2144" s="8"/>
      <c r="Z2144" s="9">
        <f t="shared" si="314"/>
        <v>0</v>
      </c>
      <c r="AA2144" s="8">
        <f t="shared" si="315"/>
        <v>300000</v>
      </c>
      <c r="AB2144" s="8">
        <f t="shared" si="316"/>
        <v>0</v>
      </c>
    </row>
    <row r="2145" spans="1:28" x14ac:dyDescent="0.35">
      <c r="A2145" s="36"/>
      <c r="B2145" s="8"/>
      <c r="C2145" s="7" t="s">
        <v>557</v>
      </c>
      <c r="D2145" s="15" t="s">
        <v>85</v>
      </c>
      <c r="E2145" s="9">
        <v>839000</v>
      </c>
      <c r="F2145" s="9">
        <v>839000</v>
      </c>
      <c r="G2145" s="8"/>
      <c r="H2145" s="9">
        <f t="shared" si="309"/>
        <v>839000</v>
      </c>
      <c r="I2145" s="8"/>
      <c r="J2145" s="9">
        <f t="shared" si="310"/>
        <v>839000</v>
      </c>
      <c r="K2145" s="8"/>
      <c r="L2145" s="8"/>
      <c r="M2145" s="9">
        <f t="shared" si="317"/>
        <v>839000</v>
      </c>
      <c r="N2145" s="8"/>
      <c r="O2145" s="9"/>
      <c r="P2145" s="9">
        <f t="shared" si="318"/>
        <v>0</v>
      </c>
      <c r="Q2145" s="9">
        <f t="shared" si="311"/>
        <v>839000</v>
      </c>
      <c r="R2145" s="8"/>
      <c r="S2145" s="8"/>
      <c r="T2145" s="8"/>
      <c r="U2145" s="18">
        <f t="shared" si="312"/>
        <v>0</v>
      </c>
      <c r="V2145" s="17"/>
      <c r="W2145" s="17"/>
      <c r="X2145" s="9">
        <f t="shared" si="313"/>
        <v>839000</v>
      </c>
      <c r="Y2145" s="8"/>
      <c r="Z2145" s="9">
        <f t="shared" si="314"/>
        <v>0</v>
      </c>
      <c r="AA2145" s="8">
        <f t="shared" si="315"/>
        <v>839000</v>
      </c>
      <c r="AB2145" s="8">
        <f t="shared" si="316"/>
        <v>0</v>
      </c>
    </row>
    <row r="2146" spans="1:28" x14ac:dyDescent="0.35">
      <c r="A2146" s="36"/>
      <c r="B2146" s="8"/>
      <c r="C2146" s="7" t="s">
        <v>831</v>
      </c>
      <c r="D2146" s="15" t="s">
        <v>85</v>
      </c>
      <c r="E2146" s="9">
        <v>3200000</v>
      </c>
      <c r="F2146" s="9">
        <f>1500000+1700000</f>
        <v>3200000</v>
      </c>
      <c r="G2146" s="8"/>
      <c r="H2146" s="9">
        <f t="shared" si="309"/>
        <v>3200000</v>
      </c>
      <c r="I2146" s="8"/>
      <c r="J2146" s="9">
        <f t="shared" si="310"/>
        <v>3200000</v>
      </c>
      <c r="K2146" s="8"/>
      <c r="L2146" s="8"/>
      <c r="M2146" s="9">
        <f t="shared" si="317"/>
        <v>3200000</v>
      </c>
      <c r="N2146" s="8"/>
      <c r="O2146" s="9"/>
      <c r="P2146" s="9">
        <f t="shared" si="318"/>
        <v>0</v>
      </c>
      <c r="Q2146" s="9">
        <f t="shared" si="311"/>
        <v>3200000</v>
      </c>
      <c r="R2146" s="8"/>
      <c r="S2146" s="8"/>
      <c r="T2146" s="8"/>
      <c r="U2146" s="18">
        <f t="shared" si="312"/>
        <v>0</v>
      </c>
      <c r="V2146" s="17"/>
      <c r="W2146" s="17"/>
      <c r="X2146" s="9">
        <f t="shared" si="313"/>
        <v>3200000</v>
      </c>
      <c r="Y2146" s="8"/>
      <c r="Z2146" s="9">
        <f t="shared" si="314"/>
        <v>0</v>
      </c>
      <c r="AA2146" s="8">
        <f t="shared" si="315"/>
        <v>3200000</v>
      </c>
      <c r="AB2146" s="8">
        <f t="shared" si="316"/>
        <v>0</v>
      </c>
    </row>
    <row r="2147" spans="1:28" x14ac:dyDescent="0.35">
      <c r="A2147" s="36"/>
      <c r="B2147" s="8"/>
      <c r="C2147" s="7" t="s">
        <v>832</v>
      </c>
      <c r="D2147" s="15" t="s">
        <v>85</v>
      </c>
      <c r="E2147" s="9">
        <v>1743300</v>
      </c>
      <c r="F2147" s="9">
        <f>1161000+582300</f>
        <v>1743300</v>
      </c>
      <c r="G2147" s="8"/>
      <c r="H2147" s="9">
        <f t="shared" si="309"/>
        <v>1743300</v>
      </c>
      <c r="I2147" s="8"/>
      <c r="J2147" s="9">
        <f t="shared" si="310"/>
        <v>1743300</v>
      </c>
      <c r="K2147" s="8"/>
      <c r="L2147" s="8"/>
      <c r="M2147" s="9">
        <f t="shared" si="317"/>
        <v>1743300</v>
      </c>
      <c r="N2147" s="8"/>
      <c r="O2147" s="9"/>
      <c r="P2147" s="9">
        <f t="shared" si="318"/>
        <v>0</v>
      </c>
      <c r="Q2147" s="9">
        <f t="shared" si="311"/>
        <v>1743300</v>
      </c>
      <c r="R2147" s="8"/>
      <c r="S2147" s="8"/>
      <c r="T2147" s="8"/>
      <c r="U2147" s="18">
        <f t="shared" si="312"/>
        <v>0</v>
      </c>
      <c r="V2147" s="17"/>
      <c r="W2147" s="17"/>
      <c r="X2147" s="9">
        <f t="shared" si="313"/>
        <v>1743300</v>
      </c>
      <c r="Y2147" s="8"/>
      <c r="Z2147" s="9">
        <f t="shared" si="314"/>
        <v>0</v>
      </c>
      <c r="AA2147" s="8">
        <f t="shared" si="315"/>
        <v>1743300</v>
      </c>
      <c r="AB2147" s="8">
        <f t="shared" si="316"/>
        <v>0</v>
      </c>
    </row>
    <row r="2148" spans="1:28" x14ac:dyDescent="0.35">
      <c r="A2148" s="36"/>
      <c r="B2148" s="8"/>
      <c r="C2148" s="7" t="s">
        <v>535</v>
      </c>
      <c r="D2148" s="15" t="s">
        <v>128</v>
      </c>
      <c r="E2148" s="9">
        <v>1500000</v>
      </c>
      <c r="F2148" s="9">
        <v>1500000</v>
      </c>
      <c r="G2148" s="8"/>
      <c r="H2148" s="9">
        <f t="shared" si="309"/>
        <v>1500000</v>
      </c>
      <c r="I2148" s="8"/>
      <c r="J2148" s="9">
        <f t="shared" si="310"/>
        <v>1500000</v>
      </c>
      <c r="K2148" s="8"/>
      <c r="L2148" s="8"/>
      <c r="M2148" s="9">
        <f t="shared" si="317"/>
        <v>1500000</v>
      </c>
      <c r="N2148" s="8"/>
      <c r="O2148" s="9"/>
      <c r="P2148" s="9">
        <f t="shared" si="318"/>
        <v>0</v>
      </c>
      <c r="Q2148" s="9">
        <f t="shared" si="311"/>
        <v>1500000</v>
      </c>
      <c r="R2148" s="8"/>
      <c r="S2148" s="8"/>
      <c r="T2148" s="8"/>
      <c r="U2148" s="18">
        <f t="shared" si="312"/>
        <v>0</v>
      </c>
      <c r="V2148" s="17"/>
      <c r="W2148" s="17"/>
      <c r="X2148" s="9">
        <f t="shared" si="313"/>
        <v>1500000</v>
      </c>
      <c r="Y2148" s="8"/>
      <c r="Z2148" s="9">
        <f t="shared" si="314"/>
        <v>0</v>
      </c>
      <c r="AA2148" s="8">
        <f t="shared" si="315"/>
        <v>1500000</v>
      </c>
      <c r="AB2148" s="8">
        <f t="shared" si="316"/>
        <v>0</v>
      </c>
    </row>
    <row r="2149" spans="1:28" x14ac:dyDescent="0.35">
      <c r="A2149" s="36"/>
      <c r="B2149" s="8"/>
      <c r="C2149" s="7" t="s">
        <v>535</v>
      </c>
      <c r="D2149" s="15" t="s">
        <v>88</v>
      </c>
      <c r="E2149" s="9">
        <f>1321800+1602830</f>
        <v>2924630</v>
      </c>
      <c r="F2149" s="9">
        <f>1321800+1602830</f>
        <v>2924630</v>
      </c>
      <c r="G2149" s="8"/>
      <c r="H2149" s="9">
        <f t="shared" si="309"/>
        <v>2924630</v>
      </c>
      <c r="I2149" s="8"/>
      <c r="J2149" s="9">
        <f t="shared" si="310"/>
        <v>2924630</v>
      </c>
      <c r="K2149" s="8"/>
      <c r="L2149" s="8"/>
      <c r="M2149" s="9">
        <f t="shared" si="317"/>
        <v>2924630</v>
      </c>
      <c r="N2149" s="8"/>
      <c r="O2149" s="9"/>
      <c r="P2149" s="9">
        <f t="shared" si="318"/>
        <v>0</v>
      </c>
      <c r="Q2149" s="9">
        <f t="shared" si="311"/>
        <v>2924630</v>
      </c>
      <c r="R2149" s="8"/>
      <c r="S2149" s="8"/>
      <c r="T2149" s="8"/>
      <c r="U2149" s="18">
        <f t="shared" si="312"/>
        <v>0</v>
      </c>
      <c r="V2149" s="17"/>
      <c r="W2149" s="17"/>
      <c r="X2149" s="9">
        <f t="shared" si="313"/>
        <v>2924630</v>
      </c>
      <c r="Y2149" s="8"/>
      <c r="Z2149" s="9">
        <f t="shared" si="314"/>
        <v>0</v>
      </c>
      <c r="AA2149" s="8">
        <f t="shared" si="315"/>
        <v>2924630</v>
      </c>
      <c r="AB2149" s="8">
        <f t="shared" si="316"/>
        <v>0</v>
      </c>
    </row>
    <row r="2150" spans="1:28" x14ac:dyDescent="0.35">
      <c r="A2150" s="36"/>
      <c r="B2150" s="8"/>
      <c r="C2150" s="7" t="s">
        <v>535</v>
      </c>
      <c r="D2150" s="15" t="s">
        <v>108</v>
      </c>
      <c r="E2150" s="9">
        <f>1533254+662874+836860</f>
        <v>3032988</v>
      </c>
      <c r="F2150" s="9">
        <v>3032988</v>
      </c>
      <c r="G2150" s="8"/>
      <c r="H2150" s="9">
        <f t="shared" si="309"/>
        <v>3032988</v>
      </c>
      <c r="I2150" s="8"/>
      <c r="J2150" s="9">
        <f t="shared" si="310"/>
        <v>3032988</v>
      </c>
      <c r="K2150" s="8"/>
      <c r="L2150" s="8"/>
      <c r="M2150" s="9">
        <f t="shared" si="317"/>
        <v>3032988</v>
      </c>
      <c r="N2150" s="8"/>
      <c r="O2150" s="9"/>
      <c r="P2150" s="9">
        <f t="shared" si="318"/>
        <v>0</v>
      </c>
      <c r="Q2150" s="9">
        <f t="shared" si="311"/>
        <v>3032988</v>
      </c>
      <c r="R2150" s="8"/>
      <c r="S2150" s="8"/>
      <c r="T2150" s="8"/>
      <c r="U2150" s="18">
        <f t="shared" si="312"/>
        <v>0</v>
      </c>
      <c r="V2150" s="17"/>
      <c r="W2150" s="17"/>
      <c r="X2150" s="9">
        <f t="shared" si="313"/>
        <v>3032988</v>
      </c>
      <c r="Y2150" s="8"/>
      <c r="Z2150" s="9">
        <f t="shared" si="314"/>
        <v>0</v>
      </c>
      <c r="AA2150" s="8">
        <f t="shared" si="315"/>
        <v>3032988</v>
      </c>
      <c r="AB2150" s="8">
        <f t="shared" si="316"/>
        <v>0</v>
      </c>
    </row>
    <row r="2151" spans="1:28" x14ac:dyDescent="0.35">
      <c r="A2151" s="36"/>
      <c r="B2151" s="8"/>
      <c r="C2151" s="7" t="s">
        <v>833</v>
      </c>
      <c r="D2151" s="15" t="s">
        <v>108</v>
      </c>
      <c r="E2151" s="9">
        <v>500000</v>
      </c>
      <c r="F2151" s="9">
        <v>500000</v>
      </c>
      <c r="G2151" s="8"/>
      <c r="H2151" s="9">
        <f t="shared" si="309"/>
        <v>500000</v>
      </c>
      <c r="I2151" s="8"/>
      <c r="J2151" s="9">
        <f t="shared" si="310"/>
        <v>500000</v>
      </c>
      <c r="K2151" s="8"/>
      <c r="L2151" s="8"/>
      <c r="M2151" s="9">
        <f t="shared" si="317"/>
        <v>500000</v>
      </c>
      <c r="N2151" s="8"/>
      <c r="O2151" s="9"/>
      <c r="P2151" s="9">
        <f t="shared" si="318"/>
        <v>0</v>
      </c>
      <c r="Q2151" s="9">
        <f t="shared" si="311"/>
        <v>500000</v>
      </c>
      <c r="R2151" s="8"/>
      <c r="S2151" s="8"/>
      <c r="T2151" s="8"/>
      <c r="U2151" s="18">
        <f t="shared" si="312"/>
        <v>0</v>
      </c>
      <c r="V2151" s="17"/>
      <c r="W2151" s="17"/>
      <c r="X2151" s="9">
        <f t="shared" si="313"/>
        <v>500000</v>
      </c>
      <c r="Y2151" s="8"/>
      <c r="Z2151" s="9">
        <f t="shared" si="314"/>
        <v>0</v>
      </c>
      <c r="AA2151" s="8">
        <f t="shared" si="315"/>
        <v>500000</v>
      </c>
      <c r="AB2151" s="8">
        <f t="shared" si="316"/>
        <v>0</v>
      </c>
    </row>
    <row r="2152" spans="1:28" x14ac:dyDescent="0.35">
      <c r="A2152" s="36"/>
      <c r="B2152" s="8"/>
      <c r="C2152" s="7" t="s">
        <v>535</v>
      </c>
      <c r="D2152" s="15" t="s">
        <v>58</v>
      </c>
      <c r="E2152" s="9">
        <f>2002666+739854+768745</f>
        <v>3511265</v>
      </c>
      <c r="F2152" s="9">
        <v>3511265</v>
      </c>
      <c r="G2152" s="8"/>
      <c r="H2152" s="9">
        <f t="shared" si="309"/>
        <v>3511265</v>
      </c>
      <c r="I2152" s="8"/>
      <c r="J2152" s="9">
        <f t="shared" si="310"/>
        <v>3511265</v>
      </c>
      <c r="K2152" s="8"/>
      <c r="L2152" s="8"/>
      <c r="M2152" s="9">
        <f t="shared" si="317"/>
        <v>3511265</v>
      </c>
      <c r="N2152" s="8"/>
      <c r="O2152" s="9"/>
      <c r="P2152" s="9">
        <f t="shared" si="318"/>
        <v>0</v>
      </c>
      <c r="Q2152" s="9">
        <f t="shared" si="311"/>
        <v>3511265</v>
      </c>
      <c r="R2152" s="8"/>
      <c r="S2152" s="8"/>
      <c r="T2152" s="8"/>
      <c r="U2152" s="18">
        <f t="shared" si="312"/>
        <v>0</v>
      </c>
      <c r="V2152" s="17"/>
      <c r="W2152" s="17"/>
      <c r="X2152" s="9">
        <f t="shared" si="313"/>
        <v>3511265</v>
      </c>
      <c r="Y2152" s="8"/>
      <c r="Z2152" s="9">
        <f t="shared" si="314"/>
        <v>0</v>
      </c>
      <c r="AA2152" s="8">
        <f t="shared" si="315"/>
        <v>3511265</v>
      </c>
      <c r="AB2152" s="8">
        <f t="shared" si="316"/>
        <v>0</v>
      </c>
    </row>
    <row r="2153" spans="1:28" x14ac:dyDescent="0.35">
      <c r="A2153" s="36"/>
      <c r="B2153" s="8"/>
      <c r="C2153" s="7" t="s">
        <v>535</v>
      </c>
      <c r="D2153" s="15" t="s">
        <v>60</v>
      </c>
      <c r="E2153" s="9">
        <f>926867.67+4161713</f>
        <v>5088580.67</v>
      </c>
      <c r="F2153" s="9">
        <f>926867.67+4161713</f>
        <v>5088580.67</v>
      </c>
      <c r="G2153" s="8"/>
      <c r="H2153" s="9">
        <f t="shared" si="309"/>
        <v>5088580.67</v>
      </c>
      <c r="I2153" s="8"/>
      <c r="J2153" s="9">
        <f t="shared" si="310"/>
        <v>5088580.67</v>
      </c>
      <c r="K2153" s="8"/>
      <c r="L2153" s="8"/>
      <c r="M2153" s="9">
        <f t="shared" si="317"/>
        <v>5088580.67</v>
      </c>
      <c r="N2153" s="8"/>
      <c r="O2153" s="9"/>
      <c r="P2153" s="9">
        <f t="shared" si="318"/>
        <v>0</v>
      </c>
      <c r="Q2153" s="9">
        <f t="shared" si="311"/>
        <v>5088580.67</v>
      </c>
      <c r="R2153" s="8"/>
      <c r="S2153" s="8"/>
      <c r="T2153" s="8"/>
      <c r="U2153" s="18">
        <f t="shared" si="312"/>
        <v>0</v>
      </c>
      <c r="V2153" s="17"/>
      <c r="W2153" s="17"/>
      <c r="X2153" s="9">
        <f t="shared" si="313"/>
        <v>5088580.67</v>
      </c>
      <c r="Y2153" s="8"/>
      <c r="Z2153" s="9">
        <f t="shared" si="314"/>
        <v>0</v>
      </c>
      <c r="AA2153" s="8">
        <f t="shared" si="315"/>
        <v>5088580.67</v>
      </c>
      <c r="AB2153" s="8">
        <f t="shared" si="316"/>
        <v>0</v>
      </c>
    </row>
    <row r="2154" spans="1:28" x14ac:dyDescent="0.35">
      <c r="A2154" s="36"/>
      <c r="B2154" s="8"/>
      <c r="C2154" s="7" t="s">
        <v>535</v>
      </c>
      <c r="D2154" s="15" t="s">
        <v>73</v>
      </c>
      <c r="E2154" s="9">
        <v>6616000</v>
      </c>
      <c r="F2154" s="9">
        <v>6616000</v>
      </c>
      <c r="G2154" s="9"/>
      <c r="H2154" s="9">
        <f t="shared" si="309"/>
        <v>6616000</v>
      </c>
      <c r="I2154" s="8"/>
      <c r="J2154" s="9">
        <f t="shared" si="310"/>
        <v>6616000</v>
      </c>
      <c r="K2154" s="8"/>
      <c r="L2154" s="8"/>
      <c r="M2154" s="9">
        <f t="shared" si="317"/>
        <v>6616000</v>
      </c>
      <c r="N2154" s="8"/>
      <c r="O2154" s="9"/>
      <c r="P2154" s="9">
        <f t="shared" si="318"/>
        <v>0</v>
      </c>
      <c r="Q2154" s="9">
        <f t="shared" si="311"/>
        <v>6616000</v>
      </c>
      <c r="R2154" s="8"/>
      <c r="S2154" s="8"/>
      <c r="T2154" s="8"/>
      <c r="U2154" s="18">
        <f t="shared" si="312"/>
        <v>0</v>
      </c>
      <c r="V2154" s="17"/>
      <c r="W2154" s="17"/>
      <c r="X2154" s="9">
        <f t="shared" si="313"/>
        <v>6616000</v>
      </c>
      <c r="Y2154" s="8"/>
      <c r="Z2154" s="9">
        <f t="shared" si="314"/>
        <v>0</v>
      </c>
      <c r="AA2154" s="8">
        <f t="shared" si="315"/>
        <v>6616000</v>
      </c>
      <c r="AB2154" s="8">
        <f t="shared" si="316"/>
        <v>0</v>
      </c>
    </row>
    <row r="2155" spans="1:28" x14ac:dyDescent="0.35">
      <c r="A2155" s="36"/>
      <c r="B2155" s="8"/>
      <c r="C2155" s="13" t="s">
        <v>898</v>
      </c>
      <c r="D2155" s="16" t="s">
        <v>1072</v>
      </c>
      <c r="E2155" s="9">
        <f>8057807.52</f>
        <v>8057807.5199999996</v>
      </c>
      <c r="F2155" s="9">
        <v>8057807.5199999996</v>
      </c>
      <c r="G2155" s="9"/>
      <c r="H2155" s="9">
        <f>+F2155+G2155</f>
        <v>8057807.5199999996</v>
      </c>
      <c r="I2155" s="8"/>
      <c r="J2155" s="9">
        <f t="shared" si="310"/>
        <v>8057807.5199999996</v>
      </c>
      <c r="K2155" s="8"/>
      <c r="L2155" s="8"/>
      <c r="M2155" s="9">
        <f t="shared" si="317"/>
        <v>8057807.5199999996</v>
      </c>
      <c r="N2155" s="8"/>
      <c r="O2155" s="9"/>
      <c r="P2155" s="9">
        <f t="shared" si="318"/>
        <v>0</v>
      </c>
      <c r="Q2155" s="9"/>
      <c r="R2155" s="8"/>
      <c r="S2155" s="8"/>
      <c r="T2155" s="8"/>
      <c r="U2155" s="18">
        <f t="shared" si="312"/>
        <v>0</v>
      </c>
      <c r="V2155" s="17"/>
      <c r="W2155" s="17"/>
      <c r="X2155" s="9">
        <f t="shared" si="313"/>
        <v>8057807.5199999996</v>
      </c>
      <c r="Y2155" s="8"/>
      <c r="Z2155" s="9">
        <f t="shared" si="314"/>
        <v>0</v>
      </c>
      <c r="AA2155" s="8">
        <f>+M2155+U2155</f>
        <v>8057807.5199999996</v>
      </c>
      <c r="AB2155" s="8">
        <f>+E2155-AA2155</f>
        <v>0</v>
      </c>
    </row>
    <row r="2156" spans="1:28" x14ac:dyDescent="0.35">
      <c r="A2156" s="36"/>
      <c r="B2156" s="8"/>
      <c r="C2156" s="13" t="s">
        <v>933</v>
      </c>
      <c r="D2156" s="16" t="s">
        <v>1072</v>
      </c>
      <c r="E2156" s="9">
        <v>3296259.69</v>
      </c>
      <c r="F2156" s="9">
        <v>3296259.69</v>
      </c>
      <c r="G2156" s="9"/>
      <c r="H2156" s="9">
        <f>+F2156+G2156</f>
        <v>3296259.69</v>
      </c>
      <c r="I2156" s="8"/>
      <c r="J2156" s="9"/>
      <c r="K2156" s="8"/>
      <c r="L2156" s="8"/>
      <c r="M2156" s="9">
        <f>+H2156+L2156</f>
        <v>3296259.69</v>
      </c>
      <c r="N2156" s="8"/>
      <c r="O2156" s="9"/>
      <c r="P2156" s="9">
        <f t="shared" si="318"/>
        <v>0</v>
      </c>
      <c r="Q2156" s="9"/>
      <c r="R2156" s="8"/>
      <c r="S2156" s="8"/>
      <c r="T2156" s="8"/>
      <c r="U2156" s="18">
        <f t="shared" si="312"/>
        <v>0</v>
      </c>
      <c r="V2156" s="17"/>
      <c r="W2156" s="17"/>
      <c r="X2156" s="9">
        <f t="shared" si="313"/>
        <v>3296259.69</v>
      </c>
      <c r="Y2156" s="8"/>
      <c r="Z2156" s="9">
        <f t="shared" si="314"/>
        <v>0</v>
      </c>
      <c r="AA2156" s="8">
        <f>+M2156+U2156</f>
        <v>3296259.69</v>
      </c>
      <c r="AB2156" s="8">
        <f>+E2156-AA2156</f>
        <v>0</v>
      </c>
    </row>
    <row r="2157" spans="1:28" x14ac:dyDescent="0.35">
      <c r="A2157" s="36"/>
      <c r="B2157" s="8"/>
      <c r="C2157" s="13" t="s">
        <v>1083</v>
      </c>
      <c r="D2157" s="16" t="s">
        <v>1072</v>
      </c>
      <c r="E2157" s="9">
        <v>2971935.51</v>
      </c>
      <c r="F2157" s="9">
        <v>2971935.51</v>
      </c>
      <c r="G2157" s="9"/>
      <c r="H2157" s="9">
        <f>+F2157+G2157</f>
        <v>2971935.51</v>
      </c>
      <c r="I2157" s="8"/>
      <c r="J2157" s="9"/>
      <c r="K2157" s="8"/>
      <c r="L2157" s="8"/>
      <c r="M2157" s="9">
        <f>+H2157+L2157</f>
        <v>2971935.51</v>
      </c>
      <c r="N2157" s="8"/>
      <c r="O2157" s="9"/>
      <c r="P2157" s="9">
        <f t="shared" si="318"/>
        <v>0</v>
      </c>
      <c r="Q2157" s="9"/>
      <c r="R2157" s="8"/>
      <c r="S2157" s="8"/>
      <c r="T2157" s="8"/>
      <c r="U2157" s="18">
        <f t="shared" si="312"/>
        <v>0</v>
      </c>
      <c r="V2157" s="17"/>
      <c r="W2157" s="17"/>
      <c r="X2157" s="9">
        <f t="shared" si="313"/>
        <v>2971935.51</v>
      </c>
      <c r="Y2157" s="8"/>
      <c r="Z2157" s="9">
        <f t="shared" si="314"/>
        <v>0</v>
      </c>
      <c r="AA2157" s="8">
        <f>+M2157+U2157</f>
        <v>2971935.51</v>
      </c>
      <c r="AB2157" s="8">
        <f>+E2157-AA2157</f>
        <v>0</v>
      </c>
    </row>
    <row r="2158" spans="1:28" x14ac:dyDescent="0.35">
      <c r="A2158" s="36"/>
      <c r="B2158" s="8"/>
      <c r="C2158" s="7" t="s">
        <v>569</v>
      </c>
      <c r="D2158" s="8"/>
      <c r="E2158" s="9">
        <v>634733.68000000005</v>
      </c>
      <c r="F2158" s="9">
        <v>634733.68000000005</v>
      </c>
      <c r="G2158" s="8"/>
      <c r="H2158" s="9">
        <f t="shared" si="309"/>
        <v>634733.68000000005</v>
      </c>
      <c r="I2158" s="8"/>
      <c r="J2158" s="9">
        <f t="shared" si="310"/>
        <v>634733.68000000005</v>
      </c>
      <c r="K2158" s="8"/>
      <c r="L2158" s="8"/>
      <c r="M2158" s="9">
        <f t="shared" si="317"/>
        <v>634733.68000000005</v>
      </c>
      <c r="N2158" s="8"/>
      <c r="O2158" s="9"/>
      <c r="P2158" s="9">
        <f t="shared" si="318"/>
        <v>0</v>
      </c>
      <c r="Q2158" s="9">
        <f t="shared" si="311"/>
        <v>634733.68000000005</v>
      </c>
      <c r="R2158" s="8"/>
      <c r="S2158" s="8"/>
      <c r="T2158" s="8"/>
      <c r="U2158" s="18">
        <f t="shared" si="312"/>
        <v>0</v>
      </c>
      <c r="V2158" s="17"/>
      <c r="W2158" s="17"/>
      <c r="X2158" s="9">
        <f t="shared" si="313"/>
        <v>634733.68000000005</v>
      </c>
      <c r="Y2158" s="8"/>
      <c r="Z2158" s="9">
        <f t="shared" si="314"/>
        <v>0</v>
      </c>
      <c r="AA2158" s="8">
        <f t="shared" si="315"/>
        <v>634733.68000000005</v>
      </c>
      <c r="AB2158" s="8">
        <f t="shared" si="316"/>
        <v>0</v>
      </c>
    </row>
    <row r="2159" spans="1:28" x14ac:dyDescent="0.35">
      <c r="A2159" s="36"/>
      <c r="B2159" s="8"/>
      <c r="C2159" s="7" t="s">
        <v>834</v>
      </c>
      <c r="D2159" s="8"/>
      <c r="E2159" s="9">
        <v>1918985</v>
      </c>
      <c r="F2159" s="9">
        <f>1522050+396935</f>
        <v>1918985</v>
      </c>
      <c r="G2159" s="8"/>
      <c r="H2159" s="9">
        <f t="shared" si="309"/>
        <v>1918985</v>
      </c>
      <c r="I2159" s="8"/>
      <c r="J2159" s="9">
        <f t="shared" si="310"/>
        <v>1918985</v>
      </c>
      <c r="K2159" s="8"/>
      <c r="L2159" s="8"/>
      <c r="M2159" s="9">
        <f t="shared" si="317"/>
        <v>1918985</v>
      </c>
      <c r="N2159" s="8"/>
      <c r="O2159" s="9"/>
      <c r="P2159" s="9">
        <f t="shared" si="318"/>
        <v>0</v>
      </c>
      <c r="Q2159" s="9">
        <f t="shared" si="311"/>
        <v>1918985</v>
      </c>
      <c r="R2159" s="8"/>
      <c r="S2159" s="8"/>
      <c r="T2159" s="8"/>
      <c r="U2159" s="18">
        <f t="shared" si="312"/>
        <v>0</v>
      </c>
      <c r="V2159" s="17"/>
      <c r="W2159" s="17"/>
      <c r="X2159" s="9">
        <f t="shared" si="313"/>
        <v>1918985</v>
      </c>
      <c r="Y2159" s="8"/>
      <c r="Z2159" s="9">
        <f t="shared" si="314"/>
        <v>0</v>
      </c>
      <c r="AA2159" s="8">
        <f t="shared" si="315"/>
        <v>1918985</v>
      </c>
      <c r="AB2159" s="8">
        <f t="shared" si="316"/>
        <v>0</v>
      </c>
    </row>
    <row r="2160" spans="1:28" x14ac:dyDescent="0.35">
      <c r="A2160" s="36"/>
      <c r="B2160" s="8"/>
      <c r="C2160" s="7" t="s">
        <v>835</v>
      </c>
      <c r="D2160" s="8"/>
      <c r="E2160" s="9">
        <v>2608920</v>
      </c>
      <c r="F2160" s="9">
        <v>2608920</v>
      </c>
      <c r="G2160" s="8"/>
      <c r="H2160" s="9">
        <f t="shared" si="309"/>
        <v>2608920</v>
      </c>
      <c r="I2160" s="8"/>
      <c r="J2160" s="9">
        <f t="shared" si="310"/>
        <v>2608920</v>
      </c>
      <c r="K2160" s="8"/>
      <c r="L2160" s="8"/>
      <c r="M2160" s="9">
        <f t="shared" si="317"/>
        <v>2608920</v>
      </c>
      <c r="N2160" s="8"/>
      <c r="O2160" s="9"/>
      <c r="P2160" s="9">
        <f t="shared" si="318"/>
        <v>0</v>
      </c>
      <c r="Q2160" s="9">
        <f t="shared" si="311"/>
        <v>2608920</v>
      </c>
      <c r="R2160" s="8"/>
      <c r="S2160" s="8"/>
      <c r="T2160" s="8"/>
      <c r="U2160" s="18">
        <f t="shared" si="312"/>
        <v>0</v>
      </c>
      <c r="V2160" s="17"/>
      <c r="W2160" s="17"/>
      <c r="X2160" s="9">
        <f t="shared" si="313"/>
        <v>2608920</v>
      </c>
      <c r="Y2160" s="8"/>
      <c r="Z2160" s="9">
        <f t="shared" si="314"/>
        <v>0</v>
      </c>
      <c r="AA2160" s="8">
        <f t="shared" si="315"/>
        <v>2608920</v>
      </c>
      <c r="AB2160" s="8">
        <f t="shared" si="316"/>
        <v>0</v>
      </c>
    </row>
    <row r="2161" spans="1:28" x14ac:dyDescent="0.35">
      <c r="A2161" s="36"/>
      <c r="B2161" s="8"/>
      <c r="C2161" s="7" t="s">
        <v>836</v>
      </c>
      <c r="D2161" s="8"/>
      <c r="E2161" s="9">
        <v>3396450</v>
      </c>
      <c r="F2161" s="9">
        <f>2591350+805100</f>
        <v>3396450</v>
      </c>
      <c r="G2161" s="8"/>
      <c r="H2161" s="9">
        <f t="shared" si="309"/>
        <v>3396450</v>
      </c>
      <c r="I2161" s="8"/>
      <c r="J2161" s="9">
        <f t="shared" si="310"/>
        <v>3396450</v>
      </c>
      <c r="K2161" s="8"/>
      <c r="L2161" s="8"/>
      <c r="M2161" s="9">
        <f t="shared" si="317"/>
        <v>3396450</v>
      </c>
      <c r="N2161" s="8"/>
      <c r="O2161" s="9"/>
      <c r="P2161" s="9">
        <f t="shared" si="318"/>
        <v>0</v>
      </c>
      <c r="Q2161" s="9">
        <f t="shared" si="311"/>
        <v>3396450</v>
      </c>
      <c r="R2161" s="8"/>
      <c r="S2161" s="8"/>
      <c r="T2161" s="8"/>
      <c r="U2161" s="18">
        <f t="shared" si="312"/>
        <v>0</v>
      </c>
      <c r="V2161" s="17"/>
      <c r="W2161" s="17"/>
      <c r="X2161" s="9">
        <f t="shared" si="313"/>
        <v>3396450</v>
      </c>
      <c r="Y2161" s="8"/>
      <c r="Z2161" s="9">
        <f t="shared" si="314"/>
        <v>0</v>
      </c>
      <c r="AA2161" s="8">
        <f t="shared" si="315"/>
        <v>3396450</v>
      </c>
      <c r="AB2161" s="8">
        <f t="shared" si="316"/>
        <v>0</v>
      </c>
    </row>
    <row r="2162" spans="1:28" x14ac:dyDescent="0.35">
      <c r="A2162" s="36"/>
      <c r="B2162" s="8"/>
      <c r="C2162" s="7" t="s">
        <v>551</v>
      </c>
      <c r="D2162" s="8"/>
      <c r="E2162" s="9">
        <v>900242</v>
      </c>
      <c r="F2162" s="9">
        <v>900242</v>
      </c>
      <c r="G2162" s="8"/>
      <c r="H2162" s="9">
        <f t="shared" si="309"/>
        <v>900242</v>
      </c>
      <c r="I2162" s="8"/>
      <c r="J2162" s="9">
        <f t="shared" si="310"/>
        <v>900242</v>
      </c>
      <c r="K2162" s="8"/>
      <c r="L2162" s="8"/>
      <c r="M2162" s="9">
        <f t="shared" si="317"/>
        <v>900242</v>
      </c>
      <c r="N2162" s="8"/>
      <c r="O2162" s="9"/>
      <c r="P2162" s="9">
        <f t="shared" si="318"/>
        <v>0</v>
      </c>
      <c r="Q2162" s="9">
        <f t="shared" si="311"/>
        <v>900242</v>
      </c>
      <c r="R2162" s="8"/>
      <c r="S2162" s="8"/>
      <c r="T2162" s="8"/>
      <c r="U2162" s="18">
        <f t="shared" si="312"/>
        <v>0</v>
      </c>
      <c r="V2162" s="17"/>
      <c r="W2162" s="17"/>
      <c r="X2162" s="9">
        <f t="shared" si="313"/>
        <v>900242</v>
      </c>
      <c r="Y2162" s="8"/>
      <c r="Z2162" s="9">
        <f t="shared" si="314"/>
        <v>0</v>
      </c>
      <c r="AA2162" s="8">
        <f t="shared" si="315"/>
        <v>900242</v>
      </c>
      <c r="AB2162" s="8">
        <f t="shared" si="316"/>
        <v>0</v>
      </c>
    </row>
    <row r="2163" spans="1:28" x14ac:dyDescent="0.35">
      <c r="A2163" s="36"/>
      <c r="B2163" s="8"/>
      <c r="C2163" s="7" t="s">
        <v>606</v>
      </c>
      <c r="D2163" s="8"/>
      <c r="E2163" s="9">
        <f>2500000+2500000-2500000+858947.27+1180929.43+651445.75+701747.1</f>
        <v>5893069.5499999998</v>
      </c>
      <c r="F2163" s="9">
        <f>2500000+858947.27</f>
        <v>3358947.27</v>
      </c>
      <c r="G2163" s="8"/>
      <c r="H2163" s="9">
        <f t="shared" si="309"/>
        <v>3358947.27</v>
      </c>
      <c r="I2163" s="9">
        <f>1180929.43+651445.75+701747.1</f>
        <v>2534122.2799999998</v>
      </c>
      <c r="J2163" s="9">
        <f t="shared" si="310"/>
        <v>5893069.5499999998</v>
      </c>
      <c r="K2163" s="8"/>
      <c r="L2163" s="8">
        <v>2534122.2799999998</v>
      </c>
      <c r="M2163" s="9">
        <f t="shared" si="317"/>
        <v>5893069.5499999998</v>
      </c>
      <c r="N2163" s="8"/>
      <c r="O2163" s="9"/>
      <c r="P2163" s="9">
        <f t="shared" si="318"/>
        <v>0</v>
      </c>
      <c r="Q2163" s="9">
        <f t="shared" si="311"/>
        <v>5893069.5499999998</v>
      </c>
      <c r="R2163" s="8"/>
      <c r="S2163" s="8"/>
      <c r="T2163" s="8"/>
      <c r="U2163" s="18">
        <f t="shared" si="312"/>
        <v>0</v>
      </c>
      <c r="V2163" s="17"/>
      <c r="W2163" s="17"/>
      <c r="X2163" s="9">
        <f t="shared" si="313"/>
        <v>3358947.27</v>
      </c>
      <c r="Y2163" s="8"/>
      <c r="Z2163" s="9">
        <f t="shared" si="314"/>
        <v>2534122.2799999998</v>
      </c>
      <c r="AA2163" s="8">
        <f t="shared" si="315"/>
        <v>5893069.5499999998</v>
      </c>
      <c r="AB2163" s="8">
        <f t="shared" si="316"/>
        <v>0</v>
      </c>
    </row>
    <row r="2164" spans="1:28" x14ac:dyDescent="0.35">
      <c r="A2164" s="36"/>
      <c r="B2164" s="8"/>
      <c r="C2164" s="8"/>
      <c r="D2164" s="8"/>
      <c r="E2164" s="17" t="s">
        <v>29</v>
      </c>
      <c r="F2164" s="17" t="s">
        <v>29</v>
      </c>
      <c r="G2164" s="17" t="s">
        <v>29</v>
      </c>
      <c r="H2164" s="17" t="s">
        <v>29</v>
      </c>
      <c r="I2164" s="17" t="s">
        <v>29</v>
      </c>
      <c r="J2164" s="17" t="s">
        <v>29</v>
      </c>
      <c r="K2164" s="17" t="s">
        <v>29</v>
      </c>
      <c r="L2164" s="17" t="s">
        <v>29</v>
      </c>
      <c r="M2164" s="17" t="s">
        <v>29</v>
      </c>
      <c r="N2164" s="17" t="s">
        <v>29</v>
      </c>
      <c r="O2164" s="17" t="s">
        <v>29</v>
      </c>
      <c r="P2164" s="17" t="s">
        <v>29</v>
      </c>
      <c r="Q2164" s="17" t="s">
        <v>29</v>
      </c>
      <c r="R2164" s="17" t="s">
        <v>29</v>
      </c>
      <c r="S2164" s="17" t="s">
        <v>29</v>
      </c>
      <c r="T2164" s="17" t="s">
        <v>29</v>
      </c>
      <c r="U2164" s="17" t="s">
        <v>29</v>
      </c>
      <c r="V2164" s="17" t="s">
        <v>29</v>
      </c>
      <c r="W2164" s="17" t="s">
        <v>29</v>
      </c>
      <c r="X2164" s="17" t="s">
        <v>29</v>
      </c>
      <c r="Y2164" s="17" t="s">
        <v>29</v>
      </c>
      <c r="Z2164" s="17" t="s">
        <v>29</v>
      </c>
      <c r="AA2164" s="17" t="s">
        <v>29</v>
      </c>
      <c r="AB2164" s="17" t="s">
        <v>29</v>
      </c>
    </row>
    <row r="2165" spans="1:28" x14ac:dyDescent="0.35">
      <c r="A2165" s="36"/>
      <c r="B2165" s="8"/>
      <c r="C2165" s="8"/>
      <c r="D2165" s="8"/>
      <c r="E2165" s="9">
        <f t="shared" ref="E2165:Q2165" si="319">SUM(E2140:E2164)</f>
        <v>65705489.839999989</v>
      </c>
      <c r="F2165" s="9">
        <f t="shared" si="319"/>
        <v>60877771.339999996</v>
      </c>
      <c r="G2165" s="9">
        <f t="shared" si="319"/>
        <v>0</v>
      </c>
      <c r="H2165" s="9">
        <f t="shared" si="319"/>
        <v>60877771.339999996</v>
      </c>
      <c r="I2165" s="9">
        <f t="shared" si="319"/>
        <v>2534122.2799999998</v>
      </c>
      <c r="J2165" s="9">
        <f t="shared" si="319"/>
        <v>57143698.419999994</v>
      </c>
      <c r="K2165" s="9">
        <f t="shared" si="319"/>
        <v>2293596.2199999997</v>
      </c>
      <c r="L2165" s="9">
        <f t="shared" si="319"/>
        <v>2534122.2799999998</v>
      </c>
      <c r="M2165" s="9">
        <f t="shared" si="319"/>
        <v>63411893.61999999</v>
      </c>
      <c r="N2165" s="9">
        <f t="shared" si="319"/>
        <v>2293596.2199999997</v>
      </c>
      <c r="O2165" s="9">
        <f t="shared" si="319"/>
        <v>0</v>
      </c>
      <c r="P2165" s="9">
        <f t="shared" si="319"/>
        <v>2293596.2199999997</v>
      </c>
      <c r="Q2165" s="9">
        <f t="shared" si="319"/>
        <v>49085890.899999999</v>
      </c>
      <c r="R2165" s="8"/>
      <c r="S2165" s="8"/>
      <c r="T2165" s="9">
        <f t="shared" ref="T2165:Z2165" si="320">SUM(T2140:T2164)</f>
        <v>0</v>
      </c>
      <c r="U2165" s="9">
        <f t="shared" si="320"/>
        <v>2293596.2199999997</v>
      </c>
      <c r="V2165" s="9">
        <f t="shared" si="320"/>
        <v>0</v>
      </c>
      <c r="W2165" s="9">
        <f t="shared" si="320"/>
        <v>0</v>
      </c>
      <c r="X2165" s="9">
        <f t="shared" si="320"/>
        <v>63171367.559999995</v>
      </c>
      <c r="Y2165" s="9">
        <f t="shared" si="320"/>
        <v>0</v>
      </c>
      <c r="Z2165" s="9">
        <f t="shared" si="320"/>
        <v>2534122.2799999998</v>
      </c>
      <c r="AA2165" s="9">
        <f>SUM(AA2140:AA2164)</f>
        <v>65705489.839999989</v>
      </c>
      <c r="AB2165" s="9">
        <f>SUM(AB2140:AB2164)</f>
        <v>0</v>
      </c>
    </row>
    <row r="2166" spans="1:28" x14ac:dyDescent="0.35">
      <c r="A2166" s="36"/>
      <c r="B2166" s="8"/>
      <c r="C2166" s="8"/>
      <c r="D2166" s="8"/>
      <c r="E2166" s="17" t="s">
        <v>29</v>
      </c>
      <c r="F2166" s="17" t="s">
        <v>29</v>
      </c>
      <c r="G2166" s="17" t="s">
        <v>29</v>
      </c>
      <c r="H2166" s="17" t="s">
        <v>29</v>
      </c>
      <c r="I2166" s="17" t="s">
        <v>29</v>
      </c>
      <c r="J2166" s="17" t="s">
        <v>29</v>
      </c>
      <c r="K2166" s="17" t="s">
        <v>29</v>
      </c>
      <c r="L2166" s="17" t="s">
        <v>29</v>
      </c>
      <c r="M2166" s="17" t="s">
        <v>29</v>
      </c>
      <c r="N2166" s="17" t="s">
        <v>29</v>
      </c>
      <c r="O2166" s="17" t="s">
        <v>29</v>
      </c>
      <c r="P2166" s="17" t="s">
        <v>29</v>
      </c>
      <c r="Q2166" s="17" t="s">
        <v>29</v>
      </c>
      <c r="R2166" s="17" t="s">
        <v>29</v>
      </c>
      <c r="S2166" s="17" t="s">
        <v>29</v>
      </c>
      <c r="T2166" s="17" t="s">
        <v>29</v>
      </c>
      <c r="U2166" s="17" t="s">
        <v>29</v>
      </c>
      <c r="V2166" s="17" t="s">
        <v>29</v>
      </c>
      <c r="W2166" s="17" t="s">
        <v>29</v>
      </c>
      <c r="X2166" s="17" t="s">
        <v>29</v>
      </c>
      <c r="Y2166" s="17" t="s">
        <v>29</v>
      </c>
      <c r="Z2166" s="17" t="s">
        <v>29</v>
      </c>
      <c r="AA2166" s="17" t="s">
        <v>29</v>
      </c>
      <c r="AB2166" s="17" t="s">
        <v>29</v>
      </c>
    </row>
    <row r="2167" spans="1:28" x14ac:dyDescent="0.35">
      <c r="A2167" s="36"/>
      <c r="B2167" s="7" t="s">
        <v>837</v>
      </c>
      <c r="C2167" s="8"/>
      <c r="D2167" s="8"/>
      <c r="E2167" s="9">
        <f>E1995+E2021+E2052+E2072+E2096+E2118+E2137+E2165</f>
        <v>430738460.29999995</v>
      </c>
      <c r="F2167" s="9">
        <f t="shared" ref="F2167:Q2167" si="321">F2096+F2118+F1995+F2021+F2052+F2072+F2137+F2165</f>
        <v>397014079.44</v>
      </c>
      <c r="G2167" s="9">
        <f t="shared" si="321"/>
        <v>2000000</v>
      </c>
      <c r="H2167" s="9">
        <f t="shared" si="321"/>
        <v>399014079.44</v>
      </c>
      <c r="I2167" s="9">
        <f t="shared" si="321"/>
        <v>3734122.28</v>
      </c>
      <c r="J2167" s="9">
        <f t="shared" si="321"/>
        <v>380683488.13999999</v>
      </c>
      <c r="K2167" s="9">
        <f t="shared" si="321"/>
        <v>27638084.959999997</v>
      </c>
      <c r="L2167" s="9">
        <f t="shared" si="321"/>
        <v>3734122.28</v>
      </c>
      <c r="M2167" s="9">
        <f t="shared" si="321"/>
        <v>402748201.72000003</v>
      </c>
      <c r="N2167" s="9">
        <f t="shared" si="321"/>
        <v>27658905.649999999</v>
      </c>
      <c r="O2167" s="9">
        <f t="shared" si="321"/>
        <v>0</v>
      </c>
      <c r="P2167" s="9">
        <f t="shared" si="321"/>
        <v>27658905.649999999</v>
      </c>
      <c r="Q2167" s="9">
        <f t="shared" si="321"/>
        <v>356149258.22999996</v>
      </c>
      <c r="R2167" s="8"/>
      <c r="S2167" s="8"/>
      <c r="T2167" s="9">
        <f t="shared" ref="T2167:AB2167" si="322">T2096+T2118+T1995+T2021+T2052+T2072+T2137+T2165</f>
        <v>31194.699999999997</v>
      </c>
      <c r="U2167" s="9">
        <f t="shared" si="322"/>
        <v>27690100.349999998</v>
      </c>
      <c r="V2167" s="9">
        <f t="shared" si="322"/>
        <v>0</v>
      </c>
      <c r="W2167" s="9">
        <f t="shared" si="322"/>
        <v>0</v>
      </c>
      <c r="X2167" s="9">
        <f t="shared" si="322"/>
        <v>426672985.09000003</v>
      </c>
      <c r="Y2167" s="9">
        <f t="shared" si="322"/>
        <v>0</v>
      </c>
      <c r="Z2167" s="9">
        <f t="shared" si="322"/>
        <v>4065475.209999999</v>
      </c>
      <c r="AA2167" s="9">
        <f t="shared" si="322"/>
        <v>430438302.06999999</v>
      </c>
      <c r="AB2167" s="9">
        <f t="shared" si="322"/>
        <v>300158.22999999957</v>
      </c>
    </row>
    <row r="2168" spans="1:28" x14ac:dyDescent="0.35">
      <c r="A2168" s="36"/>
      <c r="B2168" s="8"/>
      <c r="C2168" s="8"/>
      <c r="D2168" s="8"/>
      <c r="E2168" s="17" t="s">
        <v>114</v>
      </c>
      <c r="F2168" s="17" t="s">
        <v>114</v>
      </c>
      <c r="G2168" s="17" t="s">
        <v>114</v>
      </c>
      <c r="H2168" s="17" t="s">
        <v>114</v>
      </c>
      <c r="I2168" s="17" t="s">
        <v>114</v>
      </c>
      <c r="J2168" s="17" t="s">
        <v>114</v>
      </c>
      <c r="K2168" s="17" t="s">
        <v>114</v>
      </c>
      <c r="L2168" s="17" t="s">
        <v>114</v>
      </c>
      <c r="M2168" s="17" t="s">
        <v>114</v>
      </c>
      <c r="N2168" s="17" t="s">
        <v>114</v>
      </c>
      <c r="O2168" s="17" t="s">
        <v>114</v>
      </c>
      <c r="P2168" s="17" t="s">
        <v>114</v>
      </c>
      <c r="Q2168" s="17" t="s">
        <v>114</v>
      </c>
      <c r="R2168" s="17" t="s">
        <v>114</v>
      </c>
      <c r="S2168" s="17" t="s">
        <v>114</v>
      </c>
      <c r="T2168" s="17" t="s">
        <v>114</v>
      </c>
      <c r="U2168" s="17" t="s">
        <v>114</v>
      </c>
      <c r="V2168" s="17" t="s">
        <v>114</v>
      </c>
      <c r="W2168" s="17" t="s">
        <v>114</v>
      </c>
      <c r="X2168" s="17" t="s">
        <v>114</v>
      </c>
      <c r="Y2168" s="17" t="s">
        <v>114</v>
      </c>
      <c r="Z2168" s="17" t="s">
        <v>114</v>
      </c>
      <c r="AA2168" s="17" t="s">
        <v>114</v>
      </c>
      <c r="AB2168" s="17" t="s">
        <v>114</v>
      </c>
    </row>
    <row r="2169" spans="1:28" x14ac:dyDescent="0.35">
      <c r="A2169" s="36"/>
      <c r="B2169" s="8"/>
      <c r="C2169" s="8"/>
      <c r="D2169" s="8"/>
      <c r="E2169" s="17"/>
      <c r="F2169" s="17"/>
      <c r="G2169" s="17"/>
      <c r="H2169" s="17"/>
      <c r="I2169" s="17"/>
      <c r="J2169" s="17"/>
      <c r="K2169" s="17"/>
      <c r="L2169" s="17"/>
      <c r="M2169" s="17"/>
      <c r="N2169" s="17"/>
      <c r="O2169" s="17"/>
      <c r="P2169" s="17"/>
      <c r="Q2169" s="17"/>
      <c r="R2169" s="8"/>
      <c r="S2169" s="8"/>
      <c r="T2169" s="8"/>
      <c r="U2169" s="8"/>
      <c r="V2169" s="8"/>
      <c r="W2169" s="8"/>
      <c r="X2169" s="8"/>
      <c r="Y2169" s="8"/>
      <c r="Z2169" s="8"/>
    </row>
    <row r="2170" spans="1:28" x14ac:dyDescent="0.35">
      <c r="A2170" s="36"/>
      <c r="B2170" s="8"/>
      <c r="C2170" s="8"/>
      <c r="D2170" s="8"/>
      <c r="E2170" s="17"/>
      <c r="F2170" s="17"/>
      <c r="G2170" s="17"/>
      <c r="H2170" s="17"/>
      <c r="I2170" s="17"/>
      <c r="J2170" s="17"/>
      <c r="K2170" s="17"/>
      <c r="L2170" s="17"/>
      <c r="M2170" s="17"/>
      <c r="N2170" s="17"/>
      <c r="O2170" s="17"/>
      <c r="P2170" s="17"/>
      <c r="Q2170" s="17"/>
      <c r="R2170" s="8"/>
      <c r="S2170" s="8"/>
      <c r="T2170" s="8"/>
      <c r="U2170" s="8"/>
      <c r="V2170" s="8"/>
      <c r="W2170" s="8"/>
      <c r="X2170" s="8"/>
      <c r="Y2170" s="8"/>
      <c r="Z2170" s="8"/>
    </row>
    <row r="2171" spans="1:28" x14ac:dyDescent="0.35">
      <c r="B2171" s="7" t="s">
        <v>838</v>
      </c>
      <c r="C2171" s="8"/>
      <c r="D2171" s="8"/>
      <c r="E2171" s="8"/>
      <c r="F2171" s="8"/>
      <c r="G2171" s="8"/>
      <c r="H2171" s="8"/>
      <c r="I2171" s="8"/>
      <c r="J2171" s="8"/>
      <c r="K2171" s="8"/>
      <c r="L2171" s="8"/>
      <c r="M2171" s="8"/>
      <c r="N2171" s="8"/>
      <c r="O2171" s="8"/>
      <c r="P2171" s="8"/>
      <c r="Q2171" s="8"/>
      <c r="R2171" s="8"/>
      <c r="S2171" s="8"/>
      <c r="T2171" s="8"/>
      <c r="U2171" s="8"/>
      <c r="V2171" s="8"/>
      <c r="W2171" s="8"/>
      <c r="X2171" s="8"/>
      <c r="Y2171" s="8"/>
      <c r="Z2171" s="8"/>
    </row>
    <row r="2172" spans="1:28" x14ac:dyDescent="0.35">
      <c r="A2172" s="36"/>
      <c r="B2172" s="7"/>
      <c r="C2172" s="8"/>
      <c r="D2172" s="8"/>
      <c r="E2172" s="8"/>
      <c r="F2172" s="8"/>
      <c r="G2172" s="8"/>
      <c r="H2172" s="8"/>
      <c r="I2172" s="8"/>
      <c r="J2172" s="8"/>
      <c r="K2172" s="8"/>
      <c r="L2172" s="8"/>
      <c r="M2172" s="8"/>
      <c r="N2172" s="8"/>
      <c r="O2172" s="8"/>
      <c r="P2172" s="8"/>
      <c r="Q2172" s="8"/>
      <c r="R2172" s="8"/>
      <c r="S2172" s="8"/>
      <c r="T2172" s="8"/>
      <c r="U2172" s="8"/>
      <c r="V2172" s="8"/>
      <c r="W2172" s="8"/>
      <c r="X2172" s="8"/>
      <c r="Y2172" s="8"/>
      <c r="Z2172" s="8"/>
    </row>
    <row r="2173" spans="1:28" x14ac:dyDescent="0.35">
      <c r="A2173" s="38" t="s">
        <v>1048</v>
      </c>
      <c r="B2173" s="7" t="s">
        <v>839</v>
      </c>
      <c r="C2173" s="8"/>
      <c r="D2173" s="8"/>
      <c r="E2173" s="8"/>
      <c r="F2173" s="8"/>
      <c r="G2173" s="8"/>
      <c r="H2173" s="8"/>
      <c r="I2173" s="8"/>
      <c r="J2173" s="8"/>
      <c r="K2173" s="8"/>
      <c r="L2173" s="8"/>
      <c r="M2173" s="8"/>
      <c r="N2173" s="8"/>
      <c r="O2173" s="8"/>
      <c r="P2173" s="8"/>
      <c r="Q2173" s="8"/>
      <c r="R2173" s="8"/>
      <c r="S2173" s="8"/>
      <c r="T2173" s="8"/>
      <c r="U2173" s="8"/>
      <c r="V2173" s="8"/>
      <c r="W2173" s="8"/>
      <c r="X2173" s="8"/>
      <c r="Y2173" s="8"/>
      <c r="Z2173" s="8"/>
    </row>
    <row r="2174" spans="1:28" x14ac:dyDescent="0.35">
      <c r="A2174" s="36"/>
      <c r="B2174" s="8"/>
      <c r="C2174" s="7" t="s">
        <v>840</v>
      </c>
      <c r="D2174" s="15" t="s">
        <v>166</v>
      </c>
      <c r="E2174" s="9">
        <v>550000</v>
      </c>
      <c r="F2174" s="9">
        <v>550000</v>
      </c>
      <c r="G2174" s="8"/>
      <c r="H2174" s="9">
        <f>+F2174+G2174</f>
        <v>550000</v>
      </c>
      <c r="I2174" s="8"/>
      <c r="J2174" s="9">
        <f t="shared" ref="J2174:J2186" si="323">H2174+I2174</f>
        <v>550000</v>
      </c>
      <c r="K2174" s="8"/>
      <c r="L2174" s="8"/>
      <c r="M2174" s="9">
        <f>+H2174+L2174</f>
        <v>550000</v>
      </c>
      <c r="N2174" s="8"/>
      <c r="O2174" s="9"/>
      <c r="P2174" s="9">
        <f>+N2174+O2174</f>
        <v>0</v>
      </c>
      <c r="Q2174" s="9">
        <f t="shared" ref="Q2174:Q2186" si="324">E2174-P2174</f>
        <v>550000</v>
      </c>
      <c r="R2174" s="8"/>
      <c r="S2174" s="8"/>
      <c r="T2174" s="8"/>
      <c r="U2174" s="18">
        <f t="shared" ref="U2174:U2186" si="325">+P2174+T2174</f>
        <v>0</v>
      </c>
      <c r="V2174" s="17"/>
      <c r="W2174" s="17"/>
      <c r="X2174" s="9">
        <f t="shared" ref="X2174:X2186" si="326">+H2174+P2174</f>
        <v>550000</v>
      </c>
      <c r="Y2174" s="8"/>
      <c r="Z2174" s="9">
        <f t="shared" ref="Z2174:Z2186" si="327">+E2174-X2174</f>
        <v>0</v>
      </c>
      <c r="AA2174" s="8">
        <f t="shared" ref="AA2174:AA2186" si="328">+M2174+U2174</f>
        <v>550000</v>
      </c>
      <c r="AB2174" s="8">
        <f t="shared" ref="AB2174:AB2186" si="329">+E2174-AA2174</f>
        <v>0</v>
      </c>
    </row>
    <row r="2175" spans="1:28" x14ac:dyDescent="0.35">
      <c r="A2175" s="36"/>
      <c r="B2175" s="8"/>
      <c r="C2175" s="7" t="s">
        <v>535</v>
      </c>
      <c r="D2175" s="15" t="s">
        <v>54</v>
      </c>
      <c r="E2175" s="9">
        <f>556000-27800</f>
        <v>528200</v>
      </c>
      <c r="F2175" s="9">
        <v>528200</v>
      </c>
      <c r="G2175" s="8"/>
      <c r="H2175" s="9">
        <f t="shared" ref="H2175:H2186" si="330">+F2175+G2175</f>
        <v>528200</v>
      </c>
      <c r="I2175" s="8"/>
      <c r="J2175" s="9">
        <f t="shared" si="323"/>
        <v>528200</v>
      </c>
      <c r="K2175" s="8"/>
      <c r="L2175" s="8"/>
      <c r="M2175" s="9">
        <f t="shared" ref="M2175:M2186" si="331">+H2175+L2175</f>
        <v>528200</v>
      </c>
      <c r="N2175" s="8"/>
      <c r="O2175" s="9"/>
      <c r="P2175" s="9">
        <f t="shared" ref="P2175:P2186" si="332">+N2175+O2175</f>
        <v>0</v>
      </c>
      <c r="Q2175" s="9">
        <f t="shared" si="324"/>
        <v>528200</v>
      </c>
      <c r="R2175" s="8"/>
      <c r="S2175" s="8"/>
      <c r="T2175" s="8"/>
      <c r="U2175" s="18">
        <f t="shared" si="325"/>
        <v>0</v>
      </c>
      <c r="V2175" s="17"/>
      <c r="W2175" s="17"/>
      <c r="X2175" s="9">
        <f t="shared" si="326"/>
        <v>528200</v>
      </c>
      <c r="Y2175" s="8"/>
      <c r="Z2175" s="9">
        <f t="shared" si="327"/>
        <v>0</v>
      </c>
      <c r="AA2175" s="8">
        <f t="shared" si="328"/>
        <v>528200</v>
      </c>
      <c r="AB2175" s="8">
        <f t="shared" si="329"/>
        <v>0</v>
      </c>
    </row>
    <row r="2176" spans="1:28" x14ac:dyDescent="0.35">
      <c r="A2176" s="36"/>
      <c r="B2176" s="8"/>
      <c r="C2176" s="7" t="s">
        <v>696</v>
      </c>
      <c r="D2176" s="15" t="s">
        <v>54</v>
      </c>
      <c r="E2176" s="9">
        <f>43133+146867</f>
        <v>190000</v>
      </c>
      <c r="F2176" s="9">
        <v>190000</v>
      </c>
      <c r="G2176" s="8"/>
      <c r="H2176" s="9">
        <f t="shared" si="330"/>
        <v>190000</v>
      </c>
      <c r="I2176" s="8"/>
      <c r="J2176" s="9">
        <f t="shared" si="323"/>
        <v>190000</v>
      </c>
      <c r="K2176" s="8"/>
      <c r="L2176" s="8"/>
      <c r="M2176" s="9">
        <f t="shared" si="331"/>
        <v>190000</v>
      </c>
      <c r="N2176" s="8"/>
      <c r="O2176" s="9"/>
      <c r="P2176" s="9">
        <f t="shared" si="332"/>
        <v>0</v>
      </c>
      <c r="Q2176" s="9">
        <f t="shared" si="324"/>
        <v>190000</v>
      </c>
      <c r="R2176" s="8"/>
      <c r="S2176" s="8"/>
      <c r="T2176" s="8"/>
      <c r="U2176" s="18">
        <f t="shared" si="325"/>
        <v>0</v>
      </c>
      <c r="V2176" s="17"/>
      <c r="W2176" s="17"/>
      <c r="X2176" s="9">
        <f t="shared" si="326"/>
        <v>190000</v>
      </c>
      <c r="Y2176" s="8"/>
      <c r="Z2176" s="9">
        <f t="shared" si="327"/>
        <v>0</v>
      </c>
      <c r="AA2176" s="8">
        <f t="shared" si="328"/>
        <v>190000</v>
      </c>
      <c r="AB2176" s="8">
        <f t="shared" si="329"/>
        <v>0</v>
      </c>
    </row>
    <row r="2177" spans="1:28" x14ac:dyDescent="0.35">
      <c r="A2177" s="36"/>
      <c r="B2177" s="8"/>
      <c r="C2177" s="7" t="s">
        <v>545</v>
      </c>
      <c r="D2177" s="15" t="s">
        <v>54</v>
      </c>
      <c r="E2177" s="9">
        <v>1953989</v>
      </c>
      <c r="F2177" s="8"/>
      <c r="G2177" s="8"/>
      <c r="H2177" s="9">
        <f t="shared" si="330"/>
        <v>0</v>
      </c>
      <c r="I2177" s="8"/>
      <c r="J2177" s="9">
        <f t="shared" si="323"/>
        <v>0</v>
      </c>
      <c r="K2177" s="9">
        <v>1953989</v>
      </c>
      <c r="L2177" s="8"/>
      <c r="M2177" s="9">
        <f t="shared" si="331"/>
        <v>0</v>
      </c>
      <c r="N2177" s="8">
        <v>1953989</v>
      </c>
      <c r="O2177" s="9"/>
      <c r="P2177" s="9">
        <f t="shared" si="332"/>
        <v>1953989</v>
      </c>
      <c r="Q2177" s="9">
        <f t="shared" si="324"/>
        <v>0</v>
      </c>
      <c r="R2177" s="8"/>
      <c r="S2177" s="8"/>
      <c r="T2177" s="8"/>
      <c r="U2177" s="18">
        <f t="shared" si="325"/>
        <v>1953989</v>
      </c>
      <c r="V2177" s="17"/>
      <c r="W2177" s="17"/>
      <c r="X2177" s="9">
        <f t="shared" si="326"/>
        <v>1953989</v>
      </c>
      <c r="Y2177" s="8"/>
      <c r="Z2177" s="9">
        <f t="shared" si="327"/>
        <v>0</v>
      </c>
      <c r="AA2177" s="8">
        <f t="shared" si="328"/>
        <v>1953989</v>
      </c>
      <c r="AB2177" s="8">
        <f t="shared" si="329"/>
        <v>0</v>
      </c>
    </row>
    <row r="2178" spans="1:28" x14ac:dyDescent="0.35">
      <c r="A2178" s="36"/>
      <c r="B2178" s="8"/>
      <c r="C2178" s="7" t="s">
        <v>535</v>
      </c>
      <c r="D2178" s="15" t="s">
        <v>85</v>
      </c>
      <c r="E2178" s="9">
        <v>1110163</v>
      </c>
      <c r="F2178" s="9">
        <v>1110163</v>
      </c>
      <c r="G2178" s="8"/>
      <c r="H2178" s="9">
        <f t="shared" si="330"/>
        <v>1110163</v>
      </c>
      <c r="I2178" s="8"/>
      <c r="J2178" s="9">
        <f t="shared" si="323"/>
        <v>1110163</v>
      </c>
      <c r="K2178" s="8"/>
      <c r="L2178" s="8"/>
      <c r="M2178" s="9">
        <f t="shared" si="331"/>
        <v>1110163</v>
      </c>
      <c r="N2178" s="8"/>
      <c r="O2178" s="9"/>
      <c r="P2178" s="9">
        <f t="shared" si="332"/>
        <v>0</v>
      </c>
      <c r="Q2178" s="9">
        <f t="shared" si="324"/>
        <v>1110163</v>
      </c>
      <c r="R2178" s="8"/>
      <c r="S2178" s="8"/>
      <c r="T2178" s="8"/>
      <c r="U2178" s="18">
        <f t="shared" si="325"/>
        <v>0</v>
      </c>
      <c r="V2178" s="17"/>
      <c r="W2178" s="17"/>
      <c r="X2178" s="9">
        <f t="shared" si="326"/>
        <v>1110163</v>
      </c>
      <c r="Y2178" s="8"/>
      <c r="Z2178" s="9">
        <f t="shared" si="327"/>
        <v>0</v>
      </c>
      <c r="AA2178" s="8">
        <f t="shared" si="328"/>
        <v>1110163</v>
      </c>
      <c r="AB2178" s="8">
        <f t="shared" si="329"/>
        <v>0</v>
      </c>
    </row>
    <row r="2179" spans="1:28" x14ac:dyDescent="0.35">
      <c r="A2179" s="36"/>
      <c r="B2179" s="8"/>
      <c r="C2179" s="7" t="s">
        <v>814</v>
      </c>
      <c r="D2179" s="15" t="s">
        <v>85</v>
      </c>
      <c r="E2179" s="9">
        <f>240000+160000+160000+240000+240000+120000</f>
        <v>1160000</v>
      </c>
      <c r="F2179" s="9">
        <f>240000+160000+160000+240000+240000+120000</f>
        <v>1160000</v>
      </c>
      <c r="G2179" s="8"/>
      <c r="H2179" s="9">
        <f t="shared" si="330"/>
        <v>1160000</v>
      </c>
      <c r="I2179" s="8"/>
      <c r="J2179" s="9">
        <f t="shared" si="323"/>
        <v>1160000</v>
      </c>
      <c r="K2179" s="8"/>
      <c r="L2179" s="8"/>
      <c r="M2179" s="9">
        <f t="shared" si="331"/>
        <v>1160000</v>
      </c>
      <c r="N2179" s="8"/>
      <c r="O2179" s="9"/>
      <c r="P2179" s="9">
        <f t="shared" si="332"/>
        <v>0</v>
      </c>
      <c r="Q2179" s="9">
        <f t="shared" si="324"/>
        <v>1160000</v>
      </c>
      <c r="R2179" s="8"/>
      <c r="S2179" s="8"/>
      <c r="T2179" s="8"/>
      <c r="U2179" s="18">
        <f t="shared" si="325"/>
        <v>0</v>
      </c>
      <c r="V2179" s="17"/>
      <c r="W2179" s="17"/>
      <c r="X2179" s="9">
        <f t="shared" si="326"/>
        <v>1160000</v>
      </c>
      <c r="Y2179" s="8"/>
      <c r="Z2179" s="9">
        <f t="shared" si="327"/>
        <v>0</v>
      </c>
      <c r="AA2179" s="8">
        <f t="shared" si="328"/>
        <v>1160000</v>
      </c>
      <c r="AB2179" s="8">
        <f t="shared" si="329"/>
        <v>0</v>
      </c>
    </row>
    <row r="2180" spans="1:28" x14ac:dyDescent="0.35">
      <c r="A2180" s="36"/>
      <c r="B2180" s="8"/>
      <c r="C2180" s="7" t="s">
        <v>535</v>
      </c>
      <c r="D2180" s="15" t="s">
        <v>128</v>
      </c>
      <c r="E2180" s="9">
        <v>1094000</v>
      </c>
      <c r="F2180" s="9">
        <v>1094000</v>
      </c>
      <c r="G2180" s="8"/>
      <c r="H2180" s="9">
        <f t="shared" si="330"/>
        <v>1094000</v>
      </c>
      <c r="I2180" s="8"/>
      <c r="J2180" s="9">
        <f t="shared" si="323"/>
        <v>1094000</v>
      </c>
      <c r="K2180" s="8"/>
      <c r="L2180" s="8"/>
      <c r="M2180" s="9">
        <f t="shared" si="331"/>
        <v>1094000</v>
      </c>
      <c r="N2180" s="8"/>
      <c r="O2180" s="9"/>
      <c r="P2180" s="9">
        <f t="shared" si="332"/>
        <v>0</v>
      </c>
      <c r="Q2180" s="9">
        <f t="shared" si="324"/>
        <v>1094000</v>
      </c>
      <c r="R2180" s="8"/>
      <c r="S2180" s="8"/>
      <c r="T2180" s="8"/>
      <c r="U2180" s="18">
        <f t="shared" si="325"/>
        <v>0</v>
      </c>
      <c r="V2180" s="17"/>
      <c r="W2180" s="17"/>
      <c r="X2180" s="9">
        <f t="shared" si="326"/>
        <v>1094000</v>
      </c>
      <c r="Y2180" s="8"/>
      <c r="Z2180" s="9">
        <f t="shared" si="327"/>
        <v>0</v>
      </c>
      <c r="AA2180" s="8">
        <f t="shared" si="328"/>
        <v>1094000</v>
      </c>
      <c r="AB2180" s="8">
        <f t="shared" si="329"/>
        <v>0</v>
      </c>
    </row>
    <row r="2181" spans="1:28" x14ac:dyDescent="0.35">
      <c r="A2181" s="36"/>
      <c r="B2181" s="8"/>
      <c r="C2181" s="7" t="s">
        <v>535</v>
      </c>
      <c r="D2181" s="15" t="s">
        <v>58</v>
      </c>
      <c r="E2181" s="9">
        <f>1025252+1402675+1162375</f>
        <v>3590302</v>
      </c>
      <c r="F2181" s="9">
        <f>2427927+1162375</f>
        <v>3590302</v>
      </c>
      <c r="G2181" s="8"/>
      <c r="H2181" s="9">
        <f t="shared" si="330"/>
        <v>3590302</v>
      </c>
      <c r="I2181" s="8"/>
      <c r="J2181" s="9">
        <f t="shared" si="323"/>
        <v>3590302</v>
      </c>
      <c r="K2181" s="8"/>
      <c r="L2181" s="8"/>
      <c r="M2181" s="9">
        <f t="shared" si="331"/>
        <v>3590302</v>
      </c>
      <c r="N2181" s="8"/>
      <c r="O2181" s="9"/>
      <c r="P2181" s="9">
        <f t="shared" si="332"/>
        <v>0</v>
      </c>
      <c r="Q2181" s="9">
        <f t="shared" si="324"/>
        <v>3590302</v>
      </c>
      <c r="R2181" s="8"/>
      <c r="S2181" s="8"/>
      <c r="T2181" s="8"/>
      <c r="U2181" s="18">
        <f t="shared" si="325"/>
        <v>0</v>
      </c>
      <c r="V2181" s="17"/>
      <c r="W2181" s="17"/>
      <c r="X2181" s="9">
        <f t="shared" si="326"/>
        <v>3590302</v>
      </c>
      <c r="Y2181" s="8"/>
      <c r="Z2181" s="9">
        <f t="shared" si="327"/>
        <v>0</v>
      </c>
      <c r="AA2181" s="8">
        <f t="shared" si="328"/>
        <v>3590302</v>
      </c>
      <c r="AB2181" s="8">
        <f t="shared" si="329"/>
        <v>0</v>
      </c>
    </row>
    <row r="2182" spans="1:28" x14ac:dyDescent="0.35">
      <c r="A2182" s="36"/>
      <c r="B2182" s="8"/>
      <c r="C2182" s="7" t="s">
        <v>535</v>
      </c>
      <c r="D2182" s="15" t="s">
        <v>60</v>
      </c>
      <c r="E2182" s="9">
        <f>4000000+1353000+3248990</f>
        <v>8601990</v>
      </c>
      <c r="F2182" s="9">
        <f>4000000+4601990</f>
        <v>8601990</v>
      </c>
      <c r="G2182" s="8"/>
      <c r="H2182" s="9">
        <f t="shared" si="330"/>
        <v>8601990</v>
      </c>
      <c r="I2182" s="8"/>
      <c r="J2182" s="9">
        <f t="shared" si="323"/>
        <v>8601990</v>
      </c>
      <c r="K2182" s="8"/>
      <c r="L2182" s="8"/>
      <c r="M2182" s="9">
        <f t="shared" si="331"/>
        <v>8601990</v>
      </c>
      <c r="N2182" s="8"/>
      <c r="O2182" s="9"/>
      <c r="P2182" s="9">
        <f t="shared" si="332"/>
        <v>0</v>
      </c>
      <c r="Q2182" s="9">
        <f t="shared" si="324"/>
        <v>8601990</v>
      </c>
      <c r="R2182" s="8"/>
      <c r="S2182" s="8"/>
      <c r="T2182" s="8"/>
      <c r="U2182" s="18">
        <f t="shared" si="325"/>
        <v>0</v>
      </c>
      <c r="V2182" s="17"/>
      <c r="W2182" s="17"/>
      <c r="X2182" s="9">
        <f t="shared" si="326"/>
        <v>8601990</v>
      </c>
      <c r="Y2182" s="8"/>
      <c r="Z2182" s="9">
        <f t="shared" si="327"/>
        <v>0</v>
      </c>
      <c r="AA2182" s="8">
        <f t="shared" si="328"/>
        <v>8601990</v>
      </c>
      <c r="AB2182" s="8">
        <f t="shared" si="329"/>
        <v>0</v>
      </c>
    </row>
    <row r="2183" spans="1:28" x14ac:dyDescent="0.35">
      <c r="A2183" s="36"/>
      <c r="B2183" s="8"/>
      <c r="C2183" s="14" t="s">
        <v>652</v>
      </c>
      <c r="D2183" s="21" t="s">
        <v>194</v>
      </c>
      <c r="E2183" s="11">
        <v>2549042</v>
      </c>
      <c r="F2183" s="11">
        <v>2549042</v>
      </c>
      <c r="G2183" s="8"/>
      <c r="H2183" s="9">
        <f t="shared" si="330"/>
        <v>2549042</v>
      </c>
      <c r="I2183" s="8"/>
      <c r="J2183" s="9">
        <f t="shared" si="323"/>
        <v>2549042</v>
      </c>
      <c r="K2183" s="8"/>
      <c r="L2183" s="8"/>
      <c r="M2183" s="9">
        <f t="shared" si="331"/>
        <v>2549042</v>
      </c>
      <c r="N2183" s="8"/>
      <c r="O2183" s="9"/>
      <c r="P2183" s="9">
        <f t="shared" si="332"/>
        <v>0</v>
      </c>
      <c r="Q2183" s="9">
        <f t="shared" si="324"/>
        <v>2549042</v>
      </c>
      <c r="R2183" s="8"/>
      <c r="S2183" s="8"/>
      <c r="T2183" s="8"/>
      <c r="U2183" s="18">
        <f t="shared" si="325"/>
        <v>0</v>
      </c>
      <c r="V2183" s="17"/>
      <c r="W2183" s="17"/>
      <c r="X2183" s="9">
        <f t="shared" si="326"/>
        <v>2549042</v>
      </c>
      <c r="Y2183" s="8"/>
      <c r="Z2183" s="9">
        <f t="shared" si="327"/>
        <v>0</v>
      </c>
      <c r="AA2183" s="8">
        <f t="shared" si="328"/>
        <v>2549042</v>
      </c>
      <c r="AB2183" s="8">
        <f t="shared" si="329"/>
        <v>0</v>
      </c>
    </row>
    <row r="2184" spans="1:28" x14ac:dyDescent="0.35">
      <c r="A2184" s="36"/>
      <c r="B2184" s="8"/>
      <c r="C2184" s="7" t="s">
        <v>535</v>
      </c>
      <c r="D2184" s="15" t="s">
        <v>61</v>
      </c>
      <c r="E2184" s="11">
        <v>409663.09</v>
      </c>
      <c r="F2184" s="11">
        <v>409663.09</v>
      </c>
      <c r="G2184" s="8"/>
      <c r="H2184" s="9">
        <f t="shared" si="330"/>
        <v>409663.09</v>
      </c>
      <c r="I2184" s="8"/>
      <c r="J2184" s="9">
        <f t="shared" si="323"/>
        <v>409663.09</v>
      </c>
      <c r="K2184" s="8"/>
      <c r="L2184" s="8"/>
      <c r="M2184" s="9">
        <f t="shared" si="331"/>
        <v>409663.09</v>
      </c>
      <c r="N2184" s="8"/>
      <c r="O2184" s="9"/>
      <c r="P2184" s="9">
        <f t="shared" si="332"/>
        <v>0</v>
      </c>
      <c r="Q2184" s="9">
        <f t="shared" si="324"/>
        <v>409663.09</v>
      </c>
      <c r="R2184" s="8"/>
      <c r="S2184" s="8"/>
      <c r="T2184" s="8"/>
      <c r="U2184" s="18">
        <f t="shared" si="325"/>
        <v>0</v>
      </c>
      <c r="V2184" s="17"/>
      <c r="W2184" s="17"/>
      <c r="X2184" s="9">
        <f t="shared" si="326"/>
        <v>409663.09</v>
      </c>
      <c r="Y2184" s="8"/>
      <c r="Z2184" s="9">
        <f t="shared" si="327"/>
        <v>0</v>
      </c>
      <c r="AA2184" s="8">
        <f t="shared" si="328"/>
        <v>409663.09</v>
      </c>
      <c r="AB2184" s="8">
        <f t="shared" si="329"/>
        <v>0</v>
      </c>
    </row>
    <row r="2185" spans="1:28" x14ac:dyDescent="0.35">
      <c r="A2185" s="36"/>
      <c r="B2185" s="8"/>
      <c r="C2185" s="7" t="s">
        <v>550</v>
      </c>
      <c r="D2185" s="8"/>
      <c r="E2185" s="9">
        <v>499574</v>
      </c>
      <c r="F2185" s="9">
        <v>499574</v>
      </c>
      <c r="G2185" s="8"/>
      <c r="H2185" s="9">
        <f t="shared" si="330"/>
        <v>499574</v>
      </c>
      <c r="I2185" s="8"/>
      <c r="J2185" s="9">
        <f t="shared" si="323"/>
        <v>499574</v>
      </c>
      <c r="K2185" s="8"/>
      <c r="L2185" s="8"/>
      <c r="M2185" s="9">
        <f t="shared" si="331"/>
        <v>499574</v>
      </c>
      <c r="N2185" s="8"/>
      <c r="O2185" s="9"/>
      <c r="P2185" s="9">
        <f t="shared" si="332"/>
        <v>0</v>
      </c>
      <c r="Q2185" s="9">
        <f t="shared" si="324"/>
        <v>499574</v>
      </c>
      <c r="R2185" s="8"/>
      <c r="S2185" s="8"/>
      <c r="T2185" s="8"/>
      <c r="U2185" s="18">
        <f t="shared" si="325"/>
        <v>0</v>
      </c>
      <c r="V2185" s="17"/>
      <c r="W2185" s="17"/>
      <c r="X2185" s="9">
        <f t="shared" si="326"/>
        <v>499574</v>
      </c>
      <c r="Y2185" s="8"/>
      <c r="Z2185" s="9">
        <f t="shared" si="327"/>
        <v>0</v>
      </c>
      <c r="AA2185" s="8">
        <f t="shared" si="328"/>
        <v>499574</v>
      </c>
      <c r="AB2185" s="8">
        <f t="shared" si="329"/>
        <v>0</v>
      </c>
    </row>
    <row r="2186" spans="1:28" x14ac:dyDescent="0.35">
      <c r="A2186" s="36"/>
      <c r="B2186" s="8"/>
      <c r="C2186" s="7" t="s">
        <v>606</v>
      </c>
      <c r="D2186" s="8"/>
      <c r="E2186" s="9">
        <f>5000000+2500000-2500000</f>
        <v>5000000</v>
      </c>
      <c r="F2186" s="9">
        <v>5000000</v>
      </c>
      <c r="G2186" s="8"/>
      <c r="H2186" s="9">
        <f t="shared" si="330"/>
        <v>5000000</v>
      </c>
      <c r="I2186" s="8"/>
      <c r="J2186" s="9">
        <f t="shared" si="323"/>
        <v>5000000</v>
      </c>
      <c r="K2186" s="8"/>
      <c r="L2186" s="8"/>
      <c r="M2186" s="9">
        <f t="shared" si="331"/>
        <v>5000000</v>
      </c>
      <c r="N2186" s="8"/>
      <c r="O2186" s="9"/>
      <c r="P2186" s="9">
        <f t="shared" si="332"/>
        <v>0</v>
      </c>
      <c r="Q2186" s="9">
        <f t="shared" si="324"/>
        <v>5000000</v>
      </c>
      <c r="R2186" s="8"/>
      <c r="S2186" s="8"/>
      <c r="T2186" s="8"/>
      <c r="U2186" s="18">
        <f t="shared" si="325"/>
        <v>0</v>
      </c>
      <c r="V2186" s="17"/>
      <c r="W2186" s="17"/>
      <c r="X2186" s="9">
        <f t="shared" si="326"/>
        <v>5000000</v>
      </c>
      <c r="Y2186" s="8"/>
      <c r="Z2186" s="9">
        <f t="shared" si="327"/>
        <v>0</v>
      </c>
      <c r="AA2186" s="8">
        <f t="shared" si="328"/>
        <v>5000000</v>
      </c>
      <c r="AB2186" s="8">
        <f t="shared" si="329"/>
        <v>0</v>
      </c>
    </row>
    <row r="2187" spans="1:28" x14ac:dyDescent="0.35">
      <c r="A2187" s="36"/>
      <c r="B2187" s="8"/>
      <c r="C2187" s="8"/>
      <c r="D2187" s="8"/>
      <c r="E2187" s="17" t="s">
        <v>29</v>
      </c>
      <c r="F2187" s="17" t="s">
        <v>29</v>
      </c>
      <c r="G2187" s="17" t="s">
        <v>29</v>
      </c>
      <c r="H2187" s="17" t="s">
        <v>29</v>
      </c>
      <c r="I2187" s="17" t="s">
        <v>29</v>
      </c>
      <c r="J2187" s="17" t="s">
        <v>29</v>
      </c>
      <c r="K2187" s="17" t="s">
        <v>29</v>
      </c>
      <c r="L2187" s="17" t="s">
        <v>29</v>
      </c>
      <c r="M2187" s="17" t="s">
        <v>29</v>
      </c>
      <c r="N2187" s="17" t="s">
        <v>29</v>
      </c>
      <c r="O2187" s="17" t="s">
        <v>29</v>
      </c>
      <c r="P2187" s="17" t="s">
        <v>29</v>
      </c>
      <c r="Q2187" s="17" t="s">
        <v>29</v>
      </c>
      <c r="R2187" s="17" t="s">
        <v>29</v>
      </c>
      <c r="S2187" s="17" t="s">
        <v>29</v>
      </c>
      <c r="T2187" s="17" t="s">
        <v>29</v>
      </c>
      <c r="U2187" s="17" t="s">
        <v>29</v>
      </c>
      <c r="V2187" s="17" t="s">
        <v>29</v>
      </c>
      <c r="W2187" s="17" t="s">
        <v>29</v>
      </c>
      <c r="X2187" s="17" t="s">
        <v>29</v>
      </c>
      <c r="Y2187" s="17" t="s">
        <v>29</v>
      </c>
      <c r="Z2187" s="17" t="s">
        <v>29</v>
      </c>
      <c r="AA2187" s="17" t="s">
        <v>29</v>
      </c>
      <c r="AB2187" s="17" t="s">
        <v>29</v>
      </c>
    </row>
    <row r="2188" spans="1:28" x14ac:dyDescent="0.35">
      <c r="A2188" s="36"/>
      <c r="B2188" s="8"/>
      <c r="C2188" s="8"/>
      <c r="D2188" s="8"/>
      <c r="E2188" s="9">
        <f t="shared" ref="E2188:Q2188" si="333">SUM(E2174:E2187)</f>
        <v>27236923.09</v>
      </c>
      <c r="F2188" s="9">
        <f t="shared" si="333"/>
        <v>25282934.09</v>
      </c>
      <c r="G2188" s="9">
        <f t="shared" si="333"/>
        <v>0</v>
      </c>
      <c r="H2188" s="9">
        <f t="shared" si="333"/>
        <v>25282934.09</v>
      </c>
      <c r="I2188" s="9">
        <f t="shared" si="333"/>
        <v>0</v>
      </c>
      <c r="J2188" s="9">
        <f t="shared" si="333"/>
        <v>25282934.09</v>
      </c>
      <c r="K2188" s="9">
        <f t="shared" si="333"/>
        <v>1953989</v>
      </c>
      <c r="L2188" s="9">
        <f t="shared" si="333"/>
        <v>0</v>
      </c>
      <c r="M2188" s="9">
        <f t="shared" si="333"/>
        <v>25282934.09</v>
      </c>
      <c r="N2188" s="9">
        <f t="shared" si="333"/>
        <v>1953989</v>
      </c>
      <c r="O2188" s="9">
        <f t="shared" si="333"/>
        <v>0</v>
      </c>
      <c r="P2188" s="9">
        <f t="shared" si="333"/>
        <v>1953989</v>
      </c>
      <c r="Q2188" s="9">
        <f t="shared" si="333"/>
        <v>25282934.09</v>
      </c>
      <c r="R2188" s="8"/>
      <c r="S2188" s="8"/>
      <c r="T2188" s="9">
        <f t="shared" ref="T2188:Z2188" si="334">SUM(T2174:T2187)</f>
        <v>0</v>
      </c>
      <c r="U2188" s="9">
        <f t="shared" si="334"/>
        <v>1953989</v>
      </c>
      <c r="V2188" s="9">
        <f t="shared" si="334"/>
        <v>0</v>
      </c>
      <c r="W2188" s="9">
        <f t="shared" si="334"/>
        <v>0</v>
      </c>
      <c r="X2188" s="9">
        <f t="shared" si="334"/>
        <v>27236923.09</v>
      </c>
      <c r="Y2188" s="9">
        <f t="shared" si="334"/>
        <v>0</v>
      </c>
      <c r="Z2188" s="9">
        <f t="shared" si="334"/>
        <v>0</v>
      </c>
      <c r="AA2188" s="9">
        <f>SUM(AA2174:AA2187)</f>
        <v>27236923.09</v>
      </c>
      <c r="AB2188" s="9">
        <f>SUM(AB2174:AB2187)</f>
        <v>0</v>
      </c>
    </row>
    <row r="2189" spans="1:28" x14ac:dyDescent="0.35">
      <c r="A2189" s="36"/>
      <c r="B2189" s="8"/>
      <c r="C2189" s="8"/>
      <c r="D2189" s="8"/>
      <c r="E2189" s="17" t="s">
        <v>29</v>
      </c>
      <c r="F2189" s="17" t="s">
        <v>29</v>
      </c>
      <c r="G2189" s="17" t="s">
        <v>29</v>
      </c>
      <c r="H2189" s="17" t="s">
        <v>29</v>
      </c>
      <c r="I2189" s="17" t="s">
        <v>29</v>
      </c>
      <c r="J2189" s="17" t="s">
        <v>29</v>
      </c>
      <c r="K2189" s="17" t="s">
        <v>29</v>
      </c>
      <c r="L2189" s="17" t="s">
        <v>29</v>
      </c>
      <c r="M2189" s="17" t="s">
        <v>29</v>
      </c>
      <c r="N2189" s="17" t="s">
        <v>29</v>
      </c>
      <c r="O2189" s="17" t="s">
        <v>29</v>
      </c>
      <c r="P2189" s="17" t="s">
        <v>29</v>
      </c>
      <c r="Q2189" s="17" t="s">
        <v>29</v>
      </c>
      <c r="R2189" s="17" t="s">
        <v>29</v>
      </c>
      <c r="S2189" s="17" t="s">
        <v>29</v>
      </c>
      <c r="T2189" s="17" t="s">
        <v>29</v>
      </c>
      <c r="U2189" s="17" t="s">
        <v>29</v>
      </c>
      <c r="V2189" s="17" t="s">
        <v>29</v>
      </c>
      <c r="W2189" s="17" t="s">
        <v>29</v>
      </c>
      <c r="X2189" s="17" t="s">
        <v>29</v>
      </c>
      <c r="Y2189" s="17" t="s">
        <v>29</v>
      </c>
      <c r="Z2189" s="17" t="s">
        <v>29</v>
      </c>
      <c r="AA2189" s="17" t="s">
        <v>29</v>
      </c>
      <c r="AB2189" s="17" t="s">
        <v>29</v>
      </c>
    </row>
    <row r="2190" spans="1:28" x14ac:dyDescent="0.35">
      <c r="A2190" s="38" t="s">
        <v>1036</v>
      </c>
      <c r="B2190" s="7" t="s">
        <v>841</v>
      </c>
      <c r="C2190" s="8"/>
      <c r="D2190" s="8"/>
      <c r="E2190" s="8"/>
      <c r="F2190" s="8"/>
      <c r="G2190" s="8"/>
      <c r="H2190" s="8"/>
      <c r="I2190" s="8"/>
      <c r="J2190" s="8"/>
      <c r="K2190" s="8"/>
      <c r="L2190" s="8"/>
      <c r="M2190" s="8"/>
      <c r="N2190" s="8"/>
      <c r="O2190" s="8"/>
      <c r="P2190" s="8"/>
      <c r="Q2190" s="8"/>
      <c r="R2190" s="8"/>
      <c r="S2190" s="8"/>
      <c r="T2190" s="8"/>
      <c r="U2190" s="8"/>
      <c r="V2190" s="8"/>
      <c r="W2190" s="8"/>
      <c r="X2190" s="8"/>
      <c r="Y2190" s="8"/>
      <c r="Z2190" s="8"/>
    </row>
    <row r="2191" spans="1:28" x14ac:dyDescent="0.35">
      <c r="A2191" s="36"/>
      <c r="B2191" s="8"/>
      <c r="C2191" s="7" t="s">
        <v>535</v>
      </c>
      <c r="D2191" s="42">
        <v>1994</v>
      </c>
      <c r="E2191" s="9">
        <f>1276800-1268785.2</f>
        <v>8014.8000000000466</v>
      </c>
      <c r="F2191" s="8"/>
      <c r="G2191" s="8"/>
      <c r="H2191" s="9">
        <f t="shared" ref="H2191:H2209" si="335">F2191+G2191</f>
        <v>0</v>
      </c>
      <c r="I2191" s="8"/>
      <c r="J2191" s="9">
        <f t="shared" ref="J2191:J2209" si="336">H2191+I2191</f>
        <v>0</v>
      </c>
      <c r="K2191" s="9">
        <v>8014.8</v>
      </c>
      <c r="L2191" s="8"/>
      <c r="M2191" s="9">
        <f>+H2191+L2191</f>
        <v>0</v>
      </c>
      <c r="N2191" s="8">
        <v>8014.8</v>
      </c>
      <c r="O2191" s="9"/>
      <c r="P2191" s="9">
        <f>+N2191+O2191</f>
        <v>8014.8</v>
      </c>
      <c r="Q2191" s="9">
        <f t="shared" ref="Q2191:Q2209" si="337">E2191-P2191</f>
        <v>4.638422979041934E-11</v>
      </c>
      <c r="R2191" s="8"/>
      <c r="S2191" s="8"/>
      <c r="T2191" s="8"/>
      <c r="U2191" s="18">
        <f t="shared" ref="U2191:U2209" si="338">+P2191+T2191</f>
        <v>8014.8</v>
      </c>
      <c r="V2191" s="17"/>
      <c r="W2191" s="17"/>
      <c r="X2191" s="9">
        <f t="shared" ref="X2191:X2209" si="339">+H2191+P2191</f>
        <v>8014.8</v>
      </c>
      <c r="Y2191" s="8"/>
      <c r="Z2191" s="9">
        <f t="shared" ref="Z2191:Z2209" si="340">+E2191-X2191</f>
        <v>4.638422979041934E-11</v>
      </c>
      <c r="AA2191" s="8">
        <f t="shared" ref="AA2191:AA2209" si="341">+M2191+U2191</f>
        <v>8014.8</v>
      </c>
      <c r="AB2191" s="8">
        <f t="shared" ref="AB2191:AB2209" si="342">+E2191-AA2191</f>
        <v>4.638422979041934E-11</v>
      </c>
    </row>
    <row r="2192" spans="1:28" x14ac:dyDescent="0.35">
      <c r="A2192" s="36"/>
      <c r="B2192" s="8"/>
      <c r="C2192" s="7" t="s">
        <v>535</v>
      </c>
      <c r="D2192" s="42">
        <v>1995</v>
      </c>
      <c r="E2192" s="9">
        <f>645000-32250-6115</f>
        <v>606635</v>
      </c>
      <c r="F2192" s="9">
        <v>606635</v>
      </c>
      <c r="G2192" s="8"/>
      <c r="H2192" s="9">
        <f t="shared" si="335"/>
        <v>606635</v>
      </c>
      <c r="I2192" s="8"/>
      <c r="J2192" s="9">
        <f t="shared" si="336"/>
        <v>606635</v>
      </c>
      <c r="K2192" s="8"/>
      <c r="L2192" s="8"/>
      <c r="M2192" s="9">
        <f t="shared" ref="M2192:M2209" si="343">+H2192+L2192</f>
        <v>606635</v>
      </c>
      <c r="N2192" s="8"/>
      <c r="O2192" s="9"/>
      <c r="P2192" s="9">
        <f t="shared" ref="P2192:P2209" si="344">+N2192+O2192</f>
        <v>0</v>
      </c>
      <c r="Q2192" s="9">
        <f t="shared" si="337"/>
        <v>606635</v>
      </c>
      <c r="R2192" s="8"/>
      <c r="S2192" s="8"/>
      <c r="T2192" s="8"/>
      <c r="U2192" s="18">
        <f t="shared" si="338"/>
        <v>0</v>
      </c>
      <c r="V2192" s="17"/>
      <c r="W2192" s="17"/>
      <c r="X2192" s="9">
        <f t="shared" si="339"/>
        <v>606635</v>
      </c>
      <c r="Y2192" s="8"/>
      <c r="Z2192" s="9">
        <f t="shared" si="340"/>
        <v>0</v>
      </c>
      <c r="AA2192" s="8">
        <f t="shared" si="341"/>
        <v>606635</v>
      </c>
      <c r="AB2192" s="8">
        <f t="shared" si="342"/>
        <v>0</v>
      </c>
    </row>
    <row r="2193" spans="1:28" x14ac:dyDescent="0.35">
      <c r="A2193" s="36"/>
      <c r="B2193" s="8"/>
      <c r="C2193" s="7" t="s">
        <v>545</v>
      </c>
      <c r="D2193" s="42">
        <v>1995</v>
      </c>
      <c r="E2193" s="9">
        <v>570941</v>
      </c>
      <c r="F2193" s="8"/>
      <c r="G2193" s="8"/>
      <c r="H2193" s="9">
        <f t="shared" si="335"/>
        <v>0</v>
      </c>
      <c r="I2193" s="8"/>
      <c r="J2193" s="9">
        <f t="shared" si="336"/>
        <v>0</v>
      </c>
      <c r="K2193" s="9">
        <v>570941</v>
      </c>
      <c r="L2193" s="8"/>
      <c r="M2193" s="9">
        <f t="shared" si="343"/>
        <v>0</v>
      </c>
      <c r="N2193" s="8">
        <v>570941</v>
      </c>
      <c r="O2193" s="9"/>
      <c r="P2193" s="9">
        <f t="shared" si="344"/>
        <v>570941</v>
      </c>
      <c r="Q2193" s="9">
        <f t="shared" si="337"/>
        <v>0</v>
      </c>
      <c r="R2193" s="8"/>
      <c r="S2193" s="8"/>
      <c r="T2193" s="8"/>
      <c r="U2193" s="18">
        <f t="shared" si="338"/>
        <v>570941</v>
      </c>
      <c r="V2193" s="17"/>
      <c r="W2193" s="17"/>
      <c r="X2193" s="9">
        <f t="shared" si="339"/>
        <v>570941</v>
      </c>
      <c r="Y2193" s="8"/>
      <c r="Z2193" s="9">
        <f t="shared" si="340"/>
        <v>0</v>
      </c>
      <c r="AA2193" s="8">
        <f t="shared" si="341"/>
        <v>570941</v>
      </c>
      <c r="AB2193" s="8">
        <f t="shared" si="342"/>
        <v>0</v>
      </c>
    </row>
    <row r="2194" spans="1:28" x14ac:dyDescent="0.35">
      <c r="A2194" s="36"/>
      <c r="B2194" s="8"/>
      <c r="C2194" s="7" t="s">
        <v>535</v>
      </c>
      <c r="D2194" s="42">
        <v>1996</v>
      </c>
      <c r="E2194" s="9">
        <f>1393000-139300</f>
        <v>1253700</v>
      </c>
      <c r="F2194" s="9">
        <v>1253700</v>
      </c>
      <c r="G2194" s="8"/>
      <c r="H2194" s="9">
        <f t="shared" si="335"/>
        <v>1253700</v>
      </c>
      <c r="I2194" s="8"/>
      <c r="J2194" s="9">
        <f t="shared" si="336"/>
        <v>1253700</v>
      </c>
      <c r="K2194" s="8"/>
      <c r="L2194" s="8"/>
      <c r="M2194" s="9">
        <f t="shared" si="343"/>
        <v>1253700</v>
      </c>
      <c r="N2194" s="8"/>
      <c r="O2194" s="9"/>
      <c r="P2194" s="9">
        <f t="shared" si="344"/>
        <v>0</v>
      </c>
      <c r="Q2194" s="9">
        <f t="shared" si="337"/>
        <v>1253700</v>
      </c>
      <c r="R2194" s="8"/>
      <c r="S2194" s="8"/>
      <c r="T2194" s="8"/>
      <c r="U2194" s="18">
        <f t="shared" si="338"/>
        <v>0</v>
      </c>
      <c r="V2194" s="17"/>
      <c r="W2194" s="17"/>
      <c r="X2194" s="9">
        <f t="shared" si="339"/>
        <v>1253700</v>
      </c>
      <c r="Y2194" s="8"/>
      <c r="Z2194" s="9">
        <f t="shared" si="340"/>
        <v>0</v>
      </c>
      <c r="AA2194" s="8">
        <f t="shared" si="341"/>
        <v>1253700</v>
      </c>
      <c r="AB2194" s="8">
        <f t="shared" si="342"/>
        <v>0</v>
      </c>
    </row>
    <row r="2195" spans="1:28" x14ac:dyDescent="0.35">
      <c r="A2195" s="36"/>
      <c r="B2195" s="8"/>
      <c r="C2195" s="7" t="s">
        <v>557</v>
      </c>
      <c r="D2195" s="42">
        <v>1996</v>
      </c>
      <c r="E2195" s="9">
        <f>1895100-100</f>
        <v>1895000</v>
      </c>
      <c r="F2195" s="9">
        <v>1895000</v>
      </c>
      <c r="G2195" s="8"/>
      <c r="H2195" s="9">
        <f t="shared" si="335"/>
        <v>1895000</v>
      </c>
      <c r="I2195" s="8"/>
      <c r="J2195" s="9">
        <f t="shared" si="336"/>
        <v>1895000</v>
      </c>
      <c r="K2195" s="8"/>
      <c r="L2195" s="8"/>
      <c r="M2195" s="9">
        <f t="shared" si="343"/>
        <v>1895000</v>
      </c>
      <c r="N2195" s="8"/>
      <c r="O2195" s="9"/>
      <c r="P2195" s="9">
        <f t="shared" si="344"/>
        <v>0</v>
      </c>
      <c r="Q2195" s="9">
        <f t="shared" si="337"/>
        <v>1895000</v>
      </c>
      <c r="R2195" s="8"/>
      <c r="S2195" s="8"/>
      <c r="T2195" s="8"/>
      <c r="U2195" s="18">
        <f t="shared" si="338"/>
        <v>0</v>
      </c>
      <c r="V2195" s="17"/>
      <c r="W2195" s="17"/>
      <c r="X2195" s="9">
        <f t="shared" si="339"/>
        <v>1895000</v>
      </c>
      <c r="Y2195" s="8"/>
      <c r="Z2195" s="9">
        <f t="shared" si="340"/>
        <v>0</v>
      </c>
      <c r="AA2195" s="8">
        <f t="shared" si="341"/>
        <v>1895000</v>
      </c>
      <c r="AB2195" s="8">
        <f t="shared" si="342"/>
        <v>0</v>
      </c>
    </row>
    <row r="2196" spans="1:28" x14ac:dyDescent="0.35">
      <c r="A2196" s="36"/>
      <c r="B2196" s="8"/>
      <c r="C2196" s="7" t="s">
        <v>650</v>
      </c>
      <c r="D2196" s="42">
        <v>1996</v>
      </c>
      <c r="E2196" s="9">
        <v>120000</v>
      </c>
      <c r="F2196" s="9">
        <v>120000</v>
      </c>
      <c r="G2196" s="8"/>
      <c r="H2196" s="9">
        <f t="shared" si="335"/>
        <v>120000</v>
      </c>
      <c r="I2196" s="8"/>
      <c r="J2196" s="9">
        <f t="shared" si="336"/>
        <v>120000</v>
      </c>
      <c r="K2196" s="8"/>
      <c r="L2196" s="8"/>
      <c r="M2196" s="9">
        <f t="shared" si="343"/>
        <v>120000</v>
      </c>
      <c r="N2196" s="8"/>
      <c r="O2196" s="9"/>
      <c r="P2196" s="9">
        <f t="shared" si="344"/>
        <v>0</v>
      </c>
      <c r="Q2196" s="9">
        <f t="shared" si="337"/>
        <v>120000</v>
      </c>
      <c r="R2196" s="8"/>
      <c r="S2196" s="8"/>
      <c r="T2196" s="8"/>
      <c r="U2196" s="18">
        <f t="shared" si="338"/>
        <v>0</v>
      </c>
      <c r="V2196" s="17"/>
      <c r="W2196" s="17"/>
      <c r="X2196" s="9">
        <f t="shared" si="339"/>
        <v>120000</v>
      </c>
      <c r="Y2196" s="8"/>
      <c r="Z2196" s="9">
        <f t="shared" si="340"/>
        <v>0</v>
      </c>
      <c r="AA2196" s="8">
        <f t="shared" si="341"/>
        <v>120000</v>
      </c>
      <c r="AB2196" s="8">
        <f t="shared" si="342"/>
        <v>0</v>
      </c>
    </row>
    <row r="2197" spans="1:28" x14ac:dyDescent="0.35">
      <c r="A2197" s="36"/>
      <c r="B2197" s="8"/>
      <c r="C2197" s="7" t="s">
        <v>671</v>
      </c>
      <c r="D2197" s="42">
        <v>1996</v>
      </c>
      <c r="E2197" s="9">
        <v>42000</v>
      </c>
      <c r="F2197" s="9">
        <v>42000</v>
      </c>
      <c r="G2197" s="8"/>
      <c r="H2197" s="9">
        <f t="shared" si="335"/>
        <v>42000</v>
      </c>
      <c r="I2197" s="8"/>
      <c r="J2197" s="9">
        <f t="shared" si="336"/>
        <v>42000</v>
      </c>
      <c r="K2197" s="8"/>
      <c r="L2197" s="8"/>
      <c r="M2197" s="9">
        <f t="shared" si="343"/>
        <v>42000</v>
      </c>
      <c r="N2197" s="8"/>
      <c r="O2197" s="9"/>
      <c r="P2197" s="9">
        <f t="shared" si="344"/>
        <v>0</v>
      </c>
      <c r="Q2197" s="9">
        <f t="shared" si="337"/>
        <v>42000</v>
      </c>
      <c r="R2197" s="8"/>
      <c r="S2197" s="8"/>
      <c r="T2197" s="8"/>
      <c r="U2197" s="18">
        <f t="shared" si="338"/>
        <v>0</v>
      </c>
      <c r="V2197" s="17"/>
      <c r="W2197" s="17"/>
      <c r="X2197" s="9">
        <f t="shared" si="339"/>
        <v>42000</v>
      </c>
      <c r="Y2197" s="8"/>
      <c r="Z2197" s="9">
        <f t="shared" si="340"/>
        <v>0</v>
      </c>
      <c r="AA2197" s="8">
        <f t="shared" si="341"/>
        <v>42000</v>
      </c>
      <c r="AB2197" s="8">
        <f t="shared" si="342"/>
        <v>0</v>
      </c>
    </row>
    <row r="2198" spans="1:28" x14ac:dyDescent="0.35">
      <c r="A2198" s="36"/>
      <c r="B2198" s="8"/>
      <c r="C2198" s="7" t="s">
        <v>535</v>
      </c>
      <c r="D2198" s="42">
        <v>1997</v>
      </c>
      <c r="E2198" s="9">
        <v>1672672</v>
      </c>
      <c r="F2198" s="9">
        <v>1672672</v>
      </c>
      <c r="G2198" s="8"/>
      <c r="H2198" s="9">
        <f t="shared" si="335"/>
        <v>1672672</v>
      </c>
      <c r="I2198" s="8"/>
      <c r="J2198" s="9">
        <f t="shared" si="336"/>
        <v>1672672</v>
      </c>
      <c r="K2198" s="8"/>
      <c r="L2198" s="8"/>
      <c r="M2198" s="9">
        <f t="shared" si="343"/>
        <v>1672672</v>
      </c>
      <c r="N2198" s="8"/>
      <c r="O2198" s="9"/>
      <c r="P2198" s="9">
        <f t="shared" si="344"/>
        <v>0</v>
      </c>
      <c r="Q2198" s="9">
        <f t="shared" si="337"/>
        <v>1672672</v>
      </c>
      <c r="R2198" s="8"/>
      <c r="S2198" s="8"/>
      <c r="T2198" s="8"/>
      <c r="U2198" s="18">
        <f t="shared" si="338"/>
        <v>0</v>
      </c>
      <c r="V2198" s="17"/>
      <c r="W2198" s="17"/>
      <c r="X2198" s="9">
        <f t="shared" si="339"/>
        <v>1672672</v>
      </c>
      <c r="Y2198" s="8"/>
      <c r="Z2198" s="9">
        <f t="shared" si="340"/>
        <v>0</v>
      </c>
      <c r="AA2198" s="8">
        <f t="shared" si="341"/>
        <v>1672672</v>
      </c>
      <c r="AB2198" s="8">
        <f t="shared" si="342"/>
        <v>0</v>
      </c>
    </row>
    <row r="2199" spans="1:28" x14ac:dyDescent="0.35">
      <c r="A2199" s="36"/>
      <c r="B2199" s="8"/>
      <c r="C2199" s="7" t="s">
        <v>535</v>
      </c>
      <c r="D2199" s="42">
        <v>1998</v>
      </c>
      <c r="E2199" s="9">
        <f>462947.75+1700000</f>
        <v>2162947.75</v>
      </c>
      <c r="F2199" s="9">
        <f>462947.75+1700000</f>
        <v>2162947.75</v>
      </c>
      <c r="G2199" s="8"/>
      <c r="H2199" s="9">
        <f t="shared" si="335"/>
        <v>2162947.75</v>
      </c>
      <c r="I2199" s="8"/>
      <c r="J2199" s="9">
        <f t="shared" si="336"/>
        <v>2162947.75</v>
      </c>
      <c r="K2199" s="8"/>
      <c r="L2199" s="8"/>
      <c r="M2199" s="9">
        <f t="shared" si="343"/>
        <v>2162947.75</v>
      </c>
      <c r="N2199" s="8"/>
      <c r="O2199" s="9"/>
      <c r="P2199" s="9">
        <f t="shared" si="344"/>
        <v>0</v>
      </c>
      <c r="Q2199" s="9">
        <f t="shared" si="337"/>
        <v>2162947.75</v>
      </c>
      <c r="R2199" s="8"/>
      <c r="S2199" s="8"/>
      <c r="T2199" s="8"/>
      <c r="U2199" s="18">
        <f t="shared" si="338"/>
        <v>0</v>
      </c>
      <c r="V2199" s="17"/>
      <c r="W2199" s="17"/>
      <c r="X2199" s="9">
        <f t="shared" si="339"/>
        <v>2162947.75</v>
      </c>
      <c r="Y2199" s="8"/>
      <c r="Z2199" s="9">
        <f t="shared" si="340"/>
        <v>0</v>
      </c>
      <c r="AA2199" s="8">
        <f t="shared" si="341"/>
        <v>2162947.75</v>
      </c>
      <c r="AB2199" s="8">
        <f t="shared" si="342"/>
        <v>0</v>
      </c>
    </row>
    <row r="2200" spans="1:28" x14ac:dyDescent="0.35">
      <c r="A2200" s="36"/>
      <c r="B2200" s="8"/>
      <c r="C2200" s="7" t="s">
        <v>542</v>
      </c>
      <c r="D2200" s="42">
        <v>1998</v>
      </c>
      <c r="E2200" s="9">
        <f>924840.4+827793.13+596190.64+473053.3+1366547+1515290.3+1317469.49+987423.64</f>
        <v>8008607.8999999994</v>
      </c>
      <c r="F2200" s="9">
        <v>8008607.9000000004</v>
      </c>
      <c r="G2200" s="8"/>
      <c r="H2200" s="9">
        <f t="shared" si="335"/>
        <v>8008607.9000000004</v>
      </c>
      <c r="I2200" s="8"/>
      <c r="J2200" s="9">
        <f t="shared" si="336"/>
        <v>8008607.9000000004</v>
      </c>
      <c r="K2200" s="8"/>
      <c r="L2200" s="8"/>
      <c r="M2200" s="9">
        <f t="shared" si="343"/>
        <v>8008607.9000000004</v>
      </c>
      <c r="N2200" s="8"/>
      <c r="O2200" s="9"/>
      <c r="P2200" s="9">
        <f t="shared" si="344"/>
        <v>0</v>
      </c>
      <c r="Q2200" s="9">
        <f t="shared" si="337"/>
        <v>8008607.8999999994</v>
      </c>
      <c r="R2200" s="8"/>
      <c r="S2200" s="8"/>
      <c r="T2200" s="8"/>
      <c r="U2200" s="18">
        <f t="shared" si="338"/>
        <v>0</v>
      </c>
      <c r="V2200" s="17"/>
      <c r="W2200" s="17"/>
      <c r="X2200" s="9">
        <f t="shared" si="339"/>
        <v>8008607.9000000004</v>
      </c>
      <c r="Y2200" s="8"/>
      <c r="Z2200" s="9">
        <f t="shared" si="340"/>
        <v>0</v>
      </c>
      <c r="AA2200" s="8">
        <f t="shared" si="341"/>
        <v>8008607.9000000004</v>
      </c>
      <c r="AB2200" s="8">
        <f t="shared" si="342"/>
        <v>0</v>
      </c>
    </row>
    <row r="2201" spans="1:28" x14ac:dyDescent="0.35">
      <c r="A2201" s="36"/>
      <c r="B2201" s="8"/>
      <c r="C2201" s="7" t="s">
        <v>535</v>
      </c>
      <c r="D2201" s="42">
        <v>1999</v>
      </c>
      <c r="E2201" s="9">
        <v>2280822.59</v>
      </c>
      <c r="F2201" s="9">
        <f>1228863.66+1051958.93</f>
        <v>2280822.59</v>
      </c>
      <c r="G2201" s="8"/>
      <c r="H2201" s="9">
        <f t="shared" si="335"/>
        <v>2280822.59</v>
      </c>
      <c r="I2201" s="8"/>
      <c r="J2201" s="9">
        <f t="shared" si="336"/>
        <v>2280822.59</v>
      </c>
      <c r="K2201" s="8"/>
      <c r="L2201" s="8"/>
      <c r="M2201" s="9">
        <f t="shared" si="343"/>
        <v>2280822.59</v>
      </c>
      <c r="N2201" s="8"/>
      <c r="O2201" s="9"/>
      <c r="P2201" s="9">
        <f t="shared" si="344"/>
        <v>0</v>
      </c>
      <c r="Q2201" s="9">
        <f t="shared" si="337"/>
        <v>2280822.59</v>
      </c>
      <c r="R2201" s="8"/>
      <c r="S2201" s="8"/>
      <c r="T2201" s="8"/>
      <c r="U2201" s="18">
        <f t="shared" si="338"/>
        <v>0</v>
      </c>
      <c r="V2201" s="17"/>
      <c r="W2201" s="17"/>
      <c r="X2201" s="9">
        <f t="shared" si="339"/>
        <v>2280822.59</v>
      </c>
      <c r="Y2201" s="8"/>
      <c r="Z2201" s="9">
        <f t="shared" si="340"/>
        <v>0</v>
      </c>
      <c r="AA2201" s="8">
        <f t="shared" si="341"/>
        <v>2280822.59</v>
      </c>
      <c r="AB2201" s="8">
        <f t="shared" si="342"/>
        <v>0</v>
      </c>
    </row>
    <row r="2202" spans="1:28" x14ac:dyDescent="0.35">
      <c r="A2202" s="36"/>
      <c r="B2202" s="8"/>
      <c r="C2202" s="7" t="s">
        <v>535</v>
      </c>
      <c r="D2202" s="42">
        <v>2000</v>
      </c>
      <c r="E2202" s="9">
        <f>329869+1201287.62+942542.19+1450662</f>
        <v>3924360.81</v>
      </c>
      <c r="F2202" s="9">
        <v>3924360.81</v>
      </c>
      <c r="G2202" s="8"/>
      <c r="H2202" s="9">
        <f t="shared" si="335"/>
        <v>3924360.81</v>
      </c>
      <c r="I2202" s="8"/>
      <c r="J2202" s="9">
        <f t="shared" si="336"/>
        <v>3924360.81</v>
      </c>
      <c r="K2202" s="8"/>
      <c r="L2202" s="8"/>
      <c r="M2202" s="9">
        <f t="shared" si="343"/>
        <v>3924360.81</v>
      </c>
      <c r="N2202" s="8"/>
      <c r="O2202" s="9"/>
      <c r="P2202" s="9">
        <f t="shared" si="344"/>
        <v>0</v>
      </c>
      <c r="Q2202" s="9">
        <f t="shared" si="337"/>
        <v>3924360.81</v>
      </c>
      <c r="R2202" s="8"/>
      <c r="S2202" s="8"/>
      <c r="T2202" s="8"/>
      <c r="U2202" s="18">
        <f t="shared" si="338"/>
        <v>0</v>
      </c>
      <c r="V2202" s="17"/>
      <c r="W2202" s="17"/>
      <c r="X2202" s="9">
        <f t="shared" si="339"/>
        <v>3924360.81</v>
      </c>
      <c r="Y2202" s="8"/>
      <c r="Z2202" s="9">
        <f t="shared" si="340"/>
        <v>0</v>
      </c>
      <c r="AA2202" s="8">
        <f t="shared" si="341"/>
        <v>3924360.81</v>
      </c>
      <c r="AB2202" s="8">
        <f t="shared" si="342"/>
        <v>0</v>
      </c>
    </row>
    <row r="2203" spans="1:28" x14ac:dyDescent="0.35">
      <c r="A2203" s="36"/>
      <c r="B2203" s="8"/>
      <c r="C2203" s="7" t="s">
        <v>535</v>
      </c>
      <c r="D2203" s="42">
        <v>2001</v>
      </c>
      <c r="E2203" s="9">
        <f>3299175+5621904.96</f>
        <v>8921079.9600000009</v>
      </c>
      <c r="F2203" s="9">
        <f>3299175+5621904.96</f>
        <v>8921079.9600000009</v>
      </c>
      <c r="G2203" s="8"/>
      <c r="H2203" s="9">
        <f t="shared" si="335"/>
        <v>8921079.9600000009</v>
      </c>
      <c r="I2203" s="8"/>
      <c r="J2203" s="9">
        <f t="shared" si="336"/>
        <v>8921079.9600000009</v>
      </c>
      <c r="K2203" s="8"/>
      <c r="L2203" s="8"/>
      <c r="M2203" s="9">
        <f t="shared" si="343"/>
        <v>8921079.9600000009</v>
      </c>
      <c r="N2203" s="8"/>
      <c r="O2203" s="9"/>
      <c r="P2203" s="9">
        <f t="shared" si="344"/>
        <v>0</v>
      </c>
      <c r="Q2203" s="9">
        <f t="shared" si="337"/>
        <v>8921079.9600000009</v>
      </c>
      <c r="R2203" s="8"/>
      <c r="S2203" s="8"/>
      <c r="T2203" s="8"/>
      <c r="U2203" s="18">
        <f t="shared" si="338"/>
        <v>0</v>
      </c>
      <c r="V2203" s="17"/>
      <c r="W2203" s="17"/>
      <c r="X2203" s="9">
        <f t="shared" si="339"/>
        <v>8921079.9600000009</v>
      </c>
      <c r="Y2203" s="8"/>
      <c r="Z2203" s="9">
        <f t="shared" si="340"/>
        <v>0</v>
      </c>
      <c r="AA2203" s="8">
        <f t="shared" si="341"/>
        <v>8921079.9600000009</v>
      </c>
      <c r="AB2203" s="8">
        <f t="shared" si="342"/>
        <v>0</v>
      </c>
    </row>
    <row r="2204" spans="1:28" x14ac:dyDescent="0.35">
      <c r="A2204" s="36"/>
      <c r="B2204" s="8"/>
      <c r="C2204" s="7" t="s">
        <v>535</v>
      </c>
      <c r="D2204" s="42">
        <v>2002</v>
      </c>
      <c r="E2204" s="9">
        <f>2927846.82+712908</f>
        <v>3640754.82</v>
      </c>
      <c r="F2204" s="9">
        <f>2927846.82+712908</f>
        <v>3640754.82</v>
      </c>
      <c r="G2204" s="9"/>
      <c r="H2204" s="9">
        <f t="shared" si="335"/>
        <v>3640754.82</v>
      </c>
      <c r="I2204" s="9">
        <v>0</v>
      </c>
      <c r="J2204" s="9">
        <f t="shared" si="336"/>
        <v>3640754.82</v>
      </c>
      <c r="K2204" s="8"/>
      <c r="L2204" s="8"/>
      <c r="M2204" s="9">
        <f t="shared" si="343"/>
        <v>3640754.82</v>
      </c>
      <c r="N2204" s="8"/>
      <c r="O2204" s="9"/>
      <c r="P2204" s="9">
        <f t="shared" si="344"/>
        <v>0</v>
      </c>
      <c r="Q2204" s="9">
        <f t="shared" si="337"/>
        <v>3640754.82</v>
      </c>
      <c r="R2204" s="8"/>
      <c r="S2204" s="8"/>
      <c r="T2204" s="8"/>
      <c r="U2204" s="18">
        <f t="shared" si="338"/>
        <v>0</v>
      </c>
      <c r="V2204" s="17"/>
      <c r="W2204" s="17"/>
      <c r="X2204" s="9">
        <f t="shared" si="339"/>
        <v>3640754.82</v>
      </c>
      <c r="Y2204" s="8"/>
      <c r="Z2204" s="9">
        <f t="shared" si="340"/>
        <v>0</v>
      </c>
      <c r="AA2204" s="8">
        <f t="shared" si="341"/>
        <v>3640754.82</v>
      </c>
      <c r="AB2204" s="8">
        <f t="shared" si="342"/>
        <v>0</v>
      </c>
    </row>
    <row r="2205" spans="1:28" x14ac:dyDescent="0.35">
      <c r="A2205" s="36"/>
      <c r="B2205" s="8"/>
      <c r="C2205" s="14" t="s">
        <v>621</v>
      </c>
      <c r="D2205" s="42">
        <v>2002</v>
      </c>
      <c r="E2205" s="11">
        <f>294685+103389</f>
        <v>398074</v>
      </c>
      <c r="F2205" s="11">
        <f>294685+103389</f>
        <v>398074</v>
      </c>
      <c r="G2205" s="8"/>
      <c r="H2205" s="9">
        <f t="shared" si="335"/>
        <v>398074</v>
      </c>
      <c r="I2205" s="9">
        <v>0</v>
      </c>
      <c r="J2205" s="9">
        <f t="shared" si="336"/>
        <v>398074</v>
      </c>
      <c r="K2205" s="8"/>
      <c r="L2205" s="8"/>
      <c r="M2205" s="9">
        <f t="shared" si="343"/>
        <v>398074</v>
      </c>
      <c r="N2205" s="8"/>
      <c r="O2205" s="9"/>
      <c r="P2205" s="9">
        <f t="shared" si="344"/>
        <v>0</v>
      </c>
      <c r="Q2205" s="9">
        <f t="shared" si="337"/>
        <v>398074</v>
      </c>
      <c r="R2205" s="8"/>
      <c r="S2205" s="8"/>
      <c r="T2205" s="8"/>
      <c r="U2205" s="18">
        <f t="shared" si="338"/>
        <v>0</v>
      </c>
      <c r="V2205" s="17"/>
      <c r="W2205" s="17"/>
      <c r="X2205" s="9">
        <f t="shared" si="339"/>
        <v>398074</v>
      </c>
      <c r="Y2205" s="8"/>
      <c r="Z2205" s="9">
        <f t="shared" si="340"/>
        <v>0</v>
      </c>
      <c r="AA2205" s="8">
        <f t="shared" si="341"/>
        <v>398074</v>
      </c>
      <c r="AB2205" s="8">
        <f t="shared" si="342"/>
        <v>0</v>
      </c>
    </row>
    <row r="2206" spans="1:28" x14ac:dyDescent="0.35">
      <c r="A2206" s="36"/>
      <c r="B2206" s="8"/>
      <c r="C2206" s="14" t="s">
        <v>898</v>
      </c>
      <c r="D2206" s="42"/>
      <c r="E2206" s="11">
        <f>622862.75+789000</f>
        <v>1411862.75</v>
      </c>
      <c r="F2206" s="8">
        <f>622862.75+789000</f>
        <v>1411862.75</v>
      </c>
      <c r="G2206" s="8"/>
      <c r="H2206" s="9">
        <f t="shared" si="335"/>
        <v>1411862.75</v>
      </c>
      <c r="I2206" s="9"/>
      <c r="J2206" s="9"/>
      <c r="K2206" s="8"/>
      <c r="L2206" s="8"/>
      <c r="M2206" s="9">
        <f t="shared" si="343"/>
        <v>1411862.75</v>
      </c>
      <c r="N2206" s="8"/>
      <c r="O2206" s="9"/>
      <c r="P2206" s="9">
        <f>+N2206+O2206</f>
        <v>0</v>
      </c>
      <c r="Q2206" s="9">
        <f>E2206-P2206</f>
        <v>1411862.75</v>
      </c>
      <c r="R2206" s="8"/>
      <c r="S2206" s="8"/>
      <c r="T2206" s="8"/>
      <c r="U2206" s="18">
        <f>+P2206+T2206</f>
        <v>0</v>
      </c>
      <c r="V2206" s="17"/>
      <c r="W2206" s="17"/>
      <c r="X2206" s="9">
        <f t="shared" si="339"/>
        <v>1411862.75</v>
      </c>
      <c r="Y2206" s="8"/>
      <c r="Z2206" s="9">
        <f t="shared" si="340"/>
        <v>0</v>
      </c>
      <c r="AA2206" s="8">
        <f t="shared" si="341"/>
        <v>1411862.75</v>
      </c>
      <c r="AB2206" s="8">
        <f t="shared" si="342"/>
        <v>0</v>
      </c>
    </row>
    <row r="2207" spans="1:28" x14ac:dyDescent="0.35">
      <c r="A2207" s="36"/>
      <c r="B2207" s="8"/>
      <c r="C2207" s="7" t="s">
        <v>842</v>
      </c>
      <c r="D2207" s="8"/>
      <c r="E2207" s="9">
        <v>1000000</v>
      </c>
      <c r="F2207" s="9">
        <f>505976+494024</f>
        <v>1000000</v>
      </c>
      <c r="G2207" s="8"/>
      <c r="H2207" s="9">
        <f t="shared" si="335"/>
        <v>1000000</v>
      </c>
      <c r="I2207" s="8"/>
      <c r="J2207" s="9">
        <f t="shared" si="336"/>
        <v>1000000</v>
      </c>
      <c r="K2207" s="8"/>
      <c r="L2207" s="8"/>
      <c r="M2207" s="9">
        <f t="shared" si="343"/>
        <v>1000000</v>
      </c>
      <c r="N2207" s="8"/>
      <c r="O2207" s="9"/>
      <c r="P2207" s="9">
        <f t="shared" si="344"/>
        <v>0</v>
      </c>
      <c r="Q2207" s="9">
        <f t="shared" si="337"/>
        <v>1000000</v>
      </c>
      <c r="R2207" s="8"/>
      <c r="S2207" s="8"/>
      <c r="T2207" s="8"/>
      <c r="U2207" s="18">
        <f t="shared" si="338"/>
        <v>0</v>
      </c>
      <c r="V2207" s="17"/>
      <c r="W2207" s="17"/>
      <c r="X2207" s="9">
        <f t="shared" si="339"/>
        <v>1000000</v>
      </c>
      <c r="Y2207" s="8"/>
      <c r="Z2207" s="9">
        <f t="shared" si="340"/>
        <v>0</v>
      </c>
      <c r="AA2207" s="8">
        <f t="shared" si="341"/>
        <v>1000000</v>
      </c>
      <c r="AB2207" s="8">
        <f t="shared" si="342"/>
        <v>0</v>
      </c>
    </row>
    <row r="2208" spans="1:28" x14ac:dyDescent="0.35">
      <c r="A2208" s="36"/>
      <c r="B2208" s="8"/>
      <c r="C2208" s="7" t="s">
        <v>550</v>
      </c>
      <c r="D2208" s="8"/>
      <c r="E2208" s="9">
        <v>264677</v>
      </c>
      <c r="F2208" s="9">
        <v>264677</v>
      </c>
      <c r="G2208" s="8"/>
      <c r="H2208" s="9">
        <f t="shared" si="335"/>
        <v>264677</v>
      </c>
      <c r="I2208" s="8"/>
      <c r="J2208" s="9">
        <f t="shared" si="336"/>
        <v>264677</v>
      </c>
      <c r="K2208" s="8"/>
      <c r="L2208" s="8"/>
      <c r="M2208" s="9">
        <f t="shared" si="343"/>
        <v>264677</v>
      </c>
      <c r="N2208" s="8"/>
      <c r="O2208" s="9"/>
      <c r="P2208" s="9">
        <f t="shared" si="344"/>
        <v>0</v>
      </c>
      <c r="Q2208" s="9">
        <f t="shared" si="337"/>
        <v>264677</v>
      </c>
      <c r="R2208" s="8"/>
      <c r="S2208" s="8"/>
      <c r="T2208" s="8"/>
      <c r="U2208" s="18">
        <f t="shared" si="338"/>
        <v>0</v>
      </c>
      <c r="V2208" s="17"/>
      <c r="W2208" s="17"/>
      <c r="X2208" s="9">
        <f t="shared" si="339"/>
        <v>264677</v>
      </c>
      <c r="Y2208" s="8"/>
      <c r="Z2208" s="9">
        <f t="shared" si="340"/>
        <v>0</v>
      </c>
      <c r="AA2208" s="8">
        <f t="shared" si="341"/>
        <v>264677</v>
      </c>
      <c r="AB2208" s="8">
        <f t="shared" si="342"/>
        <v>0</v>
      </c>
    </row>
    <row r="2209" spans="1:28" x14ac:dyDescent="0.35">
      <c r="A2209" s="36"/>
      <c r="B2209" s="8"/>
      <c r="C2209" s="7" t="s">
        <v>606</v>
      </c>
      <c r="D2209" s="8"/>
      <c r="E2209" s="9">
        <v>2500000</v>
      </c>
      <c r="F2209" s="9">
        <v>2500000</v>
      </c>
      <c r="G2209" s="8"/>
      <c r="H2209" s="9">
        <f t="shared" si="335"/>
        <v>2500000</v>
      </c>
      <c r="I2209" s="8"/>
      <c r="J2209" s="9">
        <f t="shared" si="336"/>
        <v>2500000</v>
      </c>
      <c r="K2209" s="8"/>
      <c r="L2209" s="8"/>
      <c r="M2209" s="9">
        <f t="shared" si="343"/>
        <v>2500000</v>
      </c>
      <c r="N2209" s="8"/>
      <c r="O2209" s="9"/>
      <c r="P2209" s="9">
        <f t="shared" si="344"/>
        <v>0</v>
      </c>
      <c r="Q2209" s="9">
        <f t="shared" si="337"/>
        <v>2500000</v>
      </c>
      <c r="R2209" s="8"/>
      <c r="S2209" s="8"/>
      <c r="T2209" s="8"/>
      <c r="U2209" s="18">
        <f t="shared" si="338"/>
        <v>0</v>
      </c>
      <c r="V2209" s="17"/>
      <c r="W2209" s="17"/>
      <c r="X2209" s="9">
        <f t="shared" si="339"/>
        <v>2500000</v>
      </c>
      <c r="Y2209" s="8"/>
      <c r="Z2209" s="9">
        <f t="shared" si="340"/>
        <v>0</v>
      </c>
      <c r="AA2209" s="8">
        <f t="shared" si="341"/>
        <v>2500000</v>
      </c>
      <c r="AB2209" s="8">
        <f t="shared" si="342"/>
        <v>0</v>
      </c>
    </row>
    <row r="2210" spans="1:28" x14ac:dyDescent="0.35">
      <c r="A2210" s="36"/>
      <c r="B2210" s="8"/>
      <c r="C2210" s="8"/>
      <c r="D2210" s="8"/>
      <c r="E2210" s="17" t="s">
        <v>29</v>
      </c>
      <c r="F2210" s="17" t="s">
        <v>29</v>
      </c>
      <c r="G2210" s="17" t="s">
        <v>29</v>
      </c>
      <c r="H2210" s="17" t="s">
        <v>29</v>
      </c>
      <c r="I2210" s="17" t="s">
        <v>29</v>
      </c>
      <c r="J2210" s="17" t="s">
        <v>29</v>
      </c>
      <c r="K2210" s="17" t="s">
        <v>29</v>
      </c>
      <c r="L2210" s="17" t="s">
        <v>29</v>
      </c>
      <c r="M2210" s="17" t="s">
        <v>29</v>
      </c>
      <c r="N2210" s="17" t="s">
        <v>29</v>
      </c>
      <c r="O2210" s="17" t="s">
        <v>29</v>
      </c>
      <c r="P2210" s="17" t="s">
        <v>29</v>
      </c>
      <c r="Q2210" s="17" t="s">
        <v>29</v>
      </c>
      <c r="R2210" s="17" t="s">
        <v>29</v>
      </c>
      <c r="S2210" s="17" t="s">
        <v>29</v>
      </c>
      <c r="T2210" s="17" t="s">
        <v>29</v>
      </c>
      <c r="U2210" s="17" t="s">
        <v>29</v>
      </c>
      <c r="V2210" s="17" t="s">
        <v>29</v>
      </c>
      <c r="W2210" s="17" t="s">
        <v>29</v>
      </c>
      <c r="X2210" s="17" t="s">
        <v>29</v>
      </c>
      <c r="Y2210" s="17" t="s">
        <v>29</v>
      </c>
      <c r="Z2210" s="17" t="s">
        <v>29</v>
      </c>
      <c r="AA2210" s="17" t="s">
        <v>29</v>
      </c>
      <c r="AB2210" s="17" t="s">
        <v>29</v>
      </c>
    </row>
    <row r="2211" spans="1:28" x14ac:dyDescent="0.35">
      <c r="A2211" s="36"/>
      <c r="B2211" s="8"/>
      <c r="C2211" s="8"/>
      <c r="D2211" s="8"/>
      <c r="E2211" s="9">
        <f t="shared" ref="E2211:Q2211" si="345">SUM(E2191:E2210)</f>
        <v>40682150.379999995</v>
      </c>
      <c r="F2211" s="9">
        <f t="shared" si="345"/>
        <v>40103194.579999998</v>
      </c>
      <c r="G2211" s="9">
        <f t="shared" si="345"/>
        <v>0</v>
      </c>
      <c r="H2211" s="9">
        <f t="shared" si="345"/>
        <v>40103194.579999998</v>
      </c>
      <c r="I2211" s="9">
        <f t="shared" si="345"/>
        <v>0</v>
      </c>
      <c r="J2211" s="9">
        <f t="shared" si="345"/>
        <v>38691331.829999998</v>
      </c>
      <c r="K2211" s="9">
        <f t="shared" si="345"/>
        <v>578955.80000000005</v>
      </c>
      <c r="L2211" s="9">
        <f t="shared" si="345"/>
        <v>0</v>
      </c>
      <c r="M2211" s="9">
        <f t="shared" si="345"/>
        <v>40103194.579999998</v>
      </c>
      <c r="N2211" s="9">
        <f t="shared" si="345"/>
        <v>578955.80000000005</v>
      </c>
      <c r="O2211" s="9">
        <f t="shared" si="345"/>
        <v>0</v>
      </c>
      <c r="P2211" s="9">
        <f t="shared" si="345"/>
        <v>578955.80000000005</v>
      </c>
      <c r="Q2211" s="9">
        <f t="shared" si="345"/>
        <v>40103194.579999998</v>
      </c>
      <c r="R2211" s="8"/>
      <c r="S2211" s="8"/>
      <c r="T2211" s="9">
        <f t="shared" ref="T2211:Z2211" si="346">SUM(T2191:T2210)</f>
        <v>0</v>
      </c>
      <c r="U2211" s="9">
        <f t="shared" si="346"/>
        <v>578955.80000000005</v>
      </c>
      <c r="V2211" s="9">
        <f t="shared" si="346"/>
        <v>0</v>
      </c>
      <c r="W2211" s="9">
        <f t="shared" si="346"/>
        <v>0</v>
      </c>
      <c r="X2211" s="9">
        <f t="shared" si="346"/>
        <v>40682150.379999995</v>
      </c>
      <c r="Y2211" s="9">
        <f t="shared" si="346"/>
        <v>0</v>
      </c>
      <c r="Z2211" s="9">
        <f t="shared" si="346"/>
        <v>4.638422979041934E-11</v>
      </c>
      <c r="AA2211" s="9">
        <f>SUM(AA2191:AA2210)</f>
        <v>40682150.379999995</v>
      </c>
      <c r="AB2211" s="9">
        <f>SUM(AB2191:AB2210)</f>
        <v>4.638422979041934E-11</v>
      </c>
    </row>
    <row r="2212" spans="1:28" x14ac:dyDescent="0.35">
      <c r="A2212" s="36"/>
      <c r="B2212" s="8"/>
      <c r="C2212" s="8"/>
      <c r="D2212" s="8"/>
      <c r="E2212" s="17" t="s">
        <v>29</v>
      </c>
      <c r="F2212" s="17" t="s">
        <v>29</v>
      </c>
      <c r="G2212" s="17" t="s">
        <v>29</v>
      </c>
      <c r="H2212" s="17" t="s">
        <v>29</v>
      </c>
      <c r="I2212" s="17" t="s">
        <v>29</v>
      </c>
      <c r="J2212" s="17" t="s">
        <v>29</v>
      </c>
      <c r="K2212" s="17" t="s">
        <v>29</v>
      </c>
      <c r="L2212" s="17" t="s">
        <v>29</v>
      </c>
      <c r="M2212" s="17" t="s">
        <v>29</v>
      </c>
      <c r="N2212" s="17" t="s">
        <v>29</v>
      </c>
      <c r="O2212" s="17" t="s">
        <v>29</v>
      </c>
      <c r="P2212" s="17" t="s">
        <v>29</v>
      </c>
      <c r="Q2212" s="17" t="s">
        <v>29</v>
      </c>
      <c r="R2212" s="17" t="s">
        <v>29</v>
      </c>
      <c r="S2212" s="17" t="s">
        <v>29</v>
      </c>
      <c r="T2212" s="17" t="s">
        <v>29</v>
      </c>
      <c r="U2212" s="17" t="s">
        <v>29</v>
      </c>
      <c r="V2212" s="17" t="s">
        <v>29</v>
      </c>
      <c r="W2212" s="17" t="s">
        <v>29</v>
      </c>
      <c r="X2212" s="17" t="s">
        <v>29</v>
      </c>
      <c r="Y2212" s="17" t="s">
        <v>29</v>
      </c>
      <c r="Z2212" s="17" t="s">
        <v>29</v>
      </c>
      <c r="AA2212" s="17" t="s">
        <v>29</v>
      </c>
      <c r="AB2212" s="17" t="s">
        <v>29</v>
      </c>
    </row>
    <row r="2213" spans="1:28" x14ac:dyDescent="0.35">
      <c r="A2213" s="38" t="s">
        <v>1037</v>
      </c>
      <c r="B2213" s="7" t="s">
        <v>843</v>
      </c>
      <c r="C2213" s="8"/>
      <c r="D2213" s="8"/>
      <c r="E2213" s="8"/>
      <c r="F2213" s="8"/>
      <c r="G2213" s="8"/>
      <c r="H2213" s="8"/>
      <c r="I2213" s="8"/>
      <c r="J2213" s="8"/>
      <c r="K2213" s="8"/>
      <c r="L2213" s="8"/>
      <c r="M2213" s="8"/>
      <c r="N2213" s="8"/>
      <c r="O2213" s="8"/>
      <c r="P2213" s="8"/>
      <c r="Q2213" s="8"/>
      <c r="R2213" s="8"/>
      <c r="S2213" s="8"/>
      <c r="T2213" s="8"/>
      <c r="U2213" s="8"/>
      <c r="V2213" s="8"/>
      <c r="W2213" s="8"/>
      <c r="X2213" s="8"/>
      <c r="Y2213" s="8"/>
      <c r="Z2213" s="8"/>
    </row>
    <row r="2214" spans="1:28" x14ac:dyDescent="0.35">
      <c r="A2214" s="36"/>
      <c r="B2214" s="8"/>
      <c r="C2214" s="7" t="s">
        <v>535</v>
      </c>
      <c r="D2214" s="15" t="s">
        <v>68</v>
      </c>
      <c r="E2214" s="9">
        <f>1276800-160486.13</f>
        <v>1116313.8700000001</v>
      </c>
      <c r="F2214" s="9">
        <v>990603.99</v>
      </c>
      <c r="G2214" s="8"/>
      <c r="H2214" s="9">
        <f t="shared" ref="H2214:H2233" si="347">F2214+G2214</f>
        <v>990603.99</v>
      </c>
      <c r="I2214" s="8"/>
      <c r="J2214" s="9">
        <f t="shared" ref="J2214:J2233" si="348">H2214+I2214</f>
        <v>990603.99</v>
      </c>
      <c r="K2214" s="9">
        <f>55846.48+69863.4</f>
        <v>125709.88</v>
      </c>
      <c r="L2214" s="8"/>
      <c r="M2214" s="9">
        <f>+H2214+L2214</f>
        <v>990603.99</v>
      </c>
      <c r="N2214" s="8">
        <v>125709.88</v>
      </c>
      <c r="O2214" s="9"/>
      <c r="P2214" s="9">
        <f>+N2214+O2214</f>
        <v>125709.88</v>
      </c>
      <c r="Q2214" s="9">
        <f t="shared" ref="Q2214:Q2233" si="349">E2214-P2214</f>
        <v>990603.99000000011</v>
      </c>
      <c r="R2214" s="8"/>
      <c r="S2214" s="8"/>
      <c r="T2214" s="8"/>
      <c r="U2214" s="18">
        <f t="shared" ref="U2214:U2233" si="350">+P2214+T2214</f>
        <v>125709.88</v>
      </c>
      <c r="V2214" s="17"/>
      <c r="W2214" s="17"/>
      <c r="X2214" s="9">
        <f t="shared" ref="X2214:X2233" si="351">+H2214+P2214</f>
        <v>1116313.8700000001</v>
      </c>
      <c r="Y2214" s="8"/>
      <c r="Z2214" s="9">
        <f t="shared" ref="Z2214:Z2233" si="352">+E2214-X2214</f>
        <v>0</v>
      </c>
      <c r="AA2214" s="8">
        <f t="shared" ref="AA2214:AA2233" si="353">+M2214+U2214</f>
        <v>1116313.8700000001</v>
      </c>
      <c r="AB2214" s="8">
        <f t="shared" ref="AB2214:AB2233" si="354">+E2214-AA2214</f>
        <v>0</v>
      </c>
    </row>
    <row r="2215" spans="1:28" x14ac:dyDescent="0.35">
      <c r="A2215" s="36"/>
      <c r="B2215" s="8"/>
      <c r="C2215" s="7" t="s">
        <v>535</v>
      </c>
      <c r="D2215" s="15" t="s">
        <v>54</v>
      </c>
      <c r="E2215" s="9">
        <f>1760000-88000-87147.73</f>
        <v>1584852.27</v>
      </c>
      <c r="F2215" s="9">
        <f>1539672.27+45180</f>
        <v>1584852.27</v>
      </c>
      <c r="G2215" s="8"/>
      <c r="H2215" s="9">
        <f t="shared" si="347"/>
        <v>1584852.27</v>
      </c>
      <c r="I2215" s="8"/>
      <c r="J2215" s="9">
        <f t="shared" si="348"/>
        <v>1584852.27</v>
      </c>
      <c r="K2215" s="8"/>
      <c r="L2215" s="8"/>
      <c r="M2215" s="9">
        <f t="shared" ref="M2215:M2233" si="355">+H2215+L2215</f>
        <v>1584852.27</v>
      </c>
      <c r="N2215" s="8"/>
      <c r="O2215" s="9"/>
      <c r="P2215" s="9">
        <f t="shared" ref="P2215:P2233" si="356">+N2215+O2215</f>
        <v>0</v>
      </c>
      <c r="Q2215" s="9">
        <f t="shared" si="349"/>
        <v>1584852.27</v>
      </c>
      <c r="R2215" s="8"/>
      <c r="S2215" s="8"/>
      <c r="T2215" s="8"/>
      <c r="U2215" s="18">
        <f t="shared" si="350"/>
        <v>0</v>
      </c>
      <c r="V2215" s="17"/>
      <c r="W2215" s="17"/>
      <c r="X2215" s="9">
        <f t="shared" si="351"/>
        <v>1584852.27</v>
      </c>
      <c r="Y2215" s="8"/>
      <c r="Z2215" s="9">
        <f t="shared" si="352"/>
        <v>0</v>
      </c>
      <c r="AA2215" s="8">
        <f t="shared" si="353"/>
        <v>1584852.27</v>
      </c>
      <c r="AB2215" s="8">
        <f t="shared" si="354"/>
        <v>0</v>
      </c>
    </row>
    <row r="2216" spans="1:28" x14ac:dyDescent="0.35">
      <c r="A2216" s="36"/>
      <c r="B2216" s="8"/>
      <c r="C2216" s="7" t="s">
        <v>545</v>
      </c>
      <c r="D2216" s="15" t="s">
        <v>54</v>
      </c>
      <c r="E2216" s="9">
        <v>1767770</v>
      </c>
      <c r="F2216" s="8"/>
      <c r="G2216" s="8"/>
      <c r="H2216" s="9">
        <f t="shared" si="347"/>
        <v>0</v>
      </c>
      <c r="I2216" s="8"/>
      <c r="J2216" s="9">
        <f t="shared" si="348"/>
        <v>0</v>
      </c>
      <c r="K2216" s="9">
        <v>1767770</v>
      </c>
      <c r="L2216" s="8"/>
      <c r="M2216" s="9">
        <f t="shared" si="355"/>
        <v>0</v>
      </c>
      <c r="N2216" s="8">
        <v>1767770</v>
      </c>
      <c r="O2216" s="9"/>
      <c r="P2216" s="9">
        <f t="shared" si="356"/>
        <v>1767770</v>
      </c>
      <c r="Q2216" s="9">
        <f t="shared" si="349"/>
        <v>0</v>
      </c>
      <c r="R2216" s="8"/>
      <c r="S2216" s="8"/>
      <c r="T2216" s="8"/>
      <c r="U2216" s="18">
        <f t="shared" si="350"/>
        <v>1767770</v>
      </c>
      <c r="V2216" s="17"/>
      <c r="W2216" s="17"/>
      <c r="X2216" s="9">
        <f t="shared" si="351"/>
        <v>1767770</v>
      </c>
      <c r="Y2216" s="8"/>
      <c r="Z2216" s="9">
        <f t="shared" si="352"/>
        <v>0</v>
      </c>
      <c r="AA2216" s="8">
        <f t="shared" si="353"/>
        <v>1767770</v>
      </c>
      <c r="AB2216" s="8">
        <f t="shared" si="354"/>
        <v>0</v>
      </c>
    </row>
    <row r="2217" spans="1:28" x14ac:dyDescent="0.35">
      <c r="A2217" s="36"/>
      <c r="B2217" s="8"/>
      <c r="C2217" s="7" t="s">
        <v>655</v>
      </c>
      <c r="D2217" s="15" t="s">
        <v>54</v>
      </c>
      <c r="E2217" s="9">
        <v>955345.62</v>
      </c>
      <c r="F2217" s="8"/>
      <c r="G2217" s="8"/>
      <c r="H2217" s="9">
        <f t="shared" si="347"/>
        <v>0</v>
      </c>
      <c r="I2217" s="8"/>
      <c r="J2217" s="9">
        <f t="shared" si="348"/>
        <v>0</v>
      </c>
      <c r="K2217" s="9">
        <v>955345.62</v>
      </c>
      <c r="L2217" s="8"/>
      <c r="M2217" s="9">
        <f t="shared" si="355"/>
        <v>0</v>
      </c>
      <c r="N2217" s="8">
        <v>955345.62</v>
      </c>
      <c r="O2217" s="9"/>
      <c r="P2217" s="9">
        <f t="shared" si="356"/>
        <v>955345.62</v>
      </c>
      <c r="Q2217" s="9">
        <f t="shared" si="349"/>
        <v>0</v>
      </c>
      <c r="R2217" s="8"/>
      <c r="S2217" s="8"/>
      <c r="T2217" s="8"/>
      <c r="U2217" s="18">
        <f t="shared" si="350"/>
        <v>955345.62</v>
      </c>
      <c r="V2217" s="17"/>
      <c r="W2217" s="17"/>
      <c r="X2217" s="9">
        <f t="shared" si="351"/>
        <v>955345.62</v>
      </c>
      <c r="Y2217" s="8"/>
      <c r="Z2217" s="9">
        <f t="shared" si="352"/>
        <v>0</v>
      </c>
      <c r="AA2217" s="8">
        <f t="shared" si="353"/>
        <v>955345.62</v>
      </c>
      <c r="AB2217" s="8">
        <f t="shared" si="354"/>
        <v>0</v>
      </c>
    </row>
    <row r="2218" spans="1:28" x14ac:dyDescent="0.35">
      <c r="A2218" s="36"/>
      <c r="B2218" s="8"/>
      <c r="C2218" s="7" t="s">
        <v>535</v>
      </c>
      <c r="D2218" s="15" t="s">
        <v>85</v>
      </c>
      <c r="E2218" s="9">
        <f>3097000-309700</f>
        <v>2787300</v>
      </c>
      <c r="F2218" s="9">
        <f>2167900+619400</f>
        <v>2787300</v>
      </c>
      <c r="G2218" s="8"/>
      <c r="H2218" s="9">
        <f t="shared" si="347"/>
        <v>2787300</v>
      </c>
      <c r="I2218" s="8"/>
      <c r="J2218" s="9">
        <f t="shared" si="348"/>
        <v>2787300</v>
      </c>
      <c r="K2218" s="8"/>
      <c r="L2218" s="8"/>
      <c r="M2218" s="9">
        <f t="shared" si="355"/>
        <v>2787300</v>
      </c>
      <c r="N2218" s="8"/>
      <c r="O2218" s="9"/>
      <c r="P2218" s="9">
        <f t="shared" si="356"/>
        <v>0</v>
      </c>
      <c r="Q2218" s="9">
        <f t="shared" si="349"/>
        <v>2787300</v>
      </c>
      <c r="R2218" s="8"/>
      <c r="S2218" s="8"/>
      <c r="T2218" s="8"/>
      <c r="U2218" s="18">
        <f t="shared" si="350"/>
        <v>0</v>
      </c>
      <c r="V2218" s="17"/>
      <c r="W2218" s="17"/>
      <c r="X2218" s="9">
        <f t="shared" si="351"/>
        <v>2787300</v>
      </c>
      <c r="Y2218" s="8"/>
      <c r="Z2218" s="9">
        <f t="shared" si="352"/>
        <v>0</v>
      </c>
      <c r="AA2218" s="8">
        <f t="shared" si="353"/>
        <v>2787300</v>
      </c>
      <c r="AB2218" s="8">
        <f t="shared" si="354"/>
        <v>0</v>
      </c>
    </row>
    <row r="2219" spans="1:28" x14ac:dyDescent="0.35">
      <c r="A2219" s="36"/>
      <c r="B2219" s="8"/>
      <c r="C2219" s="7" t="s">
        <v>667</v>
      </c>
      <c r="D2219" s="15" t="s">
        <v>85</v>
      </c>
      <c r="E2219" s="9">
        <v>80000</v>
      </c>
      <c r="F2219" s="8"/>
      <c r="G2219" s="8"/>
      <c r="H2219" s="9">
        <f t="shared" si="347"/>
        <v>0</v>
      </c>
      <c r="I2219" s="8"/>
      <c r="J2219" s="9">
        <f t="shared" si="348"/>
        <v>0</v>
      </c>
      <c r="K2219" s="8"/>
      <c r="L2219" s="8"/>
      <c r="M2219" s="9">
        <f t="shared" si="355"/>
        <v>0</v>
      </c>
      <c r="N2219" s="8"/>
      <c r="O2219" s="9"/>
      <c r="P2219" s="9">
        <f t="shared" si="356"/>
        <v>0</v>
      </c>
      <c r="Q2219" s="9">
        <f t="shared" si="349"/>
        <v>80000</v>
      </c>
      <c r="R2219" s="8"/>
      <c r="S2219" s="8"/>
      <c r="T2219" s="8"/>
      <c r="U2219" s="18">
        <f t="shared" si="350"/>
        <v>0</v>
      </c>
      <c r="V2219" s="17"/>
      <c r="W2219" s="17"/>
      <c r="X2219" s="9">
        <f t="shared" si="351"/>
        <v>0</v>
      </c>
      <c r="Y2219" s="8"/>
      <c r="Z2219" s="9">
        <f t="shared" si="352"/>
        <v>80000</v>
      </c>
      <c r="AA2219" s="8">
        <f t="shared" si="353"/>
        <v>0</v>
      </c>
      <c r="AB2219" s="8">
        <f t="shared" si="354"/>
        <v>80000</v>
      </c>
    </row>
    <row r="2220" spans="1:28" x14ac:dyDescent="0.35">
      <c r="A2220" s="36"/>
      <c r="B2220" s="8"/>
      <c r="C2220" s="7" t="s">
        <v>535</v>
      </c>
      <c r="D2220" s="15" t="s">
        <v>128</v>
      </c>
      <c r="E2220" s="9">
        <v>1800000</v>
      </c>
      <c r="F2220" s="9">
        <v>1800000</v>
      </c>
      <c r="G2220" s="8"/>
      <c r="H2220" s="9">
        <f t="shared" si="347"/>
        <v>1800000</v>
      </c>
      <c r="I2220" s="8"/>
      <c r="J2220" s="9">
        <f t="shared" si="348"/>
        <v>1800000</v>
      </c>
      <c r="K2220" s="8"/>
      <c r="L2220" s="8"/>
      <c r="M2220" s="9">
        <f t="shared" si="355"/>
        <v>1800000</v>
      </c>
      <c r="N2220" s="8"/>
      <c r="O2220" s="9"/>
      <c r="P2220" s="9">
        <f t="shared" si="356"/>
        <v>0</v>
      </c>
      <c r="Q2220" s="9">
        <f t="shared" si="349"/>
        <v>1800000</v>
      </c>
      <c r="R2220" s="8"/>
      <c r="S2220" s="8"/>
      <c r="T2220" s="8"/>
      <c r="U2220" s="18">
        <f t="shared" si="350"/>
        <v>0</v>
      </c>
      <c r="V2220" s="17"/>
      <c r="W2220" s="17"/>
      <c r="X2220" s="9">
        <f t="shared" si="351"/>
        <v>1800000</v>
      </c>
      <c r="Y2220" s="8"/>
      <c r="Z2220" s="9">
        <f t="shared" si="352"/>
        <v>0</v>
      </c>
      <c r="AA2220" s="8">
        <f t="shared" si="353"/>
        <v>1800000</v>
      </c>
      <c r="AB2220" s="8">
        <f t="shared" si="354"/>
        <v>0</v>
      </c>
    </row>
    <row r="2221" spans="1:28" x14ac:dyDescent="0.35">
      <c r="A2221" s="36"/>
      <c r="B2221" s="8"/>
      <c r="C2221" s="7" t="s">
        <v>535</v>
      </c>
      <c r="D2221" s="15" t="s">
        <v>108</v>
      </c>
      <c r="E2221" s="9">
        <v>3300000</v>
      </c>
      <c r="F2221" s="9">
        <v>3300000</v>
      </c>
      <c r="G2221" s="8"/>
      <c r="H2221" s="9">
        <f t="shared" si="347"/>
        <v>3300000</v>
      </c>
      <c r="I2221" s="8"/>
      <c r="J2221" s="9">
        <f t="shared" si="348"/>
        <v>3300000</v>
      </c>
      <c r="K2221" s="8"/>
      <c r="L2221" s="8"/>
      <c r="M2221" s="9">
        <f t="shared" si="355"/>
        <v>3300000</v>
      </c>
      <c r="N2221" s="8"/>
      <c r="O2221" s="9"/>
      <c r="P2221" s="9">
        <f t="shared" si="356"/>
        <v>0</v>
      </c>
      <c r="Q2221" s="9">
        <f t="shared" si="349"/>
        <v>3300000</v>
      </c>
      <c r="R2221" s="8"/>
      <c r="S2221" s="8"/>
      <c r="T2221" s="8"/>
      <c r="U2221" s="18">
        <f t="shared" si="350"/>
        <v>0</v>
      </c>
      <c r="V2221" s="17"/>
      <c r="W2221" s="17"/>
      <c r="X2221" s="9">
        <f t="shared" si="351"/>
        <v>3300000</v>
      </c>
      <c r="Y2221" s="8"/>
      <c r="Z2221" s="9">
        <f t="shared" si="352"/>
        <v>0</v>
      </c>
      <c r="AA2221" s="8">
        <f t="shared" si="353"/>
        <v>3300000</v>
      </c>
      <c r="AB2221" s="8">
        <f t="shared" si="354"/>
        <v>0</v>
      </c>
    </row>
    <row r="2222" spans="1:28" x14ac:dyDescent="0.35">
      <c r="A2222" s="36"/>
      <c r="B2222" s="8"/>
      <c r="C2222" s="7" t="s">
        <v>535</v>
      </c>
      <c r="D2222" s="15" t="s">
        <v>58</v>
      </c>
      <c r="E2222" s="9">
        <f>2751245+2008778</f>
        <v>4760023</v>
      </c>
      <c r="F2222" s="9">
        <v>4760023</v>
      </c>
      <c r="G2222" s="8"/>
      <c r="H2222" s="9">
        <f t="shared" si="347"/>
        <v>4760023</v>
      </c>
      <c r="I2222" s="8"/>
      <c r="J2222" s="9">
        <f t="shared" si="348"/>
        <v>4760023</v>
      </c>
      <c r="K2222" s="8"/>
      <c r="L2222" s="8"/>
      <c r="M2222" s="9">
        <f t="shared" si="355"/>
        <v>4760023</v>
      </c>
      <c r="N2222" s="8"/>
      <c r="O2222" s="9"/>
      <c r="P2222" s="9">
        <f t="shared" si="356"/>
        <v>0</v>
      </c>
      <c r="Q2222" s="9">
        <f t="shared" si="349"/>
        <v>4760023</v>
      </c>
      <c r="R2222" s="8"/>
      <c r="S2222" s="8"/>
      <c r="T2222" s="8"/>
      <c r="U2222" s="18">
        <f t="shared" si="350"/>
        <v>0</v>
      </c>
      <c r="V2222" s="17"/>
      <c r="W2222" s="17"/>
      <c r="X2222" s="9">
        <f t="shared" si="351"/>
        <v>4760023</v>
      </c>
      <c r="Y2222" s="8"/>
      <c r="Z2222" s="9">
        <f t="shared" si="352"/>
        <v>0</v>
      </c>
      <c r="AA2222" s="8">
        <f t="shared" si="353"/>
        <v>4760023</v>
      </c>
      <c r="AB2222" s="8">
        <f t="shared" si="354"/>
        <v>0</v>
      </c>
    </row>
    <row r="2223" spans="1:28" x14ac:dyDescent="0.35">
      <c r="A2223" s="36"/>
      <c r="B2223" s="8"/>
      <c r="C2223" s="7" t="s">
        <v>535</v>
      </c>
      <c r="D2223" s="15" t="s">
        <v>60</v>
      </c>
      <c r="E2223" s="9">
        <f>4842146.07+4566930</f>
        <v>9409076.0700000003</v>
      </c>
      <c r="F2223" s="9">
        <f>4842146.07+4566930</f>
        <v>9409076.0700000003</v>
      </c>
      <c r="G2223" s="8"/>
      <c r="H2223" s="9">
        <f t="shared" si="347"/>
        <v>9409076.0700000003</v>
      </c>
      <c r="I2223" s="8"/>
      <c r="J2223" s="9">
        <f t="shared" si="348"/>
        <v>9409076.0700000003</v>
      </c>
      <c r="K2223" s="8"/>
      <c r="L2223" s="8"/>
      <c r="M2223" s="9">
        <f t="shared" si="355"/>
        <v>9409076.0700000003</v>
      </c>
      <c r="N2223" s="8"/>
      <c r="O2223" s="9"/>
      <c r="P2223" s="9">
        <f t="shared" si="356"/>
        <v>0</v>
      </c>
      <c r="Q2223" s="9">
        <f t="shared" si="349"/>
        <v>9409076.0700000003</v>
      </c>
      <c r="R2223" s="8"/>
      <c r="S2223" s="8"/>
      <c r="T2223" s="8"/>
      <c r="U2223" s="18">
        <f t="shared" si="350"/>
        <v>0</v>
      </c>
      <c r="V2223" s="17"/>
      <c r="W2223" s="17"/>
      <c r="X2223" s="9">
        <f t="shared" si="351"/>
        <v>9409076.0700000003</v>
      </c>
      <c r="Y2223" s="8"/>
      <c r="Z2223" s="9">
        <f t="shared" si="352"/>
        <v>0</v>
      </c>
      <c r="AA2223" s="8">
        <f t="shared" si="353"/>
        <v>9409076.0700000003</v>
      </c>
      <c r="AB2223" s="8">
        <f t="shared" si="354"/>
        <v>0</v>
      </c>
    </row>
    <row r="2224" spans="1:28" x14ac:dyDescent="0.35">
      <c r="A2224" s="36"/>
      <c r="B2224" s="8"/>
      <c r="C2224" s="7" t="s">
        <v>535</v>
      </c>
      <c r="D2224" s="15" t="s">
        <v>73</v>
      </c>
      <c r="E2224" s="9">
        <f>5438000+1458000</f>
        <v>6896000</v>
      </c>
      <c r="F2224" s="9">
        <f>5438000+1458000</f>
        <v>6896000</v>
      </c>
      <c r="G2224" s="8"/>
      <c r="H2224" s="9">
        <f t="shared" si="347"/>
        <v>6896000</v>
      </c>
      <c r="I2224" s="9"/>
      <c r="J2224" s="9">
        <f t="shared" si="348"/>
        <v>6896000</v>
      </c>
      <c r="K2224" s="8"/>
      <c r="L2224" s="8"/>
      <c r="M2224" s="9">
        <f t="shared" si="355"/>
        <v>6896000</v>
      </c>
      <c r="N2224" s="8"/>
      <c r="O2224" s="9"/>
      <c r="P2224" s="9">
        <f t="shared" si="356"/>
        <v>0</v>
      </c>
      <c r="Q2224" s="9">
        <f t="shared" si="349"/>
        <v>6896000</v>
      </c>
      <c r="R2224" s="8"/>
      <c r="S2224" s="8"/>
      <c r="T2224" s="8"/>
      <c r="U2224" s="18">
        <f t="shared" si="350"/>
        <v>0</v>
      </c>
      <c r="V2224" s="17"/>
      <c r="W2224" s="17"/>
      <c r="X2224" s="9">
        <f t="shared" si="351"/>
        <v>6896000</v>
      </c>
      <c r="Y2224" s="8"/>
      <c r="Z2224" s="9">
        <f t="shared" si="352"/>
        <v>0</v>
      </c>
      <c r="AA2224" s="8">
        <f t="shared" si="353"/>
        <v>6896000</v>
      </c>
      <c r="AB2224" s="8">
        <f t="shared" si="354"/>
        <v>0</v>
      </c>
    </row>
    <row r="2225" spans="1:28" x14ac:dyDescent="0.35">
      <c r="A2225" s="36"/>
      <c r="B2225" s="8"/>
      <c r="C2225" s="14" t="s">
        <v>621</v>
      </c>
      <c r="D2225" s="21" t="s">
        <v>73</v>
      </c>
      <c r="E2225" s="11">
        <v>3202840</v>
      </c>
      <c r="F2225" s="9">
        <v>3202840</v>
      </c>
      <c r="G2225" s="9"/>
      <c r="H2225" s="9">
        <f t="shared" si="347"/>
        <v>3202840</v>
      </c>
      <c r="I2225" s="9"/>
      <c r="J2225" s="9">
        <f t="shared" si="348"/>
        <v>3202840</v>
      </c>
      <c r="K2225" s="8"/>
      <c r="L2225" s="8"/>
      <c r="M2225" s="9">
        <f t="shared" si="355"/>
        <v>3202840</v>
      </c>
      <c r="N2225" s="8"/>
      <c r="O2225" s="9"/>
      <c r="P2225" s="9">
        <f t="shared" si="356"/>
        <v>0</v>
      </c>
      <c r="Q2225" s="9">
        <f t="shared" si="349"/>
        <v>3202840</v>
      </c>
      <c r="R2225" s="8"/>
      <c r="S2225" s="8"/>
      <c r="T2225" s="8"/>
      <c r="U2225" s="18">
        <f t="shared" si="350"/>
        <v>0</v>
      </c>
      <c r="V2225" s="17"/>
      <c r="W2225" s="17"/>
      <c r="X2225" s="9">
        <f t="shared" si="351"/>
        <v>3202840</v>
      </c>
      <c r="Y2225" s="8"/>
      <c r="Z2225" s="9">
        <f t="shared" si="352"/>
        <v>0</v>
      </c>
      <c r="AA2225" s="8">
        <f t="shared" si="353"/>
        <v>3202840</v>
      </c>
      <c r="AB2225" s="8">
        <f t="shared" si="354"/>
        <v>0</v>
      </c>
    </row>
    <row r="2226" spans="1:28" x14ac:dyDescent="0.35">
      <c r="A2226" s="36"/>
      <c r="B2226" s="8"/>
      <c r="C2226" s="7" t="s">
        <v>535</v>
      </c>
      <c r="D2226" s="15" t="s">
        <v>61</v>
      </c>
      <c r="E2226" s="11">
        <v>7000000</v>
      </c>
      <c r="F2226" s="9">
        <v>7000000</v>
      </c>
      <c r="G2226" s="9"/>
      <c r="H2226" s="9">
        <f t="shared" si="347"/>
        <v>7000000</v>
      </c>
      <c r="I2226" s="9"/>
      <c r="J2226" s="9">
        <f t="shared" si="348"/>
        <v>7000000</v>
      </c>
      <c r="K2226" s="8"/>
      <c r="L2226" s="8"/>
      <c r="M2226" s="9">
        <f t="shared" si="355"/>
        <v>7000000</v>
      </c>
      <c r="N2226" s="8"/>
      <c r="O2226" s="9"/>
      <c r="P2226" s="9">
        <f t="shared" si="356"/>
        <v>0</v>
      </c>
      <c r="Q2226" s="9">
        <f t="shared" si="349"/>
        <v>7000000</v>
      </c>
      <c r="R2226" s="8"/>
      <c r="S2226" s="8"/>
      <c r="T2226" s="8"/>
      <c r="U2226" s="18">
        <f t="shared" si="350"/>
        <v>0</v>
      </c>
      <c r="V2226" s="17"/>
      <c r="W2226" s="17"/>
      <c r="X2226" s="9">
        <f t="shared" si="351"/>
        <v>7000000</v>
      </c>
      <c r="Y2226" s="8"/>
      <c r="Z2226" s="9">
        <f t="shared" si="352"/>
        <v>0</v>
      </c>
      <c r="AA2226" s="8">
        <f t="shared" si="353"/>
        <v>7000000</v>
      </c>
      <c r="AB2226" s="8">
        <f t="shared" si="354"/>
        <v>0</v>
      </c>
    </row>
    <row r="2227" spans="1:28" x14ac:dyDescent="0.35">
      <c r="A2227" s="36"/>
      <c r="B2227" s="8"/>
      <c r="C2227" s="7" t="s">
        <v>933</v>
      </c>
      <c r="D2227" s="16" t="s">
        <v>1072</v>
      </c>
      <c r="E2227" s="11">
        <v>6221304.4000000004</v>
      </c>
      <c r="F2227" s="9">
        <v>6221304.4000000004</v>
      </c>
      <c r="G2227" s="9"/>
      <c r="H2227" s="9">
        <f>F2227+G2227</f>
        <v>6221304.4000000004</v>
      </c>
      <c r="I2227" s="9"/>
      <c r="J2227" s="9">
        <f>H2227+I2227</f>
        <v>6221304.4000000004</v>
      </c>
      <c r="K2227" s="8"/>
      <c r="L2227" s="8"/>
      <c r="M2227" s="9">
        <f>+H2227+L2227</f>
        <v>6221304.4000000004</v>
      </c>
      <c r="N2227" s="8"/>
      <c r="O2227" s="9"/>
      <c r="P2227" s="9">
        <f>+N2227+O2227</f>
        <v>0</v>
      </c>
      <c r="Q2227" s="9"/>
      <c r="R2227" s="8"/>
      <c r="S2227" s="8"/>
      <c r="T2227" s="8"/>
      <c r="U2227" s="18">
        <f>+P2227+T2227</f>
        <v>0</v>
      </c>
      <c r="V2227" s="17"/>
      <c r="W2227" s="17"/>
      <c r="X2227" s="9">
        <f t="shared" si="351"/>
        <v>6221304.4000000004</v>
      </c>
      <c r="Y2227" s="8"/>
      <c r="Z2227" s="9">
        <f t="shared" si="352"/>
        <v>0</v>
      </c>
      <c r="AA2227" s="8">
        <f t="shared" si="353"/>
        <v>6221304.4000000004</v>
      </c>
      <c r="AB2227" s="8">
        <f t="shared" si="354"/>
        <v>0</v>
      </c>
    </row>
    <row r="2228" spans="1:28" x14ac:dyDescent="0.35">
      <c r="A2228" s="36"/>
      <c r="B2228" s="8"/>
      <c r="C2228" s="7" t="s">
        <v>1083</v>
      </c>
      <c r="D2228" s="16" t="s">
        <v>1072</v>
      </c>
      <c r="E2228" s="11">
        <v>8971122.8000000007</v>
      </c>
      <c r="F2228" s="9">
        <v>8971122.8000000007</v>
      </c>
      <c r="G2228" s="9"/>
      <c r="H2228" s="9">
        <f>+F2228+G2228</f>
        <v>8971122.8000000007</v>
      </c>
      <c r="I2228" s="9"/>
      <c r="J2228" s="9">
        <f>H2228+I2228</f>
        <v>8971122.8000000007</v>
      </c>
      <c r="K2228" s="8"/>
      <c r="L2228" s="8"/>
      <c r="M2228" s="9">
        <f>+H2228+L2228</f>
        <v>8971122.8000000007</v>
      </c>
      <c r="N2228" s="8"/>
      <c r="O2228" s="9"/>
      <c r="P2228" s="9">
        <f>+N2228+O2228</f>
        <v>0</v>
      </c>
      <c r="Q2228" s="9"/>
      <c r="R2228" s="8"/>
      <c r="S2228" s="8"/>
      <c r="T2228" s="8"/>
      <c r="U2228" s="18">
        <f>+P2228+T2228</f>
        <v>0</v>
      </c>
      <c r="V2228" s="17"/>
      <c r="W2228" s="17"/>
      <c r="X2228" s="9">
        <f t="shared" si="351"/>
        <v>8971122.8000000007</v>
      </c>
      <c r="Y2228" s="8"/>
      <c r="Z2228" s="9">
        <f t="shared" si="352"/>
        <v>0</v>
      </c>
      <c r="AA2228" s="8">
        <f t="shared" si="353"/>
        <v>8971122.8000000007</v>
      </c>
      <c r="AB2228" s="8">
        <f t="shared" si="354"/>
        <v>0</v>
      </c>
    </row>
    <row r="2229" spans="1:28" x14ac:dyDescent="0.35">
      <c r="A2229" s="36"/>
      <c r="B2229" s="8"/>
      <c r="C2229" s="7" t="s">
        <v>577</v>
      </c>
      <c r="D2229" s="8"/>
      <c r="E2229" s="9">
        <v>712084.82</v>
      </c>
      <c r="F2229" s="9">
        <f>904536.82-192452</f>
        <v>712084.82</v>
      </c>
      <c r="G2229" s="8"/>
      <c r="H2229" s="9">
        <f t="shared" si="347"/>
        <v>712084.82</v>
      </c>
      <c r="I2229" s="8"/>
      <c r="J2229" s="9">
        <f t="shared" si="348"/>
        <v>712084.82</v>
      </c>
      <c r="K2229" s="8"/>
      <c r="L2229" s="8"/>
      <c r="M2229" s="9">
        <f t="shared" si="355"/>
        <v>712084.82</v>
      </c>
      <c r="N2229" s="8"/>
      <c r="O2229" s="9"/>
      <c r="P2229" s="9">
        <f t="shared" si="356"/>
        <v>0</v>
      </c>
      <c r="Q2229" s="9">
        <f t="shared" si="349"/>
        <v>712084.82</v>
      </c>
      <c r="R2229" s="8"/>
      <c r="S2229" s="8"/>
      <c r="T2229" s="8"/>
      <c r="U2229" s="18">
        <f t="shared" si="350"/>
        <v>0</v>
      </c>
      <c r="V2229" s="17"/>
      <c r="W2229" s="17"/>
      <c r="X2229" s="9">
        <f t="shared" si="351"/>
        <v>712084.82</v>
      </c>
      <c r="Y2229" s="8"/>
      <c r="Z2229" s="9">
        <f t="shared" si="352"/>
        <v>0</v>
      </c>
      <c r="AA2229" s="8">
        <f t="shared" si="353"/>
        <v>712084.82</v>
      </c>
      <c r="AB2229" s="8">
        <f t="shared" si="354"/>
        <v>0</v>
      </c>
    </row>
    <row r="2230" spans="1:28" x14ac:dyDescent="0.35">
      <c r="A2230" s="36"/>
      <c r="B2230" s="8"/>
      <c r="C2230" s="7" t="s">
        <v>550</v>
      </c>
      <c r="D2230" s="8"/>
      <c r="E2230" s="9">
        <v>242386</v>
      </c>
      <c r="F2230" s="9">
        <v>242386</v>
      </c>
      <c r="G2230" s="8"/>
      <c r="H2230" s="9">
        <f t="shared" si="347"/>
        <v>242386</v>
      </c>
      <c r="I2230" s="8"/>
      <c r="J2230" s="9">
        <f t="shared" si="348"/>
        <v>242386</v>
      </c>
      <c r="K2230" s="8"/>
      <c r="L2230" s="8"/>
      <c r="M2230" s="9">
        <f t="shared" si="355"/>
        <v>242386</v>
      </c>
      <c r="N2230" s="8"/>
      <c r="O2230" s="9"/>
      <c r="P2230" s="9">
        <f t="shared" si="356"/>
        <v>0</v>
      </c>
      <c r="Q2230" s="9">
        <f t="shared" si="349"/>
        <v>242386</v>
      </c>
      <c r="R2230" s="8"/>
      <c r="S2230" s="8"/>
      <c r="T2230" s="8"/>
      <c r="U2230" s="18">
        <f t="shared" si="350"/>
        <v>0</v>
      </c>
      <c r="V2230" s="17"/>
      <c r="W2230" s="17"/>
      <c r="X2230" s="9">
        <f t="shared" si="351"/>
        <v>242386</v>
      </c>
      <c r="Y2230" s="8"/>
      <c r="Z2230" s="9">
        <f t="shared" si="352"/>
        <v>0</v>
      </c>
      <c r="AA2230" s="8">
        <f t="shared" si="353"/>
        <v>242386</v>
      </c>
      <c r="AB2230" s="8">
        <f t="shared" si="354"/>
        <v>0</v>
      </c>
    </row>
    <row r="2231" spans="1:28" x14ac:dyDescent="0.35">
      <c r="A2231" s="36"/>
      <c r="B2231" s="8"/>
      <c r="C2231" s="7" t="s">
        <v>844</v>
      </c>
      <c r="D2231" s="8"/>
      <c r="E2231" s="9">
        <f>70000-20354.14</f>
        <v>49645.86</v>
      </c>
      <c r="F2231" s="9">
        <v>49645.86</v>
      </c>
      <c r="G2231" s="8"/>
      <c r="H2231" s="9">
        <f t="shared" si="347"/>
        <v>49645.86</v>
      </c>
      <c r="I2231" s="8"/>
      <c r="J2231" s="9">
        <f t="shared" si="348"/>
        <v>49645.86</v>
      </c>
      <c r="K2231" s="8"/>
      <c r="L2231" s="8"/>
      <c r="M2231" s="9">
        <f t="shared" si="355"/>
        <v>49645.86</v>
      </c>
      <c r="N2231" s="8"/>
      <c r="O2231" s="9"/>
      <c r="P2231" s="9">
        <f t="shared" si="356"/>
        <v>0</v>
      </c>
      <c r="Q2231" s="9">
        <f t="shared" si="349"/>
        <v>49645.86</v>
      </c>
      <c r="R2231" s="8"/>
      <c r="S2231" s="8"/>
      <c r="T2231" s="8"/>
      <c r="U2231" s="18">
        <f t="shared" si="350"/>
        <v>0</v>
      </c>
      <c r="V2231" s="17"/>
      <c r="W2231" s="17"/>
      <c r="X2231" s="9">
        <f t="shared" si="351"/>
        <v>49645.86</v>
      </c>
      <c r="Y2231" s="8"/>
      <c r="Z2231" s="9">
        <f t="shared" si="352"/>
        <v>0</v>
      </c>
      <c r="AA2231" s="8">
        <f t="shared" si="353"/>
        <v>49645.86</v>
      </c>
      <c r="AB2231" s="8">
        <f t="shared" si="354"/>
        <v>0</v>
      </c>
    </row>
    <row r="2232" spans="1:28" x14ac:dyDescent="0.35">
      <c r="A2232" s="36"/>
      <c r="B2232" s="8"/>
      <c r="C2232" s="7" t="s">
        <v>568</v>
      </c>
      <c r="D2232" s="8"/>
      <c r="E2232" s="9">
        <v>5199700.99</v>
      </c>
      <c r="F2232" s="9">
        <v>5199700.99</v>
      </c>
      <c r="G2232" s="8"/>
      <c r="H2232" s="9">
        <f>+F2232+G2232</f>
        <v>5199700.99</v>
      </c>
      <c r="I2232" s="8"/>
      <c r="J2232" s="9"/>
      <c r="K2232" s="8"/>
      <c r="L2232" s="8"/>
      <c r="M2232" s="9">
        <f>+H2232+L2232</f>
        <v>5199700.99</v>
      </c>
      <c r="N2232" s="8"/>
      <c r="O2232" s="9"/>
      <c r="P2232" s="9">
        <f t="shared" si="356"/>
        <v>0</v>
      </c>
      <c r="Q2232" s="9"/>
      <c r="R2232" s="8"/>
      <c r="S2232" s="8"/>
      <c r="T2232" s="8"/>
      <c r="U2232" s="18">
        <f>+P2232+T2232</f>
        <v>0</v>
      </c>
      <c r="V2232" s="17"/>
      <c r="W2232" s="17"/>
      <c r="X2232" s="9">
        <f t="shared" si="351"/>
        <v>5199700.99</v>
      </c>
      <c r="Y2232" s="8"/>
      <c r="Z2232" s="9">
        <f t="shared" si="352"/>
        <v>0</v>
      </c>
      <c r="AA2232" s="8">
        <f t="shared" si="353"/>
        <v>5199700.99</v>
      </c>
      <c r="AB2232" s="8">
        <f t="shared" si="354"/>
        <v>0</v>
      </c>
    </row>
    <row r="2233" spans="1:28" x14ac:dyDescent="0.35">
      <c r="A2233" s="36"/>
      <c r="B2233" s="8"/>
      <c r="C2233" s="7" t="s">
        <v>606</v>
      </c>
      <c r="D2233" s="8"/>
      <c r="E2233" s="9">
        <f>2500000+2500000</f>
        <v>5000000</v>
      </c>
      <c r="F2233" s="9">
        <v>5000000</v>
      </c>
      <c r="G2233" s="8"/>
      <c r="H2233" s="9">
        <f t="shared" si="347"/>
        <v>5000000</v>
      </c>
      <c r="I2233" s="8"/>
      <c r="J2233" s="9">
        <f t="shared" si="348"/>
        <v>5000000</v>
      </c>
      <c r="K2233" s="8"/>
      <c r="L2233" s="8"/>
      <c r="M2233" s="9">
        <f t="shared" si="355"/>
        <v>5000000</v>
      </c>
      <c r="N2233" s="8"/>
      <c r="O2233" s="9"/>
      <c r="P2233" s="9">
        <f t="shared" si="356"/>
        <v>0</v>
      </c>
      <c r="Q2233" s="9">
        <f t="shared" si="349"/>
        <v>5000000</v>
      </c>
      <c r="R2233" s="8"/>
      <c r="S2233" s="8"/>
      <c r="T2233" s="8"/>
      <c r="U2233" s="18">
        <f t="shared" si="350"/>
        <v>0</v>
      </c>
      <c r="V2233" s="17"/>
      <c r="W2233" s="17"/>
      <c r="X2233" s="9">
        <f t="shared" si="351"/>
        <v>5000000</v>
      </c>
      <c r="Y2233" s="8"/>
      <c r="Z2233" s="9">
        <f t="shared" si="352"/>
        <v>0</v>
      </c>
      <c r="AA2233" s="8">
        <f t="shared" si="353"/>
        <v>5000000</v>
      </c>
      <c r="AB2233" s="8">
        <f t="shared" si="354"/>
        <v>0</v>
      </c>
    </row>
    <row r="2234" spans="1:28" x14ac:dyDescent="0.35">
      <c r="A2234" s="36"/>
      <c r="B2234" s="8"/>
      <c r="C2234" s="8"/>
      <c r="D2234" s="8"/>
      <c r="E2234" s="17" t="s">
        <v>29</v>
      </c>
      <c r="F2234" s="17" t="s">
        <v>29</v>
      </c>
      <c r="G2234" s="17" t="s">
        <v>29</v>
      </c>
      <c r="H2234" s="17" t="s">
        <v>29</v>
      </c>
      <c r="I2234" s="17" t="s">
        <v>29</v>
      </c>
      <c r="J2234" s="17" t="s">
        <v>29</v>
      </c>
      <c r="K2234" s="17" t="s">
        <v>29</v>
      </c>
      <c r="L2234" s="17" t="s">
        <v>29</v>
      </c>
      <c r="M2234" s="17" t="s">
        <v>29</v>
      </c>
      <c r="N2234" s="17" t="s">
        <v>29</v>
      </c>
      <c r="O2234" s="17" t="s">
        <v>29</v>
      </c>
      <c r="P2234" s="17" t="s">
        <v>29</v>
      </c>
      <c r="Q2234" s="17" t="s">
        <v>29</v>
      </c>
      <c r="R2234" s="17" t="s">
        <v>29</v>
      </c>
      <c r="S2234" s="17" t="s">
        <v>29</v>
      </c>
      <c r="T2234" s="17" t="s">
        <v>29</v>
      </c>
      <c r="U2234" s="17" t="s">
        <v>29</v>
      </c>
      <c r="V2234" s="17" t="s">
        <v>29</v>
      </c>
      <c r="W2234" s="17" t="s">
        <v>29</v>
      </c>
      <c r="X2234" s="17" t="s">
        <v>29</v>
      </c>
      <c r="Y2234" s="17" t="s">
        <v>29</v>
      </c>
      <c r="Z2234" s="17" t="s">
        <v>29</v>
      </c>
      <c r="AA2234" s="17" t="s">
        <v>29</v>
      </c>
      <c r="AB2234" s="17" t="s">
        <v>29</v>
      </c>
    </row>
    <row r="2235" spans="1:28" x14ac:dyDescent="0.35">
      <c r="A2235" s="36"/>
      <c r="B2235" s="8"/>
      <c r="C2235" s="8"/>
      <c r="D2235" s="8"/>
      <c r="E2235" s="9">
        <f t="shared" ref="E2235:Q2235" si="357">SUM(E2214:E2234)</f>
        <v>71055765.700000003</v>
      </c>
      <c r="F2235" s="9">
        <f t="shared" si="357"/>
        <v>68126940.200000003</v>
      </c>
      <c r="G2235" s="9">
        <f t="shared" si="357"/>
        <v>0</v>
      </c>
      <c r="H2235" s="9">
        <f t="shared" si="357"/>
        <v>68126940.200000003</v>
      </c>
      <c r="I2235" s="9">
        <f t="shared" si="357"/>
        <v>0</v>
      </c>
      <c r="J2235" s="9">
        <f t="shared" si="357"/>
        <v>62927239.210000001</v>
      </c>
      <c r="K2235" s="9">
        <f t="shared" si="357"/>
        <v>2848825.5</v>
      </c>
      <c r="L2235" s="9">
        <f t="shared" si="357"/>
        <v>0</v>
      </c>
      <c r="M2235" s="9">
        <f t="shared" si="357"/>
        <v>68126940.200000003</v>
      </c>
      <c r="N2235" s="9">
        <f t="shared" si="357"/>
        <v>2848825.5</v>
      </c>
      <c r="O2235" s="9">
        <f t="shared" si="357"/>
        <v>0</v>
      </c>
      <c r="P2235" s="9">
        <f t="shared" si="357"/>
        <v>2848825.5</v>
      </c>
      <c r="Q2235" s="9">
        <f t="shared" si="357"/>
        <v>47814812.009999998</v>
      </c>
      <c r="R2235" s="8"/>
      <c r="S2235" s="8"/>
      <c r="T2235" s="9">
        <f t="shared" ref="T2235:Z2235" si="358">SUM(T2214:T2234)</f>
        <v>0</v>
      </c>
      <c r="U2235" s="9">
        <f t="shared" si="358"/>
        <v>2848825.5</v>
      </c>
      <c r="V2235" s="9">
        <f t="shared" si="358"/>
        <v>0</v>
      </c>
      <c r="W2235" s="9">
        <f t="shared" si="358"/>
        <v>0</v>
      </c>
      <c r="X2235" s="9">
        <f t="shared" si="358"/>
        <v>70975765.700000003</v>
      </c>
      <c r="Y2235" s="9">
        <f t="shared" si="358"/>
        <v>0</v>
      </c>
      <c r="Z2235" s="9">
        <f t="shared" si="358"/>
        <v>80000</v>
      </c>
      <c r="AA2235" s="9">
        <f>SUM(AA2214:AA2234)</f>
        <v>70975765.700000003</v>
      </c>
      <c r="AB2235" s="9">
        <f>SUM(AB2214:AB2234)</f>
        <v>80000</v>
      </c>
    </row>
    <row r="2236" spans="1:28" x14ac:dyDescent="0.35">
      <c r="A2236" s="36"/>
      <c r="B2236" s="8"/>
      <c r="C2236" s="8"/>
      <c r="D2236" s="8"/>
      <c r="E2236" s="17" t="s">
        <v>29</v>
      </c>
      <c r="F2236" s="17" t="s">
        <v>29</v>
      </c>
      <c r="G2236" s="17" t="s">
        <v>29</v>
      </c>
      <c r="H2236" s="17" t="s">
        <v>29</v>
      </c>
      <c r="I2236" s="17" t="s">
        <v>29</v>
      </c>
      <c r="J2236" s="17" t="s">
        <v>29</v>
      </c>
      <c r="K2236" s="17" t="s">
        <v>29</v>
      </c>
      <c r="L2236" s="17" t="s">
        <v>29</v>
      </c>
      <c r="M2236" s="17" t="s">
        <v>29</v>
      </c>
      <c r="N2236" s="17" t="s">
        <v>29</v>
      </c>
      <c r="O2236" s="17" t="s">
        <v>29</v>
      </c>
      <c r="P2236" s="17" t="s">
        <v>29</v>
      </c>
      <c r="Q2236" s="17" t="s">
        <v>29</v>
      </c>
      <c r="R2236" s="17" t="s">
        <v>29</v>
      </c>
      <c r="S2236" s="17" t="s">
        <v>29</v>
      </c>
      <c r="T2236" s="17" t="s">
        <v>29</v>
      </c>
      <c r="U2236" s="17" t="s">
        <v>29</v>
      </c>
      <c r="V2236" s="17" t="s">
        <v>29</v>
      </c>
      <c r="W2236" s="17" t="s">
        <v>29</v>
      </c>
      <c r="X2236" s="17" t="s">
        <v>29</v>
      </c>
      <c r="Y2236" s="17" t="s">
        <v>29</v>
      </c>
      <c r="Z2236" s="17" t="s">
        <v>29</v>
      </c>
      <c r="AA2236" s="17" t="s">
        <v>29</v>
      </c>
      <c r="AB2236" s="17" t="s">
        <v>29</v>
      </c>
    </row>
    <row r="2237" spans="1:28" x14ac:dyDescent="0.35">
      <c r="A2237" s="38" t="s">
        <v>1038</v>
      </c>
      <c r="B2237" s="7" t="s">
        <v>845</v>
      </c>
      <c r="C2237" s="8"/>
      <c r="D2237" s="8"/>
      <c r="E2237" s="8"/>
      <c r="F2237" s="8"/>
      <c r="G2237" s="8"/>
      <c r="H2237" s="8"/>
      <c r="I2237" s="8"/>
      <c r="J2237" s="8"/>
      <c r="K2237" s="8"/>
      <c r="L2237" s="8"/>
      <c r="M2237" s="8"/>
      <c r="N2237" s="8"/>
      <c r="O2237" s="8"/>
      <c r="P2237" s="8"/>
      <c r="Q2237" s="8"/>
      <c r="R2237" s="8"/>
      <c r="S2237" s="8"/>
      <c r="T2237" s="8"/>
      <c r="U2237" s="8"/>
      <c r="V2237" s="8"/>
      <c r="W2237" s="8"/>
      <c r="X2237" s="8"/>
      <c r="Y2237" s="8"/>
      <c r="Z2237" s="8"/>
    </row>
    <row r="2238" spans="1:28" x14ac:dyDescent="0.35">
      <c r="A2238" s="36"/>
      <c r="B2238" s="8"/>
      <c r="C2238" s="7" t="s">
        <v>535</v>
      </c>
      <c r="D2238" s="15" t="s">
        <v>68</v>
      </c>
      <c r="E2238" s="9">
        <f>950000-581411.09</f>
        <v>368588.91000000003</v>
      </c>
      <c r="F2238" s="9">
        <v>270760</v>
      </c>
      <c r="G2238" s="8"/>
      <c r="H2238" s="9">
        <f t="shared" ref="H2238:H2248" si="359">F2238+G2238</f>
        <v>270760</v>
      </c>
      <c r="I2238" s="8"/>
      <c r="J2238" s="9">
        <f t="shared" ref="J2238:J2248" si="360">H2238+I2238</f>
        <v>270760</v>
      </c>
      <c r="K2238" s="9">
        <v>97828.91</v>
      </c>
      <c r="L2238" s="8"/>
      <c r="M2238" s="9">
        <f>+H2238+L2238</f>
        <v>270760</v>
      </c>
      <c r="N2238" s="8">
        <v>97828.91</v>
      </c>
      <c r="O2238" s="9"/>
      <c r="P2238" s="9">
        <f>+N2238+O2238</f>
        <v>97828.91</v>
      </c>
      <c r="Q2238" s="9">
        <f t="shared" ref="Q2238:Q2248" si="361">E2238-P2238</f>
        <v>270760</v>
      </c>
      <c r="R2238" s="8"/>
      <c r="S2238" s="8"/>
      <c r="T2238" s="8"/>
      <c r="U2238" s="18">
        <f t="shared" ref="U2238:U2248" si="362">+P2238+T2238</f>
        <v>97828.91</v>
      </c>
      <c r="V2238" s="17"/>
      <c r="W2238" s="17"/>
      <c r="X2238" s="9">
        <f t="shared" ref="X2238:X2248" si="363">+H2238+P2238</f>
        <v>368588.91000000003</v>
      </c>
      <c r="Y2238" s="8"/>
      <c r="Z2238" s="9">
        <f t="shared" ref="Z2238:Z2248" si="364">+E2238-X2238</f>
        <v>0</v>
      </c>
      <c r="AA2238" s="8">
        <f t="shared" ref="AA2238:AA2248" si="365">+M2238+U2238</f>
        <v>368588.91000000003</v>
      </c>
      <c r="AB2238" s="8">
        <f t="shared" ref="AB2238:AB2248" si="366">+E2238-AA2238</f>
        <v>0</v>
      </c>
    </row>
    <row r="2239" spans="1:28" x14ac:dyDescent="0.35">
      <c r="A2239" s="36"/>
      <c r="B2239" s="8"/>
      <c r="C2239" s="7" t="s">
        <v>535</v>
      </c>
      <c r="D2239" s="15" t="s">
        <v>54</v>
      </c>
      <c r="E2239" s="9">
        <f>645000-32250</f>
        <v>612750</v>
      </c>
      <c r="F2239" s="9">
        <v>612750</v>
      </c>
      <c r="G2239" s="8"/>
      <c r="H2239" s="9">
        <f t="shared" si="359"/>
        <v>612750</v>
      </c>
      <c r="I2239" s="8"/>
      <c r="J2239" s="9">
        <f t="shared" si="360"/>
        <v>612750</v>
      </c>
      <c r="K2239" s="8"/>
      <c r="L2239" s="8"/>
      <c r="M2239" s="9">
        <f t="shared" ref="M2239:M2248" si="367">+H2239+L2239</f>
        <v>612750</v>
      </c>
      <c r="N2239" s="8"/>
      <c r="O2239" s="9"/>
      <c r="P2239" s="9">
        <f t="shared" ref="P2239:P2248" si="368">+N2239+O2239</f>
        <v>0</v>
      </c>
      <c r="Q2239" s="9">
        <f t="shared" si="361"/>
        <v>612750</v>
      </c>
      <c r="R2239" s="8"/>
      <c r="S2239" s="8"/>
      <c r="T2239" s="8"/>
      <c r="U2239" s="18">
        <f t="shared" si="362"/>
        <v>0</v>
      </c>
      <c r="V2239" s="17"/>
      <c r="W2239" s="17"/>
      <c r="X2239" s="9">
        <f t="shared" si="363"/>
        <v>612750</v>
      </c>
      <c r="Y2239" s="8"/>
      <c r="Z2239" s="9">
        <f t="shared" si="364"/>
        <v>0</v>
      </c>
      <c r="AA2239" s="8">
        <f t="shared" si="365"/>
        <v>612750</v>
      </c>
      <c r="AB2239" s="8">
        <f t="shared" si="366"/>
        <v>0</v>
      </c>
    </row>
    <row r="2240" spans="1:28" x14ac:dyDescent="0.35">
      <c r="A2240" s="36"/>
      <c r="B2240" s="8"/>
      <c r="C2240" s="7" t="s">
        <v>846</v>
      </c>
      <c r="D2240" s="15" t="s">
        <v>54</v>
      </c>
      <c r="E2240" s="9">
        <v>955345.62</v>
      </c>
      <c r="F2240" s="8"/>
      <c r="G2240" s="8"/>
      <c r="H2240" s="9">
        <f t="shared" si="359"/>
        <v>0</v>
      </c>
      <c r="I2240" s="8"/>
      <c r="J2240" s="9">
        <f t="shared" si="360"/>
        <v>0</v>
      </c>
      <c r="K2240" s="9">
        <v>955345.62</v>
      </c>
      <c r="L2240" s="8"/>
      <c r="M2240" s="9">
        <f t="shared" si="367"/>
        <v>0</v>
      </c>
      <c r="N2240" s="8">
        <v>955345.62</v>
      </c>
      <c r="O2240" s="9"/>
      <c r="P2240" s="9">
        <f t="shared" si="368"/>
        <v>955345.62</v>
      </c>
      <c r="Q2240" s="9">
        <f t="shared" si="361"/>
        <v>0</v>
      </c>
      <c r="R2240" s="8"/>
      <c r="S2240" s="8"/>
      <c r="T2240" s="8"/>
      <c r="U2240" s="18">
        <f t="shared" si="362"/>
        <v>955345.62</v>
      </c>
      <c r="V2240" s="17"/>
      <c r="W2240" s="17"/>
      <c r="X2240" s="9">
        <f t="shared" si="363"/>
        <v>955345.62</v>
      </c>
      <c r="Y2240" s="8"/>
      <c r="Z2240" s="9">
        <f t="shared" si="364"/>
        <v>0</v>
      </c>
      <c r="AA2240" s="8">
        <f t="shared" si="365"/>
        <v>955345.62</v>
      </c>
      <c r="AB2240" s="8">
        <f t="shared" si="366"/>
        <v>0</v>
      </c>
    </row>
    <row r="2241" spans="1:28" x14ac:dyDescent="0.35">
      <c r="A2241" s="36"/>
      <c r="B2241" s="8"/>
      <c r="C2241" s="7" t="s">
        <v>545</v>
      </c>
      <c r="D2241" s="15" t="s">
        <v>54</v>
      </c>
      <c r="E2241" s="9">
        <v>2306106</v>
      </c>
      <c r="F2241" s="8"/>
      <c r="G2241" s="8"/>
      <c r="H2241" s="9">
        <f t="shared" si="359"/>
        <v>0</v>
      </c>
      <c r="I2241" s="8"/>
      <c r="J2241" s="9">
        <f t="shared" si="360"/>
        <v>0</v>
      </c>
      <c r="K2241" s="9">
        <v>2306106</v>
      </c>
      <c r="L2241" s="8"/>
      <c r="M2241" s="9">
        <f t="shared" si="367"/>
        <v>0</v>
      </c>
      <c r="N2241" s="8">
        <v>2306106</v>
      </c>
      <c r="O2241" s="9"/>
      <c r="P2241" s="9">
        <f t="shared" si="368"/>
        <v>2306106</v>
      </c>
      <c r="Q2241" s="9">
        <f t="shared" si="361"/>
        <v>0</v>
      </c>
      <c r="R2241" s="8"/>
      <c r="S2241" s="8"/>
      <c r="T2241" s="8"/>
      <c r="U2241" s="18">
        <f t="shared" si="362"/>
        <v>2306106</v>
      </c>
      <c r="V2241" s="17"/>
      <c r="W2241" s="17"/>
      <c r="X2241" s="9">
        <f t="shared" si="363"/>
        <v>2306106</v>
      </c>
      <c r="Y2241" s="8"/>
      <c r="Z2241" s="9">
        <f t="shared" si="364"/>
        <v>0</v>
      </c>
      <c r="AA2241" s="8">
        <f t="shared" si="365"/>
        <v>2306106</v>
      </c>
      <c r="AB2241" s="8">
        <f t="shared" si="366"/>
        <v>0</v>
      </c>
    </row>
    <row r="2242" spans="1:28" x14ac:dyDescent="0.35">
      <c r="A2242" s="36"/>
      <c r="B2242" s="8"/>
      <c r="C2242" s="7" t="s">
        <v>535</v>
      </c>
      <c r="D2242" s="15" t="s">
        <v>85</v>
      </c>
      <c r="E2242" s="9">
        <f>1224000-122400</f>
        <v>1101600</v>
      </c>
      <c r="F2242" s="9">
        <v>1101600</v>
      </c>
      <c r="G2242" s="8"/>
      <c r="H2242" s="9">
        <f t="shared" si="359"/>
        <v>1101600</v>
      </c>
      <c r="I2242" s="8"/>
      <c r="J2242" s="9">
        <f t="shared" si="360"/>
        <v>1101600</v>
      </c>
      <c r="K2242" s="8"/>
      <c r="L2242" s="8"/>
      <c r="M2242" s="9">
        <f t="shared" si="367"/>
        <v>1101600</v>
      </c>
      <c r="N2242" s="8"/>
      <c r="O2242" s="9"/>
      <c r="P2242" s="9">
        <f t="shared" si="368"/>
        <v>0</v>
      </c>
      <c r="Q2242" s="9">
        <f t="shared" si="361"/>
        <v>1101600</v>
      </c>
      <c r="R2242" s="8"/>
      <c r="S2242" s="8"/>
      <c r="T2242" s="8"/>
      <c r="U2242" s="18">
        <f t="shared" si="362"/>
        <v>0</v>
      </c>
      <c r="V2242" s="17"/>
      <c r="W2242" s="17"/>
      <c r="X2242" s="9">
        <f t="shared" si="363"/>
        <v>1101600</v>
      </c>
      <c r="Y2242" s="8"/>
      <c r="Z2242" s="9">
        <f t="shared" si="364"/>
        <v>0</v>
      </c>
      <c r="AA2242" s="8">
        <f t="shared" si="365"/>
        <v>1101600</v>
      </c>
      <c r="AB2242" s="8">
        <f t="shared" si="366"/>
        <v>0</v>
      </c>
    </row>
    <row r="2243" spans="1:28" x14ac:dyDescent="0.35">
      <c r="A2243" s="36"/>
      <c r="B2243" s="7" t="s">
        <v>806</v>
      </c>
      <c r="C2243" s="7" t="s">
        <v>535</v>
      </c>
      <c r="D2243" s="15" t="s">
        <v>108</v>
      </c>
      <c r="E2243" s="9">
        <f>2119090.91+2361791.35+3934925.06+2347208.23</f>
        <v>10763015.550000001</v>
      </c>
      <c r="F2243" s="9">
        <v>10763015.550000001</v>
      </c>
      <c r="G2243" s="8"/>
      <c r="H2243" s="9">
        <f t="shared" si="359"/>
        <v>10763015.550000001</v>
      </c>
      <c r="I2243" s="8"/>
      <c r="J2243" s="9">
        <f t="shared" si="360"/>
        <v>10763015.550000001</v>
      </c>
      <c r="K2243" s="8"/>
      <c r="L2243" s="8"/>
      <c r="M2243" s="9">
        <f t="shared" si="367"/>
        <v>10763015.550000001</v>
      </c>
      <c r="N2243" s="8"/>
      <c r="O2243" s="9"/>
      <c r="P2243" s="9">
        <f t="shared" si="368"/>
        <v>0</v>
      </c>
      <c r="Q2243" s="9">
        <f t="shared" si="361"/>
        <v>10763015.550000001</v>
      </c>
      <c r="R2243" s="8"/>
      <c r="S2243" s="8"/>
      <c r="T2243" s="8"/>
      <c r="U2243" s="18">
        <f t="shared" si="362"/>
        <v>0</v>
      </c>
      <c r="V2243" s="17"/>
      <c r="W2243" s="17"/>
      <c r="X2243" s="9">
        <f t="shared" si="363"/>
        <v>10763015.550000001</v>
      </c>
      <c r="Y2243" s="8"/>
      <c r="Z2243" s="9">
        <f t="shared" si="364"/>
        <v>0</v>
      </c>
      <c r="AA2243" s="8">
        <f t="shared" si="365"/>
        <v>10763015.550000001</v>
      </c>
      <c r="AB2243" s="8">
        <f t="shared" si="366"/>
        <v>0</v>
      </c>
    </row>
    <row r="2244" spans="1:28" x14ac:dyDescent="0.35">
      <c r="A2244" s="36"/>
      <c r="B2244" s="8"/>
      <c r="C2244" s="7" t="s">
        <v>847</v>
      </c>
      <c r="D2244" s="15" t="s">
        <v>108</v>
      </c>
      <c r="E2244" s="9">
        <f>200000+113600</f>
        <v>313600</v>
      </c>
      <c r="F2244" s="9">
        <v>313600</v>
      </c>
      <c r="G2244" s="8"/>
      <c r="H2244" s="9">
        <f t="shared" si="359"/>
        <v>313600</v>
      </c>
      <c r="I2244" s="8"/>
      <c r="J2244" s="9">
        <f t="shared" si="360"/>
        <v>313600</v>
      </c>
      <c r="K2244" s="8"/>
      <c r="L2244" s="8"/>
      <c r="M2244" s="9">
        <f t="shared" si="367"/>
        <v>313600</v>
      </c>
      <c r="N2244" s="8"/>
      <c r="O2244" s="9"/>
      <c r="P2244" s="9">
        <f t="shared" si="368"/>
        <v>0</v>
      </c>
      <c r="Q2244" s="9">
        <f t="shared" si="361"/>
        <v>313600</v>
      </c>
      <c r="R2244" s="8"/>
      <c r="S2244" s="8"/>
      <c r="T2244" s="8"/>
      <c r="U2244" s="18">
        <f t="shared" si="362"/>
        <v>0</v>
      </c>
      <c r="V2244" s="17"/>
      <c r="W2244" s="17"/>
      <c r="X2244" s="9">
        <f t="shared" si="363"/>
        <v>313600</v>
      </c>
      <c r="Y2244" s="8"/>
      <c r="Z2244" s="9">
        <f t="shared" si="364"/>
        <v>0</v>
      </c>
      <c r="AA2244" s="8">
        <f t="shared" si="365"/>
        <v>313600</v>
      </c>
      <c r="AB2244" s="8">
        <f t="shared" si="366"/>
        <v>0</v>
      </c>
    </row>
    <row r="2245" spans="1:28" x14ac:dyDescent="0.35">
      <c r="A2245" s="36"/>
      <c r="B2245" s="8"/>
      <c r="C2245" s="7" t="s">
        <v>535</v>
      </c>
      <c r="D2245" s="15" t="s">
        <v>60</v>
      </c>
      <c r="E2245" s="9">
        <v>1256224.27</v>
      </c>
      <c r="F2245" s="9">
        <v>1256224.27</v>
      </c>
      <c r="G2245" s="8"/>
      <c r="H2245" s="9">
        <f t="shared" si="359"/>
        <v>1256224.27</v>
      </c>
      <c r="I2245" s="8"/>
      <c r="J2245" s="9">
        <f t="shared" si="360"/>
        <v>1256224.27</v>
      </c>
      <c r="K2245" s="8"/>
      <c r="L2245" s="8"/>
      <c r="M2245" s="9">
        <f t="shared" si="367"/>
        <v>1256224.27</v>
      </c>
      <c r="N2245" s="8"/>
      <c r="O2245" s="9"/>
      <c r="P2245" s="9">
        <f t="shared" si="368"/>
        <v>0</v>
      </c>
      <c r="Q2245" s="9">
        <f t="shared" si="361"/>
        <v>1256224.27</v>
      </c>
      <c r="R2245" s="8"/>
      <c r="S2245" s="8"/>
      <c r="T2245" s="8"/>
      <c r="U2245" s="18">
        <f t="shared" si="362"/>
        <v>0</v>
      </c>
      <c r="V2245" s="17"/>
      <c r="W2245" s="17"/>
      <c r="X2245" s="9">
        <f t="shared" si="363"/>
        <v>1256224.27</v>
      </c>
      <c r="Y2245" s="8"/>
      <c r="Z2245" s="9">
        <f t="shared" si="364"/>
        <v>0</v>
      </c>
      <c r="AA2245" s="8">
        <f t="shared" si="365"/>
        <v>1256224.27</v>
      </c>
      <c r="AB2245" s="8">
        <f t="shared" si="366"/>
        <v>0</v>
      </c>
    </row>
    <row r="2246" spans="1:28" x14ac:dyDescent="0.35">
      <c r="A2246" s="36"/>
      <c r="B2246" s="8"/>
      <c r="C2246" s="7" t="s">
        <v>535</v>
      </c>
      <c r="D2246" s="15" t="s">
        <v>73</v>
      </c>
      <c r="E2246" s="9">
        <v>3005000</v>
      </c>
      <c r="F2246" s="9">
        <v>3005000</v>
      </c>
      <c r="G2246" s="8"/>
      <c r="H2246" s="9">
        <f t="shared" si="359"/>
        <v>3005000</v>
      </c>
      <c r="I2246" s="8"/>
      <c r="J2246" s="9">
        <f t="shared" si="360"/>
        <v>3005000</v>
      </c>
      <c r="K2246" s="8"/>
      <c r="L2246" s="8"/>
      <c r="M2246" s="9">
        <f t="shared" si="367"/>
        <v>3005000</v>
      </c>
      <c r="N2246" s="8"/>
      <c r="O2246" s="9"/>
      <c r="P2246" s="9">
        <f t="shared" si="368"/>
        <v>0</v>
      </c>
      <c r="Q2246" s="9">
        <f t="shared" si="361"/>
        <v>3005000</v>
      </c>
      <c r="R2246" s="8"/>
      <c r="S2246" s="8"/>
      <c r="T2246" s="8"/>
      <c r="U2246" s="18">
        <f t="shared" si="362"/>
        <v>0</v>
      </c>
      <c r="V2246" s="17"/>
      <c r="W2246" s="17"/>
      <c r="X2246" s="9">
        <f t="shared" si="363"/>
        <v>3005000</v>
      </c>
      <c r="Y2246" s="8"/>
      <c r="Z2246" s="9">
        <f t="shared" si="364"/>
        <v>0</v>
      </c>
      <c r="AA2246" s="8">
        <f t="shared" si="365"/>
        <v>3005000</v>
      </c>
      <c r="AB2246" s="8">
        <f t="shared" si="366"/>
        <v>0</v>
      </c>
    </row>
    <row r="2247" spans="1:28" x14ac:dyDescent="0.35">
      <c r="A2247" s="36"/>
      <c r="B2247" s="8"/>
      <c r="C2247" s="7" t="s">
        <v>535</v>
      </c>
      <c r="D2247" s="15" t="s">
        <v>61</v>
      </c>
      <c r="E2247" s="11">
        <v>914189</v>
      </c>
      <c r="F2247" s="11">
        <v>914189</v>
      </c>
      <c r="G2247" s="8"/>
      <c r="H2247" s="9">
        <f t="shared" si="359"/>
        <v>914189</v>
      </c>
      <c r="I2247" s="8"/>
      <c r="J2247" s="9">
        <f t="shared" si="360"/>
        <v>914189</v>
      </c>
      <c r="K2247" s="8"/>
      <c r="L2247" s="8"/>
      <c r="M2247" s="9">
        <f t="shared" si="367"/>
        <v>914189</v>
      </c>
      <c r="N2247" s="8"/>
      <c r="O2247" s="9"/>
      <c r="P2247" s="9">
        <f t="shared" si="368"/>
        <v>0</v>
      </c>
      <c r="Q2247" s="9">
        <f t="shared" si="361"/>
        <v>914189</v>
      </c>
      <c r="R2247" s="8"/>
      <c r="S2247" s="8"/>
      <c r="T2247" s="8"/>
      <c r="U2247" s="18">
        <f t="shared" si="362"/>
        <v>0</v>
      </c>
      <c r="V2247" s="17"/>
      <c r="W2247" s="17"/>
      <c r="X2247" s="9">
        <f t="shared" si="363"/>
        <v>914189</v>
      </c>
      <c r="Y2247" s="8"/>
      <c r="Z2247" s="9">
        <f t="shared" si="364"/>
        <v>0</v>
      </c>
      <c r="AA2247" s="8">
        <f t="shared" si="365"/>
        <v>914189</v>
      </c>
      <c r="AB2247" s="8">
        <f t="shared" si="366"/>
        <v>0</v>
      </c>
    </row>
    <row r="2248" spans="1:28" x14ac:dyDescent="0.35">
      <c r="A2248" s="36"/>
      <c r="B2248" s="8"/>
      <c r="C2248" s="7" t="s">
        <v>606</v>
      </c>
      <c r="D2248" s="8"/>
      <c r="E2248" s="9">
        <v>2500000</v>
      </c>
      <c r="F2248" s="9">
        <v>2500000</v>
      </c>
      <c r="G2248" s="8"/>
      <c r="H2248" s="9">
        <f t="shared" si="359"/>
        <v>2500000</v>
      </c>
      <c r="I2248" s="8"/>
      <c r="J2248" s="9">
        <f t="shared" si="360"/>
        <v>2500000</v>
      </c>
      <c r="K2248" s="8"/>
      <c r="L2248" s="8"/>
      <c r="M2248" s="9">
        <f t="shared" si="367"/>
        <v>2500000</v>
      </c>
      <c r="N2248" s="8"/>
      <c r="O2248" s="9"/>
      <c r="P2248" s="9">
        <f t="shared" si="368"/>
        <v>0</v>
      </c>
      <c r="Q2248" s="9">
        <f t="shared" si="361"/>
        <v>2500000</v>
      </c>
      <c r="R2248" s="8"/>
      <c r="S2248" s="8"/>
      <c r="T2248" s="8"/>
      <c r="U2248" s="18">
        <f t="shared" si="362"/>
        <v>0</v>
      </c>
      <c r="V2248" s="17"/>
      <c r="W2248" s="17"/>
      <c r="X2248" s="9">
        <f t="shared" si="363"/>
        <v>2500000</v>
      </c>
      <c r="Y2248" s="8"/>
      <c r="Z2248" s="9">
        <f t="shared" si="364"/>
        <v>0</v>
      </c>
      <c r="AA2248" s="8">
        <f t="shared" si="365"/>
        <v>2500000</v>
      </c>
      <c r="AB2248" s="8">
        <f t="shared" si="366"/>
        <v>0</v>
      </c>
    </row>
    <row r="2249" spans="1:28" x14ac:dyDescent="0.35">
      <c r="A2249" s="36"/>
      <c r="B2249" s="8"/>
      <c r="C2249" s="8"/>
      <c r="D2249" s="8"/>
      <c r="E2249" s="17" t="s">
        <v>29</v>
      </c>
      <c r="F2249" s="17" t="s">
        <v>29</v>
      </c>
      <c r="G2249" s="17" t="s">
        <v>29</v>
      </c>
      <c r="H2249" s="17" t="s">
        <v>29</v>
      </c>
      <c r="I2249" s="17" t="s">
        <v>29</v>
      </c>
      <c r="J2249" s="17" t="s">
        <v>29</v>
      </c>
      <c r="K2249" s="17" t="s">
        <v>29</v>
      </c>
      <c r="L2249" s="17" t="s">
        <v>29</v>
      </c>
      <c r="M2249" s="17" t="s">
        <v>29</v>
      </c>
      <c r="N2249" s="17" t="s">
        <v>29</v>
      </c>
      <c r="O2249" s="17" t="s">
        <v>29</v>
      </c>
      <c r="P2249" s="17" t="s">
        <v>29</v>
      </c>
      <c r="Q2249" s="17" t="s">
        <v>29</v>
      </c>
      <c r="R2249" s="17" t="s">
        <v>29</v>
      </c>
      <c r="S2249" s="17" t="s">
        <v>29</v>
      </c>
      <c r="T2249" s="17" t="s">
        <v>29</v>
      </c>
      <c r="U2249" s="17" t="s">
        <v>29</v>
      </c>
      <c r="V2249" s="17" t="s">
        <v>29</v>
      </c>
      <c r="W2249" s="17" t="s">
        <v>29</v>
      </c>
      <c r="X2249" s="17" t="s">
        <v>29</v>
      </c>
      <c r="Y2249" s="17" t="s">
        <v>29</v>
      </c>
      <c r="Z2249" s="17" t="s">
        <v>29</v>
      </c>
      <c r="AA2249" s="17" t="s">
        <v>29</v>
      </c>
      <c r="AB2249" s="17" t="s">
        <v>29</v>
      </c>
    </row>
    <row r="2250" spans="1:28" x14ac:dyDescent="0.35">
      <c r="A2250" s="36"/>
      <c r="B2250" s="8"/>
      <c r="C2250" s="8"/>
      <c r="D2250" s="8"/>
      <c r="E2250" s="9">
        <f t="shared" ref="E2250:Q2250" si="369">SUM(E2238:E2249)</f>
        <v>24096419.350000001</v>
      </c>
      <c r="F2250" s="9">
        <f t="shared" si="369"/>
        <v>20737138.82</v>
      </c>
      <c r="G2250" s="9">
        <f t="shared" si="369"/>
        <v>0</v>
      </c>
      <c r="H2250" s="9">
        <f t="shared" si="369"/>
        <v>20737138.82</v>
      </c>
      <c r="I2250" s="9">
        <f t="shared" si="369"/>
        <v>0</v>
      </c>
      <c r="J2250" s="9">
        <f t="shared" si="369"/>
        <v>20737138.82</v>
      </c>
      <c r="K2250" s="9">
        <f t="shared" si="369"/>
        <v>3359280.5300000003</v>
      </c>
      <c r="L2250" s="9">
        <f t="shared" si="369"/>
        <v>0</v>
      </c>
      <c r="M2250" s="9">
        <f t="shared" si="369"/>
        <v>20737138.82</v>
      </c>
      <c r="N2250" s="9">
        <f t="shared" si="369"/>
        <v>3359280.5300000003</v>
      </c>
      <c r="O2250" s="9">
        <f t="shared" si="369"/>
        <v>0</v>
      </c>
      <c r="P2250" s="9">
        <f t="shared" si="369"/>
        <v>3359280.5300000003</v>
      </c>
      <c r="Q2250" s="9">
        <f t="shared" si="369"/>
        <v>20737138.82</v>
      </c>
      <c r="R2250" s="8"/>
      <c r="S2250" s="8"/>
      <c r="T2250" s="9">
        <f t="shared" ref="T2250:Z2250" si="370">SUM(T2238:T2249)</f>
        <v>0</v>
      </c>
      <c r="U2250" s="9">
        <f t="shared" si="370"/>
        <v>3359280.5300000003</v>
      </c>
      <c r="V2250" s="9">
        <f t="shared" si="370"/>
        <v>0</v>
      </c>
      <c r="W2250" s="9">
        <f t="shared" si="370"/>
        <v>0</v>
      </c>
      <c r="X2250" s="9">
        <f t="shared" si="370"/>
        <v>24096419.350000001</v>
      </c>
      <c r="Y2250" s="9">
        <f t="shared" si="370"/>
        <v>0</v>
      </c>
      <c r="Z2250" s="9">
        <f t="shared" si="370"/>
        <v>0</v>
      </c>
      <c r="AA2250" s="9">
        <f>SUM(AA2238:AA2249)</f>
        <v>24096419.350000001</v>
      </c>
      <c r="AB2250" s="9">
        <f>SUM(AB2238:AB2249)</f>
        <v>0</v>
      </c>
    </row>
    <row r="2251" spans="1:28" x14ac:dyDescent="0.35">
      <c r="A2251" s="36"/>
      <c r="B2251" s="8"/>
      <c r="C2251" s="8"/>
      <c r="D2251" s="8"/>
      <c r="E2251" s="17" t="s">
        <v>29</v>
      </c>
      <c r="F2251" s="17" t="s">
        <v>29</v>
      </c>
      <c r="G2251" s="17" t="s">
        <v>29</v>
      </c>
      <c r="H2251" s="17" t="s">
        <v>29</v>
      </c>
      <c r="I2251" s="17" t="s">
        <v>29</v>
      </c>
      <c r="J2251" s="17" t="s">
        <v>29</v>
      </c>
      <c r="K2251" s="17" t="s">
        <v>29</v>
      </c>
      <c r="L2251" s="17" t="s">
        <v>29</v>
      </c>
      <c r="M2251" s="17" t="s">
        <v>29</v>
      </c>
      <c r="N2251" s="17" t="s">
        <v>29</v>
      </c>
      <c r="O2251" s="17" t="s">
        <v>29</v>
      </c>
      <c r="P2251" s="17" t="s">
        <v>29</v>
      </c>
      <c r="Q2251" s="17" t="s">
        <v>29</v>
      </c>
      <c r="R2251" s="17" t="s">
        <v>29</v>
      </c>
      <c r="S2251" s="17" t="s">
        <v>29</v>
      </c>
      <c r="T2251" s="17" t="s">
        <v>29</v>
      </c>
      <c r="U2251" s="17" t="s">
        <v>29</v>
      </c>
      <c r="V2251" s="17" t="s">
        <v>29</v>
      </c>
      <c r="W2251" s="17" t="s">
        <v>29</v>
      </c>
      <c r="X2251" s="17" t="s">
        <v>29</v>
      </c>
      <c r="Y2251" s="17" t="s">
        <v>29</v>
      </c>
      <c r="Z2251" s="17" t="s">
        <v>29</v>
      </c>
      <c r="AA2251" s="17" t="s">
        <v>29</v>
      </c>
      <c r="AB2251" s="17" t="s">
        <v>29</v>
      </c>
    </row>
    <row r="2252" spans="1:28" x14ac:dyDescent="0.35">
      <c r="A2252" s="38" t="s">
        <v>1039</v>
      </c>
      <c r="B2252" s="7" t="s">
        <v>848</v>
      </c>
      <c r="C2252" s="8"/>
      <c r="D2252" s="8"/>
      <c r="E2252" s="8"/>
      <c r="F2252" s="8"/>
      <c r="G2252" s="8"/>
      <c r="H2252" s="8"/>
      <c r="I2252" s="8"/>
      <c r="J2252" s="8"/>
      <c r="K2252" s="8"/>
      <c r="L2252" s="8"/>
      <c r="M2252" s="8"/>
      <c r="N2252" s="8"/>
      <c r="O2252" s="8"/>
      <c r="P2252" s="8"/>
      <c r="Q2252" s="8"/>
      <c r="R2252" s="8"/>
      <c r="S2252" s="8"/>
      <c r="T2252" s="8"/>
      <c r="U2252" s="8"/>
      <c r="V2252" s="8"/>
      <c r="W2252" s="8"/>
      <c r="X2252" s="8"/>
      <c r="Y2252" s="8"/>
      <c r="Z2252" s="8"/>
    </row>
    <row r="2253" spans="1:28" x14ac:dyDescent="0.35">
      <c r="A2253" s="36"/>
      <c r="B2253" s="8"/>
      <c r="C2253" s="7" t="s">
        <v>535</v>
      </c>
      <c r="D2253" s="15" t="s">
        <v>76</v>
      </c>
      <c r="E2253" s="9">
        <v>4789709.49</v>
      </c>
      <c r="F2253" s="9">
        <f>3714086.2+811325.63</f>
        <v>4525411.83</v>
      </c>
      <c r="G2253" s="8"/>
      <c r="H2253" s="9">
        <f t="shared" ref="H2253:H2275" si="371">F2253+G2253</f>
        <v>4525411.83</v>
      </c>
      <c r="I2253" s="8"/>
      <c r="J2253" s="9">
        <f t="shared" ref="J2253:J2275" si="372">H2253+I2253</f>
        <v>4525411.83</v>
      </c>
      <c r="K2253" s="9">
        <v>264297.65999999997</v>
      </c>
      <c r="L2253" s="8"/>
      <c r="M2253" s="9">
        <f>+H2253+L2253</f>
        <v>4525411.83</v>
      </c>
      <c r="N2253" s="8">
        <v>264297.65999999997</v>
      </c>
      <c r="O2253" s="9"/>
      <c r="P2253" s="9">
        <f>+N2253+O2253</f>
        <v>264297.65999999997</v>
      </c>
      <c r="Q2253" s="9">
        <f t="shared" ref="Q2253:Q2275" si="373">E2253-P2253</f>
        <v>4525411.83</v>
      </c>
      <c r="R2253" s="8"/>
      <c r="S2253" s="8"/>
      <c r="T2253" s="8"/>
      <c r="U2253" s="18">
        <f t="shared" ref="U2253:U2275" si="374">+P2253+T2253</f>
        <v>264297.65999999997</v>
      </c>
      <c r="V2253" s="17"/>
      <c r="W2253" s="17"/>
      <c r="X2253" s="9">
        <f t="shared" ref="X2253:X2275" si="375">+H2253+P2253</f>
        <v>4789709.49</v>
      </c>
      <c r="Y2253" s="8"/>
      <c r="Z2253" s="9">
        <f t="shared" ref="Z2253:Z2275" si="376">+E2253-X2253</f>
        <v>0</v>
      </c>
      <c r="AA2253" s="8">
        <f t="shared" ref="AA2253:AA2275" si="377">+M2253+U2253</f>
        <v>4789709.49</v>
      </c>
      <c r="AB2253" s="8">
        <f t="shared" ref="AB2253:AB2275" si="378">+E2253-AA2253</f>
        <v>0</v>
      </c>
    </row>
    <row r="2254" spans="1:28" x14ac:dyDescent="0.35">
      <c r="A2254" s="36"/>
      <c r="B2254" s="8"/>
      <c r="C2254" s="7" t="s">
        <v>535</v>
      </c>
      <c r="D2254" s="15" t="s">
        <v>849</v>
      </c>
      <c r="E2254" s="9">
        <v>6054326.2199999997</v>
      </c>
      <c r="F2254" s="9">
        <v>6054326.2199999997</v>
      </c>
      <c r="G2254" s="8"/>
      <c r="H2254" s="9">
        <f t="shared" si="371"/>
        <v>6054326.2199999997</v>
      </c>
      <c r="I2254" s="8"/>
      <c r="J2254" s="9">
        <f t="shared" si="372"/>
        <v>6054326.2199999997</v>
      </c>
      <c r="K2254" s="8"/>
      <c r="L2254" s="8"/>
      <c r="M2254" s="9">
        <f t="shared" ref="M2254:M2275" si="379">+H2254+L2254</f>
        <v>6054326.2199999997</v>
      </c>
      <c r="N2254" s="8"/>
      <c r="O2254" s="9"/>
      <c r="P2254" s="9">
        <f t="shared" ref="P2254:P2275" si="380">+N2254+O2254</f>
        <v>0</v>
      </c>
      <c r="Q2254" s="9">
        <f t="shared" si="373"/>
        <v>6054326.2199999997</v>
      </c>
      <c r="R2254" s="8"/>
      <c r="S2254" s="8"/>
      <c r="T2254" s="8"/>
      <c r="U2254" s="18">
        <f t="shared" si="374"/>
        <v>0</v>
      </c>
      <c r="V2254" s="17"/>
      <c r="W2254" s="17"/>
      <c r="X2254" s="9">
        <f t="shared" si="375"/>
        <v>6054326.2199999997</v>
      </c>
      <c r="Y2254" s="8"/>
      <c r="Z2254" s="9">
        <f t="shared" si="376"/>
        <v>0</v>
      </c>
      <c r="AA2254" s="8">
        <f t="shared" si="377"/>
        <v>6054326.2199999997</v>
      </c>
      <c r="AB2254" s="8">
        <f t="shared" si="378"/>
        <v>0</v>
      </c>
    </row>
    <row r="2255" spans="1:28" x14ac:dyDescent="0.35">
      <c r="A2255" s="36"/>
      <c r="B2255" s="8"/>
      <c r="C2255" s="7" t="s">
        <v>817</v>
      </c>
      <c r="D2255" s="15" t="s">
        <v>166</v>
      </c>
      <c r="E2255" s="9">
        <v>2071263.44</v>
      </c>
      <c r="F2255" s="9">
        <v>2071263.44</v>
      </c>
      <c r="G2255" s="8"/>
      <c r="H2255" s="9">
        <f t="shared" si="371"/>
        <v>2071263.44</v>
      </c>
      <c r="I2255" s="8"/>
      <c r="J2255" s="9">
        <f t="shared" si="372"/>
        <v>2071263.44</v>
      </c>
      <c r="K2255" s="8"/>
      <c r="L2255" s="8"/>
      <c r="M2255" s="9">
        <f t="shared" si="379"/>
        <v>2071263.44</v>
      </c>
      <c r="N2255" s="8"/>
      <c r="O2255" s="9"/>
      <c r="P2255" s="9">
        <f t="shared" si="380"/>
        <v>0</v>
      </c>
      <c r="Q2255" s="9">
        <f t="shared" si="373"/>
        <v>2071263.44</v>
      </c>
      <c r="R2255" s="8"/>
      <c r="S2255" s="8"/>
      <c r="T2255" s="8"/>
      <c r="U2255" s="18">
        <f t="shared" si="374"/>
        <v>0</v>
      </c>
      <c r="V2255" s="17"/>
      <c r="W2255" s="17"/>
      <c r="X2255" s="9">
        <f t="shared" si="375"/>
        <v>2071263.44</v>
      </c>
      <c r="Y2255" s="8"/>
      <c r="Z2255" s="9">
        <f t="shared" si="376"/>
        <v>0</v>
      </c>
      <c r="AA2255" s="8">
        <f t="shared" si="377"/>
        <v>2071263.44</v>
      </c>
      <c r="AB2255" s="8">
        <f t="shared" si="378"/>
        <v>0</v>
      </c>
    </row>
    <row r="2256" spans="1:28" x14ac:dyDescent="0.35">
      <c r="A2256" s="36"/>
      <c r="B2256" s="8"/>
      <c r="C2256" s="7" t="s">
        <v>535</v>
      </c>
      <c r="D2256" s="15" t="s">
        <v>78</v>
      </c>
      <c r="E2256" s="9">
        <v>651650</v>
      </c>
      <c r="F2256" s="9">
        <v>651650</v>
      </c>
      <c r="G2256" s="8"/>
      <c r="H2256" s="9">
        <f t="shared" si="371"/>
        <v>651650</v>
      </c>
      <c r="I2256" s="8"/>
      <c r="J2256" s="9">
        <f t="shared" si="372"/>
        <v>651650</v>
      </c>
      <c r="K2256" s="8"/>
      <c r="L2256" s="8"/>
      <c r="M2256" s="9">
        <f t="shared" si="379"/>
        <v>651650</v>
      </c>
      <c r="N2256" s="8"/>
      <c r="O2256" s="9"/>
      <c r="P2256" s="9">
        <f t="shared" si="380"/>
        <v>0</v>
      </c>
      <c r="Q2256" s="9">
        <f t="shared" si="373"/>
        <v>651650</v>
      </c>
      <c r="R2256" s="8"/>
      <c r="S2256" s="8"/>
      <c r="T2256" s="8"/>
      <c r="U2256" s="18">
        <f t="shared" si="374"/>
        <v>0</v>
      </c>
      <c r="V2256" s="17"/>
      <c r="W2256" s="17"/>
      <c r="X2256" s="9">
        <f t="shared" si="375"/>
        <v>651650</v>
      </c>
      <c r="Y2256" s="8"/>
      <c r="Z2256" s="9">
        <f t="shared" si="376"/>
        <v>0</v>
      </c>
      <c r="AA2256" s="8">
        <f t="shared" si="377"/>
        <v>651650</v>
      </c>
      <c r="AB2256" s="8">
        <f t="shared" si="378"/>
        <v>0</v>
      </c>
    </row>
    <row r="2257" spans="1:28" x14ac:dyDescent="0.35">
      <c r="A2257" s="36"/>
      <c r="B2257" s="8"/>
      <c r="C2257" s="7" t="s">
        <v>535</v>
      </c>
      <c r="D2257" s="15" t="s">
        <v>68</v>
      </c>
      <c r="E2257" s="9">
        <f>4003300-3954300</f>
        <v>49000</v>
      </c>
      <c r="F2257" s="9">
        <v>49000</v>
      </c>
      <c r="G2257" s="8"/>
      <c r="H2257" s="9">
        <f t="shared" si="371"/>
        <v>49000</v>
      </c>
      <c r="I2257" s="8"/>
      <c r="J2257" s="9">
        <f t="shared" si="372"/>
        <v>49000</v>
      </c>
      <c r="K2257" s="8"/>
      <c r="L2257" s="8"/>
      <c r="M2257" s="9">
        <f t="shared" si="379"/>
        <v>49000</v>
      </c>
      <c r="N2257" s="8"/>
      <c r="O2257" s="9"/>
      <c r="P2257" s="9">
        <f t="shared" si="380"/>
        <v>0</v>
      </c>
      <c r="Q2257" s="9">
        <f t="shared" si="373"/>
        <v>49000</v>
      </c>
      <c r="R2257" s="8"/>
      <c r="S2257" s="8"/>
      <c r="T2257" s="8"/>
      <c r="U2257" s="18">
        <f t="shared" si="374"/>
        <v>0</v>
      </c>
      <c r="V2257" s="17"/>
      <c r="W2257" s="17"/>
      <c r="X2257" s="9">
        <f t="shared" si="375"/>
        <v>49000</v>
      </c>
      <c r="Y2257" s="8"/>
      <c r="Z2257" s="9">
        <f t="shared" si="376"/>
        <v>0</v>
      </c>
      <c r="AA2257" s="8">
        <f t="shared" si="377"/>
        <v>49000</v>
      </c>
      <c r="AB2257" s="8">
        <f t="shared" si="378"/>
        <v>0</v>
      </c>
    </row>
    <row r="2258" spans="1:28" x14ac:dyDescent="0.35">
      <c r="A2258" s="36"/>
      <c r="B2258" s="8"/>
      <c r="C2258" s="7" t="s">
        <v>539</v>
      </c>
      <c r="D2258" s="15" t="s">
        <v>68</v>
      </c>
      <c r="E2258" s="9">
        <f>598793+495261.09</f>
        <v>1094054.0900000001</v>
      </c>
      <c r="F2258" s="8"/>
      <c r="G2258" s="8"/>
      <c r="H2258" s="9">
        <f t="shared" si="371"/>
        <v>0</v>
      </c>
      <c r="I2258" s="8"/>
      <c r="J2258" s="9">
        <f t="shared" si="372"/>
        <v>0</v>
      </c>
      <c r="K2258" s="9">
        <f>598793+495261.09</f>
        <v>1094054.0900000001</v>
      </c>
      <c r="L2258" s="8"/>
      <c r="M2258" s="9">
        <f t="shared" si="379"/>
        <v>0</v>
      </c>
      <c r="N2258" s="8">
        <v>1094054.0900000001</v>
      </c>
      <c r="O2258" s="9"/>
      <c r="P2258" s="9">
        <f t="shared" si="380"/>
        <v>1094054.0900000001</v>
      </c>
      <c r="Q2258" s="9">
        <f t="shared" si="373"/>
        <v>0</v>
      </c>
      <c r="R2258" s="8"/>
      <c r="S2258" s="8"/>
      <c r="T2258" s="8"/>
      <c r="U2258" s="18">
        <f t="shared" si="374"/>
        <v>1094054.0900000001</v>
      </c>
      <c r="V2258" s="17"/>
      <c r="W2258" s="17"/>
      <c r="X2258" s="9">
        <f t="shared" si="375"/>
        <v>1094054.0900000001</v>
      </c>
      <c r="Y2258" s="8"/>
      <c r="Z2258" s="9">
        <f t="shared" si="376"/>
        <v>0</v>
      </c>
      <c r="AA2258" s="8">
        <f t="shared" si="377"/>
        <v>1094054.0900000001</v>
      </c>
      <c r="AB2258" s="8">
        <f t="shared" si="378"/>
        <v>0</v>
      </c>
    </row>
    <row r="2259" spans="1:28" x14ac:dyDescent="0.35">
      <c r="A2259" s="36"/>
      <c r="B2259" s="8"/>
      <c r="C2259" s="7" t="s">
        <v>545</v>
      </c>
      <c r="D2259" s="15" t="s">
        <v>54</v>
      </c>
      <c r="E2259" s="9">
        <v>570941</v>
      </c>
      <c r="F2259" s="8"/>
      <c r="G2259" s="8"/>
      <c r="H2259" s="9">
        <f t="shared" si="371"/>
        <v>0</v>
      </c>
      <c r="I2259" s="8"/>
      <c r="J2259" s="9">
        <f t="shared" si="372"/>
        <v>0</v>
      </c>
      <c r="K2259" s="9">
        <v>570941</v>
      </c>
      <c r="L2259" s="8"/>
      <c r="M2259" s="9">
        <f t="shared" si="379"/>
        <v>0</v>
      </c>
      <c r="N2259" s="8">
        <v>570941</v>
      </c>
      <c r="O2259" s="9"/>
      <c r="P2259" s="9">
        <f t="shared" si="380"/>
        <v>570941</v>
      </c>
      <c r="Q2259" s="9">
        <f t="shared" si="373"/>
        <v>0</v>
      </c>
      <c r="R2259" s="8"/>
      <c r="S2259" s="8"/>
      <c r="T2259" s="8"/>
      <c r="U2259" s="18">
        <f t="shared" si="374"/>
        <v>570941</v>
      </c>
      <c r="V2259" s="17"/>
      <c r="W2259" s="17"/>
      <c r="X2259" s="9">
        <f t="shared" si="375"/>
        <v>570941</v>
      </c>
      <c r="Y2259" s="8"/>
      <c r="Z2259" s="9">
        <f t="shared" si="376"/>
        <v>0</v>
      </c>
      <c r="AA2259" s="8">
        <f t="shared" si="377"/>
        <v>570941</v>
      </c>
      <c r="AB2259" s="8">
        <f t="shared" si="378"/>
        <v>0</v>
      </c>
    </row>
    <row r="2260" spans="1:28" x14ac:dyDescent="0.35">
      <c r="A2260" s="36"/>
      <c r="B2260" s="8"/>
      <c r="C2260" s="7" t="s">
        <v>850</v>
      </c>
      <c r="D2260" s="21" t="s">
        <v>54</v>
      </c>
      <c r="E2260" s="9">
        <f>2691000-134550</f>
        <v>2556450</v>
      </c>
      <c r="F2260" s="9">
        <f>351609.3+2000000+204840.7</f>
        <v>2556450</v>
      </c>
      <c r="G2260" s="8"/>
      <c r="H2260" s="9">
        <f t="shared" si="371"/>
        <v>2556450</v>
      </c>
      <c r="I2260" s="8"/>
      <c r="J2260" s="9">
        <f t="shared" si="372"/>
        <v>2556450</v>
      </c>
      <c r="K2260" s="8"/>
      <c r="L2260" s="8"/>
      <c r="M2260" s="9">
        <f t="shared" si="379"/>
        <v>2556450</v>
      </c>
      <c r="N2260" s="8"/>
      <c r="O2260" s="9"/>
      <c r="P2260" s="9">
        <f t="shared" si="380"/>
        <v>0</v>
      </c>
      <c r="Q2260" s="9">
        <f t="shared" si="373"/>
        <v>2556450</v>
      </c>
      <c r="R2260" s="8"/>
      <c r="S2260" s="8"/>
      <c r="T2260" s="8"/>
      <c r="U2260" s="18">
        <f t="shared" si="374"/>
        <v>0</v>
      </c>
      <c r="V2260" s="17"/>
      <c r="W2260" s="17"/>
      <c r="X2260" s="9">
        <f t="shared" si="375"/>
        <v>2556450</v>
      </c>
      <c r="Y2260" s="8"/>
      <c r="Z2260" s="9">
        <f t="shared" si="376"/>
        <v>0</v>
      </c>
      <c r="AA2260" s="8">
        <f t="shared" si="377"/>
        <v>2556450</v>
      </c>
      <c r="AB2260" s="8">
        <f t="shared" si="378"/>
        <v>0</v>
      </c>
    </row>
    <row r="2261" spans="1:28" x14ac:dyDescent="0.35">
      <c r="A2261" s="36"/>
      <c r="B2261" s="8"/>
      <c r="C2261" s="7" t="s">
        <v>851</v>
      </c>
      <c r="D2261" s="15" t="s">
        <v>54</v>
      </c>
      <c r="E2261" s="9">
        <f>2119000-105950</f>
        <v>2013050</v>
      </c>
      <c r="F2261" s="9">
        <v>792479</v>
      </c>
      <c r="G2261" s="8"/>
      <c r="H2261" s="9">
        <f t="shared" si="371"/>
        <v>792479</v>
      </c>
      <c r="I2261" s="8"/>
      <c r="J2261" s="9">
        <f t="shared" si="372"/>
        <v>792479</v>
      </c>
      <c r="K2261" s="9">
        <v>1220571</v>
      </c>
      <c r="L2261" s="8"/>
      <c r="M2261" s="9">
        <f t="shared" si="379"/>
        <v>792479</v>
      </c>
      <c r="N2261" s="8">
        <v>1220571</v>
      </c>
      <c r="O2261" s="9"/>
      <c r="P2261" s="9">
        <f t="shared" si="380"/>
        <v>1220571</v>
      </c>
      <c r="Q2261" s="9">
        <f t="shared" si="373"/>
        <v>792479</v>
      </c>
      <c r="R2261" s="8"/>
      <c r="S2261" s="8"/>
      <c r="T2261" s="8"/>
      <c r="U2261" s="18">
        <f t="shared" si="374"/>
        <v>1220571</v>
      </c>
      <c r="V2261" s="17"/>
      <c r="W2261" s="17"/>
      <c r="X2261" s="9">
        <f t="shared" si="375"/>
        <v>2013050</v>
      </c>
      <c r="Y2261" s="8"/>
      <c r="Z2261" s="9">
        <f t="shared" si="376"/>
        <v>0</v>
      </c>
      <c r="AA2261" s="8">
        <f t="shared" si="377"/>
        <v>2013050</v>
      </c>
      <c r="AB2261" s="8">
        <f t="shared" si="378"/>
        <v>0</v>
      </c>
    </row>
    <row r="2262" spans="1:28" x14ac:dyDescent="0.35">
      <c r="A2262" s="36"/>
      <c r="B2262" s="8"/>
      <c r="C2262" s="7" t="s">
        <v>852</v>
      </c>
      <c r="D2262" s="15" t="s">
        <v>54</v>
      </c>
      <c r="E2262" s="9">
        <f>5190000-259500-735670.66</f>
        <v>4194829.34</v>
      </c>
      <c r="F2262" s="9">
        <f>2000000+325168.34+1750661+119000</f>
        <v>4194829.34</v>
      </c>
      <c r="G2262" s="8"/>
      <c r="H2262" s="9">
        <f t="shared" si="371"/>
        <v>4194829.34</v>
      </c>
      <c r="I2262" s="8"/>
      <c r="J2262" s="9">
        <f t="shared" si="372"/>
        <v>4194829.34</v>
      </c>
      <c r="K2262" s="8"/>
      <c r="L2262" s="8"/>
      <c r="M2262" s="9">
        <f t="shared" si="379"/>
        <v>4194829.34</v>
      </c>
      <c r="N2262" s="8"/>
      <c r="O2262" s="9"/>
      <c r="P2262" s="9">
        <f t="shared" si="380"/>
        <v>0</v>
      </c>
      <c r="Q2262" s="9">
        <f t="shared" si="373"/>
        <v>4194829.34</v>
      </c>
      <c r="R2262" s="8"/>
      <c r="S2262" s="8"/>
      <c r="T2262" s="8"/>
      <c r="U2262" s="18">
        <f t="shared" si="374"/>
        <v>0</v>
      </c>
      <c r="V2262" s="17"/>
      <c r="W2262" s="17"/>
      <c r="X2262" s="9">
        <f t="shared" si="375"/>
        <v>4194829.34</v>
      </c>
      <c r="Y2262" s="8"/>
      <c r="Z2262" s="9">
        <f t="shared" si="376"/>
        <v>0</v>
      </c>
      <c r="AA2262" s="8">
        <f t="shared" si="377"/>
        <v>4194829.34</v>
      </c>
      <c r="AB2262" s="8">
        <f t="shared" si="378"/>
        <v>0</v>
      </c>
    </row>
    <row r="2263" spans="1:28" x14ac:dyDescent="0.35">
      <c r="A2263" s="36"/>
      <c r="B2263" s="8"/>
      <c r="C2263" s="7" t="s">
        <v>535</v>
      </c>
      <c r="D2263" s="15" t="s">
        <v>85</v>
      </c>
      <c r="E2263" s="9">
        <v>704478</v>
      </c>
      <c r="F2263" s="9">
        <v>704478</v>
      </c>
      <c r="G2263" s="8"/>
      <c r="H2263" s="9">
        <f t="shared" si="371"/>
        <v>704478</v>
      </c>
      <c r="I2263" s="8"/>
      <c r="J2263" s="9">
        <f t="shared" si="372"/>
        <v>704478</v>
      </c>
      <c r="K2263" s="8"/>
      <c r="L2263" s="8"/>
      <c r="M2263" s="9">
        <f t="shared" si="379"/>
        <v>704478</v>
      </c>
      <c r="N2263" s="8"/>
      <c r="O2263" s="9"/>
      <c r="P2263" s="9">
        <f t="shared" si="380"/>
        <v>0</v>
      </c>
      <c r="Q2263" s="9">
        <f t="shared" si="373"/>
        <v>704478</v>
      </c>
      <c r="R2263" s="8"/>
      <c r="S2263" s="8"/>
      <c r="T2263" s="8"/>
      <c r="U2263" s="18">
        <f t="shared" si="374"/>
        <v>0</v>
      </c>
      <c r="V2263" s="17"/>
      <c r="W2263" s="17"/>
      <c r="X2263" s="9">
        <f t="shared" si="375"/>
        <v>704478</v>
      </c>
      <c r="Y2263" s="8"/>
      <c r="Z2263" s="9">
        <f t="shared" si="376"/>
        <v>0</v>
      </c>
      <c r="AA2263" s="8">
        <f t="shared" si="377"/>
        <v>704478</v>
      </c>
      <c r="AB2263" s="8">
        <f t="shared" si="378"/>
        <v>0</v>
      </c>
    </row>
    <row r="2264" spans="1:28" x14ac:dyDescent="0.35">
      <c r="A2264" s="36"/>
      <c r="B2264" s="8"/>
      <c r="C2264" s="7" t="s">
        <v>535</v>
      </c>
      <c r="D2264" s="15" t="s">
        <v>88</v>
      </c>
      <c r="E2264" s="9">
        <v>1080000</v>
      </c>
      <c r="F2264" s="9">
        <v>1080000</v>
      </c>
      <c r="G2264" s="8"/>
      <c r="H2264" s="9">
        <f t="shared" si="371"/>
        <v>1080000</v>
      </c>
      <c r="I2264" s="8"/>
      <c r="J2264" s="9">
        <f t="shared" si="372"/>
        <v>1080000</v>
      </c>
      <c r="K2264" s="8"/>
      <c r="L2264" s="8"/>
      <c r="M2264" s="9">
        <f t="shared" si="379"/>
        <v>1080000</v>
      </c>
      <c r="N2264" s="8"/>
      <c r="O2264" s="9"/>
      <c r="P2264" s="9">
        <f t="shared" si="380"/>
        <v>0</v>
      </c>
      <c r="Q2264" s="9">
        <f t="shared" si="373"/>
        <v>1080000</v>
      </c>
      <c r="R2264" s="8"/>
      <c r="S2264" s="8"/>
      <c r="T2264" s="8"/>
      <c r="U2264" s="18">
        <f t="shared" si="374"/>
        <v>0</v>
      </c>
      <c r="V2264" s="17"/>
      <c r="W2264" s="17"/>
      <c r="X2264" s="9">
        <f t="shared" si="375"/>
        <v>1080000</v>
      </c>
      <c r="Y2264" s="8"/>
      <c r="Z2264" s="9">
        <f t="shared" si="376"/>
        <v>0</v>
      </c>
      <c r="AA2264" s="8">
        <f t="shared" si="377"/>
        <v>1080000</v>
      </c>
      <c r="AB2264" s="8">
        <f t="shared" si="378"/>
        <v>0</v>
      </c>
    </row>
    <row r="2265" spans="1:28" x14ac:dyDescent="0.35">
      <c r="A2265" s="36"/>
      <c r="B2265" s="8"/>
      <c r="C2265" s="7" t="s">
        <v>535</v>
      </c>
      <c r="D2265" s="15" t="s">
        <v>108</v>
      </c>
      <c r="E2265" s="9">
        <v>1693847</v>
      </c>
      <c r="F2265" s="9">
        <v>1693847</v>
      </c>
      <c r="G2265" s="8"/>
      <c r="H2265" s="9">
        <f t="shared" si="371"/>
        <v>1693847</v>
      </c>
      <c r="I2265" s="8"/>
      <c r="J2265" s="9">
        <f t="shared" si="372"/>
        <v>1693847</v>
      </c>
      <c r="K2265" s="8"/>
      <c r="L2265" s="8"/>
      <c r="M2265" s="9">
        <f t="shared" si="379"/>
        <v>1693847</v>
      </c>
      <c r="N2265" s="8"/>
      <c r="O2265" s="9"/>
      <c r="P2265" s="9">
        <f t="shared" si="380"/>
        <v>0</v>
      </c>
      <c r="Q2265" s="9">
        <f t="shared" si="373"/>
        <v>1693847</v>
      </c>
      <c r="R2265" s="8"/>
      <c r="S2265" s="8"/>
      <c r="T2265" s="8"/>
      <c r="U2265" s="18">
        <f t="shared" si="374"/>
        <v>0</v>
      </c>
      <c r="V2265" s="17"/>
      <c r="W2265" s="17"/>
      <c r="X2265" s="9">
        <f t="shared" si="375"/>
        <v>1693847</v>
      </c>
      <c r="Y2265" s="8"/>
      <c r="Z2265" s="9">
        <f t="shared" si="376"/>
        <v>0</v>
      </c>
      <c r="AA2265" s="8">
        <f t="shared" si="377"/>
        <v>1693847</v>
      </c>
      <c r="AB2265" s="8">
        <f t="shared" si="378"/>
        <v>0</v>
      </c>
    </row>
    <row r="2266" spans="1:28" x14ac:dyDescent="0.35">
      <c r="A2266" s="36"/>
      <c r="B2266" s="8"/>
      <c r="C2266" s="7" t="s">
        <v>535</v>
      </c>
      <c r="D2266" s="21" t="s">
        <v>60</v>
      </c>
      <c r="E2266" s="9">
        <v>2083700</v>
      </c>
      <c r="F2266" s="9">
        <v>2083700</v>
      </c>
      <c r="G2266" s="8"/>
      <c r="H2266" s="9">
        <f t="shared" si="371"/>
        <v>2083700</v>
      </c>
      <c r="I2266" s="8"/>
      <c r="J2266" s="9">
        <f t="shared" si="372"/>
        <v>2083700</v>
      </c>
      <c r="K2266" s="8"/>
      <c r="L2266" s="8"/>
      <c r="M2266" s="9">
        <f t="shared" si="379"/>
        <v>2083700</v>
      </c>
      <c r="N2266" s="8"/>
      <c r="O2266" s="9"/>
      <c r="P2266" s="9">
        <f t="shared" si="380"/>
        <v>0</v>
      </c>
      <c r="Q2266" s="9">
        <f t="shared" si="373"/>
        <v>2083700</v>
      </c>
      <c r="R2266" s="8"/>
      <c r="S2266" s="8"/>
      <c r="T2266" s="8"/>
      <c r="U2266" s="18">
        <f t="shared" si="374"/>
        <v>0</v>
      </c>
      <c r="V2266" s="17"/>
      <c r="W2266" s="17"/>
      <c r="X2266" s="9">
        <f t="shared" si="375"/>
        <v>2083700</v>
      </c>
      <c r="Y2266" s="8"/>
      <c r="Z2266" s="9">
        <f t="shared" si="376"/>
        <v>0</v>
      </c>
      <c r="AA2266" s="8">
        <f t="shared" si="377"/>
        <v>2083700</v>
      </c>
      <c r="AB2266" s="8">
        <f t="shared" si="378"/>
        <v>0</v>
      </c>
    </row>
    <row r="2267" spans="1:28" x14ac:dyDescent="0.35">
      <c r="A2267" s="36"/>
      <c r="B2267" s="8"/>
      <c r="C2267" s="7" t="s">
        <v>853</v>
      </c>
      <c r="D2267" s="21" t="s">
        <v>60</v>
      </c>
      <c r="E2267" s="9">
        <v>1300000</v>
      </c>
      <c r="F2267" s="9">
        <v>1300000</v>
      </c>
      <c r="G2267" s="9"/>
      <c r="H2267" s="9">
        <f t="shared" si="371"/>
        <v>1300000</v>
      </c>
      <c r="I2267" s="9">
        <v>0</v>
      </c>
      <c r="J2267" s="9">
        <f t="shared" si="372"/>
        <v>1300000</v>
      </c>
      <c r="K2267" s="8"/>
      <c r="L2267" s="8"/>
      <c r="M2267" s="9">
        <f t="shared" si="379"/>
        <v>1300000</v>
      </c>
      <c r="N2267" s="8"/>
      <c r="O2267" s="9"/>
      <c r="P2267" s="9">
        <f t="shared" si="380"/>
        <v>0</v>
      </c>
      <c r="Q2267" s="9">
        <f t="shared" si="373"/>
        <v>1300000</v>
      </c>
      <c r="R2267" s="8"/>
      <c r="S2267" s="8"/>
      <c r="T2267" s="8"/>
      <c r="U2267" s="18">
        <f t="shared" si="374"/>
        <v>0</v>
      </c>
      <c r="V2267" s="17"/>
      <c r="W2267" s="17"/>
      <c r="X2267" s="9">
        <f t="shared" si="375"/>
        <v>1300000</v>
      </c>
      <c r="Y2267" s="8"/>
      <c r="Z2267" s="9">
        <f t="shared" si="376"/>
        <v>0</v>
      </c>
      <c r="AA2267" s="8">
        <f t="shared" si="377"/>
        <v>1300000</v>
      </c>
      <c r="AB2267" s="8">
        <f t="shared" si="378"/>
        <v>0</v>
      </c>
    </row>
    <row r="2268" spans="1:28" x14ac:dyDescent="0.35">
      <c r="A2268" s="36"/>
      <c r="B2268" s="8"/>
      <c r="C2268" s="7" t="s">
        <v>535</v>
      </c>
      <c r="D2268" s="21" t="s">
        <v>73</v>
      </c>
      <c r="E2268" s="9">
        <v>1649359</v>
      </c>
      <c r="F2268" s="9">
        <v>1649359</v>
      </c>
      <c r="G2268" s="8"/>
      <c r="H2268" s="9">
        <f t="shared" si="371"/>
        <v>1649359</v>
      </c>
      <c r="I2268" s="8"/>
      <c r="J2268" s="9">
        <f t="shared" si="372"/>
        <v>1649359</v>
      </c>
      <c r="K2268" s="8"/>
      <c r="L2268" s="8"/>
      <c r="M2268" s="9">
        <f t="shared" si="379"/>
        <v>1649359</v>
      </c>
      <c r="N2268" s="8"/>
      <c r="O2268" s="9"/>
      <c r="P2268" s="9">
        <f t="shared" si="380"/>
        <v>0</v>
      </c>
      <c r="Q2268" s="9">
        <f t="shared" si="373"/>
        <v>1649359</v>
      </c>
      <c r="R2268" s="8"/>
      <c r="S2268" s="8"/>
      <c r="T2268" s="8"/>
      <c r="U2268" s="18">
        <f t="shared" si="374"/>
        <v>0</v>
      </c>
      <c r="V2268" s="17"/>
      <c r="W2268" s="17"/>
      <c r="X2268" s="9">
        <f t="shared" si="375"/>
        <v>1649359</v>
      </c>
      <c r="Y2268" s="8"/>
      <c r="Z2268" s="9">
        <f t="shared" si="376"/>
        <v>0</v>
      </c>
      <c r="AA2268" s="8">
        <f t="shared" si="377"/>
        <v>1649359</v>
      </c>
      <c r="AB2268" s="8">
        <f t="shared" si="378"/>
        <v>0</v>
      </c>
    </row>
    <row r="2269" spans="1:28" x14ac:dyDescent="0.35">
      <c r="A2269" s="36"/>
      <c r="B2269" s="8"/>
      <c r="C2269" s="7" t="s">
        <v>898</v>
      </c>
      <c r="D2269" s="21"/>
      <c r="E2269" s="9">
        <v>2487798.42</v>
      </c>
      <c r="F2269" s="8">
        <v>2487798.42</v>
      </c>
      <c r="G2269" s="8"/>
      <c r="H2269" s="9">
        <f>F2269+G2269</f>
        <v>2487798.42</v>
      </c>
      <c r="I2269" s="8"/>
      <c r="J2269" s="9">
        <f>H2269+I2269</f>
        <v>2487798.42</v>
      </c>
      <c r="K2269" s="8"/>
      <c r="L2269" s="8"/>
      <c r="M2269" s="9">
        <f>+H2269+L2269</f>
        <v>2487798.42</v>
      </c>
      <c r="N2269" s="8"/>
      <c r="O2269" s="9"/>
      <c r="P2269" s="9">
        <f>+N2269+O2269</f>
        <v>0</v>
      </c>
      <c r="Q2269" s="9">
        <f>E2269-P2269</f>
        <v>2487798.42</v>
      </c>
      <c r="R2269" s="8"/>
      <c r="S2269" s="8"/>
      <c r="T2269" s="8"/>
      <c r="U2269" s="18">
        <f>+P2269+T2269</f>
        <v>0</v>
      </c>
      <c r="V2269" s="17"/>
      <c r="W2269" s="17"/>
      <c r="X2269" s="9">
        <f t="shared" si="375"/>
        <v>2487798.42</v>
      </c>
      <c r="Y2269" s="8"/>
      <c r="Z2269" s="9">
        <f t="shared" si="376"/>
        <v>0</v>
      </c>
      <c r="AA2269" s="8">
        <f t="shared" si="377"/>
        <v>2487798.42</v>
      </c>
      <c r="AB2269" s="8">
        <f t="shared" si="378"/>
        <v>0</v>
      </c>
    </row>
    <row r="2270" spans="1:28" x14ac:dyDescent="0.35">
      <c r="A2270" s="36"/>
      <c r="B2270" s="8"/>
      <c r="C2270" s="7" t="s">
        <v>933</v>
      </c>
      <c r="D2270" s="21"/>
      <c r="E2270" s="9">
        <v>3291000</v>
      </c>
      <c r="F2270" s="8">
        <v>3291000</v>
      </c>
      <c r="G2270" s="8"/>
      <c r="H2270" s="9">
        <f>F2270+G2270</f>
        <v>3291000</v>
      </c>
      <c r="I2270" s="8"/>
      <c r="J2270" s="9"/>
      <c r="K2270" s="8"/>
      <c r="L2270" s="8"/>
      <c r="M2270" s="9">
        <f>+H2270+L2270</f>
        <v>3291000</v>
      </c>
      <c r="N2270" s="8"/>
      <c r="O2270" s="9"/>
      <c r="P2270" s="9">
        <f>+N2270+O2270</f>
        <v>0</v>
      </c>
      <c r="Q2270" s="9">
        <f>E2270-P2270</f>
        <v>3291000</v>
      </c>
      <c r="R2270" s="8"/>
      <c r="S2270" s="8"/>
      <c r="T2270" s="8"/>
      <c r="U2270" s="18">
        <f>+P2270+T2270</f>
        <v>0</v>
      </c>
      <c r="V2270" s="17"/>
      <c r="W2270" s="17"/>
      <c r="X2270" s="9">
        <f t="shared" si="375"/>
        <v>3291000</v>
      </c>
      <c r="Y2270" s="8"/>
      <c r="Z2270" s="9">
        <f t="shared" si="376"/>
        <v>0</v>
      </c>
      <c r="AA2270" s="8">
        <f t="shared" si="377"/>
        <v>3291000</v>
      </c>
      <c r="AB2270" s="8">
        <f t="shared" si="378"/>
        <v>0</v>
      </c>
    </row>
    <row r="2271" spans="1:28" x14ac:dyDescent="0.35">
      <c r="A2271" s="36"/>
      <c r="B2271" s="8"/>
      <c r="C2271" s="7" t="s">
        <v>1083</v>
      </c>
      <c r="D2271" s="24" t="s">
        <v>1072</v>
      </c>
      <c r="E2271" s="9">
        <f>3445044.41+7477279.12</f>
        <v>10922323.530000001</v>
      </c>
      <c r="F2271" s="8">
        <f>7477279.12+3445044.41</f>
        <v>10922323.530000001</v>
      </c>
      <c r="G2271" s="8"/>
      <c r="H2271" s="9">
        <f>+F2271+G2271</f>
        <v>10922323.530000001</v>
      </c>
      <c r="I2271" s="8"/>
      <c r="J2271" s="9"/>
      <c r="K2271" s="8"/>
      <c r="L2271" s="8"/>
      <c r="M2271" s="9">
        <f>+H2271+L2271</f>
        <v>10922323.530000001</v>
      </c>
      <c r="N2271" s="8"/>
      <c r="O2271" s="9"/>
      <c r="P2271" s="9">
        <v>0</v>
      </c>
      <c r="Q2271" s="9"/>
      <c r="R2271" s="8"/>
      <c r="S2271" s="8"/>
      <c r="T2271" s="8"/>
      <c r="U2271" s="18">
        <f>+P2271+T2271</f>
        <v>0</v>
      </c>
      <c r="V2271" s="17"/>
      <c r="W2271" s="17"/>
      <c r="X2271" s="9">
        <f t="shared" si="375"/>
        <v>10922323.530000001</v>
      </c>
      <c r="Y2271" s="8"/>
      <c r="Z2271" s="9">
        <f t="shared" si="376"/>
        <v>0</v>
      </c>
      <c r="AA2271" s="8">
        <f t="shared" si="377"/>
        <v>10922323.530000001</v>
      </c>
      <c r="AB2271" s="8">
        <f t="shared" si="378"/>
        <v>0</v>
      </c>
    </row>
    <row r="2272" spans="1:28" x14ac:dyDescent="0.35">
      <c r="A2272" s="36"/>
      <c r="B2272" s="8"/>
      <c r="C2272" s="7" t="s">
        <v>1061</v>
      </c>
      <c r="D2272" s="21"/>
      <c r="E2272" s="9">
        <v>769000</v>
      </c>
      <c r="F2272" s="8">
        <v>769000</v>
      </c>
      <c r="G2272" s="8"/>
      <c r="H2272" s="9">
        <f>F2272+G2272</f>
        <v>769000</v>
      </c>
      <c r="I2272" s="8"/>
      <c r="J2272" s="9">
        <f>H2272+I2272</f>
        <v>769000</v>
      </c>
      <c r="K2272" s="8"/>
      <c r="L2272" s="8"/>
      <c r="M2272" s="9">
        <f>+H2272+L2272</f>
        <v>769000</v>
      </c>
      <c r="N2272" s="8"/>
      <c r="O2272" s="9"/>
      <c r="P2272" s="9">
        <f>+N2272+O2272</f>
        <v>0</v>
      </c>
      <c r="Q2272" s="9">
        <f>E2272-P2272</f>
        <v>769000</v>
      </c>
      <c r="R2272" s="8"/>
      <c r="S2272" s="8"/>
      <c r="T2272" s="8"/>
      <c r="U2272" s="18">
        <f>+P2272+T2272</f>
        <v>0</v>
      </c>
      <c r="V2272" s="17"/>
      <c r="W2272" s="17"/>
      <c r="X2272" s="9">
        <f t="shared" si="375"/>
        <v>769000</v>
      </c>
      <c r="Y2272" s="8"/>
      <c r="Z2272" s="9">
        <f t="shared" si="376"/>
        <v>0</v>
      </c>
      <c r="AA2272" s="8">
        <f t="shared" si="377"/>
        <v>769000</v>
      </c>
      <c r="AB2272" s="8">
        <f t="shared" si="378"/>
        <v>0</v>
      </c>
    </row>
    <row r="2273" spans="1:28" x14ac:dyDescent="0.35">
      <c r="A2273" s="36"/>
      <c r="B2273" s="8"/>
      <c r="C2273" s="14" t="s">
        <v>568</v>
      </c>
      <c r="D2273" s="8"/>
      <c r="E2273" s="9">
        <f>2301211.56+459204</f>
        <v>2760415.56</v>
      </c>
      <c r="F2273" s="9">
        <f>2301211.56+459204</f>
        <v>2760415.56</v>
      </c>
      <c r="G2273" s="9"/>
      <c r="H2273" s="9">
        <f t="shared" si="371"/>
        <v>2760415.56</v>
      </c>
      <c r="I2273" s="8"/>
      <c r="J2273" s="9">
        <f t="shared" si="372"/>
        <v>2760415.56</v>
      </c>
      <c r="K2273" s="8"/>
      <c r="L2273" s="8"/>
      <c r="M2273" s="9">
        <f t="shared" si="379"/>
        <v>2760415.56</v>
      </c>
      <c r="N2273" s="8"/>
      <c r="O2273" s="9"/>
      <c r="P2273" s="9">
        <f t="shared" si="380"/>
        <v>0</v>
      </c>
      <c r="Q2273" s="9">
        <f t="shared" si="373"/>
        <v>2760415.56</v>
      </c>
      <c r="R2273" s="8"/>
      <c r="S2273" s="8"/>
      <c r="T2273" s="8"/>
      <c r="U2273" s="18">
        <f t="shared" si="374"/>
        <v>0</v>
      </c>
      <c r="V2273" s="17"/>
      <c r="W2273" s="17"/>
      <c r="X2273" s="9">
        <f t="shared" si="375"/>
        <v>2760415.56</v>
      </c>
      <c r="Y2273" s="8"/>
      <c r="Z2273" s="9">
        <f t="shared" si="376"/>
        <v>0</v>
      </c>
      <c r="AA2273" s="8">
        <f t="shared" si="377"/>
        <v>2760415.56</v>
      </c>
      <c r="AB2273" s="8">
        <f t="shared" si="378"/>
        <v>0</v>
      </c>
    </row>
    <row r="2274" spans="1:28" x14ac:dyDescent="0.35">
      <c r="A2274" s="36"/>
      <c r="B2274" s="8"/>
      <c r="C2274" s="7" t="s">
        <v>550</v>
      </c>
      <c r="D2274" s="8"/>
      <c r="E2274" s="9">
        <v>40623</v>
      </c>
      <c r="F2274" s="9">
        <v>40623</v>
      </c>
      <c r="G2274" s="8"/>
      <c r="H2274" s="9">
        <f t="shared" si="371"/>
        <v>40623</v>
      </c>
      <c r="I2274" s="8"/>
      <c r="J2274" s="9">
        <f t="shared" si="372"/>
        <v>40623</v>
      </c>
      <c r="K2274" s="8"/>
      <c r="L2274" s="8"/>
      <c r="M2274" s="9">
        <f t="shared" si="379"/>
        <v>40623</v>
      </c>
      <c r="N2274" s="8"/>
      <c r="O2274" s="9"/>
      <c r="P2274" s="9">
        <f t="shared" si="380"/>
        <v>0</v>
      </c>
      <c r="Q2274" s="9">
        <f t="shared" si="373"/>
        <v>40623</v>
      </c>
      <c r="R2274" s="8"/>
      <c r="S2274" s="8"/>
      <c r="T2274" s="8"/>
      <c r="U2274" s="18">
        <f t="shared" si="374"/>
        <v>0</v>
      </c>
      <c r="V2274" s="17"/>
      <c r="W2274" s="17"/>
      <c r="X2274" s="9">
        <f t="shared" si="375"/>
        <v>40623</v>
      </c>
      <c r="Y2274" s="8"/>
      <c r="Z2274" s="9">
        <f t="shared" si="376"/>
        <v>0</v>
      </c>
      <c r="AA2274" s="8">
        <f t="shared" si="377"/>
        <v>40623</v>
      </c>
      <c r="AB2274" s="8">
        <f t="shared" si="378"/>
        <v>0</v>
      </c>
    </row>
    <row r="2275" spans="1:28" x14ac:dyDescent="0.35">
      <c r="A2275" s="36"/>
      <c r="B2275" s="8"/>
      <c r="C2275" s="7" t="s">
        <v>606</v>
      </c>
      <c r="D2275" s="8"/>
      <c r="E2275" s="9">
        <v>5000000</v>
      </c>
      <c r="F2275" s="9">
        <v>5000000</v>
      </c>
      <c r="G2275" s="8"/>
      <c r="H2275" s="9">
        <f t="shared" si="371"/>
        <v>5000000</v>
      </c>
      <c r="I2275" s="8"/>
      <c r="J2275" s="9">
        <f t="shared" si="372"/>
        <v>5000000</v>
      </c>
      <c r="K2275" s="8"/>
      <c r="L2275" s="8"/>
      <c r="M2275" s="9">
        <f t="shared" si="379"/>
        <v>5000000</v>
      </c>
      <c r="N2275" s="8"/>
      <c r="O2275" s="9"/>
      <c r="P2275" s="9">
        <f t="shared" si="380"/>
        <v>0</v>
      </c>
      <c r="Q2275" s="9">
        <f t="shared" si="373"/>
        <v>5000000</v>
      </c>
      <c r="R2275" s="8"/>
      <c r="S2275" s="8"/>
      <c r="T2275" s="8"/>
      <c r="U2275" s="18">
        <f t="shared" si="374"/>
        <v>0</v>
      </c>
      <c r="V2275" s="17"/>
      <c r="W2275" s="17"/>
      <c r="X2275" s="9">
        <f t="shared" si="375"/>
        <v>5000000</v>
      </c>
      <c r="Y2275" s="8"/>
      <c r="Z2275" s="9">
        <f t="shared" si="376"/>
        <v>0</v>
      </c>
      <c r="AA2275" s="8">
        <f t="shared" si="377"/>
        <v>5000000</v>
      </c>
      <c r="AB2275" s="8">
        <f t="shared" si="378"/>
        <v>0</v>
      </c>
    </row>
    <row r="2276" spans="1:28" x14ac:dyDescent="0.35">
      <c r="A2276" s="36"/>
      <c r="B2276" s="8"/>
      <c r="C2276" s="8"/>
      <c r="D2276" s="8"/>
      <c r="E2276" s="17" t="s">
        <v>29</v>
      </c>
      <c r="F2276" s="17" t="s">
        <v>29</v>
      </c>
      <c r="G2276" s="17" t="s">
        <v>29</v>
      </c>
      <c r="H2276" s="17" t="s">
        <v>29</v>
      </c>
      <c r="I2276" s="17" t="s">
        <v>29</v>
      </c>
      <c r="J2276" s="17" t="s">
        <v>29</v>
      </c>
      <c r="K2276" s="17" t="s">
        <v>29</v>
      </c>
      <c r="L2276" s="17" t="s">
        <v>29</v>
      </c>
      <c r="M2276" s="17" t="s">
        <v>29</v>
      </c>
      <c r="N2276" s="17" t="s">
        <v>29</v>
      </c>
      <c r="O2276" s="17" t="s">
        <v>29</v>
      </c>
      <c r="P2276" s="17" t="s">
        <v>29</v>
      </c>
      <c r="Q2276" s="17" t="s">
        <v>29</v>
      </c>
      <c r="R2276" s="17" t="s">
        <v>29</v>
      </c>
      <c r="S2276" s="17" t="s">
        <v>29</v>
      </c>
      <c r="T2276" s="17" t="s">
        <v>29</v>
      </c>
      <c r="U2276" s="17" t="s">
        <v>29</v>
      </c>
      <c r="V2276" s="17" t="s">
        <v>29</v>
      </c>
      <c r="W2276" s="17" t="s">
        <v>29</v>
      </c>
      <c r="X2276" s="17" t="s">
        <v>29</v>
      </c>
      <c r="Y2276" s="17" t="s">
        <v>29</v>
      </c>
      <c r="Z2276" s="17" t="s">
        <v>29</v>
      </c>
      <c r="AA2276" s="17" t="s">
        <v>29</v>
      </c>
      <c r="AB2276" s="17" t="s">
        <v>29</v>
      </c>
    </row>
    <row r="2277" spans="1:28" x14ac:dyDescent="0.35">
      <c r="A2277" s="36"/>
      <c r="B2277" s="8"/>
      <c r="C2277" s="8"/>
      <c r="D2277" s="8"/>
      <c r="E2277" s="9">
        <f t="shared" ref="E2277:Q2277" si="381">SUM(E2253:E2276)</f>
        <v>57827818.090000004</v>
      </c>
      <c r="F2277" s="9">
        <f t="shared" si="381"/>
        <v>54677954.340000004</v>
      </c>
      <c r="G2277" s="9">
        <f t="shared" si="381"/>
        <v>0</v>
      </c>
      <c r="H2277" s="9">
        <f t="shared" si="381"/>
        <v>54677954.340000004</v>
      </c>
      <c r="I2277" s="9">
        <f t="shared" si="381"/>
        <v>0</v>
      </c>
      <c r="J2277" s="9">
        <f t="shared" si="381"/>
        <v>40464630.810000002</v>
      </c>
      <c r="K2277" s="9">
        <f t="shared" si="381"/>
        <v>3149863.75</v>
      </c>
      <c r="L2277" s="9">
        <f t="shared" si="381"/>
        <v>0</v>
      </c>
      <c r="M2277" s="9">
        <f t="shared" si="381"/>
        <v>54677954.340000004</v>
      </c>
      <c r="N2277" s="9">
        <f t="shared" si="381"/>
        <v>3149863.75</v>
      </c>
      <c r="O2277" s="9">
        <f t="shared" si="381"/>
        <v>0</v>
      </c>
      <c r="P2277" s="9">
        <f t="shared" si="381"/>
        <v>3149863.75</v>
      </c>
      <c r="Q2277" s="9">
        <f t="shared" si="381"/>
        <v>43755630.810000002</v>
      </c>
      <c r="R2277" s="8"/>
      <c r="S2277" s="8"/>
      <c r="T2277" s="9">
        <f t="shared" ref="T2277:Z2277" si="382">SUM(T2253:T2276)</f>
        <v>0</v>
      </c>
      <c r="U2277" s="9">
        <f t="shared" si="382"/>
        <v>3149863.75</v>
      </c>
      <c r="V2277" s="9">
        <f t="shared" si="382"/>
        <v>0</v>
      </c>
      <c r="W2277" s="9">
        <f t="shared" si="382"/>
        <v>0</v>
      </c>
      <c r="X2277" s="9">
        <f t="shared" si="382"/>
        <v>57827818.090000004</v>
      </c>
      <c r="Y2277" s="9">
        <f t="shared" si="382"/>
        <v>0</v>
      </c>
      <c r="Z2277" s="9">
        <f t="shared" si="382"/>
        <v>0</v>
      </c>
      <c r="AA2277" s="9">
        <f>SUM(AA2253:AA2276)</f>
        <v>57827818.090000004</v>
      </c>
      <c r="AB2277" s="9">
        <f>SUM(AB2253:AB2276)</f>
        <v>0</v>
      </c>
    </row>
    <row r="2278" spans="1:28" x14ac:dyDescent="0.35">
      <c r="A2278" s="36"/>
      <c r="B2278" s="8"/>
      <c r="C2278" s="8"/>
      <c r="D2278" s="8"/>
      <c r="E2278" s="17" t="s">
        <v>29</v>
      </c>
      <c r="F2278" s="17" t="s">
        <v>29</v>
      </c>
      <c r="G2278" s="17" t="s">
        <v>29</v>
      </c>
      <c r="H2278" s="17" t="s">
        <v>29</v>
      </c>
      <c r="I2278" s="17" t="s">
        <v>29</v>
      </c>
      <c r="J2278" s="17" t="s">
        <v>29</v>
      </c>
      <c r="K2278" s="17" t="s">
        <v>29</v>
      </c>
      <c r="L2278" s="17" t="s">
        <v>29</v>
      </c>
      <c r="M2278" s="17" t="s">
        <v>29</v>
      </c>
      <c r="N2278" s="17" t="s">
        <v>29</v>
      </c>
      <c r="O2278" s="17" t="s">
        <v>29</v>
      </c>
      <c r="P2278" s="17" t="s">
        <v>29</v>
      </c>
      <c r="Q2278" s="17" t="s">
        <v>29</v>
      </c>
      <c r="R2278" s="17" t="s">
        <v>29</v>
      </c>
      <c r="S2278" s="17" t="s">
        <v>29</v>
      </c>
      <c r="T2278" s="17" t="s">
        <v>29</v>
      </c>
      <c r="U2278" s="17" t="s">
        <v>29</v>
      </c>
      <c r="V2278" s="17" t="s">
        <v>29</v>
      </c>
      <c r="W2278" s="17" t="s">
        <v>29</v>
      </c>
      <c r="X2278" s="17" t="s">
        <v>29</v>
      </c>
      <c r="Y2278" s="17" t="s">
        <v>29</v>
      </c>
      <c r="Z2278" s="17" t="s">
        <v>29</v>
      </c>
      <c r="AA2278" s="17" t="s">
        <v>29</v>
      </c>
      <c r="AB2278" s="17" t="s">
        <v>29</v>
      </c>
    </row>
    <row r="2279" spans="1:28" x14ac:dyDescent="0.35">
      <c r="A2279" s="38" t="s">
        <v>1040</v>
      </c>
      <c r="B2279" s="7" t="s">
        <v>854</v>
      </c>
      <c r="C2279" s="8"/>
      <c r="D2279" s="8"/>
      <c r="E2279" s="8"/>
      <c r="F2279" s="8"/>
      <c r="G2279" s="8"/>
      <c r="H2279" s="8"/>
      <c r="I2279" s="8"/>
      <c r="J2279" s="8"/>
      <c r="K2279" s="8"/>
      <c r="L2279" s="8"/>
      <c r="M2279" s="8"/>
      <c r="N2279" s="8"/>
      <c r="O2279" s="8"/>
      <c r="P2279" s="8"/>
      <c r="Q2279" s="8"/>
      <c r="R2279" s="8"/>
      <c r="S2279" s="8"/>
      <c r="T2279" s="8"/>
      <c r="U2279" s="8"/>
      <c r="V2279" s="8"/>
      <c r="W2279" s="8"/>
      <c r="X2279" s="8"/>
      <c r="Y2279" s="8"/>
      <c r="Z2279" s="8"/>
    </row>
    <row r="2280" spans="1:28" x14ac:dyDescent="0.35">
      <c r="A2280" s="36"/>
      <c r="B2280" s="8"/>
      <c r="C2280" s="7" t="s">
        <v>855</v>
      </c>
      <c r="D2280" s="15" t="s">
        <v>78</v>
      </c>
      <c r="E2280" s="9">
        <v>1300000</v>
      </c>
      <c r="F2280" s="9">
        <v>1300000</v>
      </c>
      <c r="G2280" s="8"/>
      <c r="H2280" s="9">
        <f>F2280+G2280</f>
        <v>1300000</v>
      </c>
      <c r="I2280" s="8"/>
      <c r="J2280" s="9">
        <f>H2280+I2280</f>
        <v>1300000</v>
      </c>
      <c r="K2280" s="9"/>
      <c r="L2280" s="8"/>
      <c r="M2280" s="9">
        <f>+H2280+L2280</f>
        <v>1300000</v>
      </c>
      <c r="N2280" s="8"/>
      <c r="O2280" s="9"/>
      <c r="P2280" s="9">
        <f>+N2280+O2280</f>
        <v>0</v>
      </c>
      <c r="Q2280" s="9">
        <f>E2280-P2280</f>
        <v>1300000</v>
      </c>
      <c r="R2280" s="8"/>
      <c r="S2280" s="8"/>
      <c r="T2280" s="8"/>
      <c r="U2280" s="18">
        <f t="shared" ref="U2280:U2292" si="383">+P2280+T2280</f>
        <v>0</v>
      </c>
      <c r="V2280" s="17"/>
      <c r="W2280" s="17"/>
      <c r="X2280" s="9">
        <f t="shared" ref="X2280:X2292" si="384">+H2280+P2280</f>
        <v>1300000</v>
      </c>
      <c r="Y2280" s="8"/>
      <c r="Z2280" s="9">
        <f t="shared" ref="Z2280:Z2292" si="385">+E2280-X2280</f>
        <v>0</v>
      </c>
      <c r="AA2280" s="8">
        <f t="shared" ref="AA2280:AA2292" si="386">+M2280+U2280</f>
        <v>1300000</v>
      </c>
      <c r="AB2280" s="8">
        <f t="shared" ref="AB2280:AB2292" si="387">+E2280-AA2280</f>
        <v>0</v>
      </c>
    </row>
    <row r="2281" spans="1:28" x14ac:dyDescent="0.35">
      <c r="A2281" s="36"/>
      <c r="B2281" s="8"/>
      <c r="C2281" s="8"/>
      <c r="D2281" s="14" t="s">
        <v>79</v>
      </c>
      <c r="E2281" s="8"/>
      <c r="F2281" s="8"/>
      <c r="G2281" s="8"/>
      <c r="H2281" s="8"/>
      <c r="I2281" s="8"/>
      <c r="J2281" s="8"/>
      <c r="K2281" s="8"/>
      <c r="L2281" s="8"/>
      <c r="M2281" s="8"/>
      <c r="N2281" s="8"/>
      <c r="O2281" s="8"/>
      <c r="P2281" s="9">
        <f t="shared" ref="P2281:P2292" si="388">+N2281+O2281</f>
        <v>0</v>
      </c>
      <c r="Q2281" s="8"/>
      <c r="R2281" s="8"/>
      <c r="S2281" s="8"/>
      <c r="T2281" s="8"/>
      <c r="U2281" s="18">
        <f t="shared" si="383"/>
        <v>0</v>
      </c>
      <c r="V2281" s="17"/>
      <c r="W2281" s="17"/>
      <c r="X2281" s="9">
        <f t="shared" si="384"/>
        <v>0</v>
      </c>
      <c r="Y2281" s="8"/>
      <c r="Z2281" s="9">
        <f t="shared" si="385"/>
        <v>0</v>
      </c>
      <c r="AA2281" s="8">
        <f t="shared" si="386"/>
        <v>0</v>
      </c>
      <c r="AB2281" s="8">
        <f t="shared" si="387"/>
        <v>0</v>
      </c>
    </row>
    <row r="2282" spans="1:28" x14ac:dyDescent="0.35">
      <c r="A2282" s="36"/>
      <c r="B2282" s="8"/>
      <c r="C2282" s="7" t="s">
        <v>535</v>
      </c>
      <c r="D2282" s="7" t="s">
        <v>856</v>
      </c>
      <c r="E2282" s="9">
        <v>7237950.2999999998</v>
      </c>
      <c r="F2282" s="9">
        <v>6502973.54</v>
      </c>
      <c r="G2282" s="8"/>
      <c r="H2282" s="9">
        <f t="shared" ref="H2282:H2292" si="389">F2282+G2282</f>
        <v>6502973.54</v>
      </c>
      <c r="I2282" s="8"/>
      <c r="J2282" s="9">
        <f t="shared" ref="J2282:J2292" si="390">H2282+I2282</f>
        <v>6502973.54</v>
      </c>
      <c r="K2282" s="11">
        <v>734976.76</v>
      </c>
      <c r="L2282" s="8"/>
      <c r="M2282" s="9">
        <f t="shared" ref="M2282:M2292" si="391">+H2282+L2282</f>
        <v>6502973.54</v>
      </c>
      <c r="N2282" s="8">
        <v>734976.76</v>
      </c>
      <c r="O2282" s="9"/>
      <c r="P2282" s="9">
        <f t="shared" si="388"/>
        <v>734976.76</v>
      </c>
      <c r="Q2282" s="9">
        <f t="shared" ref="Q2282:Q2292" si="392">E2282-P2282</f>
        <v>6502973.54</v>
      </c>
      <c r="R2282" s="8"/>
      <c r="S2282" s="8"/>
      <c r="T2282" s="8"/>
      <c r="U2282" s="18">
        <f t="shared" si="383"/>
        <v>734976.76</v>
      </c>
      <c r="V2282" s="17"/>
      <c r="W2282" s="17"/>
      <c r="X2282" s="9">
        <f t="shared" si="384"/>
        <v>7237950.2999999998</v>
      </c>
      <c r="Y2282" s="8"/>
      <c r="Z2282" s="9">
        <f t="shared" si="385"/>
        <v>0</v>
      </c>
      <c r="AA2282" s="8">
        <f t="shared" si="386"/>
        <v>7237950.2999999998</v>
      </c>
      <c r="AB2282" s="8">
        <f t="shared" si="387"/>
        <v>0</v>
      </c>
    </row>
    <row r="2283" spans="1:28" x14ac:dyDescent="0.35">
      <c r="A2283" s="36"/>
      <c r="B2283" s="8"/>
      <c r="C2283" s="7" t="s">
        <v>857</v>
      </c>
      <c r="D2283" s="7" t="s">
        <v>858</v>
      </c>
      <c r="E2283" s="9">
        <v>744989</v>
      </c>
      <c r="F2283" s="8"/>
      <c r="G2283" s="8"/>
      <c r="H2283" s="9">
        <f t="shared" si="389"/>
        <v>0</v>
      </c>
      <c r="I2283" s="8"/>
      <c r="J2283" s="9">
        <f t="shared" si="390"/>
        <v>0</v>
      </c>
      <c r="K2283" s="9">
        <v>744989</v>
      </c>
      <c r="L2283" s="8"/>
      <c r="M2283" s="9">
        <f t="shared" si="391"/>
        <v>0</v>
      </c>
      <c r="N2283" s="8">
        <v>744989</v>
      </c>
      <c r="O2283" s="9"/>
      <c r="P2283" s="9">
        <f t="shared" si="388"/>
        <v>744989</v>
      </c>
      <c r="Q2283" s="9">
        <f t="shared" si="392"/>
        <v>0</v>
      </c>
      <c r="R2283" s="8"/>
      <c r="S2283" s="8"/>
      <c r="T2283" s="8"/>
      <c r="U2283" s="18">
        <f t="shared" si="383"/>
        <v>744989</v>
      </c>
      <c r="V2283" s="17"/>
      <c r="W2283" s="17"/>
      <c r="X2283" s="9">
        <f t="shared" si="384"/>
        <v>744989</v>
      </c>
      <c r="Y2283" s="8"/>
      <c r="Z2283" s="9">
        <f t="shared" si="385"/>
        <v>0</v>
      </c>
      <c r="AA2283" s="8">
        <f t="shared" si="386"/>
        <v>744989</v>
      </c>
      <c r="AB2283" s="8">
        <f t="shared" si="387"/>
        <v>0</v>
      </c>
    </row>
    <row r="2284" spans="1:28" x14ac:dyDescent="0.35">
      <c r="A2284" s="36"/>
      <c r="B2284" s="8"/>
      <c r="C2284" s="7" t="s">
        <v>545</v>
      </c>
      <c r="D2284" s="15" t="s">
        <v>54</v>
      </c>
      <c r="E2284" s="9">
        <v>1953989</v>
      </c>
      <c r="F2284" s="8"/>
      <c r="G2284" s="8"/>
      <c r="H2284" s="9">
        <f t="shared" si="389"/>
        <v>0</v>
      </c>
      <c r="I2284" s="8"/>
      <c r="J2284" s="9">
        <f t="shared" si="390"/>
        <v>0</v>
      </c>
      <c r="K2284" s="9">
        <v>1953989</v>
      </c>
      <c r="L2284" s="8"/>
      <c r="M2284" s="9">
        <f t="shared" si="391"/>
        <v>0</v>
      </c>
      <c r="N2284" s="8">
        <v>1953989</v>
      </c>
      <c r="O2284" s="9"/>
      <c r="P2284" s="9">
        <f t="shared" si="388"/>
        <v>1953989</v>
      </c>
      <c r="Q2284" s="9">
        <f t="shared" si="392"/>
        <v>0</v>
      </c>
      <c r="R2284" s="8"/>
      <c r="S2284" s="8"/>
      <c r="T2284" s="8"/>
      <c r="U2284" s="18">
        <f t="shared" si="383"/>
        <v>1953989</v>
      </c>
      <c r="V2284" s="17"/>
      <c r="W2284" s="17"/>
      <c r="X2284" s="9">
        <f t="shared" si="384"/>
        <v>1953989</v>
      </c>
      <c r="Y2284" s="8"/>
      <c r="Z2284" s="9">
        <f t="shared" si="385"/>
        <v>0</v>
      </c>
      <c r="AA2284" s="8">
        <f t="shared" si="386"/>
        <v>1953989</v>
      </c>
      <c r="AB2284" s="8">
        <f t="shared" si="387"/>
        <v>0</v>
      </c>
    </row>
    <row r="2285" spans="1:28" x14ac:dyDescent="0.35">
      <c r="A2285" s="36"/>
      <c r="B2285" s="8"/>
      <c r="C2285" s="7" t="s">
        <v>859</v>
      </c>
      <c r="D2285" s="15" t="s">
        <v>85</v>
      </c>
      <c r="E2285" s="9">
        <v>1120000</v>
      </c>
      <c r="F2285" s="9">
        <v>1120000</v>
      </c>
      <c r="G2285" s="8"/>
      <c r="H2285" s="9">
        <f t="shared" si="389"/>
        <v>1120000</v>
      </c>
      <c r="I2285" s="8"/>
      <c r="J2285" s="9">
        <f t="shared" si="390"/>
        <v>1120000</v>
      </c>
      <c r="K2285" s="8"/>
      <c r="L2285" s="8"/>
      <c r="M2285" s="9">
        <f t="shared" si="391"/>
        <v>1120000</v>
      </c>
      <c r="N2285" s="8"/>
      <c r="O2285" s="9"/>
      <c r="P2285" s="9">
        <f t="shared" si="388"/>
        <v>0</v>
      </c>
      <c r="Q2285" s="9">
        <f t="shared" si="392"/>
        <v>1120000</v>
      </c>
      <c r="R2285" s="8"/>
      <c r="S2285" s="8"/>
      <c r="T2285" s="8"/>
      <c r="U2285" s="18">
        <f t="shared" si="383"/>
        <v>0</v>
      </c>
      <c r="V2285" s="17"/>
      <c r="W2285" s="17"/>
      <c r="X2285" s="9">
        <f t="shared" si="384"/>
        <v>1120000</v>
      </c>
      <c r="Y2285" s="8"/>
      <c r="Z2285" s="9">
        <f t="shared" si="385"/>
        <v>0</v>
      </c>
      <c r="AA2285" s="8">
        <f t="shared" si="386"/>
        <v>1120000</v>
      </c>
      <c r="AB2285" s="8">
        <f t="shared" si="387"/>
        <v>0</v>
      </c>
    </row>
    <row r="2286" spans="1:28" x14ac:dyDescent="0.35">
      <c r="A2286" s="36"/>
      <c r="B2286" s="9"/>
      <c r="C2286" s="7" t="s">
        <v>860</v>
      </c>
      <c r="D2286" s="15" t="s">
        <v>85</v>
      </c>
      <c r="E2286" s="9">
        <v>102000</v>
      </c>
      <c r="F2286" s="9">
        <v>102000</v>
      </c>
      <c r="G2286" s="8"/>
      <c r="H2286" s="9">
        <f t="shared" si="389"/>
        <v>102000</v>
      </c>
      <c r="I2286" s="8"/>
      <c r="J2286" s="9">
        <f t="shared" si="390"/>
        <v>102000</v>
      </c>
      <c r="K2286" s="8"/>
      <c r="L2286" s="8"/>
      <c r="M2286" s="9">
        <f t="shared" si="391"/>
        <v>102000</v>
      </c>
      <c r="N2286" s="8"/>
      <c r="O2286" s="9"/>
      <c r="P2286" s="9">
        <f t="shared" si="388"/>
        <v>0</v>
      </c>
      <c r="Q2286" s="9">
        <f t="shared" si="392"/>
        <v>102000</v>
      </c>
      <c r="R2286" s="8"/>
      <c r="S2286" s="8"/>
      <c r="T2286" s="8"/>
      <c r="U2286" s="18">
        <f t="shared" si="383"/>
        <v>0</v>
      </c>
      <c r="V2286" s="17"/>
      <c r="W2286" s="17"/>
      <c r="X2286" s="9">
        <f t="shared" si="384"/>
        <v>102000</v>
      </c>
      <c r="Y2286" s="8"/>
      <c r="Z2286" s="9">
        <f t="shared" si="385"/>
        <v>0</v>
      </c>
      <c r="AA2286" s="8">
        <f t="shared" si="386"/>
        <v>102000</v>
      </c>
      <c r="AB2286" s="8">
        <f t="shared" si="387"/>
        <v>0</v>
      </c>
    </row>
    <row r="2287" spans="1:28" x14ac:dyDescent="0.35">
      <c r="A2287" s="36"/>
      <c r="B2287" s="8"/>
      <c r="C2287" s="7" t="s">
        <v>535</v>
      </c>
      <c r="D2287" s="15" t="s">
        <v>58</v>
      </c>
      <c r="E2287" s="9">
        <v>6849727.5</v>
      </c>
      <c r="F2287" s="9">
        <v>6849727.5</v>
      </c>
      <c r="G2287" s="8"/>
      <c r="H2287" s="9">
        <f t="shared" si="389"/>
        <v>6849727.5</v>
      </c>
      <c r="I2287" s="8"/>
      <c r="J2287" s="9">
        <f t="shared" si="390"/>
        <v>6849727.5</v>
      </c>
      <c r="K2287" s="8"/>
      <c r="L2287" s="8"/>
      <c r="M2287" s="9">
        <f t="shared" si="391"/>
        <v>6849727.5</v>
      </c>
      <c r="N2287" s="8"/>
      <c r="O2287" s="9"/>
      <c r="P2287" s="9">
        <f t="shared" si="388"/>
        <v>0</v>
      </c>
      <c r="Q2287" s="9">
        <f t="shared" si="392"/>
        <v>6849727.5</v>
      </c>
      <c r="R2287" s="8"/>
      <c r="S2287" s="8"/>
      <c r="T2287" s="8"/>
      <c r="U2287" s="18">
        <f t="shared" si="383"/>
        <v>0</v>
      </c>
      <c r="V2287" s="17"/>
      <c r="W2287" s="17"/>
      <c r="X2287" s="9">
        <f t="shared" si="384"/>
        <v>6849727.5</v>
      </c>
      <c r="Y2287" s="8"/>
      <c r="Z2287" s="9">
        <f t="shared" si="385"/>
        <v>0</v>
      </c>
      <c r="AA2287" s="8">
        <f t="shared" si="386"/>
        <v>6849727.5</v>
      </c>
      <c r="AB2287" s="8">
        <f t="shared" si="387"/>
        <v>0</v>
      </c>
    </row>
    <row r="2288" spans="1:28" x14ac:dyDescent="0.35">
      <c r="A2288" s="36"/>
      <c r="B2288" s="8"/>
      <c r="C2288" s="7" t="s">
        <v>535</v>
      </c>
      <c r="D2288" s="15" t="s">
        <v>60</v>
      </c>
      <c r="E2288" s="9">
        <v>7404495</v>
      </c>
      <c r="F2288" s="9">
        <v>7404495</v>
      </c>
      <c r="G2288" s="8"/>
      <c r="H2288" s="9">
        <f t="shared" si="389"/>
        <v>7404495</v>
      </c>
      <c r="I2288" s="8"/>
      <c r="J2288" s="9">
        <f t="shared" si="390"/>
        <v>7404495</v>
      </c>
      <c r="K2288" s="8"/>
      <c r="L2288" s="8"/>
      <c r="M2288" s="9">
        <f t="shared" si="391"/>
        <v>7404495</v>
      </c>
      <c r="N2288" s="8"/>
      <c r="O2288" s="9"/>
      <c r="P2288" s="9">
        <f t="shared" si="388"/>
        <v>0</v>
      </c>
      <c r="Q2288" s="9">
        <f t="shared" si="392"/>
        <v>7404495</v>
      </c>
      <c r="R2288" s="8"/>
      <c r="S2288" s="8"/>
      <c r="T2288" s="8"/>
      <c r="U2288" s="18">
        <f t="shared" si="383"/>
        <v>0</v>
      </c>
      <c r="V2288" s="17"/>
      <c r="W2288" s="17"/>
      <c r="X2288" s="9">
        <f t="shared" si="384"/>
        <v>7404495</v>
      </c>
      <c r="Y2288" s="8"/>
      <c r="Z2288" s="9">
        <f t="shared" si="385"/>
        <v>0</v>
      </c>
      <c r="AA2288" s="8">
        <f t="shared" si="386"/>
        <v>7404495</v>
      </c>
      <c r="AB2288" s="8">
        <f t="shared" si="387"/>
        <v>0</v>
      </c>
    </row>
    <row r="2289" spans="1:28" x14ac:dyDescent="0.35">
      <c r="A2289" s="36"/>
      <c r="B2289" s="8"/>
      <c r="C2289" s="14" t="s">
        <v>535</v>
      </c>
      <c r="D2289" s="21" t="s">
        <v>61</v>
      </c>
      <c r="E2289" s="11">
        <f>2335.88+7385.28+509435.54</f>
        <v>519156.69999999995</v>
      </c>
      <c r="F2289" s="11">
        <v>509435.54</v>
      </c>
      <c r="G2289" s="8"/>
      <c r="H2289" s="9">
        <f t="shared" si="389"/>
        <v>509435.54</v>
      </c>
      <c r="I2289" s="8"/>
      <c r="J2289" s="9">
        <f t="shared" si="390"/>
        <v>509435.54</v>
      </c>
      <c r="K2289" s="8"/>
      <c r="L2289" s="8"/>
      <c r="M2289" s="9">
        <f t="shared" si="391"/>
        <v>509435.54</v>
      </c>
      <c r="N2289" s="11"/>
      <c r="O2289" s="9"/>
      <c r="P2289" s="9">
        <f t="shared" si="388"/>
        <v>0</v>
      </c>
      <c r="Q2289" s="9">
        <f t="shared" si="392"/>
        <v>519156.69999999995</v>
      </c>
      <c r="R2289" s="8"/>
      <c r="S2289" s="8"/>
      <c r="T2289" s="8">
        <v>9721.16</v>
      </c>
      <c r="U2289" s="18">
        <f t="shared" si="383"/>
        <v>9721.16</v>
      </c>
      <c r="V2289" s="17"/>
      <c r="W2289" s="17"/>
      <c r="X2289" s="9">
        <f t="shared" si="384"/>
        <v>509435.54</v>
      </c>
      <c r="Y2289" s="8"/>
      <c r="Z2289" s="9">
        <f t="shared" si="385"/>
        <v>9721.1599999999744</v>
      </c>
      <c r="AA2289" s="8">
        <f t="shared" si="386"/>
        <v>519156.69999999995</v>
      </c>
      <c r="AB2289" s="8">
        <f t="shared" si="387"/>
        <v>0</v>
      </c>
    </row>
    <row r="2290" spans="1:28" x14ac:dyDescent="0.35">
      <c r="A2290" s="36"/>
      <c r="B2290" s="8"/>
      <c r="C2290" s="14" t="s">
        <v>898</v>
      </c>
      <c r="D2290" s="24" t="s">
        <v>61</v>
      </c>
      <c r="E2290" s="11">
        <f>3685.4+2335.88</f>
        <v>6021.2800000000007</v>
      </c>
      <c r="F2290" s="11"/>
      <c r="G2290" s="8"/>
      <c r="H2290" s="9"/>
      <c r="I2290" s="8"/>
      <c r="J2290" s="9"/>
      <c r="K2290" s="8"/>
      <c r="L2290" s="8"/>
      <c r="M2290" s="9"/>
      <c r="N2290" s="11">
        <f>3685.4+2335.88</f>
        <v>6021.2800000000007</v>
      </c>
      <c r="O2290" s="9"/>
      <c r="P2290" s="9">
        <f>+N2290+O2290</f>
        <v>6021.2800000000007</v>
      </c>
      <c r="Q2290" s="9"/>
      <c r="R2290" s="8"/>
      <c r="S2290" s="8"/>
      <c r="T2290" s="8"/>
      <c r="U2290" s="18">
        <f>+P2290+T2290</f>
        <v>6021.2800000000007</v>
      </c>
      <c r="V2290" s="17"/>
      <c r="W2290" s="17"/>
      <c r="X2290" s="9">
        <f t="shared" si="384"/>
        <v>6021.2800000000007</v>
      </c>
      <c r="Y2290" s="8"/>
      <c r="Z2290" s="9">
        <f t="shared" si="385"/>
        <v>0</v>
      </c>
      <c r="AA2290" s="8">
        <f t="shared" si="386"/>
        <v>6021.2800000000007</v>
      </c>
      <c r="AB2290" s="8">
        <f t="shared" si="387"/>
        <v>0</v>
      </c>
    </row>
    <row r="2291" spans="1:28" x14ac:dyDescent="0.35">
      <c r="A2291" s="36"/>
      <c r="B2291" s="8"/>
      <c r="C2291" s="14" t="s">
        <v>933</v>
      </c>
      <c r="D2291" s="24" t="s">
        <v>1072</v>
      </c>
      <c r="E2291" s="11">
        <v>1330000</v>
      </c>
      <c r="F2291" s="11">
        <v>1330000</v>
      </c>
      <c r="G2291" s="8"/>
      <c r="H2291" s="9">
        <f>+F2291+G2291</f>
        <v>1330000</v>
      </c>
      <c r="I2291" s="8"/>
      <c r="J2291" s="9"/>
      <c r="K2291" s="8"/>
      <c r="L2291" s="8"/>
      <c r="M2291" s="9">
        <f>+H2291+L2291</f>
        <v>1330000</v>
      </c>
      <c r="N2291" s="11"/>
      <c r="O2291" s="9"/>
      <c r="P2291" s="9">
        <f>+N2291+O2291</f>
        <v>0</v>
      </c>
      <c r="Q2291" s="9"/>
      <c r="R2291" s="8"/>
      <c r="S2291" s="8"/>
      <c r="T2291" s="8"/>
      <c r="U2291" s="18">
        <f>+P2291+T2291</f>
        <v>0</v>
      </c>
      <c r="V2291" s="17"/>
      <c r="W2291" s="17"/>
      <c r="X2291" s="9">
        <f>+H2291+P2291</f>
        <v>1330000</v>
      </c>
      <c r="Y2291" s="8"/>
      <c r="Z2291" s="9">
        <f>+E2291-X2291</f>
        <v>0</v>
      </c>
      <c r="AA2291" s="8">
        <f>+M2291+U2291</f>
        <v>1330000</v>
      </c>
      <c r="AB2291" s="8">
        <f>+E2291-AA2291</f>
        <v>0</v>
      </c>
    </row>
    <row r="2292" spans="1:28" x14ac:dyDescent="0.35">
      <c r="A2292" s="36"/>
      <c r="B2292" s="8"/>
      <c r="C2292" s="7" t="s">
        <v>606</v>
      </c>
      <c r="D2292" s="8"/>
      <c r="E2292" s="9">
        <v>5000000</v>
      </c>
      <c r="F2292" s="9">
        <v>5000000</v>
      </c>
      <c r="G2292" s="8"/>
      <c r="H2292" s="9">
        <f t="shared" si="389"/>
        <v>5000000</v>
      </c>
      <c r="I2292" s="8"/>
      <c r="J2292" s="9">
        <f t="shared" si="390"/>
        <v>5000000</v>
      </c>
      <c r="K2292" s="8"/>
      <c r="L2292" s="8"/>
      <c r="M2292" s="9">
        <f t="shared" si="391"/>
        <v>5000000</v>
      </c>
      <c r="N2292" s="8"/>
      <c r="O2292" s="9"/>
      <c r="P2292" s="9">
        <f t="shared" si="388"/>
        <v>0</v>
      </c>
      <c r="Q2292" s="9">
        <f t="shared" si="392"/>
        <v>5000000</v>
      </c>
      <c r="R2292" s="8"/>
      <c r="S2292" s="8"/>
      <c r="T2292" s="8"/>
      <c r="U2292" s="18">
        <f t="shared" si="383"/>
        <v>0</v>
      </c>
      <c r="V2292" s="17"/>
      <c r="W2292" s="17"/>
      <c r="X2292" s="9">
        <f t="shared" si="384"/>
        <v>5000000</v>
      </c>
      <c r="Y2292" s="8"/>
      <c r="Z2292" s="9">
        <f t="shared" si="385"/>
        <v>0</v>
      </c>
      <c r="AA2292" s="8">
        <f t="shared" si="386"/>
        <v>5000000</v>
      </c>
      <c r="AB2292" s="8">
        <f t="shared" si="387"/>
        <v>0</v>
      </c>
    </row>
    <row r="2293" spans="1:28" x14ac:dyDescent="0.35">
      <c r="A2293" s="36"/>
      <c r="B2293" s="8"/>
      <c r="C2293" s="8"/>
      <c r="D2293" s="8"/>
      <c r="E2293" s="17" t="s">
        <v>29</v>
      </c>
      <c r="F2293" s="17" t="s">
        <v>29</v>
      </c>
      <c r="G2293" s="17" t="s">
        <v>29</v>
      </c>
      <c r="H2293" s="17" t="s">
        <v>29</v>
      </c>
      <c r="I2293" s="17" t="s">
        <v>29</v>
      </c>
      <c r="J2293" s="17" t="s">
        <v>29</v>
      </c>
      <c r="K2293" s="17" t="s">
        <v>29</v>
      </c>
      <c r="L2293" s="17" t="s">
        <v>29</v>
      </c>
      <c r="M2293" s="17" t="s">
        <v>29</v>
      </c>
      <c r="N2293" s="17" t="s">
        <v>29</v>
      </c>
      <c r="O2293" s="17" t="s">
        <v>29</v>
      </c>
      <c r="P2293" s="17" t="s">
        <v>29</v>
      </c>
      <c r="Q2293" s="17" t="s">
        <v>29</v>
      </c>
      <c r="R2293" s="17" t="s">
        <v>29</v>
      </c>
      <c r="S2293" s="17" t="s">
        <v>29</v>
      </c>
      <c r="T2293" s="17" t="s">
        <v>29</v>
      </c>
      <c r="U2293" s="17" t="s">
        <v>29</v>
      </c>
      <c r="V2293" s="17" t="s">
        <v>29</v>
      </c>
      <c r="W2293" s="17" t="s">
        <v>29</v>
      </c>
      <c r="X2293" s="17" t="s">
        <v>29</v>
      </c>
      <c r="Y2293" s="17" t="s">
        <v>29</v>
      </c>
      <c r="Z2293" s="17" t="s">
        <v>29</v>
      </c>
      <c r="AA2293" s="17" t="s">
        <v>29</v>
      </c>
      <c r="AB2293" s="17" t="s">
        <v>29</v>
      </c>
    </row>
    <row r="2294" spans="1:28" x14ac:dyDescent="0.35">
      <c r="A2294" s="36"/>
      <c r="B2294" s="8"/>
      <c r="C2294" s="8"/>
      <c r="D2294" s="8"/>
      <c r="E2294" s="9">
        <f t="shared" ref="E2294:Q2294" si="393">SUM(E2280:E2293)</f>
        <v>33568328.780000001</v>
      </c>
      <c r="F2294" s="9">
        <f t="shared" si="393"/>
        <v>30118631.579999998</v>
      </c>
      <c r="G2294" s="9">
        <f t="shared" si="393"/>
        <v>0</v>
      </c>
      <c r="H2294" s="9">
        <f t="shared" si="393"/>
        <v>30118631.579999998</v>
      </c>
      <c r="I2294" s="9">
        <f t="shared" si="393"/>
        <v>0</v>
      </c>
      <c r="J2294" s="9">
        <f t="shared" si="393"/>
        <v>28788631.579999998</v>
      </c>
      <c r="K2294" s="9">
        <f t="shared" si="393"/>
        <v>3433954.76</v>
      </c>
      <c r="L2294" s="9">
        <f t="shared" si="393"/>
        <v>0</v>
      </c>
      <c r="M2294" s="9">
        <f t="shared" si="393"/>
        <v>30118631.579999998</v>
      </c>
      <c r="N2294" s="9">
        <f t="shared" si="393"/>
        <v>3439976.0399999996</v>
      </c>
      <c r="O2294" s="9">
        <f t="shared" si="393"/>
        <v>0</v>
      </c>
      <c r="P2294" s="9">
        <f t="shared" si="393"/>
        <v>3439976.0399999996</v>
      </c>
      <c r="Q2294" s="9">
        <f t="shared" si="393"/>
        <v>28798352.739999998</v>
      </c>
      <c r="R2294" s="8"/>
      <c r="S2294" s="8"/>
      <c r="T2294" s="9">
        <f t="shared" ref="T2294:Z2294" si="394">SUM(T2280:T2293)</f>
        <v>9721.16</v>
      </c>
      <c r="U2294" s="9">
        <f t="shared" si="394"/>
        <v>3449697.1999999997</v>
      </c>
      <c r="V2294" s="9">
        <f t="shared" si="394"/>
        <v>0</v>
      </c>
      <c r="W2294" s="9">
        <f t="shared" si="394"/>
        <v>0</v>
      </c>
      <c r="X2294" s="9">
        <f t="shared" si="394"/>
        <v>33558607.620000005</v>
      </c>
      <c r="Y2294" s="9">
        <f t="shared" si="394"/>
        <v>0</v>
      </c>
      <c r="Z2294" s="9">
        <f t="shared" si="394"/>
        <v>9721.1599999999744</v>
      </c>
      <c r="AA2294" s="9">
        <f>SUM(AA2280:AA2293)</f>
        <v>33568328.780000001</v>
      </c>
      <c r="AB2294" s="9">
        <f>SUM(AB2280:AB2293)</f>
        <v>0</v>
      </c>
    </row>
    <row r="2295" spans="1:28" x14ac:dyDescent="0.35">
      <c r="A2295" s="36"/>
      <c r="B2295" s="8"/>
      <c r="C2295" s="8"/>
      <c r="D2295" s="8"/>
      <c r="E2295" s="17" t="s">
        <v>29</v>
      </c>
      <c r="F2295" s="17" t="s">
        <v>29</v>
      </c>
      <c r="G2295" s="17" t="s">
        <v>29</v>
      </c>
      <c r="H2295" s="17" t="s">
        <v>29</v>
      </c>
      <c r="I2295" s="17" t="s">
        <v>29</v>
      </c>
      <c r="J2295" s="17" t="s">
        <v>29</v>
      </c>
      <c r="K2295" s="17" t="s">
        <v>29</v>
      </c>
      <c r="L2295" s="17" t="s">
        <v>29</v>
      </c>
      <c r="M2295" s="17" t="s">
        <v>29</v>
      </c>
      <c r="N2295" s="17" t="s">
        <v>29</v>
      </c>
      <c r="O2295" s="17" t="s">
        <v>29</v>
      </c>
      <c r="P2295" s="17" t="s">
        <v>29</v>
      </c>
      <c r="Q2295" s="17" t="s">
        <v>29</v>
      </c>
      <c r="R2295" s="17" t="s">
        <v>29</v>
      </c>
      <c r="S2295" s="17" t="s">
        <v>29</v>
      </c>
      <c r="T2295" s="17" t="s">
        <v>29</v>
      </c>
      <c r="U2295" s="17" t="s">
        <v>29</v>
      </c>
      <c r="V2295" s="17" t="s">
        <v>29</v>
      </c>
      <c r="W2295" s="17" t="s">
        <v>29</v>
      </c>
      <c r="X2295" s="17" t="s">
        <v>29</v>
      </c>
      <c r="Y2295" s="17" t="s">
        <v>29</v>
      </c>
      <c r="Z2295" s="17" t="s">
        <v>29</v>
      </c>
      <c r="AA2295" s="17" t="s">
        <v>29</v>
      </c>
      <c r="AB2295" s="17" t="s">
        <v>29</v>
      </c>
    </row>
    <row r="2296" spans="1:28" x14ac:dyDescent="0.35">
      <c r="A2296" s="38" t="s">
        <v>1041</v>
      </c>
      <c r="B2296" s="7" t="s">
        <v>861</v>
      </c>
      <c r="C2296" s="8"/>
      <c r="D2296" s="8"/>
      <c r="E2296" s="8"/>
      <c r="F2296" s="8"/>
      <c r="G2296" s="8"/>
      <c r="H2296" s="8"/>
      <c r="I2296" s="8"/>
      <c r="J2296" s="8"/>
      <c r="K2296" s="8"/>
      <c r="L2296" s="8"/>
      <c r="M2296" s="8"/>
      <c r="N2296" s="8"/>
      <c r="O2296" s="8"/>
      <c r="P2296" s="8"/>
      <c r="Q2296" s="8"/>
      <c r="R2296" s="8"/>
      <c r="S2296" s="8"/>
      <c r="T2296" s="8"/>
      <c r="U2296" s="8"/>
      <c r="V2296" s="8"/>
      <c r="W2296" s="8"/>
      <c r="X2296" s="8"/>
      <c r="Y2296" s="8"/>
      <c r="Z2296" s="8"/>
    </row>
    <row r="2297" spans="1:28" x14ac:dyDescent="0.35">
      <c r="A2297" s="36"/>
      <c r="B2297" s="8"/>
      <c r="C2297" s="7" t="s">
        <v>862</v>
      </c>
      <c r="D2297" s="15" t="s">
        <v>150</v>
      </c>
      <c r="E2297" s="9">
        <v>465893</v>
      </c>
      <c r="F2297" s="9">
        <v>465893</v>
      </c>
      <c r="G2297" s="8"/>
      <c r="H2297" s="9">
        <f>F2297+G2297</f>
        <v>465893</v>
      </c>
      <c r="I2297" s="8"/>
      <c r="J2297" s="9">
        <f>H2297+I2297</f>
        <v>465893</v>
      </c>
      <c r="K2297" s="9"/>
      <c r="L2297" s="8"/>
      <c r="M2297" s="9">
        <f>+H2297+L2297</f>
        <v>465893</v>
      </c>
      <c r="N2297" s="8"/>
      <c r="O2297" s="9"/>
      <c r="P2297" s="9">
        <f>+N2297+O2297</f>
        <v>0</v>
      </c>
      <c r="Q2297" s="9">
        <f>E2297-P2297</f>
        <v>465893</v>
      </c>
      <c r="R2297" s="8"/>
      <c r="S2297" s="8"/>
      <c r="T2297" s="8"/>
      <c r="U2297" s="18">
        <f t="shared" ref="U2297:U2310" si="395">+P2297+T2297</f>
        <v>0</v>
      </c>
      <c r="V2297" s="17"/>
      <c r="W2297" s="17"/>
      <c r="X2297" s="9">
        <f t="shared" ref="X2297:X2310" si="396">+H2297+P2297</f>
        <v>465893</v>
      </c>
      <c r="Y2297" s="8"/>
      <c r="Z2297" s="9">
        <f t="shared" ref="Z2297:Z2310" si="397">+E2297-X2297</f>
        <v>0</v>
      </c>
      <c r="AA2297" s="8">
        <f t="shared" ref="AA2297:AA2310" si="398">+M2297+U2297</f>
        <v>465893</v>
      </c>
      <c r="AB2297" s="8">
        <f t="shared" ref="AB2297:AB2310" si="399">+E2297-AA2297</f>
        <v>0</v>
      </c>
    </row>
    <row r="2298" spans="1:28" x14ac:dyDescent="0.35">
      <c r="A2298" s="36"/>
      <c r="B2298" s="8"/>
      <c r="C2298" s="8"/>
      <c r="D2298" s="14" t="s">
        <v>79</v>
      </c>
      <c r="E2298" s="8"/>
      <c r="F2298" s="8"/>
      <c r="G2298" s="8"/>
      <c r="H2298" s="8"/>
      <c r="I2298" s="8"/>
      <c r="J2298" s="8"/>
      <c r="K2298" s="8"/>
      <c r="L2298" s="8"/>
      <c r="M2298" s="9">
        <f t="shared" ref="M2298:M2310" si="400">+H2298+L2298</f>
        <v>0</v>
      </c>
      <c r="N2298" s="8"/>
      <c r="O2298" s="8"/>
      <c r="P2298" s="9">
        <f t="shared" ref="P2298:P2310" si="401">+N2298+O2298</f>
        <v>0</v>
      </c>
      <c r="Q2298" s="8"/>
      <c r="R2298" s="8"/>
      <c r="S2298" s="8"/>
      <c r="T2298" s="8"/>
      <c r="U2298" s="18">
        <f t="shared" si="395"/>
        <v>0</v>
      </c>
      <c r="V2298" s="17"/>
      <c r="W2298" s="17"/>
      <c r="X2298" s="9">
        <f t="shared" si="396"/>
        <v>0</v>
      </c>
      <c r="Y2298" s="8"/>
      <c r="Z2298" s="9">
        <f t="shared" si="397"/>
        <v>0</v>
      </c>
      <c r="AA2298" s="8">
        <f t="shared" si="398"/>
        <v>0</v>
      </c>
      <c r="AB2298" s="8">
        <f t="shared" si="399"/>
        <v>0</v>
      </c>
    </row>
    <row r="2299" spans="1:28" x14ac:dyDescent="0.35">
      <c r="A2299" s="36"/>
      <c r="B2299" s="8"/>
      <c r="C2299" s="7" t="s">
        <v>535</v>
      </c>
      <c r="D2299" s="7" t="s">
        <v>211</v>
      </c>
      <c r="E2299" s="9">
        <v>13948800.789999999</v>
      </c>
      <c r="F2299" s="9">
        <v>13281739.300000001</v>
      </c>
      <c r="G2299" s="8"/>
      <c r="H2299" s="9">
        <f t="shared" ref="H2299:H2310" si="402">F2299+G2299</f>
        <v>13281739.300000001</v>
      </c>
      <c r="I2299" s="8"/>
      <c r="J2299" s="9">
        <f t="shared" ref="J2299:J2310" si="403">H2299+I2299</f>
        <v>13281739.300000001</v>
      </c>
      <c r="K2299" s="11">
        <v>667061.49</v>
      </c>
      <c r="L2299" s="8"/>
      <c r="M2299" s="9">
        <f t="shared" si="400"/>
        <v>13281739.300000001</v>
      </c>
      <c r="N2299" s="8">
        <v>667061.49</v>
      </c>
      <c r="O2299" s="9"/>
      <c r="P2299" s="9">
        <f t="shared" si="401"/>
        <v>667061.49</v>
      </c>
      <c r="Q2299" s="9">
        <f t="shared" ref="Q2299:Q2310" si="404">E2299-P2299</f>
        <v>13281739.299999999</v>
      </c>
      <c r="R2299" s="8"/>
      <c r="S2299" s="8"/>
      <c r="T2299" s="8"/>
      <c r="U2299" s="18">
        <f t="shared" si="395"/>
        <v>667061.49</v>
      </c>
      <c r="V2299" s="17"/>
      <c r="W2299" s="17"/>
      <c r="X2299" s="9">
        <f t="shared" si="396"/>
        <v>13948800.790000001</v>
      </c>
      <c r="Y2299" s="8"/>
      <c r="Z2299" s="9">
        <f t="shared" si="397"/>
        <v>0</v>
      </c>
      <c r="AA2299" s="8">
        <f t="shared" si="398"/>
        <v>13948800.790000001</v>
      </c>
      <c r="AB2299" s="8">
        <f t="shared" si="399"/>
        <v>0</v>
      </c>
    </row>
    <row r="2300" spans="1:28" x14ac:dyDescent="0.35">
      <c r="A2300" s="36"/>
      <c r="B2300" s="14" t="s">
        <v>375</v>
      </c>
      <c r="C2300" s="7" t="s">
        <v>863</v>
      </c>
      <c r="D2300" s="7" t="s">
        <v>864</v>
      </c>
      <c r="E2300" s="9">
        <v>205000</v>
      </c>
      <c r="F2300" s="11">
        <v>205000</v>
      </c>
      <c r="G2300" s="8"/>
      <c r="H2300" s="9">
        <f t="shared" si="402"/>
        <v>205000</v>
      </c>
      <c r="I2300" s="8"/>
      <c r="J2300" s="9">
        <f t="shared" si="403"/>
        <v>205000</v>
      </c>
      <c r="K2300" s="9"/>
      <c r="L2300" s="8"/>
      <c r="M2300" s="9">
        <f t="shared" si="400"/>
        <v>205000</v>
      </c>
      <c r="N2300" s="8"/>
      <c r="O2300" s="9"/>
      <c r="P2300" s="9">
        <f t="shared" si="401"/>
        <v>0</v>
      </c>
      <c r="Q2300" s="9">
        <f t="shared" si="404"/>
        <v>205000</v>
      </c>
      <c r="R2300" s="8"/>
      <c r="S2300" s="8"/>
      <c r="T2300" s="8"/>
      <c r="U2300" s="18">
        <f t="shared" si="395"/>
        <v>0</v>
      </c>
      <c r="V2300" s="17"/>
      <c r="W2300" s="17"/>
      <c r="X2300" s="9">
        <f t="shared" si="396"/>
        <v>205000</v>
      </c>
      <c r="Y2300" s="8"/>
      <c r="Z2300" s="9">
        <f t="shared" si="397"/>
        <v>0</v>
      </c>
      <c r="AA2300" s="8">
        <f t="shared" si="398"/>
        <v>205000</v>
      </c>
      <c r="AB2300" s="8">
        <f t="shared" si="399"/>
        <v>0</v>
      </c>
    </row>
    <row r="2301" spans="1:28" x14ac:dyDescent="0.35">
      <c r="A2301" s="36"/>
      <c r="B2301" s="8"/>
      <c r="C2301" s="7" t="s">
        <v>545</v>
      </c>
      <c r="D2301" s="15" t="s">
        <v>68</v>
      </c>
      <c r="E2301" s="9">
        <v>1767770</v>
      </c>
      <c r="F2301" s="8"/>
      <c r="G2301" s="8"/>
      <c r="H2301" s="9">
        <f t="shared" si="402"/>
        <v>0</v>
      </c>
      <c r="I2301" s="8"/>
      <c r="J2301" s="9">
        <f t="shared" si="403"/>
        <v>0</v>
      </c>
      <c r="K2301" s="9">
        <v>1767770</v>
      </c>
      <c r="L2301" s="8"/>
      <c r="M2301" s="9">
        <f t="shared" si="400"/>
        <v>0</v>
      </c>
      <c r="N2301" s="8">
        <v>1767770</v>
      </c>
      <c r="O2301" s="9"/>
      <c r="P2301" s="9">
        <f t="shared" si="401"/>
        <v>1767770</v>
      </c>
      <c r="Q2301" s="9">
        <f t="shared" si="404"/>
        <v>0</v>
      </c>
      <c r="R2301" s="8"/>
      <c r="S2301" s="8"/>
      <c r="T2301" s="8"/>
      <c r="U2301" s="18">
        <f t="shared" si="395"/>
        <v>1767770</v>
      </c>
      <c r="V2301" s="17"/>
      <c r="W2301" s="17"/>
      <c r="X2301" s="9">
        <f t="shared" si="396"/>
        <v>1767770</v>
      </c>
      <c r="Y2301" s="8"/>
      <c r="Z2301" s="9">
        <f t="shared" si="397"/>
        <v>0</v>
      </c>
      <c r="AA2301" s="8">
        <f t="shared" si="398"/>
        <v>1767770</v>
      </c>
      <c r="AB2301" s="8">
        <f t="shared" si="399"/>
        <v>0</v>
      </c>
    </row>
    <row r="2302" spans="1:28" x14ac:dyDescent="0.35">
      <c r="A2302" s="36"/>
      <c r="B2302" s="8"/>
      <c r="C2302" s="14" t="s">
        <v>702</v>
      </c>
      <c r="D2302" s="21" t="s">
        <v>54</v>
      </c>
      <c r="E2302" s="11">
        <v>241480</v>
      </c>
      <c r="F2302" s="8"/>
      <c r="G2302" s="8"/>
      <c r="H2302" s="9">
        <f t="shared" si="402"/>
        <v>0</v>
      </c>
      <c r="I2302" s="8"/>
      <c r="J2302" s="9">
        <f t="shared" si="403"/>
        <v>0</v>
      </c>
      <c r="K2302" s="11">
        <v>241480</v>
      </c>
      <c r="L2302" s="8"/>
      <c r="M2302" s="9">
        <f t="shared" si="400"/>
        <v>0</v>
      </c>
      <c r="N2302" s="8">
        <v>241480</v>
      </c>
      <c r="O2302" s="9"/>
      <c r="P2302" s="9">
        <f t="shared" si="401"/>
        <v>241480</v>
      </c>
      <c r="Q2302" s="9">
        <f t="shared" si="404"/>
        <v>0</v>
      </c>
      <c r="R2302" s="8"/>
      <c r="S2302" s="8"/>
      <c r="T2302" s="8"/>
      <c r="U2302" s="18">
        <f t="shared" si="395"/>
        <v>241480</v>
      </c>
      <c r="V2302" s="17"/>
      <c r="W2302" s="17"/>
      <c r="X2302" s="9">
        <f t="shared" si="396"/>
        <v>241480</v>
      </c>
      <c r="Y2302" s="8"/>
      <c r="Z2302" s="9">
        <f t="shared" si="397"/>
        <v>0</v>
      </c>
      <c r="AA2302" s="8">
        <f t="shared" si="398"/>
        <v>241480</v>
      </c>
      <c r="AB2302" s="8">
        <f t="shared" si="399"/>
        <v>0</v>
      </c>
    </row>
    <row r="2303" spans="1:28" x14ac:dyDescent="0.35">
      <c r="A2303" s="36"/>
      <c r="B2303" s="8"/>
      <c r="C2303" s="7" t="s">
        <v>865</v>
      </c>
      <c r="D2303" s="7" t="s">
        <v>308</v>
      </c>
      <c r="E2303" s="9">
        <v>2480000</v>
      </c>
      <c r="F2303" s="9">
        <v>2480000</v>
      </c>
      <c r="G2303" s="8"/>
      <c r="H2303" s="9">
        <f t="shared" si="402"/>
        <v>2480000</v>
      </c>
      <c r="I2303" s="8"/>
      <c r="J2303" s="9">
        <f t="shared" si="403"/>
        <v>2480000</v>
      </c>
      <c r="K2303" s="8"/>
      <c r="L2303" s="8"/>
      <c r="M2303" s="9">
        <f t="shared" si="400"/>
        <v>2480000</v>
      </c>
      <c r="N2303" s="8"/>
      <c r="O2303" s="9"/>
      <c r="P2303" s="9">
        <f t="shared" si="401"/>
        <v>0</v>
      </c>
      <c r="Q2303" s="9">
        <f t="shared" si="404"/>
        <v>2480000</v>
      </c>
      <c r="R2303" s="8"/>
      <c r="S2303" s="8"/>
      <c r="T2303" s="8"/>
      <c r="U2303" s="18">
        <f t="shared" si="395"/>
        <v>0</v>
      </c>
      <c r="V2303" s="17"/>
      <c r="W2303" s="17"/>
      <c r="X2303" s="9">
        <f t="shared" si="396"/>
        <v>2480000</v>
      </c>
      <c r="Y2303" s="8"/>
      <c r="Z2303" s="9">
        <f t="shared" si="397"/>
        <v>0</v>
      </c>
      <c r="AA2303" s="8">
        <f t="shared" si="398"/>
        <v>2480000</v>
      </c>
      <c r="AB2303" s="8">
        <f t="shared" si="399"/>
        <v>0</v>
      </c>
    </row>
    <row r="2304" spans="1:28" x14ac:dyDescent="0.35">
      <c r="A2304" s="36"/>
      <c r="B2304" s="9"/>
      <c r="C2304" s="7" t="s">
        <v>860</v>
      </c>
      <c r="D2304" s="15" t="s">
        <v>85</v>
      </c>
      <c r="E2304" s="9">
        <v>240000</v>
      </c>
      <c r="F2304" s="9">
        <v>240000</v>
      </c>
      <c r="G2304" s="8"/>
      <c r="H2304" s="9">
        <f t="shared" si="402"/>
        <v>240000</v>
      </c>
      <c r="I2304" s="8"/>
      <c r="J2304" s="9">
        <f t="shared" si="403"/>
        <v>240000</v>
      </c>
      <c r="K2304" s="8"/>
      <c r="L2304" s="8"/>
      <c r="M2304" s="9">
        <f t="shared" si="400"/>
        <v>240000</v>
      </c>
      <c r="N2304" s="8"/>
      <c r="O2304" s="9"/>
      <c r="P2304" s="9">
        <f t="shared" si="401"/>
        <v>0</v>
      </c>
      <c r="Q2304" s="9">
        <f t="shared" si="404"/>
        <v>240000</v>
      </c>
      <c r="R2304" s="8"/>
      <c r="S2304" s="8"/>
      <c r="T2304" s="8"/>
      <c r="U2304" s="18">
        <f t="shared" si="395"/>
        <v>0</v>
      </c>
      <c r="V2304" s="17"/>
      <c r="W2304" s="17"/>
      <c r="X2304" s="9">
        <f t="shared" si="396"/>
        <v>240000</v>
      </c>
      <c r="Y2304" s="8"/>
      <c r="Z2304" s="9">
        <f t="shared" si="397"/>
        <v>0</v>
      </c>
      <c r="AA2304" s="8">
        <f t="shared" si="398"/>
        <v>240000</v>
      </c>
      <c r="AB2304" s="8">
        <f t="shared" si="399"/>
        <v>0</v>
      </c>
    </row>
    <row r="2305" spans="1:28" x14ac:dyDescent="0.35">
      <c r="A2305" s="36"/>
      <c r="B2305" s="8"/>
      <c r="C2305" s="14" t="s">
        <v>866</v>
      </c>
      <c r="D2305" s="21" t="s">
        <v>128</v>
      </c>
      <c r="E2305" s="11">
        <v>300000</v>
      </c>
      <c r="F2305" s="11">
        <v>300000</v>
      </c>
      <c r="G2305" s="8"/>
      <c r="H2305" s="9">
        <f t="shared" si="402"/>
        <v>300000</v>
      </c>
      <c r="I2305" s="8"/>
      <c r="J2305" s="9">
        <f t="shared" si="403"/>
        <v>300000</v>
      </c>
      <c r="K2305" s="8"/>
      <c r="L2305" s="8"/>
      <c r="M2305" s="9">
        <f t="shared" si="400"/>
        <v>300000</v>
      </c>
      <c r="N2305" s="8"/>
      <c r="O2305" s="9"/>
      <c r="P2305" s="9">
        <f t="shared" si="401"/>
        <v>0</v>
      </c>
      <c r="Q2305" s="9">
        <f t="shared" si="404"/>
        <v>300000</v>
      </c>
      <c r="R2305" s="8"/>
      <c r="S2305" s="8"/>
      <c r="T2305" s="8"/>
      <c r="U2305" s="18">
        <f t="shared" si="395"/>
        <v>0</v>
      </c>
      <c r="V2305" s="17"/>
      <c r="W2305" s="17"/>
      <c r="X2305" s="9">
        <f t="shared" si="396"/>
        <v>300000</v>
      </c>
      <c r="Y2305" s="8"/>
      <c r="Z2305" s="9">
        <f t="shared" si="397"/>
        <v>0</v>
      </c>
      <c r="AA2305" s="8">
        <f t="shared" si="398"/>
        <v>300000</v>
      </c>
      <c r="AB2305" s="8">
        <f t="shared" si="399"/>
        <v>0</v>
      </c>
    </row>
    <row r="2306" spans="1:28" x14ac:dyDescent="0.35">
      <c r="A2306" s="36"/>
      <c r="B2306" s="8"/>
      <c r="C2306" s="7" t="s">
        <v>535</v>
      </c>
      <c r="D2306" s="15" t="s">
        <v>58</v>
      </c>
      <c r="E2306" s="9">
        <v>6722811</v>
      </c>
      <c r="F2306" s="9">
        <v>6722811</v>
      </c>
      <c r="G2306" s="8"/>
      <c r="H2306" s="9">
        <f t="shared" si="402"/>
        <v>6722811</v>
      </c>
      <c r="I2306" s="8"/>
      <c r="J2306" s="9">
        <f t="shared" si="403"/>
        <v>6722811</v>
      </c>
      <c r="K2306" s="8"/>
      <c r="L2306" s="8"/>
      <c r="M2306" s="9">
        <f t="shared" si="400"/>
        <v>6722811</v>
      </c>
      <c r="N2306" s="8"/>
      <c r="O2306" s="9"/>
      <c r="P2306" s="9">
        <f t="shared" si="401"/>
        <v>0</v>
      </c>
      <c r="Q2306" s="9">
        <f t="shared" si="404"/>
        <v>6722811</v>
      </c>
      <c r="R2306" s="8"/>
      <c r="S2306" s="8"/>
      <c r="T2306" s="8"/>
      <c r="U2306" s="18">
        <f t="shared" si="395"/>
        <v>0</v>
      </c>
      <c r="V2306" s="17"/>
      <c r="W2306" s="17"/>
      <c r="X2306" s="9">
        <f t="shared" si="396"/>
        <v>6722811</v>
      </c>
      <c r="Y2306" s="8"/>
      <c r="Z2306" s="9">
        <f t="shared" si="397"/>
        <v>0</v>
      </c>
      <c r="AA2306" s="8">
        <f t="shared" si="398"/>
        <v>6722811</v>
      </c>
      <c r="AB2306" s="8">
        <f t="shared" si="399"/>
        <v>0</v>
      </c>
    </row>
    <row r="2307" spans="1:28" x14ac:dyDescent="0.35">
      <c r="A2307" s="36"/>
      <c r="B2307" s="8"/>
      <c r="C2307" s="7" t="s">
        <v>535</v>
      </c>
      <c r="D2307" s="15" t="s">
        <v>60</v>
      </c>
      <c r="E2307" s="9">
        <v>11716759.800000001</v>
      </c>
      <c r="F2307" s="9">
        <v>11716759.800000001</v>
      </c>
      <c r="G2307" s="8"/>
      <c r="H2307" s="9">
        <f t="shared" si="402"/>
        <v>11716759.800000001</v>
      </c>
      <c r="I2307" s="8"/>
      <c r="J2307" s="9">
        <f t="shared" si="403"/>
        <v>11716759.800000001</v>
      </c>
      <c r="K2307" s="8"/>
      <c r="L2307" s="8"/>
      <c r="M2307" s="9">
        <f t="shared" si="400"/>
        <v>11716759.800000001</v>
      </c>
      <c r="N2307" s="8"/>
      <c r="O2307" s="9"/>
      <c r="P2307" s="9">
        <f t="shared" si="401"/>
        <v>0</v>
      </c>
      <c r="Q2307" s="9">
        <f t="shared" si="404"/>
        <v>11716759.800000001</v>
      </c>
      <c r="R2307" s="8"/>
      <c r="S2307" s="8"/>
      <c r="T2307" s="8"/>
      <c r="U2307" s="18">
        <f t="shared" si="395"/>
        <v>0</v>
      </c>
      <c r="V2307" s="17"/>
      <c r="W2307" s="17"/>
      <c r="X2307" s="9">
        <f t="shared" si="396"/>
        <v>11716759.800000001</v>
      </c>
      <c r="Y2307" s="8"/>
      <c r="Z2307" s="9">
        <f t="shared" si="397"/>
        <v>0</v>
      </c>
      <c r="AA2307" s="8">
        <f t="shared" si="398"/>
        <v>11716759.800000001</v>
      </c>
      <c r="AB2307" s="8">
        <f t="shared" si="399"/>
        <v>0</v>
      </c>
    </row>
    <row r="2308" spans="1:28" x14ac:dyDescent="0.35">
      <c r="A2308" s="36"/>
      <c r="B2308" s="8"/>
      <c r="C2308" s="14" t="s">
        <v>535</v>
      </c>
      <c r="D2308" s="15" t="s">
        <v>61</v>
      </c>
      <c r="E2308" s="11">
        <v>408356.07</v>
      </c>
      <c r="F2308" s="11">
        <v>408356.07</v>
      </c>
      <c r="G2308" s="8"/>
      <c r="H2308" s="9">
        <f t="shared" si="402"/>
        <v>408356.07</v>
      </c>
      <c r="I2308" s="8"/>
      <c r="J2308" s="9">
        <f t="shared" si="403"/>
        <v>408356.07</v>
      </c>
      <c r="K2308" s="8"/>
      <c r="L2308" s="8"/>
      <c r="M2308" s="9">
        <f t="shared" si="400"/>
        <v>408356.07</v>
      </c>
      <c r="N2308" s="8"/>
      <c r="O2308" s="9"/>
      <c r="P2308" s="9">
        <f t="shared" si="401"/>
        <v>0</v>
      </c>
      <c r="Q2308" s="9">
        <f t="shared" si="404"/>
        <v>408356.07</v>
      </c>
      <c r="R2308" s="8"/>
      <c r="S2308" s="8"/>
      <c r="T2308" s="8"/>
      <c r="U2308" s="18">
        <f t="shared" si="395"/>
        <v>0</v>
      </c>
      <c r="V2308" s="17"/>
      <c r="W2308" s="17"/>
      <c r="X2308" s="9">
        <f t="shared" si="396"/>
        <v>408356.07</v>
      </c>
      <c r="Y2308" s="8"/>
      <c r="Z2308" s="9">
        <f t="shared" si="397"/>
        <v>0</v>
      </c>
      <c r="AA2308" s="8">
        <f t="shared" si="398"/>
        <v>408356.07</v>
      </c>
      <c r="AB2308" s="8">
        <f t="shared" si="399"/>
        <v>0</v>
      </c>
    </row>
    <row r="2309" spans="1:28" x14ac:dyDescent="0.35">
      <c r="A2309" s="36"/>
      <c r="B2309" s="8"/>
      <c r="C2309" s="14" t="s">
        <v>929</v>
      </c>
      <c r="D2309" s="16" t="s">
        <v>1072</v>
      </c>
      <c r="E2309" s="11">
        <v>739911.08</v>
      </c>
      <c r="F2309" s="11">
        <v>739911.08</v>
      </c>
      <c r="G2309" s="8"/>
      <c r="H2309" s="9">
        <f>+F2309+G2309</f>
        <v>739911.08</v>
      </c>
      <c r="I2309" s="8"/>
      <c r="J2309" s="9"/>
      <c r="K2309" s="8"/>
      <c r="L2309" s="8"/>
      <c r="M2309" s="9">
        <f>+H2309+L2309</f>
        <v>739911.08</v>
      </c>
      <c r="N2309" s="8"/>
      <c r="O2309" s="9"/>
      <c r="P2309" s="9">
        <f t="shared" si="401"/>
        <v>0</v>
      </c>
      <c r="Q2309" s="9"/>
      <c r="R2309" s="8"/>
      <c r="S2309" s="8"/>
      <c r="T2309" s="8"/>
      <c r="U2309" s="18">
        <f>+P2309+T2309</f>
        <v>0</v>
      </c>
      <c r="V2309" s="17"/>
      <c r="W2309" s="17"/>
      <c r="X2309" s="9">
        <f t="shared" si="396"/>
        <v>739911.08</v>
      </c>
      <c r="Y2309" s="8"/>
      <c r="Z2309" s="9">
        <f t="shared" si="397"/>
        <v>0</v>
      </c>
      <c r="AA2309" s="8">
        <f t="shared" si="398"/>
        <v>739911.08</v>
      </c>
      <c r="AB2309" s="8">
        <f t="shared" si="399"/>
        <v>0</v>
      </c>
    </row>
    <row r="2310" spans="1:28" x14ac:dyDescent="0.35">
      <c r="A2310" s="36"/>
      <c r="B2310" s="8"/>
      <c r="C2310" s="7" t="s">
        <v>606</v>
      </c>
      <c r="D2310" s="8"/>
      <c r="E2310" s="9">
        <v>5151053.2</v>
      </c>
      <c r="F2310" s="9">
        <v>5151053.2</v>
      </c>
      <c r="G2310" s="8"/>
      <c r="H2310" s="9">
        <f t="shared" si="402"/>
        <v>5151053.2</v>
      </c>
      <c r="I2310" s="8"/>
      <c r="J2310" s="9">
        <f t="shared" si="403"/>
        <v>5151053.2</v>
      </c>
      <c r="K2310" s="8"/>
      <c r="L2310" s="8"/>
      <c r="M2310" s="9">
        <f t="shared" si="400"/>
        <v>5151053.2</v>
      </c>
      <c r="N2310" s="8"/>
      <c r="O2310" s="9"/>
      <c r="P2310" s="9">
        <f t="shared" si="401"/>
        <v>0</v>
      </c>
      <c r="Q2310" s="9">
        <f t="shared" si="404"/>
        <v>5151053.2</v>
      </c>
      <c r="R2310" s="8"/>
      <c r="S2310" s="8"/>
      <c r="T2310" s="8"/>
      <c r="U2310" s="18">
        <f t="shared" si="395"/>
        <v>0</v>
      </c>
      <c r="V2310" s="17"/>
      <c r="W2310" s="17"/>
      <c r="X2310" s="9">
        <f t="shared" si="396"/>
        <v>5151053.2</v>
      </c>
      <c r="Y2310" s="8"/>
      <c r="Z2310" s="9">
        <f t="shared" si="397"/>
        <v>0</v>
      </c>
      <c r="AA2310" s="8">
        <f t="shared" si="398"/>
        <v>5151053.2</v>
      </c>
      <c r="AB2310" s="8">
        <f t="shared" si="399"/>
        <v>0</v>
      </c>
    </row>
    <row r="2311" spans="1:28" x14ac:dyDescent="0.35">
      <c r="A2311" s="36"/>
      <c r="B2311" s="8"/>
      <c r="C2311" s="8"/>
      <c r="D2311" s="8"/>
      <c r="E2311" s="17" t="s">
        <v>29</v>
      </c>
      <c r="F2311" s="17" t="s">
        <v>29</v>
      </c>
      <c r="G2311" s="17" t="s">
        <v>29</v>
      </c>
      <c r="H2311" s="17" t="s">
        <v>29</v>
      </c>
      <c r="I2311" s="17" t="s">
        <v>29</v>
      </c>
      <c r="J2311" s="17" t="s">
        <v>29</v>
      </c>
      <c r="K2311" s="17" t="s">
        <v>29</v>
      </c>
      <c r="L2311" s="17" t="s">
        <v>29</v>
      </c>
      <c r="M2311" s="17" t="s">
        <v>29</v>
      </c>
      <c r="N2311" s="17" t="s">
        <v>29</v>
      </c>
      <c r="O2311" s="17" t="s">
        <v>29</v>
      </c>
      <c r="P2311" s="17" t="s">
        <v>29</v>
      </c>
      <c r="Q2311" s="17" t="s">
        <v>29</v>
      </c>
      <c r="R2311" s="17" t="s">
        <v>29</v>
      </c>
      <c r="S2311" s="17" t="s">
        <v>29</v>
      </c>
      <c r="T2311" s="17" t="s">
        <v>29</v>
      </c>
      <c r="U2311" s="17" t="s">
        <v>29</v>
      </c>
      <c r="V2311" s="17" t="s">
        <v>29</v>
      </c>
      <c r="W2311" s="17" t="s">
        <v>29</v>
      </c>
      <c r="X2311" s="17" t="s">
        <v>29</v>
      </c>
      <c r="Y2311" s="17" t="s">
        <v>29</v>
      </c>
      <c r="Z2311" s="17" t="s">
        <v>29</v>
      </c>
      <c r="AA2311" s="17" t="s">
        <v>29</v>
      </c>
      <c r="AB2311" s="17" t="s">
        <v>29</v>
      </c>
    </row>
    <row r="2312" spans="1:28" x14ac:dyDescent="0.35">
      <c r="A2312" s="36"/>
      <c r="B2312" s="8"/>
      <c r="C2312" s="8"/>
      <c r="D2312" s="8"/>
      <c r="E2312" s="9">
        <f t="shared" ref="E2312:Q2312" si="405">SUM(E2297:E2311)</f>
        <v>44387834.940000005</v>
      </c>
      <c r="F2312" s="9">
        <f t="shared" si="405"/>
        <v>41711523.450000003</v>
      </c>
      <c r="G2312" s="9">
        <f t="shared" si="405"/>
        <v>0</v>
      </c>
      <c r="H2312" s="9">
        <f t="shared" si="405"/>
        <v>41711523.450000003</v>
      </c>
      <c r="I2312" s="9">
        <f t="shared" si="405"/>
        <v>0</v>
      </c>
      <c r="J2312" s="9">
        <f t="shared" si="405"/>
        <v>40971612.370000005</v>
      </c>
      <c r="K2312" s="9">
        <f t="shared" si="405"/>
        <v>2676311.4900000002</v>
      </c>
      <c r="L2312" s="9">
        <f t="shared" si="405"/>
        <v>0</v>
      </c>
      <c r="M2312" s="9">
        <f t="shared" si="405"/>
        <v>41711523.450000003</v>
      </c>
      <c r="N2312" s="9">
        <f t="shared" si="405"/>
        <v>2676311.4900000002</v>
      </c>
      <c r="O2312" s="9">
        <f t="shared" si="405"/>
        <v>0</v>
      </c>
      <c r="P2312" s="9">
        <f t="shared" si="405"/>
        <v>2676311.4900000002</v>
      </c>
      <c r="Q2312" s="9">
        <f t="shared" si="405"/>
        <v>40971612.369999997</v>
      </c>
      <c r="R2312" s="8"/>
      <c r="S2312" s="8"/>
      <c r="T2312" s="9">
        <f t="shared" ref="T2312:Z2312" si="406">SUM(T2297:T2311)</f>
        <v>0</v>
      </c>
      <c r="U2312" s="9">
        <f t="shared" si="406"/>
        <v>2676311.4900000002</v>
      </c>
      <c r="V2312" s="9">
        <f t="shared" si="406"/>
        <v>0</v>
      </c>
      <c r="W2312" s="9">
        <f t="shared" si="406"/>
        <v>0</v>
      </c>
      <c r="X2312" s="9">
        <f t="shared" si="406"/>
        <v>44387834.940000005</v>
      </c>
      <c r="Y2312" s="9">
        <f t="shared" si="406"/>
        <v>0</v>
      </c>
      <c r="Z2312" s="9">
        <f t="shared" si="406"/>
        <v>0</v>
      </c>
      <c r="AA2312" s="9">
        <f>SUM(AA2297:AA2311)</f>
        <v>44387834.940000005</v>
      </c>
      <c r="AB2312" s="9">
        <f>SUM(AB2297:AB2311)</f>
        <v>0</v>
      </c>
    </row>
    <row r="2313" spans="1:28" x14ac:dyDescent="0.35">
      <c r="A2313" s="36"/>
      <c r="B2313" s="8"/>
      <c r="C2313" s="8"/>
      <c r="D2313" s="8"/>
      <c r="E2313" s="17" t="s">
        <v>29</v>
      </c>
      <c r="F2313" s="17" t="s">
        <v>29</v>
      </c>
      <c r="G2313" s="17" t="s">
        <v>29</v>
      </c>
      <c r="H2313" s="17" t="s">
        <v>29</v>
      </c>
      <c r="I2313" s="17" t="s">
        <v>29</v>
      </c>
      <c r="J2313" s="17" t="s">
        <v>29</v>
      </c>
      <c r="K2313" s="17" t="s">
        <v>29</v>
      </c>
      <c r="L2313" s="17" t="s">
        <v>29</v>
      </c>
      <c r="M2313" s="17" t="s">
        <v>29</v>
      </c>
      <c r="N2313" s="17" t="s">
        <v>29</v>
      </c>
      <c r="O2313" s="17" t="s">
        <v>29</v>
      </c>
      <c r="P2313" s="17" t="s">
        <v>29</v>
      </c>
      <c r="Q2313" s="17" t="s">
        <v>29</v>
      </c>
      <c r="R2313" s="17" t="s">
        <v>29</v>
      </c>
      <c r="S2313" s="17" t="s">
        <v>29</v>
      </c>
      <c r="T2313" s="17" t="s">
        <v>29</v>
      </c>
      <c r="U2313" s="17" t="s">
        <v>29</v>
      </c>
      <c r="V2313" s="17" t="s">
        <v>29</v>
      </c>
      <c r="W2313" s="17" t="s">
        <v>29</v>
      </c>
      <c r="X2313" s="17" t="s">
        <v>29</v>
      </c>
      <c r="Y2313" s="17" t="s">
        <v>29</v>
      </c>
      <c r="Z2313" s="17" t="s">
        <v>29</v>
      </c>
      <c r="AA2313" s="17" t="s">
        <v>29</v>
      </c>
      <c r="AB2313" s="17" t="s">
        <v>29</v>
      </c>
    </row>
    <row r="2314" spans="1:28" x14ac:dyDescent="0.35">
      <c r="A2314" s="36"/>
      <c r="B2314" s="7" t="s">
        <v>867</v>
      </c>
      <c r="C2314" s="8"/>
      <c r="D2314" s="8"/>
      <c r="E2314" s="9">
        <f>E2188+E2211+E2235+E2250+E2277+E2294+E2312</f>
        <v>298855240.33000004</v>
      </c>
      <c r="F2314" s="9">
        <f t="shared" ref="F2314:AB2314" si="407">F2188+F2211+F2235+F2250+F2277+F2294+F2312</f>
        <v>280758317.06</v>
      </c>
      <c r="G2314" s="9">
        <f t="shared" si="407"/>
        <v>0</v>
      </c>
      <c r="H2314" s="9">
        <f t="shared" si="407"/>
        <v>280758317.06</v>
      </c>
      <c r="I2314" s="9">
        <f t="shared" si="407"/>
        <v>0</v>
      </c>
      <c r="J2314" s="9">
        <f t="shared" si="407"/>
        <v>257863518.70999998</v>
      </c>
      <c r="K2314" s="9">
        <f t="shared" si="407"/>
        <v>18001180.829999998</v>
      </c>
      <c r="L2314" s="9">
        <f t="shared" si="407"/>
        <v>0</v>
      </c>
      <c r="M2314" s="9">
        <f t="shared" si="407"/>
        <v>280758317.06</v>
      </c>
      <c r="N2314" s="9">
        <f t="shared" si="407"/>
        <v>18007202.109999999</v>
      </c>
      <c r="O2314" s="9">
        <f t="shared" si="407"/>
        <v>0</v>
      </c>
      <c r="P2314" s="9">
        <f t="shared" si="407"/>
        <v>18007202.109999999</v>
      </c>
      <c r="Q2314" s="9">
        <f t="shared" si="407"/>
        <v>247463675.42000002</v>
      </c>
      <c r="R2314" s="9">
        <f t="shared" si="407"/>
        <v>0</v>
      </c>
      <c r="S2314" s="9">
        <f t="shared" si="407"/>
        <v>0</v>
      </c>
      <c r="T2314" s="9">
        <f t="shared" si="407"/>
        <v>9721.16</v>
      </c>
      <c r="U2314" s="9">
        <f t="shared" si="407"/>
        <v>18016923.27</v>
      </c>
      <c r="V2314" s="9">
        <f t="shared" si="407"/>
        <v>0</v>
      </c>
      <c r="W2314" s="9">
        <f t="shared" si="407"/>
        <v>0</v>
      </c>
      <c r="X2314" s="9">
        <f t="shared" si="407"/>
        <v>298765519.17000002</v>
      </c>
      <c r="Y2314" s="9">
        <f t="shared" si="407"/>
        <v>0</v>
      </c>
      <c r="Z2314" s="9">
        <f t="shared" si="407"/>
        <v>89721.160000000018</v>
      </c>
      <c r="AA2314" s="9">
        <f t="shared" si="407"/>
        <v>298775240.33000004</v>
      </c>
      <c r="AB2314" s="9">
        <f t="shared" si="407"/>
        <v>80000.000000000044</v>
      </c>
    </row>
    <row r="2315" spans="1:28" x14ac:dyDescent="0.35">
      <c r="A2315" s="36"/>
      <c r="B2315" s="8"/>
      <c r="C2315" s="8"/>
      <c r="D2315" s="8"/>
      <c r="E2315" s="17" t="s">
        <v>114</v>
      </c>
      <c r="F2315" s="17" t="s">
        <v>114</v>
      </c>
      <c r="G2315" s="17" t="s">
        <v>114</v>
      </c>
      <c r="H2315" s="17" t="s">
        <v>114</v>
      </c>
      <c r="I2315" s="17" t="s">
        <v>114</v>
      </c>
      <c r="J2315" s="17" t="s">
        <v>114</v>
      </c>
      <c r="K2315" s="17" t="s">
        <v>114</v>
      </c>
      <c r="L2315" s="17" t="s">
        <v>114</v>
      </c>
      <c r="M2315" s="17" t="s">
        <v>114</v>
      </c>
      <c r="N2315" s="17" t="s">
        <v>114</v>
      </c>
      <c r="O2315" s="17" t="s">
        <v>114</v>
      </c>
      <c r="P2315" s="17" t="s">
        <v>114</v>
      </c>
      <c r="Q2315" s="17" t="s">
        <v>114</v>
      </c>
      <c r="R2315" s="17" t="s">
        <v>114</v>
      </c>
      <c r="S2315" s="17" t="s">
        <v>114</v>
      </c>
      <c r="T2315" s="17" t="s">
        <v>114</v>
      </c>
      <c r="U2315" s="17" t="s">
        <v>114</v>
      </c>
      <c r="V2315" s="17" t="s">
        <v>114</v>
      </c>
      <c r="W2315" s="17" t="s">
        <v>114</v>
      </c>
      <c r="X2315" s="17" t="s">
        <v>114</v>
      </c>
      <c r="Y2315" s="17" t="s">
        <v>114</v>
      </c>
      <c r="Z2315" s="17" t="s">
        <v>114</v>
      </c>
      <c r="AA2315" s="17" t="s">
        <v>114</v>
      </c>
      <c r="AB2315" s="17" t="s">
        <v>114</v>
      </c>
    </row>
    <row r="2316" spans="1:28" x14ac:dyDescent="0.35">
      <c r="A2316" s="36"/>
      <c r="B2316" s="8"/>
      <c r="C2316" s="8"/>
      <c r="D2316" s="8"/>
      <c r="E2316" s="8"/>
      <c r="F2316" s="8"/>
      <c r="G2316" s="8"/>
      <c r="H2316" s="8"/>
      <c r="I2316" s="8"/>
      <c r="J2316" s="8"/>
      <c r="K2316" s="8"/>
      <c r="L2316" s="8"/>
      <c r="M2316" s="8"/>
      <c r="N2316" s="8"/>
      <c r="O2316" s="8"/>
      <c r="P2316" s="8"/>
      <c r="Q2316" s="8"/>
      <c r="R2316" s="8"/>
      <c r="S2316" s="8"/>
      <c r="T2316" s="8"/>
      <c r="U2316" s="8"/>
      <c r="V2316" s="8"/>
      <c r="W2316" s="8"/>
      <c r="X2316" s="8"/>
      <c r="Y2316" s="8"/>
      <c r="Z2316" s="8"/>
    </row>
    <row r="2317" spans="1:28" x14ac:dyDescent="0.35">
      <c r="A2317" s="36"/>
      <c r="B2317" s="8"/>
      <c r="C2317" s="8"/>
      <c r="D2317" s="8"/>
      <c r="E2317" s="8"/>
      <c r="F2317" s="8"/>
      <c r="G2317" s="8"/>
      <c r="H2317" s="8"/>
      <c r="I2317" s="8"/>
      <c r="J2317" s="8"/>
      <c r="K2317" s="8"/>
      <c r="L2317" s="8"/>
      <c r="M2317" s="8"/>
      <c r="N2317" s="8"/>
      <c r="O2317" s="8"/>
      <c r="P2317" s="8"/>
      <c r="Q2317" s="8"/>
      <c r="R2317" s="8"/>
      <c r="S2317" s="8"/>
      <c r="T2317" s="8"/>
      <c r="U2317" s="8"/>
      <c r="V2317" s="8"/>
      <c r="W2317" s="8"/>
      <c r="X2317" s="8"/>
      <c r="Y2317" s="8"/>
      <c r="Z2317" s="8"/>
    </row>
    <row r="2318" spans="1:28" x14ac:dyDescent="0.35">
      <c r="A2318" s="36"/>
      <c r="B2318" s="7" t="s">
        <v>384</v>
      </c>
      <c r="C2318" s="8"/>
      <c r="D2318" s="8"/>
      <c r="E2318" s="8"/>
      <c r="F2318" s="8"/>
      <c r="G2318" s="8"/>
      <c r="H2318" s="8"/>
      <c r="I2318" s="8"/>
      <c r="J2318" s="8"/>
      <c r="K2318" s="8"/>
      <c r="L2318" s="8"/>
      <c r="M2318" s="8"/>
      <c r="N2318" s="8"/>
      <c r="O2318" s="8"/>
      <c r="P2318" s="8"/>
      <c r="Q2318" s="8"/>
      <c r="R2318" s="8"/>
      <c r="S2318" s="8"/>
      <c r="T2318" s="8"/>
      <c r="U2318" s="8"/>
      <c r="V2318" s="8"/>
      <c r="W2318" s="8"/>
      <c r="X2318" s="8"/>
      <c r="Y2318" s="8"/>
      <c r="Z2318" s="8"/>
    </row>
    <row r="2319" spans="1:28" x14ac:dyDescent="0.35">
      <c r="A2319" s="36"/>
      <c r="B2319" s="8"/>
      <c r="C2319" s="8"/>
      <c r="D2319" s="8"/>
      <c r="E2319" s="8"/>
      <c r="F2319" s="8"/>
      <c r="G2319" s="8"/>
      <c r="H2319" s="8"/>
      <c r="I2319" s="8"/>
      <c r="J2319" s="8"/>
      <c r="K2319" s="8"/>
      <c r="L2319" s="8"/>
      <c r="M2319" s="8"/>
      <c r="N2319" s="8"/>
      <c r="O2319" s="8"/>
      <c r="P2319" s="8"/>
      <c r="Q2319" s="8"/>
      <c r="R2319" s="8"/>
      <c r="S2319" s="8"/>
      <c r="T2319" s="8"/>
      <c r="U2319" s="8"/>
      <c r="V2319" s="8"/>
      <c r="W2319" s="8"/>
      <c r="X2319" s="8"/>
      <c r="Y2319" s="8"/>
      <c r="Z2319" s="8"/>
    </row>
    <row r="2320" spans="1:28" x14ac:dyDescent="0.35">
      <c r="A2320" s="38" t="s">
        <v>1042</v>
      </c>
      <c r="B2320" s="7" t="s">
        <v>385</v>
      </c>
      <c r="C2320" s="8"/>
      <c r="D2320" s="8"/>
      <c r="E2320" s="8"/>
      <c r="F2320" s="8"/>
      <c r="G2320" s="8"/>
      <c r="H2320" s="8"/>
      <c r="I2320" s="8"/>
      <c r="J2320" s="8"/>
      <c r="K2320" s="8"/>
      <c r="L2320" s="8"/>
      <c r="M2320" s="8"/>
      <c r="N2320" s="8"/>
      <c r="O2320" s="8"/>
      <c r="P2320" s="8"/>
      <c r="Q2320" s="8"/>
      <c r="R2320" s="8"/>
      <c r="S2320" s="8"/>
      <c r="T2320" s="8"/>
      <c r="U2320" s="8"/>
      <c r="V2320" s="8"/>
      <c r="W2320" s="8"/>
      <c r="X2320" s="8"/>
      <c r="Y2320" s="8"/>
      <c r="Z2320" s="8"/>
    </row>
    <row r="2321" spans="1:28" x14ac:dyDescent="0.35">
      <c r="A2321" s="36"/>
      <c r="B2321" s="8"/>
      <c r="C2321" s="7" t="s">
        <v>386</v>
      </c>
      <c r="D2321" s="15" t="s">
        <v>387</v>
      </c>
      <c r="E2321" s="9">
        <v>16109549.93</v>
      </c>
      <c r="F2321" s="9">
        <v>15096936.619999999</v>
      </c>
      <c r="G2321" s="8"/>
      <c r="H2321" s="9">
        <f t="shared" ref="H2321:H2336" si="408">F2321+G2321</f>
        <v>15096936.619999999</v>
      </c>
      <c r="I2321" s="8"/>
      <c r="J2321" s="8"/>
      <c r="K2321" s="8"/>
      <c r="L2321" s="9"/>
      <c r="M2321" s="9">
        <f t="shared" ref="M2321:M2336" si="409">H2321+L2321</f>
        <v>15096936.619999999</v>
      </c>
      <c r="N2321" s="9">
        <v>1012613.31</v>
      </c>
      <c r="O2321" s="8"/>
      <c r="P2321" s="9">
        <f t="shared" ref="P2321:P2336" si="410">N2321+O2321</f>
        <v>1012613.31</v>
      </c>
      <c r="Q2321" s="8"/>
      <c r="R2321" s="8"/>
      <c r="S2321" s="8"/>
      <c r="T2321" s="9"/>
      <c r="U2321" s="9">
        <f t="shared" ref="U2321:U2336" si="411">P2321+T2321</f>
        <v>1012613.31</v>
      </c>
      <c r="V2321" s="9">
        <f t="shared" ref="V2321:V2336" si="412">P2321+H2321</f>
        <v>16109549.93</v>
      </c>
      <c r="W2321" s="9">
        <f t="shared" ref="W2321:W2336" si="413">E2321-V2321</f>
        <v>0</v>
      </c>
      <c r="X2321" s="9">
        <f t="shared" ref="X2321:X2336" si="414">+H2321+P2321</f>
        <v>16109549.93</v>
      </c>
      <c r="Y2321" s="8"/>
      <c r="Z2321" s="9">
        <f t="shared" ref="Z2321:Z2336" si="415">+E2321-X2321</f>
        <v>0</v>
      </c>
      <c r="AA2321" s="8">
        <f t="shared" ref="AA2321:AA2336" si="416">+M2321+U2321</f>
        <v>16109549.93</v>
      </c>
      <c r="AB2321" s="8">
        <f t="shared" ref="AB2321:AB2336" si="417">+E2321-AA2321</f>
        <v>0</v>
      </c>
    </row>
    <row r="2322" spans="1:28" x14ac:dyDescent="0.35">
      <c r="A2322" s="36"/>
      <c r="B2322" s="8"/>
      <c r="C2322" s="7" t="s">
        <v>57</v>
      </c>
      <c r="D2322" s="15" t="s">
        <v>247</v>
      </c>
      <c r="E2322" s="9">
        <v>8664431</v>
      </c>
      <c r="F2322" s="9">
        <v>8664431</v>
      </c>
      <c r="G2322" s="8"/>
      <c r="H2322" s="9">
        <f t="shared" si="408"/>
        <v>8664431</v>
      </c>
      <c r="I2322" s="8"/>
      <c r="J2322" s="8"/>
      <c r="K2322" s="8"/>
      <c r="L2322" s="9"/>
      <c r="M2322" s="9">
        <f t="shared" si="409"/>
        <v>8664431</v>
      </c>
      <c r="N2322" s="9">
        <v>0</v>
      </c>
      <c r="O2322" s="8"/>
      <c r="P2322" s="9">
        <f t="shared" si="410"/>
        <v>0</v>
      </c>
      <c r="Q2322" s="8"/>
      <c r="R2322" s="8"/>
      <c r="S2322" s="8"/>
      <c r="T2322" s="9"/>
      <c r="U2322" s="9">
        <f t="shared" si="411"/>
        <v>0</v>
      </c>
      <c r="V2322" s="9">
        <f t="shared" si="412"/>
        <v>8664431</v>
      </c>
      <c r="W2322" s="9">
        <f t="shared" si="413"/>
        <v>0</v>
      </c>
      <c r="X2322" s="9">
        <f t="shared" si="414"/>
        <v>8664431</v>
      </c>
      <c r="Y2322" s="8"/>
      <c r="Z2322" s="9">
        <f t="shared" si="415"/>
        <v>0</v>
      </c>
      <c r="AA2322" s="8">
        <f t="shared" si="416"/>
        <v>8664431</v>
      </c>
      <c r="AB2322" s="8">
        <f t="shared" si="417"/>
        <v>0</v>
      </c>
    </row>
    <row r="2323" spans="1:28" x14ac:dyDescent="0.35">
      <c r="A2323" s="36"/>
      <c r="B2323" s="8"/>
      <c r="C2323" s="7" t="s">
        <v>388</v>
      </c>
      <c r="D2323" s="7" t="s">
        <v>71</v>
      </c>
      <c r="E2323" s="9">
        <v>9487690.1799999997</v>
      </c>
      <c r="F2323" s="9">
        <v>9487690.1799999997</v>
      </c>
      <c r="G2323" s="8"/>
      <c r="H2323" s="9">
        <f t="shared" si="408"/>
        <v>9487690.1799999997</v>
      </c>
      <c r="I2323" s="8"/>
      <c r="J2323" s="8"/>
      <c r="K2323" s="8"/>
      <c r="L2323" s="9"/>
      <c r="M2323" s="9">
        <f t="shared" si="409"/>
        <v>9487690.1799999997</v>
      </c>
      <c r="N2323" s="9">
        <v>0</v>
      </c>
      <c r="O2323" s="8"/>
      <c r="P2323" s="9">
        <f t="shared" si="410"/>
        <v>0</v>
      </c>
      <c r="Q2323" s="8"/>
      <c r="R2323" s="8"/>
      <c r="S2323" s="8"/>
      <c r="T2323" s="9"/>
      <c r="U2323" s="9">
        <f t="shared" si="411"/>
        <v>0</v>
      </c>
      <c r="V2323" s="9">
        <f t="shared" si="412"/>
        <v>9487690.1799999997</v>
      </c>
      <c r="W2323" s="9">
        <f t="shared" si="413"/>
        <v>0</v>
      </c>
      <c r="X2323" s="9">
        <f t="shared" si="414"/>
        <v>9487690.1799999997</v>
      </c>
      <c r="Y2323" s="8"/>
      <c r="Z2323" s="9">
        <f t="shared" si="415"/>
        <v>0</v>
      </c>
      <c r="AA2323" s="8">
        <f t="shared" si="416"/>
        <v>9487690.1799999997</v>
      </c>
      <c r="AB2323" s="8">
        <f t="shared" si="417"/>
        <v>0</v>
      </c>
    </row>
    <row r="2324" spans="1:28" x14ac:dyDescent="0.35">
      <c r="A2324" s="36"/>
      <c r="B2324" s="8"/>
      <c r="C2324" s="7" t="s">
        <v>53</v>
      </c>
      <c r="D2324" s="15" t="s">
        <v>54</v>
      </c>
      <c r="E2324" s="9">
        <v>570941</v>
      </c>
      <c r="F2324" s="9">
        <v>0</v>
      </c>
      <c r="G2324" s="8"/>
      <c r="H2324" s="9">
        <f t="shared" si="408"/>
        <v>0</v>
      </c>
      <c r="I2324" s="8"/>
      <c r="J2324" s="8"/>
      <c r="K2324" s="8"/>
      <c r="L2324" s="9"/>
      <c r="M2324" s="9">
        <f t="shared" si="409"/>
        <v>0</v>
      </c>
      <c r="N2324" s="9">
        <v>570941</v>
      </c>
      <c r="O2324" s="8"/>
      <c r="P2324" s="9">
        <f t="shared" si="410"/>
        <v>570941</v>
      </c>
      <c r="Q2324" s="8"/>
      <c r="R2324" s="8"/>
      <c r="S2324" s="8"/>
      <c r="T2324" s="9"/>
      <c r="U2324" s="9">
        <f t="shared" si="411"/>
        <v>570941</v>
      </c>
      <c r="V2324" s="9">
        <f t="shared" si="412"/>
        <v>570941</v>
      </c>
      <c r="W2324" s="9">
        <f t="shared" si="413"/>
        <v>0</v>
      </c>
      <c r="X2324" s="9">
        <f t="shared" si="414"/>
        <v>570941</v>
      </c>
      <c r="Y2324" s="8"/>
      <c r="Z2324" s="9">
        <f t="shared" si="415"/>
        <v>0</v>
      </c>
      <c r="AA2324" s="8">
        <f t="shared" si="416"/>
        <v>570941</v>
      </c>
      <c r="AB2324" s="8">
        <f t="shared" si="417"/>
        <v>0</v>
      </c>
    </row>
    <row r="2325" spans="1:28" x14ac:dyDescent="0.35">
      <c r="A2325" s="36"/>
      <c r="B2325" s="8"/>
      <c r="C2325" s="7" t="s">
        <v>389</v>
      </c>
      <c r="D2325" s="15" t="s">
        <v>85</v>
      </c>
      <c r="E2325" s="9">
        <v>2888000</v>
      </c>
      <c r="F2325" s="9">
        <v>2888000</v>
      </c>
      <c r="G2325" s="8"/>
      <c r="H2325" s="9">
        <f t="shared" si="408"/>
        <v>2888000</v>
      </c>
      <c r="I2325" s="8"/>
      <c r="J2325" s="8"/>
      <c r="K2325" s="8"/>
      <c r="L2325" s="9"/>
      <c r="M2325" s="9">
        <f t="shared" si="409"/>
        <v>2888000</v>
      </c>
      <c r="N2325" s="9">
        <v>0</v>
      </c>
      <c r="O2325" s="8"/>
      <c r="P2325" s="9">
        <f t="shared" si="410"/>
        <v>0</v>
      </c>
      <c r="Q2325" s="8"/>
      <c r="R2325" s="8"/>
      <c r="S2325" s="8"/>
      <c r="T2325" s="9"/>
      <c r="U2325" s="9">
        <f t="shared" si="411"/>
        <v>0</v>
      </c>
      <c r="V2325" s="9">
        <f t="shared" si="412"/>
        <v>2888000</v>
      </c>
      <c r="W2325" s="9">
        <f t="shared" si="413"/>
        <v>0</v>
      </c>
      <c r="X2325" s="9">
        <f t="shared" si="414"/>
        <v>2888000</v>
      </c>
      <c r="Y2325" s="8"/>
      <c r="Z2325" s="9">
        <f t="shared" si="415"/>
        <v>0</v>
      </c>
      <c r="AA2325" s="8">
        <f t="shared" si="416"/>
        <v>2888000</v>
      </c>
      <c r="AB2325" s="8">
        <f t="shared" si="417"/>
        <v>0</v>
      </c>
    </row>
    <row r="2326" spans="1:28" x14ac:dyDescent="0.35">
      <c r="A2326" s="36"/>
      <c r="B2326" s="8"/>
      <c r="C2326" s="7" t="s">
        <v>390</v>
      </c>
      <c r="D2326" s="15" t="s">
        <v>128</v>
      </c>
      <c r="E2326" s="9">
        <v>1150000</v>
      </c>
      <c r="F2326" s="9">
        <v>1150000</v>
      </c>
      <c r="G2326" s="8"/>
      <c r="H2326" s="9">
        <f t="shared" si="408"/>
        <v>1150000</v>
      </c>
      <c r="I2326" s="8"/>
      <c r="J2326" s="8"/>
      <c r="K2326" s="8"/>
      <c r="L2326" s="9"/>
      <c r="M2326" s="9">
        <f t="shared" si="409"/>
        <v>1150000</v>
      </c>
      <c r="N2326" s="9">
        <v>0</v>
      </c>
      <c r="O2326" s="8"/>
      <c r="P2326" s="9">
        <f t="shared" si="410"/>
        <v>0</v>
      </c>
      <c r="Q2326" s="8"/>
      <c r="R2326" s="8"/>
      <c r="S2326" s="8"/>
      <c r="T2326" s="9"/>
      <c r="U2326" s="9">
        <f t="shared" si="411"/>
        <v>0</v>
      </c>
      <c r="V2326" s="9">
        <f t="shared" si="412"/>
        <v>1150000</v>
      </c>
      <c r="W2326" s="9">
        <f t="shared" si="413"/>
        <v>0</v>
      </c>
      <c r="X2326" s="9">
        <f t="shared" si="414"/>
        <v>1150000</v>
      </c>
      <c r="Y2326" s="8"/>
      <c r="Z2326" s="9">
        <f t="shared" si="415"/>
        <v>0</v>
      </c>
      <c r="AA2326" s="8">
        <f t="shared" si="416"/>
        <v>1150000</v>
      </c>
      <c r="AB2326" s="8">
        <f t="shared" si="417"/>
        <v>0</v>
      </c>
    </row>
    <row r="2327" spans="1:28" x14ac:dyDescent="0.35">
      <c r="A2327" s="36"/>
      <c r="B2327" s="8"/>
      <c r="C2327" s="7" t="s">
        <v>57</v>
      </c>
      <c r="D2327" s="15" t="s">
        <v>58</v>
      </c>
      <c r="E2327" s="9">
        <v>2770660</v>
      </c>
      <c r="F2327" s="9">
        <v>2770660</v>
      </c>
      <c r="G2327" s="8"/>
      <c r="H2327" s="9">
        <f t="shared" si="408"/>
        <v>2770660</v>
      </c>
      <c r="I2327" s="8"/>
      <c r="J2327" s="8"/>
      <c r="K2327" s="8"/>
      <c r="L2327" s="9"/>
      <c r="M2327" s="9">
        <f t="shared" si="409"/>
        <v>2770660</v>
      </c>
      <c r="N2327" s="9">
        <v>0</v>
      </c>
      <c r="O2327" s="8"/>
      <c r="P2327" s="9">
        <f t="shared" si="410"/>
        <v>0</v>
      </c>
      <c r="Q2327" s="8"/>
      <c r="R2327" s="8"/>
      <c r="S2327" s="8"/>
      <c r="T2327" s="9"/>
      <c r="U2327" s="9">
        <f t="shared" si="411"/>
        <v>0</v>
      </c>
      <c r="V2327" s="9">
        <f t="shared" si="412"/>
        <v>2770660</v>
      </c>
      <c r="W2327" s="9">
        <f t="shared" si="413"/>
        <v>0</v>
      </c>
      <c r="X2327" s="9">
        <f t="shared" si="414"/>
        <v>2770660</v>
      </c>
      <c r="Y2327" s="8"/>
      <c r="Z2327" s="9">
        <f t="shared" si="415"/>
        <v>0</v>
      </c>
      <c r="AA2327" s="8">
        <f t="shared" si="416"/>
        <v>2770660</v>
      </c>
      <c r="AB2327" s="8">
        <f t="shared" si="417"/>
        <v>0</v>
      </c>
    </row>
    <row r="2328" spans="1:28" x14ac:dyDescent="0.35">
      <c r="A2328" s="36"/>
      <c r="B2328" s="8"/>
      <c r="C2328" s="7" t="s">
        <v>57</v>
      </c>
      <c r="D2328" s="15" t="s">
        <v>60</v>
      </c>
      <c r="E2328" s="9">
        <v>8324112</v>
      </c>
      <c r="F2328" s="11">
        <v>8324112</v>
      </c>
      <c r="G2328" s="8"/>
      <c r="H2328" s="9">
        <f t="shared" si="408"/>
        <v>8324112</v>
      </c>
      <c r="I2328" s="8"/>
      <c r="J2328" s="8"/>
      <c r="K2328" s="8"/>
      <c r="L2328" s="9"/>
      <c r="M2328" s="9">
        <f t="shared" si="409"/>
        <v>8324112</v>
      </c>
      <c r="N2328" s="9">
        <v>0</v>
      </c>
      <c r="O2328" s="8"/>
      <c r="P2328" s="9">
        <f t="shared" si="410"/>
        <v>0</v>
      </c>
      <c r="Q2328" s="8"/>
      <c r="R2328" s="8"/>
      <c r="S2328" s="8"/>
      <c r="T2328" s="9"/>
      <c r="U2328" s="9">
        <f t="shared" si="411"/>
        <v>0</v>
      </c>
      <c r="V2328" s="9">
        <f t="shared" si="412"/>
        <v>8324112</v>
      </c>
      <c r="W2328" s="9">
        <f t="shared" si="413"/>
        <v>0</v>
      </c>
      <c r="X2328" s="9">
        <f t="shared" si="414"/>
        <v>8324112</v>
      </c>
      <c r="Y2328" s="8"/>
      <c r="Z2328" s="9">
        <f t="shared" si="415"/>
        <v>0</v>
      </c>
      <c r="AA2328" s="8">
        <f t="shared" si="416"/>
        <v>8324112</v>
      </c>
      <c r="AB2328" s="8">
        <f t="shared" si="417"/>
        <v>0</v>
      </c>
    </row>
    <row r="2329" spans="1:28" x14ac:dyDescent="0.35">
      <c r="A2329" s="36"/>
      <c r="B2329" s="8"/>
      <c r="C2329" s="14" t="s">
        <v>109</v>
      </c>
      <c r="D2329" s="21" t="s">
        <v>60</v>
      </c>
      <c r="E2329" s="9">
        <v>5000000</v>
      </c>
      <c r="F2329" s="11">
        <v>5000000</v>
      </c>
      <c r="G2329" s="8"/>
      <c r="H2329" s="9">
        <f t="shared" si="408"/>
        <v>5000000</v>
      </c>
      <c r="I2329" s="8"/>
      <c r="J2329" s="8"/>
      <c r="K2329" s="8"/>
      <c r="L2329" s="9"/>
      <c r="M2329" s="9">
        <f t="shared" si="409"/>
        <v>5000000</v>
      </c>
      <c r="N2329" s="9">
        <v>0</v>
      </c>
      <c r="O2329" s="8"/>
      <c r="P2329" s="9">
        <f t="shared" si="410"/>
        <v>0</v>
      </c>
      <c r="Q2329" s="8"/>
      <c r="R2329" s="8"/>
      <c r="S2329" s="8"/>
      <c r="T2329" s="9"/>
      <c r="U2329" s="9">
        <f t="shared" si="411"/>
        <v>0</v>
      </c>
      <c r="V2329" s="9">
        <f t="shared" si="412"/>
        <v>5000000</v>
      </c>
      <c r="W2329" s="9">
        <f t="shared" si="413"/>
        <v>0</v>
      </c>
      <c r="X2329" s="9">
        <f t="shared" si="414"/>
        <v>5000000</v>
      </c>
      <c r="Y2329" s="8"/>
      <c r="Z2329" s="9">
        <f t="shared" si="415"/>
        <v>0</v>
      </c>
      <c r="AA2329" s="8">
        <f t="shared" si="416"/>
        <v>5000000</v>
      </c>
      <c r="AB2329" s="8">
        <f t="shared" si="417"/>
        <v>0</v>
      </c>
    </row>
    <row r="2330" spans="1:28" x14ac:dyDescent="0.35">
      <c r="A2330" s="36"/>
      <c r="B2330" s="8"/>
      <c r="C2330" s="7" t="s">
        <v>57</v>
      </c>
      <c r="D2330" s="15" t="s">
        <v>73</v>
      </c>
      <c r="E2330" s="9">
        <v>12295187</v>
      </c>
      <c r="F2330" s="11">
        <v>12295187</v>
      </c>
      <c r="G2330" s="8"/>
      <c r="H2330" s="9">
        <f t="shared" si="408"/>
        <v>12295187</v>
      </c>
      <c r="I2330" s="8"/>
      <c r="J2330" s="8"/>
      <c r="K2330" s="8"/>
      <c r="L2330" s="9"/>
      <c r="M2330" s="9">
        <f t="shared" si="409"/>
        <v>12295187</v>
      </c>
      <c r="N2330" s="9">
        <v>0</v>
      </c>
      <c r="O2330" s="8"/>
      <c r="P2330" s="9">
        <f t="shared" si="410"/>
        <v>0</v>
      </c>
      <c r="Q2330" s="8"/>
      <c r="R2330" s="8"/>
      <c r="S2330" s="8"/>
      <c r="T2330" s="9"/>
      <c r="U2330" s="9">
        <f t="shared" si="411"/>
        <v>0</v>
      </c>
      <c r="V2330" s="9">
        <f t="shared" si="412"/>
        <v>12295187</v>
      </c>
      <c r="W2330" s="9">
        <f t="shared" si="413"/>
        <v>0</v>
      </c>
      <c r="X2330" s="9">
        <f t="shared" si="414"/>
        <v>12295187</v>
      </c>
      <c r="Y2330" s="8"/>
      <c r="Z2330" s="9">
        <f t="shared" si="415"/>
        <v>0</v>
      </c>
      <c r="AA2330" s="8">
        <f t="shared" si="416"/>
        <v>12295187</v>
      </c>
      <c r="AB2330" s="8">
        <f t="shared" si="417"/>
        <v>0</v>
      </c>
    </row>
    <row r="2331" spans="1:28" x14ac:dyDescent="0.35">
      <c r="A2331" s="36"/>
      <c r="B2331" s="8"/>
      <c r="C2331" s="7" t="s">
        <v>391</v>
      </c>
      <c r="D2331" s="8"/>
      <c r="E2331" s="9">
        <v>1500000</v>
      </c>
      <c r="F2331" s="9">
        <v>1500000</v>
      </c>
      <c r="G2331" s="8"/>
      <c r="H2331" s="9">
        <f t="shared" si="408"/>
        <v>1500000</v>
      </c>
      <c r="I2331" s="8"/>
      <c r="J2331" s="8"/>
      <c r="K2331" s="8"/>
      <c r="L2331" s="9"/>
      <c r="M2331" s="9">
        <f t="shared" si="409"/>
        <v>1500000</v>
      </c>
      <c r="N2331" s="9">
        <v>0</v>
      </c>
      <c r="O2331" s="8"/>
      <c r="P2331" s="9">
        <f t="shared" si="410"/>
        <v>0</v>
      </c>
      <c r="Q2331" s="8"/>
      <c r="R2331" s="8"/>
      <c r="S2331" s="8"/>
      <c r="T2331" s="9"/>
      <c r="U2331" s="9">
        <f t="shared" si="411"/>
        <v>0</v>
      </c>
      <c r="V2331" s="9">
        <f t="shared" si="412"/>
        <v>1500000</v>
      </c>
      <c r="W2331" s="9">
        <f t="shared" si="413"/>
        <v>0</v>
      </c>
      <c r="X2331" s="9">
        <f t="shared" si="414"/>
        <v>1500000</v>
      </c>
      <c r="Y2331" s="8"/>
      <c r="Z2331" s="9">
        <f t="shared" si="415"/>
        <v>0</v>
      </c>
      <c r="AA2331" s="8">
        <f t="shared" si="416"/>
        <v>1500000</v>
      </c>
      <c r="AB2331" s="8">
        <f t="shared" si="417"/>
        <v>0</v>
      </c>
    </row>
    <row r="2332" spans="1:28" x14ac:dyDescent="0.35">
      <c r="A2332" s="36"/>
      <c r="B2332" s="8"/>
      <c r="C2332" s="7" t="s">
        <v>392</v>
      </c>
      <c r="D2332" s="8"/>
      <c r="E2332" s="9">
        <v>424850</v>
      </c>
      <c r="F2332" s="9">
        <v>424850</v>
      </c>
      <c r="G2332" s="8"/>
      <c r="H2332" s="9">
        <f t="shared" si="408"/>
        <v>424850</v>
      </c>
      <c r="I2332" s="8"/>
      <c r="J2332" s="8"/>
      <c r="K2332" s="8"/>
      <c r="L2332" s="9"/>
      <c r="M2332" s="9">
        <f t="shared" si="409"/>
        <v>424850</v>
      </c>
      <c r="N2332" s="9">
        <v>0</v>
      </c>
      <c r="O2332" s="8"/>
      <c r="P2332" s="9">
        <f t="shared" si="410"/>
        <v>0</v>
      </c>
      <c r="Q2332" s="8"/>
      <c r="R2332" s="8"/>
      <c r="S2332" s="8"/>
      <c r="T2332" s="9"/>
      <c r="U2332" s="9">
        <f t="shared" si="411"/>
        <v>0</v>
      </c>
      <c r="V2332" s="9">
        <f t="shared" si="412"/>
        <v>424850</v>
      </c>
      <c r="W2332" s="9">
        <f t="shared" si="413"/>
        <v>0</v>
      </c>
      <c r="X2332" s="9">
        <f t="shared" si="414"/>
        <v>424850</v>
      </c>
      <c r="Y2332" s="8"/>
      <c r="Z2332" s="9">
        <f t="shared" si="415"/>
        <v>0</v>
      </c>
      <c r="AA2332" s="8">
        <f t="shared" si="416"/>
        <v>424850</v>
      </c>
      <c r="AB2332" s="8">
        <f t="shared" si="417"/>
        <v>0</v>
      </c>
    </row>
    <row r="2333" spans="1:28" x14ac:dyDescent="0.35">
      <c r="A2333" s="36"/>
      <c r="B2333" s="8"/>
      <c r="C2333" s="7" t="s">
        <v>393</v>
      </c>
      <c r="D2333" s="8"/>
      <c r="E2333" s="9">
        <v>97231</v>
      </c>
      <c r="F2333" s="9">
        <v>97231</v>
      </c>
      <c r="G2333" s="8"/>
      <c r="H2333" s="9">
        <f t="shared" si="408"/>
        <v>97231</v>
      </c>
      <c r="I2333" s="8"/>
      <c r="J2333" s="8"/>
      <c r="K2333" s="8"/>
      <c r="L2333" s="9"/>
      <c r="M2333" s="9">
        <f t="shared" si="409"/>
        <v>97231</v>
      </c>
      <c r="N2333" s="9">
        <v>0</v>
      </c>
      <c r="O2333" s="8"/>
      <c r="P2333" s="9">
        <f t="shared" si="410"/>
        <v>0</v>
      </c>
      <c r="Q2333" s="8"/>
      <c r="R2333" s="8"/>
      <c r="S2333" s="8"/>
      <c r="T2333" s="9"/>
      <c r="U2333" s="9">
        <f t="shared" si="411"/>
        <v>0</v>
      </c>
      <c r="V2333" s="9">
        <f t="shared" si="412"/>
        <v>97231</v>
      </c>
      <c r="W2333" s="9">
        <f t="shared" si="413"/>
        <v>0</v>
      </c>
      <c r="X2333" s="9">
        <f t="shared" si="414"/>
        <v>97231</v>
      </c>
      <c r="Y2333" s="8"/>
      <c r="Z2333" s="9">
        <f t="shared" si="415"/>
        <v>0</v>
      </c>
      <c r="AA2333" s="8">
        <f t="shared" si="416"/>
        <v>97231</v>
      </c>
      <c r="AB2333" s="8">
        <f t="shared" si="417"/>
        <v>0</v>
      </c>
    </row>
    <row r="2334" spans="1:28" x14ac:dyDescent="0.35">
      <c r="A2334" s="36"/>
      <c r="B2334" s="8"/>
      <c r="C2334" s="7" t="s">
        <v>394</v>
      </c>
      <c r="D2334" s="8"/>
      <c r="E2334" s="9">
        <v>4721600</v>
      </c>
      <c r="F2334" s="9">
        <v>4721600</v>
      </c>
      <c r="G2334" s="8"/>
      <c r="H2334" s="9">
        <f t="shared" si="408"/>
        <v>4721600</v>
      </c>
      <c r="I2334" s="8"/>
      <c r="J2334" s="8"/>
      <c r="K2334" s="8"/>
      <c r="L2334" s="9"/>
      <c r="M2334" s="9">
        <f t="shared" si="409"/>
        <v>4721600</v>
      </c>
      <c r="N2334" s="9">
        <v>0</v>
      </c>
      <c r="O2334" s="8"/>
      <c r="P2334" s="9">
        <f t="shared" si="410"/>
        <v>0</v>
      </c>
      <c r="Q2334" s="8"/>
      <c r="R2334" s="8"/>
      <c r="S2334" s="8"/>
      <c r="T2334" s="9"/>
      <c r="U2334" s="9">
        <f t="shared" si="411"/>
        <v>0</v>
      </c>
      <c r="V2334" s="9">
        <f t="shared" si="412"/>
        <v>4721600</v>
      </c>
      <c r="W2334" s="9">
        <f t="shared" si="413"/>
        <v>0</v>
      </c>
      <c r="X2334" s="9">
        <f t="shared" si="414"/>
        <v>4721600</v>
      </c>
      <c r="Y2334" s="8"/>
      <c r="Z2334" s="9">
        <f t="shared" si="415"/>
        <v>0</v>
      </c>
      <c r="AA2334" s="8">
        <f t="shared" si="416"/>
        <v>4721600</v>
      </c>
      <c r="AB2334" s="8">
        <f t="shared" si="417"/>
        <v>0</v>
      </c>
    </row>
    <row r="2335" spans="1:28" x14ac:dyDescent="0.35">
      <c r="A2335" s="36"/>
      <c r="B2335" s="8"/>
      <c r="C2335" s="7" t="s">
        <v>395</v>
      </c>
      <c r="D2335" s="8"/>
      <c r="E2335" s="9">
        <v>1070000</v>
      </c>
      <c r="F2335" s="9">
        <v>1070000</v>
      </c>
      <c r="G2335" s="8"/>
      <c r="H2335" s="9">
        <f t="shared" si="408"/>
        <v>1070000</v>
      </c>
      <c r="I2335" s="8"/>
      <c r="J2335" s="8"/>
      <c r="K2335" s="8"/>
      <c r="L2335" s="9"/>
      <c r="M2335" s="9">
        <f t="shared" si="409"/>
        <v>1070000</v>
      </c>
      <c r="N2335" s="9">
        <v>0</v>
      </c>
      <c r="O2335" s="8"/>
      <c r="P2335" s="9">
        <f t="shared" si="410"/>
        <v>0</v>
      </c>
      <c r="Q2335" s="8"/>
      <c r="R2335" s="8"/>
      <c r="S2335" s="8"/>
      <c r="T2335" s="9"/>
      <c r="U2335" s="9">
        <f t="shared" si="411"/>
        <v>0</v>
      </c>
      <c r="V2335" s="9">
        <f t="shared" si="412"/>
        <v>1070000</v>
      </c>
      <c r="W2335" s="9">
        <f t="shared" si="413"/>
        <v>0</v>
      </c>
      <c r="X2335" s="9">
        <f t="shared" si="414"/>
        <v>1070000</v>
      </c>
      <c r="Y2335" s="8"/>
      <c r="Z2335" s="9">
        <f t="shared" si="415"/>
        <v>0</v>
      </c>
      <c r="AA2335" s="8">
        <f t="shared" si="416"/>
        <v>1070000</v>
      </c>
      <c r="AB2335" s="8">
        <f t="shared" si="417"/>
        <v>0</v>
      </c>
    </row>
    <row r="2336" spans="1:28" x14ac:dyDescent="0.35">
      <c r="A2336" s="36"/>
      <c r="B2336" s="8"/>
      <c r="C2336" s="7" t="s">
        <v>57</v>
      </c>
      <c r="D2336" s="23" t="s">
        <v>61</v>
      </c>
      <c r="E2336" s="9">
        <v>8199671</v>
      </c>
      <c r="F2336" s="8">
        <v>8199671</v>
      </c>
      <c r="G2336" s="8"/>
      <c r="H2336" s="9">
        <f t="shared" si="408"/>
        <v>8199671</v>
      </c>
      <c r="I2336" s="8">
        <v>8199671</v>
      </c>
      <c r="J2336" s="8"/>
      <c r="K2336" s="8"/>
      <c r="L2336" s="9"/>
      <c r="M2336" s="9">
        <f t="shared" si="409"/>
        <v>8199671</v>
      </c>
      <c r="N2336" s="9">
        <v>0</v>
      </c>
      <c r="O2336" s="8"/>
      <c r="P2336" s="9">
        <f t="shared" si="410"/>
        <v>0</v>
      </c>
      <c r="Q2336" s="8"/>
      <c r="R2336" s="8"/>
      <c r="S2336" s="8"/>
      <c r="T2336" s="9"/>
      <c r="U2336" s="9">
        <f t="shared" si="411"/>
        <v>0</v>
      </c>
      <c r="V2336" s="9">
        <f t="shared" si="412"/>
        <v>8199671</v>
      </c>
      <c r="W2336" s="9">
        <f t="shared" si="413"/>
        <v>0</v>
      </c>
      <c r="X2336" s="9">
        <f t="shared" si="414"/>
        <v>8199671</v>
      </c>
      <c r="Y2336" s="8"/>
      <c r="Z2336" s="9">
        <f t="shared" si="415"/>
        <v>0</v>
      </c>
      <c r="AA2336" s="8">
        <f t="shared" si="416"/>
        <v>8199671</v>
      </c>
      <c r="AB2336" s="8">
        <f t="shared" si="417"/>
        <v>0</v>
      </c>
    </row>
    <row r="2337" spans="1:28" x14ac:dyDescent="0.35">
      <c r="A2337" s="36"/>
      <c r="B2337" s="8"/>
      <c r="C2337" s="8"/>
      <c r="D2337" s="8"/>
      <c r="E2337" s="17" t="s">
        <v>29</v>
      </c>
      <c r="F2337" s="17" t="s">
        <v>29</v>
      </c>
      <c r="G2337" s="17" t="s">
        <v>29</v>
      </c>
      <c r="H2337" s="17" t="s">
        <v>29</v>
      </c>
      <c r="I2337" s="17" t="s">
        <v>29</v>
      </c>
      <c r="J2337" s="17" t="s">
        <v>29</v>
      </c>
      <c r="K2337" s="17" t="s">
        <v>29</v>
      </c>
      <c r="L2337" s="17" t="s">
        <v>29</v>
      </c>
      <c r="M2337" s="17" t="s">
        <v>29</v>
      </c>
      <c r="N2337" s="17" t="s">
        <v>29</v>
      </c>
      <c r="O2337" s="17" t="s">
        <v>29</v>
      </c>
      <c r="P2337" s="17" t="s">
        <v>29</v>
      </c>
      <c r="Q2337" s="17" t="s">
        <v>29</v>
      </c>
      <c r="R2337" s="17" t="s">
        <v>29</v>
      </c>
      <c r="S2337" s="17" t="s">
        <v>29</v>
      </c>
      <c r="T2337" s="17" t="s">
        <v>29</v>
      </c>
      <c r="U2337" s="17" t="s">
        <v>29</v>
      </c>
      <c r="V2337" s="17" t="s">
        <v>29</v>
      </c>
      <c r="W2337" s="17" t="s">
        <v>29</v>
      </c>
      <c r="X2337" s="17" t="s">
        <v>29</v>
      </c>
      <c r="Y2337" s="17" t="s">
        <v>29</v>
      </c>
      <c r="Z2337" s="17" t="s">
        <v>29</v>
      </c>
      <c r="AA2337" s="17" t="s">
        <v>29</v>
      </c>
      <c r="AB2337" s="17" t="s">
        <v>29</v>
      </c>
    </row>
    <row r="2338" spans="1:28" x14ac:dyDescent="0.35">
      <c r="A2338" s="36"/>
      <c r="B2338" s="8"/>
      <c r="C2338" s="8"/>
      <c r="D2338" s="8"/>
      <c r="E2338" s="9">
        <f t="shared" ref="E2338:AB2338" si="418">SUM(E2321:E2336)</f>
        <v>83273923.109999999</v>
      </c>
      <c r="F2338" s="9">
        <f t="shared" si="418"/>
        <v>81690368.799999997</v>
      </c>
      <c r="G2338" s="9">
        <f t="shared" si="418"/>
        <v>0</v>
      </c>
      <c r="H2338" s="9">
        <f t="shared" si="418"/>
        <v>81690368.799999997</v>
      </c>
      <c r="I2338" s="9">
        <f t="shared" si="418"/>
        <v>8199671</v>
      </c>
      <c r="J2338" s="9">
        <f t="shared" si="418"/>
        <v>0</v>
      </c>
      <c r="K2338" s="9">
        <f t="shared" si="418"/>
        <v>0</v>
      </c>
      <c r="L2338" s="9">
        <f t="shared" si="418"/>
        <v>0</v>
      </c>
      <c r="M2338" s="9">
        <f t="shared" si="418"/>
        <v>81690368.799999997</v>
      </c>
      <c r="N2338" s="9">
        <f t="shared" si="418"/>
        <v>1583554.31</v>
      </c>
      <c r="O2338" s="9">
        <f t="shared" si="418"/>
        <v>0</v>
      </c>
      <c r="P2338" s="9">
        <f t="shared" si="418"/>
        <v>1583554.31</v>
      </c>
      <c r="Q2338" s="9">
        <f t="shared" si="418"/>
        <v>0</v>
      </c>
      <c r="R2338" s="9">
        <f t="shared" si="418"/>
        <v>0</v>
      </c>
      <c r="S2338" s="9">
        <f t="shared" si="418"/>
        <v>0</v>
      </c>
      <c r="T2338" s="9">
        <f t="shared" si="418"/>
        <v>0</v>
      </c>
      <c r="U2338" s="9">
        <f t="shared" si="418"/>
        <v>1583554.31</v>
      </c>
      <c r="V2338" s="9">
        <f t="shared" si="418"/>
        <v>83273923.109999999</v>
      </c>
      <c r="W2338" s="9">
        <f t="shared" si="418"/>
        <v>0</v>
      </c>
      <c r="X2338" s="9">
        <f t="shared" si="418"/>
        <v>83273923.109999999</v>
      </c>
      <c r="Y2338" s="9">
        <f t="shared" si="418"/>
        <v>0</v>
      </c>
      <c r="Z2338" s="9">
        <f t="shared" si="418"/>
        <v>0</v>
      </c>
      <c r="AA2338" s="9">
        <f t="shared" si="418"/>
        <v>83273923.109999999</v>
      </c>
      <c r="AB2338" s="9">
        <f t="shared" si="418"/>
        <v>0</v>
      </c>
    </row>
    <row r="2339" spans="1:28" x14ac:dyDescent="0.35">
      <c r="A2339" s="36"/>
      <c r="B2339" s="8"/>
      <c r="C2339" s="8"/>
      <c r="D2339" s="8"/>
      <c r="E2339" s="17" t="s">
        <v>29</v>
      </c>
      <c r="F2339" s="17" t="s">
        <v>29</v>
      </c>
      <c r="G2339" s="17" t="s">
        <v>29</v>
      </c>
      <c r="H2339" s="17" t="s">
        <v>29</v>
      </c>
      <c r="I2339" s="17" t="s">
        <v>29</v>
      </c>
      <c r="J2339" s="17" t="s">
        <v>29</v>
      </c>
      <c r="K2339" s="17" t="s">
        <v>29</v>
      </c>
      <c r="L2339" s="17" t="s">
        <v>29</v>
      </c>
      <c r="M2339" s="17" t="s">
        <v>29</v>
      </c>
      <c r="N2339" s="17" t="s">
        <v>29</v>
      </c>
      <c r="O2339" s="17" t="s">
        <v>29</v>
      </c>
      <c r="P2339" s="17" t="s">
        <v>29</v>
      </c>
      <c r="Q2339" s="17" t="s">
        <v>29</v>
      </c>
      <c r="R2339" s="17" t="s">
        <v>29</v>
      </c>
      <c r="S2339" s="17" t="s">
        <v>29</v>
      </c>
      <c r="T2339" s="17" t="s">
        <v>29</v>
      </c>
      <c r="U2339" s="17" t="s">
        <v>29</v>
      </c>
      <c r="V2339" s="17" t="s">
        <v>29</v>
      </c>
      <c r="W2339" s="17" t="s">
        <v>29</v>
      </c>
      <c r="X2339" s="17" t="s">
        <v>29</v>
      </c>
      <c r="Y2339" s="17" t="s">
        <v>29</v>
      </c>
      <c r="Z2339" s="17" t="s">
        <v>29</v>
      </c>
      <c r="AA2339" s="17" t="s">
        <v>29</v>
      </c>
      <c r="AB2339" s="17" t="s">
        <v>29</v>
      </c>
    </row>
    <row r="2340" spans="1:28" x14ac:dyDescent="0.35">
      <c r="A2340" s="38" t="s">
        <v>1043</v>
      </c>
      <c r="B2340" s="7" t="s">
        <v>396</v>
      </c>
      <c r="C2340" s="8"/>
      <c r="D2340" s="8"/>
      <c r="E2340" s="8"/>
      <c r="F2340" s="8"/>
      <c r="G2340" s="8"/>
      <c r="H2340" s="8"/>
      <c r="I2340" s="8"/>
      <c r="J2340" s="8"/>
      <c r="K2340" s="8"/>
      <c r="L2340" s="8"/>
      <c r="M2340" s="8"/>
      <c r="N2340" s="8"/>
      <c r="O2340" s="8"/>
      <c r="P2340" s="8"/>
      <c r="Q2340" s="8"/>
      <c r="R2340" s="8"/>
      <c r="S2340" s="8"/>
      <c r="T2340" s="8"/>
      <c r="U2340" s="8"/>
      <c r="V2340" s="8"/>
      <c r="W2340" s="8"/>
      <c r="X2340" s="8"/>
      <c r="Y2340" s="8"/>
      <c r="Z2340" s="8"/>
    </row>
    <row r="2341" spans="1:28" x14ac:dyDescent="0.35">
      <c r="A2341" s="36"/>
      <c r="B2341" s="8"/>
      <c r="C2341" s="7" t="s">
        <v>397</v>
      </c>
      <c r="D2341" s="15" t="s">
        <v>203</v>
      </c>
      <c r="E2341" s="9">
        <v>13972483.5</v>
      </c>
      <c r="F2341" s="9">
        <v>13215197.699999999</v>
      </c>
      <c r="G2341" s="8"/>
      <c r="H2341" s="9">
        <f t="shared" ref="H2341:H2354" si="419">F2341+G2341</f>
        <v>13215197.699999999</v>
      </c>
      <c r="I2341" s="8"/>
      <c r="J2341" s="8"/>
      <c r="K2341" s="8"/>
      <c r="L2341" s="9"/>
      <c r="M2341" s="9">
        <f t="shared" ref="M2341:M2354" si="420">H2341+L2341</f>
        <v>13215197.699999999</v>
      </c>
      <c r="N2341" s="9">
        <v>757285.8</v>
      </c>
      <c r="O2341" s="8"/>
      <c r="P2341" s="9">
        <f t="shared" ref="P2341:P2354" si="421">N2341+O2341</f>
        <v>757285.8</v>
      </c>
      <c r="Q2341" s="8"/>
      <c r="R2341" s="8"/>
      <c r="S2341" s="8"/>
      <c r="T2341" s="9"/>
      <c r="U2341" s="9">
        <f t="shared" ref="U2341:U2354" si="422">P2341+T2341</f>
        <v>757285.8</v>
      </c>
      <c r="V2341" s="9">
        <f t="shared" ref="V2341:V2354" si="423">P2341+H2341</f>
        <v>13972483.5</v>
      </c>
      <c r="W2341" s="9">
        <f t="shared" ref="W2341:W2354" si="424">E2341-V2341</f>
        <v>0</v>
      </c>
      <c r="X2341" s="9">
        <f t="shared" ref="X2341:X2354" si="425">+H2341+P2341</f>
        <v>13972483.5</v>
      </c>
      <c r="Y2341" s="8"/>
      <c r="Z2341" s="9">
        <f t="shared" ref="Z2341:Z2354" si="426">+E2341-X2341</f>
        <v>0</v>
      </c>
      <c r="AA2341" s="8">
        <f t="shared" ref="AA2341:AA2354" si="427">+M2341+U2341</f>
        <v>13972483.5</v>
      </c>
      <c r="AB2341" s="8">
        <f t="shared" ref="AB2341:AB2354" si="428">+E2341-AA2341</f>
        <v>0</v>
      </c>
    </row>
    <row r="2342" spans="1:28" x14ac:dyDescent="0.35">
      <c r="A2342" s="36"/>
      <c r="B2342" s="8"/>
      <c r="C2342" s="7" t="s">
        <v>57</v>
      </c>
      <c r="D2342" s="15" t="s">
        <v>85</v>
      </c>
      <c r="E2342" s="9">
        <v>1503245</v>
      </c>
      <c r="F2342" s="9">
        <v>1503245</v>
      </c>
      <c r="G2342" s="8"/>
      <c r="H2342" s="9">
        <f t="shared" si="419"/>
        <v>1503245</v>
      </c>
      <c r="I2342" s="8"/>
      <c r="J2342" s="8"/>
      <c r="K2342" s="8"/>
      <c r="L2342" s="9"/>
      <c r="M2342" s="9">
        <f t="shared" si="420"/>
        <v>1503245</v>
      </c>
      <c r="N2342" s="9">
        <v>0</v>
      </c>
      <c r="O2342" s="8"/>
      <c r="P2342" s="9">
        <f t="shared" si="421"/>
        <v>0</v>
      </c>
      <c r="Q2342" s="8"/>
      <c r="R2342" s="8"/>
      <c r="S2342" s="8"/>
      <c r="T2342" s="9"/>
      <c r="U2342" s="9">
        <f t="shared" si="422"/>
        <v>0</v>
      </c>
      <c r="V2342" s="9">
        <f t="shared" si="423"/>
        <v>1503245</v>
      </c>
      <c r="W2342" s="9">
        <f t="shared" si="424"/>
        <v>0</v>
      </c>
      <c r="X2342" s="9">
        <f t="shared" si="425"/>
        <v>1503245</v>
      </c>
      <c r="Y2342" s="8"/>
      <c r="Z2342" s="9">
        <f t="shared" si="426"/>
        <v>0</v>
      </c>
      <c r="AA2342" s="8">
        <f t="shared" si="427"/>
        <v>1503245</v>
      </c>
      <c r="AB2342" s="8">
        <f t="shared" si="428"/>
        <v>0</v>
      </c>
    </row>
    <row r="2343" spans="1:28" x14ac:dyDescent="0.35">
      <c r="A2343" s="36"/>
      <c r="B2343" s="8"/>
      <c r="C2343" s="7" t="s">
        <v>53</v>
      </c>
      <c r="D2343" s="15" t="s">
        <v>85</v>
      </c>
      <c r="E2343" s="9">
        <v>570941</v>
      </c>
      <c r="F2343" s="9">
        <v>0</v>
      </c>
      <c r="G2343" s="8"/>
      <c r="H2343" s="9">
        <f t="shared" si="419"/>
        <v>0</v>
      </c>
      <c r="I2343" s="8"/>
      <c r="J2343" s="8"/>
      <c r="K2343" s="8"/>
      <c r="L2343" s="9"/>
      <c r="M2343" s="9">
        <f t="shared" si="420"/>
        <v>0</v>
      </c>
      <c r="N2343" s="9">
        <v>570941</v>
      </c>
      <c r="O2343" s="8"/>
      <c r="P2343" s="9">
        <f t="shared" si="421"/>
        <v>570941</v>
      </c>
      <c r="Q2343" s="8"/>
      <c r="R2343" s="8"/>
      <c r="S2343" s="8"/>
      <c r="T2343" s="9"/>
      <c r="U2343" s="9">
        <f t="shared" si="422"/>
        <v>570941</v>
      </c>
      <c r="V2343" s="9">
        <f t="shared" si="423"/>
        <v>570941</v>
      </c>
      <c r="W2343" s="9">
        <f t="shared" si="424"/>
        <v>0</v>
      </c>
      <c r="X2343" s="9">
        <f t="shared" si="425"/>
        <v>570941</v>
      </c>
      <c r="Y2343" s="8"/>
      <c r="Z2343" s="9">
        <f t="shared" si="426"/>
        <v>0</v>
      </c>
      <c r="AA2343" s="8">
        <f t="shared" si="427"/>
        <v>570941</v>
      </c>
      <c r="AB2343" s="8">
        <f t="shared" si="428"/>
        <v>0</v>
      </c>
    </row>
    <row r="2344" spans="1:28" x14ac:dyDescent="0.35">
      <c r="A2344" s="36"/>
      <c r="B2344" s="8"/>
      <c r="C2344" s="7" t="s">
        <v>57</v>
      </c>
      <c r="D2344" s="15" t="s">
        <v>88</v>
      </c>
      <c r="E2344" s="9">
        <v>1850815</v>
      </c>
      <c r="F2344" s="9">
        <v>1850815</v>
      </c>
      <c r="G2344" s="8"/>
      <c r="H2344" s="9">
        <f t="shared" si="419"/>
        <v>1850815</v>
      </c>
      <c r="I2344" s="8"/>
      <c r="J2344" s="8"/>
      <c r="K2344" s="8"/>
      <c r="L2344" s="9"/>
      <c r="M2344" s="9">
        <f t="shared" si="420"/>
        <v>1850815</v>
      </c>
      <c r="N2344" s="9">
        <v>0</v>
      </c>
      <c r="O2344" s="8"/>
      <c r="P2344" s="9">
        <f t="shared" si="421"/>
        <v>0</v>
      </c>
      <c r="Q2344" s="8"/>
      <c r="R2344" s="8"/>
      <c r="S2344" s="8"/>
      <c r="T2344" s="9"/>
      <c r="U2344" s="9">
        <f t="shared" si="422"/>
        <v>0</v>
      </c>
      <c r="V2344" s="9">
        <f t="shared" si="423"/>
        <v>1850815</v>
      </c>
      <c r="W2344" s="9">
        <f t="shared" si="424"/>
        <v>0</v>
      </c>
      <c r="X2344" s="9">
        <f t="shared" si="425"/>
        <v>1850815</v>
      </c>
      <c r="Y2344" s="8"/>
      <c r="Z2344" s="9">
        <f t="shared" si="426"/>
        <v>0</v>
      </c>
      <c r="AA2344" s="8">
        <f t="shared" si="427"/>
        <v>1850815</v>
      </c>
      <c r="AB2344" s="8">
        <f t="shared" si="428"/>
        <v>0</v>
      </c>
    </row>
    <row r="2345" spans="1:28" x14ac:dyDescent="0.35">
      <c r="A2345" s="36"/>
      <c r="B2345" s="8"/>
      <c r="C2345" s="7" t="s">
        <v>57</v>
      </c>
      <c r="D2345" s="15" t="s">
        <v>58</v>
      </c>
      <c r="E2345" s="9">
        <v>0</v>
      </c>
      <c r="F2345" s="9">
        <v>0</v>
      </c>
      <c r="G2345" s="8"/>
      <c r="H2345" s="9">
        <f t="shared" si="419"/>
        <v>0</v>
      </c>
      <c r="I2345" s="9"/>
      <c r="J2345" s="8"/>
      <c r="K2345" s="8"/>
      <c r="L2345" s="9"/>
      <c r="M2345" s="9">
        <f t="shared" si="420"/>
        <v>0</v>
      </c>
      <c r="N2345" s="9">
        <v>0</v>
      </c>
      <c r="O2345" s="8"/>
      <c r="P2345" s="9">
        <f t="shared" si="421"/>
        <v>0</v>
      </c>
      <c r="Q2345" s="8"/>
      <c r="R2345" s="8"/>
      <c r="S2345" s="8"/>
      <c r="T2345" s="9"/>
      <c r="U2345" s="9">
        <f t="shared" si="422"/>
        <v>0</v>
      </c>
      <c r="V2345" s="9">
        <f t="shared" si="423"/>
        <v>0</v>
      </c>
      <c r="W2345" s="9">
        <f t="shared" si="424"/>
        <v>0</v>
      </c>
      <c r="X2345" s="9">
        <f t="shared" si="425"/>
        <v>0</v>
      </c>
      <c r="Y2345" s="8"/>
      <c r="Z2345" s="9">
        <f t="shared" si="426"/>
        <v>0</v>
      </c>
      <c r="AA2345" s="8">
        <f t="shared" si="427"/>
        <v>0</v>
      </c>
      <c r="AB2345" s="8">
        <f t="shared" si="428"/>
        <v>0</v>
      </c>
    </row>
    <row r="2346" spans="1:28" x14ac:dyDescent="0.35">
      <c r="A2346" s="36"/>
      <c r="B2346" s="8"/>
      <c r="C2346" s="7" t="s">
        <v>57</v>
      </c>
      <c r="D2346" s="15" t="s">
        <v>60</v>
      </c>
      <c r="E2346" s="9">
        <v>3712946</v>
      </c>
      <c r="F2346" s="11">
        <f>819444+2893502</f>
        <v>3712946</v>
      </c>
      <c r="G2346" s="8"/>
      <c r="H2346" s="9">
        <f t="shared" si="419"/>
        <v>3712946</v>
      </c>
      <c r="I2346" s="8"/>
      <c r="J2346" s="8"/>
      <c r="K2346" s="8"/>
      <c r="L2346" s="9"/>
      <c r="M2346" s="9">
        <f t="shared" si="420"/>
        <v>3712946</v>
      </c>
      <c r="N2346" s="9">
        <v>0</v>
      </c>
      <c r="O2346" s="8"/>
      <c r="P2346" s="9">
        <f t="shared" si="421"/>
        <v>0</v>
      </c>
      <c r="Q2346" s="8"/>
      <c r="R2346" s="8"/>
      <c r="S2346" s="8"/>
      <c r="T2346" s="9"/>
      <c r="U2346" s="9">
        <f t="shared" si="422"/>
        <v>0</v>
      </c>
      <c r="V2346" s="9">
        <f t="shared" si="423"/>
        <v>3712946</v>
      </c>
      <c r="W2346" s="9">
        <f t="shared" si="424"/>
        <v>0</v>
      </c>
      <c r="X2346" s="9">
        <f t="shared" si="425"/>
        <v>3712946</v>
      </c>
      <c r="Y2346" s="8"/>
      <c r="Z2346" s="9">
        <f t="shared" si="426"/>
        <v>0</v>
      </c>
      <c r="AA2346" s="8">
        <f t="shared" si="427"/>
        <v>3712946</v>
      </c>
      <c r="AB2346" s="8">
        <f t="shared" si="428"/>
        <v>0</v>
      </c>
    </row>
    <row r="2347" spans="1:28" x14ac:dyDescent="0.35">
      <c r="A2347" s="36"/>
      <c r="B2347" s="8"/>
      <c r="C2347" s="7" t="s">
        <v>57</v>
      </c>
      <c r="D2347" s="15" t="s">
        <v>73</v>
      </c>
      <c r="E2347" s="9">
        <v>1793201.51</v>
      </c>
      <c r="F2347" s="11">
        <v>1793201.51</v>
      </c>
      <c r="G2347" s="8"/>
      <c r="H2347" s="9">
        <f t="shared" si="419"/>
        <v>1793201.51</v>
      </c>
      <c r="I2347" s="8"/>
      <c r="J2347" s="8"/>
      <c r="K2347" s="8"/>
      <c r="L2347" s="9"/>
      <c r="M2347" s="9">
        <f t="shared" si="420"/>
        <v>1793201.51</v>
      </c>
      <c r="N2347" s="9">
        <v>0</v>
      </c>
      <c r="O2347" s="8"/>
      <c r="P2347" s="9">
        <f t="shared" si="421"/>
        <v>0</v>
      </c>
      <c r="Q2347" s="8"/>
      <c r="R2347" s="8"/>
      <c r="S2347" s="8"/>
      <c r="T2347" s="9"/>
      <c r="U2347" s="9">
        <f t="shared" si="422"/>
        <v>0</v>
      </c>
      <c r="V2347" s="9">
        <f t="shared" si="423"/>
        <v>1793201.51</v>
      </c>
      <c r="W2347" s="9">
        <f t="shared" si="424"/>
        <v>0</v>
      </c>
      <c r="X2347" s="9">
        <f t="shared" si="425"/>
        <v>1793201.51</v>
      </c>
      <c r="Y2347" s="8"/>
      <c r="Z2347" s="9">
        <f t="shared" si="426"/>
        <v>0</v>
      </c>
      <c r="AA2347" s="8">
        <f t="shared" si="427"/>
        <v>1793201.51</v>
      </c>
      <c r="AB2347" s="8">
        <f t="shared" si="428"/>
        <v>0</v>
      </c>
    </row>
    <row r="2348" spans="1:28" x14ac:dyDescent="0.35">
      <c r="A2348" s="36"/>
      <c r="B2348" s="8"/>
      <c r="C2348" s="14" t="s">
        <v>109</v>
      </c>
      <c r="D2348" s="21" t="s">
        <v>60</v>
      </c>
      <c r="E2348" s="9">
        <v>2500000</v>
      </c>
      <c r="F2348" s="11">
        <v>2500000</v>
      </c>
      <c r="G2348" s="8"/>
      <c r="H2348" s="9">
        <f t="shared" si="419"/>
        <v>2500000</v>
      </c>
      <c r="I2348" s="8"/>
      <c r="J2348" s="8"/>
      <c r="K2348" s="8"/>
      <c r="L2348" s="9"/>
      <c r="M2348" s="9">
        <f t="shared" si="420"/>
        <v>2500000</v>
      </c>
      <c r="N2348" s="9">
        <v>0</v>
      </c>
      <c r="O2348" s="8"/>
      <c r="P2348" s="9">
        <f t="shared" si="421"/>
        <v>0</v>
      </c>
      <c r="Q2348" s="8"/>
      <c r="R2348" s="8"/>
      <c r="S2348" s="8"/>
      <c r="T2348" s="9"/>
      <c r="U2348" s="9">
        <f t="shared" si="422"/>
        <v>0</v>
      </c>
      <c r="V2348" s="9">
        <f t="shared" si="423"/>
        <v>2500000</v>
      </c>
      <c r="W2348" s="9">
        <f t="shared" si="424"/>
        <v>0</v>
      </c>
      <c r="X2348" s="9">
        <f t="shared" si="425"/>
        <v>2500000</v>
      </c>
      <c r="Y2348" s="8"/>
      <c r="Z2348" s="9">
        <f t="shared" si="426"/>
        <v>0</v>
      </c>
      <c r="AA2348" s="8">
        <f t="shared" si="427"/>
        <v>2500000</v>
      </c>
      <c r="AB2348" s="8">
        <f t="shared" si="428"/>
        <v>0</v>
      </c>
    </row>
    <row r="2349" spans="1:28" x14ac:dyDescent="0.35">
      <c r="A2349" s="36"/>
      <c r="B2349" s="8"/>
      <c r="C2349" s="7" t="s">
        <v>398</v>
      </c>
      <c r="D2349" s="8"/>
      <c r="E2349" s="9">
        <v>791034</v>
      </c>
      <c r="F2349" s="9">
        <v>791034</v>
      </c>
      <c r="G2349" s="8"/>
      <c r="H2349" s="9">
        <f t="shared" si="419"/>
        <v>791034</v>
      </c>
      <c r="I2349" s="8"/>
      <c r="J2349" s="8"/>
      <c r="K2349" s="8"/>
      <c r="L2349" s="9"/>
      <c r="M2349" s="9">
        <f t="shared" si="420"/>
        <v>791034</v>
      </c>
      <c r="N2349" s="9">
        <v>0</v>
      </c>
      <c r="O2349" s="8"/>
      <c r="P2349" s="9">
        <f t="shared" si="421"/>
        <v>0</v>
      </c>
      <c r="Q2349" s="8"/>
      <c r="R2349" s="8"/>
      <c r="S2349" s="8"/>
      <c r="T2349" s="9"/>
      <c r="U2349" s="9">
        <f t="shared" si="422"/>
        <v>0</v>
      </c>
      <c r="V2349" s="9">
        <f t="shared" si="423"/>
        <v>791034</v>
      </c>
      <c r="W2349" s="9">
        <f t="shared" si="424"/>
        <v>0</v>
      </c>
      <c r="X2349" s="9">
        <f t="shared" si="425"/>
        <v>791034</v>
      </c>
      <c r="Y2349" s="8"/>
      <c r="Z2349" s="9">
        <f t="shared" si="426"/>
        <v>0</v>
      </c>
      <c r="AA2349" s="8">
        <f t="shared" si="427"/>
        <v>791034</v>
      </c>
      <c r="AB2349" s="8">
        <f t="shared" si="428"/>
        <v>0</v>
      </c>
    </row>
    <row r="2350" spans="1:28" x14ac:dyDescent="0.35">
      <c r="A2350" s="36"/>
      <c r="B2350" s="8"/>
      <c r="C2350" s="7" t="s">
        <v>399</v>
      </c>
      <c r="D2350" s="8"/>
      <c r="E2350" s="9">
        <v>187732</v>
      </c>
      <c r="F2350" s="9">
        <v>187732</v>
      </c>
      <c r="G2350" s="8"/>
      <c r="H2350" s="9">
        <f t="shared" si="419"/>
        <v>187732</v>
      </c>
      <c r="I2350" s="8"/>
      <c r="J2350" s="8"/>
      <c r="K2350" s="8"/>
      <c r="L2350" s="9"/>
      <c r="M2350" s="9">
        <f t="shared" si="420"/>
        <v>187732</v>
      </c>
      <c r="N2350" s="9">
        <v>0</v>
      </c>
      <c r="O2350" s="8"/>
      <c r="P2350" s="9">
        <f t="shared" si="421"/>
        <v>0</v>
      </c>
      <c r="Q2350" s="8"/>
      <c r="R2350" s="8"/>
      <c r="S2350" s="8"/>
      <c r="T2350" s="9"/>
      <c r="U2350" s="9">
        <f t="shared" si="422"/>
        <v>0</v>
      </c>
      <c r="V2350" s="9">
        <f t="shared" si="423"/>
        <v>187732</v>
      </c>
      <c r="W2350" s="9">
        <f t="shared" si="424"/>
        <v>0</v>
      </c>
      <c r="X2350" s="9">
        <f t="shared" si="425"/>
        <v>187732</v>
      </c>
      <c r="Y2350" s="8"/>
      <c r="Z2350" s="9">
        <f t="shared" si="426"/>
        <v>0</v>
      </c>
      <c r="AA2350" s="8">
        <f t="shared" si="427"/>
        <v>187732</v>
      </c>
      <c r="AB2350" s="8">
        <f t="shared" si="428"/>
        <v>0</v>
      </c>
    </row>
    <row r="2351" spans="1:28" x14ac:dyDescent="0.35">
      <c r="A2351" s="36"/>
      <c r="B2351" s="8"/>
      <c r="C2351" s="7" t="s">
        <v>400</v>
      </c>
      <c r="D2351" s="8"/>
      <c r="E2351" s="9">
        <v>2073000</v>
      </c>
      <c r="F2351" s="9">
        <v>2073000</v>
      </c>
      <c r="G2351" s="8"/>
      <c r="H2351" s="9">
        <f t="shared" si="419"/>
        <v>2073000</v>
      </c>
      <c r="I2351" s="8"/>
      <c r="J2351" s="8"/>
      <c r="K2351" s="8"/>
      <c r="L2351" s="9"/>
      <c r="M2351" s="9">
        <f t="shared" si="420"/>
        <v>2073000</v>
      </c>
      <c r="N2351" s="9">
        <v>0</v>
      </c>
      <c r="O2351" s="8"/>
      <c r="P2351" s="9">
        <f t="shared" si="421"/>
        <v>0</v>
      </c>
      <c r="Q2351" s="8"/>
      <c r="R2351" s="8"/>
      <c r="S2351" s="8"/>
      <c r="T2351" s="9"/>
      <c r="U2351" s="9">
        <f t="shared" si="422"/>
        <v>0</v>
      </c>
      <c r="V2351" s="9">
        <f t="shared" si="423"/>
        <v>2073000</v>
      </c>
      <c r="W2351" s="9">
        <f t="shared" si="424"/>
        <v>0</v>
      </c>
      <c r="X2351" s="9">
        <f t="shared" si="425"/>
        <v>2073000</v>
      </c>
      <c r="Y2351" s="8"/>
      <c r="Z2351" s="9">
        <f t="shared" si="426"/>
        <v>0</v>
      </c>
      <c r="AA2351" s="8">
        <f t="shared" si="427"/>
        <v>2073000</v>
      </c>
      <c r="AB2351" s="8">
        <f t="shared" si="428"/>
        <v>0</v>
      </c>
    </row>
    <row r="2352" spans="1:28" x14ac:dyDescent="0.35">
      <c r="A2352" s="36"/>
      <c r="B2352" s="8"/>
      <c r="C2352" s="7" t="s">
        <v>401</v>
      </c>
      <c r="D2352" s="8"/>
      <c r="E2352" s="9">
        <v>1407720</v>
      </c>
      <c r="F2352" s="9">
        <v>1407720</v>
      </c>
      <c r="G2352" s="8"/>
      <c r="H2352" s="9">
        <f t="shared" si="419"/>
        <v>1407720</v>
      </c>
      <c r="I2352" s="8"/>
      <c r="J2352" s="8"/>
      <c r="K2352" s="8"/>
      <c r="L2352" s="9"/>
      <c r="M2352" s="9">
        <f t="shared" si="420"/>
        <v>1407720</v>
      </c>
      <c r="N2352" s="9">
        <v>0</v>
      </c>
      <c r="O2352" s="8"/>
      <c r="P2352" s="9">
        <f t="shared" si="421"/>
        <v>0</v>
      </c>
      <c r="Q2352" s="8"/>
      <c r="R2352" s="8"/>
      <c r="S2352" s="8"/>
      <c r="T2352" s="9"/>
      <c r="U2352" s="9">
        <f t="shared" si="422"/>
        <v>0</v>
      </c>
      <c r="V2352" s="9">
        <f t="shared" si="423"/>
        <v>1407720</v>
      </c>
      <c r="W2352" s="9">
        <f t="shared" si="424"/>
        <v>0</v>
      </c>
      <c r="X2352" s="9">
        <f t="shared" si="425"/>
        <v>1407720</v>
      </c>
      <c r="Y2352" s="8"/>
      <c r="Z2352" s="9">
        <f t="shared" si="426"/>
        <v>0</v>
      </c>
      <c r="AA2352" s="8">
        <f t="shared" si="427"/>
        <v>1407720</v>
      </c>
      <c r="AB2352" s="8">
        <f t="shared" si="428"/>
        <v>0</v>
      </c>
    </row>
    <row r="2353" spans="1:28" x14ac:dyDescent="0.35">
      <c r="A2353" s="36"/>
      <c r="B2353" s="8"/>
      <c r="C2353" s="7" t="s">
        <v>930</v>
      </c>
      <c r="D2353" s="23" t="s">
        <v>1072</v>
      </c>
      <c r="E2353" s="9">
        <v>1469575.72</v>
      </c>
      <c r="F2353" s="9">
        <v>1469575.72</v>
      </c>
      <c r="G2353" s="8"/>
      <c r="H2353" s="9">
        <f>+F2353+G2353</f>
        <v>1469575.72</v>
      </c>
      <c r="I2353" s="8"/>
      <c r="J2353" s="8"/>
      <c r="K2353" s="8"/>
      <c r="L2353" s="9"/>
      <c r="M2353" s="9">
        <f>+H2353+L2353</f>
        <v>1469575.72</v>
      </c>
      <c r="N2353" s="9">
        <v>0</v>
      </c>
      <c r="O2353" s="8"/>
      <c r="P2353" s="9">
        <f>+N2353+O2353</f>
        <v>0</v>
      </c>
      <c r="Q2353" s="8"/>
      <c r="R2353" s="8"/>
      <c r="S2353" s="8"/>
      <c r="T2353" s="9"/>
      <c r="U2353" s="9">
        <f>P2353+T2353</f>
        <v>0</v>
      </c>
      <c r="V2353" s="9">
        <f>P2353+H2353</f>
        <v>1469575.72</v>
      </c>
      <c r="W2353" s="9">
        <f>E2353-V2353</f>
        <v>0</v>
      </c>
      <c r="X2353" s="9">
        <f t="shared" si="425"/>
        <v>1469575.72</v>
      </c>
      <c r="Y2353" s="8"/>
      <c r="Z2353" s="9">
        <f t="shared" si="426"/>
        <v>0</v>
      </c>
      <c r="AA2353" s="8">
        <f t="shared" si="427"/>
        <v>1469575.72</v>
      </c>
      <c r="AB2353" s="8">
        <f t="shared" si="428"/>
        <v>0</v>
      </c>
    </row>
    <row r="2354" spans="1:28" x14ac:dyDescent="0.35">
      <c r="A2354" s="36"/>
      <c r="B2354" s="8"/>
      <c r="C2354" s="7" t="s">
        <v>57</v>
      </c>
      <c r="D2354" s="23" t="s">
        <v>61</v>
      </c>
      <c r="E2354" s="9">
        <f>981144.2+15489.3</f>
        <v>996633.5</v>
      </c>
      <c r="F2354" s="8">
        <v>981144.2</v>
      </c>
      <c r="G2354" s="8"/>
      <c r="H2354" s="9">
        <f t="shared" si="419"/>
        <v>981144.2</v>
      </c>
      <c r="I2354" s="8"/>
      <c r="J2354" s="8"/>
      <c r="K2354" s="8"/>
      <c r="L2354" s="9"/>
      <c r="M2354" s="9">
        <f t="shared" si="420"/>
        <v>981144.2</v>
      </c>
      <c r="N2354" s="9">
        <v>0</v>
      </c>
      <c r="O2354" s="8"/>
      <c r="P2354" s="9">
        <f t="shared" si="421"/>
        <v>0</v>
      </c>
      <c r="Q2354" s="8">
        <v>15489.3</v>
      </c>
      <c r="R2354" s="8"/>
      <c r="S2354" s="8"/>
      <c r="T2354" s="9">
        <v>15489.3</v>
      </c>
      <c r="U2354" s="9">
        <f t="shared" si="422"/>
        <v>15489.3</v>
      </c>
      <c r="V2354" s="9">
        <f t="shared" si="423"/>
        <v>981144.2</v>
      </c>
      <c r="W2354" s="9">
        <f t="shared" si="424"/>
        <v>15489.300000000047</v>
      </c>
      <c r="X2354" s="9">
        <f t="shared" si="425"/>
        <v>981144.2</v>
      </c>
      <c r="Y2354" s="8"/>
      <c r="Z2354" s="9">
        <f t="shared" si="426"/>
        <v>15489.300000000047</v>
      </c>
      <c r="AA2354" s="8">
        <f t="shared" si="427"/>
        <v>996633.5</v>
      </c>
      <c r="AB2354" s="8">
        <f t="shared" si="428"/>
        <v>0</v>
      </c>
    </row>
    <row r="2355" spans="1:28" x14ac:dyDescent="0.35">
      <c r="A2355" s="36"/>
      <c r="B2355" s="8"/>
      <c r="C2355" s="9"/>
      <c r="D2355" s="8"/>
      <c r="E2355" s="17" t="s">
        <v>29</v>
      </c>
      <c r="F2355" s="17" t="s">
        <v>29</v>
      </c>
      <c r="G2355" s="17" t="s">
        <v>29</v>
      </c>
      <c r="H2355" s="17" t="s">
        <v>29</v>
      </c>
      <c r="I2355" s="17" t="s">
        <v>29</v>
      </c>
      <c r="J2355" s="17" t="s">
        <v>29</v>
      </c>
      <c r="K2355" s="17" t="s">
        <v>29</v>
      </c>
      <c r="L2355" s="17" t="s">
        <v>29</v>
      </c>
      <c r="M2355" s="17" t="s">
        <v>29</v>
      </c>
      <c r="N2355" s="17" t="s">
        <v>29</v>
      </c>
      <c r="O2355" s="17" t="s">
        <v>29</v>
      </c>
      <c r="P2355" s="17" t="s">
        <v>29</v>
      </c>
      <c r="Q2355" s="17" t="s">
        <v>29</v>
      </c>
      <c r="R2355" s="17" t="s">
        <v>29</v>
      </c>
      <c r="S2355" s="17" t="s">
        <v>29</v>
      </c>
      <c r="T2355" s="17" t="s">
        <v>29</v>
      </c>
      <c r="U2355" s="17" t="s">
        <v>29</v>
      </c>
      <c r="V2355" s="17" t="s">
        <v>29</v>
      </c>
      <c r="W2355" s="17" t="s">
        <v>29</v>
      </c>
      <c r="X2355" s="17" t="s">
        <v>29</v>
      </c>
      <c r="Y2355" s="17" t="s">
        <v>29</v>
      </c>
      <c r="Z2355" s="17" t="s">
        <v>29</v>
      </c>
      <c r="AA2355" s="17" t="s">
        <v>29</v>
      </c>
      <c r="AB2355" s="17" t="s">
        <v>29</v>
      </c>
    </row>
    <row r="2356" spans="1:28" x14ac:dyDescent="0.35">
      <c r="A2356" s="36"/>
      <c r="B2356" s="8"/>
      <c r="C2356" s="8"/>
      <c r="D2356" s="8"/>
      <c r="E2356" s="9">
        <f t="shared" ref="E2356:AB2356" si="429">SUM(E2341:E2354)</f>
        <v>32829327.23</v>
      </c>
      <c r="F2356" s="9">
        <f t="shared" si="429"/>
        <v>31485611.129999999</v>
      </c>
      <c r="G2356" s="9">
        <f t="shared" si="429"/>
        <v>0</v>
      </c>
      <c r="H2356" s="9">
        <f t="shared" si="429"/>
        <v>31485611.129999999</v>
      </c>
      <c r="I2356" s="9">
        <f t="shared" si="429"/>
        <v>0</v>
      </c>
      <c r="J2356" s="9">
        <f t="shared" si="429"/>
        <v>0</v>
      </c>
      <c r="K2356" s="9">
        <f t="shared" si="429"/>
        <v>0</v>
      </c>
      <c r="L2356" s="9">
        <f t="shared" si="429"/>
        <v>0</v>
      </c>
      <c r="M2356" s="9">
        <f t="shared" si="429"/>
        <v>31485611.129999999</v>
      </c>
      <c r="N2356" s="9">
        <f t="shared" si="429"/>
        <v>1328226.8</v>
      </c>
      <c r="O2356" s="9">
        <f t="shared" si="429"/>
        <v>0</v>
      </c>
      <c r="P2356" s="9">
        <f t="shared" si="429"/>
        <v>1328226.8</v>
      </c>
      <c r="Q2356" s="9">
        <f t="shared" si="429"/>
        <v>15489.3</v>
      </c>
      <c r="R2356" s="9">
        <f t="shared" si="429"/>
        <v>0</v>
      </c>
      <c r="S2356" s="9">
        <f t="shared" si="429"/>
        <v>0</v>
      </c>
      <c r="T2356" s="9">
        <f t="shared" si="429"/>
        <v>15489.3</v>
      </c>
      <c r="U2356" s="9">
        <f t="shared" si="429"/>
        <v>1343716.1</v>
      </c>
      <c r="V2356" s="9">
        <f t="shared" si="429"/>
        <v>32813837.93</v>
      </c>
      <c r="W2356" s="9">
        <f t="shared" si="429"/>
        <v>15489.300000000047</v>
      </c>
      <c r="X2356" s="9">
        <f t="shared" si="429"/>
        <v>32813837.93</v>
      </c>
      <c r="Y2356" s="9">
        <f t="shared" si="429"/>
        <v>0</v>
      </c>
      <c r="Z2356" s="9">
        <f t="shared" si="429"/>
        <v>15489.300000000047</v>
      </c>
      <c r="AA2356" s="9">
        <f t="shared" si="429"/>
        <v>32829327.23</v>
      </c>
      <c r="AB2356" s="9">
        <f t="shared" si="429"/>
        <v>0</v>
      </c>
    </row>
    <row r="2357" spans="1:28" x14ac:dyDescent="0.35">
      <c r="A2357" s="36"/>
      <c r="B2357" s="8"/>
      <c r="C2357" s="8"/>
      <c r="D2357" s="8"/>
      <c r="E2357" s="17" t="s">
        <v>29</v>
      </c>
      <c r="F2357" s="17" t="s">
        <v>29</v>
      </c>
      <c r="G2357" s="17" t="s">
        <v>29</v>
      </c>
      <c r="H2357" s="17" t="s">
        <v>29</v>
      </c>
      <c r="I2357" s="17" t="s">
        <v>29</v>
      </c>
      <c r="J2357" s="17" t="s">
        <v>29</v>
      </c>
      <c r="K2357" s="17" t="s">
        <v>29</v>
      </c>
      <c r="L2357" s="17" t="s">
        <v>29</v>
      </c>
      <c r="M2357" s="17" t="s">
        <v>29</v>
      </c>
      <c r="N2357" s="17" t="s">
        <v>29</v>
      </c>
      <c r="O2357" s="17" t="s">
        <v>29</v>
      </c>
      <c r="P2357" s="17" t="s">
        <v>29</v>
      </c>
      <c r="Q2357" s="17" t="s">
        <v>29</v>
      </c>
      <c r="R2357" s="17" t="s">
        <v>29</v>
      </c>
      <c r="S2357" s="17" t="s">
        <v>29</v>
      </c>
      <c r="T2357" s="17" t="s">
        <v>29</v>
      </c>
      <c r="U2357" s="17" t="s">
        <v>29</v>
      </c>
      <c r="V2357" s="17" t="s">
        <v>29</v>
      </c>
      <c r="W2357" s="17" t="s">
        <v>29</v>
      </c>
      <c r="X2357" s="17" t="s">
        <v>29</v>
      </c>
      <c r="Y2357" s="17" t="s">
        <v>29</v>
      </c>
      <c r="Z2357" s="17" t="s">
        <v>29</v>
      </c>
      <c r="AA2357" s="17" t="s">
        <v>29</v>
      </c>
      <c r="AB2357" s="17" t="s">
        <v>29</v>
      </c>
    </row>
    <row r="2358" spans="1:28" x14ac:dyDescent="0.35">
      <c r="A2358" s="38" t="s">
        <v>1044</v>
      </c>
      <c r="B2358" s="7" t="s">
        <v>402</v>
      </c>
      <c r="C2358" s="8"/>
      <c r="D2358" s="15" t="s">
        <v>403</v>
      </c>
      <c r="E2358" s="8"/>
      <c r="F2358" s="8"/>
      <c r="G2358" s="8"/>
      <c r="H2358" s="8"/>
      <c r="I2358" s="8"/>
      <c r="J2358" s="8"/>
      <c r="K2358" s="8"/>
      <c r="L2358" s="8"/>
      <c r="M2358" s="8"/>
      <c r="N2358" s="8"/>
      <c r="O2358" s="8"/>
      <c r="P2358" s="8"/>
      <c r="Q2358" s="8"/>
      <c r="R2358" s="8"/>
      <c r="S2358" s="8"/>
      <c r="T2358" s="8"/>
      <c r="U2358" s="8"/>
      <c r="V2358" s="8"/>
      <c r="W2358" s="8"/>
      <c r="X2358" s="8"/>
      <c r="Y2358" s="8"/>
      <c r="Z2358" s="8"/>
    </row>
    <row r="2359" spans="1:28" x14ac:dyDescent="0.35">
      <c r="A2359" s="36"/>
      <c r="B2359" s="8"/>
      <c r="C2359" s="7" t="s">
        <v>404</v>
      </c>
      <c r="D2359" s="15" t="s">
        <v>405</v>
      </c>
      <c r="E2359" s="9">
        <v>6446444.54</v>
      </c>
      <c r="F2359" s="9">
        <v>6446444.54</v>
      </c>
      <c r="G2359" s="8"/>
      <c r="H2359" s="9">
        <f t="shared" ref="H2359:H2365" si="430">F2359+G2359</f>
        <v>6446444.54</v>
      </c>
      <c r="I2359" s="8"/>
      <c r="J2359" s="8"/>
      <c r="K2359" s="8"/>
      <c r="L2359" s="9"/>
      <c r="M2359" s="9">
        <f t="shared" ref="M2359:M2365" si="431">H2359+L2359</f>
        <v>6446444.54</v>
      </c>
      <c r="N2359" s="9">
        <v>0</v>
      </c>
      <c r="O2359" s="8"/>
      <c r="P2359" s="9">
        <f t="shared" ref="P2359:P2365" si="432">N2359+O2359</f>
        <v>0</v>
      </c>
      <c r="Q2359" s="8"/>
      <c r="R2359" s="8"/>
      <c r="S2359" s="8"/>
      <c r="T2359" s="9"/>
      <c r="U2359" s="9">
        <f t="shared" ref="U2359:U2365" si="433">P2359+T2359</f>
        <v>0</v>
      </c>
      <c r="V2359" s="9">
        <f t="shared" ref="V2359:V2365" si="434">P2359+H2359</f>
        <v>6446444.54</v>
      </c>
      <c r="W2359" s="9">
        <f t="shared" ref="W2359:W2365" si="435">E2359-V2359</f>
        <v>0</v>
      </c>
      <c r="X2359" s="9">
        <f t="shared" ref="X2359:X2365" si="436">+H2359+P2359</f>
        <v>6446444.54</v>
      </c>
      <c r="Y2359" s="8"/>
      <c r="Z2359" s="9">
        <f t="shared" ref="Z2359:Z2365" si="437">+E2359-X2359</f>
        <v>0</v>
      </c>
      <c r="AA2359" s="8">
        <f t="shared" ref="AA2359:AA2365" si="438">+M2359+U2359</f>
        <v>6446444.54</v>
      </c>
      <c r="AB2359" s="8">
        <f t="shared" ref="AB2359:AB2365" si="439">+E2359-AA2359</f>
        <v>0</v>
      </c>
    </row>
    <row r="2360" spans="1:28" x14ac:dyDescent="0.35">
      <c r="A2360" s="36"/>
      <c r="B2360" s="8"/>
      <c r="C2360" s="7" t="s">
        <v>57</v>
      </c>
      <c r="D2360" s="15" t="s">
        <v>54</v>
      </c>
      <c r="E2360" s="9">
        <v>519810</v>
      </c>
      <c r="F2360" s="9">
        <v>519810</v>
      </c>
      <c r="G2360" s="8"/>
      <c r="H2360" s="9">
        <f t="shared" si="430"/>
        <v>519810</v>
      </c>
      <c r="I2360" s="8"/>
      <c r="J2360" s="8"/>
      <c r="K2360" s="8"/>
      <c r="L2360" s="9"/>
      <c r="M2360" s="9">
        <f t="shared" si="431"/>
        <v>519810</v>
      </c>
      <c r="N2360" s="9">
        <v>0</v>
      </c>
      <c r="O2360" s="8"/>
      <c r="P2360" s="9">
        <f t="shared" si="432"/>
        <v>0</v>
      </c>
      <c r="Q2360" s="8"/>
      <c r="R2360" s="8"/>
      <c r="S2360" s="8"/>
      <c r="T2360" s="9"/>
      <c r="U2360" s="9">
        <f t="shared" si="433"/>
        <v>0</v>
      </c>
      <c r="V2360" s="9">
        <f t="shared" si="434"/>
        <v>519810</v>
      </c>
      <c r="W2360" s="9">
        <f t="shared" si="435"/>
        <v>0</v>
      </c>
      <c r="X2360" s="9">
        <f t="shared" si="436"/>
        <v>519810</v>
      </c>
      <c r="Y2360" s="8"/>
      <c r="Z2360" s="9">
        <f t="shared" si="437"/>
        <v>0</v>
      </c>
      <c r="AA2360" s="8">
        <f t="shared" si="438"/>
        <v>519810</v>
      </c>
      <c r="AB2360" s="8">
        <f t="shared" si="439"/>
        <v>0</v>
      </c>
    </row>
    <row r="2361" spans="1:28" x14ac:dyDescent="0.35">
      <c r="A2361" s="36"/>
      <c r="B2361" s="8"/>
      <c r="C2361" s="7" t="s">
        <v>53</v>
      </c>
      <c r="D2361" s="15" t="s">
        <v>85</v>
      </c>
      <c r="E2361" s="9">
        <v>570941</v>
      </c>
      <c r="F2361" s="9">
        <v>0</v>
      </c>
      <c r="G2361" s="8"/>
      <c r="H2361" s="9">
        <f t="shared" si="430"/>
        <v>0</v>
      </c>
      <c r="I2361" s="8"/>
      <c r="J2361" s="8"/>
      <c r="K2361" s="8"/>
      <c r="L2361" s="9"/>
      <c r="M2361" s="9">
        <f t="shared" si="431"/>
        <v>0</v>
      </c>
      <c r="N2361" s="9">
        <v>570941</v>
      </c>
      <c r="O2361" s="8"/>
      <c r="P2361" s="9">
        <f t="shared" si="432"/>
        <v>570941</v>
      </c>
      <c r="Q2361" s="8"/>
      <c r="R2361" s="8"/>
      <c r="S2361" s="8"/>
      <c r="T2361" s="9"/>
      <c r="U2361" s="9">
        <f t="shared" si="433"/>
        <v>570941</v>
      </c>
      <c r="V2361" s="9">
        <f t="shared" si="434"/>
        <v>570941</v>
      </c>
      <c r="W2361" s="9">
        <f t="shared" si="435"/>
        <v>0</v>
      </c>
      <c r="X2361" s="9">
        <f t="shared" si="436"/>
        <v>570941</v>
      </c>
      <c r="Y2361" s="8"/>
      <c r="Z2361" s="9">
        <f t="shared" si="437"/>
        <v>0</v>
      </c>
      <c r="AA2361" s="8">
        <f t="shared" si="438"/>
        <v>570941</v>
      </c>
      <c r="AB2361" s="8">
        <f t="shared" si="439"/>
        <v>0</v>
      </c>
    </row>
    <row r="2362" spans="1:28" x14ac:dyDescent="0.35">
      <c r="A2362" s="36"/>
      <c r="B2362" s="8"/>
      <c r="C2362" s="7" t="s">
        <v>57</v>
      </c>
      <c r="D2362" s="15" t="s">
        <v>60</v>
      </c>
      <c r="E2362" s="9">
        <v>544585</v>
      </c>
      <c r="F2362" s="11">
        <v>544585</v>
      </c>
      <c r="G2362" s="8"/>
      <c r="H2362" s="9">
        <f t="shared" si="430"/>
        <v>544585</v>
      </c>
      <c r="I2362" s="8"/>
      <c r="J2362" s="8"/>
      <c r="K2362" s="8"/>
      <c r="L2362" s="9"/>
      <c r="M2362" s="9">
        <f t="shared" si="431"/>
        <v>544585</v>
      </c>
      <c r="N2362" s="9">
        <v>0</v>
      </c>
      <c r="O2362" s="8"/>
      <c r="P2362" s="9">
        <f t="shared" si="432"/>
        <v>0</v>
      </c>
      <c r="Q2362" s="8"/>
      <c r="R2362" s="8"/>
      <c r="S2362" s="8"/>
      <c r="T2362" s="9"/>
      <c r="U2362" s="9">
        <f t="shared" si="433"/>
        <v>0</v>
      </c>
      <c r="V2362" s="9">
        <f t="shared" si="434"/>
        <v>544585</v>
      </c>
      <c r="W2362" s="9">
        <f t="shared" si="435"/>
        <v>0</v>
      </c>
      <c r="X2362" s="9">
        <f t="shared" si="436"/>
        <v>544585</v>
      </c>
      <c r="Y2362" s="8"/>
      <c r="Z2362" s="9">
        <f t="shared" si="437"/>
        <v>0</v>
      </c>
      <c r="AA2362" s="8">
        <f t="shared" si="438"/>
        <v>544585</v>
      </c>
      <c r="AB2362" s="8">
        <f t="shared" si="439"/>
        <v>0</v>
      </c>
    </row>
    <row r="2363" spans="1:28" x14ac:dyDescent="0.35">
      <c r="A2363" s="36"/>
      <c r="B2363" s="8"/>
      <c r="C2363" s="7" t="s">
        <v>57</v>
      </c>
      <c r="D2363" s="15" t="s">
        <v>73</v>
      </c>
      <c r="E2363" s="9">
        <v>1187578.42</v>
      </c>
      <c r="F2363" s="11">
        <v>1187578.42</v>
      </c>
      <c r="G2363" s="8"/>
      <c r="H2363" s="9">
        <f t="shared" si="430"/>
        <v>1187578.42</v>
      </c>
      <c r="I2363" s="8"/>
      <c r="J2363" s="8"/>
      <c r="K2363" s="8"/>
      <c r="L2363" s="9"/>
      <c r="M2363" s="9">
        <f t="shared" si="431"/>
        <v>1187578.42</v>
      </c>
      <c r="N2363" s="9">
        <v>0</v>
      </c>
      <c r="O2363" s="8"/>
      <c r="P2363" s="9">
        <f t="shared" si="432"/>
        <v>0</v>
      </c>
      <c r="Q2363" s="8"/>
      <c r="R2363" s="8"/>
      <c r="S2363" s="8"/>
      <c r="T2363" s="9"/>
      <c r="U2363" s="9">
        <f t="shared" si="433"/>
        <v>0</v>
      </c>
      <c r="V2363" s="9">
        <f t="shared" si="434"/>
        <v>1187578.42</v>
      </c>
      <c r="W2363" s="9">
        <f t="shared" si="435"/>
        <v>0</v>
      </c>
      <c r="X2363" s="9">
        <f t="shared" si="436"/>
        <v>1187578.42</v>
      </c>
      <c r="Y2363" s="8"/>
      <c r="Z2363" s="9">
        <f t="shared" si="437"/>
        <v>0</v>
      </c>
      <c r="AA2363" s="8">
        <f t="shared" si="438"/>
        <v>1187578.42</v>
      </c>
      <c r="AB2363" s="8">
        <f t="shared" si="439"/>
        <v>0</v>
      </c>
    </row>
    <row r="2364" spans="1:28" x14ac:dyDescent="0.35">
      <c r="A2364" s="36"/>
      <c r="B2364" s="8"/>
      <c r="C2364" s="7" t="s">
        <v>406</v>
      </c>
      <c r="D2364" s="7" t="s">
        <v>71</v>
      </c>
      <c r="E2364" s="9">
        <v>1243000</v>
      </c>
      <c r="F2364" s="9">
        <v>1243000</v>
      </c>
      <c r="G2364" s="8"/>
      <c r="H2364" s="9">
        <f t="shared" si="430"/>
        <v>1243000</v>
      </c>
      <c r="I2364" s="8"/>
      <c r="J2364" s="8"/>
      <c r="K2364" s="8"/>
      <c r="L2364" s="9"/>
      <c r="M2364" s="9">
        <f t="shared" si="431"/>
        <v>1243000</v>
      </c>
      <c r="N2364" s="9">
        <v>0</v>
      </c>
      <c r="O2364" s="8"/>
      <c r="P2364" s="9">
        <f t="shared" si="432"/>
        <v>0</v>
      </c>
      <c r="Q2364" s="8"/>
      <c r="R2364" s="8"/>
      <c r="S2364" s="8"/>
      <c r="T2364" s="9"/>
      <c r="U2364" s="9">
        <f t="shared" si="433"/>
        <v>0</v>
      </c>
      <c r="V2364" s="9">
        <f t="shared" si="434"/>
        <v>1243000</v>
      </c>
      <c r="W2364" s="9">
        <f t="shared" si="435"/>
        <v>0</v>
      </c>
      <c r="X2364" s="9">
        <f t="shared" si="436"/>
        <v>1243000</v>
      </c>
      <c r="Y2364" s="8"/>
      <c r="Z2364" s="9">
        <f t="shared" si="437"/>
        <v>0</v>
      </c>
      <c r="AA2364" s="8">
        <f t="shared" si="438"/>
        <v>1243000</v>
      </c>
      <c r="AB2364" s="8">
        <f t="shared" si="439"/>
        <v>0</v>
      </c>
    </row>
    <row r="2365" spans="1:28" x14ac:dyDescent="0.35">
      <c r="A2365" s="36"/>
      <c r="B2365" s="8"/>
      <c r="C2365" s="7" t="s">
        <v>57</v>
      </c>
      <c r="D2365" s="16" t="s">
        <v>61</v>
      </c>
      <c r="E2365" s="9">
        <v>1543532.26</v>
      </c>
      <c r="F2365" s="8">
        <v>1543532.26</v>
      </c>
      <c r="G2365" s="8"/>
      <c r="H2365" s="9">
        <f t="shared" si="430"/>
        <v>1543532.26</v>
      </c>
      <c r="I2365" s="8"/>
      <c r="J2365" s="8"/>
      <c r="K2365" s="8"/>
      <c r="L2365" s="9"/>
      <c r="M2365" s="9">
        <f t="shared" si="431"/>
        <v>1543532.26</v>
      </c>
      <c r="N2365" s="9">
        <v>0</v>
      </c>
      <c r="O2365" s="8"/>
      <c r="P2365" s="9">
        <f t="shared" si="432"/>
        <v>0</v>
      </c>
      <c r="Q2365" s="8"/>
      <c r="R2365" s="8"/>
      <c r="S2365" s="8"/>
      <c r="T2365" s="9"/>
      <c r="U2365" s="9">
        <f t="shared" si="433"/>
        <v>0</v>
      </c>
      <c r="V2365" s="9">
        <f t="shared" si="434"/>
        <v>1543532.26</v>
      </c>
      <c r="W2365" s="9">
        <f t="shared" si="435"/>
        <v>0</v>
      </c>
      <c r="X2365" s="9">
        <f t="shared" si="436"/>
        <v>1543532.26</v>
      </c>
      <c r="Y2365" s="8"/>
      <c r="Z2365" s="9">
        <f t="shared" si="437"/>
        <v>0</v>
      </c>
      <c r="AA2365" s="8">
        <f t="shared" si="438"/>
        <v>1543532.26</v>
      </c>
      <c r="AB2365" s="8">
        <f t="shared" si="439"/>
        <v>0</v>
      </c>
    </row>
    <row r="2366" spans="1:28" x14ac:dyDescent="0.35">
      <c r="A2366" s="36"/>
      <c r="B2366" s="8"/>
      <c r="C2366" s="8"/>
      <c r="D2366" s="8"/>
      <c r="E2366" s="17" t="s">
        <v>29</v>
      </c>
      <c r="F2366" s="17" t="s">
        <v>29</v>
      </c>
      <c r="G2366" s="17" t="s">
        <v>29</v>
      </c>
      <c r="H2366" s="17" t="s">
        <v>29</v>
      </c>
      <c r="I2366" s="17" t="s">
        <v>29</v>
      </c>
      <c r="J2366" s="17" t="s">
        <v>29</v>
      </c>
      <c r="K2366" s="17" t="s">
        <v>29</v>
      </c>
      <c r="L2366" s="17" t="s">
        <v>29</v>
      </c>
      <c r="M2366" s="17" t="s">
        <v>29</v>
      </c>
      <c r="N2366" s="17" t="s">
        <v>29</v>
      </c>
      <c r="O2366" s="17" t="s">
        <v>29</v>
      </c>
      <c r="P2366" s="17" t="s">
        <v>29</v>
      </c>
      <c r="Q2366" s="17" t="s">
        <v>29</v>
      </c>
      <c r="R2366" s="17" t="s">
        <v>29</v>
      </c>
      <c r="S2366" s="17" t="s">
        <v>29</v>
      </c>
      <c r="T2366" s="17" t="s">
        <v>29</v>
      </c>
      <c r="U2366" s="17" t="s">
        <v>29</v>
      </c>
      <c r="V2366" s="17" t="s">
        <v>29</v>
      </c>
      <c r="W2366" s="17" t="s">
        <v>29</v>
      </c>
      <c r="X2366" s="17" t="s">
        <v>29</v>
      </c>
      <c r="Y2366" s="17" t="s">
        <v>29</v>
      </c>
      <c r="Z2366" s="17" t="s">
        <v>29</v>
      </c>
      <c r="AA2366" s="17" t="s">
        <v>29</v>
      </c>
      <c r="AB2366" s="17" t="s">
        <v>29</v>
      </c>
    </row>
    <row r="2367" spans="1:28" x14ac:dyDescent="0.35">
      <c r="A2367" s="36"/>
      <c r="B2367" s="8"/>
      <c r="C2367" s="8"/>
      <c r="D2367" s="8"/>
      <c r="E2367" s="9">
        <f t="shared" ref="E2367:AB2367" si="440">SUM(E2359:E2365)</f>
        <v>12055891.220000001</v>
      </c>
      <c r="F2367" s="9">
        <f t="shared" si="440"/>
        <v>11484950.220000001</v>
      </c>
      <c r="G2367" s="9">
        <f t="shared" si="440"/>
        <v>0</v>
      </c>
      <c r="H2367" s="9">
        <f t="shared" si="440"/>
        <v>11484950.220000001</v>
      </c>
      <c r="I2367" s="9">
        <f t="shared" si="440"/>
        <v>0</v>
      </c>
      <c r="J2367" s="9">
        <f t="shared" si="440"/>
        <v>0</v>
      </c>
      <c r="K2367" s="9">
        <f t="shared" si="440"/>
        <v>0</v>
      </c>
      <c r="L2367" s="9">
        <f t="shared" si="440"/>
        <v>0</v>
      </c>
      <c r="M2367" s="9">
        <f t="shared" si="440"/>
        <v>11484950.220000001</v>
      </c>
      <c r="N2367" s="9">
        <f t="shared" si="440"/>
        <v>570941</v>
      </c>
      <c r="O2367" s="9">
        <f t="shared" si="440"/>
        <v>0</v>
      </c>
      <c r="P2367" s="9">
        <f t="shared" si="440"/>
        <v>570941</v>
      </c>
      <c r="Q2367" s="9">
        <f t="shared" si="440"/>
        <v>0</v>
      </c>
      <c r="R2367" s="9">
        <f t="shared" si="440"/>
        <v>0</v>
      </c>
      <c r="S2367" s="9">
        <f t="shared" si="440"/>
        <v>0</v>
      </c>
      <c r="T2367" s="9">
        <f t="shared" si="440"/>
        <v>0</v>
      </c>
      <c r="U2367" s="9">
        <f t="shared" si="440"/>
        <v>570941</v>
      </c>
      <c r="V2367" s="9">
        <f t="shared" si="440"/>
        <v>12055891.220000001</v>
      </c>
      <c r="W2367" s="9">
        <f t="shared" si="440"/>
        <v>0</v>
      </c>
      <c r="X2367" s="9">
        <f t="shared" si="440"/>
        <v>12055891.220000001</v>
      </c>
      <c r="Y2367" s="9">
        <f t="shared" si="440"/>
        <v>0</v>
      </c>
      <c r="Z2367" s="9">
        <f t="shared" si="440"/>
        <v>0</v>
      </c>
      <c r="AA2367" s="9">
        <f t="shared" si="440"/>
        <v>12055891.220000001</v>
      </c>
      <c r="AB2367" s="9">
        <f t="shared" si="440"/>
        <v>0</v>
      </c>
    </row>
    <row r="2368" spans="1:28" x14ac:dyDescent="0.35">
      <c r="A2368" s="36"/>
      <c r="B2368" s="8"/>
      <c r="C2368" s="8"/>
      <c r="D2368" s="8"/>
      <c r="E2368" s="17" t="s">
        <v>29</v>
      </c>
      <c r="F2368" s="17" t="s">
        <v>29</v>
      </c>
      <c r="G2368" s="17" t="s">
        <v>29</v>
      </c>
      <c r="H2368" s="17" t="s">
        <v>29</v>
      </c>
      <c r="I2368" s="17" t="s">
        <v>29</v>
      </c>
      <c r="J2368" s="17" t="s">
        <v>29</v>
      </c>
      <c r="K2368" s="17" t="s">
        <v>29</v>
      </c>
      <c r="L2368" s="17" t="s">
        <v>29</v>
      </c>
      <c r="M2368" s="17" t="s">
        <v>29</v>
      </c>
      <c r="N2368" s="17" t="s">
        <v>29</v>
      </c>
      <c r="O2368" s="17" t="s">
        <v>29</v>
      </c>
      <c r="P2368" s="17" t="s">
        <v>29</v>
      </c>
      <c r="Q2368" s="17" t="s">
        <v>29</v>
      </c>
      <c r="R2368" s="17" t="s">
        <v>29</v>
      </c>
      <c r="S2368" s="17" t="s">
        <v>29</v>
      </c>
      <c r="T2368" s="17" t="s">
        <v>29</v>
      </c>
      <c r="U2368" s="17" t="s">
        <v>29</v>
      </c>
      <c r="V2368" s="17" t="s">
        <v>29</v>
      </c>
      <c r="W2368" s="17" t="s">
        <v>29</v>
      </c>
      <c r="X2368" s="17" t="s">
        <v>29</v>
      </c>
      <c r="Y2368" s="17" t="s">
        <v>29</v>
      </c>
      <c r="Z2368" s="17" t="s">
        <v>29</v>
      </c>
      <c r="AA2368" s="17" t="s">
        <v>29</v>
      </c>
      <c r="AB2368" s="17" t="s">
        <v>29</v>
      </c>
    </row>
    <row r="2369" spans="1:28" x14ac:dyDescent="0.35">
      <c r="A2369" s="38" t="s">
        <v>1045</v>
      </c>
      <c r="B2369" s="7" t="s">
        <v>407</v>
      </c>
      <c r="C2369" s="8"/>
      <c r="D2369" s="8"/>
      <c r="E2369" s="8"/>
      <c r="F2369" s="8"/>
      <c r="G2369" s="8"/>
      <c r="H2369" s="8"/>
      <c r="I2369" s="8"/>
      <c r="J2369" s="8"/>
      <c r="K2369" s="8"/>
      <c r="L2369" s="8"/>
      <c r="M2369" s="8"/>
      <c r="N2369" s="8"/>
      <c r="O2369" s="8"/>
      <c r="P2369" s="8"/>
      <c r="Q2369" s="8"/>
      <c r="R2369" s="8"/>
      <c r="S2369" s="8"/>
      <c r="T2369" s="8"/>
      <c r="U2369" s="8"/>
      <c r="V2369" s="8"/>
      <c r="W2369" s="8"/>
      <c r="X2369" s="8"/>
      <c r="Y2369" s="8"/>
      <c r="Z2369" s="8"/>
    </row>
    <row r="2370" spans="1:28" x14ac:dyDescent="0.35">
      <c r="A2370" s="36"/>
      <c r="B2370" s="8"/>
      <c r="C2370" s="7" t="s">
        <v>397</v>
      </c>
      <c r="D2370" s="15" t="s">
        <v>408</v>
      </c>
      <c r="E2370" s="9">
        <v>4674976.6500000004</v>
      </c>
      <c r="F2370" s="9">
        <v>4674976.6500000004</v>
      </c>
      <c r="G2370" s="8"/>
      <c r="H2370" s="9">
        <f t="shared" ref="H2370:H2380" si="441">F2370+G2370</f>
        <v>4674976.6500000004</v>
      </c>
      <c r="I2370" s="8"/>
      <c r="J2370" s="8"/>
      <c r="K2370" s="8"/>
      <c r="L2370" s="9"/>
      <c r="M2370" s="9">
        <f t="shared" ref="M2370:M2380" si="442">H2370+L2370</f>
        <v>4674976.6500000004</v>
      </c>
      <c r="N2370" s="9">
        <v>0</v>
      </c>
      <c r="O2370" s="8"/>
      <c r="P2370" s="9">
        <f t="shared" ref="P2370:P2380" si="443">N2370+O2370</f>
        <v>0</v>
      </c>
      <c r="Q2370" s="8"/>
      <c r="R2370" s="8"/>
      <c r="S2370" s="8"/>
      <c r="T2370" s="9"/>
      <c r="U2370" s="9">
        <f t="shared" ref="U2370:U2380" si="444">P2370+T2370</f>
        <v>0</v>
      </c>
      <c r="V2370" s="9">
        <f t="shared" ref="V2370:V2380" si="445">P2370+H2370</f>
        <v>4674976.6500000004</v>
      </c>
      <c r="W2370" s="9">
        <f t="shared" ref="W2370:W2380" si="446">E2370-V2370</f>
        <v>0</v>
      </c>
      <c r="X2370" s="9">
        <f t="shared" ref="X2370:X2380" si="447">+H2370+P2370</f>
        <v>4674976.6500000004</v>
      </c>
      <c r="Y2370" s="8"/>
      <c r="Z2370" s="9">
        <f t="shared" ref="Z2370:Z2380" si="448">+E2370-X2370</f>
        <v>0</v>
      </c>
      <c r="AA2370" s="8">
        <f t="shared" ref="AA2370:AA2380" si="449">+M2370+U2370</f>
        <v>4674976.6500000004</v>
      </c>
      <c r="AB2370" s="8">
        <f t="shared" ref="AB2370:AB2380" si="450">+E2370-AA2370</f>
        <v>0</v>
      </c>
    </row>
    <row r="2371" spans="1:28" x14ac:dyDescent="0.35">
      <c r="A2371" s="36"/>
      <c r="B2371" s="8"/>
      <c r="C2371" s="7" t="s">
        <v>57</v>
      </c>
      <c r="D2371" s="15" t="s">
        <v>68</v>
      </c>
      <c r="E2371" s="9">
        <v>1943379.26</v>
      </c>
      <c r="F2371" s="9">
        <v>905741.34</v>
      </c>
      <c r="G2371" s="8"/>
      <c r="H2371" s="9">
        <f t="shared" si="441"/>
        <v>905741.34</v>
      </c>
      <c r="I2371" s="8"/>
      <c r="J2371" s="8"/>
      <c r="K2371" s="8"/>
      <c r="L2371" s="9"/>
      <c r="M2371" s="9">
        <f t="shared" si="442"/>
        <v>905741.34</v>
      </c>
      <c r="N2371" s="9">
        <v>1037637.92</v>
      </c>
      <c r="O2371" s="8"/>
      <c r="P2371" s="9">
        <f t="shared" si="443"/>
        <v>1037637.92</v>
      </c>
      <c r="Q2371" s="8"/>
      <c r="R2371" s="8"/>
      <c r="S2371" s="8"/>
      <c r="T2371" s="9"/>
      <c r="U2371" s="9">
        <f t="shared" si="444"/>
        <v>1037637.92</v>
      </c>
      <c r="V2371" s="9">
        <f t="shared" si="445"/>
        <v>1943379.26</v>
      </c>
      <c r="W2371" s="9">
        <f t="shared" si="446"/>
        <v>0</v>
      </c>
      <c r="X2371" s="9">
        <f t="shared" si="447"/>
        <v>1943379.26</v>
      </c>
      <c r="Y2371" s="8"/>
      <c r="Z2371" s="9">
        <f t="shared" si="448"/>
        <v>0</v>
      </c>
      <c r="AA2371" s="8">
        <f t="shared" si="449"/>
        <v>1943379.26</v>
      </c>
      <c r="AB2371" s="8">
        <f t="shared" si="450"/>
        <v>0</v>
      </c>
    </row>
    <row r="2372" spans="1:28" x14ac:dyDescent="0.35">
      <c r="A2372" s="36"/>
      <c r="B2372" s="8"/>
      <c r="C2372" s="7" t="s">
        <v>57</v>
      </c>
      <c r="D2372" s="15" t="s">
        <v>85</v>
      </c>
      <c r="E2372" s="9">
        <v>920700</v>
      </c>
      <c r="F2372" s="9">
        <v>920700</v>
      </c>
      <c r="G2372" s="8"/>
      <c r="H2372" s="9">
        <f t="shared" si="441"/>
        <v>920700</v>
      </c>
      <c r="I2372" s="8"/>
      <c r="J2372" s="8"/>
      <c r="K2372" s="8"/>
      <c r="L2372" s="9"/>
      <c r="M2372" s="9">
        <f t="shared" si="442"/>
        <v>920700</v>
      </c>
      <c r="N2372" s="9">
        <v>0</v>
      </c>
      <c r="O2372" s="8"/>
      <c r="P2372" s="9">
        <f t="shared" si="443"/>
        <v>0</v>
      </c>
      <c r="Q2372" s="8"/>
      <c r="R2372" s="8"/>
      <c r="S2372" s="8"/>
      <c r="T2372" s="9"/>
      <c r="U2372" s="9">
        <f t="shared" si="444"/>
        <v>0</v>
      </c>
      <c r="V2372" s="9">
        <f t="shared" si="445"/>
        <v>920700</v>
      </c>
      <c r="W2372" s="9">
        <f t="shared" si="446"/>
        <v>0</v>
      </c>
      <c r="X2372" s="9">
        <f t="shared" si="447"/>
        <v>920700</v>
      </c>
      <c r="Y2372" s="8"/>
      <c r="Z2372" s="9">
        <f t="shared" si="448"/>
        <v>0</v>
      </c>
      <c r="AA2372" s="8">
        <f t="shared" si="449"/>
        <v>920700</v>
      </c>
      <c r="AB2372" s="8">
        <f t="shared" si="450"/>
        <v>0</v>
      </c>
    </row>
    <row r="2373" spans="1:28" x14ac:dyDescent="0.35">
      <c r="A2373" s="36"/>
      <c r="B2373" s="8"/>
      <c r="C2373" s="7" t="s">
        <v>53</v>
      </c>
      <c r="D2373" s="15" t="s">
        <v>128</v>
      </c>
      <c r="E2373" s="9">
        <v>570941</v>
      </c>
      <c r="F2373" s="9">
        <v>0</v>
      </c>
      <c r="G2373" s="8"/>
      <c r="H2373" s="9">
        <f t="shared" si="441"/>
        <v>0</v>
      </c>
      <c r="I2373" s="8"/>
      <c r="J2373" s="8"/>
      <c r="K2373" s="8"/>
      <c r="L2373" s="9"/>
      <c r="M2373" s="9">
        <f t="shared" si="442"/>
        <v>0</v>
      </c>
      <c r="N2373" s="9">
        <v>570941</v>
      </c>
      <c r="O2373" s="8"/>
      <c r="P2373" s="9">
        <f t="shared" si="443"/>
        <v>570941</v>
      </c>
      <c r="Q2373" s="8"/>
      <c r="R2373" s="8"/>
      <c r="S2373" s="8"/>
      <c r="T2373" s="9"/>
      <c r="U2373" s="9">
        <f t="shared" si="444"/>
        <v>570941</v>
      </c>
      <c r="V2373" s="9">
        <f t="shared" si="445"/>
        <v>570941</v>
      </c>
      <c r="W2373" s="9">
        <f t="shared" si="446"/>
        <v>0</v>
      </c>
      <c r="X2373" s="9">
        <f t="shared" si="447"/>
        <v>570941</v>
      </c>
      <c r="Y2373" s="8"/>
      <c r="Z2373" s="9">
        <f t="shared" si="448"/>
        <v>0</v>
      </c>
      <c r="AA2373" s="8">
        <f t="shared" si="449"/>
        <v>570941</v>
      </c>
      <c r="AB2373" s="8">
        <f t="shared" si="450"/>
        <v>0</v>
      </c>
    </row>
    <row r="2374" spans="1:28" x14ac:dyDescent="0.35">
      <c r="A2374" s="36"/>
      <c r="B2374" s="8"/>
      <c r="C2374" s="7" t="s">
        <v>57</v>
      </c>
      <c r="D2374" s="15" t="s">
        <v>108</v>
      </c>
      <c r="E2374" s="9">
        <v>2608000</v>
      </c>
      <c r="F2374" s="9">
        <v>2608000</v>
      </c>
      <c r="G2374" s="8"/>
      <c r="H2374" s="9">
        <f t="shared" si="441"/>
        <v>2608000</v>
      </c>
      <c r="I2374" s="8"/>
      <c r="J2374" s="8"/>
      <c r="K2374" s="8"/>
      <c r="L2374" s="9"/>
      <c r="M2374" s="9">
        <f t="shared" si="442"/>
        <v>2608000</v>
      </c>
      <c r="N2374" s="9">
        <v>0</v>
      </c>
      <c r="O2374" s="8"/>
      <c r="P2374" s="9">
        <f t="shared" si="443"/>
        <v>0</v>
      </c>
      <c r="Q2374" s="8"/>
      <c r="R2374" s="8"/>
      <c r="S2374" s="8"/>
      <c r="T2374" s="9"/>
      <c r="U2374" s="9">
        <f t="shared" si="444"/>
        <v>0</v>
      </c>
      <c r="V2374" s="9">
        <f t="shared" si="445"/>
        <v>2608000</v>
      </c>
      <c r="W2374" s="9">
        <f t="shared" si="446"/>
        <v>0</v>
      </c>
      <c r="X2374" s="9">
        <f t="shared" si="447"/>
        <v>2608000</v>
      </c>
      <c r="Y2374" s="8"/>
      <c r="Z2374" s="9">
        <f t="shared" si="448"/>
        <v>0</v>
      </c>
      <c r="AA2374" s="8">
        <f t="shared" si="449"/>
        <v>2608000</v>
      </c>
      <c r="AB2374" s="8">
        <f t="shared" si="450"/>
        <v>0</v>
      </c>
    </row>
    <row r="2375" spans="1:28" x14ac:dyDescent="0.35">
      <c r="A2375" s="36"/>
      <c r="B2375" s="8"/>
      <c r="C2375" s="7" t="s">
        <v>57</v>
      </c>
      <c r="D2375" s="15" t="s">
        <v>60</v>
      </c>
      <c r="E2375" s="9">
        <f>1776020+1076675</f>
        <v>2852695</v>
      </c>
      <c r="F2375" s="11">
        <f>1776020+1076675</f>
        <v>2852695</v>
      </c>
      <c r="G2375" s="8"/>
      <c r="H2375" s="9">
        <f t="shared" si="441"/>
        <v>2852695</v>
      </c>
      <c r="I2375" s="8"/>
      <c r="J2375" s="8"/>
      <c r="K2375" s="8"/>
      <c r="L2375" s="9"/>
      <c r="M2375" s="9">
        <f t="shared" si="442"/>
        <v>2852695</v>
      </c>
      <c r="N2375" s="9">
        <v>0</v>
      </c>
      <c r="O2375" s="8"/>
      <c r="P2375" s="9">
        <f t="shared" si="443"/>
        <v>0</v>
      </c>
      <c r="Q2375" s="8"/>
      <c r="R2375" s="8"/>
      <c r="S2375" s="8"/>
      <c r="T2375" s="9"/>
      <c r="U2375" s="9">
        <f t="shared" si="444"/>
        <v>0</v>
      </c>
      <c r="V2375" s="9">
        <f t="shared" si="445"/>
        <v>2852695</v>
      </c>
      <c r="W2375" s="9">
        <f t="shared" si="446"/>
        <v>0</v>
      </c>
      <c r="X2375" s="9">
        <f t="shared" si="447"/>
        <v>2852695</v>
      </c>
      <c r="Y2375" s="8"/>
      <c r="Z2375" s="9">
        <f t="shared" si="448"/>
        <v>0</v>
      </c>
      <c r="AA2375" s="8">
        <f t="shared" si="449"/>
        <v>2852695</v>
      </c>
      <c r="AB2375" s="8">
        <f t="shared" si="450"/>
        <v>0</v>
      </c>
    </row>
    <row r="2376" spans="1:28" x14ac:dyDescent="0.35">
      <c r="A2376" s="36"/>
      <c r="B2376" s="8"/>
      <c r="C2376" s="7" t="s">
        <v>57</v>
      </c>
      <c r="D2376" s="15" t="s">
        <v>73</v>
      </c>
      <c r="E2376" s="9">
        <v>915151</v>
      </c>
      <c r="F2376" s="11">
        <v>915151</v>
      </c>
      <c r="G2376" s="8"/>
      <c r="H2376" s="9">
        <f t="shared" si="441"/>
        <v>915151</v>
      </c>
      <c r="I2376" s="8"/>
      <c r="J2376" s="8"/>
      <c r="K2376" s="8"/>
      <c r="L2376" s="9"/>
      <c r="M2376" s="9">
        <f t="shared" si="442"/>
        <v>915151</v>
      </c>
      <c r="N2376" s="9">
        <v>0</v>
      </c>
      <c r="O2376" s="8"/>
      <c r="P2376" s="9">
        <f t="shared" si="443"/>
        <v>0</v>
      </c>
      <c r="Q2376" s="8"/>
      <c r="R2376" s="8"/>
      <c r="S2376" s="8"/>
      <c r="T2376" s="9"/>
      <c r="U2376" s="9">
        <f t="shared" si="444"/>
        <v>0</v>
      </c>
      <c r="V2376" s="9">
        <f t="shared" si="445"/>
        <v>915151</v>
      </c>
      <c r="W2376" s="9">
        <f t="shared" si="446"/>
        <v>0</v>
      </c>
      <c r="X2376" s="9">
        <f t="shared" si="447"/>
        <v>915151</v>
      </c>
      <c r="Y2376" s="8"/>
      <c r="Z2376" s="9">
        <f t="shared" si="448"/>
        <v>0</v>
      </c>
      <c r="AA2376" s="8">
        <f t="shared" si="449"/>
        <v>915151</v>
      </c>
      <c r="AB2376" s="8">
        <f t="shared" si="450"/>
        <v>0</v>
      </c>
    </row>
    <row r="2377" spans="1:28" x14ac:dyDescent="0.35">
      <c r="A2377" s="36"/>
      <c r="B2377" s="8"/>
      <c r="C2377" s="7" t="s">
        <v>57</v>
      </c>
      <c r="D2377" s="16" t="s">
        <v>61</v>
      </c>
      <c r="E2377" s="9">
        <v>362708</v>
      </c>
      <c r="F2377" s="8">
        <v>362708</v>
      </c>
      <c r="G2377" s="8"/>
      <c r="H2377" s="9">
        <f t="shared" si="441"/>
        <v>362708</v>
      </c>
      <c r="I2377" s="8"/>
      <c r="J2377" s="8"/>
      <c r="K2377" s="8"/>
      <c r="L2377" s="9"/>
      <c r="M2377" s="9">
        <f t="shared" si="442"/>
        <v>362708</v>
      </c>
      <c r="N2377" s="9">
        <v>0</v>
      </c>
      <c r="O2377" s="8"/>
      <c r="P2377" s="9">
        <f t="shared" si="443"/>
        <v>0</v>
      </c>
      <c r="Q2377" s="8"/>
      <c r="R2377" s="8"/>
      <c r="S2377" s="8"/>
      <c r="T2377" s="9"/>
      <c r="U2377" s="9">
        <f t="shared" si="444"/>
        <v>0</v>
      </c>
      <c r="V2377" s="9">
        <f t="shared" si="445"/>
        <v>362708</v>
      </c>
      <c r="W2377" s="9">
        <f t="shared" si="446"/>
        <v>0</v>
      </c>
      <c r="X2377" s="9">
        <f t="shared" si="447"/>
        <v>362708</v>
      </c>
      <c r="Y2377" s="8"/>
      <c r="Z2377" s="9">
        <f t="shared" si="448"/>
        <v>0</v>
      </c>
      <c r="AA2377" s="8">
        <f t="shared" si="449"/>
        <v>362708</v>
      </c>
      <c r="AB2377" s="8">
        <f t="shared" si="450"/>
        <v>0</v>
      </c>
    </row>
    <row r="2378" spans="1:28" x14ac:dyDescent="0.35">
      <c r="A2378" s="36"/>
      <c r="B2378" s="8"/>
      <c r="C2378" s="7" t="s">
        <v>924</v>
      </c>
      <c r="D2378" s="16" t="s">
        <v>1072</v>
      </c>
      <c r="E2378" s="9">
        <v>2400000</v>
      </c>
      <c r="F2378" s="8">
        <v>2400000</v>
      </c>
      <c r="G2378" s="8"/>
      <c r="H2378" s="9">
        <f>+F2378+G2378</f>
        <v>2400000</v>
      </c>
      <c r="I2378" s="8"/>
      <c r="J2378" s="8"/>
      <c r="K2378" s="8"/>
      <c r="L2378" s="9"/>
      <c r="M2378" s="9">
        <f>+H2378+L2378</f>
        <v>2400000</v>
      </c>
      <c r="N2378" s="9">
        <v>0</v>
      </c>
      <c r="O2378" s="8"/>
      <c r="P2378" s="9">
        <f>+N2378+O2378</f>
        <v>0</v>
      </c>
      <c r="Q2378" s="8"/>
      <c r="R2378" s="8"/>
      <c r="S2378" s="8"/>
      <c r="T2378" s="9"/>
      <c r="U2378" s="9">
        <f>P2378+T2378</f>
        <v>0</v>
      </c>
      <c r="V2378" s="9">
        <f>P2378+H2378</f>
        <v>2400000</v>
      </c>
      <c r="W2378" s="9">
        <f>E2378-V2378</f>
        <v>0</v>
      </c>
      <c r="X2378" s="9">
        <f t="shared" si="447"/>
        <v>2400000</v>
      </c>
      <c r="Y2378" s="8"/>
      <c r="Z2378" s="9">
        <f t="shared" si="448"/>
        <v>0</v>
      </c>
      <c r="AA2378" s="8">
        <f t="shared" si="449"/>
        <v>2400000</v>
      </c>
      <c r="AB2378" s="8">
        <f t="shared" si="450"/>
        <v>0</v>
      </c>
    </row>
    <row r="2379" spans="1:28" x14ac:dyDescent="0.35">
      <c r="A2379" s="36"/>
      <c r="B2379" s="8"/>
      <c r="C2379" s="7" t="s">
        <v>930</v>
      </c>
      <c r="D2379" s="16"/>
      <c r="E2379" s="9">
        <v>3465000</v>
      </c>
      <c r="F2379" s="8">
        <v>3465000</v>
      </c>
      <c r="G2379" s="8"/>
      <c r="H2379" s="9">
        <f>+F2379+G2379</f>
        <v>3465000</v>
      </c>
      <c r="I2379" s="8"/>
      <c r="J2379" s="8"/>
      <c r="K2379" s="8"/>
      <c r="L2379" s="9"/>
      <c r="M2379" s="9">
        <f>+H2379+L2379</f>
        <v>3465000</v>
      </c>
      <c r="N2379" s="9">
        <v>0</v>
      </c>
      <c r="O2379" s="8"/>
      <c r="P2379" s="9">
        <f>+N2379+O2379</f>
        <v>0</v>
      </c>
      <c r="Q2379" s="8"/>
      <c r="R2379" s="8"/>
      <c r="S2379" s="8"/>
      <c r="T2379" s="9"/>
      <c r="U2379" s="9">
        <f>P2379+T2379</f>
        <v>0</v>
      </c>
      <c r="V2379" s="9">
        <f>P2379+H2379</f>
        <v>3465000</v>
      </c>
      <c r="W2379" s="9">
        <f>E2379-V2379</f>
        <v>0</v>
      </c>
      <c r="X2379" s="9">
        <f t="shared" si="447"/>
        <v>3465000</v>
      </c>
      <c r="Y2379" s="8"/>
      <c r="Z2379" s="9">
        <f t="shared" si="448"/>
        <v>0</v>
      </c>
      <c r="AA2379" s="8">
        <f t="shared" si="449"/>
        <v>3465000</v>
      </c>
      <c r="AB2379" s="8">
        <f t="shared" si="450"/>
        <v>0</v>
      </c>
    </row>
    <row r="2380" spans="1:28" x14ac:dyDescent="0.35">
      <c r="A2380" s="36"/>
      <c r="B2380" s="8"/>
      <c r="C2380" s="7" t="s">
        <v>409</v>
      </c>
      <c r="D2380" s="8"/>
      <c r="E2380" s="9">
        <v>387875.27</v>
      </c>
      <c r="F2380" s="9">
        <v>387875.27</v>
      </c>
      <c r="G2380" s="8"/>
      <c r="H2380" s="9">
        <f t="shared" si="441"/>
        <v>387875.27</v>
      </c>
      <c r="I2380" s="8"/>
      <c r="J2380" s="8"/>
      <c r="K2380" s="8"/>
      <c r="L2380" s="9"/>
      <c r="M2380" s="9">
        <f t="shared" si="442"/>
        <v>387875.27</v>
      </c>
      <c r="N2380" s="9">
        <v>0</v>
      </c>
      <c r="O2380" s="8"/>
      <c r="P2380" s="9">
        <f t="shared" si="443"/>
        <v>0</v>
      </c>
      <c r="Q2380" s="8"/>
      <c r="R2380" s="8"/>
      <c r="S2380" s="8"/>
      <c r="T2380" s="9"/>
      <c r="U2380" s="9">
        <f t="shared" si="444"/>
        <v>0</v>
      </c>
      <c r="V2380" s="9">
        <f t="shared" si="445"/>
        <v>387875.27</v>
      </c>
      <c r="W2380" s="9">
        <f t="shared" si="446"/>
        <v>0</v>
      </c>
      <c r="X2380" s="9">
        <f t="shared" si="447"/>
        <v>387875.27</v>
      </c>
      <c r="Y2380" s="8"/>
      <c r="Z2380" s="9">
        <f t="shared" si="448"/>
        <v>0</v>
      </c>
      <c r="AA2380" s="8">
        <f t="shared" si="449"/>
        <v>387875.27</v>
      </c>
      <c r="AB2380" s="8">
        <f t="shared" si="450"/>
        <v>0</v>
      </c>
    </row>
    <row r="2381" spans="1:28" x14ac:dyDescent="0.35">
      <c r="A2381" s="36"/>
      <c r="B2381" s="8"/>
      <c r="C2381" s="8"/>
      <c r="D2381" s="8"/>
      <c r="E2381" s="17" t="s">
        <v>29</v>
      </c>
      <c r="F2381" s="17" t="s">
        <v>29</v>
      </c>
      <c r="G2381" s="17" t="s">
        <v>29</v>
      </c>
      <c r="H2381" s="17" t="s">
        <v>29</v>
      </c>
      <c r="I2381" s="17" t="s">
        <v>29</v>
      </c>
      <c r="J2381" s="17" t="s">
        <v>29</v>
      </c>
      <c r="K2381" s="17" t="s">
        <v>29</v>
      </c>
      <c r="L2381" s="17" t="s">
        <v>29</v>
      </c>
      <c r="M2381" s="17" t="s">
        <v>29</v>
      </c>
      <c r="N2381" s="17" t="s">
        <v>29</v>
      </c>
      <c r="O2381" s="17" t="s">
        <v>29</v>
      </c>
      <c r="P2381" s="17" t="s">
        <v>29</v>
      </c>
      <c r="Q2381" s="17" t="s">
        <v>29</v>
      </c>
      <c r="R2381" s="17" t="s">
        <v>29</v>
      </c>
      <c r="S2381" s="17" t="s">
        <v>29</v>
      </c>
      <c r="T2381" s="17" t="s">
        <v>29</v>
      </c>
      <c r="U2381" s="17" t="s">
        <v>29</v>
      </c>
      <c r="V2381" s="17" t="s">
        <v>29</v>
      </c>
      <c r="W2381" s="17" t="s">
        <v>29</v>
      </c>
      <c r="X2381" s="17" t="s">
        <v>29</v>
      </c>
      <c r="Y2381" s="17" t="s">
        <v>29</v>
      </c>
      <c r="Z2381" s="17" t="s">
        <v>29</v>
      </c>
      <c r="AA2381" s="17" t="s">
        <v>29</v>
      </c>
      <c r="AB2381" s="17" t="s">
        <v>29</v>
      </c>
    </row>
    <row r="2382" spans="1:28" x14ac:dyDescent="0.35">
      <c r="A2382" s="36"/>
      <c r="B2382" s="8"/>
      <c r="C2382" s="8"/>
      <c r="D2382" s="8"/>
      <c r="E2382" s="9">
        <f t="shared" ref="E2382:AB2382" si="451">SUM(E2370:E2380)</f>
        <v>21101426.18</v>
      </c>
      <c r="F2382" s="9">
        <f t="shared" si="451"/>
        <v>19492847.260000002</v>
      </c>
      <c r="G2382" s="9">
        <f t="shared" si="451"/>
        <v>0</v>
      </c>
      <c r="H2382" s="9">
        <f t="shared" si="451"/>
        <v>19492847.260000002</v>
      </c>
      <c r="I2382" s="9">
        <f t="shared" si="451"/>
        <v>0</v>
      </c>
      <c r="J2382" s="9">
        <f t="shared" si="451"/>
        <v>0</v>
      </c>
      <c r="K2382" s="9">
        <f t="shared" si="451"/>
        <v>0</v>
      </c>
      <c r="L2382" s="9">
        <f t="shared" si="451"/>
        <v>0</v>
      </c>
      <c r="M2382" s="9">
        <f t="shared" si="451"/>
        <v>19492847.260000002</v>
      </c>
      <c r="N2382" s="9">
        <f t="shared" si="451"/>
        <v>1608578.92</v>
      </c>
      <c r="O2382" s="9">
        <f t="shared" si="451"/>
        <v>0</v>
      </c>
      <c r="P2382" s="9">
        <f t="shared" si="451"/>
        <v>1608578.92</v>
      </c>
      <c r="Q2382" s="9">
        <f t="shared" si="451"/>
        <v>0</v>
      </c>
      <c r="R2382" s="9">
        <f t="shared" si="451"/>
        <v>0</v>
      </c>
      <c r="S2382" s="9">
        <f t="shared" si="451"/>
        <v>0</v>
      </c>
      <c r="T2382" s="9">
        <f t="shared" si="451"/>
        <v>0</v>
      </c>
      <c r="U2382" s="9">
        <f t="shared" si="451"/>
        <v>1608578.92</v>
      </c>
      <c r="V2382" s="9">
        <f t="shared" si="451"/>
        <v>21101426.18</v>
      </c>
      <c r="W2382" s="9">
        <f t="shared" si="451"/>
        <v>0</v>
      </c>
      <c r="X2382" s="9">
        <f t="shared" si="451"/>
        <v>21101426.18</v>
      </c>
      <c r="Y2382" s="9">
        <f t="shared" si="451"/>
        <v>0</v>
      </c>
      <c r="Z2382" s="9">
        <f t="shared" si="451"/>
        <v>0</v>
      </c>
      <c r="AA2382" s="9">
        <f t="shared" si="451"/>
        <v>21101426.18</v>
      </c>
      <c r="AB2382" s="9">
        <f t="shared" si="451"/>
        <v>0</v>
      </c>
    </row>
    <row r="2383" spans="1:28" x14ac:dyDescent="0.35">
      <c r="A2383" s="36"/>
      <c r="B2383" s="8"/>
      <c r="C2383" s="8"/>
      <c r="D2383" s="8"/>
      <c r="E2383" s="17" t="s">
        <v>29</v>
      </c>
      <c r="F2383" s="17" t="s">
        <v>29</v>
      </c>
      <c r="G2383" s="17" t="s">
        <v>29</v>
      </c>
      <c r="H2383" s="17" t="s">
        <v>29</v>
      </c>
      <c r="I2383" s="17" t="s">
        <v>29</v>
      </c>
      <c r="J2383" s="17" t="s">
        <v>29</v>
      </c>
      <c r="K2383" s="17" t="s">
        <v>29</v>
      </c>
      <c r="L2383" s="17" t="s">
        <v>29</v>
      </c>
      <c r="M2383" s="17" t="s">
        <v>29</v>
      </c>
      <c r="N2383" s="17" t="s">
        <v>29</v>
      </c>
      <c r="O2383" s="17" t="s">
        <v>29</v>
      </c>
      <c r="P2383" s="17" t="s">
        <v>29</v>
      </c>
      <c r="Q2383" s="17" t="s">
        <v>29</v>
      </c>
      <c r="R2383" s="17" t="s">
        <v>29</v>
      </c>
      <c r="S2383" s="17" t="s">
        <v>29</v>
      </c>
      <c r="T2383" s="17" t="s">
        <v>29</v>
      </c>
      <c r="U2383" s="17" t="s">
        <v>29</v>
      </c>
      <c r="V2383" s="17" t="s">
        <v>29</v>
      </c>
      <c r="W2383" s="17" t="s">
        <v>29</v>
      </c>
      <c r="X2383" s="17" t="s">
        <v>29</v>
      </c>
      <c r="Y2383" s="17" t="s">
        <v>29</v>
      </c>
      <c r="Z2383" s="17" t="s">
        <v>29</v>
      </c>
      <c r="AA2383" s="17" t="s">
        <v>29</v>
      </c>
      <c r="AB2383" s="17" t="s">
        <v>29</v>
      </c>
    </row>
    <row r="2384" spans="1:28" x14ac:dyDescent="0.35">
      <c r="A2384" s="38" t="s">
        <v>1046</v>
      </c>
      <c r="B2384" s="14" t="s">
        <v>410</v>
      </c>
      <c r="C2384" s="8"/>
      <c r="D2384" s="14" t="s">
        <v>411</v>
      </c>
      <c r="E2384" s="8"/>
      <c r="F2384" s="8"/>
      <c r="G2384" s="8"/>
      <c r="H2384" s="8"/>
      <c r="I2384" s="8"/>
      <c r="J2384" s="8"/>
      <c r="K2384" s="8"/>
      <c r="L2384" s="9"/>
      <c r="M2384" s="9"/>
      <c r="N2384" s="8"/>
      <c r="O2384" s="8"/>
      <c r="P2384" s="8"/>
      <c r="Q2384" s="8"/>
      <c r="R2384" s="8"/>
      <c r="S2384" s="8"/>
      <c r="T2384" s="8"/>
      <c r="U2384" s="8"/>
      <c r="V2384" s="8"/>
      <c r="W2384" s="8"/>
      <c r="X2384" s="8"/>
      <c r="Y2384" s="8"/>
      <c r="Z2384" s="8"/>
    </row>
    <row r="2385" spans="1:28" x14ac:dyDescent="0.35">
      <c r="A2385" s="36"/>
      <c r="B2385" s="8"/>
      <c r="C2385" s="14" t="s">
        <v>143</v>
      </c>
      <c r="D2385" s="14" t="s">
        <v>412</v>
      </c>
      <c r="E2385" s="11">
        <f>4110006.39+1494350+1165000+2116800+2569000+2407650+10705506+7319432.78</f>
        <v>31887745.170000002</v>
      </c>
      <c r="F2385" s="11">
        <f>2430960+1494350+1165000+2116800+2569000+2407650+10705506+7319432.78</f>
        <v>30208698.780000001</v>
      </c>
      <c r="G2385" s="8"/>
      <c r="H2385" s="9">
        <f t="shared" ref="H2385:H2398" si="452">F2385+G2385</f>
        <v>30208698.780000001</v>
      </c>
      <c r="I2385" s="8"/>
      <c r="J2385" s="8"/>
      <c r="K2385" s="8"/>
      <c r="L2385" s="9"/>
      <c r="M2385" s="9">
        <f t="shared" ref="M2385:M2398" si="453">H2385+L2385</f>
        <v>30208698.780000001</v>
      </c>
      <c r="N2385" s="11">
        <v>1679046.39</v>
      </c>
      <c r="O2385" s="8"/>
      <c r="P2385" s="9">
        <f t="shared" ref="P2385:P2398" si="454">N2385+O2385</f>
        <v>1679046.39</v>
      </c>
      <c r="Q2385" s="8"/>
      <c r="R2385" s="8"/>
      <c r="S2385" s="8"/>
      <c r="T2385" s="9"/>
      <c r="U2385" s="9">
        <f t="shared" ref="U2385:U2398" si="455">P2385+T2385</f>
        <v>1679046.39</v>
      </c>
      <c r="V2385" s="9">
        <f t="shared" ref="V2385:V2398" si="456">P2385+H2385</f>
        <v>31887745.170000002</v>
      </c>
      <c r="W2385" s="9">
        <f t="shared" ref="W2385:W2398" si="457">E2385-V2385</f>
        <v>0</v>
      </c>
      <c r="X2385" s="9">
        <f t="shared" ref="X2385:X2398" si="458">+H2385+P2385</f>
        <v>31887745.170000002</v>
      </c>
      <c r="Y2385" s="8"/>
      <c r="Z2385" s="9">
        <f t="shared" ref="Z2385:Z2398" si="459">+E2385-X2385</f>
        <v>0</v>
      </c>
      <c r="AA2385" s="8">
        <f t="shared" ref="AA2385:AA2398" si="460">+M2385+U2385</f>
        <v>31887745.170000002</v>
      </c>
      <c r="AB2385" s="8">
        <f t="shared" ref="AB2385:AB2398" si="461">+E2385-AA2385</f>
        <v>0</v>
      </c>
    </row>
    <row r="2386" spans="1:28" x14ac:dyDescent="0.35">
      <c r="A2386" s="36"/>
      <c r="B2386" s="8"/>
      <c r="C2386" s="14" t="s">
        <v>55</v>
      </c>
      <c r="D2386" s="21" t="s">
        <v>68</v>
      </c>
      <c r="E2386" s="11">
        <v>2631312.71</v>
      </c>
      <c r="F2386" s="11">
        <v>0</v>
      </c>
      <c r="G2386" s="8"/>
      <c r="H2386" s="9">
        <f t="shared" si="452"/>
        <v>0</v>
      </c>
      <c r="I2386" s="8"/>
      <c r="J2386" s="8"/>
      <c r="K2386" s="8"/>
      <c r="L2386" s="9"/>
      <c r="M2386" s="9">
        <f t="shared" si="453"/>
        <v>0</v>
      </c>
      <c r="N2386" s="11">
        <v>2631312.71</v>
      </c>
      <c r="O2386" s="8"/>
      <c r="P2386" s="9">
        <f t="shared" si="454"/>
        <v>2631312.71</v>
      </c>
      <c r="Q2386" s="8"/>
      <c r="R2386" s="8"/>
      <c r="S2386" s="8"/>
      <c r="T2386" s="9"/>
      <c r="U2386" s="9">
        <f t="shared" si="455"/>
        <v>2631312.71</v>
      </c>
      <c r="V2386" s="9">
        <f t="shared" si="456"/>
        <v>2631312.71</v>
      </c>
      <c r="W2386" s="9">
        <f t="shared" si="457"/>
        <v>0</v>
      </c>
      <c r="X2386" s="9">
        <f t="shared" si="458"/>
        <v>2631312.71</v>
      </c>
      <c r="Y2386" s="8"/>
      <c r="Z2386" s="9">
        <f t="shared" si="459"/>
        <v>0</v>
      </c>
      <c r="AA2386" s="8">
        <f t="shared" si="460"/>
        <v>2631312.71</v>
      </c>
      <c r="AB2386" s="8">
        <f t="shared" si="461"/>
        <v>0</v>
      </c>
    </row>
    <row r="2387" spans="1:28" x14ac:dyDescent="0.35">
      <c r="A2387" s="36"/>
      <c r="B2387" s="8"/>
      <c r="C2387" s="14" t="s">
        <v>185</v>
      </c>
      <c r="D2387" s="21" t="s">
        <v>54</v>
      </c>
      <c r="E2387" s="11">
        <v>1953989</v>
      </c>
      <c r="F2387" s="11">
        <v>0</v>
      </c>
      <c r="G2387" s="8"/>
      <c r="H2387" s="9">
        <f t="shared" si="452"/>
        <v>0</v>
      </c>
      <c r="I2387" s="8"/>
      <c r="J2387" s="8"/>
      <c r="K2387" s="8"/>
      <c r="L2387" s="9"/>
      <c r="M2387" s="9">
        <f t="shared" si="453"/>
        <v>0</v>
      </c>
      <c r="N2387" s="11">
        <v>1953989</v>
      </c>
      <c r="O2387" s="8"/>
      <c r="P2387" s="9">
        <f t="shared" si="454"/>
        <v>1953989</v>
      </c>
      <c r="Q2387" s="8"/>
      <c r="R2387" s="8"/>
      <c r="S2387" s="8"/>
      <c r="T2387" s="9"/>
      <c r="U2387" s="9">
        <f t="shared" si="455"/>
        <v>1953989</v>
      </c>
      <c r="V2387" s="9">
        <f t="shared" si="456"/>
        <v>1953989</v>
      </c>
      <c r="W2387" s="9">
        <f t="shared" si="457"/>
        <v>0</v>
      </c>
      <c r="X2387" s="9">
        <f t="shared" si="458"/>
        <v>1953989</v>
      </c>
      <c r="Y2387" s="8"/>
      <c r="Z2387" s="9">
        <f t="shared" si="459"/>
        <v>0</v>
      </c>
      <c r="AA2387" s="8">
        <f t="shared" si="460"/>
        <v>1953989</v>
      </c>
      <c r="AB2387" s="8">
        <f t="shared" si="461"/>
        <v>0</v>
      </c>
    </row>
    <row r="2388" spans="1:28" x14ac:dyDescent="0.35">
      <c r="A2388" s="36"/>
      <c r="B2388" s="8"/>
      <c r="C2388" s="14" t="s">
        <v>413</v>
      </c>
      <c r="D2388" s="21" t="s">
        <v>85</v>
      </c>
      <c r="E2388" s="11">
        <v>240000</v>
      </c>
      <c r="F2388" s="11">
        <v>240000</v>
      </c>
      <c r="G2388" s="8"/>
      <c r="H2388" s="9">
        <f t="shared" si="452"/>
        <v>240000</v>
      </c>
      <c r="I2388" s="8"/>
      <c r="J2388" s="8"/>
      <c r="K2388" s="8"/>
      <c r="L2388" s="9"/>
      <c r="M2388" s="9">
        <f t="shared" si="453"/>
        <v>240000</v>
      </c>
      <c r="N2388" s="11">
        <v>0</v>
      </c>
      <c r="O2388" s="8"/>
      <c r="P2388" s="9">
        <f t="shared" si="454"/>
        <v>0</v>
      </c>
      <c r="Q2388" s="8"/>
      <c r="R2388" s="8"/>
      <c r="S2388" s="8"/>
      <c r="T2388" s="9"/>
      <c r="U2388" s="9">
        <f t="shared" si="455"/>
        <v>0</v>
      </c>
      <c r="V2388" s="9">
        <f t="shared" si="456"/>
        <v>240000</v>
      </c>
      <c r="W2388" s="9">
        <f t="shared" si="457"/>
        <v>0</v>
      </c>
      <c r="X2388" s="9">
        <f t="shared" si="458"/>
        <v>240000</v>
      </c>
      <c r="Y2388" s="8"/>
      <c r="Z2388" s="9">
        <f t="shared" si="459"/>
        <v>0</v>
      </c>
      <c r="AA2388" s="8">
        <f t="shared" si="460"/>
        <v>240000</v>
      </c>
      <c r="AB2388" s="8">
        <f t="shared" si="461"/>
        <v>0</v>
      </c>
    </row>
    <row r="2389" spans="1:28" x14ac:dyDescent="0.35">
      <c r="A2389" s="36"/>
      <c r="B2389" s="8"/>
      <c r="C2389" s="14" t="s">
        <v>143</v>
      </c>
      <c r="D2389" s="21" t="s">
        <v>58</v>
      </c>
      <c r="E2389" s="11">
        <v>8322813.5700000003</v>
      </c>
      <c r="F2389" s="11">
        <v>8322813.5700000003</v>
      </c>
      <c r="G2389" s="8"/>
      <c r="H2389" s="9">
        <f t="shared" si="452"/>
        <v>8322813.5700000003</v>
      </c>
      <c r="I2389" s="8"/>
      <c r="J2389" s="8"/>
      <c r="K2389" s="8"/>
      <c r="L2389" s="9"/>
      <c r="M2389" s="9">
        <f t="shared" si="453"/>
        <v>8322813.5700000003</v>
      </c>
      <c r="N2389" s="11">
        <v>0</v>
      </c>
      <c r="O2389" s="8"/>
      <c r="P2389" s="9">
        <f t="shared" si="454"/>
        <v>0</v>
      </c>
      <c r="Q2389" s="8"/>
      <c r="R2389" s="8"/>
      <c r="S2389" s="8"/>
      <c r="T2389" s="9"/>
      <c r="U2389" s="9">
        <f t="shared" si="455"/>
        <v>0</v>
      </c>
      <c r="V2389" s="9">
        <f t="shared" si="456"/>
        <v>8322813.5700000003</v>
      </c>
      <c r="W2389" s="9">
        <f t="shared" si="457"/>
        <v>0</v>
      </c>
      <c r="X2389" s="9">
        <f t="shared" si="458"/>
        <v>8322813.5700000003</v>
      </c>
      <c r="Y2389" s="8"/>
      <c r="Z2389" s="9">
        <f t="shared" si="459"/>
        <v>0</v>
      </c>
      <c r="AA2389" s="8">
        <f t="shared" si="460"/>
        <v>8322813.5700000003</v>
      </c>
      <c r="AB2389" s="8">
        <f t="shared" si="461"/>
        <v>0</v>
      </c>
    </row>
    <row r="2390" spans="1:28" x14ac:dyDescent="0.35">
      <c r="A2390" s="36"/>
      <c r="B2390" s="8"/>
      <c r="C2390" s="14" t="s">
        <v>143</v>
      </c>
      <c r="D2390" s="21" t="s">
        <v>60</v>
      </c>
      <c r="E2390" s="11">
        <v>26400829.739999998</v>
      </c>
      <c r="F2390" s="11">
        <v>8136057</v>
      </c>
      <c r="G2390" s="8"/>
      <c r="H2390" s="9">
        <f t="shared" si="452"/>
        <v>8136057</v>
      </c>
      <c r="I2390" s="8"/>
      <c r="J2390" s="8"/>
      <c r="K2390" s="8"/>
      <c r="L2390" s="9"/>
      <c r="M2390" s="9">
        <f t="shared" si="453"/>
        <v>8136057</v>
      </c>
      <c r="N2390" s="11">
        <f>3250158.3+2613659.26+1032.5</f>
        <v>5864850.0599999996</v>
      </c>
      <c r="O2390" s="8"/>
      <c r="P2390" s="9">
        <f t="shared" si="454"/>
        <v>5864850.0599999996</v>
      </c>
      <c r="Q2390" s="11">
        <f>15014614.44-2613659.26</f>
        <v>12400955.18</v>
      </c>
      <c r="R2390" s="8">
        <v>1032.5</v>
      </c>
      <c r="S2390" s="8"/>
      <c r="T2390" s="9">
        <v>12399922.68</v>
      </c>
      <c r="U2390" s="9">
        <f t="shared" si="455"/>
        <v>18264772.739999998</v>
      </c>
      <c r="V2390" s="9">
        <f t="shared" si="456"/>
        <v>14000907.059999999</v>
      </c>
      <c r="W2390" s="9">
        <f t="shared" si="457"/>
        <v>12399922.68</v>
      </c>
      <c r="X2390" s="9">
        <f t="shared" si="458"/>
        <v>14000907.059999999</v>
      </c>
      <c r="Y2390" s="8"/>
      <c r="Z2390" s="9">
        <f t="shared" si="459"/>
        <v>12399922.68</v>
      </c>
      <c r="AA2390" s="8">
        <f t="shared" si="460"/>
        <v>26400829.739999998</v>
      </c>
      <c r="AB2390" s="8">
        <f t="shared" si="461"/>
        <v>0</v>
      </c>
    </row>
    <row r="2391" spans="1:28" x14ac:dyDescent="0.35">
      <c r="A2391" s="36"/>
      <c r="B2391" s="8"/>
      <c r="C2391" s="14" t="s">
        <v>414</v>
      </c>
      <c r="D2391" s="21" t="s">
        <v>60</v>
      </c>
      <c r="E2391" s="11">
        <v>2482296</v>
      </c>
      <c r="F2391" s="11">
        <v>2482296</v>
      </c>
      <c r="G2391" s="8"/>
      <c r="H2391" s="9">
        <f t="shared" si="452"/>
        <v>2482296</v>
      </c>
      <c r="I2391" s="8"/>
      <c r="J2391" s="8"/>
      <c r="K2391" s="8"/>
      <c r="L2391" s="9"/>
      <c r="M2391" s="9">
        <f t="shared" si="453"/>
        <v>2482296</v>
      </c>
      <c r="N2391" s="11">
        <v>0</v>
      </c>
      <c r="O2391" s="8"/>
      <c r="P2391" s="9">
        <f t="shared" si="454"/>
        <v>0</v>
      </c>
      <c r="Q2391" s="8"/>
      <c r="R2391" s="8"/>
      <c r="S2391" s="8"/>
      <c r="T2391" s="9"/>
      <c r="U2391" s="9">
        <f t="shared" si="455"/>
        <v>0</v>
      </c>
      <c r="V2391" s="9">
        <f t="shared" si="456"/>
        <v>2482296</v>
      </c>
      <c r="W2391" s="9">
        <f t="shared" si="457"/>
        <v>0</v>
      </c>
      <c r="X2391" s="9">
        <f t="shared" si="458"/>
        <v>2482296</v>
      </c>
      <c r="Y2391" s="8"/>
      <c r="Z2391" s="9">
        <f t="shared" si="459"/>
        <v>0</v>
      </c>
      <c r="AA2391" s="8">
        <f t="shared" si="460"/>
        <v>2482296</v>
      </c>
      <c r="AB2391" s="8">
        <f t="shared" si="461"/>
        <v>0</v>
      </c>
    </row>
    <row r="2392" spans="1:28" x14ac:dyDescent="0.35">
      <c r="A2392" s="36"/>
      <c r="B2392" s="8"/>
      <c r="C2392" s="14" t="s">
        <v>143</v>
      </c>
      <c r="D2392" s="21" t="s">
        <v>73</v>
      </c>
      <c r="E2392" s="11">
        <v>7484000</v>
      </c>
      <c r="F2392" s="11">
        <v>7484000</v>
      </c>
      <c r="G2392" s="8"/>
      <c r="H2392" s="9">
        <f t="shared" si="452"/>
        <v>7484000</v>
      </c>
      <c r="I2392" s="8"/>
      <c r="J2392" s="8"/>
      <c r="K2392" s="8"/>
      <c r="L2392" s="9"/>
      <c r="M2392" s="9">
        <f t="shared" si="453"/>
        <v>7484000</v>
      </c>
      <c r="N2392" s="11">
        <v>0</v>
      </c>
      <c r="O2392" s="8"/>
      <c r="P2392" s="9">
        <f t="shared" si="454"/>
        <v>0</v>
      </c>
      <c r="Q2392" s="8"/>
      <c r="R2392" s="8"/>
      <c r="S2392" s="8"/>
      <c r="T2392" s="9"/>
      <c r="U2392" s="9">
        <f t="shared" si="455"/>
        <v>0</v>
      </c>
      <c r="V2392" s="9">
        <f t="shared" si="456"/>
        <v>7484000</v>
      </c>
      <c r="W2392" s="9">
        <f t="shared" si="457"/>
        <v>0</v>
      </c>
      <c r="X2392" s="9">
        <f t="shared" si="458"/>
        <v>7484000</v>
      </c>
      <c r="Y2392" s="8"/>
      <c r="Z2392" s="9">
        <f t="shared" si="459"/>
        <v>0</v>
      </c>
      <c r="AA2392" s="8">
        <f t="shared" si="460"/>
        <v>7484000</v>
      </c>
      <c r="AB2392" s="8">
        <f t="shared" si="461"/>
        <v>0</v>
      </c>
    </row>
    <row r="2393" spans="1:28" x14ac:dyDescent="0.35">
      <c r="A2393" s="36"/>
      <c r="B2393" s="8"/>
      <c r="C2393" s="14" t="s">
        <v>415</v>
      </c>
      <c r="D2393" s="14" t="s">
        <v>111</v>
      </c>
      <c r="E2393" s="11">
        <v>5583856</v>
      </c>
      <c r="F2393" s="11">
        <v>5583856</v>
      </c>
      <c r="G2393" s="8"/>
      <c r="H2393" s="9">
        <f t="shared" si="452"/>
        <v>5583856</v>
      </c>
      <c r="I2393" s="8"/>
      <c r="J2393" s="8"/>
      <c r="K2393" s="8"/>
      <c r="L2393" s="9"/>
      <c r="M2393" s="9">
        <f t="shared" si="453"/>
        <v>5583856</v>
      </c>
      <c r="N2393" s="11">
        <v>0</v>
      </c>
      <c r="O2393" s="8"/>
      <c r="P2393" s="9">
        <f t="shared" si="454"/>
        <v>0</v>
      </c>
      <c r="Q2393" s="8"/>
      <c r="R2393" s="8"/>
      <c r="S2393" s="8"/>
      <c r="T2393" s="9"/>
      <c r="U2393" s="9">
        <f t="shared" si="455"/>
        <v>0</v>
      </c>
      <c r="V2393" s="9">
        <f t="shared" si="456"/>
        <v>5583856</v>
      </c>
      <c r="W2393" s="9">
        <f t="shared" si="457"/>
        <v>0</v>
      </c>
      <c r="X2393" s="9">
        <f t="shared" si="458"/>
        <v>5583856</v>
      </c>
      <c r="Y2393" s="8"/>
      <c r="Z2393" s="9">
        <f t="shared" si="459"/>
        <v>0</v>
      </c>
      <c r="AA2393" s="8">
        <f t="shared" si="460"/>
        <v>5583856</v>
      </c>
      <c r="AB2393" s="8">
        <f t="shared" si="461"/>
        <v>0</v>
      </c>
    </row>
    <row r="2394" spans="1:28" x14ac:dyDescent="0.35">
      <c r="A2394" s="36"/>
      <c r="B2394" s="8"/>
      <c r="C2394" s="14" t="s">
        <v>416</v>
      </c>
      <c r="D2394" s="24" t="s">
        <v>61</v>
      </c>
      <c r="E2394" s="11">
        <f>5877372.29+21451583.55+4183512.1</f>
        <v>31512467.940000001</v>
      </c>
      <c r="F2394" s="8">
        <f>5877372.29+21451583.55+4183512.1</f>
        <v>31512467.940000001</v>
      </c>
      <c r="G2394" s="8"/>
      <c r="H2394" s="9">
        <f t="shared" si="452"/>
        <v>31512467.940000001</v>
      </c>
      <c r="I2394" s="8">
        <v>21451583.550000001</v>
      </c>
      <c r="J2394" s="8">
        <v>21451583.550000001</v>
      </c>
      <c r="K2394" s="8"/>
      <c r="L2394" s="9"/>
      <c r="M2394" s="9">
        <f t="shared" si="453"/>
        <v>31512467.940000001</v>
      </c>
      <c r="N2394" s="11">
        <v>0</v>
      </c>
      <c r="O2394" s="8"/>
      <c r="P2394" s="9">
        <f t="shared" si="454"/>
        <v>0</v>
      </c>
      <c r="Q2394" s="8"/>
      <c r="R2394" s="8"/>
      <c r="S2394" s="8"/>
      <c r="T2394" s="9"/>
      <c r="U2394" s="9">
        <f t="shared" si="455"/>
        <v>0</v>
      </c>
      <c r="V2394" s="9">
        <f t="shared" si="456"/>
        <v>31512467.940000001</v>
      </c>
      <c r="W2394" s="9">
        <f t="shared" si="457"/>
        <v>0</v>
      </c>
      <c r="X2394" s="9">
        <f t="shared" si="458"/>
        <v>31512467.940000001</v>
      </c>
      <c r="Y2394" s="8"/>
      <c r="Z2394" s="9">
        <f t="shared" si="459"/>
        <v>0</v>
      </c>
      <c r="AA2394" s="8">
        <f t="shared" si="460"/>
        <v>31512467.940000001</v>
      </c>
      <c r="AB2394" s="8">
        <f t="shared" si="461"/>
        <v>0</v>
      </c>
    </row>
    <row r="2395" spans="1:28" x14ac:dyDescent="0.35">
      <c r="A2395" s="36"/>
      <c r="B2395" s="8"/>
      <c r="C2395" s="14" t="s">
        <v>417</v>
      </c>
      <c r="D2395" s="8"/>
      <c r="E2395" s="11">
        <v>3692029</v>
      </c>
      <c r="F2395" s="11">
        <v>3692029</v>
      </c>
      <c r="G2395" s="8"/>
      <c r="H2395" s="9">
        <f t="shared" si="452"/>
        <v>3692029</v>
      </c>
      <c r="I2395" s="8"/>
      <c r="J2395" s="8"/>
      <c r="K2395" s="8"/>
      <c r="L2395" s="9"/>
      <c r="M2395" s="9">
        <f t="shared" si="453"/>
        <v>3692029</v>
      </c>
      <c r="N2395" s="11">
        <v>0</v>
      </c>
      <c r="O2395" s="8"/>
      <c r="P2395" s="9">
        <f t="shared" si="454"/>
        <v>0</v>
      </c>
      <c r="Q2395" s="8"/>
      <c r="R2395" s="8"/>
      <c r="S2395" s="8"/>
      <c r="T2395" s="9"/>
      <c r="U2395" s="9">
        <f t="shared" si="455"/>
        <v>0</v>
      </c>
      <c r="V2395" s="9">
        <f t="shared" si="456"/>
        <v>3692029</v>
      </c>
      <c r="W2395" s="9">
        <f t="shared" si="457"/>
        <v>0</v>
      </c>
      <c r="X2395" s="9">
        <f t="shared" si="458"/>
        <v>3692029</v>
      </c>
      <c r="Y2395" s="8"/>
      <c r="Z2395" s="9">
        <f t="shared" si="459"/>
        <v>0</v>
      </c>
      <c r="AA2395" s="8">
        <f t="shared" si="460"/>
        <v>3692029</v>
      </c>
      <c r="AB2395" s="8">
        <f t="shared" si="461"/>
        <v>0</v>
      </c>
    </row>
    <row r="2396" spans="1:28" x14ac:dyDescent="0.35">
      <c r="A2396" s="36"/>
      <c r="B2396" s="8"/>
      <c r="C2396" s="14" t="s">
        <v>418</v>
      </c>
      <c r="D2396" s="8"/>
      <c r="E2396" s="11">
        <v>8720308</v>
      </c>
      <c r="F2396" s="11">
        <v>8720308</v>
      </c>
      <c r="G2396" s="8"/>
      <c r="H2396" s="9">
        <f t="shared" si="452"/>
        <v>8720308</v>
      </c>
      <c r="I2396" s="8"/>
      <c r="J2396" s="8"/>
      <c r="K2396" s="8"/>
      <c r="L2396" s="9"/>
      <c r="M2396" s="9">
        <f t="shared" si="453"/>
        <v>8720308</v>
      </c>
      <c r="N2396" s="11">
        <v>0</v>
      </c>
      <c r="O2396" s="8"/>
      <c r="P2396" s="9">
        <f t="shared" si="454"/>
        <v>0</v>
      </c>
      <c r="Q2396" s="8"/>
      <c r="R2396" s="8"/>
      <c r="S2396" s="8"/>
      <c r="T2396" s="9"/>
      <c r="U2396" s="9">
        <f t="shared" si="455"/>
        <v>0</v>
      </c>
      <c r="V2396" s="9">
        <f t="shared" si="456"/>
        <v>8720308</v>
      </c>
      <c r="W2396" s="9">
        <f t="shared" si="457"/>
        <v>0</v>
      </c>
      <c r="X2396" s="9">
        <f t="shared" si="458"/>
        <v>8720308</v>
      </c>
      <c r="Y2396" s="8"/>
      <c r="Z2396" s="9">
        <f t="shared" si="459"/>
        <v>0</v>
      </c>
      <c r="AA2396" s="8">
        <f t="shared" si="460"/>
        <v>8720308</v>
      </c>
      <c r="AB2396" s="8">
        <f t="shared" si="461"/>
        <v>0</v>
      </c>
    </row>
    <row r="2397" spans="1:28" x14ac:dyDescent="0.35">
      <c r="A2397" s="36"/>
      <c r="B2397" s="8"/>
      <c r="C2397" s="14" t="s">
        <v>419</v>
      </c>
      <c r="D2397" s="8"/>
      <c r="E2397" s="11">
        <v>4398655.42</v>
      </c>
      <c r="F2397" s="11">
        <v>4398655.42</v>
      </c>
      <c r="G2397" s="8"/>
      <c r="H2397" s="9">
        <f t="shared" si="452"/>
        <v>4398655.42</v>
      </c>
      <c r="I2397" s="8"/>
      <c r="J2397" s="8"/>
      <c r="K2397" s="8"/>
      <c r="L2397" s="9"/>
      <c r="M2397" s="9">
        <f t="shared" si="453"/>
        <v>4398655.42</v>
      </c>
      <c r="N2397" s="11">
        <v>0</v>
      </c>
      <c r="O2397" s="8"/>
      <c r="P2397" s="9">
        <f t="shared" si="454"/>
        <v>0</v>
      </c>
      <c r="Q2397" s="8"/>
      <c r="R2397" s="8"/>
      <c r="S2397" s="8"/>
      <c r="T2397" s="9"/>
      <c r="U2397" s="9">
        <f t="shared" si="455"/>
        <v>0</v>
      </c>
      <c r="V2397" s="9">
        <f t="shared" si="456"/>
        <v>4398655.42</v>
      </c>
      <c r="W2397" s="9">
        <f t="shared" si="457"/>
        <v>0</v>
      </c>
      <c r="X2397" s="9">
        <f t="shared" si="458"/>
        <v>4398655.42</v>
      </c>
      <c r="Y2397" s="8"/>
      <c r="Z2397" s="9">
        <f t="shared" si="459"/>
        <v>0</v>
      </c>
      <c r="AA2397" s="8">
        <f t="shared" si="460"/>
        <v>4398655.42</v>
      </c>
      <c r="AB2397" s="8">
        <f t="shared" si="461"/>
        <v>0</v>
      </c>
    </row>
    <row r="2398" spans="1:28" x14ac:dyDescent="0.35">
      <c r="A2398" s="36"/>
      <c r="B2398" s="8"/>
      <c r="C2398" s="14" t="s">
        <v>109</v>
      </c>
      <c r="D2398" s="8"/>
      <c r="E2398" s="11">
        <v>7316877.2000000002</v>
      </c>
      <c r="F2398" s="11">
        <v>7316877.2000000002</v>
      </c>
      <c r="G2398" s="8"/>
      <c r="H2398" s="9">
        <f t="shared" si="452"/>
        <v>7316877.2000000002</v>
      </c>
      <c r="I2398" s="8"/>
      <c r="J2398" s="8"/>
      <c r="K2398" s="8"/>
      <c r="L2398" s="9"/>
      <c r="M2398" s="9">
        <f t="shared" si="453"/>
        <v>7316877.2000000002</v>
      </c>
      <c r="N2398" s="11">
        <v>0</v>
      </c>
      <c r="O2398" s="8"/>
      <c r="P2398" s="9">
        <f t="shared" si="454"/>
        <v>0</v>
      </c>
      <c r="Q2398" s="8"/>
      <c r="R2398" s="8"/>
      <c r="S2398" s="8"/>
      <c r="T2398" s="9"/>
      <c r="U2398" s="9">
        <f t="shared" si="455"/>
        <v>0</v>
      </c>
      <c r="V2398" s="9">
        <f t="shared" si="456"/>
        <v>7316877.2000000002</v>
      </c>
      <c r="W2398" s="9">
        <f t="shared" si="457"/>
        <v>0</v>
      </c>
      <c r="X2398" s="9">
        <f t="shared" si="458"/>
        <v>7316877.2000000002</v>
      </c>
      <c r="Y2398" s="8"/>
      <c r="Z2398" s="9">
        <f t="shared" si="459"/>
        <v>0</v>
      </c>
      <c r="AA2398" s="8">
        <f t="shared" si="460"/>
        <v>7316877.2000000002</v>
      </c>
      <c r="AB2398" s="8">
        <f t="shared" si="461"/>
        <v>0</v>
      </c>
    </row>
    <row r="2399" spans="1:28" x14ac:dyDescent="0.35">
      <c r="A2399" s="36"/>
      <c r="B2399" s="8"/>
      <c r="C2399" s="8"/>
      <c r="D2399" s="8"/>
      <c r="E2399" s="26" t="s">
        <v>29</v>
      </c>
      <c r="F2399" s="26" t="s">
        <v>29</v>
      </c>
      <c r="G2399" s="26" t="s">
        <v>29</v>
      </c>
      <c r="H2399" s="26" t="s">
        <v>29</v>
      </c>
      <c r="I2399" s="26" t="s">
        <v>29</v>
      </c>
      <c r="J2399" s="26" t="s">
        <v>29</v>
      </c>
      <c r="K2399" s="26" t="s">
        <v>29</v>
      </c>
      <c r="L2399" s="26" t="s">
        <v>29</v>
      </c>
      <c r="M2399" s="26" t="s">
        <v>29</v>
      </c>
      <c r="N2399" s="26" t="s">
        <v>29</v>
      </c>
      <c r="O2399" s="26" t="s">
        <v>29</v>
      </c>
      <c r="P2399" s="26" t="s">
        <v>29</v>
      </c>
      <c r="Q2399" s="26" t="s">
        <v>29</v>
      </c>
      <c r="R2399" s="26" t="s">
        <v>29</v>
      </c>
      <c r="S2399" s="26" t="s">
        <v>29</v>
      </c>
      <c r="T2399" s="26" t="s">
        <v>29</v>
      </c>
      <c r="U2399" s="26" t="s">
        <v>29</v>
      </c>
      <c r="V2399" s="26" t="s">
        <v>29</v>
      </c>
      <c r="W2399" s="26" t="s">
        <v>29</v>
      </c>
      <c r="X2399" s="26" t="s">
        <v>29</v>
      </c>
      <c r="Y2399" s="26" t="s">
        <v>29</v>
      </c>
      <c r="Z2399" s="26" t="s">
        <v>29</v>
      </c>
      <c r="AA2399" s="17" t="s">
        <v>29</v>
      </c>
      <c r="AB2399" s="17" t="s">
        <v>29</v>
      </c>
    </row>
    <row r="2400" spans="1:28" x14ac:dyDescent="0.35">
      <c r="A2400" s="36"/>
      <c r="B2400" s="8"/>
      <c r="C2400" s="8"/>
      <c r="D2400" s="8"/>
      <c r="E2400" s="11">
        <f t="shared" ref="E2400:AB2400" si="462">SUM(E2385:E2398)</f>
        <v>142627179.74999997</v>
      </c>
      <c r="F2400" s="11">
        <f t="shared" si="462"/>
        <v>118098058.91000001</v>
      </c>
      <c r="G2400" s="11">
        <f t="shared" si="462"/>
        <v>0</v>
      </c>
      <c r="H2400" s="11">
        <f t="shared" si="462"/>
        <v>118098058.91000001</v>
      </c>
      <c r="I2400" s="11">
        <f t="shared" si="462"/>
        <v>21451583.550000001</v>
      </c>
      <c r="J2400" s="11">
        <f t="shared" si="462"/>
        <v>21451583.550000001</v>
      </c>
      <c r="K2400" s="11">
        <f t="shared" si="462"/>
        <v>0</v>
      </c>
      <c r="L2400" s="11">
        <f t="shared" si="462"/>
        <v>0</v>
      </c>
      <c r="M2400" s="11">
        <f t="shared" si="462"/>
        <v>118098058.91000001</v>
      </c>
      <c r="N2400" s="11">
        <f t="shared" si="462"/>
        <v>12129198.16</v>
      </c>
      <c r="O2400" s="11">
        <f t="shared" si="462"/>
        <v>0</v>
      </c>
      <c r="P2400" s="11">
        <f t="shared" si="462"/>
        <v>12129198.16</v>
      </c>
      <c r="Q2400" s="11">
        <f t="shared" si="462"/>
        <v>12400955.18</v>
      </c>
      <c r="R2400" s="11">
        <f t="shared" si="462"/>
        <v>1032.5</v>
      </c>
      <c r="S2400" s="11">
        <f t="shared" si="462"/>
        <v>0</v>
      </c>
      <c r="T2400" s="11">
        <f t="shared" si="462"/>
        <v>12399922.68</v>
      </c>
      <c r="U2400" s="11">
        <f t="shared" si="462"/>
        <v>24529120.839999996</v>
      </c>
      <c r="V2400" s="11">
        <f t="shared" si="462"/>
        <v>130227257.07000001</v>
      </c>
      <c r="W2400" s="11">
        <f t="shared" si="462"/>
        <v>12399922.68</v>
      </c>
      <c r="X2400" s="11">
        <f t="shared" si="462"/>
        <v>130227257.07000001</v>
      </c>
      <c r="Y2400" s="11">
        <f t="shared" si="462"/>
        <v>0</v>
      </c>
      <c r="Z2400" s="11">
        <f t="shared" si="462"/>
        <v>12399922.68</v>
      </c>
      <c r="AA2400" s="11">
        <f t="shared" si="462"/>
        <v>142627179.74999997</v>
      </c>
      <c r="AB2400" s="11">
        <f t="shared" si="462"/>
        <v>0</v>
      </c>
    </row>
    <row r="2401" spans="1:28" x14ac:dyDescent="0.35">
      <c r="A2401" s="36"/>
      <c r="B2401" s="8"/>
      <c r="C2401" s="8"/>
      <c r="D2401" s="8"/>
      <c r="E2401" s="26" t="s">
        <v>29</v>
      </c>
      <c r="F2401" s="26" t="s">
        <v>29</v>
      </c>
      <c r="G2401" s="26" t="s">
        <v>29</v>
      </c>
      <c r="H2401" s="26" t="s">
        <v>29</v>
      </c>
      <c r="I2401" s="26" t="s">
        <v>29</v>
      </c>
      <c r="J2401" s="26" t="s">
        <v>29</v>
      </c>
      <c r="K2401" s="26" t="s">
        <v>29</v>
      </c>
      <c r="L2401" s="26" t="s">
        <v>29</v>
      </c>
      <c r="M2401" s="26" t="s">
        <v>29</v>
      </c>
      <c r="N2401" s="26" t="s">
        <v>29</v>
      </c>
      <c r="O2401" s="26" t="s">
        <v>29</v>
      </c>
      <c r="P2401" s="26" t="s">
        <v>29</v>
      </c>
      <c r="Q2401" s="26" t="s">
        <v>29</v>
      </c>
      <c r="R2401" s="26" t="s">
        <v>29</v>
      </c>
      <c r="S2401" s="26" t="s">
        <v>29</v>
      </c>
      <c r="T2401" s="26" t="s">
        <v>29</v>
      </c>
      <c r="U2401" s="26" t="s">
        <v>29</v>
      </c>
      <c r="V2401" s="26" t="s">
        <v>29</v>
      </c>
      <c r="W2401" s="26" t="s">
        <v>29</v>
      </c>
      <c r="X2401" s="26" t="s">
        <v>29</v>
      </c>
      <c r="Y2401" s="26" t="s">
        <v>29</v>
      </c>
      <c r="Z2401" s="26" t="s">
        <v>29</v>
      </c>
      <c r="AA2401" s="17" t="s">
        <v>29</v>
      </c>
      <c r="AB2401" s="17" t="s">
        <v>29</v>
      </c>
    </row>
    <row r="2402" spans="1:28" x14ac:dyDescent="0.35">
      <c r="A2402" s="36"/>
      <c r="B2402" s="14" t="s">
        <v>420</v>
      </c>
      <c r="C2402" s="8"/>
      <c r="D2402" s="8"/>
      <c r="E2402" s="8"/>
      <c r="F2402" s="8"/>
      <c r="G2402" s="8"/>
      <c r="H2402" s="8"/>
      <c r="I2402" s="8"/>
      <c r="J2402" s="8"/>
      <c r="K2402" s="8"/>
      <c r="L2402" s="8"/>
      <c r="M2402" s="8"/>
      <c r="N2402" s="8"/>
      <c r="O2402" s="8"/>
      <c r="P2402" s="8"/>
      <c r="Q2402" s="8"/>
      <c r="R2402" s="8"/>
      <c r="S2402" s="8"/>
      <c r="T2402" s="8"/>
      <c r="U2402" s="8"/>
      <c r="V2402" s="8"/>
      <c r="W2402" s="8"/>
      <c r="X2402" s="8"/>
      <c r="Y2402" s="8"/>
      <c r="Z2402" s="8"/>
    </row>
    <row r="2403" spans="1:28" x14ac:dyDescent="0.35">
      <c r="A2403" s="36"/>
      <c r="B2403" s="8"/>
      <c r="C2403" s="14" t="s">
        <v>413</v>
      </c>
      <c r="D2403" s="21" t="s">
        <v>85</v>
      </c>
      <c r="E2403" s="11">
        <v>14000</v>
      </c>
      <c r="F2403" s="11">
        <v>14000</v>
      </c>
      <c r="G2403" s="8"/>
      <c r="H2403" s="9">
        <f>F2403+G2403</f>
        <v>14000</v>
      </c>
      <c r="I2403" s="8"/>
      <c r="J2403" s="8"/>
      <c r="K2403" s="8"/>
      <c r="L2403" s="9">
        <f>I2403-J2403+K2403</f>
        <v>0</v>
      </c>
      <c r="M2403" s="9">
        <f>H2403+L2403</f>
        <v>14000</v>
      </c>
      <c r="N2403" s="11">
        <v>0</v>
      </c>
      <c r="O2403" s="8"/>
      <c r="P2403" s="9">
        <f>N2403+O2403</f>
        <v>0</v>
      </c>
      <c r="Q2403" s="8"/>
      <c r="R2403" s="8"/>
      <c r="S2403" s="8"/>
      <c r="T2403" s="9">
        <f>Q2403-R2403+S2403</f>
        <v>0</v>
      </c>
      <c r="U2403" s="9">
        <f>P2403+T2403</f>
        <v>0</v>
      </c>
      <c r="V2403" s="9">
        <f>P2403+H2403</f>
        <v>14000</v>
      </c>
      <c r="W2403" s="9">
        <f>E2403-V2403</f>
        <v>0</v>
      </c>
      <c r="X2403" s="9">
        <f>+H2403+P2403</f>
        <v>14000</v>
      </c>
      <c r="Y2403" s="8"/>
      <c r="Z2403" s="9">
        <f>+E2403-X2403</f>
        <v>0</v>
      </c>
      <c r="AA2403" s="8">
        <f>+M2403+U2403</f>
        <v>14000</v>
      </c>
      <c r="AB2403" s="8">
        <f>+E2403-AA2403</f>
        <v>0</v>
      </c>
    </row>
    <row r="2404" spans="1:28" x14ac:dyDescent="0.35">
      <c r="A2404" s="36"/>
      <c r="B2404" s="8"/>
      <c r="C2404" s="8"/>
      <c r="D2404" s="8"/>
      <c r="E2404" s="26" t="s">
        <v>29</v>
      </c>
      <c r="F2404" s="26" t="s">
        <v>29</v>
      </c>
      <c r="G2404" s="26" t="s">
        <v>29</v>
      </c>
      <c r="H2404" s="26" t="s">
        <v>29</v>
      </c>
      <c r="I2404" s="26" t="s">
        <v>29</v>
      </c>
      <c r="J2404" s="26" t="s">
        <v>29</v>
      </c>
      <c r="K2404" s="26" t="s">
        <v>29</v>
      </c>
      <c r="L2404" s="26" t="s">
        <v>29</v>
      </c>
      <c r="M2404" s="26" t="s">
        <v>29</v>
      </c>
      <c r="N2404" s="26" t="s">
        <v>29</v>
      </c>
      <c r="O2404" s="26" t="s">
        <v>29</v>
      </c>
      <c r="P2404" s="26" t="s">
        <v>29</v>
      </c>
      <c r="Q2404" s="26" t="s">
        <v>29</v>
      </c>
      <c r="R2404" s="26" t="s">
        <v>29</v>
      </c>
      <c r="S2404" s="26" t="s">
        <v>29</v>
      </c>
      <c r="T2404" s="26" t="s">
        <v>29</v>
      </c>
      <c r="U2404" s="26" t="s">
        <v>29</v>
      </c>
      <c r="V2404" s="26" t="s">
        <v>29</v>
      </c>
      <c r="W2404" s="26" t="s">
        <v>29</v>
      </c>
      <c r="X2404" s="26" t="s">
        <v>29</v>
      </c>
      <c r="Y2404" s="26" t="s">
        <v>29</v>
      </c>
      <c r="Z2404" s="26" t="s">
        <v>29</v>
      </c>
      <c r="AA2404" s="26" t="s">
        <v>29</v>
      </c>
      <c r="AB2404" s="26" t="s">
        <v>29</v>
      </c>
    </row>
    <row r="2405" spans="1:28" x14ac:dyDescent="0.35">
      <c r="A2405" s="38" t="s">
        <v>1047</v>
      </c>
      <c r="B2405" s="14" t="s">
        <v>421</v>
      </c>
      <c r="C2405" s="8"/>
      <c r="D2405" s="14" t="s">
        <v>422</v>
      </c>
      <c r="E2405" s="8"/>
      <c r="F2405" s="8"/>
      <c r="G2405" s="8"/>
      <c r="H2405" s="8"/>
      <c r="I2405" s="8"/>
      <c r="J2405" s="8"/>
      <c r="K2405" s="8"/>
      <c r="L2405" s="8"/>
      <c r="M2405" s="8"/>
      <c r="N2405" s="8"/>
      <c r="O2405" s="8"/>
      <c r="P2405" s="8"/>
      <c r="Q2405" s="8"/>
      <c r="R2405" s="8"/>
      <c r="S2405" s="8"/>
      <c r="T2405" s="8"/>
      <c r="U2405" s="8"/>
      <c r="V2405" s="8"/>
      <c r="W2405" s="8"/>
      <c r="X2405" s="8"/>
      <c r="Y2405" s="8"/>
      <c r="Z2405" s="8"/>
    </row>
    <row r="2406" spans="1:28" x14ac:dyDescent="0.35">
      <c r="A2406" s="36"/>
      <c r="B2406" s="8"/>
      <c r="C2406" s="14" t="s">
        <v>143</v>
      </c>
      <c r="D2406" s="14" t="s">
        <v>423</v>
      </c>
      <c r="E2406" s="11">
        <f>1612496.17+1927885+4008399+7128951.5</f>
        <v>14677731.67</v>
      </c>
      <c r="F2406" s="11">
        <f>0+1927885+4008399+7128951.5</f>
        <v>13065235.5</v>
      </c>
      <c r="G2406" s="8"/>
      <c r="H2406" s="9">
        <f t="shared" ref="H2406:H2426" si="463">F2406+G2406</f>
        <v>13065235.5</v>
      </c>
      <c r="I2406" s="8"/>
      <c r="J2406" s="8"/>
      <c r="K2406" s="8"/>
      <c r="L2406" s="9"/>
      <c r="M2406" s="9">
        <f t="shared" ref="M2406:M2426" si="464">H2406+L2406</f>
        <v>13065235.5</v>
      </c>
      <c r="N2406" s="11">
        <v>1612496.17</v>
      </c>
      <c r="O2406" s="8"/>
      <c r="P2406" s="9">
        <f t="shared" ref="P2406:P2426" si="465">N2406+O2406</f>
        <v>1612496.17</v>
      </c>
      <c r="Q2406" s="8"/>
      <c r="R2406" s="8"/>
      <c r="S2406" s="8"/>
      <c r="T2406" s="9"/>
      <c r="U2406" s="9">
        <f t="shared" ref="U2406:U2426" si="466">P2406+T2406</f>
        <v>1612496.17</v>
      </c>
      <c r="V2406" s="9">
        <f t="shared" ref="V2406:V2426" si="467">P2406+H2406</f>
        <v>14677731.67</v>
      </c>
      <c r="W2406" s="9">
        <f t="shared" ref="W2406:W2426" si="468">E2406-V2406</f>
        <v>0</v>
      </c>
      <c r="X2406" s="9">
        <f t="shared" ref="X2406:X2426" si="469">+H2406+P2406</f>
        <v>14677731.67</v>
      </c>
      <c r="Y2406" s="8"/>
      <c r="Z2406" s="9">
        <f t="shared" ref="Z2406:Z2426" si="470">+E2406-X2406</f>
        <v>0</v>
      </c>
      <c r="AA2406" s="8">
        <f t="shared" ref="AA2406:AA2426" si="471">+M2406+U2406</f>
        <v>14677731.67</v>
      </c>
      <c r="AB2406" s="8">
        <f t="shared" ref="AB2406:AB2426" si="472">+E2406-AA2406</f>
        <v>0</v>
      </c>
    </row>
    <row r="2407" spans="1:28" x14ac:dyDescent="0.35">
      <c r="A2407" s="36"/>
      <c r="B2407" s="8"/>
      <c r="C2407" s="14" t="s">
        <v>55</v>
      </c>
      <c r="D2407" s="21" t="s">
        <v>68</v>
      </c>
      <c r="E2407" s="11">
        <v>2386840.5</v>
      </c>
      <c r="F2407" s="11">
        <v>0</v>
      </c>
      <c r="G2407" s="8"/>
      <c r="H2407" s="9">
        <f t="shared" si="463"/>
        <v>0</v>
      </c>
      <c r="I2407" s="8"/>
      <c r="J2407" s="8"/>
      <c r="K2407" s="8"/>
      <c r="L2407" s="9"/>
      <c r="M2407" s="9">
        <f t="shared" si="464"/>
        <v>0</v>
      </c>
      <c r="N2407" s="11">
        <v>2386840.5</v>
      </c>
      <c r="O2407" s="8"/>
      <c r="P2407" s="9">
        <f t="shared" si="465"/>
        <v>2386840.5</v>
      </c>
      <c r="Q2407" s="8"/>
      <c r="R2407" s="8"/>
      <c r="S2407" s="8"/>
      <c r="T2407" s="9"/>
      <c r="U2407" s="9">
        <f t="shared" si="466"/>
        <v>2386840.5</v>
      </c>
      <c r="V2407" s="9">
        <f t="shared" si="467"/>
        <v>2386840.5</v>
      </c>
      <c r="W2407" s="9">
        <f t="shared" si="468"/>
        <v>0</v>
      </c>
      <c r="X2407" s="9">
        <f t="shared" si="469"/>
        <v>2386840.5</v>
      </c>
      <c r="Y2407" s="8"/>
      <c r="Z2407" s="9">
        <f t="shared" si="470"/>
        <v>0</v>
      </c>
      <c r="AA2407" s="8">
        <f t="shared" si="471"/>
        <v>2386840.5</v>
      </c>
      <c r="AB2407" s="8">
        <f t="shared" si="472"/>
        <v>0</v>
      </c>
    </row>
    <row r="2408" spans="1:28" x14ac:dyDescent="0.35">
      <c r="A2408" s="36"/>
      <c r="B2408" s="8"/>
      <c r="C2408" s="14" t="s">
        <v>424</v>
      </c>
      <c r="D2408" s="21" t="s">
        <v>54</v>
      </c>
      <c r="E2408" s="11">
        <v>1767770</v>
      </c>
      <c r="F2408" s="11">
        <v>0</v>
      </c>
      <c r="G2408" s="8"/>
      <c r="H2408" s="9">
        <f t="shared" si="463"/>
        <v>0</v>
      </c>
      <c r="I2408" s="8"/>
      <c r="J2408" s="8"/>
      <c r="K2408" s="9"/>
      <c r="L2408" s="9"/>
      <c r="M2408" s="9">
        <f t="shared" si="464"/>
        <v>0</v>
      </c>
      <c r="N2408" s="11">
        <v>1767770</v>
      </c>
      <c r="O2408" s="8"/>
      <c r="P2408" s="9">
        <f t="shared" si="465"/>
        <v>1767770</v>
      </c>
      <c r="Q2408" s="8"/>
      <c r="R2408" s="8"/>
      <c r="S2408" s="8"/>
      <c r="T2408" s="9"/>
      <c r="U2408" s="9">
        <f t="shared" si="466"/>
        <v>1767770</v>
      </c>
      <c r="V2408" s="9">
        <f t="shared" si="467"/>
        <v>1767770</v>
      </c>
      <c r="W2408" s="9">
        <f t="shared" si="468"/>
        <v>0</v>
      </c>
      <c r="X2408" s="9">
        <f t="shared" si="469"/>
        <v>1767770</v>
      </c>
      <c r="Y2408" s="8"/>
      <c r="Z2408" s="9">
        <f t="shared" si="470"/>
        <v>0</v>
      </c>
      <c r="AA2408" s="8">
        <f t="shared" si="471"/>
        <v>1767770</v>
      </c>
      <c r="AB2408" s="8">
        <f t="shared" si="472"/>
        <v>0</v>
      </c>
    </row>
    <row r="2409" spans="1:28" x14ac:dyDescent="0.35">
      <c r="A2409" s="36"/>
      <c r="B2409" s="8"/>
      <c r="C2409" s="14" t="s">
        <v>425</v>
      </c>
      <c r="D2409" s="21" t="s">
        <v>54</v>
      </c>
      <c r="E2409" s="11">
        <v>955345.62</v>
      </c>
      <c r="F2409" s="11">
        <v>0</v>
      </c>
      <c r="G2409" s="8"/>
      <c r="H2409" s="9">
        <f t="shared" si="463"/>
        <v>0</v>
      </c>
      <c r="I2409" s="8"/>
      <c r="J2409" s="8"/>
      <c r="K2409" s="8"/>
      <c r="L2409" s="9"/>
      <c r="M2409" s="9">
        <f t="shared" si="464"/>
        <v>0</v>
      </c>
      <c r="N2409" s="11">
        <v>955345.62</v>
      </c>
      <c r="O2409" s="8"/>
      <c r="P2409" s="9">
        <f t="shared" si="465"/>
        <v>955345.62</v>
      </c>
      <c r="Q2409" s="8"/>
      <c r="R2409" s="8"/>
      <c r="S2409" s="8"/>
      <c r="T2409" s="9"/>
      <c r="U2409" s="9">
        <f t="shared" si="466"/>
        <v>955345.62</v>
      </c>
      <c r="V2409" s="9">
        <f t="shared" si="467"/>
        <v>955345.62</v>
      </c>
      <c r="W2409" s="9">
        <f t="shared" si="468"/>
        <v>0</v>
      </c>
      <c r="X2409" s="9">
        <f t="shared" si="469"/>
        <v>955345.62</v>
      </c>
      <c r="Y2409" s="8"/>
      <c r="Z2409" s="9">
        <f t="shared" si="470"/>
        <v>0</v>
      </c>
      <c r="AA2409" s="8">
        <f t="shared" si="471"/>
        <v>955345.62</v>
      </c>
      <c r="AB2409" s="8">
        <f t="shared" si="472"/>
        <v>0</v>
      </c>
    </row>
    <row r="2410" spans="1:28" x14ac:dyDescent="0.35">
      <c r="A2410" s="36"/>
      <c r="B2410" s="8"/>
      <c r="C2410" s="14" t="s">
        <v>426</v>
      </c>
      <c r="D2410" s="21" t="s">
        <v>54</v>
      </c>
      <c r="E2410" s="11">
        <v>445413</v>
      </c>
      <c r="F2410" s="11">
        <v>445413</v>
      </c>
      <c r="G2410" s="8"/>
      <c r="H2410" s="9">
        <f t="shared" si="463"/>
        <v>445413</v>
      </c>
      <c r="I2410" s="8"/>
      <c r="J2410" s="8"/>
      <c r="K2410" s="8"/>
      <c r="L2410" s="9"/>
      <c r="M2410" s="9">
        <f t="shared" si="464"/>
        <v>445413</v>
      </c>
      <c r="N2410" s="11">
        <v>0</v>
      </c>
      <c r="O2410" s="8"/>
      <c r="P2410" s="9">
        <f t="shared" si="465"/>
        <v>0</v>
      </c>
      <c r="Q2410" s="8"/>
      <c r="R2410" s="8"/>
      <c r="S2410" s="8"/>
      <c r="T2410" s="9"/>
      <c r="U2410" s="9">
        <f t="shared" si="466"/>
        <v>0</v>
      </c>
      <c r="V2410" s="9">
        <f t="shared" si="467"/>
        <v>445413</v>
      </c>
      <c r="W2410" s="9">
        <f t="shared" si="468"/>
        <v>0</v>
      </c>
      <c r="X2410" s="9">
        <f t="shared" si="469"/>
        <v>445413</v>
      </c>
      <c r="Y2410" s="8"/>
      <c r="Z2410" s="9">
        <f t="shared" si="470"/>
        <v>0</v>
      </c>
      <c r="AA2410" s="8">
        <f t="shared" si="471"/>
        <v>445413</v>
      </c>
      <c r="AB2410" s="8">
        <f t="shared" si="472"/>
        <v>0</v>
      </c>
    </row>
    <row r="2411" spans="1:28" x14ac:dyDescent="0.35">
      <c r="A2411" s="36"/>
      <c r="B2411" s="8"/>
      <c r="C2411" s="14" t="s">
        <v>427</v>
      </c>
      <c r="D2411" s="21" t="s">
        <v>85</v>
      </c>
      <c r="E2411" s="11">
        <f>1000000+400000</f>
        <v>1400000</v>
      </c>
      <c r="F2411" s="11">
        <v>1400000</v>
      </c>
      <c r="G2411" s="8"/>
      <c r="H2411" s="9">
        <f t="shared" si="463"/>
        <v>1400000</v>
      </c>
      <c r="I2411" s="8"/>
      <c r="J2411" s="8"/>
      <c r="K2411" s="8"/>
      <c r="L2411" s="9"/>
      <c r="M2411" s="9">
        <f t="shared" si="464"/>
        <v>1400000</v>
      </c>
      <c r="N2411" s="11">
        <v>0</v>
      </c>
      <c r="O2411" s="8"/>
      <c r="P2411" s="9">
        <f t="shared" si="465"/>
        <v>0</v>
      </c>
      <c r="Q2411" s="8"/>
      <c r="R2411" s="8"/>
      <c r="S2411" s="8"/>
      <c r="T2411" s="9"/>
      <c r="U2411" s="9">
        <f t="shared" si="466"/>
        <v>0</v>
      </c>
      <c r="V2411" s="9">
        <f t="shared" si="467"/>
        <v>1400000</v>
      </c>
      <c r="W2411" s="9">
        <f t="shared" si="468"/>
        <v>0</v>
      </c>
      <c r="X2411" s="9">
        <f t="shared" si="469"/>
        <v>1400000</v>
      </c>
      <c r="Y2411" s="8"/>
      <c r="Z2411" s="9">
        <f t="shared" si="470"/>
        <v>0</v>
      </c>
      <c r="AA2411" s="8">
        <f t="shared" si="471"/>
        <v>1400000</v>
      </c>
      <c r="AB2411" s="8">
        <f t="shared" si="472"/>
        <v>0</v>
      </c>
    </row>
    <row r="2412" spans="1:28" x14ac:dyDescent="0.35">
      <c r="A2412" s="36"/>
      <c r="B2412" s="8"/>
      <c r="C2412" s="14" t="s">
        <v>428</v>
      </c>
      <c r="D2412" s="21" t="s">
        <v>85</v>
      </c>
      <c r="E2412" s="11">
        <v>2000000</v>
      </c>
      <c r="F2412" s="11">
        <v>2000000</v>
      </c>
      <c r="G2412" s="8"/>
      <c r="H2412" s="9">
        <f t="shared" si="463"/>
        <v>2000000</v>
      </c>
      <c r="I2412" s="8"/>
      <c r="J2412" s="8"/>
      <c r="K2412" s="8"/>
      <c r="L2412" s="9"/>
      <c r="M2412" s="9">
        <f t="shared" si="464"/>
        <v>2000000</v>
      </c>
      <c r="N2412" s="11">
        <v>0</v>
      </c>
      <c r="O2412" s="8"/>
      <c r="P2412" s="9">
        <f t="shared" si="465"/>
        <v>0</v>
      </c>
      <c r="Q2412" s="8"/>
      <c r="R2412" s="8"/>
      <c r="S2412" s="8"/>
      <c r="T2412" s="9"/>
      <c r="U2412" s="9">
        <f t="shared" si="466"/>
        <v>0</v>
      </c>
      <c r="V2412" s="9">
        <f t="shared" si="467"/>
        <v>2000000</v>
      </c>
      <c r="W2412" s="9">
        <f t="shared" si="468"/>
        <v>0</v>
      </c>
      <c r="X2412" s="9">
        <f t="shared" si="469"/>
        <v>2000000</v>
      </c>
      <c r="Y2412" s="8"/>
      <c r="Z2412" s="9">
        <f t="shared" si="470"/>
        <v>0</v>
      </c>
      <c r="AA2412" s="8">
        <f t="shared" si="471"/>
        <v>2000000</v>
      </c>
      <c r="AB2412" s="8">
        <f t="shared" si="472"/>
        <v>0</v>
      </c>
    </row>
    <row r="2413" spans="1:28" x14ac:dyDescent="0.35">
      <c r="A2413" s="36"/>
      <c r="B2413" s="8"/>
      <c r="C2413" s="14" t="s">
        <v>429</v>
      </c>
      <c r="D2413" s="21" t="s">
        <v>128</v>
      </c>
      <c r="E2413" s="11">
        <f>1600000+1411822.02</f>
        <v>3011822.02</v>
      </c>
      <c r="F2413" s="11">
        <f>953124+1411822.02</f>
        <v>2364946.02</v>
      </c>
      <c r="G2413" s="8"/>
      <c r="H2413" s="9">
        <f>+F2413+G2413</f>
        <v>2364946.02</v>
      </c>
      <c r="I2413" s="8"/>
      <c r="J2413" s="8"/>
      <c r="K2413" s="8"/>
      <c r="L2413" s="9"/>
      <c r="M2413" s="9">
        <f t="shared" si="464"/>
        <v>2364946.02</v>
      </c>
      <c r="N2413" s="11">
        <v>0</v>
      </c>
      <c r="O2413" s="8"/>
      <c r="P2413" s="9">
        <f t="shared" si="465"/>
        <v>0</v>
      </c>
      <c r="Q2413" s="8"/>
      <c r="R2413" s="8"/>
      <c r="S2413" s="8"/>
      <c r="T2413" s="9"/>
      <c r="U2413" s="9">
        <f t="shared" si="466"/>
        <v>0</v>
      </c>
      <c r="V2413" s="9">
        <f t="shared" si="467"/>
        <v>2364946.02</v>
      </c>
      <c r="W2413" s="9">
        <f t="shared" si="468"/>
        <v>646876</v>
      </c>
      <c r="X2413" s="9">
        <f t="shared" si="469"/>
        <v>2364946.02</v>
      </c>
      <c r="Y2413" s="8"/>
      <c r="Z2413" s="9">
        <f t="shared" si="470"/>
        <v>646876</v>
      </c>
      <c r="AA2413" s="8">
        <f t="shared" si="471"/>
        <v>2364946.02</v>
      </c>
      <c r="AB2413" s="8">
        <f t="shared" si="472"/>
        <v>646876</v>
      </c>
    </row>
    <row r="2414" spans="1:28" x14ac:dyDescent="0.35">
      <c r="A2414" s="36"/>
      <c r="B2414" s="8"/>
      <c r="C2414" s="14" t="s">
        <v>430</v>
      </c>
      <c r="D2414" s="21" t="s">
        <v>128</v>
      </c>
      <c r="E2414" s="11">
        <v>3000000</v>
      </c>
      <c r="F2414" s="11">
        <v>3000000</v>
      </c>
      <c r="G2414" s="8"/>
      <c r="H2414" s="9">
        <f t="shared" si="463"/>
        <v>3000000</v>
      </c>
      <c r="I2414" s="8"/>
      <c r="J2414" s="8"/>
      <c r="K2414" s="8"/>
      <c r="L2414" s="9"/>
      <c r="M2414" s="9">
        <f t="shared" si="464"/>
        <v>3000000</v>
      </c>
      <c r="N2414" s="11">
        <v>0</v>
      </c>
      <c r="O2414" s="8"/>
      <c r="P2414" s="9">
        <f t="shared" si="465"/>
        <v>0</v>
      </c>
      <c r="Q2414" s="8"/>
      <c r="R2414" s="8"/>
      <c r="S2414" s="8"/>
      <c r="T2414" s="9"/>
      <c r="U2414" s="9">
        <f t="shared" si="466"/>
        <v>0</v>
      </c>
      <c r="V2414" s="9">
        <f t="shared" si="467"/>
        <v>3000000</v>
      </c>
      <c r="W2414" s="9">
        <f t="shared" si="468"/>
        <v>0</v>
      </c>
      <c r="X2414" s="9">
        <f t="shared" si="469"/>
        <v>3000000</v>
      </c>
      <c r="Y2414" s="8"/>
      <c r="Z2414" s="9">
        <f t="shared" si="470"/>
        <v>0</v>
      </c>
      <c r="AA2414" s="8">
        <f t="shared" si="471"/>
        <v>3000000</v>
      </c>
      <c r="AB2414" s="8">
        <f t="shared" si="472"/>
        <v>0</v>
      </c>
    </row>
    <row r="2415" spans="1:28" x14ac:dyDescent="0.35">
      <c r="A2415" s="36"/>
      <c r="B2415" s="8"/>
      <c r="C2415" s="14" t="s">
        <v>431</v>
      </c>
      <c r="D2415" s="21" t="s">
        <v>128</v>
      </c>
      <c r="E2415" s="11">
        <v>800000</v>
      </c>
      <c r="F2415" s="11">
        <v>800000</v>
      </c>
      <c r="G2415" s="8"/>
      <c r="H2415" s="9">
        <f t="shared" si="463"/>
        <v>800000</v>
      </c>
      <c r="I2415" s="8"/>
      <c r="J2415" s="8"/>
      <c r="K2415" s="8"/>
      <c r="L2415" s="9"/>
      <c r="M2415" s="9">
        <f t="shared" si="464"/>
        <v>800000</v>
      </c>
      <c r="N2415" s="11">
        <v>0</v>
      </c>
      <c r="O2415" s="8"/>
      <c r="P2415" s="9">
        <f t="shared" si="465"/>
        <v>0</v>
      </c>
      <c r="Q2415" s="8"/>
      <c r="R2415" s="8"/>
      <c r="S2415" s="8"/>
      <c r="T2415" s="9"/>
      <c r="U2415" s="9">
        <f t="shared" si="466"/>
        <v>0</v>
      </c>
      <c r="V2415" s="9">
        <f t="shared" si="467"/>
        <v>800000</v>
      </c>
      <c r="W2415" s="9">
        <f t="shared" si="468"/>
        <v>0</v>
      </c>
      <c r="X2415" s="9">
        <f t="shared" si="469"/>
        <v>800000</v>
      </c>
      <c r="Y2415" s="8"/>
      <c r="Z2415" s="9">
        <f t="shared" si="470"/>
        <v>0</v>
      </c>
      <c r="AA2415" s="8">
        <f t="shared" si="471"/>
        <v>800000</v>
      </c>
      <c r="AB2415" s="8">
        <f t="shared" si="472"/>
        <v>0</v>
      </c>
    </row>
    <row r="2416" spans="1:28" x14ac:dyDescent="0.35">
      <c r="A2416" s="36"/>
      <c r="B2416" s="8"/>
      <c r="C2416" s="14" t="s">
        <v>432</v>
      </c>
      <c r="D2416" s="21" t="s">
        <v>128</v>
      </c>
      <c r="E2416" s="11">
        <v>1681139</v>
      </c>
      <c r="F2416" s="11">
        <v>1681139</v>
      </c>
      <c r="G2416" s="8"/>
      <c r="H2416" s="9">
        <f t="shared" si="463"/>
        <v>1681139</v>
      </c>
      <c r="I2416" s="8"/>
      <c r="J2416" s="8"/>
      <c r="K2416" s="8"/>
      <c r="L2416" s="9"/>
      <c r="M2416" s="9">
        <f t="shared" si="464"/>
        <v>1681139</v>
      </c>
      <c r="N2416" s="11">
        <v>0</v>
      </c>
      <c r="O2416" s="8"/>
      <c r="P2416" s="9">
        <f t="shared" si="465"/>
        <v>0</v>
      </c>
      <c r="Q2416" s="8"/>
      <c r="R2416" s="8"/>
      <c r="S2416" s="8"/>
      <c r="T2416" s="9"/>
      <c r="U2416" s="9">
        <f t="shared" si="466"/>
        <v>0</v>
      </c>
      <c r="V2416" s="9">
        <f t="shared" si="467"/>
        <v>1681139</v>
      </c>
      <c r="W2416" s="9">
        <f t="shared" si="468"/>
        <v>0</v>
      </c>
      <c r="X2416" s="9">
        <f t="shared" si="469"/>
        <v>1681139</v>
      </c>
      <c r="Y2416" s="8"/>
      <c r="Z2416" s="9">
        <f t="shared" si="470"/>
        <v>0</v>
      </c>
      <c r="AA2416" s="8">
        <f t="shared" si="471"/>
        <v>1681139</v>
      </c>
      <c r="AB2416" s="8">
        <f t="shared" si="472"/>
        <v>0</v>
      </c>
    </row>
    <row r="2417" spans="1:28" x14ac:dyDescent="0.35">
      <c r="A2417" s="36"/>
      <c r="B2417" s="8"/>
      <c r="C2417" s="14" t="s">
        <v>143</v>
      </c>
      <c r="D2417" s="21" t="s">
        <v>60</v>
      </c>
      <c r="E2417" s="11">
        <v>7924290.5700000003</v>
      </c>
      <c r="F2417" s="11">
        <v>7924290.5700000003</v>
      </c>
      <c r="G2417" s="8"/>
      <c r="H2417" s="9">
        <f t="shared" si="463"/>
        <v>7924290.5700000003</v>
      </c>
      <c r="I2417" s="8"/>
      <c r="J2417" s="8"/>
      <c r="K2417" s="8"/>
      <c r="L2417" s="9"/>
      <c r="M2417" s="9">
        <f t="shared" si="464"/>
        <v>7924290.5700000003</v>
      </c>
      <c r="N2417" s="11">
        <v>0</v>
      </c>
      <c r="O2417" s="8"/>
      <c r="P2417" s="9">
        <f t="shared" si="465"/>
        <v>0</v>
      </c>
      <c r="Q2417" s="8"/>
      <c r="R2417" s="8"/>
      <c r="S2417" s="8"/>
      <c r="T2417" s="9"/>
      <c r="U2417" s="9">
        <f t="shared" si="466"/>
        <v>0</v>
      </c>
      <c r="V2417" s="9">
        <f t="shared" si="467"/>
        <v>7924290.5700000003</v>
      </c>
      <c r="W2417" s="9">
        <f t="shared" si="468"/>
        <v>0</v>
      </c>
      <c r="X2417" s="9">
        <f t="shared" si="469"/>
        <v>7924290.5700000003</v>
      </c>
      <c r="Y2417" s="8"/>
      <c r="Z2417" s="9">
        <f t="shared" si="470"/>
        <v>0</v>
      </c>
      <c r="AA2417" s="8">
        <f t="shared" si="471"/>
        <v>7924290.5700000003</v>
      </c>
      <c r="AB2417" s="8">
        <f t="shared" si="472"/>
        <v>0</v>
      </c>
    </row>
    <row r="2418" spans="1:28" x14ac:dyDescent="0.35">
      <c r="A2418" s="36"/>
      <c r="B2418" s="8"/>
      <c r="C2418" s="14" t="s">
        <v>143</v>
      </c>
      <c r="D2418" s="21" t="s">
        <v>73</v>
      </c>
      <c r="E2418" s="11">
        <f>8485708.01+2401551.72+2121733</f>
        <v>13008992.73</v>
      </c>
      <c r="F2418" s="11">
        <f>8485708.01+2401551.72+2121733</f>
        <v>13008992.73</v>
      </c>
      <c r="G2418" s="8"/>
      <c r="H2418" s="9">
        <f t="shared" si="463"/>
        <v>13008992.73</v>
      </c>
      <c r="I2418" s="11"/>
      <c r="J2418" s="8"/>
      <c r="K2418" s="11"/>
      <c r="L2418" s="9"/>
      <c r="M2418" s="9">
        <f t="shared" si="464"/>
        <v>13008992.73</v>
      </c>
      <c r="N2418" s="11">
        <v>0</v>
      </c>
      <c r="O2418" s="8"/>
      <c r="P2418" s="9">
        <f t="shared" si="465"/>
        <v>0</v>
      </c>
      <c r="Q2418" s="8"/>
      <c r="R2418" s="8"/>
      <c r="S2418" s="8"/>
      <c r="T2418" s="9"/>
      <c r="U2418" s="9">
        <f t="shared" si="466"/>
        <v>0</v>
      </c>
      <c r="V2418" s="9">
        <f t="shared" si="467"/>
        <v>13008992.73</v>
      </c>
      <c r="W2418" s="9">
        <f t="shared" si="468"/>
        <v>0</v>
      </c>
      <c r="X2418" s="9">
        <f t="shared" si="469"/>
        <v>13008992.73</v>
      </c>
      <c r="Y2418" s="8"/>
      <c r="Z2418" s="9">
        <f t="shared" si="470"/>
        <v>0</v>
      </c>
      <c r="AA2418" s="8">
        <f t="shared" si="471"/>
        <v>13008992.73</v>
      </c>
      <c r="AB2418" s="8">
        <f t="shared" si="472"/>
        <v>0</v>
      </c>
    </row>
    <row r="2419" spans="1:28" x14ac:dyDescent="0.35">
      <c r="A2419" s="36"/>
      <c r="B2419" s="8"/>
      <c r="C2419" s="14" t="s">
        <v>415</v>
      </c>
      <c r="D2419" s="21" t="s">
        <v>194</v>
      </c>
      <c r="E2419" s="11">
        <v>911000</v>
      </c>
      <c r="F2419" s="8">
        <v>911000</v>
      </c>
      <c r="G2419" s="8"/>
      <c r="H2419" s="9">
        <f t="shared" si="463"/>
        <v>911000</v>
      </c>
      <c r="I2419" s="11"/>
      <c r="J2419" s="8"/>
      <c r="K2419" s="11"/>
      <c r="L2419" s="9"/>
      <c r="M2419" s="9">
        <f t="shared" si="464"/>
        <v>911000</v>
      </c>
      <c r="N2419" s="11">
        <v>0</v>
      </c>
      <c r="O2419" s="8"/>
      <c r="P2419" s="9">
        <f t="shared" si="465"/>
        <v>0</v>
      </c>
      <c r="Q2419" s="8"/>
      <c r="R2419" s="8"/>
      <c r="S2419" s="8"/>
      <c r="T2419" s="9"/>
      <c r="U2419" s="9">
        <f t="shared" si="466"/>
        <v>0</v>
      </c>
      <c r="V2419" s="9">
        <f t="shared" si="467"/>
        <v>911000</v>
      </c>
      <c r="W2419" s="9">
        <f t="shared" si="468"/>
        <v>0</v>
      </c>
      <c r="X2419" s="9">
        <f t="shared" si="469"/>
        <v>911000</v>
      </c>
      <c r="Y2419" s="8"/>
      <c r="Z2419" s="9">
        <f t="shared" si="470"/>
        <v>0</v>
      </c>
      <c r="AA2419" s="8">
        <f t="shared" si="471"/>
        <v>911000</v>
      </c>
      <c r="AB2419" s="8">
        <f t="shared" si="472"/>
        <v>0</v>
      </c>
    </row>
    <row r="2420" spans="1:28" x14ac:dyDescent="0.35">
      <c r="A2420" s="36"/>
      <c r="B2420" s="8"/>
      <c r="C2420" s="14" t="s">
        <v>930</v>
      </c>
      <c r="D2420" s="24" t="s">
        <v>1072</v>
      </c>
      <c r="E2420" s="11">
        <v>12440261.51</v>
      </c>
      <c r="F2420" s="8">
        <v>12440261.51</v>
      </c>
      <c r="G2420" s="8"/>
      <c r="H2420" s="9">
        <f>+F2420+G2420</f>
        <v>12440261.51</v>
      </c>
      <c r="I2420" s="11"/>
      <c r="J2420" s="8"/>
      <c r="K2420" s="11"/>
      <c r="L2420" s="9"/>
      <c r="M2420" s="9">
        <f t="shared" si="464"/>
        <v>12440261.51</v>
      </c>
      <c r="N2420" s="11">
        <v>0</v>
      </c>
      <c r="O2420" s="8"/>
      <c r="P2420" s="9">
        <f t="shared" si="465"/>
        <v>0</v>
      </c>
      <c r="Q2420" s="8"/>
      <c r="R2420" s="8"/>
      <c r="S2420" s="8"/>
      <c r="T2420" s="9"/>
      <c r="U2420" s="9">
        <f t="shared" si="466"/>
        <v>0</v>
      </c>
      <c r="V2420" s="9">
        <f t="shared" si="467"/>
        <v>12440261.51</v>
      </c>
      <c r="W2420" s="9">
        <f t="shared" si="468"/>
        <v>0</v>
      </c>
      <c r="X2420" s="9">
        <f t="shared" si="469"/>
        <v>12440261.51</v>
      </c>
      <c r="Y2420" s="8"/>
      <c r="Z2420" s="9">
        <f t="shared" si="470"/>
        <v>0</v>
      </c>
      <c r="AA2420" s="8">
        <f t="shared" si="471"/>
        <v>12440261.51</v>
      </c>
      <c r="AB2420" s="8">
        <f t="shared" si="472"/>
        <v>0</v>
      </c>
    </row>
    <row r="2421" spans="1:28" x14ac:dyDescent="0.35">
      <c r="A2421" s="36"/>
      <c r="B2421" s="8"/>
      <c r="C2421" s="14" t="s">
        <v>433</v>
      </c>
      <c r="D2421" s="8"/>
      <c r="E2421" s="11">
        <v>3845305</v>
      </c>
      <c r="F2421" s="11">
        <v>3845305</v>
      </c>
      <c r="G2421" s="8"/>
      <c r="H2421" s="9">
        <f t="shared" si="463"/>
        <v>3845305</v>
      </c>
      <c r="I2421" s="8"/>
      <c r="J2421" s="8"/>
      <c r="K2421" s="8"/>
      <c r="L2421" s="9"/>
      <c r="M2421" s="9">
        <f t="shared" si="464"/>
        <v>3845305</v>
      </c>
      <c r="N2421" s="11">
        <v>0</v>
      </c>
      <c r="O2421" s="8"/>
      <c r="P2421" s="9">
        <f t="shared" si="465"/>
        <v>0</v>
      </c>
      <c r="Q2421" s="8"/>
      <c r="R2421" s="8"/>
      <c r="S2421" s="8"/>
      <c r="T2421" s="9"/>
      <c r="U2421" s="9">
        <f t="shared" si="466"/>
        <v>0</v>
      </c>
      <c r="V2421" s="9">
        <f t="shared" si="467"/>
        <v>3845305</v>
      </c>
      <c r="W2421" s="9">
        <f t="shared" si="468"/>
        <v>0</v>
      </c>
      <c r="X2421" s="9">
        <f t="shared" si="469"/>
        <v>3845305</v>
      </c>
      <c r="Y2421" s="8"/>
      <c r="Z2421" s="9">
        <f t="shared" si="470"/>
        <v>0</v>
      </c>
      <c r="AA2421" s="8">
        <f t="shared" si="471"/>
        <v>3845305</v>
      </c>
      <c r="AB2421" s="8">
        <f t="shared" si="472"/>
        <v>0</v>
      </c>
    </row>
    <row r="2422" spans="1:28" x14ac:dyDescent="0.35">
      <c r="A2422" s="36"/>
      <c r="B2422" s="8"/>
      <c r="C2422" s="14" t="s">
        <v>434</v>
      </c>
      <c r="D2422" s="8"/>
      <c r="E2422" s="11">
        <v>349393</v>
      </c>
      <c r="F2422" s="11">
        <v>349393</v>
      </c>
      <c r="G2422" s="8"/>
      <c r="H2422" s="9">
        <f t="shared" si="463"/>
        <v>349393</v>
      </c>
      <c r="I2422" s="8"/>
      <c r="J2422" s="8"/>
      <c r="K2422" s="8"/>
      <c r="L2422" s="9"/>
      <c r="M2422" s="9">
        <f t="shared" si="464"/>
        <v>349393</v>
      </c>
      <c r="N2422" s="11">
        <v>0</v>
      </c>
      <c r="O2422" s="8"/>
      <c r="P2422" s="9">
        <f t="shared" si="465"/>
        <v>0</v>
      </c>
      <c r="Q2422" s="8"/>
      <c r="R2422" s="8"/>
      <c r="S2422" s="8"/>
      <c r="T2422" s="9"/>
      <c r="U2422" s="9">
        <f t="shared" si="466"/>
        <v>0</v>
      </c>
      <c r="V2422" s="9">
        <f t="shared" si="467"/>
        <v>349393</v>
      </c>
      <c r="W2422" s="9">
        <f t="shared" si="468"/>
        <v>0</v>
      </c>
      <c r="X2422" s="9">
        <f t="shared" si="469"/>
        <v>349393</v>
      </c>
      <c r="Y2422" s="8"/>
      <c r="Z2422" s="9">
        <f t="shared" si="470"/>
        <v>0</v>
      </c>
      <c r="AA2422" s="8">
        <f t="shared" si="471"/>
        <v>349393</v>
      </c>
      <c r="AB2422" s="8">
        <f t="shared" si="472"/>
        <v>0</v>
      </c>
    </row>
    <row r="2423" spans="1:28" x14ac:dyDescent="0.35">
      <c r="A2423" s="36"/>
      <c r="B2423" s="8"/>
      <c r="C2423" s="14" t="s">
        <v>435</v>
      </c>
      <c r="D2423" s="8"/>
      <c r="E2423" s="11">
        <v>835137</v>
      </c>
      <c r="F2423" s="11">
        <v>835137</v>
      </c>
      <c r="G2423" s="8"/>
      <c r="H2423" s="9">
        <f t="shared" si="463"/>
        <v>835137</v>
      </c>
      <c r="I2423" s="8"/>
      <c r="J2423" s="8"/>
      <c r="K2423" s="8"/>
      <c r="L2423" s="9"/>
      <c r="M2423" s="9">
        <f t="shared" si="464"/>
        <v>835137</v>
      </c>
      <c r="N2423" s="11">
        <v>0</v>
      </c>
      <c r="O2423" s="8"/>
      <c r="P2423" s="9">
        <f t="shared" si="465"/>
        <v>0</v>
      </c>
      <c r="Q2423" s="8"/>
      <c r="R2423" s="8"/>
      <c r="S2423" s="8"/>
      <c r="T2423" s="9"/>
      <c r="U2423" s="9">
        <f t="shared" si="466"/>
        <v>0</v>
      </c>
      <c r="V2423" s="9">
        <f t="shared" si="467"/>
        <v>835137</v>
      </c>
      <c r="W2423" s="9">
        <f t="shared" si="468"/>
        <v>0</v>
      </c>
      <c r="X2423" s="9">
        <f t="shared" si="469"/>
        <v>835137</v>
      </c>
      <c r="Y2423" s="8"/>
      <c r="Z2423" s="9">
        <f t="shared" si="470"/>
        <v>0</v>
      </c>
      <c r="AA2423" s="8">
        <f t="shared" si="471"/>
        <v>835137</v>
      </c>
      <c r="AB2423" s="8">
        <f t="shared" si="472"/>
        <v>0</v>
      </c>
    </row>
    <row r="2424" spans="1:28" x14ac:dyDescent="0.35">
      <c r="A2424" s="36"/>
      <c r="B2424" s="8"/>
      <c r="C2424" s="14" t="s">
        <v>419</v>
      </c>
      <c r="D2424" s="8"/>
      <c r="E2424" s="11">
        <v>150894.20000000001</v>
      </c>
      <c r="F2424" s="11">
        <v>150894.20000000001</v>
      </c>
      <c r="G2424" s="8"/>
      <c r="H2424" s="9">
        <f t="shared" si="463"/>
        <v>150894.20000000001</v>
      </c>
      <c r="I2424" s="8"/>
      <c r="J2424" s="8"/>
      <c r="K2424" s="8"/>
      <c r="L2424" s="9"/>
      <c r="M2424" s="9">
        <f t="shared" si="464"/>
        <v>150894.20000000001</v>
      </c>
      <c r="N2424" s="11">
        <v>0</v>
      </c>
      <c r="O2424" s="8"/>
      <c r="P2424" s="9">
        <f t="shared" si="465"/>
        <v>0</v>
      </c>
      <c r="Q2424" s="8"/>
      <c r="R2424" s="8"/>
      <c r="S2424" s="8"/>
      <c r="T2424" s="9"/>
      <c r="U2424" s="9">
        <f t="shared" si="466"/>
        <v>0</v>
      </c>
      <c r="V2424" s="9">
        <f t="shared" si="467"/>
        <v>150894.20000000001</v>
      </c>
      <c r="W2424" s="9">
        <f t="shared" si="468"/>
        <v>0</v>
      </c>
      <c r="X2424" s="9">
        <f t="shared" si="469"/>
        <v>150894.20000000001</v>
      </c>
      <c r="Y2424" s="8"/>
      <c r="Z2424" s="9">
        <f t="shared" si="470"/>
        <v>0</v>
      </c>
      <c r="AA2424" s="8">
        <f t="shared" si="471"/>
        <v>150894.20000000001</v>
      </c>
      <c r="AB2424" s="8">
        <f t="shared" si="472"/>
        <v>0</v>
      </c>
    </row>
    <row r="2425" spans="1:28" x14ac:dyDescent="0.35">
      <c r="A2425" s="36"/>
      <c r="B2425" s="8"/>
      <c r="C2425" s="14" t="s">
        <v>109</v>
      </c>
      <c r="D2425" s="8"/>
      <c r="E2425" s="11">
        <v>7500000</v>
      </c>
      <c r="F2425" s="11">
        <v>7500000</v>
      </c>
      <c r="G2425" s="8"/>
      <c r="H2425" s="9">
        <f t="shared" si="463"/>
        <v>7500000</v>
      </c>
      <c r="I2425" s="8"/>
      <c r="J2425" s="8"/>
      <c r="K2425" s="8"/>
      <c r="L2425" s="9"/>
      <c r="M2425" s="9">
        <f t="shared" si="464"/>
        <v>7500000</v>
      </c>
      <c r="N2425" s="11">
        <v>0</v>
      </c>
      <c r="O2425" s="8"/>
      <c r="P2425" s="9">
        <f t="shared" si="465"/>
        <v>0</v>
      </c>
      <c r="Q2425" s="8"/>
      <c r="R2425" s="8"/>
      <c r="S2425" s="8"/>
      <c r="T2425" s="9"/>
      <c r="U2425" s="9">
        <f t="shared" si="466"/>
        <v>0</v>
      </c>
      <c r="V2425" s="9">
        <f t="shared" si="467"/>
        <v>7500000</v>
      </c>
      <c r="W2425" s="9">
        <f t="shared" si="468"/>
        <v>0</v>
      </c>
      <c r="X2425" s="9">
        <f t="shared" si="469"/>
        <v>7500000</v>
      </c>
      <c r="Y2425" s="8"/>
      <c r="Z2425" s="9">
        <f t="shared" si="470"/>
        <v>0</v>
      </c>
      <c r="AA2425" s="8">
        <f t="shared" si="471"/>
        <v>7500000</v>
      </c>
      <c r="AB2425" s="8">
        <f t="shared" si="472"/>
        <v>0</v>
      </c>
    </row>
    <row r="2426" spans="1:28" x14ac:dyDescent="0.35">
      <c r="A2426" s="36"/>
      <c r="B2426" s="8"/>
      <c r="C2426" s="14" t="s">
        <v>143</v>
      </c>
      <c r="D2426" s="23" t="s">
        <v>61</v>
      </c>
      <c r="E2426" s="11">
        <f>16551959.37+299885.27</f>
        <v>16851844.640000001</v>
      </c>
      <c r="F2426" s="8">
        <v>16551959.369999999</v>
      </c>
      <c r="G2426" s="8"/>
      <c r="H2426" s="9">
        <f t="shared" si="463"/>
        <v>16551959.369999999</v>
      </c>
      <c r="I2426" s="8"/>
      <c r="J2426" s="8"/>
      <c r="K2426" s="8"/>
      <c r="L2426" s="9"/>
      <c r="M2426" s="9">
        <f t="shared" si="464"/>
        <v>16551959.369999999</v>
      </c>
      <c r="N2426" s="11">
        <v>0</v>
      </c>
      <c r="O2426" s="8"/>
      <c r="P2426" s="9">
        <f t="shared" si="465"/>
        <v>0</v>
      </c>
      <c r="Q2426" s="8">
        <v>299885.27</v>
      </c>
      <c r="R2426" s="8"/>
      <c r="S2426" s="8"/>
      <c r="T2426" s="9">
        <v>299885.27</v>
      </c>
      <c r="U2426" s="9">
        <f t="shared" si="466"/>
        <v>299885.27</v>
      </c>
      <c r="V2426" s="9">
        <f t="shared" si="467"/>
        <v>16551959.369999999</v>
      </c>
      <c r="W2426" s="9">
        <f t="shared" si="468"/>
        <v>299885.27000000142</v>
      </c>
      <c r="X2426" s="9">
        <f t="shared" si="469"/>
        <v>16551959.369999999</v>
      </c>
      <c r="Y2426" s="8"/>
      <c r="Z2426" s="9">
        <f t="shared" si="470"/>
        <v>299885.27000000142</v>
      </c>
      <c r="AA2426" s="8">
        <f t="shared" si="471"/>
        <v>16851844.640000001</v>
      </c>
      <c r="AB2426" s="8">
        <f t="shared" si="472"/>
        <v>0</v>
      </c>
    </row>
    <row r="2427" spans="1:28" x14ac:dyDescent="0.35">
      <c r="A2427" s="36"/>
      <c r="B2427" s="8"/>
      <c r="C2427" s="8"/>
      <c r="D2427" s="8"/>
      <c r="E2427" s="26" t="s">
        <v>29</v>
      </c>
      <c r="F2427" s="26" t="s">
        <v>29</v>
      </c>
      <c r="G2427" s="26" t="s">
        <v>29</v>
      </c>
      <c r="H2427" s="26" t="s">
        <v>29</v>
      </c>
      <c r="I2427" s="26" t="s">
        <v>29</v>
      </c>
      <c r="J2427" s="26" t="s">
        <v>29</v>
      </c>
      <c r="K2427" s="26" t="s">
        <v>29</v>
      </c>
      <c r="L2427" s="26" t="s">
        <v>29</v>
      </c>
      <c r="M2427" s="26" t="s">
        <v>29</v>
      </c>
      <c r="N2427" s="26" t="s">
        <v>29</v>
      </c>
      <c r="O2427" s="26" t="s">
        <v>29</v>
      </c>
      <c r="P2427" s="26" t="s">
        <v>29</v>
      </c>
      <c r="Q2427" s="26" t="s">
        <v>29</v>
      </c>
      <c r="R2427" s="26" t="s">
        <v>29</v>
      </c>
      <c r="S2427" s="26" t="s">
        <v>29</v>
      </c>
      <c r="T2427" s="26" t="s">
        <v>29</v>
      </c>
      <c r="U2427" s="26" t="s">
        <v>29</v>
      </c>
      <c r="V2427" s="26" t="s">
        <v>29</v>
      </c>
      <c r="W2427" s="26" t="s">
        <v>29</v>
      </c>
      <c r="X2427" s="26" t="s">
        <v>29</v>
      </c>
      <c r="Y2427" s="26" t="s">
        <v>29</v>
      </c>
      <c r="Z2427" s="26" t="s">
        <v>29</v>
      </c>
      <c r="AA2427" s="17" t="s">
        <v>29</v>
      </c>
      <c r="AB2427" s="17" t="s">
        <v>29</v>
      </c>
    </row>
    <row r="2428" spans="1:28" x14ac:dyDescent="0.35">
      <c r="A2428" s="36"/>
      <c r="B2428" s="8"/>
      <c r="C2428" s="8"/>
      <c r="D2428" s="8"/>
      <c r="E2428" s="11">
        <f t="shared" ref="E2428:AB2428" si="473">SUM(E2406:E2426)</f>
        <v>95943180.460000008</v>
      </c>
      <c r="F2428" s="11">
        <f t="shared" si="473"/>
        <v>88273966.900000006</v>
      </c>
      <c r="G2428" s="11">
        <f t="shared" si="473"/>
        <v>0</v>
      </c>
      <c r="H2428" s="11">
        <f t="shared" si="473"/>
        <v>88273966.900000006</v>
      </c>
      <c r="I2428" s="11">
        <f t="shared" si="473"/>
        <v>0</v>
      </c>
      <c r="J2428" s="11">
        <f t="shared" si="473"/>
        <v>0</v>
      </c>
      <c r="K2428" s="11">
        <f t="shared" si="473"/>
        <v>0</v>
      </c>
      <c r="L2428" s="11">
        <f t="shared" si="473"/>
        <v>0</v>
      </c>
      <c r="M2428" s="11">
        <f t="shared" si="473"/>
        <v>88273966.900000006</v>
      </c>
      <c r="N2428" s="11">
        <f t="shared" si="473"/>
        <v>6722452.29</v>
      </c>
      <c r="O2428" s="11">
        <f t="shared" si="473"/>
        <v>0</v>
      </c>
      <c r="P2428" s="11">
        <f t="shared" si="473"/>
        <v>6722452.29</v>
      </c>
      <c r="Q2428" s="11">
        <f t="shared" si="473"/>
        <v>299885.27</v>
      </c>
      <c r="R2428" s="11">
        <f t="shared" si="473"/>
        <v>0</v>
      </c>
      <c r="S2428" s="11">
        <f t="shared" si="473"/>
        <v>0</v>
      </c>
      <c r="T2428" s="11">
        <f t="shared" si="473"/>
        <v>299885.27</v>
      </c>
      <c r="U2428" s="11">
        <f t="shared" si="473"/>
        <v>7022337.5600000005</v>
      </c>
      <c r="V2428" s="11">
        <f t="shared" si="473"/>
        <v>94996419.190000013</v>
      </c>
      <c r="W2428" s="11">
        <f t="shared" si="473"/>
        <v>946761.27000000142</v>
      </c>
      <c r="X2428" s="11">
        <f t="shared" si="473"/>
        <v>94996419.190000013</v>
      </c>
      <c r="Y2428" s="11">
        <f t="shared" si="473"/>
        <v>0</v>
      </c>
      <c r="Z2428" s="11">
        <f t="shared" si="473"/>
        <v>946761.27000000142</v>
      </c>
      <c r="AA2428" s="11">
        <f t="shared" si="473"/>
        <v>95296304.460000008</v>
      </c>
      <c r="AB2428" s="11">
        <f t="shared" si="473"/>
        <v>646876</v>
      </c>
    </row>
    <row r="2429" spans="1:28" x14ac:dyDescent="0.35">
      <c r="A2429" s="36"/>
      <c r="B2429" s="8"/>
      <c r="C2429" s="8"/>
      <c r="D2429" s="8"/>
      <c r="E2429" s="26" t="s">
        <v>29</v>
      </c>
      <c r="F2429" s="26" t="s">
        <v>29</v>
      </c>
      <c r="G2429" s="26" t="s">
        <v>29</v>
      </c>
      <c r="H2429" s="26" t="s">
        <v>29</v>
      </c>
      <c r="I2429" s="26" t="s">
        <v>29</v>
      </c>
      <c r="J2429" s="26" t="s">
        <v>29</v>
      </c>
      <c r="K2429" s="26" t="s">
        <v>29</v>
      </c>
      <c r="L2429" s="26" t="s">
        <v>29</v>
      </c>
      <c r="M2429" s="26" t="s">
        <v>29</v>
      </c>
      <c r="N2429" s="26" t="s">
        <v>29</v>
      </c>
      <c r="O2429" s="26" t="s">
        <v>29</v>
      </c>
      <c r="P2429" s="26" t="s">
        <v>29</v>
      </c>
      <c r="Q2429" s="26" t="s">
        <v>29</v>
      </c>
      <c r="R2429" s="26" t="s">
        <v>29</v>
      </c>
      <c r="S2429" s="26" t="s">
        <v>29</v>
      </c>
      <c r="T2429" s="26" t="s">
        <v>29</v>
      </c>
      <c r="U2429" s="26" t="s">
        <v>29</v>
      </c>
      <c r="V2429" s="26" t="s">
        <v>29</v>
      </c>
      <c r="W2429" s="26" t="s">
        <v>29</v>
      </c>
      <c r="X2429" s="26" t="s">
        <v>29</v>
      </c>
      <c r="Y2429" s="26" t="s">
        <v>29</v>
      </c>
      <c r="Z2429" s="26" t="s">
        <v>29</v>
      </c>
      <c r="AA2429" s="17" t="s">
        <v>29</v>
      </c>
      <c r="AB2429" s="17" t="s">
        <v>29</v>
      </c>
    </row>
    <row r="2430" spans="1:28" x14ac:dyDescent="0.35">
      <c r="A2430" s="36"/>
      <c r="B2430" s="8"/>
      <c r="C2430" s="7" t="s">
        <v>436</v>
      </c>
      <c r="D2430" s="8"/>
      <c r="E2430" s="9">
        <f t="shared" ref="E2430:AB2430" si="474">E2338+E2356+E2367+E2382+E2400+E2403+E2428</f>
        <v>387844927.95000005</v>
      </c>
      <c r="F2430" s="9">
        <f t="shared" si="474"/>
        <v>350539803.22000003</v>
      </c>
      <c r="G2430" s="9">
        <f t="shared" si="474"/>
        <v>0</v>
      </c>
      <c r="H2430" s="9">
        <f t="shared" si="474"/>
        <v>350539803.22000003</v>
      </c>
      <c r="I2430" s="9">
        <f t="shared" si="474"/>
        <v>29651254.550000001</v>
      </c>
      <c r="J2430" s="9">
        <f t="shared" si="474"/>
        <v>21451583.550000001</v>
      </c>
      <c r="K2430" s="9">
        <f t="shared" si="474"/>
        <v>0</v>
      </c>
      <c r="L2430" s="9">
        <f t="shared" si="474"/>
        <v>0</v>
      </c>
      <c r="M2430" s="9">
        <f t="shared" si="474"/>
        <v>350539803.22000003</v>
      </c>
      <c r="N2430" s="9">
        <f t="shared" si="474"/>
        <v>23942951.48</v>
      </c>
      <c r="O2430" s="9">
        <f t="shared" si="474"/>
        <v>0</v>
      </c>
      <c r="P2430" s="9">
        <f t="shared" si="474"/>
        <v>23942951.48</v>
      </c>
      <c r="Q2430" s="9">
        <f t="shared" si="474"/>
        <v>12716329.75</v>
      </c>
      <c r="R2430" s="9">
        <f t="shared" si="474"/>
        <v>1032.5</v>
      </c>
      <c r="S2430" s="9">
        <f t="shared" si="474"/>
        <v>0</v>
      </c>
      <c r="T2430" s="9">
        <f t="shared" si="474"/>
        <v>12715297.25</v>
      </c>
      <c r="U2430" s="9">
        <f t="shared" si="474"/>
        <v>36658248.729999997</v>
      </c>
      <c r="V2430" s="9">
        <f t="shared" si="474"/>
        <v>374482754.69999999</v>
      </c>
      <c r="W2430" s="9">
        <f t="shared" si="474"/>
        <v>13362173.250000002</v>
      </c>
      <c r="X2430" s="9">
        <f t="shared" si="474"/>
        <v>374482754.69999999</v>
      </c>
      <c r="Y2430" s="9">
        <f t="shared" si="474"/>
        <v>0</v>
      </c>
      <c r="Z2430" s="9">
        <f t="shared" si="474"/>
        <v>13362173.250000002</v>
      </c>
      <c r="AA2430" s="9">
        <f t="shared" si="474"/>
        <v>387198051.95000005</v>
      </c>
      <c r="AB2430" s="9">
        <f t="shared" si="474"/>
        <v>646876</v>
      </c>
    </row>
    <row r="2431" spans="1:28" x14ac:dyDescent="0.35">
      <c r="A2431" s="36"/>
      <c r="B2431" s="8"/>
      <c r="C2431" s="8"/>
      <c r="D2431" s="8"/>
      <c r="E2431" s="17" t="s">
        <v>114</v>
      </c>
      <c r="F2431" s="17" t="s">
        <v>114</v>
      </c>
      <c r="G2431" s="17" t="s">
        <v>114</v>
      </c>
      <c r="H2431" s="17" t="s">
        <v>114</v>
      </c>
      <c r="I2431" s="17" t="s">
        <v>114</v>
      </c>
      <c r="J2431" s="17" t="s">
        <v>114</v>
      </c>
      <c r="K2431" s="17" t="s">
        <v>114</v>
      </c>
      <c r="L2431" s="17" t="s">
        <v>114</v>
      </c>
      <c r="M2431" s="17" t="s">
        <v>114</v>
      </c>
      <c r="N2431" s="17" t="s">
        <v>114</v>
      </c>
      <c r="O2431" s="17" t="s">
        <v>114</v>
      </c>
      <c r="P2431" s="17" t="s">
        <v>114</v>
      </c>
      <c r="Q2431" s="17" t="s">
        <v>114</v>
      </c>
      <c r="R2431" s="17" t="s">
        <v>114</v>
      </c>
      <c r="S2431" s="17" t="s">
        <v>114</v>
      </c>
      <c r="T2431" s="17" t="s">
        <v>114</v>
      </c>
      <c r="U2431" s="17" t="s">
        <v>114</v>
      </c>
      <c r="V2431" s="17" t="s">
        <v>114</v>
      </c>
      <c r="W2431" s="17" t="s">
        <v>114</v>
      </c>
      <c r="X2431" s="17" t="s">
        <v>114</v>
      </c>
      <c r="Y2431" s="17" t="s">
        <v>114</v>
      </c>
      <c r="Z2431" s="17" t="s">
        <v>114</v>
      </c>
      <c r="AA2431" s="17" t="s">
        <v>114</v>
      </c>
      <c r="AB2431" s="17" t="s">
        <v>114</v>
      </c>
    </row>
    <row r="2432" spans="1:28" x14ac:dyDescent="0.35">
      <c r="A2432" s="36"/>
      <c r="B2432" s="8"/>
      <c r="C2432" s="8"/>
      <c r="D2432" s="8"/>
      <c r="E2432" s="8"/>
      <c r="F2432" s="8"/>
      <c r="G2432" s="8"/>
      <c r="H2432" s="8"/>
      <c r="I2432" s="8"/>
      <c r="J2432" s="8"/>
      <c r="K2432" s="8"/>
      <c r="L2432" s="8"/>
      <c r="M2432" s="8"/>
      <c r="N2432" s="8"/>
      <c r="O2432" s="8"/>
      <c r="P2432" s="8"/>
      <c r="Q2432" s="8"/>
      <c r="R2432" s="8"/>
      <c r="S2432" s="8"/>
      <c r="T2432" s="8"/>
      <c r="U2432" s="8"/>
      <c r="V2432" s="8"/>
      <c r="W2432" s="8"/>
      <c r="X2432" s="8"/>
      <c r="Y2432" s="8"/>
      <c r="Z2432" s="8"/>
    </row>
    <row r="2433" spans="1:28" x14ac:dyDescent="0.35">
      <c r="A2433" s="36"/>
      <c r="B2433" s="7" t="s">
        <v>437</v>
      </c>
      <c r="C2433" s="8"/>
      <c r="D2433" s="8"/>
      <c r="E2433" s="8"/>
      <c r="F2433" s="8"/>
      <c r="G2433" s="8"/>
      <c r="H2433" s="8"/>
      <c r="I2433" s="8"/>
      <c r="J2433" s="8"/>
      <c r="K2433" s="8"/>
      <c r="L2433" s="8"/>
      <c r="M2433" s="8"/>
      <c r="N2433" s="8"/>
      <c r="O2433" s="8"/>
      <c r="P2433" s="8"/>
      <c r="Q2433" s="8"/>
      <c r="R2433" s="8"/>
      <c r="S2433" s="8"/>
      <c r="T2433" s="8"/>
      <c r="U2433" s="8"/>
      <c r="V2433" s="8"/>
      <c r="W2433" s="8"/>
      <c r="X2433" s="8"/>
      <c r="Y2433" s="8"/>
      <c r="Z2433" s="8"/>
    </row>
    <row r="2434" spans="1:28" x14ac:dyDescent="0.35">
      <c r="A2434" s="36"/>
      <c r="B2434" s="8"/>
      <c r="C2434" s="8"/>
      <c r="D2434" s="8"/>
      <c r="E2434" s="8"/>
      <c r="F2434" s="8"/>
      <c r="G2434" s="8"/>
      <c r="H2434" s="8"/>
      <c r="I2434" s="8"/>
      <c r="J2434" s="8"/>
      <c r="K2434" s="8"/>
      <c r="L2434" s="8"/>
      <c r="M2434" s="8"/>
      <c r="N2434" s="8"/>
      <c r="O2434" s="8"/>
      <c r="P2434" s="8"/>
      <c r="Q2434" s="8"/>
      <c r="R2434" s="8"/>
      <c r="S2434" s="8"/>
      <c r="T2434" s="8"/>
      <c r="U2434" s="8"/>
      <c r="V2434" s="8"/>
      <c r="W2434" s="8"/>
      <c r="X2434" s="8"/>
      <c r="Y2434" s="8"/>
      <c r="Z2434" s="8"/>
    </row>
    <row r="2435" spans="1:28" x14ac:dyDescent="0.35">
      <c r="A2435" s="38" t="s">
        <v>1049</v>
      </c>
      <c r="B2435" s="7" t="s">
        <v>438</v>
      </c>
      <c r="C2435" s="8"/>
      <c r="D2435" s="8"/>
      <c r="E2435" s="8"/>
      <c r="F2435" s="8"/>
      <c r="G2435" s="8"/>
      <c r="H2435" s="8"/>
      <c r="I2435" s="8"/>
      <c r="J2435" s="8"/>
      <c r="K2435" s="8"/>
      <c r="L2435" s="8"/>
      <c r="M2435" s="8"/>
      <c r="N2435" s="8"/>
      <c r="O2435" s="8"/>
      <c r="P2435" s="8"/>
      <c r="Q2435" s="8"/>
      <c r="R2435" s="8"/>
      <c r="S2435" s="8"/>
      <c r="T2435" s="8"/>
      <c r="U2435" s="8"/>
      <c r="V2435" s="8"/>
      <c r="W2435" s="8"/>
      <c r="X2435" s="8"/>
      <c r="Y2435" s="8"/>
      <c r="Z2435" s="8"/>
    </row>
    <row r="2436" spans="1:28" x14ac:dyDescent="0.35">
      <c r="A2436" s="36"/>
      <c r="B2436" s="8"/>
      <c r="C2436" s="7" t="s">
        <v>147</v>
      </c>
      <c r="D2436" s="15" t="s">
        <v>78</v>
      </c>
      <c r="E2436" s="9">
        <v>300000</v>
      </c>
      <c r="F2436" s="9">
        <v>0</v>
      </c>
      <c r="G2436" s="8"/>
      <c r="H2436" s="9">
        <f t="shared" ref="H2436:H2460" si="475">F2436+G2436</f>
        <v>0</v>
      </c>
      <c r="I2436" s="8"/>
      <c r="J2436" s="8"/>
      <c r="K2436" s="8"/>
      <c r="L2436" s="9"/>
      <c r="M2436" s="9">
        <f t="shared" ref="M2436:M2460" si="476">H2436+L2436</f>
        <v>0</v>
      </c>
      <c r="N2436" s="9">
        <v>300000</v>
      </c>
      <c r="O2436" s="8"/>
      <c r="P2436" s="9">
        <f t="shared" ref="P2436:P2460" si="477">N2436+O2436</f>
        <v>300000</v>
      </c>
      <c r="Q2436" s="8"/>
      <c r="R2436" s="8"/>
      <c r="S2436" s="8"/>
      <c r="T2436" s="9"/>
      <c r="U2436" s="9">
        <f t="shared" ref="U2436:U2460" si="478">P2436+T2436</f>
        <v>300000</v>
      </c>
      <c r="V2436" s="9">
        <f t="shared" ref="V2436:V2460" si="479">P2436+H2436</f>
        <v>300000</v>
      </c>
      <c r="W2436" s="9">
        <f t="shared" ref="W2436:W2460" si="480">E2436-V2436</f>
        <v>0</v>
      </c>
      <c r="X2436" s="9">
        <f t="shared" ref="X2436:X2462" si="481">+H2436+P2436</f>
        <v>300000</v>
      </c>
      <c r="Y2436" s="8"/>
      <c r="Z2436" s="9">
        <f t="shared" ref="Z2436:Z2462" si="482">+E2436-X2436</f>
        <v>0</v>
      </c>
      <c r="AA2436" s="8">
        <f t="shared" ref="AA2436:AA2462" si="483">+M2436+U2436</f>
        <v>300000</v>
      </c>
      <c r="AB2436" s="8">
        <f t="shared" ref="AB2436:AB2462" si="484">+E2436-AA2436</f>
        <v>0</v>
      </c>
    </row>
    <row r="2437" spans="1:28" x14ac:dyDescent="0.35">
      <c r="A2437" s="36"/>
      <c r="B2437" s="8"/>
      <c r="C2437" s="7" t="s">
        <v>439</v>
      </c>
      <c r="D2437" s="15" t="s">
        <v>68</v>
      </c>
      <c r="E2437" s="9">
        <v>1000000</v>
      </c>
      <c r="F2437" s="9">
        <v>1000000</v>
      </c>
      <c r="G2437" s="8"/>
      <c r="H2437" s="9">
        <f t="shared" si="475"/>
        <v>1000000</v>
      </c>
      <c r="I2437" s="8"/>
      <c r="J2437" s="8"/>
      <c r="K2437" s="8"/>
      <c r="L2437" s="9"/>
      <c r="M2437" s="9">
        <f t="shared" si="476"/>
        <v>1000000</v>
      </c>
      <c r="N2437" s="9">
        <v>0</v>
      </c>
      <c r="O2437" s="8"/>
      <c r="P2437" s="9">
        <f t="shared" si="477"/>
        <v>0</v>
      </c>
      <c r="Q2437" s="8"/>
      <c r="R2437" s="8"/>
      <c r="S2437" s="8"/>
      <c r="T2437" s="9"/>
      <c r="U2437" s="9">
        <f t="shared" si="478"/>
        <v>0</v>
      </c>
      <c r="V2437" s="9">
        <f t="shared" si="479"/>
        <v>1000000</v>
      </c>
      <c r="W2437" s="9">
        <f t="shared" si="480"/>
        <v>0</v>
      </c>
      <c r="X2437" s="9">
        <f t="shared" si="481"/>
        <v>1000000</v>
      </c>
      <c r="Y2437" s="8"/>
      <c r="Z2437" s="9">
        <f t="shared" si="482"/>
        <v>0</v>
      </c>
      <c r="AA2437" s="8">
        <f t="shared" si="483"/>
        <v>1000000</v>
      </c>
      <c r="AB2437" s="8">
        <f t="shared" si="484"/>
        <v>0</v>
      </c>
    </row>
    <row r="2438" spans="1:28" x14ac:dyDescent="0.35">
      <c r="A2438" s="36"/>
      <c r="B2438" s="8"/>
      <c r="C2438" s="7" t="s">
        <v>440</v>
      </c>
      <c r="D2438" s="15" t="s">
        <v>68</v>
      </c>
      <c r="E2438" s="9">
        <v>1500000</v>
      </c>
      <c r="F2438" s="9">
        <v>1437845.82</v>
      </c>
      <c r="G2438" s="8"/>
      <c r="H2438" s="9">
        <f t="shared" si="475"/>
        <v>1437845.82</v>
      </c>
      <c r="I2438" s="8"/>
      <c r="J2438" s="8"/>
      <c r="K2438" s="8"/>
      <c r="L2438" s="9"/>
      <c r="M2438" s="9">
        <f t="shared" si="476"/>
        <v>1437845.82</v>
      </c>
      <c r="N2438" s="9">
        <v>62154.18</v>
      </c>
      <c r="O2438" s="8"/>
      <c r="P2438" s="9">
        <f t="shared" si="477"/>
        <v>62154.18</v>
      </c>
      <c r="Q2438" s="8"/>
      <c r="R2438" s="8"/>
      <c r="S2438" s="8"/>
      <c r="T2438" s="9"/>
      <c r="U2438" s="9">
        <f t="shared" si="478"/>
        <v>62154.18</v>
      </c>
      <c r="V2438" s="9">
        <f t="shared" si="479"/>
        <v>1500000</v>
      </c>
      <c r="W2438" s="9">
        <f t="shared" si="480"/>
        <v>0</v>
      </c>
      <c r="X2438" s="9">
        <f t="shared" si="481"/>
        <v>1500000</v>
      </c>
      <c r="Y2438" s="8"/>
      <c r="Z2438" s="9">
        <f t="shared" si="482"/>
        <v>0</v>
      </c>
      <c r="AA2438" s="8">
        <f t="shared" si="483"/>
        <v>1500000</v>
      </c>
      <c r="AB2438" s="8">
        <f t="shared" si="484"/>
        <v>0</v>
      </c>
    </row>
    <row r="2439" spans="1:28" x14ac:dyDescent="0.35">
      <c r="A2439" s="36"/>
      <c r="B2439" s="8"/>
      <c r="C2439" s="7" t="s">
        <v>441</v>
      </c>
      <c r="D2439" s="15" t="s">
        <v>68</v>
      </c>
      <c r="E2439" s="9">
        <v>500000</v>
      </c>
      <c r="F2439" s="9">
        <v>500000</v>
      </c>
      <c r="G2439" s="8"/>
      <c r="H2439" s="9">
        <f t="shared" si="475"/>
        <v>500000</v>
      </c>
      <c r="I2439" s="8"/>
      <c r="J2439" s="8"/>
      <c r="K2439" s="8"/>
      <c r="L2439" s="9"/>
      <c r="M2439" s="9">
        <f t="shared" si="476"/>
        <v>500000</v>
      </c>
      <c r="N2439" s="9">
        <v>0</v>
      </c>
      <c r="O2439" s="8"/>
      <c r="P2439" s="9">
        <f t="shared" si="477"/>
        <v>0</v>
      </c>
      <c r="Q2439" s="8"/>
      <c r="R2439" s="8"/>
      <c r="S2439" s="8"/>
      <c r="T2439" s="9"/>
      <c r="U2439" s="9">
        <f t="shared" si="478"/>
        <v>0</v>
      </c>
      <c r="V2439" s="9">
        <f t="shared" si="479"/>
        <v>500000</v>
      </c>
      <c r="W2439" s="9">
        <f t="shared" si="480"/>
        <v>0</v>
      </c>
      <c r="X2439" s="9">
        <f t="shared" si="481"/>
        <v>500000</v>
      </c>
      <c r="Y2439" s="8"/>
      <c r="Z2439" s="9">
        <f t="shared" si="482"/>
        <v>0</v>
      </c>
      <c r="AA2439" s="8">
        <f t="shared" si="483"/>
        <v>500000</v>
      </c>
      <c r="AB2439" s="8">
        <f t="shared" si="484"/>
        <v>0</v>
      </c>
    </row>
    <row r="2440" spans="1:28" x14ac:dyDescent="0.35">
      <c r="A2440" s="36"/>
      <c r="B2440" s="8"/>
      <c r="C2440" s="7" t="s">
        <v>51</v>
      </c>
      <c r="D2440" s="15" t="s">
        <v>117</v>
      </c>
      <c r="E2440" s="9">
        <v>10053773.5</v>
      </c>
      <c r="F2440" s="9">
        <v>9713119</v>
      </c>
      <c r="G2440" s="8"/>
      <c r="H2440" s="9">
        <f t="shared" si="475"/>
        <v>9713119</v>
      </c>
      <c r="I2440" s="8"/>
      <c r="J2440" s="8"/>
      <c r="K2440" s="8"/>
      <c r="L2440" s="9"/>
      <c r="M2440" s="9">
        <f t="shared" si="476"/>
        <v>9713119</v>
      </c>
      <c r="N2440" s="9">
        <v>340654.5</v>
      </c>
      <c r="O2440" s="8"/>
      <c r="P2440" s="9">
        <f t="shared" si="477"/>
        <v>340654.5</v>
      </c>
      <c r="Q2440" s="8"/>
      <c r="R2440" s="8"/>
      <c r="S2440" s="8"/>
      <c r="T2440" s="9"/>
      <c r="U2440" s="9">
        <f t="shared" si="478"/>
        <v>340654.5</v>
      </c>
      <c r="V2440" s="9">
        <f t="shared" si="479"/>
        <v>10053773.5</v>
      </c>
      <c r="W2440" s="9">
        <f t="shared" si="480"/>
        <v>0</v>
      </c>
      <c r="X2440" s="9">
        <f t="shared" si="481"/>
        <v>10053773.5</v>
      </c>
      <c r="Y2440" s="8"/>
      <c r="Z2440" s="9">
        <f t="shared" si="482"/>
        <v>0</v>
      </c>
      <c r="AA2440" s="8">
        <f t="shared" si="483"/>
        <v>10053773.5</v>
      </c>
      <c r="AB2440" s="8">
        <f t="shared" si="484"/>
        <v>0</v>
      </c>
    </row>
    <row r="2441" spans="1:28" x14ac:dyDescent="0.35">
      <c r="A2441" s="36"/>
      <c r="B2441" s="8"/>
      <c r="C2441" s="7" t="s">
        <v>55</v>
      </c>
      <c r="D2441" s="15" t="s">
        <v>68</v>
      </c>
      <c r="E2441" s="9">
        <v>2992986.15</v>
      </c>
      <c r="F2441" s="9">
        <v>0</v>
      </c>
      <c r="G2441" s="8"/>
      <c r="H2441" s="9">
        <f t="shared" si="475"/>
        <v>0</v>
      </c>
      <c r="I2441" s="8"/>
      <c r="J2441" s="8"/>
      <c r="K2441" s="8"/>
      <c r="L2441" s="9"/>
      <c r="M2441" s="9">
        <f t="shared" si="476"/>
        <v>0</v>
      </c>
      <c r="N2441" s="9">
        <v>2992986.15</v>
      </c>
      <c r="O2441" s="8"/>
      <c r="P2441" s="9">
        <f t="shared" si="477"/>
        <v>2992986.15</v>
      </c>
      <c r="Q2441" s="8"/>
      <c r="R2441" s="8"/>
      <c r="S2441" s="8"/>
      <c r="T2441" s="9"/>
      <c r="U2441" s="9">
        <f t="shared" si="478"/>
        <v>2992986.15</v>
      </c>
      <c r="V2441" s="9">
        <f t="shared" si="479"/>
        <v>2992986.15</v>
      </c>
      <c r="W2441" s="9">
        <f t="shared" si="480"/>
        <v>0</v>
      </c>
      <c r="X2441" s="9">
        <f t="shared" si="481"/>
        <v>2992986.15</v>
      </c>
      <c r="Y2441" s="8"/>
      <c r="Z2441" s="9">
        <f t="shared" si="482"/>
        <v>0</v>
      </c>
      <c r="AA2441" s="8">
        <f t="shared" si="483"/>
        <v>2992986.15</v>
      </c>
      <c r="AB2441" s="8">
        <f t="shared" si="484"/>
        <v>0</v>
      </c>
    </row>
    <row r="2442" spans="1:28" x14ac:dyDescent="0.35">
      <c r="A2442" s="36"/>
      <c r="B2442" s="8"/>
      <c r="C2442" s="7" t="s">
        <v>442</v>
      </c>
      <c r="D2442" s="15" t="s">
        <v>79</v>
      </c>
      <c r="E2442" s="9">
        <v>4300000</v>
      </c>
      <c r="F2442" s="9">
        <v>4300000</v>
      </c>
      <c r="G2442" s="8"/>
      <c r="H2442" s="9">
        <f t="shared" si="475"/>
        <v>4300000</v>
      </c>
      <c r="I2442" s="8"/>
      <c r="J2442" s="8"/>
      <c r="K2442" s="8"/>
      <c r="L2442" s="9"/>
      <c r="M2442" s="9">
        <f t="shared" si="476"/>
        <v>4300000</v>
      </c>
      <c r="N2442" s="9">
        <v>0</v>
      </c>
      <c r="O2442" s="8"/>
      <c r="P2442" s="9">
        <f t="shared" si="477"/>
        <v>0</v>
      </c>
      <c r="Q2442" s="8"/>
      <c r="R2442" s="8"/>
      <c r="S2442" s="8"/>
      <c r="T2442" s="9"/>
      <c r="U2442" s="9">
        <f t="shared" si="478"/>
        <v>0</v>
      </c>
      <c r="V2442" s="9">
        <f t="shared" si="479"/>
        <v>4300000</v>
      </c>
      <c r="W2442" s="9">
        <f t="shared" si="480"/>
        <v>0</v>
      </c>
      <c r="X2442" s="9">
        <f t="shared" si="481"/>
        <v>4300000</v>
      </c>
      <c r="Y2442" s="8"/>
      <c r="Z2442" s="9">
        <f t="shared" si="482"/>
        <v>0</v>
      </c>
      <c r="AA2442" s="8">
        <f t="shared" si="483"/>
        <v>4300000</v>
      </c>
      <c r="AB2442" s="8">
        <f t="shared" si="484"/>
        <v>0</v>
      </c>
    </row>
    <row r="2443" spans="1:28" x14ac:dyDescent="0.35">
      <c r="A2443" s="36"/>
      <c r="B2443" s="8"/>
      <c r="C2443" s="7" t="s">
        <v>122</v>
      </c>
      <c r="D2443" s="8"/>
      <c r="E2443" s="9">
        <v>625000</v>
      </c>
      <c r="F2443" s="9">
        <v>625000</v>
      </c>
      <c r="G2443" s="8"/>
      <c r="H2443" s="9">
        <f t="shared" si="475"/>
        <v>625000</v>
      </c>
      <c r="I2443" s="8"/>
      <c r="J2443" s="8"/>
      <c r="K2443" s="8"/>
      <c r="L2443" s="9"/>
      <c r="M2443" s="9">
        <f t="shared" si="476"/>
        <v>625000</v>
      </c>
      <c r="N2443" s="9">
        <v>0</v>
      </c>
      <c r="O2443" s="8"/>
      <c r="P2443" s="9">
        <f t="shared" si="477"/>
        <v>0</v>
      </c>
      <c r="Q2443" s="8"/>
      <c r="R2443" s="8"/>
      <c r="S2443" s="8"/>
      <c r="T2443" s="9"/>
      <c r="U2443" s="9">
        <f t="shared" si="478"/>
        <v>0</v>
      </c>
      <c r="V2443" s="9">
        <f t="shared" si="479"/>
        <v>625000</v>
      </c>
      <c r="W2443" s="9">
        <f t="shared" si="480"/>
        <v>0</v>
      </c>
      <c r="X2443" s="9">
        <f t="shared" si="481"/>
        <v>625000</v>
      </c>
      <c r="Y2443" s="8"/>
      <c r="Z2443" s="9">
        <f t="shared" si="482"/>
        <v>0</v>
      </c>
      <c r="AA2443" s="8">
        <f t="shared" si="483"/>
        <v>625000</v>
      </c>
      <c r="AB2443" s="8">
        <f t="shared" si="484"/>
        <v>0</v>
      </c>
    </row>
    <row r="2444" spans="1:28" x14ac:dyDescent="0.35">
      <c r="A2444" s="36"/>
      <c r="B2444" s="8"/>
      <c r="C2444" s="7" t="s">
        <v>53</v>
      </c>
      <c r="D2444" s="15" t="s">
        <v>54</v>
      </c>
      <c r="E2444" s="9">
        <v>1953989</v>
      </c>
      <c r="F2444" s="9">
        <v>0</v>
      </c>
      <c r="G2444" s="8"/>
      <c r="H2444" s="9">
        <f t="shared" si="475"/>
        <v>0</v>
      </c>
      <c r="I2444" s="8"/>
      <c r="J2444" s="8"/>
      <c r="K2444" s="8"/>
      <c r="L2444" s="9"/>
      <c r="M2444" s="9">
        <f t="shared" si="476"/>
        <v>0</v>
      </c>
      <c r="N2444" s="9">
        <v>1953989</v>
      </c>
      <c r="O2444" s="8"/>
      <c r="P2444" s="9">
        <f t="shared" si="477"/>
        <v>1953989</v>
      </c>
      <c r="Q2444" s="8"/>
      <c r="R2444" s="8"/>
      <c r="S2444" s="8"/>
      <c r="T2444" s="9"/>
      <c r="U2444" s="9">
        <f t="shared" si="478"/>
        <v>1953989</v>
      </c>
      <c r="V2444" s="9">
        <f t="shared" si="479"/>
        <v>1953989</v>
      </c>
      <c r="W2444" s="9">
        <f t="shared" si="480"/>
        <v>0</v>
      </c>
      <c r="X2444" s="9">
        <f t="shared" si="481"/>
        <v>1953989</v>
      </c>
      <c r="Y2444" s="8"/>
      <c r="Z2444" s="9">
        <f t="shared" si="482"/>
        <v>0</v>
      </c>
      <c r="AA2444" s="8">
        <f t="shared" si="483"/>
        <v>1953989</v>
      </c>
      <c r="AB2444" s="8">
        <f t="shared" si="484"/>
        <v>0</v>
      </c>
    </row>
    <row r="2445" spans="1:28" x14ac:dyDescent="0.35">
      <c r="A2445" s="36"/>
      <c r="B2445" s="8"/>
      <c r="C2445" s="7" t="s">
        <v>443</v>
      </c>
      <c r="D2445" s="15" t="s">
        <v>105</v>
      </c>
      <c r="E2445" s="9">
        <f>2400000-800000</f>
        <v>1600000</v>
      </c>
      <c r="F2445" s="9">
        <v>1600000</v>
      </c>
      <c r="G2445" s="8"/>
      <c r="H2445" s="9">
        <f t="shared" si="475"/>
        <v>1600000</v>
      </c>
      <c r="I2445" s="8"/>
      <c r="J2445" s="8"/>
      <c r="K2445" s="8"/>
      <c r="L2445" s="9"/>
      <c r="M2445" s="9">
        <f t="shared" si="476"/>
        <v>1600000</v>
      </c>
      <c r="N2445" s="9">
        <v>0</v>
      </c>
      <c r="O2445" s="8"/>
      <c r="P2445" s="9">
        <f t="shared" si="477"/>
        <v>0</v>
      </c>
      <c r="Q2445" s="8"/>
      <c r="R2445" s="8"/>
      <c r="S2445" s="8"/>
      <c r="T2445" s="9"/>
      <c r="U2445" s="9">
        <f t="shared" si="478"/>
        <v>0</v>
      </c>
      <c r="V2445" s="9">
        <f t="shared" si="479"/>
        <v>1600000</v>
      </c>
      <c r="W2445" s="9">
        <f t="shared" si="480"/>
        <v>0</v>
      </c>
      <c r="X2445" s="9">
        <f t="shared" si="481"/>
        <v>1600000</v>
      </c>
      <c r="Y2445" s="8"/>
      <c r="Z2445" s="9">
        <f t="shared" si="482"/>
        <v>0</v>
      </c>
      <c r="AA2445" s="8">
        <f t="shared" si="483"/>
        <v>1600000</v>
      </c>
      <c r="AB2445" s="8">
        <f t="shared" si="484"/>
        <v>0</v>
      </c>
    </row>
    <row r="2446" spans="1:28" x14ac:dyDescent="0.35">
      <c r="A2446" s="36"/>
      <c r="B2446" s="8"/>
      <c r="C2446" s="7" t="s">
        <v>69</v>
      </c>
      <c r="D2446" s="15" t="s">
        <v>128</v>
      </c>
      <c r="E2446" s="9">
        <v>955345.62</v>
      </c>
      <c r="F2446" s="9">
        <v>0</v>
      </c>
      <c r="G2446" s="8"/>
      <c r="H2446" s="9">
        <f t="shared" si="475"/>
        <v>0</v>
      </c>
      <c r="I2446" s="8"/>
      <c r="J2446" s="8"/>
      <c r="K2446" s="8"/>
      <c r="L2446" s="9"/>
      <c r="M2446" s="9">
        <f t="shared" si="476"/>
        <v>0</v>
      </c>
      <c r="N2446" s="9">
        <v>955345.62</v>
      </c>
      <c r="O2446" s="8"/>
      <c r="P2446" s="9">
        <f t="shared" si="477"/>
        <v>955345.62</v>
      </c>
      <c r="Q2446" s="8"/>
      <c r="R2446" s="8"/>
      <c r="S2446" s="8"/>
      <c r="T2446" s="9"/>
      <c r="U2446" s="9">
        <f t="shared" si="478"/>
        <v>955345.62</v>
      </c>
      <c r="V2446" s="9">
        <f t="shared" si="479"/>
        <v>955345.62</v>
      </c>
      <c r="W2446" s="9">
        <f t="shared" si="480"/>
        <v>0</v>
      </c>
      <c r="X2446" s="9">
        <f t="shared" si="481"/>
        <v>955345.62</v>
      </c>
      <c r="Y2446" s="8"/>
      <c r="Z2446" s="9">
        <f t="shared" si="482"/>
        <v>0</v>
      </c>
      <c r="AA2446" s="8">
        <f t="shared" si="483"/>
        <v>955345.62</v>
      </c>
      <c r="AB2446" s="8">
        <f t="shared" si="484"/>
        <v>0</v>
      </c>
    </row>
    <row r="2447" spans="1:28" x14ac:dyDescent="0.35">
      <c r="A2447" s="36"/>
      <c r="B2447" s="8"/>
      <c r="C2447" s="7" t="s">
        <v>225</v>
      </c>
      <c r="D2447" s="15" t="s">
        <v>85</v>
      </c>
      <c r="E2447" s="9">
        <v>200000</v>
      </c>
      <c r="F2447" s="9">
        <v>200000</v>
      </c>
      <c r="G2447" s="8"/>
      <c r="H2447" s="9">
        <f t="shared" si="475"/>
        <v>200000</v>
      </c>
      <c r="I2447" s="8"/>
      <c r="J2447" s="8"/>
      <c r="K2447" s="8"/>
      <c r="L2447" s="9"/>
      <c r="M2447" s="9">
        <f t="shared" si="476"/>
        <v>200000</v>
      </c>
      <c r="N2447" s="9">
        <v>0</v>
      </c>
      <c r="O2447" s="8"/>
      <c r="P2447" s="9">
        <f t="shared" si="477"/>
        <v>0</v>
      </c>
      <c r="Q2447" s="8"/>
      <c r="R2447" s="8"/>
      <c r="S2447" s="8"/>
      <c r="T2447" s="9"/>
      <c r="U2447" s="9">
        <f t="shared" si="478"/>
        <v>0</v>
      </c>
      <c r="V2447" s="9">
        <f t="shared" si="479"/>
        <v>200000</v>
      </c>
      <c r="W2447" s="9">
        <f t="shared" si="480"/>
        <v>0</v>
      </c>
      <c r="X2447" s="9">
        <f t="shared" si="481"/>
        <v>200000</v>
      </c>
      <c r="Y2447" s="8"/>
      <c r="Z2447" s="9">
        <f t="shared" si="482"/>
        <v>0</v>
      </c>
      <c r="AA2447" s="8">
        <f t="shared" si="483"/>
        <v>200000</v>
      </c>
      <c r="AB2447" s="8">
        <f t="shared" si="484"/>
        <v>0</v>
      </c>
    </row>
    <row r="2448" spans="1:28" x14ac:dyDescent="0.35">
      <c r="A2448" s="36"/>
      <c r="B2448" s="8"/>
      <c r="C2448" s="7" t="s">
        <v>444</v>
      </c>
      <c r="D2448" s="15" t="s">
        <v>128</v>
      </c>
      <c r="E2448" s="9">
        <v>800000</v>
      </c>
      <c r="F2448" s="9">
        <v>800000</v>
      </c>
      <c r="G2448" s="8"/>
      <c r="H2448" s="9">
        <f t="shared" si="475"/>
        <v>800000</v>
      </c>
      <c r="I2448" s="8"/>
      <c r="J2448" s="8"/>
      <c r="K2448" s="9"/>
      <c r="L2448" s="9"/>
      <c r="M2448" s="9">
        <f t="shared" si="476"/>
        <v>800000</v>
      </c>
      <c r="N2448" s="9">
        <v>0</v>
      </c>
      <c r="O2448" s="8"/>
      <c r="P2448" s="9">
        <f t="shared" si="477"/>
        <v>0</v>
      </c>
      <c r="Q2448" s="8"/>
      <c r="R2448" s="8"/>
      <c r="S2448" s="8"/>
      <c r="T2448" s="9"/>
      <c r="U2448" s="9">
        <f t="shared" si="478"/>
        <v>0</v>
      </c>
      <c r="V2448" s="9">
        <f t="shared" si="479"/>
        <v>800000</v>
      </c>
      <c r="W2448" s="9">
        <f t="shared" si="480"/>
        <v>0</v>
      </c>
      <c r="X2448" s="9">
        <f t="shared" si="481"/>
        <v>800000</v>
      </c>
      <c r="Y2448" s="8"/>
      <c r="Z2448" s="9">
        <f t="shared" si="482"/>
        <v>0</v>
      </c>
      <c r="AA2448" s="8">
        <f t="shared" si="483"/>
        <v>800000</v>
      </c>
      <c r="AB2448" s="8">
        <f t="shared" si="484"/>
        <v>0</v>
      </c>
    </row>
    <row r="2449" spans="1:28" x14ac:dyDescent="0.35">
      <c r="A2449" s="36"/>
      <c r="B2449" s="8"/>
      <c r="C2449" s="7" t="s">
        <v>445</v>
      </c>
      <c r="D2449" s="15" t="s">
        <v>108</v>
      </c>
      <c r="E2449" s="9">
        <v>2715145.35</v>
      </c>
      <c r="F2449" s="9">
        <v>2715145.35</v>
      </c>
      <c r="G2449" s="8"/>
      <c r="H2449" s="9">
        <f t="shared" si="475"/>
        <v>2715145.35</v>
      </c>
      <c r="I2449" s="8"/>
      <c r="J2449" s="8"/>
      <c r="K2449" s="8"/>
      <c r="L2449" s="9"/>
      <c r="M2449" s="9">
        <f t="shared" si="476"/>
        <v>2715145.35</v>
      </c>
      <c r="N2449" s="9">
        <v>0</v>
      </c>
      <c r="O2449" s="8"/>
      <c r="P2449" s="9">
        <f t="shared" si="477"/>
        <v>0</v>
      </c>
      <c r="Q2449" s="8"/>
      <c r="R2449" s="8"/>
      <c r="S2449" s="8"/>
      <c r="T2449" s="9"/>
      <c r="U2449" s="9">
        <f t="shared" si="478"/>
        <v>0</v>
      </c>
      <c r="V2449" s="9">
        <f t="shared" si="479"/>
        <v>2715145.35</v>
      </c>
      <c r="W2449" s="9">
        <f t="shared" si="480"/>
        <v>0</v>
      </c>
      <c r="X2449" s="9">
        <f t="shared" si="481"/>
        <v>2715145.35</v>
      </c>
      <c r="Y2449" s="8"/>
      <c r="Z2449" s="9">
        <f t="shared" si="482"/>
        <v>0</v>
      </c>
      <c r="AA2449" s="8">
        <f t="shared" si="483"/>
        <v>2715145.35</v>
      </c>
      <c r="AB2449" s="8">
        <f t="shared" si="484"/>
        <v>0</v>
      </c>
    </row>
    <row r="2450" spans="1:28" x14ac:dyDescent="0.35">
      <c r="A2450" s="36"/>
      <c r="B2450" s="8"/>
      <c r="C2450" s="7" t="s">
        <v>446</v>
      </c>
      <c r="D2450" s="15" t="s">
        <v>108</v>
      </c>
      <c r="E2450" s="9">
        <v>2000000</v>
      </c>
      <c r="F2450" s="9">
        <v>2000000</v>
      </c>
      <c r="G2450" s="8"/>
      <c r="H2450" s="9">
        <f t="shared" si="475"/>
        <v>2000000</v>
      </c>
      <c r="I2450" s="8"/>
      <c r="J2450" s="8"/>
      <c r="K2450" s="8"/>
      <c r="L2450" s="9"/>
      <c r="M2450" s="9">
        <f t="shared" si="476"/>
        <v>2000000</v>
      </c>
      <c r="N2450" s="9">
        <v>0</v>
      </c>
      <c r="O2450" s="8"/>
      <c r="P2450" s="9">
        <f t="shared" si="477"/>
        <v>0</v>
      </c>
      <c r="Q2450" s="8"/>
      <c r="R2450" s="8"/>
      <c r="S2450" s="8"/>
      <c r="T2450" s="9"/>
      <c r="U2450" s="9">
        <f t="shared" si="478"/>
        <v>0</v>
      </c>
      <c r="V2450" s="9">
        <f t="shared" si="479"/>
        <v>2000000</v>
      </c>
      <c r="W2450" s="9">
        <f t="shared" si="480"/>
        <v>0</v>
      </c>
      <c r="X2450" s="9">
        <f t="shared" si="481"/>
        <v>2000000</v>
      </c>
      <c r="Y2450" s="8"/>
      <c r="Z2450" s="9">
        <f t="shared" si="482"/>
        <v>0</v>
      </c>
      <c r="AA2450" s="8">
        <f t="shared" si="483"/>
        <v>2000000</v>
      </c>
      <c r="AB2450" s="8">
        <f t="shared" si="484"/>
        <v>0</v>
      </c>
    </row>
    <row r="2451" spans="1:28" x14ac:dyDescent="0.35">
      <c r="A2451" s="36"/>
      <c r="B2451" s="8"/>
      <c r="C2451" s="7" t="s">
        <v>447</v>
      </c>
      <c r="D2451" s="15" t="s">
        <v>108</v>
      </c>
      <c r="E2451" s="9">
        <v>5000000</v>
      </c>
      <c r="F2451" s="9">
        <v>5000000</v>
      </c>
      <c r="G2451" s="8"/>
      <c r="H2451" s="9">
        <f t="shared" si="475"/>
        <v>5000000</v>
      </c>
      <c r="I2451" s="9"/>
      <c r="J2451" s="9"/>
      <c r="K2451" s="8"/>
      <c r="L2451" s="9"/>
      <c r="M2451" s="9">
        <f t="shared" si="476"/>
        <v>5000000</v>
      </c>
      <c r="N2451" s="9">
        <v>0</v>
      </c>
      <c r="O2451" s="8"/>
      <c r="P2451" s="9">
        <f t="shared" si="477"/>
        <v>0</v>
      </c>
      <c r="Q2451" s="8"/>
      <c r="R2451" s="8"/>
      <c r="S2451" s="8"/>
      <c r="T2451" s="9"/>
      <c r="U2451" s="9">
        <f t="shared" si="478"/>
        <v>0</v>
      </c>
      <c r="V2451" s="9">
        <f t="shared" si="479"/>
        <v>5000000</v>
      </c>
      <c r="W2451" s="9">
        <f t="shared" si="480"/>
        <v>0</v>
      </c>
      <c r="X2451" s="9">
        <f t="shared" si="481"/>
        <v>5000000</v>
      </c>
      <c r="Y2451" s="8"/>
      <c r="Z2451" s="9">
        <f t="shared" si="482"/>
        <v>0</v>
      </c>
      <c r="AA2451" s="8">
        <f t="shared" si="483"/>
        <v>5000000</v>
      </c>
      <c r="AB2451" s="8">
        <f t="shared" si="484"/>
        <v>0</v>
      </c>
    </row>
    <row r="2452" spans="1:28" x14ac:dyDescent="0.35">
      <c r="A2452" s="36"/>
      <c r="B2452" s="8"/>
      <c r="C2452" s="7" t="s">
        <v>448</v>
      </c>
      <c r="D2452" s="15" t="s">
        <v>108</v>
      </c>
      <c r="E2452" s="9">
        <v>370691</v>
      </c>
      <c r="F2452" s="11">
        <v>370691</v>
      </c>
      <c r="G2452" s="8"/>
      <c r="H2452" s="9">
        <f t="shared" si="475"/>
        <v>370691</v>
      </c>
      <c r="I2452" s="8"/>
      <c r="J2452" s="9"/>
      <c r="K2452" s="8"/>
      <c r="L2452" s="9"/>
      <c r="M2452" s="9">
        <f t="shared" si="476"/>
        <v>370691</v>
      </c>
      <c r="N2452" s="9">
        <v>0</v>
      </c>
      <c r="O2452" s="8"/>
      <c r="P2452" s="9">
        <f t="shared" si="477"/>
        <v>0</v>
      </c>
      <c r="Q2452" s="8"/>
      <c r="R2452" s="8"/>
      <c r="S2452" s="8"/>
      <c r="T2452" s="9"/>
      <c r="U2452" s="9">
        <f t="shared" si="478"/>
        <v>0</v>
      </c>
      <c r="V2452" s="9">
        <f t="shared" si="479"/>
        <v>370691</v>
      </c>
      <c r="W2452" s="9">
        <f t="shared" si="480"/>
        <v>0</v>
      </c>
      <c r="X2452" s="9">
        <f t="shared" si="481"/>
        <v>370691</v>
      </c>
      <c r="Y2452" s="8"/>
      <c r="Z2452" s="9">
        <f t="shared" si="482"/>
        <v>0</v>
      </c>
      <c r="AA2452" s="8">
        <f t="shared" si="483"/>
        <v>370691</v>
      </c>
      <c r="AB2452" s="8">
        <f t="shared" si="484"/>
        <v>0</v>
      </c>
    </row>
    <row r="2453" spans="1:28" x14ac:dyDescent="0.35">
      <c r="A2453" s="36"/>
      <c r="B2453" s="8"/>
      <c r="C2453" s="7" t="s">
        <v>449</v>
      </c>
      <c r="D2453" s="15" t="s">
        <v>108</v>
      </c>
      <c r="E2453" s="9">
        <f>500000+297695.38+4099.54</f>
        <v>801794.92</v>
      </c>
      <c r="F2453" s="11">
        <f>500000+297695.38</f>
        <v>797695.38</v>
      </c>
      <c r="G2453" s="8"/>
      <c r="H2453" s="9">
        <f t="shared" si="475"/>
        <v>797695.38</v>
      </c>
      <c r="I2453" s="8"/>
      <c r="J2453" s="9"/>
      <c r="K2453" s="8"/>
      <c r="L2453" s="9"/>
      <c r="M2453" s="9">
        <f t="shared" si="476"/>
        <v>797695.38</v>
      </c>
      <c r="N2453" s="9">
        <v>0</v>
      </c>
      <c r="O2453" s="8"/>
      <c r="P2453" s="9">
        <f t="shared" si="477"/>
        <v>0</v>
      </c>
      <c r="Q2453" s="8">
        <v>4099.54</v>
      </c>
      <c r="R2453" s="8"/>
      <c r="S2453" s="8"/>
      <c r="T2453" s="9">
        <v>4099.54</v>
      </c>
      <c r="U2453" s="9">
        <f t="shared" si="478"/>
        <v>4099.54</v>
      </c>
      <c r="V2453" s="9">
        <f t="shared" si="479"/>
        <v>797695.38</v>
      </c>
      <c r="W2453" s="9">
        <f t="shared" si="480"/>
        <v>4099.5400000000373</v>
      </c>
      <c r="X2453" s="9">
        <f t="shared" si="481"/>
        <v>797695.38</v>
      </c>
      <c r="Y2453" s="8"/>
      <c r="Z2453" s="9">
        <f t="shared" si="482"/>
        <v>4099.5400000000373</v>
      </c>
      <c r="AA2453" s="8">
        <f t="shared" si="483"/>
        <v>801794.92</v>
      </c>
      <c r="AB2453" s="8">
        <f t="shared" si="484"/>
        <v>0</v>
      </c>
    </row>
    <row r="2454" spans="1:28" x14ac:dyDescent="0.35">
      <c r="A2454" s="36"/>
      <c r="B2454" s="8"/>
      <c r="C2454" s="7" t="s">
        <v>57</v>
      </c>
      <c r="D2454" s="15" t="s">
        <v>58</v>
      </c>
      <c r="E2454" s="9">
        <v>10269083</v>
      </c>
      <c r="F2454" s="9">
        <v>10269083</v>
      </c>
      <c r="G2454" s="8"/>
      <c r="H2454" s="9">
        <f t="shared" si="475"/>
        <v>10269083</v>
      </c>
      <c r="I2454" s="8"/>
      <c r="J2454" s="8"/>
      <c r="K2454" s="8"/>
      <c r="L2454" s="9"/>
      <c r="M2454" s="9">
        <f t="shared" si="476"/>
        <v>10269083</v>
      </c>
      <c r="N2454" s="9">
        <v>0</v>
      </c>
      <c r="O2454" s="8"/>
      <c r="P2454" s="9">
        <f t="shared" si="477"/>
        <v>0</v>
      </c>
      <c r="Q2454" s="8"/>
      <c r="R2454" s="8"/>
      <c r="S2454" s="8"/>
      <c r="T2454" s="9"/>
      <c r="U2454" s="9">
        <f t="shared" si="478"/>
        <v>0</v>
      </c>
      <c r="V2454" s="9">
        <f t="shared" si="479"/>
        <v>10269083</v>
      </c>
      <c r="W2454" s="9">
        <f t="shared" si="480"/>
        <v>0</v>
      </c>
      <c r="X2454" s="9">
        <f t="shared" si="481"/>
        <v>10269083</v>
      </c>
      <c r="Y2454" s="8"/>
      <c r="Z2454" s="9">
        <f t="shared" si="482"/>
        <v>0</v>
      </c>
      <c r="AA2454" s="8">
        <f t="shared" si="483"/>
        <v>10269083</v>
      </c>
      <c r="AB2454" s="8">
        <f t="shared" si="484"/>
        <v>0</v>
      </c>
    </row>
    <row r="2455" spans="1:28" x14ac:dyDescent="0.35">
      <c r="A2455" s="36"/>
      <c r="B2455" s="8"/>
      <c r="C2455" s="14" t="s">
        <v>109</v>
      </c>
      <c r="D2455" s="21" t="s">
        <v>60</v>
      </c>
      <c r="E2455" s="9">
        <v>16937239.129999999</v>
      </c>
      <c r="F2455" s="11">
        <v>16937239.129999999</v>
      </c>
      <c r="G2455" s="8"/>
      <c r="H2455" s="9">
        <f t="shared" si="475"/>
        <v>16937239.129999999</v>
      </c>
      <c r="I2455" s="8"/>
      <c r="J2455" s="8"/>
      <c r="K2455" s="8"/>
      <c r="L2455" s="9"/>
      <c r="M2455" s="9">
        <f t="shared" si="476"/>
        <v>16937239.129999999</v>
      </c>
      <c r="N2455" s="9">
        <v>0</v>
      </c>
      <c r="O2455" s="8"/>
      <c r="P2455" s="9">
        <f t="shared" si="477"/>
        <v>0</v>
      </c>
      <c r="Q2455" s="8"/>
      <c r="R2455" s="8"/>
      <c r="S2455" s="8"/>
      <c r="T2455" s="9"/>
      <c r="U2455" s="9">
        <f t="shared" si="478"/>
        <v>0</v>
      </c>
      <c r="V2455" s="9">
        <f t="shared" si="479"/>
        <v>16937239.129999999</v>
      </c>
      <c r="W2455" s="9">
        <f t="shared" si="480"/>
        <v>0</v>
      </c>
      <c r="X2455" s="9">
        <f t="shared" si="481"/>
        <v>16937239.129999999</v>
      </c>
      <c r="Y2455" s="8"/>
      <c r="Z2455" s="9">
        <f t="shared" si="482"/>
        <v>0</v>
      </c>
      <c r="AA2455" s="8">
        <f t="shared" si="483"/>
        <v>16937239.129999999</v>
      </c>
      <c r="AB2455" s="8">
        <f t="shared" si="484"/>
        <v>0</v>
      </c>
    </row>
    <row r="2456" spans="1:28" x14ac:dyDescent="0.35">
      <c r="A2456" s="36"/>
      <c r="B2456" s="8"/>
      <c r="C2456" s="14" t="s">
        <v>450</v>
      </c>
      <c r="D2456" s="15" t="s">
        <v>60</v>
      </c>
      <c r="E2456" s="9">
        <v>7500000</v>
      </c>
      <c r="F2456" s="11">
        <v>7500000</v>
      </c>
      <c r="G2456" s="8"/>
      <c r="H2456" s="9">
        <f t="shared" si="475"/>
        <v>7500000</v>
      </c>
      <c r="I2456" s="8"/>
      <c r="J2456" s="9"/>
      <c r="K2456" s="8"/>
      <c r="L2456" s="9"/>
      <c r="M2456" s="9">
        <f t="shared" si="476"/>
        <v>7500000</v>
      </c>
      <c r="N2456" s="9">
        <v>0</v>
      </c>
      <c r="O2456" s="8"/>
      <c r="P2456" s="9">
        <f t="shared" si="477"/>
        <v>0</v>
      </c>
      <c r="Q2456" s="8"/>
      <c r="R2456" s="8"/>
      <c r="S2456" s="8"/>
      <c r="T2456" s="9"/>
      <c r="U2456" s="9">
        <f t="shared" si="478"/>
        <v>0</v>
      </c>
      <c r="V2456" s="9">
        <f t="shared" si="479"/>
        <v>7500000</v>
      </c>
      <c r="W2456" s="9">
        <f t="shared" si="480"/>
        <v>0</v>
      </c>
      <c r="X2456" s="9">
        <f t="shared" si="481"/>
        <v>7500000</v>
      </c>
      <c r="Y2456" s="8"/>
      <c r="Z2456" s="9">
        <f t="shared" si="482"/>
        <v>0</v>
      </c>
      <c r="AA2456" s="8">
        <f t="shared" si="483"/>
        <v>7500000</v>
      </c>
      <c r="AB2456" s="8">
        <f t="shared" si="484"/>
        <v>0</v>
      </c>
    </row>
    <row r="2457" spans="1:28" x14ac:dyDescent="0.35">
      <c r="A2457" s="36"/>
      <c r="B2457" s="8"/>
      <c r="C2457" s="7" t="s">
        <v>57</v>
      </c>
      <c r="D2457" s="15" t="s">
        <v>60</v>
      </c>
      <c r="E2457" s="9">
        <v>3100000</v>
      </c>
      <c r="F2457" s="11">
        <v>3100000</v>
      </c>
      <c r="G2457" s="8"/>
      <c r="H2457" s="9">
        <f t="shared" si="475"/>
        <v>3100000</v>
      </c>
      <c r="I2457" s="8"/>
      <c r="J2457" s="8"/>
      <c r="K2457" s="8"/>
      <c r="L2457" s="9"/>
      <c r="M2457" s="9">
        <f t="shared" si="476"/>
        <v>3100000</v>
      </c>
      <c r="N2457" s="9">
        <v>0</v>
      </c>
      <c r="O2457" s="8"/>
      <c r="P2457" s="9">
        <f t="shared" si="477"/>
        <v>0</v>
      </c>
      <c r="Q2457" s="8"/>
      <c r="R2457" s="8"/>
      <c r="S2457" s="8"/>
      <c r="T2457" s="9"/>
      <c r="U2457" s="9">
        <f t="shared" si="478"/>
        <v>0</v>
      </c>
      <c r="V2457" s="9">
        <f t="shared" si="479"/>
        <v>3100000</v>
      </c>
      <c r="W2457" s="9">
        <f t="shared" si="480"/>
        <v>0</v>
      </c>
      <c r="X2457" s="9">
        <f t="shared" si="481"/>
        <v>3100000</v>
      </c>
      <c r="Y2457" s="8"/>
      <c r="Z2457" s="9">
        <f t="shared" si="482"/>
        <v>0</v>
      </c>
      <c r="AA2457" s="8">
        <f t="shared" si="483"/>
        <v>3100000</v>
      </c>
      <c r="AB2457" s="8">
        <f t="shared" si="484"/>
        <v>0</v>
      </c>
    </row>
    <row r="2458" spans="1:28" x14ac:dyDescent="0.35">
      <c r="A2458" s="36"/>
      <c r="B2458" s="8"/>
      <c r="C2458" s="7" t="s">
        <v>451</v>
      </c>
      <c r="D2458" s="15" t="s">
        <v>194</v>
      </c>
      <c r="E2458" s="9">
        <f>4649039+2394979+828020</f>
        <v>7872038</v>
      </c>
      <c r="F2458" s="11">
        <f>4649039+3222999</f>
        <v>7872038</v>
      </c>
      <c r="G2458" s="8"/>
      <c r="H2458" s="9">
        <f t="shared" si="475"/>
        <v>7872038</v>
      </c>
      <c r="I2458" s="8"/>
      <c r="J2458" s="8"/>
      <c r="K2458" s="8"/>
      <c r="L2458" s="9"/>
      <c r="M2458" s="9">
        <f t="shared" si="476"/>
        <v>7872038</v>
      </c>
      <c r="N2458" s="9">
        <v>0</v>
      </c>
      <c r="O2458" s="8"/>
      <c r="P2458" s="9">
        <f t="shared" si="477"/>
        <v>0</v>
      </c>
      <c r="Q2458" s="8"/>
      <c r="R2458" s="8"/>
      <c r="S2458" s="8"/>
      <c r="T2458" s="9"/>
      <c r="U2458" s="9">
        <f t="shared" si="478"/>
        <v>0</v>
      </c>
      <c r="V2458" s="9">
        <f t="shared" si="479"/>
        <v>7872038</v>
      </c>
      <c r="W2458" s="9">
        <f t="shared" si="480"/>
        <v>0</v>
      </c>
      <c r="X2458" s="9">
        <f t="shared" si="481"/>
        <v>7872038</v>
      </c>
      <c r="Y2458" s="8"/>
      <c r="Z2458" s="9">
        <f t="shared" si="482"/>
        <v>0</v>
      </c>
      <c r="AA2458" s="8">
        <f t="shared" si="483"/>
        <v>7872038</v>
      </c>
      <c r="AB2458" s="8">
        <f t="shared" si="484"/>
        <v>0</v>
      </c>
    </row>
    <row r="2459" spans="1:28" x14ac:dyDescent="0.35">
      <c r="A2459" s="36"/>
      <c r="B2459" s="8"/>
      <c r="C2459" s="14" t="s">
        <v>452</v>
      </c>
      <c r="D2459" s="16" t="s">
        <v>73</v>
      </c>
      <c r="E2459" s="9">
        <v>1068934.93</v>
      </c>
      <c r="F2459" s="8">
        <v>1068934.93</v>
      </c>
      <c r="G2459" s="8"/>
      <c r="H2459" s="9">
        <f t="shared" si="475"/>
        <v>1068934.93</v>
      </c>
      <c r="I2459" s="8">
        <v>1068934.93</v>
      </c>
      <c r="J2459" s="9">
        <v>1068934.93</v>
      </c>
      <c r="K2459" s="8"/>
      <c r="L2459" s="9"/>
      <c r="M2459" s="9">
        <f t="shared" si="476"/>
        <v>1068934.93</v>
      </c>
      <c r="N2459" s="9">
        <v>0</v>
      </c>
      <c r="O2459" s="8"/>
      <c r="P2459" s="9">
        <f t="shared" si="477"/>
        <v>0</v>
      </c>
      <c r="Q2459" s="8"/>
      <c r="R2459" s="8"/>
      <c r="S2459" s="8"/>
      <c r="T2459" s="9"/>
      <c r="U2459" s="9">
        <f t="shared" si="478"/>
        <v>0</v>
      </c>
      <c r="V2459" s="9">
        <f t="shared" si="479"/>
        <v>1068934.93</v>
      </c>
      <c r="W2459" s="9">
        <f t="shared" si="480"/>
        <v>0</v>
      </c>
      <c r="X2459" s="9">
        <f t="shared" si="481"/>
        <v>1068934.93</v>
      </c>
      <c r="Y2459" s="8"/>
      <c r="Z2459" s="9">
        <f t="shared" si="482"/>
        <v>0</v>
      </c>
      <c r="AA2459" s="8">
        <f t="shared" si="483"/>
        <v>1068934.93</v>
      </c>
      <c r="AB2459" s="8">
        <f t="shared" si="484"/>
        <v>0</v>
      </c>
    </row>
    <row r="2460" spans="1:28" x14ac:dyDescent="0.35">
      <c r="A2460" s="36"/>
      <c r="B2460" s="8"/>
      <c r="C2460" s="7" t="s">
        <v>57</v>
      </c>
      <c r="D2460" s="16" t="s">
        <v>61</v>
      </c>
      <c r="E2460" s="9">
        <f>1269140.15+1191425.78</f>
        <v>2460565.9299999997</v>
      </c>
      <c r="F2460" s="8">
        <f>1269140.15+1191425.78</f>
        <v>2460565.9299999997</v>
      </c>
      <c r="G2460" s="8"/>
      <c r="H2460" s="9">
        <f t="shared" si="475"/>
        <v>2460565.9299999997</v>
      </c>
      <c r="I2460" s="8"/>
      <c r="J2460" s="9"/>
      <c r="K2460" s="8"/>
      <c r="L2460" s="9"/>
      <c r="M2460" s="9">
        <f t="shared" si="476"/>
        <v>2460565.9299999997</v>
      </c>
      <c r="N2460" s="9">
        <v>0</v>
      </c>
      <c r="O2460" s="8"/>
      <c r="P2460" s="9">
        <f t="shared" si="477"/>
        <v>0</v>
      </c>
      <c r="Q2460" s="8"/>
      <c r="R2460" s="8"/>
      <c r="S2460" s="8"/>
      <c r="T2460" s="9"/>
      <c r="U2460" s="9">
        <f t="shared" si="478"/>
        <v>0</v>
      </c>
      <c r="V2460" s="9">
        <f t="shared" si="479"/>
        <v>2460565.9299999997</v>
      </c>
      <c r="W2460" s="9">
        <f t="shared" si="480"/>
        <v>0</v>
      </c>
      <c r="X2460" s="9">
        <f t="shared" si="481"/>
        <v>2460565.9299999997</v>
      </c>
      <c r="Y2460" s="8"/>
      <c r="Z2460" s="9">
        <f t="shared" si="482"/>
        <v>0</v>
      </c>
      <c r="AA2460" s="8">
        <f t="shared" si="483"/>
        <v>2460565.9299999997</v>
      </c>
      <c r="AB2460" s="8">
        <f t="shared" si="484"/>
        <v>0</v>
      </c>
    </row>
    <row r="2461" spans="1:28" x14ac:dyDescent="0.35">
      <c r="A2461" s="36"/>
      <c r="B2461" s="8"/>
      <c r="C2461" s="7" t="s">
        <v>930</v>
      </c>
      <c r="D2461" s="16" t="s">
        <v>1072</v>
      </c>
      <c r="E2461" s="9">
        <f>1145000+963574.22+2474289.58</f>
        <v>4582863.8</v>
      </c>
      <c r="F2461" s="8">
        <f>1145000+963574.22+2474289.58</f>
        <v>4582863.8</v>
      </c>
      <c r="G2461" s="8"/>
      <c r="H2461" s="9">
        <f>+F2461+G2461</f>
        <v>4582863.8</v>
      </c>
      <c r="I2461" s="8"/>
      <c r="J2461" s="9"/>
      <c r="K2461" s="8"/>
      <c r="L2461" s="9"/>
      <c r="M2461" s="9">
        <f>+H2461+L2461</f>
        <v>4582863.8</v>
      </c>
      <c r="N2461" s="9">
        <v>0</v>
      </c>
      <c r="O2461" s="8"/>
      <c r="P2461" s="9">
        <v>0</v>
      </c>
      <c r="Q2461" s="8"/>
      <c r="R2461" s="8"/>
      <c r="S2461" s="8"/>
      <c r="T2461" s="9"/>
      <c r="U2461" s="9">
        <f>P2461+T2461</f>
        <v>0</v>
      </c>
      <c r="V2461" s="9">
        <f>P2461+H2461</f>
        <v>4582863.8</v>
      </c>
      <c r="W2461" s="9">
        <f>E2461-V2461</f>
        <v>0</v>
      </c>
      <c r="X2461" s="9">
        <f t="shared" si="481"/>
        <v>4582863.8</v>
      </c>
      <c r="Y2461" s="8"/>
      <c r="Z2461" s="9">
        <f t="shared" si="482"/>
        <v>0</v>
      </c>
      <c r="AA2461" s="8">
        <f t="shared" si="483"/>
        <v>4582863.8</v>
      </c>
      <c r="AB2461" s="8">
        <f t="shared" si="484"/>
        <v>0</v>
      </c>
    </row>
    <row r="2462" spans="1:28" x14ac:dyDescent="0.35">
      <c r="A2462" s="36"/>
      <c r="B2462" s="8"/>
      <c r="C2462" s="7" t="s">
        <v>507</v>
      </c>
      <c r="D2462" s="16"/>
      <c r="E2462" s="9">
        <f>2963001+1390847.65</f>
        <v>4353848.6500000004</v>
      </c>
      <c r="F2462" s="8">
        <f>2963001+1390847.65</f>
        <v>4353848.6500000004</v>
      </c>
      <c r="G2462" s="8"/>
      <c r="H2462" s="9">
        <f>F2462+G2462</f>
        <v>4353848.6500000004</v>
      </c>
      <c r="I2462" s="8"/>
      <c r="J2462" s="9"/>
      <c r="K2462" s="8"/>
      <c r="L2462" s="9"/>
      <c r="M2462" s="9">
        <f>H2462+L2462</f>
        <v>4353848.6500000004</v>
      </c>
      <c r="N2462" s="9">
        <v>0</v>
      </c>
      <c r="O2462" s="8"/>
      <c r="P2462" s="9">
        <f>N2462+O2462</f>
        <v>0</v>
      </c>
      <c r="Q2462" s="8"/>
      <c r="R2462" s="8"/>
      <c r="S2462" s="8"/>
      <c r="T2462" s="9"/>
      <c r="U2462" s="9">
        <f>P2462+T2462</f>
        <v>0</v>
      </c>
      <c r="V2462" s="9">
        <f>P2462+H2462</f>
        <v>4353848.6500000004</v>
      </c>
      <c r="W2462" s="9">
        <f>E2462-V2462</f>
        <v>0</v>
      </c>
      <c r="X2462" s="9">
        <f t="shared" si="481"/>
        <v>4353848.6500000004</v>
      </c>
      <c r="Y2462" s="8"/>
      <c r="Z2462" s="9">
        <f t="shared" si="482"/>
        <v>0</v>
      </c>
      <c r="AA2462" s="8">
        <f t="shared" si="483"/>
        <v>4353848.6500000004</v>
      </c>
      <c r="AB2462" s="8">
        <f t="shared" si="484"/>
        <v>0</v>
      </c>
    </row>
    <row r="2463" spans="1:28" x14ac:dyDescent="0.35">
      <c r="A2463" s="36"/>
      <c r="B2463" s="8"/>
      <c r="C2463" s="8"/>
      <c r="D2463" s="8"/>
      <c r="E2463" s="17" t="s">
        <v>29</v>
      </c>
      <c r="F2463" s="17" t="s">
        <v>29</v>
      </c>
      <c r="G2463" s="17" t="s">
        <v>29</v>
      </c>
      <c r="H2463" s="17" t="s">
        <v>29</v>
      </c>
      <c r="I2463" s="17" t="s">
        <v>29</v>
      </c>
      <c r="J2463" s="17" t="s">
        <v>29</v>
      </c>
      <c r="K2463" s="17" t="s">
        <v>29</v>
      </c>
      <c r="L2463" s="17" t="s">
        <v>29</v>
      </c>
      <c r="M2463" s="17" t="s">
        <v>29</v>
      </c>
      <c r="N2463" s="17" t="s">
        <v>29</v>
      </c>
      <c r="O2463" s="17" t="s">
        <v>29</v>
      </c>
      <c r="P2463" s="17" t="s">
        <v>29</v>
      </c>
      <c r="Q2463" s="17" t="s">
        <v>29</v>
      </c>
      <c r="R2463" s="17" t="s">
        <v>29</v>
      </c>
      <c r="S2463" s="17" t="s">
        <v>29</v>
      </c>
      <c r="T2463" s="17" t="s">
        <v>29</v>
      </c>
      <c r="U2463" s="17" t="s">
        <v>29</v>
      </c>
      <c r="V2463" s="17" t="s">
        <v>29</v>
      </c>
      <c r="W2463" s="17" t="s">
        <v>29</v>
      </c>
      <c r="X2463" s="17" t="s">
        <v>29</v>
      </c>
      <c r="Y2463" s="17" t="s">
        <v>29</v>
      </c>
      <c r="Z2463" s="17" t="s">
        <v>29</v>
      </c>
      <c r="AA2463" s="17" t="s">
        <v>29</v>
      </c>
      <c r="AB2463" s="17" t="s">
        <v>29</v>
      </c>
    </row>
    <row r="2464" spans="1:28" x14ac:dyDescent="0.35">
      <c r="A2464" s="36"/>
      <c r="B2464" s="8"/>
      <c r="C2464" s="8"/>
      <c r="D2464" s="8"/>
      <c r="E2464" s="9">
        <f>SUM(E2436:E2462)</f>
        <v>95813298.980000004</v>
      </c>
      <c r="F2464" s="9">
        <f t="shared" ref="F2464:AB2464" si="485">SUM(F2436:F2462)</f>
        <v>89204069.989999995</v>
      </c>
      <c r="G2464" s="9">
        <f t="shared" si="485"/>
        <v>0</v>
      </c>
      <c r="H2464" s="9">
        <f t="shared" si="485"/>
        <v>89204069.989999995</v>
      </c>
      <c r="I2464" s="9">
        <f t="shared" si="485"/>
        <v>1068934.93</v>
      </c>
      <c r="J2464" s="9">
        <f t="shared" si="485"/>
        <v>1068934.93</v>
      </c>
      <c r="K2464" s="9">
        <f t="shared" si="485"/>
        <v>0</v>
      </c>
      <c r="L2464" s="9">
        <f t="shared" si="485"/>
        <v>0</v>
      </c>
      <c r="M2464" s="9">
        <f t="shared" si="485"/>
        <v>89204069.989999995</v>
      </c>
      <c r="N2464" s="9">
        <f t="shared" si="485"/>
        <v>6605129.4500000002</v>
      </c>
      <c r="O2464" s="9">
        <f t="shared" si="485"/>
        <v>0</v>
      </c>
      <c r="P2464" s="9">
        <f t="shared" si="485"/>
        <v>6605129.4500000002</v>
      </c>
      <c r="Q2464" s="9">
        <f t="shared" si="485"/>
        <v>4099.54</v>
      </c>
      <c r="R2464" s="9">
        <f t="shared" si="485"/>
        <v>0</v>
      </c>
      <c r="S2464" s="9">
        <f t="shared" si="485"/>
        <v>0</v>
      </c>
      <c r="T2464" s="9">
        <f t="shared" si="485"/>
        <v>4099.54</v>
      </c>
      <c r="U2464" s="9">
        <f t="shared" si="485"/>
        <v>6609228.9900000002</v>
      </c>
      <c r="V2464" s="9">
        <f t="shared" si="485"/>
        <v>95809199.440000013</v>
      </c>
      <c r="W2464" s="9">
        <f t="shared" si="485"/>
        <v>4099.5400000000373</v>
      </c>
      <c r="X2464" s="9">
        <f t="shared" si="485"/>
        <v>95809199.440000013</v>
      </c>
      <c r="Y2464" s="9">
        <f t="shared" si="485"/>
        <v>0</v>
      </c>
      <c r="Z2464" s="9">
        <f t="shared" si="485"/>
        <v>4099.5400000000373</v>
      </c>
      <c r="AA2464" s="9">
        <f t="shared" si="485"/>
        <v>95813298.980000004</v>
      </c>
      <c r="AB2464" s="9">
        <f t="shared" si="485"/>
        <v>0</v>
      </c>
    </row>
    <row r="2465" spans="1:28" x14ac:dyDescent="0.35">
      <c r="A2465" s="36"/>
      <c r="B2465" s="8"/>
      <c r="C2465" s="8"/>
      <c r="D2465" s="8"/>
      <c r="E2465" s="17" t="s">
        <v>29</v>
      </c>
      <c r="F2465" s="17" t="s">
        <v>29</v>
      </c>
      <c r="G2465" s="17" t="s">
        <v>29</v>
      </c>
      <c r="H2465" s="17" t="s">
        <v>29</v>
      </c>
      <c r="I2465" s="17" t="s">
        <v>29</v>
      </c>
      <c r="J2465" s="17" t="s">
        <v>29</v>
      </c>
      <c r="K2465" s="17" t="s">
        <v>29</v>
      </c>
      <c r="L2465" s="17" t="s">
        <v>29</v>
      </c>
      <c r="M2465" s="17" t="s">
        <v>29</v>
      </c>
      <c r="N2465" s="17" t="s">
        <v>29</v>
      </c>
      <c r="O2465" s="17" t="s">
        <v>29</v>
      </c>
      <c r="P2465" s="17" t="s">
        <v>29</v>
      </c>
      <c r="Q2465" s="17" t="s">
        <v>29</v>
      </c>
      <c r="R2465" s="17" t="s">
        <v>29</v>
      </c>
      <c r="S2465" s="17" t="s">
        <v>29</v>
      </c>
      <c r="T2465" s="17" t="s">
        <v>29</v>
      </c>
      <c r="U2465" s="17" t="s">
        <v>29</v>
      </c>
      <c r="V2465" s="17" t="s">
        <v>29</v>
      </c>
      <c r="W2465" s="17" t="s">
        <v>29</v>
      </c>
      <c r="X2465" s="17" t="s">
        <v>29</v>
      </c>
      <c r="Y2465" s="17" t="s">
        <v>29</v>
      </c>
      <c r="Z2465" s="17" t="s">
        <v>29</v>
      </c>
      <c r="AA2465" s="17" t="s">
        <v>29</v>
      </c>
      <c r="AB2465" s="17" t="s">
        <v>29</v>
      </c>
    </row>
    <row r="2466" spans="1:28" x14ac:dyDescent="0.35">
      <c r="A2466" s="36"/>
      <c r="B2466" s="7" t="s">
        <v>453</v>
      </c>
      <c r="C2466" s="8"/>
      <c r="D2466" s="8"/>
      <c r="E2466" s="9">
        <v>1700000</v>
      </c>
      <c r="F2466" s="9">
        <v>1700000</v>
      </c>
      <c r="G2466" s="8"/>
      <c r="H2466" s="9">
        <f>F2466+G2466</f>
        <v>1700000</v>
      </c>
      <c r="I2466" s="8"/>
      <c r="J2466" s="8"/>
      <c r="K2466" s="9">
        <f>-3912180+3912180</f>
        <v>0</v>
      </c>
      <c r="L2466" s="9">
        <f>I2466-J2466+K2466</f>
        <v>0</v>
      </c>
      <c r="M2466" s="9">
        <f>H2466+L2466</f>
        <v>1700000</v>
      </c>
      <c r="N2466" s="9">
        <v>0</v>
      </c>
      <c r="O2466" s="8"/>
      <c r="P2466" s="9">
        <f>N2466+O2466</f>
        <v>0</v>
      </c>
      <c r="Q2466" s="8"/>
      <c r="R2466" s="8"/>
      <c r="S2466" s="8"/>
      <c r="T2466" s="9">
        <f>Q2466-R2466+S2466</f>
        <v>0</v>
      </c>
      <c r="U2466" s="9">
        <f>P2466+T2466</f>
        <v>0</v>
      </c>
      <c r="V2466" s="9">
        <f>P2466+H2466</f>
        <v>1700000</v>
      </c>
      <c r="W2466" s="9">
        <f>E2466-V2466</f>
        <v>0</v>
      </c>
      <c r="X2466" s="9">
        <f>+H2466+P2466</f>
        <v>1700000</v>
      </c>
      <c r="Y2466" s="8"/>
      <c r="Z2466" s="9">
        <f>+E2466-X2466</f>
        <v>0</v>
      </c>
      <c r="AA2466" s="8">
        <f>+M2466+U2466</f>
        <v>1700000</v>
      </c>
      <c r="AB2466" s="8">
        <f>+E2466-AA2466</f>
        <v>0</v>
      </c>
    </row>
    <row r="2467" spans="1:28" x14ac:dyDescent="0.35">
      <c r="A2467" s="36"/>
      <c r="B2467" s="8"/>
      <c r="C2467" s="8"/>
      <c r="D2467" s="8"/>
      <c r="E2467" s="17" t="s">
        <v>29</v>
      </c>
      <c r="F2467" s="17" t="s">
        <v>29</v>
      </c>
      <c r="G2467" s="17" t="s">
        <v>29</v>
      </c>
      <c r="H2467" s="17" t="s">
        <v>29</v>
      </c>
      <c r="I2467" s="17" t="s">
        <v>29</v>
      </c>
      <c r="J2467" s="17" t="s">
        <v>29</v>
      </c>
      <c r="K2467" s="17" t="s">
        <v>29</v>
      </c>
      <c r="L2467" s="17" t="s">
        <v>29</v>
      </c>
      <c r="M2467" s="17" t="s">
        <v>29</v>
      </c>
      <c r="N2467" s="17" t="s">
        <v>29</v>
      </c>
      <c r="O2467" s="17" t="s">
        <v>29</v>
      </c>
      <c r="P2467" s="17" t="s">
        <v>29</v>
      </c>
      <c r="Q2467" s="17" t="s">
        <v>29</v>
      </c>
      <c r="R2467" s="17" t="s">
        <v>29</v>
      </c>
      <c r="S2467" s="17" t="s">
        <v>29</v>
      </c>
      <c r="T2467" s="17" t="s">
        <v>29</v>
      </c>
      <c r="U2467" s="17" t="s">
        <v>29</v>
      </c>
      <c r="V2467" s="17" t="s">
        <v>29</v>
      </c>
      <c r="W2467" s="17" t="s">
        <v>29</v>
      </c>
      <c r="X2467" s="17" t="s">
        <v>29</v>
      </c>
      <c r="Y2467" s="17" t="s">
        <v>29</v>
      </c>
      <c r="Z2467" s="17" t="s">
        <v>29</v>
      </c>
      <c r="AA2467" s="17" t="s">
        <v>29</v>
      </c>
      <c r="AB2467" s="17" t="s">
        <v>29</v>
      </c>
    </row>
    <row r="2468" spans="1:28" x14ac:dyDescent="0.35">
      <c r="A2468" s="36"/>
      <c r="B2468" s="8"/>
      <c r="C2468" s="8"/>
      <c r="D2468" s="8"/>
      <c r="E2468" s="9">
        <f t="shared" ref="E2468:AB2468" si="486">E2466</f>
        <v>1700000</v>
      </c>
      <c r="F2468" s="9">
        <f t="shared" si="486"/>
        <v>1700000</v>
      </c>
      <c r="G2468" s="9">
        <f t="shared" si="486"/>
        <v>0</v>
      </c>
      <c r="H2468" s="9">
        <f t="shared" si="486"/>
        <v>1700000</v>
      </c>
      <c r="I2468" s="9">
        <f t="shared" si="486"/>
        <v>0</v>
      </c>
      <c r="J2468" s="9">
        <f t="shared" si="486"/>
        <v>0</v>
      </c>
      <c r="K2468" s="9">
        <f t="shared" si="486"/>
        <v>0</v>
      </c>
      <c r="L2468" s="9">
        <f t="shared" si="486"/>
        <v>0</v>
      </c>
      <c r="M2468" s="9">
        <f t="shared" si="486"/>
        <v>1700000</v>
      </c>
      <c r="N2468" s="9">
        <f t="shared" si="486"/>
        <v>0</v>
      </c>
      <c r="O2468" s="9">
        <f t="shared" si="486"/>
        <v>0</v>
      </c>
      <c r="P2468" s="9">
        <f t="shared" si="486"/>
        <v>0</v>
      </c>
      <c r="Q2468" s="9">
        <f t="shared" si="486"/>
        <v>0</v>
      </c>
      <c r="R2468" s="9">
        <f t="shared" si="486"/>
        <v>0</v>
      </c>
      <c r="S2468" s="9">
        <f t="shared" si="486"/>
        <v>0</v>
      </c>
      <c r="T2468" s="9">
        <f t="shared" si="486"/>
        <v>0</v>
      </c>
      <c r="U2468" s="9">
        <f t="shared" si="486"/>
        <v>0</v>
      </c>
      <c r="V2468" s="9">
        <f t="shared" si="486"/>
        <v>1700000</v>
      </c>
      <c r="W2468" s="9">
        <f t="shared" si="486"/>
        <v>0</v>
      </c>
      <c r="X2468" s="9">
        <f t="shared" si="486"/>
        <v>1700000</v>
      </c>
      <c r="Y2468" s="9">
        <f t="shared" si="486"/>
        <v>0</v>
      </c>
      <c r="Z2468" s="9">
        <f t="shared" si="486"/>
        <v>0</v>
      </c>
      <c r="AA2468" s="9">
        <f t="shared" si="486"/>
        <v>1700000</v>
      </c>
      <c r="AB2468" s="9">
        <f t="shared" si="486"/>
        <v>0</v>
      </c>
    </row>
    <row r="2469" spans="1:28" x14ac:dyDescent="0.35">
      <c r="A2469" s="36"/>
      <c r="B2469" s="8"/>
      <c r="C2469" s="8"/>
      <c r="D2469" s="8"/>
      <c r="E2469" s="17" t="s">
        <v>29</v>
      </c>
      <c r="F2469" s="17" t="s">
        <v>29</v>
      </c>
      <c r="G2469" s="17" t="s">
        <v>29</v>
      </c>
      <c r="H2469" s="17" t="s">
        <v>29</v>
      </c>
      <c r="I2469" s="17" t="s">
        <v>29</v>
      </c>
      <c r="J2469" s="17" t="s">
        <v>29</v>
      </c>
      <c r="K2469" s="17" t="s">
        <v>29</v>
      </c>
      <c r="L2469" s="17" t="s">
        <v>29</v>
      </c>
      <c r="M2469" s="17" t="s">
        <v>29</v>
      </c>
      <c r="N2469" s="17" t="s">
        <v>29</v>
      </c>
      <c r="O2469" s="17" t="s">
        <v>29</v>
      </c>
      <c r="P2469" s="17" t="s">
        <v>29</v>
      </c>
      <c r="Q2469" s="17" t="s">
        <v>29</v>
      </c>
      <c r="R2469" s="17" t="s">
        <v>29</v>
      </c>
      <c r="S2469" s="17" t="s">
        <v>29</v>
      </c>
      <c r="T2469" s="17" t="s">
        <v>29</v>
      </c>
      <c r="U2469" s="17" t="s">
        <v>29</v>
      </c>
      <c r="V2469" s="17" t="s">
        <v>29</v>
      </c>
      <c r="W2469" s="17" t="s">
        <v>29</v>
      </c>
      <c r="X2469" s="17" t="s">
        <v>29</v>
      </c>
      <c r="Y2469" s="17" t="s">
        <v>29</v>
      </c>
      <c r="Z2469" s="17" t="s">
        <v>29</v>
      </c>
      <c r="AA2469" s="17" t="s">
        <v>29</v>
      </c>
      <c r="AB2469" s="17" t="s">
        <v>29</v>
      </c>
    </row>
    <row r="2470" spans="1:28" x14ac:dyDescent="0.35">
      <c r="A2470" s="36"/>
      <c r="B2470" s="8"/>
      <c r="C2470" s="8"/>
      <c r="D2470" s="8"/>
      <c r="E2470" s="8"/>
      <c r="F2470" s="8"/>
      <c r="G2470" s="8"/>
      <c r="H2470" s="8"/>
      <c r="I2470" s="8"/>
      <c r="J2470" s="8"/>
      <c r="K2470" s="8"/>
      <c r="L2470" s="8"/>
      <c r="M2470" s="8"/>
      <c r="N2470" s="8"/>
      <c r="O2470" s="8"/>
      <c r="P2470" s="8"/>
      <c r="Q2470" s="8"/>
      <c r="R2470" s="8"/>
      <c r="S2470" s="8"/>
      <c r="T2470" s="8"/>
      <c r="U2470" s="8"/>
      <c r="V2470" s="8"/>
      <c r="W2470" s="8"/>
      <c r="X2470" s="8"/>
      <c r="Y2470" s="8"/>
      <c r="Z2470" s="8"/>
    </row>
    <row r="2471" spans="1:28" x14ac:dyDescent="0.35">
      <c r="A2471" s="38" t="s">
        <v>1050</v>
      </c>
      <c r="B2471" s="7" t="s">
        <v>454</v>
      </c>
      <c r="C2471" s="8"/>
      <c r="D2471" s="8"/>
      <c r="E2471" s="8"/>
      <c r="F2471" s="8"/>
      <c r="G2471" s="8"/>
      <c r="H2471" s="8"/>
      <c r="I2471" s="8"/>
      <c r="J2471" s="8"/>
      <c r="K2471" s="8"/>
      <c r="L2471" s="8"/>
      <c r="M2471" s="8"/>
      <c r="N2471" s="8"/>
      <c r="O2471" s="8"/>
      <c r="P2471" s="8"/>
      <c r="Q2471" s="8"/>
      <c r="R2471" s="8"/>
      <c r="S2471" s="8"/>
      <c r="T2471" s="8"/>
      <c r="U2471" s="8"/>
      <c r="V2471" s="8"/>
      <c r="W2471" s="8"/>
      <c r="X2471" s="8"/>
      <c r="Y2471" s="8"/>
      <c r="Z2471" s="8"/>
    </row>
    <row r="2472" spans="1:28" x14ac:dyDescent="0.35">
      <c r="A2472" s="36"/>
      <c r="B2472" s="8"/>
      <c r="C2472" s="7" t="s">
        <v>57</v>
      </c>
      <c r="D2472" s="15" t="s">
        <v>455</v>
      </c>
      <c r="E2472" s="9">
        <v>10007897.939999999</v>
      </c>
      <c r="F2472" s="9">
        <v>9820889.8599999994</v>
      </c>
      <c r="G2472" s="8"/>
      <c r="H2472" s="9">
        <f t="shared" ref="H2472:H2487" si="487">F2472+G2472</f>
        <v>9820889.8599999994</v>
      </c>
      <c r="I2472" s="8"/>
      <c r="J2472" s="8"/>
      <c r="K2472" s="8"/>
      <c r="L2472" s="9"/>
      <c r="M2472" s="9">
        <f t="shared" ref="M2472:M2487" si="488">H2472+L2472</f>
        <v>9820889.8599999994</v>
      </c>
      <c r="N2472" s="9">
        <v>187008.08</v>
      </c>
      <c r="O2472" s="8"/>
      <c r="P2472" s="9">
        <f t="shared" ref="P2472:P2487" si="489">N2472+O2472</f>
        <v>187008.08</v>
      </c>
      <c r="Q2472" s="8"/>
      <c r="R2472" s="8"/>
      <c r="S2472" s="8"/>
      <c r="T2472" s="9"/>
      <c r="U2472" s="9">
        <f t="shared" ref="U2472:U2487" si="490">P2472+T2472</f>
        <v>187008.08</v>
      </c>
      <c r="V2472" s="9">
        <f t="shared" ref="V2472:V2487" si="491">P2472+H2472</f>
        <v>10007897.939999999</v>
      </c>
      <c r="W2472" s="9">
        <f t="shared" ref="W2472:W2487" si="492">E2472-V2472</f>
        <v>0</v>
      </c>
      <c r="X2472" s="9">
        <f t="shared" ref="X2472:X2487" si="493">+H2472+P2472</f>
        <v>10007897.939999999</v>
      </c>
      <c r="Y2472" s="8"/>
      <c r="Z2472" s="9">
        <f t="shared" ref="Z2472:Z2487" si="494">+E2472-X2472</f>
        <v>0</v>
      </c>
      <c r="AA2472" s="8">
        <f t="shared" ref="AA2472:AA2487" si="495">+M2472+U2472</f>
        <v>10007897.939999999</v>
      </c>
      <c r="AB2472" s="8">
        <f t="shared" ref="AB2472:AB2487" si="496">+E2472-AA2472</f>
        <v>0</v>
      </c>
    </row>
    <row r="2473" spans="1:28" x14ac:dyDescent="0.35">
      <c r="A2473" s="36"/>
      <c r="B2473" s="8"/>
      <c r="C2473" s="7" t="s">
        <v>53</v>
      </c>
      <c r="D2473" s="15" t="s">
        <v>54</v>
      </c>
      <c r="E2473" s="9">
        <v>1953989</v>
      </c>
      <c r="F2473" s="9">
        <v>0</v>
      </c>
      <c r="G2473" s="8"/>
      <c r="H2473" s="9">
        <f t="shared" si="487"/>
        <v>0</v>
      </c>
      <c r="I2473" s="8"/>
      <c r="J2473" s="8"/>
      <c r="K2473" s="8"/>
      <c r="L2473" s="9"/>
      <c r="M2473" s="9">
        <f t="shared" si="488"/>
        <v>0</v>
      </c>
      <c r="N2473" s="9">
        <v>1953989</v>
      </c>
      <c r="O2473" s="8"/>
      <c r="P2473" s="9">
        <f t="shared" si="489"/>
        <v>1953989</v>
      </c>
      <c r="Q2473" s="8"/>
      <c r="R2473" s="8"/>
      <c r="S2473" s="8"/>
      <c r="T2473" s="9"/>
      <c r="U2473" s="9">
        <f t="shared" si="490"/>
        <v>1953989</v>
      </c>
      <c r="V2473" s="9">
        <f t="shared" si="491"/>
        <v>1953989</v>
      </c>
      <c r="W2473" s="9">
        <f t="shared" si="492"/>
        <v>0</v>
      </c>
      <c r="X2473" s="9">
        <f t="shared" si="493"/>
        <v>1953989</v>
      </c>
      <c r="Y2473" s="8"/>
      <c r="Z2473" s="9">
        <f t="shared" si="494"/>
        <v>0</v>
      </c>
      <c r="AA2473" s="8">
        <f t="shared" si="495"/>
        <v>1953989</v>
      </c>
      <c r="AB2473" s="8">
        <f t="shared" si="496"/>
        <v>0</v>
      </c>
    </row>
    <row r="2474" spans="1:28" x14ac:dyDescent="0.35">
      <c r="A2474" s="36"/>
      <c r="B2474" s="8"/>
      <c r="C2474" s="7" t="s">
        <v>456</v>
      </c>
      <c r="D2474" s="15" t="s">
        <v>85</v>
      </c>
      <c r="E2474" s="9">
        <f>3360000-1600000</f>
        <v>1760000</v>
      </c>
      <c r="F2474" s="9">
        <v>1760000</v>
      </c>
      <c r="G2474" s="8"/>
      <c r="H2474" s="9">
        <f t="shared" si="487"/>
        <v>1760000</v>
      </c>
      <c r="I2474" s="8"/>
      <c r="J2474" s="8"/>
      <c r="K2474" s="8"/>
      <c r="L2474" s="9"/>
      <c r="M2474" s="9">
        <f t="shared" si="488"/>
        <v>1760000</v>
      </c>
      <c r="N2474" s="9">
        <v>0</v>
      </c>
      <c r="O2474" s="8"/>
      <c r="P2474" s="9">
        <f t="shared" si="489"/>
        <v>0</v>
      </c>
      <c r="Q2474" s="8"/>
      <c r="R2474" s="8"/>
      <c r="S2474" s="8"/>
      <c r="T2474" s="9"/>
      <c r="U2474" s="9">
        <f t="shared" si="490"/>
        <v>0</v>
      </c>
      <c r="V2474" s="9">
        <f t="shared" si="491"/>
        <v>1760000</v>
      </c>
      <c r="W2474" s="9">
        <f t="shared" si="492"/>
        <v>0</v>
      </c>
      <c r="X2474" s="9">
        <f t="shared" si="493"/>
        <v>1760000</v>
      </c>
      <c r="Y2474" s="8"/>
      <c r="Z2474" s="9">
        <f t="shared" si="494"/>
        <v>0</v>
      </c>
      <c r="AA2474" s="8">
        <f t="shared" si="495"/>
        <v>1760000</v>
      </c>
      <c r="AB2474" s="8">
        <f t="shared" si="496"/>
        <v>0</v>
      </c>
    </row>
    <row r="2475" spans="1:28" x14ac:dyDescent="0.35">
      <c r="A2475" s="36"/>
      <c r="B2475" s="8"/>
      <c r="C2475" s="7" t="s">
        <v>457</v>
      </c>
      <c r="D2475" s="15" t="s">
        <v>128</v>
      </c>
      <c r="E2475" s="9">
        <v>955345.62</v>
      </c>
      <c r="F2475" s="9">
        <v>0</v>
      </c>
      <c r="G2475" s="8"/>
      <c r="H2475" s="9">
        <f t="shared" si="487"/>
        <v>0</v>
      </c>
      <c r="I2475" s="8"/>
      <c r="J2475" s="8"/>
      <c r="K2475" s="8"/>
      <c r="L2475" s="9"/>
      <c r="M2475" s="9">
        <f t="shared" si="488"/>
        <v>0</v>
      </c>
      <c r="N2475" s="9">
        <v>955345.62</v>
      </c>
      <c r="O2475" s="8"/>
      <c r="P2475" s="9">
        <f t="shared" si="489"/>
        <v>955345.62</v>
      </c>
      <c r="Q2475" s="8"/>
      <c r="R2475" s="8"/>
      <c r="S2475" s="8"/>
      <c r="T2475" s="9"/>
      <c r="U2475" s="9">
        <f t="shared" si="490"/>
        <v>955345.62</v>
      </c>
      <c r="V2475" s="9">
        <f t="shared" si="491"/>
        <v>955345.62</v>
      </c>
      <c r="W2475" s="9">
        <f t="shared" si="492"/>
        <v>0</v>
      </c>
      <c r="X2475" s="9">
        <f t="shared" si="493"/>
        <v>955345.62</v>
      </c>
      <c r="Y2475" s="8"/>
      <c r="Z2475" s="9">
        <f t="shared" si="494"/>
        <v>0</v>
      </c>
      <c r="AA2475" s="8">
        <f t="shared" si="495"/>
        <v>955345.62</v>
      </c>
      <c r="AB2475" s="8">
        <f t="shared" si="496"/>
        <v>0</v>
      </c>
    </row>
    <row r="2476" spans="1:28" x14ac:dyDescent="0.35">
      <c r="A2476" s="36"/>
      <c r="B2476" s="8"/>
      <c r="C2476" s="7" t="s">
        <v>55</v>
      </c>
      <c r="D2476" s="15" t="s">
        <v>128</v>
      </c>
      <c r="E2476" s="9">
        <v>365606.25</v>
      </c>
      <c r="F2476" s="9">
        <v>0</v>
      </c>
      <c r="G2476" s="8"/>
      <c r="H2476" s="9">
        <f t="shared" si="487"/>
        <v>0</v>
      </c>
      <c r="I2476" s="8"/>
      <c r="J2476" s="8"/>
      <c r="K2476" s="8"/>
      <c r="L2476" s="9"/>
      <c r="M2476" s="9">
        <f t="shared" si="488"/>
        <v>0</v>
      </c>
      <c r="N2476" s="9">
        <v>365606.25</v>
      </c>
      <c r="O2476" s="8"/>
      <c r="P2476" s="9">
        <f t="shared" si="489"/>
        <v>365606.25</v>
      </c>
      <c r="Q2476" s="8"/>
      <c r="R2476" s="8"/>
      <c r="S2476" s="8"/>
      <c r="T2476" s="9"/>
      <c r="U2476" s="9">
        <f t="shared" si="490"/>
        <v>365606.25</v>
      </c>
      <c r="V2476" s="9">
        <f t="shared" si="491"/>
        <v>365606.25</v>
      </c>
      <c r="W2476" s="9">
        <f t="shared" si="492"/>
        <v>0</v>
      </c>
      <c r="X2476" s="9">
        <f t="shared" si="493"/>
        <v>365606.25</v>
      </c>
      <c r="Y2476" s="8"/>
      <c r="Z2476" s="9">
        <f t="shared" si="494"/>
        <v>0</v>
      </c>
      <c r="AA2476" s="8">
        <f t="shared" si="495"/>
        <v>365606.25</v>
      </c>
      <c r="AB2476" s="8">
        <f t="shared" si="496"/>
        <v>0</v>
      </c>
    </row>
    <row r="2477" spans="1:28" x14ac:dyDescent="0.35">
      <c r="A2477" s="36"/>
      <c r="B2477" s="8"/>
      <c r="C2477" s="7" t="s">
        <v>225</v>
      </c>
      <c r="D2477" s="15" t="s">
        <v>85</v>
      </c>
      <c r="E2477" s="9">
        <v>80000</v>
      </c>
      <c r="F2477" s="9">
        <v>0</v>
      </c>
      <c r="G2477" s="8"/>
      <c r="H2477" s="9">
        <f t="shared" si="487"/>
        <v>0</v>
      </c>
      <c r="I2477" s="8"/>
      <c r="J2477" s="8"/>
      <c r="K2477" s="8"/>
      <c r="L2477" s="9"/>
      <c r="M2477" s="9">
        <f t="shared" si="488"/>
        <v>0</v>
      </c>
      <c r="N2477" s="9">
        <v>0</v>
      </c>
      <c r="O2477" s="8"/>
      <c r="P2477" s="9">
        <f t="shared" si="489"/>
        <v>0</v>
      </c>
      <c r="Q2477" s="8"/>
      <c r="R2477" s="8"/>
      <c r="S2477" s="8"/>
      <c r="T2477" s="9"/>
      <c r="U2477" s="9">
        <f t="shared" si="490"/>
        <v>0</v>
      </c>
      <c r="V2477" s="9">
        <f t="shared" si="491"/>
        <v>0</v>
      </c>
      <c r="W2477" s="9">
        <f t="shared" si="492"/>
        <v>80000</v>
      </c>
      <c r="X2477" s="9">
        <f t="shared" si="493"/>
        <v>0</v>
      </c>
      <c r="Y2477" s="8"/>
      <c r="Z2477" s="9">
        <f t="shared" si="494"/>
        <v>80000</v>
      </c>
      <c r="AA2477" s="8">
        <f t="shared" si="495"/>
        <v>0</v>
      </c>
      <c r="AB2477" s="8">
        <f t="shared" si="496"/>
        <v>80000</v>
      </c>
    </row>
    <row r="2478" spans="1:28" x14ac:dyDescent="0.35">
      <c r="A2478" s="36"/>
      <c r="B2478" s="8"/>
      <c r="C2478" s="7" t="s">
        <v>57</v>
      </c>
      <c r="D2478" s="15" t="s">
        <v>58</v>
      </c>
      <c r="E2478" s="9">
        <v>15233813</v>
      </c>
      <c r="F2478" s="9">
        <v>15233813</v>
      </c>
      <c r="G2478" s="8"/>
      <c r="H2478" s="9">
        <f t="shared" si="487"/>
        <v>15233813</v>
      </c>
      <c r="I2478" s="8"/>
      <c r="J2478" s="8"/>
      <c r="K2478" s="8"/>
      <c r="L2478" s="9"/>
      <c r="M2478" s="9">
        <f t="shared" si="488"/>
        <v>15233813</v>
      </c>
      <c r="N2478" s="9">
        <v>0</v>
      </c>
      <c r="O2478" s="8"/>
      <c r="P2478" s="9">
        <f t="shared" si="489"/>
        <v>0</v>
      </c>
      <c r="Q2478" s="8"/>
      <c r="R2478" s="8"/>
      <c r="S2478" s="8"/>
      <c r="T2478" s="9"/>
      <c r="U2478" s="9">
        <f t="shared" si="490"/>
        <v>0</v>
      </c>
      <c r="V2478" s="9">
        <f t="shared" si="491"/>
        <v>15233813</v>
      </c>
      <c r="W2478" s="9">
        <f t="shared" si="492"/>
        <v>0</v>
      </c>
      <c r="X2478" s="9">
        <f t="shared" si="493"/>
        <v>15233813</v>
      </c>
      <c r="Y2478" s="8"/>
      <c r="Z2478" s="9">
        <f t="shared" si="494"/>
        <v>0</v>
      </c>
      <c r="AA2478" s="8">
        <f t="shared" si="495"/>
        <v>15233813</v>
      </c>
      <c r="AB2478" s="8">
        <f t="shared" si="496"/>
        <v>0</v>
      </c>
    </row>
    <row r="2479" spans="1:28" x14ac:dyDescent="0.35">
      <c r="A2479" s="36"/>
      <c r="B2479" s="8"/>
      <c r="C2479" s="14" t="s">
        <v>109</v>
      </c>
      <c r="D2479" s="21" t="s">
        <v>60</v>
      </c>
      <c r="E2479" s="9">
        <v>9362372.5</v>
      </c>
      <c r="F2479" s="11">
        <v>9362372.5</v>
      </c>
      <c r="G2479" s="8"/>
      <c r="H2479" s="9">
        <f t="shared" si="487"/>
        <v>9362372.5</v>
      </c>
      <c r="I2479" s="8"/>
      <c r="J2479" s="8"/>
      <c r="K2479" s="8"/>
      <c r="L2479" s="9"/>
      <c r="M2479" s="9">
        <f t="shared" si="488"/>
        <v>9362372.5</v>
      </c>
      <c r="N2479" s="9">
        <v>0</v>
      </c>
      <c r="O2479" s="8"/>
      <c r="P2479" s="9">
        <f t="shared" si="489"/>
        <v>0</v>
      </c>
      <c r="Q2479" s="8"/>
      <c r="R2479" s="8"/>
      <c r="S2479" s="8"/>
      <c r="T2479" s="9"/>
      <c r="U2479" s="9">
        <f t="shared" si="490"/>
        <v>0</v>
      </c>
      <c r="V2479" s="9">
        <f t="shared" si="491"/>
        <v>9362372.5</v>
      </c>
      <c r="W2479" s="9">
        <f t="shared" si="492"/>
        <v>0</v>
      </c>
      <c r="X2479" s="9">
        <f t="shared" si="493"/>
        <v>9362372.5</v>
      </c>
      <c r="Y2479" s="8"/>
      <c r="Z2479" s="9">
        <f t="shared" si="494"/>
        <v>0</v>
      </c>
      <c r="AA2479" s="8">
        <f t="shared" si="495"/>
        <v>9362372.5</v>
      </c>
      <c r="AB2479" s="8">
        <f t="shared" si="496"/>
        <v>0</v>
      </c>
    </row>
    <row r="2480" spans="1:28" x14ac:dyDescent="0.35">
      <c r="A2480" s="36"/>
      <c r="B2480" s="8"/>
      <c r="C2480" s="7" t="s">
        <v>57</v>
      </c>
      <c r="D2480" s="15" t="s">
        <v>60</v>
      </c>
      <c r="E2480" s="9">
        <v>5000000</v>
      </c>
      <c r="F2480" s="11">
        <v>5000000</v>
      </c>
      <c r="G2480" s="8"/>
      <c r="H2480" s="9">
        <f t="shared" si="487"/>
        <v>5000000</v>
      </c>
      <c r="I2480" s="8"/>
      <c r="J2480" s="8"/>
      <c r="K2480" s="8"/>
      <c r="L2480" s="9"/>
      <c r="M2480" s="9">
        <f t="shared" si="488"/>
        <v>5000000</v>
      </c>
      <c r="N2480" s="9">
        <v>0</v>
      </c>
      <c r="O2480" s="8"/>
      <c r="P2480" s="9">
        <f t="shared" si="489"/>
        <v>0</v>
      </c>
      <c r="Q2480" s="8"/>
      <c r="R2480" s="8"/>
      <c r="S2480" s="8"/>
      <c r="T2480" s="9"/>
      <c r="U2480" s="9">
        <f t="shared" si="490"/>
        <v>0</v>
      </c>
      <c r="V2480" s="9">
        <f t="shared" si="491"/>
        <v>5000000</v>
      </c>
      <c r="W2480" s="9">
        <f t="shared" si="492"/>
        <v>0</v>
      </c>
      <c r="X2480" s="9">
        <f t="shared" si="493"/>
        <v>5000000</v>
      </c>
      <c r="Y2480" s="8"/>
      <c r="Z2480" s="9">
        <f t="shared" si="494"/>
        <v>0</v>
      </c>
      <c r="AA2480" s="8">
        <f t="shared" si="495"/>
        <v>5000000</v>
      </c>
      <c r="AB2480" s="8">
        <f t="shared" si="496"/>
        <v>0</v>
      </c>
    </row>
    <row r="2481" spans="1:28" x14ac:dyDescent="0.35">
      <c r="A2481" s="36"/>
      <c r="B2481" s="8"/>
      <c r="C2481" s="7" t="s">
        <v>928</v>
      </c>
      <c r="D2481" s="15"/>
      <c r="E2481" s="9">
        <f>2059000+1052000</f>
        <v>3111000</v>
      </c>
      <c r="F2481" s="8">
        <v>2059000</v>
      </c>
      <c r="G2481" s="8"/>
      <c r="H2481" s="9">
        <f>F2481+G2481</f>
        <v>2059000</v>
      </c>
      <c r="I2481" s="8"/>
      <c r="J2481" s="8"/>
      <c r="K2481" s="8"/>
      <c r="L2481" s="9"/>
      <c r="M2481" s="9">
        <f>H2481+L2481</f>
        <v>2059000</v>
      </c>
      <c r="N2481" s="9">
        <v>0</v>
      </c>
      <c r="O2481" s="8"/>
      <c r="P2481" s="9">
        <f>+N2481+O2481</f>
        <v>0</v>
      </c>
      <c r="Q2481" s="8"/>
      <c r="R2481" s="8"/>
      <c r="S2481" s="8"/>
      <c r="T2481" s="9"/>
      <c r="U2481" s="9">
        <f>P2481+T2481</f>
        <v>0</v>
      </c>
      <c r="V2481" s="9">
        <f>P2481+H2481</f>
        <v>2059000</v>
      </c>
      <c r="W2481" s="9">
        <f>E2481-V2481</f>
        <v>1052000</v>
      </c>
      <c r="X2481" s="9">
        <f t="shared" si="493"/>
        <v>2059000</v>
      </c>
      <c r="Y2481" s="8"/>
      <c r="Z2481" s="9">
        <f t="shared" si="494"/>
        <v>1052000</v>
      </c>
      <c r="AA2481" s="8">
        <f t="shared" si="495"/>
        <v>2059000</v>
      </c>
      <c r="AB2481" s="8">
        <f t="shared" si="496"/>
        <v>1052000</v>
      </c>
    </row>
    <row r="2482" spans="1:28" x14ac:dyDescent="0.35">
      <c r="A2482" s="36"/>
      <c r="B2482" s="8"/>
      <c r="C2482" s="7" t="s">
        <v>930</v>
      </c>
      <c r="D2482" s="16" t="s">
        <v>1072</v>
      </c>
      <c r="E2482" s="9">
        <f>2532000+720878.34</f>
        <v>3252878.34</v>
      </c>
      <c r="F2482" s="8">
        <v>3252878.34</v>
      </c>
      <c r="G2482" s="8"/>
      <c r="H2482" s="9">
        <f>+F2482+G2482</f>
        <v>3252878.34</v>
      </c>
      <c r="I2482" s="8"/>
      <c r="J2482" s="8"/>
      <c r="K2482" s="8"/>
      <c r="L2482" s="9"/>
      <c r="M2482" s="9">
        <f>+H2482+L2482</f>
        <v>3252878.34</v>
      </c>
      <c r="N2482" s="9">
        <v>0</v>
      </c>
      <c r="O2482" s="8"/>
      <c r="P2482" s="9">
        <f>+N2482+O2482</f>
        <v>0</v>
      </c>
      <c r="Q2482" s="8"/>
      <c r="R2482" s="8"/>
      <c r="S2482" s="8"/>
      <c r="T2482" s="9"/>
      <c r="U2482" s="9">
        <f>P2482+T2482</f>
        <v>0</v>
      </c>
      <c r="V2482" s="9">
        <f>P2482+H2482</f>
        <v>3252878.34</v>
      </c>
      <c r="W2482" s="9">
        <f>E2482-V2482</f>
        <v>0</v>
      </c>
      <c r="X2482" s="9">
        <f t="shared" si="493"/>
        <v>3252878.34</v>
      </c>
      <c r="Y2482" s="8"/>
      <c r="Z2482" s="9">
        <f t="shared" si="494"/>
        <v>0</v>
      </c>
      <c r="AA2482" s="8">
        <f t="shared" si="495"/>
        <v>3252878.34</v>
      </c>
      <c r="AB2482" s="8">
        <f t="shared" si="496"/>
        <v>0</v>
      </c>
    </row>
    <row r="2483" spans="1:28" x14ac:dyDescent="0.35">
      <c r="A2483" s="36"/>
      <c r="B2483" s="8"/>
      <c r="C2483" s="7" t="s">
        <v>1139</v>
      </c>
      <c r="D2483" s="16" t="s">
        <v>1126</v>
      </c>
      <c r="E2483" s="9">
        <v>300000</v>
      </c>
      <c r="F2483" s="8"/>
      <c r="G2483" s="8">
        <v>300000</v>
      </c>
      <c r="H2483" s="9">
        <f>+F2483+G2483</f>
        <v>300000</v>
      </c>
      <c r="I2483" s="8"/>
      <c r="J2483" s="8"/>
      <c r="K2483" s="8"/>
      <c r="L2483" s="9"/>
      <c r="M2483" s="9">
        <f>+H2483+L2483</f>
        <v>300000</v>
      </c>
      <c r="N2483" s="9">
        <v>0</v>
      </c>
      <c r="O2483" s="8"/>
      <c r="P2483" s="9">
        <f>+N2483+O2483</f>
        <v>0</v>
      </c>
      <c r="Q2483" s="8"/>
      <c r="R2483" s="8"/>
      <c r="S2483" s="8"/>
      <c r="T2483" s="9"/>
      <c r="U2483" s="9">
        <f>+P2483+T2483</f>
        <v>0</v>
      </c>
      <c r="V2483" s="9"/>
      <c r="W2483" s="9"/>
      <c r="X2483" s="9">
        <f>+H2483+P2483</f>
        <v>300000</v>
      </c>
      <c r="Y2483" s="8"/>
      <c r="Z2483" s="9">
        <f>+E2483-X2483</f>
        <v>0</v>
      </c>
      <c r="AA2483" s="8">
        <f>+M2483+U2483</f>
        <v>300000</v>
      </c>
      <c r="AB2483" s="8">
        <f>+E2483-AA2483</f>
        <v>0</v>
      </c>
    </row>
    <row r="2484" spans="1:28" x14ac:dyDescent="0.35">
      <c r="A2484" s="36"/>
      <c r="B2484" s="8"/>
      <c r="C2484" s="7" t="s">
        <v>458</v>
      </c>
      <c r="D2484" s="15" t="s">
        <v>73</v>
      </c>
      <c r="E2484" s="9">
        <f>6653101+2059000</f>
        <v>8712101</v>
      </c>
      <c r="F2484" s="11">
        <f>6653101+2059000+1052000</f>
        <v>9764101</v>
      </c>
      <c r="G2484" s="8"/>
      <c r="H2484" s="9">
        <f t="shared" si="487"/>
        <v>9764101</v>
      </c>
      <c r="I2484" s="11">
        <f>2059000+1052000-2059000</f>
        <v>1052000</v>
      </c>
      <c r="J2484" s="8"/>
      <c r="K2484" s="11"/>
      <c r="L2484" s="9"/>
      <c r="M2484" s="9">
        <f t="shared" si="488"/>
        <v>9764101</v>
      </c>
      <c r="N2484" s="9">
        <v>0</v>
      </c>
      <c r="O2484" s="8"/>
      <c r="P2484" s="9">
        <f t="shared" si="489"/>
        <v>0</v>
      </c>
      <c r="Q2484" s="8"/>
      <c r="R2484" s="8"/>
      <c r="S2484" s="8"/>
      <c r="T2484" s="9"/>
      <c r="U2484" s="9">
        <f t="shared" si="490"/>
        <v>0</v>
      </c>
      <c r="V2484" s="9">
        <f t="shared" si="491"/>
        <v>9764101</v>
      </c>
      <c r="W2484" s="9">
        <f t="shared" si="492"/>
        <v>-1052000</v>
      </c>
      <c r="X2484" s="9">
        <f t="shared" si="493"/>
        <v>9764101</v>
      </c>
      <c r="Y2484" s="8"/>
      <c r="Z2484" s="9">
        <f t="shared" si="494"/>
        <v>-1052000</v>
      </c>
      <c r="AA2484" s="8">
        <f t="shared" si="495"/>
        <v>9764101</v>
      </c>
      <c r="AB2484" s="8">
        <f t="shared" si="496"/>
        <v>-1052000</v>
      </c>
    </row>
    <row r="2485" spans="1:28" x14ac:dyDescent="0.35">
      <c r="A2485" s="36"/>
      <c r="B2485" s="8"/>
      <c r="C2485" s="7" t="s">
        <v>57</v>
      </c>
      <c r="D2485" s="15" t="s">
        <v>61</v>
      </c>
      <c r="E2485" s="9">
        <v>6095454</v>
      </c>
      <c r="F2485" s="11">
        <v>6095454</v>
      </c>
      <c r="G2485" s="11"/>
      <c r="H2485" s="9">
        <f t="shared" si="487"/>
        <v>6095454</v>
      </c>
      <c r="I2485" s="8"/>
      <c r="J2485" s="8"/>
      <c r="K2485" s="8"/>
      <c r="L2485" s="9"/>
      <c r="M2485" s="9">
        <f t="shared" si="488"/>
        <v>6095454</v>
      </c>
      <c r="N2485" s="9">
        <v>0</v>
      </c>
      <c r="O2485" s="8"/>
      <c r="P2485" s="9">
        <f t="shared" si="489"/>
        <v>0</v>
      </c>
      <c r="Q2485" s="8"/>
      <c r="R2485" s="8"/>
      <c r="S2485" s="8"/>
      <c r="T2485" s="9"/>
      <c r="U2485" s="9">
        <f t="shared" si="490"/>
        <v>0</v>
      </c>
      <c r="V2485" s="9">
        <f t="shared" si="491"/>
        <v>6095454</v>
      </c>
      <c r="W2485" s="9">
        <f t="shared" si="492"/>
        <v>0</v>
      </c>
      <c r="X2485" s="9">
        <f t="shared" si="493"/>
        <v>6095454</v>
      </c>
      <c r="Y2485" s="8"/>
      <c r="Z2485" s="9">
        <f t="shared" si="494"/>
        <v>0</v>
      </c>
      <c r="AA2485" s="8">
        <f t="shared" si="495"/>
        <v>6095454</v>
      </c>
      <c r="AB2485" s="8">
        <f t="shared" si="496"/>
        <v>0</v>
      </c>
    </row>
    <row r="2486" spans="1:28" x14ac:dyDescent="0.35">
      <c r="A2486" s="36"/>
      <c r="B2486" s="8"/>
      <c r="C2486" s="7" t="s">
        <v>459</v>
      </c>
      <c r="D2486" s="7" t="s">
        <v>71</v>
      </c>
      <c r="E2486" s="9">
        <v>3045000</v>
      </c>
      <c r="F2486" s="9">
        <v>3045000</v>
      </c>
      <c r="G2486" s="8"/>
      <c r="H2486" s="9">
        <f t="shared" si="487"/>
        <v>3045000</v>
      </c>
      <c r="I2486" s="8"/>
      <c r="J2486" s="8"/>
      <c r="K2486" s="8"/>
      <c r="L2486" s="9"/>
      <c r="M2486" s="9">
        <f t="shared" si="488"/>
        <v>3045000</v>
      </c>
      <c r="N2486" s="9">
        <v>0</v>
      </c>
      <c r="O2486" s="8"/>
      <c r="P2486" s="9">
        <f t="shared" si="489"/>
        <v>0</v>
      </c>
      <c r="Q2486" s="8"/>
      <c r="R2486" s="8"/>
      <c r="S2486" s="8"/>
      <c r="T2486" s="9"/>
      <c r="U2486" s="9">
        <f t="shared" si="490"/>
        <v>0</v>
      </c>
      <c r="V2486" s="9">
        <f t="shared" si="491"/>
        <v>3045000</v>
      </c>
      <c r="W2486" s="9">
        <f t="shared" si="492"/>
        <v>0</v>
      </c>
      <c r="X2486" s="9">
        <f t="shared" si="493"/>
        <v>3045000</v>
      </c>
      <c r="Y2486" s="8"/>
      <c r="Z2486" s="9">
        <f t="shared" si="494"/>
        <v>0</v>
      </c>
      <c r="AA2486" s="8">
        <f t="shared" si="495"/>
        <v>3045000</v>
      </c>
      <c r="AB2486" s="8">
        <f t="shared" si="496"/>
        <v>0</v>
      </c>
    </row>
    <row r="2487" spans="1:28" x14ac:dyDescent="0.35">
      <c r="A2487" s="36"/>
      <c r="B2487" s="8"/>
      <c r="C2487" s="14" t="s">
        <v>95</v>
      </c>
      <c r="D2487" s="21" t="s">
        <v>60</v>
      </c>
      <c r="E2487" s="9">
        <v>1268377</v>
      </c>
      <c r="F2487" s="11">
        <v>1268377</v>
      </c>
      <c r="G2487" s="8"/>
      <c r="H2487" s="9">
        <f t="shared" si="487"/>
        <v>1268377</v>
      </c>
      <c r="I2487" s="8"/>
      <c r="J2487" s="8"/>
      <c r="K2487" s="8"/>
      <c r="L2487" s="9"/>
      <c r="M2487" s="9">
        <f t="shared" si="488"/>
        <v>1268377</v>
      </c>
      <c r="N2487" s="9">
        <v>0</v>
      </c>
      <c r="O2487" s="8"/>
      <c r="P2487" s="9">
        <f t="shared" si="489"/>
        <v>0</v>
      </c>
      <c r="Q2487" s="8"/>
      <c r="R2487" s="8"/>
      <c r="S2487" s="8"/>
      <c r="T2487" s="9"/>
      <c r="U2487" s="9">
        <f t="shared" si="490"/>
        <v>0</v>
      </c>
      <c r="V2487" s="9">
        <f t="shared" si="491"/>
        <v>1268377</v>
      </c>
      <c r="W2487" s="9">
        <f t="shared" si="492"/>
        <v>0</v>
      </c>
      <c r="X2487" s="9">
        <f t="shared" si="493"/>
        <v>1268377</v>
      </c>
      <c r="Y2487" s="8"/>
      <c r="Z2487" s="9">
        <f t="shared" si="494"/>
        <v>0</v>
      </c>
      <c r="AA2487" s="8">
        <f t="shared" si="495"/>
        <v>1268377</v>
      </c>
      <c r="AB2487" s="8">
        <f t="shared" si="496"/>
        <v>0</v>
      </c>
    </row>
    <row r="2488" spans="1:28" x14ac:dyDescent="0.35">
      <c r="A2488" s="36"/>
      <c r="B2488" s="8"/>
      <c r="C2488" s="8"/>
      <c r="D2488" s="8"/>
      <c r="E2488" s="17" t="s">
        <v>29</v>
      </c>
      <c r="F2488" s="17" t="s">
        <v>29</v>
      </c>
      <c r="G2488" s="17" t="s">
        <v>29</v>
      </c>
      <c r="H2488" s="17" t="s">
        <v>29</v>
      </c>
      <c r="I2488" s="17" t="s">
        <v>29</v>
      </c>
      <c r="J2488" s="17" t="s">
        <v>29</v>
      </c>
      <c r="K2488" s="17" t="s">
        <v>29</v>
      </c>
      <c r="L2488" s="17" t="s">
        <v>29</v>
      </c>
      <c r="M2488" s="17" t="s">
        <v>29</v>
      </c>
      <c r="N2488" s="17" t="s">
        <v>29</v>
      </c>
      <c r="O2488" s="17" t="s">
        <v>29</v>
      </c>
      <c r="P2488" s="17" t="s">
        <v>29</v>
      </c>
      <c r="Q2488" s="17" t="s">
        <v>29</v>
      </c>
      <c r="R2488" s="17" t="s">
        <v>29</v>
      </c>
      <c r="S2488" s="17" t="s">
        <v>29</v>
      </c>
      <c r="T2488" s="17" t="s">
        <v>29</v>
      </c>
      <c r="U2488" s="17" t="s">
        <v>29</v>
      </c>
      <c r="V2488" s="17" t="s">
        <v>29</v>
      </c>
      <c r="W2488" s="17" t="s">
        <v>29</v>
      </c>
      <c r="X2488" s="17" t="s">
        <v>29</v>
      </c>
      <c r="Y2488" s="17" t="s">
        <v>29</v>
      </c>
      <c r="Z2488" s="17" t="s">
        <v>29</v>
      </c>
      <c r="AA2488" s="17" t="s">
        <v>29</v>
      </c>
      <c r="AB2488" s="17" t="s">
        <v>29</v>
      </c>
    </row>
    <row r="2489" spans="1:28" x14ac:dyDescent="0.35">
      <c r="A2489" s="36"/>
      <c r="B2489" s="8"/>
      <c r="C2489" s="8"/>
      <c r="D2489" s="8"/>
      <c r="E2489" s="9">
        <f t="shared" ref="E2489:AB2489" si="497">SUM(E2472:E2487)</f>
        <v>70503834.650000006</v>
      </c>
      <c r="F2489" s="9">
        <f t="shared" si="497"/>
        <v>66661885.700000003</v>
      </c>
      <c r="G2489" s="9">
        <f t="shared" si="497"/>
        <v>300000</v>
      </c>
      <c r="H2489" s="9">
        <f t="shared" si="497"/>
        <v>66961885.700000003</v>
      </c>
      <c r="I2489" s="9">
        <f t="shared" si="497"/>
        <v>1052000</v>
      </c>
      <c r="J2489" s="9">
        <f t="shared" si="497"/>
        <v>0</v>
      </c>
      <c r="K2489" s="9">
        <f t="shared" si="497"/>
        <v>0</v>
      </c>
      <c r="L2489" s="9">
        <f t="shared" si="497"/>
        <v>0</v>
      </c>
      <c r="M2489" s="9">
        <f t="shared" si="497"/>
        <v>66961885.700000003</v>
      </c>
      <c r="N2489" s="9">
        <f t="shared" si="497"/>
        <v>3461948.95</v>
      </c>
      <c r="O2489" s="9">
        <f t="shared" si="497"/>
        <v>0</v>
      </c>
      <c r="P2489" s="9">
        <f t="shared" si="497"/>
        <v>3461948.95</v>
      </c>
      <c r="Q2489" s="9">
        <f t="shared" si="497"/>
        <v>0</v>
      </c>
      <c r="R2489" s="9">
        <f t="shared" si="497"/>
        <v>0</v>
      </c>
      <c r="S2489" s="9">
        <f t="shared" si="497"/>
        <v>0</v>
      </c>
      <c r="T2489" s="9">
        <f t="shared" si="497"/>
        <v>0</v>
      </c>
      <c r="U2489" s="9">
        <f t="shared" si="497"/>
        <v>3461948.95</v>
      </c>
      <c r="V2489" s="9">
        <f t="shared" si="497"/>
        <v>70123834.650000006</v>
      </c>
      <c r="W2489" s="9">
        <f t="shared" si="497"/>
        <v>80000</v>
      </c>
      <c r="X2489" s="9">
        <f t="shared" si="497"/>
        <v>70423834.650000006</v>
      </c>
      <c r="Y2489" s="9">
        <f t="shared" si="497"/>
        <v>0</v>
      </c>
      <c r="Z2489" s="9">
        <f t="shared" si="497"/>
        <v>80000</v>
      </c>
      <c r="AA2489" s="9">
        <f t="shared" si="497"/>
        <v>70423834.650000006</v>
      </c>
      <c r="AB2489" s="9">
        <f t="shared" si="497"/>
        <v>80000</v>
      </c>
    </row>
    <row r="2490" spans="1:28" x14ac:dyDescent="0.35">
      <c r="A2490" s="36"/>
      <c r="B2490" s="8"/>
      <c r="C2490" s="8"/>
      <c r="D2490" s="8"/>
      <c r="E2490" s="17" t="s">
        <v>29</v>
      </c>
      <c r="F2490" s="17" t="s">
        <v>29</v>
      </c>
      <c r="G2490" s="17" t="s">
        <v>29</v>
      </c>
      <c r="H2490" s="17" t="s">
        <v>29</v>
      </c>
      <c r="I2490" s="17" t="s">
        <v>29</v>
      </c>
      <c r="J2490" s="17" t="s">
        <v>29</v>
      </c>
      <c r="K2490" s="17" t="s">
        <v>29</v>
      </c>
      <c r="L2490" s="17" t="s">
        <v>29</v>
      </c>
      <c r="M2490" s="17" t="s">
        <v>29</v>
      </c>
      <c r="N2490" s="17" t="s">
        <v>29</v>
      </c>
      <c r="O2490" s="17" t="s">
        <v>29</v>
      </c>
      <c r="P2490" s="17" t="s">
        <v>29</v>
      </c>
      <c r="Q2490" s="17" t="s">
        <v>29</v>
      </c>
      <c r="R2490" s="17" t="s">
        <v>29</v>
      </c>
      <c r="S2490" s="17" t="s">
        <v>29</v>
      </c>
      <c r="T2490" s="17" t="s">
        <v>29</v>
      </c>
      <c r="U2490" s="17" t="s">
        <v>29</v>
      </c>
      <c r="V2490" s="17" t="s">
        <v>29</v>
      </c>
      <c r="W2490" s="17" t="s">
        <v>29</v>
      </c>
      <c r="X2490" s="17" t="s">
        <v>29</v>
      </c>
      <c r="Y2490" s="17" t="s">
        <v>29</v>
      </c>
      <c r="Z2490" s="17" t="s">
        <v>29</v>
      </c>
      <c r="AA2490" s="17" t="s">
        <v>29</v>
      </c>
      <c r="AB2490" s="17" t="s">
        <v>29</v>
      </c>
    </row>
    <row r="2491" spans="1:28" x14ac:dyDescent="0.35">
      <c r="A2491" s="38" t="s">
        <v>1051</v>
      </c>
      <c r="B2491" s="7" t="s">
        <v>460</v>
      </c>
      <c r="C2491" s="8"/>
      <c r="D2491" s="8"/>
      <c r="E2491" s="8"/>
      <c r="F2491" s="8"/>
      <c r="G2491" s="8"/>
      <c r="H2491" s="8"/>
      <c r="I2491" s="8"/>
      <c r="J2491" s="8"/>
      <c r="K2491" s="8"/>
      <c r="L2491" s="8"/>
      <c r="M2491" s="8"/>
      <c r="N2491" s="8"/>
      <c r="O2491" s="8"/>
      <c r="P2491" s="8"/>
      <c r="Q2491" s="8"/>
      <c r="R2491" s="8"/>
      <c r="S2491" s="8"/>
      <c r="T2491" s="8"/>
      <c r="U2491" s="8"/>
      <c r="V2491" s="8"/>
      <c r="W2491" s="8"/>
      <c r="X2491" s="8"/>
      <c r="Y2491" s="8"/>
      <c r="Z2491" s="8"/>
    </row>
    <row r="2492" spans="1:28" x14ac:dyDescent="0.35">
      <c r="A2492" s="36"/>
      <c r="B2492" s="8"/>
      <c r="C2492" s="8"/>
      <c r="D2492" s="15" t="s">
        <v>304</v>
      </c>
      <c r="E2492" s="8"/>
      <c r="F2492" s="8"/>
      <c r="G2492" s="8"/>
      <c r="H2492" s="8"/>
      <c r="I2492" s="8"/>
      <c r="J2492" s="8"/>
      <c r="K2492" s="8"/>
      <c r="L2492" s="8"/>
      <c r="M2492" s="8"/>
      <c r="N2492" s="8"/>
      <c r="O2492" s="8"/>
      <c r="P2492" s="8"/>
      <c r="Q2492" s="8"/>
      <c r="R2492" s="8"/>
      <c r="S2492" s="8"/>
      <c r="T2492" s="8"/>
      <c r="U2492" s="8"/>
      <c r="V2492" s="8"/>
      <c r="W2492" s="8"/>
      <c r="X2492" s="8"/>
      <c r="Y2492" s="8"/>
      <c r="Z2492" s="8"/>
    </row>
    <row r="2493" spans="1:28" x14ac:dyDescent="0.35">
      <c r="A2493" s="36"/>
      <c r="B2493" s="8"/>
      <c r="C2493" s="7" t="s">
        <v>51</v>
      </c>
      <c r="D2493" s="14" t="s">
        <v>131</v>
      </c>
      <c r="E2493" s="9">
        <v>12179953.779999999</v>
      </c>
      <c r="F2493" s="9">
        <v>11713126.42</v>
      </c>
      <c r="G2493" s="8"/>
      <c r="H2493" s="9">
        <f t="shared" ref="H2493:H2504" si="498">F2493+G2493</f>
        <v>11713126.42</v>
      </c>
      <c r="I2493" s="8"/>
      <c r="J2493" s="8"/>
      <c r="K2493" s="8"/>
      <c r="L2493" s="9"/>
      <c r="M2493" s="9">
        <f t="shared" ref="M2493:M2504" si="499">H2493+L2493</f>
        <v>11713126.42</v>
      </c>
      <c r="N2493" s="9">
        <f>0+466827.36</f>
        <v>466827.36</v>
      </c>
      <c r="O2493" s="8"/>
      <c r="P2493" s="9">
        <f t="shared" ref="P2493:P2504" si="500">N2493+O2493</f>
        <v>466827.36</v>
      </c>
      <c r="Q2493" s="8"/>
      <c r="R2493" s="8"/>
      <c r="S2493" s="8"/>
      <c r="T2493" s="9"/>
      <c r="U2493" s="9">
        <f t="shared" ref="U2493:U2504" si="501">P2493+T2493</f>
        <v>466827.36</v>
      </c>
      <c r="V2493" s="9">
        <f t="shared" ref="V2493:V2504" si="502">P2493+H2493</f>
        <v>12179953.779999999</v>
      </c>
      <c r="W2493" s="9">
        <f t="shared" ref="W2493:W2504" si="503">E2493-V2493</f>
        <v>0</v>
      </c>
      <c r="X2493" s="9">
        <f t="shared" ref="X2493:X2507" si="504">+H2493+P2493</f>
        <v>12179953.779999999</v>
      </c>
      <c r="Y2493" s="8"/>
      <c r="Z2493" s="9">
        <f t="shared" ref="Z2493:Z2507" si="505">+E2493-X2493</f>
        <v>0</v>
      </c>
      <c r="AA2493" s="8">
        <f t="shared" ref="AA2493:AA2507" si="506">+M2493+U2493</f>
        <v>12179953.779999999</v>
      </c>
      <c r="AB2493" s="8">
        <f t="shared" ref="AB2493:AB2507" si="507">+E2493-AA2493</f>
        <v>0</v>
      </c>
    </row>
    <row r="2494" spans="1:28" x14ac:dyDescent="0.35">
      <c r="A2494" s="36"/>
      <c r="B2494" s="8"/>
      <c r="C2494" s="7" t="s">
        <v>461</v>
      </c>
      <c r="D2494" s="15" t="s">
        <v>79</v>
      </c>
      <c r="E2494" s="9">
        <v>10100000</v>
      </c>
      <c r="F2494" s="9">
        <v>10100000</v>
      </c>
      <c r="G2494" s="8"/>
      <c r="H2494" s="9">
        <f t="shared" si="498"/>
        <v>10100000</v>
      </c>
      <c r="I2494" s="8"/>
      <c r="J2494" s="8"/>
      <c r="K2494" s="8"/>
      <c r="L2494" s="9"/>
      <c r="M2494" s="9">
        <f t="shared" si="499"/>
        <v>10100000</v>
      </c>
      <c r="N2494" s="9">
        <v>0</v>
      </c>
      <c r="O2494" s="8"/>
      <c r="P2494" s="9">
        <f t="shared" si="500"/>
        <v>0</v>
      </c>
      <c r="Q2494" s="8"/>
      <c r="R2494" s="8"/>
      <c r="S2494" s="8"/>
      <c r="T2494" s="9"/>
      <c r="U2494" s="9">
        <f t="shared" si="501"/>
        <v>0</v>
      </c>
      <c r="V2494" s="9">
        <f t="shared" si="502"/>
        <v>10100000</v>
      </c>
      <c r="W2494" s="9">
        <f t="shared" si="503"/>
        <v>0</v>
      </c>
      <c r="X2494" s="9">
        <f t="shared" si="504"/>
        <v>10100000</v>
      </c>
      <c r="Y2494" s="8"/>
      <c r="Z2494" s="9">
        <f t="shared" si="505"/>
        <v>0</v>
      </c>
      <c r="AA2494" s="8">
        <f t="shared" si="506"/>
        <v>10100000</v>
      </c>
      <c r="AB2494" s="8">
        <f t="shared" si="507"/>
        <v>0</v>
      </c>
    </row>
    <row r="2495" spans="1:28" x14ac:dyDescent="0.35">
      <c r="A2495" s="36"/>
      <c r="B2495" s="8"/>
      <c r="C2495" s="7" t="s">
        <v>462</v>
      </c>
      <c r="D2495" s="15" t="s">
        <v>234</v>
      </c>
      <c r="E2495" s="9">
        <v>7150000</v>
      </c>
      <c r="F2495" s="9">
        <v>7150000</v>
      </c>
      <c r="G2495" s="8"/>
      <c r="H2495" s="9">
        <f t="shared" si="498"/>
        <v>7150000</v>
      </c>
      <c r="I2495" s="8"/>
      <c r="J2495" s="8"/>
      <c r="K2495" s="8"/>
      <c r="L2495" s="9"/>
      <c r="M2495" s="9">
        <f t="shared" si="499"/>
        <v>7150000</v>
      </c>
      <c r="N2495" s="9">
        <v>0</v>
      </c>
      <c r="O2495" s="8"/>
      <c r="P2495" s="9">
        <f t="shared" si="500"/>
        <v>0</v>
      </c>
      <c r="Q2495" s="8"/>
      <c r="R2495" s="8"/>
      <c r="S2495" s="8"/>
      <c r="T2495" s="9"/>
      <c r="U2495" s="9">
        <f t="shared" si="501"/>
        <v>0</v>
      </c>
      <c r="V2495" s="9">
        <f t="shared" si="502"/>
        <v>7150000</v>
      </c>
      <c r="W2495" s="9">
        <f t="shared" si="503"/>
        <v>0</v>
      </c>
      <c r="X2495" s="9">
        <f t="shared" si="504"/>
        <v>7150000</v>
      </c>
      <c r="Y2495" s="8"/>
      <c r="Z2495" s="9">
        <f t="shared" si="505"/>
        <v>0</v>
      </c>
      <c r="AA2495" s="8">
        <f t="shared" si="506"/>
        <v>7150000</v>
      </c>
      <c r="AB2495" s="8">
        <f t="shared" si="507"/>
        <v>0</v>
      </c>
    </row>
    <row r="2496" spans="1:28" x14ac:dyDescent="0.35">
      <c r="A2496" s="36"/>
      <c r="B2496" s="8"/>
      <c r="C2496" s="7" t="s">
        <v>55</v>
      </c>
      <c r="D2496" s="15" t="s">
        <v>54</v>
      </c>
      <c r="E2496" s="9">
        <v>85909.4</v>
      </c>
      <c r="F2496" s="9">
        <v>0</v>
      </c>
      <c r="G2496" s="8"/>
      <c r="H2496" s="9">
        <f t="shared" si="498"/>
        <v>0</v>
      </c>
      <c r="I2496" s="8"/>
      <c r="J2496" s="8"/>
      <c r="K2496" s="8"/>
      <c r="L2496" s="9"/>
      <c r="M2496" s="9">
        <f t="shared" si="499"/>
        <v>0</v>
      </c>
      <c r="N2496" s="9">
        <v>85909.4</v>
      </c>
      <c r="O2496" s="8"/>
      <c r="P2496" s="9">
        <f t="shared" si="500"/>
        <v>85909.4</v>
      </c>
      <c r="Q2496" s="8"/>
      <c r="R2496" s="8"/>
      <c r="S2496" s="8"/>
      <c r="T2496" s="9"/>
      <c r="U2496" s="9">
        <f t="shared" si="501"/>
        <v>85909.4</v>
      </c>
      <c r="V2496" s="9">
        <f t="shared" si="502"/>
        <v>85909.4</v>
      </c>
      <c r="W2496" s="9">
        <f t="shared" si="503"/>
        <v>0</v>
      </c>
      <c r="X2496" s="9">
        <f t="shared" si="504"/>
        <v>85909.4</v>
      </c>
      <c r="Y2496" s="8"/>
      <c r="Z2496" s="9">
        <f t="shared" si="505"/>
        <v>0</v>
      </c>
      <c r="AA2496" s="8">
        <f t="shared" si="506"/>
        <v>85909.4</v>
      </c>
      <c r="AB2496" s="8">
        <f t="shared" si="507"/>
        <v>0</v>
      </c>
    </row>
    <row r="2497" spans="1:28" x14ac:dyDescent="0.35">
      <c r="A2497" s="36"/>
      <c r="B2497" s="8"/>
      <c r="C2497" s="7" t="s">
        <v>53</v>
      </c>
      <c r="D2497" s="15" t="s">
        <v>54</v>
      </c>
      <c r="E2497" s="9">
        <v>1767770</v>
      </c>
      <c r="F2497" s="9">
        <v>0</v>
      </c>
      <c r="G2497" s="8"/>
      <c r="H2497" s="9">
        <f t="shared" si="498"/>
        <v>0</v>
      </c>
      <c r="I2497" s="8"/>
      <c r="J2497" s="8"/>
      <c r="K2497" s="8"/>
      <c r="L2497" s="9"/>
      <c r="M2497" s="9">
        <f t="shared" si="499"/>
        <v>0</v>
      </c>
      <c r="N2497" s="9">
        <v>1767770</v>
      </c>
      <c r="O2497" s="8"/>
      <c r="P2497" s="9">
        <f t="shared" si="500"/>
        <v>1767770</v>
      </c>
      <c r="Q2497" s="8"/>
      <c r="R2497" s="8"/>
      <c r="S2497" s="8"/>
      <c r="T2497" s="9"/>
      <c r="U2497" s="9">
        <f t="shared" si="501"/>
        <v>1767770</v>
      </c>
      <c r="V2497" s="9">
        <f t="shared" si="502"/>
        <v>1767770</v>
      </c>
      <c r="W2497" s="9">
        <f t="shared" si="503"/>
        <v>0</v>
      </c>
      <c r="X2497" s="9">
        <f t="shared" si="504"/>
        <v>1767770</v>
      </c>
      <c r="Y2497" s="8"/>
      <c r="Z2497" s="9">
        <f t="shared" si="505"/>
        <v>0</v>
      </c>
      <c r="AA2497" s="8">
        <f t="shared" si="506"/>
        <v>1767770</v>
      </c>
      <c r="AB2497" s="8">
        <f t="shared" si="507"/>
        <v>0</v>
      </c>
    </row>
    <row r="2498" spans="1:28" x14ac:dyDescent="0.35">
      <c r="A2498" s="36"/>
      <c r="B2498" s="8"/>
      <c r="C2498" s="7" t="s">
        <v>248</v>
      </c>
      <c r="D2498" s="15" t="s">
        <v>85</v>
      </c>
      <c r="E2498" s="9">
        <v>160000</v>
      </c>
      <c r="F2498" s="9">
        <v>160000</v>
      </c>
      <c r="G2498" s="8"/>
      <c r="H2498" s="9">
        <f t="shared" si="498"/>
        <v>160000</v>
      </c>
      <c r="I2498" s="8"/>
      <c r="J2498" s="8"/>
      <c r="K2498" s="8"/>
      <c r="L2498" s="9"/>
      <c r="M2498" s="9">
        <f t="shared" si="499"/>
        <v>160000</v>
      </c>
      <c r="N2498" s="9">
        <v>0</v>
      </c>
      <c r="O2498" s="8"/>
      <c r="P2498" s="9">
        <f t="shared" si="500"/>
        <v>0</v>
      </c>
      <c r="Q2498" s="8"/>
      <c r="R2498" s="8"/>
      <c r="S2498" s="8"/>
      <c r="T2498" s="9"/>
      <c r="U2498" s="9">
        <f t="shared" si="501"/>
        <v>0</v>
      </c>
      <c r="V2498" s="9">
        <f t="shared" si="502"/>
        <v>160000</v>
      </c>
      <c r="W2498" s="9">
        <f t="shared" si="503"/>
        <v>0</v>
      </c>
      <c r="X2498" s="9">
        <f t="shared" si="504"/>
        <v>160000</v>
      </c>
      <c r="Y2498" s="8"/>
      <c r="Z2498" s="9">
        <f t="shared" si="505"/>
        <v>0</v>
      </c>
      <c r="AA2498" s="8">
        <f t="shared" si="506"/>
        <v>160000</v>
      </c>
      <c r="AB2498" s="8">
        <f t="shared" si="507"/>
        <v>0</v>
      </c>
    </row>
    <row r="2499" spans="1:28" x14ac:dyDescent="0.35">
      <c r="A2499" s="36"/>
      <c r="B2499" s="8"/>
      <c r="C2499" s="7" t="s">
        <v>463</v>
      </c>
      <c r="D2499" s="15" t="s">
        <v>88</v>
      </c>
      <c r="E2499" s="9">
        <v>750000</v>
      </c>
      <c r="F2499" s="9">
        <v>750000</v>
      </c>
      <c r="G2499" s="8"/>
      <c r="H2499" s="9">
        <f t="shared" si="498"/>
        <v>750000</v>
      </c>
      <c r="I2499" s="8"/>
      <c r="J2499" s="8"/>
      <c r="K2499" s="8"/>
      <c r="L2499" s="9"/>
      <c r="M2499" s="9">
        <f t="shared" si="499"/>
        <v>750000</v>
      </c>
      <c r="N2499" s="9">
        <v>0</v>
      </c>
      <c r="O2499" s="8"/>
      <c r="P2499" s="9">
        <f t="shared" si="500"/>
        <v>0</v>
      </c>
      <c r="Q2499" s="8"/>
      <c r="R2499" s="8"/>
      <c r="S2499" s="8"/>
      <c r="T2499" s="9"/>
      <c r="U2499" s="9">
        <f t="shared" si="501"/>
        <v>0</v>
      </c>
      <c r="V2499" s="9">
        <f t="shared" si="502"/>
        <v>750000</v>
      </c>
      <c r="W2499" s="9">
        <f t="shared" si="503"/>
        <v>0</v>
      </c>
      <c r="X2499" s="9">
        <f t="shared" si="504"/>
        <v>750000</v>
      </c>
      <c r="Y2499" s="8"/>
      <c r="Z2499" s="9">
        <f t="shared" si="505"/>
        <v>0</v>
      </c>
      <c r="AA2499" s="8">
        <f t="shared" si="506"/>
        <v>750000</v>
      </c>
      <c r="AB2499" s="8">
        <f t="shared" si="507"/>
        <v>0</v>
      </c>
    </row>
    <row r="2500" spans="1:28" x14ac:dyDescent="0.35">
      <c r="A2500" s="36"/>
      <c r="B2500" s="8"/>
      <c r="C2500" s="7" t="s">
        <v>57</v>
      </c>
      <c r="D2500" s="15" t="s">
        <v>58</v>
      </c>
      <c r="E2500" s="9">
        <v>4142021</v>
      </c>
      <c r="F2500" s="9">
        <v>4142021</v>
      </c>
      <c r="G2500" s="8"/>
      <c r="H2500" s="9">
        <f t="shared" si="498"/>
        <v>4142021</v>
      </c>
      <c r="I2500" s="9"/>
      <c r="J2500" s="8"/>
      <c r="K2500" s="8"/>
      <c r="L2500" s="9"/>
      <c r="M2500" s="9">
        <f t="shared" si="499"/>
        <v>4142021</v>
      </c>
      <c r="N2500" s="9">
        <v>0</v>
      </c>
      <c r="O2500" s="8"/>
      <c r="P2500" s="9">
        <f t="shared" si="500"/>
        <v>0</v>
      </c>
      <c r="Q2500" s="8"/>
      <c r="R2500" s="8"/>
      <c r="S2500" s="8"/>
      <c r="T2500" s="9"/>
      <c r="U2500" s="9">
        <f t="shared" si="501"/>
        <v>0</v>
      </c>
      <c r="V2500" s="9">
        <f t="shared" si="502"/>
        <v>4142021</v>
      </c>
      <c r="W2500" s="9">
        <f t="shared" si="503"/>
        <v>0</v>
      </c>
      <c r="X2500" s="9">
        <f t="shared" si="504"/>
        <v>4142021</v>
      </c>
      <c r="Y2500" s="8"/>
      <c r="Z2500" s="9">
        <f t="shared" si="505"/>
        <v>0</v>
      </c>
      <c r="AA2500" s="8">
        <f t="shared" si="506"/>
        <v>4142021</v>
      </c>
      <c r="AB2500" s="8">
        <f t="shared" si="507"/>
        <v>0</v>
      </c>
    </row>
    <row r="2501" spans="1:28" x14ac:dyDescent="0.35">
      <c r="A2501" s="36"/>
      <c r="B2501" s="8"/>
      <c r="C2501" s="7" t="s">
        <v>57</v>
      </c>
      <c r="D2501" s="15" t="s">
        <v>60</v>
      </c>
      <c r="E2501" s="9">
        <v>8092340.5</v>
      </c>
      <c r="F2501" s="11">
        <v>8092340.5</v>
      </c>
      <c r="G2501" s="8"/>
      <c r="H2501" s="9">
        <f t="shared" si="498"/>
        <v>8092340.5</v>
      </c>
      <c r="I2501" s="9"/>
      <c r="J2501" s="8"/>
      <c r="K2501" s="8"/>
      <c r="L2501" s="9"/>
      <c r="M2501" s="9">
        <f t="shared" si="499"/>
        <v>8092340.5</v>
      </c>
      <c r="N2501" s="9">
        <v>0</v>
      </c>
      <c r="O2501" s="8"/>
      <c r="P2501" s="9">
        <f t="shared" si="500"/>
        <v>0</v>
      </c>
      <c r="Q2501" s="8"/>
      <c r="R2501" s="8"/>
      <c r="S2501" s="8"/>
      <c r="T2501" s="9"/>
      <c r="U2501" s="9">
        <f t="shared" si="501"/>
        <v>0</v>
      </c>
      <c r="V2501" s="9">
        <f t="shared" si="502"/>
        <v>8092340.5</v>
      </c>
      <c r="W2501" s="9">
        <f t="shared" si="503"/>
        <v>0</v>
      </c>
      <c r="X2501" s="9">
        <f t="shared" si="504"/>
        <v>8092340.5</v>
      </c>
      <c r="Y2501" s="8"/>
      <c r="Z2501" s="9">
        <f t="shared" si="505"/>
        <v>0</v>
      </c>
      <c r="AA2501" s="8">
        <f t="shared" si="506"/>
        <v>8092340.5</v>
      </c>
      <c r="AB2501" s="8">
        <f t="shared" si="507"/>
        <v>0</v>
      </c>
    </row>
    <row r="2502" spans="1:28" x14ac:dyDescent="0.35">
      <c r="A2502" s="36"/>
      <c r="B2502" s="8"/>
      <c r="C2502" s="14" t="s">
        <v>109</v>
      </c>
      <c r="D2502" s="21" t="s">
        <v>60</v>
      </c>
      <c r="E2502" s="9">
        <v>10000000</v>
      </c>
      <c r="F2502" s="11">
        <v>10000000</v>
      </c>
      <c r="G2502" s="8"/>
      <c r="H2502" s="9">
        <f t="shared" si="498"/>
        <v>10000000</v>
      </c>
      <c r="I2502" s="9"/>
      <c r="J2502" s="8"/>
      <c r="K2502" s="8"/>
      <c r="L2502" s="9"/>
      <c r="M2502" s="9">
        <f t="shared" si="499"/>
        <v>10000000</v>
      </c>
      <c r="N2502" s="9">
        <v>0</v>
      </c>
      <c r="O2502" s="8"/>
      <c r="P2502" s="9">
        <f t="shared" si="500"/>
        <v>0</v>
      </c>
      <c r="Q2502" s="8"/>
      <c r="R2502" s="8"/>
      <c r="S2502" s="8"/>
      <c r="T2502" s="9"/>
      <c r="U2502" s="9">
        <f t="shared" si="501"/>
        <v>0</v>
      </c>
      <c r="V2502" s="9">
        <f t="shared" si="502"/>
        <v>10000000</v>
      </c>
      <c r="W2502" s="9">
        <f t="shared" si="503"/>
        <v>0</v>
      </c>
      <c r="X2502" s="9">
        <f t="shared" si="504"/>
        <v>10000000</v>
      </c>
      <c r="Y2502" s="8"/>
      <c r="Z2502" s="9">
        <f t="shared" si="505"/>
        <v>0</v>
      </c>
      <c r="AA2502" s="8">
        <f t="shared" si="506"/>
        <v>10000000</v>
      </c>
      <c r="AB2502" s="8">
        <f t="shared" si="507"/>
        <v>0</v>
      </c>
    </row>
    <row r="2503" spans="1:28" x14ac:dyDescent="0.35">
      <c r="A2503" s="36"/>
      <c r="B2503" s="8"/>
      <c r="C2503" s="7" t="s">
        <v>458</v>
      </c>
      <c r="D2503" s="15" t="s">
        <v>73</v>
      </c>
      <c r="E2503" s="9">
        <f>4041766+287015+915000</f>
        <v>5243781</v>
      </c>
      <c r="F2503" s="11">
        <f>4041766+1202015</f>
        <v>5243781</v>
      </c>
      <c r="G2503" s="8"/>
      <c r="H2503" s="9">
        <f t="shared" si="498"/>
        <v>5243781</v>
      </c>
      <c r="I2503" s="9"/>
      <c r="J2503" s="8"/>
      <c r="K2503" s="8"/>
      <c r="L2503" s="9"/>
      <c r="M2503" s="9">
        <f t="shared" si="499"/>
        <v>5243781</v>
      </c>
      <c r="N2503" s="9">
        <v>0</v>
      </c>
      <c r="O2503" s="8"/>
      <c r="P2503" s="9">
        <f t="shared" si="500"/>
        <v>0</v>
      </c>
      <c r="Q2503" s="8"/>
      <c r="R2503" s="8"/>
      <c r="S2503" s="8"/>
      <c r="T2503" s="9"/>
      <c r="U2503" s="9">
        <f t="shared" si="501"/>
        <v>0</v>
      </c>
      <c r="V2503" s="9">
        <f t="shared" si="502"/>
        <v>5243781</v>
      </c>
      <c r="W2503" s="9">
        <f t="shared" si="503"/>
        <v>0</v>
      </c>
      <c r="X2503" s="9">
        <f t="shared" si="504"/>
        <v>5243781</v>
      </c>
      <c r="Y2503" s="8"/>
      <c r="Z2503" s="9">
        <f t="shared" si="505"/>
        <v>0</v>
      </c>
      <c r="AA2503" s="8">
        <f t="shared" si="506"/>
        <v>5243781</v>
      </c>
      <c r="AB2503" s="8">
        <f t="shared" si="507"/>
        <v>0</v>
      </c>
    </row>
    <row r="2504" spans="1:28" x14ac:dyDescent="0.35">
      <c r="A2504" s="36"/>
      <c r="B2504" s="8"/>
      <c r="C2504" s="7" t="s">
        <v>57</v>
      </c>
      <c r="D2504" s="16" t="s">
        <v>61</v>
      </c>
      <c r="E2504" s="9">
        <v>1211338.79</v>
      </c>
      <c r="F2504" s="8">
        <v>1211338.79</v>
      </c>
      <c r="G2504" s="8"/>
      <c r="H2504" s="9">
        <f t="shared" si="498"/>
        <v>1211338.79</v>
      </c>
      <c r="I2504" s="9"/>
      <c r="J2504" s="8"/>
      <c r="K2504" s="8"/>
      <c r="L2504" s="9"/>
      <c r="M2504" s="9">
        <f t="shared" si="499"/>
        <v>1211338.79</v>
      </c>
      <c r="N2504" s="9">
        <v>0</v>
      </c>
      <c r="O2504" s="8"/>
      <c r="P2504" s="9">
        <f t="shared" si="500"/>
        <v>0</v>
      </c>
      <c r="Q2504" s="8"/>
      <c r="R2504" s="8"/>
      <c r="S2504" s="8"/>
      <c r="T2504" s="9"/>
      <c r="U2504" s="9">
        <f t="shared" si="501"/>
        <v>0</v>
      </c>
      <c r="V2504" s="9">
        <f t="shared" si="502"/>
        <v>1211338.79</v>
      </c>
      <c r="W2504" s="9">
        <f t="shared" si="503"/>
        <v>0</v>
      </c>
      <c r="X2504" s="9">
        <f t="shared" si="504"/>
        <v>1211338.79</v>
      </c>
      <c r="Y2504" s="8"/>
      <c r="Z2504" s="9">
        <f t="shared" si="505"/>
        <v>0</v>
      </c>
      <c r="AA2504" s="8">
        <f t="shared" si="506"/>
        <v>1211338.79</v>
      </c>
      <c r="AB2504" s="8">
        <f t="shared" si="507"/>
        <v>0</v>
      </c>
    </row>
    <row r="2505" spans="1:28" x14ac:dyDescent="0.35">
      <c r="A2505" s="36"/>
      <c r="B2505" s="8"/>
      <c r="C2505" s="7" t="s">
        <v>930</v>
      </c>
      <c r="D2505" s="16" t="s">
        <v>1072</v>
      </c>
      <c r="E2505" s="9">
        <f>1452000+4048147.5</f>
        <v>5500147.5</v>
      </c>
      <c r="F2505" s="8">
        <f>1452000+4048147.5</f>
        <v>5500147.5</v>
      </c>
      <c r="G2505" s="8"/>
      <c r="H2505" s="9">
        <f>+F2505+G2505</f>
        <v>5500147.5</v>
      </c>
      <c r="I2505" s="9"/>
      <c r="J2505" s="8"/>
      <c r="K2505" s="8"/>
      <c r="L2505" s="9"/>
      <c r="M2505" s="9">
        <f>+H2505</f>
        <v>5500147.5</v>
      </c>
      <c r="N2505" s="9">
        <v>0</v>
      </c>
      <c r="O2505" s="8"/>
      <c r="P2505" s="9">
        <f>N2505+O2505</f>
        <v>0</v>
      </c>
      <c r="Q2505" s="8"/>
      <c r="R2505" s="8"/>
      <c r="S2505" s="8"/>
      <c r="T2505" s="9"/>
      <c r="U2505" s="9">
        <f>P2505+T2505</f>
        <v>0</v>
      </c>
      <c r="V2505" s="9">
        <f>P2505+H2505</f>
        <v>5500147.5</v>
      </c>
      <c r="W2505" s="9">
        <f>E2505-V2505</f>
        <v>0</v>
      </c>
      <c r="X2505" s="9">
        <f t="shared" si="504"/>
        <v>5500147.5</v>
      </c>
      <c r="Y2505" s="8"/>
      <c r="Z2505" s="9">
        <f t="shared" si="505"/>
        <v>0</v>
      </c>
      <c r="AA2505" s="8">
        <f t="shared" si="506"/>
        <v>5500147.5</v>
      </c>
      <c r="AB2505" s="8">
        <f t="shared" si="507"/>
        <v>0</v>
      </c>
    </row>
    <row r="2506" spans="1:28" x14ac:dyDescent="0.35">
      <c r="A2506" s="36"/>
      <c r="B2506" s="8"/>
      <c r="C2506" s="7" t="s">
        <v>1088</v>
      </c>
      <c r="D2506" s="16" t="s">
        <v>1072</v>
      </c>
      <c r="E2506" s="9">
        <f>3230780.55+1105904.79</f>
        <v>4336685.34</v>
      </c>
      <c r="F2506" s="9">
        <f>3230780.55+1105904.79</f>
        <v>4336685.34</v>
      </c>
      <c r="G2506" s="8"/>
      <c r="H2506" s="9">
        <f>+F2506+G2506</f>
        <v>4336685.34</v>
      </c>
      <c r="I2506" s="9"/>
      <c r="J2506" s="8"/>
      <c r="K2506" s="8"/>
      <c r="L2506" s="9"/>
      <c r="M2506" s="9">
        <f>+H2506+L2506</f>
        <v>4336685.34</v>
      </c>
      <c r="N2506" s="9">
        <v>0</v>
      </c>
      <c r="O2506" s="8"/>
      <c r="P2506" s="9">
        <f>+N2506+O2506</f>
        <v>0</v>
      </c>
      <c r="Q2506" s="8"/>
      <c r="R2506" s="8"/>
      <c r="S2506" s="8"/>
      <c r="T2506" s="9"/>
      <c r="U2506" s="9">
        <f>P2506+T2506</f>
        <v>0</v>
      </c>
      <c r="V2506" s="9">
        <f>P2506+H2506</f>
        <v>4336685.34</v>
      </c>
      <c r="W2506" s="9">
        <f>E2506-V2506</f>
        <v>0</v>
      </c>
      <c r="X2506" s="9">
        <f t="shared" si="504"/>
        <v>4336685.34</v>
      </c>
      <c r="Y2506" s="8"/>
      <c r="Z2506" s="9">
        <f t="shared" si="505"/>
        <v>0</v>
      </c>
      <c r="AA2506" s="8">
        <f t="shared" si="506"/>
        <v>4336685.34</v>
      </c>
      <c r="AB2506" s="8">
        <f t="shared" si="507"/>
        <v>0</v>
      </c>
    </row>
    <row r="2507" spans="1:28" x14ac:dyDescent="0.35">
      <c r="A2507" s="36"/>
      <c r="B2507" s="8"/>
      <c r="C2507" s="7" t="s">
        <v>507</v>
      </c>
      <c r="D2507" s="16"/>
      <c r="E2507" s="9">
        <v>3102948.31</v>
      </c>
      <c r="F2507" s="8">
        <v>3102948.31</v>
      </c>
      <c r="G2507" s="8"/>
      <c r="H2507" s="9">
        <f>F2507+G2507</f>
        <v>3102948.31</v>
      </c>
      <c r="I2507" s="9"/>
      <c r="J2507" s="8"/>
      <c r="K2507" s="8"/>
      <c r="L2507" s="9"/>
      <c r="M2507" s="9">
        <f>H2507+L2507</f>
        <v>3102948.31</v>
      </c>
      <c r="N2507" s="9">
        <v>0</v>
      </c>
      <c r="O2507" s="8"/>
      <c r="P2507" s="9">
        <f>N2507+O2507</f>
        <v>0</v>
      </c>
      <c r="Q2507" s="8"/>
      <c r="R2507" s="8"/>
      <c r="S2507" s="8"/>
      <c r="T2507" s="9"/>
      <c r="U2507" s="9">
        <f>P2507+T2507</f>
        <v>0</v>
      </c>
      <c r="V2507" s="9">
        <f>P2507+H2507</f>
        <v>3102948.31</v>
      </c>
      <c r="W2507" s="9">
        <f>E2507-V2507</f>
        <v>0</v>
      </c>
      <c r="X2507" s="9">
        <f t="shared" si="504"/>
        <v>3102948.31</v>
      </c>
      <c r="Y2507" s="8"/>
      <c r="Z2507" s="9">
        <f t="shared" si="505"/>
        <v>0</v>
      </c>
      <c r="AA2507" s="8">
        <f t="shared" si="506"/>
        <v>3102948.31</v>
      </c>
      <c r="AB2507" s="8">
        <f t="shared" si="507"/>
        <v>0</v>
      </c>
    </row>
    <row r="2508" spans="1:28" x14ac:dyDescent="0.35">
      <c r="A2508" s="36"/>
      <c r="B2508" s="8"/>
      <c r="C2508" s="8"/>
      <c r="D2508" s="8"/>
      <c r="E2508" s="17" t="s">
        <v>29</v>
      </c>
      <c r="F2508" s="17" t="s">
        <v>29</v>
      </c>
      <c r="G2508" s="17" t="s">
        <v>29</v>
      </c>
      <c r="H2508" s="17" t="s">
        <v>29</v>
      </c>
      <c r="I2508" s="17" t="s">
        <v>29</v>
      </c>
      <c r="J2508" s="17" t="s">
        <v>29</v>
      </c>
      <c r="K2508" s="17" t="s">
        <v>29</v>
      </c>
      <c r="L2508" s="17" t="s">
        <v>29</v>
      </c>
      <c r="M2508" s="17" t="s">
        <v>29</v>
      </c>
      <c r="N2508" s="17" t="s">
        <v>29</v>
      </c>
      <c r="O2508" s="17" t="s">
        <v>29</v>
      </c>
      <c r="P2508" s="17" t="s">
        <v>29</v>
      </c>
      <c r="Q2508" s="17" t="s">
        <v>29</v>
      </c>
      <c r="R2508" s="17" t="s">
        <v>29</v>
      </c>
      <c r="S2508" s="17" t="s">
        <v>29</v>
      </c>
      <c r="T2508" s="17" t="s">
        <v>29</v>
      </c>
      <c r="U2508" s="17" t="s">
        <v>29</v>
      </c>
      <c r="V2508" s="17" t="s">
        <v>29</v>
      </c>
      <c r="W2508" s="17" t="s">
        <v>29</v>
      </c>
      <c r="X2508" s="17" t="s">
        <v>29</v>
      </c>
      <c r="Y2508" s="17" t="s">
        <v>29</v>
      </c>
      <c r="Z2508" s="17" t="s">
        <v>29</v>
      </c>
      <c r="AA2508" s="17" t="s">
        <v>29</v>
      </c>
      <c r="AB2508" s="17" t="s">
        <v>29</v>
      </c>
    </row>
    <row r="2509" spans="1:28" x14ac:dyDescent="0.35">
      <c r="A2509" s="36"/>
      <c r="B2509" s="8"/>
      <c r="C2509" s="8"/>
      <c r="D2509" s="8"/>
      <c r="E2509" s="9">
        <f t="shared" ref="E2509:AB2509" si="508">SUM(E2493:E2507)</f>
        <v>73822895.620000005</v>
      </c>
      <c r="F2509" s="9">
        <f t="shared" si="508"/>
        <v>71502388.859999999</v>
      </c>
      <c r="G2509" s="9">
        <f t="shared" si="508"/>
        <v>0</v>
      </c>
      <c r="H2509" s="9">
        <f t="shared" si="508"/>
        <v>71502388.859999999</v>
      </c>
      <c r="I2509" s="9">
        <f t="shared" si="508"/>
        <v>0</v>
      </c>
      <c r="J2509" s="9">
        <f t="shared" si="508"/>
        <v>0</v>
      </c>
      <c r="K2509" s="9">
        <f t="shared" si="508"/>
        <v>0</v>
      </c>
      <c r="L2509" s="9">
        <f t="shared" si="508"/>
        <v>0</v>
      </c>
      <c r="M2509" s="9">
        <f t="shared" si="508"/>
        <v>71502388.859999999</v>
      </c>
      <c r="N2509" s="9">
        <f t="shared" si="508"/>
        <v>2320506.7599999998</v>
      </c>
      <c r="O2509" s="9">
        <f t="shared" si="508"/>
        <v>0</v>
      </c>
      <c r="P2509" s="9">
        <f t="shared" si="508"/>
        <v>2320506.7599999998</v>
      </c>
      <c r="Q2509" s="9">
        <f t="shared" si="508"/>
        <v>0</v>
      </c>
      <c r="R2509" s="9">
        <f t="shared" si="508"/>
        <v>0</v>
      </c>
      <c r="S2509" s="9">
        <f t="shared" si="508"/>
        <v>0</v>
      </c>
      <c r="T2509" s="9">
        <f t="shared" si="508"/>
        <v>0</v>
      </c>
      <c r="U2509" s="9">
        <f t="shared" si="508"/>
        <v>2320506.7599999998</v>
      </c>
      <c r="V2509" s="9">
        <f t="shared" si="508"/>
        <v>73822895.620000005</v>
      </c>
      <c r="W2509" s="9">
        <f t="shared" si="508"/>
        <v>0</v>
      </c>
      <c r="X2509" s="9">
        <f t="shared" si="508"/>
        <v>73822895.620000005</v>
      </c>
      <c r="Y2509" s="9">
        <f t="shared" si="508"/>
        <v>0</v>
      </c>
      <c r="Z2509" s="9">
        <f t="shared" si="508"/>
        <v>0</v>
      </c>
      <c r="AA2509" s="9">
        <f t="shared" si="508"/>
        <v>73822895.620000005</v>
      </c>
      <c r="AB2509" s="9">
        <f t="shared" si="508"/>
        <v>0</v>
      </c>
    </row>
    <row r="2510" spans="1:28" x14ac:dyDescent="0.35">
      <c r="A2510" s="36"/>
      <c r="B2510" s="8"/>
      <c r="C2510" s="8"/>
      <c r="D2510" s="8"/>
      <c r="E2510" s="17" t="s">
        <v>29</v>
      </c>
      <c r="F2510" s="17" t="s">
        <v>29</v>
      </c>
      <c r="G2510" s="17" t="s">
        <v>29</v>
      </c>
      <c r="H2510" s="17" t="s">
        <v>29</v>
      </c>
      <c r="I2510" s="17" t="s">
        <v>29</v>
      </c>
      <c r="J2510" s="17" t="s">
        <v>29</v>
      </c>
      <c r="K2510" s="17" t="s">
        <v>29</v>
      </c>
      <c r="L2510" s="17" t="s">
        <v>29</v>
      </c>
      <c r="M2510" s="17" t="s">
        <v>29</v>
      </c>
      <c r="N2510" s="17" t="s">
        <v>29</v>
      </c>
      <c r="O2510" s="17" t="s">
        <v>29</v>
      </c>
      <c r="P2510" s="17" t="s">
        <v>29</v>
      </c>
      <c r="Q2510" s="17" t="s">
        <v>29</v>
      </c>
      <c r="R2510" s="17" t="s">
        <v>29</v>
      </c>
      <c r="S2510" s="17" t="s">
        <v>29</v>
      </c>
      <c r="T2510" s="17" t="s">
        <v>29</v>
      </c>
      <c r="U2510" s="17" t="s">
        <v>29</v>
      </c>
      <c r="V2510" s="17" t="s">
        <v>29</v>
      </c>
      <c r="W2510" s="17" t="s">
        <v>29</v>
      </c>
      <c r="X2510" s="17" t="s">
        <v>29</v>
      </c>
      <c r="Y2510" s="17" t="s">
        <v>29</v>
      </c>
      <c r="Z2510" s="17" t="s">
        <v>29</v>
      </c>
      <c r="AA2510" s="17" t="s">
        <v>29</v>
      </c>
      <c r="AB2510" s="17" t="s">
        <v>29</v>
      </c>
    </row>
    <row r="2511" spans="1:28" x14ac:dyDescent="0.35">
      <c r="A2511" s="36"/>
      <c r="B2511" s="8"/>
      <c r="C2511" s="7" t="s">
        <v>464</v>
      </c>
      <c r="D2511" s="8"/>
      <c r="E2511" s="9">
        <f t="shared" ref="E2511:AB2511" si="509">E2509+E2489+E2464+E2468</f>
        <v>241840029.25</v>
      </c>
      <c r="F2511" s="9">
        <f t="shared" si="509"/>
        <v>229068344.55000001</v>
      </c>
      <c r="G2511" s="9">
        <f t="shared" si="509"/>
        <v>300000</v>
      </c>
      <c r="H2511" s="9">
        <f t="shared" si="509"/>
        <v>229368344.55000001</v>
      </c>
      <c r="I2511" s="9">
        <f t="shared" si="509"/>
        <v>2120934.9299999997</v>
      </c>
      <c r="J2511" s="9">
        <f t="shared" si="509"/>
        <v>1068934.93</v>
      </c>
      <c r="K2511" s="9">
        <f t="shared" si="509"/>
        <v>0</v>
      </c>
      <c r="L2511" s="9">
        <f t="shared" si="509"/>
        <v>0</v>
      </c>
      <c r="M2511" s="9">
        <f t="shared" si="509"/>
        <v>229368344.55000001</v>
      </c>
      <c r="N2511" s="9">
        <f t="shared" si="509"/>
        <v>12387585.16</v>
      </c>
      <c r="O2511" s="9">
        <f t="shared" si="509"/>
        <v>0</v>
      </c>
      <c r="P2511" s="9">
        <f t="shared" si="509"/>
        <v>12387585.16</v>
      </c>
      <c r="Q2511" s="9">
        <f t="shared" si="509"/>
        <v>4099.54</v>
      </c>
      <c r="R2511" s="9">
        <f t="shared" si="509"/>
        <v>0</v>
      </c>
      <c r="S2511" s="9">
        <f t="shared" si="509"/>
        <v>0</v>
      </c>
      <c r="T2511" s="9">
        <f t="shared" si="509"/>
        <v>4099.54</v>
      </c>
      <c r="U2511" s="9">
        <f t="shared" si="509"/>
        <v>12391684.699999999</v>
      </c>
      <c r="V2511" s="9">
        <f t="shared" si="509"/>
        <v>241455929.71000004</v>
      </c>
      <c r="W2511" s="9">
        <f t="shared" si="509"/>
        <v>84099.540000000037</v>
      </c>
      <c r="X2511" s="9">
        <f t="shared" si="509"/>
        <v>241755929.71000004</v>
      </c>
      <c r="Y2511" s="9">
        <f t="shared" si="509"/>
        <v>0</v>
      </c>
      <c r="Z2511" s="9">
        <f t="shared" si="509"/>
        <v>84099.540000000037</v>
      </c>
      <c r="AA2511" s="9">
        <f t="shared" si="509"/>
        <v>241760029.25</v>
      </c>
      <c r="AB2511" s="9">
        <f t="shared" si="509"/>
        <v>80000</v>
      </c>
    </row>
    <row r="2512" spans="1:28" x14ac:dyDescent="0.35">
      <c r="A2512" s="36"/>
      <c r="B2512" s="8"/>
      <c r="C2512" s="8"/>
      <c r="D2512" s="8"/>
      <c r="E2512" s="17" t="s">
        <v>114</v>
      </c>
      <c r="F2512" s="17" t="s">
        <v>114</v>
      </c>
      <c r="G2512" s="17" t="s">
        <v>114</v>
      </c>
      <c r="H2512" s="17" t="s">
        <v>114</v>
      </c>
      <c r="I2512" s="17" t="s">
        <v>114</v>
      </c>
      <c r="J2512" s="17" t="s">
        <v>114</v>
      </c>
      <c r="K2512" s="17" t="s">
        <v>114</v>
      </c>
      <c r="L2512" s="17" t="s">
        <v>114</v>
      </c>
      <c r="M2512" s="17" t="s">
        <v>114</v>
      </c>
      <c r="N2512" s="17" t="s">
        <v>114</v>
      </c>
      <c r="O2512" s="17" t="s">
        <v>114</v>
      </c>
      <c r="P2512" s="17" t="s">
        <v>114</v>
      </c>
      <c r="Q2512" s="17" t="s">
        <v>114</v>
      </c>
      <c r="R2512" s="17" t="s">
        <v>114</v>
      </c>
      <c r="S2512" s="17" t="s">
        <v>114</v>
      </c>
      <c r="T2512" s="17" t="s">
        <v>114</v>
      </c>
      <c r="U2512" s="17" t="s">
        <v>114</v>
      </c>
      <c r="V2512" s="17" t="s">
        <v>114</v>
      </c>
      <c r="W2512" s="17" t="s">
        <v>114</v>
      </c>
      <c r="X2512" s="17" t="s">
        <v>114</v>
      </c>
      <c r="Y2512" s="17" t="s">
        <v>114</v>
      </c>
      <c r="Z2512" s="17" t="s">
        <v>114</v>
      </c>
      <c r="AA2512" s="17" t="s">
        <v>114</v>
      </c>
      <c r="AB2512" s="17" t="s">
        <v>114</v>
      </c>
    </row>
    <row r="2513" spans="1:28" x14ac:dyDescent="0.35">
      <c r="A2513" s="36"/>
      <c r="B2513" s="7" t="s">
        <v>465</v>
      </c>
      <c r="C2513" s="8"/>
      <c r="D2513" s="8"/>
      <c r="E2513" s="8"/>
      <c r="F2513" s="8"/>
      <c r="G2513" s="8"/>
      <c r="H2513" s="8"/>
      <c r="I2513" s="8"/>
      <c r="J2513" s="8"/>
      <c r="K2513" s="8"/>
      <c r="L2513" s="8"/>
      <c r="M2513" s="8"/>
      <c r="N2513" s="8"/>
      <c r="O2513" s="8"/>
      <c r="P2513" s="8"/>
      <c r="Q2513" s="8"/>
      <c r="R2513" s="8"/>
      <c r="S2513" s="8"/>
      <c r="T2513" s="8"/>
      <c r="U2513" s="8"/>
      <c r="V2513" s="8"/>
      <c r="W2513" s="8"/>
      <c r="X2513" s="8"/>
      <c r="Y2513" s="8"/>
      <c r="Z2513" s="8"/>
    </row>
    <row r="2514" spans="1:28" x14ac:dyDescent="0.35">
      <c r="A2514" s="36"/>
      <c r="B2514" s="8"/>
      <c r="C2514" s="8"/>
      <c r="D2514" s="8"/>
      <c r="E2514" s="8"/>
      <c r="F2514" s="8"/>
      <c r="G2514" s="8"/>
      <c r="H2514" s="8"/>
      <c r="I2514" s="8"/>
      <c r="J2514" s="8"/>
      <c r="K2514" s="8"/>
      <c r="L2514" s="8"/>
      <c r="M2514" s="8"/>
      <c r="N2514" s="8"/>
      <c r="O2514" s="8"/>
      <c r="P2514" s="8"/>
      <c r="Q2514" s="8"/>
      <c r="R2514" s="8"/>
      <c r="S2514" s="8"/>
      <c r="T2514" s="8"/>
      <c r="U2514" s="8"/>
      <c r="V2514" s="8"/>
      <c r="W2514" s="8"/>
      <c r="X2514" s="8"/>
      <c r="Y2514" s="8"/>
      <c r="Z2514" s="8"/>
    </row>
    <row r="2515" spans="1:28" x14ac:dyDescent="0.35">
      <c r="A2515" s="38" t="s">
        <v>1052</v>
      </c>
      <c r="B2515" s="8"/>
      <c r="C2515" s="7" t="s">
        <v>466</v>
      </c>
      <c r="D2515" s="8"/>
      <c r="E2515" s="8"/>
      <c r="F2515" s="8"/>
      <c r="G2515" s="8"/>
      <c r="H2515" s="8"/>
      <c r="I2515" s="8"/>
      <c r="J2515" s="8"/>
      <c r="K2515" s="8"/>
      <c r="L2515" s="8"/>
      <c r="M2515" s="8"/>
      <c r="N2515" s="8"/>
      <c r="O2515" s="8"/>
      <c r="P2515" s="8"/>
      <c r="Q2515" s="8"/>
      <c r="R2515" s="8"/>
      <c r="S2515" s="8"/>
      <c r="T2515" s="8"/>
      <c r="U2515" s="8"/>
      <c r="V2515" s="8"/>
      <c r="W2515" s="8"/>
      <c r="X2515" s="8"/>
      <c r="Y2515" s="8"/>
      <c r="Z2515" s="8"/>
    </row>
    <row r="2516" spans="1:28" x14ac:dyDescent="0.35">
      <c r="A2516" s="36"/>
      <c r="B2516" s="8"/>
      <c r="C2516" s="7" t="s">
        <v>57</v>
      </c>
      <c r="D2516" s="15" t="s">
        <v>274</v>
      </c>
      <c r="E2516" s="9">
        <v>6448287.7599999998</v>
      </c>
      <c r="F2516" s="9">
        <v>6069817</v>
      </c>
      <c r="G2516" s="8"/>
      <c r="H2516" s="9">
        <f t="shared" ref="H2516:H2529" si="510">F2516+G2516</f>
        <v>6069817</v>
      </c>
      <c r="I2516" s="8"/>
      <c r="J2516" s="8"/>
      <c r="K2516" s="8"/>
      <c r="L2516" s="9"/>
      <c r="M2516" s="9">
        <f t="shared" ref="M2516:M2529" si="511">H2516+L2516</f>
        <v>6069817</v>
      </c>
      <c r="N2516" s="9">
        <v>378470.76</v>
      </c>
      <c r="O2516" s="8"/>
      <c r="P2516" s="9">
        <f t="shared" ref="P2516:P2529" si="512">N2516+O2516</f>
        <v>378470.76</v>
      </c>
      <c r="Q2516" s="8"/>
      <c r="R2516" s="8"/>
      <c r="S2516" s="8"/>
      <c r="T2516" s="9"/>
      <c r="U2516" s="9">
        <f t="shared" ref="U2516:U2529" si="513">P2516+T2516</f>
        <v>378470.76</v>
      </c>
      <c r="V2516" s="9">
        <f t="shared" ref="V2516:V2529" si="514">P2516+H2516</f>
        <v>6448287.7599999998</v>
      </c>
      <c r="W2516" s="9">
        <f t="shared" ref="W2516:W2529" si="515">E2516-V2516</f>
        <v>0</v>
      </c>
      <c r="X2516" s="9">
        <f t="shared" ref="X2516:X2529" si="516">+H2516+P2516</f>
        <v>6448287.7599999998</v>
      </c>
      <c r="Y2516" s="8"/>
      <c r="Z2516" s="9">
        <f t="shared" ref="Z2516:Z2529" si="517">+E2516-X2516</f>
        <v>0</v>
      </c>
      <c r="AA2516" s="8">
        <f t="shared" ref="AA2516:AA2529" si="518">+M2516+U2516</f>
        <v>6448287.7599999998</v>
      </c>
      <c r="AB2516" s="8">
        <f t="shared" ref="AB2516:AB2529" si="519">+E2516-AA2516</f>
        <v>0</v>
      </c>
    </row>
    <row r="2517" spans="1:28" x14ac:dyDescent="0.35">
      <c r="A2517" s="36"/>
      <c r="B2517" s="8"/>
      <c r="C2517" s="7" t="s">
        <v>53</v>
      </c>
      <c r="D2517" s="15" t="s">
        <v>68</v>
      </c>
      <c r="E2517" s="9">
        <v>1953989</v>
      </c>
      <c r="F2517" s="9">
        <v>0</v>
      </c>
      <c r="G2517" s="8"/>
      <c r="H2517" s="9">
        <f t="shared" si="510"/>
        <v>0</v>
      </c>
      <c r="I2517" s="8"/>
      <c r="J2517" s="8"/>
      <c r="K2517" s="8"/>
      <c r="L2517" s="9"/>
      <c r="M2517" s="9">
        <f t="shared" si="511"/>
        <v>0</v>
      </c>
      <c r="N2517" s="9">
        <v>1953989</v>
      </c>
      <c r="O2517" s="8"/>
      <c r="P2517" s="9">
        <f t="shared" si="512"/>
        <v>1953989</v>
      </c>
      <c r="Q2517" s="8"/>
      <c r="R2517" s="8"/>
      <c r="S2517" s="8"/>
      <c r="T2517" s="9"/>
      <c r="U2517" s="9">
        <f t="shared" si="513"/>
        <v>1953989</v>
      </c>
      <c r="V2517" s="9">
        <f t="shared" si="514"/>
        <v>1953989</v>
      </c>
      <c r="W2517" s="9">
        <f t="shared" si="515"/>
        <v>0</v>
      </c>
      <c r="X2517" s="9">
        <f t="shared" si="516"/>
        <v>1953989</v>
      </c>
      <c r="Y2517" s="8"/>
      <c r="Z2517" s="9">
        <f t="shared" si="517"/>
        <v>0</v>
      </c>
      <c r="AA2517" s="8">
        <f t="shared" si="518"/>
        <v>1953989</v>
      </c>
      <c r="AB2517" s="8">
        <f t="shared" si="519"/>
        <v>0</v>
      </c>
    </row>
    <row r="2518" spans="1:28" x14ac:dyDescent="0.35">
      <c r="A2518" s="36"/>
      <c r="B2518" s="8"/>
      <c r="C2518" s="7" t="s">
        <v>467</v>
      </c>
      <c r="D2518" s="8"/>
      <c r="E2518" s="9">
        <v>2850000</v>
      </c>
      <c r="F2518" s="9">
        <v>2850000</v>
      </c>
      <c r="G2518" s="8"/>
      <c r="H2518" s="9">
        <f t="shared" si="510"/>
        <v>2850000</v>
      </c>
      <c r="I2518" s="8"/>
      <c r="J2518" s="8"/>
      <c r="K2518" s="8"/>
      <c r="L2518" s="9"/>
      <c r="M2518" s="9">
        <f t="shared" si="511"/>
        <v>2850000</v>
      </c>
      <c r="N2518" s="9">
        <v>0</v>
      </c>
      <c r="O2518" s="8"/>
      <c r="P2518" s="9">
        <f t="shared" si="512"/>
        <v>0</v>
      </c>
      <c r="Q2518" s="8"/>
      <c r="R2518" s="8"/>
      <c r="S2518" s="8"/>
      <c r="T2518" s="9"/>
      <c r="U2518" s="9">
        <f t="shared" si="513"/>
        <v>0</v>
      </c>
      <c r="V2518" s="9">
        <f t="shared" si="514"/>
        <v>2850000</v>
      </c>
      <c r="W2518" s="9">
        <f t="shared" si="515"/>
        <v>0</v>
      </c>
      <c r="X2518" s="9">
        <f t="shared" si="516"/>
        <v>2850000</v>
      </c>
      <c r="Y2518" s="8"/>
      <c r="Z2518" s="9">
        <f t="shared" si="517"/>
        <v>0</v>
      </c>
      <c r="AA2518" s="8">
        <f t="shared" si="518"/>
        <v>2850000</v>
      </c>
      <c r="AB2518" s="8">
        <f t="shared" si="519"/>
        <v>0</v>
      </c>
    </row>
    <row r="2519" spans="1:28" x14ac:dyDescent="0.35">
      <c r="A2519" s="36"/>
      <c r="B2519" s="8"/>
      <c r="C2519" s="7" t="s">
        <v>468</v>
      </c>
      <c r="D2519" s="15" t="s">
        <v>68</v>
      </c>
      <c r="E2519" s="9">
        <v>1755250</v>
      </c>
      <c r="F2519" s="9">
        <v>1755250</v>
      </c>
      <c r="G2519" s="8"/>
      <c r="H2519" s="9">
        <f t="shared" si="510"/>
        <v>1755250</v>
      </c>
      <c r="I2519" s="8"/>
      <c r="J2519" s="8"/>
      <c r="K2519" s="8"/>
      <c r="L2519" s="9"/>
      <c r="M2519" s="9">
        <f t="shared" si="511"/>
        <v>1755250</v>
      </c>
      <c r="N2519" s="9">
        <v>0</v>
      </c>
      <c r="O2519" s="8"/>
      <c r="P2519" s="9">
        <f t="shared" si="512"/>
        <v>0</v>
      </c>
      <c r="Q2519" s="8"/>
      <c r="R2519" s="8"/>
      <c r="S2519" s="8"/>
      <c r="T2519" s="9"/>
      <c r="U2519" s="9">
        <f t="shared" si="513"/>
        <v>0</v>
      </c>
      <c r="V2519" s="9">
        <f t="shared" si="514"/>
        <v>1755250</v>
      </c>
      <c r="W2519" s="9">
        <f t="shared" si="515"/>
        <v>0</v>
      </c>
      <c r="X2519" s="9">
        <f t="shared" si="516"/>
        <v>1755250</v>
      </c>
      <c r="Y2519" s="8"/>
      <c r="Z2519" s="9">
        <f t="shared" si="517"/>
        <v>0</v>
      </c>
      <c r="AA2519" s="8">
        <f t="shared" si="518"/>
        <v>1755250</v>
      </c>
      <c r="AB2519" s="8">
        <f t="shared" si="519"/>
        <v>0</v>
      </c>
    </row>
    <row r="2520" spans="1:28" x14ac:dyDescent="0.35">
      <c r="A2520" s="36"/>
      <c r="B2520" s="8"/>
      <c r="C2520" s="7" t="s">
        <v>55</v>
      </c>
      <c r="D2520" s="15" t="s">
        <v>469</v>
      </c>
      <c r="E2520" s="9">
        <v>2098664.59</v>
      </c>
      <c r="F2520" s="9">
        <v>0</v>
      </c>
      <c r="G2520" s="8"/>
      <c r="H2520" s="9">
        <f t="shared" si="510"/>
        <v>0</v>
      </c>
      <c r="I2520" s="8"/>
      <c r="J2520" s="8"/>
      <c r="K2520" s="8"/>
      <c r="L2520" s="9"/>
      <c r="M2520" s="9">
        <f t="shared" si="511"/>
        <v>0</v>
      </c>
      <c r="N2520" s="9">
        <v>2098664.59</v>
      </c>
      <c r="O2520" s="8"/>
      <c r="P2520" s="9">
        <f t="shared" si="512"/>
        <v>2098664.59</v>
      </c>
      <c r="Q2520" s="8"/>
      <c r="R2520" s="8"/>
      <c r="S2520" s="8"/>
      <c r="T2520" s="9"/>
      <c r="U2520" s="9">
        <f t="shared" si="513"/>
        <v>2098664.59</v>
      </c>
      <c r="V2520" s="9">
        <f t="shared" si="514"/>
        <v>2098664.59</v>
      </c>
      <c r="W2520" s="9">
        <f t="shared" si="515"/>
        <v>0</v>
      </c>
      <c r="X2520" s="9">
        <f t="shared" si="516"/>
        <v>2098664.59</v>
      </c>
      <c r="Y2520" s="8"/>
      <c r="Z2520" s="9">
        <f t="shared" si="517"/>
        <v>0</v>
      </c>
      <c r="AA2520" s="8">
        <f t="shared" si="518"/>
        <v>2098664.59</v>
      </c>
      <c r="AB2520" s="8">
        <f t="shared" si="519"/>
        <v>0</v>
      </c>
    </row>
    <row r="2521" spans="1:28" x14ac:dyDescent="0.35">
      <c r="A2521" s="36"/>
      <c r="B2521" s="8"/>
      <c r="C2521" s="7" t="s">
        <v>147</v>
      </c>
      <c r="D2521" s="15" t="s">
        <v>85</v>
      </c>
      <c r="E2521" s="9">
        <v>272730</v>
      </c>
      <c r="F2521" s="9">
        <v>0</v>
      </c>
      <c r="G2521" s="8"/>
      <c r="H2521" s="9">
        <f t="shared" si="510"/>
        <v>0</v>
      </c>
      <c r="I2521" s="8"/>
      <c r="J2521" s="8"/>
      <c r="K2521" s="8"/>
      <c r="L2521" s="9"/>
      <c r="M2521" s="9">
        <f t="shared" si="511"/>
        <v>0</v>
      </c>
      <c r="N2521" s="9">
        <v>272730</v>
      </c>
      <c r="O2521" s="8"/>
      <c r="P2521" s="9">
        <f t="shared" si="512"/>
        <v>272730</v>
      </c>
      <c r="Q2521" s="9"/>
      <c r="R2521" s="8"/>
      <c r="S2521" s="9"/>
      <c r="T2521" s="9"/>
      <c r="U2521" s="9">
        <f t="shared" si="513"/>
        <v>272730</v>
      </c>
      <c r="V2521" s="9">
        <f t="shared" si="514"/>
        <v>272730</v>
      </c>
      <c r="W2521" s="9">
        <f t="shared" si="515"/>
        <v>0</v>
      </c>
      <c r="X2521" s="9">
        <f t="shared" si="516"/>
        <v>272730</v>
      </c>
      <c r="Y2521" s="8"/>
      <c r="Z2521" s="9">
        <f t="shared" si="517"/>
        <v>0</v>
      </c>
      <c r="AA2521" s="8">
        <f t="shared" si="518"/>
        <v>272730</v>
      </c>
      <c r="AB2521" s="8">
        <f t="shared" si="519"/>
        <v>0</v>
      </c>
    </row>
    <row r="2522" spans="1:28" x14ac:dyDescent="0.35">
      <c r="A2522" s="36"/>
      <c r="B2522" s="8"/>
      <c r="C2522" s="14" t="s">
        <v>109</v>
      </c>
      <c r="D2522" s="21" t="s">
        <v>60</v>
      </c>
      <c r="E2522" s="9">
        <v>5000000</v>
      </c>
      <c r="F2522" s="11">
        <v>5000000</v>
      </c>
      <c r="G2522" s="8"/>
      <c r="H2522" s="9">
        <f t="shared" si="510"/>
        <v>5000000</v>
      </c>
      <c r="I2522" s="8"/>
      <c r="J2522" s="8"/>
      <c r="K2522" s="8"/>
      <c r="L2522" s="9"/>
      <c r="M2522" s="9">
        <f t="shared" si="511"/>
        <v>5000000</v>
      </c>
      <c r="N2522" s="9">
        <v>0</v>
      </c>
      <c r="O2522" s="8"/>
      <c r="P2522" s="9">
        <f t="shared" si="512"/>
        <v>0</v>
      </c>
      <c r="Q2522" s="8"/>
      <c r="R2522" s="8"/>
      <c r="S2522" s="8"/>
      <c r="T2522" s="9"/>
      <c r="U2522" s="9">
        <f t="shared" si="513"/>
        <v>0</v>
      </c>
      <c r="V2522" s="9">
        <f t="shared" si="514"/>
        <v>5000000</v>
      </c>
      <c r="W2522" s="9">
        <f t="shared" si="515"/>
        <v>0</v>
      </c>
      <c r="X2522" s="9">
        <f t="shared" si="516"/>
        <v>5000000</v>
      </c>
      <c r="Y2522" s="8"/>
      <c r="Z2522" s="9">
        <f t="shared" si="517"/>
        <v>0</v>
      </c>
      <c r="AA2522" s="8">
        <f t="shared" si="518"/>
        <v>5000000</v>
      </c>
      <c r="AB2522" s="8">
        <f t="shared" si="519"/>
        <v>0</v>
      </c>
    </row>
    <row r="2523" spans="1:28" x14ac:dyDescent="0.35">
      <c r="A2523" s="36"/>
      <c r="B2523" s="8"/>
      <c r="C2523" s="14" t="s">
        <v>930</v>
      </c>
      <c r="D2523" s="24" t="s">
        <v>1072</v>
      </c>
      <c r="E2523" s="9">
        <f>960000+284255.35+432991.83</f>
        <v>1677247.1800000002</v>
      </c>
      <c r="F2523" s="11">
        <f>960000+284255.35+432991.83</f>
        <v>1677247.1800000002</v>
      </c>
      <c r="G2523" s="8"/>
      <c r="H2523" s="9">
        <f>+F2523+G2523</f>
        <v>1677247.1800000002</v>
      </c>
      <c r="I2523" s="8"/>
      <c r="J2523" s="8"/>
      <c r="K2523" s="8"/>
      <c r="L2523" s="9"/>
      <c r="M2523" s="9">
        <f>+H2523+L2523</f>
        <v>1677247.1800000002</v>
      </c>
      <c r="N2523" s="9">
        <v>0</v>
      </c>
      <c r="O2523" s="8"/>
      <c r="P2523" s="9">
        <f>+N2523+O2523</f>
        <v>0</v>
      </c>
      <c r="Q2523" s="8"/>
      <c r="R2523" s="8"/>
      <c r="S2523" s="8"/>
      <c r="T2523" s="9"/>
      <c r="U2523" s="9">
        <f>P2523+T2523</f>
        <v>0</v>
      </c>
      <c r="V2523" s="9">
        <f>P2523+H2523</f>
        <v>1677247.1800000002</v>
      </c>
      <c r="W2523" s="9">
        <f>E2523-V2523</f>
        <v>0</v>
      </c>
      <c r="X2523" s="9">
        <f t="shared" si="516"/>
        <v>1677247.1800000002</v>
      </c>
      <c r="Y2523" s="8"/>
      <c r="Z2523" s="9">
        <f t="shared" si="517"/>
        <v>0</v>
      </c>
      <c r="AA2523" s="8">
        <f t="shared" si="518"/>
        <v>1677247.1800000002</v>
      </c>
      <c r="AB2523" s="8">
        <f t="shared" si="519"/>
        <v>0</v>
      </c>
    </row>
    <row r="2524" spans="1:28" x14ac:dyDescent="0.35">
      <c r="A2524" s="36"/>
      <c r="B2524" s="8"/>
      <c r="C2524" s="14" t="s">
        <v>1146</v>
      </c>
      <c r="D2524" s="24" t="s">
        <v>1072</v>
      </c>
      <c r="E2524" s="9">
        <v>2146067.7000000002</v>
      </c>
      <c r="F2524" s="11">
        <v>2146067.7000000002</v>
      </c>
      <c r="G2524" s="8"/>
      <c r="H2524" s="9">
        <f>+F2524+G2524</f>
        <v>2146067.7000000002</v>
      </c>
      <c r="I2524" s="8"/>
      <c r="J2524" s="8"/>
      <c r="K2524" s="8"/>
      <c r="L2524" s="9"/>
      <c r="M2524" s="9">
        <f>+H2524+L2524</f>
        <v>2146067.7000000002</v>
      </c>
      <c r="N2524" s="9">
        <v>0</v>
      </c>
      <c r="O2524" s="8"/>
      <c r="P2524" s="9">
        <f>+N2524+O2524</f>
        <v>0</v>
      </c>
      <c r="Q2524" s="8"/>
      <c r="R2524" s="8"/>
      <c r="S2524" s="8"/>
      <c r="T2524" s="9"/>
      <c r="U2524" s="9">
        <f>P2524+T2524</f>
        <v>0</v>
      </c>
      <c r="V2524" s="9">
        <f>P2524+H2524</f>
        <v>2146067.7000000002</v>
      </c>
      <c r="W2524" s="9"/>
      <c r="X2524" s="9">
        <f t="shared" si="516"/>
        <v>2146067.7000000002</v>
      </c>
      <c r="Y2524" s="8"/>
      <c r="Z2524" s="9">
        <f t="shared" si="517"/>
        <v>0</v>
      </c>
      <c r="AA2524" s="8">
        <f t="shared" si="518"/>
        <v>2146067.7000000002</v>
      </c>
      <c r="AB2524" s="8">
        <f t="shared" si="519"/>
        <v>0</v>
      </c>
    </row>
    <row r="2525" spans="1:28" x14ac:dyDescent="0.35">
      <c r="A2525" s="36"/>
      <c r="B2525" s="8"/>
      <c r="C2525" s="14" t="s">
        <v>1129</v>
      </c>
      <c r="D2525" s="24" t="s">
        <v>1126</v>
      </c>
      <c r="E2525" s="9">
        <v>525863.51</v>
      </c>
      <c r="F2525" s="11"/>
      <c r="G2525" s="8">
        <v>525863.51</v>
      </c>
      <c r="H2525" s="9">
        <f>+F2525+G2525</f>
        <v>525863.51</v>
      </c>
      <c r="I2525" s="8"/>
      <c r="J2525" s="8"/>
      <c r="K2525" s="8"/>
      <c r="L2525" s="9"/>
      <c r="M2525" s="9">
        <f>+H2525+L2525</f>
        <v>525863.51</v>
      </c>
      <c r="N2525" s="9">
        <v>0</v>
      </c>
      <c r="O2525" s="8"/>
      <c r="P2525" s="9">
        <f>+N2525+O2525</f>
        <v>0</v>
      </c>
      <c r="Q2525" s="8"/>
      <c r="R2525" s="8"/>
      <c r="S2525" s="8"/>
      <c r="T2525" s="9"/>
      <c r="U2525" s="9">
        <f>+P2525+T2525</f>
        <v>0</v>
      </c>
      <c r="V2525" s="9"/>
      <c r="W2525" s="9"/>
      <c r="X2525" s="9">
        <f>+H2525+P2525</f>
        <v>525863.51</v>
      </c>
      <c r="Y2525" s="8"/>
      <c r="Z2525" s="9">
        <f>+E2525-X2525</f>
        <v>0</v>
      </c>
      <c r="AA2525" s="8">
        <f>+M2525+U2525</f>
        <v>525863.51</v>
      </c>
      <c r="AB2525" s="8">
        <f>+E2525-AA2525</f>
        <v>0</v>
      </c>
    </row>
    <row r="2526" spans="1:28" x14ac:dyDescent="0.35">
      <c r="A2526" s="36"/>
      <c r="B2526" s="8"/>
      <c r="C2526" s="14" t="s">
        <v>1106</v>
      </c>
      <c r="D2526" s="24" t="s">
        <v>1072</v>
      </c>
      <c r="E2526" s="9">
        <f>4266774.16+1938317.88</f>
        <v>6205092.04</v>
      </c>
      <c r="F2526" s="11">
        <v>6205092.04</v>
      </c>
      <c r="G2526" s="8"/>
      <c r="H2526" s="9">
        <f>+F2526+G2526</f>
        <v>6205092.04</v>
      </c>
      <c r="I2526" s="8"/>
      <c r="J2526" s="8"/>
      <c r="K2526" s="8"/>
      <c r="L2526" s="9"/>
      <c r="M2526" s="9">
        <f>+H2526+L2526</f>
        <v>6205092.04</v>
      </c>
      <c r="N2526" s="9">
        <v>0</v>
      </c>
      <c r="O2526" s="8"/>
      <c r="P2526" s="9">
        <f>+N2526+O2526</f>
        <v>0</v>
      </c>
      <c r="Q2526" s="8"/>
      <c r="R2526" s="8"/>
      <c r="S2526" s="8"/>
      <c r="T2526" s="9"/>
      <c r="U2526" s="9">
        <f>P2526+T2526</f>
        <v>0</v>
      </c>
      <c r="V2526" s="9">
        <f>P2526+H2526</f>
        <v>6205092.04</v>
      </c>
      <c r="W2526" s="9">
        <f>E2526-V2526</f>
        <v>0</v>
      </c>
      <c r="X2526" s="9">
        <f t="shared" si="516"/>
        <v>6205092.04</v>
      </c>
      <c r="Y2526" s="8"/>
      <c r="Z2526" s="9">
        <f t="shared" si="517"/>
        <v>0</v>
      </c>
      <c r="AA2526" s="8">
        <f t="shared" si="518"/>
        <v>6205092.04</v>
      </c>
      <c r="AB2526" s="8">
        <f t="shared" si="519"/>
        <v>0</v>
      </c>
    </row>
    <row r="2527" spans="1:28" x14ac:dyDescent="0.35">
      <c r="A2527" s="36"/>
      <c r="B2527" s="8"/>
      <c r="C2527" s="14" t="s">
        <v>57</v>
      </c>
      <c r="D2527" s="21" t="s">
        <v>60</v>
      </c>
      <c r="E2527" s="9">
        <v>1900000</v>
      </c>
      <c r="F2527" s="11">
        <v>1900000</v>
      </c>
      <c r="G2527" s="8"/>
      <c r="H2527" s="9">
        <f t="shared" si="510"/>
        <v>1900000</v>
      </c>
      <c r="I2527" s="8"/>
      <c r="J2527" s="8"/>
      <c r="K2527" s="8"/>
      <c r="L2527" s="9"/>
      <c r="M2527" s="9">
        <f t="shared" si="511"/>
        <v>1900000</v>
      </c>
      <c r="N2527" s="9">
        <v>0</v>
      </c>
      <c r="O2527" s="8"/>
      <c r="P2527" s="9">
        <f t="shared" si="512"/>
        <v>0</v>
      </c>
      <c r="Q2527" s="8"/>
      <c r="R2527" s="8"/>
      <c r="S2527" s="8"/>
      <c r="T2527" s="9"/>
      <c r="U2527" s="9">
        <f t="shared" si="513"/>
        <v>0</v>
      </c>
      <c r="V2527" s="9">
        <f t="shared" si="514"/>
        <v>1900000</v>
      </c>
      <c r="W2527" s="9">
        <f t="shared" si="515"/>
        <v>0</v>
      </c>
      <c r="X2527" s="9">
        <f t="shared" si="516"/>
        <v>1900000</v>
      </c>
      <c r="Y2527" s="8"/>
      <c r="Z2527" s="9">
        <f t="shared" si="517"/>
        <v>0</v>
      </c>
      <c r="AA2527" s="8">
        <f t="shared" si="518"/>
        <v>1900000</v>
      </c>
      <c r="AB2527" s="8">
        <f t="shared" si="519"/>
        <v>0</v>
      </c>
    </row>
    <row r="2528" spans="1:28" x14ac:dyDescent="0.35">
      <c r="A2528" s="36"/>
      <c r="B2528" s="8"/>
      <c r="C2528" s="14" t="s">
        <v>57</v>
      </c>
      <c r="D2528" s="21" t="s">
        <v>73</v>
      </c>
      <c r="E2528" s="9">
        <f>2087963+654056</f>
        <v>2742019</v>
      </c>
      <c r="F2528" s="11">
        <f>2087963+654056</f>
        <v>2742019</v>
      </c>
      <c r="G2528" s="8"/>
      <c r="H2528" s="9">
        <f t="shared" si="510"/>
        <v>2742019</v>
      </c>
      <c r="I2528" s="8"/>
      <c r="J2528" s="8"/>
      <c r="K2528" s="8"/>
      <c r="L2528" s="9"/>
      <c r="M2528" s="9">
        <f t="shared" si="511"/>
        <v>2742019</v>
      </c>
      <c r="N2528" s="9">
        <v>0</v>
      </c>
      <c r="O2528" s="8"/>
      <c r="P2528" s="9">
        <f t="shared" si="512"/>
        <v>0</v>
      </c>
      <c r="Q2528" s="8"/>
      <c r="R2528" s="8"/>
      <c r="S2528" s="8"/>
      <c r="T2528" s="9"/>
      <c r="U2528" s="9">
        <f t="shared" si="513"/>
        <v>0</v>
      </c>
      <c r="V2528" s="9">
        <f t="shared" si="514"/>
        <v>2742019</v>
      </c>
      <c r="W2528" s="9">
        <f t="shared" si="515"/>
        <v>0</v>
      </c>
      <c r="X2528" s="9">
        <f t="shared" si="516"/>
        <v>2742019</v>
      </c>
      <c r="Y2528" s="8"/>
      <c r="Z2528" s="9">
        <f t="shared" si="517"/>
        <v>0</v>
      </c>
      <c r="AA2528" s="8">
        <f t="shared" si="518"/>
        <v>2742019</v>
      </c>
      <c r="AB2528" s="8">
        <f t="shared" si="519"/>
        <v>0</v>
      </c>
    </row>
    <row r="2529" spans="1:28" x14ac:dyDescent="0.35">
      <c r="A2529" s="36"/>
      <c r="B2529" s="8"/>
      <c r="C2529" s="14" t="s">
        <v>57</v>
      </c>
      <c r="D2529" s="21" t="s">
        <v>61</v>
      </c>
      <c r="E2529" s="9">
        <v>1000000</v>
      </c>
      <c r="F2529" s="11">
        <v>1000000</v>
      </c>
      <c r="G2529" s="11"/>
      <c r="H2529" s="9">
        <f t="shared" si="510"/>
        <v>1000000</v>
      </c>
      <c r="I2529" s="8"/>
      <c r="J2529" s="8"/>
      <c r="K2529" s="8"/>
      <c r="L2529" s="9"/>
      <c r="M2529" s="9">
        <f t="shared" si="511"/>
        <v>1000000</v>
      </c>
      <c r="N2529" s="9">
        <v>0</v>
      </c>
      <c r="O2529" s="8"/>
      <c r="P2529" s="9">
        <f t="shared" si="512"/>
        <v>0</v>
      </c>
      <c r="Q2529" s="8"/>
      <c r="R2529" s="8"/>
      <c r="S2529" s="8"/>
      <c r="T2529" s="9"/>
      <c r="U2529" s="9">
        <f t="shared" si="513"/>
        <v>0</v>
      </c>
      <c r="V2529" s="9">
        <f t="shared" si="514"/>
        <v>1000000</v>
      </c>
      <c r="W2529" s="9">
        <f t="shared" si="515"/>
        <v>0</v>
      </c>
      <c r="X2529" s="9">
        <f t="shared" si="516"/>
        <v>1000000</v>
      </c>
      <c r="Y2529" s="8"/>
      <c r="Z2529" s="9">
        <f t="shared" si="517"/>
        <v>0</v>
      </c>
      <c r="AA2529" s="8">
        <f t="shared" si="518"/>
        <v>1000000</v>
      </c>
      <c r="AB2529" s="8">
        <f t="shared" si="519"/>
        <v>0</v>
      </c>
    </row>
    <row r="2530" spans="1:28" x14ac:dyDescent="0.35">
      <c r="A2530" s="36"/>
      <c r="B2530" s="8"/>
      <c r="C2530" s="8"/>
      <c r="D2530" s="8"/>
      <c r="E2530" s="17" t="s">
        <v>29</v>
      </c>
      <c r="F2530" s="17" t="s">
        <v>29</v>
      </c>
      <c r="G2530" s="17" t="s">
        <v>29</v>
      </c>
      <c r="H2530" s="17" t="s">
        <v>29</v>
      </c>
      <c r="I2530" s="17" t="s">
        <v>29</v>
      </c>
      <c r="J2530" s="17" t="s">
        <v>29</v>
      </c>
      <c r="K2530" s="17" t="s">
        <v>29</v>
      </c>
      <c r="L2530" s="17" t="s">
        <v>29</v>
      </c>
      <c r="M2530" s="17" t="s">
        <v>29</v>
      </c>
      <c r="N2530" s="17" t="s">
        <v>29</v>
      </c>
      <c r="O2530" s="17" t="s">
        <v>29</v>
      </c>
      <c r="P2530" s="17" t="s">
        <v>29</v>
      </c>
      <c r="Q2530" s="17" t="s">
        <v>29</v>
      </c>
      <c r="R2530" s="17" t="s">
        <v>29</v>
      </c>
      <c r="S2530" s="17" t="s">
        <v>29</v>
      </c>
      <c r="T2530" s="17" t="s">
        <v>29</v>
      </c>
      <c r="U2530" s="17" t="s">
        <v>29</v>
      </c>
      <c r="V2530" s="17" t="s">
        <v>29</v>
      </c>
      <c r="W2530" s="17" t="s">
        <v>29</v>
      </c>
      <c r="X2530" s="17" t="s">
        <v>29</v>
      </c>
      <c r="Y2530" s="17" t="s">
        <v>29</v>
      </c>
      <c r="Z2530" s="17" t="s">
        <v>29</v>
      </c>
      <c r="AA2530" s="17" t="s">
        <v>29</v>
      </c>
      <c r="AB2530" s="17" t="s">
        <v>29</v>
      </c>
    </row>
    <row r="2531" spans="1:28" x14ac:dyDescent="0.35">
      <c r="A2531" s="36"/>
      <c r="B2531" s="8"/>
      <c r="C2531" s="8"/>
      <c r="D2531" s="8"/>
      <c r="E2531" s="9">
        <f t="shared" ref="E2531:AB2531" si="520">SUM(E2516:E2529)</f>
        <v>36575210.780000001</v>
      </c>
      <c r="F2531" s="9">
        <f t="shared" si="520"/>
        <v>31345492.919999998</v>
      </c>
      <c r="G2531" s="9">
        <f t="shared" si="520"/>
        <v>525863.51</v>
      </c>
      <c r="H2531" s="9">
        <f t="shared" si="520"/>
        <v>31871356.43</v>
      </c>
      <c r="I2531" s="9">
        <f t="shared" si="520"/>
        <v>0</v>
      </c>
      <c r="J2531" s="9">
        <f t="shared" si="520"/>
        <v>0</v>
      </c>
      <c r="K2531" s="9">
        <f t="shared" si="520"/>
        <v>0</v>
      </c>
      <c r="L2531" s="9">
        <f t="shared" si="520"/>
        <v>0</v>
      </c>
      <c r="M2531" s="9">
        <f t="shared" si="520"/>
        <v>31871356.43</v>
      </c>
      <c r="N2531" s="9">
        <f t="shared" si="520"/>
        <v>4703854.3499999996</v>
      </c>
      <c r="O2531" s="9">
        <f t="shared" si="520"/>
        <v>0</v>
      </c>
      <c r="P2531" s="9">
        <f t="shared" si="520"/>
        <v>4703854.3499999996</v>
      </c>
      <c r="Q2531" s="9">
        <f t="shared" si="520"/>
        <v>0</v>
      </c>
      <c r="R2531" s="9">
        <f t="shared" si="520"/>
        <v>0</v>
      </c>
      <c r="S2531" s="9">
        <f t="shared" si="520"/>
        <v>0</v>
      </c>
      <c r="T2531" s="9">
        <f t="shared" si="520"/>
        <v>0</v>
      </c>
      <c r="U2531" s="9">
        <f t="shared" si="520"/>
        <v>4703854.3499999996</v>
      </c>
      <c r="V2531" s="9">
        <f t="shared" si="520"/>
        <v>36049347.269999996</v>
      </c>
      <c r="W2531" s="9">
        <f t="shared" si="520"/>
        <v>0</v>
      </c>
      <c r="X2531" s="9">
        <f t="shared" si="520"/>
        <v>36575210.780000001</v>
      </c>
      <c r="Y2531" s="9">
        <f t="shared" si="520"/>
        <v>0</v>
      </c>
      <c r="Z2531" s="9">
        <f t="shared" si="520"/>
        <v>0</v>
      </c>
      <c r="AA2531" s="9">
        <f t="shared" si="520"/>
        <v>36575210.780000001</v>
      </c>
      <c r="AB2531" s="9">
        <f t="shared" si="520"/>
        <v>0</v>
      </c>
    </row>
    <row r="2532" spans="1:28" x14ac:dyDescent="0.35">
      <c r="A2532" s="36"/>
      <c r="B2532" s="8"/>
      <c r="C2532" s="8"/>
      <c r="D2532" s="8"/>
      <c r="E2532" s="17" t="s">
        <v>29</v>
      </c>
      <c r="F2532" s="17" t="s">
        <v>29</v>
      </c>
      <c r="G2532" s="17" t="s">
        <v>29</v>
      </c>
      <c r="H2532" s="17" t="s">
        <v>29</v>
      </c>
      <c r="I2532" s="17" t="s">
        <v>29</v>
      </c>
      <c r="J2532" s="17" t="s">
        <v>29</v>
      </c>
      <c r="K2532" s="17" t="s">
        <v>29</v>
      </c>
      <c r="L2532" s="17" t="s">
        <v>29</v>
      </c>
      <c r="M2532" s="17" t="s">
        <v>29</v>
      </c>
      <c r="N2532" s="17" t="s">
        <v>29</v>
      </c>
      <c r="O2532" s="17" t="s">
        <v>29</v>
      </c>
      <c r="P2532" s="17" t="s">
        <v>29</v>
      </c>
      <c r="Q2532" s="17" t="s">
        <v>29</v>
      </c>
      <c r="R2532" s="17" t="s">
        <v>29</v>
      </c>
      <c r="S2532" s="17" t="s">
        <v>29</v>
      </c>
      <c r="T2532" s="17" t="s">
        <v>29</v>
      </c>
      <c r="U2532" s="17" t="s">
        <v>29</v>
      </c>
      <c r="V2532" s="17" t="s">
        <v>29</v>
      </c>
      <c r="W2532" s="17" t="s">
        <v>29</v>
      </c>
      <c r="X2532" s="17" t="s">
        <v>29</v>
      </c>
      <c r="Y2532" s="17" t="s">
        <v>29</v>
      </c>
      <c r="Z2532" s="17" t="s">
        <v>29</v>
      </c>
      <c r="AA2532" s="17" t="s">
        <v>29</v>
      </c>
      <c r="AB2532" s="17" t="s">
        <v>29</v>
      </c>
    </row>
    <row r="2533" spans="1:28" x14ac:dyDescent="0.35">
      <c r="A2533" s="38" t="s">
        <v>1054</v>
      </c>
      <c r="B2533" s="7" t="s">
        <v>470</v>
      </c>
      <c r="C2533" s="8"/>
      <c r="D2533" s="8"/>
      <c r="E2533" s="8"/>
      <c r="F2533" s="8"/>
      <c r="G2533" s="8"/>
      <c r="H2533" s="8"/>
      <c r="I2533" s="8"/>
      <c r="J2533" s="8"/>
      <c r="K2533" s="8"/>
      <c r="L2533" s="8"/>
      <c r="M2533" s="8"/>
      <c r="N2533" s="8"/>
      <c r="O2533" s="8"/>
      <c r="P2533" s="8"/>
      <c r="Q2533" s="8"/>
      <c r="R2533" s="8"/>
      <c r="S2533" s="8"/>
      <c r="T2533" s="8"/>
      <c r="U2533" s="8"/>
      <c r="V2533" s="8"/>
      <c r="W2533" s="8"/>
      <c r="X2533" s="8"/>
      <c r="Y2533" s="8"/>
      <c r="Z2533" s="8"/>
    </row>
    <row r="2534" spans="1:28" x14ac:dyDescent="0.35">
      <c r="A2534" s="36"/>
      <c r="B2534" s="8"/>
      <c r="C2534" s="7" t="s">
        <v>57</v>
      </c>
      <c r="D2534" s="15" t="s">
        <v>68</v>
      </c>
      <c r="E2534" s="9">
        <v>405520.99</v>
      </c>
      <c r="F2534" s="9">
        <v>284204</v>
      </c>
      <c r="G2534" s="8"/>
      <c r="H2534" s="9">
        <f t="shared" ref="H2534:H2543" si="521">F2534+G2534</f>
        <v>284204</v>
      </c>
      <c r="I2534" s="8"/>
      <c r="J2534" s="8"/>
      <c r="K2534" s="8"/>
      <c r="L2534" s="9"/>
      <c r="M2534" s="9">
        <f t="shared" ref="M2534:M2543" si="522">H2534+L2534</f>
        <v>284204</v>
      </c>
      <c r="N2534" s="9">
        <v>121316.99</v>
      </c>
      <c r="O2534" s="8"/>
      <c r="P2534" s="9">
        <f t="shared" ref="P2534:P2543" si="523">N2534+O2534</f>
        <v>121316.99</v>
      </c>
      <c r="Q2534" s="8"/>
      <c r="R2534" s="8"/>
      <c r="S2534" s="8"/>
      <c r="T2534" s="9"/>
      <c r="U2534" s="9">
        <f t="shared" ref="U2534:U2543" si="524">P2534+T2534</f>
        <v>121316.99</v>
      </c>
      <c r="V2534" s="9">
        <f t="shared" ref="V2534:V2543" si="525">P2534+H2534</f>
        <v>405520.99</v>
      </c>
      <c r="W2534" s="9">
        <f t="shared" ref="W2534:W2543" si="526">E2534-V2534</f>
        <v>0</v>
      </c>
      <c r="X2534" s="9">
        <f t="shared" ref="X2534:X2547" si="527">+H2534+P2534</f>
        <v>405520.99</v>
      </c>
      <c r="Y2534" s="8"/>
      <c r="Z2534" s="9">
        <f t="shared" ref="Z2534:Z2547" si="528">+E2534-X2534</f>
        <v>0</v>
      </c>
      <c r="AA2534" s="8">
        <f t="shared" ref="AA2534:AA2547" si="529">+M2534+U2534</f>
        <v>405520.99</v>
      </c>
      <c r="AB2534" s="8">
        <f t="shared" ref="AB2534:AB2547" si="530">+E2534-AA2534</f>
        <v>0</v>
      </c>
    </row>
    <row r="2535" spans="1:28" x14ac:dyDescent="0.35">
      <c r="A2535" s="36"/>
      <c r="B2535" s="8"/>
      <c r="C2535" s="7" t="s">
        <v>53</v>
      </c>
      <c r="D2535" s="15" t="s">
        <v>68</v>
      </c>
      <c r="E2535" s="9">
        <v>1953989</v>
      </c>
      <c r="F2535" s="9">
        <v>0</v>
      </c>
      <c r="G2535" s="8"/>
      <c r="H2535" s="9">
        <f t="shared" si="521"/>
        <v>0</v>
      </c>
      <c r="I2535" s="8"/>
      <c r="J2535" s="8"/>
      <c r="K2535" s="8"/>
      <c r="L2535" s="9"/>
      <c r="M2535" s="9">
        <f t="shared" si="522"/>
        <v>0</v>
      </c>
      <c r="N2535" s="9">
        <v>1953989</v>
      </c>
      <c r="O2535" s="8"/>
      <c r="P2535" s="9">
        <f t="shared" si="523"/>
        <v>1953989</v>
      </c>
      <c r="Q2535" s="8"/>
      <c r="R2535" s="8"/>
      <c r="S2535" s="8"/>
      <c r="T2535" s="9"/>
      <c r="U2535" s="9">
        <f t="shared" si="524"/>
        <v>1953989</v>
      </c>
      <c r="V2535" s="9">
        <f t="shared" si="525"/>
        <v>1953989</v>
      </c>
      <c r="W2535" s="9">
        <f t="shared" si="526"/>
        <v>0</v>
      </c>
      <c r="X2535" s="9">
        <f t="shared" si="527"/>
        <v>1953989</v>
      </c>
      <c r="Y2535" s="8"/>
      <c r="Z2535" s="9">
        <f t="shared" si="528"/>
        <v>0</v>
      </c>
      <c r="AA2535" s="8">
        <f t="shared" si="529"/>
        <v>1953989</v>
      </c>
      <c r="AB2535" s="8">
        <f t="shared" si="530"/>
        <v>0</v>
      </c>
    </row>
    <row r="2536" spans="1:28" x14ac:dyDescent="0.35">
      <c r="A2536" s="36"/>
      <c r="B2536" s="8"/>
      <c r="C2536" s="7" t="s">
        <v>55</v>
      </c>
      <c r="D2536" s="15" t="s">
        <v>207</v>
      </c>
      <c r="E2536" s="9">
        <v>7866601</v>
      </c>
      <c r="F2536" s="9">
        <v>0</v>
      </c>
      <c r="G2536" s="8"/>
      <c r="H2536" s="9">
        <f t="shared" si="521"/>
        <v>0</v>
      </c>
      <c r="I2536" s="8"/>
      <c r="J2536" s="8"/>
      <c r="K2536" s="8"/>
      <c r="L2536" s="9"/>
      <c r="M2536" s="9">
        <f t="shared" si="522"/>
        <v>0</v>
      </c>
      <c r="N2536" s="9">
        <v>7866601</v>
      </c>
      <c r="O2536" s="8"/>
      <c r="P2536" s="9">
        <f t="shared" si="523"/>
        <v>7866601</v>
      </c>
      <c r="Q2536" s="8"/>
      <c r="R2536" s="8"/>
      <c r="S2536" s="8"/>
      <c r="T2536" s="9"/>
      <c r="U2536" s="9">
        <f t="shared" si="524"/>
        <v>7866601</v>
      </c>
      <c r="V2536" s="9">
        <f t="shared" si="525"/>
        <v>7866601</v>
      </c>
      <c r="W2536" s="9">
        <f t="shared" si="526"/>
        <v>0</v>
      </c>
      <c r="X2536" s="9">
        <f t="shared" si="527"/>
        <v>7866601</v>
      </c>
      <c r="Y2536" s="8"/>
      <c r="Z2536" s="9">
        <f t="shared" si="528"/>
        <v>0</v>
      </c>
      <c r="AA2536" s="8">
        <f t="shared" si="529"/>
        <v>7866601</v>
      </c>
      <c r="AB2536" s="8">
        <f t="shared" si="530"/>
        <v>0</v>
      </c>
    </row>
    <row r="2537" spans="1:28" x14ac:dyDescent="0.35">
      <c r="A2537" s="36"/>
      <c r="B2537" s="8"/>
      <c r="C2537" s="7" t="s">
        <v>69</v>
      </c>
      <c r="D2537" s="15" t="s">
        <v>54</v>
      </c>
      <c r="E2537" s="9">
        <v>955345.62</v>
      </c>
      <c r="F2537" s="9">
        <v>0</v>
      </c>
      <c r="G2537" s="8"/>
      <c r="H2537" s="9">
        <f t="shared" si="521"/>
        <v>0</v>
      </c>
      <c r="I2537" s="8"/>
      <c r="J2537" s="8"/>
      <c r="K2537" s="8"/>
      <c r="L2537" s="9"/>
      <c r="M2537" s="9">
        <f t="shared" si="522"/>
        <v>0</v>
      </c>
      <c r="N2537" s="9">
        <v>955345.62</v>
      </c>
      <c r="O2537" s="8"/>
      <c r="P2537" s="9">
        <f t="shared" si="523"/>
        <v>955345.62</v>
      </c>
      <c r="Q2537" s="8"/>
      <c r="R2537" s="8"/>
      <c r="S2537" s="8"/>
      <c r="T2537" s="9"/>
      <c r="U2537" s="9">
        <f t="shared" si="524"/>
        <v>955345.62</v>
      </c>
      <c r="V2537" s="9">
        <f t="shared" si="525"/>
        <v>955345.62</v>
      </c>
      <c r="W2537" s="9">
        <f t="shared" si="526"/>
        <v>0</v>
      </c>
      <c r="X2537" s="9">
        <f t="shared" si="527"/>
        <v>955345.62</v>
      </c>
      <c r="Y2537" s="8"/>
      <c r="Z2537" s="9">
        <f t="shared" si="528"/>
        <v>0</v>
      </c>
      <c r="AA2537" s="8">
        <f t="shared" si="529"/>
        <v>955345.62</v>
      </c>
      <c r="AB2537" s="8">
        <f t="shared" si="530"/>
        <v>0</v>
      </c>
    </row>
    <row r="2538" spans="1:28" x14ac:dyDescent="0.35">
      <c r="A2538" s="36"/>
      <c r="B2538" s="8"/>
      <c r="C2538" s="7" t="s">
        <v>57</v>
      </c>
      <c r="D2538" s="15" t="s">
        <v>85</v>
      </c>
      <c r="E2538" s="9">
        <v>1025100</v>
      </c>
      <c r="F2538" s="9">
        <v>1025100</v>
      </c>
      <c r="G2538" s="8"/>
      <c r="H2538" s="9">
        <f t="shared" si="521"/>
        <v>1025100</v>
      </c>
      <c r="I2538" s="8"/>
      <c r="J2538" s="8"/>
      <c r="K2538" s="8"/>
      <c r="L2538" s="9"/>
      <c r="M2538" s="9">
        <f t="shared" si="522"/>
        <v>1025100</v>
      </c>
      <c r="N2538" s="9">
        <v>0</v>
      </c>
      <c r="O2538" s="8"/>
      <c r="P2538" s="9">
        <f t="shared" si="523"/>
        <v>0</v>
      </c>
      <c r="Q2538" s="8"/>
      <c r="R2538" s="8"/>
      <c r="S2538" s="8"/>
      <c r="T2538" s="9"/>
      <c r="U2538" s="9">
        <f t="shared" si="524"/>
        <v>0</v>
      </c>
      <c r="V2538" s="9">
        <f t="shared" si="525"/>
        <v>1025100</v>
      </c>
      <c r="W2538" s="9">
        <f t="shared" si="526"/>
        <v>0</v>
      </c>
      <c r="X2538" s="9">
        <f t="shared" si="527"/>
        <v>1025100</v>
      </c>
      <c r="Y2538" s="8"/>
      <c r="Z2538" s="9">
        <f t="shared" si="528"/>
        <v>0</v>
      </c>
      <c r="AA2538" s="8">
        <f t="shared" si="529"/>
        <v>1025100</v>
      </c>
      <c r="AB2538" s="8">
        <f t="shared" si="530"/>
        <v>0</v>
      </c>
    </row>
    <row r="2539" spans="1:28" x14ac:dyDescent="0.35">
      <c r="A2539" s="36"/>
      <c r="B2539" s="8"/>
      <c r="C2539" s="7" t="s">
        <v>57</v>
      </c>
      <c r="D2539" s="15" t="s">
        <v>108</v>
      </c>
      <c r="E2539" s="9">
        <v>1500000</v>
      </c>
      <c r="F2539" s="9">
        <v>1500000</v>
      </c>
      <c r="G2539" s="8"/>
      <c r="H2539" s="9">
        <f t="shared" si="521"/>
        <v>1500000</v>
      </c>
      <c r="I2539" s="8"/>
      <c r="J2539" s="8"/>
      <c r="K2539" s="8"/>
      <c r="L2539" s="9"/>
      <c r="M2539" s="9">
        <f t="shared" si="522"/>
        <v>1500000</v>
      </c>
      <c r="N2539" s="9">
        <v>0</v>
      </c>
      <c r="O2539" s="8"/>
      <c r="P2539" s="9">
        <f t="shared" si="523"/>
        <v>0</v>
      </c>
      <c r="Q2539" s="8"/>
      <c r="R2539" s="8"/>
      <c r="S2539" s="8"/>
      <c r="T2539" s="9"/>
      <c r="U2539" s="9">
        <f t="shared" si="524"/>
        <v>0</v>
      </c>
      <c r="V2539" s="9">
        <f t="shared" si="525"/>
        <v>1500000</v>
      </c>
      <c r="W2539" s="9">
        <f t="shared" si="526"/>
        <v>0</v>
      </c>
      <c r="X2539" s="9">
        <f t="shared" si="527"/>
        <v>1500000</v>
      </c>
      <c r="Y2539" s="8"/>
      <c r="Z2539" s="9">
        <f t="shared" si="528"/>
        <v>0</v>
      </c>
      <c r="AA2539" s="8">
        <f t="shared" si="529"/>
        <v>1500000</v>
      </c>
      <c r="AB2539" s="8">
        <f t="shared" si="530"/>
        <v>0</v>
      </c>
    </row>
    <row r="2540" spans="1:28" x14ac:dyDescent="0.35">
      <c r="A2540" s="36"/>
      <c r="B2540" s="8"/>
      <c r="C2540" s="7" t="s">
        <v>57</v>
      </c>
      <c r="D2540" s="15" t="s">
        <v>60</v>
      </c>
      <c r="E2540" s="9">
        <v>1721196</v>
      </c>
      <c r="F2540" s="11">
        <v>1721196</v>
      </c>
      <c r="G2540" s="8"/>
      <c r="H2540" s="9">
        <f t="shared" si="521"/>
        <v>1721196</v>
      </c>
      <c r="I2540" s="8"/>
      <c r="J2540" s="8"/>
      <c r="K2540" s="8"/>
      <c r="L2540" s="9"/>
      <c r="M2540" s="9">
        <f t="shared" si="522"/>
        <v>1721196</v>
      </c>
      <c r="N2540" s="9">
        <v>0</v>
      </c>
      <c r="O2540" s="8"/>
      <c r="P2540" s="9">
        <f t="shared" si="523"/>
        <v>0</v>
      </c>
      <c r="Q2540" s="8"/>
      <c r="R2540" s="8"/>
      <c r="S2540" s="8"/>
      <c r="T2540" s="9"/>
      <c r="U2540" s="9">
        <f t="shared" si="524"/>
        <v>0</v>
      </c>
      <c r="V2540" s="9">
        <f t="shared" si="525"/>
        <v>1721196</v>
      </c>
      <c r="W2540" s="9">
        <f t="shared" si="526"/>
        <v>0</v>
      </c>
      <c r="X2540" s="9">
        <f t="shared" si="527"/>
        <v>1721196</v>
      </c>
      <c r="Y2540" s="8"/>
      <c r="Z2540" s="9">
        <f t="shared" si="528"/>
        <v>0</v>
      </c>
      <c r="AA2540" s="8">
        <f t="shared" si="529"/>
        <v>1721196</v>
      </c>
      <c r="AB2540" s="8">
        <f t="shared" si="530"/>
        <v>0</v>
      </c>
    </row>
    <row r="2541" spans="1:28" x14ac:dyDescent="0.35">
      <c r="A2541" s="36"/>
      <c r="B2541" s="8"/>
      <c r="C2541" s="14" t="s">
        <v>1089</v>
      </c>
      <c r="D2541" s="15" t="s">
        <v>60</v>
      </c>
      <c r="E2541" s="9">
        <v>300000</v>
      </c>
      <c r="F2541" s="11">
        <v>300000</v>
      </c>
      <c r="G2541" s="8"/>
      <c r="H2541" s="9">
        <f t="shared" si="521"/>
        <v>300000</v>
      </c>
      <c r="I2541" s="8"/>
      <c r="J2541" s="8"/>
      <c r="K2541" s="8"/>
      <c r="L2541" s="9"/>
      <c r="M2541" s="9">
        <f t="shared" si="522"/>
        <v>300000</v>
      </c>
      <c r="N2541" s="9">
        <v>0</v>
      </c>
      <c r="O2541" s="8"/>
      <c r="P2541" s="9">
        <f t="shared" si="523"/>
        <v>0</v>
      </c>
      <c r="Q2541" s="8"/>
      <c r="R2541" s="8"/>
      <c r="S2541" s="8"/>
      <c r="T2541" s="9"/>
      <c r="U2541" s="9">
        <f t="shared" si="524"/>
        <v>0</v>
      </c>
      <c r="V2541" s="9">
        <f t="shared" si="525"/>
        <v>300000</v>
      </c>
      <c r="W2541" s="9">
        <f t="shared" si="526"/>
        <v>0</v>
      </c>
      <c r="X2541" s="9">
        <f t="shared" si="527"/>
        <v>300000</v>
      </c>
      <c r="Y2541" s="8"/>
      <c r="Z2541" s="9">
        <f t="shared" si="528"/>
        <v>0</v>
      </c>
      <c r="AA2541" s="8">
        <f t="shared" si="529"/>
        <v>300000</v>
      </c>
      <c r="AB2541" s="8">
        <f t="shared" si="530"/>
        <v>0</v>
      </c>
    </row>
    <row r="2542" spans="1:28" x14ac:dyDescent="0.35">
      <c r="A2542" s="36"/>
      <c r="B2542" s="8"/>
      <c r="C2542" s="7" t="s">
        <v>57</v>
      </c>
      <c r="D2542" s="15" t="s">
        <v>73</v>
      </c>
      <c r="E2542" s="9">
        <v>4962342.45</v>
      </c>
      <c r="F2542" s="11">
        <v>4962342.45</v>
      </c>
      <c r="G2542" s="8"/>
      <c r="H2542" s="9">
        <f t="shared" si="521"/>
        <v>4962342.45</v>
      </c>
      <c r="I2542" s="8"/>
      <c r="J2542" s="8"/>
      <c r="K2542" s="8"/>
      <c r="L2542" s="9"/>
      <c r="M2542" s="9">
        <f t="shared" si="522"/>
        <v>4962342.45</v>
      </c>
      <c r="N2542" s="9">
        <v>0</v>
      </c>
      <c r="O2542" s="8"/>
      <c r="P2542" s="9">
        <f t="shared" si="523"/>
        <v>0</v>
      </c>
      <c r="Q2542" s="8"/>
      <c r="R2542" s="8"/>
      <c r="S2542" s="8"/>
      <c r="T2542" s="9"/>
      <c r="U2542" s="9">
        <f t="shared" si="524"/>
        <v>0</v>
      </c>
      <c r="V2542" s="9">
        <f t="shared" si="525"/>
        <v>4962342.45</v>
      </c>
      <c r="W2542" s="9">
        <f t="shared" si="526"/>
        <v>0</v>
      </c>
      <c r="X2542" s="9">
        <f t="shared" si="527"/>
        <v>4962342.45</v>
      </c>
      <c r="Y2542" s="8"/>
      <c r="Z2542" s="9">
        <f t="shared" si="528"/>
        <v>0</v>
      </c>
      <c r="AA2542" s="8">
        <f t="shared" si="529"/>
        <v>4962342.45</v>
      </c>
      <c r="AB2542" s="8">
        <f t="shared" si="530"/>
        <v>0</v>
      </c>
    </row>
    <row r="2543" spans="1:28" x14ac:dyDescent="0.35">
      <c r="A2543" s="36"/>
      <c r="B2543" s="8"/>
      <c r="C2543" s="7" t="s">
        <v>471</v>
      </c>
      <c r="D2543" s="16" t="s">
        <v>472</v>
      </c>
      <c r="E2543" s="9">
        <f>3030641.09+43424.62</f>
        <v>3074065.71</v>
      </c>
      <c r="F2543" s="8">
        <v>3030641.09</v>
      </c>
      <c r="G2543" s="8"/>
      <c r="H2543" s="9">
        <f t="shared" si="521"/>
        <v>3030641.09</v>
      </c>
      <c r="I2543" s="8"/>
      <c r="J2543" s="8"/>
      <c r="K2543" s="8"/>
      <c r="L2543" s="9"/>
      <c r="M2543" s="9">
        <f t="shared" si="522"/>
        <v>3030641.09</v>
      </c>
      <c r="N2543" s="9">
        <v>41917.07</v>
      </c>
      <c r="O2543" s="8"/>
      <c r="P2543" s="9">
        <f t="shared" si="523"/>
        <v>41917.07</v>
      </c>
      <c r="Q2543" s="8">
        <v>43424.62</v>
      </c>
      <c r="R2543" s="8"/>
      <c r="S2543" s="8"/>
      <c r="T2543" s="9">
        <v>1507.55</v>
      </c>
      <c r="U2543" s="9">
        <f t="shared" si="524"/>
        <v>43424.62</v>
      </c>
      <c r="V2543" s="9">
        <f t="shared" si="525"/>
        <v>3072558.1599999997</v>
      </c>
      <c r="W2543" s="9">
        <f t="shared" si="526"/>
        <v>1507.5500000002794</v>
      </c>
      <c r="X2543" s="9">
        <f t="shared" si="527"/>
        <v>3072558.1599999997</v>
      </c>
      <c r="Y2543" s="8"/>
      <c r="Z2543" s="9">
        <f t="shared" si="528"/>
        <v>1507.5500000002794</v>
      </c>
      <c r="AA2543" s="8">
        <f t="shared" si="529"/>
        <v>3074065.71</v>
      </c>
      <c r="AB2543" s="8">
        <f t="shared" si="530"/>
        <v>0</v>
      </c>
    </row>
    <row r="2544" spans="1:28" x14ac:dyDescent="0.35">
      <c r="A2544" s="36"/>
      <c r="B2544" s="8"/>
      <c r="C2544" s="7" t="s">
        <v>924</v>
      </c>
      <c r="D2544" s="16" t="s">
        <v>1072</v>
      </c>
      <c r="E2544" s="9">
        <v>876743</v>
      </c>
      <c r="F2544" s="9">
        <v>876743</v>
      </c>
      <c r="G2544" s="8"/>
      <c r="H2544" s="9">
        <f>+F2544+G2544</f>
        <v>876743</v>
      </c>
      <c r="I2544" s="8"/>
      <c r="J2544" s="8"/>
      <c r="K2544" s="8"/>
      <c r="L2544" s="9"/>
      <c r="M2544" s="9">
        <f>+H2544+L2544</f>
        <v>876743</v>
      </c>
      <c r="N2544" s="9">
        <v>0</v>
      </c>
      <c r="O2544" s="8"/>
      <c r="P2544" s="9">
        <f>+N2544+O2544</f>
        <v>0</v>
      </c>
      <c r="Q2544" s="8"/>
      <c r="R2544" s="8"/>
      <c r="S2544" s="8"/>
      <c r="T2544" s="9"/>
      <c r="U2544" s="9">
        <f>P2544+T2544</f>
        <v>0</v>
      </c>
      <c r="V2544" s="9">
        <f>P2544+H2544</f>
        <v>876743</v>
      </c>
      <c r="W2544" s="9">
        <f>E2544-V2544</f>
        <v>0</v>
      </c>
      <c r="X2544" s="9">
        <f t="shared" si="527"/>
        <v>876743</v>
      </c>
      <c r="Y2544" s="8"/>
      <c r="Z2544" s="9">
        <f t="shared" si="528"/>
        <v>0</v>
      </c>
      <c r="AA2544" s="8">
        <f t="shared" si="529"/>
        <v>876743</v>
      </c>
      <c r="AB2544" s="8">
        <f t="shared" si="530"/>
        <v>0</v>
      </c>
    </row>
    <row r="2545" spans="1:28" x14ac:dyDescent="0.35">
      <c r="A2545" s="36"/>
      <c r="B2545" s="8"/>
      <c r="C2545" s="7" t="s">
        <v>930</v>
      </c>
      <c r="D2545" s="16" t="s">
        <v>1072</v>
      </c>
      <c r="E2545" s="9">
        <f>984909.62</f>
        <v>984909.62</v>
      </c>
      <c r="F2545" s="9">
        <f>984909.62</f>
        <v>984909.62</v>
      </c>
      <c r="G2545" s="8"/>
      <c r="H2545" s="9">
        <f>+F2545+G2545</f>
        <v>984909.62</v>
      </c>
      <c r="I2545" s="8"/>
      <c r="J2545" s="8"/>
      <c r="K2545" s="8"/>
      <c r="L2545" s="9"/>
      <c r="M2545" s="9">
        <f>+H2545+L2545</f>
        <v>984909.62</v>
      </c>
      <c r="N2545" s="9">
        <v>0</v>
      </c>
      <c r="O2545" s="8"/>
      <c r="P2545" s="9">
        <f>+N2545+O2545</f>
        <v>0</v>
      </c>
      <c r="Q2545" s="8"/>
      <c r="R2545" s="8"/>
      <c r="S2545" s="8"/>
      <c r="T2545" s="9"/>
      <c r="U2545" s="9">
        <f>P2545+T2545</f>
        <v>0</v>
      </c>
      <c r="V2545" s="9">
        <f>P2545+H2545</f>
        <v>984909.62</v>
      </c>
      <c r="W2545" s="9">
        <f>E2545-V2545</f>
        <v>0</v>
      </c>
      <c r="X2545" s="9">
        <f t="shared" si="527"/>
        <v>984909.62</v>
      </c>
      <c r="Y2545" s="8"/>
      <c r="Z2545" s="9">
        <f t="shared" si="528"/>
        <v>0</v>
      </c>
      <c r="AA2545" s="8">
        <f t="shared" si="529"/>
        <v>984909.62</v>
      </c>
      <c r="AB2545" s="8">
        <f t="shared" si="530"/>
        <v>0</v>
      </c>
    </row>
    <row r="2546" spans="1:28" x14ac:dyDescent="0.35">
      <c r="A2546" s="36"/>
      <c r="B2546" s="8"/>
      <c r="C2546" s="7" t="s">
        <v>1084</v>
      </c>
      <c r="D2546" s="16" t="s">
        <v>1072</v>
      </c>
      <c r="E2546" s="9">
        <f>504450.37+1326100.33+1161513.13</f>
        <v>2992063.83</v>
      </c>
      <c r="F2546" s="9">
        <f>504450.37+1326100.33+1161513.13</f>
        <v>2992063.83</v>
      </c>
      <c r="G2546" s="8"/>
      <c r="H2546" s="9">
        <f>+F2546+G2546</f>
        <v>2992063.83</v>
      </c>
      <c r="I2546" s="8"/>
      <c r="J2546" s="8"/>
      <c r="K2546" s="8"/>
      <c r="L2546" s="9"/>
      <c r="M2546" s="9">
        <f>+H2546+L2546</f>
        <v>2992063.83</v>
      </c>
      <c r="N2546" s="9">
        <v>0</v>
      </c>
      <c r="O2546" s="8"/>
      <c r="P2546" s="9">
        <f>+N2546+O2546</f>
        <v>0</v>
      </c>
      <c r="Q2546" s="8"/>
      <c r="R2546" s="8"/>
      <c r="S2546" s="8"/>
      <c r="T2546" s="9"/>
      <c r="U2546" s="9">
        <f>+P2546+T2546</f>
        <v>0</v>
      </c>
      <c r="V2546" s="9"/>
      <c r="W2546" s="9"/>
      <c r="X2546" s="9">
        <f t="shared" si="527"/>
        <v>2992063.83</v>
      </c>
      <c r="Y2546" s="8"/>
      <c r="Z2546" s="9">
        <f t="shared" si="528"/>
        <v>0</v>
      </c>
      <c r="AA2546" s="8">
        <f t="shared" si="529"/>
        <v>2992063.83</v>
      </c>
      <c r="AB2546" s="8">
        <f t="shared" si="530"/>
        <v>0</v>
      </c>
    </row>
    <row r="2547" spans="1:28" x14ac:dyDescent="0.35">
      <c r="A2547" s="36"/>
      <c r="B2547" s="8"/>
      <c r="C2547" s="7" t="s">
        <v>57</v>
      </c>
      <c r="D2547" s="16" t="s">
        <v>61</v>
      </c>
      <c r="E2547" s="9">
        <v>923257</v>
      </c>
      <c r="F2547" s="8">
        <v>923257</v>
      </c>
      <c r="G2547" s="8"/>
      <c r="H2547" s="9">
        <f>F2547+G2547</f>
        <v>923257</v>
      </c>
      <c r="I2547" s="8"/>
      <c r="J2547" s="8"/>
      <c r="K2547" s="8"/>
      <c r="L2547" s="9"/>
      <c r="M2547" s="9">
        <f>H2547+L2547</f>
        <v>923257</v>
      </c>
      <c r="N2547" s="9">
        <v>0</v>
      </c>
      <c r="O2547" s="8"/>
      <c r="P2547" s="9">
        <f>N2547+O2547</f>
        <v>0</v>
      </c>
      <c r="Q2547" s="8"/>
      <c r="R2547" s="8"/>
      <c r="S2547" s="8"/>
      <c r="T2547" s="9"/>
      <c r="U2547" s="9">
        <f>P2547+T2547</f>
        <v>0</v>
      </c>
      <c r="V2547" s="9">
        <f>P2547+H2547</f>
        <v>923257</v>
      </c>
      <c r="W2547" s="9">
        <f>E2547-V2547</f>
        <v>0</v>
      </c>
      <c r="X2547" s="9">
        <f t="shared" si="527"/>
        <v>923257</v>
      </c>
      <c r="Y2547" s="8"/>
      <c r="Z2547" s="9">
        <f t="shared" si="528"/>
        <v>0</v>
      </c>
      <c r="AA2547" s="8">
        <f t="shared" si="529"/>
        <v>923257</v>
      </c>
      <c r="AB2547" s="8">
        <f t="shared" si="530"/>
        <v>0</v>
      </c>
    </row>
    <row r="2548" spans="1:28" x14ac:dyDescent="0.35">
      <c r="A2548" s="36"/>
      <c r="B2548" s="8"/>
      <c r="C2548" s="8"/>
      <c r="D2548" s="8"/>
      <c r="E2548" s="17" t="s">
        <v>29</v>
      </c>
      <c r="F2548" s="17" t="s">
        <v>29</v>
      </c>
      <c r="G2548" s="17" t="s">
        <v>29</v>
      </c>
      <c r="H2548" s="17" t="s">
        <v>29</v>
      </c>
      <c r="I2548" s="17" t="s">
        <v>29</v>
      </c>
      <c r="J2548" s="17" t="s">
        <v>29</v>
      </c>
      <c r="K2548" s="17" t="s">
        <v>29</v>
      </c>
      <c r="L2548" s="17" t="s">
        <v>29</v>
      </c>
      <c r="M2548" s="17" t="s">
        <v>29</v>
      </c>
      <c r="N2548" s="17" t="s">
        <v>29</v>
      </c>
      <c r="O2548" s="17" t="s">
        <v>29</v>
      </c>
      <c r="P2548" s="17" t="s">
        <v>29</v>
      </c>
      <c r="Q2548" s="17" t="s">
        <v>29</v>
      </c>
      <c r="R2548" s="17" t="s">
        <v>29</v>
      </c>
      <c r="S2548" s="17" t="s">
        <v>29</v>
      </c>
      <c r="T2548" s="17" t="s">
        <v>29</v>
      </c>
      <c r="U2548" s="17" t="s">
        <v>29</v>
      </c>
      <c r="V2548" s="17" t="s">
        <v>29</v>
      </c>
      <c r="W2548" s="17" t="s">
        <v>29</v>
      </c>
      <c r="X2548" s="17" t="s">
        <v>29</v>
      </c>
      <c r="Y2548" s="17" t="s">
        <v>29</v>
      </c>
      <c r="Z2548" s="17" t="s">
        <v>29</v>
      </c>
      <c r="AA2548" s="17" t="s">
        <v>29</v>
      </c>
      <c r="AB2548" s="17" t="s">
        <v>29</v>
      </c>
    </row>
    <row r="2549" spans="1:28" x14ac:dyDescent="0.35">
      <c r="A2549" s="36"/>
      <c r="B2549" s="8"/>
      <c r="C2549" s="8"/>
      <c r="D2549" s="8"/>
      <c r="E2549" s="9">
        <f t="shared" ref="E2549:AB2549" si="531">SUM(E2534:E2547)</f>
        <v>29541134.219999999</v>
      </c>
      <c r="F2549" s="9">
        <f t="shared" si="531"/>
        <v>18600456.989999998</v>
      </c>
      <c r="G2549" s="9">
        <f t="shared" si="531"/>
        <v>0</v>
      </c>
      <c r="H2549" s="9">
        <f t="shared" si="531"/>
        <v>18600456.989999998</v>
      </c>
      <c r="I2549" s="9">
        <f t="shared" si="531"/>
        <v>0</v>
      </c>
      <c r="J2549" s="9">
        <f t="shared" si="531"/>
        <v>0</v>
      </c>
      <c r="K2549" s="9">
        <f t="shared" si="531"/>
        <v>0</v>
      </c>
      <c r="L2549" s="9">
        <f t="shared" si="531"/>
        <v>0</v>
      </c>
      <c r="M2549" s="9">
        <f t="shared" si="531"/>
        <v>18600456.989999998</v>
      </c>
      <c r="N2549" s="9">
        <f t="shared" si="531"/>
        <v>10939169.68</v>
      </c>
      <c r="O2549" s="9">
        <f t="shared" si="531"/>
        <v>0</v>
      </c>
      <c r="P2549" s="9">
        <f t="shared" si="531"/>
        <v>10939169.68</v>
      </c>
      <c r="Q2549" s="9">
        <f t="shared" si="531"/>
        <v>43424.62</v>
      </c>
      <c r="R2549" s="9">
        <f t="shared" si="531"/>
        <v>0</v>
      </c>
      <c r="S2549" s="9">
        <f t="shared" si="531"/>
        <v>0</v>
      </c>
      <c r="T2549" s="9">
        <f t="shared" si="531"/>
        <v>1507.55</v>
      </c>
      <c r="U2549" s="9">
        <f t="shared" si="531"/>
        <v>10940677.229999999</v>
      </c>
      <c r="V2549" s="9">
        <f t="shared" si="531"/>
        <v>26547562.84</v>
      </c>
      <c r="W2549" s="9">
        <f t="shared" si="531"/>
        <v>1507.5500000002794</v>
      </c>
      <c r="X2549" s="9">
        <f t="shared" si="531"/>
        <v>29539626.670000002</v>
      </c>
      <c r="Y2549" s="9">
        <f t="shared" si="531"/>
        <v>0</v>
      </c>
      <c r="Z2549" s="9">
        <f t="shared" si="531"/>
        <v>1507.5500000002794</v>
      </c>
      <c r="AA2549" s="9">
        <f t="shared" si="531"/>
        <v>29541134.219999999</v>
      </c>
      <c r="AB2549" s="9">
        <f t="shared" si="531"/>
        <v>0</v>
      </c>
    </row>
    <row r="2550" spans="1:28" x14ac:dyDescent="0.35">
      <c r="A2550" s="36"/>
      <c r="B2550" s="8"/>
      <c r="C2550" s="8"/>
      <c r="D2550" s="8"/>
      <c r="E2550" s="17" t="s">
        <v>29</v>
      </c>
      <c r="F2550" s="17" t="s">
        <v>29</v>
      </c>
      <c r="G2550" s="17" t="s">
        <v>29</v>
      </c>
      <c r="H2550" s="17" t="s">
        <v>29</v>
      </c>
      <c r="I2550" s="17" t="s">
        <v>29</v>
      </c>
      <c r="J2550" s="17" t="s">
        <v>29</v>
      </c>
      <c r="K2550" s="17" t="s">
        <v>29</v>
      </c>
      <c r="L2550" s="17" t="s">
        <v>29</v>
      </c>
      <c r="M2550" s="17" t="s">
        <v>29</v>
      </c>
      <c r="N2550" s="17" t="s">
        <v>29</v>
      </c>
      <c r="O2550" s="17" t="s">
        <v>29</v>
      </c>
      <c r="P2550" s="17" t="s">
        <v>29</v>
      </c>
      <c r="Q2550" s="17" t="s">
        <v>29</v>
      </c>
      <c r="R2550" s="17" t="s">
        <v>29</v>
      </c>
      <c r="S2550" s="17" t="s">
        <v>29</v>
      </c>
      <c r="T2550" s="17" t="s">
        <v>29</v>
      </c>
      <c r="U2550" s="17" t="s">
        <v>29</v>
      </c>
      <c r="V2550" s="17" t="s">
        <v>29</v>
      </c>
      <c r="W2550" s="17" t="s">
        <v>29</v>
      </c>
      <c r="X2550" s="17" t="s">
        <v>29</v>
      </c>
      <c r="Y2550" s="17" t="s">
        <v>29</v>
      </c>
      <c r="Z2550" s="17" t="s">
        <v>29</v>
      </c>
      <c r="AA2550" s="17" t="s">
        <v>29</v>
      </c>
      <c r="AB2550" s="17" t="s">
        <v>29</v>
      </c>
    </row>
    <row r="2551" spans="1:28" x14ac:dyDescent="0.35">
      <c r="A2551" s="38" t="s">
        <v>1053</v>
      </c>
      <c r="B2551" s="14" t="s">
        <v>473</v>
      </c>
      <c r="C2551" s="8"/>
      <c r="D2551" s="14" t="s">
        <v>422</v>
      </c>
      <c r="E2551" s="8"/>
      <c r="F2551" s="8"/>
      <c r="G2551" s="8"/>
      <c r="H2551" s="8"/>
      <c r="I2551" s="8"/>
      <c r="J2551" s="8"/>
      <c r="K2551" s="8"/>
      <c r="L2551" s="8"/>
      <c r="M2551" s="8"/>
      <c r="N2551" s="8"/>
      <c r="O2551" s="8"/>
      <c r="P2551" s="8"/>
      <c r="Q2551" s="8"/>
      <c r="R2551" s="8"/>
      <c r="S2551" s="8"/>
      <c r="T2551" s="8"/>
      <c r="U2551" s="8"/>
      <c r="V2551" s="8"/>
      <c r="W2551" s="8"/>
      <c r="X2551" s="8"/>
      <c r="Y2551" s="8"/>
      <c r="Z2551" s="8"/>
    </row>
    <row r="2552" spans="1:28" x14ac:dyDescent="0.35">
      <c r="A2552" s="36"/>
      <c r="B2552" s="8"/>
      <c r="C2552" s="14" t="s">
        <v>474</v>
      </c>
      <c r="D2552" s="14" t="s">
        <v>475</v>
      </c>
      <c r="E2552" s="11">
        <f>1423412.2+1547951+2481500+1458458.57+750000+1804114</f>
        <v>9465435.7699999996</v>
      </c>
      <c r="F2552" s="11">
        <f>1423412.2+1547951+2481500+1458458.57+750000+1804114</f>
        <v>9465435.7699999996</v>
      </c>
      <c r="G2552" s="8"/>
      <c r="H2552" s="9">
        <f t="shared" ref="H2552:H2570" si="532">F2552+G2552</f>
        <v>9465435.7699999996</v>
      </c>
      <c r="I2552" s="8"/>
      <c r="J2552" s="8"/>
      <c r="K2552" s="8"/>
      <c r="L2552" s="9"/>
      <c r="M2552" s="9">
        <f t="shared" ref="M2552:M2570" si="533">H2552+L2552</f>
        <v>9465435.7699999996</v>
      </c>
      <c r="N2552" s="11">
        <v>0</v>
      </c>
      <c r="O2552" s="8"/>
      <c r="P2552" s="9">
        <f t="shared" ref="P2552:P2570" si="534">N2552+O2552</f>
        <v>0</v>
      </c>
      <c r="Q2552" s="8"/>
      <c r="R2552" s="8"/>
      <c r="S2552" s="8"/>
      <c r="T2552" s="9"/>
      <c r="U2552" s="9">
        <f t="shared" ref="U2552:U2570" si="535">P2552+T2552</f>
        <v>0</v>
      </c>
      <c r="V2552" s="9">
        <f t="shared" ref="V2552:V2570" si="536">P2552+H2552</f>
        <v>9465435.7699999996</v>
      </c>
      <c r="W2552" s="9">
        <f t="shared" ref="W2552:W2570" si="537">E2552-V2552</f>
        <v>0</v>
      </c>
      <c r="X2552" s="9">
        <f t="shared" ref="X2552:X2570" si="538">+H2552+P2552</f>
        <v>9465435.7699999996</v>
      </c>
      <c r="Y2552" s="8"/>
      <c r="Z2552" s="9">
        <f t="shared" ref="Z2552:Z2570" si="539">+E2552-X2552</f>
        <v>0</v>
      </c>
      <c r="AA2552" s="8">
        <f t="shared" ref="AA2552:AA2570" si="540">+M2552+U2552</f>
        <v>9465435.7699999996</v>
      </c>
      <c r="AB2552" s="8">
        <f t="shared" ref="AB2552:AB2570" si="541">+E2552-AA2552</f>
        <v>0</v>
      </c>
    </row>
    <row r="2553" spans="1:28" x14ac:dyDescent="0.35">
      <c r="A2553" s="36"/>
      <c r="B2553" s="8"/>
      <c r="C2553" s="14" t="s">
        <v>55</v>
      </c>
      <c r="D2553" s="21" t="s">
        <v>68</v>
      </c>
      <c r="E2553" s="11">
        <v>1019234.5</v>
      </c>
      <c r="F2553" s="11">
        <v>0</v>
      </c>
      <c r="G2553" s="8"/>
      <c r="H2553" s="9">
        <f t="shared" si="532"/>
        <v>0</v>
      </c>
      <c r="I2553" s="8"/>
      <c r="J2553" s="8"/>
      <c r="K2553" s="8"/>
      <c r="L2553" s="9"/>
      <c r="M2553" s="9">
        <f t="shared" si="533"/>
        <v>0</v>
      </c>
      <c r="N2553" s="11">
        <v>1019234.5</v>
      </c>
      <c r="O2553" s="8"/>
      <c r="P2553" s="9">
        <f t="shared" si="534"/>
        <v>1019234.5</v>
      </c>
      <c r="Q2553" s="8"/>
      <c r="R2553" s="8"/>
      <c r="S2553" s="8"/>
      <c r="T2553" s="9"/>
      <c r="U2553" s="9">
        <f t="shared" si="535"/>
        <v>1019234.5</v>
      </c>
      <c r="V2553" s="9">
        <f t="shared" si="536"/>
        <v>1019234.5</v>
      </c>
      <c r="W2553" s="9">
        <f t="shared" si="537"/>
        <v>0</v>
      </c>
      <c r="X2553" s="9">
        <f t="shared" si="538"/>
        <v>1019234.5</v>
      </c>
      <c r="Y2553" s="8"/>
      <c r="Z2553" s="9">
        <f t="shared" si="539"/>
        <v>0</v>
      </c>
      <c r="AA2553" s="8">
        <f t="shared" si="540"/>
        <v>1019234.5</v>
      </c>
      <c r="AB2553" s="8">
        <f t="shared" si="541"/>
        <v>0</v>
      </c>
    </row>
    <row r="2554" spans="1:28" x14ac:dyDescent="0.35">
      <c r="A2554" s="36"/>
      <c r="B2554" s="8"/>
      <c r="C2554" s="14" t="s">
        <v>185</v>
      </c>
      <c r="D2554" s="21" t="s">
        <v>54</v>
      </c>
      <c r="E2554" s="11">
        <v>1953989</v>
      </c>
      <c r="F2554" s="11">
        <v>0</v>
      </c>
      <c r="G2554" s="8"/>
      <c r="H2554" s="9">
        <f t="shared" si="532"/>
        <v>0</v>
      </c>
      <c r="I2554" s="8"/>
      <c r="J2554" s="8"/>
      <c r="K2554" s="8"/>
      <c r="L2554" s="9"/>
      <c r="M2554" s="9">
        <f t="shared" si="533"/>
        <v>0</v>
      </c>
      <c r="N2554" s="11">
        <v>1953989</v>
      </c>
      <c r="O2554" s="8"/>
      <c r="P2554" s="9">
        <f t="shared" si="534"/>
        <v>1953989</v>
      </c>
      <c r="Q2554" s="8"/>
      <c r="R2554" s="8"/>
      <c r="S2554" s="8"/>
      <c r="T2554" s="9"/>
      <c r="U2554" s="9">
        <f t="shared" si="535"/>
        <v>1953989</v>
      </c>
      <c r="V2554" s="9">
        <f t="shared" si="536"/>
        <v>1953989</v>
      </c>
      <c r="W2554" s="9">
        <f t="shared" si="537"/>
        <v>0</v>
      </c>
      <c r="X2554" s="9">
        <f t="shared" si="538"/>
        <v>1953989</v>
      </c>
      <c r="Y2554" s="8"/>
      <c r="Z2554" s="9">
        <f t="shared" si="539"/>
        <v>0</v>
      </c>
      <c r="AA2554" s="8">
        <f t="shared" si="540"/>
        <v>1953989</v>
      </c>
      <c r="AB2554" s="8">
        <f t="shared" si="541"/>
        <v>0</v>
      </c>
    </row>
    <row r="2555" spans="1:28" x14ac:dyDescent="0.35">
      <c r="A2555" s="36"/>
      <c r="B2555" s="8"/>
      <c r="C2555" s="14" t="s">
        <v>425</v>
      </c>
      <c r="D2555" s="21" t="s">
        <v>54</v>
      </c>
      <c r="E2555" s="11">
        <v>955345.62</v>
      </c>
      <c r="F2555" s="11">
        <v>0</v>
      </c>
      <c r="G2555" s="8"/>
      <c r="H2555" s="9">
        <f t="shared" si="532"/>
        <v>0</v>
      </c>
      <c r="I2555" s="8"/>
      <c r="J2555" s="8"/>
      <c r="K2555" s="8"/>
      <c r="L2555" s="9"/>
      <c r="M2555" s="9">
        <f t="shared" si="533"/>
        <v>0</v>
      </c>
      <c r="N2555" s="11">
        <v>955345.62</v>
      </c>
      <c r="O2555" s="8"/>
      <c r="P2555" s="9">
        <f t="shared" si="534"/>
        <v>955345.62</v>
      </c>
      <c r="Q2555" s="8"/>
      <c r="R2555" s="8"/>
      <c r="S2555" s="8"/>
      <c r="T2555" s="9"/>
      <c r="U2555" s="9">
        <f t="shared" si="535"/>
        <v>955345.62</v>
      </c>
      <c r="V2555" s="9">
        <f t="shared" si="536"/>
        <v>955345.62</v>
      </c>
      <c r="W2555" s="9">
        <f t="shared" si="537"/>
        <v>0</v>
      </c>
      <c r="X2555" s="9">
        <f t="shared" si="538"/>
        <v>955345.62</v>
      </c>
      <c r="Y2555" s="8"/>
      <c r="Z2555" s="9">
        <f t="shared" si="539"/>
        <v>0</v>
      </c>
      <c r="AA2555" s="8">
        <f t="shared" si="540"/>
        <v>955345.62</v>
      </c>
      <c r="AB2555" s="8">
        <f t="shared" si="541"/>
        <v>0</v>
      </c>
    </row>
    <row r="2556" spans="1:28" x14ac:dyDescent="0.35">
      <c r="A2556" s="36"/>
      <c r="B2556" s="8"/>
      <c r="C2556" s="14" t="s">
        <v>431</v>
      </c>
      <c r="D2556" s="21" t="s">
        <v>128</v>
      </c>
      <c r="E2556" s="11">
        <v>800000</v>
      </c>
      <c r="F2556" s="11">
        <v>0</v>
      </c>
      <c r="G2556" s="8"/>
      <c r="H2556" s="9">
        <f t="shared" si="532"/>
        <v>0</v>
      </c>
      <c r="I2556" s="8"/>
      <c r="J2556" s="8"/>
      <c r="K2556" s="8"/>
      <c r="L2556" s="9"/>
      <c r="M2556" s="9">
        <f t="shared" si="533"/>
        <v>0</v>
      </c>
      <c r="N2556" s="11">
        <v>0</v>
      </c>
      <c r="O2556" s="8"/>
      <c r="P2556" s="9">
        <f t="shared" si="534"/>
        <v>0</v>
      </c>
      <c r="Q2556" s="8"/>
      <c r="R2556" s="8"/>
      <c r="S2556" s="8"/>
      <c r="T2556" s="9"/>
      <c r="U2556" s="9">
        <f t="shared" si="535"/>
        <v>0</v>
      </c>
      <c r="V2556" s="9">
        <f t="shared" si="536"/>
        <v>0</v>
      </c>
      <c r="W2556" s="9">
        <f t="shared" si="537"/>
        <v>800000</v>
      </c>
      <c r="X2556" s="9">
        <f t="shared" si="538"/>
        <v>0</v>
      </c>
      <c r="Y2556" s="8"/>
      <c r="Z2556" s="9">
        <f t="shared" si="539"/>
        <v>800000</v>
      </c>
      <c r="AA2556" s="8">
        <f t="shared" si="540"/>
        <v>0</v>
      </c>
      <c r="AB2556" s="8">
        <f t="shared" si="541"/>
        <v>800000</v>
      </c>
    </row>
    <row r="2557" spans="1:28" x14ac:dyDescent="0.35">
      <c r="A2557" s="36"/>
      <c r="B2557" s="8"/>
      <c r="C2557" s="14" t="s">
        <v>476</v>
      </c>
      <c r="D2557" s="21" t="s">
        <v>88</v>
      </c>
      <c r="E2557" s="11">
        <v>1200000</v>
      </c>
      <c r="F2557" s="11">
        <v>1200000</v>
      </c>
      <c r="G2557" s="8"/>
      <c r="H2557" s="9">
        <f t="shared" si="532"/>
        <v>1200000</v>
      </c>
      <c r="I2557" s="8"/>
      <c r="J2557" s="8"/>
      <c r="K2557" s="8"/>
      <c r="L2557" s="9"/>
      <c r="M2557" s="9">
        <f t="shared" si="533"/>
        <v>1200000</v>
      </c>
      <c r="N2557" s="11">
        <v>0</v>
      </c>
      <c r="O2557" s="8"/>
      <c r="P2557" s="9">
        <f t="shared" si="534"/>
        <v>0</v>
      </c>
      <c r="Q2557" s="8"/>
      <c r="R2557" s="8"/>
      <c r="S2557" s="8"/>
      <c r="T2557" s="9"/>
      <c r="U2557" s="9">
        <f t="shared" si="535"/>
        <v>0</v>
      </c>
      <c r="V2557" s="9">
        <f t="shared" si="536"/>
        <v>1200000</v>
      </c>
      <c r="W2557" s="9">
        <f t="shared" si="537"/>
        <v>0</v>
      </c>
      <c r="X2557" s="9">
        <f t="shared" si="538"/>
        <v>1200000</v>
      </c>
      <c r="Y2557" s="8"/>
      <c r="Z2557" s="9">
        <f t="shared" si="539"/>
        <v>0</v>
      </c>
      <c r="AA2557" s="8">
        <f t="shared" si="540"/>
        <v>1200000</v>
      </c>
      <c r="AB2557" s="8">
        <f t="shared" si="541"/>
        <v>0</v>
      </c>
    </row>
    <row r="2558" spans="1:28" x14ac:dyDescent="0.35">
      <c r="A2558" s="36"/>
      <c r="B2558" s="8"/>
      <c r="C2558" s="14" t="s">
        <v>143</v>
      </c>
      <c r="D2558" s="21" t="s">
        <v>58</v>
      </c>
      <c r="E2558" s="11">
        <v>12600767.34</v>
      </c>
      <c r="F2558" s="11">
        <v>12600767.34</v>
      </c>
      <c r="G2558" s="8"/>
      <c r="H2558" s="9">
        <f t="shared" si="532"/>
        <v>12600767.34</v>
      </c>
      <c r="I2558" s="8"/>
      <c r="J2558" s="8"/>
      <c r="K2558" s="8"/>
      <c r="L2558" s="9"/>
      <c r="M2558" s="9">
        <f t="shared" si="533"/>
        <v>12600767.34</v>
      </c>
      <c r="N2558" s="11">
        <v>0</v>
      </c>
      <c r="O2558" s="8"/>
      <c r="P2558" s="9">
        <f t="shared" si="534"/>
        <v>0</v>
      </c>
      <c r="Q2558" s="8"/>
      <c r="R2558" s="8"/>
      <c r="S2558" s="8"/>
      <c r="T2558" s="9"/>
      <c r="U2558" s="9">
        <f t="shared" si="535"/>
        <v>0</v>
      </c>
      <c r="V2558" s="9">
        <f t="shared" si="536"/>
        <v>12600767.34</v>
      </c>
      <c r="W2558" s="9">
        <f t="shared" si="537"/>
        <v>0</v>
      </c>
      <c r="X2558" s="9">
        <f t="shared" si="538"/>
        <v>12600767.34</v>
      </c>
      <c r="Y2558" s="8"/>
      <c r="Z2558" s="9">
        <f t="shared" si="539"/>
        <v>0</v>
      </c>
      <c r="AA2558" s="8">
        <f t="shared" si="540"/>
        <v>12600767.34</v>
      </c>
      <c r="AB2558" s="8">
        <f t="shared" si="541"/>
        <v>0</v>
      </c>
    </row>
    <row r="2559" spans="1:28" x14ac:dyDescent="0.35">
      <c r="A2559" s="36"/>
      <c r="B2559" s="8"/>
      <c r="C2559" s="14" t="s">
        <v>143</v>
      </c>
      <c r="D2559" s="21" t="s">
        <v>60</v>
      </c>
      <c r="E2559" s="11">
        <v>8442303.8599999994</v>
      </c>
      <c r="F2559" s="11">
        <v>8442303.8599999994</v>
      </c>
      <c r="G2559" s="8"/>
      <c r="H2559" s="9">
        <f t="shared" si="532"/>
        <v>8442303.8599999994</v>
      </c>
      <c r="I2559" s="8"/>
      <c r="J2559" s="8"/>
      <c r="K2559" s="8"/>
      <c r="L2559" s="9"/>
      <c r="M2559" s="9">
        <f t="shared" si="533"/>
        <v>8442303.8599999994</v>
      </c>
      <c r="N2559" s="11">
        <v>0</v>
      </c>
      <c r="O2559" s="8"/>
      <c r="P2559" s="9">
        <f t="shared" si="534"/>
        <v>0</v>
      </c>
      <c r="Q2559" s="8"/>
      <c r="R2559" s="8"/>
      <c r="S2559" s="8"/>
      <c r="T2559" s="9"/>
      <c r="U2559" s="9">
        <f t="shared" si="535"/>
        <v>0</v>
      </c>
      <c r="V2559" s="9">
        <f t="shared" si="536"/>
        <v>8442303.8599999994</v>
      </c>
      <c r="W2559" s="9">
        <f t="shared" si="537"/>
        <v>0</v>
      </c>
      <c r="X2559" s="9">
        <f t="shared" si="538"/>
        <v>8442303.8599999994</v>
      </c>
      <c r="Y2559" s="8"/>
      <c r="Z2559" s="9">
        <f t="shared" si="539"/>
        <v>0</v>
      </c>
      <c r="AA2559" s="8">
        <f t="shared" si="540"/>
        <v>8442303.8599999994</v>
      </c>
      <c r="AB2559" s="8">
        <f t="shared" si="541"/>
        <v>0</v>
      </c>
    </row>
    <row r="2560" spans="1:28" x14ac:dyDescent="0.35">
      <c r="A2560" s="36"/>
      <c r="B2560" s="8"/>
      <c r="C2560" s="14" t="s">
        <v>477</v>
      </c>
      <c r="D2560" s="14" t="s">
        <v>478</v>
      </c>
      <c r="E2560" s="11">
        <f>3000000+611921</f>
        <v>3611921</v>
      </c>
      <c r="F2560" s="11">
        <f>3000000+611921</f>
        <v>3611921</v>
      </c>
      <c r="G2560" s="8"/>
      <c r="H2560" s="9">
        <f t="shared" si="532"/>
        <v>3611921</v>
      </c>
      <c r="I2560" s="8"/>
      <c r="J2560" s="8"/>
      <c r="K2560" s="8"/>
      <c r="L2560" s="9"/>
      <c r="M2560" s="9">
        <f t="shared" si="533"/>
        <v>3611921</v>
      </c>
      <c r="N2560" s="11">
        <v>0</v>
      </c>
      <c r="O2560" s="8"/>
      <c r="P2560" s="9">
        <f t="shared" si="534"/>
        <v>0</v>
      </c>
      <c r="Q2560" s="8"/>
      <c r="R2560" s="8"/>
      <c r="S2560" s="8"/>
      <c r="T2560" s="9"/>
      <c r="U2560" s="9">
        <f t="shared" si="535"/>
        <v>0</v>
      </c>
      <c r="V2560" s="9">
        <f t="shared" si="536"/>
        <v>3611921</v>
      </c>
      <c r="W2560" s="9">
        <f t="shared" si="537"/>
        <v>0</v>
      </c>
      <c r="X2560" s="9">
        <f t="shared" si="538"/>
        <v>3611921</v>
      </c>
      <c r="Y2560" s="8"/>
      <c r="Z2560" s="9">
        <f t="shared" si="539"/>
        <v>0</v>
      </c>
      <c r="AA2560" s="8">
        <f t="shared" si="540"/>
        <v>3611921</v>
      </c>
      <c r="AB2560" s="8">
        <f t="shared" si="541"/>
        <v>0</v>
      </c>
    </row>
    <row r="2561" spans="1:28" x14ac:dyDescent="0.35">
      <c r="A2561" s="36"/>
      <c r="B2561" s="8"/>
      <c r="C2561" s="14" t="s">
        <v>143</v>
      </c>
      <c r="D2561" s="21" t="s">
        <v>73</v>
      </c>
      <c r="E2561" s="11">
        <v>6387703</v>
      </c>
      <c r="F2561" s="11">
        <v>6387703</v>
      </c>
      <c r="G2561" s="8"/>
      <c r="H2561" s="9">
        <f t="shared" si="532"/>
        <v>6387703</v>
      </c>
      <c r="I2561" s="8"/>
      <c r="J2561" s="8"/>
      <c r="K2561" s="8"/>
      <c r="L2561" s="9"/>
      <c r="M2561" s="9">
        <f t="shared" si="533"/>
        <v>6387703</v>
      </c>
      <c r="N2561" s="11">
        <v>0</v>
      </c>
      <c r="O2561" s="8"/>
      <c r="P2561" s="9">
        <f t="shared" si="534"/>
        <v>0</v>
      </c>
      <c r="Q2561" s="8"/>
      <c r="R2561" s="8"/>
      <c r="S2561" s="8"/>
      <c r="T2561" s="9"/>
      <c r="U2561" s="9">
        <f t="shared" si="535"/>
        <v>0</v>
      </c>
      <c r="V2561" s="9">
        <f t="shared" si="536"/>
        <v>6387703</v>
      </c>
      <c r="W2561" s="9">
        <f t="shared" si="537"/>
        <v>0</v>
      </c>
      <c r="X2561" s="9">
        <f t="shared" si="538"/>
        <v>6387703</v>
      </c>
      <c r="Y2561" s="8"/>
      <c r="Z2561" s="9">
        <f t="shared" si="539"/>
        <v>0</v>
      </c>
      <c r="AA2561" s="8">
        <f t="shared" si="540"/>
        <v>6387703</v>
      </c>
      <c r="AB2561" s="8">
        <f t="shared" si="541"/>
        <v>0</v>
      </c>
    </row>
    <row r="2562" spans="1:28" x14ac:dyDescent="0.35">
      <c r="A2562" s="36"/>
      <c r="B2562" s="8"/>
      <c r="C2562" s="14" t="s">
        <v>434</v>
      </c>
      <c r="D2562" s="8"/>
      <c r="E2562" s="11">
        <v>3389680</v>
      </c>
      <c r="F2562" s="11">
        <v>3389680</v>
      </c>
      <c r="G2562" s="8"/>
      <c r="H2562" s="9">
        <f t="shared" si="532"/>
        <v>3389680</v>
      </c>
      <c r="I2562" s="8"/>
      <c r="J2562" s="8"/>
      <c r="K2562" s="8"/>
      <c r="L2562" s="9"/>
      <c r="M2562" s="9">
        <f t="shared" si="533"/>
        <v>3389680</v>
      </c>
      <c r="N2562" s="11">
        <v>0</v>
      </c>
      <c r="O2562" s="8"/>
      <c r="P2562" s="9">
        <f t="shared" si="534"/>
        <v>0</v>
      </c>
      <c r="Q2562" s="8"/>
      <c r="R2562" s="8"/>
      <c r="S2562" s="8"/>
      <c r="T2562" s="9"/>
      <c r="U2562" s="9">
        <f t="shared" si="535"/>
        <v>0</v>
      </c>
      <c r="V2562" s="9">
        <f t="shared" si="536"/>
        <v>3389680</v>
      </c>
      <c r="W2562" s="9">
        <f t="shared" si="537"/>
        <v>0</v>
      </c>
      <c r="X2562" s="9">
        <f t="shared" si="538"/>
        <v>3389680</v>
      </c>
      <c r="Y2562" s="8"/>
      <c r="Z2562" s="9">
        <f t="shared" si="539"/>
        <v>0</v>
      </c>
      <c r="AA2562" s="8">
        <f t="shared" si="540"/>
        <v>3389680</v>
      </c>
      <c r="AB2562" s="8">
        <f t="shared" si="541"/>
        <v>0</v>
      </c>
    </row>
    <row r="2563" spans="1:28" x14ac:dyDescent="0.35">
      <c r="A2563" s="36"/>
      <c r="B2563" s="8"/>
      <c r="C2563" s="14" t="s">
        <v>435</v>
      </c>
      <c r="D2563" s="8"/>
      <c r="E2563" s="11">
        <v>610033.80000000005</v>
      </c>
      <c r="F2563" s="11">
        <v>610033.80000000005</v>
      </c>
      <c r="G2563" s="8"/>
      <c r="H2563" s="9">
        <f t="shared" si="532"/>
        <v>610033.80000000005</v>
      </c>
      <c r="I2563" s="8"/>
      <c r="J2563" s="8"/>
      <c r="K2563" s="8"/>
      <c r="L2563" s="9"/>
      <c r="M2563" s="9">
        <f t="shared" si="533"/>
        <v>610033.80000000005</v>
      </c>
      <c r="N2563" s="11">
        <v>0</v>
      </c>
      <c r="O2563" s="8"/>
      <c r="P2563" s="9">
        <f t="shared" si="534"/>
        <v>0</v>
      </c>
      <c r="Q2563" s="8"/>
      <c r="R2563" s="8"/>
      <c r="S2563" s="8"/>
      <c r="T2563" s="9"/>
      <c r="U2563" s="9">
        <f t="shared" si="535"/>
        <v>0</v>
      </c>
      <c r="V2563" s="9">
        <f t="shared" si="536"/>
        <v>610033.80000000005</v>
      </c>
      <c r="W2563" s="9">
        <f t="shared" si="537"/>
        <v>0</v>
      </c>
      <c r="X2563" s="9">
        <f t="shared" si="538"/>
        <v>610033.80000000005</v>
      </c>
      <c r="Y2563" s="8"/>
      <c r="Z2563" s="9">
        <f t="shared" si="539"/>
        <v>0</v>
      </c>
      <c r="AA2563" s="8">
        <f t="shared" si="540"/>
        <v>610033.80000000005</v>
      </c>
      <c r="AB2563" s="8">
        <f t="shared" si="541"/>
        <v>0</v>
      </c>
    </row>
    <row r="2564" spans="1:28" x14ac:dyDescent="0.35">
      <c r="A2564" s="36"/>
      <c r="B2564" s="8"/>
      <c r="C2564" s="14" t="s">
        <v>147</v>
      </c>
      <c r="D2564" s="8"/>
      <c r="E2564" s="11">
        <v>300000</v>
      </c>
      <c r="F2564" s="11">
        <v>0</v>
      </c>
      <c r="G2564" s="8"/>
      <c r="H2564" s="9">
        <f t="shared" si="532"/>
        <v>0</v>
      </c>
      <c r="I2564" s="8"/>
      <c r="J2564" s="8"/>
      <c r="K2564" s="8"/>
      <c r="L2564" s="9"/>
      <c r="M2564" s="9">
        <f t="shared" si="533"/>
        <v>0</v>
      </c>
      <c r="N2564" s="11">
        <v>300000</v>
      </c>
      <c r="O2564" s="8"/>
      <c r="P2564" s="9">
        <f t="shared" si="534"/>
        <v>300000</v>
      </c>
      <c r="Q2564" s="8"/>
      <c r="R2564" s="8"/>
      <c r="S2564" s="8"/>
      <c r="T2564" s="9"/>
      <c r="U2564" s="9">
        <f t="shared" si="535"/>
        <v>300000</v>
      </c>
      <c r="V2564" s="9">
        <f t="shared" si="536"/>
        <v>300000</v>
      </c>
      <c r="W2564" s="9">
        <f t="shared" si="537"/>
        <v>0</v>
      </c>
      <c r="X2564" s="9">
        <f t="shared" si="538"/>
        <v>300000</v>
      </c>
      <c r="Y2564" s="8"/>
      <c r="Z2564" s="9">
        <f t="shared" si="539"/>
        <v>0</v>
      </c>
      <c r="AA2564" s="8">
        <f t="shared" si="540"/>
        <v>300000</v>
      </c>
      <c r="AB2564" s="8">
        <f t="shared" si="541"/>
        <v>0</v>
      </c>
    </row>
    <row r="2565" spans="1:28" x14ac:dyDescent="0.35">
      <c r="A2565" s="36"/>
      <c r="B2565" s="8"/>
      <c r="C2565" s="14" t="s">
        <v>419</v>
      </c>
      <c r="D2565" s="8"/>
      <c r="E2565" s="9">
        <v>437800</v>
      </c>
      <c r="F2565" s="11">
        <v>437800</v>
      </c>
      <c r="G2565" s="8"/>
      <c r="H2565" s="9">
        <f t="shared" si="532"/>
        <v>437800</v>
      </c>
      <c r="I2565" s="8"/>
      <c r="J2565" s="8"/>
      <c r="K2565" s="8"/>
      <c r="L2565" s="9"/>
      <c r="M2565" s="9">
        <f t="shared" si="533"/>
        <v>437800</v>
      </c>
      <c r="N2565" s="9">
        <v>0</v>
      </c>
      <c r="O2565" s="8"/>
      <c r="P2565" s="9">
        <f t="shared" si="534"/>
        <v>0</v>
      </c>
      <c r="Q2565" s="8"/>
      <c r="R2565" s="8"/>
      <c r="S2565" s="8"/>
      <c r="T2565" s="9"/>
      <c r="U2565" s="9">
        <f t="shared" si="535"/>
        <v>0</v>
      </c>
      <c r="V2565" s="9">
        <f t="shared" si="536"/>
        <v>437800</v>
      </c>
      <c r="W2565" s="9">
        <f t="shared" si="537"/>
        <v>0</v>
      </c>
      <c r="X2565" s="9">
        <f t="shared" si="538"/>
        <v>437800</v>
      </c>
      <c r="Y2565" s="8"/>
      <c r="Z2565" s="9">
        <f t="shared" si="539"/>
        <v>0</v>
      </c>
      <c r="AA2565" s="8">
        <f t="shared" si="540"/>
        <v>437800</v>
      </c>
      <c r="AB2565" s="8">
        <f t="shared" si="541"/>
        <v>0</v>
      </c>
    </row>
    <row r="2566" spans="1:28" x14ac:dyDescent="0.35">
      <c r="A2566" s="36"/>
      <c r="B2566" s="8"/>
      <c r="C2566" s="14" t="s">
        <v>109</v>
      </c>
      <c r="D2566" s="8"/>
      <c r="E2566" s="9">
        <v>7603987</v>
      </c>
      <c r="F2566" s="9">
        <v>7603987</v>
      </c>
      <c r="G2566" s="9"/>
      <c r="H2566" s="9">
        <f t="shared" si="532"/>
        <v>7603987</v>
      </c>
      <c r="I2566" s="8"/>
      <c r="J2566" s="8"/>
      <c r="K2566" s="8"/>
      <c r="L2566" s="9"/>
      <c r="M2566" s="9">
        <f t="shared" si="533"/>
        <v>7603987</v>
      </c>
      <c r="N2566" s="9">
        <v>0</v>
      </c>
      <c r="O2566" s="9"/>
      <c r="P2566" s="9">
        <f t="shared" si="534"/>
        <v>0</v>
      </c>
      <c r="Q2566" s="8"/>
      <c r="R2566" s="8"/>
      <c r="S2566" s="8"/>
      <c r="T2566" s="9"/>
      <c r="U2566" s="9">
        <f t="shared" si="535"/>
        <v>0</v>
      </c>
      <c r="V2566" s="9">
        <f t="shared" si="536"/>
        <v>7603987</v>
      </c>
      <c r="W2566" s="9">
        <f t="shared" si="537"/>
        <v>0</v>
      </c>
      <c r="X2566" s="9">
        <f t="shared" si="538"/>
        <v>7603987</v>
      </c>
      <c r="Y2566" s="8"/>
      <c r="Z2566" s="9">
        <f t="shared" si="539"/>
        <v>0</v>
      </c>
      <c r="AA2566" s="8">
        <f t="shared" si="540"/>
        <v>7603987</v>
      </c>
      <c r="AB2566" s="8">
        <f t="shared" si="541"/>
        <v>0</v>
      </c>
    </row>
    <row r="2567" spans="1:28" x14ac:dyDescent="0.35">
      <c r="A2567" s="36"/>
      <c r="B2567" s="8"/>
      <c r="C2567" s="14" t="s">
        <v>924</v>
      </c>
      <c r="D2567" s="8"/>
      <c r="E2567" s="9">
        <f>895914.29+1605219.01+1114998.42</f>
        <v>3616131.7199999997</v>
      </c>
      <c r="F2567" s="9">
        <f>895914.29+1605219.01+1114998.42</f>
        <v>3616131.7199999997</v>
      </c>
      <c r="G2567" s="9"/>
      <c r="H2567" s="9">
        <f>F2567+G2567</f>
        <v>3616131.7199999997</v>
      </c>
      <c r="I2567" s="8"/>
      <c r="J2567" s="8"/>
      <c r="K2567" s="8"/>
      <c r="L2567" s="9"/>
      <c r="M2567" s="9">
        <f>H2567+L2567</f>
        <v>3616131.7199999997</v>
      </c>
      <c r="N2567" s="9">
        <v>0</v>
      </c>
      <c r="O2567" s="9"/>
      <c r="P2567" s="9">
        <f>+N2567+O2567</f>
        <v>0</v>
      </c>
      <c r="Q2567" s="8"/>
      <c r="R2567" s="8"/>
      <c r="S2567" s="8"/>
      <c r="T2567" s="9"/>
      <c r="U2567" s="9">
        <f>P2567+T2567</f>
        <v>0</v>
      </c>
      <c r="V2567" s="9">
        <f>P2567+H2567</f>
        <v>3616131.7199999997</v>
      </c>
      <c r="W2567" s="9">
        <f>E2567-V2567</f>
        <v>0</v>
      </c>
      <c r="X2567" s="9">
        <f t="shared" si="538"/>
        <v>3616131.7199999997</v>
      </c>
      <c r="Y2567" s="8"/>
      <c r="Z2567" s="9">
        <f t="shared" si="539"/>
        <v>0</v>
      </c>
      <c r="AA2567" s="8">
        <f t="shared" si="540"/>
        <v>3616131.7199999997</v>
      </c>
      <c r="AB2567" s="8">
        <f t="shared" si="541"/>
        <v>0</v>
      </c>
    </row>
    <row r="2568" spans="1:28" x14ac:dyDescent="0.35">
      <c r="A2568" s="36"/>
      <c r="B2568" s="8"/>
      <c r="C2568" s="14" t="s">
        <v>930</v>
      </c>
      <c r="D2568" s="23" t="s">
        <v>1072</v>
      </c>
      <c r="E2568" s="9">
        <f>1682515+2749843.91+5591793.78</f>
        <v>10024152.690000001</v>
      </c>
      <c r="F2568" s="9">
        <f>4432358.91+5591793.78</f>
        <v>10024152.690000001</v>
      </c>
      <c r="G2568" s="9"/>
      <c r="H2568" s="9">
        <f>+F2568+G2568</f>
        <v>10024152.690000001</v>
      </c>
      <c r="I2568" s="8"/>
      <c r="J2568" s="8"/>
      <c r="K2568" s="8"/>
      <c r="L2568" s="9"/>
      <c r="M2568" s="9">
        <f>+H2568+L2568</f>
        <v>10024152.690000001</v>
      </c>
      <c r="N2568" s="9">
        <v>0</v>
      </c>
      <c r="O2568" s="9"/>
      <c r="P2568" s="9">
        <f>+N2568+O2568</f>
        <v>0</v>
      </c>
      <c r="Q2568" s="8"/>
      <c r="R2568" s="8"/>
      <c r="S2568" s="8"/>
      <c r="T2568" s="9"/>
      <c r="U2568" s="9">
        <f>+P2568+T2568</f>
        <v>0</v>
      </c>
      <c r="V2568" s="9"/>
      <c r="W2568" s="9"/>
      <c r="X2568" s="9">
        <f t="shared" si="538"/>
        <v>10024152.690000001</v>
      </c>
      <c r="Y2568" s="8"/>
      <c r="Z2568" s="9">
        <f t="shared" si="539"/>
        <v>0</v>
      </c>
      <c r="AA2568" s="8">
        <f t="shared" si="540"/>
        <v>10024152.690000001</v>
      </c>
      <c r="AB2568" s="8">
        <f t="shared" si="541"/>
        <v>0</v>
      </c>
    </row>
    <row r="2569" spans="1:28" x14ac:dyDescent="0.35">
      <c r="A2569" s="36"/>
      <c r="B2569" s="8"/>
      <c r="C2569" s="14" t="s">
        <v>1084</v>
      </c>
      <c r="D2569" s="8"/>
      <c r="E2569" s="9">
        <f>4954882.46+7165725.15+1471207.36+2587171.85+2061042.42+1210572.53+1526595.18+1738845.56+910157.56+1770171.27</f>
        <v>25396371.339999996</v>
      </c>
      <c r="F2569" s="9">
        <f>4954882.46+8636932.51+11804556.37</f>
        <v>25396371.339999996</v>
      </c>
      <c r="G2569" s="9"/>
      <c r="H2569" s="9">
        <f>+F2569+G2569</f>
        <v>25396371.339999996</v>
      </c>
      <c r="I2569" s="8"/>
      <c r="J2569" s="8"/>
      <c r="K2569" s="8"/>
      <c r="L2569" s="9"/>
      <c r="M2569" s="9">
        <f>+H2569+L2569</f>
        <v>25396371.339999996</v>
      </c>
      <c r="N2569" s="9">
        <v>0</v>
      </c>
      <c r="O2569" s="9"/>
      <c r="P2569" s="9">
        <f>+N2569+O2569</f>
        <v>0</v>
      </c>
      <c r="Q2569" s="8"/>
      <c r="R2569" s="8"/>
      <c r="S2569" s="8"/>
      <c r="T2569" s="9"/>
      <c r="U2569" s="9">
        <f>+P2569+T2569</f>
        <v>0</v>
      </c>
      <c r="V2569" s="9"/>
      <c r="W2569" s="9"/>
      <c r="X2569" s="9">
        <f t="shared" si="538"/>
        <v>25396371.339999996</v>
      </c>
      <c r="Y2569" s="8"/>
      <c r="Z2569" s="9">
        <f t="shared" si="539"/>
        <v>0</v>
      </c>
      <c r="AA2569" s="8">
        <f t="shared" si="540"/>
        <v>25396371.339999996</v>
      </c>
      <c r="AB2569" s="8">
        <f t="shared" si="541"/>
        <v>0</v>
      </c>
    </row>
    <row r="2570" spans="1:28" x14ac:dyDescent="0.35">
      <c r="A2570" s="36"/>
      <c r="B2570" s="8"/>
      <c r="C2570" s="14" t="s">
        <v>57</v>
      </c>
      <c r="D2570" s="23" t="s">
        <v>61</v>
      </c>
      <c r="E2570" s="9">
        <v>1895600.81</v>
      </c>
      <c r="F2570" s="9">
        <v>1895600.81</v>
      </c>
      <c r="G2570" s="9"/>
      <c r="H2570" s="9">
        <f t="shared" si="532"/>
        <v>1895600.81</v>
      </c>
      <c r="I2570" s="8"/>
      <c r="J2570" s="8"/>
      <c r="K2570" s="8"/>
      <c r="L2570" s="9"/>
      <c r="M2570" s="9">
        <f t="shared" si="533"/>
        <v>1895600.81</v>
      </c>
      <c r="N2570" s="9">
        <v>0</v>
      </c>
      <c r="O2570" s="9"/>
      <c r="P2570" s="9">
        <f t="shared" si="534"/>
        <v>0</v>
      </c>
      <c r="Q2570" s="8"/>
      <c r="R2570" s="8"/>
      <c r="S2570" s="8"/>
      <c r="T2570" s="9"/>
      <c r="U2570" s="9">
        <f t="shared" si="535"/>
        <v>0</v>
      </c>
      <c r="V2570" s="9">
        <f t="shared" si="536"/>
        <v>1895600.81</v>
      </c>
      <c r="W2570" s="9">
        <f t="shared" si="537"/>
        <v>0</v>
      </c>
      <c r="X2570" s="9">
        <f t="shared" si="538"/>
        <v>1895600.81</v>
      </c>
      <c r="Y2570" s="8"/>
      <c r="Z2570" s="9">
        <f t="shared" si="539"/>
        <v>0</v>
      </c>
      <c r="AA2570" s="8">
        <f t="shared" si="540"/>
        <v>1895600.81</v>
      </c>
      <c r="AB2570" s="8">
        <f t="shared" si="541"/>
        <v>0</v>
      </c>
    </row>
    <row r="2571" spans="1:28" x14ac:dyDescent="0.35">
      <c r="A2571" s="36"/>
      <c r="B2571" s="8"/>
      <c r="C2571" s="8"/>
      <c r="D2571" s="8"/>
      <c r="E2571" s="17" t="s">
        <v>29</v>
      </c>
      <c r="F2571" s="17" t="s">
        <v>29</v>
      </c>
      <c r="G2571" s="17" t="s">
        <v>29</v>
      </c>
      <c r="H2571" s="17" t="s">
        <v>29</v>
      </c>
      <c r="I2571" s="17" t="s">
        <v>29</v>
      </c>
      <c r="J2571" s="17" t="s">
        <v>29</v>
      </c>
      <c r="K2571" s="17" t="s">
        <v>29</v>
      </c>
      <c r="L2571" s="17" t="s">
        <v>29</v>
      </c>
      <c r="M2571" s="17" t="s">
        <v>29</v>
      </c>
      <c r="N2571" s="17" t="s">
        <v>29</v>
      </c>
      <c r="O2571" s="17" t="s">
        <v>29</v>
      </c>
      <c r="P2571" s="17" t="s">
        <v>29</v>
      </c>
      <c r="Q2571" s="17" t="s">
        <v>29</v>
      </c>
      <c r="R2571" s="17" t="s">
        <v>29</v>
      </c>
      <c r="S2571" s="17" t="s">
        <v>29</v>
      </c>
      <c r="T2571" s="17" t="s">
        <v>29</v>
      </c>
      <c r="U2571" s="17" t="s">
        <v>29</v>
      </c>
      <c r="V2571" s="17" t="s">
        <v>29</v>
      </c>
      <c r="W2571" s="17" t="s">
        <v>29</v>
      </c>
      <c r="X2571" s="17" t="s">
        <v>29</v>
      </c>
      <c r="Y2571" s="17" t="s">
        <v>29</v>
      </c>
      <c r="Z2571" s="17" t="s">
        <v>29</v>
      </c>
      <c r="AA2571" s="17" t="s">
        <v>29</v>
      </c>
      <c r="AB2571" s="17" t="s">
        <v>29</v>
      </c>
    </row>
    <row r="2572" spans="1:28" x14ac:dyDescent="0.35">
      <c r="A2572" s="36"/>
      <c r="B2572" s="8"/>
      <c r="C2572" s="8"/>
      <c r="D2572" s="8"/>
      <c r="E2572" s="9">
        <f t="shared" ref="E2572:AB2572" si="542">SUM(E2552:E2570)</f>
        <v>99710457.449999988</v>
      </c>
      <c r="F2572" s="9">
        <f t="shared" si="542"/>
        <v>94681888.329999983</v>
      </c>
      <c r="G2572" s="9">
        <f t="shared" si="542"/>
        <v>0</v>
      </c>
      <c r="H2572" s="9">
        <f t="shared" si="542"/>
        <v>94681888.329999983</v>
      </c>
      <c r="I2572" s="9">
        <f t="shared" si="542"/>
        <v>0</v>
      </c>
      <c r="J2572" s="9">
        <f t="shared" si="542"/>
        <v>0</v>
      </c>
      <c r="K2572" s="9">
        <f t="shared" si="542"/>
        <v>0</v>
      </c>
      <c r="L2572" s="9">
        <f t="shared" si="542"/>
        <v>0</v>
      </c>
      <c r="M2572" s="9">
        <f t="shared" si="542"/>
        <v>94681888.329999983</v>
      </c>
      <c r="N2572" s="9">
        <f t="shared" si="542"/>
        <v>4228569.12</v>
      </c>
      <c r="O2572" s="9">
        <f t="shared" si="542"/>
        <v>0</v>
      </c>
      <c r="P2572" s="9">
        <f t="shared" si="542"/>
        <v>4228569.12</v>
      </c>
      <c r="Q2572" s="9">
        <f t="shared" si="542"/>
        <v>0</v>
      </c>
      <c r="R2572" s="9">
        <f t="shared" si="542"/>
        <v>0</v>
      </c>
      <c r="S2572" s="9">
        <f t="shared" si="542"/>
        <v>0</v>
      </c>
      <c r="T2572" s="9">
        <f t="shared" si="542"/>
        <v>0</v>
      </c>
      <c r="U2572" s="9">
        <f t="shared" si="542"/>
        <v>4228569.12</v>
      </c>
      <c r="V2572" s="9">
        <f t="shared" si="542"/>
        <v>63489933.419999994</v>
      </c>
      <c r="W2572" s="9">
        <f t="shared" si="542"/>
        <v>800000</v>
      </c>
      <c r="X2572" s="9">
        <f t="shared" si="542"/>
        <v>98910457.449999988</v>
      </c>
      <c r="Y2572" s="9">
        <f t="shared" si="542"/>
        <v>0</v>
      </c>
      <c r="Z2572" s="9">
        <f t="shared" si="542"/>
        <v>800000</v>
      </c>
      <c r="AA2572" s="9">
        <f t="shared" si="542"/>
        <v>98910457.449999988</v>
      </c>
      <c r="AB2572" s="9">
        <f t="shared" si="542"/>
        <v>800000</v>
      </c>
    </row>
    <row r="2573" spans="1:28" x14ac:dyDescent="0.35">
      <c r="A2573" s="36"/>
      <c r="B2573" s="8"/>
      <c r="C2573" s="8"/>
      <c r="D2573" s="8"/>
      <c r="E2573" s="26" t="s">
        <v>29</v>
      </c>
      <c r="F2573" s="26" t="s">
        <v>29</v>
      </c>
      <c r="G2573" s="26" t="s">
        <v>29</v>
      </c>
      <c r="H2573" s="26" t="s">
        <v>29</v>
      </c>
      <c r="I2573" s="26" t="s">
        <v>29</v>
      </c>
      <c r="J2573" s="26" t="s">
        <v>29</v>
      </c>
      <c r="K2573" s="26" t="s">
        <v>29</v>
      </c>
      <c r="L2573" s="26" t="s">
        <v>29</v>
      </c>
      <c r="M2573" s="26" t="s">
        <v>29</v>
      </c>
      <c r="N2573" s="26" t="s">
        <v>29</v>
      </c>
      <c r="O2573" s="26" t="s">
        <v>29</v>
      </c>
      <c r="P2573" s="26" t="s">
        <v>29</v>
      </c>
      <c r="Q2573" s="26" t="s">
        <v>29</v>
      </c>
      <c r="R2573" s="26" t="s">
        <v>29</v>
      </c>
      <c r="S2573" s="26" t="s">
        <v>29</v>
      </c>
      <c r="T2573" s="26" t="s">
        <v>29</v>
      </c>
      <c r="U2573" s="26" t="s">
        <v>29</v>
      </c>
      <c r="V2573" s="26" t="s">
        <v>29</v>
      </c>
      <c r="W2573" s="26" t="s">
        <v>29</v>
      </c>
      <c r="X2573" s="26" t="s">
        <v>29</v>
      </c>
      <c r="Y2573" s="26" t="s">
        <v>29</v>
      </c>
      <c r="Z2573" s="26" t="s">
        <v>29</v>
      </c>
      <c r="AA2573" s="17" t="s">
        <v>29</v>
      </c>
      <c r="AB2573" s="17" t="s">
        <v>29</v>
      </c>
    </row>
    <row r="2574" spans="1:28" x14ac:dyDescent="0.35">
      <c r="A2574" s="38" t="s">
        <v>1060</v>
      </c>
      <c r="B2574" s="14" t="s">
        <v>479</v>
      </c>
      <c r="C2574" s="8"/>
      <c r="D2574" s="8"/>
      <c r="E2574" s="8"/>
      <c r="F2574" s="8"/>
      <c r="G2574" s="8"/>
      <c r="H2574" s="8"/>
      <c r="I2574" s="8"/>
      <c r="J2574" s="8"/>
      <c r="K2574" s="8"/>
      <c r="L2574" s="8"/>
      <c r="M2574" s="8"/>
      <c r="N2574" s="8"/>
      <c r="O2574" s="8"/>
      <c r="P2574" s="8"/>
      <c r="Q2574" s="8"/>
      <c r="R2574" s="8"/>
      <c r="S2574" s="8"/>
      <c r="T2574" s="8"/>
      <c r="U2574" s="8"/>
      <c r="V2574" s="8"/>
      <c r="W2574" s="8"/>
      <c r="X2574" s="8"/>
      <c r="Y2574" s="8"/>
      <c r="Z2574" s="8"/>
    </row>
    <row r="2575" spans="1:28" x14ac:dyDescent="0.35">
      <c r="A2575" s="36"/>
      <c r="B2575" s="8"/>
      <c r="C2575" s="14" t="s">
        <v>480</v>
      </c>
      <c r="D2575" s="14" t="s">
        <v>481</v>
      </c>
      <c r="E2575" s="11">
        <f>3924000+1471000+1505202.35</f>
        <v>6900202.3499999996</v>
      </c>
      <c r="F2575" s="11">
        <f>3924000+1471000+1505202.35</f>
        <v>6900202.3499999996</v>
      </c>
      <c r="G2575" s="8"/>
      <c r="H2575" s="9">
        <f t="shared" ref="H2575:H2590" si="543">F2575+G2575</f>
        <v>6900202.3499999996</v>
      </c>
      <c r="I2575" s="8"/>
      <c r="J2575" s="8"/>
      <c r="K2575" s="8"/>
      <c r="L2575" s="9"/>
      <c r="M2575" s="9">
        <f t="shared" ref="M2575:M2590" si="544">H2575+L2575</f>
        <v>6900202.3499999996</v>
      </c>
      <c r="N2575" s="11">
        <v>0</v>
      </c>
      <c r="O2575" s="8"/>
      <c r="P2575" s="9">
        <f t="shared" ref="P2575:P2590" si="545">N2575+O2575</f>
        <v>0</v>
      </c>
      <c r="Q2575" s="8"/>
      <c r="R2575" s="8"/>
      <c r="S2575" s="8"/>
      <c r="T2575" s="9"/>
      <c r="U2575" s="9">
        <f t="shared" ref="U2575:U2590" si="546">P2575+T2575</f>
        <v>0</v>
      </c>
      <c r="V2575" s="9">
        <f t="shared" ref="V2575:V2590" si="547">P2575+H2575</f>
        <v>6900202.3499999996</v>
      </c>
      <c r="W2575" s="9">
        <f t="shared" ref="W2575:W2590" si="548">E2575-V2575</f>
        <v>0</v>
      </c>
      <c r="X2575" s="9">
        <f t="shared" ref="X2575:X2590" si="549">+H2575+P2575</f>
        <v>6900202.3499999996</v>
      </c>
      <c r="Y2575" s="8"/>
      <c r="Z2575" s="9">
        <f t="shared" ref="Z2575:Z2590" si="550">+E2575-X2575</f>
        <v>0</v>
      </c>
      <c r="AA2575" s="8">
        <f t="shared" ref="AA2575:AA2590" si="551">+M2575+U2575</f>
        <v>6900202.3499999996</v>
      </c>
      <c r="AB2575" s="8">
        <f t="shared" ref="AB2575:AB2590" si="552">+E2575-AA2575</f>
        <v>0</v>
      </c>
    </row>
    <row r="2576" spans="1:28" x14ac:dyDescent="0.35">
      <c r="A2576" s="36"/>
      <c r="B2576" s="8"/>
      <c r="C2576" s="14" t="s">
        <v>143</v>
      </c>
      <c r="D2576" s="21" t="s">
        <v>482</v>
      </c>
      <c r="E2576" s="11">
        <f>1088543.01+2241000</f>
        <v>3329543.01</v>
      </c>
      <c r="F2576" s="11">
        <f>169490+2241000</f>
        <v>2410490</v>
      </c>
      <c r="G2576" s="8"/>
      <c r="H2576" s="9">
        <f t="shared" si="543"/>
        <v>2410490</v>
      </c>
      <c r="I2576" s="8"/>
      <c r="J2576" s="8"/>
      <c r="K2576" s="8"/>
      <c r="L2576" s="9"/>
      <c r="M2576" s="9">
        <f t="shared" si="544"/>
        <v>2410490</v>
      </c>
      <c r="N2576" s="11">
        <v>919053.01</v>
      </c>
      <c r="O2576" s="8"/>
      <c r="P2576" s="9">
        <f t="shared" si="545"/>
        <v>919053.01</v>
      </c>
      <c r="Q2576" s="8"/>
      <c r="R2576" s="8"/>
      <c r="S2576" s="8"/>
      <c r="T2576" s="9"/>
      <c r="U2576" s="9">
        <f t="shared" si="546"/>
        <v>919053.01</v>
      </c>
      <c r="V2576" s="9">
        <f t="shared" si="547"/>
        <v>3329543.01</v>
      </c>
      <c r="W2576" s="9">
        <f t="shared" si="548"/>
        <v>0</v>
      </c>
      <c r="X2576" s="9">
        <f t="shared" si="549"/>
        <v>3329543.01</v>
      </c>
      <c r="Y2576" s="8"/>
      <c r="Z2576" s="9">
        <f t="shared" si="550"/>
        <v>0</v>
      </c>
      <c r="AA2576" s="8">
        <f t="shared" si="551"/>
        <v>3329543.01</v>
      </c>
      <c r="AB2576" s="8">
        <f t="shared" si="552"/>
        <v>0</v>
      </c>
    </row>
    <row r="2577" spans="1:28" x14ac:dyDescent="0.35">
      <c r="A2577" s="36"/>
      <c r="B2577" s="8"/>
      <c r="C2577" s="14" t="s">
        <v>55</v>
      </c>
      <c r="D2577" s="21" t="s">
        <v>68</v>
      </c>
      <c r="E2577" s="11">
        <v>5344708.88</v>
      </c>
      <c r="F2577" s="11">
        <v>0</v>
      </c>
      <c r="G2577" s="8"/>
      <c r="H2577" s="9">
        <f t="shared" si="543"/>
        <v>0</v>
      </c>
      <c r="I2577" s="8"/>
      <c r="J2577" s="8"/>
      <c r="K2577" s="8"/>
      <c r="L2577" s="9"/>
      <c r="M2577" s="9">
        <f t="shared" si="544"/>
        <v>0</v>
      </c>
      <c r="N2577" s="11">
        <v>5344708.88</v>
      </c>
      <c r="O2577" s="8"/>
      <c r="P2577" s="9">
        <f t="shared" si="545"/>
        <v>5344708.88</v>
      </c>
      <c r="Q2577" s="8"/>
      <c r="R2577" s="8"/>
      <c r="S2577" s="8"/>
      <c r="T2577" s="9"/>
      <c r="U2577" s="9">
        <f t="shared" si="546"/>
        <v>5344708.88</v>
      </c>
      <c r="V2577" s="9">
        <f t="shared" si="547"/>
        <v>5344708.88</v>
      </c>
      <c r="W2577" s="9">
        <f t="shared" si="548"/>
        <v>0</v>
      </c>
      <c r="X2577" s="9">
        <f t="shared" si="549"/>
        <v>5344708.88</v>
      </c>
      <c r="Y2577" s="8"/>
      <c r="Z2577" s="9">
        <f t="shared" si="550"/>
        <v>0</v>
      </c>
      <c r="AA2577" s="8">
        <f t="shared" si="551"/>
        <v>5344708.88</v>
      </c>
      <c r="AB2577" s="8">
        <f t="shared" si="552"/>
        <v>0</v>
      </c>
    </row>
    <row r="2578" spans="1:28" x14ac:dyDescent="0.35">
      <c r="A2578" s="36"/>
      <c r="B2578" s="8"/>
      <c r="C2578" s="14" t="s">
        <v>185</v>
      </c>
      <c r="D2578" s="21" t="s">
        <v>54</v>
      </c>
      <c r="E2578" s="11">
        <v>1767770</v>
      </c>
      <c r="F2578" s="11">
        <v>0</v>
      </c>
      <c r="G2578" s="8"/>
      <c r="H2578" s="9">
        <f t="shared" si="543"/>
        <v>0</v>
      </c>
      <c r="I2578" s="8"/>
      <c r="J2578" s="8"/>
      <c r="K2578" s="8"/>
      <c r="L2578" s="9"/>
      <c r="M2578" s="9">
        <f t="shared" si="544"/>
        <v>0</v>
      </c>
      <c r="N2578" s="11">
        <v>1767770</v>
      </c>
      <c r="O2578" s="8"/>
      <c r="P2578" s="9">
        <f t="shared" si="545"/>
        <v>1767770</v>
      </c>
      <c r="Q2578" s="8"/>
      <c r="R2578" s="8"/>
      <c r="S2578" s="8"/>
      <c r="T2578" s="9"/>
      <c r="U2578" s="9">
        <f t="shared" si="546"/>
        <v>1767770</v>
      </c>
      <c r="V2578" s="9">
        <f t="shared" si="547"/>
        <v>1767770</v>
      </c>
      <c r="W2578" s="9">
        <f t="shared" si="548"/>
        <v>0</v>
      </c>
      <c r="X2578" s="9">
        <f t="shared" si="549"/>
        <v>1767770</v>
      </c>
      <c r="Y2578" s="8"/>
      <c r="Z2578" s="9">
        <f t="shared" si="550"/>
        <v>0</v>
      </c>
      <c r="AA2578" s="8">
        <f t="shared" si="551"/>
        <v>1767770</v>
      </c>
      <c r="AB2578" s="8">
        <f t="shared" si="552"/>
        <v>0</v>
      </c>
    </row>
    <row r="2579" spans="1:28" x14ac:dyDescent="0.35">
      <c r="A2579" s="36"/>
      <c r="B2579" s="8"/>
      <c r="C2579" s="14" t="s">
        <v>483</v>
      </c>
      <c r="D2579" s="21" t="s">
        <v>54</v>
      </c>
      <c r="E2579" s="11">
        <v>5544278</v>
      </c>
      <c r="F2579" s="11">
        <v>5544278</v>
      </c>
      <c r="G2579" s="8"/>
      <c r="H2579" s="9">
        <f t="shared" si="543"/>
        <v>5544278</v>
      </c>
      <c r="I2579" s="8"/>
      <c r="J2579" s="8"/>
      <c r="K2579" s="8"/>
      <c r="L2579" s="9"/>
      <c r="M2579" s="9">
        <f t="shared" si="544"/>
        <v>5544278</v>
      </c>
      <c r="N2579" s="11">
        <v>0</v>
      </c>
      <c r="O2579" s="8"/>
      <c r="P2579" s="9">
        <f t="shared" si="545"/>
        <v>0</v>
      </c>
      <c r="Q2579" s="8"/>
      <c r="R2579" s="8"/>
      <c r="S2579" s="8"/>
      <c r="T2579" s="9"/>
      <c r="U2579" s="9">
        <f t="shared" si="546"/>
        <v>0</v>
      </c>
      <c r="V2579" s="9">
        <f t="shared" si="547"/>
        <v>5544278</v>
      </c>
      <c r="W2579" s="9">
        <f t="shared" si="548"/>
        <v>0</v>
      </c>
      <c r="X2579" s="9">
        <f t="shared" si="549"/>
        <v>5544278</v>
      </c>
      <c r="Y2579" s="8"/>
      <c r="Z2579" s="9">
        <f t="shared" si="550"/>
        <v>0</v>
      </c>
      <c r="AA2579" s="8">
        <f t="shared" si="551"/>
        <v>5544278</v>
      </c>
      <c r="AB2579" s="8">
        <f t="shared" si="552"/>
        <v>0</v>
      </c>
    </row>
    <row r="2580" spans="1:28" x14ac:dyDescent="0.35">
      <c r="A2580" s="36"/>
      <c r="B2580" s="8"/>
      <c r="C2580" s="14" t="s">
        <v>484</v>
      </c>
      <c r="D2580" s="21" t="s">
        <v>85</v>
      </c>
      <c r="E2580" s="11">
        <v>600000</v>
      </c>
      <c r="F2580" s="11">
        <v>600000</v>
      </c>
      <c r="G2580" s="8"/>
      <c r="H2580" s="9">
        <f t="shared" si="543"/>
        <v>600000</v>
      </c>
      <c r="I2580" s="8"/>
      <c r="J2580" s="8"/>
      <c r="K2580" s="8"/>
      <c r="L2580" s="9"/>
      <c r="M2580" s="9">
        <f t="shared" si="544"/>
        <v>600000</v>
      </c>
      <c r="N2580" s="11">
        <v>0</v>
      </c>
      <c r="O2580" s="8"/>
      <c r="P2580" s="9">
        <f t="shared" si="545"/>
        <v>0</v>
      </c>
      <c r="Q2580" s="8"/>
      <c r="R2580" s="8"/>
      <c r="S2580" s="8"/>
      <c r="T2580" s="9"/>
      <c r="U2580" s="9">
        <f t="shared" si="546"/>
        <v>0</v>
      </c>
      <c r="V2580" s="9">
        <f t="shared" si="547"/>
        <v>600000</v>
      </c>
      <c r="W2580" s="9">
        <f t="shared" si="548"/>
        <v>0</v>
      </c>
      <c r="X2580" s="9">
        <f t="shared" si="549"/>
        <v>600000</v>
      </c>
      <c r="Y2580" s="8"/>
      <c r="Z2580" s="9">
        <f t="shared" si="550"/>
        <v>0</v>
      </c>
      <c r="AA2580" s="8">
        <f t="shared" si="551"/>
        <v>600000</v>
      </c>
      <c r="AB2580" s="8">
        <f t="shared" si="552"/>
        <v>0</v>
      </c>
    </row>
    <row r="2581" spans="1:28" x14ac:dyDescent="0.35">
      <c r="A2581" s="36"/>
      <c r="B2581" s="8"/>
      <c r="C2581" s="14" t="s">
        <v>143</v>
      </c>
      <c r="D2581" s="21" t="s">
        <v>58</v>
      </c>
      <c r="E2581" s="11">
        <v>1500000</v>
      </c>
      <c r="F2581" s="11">
        <v>1500000</v>
      </c>
      <c r="G2581" s="8"/>
      <c r="H2581" s="9">
        <f t="shared" si="543"/>
        <v>1500000</v>
      </c>
      <c r="I2581" s="8"/>
      <c r="J2581" s="8"/>
      <c r="K2581" s="8"/>
      <c r="L2581" s="9"/>
      <c r="M2581" s="9">
        <f t="shared" si="544"/>
        <v>1500000</v>
      </c>
      <c r="N2581" s="11">
        <v>0</v>
      </c>
      <c r="O2581" s="8"/>
      <c r="P2581" s="9">
        <f t="shared" si="545"/>
        <v>0</v>
      </c>
      <c r="Q2581" s="8"/>
      <c r="R2581" s="8"/>
      <c r="S2581" s="8"/>
      <c r="T2581" s="9"/>
      <c r="U2581" s="9">
        <f t="shared" si="546"/>
        <v>0</v>
      </c>
      <c r="V2581" s="9">
        <f t="shared" si="547"/>
        <v>1500000</v>
      </c>
      <c r="W2581" s="9">
        <f t="shared" si="548"/>
        <v>0</v>
      </c>
      <c r="X2581" s="9">
        <f t="shared" si="549"/>
        <v>1500000</v>
      </c>
      <c r="Y2581" s="8"/>
      <c r="Z2581" s="9">
        <f t="shared" si="550"/>
        <v>0</v>
      </c>
      <c r="AA2581" s="8">
        <f t="shared" si="551"/>
        <v>1500000</v>
      </c>
      <c r="AB2581" s="8">
        <f t="shared" si="552"/>
        <v>0</v>
      </c>
    </row>
    <row r="2582" spans="1:28" x14ac:dyDescent="0.35">
      <c r="A2582" s="36"/>
      <c r="B2582" s="8"/>
      <c r="C2582" s="14" t="s">
        <v>143</v>
      </c>
      <c r="D2582" s="21" t="s">
        <v>60</v>
      </c>
      <c r="E2582" s="11">
        <v>9674154</v>
      </c>
      <c r="F2582" s="11">
        <v>9253733</v>
      </c>
      <c r="G2582" s="8"/>
      <c r="H2582" s="9">
        <f t="shared" si="543"/>
        <v>9253733</v>
      </c>
      <c r="I2582" s="8"/>
      <c r="J2582" s="8"/>
      <c r="K2582" s="8"/>
      <c r="L2582" s="9"/>
      <c r="M2582" s="9">
        <f t="shared" si="544"/>
        <v>9253733</v>
      </c>
      <c r="N2582" s="11">
        <v>0</v>
      </c>
      <c r="O2582" s="8"/>
      <c r="P2582" s="9">
        <f t="shared" si="545"/>
        <v>0</v>
      </c>
      <c r="Q2582" s="8"/>
      <c r="R2582" s="8"/>
      <c r="S2582" s="8"/>
      <c r="T2582" s="9"/>
      <c r="U2582" s="9">
        <f t="shared" si="546"/>
        <v>0</v>
      </c>
      <c r="V2582" s="9">
        <f t="shared" si="547"/>
        <v>9253733</v>
      </c>
      <c r="W2582" s="9">
        <f t="shared" si="548"/>
        <v>420421</v>
      </c>
      <c r="X2582" s="9">
        <f t="shared" si="549"/>
        <v>9253733</v>
      </c>
      <c r="Y2582" s="8"/>
      <c r="Z2582" s="9">
        <f t="shared" si="550"/>
        <v>420421</v>
      </c>
      <c r="AA2582" s="8">
        <f t="shared" si="551"/>
        <v>9253733</v>
      </c>
      <c r="AB2582" s="8">
        <f t="shared" si="552"/>
        <v>420421</v>
      </c>
    </row>
    <row r="2583" spans="1:28" x14ac:dyDescent="0.35">
      <c r="A2583" s="36"/>
      <c r="B2583" s="8"/>
      <c r="C2583" s="14" t="s">
        <v>143</v>
      </c>
      <c r="D2583" s="21" t="s">
        <v>73</v>
      </c>
      <c r="E2583" s="11">
        <v>9065845</v>
      </c>
      <c r="F2583" s="11">
        <v>9065845</v>
      </c>
      <c r="G2583" s="8"/>
      <c r="H2583" s="9">
        <f t="shared" si="543"/>
        <v>9065845</v>
      </c>
      <c r="I2583" s="8"/>
      <c r="J2583" s="8"/>
      <c r="K2583" s="8"/>
      <c r="L2583" s="9"/>
      <c r="M2583" s="9">
        <f t="shared" si="544"/>
        <v>9065845</v>
      </c>
      <c r="N2583" s="11">
        <v>0</v>
      </c>
      <c r="O2583" s="8"/>
      <c r="P2583" s="9">
        <f t="shared" si="545"/>
        <v>0</v>
      </c>
      <c r="Q2583" s="8"/>
      <c r="R2583" s="8"/>
      <c r="S2583" s="8"/>
      <c r="T2583" s="9"/>
      <c r="U2583" s="9">
        <f t="shared" si="546"/>
        <v>0</v>
      </c>
      <c r="V2583" s="9">
        <f t="shared" si="547"/>
        <v>9065845</v>
      </c>
      <c r="W2583" s="9">
        <f t="shared" si="548"/>
        <v>0</v>
      </c>
      <c r="X2583" s="9">
        <f t="shared" si="549"/>
        <v>9065845</v>
      </c>
      <c r="Y2583" s="8"/>
      <c r="Z2583" s="9">
        <f t="shared" si="550"/>
        <v>0</v>
      </c>
      <c r="AA2583" s="8">
        <f t="shared" si="551"/>
        <v>9065845</v>
      </c>
      <c r="AB2583" s="8">
        <f t="shared" si="552"/>
        <v>0</v>
      </c>
    </row>
    <row r="2584" spans="1:28" x14ac:dyDescent="0.35">
      <c r="A2584" s="36"/>
      <c r="B2584" s="8"/>
      <c r="C2584" s="14" t="s">
        <v>143</v>
      </c>
      <c r="D2584" s="24" t="s">
        <v>61</v>
      </c>
      <c r="E2584" s="11">
        <f>185876.7+1462471.8+7755645.16+3917.16</f>
        <v>9407910.8200000003</v>
      </c>
      <c r="F2584" s="11">
        <f>1462471.8+7755645.16</f>
        <v>9218116.9600000009</v>
      </c>
      <c r="G2584" s="8"/>
      <c r="H2584" s="9">
        <f t="shared" si="543"/>
        <v>9218116.9600000009</v>
      </c>
      <c r="I2584" s="8">
        <v>1462471.8</v>
      </c>
      <c r="J2584" s="8">
        <v>1462471.8</v>
      </c>
      <c r="K2584" s="8"/>
      <c r="L2584" s="9"/>
      <c r="M2584" s="9">
        <f t="shared" si="544"/>
        <v>9218116.9600000009</v>
      </c>
      <c r="N2584" s="11">
        <v>0</v>
      </c>
      <c r="O2584" s="8"/>
      <c r="P2584" s="9">
        <f t="shared" si="545"/>
        <v>0</v>
      </c>
      <c r="Q2584" s="8">
        <v>185876.7</v>
      </c>
      <c r="R2584" s="8"/>
      <c r="S2584" s="8">
        <v>3917.16</v>
      </c>
      <c r="T2584" s="9">
        <v>189793.86</v>
      </c>
      <c r="U2584" s="9">
        <f t="shared" si="546"/>
        <v>189793.86</v>
      </c>
      <c r="V2584" s="9">
        <f t="shared" si="547"/>
        <v>9218116.9600000009</v>
      </c>
      <c r="W2584" s="9">
        <f t="shared" si="548"/>
        <v>189793.8599999994</v>
      </c>
      <c r="X2584" s="9">
        <f t="shared" si="549"/>
        <v>9218116.9600000009</v>
      </c>
      <c r="Y2584" s="8"/>
      <c r="Z2584" s="9">
        <f t="shared" si="550"/>
        <v>189793.8599999994</v>
      </c>
      <c r="AA2584" s="8">
        <f t="shared" si="551"/>
        <v>9407910.8200000003</v>
      </c>
      <c r="AB2584" s="8">
        <f t="shared" si="552"/>
        <v>0</v>
      </c>
    </row>
    <row r="2585" spans="1:28" x14ac:dyDescent="0.35">
      <c r="A2585" s="36"/>
      <c r="B2585" s="8"/>
      <c r="C2585" s="14" t="s">
        <v>924</v>
      </c>
      <c r="D2585" s="24" t="s">
        <v>1072</v>
      </c>
      <c r="E2585" s="11">
        <v>202883.04</v>
      </c>
      <c r="F2585" s="11">
        <v>202883.04</v>
      </c>
      <c r="G2585" s="8"/>
      <c r="H2585" s="9">
        <f>+F2585+G2585</f>
        <v>202883.04</v>
      </c>
      <c r="I2585" s="8"/>
      <c r="J2585" s="8"/>
      <c r="K2585" s="8"/>
      <c r="L2585" s="9"/>
      <c r="M2585" s="9">
        <f>+H2585+L2585</f>
        <v>202883.04</v>
      </c>
      <c r="N2585" s="11">
        <v>0</v>
      </c>
      <c r="O2585" s="8"/>
      <c r="P2585" s="9">
        <f>+N2585+O2585</f>
        <v>0</v>
      </c>
      <c r="Q2585" s="8"/>
      <c r="R2585" s="8"/>
      <c r="S2585" s="8"/>
      <c r="T2585" s="9"/>
      <c r="U2585" s="9">
        <f>P2585+T2585</f>
        <v>0</v>
      </c>
      <c r="V2585" s="9">
        <f>P2585+H2585</f>
        <v>202883.04</v>
      </c>
      <c r="W2585" s="9">
        <f>E2585-V2585</f>
        <v>0</v>
      </c>
      <c r="X2585" s="9">
        <f t="shared" si="549"/>
        <v>202883.04</v>
      </c>
      <c r="Y2585" s="8"/>
      <c r="Z2585" s="9">
        <f t="shared" si="550"/>
        <v>0</v>
      </c>
      <c r="AA2585" s="8">
        <f t="shared" si="551"/>
        <v>202883.04</v>
      </c>
      <c r="AB2585" s="8">
        <f t="shared" si="552"/>
        <v>0</v>
      </c>
    </row>
    <row r="2586" spans="1:28" x14ac:dyDescent="0.35">
      <c r="A2586" s="36"/>
      <c r="B2586" s="8"/>
      <c r="C2586" s="14" t="s">
        <v>930</v>
      </c>
      <c r="D2586" s="24" t="s">
        <v>1072</v>
      </c>
      <c r="E2586" s="11">
        <f>6592000+729839.79</f>
        <v>7321839.79</v>
      </c>
      <c r="F2586" s="11">
        <f>6592000+729839.79</f>
        <v>7321839.79</v>
      </c>
      <c r="G2586" s="8"/>
      <c r="H2586" s="9">
        <f>+F2586+G2586</f>
        <v>7321839.79</v>
      </c>
      <c r="I2586" s="8"/>
      <c r="J2586" s="8"/>
      <c r="K2586" s="8"/>
      <c r="L2586" s="9"/>
      <c r="M2586" s="9">
        <f>+H2586+L2586</f>
        <v>7321839.79</v>
      </c>
      <c r="N2586" s="11">
        <v>0</v>
      </c>
      <c r="O2586" s="8"/>
      <c r="P2586" s="9">
        <f>+N2586+O2586</f>
        <v>0</v>
      </c>
      <c r="Q2586" s="8"/>
      <c r="R2586" s="8"/>
      <c r="S2586" s="8"/>
      <c r="T2586" s="9"/>
      <c r="U2586" s="9">
        <f>P2586+T2586</f>
        <v>0</v>
      </c>
      <c r="V2586" s="9">
        <f>P2586+H2586</f>
        <v>7321839.79</v>
      </c>
      <c r="W2586" s="9">
        <f>E2586-V2586</f>
        <v>0</v>
      </c>
      <c r="X2586" s="9">
        <f t="shared" si="549"/>
        <v>7321839.79</v>
      </c>
      <c r="Y2586" s="8"/>
      <c r="Z2586" s="9">
        <f t="shared" si="550"/>
        <v>0</v>
      </c>
      <c r="AA2586" s="8">
        <f t="shared" si="551"/>
        <v>7321839.79</v>
      </c>
      <c r="AB2586" s="8">
        <f t="shared" si="552"/>
        <v>0</v>
      </c>
    </row>
    <row r="2587" spans="1:28" x14ac:dyDescent="0.35">
      <c r="A2587" s="36"/>
      <c r="B2587" s="8"/>
      <c r="C2587" s="14" t="s">
        <v>434</v>
      </c>
      <c r="D2587" s="8"/>
      <c r="E2587" s="11">
        <v>46700</v>
      </c>
      <c r="F2587" s="11">
        <v>46700</v>
      </c>
      <c r="G2587" s="8"/>
      <c r="H2587" s="9">
        <f t="shared" si="543"/>
        <v>46700</v>
      </c>
      <c r="I2587" s="8"/>
      <c r="J2587" s="8"/>
      <c r="K2587" s="8"/>
      <c r="L2587" s="9"/>
      <c r="M2587" s="9">
        <f t="shared" si="544"/>
        <v>46700</v>
      </c>
      <c r="N2587" s="11">
        <v>0</v>
      </c>
      <c r="O2587" s="8"/>
      <c r="P2587" s="9">
        <f t="shared" si="545"/>
        <v>0</v>
      </c>
      <c r="Q2587" s="8"/>
      <c r="R2587" s="8"/>
      <c r="S2587" s="8"/>
      <c r="T2587" s="9"/>
      <c r="U2587" s="9">
        <f t="shared" si="546"/>
        <v>0</v>
      </c>
      <c r="V2587" s="9">
        <f t="shared" si="547"/>
        <v>46700</v>
      </c>
      <c r="W2587" s="9">
        <f t="shared" si="548"/>
        <v>0</v>
      </c>
      <c r="X2587" s="9">
        <f t="shared" si="549"/>
        <v>46700</v>
      </c>
      <c r="Y2587" s="8"/>
      <c r="Z2587" s="9">
        <f t="shared" si="550"/>
        <v>0</v>
      </c>
      <c r="AA2587" s="8">
        <f t="shared" si="551"/>
        <v>46700</v>
      </c>
      <c r="AB2587" s="8">
        <f t="shared" si="552"/>
        <v>0</v>
      </c>
    </row>
    <row r="2588" spans="1:28" x14ac:dyDescent="0.35">
      <c r="A2588" s="36"/>
      <c r="B2588" s="8"/>
      <c r="C2588" s="14" t="s">
        <v>430</v>
      </c>
      <c r="D2588" s="8"/>
      <c r="E2588" s="11">
        <v>100000</v>
      </c>
      <c r="F2588" s="11">
        <v>0</v>
      </c>
      <c r="G2588" s="8"/>
      <c r="H2588" s="9">
        <f t="shared" si="543"/>
        <v>0</v>
      </c>
      <c r="I2588" s="8"/>
      <c r="J2588" s="8"/>
      <c r="K2588" s="8"/>
      <c r="L2588" s="9"/>
      <c r="M2588" s="9">
        <f t="shared" si="544"/>
        <v>0</v>
      </c>
      <c r="N2588" s="11">
        <v>0</v>
      </c>
      <c r="O2588" s="8"/>
      <c r="P2588" s="9">
        <f t="shared" si="545"/>
        <v>0</v>
      </c>
      <c r="Q2588" s="8"/>
      <c r="R2588" s="8"/>
      <c r="S2588" s="8"/>
      <c r="T2588" s="9"/>
      <c r="U2588" s="9">
        <f t="shared" si="546"/>
        <v>0</v>
      </c>
      <c r="V2588" s="9">
        <f t="shared" si="547"/>
        <v>0</v>
      </c>
      <c r="W2588" s="9">
        <f t="shared" si="548"/>
        <v>100000</v>
      </c>
      <c r="X2588" s="9">
        <f t="shared" si="549"/>
        <v>0</v>
      </c>
      <c r="Y2588" s="8"/>
      <c r="Z2588" s="9">
        <f t="shared" si="550"/>
        <v>100000</v>
      </c>
      <c r="AA2588" s="8">
        <f t="shared" si="551"/>
        <v>0</v>
      </c>
      <c r="AB2588" s="8">
        <f t="shared" si="552"/>
        <v>100000</v>
      </c>
    </row>
    <row r="2589" spans="1:28" x14ac:dyDescent="0.35">
      <c r="A2589" s="36"/>
      <c r="B2589" s="8"/>
      <c r="C2589" s="14" t="s">
        <v>485</v>
      </c>
      <c r="D2589" s="8"/>
      <c r="E2589" s="11">
        <v>2002883</v>
      </c>
      <c r="F2589" s="11">
        <v>2002883</v>
      </c>
      <c r="G2589" s="8"/>
      <c r="H2589" s="9">
        <f t="shared" si="543"/>
        <v>2002883</v>
      </c>
      <c r="I2589" s="8"/>
      <c r="J2589" s="8"/>
      <c r="K2589" s="8"/>
      <c r="L2589" s="9"/>
      <c r="M2589" s="9">
        <f t="shared" si="544"/>
        <v>2002883</v>
      </c>
      <c r="N2589" s="11">
        <v>0</v>
      </c>
      <c r="O2589" s="8"/>
      <c r="P2589" s="9">
        <f t="shared" si="545"/>
        <v>0</v>
      </c>
      <c r="Q2589" s="8"/>
      <c r="R2589" s="8"/>
      <c r="S2589" s="8"/>
      <c r="T2589" s="9"/>
      <c r="U2589" s="9">
        <f t="shared" si="546"/>
        <v>0</v>
      </c>
      <c r="V2589" s="9">
        <f t="shared" si="547"/>
        <v>2002883</v>
      </c>
      <c r="W2589" s="9">
        <f t="shared" si="548"/>
        <v>0</v>
      </c>
      <c r="X2589" s="9">
        <f t="shared" si="549"/>
        <v>2002883</v>
      </c>
      <c r="Y2589" s="8"/>
      <c r="Z2589" s="9">
        <f t="shared" si="550"/>
        <v>0</v>
      </c>
      <c r="AA2589" s="8">
        <f t="shared" si="551"/>
        <v>2002883</v>
      </c>
      <c r="AB2589" s="8">
        <f t="shared" si="552"/>
        <v>0</v>
      </c>
    </row>
    <row r="2590" spans="1:28" x14ac:dyDescent="0.35">
      <c r="A2590" s="36"/>
      <c r="B2590" s="8"/>
      <c r="C2590" s="14" t="s">
        <v>109</v>
      </c>
      <c r="D2590" s="8"/>
      <c r="E2590" s="11">
        <v>2500000</v>
      </c>
      <c r="F2590" s="11">
        <v>2500000</v>
      </c>
      <c r="G2590" s="8"/>
      <c r="H2590" s="9">
        <f t="shared" si="543"/>
        <v>2500000</v>
      </c>
      <c r="I2590" s="8"/>
      <c r="J2590" s="8"/>
      <c r="K2590" s="8"/>
      <c r="L2590" s="9"/>
      <c r="M2590" s="9">
        <f t="shared" si="544"/>
        <v>2500000</v>
      </c>
      <c r="N2590" s="11">
        <v>0</v>
      </c>
      <c r="O2590" s="8"/>
      <c r="P2590" s="9">
        <f t="shared" si="545"/>
        <v>0</v>
      </c>
      <c r="Q2590" s="8"/>
      <c r="R2590" s="8"/>
      <c r="S2590" s="8"/>
      <c r="T2590" s="9"/>
      <c r="U2590" s="9">
        <f t="shared" si="546"/>
        <v>0</v>
      </c>
      <c r="V2590" s="9">
        <f t="shared" si="547"/>
        <v>2500000</v>
      </c>
      <c r="W2590" s="9">
        <f t="shared" si="548"/>
        <v>0</v>
      </c>
      <c r="X2590" s="9">
        <f t="shared" si="549"/>
        <v>2500000</v>
      </c>
      <c r="Y2590" s="8"/>
      <c r="Z2590" s="9">
        <f t="shared" si="550"/>
        <v>0</v>
      </c>
      <c r="AA2590" s="8">
        <f t="shared" si="551"/>
        <v>2500000</v>
      </c>
      <c r="AB2590" s="8">
        <f t="shared" si="552"/>
        <v>0</v>
      </c>
    </row>
    <row r="2591" spans="1:28" x14ac:dyDescent="0.35">
      <c r="A2591" s="36"/>
      <c r="B2591" s="8"/>
      <c r="C2591" s="8"/>
      <c r="D2591" s="8"/>
      <c r="E2591" s="26" t="s">
        <v>29</v>
      </c>
      <c r="F2591" s="26" t="s">
        <v>29</v>
      </c>
      <c r="G2591" s="26" t="s">
        <v>29</v>
      </c>
      <c r="H2591" s="26" t="s">
        <v>29</v>
      </c>
      <c r="I2591" s="26" t="s">
        <v>29</v>
      </c>
      <c r="J2591" s="26" t="s">
        <v>29</v>
      </c>
      <c r="K2591" s="26" t="s">
        <v>29</v>
      </c>
      <c r="L2591" s="26" t="s">
        <v>29</v>
      </c>
      <c r="M2591" s="26" t="s">
        <v>29</v>
      </c>
      <c r="N2591" s="26" t="s">
        <v>29</v>
      </c>
      <c r="O2591" s="26" t="s">
        <v>29</v>
      </c>
      <c r="P2591" s="26" t="s">
        <v>29</v>
      </c>
      <c r="Q2591" s="26" t="s">
        <v>29</v>
      </c>
      <c r="R2591" s="26" t="s">
        <v>29</v>
      </c>
      <c r="S2591" s="26" t="s">
        <v>29</v>
      </c>
      <c r="T2591" s="26" t="s">
        <v>29</v>
      </c>
      <c r="U2591" s="26" t="s">
        <v>29</v>
      </c>
      <c r="V2591" s="26" t="s">
        <v>29</v>
      </c>
      <c r="W2591" s="26" t="s">
        <v>29</v>
      </c>
      <c r="X2591" s="26" t="s">
        <v>29</v>
      </c>
      <c r="Y2591" s="26" t="s">
        <v>29</v>
      </c>
      <c r="Z2591" s="26" t="s">
        <v>29</v>
      </c>
      <c r="AA2591" s="17" t="s">
        <v>29</v>
      </c>
      <c r="AB2591" s="17" t="s">
        <v>29</v>
      </c>
    </row>
    <row r="2592" spans="1:28" x14ac:dyDescent="0.35">
      <c r="A2592" s="36"/>
      <c r="B2592" s="8"/>
      <c r="C2592" s="8"/>
      <c r="D2592" s="8"/>
      <c r="E2592" s="11">
        <f t="shared" ref="E2592:AB2592" si="553">SUM(E2575:E2590)</f>
        <v>65308717.889999993</v>
      </c>
      <c r="F2592" s="11">
        <f t="shared" si="553"/>
        <v>56566971.140000001</v>
      </c>
      <c r="G2592" s="11">
        <f t="shared" si="553"/>
        <v>0</v>
      </c>
      <c r="H2592" s="11">
        <f t="shared" si="553"/>
        <v>56566971.140000001</v>
      </c>
      <c r="I2592" s="11">
        <f t="shared" si="553"/>
        <v>1462471.8</v>
      </c>
      <c r="J2592" s="11">
        <f t="shared" si="553"/>
        <v>1462471.8</v>
      </c>
      <c r="K2592" s="11">
        <f t="shared" si="553"/>
        <v>0</v>
      </c>
      <c r="L2592" s="11">
        <f t="shared" si="553"/>
        <v>0</v>
      </c>
      <c r="M2592" s="11">
        <f t="shared" si="553"/>
        <v>56566971.140000001</v>
      </c>
      <c r="N2592" s="11">
        <f t="shared" si="553"/>
        <v>8031531.8899999997</v>
      </c>
      <c r="O2592" s="11">
        <f t="shared" si="553"/>
        <v>0</v>
      </c>
      <c r="P2592" s="11">
        <f t="shared" si="553"/>
        <v>8031531.8899999997</v>
      </c>
      <c r="Q2592" s="11">
        <f t="shared" si="553"/>
        <v>185876.7</v>
      </c>
      <c r="R2592" s="11">
        <f t="shared" si="553"/>
        <v>0</v>
      </c>
      <c r="S2592" s="11">
        <f t="shared" si="553"/>
        <v>3917.16</v>
      </c>
      <c r="T2592" s="11">
        <f t="shared" si="553"/>
        <v>189793.86</v>
      </c>
      <c r="U2592" s="11">
        <f t="shared" si="553"/>
        <v>8221325.75</v>
      </c>
      <c r="V2592" s="11">
        <f t="shared" si="553"/>
        <v>64598503.029999994</v>
      </c>
      <c r="W2592" s="11">
        <f t="shared" si="553"/>
        <v>710214.8599999994</v>
      </c>
      <c r="X2592" s="11">
        <f t="shared" si="553"/>
        <v>64598503.029999994</v>
      </c>
      <c r="Y2592" s="11">
        <f t="shared" si="553"/>
        <v>0</v>
      </c>
      <c r="Z2592" s="11">
        <f t="shared" si="553"/>
        <v>710214.8599999994</v>
      </c>
      <c r="AA2592" s="11">
        <f t="shared" si="553"/>
        <v>64788296.889999993</v>
      </c>
      <c r="AB2592" s="11">
        <f t="shared" si="553"/>
        <v>520421</v>
      </c>
    </row>
    <row r="2593" spans="1:28" x14ac:dyDescent="0.35">
      <c r="A2593" s="36"/>
      <c r="B2593" s="8"/>
      <c r="C2593" s="8"/>
      <c r="D2593" s="8"/>
      <c r="E2593" s="26" t="s">
        <v>29</v>
      </c>
      <c r="F2593" s="26" t="s">
        <v>29</v>
      </c>
      <c r="G2593" s="26" t="s">
        <v>29</v>
      </c>
      <c r="H2593" s="26" t="s">
        <v>29</v>
      </c>
      <c r="I2593" s="26" t="s">
        <v>29</v>
      </c>
      <c r="J2593" s="26" t="s">
        <v>29</v>
      </c>
      <c r="K2593" s="26" t="s">
        <v>29</v>
      </c>
      <c r="L2593" s="26" t="s">
        <v>29</v>
      </c>
      <c r="M2593" s="26" t="s">
        <v>29</v>
      </c>
      <c r="N2593" s="26" t="s">
        <v>29</v>
      </c>
      <c r="O2593" s="26" t="s">
        <v>29</v>
      </c>
      <c r="P2593" s="26" t="s">
        <v>29</v>
      </c>
      <c r="Q2593" s="26" t="s">
        <v>29</v>
      </c>
      <c r="R2593" s="26" t="s">
        <v>29</v>
      </c>
      <c r="S2593" s="26" t="s">
        <v>29</v>
      </c>
      <c r="T2593" s="26" t="s">
        <v>29</v>
      </c>
      <c r="U2593" s="26" t="s">
        <v>29</v>
      </c>
      <c r="V2593" s="26" t="s">
        <v>29</v>
      </c>
      <c r="W2593" s="26" t="s">
        <v>29</v>
      </c>
      <c r="X2593" s="26" t="s">
        <v>29</v>
      </c>
      <c r="Y2593" s="26" t="s">
        <v>29</v>
      </c>
      <c r="Z2593" s="26" t="s">
        <v>29</v>
      </c>
      <c r="AA2593" s="17" t="s">
        <v>29</v>
      </c>
      <c r="AB2593" s="17" t="s">
        <v>29</v>
      </c>
    </row>
    <row r="2594" spans="1:28" x14ac:dyDescent="0.35">
      <c r="A2594" s="36"/>
      <c r="B2594" s="8"/>
      <c r="C2594" s="7" t="s">
        <v>486</v>
      </c>
      <c r="D2594" s="8"/>
      <c r="E2594" s="9">
        <f t="shared" ref="E2594:AB2594" si="554">E2592+E2572+E2549+E2531</f>
        <v>231135520.33999997</v>
      </c>
      <c r="F2594" s="9">
        <f t="shared" si="554"/>
        <v>201194809.37999997</v>
      </c>
      <c r="G2594" s="9">
        <f t="shared" si="554"/>
        <v>525863.51</v>
      </c>
      <c r="H2594" s="9">
        <f t="shared" si="554"/>
        <v>201720672.88999999</v>
      </c>
      <c r="I2594" s="9">
        <f t="shared" si="554"/>
        <v>1462471.8</v>
      </c>
      <c r="J2594" s="9">
        <f t="shared" si="554"/>
        <v>1462471.8</v>
      </c>
      <c r="K2594" s="9">
        <f t="shared" si="554"/>
        <v>0</v>
      </c>
      <c r="L2594" s="27">
        <f t="shared" si="554"/>
        <v>0</v>
      </c>
      <c r="M2594" s="9">
        <f t="shared" si="554"/>
        <v>201720672.88999999</v>
      </c>
      <c r="N2594" s="9">
        <f t="shared" si="554"/>
        <v>27903125.039999999</v>
      </c>
      <c r="O2594" s="9">
        <f t="shared" si="554"/>
        <v>0</v>
      </c>
      <c r="P2594" s="9">
        <f t="shared" si="554"/>
        <v>27903125.039999999</v>
      </c>
      <c r="Q2594" s="9">
        <f t="shared" si="554"/>
        <v>229301.32</v>
      </c>
      <c r="R2594" s="9">
        <f t="shared" si="554"/>
        <v>0</v>
      </c>
      <c r="S2594" s="9">
        <f t="shared" si="554"/>
        <v>3917.16</v>
      </c>
      <c r="T2594" s="9">
        <f t="shared" si="554"/>
        <v>191301.40999999997</v>
      </c>
      <c r="U2594" s="9">
        <f t="shared" si="554"/>
        <v>28094426.450000003</v>
      </c>
      <c r="V2594" s="9">
        <f t="shared" si="554"/>
        <v>190685346.56</v>
      </c>
      <c r="W2594" s="9">
        <f t="shared" si="554"/>
        <v>1511722.4099999997</v>
      </c>
      <c r="X2594" s="9">
        <f t="shared" si="554"/>
        <v>229623797.92999998</v>
      </c>
      <c r="Y2594" s="9">
        <f t="shared" si="554"/>
        <v>0</v>
      </c>
      <c r="Z2594" s="9">
        <f t="shared" si="554"/>
        <v>1511722.4099999997</v>
      </c>
      <c r="AA2594" s="9">
        <f t="shared" si="554"/>
        <v>229815099.33999997</v>
      </c>
      <c r="AB2594" s="9">
        <f t="shared" si="554"/>
        <v>1320421</v>
      </c>
    </row>
    <row r="2595" spans="1:28" x14ac:dyDescent="0.35">
      <c r="A2595" s="36"/>
      <c r="B2595" s="8"/>
      <c r="C2595" s="8"/>
      <c r="D2595" s="8"/>
      <c r="E2595" s="17" t="s">
        <v>114</v>
      </c>
      <c r="F2595" s="17" t="s">
        <v>114</v>
      </c>
      <c r="G2595" s="17" t="s">
        <v>114</v>
      </c>
      <c r="H2595" s="17" t="s">
        <v>114</v>
      </c>
      <c r="I2595" s="17" t="s">
        <v>114</v>
      </c>
      <c r="J2595" s="17" t="s">
        <v>114</v>
      </c>
      <c r="K2595" s="17" t="s">
        <v>114</v>
      </c>
      <c r="L2595" s="17" t="s">
        <v>114</v>
      </c>
      <c r="M2595" s="17" t="s">
        <v>114</v>
      </c>
      <c r="N2595" s="17" t="s">
        <v>114</v>
      </c>
      <c r="O2595" s="17" t="s">
        <v>114</v>
      </c>
      <c r="P2595" s="17" t="s">
        <v>114</v>
      </c>
      <c r="Q2595" s="17" t="s">
        <v>114</v>
      </c>
      <c r="R2595" s="17" t="s">
        <v>114</v>
      </c>
      <c r="S2595" s="17" t="s">
        <v>114</v>
      </c>
      <c r="T2595" s="17" t="s">
        <v>114</v>
      </c>
      <c r="U2595" s="17" t="s">
        <v>114</v>
      </c>
      <c r="V2595" s="17" t="s">
        <v>114</v>
      </c>
      <c r="W2595" s="17" t="s">
        <v>114</v>
      </c>
      <c r="X2595" s="17" t="s">
        <v>114</v>
      </c>
      <c r="Y2595" s="17" t="s">
        <v>114</v>
      </c>
      <c r="Z2595" s="17" t="s">
        <v>114</v>
      </c>
      <c r="AA2595" s="17" t="s">
        <v>114</v>
      </c>
      <c r="AB2595" s="17" t="s">
        <v>114</v>
      </c>
    </row>
    <row r="2596" spans="1:28" x14ac:dyDescent="0.35">
      <c r="A2596" s="36"/>
      <c r="B2596" s="8"/>
      <c r="C2596" s="8"/>
      <c r="D2596" s="8"/>
      <c r="E2596" s="8"/>
      <c r="F2596" s="8"/>
      <c r="G2596" s="8"/>
      <c r="H2596" s="8"/>
      <c r="I2596" s="8"/>
      <c r="J2596" s="8"/>
      <c r="K2596" s="8"/>
      <c r="L2596" s="8"/>
      <c r="M2596" s="8"/>
      <c r="N2596" s="8"/>
      <c r="O2596" s="8"/>
      <c r="P2596" s="8"/>
      <c r="Q2596" s="8"/>
      <c r="R2596" s="8"/>
      <c r="S2596" s="8"/>
      <c r="T2596" s="8"/>
      <c r="U2596" s="8"/>
      <c r="V2596" s="8"/>
      <c r="W2596" s="8"/>
      <c r="X2596" s="8"/>
      <c r="Y2596" s="8"/>
      <c r="Z2596" s="8"/>
    </row>
    <row r="2597" spans="1:28" x14ac:dyDescent="0.35">
      <c r="A2597" s="36"/>
      <c r="B2597" s="8"/>
      <c r="C2597" s="15" t="s">
        <v>487</v>
      </c>
      <c r="D2597" s="8"/>
      <c r="E2597" s="9" t="e">
        <f t="shared" ref="E2597:W2597" si="555">E125+E226+E403+E615+E918+E1137+E1466+E1647+E1865+E1967+E2167+E2314+E2430+E2511+E2594</f>
        <v>#REF!</v>
      </c>
      <c r="F2597" s="9" t="e">
        <f t="shared" si="555"/>
        <v>#REF!</v>
      </c>
      <c r="G2597" s="9" t="e">
        <f t="shared" si="555"/>
        <v>#REF!</v>
      </c>
      <c r="H2597" s="9" t="e">
        <f t="shared" si="555"/>
        <v>#REF!</v>
      </c>
      <c r="I2597" s="9" t="e">
        <f t="shared" si="555"/>
        <v>#VALUE!</v>
      </c>
      <c r="J2597" s="9" t="e">
        <f t="shared" si="555"/>
        <v>#REF!</v>
      </c>
      <c r="K2597" s="9" t="e">
        <f t="shared" si="555"/>
        <v>#REF!</v>
      </c>
      <c r="L2597" s="9" t="e">
        <f t="shared" si="555"/>
        <v>#VALUE!</v>
      </c>
      <c r="M2597" s="9" t="e">
        <f t="shared" si="555"/>
        <v>#REF!</v>
      </c>
      <c r="N2597" s="9" t="e">
        <f t="shared" si="555"/>
        <v>#REF!</v>
      </c>
      <c r="O2597" s="9" t="e">
        <f t="shared" si="555"/>
        <v>#REF!</v>
      </c>
      <c r="P2597" s="9" t="e">
        <f t="shared" si="555"/>
        <v>#REF!</v>
      </c>
      <c r="Q2597" s="9" t="e">
        <f t="shared" si="555"/>
        <v>#REF!</v>
      </c>
      <c r="R2597" s="9">
        <f t="shared" si="555"/>
        <v>-62800.691310000009</v>
      </c>
      <c r="S2597" s="9">
        <f t="shared" si="555"/>
        <v>4039.0491699999998</v>
      </c>
      <c r="T2597" s="9" t="e">
        <f t="shared" si="555"/>
        <v>#REF!</v>
      </c>
      <c r="U2597" s="9" t="e">
        <f t="shared" si="555"/>
        <v>#REF!</v>
      </c>
      <c r="V2597" s="9" t="e">
        <f t="shared" si="555"/>
        <v>#REF!</v>
      </c>
      <c r="W2597" s="9" t="e">
        <f t="shared" si="555"/>
        <v>#REF!</v>
      </c>
      <c r="X2597" s="9" t="e">
        <f>+H2597+P2597</f>
        <v>#REF!</v>
      </c>
      <c r="Y2597" s="8"/>
      <c r="Z2597" s="9" t="e">
        <f>+E2597-X2597</f>
        <v>#REF!</v>
      </c>
      <c r="AA2597" s="8" t="e">
        <f>+M2597+U2597</f>
        <v>#REF!</v>
      </c>
      <c r="AB2597" s="8" t="e">
        <f>+E2597-AA2597</f>
        <v>#REF!</v>
      </c>
    </row>
    <row r="2598" spans="1:28" x14ac:dyDescent="0.35">
      <c r="A2598" s="36"/>
      <c r="B2598" s="8"/>
      <c r="C2598" s="8"/>
      <c r="D2598" s="8"/>
      <c r="E2598" s="17" t="s">
        <v>488</v>
      </c>
      <c r="F2598" s="17" t="s">
        <v>488</v>
      </c>
      <c r="G2598" s="17" t="s">
        <v>488</v>
      </c>
      <c r="H2598" s="17" t="s">
        <v>488</v>
      </c>
      <c r="I2598" s="17" t="s">
        <v>488</v>
      </c>
      <c r="J2598" s="17" t="s">
        <v>488</v>
      </c>
      <c r="K2598" s="17" t="s">
        <v>488</v>
      </c>
      <c r="L2598" s="17" t="s">
        <v>488</v>
      </c>
      <c r="M2598" s="17" t="s">
        <v>488</v>
      </c>
      <c r="N2598" s="17" t="s">
        <v>488</v>
      </c>
      <c r="O2598" s="17" t="s">
        <v>488</v>
      </c>
      <c r="P2598" s="17" t="s">
        <v>488</v>
      </c>
      <c r="Q2598" s="17" t="s">
        <v>488</v>
      </c>
      <c r="R2598" s="17" t="s">
        <v>488</v>
      </c>
      <c r="S2598" s="17" t="s">
        <v>488</v>
      </c>
      <c r="T2598" s="17" t="s">
        <v>488</v>
      </c>
      <c r="U2598" s="17" t="s">
        <v>488</v>
      </c>
      <c r="V2598" s="17" t="s">
        <v>488</v>
      </c>
      <c r="W2598" s="17" t="s">
        <v>488</v>
      </c>
      <c r="X2598" s="17" t="s">
        <v>488</v>
      </c>
      <c r="Y2598" s="17" t="s">
        <v>488</v>
      </c>
      <c r="Z2598" s="17" t="s">
        <v>488</v>
      </c>
      <c r="AA2598" s="17" t="s">
        <v>488</v>
      </c>
      <c r="AB2598" s="17" t="s">
        <v>488</v>
      </c>
    </row>
    <row r="2599" spans="1:28" x14ac:dyDescent="0.35">
      <c r="A2599" s="36"/>
      <c r="B2599" s="8"/>
      <c r="C2599" s="8"/>
      <c r="D2599" s="8"/>
      <c r="F2599" s="25"/>
      <c r="G2599" s="46">
        <v>10303957.529999999</v>
      </c>
      <c r="H2599" s="41" t="s">
        <v>1124</v>
      </c>
      <c r="I2599" s="40"/>
      <c r="J2599" s="40"/>
      <c r="K2599" s="40"/>
      <c r="L2599" s="40"/>
      <c r="M2599" s="40"/>
      <c r="N2599" s="40"/>
      <c r="O2599" s="50">
        <v>0</v>
      </c>
      <c r="P2599" s="41" t="s">
        <v>1086</v>
      </c>
      <c r="Q2599" s="40"/>
      <c r="R2599" s="40"/>
      <c r="S2599" s="40"/>
      <c r="T2599" s="40"/>
      <c r="U2599" s="18"/>
      <c r="V2599" s="18"/>
      <c r="W2599" s="18"/>
      <c r="X2599" s="9"/>
      <c r="Y2599" s="8"/>
      <c r="Z2599" s="9"/>
    </row>
    <row r="2600" spans="1:28" x14ac:dyDescent="0.35">
      <c r="A2600" s="36"/>
      <c r="B2600" s="8"/>
      <c r="C2600" s="8"/>
      <c r="D2600" s="8"/>
      <c r="E2600" s="8"/>
      <c r="F2600" s="25"/>
      <c r="G2600" s="48">
        <v>2275155.85</v>
      </c>
      <c r="H2600" s="47" t="s">
        <v>1105</v>
      </c>
      <c r="I2600" s="40"/>
      <c r="J2600" s="40"/>
      <c r="K2600" s="40"/>
      <c r="L2600" s="40"/>
      <c r="M2600" s="40"/>
      <c r="N2600" s="40"/>
      <c r="O2600" s="49">
        <v>0</v>
      </c>
      <c r="P2600" s="41" t="s">
        <v>1123</v>
      </c>
      <c r="Q2600" s="40"/>
      <c r="R2600" s="40"/>
      <c r="S2600" s="40"/>
      <c r="T2600" s="53"/>
      <c r="U2600" s="18"/>
      <c r="V2600" s="18"/>
      <c r="W2600" s="18"/>
      <c r="X2600" s="9"/>
      <c r="Y2600" s="8"/>
      <c r="Z2600" s="9"/>
    </row>
    <row r="2601" spans="1:28" x14ac:dyDescent="0.35">
      <c r="A2601" s="36"/>
      <c r="B2601" s="8"/>
      <c r="C2601" s="8"/>
      <c r="D2601" s="8"/>
      <c r="E2601" s="8"/>
      <c r="F2601" s="25"/>
      <c r="G2601" s="54">
        <v>500000</v>
      </c>
      <c r="H2601" s="55" t="s">
        <v>1132</v>
      </c>
      <c r="I2601" s="18"/>
      <c r="J2601" s="18"/>
      <c r="K2601" s="18"/>
      <c r="L2601" s="18"/>
      <c r="M2601" s="18"/>
      <c r="N2601" s="18"/>
      <c r="O2601" s="44"/>
      <c r="P2601" s="18"/>
      <c r="Q2601" s="18"/>
      <c r="R2601" s="18"/>
      <c r="S2601" s="18"/>
      <c r="T2601" s="18"/>
      <c r="U2601" s="18"/>
      <c r="V2601" s="18"/>
      <c r="W2601" s="18"/>
      <c r="X2601" s="9"/>
      <c r="Y2601" s="8"/>
      <c r="Z2601" s="9"/>
    </row>
    <row r="2602" spans="1:28" x14ac:dyDescent="0.35">
      <c r="A2602" s="36"/>
      <c r="B2602" s="8"/>
      <c r="C2602" s="8"/>
      <c r="D2602" s="8"/>
      <c r="E2602" s="8"/>
      <c r="F2602" s="25"/>
      <c r="G2602" s="56">
        <v>200000</v>
      </c>
      <c r="H2602" s="47" t="s">
        <v>1131</v>
      </c>
      <c r="I2602" s="18"/>
      <c r="J2602" s="18"/>
      <c r="K2602" s="18"/>
      <c r="L2602" s="18"/>
      <c r="M2602" s="18"/>
      <c r="N2602" s="18"/>
      <c r="O2602" s="18"/>
      <c r="P2602" s="18"/>
      <c r="Q2602" s="18"/>
      <c r="R2602" s="18"/>
      <c r="S2602" s="18"/>
      <c r="T2602" s="18"/>
      <c r="U2602" s="18"/>
      <c r="V2602" s="18"/>
      <c r="W2602" s="18"/>
      <c r="X2602" s="9"/>
      <c r="Y2602" s="8"/>
      <c r="Z2602" s="9"/>
    </row>
    <row r="2603" spans="1:28" x14ac:dyDescent="0.35">
      <c r="A2603" s="36"/>
      <c r="B2603" s="8"/>
      <c r="C2603" s="8" t="s">
        <v>1075</v>
      </c>
      <c r="D2603" s="8"/>
      <c r="E2603" s="8"/>
      <c r="F2603" s="25"/>
      <c r="G2603" s="18"/>
      <c r="H2603" s="18"/>
      <c r="I2603" s="18"/>
      <c r="J2603" s="18"/>
      <c r="K2603" s="18"/>
      <c r="L2603" s="18"/>
      <c r="M2603" s="18"/>
      <c r="N2603" s="18"/>
      <c r="O2603" s="18"/>
      <c r="P2603" s="18"/>
      <c r="Q2603" s="18"/>
      <c r="R2603" s="18"/>
      <c r="S2603" s="18"/>
      <c r="T2603" s="18"/>
      <c r="U2603" s="18"/>
      <c r="V2603" s="18"/>
      <c r="W2603" s="18"/>
      <c r="X2603" s="9"/>
      <c r="Y2603" s="8"/>
      <c r="Z2603" s="9"/>
    </row>
    <row r="2604" spans="1:28" x14ac:dyDescent="0.35">
      <c r="A2604" s="36"/>
      <c r="B2604" s="8"/>
      <c r="C2604" s="8"/>
      <c r="D2604" s="8"/>
      <c r="E2604" s="8"/>
      <c r="F2604" s="25"/>
      <c r="G2604" s="18"/>
      <c r="H2604" s="18"/>
      <c r="I2604" s="18"/>
      <c r="J2604" s="18"/>
      <c r="K2604" s="18"/>
      <c r="L2604" s="18"/>
      <c r="M2604" s="18"/>
      <c r="N2604" s="18"/>
      <c r="O2604" s="18"/>
      <c r="P2604" s="18"/>
      <c r="Q2604" s="18"/>
      <c r="R2604" s="18"/>
      <c r="S2604" s="18"/>
      <c r="T2604" s="18"/>
      <c r="U2604" s="18"/>
      <c r="V2604" s="18"/>
      <c r="W2604" s="18"/>
      <c r="X2604" s="9"/>
      <c r="Y2604" s="8"/>
      <c r="Z2604" s="9"/>
    </row>
    <row r="2605" spans="1:28" x14ac:dyDescent="0.35">
      <c r="A2605" s="36"/>
      <c r="B2605" s="8"/>
      <c r="C2605" s="28" t="s">
        <v>508</v>
      </c>
      <c r="D2605" s="8"/>
      <c r="E2605" s="8"/>
      <c r="F2605" s="8"/>
      <c r="G2605" s="8"/>
      <c r="H2605" s="8"/>
      <c r="I2605" s="8"/>
      <c r="J2605" s="8"/>
      <c r="K2605" s="8"/>
      <c r="L2605" s="8"/>
      <c r="M2605" s="8"/>
      <c r="N2605" s="8"/>
      <c r="O2605" s="8"/>
      <c r="P2605" s="8"/>
      <c r="Q2605" s="8"/>
      <c r="R2605" s="8"/>
      <c r="S2605" s="8"/>
      <c r="T2605" s="8"/>
      <c r="U2605" s="8"/>
      <c r="V2605" s="8"/>
      <c r="W2605" s="8"/>
      <c r="X2605" s="8"/>
      <c r="Y2605" s="8"/>
      <c r="Z2605" s="8"/>
    </row>
    <row r="2606" spans="1:28" x14ac:dyDescent="0.35">
      <c r="A2606" s="36"/>
      <c r="B2606" s="8"/>
      <c r="C2606" s="8"/>
      <c r="D2606" s="8"/>
      <c r="E2606" s="8"/>
      <c r="F2606" s="8"/>
      <c r="G2606" s="8"/>
      <c r="H2606" s="8"/>
      <c r="I2606" s="8"/>
      <c r="J2606" s="8"/>
      <c r="K2606" s="8"/>
      <c r="L2606" s="8"/>
      <c r="M2606" s="8"/>
      <c r="N2606" s="8"/>
      <c r="O2606" s="8"/>
      <c r="P2606" s="8"/>
      <c r="Q2606" s="8"/>
      <c r="R2606" s="8"/>
      <c r="S2606" s="8"/>
      <c r="T2606" s="8"/>
      <c r="U2606" s="8"/>
      <c r="V2606" s="8"/>
      <c r="W2606" s="8"/>
      <c r="X2606" s="8"/>
      <c r="Y2606" s="8"/>
      <c r="Z2606" s="8"/>
    </row>
    <row r="2607" spans="1:28" x14ac:dyDescent="0.35">
      <c r="A2607" s="36"/>
      <c r="B2607" s="8"/>
      <c r="C2607" s="8"/>
      <c r="D2607" s="8"/>
      <c r="E2607" s="8"/>
      <c r="F2607" s="8"/>
      <c r="G2607" s="8"/>
      <c r="H2607" s="8"/>
      <c r="I2607" s="8"/>
      <c r="J2607" s="8"/>
      <c r="K2607" s="8"/>
      <c r="L2607" s="8"/>
      <c r="M2607" s="8"/>
      <c r="N2607" s="8"/>
      <c r="O2607" s="8"/>
      <c r="P2607" s="8"/>
      <c r="Q2607" s="8"/>
      <c r="R2607" s="8"/>
      <c r="S2607" s="8"/>
      <c r="T2607" s="8"/>
      <c r="U2607" s="8"/>
      <c r="V2607" s="8"/>
      <c r="W2607" s="8"/>
      <c r="X2607" s="8"/>
      <c r="Y2607" s="8"/>
      <c r="Z2607" s="8"/>
    </row>
    <row r="2608" spans="1:28" x14ac:dyDescent="0.35">
      <c r="A2608" s="36"/>
      <c r="B2608" s="8"/>
      <c r="C2608" s="7" t="s">
        <v>1071</v>
      </c>
      <c r="D2608" s="8"/>
      <c r="E2608" s="8"/>
      <c r="F2608" s="8"/>
      <c r="G2608" s="8"/>
      <c r="H2608" s="8"/>
      <c r="I2608" s="8"/>
      <c r="J2608" s="8"/>
      <c r="K2608" s="8"/>
      <c r="L2608" s="8"/>
      <c r="M2608" s="8"/>
      <c r="N2608" s="8"/>
      <c r="O2608" s="8"/>
      <c r="P2608" s="8"/>
      <c r="Q2608" s="8"/>
      <c r="R2608" s="8"/>
      <c r="S2608" s="8"/>
      <c r="T2608" s="8"/>
      <c r="U2608" s="8"/>
      <c r="V2608" s="8"/>
      <c r="W2608" s="8"/>
      <c r="X2608" s="8"/>
      <c r="Y2608" s="8"/>
      <c r="Z2608" s="8"/>
    </row>
    <row r="2609" spans="1:28" x14ac:dyDescent="0.35">
      <c r="A2609" s="36"/>
      <c r="B2609" s="8"/>
      <c r="C2609" s="7" t="s">
        <v>1070</v>
      </c>
      <c r="D2609" s="8"/>
      <c r="E2609" s="8"/>
      <c r="F2609" s="8"/>
      <c r="G2609" s="8"/>
      <c r="H2609" s="8"/>
      <c r="I2609" s="8"/>
      <c r="J2609" s="8"/>
      <c r="K2609" s="8"/>
      <c r="L2609" s="8"/>
      <c r="M2609" s="8"/>
      <c r="N2609" s="8"/>
      <c r="O2609" s="8"/>
      <c r="P2609" s="8"/>
      <c r="Q2609" s="8"/>
      <c r="R2609" s="8"/>
      <c r="S2609" s="8"/>
      <c r="T2609" s="8"/>
      <c r="U2609" s="8"/>
      <c r="V2609" s="8"/>
      <c r="W2609" s="8"/>
      <c r="X2609" s="8"/>
      <c r="Y2609" s="8"/>
      <c r="Z2609" s="8"/>
    </row>
    <row r="2610" spans="1:28" x14ac:dyDescent="0.35">
      <c r="A2610" s="36"/>
      <c r="B2610" s="8"/>
      <c r="C2610" s="14" t="str">
        <f>+B3</f>
        <v>AS OF  FEBRUARY 28,  2005</v>
      </c>
      <c r="D2610" s="9"/>
      <c r="E2610" s="8"/>
      <c r="F2610" s="8"/>
      <c r="G2610" s="15" t="s">
        <v>1</v>
      </c>
      <c r="H2610" s="9"/>
      <c r="I2610" s="15" t="s">
        <v>2</v>
      </c>
      <c r="J2610" s="8"/>
      <c r="K2610" s="15" t="s">
        <v>2</v>
      </c>
      <c r="L2610" s="15" t="s">
        <v>3</v>
      </c>
      <c r="M2610" s="15" t="s">
        <v>3</v>
      </c>
      <c r="N2610" s="8"/>
      <c r="O2610" s="15" t="s">
        <v>4</v>
      </c>
      <c r="P2610" s="9"/>
      <c r="Q2610" s="8"/>
      <c r="R2610" s="8"/>
      <c r="S2610" s="15" t="s">
        <v>2</v>
      </c>
      <c r="T2610" s="15" t="s">
        <v>3</v>
      </c>
      <c r="U2610" s="15" t="s">
        <v>3</v>
      </c>
      <c r="V2610" s="15" t="s">
        <v>3</v>
      </c>
      <c r="W2610" s="15" t="s">
        <v>5</v>
      </c>
      <c r="X2610" s="15" t="s">
        <v>3</v>
      </c>
      <c r="Y2610" s="15" t="s">
        <v>15</v>
      </c>
      <c r="Z2610" s="15" t="s">
        <v>5</v>
      </c>
      <c r="AA2610" s="51" t="s">
        <v>1109</v>
      </c>
      <c r="AB2610" s="51" t="s">
        <v>5</v>
      </c>
    </row>
    <row r="2611" spans="1:28" x14ac:dyDescent="0.35">
      <c r="A2611" s="36"/>
      <c r="B2611" s="8"/>
      <c r="C2611" s="8"/>
      <c r="D2611" s="9"/>
      <c r="E2611" s="15" t="s">
        <v>7</v>
      </c>
      <c r="F2611" s="15" t="s">
        <v>8</v>
      </c>
      <c r="G2611" s="15" t="s">
        <v>9</v>
      </c>
      <c r="H2611" s="9"/>
      <c r="I2611" s="15" t="s">
        <v>10</v>
      </c>
      <c r="J2611" s="15" t="s">
        <v>11</v>
      </c>
      <c r="K2611" s="15" t="s">
        <v>12</v>
      </c>
      <c r="L2611" s="15" t="s">
        <v>1</v>
      </c>
      <c r="M2611" s="15" t="s">
        <v>1</v>
      </c>
      <c r="N2611" s="15" t="s">
        <v>4</v>
      </c>
      <c r="O2611" s="15" t="s">
        <v>12</v>
      </c>
      <c r="P2611" s="9"/>
      <c r="Q2611" s="15" t="s">
        <v>2</v>
      </c>
      <c r="R2611" s="15" t="s">
        <v>11</v>
      </c>
      <c r="S2611" s="15" t="s">
        <v>12</v>
      </c>
      <c r="T2611" s="15" t="s">
        <v>13</v>
      </c>
      <c r="U2611" s="15" t="s">
        <v>13</v>
      </c>
      <c r="V2611" s="15" t="s">
        <v>9</v>
      </c>
      <c r="W2611" s="15" t="s">
        <v>14</v>
      </c>
      <c r="X2611" s="15" t="s">
        <v>9</v>
      </c>
      <c r="Y2611" s="15" t="s">
        <v>27</v>
      </c>
      <c r="Z2611" s="15" t="s">
        <v>14</v>
      </c>
      <c r="AA2611" s="51" t="s">
        <v>9</v>
      </c>
      <c r="AB2611" s="51" t="s">
        <v>14</v>
      </c>
    </row>
    <row r="2612" spans="1:28" x14ac:dyDescent="0.35">
      <c r="A2612" s="36"/>
      <c r="B2612" s="8"/>
      <c r="C2612" s="9"/>
      <c r="D2612" s="9"/>
      <c r="E2612" s="15" t="s">
        <v>18</v>
      </c>
      <c r="F2612" s="15" t="str">
        <f>+F6</f>
        <v>AS OF 01/31/05</v>
      </c>
      <c r="G2612" s="15" t="s">
        <v>19</v>
      </c>
      <c r="H2612" s="15" t="s">
        <v>20</v>
      </c>
      <c r="I2612" s="15" t="s">
        <v>21</v>
      </c>
      <c r="J2612" s="15" t="s">
        <v>22</v>
      </c>
      <c r="K2612" s="15" t="s">
        <v>21</v>
      </c>
      <c r="L2612" s="15" t="s">
        <v>2</v>
      </c>
      <c r="M2612" s="15" t="s">
        <v>9</v>
      </c>
      <c r="N2612" s="15" t="str">
        <f>+F2612</f>
        <v>AS OF 01/31/05</v>
      </c>
      <c r="O2612" s="15" t="s">
        <v>21</v>
      </c>
      <c r="P2612" s="15" t="s">
        <v>20</v>
      </c>
      <c r="Q2612" s="15" t="s">
        <v>23</v>
      </c>
      <c r="R2612" s="15" t="s">
        <v>24</v>
      </c>
      <c r="S2612" s="15" t="s">
        <v>21</v>
      </c>
      <c r="T2612" s="15" t="s">
        <v>2</v>
      </c>
      <c r="U2612" s="15" t="s">
        <v>9</v>
      </c>
      <c r="V2612" s="15" t="s">
        <v>25</v>
      </c>
      <c r="W2612" s="7" t="s">
        <v>26</v>
      </c>
      <c r="X2612" s="51" t="s">
        <v>1108</v>
      </c>
      <c r="Y2612" s="15" t="s">
        <v>27</v>
      </c>
      <c r="Z2612" s="51" t="s">
        <v>1108</v>
      </c>
      <c r="AA2612" s="51" t="s">
        <v>1110</v>
      </c>
      <c r="AB2612" s="51" t="s">
        <v>1110</v>
      </c>
    </row>
    <row r="2613" spans="1:28" x14ac:dyDescent="0.35">
      <c r="A2613" s="36"/>
      <c r="B2613" s="8"/>
      <c r="C2613" s="9"/>
      <c r="D2613" s="9"/>
      <c r="E2613" s="7" t="s">
        <v>30</v>
      </c>
      <c r="F2613" s="16" t="s">
        <v>31</v>
      </c>
      <c r="G2613" s="7" t="s">
        <v>47</v>
      </c>
      <c r="H2613" s="16" t="s">
        <v>33</v>
      </c>
      <c r="I2613" s="7" t="s">
        <v>34</v>
      </c>
      <c r="J2613" s="7" t="s">
        <v>35</v>
      </c>
      <c r="K2613" s="7" t="s">
        <v>34</v>
      </c>
      <c r="L2613" s="16" t="s">
        <v>42</v>
      </c>
      <c r="M2613" s="7" t="s">
        <v>490</v>
      </c>
      <c r="N2613" s="17" t="s">
        <v>37</v>
      </c>
      <c r="O2613" s="7" t="s">
        <v>47</v>
      </c>
      <c r="P2613" s="7" t="s">
        <v>39</v>
      </c>
      <c r="Q2613" s="7" t="s">
        <v>40</v>
      </c>
      <c r="R2613" s="7" t="s">
        <v>41</v>
      </c>
      <c r="S2613" s="7" t="s">
        <v>34</v>
      </c>
      <c r="T2613" s="16" t="s">
        <v>28</v>
      </c>
      <c r="U2613" s="7" t="s">
        <v>491</v>
      </c>
      <c r="V2613" s="7" t="s">
        <v>44</v>
      </c>
      <c r="W2613" s="7" t="s">
        <v>45</v>
      </c>
      <c r="X2613" s="7" t="s">
        <v>46</v>
      </c>
      <c r="Y2613" s="7" t="s">
        <v>34</v>
      </c>
      <c r="Z2613" s="7" t="s">
        <v>47</v>
      </c>
      <c r="AA2613" s="13" t="s">
        <v>1111</v>
      </c>
      <c r="AB2613" s="7" t="s">
        <v>1112</v>
      </c>
    </row>
    <row r="2614" spans="1:28" x14ac:dyDescent="0.35">
      <c r="A2614" s="36"/>
      <c r="B2614" s="8"/>
      <c r="C2614" s="9"/>
      <c r="D2614" s="9"/>
      <c r="E2614" s="7"/>
      <c r="F2614" s="16"/>
      <c r="G2614" s="7"/>
      <c r="H2614" s="16"/>
      <c r="I2614" s="7"/>
      <c r="J2614" s="7"/>
      <c r="K2614" s="7"/>
      <c r="L2614" s="16"/>
      <c r="M2614" s="7"/>
      <c r="N2614" s="17"/>
      <c r="O2614" s="7"/>
      <c r="P2614" s="7"/>
      <c r="Q2614" s="7"/>
      <c r="R2614" s="7"/>
      <c r="S2614" s="7"/>
      <c r="T2614" s="16"/>
      <c r="U2614" s="7"/>
      <c r="V2614" s="7"/>
      <c r="W2614" s="7"/>
      <c r="X2614" s="7"/>
      <c r="Y2614" s="7"/>
      <c r="Z2614" s="7"/>
    </row>
    <row r="2615" spans="1:28" x14ac:dyDescent="0.35">
      <c r="A2615" s="36"/>
      <c r="B2615" s="8"/>
      <c r="C2615" s="7" t="s">
        <v>902</v>
      </c>
      <c r="D2615" s="8"/>
      <c r="E2615" s="9">
        <v>894329.86</v>
      </c>
      <c r="F2615" s="9">
        <v>445822</v>
      </c>
      <c r="G2615" s="9">
        <v>0</v>
      </c>
      <c r="H2615" s="9">
        <f t="shared" ref="H2615:H2678" si="556">+F2615+G2615</f>
        <v>445822</v>
      </c>
      <c r="I2615" s="9" t="str">
        <f>I1460</f>
        <v>-</v>
      </c>
      <c r="J2615" s="9" t="str">
        <f>J1460</f>
        <v>-</v>
      </c>
      <c r="K2615" s="9" t="str">
        <f>K1460</f>
        <v>-</v>
      </c>
      <c r="L2615" s="9">
        <v>0</v>
      </c>
      <c r="M2615" s="9">
        <f t="shared" ref="M2615:M2678" si="557">+H2615+L2615</f>
        <v>445822</v>
      </c>
      <c r="N2615" s="9">
        <v>448507.86</v>
      </c>
      <c r="O2615" s="9">
        <v>0</v>
      </c>
      <c r="P2615" s="9">
        <f>+N2615+O2615</f>
        <v>448507.86</v>
      </c>
      <c r="Q2615" s="9" t="str">
        <f>Q1460</f>
        <v>-</v>
      </c>
      <c r="R2615" s="9" t="str">
        <f>R1460</f>
        <v>-</v>
      </c>
      <c r="S2615" s="9" t="str">
        <f>S1460</f>
        <v>-</v>
      </c>
      <c r="T2615" s="9">
        <v>0</v>
      </c>
      <c r="U2615" s="9">
        <f t="shared" ref="U2615:U2678" si="558">+P2615+T2615</f>
        <v>448507.86</v>
      </c>
      <c r="V2615" s="9" t="str">
        <f>V1460</f>
        <v>-</v>
      </c>
      <c r="W2615" s="9" t="str">
        <f>W1460</f>
        <v>-</v>
      </c>
      <c r="X2615" s="9">
        <f>+H2615+P2615</f>
        <v>894329.86</v>
      </c>
      <c r="Y2615" s="9" t="str">
        <f>Y1460</f>
        <v>-</v>
      </c>
      <c r="Z2615" s="9">
        <f>+E2615-X2615</f>
        <v>0</v>
      </c>
      <c r="AA2615" s="8">
        <f>+M2615+U2615</f>
        <v>894329.86</v>
      </c>
      <c r="AB2615" s="18">
        <f>+E2615-AA2615</f>
        <v>0</v>
      </c>
    </row>
    <row r="2616" spans="1:28" x14ac:dyDescent="0.35">
      <c r="A2616" s="36"/>
      <c r="B2616" s="8"/>
      <c r="C2616" s="7" t="s">
        <v>913</v>
      </c>
      <c r="D2616" s="8"/>
      <c r="E2616" s="9">
        <v>912310.72</v>
      </c>
      <c r="F2616" s="9">
        <v>912310.72</v>
      </c>
      <c r="G2616" s="9">
        <v>0</v>
      </c>
      <c r="H2616" s="9">
        <f t="shared" si="556"/>
        <v>912310.72</v>
      </c>
      <c r="I2616" s="9" t="e">
        <f>I464+I488</f>
        <v>#VALUE!</v>
      </c>
      <c r="J2616" s="9" t="e">
        <f>J464+J488</f>
        <v>#VALUE!</v>
      </c>
      <c r="K2616" s="9" t="e">
        <f>K464+K488</f>
        <v>#VALUE!</v>
      </c>
      <c r="L2616" s="9">
        <v>0</v>
      </c>
      <c r="M2616" s="9">
        <f t="shared" si="557"/>
        <v>912310.72</v>
      </c>
      <c r="N2616" s="9" t="e">
        <f>N464+N488</f>
        <v>#VALUE!</v>
      </c>
      <c r="O2616" s="9">
        <v>0</v>
      </c>
      <c r="P2616" s="9" t="e">
        <f t="shared" ref="P2616:P2679" si="559">+N2616+O2616</f>
        <v>#VALUE!</v>
      </c>
      <c r="Q2616" s="9" t="e">
        <f>Q464+Q488</f>
        <v>#VALUE!</v>
      </c>
      <c r="R2616" s="9" t="e">
        <f>R464+R488</f>
        <v>#VALUE!</v>
      </c>
      <c r="S2616" s="9" t="e">
        <f>S464+S488</f>
        <v>#VALUE!</v>
      </c>
      <c r="T2616" s="9">
        <v>0</v>
      </c>
      <c r="U2616" s="9" t="e">
        <f t="shared" si="558"/>
        <v>#VALUE!</v>
      </c>
      <c r="V2616" s="9" t="e">
        <f>V464+V488</f>
        <v>#VALUE!</v>
      </c>
      <c r="W2616" s="9" t="e">
        <f>W464+W488</f>
        <v>#VALUE!</v>
      </c>
      <c r="X2616" s="9" t="e">
        <f t="shared" ref="X2616:X2684" si="560">+H2616+P2616</f>
        <v>#VALUE!</v>
      </c>
      <c r="Y2616" s="9">
        <f t="shared" ref="Y2616:Y2622" si="561">Y1461</f>
        <v>0</v>
      </c>
      <c r="Z2616" s="9" t="e">
        <f t="shared" ref="Z2616:Z2684" si="562">+E2616-X2616</f>
        <v>#VALUE!</v>
      </c>
      <c r="AA2616" s="8" t="e">
        <f t="shared" ref="AA2616:AA2684" si="563">+M2616+U2616</f>
        <v>#VALUE!</v>
      </c>
      <c r="AB2616" s="18" t="e">
        <f t="shared" ref="AB2616:AB2679" si="564">+E2616-AA2616</f>
        <v>#VALUE!</v>
      </c>
    </row>
    <row r="2617" spans="1:28" x14ac:dyDescent="0.35">
      <c r="A2617" s="36"/>
      <c r="B2617" s="8"/>
      <c r="C2617" s="7" t="s">
        <v>904</v>
      </c>
      <c r="D2617" s="8"/>
      <c r="E2617" s="9">
        <v>11233899.52</v>
      </c>
      <c r="F2617" s="9">
        <v>11233899.52</v>
      </c>
      <c r="G2617" s="9">
        <v>0</v>
      </c>
      <c r="H2617" s="9">
        <f t="shared" si="556"/>
        <v>11233899.52</v>
      </c>
      <c r="I2617" s="9" t="e">
        <f>I125+I2+I16+I65+I447+I1471+I1535+I1554+I2427+I1906+I1925+I1036+I1115</f>
        <v>#VALUE!</v>
      </c>
      <c r="J2617" s="9" t="e">
        <f>J125+J2+J16+J65+J447+J1471+J1535+J1554+J2427+J1906+J1925+J1036+J1115</f>
        <v>#VALUE!</v>
      </c>
      <c r="K2617" s="9" t="e">
        <f>K125+K2+K16+K65+K447+K1471+K1535+K1554+K2427+K1906+K1925+K1036+K1115</f>
        <v>#VALUE!</v>
      </c>
      <c r="L2617" s="9">
        <v>0</v>
      </c>
      <c r="M2617" s="9">
        <f t="shared" si="557"/>
        <v>11233899.52</v>
      </c>
      <c r="N2617" s="9">
        <v>0</v>
      </c>
      <c r="O2617" s="9">
        <v>0</v>
      </c>
      <c r="P2617" s="9">
        <f t="shared" si="559"/>
        <v>0</v>
      </c>
      <c r="Q2617" s="9" t="e">
        <f>Q125+Q2+Q16+Q65+Q447+Q1471+Q1535+Q1554+Q2427+Q1906+Q1925+Q1036+Q1115</f>
        <v>#VALUE!</v>
      </c>
      <c r="R2617" s="9" t="e">
        <f>R125+R2+R16+R65+R447+R1471+R1535+R1554+R2427+R1906+R1925+R1036+R1115</f>
        <v>#VALUE!</v>
      </c>
      <c r="S2617" s="9" t="e">
        <f>S125+S2+S16+S65+S447+S1471+S1535+S1554+S2427+S1906+S1925+S1036+S1115</f>
        <v>#VALUE!</v>
      </c>
      <c r="T2617" s="9">
        <v>0</v>
      </c>
      <c r="U2617" s="9">
        <f t="shared" si="558"/>
        <v>0</v>
      </c>
      <c r="V2617" s="9" t="e">
        <f>V125+V2+V16+V65+V447+V1471+V1535+V1554+V2427+V1906+V1925+V1036+V1115</f>
        <v>#VALUE!</v>
      </c>
      <c r="W2617" s="9" t="e">
        <f>W125+W2+W16+W65+W447+W1471+W1535+W1554+W2427+W1906+W1925+W1036+W1115</f>
        <v>#VALUE!</v>
      </c>
      <c r="X2617" s="9">
        <f t="shared" si="560"/>
        <v>11233899.52</v>
      </c>
      <c r="Y2617" s="9">
        <f t="shared" si="561"/>
        <v>0</v>
      </c>
      <c r="Z2617" s="9">
        <f t="shared" si="562"/>
        <v>0</v>
      </c>
      <c r="AA2617" s="8">
        <f t="shared" si="563"/>
        <v>11233899.52</v>
      </c>
      <c r="AB2617" s="18">
        <f t="shared" si="564"/>
        <v>0</v>
      </c>
    </row>
    <row r="2618" spans="1:28" x14ac:dyDescent="0.35">
      <c r="A2618" s="36"/>
      <c r="B2618" s="8"/>
      <c r="C2618" s="7" t="s">
        <v>907</v>
      </c>
      <c r="D2618" s="8"/>
      <c r="E2618" s="9">
        <v>11222285</v>
      </c>
      <c r="F2618" s="9">
        <v>11222285</v>
      </c>
      <c r="G2618" s="9">
        <v>0</v>
      </c>
      <c r="H2618" s="9">
        <f t="shared" si="556"/>
        <v>11222285</v>
      </c>
      <c r="I2618" s="9" t="e">
        <f>I100+I79+I63</f>
        <v>#VALUE!</v>
      </c>
      <c r="J2618" s="9" t="e">
        <f>J100+J79+J63</f>
        <v>#VALUE!</v>
      </c>
      <c r="K2618" s="9" t="e">
        <f>K100+K79+K63</f>
        <v>#VALUE!</v>
      </c>
      <c r="L2618" s="9">
        <v>0</v>
      </c>
      <c r="M2618" s="9">
        <f t="shared" si="557"/>
        <v>11222285</v>
      </c>
      <c r="N2618" s="9">
        <v>0</v>
      </c>
      <c r="O2618" s="9">
        <v>0</v>
      </c>
      <c r="P2618" s="9">
        <f t="shared" si="559"/>
        <v>0</v>
      </c>
      <c r="Q2618" s="9" t="e">
        <f>Q100+Q79+Q63</f>
        <v>#VALUE!</v>
      </c>
      <c r="R2618" s="9" t="e">
        <f>R100+R79+R63</f>
        <v>#VALUE!</v>
      </c>
      <c r="S2618" s="9" t="e">
        <f>S100+S79+S63</f>
        <v>#VALUE!</v>
      </c>
      <c r="T2618" s="9">
        <v>0</v>
      </c>
      <c r="U2618" s="9">
        <f t="shared" si="558"/>
        <v>0</v>
      </c>
      <c r="V2618" s="9" t="e">
        <f>V100+V79+V63</f>
        <v>#VALUE!</v>
      </c>
      <c r="W2618" s="9" t="e">
        <f>W100+W79+W63</f>
        <v>#VALUE!</v>
      </c>
      <c r="X2618" s="9">
        <f t="shared" si="560"/>
        <v>11222285</v>
      </c>
      <c r="Y2618" s="9" t="str">
        <f t="shared" si="561"/>
        <v>-</v>
      </c>
      <c r="Z2618" s="9">
        <f t="shared" si="562"/>
        <v>0</v>
      </c>
      <c r="AA2618" s="8">
        <f t="shared" si="563"/>
        <v>11222285</v>
      </c>
      <c r="AB2618" s="18">
        <f t="shared" si="564"/>
        <v>0</v>
      </c>
    </row>
    <row r="2619" spans="1:28" x14ac:dyDescent="0.35">
      <c r="A2619" s="36"/>
      <c r="B2619" s="8"/>
      <c r="C2619" s="7" t="s">
        <v>905</v>
      </c>
      <c r="D2619" s="8"/>
      <c r="E2619" s="9">
        <v>12329042.27</v>
      </c>
      <c r="F2619" s="9">
        <v>12329042.27</v>
      </c>
      <c r="G2619" s="9">
        <v>0</v>
      </c>
      <c r="H2619" s="9">
        <f t="shared" si="556"/>
        <v>12329042.27</v>
      </c>
      <c r="I2619" s="9">
        <f>I1939+I2316+I2317+I2318+I2319+I2333+I2334+I2335+I2336+I2362</f>
        <v>8199671</v>
      </c>
      <c r="J2619" s="9">
        <f>J1939+J2316+J2317+J2318+J2319+J2333+J2334+J2335+J2336+J2362</f>
        <v>0</v>
      </c>
      <c r="K2619" s="9">
        <f>K1939+K2316+K2317+K2318+K2319+K2333+K2334+K2335+K2336+K2362</f>
        <v>0</v>
      </c>
      <c r="L2619" s="9">
        <v>0</v>
      </c>
      <c r="M2619" s="9">
        <f t="shared" si="557"/>
        <v>12329042.27</v>
      </c>
      <c r="N2619" s="9">
        <v>0</v>
      </c>
      <c r="O2619" s="9">
        <v>0</v>
      </c>
      <c r="P2619" s="9">
        <f t="shared" si="559"/>
        <v>0</v>
      </c>
      <c r="Q2619" s="9">
        <f>Q1939+Q2316+Q2317+Q2318+Q2319+Q2333+Q2334+Q2335+Q2336+Q2362</f>
        <v>0</v>
      </c>
      <c r="R2619" s="9">
        <f>R1939+R2316+R2317+R2318+R2319+R2333+R2334+R2335+R2336+R2362</f>
        <v>0</v>
      </c>
      <c r="S2619" s="9">
        <f>S1939+S2316+S2317+S2318+S2319+S2333+S2334+S2335+S2336+S2362</f>
        <v>0</v>
      </c>
      <c r="T2619" s="9">
        <v>0</v>
      </c>
      <c r="U2619" s="9">
        <f t="shared" si="558"/>
        <v>0</v>
      </c>
      <c r="V2619" s="9">
        <f>V1939+V2316+V2317+V2318+V2319+V2333+V2334+V2335+V2336+V2362</f>
        <v>15133087</v>
      </c>
      <c r="W2619" s="9">
        <f>W1939+W2316+W2317+W2318+W2319+W2333+W2334+W2335+W2336+W2362</f>
        <v>0</v>
      </c>
      <c r="X2619" s="9">
        <f t="shared" si="560"/>
        <v>12329042.27</v>
      </c>
      <c r="Y2619" s="9">
        <f t="shared" si="561"/>
        <v>0</v>
      </c>
      <c r="Z2619" s="9">
        <f t="shared" si="562"/>
        <v>0</v>
      </c>
      <c r="AA2619" s="8">
        <f t="shared" si="563"/>
        <v>12329042.27</v>
      </c>
      <c r="AB2619" s="18">
        <f t="shared" si="564"/>
        <v>0</v>
      </c>
    </row>
    <row r="2620" spans="1:28" x14ac:dyDescent="0.35">
      <c r="A2620" s="36"/>
      <c r="B2620" s="8"/>
      <c r="C2620" s="7" t="s">
        <v>1066</v>
      </c>
      <c r="D2620" s="8"/>
      <c r="E2620" s="9">
        <v>769000</v>
      </c>
      <c r="F2620" s="9">
        <v>769000</v>
      </c>
      <c r="G2620" s="9">
        <v>0</v>
      </c>
      <c r="H2620" s="9">
        <f t="shared" si="556"/>
        <v>769000</v>
      </c>
      <c r="I2620" s="9"/>
      <c r="J2620" s="9"/>
      <c r="K2620" s="9"/>
      <c r="L2620" s="9">
        <v>0</v>
      </c>
      <c r="M2620" s="9">
        <f t="shared" si="557"/>
        <v>769000</v>
      </c>
      <c r="N2620" s="9">
        <v>41917.07</v>
      </c>
      <c r="O2620" s="9">
        <v>0</v>
      </c>
      <c r="P2620" s="9">
        <f t="shared" si="559"/>
        <v>41917.07</v>
      </c>
      <c r="Q2620" s="9"/>
      <c r="R2620" s="9"/>
      <c r="S2620" s="9"/>
      <c r="T2620" s="9">
        <v>1507.55</v>
      </c>
      <c r="U2620" s="9">
        <f t="shared" si="558"/>
        <v>43424.62</v>
      </c>
      <c r="V2620" s="9"/>
      <c r="W2620" s="9"/>
      <c r="X2620" s="9">
        <f t="shared" si="560"/>
        <v>810917.07</v>
      </c>
      <c r="Y2620" s="9" t="str">
        <f t="shared" si="561"/>
        <v>-</v>
      </c>
      <c r="Z2620" s="9">
        <f t="shared" si="562"/>
        <v>-41917.069999999949</v>
      </c>
      <c r="AA2620" s="8">
        <f t="shared" si="563"/>
        <v>812424.62</v>
      </c>
      <c r="AB2620" s="18">
        <f t="shared" si="564"/>
        <v>-43424.619999999995</v>
      </c>
    </row>
    <row r="2621" spans="1:28" x14ac:dyDescent="0.35">
      <c r="A2621" s="36"/>
      <c r="B2621" s="8"/>
      <c r="C2621" s="7" t="s">
        <v>909</v>
      </c>
      <c r="D2621" s="8"/>
      <c r="E2621" s="9">
        <v>2308570</v>
      </c>
      <c r="F2621" s="9">
        <v>2308570</v>
      </c>
      <c r="G2621" s="9">
        <v>0</v>
      </c>
      <c r="H2621" s="9">
        <f t="shared" si="556"/>
        <v>2308570</v>
      </c>
      <c r="I2621" s="9">
        <f>I1514</f>
        <v>0</v>
      </c>
      <c r="J2621" s="9">
        <f>J1514</f>
        <v>0</v>
      </c>
      <c r="K2621" s="9">
        <f>K1514</f>
        <v>0</v>
      </c>
      <c r="L2621" s="9">
        <v>0</v>
      </c>
      <c r="M2621" s="9">
        <f t="shared" si="557"/>
        <v>2308570</v>
      </c>
      <c r="N2621" s="9">
        <v>0</v>
      </c>
      <c r="O2621" s="9">
        <v>0</v>
      </c>
      <c r="P2621" s="9">
        <f t="shared" si="559"/>
        <v>0</v>
      </c>
      <c r="Q2621" s="9">
        <f>Q1514</f>
        <v>0</v>
      </c>
      <c r="R2621" s="9">
        <f>R1514</f>
        <v>0</v>
      </c>
      <c r="S2621" s="9">
        <f>S1514</f>
        <v>0</v>
      </c>
      <c r="T2621" s="9">
        <v>0</v>
      </c>
      <c r="U2621" s="9">
        <f t="shared" si="558"/>
        <v>0</v>
      </c>
      <c r="V2621" s="9">
        <f t="shared" ref="V2621:W2623" si="565">V1514</f>
        <v>43402.455679999992</v>
      </c>
      <c r="W2621" s="9">
        <f t="shared" si="565"/>
        <v>148.45999999999998</v>
      </c>
      <c r="X2621" s="9">
        <f t="shared" si="560"/>
        <v>2308570</v>
      </c>
      <c r="Y2621" s="9" t="e">
        <f t="shared" si="561"/>
        <v>#REF!</v>
      </c>
      <c r="Z2621" s="9">
        <f t="shared" si="562"/>
        <v>0</v>
      </c>
      <c r="AA2621" s="8">
        <f t="shared" si="563"/>
        <v>2308570</v>
      </c>
      <c r="AB2621" s="18">
        <f t="shared" si="564"/>
        <v>0</v>
      </c>
    </row>
    <row r="2622" spans="1:28" x14ac:dyDescent="0.35">
      <c r="A2622" s="36"/>
      <c r="B2622" s="8"/>
      <c r="C2622" s="7" t="s">
        <v>1067</v>
      </c>
      <c r="D2622" s="8"/>
      <c r="E2622" s="9">
        <v>569000</v>
      </c>
      <c r="F2622" s="9">
        <v>569000</v>
      </c>
      <c r="G2622" s="9">
        <v>0</v>
      </c>
      <c r="H2622" s="9">
        <f t="shared" si="556"/>
        <v>569000</v>
      </c>
      <c r="I2622" s="9"/>
      <c r="J2622" s="9"/>
      <c r="K2622" s="9"/>
      <c r="L2622" s="9">
        <v>0</v>
      </c>
      <c r="M2622" s="9">
        <f t="shared" si="557"/>
        <v>569000</v>
      </c>
      <c r="N2622" s="9">
        <v>0</v>
      </c>
      <c r="O2622" s="9">
        <v>0</v>
      </c>
      <c r="P2622" s="9">
        <f t="shared" si="559"/>
        <v>0</v>
      </c>
      <c r="Q2622" s="9"/>
      <c r="R2622" s="9"/>
      <c r="S2622" s="9"/>
      <c r="T2622" s="9">
        <v>0</v>
      </c>
      <c r="U2622" s="9">
        <f>+P2622+T2622</f>
        <v>0</v>
      </c>
      <c r="V2622" s="9" t="str">
        <f t="shared" si="565"/>
        <v>-</v>
      </c>
      <c r="W2622" s="9" t="str">
        <f t="shared" si="565"/>
        <v>-</v>
      </c>
      <c r="X2622" s="9">
        <f t="shared" si="560"/>
        <v>569000</v>
      </c>
      <c r="Y2622" s="9" t="str">
        <f t="shared" si="561"/>
        <v>=</v>
      </c>
      <c r="Z2622" s="9">
        <f t="shared" si="562"/>
        <v>0</v>
      </c>
      <c r="AA2622" s="8">
        <f t="shared" si="563"/>
        <v>569000</v>
      </c>
      <c r="AB2622" s="18">
        <f t="shared" si="564"/>
        <v>0</v>
      </c>
    </row>
    <row r="2623" spans="1:28" x14ac:dyDescent="0.35">
      <c r="A2623" s="36"/>
      <c r="B2623" s="8"/>
      <c r="C2623" s="13" t="s">
        <v>1118</v>
      </c>
      <c r="D2623" s="8"/>
      <c r="E2623" s="9">
        <v>1677419.26</v>
      </c>
      <c r="F2623" s="9">
        <v>1677419.26</v>
      </c>
      <c r="G2623" s="9">
        <v>0</v>
      </c>
      <c r="H2623" s="9">
        <f>+F2623+G2623</f>
        <v>1677419.26</v>
      </c>
      <c r="I2623" s="9"/>
      <c r="J2623" s="9"/>
      <c r="K2623" s="9"/>
      <c r="L2623" s="9">
        <v>0</v>
      </c>
      <c r="M2623" s="9">
        <f t="shared" si="557"/>
        <v>1677419.26</v>
      </c>
      <c r="N2623" s="9">
        <v>0</v>
      </c>
      <c r="O2623" s="9">
        <v>0</v>
      </c>
      <c r="P2623" s="9">
        <f t="shared" si="559"/>
        <v>0</v>
      </c>
      <c r="Q2623" s="9"/>
      <c r="R2623" s="9"/>
      <c r="S2623" s="9"/>
      <c r="T2623" s="9">
        <v>0</v>
      </c>
      <c r="U2623" s="9">
        <f>+P2623+T2623</f>
        <v>0</v>
      </c>
      <c r="V2623" s="9">
        <f t="shared" si="565"/>
        <v>0</v>
      </c>
      <c r="W2623" s="9">
        <f t="shared" si="565"/>
        <v>0</v>
      </c>
      <c r="X2623" s="9">
        <f>+H2623+P2623</f>
        <v>1677419.26</v>
      </c>
      <c r="Y2623" s="9"/>
      <c r="Z2623" s="9">
        <f t="shared" si="562"/>
        <v>0</v>
      </c>
      <c r="AA2623" s="8">
        <f>+M2623+U2623</f>
        <v>1677419.26</v>
      </c>
      <c r="AB2623" s="18">
        <f>+E2623-AA2623</f>
        <v>0</v>
      </c>
    </row>
    <row r="2624" spans="1:28" x14ac:dyDescent="0.35">
      <c r="A2624" s="36"/>
      <c r="B2624" s="8"/>
      <c r="C2624" s="13" t="s">
        <v>879</v>
      </c>
      <c r="D2624" s="8"/>
      <c r="E2624" s="9">
        <v>26537555.390000001</v>
      </c>
      <c r="F2624" s="9">
        <v>24666170.93</v>
      </c>
      <c r="G2624" s="9">
        <v>0</v>
      </c>
      <c r="H2624" s="9">
        <f>+F2624+G2624</f>
        <v>24666170.93</v>
      </c>
      <c r="I2624" s="9"/>
      <c r="J2624" s="9"/>
      <c r="K2624" s="9"/>
      <c r="L2624" s="9">
        <v>0</v>
      </c>
      <c r="M2624" s="9">
        <f>+H2624+L2624</f>
        <v>24666170.93</v>
      </c>
      <c r="N2624" s="9">
        <v>1871384.46</v>
      </c>
      <c r="O2624" s="9">
        <v>0</v>
      </c>
      <c r="P2624" s="9">
        <f>+N2624+O2624</f>
        <v>1871384.46</v>
      </c>
      <c r="Q2624" s="9"/>
      <c r="R2624" s="9"/>
      <c r="S2624" s="9"/>
      <c r="T2624" s="9">
        <v>0</v>
      </c>
      <c r="U2624" s="9">
        <f>+P2624+T2624</f>
        <v>1871384.46</v>
      </c>
      <c r="V2624" s="9"/>
      <c r="W2624" s="9"/>
      <c r="X2624" s="9">
        <f t="shared" si="560"/>
        <v>26537555.390000001</v>
      </c>
      <c r="Y2624" s="9">
        <f t="shared" ref="Y2624:Y2630" si="566">Y1468</f>
        <v>0</v>
      </c>
      <c r="Z2624" s="9">
        <f t="shared" si="562"/>
        <v>0</v>
      </c>
      <c r="AA2624" s="8">
        <f t="shared" si="563"/>
        <v>26537555.390000001</v>
      </c>
      <c r="AB2624" s="18">
        <f t="shared" si="564"/>
        <v>0</v>
      </c>
    </row>
    <row r="2625" spans="1:28" x14ac:dyDescent="0.35">
      <c r="A2625" s="36"/>
      <c r="B2625" s="8"/>
      <c r="C2625" s="7" t="s">
        <v>890</v>
      </c>
      <c r="D2625" s="9"/>
      <c r="E2625" s="11">
        <v>19409502.140000001</v>
      </c>
      <c r="F2625" s="11">
        <v>19409502.140000001</v>
      </c>
      <c r="G2625" s="9">
        <v>0</v>
      </c>
      <c r="H2625" s="9">
        <f t="shared" si="556"/>
        <v>19409502.140000001</v>
      </c>
      <c r="I2625" s="11" t="e">
        <f>I504+I595+I612+I1583+I1617+I1640+I2366</f>
        <v>#VALUE!</v>
      </c>
      <c r="J2625" s="11" t="e">
        <f>J504+J595+J612+J1583+J1617+J1640+J2366</f>
        <v>#VALUE!</v>
      </c>
      <c r="K2625" s="11" t="e">
        <f>K504+K595+K612+K1583+K1617+K1640+K2366</f>
        <v>#VALUE!</v>
      </c>
      <c r="L2625" s="9">
        <v>0</v>
      </c>
      <c r="M2625" s="9">
        <f t="shared" si="557"/>
        <v>19409502.140000001</v>
      </c>
      <c r="N2625" s="11">
        <v>0</v>
      </c>
      <c r="O2625" s="9">
        <v>0</v>
      </c>
      <c r="P2625" s="9">
        <f t="shared" si="559"/>
        <v>0</v>
      </c>
      <c r="Q2625" s="11" t="e">
        <f>Q504+Q595+Q612+Q1583+Q1617+Q1640+Q2366</f>
        <v>#VALUE!</v>
      </c>
      <c r="R2625" s="11" t="e">
        <f>R504+R595+R612+R1583+R1617+R1640+R2366</f>
        <v>#VALUE!</v>
      </c>
      <c r="S2625" s="11" t="e">
        <f>S504+S595+S612+S1583+S1617+S1640+S2366</f>
        <v>#VALUE!</v>
      </c>
      <c r="T2625" s="9">
        <v>0</v>
      </c>
      <c r="U2625" s="9">
        <f t="shared" si="558"/>
        <v>0</v>
      </c>
      <c r="V2625" s="11" t="e">
        <f>V504+V595+V612+V1583+V1617+V1640+V2366</f>
        <v>#VALUE!</v>
      </c>
      <c r="W2625" s="11" t="e">
        <f>W504+W595+W612+W1583+W1617+W1640+W2366</f>
        <v>#VALUE!</v>
      </c>
      <c r="X2625" s="9">
        <f t="shared" si="560"/>
        <v>19409502.140000001</v>
      </c>
      <c r="Y2625" s="9">
        <f t="shared" si="566"/>
        <v>0</v>
      </c>
      <c r="Z2625" s="9">
        <f t="shared" si="562"/>
        <v>0</v>
      </c>
      <c r="AA2625" s="8">
        <f t="shared" si="563"/>
        <v>19409502.140000001</v>
      </c>
      <c r="AB2625" s="18">
        <f t="shared" si="564"/>
        <v>0</v>
      </c>
    </row>
    <row r="2626" spans="1:28" x14ac:dyDescent="0.35">
      <c r="A2626" s="36"/>
      <c r="B2626" s="8"/>
      <c r="C2626" s="7" t="s">
        <v>891</v>
      </c>
      <c r="D2626" s="9"/>
      <c r="E2626" s="9">
        <v>12758407</v>
      </c>
      <c r="F2626" s="9">
        <v>12758407</v>
      </c>
      <c r="G2626" s="9">
        <v>0</v>
      </c>
      <c r="H2626" s="9">
        <f t="shared" si="556"/>
        <v>12758407</v>
      </c>
      <c r="I2626" s="9">
        <f>AH2635</f>
        <v>0</v>
      </c>
      <c r="J2626" s="9">
        <f>AI2635</f>
        <v>0</v>
      </c>
      <c r="K2626" s="9">
        <f>AJ2635</f>
        <v>0</v>
      </c>
      <c r="L2626" s="9">
        <v>0</v>
      </c>
      <c r="M2626" s="9">
        <f t="shared" si="557"/>
        <v>12758407</v>
      </c>
      <c r="N2626" s="9">
        <f>AM2635</f>
        <v>0</v>
      </c>
      <c r="O2626" s="9">
        <v>0</v>
      </c>
      <c r="P2626" s="9">
        <f t="shared" si="559"/>
        <v>0</v>
      </c>
      <c r="Q2626" s="9">
        <f>AP2635</f>
        <v>0</v>
      </c>
      <c r="R2626" s="9">
        <f>AQ2635</f>
        <v>0</v>
      </c>
      <c r="S2626" s="9">
        <f>AR2635</f>
        <v>0</v>
      </c>
      <c r="T2626" s="9">
        <v>0</v>
      </c>
      <c r="U2626" s="9">
        <f t="shared" si="558"/>
        <v>0</v>
      </c>
      <c r="V2626" s="9">
        <f>AU2635</f>
        <v>0</v>
      </c>
      <c r="W2626" s="9">
        <f>AV2635</f>
        <v>0</v>
      </c>
      <c r="X2626" s="9">
        <f t="shared" si="560"/>
        <v>12758407</v>
      </c>
      <c r="Y2626" s="9">
        <f t="shared" si="566"/>
        <v>0</v>
      </c>
      <c r="Z2626" s="9">
        <f t="shared" si="562"/>
        <v>0</v>
      </c>
      <c r="AA2626" s="8">
        <f t="shared" si="563"/>
        <v>12758407</v>
      </c>
      <c r="AB2626" s="18">
        <f t="shared" si="564"/>
        <v>0</v>
      </c>
    </row>
    <row r="2627" spans="1:28" x14ac:dyDescent="0.35">
      <c r="A2627" s="36"/>
      <c r="B2627" s="8"/>
      <c r="C2627" s="7" t="s">
        <v>892</v>
      </c>
      <c r="D2627" s="8"/>
      <c r="E2627" s="11">
        <v>2564939</v>
      </c>
      <c r="F2627" s="11">
        <v>2564939</v>
      </c>
      <c r="G2627" s="9">
        <v>0</v>
      </c>
      <c r="H2627" s="9">
        <f t="shared" si="556"/>
        <v>2564939</v>
      </c>
      <c r="I2627" s="11">
        <f>AH2652</f>
        <v>0</v>
      </c>
      <c r="J2627" s="11">
        <f>AI2652</f>
        <v>0</v>
      </c>
      <c r="K2627" s="11">
        <f>AJ2652</f>
        <v>0</v>
      </c>
      <c r="L2627" s="9">
        <v>0</v>
      </c>
      <c r="M2627" s="9">
        <f t="shared" si="557"/>
        <v>2564939</v>
      </c>
      <c r="N2627" s="11">
        <v>0</v>
      </c>
      <c r="O2627" s="9">
        <v>0</v>
      </c>
      <c r="P2627" s="9">
        <f t="shared" si="559"/>
        <v>0</v>
      </c>
      <c r="Q2627" s="11">
        <f>AP2652</f>
        <v>0</v>
      </c>
      <c r="R2627" s="11">
        <f>AQ2652</f>
        <v>0</v>
      </c>
      <c r="S2627" s="11">
        <f>AR2652</f>
        <v>0</v>
      </c>
      <c r="T2627" s="9">
        <v>0</v>
      </c>
      <c r="U2627" s="9">
        <f t="shared" si="558"/>
        <v>0</v>
      </c>
      <c r="V2627" s="11">
        <f>AU2652</f>
        <v>0</v>
      </c>
      <c r="W2627" s="11">
        <f>AV2652</f>
        <v>0</v>
      </c>
      <c r="X2627" s="9">
        <f t="shared" si="560"/>
        <v>2564939</v>
      </c>
      <c r="Y2627" s="9">
        <f t="shared" si="566"/>
        <v>0</v>
      </c>
      <c r="Z2627" s="9">
        <f t="shared" si="562"/>
        <v>0</v>
      </c>
      <c r="AA2627" s="8">
        <f t="shared" si="563"/>
        <v>2564939</v>
      </c>
      <c r="AB2627" s="18">
        <f t="shared" si="564"/>
        <v>0</v>
      </c>
    </row>
    <row r="2628" spans="1:28" x14ac:dyDescent="0.35">
      <c r="A2628" s="36"/>
      <c r="B2628" s="8"/>
      <c r="C2628" s="7" t="s">
        <v>878</v>
      </c>
      <c r="D2628" s="8"/>
      <c r="E2628" s="12">
        <v>22708607.899999999</v>
      </c>
      <c r="F2628" s="9">
        <v>22708607.899999999</v>
      </c>
      <c r="G2628" s="9">
        <v>0</v>
      </c>
      <c r="H2628" s="9">
        <f>+F2628+G2628</f>
        <v>22708607.899999999</v>
      </c>
      <c r="I2628" s="9">
        <f>I1230+I1662+I2407+I2476</f>
        <v>0</v>
      </c>
      <c r="J2628" s="9">
        <f>J1230+J1662+J2407+J2476</f>
        <v>2957.2179999999998</v>
      </c>
      <c r="K2628" s="9">
        <f>K1230+K1662+K2407+K2476</f>
        <v>0</v>
      </c>
      <c r="L2628" s="9">
        <v>0</v>
      </c>
      <c r="M2628" s="9">
        <f>+H2628+L2628</f>
        <v>22708607.899999999</v>
      </c>
      <c r="N2628" s="9">
        <v>0</v>
      </c>
      <c r="O2628" s="9">
        <v>0</v>
      </c>
      <c r="P2628" s="9">
        <f t="shared" si="559"/>
        <v>0</v>
      </c>
      <c r="Q2628" s="9">
        <f>Q1230+Q1662+Q2407+Q2476</f>
        <v>2957.2179999999998</v>
      </c>
      <c r="R2628" s="9">
        <f>R1230+R1662+R2407+R2476</f>
        <v>0</v>
      </c>
      <c r="S2628" s="17"/>
      <c r="T2628" s="18">
        <v>0</v>
      </c>
      <c r="U2628" s="9">
        <f>+P2628+T2628</f>
        <v>0</v>
      </c>
      <c r="V2628" s="9">
        <f>V2450+V2494+V1575</f>
        <v>12100000</v>
      </c>
      <c r="W2628" s="9">
        <f>W2450+W2494+W1575</f>
        <v>0</v>
      </c>
      <c r="X2628" s="9">
        <f t="shared" si="560"/>
        <v>22708607.899999999</v>
      </c>
      <c r="Y2628" s="9">
        <f t="shared" si="566"/>
        <v>0</v>
      </c>
      <c r="Z2628" s="9">
        <f t="shared" si="562"/>
        <v>0</v>
      </c>
      <c r="AA2628" s="8">
        <f t="shared" si="563"/>
        <v>22708607.899999999</v>
      </c>
      <c r="AB2628" s="18">
        <f t="shared" si="564"/>
        <v>0</v>
      </c>
    </row>
    <row r="2629" spans="1:28" x14ac:dyDescent="0.35">
      <c r="A2629" s="36"/>
      <c r="B2629" s="8"/>
      <c r="C2629" s="7" t="s">
        <v>893</v>
      </c>
      <c r="D2629" s="8"/>
      <c r="E2629" s="11">
        <v>2383880</v>
      </c>
      <c r="F2629" s="11">
        <v>2383880</v>
      </c>
      <c r="G2629" s="9">
        <v>0</v>
      </c>
      <c r="H2629" s="9">
        <f t="shared" si="556"/>
        <v>2383880</v>
      </c>
      <c r="I2629" s="11" t="e">
        <f>#REF!</f>
        <v>#REF!</v>
      </c>
      <c r="J2629" s="11" t="e">
        <f>#REF!</f>
        <v>#REF!</v>
      </c>
      <c r="K2629" s="11" t="e">
        <f>#REF!</f>
        <v>#REF!</v>
      </c>
      <c r="L2629" s="9">
        <v>0</v>
      </c>
      <c r="M2629" s="9">
        <f t="shared" si="557"/>
        <v>2383880</v>
      </c>
      <c r="N2629" s="11">
        <v>0</v>
      </c>
      <c r="O2629" s="9">
        <v>0</v>
      </c>
      <c r="P2629" s="9">
        <f t="shared" si="559"/>
        <v>0</v>
      </c>
      <c r="Q2629" s="11" t="e">
        <f>#REF!</f>
        <v>#REF!</v>
      </c>
      <c r="R2629" s="11" t="e">
        <f>#REF!</f>
        <v>#REF!</v>
      </c>
      <c r="S2629" s="11" t="e">
        <f>#REF!</f>
        <v>#REF!</v>
      </c>
      <c r="T2629" s="9">
        <v>0</v>
      </c>
      <c r="U2629" s="9">
        <f t="shared" si="558"/>
        <v>0</v>
      </c>
      <c r="V2629" s="11" t="e">
        <f>#REF!</f>
        <v>#REF!</v>
      </c>
      <c r="W2629" s="11" t="e">
        <f>#REF!</f>
        <v>#REF!</v>
      </c>
      <c r="X2629" s="9">
        <f t="shared" si="560"/>
        <v>2383880</v>
      </c>
      <c r="Y2629" s="9">
        <f t="shared" si="566"/>
        <v>0</v>
      </c>
      <c r="Z2629" s="9">
        <f t="shared" si="562"/>
        <v>0</v>
      </c>
      <c r="AA2629" s="8">
        <f t="shared" si="563"/>
        <v>2383880</v>
      </c>
      <c r="AB2629" s="18">
        <f t="shared" si="564"/>
        <v>0</v>
      </c>
    </row>
    <row r="2630" spans="1:28" x14ac:dyDescent="0.35">
      <c r="A2630" s="36"/>
      <c r="B2630" s="8"/>
      <c r="C2630" s="7" t="s">
        <v>894</v>
      </c>
      <c r="D2630" s="8"/>
      <c r="E2630" s="11">
        <v>9732956.3800000008</v>
      </c>
      <c r="F2630" s="11">
        <v>9732956.3800000008</v>
      </c>
      <c r="G2630" s="9">
        <v>0</v>
      </c>
      <c r="H2630" s="9">
        <f t="shared" si="556"/>
        <v>9732956.3800000008</v>
      </c>
      <c r="I2630" s="11" t="e">
        <f>#REF!</f>
        <v>#REF!</v>
      </c>
      <c r="J2630" s="11" t="e">
        <f>#REF!</f>
        <v>#REF!</v>
      </c>
      <c r="K2630" s="11" t="e">
        <f>#REF!</f>
        <v>#REF!</v>
      </c>
      <c r="L2630" s="9">
        <v>0</v>
      </c>
      <c r="M2630" s="9">
        <f t="shared" si="557"/>
        <v>9732956.3800000008</v>
      </c>
      <c r="N2630" s="11">
        <v>0</v>
      </c>
      <c r="O2630" s="9">
        <v>0</v>
      </c>
      <c r="P2630" s="9">
        <f t="shared" si="559"/>
        <v>0</v>
      </c>
      <c r="Q2630" s="11" t="e">
        <f>#REF!</f>
        <v>#REF!</v>
      </c>
      <c r="R2630" s="11" t="e">
        <f>#REF!</f>
        <v>#REF!</v>
      </c>
      <c r="S2630" s="11" t="e">
        <f>#REF!</f>
        <v>#REF!</v>
      </c>
      <c r="T2630" s="9">
        <v>0</v>
      </c>
      <c r="U2630" s="9">
        <f t="shared" si="558"/>
        <v>0</v>
      </c>
      <c r="V2630" s="11" t="e">
        <f>#REF!</f>
        <v>#REF!</v>
      </c>
      <c r="W2630" s="11" t="e">
        <f>#REF!</f>
        <v>#REF!</v>
      </c>
      <c r="X2630" s="9">
        <f t="shared" si="560"/>
        <v>9732956.3800000008</v>
      </c>
      <c r="Y2630" s="9">
        <f t="shared" si="566"/>
        <v>0</v>
      </c>
      <c r="Z2630" s="9">
        <f t="shared" si="562"/>
        <v>0</v>
      </c>
      <c r="AA2630" s="8">
        <f t="shared" si="563"/>
        <v>9732956.3800000008</v>
      </c>
      <c r="AB2630" s="18">
        <f t="shared" si="564"/>
        <v>0</v>
      </c>
    </row>
    <row r="2631" spans="1:28" x14ac:dyDescent="0.35">
      <c r="A2631" s="36"/>
      <c r="B2631" s="8"/>
      <c r="C2631" s="7" t="s">
        <v>1148</v>
      </c>
      <c r="D2631" s="8"/>
      <c r="E2631" s="11">
        <v>2000000</v>
      </c>
      <c r="F2631" s="11"/>
      <c r="G2631" s="9">
        <v>2000000</v>
      </c>
      <c r="H2631" s="9">
        <f>+F2631+G2631</f>
        <v>2000000</v>
      </c>
      <c r="I2631" s="11"/>
      <c r="J2631" s="11"/>
      <c r="K2631" s="11"/>
      <c r="L2631" s="9">
        <v>0</v>
      </c>
      <c r="M2631" s="9">
        <f t="shared" si="557"/>
        <v>2000000</v>
      </c>
      <c r="N2631" s="11">
        <v>0</v>
      </c>
      <c r="O2631" s="9">
        <v>0</v>
      </c>
      <c r="P2631" s="9">
        <f t="shared" si="559"/>
        <v>0</v>
      </c>
      <c r="Q2631" s="11"/>
      <c r="R2631" s="11"/>
      <c r="S2631" s="11"/>
      <c r="T2631" s="9">
        <v>0</v>
      </c>
      <c r="U2631" s="9">
        <f t="shared" si="558"/>
        <v>0</v>
      </c>
      <c r="V2631" s="11"/>
      <c r="W2631" s="11"/>
      <c r="X2631" s="9">
        <f t="shared" si="560"/>
        <v>2000000</v>
      </c>
      <c r="Y2631" s="9"/>
      <c r="Z2631" s="9">
        <f t="shared" si="562"/>
        <v>0</v>
      </c>
      <c r="AA2631" s="8">
        <f t="shared" si="563"/>
        <v>2000000</v>
      </c>
      <c r="AB2631" s="18">
        <f t="shared" si="564"/>
        <v>0</v>
      </c>
    </row>
    <row r="2632" spans="1:28" x14ac:dyDescent="0.35">
      <c r="A2632" s="36"/>
      <c r="B2632" s="8"/>
      <c r="C2632" s="7" t="s">
        <v>1150</v>
      </c>
      <c r="D2632" s="8"/>
      <c r="E2632" s="11">
        <v>300000</v>
      </c>
      <c r="F2632" s="11"/>
      <c r="G2632" s="9">
        <v>300000</v>
      </c>
      <c r="H2632" s="9">
        <f>+F2632+G2632</f>
        <v>300000</v>
      </c>
      <c r="I2632" s="11"/>
      <c r="J2632" s="11"/>
      <c r="K2632" s="11"/>
      <c r="L2632" s="9">
        <v>0</v>
      </c>
      <c r="M2632" s="9">
        <f t="shared" si="557"/>
        <v>300000</v>
      </c>
      <c r="N2632" s="11">
        <v>0</v>
      </c>
      <c r="O2632" s="9">
        <v>0</v>
      </c>
      <c r="P2632" s="9">
        <f t="shared" si="559"/>
        <v>0</v>
      </c>
      <c r="Q2632" s="11"/>
      <c r="R2632" s="11"/>
      <c r="S2632" s="11"/>
      <c r="T2632" s="9">
        <v>0</v>
      </c>
      <c r="U2632" s="9">
        <f t="shared" si="558"/>
        <v>0</v>
      </c>
      <c r="V2632" s="11"/>
      <c r="W2632" s="11"/>
      <c r="X2632" s="9">
        <f t="shared" si="560"/>
        <v>300000</v>
      </c>
      <c r="Y2632" s="9"/>
      <c r="Z2632" s="9">
        <f t="shared" si="562"/>
        <v>0</v>
      </c>
      <c r="AA2632" s="8">
        <f t="shared" si="563"/>
        <v>300000</v>
      </c>
      <c r="AB2632" s="18">
        <f t="shared" si="564"/>
        <v>0</v>
      </c>
    </row>
    <row r="2633" spans="1:28" x14ac:dyDescent="0.35">
      <c r="A2633" s="36"/>
      <c r="B2633" s="8"/>
      <c r="C2633" s="7" t="s">
        <v>895</v>
      </c>
      <c r="D2633" s="8"/>
      <c r="E2633" s="11">
        <v>191459714.16999999</v>
      </c>
      <c r="F2633" s="11">
        <v>191416289.55000001</v>
      </c>
      <c r="G2633" s="9">
        <v>0</v>
      </c>
      <c r="H2633" s="9">
        <f t="shared" si="556"/>
        <v>191416289.55000001</v>
      </c>
      <c r="I2633" s="11" t="e">
        <f>#REF!</f>
        <v>#REF!</v>
      </c>
      <c r="J2633" s="11" t="e">
        <f>#REF!</f>
        <v>#REF!</v>
      </c>
      <c r="K2633" s="11" t="e">
        <f>#REF!</f>
        <v>#REF!</v>
      </c>
      <c r="L2633" s="9">
        <v>0</v>
      </c>
      <c r="M2633" s="9">
        <f t="shared" si="557"/>
        <v>191416289.55000001</v>
      </c>
      <c r="N2633" s="11">
        <v>0</v>
      </c>
      <c r="O2633" s="9">
        <v>0</v>
      </c>
      <c r="P2633" s="9">
        <f t="shared" si="559"/>
        <v>0</v>
      </c>
      <c r="Q2633" s="11" t="e">
        <f>#REF!</f>
        <v>#REF!</v>
      </c>
      <c r="R2633" s="11" t="e">
        <f>#REF!</f>
        <v>#REF!</v>
      </c>
      <c r="S2633" s="11" t="e">
        <f>#REF!</f>
        <v>#REF!</v>
      </c>
      <c r="T2633" s="11">
        <v>0</v>
      </c>
      <c r="U2633" s="9">
        <f t="shared" si="558"/>
        <v>0</v>
      </c>
      <c r="V2633" s="11" t="e">
        <f>#REF!</f>
        <v>#REF!</v>
      </c>
      <c r="W2633" s="11" t="e">
        <f>#REF!</f>
        <v>#REF!</v>
      </c>
      <c r="X2633" s="9">
        <f t="shared" si="560"/>
        <v>191416289.55000001</v>
      </c>
      <c r="Y2633" s="9">
        <f>Y1475</f>
        <v>0</v>
      </c>
      <c r="Z2633" s="9">
        <f t="shared" si="562"/>
        <v>43424.619999974966</v>
      </c>
      <c r="AA2633" s="8">
        <f t="shared" si="563"/>
        <v>191416289.55000001</v>
      </c>
      <c r="AB2633" s="18">
        <f t="shared" si="564"/>
        <v>43424.619999974966</v>
      </c>
    </row>
    <row r="2634" spans="1:28" x14ac:dyDescent="0.35">
      <c r="A2634" s="36"/>
      <c r="B2634" s="8"/>
      <c r="C2634" s="7" t="s">
        <v>896</v>
      </c>
      <c r="D2634" s="8"/>
      <c r="E2634" s="11">
        <v>226838806.74000001</v>
      </c>
      <c r="F2634" s="11">
        <v>208153613</v>
      </c>
      <c r="G2634" s="9">
        <v>0</v>
      </c>
      <c r="H2634" s="9">
        <f t="shared" si="556"/>
        <v>208153613</v>
      </c>
      <c r="I2634" s="11" t="e">
        <f>#REF!</f>
        <v>#REF!</v>
      </c>
      <c r="J2634" s="11" t="e">
        <f>#REF!</f>
        <v>#REF!</v>
      </c>
      <c r="K2634" s="11" t="e">
        <f>#REF!</f>
        <v>#REF!</v>
      </c>
      <c r="L2634" s="9">
        <v>0</v>
      </c>
      <c r="M2634" s="9">
        <f t="shared" si="557"/>
        <v>208153613</v>
      </c>
      <c r="N2634" s="11">
        <v>5864850.0599999996</v>
      </c>
      <c r="O2634" s="9">
        <v>0</v>
      </c>
      <c r="P2634" s="9">
        <f t="shared" si="559"/>
        <v>5864850.0599999996</v>
      </c>
      <c r="Q2634" s="11" t="e">
        <f>#REF!</f>
        <v>#REF!</v>
      </c>
      <c r="R2634" s="11" t="e">
        <f>#REF!</f>
        <v>#REF!</v>
      </c>
      <c r="S2634" s="11" t="e">
        <f>#REF!</f>
        <v>#REF!</v>
      </c>
      <c r="T2634" s="11">
        <v>12399922.68</v>
      </c>
      <c r="U2634" s="9">
        <f t="shared" si="558"/>
        <v>18264772.739999998</v>
      </c>
      <c r="V2634" s="11" t="e">
        <f>#REF!</f>
        <v>#REF!</v>
      </c>
      <c r="W2634" s="11" t="e">
        <f>#REF!</f>
        <v>#REF!</v>
      </c>
      <c r="X2634" s="9">
        <f t="shared" si="560"/>
        <v>214018463.06</v>
      </c>
      <c r="Y2634" s="9">
        <f>Y1476</f>
        <v>0</v>
      </c>
      <c r="Z2634" s="9">
        <f t="shared" si="562"/>
        <v>12820343.680000007</v>
      </c>
      <c r="AA2634" s="8">
        <f t="shared" si="563"/>
        <v>226418385.74000001</v>
      </c>
      <c r="AB2634" s="18">
        <f t="shared" si="564"/>
        <v>420421</v>
      </c>
    </row>
    <row r="2635" spans="1:28" x14ac:dyDescent="0.35">
      <c r="A2635" s="36"/>
      <c r="B2635" s="8"/>
      <c r="C2635" s="7" t="s">
        <v>897</v>
      </c>
      <c r="D2635" s="8"/>
      <c r="E2635" s="11">
        <f>232972389.86+2059000</f>
        <v>235031389.86000001</v>
      </c>
      <c r="F2635" s="11">
        <f>226692079.53+3111000</f>
        <v>229803079.53</v>
      </c>
      <c r="G2635" s="9">
        <v>0</v>
      </c>
      <c r="H2635" s="9">
        <f t="shared" si="556"/>
        <v>229803079.53</v>
      </c>
      <c r="I2635" s="11">
        <f>AH2716</f>
        <v>0</v>
      </c>
      <c r="J2635" s="11">
        <f>AI2716</f>
        <v>0</v>
      </c>
      <c r="K2635" s="11">
        <f>AJ2716</f>
        <v>0</v>
      </c>
      <c r="L2635" s="11">
        <v>0</v>
      </c>
      <c r="M2635" s="9">
        <f t="shared" si="557"/>
        <v>229803079.53</v>
      </c>
      <c r="N2635" s="11">
        <v>2446315.96</v>
      </c>
      <c r="O2635" s="9">
        <v>0</v>
      </c>
      <c r="P2635" s="9">
        <f t="shared" si="559"/>
        <v>2446315.96</v>
      </c>
      <c r="Q2635" s="11">
        <f>AP2716</f>
        <v>0</v>
      </c>
      <c r="R2635" s="11">
        <f>AQ2716</f>
        <v>0</v>
      </c>
      <c r="S2635" s="11">
        <f>AR2716</f>
        <v>0</v>
      </c>
      <c r="T2635" s="9">
        <v>0</v>
      </c>
      <c r="U2635" s="9">
        <f t="shared" si="558"/>
        <v>2446315.96</v>
      </c>
      <c r="V2635" s="11">
        <f t="shared" ref="V2635:W2637" si="567">AU2716</f>
        <v>0</v>
      </c>
      <c r="W2635" s="11">
        <f t="shared" si="567"/>
        <v>0</v>
      </c>
      <c r="X2635" s="9">
        <f t="shared" si="560"/>
        <v>232249395.49000001</v>
      </c>
      <c r="Y2635" s="9">
        <f>Y1477</f>
        <v>0</v>
      </c>
      <c r="Z2635" s="9">
        <f t="shared" si="562"/>
        <v>2781994.3700000048</v>
      </c>
      <c r="AA2635" s="8">
        <f t="shared" si="563"/>
        <v>232249395.49000001</v>
      </c>
      <c r="AB2635" s="18">
        <f t="shared" si="564"/>
        <v>2781994.3700000048</v>
      </c>
    </row>
    <row r="2636" spans="1:28" x14ac:dyDescent="0.35">
      <c r="A2636" s="36"/>
      <c r="B2636" s="8"/>
      <c r="C2636" s="7" t="s">
        <v>1085</v>
      </c>
      <c r="D2636" s="8"/>
      <c r="E2636" s="11">
        <f>13110780.5+10619590.62+16114211.63+36312002.03+45812892.72+2010322.54+2474289.58+1317652.44+1161513.13</f>
        <v>128933255.19</v>
      </c>
      <c r="F2636" s="11">
        <f>13110780.5+10619590.62+16114211.63+36312002.03+45812892.72+6963777.69</f>
        <v>128933255.19</v>
      </c>
      <c r="G2636" s="9">
        <v>0</v>
      </c>
      <c r="H2636" s="9">
        <f t="shared" si="556"/>
        <v>128933255.19</v>
      </c>
      <c r="I2636" s="11"/>
      <c r="J2636" s="11"/>
      <c r="K2636" s="11"/>
      <c r="L2636" s="11">
        <v>0</v>
      </c>
      <c r="M2636" s="9">
        <f>+H2636+L2636</f>
        <v>128933255.19</v>
      </c>
      <c r="N2636" s="11">
        <v>0</v>
      </c>
      <c r="O2636" s="9">
        <v>0</v>
      </c>
      <c r="P2636" s="9">
        <f>+N2636+O2636</f>
        <v>0</v>
      </c>
      <c r="Q2636" s="11"/>
      <c r="R2636" s="11"/>
      <c r="S2636" s="11"/>
      <c r="T2636" s="9">
        <v>0</v>
      </c>
      <c r="U2636" s="9">
        <f>+P2636+T2636</f>
        <v>0</v>
      </c>
      <c r="V2636" s="11">
        <f t="shared" si="567"/>
        <v>0</v>
      </c>
      <c r="W2636" s="11">
        <f t="shared" si="567"/>
        <v>0</v>
      </c>
      <c r="X2636" s="9">
        <f t="shared" si="560"/>
        <v>128933255.19</v>
      </c>
      <c r="Y2636" s="9">
        <f>Y1478</f>
        <v>0</v>
      </c>
      <c r="Z2636" s="9">
        <f t="shared" si="562"/>
        <v>0</v>
      </c>
      <c r="AA2636" s="8">
        <f t="shared" si="563"/>
        <v>128933255.19</v>
      </c>
      <c r="AB2636" s="18">
        <f t="shared" si="564"/>
        <v>0</v>
      </c>
    </row>
    <row r="2637" spans="1:28" x14ac:dyDescent="0.35">
      <c r="A2637" s="36"/>
      <c r="B2637" s="8"/>
      <c r="C2637" s="7" t="s">
        <v>1116</v>
      </c>
      <c r="D2637" s="8"/>
      <c r="E2637" s="11">
        <v>2015804.39</v>
      </c>
      <c r="F2637" s="11">
        <v>2015804.39</v>
      </c>
      <c r="G2637" s="9">
        <v>0</v>
      </c>
      <c r="H2637" s="9">
        <f>+F2637+G2637</f>
        <v>2015804.39</v>
      </c>
      <c r="I2637" s="11"/>
      <c r="J2637" s="11"/>
      <c r="K2637" s="11"/>
      <c r="L2637" s="11">
        <v>0</v>
      </c>
      <c r="M2637" s="9">
        <f>+H2637+L2637</f>
        <v>2015804.39</v>
      </c>
      <c r="N2637" s="11">
        <v>0</v>
      </c>
      <c r="O2637" s="9">
        <v>0</v>
      </c>
      <c r="P2637" s="9">
        <f>+N2637+O2637</f>
        <v>0</v>
      </c>
      <c r="Q2637" s="11"/>
      <c r="R2637" s="11"/>
      <c r="S2637" s="11"/>
      <c r="T2637" s="9">
        <f>+O2637+P2637</f>
        <v>0</v>
      </c>
      <c r="U2637" s="9">
        <f>+P2637+T2637</f>
        <v>0</v>
      </c>
      <c r="V2637" s="11">
        <f t="shared" si="567"/>
        <v>0</v>
      </c>
      <c r="W2637" s="11">
        <f t="shared" si="567"/>
        <v>0</v>
      </c>
      <c r="X2637" s="9">
        <f>+H2637+P2637</f>
        <v>2015804.39</v>
      </c>
      <c r="Y2637" s="9">
        <f>Y1479</f>
        <v>0</v>
      </c>
      <c r="Z2637" s="9">
        <f>+E2637-X2637</f>
        <v>0</v>
      </c>
      <c r="AA2637" s="8">
        <f>+M2637+U2637</f>
        <v>2015804.39</v>
      </c>
      <c r="AB2637" s="18">
        <f>+E2637-AA2637</f>
        <v>0</v>
      </c>
    </row>
    <row r="2638" spans="1:28" x14ac:dyDescent="0.35">
      <c r="A2638" s="36"/>
      <c r="B2638" s="8"/>
      <c r="C2638" s="7" t="s">
        <v>898</v>
      </c>
      <c r="D2638" s="8"/>
      <c r="E2638" s="11">
        <f>176927944.96+509562.58+895914.29+1605219.01+450000+868466.14+836000+312691.88+6334787.62+1460611.02+1303007.48+64851.46+8966.75+46266.76+6198.54+36119.34+48816.04+42415.76+2487798.42+1114998.42+789000+281630+133592.63+6673590.68+26058.58+8057807.52+419000</f>
        <v>211741315.87999997</v>
      </c>
      <c r="F2638" s="11">
        <f>149904166.58+14943265.93+23029565.67-259843.67+4673426.84+6673590.68+8057807.52+419000</f>
        <v>207440979.55000004</v>
      </c>
      <c r="G2638" s="11">
        <v>0</v>
      </c>
      <c r="H2638" s="9">
        <f t="shared" si="556"/>
        <v>207440979.55000004</v>
      </c>
      <c r="I2638" s="11">
        <f>AH2724</f>
        <v>0</v>
      </c>
      <c r="J2638" s="11">
        <f>AI2724</f>
        <v>0</v>
      </c>
      <c r="K2638" s="11">
        <f>AJ2724</f>
        <v>0</v>
      </c>
      <c r="L2638" s="11">
        <v>0</v>
      </c>
      <c r="M2638" s="9">
        <f t="shared" si="557"/>
        <v>207440979.55000004</v>
      </c>
      <c r="N2638" s="11">
        <f>253634.65+156972.03+26058.58</f>
        <v>436665.26</v>
      </c>
      <c r="O2638" s="9">
        <v>0</v>
      </c>
      <c r="P2638" s="9">
        <f t="shared" si="559"/>
        <v>436665.26</v>
      </c>
      <c r="Q2638" s="11">
        <f>AP2724</f>
        <v>0</v>
      </c>
      <c r="R2638" s="11">
        <f>AQ2724</f>
        <v>0</v>
      </c>
      <c r="S2638" s="11">
        <f>AR2724</f>
        <v>0</v>
      </c>
      <c r="T2638" s="11">
        <v>803295.05</v>
      </c>
      <c r="U2638" s="9">
        <f t="shared" si="558"/>
        <v>1239960.31</v>
      </c>
      <c r="V2638" s="11">
        <f>AU2724</f>
        <v>0</v>
      </c>
      <c r="W2638" s="11">
        <f>AV2724</f>
        <v>0</v>
      </c>
      <c r="X2638" s="9">
        <f t="shared" si="560"/>
        <v>207877644.81000003</v>
      </c>
      <c r="Y2638" s="9">
        <f>Y1479</f>
        <v>0</v>
      </c>
      <c r="Z2638" s="9">
        <f t="shared" si="562"/>
        <v>3863671.0699999332</v>
      </c>
      <c r="AA2638" s="8">
        <f t="shared" si="563"/>
        <v>208680939.86000004</v>
      </c>
      <c r="AB2638" s="18">
        <f t="shared" si="564"/>
        <v>3060376.0199999213</v>
      </c>
    </row>
    <row r="2639" spans="1:28" x14ac:dyDescent="0.35">
      <c r="A2639" s="36"/>
      <c r="B2639" s="8"/>
      <c r="C2639" s="7" t="s">
        <v>1119</v>
      </c>
      <c r="D2639" s="8"/>
      <c r="E2639" s="11">
        <v>140000</v>
      </c>
      <c r="F2639" s="11">
        <v>140000</v>
      </c>
      <c r="G2639" s="11">
        <v>0</v>
      </c>
      <c r="H2639" s="9">
        <f t="shared" si="556"/>
        <v>140000</v>
      </c>
      <c r="I2639" s="11"/>
      <c r="J2639" s="11"/>
      <c r="K2639" s="11"/>
      <c r="L2639" s="11">
        <v>0</v>
      </c>
      <c r="M2639" s="9">
        <f t="shared" si="557"/>
        <v>140000</v>
      </c>
      <c r="N2639" s="11">
        <v>0</v>
      </c>
      <c r="O2639" s="9">
        <v>0</v>
      </c>
      <c r="P2639" s="9">
        <f t="shared" si="559"/>
        <v>0</v>
      </c>
      <c r="Q2639" s="11"/>
      <c r="R2639" s="11"/>
      <c r="S2639" s="11"/>
      <c r="T2639" s="11">
        <v>0</v>
      </c>
      <c r="U2639" s="9">
        <f t="shared" si="558"/>
        <v>0</v>
      </c>
      <c r="V2639" s="11"/>
      <c r="W2639" s="11"/>
      <c r="X2639" s="9">
        <f t="shared" si="560"/>
        <v>140000</v>
      </c>
      <c r="Y2639" s="9"/>
      <c r="Z2639" s="9">
        <f t="shared" si="562"/>
        <v>0</v>
      </c>
      <c r="AA2639" s="8">
        <f t="shared" si="563"/>
        <v>140000</v>
      </c>
      <c r="AB2639" s="18">
        <f t="shared" si="564"/>
        <v>0</v>
      </c>
    </row>
    <row r="2640" spans="1:28" x14ac:dyDescent="0.35">
      <c r="A2640" s="36"/>
      <c r="B2640" s="8"/>
      <c r="C2640" s="7" t="s">
        <v>1121</v>
      </c>
      <c r="D2640" s="8"/>
      <c r="E2640" s="11">
        <f>260451+300000+1342430.42</f>
        <v>1902881.42</v>
      </c>
      <c r="F2640" s="11">
        <f>260451+300000</f>
        <v>560451</v>
      </c>
      <c r="G2640" s="11">
        <v>0</v>
      </c>
      <c r="H2640" s="9">
        <f t="shared" si="556"/>
        <v>560451</v>
      </c>
      <c r="I2640" s="11"/>
      <c r="J2640" s="11"/>
      <c r="K2640" s="11"/>
      <c r="L2640" s="11">
        <v>0</v>
      </c>
      <c r="M2640" s="9">
        <f t="shared" si="557"/>
        <v>560451</v>
      </c>
      <c r="N2640" s="11">
        <v>0</v>
      </c>
      <c r="O2640" s="9">
        <v>0</v>
      </c>
      <c r="P2640" s="9">
        <f t="shared" si="559"/>
        <v>0</v>
      </c>
      <c r="Q2640" s="11"/>
      <c r="R2640" s="11"/>
      <c r="S2640" s="11"/>
      <c r="T2640" s="11">
        <v>0</v>
      </c>
      <c r="U2640" s="9">
        <f t="shared" si="558"/>
        <v>0</v>
      </c>
      <c r="V2640" s="11"/>
      <c r="W2640" s="11"/>
      <c r="X2640" s="9">
        <f t="shared" si="560"/>
        <v>560451</v>
      </c>
      <c r="Y2640" s="9"/>
      <c r="Z2640" s="9">
        <f t="shared" si="562"/>
        <v>1342430.42</v>
      </c>
      <c r="AA2640" s="8">
        <f t="shared" si="563"/>
        <v>560451</v>
      </c>
      <c r="AB2640" s="18">
        <f t="shared" si="564"/>
        <v>1342430.42</v>
      </c>
    </row>
    <row r="2641" spans="1:28" x14ac:dyDescent="0.35">
      <c r="A2641" s="36"/>
      <c r="B2641" s="8"/>
      <c r="C2641" s="7" t="s">
        <v>1122</v>
      </c>
      <c r="D2641" s="8"/>
      <c r="E2641" s="11">
        <v>2146067.7000000002</v>
      </c>
      <c r="F2641" s="11">
        <v>2146067.7000000002</v>
      </c>
      <c r="G2641" s="11">
        <v>1342430.42</v>
      </c>
      <c r="H2641" s="9">
        <f t="shared" si="556"/>
        <v>3488498.12</v>
      </c>
      <c r="I2641" s="11"/>
      <c r="J2641" s="11"/>
      <c r="K2641" s="11"/>
      <c r="L2641" s="11">
        <v>0</v>
      </c>
      <c r="M2641" s="9">
        <f t="shared" si="557"/>
        <v>3488498.12</v>
      </c>
      <c r="N2641" s="11">
        <v>0</v>
      </c>
      <c r="O2641" s="9">
        <v>0</v>
      </c>
      <c r="P2641" s="9">
        <f t="shared" si="559"/>
        <v>0</v>
      </c>
      <c r="Q2641" s="11"/>
      <c r="R2641" s="11"/>
      <c r="S2641" s="11"/>
      <c r="T2641" s="11">
        <v>0</v>
      </c>
      <c r="U2641" s="9">
        <f t="shared" si="558"/>
        <v>0</v>
      </c>
      <c r="V2641" s="11"/>
      <c r="W2641" s="11"/>
      <c r="X2641" s="9">
        <f t="shared" si="560"/>
        <v>3488498.12</v>
      </c>
      <c r="Y2641" s="9"/>
      <c r="Z2641" s="9">
        <f t="shared" si="562"/>
        <v>-1342430.42</v>
      </c>
      <c r="AA2641" s="8">
        <f t="shared" si="563"/>
        <v>3488498.12</v>
      </c>
      <c r="AB2641" s="18">
        <f t="shared" si="564"/>
        <v>-1342430.42</v>
      </c>
    </row>
    <row r="2642" spans="1:28" x14ac:dyDescent="0.35">
      <c r="A2642" s="36"/>
      <c r="B2642" s="8"/>
      <c r="C2642" s="7" t="s">
        <v>1062</v>
      </c>
      <c r="D2642" s="8"/>
      <c r="E2642" s="11">
        <f>4198154.92+355630.65+300000+1681636.39+300000+300000+4189361.45</f>
        <v>11324783.41</v>
      </c>
      <c r="F2642" s="11">
        <f>4190248.75+355630.65+300000+1681636.39+600000</f>
        <v>7127515.79</v>
      </c>
      <c r="G2642" s="11">
        <v>4189361.45</v>
      </c>
      <c r="H2642" s="9">
        <f t="shared" si="556"/>
        <v>11316877.24</v>
      </c>
      <c r="I2642" s="11"/>
      <c r="J2642" s="11"/>
      <c r="K2642" s="11"/>
      <c r="L2642" s="11">
        <v>0</v>
      </c>
      <c r="M2642" s="9">
        <f t="shared" ref="M2642:M2648" si="568">+H2642+L2642</f>
        <v>11316877.24</v>
      </c>
      <c r="N2642" s="11">
        <v>7906.17</v>
      </c>
      <c r="O2642" s="9">
        <v>0</v>
      </c>
      <c r="P2642" s="9">
        <f t="shared" si="559"/>
        <v>7906.17</v>
      </c>
      <c r="Q2642" s="11"/>
      <c r="R2642" s="11"/>
      <c r="S2642" s="11"/>
      <c r="T2642" s="11">
        <v>0</v>
      </c>
      <c r="U2642" s="9">
        <f t="shared" si="558"/>
        <v>7906.17</v>
      </c>
      <c r="V2642" s="11">
        <f>AU2725</f>
        <v>0</v>
      </c>
      <c r="W2642" s="11">
        <f>AV2725</f>
        <v>0</v>
      </c>
      <c r="X2642" s="9">
        <f t="shared" si="560"/>
        <v>11324783.41</v>
      </c>
      <c r="Y2642" s="9">
        <f>Y1480</f>
        <v>0</v>
      </c>
      <c r="Z2642" s="9">
        <f t="shared" si="562"/>
        <v>0</v>
      </c>
      <c r="AA2642" s="8">
        <f t="shared" si="563"/>
        <v>11324783.41</v>
      </c>
      <c r="AB2642" s="18">
        <f t="shared" si="564"/>
        <v>0</v>
      </c>
    </row>
    <row r="2643" spans="1:28" x14ac:dyDescent="0.35">
      <c r="A2643" s="36"/>
      <c r="B2643" s="8"/>
      <c r="C2643" s="7" t="s">
        <v>1149</v>
      </c>
      <c r="D2643" s="8"/>
      <c r="E2643" s="11">
        <v>1722398.67</v>
      </c>
      <c r="F2643" s="11"/>
      <c r="G2643" s="11">
        <v>1722398.67</v>
      </c>
      <c r="H2643" s="9">
        <f>+F2643+G2643</f>
        <v>1722398.67</v>
      </c>
      <c r="I2643" s="11"/>
      <c r="J2643" s="11"/>
      <c r="K2643" s="11"/>
      <c r="L2643" s="11">
        <v>0</v>
      </c>
      <c r="M2643" s="9">
        <f t="shared" si="568"/>
        <v>1722398.67</v>
      </c>
      <c r="N2643" s="11">
        <v>0</v>
      </c>
      <c r="O2643" s="9">
        <v>0</v>
      </c>
      <c r="P2643" s="9">
        <f t="shared" si="559"/>
        <v>0</v>
      </c>
      <c r="Q2643" s="11"/>
      <c r="R2643" s="11"/>
      <c r="S2643" s="11"/>
      <c r="T2643" s="11">
        <f>+O2643+P2643</f>
        <v>0</v>
      </c>
      <c r="U2643" s="9">
        <f t="shared" si="558"/>
        <v>0</v>
      </c>
      <c r="V2643" s="11">
        <f>AU2726</f>
        <v>0</v>
      </c>
      <c r="W2643" s="11">
        <f>AV2726</f>
        <v>0</v>
      </c>
      <c r="X2643" s="9">
        <f t="shared" si="560"/>
        <v>1722398.67</v>
      </c>
      <c r="Y2643" s="9">
        <f>Y1481</f>
        <v>0</v>
      </c>
      <c r="Z2643" s="9">
        <f t="shared" si="562"/>
        <v>0</v>
      </c>
      <c r="AA2643" s="8">
        <f t="shared" si="563"/>
        <v>1722398.67</v>
      </c>
      <c r="AB2643" s="18">
        <f t="shared" si="564"/>
        <v>0</v>
      </c>
    </row>
    <row r="2644" spans="1:28" x14ac:dyDescent="0.35">
      <c r="A2644" s="36"/>
      <c r="B2644" s="8"/>
      <c r="C2644" s="7" t="s">
        <v>1098</v>
      </c>
      <c r="D2644" s="8"/>
      <c r="E2644" s="11">
        <v>1430654.46</v>
      </c>
      <c r="F2644" s="11">
        <v>1430654.46</v>
      </c>
      <c r="G2644" s="11">
        <v>0</v>
      </c>
      <c r="H2644" s="9">
        <f t="shared" si="556"/>
        <v>1430654.46</v>
      </c>
      <c r="I2644" s="11"/>
      <c r="J2644" s="11"/>
      <c r="K2644" s="11"/>
      <c r="L2644" s="11">
        <v>0</v>
      </c>
      <c r="M2644" s="9">
        <f t="shared" si="568"/>
        <v>1430654.46</v>
      </c>
      <c r="N2644" s="11">
        <v>0</v>
      </c>
      <c r="O2644" s="9">
        <v>0</v>
      </c>
      <c r="P2644" s="9">
        <f t="shared" si="559"/>
        <v>0</v>
      </c>
      <c r="Q2644" s="11"/>
      <c r="R2644" s="11"/>
      <c r="S2644" s="11"/>
      <c r="T2644" s="11">
        <v>0</v>
      </c>
      <c r="U2644" s="9">
        <f t="shared" si="558"/>
        <v>0</v>
      </c>
      <c r="V2644" s="11">
        <f>AU2726</f>
        <v>0</v>
      </c>
      <c r="W2644" s="11">
        <f>AV2726</f>
        <v>0</v>
      </c>
      <c r="X2644" s="9">
        <f t="shared" si="560"/>
        <v>1430654.46</v>
      </c>
      <c r="Y2644" s="9">
        <f>Y1481</f>
        <v>0</v>
      </c>
      <c r="Z2644" s="9">
        <f t="shared" si="562"/>
        <v>0</v>
      </c>
      <c r="AA2644" s="8">
        <f t="shared" si="563"/>
        <v>1430654.46</v>
      </c>
      <c r="AB2644" s="18">
        <f t="shared" si="564"/>
        <v>0</v>
      </c>
    </row>
    <row r="2645" spans="1:28" x14ac:dyDescent="0.35">
      <c r="A2645" s="36"/>
      <c r="B2645" s="8"/>
      <c r="C2645" s="7" t="s">
        <v>933</v>
      </c>
      <c r="D2645" s="8"/>
      <c r="E2645" s="11">
        <f>549832.4+6221304.4+2161362+702651+1218491.24+1436724.2+2129834.22+838754.02+992874.29+1081356.89+2939261.51+17437537+1772000+2158124.3+622862.75+600000+3291000+720000+531404.58+51285733.14+11206000+32822511.27+25431195.02+34015797.21+16815.13+17754846.7+7791326.35+19112679.37+744000+432991.83+3119253.08</f>
        <v>251138523.90000004</v>
      </c>
      <c r="F2645" s="11">
        <f>549832.4+6221304.4+2161362+702651+1218491.24+1436724.2+2129834.22+838754.02+992874.29+1081356.89+2939261.51+17437537+9695391.63+51285733.14+11206000+32822511.27+25431195.02+34015797.21+17754846.7+7791326.35+19112679.37+1176991.83</f>
        <v>248002455.69000003</v>
      </c>
      <c r="G2645" s="11">
        <v>3119253.08</v>
      </c>
      <c r="H2645" s="9">
        <f t="shared" si="556"/>
        <v>251121708.77000004</v>
      </c>
      <c r="I2645" s="11"/>
      <c r="J2645" s="11"/>
      <c r="K2645" s="11"/>
      <c r="L2645" s="11">
        <v>0</v>
      </c>
      <c r="M2645" s="9">
        <f t="shared" si="568"/>
        <v>251121708.77000004</v>
      </c>
      <c r="N2645" s="11">
        <v>16815.13</v>
      </c>
      <c r="O2645" s="9">
        <v>0</v>
      </c>
      <c r="P2645" s="9">
        <f t="shared" si="559"/>
        <v>16815.13</v>
      </c>
      <c r="Q2645" s="11"/>
      <c r="R2645" s="11"/>
      <c r="S2645" s="11"/>
      <c r="T2645" s="11">
        <v>0</v>
      </c>
      <c r="U2645" s="9">
        <f t="shared" si="558"/>
        <v>16815.13</v>
      </c>
      <c r="V2645" s="9">
        <f>V2453+V2497+V1578</f>
        <v>2565965.38</v>
      </c>
      <c r="W2645" s="9">
        <f>W2453+W2497+W1578</f>
        <v>4099.5400000000373</v>
      </c>
      <c r="X2645" s="9">
        <f t="shared" si="560"/>
        <v>251138523.90000004</v>
      </c>
      <c r="Y2645" s="9">
        <f>Y1482</f>
        <v>0</v>
      </c>
      <c r="Z2645" s="9">
        <f t="shared" si="562"/>
        <v>0</v>
      </c>
      <c r="AA2645" s="8">
        <f t="shared" si="563"/>
        <v>251138523.90000004</v>
      </c>
      <c r="AB2645" s="18">
        <f t="shared" si="564"/>
        <v>0</v>
      </c>
    </row>
    <row r="2646" spans="1:28" x14ac:dyDescent="0.35">
      <c r="A2646" s="36"/>
      <c r="B2646" s="8"/>
      <c r="C2646" s="7" t="s">
        <v>1116</v>
      </c>
      <c r="D2646" s="8"/>
      <c r="E2646" s="11">
        <v>605669.76</v>
      </c>
      <c r="F2646" s="11"/>
      <c r="G2646" s="11">
        <v>605669.76</v>
      </c>
      <c r="H2646" s="9">
        <f>+F2646+G2646</f>
        <v>605669.76</v>
      </c>
      <c r="I2646" s="11"/>
      <c r="J2646" s="11"/>
      <c r="K2646" s="11"/>
      <c r="L2646" s="11">
        <v>0</v>
      </c>
      <c r="M2646" s="9">
        <f t="shared" si="568"/>
        <v>605669.76</v>
      </c>
      <c r="N2646" s="11">
        <v>0</v>
      </c>
      <c r="O2646" s="9">
        <v>0</v>
      </c>
      <c r="P2646" s="9">
        <f t="shared" si="559"/>
        <v>0</v>
      </c>
      <c r="Q2646" s="11"/>
      <c r="R2646" s="11"/>
      <c r="S2646" s="11"/>
      <c r="T2646" s="11">
        <v>0</v>
      </c>
      <c r="U2646" s="9">
        <f t="shared" si="558"/>
        <v>0</v>
      </c>
      <c r="V2646" s="9">
        <f>V2454+V2498+V1579</f>
        <v>10429360.261499999</v>
      </c>
      <c r="W2646" s="9">
        <f>W2454+W2498+W1579</f>
        <v>0</v>
      </c>
      <c r="X2646" s="9">
        <f t="shared" si="560"/>
        <v>605669.76</v>
      </c>
      <c r="Y2646" s="9">
        <f>Y1483</f>
        <v>0</v>
      </c>
      <c r="Z2646" s="9">
        <f t="shared" si="562"/>
        <v>0</v>
      </c>
      <c r="AA2646" s="8">
        <f t="shared" si="563"/>
        <v>605669.76</v>
      </c>
      <c r="AB2646" s="18">
        <f t="shared" si="564"/>
        <v>0</v>
      </c>
    </row>
    <row r="2647" spans="1:28" x14ac:dyDescent="0.35">
      <c r="A2647" s="36"/>
      <c r="B2647" s="8"/>
      <c r="C2647" s="7" t="s">
        <v>875</v>
      </c>
      <c r="D2647" s="8"/>
      <c r="E2647" s="12">
        <v>4675000</v>
      </c>
      <c r="F2647" s="9">
        <v>4675000</v>
      </c>
      <c r="G2647" s="9">
        <v>0</v>
      </c>
      <c r="H2647" s="9">
        <f>+F2647+G2647</f>
        <v>4675000</v>
      </c>
      <c r="I2647" s="9" t="e">
        <f>I1307+I1434+I1461+I1881</f>
        <v>#VALUE!</v>
      </c>
      <c r="J2647" s="9" t="e">
        <f>J1307+J1434+J1461+J1881</f>
        <v>#VALUE!</v>
      </c>
      <c r="K2647" s="9" t="e">
        <f>K1307+K1434+K1461+K1881</f>
        <v>#VALUE!</v>
      </c>
      <c r="L2647" s="9">
        <v>0</v>
      </c>
      <c r="M2647" s="9">
        <f t="shared" si="568"/>
        <v>4675000</v>
      </c>
      <c r="N2647" s="9">
        <v>0</v>
      </c>
      <c r="O2647" s="9">
        <v>0</v>
      </c>
      <c r="P2647" s="9">
        <f t="shared" si="559"/>
        <v>0</v>
      </c>
      <c r="Q2647" s="9" t="e">
        <f>Q1307+Q1434+Q1461+Q1881</f>
        <v>#VALUE!</v>
      </c>
      <c r="R2647" s="9" t="e">
        <f>R1307+R1434+R1461+R1881</f>
        <v>#VALUE!</v>
      </c>
      <c r="S2647" s="17"/>
      <c r="T2647" s="18">
        <v>0</v>
      </c>
      <c r="U2647" s="9">
        <f t="shared" si="558"/>
        <v>0</v>
      </c>
      <c r="V2647" s="9">
        <f>V2454+V2498+V1579</f>
        <v>10429360.261499999</v>
      </c>
      <c r="W2647" s="9">
        <f>W2454+W2498+W1579</f>
        <v>0</v>
      </c>
      <c r="X2647" s="9">
        <f t="shared" si="560"/>
        <v>4675000</v>
      </c>
      <c r="Y2647" s="9">
        <f t="shared" ref="Y2647:Y2663" si="569">Y1483</f>
        <v>0</v>
      </c>
      <c r="Z2647" s="9">
        <f t="shared" si="562"/>
        <v>0</v>
      </c>
      <c r="AA2647" s="8">
        <f t="shared" si="563"/>
        <v>4675000</v>
      </c>
      <c r="AB2647" s="18">
        <f t="shared" si="564"/>
        <v>0</v>
      </c>
    </row>
    <row r="2648" spans="1:28" x14ac:dyDescent="0.35">
      <c r="A2648" s="36"/>
      <c r="B2648" s="8"/>
      <c r="C2648" s="7" t="s">
        <v>877</v>
      </c>
      <c r="D2648" s="8"/>
      <c r="E2648" s="12">
        <v>8781042.5099999998</v>
      </c>
      <c r="F2648" s="9">
        <v>8781042.5099999998</v>
      </c>
      <c r="G2648" s="9">
        <v>0</v>
      </c>
      <c r="H2648" s="9">
        <f>+F2648+G2648</f>
        <v>8781042.5099999998</v>
      </c>
      <c r="I2648" s="9" t="e">
        <f>I1216+I1188+I1292++I1416+I1492+I1505+I1587+I1675+I1979+I2095+I2184+I2233+I2249+I2380+I2402+I2282+I2310</f>
        <v>#VALUE!</v>
      </c>
      <c r="J2648" s="9" t="e">
        <f>J1216+J1188+J1292++J1416+J1492+J1505+J1587+J1675+J1979+J2095+J2184+J2233+J2249+J2380+J2402+J2282+J2310</f>
        <v>#VALUE!</v>
      </c>
      <c r="K2648" s="9" t="e">
        <f>K1216+K1188+K1292++K1416+K1492+K1505+K1587+K1675+K1979+K2095+K2184+K2233+K2249+K2380+K2402+K2282+K2310</f>
        <v>#VALUE!</v>
      </c>
      <c r="L2648" s="9">
        <v>0</v>
      </c>
      <c r="M2648" s="9">
        <f t="shared" si="568"/>
        <v>8781042.5099999998</v>
      </c>
      <c r="N2648" s="9">
        <v>0</v>
      </c>
      <c r="O2648" s="9">
        <v>0</v>
      </c>
      <c r="P2648" s="9">
        <f t="shared" si="559"/>
        <v>0</v>
      </c>
      <c r="Q2648" s="9" t="e">
        <f>Q1216+Q1188+Q1292++Q1416+Q1492+Q1505+Q1587+Q1675+Q1979+Q2095+Q2184+Q2233+Q2249+Q2380+Q2402+Q2282+Q2310</f>
        <v>#VALUE!</v>
      </c>
      <c r="R2648" s="9" t="e">
        <f>R1216+R1188+R1292++R1416+R1492+R1505+R1587+R1675+R1979+R2095+R2184+R2233+R2249+R2380+R2402+R2282+R2310</f>
        <v>#VALUE!</v>
      </c>
      <c r="S2648" s="17"/>
      <c r="T2648" s="18">
        <v>0</v>
      </c>
      <c r="U2648" s="9">
        <f t="shared" si="558"/>
        <v>0</v>
      </c>
      <c r="V2648" s="9">
        <f>V2457+V2501+V1582</f>
        <v>11196945.74405</v>
      </c>
      <c r="W2648" s="9">
        <f>W2457+W2501+W1582</f>
        <v>0</v>
      </c>
      <c r="X2648" s="9">
        <f t="shared" si="560"/>
        <v>8781042.5099999998</v>
      </c>
      <c r="Y2648" s="9">
        <f t="shared" si="569"/>
        <v>0</v>
      </c>
      <c r="Z2648" s="9">
        <f t="shared" si="562"/>
        <v>0</v>
      </c>
      <c r="AA2648" s="8">
        <f t="shared" si="563"/>
        <v>8781042.5099999998</v>
      </c>
      <c r="AB2648" s="18">
        <f t="shared" si="564"/>
        <v>0</v>
      </c>
    </row>
    <row r="2649" spans="1:28" x14ac:dyDescent="0.35">
      <c r="A2649" s="36"/>
      <c r="B2649" s="8"/>
      <c r="C2649" s="7" t="s">
        <v>903</v>
      </c>
      <c r="D2649" s="8"/>
      <c r="E2649" s="9">
        <v>11304566.26</v>
      </c>
      <c r="F2649" s="9">
        <v>10156337.76</v>
      </c>
      <c r="G2649" s="9">
        <v>0</v>
      </c>
      <c r="H2649" s="9">
        <f t="shared" si="556"/>
        <v>10156337.76</v>
      </c>
      <c r="I2649" s="9" t="e">
        <f>I29+I54+I931+I1912+I526+I1892+I425+I2566+I2592+I2426</f>
        <v>#VALUE!</v>
      </c>
      <c r="J2649" s="9" t="e">
        <f>J29+J54+J931+J1912+J526+J1892+J425+J2566+J2592+J2426</f>
        <v>#VALUE!</v>
      </c>
      <c r="K2649" s="9" t="e">
        <f>K29+K54+K931+K1912+K526+K1892+K425+K2566+K2592+K2426</f>
        <v>#VALUE!</v>
      </c>
      <c r="L2649" s="9">
        <v>0</v>
      </c>
      <c r="M2649" s="9">
        <f t="shared" si="557"/>
        <v>10156337.76</v>
      </c>
      <c r="N2649" s="9">
        <v>1148228.5</v>
      </c>
      <c r="O2649" s="9">
        <v>0</v>
      </c>
      <c r="P2649" s="9">
        <f t="shared" si="559"/>
        <v>1148228.5</v>
      </c>
      <c r="Q2649" s="9" t="e">
        <f>Q29+Q54+Q931+Q1912+Q526+Q1892+Q425+Q2566+Q2592+Q2426</f>
        <v>#VALUE!</v>
      </c>
      <c r="R2649" s="9" t="e">
        <f>R29+R54+R931+R1912+R526+R1892+R425+R2566+R2592+R2426</f>
        <v>#VALUE!</v>
      </c>
      <c r="S2649" s="9" t="e">
        <f>S29+S54+S931+S1912+S526+S1892+S425+S2566+S2592+S2426</f>
        <v>#VALUE!</v>
      </c>
      <c r="T2649" s="9">
        <v>0</v>
      </c>
      <c r="U2649" s="9">
        <f t="shared" si="558"/>
        <v>1148228.5</v>
      </c>
      <c r="V2649" s="9" t="e">
        <f>V29+V54+V931+V1912+V526+V1892+V425+V2566+V2592+V2426</f>
        <v>#VALUE!</v>
      </c>
      <c r="W2649" s="9" t="e">
        <f>W29+W54+W931+W1912+W526+W1892+W425+W2566+W2592+W2426</f>
        <v>#VALUE!</v>
      </c>
      <c r="X2649" s="9">
        <f t="shared" si="560"/>
        <v>11304566.26</v>
      </c>
      <c r="Y2649" s="9">
        <f t="shared" si="569"/>
        <v>0</v>
      </c>
      <c r="Z2649" s="9">
        <f t="shared" si="562"/>
        <v>0</v>
      </c>
      <c r="AA2649" s="8">
        <f t="shared" si="563"/>
        <v>11304566.26</v>
      </c>
      <c r="AB2649" s="18">
        <f t="shared" si="564"/>
        <v>0</v>
      </c>
    </row>
    <row r="2650" spans="1:28" x14ac:dyDescent="0.35">
      <c r="A2650" s="36"/>
      <c r="B2650" s="8"/>
      <c r="C2650" s="7" t="s">
        <v>876</v>
      </c>
      <c r="D2650" s="8"/>
      <c r="E2650" s="12">
        <v>19055551.890000001</v>
      </c>
      <c r="F2650" s="9">
        <v>18234372.379999999</v>
      </c>
      <c r="G2650" s="9">
        <v>0</v>
      </c>
      <c r="H2650" s="9">
        <f>+F2650+G2650</f>
        <v>18234372.379999999</v>
      </c>
      <c r="I2650" s="9" t="e">
        <f>I1218+I1190+I1394+I1494+I1725+I1893+I1927+I2055+I2081+I2137+I2186+I2339</f>
        <v>#VALUE!</v>
      </c>
      <c r="J2650" s="9" t="e">
        <f>J1218+J1190+J1394+J1494+J1725+J1893+J1927+J2055+J2081+J2137+J2186+J2339</f>
        <v>#VALUE!</v>
      </c>
      <c r="K2650" s="9" t="e">
        <f>K1218+K1190+K1394+K1494+K1725+K1893+K1927+K2055+K2081+K2137+K2186+K2339</f>
        <v>#VALUE!</v>
      </c>
      <c r="L2650" s="9">
        <v>0</v>
      </c>
      <c r="M2650" s="9">
        <f>+H2650+L2650</f>
        <v>18234372.379999999</v>
      </c>
      <c r="N2650" s="9">
        <v>821179.51</v>
      </c>
      <c r="O2650" s="9">
        <v>0</v>
      </c>
      <c r="P2650" s="9">
        <f t="shared" si="559"/>
        <v>821179.51</v>
      </c>
      <c r="Q2650" s="9" t="e">
        <f>Q1218+Q1190+Q1394+Q1494+Q1725+Q1893+Q1927+Q2055+Q2081+Q2137+Q2186+Q2339</f>
        <v>#VALUE!</v>
      </c>
      <c r="R2650" s="9" t="e">
        <f>R1218+R1190+R1394+R1494+R1725+R1893+R1927+R2055+R2081+R2137+R2186+R2339</f>
        <v>#VALUE!</v>
      </c>
      <c r="S2650" s="17"/>
      <c r="T2650" s="18">
        <v>0</v>
      </c>
      <c r="U2650" s="9">
        <f>+P2650+T2650</f>
        <v>821179.51</v>
      </c>
      <c r="V2650" s="9">
        <f>V2458+V2502+V1583</f>
        <v>17875331.034000002</v>
      </c>
      <c r="W2650" s="9">
        <f>W2458+W2502+W1583</f>
        <v>0</v>
      </c>
      <c r="X2650" s="9">
        <f t="shared" si="560"/>
        <v>19055551.890000001</v>
      </c>
      <c r="Y2650" s="9">
        <f t="shared" si="569"/>
        <v>0</v>
      </c>
      <c r="Z2650" s="9">
        <f t="shared" si="562"/>
        <v>0</v>
      </c>
      <c r="AA2650" s="8">
        <f t="shared" si="563"/>
        <v>19055551.890000001</v>
      </c>
      <c r="AB2650" s="18">
        <f t="shared" si="564"/>
        <v>0</v>
      </c>
    </row>
    <row r="2651" spans="1:28" x14ac:dyDescent="0.35">
      <c r="A2651" s="36"/>
      <c r="B2651" s="8"/>
      <c r="C2651" s="7" t="s">
        <v>874</v>
      </c>
      <c r="D2651" s="8"/>
      <c r="E2651" s="12">
        <v>85055278.359999999</v>
      </c>
      <c r="F2651" s="9">
        <v>81000671.180000007</v>
      </c>
      <c r="G2651" s="9">
        <v>0</v>
      </c>
      <c r="H2651" s="9">
        <f>+F2651+G2651</f>
        <v>81000671.180000007</v>
      </c>
      <c r="I2651" s="9"/>
      <c r="J2651" s="9"/>
      <c r="K2651" s="9"/>
      <c r="L2651" s="9">
        <v>0</v>
      </c>
      <c r="M2651" s="9">
        <f>+H2651+L2651</f>
        <v>81000671.180000007</v>
      </c>
      <c r="N2651" s="9">
        <v>4054607.18</v>
      </c>
      <c r="O2651" s="9">
        <v>0</v>
      </c>
      <c r="P2651" s="9">
        <f>+N2651+O2651</f>
        <v>4054607.18</v>
      </c>
      <c r="Q2651" s="9"/>
      <c r="R2651" s="9"/>
      <c r="S2651" s="17"/>
      <c r="T2651" s="18">
        <v>0</v>
      </c>
      <c r="U2651" s="9">
        <f>+P2651+T2651</f>
        <v>4054607.18</v>
      </c>
      <c r="V2651" s="9"/>
      <c r="W2651" s="9"/>
      <c r="X2651" s="9">
        <f t="shared" si="560"/>
        <v>85055278.360000014</v>
      </c>
      <c r="Y2651" s="9">
        <f t="shared" si="569"/>
        <v>0</v>
      </c>
      <c r="Z2651" s="9">
        <f t="shared" si="562"/>
        <v>0</v>
      </c>
      <c r="AA2651" s="8">
        <f t="shared" si="563"/>
        <v>85055278.360000014</v>
      </c>
      <c r="AB2651" s="18">
        <f t="shared" si="564"/>
        <v>0</v>
      </c>
    </row>
    <row r="2652" spans="1:28" x14ac:dyDescent="0.35">
      <c r="A2652" s="36"/>
      <c r="B2652" s="8"/>
      <c r="C2652" s="7" t="s">
        <v>889</v>
      </c>
      <c r="D2652" s="8"/>
      <c r="E2652" s="9">
        <v>272186129.50999999</v>
      </c>
      <c r="F2652" s="9">
        <v>243636462.00999999</v>
      </c>
      <c r="G2652" s="9">
        <v>0</v>
      </c>
      <c r="H2652" s="9">
        <f t="shared" si="556"/>
        <v>243636462.00999999</v>
      </c>
      <c r="I2652" s="9" t="e">
        <f>I157+I482+I509+I519+I535+I546+I599+I1001+I1018+I1036+I1049+I1091+I1107+I1501+I1616+I1634+I1648+I1656+I2345+I1896+I1913+I1974+I2396+I2543+I2560+I2464+I2498+I71+I92+I116+I129+I436+I2578+#REF!+I2408+I2430</f>
        <v>#VALUE!</v>
      </c>
      <c r="J2652" s="9" t="e">
        <f>J157+J482+J509+J519+J535+J546+J599+J1001+J1018+J1036+J1049+J1091+J1107+J1501+J1616+J1634+J1648+J1656+J2345+J1896+J1913+J1974+J2396+J2543+J2560+J2464+J2498+J71+J92+J116+J129+J436+J2578+#REF!+J2408+J2430</f>
        <v>#VALUE!</v>
      </c>
      <c r="K2652" s="9" t="e">
        <f>K157+K482+K509+K519+K535+K546+K599+K1001+K1018+K1036+K1049+K1091+K1107+K1501+K1616+K1634+K1648+K1656+K2345+K1896+K1913+K1974+K2396+K2543+K2560+K2464+K2498+K71+K92+K116+K129+K436+K2578+#REF!+K2408+K2430</f>
        <v>#VALUE!</v>
      </c>
      <c r="L2652" s="9">
        <v>0</v>
      </c>
      <c r="M2652" s="9">
        <f t="shared" si="557"/>
        <v>243636462.00999999</v>
      </c>
      <c r="N2652" s="9">
        <v>28549667.5</v>
      </c>
      <c r="O2652" s="9">
        <v>0</v>
      </c>
      <c r="P2652" s="9">
        <f t="shared" si="559"/>
        <v>28549667.5</v>
      </c>
      <c r="Q2652" s="9" t="e">
        <f>Q157+Q482+Q509+Q519+Q535+Q546+Q599+Q1001+Q1018+Q1036+Q1049+Q1091+Q1107+Q1501+Q1616+Q1634+Q1648+Q1656+Q2345+Q1896+Q1913+Q1974+Q2396+Q2543+Q2560+Q2464+Q2498+Q71+Q92+Q116+Q129+Q436+Q2578+#REF!+Q2408+Q2430</f>
        <v>#VALUE!</v>
      </c>
      <c r="R2652" s="9" t="e">
        <f>R157+R482+R509+R519+R535+R546+R599+R1001+R1018+R1036+R1049+R1091+R1107+R1501+R1616+R1634+R1648+R1656+R2345+R1896+R1913+R1974+R2396+R2543+R2560+R2464+R2498+R71+R92+R116+R129+R436+R2578+#REF!+R2408+R2430</f>
        <v>#VALUE!</v>
      </c>
      <c r="S2652" s="9" t="e">
        <f>S157+S482+S509+S519+S535+S546+S599+S1001+S1018+S1036+S1049+S1091+S1107+S1501+S1616+S1634+S1648+S1656+S2345+S1896+S1913+S1974+S2396+S2543+S2560+S2464+S2498+S71+S92+S116+S129+S436+S2578+#REF!+S2408+S2430</f>
        <v>#VALUE!</v>
      </c>
      <c r="T2652" s="9">
        <v>0</v>
      </c>
      <c r="U2652" s="9">
        <f t="shared" si="558"/>
        <v>28549667.5</v>
      </c>
      <c r="V2652" s="9" t="e">
        <f>V157+V482+V509+V519+V535+V546+V599+V1001+V1018+V1036+V1049+V1091+V1107+V1501+V1616+V1634+V1648+V1656+V2345+V1896+V1913+V1974+V2396+V2543+V2560+V2464+V2498+V71+V92+V116+V129+V436+V2578+#REF!+V2408+V2430</f>
        <v>#VALUE!</v>
      </c>
      <c r="W2652" s="9" t="e">
        <f>W157+W482+W509+W519+W535+W546+W599+W1001+W1018+W1036+W1049+W1091+W1107+W1501+W1616+W1634+W1648+W1656+W2345+W1896+W1913+W1974+W2396+W2543+W2560+W2464+W2498+W71+W92+W116+W129+W436+W2578+#REF!+W2408+W2430</f>
        <v>#VALUE!</v>
      </c>
      <c r="X2652" s="9">
        <f t="shared" si="560"/>
        <v>272186129.50999999</v>
      </c>
      <c r="Y2652" s="9">
        <f t="shared" si="569"/>
        <v>0</v>
      </c>
      <c r="Z2652" s="9">
        <f t="shared" si="562"/>
        <v>0</v>
      </c>
      <c r="AA2652" s="8">
        <f t="shared" si="563"/>
        <v>272186129.50999999</v>
      </c>
      <c r="AB2652" s="18">
        <f t="shared" si="564"/>
        <v>0</v>
      </c>
    </row>
    <row r="2653" spans="1:28" x14ac:dyDescent="0.35">
      <c r="A2653" s="36"/>
      <c r="B2653" s="8"/>
      <c r="C2653" s="7" t="s">
        <v>870</v>
      </c>
      <c r="D2653" s="8"/>
      <c r="E2653" s="8">
        <v>15909140.26</v>
      </c>
      <c r="F2653" s="9">
        <v>15842393.619999999</v>
      </c>
      <c r="G2653" s="9">
        <v>0</v>
      </c>
      <c r="H2653" s="9">
        <f>+F2653+G2653</f>
        <v>15842393.619999999</v>
      </c>
      <c r="I2653" s="9" t="e">
        <f>I1367+I1417+I1341+I1466+I1804+I1829+I1888+I2008+I2407+I2361+I2385+I2470</f>
        <v>#REF!</v>
      </c>
      <c r="J2653" s="9" t="e">
        <f>J1367+J1417+J1341+J1466+J1804+J1829+J1888+J2008+J2407+J2361+J2385+J2470</f>
        <v>#REF!</v>
      </c>
      <c r="K2653" s="9" t="e">
        <f>K1367+K1417+K1341+K1466+K1804+K1829+K1888+K2008+K2407+K2361+K2385+K2470</f>
        <v>#REF!</v>
      </c>
      <c r="L2653" s="9">
        <v>0</v>
      </c>
      <c r="M2653" s="9">
        <f>+H2653+L2653</f>
        <v>15842393.619999999</v>
      </c>
      <c r="N2653" s="9">
        <v>66746.64</v>
      </c>
      <c r="O2653" s="9">
        <v>0</v>
      </c>
      <c r="P2653" s="9">
        <f t="shared" si="559"/>
        <v>66746.64</v>
      </c>
      <c r="Q2653" s="9" t="e">
        <f>Q1367+Q1417+Q1341+Q1466+Q1804+Q1829+Q1888+Q2008+Q2407+Q2361+Q2385+Q2470</f>
        <v>#REF!</v>
      </c>
      <c r="R2653" s="9">
        <f>R1367+R1417+R1341+R1466+R1804+R1829+R1888+R2008+R2407+R2361+R2385+R2470</f>
        <v>0</v>
      </c>
      <c r="S2653" s="17"/>
      <c r="T2653" s="18">
        <v>0</v>
      </c>
      <c r="U2653" s="9">
        <f>+P2653+T2653</f>
        <v>66746.64</v>
      </c>
      <c r="V2653" s="9">
        <f>V2452+V2496+V1577</f>
        <v>468419.24108000001</v>
      </c>
      <c r="W2653" s="9">
        <f>W2452+W2496+W1577</f>
        <v>0</v>
      </c>
      <c r="X2653" s="9">
        <f t="shared" si="560"/>
        <v>15909140.26</v>
      </c>
      <c r="Y2653" s="9">
        <f t="shared" si="569"/>
        <v>0</v>
      </c>
      <c r="Z2653" s="9">
        <f t="shared" si="562"/>
        <v>0</v>
      </c>
      <c r="AA2653" s="8">
        <f t="shared" si="563"/>
        <v>15909140.26</v>
      </c>
      <c r="AB2653" s="18">
        <f t="shared" si="564"/>
        <v>0</v>
      </c>
    </row>
    <row r="2654" spans="1:28" x14ac:dyDescent="0.35">
      <c r="A2654" s="36"/>
      <c r="B2654" s="8"/>
      <c r="C2654" s="7" t="s">
        <v>911</v>
      </c>
      <c r="D2654" s="8"/>
      <c r="E2654" s="9">
        <v>37615493.420000002</v>
      </c>
      <c r="F2654" s="9">
        <v>37611393.880000003</v>
      </c>
      <c r="G2654" s="9">
        <v>0</v>
      </c>
      <c r="H2654" s="9">
        <f t="shared" si="556"/>
        <v>37611393.880000003</v>
      </c>
      <c r="I2654" s="9">
        <f>I1954+I1127+I1106+I1578+I2450+I2451+I1566+I1893+I1049+I611+I2452+I1919+I1506+I2453+I414+I2391+I1579</f>
        <v>0</v>
      </c>
      <c r="J2654" s="9">
        <f>J1954+J1127+J1106+J1578+J2450+J2451+J1566+J1893+J1049+J611+J2452+J1919+J1506+J2453+J414+J2391+J1579</f>
        <v>0</v>
      </c>
      <c r="K2654" s="9">
        <f>K1954+K1127+K1106+K1578+K2450+K2451+K1566+K1893+K1049+K611+K2452+K1919+K1506+K2453+K414+K2391+K1579</f>
        <v>0</v>
      </c>
      <c r="L2654" s="9">
        <v>0</v>
      </c>
      <c r="M2654" s="9">
        <f t="shared" si="557"/>
        <v>37611393.880000003</v>
      </c>
      <c r="N2654" s="9">
        <v>0</v>
      </c>
      <c r="O2654" s="9">
        <v>0</v>
      </c>
      <c r="P2654" s="9">
        <f t="shared" si="559"/>
        <v>0</v>
      </c>
      <c r="Q2654" s="9">
        <f>Q1954+Q1127+Q1106+Q1578+Q2450+Q2451+Q1566+Q1893+Q1049+Q611+Q2452+Q1919+Q1506+Q2453+Q414+Q2391+Q1579</f>
        <v>4099.54</v>
      </c>
      <c r="R2654" s="9">
        <f>R1954+R1127+R1106+R1578+R2450+R2451+R1566+R1893+R1049+R611+R2452+R1919+R1506+R2453+R414+R2391+R1579</f>
        <v>0</v>
      </c>
      <c r="S2654" s="9">
        <f>S1954+S1127+S1106+S1578+S2450+S2451+S1566+S1893+S1049+S611+S2452+S1919+S1506+S2453+S414+S2391+S1579</f>
        <v>0</v>
      </c>
      <c r="T2654" s="9">
        <v>4099.54</v>
      </c>
      <c r="U2654" s="9">
        <f t="shared" si="558"/>
        <v>4099.54</v>
      </c>
      <c r="V2654" s="9">
        <f>V1954+V1127+V1106+V1578+V2450+V2451+V1566+V1893+V1049+V611+V2452+V1919+V1506+V2453+V414+V2391+V1579</f>
        <v>21150609.6415</v>
      </c>
      <c r="W2654" s="9">
        <f>W1954+W1127+W1106+W1578+W2450+W2451+W1566+W1893+W1049+W611+W2452+W1919+W1506+W2453+W414+W2391+W1579</f>
        <v>4099.5400000000373</v>
      </c>
      <c r="X2654" s="9">
        <f t="shared" si="560"/>
        <v>37611393.880000003</v>
      </c>
      <c r="Y2654" s="9">
        <f t="shared" si="569"/>
        <v>0</v>
      </c>
      <c r="Z2654" s="9">
        <f t="shared" si="562"/>
        <v>4099.5399999991059</v>
      </c>
      <c r="AA2654" s="8">
        <f t="shared" si="563"/>
        <v>37615493.420000002</v>
      </c>
      <c r="AB2654" s="18">
        <f t="shared" si="564"/>
        <v>0</v>
      </c>
    </row>
    <row r="2655" spans="1:28" x14ac:dyDescent="0.35">
      <c r="A2655" s="36"/>
      <c r="B2655" s="8"/>
      <c r="C2655" s="10" t="s">
        <v>887</v>
      </c>
      <c r="D2655" s="7"/>
      <c r="E2655" s="12">
        <v>11956688.310000001</v>
      </c>
      <c r="F2655" s="9">
        <v>11956688.310000001</v>
      </c>
      <c r="G2655" s="9">
        <v>0</v>
      </c>
      <c r="H2655" s="9">
        <f t="shared" si="556"/>
        <v>11956688.310000001</v>
      </c>
      <c r="I2655" s="9" t="e">
        <f>I1398+I1729+I1839+I1865+I1866+I1929+I2287+I2452+I2549+I1990</f>
        <v>#VALUE!</v>
      </c>
      <c r="J2655" s="9" t="e">
        <f>J1398+J1729+J1839+J1865+J1866+J1929+J2287+J2452+J2549+J1990</f>
        <v>#VALUE!</v>
      </c>
      <c r="K2655" s="9" t="e">
        <f>K1398+K1729+K1839+K1865+K1866+K1929+K2287+K2452+K2549+K1990</f>
        <v>#VALUE!</v>
      </c>
      <c r="L2655" s="9">
        <v>0</v>
      </c>
      <c r="M2655" s="9">
        <f t="shared" si="557"/>
        <v>11956688.310000001</v>
      </c>
      <c r="N2655" s="9">
        <v>0</v>
      </c>
      <c r="O2655" s="9">
        <v>0</v>
      </c>
      <c r="P2655" s="9">
        <f t="shared" si="559"/>
        <v>0</v>
      </c>
      <c r="Q2655" s="9" t="e">
        <f>Q1398+Q1729+Q1839+Q1865+Q1866+Q1929+Q2287+Q2452+Q2549+Q1990</f>
        <v>#VALUE!</v>
      </c>
      <c r="R2655" s="9" t="e">
        <f>R1398+R1729+R1839+R1865+R1866+R1929+R2287+R2452+R2549+R1990</f>
        <v>#VALUE!</v>
      </c>
      <c r="S2655" s="17"/>
      <c r="T2655" s="18">
        <v>0</v>
      </c>
      <c r="U2655" s="9">
        <f t="shared" si="558"/>
        <v>0</v>
      </c>
      <c r="V2655" s="9">
        <f>V2462+V2507+V1587</f>
        <v>7459423.0439900011</v>
      </c>
      <c r="W2655" s="9">
        <f>W2462+W2507+W1587</f>
        <v>0</v>
      </c>
      <c r="X2655" s="9">
        <f t="shared" si="560"/>
        <v>11956688.310000001</v>
      </c>
      <c r="Y2655" s="9" t="str">
        <f t="shared" si="569"/>
        <v>-</v>
      </c>
      <c r="Z2655" s="9">
        <f t="shared" si="562"/>
        <v>0</v>
      </c>
      <c r="AA2655" s="8">
        <f t="shared" si="563"/>
        <v>11956688.310000001</v>
      </c>
      <c r="AB2655" s="18">
        <f t="shared" si="564"/>
        <v>0</v>
      </c>
    </row>
    <row r="2656" spans="1:28" x14ac:dyDescent="0.35">
      <c r="A2656" s="36"/>
      <c r="B2656" s="8"/>
      <c r="C2656" s="10" t="s">
        <v>888</v>
      </c>
      <c r="D2656" s="7"/>
      <c r="E2656" s="12">
        <v>11440293.109999999</v>
      </c>
      <c r="F2656" s="9">
        <v>11440293.109999999</v>
      </c>
      <c r="G2656" s="9">
        <v>0</v>
      </c>
      <c r="H2656" s="9">
        <f t="shared" si="556"/>
        <v>11440293.109999999</v>
      </c>
      <c r="I2656" s="9" t="e">
        <f>I1928+I2387+I2286+I2288</f>
        <v>#VALUE!</v>
      </c>
      <c r="J2656" s="9" t="e">
        <f>J1928+J2387+J2286+J2288</f>
        <v>#VALUE!</v>
      </c>
      <c r="K2656" s="9" t="e">
        <f>K1928+K2387+K2286+K2288</f>
        <v>#VALUE!</v>
      </c>
      <c r="L2656" s="9">
        <v>0</v>
      </c>
      <c r="M2656" s="9">
        <f t="shared" si="557"/>
        <v>11440293.109999999</v>
      </c>
      <c r="N2656" s="9">
        <v>0</v>
      </c>
      <c r="O2656" s="9">
        <v>0</v>
      </c>
      <c r="P2656" s="9">
        <f t="shared" si="559"/>
        <v>0</v>
      </c>
      <c r="Q2656" s="9" t="e">
        <f>Q1928+Q2387+Q2286+Q2288</f>
        <v>#VALUE!</v>
      </c>
      <c r="R2656" s="9" t="e">
        <f>R1928+R2387+R2286+R2288</f>
        <v>#VALUE!</v>
      </c>
      <c r="S2656" s="17"/>
      <c r="T2656" s="18">
        <v>0</v>
      </c>
      <c r="U2656" s="9">
        <f t="shared" si="558"/>
        <v>0</v>
      </c>
      <c r="V2656" s="9" t="e">
        <f>V2463+V2508+V1588</f>
        <v>#VALUE!</v>
      </c>
      <c r="W2656" s="9" t="e">
        <f>W2463+W2508+W1588</f>
        <v>#VALUE!</v>
      </c>
      <c r="X2656" s="9">
        <f t="shared" si="560"/>
        <v>11440293.109999999</v>
      </c>
      <c r="Y2656" s="9">
        <f t="shared" si="569"/>
        <v>0</v>
      </c>
      <c r="Z2656" s="9">
        <f t="shared" si="562"/>
        <v>0</v>
      </c>
      <c r="AA2656" s="8">
        <f t="shared" si="563"/>
        <v>11440293.109999999</v>
      </c>
      <c r="AB2656" s="18">
        <f t="shared" si="564"/>
        <v>0</v>
      </c>
    </row>
    <row r="2657" spans="1:28" x14ac:dyDescent="0.35">
      <c r="A2657" s="36"/>
      <c r="B2657" s="8"/>
      <c r="C2657" s="7" t="s">
        <v>912</v>
      </c>
      <c r="D2657" s="8"/>
      <c r="E2657" s="9">
        <v>2000000</v>
      </c>
      <c r="F2657" s="9">
        <v>2000000</v>
      </c>
      <c r="G2657" s="9">
        <v>0</v>
      </c>
      <c r="H2657" s="9">
        <f t="shared" si="556"/>
        <v>2000000</v>
      </c>
      <c r="I2657" s="9">
        <f>I49+I71</f>
        <v>0</v>
      </c>
      <c r="J2657" s="9">
        <f>J49+J71</f>
        <v>0</v>
      </c>
      <c r="K2657" s="9">
        <f>K49+K71</f>
        <v>0</v>
      </c>
      <c r="L2657" s="9">
        <v>0</v>
      </c>
      <c r="M2657" s="9">
        <f t="shared" si="557"/>
        <v>2000000</v>
      </c>
      <c r="N2657" s="9">
        <v>0</v>
      </c>
      <c r="O2657" s="9">
        <v>0</v>
      </c>
      <c r="P2657" s="9">
        <f t="shared" si="559"/>
        <v>0</v>
      </c>
      <c r="Q2657" s="9">
        <f>Q49+Q71</f>
        <v>0</v>
      </c>
      <c r="R2657" s="9">
        <f>R49+R71</f>
        <v>0</v>
      </c>
      <c r="S2657" s="9">
        <f>S49+S71</f>
        <v>0</v>
      </c>
      <c r="T2657" s="9">
        <v>0</v>
      </c>
      <c r="U2657" s="9">
        <f t="shared" si="558"/>
        <v>0</v>
      </c>
      <c r="V2657" s="9">
        <f>V49+V71</f>
        <v>2000</v>
      </c>
      <c r="W2657" s="9">
        <f>W49+W71</f>
        <v>0</v>
      </c>
      <c r="X2657" s="9">
        <f t="shared" si="560"/>
        <v>2000000</v>
      </c>
      <c r="Y2657" s="9" t="str">
        <f t="shared" si="569"/>
        <v>-</v>
      </c>
      <c r="Z2657" s="9">
        <f t="shared" si="562"/>
        <v>0</v>
      </c>
      <c r="AA2657" s="8">
        <f t="shared" si="563"/>
        <v>2000000</v>
      </c>
      <c r="AB2657" s="18">
        <f t="shared" si="564"/>
        <v>0</v>
      </c>
    </row>
    <row r="2658" spans="1:28" x14ac:dyDescent="0.35">
      <c r="A2658" s="36"/>
      <c r="B2658" s="8"/>
      <c r="C2658" s="7" t="s">
        <v>917</v>
      </c>
      <c r="D2658" s="8"/>
      <c r="E2658" s="9">
        <v>295805153.44999999</v>
      </c>
      <c r="F2658" s="9">
        <v>0</v>
      </c>
      <c r="G2658" s="9">
        <v>0</v>
      </c>
      <c r="H2658" s="9">
        <f t="shared" si="556"/>
        <v>0</v>
      </c>
      <c r="I2658" s="9"/>
      <c r="J2658" s="9"/>
      <c r="K2658" s="9"/>
      <c r="L2658" s="9">
        <v>0</v>
      </c>
      <c r="M2658" s="9">
        <f t="shared" si="557"/>
        <v>0</v>
      </c>
      <c r="N2658" s="9">
        <v>295805153.44999999</v>
      </c>
      <c r="O2658" s="9">
        <v>0</v>
      </c>
      <c r="P2658" s="9">
        <f t="shared" si="559"/>
        <v>295805153.44999999</v>
      </c>
      <c r="Q2658" s="9"/>
      <c r="R2658" s="9"/>
      <c r="S2658" s="9"/>
      <c r="T2658" s="9">
        <v>0</v>
      </c>
      <c r="U2658" s="9">
        <f t="shared" si="558"/>
        <v>295805153.44999999</v>
      </c>
      <c r="V2658" s="9"/>
      <c r="W2658" s="9"/>
      <c r="X2658" s="9">
        <f t="shared" si="560"/>
        <v>295805153.44999999</v>
      </c>
      <c r="Y2658" s="9">
        <f t="shared" si="569"/>
        <v>0</v>
      </c>
      <c r="Z2658" s="9">
        <f t="shared" si="562"/>
        <v>0</v>
      </c>
      <c r="AA2658" s="8">
        <f t="shared" si="563"/>
        <v>295805153.44999999</v>
      </c>
      <c r="AB2658" s="18">
        <f t="shared" si="564"/>
        <v>0</v>
      </c>
    </row>
    <row r="2659" spans="1:28" x14ac:dyDescent="0.35">
      <c r="A2659" s="36"/>
      <c r="B2659" s="8"/>
      <c r="C2659" s="7" t="s">
        <v>883</v>
      </c>
      <c r="D2659" s="8"/>
      <c r="E2659" s="9">
        <v>119694134.14</v>
      </c>
      <c r="F2659" s="9">
        <v>115750432</v>
      </c>
      <c r="G2659" s="9">
        <v>0</v>
      </c>
      <c r="H2659" s="9">
        <f t="shared" si="556"/>
        <v>115750432</v>
      </c>
      <c r="I2659" s="9"/>
      <c r="J2659" s="9"/>
      <c r="K2659" s="9"/>
      <c r="L2659" s="9">
        <v>165650</v>
      </c>
      <c r="M2659" s="9">
        <f t="shared" si="557"/>
        <v>115916082</v>
      </c>
      <c r="N2659" s="9">
        <v>2711711.14</v>
      </c>
      <c r="O2659" s="9">
        <v>0</v>
      </c>
      <c r="P2659" s="9">
        <f t="shared" si="559"/>
        <v>2711711.14</v>
      </c>
      <c r="Q2659" s="9"/>
      <c r="R2659" s="9"/>
      <c r="S2659" s="9"/>
      <c r="T2659" s="9">
        <v>0</v>
      </c>
      <c r="U2659" s="9">
        <f t="shared" si="558"/>
        <v>2711711.14</v>
      </c>
      <c r="V2659" s="9"/>
      <c r="W2659" s="9"/>
      <c r="X2659" s="9">
        <f t="shared" si="560"/>
        <v>118462143.14</v>
      </c>
      <c r="Y2659" s="9">
        <f t="shared" si="569"/>
        <v>0</v>
      </c>
      <c r="Z2659" s="9">
        <f t="shared" si="562"/>
        <v>1231991</v>
      </c>
      <c r="AA2659" s="8">
        <f t="shared" si="563"/>
        <v>118627793.14</v>
      </c>
      <c r="AB2659" s="18">
        <f t="shared" si="564"/>
        <v>1066341</v>
      </c>
    </row>
    <row r="2660" spans="1:28" x14ac:dyDescent="0.35">
      <c r="A2660" s="36"/>
      <c r="B2660" s="8"/>
      <c r="C2660" s="7" t="s">
        <v>884</v>
      </c>
      <c r="D2660" s="8"/>
      <c r="E2660" s="9">
        <v>96060378</v>
      </c>
      <c r="F2660" s="9">
        <v>93268396.769999996</v>
      </c>
      <c r="G2660" s="9">
        <v>0</v>
      </c>
      <c r="H2660" s="9">
        <f t="shared" si="556"/>
        <v>93268396.769999996</v>
      </c>
      <c r="I2660" s="9"/>
      <c r="J2660" s="9"/>
      <c r="K2660" s="9"/>
      <c r="L2660" s="9">
        <v>800000</v>
      </c>
      <c r="M2660" s="9">
        <f t="shared" si="557"/>
        <v>94068396.769999996</v>
      </c>
      <c r="N2660" s="9">
        <v>0</v>
      </c>
      <c r="O2660" s="9">
        <v>0</v>
      </c>
      <c r="P2660" s="9">
        <f t="shared" si="559"/>
        <v>0</v>
      </c>
      <c r="Q2660" s="9"/>
      <c r="R2660" s="9"/>
      <c r="S2660" s="9"/>
      <c r="T2660" s="9">
        <v>0</v>
      </c>
      <c r="U2660" s="9">
        <f t="shared" si="558"/>
        <v>0</v>
      </c>
      <c r="V2660" s="9"/>
      <c r="W2660" s="9"/>
      <c r="X2660" s="9">
        <f t="shared" si="560"/>
        <v>93268396.769999996</v>
      </c>
      <c r="Y2660" s="9">
        <f t="shared" si="569"/>
        <v>0</v>
      </c>
      <c r="Z2660" s="9">
        <f t="shared" si="562"/>
        <v>2791981.2300000042</v>
      </c>
      <c r="AA2660" s="8">
        <f t="shared" si="563"/>
        <v>94068396.769999996</v>
      </c>
      <c r="AB2660" s="18">
        <f t="shared" si="564"/>
        <v>1991981.2300000042</v>
      </c>
    </row>
    <row r="2661" spans="1:28" x14ac:dyDescent="0.35">
      <c r="A2661" s="36"/>
      <c r="B2661" s="8"/>
      <c r="C2661" s="7" t="s">
        <v>871</v>
      </c>
      <c r="D2661" s="8"/>
      <c r="E2661" s="9">
        <f>66239036.78+277998.98</f>
        <v>66517035.759999998</v>
      </c>
      <c r="F2661" s="9">
        <v>65213472.340000004</v>
      </c>
      <c r="G2661" s="9">
        <v>0</v>
      </c>
      <c r="H2661" s="9">
        <f t="shared" si="556"/>
        <v>65213472.340000004</v>
      </c>
      <c r="I2661" s="9"/>
      <c r="J2661" s="9"/>
      <c r="K2661" s="9"/>
      <c r="L2661" s="9">
        <v>0</v>
      </c>
      <c r="M2661" s="9">
        <f t="shared" si="557"/>
        <v>65213472.340000004</v>
      </c>
      <c r="N2661" s="9">
        <f>238698.44+277998.98</f>
        <v>516697.42</v>
      </c>
      <c r="O2661" s="9">
        <v>0</v>
      </c>
      <c r="P2661" s="9">
        <f t="shared" si="559"/>
        <v>516697.42</v>
      </c>
      <c r="Q2661" s="9"/>
      <c r="R2661" s="9"/>
      <c r="S2661" s="9"/>
      <c r="T2661" s="9">
        <v>0</v>
      </c>
      <c r="U2661" s="9">
        <f t="shared" si="558"/>
        <v>516697.42</v>
      </c>
      <c r="V2661" s="9"/>
      <c r="W2661" s="9"/>
      <c r="X2661" s="9">
        <f t="shared" si="560"/>
        <v>65730169.760000005</v>
      </c>
      <c r="Y2661" s="9">
        <f t="shared" si="569"/>
        <v>0</v>
      </c>
      <c r="Z2661" s="9">
        <f t="shared" si="562"/>
        <v>786865.99999999255</v>
      </c>
      <c r="AA2661" s="8">
        <f t="shared" si="563"/>
        <v>65730169.760000005</v>
      </c>
      <c r="AB2661" s="18">
        <f t="shared" si="564"/>
        <v>786865.99999999255</v>
      </c>
    </row>
    <row r="2662" spans="1:28" x14ac:dyDescent="0.35">
      <c r="A2662" s="36"/>
      <c r="B2662" s="8"/>
      <c r="C2662" s="7" t="s">
        <v>564</v>
      </c>
      <c r="D2662" s="8"/>
      <c r="E2662" s="9">
        <v>79463000</v>
      </c>
      <c r="F2662" s="9">
        <v>12245295.5</v>
      </c>
      <c r="G2662" s="9">
        <v>0</v>
      </c>
      <c r="H2662" s="9">
        <f t="shared" si="556"/>
        <v>12245295.5</v>
      </c>
      <c r="I2662" s="9"/>
      <c r="J2662" s="9"/>
      <c r="K2662" s="9"/>
      <c r="L2662" s="9">
        <v>0</v>
      </c>
      <c r="M2662" s="9">
        <f t="shared" si="557"/>
        <v>12245295.5</v>
      </c>
      <c r="N2662" s="9">
        <v>55760954.07</v>
      </c>
      <c r="O2662" s="9">
        <v>0</v>
      </c>
      <c r="P2662" s="9">
        <f t="shared" si="559"/>
        <v>55760954.07</v>
      </c>
      <c r="Q2662" s="9"/>
      <c r="R2662" s="9"/>
      <c r="S2662" s="9"/>
      <c r="T2662" s="9">
        <v>0</v>
      </c>
      <c r="U2662" s="9">
        <f t="shared" si="558"/>
        <v>55760954.07</v>
      </c>
      <c r="V2662" s="9"/>
      <c r="W2662" s="9"/>
      <c r="X2662" s="9">
        <f t="shared" si="560"/>
        <v>68006249.569999993</v>
      </c>
      <c r="Y2662" s="9">
        <f t="shared" si="569"/>
        <v>0</v>
      </c>
      <c r="Z2662" s="9">
        <f t="shared" si="562"/>
        <v>11456750.430000007</v>
      </c>
      <c r="AA2662" s="8">
        <f t="shared" si="563"/>
        <v>68006249.569999993</v>
      </c>
      <c r="AB2662" s="18">
        <f t="shared" si="564"/>
        <v>11456750.430000007</v>
      </c>
    </row>
    <row r="2663" spans="1:28" x14ac:dyDescent="0.35">
      <c r="A2663" s="36"/>
      <c r="B2663" s="8"/>
      <c r="C2663" s="7" t="s">
        <v>862</v>
      </c>
      <c r="D2663" s="8"/>
      <c r="E2663" s="8">
        <v>33729246.100000001</v>
      </c>
      <c r="F2663" s="9">
        <v>32283359.690000001</v>
      </c>
      <c r="G2663" s="9">
        <v>0</v>
      </c>
      <c r="H2663" s="9">
        <f t="shared" si="556"/>
        <v>32283359.690000001</v>
      </c>
      <c r="I2663" s="9"/>
      <c r="J2663" s="9"/>
      <c r="K2663" s="9"/>
      <c r="L2663" s="9">
        <v>0</v>
      </c>
      <c r="M2663" s="9">
        <f t="shared" si="557"/>
        <v>32283359.690000001</v>
      </c>
      <c r="N2663" s="9">
        <v>1445886.41</v>
      </c>
      <c r="O2663" s="9">
        <v>0</v>
      </c>
      <c r="P2663" s="9">
        <f t="shared" si="559"/>
        <v>1445886.41</v>
      </c>
      <c r="Q2663" s="9"/>
      <c r="R2663" s="9"/>
      <c r="S2663" s="17"/>
      <c r="T2663" s="18">
        <v>0</v>
      </c>
      <c r="U2663" s="9">
        <f t="shared" si="558"/>
        <v>1445886.41</v>
      </c>
      <c r="V2663" s="9"/>
      <c r="W2663" s="9"/>
      <c r="X2663" s="9">
        <f t="shared" si="560"/>
        <v>33729246.100000001</v>
      </c>
      <c r="Y2663" s="9">
        <f t="shared" si="569"/>
        <v>0</v>
      </c>
      <c r="Z2663" s="9">
        <f t="shared" si="562"/>
        <v>0</v>
      </c>
      <c r="AA2663" s="8">
        <f t="shared" si="563"/>
        <v>33729246.100000001</v>
      </c>
      <c r="AB2663" s="18">
        <f t="shared" si="564"/>
        <v>0</v>
      </c>
    </row>
    <row r="2664" spans="1:28" x14ac:dyDescent="0.35">
      <c r="A2664" s="36"/>
      <c r="B2664" s="8"/>
      <c r="C2664" s="7" t="s">
        <v>868</v>
      </c>
      <c r="D2664" s="8"/>
      <c r="E2664" s="8">
        <v>1628975911.3900001</v>
      </c>
      <c r="F2664" s="9">
        <v>1519465656.9100001</v>
      </c>
      <c r="G2664" s="9">
        <v>0</v>
      </c>
      <c r="H2664" s="9">
        <f t="shared" si="556"/>
        <v>1519465656.9100001</v>
      </c>
      <c r="I2664" s="9"/>
      <c r="J2664" s="9"/>
      <c r="K2664" s="9"/>
      <c r="L2664" s="9">
        <v>18584441.510000002</v>
      </c>
      <c r="M2664" s="9">
        <f t="shared" si="557"/>
        <v>1538050098.4200001</v>
      </c>
      <c r="N2664" s="9">
        <v>66243166.359999999</v>
      </c>
      <c r="O2664" s="9">
        <v>0</v>
      </c>
      <c r="P2664" s="9">
        <f t="shared" si="559"/>
        <v>66243166.359999999</v>
      </c>
      <c r="Q2664" s="9"/>
      <c r="R2664" s="9"/>
      <c r="S2664" s="17"/>
      <c r="T2664" s="18">
        <v>1359326.54</v>
      </c>
      <c r="U2664" s="9">
        <f t="shared" si="558"/>
        <v>67602492.900000006</v>
      </c>
      <c r="V2664" s="9"/>
      <c r="W2664" s="9"/>
      <c r="X2664" s="9">
        <f t="shared" si="560"/>
        <v>1585708823.27</v>
      </c>
      <c r="Y2664" s="9">
        <f t="shared" ref="Y2664:Y2684" si="570">Y1500</f>
        <v>0</v>
      </c>
      <c r="Z2664" s="9">
        <f t="shared" si="562"/>
        <v>43267088.120000124</v>
      </c>
      <c r="AA2664" s="8">
        <f t="shared" si="563"/>
        <v>1605652591.3200002</v>
      </c>
      <c r="AB2664" s="18">
        <f t="shared" si="564"/>
        <v>23323320.069999933</v>
      </c>
    </row>
    <row r="2665" spans="1:28" x14ac:dyDescent="0.35">
      <c r="A2665" s="36"/>
      <c r="B2665" s="8"/>
      <c r="C2665" s="7" t="s">
        <v>906</v>
      </c>
      <c r="D2665" s="9"/>
      <c r="E2665" s="9">
        <v>16331255.85</v>
      </c>
      <c r="F2665" s="9">
        <v>16331255.85</v>
      </c>
      <c r="G2665" s="9">
        <v>0</v>
      </c>
      <c r="H2665" s="9">
        <f t="shared" si="556"/>
        <v>16331255.85</v>
      </c>
      <c r="I2665" s="9">
        <f>I1088</f>
        <v>0</v>
      </c>
      <c r="J2665" s="9">
        <f>J1088</f>
        <v>0</v>
      </c>
      <c r="K2665" s="9">
        <f>K1088</f>
        <v>0</v>
      </c>
      <c r="L2665" s="9">
        <v>0</v>
      </c>
      <c r="M2665" s="9">
        <f t="shared" si="557"/>
        <v>16331255.85</v>
      </c>
      <c r="N2665" s="9">
        <v>0</v>
      </c>
      <c r="O2665" s="9">
        <v>0</v>
      </c>
      <c r="P2665" s="9">
        <f t="shared" si="559"/>
        <v>0</v>
      </c>
      <c r="Q2665" s="9">
        <f>Q1088</f>
        <v>0</v>
      </c>
      <c r="R2665" s="9">
        <f>R1088</f>
        <v>0</v>
      </c>
      <c r="S2665" s="9">
        <f>S1088</f>
        <v>0</v>
      </c>
      <c r="T2665" s="9">
        <v>0</v>
      </c>
      <c r="U2665" s="9">
        <f t="shared" si="558"/>
        <v>0</v>
      </c>
      <c r="V2665" s="9">
        <f>V1088</f>
        <v>2416.2660000000001</v>
      </c>
      <c r="W2665" s="9">
        <f>W1088</f>
        <v>0</v>
      </c>
      <c r="X2665" s="9">
        <f t="shared" si="560"/>
        <v>16331255.85</v>
      </c>
      <c r="Y2665" s="9">
        <f t="shared" si="570"/>
        <v>0</v>
      </c>
      <c r="Z2665" s="9">
        <f t="shared" si="562"/>
        <v>0</v>
      </c>
      <c r="AA2665" s="8">
        <f t="shared" si="563"/>
        <v>16331255.85</v>
      </c>
      <c r="AB2665" s="18">
        <f t="shared" si="564"/>
        <v>0</v>
      </c>
    </row>
    <row r="2666" spans="1:28" x14ac:dyDescent="0.35">
      <c r="A2666" s="36"/>
      <c r="B2666" s="8"/>
      <c r="C2666" s="7" t="s">
        <v>899</v>
      </c>
      <c r="D2666" s="8"/>
      <c r="E2666" s="9">
        <v>148658110.05000001</v>
      </c>
      <c r="F2666" s="9">
        <v>140136185.63</v>
      </c>
      <c r="G2666" s="9">
        <v>0</v>
      </c>
      <c r="H2666" s="9">
        <f>+F2666+G2666</f>
        <v>140136185.63</v>
      </c>
      <c r="I2666" s="9" t="e">
        <f>I2406+I2417+I1543+I2389+I1109+I1657+I1671+I1996+I972+I1145+I1165+I1958+I458+I2607</f>
        <v>#VALUE!</v>
      </c>
      <c r="J2666" s="9" t="e">
        <f>J2406+J2417+J1543+J2389+J1109+J1657+J1671+J1996+J972+J1145+J1165+J1958+J458+J2607</f>
        <v>#VALUE!</v>
      </c>
      <c r="K2666" s="9" t="e">
        <f>K2406+K2417+K1543+K2389+K1109+K1657+K1671+K1996+K972+K1145+K1165+K1958+K458+K2607</f>
        <v>#VALUE!</v>
      </c>
      <c r="L2666" s="9">
        <v>0</v>
      </c>
      <c r="M2666" s="9">
        <f>+H2666+L2666</f>
        <v>140136185.63</v>
      </c>
      <c r="N2666" s="9">
        <v>8521924.4199999999</v>
      </c>
      <c r="O2666" s="9">
        <v>0</v>
      </c>
      <c r="P2666" s="9">
        <f t="shared" si="559"/>
        <v>8521924.4199999999</v>
      </c>
      <c r="Q2666" s="9" t="e">
        <f>Q2406+Q2417+Q1543+Q2389+Q1109+Q1657+Q1671+Q1996+Q972+Q1145+Q1165+Q1958+Q458+Q2607</f>
        <v>#VALUE!</v>
      </c>
      <c r="R2666" s="9" t="e">
        <f>R2406+R2417+R1543+R2389+R1109+R1657+R1671+R1996+R972+R1145+R1165+R1958+R458+R2607</f>
        <v>#VALUE!</v>
      </c>
      <c r="S2666" s="9" t="e">
        <f>S2406+S2417+S1543+S2389+S1109+S1657+S1671+S1996+S972+S1145+S1165+S1958+S458+S2607</f>
        <v>#VALUE!</v>
      </c>
      <c r="T2666" s="9">
        <v>0</v>
      </c>
      <c r="U2666" s="9">
        <f>+P2666+T2666</f>
        <v>8521924.4199999999</v>
      </c>
      <c r="V2666" s="9" t="e">
        <f>V2406+V2417+V1543+V2389+V1109+V1657+V1671+V1996+V972+V1145+V1165+V1958+V458+V2607</f>
        <v>#VALUE!</v>
      </c>
      <c r="W2666" s="9" t="e">
        <f>W2406+W2417+W1543+W2389+W1109+W1657+W1671+W1996+W972+W1145+W1165+W1958+W458+W2607</f>
        <v>#VALUE!</v>
      </c>
      <c r="X2666" s="9">
        <f t="shared" si="560"/>
        <v>148658110.04999998</v>
      </c>
      <c r="Y2666" s="9">
        <f t="shared" si="570"/>
        <v>0</v>
      </c>
      <c r="Z2666" s="9">
        <f t="shared" si="562"/>
        <v>0</v>
      </c>
      <c r="AA2666" s="8">
        <f t="shared" si="563"/>
        <v>148658110.04999998</v>
      </c>
      <c r="AB2666" s="18">
        <f t="shared" si="564"/>
        <v>0</v>
      </c>
    </row>
    <row r="2667" spans="1:28" x14ac:dyDescent="0.35">
      <c r="A2667" s="36"/>
      <c r="B2667" s="8"/>
      <c r="C2667" s="7" t="s">
        <v>869</v>
      </c>
      <c r="D2667" s="8"/>
      <c r="E2667" s="9">
        <v>208217400.91</v>
      </c>
      <c r="F2667" s="9">
        <v>195782717.40000001</v>
      </c>
      <c r="G2667" s="9">
        <v>0</v>
      </c>
      <c r="H2667" s="9">
        <f>+F2667+G2667</f>
        <v>195782717.40000001</v>
      </c>
      <c r="I2667" s="9"/>
      <c r="J2667" s="9"/>
      <c r="K2667" s="9"/>
      <c r="L2667" s="9">
        <v>0</v>
      </c>
      <c r="M2667" s="9">
        <f>+H2667+L2667</f>
        <v>195782717.40000001</v>
      </c>
      <c r="N2667" s="9">
        <v>12434683.51</v>
      </c>
      <c r="O2667" s="9">
        <v>0</v>
      </c>
      <c r="P2667" s="9">
        <f>+N2667+O2667</f>
        <v>12434683.51</v>
      </c>
      <c r="Q2667" s="9"/>
      <c r="R2667" s="9"/>
      <c r="S2667" s="9"/>
      <c r="T2667" s="9">
        <v>0</v>
      </c>
      <c r="U2667" s="9">
        <f>+P2667+T2667</f>
        <v>12434683.51</v>
      </c>
      <c r="V2667" s="9"/>
      <c r="W2667" s="9"/>
      <c r="X2667" s="9">
        <f t="shared" si="560"/>
        <v>208217400.91</v>
      </c>
      <c r="Y2667" s="9">
        <f t="shared" si="570"/>
        <v>0</v>
      </c>
      <c r="Z2667" s="9">
        <f t="shared" si="562"/>
        <v>0</v>
      </c>
      <c r="AA2667" s="8">
        <f t="shared" si="563"/>
        <v>208217400.91</v>
      </c>
      <c r="AB2667" s="18">
        <f t="shared" si="564"/>
        <v>0</v>
      </c>
    </row>
    <row r="2668" spans="1:28" x14ac:dyDescent="0.35">
      <c r="A2668" s="36"/>
      <c r="B2668" s="8"/>
      <c r="C2668" s="7" t="s">
        <v>908</v>
      </c>
      <c r="D2668" s="8"/>
      <c r="E2668" s="9">
        <v>42579017.68</v>
      </c>
      <c r="F2668" s="9">
        <v>42579017.68</v>
      </c>
      <c r="G2668" s="9">
        <v>0</v>
      </c>
      <c r="H2668" s="9">
        <f t="shared" si="556"/>
        <v>42579017.68</v>
      </c>
      <c r="I2668" s="9" t="e">
        <f>I82+I123+I140+I141+I473+I1078</f>
        <v>#VALUE!</v>
      </c>
      <c r="J2668" s="9" t="e">
        <f>J82+J123+J140+J141+J473+J1078</f>
        <v>#VALUE!</v>
      </c>
      <c r="K2668" s="9" t="e">
        <f>K82+K123+K140+K141+K473+K1078</f>
        <v>#VALUE!</v>
      </c>
      <c r="L2668" s="9">
        <v>0</v>
      </c>
      <c r="M2668" s="9">
        <f t="shared" si="557"/>
        <v>42579017.68</v>
      </c>
      <c r="N2668" s="9">
        <v>0</v>
      </c>
      <c r="O2668" s="9">
        <v>0</v>
      </c>
      <c r="P2668" s="9">
        <f t="shared" si="559"/>
        <v>0</v>
      </c>
      <c r="Q2668" s="9" t="e">
        <f>Q82+Q123+Q140+Q141+Q473+Q1078</f>
        <v>#VALUE!</v>
      </c>
      <c r="R2668" s="9" t="e">
        <f>R82+R123+R140+R141+R473+R1078</f>
        <v>#VALUE!</v>
      </c>
      <c r="S2668" s="9" t="e">
        <f>S82+S123+S140+S141+S473+S1078</f>
        <v>#VALUE!</v>
      </c>
      <c r="T2668" s="9">
        <v>0</v>
      </c>
      <c r="U2668" s="9">
        <f t="shared" si="558"/>
        <v>0</v>
      </c>
      <c r="V2668" s="9" t="e">
        <f>V82+V123+V140+V141+V473+V1078</f>
        <v>#VALUE!</v>
      </c>
      <c r="W2668" s="9" t="e">
        <f>W82+W123+W140+W141+W473+W1078</f>
        <v>#VALUE!</v>
      </c>
      <c r="X2668" s="9">
        <f t="shared" si="560"/>
        <v>42579017.68</v>
      </c>
      <c r="Y2668" s="9">
        <f t="shared" si="570"/>
        <v>0</v>
      </c>
      <c r="Z2668" s="9">
        <f t="shared" si="562"/>
        <v>0</v>
      </c>
      <c r="AA2668" s="8">
        <f t="shared" si="563"/>
        <v>42579017.68</v>
      </c>
      <c r="AB2668" s="18">
        <f t="shared" si="564"/>
        <v>0</v>
      </c>
    </row>
    <row r="2669" spans="1:28" x14ac:dyDescent="0.35">
      <c r="A2669" s="36"/>
      <c r="B2669" s="8"/>
      <c r="C2669" s="14" t="s">
        <v>916</v>
      </c>
      <c r="D2669" s="8"/>
      <c r="E2669" s="9">
        <v>456799313.99000001</v>
      </c>
      <c r="F2669" s="9">
        <v>445674818.73000002</v>
      </c>
      <c r="G2669" s="9">
        <v>0</v>
      </c>
      <c r="H2669" s="9">
        <f>+F2669+G2669</f>
        <v>445674818.73000002</v>
      </c>
      <c r="I2669" s="9"/>
      <c r="J2669" s="9"/>
      <c r="K2669" s="9"/>
      <c r="L2669" s="9">
        <v>11124495.26</v>
      </c>
      <c r="M2669" s="9">
        <f>+H2669+L2669</f>
        <v>456799313.99000001</v>
      </c>
      <c r="N2669" s="9">
        <v>0</v>
      </c>
      <c r="O2669" s="9">
        <v>0</v>
      </c>
      <c r="P2669" s="9">
        <f>+N2669+O2669</f>
        <v>0</v>
      </c>
      <c r="Q2669" s="9"/>
      <c r="R2669" s="9"/>
      <c r="S2669" s="9"/>
      <c r="T2669" s="9">
        <v>0</v>
      </c>
      <c r="U2669" s="9">
        <f>+P2669+T2669</f>
        <v>0</v>
      </c>
      <c r="V2669" s="9"/>
      <c r="W2669" s="9"/>
      <c r="X2669" s="9">
        <f t="shared" si="560"/>
        <v>445674818.73000002</v>
      </c>
      <c r="Y2669" s="9">
        <f t="shared" si="570"/>
        <v>0</v>
      </c>
      <c r="Z2669" s="9">
        <f t="shared" si="562"/>
        <v>11124495.25999999</v>
      </c>
      <c r="AA2669" s="8">
        <f t="shared" si="563"/>
        <v>456799313.99000001</v>
      </c>
      <c r="AB2669" s="18">
        <f t="shared" si="564"/>
        <v>0</v>
      </c>
    </row>
    <row r="2670" spans="1:28" x14ac:dyDescent="0.35">
      <c r="A2670" s="36"/>
      <c r="B2670" s="8"/>
      <c r="C2670" s="7" t="s">
        <v>551</v>
      </c>
      <c r="D2670" s="8"/>
      <c r="E2670" s="11">
        <v>86860313.849999994</v>
      </c>
      <c r="F2670" s="11">
        <v>86860313.849999994</v>
      </c>
      <c r="G2670" s="9">
        <v>0</v>
      </c>
      <c r="H2670" s="9">
        <f>+F2670+G2670</f>
        <v>86860313.849999994</v>
      </c>
      <c r="I2670" s="11"/>
      <c r="J2670" s="11"/>
      <c r="K2670" s="11"/>
      <c r="L2670" s="11">
        <v>0</v>
      </c>
      <c r="M2670" s="9">
        <f>+H2670+L2670</f>
        <v>86860313.849999994</v>
      </c>
      <c r="N2670" s="11">
        <v>0</v>
      </c>
      <c r="O2670" s="9">
        <v>0</v>
      </c>
      <c r="P2670" s="9">
        <f>+N2670+O2670</f>
        <v>0</v>
      </c>
      <c r="Q2670" s="11"/>
      <c r="R2670" s="11"/>
      <c r="S2670" s="11"/>
      <c r="T2670" s="9">
        <v>0</v>
      </c>
      <c r="U2670" s="9">
        <f>+P2670+T2670</f>
        <v>0</v>
      </c>
      <c r="V2670" s="11"/>
      <c r="W2670" s="11"/>
      <c r="X2670" s="9">
        <f t="shared" si="560"/>
        <v>86860313.849999994</v>
      </c>
      <c r="Y2670" s="9">
        <f t="shared" si="570"/>
        <v>0</v>
      </c>
      <c r="Z2670" s="9">
        <f t="shared" si="562"/>
        <v>0</v>
      </c>
      <c r="AA2670" s="8">
        <f t="shared" si="563"/>
        <v>86860313.849999994</v>
      </c>
      <c r="AB2670" s="18">
        <f t="shared" si="564"/>
        <v>0</v>
      </c>
    </row>
    <row r="2671" spans="1:28" x14ac:dyDescent="0.35">
      <c r="A2671" s="36"/>
      <c r="B2671" s="8"/>
      <c r="C2671" s="14" t="s">
        <v>910</v>
      </c>
      <c r="D2671" s="8"/>
      <c r="E2671" s="11">
        <f>42879343.21+300000+497381.57+731576.48+300000+494678.84+400000+6209.02+475000+700000+3211822.02</f>
        <v>49996011.140000008</v>
      </c>
      <c r="F2671" s="11">
        <f>42283188.93+564655.85+2729845.91+700000+3211822.02</f>
        <v>49489512.710000001</v>
      </c>
      <c r="G2671" s="11">
        <v>0</v>
      </c>
      <c r="H2671" s="9">
        <f t="shared" si="556"/>
        <v>49489512.710000001</v>
      </c>
      <c r="I2671" s="11" t="e">
        <f>I67+I1969+I1539+I2489+I1970+I995+I170+I2576+I1016+I448+I2594+I1161+I90+I203+I996+I2492+I1142+I1562+I1163+I1616+I114</f>
        <v>#VALUE!</v>
      </c>
      <c r="J2671" s="11" t="e">
        <f>J67+J1969+J1539+J2489+J1970+J995+J170+J2576+J1016+J448+J2594+J1161+J90+J203+J996+J2492+J1142+J1562+J1163+J1616+J114</f>
        <v>#VALUE!</v>
      </c>
      <c r="K2671" s="11" t="e">
        <f>K67+K1969+K1539+K2489+K1970+K995+K170+K2576+K1016+K448+K2594+K1161+K90+K203+K996+K2492+K1142+K1562+K1163+K1616+K114</f>
        <v>#VALUE!</v>
      </c>
      <c r="L2671" s="9">
        <v>0</v>
      </c>
      <c r="M2671" s="9">
        <f t="shared" si="557"/>
        <v>49489512.710000001</v>
      </c>
      <c r="N2671" s="11">
        <f>1880.42+6209.02</f>
        <v>8089.4400000000005</v>
      </c>
      <c r="O2671" s="9">
        <v>0</v>
      </c>
      <c r="P2671" s="9">
        <f t="shared" si="559"/>
        <v>8089.4400000000005</v>
      </c>
      <c r="Q2671" s="11" t="e">
        <f>Q67+Q1969+Q1539+Q2489+Q1970+Q995+Q170+Q2576+Q1016+Q448+Q2594+Q1161+Q90+Q203+Q996+Q2492+Q1142+Q1562+Q1163+Q1616+Q114</f>
        <v>#VALUE!</v>
      </c>
      <c r="R2671" s="11" t="e">
        <f>R67+R1969+R1539+R2489+R1970+R995+R170+R2576+R1016+R448+R2594+R1161+R90+R203+R996+R2492+R1142+R1562+R1163+R1616+R114</f>
        <v>#VALUE!</v>
      </c>
      <c r="S2671" s="11" t="e">
        <f>S67+S1969+S1539+S2489+S1970+S995+S170+S2576+S1016+S448+S2594+S1161+S90+S203+S996+S2492+S1142+S1562+S1163+S1616+S114</f>
        <v>#VALUE!</v>
      </c>
      <c r="T2671" s="11">
        <v>29618.01</v>
      </c>
      <c r="U2671" s="9">
        <f t="shared" si="558"/>
        <v>37707.449999999997</v>
      </c>
      <c r="V2671" s="11" t="e">
        <f>V67+V1969+V1539+V2489+V1970+V995+V170+V2576+V1016+V448+V2594+V1161+V90+V203+V996+V2492+V1142+V1562+V1163+V1616+V114</f>
        <v>#VALUE!</v>
      </c>
      <c r="W2671" s="11" t="e">
        <f>W67+W1969+W1539+W2489+W1970+W995+W170+W2576+W1016+W448+W2594+W1161+W90+W203+W996+W2492+W1142+W1562+W1163+W1616+W114</f>
        <v>#VALUE!</v>
      </c>
      <c r="X2671" s="9">
        <f t="shared" si="560"/>
        <v>49497602.149999999</v>
      </c>
      <c r="Y2671" s="9">
        <f t="shared" si="570"/>
        <v>0</v>
      </c>
      <c r="Z2671" s="9">
        <f t="shared" si="562"/>
        <v>498408.99000000954</v>
      </c>
      <c r="AA2671" s="8">
        <f t="shared" si="563"/>
        <v>49527220.160000004</v>
      </c>
      <c r="AB2671" s="18">
        <f t="shared" si="564"/>
        <v>468790.98000000417</v>
      </c>
    </row>
    <row r="2672" spans="1:28" x14ac:dyDescent="0.35">
      <c r="A2672" s="36"/>
      <c r="B2672" s="8"/>
      <c r="C2672" s="7" t="s">
        <v>900</v>
      </c>
      <c r="D2672" s="8"/>
      <c r="E2672" s="9">
        <v>25743984.09</v>
      </c>
      <c r="F2672" s="9">
        <f>16799588.45+475000</f>
        <v>17274588.449999999</v>
      </c>
      <c r="G2672" s="9">
        <v>0</v>
      </c>
      <c r="H2672" s="9">
        <f t="shared" si="556"/>
        <v>17274588.449999999</v>
      </c>
      <c r="I2672" s="9">
        <f>I90+I112+I135+I149</f>
        <v>0</v>
      </c>
      <c r="J2672" s="9">
        <f>J90+J112+J135+J149</f>
        <v>0</v>
      </c>
      <c r="K2672" s="9">
        <f>K90+K112+K135+K149</f>
        <v>0</v>
      </c>
      <c r="L2672" s="9">
        <v>0</v>
      </c>
      <c r="M2672" s="9">
        <f t="shared" si="557"/>
        <v>17274588.449999999</v>
      </c>
      <c r="N2672" s="9">
        <v>8944395.6400000006</v>
      </c>
      <c r="O2672" s="9">
        <v>0</v>
      </c>
      <c r="P2672" s="9">
        <f t="shared" si="559"/>
        <v>8944395.6400000006</v>
      </c>
      <c r="Q2672" s="9">
        <f>Q90+Q112+Q135+Q149</f>
        <v>0</v>
      </c>
      <c r="R2672" s="9">
        <f>R90+R112+R135+R149</f>
        <v>0</v>
      </c>
      <c r="S2672" s="9">
        <f>S90+S112+S135+S149</f>
        <v>0</v>
      </c>
      <c r="T2672" s="9">
        <v>0</v>
      </c>
      <c r="U2672" s="9">
        <f t="shared" si="558"/>
        <v>8944395.6400000006</v>
      </c>
      <c r="V2672" s="9">
        <f>V90+V112+V135+V149</f>
        <v>14798.5424</v>
      </c>
      <c r="W2672" s="9">
        <f>W90+W112+W135+W149</f>
        <v>0</v>
      </c>
      <c r="X2672" s="9">
        <f t="shared" si="560"/>
        <v>26218984.09</v>
      </c>
      <c r="Y2672" s="9">
        <f t="shared" si="570"/>
        <v>0</v>
      </c>
      <c r="Z2672" s="9">
        <f t="shared" si="562"/>
        <v>-475000</v>
      </c>
      <c r="AA2672" s="8">
        <f t="shared" si="563"/>
        <v>26218984.09</v>
      </c>
      <c r="AB2672" s="18">
        <f t="shared" si="564"/>
        <v>-475000</v>
      </c>
    </row>
    <row r="2673" spans="1:28" x14ac:dyDescent="0.35">
      <c r="A2673" s="36"/>
      <c r="B2673" s="8"/>
      <c r="C2673" s="7" t="s">
        <v>914</v>
      </c>
      <c r="D2673" s="8"/>
      <c r="E2673" s="9">
        <v>21999950</v>
      </c>
      <c r="F2673" s="9">
        <v>15910378.66</v>
      </c>
      <c r="G2673" s="9">
        <v>0</v>
      </c>
      <c r="H2673" s="9">
        <f t="shared" si="556"/>
        <v>15910378.66</v>
      </c>
      <c r="I2673" s="9" t="e">
        <f>I456+I468+I481+I509+I582+I598+I614+I629</f>
        <v>#VALUE!</v>
      </c>
      <c r="J2673" s="9" t="e">
        <f>J456+J468+J481+J509+J582+J598+J614+J629</f>
        <v>#VALUE!</v>
      </c>
      <c r="K2673" s="9" t="e">
        <f>K456+K468+K481+K509+K582+K598+K614+K629</f>
        <v>#VALUE!</v>
      </c>
      <c r="L2673" s="9">
        <v>0</v>
      </c>
      <c r="M2673" s="9">
        <f t="shared" si="557"/>
        <v>15910378.66</v>
      </c>
      <c r="N2673" s="9">
        <v>3021238.47</v>
      </c>
      <c r="O2673" s="9">
        <v>0</v>
      </c>
      <c r="P2673" s="9">
        <f t="shared" si="559"/>
        <v>3021238.47</v>
      </c>
      <c r="Q2673" s="9" t="e">
        <f>Q456+Q468+Q481+Q509+Q582+Q598+Q614+Q629</f>
        <v>#VALUE!</v>
      </c>
      <c r="R2673" s="9" t="e">
        <f>R456+R468+R481+R509+R582+R598+R614+R629</f>
        <v>#VALUE!</v>
      </c>
      <c r="S2673" s="9" t="e">
        <f>S456+S468+S481+S509+S582+S598+S614+S629</f>
        <v>#VALUE!</v>
      </c>
      <c r="T2673" s="9">
        <v>0</v>
      </c>
      <c r="U2673" s="9">
        <f t="shared" si="558"/>
        <v>3021238.47</v>
      </c>
      <c r="V2673" s="9" t="e">
        <f>V456+V468+V481+V509+V582+V598+V614+V629</f>
        <v>#VALUE!</v>
      </c>
      <c r="W2673" s="9" t="e">
        <f>W456+W468+W481+W509+W582+W598+W614+W629</f>
        <v>#VALUE!</v>
      </c>
      <c r="X2673" s="9">
        <f t="shared" si="560"/>
        <v>18931617.129999999</v>
      </c>
      <c r="Y2673" s="9">
        <f t="shared" si="570"/>
        <v>0</v>
      </c>
      <c r="Z2673" s="9">
        <f t="shared" si="562"/>
        <v>3068332.870000001</v>
      </c>
      <c r="AA2673" s="8">
        <f t="shared" si="563"/>
        <v>18931617.129999999</v>
      </c>
      <c r="AB2673" s="18">
        <f t="shared" si="564"/>
        <v>3068332.870000001</v>
      </c>
    </row>
    <row r="2674" spans="1:28" x14ac:dyDescent="0.35">
      <c r="A2674" s="36"/>
      <c r="B2674" s="8"/>
      <c r="C2674" s="7" t="s">
        <v>915</v>
      </c>
      <c r="D2674" s="8"/>
      <c r="E2674" s="9">
        <v>389880638</v>
      </c>
      <c r="F2674" s="9">
        <v>274919430.80000001</v>
      </c>
      <c r="G2674" s="9">
        <v>0</v>
      </c>
      <c r="H2674" s="9">
        <f>+F2674+G2674</f>
        <v>274919430.80000001</v>
      </c>
      <c r="I2674" s="9" t="e">
        <f>I457+I469+I482+I483+I510+I599+I615+I630+I470</f>
        <v>#VALUE!</v>
      </c>
      <c r="J2674" s="9" t="e">
        <f>J457+J469+J482+J483+J510+J599+J615+J630+J470</f>
        <v>#VALUE!</v>
      </c>
      <c r="K2674" s="9" t="e">
        <f>K457+K469+K482+K483+K510+K599+K615+K630+K470</f>
        <v>#VALUE!</v>
      </c>
      <c r="L2674" s="9">
        <v>0</v>
      </c>
      <c r="M2674" s="9">
        <f>+H2674+L2674</f>
        <v>274919430.80000001</v>
      </c>
      <c r="N2674" s="9">
        <v>143633.25</v>
      </c>
      <c r="O2674" s="9">
        <v>0</v>
      </c>
      <c r="P2674" s="9">
        <f t="shared" si="559"/>
        <v>143633.25</v>
      </c>
      <c r="Q2674" s="9" t="e">
        <f>Q457+Q469+Q482+Q483+Q510+Q599+Q615+Q630+Q470</f>
        <v>#VALUE!</v>
      </c>
      <c r="R2674" s="9" t="e">
        <f>R457+R469+R482+R483+R510+R599+R615+R630+R470</f>
        <v>#VALUE!</v>
      </c>
      <c r="S2674" s="9" t="e">
        <f>S457+S469+S482+S483+S510+S599+S615+S630+S470</f>
        <v>#VALUE!</v>
      </c>
      <c r="T2674" s="9">
        <v>0</v>
      </c>
      <c r="U2674" s="9">
        <f>+P2674+T2674</f>
        <v>143633.25</v>
      </c>
      <c r="V2674" s="9" t="e">
        <f>V457+V469+V482+V483+V510+V599+V615+V630+V470</f>
        <v>#VALUE!</v>
      </c>
      <c r="W2674" s="9" t="e">
        <f>W457+W469+W482+W483+W510+W599+W615+W630+W470</f>
        <v>#VALUE!</v>
      </c>
      <c r="X2674" s="9">
        <f t="shared" si="560"/>
        <v>275063064.05000001</v>
      </c>
      <c r="Y2674" s="9">
        <f t="shared" si="570"/>
        <v>0</v>
      </c>
      <c r="Z2674" s="9">
        <f t="shared" si="562"/>
        <v>114817573.94999999</v>
      </c>
      <c r="AA2674" s="8">
        <f t="shared" si="563"/>
        <v>275063064.05000001</v>
      </c>
      <c r="AB2674" s="18">
        <f t="shared" si="564"/>
        <v>114817573.94999999</v>
      </c>
    </row>
    <row r="2675" spans="1:28" x14ac:dyDescent="0.35">
      <c r="A2675" s="36"/>
      <c r="B2675" s="8"/>
      <c r="C2675" s="7" t="s">
        <v>918</v>
      </c>
      <c r="D2675" s="8"/>
      <c r="E2675" s="9">
        <f>8692033.3+14014847.21+6916499.73+963574.22</f>
        <v>30586954.460000001</v>
      </c>
      <c r="F2675" s="9">
        <f>8692033.3+14014847.21+6916499.73+963574.22</f>
        <v>30586954.460000001</v>
      </c>
      <c r="G2675" s="9">
        <v>0</v>
      </c>
      <c r="H2675" s="9">
        <f t="shared" si="556"/>
        <v>30586954.460000001</v>
      </c>
      <c r="I2675" s="9">
        <f>I2475+I2519+I1600</f>
        <v>0</v>
      </c>
      <c r="J2675" s="9">
        <f>J2475+J2519+J1600</f>
        <v>0</v>
      </c>
      <c r="K2675" s="9">
        <f>K2475+K2519+K1600</f>
        <v>0</v>
      </c>
      <c r="L2675" s="9">
        <v>0</v>
      </c>
      <c r="M2675" s="9">
        <f t="shared" si="557"/>
        <v>30586954.460000001</v>
      </c>
      <c r="N2675" s="9">
        <v>0</v>
      </c>
      <c r="O2675" s="9">
        <v>0</v>
      </c>
      <c r="P2675" s="9">
        <f t="shared" si="559"/>
        <v>0</v>
      </c>
      <c r="Q2675" s="9">
        <f>Q2475+Q2519+Q1600</f>
        <v>0</v>
      </c>
      <c r="R2675" s="9">
        <f>R2475+R2519+R1600</f>
        <v>0</v>
      </c>
      <c r="S2675" s="9">
        <f>S2475+S2519+S1600</f>
        <v>0</v>
      </c>
      <c r="T2675" s="9">
        <v>0</v>
      </c>
      <c r="U2675" s="9">
        <f t="shared" si="558"/>
        <v>0</v>
      </c>
      <c r="V2675" s="9">
        <f>V2475+V2519+V1600</f>
        <v>2715595.62</v>
      </c>
      <c r="W2675" s="9">
        <f>W2475+W2519+W1600</f>
        <v>0</v>
      </c>
      <c r="X2675" s="9">
        <f t="shared" si="560"/>
        <v>30586954.460000001</v>
      </c>
      <c r="Y2675" s="9">
        <f t="shared" si="570"/>
        <v>0</v>
      </c>
      <c r="Z2675" s="9">
        <f t="shared" si="562"/>
        <v>0</v>
      </c>
      <c r="AA2675" s="8">
        <f t="shared" si="563"/>
        <v>30586954.460000001</v>
      </c>
      <c r="AB2675" s="18">
        <f t="shared" si="564"/>
        <v>0</v>
      </c>
    </row>
    <row r="2676" spans="1:28" x14ac:dyDescent="0.35">
      <c r="A2676" s="36"/>
      <c r="B2676" s="8"/>
      <c r="C2676" s="7" t="s">
        <v>901</v>
      </c>
      <c r="D2676" s="8"/>
      <c r="E2676" s="9">
        <v>25150521.109999999</v>
      </c>
      <c r="F2676" s="9">
        <v>24252704.399999999</v>
      </c>
      <c r="G2676" s="9">
        <v>0</v>
      </c>
      <c r="H2676" s="9">
        <f t="shared" si="556"/>
        <v>24252704.399999999</v>
      </c>
      <c r="I2676" s="9">
        <f>I606</f>
        <v>0</v>
      </c>
      <c r="J2676" s="9">
        <f>J606</f>
        <v>0</v>
      </c>
      <c r="K2676" s="9">
        <f>K606</f>
        <v>0</v>
      </c>
      <c r="L2676" s="9">
        <v>0</v>
      </c>
      <c r="M2676" s="9">
        <f t="shared" si="557"/>
        <v>24252704.399999999</v>
      </c>
      <c r="N2676" s="9">
        <v>897816.71</v>
      </c>
      <c r="O2676" s="9">
        <v>0</v>
      </c>
      <c r="P2676" s="9">
        <f t="shared" si="559"/>
        <v>897816.71</v>
      </c>
      <c r="Q2676" s="9">
        <f>Q606</f>
        <v>0</v>
      </c>
      <c r="R2676" s="9">
        <f>R606</f>
        <v>0</v>
      </c>
      <c r="S2676" s="9">
        <f>S606</f>
        <v>0</v>
      </c>
      <c r="T2676" s="9">
        <v>0</v>
      </c>
      <c r="U2676" s="9">
        <f t="shared" si="558"/>
        <v>897816.71</v>
      </c>
      <c r="V2676" s="9">
        <f>V606</f>
        <v>1950.1130000000001</v>
      </c>
      <c r="W2676" s="9">
        <f>W606</f>
        <v>0</v>
      </c>
      <c r="X2676" s="9">
        <f t="shared" si="560"/>
        <v>25150521.109999999</v>
      </c>
      <c r="Y2676" s="9">
        <f t="shared" si="570"/>
        <v>0</v>
      </c>
      <c r="Z2676" s="9">
        <f t="shared" si="562"/>
        <v>0</v>
      </c>
      <c r="AA2676" s="8">
        <f t="shared" si="563"/>
        <v>25150521.109999999</v>
      </c>
      <c r="AB2676" s="18">
        <f t="shared" si="564"/>
        <v>0</v>
      </c>
    </row>
    <row r="2677" spans="1:28" x14ac:dyDescent="0.35">
      <c r="A2677" s="36"/>
      <c r="B2677" s="8"/>
      <c r="C2677" s="7" t="s">
        <v>885</v>
      </c>
      <c r="D2677" s="8"/>
      <c r="E2677" s="9">
        <v>75240727.680000007</v>
      </c>
      <c r="F2677" s="9">
        <v>71697311.810000002</v>
      </c>
      <c r="G2677" s="9">
        <v>0</v>
      </c>
      <c r="H2677" s="9">
        <f t="shared" si="556"/>
        <v>71697311.810000002</v>
      </c>
      <c r="I2677" s="9"/>
      <c r="J2677" s="9"/>
      <c r="K2677" s="9"/>
      <c r="L2677" s="9">
        <v>0</v>
      </c>
      <c r="M2677" s="9">
        <f t="shared" si="557"/>
        <v>71697311.810000002</v>
      </c>
      <c r="N2677" s="9">
        <v>2535113.66</v>
      </c>
      <c r="O2677" s="9">
        <v>0</v>
      </c>
      <c r="P2677" s="9">
        <f t="shared" si="559"/>
        <v>2535113.66</v>
      </c>
      <c r="Q2677" s="9"/>
      <c r="R2677" s="9"/>
      <c r="S2677" s="9"/>
      <c r="T2677" s="9">
        <v>0</v>
      </c>
      <c r="U2677" s="9">
        <f t="shared" si="558"/>
        <v>2535113.66</v>
      </c>
      <c r="V2677" s="9">
        <f>V607</f>
        <v>282.73</v>
      </c>
      <c r="W2677" s="9">
        <f>W607</f>
        <v>0</v>
      </c>
      <c r="X2677" s="9">
        <f t="shared" si="560"/>
        <v>74232425.469999999</v>
      </c>
      <c r="Y2677" s="9" t="str">
        <f t="shared" si="570"/>
        <v>-</v>
      </c>
      <c r="Z2677" s="9">
        <f t="shared" si="562"/>
        <v>1008302.2100000083</v>
      </c>
      <c r="AA2677" s="8">
        <f t="shared" si="563"/>
        <v>74232425.469999999</v>
      </c>
      <c r="AB2677" s="18">
        <f t="shared" si="564"/>
        <v>1008302.2100000083</v>
      </c>
    </row>
    <row r="2678" spans="1:28" x14ac:dyDescent="0.35">
      <c r="A2678" s="36"/>
      <c r="B2678" s="8"/>
      <c r="C2678" s="7" t="s">
        <v>886</v>
      </c>
      <c r="D2678" s="8"/>
      <c r="E2678" s="9">
        <v>10245500</v>
      </c>
      <c r="F2678" s="9">
        <v>9136749</v>
      </c>
      <c r="G2678" s="9">
        <v>0</v>
      </c>
      <c r="H2678" s="9">
        <f t="shared" si="556"/>
        <v>9136749</v>
      </c>
      <c r="I2678" s="9"/>
      <c r="J2678" s="9"/>
      <c r="K2678" s="9"/>
      <c r="L2678" s="9">
        <v>0</v>
      </c>
      <c r="M2678" s="9">
        <f t="shared" si="557"/>
        <v>9136749</v>
      </c>
      <c r="N2678" s="9">
        <v>0</v>
      </c>
      <c r="O2678" s="9">
        <v>0</v>
      </c>
      <c r="P2678" s="9">
        <f t="shared" si="559"/>
        <v>0</v>
      </c>
      <c r="Q2678" s="9"/>
      <c r="R2678" s="9"/>
      <c r="S2678" s="9"/>
      <c r="T2678" s="9">
        <v>0</v>
      </c>
      <c r="U2678" s="9">
        <f t="shared" si="558"/>
        <v>0</v>
      </c>
      <c r="V2678" s="9"/>
      <c r="W2678" s="9"/>
      <c r="X2678" s="9">
        <f t="shared" si="560"/>
        <v>9136749</v>
      </c>
      <c r="Y2678" s="9">
        <f t="shared" si="570"/>
        <v>0</v>
      </c>
      <c r="Z2678" s="9">
        <f t="shared" si="562"/>
        <v>1108751</v>
      </c>
      <c r="AA2678" s="8">
        <f t="shared" si="563"/>
        <v>9136749</v>
      </c>
      <c r="AB2678" s="18">
        <f t="shared" si="564"/>
        <v>1108751</v>
      </c>
    </row>
    <row r="2679" spans="1:28" x14ac:dyDescent="0.35">
      <c r="A2679" s="36"/>
      <c r="B2679" s="8"/>
      <c r="C2679" s="7" t="s">
        <v>872</v>
      </c>
      <c r="D2679" s="8"/>
      <c r="E2679" s="9">
        <v>4689950</v>
      </c>
      <c r="F2679" s="9">
        <v>1500000</v>
      </c>
      <c r="G2679" s="9">
        <v>0</v>
      </c>
      <c r="H2679" s="9">
        <f t="shared" ref="H2679:H2684" si="571">+F2679+G2679</f>
        <v>1500000</v>
      </c>
      <c r="I2679" s="9"/>
      <c r="J2679" s="9"/>
      <c r="K2679" s="9"/>
      <c r="L2679" s="9">
        <v>0</v>
      </c>
      <c r="M2679" s="9">
        <f>+H2679+L2679</f>
        <v>1500000</v>
      </c>
      <c r="N2679" s="9">
        <v>3189950</v>
      </c>
      <c r="O2679" s="9">
        <v>0</v>
      </c>
      <c r="P2679" s="9">
        <f t="shared" si="559"/>
        <v>3189950</v>
      </c>
      <c r="Q2679" s="9"/>
      <c r="R2679" s="9"/>
      <c r="S2679" s="9"/>
      <c r="T2679" s="9">
        <v>0</v>
      </c>
      <c r="U2679" s="9">
        <f t="shared" ref="U2679:U2684" si="572">+P2679+T2679</f>
        <v>3189950</v>
      </c>
      <c r="V2679" s="9"/>
      <c r="W2679" s="9"/>
      <c r="X2679" s="9">
        <f t="shared" si="560"/>
        <v>4689950</v>
      </c>
      <c r="Y2679" s="9" t="str">
        <f t="shared" si="570"/>
        <v>-</v>
      </c>
      <c r="Z2679" s="9">
        <f t="shared" si="562"/>
        <v>0</v>
      </c>
      <c r="AA2679" s="8">
        <f t="shared" si="563"/>
        <v>4689950</v>
      </c>
      <c r="AB2679" s="18">
        <f t="shared" si="564"/>
        <v>0</v>
      </c>
    </row>
    <row r="2680" spans="1:28" x14ac:dyDescent="0.35">
      <c r="A2680" s="36"/>
      <c r="B2680" s="8"/>
      <c r="C2680" s="7" t="s">
        <v>810</v>
      </c>
      <c r="D2680" s="8"/>
      <c r="E2680" s="9">
        <v>1795687.15</v>
      </c>
      <c r="F2680" s="9">
        <v>1795687.15</v>
      </c>
      <c r="G2680" s="9">
        <v>0</v>
      </c>
      <c r="H2680" s="9">
        <f t="shared" si="571"/>
        <v>1795687.15</v>
      </c>
      <c r="I2680" s="9"/>
      <c r="J2680" s="9"/>
      <c r="K2680" s="9"/>
      <c r="L2680" s="9">
        <v>0</v>
      </c>
      <c r="M2680" s="9">
        <f>+H2680+L2680</f>
        <v>1795687.15</v>
      </c>
      <c r="N2680" s="9">
        <v>0</v>
      </c>
      <c r="O2680" s="9">
        <v>0</v>
      </c>
      <c r="P2680" s="9">
        <f>+N2680+O2680</f>
        <v>0</v>
      </c>
      <c r="Q2680" s="9"/>
      <c r="R2680" s="9"/>
      <c r="S2680" s="9"/>
      <c r="T2680" s="9">
        <v>0</v>
      </c>
      <c r="U2680" s="9">
        <f>+P2680+T2680</f>
        <v>0</v>
      </c>
      <c r="V2680" s="9"/>
      <c r="W2680" s="9"/>
      <c r="X2680" s="9">
        <f t="shared" si="560"/>
        <v>1795687.15</v>
      </c>
      <c r="Y2680" s="9">
        <f t="shared" si="570"/>
        <v>0</v>
      </c>
      <c r="Z2680" s="9">
        <f t="shared" si="562"/>
        <v>0</v>
      </c>
      <c r="AA2680" s="8">
        <f t="shared" si="563"/>
        <v>1795687.15</v>
      </c>
      <c r="AB2680" s="18">
        <f>+E2680-AA2680</f>
        <v>0</v>
      </c>
    </row>
    <row r="2681" spans="1:28" x14ac:dyDescent="0.35">
      <c r="A2681" s="36"/>
      <c r="B2681" s="8"/>
      <c r="C2681" s="10" t="s">
        <v>880</v>
      </c>
      <c r="D2681" s="8"/>
      <c r="E2681" s="8">
        <v>0</v>
      </c>
      <c r="F2681" s="8">
        <v>22904146.73</v>
      </c>
      <c r="G2681" s="9">
        <v>0</v>
      </c>
      <c r="H2681" s="9">
        <f t="shared" si="571"/>
        <v>22904146.73</v>
      </c>
      <c r="I2681" s="8"/>
      <c r="J2681" s="8"/>
      <c r="K2681" s="8"/>
      <c r="L2681" s="8">
        <v>0</v>
      </c>
      <c r="M2681" s="9">
        <f>+H2681+L2681</f>
        <v>22904146.73</v>
      </c>
      <c r="N2681" s="8">
        <v>39027.11</v>
      </c>
      <c r="O2681" s="8">
        <v>0</v>
      </c>
      <c r="P2681" s="9">
        <f>+N2681+O2681</f>
        <v>39027.11</v>
      </c>
      <c r="Q2681" s="8"/>
      <c r="R2681" s="8"/>
      <c r="S2681" s="17"/>
      <c r="T2681" s="18">
        <v>0</v>
      </c>
      <c r="U2681" s="9">
        <f t="shared" si="572"/>
        <v>39027.11</v>
      </c>
      <c r="V2681" s="9">
        <f>V2494+V2539+V1617</f>
        <v>11609385.874120001</v>
      </c>
      <c r="W2681" s="9">
        <f>W2494+W2539+W1617</f>
        <v>0</v>
      </c>
      <c r="X2681" s="9">
        <f t="shared" si="560"/>
        <v>22943173.84</v>
      </c>
      <c r="Y2681" s="9">
        <f t="shared" si="570"/>
        <v>0</v>
      </c>
      <c r="Z2681" s="9">
        <f t="shared" si="562"/>
        <v>-22943173.84</v>
      </c>
      <c r="AA2681" s="8">
        <f t="shared" si="563"/>
        <v>22943173.84</v>
      </c>
      <c r="AB2681" s="18">
        <f>+E2681-AA2681</f>
        <v>-22943173.84</v>
      </c>
    </row>
    <row r="2682" spans="1:28" x14ac:dyDescent="0.35">
      <c r="A2682" s="36"/>
      <c r="B2682" s="8"/>
      <c r="C2682" s="7" t="s">
        <v>873</v>
      </c>
      <c r="D2682" s="8"/>
      <c r="E2682" s="8">
        <v>25794331.739999998</v>
      </c>
      <c r="F2682" s="8">
        <v>0</v>
      </c>
      <c r="G2682" s="9">
        <v>0</v>
      </c>
      <c r="H2682" s="9">
        <f t="shared" si="571"/>
        <v>0</v>
      </c>
      <c r="I2682" s="8"/>
      <c r="J2682" s="8"/>
      <c r="K2682" s="8"/>
      <c r="L2682" s="8">
        <v>0</v>
      </c>
      <c r="M2682" s="9">
        <f>+H2682+L2682</f>
        <v>0</v>
      </c>
      <c r="N2682" s="8">
        <v>25794331.739999998</v>
      </c>
      <c r="O2682" s="8">
        <v>0</v>
      </c>
      <c r="P2682" s="9">
        <f>+N2682+O2682</f>
        <v>25794331.739999998</v>
      </c>
      <c r="Q2682" s="8"/>
      <c r="R2682" s="8"/>
      <c r="S2682" s="17"/>
      <c r="T2682" s="18">
        <v>0</v>
      </c>
      <c r="U2682" s="9">
        <f t="shared" si="572"/>
        <v>25794331.739999998</v>
      </c>
      <c r="V2682" s="9"/>
      <c r="W2682" s="9"/>
      <c r="X2682" s="9">
        <f t="shared" si="560"/>
        <v>25794331.739999998</v>
      </c>
      <c r="Y2682" s="9">
        <f t="shared" si="570"/>
        <v>0</v>
      </c>
      <c r="Z2682" s="9">
        <f t="shared" si="562"/>
        <v>0</v>
      </c>
      <c r="AA2682" s="8">
        <f t="shared" si="563"/>
        <v>25794331.739999998</v>
      </c>
      <c r="AB2682" s="18">
        <f>+E2682-AA2682</f>
        <v>0</v>
      </c>
    </row>
    <row r="2683" spans="1:28" x14ac:dyDescent="0.35">
      <c r="A2683" s="36"/>
      <c r="B2683" s="8"/>
      <c r="C2683" s="7" t="s">
        <v>881</v>
      </c>
      <c r="D2683" s="8"/>
      <c r="E2683" s="8">
        <v>152151335</v>
      </c>
      <c r="F2683" s="8">
        <v>0</v>
      </c>
      <c r="G2683" s="9">
        <v>0</v>
      </c>
      <c r="H2683" s="9">
        <f t="shared" si="571"/>
        <v>0</v>
      </c>
      <c r="I2683" s="8"/>
      <c r="J2683" s="8"/>
      <c r="K2683" s="8"/>
      <c r="L2683" s="8">
        <v>0</v>
      </c>
      <c r="M2683" s="9">
        <f>+H2683+L2683</f>
        <v>0</v>
      </c>
      <c r="N2683" s="8">
        <v>152151335</v>
      </c>
      <c r="O2683" s="8">
        <v>0</v>
      </c>
      <c r="P2683" s="9">
        <f>+N2683+O2683</f>
        <v>152151335</v>
      </c>
      <c r="Q2683" s="8"/>
      <c r="R2683" s="8"/>
      <c r="S2683" s="17"/>
      <c r="T2683" s="18">
        <v>0</v>
      </c>
      <c r="U2683" s="9">
        <f t="shared" si="572"/>
        <v>152151335</v>
      </c>
      <c r="V2683" s="9"/>
      <c r="W2683" s="9"/>
      <c r="X2683" s="9">
        <f t="shared" si="560"/>
        <v>152151335</v>
      </c>
      <c r="Y2683" s="9">
        <f t="shared" si="570"/>
        <v>0</v>
      </c>
      <c r="Z2683" s="9">
        <f t="shared" si="562"/>
        <v>0</v>
      </c>
      <c r="AA2683" s="8">
        <f t="shared" si="563"/>
        <v>152151335</v>
      </c>
      <c r="AB2683" s="18">
        <f>+E2683-AA2683</f>
        <v>0</v>
      </c>
    </row>
    <row r="2684" spans="1:28" x14ac:dyDescent="0.35">
      <c r="A2684" s="36"/>
      <c r="B2684" s="8"/>
      <c r="C2684" s="7" t="s">
        <v>882</v>
      </c>
      <c r="D2684" s="8"/>
      <c r="E2684" s="12">
        <v>35232053</v>
      </c>
      <c r="F2684" s="9">
        <v>0</v>
      </c>
      <c r="G2684" s="9">
        <v>0</v>
      </c>
      <c r="H2684" s="9">
        <f t="shared" si="571"/>
        <v>0</v>
      </c>
      <c r="I2684" s="9"/>
      <c r="J2684" s="9"/>
      <c r="K2684" s="9"/>
      <c r="L2684" s="9">
        <v>0</v>
      </c>
      <c r="M2684" s="9">
        <f>+L2684+L2684</f>
        <v>0</v>
      </c>
      <c r="N2684" s="9">
        <v>35232053</v>
      </c>
      <c r="O2684" s="9">
        <v>0</v>
      </c>
      <c r="P2684" s="9">
        <f>+N2684+O2684</f>
        <v>35232053</v>
      </c>
      <c r="Q2684" s="9"/>
      <c r="R2684" s="9"/>
      <c r="S2684" s="17"/>
      <c r="T2684" s="18">
        <v>0</v>
      </c>
      <c r="U2684" s="9">
        <f t="shared" si="572"/>
        <v>35232053</v>
      </c>
      <c r="V2684" s="9"/>
      <c r="W2684" s="9"/>
      <c r="X2684" s="9">
        <f t="shared" si="560"/>
        <v>35232053</v>
      </c>
      <c r="Y2684" s="9">
        <f t="shared" si="570"/>
        <v>0</v>
      </c>
      <c r="Z2684" s="9">
        <f t="shared" si="562"/>
        <v>0</v>
      </c>
      <c r="AA2684" s="8">
        <f t="shared" si="563"/>
        <v>35232053</v>
      </c>
      <c r="AB2684" s="18">
        <f>+E2684-AA2684</f>
        <v>0</v>
      </c>
    </row>
    <row r="2685" spans="1:28" x14ac:dyDescent="0.35">
      <c r="A2685" s="36"/>
      <c r="B2685" s="8"/>
      <c r="C2685" s="8"/>
      <c r="D2685" s="8"/>
      <c r="E2685" s="26" t="s">
        <v>29</v>
      </c>
      <c r="F2685" s="26" t="s">
        <v>29</v>
      </c>
      <c r="G2685" s="26" t="s">
        <v>29</v>
      </c>
      <c r="H2685" s="26" t="s">
        <v>29</v>
      </c>
      <c r="I2685" s="26" t="s">
        <v>29</v>
      </c>
      <c r="J2685" s="26" t="s">
        <v>29</v>
      </c>
      <c r="K2685" s="26" t="s">
        <v>29</v>
      </c>
      <c r="L2685" s="26" t="s">
        <v>29</v>
      </c>
      <c r="M2685" s="26" t="s">
        <v>29</v>
      </c>
      <c r="N2685" s="26" t="s">
        <v>29</v>
      </c>
      <c r="O2685" s="26" t="s">
        <v>29</v>
      </c>
      <c r="P2685" s="26" t="s">
        <v>29</v>
      </c>
      <c r="Q2685" s="26" t="s">
        <v>29</v>
      </c>
      <c r="R2685" s="26" t="s">
        <v>29</v>
      </c>
      <c r="S2685" s="26" t="s">
        <v>29</v>
      </c>
      <c r="T2685" s="26" t="s">
        <v>29</v>
      </c>
      <c r="U2685" s="26" t="s">
        <v>29</v>
      </c>
      <c r="V2685" s="26" t="s">
        <v>29</v>
      </c>
      <c r="W2685" s="26" t="s">
        <v>29</v>
      </c>
      <c r="X2685" s="26" t="s">
        <v>29</v>
      </c>
      <c r="Y2685" s="26" t="s">
        <v>29</v>
      </c>
      <c r="Z2685" s="26" t="s">
        <v>29</v>
      </c>
      <c r="AA2685" s="26" t="s">
        <v>29</v>
      </c>
      <c r="AB2685" s="26"/>
    </row>
    <row r="2686" spans="1:28" x14ac:dyDescent="0.35">
      <c r="A2686" s="36"/>
      <c r="B2686" s="8"/>
      <c r="C2686" s="8"/>
      <c r="D2686" s="8"/>
      <c r="E2686" s="12">
        <f>SUM(E2615:E2684)</f>
        <v>6014920068.1599998</v>
      </c>
      <c r="F2686" s="12">
        <f t="shared" ref="F2686:AB2686" si="573">SUM(F2615:F2684)</f>
        <v>5093255019.25</v>
      </c>
      <c r="G2686" s="12">
        <f t="shared" si="573"/>
        <v>13279113.379999999</v>
      </c>
      <c r="H2686" s="12">
        <f t="shared" si="573"/>
        <v>5106534132.6300001</v>
      </c>
      <c r="I2686" s="12" t="e">
        <f t="shared" si="573"/>
        <v>#VALUE!</v>
      </c>
      <c r="J2686" s="12" t="e">
        <f t="shared" si="573"/>
        <v>#VALUE!</v>
      </c>
      <c r="K2686" s="12" t="e">
        <f t="shared" si="573"/>
        <v>#VALUE!</v>
      </c>
      <c r="L2686" s="12">
        <f t="shared" si="573"/>
        <v>30674586.770000003</v>
      </c>
      <c r="M2686" s="12">
        <f t="shared" si="573"/>
        <v>5137208719.3999996</v>
      </c>
      <c r="N2686" s="12" t="e">
        <f t="shared" si="573"/>
        <v>#VALUE!</v>
      </c>
      <c r="O2686" s="12">
        <f t="shared" si="573"/>
        <v>0</v>
      </c>
      <c r="P2686" s="12" t="e">
        <f t="shared" si="573"/>
        <v>#VALUE!</v>
      </c>
      <c r="Q2686" s="12" t="e">
        <f t="shared" si="573"/>
        <v>#VALUE!</v>
      </c>
      <c r="R2686" s="12" t="e">
        <f t="shared" si="573"/>
        <v>#VALUE!</v>
      </c>
      <c r="S2686" s="12" t="e">
        <f t="shared" si="573"/>
        <v>#VALUE!</v>
      </c>
      <c r="T2686" s="12">
        <f t="shared" si="573"/>
        <v>14597769.369999999</v>
      </c>
      <c r="U2686" s="12" t="e">
        <f t="shared" si="573"/>
        <v>#VALUE!</v>
      </c>
      <c r="V2686" s="12" t="e">
        <f t="shared" si="573"/>
        <v>#VALUE!</v>
      </c>
      <c r="W2686" s="12" t="e">
        <f t="shared" si="573"/>
        <v>#VALUE!</v>
      </c>
      <c r="X2686" s="12" t="e">
        <f t="shared" si="573"/>
        <v>#VALUE!</v>
      </c>
      <c r="Y2686" s="12" t="e">
        <f t="shared" si="573"/>
        <v>#REF!</v>
      </c>
      <c r="Z2686" s="12" t="e">
        <f t="shared" si="573"/>
        <v>#VALUE!</v>
      </c>
      <c r="AA2686" s="12" t="e">
        <f t="shared" si="573"/>
        <v>#VALUE!</v>
      </c>
      <c r="AB2686" s="12" t="e">
        <f t="shared" si="573"/>
        <v>#VALUE!</v>
      </c>
    </row>
    <row r="2687" spans="1:28" x14ac:dyDescent="0.35">
      <c r="A2687" s="36"/>
      <c r="B2687" s="8"/>
      <c r="C2687" s="8"/>
      <c r="D2687" s="8"/>
      <c r="E2687" s="17" t="s">
        <v>114</v>
      </c>
      <c r="F2687" s="17" t="s">
        <v>114</v>
      </c>
      <c r="G2687" s="17" t="s">
        <v>114</v>
      </c>
      <c r="H2687" s="17" t="s">
        <v>114</v>
      </c>
      <c r="I2687" s="17" t="s">
        <v>114</v>
      </c>
      <c r="J2687" s="17" t="s">
        <v>114</v>
      </c>
      <c r="K2687" s="17" t="s">
        <v>114</v>
      </c>
      <c r="L2687" s="17" t="s">
        <v>114</v>
      </c>
      <c r="M2687" s="17" t="s">
        <v>114</v>
      </c>
      <c r="N2687" s="17" t="s">
        <v>114</v>
      </c>
      <c r="O2687" s="17" t="s">
        <v>114</v>
      </c>
      <c r="P2687" s="17" t="s">
        <v>114</v>
      </c>
      <c r="Q2687" s="17" t="s">
        <v>114</v>
      </c>
      <c r="R2687" s="17" t="s">
        <v>114</v>
      </c>
      <c r="S2687" s="17" t="s">
        <v>114</v>
      </c>
      <c r="T2687" s="17" t="s">
        <v>114</v>
      </c>
      <c r="U2687" s="17" t="s">
        <v>114</v>
      </c>
      <c r="V2687" s="17" t="s">
        <v>114</v>
      </c>
      <c r="W2687" s="17" t="s">
        <v>114</v>
      </c>
      <c r="X2687" s="17" t="s">
        <v>114</v>
      </c>
      <c r="Y2687" s="17" t="s">
        <v>114</v>
      </c>
      <c r="Z2687" s="17" t="s">
        <v>114</v>
      </c>
      <c r="AA2687" s="17" t="s">
        <v>114</v>
      </c>
      <c r="AB2687" s="17" t="s">
        <v>114</v>
      </c>
    </row>
    <row r="2688" spans="1:28" x14ac:dyDescent="0.35">
      <c r="A2688" s="36"/>
      <c r="B2688" s="8"/>
      <c r="C2688" s="8"/>
      <c r="D2688" s="8"/>
      <c r="E2688" s="18"/>
      <c r="F2688" s="18"/>
      <c r="G2688" s="18"/>
      <c r="H2688" s="18"/>
      <c r="I2688" s="18"/>
      <c r="J2688" s="18"/>
      <c r="K2688" s="18"/>
      <c r="L2688" s="18"/>
      <c r="M2688" s="18"/>
      <c r="N2688" s="18"/>
      <c r="O2688" s="18"/>
      <c r="P2688" s="18"/>
      <c r="Q2688" s="18"/>
      <c r="R2688" s="18"/>
      <c r="S2688" s="18"/>
      <c r="T2688" s="18"/>
      <c r="U2688" s="18"/>
      <c r="V2688" s="18"/>
      <c r="W2688" s="18"/>
      <c r="X2688" s="18"/>
      <c r="Y2688" s="18"/>
      <c r="Z2688" s="18"/>
    </row>
    <row r="2689" spans="1:26" x14ac:dyDescent="0.35">
      <c r="A2689" s="36"/>
      <c r="B2689" s="8"/>
      <c r="C2689" s="8"/>
      <c r="D2689" s="7" t="s">
        <v>495</v>
      </c>
      <c r="E2689" s="7" t="s">
        <v>496</v>
      </c>
      <c r="F2689" s="8"/>
      <c r="G2689" s="22"/>
      <c r="H2689" s="8"/>
      <c r="I2689" s="8"/>
      <c r="J2689" s="8"/>
      <c r="K2689" s="8"/>
      <c r="L2689" s="8"/>
      <c r="M2689" s="8"/>
      <c r="N2689" s="8"/>
      <c r="O2689" s="8"/>
      <c r="P2689" s="8"/>
      <c r="Q2689" s="8"/>
      <c r="R2689" s="8"/>
      <c r="S2689" s="8"/>
      <c r="T2689" s="8"/>
      <c r="U2689" s="8"/>
      <c r="V2689" s="8"/>
      <c r="W2689" s="8"/>
      <c r="X2689" s="8"/>
      <c r="Y2689" s="8"/>
      <c r="Z2689" s="8"/>
    </row>
    <row r="2690" spans="1:26" x14ac:dyDescent="0.35">
      <c r="A2690" s="36"/>
      <c r="B2690" s="8"/>
      <c r="C2690" s="8"/>
      <c r="D2690" s="8"/>
      <c r="E2690" s="7" t="s">
        <v>497</v>
      </c>
      <c r="F2690" s="8"/>
      <c r="G2690" s="8"/>
      <c r="H2690" s="8"/>
      <c r="I2690" s="8"/>
      <c r="J2690" s="8"/>
      <c r="K2690" s="8"/>
      <c r="L2690" s="8"/>
      <c r="M2690" s="8"/>
      <c r="N2690" s="8"/>
      <c r="O2690" s="8"/>
      <c r="P2690" s="8"/>
      <c r="Q2690" s="8"/>
      <c r="R2690" s="8"/>
      <c r="S2690" s="8"/>
      <c r="T2690" s="8"/>
      <c r="U2690" s="8"/>
      <c r="V2690" s="8"/>
      <c r="W2690" s="8"/>
      <c r="X2690" s="8"/>
      <c r="Y2690" s="8"/>
      <c r="Z2690" s="8"/>
    </row>
    <row r="2691" spans="1:26" x14ac:dyDescent="0.35">
      <c r="A2691" s="36"/>
      <c r="B2691" s="8"/>
      <c r="C2691" s="8"/>
      <c r="D2691" s="8"/>
      <c r="E2691" s="7" t="s">
        <v>498</v>
      </c>
      <c r="F2691" s="8"/>
      <c r="G2691" s="8"/>
      <c r="H2691" s="8"/>
      <c r="I2691" s="8"/>
      <c r="J2691" s="8"/>
      <c r="K2691" s="8"/>
      <c r="L2691" s="8"/>
      <c r="M2691" s="8"/>
      <c r="N2691" s="8"/>
      <c r="O2691" s="8"/>
      <c r="P2691" s="8"/>
      <c r="Q2691" s="8"/>
      <c r="R2691" s="8"/>
      <c r="S2691" s="8"/>
      <c r="T2691" s="8"/>
      <c r="U2691" s="8"/>
      <c r="V2691" s="8"/>
      <c r="W2691" s="8"/>
      <c r="X2691" s="8"/>
      <c r="Y2691" s="8"/>
      <c r="Z2691" s="8"/>
    </row>
    <row r="2692" spans="1:26" x14ac:dyDescent="0.35">
      <c r="A2692" s="36"/>
      <c r="B2692" s="8"/>
      <c r="C2692" s="8"/>
      <c r="D2692" s="8"/>
      <c r="E2692" s="8"/>
      <c r="F2692" s="8"/>
      <c r="G2692" s="8"/>
      <c r="H2692" s="8"/>
      <c r="I2692" s="8"/>
      <c r="J2692" s="8"/>
      <c r="K2692" s="8"/>
      <c r="L2692" s="8"/>
      <c r="M2692" s="8"/>
      <c r="N2692" s="8"/>
      <c r="O2692" s="8"/>
      <c r="P2692" s="8"/>
      <c r="Q2692" s="8"/>
      <c r="R2692" s="8"/>
      <c r="S2692" s="8"/>
      <c r="T2692" s="8"/>
      <c r="U2692" s="8"/>
      <c r="V2692" s="8"/>
      <c r="W2692" s="8"/>
      <c r="X2692" s="8"/>
      <c r="Y2692" s="8"/>
      <c r="Z2692" s="8"/>
    </row>
    <row r="2693" spans="1:26" x14ac:dyDescent="0.35">
      <c r="A2693" s="36"/>
      <c r="B2693" s="8"/>
      <c r="C2693" s="8"/>
      <c r="D2693" s="8"/>
      <c r="E2693" s="8"/>
      <c r="F2693" s="8"/>
      <c r="G2693" s="8"/>
      <c r="H2693" s="8"/>
      <c r="I2693" s="8"/>
      <c r="J2693" s="8"/>
      <c r="K2693" s="8"/>
      <c r="L2693" s="8"/>
      <c r="M2693" s="8"/>
      <c r="N2693" s="8"/>
      <c r="O2693" s="8"/>
      <c r="P2693" s="8"/>
      <c r="Q2693" s="8"/>
      <c r="R2693" s="8"/>
      <c r="S2693" s="8"/>
      <c r="T2693" s="8"/>
      <c r="U2693" s="8"/>
      <c r="V2693" s="8"/>
      <c r="W2693" s="8"/>
      <c r="X2693" s="8"/>
      <c r="Y2693" s="8"/>
      <c r="Z2693" s="8"/>
    </row>
    <row r="2694" spans="1:26" x14ac:dyDescent="0.35">
      <c r="A2694" s="36"/>
      <c r="B2694" s="8"/>
      <c r="C2694" s="8"/>
      <c r="D2694" s="8"/>
      <c r="E2694" s="8"/>
      <c r="F2694" s="8"/>
      <c r="G2694" s="8"/>
      <c r="H2694" s="8"/>
      <c r="I2694" s="8"/>
      <c r="J2694" s="8"/>
      <c r="K2694" s="8"/>
      <c r="L2694" s="8"/>
      <c r="M2694" s="8"/>
      <c r="N2694" s="8"/>
      <c r="O2694" s="8"/>
      <c r="P2694" s="8"/>
      <c r="Q2694" s="8"/>
      <c r="R2694" s="8"/>
      <c r="S2694" s="8"/>
      <c r="T2694" s="8"/>
      <c r="U2694" s="8"/>
      <c r="V2694" s="8"/>
      <c r="W2694" s="8"/>
      <c r="X2694" s="8"/>
      <c r="Y2694" s="8"/>
      <c r="Z2694" s="8"/>
    </row>
    <row r="2695" spans="1:26" x14ac:dyDescent="0.35">
      <c r="A2695" s="36"/>
      <c r="B2695" s="8"/>
      <c r="C2695" s="8"/>
      <c r="D2695" s="8"/>
      <c r="E2695" s="8"/>
      <c r="F2695" s="8"/>
      <c r="G2695" s="8"/>
      <c r="H2695" s="8"/>
      <c r="I2695" s="8"/>
      <c r="J2695" s="8"/>
      <c r="K2695" s="8"/>
      <c r="L2695" s="8"/>
      <c r="M2695" s="8"/>
      <c r="N2695" s="8"/>
      <c r="O2695" s="8"/>
      <c r="P2695" s="8"/>
      <c r="Q2695" s="8"/>
      <c r="R2695" s="8"/>
      <c r="S2695" s="8"/>
      <c r="T2695" s="8"/>
      <c r="U2695" s="8"/>
      <c r="V2695" s="8"/>
      <c r="W2695" s="8"/>
      <c r="X2695" s="8"/>
      <c r="Y2695" s="8"/>
      <c r="Z2695" s="8"/>
    </row>
    <row r="2696" spans="1:26" x14ac:dyDescent="0.35">
      <c r="B2696" s="8"/>
      <c r="C2696" s="8"/>
      <c r="D2696" s="8"/>
      <c r="E2696" s="8"/>
      <c r="F2696" s="8"/>
      <c r="G2696" s="8"/>
      <c r="H2696" s="8"/>
      <c r="I2696" s="8"/>
      <c r="J2696" s="8"/>
      <c r="K2696" s="8"/>
      <c r="L2696" s="8"/>
      <c r="M2696" s="8"/>
      <c r="N2696" s="8"/>
      <c r="O2696" s="8"/>
      <c r="P2696" s="8"/>
      <c r="Q2696" s="8"/>
      <c r="R2696" s="8"/>
      <c r="S2696" s="8"/>
      <c r="T2696" s="8"/>
      <c r="U2696" s="8"/>
      <c r="V2696" s="8"/>
      <c r="W2696" s="8"/>
      <c r="X2696" s="8"/>
      <c r="Y2696" s="8"/>
      <c r="Z2696" s="8"/>
    </row>
    <row r="2697" spans="1:26" x14ac:dyDescent="0.35">
      <c r="B2697" s="8" t="s">
        <v>489</v>
      </c>
      <c r="C2697" s="8"/>
      <c r="E2697" s="8"/>
      <c r="H2697" s="8" t="s">
        <v>1099</v>
      </c>
      <c r="I2697" s="8"/>
      <c r="J2697" s="8"/>
      <c r="K2697" s="8"/>
      <c r="M2697" s="8"/>
      <c r="O2697" s="8"/>
      <c r="Q2697" s="8"/>
      <c r="R2697" s="8"/>
      <c r="S2697" s="8"/>
      <c r="T2697" s="8"/>
      <c r="U2697" s="8" t="s">
        <v>1057</v>
      </c>
      <c r="V2697" s="8"/>
      <c r="W2697" s="8"/>
      <c r="X2697" s="8"/>
      <c r="Y2697" s="8"/>
      <c r="Z2697" s="8"/>
    </row>
    <row r="2698" spans="1:26" x14ac:dyDescent="0.35">
      <c r="B2698" s="8"/>
      <c r="C2698" s="8"/>
      <c r="E2698" s="8"/>
      <c r="H2698" s="8"/>
      <c r="I2698" s="8"/>
      <c r="J2698" s="8"/>
      <c r="K2698" s="8"/>
      <c r="M2698" s="8"/>
      <c r="O2698" s="8"/>
      <c r="Q2698" s="8"/>
      <c r="R2698" s="8"/>
      <c r="S2698" s="8"/>
      <c r="T2698" s="8"/>
      <c r="U2698" s="8"/>
      <c r="V2698" s="8"/>
      <c r="W2698" s="8"/>
      <c r="X2698" s="8"/>
      <c r="Y2698" s="8"/>
      <c r="Z2698" s="8"/>
    </row>
    <row r="2699" spans="1:26" x14ac:dyDescent="0.35">
      <c r="B2699" s="8"/>
      <c r="C2699" s="8"/>
      <c r="E2699" s="8"/>
      <c r="H2699" s="8"/>
      <c r="I2699" s="8"/>
      <c r="J2699" s="8"/>
      <c r="K2699" s="8"/>
      <c r="M2699" s="8"/>
      <c r="O2699" s="8"/>
      <c r="Q2699" s="8"/>
      <c r="R2699" s="8"/>
      <c r="S2699" s="8"/>
      <c r="T2699" s="8"/>
      <c r="U2699" s="8"/>
      <c r="V2699" s="8"/>
      <c r="W2699" s="8"/>
      <c r="X2699" s="8"/>
      <c r="Y2699" s="8"/>
      <c r="Z2699" s="8"/>
    </row>
    <row r="2700" spans="1:26" x14ac:dyDescent="0.35">
      <c r="B2700" s="8" t="s">
        <v>1056</v>
      </c>
      <c r="C2700" s="8"/>
      <c r="E2700" s="8"/>
      <c r="H2700" s="8" t="s">
        <v>1100</v>
      </c>
      <c r="I2700" s="8"/>
      <c r="J2700" s="8"/>
      <c r="K2700" s="8"/>
      <c r="M2700" s="8"/>
      <c r="O2700" s="8"/>
      <c r="Q2700" s="8"/>
      <c r="R2700" s="8"/>
      <c r="S2700" s="8"/>
      <c r="T2700" s="8"/>
      <c r="U2700" s="8" t="s">
        <v>1058</v>
      </c>
      <c r="V2700" s="8"/>
      <c r="W2700" s="8"/>
      <c r="X2700" s="8"/>
      <c r="Y2700" s="8"/>
      <c r="Z2700" s="8"/>
    </row>
    <row r="2701" spans="1:26" x14ac:dyDescent="0.35">
      <c r="B2701" s="8" t="s">
        <v>1055</v>
      </c>
      <c r="C2701" s="8"/>
      <c r="E2701" s="8"/>
      <c r="H2701" s="8" t="s">
        <v>1101</v>
      </c>
      <c r="I2701" s="8"/>
      <c r="J2701" s="8"/>
      <c r="K2701" s="8"/>
      <c r="M2701" s="8"/>
      <c r="O2701" s="8"/>
      <c r="Q2701" s="8"/>
      <c r="R2701" s="8"/>
      <c r="S2701" s="8"/>
      <c r="T2701" s="8"/>
      <c r="U2701" s="8" t="s">
        <v>1059</v>
      </c>
      <c r="V2701" s="8"/>
      <c r="W2701" s="8"/>
      <c r="X2701" s="8"/>
      <c r="Y2701" s="8"/>
      <c r="Z2701" s="8"/>
    </row>
    <row r="2702" spans="1:26" x14ac:dyDescent="0.35">
      <c r="A2702" s="36"/>
      <c r="B2702" s="8"/>
      <c r="C2702" s="8"/>
      <c r="D2702" s="8"/>
      <c r="E2702" s="8"/>
      <c r="F2702" s="8"/>
      <c r="G2702" s="8"/>
      <c r="H2702" s="8"/>
      <c r="I2702" s="8"/>
      <c r="J2702" s="8"/>
      <c r="K2702" s="8"/>
      <c r="L2702" s="8"/>
      <c r="M2702" s="8"/>
      <c r="N2702" s="8"/>
      <c r="O2702" s="8"/>
      <c r="P2702" s="8"/>
      <c r="Q2702" s="8"/>
      <c r="R2702" s="8"/>
      <c r="S2702" s="8"/>
      <c r="T2702" s="8"/>
      <c r="U2702" s="8"/>
      <c r="V2702" s="8"/>
      <c r="W2702" s="8"/>
      <c r="X2702" s="8"/>
      <c r="Y2702" s="8"/>
      <c r="Z2702" s="8"/>
    </row>
    <row r="2703" spans="1:26" x14ac:dyDescent="0.35">
      <c r="A2703" s="36"/>
      <c r="B2703" s="8"/>
      <c r="C2703" s="8"/>
      <c r="D2703" s="8"/>
      <c r="E2703" s="8"/>
      <c r="F2703" s="8"/>
      <c r="G2703" s="8"/>
      <c r="H2703" s="8"/>
      <c r="I2703" s="8"/>
      <c r="J2703" s="8"/>
      <c r="K2703" s="8"/>
      <c r="L2703" s="8"/>
      <c r="M2703" s="8"/>
      <c r="N2703" s="8"/>
      <c r="O2703" s="8"/>
      <c r="P2703" s="8"/>
      <c r="Q2703" s="8"/>
      <c r="R2703" s="8"/>
      <c r="S2703" s="8"/>
      <c r="T2703" s="8"/>
      <c r="U2703" s="8"/>
      <c r="V2703" s="8"/>
      <c r="W2703" s="8"/>
      <c r="X2703" s="8"/>
      <c r="Y2703" s="8"/>
      <c r="Z2703" s="8"/>
    </row>
    <row r="2704" spans="1:26" x14ac:dyDescent="0.35">
      <c r="A2704" s="36"/>
      <c r="B2704" s="8"/>
      <c r="C2704" s="8"/>
      <c r="D2704" s="8"/>
      <c r="E2704" s="8"/>
      <c r="F2704" s="8"/>
      <c r="G2704" s="8"/>
      <c r="H2704" s="8"/>
      <c r="I2704" s="8"/>
      <c r="J2704" s="8"/>
      <c r="K2704" s="8"/>
      <c r="L2704" s="8"/>
      <c r="M2704" s="8"/>
      <c r="N2704" s="8"/>
      <c r="O2704" s="8"/>
      <c r="P2704" s="8"/>
      <c r="Q2704" s="8"/>
      <c r="R2704" s="8"/>
      <c r="S2704" s="8"/>
      <c r="T2704" s="8"/>
      <c r="U2704" s="8"/>
      <c r="V2704" s="8"/>
      <c r="W2704" s="8"/>
      <c r="X2704" s="8"/>
      <c r="Y2704" s="8"/>
      <c r="Z2704" s="8"/>
    </row>
    <row r="2705" spans="1:28" x14ac:dyDescent="0.35">
      <c r="A2705" s="36"/>
      <c r="B2705" s="8"/>
      <c r="C2705" s="8"/>
      <c r="D2705" s="8"/>
      <c r="E2705" s="8"/>
      <c r="F2705" s="8"/>
      <c r="G2705" s="8"/>
      <c r="H2705" s="8"/>
      <c r="I2705" s="8"/>
      <c r="J2705" s="8"/>
      <c r="K2705" s="8"/>
      <c r="L2705" s="8"/>
      <c r="M2705" s="8"/>
      <c r="N2705" s="8"/>
      <c r="O2705" s="8"/>
      <c r="P2705" s="8"/>
      <c r="Q2705" s="8"/>
      <c r="R2705" s="8"/>
      <c r="S2705" s="8"/>
      <c r="T2705" s="8"/>
      <c r="U2705" s="8"/>
      <c r="V2705" s="8"/>
      <c r="W2705" s="8"/>
      <c r="X2705" s="8"/>
      <c r="Y2705" s="8"/>
      <c r="Z2705" s="8"/>
    </row>
    <row r="2706" spans="1:28" x14ac:dyDescent="0.35">
      <c r="A2706" s="36"/>
      <c r="B2706" s="8"/>
      <c r="C2706" s="8"/>
      <c r="D2706" s="8"/>
      <c r="E2706" s="8"/>
      <c r="F2706" s="8"/>
      <c r="G2706" s="8"/>
      <c r="H2706" s="8"/>
      <c r="I2706" s="8"/>
      <c r="J2706" s="8"/>
      <c r="K2706" s="8"/>
      <c r="L2706" s="8"/>
      <c r="M2706" s="8"/>
      <c r="N2706" s="8"/>
      <c r="O2706" s="8"/>
      <c r="P2706" s="8"/>
      <c r="Q2706" s="8"/>
      <c r="R2706" s="8"/>
      <c r="S2706" s="8"/>
      <c r="T2706" s="8"/>
      <c r="U2706" s="8"/>
      <c r="V2706" s="8"/>
      <c r="W2706" s="8"/>
      <c r="X2706" s="8"/>
      <c r="Y2706" s="8"/>
      <c r="Z2706" s="8"/>
    </row>
    <row r="2707" spans="1:28" x14ac:dyDescent="0.35">
      <c r="A2707" s="36"/>
      <c r="B2707" s="8"/>
      <c r="C2707" s="8">
        <f>+C2602</f>
        <v>0</v>
      </c>
      <c r="D2707" s="8"/>
      <c r="E2707" s="8"/>
      <c r="F2707" s="8"/>
      <c r="G2707" s="8"/>
      <c r="H2707" s="8"/>
      <c r="I2707" s="8"/>
      <c r="J2707" s="8"/>
      <c r="K2707" s="8"/>
      <c r="L2707" s="8"/>
      <c r="M2707" s="8"/>
      <c r="N2707" s="8"/>
      <c r="O2707" s="8"/>
      <c r="P2707" s="8"/>
      <c r="Q2707" s="8"/>
      <c r="R2707" s="8"/>
      <c r="S2707" s="8"/>
      <c r="T2707" s="8"/>
      <c r="U2707" s="8"/>
      <c r="V2707" s="8"/>
      <c r="W2707" s="8"/>
      <c r="X2707" s="8"/>
      <c r="Y2707" s="8"/>
      <c r="Z2707" s="8"/>
      <c r="AB2707" s="7"/>
    </row>
    <row r="2708" spans="1:28" x14ac:dyDescent="0.35">
      <c r="A2708" s="36"/>
      <c r="B2708" s="8"/>
      <c r="C2708" s="8" t="str">
        <f>+C2603</f>
        <v>rr</v>
      </c>
      <c r="D2708" s="8"/>
      <c r="E2708" s="8"/>
      <c r="F2708" s="8"/>
      <c r="G2708" s="8"/>
      <c r="H2708" s="8"/>
      <c r="I2708" s="8"/>
      <c r="J2708" s="8"/>
      <c r="K2708" s="8"/>
      <c r="L2708" s="8"/>
      <c r="M2708" s="8"/>
      <c r="N2708" s="8"/>
      <c r="O2708" s="8"/>
      <c r="P2708" s="8"/>
      <c r="Q2708" s="8"/>
      <c r="R2708" s="8"/>
      <c r="S2708" s="8"/>
      <c r="T2708" s="8"/>
      <c r="U2708" s="8"/>
      <c r="V2708" s="8"/>
      <c r="W2708" s="8"/>
      <c r="X2708" s="8"/>
      <c r="Y2708" s="8"/>
      <c r="Z2708" s="8"/>
    </row>
    <row r="2709" spans="1:28" x14ac:dyDescent="0.35">
      <c r="A2709" s="36"/>
      <c r="B2709" s="8"/>
      <c r="C2709" s="8"/>
      <c r="D2709" s="8"/>
      <c r="E2709" s="8"/>
      <c r="F2709" s="8"/>
      <c r="G2709" s="8"/>
      <c r="H2709" s="8"/>
      <c r="I2709" s="8"/>
      <c r="J2709" s="8"/>
      <c r="K2709" s="8"/>
      <c r="L2709" s="8"/>
      <c r="M2709" s="8"/>
      <c r="N2709" s="8"/>
      <c r="O2709" s="8"/>
      <c r="P2709" s="8"/>
      <c r="Q2709" s="8"/>
      <c r="R2709" s="8"/>
      <c r="S2709" s="8"/>
      <c r="T2709" s="8"/>
      <c r="U2709" s="8"/>
      <c r="V2709" s="8"/>
      <c r="W2709" s="8"/>
      <c r="X2709" s="8"/>
      <c r="Y2709" s="8"/>
      <c r="Z2709" s="8"/>
    </row>
    <row r="2710" spans="1:28" x14ac:dyDescent="0.35">
      <c r="A2710" s="36"/>
      <c r="B2710" s="8"/>
      <c r="C2710" s="8"/>
      <c r="D2710" s="8"/>
      <c r="E2710" s="8"/>
      <c r="F2710" s="8"/>
      <c r="G2710" s="8"/>
      <c r="H2710" s="8"/>
      <c r="I2710" s="8"/>
      <c r="J2710" s="8"/>
      <c r="K2710" s="8"/>
      <c r="L2710" s="8"/>
      <c r="M2710" s="8"/>
      <c r="N2710" s="8"/>
      <c r="O2710" s="8"/>
      <c r="P2710" s="8"/>
      <c r="Q2710" s="8"/>
      <c r="R2710" s="8"/>
      <c r="S2710" s="8"/>
      <c r="T2710" s="8"/>
      <c r="U2710" s="8"/>
      <c r="V2710" s="8"/>
      <c r="W2710" s="8"/>
      <c r="X2710" s="8"/>
      <c r="Y2710" s="8"/>
      <c r="Z2710" s="8"/>
    </row>
    <row r="2711" spans="1:28" x14ac:dyDescent="0.35">
      <c r="A2711" s="36"/>
      <c r="B2711" s="8"/>
      <c r="C2711" s="8"/>
      <c r="D2711" s="8"/>
      <c r="E2711" s="8"/>
      <c r="F2711" s="8"/>
      <c r="G2711" s="8"/>
      <c r="H2711" s="8"/>
      <c r="I2711" s="8"/>
      <c r="J2711" s="8"/>
      <c r="K2711" s="8"/>
      <c r="L2711" s="8"/>
      <c r="M2711" s="8"/>
      <c r="N2711" s="8"/>
      <c r="O2711" s="8"/>
      <c r="P2711" s="8"/>
      <c r="Q2711" s="8"/>
      <c r="R2711" s="8"/>
      <c r="S2711" s="8"/>
      <c r="T2711" s="8"/>
      <c r="U2711" s="8"/>
      <c r="V2711" s="8"/>
      <c r="W2711" s="8"/>
      <c r="X2711" s="8"/>
      <c r="Y2711" s="8"/>
      <c r="Z2711" s="8"/>
      <c r="AB2711" s="7"/>
    </row>
    <row r="2712" spans="1:28" x14ac:dyDescent="0.35">
      <c r="A2712" s="36"/>
      <c r="B2712" s="8"/>
      <c r="C2712" s="17"/>
      <c r="D2712" s="17"/>
      <c r="E2712" s="17"/>
      <c r="F2712" s="17"/>
      <c r="G2712" s="17"/>
      <c r="H2712" s="17"/>
      <c r="I2712" s="17"/>
      <c r="J2712" s="17"/>
      <c r="K2712" s="17"/>
      <c r="L2712" s="17"/>
      <c r="M2712" s="17"/>
      <c r="N2712" s="17"/>
      <c r="O2712" s="17"/>
      <c r="P2712" s="17"/>
      <c r="Q2712" s="17"/>
      <c r="R2712" s="17"/>
      <c r="S2712" s="17"/>
      <c r="T2712" s="17"/>
      <c r="U2712" s="17"/>
      <c r="V2712" s="17"/>
      <c r="W2712" s="17"/>
      <c r="X2712" s="17"/>
      <c r="Y2712" s="17"/>
      <c r="Z2712" s="17"/>
    </row>
    <row r="2713" spans="1:28" x14ac:dyDescent="0.35">
      <c r="A2713" s="36" t="s">
        <v>1102</v>
      </c>
      <c r="B2713" s="8"/>
      <c r="C2713" s="7" t="s">
        <v>499</v>
      </c>
      <c r="D2713" s="8"/>
      <c r="E2713" s="8"/>
      <c r="F2713" s="8"/>
      <c r="G2713" s="8"/>
      <c r="H2713" s="8"/>
      <c r="I2713" s="8"/>
      <c r="J2713" s="8"/>
      <c r="K2713" s="8"/>
      <c r="L2713" s="8"/>
      <c r="M2713" s="8"/>
      <c r="N2713" s="8"/>
      <c r="O2713" s="8"/>
      <c r="P2713" s="8"/>
      <c r="Q2713" s="8"/>
      <c r="R2713" s="8"/>
      <c r="S2713" s="8"/>
      <c r="T2713" s="8"/>
      <c r="U2713" s="8"/>
      <c r="V2713" s="8"/>
      <c r="W2713" s="8"/>
      <c r="X2713" s="8"/>
      <c r="Y2713" s="8"/>
      <c r="Z2713" s="8"/>
    </row>
    <row r="2714" spans="1:28" x14ac:dyDescent="0.35">
      <c r="A2714" s="36"/>
      <c r="B2714" s="8"/>
      <c r="C2714" s="9" t="str">
        <f>B3</f>
        <v>AS OF  FEBRUARY 28,  2005</v>
      </c>
      <c r="D2714" s="8"/>
      <c r="E2714" s="8"/>
      <c r="F2714" s="8"/>
      <c r="G2714" s="8"/>
      <c r="H2714" s="8"/>
      <c r="I2714" s="8"/>
      <c r="J2714" s="8"/>
      <c r="K2714" s="8"/>
      <c r="L2714" s="8"/>
      <c r="M2714" s="8"/>
      <c r="N2714" s="8"/>
      <c r="O2714" s="8"/>
      <c r="P2714" s="8"/>
      <c r="Q2714" s="8"/>
      <c r="R2714" s="8"/>
      <c r="S2714" s="8"/>
      <c r="T2714" s="8"/>
      <c r="U2714" s="8"/>
      <c r="V2714" s="8"/>
      <c r="W2714" s="8"/>
      <c r="X2714" s="8"/>
      <c r="Y2714" s="8"/>
      <c r="Z2714" s="8"/>
    </row>
    <row r="2715" spans="1:28" x14ac:dyDescent="0.35">
      <c r="A2715" s="36"/>
      <c r="B2715" s="8"/>
      <c r="C2715" s="9"/>
      <c r="D2715" s="8"/>
      <c r="E2715" s="8"/>
      <c r="F2715" s="8"/>
      <c r="G2715" s="8"/>
      <c r="H2715" s="8"/>
      <c r="I2715" s="8"/>
      <c r="J2715" s="8"/>
      <c r="K2715" s="8"/>
      <c r="L2715" s="8"/>
      <c r="M2715" s="8"/>
      <c r="N2715" s="8"/>
      <c r="O2715" s="8"/>
      <c r="P2715" s="8"/>
      <c r="Q2715" s="8"/>
      <c r="R2715" s="8"/>
      <c r="S2715" s="8"/>
      <c r="T2715" s="8"/>
      <c r="U2715" s="8"/>
      <c r="V2715" s="8"/>
      <c r="W2715" s="8"/>
      <c r="X2715" s="8"/>
      <c r="Y2715" s="8"/>
      <c r="Z2715" s="8"/>
    </row>
    <row r="2716" spans="1:28" x14ac:dyDescent="0.35">
      <c r="A2716" s="36"/>
      <c r="B2716" s="8"/>
      <c r="C2716" s="8"/>
      <c r="D2716" s="8"/>
      <c r="E2716" s="8"/>
      <c r="F2716" s="8"/>
      <c r="G2716" s="8"/>
      <c r="H2716" s="8"/>
      <c r="I2716" s="8"/>
      <c r="J2716" s="8"/>
      <c r="K2716" s="8"/>
      <c r="L2716" s="8"/>
      <c r="M2716" s="8"/>
      <c r="N2716" s="8"/>
      <c r="O2716" s="8"/>
      <c r="P2716" s="8"/>
      <c r="Q2716" s="8"/>
      <c r="R2716" s="8"/>
      <c r="S2716" s="8"/>
      <c r="T2716" s="8"/>
      <c r="U2716" s="8"/>
      <c r="V2716" s="8"/>
      <c r="W2716" s="8"/>
      <c r="X2716" s="8"/>
      <c r="Y2716" s="8"/>
      <c r="Z2716" s="8"/>
    </row>
    <row r="2717" spans="1:28" x14ac:dyDescent="0.35">
      <c r="A2717" s="36"/>
      <c r="B2717" s="8"/>
      <c r="C2717" s="8"/>
      <c r="D2717" s="29" t="s">
        <v>0</v>
      </c>
      <c r="E2717" s="8"/>
      <c r="F2717" s="8"/>
      <c r="G2717" s="15" t="s">
        <v>1</v>
      </c>
      <c r="H2717" s="9"/>
      <c r="I2717" s="15" t="s">
        <v>2</v>
      </c>
      <c r="J2717" s="8"/>
      <c r="K2717" s="15" t="s">
        <v>2</v>
      </c>
      <c r="L2717" s="15" t="s">
        <v>3</v>
      </c>
      <c r="M2717" s="15" t="s">
        <v>3</v>
      </c>
      <c r="N2717" s="8"/>
      <c r="O2717" s="15" t="s">
        <v>4</v>
      </c>
      <c r="P2717" s="9"/>
      <c r="Q2717" s="8"/>
      <c r="R2717" s="8"/>
      <c r="S2717" s="15" t="s">
        <v>2</v>
      </c>
      <c r="T2717" s="15" t="s">
        <v>3</v>
      </c>
      <c r="U2717" s="15" t="s">
        <v>3</v>
      </c>
      <c r="V2717" s="15" t="s">
        <v>3</v>
      </c>
      <c r="W2717" s="15" t="s">
        <v>5</v>
      </c>
      <c r="X2717" s="15" t="s">
        <v>3</v>
      </c>
      <c r="Y2717" s="15" t="s">
        <v>2</v>
      </c>
      <c r="Z2717" s="15" t="s">
        <v>5</v>
      </c>
      <c r="AA2717" s="51" t="s">
        <v>1109</v>
      </c>
      <c r="AB2717" s="51" t="s">
        <v>5</v>
      </c>
    </row>
    <row r="2718" spans="1:28" x14ac:dyDescent="0.35">
      <c r="A2718" s="36"/>
      <c r="B2718" s="8"/>
      <c r="C2718" s="8"/>
      <c r="D2718" s="29" t="s">
        <v>6</v>
      </c>
      <c r="E2718" s="15" t="s">
        <v>7</v>
      </c>
      <c r="F2718" s="15" t="s">
        <v>8</v>
      </c>
      <c r="G2718" s="15" t="s">
        <v>9</v>
      </c>
      <c r="H2718" s="9"/>
      <c r="I2718" s="15" t="s">
        <v>10</v>
      </c>
      <c r="J2718" s="15" t="s">
        <v>11</v>
      </c>
      <c r="K2718" s="15" t="s">
        <v>12</v>
      </c>
      <c r="L2718" s="15" t="s">
        <v>1</v>
      </c>
      <c r="M2718" s="15" t="s">
        <v>1</v>
      </c>
      <c r="N2718" s="15" t="s">
        <v>4</v>
      </c>
      <c r="O2718" s="15" t="s">
        <v>12</v>
      </c>
      <c r="P2718" s="9"/>
      <c r="Q2718" s="15" t="s">
        <v>2</v>
      </c>
      <c r="R2718" s="15" t="s">
        <v>11</v>
      </c>
      <c r="S2718" s="15" t="s">
        <v>12</v>
      </c>
      <c r="T2718" s="15" t="s">
        <v>13</v>
      </c>
      <c r="U2718" s="15" t="s">
        <v>13</v>
      </c>
      <c r="V2718" s="15" t="s">
        <v>9</v>
      </c>
      <c r="W2718" s="15" t="s">
        <v>14</v>
      </c>
      <c r="X2718" s="15" t="s">
        <v>9</v>
      </c>
      <c r="Y2718" s="15" t="s">
        <v>15</v>
      </c>
      <c r="Z2718" s="15" t="s">
        <v>14</v>
      </c>
      <c r="AA2718" s="51" t="s">
        <v>9</v>
      </c>
      <c r="AB2718" s="51" t="s">
        <v>14</v>
      </c>
    </row>
    <row r="2719" spans="1:28" x14ac:dyDescent="0.35">
      <c r="A2719" s="36"/>
      <c r="B2719" s="8"/>
      <c r="C2719" s="15"/>
      <c r="D2719" s="29" t="s">
        <v>17</v>
      </c>
      <c r="E2719" s="33" t="s">
        <v>18</v>
      </c>
      <c r="F2719" s="33" t="str">
        <f>+F6</f>
        <v>AS OF 01/31/05</v>
      </c>
      <c r="G2719" s="33" t="s">
        <v>19</v>
      </c>
      <c r="H2719" s="33" t="s">
        <v>20</v>
      </c>
      <c r="I2719" s="33" t="s">
        <v>21</v>
      </c>
      <c r="J2719" s="33" t="s">
        <v>22</v>
      </c>
      <c r="K2719" s="33" t="s">
        <v>21</v>
      </c>
      <c r="L2719" s="33" t="s">
        <v>2</v>
      </c>
      <c r="M2719" s="33" t="s">
        <v>9</v>
      </c>
      <c r="N2719" s="33" t="str">
        <f>+F2719</f>
        <v>AS OF 01/31/05</v>
      </c>
      <c r="O2719" s="33" t="s">
        <v>21</v>
      </c>
      <c r="P2719" s="33" t="s">
        <v>20</v>
      </c>
      <c r="Q2719" s="33" t="s">
        <v>23</v>
      </c>
      <c r="R2719" s="33" t="s">
        <v>24</v>
      </c>
      <c r="S2719" s="33" t="s">
        <v>21</v>
      </c>
      <c r="T2719" s="33" t="s">
        <v>2</v>
      </c>
      <c r="U2719" s="33" t="s">
        <v>9</v>
      </c>
      <c r="V2719" s="33" t="s">
        <v>25</v>
      </c>
      <c r="W2719" s="34" t="s">
        <v>26</v>
      </c>
      <c r="X2719" s="52" t="s">
        <v>1113</v>
      </c>
      <c r="Y2719" s="33" t="s">
        <v>27</v>
      </c>
      <c r="Z2719" s="52" t="s">
        <v>1113</v>
      </c>
      <c r="AA2719" s="52" t="s">
        <v>1110</v>
      </c>
      <c r="AB2719" s="52" t="s">
        <v>1110</v>
      </c>
    </row>
    <row r="2720" spans="1:28" x14ac:dyDescent="0.35">
      <c r="A2720" s="36"/>
      <c r="B2720" s="8"/>
      <c r="C2720" s="16"/>
      <c r="D2720" s="30" t="s">
        <v>29</v>
      </c>
      <c r="E2720" s="7"/>
      <c r="F2720" s="16"/>
      <c r="G2720" s="7"/>
      <c r="H2720" s="16"/>
      <c r="I2720" s="7"/>
      <c r="J2720" s="7"/>
      <c r="K2720" s="7"/>
      <c r="L2720" s="16"/>
      <c r="M2720" s="7"/>
      <c r="N2720" s="17"/>
      <c r="O2720" s="7"/>
      <c r="P2720" s="7"/>
      <c r="Q2720" s="7"/>
      <c r="R2720" s="7"/>
      <c r="S2720" s="7"/>
      <c r="T2720" s="16"/>
      <c r="U2720" s="7"/>
      <c r="V2720" s="7"/>
      <c r="W2720" s="17"/>
      <c r="X2720" s="7"/>
      <c r="Y2720" s="7"/>
      <c r="Z2720" s="7"/>
      <c r="AA2720" s="13"/>
      <c r="AB2720" s="7"/>
    </row>
    <row r="2721" spans="1:28" x14ac:dyDescent="0.35">
      <c r="A2721" s="36"/>
      <c r="B2721" s="8"/>
      <c r="C2721" s="8"/>
      <c r="D2721" s="8"/>
      <c r="E2721" s="8"/>
      <c r="F2721" s="8"/>
      <c r="G2721" s="8"/>
      <c r="H2721" s="8"/>
      <c r="I2721" s="8"/>
      <c r="J2721" s="8"/>
      <c r="K2721" s="8"/>
      <c r="L2721" s="8"/>
      <c r="M2721" s="8"/>
      <c r="N2721" s="8"/>
      <c r="O2721" s="8"/>
      <c r="P2721" s="8"/>
      <c r="Q2721" s="8"/>
      <c r="R2721" s="8"/>
      <c r="S2721" s="8"/>
      <c r="T2721" s="8"/>
      <c r="U2721" s="8"/>
      <c r="V2721" s="8"/>
      <c r="W2721" s="8"/>
      <c r="X2721" s="9"/>
      <c r="Y2721" s="8"/>
      <c r="Z2721" s="8"/>
    </row>
    <row r="2722" spans="1:28" x14ac:dyDescent="0.35">
      <c r="A2722" s="36"/>
      <c r="B2722" s="8"/>
      <c r="C2722" s="7" t="s">
        <v>500</v>
      </c>
      <c r="D2722" s="8"/>
      <c r="E2722" s="9">
        <f t="shared" ref="E2722:W2722" si="574">+E125</f>
        <v>349467.34629000002</v>
      </c>
      <c r="F2722" s="9">
        <f t="shared" si="574"/>
        <v>268688.42498000001</v>
      </c>
      <c r="G2722" s="9">
        <f t="shared" si="574"/>
        <v>0</v>
      </c>
      <c r="H2722" s="9">
        <f t="shared" si="574"/>
        <v>268688.42498000001</v>
      </c>
      <c r="I2722" s="9">
        <f t="shared" si="574"/>
        <v>1122</v>
      </c>
      <c r="J2722" s="9">
        <f t="shared" si="574"/>
        <v>1122</v>
      </c>
      <c r="K2722" s="9">
        <f t="shared" si="574"/>
        <v>0</v>
      </c>
      <c r="L2722" s="9">
        <f t="shared" si="574"/>
        <v>0</v>
      </c>
      <c r="M2722" s="9">
        <f t="shared" si="574"/>
        <v>268688.42498000001</v>
      </c>
      <c r="N2722" s="9">
        <f t="shared" si="574"/>
        <v>75916.920410000006</v>
      </c>
      <c r="O2722" s="9">
        <f t="shared" si="574"/>
        <v>0</v>
      </c>
      <c r="P2722" s="9">
        <f t="shared" si="574"/>
        <v>75916.920410000006</v>
      </c>
      <c r="Q2722" s="9">
        <f t="shared" si="574"/>
        <v>0</v>
      </c>
      <c r="R2722" s="9">
        <f t="shared" si="574"/>
        <v>0</v>
      </c>
      <c r="S2722" s="9">
        <f t="shared" si="574"/>
        <v>31.498429999999999</v>
      </c>
      <c r="T2722" s="9">
        <f t="shared" si="574"/>
        <v>29.618009999999998</v>
      </c>
      <c r="U2722" s="9">
        <f t="shared" si="574"/>
        <v>75946.538420000012</v>
      </c>
      <c r="V2722" s="9">
        <f t="shared" si="574"/>
        <v>342520.23272999993</v>
      </c>
      <c r="W2722" s="9">
        <f t="shared" si="574"/>
        <v>4862.0008999999991</v>
      </c>
      <c r="X2722" s="9">
        <f>+H2722+P2722</f>
        <v>344605.34539000003</v>
      </c>
      <c r="Y2722" s="9">
        <f>+Y125</f>
        <v>0</v>
      </c>
      <c r="Z2722" s="9">
        <f>+E2722-X2722</f>
        <v>4862.0008999999845</v>
      </c>
      <c r="AA2722" s="9">
        <f>+M2722+U2722</f>
        <v>344634.96340000001</v>
      </c>
      <c r="AB2722" s="9">
        <f>+E2722-AA2722</f>
        <v>4832.382890000008</v>
      </c>
    </row>
    <row r="2723" spans="1:28" x14ac:dyDescent="0.35">
      <c r="A2723" s="36"/>
      <c r="B2723" s="8"/>
      <c r="C2723" s="8"/>
      <c r="D2723" s="8"/>
      <c r="E2723" s="8"/>
      <c r="F2723" s="8"/>
      <c r="G2723" s="8"/>
      <c r="H2723" s="8"/>
      <c r="I2723" s="8"/>
      <c r="J2723" s="8"/>
      <c r="K2723" s="8"/>
      <c r="L2723" s="8"/>
      <c r="M2723" s="8"/>
      <c r="N2723" s="8"/>
      <c r="O2723" s="8"/>
      <c r="P2723" s="8"/>
      <c r="Q2723" s="8"/>
      <c r="R2723" s="8"/>
      <c r="S2723" s="8"/>
      <c r="T2723" s="8"/>
      <c r="U2723" s="8"/>
      <c r="V2723" s="8"/>
      <c r="W2723" s="8"/>
      <c r="X2723" s="8"/>
      <c r="Y2723" s="8"/>
      <c r="Z2723" s="8"/>
    </row>
    <row r="2724" spans="1:28" x14ac:dyDescent="0.35">
      <c r="A2724" s="36"/>
      <c r="B2724" s="8"/>
      <c r="C2724" s="7" t="s">
        <v>501</v>
      </c>
      <c r="D2724" s="8"/>
      <c r="E2724" s="9">
        <f>+E226</f>
        <v>250628.85547000001</v>
      </c>
      <c r="F2724" s="9">
        <f t="shared" ref="F2724:W2724" si="575">+F226</f>
        <v>192728.51532999999</v>
      </c>
      <c r="G2724" s="9">
        <f t="shared" si="575"/>
        <v>0</v>
      </c>
      <c r="H2724" s="9">
        <f t="shared" si="575"/>
        <v>192728.51532999999</v>
      </c>
      <c r="I2724" s="9">
        <f t="shared" si="575"/>
        <v>127959.68300000002</v>
      </c>
      <c r="J2724" s="9">
        <f t="shared" si="575"/>
        <v>2729.4740000000002</v>
      </c>
      <c r="K2724" s="9">
        <f t="shared" si="575"/>
        <v>130689.15700000001</v>
      </c>
      <c r="L2724" s="9">
        <f t="shared" si="575"/>
        <v>2729.4740000000002</v>
      </c>
      <c r="M2724" s="9">
        <f t="shared" si="575"/>
        <v>195457.98932999998</v>
      </c>
      <c r="N2724" s="9">
        <f t="shared" si="575"/>
        <v>53078.531840000003</v>
      </c>
      <c r="O2724" s="9">
        <f t="shared" si="575"/>
        <v>0</v>
      </c>
      <c r="P2724" s="9">
        <f t="shared" si="575"/>
        <v>53078.531840000003</v>
      </c>
      <c r="Q2724" s="9">
        <f t="shared" si="575"/>
        <v>140334.35609000002</v>
      </c>
      <c r="R2724" s="9">
        <f t="shared" si="575"/>
        <v>-63833.191310000009</v>
      </c>
      <c r="S2724" s="9">
        <f t="shared" si="575"/>
        <v>0</v>
      </c>
      <c r="T2724" s="9">
        <f t="shared" si="575"/>
        <v>11.57367</v>
      </c>
      <c r="U2724" s="9">
        <f t="shared" si="575"/>
        <v>53090.105510000009</v>
      </c>
      <c r="V2724" s="9">
        <f t="shared" si="575"/>
        <v>210172.06324000002</v>
      </c>
      <c r="W2724" s="9">
        <f t="shared" si="575"/>
        <v>29216.149729999997</v>
      </c>
      <c r="X2724" s="9">
        <f>+H2724+P2724</f>
        <v>245807.04717000001</v>
      </c>
      <c r="Y2724" s="9">
        <f>+Y127</f>
        <v>0</v>
      </c>
      <c r="Z2724" s="9">
        <f>+E2724-X2724</f>
        <v>4821.8083000000042</v>
      </c>
      <c r="AA2724" s="9">
        <f>+M2724+U2724</f>
        <v>248548.09483999998</v>
      </c>
      <c r="AB2724" s="9">
        <f>+E2724-AA2724</f>
        <v>2080.7606300000334</v>
      </c>
    </row>
    <row r="2725" spans="1:28" x14ac:dyDescent="0.35">
      <c r="A2725" s="36"/>
      <c r="B2725" s="8"/>
      <c r="C2725" s="7"/>
      <c r="D2725" s="8"/>
      <c r="E2725" s="9"/>
      <c r="F2725" s="9"/>
      <c r="G2725" s="9"/>
      <c r="H2725" s="9"/>
      <c r="I2725" s="9"/>
      <c r="J2725" s="9"/>
      <c r="K2725" s="9"/>
      <c r="L2725" s="9"/>
      <c r="M2725" s="9"/>
      <c r="N2725" s="9"/>
      <c r="O2725" s="9"/>
      <c r="P2725" s="9"/>
      <c r="Q2725" s="9"/>
      <c r="R2725" s="9"/>
      <c r="S2725" s="9"/>
      <c r="T2725" s="9"/>
      <c r="U2725" s="9"/>
      <c r="V2725" s="9"/>
      <c r="W2725" s="9"/>
      <c r="X2725" s="9"/>
      <c r="Y2725" s="9"/>
      <c r="Z2725" s="9"/>
    </row>
    <row r="2726" spans="1:28" x14ac:dyDescent="0.35">
      <c r="A2726" s="36"/>
      <c r="B2726" s="8"/>
      <c r="C2726" s="8" t="s">
        <v>919</v>
      </c>
      <c r="D2726" s="8"/>
      <c r="E2726" s="8">
        <f>+E403</f>
        <v>295401.97363999998</v>
      </c>
      <c r="F2726" s="8">
        <f t="shared" ref="F2726:W2726" si="576">+F403</f>
        <v>236931.05582000001</v>
      </c>
      <c r="G2726" s="8">
        <f t="shared" si="576"/>
        <v>0</v>
      </c>
      <c r="H2726" s="8">
        <f t="shared" si="576"/>
        <v>236931.05582000001</v>
      </c>
      <c r="I2726" s="8" t="e">
        <f t="shared" si="576"/>
        <v>#VALUE!</v>
      </c>
      <c r="J2726" s="8">
        <f t="shared" si="576"/>
        <v>223113.65559000001</v>
      </c>
      <c r="K2726" s="8">
        <f t="shared" si="576"/>
        <v>53407.78813999999</v>
      </c>
      <c r="L2726" s="8" t="e">
        <f t="shared" si="576"/>
        <v>#VALUE!</v>
      </c>
      <c r="M2726" s="8">
        <f t="shared" si="576"/>
        <v>240370.49382</v>
      </c>
      <c r="N2726" s="8">
        <f t="shared" si="576"/>
        <v>53431.510840000003</v>
      </c>
      <c r="O2726" s="8">
        <f t="shared" si="576"/>
        <v>0</v>
      </c>
      <c r="P2726" s="8">
        <f t="shared" si="576"/>
        <v>53431.510840000003</v>
      </c>
      <c r="Q2726" s="8">
        <f t="shared" si="576"/>
        <v>27061.636740000002</v>
      </c>
      <c r="R2726" s="8">
        <f t="shared" si="576"/>
        <v>0</v>
      </c>
      <c r="S2726" s="8">
        <f t="shared" si="576"/>
        <v>0</v>
      </c>
      <c r="T2726" s="8">
        <f t="shared" si="576"/>
        <v>88.582650000000001</v>
      </c>
      <c r="U2726" s="8">
        <f t="shared" si="576"/>
        <v>53520.093489999999</v>
      </c>
      <c r="V2726" s="8">
        <f t="shared" si="576"/>
        <v>0</v>
      </c>
      <c r="W2726" s="8">
        <f t="shared" si="576"/>
        <v>0</v>
      </c>
      <c r="X2726" s="9">
        <f>+H2726+P2726</f>
        <v>290362.56666000001</v>
      </c>
      <c r="Y2726" s="9">
        <f>+Y129</f>
        <v>0</v>
      </c>
      <c r="Z2726" s="9">
        <f>+E2726-X2726</f>
        <v>5039.4069799999706</v>
      </c>
      <c r="AA2726" s="9">
        <f>+M2726+U2726</f>
        <v>293890.58730999997</v>
      </c>
      <c r="AB2726" s="9">
        <f>+E2726-AA2726</f>
        <v>1511.3863300000085</v>
      </c>
    </row>
    <row r="2727" spans="1:28" x14ac:dyDescent="0.35">
      <c r="A2727" s="36"/>
      <c r="B2727" s="8"/>
      <c r="C2727" s="8"/>
      <c r="D2727" s="8"/>
      <c r="E2727" s="8"/>
      <c r="F2727" s="8"/>
      <c r="G2727" s="8"/>
      <c r="H2727" s="8"/>
      <c r="I2727" s="8"/>
      <c r="J2727" s="8"/>
      <c r="K2727" s="8"/>
      <c r="L2727" s="8"/>
      <c r="M2727" s="8"/>
      <c r="N2727" s="8"/>
      <c r="O2727" s="8"/>
      <c r="P2727" s="8"/>
      <c r="Q2727" s="8"/>
      <c r="R2727" s="8"/>
      <c r="S2727" s="8"/>
      <c r="T2727" s="8"/>
      <c r="U2727" s="8"/>
      <c r="V2727" s="8"/>
      <c r="W2727" s="8"/>
      <c r="X2727" s="8"/>
      <c r="Y2727" s="8"/>
      <c r="Z2727" s="8"/>
    </row>
    <row r="2728" spans="1:28" x14ac:dyDescent="0.35">
      <c r="A2728" s="36"/>
      <c r="B2728" s="8"/>
      <c r="C2728" s="7" t="s">
        <v>502</v>
      </c>
      <c r="D2728" s="8"/>
      <c r="E2728" s="9">
        <f>+E615</f>
        <v>710763.50081999996</v>
      </c>
      <c r="F2728" s="9">
        <f t="shared" ref="F2728:W2728" si="577">+F615</f>
        <v>495400.4370700001</v>
      </c>
      <c r="G2728" s="9">
        <f t="shared" si="577"/>
        <v>0</v>
      </c>
      <c r="H2728" s="9">
        <f t="shared" si="577"/>
        <v>495400.4370700001</v>
      </c>
      <c r="I2728" s="9">
        <f t="shared" si="577"/>
        <v>1029.9882299999999</v>
      </c>
      <c r="J2728" s="9">
        <f t="shared" si="577"/>
        <v>0</v>
      </c>
      <c r="K2728" s="9">
        <f t="shared" si="577"/>
        <v>0</v>
      </c>
      <c r="L2728" s="9">
        <f t="shared" si="577"/>
        <v>1029.9882299999999</v>
      </c>
      <c r="M2728" s="9">
        <f t="shared" si="577"/>
        <v>496430.42530000012</v>
      </c>
      <c r="N2728" s="9">
        <f t="shared" si="577"/>
        <v>92267.67134999999</v>
      </c>
      <c r="O2728" s="9">
        <f t="shared" si="577"/>
        <v>0</v>
      </c>
      <c r="P2728" s="9">
        <f t="shared" si="577"/>
        <v>92267.67134999999</v>
      </c>
      <c r="Q2728" s="9">
        <f t="shared" si="577"/>
        <v>0</v>
      </c>
      <c r="R2728" s="9">
        <f t="shared" si="577"/>
        <v>0</v>
      </c>
      <c r="S2728" s="9">
        <f t="shared" si="577"/>
        <v>0</v>
      </c>
      <c r="T2728" s="9">
        <f t="shared" si="577"/>
        <v>0</v>
      </c>
      <c r="U2728" s="9">
        <f t="shared" si="577"/>
        <v>92267.67134999999</v>
      </c>
      <c r="V2728" s="9">
        <f t="shared" si="577"/>
        <v>586237.45395999996</v>
      </c>
      <c r="W2728" s="9">
        <f t="shared" si="577"/>
        <v>102628.47777</v>
      </c>
      <c r="X2728" s="9">
        <f>+H2728+P2728</f>
        <v>587668.10842000006</v>
      </c>
      <c r="Y2728" s="9">
        <f>+Y131</f>
        <v>0</v>
      </c>
      <c r="Z2728" s="9">
        <f>+E2728-X2728</f>
        <v>123095.3923999999</v>
      </c>
      <c r="AA2728" s="9">
        <f>+M2728+U2728</f>
        <v>588698.09665000008</v>
      </c>
      <c r="AB2728" s="9">
        <f>+E2728-AA2728</f>
        <v>122065.40416999988</v>
      </c>
    </row>
    <row r="2729" spans="1:28" x14ac:dyDescent="0.35">
      <c r="A2729" s="36"/>
      <c r="B2729" s="8"/>
      <c r="C2729" s="8"/>
      <c r="D2729" s="8"/>
      <c r="E2729" s="8"/>
      <c r="F2729" s="8"/>
      <c r="G2729" s="8"/>
      <c r="H2729" s="8"/>
      <c r="I2729" s="8"/>
      <c r="J2729" s="8"/>
      <c r="K2729" s="8"/>
      <c r="L2729" s="8"/>
      <c r="M2729" s="8"/>
      <c r="N2729" s="8"/>
      <c r="O2729" s="8"/>
      <c r="P2729" s="8"/>
      <c r="Q2729" s="8"/>
      <c r="R2729" s="8"/>
      <c r="S2729" s="8"/>
      <c r="T2729" s="8"/>
      <c r="U2729" s="8"/>
      <c r="V2729" s="8"/>
      <c r="W2729" s="8"/>
      <c r="X2729" s="8"/>
      <c r="Y2729" s="8"/>
      <c r="Z2729" s="8"/>
    </row>
    <row r="2730" spans="1:28" x14ac:dyDescent="0.35">
      <c r="A2730" s="36"/>
      <c r="B2730" s="8"/>
      <c r="C2730" s="7" t="s">
        <v>920</v>
      </c>
      <c r="D2730" s="8"/>
      <c r="E2730" s="9" t="e">
        <f>+E918</f>
        <v>#REF!</v>
      </c>
      <c r="F2730" s="9" t="e">
        <f t="shared" ref="F2730:W2730" si="578">+F918</f>
        <v>#REF!</v>
      </c>
      <c r="G2730" s="9" t="e">
        <f t="shared" si="578"/>
        <v>#REF!</v>
      </c>
      <c r="H2730" s="9" t="e">
        <f t="shared" si="578"/>
        <v>#REF!</v>
      </c>
      <c r="I2730" s="9" t="e">
        <f t="shared" si="578"/>
        <v>#REF!</v>
      </c>
      <c r="J2730" s="9" t="e">
        <f t="shared" si="578"/>
        <v>#REF!</v>
      </c>
      <c r="K2730" s="9" t="e">
        <f t="shared" si="578"/>
        <v>#REF!</v>
      </c>
      <c r="L2730" s="9" t="e">
        <f t="shared" si="578"/>
        <v>#REF!</v>
      </c>
      <c r="M2730" s="9" t="e">
        <f t="shared" si="578"/>
        <v>#REF!</v>
      </c>
      <c r="N2730" s="9" t="e">
        <f t="shared" si="578"/>
        <v>#REF!</v>
      </c>
      <c r="O2730" s="9">
        <v>0</v>
      </c>
      <c r="P2730" s="9" t="e">
        <f t="shared" si="578"/>
        <v>#REF!</v>
      </c>
      <c r="Q2730" s="9" t="e">
        <f t="shared" si="578"/>
        <v>#REF!</v>
      </c>
      <c r="R2730" s="9">
        <f t="shared" si="578"/>
        <v>0</v>
      </c>
      <c r="S2730" s="9">
        <f t="shared" si="578"/>
        <v>0</v>
      </c>
      <c r="T2730" s="9" t="e">
        <f t="shared" si="578"/>
        <v>#REF!</v>
      </c>
      <c r="U2730" s="9" t="e">
        <f t="shared" si="578"/>
        <v>#REF!</v>
      </c>
      <c r="V2730" s="9" t="e">
        <f t="shared" si="578"/>
        <v>#REF!</v>
      </c>
      <c r="W2730" s="9" t="e">
        <f t="shared" si="578"/>
        <v>#REF!</v>
      </c>
      <c r="X2730" s="9" t="e">
        <f>+H2730+P2730</f>
        <v>#REF!</v>
      </c>
      <c r="Y2730" s="9">
        <f>+Y133</f>
        <v>0</v>
      </c>
      <c r="Z2730" s="9" t="e">
        <f>+E2730-X2730</f>
        <v>#REF!</v>
      </c>
      <c r="AA2730" s="9" t="e">
        <f>+M2730+U2730</f>
        <v>#REF!</v>
      </c>
      <c r="AB2730" s="9" t="e">
        <f>+E2730-AA2730</f>
        <v>#REF!</v>
      </c>
    </row>
    <row r="2731" spans="1:28" x14ac:dyDescent="0.35">
      <c r="A2731" s="36"/>
      <c r="B2731" s="8"/>
      <c r="C2731" s="8"/>
      <c r="D2731" s="8"/>
      <c r="E2731" s="8"/>
      <c r="F2731" s="8"/>
      <c r="G2731" s="8"/>
      <c r="H2731" s="8"/>
      <c r="I2731" s="8"/>
      <c r="J2731" s="8"/>
      <c r="K2731" s="8"/>
      <c r="L2731" s="8"/>
      <c r="M2731" s="8"/>
      <c r="N2731" s="8"/>
      <c r="O2731" s="8"/>
      <c r="P2731" s="8"/>
      <c r="Q2731" s="8"/>
      <c r="R2731" s="8"/>
      <c r="S2731" s="8"/>
      <c r="T2731" s="8"/>
      <c r="U2731" s="8"/>
      <c r="V2731" s="8"/>
      <c r="W2731" s="8"/>
      <c r="X2731" s="8"/>
      <c r="Y2731" s="8"/>
      <c r="Z2731" s="8"/>
    </row>
    <row r="2732" spans="1:28" x14ac:dyDescent="0.35">
      <c r="A2732" s="36"/>
      <c r="B2732" s="8"/>
      <c r="C2732" s="7" t="s">
        <v>503</v>
      </c>
      <c r="D2732" s="8"/>
      <c r="E2732" s="9">
        <f>+E1137</f>
        <v>607627.4956599999</v>
      </c>
      <c r="F2732" s="9">
        <f t="shared" ref="F2732:W2732" si="579">+F1137</f>
        <v>493034.38311000005</v>
      </c>
      <c r="G2732" s="9">
        <f t="shared" si="579"/>
        <v>0</v>
      </c>
      <c r="H2732" s="9">
        <f t="shared" si="579"/>
        <v>493034.38311000005</v>
      </c>
      <c r="I2732" s="9">
        <f t="shared" si="579"/>
        <v>13430.469430000001</v>
      </c>
      <c r="J2732" s="9">
        <f t="shared" si="579"/>
        <v>13430.469430000001</v>
      </c>
      <c r="K2732" s="9">
        <f t="shared" si="579"/>
        <v>0</v>
      </c>
      <c r="L2732" s="9">
        <f t="shared" si="579"/>
        <v>0</v>
      </c>
      <c r="M2732" s="9">
        <f t="shared" si="579"/>
        <v>493034.38311000005</v>
      </c>
      <c r="N2732" s="9">
        <f t="shared" si="579"/>
        <v>113880.2714</v>
      </c>
      <c r="O2732" s="9">
        <f t="shared" si="579"/>
        <v>0</v>
      </c>
      <c r="P2732" s="9">
        <f t="shared" si="579"/>
        <v>113880.2714</v>
      </c>
      <c r="Q2732" s="9">
        <f t="shared" si="579"/>
        <v>37.806410000000007</v>
      </c>
      <c r="R2732" s="9">
        <f t="shared" si="579"/>
        <v>0</v>
      </c>
      <c r="S2732" s="9">
        <f t="shared" si="579"/>
        <v>90.390740000000008</v>
      </c>
      <c r="T2732" s="9">
        <f t="shared" si="579"/>
        <v>128.19715000000002</v>
      </c>
      <c r="U2732" s="9">
        <f t="shared" si="579"/>
        <v>114008.46855000001</v>
      </c>
      <c r="V2732" s="9">
        <f t="shared" si="579"/>
        <v>584467.20807999989</v>
      </c>
      <c r="W2732" s="9">
        <f t="shared" si="579"/>
        <v>712.84114999999997</v>
      </c>
      <c r="X2732" s="9">
        <f>+H2732+P2732</f>
        <v>606914.65451000002</v>
      </c>
      <c r="Y2732" s="9">
        <f>+Y135</f>
        <v>0</v>
      </c>
      <c r="Z2732" s="9">
        <f>+E2732-X2732</f>
        <v>712.84114999987651</v>
      </c>
      <c r="AA2732" s="9">
        <f>+M2732+U2732</f>
        <v>607042.85166000004</v>
      </c>
      <c r="AB2732" s="9">
        <f>+E2732-AA2732</f>
        <v>584.64399999985471</v>
      </c>
    </row>
    <row r="2733" spans="1:28" x14ac:dyDescent="0.35">
      <c r="A2733" s="36"/>
      <c r="B2733" s="8"/>
      <c r="C2733" s="8"/>
      <c r="D2733" s="8"/>
      <c r="E2733" s="8"/>
      <c r="F2733" s="8"/>
      <c r="G2733" s="8"/>
      <c r="H2733" s="8"/>
      <c r="I2733" s="8"/>
      <c r="J2733" s="8"/>
      <c r="K2733" s="8"/>
      <c r="L2733" s="8"/>
      <c r="M2733" s="8"/>
      <c r="N2733" s="8"/>
      <c r="O2733" s="8"/>
      <c r="P2733" s="8"/>
      <c r="Q2733" s="8"/>
      <c r="R2733" s="8"/>
      <c r="S2733" s="8"/>
      <c r="T2733" s="8"/>
      <c r="U2733" s="8"/>
      <c r="V2733" s="8"/>
      <c r="W2733" s="8"/>
      <c r="X2733" s="8"/>
      <c r="Y2733" s="8"/>
      <c r="Z2733" s="8"/>
    </row>
    <row r="2734" spans="1:28" x14ac:dyDescent="0.35">
      <c r="A2734" s="36"/>
      <c r="B2734" s="8"/>
      <c r="C2734" s="7" t="s">
        <v>921</v>
      </c>
      <c r="D2734" s="8"/>
      <c r="E2734" s="9" t="e">
        <f>+E1466</f>
        <v>#REF!</v>
      </c>
      <c r="F2734" s="9" t="e">
        <f t="shared" ref="F2734:W2734" si="580">+F1466</f>
        <v>#REF!</v>
      </c>
      <c r="G2734" s="9" t="e">
        <f t="shared" si="580"/>
        <v>#REF!</v>
      </c>
      <c r="H2734" s="9" t="e">
        <f t="shared" si="580"/>
        <v>#REF!</v>
      </c>
      <c r="I2734" s="9" t="e">
        <f t="shared" si="580"/>
        <v>#REF!</v>
      </c>
      <c r="J2734" s="9" t="e">
        <f t="shared" si="580"/>
        <v>#REF!</v>
      </c>
      <c r="K2734" s="9" t="e">
        <f t="shared" si="580"/>
        <v>#REF!</v>
      </c>
      <c r="L2734" s="9" t="e">
        <f t="shared" si="580"/>
        <v>#REF!</v>
      </c>
      <c r="M2734" s="9" t="e">
        <f t="shared" si="580"/>
        <v>#REF!</v>
      </c>
      <c r="N2734" s="9" t="e">
        <f t="shared" si="580"/>
        <v>#REF!</v>
      </c>
      <c r="O2734" s="9" t="e">
        <f t="shared" si="580"/>
        <v>#REF!</v>
      </c>
      <c r="P2734" s="9" t="e">
        <f t="shared" si="580"/>
        <v>#REF!</v>
      </c>
      <c r="Q2734" s="9" t="e">
        <f t="shared" si="580"/>
        <v>#REF!</v>
      </c>
      <c r="R2734" s="9">
        <f t="shared" si="580"/>
        <v>0</v>
      </c>
      <c r="S2734" s="9">
        <f t="shared" si="580"/>
        <v>0</v>
      </c>
      <c r="T2734" s="9" t="e">
        <f t="shared" si="580"/>
        <v>#REF!</v>
      </c>
      <c r="U2734" s="9" t="e">
        <f t="shared" si="580"/>
        <v>#REF!</v>
      </c>
      <c r="V2734" s="9" t="e">
        <f t="shared" si="580"/>
        <v>#REF!</v>
      </c>
      <c r="W2734" s="9" t="e">
        <f t="shared" si="580"/>
        <v>#REF!</v>
      </c>
      <c r="X2734" s="9" t="e">
        <f>+H2734+P2734</f>
        <v>#REF!</v>
      </c>
      <c r="Y2734" s="9">
        <f>+Y137</f>
        <v>0</v>
      </c>
      <c r="Z2734" s="9" t="e">
        <f>+E2734-X2734</f>
        <v>#REF!</v>
      </c>
      <c r="AA2734" s="9" t="e">
        <f>+M2734+U2734</f>
        <v>#REF!</v>
      </c>
      <c r="AB2734" s="9" t="e">
        <f>+E2734-AA2734</f>
        <v>#REF!</v>
      </c>
    </row>
    <row r="2735" spans="1:28" x14ac:dyDescent="0.35">
      <c r="A2735" s="36"/>
      <c r="B2735" s="8"/>
      <c r="C2735" s="7"/>
      <c r="D2735" s="8"/>
      <c r="E2735" s="9"/>
      <c r="F2735" s="9"/>
      <c r="G2735" s="9"/>
      <c r="H2735" s="9"/>
      <c r="I2735" s="9"/>
      <c r="J2735" s="9"/>
      <c r="K2735" s="9"/>
      <c r="L2735" s="9"/>
      <c r="M2735" s="9"/>
      <c r="N2735" s="9"/>
      <c r="O2735" s="9"/>
      <c r="P2735" s="9"/>
      <c r="Q2735" s="9"/>
      <c r="R2735" s="9"/>
      <c r="S2735" s="9"/>
      <c r="T2735" s="9"/>
      <c r="U2735" s="9"/>
      <c r="V2735" s="9"/>
      <c r="W2735" s="9"/>
      <c r="X2735" s="9"/>
      <c r="Y2735" s="9"/>
      <c r="Z2735" s="9"/>
    </row>
    <row r="2736" spans="1:28" x14ac:dyDescent="0.35">
      <c r="A2736" s="36"/>
      <c r="B2736" s="8"/>
      <c r="C2736" s="7" t="s">
        <v>293</v>
      </c>
      <c r="D2736" s="8"/>
      <c r="E2736" s="9">
        <f>+E1647</f>
        <v>311195.77220999997</v>
      </c>
      <c r="F2736" s="9">
        <f t="shared" ref="F2736:W2736" si="581">+F1647</f>
        <v>285380.425728</v>
      </c>
      <c r="G2736" s="9">
        <f t="shared" si="581"/>
        <v>0</v>
      </c>
      <c r="H2736" s="9">
        <f t="shared" si="581"/>
        <v>285380.425728</v>
      </c>
      <c r="I2736" s="9">
        <f t="shared" si="581"/>
        <v>5073.1859999999997</v>
      </c>
      <c r="J2736" s="9">
        <f t="shared" si="581"/>
        <v>1379.847</v>
      </c>
      <c r="K2736" s="9">
        <f t="shared" si="581"/>
        <v>0</v>
      </c>
      <c r="L2736" s="9">
        <f t="shared" si="581"/>
        <v>0</v>
      </c>
      <c r="M2736" s="9">
        <f t="shared" si="581"/>
        <v>285380.425728</v>
      </c>
      <c r="N2736" s="9">
        <f t="shared" si="581"/>
        <v>21549.78557</v>
      </c>
      <c r="O2736" s="9">
        <f t="shared" si="581"/>
        <v>0</v>
      </c>
      <c r="P2736" s="9">
        <f t="shared" si="581"/>
        <v>21549.78557</v>
      </c>
      <c r="Q2736" s="9">
        <f t="shared" si="581"/>
        <v>79.082099999999997</v>
      </c>
      <c r="R2736" s="9">
        <f t="shared" si="581"/>
        <v>0</v>
      </c>
      <c r="S2736" s="9">
        <f t="shared" si="581"/>
        <v>0</v>
      </c>
      <c r="T2736" s="9">
        <f t="shared" si="581"/>
        <v>55.7027</v>
      </c>
      <c r="U2736" s="9">
        <f t="shared" si="581"/>
        <v>21605.488269999994</v>
      </c>
      <c r="V2736" s="9">
        <f t="shared" si="581"/>
        <v>306930.21129800007</v>
      </c>
      <c r="W2736" s="9">
        <f t="shared" si="581"/>
        <v>4265.560911999999</v>
      </c>
      <c r="X2736" s="9">
        <f>+H2736+P2736</f>
        <v>306930.21129800001</v>
      </c>
      <c r="Y2736" s="9">
        <f>+Y139</f>
        <v>0</v>
      </c>
      <c r="Z2736" s="9">
        <f>+E2736-X2736</f>
        <v>4265.5609119999572</v>
      </c>
      <c r="AA2736" s="9">
        <f>+M2736+U2736</f>
        <v>306985.91399799997</v>
      </c>
      <c r="AB2736" s="9">
        <f>+E2736-AA2736</f>
        <v>4209.8582119999919</v>
      </c>
    </row>
    <row r="2737" spans="1:28" x14ac:dyDescent="0.35">
      <c r="A2737" s="36"/>
      <c r="B2737" s="8"/>
      <c r="C2737" s="7"/>
      <c r="D2737" s="8"/>
      <c r="E2737" s="9"/>
      <c r="F2737" s="9"/>
      <c r="G2737" s="9"/>
      <c r="H2737" s="9"/>
      <c r="I2737" s="9"/>
      <c r="J2737" s="9"/>
      <c r="K2737" s="9"/>
      <c r="L2737" s="9"/>
      <c r="M2737" s="9"/>
      <c r="N2737" s="9"/>
      <c r="O2737" s="9"/>
      <c r="P2737" s="9"/>
      <c r="Q2737" s="9"/>
      <c r="R2737" s="9"/>
      <c r="S2737" s="9"/>
      <c r="T2737" s="9"/>
      <c r="U2737" s="9"/>
      <c r="V2737" s="9"/>
      <c r="W2737" s="9"/>
      <c r="X2737" s="9"/>
      <c r="Y2737" s="9"/>
      <c r="Z2737" s="9"/>
      <c r="AA2737" s="9"/>
      <c r="AB2737" s="9"/>
    </row>
    <row r="2738" spans="1:28" x14ac:dyDescent="0.35">
      <c r="A2738" s="36"/>
      <c r="B2738" s="8"/>
      <c r="C2738" s="7" t="s">
        <v>760</v>
      </c>
      <c r="D2738" s="8"/>
      <c r="E2738" s="9">
        <f>+E1865</f>
        <v>184912844.53166997</v>
      </c>
      <c r="F2738" s="9">
        <f t="shared" ref="F2738:W2738" si="582">+F1865</f>
        <v>161638514.85914001</v>
      </c>
      <c r="G2738" s="9">
        <f t="shared" si="582"/>
        <v>0</v>
      </c>
      <c r="H2738" s="9">
        <f t="shared" si="582"/>
        <v>161638514.85914001</v>
      </c>
      <c r="I2738" s="9">
        <f t="shared" si="582"/>
        <v>7713.02153</v>
      </c>
      <c r="J2738" s="9">
        <f t="shared" si="582"/>
        <v>161617220.72040001</v>
      </c>
      <c r="K2738" s="9">
        <f t="shared" si="582"/>
        <v>23266450.618469998</v>
      </c>
      <c r="L2738" s="9">
        <f t="shared" si="582"/>
        <v>7713.02153</v>
      </c>
      <c r="M2738" s="9">
        <f t="shared" si="582"/>
        <v>161646227.88067001</v>
      </c>
      <c r="N2738" s="9">
        <f t="shared" si="582"/>
        <v>23266450.618469998</v>
      </c>
      <c r="O2738" s="9">
        <f t="shared" si="582"/>
        <v>0</v>
      </c>
      <c r="P2738" s="9">
        <f t="shared" si="582"/>
        <v>23266450.618469998</v>
      </c>
      <c r="Q2738" s="9">
        <f t="shared" si="582"/>
        <v>156188638.94293001</v>
      </c>
      <c r="R2738" s="9">
        <f t="shared" si="582"/>
        <v>0</v>
      </c>
      <c r="S2738" s="9">
        <f t="shared" si="582"/>
        <v>0</v>
      </c>
      <c r="T2738" s="9">
        <f t="shared" si="582"/>
        <v>166.03253000000001</v>
      </c>
      <c r="U2738" s="9">
        <f t="shared" si="582"/>
        <v>23266616.651000001</v>
      </c>
      <c r="V2738" s="9">
        <f t="shared" si="582"/>
        <v>0</v>
      </c>
      <c r="W2738" s="9">
        <f t="shared" si="582"/>
        <v>0</v>
      </c>
      <c r="X2738" s="9">
        <f>+H2738+P2738</f>
        <v>184904965.47760999</v>
      </c>
      <c r="Y2738" s="9" t="str">
        <f>+Y141</f>
        <v>-</v>
      </c>
      <c r="Z2738" s="9">
        <f>+E2738-X2738</f>
        <v>7879.0540599822998</v>
      </c>
      <c r="AA2738" s="9">
        <f>+M2738+U2738</f>
        <v>184912844.53167</v>
      </c>
      <c r="AB2738" s="9">
        <f>+E2738-AA2738</f>
        <v>0</v>
      </c>
    </row>
    <row r="2739" spans="1:28" x14ac:dyDescent="0.35">
      <c r="A2739" s="36"/>
      <c r="B2739" s="8"/>
      <c r="C2739" s="7"/>
      <c r="D2739" s="8"/>
      <c r="E2739" s="9"/>
      <c r="F2739" s="9"/>
      <c r="G2739" s="9"/>
      <c r="H2739" s="9"/>
      <c r="I2739" s="9"/>
      <c r="J2739" s="9"/>
      <c r="K2739" s="9"/>
      <c r="L2739" s="9"/>
      <c r="M2739" s="9"/>
      <c r="N2739" s="9"/>
      <c r="O2739" s="9"/>
      <c r="P2739" s="9"/>
      <c r="Q2739" s="9"/>
      <c r="R2739" s="9"/>
      <c r="S2739" s="9"/>
      <c r="T2739" s="9"/>
      <c r="U2739" s="9"/>
      <c r="V2739" s="9"/>
      <c r="W2739" s="9"/>
      <c r="X2739" s="9"/>
      <c r="Y2739" s="9"/>
      <c r="Z2739" s="9"/>
    </row>
    <row r="2740" spans="1:28" x14ac:dyDescent="0.35">
      <c r="A2740" s="36"/>
      <c r="B2740" s="8"/>
      <c r="C2740" s="7" t="s">
        <v>353</v>
      </c>
      <c r="D2740" s="8"/>
      <c r="E2740" s="9">
        <f t="shared" ref="E2740:W2740" si="583">+E1967</f>
        <v>392741995.0999999</v>
      </c>
      <c r="F2740" s="9">
        <f t="shared" si="583"/>
        <v>369360767</v>
      </c>
      <c r="G2740" s="9">
        <f t="shared" si="583"/>
        <v>0</v>
      </c>
      <c r="H2740" s="9" t="e">
        <f t="shared" si="583"/>
        <v>#VALUE!</v>
      </c>
      <c r="I2740" s="9">
        <f t="shared" si="583"/>
        <v>31772640.640000001</v>
      </c>
      <c r="J2740" s="9">
        <f t="shared" si="583"/>
        <v>31772640.640000001</v>
      </c>
      <c r="K2740" s="9">
        <f t="shared" si="583"/>
        <v>0</v>
      </c>
      <c r="L2740" s="9">
        <f t="shared" si="583"/>
        <v>0</v>
      </c>
      <c r="M2740" s="9" t="e">
        <f t="shared" si="583"/>
        <v>#VALUE!</v>
      </c>
      <c r="N2740" s="9">
        <f t="shared" si="583"/>
        <v>20416580.629999999</v>
      </c>
      <c r="O2740" s="9">
        <f t="shared" si="583"/>
        <v>0</v>
      </c>
      <c r="P2740" s="9">
        <f t="shared" si="583"/>
        <v>20416580.629999999</v>
      </c>
      <c r="Q2740" s="9">
        <f t="shared" si="583"/>
        <v>102653.09999999999</v>
      </c>
      <c r="R2740" s="9">
        <f t="shared" si="583"/>
        <v>0</v>
      </c>
      <c r="S2740" s="9">
        <f t="shared" si="583"/>
        <v>0</v>
      </c>
      <c r="T2740" s="9">
        <f t="shared" si="583"/>
        <v>102653.09999999999</v>
      </c>
      <c r="U2740" s="9">
        <f t="shared" si="583"/>
        <v>20519233.73</v>
      </c>
      <c r="V2740" s="9" t="e">
        <f t="shared" si="583"/>
        <v>#VALUE!</v>
      </c>
      <c r="W2740" s="9" t="e">
        <f t="shared" si="583"/>
        <v>#VALUE!</v>
      </c>
      <c r="X2740" s="9" t="e">
        <f>+H2740+P2740</f>
        <v>#VALUE!</v>
      </c>
      <c r="Y2740" s="9" t="str">
        <f>+Y143</f>
        <v>-</v>
      </c>
      <c r="Z2740" s="9" t="e">
        <f>+E2740-X2740</f>
        <v>#VALUE!</v>
      </c>
      <c r="AA2740" s="9" t="e">
        <f>+M2740+U2740</f>
        <v>#VALUE!</v>
      </c>
      <c r="AB2740" s="9" t="e">
        <f>+E2740-AA2740</f>
        <v>#VALUE!</v>
      </c>
    </row>
    <row r="2741" spans="1:28" x14ac:dyDescent="0.35">
      <c r="A2741" s="36"/>
      <c r="B2741" s="8"/>
      <c r="C2741" s="7"/>
      <c r="D2741" s="8"/>
      <c r="E2741" s="9"/>
      <c r="F2741" s="9"/>
      <c r="G2741" s="9"/>
      <c r="H2741" s="9"/>
      <c r="I2741" s="9"/>
      <c r="J2741" s="9"/>
      <c r="K2741" s="9"/>
      <c r="L2741" s="9"/>
      <c r="M2741" s="9"/>
      <c r="N2741" s="9"/>
      <c r="O2741" s="9"/>
      <c r="P2741" s="9"/>
      <c r="Q2741" s="9"/>
      <c r="R2741" s="9"/>
      <c r="S2741" s="9"/>
      <c r="T2741" s="9"/>
      <c r="U2741" s="9"/>
      <c r="V2741" s="9"/>
      <c r="W2741" s="9"/>
      <c r="X2741" s="9"/>
      <c r="Y2741" s="9"/>
      <c r="Z2741" s="9"/>
    </row>
    <row r="2742" spans="1:28" x14ac:dyDescent="0.35">
      <c r="A2742" s="36"/>
      <c r="B2742" s="8"/>
      <c r="C2742" s="7" t="s">
        <v>799</v>
      </c>
      <c r="D2742" s="8"/>
      <c r="E2742" s="9">
        <f>+E2167</f>
        <v>430738460.29999995</v>
      </c>
      <c r="F2742" s="9">
        <f t="shared" ref="F2742:W2742" si="584">+F2167</f>
        <v>397014079.44</v>
      </c>
      <c r="G2742" s="9">
        <f t="shared" si="584"/>
        <v>2000000</v>
      </c>
      <c r="H2742" s="9">
        <f t="shared" si="584"/>
        <v>399014079.44</v>
      </c>
      <c r="I2742" s="9">
        <f t="shared" si="584"/>
        <v>3734122.28</v>
      </c>
      <c r="J2742" s="9">
        <f t="shared" si="584"/>
        <v>380683488.13999999</v>
      </c>
      <c r="K2742" s="9">
        <f t="shared" si="584"/>
        <v>27638084.959999997</v>
      </c>
      <c r="L2742" s="9">
        <f t="shared" si="584"/>
        <v>3734122.28</v>
      </c>
      <c r="M2742" s="9">
        <f t="shared" si="584"/>
        <v>402748201.72000003</v>
      </c>
      <c r="N2742" s="9">
        <f t="shared" si="584"/>
        <v>27658905.649999999</v>
      </c>
      <c r="O2742" s="9">
        <f t="shared" si="584"/>
        <v>0</v>
      </c>
      <c r="P2742" s="9">
        <f t="shared" si="584"/>
        <v>27658905.649999999</v>
      </c>
      <c r="Q2742" s="9">
        <f t="shared" si="584"/>
        <v>356149258.22999996</v>
      </c>
      <c r="R2742" s="9">
        <f t="shared" si="584"/>
        <v>0</v>
      </c>
      <c r="S2742" s="9">
        <f t="shared" si="584"/>
        <v>0</v>
      </c>
      <c r="T2742" s="9">
        <f t="shared" si="584"/>
        <v>31194.699999999997</v>
      </c>
      <c r="U2742" s="9">
        <f t="shared" si="584"/>
        <v>27690100.349999998</v>
      </c>
      <c r="V2742" s="9">
        <f t="shared" si="584"/>
        <v>0</v>
      </c>
      <c r="W2742" s="9">
        <f t="shared" si="584"/>
        <v>0</v>
      </c>
      <c r="X2742" s="9">
        <f>+H2742+P2742</f>
        <v>426672985.08999997</v>
      </c>
      <c r="Y2742" s="9">
        <f>+Y145</f>
        <v>0</v>
      </c>
      <c r="Z2742" s="9">
        <f>+E2742-X2742</f>
        <v>4065475.2099999785</v>
      </c>
      <c r="AA2742" s="9">
        <f>+M2742+U2742</f>
        <v>430438302.07000005</v>
      </c>
      <c r="AB2742" s="9">
        <f>+E2742-AA2742</f>
        <v>300158.22999989986</v>
      </c>
    </row>
    <row r="2743" spans="1:28" x14ac:dyDescent="0.35">
      <c r="A2743" s="36"/>
      <c r="B2743" s="8"/>
      <c r="C2743" s="7"/>
      <c r="D2743" s="8"/>
      <c r="E2743" s="9"/>
      <c r="F2743" s="9"/>
      <c r="G2743" s="9"/>
      <c r="H2743" s="9"/>
      <c r="I2743" s="9"/>
      <c r="J2743" s="9"/>
      <c r="K2743" s="9"/>
      <c r="L2743" s="9"/>
      <c r="M2743" s="9"/>
      <c r="N2743" s="9"/>
      <c r="O2743" s="9"/>
      <c r="P2743" s="9"/>
      <c r="Q2743" s="9"/>
      <c r="R2743" s="9"/>
      <c r="S2743" s="9"/>
      <c r="T2743" s="9"/>
      <c r="U2743" s="9"/>
      <c r="V2743" s="9"/>
      <c r="W2743" s="9"/>
      <c r="X2743" s="9"/>
      <c r="Y2743" s="9"/>
      <c r="Z2743" s="9"/>
    </row>
    <row r="2744" spans="1:28" x14ac:dyDescent="0.35">
      <c r="A2744" s="36"/>
      <c r="B2744" s="8"/>
      <c r="C2744" s="7" t="s">
        <v>922</v>
      </c>
      <c r="D2744" s="8"/>
      <c r="E2744" s="9">
        <f>+E2314</f>
        <v>298855240.33000004</v>
      </c>
      <c r="F2744" s="9">
        <f t="shared" ref="F2744:W2744" si="585">+F2314</f>
        <v>280758317.06</v>
      </c>
      <c r="G2744" s="9">
        <f t="shared" si="585"/>
        <v>0</v>
      </c>
      <c r="H2744" s="9">
        <f t="shared" si="585"/>
        <v>280758317.06</v>
      </c>
      <c r="I2744" s="9">
        <f t="shared" si="585"/>
        <v>0</v>
      </c>
      <c r="J2744" s="9">
        <f t="shared" si="585"/>
        <v>257863518.70999998</v>
      </c>
      <c r="K2744" s="9">
        <f t="shared" si="585"/>
        <v>18001180.829999998</v>
      </c>
      <c r="L2744" s="9">
        <f t="shared" si="585"/>
        <v>0</v>
      </c>
      <c r="M2744" s="9">
        <f t="shared" si="585"/>
        <v>280758317.06</v>
      </c>
      <c r="N2744" s="9">
        <f t="shared" si="585"/>
        <v>18007202.109999999</v>
      </c>
      <c r="O2744" s="9">
        <f t="shared" si="585"/>
        <v>0</v>
      </c>
      <c r="P2744" s="9">
        <f t="shared" si="585"/>
        <v>18007202.109999999</v>
      </c>
      <c r="Q2744" s="9">
        <f t="shared" si="585"/>
        <v>247463675.42000002</v>
      </c>
      <c r="R2744" s="9">
        <f t="shared" si="585"/>
        <v>0</v>
      </c>
      <c r="S2744" s="9">
        <f t="shared" si="585"/>
        <v>0</v>
      </c>
      <c r="T2744" s="9">
        <f t="shared" si="585"/>
        <v>9721.16</v>
      </c>
      <c r="U2744" s="9">
        <f t="shared" si="585"/>
        <v>18016923.27</v>
      </c>
      <c r="V2744" s="9">
        <f t="shared" si="585"/>
        <v>0</v>
      </c>
      <c r="W2744" s="9">
        <f t="shared" si="585"/>
        <v>0</v>
      </c>
      <c r="X2744" s="9">
        <f>+H2744+P2744</f>
        <v>298765519.17000002</v>
      </c>
      <c r="Y2744" s="9">
        <f>+Y147</f>
        <v>0</v>
      </c>
      <c r="Z2744" s="9">
        <f>+E2744-X2744</f>
        <v>89721.160000026226</v>
      </c>
      <c r="AA2744" s="9">
        <f>+M2744+U2744</f>
        <v>298775240.32999998</v>
      </c>
      <c r="AB2744" s="9">
        <f>+E2744-AA2744</f>
        <v>80000.000000059605</v>
      </c>
    </row>
    <row r="2745" spans="1:28" x14ac:dyDescent="0.35">
      <c r="A2745" s="36"/>
      <c r="B2745" s="8"/>
      <c r="C2745" s="8"/>
      <c r="D2745" s="8"/>
      <c r="E2745" s="8"/>
      <c r="F2745" s="8"/>
      <c r="G2745" s="8"/>
      <c r="H2745" s="8"/>
      <c r="I2745" s="8"/>
      <c r="J2745" s="8"/>
      <c r="K2745" s="8"/>
      <c r="L2745" s="8"/>
      <c r="M2745" s="8"/>
      <c r="N2745" s="8"/>
      <c r="O2745" s="8"/>
      <c r="P2745" s="8"/>
      <c r="Q2745" s="8"/>
      <c r="R2745" s="8"/>
      <c r="S2745" s="8"/>
      <c r="T2745" s="8"/>
      <c r="U2745" s="8"/>
      <c r="V2745" s="8"/>
      <c r="W2745" s="8"/>
      <c r="X2745" s="8"/>
      <c r="Y2745" s="8"/>
      <c r="Z2745" s="8"/>
    </row>
    <row r="2746" spans="1:28" x14ac:dyDescent="0.35">
      <c r="A2746" s="36"/>
      <c r="B2746" s="8"/>
      <c r="C2746" s="7" t="s">
        <v>504</v>
      </c>
      <c r="D2746" s="8"/>
      <c r="E2746" s="9">
        <f>+E2430</f>
        <v>387844927.95000005</v>
      </c>
      <c r="F2746" s="9">
        <f t="shared" ref="F2746:W2746" si="586">+F2430</f>
        <v>350539803.22000003</v>
      </c>
      <c r="G2746" s="9">
        <f t="shared" si="586"/>
        <v>0</v>
      </c>
      <c r="H2746" s="9">
        <f t="shared" si="586"/>
        <v>350539803.22000003</v>
      </c>
      <c r="I2746" s="9">
        <f t="shared" si="586"/>
        <v>29651254.550000001</v>
      </c>
      <c r="J2746" s="9">
        <f t="shared" si="586"/>
        <v>21451583.550000001</v>
      </c>
      <c r="K2746" s="9">
        <f t="shared" si="586"/>
        <v>0</v>
      </c>
      <c r="L2746" s="9">
        <f t="shared" si="586"/>
        <v>0</v>
      </c>
      <c r="M2746" s="9">
        <f t="shared" si="586"/>
        <v>350539803.22000003</v>
      </c>
      <c r="N2746" s="9">
        <f t="shared" si="586"/>
        <v>23942951.48</v>
      </c>
      <c r="O2746" s="9">
        <f t="shared" si="586"/>
        <v>0</v>
      </c>
      <c r="P2746" s="9">
        <f t="shared" si="586"/>
        <v>23942951.48</v>
      </c>
      <c r="Q2746" s="9">
        <f t="shared" si="586"/>
        <v>12716329.75</v>
      </c>
      <c r="R2746" s="9">
        <f t="shared" si="586"/>
        <v>1032.5</v>
      </c>
      <c r="S2746" s="9">
        <f t="shared" si="586"/>
        <v>0</v>
      </c>
      <c r="T2746" s="9">
        <f t="shared" si="586"/>
        <v>12715297.25</v>
      </c>
      <c r="U2746" s="9">
        <f t="shared" si="586"/>
        <v>36658248.729999997</v>
      </c>
      <c r="V2746" s="9">
        <f t="shared" si="586"/>
        <v>374482754.69999999</v>
      </c>
      <c r="W2746" s="9">
        <f t="shared" si="586"/>
        <v>13362173.250000002</v>
      </c>
      <c r="X2746" s="9">
        <f>+H2746+P2746</f>
        <v>374482754.70000005</v>
      </c>
      <c r="Y2746" s="9">
        <f>+Y149</f>
        <v>0</v>
      </c>
      <c r="Z2746" s="9">
        <f>+E2746-X2746</f>
        <v>13362173.25</v>
      </c>
      <c r="AA2746" s="9">
        <f>+M2746+U2746</f>
        <v>387198051.95000005</v>
      </c>
      <c r="AB2746" s="9">
        <f>+E2746-AA2746</f>
        <v>646876</v>
      </c>
    </row>
    <row r="2747" spans="1:28" x14ac:dyDescent="0.35">
      <c r="A2747" s="36"/>
      <c r="B2747" s="8"/>
      <c r="C2747" s="8"/>
      <c r="D2747" s="8"/>
      <c r="E2747" s="8"/>
      <c r="F2747" s="8"/>
      <c r="G2747" s="8"/>
      <c r="H2747" s="8"/>
      <c r="I2747" s="8"/>
      <c r="J2747" s="8"/>
      <c r="K2747" s="8"/>
      <c r="L2747" s="8"/>
      <c r="M2747" s="8"/>
      <c r="N2747" s="8"/>
      <c r="O2747" s="8"/>
      <c r="P2747" s="8"/>
      <c r="Q2747" s="8"/>
      <c r="R2747" s="8"/>
      <c r="S2747" s="8"/>
      <c r="T2747" s="8"/>
      <c r="U2747" s="8"/>
      <c r="V2747" s="8"/>
      <c r="W2747" s="8"/>
      <c r="X2747" s="8"/>
      <c r="Y2747" s="8"/>
      <c r="Z2747" s="8"/>
    </row>
    <row r="2748" spans="1:28" x14ac:dyDescent="0.35">
      <c r="A2748" s="36"/>
      <c r="B2748" s="8"/>
      <c r="C2748" s="7" t="s">
        <v>505</v>
      </c>
      <c r="D2748" s="8"/>
      <c r="E2748" s="9">
        <f>+E2511</f>
        <v>241840029.25</v>
      </c>
      <c r="F2748" s="9">
        <f t="shared" ref="F2748:W2748" si="587">+F2511</f>
        <v>229068344.55000001</v>
      </c>
      <c r="G2748" s="9">
        <f t="shared" si="587"/>
        <v>300000</v>
      </c>
      <c r="H2748" s="9">
        <f t="shared" si="587"/>
        <v>229368344.55000001</v>
      </c>
      <c r="I2748" s="9">
        <f t="shared" si="587"/>
        <v>2120934.9299999997</v>
      </c>
      <c r="J2748" s="9">
        <f t="shared" si="587"/>
        <v>1068934.93</v>
      </c>
      <c r="K2748" s="9">
        <f t="shared" si="587"/>
        <v>0</v>
      </c>
      <c r="L2748" s="9">
        <f t="shared" si="587"/>
        <v>0</v>
      </c>
      <c r="M2748" s="9">
        <f t="shared" si="587"/>
        <v>229368344.55000001</v>
      </c>
      <c r="N2748" s="9">
        <f t="shared" si="587"/>
        <v>12387585.16</v>
      </c>
      <c r="O2748" s="9">
        <f t="shared" si="587"/>
        <v>0</v>
      </c>
      <c r="P2748" s="9">
        <f t="shared" si="587"/>
        <v>12387585.16</v>
      </c>
      <c r="Q2748" s="9">
        <f t="shared" si="587"/>
        <v>4099.54</v>
      </c>
      <c r="R2748" s="9">
        <f t="shared" si="587"/>
        <v>0</v>
      </c>
      <c r="S2748" s="9">
        <f t="shared" si="587"/>
        <v>0</v>
      </c>
      <c r="T2748" s="9">
        <f t="shared" si="587"/>
        <v>4099.54</v>
      </c>
      <c r="U2748" s="9">
        <f t="shared" si="587"/>
        <v>12391684.699999999</v>
      </c>
      <c r="V2748" s="9">
        <f t="shared" si="587"/>
        <v>241455929.71000004</v>
      </c>
      <c r="W2748" s="9">
        <f t="shared" si="587"/>
        <v>84099.540000000037</v>
      </c>
      <c r="X2748" s="9">
        <f>+H2748+P2748</f>
        <v>241755929.71000001</v>
      </c>
      <c r="Y2748" s="9">
        <f>+Y152</f>
        <v>0</v>
      </c>
      <c r="Z2748" s="9">
        <f>+E2748-X2748</f>
        <v>84099.539999991655</v>
      </c>
      <c r="AA2748" s="9">
        <f>+M2748+U2748</f>
        <v>241760029.25</v>
      </c>
      <c r="AB2748" s="9">
        <f>+E2748-AA2748</f>
        <v>80000</v>
      </c>
    </row>
    <row r="2749" spans="1:28" x14ac:dyDescent="0.35">
      <c r="A2749" s="36"/>
      <c r="B2749" s="8"/>
      <c r="C2749" s="8"/>
      <c r="D2749" s="8"/>
      <c r="E2749" s="8"/>
      <c r="F2749" s="8"/>
      <c r="G2749" s="8"/>
      <c r="H2749" s="8"/>
      <c r="I2749" s="8"/>
      <c r="J2749" s="8"/>
      <c r="K2749" s="8"/>
      <c r="L2749" s="8"/>
      <c r="M2749" s="8"/>
      <c r="N2749" s="8"/>
      <c r="O2749" s="8"/>
      <c r="P2749" s="8"/>
      <c r="Q2749" s="8"/>
      <c r="R2749" s="8"/>
      <c r="S2749" s="8"/>
      <c r="T2749" s="8"/>
      <c r="U2749" s="8"/>
      <c r="V2749" s="8"/>
      <c r="W2749" s="8"/>
      <c r="X2749" s="8"/>
      <c r="Y2749" s="8"/>
      <c r="Z2749" s="8"/>
    </row>
    <row r="2750" spans="1:28" x14ac:dyDescent="0.35">
      <c r="A2750" s="36"/>
      <c r="B2750" s="8"/>
      <c r="C2750" s="7" t="s">
        <v>465</v>
      </c>
      <c r="D2750" s="8"/>
      <c r="E2750" s="9">
        <f>+E2594</f>
        <v>231135520.33999997</v>
      </c>
      <c r="F2750" s="9">
        <f t="shared" ref="F2750:W2750" si="588">+F2594</f>
        <v>201194809.37999997</v>
      </c>
      <c r="G2750" s="9">
        <f t="shared" si="588"/>
        <v>525863.51</v>
      </c>
      <c r="H2750" s="9">
        <f t="shared" si="588"/>
        <v>201720672.88999999</v>
      </c>
      <c r="I2750" s="9">
        <f t="shared" si="588"/>
        <v>1462471.8</v>
      </c>
      <c r="J2750" s="9">
        <f t="shared" si="588"/>
        <v>1462471.8</v>
      </c>
      <c r="K2750" s="9">
        <f t="shared" si="588"/>
        <v>0</v>
      </c>
      <c r="L2750" s="9">
        <f t="shared" si="588"/>
        <v>0</v>
      </c>
      <c r="M2750" s="9">
        <f t="shared" si="588"/>
        <v>201720672.88999999</v>
      </c>
      <c r="N2750" s="9">
        <f t="shared" si="588"/>
        <v>27903125.039999999</v>
      </c>
      <c r="O2750" s="9">
        <f t="shared" si="588"/>
        <v>0</v>
      </c>
      <c r="P2750" s="9">
        <f t="shared" si="588"/>
        <v>27903125.039999999</v>
      </c>
      <c r="Q2750" s="9">
        <f t="shared" si="588"/>
        <v>229301.32</v>
      </c>
      <c r="R2750" s="9">
        <f t="shared" si="588"/>
        <v>0</v>
      </c>
      <c r="S2750" s="9">
        <f t="shared" si="588"/>
        <v>3917.16</v>
      </c>
      <c r="T2750" s="9">
        <f t="shared" si="588"/>
        <v>191301.40999999997</v>
      </c>
      <c r="U2750" s="9">
        <f t="shared" si="588"/>
        <v>28094426.450000003</v>
      </c>
      <c r="V2750" s="9">
        <f t="shared" si="588"/>
        <v>190685346.56</v>
      </c>
      <c r="W2750" s="9">
        <f t="shared" si="588"/>
        <v>1511722.4099999997</v>
      </c>
      <c r="X2750" s="9">
        <f>+H2750+P2750</f>
        <v>229623797.92999998</v>
      </c>
      <c r="Y2750" s="9">
        <f>+Y154</f>
        <v>0</v>
      </c>
      <c r="Z2750" s="9">
        <f>+E2750-X2750</f>
        <v>1511722.4099999964</v>
      </c>
      <c r="AA2750" s="9">
        <f>+M2750+U2750</f>
        <v>229815099.33999997</v>
      </c>
      <c r="AB2750" s="9">
        <f>+E2750-AA2750</f>
        <v>1320421</v>
      </c>
    </row>
    <row r="2751" spans="1:28" x14ac:dyDescent="0.35">
      <c r="A2751" s="36"/>
      <c r="B2751" s="8"/>
      <c r="C2751" s="8"/>
      <c r="D2751" s="8"/>
      <c r="E2751" s="17" t="s">
        <v>29</v>
      </c>
      <c r="F2751" s="17" t="s">
        <v>29</v>
      </c>
      <c r="G2751" s="17" t="s">
        <v>29</v>
      </c>
      <c r="H2751" s="17" t="s">
        <v>29</v>
      </c>
      <c r="I2751" s="17" t="s">
        <v>29</v>
      </c>
      <c r="J2751" s="17" t="s">
        <v>29</v>
      </c>
      <c r="K2751" s="17" t="s">
        <v>29</v>
      </c>
      <c r="L2751" s="17" t="s">
        <v>29</v>
      </c>
      <c r="M2751" s="17" t="s">
        <v>29</v>
      </c>
      <c r="N2751" s="17" t="s">
        <v>29</v>
      </c>
      <c r="O2751" s="17" t="s">
        <v>29</v>
      </c>
      <c r="P2751" s="17" t="s">
        <v>29</v>
      </c>
      <c r="Q2751" s="17" t="s">
        <v>29</v>
      </c>
      <c r="R2751" s="17" t="s">
        <v>29</v>
      </c>
      <c r="S2751" s="17" t="s">
        <v>29</v>
      </c>
      <c r="T2751" s="17" t="s">
        <v>29</v>
      </c>
      <c r="U2751" s="17" t="s">
        <v>29</v>
      </c>
      <c r="V2751" s="17" t="s">
        <v>29</v>
      </c>
      <c r="W2751" s="17" t="s">
        <v>29</v>
      </c>
      <c r="X2751" s="17" t="s">
        <v>29</v>
      </c>
      <c r="Y2751" s="17" t="s">
        <v>29</v>
      </c>
      <c r="Z2751" s="17" t="s">
        <v>29</v>
      </c>
      <c r="AA2751" s="17" t="s">
        <v>29</v>
      </c>
      <c r="AB2751" s="17" t="s">
        <v>29</v>
      </c>
    </row>
    <row r="2752" spans="1:28" x14ac:dyDescent="0.35">
      <c r="A2752" s="36"/>
      <c r="B2752" s="8"/>
      <c r="C2752" s="8"/>
      <c r="D2752" s="8"/>
      <c r="E2752" s="8"/>
      <c r="F2752" s="8"/>
      <c r="G2752" s="8"/>
      <c r="H2752" s="8"/>
      <c r="I2752" s="8"/>
      <c r="J2752" s="8"/>
      <c r="K2752" s="8"/>
      <c r="L2752" s="8"/>
      <c r="M2752" s="8"/>
      <c r="N2752" s="8"/>
      <c r="O2752" s="8"/>
      <c r="P2752" s="8"/>
      <c r="Q2752" s="8"/>
      <c r="R2752" s="8"/>
      <c r="S2752" s="8"/>
      <c r="T2752" s="8"/>
      <c r="U2752" s="8"/>
      <c r="V2752" s="8"/>
      <c r="W2752" s="8"/>
      <c r="X2752" s="8"/>
      <c r="Y2752" s="8"/>
      <c r="Z2752" s="8"/>
    </row>
    <row r="2753" spans="1:28" x14ac:dyDescent="0.35">
      <c r="A2753" s="36"/>
      <c r="B2753" s="8"/>
      <c r="C2753" s="7" t="s">
        <v>506</v>
      </c>
      <c r="D2753" s="8"/>
      <c r="E2753" s="9" t="e">
        <f t="shared" ref="E2753:AB2753" si="589">SUM(E2722:E2750)</f>
        <v>#REF!</v>
      </c>
      <c r="F2753" s="9" t="e">
        <f t="shared" si="589"/>
        <v>#REF!</v>
      </c>
      <c r="G2753" s="9" t="e">
        <f t="shared" si="589"/>
        <v>#REF!</v>
      </c>
      <c r="H2753" s="9" t="e">
        <f t="shared" si="589"/>
        <v>#REF!</v>
      </c>
      <c r="I2753" s="9" t="e">
        <f t="shared" si="589"/>
        <v>#VALUE!</v>
      </c>
      <c r="J2753" s="9" t="e">
        <f t="shared" si="589"/>
        <v>#REF!</v>
      </c>
      <c r="K2753" s="9" t="e">
        <f t="shared" si="589"/>
        <v>#REF!</v>
      </c>
      <c r="L2753" s="9" t="e">
        <f t="shared" si="589"/>
        <v>#VALUE!</v>
      </c>
      <c r="M2753" s="9" t="e">
        <f t="shared" si="589"/>
        <v>#REF!</v>
      </c>
      <c r="N2753" s="9" t="e">
        <f t="shared" si="589"/>
        <v>#REF!</v>
      </c>
      <c r="O2753" s="9" t="e">
        <f t="shared" si="589"/>
        <v>#REF!</v>
      </c>
      <c r="P2753" s="9" t="e">
        <f t="shared" si="589"/>
        <v>#REF!</v>
      </c>
      <c r="Q2753" s="9" t="e">
        <f t="shared" si="589"/>
        <v>#REF!</v>
      </c>
      <c r="R2753" s="9">
        <f t="shared" si="589"/>
        <v>-62800.691310000009</v>
      </c>
      <c r="S2753" s="9">
        <f t="shared" si="589"/>
        <v>4039.0491699999998</v>
      </c>
      <c r="T2753" s="9" t="e">
        <f t="shared" si="589"/>
        <v>#REF!</v>
      </c>
      <c r="U2753" s="9" t="e">
        <f t="shared" si="589"/>
        <v>#REF!</v>
      </c>
      <c r="V2753" s="9" t="e">
        <f t="shared" si="589"/>
        <v>#REF!</v>
      </c>
      <c r="W2753" s="9" t="e">
        <f t="shared" si="589"/>
        <v>#REF!</v>
      </c>
      <c r="X2753" s="9" t="e">
        <f>SUM(X2722:X2750)</f>
        <v>#REF!</v>
      </c>
      <c r="Y2753" s="9">
        <f t="shared" si="589"/>
        <v>0</v>
      </c>
      <c r="Z2753" s="9" t="e">
        <f t="shared" si="589"/>
        <v>#REF!</v>
      </c>
      <c r="AA2753" s="9" t="e">
        <f t="shared" si="589"/>
        <v>#REF!</v>
      </c>
      <c r="AB2753" s="9" t="e">
        <f t="shared" si="589"/>
        <v>#REF!</v>
      </c>
    </row>
    <row r="2754" spans="1:28" x14ac:dyDescent="0.35">
      <c r="A2754" s="36"/>
      <c r="B2754" s="8"/>
      <c r="C2754" s="8"/>
      <c r="D2754" s="8"/>
      <c r="E2754" s="17" t="s">
        <v>114</v>
      </c>
      <c r="F2754" s="17" t="s">
        <v>114</v>
      </c>
      <c r="G2754" s="17" t="s">
        <v>114</v>
      </c>
      <c r="H2754" s="17" t="s">
        <v>114</v>
      </c>
      <c r="I2754" s="17" t="s">
        <v>114</v>
      </c>
      <c r="J2754" s="17" t="s">
        <v>114</v>
      </c>
      <c r="K2754" s="17" t="s">
        <v>114</v>
      </c>
      <c r="L2754" s="17" t="s">
        <v>114</v>
      </c>
      <c r="M2754" s="17" t="s">
        <v>114</v>
      </c>
      <c r="N2754" s="17" t="s">
        <v>114</v>
      </c>
      <c r="O2754" s="17" t="s">
        <v>114</v>
      </c>
      <c r="P2754" s="17" t="s">
        <v>114</v>
      </c>
      <c r="Q2754" s="17" t="s">
        <v>114</v>
      </c>
      <c r="R2754" s="17" t="s">
        <v>114</v>
      </c>
      <c r="S2754" s="17" t="s">
        <v>114</v>
      </c>
      <c r="T2754" s="17" t="s">
        <v>114</v>
      </c>
      <c r="U2754" s="17" t="s">
        <v>114</v>
      </c>
      <c r="V2754" s="17" t="s">
        <v>114</v>
      </c>
      <c r="W2754" s="17" t="s">
        <v>114</v>
      </c>
      <c r="X2754" s="17" t="s">
        <v>114</v>
      </c>
      <c r="Y2754" s="17" t="s">
        <v>114</v>
      </c>
      <c r="Z2754" s="17" t="s">
        <v>114</v>
      </c>
      <c r="AA2754" s="17" t="s">
        <v>114</v>
      </c>
      <c r="AB2754" s="17" t="s">
        <v>114</v>
      </c>
    </row>
    <row r="2755" spans="1:28" x14ac:dyDescent="0.35">
      <c r="A2755" s="36"/>
      <c r="B2755" s="1"/>
      <c r="C2755" s="1"/>
      <c r="D2755" s="1"/>
      <c r="E2755" s="4"/>
      <c r="F2755" s="4"/>
      <c r="G2755" s="4"/>
      <c r="H2755" s="43"/>
      <c r="I2755" s="43"/>
      <c r="J2755" s="43"/>
      <c r="K2755" s="43"/>
      <c r="L2755" s="43"/>
      <c r="M2755" s="43"/>
      <c r="N2755" s="43"/>
      <c r="O2755" s="43"/>
      <c r="P2755" s="43"/>
      <c r="Q2755" s="43"/>
      <c r="R2755" s="43"/>
      <c r="S2755" s="43"/>
      <c r="T2755" s="43"/>
      <c r="U2755" s="43"/>
      <c r="V2755" s="43"/>
      <c r="W2755" s="43"/>
      <c r="X2755" s="43"/>
      <c r="Y2755" s="43"/>
      <c r="Z2755" s="43"/>
    </row>
    <row r="2756" spans="1:28" x14ac:dyDescent="0.35">
      <c r="A2756" s="36"/>
      <c r="B2756" s="1"/>
      <c r="C2756" s="1"/>
      <c r="D2756" s="1"/>
      <c r="E2756" s="1"/>
      <c r="F2756" s="1"/>
      <c r="G2756" s="1"/>
      <c r="H2756" s="1"/>
      <c r="I2756" s="1"/>
      <c r="J2756" s="1"/>
      <c r="K2756" s="1"/>
      <c r="L2756" s="1"/>
      <c r="M2756" s="1"/>
      <c r="N2756" s="1"/>
      <c r="O2756" s="1"/>
      <c r="P2756" s="1"/>
      <c r="Q2756" s="1"/>
      <c r="R2756" s="1"/>
      <c r="S2756" s="1"/>
      <c r="T2756" s="1"/>
      <c r="U2756" s="1"/>
      <c r="V2756" s="1"/>
      <c r="W2756" s="1"/>
      <c r="X2756" s="8"/>
      <c r="Y2756" s="1"/>
      <c r="Z2756" s="1"/>
    </row>
    <row r="2757" spans="1:28" x14ac:dyDescent="0.35">
      <c r="A2757" s="36"/>
      <c r="B2757" s="1"/>
      <c r="C2757" s="3"/>
      <c r="D2757" s="1"/>
      <c r="E2757" s="1"/>
      <c r="F2757" s="1"/>
      <c r="G2757" s="1"/>
      <c r="H2757" s="1"/>
      <c r="I2757" s="1"/>
      <c r="J2757" s="1"/>
      <c r="K2757" s="1"/>
      <c r="L2757" s="1"/>
      <c r="M2757" s="1"/>
      <c r="N2757" s="1"/>
      <c r="O2757" s="1"/>
      <c r="P2757" s="1"/>
      <c r="Q2757" s="1"/>
      <c r="R2757" s="1"/>
      <c r="S2757" s="1"/>
      <c r="T2757" s="1"/>
      <c r="U2757" s="1"/>
      <c r="V2757" s="1"/>
      <c r="W2757" s="1"/>
      <c r="X2757" s="1"/>
      <c r="Y2757" s="1"/>
      <c r="Z2757" s="1"/>
    </row>
    <row r="2758" spans="1:28" x14ac:dyDescent="0.35">
      <c r="A2758" s="36"/>
      <c r="B2758" s="1"/>
      <c r="C2758" s="3" t="str">
        <f>+C2708</f>
        <v>rr</v>
      </c>
      <c r="D2758" s="1"/>
      <c r="E2758" s="1"/>
      <c r="F2758" s="1"/>
      <c r="G2758" s="1"/>
      <c r="H2758" s="1"/>
      <c r="I2758" s="1"/>
      <c r="J2758" s="1"/>
      <c r="K2758" s="1"/>
      <c r="L2758" s="1"/>
      <c r="M2758" s="1"/>
      <c r="N2758" s="1"/>
      <c r="O2758" s="1"/>
      <c r="P2758" s="1"/>
      <c r="Q2758" s="1"/>
      <c r="R2758" s="1"/>
      <c r="S2758" s="1"/>
      <c r="T2758" s="1"/>
      <c r="U2758" s="1"/>
      <c r="V2758" s="1"/>
      <c r="W2758" s="1"/>
      <c r="X2758" s="1"/>
      <c r="Y2758" s="1"/>
      <c r="Z2758" s="1"/>
    </row>
    <row r="2759" spans="1:28" x14ac:dyDescent="0.35">
      <c r="A2759" s="36"/>
      <c r="B2759" s="1"/>
      <c r="C2759" s="1"/>
      <c r="D2759" s="1"/>
      <c r="E2759" s="1"/>
      <c r="F2759" s="1"/>
      <c r="G2759" s="1"/>
      <c r="H2759" s="1"/>
      <c r="I2759" s="1"/>
      <c r="J2759" s="1"/>
      <c r="K2759" s="1"/>
      <c r="L2759" s="1"/>
      <c r="M2759" s="1"/>
      <c r="N2759" s="1"/>
      <c r="O2759" s="1"/>
      <c r="P2759" s="1"/>
      <c r="Q2759" s="1"/>
      <c r="R2759" s="1"/>
      <c r="S2759" s="1"/>
      <c r="T2759" s="1"/>
      <c r="U2759" s="1"/>
      <c r="V2759" s="1"/>
      <c r="W2759" s="1"/>
      <c r="X2759" s="1"/>
      <c r="Y2759" s="1"/>
      <c r="Z2759" s="1"/>
    </row>
    <row r="2760" spans="1:28" x14ac:dyDescent="0.35">
      <c r="A2760" s="36"/>
      <c r="B2760" s="1"/>
      <c r="C2760" s="1"/>
      <c r="D2760" s="1"/>
      <c r="E2760" s="1"/>
      <c r="F2760" s="1"/>
      <c r="G2760" s="1"/>
      <c r="H2760" s="1"/>
      <c r="I2760" s="1"/>
      <c r="J2760" s="1"/>
      <c r="K2760" s="1"/>
      <c r="L2760" s="1"/>
      <c r="M2760" s="1"/>
      <c r="N2760" s="1"/>
      <c r="O2760" s="1"/>
      <c r="P2760" s="1"/>
      <c r="Q2760" s="1"/>
      <c r="R2760" s="1"/>
      <c r="S2760" s="1"/>
      <c r="T2760" s="1"/>
      <c r="U2760" s="1"/>
      <c r="V2760" s="1"/>
      <c r="W2760" s="1"/>
      <c r="X2760" s="1"/>
      <c r="Y2760" s="1"/>
      <c r="Z2760" s="1"/>
    </row>
    <row r="2761" spans="1:28" x14ac:dyDescent="0.35">
      <c r="A2761" s="36"/>
      <c r="B2761" s="1"/>
      <c r="C2761" s="1"/>
      <c r="D2761" s="1"/>
      <c r="E2761" s="1"/>
      <c r="F2761" s="1"/>
      <c r="G2761" s="1"/>
      <c r="H2761" s="1"/>
      <c r="I2761" s="1"/>
      <c r="J2761" s="1"/>
      <c r="K2761" s="1"/>
      <c r="L2761" s="1"/>
      <c r="M2761" s="1"/>
      <c r="N2761" s="1"/>
      <c r="O2761" s="1"/>
      <c r="P2761" s="1"/>
      <c r="Q2761" s="1"/>
      <c r="R2761" s="1"/>
      <c r="S2761" s="1"/>
      <c r="T2761" s="1"/>
      <c r="U2761" s="1"/>
      <c r="V2761" s="1"/>
      <c r="W2761" s="1"/>
      <c r="X2761" s="1"/>
      <c r="Y2761" s="1"/>
      <c r="Z2761" s="1"/>
    </row>
    <row r="2762" spans="1:28" x14ac:dyDescent="0.35">
      <c r="A2762" s="36"/>
      <c r="B2762" s="1"/>
      <c r="C2762" s="1"/>
      <c r="D2762" s="1"/>
      <c r="E2762" s="1"/>
      <c r="F2762" s="1"/>
      <c r="G2762" s="1"/>
      <c r="H2762" s="1"/>
      <c r="I2762" s="1"/>
      <c r="J2762" s="1"/>
      <c r="K2762" s="1"/>
      <c r="L2762" s="1"/>
      <c r="M2762" s="1"/>
      <c r="N2762" s="1"/>
      <c r="O2762" s="1"/>
      <c r="P2762" s="1"/>
      <c r="Q2762" s="1"/>
      <c r="R2762" s="1"/>
      <c r="S2762" s="1"/>
      <c r="T2762" s="1"/>
      <c r="U2762" s="1"/>
      <c r="V2762" s="1"/>
      <c r="W2762" s="1"/>
      <c r="X2762" s="1"/>
      <c r="Y2762" s="1"/>
      <c r="Z2762" s="1"/>
    </row>
    <row r="2763" spans="1:28" x14ac:dyDescent="0.35">
      <c r="A2763" s="36"/>
      <c r="B2763" s="1"/>
      <c r="C2763" s="1"/>
      <c r="D2763" s="1"/>
      <c r="E2763" s="1"/>
      <c r="F2763" s="1"/>
      <c r="G2763" s="1"/>
      <c r="H2763" s="1"/>
      <c r="I2763" s="1"/>
      <c r="J2763" s="1"/>
      <c r="K2763" s="1"/>
      <c r="L2763" s="1"/>
      <c r="M2763" s="1"/>
      <c r="N2763" s="1"/>
      <c r="O2763" s="1"/>
      <c r="P2763" s="1"/>
      <c r="Q2763" s="1"/>
      <c r="R2763" s="1"/>
      <c r="S2763" s="1"/>
      <c r="T2763" s="1"/>
      <c r="U2763" s="1"/>
      <c r="V2763" s="1"/>
      <c r="W2763" s="1"/>
      <c r="X2763" s="1"/>
      <c r="Y2763" s="1"/>
      <c r="Z2763" s="1"/>
    </row>
    <row r="2764" spans="1:28" x14ac:dyDescent="0.35">
      <c r="A2764" s="36"/>
      <c r="B2764" s="1"/>
      <c r="C2764" s="1"/>
      <c r="D2764" s="1"/>
      <c r="E2764" s="1"/>
      <c r="F2764" s="1"/>
      <c r="G2764" s="1"/>
      <c r="H2764" s="1"/>
      <c r="I2764" s="1"/>
      <c r="J2764" s="1"/>
      <c r="K2764" s="1"/>
      <c r="L2764" s="1"/>
      <c r="M2764" s="1"/>
      <c r="N2764" s="1"/>
      <c r="O2764" s="1"/>
      <c r="P2764" s="1"/>
      <c r="Q2764" s="1"/>
      <c r="R2764" s="1"/>
      <c r="S2764" s="1"/>
      <c r="T2764" s="1"/>
      <c r="U2764" s="1"/>
      <c r="V2764" s="1"/>
      <c r="W2764" s="1"/>
      <c r="X2764" s="1"/>
      <c r="Y2764" s="1"/>
      <c r="Z2764" s="1"/>
    </row>
    <row r="2765" spans="1:28" x14ac:dyDescent="0.35">
      <c r="A2765" s="36"/>
      <c r="B2765" s="1"/>
      <c r="C2765" s="1"/>
      <c r="D2765" s="1"/>
      <c r="E2765" s="1"/>
      <c r="F2765" s="1"/>
      <c r="G2765" s="1"/>
      <c r="H2765" s="1"/>
      <c r="I2765" s="1"/>
      <c r="J2765" s="1"/>
      <c r="K2765" s="1"/>
      <c r="L2765" s="1"/>
      <c r="M2765" s="1"/>
      <c r="N2765" s="1"/>
      <c r="O2765" s="1"/>
      <c r="P2765" s="1"/>
      <c r="Q2765" s="1"/>
      <c r="R2765" s="1"/>
      <c r="S2765" s="1"/>
      <c r="T2765" s="1"/>
      <c r="U2765" s="1"/>
      <c r="V2765" s="1"/>
      <c r="W2765" s="1"/>
      <c r="X2765" s="1"/>
      <c r="Y2765" s="1"/>
      <c r="Z2765" s="1"/>
    </row>
    <row r="2766" spans="1:28" x14ac:dyDescent="0.35">
      <c r="A2766" s="36"/>
      <c r="B2766" s="1"/>
      <c r="C2766" s="1"/>
      <c r="D2766" s="1"/>
      <c r="E2766" s="1"/>
      <c r="F2766" s="1"/>
      <c r="G2766" s="1"/>
      <c r="H2766" s="1"/>
      <c r="I2766" s="1"/>
      <c r="J2766" s="1"/>
      <c r="K2766" s="1"/>
      <c r="L2766" s="1"/>
      <c r="M2766" s="1"/>
      <c r="N2766" s="1"/>
      <c r="O2766" s="1"/>
      <c r="P2766" s="1"/>
      <c r="Q2766" s="1"/>
      <c r="R2766" s="1"/>
      <c r="S2766" s="1"/>
      <c r="T2766" s="1"/>
      <c r="U2766" s="1"/>
      <c r="V2766" s="1"/>
      <c r="W2766" s="1"/>
      <c r="X2766" s="1"/>
      <c r="Y2766" s="1"/>
      <c r="Z2766" s="1"/>
    </row>
    <row r="2767" spans="1:28" x14ac:dyDescent="0.35">
      <c r="A2767" s="36"/>
      <c r="B2767" s="1"/>
      <c r="C2767" s="1"/>
      <c r="D2767" s="1"/>
      <c r="E2767" s="1"/>
      <c r="F2767" s="1"/>
      <c r="G2767" s="1"/>
      <c r="H2767" s="1"/>
      <c r="I2767" s="1"/>
      <c r="J2767" s="1"/>
      <c r="K2767" s="1"/>
      <c r="L2767" s="1"/>
      <c r="M2767" s="1"/>
      <c r="N2767" s="1"/>
      <c r="O2767" s="1"/>
      <c r="P2767" s="1"/>
      <c r="Q2767" s="1"/>
      <c r="R2767" s="1"/>
      <c r="S2767" s="1"/>
      <c r="T2767" s="1"/>
      <c r="U2767" s="1"/>
      <c r="V2767" s="1"/>
      <c r="W2767" s="1"/>
      <c r="X2767" s="1"/>
      <c r="Y2767" s="1"/>
      <c r="Z2767" s="1"/>
    </row>
    <row r="2768" spans="1:28" x14ac:dyDescent="0.35">
      <c r="A2768" s="36"/>
      <c r="B2768" s="1"/>
      <c r="C2768" s="1"/>
      <c r="D2768" s="1"/>
      <c r="E2768" s="1"/>
      <c r="F2768" s="1"/>
      <c r="G2768" s="1"/>
      <c r="H2768" s="1"/>
      <c r="I2768" s="1"/>
      <c r="J2768" s="1"/>
      <c r="K2768" s="1"/>
      <c r="L2768" s="1"/>
      <c r="M2768" s="1"/>
      <c r="N2768" s="1"/>
      <c r="O2768" s="1"/>
      <c r="P2768" s="1"/>
      <c r="Q2768" s="1"/>
      <c r="R2768" s="1"/>
      <c r="S2768" s="1"/>
      <c r="T2768" s="1"/>
      <c r="U2768" s="1"/>
      <c r="V2768" s="1"/>
      <c r="W2768" s="1"/>
      <c r="X2768" s="1"/>
      <c r="Y2768" s="1"/>
      <c r="Z2768" s="1"/>
    </row>
    <row r="2769" spans="1:26" x14ac:dyDescent="0.35">
      <c r="A2769" s="36"/>
      <c r="B2769" s="1"/>
      <c r="C2769" s="1"/>
      <c r="D2769" s="1"/>
      <c r="E2769" s="1"/>
      <c r="F2769" s="1"/>
      <c r="G2769" s="1"/>
      <c r="H2769" s="1"/>
      <c r="I2769" s="1"/>
      <c r="J2769" s="1"/>
      <c r="K2769" s="1"/>
      <c r="L2769" s="1"/>
      <c r="M2769" s="1"/>
      <c r="N2769" s="1"/>
      <c r="O2769" s="1"/>
      <c r="P2769" s="1"/>
      <c r="Q2769" s="1"/>
      <c r="R2769" s="1"/>
      <c r="S2769" s="1"/>
      <c r="T2769" s="1"/>
      <c r="U2769" s="1"/>
      <c r="V2769" s="1"/>
      <c r="W2769" s="1"/>
      <c r="X2769" s="1"/>
      <c r="Y2769" s="1"/>
      <c r="Z2769" s="1"/>
    </row>
    <row r="2770" spans="1:26" x14ac:dyDescent="0.35">
      <c r="A2770" s="36"/>
      <c r="B2770" s="1"/>
      <c r="C2770" s="1"/>
      <c r="D2770" s="1"/>
      <c r="E2770" s="1"/>
      <c r="F2770" s="1"/>
      <c r="G2770" s="1"/>
      <c r="H2770" s="1"/>
      <c r="I2770" s="1"/>
      <c r="J2770" s="1"/>
      <c r="K2770" s="1"/>
      <c r="L2770" s="1"/>
      <c r="M2770" s="1"/>
      <c r="N2770" s="1"/>
      <c r="O2770" s="1"/>
      <c r="P2770" s="1"/>
      <c r="Q2770" s="1"/>
      <c r="R2770" s="1"/>
      <c r="S2770" s="1"/>
      <c r="T2770" s="1"/>
      <c r="U2770" s="1"/>
      <c r="V2770" s="1"/>
      <c r="W2770" s="1"/>
      <c r="X2770" s="1"/>
      <c r="Y2770" s="1"/>
      <c r="Z2770" s="1"/>
    </row>
    <row r="2771" spans="1:26" x14ac:dyDescent="0.35">
      <c r="A2771" s="36"/>
      <c r="B2771" s="1"/>
      <c r="C2771" s="1"/>
      <c r="D2771" s="1"/>
      <c r="E2771" s="1"/>
      <c r="F2771" s="1"/>
      <c r="G2771" s="1"/>
      <c r="H2771" s="1"/>
      <c r="I2771" s="1"/>
      <c r="J2771" s="1"/>
      <c r="K2771" s="1"/>
      <c r="L2771" s="1"/>
      <c r="M2771" s="1"/>
      <c r="N2771" s="1"/>
      <c r="O2771" s="1"/>
      <c r="P2771" s="1"/>
      <c r="Q2771" s="1"/>
      <c r="R2771" s="1"/>
      <c r="S2771" s="1"/>
      <c r="T2771" s="1"/>
      <c r="U2771" s="1"/>
      <c r="V2771" s="1"/>
      <c r="W2771" s="1"/>
      <c r="X2771" s="1"/>
      <c r="Y2771" s="1"/>
      <c r="Z2771" s="1"/>
    </row>
    <row r="2772" spans="1:26" x14ac:dyDescent="0.35">
      <c r="A2772" s="36"/>
      <c r="B2772" s="1"/>
      <c r="C2772" s="1"/>
      <c r="D2772" s="1"/>
      <c r="E2772" s="1"/>
      <c r="F2772" s="1"/>
      <c r="G2772" s="1"/>
      <c r="H2772" s="1"/>
      <c r="I2772" s="1"/>
      <c r="J2772" s="1"/>
      <c r="K2772" s="1"/>
      <c r="L2772" s="1"/>
      <c r="M2772" s="1"/>
      <c r="N2772" s="1"/>
      <c r="O2772" s="1"/>
      <c r="P2772" s="1"/>
      <c r="Q2772" s="1"/>
      <c r="R2772" s="1"/>
      <c r="S2772" s="1"/>
      <c r="T2772" s="1"/>
      <c r="U2772" s="1"/>
      <c r="V2772" s="1"/>
      <c r="W2772" s="1"/>
      <c r="X2772" s="1"/>
      <c r="Y2772" s="1"/>
      <c r="Z2772" s="1"/>
    </row>
    <row r="2773" spans="1:26" x14ac:dyDescent="0.35">
      <c r="A2773" s="36"/>
      <c r="B2773" s="1"/>
      <c r="C2773" s="1"/>
      <c r="D2773" s="1"/>
      <c r="E2773" s="1"/>
      <c r="F2773" s="1"/>
      <c r="G2773" s="1"/>
      <c r="H2773" s="1"/>
      <c r="I2773" s="1"/>
      <c r="J2773" s="1"/>
      <c r="K2773" s="1"/>
      <c r="L2773" s="1"/>
      <c r="M2773" s="1"/>
      <c r="N2773" s="1"/>
      <c r="O2773" s="1"/>
      <c r="P2773" s="1"/>
      <c r="Q2773" s="1"/>
      <c r="R2773" s="1"/>
      <c r="S2773" s="1"/>
      <c r="T2773" s="1"/>
      <c r="U2773" s="1"/>
      <c r="V2773" s="1"/>
      <c r="W2773" s="1"/>
      <c r="X2773" s="1"/>
      <c r="Y2773" s="1"/>
      <c r="Z2773" s="1"/>
    </row>
    <row r="2774" spans="1:26" x14ac:dyDescent="0.35">
      <c r="A2774" s="36"/>
      <c r="B2774" s="1"/>
      <c r="C2774" s="1"/>
      <c r="D2774" s="1"/>
      <c r="E2774" s="1"/>
      <c r="F2774" s="1"/>
      <c r="G2774" s="1"/>
      <c r="H2774" s="1"/>
      <c r="I2774" s="1"/>
      <c r="J2774" s="1"/>
      <c r="K2774" s="1"/>
      <c r="L2774" s="1"/>
      <c r="M2774" s="1"/>
      <c r="N2774" s="1"/>
      <c r="O2774" s="1"/>
      <c r="P2774" s="1"/>
      <c r="Q2774" s="1"/>
      <c r="R2774" s="1"/>
      <c r="S2774" s="1"/>
      <c r="T2774" s="1"/>
      <c r="U2774" s="1"/>
      <c r="V2774" s="1"/>
      <c r="W2774" s="1"/>
      <c r="X2774" s="1"/>
      <c r="Y2774" s="1"/>
      <c r="Z2774" s="1"/>
    </row>
    <row r="2775" spans="1:26" x14ac:dyDescent="0.35">
      <c r="A2775" s="36"/>
      <c r="B2775" s="1"/>
      <c r="C2775" s="1"/>
      <c r="D2775" s="1"/>
      <c r="E2775" s="1"/>
      <c r="F2775" s="1"/>
      <c r="G2775" s="1"/>
      <c r="H2775" s="1"/>
      <c r="I2775" s="1"/>
      <c r="J2775" s="1"/>
      <c r="K2775" s="1"/>
      <c r="L2775" s="1"/>
      <c r="M2775" s="1"/>
      <c r="N2775" s="1"/>
      <c r="O2775" s="1"/>
      <c r="P2775" s="1"/>
      <c r="Q2775" s="1"/>
      <c r="R2775" s="1"/>
      <c r="S2775" s="1"/>
      <c r="T2775" s="1"/>
      <c r="U2775" s="1"/>
      <c r="V2775" s="1"/>
      <c r="W2775" s="1"/>
      <c r="X2775" s="1"/>
      <c r="Y2775" s="1"/>
      <c r="Z2775" s="1"/>
    </row>
    <row r="2776" spans="1:26" x14ac:dyDescent="0.35">
      <c r="A2776" s="36"/>
      <c r="B2776" s="1"/>
      <c r="C2776" s="1"/>
      <c r="D2776" s="1"/>
      <c r="E2776" s="1"/>
      <c r="F2776" s="1"/>
      <c r="G2776" s="1"/>
      <c r="H2776" s="1"/>
      <c r="I2776" s="1"/>
      <c r="J2776" s="1"/>
      <c r="K2776" s="1"/>
      <c r="L2776" s="1"/>
      <c r="M2776" s="1"/>
      <c r="N2776" s="1"/>
      <c r="O2776" s="1"/>
      <c r="P2776" s="1"/>
      <c r="Q2776" s="1"/>
      <c r="R2776" s="1"/>
      <c r="S2776" s="1"/>
      <c r="T2776" s="1"/>
      <c r="U2776" s="1"/>
      <c r="V2776" s="1"/>
      <c r="W2776" s="1"/>
      <c r="X2776" s="1"/>
      <c r="Y2776" s="1"/>
      <c r="Z2776" s="1"/>
    </row>
    <row r="2777" spans="1:26" x14ac:dyDescent="0.35">
      <c r="A2777" s="36"/>
      <c r="B2777" s="1"/>
      <c r="C2777" s="1"/>
      <c r="D2777" s="1"/>
      <c r="E2777" s="1"/>
      <c r="F2777" s="1"/>
      <c r="G2777" s="1"/>
      <c r="H2777" s="1"/>
      <c r="I2777" s="1"/>
      <c r="J2777" s="1"/>
      <c r="K2777" s="1"/>
      <c r="L2777" s="1"/>
      <c r="M2777" s="1"/>
      <c r="N2777" s="1"/>
      <c r="O2777" s="1"/>
      <c r="P2777" s="1"/>
      <c r="Q2777" s="1"/>
      <c r="R2777" s="1"/>
      <c r="S2777" s="1"/>
      <c r="T2777" s="1"/>
      <c r="U2777" s="1"/>
      <c r="V2777" s="1"/>
      <c r="W2777" s="1"/>
      <c r="X2777" s="1"/>
      <c r="Y2777" s="1"/>
      <c r="Z2777" s="1"/>
    </row>
    <row r="2778" spans="1:26" x14ac:dyDescent="0.35">
      <c r="A2778" s="36"/>
      <c r="B2778" s="1"/>
      <c r="C2778" s="1"/>
      <c r="D2778" s="1"/>
      <c r="E2778" s="1"/>
      <c r="F2778" s="1"/>
      <c r="G2778" s="1"/>
      <c r="H2778" s="1"/>
      <c r="I2778" s="1"/>
      <c r="J2778" s="1"/>
      <c r="K2778" s="1"/>
      <c r="L2778" s="1"/>
      <c r="M2778" s="1"/>
      <c r="N2778" s="1"/>
      <c r="O2778" s="1"/>
      <c r="P2778" s="1"/>
      <c r="Q2778" s="1"/>
      <c r="R2778" s="1"/>
      <c r="S2778" s="1"/>
      <c r="T2778" s="1"/>
      <c r="U2778" s="1"/>
      <c r="V2778" s="1"/>
      <c r="W2778" s="1"/>
      <c r="X2778" s="1"/>
      <c r="Y2778" s="1"/>
      <c r="Z2778" s="1"/>
    </row>
    <row r="2779" spans="1:26" x14ac:dyDescent="0.35">
      <c r="A2779" s="36"/>
      <c r="B2779" s="1"/>
      <c r="C2779" s="1"/>
      <c r="D2779" s="1"/>
      <c r="E2779" s="1"/>
      <c r="F2779" s="1"/>
      <c r="G2779" s="1"/>
      <c r="H2779" s="1"/>
      <c r="I2779" s="1"/>
      <c r="J2779" s="1"/>
      <c r="K2779" s="1"/>
      <c r="L2779" s="1"/>
      <c r="M2779" s="1"/>
      <c r="N2779" s="1"/>
      <c r="O2779" s="1"/>
      <c r="P2779" s="1"/>
      <c r="Q2779" s="1"/>
      <c r="R2779" s="1"/>
      <c r="S2779" s="1"/>
      <c r="T2779" s="1"/>
      <c r="U2779" s="1"/>
      <c r="V2779" s="1"/>
      <c r="W2779" s="1"/>
      <c r="X2779" s="1"/>
      <c r="Y2779" s="1"/>
      <c r="Z2779" s="1"/>
    </row>
    <row r="2780" spans="1:26" x14ac:dyDescent="0.35">
      <c r="A2780" s="36"/>
      <c r="B2780" s="1"/>
      <c r="C2780" s="1"/>
      <c r="D2780" s="1"/>
      <c r="E2780" s="1"/>
      <c r="F2780" s="1"/>
      <c r="G2780" s="1"/>
      <c r="H2780" s="1"/>
      <c r="I2780" s="1"/>
      <c r="J2780" s="1"/>
      <c r="K2780" s="1"/>
      <c r="L2780" s="1"/>
      <c r="M2780" s="1"/>
      <c r="N2780" s="1"/>
      <c r="O2780" s="1"/>
      <c r="P2780" s="1"/>
      <c r="Q2780" s="1"/>
      <c r="R2780" s="1"/>
      <c r="S2780" s="1"/>
      <c r="T2780" s="1"/>
      <c r="U2780" s="1"/>
      <c r="V2780" s="1"/>
      <c r="W2780" s="1"/>
      <c r="X2780" s="1"/>
      <c r="Y2780" s="1"/>
      <c r="Z2780" s="1"/>
    </row>
    <row r="2781" spans="1:26" x14ac:dyDescent="0.35">
      <c r="A2781" s="36"/>
      <c r="B2781" s="1"/>
      <c r="C2781" s="1"/>
      <c r="D2781" s="1"/>
      <c r="E2781" s="1"/>
      <c r="F2781" s="1"/>
      <c r="G2781" s="1"/>
      <c r="H2781" s="1"/>
      <c r="I2781" s="1"/>
      <c r="J2781" s="1"/>
      <c r="K2781" s="1"/>
      <c r="L2781" s="1"/>
      <c r="M2781" s="1"/>
      <c r="N2781" s="1"/>
      <c r="O2781" s="1"/>
      <c r="P2781" s="1"/>
      <c r="Q2781" s="1"/>
      <c r="R2781" s="1"/>
      <c r="S2781" s="1"/>
      <c r="T2781" s="1"/>
      <c r="U2781" s="1"/>
      <c r="V2781" s="1"/>
      <c r="W2781" s="1"/>
      <c r="X2781" s="1"/>
      <c r="Y2781" s="1"/>
      <c r="Z2781" s="1"/>
    </row>
    <row r="2782" spans="1:26" x14ac:dyDescent="0.35">
      <c r="A2782" s="36"/>
      <c r="B2782" s="1"/>
      <c r="C2782" s="1"/>
      <c r="D2782" s="1"/>
      <c r="E2782" s="1"/>
      <c r="F2782" s="1"/>
      <c r="G2782" s="1"/>
      <c r="H2782" s="1"/>
      <c r="I2782" s="1"/>
      <c r="J2782" s="1"/>
      <c r="K2782" s="1"/>
      <c r="L2782" s="1"/>
      <c r="M2782" s="1"/>
      <c r="N2782" s="1"/>
      <c r="O2782" s="1"/>
      <c r="P2782" s="1"/>
      <c r="Q2782" s="1"/>
      <c r="R2782" s="1"/>
      <c r="S2782" s="1"/>
      <c r="T2782" s="1"/>
      <c r="U2782" s="1"/>
      <c r="V2782" s="1"/>
      <c r="W2782" s="1"/>
      <c r="X2782" s="1"/>
      <c r="Y2782" s="1"/>
      <c r="Z2782" s="1"/>
    </row>
    <row r="2783" spans="1:26" x14ac:dyDescent="0.35">
      <c r="A2783" s="36"/>
      <c r="B2783" s="1"/>
      <c r="C2783" s="1"/>
      <c r="D2783" s="1"/>
      <c r="E2783" s="1"/>
      <c r="F2783" s="1"/>
      <c r="G2783" s="1"/>
      <c r="H2783" s="1"/>
      <c r="I2783" s="1"/>
      <c r="J2783" s="1"/>
      <c r="K2783" s="1"/>
      <c r="L2783" s="1"/>
      <c r="M2783" s="1"/>
      <c r="N2783" s="1"/>
      <c r="O2783" s="1"/>
      <c r="P2783" s="1"/>
      <c r="Q2783" s="1"/>
      <c r="R2783" s="1"/>
      <c r="S2783" s="1"/>
      <c r="T2783" s="1"/>
      <c r="U2783" s="1"/>
      <c r="V2783" s="1"/>
      <c r="W2783" s="1"/>
      <c r="X2783" s="1"/>
      <c r="Y2783" s="1"/>
      <c r="Z2783" s="1"/>
    </row>
    <row r="2784" spans="1:26" x14ac:dyDescent="0.35">
      <c r="A2784" s="36"/>
      <c r="B2784" s="1"/>
      <c r="C2784" s="1"/>
      <c r="D2784" s="1"/>
      <c r="E2784" s="1"/>
      <c r="F2784" s="1"/>
      <c r="G2784" s="1"/>
      <c r="H2784" s="1"/>
      <c r="I2784" s="1"/>
      <c r="J2784" s="1"/>
      <c r="K2784" s="1"/>
      <c r="L2784" s="1"/>
      <c r="M2784" s="1"/>
      <c r="N2784" s="1"/>
      <c r="O2784" s="1"/>
      <c r="P2784" s="1"/>
      <c r="Q2784" s="1"/>
      <c r="R2784" s="1"/>
      <c r="S2784" s="1"/>
      <c r="T2784" s="1"/>
      <c r="U2784" s="1"/>
      <c r="V2784" s="1"/>
      <c r="W2784" s="1"/>
      <c r="X2784" s="1"/>
      <c r="Y2784" s="1"/>
      <c r="Z2784" s="1"/>
    </row>
    <row r="2785" spans="1:26" x14ac:dyDescent="0.35">
      <c r="A2785" s="36"/>
      <c r="B2785" s="1"/>
      <c r="C2785" s="1"/>
      <c r="D2785" s="1"/>
      <c r="E2785" s="1"/>
      <c r="F2785" s="1"/>
      <c r="G2785" s="1"/>
      <c r="H2785" s="1"/>
      <c r="I2785" s="1"/>
      <c r="J2785" s="1"/>
      <c r="K2785" s="1"/>
      <c r="L2785" s="1"/>
      <c r="M2785" s="1"/>
      <c r="N2785" s="1"/>
      <c r="O2785" s="1"/>
      <c r="P2785" s="1"/>
      <c r="Q2785" s="1"/>
      <c r="R2785" s="1"/>
      <c r="S2785" s="1"/>
      <c r="T2785" s="1"/>
      <c r="U2785" s="1"/>
      <c r="V2785" s="1"/>
      <c r="W2785" s="1"/>
      <c r="X2785" s="1"/>
      <c r="Y2785" s="1"/>
      <c r="Z2785" s="1"/>
    </row>
    <row r="2786" spans="1:26" x14ac:dyDescent="0.35">
      <c r="A2786" s="36"/>
      <c r="B2786" s="1"/>
      <c r="C2786" s="1"/>
      <c r="D2786" s="1"/>
      <c r="E2786" s="1"/>
      <c r="F2786" s="1"/>
      <c r="G2786" s="1"/>
      <c r="H2786" s="1"/>
      <c r="I2786" s="1"/>
      <c r="J2786" s="1"/>
      <c r="K2786" s="1"/>
      <c r="L2786" s="1"/>
      <c r="M2786" s="1"/>
      <c r="N2786" s="1"/>
      <c r="O2786" s="1"/>
      <c r="P2786" s="1"/>
      <c r="Q2786" s="1"/>
      <c r="R2786" s="1"/>
      <c r="S2786" s="1"/>
      <c r="T2786" s="1"/>
      <c r="U2786" s="1"/>
      <c r="V2786" s="1"/>
      <c r="W2786" s="1"/>
      <c r="X2786" s="1"/>
      <c r="Y2786" s="1"/>
      <c r="Z2786" s="1"/>
    </row>
    <row r="2787" spans="1:26" x14ac:dyDescent="0.35">
      <c r="A2787" s="36"/>
      <c r="B2787" s="1"/>
      <c r="C2787" s="1"/>
      <c r="D2787" s="1"/>
      <c r="E2787" s="1"/>
      <c r="F2787" s="1"/>
      <c r="G2787" s="1"/>
      <c r="H2787" s="1"/>
      <c r="I2787" s="1"/>
      <c r="J2787" s="1"/>
      <c r="K2787" s="1"/>
      <c r="L2787" s="1"/>
      <c r="M2787" s="1"/>
      <c r="N2787" s="1"/>
      <c r="O2787" s="1"/>
      <c r="P2787" s="1"/>
      <c r="Q2787" s="1"/>
      <c r="R2787" s="1"/>
      <c r="S2787" s="1"/>
      <c r="T2787" s="1"/>
      <c r="U2787" s="1"/>
      <c r="V2787" s="1"/>
      <c r="W2787" s="1"/>
      <c r="X2787" s="1"/>
      <c r="Y2787" s="1"/>
      <c r="Z2787" s="1"/>
    </row>
    <row r="2788" spans="1:26" x14ac:dyDescent="0.35">
      <c r="A2788" s="36"/>
      <c r="B2788" s="1"/>
      <c r="C2788" s="1"/>
      <c r="D2788" s="1"/>
      <c r="E2788" s="1"/>
      <c r="F2788" s="1"/>
      <c r="G2788" s="1"/>
      <c r="H2788" s="1"/>
      <c r="I2788" s="1"/>
      <c r="J2788" s="1"/>
      <c r="K2788" s="1"/>
      <c r="L2788" s="1"/>
      <c r="M2788" s="1"/>
      <c r="N2788" s="1"/>
      <c r="O2788" s="1"/>
      <c r="P2788" s="1"/>
      <c r="Q2788" s="1"/>
      <c r="R2788" s="1"/>
      <c r="S2788" s="1"/>
      <c r="T2788" s="1"/>
      <c r="U2788" s="1"/>
      <c r="V2788" s="1"/>
      <c r="W2788" s="1"/>
      <c r="X2788" s="1"/>
      <c r="Y2788" s="1"/>
      <c r="Z2788" s="1"/>
    </row>
    <row r="2789" spans="1:26" x14ac:dyDescent="0.35">
      <c r="A2789" s="36"/>
      <c r="B2789" s="1"/>
      <c r="C2789" s="1"/>
      <c r="D2789" s="1"/>
      <c r="E2789" s="1"/>
      <c r="F2789" s="1"/>
      <c r="G2789" s="1"/>
      <c r="H2789" s="1"/>
      <c r="I2789" s="1"/>
      <c r="J2789" s="1"/>
      <c r="K2789" s="1"/>
      <c r="L2789" s="1"/>
      <c r="M2789" s="1"/>
      <c r="N2789" s="1"/>
      <c r="O2789" s="1"/>
      <c r="P2789" s="1"/>
      <c r="Q2789" s="1"/>
      <c r="R2789" s="1"/>
      <c r="S2789" s="1"/>
      <c r="T2789" s="1"/>
      <c r="U2789" s="1"/>
      <c r="V2789" s="1"/>
      <c r="W2789" s="1"/>
      <c r="X2789" s="1"/>
      <c r="Y2789" s="1"/>
      <c r="Z2789" s="1"/>
    </row>
    <row r="2790" spans="1:26" x14ac:dyDescent="0.35">
      <c r="A2790" s="36"/>
      <c r="B2790" s="1"/>
      <c r="C2790" s="1"/>
      <c r="D2790" s="1"/>
      <c r="E2790" s="1"/>
      <c r="F2790" s="1"/>
      <c r="G2790" s="1"/>
      <c r="H2790" s="1"/>
      <c r="I2790" s="1"/>
      <c r="J2790" s="1"/>
      <c r="K2790" s="1"/>
      <c r="L2790" s="1"/>
      <c r="M2790" s="1"/>
      <c r="N2790" s="1"/>
      <c r="O2790" s="1"/>
      <c r="P2790" s="1"/>
      <c r="Q2790" s="1"/>
      <c r="R2790" s="1"/>
      <c r="S2790" s="1"/>
      <c r="T2790" s="1"/>
      <c r="U2790" s="1"/>
      <c r="V2790" s="1"/>
      <c r="W2790" s="1"/>
      <c r="X2790" s="1"/>
      <c r="Y2790" s="1"/>
      <c r="Z2790" s="1"/>
    </row>
    <row r="2791" spans="1:26" x14ac:dyDescent="0.35">
      <c r="A2791" s="36"/>
      <c r="B2791" s="1"/>
      <c r="C2791" s="1"/>
      <c r="D2791" s="1"/>
      <c r="E2791" s="1"/>
      <c r="F2791" s="1"/>
      <c r="G2791" s="1"/>
      <c r="H2791" s="1"/>
      <c r="I2791" s="1"/>
      <c r="J2791" s="1"/>
      <c r="K2791" s="1"/>
      <c r="L2791" s="1"/>
      <c r="M2791" s="1"/>
      <c r="N2791" s="1"/>
      <c r="O2791" s="1"/>
      <c r="P2791" s="1"/>
      <c r="Q2791" s="1"/>
      <c r="R2791" s="1"/>
      <c r="S2791" s="1"/>
      <c r="T2791" s="1"/>
      <c r="U2791" s="1"/>
      <c r="V2791" s="1"/>
      <c r="W2791" s="1"/>
      <c r="X2791" s="1"/>
      <c r="Y2791" s="1"/>
      <c r="Z2791" s="1"/>
    </row>
    <row r="2792" spans="1:26" x14ac:dyDescent="0.35">
      <c r="A2792" s="36"/>
      <c r="B2792" s="1"/>
      <c r="C2792" s="1"/>
      <c r="D2792" s="1"/>
      <c r="E2792" s="1"/>
      <c r="F2792" s="1"/>
      <c r="G2792" s="1"/>
      <c r="H2792" s="1"/>
      <c r="I2792" s="1"/>
      <c r="J2792" s="1"/>
      <c r="K2792" s="1"/>
      <c r="L2792" s="1"/>
      <c r="M2792" s="1"/>
      <c r="N2792" s="1"/>
      <c r="O2792" s="1"/>
      <c r="P2792" s="1"/>
      <c r="Q2792" s="1"/>
      <c r="R2792" s="1"/>
      <c r="S2792" s="1"/>
      <c r="T2792" s="1"/>
      <c r="U2792" s="1"/>
      <c r="V2792" s="1"/>
      <c r="W2792" s="1"/>
      <c r="X2792" s="1"/>
      <c r="Y2792" s="1"/>
      <c r="Z2792" s="1"/>
    </row>
    <row r="2793" spans="1:26" x14ac:dyDescent="0.35">
      <c r="A2793" s="36"/>
      <c r="B2793" s="1"/>
      <c r="C2793" s="1"/>
      <c r="D2793" s="1"/>
      <c r="E2793" s="1"/>
      <c r="F2793" s="1"/>
      <c r="G2793" s="1"/>
      <c r="H2793" s="1"/>
      <c r="I2793" s="1"/>
      <c r="J2793" s="1"/>
      <c r="K2793" s="1"/>
      <c r="L2793" s="1"/>
      <c r="M2793" s="1"/>
      <c r="N2793" s="1"/>
      <c r="O2793" s="1"/>
      <c r="P2793" s="1"/>
      <c r="Q2793" s="1"/>
      <c r="R2793" s="1"/>
      <c r="S2793" s="1"/>
      <c r="T2793" s="1"/>
      <c r="U2793" s="1"/>
      <c r="V2793" s="1"/>
      <c r="W2793" s="1"/>
      <c r="X2793" s="1"/>
      <c r="Y2793" s="1"/>
      <c r="Z2793" s="1"/>
    </row>
    <row r="2794" spans="1:26" x14ac:dyDescent="0.35">
      <c r="A2794" s="36"/>
      <c r="B2794" s="1"/>
      <c r="C2794" s="1"/>
      <c r="D2794" s="1"/>
      <c r="E2794" s="1"/>
      <c r="F2794" s="1"/>
      <c r="G2794" s="1"/>
      <c r="H2794" s="1"/>
      <c r="I2794" s="1"/>
      <c r="J2794" s="1"/>
      <c r="K2794" s="1"/>
      <c r="L2794" s="1"/>
      <c r="M2794" s="1"/>
      <c r="N2794" s="1"/>
      <c r="O2794" s="1"/>
      <c r="P2794" s="1"/>
      <c r="Q2794" s="1"/>
      <c r="R2794" s="1"/>
      <c r="S2794" s="1"/>
      <c r="T2794" s="1"/>
      <c r="U2794" s="1"/>
      <c r="V2794" s="1"/>
      <c r="W2794" s="1"/>
      <c r="X2794" s="1"/>
      <c r="Y2794" s="1"/>
      <c r="Z2794" s="1"/>
    </row>
    <row r="2795" spans="1:26" x14ac:dyDescent="0.35">
      <c r="A2795" s="36"/>
      <c r="B2795" s="1"/>
      <c r="C2795" s="1"/>
      <c r="D2795" s="1"/>
      <c r="E2795" s="1"/>
      <c r="F2795" s="1"/>
      <c r="G2795" s="1"/>
      <c r="H2795" s="1"/>
      <c r="I2795" s="1"/>
      <c r="J2795" s="1"/>
      <c r="K2795" s="1"/>
      <c r="L2795" s="1"/>
      <c r="M2795" s="1"/>
      <c r="N2795" s="1"/>
      <c r="O2795" s="1"/>
      <c r="P2795" s="1"/>
      <c r="Q2795" s="1"/>
      <c r="R2795" s="1"/>
      <c r="S2795" s="1"/>
      <c r="T2795" s="1"/>
      <c r="U2795" s="1"/>
      <c r="V2795" s="1"/>
      <c r="W2795" s="1"/>
      <c r="X2795" s="1"/>
      <c r="Y2795" s="1"/>
      <c r="Z2795" s="1"/>
    </row>
    <row r="2796" spans="1:26" x14ac:dyDescent="0.35">
      <c r="A2796" s="36"/>
      <c r="B2796" s="1"/>
      <c r="C2796" s="1"/>
      <c r="D2796" s="1"/>
      <c r="E2796" s="1"/>
      <c r="F2796" s="1"/>
      <c r="G2796" s="1"/>
      <c r="H2796" s="1"/>
      <c r="I2796" s="1"/>
      <c r="J2796" s="1"/>
      <c r="K2796" s="1"/>
      <c r="L2796" s="1"/>
      <c r="M2796" s="1"/>
      <c r="N2796" s="1"/>
      <c r="O2796" s="1"/>
      <c r="P2796" s="1"/>
      <c r="Q2796" s="1"/>
      <c r="R2796" s="1"/>
      <c r="S2796" s="1"/>
      <c r="T2796" s="1"/>
      <c r="U2796" s="1"/>
      <c r="V2796" s="1"/>
      <c r="W2796" s="1"/>
      <c r="X2796" s="1"/>
      <c r="Y2796" s="1"/>
      <c r="Z2796" s="1"/>
    </row>
    <row r="2797" spans="1:26" x14ac:dyDescent="0.35">
      <c r="A2797" s="36"/>
      <c r="B2797" s="1"/>
      <c r="C2797" s="1"/>
      <c r="D2797" s="1"/>
      <c r="E2797" s="1"/>
      <c r="F2797" s="1"/>
      <c r="G2797" s="1"/>
      <c r="H2797" s="1"/>
      <c r="I2797" s="1"/>
      <c r="J2797" s="1"/>
      <c r="K2797" s="1"/>
      <c r="L2797" s="1"/>
      <c r="M2797" s="1"/>
      <c r="N2797" s="1"/>
      <c r="O2797" s="1"/>
      <c r="P2797" s="1"/>
      <c r="Q2797" s="1"/>
      <c r="R2797" s="1"/>
      <c r="S2797" s="1"/>
      <c r="T2797" s="1"/>
      <c r="U2797" s="1"/>
      <c r="V2797" s="1"/>
      <c r="W2797" s="1"/>
      <c r="X2797" s="1"/>
      <c r="Y2797" s="1"/>
      <c r="Z2797" s="1"/>
    </row>
    <row r="2798" spans="1:26" x14ac:dyDescent="0.35">
      <c r="A2798" s="36"/>
      <c r="B2798" s="1"/>
      <c r="C2798" s="1"/>
      <c r="D2798" s="1"/>
      <c r="E2798" s="1"/>
      <c r="F2798" s="1"/>
      <c r="G2798" s="1"/>
      <c r="H2798" s="1"/>
      <c r="I2798" s="1"/>
      <c r="J2798" s="1"/>
      <c r="K2798" s="1"/>
      <c r="L2798" s="1"/>
      <c r="M2798" s="1"/>
      <c r="N2798" s="1"/>
      <c r="O2798" s="1"/>
      <c r="P2798" s="1"/>
      <c r="Q2798" s="1"/>
      <c r="R2798" s="1"/>
      <c r="S2798" s="1"/>
      <c r="T2798" s="1"/>
      <c r="U2798" s="1"/>
      <c r="V2798" s="1"/>
      <c r="W2798" s="1"/>
      <c r="X2798" s="1"/>
      <c r="Y2798" s="1"/>
      <c r="Z2798" s="1"/>
    </row>
    <row r="2799" spans="1:26" x14ac:dyDescent="0.35">
      <c r="A2799" s="36"/>
      <c r="B2799" s="1"/>
      <c r="C2799" s="1"/>
      <c r="D2799" s="1"/>
      <c r="E2799" s="1"/>
      <c r="F2799" s="1"/>
      <c r="G2799" s="1"/>
      <c r="H2799" s="1"/>
      <c r="I2799" s="1"/>
      <c r="J2799" s="1"/>
      <c r="K2799" s="1"/>
      <c r="L2799" s="1"/>
      <c r="M2799" s="1"/>
      <c r="N2799" s="1"/>
      <c r="O2799" s="1"/>
      <c r="P2799" s="1"/>
      <c r="Q2799" s="1"/>
      <c r="R2799" s="1"/>
      <c r="S2799" s="1"/>
      <c r="T2799" s="1"/>
      <c r="U2799" s="1"/>
      <c r="V2799" s="1"/>
      <c r="W2799" s="1"/>
      <c r="X2799" s="1"/>
      <c r="Y2799" s="1"/>
      <c r="Z2799" s="1"/>
    </row>
    <row r="2800" spans="1:26" x14ac:dyDescent="0.35">
      <c r="A2800" s="36"/>
      <c r="B2800" s="1"/>
      <c r="C2800" s="1"/>
      <c r="D2800" s="1"/>
      <c r="E2800" s="1"/>
      <c r="F2800" s="1"/>
      <c r="G2800" s="1"/>
      <c r="H2800" s="1"/>
      <c r="I2800" s="1"/>
      <c r="J2800" s="1"/>
      <c r="K2800" s="1"/>
      <c r="L2800" s="1"/>
      <c r="M2800" s="1"/>
      <c r="N2800" s="1"/>
      <c r="O2800" s="1"/>
      <c r="P2800" s="1"/>
      <c r="Q2800" s="1"/>
      <c r="R2800" s="1"/>
      <c r="S2800" s="1"/>
      <c r="T2800" s="1"/>
      <c r="U2800" s="1"/>
      <c r="V2800" s="1"/>
      <c r="W2800" s="1"/>
      <c r="X2800" s="1"/>
      <c r="Y2800" s="1"/>
      <c r="Z2800" s="1"/>
    </row>
    <row r="2801" spans="1:26" x14ac:dyDescent="0.35">
      <c r="A2801" s="36"/>
      <c r="B2801" s="1"/>
      <c r="C2801" s="1"/>
      <c r="D2801" s="1"/>
      <c r="E2801" s="1"/>
      <c r="F2801" s="1"/>
      <c r="G2801" s="1"/>
      <c r="H2801" s="1"/>
      <c r="I2801" s="1"/>
      <c r="J2801" s="1"/>
      <c r="K2801" s="1"/>
      <c r="L2801" s="1"/>
      <c r="M2801" s="1"/>
      <c r="N2801" s="1"/>
      <c r="O2801" s="1"/>
      <c r="P2801" s="1"/>
      <c r="Q2801" s="1"/>
      <c r="R2801" s="1"/>
      <c r="S2801" s="1"/>
      <c r="T2801" s="1"/>
      <c r="U2801" s="1"/>
      <c r="V2801" s="1"/>
      <c r="W2801" s="1"/>
      <c r="X2801" s="1"/>
      <c r="Y2801" s="1"/>
      <c r="Z2801" s="1"/>
    </row>
    <row r="2802" spans="1:26" x14ac:dyDescent="0.35">
      <c r="A2802" s="36"/>
      <c r="B2802" s="1"/>
      <c r="C2802" s="1"/>
      <c r="D2802" s="1"/>
      <c r="E2802" s="1"/>
      <c r="F2802" s="1"/>
      <c r="G2802" s="1"/>
      <c r="H2802" s="1"/>
      <c r="I2802" s="1"/>
      <c r="J2802" s="1"/>
      <c r="K2802" s="1"/>
      <c r="L2802" s="1"/>
      <c r="M2802" s="1"/>
      <c r="N2802" s="1"/>
      <c r="O2802" s="1"/>
      <c r="P2802" s="1"/>
      <c r="Q2802" s="1"/>
      <c r="R2802" s="1"/>
      <c r="S2802" s="1"/>
      <c r="T2802" s="1"/>
      <c r="U2802" s="1"/>
      <c r="V2802" s="1"/>
      <c r="W2802" s="1"/>
      <c r="X2802" s="1"/>
      <c r="Y2802" s="1"/>
      <c r="Z2802" s="1"/>
    </row>
    <row r="2803" spans="1:26" x14ac:dyDescent="0.35">
      <c r="A2803" s="36"/>
      <c r="B2803" s="1"/>
      <c r="C2803" s="1"/>
      <c r="D2803" s="1"/>
      <c r="E2803" s="1"/>
      <c r="F2803" s="1"/>
      <c r="G2803" s="1"/>
      <c r="H2803" s="1"/>
      <c r="I2803" s="1"/>
      <c r="J2803" s="1"/>
      <c r="K2803" s="1"/>
      <c r="L2803" s="1"/>
      <c r="M2803" s="1"/>
      <c r="N2803" s="1"/>
      <c r="O2803" s="1"/>
      <c r="P2803" s="1"/>
      <c r="Q2803" s="1"/>
      <c r="R2803" s="1"/>
      <c r="S2803" s="1"/>
      <c r="T2803" s="1"/>
      <c r="U2803" s="1"/>
      <c r="V2803" s="1"/>
      <c r="W2803" s="1"/>
      <c r="X2803" s="1"/>
      <c r="Y2803" s="1"/>
      <c r="Z2803" s="1"/>
    </row>
    <row r="2804" spans="1:26" x14ac:dyDescent="0.35">
      <c r="A2804" s="36"/>
      <c r="B2804" s="1"/>
      <c r="C2804" s="1"/>
      <c r="D2804" s="1"/>
      <c r="E2804" s="1"/>
      <c r="F2804" s="1"/>
      <c r="G2804" s="1"/>
      <c r="H2804" s="1"/>
      <c r="I2804" s="1"/>
      <c r="J2804" s="1"/>
      <c r="K2804" s="1"/>
      <c r="L2804" s="1"/>
      <c r="M2804" s="1"/>
      <c r="N2804" s="1"/>
      <c r="O2804" s="1"/>
      <c r="P2804" s="1"/>
      <c r="Q2804" s="1"/>
      <c r="R2804" s="1"/>
      <c r="S2804" s="1"/>
      <c r="T2804" s="1"/>
      <c r="U2804" s="1"/>
      <c r="V2804" s="1"/>
      <c r="W2804" s="1"/>
      <c r="X2804" s="1"/>
      <c r="Y2804" s="1"/>
      <c r="Z2804" s="1"/>
    </row>
    <row r="2805" spans="1:26" x14ac:dyDescent="0.35">
      <c r="A2805" s="36"/>
      <c r="B2805" s="1"/>
      <c r="C2805" s="1"/>
      <c r="D2805" s="1"/>
      <c r="E2805" s="1"/>
      <c r="F2805" s="1"/>
      <c r="G2805" s="1"/>
      <c r="H2805" s="1"/>
      <c r="I2805" s="1"/>
      <c r="J2805" s="1"/>
      <c r="K2805" s="1"/>
      <c r="L2805" s="1"/>
      <c r="M2805" s="1"/>
      <c r="N2805" s="1"/>
      <c r="O2805" s="1"/>
      <c r="P2805" s="1"/>
      <c r="Q2805" s="1"/>
      <c r="R2805" s="1"/>
      <c r="S2805" s="1"/>
      <c r="T2805" s="1"/>
      <c r="U2805" s="1"/>
      <c r="V2805" s="1"/>
      <c r="W2805" s="1"/>
      <c r="X2805" s="1"/>
      <c r="Y2805" s="1"/>
      <c r="Z2805" s="1"/>
    </row>
    <row r="2806" spans="1:26" x14ac:dyDescent="0.35">
      <c r="A2806" s="36"/>
      <c r="B2806" s="1"/>
      <c r="C2806" s="1"/>
      <c r="D2806" s="1"/>
      <c r="E2806" s="1"/>
      <c r="F2806" s="1"/>
      <c r="G2806" s="1"/>
      <c r="H2806" s="1"/>
      <c r="I2806" s="1"/>
      <c r="J2806" s="1"/>
      <c r="K2806" s="1"/>
      <c r="L2806" s="1"/>
      <c r="M2806" s="1"/>
      <c r="N2806" s="1"/>
      <c r="O2806" s="1"/>
      <c r="P2806" s="1"/>
      <c r="Q2806" s="1"/>
      <c r="R2806" s="1"/>
      <c r="S2806" s="1"/>
      <c r="T2806" s="1"/>
      <c r="U2806" s="1"/>
      <c r="V2806" s="1"/>
      <c r="W2806" s="1"/>
      <c r="X2806" s="1"/>
      <c r="Y2806" s="1"/>
      <c r="Z2806" s="1"/>
    </row>
    <row r="2807" spans="1:26" x14ac:dyDescent="0.35">
      <c r="A2807" s="36"/>
      <c r="B2807" s="1"/>
      <c r="C2807" s="1"/>
      <c r="D2807" s="1"/>
      <c r="E2807" s="1"/>
      <c r="F2807" s="1"/>
      <c r="G2807" s="1"/>
      <c r="H2807" s="1"/>
      <c r="I2807" s="1"/>
      <c r="J2807" s="1"/>
      <c r="K2807" s="1"/>
      <c r="L2807" s="1"/>
      <c r="M2807" s="1"/>
      <c r="N2807" s="1"/>
      <c r="O2807" s="1"/>
      <c r="P2807" s="1"/>
      <c r="Q2807" s="1"/>
      <c r="R2807" s="1"/>
      <c r="S2807" s="1"/>
      <c r="T2807" s="1"/>
      <c r="U2807" s="1"/>
      <c r="V2807" s="1"/>
      <c r="W2807" s="1"/>
      <c r="X2807" s="1"/>
      <c r="Y2807" s="1"/>
      <c r="Z2807" s="1"/>
    </row>
    <row r="2808" spans="1:26" x14ac:dyDescent="0.35">
      <c r="A2808" s="36"/>
      <c r="B2808" s="1"/>
      <c r="C2808" s="1"/>
      <c r="D2808" s="1"/>
      <c r="E2808" s="1"/>
      <c r="F2808" s="1"/>
      <c r="G2808" s="1"/>
      <c r="H2808" s="1"/>
      <c r="I2808" s="1"/>
      <c r="J2808" s="1"/>
      <c r="K2808" s="1"/>
      <c r="L2808" s="1"/>
      <c r="M2808" s="1"/>
      <c r="N2808" s="1"/>
      <c r="O2808" s="1"/>
      <c r="P2808" s="1"/>
      <c r="Q2808" s="1"/>
      <c r="R2808" s="1"/>
      <c r="S2808" s="1"/>
      <c r="T2808" s="1"/>
      <c r="U2808" s="1"/>
      <c r="V2808" s="1"/>
      <c r="W2808" s="1"/>
      <c r="X2808" s="1"/>
      <c r="Y2808" s="1"/>
      <c r="Z2808" s="1"/>
    </row>
    <row r="2809" spans="1:26" x14ac:dyDescent="0.35">
      <c r="A2809" s="36"/>
      <c r="B2809" s="1"/>
      <c r="C2809" s="1"/>
      <c r="D2809" s="1"/>
      <c r="E2809" s="1"/>
      <c r="F2809" s="1"/>
      <c r="G2809" s="1"/>
      <c r="H2809" s="1"/>
      <c r="I2809" s="1"/>
      <c r="J2809" s="1"/>
      <c r="K2809" s="1"/>
      <c r="L2809" s="1"/>
      <c r="M2809" s="1"/>
      <c r="N2809" s="1"/>
      <c r="O2809" s="1"/>
      <c r="P2809" s="1"/>
      <c r="Q2809" s="1"/>
      <c r="R2809" s="1"/>
      <c r="S2809" s="1"/>
      <c r="T2809" s="1"/>
      <c r="U2809" s="1"/>
      <c r="V2809" s="1"/>
      <c r="W2809" s="1"/>
      <c r="X2809" s="1"/>
      <c r="Y2809" s="1"/>
      <c r="Z2809" s="1"/>
    </row>
    <row r="2810" spans="1:26" x14ac:dyDescent="0.35">
      <c r="A2810" s="36"/>
      <c r="B2810" s="1"/>
      <c r="C2810" s="1"/>
      <c r="D2810" s="1"/>
      <c r="E2810" s="1"/>
      <c r="F2810" s="1"/>
      <c r="G2810" s="1"/>
      <c r="H2810" s="1"/>
      <c r="I2810" s="1"/>
      <c r="J2810" s="1"/>
      <c r="K2810" s="1"/>
      <c r="L2810" s="1"/>
      <c r="M2810" s="1"/>
      <c r="N2810" s="1"/>
      <c r="O2810" s="1"/>
      <c r="P2810" s="1"/>
      <c r="Q2810" s="1"/>
      <c r="R2810" s="1"/>
      <c r="S2810" s="1"/>
      <c r="T2810" s="1"/>
      <c r="U2810" s="1"/>
      <c r="V2810" s="1"/>
      <c r="W2810" s="1"/>
      <c r="X2810" s="1"/>
      <c r="Y2810" s="1"/>
      <c r="Z2810" s="1"/>
    </row>
    <row r="2811" spans="1:26" x14ac:dyDescent="0.35">
      <c r="A2811" s="36"/>
      <c r="B2811" s="1"/>
      <c r="C2811" s="1"/>
      <c r="D2811" s="1"/>
      <c r="E2811" s="1"/>
      <c r="F2811" s="1"/>
      <c r="G2811" s="1"/>
      <c r="H2811" s="1"/>
      <c r="I2811" s="1"/>
      <c r="J2811" s="1"/>
      <c r="K2811" s="1"/>
      <c r="L2811" s="1"/>
      <c r="M2811" s="1"/>
      <c r="N2811" s="1"/>
      <c r="O2811" s="1"/>
      <c r="P2811" s="1"/>
      <c r="Q2811" s="1"/>
      <c r="R2811" s="1"/>
      <c r="S2811" s="1"/>
      <c r="T2811" s="1"/>
      <c r="U2811" s="1"/>
      <c r="V2811" s="1"/>
      <c r="W2811" s="1"/>
      <c r="X2811" s="1"/>
      <c r="Y2811" s="1"/>
      <c r="Z2811" s="1"/>
    </row>
    <row r="2812" spans="1:26" x14ac:dyDescent="0.35">
      <c r="A2812" s="36"/>
      <c r="B2812" s="1"/>
      <c r="C2812" s="1"/>
      <c r="D2812" s="1"/>
      <c r="E2812" s="1"/>
      <c r="F2812" s="1"/>
      <c r="G2812" s="1"/>
      <c r="H2812" s="1"/>
      <c r="I2812" s="1"/>
      <c r="J2812" s="1"/>
      <c r="K2812" s="1"/>
      <c r="L2812" s="1"/>
      <c r="M2812" s="1"/>
      <c r="N2812" s="1"/>
      <c r="O2812" s="1"/>
      <c r="P2812" s="1"/>
      <c r="Q2812" s="1"/>
      <c r="R2812" s="1"/>
      <c r="S2812" s="1"/>
      <c r="T2812" s="1"/>
      <c r="U2812" s="1"/>
      <c r="V2812" s="1"/>
      <c r="W2812" s="1"/>
      <c r="X2812" s="1"/>
      <c r="Y2812" s="1"/>
      <c r="Z2812" s="1"/>
    </row>
    <row r="2813" spans="1:26" x14ac:dyDescent="0.35">
      <c r="A2813" s="36"/>
      <c r="B2813" s="1"/>
      <c r="C2813" s="1"/>
      <c r="D2813" s="1"/>
      <c r="E2813" s="1"/>
      <c r="F2813" s="1"/>
      <c r="G2813" s="1"/>
      <c r="H2813" s="1"/>
      <c r="I2813" s="1"/>
      <c r="J2813" s="1"/>
      <c r="K2813" s="1"/>
      <c r="L2813" s="1"/>
      <c r="M2813" s="1"/>
      <c r="N2813" s="1"/>
      <c r="O2813" s="1"/>
      <c r="P2813" s="1"/>
      <c r="Q2813" s="1"/>
      <c r="R2813" s="1"/>
      <c r="S2813" s="1"/>
      <c r="T2813" s="1"/>
      <c r="U2813" s="1"/>
      <c r="V2813" s="1"/>
      <c r="W2813" s="1"/>
      <c r="X2813" s="1"/>
      <c r="Y2813" s="1"/>
      <c r="Z2813" s="1"/>
    </row>
    <row r="2814" spans="1:26" x14ac:dyDescent="0.35">
      <c r="A2814" s="36"/>
      <c r="B2814" s="1"/>
      <c r="C2814" s="1"/>
      <c r="D2814" s="1"/>
      <c r="E2814" s="1"/>
      <c r="F2814" s="1"/>
      <c r="G2814" s="1"/>
      <c r="H2814" s="1"/>
      <c r="I2814" s="1"/>
      <c r="J2814" s="1"/>
      <c r="K2814" s="1"/>
      <c r="L2814" s="1"/>
      <c r="M2814" s="1"/>
      <c r="N2814" s="1"/>
      <c r="O2814" s="1"/>
      <c r="P2814" s="1"/>
      <c r="Q2814" s="1"/>
      <c r="R2814" s="1"/>
      <c r="S2814" s="1"/>
      <c r="T2814" s="1"/>
      <c r="U2814" s="1"/>
      <c r="V2814" s="1"/>
      <c r="W2814" s="1"/>
      <c r="X2814" s="1"/>
      <c r="Y2814" s="1"/>
      <c r="Z2814" s="1"/>
    </row>
    <row r="2815" spans="1:26" x14ac:dyDescent="0.35">
      <c r="A2815" s="36"/>
      <c r="B2815" s="1"/>
      <c r="C2815" s="1"/>
      <c r="D2815" s="1"/>
      <c r="E2815" s="1"/>
      <c r="F2815" s="1"/>
      <c r="G2815" s="1"/>
      <c r="H2815" s="1"/>
      <c r="I2815" s="1"/>
      <c r="J2815" s="1"/>
      <c r="K2815" s="1"/>
      <c r="L2815" s="1"/>
      <c r="M2815" s="1"/>
      <c r="N2815" s="1"/>
      <c r="O2815" s="1"/>
      <c r="P2815" s="1"/>
      <c r="Q2815" s="1"/>
      <c r="R2815" s="1"/>
      <c r="S2815" s="1"/>
      <c r="T2815" s="1"/>
      <c r="U2815" s="1"/>
      <c r="V2815" s="1"/>
      <c r="W2815" s="1"/>
      <c r="X2815" s="1"/>
      <c r="Y2815" s="1"/>
      <c r="Z2815" s="1"/>
    </row>
    <row r="2816" spans="1:26" x14ac:dyDescent="0.35">
      <c r="A2816" s="36"/>
      <c r="B2816" s="1"/>
      <c r="C2816" s="1"/>
      <c r="D2816" s="1"/>
      <c r="E2816" s="1"/>
      <c r="F2816" s="1"/>
      <c r="G2816" s="1"/>
      <c r="H2816" s="1"/>
      <c r="I2816" s="1"/>
      <c r="J2816" s="1"/>
      <c r="K2816" s="1"/>
      <c r="L2816" s="1"/>
      <c r="M2816" s="1"/>
      <c r="N2816" s="1"/>
      <c r="O2816" s="1"/>
      <c r="P2816" s="1"/>
      <c r="Q2816" s="1"/>
      <c r="R2816" s="1"/>
      <c r="S2816" s="1"/>
      <c r="T2816" s="1"/>
      <c r="U2816" s="1"/>
      <c r="V2816" s="1"/>
      <c r="W2816" s="1"/>
      <c r="X2816" s="1"/>
      <c r="Y2816" s="1"/>
      <c r="Z2816" s="1"/>
    </row>
    <row r="2817" spans="1:2" x14ac:dyDescent="0.35">
      <c r="A2817" s="36"/>
      <c r="B2817" s="1"/>
    </row>
    <row r="2818" spans="1:2" x14ac:dyDescent="0.35">
      <c r="A2818" s="36"/>
      <c r="B2818" s="1"/>
    </row>
    <row r="2819" spans="1:2" x14ac:dyDescent="0.35">
      <c r="A2819" s="36"/>
      <c r="B2819" s="1"/>
    </row>
    <row r="2820" spans="1:2" x14ac:dyDescent="0.35">
      <c r="A2820" s="36"/>
      <c r="B2820" s="1"/>
    </row>
    <row r="2821" spans="1:2" x14ac:dyDescent="0.35">
      <c r="A2821" s="36"/>
      <c r="B2821" s="1"/>
    </row>
    <row r="2822" spans="1:2" x14ac:dyDescent="0.35">
      <c r="A2822" s="36"/>
      <c r="B2822" s="1"/>
    </row>
    <row r="2823" spans="1:2" x14ac:dyDescent="0.35">
      <c r="A2823" s="36"/>
      <c r="B2823" s="1"/>
    </row>
    <row r="2824" spans="1:2" x14ac:dyDescent="0.35">
      <c r="A2824" s="36"/>
      <c r="B2824" s="1"/>
    </row>
    <row r="2825" spans="1:2" x14ac:dyDescent="0.35">
      <c r="A2825" s="36"/>
      <c r="B2825" s="1"/>
    </row>
    <row r="2826" spans="1:2" x14ac:dyDescent="0.35">
      <c r="A2826" s="36"/>
      <c r="B2826" s="1"/>
    </row>
    <row r="2827" spans="1:2" x14ac:dyDescent="0.35">
      <c r="A2827" s="36"/>
      <c r="B2827" s="1"/>
    </row>
    <row r="2828" spans="1:2" x14ac:dyDescent="0.35">
      <c r="A2828" s="36"/>
      <c r="B2828" s="1"/>
    </row>
    <row r="2829" spans="1:2" x14ac:dyDescent="0.35">
      <c r="A2829" s="36"/>
      <c r="B2829" s="1"/>
    </row>
    <row r="2830" spans="1:2" x14ac:dyDescent="0.35">
      <c r="A2830" s="36"/>
      <c r="B2830" s="1"/>
    </row>
    <row r="2831" spans="1:2" x14ac:dyDescent="0.35">
      <c r="A2831" s="36"/>
      <c r="B2831" s="1"/>
    </row>
    <row r="2832" spans="1:2" x14ac:dyDescent="0.35">
      <c r="A2832" s="36"/>
      <c r="B2832" s="1"/>
    </row>
    <row r="2833" spans="1:2" x14ac:dyDescent="0.35">
      <c r="A2833" s="36"/>
      <c r="B2833" s="1"/>
    </row>
    <row r="2834" spans="1:2" x14ac:dyDescent="0.35">
      <c r="A2834" s="36"/>
      <c r="B2834" s="1"/>
    </row>
    <row r="2835" spans="1:2" x14ac:dyDescent="0.35">
      <c r="A2835" s="36"/>
      <c r="B2835" s="1"/>
    </row>
    <row r="2836" spans="1:2" x14ac:dyDescent="0.35">
      <c r="A2836" s="36"/>
      <c r="B2836" s="1"/>
    </row>
    <row r="2837" spans="1:2" x14ac:dyDescent="0.35">
      <c r="A2837" s="36"/>
      <c r="B2837" s="1"/>
    </row>
    <row r="2838" spans="1:2" x14ac:dyDescent="0.35">
      <c r="A2838" s="36"/>
      <c r="B2838" s="1"/>
    </row>
    <row r="2839" spans="1:2" x14ac:dyDescent="0.35">
      <c r="A2839" s="36"/>
      <c r="B2839" s="1"/>
    </row>
    <row r="2840" spans="1:2" x14ac:dyDescent="0.35">
      <c r="A2840" s="36"/>
      <c r="B2840" s="1"/>
    </row>
    <row r="2841" spans="1:2" x14ac:dyDescent="0.35">
      <c r="A2841" s="36"/>
      <c r="B2841" s="1"/>
    </row>
    <row r="2842" spans="1:2" x14ac:dyDescent="0.35">
      <c r="A2842" s="36"/>
      <c r="B2842" s="1"/>
    </row>
    <row r="2843" spans="1:2" x14ac:dyDescent="0.35">
      <c r="A2843" s="36"/>
      <c r="B2843" s="1"/>
    </row>
    <row r="2844" spans="1:2" x14ac:dyDescent="0.35">
      <c r="A2844" s="36"/>
      <c r="B2844" s="1"/>
    </row>
    <row r="2845" spans="1:2" x14ac:dyDescent="0.35">
      <c r="A2845" s="36"/>
      <c r="B2845" s="1"/>
    </row>
    <row r="2846" spans="1:2" x14ac:dyDescent="0.35">
      <c r="A2846" s="36"/>
      <c r="B2846" s="1"/>
    </row>
    <row r="2847" spans="1:2" x14ac:dyDescent="0.35">
      <c r="A2847" s="36"/>
      <c r="B2847" s="1"/>
    </row>
    <row r="2848" spans="1:2" x14ac:dyDescent="0.35">
      <c r="A2848" s="36"/>
      <c r="B2848" s="1"/>
    </row>
    <row r="2849" spans="1:2" x14ac:dyDescent="0.35">
      <c r="A2849" s="36"/>
      <c r="B2849" s="1"/>
    </row>
    <row r="2850" spans="1:2" x14ac:dyDescent="0.35">
      <c r="A2850" s="36"/>
      <c r="B2850" s="1"/>
    </row>
    <row r="2851" spans="1:2" x14ac:dyDescent="0.35">
      <c r="A2851" s="36"/>
      <c r="B2851" s="1"/>
    </row>
    <row r="2852" spans="1:2" x14ac:dyDescent="0.35">
      <c r="A2852" s="36"/>
      <c r="B2852" s="1"/>
    </row>
    <row r="2853" spans="1:2" x14ac:dyDescent="0.35">
      <c r="A2853" s="36"/>
      <c r="B2853" s="1"/>
    </row>
    <row r="2854" spans="1:2" x14ac:dyDescent="0.35">
      <c r="A2854" s="36"/>
      <c r="B2854" s="1"/>
    </row>
    <row r="2855" spans="1:2" x14ac:dyDescent="0.35">
      <c r="A2855" s="36"/>
      <c r="B2855" s="1"/>
    </row>
    <row r="2856" spans="1:2" x14ac:dyDescent="0.35">
      <c r="A2856" s="37"/>
      <c r="B2856" s="1"/>
    </row>
    <row r="2857" spans="1:2" x14ac:dyDescent="0.35">
      <c r="A2857" s="37"/>
      <c r="B2857" s="1"/>
    </row>
    <row r="2858" spans="1:2" x14ac:dyDescent="0.35">
      <c r="A2858" s="37"/>
      <c r="B2858" s="1"/>
    </row>
    <row r="2859" spans="1:2" x14ac:dyDescent="0.35">
      <c r="A2859" s="37"/>
      <c r="B2859" s="1"/>
    </row>
    <row r="2860" spans="1:2" x14ac:dyDescent="0.35">
      <c r="A2860" s="37"/>
      <c r="B2860" s="1"/>
    </row>
    <row r="2861" spans="1:2" x14ac:dyDescent="0.35">
      <c r="A2861" s="37"/>
      <c r="B2861" s="1"/>
    </row>
    <row r="2862" spans="1:2" x14ac:dyDescent="0.35">
      <c r="A2862" s="37"/>
      <c r="B2862" s="1"/>
    </row>
    <row r="2863" spans="1:2" x14ac:dyDescent="0.35">
      <c r="A2863" s="37"/>
      <c r="B2863" s="1"/>
    </row>
    <row r="2864" spans="1:2" x14ac:dyDescent="0.35">
      <c r="A2864" s="37"/>
      <c r="B2864" s="1"/>
    </row>
    <row r="2865" spans="1:2" x14ac:dyDescent="0.35">
      <c r="A2865" s="37"/>
      <c r="B2865" s="1"/>
    </row>
    <row r="2866" spans="1:2" x14ac:dyDescent="0.35">
      <c r="A2866" s="37"/>
      <c r="B2866" s="1"/>
    </row>
    <row r="2867" spans="1:2" x14ac:dyDescent="0.35">
      <c r="A2867" s="37"/>
      <c r="B2867" s="1"/>
    </row>
    <row r="2868" spans="1:2" x14ac:dyDescent="0.35">
      <c r="A2868" s="37"/>
      <c r="B2868" s="1"/>
    </row>
    <row r="2869" spans="1:2" x14ac:dyDescent="0.35">
      <c r="A2869" s="37"/>
    </row>
    <row r="2870" spans="1:2" x14ac:dyDescent="0.35">
      <c r="A2870" s="37"/>
    </row>
    <row r="2871" spans="1:2" x14ac:dyDescent="0.35">
      <c r="A2871" s="37"/>
    </row>
    <row r="2872" spans="1:2" x14ac:dyDescent="0.35">
      <c r="A2872" s="37"/>
    </row>
    <row r="2873" spans="1:2" x14ac:dyDescent="0.35">
      <c r="A2873" s="37"/>
    </row>
    <row r="2874" spans="1:2" x14ac:dyDescent="0.35">
      <c r="A2874" s="37"/>
    </row>
    <row r="2875" spans="1:2" x14ac:dyDescent="0.35">
      <c r="A2875" s="37"/>
    </row>
    <row r="2876" spans="1:2" x14ac:dyDescent="0.35">
      <c r="A2876" s="37"/>
    </row>
    <row r="2877" spans="1:2" x14ac:dyDescent="0.35">
      <c r="A2877" s="37"/>
    </row>
    <row r="2878" spans="1:2" x14ac:dyDescent="0.35">
      <c r="A2878" s="37"/>
    </row>
    <row r="2879" spans="1:2" x14ac:dyDescent="0.35">
      <c r="A2879" s="37"/>
    </row>
    <row r="2880" spans="1:2" x14ac:dyDescent="0.35">
      <c r="A2880" s="37"/>
    </row>
    <row r="2881" spans="1:19" x14ac:dyDescent="0.35">
      <c r="A2881" s="37"/>
    </row>
    <row r="2882" spans="1:19" x14ac:dyDescent="0.35">
      <c r="A2882" s="37"/>
    </row>
    <row r="2883" spans="1:19" x14ac:dyDescent="0.35">
      <c r="A2883" s="37"/>
    </row>
    <row r="2884" spans="1:19" x14ac:dyDescent="0.35">
      <c r="A2884" s="37"/>
    </row>
    <row r="2885" spans="1:19" x14ac:dyDescent="0.35">
      <c r="A2885" s="37"/>
    </row>
    <row r="2886" spans="1:19" x14ac:dyDescent="0.35">
      <c r="A2886" s="37"/>
    </row>
    <row r="2887" spans="1:19" x14ac:dyDescent="0.35">
      <c r="A2887" s="37"/>
    </row>
    <row r="2888" spans="1:19" x14ac:dyDescent="0.35">
      <c r="A2888" s="37"/>
    </row>
    <row r="2889" spans="1:19" x14ac:dyDescent="0.35">
      <c r="A2889" s="37"/>
      <c r="P2889" s="5"/>
      <c r="R2889" s="5"/>
    </row>
    <row r="2890" spans="1:19" x14ac:dyDescent="0.35">
      <c r="A2890" s="37"/>
      <c r="P2890" s="5"/>
      <c r="S2890" s="5"/>
    </row>
    <row r="2891" spans="1:19" x14ac:dyDescent="0.35">
      <c r="A2891" s="37"/>
    </row>
    <row r="2892" spans="1:19" x14ac:dyDescent="0.35">
      <c r="A2892" s="37"/>
    </row>
    <row r="2893" spans="1:19" x14ac:dyDescent="0.35">
      <c r="A2893" s="37"/>
    </row>
    <row r="2894" spans="1:19" x14ac:dyDescent="0.35">
      <c r="A2894" s="37"/>
    </row>
    <row r="2895" spans="1:19" x14ac:dyDescent="0.35">
      <c r="A2895" s="37"/>
    </row>
    <row r="2896" spans="1:19" x14ac:dyDescent="0.35">
      <c r="A2896" s="37"/>
    </row>
    <row r="2897" spans="1:1" x14ac:dyDescent="0.35">
      <c r="A2897" s="37"/>
    </row>
    <row r="2898" spans="1:1" x14ac:dyDescent="0.35">
      <c r="A2898" s="37"/>
    </row>
    <row r="2899" spans="1:1" x14ac:dyDescent="0.35">
      <c r="A2899" s="37"/>
    </row>
    <row r="2900" spans="1:1" x14ac:dyDescent="0.35">
      <c r="A2900" s="37"/>
    </row>
    <row r="2901" spans="1:1" x14ac:dyDescent="0.35">
      <c r="A2901" s="37"/>
    </row>
    <row r="2902" spans="1:1" x14ac:dyDescent="0.35">
      <c r="A2902" s="37"/>
    </row>
    <row r="2903" spans="1:1" x14ac:dyDescent="0.35">
      <c r="A2903" s="37"/>
    </row>
    <row r="2904" spans="1:1" x14ac:dyDescent="0.35">
      <c r="A2904" s="37"/>
    </row>
    <row r="2905" spans="1:1" x14ac:dyDescent="0.35">
      <c r="A2905" s="37"/>
    </row>
    <row r="2906" spans="1:1" x14ac:dyDescent="0.35">
      <c r="A2906" s="37"/>
    </row>
    <row r="2907" spans="1:1" x14ac:dyDescent="0.35">
      <c r="A2907" s="37"/>
    </row>
    <row r="2908" spans="1:1" x14ac:dyDescent="0.35">
      <c r="A2908" s="37"/>
    </row>
    <row r="2909" spans="1:1" x14ac:dyDescent="0.35">
      <c r="A2909" s="37"/>
    </row>
    <row r="2910" spans="1:1" x14ac:dyDescent="0.35">
      <c r="A2910" s="37"/>
    </row>
    <row r="2911" spans="1:1" x14ac:dyDescent="0.35">
      <c r="A2911" s="37"/>
    </row>
    <row r="2912" spans="1:1" x14ac:dyDescent="0.35">
      <c r="A2912" s="37"/>
    </row>
    <row r="2913" spans="1:1" x14ac:dyDescent="0.35">
      <c r="A2913" s="37"/>
    </row>
    <row r="2914" spans="1:1" x14ac:dyDescent="0.35">
      <c r="A2914" s="37"/>
    </row>
    <row r="2915" spans="1:1" x14ac:dyDescent="0.35">
      <c r="A2915" s="37"/>
    </row>
    <row r="2916" spans="1:1" x14ac:dyDescent="0.35">
      <c r="A2916" s="37"/>
    </row>
    <row r="2917" spans="1:1" x14ac:dyDescent="0.35">
      <c r="A2917" s="37"/>
    </row>
    <row r="2918" spans="1:1" x14ac:dyDescent="0.35">
      <c r="A2918" s="37"/>
    </row>
    <row r="2919" spans="1:1" x14ac:dyDescent="0.35">
      <c r="A2919" s="37"/>
    </row>
    <row r="2920" spans="1:1" x14ac:dyDescent="0.35">
      <c r="A2920" s="37"/>
    </row>
    <row r="2921" spans="1:1" x14ac:dyDescent="0.35">
      <c r="A2921" s="37"/>
    </row>
    <row r="2922" spans="1:1" x14ac:dyDescent="0.35">
      <c r="A2922" s="37"/>
    </row>
    <row r="2923" spans="1:1" x14ac:dyDescent="0.35">
      <c r="A2923" s="37"/>
    </row>
    <row r="2924" spans="1:1" x14ac:dyDescent="0.35">
      <c r="A2924" s="37"/>
    </row>
    <row r="2925" spans="1:1" x14ac:dyDescent="0.35">
      <c r="A2925" s="37"/>
    </row>
    <row r="2926" spans="1:1" x14ac:dyDescent="0.35">
      <c r="A2926" s="37"/>
    </row>
    <row r="2927" spans="1:1" x14ac:dyDescent="0.35">
      <c r="A2927" s="37"/>
    </row>
    <row r="2928" spans="1:1" x14ac:dyDescent="0.35">
      <c r="A2928" s="37"/>
    </row>
    <row r="2929" spans="1:1" x14ac:dyDescent="0.35">
      <c r="A2929" s="37"/>
    </row>
    <row r="2930" spans="1:1" x14ac:dyDescent="0.35">
      <c r="A2930" s="37"/>
    </row>
    <row r="2931" spans="1:1" x14ac:dyDescent="0.35">
      <c r="A2931" s="37"/>
    </row>
    <row r="2932" spans="1:1" x14ac:dyDescent="0.35">
      <c r="A2932" s="37"/>
    </row>
    <row r="2933" spans="1:1" x14ac:dyDescent="0.35">
      <c r="A2933" s="37"/>
    </row>
    <row r="2934" spans="1:1" x14ac:dyDescent="0.35">
      <c r="A2934" s="35"/>
    </row>
    <row r="2935" spans="1:1" x14ac:dyDescent="0.35">
      <c r="A2935" s="35"/>
    </row>
    <row r="2936" spans="1:1" x14ac:dyDescent="0.35">
      <c r="A2936" s="35"/>
    </row>
    <row r="2937" spans="1:1" x14ac:dyDescent="0.35">
      <c r="A2937" s="35"/>
    </row>
    <row r="2938" spans="1:1" x14ac:dyDescent="0.35">
      <c r="A2938" s="35"/>
    </row>
    <row r="2939" spans="1:1" x14ac:dyDescent="0.35">
      <c r="A2939" s="35"/>
    </row>
    <row r="2940" spans="1:1" x14ac:dyDescent="0.35">
      <c r="A2940" s="35"/>
    </row>
    <row r="2941" spans="1:1" x14ac:dyDescent="0.35">
      <c r="A2941" s="35"/>
    </row>
    <row r="2942" spans="1:1" x14ac:dyDescent="0.35">
      <c r="A2942" s="35"/>
    </row>
    <row r="2943" spans="1:1" x14ac:dyDescent="0.35">
      <c r="A2943" s="35"/>
    </row>
    <row r="2944" spans="1:1" x14ac:dyDescent="0.35">
      <c r="A2944" s="35"/>
    </row>
    <row r="2945" spans="1:1" x14ac:dyDescent="0.35">
      <c r="A2945" s="35"/>
    </row>
    <row r="2946" spans="1:1" x14ac:dyDescent="0.35">
      <c r="A2946" s="35"/>
    </row>
    <row r="2947" spans="1:1" x14ac:dyDescent="0.35">
      <c r="A2947" s="35"/>
    </row>
    <row r="2948" spans="1:1" x14ac:dyDescent="0.35">
      <c r="A2948" s="35"/>
    </row>
    <row r="2949" spans="1:1" x14ac:dyDescent="0.35">
      <c r="A2949" s="35"/>
    </row>
    <row r="2950" spans="1:1" x14ac:dyDescent="0.35">
      <c r="A2950" s="35"/>
    </row>
    <row r="2951" spans="1:1" x14ac:dyDescent="0.35">
      <c r="A2951" s="35"/>
    </row>
    <row r="2952" spans="1:1" x14ac:dyDescent="0.35">
      <c r="A2952" s="35"/>
    </row>
    <row r="2953" spans="1:1" x14ac:dyDescent="0.35">
      <c r="A2953" s="35"/>
    </row>
    <row r="2954" spans="1:1" x14ac:dyDescent="0.35">
      <c r="A2954" s="35"/>
    </row>
    <row r="2955" spans="1:1" x14ac:dyDescent="0.35">
      <c r="A2955" s="35"/>
    </row>
    <row r="2956" spans="1:1" x14ac:dyDescent="0.35">
      <c r="A2956" s="35"/>
    </row>
  </sheetData>
  <phoneticPr fontId="0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135"/>
  <sheetViews>
    <sheetView tabSelected="1" view="pageBreakPreview" zoomScale="60" zoomScaleNormal="50" workbookViewId="0">
      <selection activeCell="E239" sqref="E239"/>
    </sheetView>
  </sheetViews>
  <sheetFormatPr defaultRowHeight="20.25" x14ac:dyDescent="0.3"/>
  <cols>
    <col min="1" max="1" width="6.125" style="6" customWidth="1"/>
    <col min="2" max="2" width="3.625" style="6" customWidth="1"/>
    <col min="3" max="3" width="61.25" style="6" customWidth="1"/>
    <col min="4" max="4" width="16.625" style="6" hidden="1" customWidth="1"/>
    <col min="5" max="5" width="19.5" style="6" customWidth="1"/>
    <col min="6" max="6" width="23.5" style="6" hidden="1" customWidth="1"/>
    <col min="7" max="7" width="2.875" style="6" hidden="1" customWidth="1"/>
    <col min="8" max="8" width="17.375" style="6" customWidth="1"/>
    <col min="9" max="10" width="21.75" style="6" hidden="1" customWidth="1"/>
    <col min="11" max="11" width="21.375" style="6" hidden="1" customWidth="1"/>
    <col min="12" max="12" width="19.625" style="6" hidden="1" customWidth="1"/>
    <col min="13" max="13" width="24.75" style="6" hidden="1" customWidth="1"/>
    <col min="14" max="14" width="21.5" style="6" hidden="1" customWidth="1"/>
    <col min="15" max="15" width="18.125" style="6" hidden="1" customWidth="1"/>
    <col min="16" max="16" width="17.375" style="6" customWidth="1"/>
    <col min="17" max="17" width="24.25" style="6" hidden="1" customWidth="1"/>
    <col min="18" max="18" width="14.25" style="6" hidden="1" customWidth="1"/>
    <col min="19" max="19" width="18" style="6" hidden="1" customWidth="1"/>
    <col min="20" max="20" width="21" style="6" hidden="1" customWidth="1"/>
    <col min="21" max="21" width="25.375" style="6" hidden="1" customWidth="1"/>
    <col min="22" max="22" width="17.625" style="6" hidden="1" customWidth="1"/>
    <col min="23" max="23" width="15.625" style="6" hidden="1" customWidth="1"/>
    <col min="24" max="24" width="17.75" style="6" customWidth="1"/>
    <col min="25" max="25" width="0" style="6" hidden="1" customWidth="1"/>
    <col min="26" max="26" width="14.125" style="6" customWidth="1"/>
    <col min="27" max="27" width="25" style="6" hidden="1" customWidth="1"/>
    <col min="28" max="28" width="22.125" style="6" hidden="1" customWidth="1"/>
    <col min="29" max="29" width="9" style="107"/>
    <col min="30" max="30" width="34.25" style="107" customWidth="1"/>
    <col min="31" max="16384" width="9" style="107"/>
  </cols>
  <sheetData>
    <row r="1" spans="1:28" x14ac:dyDescent="0.3">
      <c r="B1" s="6" t="s">
        <v>1068</v>
      </c>
    </row>
    <row r="2" spans="1:28" x14ac:dyDescent="0.3">
      <c r="B2" s="68" t="s">
        <v>1069</v>
      </c>
    </row>
    <row r="3" spans="1:28" x14ac:dyDescent="0.3">
      <c r="B3" s="68" t="s">
        <v>1313</v>
      </c>
      <c r="C3" s="6" t="s">
        <v>1316</v>
      </c>
    </row>
    <row r="4" spans="1:28" x14ac:dyDescent="0.3">
      <c r="B4" s="6" t="s">
        <v>1265</v>
      </c>
    </row>
    <row r="5" spans="1:28" x14ac:dyDescent="0.3">
      <c r="D5" s="87" t="s">
        <v>0</v>
      </c>
      <c r="G5" s="87" t="s">
        <v>1</v>
      </c>
      <c r="H5" s="69"/>
      <c r="I5" s="87" t="s">
        <v>2</v>
      </c>
      <c r="K5" s="87" t="s">
        <v>2</v>
      </c>
      <c r="L5" s="87" t="s">
        <v>3</v>
      </c>
      <c r="M5" s="87" t="s">
        <v>3</v>
      </c>
      <c r="O5" s="87" t="s">
        <v>4</v>
      </c>
      <c r="P5" s="69"/>
      <c r="S5" s="87" t="s">
        <v>2</v>
      </c>
      <c r="T5" s="87" t="s">
        <v>3</v>
      </c>
      <c r="U5" s="87" t="s">
        <v>3</v>
      </c>
      <c r="V5" s="87" t="s">
        <v>3</v>
      </c>
      <c r="W5" s="87" t="s">
        <v>5</v>
      </c>
      <c r="X5" s="87" t="s">
        <v>3</v>
      </c>
      <c r="Y5" s="87" t="s">
        <v>2</v>
      </c>
      <c r="Z5" s="87" t="s">
        <v>5</v>
      </c>
      <c r="AA5" s="108" t="s">
        <v>1109</v>
      </c>
      <c r="AB5" s="108" t="s">
        <v>5</v>
      </c>
    </row>
    <row r="6" spans="1:28" x14ac:dyDescent="0.3">
      <c r="D6" s="87" t="s">
        <v>6</v>
      </c>
      <c r="E6" s="87" t="s">
        <v>7</v>
      </c>
      <c r="F6" s="87" t="s">
        <v>8</v>
      </c>
      <c r="G6" s="87" t="s">
        <v>9</v>
      </c>
      <c r="H6" s="146" t="s">
        <v>1282</v>
      </c>
      <c r="I6" s="146"/>
      <c r="J6" s="146"/>
      <c r="K6" s="146"/>
      <c r="L6" s="146"/>
      <c r="M6" s="146"/>
      <c r="N6" s="146"/>
      <c r="O6" s="146"/>
      <c r="P6" s="146"/>
      <c r="Q6" s="87" t="s">
        <v>2</v>
      </c>
      <c r="R6" s="87" t="s">
        <v>11</v>
      </c>
      <c r="S6" s="87" t="s">
        <v>12</v>
      </c>
      <c r="T6" s="87" t="s">
        <v>13</v>
      </c>
      <c r="U6" s="87" t="s">
        <v>13</v>
      </c>
      <c r="V6" s="87" t="s">
        <v>9</v>
      </c>
      <c r="W6" s="87" t="s">
        <v>14</v>
      </c>
      <c r="X6" s="87" t="s">
        <v>9</v>
      </c>
      <c r="Y6" s="87" t="s">
        <v>15</v>
      </c>
      <c r="Z6" s="87" t="s">
        <v>14</v>
      </c>
      <c r="AA6" s="108" t="s">
        <v>9</v>
      </c>
      <c r="AB6" s="108" t="s">
        <v>14</v>
      </c>
    </row>
    <row r="7" spans="1:28" x14ac:dyDescent="0.3">
      <c r="C7" s="87"/>
      <c r="D7" s="87" t="s">
        <v>17</v>
      </c>
      <c r="E7" s="109" t="s">
        <v>18</v>
      </c>
      <c r="F7" s="109" t="s">
        <v>1254</v>
      </c>
      <c r="G7" s="109" t="s">
        <v>19</v>
      </c>
      <c r="H7" s="109" t="s">
        <v>1</v>
      </c>
      <c r="I7" s="109" t="s">
        <v>21</v>
      </c>
      <c r="J7" s="109" t="s">
        <v>22</v>
      </c>
      <c r="K7" s="109" t="s">
        <v>21</v>
      </c>
      <c r="L7" s="109" t="s">
        <v>2</v>
      </c>
      <c r="M7" s="109" t="s">
        <v>9</v>
      </c>
      <c r="N7" s="109" t="str">
        <f>+F7</f>
        <v>AS OF 04/30/06</v>
      </c>
      <c r="O7" s="109" t="s">
        <v>21</v>
      </c>
      <c r="P7" s="109" t="s">
        <v>1268</v>
      </c>
      <c r="Q7" s="109" t="s">
        <v>23</v>
      </c>
      <c r="R7" s="109" t="s">
        <v>24</v>
      </c>
      <c r="S7" s="109" t="s">
        <v>21</v>
      </c>
      <c r="T7" s="109" t="s">
        <v>2</v>
      </c>
      <c r="U7" s="109" t="s">
        <v>9</v>
      </c>
      <c r="V7" s="109" t="s">
        <v>25</v>
      </c>
      <c r="W7" s="110" t="s">
        <v>26</v>
      </c>
      <c r="X7" s="111" t="s">
        <v>1113</v>
      </c>
      <c r="Y7" s="109" t="s">
        <v>27</v>
      </c>
      <c r="Z7" s="111" t="s">
        <v>1113</v>
      </c>
      <c r="AA7" s="108" t="s">
        <v>1110</v>
      </c>
      <c r="AB7" s="108" t="s">
        <v>1110</v>
      </c>
    </row>
    <row r="8" spans="1:28" x14ac:dyDescent="0.3">
      <c r="C8" s="87"/>
      <c r="D8" s="87"/>
      <c r="E8" s="112"/>
      <c r="F8" s="112"/>
      <c r="G8" s="112"/>
      <c r="H8" s="112"/>
      <c r="I8" s="112"/>
      <c r="J8" s="112"/>
      <c r="K8" s="112"/>
      <c r="L8" s="112"/>
      <c r="M8" s="112"/>
      <c r="N8" s="112"/>
      <c r="O8" s="112"/>
      <c r="P8" s="112"/>
      <c r="Q8" s="112"/>
      <c r="R8" s="112"/>
      <c r="S8" s="112"/>
      <c r="T8" s="112"/>
      <c r="U8" s="112"/>
      <c r="V8" s="112"/>
      <c r="W8" s="113"/>
      <c r="X8" s="114"/>
      <c r="Y8" s="112"/>
      <c r="Z8" s="114"/>
      <c r="AA8" s="108"/>
      <c r="AB8" s="108"/>
    </row>
    <row r="9" spans="1:28" x14ac:dyDescent="0.3">
      <c r="A9" s="62"/>
      <c r="B9" s="68" t="s">
        <v>48</v>
      </c>
    </row>
    <row r="10" spans="1:28" hidden="1" x14ac:dyDescent="0.3">
      <c r="A10" s="62"/>
    </row>
    <row r="11" spans="1:28" hidden="1" x14ac:dyDescent="0.3">
      <c r="D11" s="87" t="s">
        <v>50</v>
      </c>
    </row>
    <row r="12" spans="1:28" hidden="1" x14ac:dyDescent="0.3">
      <c r="A12" s="73"/>
      <c r="C12" s="68" t="s">
        <v>51</v>
      </c>
      <c r="D12" s="71" t="s">
        <v>52</v>
      </c>
      <c r="E12" s="69">
        <f>STATS1003B!E12/1000</f>
        <v>5904.16446</v>
      </c>
      <c r="F12" s="69">
        <f>STATS1003B!F12/1000</f>
        <v>5692.4485300000006</v>
      </c>
      <c r="G12" s="69">
        <f>STATS1003B!G12/1000</f>
        <v>0</v>
      </c>
      <c r="H12" s="69">
        <f>STATS1003B!H12/1000</f>
        <v>5692.4485300000006</v>
      </c>
      <c r="I12" s="69">
        <f>STATS1003B!I12/1000</f>
        <v>0</v>
      </c>
      <c r="J12" s="69">
        <f>STATS1003B!J12/1000</f>
        <v>0</v>
      </c>
      <c r="K12" s="69">
        <f>STATS1003B!K12/1000</f>
        <v>0</v>
      </c>
      <c r="L12" s="69">
        <f>STATS1003B!L12/1000</f>
        <v>0</v>
      </c>
      <c r="M12" s="69">
        <f>STATS1003B!M12/1000</f>
        <v>5692.4485300000006</v>
      </c>
      <c r="N12" s="69">
        <f>STATS1003B!N12/1000</f>
        <v>211.71592999999999</v>
      </c>
      <c r="O12" s="69">
        <f>STATS1003B!O12/1000</f>
        <v>0</v>
      </c>
      <c r="P12" s="69">
        <f>STATS1003B!P12/1000</f>
        <v>211.71592999999999</v>
      </c>
      <c r="Q12" s="69">
        <f>STATS1003B!Q12/1000</f>
        <v>0</v>
      </c>
      <c r="R12" s="69">
        <f>STATS1003B!R12/1000</f>
        <v>0</v>
      </c>
      <c r="S12" s="69">
        <f>STATS1003B!S12/1000</f>
        <v>0</v>
      </c>
      <c r="T12" s="69">
        <f>STATS1003B!T12/1000</f>
        <v>0</v>
      </c>
      <c r="U12" s="69">
        <f>STATS1003B!U12/1000</f>
        <v>211.71592999999999</v>
      </c>
      <c r="V12" s="69">
        <f>STATS1003B!V12/1000</f>
        <v>5904.16446</v>
      </c>
      <c r="W12" s="69">
        <f>STATS1003B!W12/1000</f>
        <v>0</v>
      </c>
      <c r="X12" s="69">
        <f>STATS1003B!X12/1000</f>
        <v>5904.16446</v>
      </c>
      <c r="Y12" s="69">
        <f>STATS1003B!Y12/1000</f>
        <v>0</v>
      </c>
      <c r="Z12" s="69">
        <f>STATS1003B!Z12/1000</f>
        <v>0</v>
      </c>
      <c r="AA12" s="69">
        <f>STATS1003B!AA12/1000</f>
        <v>5904.16446</v>
      </c>
      <c r="AB12" s="69">
        <f>STATS1003B!AB12/1000</f>
        <v>0</v>
      </c>
    </row>
    <row r="13" spans="1:28" hidden="1" x14ac:dyDescent="0.3">
      <c r="A13" s="73"/>
      <c r="C13" s="68" t="s">
        <v>53</v>
      </c>
      <c r="D13" s="87" t="s">
        <v>54</v>
      </c>
      <c r="E13" s="69">
        <f>STATS1003B!E13/1000</f>
        <v>2306.1060000000002</v>
      </c>
      <c r="F13" s="69">
        <f>STATS1003B!F13/1000</f>
        <v>0</v>
      </c>
      <c r="G13" s="69">
        <f>STATS1003B!G13/1000</f>
        <v>0</v>
      </c>
      <c r="H13" s="69">
        <f>STATS1003B!H13/1000</f>
        <v>0</v>
      </c>
      <c r="I13" s="69">
        <f>STATS1003B!I13/1000</f>
        <v>0</v>
      </c>
      <c r="J13" s="69">
        <f>STATS1003B!J13/1000</f>
        <v>0</v>
      </c>
      <c r="K13" s="69">
        <f>STATS1003B!K13/1000</f>
        <v>0</v>
      </c>
      <c r="L13" s="69">
        <f>STATS1003B!L13/1000</f>
        <v>0</v>
      </c>
      <c r="M13" s="69">
        <f>STATS1003B!M13/1000</f>
        <v>0</v>
      </c>
      <c r="N13" s="69">
        <f>STATS1003B!N13/1000</f>
        <v>2306.1060000000002</v>
      </c>
      <c r="O13" s="69">
        <f>STATS1003B!O13/1000</f>
        <v>0</v>
      </c>
      <c r="P13" s="69">
        <f>STATS1003B!P13/1000</f>
        <v>2306.1060000000002</v>
      </c>
      <c r="Q13" s="69">
        <f>STATS1003B!Q13/1000</f>
        <v>0</v>
      </c>
      <c r="R13" s="69">
        <f>STATS1003B!R13/1000</f>
        <v>0</v>
      </c>
      <c r="S13" s="69">
        <f>STATS1003B!S13/1000</f>
        <v>0</v>
      </c>
      <c r="T13" s="69">
        <f>STATS1003B!T13/1000</f>
        <v>0</v>
      </c>
      <c r="U13" s="69">
        <f>STATS1003B!U13/1000</f>
        <v>2306.1060000000002</v>
      </c>
      <c r="V13" s="69">
        <f>STATS1003B!V13/1000</f>
        <v>2306.1060000000002</v>
      </c>
      <c r="W13" s="69">
        <f>STATS1003B!W13/1000</f>
        <v>0</v>
      </c>
      <c r="X13" s="69">
        <f>STATS1003B!X13/1000</f>
        <v>2306.1060000000002</v>
      </c>
      <c r="Y13" s="69">
        <f>STATS1003B!Y13/1000</f>
        <v>0</v>
      </c>
      <c r="Z13" s="69">
        <f>STATS1003B!Z13/1000</f>
        <v>0</v>
      </c>
      <c r="AA13" s="69">
        <f>STATS1003B!AA13/1000</f>
        <v>2306.1060000000002</v>
      </c>
      <c r="AB13" s="69">
        <f>STATS1003B!AB13/1000</f>
        <v>0</v>
      </c>
    </row>
    <row r="14" spans="1:28" hidden="1" x14ac:dyDescent="0.3">
      <c r="A14" s="73"/>
      <c r="C14" s="68" t="s">
        <v>55</v>
      </c>
      <c r="D14" s="68" t="s">
        <v>56</v>
      </c>
      <c r="E14" s="69">
        <f>STATS1003B!E14/1000</f>
        <v>3499.0277999999998</v>
      </c>
      <c r="F14" s="69">
        <f>STATS1003B!F14/1000</f>
        <v>0</v>
      </c>
      <c r="G14" s="69">
        <f>STATS1003B!G14/1000</f>
        <v>0</v>
      </c>
      <c r="H14" s="69">
        <f>STATS1003B!H14/1000</f>
        <v>0</v>
      </c>
      <c r="I14" s="69">
        <f>STATS1003B!I14/1000</f>
        <v>0</v>
      </c>
      <c r="J14" s="69">
        <f>STATS1003B!J14/1000</f>
        <v>0</v>
      </c>
      <c r="K14" s="69">
        <f>STATS1003B!K14/1000</f>
        <v>0</v>
      </c>
      <c r="L14" s="69">
        <f>STATS1003B!L14/1000</f>
        <v>0</v>
      </c>
      <c r="M14" s="69">
        <f>STATS1003B!M14/1000</f>
        <v>0</v>
      </c>
      <c r="N14" s="69">
        <f>STATS1003B!N14/1000</f>
        <v>3499.0277999999998</v>
      </c>
      <c r="O14" s="69">
        <f>STATS1003B!O14/1000</f>
        <v>0</v>
      </c>
      <c r="P14" s="69">
        <f>STATS1003B!P14/1000</f>
        <v>3499.0277999999998</v>
      </c>
      <c r="Q14" s="69">
        <f>STATS1003B!Q14/1000</f>
        <v>0</v>
      </c>
      <c r="R14" s="69">
        <f>STATS1003B!R14/1000</f>
        <v>0</v>
      </c>
      <c r="S14" s="69">
        <f>STATS1003B!S14/1000</f>
        <v>0</v>
      </c>
      <c r="T14" s="69">
        <f>STATS1003B!T14/1000</f>
        <v>0</v>
      </c>
      <c r="U14" s="69">
        <f>STATS1003B!U14/1000</f>
        <v>3499.0277999999998</v>
      </c>
      <c r="V14" s="69">
        <f>STATS1003B!V14/1000</f>
        <v>3499.0277999999998</v>
      </c>
      <c r="W14" s="69">
        <f>STATS1003B!W14/1000</f>
        <v>0</v>
      </c>
      <c r="X14" s="69">
        <f>STATS1003B!X14/1000</f>
        <v>3499.0277999999998</v>
      </c>
      <c r="Y14" s="69">
        <f>STATS1003B!Y14/1000</f>
        <v>0</v>
      </c>
      <c r="Z14" s="69">
        <f>STATS1003B!Z14/1000</f>
        <v>0</v>
      </c>
      <c r="AA14" s="69">
        <f>STATS1003B!AA14/1000</f>
        <v>3499.0277999999998</v>
      </c>
      <c r="AB14" s="69">
        <f>STATS1003B!AB14/1000</f>
        <v>0</v>
      </c>
    </row>
    <row r="15" spans="1:28" hidden="1" x14ac:dyDescent="0.3">
      <c r="A15" s="73"/>
      <c r="C15" s="68" t="s">
        <v>57</v>
      </c>
      <c r="D15" s="87" t="s">
        <v>58</v>
      </c>
      <c r="E15" s="69">
        <f>STATS1003B!E15/1000</f>
        <v>1811.5129999999999</v>
      </c>
      <c r="F15" s="69">
        <f>STATS1003B!F15/1000</f>
        <v>1811.5129999999999</v>
      </c>
      <c r="G15" s="69">
        <f>STATS1003B!G15/1000</f>
        <v>0</v>
      </c>
      <c r="H15" s="69">
        <f>STATS1003B!H15/1000</f>
        <v>1811.5129999999999</v>
      </c>
      <c r="I15" s="69">
        <f>STATS1003B!I15/1000</f>
        <v>0</v>
      </c>
      <c r="J15" s="69">
        <f>STATS1003B!J15/1000</f>
        <v>0</v>
      </c>
      <c r="K15" s="69">
        <f>STATS1003B!K15/1000</f>
        <v>0</v>
      </c>
      <c r="L15" s="69">
        <f>STATS1003B!L15/1000</f>
        <v>0</v>
      </c>
      <c r="M15" s="69">
        <f>STATS1003B!M15/1000</f>
        <v>1811.5129999999999</v>
      </c>
      <c r="N15" s="69">
        <f>STATS1003B!N15/1000</f>
        <v>0</v>
      </c>
      <c r="O15" s="69">
        <f>STATS1003B!O15/1000</f>
        <v>0</v>
      </c>
      <c r="P15" s="69">
        <f>STATS1003B!P15/1000</f>
        <v>0</v>
      </c>
      <c r="Q15" s="69">
        <f>STATS1003B!Q15/1000</f>
        <v>0</v>
      </c>
      <c r="R15" s="69">
        <f>STATS1003B!R15/1000</f>
        <v>0</v>
      </c>
      <c r="S15" s="69">
        <f>STATS1003B!S15/1000</f>
        <v>0</v>
      </c>
      <c r="T15" s="69">
        <f>STATS1003B!T15/1000</f>
        <v>0</v>
      </c>
      <c r="U15" s="69">
        <f>STATS1003B!U15/1000</f>
        <v>0</v>
      </c>
      <c r="V15" s="69">
        <f>STATS1003B!V15/1000</f>
        <v>1811.5129999999999</v>
      </c>
      <c r="W15" s="69">
        <f>STATS1003B!W15/1000</f>
        <v>0</v>
      </c>
      <c r="X15" s="69">
        <f>STATS1003B!X15/1000</f>
        <v>1811.5129999999999</v>
      </c>
      <c r="Y15" s="69">
        <f>STATS1003B!Y15/1000</f>
        <v>0</v>
      </c>
      <c r="Z15" s="69">
        <f>STATS1003B!Z15/1000</f>
        <v>0</v>
      </c>
      <c r="AA15" s="69">
        <f>STATS1003B!AA15/1000</f>
        <v>1811.5129999999999</v>
      </c>
      <c r="AB15" s="69">
        <f>STATS1003B!AB15/1000</f>
        <v>0</v>
      </c>
    </row>
    <row r="16" spans="1:28" hidden="1" x14ac:dyDescent="0.3">
      <c r="A16" s="73"/>
      <c r="C16" s="71" t="s">
        <v>59</v>
      </c>
      <c r="D16" s="90" t="s">
        <v>60</v>
      </c>
      <c r="E16" s="69">
        <f>STATS1003B!E16/1000</f>
        <v>5000</v>
      </c>
      <c r="F16" s="69">
        <f>STATS1003B!F16/1000</f>
        <v>5000</v>
      </c>
      <c r="G16" s="69">
        <f>STATS1003B!G16/1000</f>
        <v>0</v>
      </c>
      <c r="H16" s="69">
        <f>STATS1003B!H16/1000</f>
        <v>5000</v>
      </c>
      <c r="I16" s="69">
        <f>STATS1003B!I16/1000</f>
        <v>0</v>
      </c>
      <c r="J16" s="69">
        <f>STATS1003B!J16/1000</f>
        <v>0</v>
      </c>
      <c r="K16" s="69">
        <f>STATS1003B!K16/1000</f>
        <v>0</v>
      </c>
      <c r="L16" s="69">
        <f>STATS1003B!L16/1000</f>
        <v>0</v>
      </c>
      <c r="M16" s="69">
        <f>STATS1003B!M16/1000</f>
        <v>5000</v>
      </c>
      <c r="N16" s="69">
        <f>STATS1003B!N16/1000</f>
        <v>0</v>
      </c>
      <c r="O16" s="69">
        <f>STATS1003B!O16/1000</f>
        <v>0</v>
      </c>
      <c r="P16" s="69">
        <f>STATS1003B!P16/1000</f>
        <v>0</v>
      </c>
      <c r="Q16" s="69">
        <f>STATS1003B!Q16/1000</f>
        <v>0</v>
      </c>
      <c r="R16" s="69">
        <f>STATS1003B!R16/1000</f>
        <v>0</v>
      </c>
      <c r="S16" s="69">
        <f>STATS1003B!S16/1000</f>
        <v>0</v>
      </c>
      <c r="T16" s="69">
        <f>STATS1003B!T16/1000</f>
        <v>0</v>
      </c>
      <c r="U16" s="69">
        <f>STATS1003B!U16/1000</f>
        <v>0</v>
      </c>
      <c r="V16" s="69">
        <f>STATS1003B!V16/1000</f>
        <v>5000</v>
      </c>
      <c r="W16" s="69">
        <f>STATS1003B!W16/1000</f>
        <v>0</v>
      </c>
      <c r="X16" s="69">
        <f>STATS1003B!X16/1000</f>
        <v>5000</v>
      </c>
      <c r="Y16" s="69">
        <f>STATS1003B!Y16/1000</f>
        <v>0</v>
      </c>
      <c r="Z16" s="69">
        <f>STATS1003B!Z16/1000</f>
        <v>0</v>
      </c>
      <c r="AA16" s="69">
        <f>STATS1003B!AA16/1000</f>
        <v>5000</v>
      </c>
      <c r="AB16" s="69">
        <f>STATS1003B!AB16/1000</f>
        <v>0</v>
      </c>
    </row>
    <row r="17" spans="1:28" hidden="1" x14ac:dyDescent="0.3">
      <c r="A17" s="73"/>
      <c r="C17" s="68" t="s">
        <v>57</v>
      </c>
      <c r="D17" s="87" t="s">
        <v>61</v>
      </c>
      <c r="E17" s="69">
        <f>STATS1003B!E17/1000</f>
        <v>1000</v>
      </c>
      <c r="F17" s="69">
        <f>STATS1003B!F17/1000</f>
        <v>1000</v>
      </c>
      <c r="G17" s="69">
        <f>STATS1003B!G17/1000</f>
        <v>0</v>
      </c>
      <c r="H17" s="69">
        <f>STATS1003B!H17/1000</f>
        <v>1000</v>
      </c>
      <c r="I17" s="69">
        <f>STATS1003B!I17/1000</f>
        <v>0</v>
      </c>
      <c r="J17" s="69">
        <f>STATS1003B!J17/1000</f>
        <v>0</v>
      </c>
      <c r="K17" s="69">
        <f>STATS1003B!K17/1000</f>
        <v>0</v>
      </c>
      <c r="L17" s="69">
        <f>STATS1003B!L17/1000</f>
        <v>0</v>
      </c>
      <c r="M17" s="69">
        <f>STATS1003B!M17/1000</f>
        <v>1000</v>
      </c>
      <c r="N17" s="69">
        <f>STATS1003B!N17/1000</f>
        <v>0</v>
      </c>
      <c r="O17" s="69">
        <f>STATS1003B!O17/1000</f>
        <v>0</v>
      </c>
      <c r="P17" s="69">
        <f>STATS1003B!P17/1000</f>
        <v>0</v>
      </c>
      <c r="Q17" s="69">
        <f>STATS1003B!Q17/1000</f>
        <v>0</v>
      </c>
      <c r="R17" s="69">
        <f>STATS1003B!R17/1000</f>
        <v>0</v>
      </c>
      <c r="S17" s="69">
        <f>STATS1003B!S17/1000</f>
        <v>0</v>
      </c>
      <c r="T17" s="69">
        <f>STATS1003B!T17/1000</f>
        <v>0</v>
      </c>
      <c r="U17" s="69">
        <f>STATS1003B!U17/1000</f>
        <v>0</v>
      </c>
      <c r="V17" s="69">
        <f>STATS1003B!V17/1000</f>
        <v>1000</v>
      </c>
      <c r="W17" s="69">
        <f>STATS1003B!W17/1000</f>
        <v>0</v>
      </c>
      <c r="X17" s="69">
        <f>STATS1003B!X17/1000</f>
        <v>1000</v>
      </c>
      <c r="Y17" s="69">
        <f>STATS1003B!Y17/1000</f>
        <v>0</v>
      </c>
      <c r="Z17" s="69">
        <f>STATS1003B!Z17/1000</f>
        <v>0</v>
      </c>
      <c r="AA17" s="69">
        <f>STATS1003B!AA17/1000</f>
        <v>1000</v>
      </c>
      <c r="AB17" s="69">
        <f>STATS1003B!AB17/1000</f>
        <v>0</v>
      </c>
    </row>
    <row r="18" spans="1:28" hidden="1" x14ac:dyDescent="0.3">
      <c r="A18" s="73"/>
      <c r="C18" s="68" t="s">
        <v>930</v>
      </c>
      <c r="D18" s="90" t="s">
        <v>1072</v>
      </c>
      <c r="E18" s="69">
        <f>STATS1003B!E18/1000</f>
        <v>1706</v>
      </c>
      <c r="F18" s="69">
        <f>STATS1003B!F18/1000</f>
        <v>1706</v>
      </c>
      <c r="G18" s="69">
        <f>STATS1003B!G18/1000</f>
        <v>0</v>
      </c>
      <c r="H18" s="69">
        <f>STATS1003B!H18/1000</f>
        <v>1706</v>
      </c>
      <c r="I18" s="69">
        <f>STATS1003B!I18/1000</f>
        <v>0</v>
      </c>
      <c r="J18" s="69">
        <f>STATS1003B!J18/1000</f>
        <v>0</v>
      </c>
      <c r="K18" s="69">
        <f>STATS1003B!K18/1000</f>
        <v>0</v>
      </c>
      <c r="L18" s="69">
        <f>STATS1003B!L18/1000</f>
        <v>0</v>
      </c>
      <c r="M18" s="69">
        <f>STATS1003B!M18/1000</f>
        <v>1706</v>
      </c>
      <c r="N18" s="69">
        <f>STATS1003B!N18/1000</f>
        <v>0</v>
      </c>
      <c r="O18" s="69">
        <f>STATS1003B!O18/1000</f>
        <v>0</v>
      </c>
      <c r="P18" s="69">
        <f>STATS1003B!P18/1000</f>
        <v>0</v>
      </c>
      <c r="Q18" s="69">
        <f>STATS1003B!Q18/1000</f>
        <v>0</v>
      </c>
      <c r="R18" s="69">
        <f>STATS1003B!R18/1000</f>
        <v>0</v>
      </c>
      <c r="S18" s="69">
        <f>STATS1003B!S18/1000</f>
        <v>0</v>
      </c>
      <c r="T18" s="69">
        <f>STATS1003B!T18/1000</f>
        <v>0</v>
      </c>
      <c r="U18" s="69">
        <f>STATS1003B!U18/1000</f>
        <v>0</v>
      </c>
      <c r="V18" s="69">
        <f>STATS1003B!V18/1000</f>
        <v>1706</v>
      </c>
      <c r="W18" s="69">
        <f>STATS1003B!W18/1000</f>
        <v>0</v>
      </c>
      <c r="X18" s="69">
        <f>STATS1003B!X18/1000</f>
        <v>1706</v>
      </c>
      <c r="Y18" s="69">
        <f>STATS1003B!Y18/1000</f>
        <v>0</v>
      </c>
      <c r="Z18" s="69">
        <f>STATS1003B!Z18/1000</f>
        <v>0</v>
      </c>
      <c r="AA18" s="69">
        <f>STATS1003B!AA18/1000</f>
        <v>1706</v>
      </c>
      <c r="AB18" s="69">
        <f>STATS1003B!AB18/1000</f>
        <v>0</v>
      </c>
    </row>
    <row r="19" spans="1:28" hidden="1" x14ac:dyDescent="0.3">
      <c r="A19" s="73"/>
      <c r="C19" s="68" t="s">
        <v>932</v>
      </c>
      <c r="D19" s="90" t="s">
        <v>1126</v>
      </c>
      <c r="E19" s="69">
        <f>STATS1003B!E19/1000</f>
        <v>400</v>
      </c>
      <c r="F19" s="69">
        <f>STATS1003B!F19/1000</f>
        <v>400</v>
      </c>
      <c r="G19" s="69">
        <f>STATS1003B!G19/1000</f>
        <v>0</v>
      </c>
      <c r="H19" s="69">
        <f>STATS1003B!H19/1000</f>
        <v>400</v>
      </c>
      <c r="I19" s="69">
        <f>STATS1003B!I19/1000</f>
        <v>0</v>
      </c>
      <c r="J19" s="69">
        <f>STATS1003B!J19/1000</f>
        <v>0</v>
      </c>
      <c r="K19" s="69">
        <f>STATS1003B!K19/1000</f>
        <v>0</v>
      </c>
      <c r="L19" s="69">
        <f>STATS1003B!L19/1000</f>
        <v>0</v>
      </c>
      <c r="M19" s="69">
        <f>STATS1003B!M19/1000</f>
        <v>400</v>
      </c>
      <c r="N19" s="69">
        <f>STATS1003B!N19/1000</f>
        <v>0</v>
      </c>
      <c r="O19" s="69">
        <f>STATS1003B!O19/1000</f>
        <v>0</v>
      </c>
      <c r="P19" s="69">
        <f>STATS1003B!P19/1000</f>
        <v>0</v>
      </c>
      <c r="Q19" s="69">
        <f>STATS1003B!Q19/1000</f>
        <v>0</v>
      </c>
      <c r="R19" s="69">
        <f>STATS1003B!R19/1000</f>
        <v>0</v>
      </c>
      <c r="S19" s="69">
        <f>STATS1003B!S19/1000</f>
        <v>0</v>
      </c>
      <c r="T19" s="69">
        <f>STATS1003B!T19/1000</f>
        <v>0</v>
      </c>
      <c r="U19" s="69">
        <f>STATS1003B!U19/1000</f>
        <v>0</v>
      </c>
      <c r="V19" s="69">
        <f>STATS1003B!V19/1000</f>
        <v>400</v>
      </c>
      <c r="W19" s="69">
        <f>STATS1003B!W19/1000</f>
        <v>0</v>
      </c>
      <c r="X19" s="69">
        <f>STATS1003B!X19/1000</f>
        <v>400</v>
      </c>
      <c r="Y19" s="69">
        <f>STATS1003B!Y19/1000</f>
        <v>0</v>
      </c>
      <c r="Z19" s="69">
        <f>STATS1003B!Z19/1000</f>
        <v>0</v>
      </c>
      <c r="AA19" s="69">
        <f>STATS1003B!AA19/1000</f>
        <v>400</v>
      </c>
      <c r="AB19" s="69">
        <f>STATS1003B!AB19/1000</f>
        <v>0</v>
      </c>
    </row>
    <row r="20" spans="1:28" hidden="1" x14ac:dyDescent="0.3">
      <c r="A20" s="73"/>
      <c r="C20" s="68" t="s">
        <v>62</v>
      </c>
      <c r="E20" s="69">
        <f>STATS1003B!E20/1000</f>
        <v>348.51620000000003</v>
      </c>
      <c r="F20" s="69">
        <f>STATS1003B!F20/1000</f>
        <v>348.51620000000003</v>
      </c>
      <c r="G20" s="69">
        <f>STATS1003B!G20/1000</f>
        <v>0</v>
      </c>
      <c r="H20" s="69">
        <f>STATS1003B!H20/1000</f>
        <v>348.51620000000003</v>
      </c>
      <c r="I20" s="69">
        <f>STATS1003B!I20/1000</f>
        <v>0</v>
      </c>
      <c r="J20" s="69">
        <f>STATS1003B!J20/1000</f>
        <v>0</v>
      </c>
      <c r="K20" s="69">
        <f>STATS1003B!K20/1000</f>
        <v>0</v>
      </c>
      <c r="L20" s="69">
        <f>STATS1003B!L20/1000</f>
        <v>0</v>
      </c>
      <c r="M20" s="69">
        <f>STATS1003B!M20/1000</f>
        <v>348.51620000000003</v>
      </c>
      <c r="N20" s="69">
        <f>STATS1003B!N20/1000</f>
        <v>0</v>
      </c>
      <c r="O20" s="69">
        <f>STATS1003B!O20/1000</f>
        <v>0</v>
      </c>
      <c r="P20" s="69">
        <f>STATS1003B!P20/1000</f>
        <v>0</v>
      </c>
      <c r="Q20" s="69">
        <f>STATS1003B!Q20/1000</f>
        <v>0</v>
      </c>
      <c r="R20" s="69">
        <f>STATS1003B!R20/1000</f>
        <v>0</v>
      </c>
      <c r="S20" s="69">
        <f>STATS1003B!S20/1000</f>
        <v>0</v>
      </c>
      <c r="T20" s="69">
        <f>STATS1003B!T20/1000</f>
        <v>0</v>
      </c>
      <c r="U20" s="69">
        <f>STATS1003B!U20/1000</f>
        <v>0</v>
      </c>
      <c r="V20" s="69">
        <f>STATS1003B!V20/1000</f>
        <v>348.51620000000003</v>
      </c>
      <c r="W20" s="69">
        <f>STATS1003B!W20/1000</f>
        <v>0</v>
      </c>
      <c r="X20" s="69">
        <f>STATS1003B!X20/1000</f>
        <v>348.51620000000003</v>
      </c>
      <c r="Y20" s="69">
        <f>STATS1003B!Y20/1000</f>
        <v>0</v>
      </c>
      <c r="Z20" s="69">
        <f>STATS1003B!Z20/1000</f>
        <v>0</v>
      </c>
      <c r="AA20" s="69">
        <f>STATS1003B!AA20/1000</f>
        <v>348.51620000000003</v>
      </c>
      <c r="AB20" s="69">
        <f>STATS1003B!AB20/1000</f>
        <v>0</v>
      </c>
    </row>
    <row r="21" spans="1:28" hidden="1" x14ac:dyDescent="0.3">
      <c r="A21" s="73"/>
      <c r="E21" s="115" t="s">
        <v>29</v>
      </c>
      <c r="F21" s="115" t="s">
        <v>29</v>
      </c>
      <c r="G21" s="115" t="s">
        <v>29</v>
      </c>
      <c r="H21" s="115" t="s">
        <v>29</v>
      </c>
      <c r="I21" s="115" t="s">
        <v>29</v>
      </c>
      <c r="J21" s="115" t="s">
        <v>29</v>
      </c>
      <c r="K21" s="115" t="s">
        <v>29</v>
      </c>
      <c r="L21" s="115" t="s">
        <v>29</v>
      </c>
      <c r="M21" s="115" t="s">
        <v>29</v>
      </c>
      <c r="N21" s="115" t="s">
        <v>29</v>
      </c>
      <c r="O21" s="115" t="s">
        <v>29</v>
      </c>
      <c r="P21" s="115" t="s">
        <v>29</v>
      </c>
      <c r="Q21" s="115" t="s">
        <v>29</v>
      </c>
      <c r="R21" s="115" t="s">
        <v>29</v>
      </c>
      <c r="S21" s="115" t="s">
        <v>29</v>
      </c>
      <c r="T21" s="115" t="s">
        <v>29</v>
      </c>
      <c r="U21" s="115" t="s">
        <v>29</v>
      </c>
      <c r="V21" s="115" t="s">
        <v>29</v>
      </c>
      <c r="W21" s="115" t="s">
        <v>29</v>
      </c>
      <c r="X21" s="115" t="s">
        <v>29</v>
      </c>
      <c r="Y21" s="115" t="s">
        <v>29</v>
      </c>
      <c r="Z21" s="115" t="s">
        <v>29</v>
      </c>
      <c r="AA21" s="115" t="s">
        <v>29</v>
      </c>
      <c r="AB21" s="115" t="s">
        <v>29</v>
      </c>
    </row>
    <row r="22" spans="1:28" x14ac:dyDescent="0.3">
      <c r="A22" s="116" t="s">
        <v>934</v>
      </c>
      <c r="B22" s="68" t="s">
        <v>49</v>
      </c>
      <c r="E22" s="85">
        <f>71459716.55/1000</f>
        <v>71459.716549999997</v>
      </c>
      <c r="F22" s="85">
        <f>SUM(F12:F20)</f>
        <v>15958.477730000001</v>
      </c>
      <c r="G22" s="85">
        <f>SUM(G12:G20)</f>
        <v>0</v>
      </c>
      <c r="H22" s="85">
        <f>65442866.82/1000</f>
        <v>65442.866820000003</v>
      </c>
      <c r="I22" s="85">
        <f t="shared" ref="I22:O22" si="0">SUM(I12:I20)</f>
        <v>0</v>
      </c>
      <c r="J22" s="85">
        <f t="shared" si="0"/>
        <v>0</v>
      </c>
      <c r="K22" s="85">
        <f t="shared" si="0"/>
        <v>0</v>
      </c>
      <c r="L22" s="85">
        <f t="shared" si="0"/>
        <v>0</v>
      </c>
      <c r="M22" s="85">
        <f t="shared" si="0"/>
        <v>15958.477730000001</v>
      </c>
      <c r="N22" s="85">
        <f t="shared" si="0"/>
        <v>6016.8497299999999</v>
      </c>
      <c r="O22" s="85">
        <f t="shared" si="0"/>
        <v>0</v>
      </c>
      <c r="P22" s="85">
        <f>6016849.73/1000</f>
        <v>6016.8497300000008</v>
      </c>
      <c r="Q22" s="85">
        <f t="shared" ref="Q22:W22" si="1">SUM(Q12:Q20)</f>
        <v>0</v>
      </c>
      <c r="R22" s="85">
        <f t="shared" si="1"/>
        <v>0</v>
      </c>
      <c r="S22" s="85">
        <f t="shared" si="1"/>
        <v>0</v>
      </c>
      <c r="T22" s="85">
        <f t="shared" si="1"/>
        <v>0</v>
      </c>
      <c r="U22" s="85">
        <f t="shared" si="1"/>
        <v>6016.8497299999999</v>
      </c>
      <c r="V22" s="85">
        <f t="shared" si="1"/>
        <v>21975.32746</v>
      </c>
      <c r="W22" s="85">
        <f t="shared" si="1"/>
        <v>0</v>
      </c>
      <c r="X22" s="85">
        <f>+H22+P22</f>
        <v>71459.716549999997</v>
      </c>
      <c r="Y22" s="85">
        <f>SUM(Y12:Y20)</f>
        <v>0</v>
      </c>
      <c r="Z22" s="85">
        <f>+E22-X22</f>
        <v>0</v>
      </c>
      <c r="AA22" s="69">
        <f>SUM(AA12:AA20)</f>
        <v>21975.32746</v>
      </c>
      <c r="AB22" s="69">
        <f>SUM(AB12:AB20)</f>
        <v>0</v>
      </c>
    </row>
    <row r="23" spans="1:28" hidden="1" x14ac:dyDescent="0.3">
      <c r="A23" s="117"/>
      <c r="E23" s="86" t="s">
        <v>29</v>
      </c>
      <c r="F23" s="86" t="s">
        <v>29</v>
      </c>
      <c r="G23" s="86" t="s">
        <v>29</v>
      </c>
      <c r="H23" s="86" t="s">
        <v>29</v>
      </c>
      <c r="I23" s="86" t="s">
        <v>29</v>
      </c>
      <c r="J23" s="86" t="s">
        <v>29</v>
      </c>
      <c r="K23" s="86" t="s">
        <v>29</v>
      </c>
      <c r="L23" s="86" t="s">
        <v>29</v>
      </c>
      <c r="M23" s="86" t="s">
        <v>29</v>
      </c>
      <c r="N23" s="86" t="s">
        <v>29</v>
      </c>
      <c r="O23" s="86" t="s">
        <v>29</v>
      </c>
      <c r="P23" s="86" t="s">
        <v>29</v>
      </c>
      <c r="Q23" s="86" t="s">
        <v>29</v>
      </c>
      <c r="R23" s="86" t="s">
        <v>29</v>
      </c>
      <c r="S23" s="86" t="s">
        <v>29</v>
      </c>
      <c r="T23" s="86" t="s">
        <v>29</v>
      </c>
      <c r="U23" s="86" t="s">
        <v>29</v>
      </c>
      <c r="V23" s="86" t="s">
        <v>29</v>
      </c>
      <c r="W23" s="86" t="s">
        <v>29</v>
      </c>
      <c r="X23" s="86" t="s">
        <v>29</v>
      </c>
      <c r="Y23" s="86" t="s">
        <v>29</v>
      </c>
      <c r="Z23" s="86" t="s">
        <v>29</v>
      </c>
      <c r="AA23" s="115" t="s">
        <v>29</v>
      </c>
      <c r="AB23" s="115" t="s">
        <v>29</v>
      </c>
    </row>
    <row r="24" spans="1:28" hidden="1" x14ac:dyDescent="0.3">
      <c r="A24" s="117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118"/>
    </row>
    <row r="25" spans="1:28" hidden="1" x14ac:dyDescent="0.3">
      <c r="A25" s="105"/>
      <c r="D25" s="87" t="s">
        <v>64</v>
      </c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</row>
    <row r="26" spans="1:28" hidden="1" x14ac:dyDescent="0.3">
      <c r="A26" s="117"/>
      <c r="C26" s="68" t="s">
        <v>51</v>
      </c>
      <c r="D26" s="71" t="s">
        <v>65</v>
      </c>
      <c r="E26" s="85">
        <f>STATS1003B!E26/1000</f>
        <v>8606.1616400000003</v>
      </c>
      <c r="F26" s="85">
        <f>STATS1003B!F26/1000</f>
        <v>6205.7602999999999</v>
      </c>
      <c r="G26" s="85">
        <f>STATS1003B!G26/1000</f>
        <v>0</v>
      </c>
      <c r="H26" s="85">
        <f>STATS1003B!H26/1000</f>
        <v>6205.7602999999999</v>
      </c>
      <c r="I26" s="85">
        <f>STATS1003B!I26/1000</f>
        <v>0</v>
      </c>
      <c r="J26" s="85">
        <f>STATS1003B!J26/1000</f>
        <v>0</v>
      </c>
      <c r="K26" s="85">
        <f>STATS1003B!K26/1000</f>
        <v>0</v>
      </c>
      <c r="L26" s="85">
        <f>STATS1003B!L26/1000</f>
        <v>0</v>
      </c>
      <c r="M26" s="85">
        <f>STATS1003B!M26/1000</f>
        <v>6205.7602999999999</v>
      </c>
      <c r="N26" s="85">
        <f>STATS1003B!N26/1000</f>
        <v>2400.4013399999999</v>
      </c>
      <c r="O26" s="85">
        <f>STATS1003B!O26/1000</f>
        <v>0</v>
      </c>
      <c r="P26" s="85">
        <f>STATS1003B!P26/1000</f>
        <v>2400.4013399999999</v>
      </c>
      <c r="Q26" s="85">
        <f>STATS1003B!Q26/1000</f>
        <v>0</v>
      </c>
      <c r="R26" s="85">
        <f>STATS1003B!R26/1000</f>
        <v>0</v>
      </c>
      <c r="S26" s="85">
        <f>STATS1003B!S26/1000</f>
        <v>0</v>
      </c>
      <c r="T26" s="85">
        <f>STATS1003B!T26/1000</f>
        <v>0</v>
      </c>
      <c r="U26" s="85">
        <f>STATS1003B!U26/1000</f>
        <v>2400.4013399999999</v>
      </c>
      <c r="V26" s="85">
        <f>STATS1003B!V26/1000</f>
        <v>8606.1616400000003</v>
      </c>
      <c r="W26" s="85">
        <f>STATS1003B!W26/1000</f>
        <v>0</v>
      </c>
      <c r="X26" s="85">
        <f>STATS1003B!X26/1000</f>
        <v>8606.1616400000003</v>
      </c>
      <c r="Y26" s="85">
        <f>STATS1003B!Y26/1000</f>
        <v>0</v>
      </c>
      <c r="Z26" s="85">
        <f>STATS1003B!Z26/1000</f>
        <v>0</v>
      </c>
      <c r="AA26" s="69">
        <f>STATS1003B!AA26/1000</f>
        <v>8606.1616400000003</v>
      </c>
      <c r="AB26" s="69">
        <f>STATS1003B!AB26/1000</f>
        <v>0</v>
      </c>
    </row>
    <row r="27" spans="1:28" hidden="1" x14ac:dyDescent="0.3">
      <c r="A27" s="117"/>
      <c r="C27" s="68" t="s">
        <v>66</v>
      </c>
      <c r="D27" s="87" t="s">
        <v>67</v>
      </c>
      <c r="E27" s="85">
        <f>STATS1003B!E27/1000</f>
        <v>3000</v>
      </c>
      <c r="F27" s="85">
        <f>STATS1003B!F27/1000</f>
        <v>3000</v>
      </c>
      <c r="G27" s="85">
        <f>STATS1003B!G27/1000</f>
        <v>0</v>
      </c>
      <c r="H27" s="85">
        <f>STATS1003B!H27/1000</f>
        <v>3000</v>
      </c>
      <c r="I27" s="85">
        <f>STATS1003B!I27/1000</f>
        <v>0</v>
      </c>
      <c r="J27" s="85">
        <f>STATS1003B!J27/1000</f>
        <v>0</v>
      </c>
      <c r="K27" s="85">
        <f>STATS1003B!K27/1000</f>
        <v>0</v>
      </c>
      <c r="L27" s="85">
        <f>STATS1003B!L27/1000</f>
        <v>0</v>
      </c>
      <c r="M27" s="85">
        <f>STATS1003B!M27/1000</f>
        <v>3000</v>
      </c>
      <c r="N27" s="85">
        <f>STATS1003B!N27/1000</f>
        <v>0</v>
      </c>
      <c r="O27" s="85">
        <f>STATS1003B!O27/1000</f>
        <v>0</v>
      </c>
      <c r="P27" s="85">
        <f>STATS1003B!P27/1000</f>
        <v>0</v>
      </c>
      <c r="Q27" s="85">
        <f>STATS1003B!Q27/1000</f>
        <v>0</v>
      </c>
      <c r="R27" s="85">
        <f>STATS1003B!R27/1000</f>
        <v>0</v>
      </c>
      <c r="S27" s="85">
        <f>STATS1003B!S27/1000</f>
        <v>0</v>
      </c>
      <c r="T27" s="85">
        <f>STATS1003B!T27/1000</f>
        <v>0</v>
      </c>
      <c r="U27" s="85">
        <f>STATS1003B!U27/1000</f>
        <v>0</v>
      </c>
      <c r="V27" s="85">
        <f>STATS1003B!V27/1000</f>
        <v>3000</v>
      </c>
      <c r="W27" s="85">
        <f>STATS1003B!W27/1000</f>
        <v>0</v>
      </c>
      <c r="X27" s="85">
        <f>STATS1003B!X27/1000</f>
        <v>3000</v>
      </c>
      <c r="Y27" s="85">
        <f>STATS1003B!Y27/1000</f>
        <v>0</v>
      </c>
      <c r="Z27" s="85">
        <f>STATS1003B!Z27/1000</f>
        <v>0</v>
      </c>
      <c r="AA27" s="69">
        <f>STATS1003B!AA27/1000</f>
        <v>3000</v>
      </c>
      <c r="AB27" s="69">
        <f>STATS1003B!AB27/1000</f>
        <v>0</v>
      </c>
    </row>
    <row r="28" spans="1:28" hidden="1" x14ac:dyDescent="0.3">
      <c r="A28" s="117"/>
      <c r="C28" s="68" t="s">
        <v>55</v>
      </c>
      <c r="D28" s="87" t="s">
        <v>68</v>
      </c>
      <c r="E28" s="85">
        <f>STATS1003B!E28/1000</f>
        <v>2778.9300099999996</v>
      </c>
      <c r="F28" s="85">
        <f>STATS1003B!F28/1000</f>
        <v>0</v>
      </c>
      <c r="G28" s="85">
        <f>STATS1003B!G28/1000</f>
        <v>0</v>
      </c>
      <c r="H28" s="85">
        <f>STATS1003B!H28/1000</f>
        <v>0</v>
      </c>
      <c r="I28" s="85">
        <f>STATS1003B!I28/1000</f>
        <v>0</v>
      </c>
      <c r="J28" s="85">
        <f>STATS1003B!J28/1000</f>
        <v>0</v>
      </c>
      <c r="K28" s="85">
        <f>STATS1003B!K28/1000</f>
        <v>0</v>
      </c>
      <c r="L28" s="85">
        <f>STATS1003B!L28/1000</f>
        <v>0</v>
      </c>
      <c r="M28" s="85">
        <f>STATS1003B!M28/1000</f>
        <v>0</v>
      </c>
      <c r="N28" s="85">
        <f>STATS1003B!N28/1000</f>
        <v>2778.9300099999996</v>
      </c>
      <c r="O28" s="85">
        <f>STATS1003B!O28/1000</f>
        <v>0</v>
      </c>
      <c r="P28" s="85">
        <f>STATS1003B!P28/1000</f>
        <v>2778.9300099999996</v>
      </c>
      <c r="Q28" s="85">
        <f>STATS1003B!Q28/1000</f>
        <v>0</v>
      </c>
      <c r="R28" s="85">
        <f>STATS1003B!R28/1000</f>
        <v>0</v>
      </c>
      <c r="S28" s="85">
        <f>STATS1003B!S28/1000</f>
        <v>0</v>
      </c>
      <c r="T28" s="85">
        <f>STATS1003B!T28/1000</f>
        <v>0</v>
      </c>
      <c r="U28" s="85">
        <f>STATS1003B!U28/1000</f>
        <v>2778.9300099999996</v>
      </c>
      <c r="V28" s="85">
        <f>STATS1003B!V28/1000</f>
        <v>2778.9300099999996</v>
      </c>
      <c r="W28" s="85">
        <f>STATS1003B!W28/1000</f>
        <v>0</v>
      </c>
      <c r="X28" s="85">
        <f>STATS1003B!X28/1000</f>
        <v>2778.9300099999996</v>
      </c>
      <c r="Y28" s="85">
        <f>STATS1003B!Y28/1000</f>
        <v>0</v>
      </c>
      <c r="Z28" s="85">
        <f>STATS1003B!Z28/1000</f>
        <v>0</v>
      </c>
      <c r="AA28" s="69">
        <f>STATS1003B!AA28/1000</f>
        <v>2778.9300099999996</v>
      </c>
      <c r="AB28" s="69">
        <f>STATS1003B!AB28/1000</f>
        <v>0</v>
      </c>
    </row>
    <row r="29" spans="1:28" hidden="1" x14ac:dyDescent="0.3">
      <c r="A29" s="117"/>
      <c r="C29" s="68" t="s">
        <v>53</v>
      </c>
      <c r="D29" s="87" t="s">
        <v>68</v>
      </c>
      <c r="E29" s="85">
        <f>STATS1003B!E29/1000</f>
        <v>2306.1060000000002</v>
      </c>
      <c r="F29" s="85">
        <f>STATS1003B!F29/1000</f>
        <v>0</v>
      </c>
      <c r="G29" s="85">
        <f>STATS1003B!G29/1000</f>
        <v>0</v>
      </c>
      <c r="H29" s="85">
        <f>STATS1003B!H29/1000</f>
        <v>0</v>
      </c>
      <c r="I29" s="85">
        <f>STATS1003B!I29/1000</f>
        <v>0</v>
      </c>
      <c r="J29" s="85">
        <f>STATS1003B!J29/1000</f>
        <v>0</v>
      </c>
      <c r="K29" s="85">
        <f>STATS1003B!K29/1000</f>
        <v>0</v>
      </c>
      <c r="L29" s="85">
        <f>STATS1003B!L29/1000</f>
        <v>0</v>
      </c>
      <c r="M29" s="85">
        <f>STATS1003B!M29/1000</f>
        <v>0</v>
      </c>
      <c r="N29" s="85">
        <f>STATS1003B!N29/1000</f>
        <v>2306.1060000000002</v>
      </c>
      <c r="O29" s="85">
        <f>STATS1003B!O29/1000</f>
        <v>0</v>
      </c>
      <c r="P29" s="85">
        <f>STATS1003B!P29/1000</f>
        <v>2306.1060000000002</v>
      </c>
      <c r="Q29" s="85">
        <f>STATS1003B!Q29/1000</f>
        <v>0</v>
      </c>
      <c r="R29" s="85">
        <f>STATS1003B!R29/1000</f>
        <v>0</v>
      </c>
      <c r="S29" s="85">
        <f>STATS1003B!S29/1000</f>
        <v>0</v>
      </c>
      <c r="T29" s="85">
        <f>STATS1003B!T29/1000</f>
        <v>0</v>
      </c>
      <c r="U29" s="85">
        <f>STATS1003B!U29/1000</f>
        <v>2306.1060000000002</v>
      </c>
      <c r="V29" s="85">
        <f>STATS1003B!V29/1000</f>
        <v>2306.1060000000002</v>
      </c>
      <c r="W29" s="85">
        <f>STATS1003B!W29/1000</f>
        <v>0</v>
      </c>
      <c r="X29" s="85">
        <f>STATS1003B!X29/1000</f>
        <v>2306.1060000000002</v>
      </c>
      <c r="Y29" s="85">
        <f>STATS1003B!Y29/1000</f>
        <v>0</v>
      </c>
      <c r="Z29" s="85">
        <f>STATS1003B!Z29/1000</f>
        <v>0</v>
      </c>
      <c r="AA29" s="69">
        <f>STATS1003B!AA29/1000</f>
        <v>2306.1060000000002</v>
      </c>
      <c r="AB29" s="69">
        <f>STATS1003B!AB29/1000</f>
        <v>0</v>
      </c>
    </row>
    <row r="30" spans="1:28" hidden="1" x14ac:dyDescent="0.3">
      <c r="A30" s="117"/>
      <c r="C30" s="68" t="s">
        <v>69</v>
      </c>
      <c r="D30" s="87" t="s">
        <v>54</v>
      </c>
      <c r="E30" s="85">
        <f>STATS1003B!E30/1000</f>
        <v>955.34561999999994</v>
      </c>
      <c r="F30" s="85">
        <f>STATS1003B!F30/1000</f>
        <v>0</v>
      </c>
      <c r="G30" s="85">
        <f>STATS1003B!G30/1000</f>
        <v>0</v>
      </c>
      <c r="H30" s="85">
        <f>STATS1003B!H30/1000</f>
        <v>0</v>
      </c>
      <c r="I30" s="85">
        <f>STATS1003B!I30/1000</f>
        <v>0</v>
      </c>
      <c r="J30" s="85">
        <f>STATS1003B!J30/1000</f>
        <v>0</v>
      </c>
      <c r="K30" s="85">
        <f>STATS1003B!K30/1000</f>
        <v>0</v>
      </c>
      <c r="L30" s="85">
        <f>STATS1003B!L30/1000</f>
        <v>0</v>
      </c>
      <c r="M30" s="85">
        <f>STATS1003B!M30/1000</f>
        <v>0</v>
      </c>
      <c r="N30" s="85">
        <f>STATS1003B!N30/1000</f>
        <v>955.34561999999994</v>
      </c>
      <c r="O30" s="85">
        <f>STATS1003B!O30/1000</f>
        <v>0</v>
      </c>
      <c r="P30" s="85">
        <f>STATS1003B!P30/1000</f>
        <v>955.34561999999994</v>
      </c>
      <c r="Q30" s="85">
        <f>STATS1003B!Q30/1000</f>
        <v>0</v>
      </c>
      <c r="R30" s="85">
        <f>STATS1003B!R30/1000</f>
        <v>0</v>
      </c>
      <c r="S30" s="85">
        <f>STATS1003B!S30/1000</f>
        <v>0</v>
      </c>
      <c r="T30" s="85">
        <f>STATS1003B!T30/1000</f>
        <v>0</v>
      </c>
      <c r="U30" s="85">
        <f>STATS1003B!U30/1000</f>
        <v>955.34561999999994</v>
      </c>
      <c r="V30" s="85">
        <f>STATS1003B!V30/1000</f>
        <v>955.34561999999994</v>
      </c>
      <c r="W30" s="85">
        <f>STATS1003B!W30/1000</f>
        <v>0</v>
      </c>
      <c r="X30" s="85">
        <f>STATS1003B!X30/1000</f>
        <v>955.34561999999994</v>
      </c>
      <c r="Y30" s="85">
        <f>STATS1003B!Y30/1000</f>
        <v>0</v>
      </c>
      <c r="Z30" s="85">
        <f>STATS1003B!Z30/1000</f>
        <v>0</v>
      </c>
      <c r="AA30" s="69">
        <f>STATS1003B!AA30/1000</f>
        <v>955.34561999999994</v>
      </c>
      <c r="AB30" s="69">
        <f>STATS1003B!AB30/1000</f>
        <v>0</v>
      </c>
    </row>
    <row r="31" spans="1:28" hidden="1" x14ac:dyDescent="0.3">
      <c r="A31" s="117"/>
      <c r="C31" s="68" t="s">
        <v>57</v>
      </c>
      <c r="D31" s="87" t="s">
        <v>58</v>
      </c>
      <c r="E31" s="85">
        <f>STATS1003B!E31/1000</f>
        <v>2873.84</v>
      </c>
      <c r="F31" s="85">
        <f>STATS1003B!F31/1000</f>
        <v>2873.84</v>
      </c>
      <c r="G31" s="85">
        <f>STATS1003B!G31/1000</f>
        <v>0</v>
      </c>
      <c r="H31" s="85">
        <f>STATS1003B!H31/1000</f>
        <v>2873.84</v>
      </c>
      <c r="I31" s="85">
        <f>STATS1003B!I31/1000</f>
        <v>0</v>
      </c>
      <c r="J31" s="85">
        <f>STATS1003B!J31/1000</f>
        <v>0</v>
      </c>
      <c r="K31" s="85">
        <f>STATS1003B!K31/1000</f>
        <v>0</v>
      </c>
      <c r="L31" s="85">
        <f>STATS1003B!L31/1000</f>
        <v>0</v>
      </c>
      <c r="M31" s="85">
        <f>STATS1003B!M31/1000</f>
        <v>2873.84</v>
      </c>
      <c r="N31" s="85">
        <f>STATS1003B!N31/1000</f>
        <v>0</v>
      </c>
      <c r="O31" s="85">
        <f>STATS1003B!O31/1000</f>
        <v>0</v>
      </c>
      <c r="P31" s="85">
        <f>STATS1003B!P31/1000</f>
        <v>0</v>
      </c>
      <c r="Q31" s="85">
        <f>STATS1003B!Q31/1000</f>
        <v>0</v>
      </c>
      <c r="R31" s="85">
        <f>STATS1003B!R31/1000</f>
        <v>0</v>
      </c>
      <c r="S31" s="85">
        <f>STATS1003B!S31/1000</f>
        <v>0</v>
      </c>
      <c r="T31" s="85">
        <f>STATS1003B!T31/1000</f>
        <v>0</v>
      </c>
      <c r="U31" s="85">
        <f>STATS1003B!U31/1000</f>
        <v>0</v>
      </c>
      <c r="V31" s="85">
        <f>STATS1003B!V31/1000</f>
        <v>2873.84</v>
      </c>
      <c r="W31" s="85">
        <f>STATS1003B!W31/1000</f>
        <v>0</v>
      </c>
      <c r="X31" s="85">
        <f>STATS1003B!X31/1000</f>
        <v>2873.84</v>
      </c>
      <c r="Y31" s="85">
        <f>STATS1003B!Y31/1000</f>
        <v>0</v>
      </c>
      <c r="Z31" s="85">
        <f>STATS1003B!Z31/1000</f>
        <v>0</v>
      </c>
      <c r="AA31" s="69">
        <f>STATS1003B!AA31/1000</f>
        <v>2873.84</v>
      </c>
      <c r="AB31" s="69">
        <f>STATS1003B!AB31/1000</f>
        <v>0</v>
      </c>
    </row>
    <row r="32" spans="1:28" hidden="1" x14ac:dyDescent="0.3">
      <c r="A32" s="117"/>
      <c r="C32" s="68" t="s">
        <v>57</v>
      </c>
      <c r="D32" s="87" t="s">
        <v>60</v>
      </c>
      <c r="E32" s="85">
        <f>STATS1003B!E32/1000</f>
        <v>3140.98695</v>
      </c>
      <c r="F32" s="85">
        <f>STATS1003B!F32/1000</f>
        <v>3140.98695</v>
      </c>
      <c r="G32" s="85">
        <f>STATS1003B!G32/1000</f>
        <v>0</v>
      </c>
      <c r="H32" s="85">
        <f>STATS1003B!H32/1000</f>
        <v>3140.98695</v>
      </c>
      <c r="I32" s="85">
        <f>STATS1003B!I32/1000</f>
        <v>0</v>
      </c>
      <c r="J32" s="85">
        <f>STATS1003B!J32/1000</f>
        <v>0</v>
      </c>
      <c r="K32" s="85">
        <f>STATS1003B!K32/1000</f>
        <v>0</v>
      </c>
      <c r="L32" s="85">
        <f>STATS1003B!L32/1000</f>
        <v>0</v>
      </c>
      <c r="M32" s="85">
        <f>STATS1003B!M32/1000</f>
        <v>3140.98695</v>
      </c>
      <c r="N32" s="85">
        <f>STATS1003B!N32/1000</f>
        <v>0</v>
      </c>
      <c r="O32" s="85">
        <f>STATS1003B!O32/1000</f>
        <v>0</v>
      </c>
      <c r="P32" s="85">
        <f>STATS1003B!P32/1000</f>
        <v>0</v>
      </c>
      <c r="Q32" s="85">
        <f>STATS1003B!Q32/1000</f>
        <v>0</v>
      </c>
      <c r="R32" s="85">
        <f>STATS1003B!R32/1000</f>
        <v>0</v>
      </c>
      <c r="S32" s="85">
        <f>STATS1003B!S32/1000</f>
        <v>0</v>
      </c>
      <c r="T32" s="85">
        <f>STATS1003B!T32/1000</f>
        <v>0</v>
      </c>
      <c r="U32" s="85">
        <f>STATS1003B!U32/1000</f>
        <v>0</v>
      </c>
      <c r="V32" s="85">
        <f>STATS1003B!V32/1000</f>
        <v>3140.98695</v>
      </c>
      <c r="W32" s="85">
        <f>STATS1003B!W32/1000</f>
        <v>0</v>
      </c>
      <c r="X32" s="85">
        <f>STATS1003B!X32/1000</f>
        <v>3140.98695</v>
      </c>
      <c r="Y32" s="85">
        <f>STATS1003B!Y32/1000</f>
        <v>0</v>
      </c>
      <c r="Z32" s="85">
        <f>STATS1003B!Z32/1000</f>
        <v>0</v>
      </c>
      <c r="AA32" s="69">
        <f>STATS1003B!AA32/1000</f>
        <v>3140.98695</v>
      </c>
      <c r="AB32" s="69">
        <f>STATS1003B!AB32/1000</f>
        <v>0</v>
      </c>
    </row>
    <row r="33" spans="1:28" hidden="1" x14ac:dyDescent="0.3">
      <c r="A33" s="117"/>
      <c r="C33" s="71" t="s">
        <v>59</v>
      </c>
      <c r="D33" s="87" t="s">
        <v>60</v>
      </c>
      <c r="E33" s="85">
        <f>STATS1003B!E33/1000</f>
        <v>2500</v>
      </c>
      <c r="F33" s="85">
        <f>STATS1003B!F33/1000</f>
        <v>2500</v>
      </c>
      <c r="G33" s="85">
        <f>STATS1003B!G33/1000</f>
        <v>0</v>
      </c>
      <c r="H33" s="85">
        <f>STATS1003B!H33/1000</f>
        <v>2500</v>
      </c>
      <c r="I33" s="85">
        <f>STATS1003B!I33/1000</f>
        <v>0</v>
      </c>
      <c r="J33" s="85">
        <f>STATS1003B!J33/1000</f>
        <v>0</v>
      </c>
      <c r="K33" s="85">
        <f>STATS1003B!K33/1000</f>
        <v>0</v>
      </c>
      <c r="L33" s="85">
        <f>STATS1003B!L33/1000</f>
        <v>0</v>
      </c>
      <c r="M33" s="85">
        <f>STATS1003B!M33/1000</f>
        <v>2500</v>
      </c>
      <c r="N33" s="85">
        <f>STATS1003B!N33/1000</f>
        <v>0</v>
      </c>
      <c r="O33" s="85">
        <f>STATS1003B!O33/1000</f>
        <v>0</v>
      </c>
      <c r="P33" s="85">
        <f>STATS1003B!P33/1000</f>
        <v>0</v>
      </c>
      <c r="Q33" s="85">
        <f>STATS1003B!Q33/1000</f>
        <v>0</v>
      </c>
      <c r="R33" s="85">
        <f>STATS1003B!R33/1000</f>
        <v>0</v>
      </c>
      <c r="S33" s="85">
        <f>STATS1003B!S33/1000</f>
        <v>0</v>
      </c>
      <c r="T33" s="85">
        <f>STATS1003B!T33/1000</f>
        <v>0</v>
      </c>
      <c r="U33" s="85">
        <f>STATS1003B!U33/1000</f>
        <v>0</v>
      </c>
      <c r="V33" s="85">
        <f>STATS1003B!V33/1000</f>
        <v>2500</v>
      </c>
      <c r="W33" s="85">
        <f>STATS1003B!W33/1000</f>
        <v>0</v>
      </c>
      <c r="X33" s="85">
        <f>STATS1003B!X33/1000</f>
        <v>2500</v>
      </c>
      <c r="Y33" s="85">
        <f>STATS1003B!Y33/1000</f>
        <v>0</v>
      </c>
      <c r="Z33" s="85">
        <f>STATS1003B!Z33/1000</f>
        <v>0</v>
      </c>
      <c r="AA33" s="69">
        <f>STATS1003B!AA33/1000</f>
        <v>2500</v>
      </c>
      <c r="AB33" s="69">
        <f>STATS1003B!AB33/1000</f>
        <v>0</v>
      </c>
    </row>
    <row r="34" spans="1:28" hidden="1" x14ac:dyDescent="0.3">
      <c r="A34" s="117"/>
      <c r="C34" s="68" t="s">
        <v>62</v>
      </c>
      <c r="E34" s="85">
        <f>STATS1003B!E34/1000</f>
        <v>285.5</v>
      </c>
      <c r="F34" s="85">
        <f>STATS1003B!F34/1000</f>
        <v>285.5</v>
      </c>
      <c r="G34" s="85">
        <f>STATS1003B!G34/1000</f>
        <v>0</v>
      </c>
      <c r="H34" s="85">
        <f>STATS1003B!H34/1000</f>
        <v>285.5</v>
      </c>
      <c r="I34" s="85">
        <f>STATS1003B!I34/1000</f>
        <v>0</v>
      </c>
      <c r="J34" s="85">
        <f>STATS1003B!J34/1000</f>
        <v>0</v>
      </c>
      <c r="K34" s="85">
        <f>STATS1003B!K34/1000</f>
        <v>0</v>
      </c>
      <c r="L34" s="85">
        <f>STATS1003B!L34/1000</f>
        <v>0</v>
      </c>
      <c r="M34" s="85">
        <f>STATS1003B!M34/1000</f>
        <v>285.5</v>
      </c>
      <c r="N34" s="85">
        <f>STATS1003B!N34/1000</f>
        <v>0</v>
      </c>
      <c r="O34" s="85">
        <f>STATS1003B!O34/1000</f>
        <v>0</v>
      </c>
      <c r="P34" s="85">
        <f>STATS1003B!P34/1000</f>
        <v>0</v>
      </c>
      <c r="Q34" s="85">
        <f>STATS1003B!Q34/1000</f>
        <v>0</v>
      </c>
      <c r="R34" s="85">
        <f>STATS1003B!R34/1000</f>
        <v>0</v>
      </c>
      <c r="S34" s="85">
        <f>STATS1003B!S34/1000</f>
        <v>0</v>
      </c>
      <c r="T34" s="85">
        <f>STATS1003B!T34/1000</f>
        <v>0</v>
      </c>
      <c r="U34" s="85">
        <f>STATS1003B!U34/1000</f>
        <v>0</v>
      </c>
      <c r="V34" s="85">
        <f>STATS1003B!V34/1000</f>
        <v>285.5</v>
      </c>
      <c r="W34" s="85">
        <f>STATS1003B!W34/1000</f>
        <v>0</v>
      </c>
      <c r="X34" s="85">
        <f>STATS1003B!X34/1000</f>
        <v>285.5</v>
      </c>
      <c r="Y34" s="85">
        <f>STATS1003B!Y34/1000</f>
        <v>0</v>
      </c>
      <c r="Z34" s="85">
        <f>STATS1003B!Z34/1000</f>
        <v>0</v>
      </c>
      <c r="AA34" s="69">
        <f>STATS1003B!AA34/1000</f>
        <v>285.5</v>
      </c>
      <c r="AB34" s="69">
        <f>STATS1003B!AB34/1000</f>
        <v>0</v>
      </c>
    </row>
    <row r="35" spans="1:28" hidden="1" x14ac:dyDescent="0.3">
      <c r="A35" s="117"/>
      <c r="C35" s="68" t="s">
        <v>70</v>
      </c>
      <c r="D35" s="68" t="s">
        <v>71</v>
      </c>
      <c r="E35" s="85">
        <f>STATS1003B!E35/1000</f>
        <v>3091</v>
      </c>
      <c r="F35" s="85">
        <f>STATS1003B!F35/1000</f>
        <v>3091</v>
      </c>
      <c r="G35" s="85">
        <f>STATS1003B!G35/1000</f>
        <v>0</v>
      </c>
      <c r="H35" s="85">
        <f>STATS1003B!H35/1000</f>
        <v>3091</v>
      </c>
      <c r="I35" s="85">
        <f>STATS1003B!I35/1000</f>
        <v>0</v>
      </c>
      <c r="J35" s="85">
        <f>STATS1003B!J35/1000</f>
        <v>0</v>
      </c>
      <c r="K35" s="85">
        <f>STATS1003B!K35/1000</f>
        <v>0</v>
      </c>
      <c r="L35" s="85">
        <f>STATS1003B!L35/1000</f>
        <v>0</v>
      </c>
      <c r="M35" s="85">
        <f>STATS1003B!M35/1000</f>
        <v>3091</v>
      </c>
      <c r="N35" s="85">
        <f>STATS1003B!N35/1000</f>
        <v>0</v>
      </c>
      <c r="O35" s="85">
        <f>STATS1003B!O35/1000</f>
        <v>0</v>
      </c>
      <c r="P35" s="85">
        <f>STATS1003B!P35/1000</f>
        <v>0</v>
      </c>
      <c r="Q35" s="85">
        <f>STATS1003B!Q35/1000</f>
        <v>0</v>
      </c>
      <c r="R35" s="85">
        <f>STATS1003B!R35/1000</f>
        <v>0</v>
      </c>
      <c r="S35" s="85">
        <f>STATS1003B!S35/1000</f>
        <v>0</v>
      </c>
      <c r="T35" s="85">
        <f>STATS1003B!T35/1000</f>
        <v>0</v>
      </c>
      <c r="U35" s="85">
        <f>STATS1003B!U35/1000</f>
        <v>0</v>
      </c>
      <c r="V35" s="85">
        <f>STATS1003B!V35/1000</f>
        <v>3091</v>
      </c>
      <c r="W35" s="85">
        <f>STATS1003B!W35/1000</f>
        <v>0</v>
      </c>
      <c r="X35" s="85">
        <f>STATS1003B!X35/1000</f>
        <v>3091</v>
      </c>
      <c r="Y35" s="85">
        <f>STATS1003B!Y35/1000</f>
        <v>0</v>
      </c>
      <c r="Z35" s="85">
        <f>STATS1003B!Z35/1000</f>
        <v>0</v>
      </c>
      <c r="AA35" s="69">
        <f>STATS1003B!AA35/1000</f>
        <v>3091</v>
      </c>
      <c r="AB35" s="69">
        <f>STATS1003B!AB35/1000</f>
        <v>0</v>
      </c>
    </row>
    <row r="36" spans="1:28" hidden="1" x14ac:dyDescent="0.3">
      <c r="A36" s="117"/>
      <c r="C36" s="71" t="s">
        <v>72</v>
      </c>
      <c r="D36" s="88" t="s">
        <v>60</v>
      </c>
      <c r="E36" s="85">
        <f>STATS1003B!E36/1000</f>
        <v>800</v>
      </c>
      <c r="F36" s="85">
        <f>STATS1003B!F36/1000</f>
        <v>800</v>
      </c>
      <c r="G36" s="85">
        <f>STATS1003B!G36/1000</f>
        <v>0</v>
      </c>
      <c r="H36" s="85">
        <f>STATS1003B!H36/1000</f>
        <v>800</v>
      </c>
      <c r="I36" s="85">
        <f>STATS1003B!I36/1000</f>
        <v>0</v>
      </c>
      <c r="J36" s="85">
        <f>STATS1003B!J36/1000</f>
        <v>0</v>
      </c>
      <c r="K36" s="85">
        <f>STATS1003B!K36/1000</f>
        <v>0</v>
      </c>
      <c r="L36" s="85">
        <f>STATS1003B!L36/1000</f>
        <v>0</v>
      </c>
      <c r="M36" s="85">
        <f>STATS1003B!M36/1000</f>
        <v>800</v>
      </c>
      <c r="N36" s="85">
        <f>STATS1003B!N36/1000</f>
        <v>0</v>
      </c>
      <c r="O36" s="85">
        <f>STATS1003B!O36/1000</f>
        <v>0</v>
      </c>
      <c r="P36" s="85">
        <f>STATS1003B!P36/1000</f>
        <v>0</v>
      </c>
      <c r="Q36" s="85">
        <f>STATS1003B!Q36/1000</f>
        <v>0</v>
      </c>
      <c r="R36" s="85">
        <f>STATS1003B!R36/1000</f>
        <v>0</v>
      </c>
      <c r="S36" s="85">
        <f>STATS1003B!S36/1000</f>
        <v>0</v>
      </c>
      <c r="T36" s="85">
        <f>STATS1003B!T36/1000</f>
        <v>0</v>
      </c>
      <c r="U36" s="85">
        <f>STATS1003B!U36/1000</f>
        <v>0</v>
      </c>
      <c r="V36" s="85">
        <f>STATS1003B!V36/1000</f>
        <v>800</v>
      </c>
      <c r="W36" s="85">
        <f>STATS1003B!W36/1000</f>
        <v>0</v>
      </c>
      <c r="X36" s="85">
        <f>STATS1003B!X36/1000</f>
        <v>800</v>
      </c>
      <c r="Y36" s="85">
        <f>STATS1003B!Y36/1000</f>
        <v>0</v>
      </c>
      <c r="Z36" s="85">
        <f>STATS1003B!Z36/1000</f>
        <v>0</v>
      </c>
      <c r="AA36" s="69">
        <f>STATS1003B!AA36/1000</f>
        <v>800</v>
      </c>
      <c r="AB36" s="69">
        <f>STATS1003B!AB36/1000</f>
        <v>0</v>
      </c>
    </row>
    <row r="37" spans="1:28" hidden="1" x14ac:dyDescent="0.3">
      <c r="A37" s="117"/>
      <c r="C37" s="71" t="s">
        <v>1135</v>
      </c>
      <c r="D37" s="89" t="s">
        <v>1126</v>
      </c>
      <c r="E37" s="85">
        <f>STATS1003B!E37/1000</f>
        <v>800</v>
      </c>
      <c r="F37" s="85">
        <f>STATS1003B!F37/1000</f>
        <v>800</v>
      </c>
      <c r="G37" s="85">
        <f>STATS1003B!G37/1000</f>
        <v>0</v>
      </c>
      <c r="H37" s="85">
        <f>STATS1003B!H37/1000</f>
        <v>800</v>
      </c>
      <c r="I37" s="85">
        <f>STATS1003B!I37/1000</f>
        <v>0</v>
      </c>
      <c r="J37" s="85">
        <f>STATS1003B!J37/1000</f>
        <v>0</v>
      </c>
      <c r="K37" s="85">
        <f>STATS1003B!K37/1000</f>
        <v>0</v>
      </c>
      <c r="L37" s="85">
        <f>STATS1003B!L37/1000</f>
        <v>0</v>
      </c>
      <c r="M37" s="85">
        <f>STATS1003B!M37/1000</f>
        <v>800</v>
      </c>
      <c r="N37" s="85">
        <f>STATS1003B!N37/1000</f>
        <v>0</v>
      </c>
      <c r="O37" s="85">
        <f>STATS1003B!O37/1000</f>
        <v>0</v>
      </c>
      <c r="P37" s="85">
        <f>STATS1003B!P37/1000</f>
        <v>0</v>
      </c>
      <c r="Q37" s="85">
        <f>STATS1003B!Q37/1000</f>
        <v>0</v>
      </c>
      <c r="R37" s="85">
        <f>STATS1003B!R37/1000</f>
        <v>0</v>
      </c>
      <c r="S37" s="85">
        <f>STATS1003B!S37/1000</f>
        <v>0</v>
      </c>
      <c r="T37" s="85">
        <f>STATS1003B!T37/1000</f>
        <v>0</v>
      </c>
      <c r="U37" s="85">
        <f>STATS1003B!U37/1000</f>
        <v>0</v>
      </c>
      <c r="V37" s="85">
        <f>STATS1003B!V37/1000</f>
        <v>800</v>
      </c>
      <c r="W37" s="85">
        <f>STATS1003B!W37/1000</f>
        <v>0</v>
      </c>
      <c r="X37" s="85">
        <f>STATS1003B!X37/1000</f>
        <v>800</v>
      </c>
      <c r="Y37" s="85">
        <f>STATS1003B!Y37/1000</f>
        <v>0</v>
      </c>
      <c r="Z37" s="85">
        <f>STATS1003B!Z37/1000</f>
        <v>0</v>
      </c>
      <c r="AA37" s="69">
        <f>STATS1003B!AA37/1000</f>
        <v>800</v>
      </c>
      <c r="AB37" s="69">
        <f>STATS1003B!AB37/1000</f>
        <v>0</v>
      </c>
    </row>
    <row r="38" spans="1:28" hidden="1" x14ac:dyDescent="0.3">
      <c r="A38" s="117"/>
      <c r="C38" s="71" t="s">
        <v>1152</v>
      </c>
      <c r="D38" s="89" t="s">
        <v>1126</v>
      </c>
      <c r="E38" s="85">
        <f>STATS1003B!E38/1000</f>
        <v>400</v>
      </c>
      <c r="F38" s="85">
        <f>STATS1003B!F38/1000</f>
        <v>400</v>
      </c>
      <c r="G38" s="85">
        <f>STATS1003B!G38/1000</f>
        <v>0</v>
      </c>
      <c r="H38" s="85">
        <f>STATS1003B!H38/1000</f>
        <v>400</v>
      </c>
      <c r="I38" s="85">
        <f>STATS1003B!I38/1000</f>
        <v>0</v>
      </c>
      <c r="J38" s="85">
        <f>STATS1003B!J38/1000</f>
        <v>0</v>
      </c>
      <c r="K38" s="85">
        <f>STATS1003B!K38/1000</f>
        <v>0</v>
      </c>
      <c r="L38" s="85">
        <f>STATS1003B!L38/1000</f>
        <v>0</v>
      </c>
      <c r="M38" s="85">
        <f>STATS1003B!M38/1000</f>
        <v>400</v>
      </c>
      <c r="N38" s="85">
        <f>STATS1003B!N38/1000</f>
        <v>0</v>
      </c>
      <c r="O38" s="85">
        <f>STATS1003B!O38/1000</f>
        <v>0</v>
      </c>
      <c r="P38" s="85">
        <f>STATS1003B!P38/1000</f>
        <v>0</v>
      </c>
      <c r="Q38" s="85">
        <f>STATS1003B!Q38/1000</f>
        <v>0</v>
      </c>
      <c r="R38" s="85">
        <f>STATS1003B!R38/1000</f>
        <v>0</v>
      </c>
      <c r="S38" s="85">
        <f>STATS1003B!S38/1000</f>
        <v>0</v>
      </c>
      <c r="T38" s="85">
        <f>STATS1003B!T38/1000</f>
        <v>0</v>
      </c>
      <c r="U38" s="85">
        <f>STATS1003B!U38/1000</f>
        <v>0</v>
      </c>
      <c r="V38" s="85">
        <f>STATS1003B!V38/1000</f>
        <v>400</v>
      </c>
      <c r="W38" s="85">
        <f>STATS1003B!W38/1000</f>
        <v>0</v>
      </c>
      <c r="X38" s="85">
        <f>STATS1003B!X38/1000</f>
        <v>400</v>
      </c>
      <c r="Y38" s="85">
        <f>STATS1003B!Y38/1000</f>
        <v>0</v>
      </c>
      <c r="Z38" s="85">
        <f>STATS1003B!Z38/1000</f>
        <v>0</v>
      </c>
      <c r="AA38" s="69">
        <f>STATS1003B!AA38/1000</f>
        <v>400</v>
      </c>
      <c r="AB38" s="69">
        <f>STATS1003B!AB38/1000</f>
        <v>0</v>
      </c>
    </row>
    <row r="39" spans="1:28" hidden="1" x14ac:dyDescent="0.3">
      <c r="A39" s="117"/>
      <c r="C39" s="71" t="s">
        <v>930</v>
      </c>
      <c r="D39" s="88"/>
      <c r="E39" s="85">
        <f>STATS1003B!E39/1000</f>
        <v>4320.8198300000004</v>
      </c>
      <c r="F39" s="85">
        <f>STATS1003B!F39/1000</f>
        <v>4320.8198300000004</v>
      </c>
      <c r="G39" s="85">
        <f>STATS1003B!G39/1000</f>
        <v>0</v>
      </c>
      <c r="H39" s="85">
        <f>STATS1003B!H39/1000</f>
        <v>4320.8198300000004</v>
      </c>
      <c r="I39" s="85">
        <f>STATS1003B!I39/1000</f>
        <v>0</v>
      </c>
      <c r="J39" s="85">
        <f>STATS1003B!J39/1000</f>
        <v>0</v>
      </c>
      <c r="K39" s="85">
        <f>STATS1003B!K39/1000</f>
        <v>0</v>
      </c>
      <c r="L39" s="85">
        <f>STATS1003B!L39/1000</f>
        <v>0</v>
      </c>
      <c r="M39" s="85">
        <f>STATS1003B!M39/1000</f>
        <v>4320.8198300000004</v>
      </c>
      <c r="N39" s="85">
        <f>STATS1003B!N39/1000</f>
        <v>0</v>
      </c>
      <c r="O39" s="85">
        <f>STATS1003B!O39/1000</f>
        <v>0</v>
      </c>
      <c r="P39" s="85">
        <f>STATS1003B!P39/1000</f>
        <v>0</v>
      </c>
      <c r="Q39" s="85">
        <f>STATS1003B!Q39/1000</f>
        <v>0</v>
      </c>
      <c r="R39" s="85">
        <f>STATS1003B!R39/1000</f>
        <v>0</v>
      </c>
      <c r="S39" s="85">
        <f>STATS1003B!S39/1000</f>
        <v>0</v>
      </c>
      <c r="T39" s="85">
        <f>STATS1003B!T39/1000</f>
        <v>0</v>
      </c>
      <c r="U39" s="85">
        <f>STATS1003B!U39/1000</f>
        <v>0</v>
      </c>
      <c r="V39" s="85">
        <f>STATS1003B!V39/1000</f>
        <v>4320.8198300000004</v>
      </c>
      <c r="W39" s="85">
        <f>STATS1003B!W39/1000</f>
        <v>0</v>
      </c>
      <c r="X39" s="85">
        <f>STATS1003B!X39/1000</f>
        <v>4320.8198300000004</v>
      </c>
      <c r="Y39" s="85">
        <f>STATS1003B!Y39/1000</f>
        <v>0</v>
      </c>
      <c r="Z39" s="85">
        <f>STATS1003B!Z39/1000</f>
        <v>0</v>
      </c>
      <c r="AA39" s="69">
        <f>STATS1003B!AA39/1000</f>
        <v>4320.8198300000004</v>
      </c>
      <c r="AB39" s="69">
        <f>STATS1003B!AB39/1000</f>
        <v>0</v>
      </c>
    </row>
    <row r="40" spans="1:28" hidden="1" x14ac:dyDescent="0.3">
      <c r="A40" s="117"/>
      <c r="C40" s="71" t="s">
        <v>1176</v>
      </c>
      <c r="D40" s="89" t="s">
        <v>1126</v>
      </c>
      <c r="E40" s="85">
        <f>STATS1003B!E40/1000</f>
        <v>1640.5525</v>
      </c>
      <c r="F40" s="85">
        <f>STATS1003B!F40/1000</f>
        <v>1640.5525</v>
      </c>
      <c r="G40" s="85">
        <f>STATS1003B!G40/1000</f>
        <v>0</v>
      </c>
      <c r="H40" s="85">
        <f>STATS1003B!H40/1000</f>
        <v>1640.5525</v>
      </c>
      <c r="I40" s="85">
        <f>STATS1003B!I40/1000</f>
        <v>0</v>
      </c>
      <c r="J40" s="85">
        <f>STATS1003B!J40/1000</f>
        <v>0</v>
      </c>
      <c r="K40" s="85">
        <f>STATS1003B!K40/1000</f>
        <v>0</v>
      </c>
      <c r="L40" s="85">
        <f>STATS1003B!L40/1000</f>
        <v>0</v>
      </c>
      <c r="M40" s="85">
        <f>STATS1003B!M40/1000</f>
        <v>1640.5525</v>
      </c>
      <c r="N40" s="85">
        <f>STATS1003B!N40/1000</f>
        <v>0</v>
      </c>
      <c r="O40" s="85">
        <f>STATS1003B!O40/1000</f>
        <v>0</v>
      </c>
      <c r="P40" s="85">
        <f>STATS1003B!P40/1000</f>
        <v>0</v>
      </c>
      <c r="Q40" s="85">
        <f>STATS1003B!Q40/1000</f>
        <v>0</v>
      </c>
      <c r="R40" s="85">
        <f>STATS1003B!R40/1000</f>
        <v>0</v>
      </c>
      <c r="S40" s="85">
        <f>STATS1003B!S40/1000</f>
        <v>0</v>
      </c>
      <c r="T40" s="85">
        <f>STATS1003B!T40/1000</f>
        <v>0</v>
      </c>
      <c r="U40" s="85">
        <f>STATS1003B!U40/1000</f>
        <v>0</v>
      </c>
      <c r="V40" s="85">
        <f>STATS1003B!V40/1000</f>
        <v>1640.5525</v>
      </c>
      <c r="W40" s="85">
        <f>STATS1003B!W40/1000</f>
        <v>0</v>
      </c>
      <c r="X40" s="85">
        <f>STATS1003B!X40/1000</f>
        <v>1640.5525</v>
      </c>
      <c r="Y40" s="85">
        <f>STATS1003B!Y40/1000</f>
        <v>0</v>
      </c>
      <c r="Z40" s="85">
        <f>STATS1003B!Z40/1000</f>
        <v>0</v>
      </c>
      <c r="AA40" s="69">
        <f>STATS1003B!AA40/1000</f>
        <v>1640.5525</v>
      </c>
      <c r="AB40" s="69">
        <f>STATS1003B!AB40/1000</f>
        <v>0</v>
      </c>
    </row>
    <row r="41" spans="1:28" hidden="1" x14ac:dyDescent="0.3">
      <c r="A41" s="117"/>
      <c r="C41" s="71" t="s">
        <v>1084</v>
      </c>
      <c r="D41" s="89" t="s">
        <v>1072</v>
      </c>
      <c r="E41" s="85">
        <f>STATS1003B!E41/1000</f>
        <v>2010.3225400000001</v>
      </c>
      <c r="F41" s="85">
        <f>STATS1003B!F41/1000</f>
        <v>2010.3225400000001</v>
      </c>
      <c r="G41" s="85">
        <f>STATS1003B!G41/1000</f>
        <v>0</v>
      </c>
      <c r="H41" s="85">
        <f>STATS1003B!H41/1000</f>
        <v>2010.3225400000001</v>
      </c>
      <c r="I41" s="85">
        <f>STATS1003B!I41/1000</f>
        <v>0</v>
      </c>
      <c r="J41" s="85">
        <f>STATS1003B!J41/1000</f>
        <v>0</v>
      </c>
      <c r="K41" s="85">
        <f>STATS1003B!K41/1000</f>
        <v>0</v>
      </c>
      <c r="L41" s="85">
        <f>STATS1003B!L41/1000</f>
        <v>0</v>
      </c>
      <c r="M41" s="85">
        <f>STATS1003B!M41/1000</f>
        <v>2010.3225400000001</v>
      </c>
      <c r="N41" s="85">
        <f>STATS1003B!N41/1000</f>
        <v>0</v>
      </c>
      <c r="O41" s="85">
        <f>STATS1003B!O41/1000</f>
        <v>0</v>
      </c>
      <c r="P41" s="85">
        <f>STATS1003B!P41/1000</f>
        <v>0</v>
      </c>
      <c r="Q41" s="85">
        <f>STATS1003B!Q41/1000</f>
        <v>0</v>
      </c>
      <c r="R41" s="85">
        <f>STATS1003B!R41/1000</f>
        <v>0</v>
      </c>
      <c r="S41" s="85">
        <f>STATS1003B!S41/1000</f>
        <v>0</v>
      </c>
      <c r="T41" s="85">
        <f>STATS1003B!T41/1000</f>
        <v>0</v>
      </c>
      <c r="U41" s="85">
        <f>STATS1003B!U41/1000</f>
        <v>0</v>
      </c>
      <c r="V41" s="85">
        <f>STATS1003B!V41/1000</f>
        <v>2010.3225400000001</v>
      </c>
      <c r="W41" s="85">
        <f>STATS1003B!W41/1000</f>
        <v>0</v>
      </c>
      <c r="X41" s="85">
        <f>STATS1003B!X41/1000</f>
        <v>2010.3225400000001</v>
      </c>
      <c r="Y41" s="85">
        <f>STATS1003B!Y41/1000</f>
        <v>0</v>
      </c>
      <c r="Z41" s="85">
        <f>STATS1003B!Z41/1000</f>
        <v>0</v>
      </c>
      <c r="AA41" s="69">
        <f>STATS1003B!AA41/1000</f>
        <v>2010.3225400000001</v>
      </c>
      <c r="AB41" s="69">
        <f>STATS1003B!AB41/1000</f>
        <v>0</v>
      </c>
    </row>
    <row r="42" spans="1:28" hidden="1" x14ac:dyDescent="0.3">
      <c r="A42" s="117"/>
      <c r="C42" s="68" t="s">
        <v>57</v>
      </c>
      <c r="D42" s="87" t="s">
        <v>73</v>
      </c>
      <c r="E42" s="85">
        <f>STATS1003B!E42/1000</f>
        <v>2562.94</v>
      </c>
      <c r="F42" s="85">
        <f>STATS1003B!F42/1000</f>
        <v>2562.94</v>
      </c>
      <c r="G42" s="85">
        <f>STATS1003B!G42/1000</f>
        <v>0</v>
      </c>
      <c r="H42" s="85">
        <f>STATS1003B!H42/1000</f>
        <v>2562.94</v>
      </c>
      <c r="I42" s="85">
        <f>STATS1003B!I42/1000</f>
        <v>0</v>
      </c>
      <c r="J42" s="85">
        <f>STATS1003B!J42/1000</f>
        <v>0</v>
      </c>
      <c r="K42" s="85">
        <f>STATS1003B!K42/1000</f>
        <v>0</v>
      </c>
      <c r="L42" s="85">
        <f>STATS1003B!L42/1000</f>
        <v>0</v>
      </c>
      <c r="M42" s="85">
        <f>STATS1003B!M42/1000</f>
        <v>2562.94</v>
      </c>
      <c r="N42" s="85">
        <f>STATS1003B!N42/1000</f>
        <v>0</v>
      </c>
      <c r="O42" s="85">
        <f>STATS1003B!O42/1000</f>
        <v>0</v>
      </c>
      <c r="P42" s="85">
        <f>STATS1003B!P42/1000</f>
        <v>0</v>
      </c>
      <c r="Q42" s="85">
        <f>STATS1003B!Q42/1000</f>
        <v>0</v>
      </c>
      <c r="R42" s="85">
        <f>STATS1003B!R42/1000</f>
        <v>0</v>
      </c>
      <c r="S42" s="85">
        <f>STATS1003B!S42/1000</f>
        <v>0</v>
      </c>
      <c r="T42" s="85">
        <f>STATS1003B!T42/1000</f>
        <v>0</v>
      </c>
      <c r="U42" s="85">
        <f>STATS1003B!U42/1000</f>
        <v>0</v>
      </c>
      <c r="V42" s="85">
        <f>STATS1003B!V42/1000</f>
        <v>2562.94</v>
      </c>
      <c r="W42" s="85">
        <f>STATS1003B!W42/1000</f>
        <v>0</v>
      </c>
      <c r="X42" s="85">
        <f>STATS1003B!X42/1000</f>
        <v>2562.94</v>
      </c>
      <c r="Y42" s="85">
        <f>STATS1003B!Y42/1000</f>
        <v>0</v>
      </c>
      <c r="Z42" s="85">
        <f>STATS1003B!Z42/1000</f>
        <v>0</v>
      </c>
      <c r="AA42" s="69">
        <f>STATS1003B!AA42/1000</f>
        <v>2562.94</v>
      </c>
      <c r="AB42" s="69">
        <f>STATS1003B!AB42/1000</f>
        <v>0</v>
      </c>
    </row>
    <row r="43" spans="1:28" hidden="1" x14ac:dyDescent="0.3">
      <c r="A43" s="117"/>
      <c r="C43" s="68" t="s">
        <v>57</v>
      </c>
      <c r="D43" s="90" t="s">
        <v>61</v>
      </c>
      <c r="E43" s="85">
        <f>STATS1003B!E43/1000</f>
        <v>854.70309999999995</v>
      </c>
      <c r="F43" s="85">
        <f>STATS1003B!F43/1000</f>
        <v>854.70309999999995</v>
      </c>
      <c r="G43" s="85">
        <f>STATS1003B!G43/1000</f>
        <v>0</v>
      </c>
      <c r="H43" s="85">
        <f>STATS1003B!H43/1000</f>
        <v>854.70309999999995</v>
      </c>
      <c r="I43" s="85">
        <f>STATS1003B!I43/1000</f>
        <v>0</v>
      </c>
      <c r="J43" s="85">
        <f>STATS1003B!J43/1000</f>
        <v>0</v>
      </c>
      <c r="K43" s="85">
        <f>STATS1003B!K43/1000</f>
        <v>0</v>
      </c>
      <c r="L43" s="85">
        <f>STATS1003B!L43/1000</f>
        <v>0</v>
      </c>
      <c r="M43" s="85">
        <f>STATS1003B!M43/1000</f>
        <v>854.70309999999995</v>
      </c>
      <c r="N43" s="85">
        <f>STATS1003B!N43/1000</f>
        <v>0</v>
      </c>
      <c r="O43" s="85">
        <f>STATS1003B!O43/1000</f>
        <v>0</v>
      </c>
      <c r="P43" s="85">
        <f>STATS1003B!P43/1000</f>
        <v>0</v>
      </c>
      <c r="Q43" s="85">
        <f>STATS1003B!Q43/1000</f>
        <v>0</v>
      </c>
      <c r="R43" s="85">
        <f>STATS1003B!R43/1000</f>
        <v>0</v>
      </c>
      <c r="S43" s="85">
        <f>STATS1003B!S43/1000</f>
        <v>0</v>
      </c>
      <c r="T43" s="85">
        <f>STATS1003B!T43/1000</f>
        <v>0</v>
      </c>
      <c r="U43" s="85">
        <f>STATS1003B!U43/1000</f>
        <v>0</v>
      </c>
      <c r="V43" s="85">
        <f>STATS1003B!V43/1000</f>
        <v>854.70309999999995</v>
      </c>
      <c r="W43" s="85">
        <f>STATS1003B!W43/1000</f>
        <v>0</v>
      </c>
      <c r="X43" s="85">
        <f>STATS1003B!X43/1000</f>
        <v>854.70309999999995</v>
      </c>
      <c r="Y43" s="85">
        <f>STATS1003B!Y43/1000</f>
        <v>0</v>
      </c>
      <c r="Z43" s="85">
        <f>STATS1003B!Z43/1000</f>
        <v>0</v>
      </c>
      <c r="AA43" s="69">
        <f>STATS1003B!AA43/1000</f>
        <v>854.70309999999995</v>
      </c>
      <c r="AB43" s="69">
        <f>STATS1003B!AB43/1000</f>
        <v>0</v>
      </c>
    </row>
    <row r="44" spans="1:28" hidden="1" x14ac:dyDescent="0.3">
      <c r="A44" s="117"/>
      <c r="E44" s="86" t="s">
        <v>29</v>
      </c>
      <c r="F44" s="86" t="s">
        <v>29</v>
      </c>
      <c r="G44" s="86" t="s">
        <v>29</v>
      </c>
      <c r="H44" s="86" t="s">
        <v>29</v>
      </c>
      <c r="I44" s="86" t="s">
        <v>29</v>
      </c>
      <c r="J44" s="86" t="s">
        <v>29</v>
      </c>
      <c r="K44" s="86" t="s">
        <v>29</v>
      </c>
      <c r="L44" s="86" t="s">
        <v>29</v>
      </c>
      <c r="M44" s="86" t="s">
        <v>29</v>
      </c>
      <c r="N44" s="86" t="s">
        <v>29</v>
      </c>
      <c r="O44" s="86" t="s">
        <v>29</v>
      </c>
      <c r="P44" s="86" t="s">
        <v>29</v>
      </c>
      <c r="Q44" s="86" t="s">
        <v>29</v>
      </c>
      <c r="R44" s="86" t="s">
        <v>29</v>
      </c>
      <c r="S44" s="86" t="s">
        <v>29</v>
      </c>
      <c r="T44" s="86" t="s">
        <v>29</v>
      </c>
      <c r="U44" s="86" t="s">
        <v>29</v>
      </c>
      <c r="V44" s="86" t="s">
        <v>29</v>
      </c>
      <c r="W44" s="86" t="s">
        <v>29</v>
      </c>
      <c r="X44" s="86" t="s">
        <v>29</v>
      </c>
      <c r="Y44" s="86" t="s">
        <v>29</v>
      </c>
      <c r="Z44" s="86" t="s">
        <v>29</v>
      </c>
      <c r="AA44" s="115" t="s">
        <v>29</v>
      </c>
      <c r="AB44" s="115" t="s">
        <v>29</v>
      </c>
    </row>
    <row r="45" spans="1:28" x14ac:dyDescent="0.3">
      <c r="A45" s="116" t="s">
        <v>935</v>
      </c>
      <c r="B45" s="68" t="s">
        <v>63</v>
      </c>
      <c r="E45" s="85">
        <f>115668195.73/1000</f>
        <v>115668.19573000001</v>
      </c>
      <c r="F45" s="85">
        <f>SUM(F26:F43)</f>
        <v>34486.425220000005</v>
      </c>
      <c r="G45" s="85">
        <f>SUM(G26:G43)</f>
        <v>0</v>
      </c>
      <c r="H45" s="85">
        <f>107227412.76/1000</f>
        <v>107227.41276000001</v>
      </c>
      <c r="I45" s="85">
        <f t="shared" ref="I45:O45" si="2">SUM(I26:I43)</f>
        <v>0</v>
      </c>
      <c r="J45" s="85">
        <f t="shared" si="2"/>
        <v>0</v>
      </c>
      <c r="K45" s="85">
        <f t="shared" si="2"/>
        <v>0</v>
      </c>
      <c r="L45" s="85">
        <f t="shared" si="2"/>
        <v>0</v>
      </c>
      <c r="M45" s="85">
        <f t="shared" si="2"/>
        <v>34486.425220000005</v>
      </c>
      <c r="N45" s="85">
        <f t="shared" si="2"/>
        <v>8440.7829700000002</v>
      </c>
      <c r="O45" s="85">
        <f t="shared" si="2"/>
        <v>0</v>
      </c>
      <c r="P45" s="85">
        <f>8440782.97/1000</f>
        <v>8440.7829700000002</v>
      </c>
      <c r="Q45" s="85">
        <f t="shared" ref="Q45:W45" si="3">SUM(Q26:Q43)</f>
        <v>0</v>
      </c>
      <c r="R45" s="85">
        <f t="shared" si="3"/>
        <v>0</v>
      </c>
      <c r="S45" s="85">
        <f t="shared" si="3"/>
        <v>0</v>
      </c>
      <c r="T45" s="85">
        <f t="shared" si="3"/>
        <v>0</v>
      </c>
      <c r="U45" s="85">
        <f t="shared" si="3"/>
        <v>8440.7829700000002</v>
      </c>
      <c r="V45" s="85">
        <f t="shared" si="3"/>
        <v>42927.208190000005</v>
      </c>
      <c r="W45" s="85">
        <f t="shared" si="3"/>
        <v>0</v>
      </c>
      <c r="X45" s="85">
        <f>+H45+P45</f>
        <v>115668.19573000001</v>
      </c>
      <c r="Y45" s="85">
        <f>SUM(Y26:Y43)</f>
        <v>0</v>
      </c>
      <c r="Z45" s="85">
        <f>+E45-X45</f>
        <v>0</v>
      </c>
      <c r="AA45" s="69">
        <f>SUM(AA26:AA43)</f>
        <v>42927.208190000005</v>
      </c>
      <c r="AB45" s="69">
        <f>SUM(AB26:AB43)</f>
        <v>0</v>
      </c>
    </row>
    <row r="46" spans="1:28" hidden="1" x14ac:dyDescent="0.3">
      <c r="A46" s="117"/>
      <c r="E46" s="86" t="s">
        <v>29</v>
      </c>
      <c r="F46" s="86" t="s">
        <v>29</v>
      </c>
      <c r="G46" s="86" t="s">
        <v>29</v>
      </c>
      <c r="H46" s="86" t="s">
        <v>29</v>
      </c>
      <c r="I46" s="86" t="s">
        <v>29</v>
      </c>
      <c r="J46" s="86" t="s">
        <v>29</v>
      </c>
      <c r="K46" s="86" t="s">
        <v>29</v>
      </c>
      <c r="L46" s="86" t="s">
        <v>29</v>
      </c>
      <c r="M46" s="86" t="s">
        <v>29</v>
      </c>
      <c r="N46" s="86" t="s">
        <v>29</v>
      </c>
      <c r="O46" s="86" t="s">
        <v>29</v>
      </c>
      <c r="P46" s="86" t="s">
        <v>29</v>
      </c>
      <c r="Q46" s="86" t="s">
        <v>29</v>
      </c>
      <c r="R46" s="86" t="s">
        <v>29</v>
      </c>
      <c r="S46" s="86" t="s">
        <v>29</v>
      </c>
      <c r="T46" s="86" t="s">
        <v>29</v>
      </c>
      <c r="U46" s="86" t="s">
        <v>29</v>
      </c>
      <c r="V46" s="86" t="s">
        <v>29</v>
      </c>
      <c r="W46" s="86" t="s">
        <v>29</v>
      </c>
      <c r="X46" s="85" t="e">
        <f t="shared" ref="X46:X108" si="4">+H46+P46</f>
        <v>#VALUE!</v>
      </c>
      <c r="Y46" s="86" t="s">
        <v>29</v>
      </c>
      <c r="Z46" s="85" t="e">
        <f t="shared" ref="Z46:Z108" si="5">+E46-X46</f>
        <v>#VALUE!</v>
      </c>
      <c r="AA46" s="115" t="s">
        <v>29</v>
      </c>
      <c r="AB46" s="115" t="s">
        <v>29</v>
      </c>
    </row>
    <row r="47" spans="1:28" hidden="1" x14ac:dyDescent="0.3">
      <c r="A47" s="117"/>
      <c r="E47" s="85">
        <v>30337870.219999999</v>
      </c>
      <c r="F47" s="85">
        <v>21897087.25</v>
      </c>
      <c r="G47" s="85">
        <v>0</v>
      </c>
      <c r="H47" s="85">
        <v>21897087.25</v>
      </c>
      <c r="I47" s="85">
        <v>0</v>
      </c>
      <c r="J47" s="85">
        <v>0</v>
      </c>
      <c r="K47" s="85">
        <v>0</v>
      </c>
      <c r="L47" s="85">
        <v>0</v>
      </c>
      <c r="M47" s="85">
        <v>21897087.25</v>
      </c>
      <c r="N47" s="85">
        <v>8440782.9700000007</v>
      </c>
      <c r="O47" s="85">
        <v>0</v>
      </c>
      <c r="P47" s="85">
        <v>8440782.9700000007</v>
      </c>
      <c r="Q47" s="85"/>
      <c r="R47" s="85"/>
      <c r="S47" s="85"/>
      <c r="T47" s="85">
        <v>0</v>
      </c>
      <c r="U47" s="85">
        <v>8440782.9700000007</v>
      </c>
      <c r="V47" s="85"/>
      <c r="W47" s="85"/>
      <c r="X47" s="85">
        <f t="shared" si="4"/>
        <v>30337870.219999999</v>
      </c>
      <c r="Y47" s="85"/>
      <c r="Z47" s="85">
        <f t="shared" si="5"/>
        <v>0</v>
      </c>
      <c r="AA47" s="118"/>
    </row>
    <row r="48" spans="1:28" hidden="1" x14ac:dyDescent="0.3">
      <c r="A48" s="105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5">
        <f t="shared" si="4"/>
        <v>0</v>
      </c>
      <c r="Y48" s="84"/>
      <c r="Z48" s="85">
        <f t="shared" si="5"/>
        <v>0</v>
      </c>
    </row>
    <row r="49" spans="1:28" hidden="1" x14ac:dyDescent="0.3">
      <c r="A49" s="117"/>
      <c r="C49" s="68" t="s">
        <v>75</v>
      </c>
      <c r="D49" s="88" t="s">
        <v>76</v>
      </c>
      <c r="E49" s="85">
        <f>STATS1003B!E49/1000</f>
        <v>11675</v>
      </c>
      <c r="F49" s="85">
        <f>STATS1003B!F49/1000</f>
        <v>3454.9259999999999</v>
      </c>
      <c r="G49" s="85">
        <f>STATS1003B!G49/1000</f>
        <v>0</v>
      </c>
      <c r="H49" s="85">
        <f>STATS1003B!H49/1000</f>
        <v>3454.9259999999999</v>
      </c>
      <c r="I49" s="85">
        <f>STATS1003B!I49/1000</f>
        <v>0</v>
      </c>
      <c r="J49" s="85">
        <f>STATS1003B!J49/1000</f>
        <v>0</v>
      </c>
      <c r="K49" s="85">
        <f>STATS1003B!K49/1000</f>
        <v>0</v>
      </c>
      <c r="L49" s="85">
        <f>STATS1003B!L49/1000</f>
        <v>0</v>
      </c>
      <c r="M49" s="85">
        <f>STATS1003B!M49/1000</f>
        <v>3454.9259999999999</v>
      </c>
      <c r="N49" s="85">
        <f>STATS1003B!N49/1000</f>
        <v>6737.40589</v>
      </c>
      <c r="O49" s="85">
        <f>STATS1003B!O49/1000</f>
        <v>0</v>
      </c>
      <c r="P49" s="85">
        <f>STATS1003B!P49/1000</f>
        <v>6737.40589</v>
      </c>
      <c r="Q49" s="85">
        <f>STATS1003B!Q49/1000</f>
        <v>0</v>
      </c>
      <c r="R49" s="85">
        <f>STATS1003B!R49/1000</f>
        <v>0</v>
      </c>
      <c r="S49" s="85">
        <f>STATS1003B!S49/1000</f>
        <v>0</v>
      </c>
      <c r="T49" s="85">
        <f>STATS1003B!T49/1000</f>
        <v>0</v>
      </c>
      <c r="U49" s="85">
        <f>STATS1003B!U49/1000</f>
        <v>6737.40589</v>
      </c>
      <c r="V49" s="85">
        <f>STATS1003B!V49/1000</f>
        <v>10192.331890000001</v>
      </c>
      <c r="W49" s="85">
        <f>STATS1003B!W49/1000</f>
        <v>1482.6681099999994</v>
      </c>
      <c r="X49" s="85">
        <f t="shared" si="4"/>
        <v>10192.331889999999</v>
      </c>
      <c r="Y49" s="85">
        <f>STATS1003B!Y49/1000</f>
        <v>0</v>
      </c>
      <c r="Z49" s="85">
        <f t="shared" si="5"/>
        <v>1482.6681100000005</v>
      </c>
      <c r="AA49" s="69">
        <f>STATS1003B!AA49/1000</f>
        <v>10192.331890000001</v>
      </c>
      <c r="AB49" s="69">
        <f>STATS1003B!AB49/1000</f>
        <v>1482.6681099999994</v>
      </c>
    </row>
    <row r="50" spans="1:28" hidden="1" x14ac:dyDescent="0.3">
      <c r="A50" s="117"/>
      <c r="C50" s="68" t="s">
        <v>77</v>
      </c>
      <c r="D50" s="88" t="s">
        <v>78</v>
      </c>
      <c r="E50" s="85">
        <f>STATS1003B!E50/1000</f>
        <v>2613.4589100000003</v>
      </c>
      <c r="F50" s="85">
        <f>STATS1003B!F50/1000</f>
        <v>2169.07692</v>
      </c>
      <c r="G50" s="85">
        <f>STATS1003B!G50/1000</f>
        <v>0</v>
      </c>
      <c r="H50" s="85">
        <f>STATS1003B!H50/1000</f>
        <v>2169.07692</v>
      </c>
      <c r="I50" s="85">
        <f>STATS1003B!I50/1000</f>
        <v>0</v>
      </c>
      <c r="J50" s="85">
        <f>STATS1003B!J50/1000</f>
        <v>0</v>
      </c>
      <c r="K50" s="85">
        <f>STATS1003B!K50/1000</f>
        <v>0</v>
      </c>
      <c r="L50" s="85">
        <f>STATS1003B!L50/1000</f>
        <v>0</v>
      </c>
      <c r="M50" s="85">
        <f>STATS1003B!M50/1000</f>
        <v>2169.07692</v>
      </c>
      <c r="N50" s="85">
        <f>STATS1003B!N50/1000</f>
        <v>444.38198999999997</v>
      </c>
      <c r="O50" s="85">
        <f>STATS1003B!O50/1000</f>
        <v>0</v>
      </c>
      <c r="P50" s="85">
        <f>STATS1003B!P50/1000</f>
        <v>444.38198999999997</v>
      </c>
      <c r="Q50" s="85">
        <f>STATS1003B!Q50/1000</f>
        <v>0</v>
      </c>
      <c r="R50" s="85">
        <f>STATS1003B!R50/1000</f>
        <v>0</v>
      </c>
      <c r="S50" s="85">
        <f>STATS1003B!S50/1000</f>
        <v>0</v>
      </c>
      <c r="T50" s="85">
        <f>STATS1003B!T50/1000</f>
        <v>0</v>
      </c>
      <c r="U50" s="85">
        <f>STATS1003B!U50/1000</f>
        <v>444.38198999999997</v>
      </c>
      <c r="V50" s="85">
        <f>STATS1003B!V50/1000</f>
        <v>2613.4589100000003</v>
      </c>
      <c r="W50" s="85">
        <f>STATS1003B!W50/1000</f>
        <v>0</v>
      </c>
      <c r="X50" s="85">
        <f t="shared" si="4"/>
        <v>2613.4589099999998</v>
      </c>
      <c r="Y50" s="85">
        <f>STATS1003B!Y50/1000</f>
        <v>0</v>
      </c>
      <c r="Z50" s="85">
        <f t="shared" si="5"/>
        <v>0</v>
      </c>
      <c r="AA50" s="69">
        <f>STATS1003B!AA50/1000</f>
        <v>2613.4589100000003</v>
      </c>
      <c r="AB50" s="69">
        <f>STATS1003B!AB50/1000</f>
        <v>0</v>
      </c>
    </row>
    <row r="51" spans="1:28" hidden="1" x14ac:dyDescent="0.3">
      <c r="A51" s="117"/>
      <c r="C51" s="68" t="s">
        <v>57</v>
      </c>
      <c r="D51" s="87" t="s">
        <v>79</v>
      </c>
      <c r="E51" s="85">
        <f>STATS1003B!E51/1000</f>
        <v>17853.24511</v>
      </c>
      <c r="F51" s="85">
        <f>STATS1003B!F51/1000</f>
        <v>15794.38487</v>
      </c>
      <c r="G51" s="85">
        <f>STATS1003B!G51/1000</f>
        <v>0</v>
      </c>
      <c r="H51" s="85">
        <f>STATS1003B!H51/1000</f>
        <v>15794.38487</v>
      </c>
      <c r="I51" s="85">
        <f>STATS1003B!I51/1000</f>
        <v>0</v>
      </c>
      <c r="J51" s="85">
        <f>STATS1003B!J51/1000</f>
        <v>0</v>
      </c>
      <c r="K51" s="85">
        <f>STATS1003B!K51/1000</f>
        <v>0</v>
      </c>
      <c r="L51" s="85">
        <f>STATS1003B!L51/1000</f>
        <v>0</v>
      </c>
      <c r="M51" s="85">
        <f>STATS1003B!M51/1000</f>
        <v>15794.38487</v>
      </c>
      <c r="N51" s="85">
        <f>STATS1003B!N51/1000</f>
        <v>2058.86024</v>
      </c>
      <c r="O51" s="85">
        <f>STATS1003B!O51/1000</f>
        <v>0</v>
      </c>
      <c r="P51" s="85">
        <f>STATS1003B!P51/1000</f>
        <v>2058.86024</v>
      </c>
      <c r="Q51" s="85">
        <f>STATS1003B!Q51/1000</f>
        <v>0</v>
      </c>
      <c r="R51" s="85">
        <f>STATS1003B!R51/1000</f>
        <v>0</v>
      </c>
      <c r="S51" s="85">
        <f>STATS1003B!S51/1000</f>
        <v>0</v>
      </c>
      <c r="T51" s="85">
        <f>STATS1003B!T51/1000</f>
        <v>0</v>
      </c>
      <c r="U51" s="85">
        <f>STATS1003B!U51/1000</f>
        <v>2058.86024</v>
      </c>
      <c r="V51" s="85">
        <f>STATS1003B!V51/1000</f>
        <v>17853.24511</v>
      </c>
      <c r="W51" s="85">
        <f>STATS1003B!W51/1000</f>
        <v>0</v>
      </c>
      <c r="X51" s="85">
        <f t="shared" si="4"/>
        <v>17853.24511</v>
      </c>
      <c r="Y51" s="85">
        <f>STATS1003B!Y51/1000</f>
        <v>0</v>
      </c>
      <c r="Z51" s="85">
        <f t="shared" si="5"/>
        <v>0</v>
      </c>
      <c r="AA51" s="69">
        <f>STATS1003B!AA51/1000</f>
        <v>17853.24511</v>
      </c>
      <c r="AB51" s="69">
        <f>STATS1003B!AB51/1000</f>
        <v>0</v>
      </c>
    </row>
    <row r="52" spans="1:28" hidden="1" x14ac:dyDescent="0.3">
      <c r="A52" s="117"/>
      <c r="D52" s="71" t="s">
        <v>80</v>
      </c>
      <c r="E52" s="85">
        <f>STATS1003B!E52/1000</f>
        <v>0</v>
      </c>
      <c r="F52" s="85">
        <f>STATS1003B!F52/1000</f>
        <v>0</v>
      </c>
      <c r="G52" s="85">
        <f>STATS1003B!G52/1000</f>
        <v>0</v>
      </c>
      <c r="H52" s="85">
        <f>STATS1003B!H52/1000</f>
        <v>0</v>
      </c>
      <c r="I52" s="85">
        <f>STATS1003B!I52/1000</f>
        <v>0</v>
      </c>
      <c r="J52" s="85">
        <f>STATS1003B!J52/1000</f>
        <v>0</v>
      </c>
      <c r="K52" s="85">
        <f>STATS1003B!K52/1000</f>
        <v>0</v>
      </c>
      <c r="L52" s="85">
        <f>STATS1003B!L52/1000</f>
        <v>0</v>
      </c>
      <c r="M52" s="85">
        <f>STATS1003B!M52/1000</f>
        <v>0</v>
      </c>
      <c r="N52" s="85">
        <f>STATS1003B!N52/1000</f>
        <v>0</v>
      </c>
      <c r="O52" s="85">
        <f>STATS1003B!O52/1000</f>
        <v>0</v>
      </c>
      <c r="P52" s="85">
        <f>STATS1003B!P52/1000</f>
        <v>0</v>
      </c>
      <c r="Q52" s="85">
        <f>STATS1003B!Q52/1000</f>
        <v>0</v>
      </c>
      <c r="R52" s="85">
        <f>STATS1003B!R52/1000</f>
        <v>0</v>
      </c>
      <c r="S52" s="85">
        <f>STATS1003B!S52/1000</f>
        <v>0</v>
      </c>
      <c r="T52" s="85">
        <f>STATS1003B!T52/1000</f>
        <v>0</v>
      </c>
      <c r="U52" s="85">
        <f>STATS1003B!U52/1000</f>
        <v>0</v>
      </c>
      <c r="V52" s="85">
        <f>STATS1003B!V52/1000</f>
        <v>0</v>
      </c>
      <c r="W52" s="85">
        <f>STATS1003B!W52/1000</f>
        <v>0</v>
      </c>
      <c r="X52" s="85">
        <f t="shared" si="4"/>
        <v>0</v>
      </c>
      <c r="Y52" s="85">
        <f>STATS1003B!Y52/1000</f>
        <v>0</v>
      </c>
      <c r="Z52" s="85">
        <f t="shared" si="5"/>
        <v>0</v>
      </c>
      <c r="AA52" s="69">
        <f>STATS1003B!AA52/1000</f>
        <v>0</v>
      </c>
      <c r="AB52" s="69">
        <f>STATS1003B!AB52/1000</f>
        <v>0</v>
      </c>
    </row>
    <row r="53" spans="1:28" hidden="1" x14ac:dyDescent="0.3">
      <c r="A53" s="117"/>
      <c r="C53" s="68" t="s">
        <v>81</v>
      </c>
      <c r="D53" s="87" t="s">
        <v>78</v>
      </c>
      <c r="E53" s="85">
        <f>STATS1003B!E53/1000</f>
        <v>1000</v>
      </c>
      <c r="F53" s="85">
        <f>STATS1003B!F53/1000</f>
        <v>1000</v>
      </c>
      <c r="G53" s="85">
        <f>STATS1003B!G53/1000</f>
        <v>0</v>
      </c>
      <c r="H53" s="85">
        <f>STATS1003B!H53/1000</f>
        <v>1000</v>
      </c>
      <c r="I53" s="85">
        <f>STATS1003B!I53/1000</f>
        <v>0</v>
      </c>
      <c r="J53" s="85">
        <f>STATS1003B!J53/1000</f>
        <v>0</v>
      </c>
      <c r="K53" s="85">
        <f>STATS1003B!K53/1000</f>
        <v>0</v>
      </c>
      <c r="L53" s="85">
        <f>STATS1003B!L53/1000</f>
        <v>0</v>
      </c>
      <c r="M53" s="85">
        <f>STATS1003B!M53/1000</f>
        <v>1000</v>
      </c>
      <c r="N53" s="85">
        <f>STATS1003B!N53/1000</f>
        <v>0</v>
      </c>
      <c r="O53" s="85">
        <f>STATS1003B!O53/1000</f>
        <v>0</v>
      </c>
      <c r="P53" s="85">
        <f>STATS1003B!P53/1000</f>
        <v>0</v>
      </c>
      <c r="Q53" s="85">
        <f>STATS1003B!Q53/1000</f>
        <v>0</v>
      </c>
      <c r="R53" s="85">
        <f>STATS1003B!R53/1000</f>
        <v>0</v>
      </c>
      <c r="S53" s="85">
        <f>STATS1003B!S53/1000</f>
        <v>0</v>
      </c>
      <c r="T53" s="85">
        <f>STATS1003B!T53/1000</f>
        <v>0</v>
      </c>
      <c r="U53" s="85">
        <f>STATS1003B!U53/1000</f>
        <v>0</v>
      </c>
      <c r="V53" s="85">
        <f>STATS1003B!V53/1000</f>
        <v>1000</v>
      </c>
      <c r="W53" s="85">
        <f>STATS1003B!W53/1000</f>
        <v>0</v>
      </c>
      <c r="X53" s="85">
        <f t="shared" si="4"/>
        <v>1000</v>
      </c>
      <c r="Y53" s="85">
        <f>STATS1003B!Y53/1000</f>
        <v>0</v>
      </c>
      <c r="Z53" s="85">
        <f t="shared" si="5"/>
        <v>0</v>
      </c>
      <c r="AA53" s="69">
        <f>STATS1003B!AA53/1000</f>
        <v>1000</v>
      </c>
      <c r="AB53" s="69">
        <f>STATS1003B!AB53/1000</f>
        <v>0</v>
      </c>
    </row>
    <row r="54" spans="1:28" hidden="1" x14ac:dyDescent="0.3">
      <c r="A54" s="117"/>
      <c r="C54" s="68" t="s">
        <v>82</v>
      </c>
      <c r="D54" s="87" t="s">
        <v>68</v>
      </c>
      <c r="E54" s="85">
        <f>STATS1003B!E54/1000</f>
        <v>967.93718999999999</v>
      </c>
      <c r="F54" s="85">
        <f>STATS1003B!F54/1000</f>
        <v>122.718</v>
      </c>
      <c r="G54" s="85">
        <f>STATS1003B!G54/1000</f>
        <v>0</v>
      </c>
      <c r="H54" s="85">
        <f>STATS1003B!H54/1000</f>
        <v>122.718</v>
      </c>
      <c r="I54" s="85">
        <f>STATS1003B!I54/1000</f>
        <v>0</v>
      </c>
      <c r="J54" s="85">
        <f>STATS1003B!J54/1000</f>
        <v>0</v>
      </c>
      <c r="K54" s="85">
        <f>STATS1003B!K54/1000</f>
        <v>0</v>
      </c>
      <c r="L54" s="85">
        <f>STATS1003B!L54/1000</f>
        <v>0</v>
      </c>
      <c r="M54" s="85">
        <f>STATS1003B!M54/1000</f>
        <v>122.718</v>
      </c>
      <c r="N54" s="85">
        <f>STATS1003B!N54/1000</f>
        <v>845.21918999999991</v>
      </c>
      <c r="O54" s="85">
        <f>STATS1003B!O54/1000</f>
        <v>0</v>
      </c>
      <c r="P54" s="85">
        <f>STATS1003B!P54/1000</f>
        <v>845.21918999999991</v>
      </c>
      <c r="Q54" s="85">
        <f>STATS1003B!Q54/1000</f>
        <v>0</v>
      </c>
      <c r="R54" s="85">
        <f>STATS1003B!R54/1000</f>
        <v>0</v>
      </c>
      <c r="S54" s="85">
        <f>STATS1003B!S54/1000</f>
        <v>0</v>
      </c>
      <c r="T54" s="85">
        <f>STATS1003B!T54/1000</f>
        <v>0</v>
      </c>
      <c r="U54" s="85">
        <f>STATS1003B!U54/1000</f>
        <v>845.21918999999991</v>
      </c>
      <c r="V54" s="85">
        <f>STATS1003B!V54/1000</f>
        <v>967.93718999999999</v>
      </c>
      <c r="W54" s="85">
        <f>STATS1003B!W54/1000</f>
        <v>0</v>
      </c>
      <c r="X54" s="85">
        <f t="shared" si="4"/>
        <v>967.93718999999987</v>
      </c>
      <c r="Y54" s="85">
        <f>STATS1003B!Y54/1000</f>
        <v>0</v>
      </c>
      <c r="Z54" s="85">
        <f t="shared" si="5"/>
        <v>0</v>
      </c>
      <c r="AA54" s="69">
        <f>STATS1003B!AA54/1000</f>
        <v>967.93718999999999</v>
      </c>
      <c r="AB54" s="69">
        <f>STATS1003B!AB54/1000</f>
        <v>0</v>
      </c>
    </row>
    <row r="55" spans="1:28" hidden="1" x14ac:dyDescent="0.3">
      <c r="A55" s="117"/>
      <c r="C55" s="68" t="s">
        <v>83</v>
      </c>
      <c r="D55" s="87" t="s">
        <v>67</v>
      </c>
      <c r="E55" s="85">
        <f>STATS1003B!E55/1000</f>
        <v>1214.66958</v>
      </c>
      <c r="F55" s="85">
        <f>STATS1003B!F55/1000</f>
        <v>517.57376999999997</v>
      </c>
      <c r="G55" s="85">
        <f>STATS1003B!G55/1000</f>
        <v>0</v>
      </c>
      <c r="H55" s="85">
        <f>STATS1003B!H55/1000</f>
        <v>517.57376999999997</v>
      </c>
      <c r="I55" s="85">
        <f>STATS1003B!I55/1000</f>
        <v>0</v>
      </c>
      <c r="J55" s="85">
        <f>STATS1003B!J55/1000</f>
        <v>0</v>
      </c>
      <c r="K55" s="85">
        <f>STATS1003B!K55/1000</f>
        <v>0</v>
      </c>
      <c r="L55" s="85">
        <f>STATS1003B!L55/1000</f>
        <v>0</v>
      </c>
      <c r="M55" s="85">
        <f>STATS1003B!M55/1000</f>
        <v>517.57376999999997</v>
      </c>
      <c r="N55" s="85">
        <f>STATS1003B!N55/1000</f>
        <v>697.09581000000003</v>
      </c>
      <c r="O55" s="85">
        <f>STATS1003B!O55/1000</f>
        <v>0</v>
      </c>
      <c r="P55" s="85">
        <f>STATS1003B!P55/1000</f>
        <v>697.09581000000003</v>
      </c>
      <c r="Q55" s="85">
        <f>STATS1003B!Q55/1000</f>
        <v>0</v>
      </c>
      <c r="R55" s="85">
        <f>STATS1003B!R55/1000</f>
        <v>0</v>
      </c>
      <c r="S55" s="85">
        <f>STATS1003B!S55/1000</f>
        <v>0</v>
      </c>
      <c r="T55" s="85">
        <f>STATS1003B!T55/1000</f>
        <v>0</v>
      </c>
      <c r="U55" s="85">
        <f>STATS1003B!U55/1000</f>
        <v>697.09581000000003</v>
      </c>
      <c r="V55" s="85">
        <f>STATS1003B!V55/1000</f>
        <v>1214.66958</v>
      </c>
      <c r="W55" s="85">
        <f>STATS1003B!W55/1000</f>
        <v>0</v>
      </c>
      <c r="X55" s="85">
        <f t="shared" si="4"/>
        <v>1214.66958</v>
      </c>
      <c r="Y55" s="85">
        <f>STATS1003B!Y55/1000</f>
        <v>0</v>
      </c>
      <c r="Z55" s="85">
        <f t="shared" si="5"/>
        <v>0</v>
      </c>
      <c r="AA55" s="69">
        <f>STATS1003B!AA55/1000</f>
        <v>1214.66958</v>
      </c>
      <c r="AB55" s="69">
        <f>STATS1003B!AB55/1000</f>
        <v>0</v>
      </c>
    </row>
    <row r="56" spans="1:28" hidden="1" x14ac:dyDescent="0.3">
      <c r="A56" s="117"/>
      <c r="C56" s="68" t="s">
        <v>55</v>
      </c>
      <c r="D56" s="87" t="s">
        <v>68</v>
      </c>
      <c r="E56" s="85">
        <f>STATS1003B!E56/1000</f>
        <v>1434.7102500000001</v>
      </c>
      <c r="F56" s="85">
        <f>STATS1003B!F56/1000</f>
        <v>0</v>
      </c>
      <c r="G56" s="85">
        <f>STATS1003B!G56/1000</f>
        <v>0</v>
      </c>
      <c r="H56" s="85">
        <f>STATS1003B!H56/1000</f>
        <v>0</v>
      </c>
      <c r="I56" s="85">
        <f>STATS1003B!I56/1000</f>
        <v>0</v>
      </c>
      <c r="J56" s="85">
        <f>STATS1003B!J56/1000</f>
        <v>0</v>
      </c>
      <c r="K56" s="85">
        <f>STATS1003B!K56/1000</f>
        <v>0</v>
      </c>
      <c r="L56" s="85">
        <f>STATS1003B!L56/1000</f>
        <v>0</v>
      </c>
      <c r="M56" s="85">
        <f>STATS1003B!M56/1000</f>
        <v>0</v>
      </c>
      <c r="N56" s="85">
        <f>STATS1003B!N56/1000</f>
        <v>1434.7102500000001</v>
      </c>
      <c r="O56" s="85">
        <f>STATS1003B!O56/1000</f>
        <v>0</v>
      </c>
      <c r="P56" s="85">
        <f>STATS1003B!P56/1000</f>
        <v>1434.7102500000001</v>
      </c>
      <c r="Q56" s="85">
        <f>STATS1003B!Q56/1000</f>
        <v>0</v>
      </c>
      <c r="R56" s="85">
        <f>STATS1003B!R56/1000</f>
        <v>0</v>
      </c>
      <c r="S56" s="85">
        <f>STATS1003B!S56/1000</f>
        <v>0</v>
      </c>
      <c r="T56" s="85">
        <f>STATS1003B!T56/1000</f>
        <v>0</v>
      </c>
      <c r="U56" s="85">
        <f>STATS1003B!U56/1000</f>
        <v>1434.7102500000001</v>
      </c>
      <c r="V56" s="85">
        <f>STATS1003B!V56/1000</f>
        <v>1434.7102500000001</v>
      </c>
      <c r="W56" s="85">
        <f>STATS1003B!W56/1000</f>
        <v>0</v>
      </c>
      <c r="X56" s="85">
        <f t="shared" si="4"/>
        <v>1434.7102500000001</v>
      </c>
      <c r="Y56" s="85">
        <f>STATS1003B!Y56/1000</f>
        <v>0</v>
      </c>
      <c r="Z56" s="85">
        <f t="shared" si="5"/>
        <v>0</v>
      </c>
      <c r="AA56" s="69">
        <f>STATS1003B!AA56/1000</f>
        <v>1434.7102500000001</v>
      </c>
      <c r="AB56" s="69">
        <f>STATS1003B!AB56/1000</f>
        <v>0</v>
      </c>
    </row>
    <row r="57" spans="1:28" hidden="1" x14ac:dyDescent="0.3">
      <c r="A57" s="117"/>
      <c r="C57" s="68" t="s">
        <v>53</v>
      </c>
      <c r="D57" s="87" t="s">
        <v>68</v>
      </c>
      <c r="E57" s="85">
        <f>STATS1003B!E57/1000</f>
        <v>2306.1060000000002</v>
      </c>
      <c r="F57" s="85">
        <f>STATS1003B!F57/1000</f>
        <v>0</v>
      </c>
      <c r="G57" s="85">
        <f>STATS1003B!G57/1000</f>
        <v>0</v>
      </c>
      <c r="H57" s="85">
        <f>STATS1003B!H57/1000</f>
        <v>0</v>
      </c>
      <c r="I57" s="85">
        <f>STATS1003B!I57/1000</f>
        <v>0</v>
      </c>
      <c r="J57" s="85">
        <f>STATS1003B!J57/1000</f>
        <v>0</v>
      </c>
      <c r="K57" s="85">
        <f>STATS1003B!K57/1000</f>
        <v>0</v>
      </c>
      <c r="L57" s="85">
        <f>STATS1003B!L57/1000</f>
        <v>0</v>
      </c>
      <c r="M57" s="85">
        <f>STATS1003B!M57/1000</f>
        <v>0</v>
      </c>
      <c r="N57" s="85">
        <f>STATS1003B!N57/1000</f>
        <v>2306.1060000000002</v>
      </c>
      <c r="O57" s="85">
        <f>STATS1003B!O57/1000</f>
        <v>0</v>
      </c>
      <c r="P57" s="85">
        <f>STATS1003B!P57/1000</f>
        <v>2306.1060000000002</v>
      </c>
      <c r="Q57" s="85">
        <f>STATS1003B!Q57/1000</f>
        <v>0</v>
      </c>
      <c r="R57" s="85">
        <f>STATS1003B!R57/1000</f>
        <v>0</v>
      </c>
      <c r="S57" s="85">
        <f>STATS1003B!S57/1000</f>
        <v>0</v>
      </c>
      <c r="T57" s="85">
        <f>STATS1003B!T57/1000</f>
        <v>0</v>
      </c>
      <c r="U57" s="85">
        <f>STATS1003B!U57/1000</f>
        <v>2306.1060000000002</v>
      </c>
      <c r="V57" s="85">
        <f>STATS1003B!V57/1000</f>
        <v>2306.1060000000002</v>
      </c>
      <c r="W57" s="85">
        <f>STATS1003B!W57/1000</f>
        <v>0</v>
      </c>
      <c r="X57" s="85">
        <f t="shared" si="4"/>
        <v>2306.1060000000002</v>
      </c>
      <c r="Y57" s="85">
        <f>STATS1003B!Y57/1000</f>
        <v>0</v>
      </c>
      <c r="Z57" s="85">
        <f t="shared" si="5"/>
        <v>0</v>
      </c>
      <c r="AA57" s="69">
        <f>STATS1003B!AA57/1000</f>
        <v>2306.1060000000002</v>
      </c>
      <c r="AB57" s="69">
        <f>STATS1003B!AB57/1000</f>
        <v>0</v>
      </c>
    </row>
    <row r="58" spans="1:28" hidden="1" x14ac:dyDescent="0.3">
      <c r="A58" s="117"/>
      <c r="C58" s="68" t="s">
        <v>84</v>
      </c>
      <c r="D58" s="87" t="s">
        <v>85</v>
      </c>
      <c r="E58" s="85">
        <f>STATS1003B!E58/1000</f>
        <v>480</v>
      </c>
      <c r="F58" s="85">
        <f>STATS1003B!F58/1000</f>
        <v>480</v>
      </c>
      <c r="G58" s="85">
        <f>STATS1003B!G58/1000</f>
        <v>0</v>
      </c>
      <c r="H58" s="85">
        <f>STATS1003B!H58/1000</f>
        <v>480</v>
      </c>
      <c r="I58" s="85">
        <f>STATS1003B!I58/1000</f>
        <v>0</v>
      </c>
      <c r="J58" s="85">
        <f>STATS1003B!J58/1000</f>
        <v>0</v>
      </c>
      <c r="K58" s="85">
        <f>STATS1003B!K58/1000</f>
        <v>0</v>
      </c>
      <c r="L58" s="85">
        <f>STATS1003B!L58/1000</f>
        <v>0</v>
      </c>
      <c r="M58" s="85">
        <f>STATS1003B!M58/1000</f>
        <v>480</v>
      </c>
      <c r="N58" s="85">
        <f>STATS1003B!N58/1000</f>
        <v>0</v>
      </c>
      <c r="O58" s="85">
        <f>STATS1003B!O58/1000</f>
        <v>0</v>
      </c>
      <c r="P58" s="85">
        <f>STATS1003B!P58/1000</f>
        <v>0</v>
      </c>
      <c r="Q58" s="85">
        <f>STATS1003B!Q58/1000</f>
        <v>0</v>
      </c>
      <c r="R58" s="85">
        <f>STATS1003B!R58/1000</f>
        <v>0</v>
      </c>
      <c r="S58" s="85">
        <f>STATS1003B!S58/1000</f>
        <v>0</v>
      </c>
      <c r="T58" s="85">
        <f>STATS1003B!T58/1000</f>
        <v>0</v>
      </c>
      <c r="U58" s="85">
        <f>STATS1003B!U58/1000</f>
        <v>0</v>
      </c>
      <c r="V58" s="85">
        <f>STATS1003B!V58/1000</f>
        <v>480</v>
      </c>
      <c r="W58" s="85">
        <f>STATS1003B!W58/1000</f>
        <v>0</v>
      </c>
      <c r="X58" s="85">
        <f t="shared" si="4"/>
        <v>480</v>
      </c>
      <c r="Y58" s="85">
        <f>STATS1003B!Y58/1000</f>
        <v>0</v>
      </c>
      <c r="Z58" s="85">
        <f t="shared" si="5"/>
        <v>0</v>
      </c>
      <c r="AA58" s="69">
        <f>STATS1003B!AA58/1000</f>
        <v>480</v>
      </c>
      <c r="AB58" s="69">
        <f>STATS1003B!AB58/1000</f>
        <v>0</v>
      </c>
    </row>
    <row r="59" spans="1:28" hidden="1" x14ac:dyDescent="0.3">
      <c r="A59" s="117"/>
      <c r="C59" s="68" t="s">
        <v>86</v>
      </c>
      <c r="D59" s="87" t="s">
        <v>85</v>
      </c>
      <c r="E59" s="85">
        <f>STATS1003B!E59/1000</f>
        <v>160</v>
      </c>
      <c r="F59" s="85">
        <f>STATS1003B!F59/1000</f>
        <v>160</v>
      </c>
      <c r="G59" s="85">
        <f>STATS1003B!G59/1000</f>
        <v>0</v>
      </c>
      <c r="H59" s="85">
        <f>STATS1003B!H59/1000</f>
        <v>160</v>
      </c>
      <c r="I59" s="85">
        <f>STATS1003B!I59/1000</f>
        <v>0</v>
      </c>
      <c r="J59" s="85">
        <f>STATS1003B!J59/1000</f>
        <v>0</v>
      </c>
      <c r="K59" s="85">
        <f>STATS1003B!K59/1000</f>
        <v>0</v>
      </c>
      <c r="L59" s="85">
        <f>STATS1003B!L59/1000</f>
        <v>0</v>
      </c>
      <c r="M59" s="85">
        <f>STATS1003B!M59/1000</f>
        <v>160</v>
      </c>
      <c r="N59" s="85">
        <f>STATS1003B!N59/1000</f>
        <v>0</v>
      </c>
      <c r="O59" s="85">
        <f>STATS1003B!O59/1000</f>
        <v>0</v>
      </c>
      <c r="P59" s="85">
        <f>STATS1003B!P59/1000</f>
        <v>0</v>
      </c>
      <c r="Q59" s="85">
        <f>STATS1003B!Q59/1000</f>
        <v>0</v>
      </c>
      <c r="R59" s="85">
        <f>STATS1003B!R59/1000</f>
        <v>0</v>
      </c>
      <c r="S59" s="85">
        <f>STATS1003B!S59/1000</f>
        <v>0</v>
      </c>
      <c r="T59" s="85">
        <f>STATS1003B!T59/1000</f>
        <v>0</v>
      </c>
      <c r="U59" s="85">
        <f>STATS1003B!U59/1000</f>
        <v>0</v>
      </c>
      <c r="V59" s="85">
        <f>STATS1003B!V59/1000</f>
        <v>160</v>
      </c>
      <c r="W59" s="85">
        <f>STATS1003B!W59/1000</f>
        <v>0</v>
      </c>
      <c r="X59" s="85">
        <f t="shared" si="4"/>
        <v>160</v>
      </c>
      <c r="Y59" s="85">
        <f>STATS1003B!Y59/1000</f>
        <v>0</v>
      </c>
      <c r="Z59" s="85">
        <f t="shared" si="5"/>
        <v>0</v>
      </c>
      <c r="AA59" s="69">
        <f>STATS1003B!AA59/1000</f>
        <v>160</v>
      </c>
      <c r="AB59" s="69">
        <f>STATS1003B!AB59/1000</f>
        <v>0</v>
      </c>
    </row>
    <row r="60" spans="1:28" hidden="1" x14ac:dyDescent="0.3">
      <c r="A60" s="117"/>
      <c r="C60" s="68" t="s">
        <v>87</v>
      </c>
      <c r="D60" s="87" t="s">
        <v>88</v>
      </c>
      <c r="E60" s="85">
        <f>STATS1003B!E60/1000</f>
        <v>5500</v>
      </c>
      <c r="F60" s="85">
        <f>STATS1003B!F60/1000</f>
        <v>5500</v>
      </c>
      <c r="G60" s="85">
        <f>STATS1003B!G60/1000</f>
        <v>0</v>
      </c>
      <c r="H60" s="85">
        <f>STATS1003B!H60/1000</f>
        <v>5500</v>
      </c>
      <c r="I60" s="85">
        <f>STATS1003B!I60/1000</f>
        <v>0</v>
      </c>
      <c r="J60" s="85">
        <f>STATS1003B!J60/1000</f>
        <v>0</v>
      </c>
      <c r="K60" s="85">
        <f>STATS1003B!K60/1000</f>
        <v>0</v>
      </c>
      <c r="L60" s="85">
        <f>STATS1003B!L60/1000</f>
        <v>0</v>
      </c>
      <c r="M60" s="85">
        <f>STATS1003B!M60/1000</f>
        <v>5500</v>
      </c>
      <c r="N60" s="85">
        <f>STATS1003B!N60/1000</f>
        <v>0</v>
      </c>
      <c r="O60" s="85">
        <f>STATS1003B!O60/1000</f>
        <v>0</v>
      </c>
      <c r="P60" s="85">
        <f>STATS1003B!P60/1000</f>
        <v>0</v>
      </c>
      <c r="Q60" s="85">
        <f>STATS1003B!Q60/1000</f>
        <v>0</v>
      </c>
      <c r="R60" s="85">
        <f>STATS1003B!R60/1000</f>
        <v>0</v>
      </c>
      <c r="S60" s="85">
        <f>STATS1003B!S60/1000</f>
        <v>0</v>
      </c>
      <c r="T60" s="85">
        <f>STATS1003B!T60/1000</f>
        <v>0</v>
      </c>
      <c r="U60" s="85">
        <f>STATS1003B!U60/1000</f>
        <v>0</v>
      </c>
      <c r="V60" s="85">
        <f>STATS1003B!V60/1000</f>
        <v>5500</v>
      </c>
      <c r="W60" s="85">
        <f>STATS1003B!W60/1000</f>
        <v>0</v>
      </c>
      <c r="X60" s="85">
        <f t="shared" si="4"/>
        <v>5500</v>
      </c>
      <c r="Y60" s="85">
        <f>STATS1003B!Y60/1000</f>
        <v>0</v>
      </c>
      <c r="Z60" s="85">
        <f t="shared" si="5"/>
        <v>0</v>
      </c>
      <c r="AA60" s="69">
        <f>STATS1003B!AA60/1000</f>
        <v>5500</v>
      </c>
      <c r="AB60" s="69">
        <f>STATS1003B!AB60/1000</f>
        <v>0</v>
      </c>
    </row>
    <row r="61" spans="1:28" hidden="1" x14ac:dyDescent="0.3">
      <c r="A61" s="117"/>
      <c r="C61" s="68" t="s">
        <v>57</v>
      </c>
      <c r="D61" s="87" t="s">
        <v>58</v>
      </c>
      <c r="E61" s="85">
        <f>STATS1003B!E61/1000</f>
        <v>5367.3249999999998</v>
      </c>
      <c r="F61" s="85">
        <f>STATS1003B!F61/1000</f>
        <v>5367.3249999999998</v>
      </c>
      <c r="G61" s="85">
        <f>STATS1003B!G61/1000</f>
        <v>0</v>
      </c>
      <c r="H61" s="85">
        <f>STATS1003B!H61/1000</f>
        <v>5367.3249999999998</v>
      </c>
      <c r="I61" s="85">
        <f>STATS1003B!I61/1000</f>
        <v>0</v>
      </c>
      <c r="J61" s="85">
        <f>STATS1003B!J61/1000</f>
        <v>0</v>
      </c>
      <c r="K61" s="85">
        <f>STATS1003B!K61/1000</f>
        <v>0</v>
      </c>
      <c r="L61" s="85">
        <f>STATS1003B!L61/1000</f>
        <v>0</v>
      </c>
      <c r="M61" s="85">
        <f>STATS1003B!M61/1000</f>
        <v>5367.3249999999998</v>
      </c>
      <c r="N61" s="85">
        <f>STATS1003B!N61/1000</f>
        <v>0</v>
      </c>
      <c r="O61" s="85">
        <f>STATS1003B!O61/1000</f>
        <v>0</v>
      </c>
      <c r="P61" s="85">
        <f>STATS1003B!P61/1000</f>
        <v>0</v>
      </c>
      <c r="Q61" s="85">
        <f>STATS1003B!Q61/1000</f>
        <v>0</v>
      </c>
      <c r="R61" s="85">
        <f>STATS1003B!R61/1000</f>
        <v>0</v>
      </c>
      <c r="S61" s="85">
        <f>STATS1003B!S61/1000</f>
        <v>0</v>
      </c>
      <c r="T61" s="85">
        <f>STATS1003B!T61/1000</f>
        <v>0</v>
      </c>
      <c r="U61" s="85">
        <f>STATS1003B!U61/1000</f>
        <v>0</v>
      </c>
      <c r="V61" s="85">
        <f>STATS1003B!V61/1000</f>
        <v>5367.3249999999998</v>
      </c>
      <c r="W61" s="85">
        <f>STATS1003B!W61/1000</f>
        <v>0</v>
      </c>
      <c r="X61" s="85">
        <f t="shared" si="4"/>
        <v>5367.3249999999998</v>
      </c>
      <c r="Y61" s="85">
        <f>STATS1003B!Y61/1000</f>
        <v>0</v>
      </c>
      <c r="Z61" s="85">
        <f t="shared" si="5"/>
        <v>0</v>
      </c>
      <c r="AA61" s="69">
        <f>STATS1003B!AA61/1000</f>
        <v>5367.3249999999998</v>
      </c>
      <c r="AB61" s="69">
        <f>STATS1003B!AB61/1000</f>
        <v>0</v>
      </c>
    </row>
    <row r="62" spans="1:28" hidden="1" x14ac:dyDescent="0.3">
      <c r="A62" s="117"/>
      <c r="C62" s="68" t="s">
        <v>57</v>
      </c>
      <c r="D62" s="87" t="s">
        <v>60</v>
      </c>
      <c r="E62" s="85">
        <f>STATS1003B!E62/1000</f>
        <v>8923.2084600000017</v>
      </c>
      <c r="F62" s="85">
        <f>STATS1003B!F62/1000</f>
        <v>8923.2084600000017</v>
      </c>
      <c r="G62" s="85">
        <f>STATS1003B!G62/1000</f>
        <v>0</v>
      </c>
      <c r="H62" s="85">
        <f>STATS1003B!H62/1000</f>
        <v>8923.2084600000017</v>
      </c>
      <c r="I62" s="85">
        <f>STATS1003B!I62/1000</f>
        <v>0</v>
      </c>
      <c r="J62" s="85">
        <f>STATS1003B!J62/1000</f>
        <v>0</v>
      </c>
      <c r="K62" s="85">
        <f>STATS1003B!K62/1000</f>
        <v>0</v>
      </c>
      <c r="L62" s="85">
        <f>STATS1003B!L62/1000</f>
        <v>0</v>
      </c>
      <c r="M62" s="85">
        <f>STATS1003B!M62/1000</f>
        <v>8923.2084600000017</v>
      </c>
      <c r="N62" s="85">
        <f>STATS1003B!N62/1000</f>
        <v>0</v>
      </c>
      <c r="O62" s="85">
        <f>STATS1003B!O62/1000</f>
        <v>0</v>
      </c>
      <c r="P62" s="85">
        <f>STATS1003B!P62/1000</f>
        <v>0</v>
      </c>
      <c r="Q62" s="85">
        <f>STATS1003B!Q62/1000</f>
        <v>0</v>
      </c>
      <c r="R62" s="85">
        <f>STATS1003B!R62/1000</f>
        <v>0</v>
      </c>
      <c r="S62" s="85">
        <f>STATS1003B!S62/1000</f>
        <v>0</v>
      </c>
      <c r="T62" s="85">
        <f>STATS1003B!T62/1000</f>
        <v>0</v>
      </c>
      <c r="U62" s="85">
        <f>STATS1003B!U62/1000</f>
        <v>0</v>
      </c>
      <c r="V62" s="85">
        <f>STATS1003B!V62/1000</f>
        <v>8923.2084600000017</v>
      </c>
      <c r="W62" s="85">
        <f>STATS1003B!W62/1000</f>
        <v>0</v>
      </c>
      <c r="X62" s="85">
        <f t="shared" si="4"/>
        <v>8923.2084600000017</v>
      </c>
      <c r="Y62" s="85">
        <f>STATS1003B!Y62/1000</f>
        <v>0</v>
      </c>
      <c r="Z62" s="85">
        <f t="shared" si="5"/>
        <v>0</v>
      </c>
      <c r="AA62" s="69">
        <f>STATS1003B!AA62/1000</f>
        <v>8923.2084600000017</v>
      </c>
      <c r="AB62" s="69">
        <f>STATS1003B!AB62/1000</f>
        <v>0</v>
      </c>
    </row>
    <row r="63" spans="1:28" hidden="1" x14ac:dyDescent="0.3">
      <c r="A63" s="117"/>
      <c r="C63" s="71" t="s">
        <v>89</v>
      </c>
      <c r="D63" s="87" t="s">
        <v>60</v>
      </c>
      <c r="E63" s="85">
        <f>STATS1003B!E63/1000</f>
        <v>5000</v>
      </c>
      <c r="F63" s="85">
        <f>STATS1003B!F63/1000</f>
        <v>5000</v>
      </c>
      <c r="G63" s="85">
        <f>STATS1003B!G63/1000</f>
        <v>0</v>
      </c>
      <c r="H63" s="85">
        <f>STATS1003B!H63/1000</f>
        <v>5000</v>
      </c>
      <c r="I63" s="85">
        <f>STATS1003B!I63/1000</f>
        <v>0</v>
      </c>
      <c r="J63" s="85">
        <f>STATS1003B!J63/1000</f>
        <v>0</v>
      </c>
      <c r="K63" s="85">
        <f>STATS1003B!K63/1000</f>
        <v>0</v>
      </c>
      <c r="L63" s="85">
        <f>STATS1003B!L63/1000</f>
        <v>0</v>
      </c>
      <c r="M63" s="85">
        <f>STATS1003B!M63/1000</f>
        <v>5000</v>
      </c>
      <c r="N63" s="85">
        <f>STATS1003B!N63/1000</f>
        <v>0</v>
      </c>
      <c r="O63" s="85">
        <f>STATS1003B!O63/1000</f>
        <v>0</v>
      </c>
      <c r="P63" s="85">
        <f>STATS1003B!P63/1000</f>
        <v>0</v>
      </c>
      <c r="Q63" s="85">
        <f>STATS1003B!Q63/1000</f>
        <v>0</v>
      </c>
      <c r="R63" s="85">
        <f>STATS1003B!R63/1000</f>
        <v>0</v>
      </c>
      <c r="S63" s="85">
        <f>STATS1003B!S63/1000</f>
        <v>0</v>
      </c>
      <c r="T63" s="85">
        <f>STATS1003B!T63/1000</f>
        <v>0</v>
      </c>
      <c r="U63" s="85">
        <f>STATS1003B!U63/1000</f>
        <v>0</v>
      </c>
      <c r="V63" s="85">
        <f>STATS1003B!V63/1000</f>
        <v>5000</v>
      </c>
      <c r="W63" s="85">
        <f>STATS1003B!W63/1000</f>
        <v>0</v>
      </c>
      <c r="X63" s="85">
        <f t="shared" si="4"/>
        <v>5000</v>
      </c>
      <c r="Y63" s="85">
        <f>STATS1003B!Y63/1000</f>
        <v>0</v>
      </c>
      <c r="Z63" s="85">
        <f t="shared" si="5"/>
        <v>0</v>
      </c>
      <c r="AA63" s="69">
        <f>STATS1003B!AA63/1000</f>
        <v>5000</v>
      </c>
      <c r="AB63" s="69">
        <f>STATS1003B!AB63/1000</f>
        <v>0</v>
      </c>
    </row>
    <row r="64" spans="1:28" hidden="1" x14ac:dyDescent="0.3">
      <c r="A64" s="117"/>
      <c r="C64" s="71" t="s">
        <v>90</v>
      </c>
      <c r="D64" s="87" t="s">
        <v>60</v>
      </c>
      <c r="E64" s="85">
        <f>STATS1003B!E64/1000</f>
        <v>750</v>
      </c>
      <c r="F64" s="85">
        <f>STATS1003B!F64/1000</f>
        <v>750</v>
      </c>
      <c r="G64" s="85">
        <f>STATS1003B!G64/1000</f>
        <v>0</v>
      </c>
      <c r="H64" s="85">
        <f>STATS1003B!H64/1000</f>
        <v>750</v>
      </c>
      <c r="I64" s="85">
        <f>STATS1003B!I64/1000</f>
        <v>0</v>
      </c>
      <c r="J64" s="85">
        <f>STATS1003B!J64/1000</f>
        <v>0</v>
      </c>
      <c r="K64" s="85">
        <f>STATS1003B!K64/1000</f>
        <v>0</v>
      </c>
      <c r="L64" s="85">
        <f>STATS1003B!L64/1000</f>
        <v>0</v>
      </c>
      <c r="M64" s="85">
        <f>STATS1003B!M64/1000</f>
        <v>750</v>
      </c>
      <c r="N64" s="85">
        <f>STATS1003B!N64/1000</f>
        <v>0</v>
      </c>
      <c r="O64" s="85">
        <f>STATS1003B!O64/1000</f>
        <v>0</v>
      </c>
      <c r="P64" s="85">
        <f>STATS1003B!P64/1000</f>
        <v>0</v>
      </c>
      <c r="Q64" s="85">
        <f>STATS1003B!Q64/1000</f>
        <v>0</v>
      </c>
      <c r="R64" s="85">
        <f>STATS1003B!R64/1000</f>
        <v>0</v>
      </c>
      <c r="S64" s="85">
        <f>STATS1003B!S64/1000</f>
        <v>0</v>
      </c>
      <c r="T64" s="85">
        <f>STATS1003B!T64/1000</f>
        <v>0</v>
      </c>
      <c r="U64" s="85">
        <f>STATS1003B!U64/1000</f>
        <v>0</v>
      </c>
      <c r="V64" s="85">
        <f>STATS1003B!V64/1000</f>
        <v>750</v>
      </c>
      <c r="W64" s="85">
        <f>STATS1003B!W64/1000</f>
        <v>0</v>
      </c>
      <c r="X64" s="85">
        <f t="shared" si="4"/>
        <v>750</v>
      </c>
      <c r="Y64" s="85">
        <f>STATS1003B!Y64/1000</f>
        <v>0</v>
      </c>
      <c r="Z64" s="85">
        <f t="shared" si="5"/>
        <v>0</v>
      </c>
      <c r="AA64" s="69">
        <f>STATS1003B!AA64/1000</f>
        <v>750</v>
      </c>
      <c r="AB64" s="69">
        <f>STATS1003B!AB64/1000</f>
        <v>0</v>
      </c>
    </row>
    <row r="65" spans="1:28" hidden="1" x14ac:dyDescent="0.3">
      <c r="A65" s="117"/>
      <c r="C65" s="71" t="s">
        <v>930</v>
      </c>
      <c r="D65" s="90" t="s">
        <v>1072</v>
      </c>
      <c r="E65" s="85">
        <f>STATS1003B!E65/1000</f>
        <v>1910.6788599999998</v>
      </c>
      <c r="F65" s="85">
        <f>STATS1003B!F65/1000</f>
        <v>1910.6788599999998</v>
      </c>
      <c r="G65" s="85">
        <f>STATS1003B!G65/1000</f>
        <v>0</v>
      </c>
      <c r="H65" s="85">
        <f>STATS1003B!H65/1000</f>
        <v>1910.6788599999998</v>
      </c>
      <c r="I65" s="85">
        <f>STATS1003B!I65/1000</f>
        <v>0</v>
      </c>
      <c r="J65" s="85">
        <f>STATS1003B!J65/1000</f>
        <v>0</v>
      </c>
      <c r="K65" s="85">
        <f>STATS1003B!K65/1000</f>
        <v>0</v>
      </c>
      <c r="L65" s="85">
        <f>STATS1003B!L65/1000</f>
        <v>0</v>
      </c>
      <c r="M65" s="85">
        <f>STATS1003B!M65/1000</f>
        <v>1910.6788599999998</v>
      </c>
      <c r="N65" s="85">
        <f>STATS1003B!N65/1000</f>
        <v>0</v>
      </c>
      <c r="O65" s="85">
        <f>STATS1003B!O65/1000</f>
        <v>0</v>
      </c>
      <c r="P65" s="85">
        <f>STATS1003B!P65/1000</f>
        <v>0</v>
      </c>
      <c r="Q65" s="85">
        <f>STATS1003B!Q65/1000</f>
        <v>0</v>
      </c>
      <c r="R65" s="85">
        <f>STATS1003B!R65/1000</f>
        <v>0</v>
      </c>
      <c r="S65" s="85">
        <f>STATS1003B!S65/1000</f>
        <v>0</v>
      </c>
      <c r="T65" s="85">
        <f>STATS1003B!T65/1000</f>
        <v>0</v>
      </c>
      <c r="U65" s="85">
        <f>STATS1003B!U65/1000</f>
        <v>0</v>
      </c>
      <c r="V65" s="85">
        <f>STATS1003B!V65/1000</f>
        <v>1910.6788599999998</v>
      </c>
      <c r="W65" s="85">
        <f>STATS1003B!W65/1000</f>
        <v>0</v>
      </c>
      <c r="X65" s="85">
        <f t="shared" si="4"/>
        <v>1910.6788599999998</v>
      </c>
      <c r="Y65" s="85">
        <f>STATS1003B!Y65/1000</f>
        <v>0</v>
      </c>
      <c r="Z65" s="85">
        <f t="shared" si="5"/>
        <v>0</v>
      </c>
      <c r="AA65" s="69">
        <f>STATS1003B!AA65/1000</f>
        <v>1910.6788599999998</v>
      </c>
      <c r="AB65" s="69">
        <f>STATS1003B!AB65/1000</f>
        <v>0</v>
      </c>
    </row>
    <row r="66" spans="1:28" hidden="1" x14ac:dyDescent="0.3">
      <c r="A66" s="117"/>
      <c r="C66" s="68" t="s">
        <v>57</v>
      </c>
      <c r="D66" s="90" t="s">
        <v>61</v>
      </c>
      <c r="E66" s="85">
        <f>STATS1003B!E66/1000</f>
        <v>1220.2831799999999</v>
      </c>
      <c r="F66" s="85">
        <f>STATS1003B!F66/1000</f>
        <v>1220.2831799999999</v>
      </c>
      <c r="G66" s="85">
        <f>STATS1003B!G66/1000</f>
        <v>0</v>
      </c>
      <c r="H66" s="85">
        <f>STATS1003B!H66/1000</f>
        <v>1220.2831799999999</v>
      </c>
      <c r="I66" s="85">
        <f>STATS1003B!I66/1000</f>
        <v>0</v>
      </c>
      <c r="J66" s="85">
        <f>STATS1003B!J66/1000</f>
        <v>0</v>
      </c>
      <c r="K66" s="85">
        <f>STATS1003B!K66/1000</f>
        <v>0</v>
      </c>
      <c r="L66" s="85">
        <f>STATS1003B!L66/1000</f>
        <v>0</v>
      </c>
      <c r="M66" s="85">
        <f>STATS1003B!M66/1000</f>
        <v>1220.2831799999999</v>
      </c>
      <c r="N66" s="85">
        <f>STATS1003B!N66/1000</f>
        <v>0</v>
      </c>
      <c r="O66" s="85">
        <f>STATS1003B!O66/1000</f>
        <v>0</v>
      </c>
      <c r="P66" s="85">
        <f>STATS1003B!P66/1000</f>
        <v>0</v>
      </c>
      <c r="Q66" s="85">
        <f>STATS1003B!Q66/1000</f>
        <v>0</v>
      </c>
      <c r="R66" s="85">
        <f>STATS1003B!R66/1000</f>
        <v>0</v>
      </c>
      <c r="S66" s="85">
        <f>STATS1003B!S66/1000</f>
        <v>0</v>
      </c>
      <c r="T66" s="85">
        <f>STATS1003B!T66/1000</f>
        <v>0</v>
      </c>
      <c r="U66" s="85">
        <f>STATS1003B!U66/1000</f>
        <v>0</v>
      </c>
      <c r="V66" s="85">
        <f>STATS1003B!V66/1000</f>
        <v>1220.2831799999999</v>
      </c>
      <c r="W66" s="85">
        <f>STATS1003B!W66/1000</f>
        <v>0</v>
      </c>
      <c r="X66" s="85">
        <f t="shared" si="4"/>
        <v>1220.2831799999999</v>
      </c>
      <c r="Y66" s="85">
        <f>STATS1003B!Y66/1000</f>
        <v>0</v>
      </c>
      <c r="Z66" s="85">
        <f t="shared" si="5"/>
        <v>0</v>
      </c>
      <c r="AA66" s="69">
        <f>STATS1003B!AA66/1000</f>
        <v>1220.2831799999999</v>
      </c>
      <c r="AB66" s="69">
        <f>STATS1003B!AB66/1000</f>
        <v>0</v>
      </c>
    </row>
    <row r="67" spans="1:28" hidden="1" x14ac:dyDescent="0.3">
      <c r="A67" s="117"/>
      <c r="E67" s="86" t="s">
        <v>29</v>
      </c>
      <c r="F67" s="86" t="s">
        <v>29</v>
      </c>
      <c r="G67" s="86" t="s">
        <v>29</v>
      </c>
      <c r="H67" s="86" t="s">
        <v>29</v>
      </c>
      <c r="I67" s="86" t="s">
        <v>29</v>
      </c>
      <c r="J67" s="86" t="s">
        <v>29</v>
      </c>
      <c r="K67" s="86" t="s">
        <v>29</v>
      </c>
      <c r="L67" s="86" t="s">
        <v>29</v>
      </c>
      <c r="M67" s="86" t="s">
        <v>29</v>
      </c>
      <c r="N67" s="86" t="s">
        <v>29</v>
      </c>
      <c r="O67" s="86" t="s">
        <v>29</v>
      </c>
      <c r="P67" s="86" t="s">
        <v>29</v>
      </c>
      <c r="Q67" s="86" t="s">
        <v>29</v>
      </c>
      <c r="R67" s="86" t="s">
        <v>29</v>
      </c>
      <c r="S67" s="86" t="s">
        <v>29</v>
      </c>
      <c r="T67" s="86" t="s">
        <v>29</v>
      </c>
      <c r="U67" s="86" t="s">
        <v>29</v>
      </c>
      <c r="V67" s="86" t="s">
        <v>29</v>
      </c>
      <c r="W67" s="86" t="s">
        <v>29</v>
      </c>
      <c r="X67" s="85" t="e">
        <f t="shared" si="4"/>
        <v>#VALUE!</v>
      </c>
      <c r="Y67" s="86" t="s">
        <v>29</v>
      </c>
      <c r="Z67" s="85" t="e">
        <f t="shared" si="5"/>
        <v>#VALUE!</v>
      </c>
      <c r="AA67" s="115" t="s">
        <v>29</v>
      </c>
      <c r="AB67" s="115" t="s">
        <v>29</v>
      </c>
    </row>
    <row r="68" spans="1:28" x14ac:dyDescent="0.3">
      <c r="A68" s="119" t="s">
        <v>936</v>
      </c>
      <c r="B68" s="68" t="s">
        <v>74</v>
      </c>
      <c r="E68" s="85">
        <f>135798674.57/1000</f>
        <v>135798.67457</v>
      </c>
      <c r="F68" s="85">
        <f>SUM(F49:F66)</f>
        <v>52370.175060000001</v>
      </c>
      <c r="G68" s="85">
        <f>SUM(G49:G66)</f>
        <v>0</v>
      </c>
      <c r="H68" s="85">
        <f>119792227.09/1000</f>
        <v>119792.22709</v>
      </c>
      <c r="I68" s="85">
        <f t="shared" ref="I68:O68" si="6">SUM(I49:I66)</f>
        <v>0</v>
      </c>
      <c r="J68" s="85">
        <f t="shared" si="6"/>
        <v>0</v>
      </c>
      <c r="K68" s="85">
        <f t="shared" si="6"/>
        <v>0</v>
      </c>
      <c r="L68" s="85">
        <f t="shared" si="6"/>
        <v>0</v>
      </c>
      <c r="M68" s="85">
        <f t="shared" si="6"/>
        <v>52370.175060000001</v>
      </c>
      <c r="N68" s="85">
        <f t="shared" si="6"/>
        <v>14523.77937</v>
      </c>
      <c r="O68" s="85">
        <f t="shared" si="6"/>
        <v>0</v>
      </c>
      <c r="P68" s="85">
        <f>14523779/1000</f>
        <v>14523.779</v>
      </c>
      <c r="Q68" s="85">
        <f t="shared" ref="Q68:W68" si="7">SUM(Q49:Q66)</f>
        <v>0</v>
      </c>
      <c r="R68" s="85">
        <f t="shared" si="7"/>
        <v>0</v>
      </c>
      <c r="S68" s="85">
        <f t="shared" si="7"/>
        <v>0</v>
      </c>
      <c r="T68" s="85">
        <f t="shared" si="7"/>
        <v>0</v>
      </c>
      <c r="U68" s="85">
        <f t="shared" si="7"/>
        <v>14523.77937</v>
      </c>
      <c r="V68" s="85">
        <f t="shared" si="7"/>
        <v>66893.954429999998</v>
      </c>
      <c r="W68" s="85">
        <f t="shared" si="7"/>
        <v>1482.6681099999994</v>
      </c>
      <c r="X68" s="85">
        <f t="shared" si="4"/>
        <v>134316.00609000001</v>
      </c>
      <c r="Y68" s="85">
        <f>SUM(Y49:Y66)</f>
        <v>0</v>
      </c>
      <c r="Z68" s="85">
        <f t="shared" si="5"/>
        <v>1482.668479999993</v>
      </c>
      <c r="AA68" s="69">
        <f>SUM(AA49:AA66)</f>
        <v>66893.954429999998</v>
      </c>
      <c r="AB68" s="69">
        <f>SUM(AB49:AB66)</f>
        <v>1482.6681099999994</v>
      </c>
    </row>
    <row r="69" spans="1:28" ht="20.25" hidden="1" customHeight="1" x14ac:dyDescent="0.3">
      <c r="A69" s="117"/>
      <c r="E69" s="86" t="s">
        <v>29</v>
      </c>
      <c r="F69" s="86" t="s">
        <v>29</v>
      </c>
      <c r="G69" s="86" t="s">
        <v>29</v>
      </c>
      <c r="H69" s="86" t="s">
        <v>29</v>
      </c>
      <c r="I69" s="86" t="s">
        <v>29</v>
      </c>
      <c r="J69" s="86" t="s">
        <v>29</v>
      </c>
      <c r="K69" s="86" t="s">
        <v>29</v>
      </c>
      <c r="L69" s="86" t="s">
        <v>29</v>
      </c>
      <c r="M69" s="86" t="s">
        <v>29</v>
      </c>
      <c r="N69" s="86" t="s">
        <v>29</v>
      </c>
      <c r="O69" s="86" t="s">
        <v>29</v>
      </c>
      <c r="P69" s="86" t="s">
        <v>29</v>
      </c>
      <c r="Q69" s="86" t="s">
        <v>29</v>
      </c>
      <c r="R69" s="86" t="s">
        <v>29</v>
      </c>
      <c r="S69" s="86" t="s">
        <v>29</v>
      </c>
      <c r="T69" s="86" t="s">
        <v>29</v>
      </c>
      <c r="U69" s="86" t="s">
        <v>29</v>
      </c>
      <c r="V69" s="86" t="s">
        <v>29</v>
      </c>
      <c r="W69" s="86" t="s">
        <v>29</v>
      </c>
      <c r="X69" s="85" t="e">
        <f t="shared" si="4"/>
        <v>#VALUE!</v>
      </c>
      <c r="Y69" s="86" t="s">
        <v>29</v>
      </c>
      <c r="Z69" s="85" t="e">
        <f t="shared" si="5"/>
        <v>#VALUE!</v>
      </c>
      <c r="AA69" s="115" t="s">
        <v>29</v>
      </c>
      <c r="AB69" s="115" t="s">
        <v>29</v>
      </c>
    </row>
    <row r="70" spans="1:28" ht="20.25" hidden="1" customHeight="1" x14ac:dyDescent="0.3">
      <c r="A70" s="105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5">
        <f t="shared" si="4"/>
        <v>0</v>
      </c>
      <c r="Y70" s="84"/>
      <c r="Z70" s="85">
        <f t="shared" si="5"/>
        <v>0</v>
      </c>
      <c r="AA70" s="118"/>
    </row>
    <row r="71" spans="1:28" ht="20.25" hidden="1" customHeight="1" x14ac:dyDescent="0.3">
      <c r="A71" s="117"/>
      <c r="C71" s="68" t="s">
        <v>75</v>
      </c>
      <c r="D71" s="88" t="s">
        <v>76</v>
      </c>
      <c r="E71" s="85">
        <f>STATS1003B!E71/1000</f>
        <v>898</v>
      </c>
      <c r="F71" s="85">
        <f>STATS1003B!F71/1000</f>
        <v>0</v>
      </c>
      <c r="G71" s="85">
        <f>STATS1003B!G71/1000</f>
        <v>0</v>
      </c>
      <c r="H71" s="85">
        <f>STATS1003B!H71/1000</f>
        <v>0</v>
      </c>
      <c r="I71" s="85">
        <f>STATS1003B!I71/1000</f>
        <v>0</v>
      </c>
      <c r="J71" s="85">
        <f>STATS1003B!J71/1000</f>
        <v>0</v>
      </c>
      <c r="K71" s="85">
        <f>STATS1003B!K71/1000</f>
        <v>0</v>
      </c>
      <c r="L71" s="85">
        <f>STATS1003B!L71/1000</f>
        <v>0</v>
      </c>
      <c r="M71" s="85">
        <f>STATS1003B!M71/1000</f>
        <v>0</v>
      </c>
      <c r="N71" s="85">
        <f>STATS1003B!N71/1000</f>
        <v>650.63790000000006</v>
      </c>
      <c r="O71" s="85">
        <f>STATS1003B!O71/1000</f>
        <v>0</v>
      </c>
      <c r="P71" s="85">
        <f>STATS1003B!P71/1000</f>
        <v>650.63790000000006</v>
      </c>
      <c r="Q71" s="85">
        <f>STATS1003B!Q71/1000</f>
        <v>0</v>
      </c>
      <c r="R71" s="85">
        <f>STATS1003B!R71/1000</f>
        <v>0</v>
      </c>
      <c r="S71" s="85">
        <f>STATS1003B!S71/1000</f>
        <v>0</v>
      </c>
      <c r="T71" s="85">
        <f>STATS1003B!T71/1000</f>
        <v>0</v>
      </c>
      <c r="U71" s="85">
        <f>STATS1003B!U71/1000</f>
        <v>650.63790000000006</v>
      </c>
      <c r="V71" s="85">
        <f>STATS1003B!V71/1000</f>
        <v>650.63790000000006</v>
      </c>
      <c r="W71" s="85">
        <f>STATS1003B!W71/1000</f>
        <v>247.36209999999997</v>
      </c>
      <c r="X71" s="85">
        <f t="shared" si="4"/>
        <v>650.63790000000006</v>
      </c>
      <c r="Y71" s="85">
        <f>STATS1003B!Y71/1000</f>
        <v>0</v>
      </c>
      <c r="Z71" s="85">
        <f t="shared" si="5"/>
        <v>247.36209999999994</v>
      </c>
      <c r="AA71" s="69">
        <f>STATS1003B!AA71/1000</f>
        <v>650.63790000000006</v>
      </c>
      <c r="AB71" s="69">
        <f>STATS1003B!AB71/1000</f>
        <v>247.36209999999997</v>
      </c>
    </row>
    <row r="72" spans="1:28" ht="20.25" hidden="1" customHeight="1" x14ac:dyDescent="0.3">
      <c r="A72" s="117"/>
      <c r="C72" s="71" t="s">
        <v>77</v>
      </c>
      <c r="D72" s="88" t="s">
        <v>78</v>
      </c>
      <c r="E72" s="85">
        <f>STATS1003B!E72/1000</f>
        <v>6290.6516300000003</v>
      </c>
      <c r="F72" s="85">
        <f>STATS1003B!F72/1000</f>
        <v>4285.2911699999995</v>
      </c>
      <c r="G72" s="85">
        <f>STATS1003B!G72/1000</f>
        <v>0</v>
      </c>
      <c r="H72" s="85">
        <f>STATS1003B!H72/1000</f>
        <v>4285.2911699999995</v>
      </c>
      <c r="I72" s="85">
        <f>STATS1003B!I72/1000</f>
        <v>0</v>
      </c>
      <c r="J72" s="85">
        <f>STATS1003B!J72/1000</f>
        <v>0</v>
      </c>
      <c r="K72" s="85">
        <f>STATS1003B!K72/1000</f>
        <v>0</v>
      </c>
      <c r="L72" s="85">
        <f>STATS1003B!L72/1000</f>
        <v>0</v>
      </c>
      <c r="M72" s="85">
        <f>STATS1003B!M72/1000</f>
        <v>4285.2911699999995</v>
      </c>
      <c r="N72" s="85">
        <f>STATS1003B!N72/1000</f>
        <v>2005.3604599999999</v>
      </c>
      <c r="O72" s="85">
        <f>STATS1003B!O72/1000</f>
        <v>0</v>
      </c>
      <c r="P72" s="85">
        <f>STATS1003B!P72/1000</f>
        <v>2005.3604599999999</v>
      </c>
      <c r="Q72" s="85">
        <f>STATS1003B!Q72/1000</f>
        <v>0</v>
      </c>
      <c r="R72" s="85">
        <f>STATS1003B!R72/1000</f>
        <v>0</v>
      </c>
      <c r="S72" s="85">
        <f>STATS1003B!S72/1000</f>
        <v>0</v>
      </c>
      <c r="T72" s="85">
        <f>STATS1003B!T72/1000</f>
        <v>0</v>
      </c>
      <c r="U72" s="85">
        <f>STATS1003B!U72/1000</f>
        <v>2005.3604599999999</v>
      </c>
      <c r="V72" s="85">
        <f>STATS1003B!V72/1000</f>
        <v>6290.6516300000003</v>
      </c>
      <c r="W72" s="85">
        <f>STATS1003B!W72/1000</f>
        <v>0</v>
      </c>
      <c r="X72" s="85">
        <f t="shared" si="4"/>
        <v>6290.6516299999994</v>
      </c>
      <c r="Y72" s="85">
        <f>STATS1003B!Y72/1000</f>
        <v>0</v>
      </c>
      <c r="Z72" s="85">
        <f t="shared" si="5"/>
        <v>0</v>
      </c>
      <c r="AA72" s="69">
        <f>STATS1003B!AA72/1000</f>
        <v>6290.6516300000003</v>
      </c>
      <c r="AB72" s="69">
        <f>STATS1003B!AB72/1000</f>
        <v>0</v>
      </c>
    </row>
    <row r="73" spans="1:28" ht="20.25" hidden="1" customHeight="1" x14ac:dyDescent="0.3">
      <c r="A73" s="117"/>
      <c r="C73" s="68" t="s">
        <v>92</v>
      </c>
      <c r="D73" s="87" t="s">
        <v>79</v>
      </c>
      <c r="E73" s="85">
        <f>STATS1003B!E73/1000</f>
        <v>18905.708600000002</v>
      </c>
      <c r="F73" s="85">
        <f>STATS1003B!F73/1000</f>
        <v>10447.9766</v>
      </c>
      <c r="G73" s="85">
        <f>STATS1003B!G73/1000</f>
        <v>0</v>
      </c>
      <c r="H73" s="85">
        <f>STATS1003B!H73/1000</f>
        <v>10447.9766</v>
      </c>
      <c r="I73" s="85">
        <f>STATS1003B!I73/1000</f>
        <v>0</v>
      </c>
      <c r="J73" s="85">
        <f>STATS1003B!J73/1000</f>
        <v>0</v>
      </c>
      <c r="K73" s="85">
        <f>STATS1003B!K73/1000</f>
        <v>0</v>
      </c>
      <c r="L73" s="85">
        <f>STATS1003B!L73/1000</f>
        <v>0</v>
      </c>
      <c r="M73" s="85">
        <f>STATS1003B!M73/1000</f>
        <v>10447.9766</v>
      </c>
      <c r="N73" s="85">
        <f>STATS1003B!N73/1000</f>
        <v>8457.732</v>
      </c>
      <c r="O73" s="85">
        <f>STATS1003B!O73/1000</f>
        <v>0</v>
      </c>
      <c r="P73" s="85">
        <f>STATS1003B!P73/1000</f>
        <v>8457.732</v>
      </c>
      <c r="Q73" s="85">
        <f>STATS1003B!Q73/1000</f>
        <v>0</v>
      </c>
      <c r="R73" s="85">
        <f>STATS1003B!R73/1000</f>
        <v>0</v>
      </c>
      <c r="S73" s="85">
        <f>STATS1003B!S73/1000</f>
        <v>0</v>
      </c>
      <c r="T73" s="85">
        <f>STATS1003B!T73/1000</f>
        <v>0</v>
      </c>
      <c r="U73" s="85">
        <f>STATS1003B!U73/1000</f>
        <v>8457.732</v>
      </c>
      <c r="V73" s="85">
        <f>STATS1003B!V73/1000</f>
        <v>18905.708600000002</v>
      </c>
      <c r="W73" s="85">
        <f>STATS1003B!W73/1000</f>
        <v>0</v>
      </c>
      <c r="X73" s="85">
        <f t="shared" si="4"/>
        <v>18905.708599999998</v>
      </c>
      <c r="Y73" s="85">
        <f>STATS1003B!Y73/1000</f>
        <v>0</v>
      </c>
      <c r="Z73" s="85">
        <f t="shared" si="5"/>
        <v>0</v>
      </c>
      <c r="AA73" s="69">
        <f>STATS1003B!AA73/1000</f>
        <v>18905.708600000002</v>
      </c>
      <c r="AB73" s="69">
        <f>STATS1003B!AB73/1000</f>
        <v>0</v>
      </c>
    </row>
    <row r="74" spans="1:28" ht="20.25" hidden="1" customHeight="1" x14ac:dyDescent="0.3">
      <c r="A74" s="117"/>
      <c r="D74" s="71" t="s">
        <v>80</v>
      </c>
      <c r="E74" s="85">
        <f>STATS1003B!E74/1000</f>
        <v>0</v>
      </c>
      <c r="F74" s="85">
        <f>STATS1003B!F74/1000</f>
        <v>0</v>
      </c>
      <c r="G74" s="85">
        <f>STATS1003B!G74/1000</f>
        <v>0</v>
      </c>
      <c r="H74" s="85">
        <f>STATS1003B!H74/1000</f>
        <v>0</v>
      </c>
      <c r="I74" s="85">
        <f>STATS1003B!I74/1000</f>
        <v>0</v>
      </c>
      <c r="J74" s="85">
        <f>STATS1003B!J74/1000</f>
        <v>0</v>
      </c>
      <c r="K74" s="85">
        <f>STATS1003B!K74/1000</f>
        <v>0</v>
      </c>
      <c r="L74" s="85">
        <f>STATS1003B!L74/1000</f>
        <v>0</v>
      </c>
      <c r="M74" s="85">
        <f>STATS1003B!M74/1000</f>
        <v>0</v>
      </c>
      <c r="N74" s="85">
        <f>STATS1003B!N74/1000</f>
        <v>0</v>
      </c>
      <c r="O74" s="85">
        <f>STATS1003B!O74/1000</f>
        <v>0</v>
      </c>
      <c r="P74" s="85">
        <f>STATS1003B!P74/1000</f>
        <v>0</v>
      </c>
      <c r="Q74" s="85">
        <f>STATS1003B!Q74/1000</f>
        <v>0</v>
      </c>
      <c r="R74" s="85">
        <f>STATS1003B!R74/1000</f>
        <v>0</v>
      </c>
      <c r="S74" s="85">
        <f>STATS1003B!S74/1000</f>
        <v>0</v>
      </c>
      <c r="T74" s="85">
        <f>STATS1003B!T74/1000</f>
        <v>0</v>
      </c>
      <c r="U74" s="85">
        <f>STATS1003B!U74/1000</f>
        <v>0</v>
      </c>
      <c r="V74" s="85">
        <f>STATS1003B!V74/1000</f>
        <v>0</v>
      </c>
      <c r="W74" s="85">
        <f>STATS1003B!W74/1000</f>
        <v>0</v>
      </c>
      <c r="X74" s="85">
        <f t="shared" si="4"/>
        <v>0</v>
      </c>
      <c r="Y74" s="85">
        <f>STATS1003B!Y74/1000</f>
        <v>0</v>
      </c>
      <c r="Z74" s="85">
        <f t="shared" si="5"/>
        <v>0</v>
      </c>
      <c r="AA74" s="69">
        <f>STATS1003B!AA74/1000</f>
        <v>0</v>
      </c>
      <c r="AB74" s="69">
        <f>STATS1003B!AB74/1000</f>
        <v>0</v>
      </c>
    </row>
    <row r="75" spans="1:28" ht="20.25" hidden="1" customHeight="1" x14ac:dyDescent="0.3">
      <c r="A75" s="117"/>
      <c r="C75" s="68" t="s">
        <v>81</v>
      </c>
      <c r="D75" s="87" t="s">
        <v>78</v>
      </c>
      <c r="E75" s="85">
        <f>STATS1003B!E75/1000</f>
        <v>1000</v>
      </c>
      <c r="F75" s="85">
        <f>STATS1003B!F75/1000</f>
        <v>1000</v>
      </c>
      <c r="G75" s="85">
        <f>STATS1003B!G75/1000</f>
        <v>0</v>
      </c>
      <c r="H75" s="85">
        <f>STATS1003B!H75/1000</f>
        <v>1000</v>
      </c>
      <c r="I75" s="85">
        <f>STATS1003B!I75/1000</f>
        <v>0</v>
      </c>
      <c r="J75" s="85">
        <f>STATS1003B!J75/1000</f>
        <v>0</v>
      </c>
      <c r="K75" s="85">
        <f>STATS1003B!K75/1000</f>
        <v>0</v>
      </c>
      <c r="L75" s="85">
        <f>STATS1003B!L75/1000</f>
        <v>0</v>
      </c>
      <c r="M75" s="85">
        <f>STATS1003B!M75/1000</f>
        <v>1000</v>
      </c>
      <c r="N75" s="85">
        <f>STATS1003B!N75/1000</f>
        <v>0</v>
      </c>
      <c r="O75" s="85">
        <f>STATS1003B!O75/1000</f>
        <v>0</v>
      </c>
      <c r="P75" s="85">
        <f>STATS1003B!P75/1000</f>
        <v>0</v>
      </c>
      <c r="Q75" s="85">
        <f>STATS1003B!Q75/1000</f>
        <v>0</v>
      </c>
      <c r="R75" s="85">
        <f>STATS1003B!R75/1000</f>
        <v>0</v>
      </c>
      <c r="S75" s="85">
        <f>STATS1003B!S75/1000</f>
        <v>0</v>
      </c>
      <c r="T75" s="85">
        <f>STATS1003B!T75/1000</f>
        <v>0</v>
      </c>
      <c r="U75" s="85">
        <f>STATS1003B!U75/1000</f>
        <v>0</v>
      </c>
      <c r="V75" s="85">
        <f>STATS1003B!V75/1000</f>
        <v>1000</v>
      </c>
      <c r="W75" s="85">
        <f>STATS1003B!W75/1000</f>
        <v>0</v>
      </c>
      <c r="X75" s="85">
        <f t="shared" si="4"/>
        <v>1000</v>
      </c>
      <c r="Y75" s="85">
        <f>STATS1003B!Y75/1000</f>
        <v>0</v>
      </c>
      <c r="Z75" s="85">
        <f t="shared" si="5"/>
        <v>0</v>
      </c>
      <c r="AA75" s="69">
        <f>STATS1003B!AA75/1000</f>
        <v>1000</v>
      </c>
      <c r="AB75" s="69">
        <f>STATS1003B!AB75/1000</f>
        <v>0</v>
      </c>
    </row>
    <row r="76" spans="1:28" ht="20.25" hidden="1" customHeight="1" x14ac:dyDescent="0.3">
      <c r="A76" s="117"/>
      <c r="C76" s="68" t="s">
        <v>55</v>
      </c>
      <c r="D76" s="87" t="s">
        <v>93</v>
      </c>
      <c r="E76" s="85">
        <f>STATS1003B!E76/1000</f>
        <v>6056.8585000000003</v>
      </c>
      <c r="F76" s="85">
        <f>STATS1003B!F76/1000</f>
        <v>0</v>
      </c>
      <c r="G76" s="85">
        <f>STATS1003B!G76/1000</f>
        <v>0</v>
      </c>
      <c r="H76" s="85">
        <f>STATS1003B!H76/1000</f>
        <v>0</v>
      </c>
      <c r="I76" s="85">
        <f>STATS1003B!I76/1000</f>
        <v>0</v>
      </c>
      <c r="J76" s="85">
        <f>STATS1003B!J76/1000</f>
        <v>0</v>
      </c>
      <c r="K76" s="85">
        <f>STATS1003B!K76/1000</f>
        <v>0</v>
      </c>
      <c r="L76" s="85">
        <f>STATS1003B!L76/1000</f>
        <v>0</v>
      </c>
      <c r="M76" s="85">
        <f>STATS1003B!M76/1000</f>
        <v>0</v>
      </c>
      <c r="N76" s="85">
        <f>STATS1003B!N76/1000</f>
        <v>6056.8585000000003</v>
      </c>
      <c r="O76" s="85">
        <f>STATS1003B!O76/1000</f>
        <v>0</v>
      </c>
      <c r="P76" s="85">
        <f>STATS1003B!P76/1000</f>
        <v>6056.8585000000003</v>
      </c>
      <c r="Q76" s="85">
        <f>STATS1003B!Q76/1000</f>
        <v>0</v>
      </c>
      <c r="R76" s="85">
        <f>STATS1003B!R76/1000</f>
        <v>0</v>
      </c>
      <c r="S76" s="85">
        <f>STATS1003B!S76/1000</f>
        <v>0</v>
      </c>
      <c r="T76" s="85">
        <f>STATS1003B!T76/1000</f>
        <v>0</v>
      </c>
      <c r="U76" s="85">
        <f>STATS1003B!U76/1000</f>
        <v>6056.8585000000003</v>
      </c>
      <c r="V76" s="85">
        <f>STATS1003B!V76/1000</f>
        <v>6056.8585000000003</v>
      </c>
      <c r="W76" s="85">
        <f>STATS1003B!W76/1000</f>
        <v>0</v>
      </c>
      <c r="X76" s="85">
        <f t="shared" si="4"/>
        <v>6056.8585000000003</v>
      </c>
      <c r="Y76" s="85">
        <f>STATS1003B!Y76/1000</f>
        <v>0</v>
      </c>
      <c r="Z76" s="85">
        <f t="shared" si="5"/>
        <v>0</v>
      </c>
      <c r="AA76" s="69">
        <f>STATS1003B!AA76/1000</f>
        <v>6056.8585000000003</v>
      </c>
      <c r="AB76" s="69">
        <f>STATS1003B!AB76/1000</f>
        <v>0</v>
      </c>
    </row>
    <row r="77" spans="1:28" ht="20.25" hidden="1" customHeight="1" x14ac:dyDescent="0.3">
      <c r="A77" s="117"/>
      <c r="C77" s="68" t="s">
        <v>53</v>
      </c>
      <c r="D77" s="87" t="s">
        <v>68</v>
      </c>
      <c r="E77" s="85">
        <f>STATS1003B!E77/1000</f>
        <v>1953.989</v>
      </c>
      <c r="F77" s="85">
        <f>STATS1003B!F77/1000</f>
        <v>0</v>
      </c>
      <c r="G77" s="85">
        <f>STATS1003B!G77/1000</f>
        <v>0</v>
      </c>
      <c r="H77" s="85">
        <f>STATS1003B!H77/1000</f>
        <v>0</v>
      </c>
      <c r="I77" s="85">
        <f>STATS1003B!I77/1000</f>
        <v>0</v>
      </c>
      <c r="J77" s="85">
        <f>STATS1003B!J77/1000</f>
        <v>0</v>
      </c>
      <c r="K77" s="85">
        <f>STATS1003B!K77/1000</f>
        <v>0</v>
      </c>
      <c r="L77" s="85">
        <f>STATS1003B!L77/1000</f>
        <v>0</v>
      </c>
      <c r="M77" s="85">
        <f>STATS1003B!M77/1000</f>
        <v>0</v>
      </c>
      <c r="N77" s="85">
        <f>STATS1003B!N77/1000</f>
        <v>1953.989</v>
      </c>
      <c r="O77" s="85">
        <f>STATS1003B!O77/1000</f>
        <v>0</v>
      </c>
      <c r="P77" s="85">
        <f>STATS1003B!P77/1000</f>
        <v>1953.989</v>
      </c>
      <c r="Q77" s="85">
        <f>STATS1003B!Q77/1000</f>
        <v>0</v>
      </c>
      <c r="R77" s="85">
        <f>STATS1003B!R77/1000</f>
        <v>0</v>
      </c>
      <c r="S77" s="85">
        <f>STATS1003B!S77/1000</f>
        <v>0</v>
      </c>
      <c r="T77" s="85">
        <f>STATS1003B!T77/1000</f>
        <v>0</v>
      </c>
      <c r="U77" s="85">
        <f>STATS1003B!U77/1000</f>
        <v>1953.989</v>
      </c>
      <c r="V77" s="85">
        <f>STATS1003B!V77/1000</f>
        <v>1953.989</v>
      </c>
      <c r="W77" s="85">
        <f>STATS1003B!W77/1000</f>
        <v>0</v>
      </c>
      <c r="X77" s="85">
        <f t="shared" si="4"/>
        <v>1953.989</v>
      </c>
      <c r="Y77" s="85">
        <f>STATS1003B!Y77/1000</f>
        <v>0</v>
      </c>
      <c r="Z77" s="85">
        <f t="shared" si="5"/>
        <v>0</v>
      </c>
      <c r="AA77" s="69">
        <f>STATS1003B!AA77/1000</f>
        <v>1953.989</v>
      </c>
      <c r="AB77" s="69">
        <f>STATS1003B!AB77/1000</f>
        <v>0</v>
      </c>
    </row>
    <row r="78" spans="1:28" ht="20.25" hidden="1" customHeight="1" x14ac:dyDescent="0.3">
      <c r="A78" s="117"/>
      <c r="C78" s="68" t="s">
        <v>94</v>
      </c>
      <c r="D78" s="87" t="s">
        <v>85</v>
      </c>
      <c r="E78" s="85">
        <f>STATS1003B!E78/1000</f>
        <v>846</v>
      </c>
      <c r="F78" s="85">
        <f>STATS1003B!F78/1000</f>
        <v>846</v>
      </c>
      <c r="G78" s="85">
        <f>STATS1003B!G78/1000</f>
        <v>0</v>
      </c>
      <c r="H78" s="85">
        <f>STATS1003B!H78/1000</f>
        <v>846</v>
      </c>
      <c r="I78" s="85">
        <f>STATS1003B!I78/1000</f>
        <v>0</v>
      </c>
      <c r="J78" s="85">
        <f>STATS1003B!J78/1000</f>
        <v>0</v>
      </c>
      <c r="K78" s="85">
        <f>STATS1003B!K78/1000</f>
        <v>0</v>
      </c>
      <c r="L78" s="85">
        <f>STATS1003B!L78/1000</f>
        <v>0</v>
      </c>
      <c r="M78" s="85">
        <f>STATS1003B!M78/1000</f>
        <v>846</v>
      </c>
      <c r="N78" s="85">
        <f>STATS1003B!N78/1000</f>
        <v>0</v>
      </c>
      <c r="O78" s="85">
        <f>STATS1003B!O78/1000</f>
        <v>0</v>
      </c>
      <c r="P78" s="85">
        <f>STATS1003B!P78/1000</f>
        <v>0</v>
      </c>
      <c r="Q78" s="85">
        <f>STATS1003B!Q78/1000</f>
        <v>0</v>
      </c>
      <c r="R78" s="85">
        <f>STATS1003B!R78/1000</f>
        <v>0</v>
      </c>
      <c r="S78" s="85">
        <f>STATS1003B!S78/1000</f>
        <v>0</v>
      </c>
      <c r="T78" s="85">
        <f>STATS1003B!T78/1000</f>
        <v>0</v>
      </c>
      <c r="U78" s="85">
        <f>STATS1003B!U78/1000</f>
        <v>0</v>
      </c>
      <c r="V78" s="85">
        <f>STATS1003B!V78/1000</f>
        <v>846</v>
      </c>
      <c r="W78" s="85">
        <f>STATS1003B!W78/1000</f>
        <v>0</v>
      </c>
      <c r="X78" s="85">
        <f t="shared" si="4"/>
        <v>846</v>
      </c>
      <c r="Y78" s="85">
        <f>STATS1003B!Y78/1000</f>
        <v>0</v>
      </c>
      <c r="Z78" s="85">
        <f t="shared" si="5"/>
        <v>0</v>
      </c>
      <c r="AA78" s="69">
        <f>STATS1003B!AA78/1000</f>
        <v>846</v>
      </c>
      <c r="AB78" s="69">
        <f>STATS1003B!AB78/1000</f>
        <v>0</v>
      </c>
    </row>
    <row r="79" spans="1:28" ht="20.25" hidden="1" customHeight="1" x14ac:dyDescent="0.3">
      <c r="A79" s="117"/>
      <c r="C79" s="68" t="s">
        <v>86</v>
      </c>
      <c r="D79" s="87" t="s">
        <v>85</v>
      </c>
      <c r="E79" s="85">
        <f>STATS1003B!E79/1000</f>
        <v>0</v>
      </c>
      <c r="F79" s="85">
        <f>STATS1003B!F79/1000</f>
        <v>0</v>
      </c>
      <c r="G79" s="85">
        <f>STATS1003B!G79/1000</f>
        <v>0</v>
      </c>
      <c r="H79" s="85">
        <f>STATS1003B!H79/1000</f>
        <v>0</v>
      </c>
      <c r="I79" s="85">
        <f>STATS1003B!I79/1000</f>
        <v>0</v>
      </c>
      <c r="J79" s="85">
        <f>STATS1003B!J79/1000</f>
        <v>0</v>
      </c>
      <c r="K79" s="85">
        <f>STATS1003B!K79/1000</f>
        <v>0</v>
      </c>
      <c r="L79" s="85">
        <f>STATS1003B!L79/1000</f>
        <v>0</v>
      </c>
      <c r="M79" s="85">
        <f>STATS1003B!M79/1000</f>
        <v>0</v>
      </c>
      <c r="N79" s="85">
        <f>STATS1003B!N79/1000</f>
        <v>0</v>
      </c>
      <c r="O79" s="85">
        <f>STATS1003B!O79/1000</f>
        <v>0</v>
      </c>
      <c r="P79" s="85">
        <f>STATS1003B!P79/1000</f>
        <v>0</v>
      </c>
      <c r="Q79" s="85">
        <f>STATS1003B!Q79/1000</f>
        <v>0</v>
      </c>
      <c r="R79" s="85">
        <f>STATS1003B!R79/1000</f>
        <v>0</v>
      </c>
      <c r="S79" s="85">
        <f>STATS1003B!S79/1000</f>
        <v>0</v>
      </c>
      <c r="T79" s="85">
        <f>STATS1003B!T79/1000</f>
        <v>0</v>
      </c>
      <c r="U79" s="85">
        <f>STATS1003B!U79/1000</f>
        <v>0</v>
      </c>
      <c r="V79" s="85">
        <f>STATS1003B!V79/1000</f>
        <v>0</v>
      </c>
      <c r="W79" s="85">
        <f>STATS1003B!W79/1000</f>
        <v>0</v>
      </c>
      <c r="X79" s="85">
        <f t="shared" si="4"/>
        <v>0</v>
      </c>
      <c r="Y79" s="85">
        <f>STATS1003B!Y79/1000</f>
        <v>0</v>
      </c>
      <c r="Z79" s="85">
        <f t="shared" si="5"/>
        <v>0</v>
      </c>
      <c r="AA79" s="69">
        <f>STATS1003B!AA79/1000</f>
        <v>0</v>
      </c>
      <c r="AB79" s="69">
        <f>STATS1003B!AB79/1000</f>
        <v>0</v>
      </c>
    </row>
    <row r="80" spans="1:28" ht="20.25" hidden="1" customHeight="1" x14ac:dyDescent="0.3">
      <c r="A80" s="117"/>
      <c r="C80" s="68" t="s">
        <v>57</v>
      </c>
      <c r="D80" s="87" t="s">
        <v>58</v>
      </c>
      <c r="E80" s="85">
        <f>STATS1003B!E80/1000</f>
        <v>3155.145</v>
      </c>
      <c r="F80" s="85">
        <f>STATS1003B!F80/1000</f>
        <v>3155.145</v>
      </c>
      <c r="G80" s="85">
        <f>STATS1003B!G80/1000</f>
        <v>0</v>
      </c>
      <c r="H80" s="85">
        <f>STATS1003B!H80/1000</f>
        <v>3155.145</v>
      </c>
      <c r="I80" s="85">
        <f>STATS1003B!I80/1000</f>
        <v>0</v>
      </c>
      <c r="J80" s="85">
        <f>STATS1003B!J80/1000</f>
        <v>0</v>
      </c>
      <c r="K80" s="85">
        <f>STATS1003B!K80/1000</f>
        <v>0</v>
      </c>
      <c r="L80" s="85">
        <f>STATS1003B!L80/1000</f>
        <v>0</v>
      </c>
      <c r="M80" s="85">
        <f>STATS1003B!M80/1000</f>
        <v>3155.145</v>
      </c>
      <c r="N80" s="85">
        <f>STATS1003B!N80/1000</f>
        <v>0</v>
      </c>
      <c r="O80" s="85">
        <f>STATS1003B!O80/1000</f>
        <v>0</v>
      </c>
      <c r="P80" s="85">
        <f>STATS1003B!P80/1000</f>
        <v>0</v>
      </c>
      <c r="Q80" s="85">
        <f>STATS1003B!Q80/1000</f>
        <v>0</v>
      </c>
      <c r="R80" s="85">
        <f>STATS1003B!R80/1000</f>
        <v>0</v>
      </c>
      <c r="S80" s="85">
        <f>STATS1003B!S80/1000</f>
        <v>0</v>
      </c>
      <c r="T80" s="85">
        <f>STATS1003B!T80/1000</f>
        <v>0</v>
      </c>
      <c r="U80" s="85">
        <f>STATS1003B!U80/1000</f>
        <v>0</v>
      </c>
      <c r="V80" s="85">
        <f>STATS1003B!V80/1000</f>
        <v>3155.145</v>
      </c>
      <c r="W80" s="85">
        <f>STATS1003B!W80/1000</f>
        <v>0</v>
      </c>
      <c r="X80" s="85">
        <f t="shared" si="4"/>
        <v>3155.145</v>
      </c>
      <c r="Y80" s="85">
        <f>STATS1003B!Y80/1000</f>
        <v>0</v>
      </c>
      <c r="Z80" s="85">
        <f t="shared" si="5"/>
        <v>0</v>
      </c>
      <c r="AA80" s="69">
        <f>STATS1003B!AA80/1000</f>
        <v>3155.145</v>
      </c>
      <c r="AB80" s="69">
        <f>STATS1003B!AB80/1000</f>
        <v>0</v>
      </c>
    </row>
    <row r="81" spans="1:28" ht="20.25" hidden="1" customHeight="1" x14ac:dyDescent="0.3">
      <c r="A81" s="117"/>
      <c r="C81" s="68" t="s">
        <v>57</v>
      </c>
      <c r="D81" s="87" t="s">
        <v>60</v>
      </c>
      <c r="E81" s="85">
        <f>STATS1003B!E81/1000</f>
        <v>3500</v>
      </c>
      <c r="F81" s="85">
        <f>STATS1003B!F81/1000</f>
        <v>3500</v>
      </c>
      <c r="G81" s="85">
        <f>STATS1003B!G81/1000</f>
        <v>0</v>
      </c>
      <c r="H81" s="85">
        <f>STATS1003B!H81/1000</f>
        <v>3500</v>
      </c>
      <c r="I81" s="85">
        <f>STATS1003B!I81/1000</f>
        <v>0</v>
      </c>
      <c r="J81" s="85">
        <f>STATS1003B!J81/1000</f>
        <v>0</v>
      </c>
      <c r="K81" s="85">
        <f>STATS1003B!K81/1000</f>
        <v>0</v>
      </c>
      <c r="L81" s="85">
        <f>STATS1003B!L81/1000</f>
        <v>0</v>
      </c>
      <c r="M81" s="85">
        <f>STATS1003B!M81/1000</f>
        <v>3500</v>
      </c>
      <c r="N81" s="85">
        <f>STATS1003B!N81/1000</f>
        <v>0</v>
      </c>
      <c r="O81" s="85">
        <f>STATS1003B!O81/1000</f>
        <v>0</v>
      </c>
      <c r="P81" s="85">
        <f>STATS1003B!P81/1000</f>
        <v>0</v>
      </c>
      <c r="Q81" s="85">
        <f>STATS1003B!Q81/1000</f>
        <v>0</v>
      </c>
      <c r="R81" s="85">
        <f>STATS1003B!R81/1000</f>
        <v>0</v>
      </c>
      <c r="S81" s="85">
        <f>STATS1003B!S81/1000</f>
        <v>0</v>
      </c>
      <c r="T81" s="85">
        <f>STATS1003B!T81/1000</f>
        <v>0</v>
      </c>
      <c r="U81" s="85">
        <f>STATS1003B!U81/1000</f>
        <v>0</v>
      </c>
      <c r="V81" s="85">
        <f>STATS1003B!V81/1000</f>
        <v>3500</v>
      </c>
      <c r="W81" s="85">
        <f>STATS1003B!W81/1000</f>
        <v>0</v>
      </c>
      <c r="X81" s="85">
        <f t="shared" si="4"/>
        <v>3500</v>
      </c>
      <c r="Y81" s="85">
        <f>STATS1003B!Y81/1000</f>
        <v>0</v>
      </c>
      <c r="Z81" s="85">
        <f t="shared" si="5"/>
        <v>0</v>
      </c>
      <c r="AA81" s="69">
        <f>STATS1003B!AA81/1000</f>
        <v>3500</v>
      </c>
      <c r="AB81" s="69">
        <f>STATS1003B!AB81/1000</f>
        <v>0</v>
      </c>
    </row>
    <row r="82" spans="1:28" ht="20.25" hidden="1" customHeight="1" x14ac:dyDescent="0.3">
      <c r="A82" s="117"/>
      <c r="C82" s="71" t="s">
        <v>59</v>
      </c>
      <c r="D82" s="87" t="s">
        <v>60</v>
      </c>
      <c r="E82" s="85">
        <f>STATS1003B!E82/1000</f>
        <v>5000</v>
      </c>
      <c r="F82" s="85">
        <f>STATS1003B!F82/1000</f>
        <v>5000</v>
      </c>
      <c r="G82" s="85">
        <f>STATS1003B!G82/1000</f>
        <v>0</v>
      </c>
      <c r="H82" s="85">
        <f>STATS1003B!H82/1000</f>
        <v>5000</v>
      </c>
      <c r="I82" s="85">
        <f>STATS1003B!I82/1000</f>
        <v>0</v>
      </c>
      <c r="J82" s="85">
        <f>STATS1003B!J82/1000</f>
        <v>0</v>
      </c>
      <c r="K82" s="85">
        <f>STATS1003B!K82/1000</f>
        <v>0</v>
      </c>
      <c r="L82" s="85">
        <f>STATS1003B!L82/1000</f>
        <v>0</v>
      </c>
      <c r="M82" s="85">
        <f>STATS1003B!M82/1000</f>
        <v>5000</v>
      </c>
      <c r="N82" s="85">
        <f>STATS1003B!N82/1000</f>
        <v>0</v>
      </c>
      <c r="O82" s="85">
        <f>STATS1003B!O82/1000</f>
        <v>0</v>
      </c>
      <c r="P82" s="85">
        <f>STATS1003B!P82/1000</f>
        <v>0</v>
      </c>
      <c r="Q82" s="85">
        <f>STATS1003B!Q82/1000</f>
        <v>0</v>
      </c>
      <c r="R82" s="85">
        <f>STATS1003B!R82/1000</f>
        <v>0</v>
      </c>
      <c r="S82" s="85">
        <f>STATS1003B!S82/1000</f>
        <v>0</v>
      </c>
      <c r="T82" s="85">
        <f>STATS1003B!T82/1000</f>
        <v>0</v>
      </c>
      <c r="U82" s="85">
        <f>STATS1003B!U82/1000</f>
        <v>0</v>
      </c>
      <c r="V82" s="85">
        <f>STATS1003B!V82/1000</f>
        <v>5000</v>
      </c>
      <c r="W82" s="85">
        <f>STATS1003B!W82/1000</f>
        <v>0</v>
      </c>
      <c r="X82" s="85">
        <f t="shared" si="4"/>
        <v>5000</v>
      </c>
      <c r="Y82" s="85">
        <f>STATS1003B!Y82/1000</f>
        <v>0</v>
      </c>
      <c r="Z82" s="85">
        <f t="shared" si="5"/>
        <v>0</v>
      </c>
      <c r="AA82" s="69">
        <f>STATS1003B!AA82/1000</f>
        <v>5000</v>
      </c>
      <c r="AB82" s="69">
        <f>STATS1003B!AB82/1000</f>
        <v>0</v>
      </c>
    </row>
    <row r="83" spans="1:28" ht="20.25" hidden="1" customHeight="1" x14ac:dyDescent="0.3">
      <c r="A83" s="117"/>
      <c r="C83" s="71" t="s">
        <v>57</v>
      </c>
      <c r="D83" s="87" t="s">
        <v>73</v>
      </c>
      <c r="E83" s="85">
        <f>STATS1003B!E83/1000</f>
        <v>1325.24</v>
      </c>
      <c r="F83" s="85">
        <f>STATS1003B!F83/1000</f>
        <v>1325.24</v>
      </c>
      <c r="G83" s="85">
        <f>STATS1003B!G83/1000</f>
        <v>0</v>
      </c>
      <c r="H83" s="85">
        <f>STATS1003B!H83/1000</f>
        <v>1325.24</v>
      </c>
      <c r="I83" s="85">
        <f>STATS1003B!I83/1000</f>
        <v>0</v>
      </c>
      <c r="J83" s="85">
        <f>STATS1003B!J83/1000</f>
        <v>0</v>
      </c>
      <c r="K83" s="85">
        <f>STATS1003B!K83/1000</f>
        <v>0</v>
      </c>
      <c r="L83" s="85">
        <f>STATS1003B!L83/1000</f>
        <v>0</v>
      </c>
      <c r="M83" s="85">
        <f>STATS1003B!M83/1000</f>
        <v>1325.24</v>
      </c>
      <c r="N83" s="85">
        <f>STATS1003B!N83/1000</f>
        <v>0</v>
      </c>
      <c r="O83" s="85">
        <f>STATS1003B!O83/1000</f>
        <v>0</v>
      </c>
      <c r="P83" s="85">
        <f>STATS1003B!P83/1000</f>
        <v>0</v>
      </c>
      <c r="Q83" s="85">
        <f>STATS1003B!Q83/1000</f>
        <v>0</v>
      </c>
      <c r="R83" s="85">
        <f>STATS1003B!R83/1000</f>
        <v>0</v>
      </c>
      <c r="S83" s="85">
        <f>STATS1003B!S83/1000</f>
        <v>0</v>
      </c>
      <c r="T83" s="85">
        <f>STATS1003B!T83/1000</f>
        <v>0</v>
      </c>
      <c r="U83" s="85">
        <f>STATS1003B!U83/1000</f>
        <v>0</v>
      </c>
      <c r="V83" s="85">
        <f>STATS1003B!V83/1000</f>
        <v>1325.24</v>
      </c>
      <c r="W83" s="85">
        <f>STATS1003B!W83/1000</f>
        <v>0</v>
      </c>
      <c r="X83" s="85">
        <f t="shared" si="4"/>
        <v>1325.24</v>
      </c>
      <c r="Y83" s="85">
        <f>STATS1003B!Y83/1000</f>
        <v>0</v>
      </c>
      <c r="Z83" s="85">
        <f t="shared" si="5"/>
        <v>0</v>
      </c>
      <c r="AA83" s="69">
        <f>STATS1003B!AA83/1000</f>
        <v>1325.24</v>
      </c>
      <c r="AB83" s="69">
        <f>STATS1003B!AB83/1000</f>
        <v>0</v>
      </c>
    </row>
    <row r="84" spans="1:28" ht="20.25" hidden="1" customHeight="1" x14ac:dyDescent="0.3">
      <c r="A84" s="117"/>
      <c r="C84" s="71" t="s">
        <v>95</v>
      </c>
      <c r="D84" s="87" t="s">
        <v>73</v>
      </c>
      <c r="E84" s="85">
        <f>STATS1003B!E84/1000</f>
        <v>532.00698</v>
      </c>
      <c r="F84" s="85">
        <f>STATS1003B!F84/1000</f>
        <v>0</v>
      </c>
      <c r="G84" s="85">
        <f>STATS1003B!G84/1000</f>
        <v>0</v>
      </c>
      <c r="H84" s="85">
        <f>STATS1003B!H84/1000</f>
        <v>0</v>
      </c>
      <c r="I84" s="85">
        <f>STATS1003B!I84/1000</f>
        <v>0</v>
      </c>
      <c r="J84" s="85">
        <f>STATS1003B!J84/1000</f>
        <v>0</v>
      </c>
      <c r="K84" s="85">
        <f>STATS1003B!K84/1000</f>
        <v>0</v>
      </c>
      <c r="L84" s="85">
        <f>STATS1003B!L84/1000</f>
        <v>0</v>
      </c>
      <c r="M84" s="85">
        <f>STATS1003B!M84/1000</f>
        <v>0</v>
      </c>
      <c r="N84" s="85">
        <f>STATS1003B!N84/1000</f>
        <v>532.00698</v>
      </c>
      <c r="O84" s="85">
        <f>STATS1003B!O84/1000</f>
        <v>0</v>
      </c>
      <c r="P84" s="85">
        <f>STATS1003B!P84/1000</f>
        <v>532.00698</v>
      </c>
      <c r="Q84" s="85">
        <f>STATS1003B!Q84/1000</f>
        <v>0</v>
      </c>
      <c r="R84" s="85">
        <f>STATS1003B!R84/1000</f>
        <v>0</v>
      </c>
      <c r="S84" s="85">
        <f>STATS1003B!S84/1000</f>
        <v>0</v>
      </c>
      <c r="T84" s="85">
        <f>STATS1003B!T84/1000</f>
        <v>0</v>
      </c>
      <c r="U84" s="85">
        <f>STATS1003B!U84/1000</f>
        <v>532.00698</v>
      </c>
      <c r="V84" s="85">
        <f>STATS1003B!V84/1000</f>
        <v>532.00698</v>
      </c>
      <c r="W84" s="85">
        <f>STATS1003B!W84/1000</f>
        <v>0</v>
      </c>
      <c r="X84" s="85">
        <f t="shared" si="4"/>
        <v>532.00698</v>
      </c>
      <c r="Y84" s="85">
        <f>STATS1003B!Y84/1000</f>
        <v>0</v>
      </c>
      <c r="Z84" s="85">
        <f t="shared" si="5"/>
        <v>0</v>
      </c>
      <c r="AA84" s="69">
        <f>STATS1003B!AA84/1000</f>
        <v>532.00698</v>
      </c>
      <c r="AB84" s="69">
        <f>STATS1003B!AB84/1000</f>
        <v>0</v>
      </c>
    </row>
    <row r="85" spans="1:28" ht="20.25" hidden="1" customHeight="1" x14ac:dyDescent="0.3">
      <c r="A85" s="117"/>
      <c r="C85" s="68" t="s">
        <v>62</v>
      </c>
      <c r="E85" s="85">
        <f>STATS1003B!E85/1000</f>
        <v>591.81399999999996</v>
      </c>
      <c r="F85" s="85">
        <f>STATS1003B!F85/1000</f>
        <v>591.81399999999996</v>
      </c>
      <c r="G85" s="85">
        <f>STATS1003B!G85/1000</f>
        <v>0</v>
      </c>
      <c r="H85" s="85">
        <f>STATS1003B!H85/1000</f>
        <v>591.81399999999996</v>
      </c>
      <c r="I85" s="85">
        <f>STATS1003B!I85/1000</f>
        <v>0</v>
      </c>
      <c r="J85" s="85">
        <f>STATS1003B!J85/1000</f>
        <v>0</v>
      </c>
      <c r="K85" s="85">
        <f>STATS1003B!K85/1000</f>
        <v>0</v>
      </c>
      <c r="L85" s="85">
        <f>STATS1003B!L85/1000</f>
        <v>0</v>
      </c>
      <c r="M85" s="85">
        <f>STATS1003B!M85/1000</f>
        <v>591.81399999999996</v>
      </c>
      <c r="N85" s="85">
        <f>STATS1003B!N85/1000</f>
        <v>0</v>
      </c>
      <c r="O85" s="85">
        <f>STATS1003B!O85/1000</f>
        <v>0</v>
      </c>
      <c r="P85" s="85">
        <f>STATS1003B!P85/1000</f>
        <v>0</v>
      </c>
      <c r="Q85" s="85">
        <f>STATS1003B!Q85/1000</f>
        <v>0</v>
      </c>
      <c r="R85" s="85">
        <f>STATS1003B!R85/1000</f>
        <v>0</v>
      </c>
      <c r="S85" s="85">
        <f>STATS1003B!S85/1000</f>
        <v>0</v>
      </c>
      <c r="T85" s="85">
        <f>STATS1003B!T85/1000</f>
        <v>0</v>
      </c>
      <c r="U85" s="85">
        <f>STATS1003B!U85/1000</f>
        <v>0</v>
      </c>
      <c r="V85" s="85">
        <f>STATS1003B!V85/1000</f>
        <v>591.81399999999996</v>
      </c>
      <c r="W85" s="85">
        <f>STATS1003B!W85/1000</f>
        <v>0</v>
      </c>
      <c r="X85" s="85">
        <f t="shared" si="4"/>
        <v>591.81399999999996</v>
      </c>
      <c r="Y85" s="85">
        <f>STATS1003B!Y85/1000</f>
        <v>0</v>
      </c>
      <c r="Z85" s="85">
        <f t="shared" si="5"/>
        <v>0</v>
      </c>
      <c r="AA85" s="69">
        <f>STATS1003B!AA85/1000</f>
        <v>591.81399999999996</v>
      </c>
      <c r="AB85" s="69">
        <f>STATS1003B!AB85/1000</f>
        <v>0</v>
      </c>
    </row>
    <row r="86" spans="1:28" ht="20.25" hidden="1" customHeight="1" x14ac:dyDescent="0.3">
      <c r="A86" s="117"/>
      <c r="C86" s="68" t="s">
        <v>96</v>
      </c>
      <c r="E86" s="85">
        <f>STATS1003B!E86/1000</f>
        <v>799.92399999999998</v>
      </c>
      <c r="F86" s="85">
        <f>STATS1003B!F86/1000</f>
        <v>799.92399999999998</v>
      </c>
      <c r="G86" s="85">
        <f>STATS1003B!G86/1000</f>
        <v>0</v>
      </c>
      <c r="H86" s="85">
        <f>STATS1003B!H86/1000</f>
        <v>799.92399999999998</v>
      </c>
      <c r="I86" s="85">
        <f>STATS1003B!I86/1000</f>
        <v>0</v>
      </c>
      <c r="J86" s="85">
        <f>STATS1003B!J86/1000</f>
        <v>0</v>
      </c>
      <c r="K86" s="85">
        <f>STATS1003B!K86/1000</f>
        <v>0</v>
      </c>
      <c r="L86" s="85">
        <f>STATS1003B!L86/1000</f>
        <v>0</v>
      </c>
      <c r="M86" s="85">
        <f>STATS1003B!M86/1000</f>
        <v>799.92399999999998</v>
      </c>
      <c r="N86" s="85">
        <f>STATS1003B!N86/1000</f>
        <v>0</v>
      </c>
      <c r="O86" s="85">
        <f>STATS1003B!O86/1000</f>
        <v>0</v>
      </c>
      <c r="P86" s="85">
        <f>STATS1003B!P86/1000</f>
        <v>0</v>
      </c>
      <c r="Q86" s="85">
        <f>STATS1003B!Q86/1000</f>
        <v>0</v>
      </c>
      <c r="R86" s="85">
        <f>STATS1003B!R86/1000</f>
        <v>0</v>
      </c>
      <c r="S86" s="85">
        <f>STATS1003B!S86/1000</f>
        <v>0</v>
      </c>
      <c r="T86" s="85">
        <f>STATS1003B!T86/1000</f>
        <v>0</v>
      </c>
      <c r="U86" s="85">
        <f>STATS1003B!U86/1000</f>
        <v>0</v>
      </c>
      <c r="V86" s="85">
        <f>STATS1003B!V86/1000</f>
        <v>799.92399999999998</v>
      </c>
      <c r="W86" s="85">
        <f>STATS1003B!W86/1000</f>
        <v>0</v>
      </c>
      <c r="X86" s="85">
        <f t="shared" si="4"/>
        <v>799.92399999999998</v>
      </c>
      <c r="Y86" s="85">
        <f>STATS1003B!Y86/1000</f>
        <v>0</v>
      </c>
      <c r="Z86" s="85">
        <f t="shared" si="5"/>
        <v>0</v>
      </c>
      <c r="AA86" s="69">
        <f>STATS1003B!AA86/1000</f>
        <v>799.92399999999998</v>
      </c>
      <c r="AB86" s="69">
        <f>STATS1003B!AB86/1000</f>
        <v>0</v>
      </c>
    </row>
    <row r="87" spans="1:28" ht="20.25" hidden="1" customHeight="1" x14ac:dyDescent="0.3">
      <c r="A87" s="117"/>
      <c r="C87" s="68" t="s">
        <v>1117</v>
      </c>
      <c r="D87" s="91" t="s">
        <v>1126</v>
      </c>
      <c r="E87" s="85">
        <f>STATS1003B!E87/1000</f>
        <v>35.344149999999999</v>
      </c>
      <c r="F87" s="85">
        <f>STATS1003B!F87/1000</f>
        <v>35.344149999999999</v>
      </c>
      <c r="G87" s="85">
        <f>STATS1003B!G87/1000</f>
        <v>0</v>
      </c>
      <c r="H87" s="85">
        <f>STATS1003B!H87/1000</f>
        <v>35.344149999999999</v>
      </c>
      <c r="I87" s="85">
        <f>STATS1003B!I87/1000</f>
        <v>0</v>
      </c>
      <c r="J87" s="85">
        <f>STATS1003B!J87/1000</f>
        <v>0</v>
      </c>
      <c r="K87" s="85">
        <f>STATS1003B!K87/1000</f>
        <v>0</v>
      </c>
      <c r="L87" s="85">
        <f>STATS1003B!L87/1000</f>
        <v>0</v>
      </c>
      <c r="M87" s="85">
        <f>STATS1003B!M87/1000</f>
        <v>35.344149999999999</v>
      </c>
      <c r="N87" s="85">
        <f>STATS1003B!N87/1000</f>
        <v>0</v>
      </c>
      <c r="O87" s="85">
        <f>STATS1003B!O87/1000</f>
        <v>0</v>
      </c>
      <c r="P87" s="85">
        <f>STATS1003B!P87/1000</f>
        <v>0</v>
      </c>
      <c r="Q87" s="85">
        <f>STATS1003B!Q87/1000</f>
        <v>0</v>
      </c>
      <c r="R87" s="85">
        <f>STATS1003B!R87/1000</f>
        <v>0</v>
      </c>
      <c r="S87" s="85">
        <f>STATS1003B!S87/1000</f>
        <v>0</v>
      </c>
      <c r="T87" s="85">
        <f>STATS1003B!T87/1000</f>
        <v>0</v>
      </c>
      <c r="U87" s="85">
        <f>STATS1003B!U87/1000</f>
        <v>0</v>
      </c>
      <c r="V87" s="85">
        <f>STATS1003B!V87/1000</f>
        <v>35.344149999999999</v>
      </c>
      <c r="W87" s="85">
        <f>STATS1003B!W87/1000</f>
        <v>0</v>
      </c>
      <c r="X87" s="85">
        <f t="shared" si="4"/>
        <v>35.344149999999999</v>
      </c>
      <c r="Y87" s="85">
        <f>STATS1003B!Y87/1000</f>
        <v>0</v>
      </c>
      <c r="Z87" s="85">
        <f t="shared" si="5"/>
        <v>0</v>
      </c>
      <c r="AA87" s="69">
        <f>STATS1003B!AA87/1000</f>
        <v>35.344149999999999</v>
      </c>
      <c r="AB87" s="69">
        <f>STATS1003B!AB87/1000</f>
        <v>0</v>
      </c>
    </row>
    <row r="88" spans="1:28" ht="20.25" hidden="1" customHeight="1" x14ac:dyDescent="0.3">
      <c r="A88" s="117"/>
      <c r="C88" s="68" t="s">
        <v>930</v>
      </c>
      <c r="E88" s="85">
        <f>STATS1003B!E88/1000</f>
        <v>1436.7241999999999</v>
      </c>
      <c r="F88" s="85">
        <f>STATS1003B!F88/1000</f>
        <v>1436.7241999999999</v>
      </c>
      <c r="G88" s="85">
        <f>STATS1003B!G88/1000</f>
        <v>0</v>
      </c>
      <c r="H88" s="85">
        <f>STATS1003B!H88/1000</f>
        <v>1436.7241999999999</v>
      </c>
      <c r="I88" s="85">
        <f>STATS1003B!I88/1000</f>
        <v>0</v>
      </c>
      <c r="J88" s="85">
        <f>STATS1003B!J88/1000</f>
        <v>0</v>
      </c>
      <c r="K88" s="85">
        <f>STATS1003B!K88/1000</f>
        <v>0</v>
      </c>
      <c r="L88" s="85">
        <f>STATS1003B!L88/1000</f>
        <v>0</v>
      </c>
      <c r="M88" s="85">
        <f>STATS1003B!M88/1000</f>
        <v>1436.7241999999999</v>
      </c>
      <c r="N88" s="85">
        <f>STATS1003B!N88/1000</f>
        <v>0</v>
      </c>
      <c r="O88" s="85">
        <f>STATS1003B!O88/1000</f>
        <v>0</v>
      </c>
      <c r="P88" s="85">
        <f>STATS1003B!P88/1000</f>
        <v>0</v>
      </c>
      <c r="Q88" s="85">
        <f>STATS1003B!Q88/1000</f>
        <v>0</v>
      </c>
      <c r="R88" s="85">
        <f>STATS1003B!R88/1000</f>
        <v>0</v>
      </c>
      <c r="S88" s="85">
        <f>STATS1003B!S88/1000</f>
        <v>0</v>
      </c>
      <c r="T88" s="85">
        <f>STATS1003B!T88/1000</f>
        <v>0</v>
      </c>
      <c r="U88" s="85">
        <f>STATS1003B!U88/1000</f>
        <v>0</v>
      </c>
      <c r="V88" s="85">
        <f>STATS1003B!V88/1000</f>
        <v>1436.7241999999999</v>
      </c>
      <c r="W88" s="85">
        <f>STATS1003B!W88/1000</f>
        <v>0</v>
      </c>
      <c r="X88" s="85">
        <f t="shared" si="4"/>
        <v>1436.7241999999999</v>
      </c>
      <c r="Y88" s="85">
        <f>STATS1003B!Y88/1000</f>
        <v>0</v>
      </c>
      <c r="Z88" s="85">
        <f t="shared" si="5"/>
        <v>0</v>
      </c>
      <c r="AA88" s="69">
        <f>STATS1003B!AA88/1000</f>
        <v>1436.7241999999999</v>
      </c>
      <c r="AB88" s="69">
        <f>STATS1003B!AB88/1000</f>
        <v>0</v>
      </c>
    </row>
    <row r="89" spans="1:28" ht="20.25" hidden="1" customHeight="1" x14ac:dyDescent="0.3">
      <c r="A89" s="117"/>
      <c r="C89" s="71" t="s">
        <v>57</v>
      </c>
      <c r="D89" s="91" t="s">
        <v>61</v>
      </c>
      <c r="E89" s="85">
        <f>STATS1003B!E89/1000</f>
        <v>561</v>
      </c>
      <c r="F89" s="85">
        <f>STATS1003B!F89/1000</f>
        <v>561</v>
      </c>
      <c r="G89" s="85">
        <f>STATS1003B!G89/1000</f>
        <v>0</v>
      </c>
      <c r="H89" s="85">
        <f>STATS1003B!H89/1000</f>
        <v>561</v>
      </c>
      <c r="I89" s="85">
        <f>STATS1003B!I89/1000</f>
        <v>561</v>
      </c>
      <c r="J89" s="85">
        <f>STATS1003B!J89/1000</f>
        <v>561</v>
      </c>
      <c r="K89" s="85">
        <f>STATS1003B!K89/1000</f>
        <v>0</v>
      </c>
      <c r="L89" s="85">
        <f>STATS1003B!L89/1000</f>
        <v>0</v>
      </c>
      <c r="M89" s="85">
        <f>STATS1003B!M89/1000</f>
        <v>561</v>
      </c>
      <c r="N89" s="85">
        <f>STATS1003B!N89/1000</f>
        <v>0</v>
      </c>
      <c r="O89" s="85">
        <f>STATS1003B!O89/1000</f>
        <v>0</v>
      </c>
      <c r="P89" s="85">
        <f>STATS1003B!P89/1000</f>
        <v>0</v>
      </c>
      <c r="Q89" s="85">
        <f>STATS1003B!Q89/1000</f>
        <v>0</v>
      </c>
      <c r="R89" s="85">
        <f>STATS1003B!R89/1000</f>
        <v>0</v>
      </c>
      <c r="S89" s="85">
        <f>STATS1003B!S89/1000</f>
        <v>0</v>
      </c>
      <c r="T89" s="85">
        <f>STATS1003B!T89/1000</f>
        <v>0</v>
      </c>
      <c r="U89" s="85">
        <f>STATS1003B!U89/1000</f>
        <v>0</v>
      </c>
      <c r="V89" s="85">
        <f>STATS1003B!V89/1000</f>
        <v>561</v>
      </c>
      <c r="W89" s="85">
        <f>STATS1003B!W89/1000</f>
        <v>0</v>
      </c>
      <c r="X89" s="85">
        <f t="shared" si="4"/>
        <v>561</v>
      </c>
      <c r="Y89" s="85">
        <f>STATS1003B!Y89/1000</f>
        <v>0</v>
      </c>
      <c r="Z89" s="85">
        <f t="shared" si="5"/>
        <v>0</v>
      </c>
      <c r="AA89" s="69">
        <f>STATS1003B!AA89/1000</f>
        <v>561</v>
      </c>
      <c r="AB89" s="69">
        <f>STATS1003B!AB89/1000</f>
        <v>0</v>
      </c>
    </row>
    <row r="90" spans="1:28" ht="20.25" hidden="1" customHeight="1" x14ac:dyDescent="0.3">
      <c r="A90" s="117"/>
      <c r="C90" s="71" t="s">
        <v>90</v>
      </c>
      <c r="D90" s="91" t="s">
        <v>61</v>
      </c>
      <c r="E90" s="85">
        <f>STATS1003B!E90/1000</f>
        <v>596.15427999999997</v>
      </c>
      <c r="F90" s="85">
        <f>STATS1003B!F90/1000</f>
        <v>564.65584999999999</v>
      </c>
      <c r="G90" s="85">
        <f>STATS1003B!G90/1000</f>
        <v>0</v>
      </c>
      <c r="H90" s="85">
        <f>STATS1003B!H90/1000</f>
        <v>564.65584999999999</v>
      </c>
      <c r="I90" s="85">
        <f>STATS1003B!I90/1000</f>
        <v>561</v>
      </c>
      <c r="J90" s="85">
        <f>STATS1003B!J90/1000</f>
        <v>561</v>
      </c>
      <c r="K90" s="85">
        <f>STATS1003B!K90/1000</f>
        <v>0</v>
      </c>
      <c r="L90" s="85">
        <f>STATS1003B!L90/1000</f>
        <v>0</v>
      </c>
      <c r="M90" s="85">
        <f>STATS1003B!M90/1000</f>
        <v>564.65584999999999</v>
      </c>
      <c r="N90" s="85">
        <f>STATS1003B!N90/1000</f>
        <v>1.88042</v>
      </c>
      <c r="O90" s="85">
        <f>STATS1003B!O90/1000</f>
        <v>0</v>
      </c>
      <c r="P90" s="85">
        <f>STATS1003B!P90/1000</f>
        <v>1.88042</v>
      </c>
      <c r="Q90" s="85">
        <f>STATS1003B!Q90/1000</f>
        <v>0</v>
      </c>
      <c r="R90" s="85">
        <f>STATS1003B!R90/1000</f>
        <v>0</v>
      </c>
      <c r="S90" s="85">
        <f>STATS1003B!S90/1000</f>
        <v>31.498429999999999</v>
      </c>
      <c r="T90" s="85">
        <f>STATS1003B!T90/1000</f>
        <v>29.618009999999998</v>
      </c>
      <c r="U90" s="85">
        <f>STATS1003B!U90/1000</f>
        <v>31.498429999999999</v>
      </c>
      <c r="V90" s="85">
        <f>STATS1003B!V90/1000</f>
        <v>566.53627000000006</v>
      </c>
      <c r="W90" s="85">
        <f>STATS1003B!W90/1000</f>
        <v>29.618010000000009</v>
      </c>
      <c r="X90" s="85">
        <f t="shared" si="4"/>
        <v>566.53626999999994</v>
      </c>
      <c r="Y90" s="85">
        <f>STATS1003B!Y90/1000</f>
        <v>0</v>
      </c>
      <c r="Z90" s="85">
        <f t="shared" si="5"/>
        <v>29.618010000000027</v>
      </c>
      <c r="AA90" s="69">
        <f>STATS1003B!AA90/1000</f>
        <v>596.15427999999997</v>
      </c>
      <c r="AB90" s="69">
        <f>STATS1003B!AB90/1000</f>
        <v>0</v>
      </c>
    </row>
    <row r="91" spans="1:28" ht="20.25" hidden="1" customHeight="1" x14ac:dyDescent="0.3">
      <c r="A91" s="117"/>
      <c r="E91" s="86" t="s">
        <v>29</v>
      </c>
      <c r="F91" s="86" t="s">
        <v>29</v>
      </c>
      <c r="G91" s="86" t="s">
        <v>29</v>
      </c>
      <c r="H91" s="86" t="s">
        <v>29</v>
      </c>
      <c r="I91" s="86" t="s">
        <v>29</v>
      </c>
      <c r="J91" s="86" t="s">
        <v>29</v>
      </c>
      <c r="K91" s="86" t="s">
        <v>29</v>
      </c>
      <c r="L91" s="86" t="s">
        <v>29</v>
      </c>
      <c r="M91" s="86" t="s">
        <v>29</v>
      </c>
      <c r="N91" s="86" t="s">
        <v>29</v>
      </c>
      <c r="O91" s="86" t="s">
        <v>29</v>
      </c>
      <c r="P91" s="86" t="s">
        <v>29</v>
      </c>
      <c r="Q91" s="86" t="s">
        <v>29</v>
      </c>
      <c r="R91" s="86" t="s">
        <v>29</v>
      </c>
      <c r="S91" s="86" t="s">
        <v>29</v>
      </c>
      <c r="T91" s="86" t="s">
        <v>29</v>
      </c>
      <c r="U91" s="86" t="s">
        <v>29</v>
      </c>
      <c r="V91" s="86" t="s">
        <v>29</v>
      </c>
      <c r="W91" s="86" t="s">
        <v>29</v>
      </c>
      <c r="X91" s="85" t="e">
        <f t="shared" si="4"/>
        <v>#VALUE!</v>
      </c>
      <c r="Y91" s="86" t="s">
        <v>29</v>
      </c>
      <c r="Z91" s="85" t="e">
        <f t="shared" si="5"/>
        <v>#VALUE!</v>
      </c>
      <c r="AA91" s="115" t="s">
        <v>29</v>
      </c>
      <c r="AB91" s="115" t="s">
        <v>29</v>
      </c>
    </row>
    <row r="92" spans="1:28" x14ac:dyDescent="0.3">
      <c r="A92" s="116" t="s">
        <v>937</v>
      </c>
      <c r="B92" s="68" t="s">
        <v>91</v>
      </c>
      <c r="E92" s="85">
        <f>76288301.36/1000</f>
        <v>76288.301359999998</v>
      </c>
      <c r="F92" s="85">
        <f>SUM(F71:F90)</f>
        <v>33549.114970000002</v>
      </c>
      <c r="G92" s="85">
        <f>SUM(G71:G90)</f>
        <v>0</v>
      </c>
      <c r="H92" s="85">
        <f>56352855.99/1000</f>
        <v>56352.855990000004</v>
      </c>
      <c r="I92" s="85">
        <f t="shared" ref="I92:O92" si="8">SUM(I71:I90)</f>
        <v>1122</v>
      </c>
      <c r="J92" s="85">
        <f t="shared" si="8"/>
        <v>1122</v>
      </c>
      <c r="K92" s="85">
        <f t="shared" si="8"/>
        <v>0</v>
      </c>
      <c r="L92" s="85">
        <f t="shared" si="8"/>
        <v>0</v>
      </c>
      <c r="M92" s="85">
        <f t="shared" si="8"/>
        <v>33549.114970000002</v>
      </c>
      <c r="N92" s="85">
        <f t="shared" si="8"/>
        <v>19658.465260000001</v>
      </c>
      <c r="O92" s="85">
        <f t="shared" si="8"/>
        <v>0</v>
      </c>
      <c r="P92" s="85">
        <f>19658465/1000</f>
        <v>19658.465</v>
      </c>
      <c r="Q92" s="85">
        <f t="shared" ref="Q92:W92" si="9">SUM(Q71:Q90)</f>
        <v>0</v>
      </c>
      <c r="R92" s="85">
        <f t="shared" si="9"/>
        <v>0</v>
      </c>
      <c r="S92" s="85">
        <f t="shared" si="9"/>
        <v>31.498429999999999</v>
      </c>
      <c r="T92" s="85">
        <f t="shared" si="9"/>
        <v>29.618009999999998</v>
      </c>
      <c r="U92" s="85">
        <f t="shared" si="9"/>
        <v>19688.083269999999</v>
      </c>
      <c r="V92" s="85">
        <f t="shared" si="9"/>
        <v>53207.580229999985</v>
      </c>
      <c r="W92" s="85">
        <f t="shared" si="9"/>
        <v>276.98010999999997</v>
      </c>
      <c r="X92" s="85">
        <f>+H92+P92</f>
        <v>76011.320990000007</v>
      </c>
      <c r="Y92" s="85">
        <f>SUM(Y71:Y90)</f>
        <v>0</v>
      </c>
      <c r="Z92" s="85">
        <f t="shared" si="5"/>
        <v>276.98036999999022</v>
      </c>
      <c r="AA92" s="69">
        <f>SUM(AA71:AA90)</f>
        <v>53237.198239999991</v>
      </c>
      <c r="AB92" s="69">
        <f>SUM(AB71:AB90)</f>
        <v>247.36209999999997</v>
      </c>
    </row>
    <row r="93" spans="1:28" hidden="1" x14ac:dyDescent="0.3">
      <c r="A93" s="117"/>
      <c r="E93" s="86" t="s">
        <v>29</v>
      </c>
      <c r="F93" s="86" t="s">
        <v>29</v>
      </c>
      <c r="G93" s="86" t="s">
        <v>29</v>
      </c>
      <c r="H93" s="86" t="s">
        <v>29</v>
      </c>
      <c r="I93" s="86" t="s">
        <v>29</v>
      </c>
      <c r="J93" s="86" t="s">
        <v>29</v>
      </c>
      <c r="K93" s="86" t="s">
        <v>29</v>
      </c>
      <c r="L93" s="86" t="s">
        <v>29</v>
      </c>
      <c r="M93" s="86" t="s">
        <v>29</v>
      </c>
      <c r="N93" s="86" t="s">
        <v>29</v>
      </c>
      <c r="O93" s="86" t="s">
        <v>29</v>
      </c>
      <c r="P93" s="86" t="s">
        <v>29</v>
      </c>
      <c r="Q93" s="86" t="s">
        <v>29</v>
      </c>
      <c r="R93" s="86" t="s">
        <v>29</v>
      </c>
      <c r="S93" s="86" t="s">
        <v>29</v>
      </c>
      <c r="T93" s="86" t="s">
        <v>29</v>
      </c>
      <c r="U93" s="86" t="s">
        <v>29</v>
      </c>
      <c r="V93" s="86" t="s">
        <v>29</v>
      </c>
      <c r="W93" s="86" t="s">
        <v>29</v>
      </c>
      <c r="X93" s="85" t="e">
        <f t="shared" si="4"/>
        <v>#VALUE!</v>
      </c>
      <c r="Y93" s="86" t="s">
        <v>29</v>
      </c>
      <c r="Z93" s="85" t="e">
        <f t="shared" si="5"/>
        <v>#VALUE!</v>
      </c>
      <c r="AA93" s="115" t="s">
        <v>29</v>
      </c>
      <c r="AB93" s="115" t="s">
        <v>29</v>
      </c>
    </row>
    <row r="94" spans="1:28" hidden="1" x14ac:dyDescent="0.3">
      <c r="A94" s="105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5">
        <f t="shared" si="4"/>
        <v>0</v>
      </c>
      <c r="Y94" s="84"/>
      <c r="Z94" s="85">
        <f t="shared" si="5"/>
        <v>0</v>
      </c>
      <c r="AA94" s="118"/>
    </row>
    <row r="95" spans="1:28" hidden="1" x14ac:dyDescent="0.3">
      <c r="A95" s="117"/>
      <c r="C95" s="68" t="s">
        <v>75</v>
      </c>
      <c r="D95" s="88" t="s">
        <v>76</v>
      </c>
      <c r="E95" s="85">
        <f>STATS1003B!E95/1000</f>
        <v>2752</v>
      </c>
      <c r="F95" s="85">
        <f>STATS1003B!F95/1000</f>
        <v>0</v>
      </c>
      <c r="G95" s="85">
        <f>STATS1003B!G95/1000</f>
        <v>0</v>
      </c>
      <c r="H95" s="85">
        <f>STATS1003B!H95/1000</f>
        <v>0</v>
      </c>
      <c r="I95" s="85">
        <f>STATS1003B!I95/1000</f>
        <v>0</v>
      </c>
      <c r="J95" s="85">
        <f>STATS1003B!J95/1000</f>
        <v>0</v>
      </c>
      <c r="K95" s="85">
        <f>STATS1003B!K95/1000</f>
        <v>0</v>
      </c>
      <c r="L95" s="85">
        <f>STATS1003B!L95/1000</f>
        <v>0</v>
      </c>
      <c r="M95" s="85">
        <f>STATS1003B!M95/1000</f>
        <v>0</v>
      </c>
      <c r="N95" s="85">
        <f>STATS1003B!N95/1000</f>
        <v>2752</v>
      </c>
      <c r="O95" s="85">
        <f>STATS1003B!O95/1000</f>
        <v>0</v>
      </c>
      <c r="P95" s="85">
        <f>STATS1003B!P95/1000</f>
        <v>2752</v>
      </c>
      <c r="Q95" s="85">
        <f>STATS1003B!Q95/1000</f>
        <v>0</v>
      </c>
      <c r="R95" s="85">
        <f>STATS1003B!R95/1000</f>
        <v>0</v>
      </c>
      <c r="S95" s="85">
        <f>STATS1003B!S95/1000</f>
        <v>0</v>
      </c>
      <c r="T95" s="85">
        <f>STATS1003B!T95/1000</f>
        <v>0</v>
      </c>
      <c r="U95" s="85">
        <f>STATS1003B!U95/1000</f>
        <v>2752</v>
      </c>
      <c r="V95" s="85">
        <f>STATS1003B!V95/1000</f>
        <v>2752</v>
      </c>
      <c r="W95" s="85">
        <f>STATS1003B!W95/1000</f>
        <v>0</v>
      </c>
      <c r="X95" s="85">
        <f t="shared" si="4"/>
        <v>2752</v>
      </c>
      <c r="Y95" s="85">
        <f>STATS1003B!Y95/1000</f>
        <v>0</v>
      </c>
      <c r="Z95" s="85">
        <f t="shared" si="5"/>
        <v>0</v>
      </c>
      <c r="AA95" s="69">
        <f>STATS1003B!AA95/1000</f>
        <v>2752</v>
      </c>
      <c r="AB95" s="69">
        <f>STATS1003B!AB95/1000</f>
        <v>0</v>
      </c>
    </row>
    <row r="96" spans="1:28" hidden="1" x14ac:dyDescent="0.3">
      <c r="A96" s="117"/>
      <c r="C96" s="68" t="s">
        <v>77</v>
      </c>
      <c r="D96" s="87" t="s">
        <v>78</v>
      </c>
      <c r="E96" s="85">
        <f>STATS1003B!E96/1000</f>
        <v>1657</v>
      </c>
      <c r="F96" s="85">
        <f>STATS1003B!F96/1000</f>
        <v>1657</v>
      </c>
      <c r="G96" s="85">
        <f>STATS1003B!G96/1000</f>
        <v>0</v>
      </c>
      <c r="H96" s="85">
        <f>STATS1003B!H96/1000</f>
        <v>1657</v>
      </c>
      <c r="I96" s="85">
        <f>STATS1003B!I96/1000</f>
        <v>0</v>
      </c>
      <c r="J96" s="85">
        <f>STATS1003B!J96/1000</f>
        <v>0</v>
      </c>
      <c r="K96" s="85">
        <f>STATS1003B!K96/1000</f>
        <v>0</v>
      </c>
      <c r="L96" s="85">
        <f>STATS1003B!L96/1000</f>
        <v>0</v>
      </c>
      <c r="M96" s="85">
        <f>STATS1003B!M96/1000</f>
        <v>1657</v>
      </c>
      <c r="N96" s="85">
        <f>STATS1003B!N96/1000</f>
        <v>0</v>
      </c>
      <c r="O96" s="85">
        <f>STATS1003B!O96/1000</f>
        <v>0</v>
      </c>
      <c r="P96" s="85">
        <f>STATS1003B!P96/1000</f>
        <v>0</v>
      </c>
      <c r="Q96" s="85">
        <f>STATS1003B!Q96/1000</f>
        <v>0</v>
      </c>
      <c r="R96" s="85">
        <f>STATS1003B!R96/1000</f>
        <v>0</v>
      </c>
      <c r="S96" s="85">
        <f>STATS1003B!S96/1000</f>
        <v>0</v>
      </c>
      <c r="T96" s="85">
        <f>STATS1003B!T96/1000</f>
        <v>0</v>
      </c>
      <c r="U96" s="85">
        <f>STATS1003B!U96/1000</f>
        <v>0</v>
      </c>
      <c r="V96" s="85">
        <f>STATS1003B!V96/1000</f>
        <v>1657</v>
      </c>
      <c r="W96" s="85">
        <f>STATS1003B!W96/1000</f>
        <v>0</v>
      </c>
      <c r="X96" s="85">
        <f t="shared" si="4"/>
        <v>1657</v>
      </c>
      <c r="Y96" s="85">
        <f>STATS1003B!Y96/1000</f>
        <v>0</v>
      </c>
      <c r="Z96" s="85">
        <f t="shared" si="5"/>
        <v>0</v>
      </c>
      <c r="AA96" s="69">
        <f>STATS1003B!AA96/1000</f>
        <v>1657</v>
      </c>
      <c r="AB96" s="69">
        <f>STATS1003B!AB96/1000</f>
        <v>0</v>
      </c>
    </row>
    <row r="97" spans="1:28" hidden="1" x14ac:dyDescent="0.3">
      <c r="A97" s="117"/>
      <c r="C97" s="68" t="s">
        <v>92</v>
      </c>
      <c r="D97" s="87" t="s">
        <v>98</v>
      </c>
      <c r="E97" s="85">
        <f>STATS1003B!E97/1000</f>
        <v>4871.1980000000003</v>
      </c>
      <c r="F97" s="85">
        <f>STATS1003B!F97/1000</f>
        <v>4871.1980000000003</v>
      </c>
      <c r="G97" s="85">
        <f>STATS1003B!G97/1000</f>
        <v>0</v>
      </c>
      <c r="H97" s="85">
        <f>STATS1003B!H97/1000</f>
        <v>4871.1980000000003</v>
      </c>
      <c r="I97" s="85">
        <f>STATS1003B!I97/1000</f>
        <v>0</v>
      </c>
      <c r="J97" s="85">
        <f>STATS1003B!J97/1000</f>
        <v>0</v>
      </c>
      <c r="K97" s="85">
        <f>STATS1003B!K97/1000</f>
        <v>0</v>
      </c>
      <c r="L97" s="85">
        <f>STATS1003B!L97/1000</f>
        <v>0</v>
      </c>
      <c r="M97" s="85">
        <f>STATS1003B!M97/1000</f>
        <v>4871.1980000000003</v>
      </c>
      <c r="N97" s="85">
        <f>STATS1003B!N97/1000</f>
        <v>0</v>
      </c>
      <c r="O97" s="85">
        <f>STATS1003B!O97/1000</f>
        <v>0</v>
      </c>
      <c r="P97" s="85">
        <f>STATS1003B!P97/1000</f>
        <v>0</v>
      </c>
      <c r="Q97" s="85">
        <f>STATS1003B!Q97/1000</f>
        <v>0</v>
      </c>
      <c r="R97" s="85">
        <f>STATS1003B!R97/1000</f>
        <v>0</v>
      </c>
      <c r="S97" s="85">
        <f>STATS1003B!S97/1000</f>
        <v>0</v>
      </c>
      <c r="T97" s="85">
        <f>STATS1003B!T97/1000</f>
        <v>0</v>
      </c>
      <c r="U97" s="85">
        <f>STATS1003B!U97/1000</f>
        <v>0</v>
      </c>
      <c r="V97" s="85">
        <f>STATS1003B!V97/1000</f>
        <v>4871.1980000000003</v>
      </c>
      <c r="W97" s="85">
        <f>STATS1003B!W97/1000</f>
        <v>0</v>
      </c>
      <c r="X97" s="85">
        <f t="shared" si="4"/>
        <v>4871.1980000000003</v>
      </c>
      <c r="Y97" s="85">
        <f>STATS1003B!Y97/1000</f>
        <v>0</v>
      </c>
      <c r="Z97" s="85">
        <f t="shared" si="5"/>
        <v>0</v>
      </c>
      <c r="AA97" s="69">
        <f>STATS1003B!AA97/1000</f>
        <v>4871.1980000000003</v>
      </c>
      <c r="AB97" s="69">
        <f>STATS1003B!AB97/1000</f>
        <v>0</v>
      </c>
    </row>
    <row r="98" spans="1:28" hidden="1" x14ac:dyDescent="0.3">
      <c r="A98" s="117"/>
      <c r="C98" s="68" t="s">
        <v>55</v>
      </c>
      <c r="D98" s="87" t="s">
        <v>99</v>
      </c>
      <c r="E98" s="85">
        <f>STATS1003B!E98/1000</f>
        <v>2191.6395000000002</v>
      </c>
      <c r="F98" s="85">
        <f>STATS1003B!F98/1000</f>
        <v>0</v>
      </c>
      <c r="G98" s="85">
        <f>STATS1003B!G98/1000</f>
        <v>0</v>
      </c>
      <c r="H98" s="85">
        <f>STATS1003B!H98/1000</f>
        <v>0</v>
      </c>
      <c r="I98" s="85">
        <f>STATS1003B!I98/1000</f>
        <v>0</v>
      </c>
      <c r="J98" s="85">
        <f>STATS1003B!J98/1000</f>
        <v>0</v>
      </c>
      <c r="K98" s="85">
        <f>STATS1003B!K98/1000</f>
        <v>0</v>
      </c>
      <c r="L98" s="85">
        <f>STATS1003B!L98/1000</f>
        <v>0</v>
      </c>
      <c r="M98" s="85">
        <f>STATS1003B!M98/1000</f>
        <v>0</v>
      </c>
      <c r="N98" s="85">
        <f>STATS1003B!N98/1000</f>
        <v>2191.6395000000002</v>
      </c>
      <c r="O98" s="85">
        <f>STATS1003B!O98/1000</f>
        <v>0</v>
      </c>
      <c r="P98" s="85">
        <f>STATS1003B!P98/1000</f>
        <v>2191.6395000000002</v>
      </c>
      <c r="Q98" s="85">
        <f>STATS1003B!Q98/1000</f>
        <v>0</v>
      </c>
      <c r="R98" s="85">
        <f>STATS1003B!R98/1000</f>
        <v>0</v>
      </c>
      <c r="S98" s="85">
        <f>STATS1003B!S98/1000</f>
        <v>0</v>
      </c>
      <c r="T98" s="85">
        <f>STATS1003B!T98/1000</f>
        <v>0</v>
      </c>
      <c r="U98" s="85">
        <f>STATS1003B!U98/1000</f>
        <v>2191.6395000000002</v>
      </c>
      <c r="V98" s="85">
        <f>STATS1003B!V98/1000</f>
        <v>2191.6395000000002</v>
      </c>
      <c r="W98" s="85">
        <f>STATS1003B!W98/1000</f>
        <v>0</v>
      </c>
      <c r="X98" s="85">
        <f t="shared" si="4"/>
        <v>2191.6395000000002</v>
      </c>
      <c r="Y98" s="85">
        <f>STATS1003B!Y98/1000</f>
        <v>0</v>
      </c>
      <c r="Z98" s="85">
        <f t="shared" si="5"/>
        <v>0</v>
      </c>
      <c r="AA98" s="69">
        <f>STATS1003B!AA98/1000</f>
        <v>2191.6395000000002</v>
      </c>
      <c r="AB98" s="69">
        <f>STATS1003B!AB98/1000</f>
        <v>0</v>
      </c>
    </row>
    <row r="99" spans="1:28" hidden="1" x14ac:dyDescent="0.3">
      <c r="A99" s="117"/>
      <c r="C99" s="68" t="s">
        <v>53</v>
      </c>
      <c r="D99" s="87" t="s">
        <v>54</v>
      </c>
      <c r="E99" s="85">
        <f>STATS1003B!E99/1000</f>
        <v>2306.1060000000002</v>
      </c>
      <c r="F99" s="85">
        <f>STATS1003B!F99/1000</f>
        <v>0</v>
      </c>
      <c r="G99" s="85">
        <f>STATS1003B!G99/1000</f>
        <v>0</v>
      </c>
      <c r="H99" s="85">
        <f>STATS1003B!H99/1000</f>
        <v>0</v>
      </c>
      <c r="I99" s="85">
        <f>STATS1003B!I99/1000</f>
        <v>0</v>
      </c>
      <c r="J99" s="85">
        <f>STATS1003B!J99/1000</f>
        <v>0</v>
      </c>
      <c r="K99" s="85">
        <f>STATS1003B!K99/1000</f>
        <v>0</v>
      </c>
      <c r="L99" s="85">
        <f>STATS1003B!L99/1000</f>
        <v>0</v>
      </c>
      <c r="M99" s="85">
        <f>STATS1003B!M99/1000</f>
        <v>0</v>
      </c>
      <c r="N99" s="85">
        <f>STATS1003B!N99/1000</f>
        <v>2306.1060000000002</v>
      </c>
      <c r="O99" s="85">
        <f>STATS1003B!O99/1000</f>
        <v>0</v>
      </c>
      <c r="P99" s="85">
        <f>STATS1003B!P99/1000</f>
        <v>2306.1060000000002</v>
      </c>
      <c r="Q99" s="85">
        <f>STATS1003B!Q99/1000</f>
        <v>0</v>
      </c>
      <c r="R99" s="85">
        <f>STATS1003B!R99/1000</f>
        <v>0</v>
      </c>
      <c r="S99" s="85">
        <f>STATS1003B!S99/1000</f>
        <v>0</v>
      </c>
      <c r="T99" s="85">
        <f>STATS1003B!T99/1000</f>
        <v>0</v>
      </c>
      <c r="U99" s="85">
        <f>STATS1003B!U99/1000</f>
        <v>2306.1060000000002</v>
      </c>
      <c r="V99" s="85">
        <f>STATS1003B!V99/1000</f>
        <v>2306.1060000000002</v>
      </c>
      <c r="W99" s="85">
        <f>STATS1003B!W99/1000</f>
        <v>0</v>
      </c>
      <c r="X99" s="85">
        <f t="shared" si="4"/>
        <v>2306.1060000000002</v>
      </c>
      <c r="Y99" s="85">
        <f>STATS1003B!Y99/1000</f>
        <v>0</v>
      </c>
      <c r="Z99" s="85">
        <f t="shared" si="5"/>
        <v>0</v>
      </c>
      <c r="AA99" s="69">
        <f>STATS1003B!AA99/1000</f>
        <v>2306.1060000000002</v>
      </c>
      <c r="AB99" s="69">
        <f>STATS1003B!AB99/1000</f>
        <v>0</v>
      </c>
    </row>
    <row r="100" spans="1:28" hidden="1" x14ac:dyDescent="0.3">
      <c r="A100" s="117"/>
      <c r="C100" s="68" t="s">
        <v>87</v>
      </c>
      <c r="D100" s="87" t="s">
        <v>88</v>
      </c>
      <c r="E100" s="85">
        <f>STATS1003B!E100/1000</f>
        <v>10177.34</v>
      </c>
      <c r="F100" s="85">
        <f>STATS1003B!F100/1000</f>
        <v>10177.34</v>
      </c>
      <c r="G100" s="85">
        <f>STATS1003B!G100/1000</f>
        <v>0</v>
      </c>
      <c r="H100" s="85">
        <f>STATS1003B!H100/1000</f>
        <v>10177.34</v>
      </c>
      <c r="I100" s="85">
        <f>STATS1003B!I100/1000</f>
        <v>0</v>
      </c>
      <c r="J100" s="85">
        <f>STATS1003B!J100/1000</f>
        <v>0</v>
      </c>
      <c r="K100" s="85">
        <f>STATS1003B!K100/1000</f>
        <v>0</v>
      </c>
      <c r="L100" s="85">
        <f>STATS1003B!L100/1000</f>
        <v>0</v>
      </c>
      <c r="M100" s="85">
        <f>STATS1003B!M100/1000</f>
        <v>10177.34</v>
      </c>
      <c r="N100" s="85">
        <f>STATS1003B!N100/1000</f>
        <v>0</v>
      </c>
      <c r="O100" s="85">
        <f>STATS1003B!O100/1000</f>
        <v>0</v>
      </c>
      <c r="P100" s="85">
        <f>STATS1003B!P100/1000</f>
        <v>0</v>
      </c>
      <c r="Q100" s="85">
        <f>STATS1003B!Q100/1000</f>
        <v>0</v>
      </c>
      <c r="R100" s="85">
        <f>STATS1003B!R100/1000</f>
        <v>0</v>
      </c>
      <c r="S100" s="85">
        <f>STATS1003B!S100/1000</f>
        <v>0</v>
      </c>
      <c r="T100" s="85">
        <f>STATS1003B!T100/1000</f>
        <v>0</v>
      </c>
      <c r="U100" s="85">
        <f>STATS1003B!U100/1000</f>
        <v>0</v>
      </c>
      <c r="V100" s="85">
        <f>STATS1003B!V100/1000</f>
        <v>10177.34</v>
      </c>
      <c r="W100" s="85">
        <f>STATS1003B!W100/1000</f>
        <v>0</v>
      </c>
      <c r="X100" s="85">
        <f t="shared" si="4"/>
        <v>10177.34</v>
      </c>
      <c r="Y100" s="85">
        <f>STATS1003B!Y100/1000</f>
        <v>0</v>
      </c>
      <c r="Z100" s="85">
        <f t="shared" si="5"/>
        <v>0</v>
      </c>
      <c r="AA100" s="69">
        <f>STATS1003B!AA100/1000</f>
        <v>10177.34</v>
      </c>
      <c r="AB100" s="69">
        <f>STATS1003B!AB100/1000</f>
        <v>0</v>
      </c>
    </row>
    <row r="101" spans="1:28" hidden="1" x14ac:dyDescent="0.3">
      <c r="A101" s="117"/>
      <c r="C101" s="68" t="s">
        <v>57</v>
      </c>
      <c r="D101" s="87" t="s">
        <v>58</v>
      </c>
      <c r="E101" s="85">
        <f>STATS1003B!E101/1000</f>
        <v>2849.2040000000002</v>
      </c>
      <c r="F101" s="85">
        <f>STATS1003B!F101/1000</f>
        <v>2849.2040000000002</v>
      </c>
      <c r="G101" s="85">
        <f>STATS1003B!G101/1000</f>
        <v>0</v>
      </c>
      <c r="H101" s="85">
        <f>STATS1003B!H101/1000</f>
        <v>2849.2040000000002</v>
      </c>
      <c r="I101" s="85">
        <f>STATS1003B!I101/1000</f>
        <v>0</v>
      </c>
      <c r="J101" s="85">
        <f>STATS1003B!J101/1000</f>
        <v>0</v>
      </c>
      <c r="K101" s="85">
        <f>STATS1003B!K101/1000</f>
        <v>0</v>
      </c>
      <c r="L101" s="85">
        <f>STATS1003B!L101/1000</f>
        <v>0</v>
      </c>
      <c r="M101" s="85">
        <f>STATS1003B!M101/1000</f>
        <v>2849.2040000000002</v>
      </c>
      <c r="N101" s="85">
        <f>STATS1003B!N101/1000</f>
        <v>0</v>
      </c>
      <c r="O101" s="85">
        <f>STATS1003B!O101/1000</f>
        <v>0</v>
      </c>
      <c r="P101" s="85">
        <f>STATS1003B!P101/1000</f>
        <v>0</v>
      </c>
      <c r="Q101" s="85">
        <f>STATS1003B!Q101/1000</f>
        <v>0</v>
      </c>
      <c r="R101" s="85">
        <f>STATS1003B!R101/1000</f>
        <v>0</v>
      </c>
      <c r="S101" s="85">
        <f>STATS1003B!S101/1000</f>
        <v>0</v>
      </c>
      <c r="T101" s="85">
        <f>STATS1003B!T101/1000</f>
        <v>0</v>
      </c>
      <c r="U101" s="85">
        <f>STATS1003B!U101/1000</f>
        <v>0</v>
      </c>
      <c r="V101" s="85">
        <f>STATS1003B!V101/1000</f>
        <v>2849.2040000000002</v>
      </c>
      <c r="W101" s="85">
        <f>STATS1003B!W101/1000</f>
        <v>0</v>
      </c>
      <c r="X101" s="85">
        <f t="shared" si="4"/>
        <v>2849.2040000000002</v>
      </c>
      <c r="Y101" s="85">
        <f>STATS1003B!Y101/1000</f>
        <v>0</v>
      </c>
      <c r="Z101" s="85">
        <f t="shared" si="5"/>
        <v>0</v>
      </c>
      <c r="AA101" s="69">
        <f>STATS1003B!AA101/1000</f>
        <v>2849.2040000000002</v>
      </c>
      <c r="AB101" s="69">
        <f>STATS1003B!AB101/1000</f>
        <v>0</v>
      </c>
    </row>
    <row r="102" spans="1:28" hidden="1" x14ac:dyDescent="0.3">
      <c r="A102" s="117"/>
      <c r="C102" s="71" t="s">
        <v>59</v>
      </c>
      <c r="D102" s="90" t="s">
        <v>60</v>
      </c>
      <c r="E102" s="85">
        <f>STATS1003B!E102/1000</f>
        <v>7500</v>
      </c>
      <c r="F102" s="85">
        <f>STATS1003B!F102/1000</f>
        <v>7500</v>
      </c>
      <c r="G102" s="85">
        <f>STATS1003B!G102/1000</f>
        <v>0</v>
      </c>
      <c r="H102" s="85">
        <f>STATS1003B!H102/1000</f>
        <v>7500</v>
      </c>
      <c r="I102" s="85">
        <f>STATS1003B!I102/1000</f>
        <v>0</v>
      </c>
      <c r="J102" s="85">
        <f>STATS1003B!J102/1000</f>
        <v>0</v>
      </c>
      <c r="K102" s="85">
        <f>STATS1003B!K102/1000</f>
        <v>0</v>
      </c>
      <c r="L102" s="85">
        <f>STATS1003B!L102/1000</f>
        <v>0</v>
      </c>
      <c r="M102" s="85">
        <f>STATS1003B!M102/1000</f>
        <v>7500</v>
      </c>
      <c r="N102" s="85">
        <f>STATS1003B!N102/1000</f>
        <v>0</v>
      </c>
      <c r="O102" s="85">
        <f>STATS1003B!O102/1000</f>
        <v>0</v>
      </c>
      <c r="P102" s="85">
        <f>STATS1003B!P102/1000</f>
        <v>0</v>
      </c>
      <c r="Q102" s="85">
        <f>STATS1003B!Q102/1000</f>
        <v>0</v>
      </c>
      <c r="R102" s="85">
        <f>STATS1003B!R102/1000</f>
        <v>0</v>
      </c>
      <c r="S102" s="85">
        <f>STATS1003B!S102/1000</f>
        <v>0</v>
      </c>
      <c r="T102" s="85">
        <f>STATS1003B!T102/1000</f>
        <v>0</v>
      </c>
      <c r="U102" s="85">
        <f>STATS1003B!U102/1000</f>
        <v>0</v>
      </c>
      <c r="V102" s="85">
        <f>STATS1003B!V102/1000</f>
        <v>7500</v>
      </c>
      <c r="W102" s="85">
        <f>STATS1003B!W102/1000</f>
        <v>0</v>
      </c>
      <c r="X102" s="85">
        <f t="shared" si="4"/>
        <v>7500</v>
      </c>
      <c r="Y102" s="85">
        <f>STATS1003B!Y102/1000</f>
        <v>0</v>
      </c>
      <c r="Z102" s="85">
        <f t="shared" si="5"/>
        <v>0</v>
      </c>
      <c r="AA102" s="69">
        <f>STATS1003B!AA102/1000</f>
        <v>7500</v>
      </c>
      <c r="AB102" s="69">
        <f>STATS1003B!AB102/1000</f>
        <v>0</v>
      </c>
    </row>
    <row r="103" spans="1:28" hidden="1" x14ac:dyDescent="0.3">
      <c r="A103" s="117"/>
      <c r="C103" s="71" t="s">
        <v>1090</v>
      </c>
      <c r="D103" s="90" t="s">
        <v>1072</v>
      </c>
      <c r="E103" s="85">
        <f>STATS1003B!E103/1000</f>
        <v>1790.80945</v>
      </c>
      <c r="F103" s="85">
        <f>STATS1003B!F103/1000</f>
        <v>1790.80945</v>
      </c>
      <c r="G103" s="85">
        <f>STATS1003B!G103/1000</f>
        <v>0</v>
      </c>
      <c r="H103" s="85">
        <f>STATS1003B!H103/1000</f>
        <v>1790.80945</v>
      </c>
      <c r="I103" s="85">
        <f>STATS1003B!I103/1000</f>
        <v>0</v>
      </c>
      <c r="J103" s="85">
        <f>STATS1003B!J103/1000</f>
        <v>0</v>
      </c>
      <c r="K103" s="85">
        <f>STATS1003B!K103/1000</f>
        <v>0</v>
      </c>
      <c r="L103" s="85">
        <f>STATS1003B!L103/1000</f>
        <v>0</v>
      </c>
      <c r="M103" s="85">
        <f>STATS1003B!M103/1000</f>
        <v>1790.80945</v>
      </c>
      <c r="N103" s="85">
        <f>STATS1003B!N103/1000</f>
        <v>0</v>
      </c>
      <c r="O103" s="85">
        <f>STATS1003B!O103/1000</f>
        <v>0</v>
      </c>
      <c r="P103" s="85">
        <f>STATS1003B!P103/1000</f>
        <v>0</v>
      </c>
      <c r="Q103" s="85">
        <f>STATS1003B!Q103/1000</f>
        <v>0</v>
      </c>
      <c r="R103" s="85">
        <f>STATS1003B!R103/1000</f>
        <v>0</v>
      </c>
      <c r="S103" s="85">
        <f>STATS1003B!S103/1000</f>
        <v>0</v>
      </c>
      <c r="T103" s="85">
        <f>STATS1003B!T103/1000</f>
        <v>0</v>
      </c>
      <c r="U103" s="85">
        <f>STATS1003B!U103/1000</f>
        <v>0</v>
      </c>
      <c r="V103" s="85">
        <f>STATS1003B!V103/1000</f>
        <v>0</v>
      </c>
      <c r="W103" s="85">
        <f>STATS1003B!W103/1000</f>
        <v>0</v>
      </c>
      <c r="X103" s="85">
        <f t="shared" si="4"/>
        <v>1790.80945</v>
      </c>
      <c r="Y103" s="85">
        <f>STATS1003B!Y103/1000</f>
        <v>0</v>
      </c>
      <c r="Z103" s="85">
        <f t="shared" si="5"/>
        <v>0</v>
      </c>
      <c r="AA103" s="69">
        <f>STATS1003B!AA103/1000</f>
        <v>1790.80945</v>
      </c>
      <c r="AB103" s="69">
        <f>STATS1003B!AB103/1000</f>
        <v>0</v>
      </c>
    </row>
    <row r="104" spans="1:28" hidden="1" x14ac:dyDescent="0.3">
      <c r="A104" s="117"/>
      <c r="C104" s="71" t="s">
        <v>1213</v>
      </c>
      <c r="D104" s="90" t="s">
        <v>1126</v>
      </c>
      <c r="E104" s="85">
        <f>STATS1003B!E104/1000</f>
        <v>300</v>
      </c>
      <c r="F104" s="85">
        <f>STATS1003B!F104/1000</f>
        <v>300</v>
      </c>
      <c r="G104" s="85">
        <f>STATS1003B!G104/1000</f>
        <v>0</v>
      </c>
      <c r="H104" s="85">
        <f>STATS1003B!H104/1000</f>
        <v>300</v>
      </c>
      <c r="I104" s="85">
        <f>STATS1003B!I104/1000</f>
        <v>0</v>
      </c>
      <c r="J104" s="85">
        <f>STATS1003B!J104/1000</f>
        <v>0</v>
      </c>
      <c r="K104" s="85">
        <f>STATS1003B!K104/1000</f>
        <v>0</v>
      </c>
      <c r="L104" s="85">
        <f>STATS1003B!L104/1000</f>
        <v>0</v>
      </c>
      <c r="M104" s="85">
        <f>STATS1003B!M104/1000</f>
        <v>300</v>
      </c>
      <c r="N104" s="85">
        <f>STATS1003B!N104/1000</f>
        <v>0</v>
      </c>
      <c r="O104" s="85">
        <f>STATS1003B!O104/1000</f>
        <v>0</v>
      </c>
      <c r="P104" s="85">
        <f>STATS1003B!P104/1000</f>
        <v>0</v>
      </c>
      <c r="Q104" s="85">
        <f>STATS1003B!Q104/1000</f>
        <v>0</v>
      </c>
      <c r="R104" s="85">
        <f>STATS1003B!R104/1000</f>
        <v>0</v>
      </c>
      <c r="S104" s="85">
        <f>STATS1003B!S104/1000</f>
        <v>0</v>
      </c>
      <c r="T104" s="85">
        <f>STATS1003B!T104/1000</f>
        <v>0</v>
      </c>
      <c r="U104" s="85">
        <f>STATS1003B!U104/1000</f>
        <v>0</v>
      </c>
      <c r="V104" s="85">
        <f>STATS1003B!V104/1000</f>
        <v>0</v>
      </c>
      <c r="W104" s="85">
        <f>STATS1003B!W104/1000</f>
        <v>0</v>
      </c>
      <c r="X104" s="85">
        <f t="shared" si="4"/>
        <v>300</v>
      </c>
      <c r="Y104" s="85">
        <f>STATS1003B!Y104/1000</f>
        <v>0</v>
      </c>
      <c r="Z104" s="85">
        <f t="shared" si="5"/>
        <v>0</v>
      </c>
      <c r="AA104" s="69">
        <f>STATS1003B!AA104/1000</f>
        <v>300</v>
      </c>
      <c r="AB104" s="69">
        <f>STATS1003B!AB104/1000</f>
        <v>0</v>
      </c>
    </row>
    <row r="105" spans="1:28" hidden="1" x14ac:dyDescent="0.3">
      <c r="A105" s="117"/>
      <c r="C105" s="68" t="s">
        <v>100</v>
      </c>
      <c r="E105" s="85">
        <f>STATS1003B!E105/1000</f>
        <v>3459.52</v>
      </c>
      <c r="F105" s="85">
        <f>STATS1003B!F105/1000</f>
        <v>3459.52</v>
      </c>
      <c r="G105" s="85">
        <f>STATS1003B!G105/1000</f>
        <v>0</v>
      </c>
      <c r="H105" s="85">
        <f>STATS1003B!H105/1000</f>
        <v>3459.52</v>
      </c>
      <c r="I105" s="85">
        <f>STATS1003B!I105/1000</f>
        <v>0</v>
      </c>
      <c r="J105" s="85">
        <f>STATS1003B!J105/1000</f>
        <v>0</v>
      </c>
      <c r="K105" s="85">
        <f>STATS1003B!K105/1000</f>
        <v>0</v>
      </c>
      <c r="L105" s="85">
        <f>STATS1003B!L105/1000</f>
        <v>0</v>
      </c>
      <c r="M105" s="85">
        <f>STATS1003B!M105/1000</f>
        <v>3459.52</v>
      </c>
      <c r="N105" s="85">
        <f>STATS1003B!N105/1000</f>
        <v>0</v>
      </c>
      <c r="O105" s="85">
        <f>STATS1003B!O105/1000</f>
        <v>0</v>
      </c>
      <c r="P105" s="85">
        <f>STATS1003B!P105/1000</f>
        <v>0</v>
      </c>
      <c r="Q105" s="85">
        <f>STATS1003B!Q105/1000</f>
        <v>0</v>
      </c>
      <c r="R105" s="85">
        <f>STATS1003B!R105/1000</f>
        <v>0</v>
      </c>
      <c r="S105" s="85">
        <f>STATS1003B!S105/1000</f>
        <v>0</v>
      </c>
      <c r="T105" s="85">
        <f>STATS1003B!T105/1000</f>
        <v>0</v>
      </c>
      <c r="U105" s="85">
        <f>STATS1003B!U105/1000</f>
        <v>0</v>
      </c>
      <c r="V105" s="85">
        <f>STATS1003B!V105/1000</f>
        <v>3459.52</v>
      </c>
      <c r="W105" s="85">
        <f>STATS1003B!W105/1000</f>
        <v>0</v>
      </c>
      <c r="X105" s="85">
        <f t="shared" si="4"/>
        <v>3459.52</v>
      </c>
      <c r="Y105" s="85">
        <f>STATS1003B!Y105/1000</f>
        <v>0</v>
      </c>
      <c r="Z105" s="85">
        <f t="shared" si="5"/>
        <v>0</v>
      </c>
      <c r="AA105" s="69">
        <f>STATS1003B!AA105/1000</f>
        <v>3459.52</v>
      </c>
      <c r="AB105" s="69">
        <f>STATS1003B!AB105/1000</f>
        <v>0</v>
      </c>
    </row>
    <row r="106" spans="1:28" hidden="1" x14ac:dyDescent="0.3">
      <c r="A106" s="117"/>
      <c r="E106" s="86" t="s">
        <v>29</v>
      </c>
      <c r="F106" s="86" t="s">
        <v>29</v>
      </c>
      <c r="G106" s="86" t="s">
        <v>29</v>
      </c>
      <c r="H106" s="86" t="s">
        <v>29</v>
      </c>
      <c r="I106" s="86" t="s">
        <v>29</v>
      </c>
      <c r="J106" s="86" t="s">
        <v>29</v>
      </c>
      <c r="K106" s="86" t="s">
        <v>29</v>
      </c>
      <c r="L106" s="86" t="s">
        <v>29</v>
      </c>
      <c r="M106" s="86" t="s">
        <v>29</v>
      </c>
      <c r="N106" s="86" t="s">
        <v>29</v>
      </c>
      <c r="O106" s="86" t="s">
        <v>29</v>
      </c>
      <c r="P106" s="86" t="s">
        <v>29</v>
      </c>
      <c r="Q106" s="86" t="s">
        <v>29</v>
      </c>
      <c r="R106" s="86" t="s">
        <v>29</v>
      </c>
      <c r="S106" s="86" t="s">
        <v>29</v>
      </c>
      <c r="T106" s="86" t="s">
        <v>29</v>
      </c>
      <c r="U106" s="86" t="s">
        <v>29</v>
      </c>
      <c r="V106" s="86" t="s">
        <v>29</v>
      </c>
      <c r="W106" s="86" t="s">
        <v>29</v>
      </c>
      <c r="X106" s="85" t="e">
        <f t="shared" si="4"/>
        <v>#VALUE!</v>
      </c>
      <c r="Y106" s="86" t="s">
        <v>29</v>
      </c>
      <c r="Z106" s="85" t="e">
        <f t="shared" si="5"/>
        <v>#VALUE!</v>
      </c>
      <c r="AA106" s="115" t="s">
        <v>29</v>
      </c>
      <c r="AB106" s="115" t="s">
        <v>29</v>
      </c>
    </row>
    <row r="107" spans="1:28" x14ac:dyDescent="0.3">
      <c r="A107" s="116" t="s">
        <v>938</v>
      </c>
      <c r="B107" s="68" t="s">
        <v>97</v>
      </c>
      <c r="E107" s="85">
        <f>111134594.95/1000</f>
        <v>111134.59495</v>
      </c>
      <c r="F107" s="85">
        <f>SUM(F95:F105)</f>
        <v>32605.071450000003</v>
      </c>
      <c r="G107" s="85">
        <f>SUM(G95:G105)</f>
        <v>0</v>
      </c>
      <c r="H107" s="85">
        <f>103884849.45/1000</f>
        <v>103884.84945000001</v>
      </c>
      <c r="I107" s="85">
        <f t="shared" ref="I107:O107" si="10">SUM(I95:I105)</f>
        <v>0</v>
      </c>
      <c r="J107" s="85">
        <f t="shared" si="10"/>
        <v>0</v>
      </c>
      <c r="K107" s="85">
        <f t="shared" si="10"/>
        <v>0</v>
      </c>
      <c r="L107" s="85">
        <f t="shared" si="10"/>
        <v>0</v>
      </c>
      <c r="M107" s="85">
        <f t="shared" si="10"/>
        <v>32605.071450000003</v>
      </c>
      <c r="N107" s="85">
        <f t="shared" si="10"/>
        <v>7249.7455000000009</v>
      </c>
      <c r="O107" s="85">
        <f t="shared" si="10"/>
        <v>0</v>
      </c>
      <c r="P107" s="85">
        <f>7249745/1000</f>
        <v>7249.7449999999999</v>
      </c>
      <c r="Q107" s="85">
        <f t="shared" ref="Q107:W107" si="11">SUM(Q95:Q105)</f>
        <v>0</v>
      </c>
      <c r="R107" s="85">
        <f t="shared" si="11"/>
        <v>0</v>
      </c>
      <c r="S107" s="85">
        <f t="shared" si="11"/>
        <v>0</v>
      </c>
      <c r="T107" s="85">
        <f t="shared" si="11"/>
        <v>0</v>
      </c>
      <c r="U107" s="85">
        <f t="shared" si="11"/>
        <v>7249.7455000000009</v>
      </c>
      <c r="V107" s="85">
        <f t="shared" si="11"/>
        <v>37764.0075</v>
      </c>
      <c r="W107" s="85">
        <f t="shared" si="11"/>
        <v>0</v>
      </c>
      <c r="X107" s="85">
        <f t="shared" si="4"/>
        <v>111134.59445</v>
      </c>
      <c r="Y107" s="85">
        <f>SUM(Y95:Y105)</f>
        <v>0</v>
      </c>
      <c r="Z107" s="85">
        <f t="shared" si="5"/>
        <v>4.999999946448952E-4</v>
      </c>
      <c r="AA107" s="69">
        <f>SUM(AA95:AA105)</f>
        <v>39854.81695</v>
      </c>
      <c r="AB107" s="69">
        <f>SUM(AB95:AB105)</f>
        <v>0</v>
      </c>
    </row>
    <row r="108" spans="1:28" hidden="1" x14ac:dyDescent="0.3">
      <c r="A108" s="117"/>
      <c r="E108" s="86" t="s">
        <v>29</v>
      </c>
      <c r="F108" s="86" t="s">
        <v>29</v>
      </c>
      <c r="G108" s="86" t="s">
        <v>29</v>
      </c>
      <c r="H108" s="86" t="s">
        <v>29</v>
      </c>
      <c r="I108" s="86" t="s">
        <v>29</v>
      </c>
      <c r="J108" s="86" t="s">
        <v>29</v>
      </c>
      <c r="K108" s="86" t="s">
        <v>29</v>
      </c>
      <c r="L108" s="86" t="s">
        <v>29</v>
      </c>
      <c r="M108" s="86" t="s">
        <v>29</v>
      </c>
      <c r="N108" s="86" t="s">
        <v>29</v>
      </c>
      <c r="O108" s="86" t="s">
        <v>29</v>
      </c>
      <c r="P108" s="86" t="s">
        <v>29</v>
      </c>
      <c r="Q108" s="86" t="s">
        <v>29</v>
      </c>
      <c r="R108" s="86" t="s">
        <v>29</v>
      </c>
      <c r="S108" s="86" t="s">
        <v>29</v>
      </c>
      <c r="T108" s="86" t="s">
        <v>29</v>
      </c>
      <c r="U108" s="86" t="s">
        <v>29</v>
      </c>
      <c r="V108" s="86" t="s">
        <v>29</v>
      </c>
      <c r="W108" s="86" t="s">
        <v>29</v>
      </c>
      <c r="X108" s="85" t="e">
        <f t="shared" si="4"/>
        <v>#VALUE!</v>
      </c>
      <c r="Y108" s="86" t="s">
        <v>29</v>
      </c>
      <c r="Z108" s="85" t="e">
        <f t="shared" si="5"/>
        <v>#VALUE!</v>
      </c>
      <c r="AA108" s="115" t="s">
        <v>29</v>
      </c>
      <c r="AB108" s="115" t="s">
        <v>29</v>
      </c>
    </row>
    <row r="109" spans="1:28" hidden="1" x14ac:dyDescent="0.3">
      <c r="A109" s="105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5">
        <f t="shared" ref="X109:X130" si="12">+H109+P109</f>
        <v>0</v>
      </c>
      <c r="Y109" s="84"/>
      <c r="Z109" s="85">
        <f t="shared" ref="Z109:Z130" si="13">+E109-X109</f>
        <v>0</v>
      </c>
      <c r="AA109" s="118"/>
    </row>
    <row r="110" spans="1:28" hidden="1" x14ac:dyDescent="0.3">
      <c r="A110" s="117"/>
      <c r="C110" s="68" t="s">
        <v>75</v>
      </c>
      <c r="D110" s="88" t="s">
        <v>76</v>
      </c>
      <c r="E110" s="85">
        <f>STATS1003B!E110/1000</f>
        <v>7714</v>
      </c>
      <c r="F110" s="85">
        <f>STATS1003B!F110/1000</f>
        <v>0</v>
      </c>
      <c r="G110" s="85">
        <f>STATS1003B!G110/1000</f>
        <v>0</v>
      </c>
      <c r="H110" s="85">
        <f>STATS1003B!H110/1000</f>
        <v>0</v>
      </c>
      <c r="I110" s="85">
        <f>STATS1003B!I110/1000</f>
        <v>0</v>
      </c>
      <c r="J110" s="85">
        <f>STATS1003B!J110/1000</f>
        <v>0</v>
      </c>
      <c r="K110" s="85">
        <f>STATS1003B!K110/1000</f>
        <v>0</v>
      </c>
      <c r="L110" s="85">
        <f>STATS1003B!L110/1000</f>
        <v>0</v>
      </c>
      <c r="M110" s="85">
        <f>STATS1003B!M110/1000</f>
        <v>0</v>
      </c>
      <c r="N110" s="85">
        <f>STATS1003B!N110/1000</f>
        <v>4611.64732</v>
      </c>
      <c r="O110" s="85">
        <f>STATS1003B!O110/1000</f>
        <v>0</v>
      </c>
      <c r="P110" s="85">
        <f>STATS1003B!P110/1000</f>
        <v>4611.64732</v>
      </c>
      <c r="Q110" s="85">
        <f>STATS1003B!Q110/1000</f>
        <v>0</v>
      </c>
      <c r="R110" s="85">
        <f>STATS1003B!R110/1000</f>
        <v>0</v>
      </c>
      <c r="S110" s="85">
        <f>STATS1003B!S110/1000</f>
        <v>0</v>
      </c>
      <c r="T110" s="85">
        <f>STATS1003B!T110/1000</f>
        <v>0</v>
      </c>
      <c r="U110" s="85">
        <f>STATS1003B!U110/1000</f>
        <v>4611.64732</v>
      </c>
      <c r="V110" s="85">
        <f>STATS1003B!V110/1000</f>
        <v>4611.64732</v>
      </c>
      <c r="W110" s="85">
        <f>STATS1003B!W110/1000</f>
        <v>3102.3526799999995</v>
      </c>
      <c r="X110" s="85">
        <f t="shared" si="12"/>
        <v>4611.64732</v>
      </c>
      <c r="Y110" s="85">
        <f>STATS1003B!Y110/1000</f>
        <v>0</v>
      </c>
      <c r="Z110" s="85">
        <f t="shared" si="13"/>
        <v>3102.35268</v>
      </c>
      <c r="AA110" s="69">
        <f>STATS1003B!AA110/1000</f>
        <v>4611.64732</v>
      </c>
      <c r="AB110" s="69">
        <f>STATS1003B!AB110/1000</f>
        <v>3102.3526799999995</v>
      </c>
    </row>
    <row r="111" spans="1:28" hidden="1" x14ac:dyDescent="0.3">
      <c r="A111" s="117"/>
      <c r="C111" s="71" t="s">
        <v>77</v>
      </c>
      <c r="D111" s="88" t="s">
        <v>78</v>
      </c>
      <c r="E111" s="85">
        <f>STATS1003B!E111/1000</f>
        <v>15182.87355</v>
      </c>
      <c r="F111" s="85">
        <f>STATS1003B!F111/1000</f>
        <v>8688.2203599999993</v>
      </c>
      <c r="G111" s="85">
        <f>STATS1003B!G111/1000</f>
        <v>0</v>
      </c>
      <c r="H111" s="85">
        <f>STATS1003B!H111/1000</f>
        <v>8688.2203599999993</v>
      </c>
      <c r="I111" s="85">
        <f>STATS1003B!I111/1000</f>
        <v>0</v>
      </c>
      <c r="J111" s="85">
        <f>STATS1003B!J111/1000</f>
        <v>0</v>
      </c>
      <c r="K111" s="85">
        <f>STATS1003B!K111/1000</f>
        <v>0</v>
      </c>
      <c r="L111" s="85">
        <f>STATS1003B!L111/1000</f>
        <v>0</v>
      </c>
      <c r="M111" s="85">
        <f>STATS1003B!M111/1000</f>
        <v>8688.2203599999993</v>
      </c>
      <c r="N111" s="85">
        <f>STATS1003B!N111/1000</f>
        <v>6494.65319</v>
      </c>
      <c r="O111" s="85">
        <f>STATS1003B!O111/1000</f>
        <v>0</v>
      </c>
      <c r="P111" s="85">
        <f>STATS1003B!P111/1000</f>
        <v>6494.65319</v>
      </c>
      <c r="Q111" s="85">
        <f>STATS1003B!Q111/1000</f>
        <v>0</v>
      </c>
      <c r="R111" s="85">
        <f>STATS1003B!R111/1000</f>
        <v>0</v>
      </c>
      <c r="S111" s="85">
        <f>STATS1003B!S111/1000</f>
        <v>0</v>
      </c>
      <c r="T111" s="85">
        <f>STATS1003B!T111/1000</f>
        <v>0</v>
      </c>
      <c r="U111" s="85">
        <f>STATS1003B!U111/1000</f>
        <v>6494.65319</v>
      </c>
      <c r="V111" s="85">
        <f>STATS1003B!V111/1000</f>
        <v>15182.87355</v>
      </c>
      <c r="W111" s="85">
        <f>STATS1003B!W111/1000</f>
        <v>0</v>
      </c>
      <c r="X111" s="85">
        <f t="shared" si="12"/>
        <v>15182.87355</v>
      </c>
      <c r="Y111" s="85">
        <f>STATS1003B!Y111/1000</f>
        <v>0</v>
      </c>
      <c r="Z111" s="85">
        <f t="shared" si="13"/>
        <v>0</v>
      </c>
      <c r="AA111" s="69">
        <f>STATS1003B!AA111/1000</f>
        <v>15182.87355</v>
      </c>
      <c r="AB111" s="69">
        <f>STATS1003B!AB111/1000</f>
        <v>0</v>
      </c>
    </row>
    <row r="112" spans="1:28" hidden="1" x14ac:dyDescent="0.3">
      <c r="A112" s="117"/>
      <c r="C112" s="68" t="s">
        <v>92</v>
      </c>
      <c r="D112" s="87" t="s">
        <v>79</v>
      </c>
      <c r="E112" s="85">
        <f>STATS1003B!E112/1000</f>
        <v>17444.897670000002</v>
      </c>
      <c r="F112" s="85">
        <f>STATS1003B!F112/1000</f>
        <v>16721.944449999999</v>
      </c>
      <c r="G112" s="85">
        <f>STATS1003B!G112/1000</f>
        <v>0</v>
      </c>
      <c r="H112" s="85">
        <f>STATS1003B!H112/1000</f>
        <v>16721.944449999999</v>
      </c>
      <c r="I112" s="85">
        <f>STATS1003B!I112/1000</f>
        <v>0</v>
      </c>
      <c r="J112" s="85">
        <f>STATS1003B!J112/1000</f>
        <v>0</v>
      </c>
      <c r="K112" s="85">
        <f>STATS1003B!K112/1000</f>
        <v>0</v>
      </c>
      <c r="L112" s="85">
        <f>STATS1003B!L112/1000</f>
        <v>0</v>
      </c>
      <c r="M112" s="85">
        <f>STATS1003B!M112/1000</f>
        <v>16721.944449999999</v>
      </c>
      <c r="N112" s="85">
        <f>STATS1003B!N112/1000</f>
        <v>722.95321999999999</v>
      </c>
      <c r="O112" s="85">
        <f>STATS1003B!O112/1000</f>
        <v>0</v>
      </c>
      <c r="P112" s="85">
        <f>STATS1003B!P112/1000</f>
        <v>722.95321999999999</v>
      </c>
      <c r="Q112" s="85">
        <f>STATS1003B!Q112/1000</f>
        <v>0</v>
      </c>
      <c r="R112" s="85">
        <f>STATS1003B!R112/1000</f>
        <v>0</v>
      </c>
      <c r="S112" s="85">
        <f>STATS1003B!S112/1000</f>
        <v>0</v>
      </c>
      <c r="T112" s="85">
        <f>STATS1003B!T112/1000</f>
        <v>0</v>
      </c>
      <c r="U112" s="85">
        <f>STATS1003B!U112/1000</f>
        <v>722.95321999999999</v>
      </c>
      <c r="V112" s="85">
        <f>STATS1003B!V112/1000</f>
        <v>17444.897669999998</v>
      </c>
      <c r="W112" s="85">
        <f>STATS1003B!W112/1000</f>
        <v>0</v>
      </c>
      <c r="X112" s="85">
        <f t="shared" si="12"/>
        <v>17444.897669999998</v>
      </c>
      <c r="Y112" s="85">
        <f>STATS1003B!Y112/1000</f>
        <v>0</v>
      </c>
      <c r="Z112" s="85">
        <f t="shared" si="13"/>
        <v>0</v>
      </c>
      <c r="AA112" s="69">
        <f>STATS1003B!AA112/1000</f>
        <v>17444.897669999998</v>
      </c>
      <c r="AB112" s="69">
        <f>STATS1003B!AB112/1000</f>
        <v>0</v>
      </c>
    </row>
    <row r="113" spans="1:28" hidden="1" x14ac:dyDescent="0.3">
      <c r="A113" s="117"/>
      <c r="D113" s="71" t="s">
        <v>102</v>
      </c>
      <c r="E113" s="85">
        <f>STATS1003B!E113/1000</f>
        <v>0</v>
      </c>
      <c r="F113" s="85">
        <f>STATS1003B!F113/1000</f>
        <v>0</v>
      </c>
      <c r="G113" s="85">
        <f>STATS1003B!G113/1000</f>
        <v>0</v>
      </c>
      <c r="H113" s="85">
        <f>STATS1003B!H113/1000</f>
        <v>0</v>
      </c>
      <c r="I113" s="85">
        <f>STATS1003B!I113/1000</f>
        <v>0</v>
      </c>
      <c r="J113" s="85">
        <f>STATS1003B!J113/1000</f>
        <v>0</v>
      </c>
      <c r="K113" s="85">
        <f>STATS1003B!K113/1000</f>
        <v>0</v>
      </c>
      <c r="L113" s="85">
        <f>STATS1003B!L113/1000</f>
        <v>0</v>
      </c>
      <c r="M113" s="85">
        <f>STATS1003B!M113/1000</f>
        <v>0</v>
      </c>
      <c r="N113" s="85">
        <f>STATS1003B!N113/1000</f>
        <v>0</v>
      </c>
      <c r="O113" s="85">
        <f>STATS1003B!O113/1000</f>
        <v>0</v>
      </c>
      <c r="P113" s="85">
        <f>STATS1003B!P113/1000</f>
        <v>0</v>
      </c>
      <c r="Q113" s="85">
        <f>STATS1003B!Q113/1000</f>
        <v>0</v>
      </c>
      <c r="R113" s="85">
        <f>STATS1003B!R113/1000</f>
        <v>0</v>
      </c>
      <c r="S113" s="85">
        <f>STATS1003B!S113/1000</f>
        <v>0</v>
      </c>
      <c r="T113" s="85">
        <f>STATS1003B!T113/1000</f>
        <v>0</v>
      </c>
      <c r="U113" s="85">
        <f>STATS1003B!U113/1000</f>
        <v>0</v>
      </c>
      <c r="V113" s="85">
        <f>STATS1003B!V113/1000</f>
        <v>0</v>
      </c>
      <c r="W113" s="85">
        <f>STATS1003B!W113/1000</f>
        <v>0</v>
      </c>
      <c r="X113" s="85">
        <f t="shared" si="12"/>
        <v>0</v>
      </c>
      <c r="Y113" s="85">
        <f>STATS1003B!Y113/1000</f>
        <v>0</v>
      </c>
      <c r="Z113" s="85">
        <f t="shared" si="13"/>
        <v>0</v>
      </c>
      <c r="AA113" s="69">
        <f>STATS1003B!AA113/1000</f>
        <v>0</v>
      </c>
      <c r="AB113" s="69">
        <f>STATS1003B!AB113/1000</f>
        <v>0</v>
      </c>
    </row>
    <row r="114" spans="1:28" hidden="1" x14ac:dyDescent="0.3">
      <c r="A114" s="117"/>
      <c r="C114" s="68" t="s">
        <v>55</v>
      </c>
      <c r="D114" s="87" t="s">
        <v>99</v>
      </c>
      <c r="E114" s="85">
        <f>STATS1003B!E114/1000</f>
        <v>4695.4976999999999</v>
      </c>
      <c r="F114" s="85">
        <f>STATS1003B!F114/1000</f>
        <v>0</v>
      </c>
      <c r="G114" s="85">
        <f>STATS1003B!G114/1000</f>
        <v>0</v>
      </c>
      <c r="H114" s="85">
        <f>STATS1003B!H114/1000</f>
        <v>0</v>
      </c>
      <c r="I114" s="85">
        <f>STATS1003B!I114/1000</f>
        <v>0</v>
      </c>
      <c r="J114" s="85">
        <f>STATS1003B!J114/1000</f>
        <v>0</v>
      </c>
      <c r="K114" s="85">
        <f>STATS1003B!K114/1000</f>
        <v>0</v>
      </c>
      <c r="L114" s="85">
        <f>STATS1003B!L114/1000</f>
        <v>0</v>
      </c>
      <c r="M114" s="85">
        <f>STATS1003B!M114/1000</f>
        <v>0</v>
      </c>
      <c r="N114" s="85">
        <f>STATS1003B!N114/1000</f>
        <v>4695.497699999999</v>
      </c>
      <c r="O114" s="85">
        <f>STATS1003B!O114/1000</f>
        <v>0</v>
      </c>
      <c r="P114" s="85">
        <f>STATS1003B!P114/1000</f>
        <v>4695.497699999999</v>
      </c>
      <c r="Q114" s="85">
        <f>STATS1003B!Q114/1000</f>
        <v>0</v>
      </c>
      <c r="R114" s="85">
        <f>STATS1003B!R114/1000</f>
        <v>0</v>
      </c>
      <c r="S114" s="85">
        <f>STATS1003B!S114/1000</f>
        <v>0</v>
      </c>
      <c r="T114" s="85">
        <f>STATS1003B!T114/1000</f>
        <v>0</v>
      </c>
      <c r="U114" s="85">
        <f>STATS1003B!U114/1000</f>
        <v>4695.497699999999</v>
      </c>
      <c r="V114" s="85">
        <f>STATS1003B!V114/1000</f>
        <v>4695.497699999999</v>
      </c>
      <c r="W114" s="85">
        <f>STATS1003B!W114/1000</f>
        <v>0</v>
      </c>
      <c r="X114" s="85">
        <f t="shared" si="12"/>
        <v>4695.497699999999</v>
      </c>
      <c r="Y114" s="85">
        <f>STATS1003B!Y114/1000</f>
        <v>0</v>
      </c>
      <c r="Z114" s="85">
        <f t="shared" si="13"/>
        <v>0</v>
      </c>
      <c r="AA114" s="69">
        <f>STATS1003B!AA114/1000</f>
        <v>4695.497699999999</v>
      </c>
      <c r="AB114" s="69">
        <f>STATS1003B!AB114/1000</f>
        <v>0</v>
      </c>
    </row>
    <row r="115" spans="1:28" hidden="1" x14ac:dyDescent="0.3">
      <c r="A115" s="117"/>
      <c r="C115" s="68" t="s">
        <v>82</v>
      </c>
      <c r="D115" s="87" t="s">
        <v>103</v>
      </c>
      <c r="E115" s="85">
        <f>STATS1003B!E115/1000</f>
        <v>31750.7873</v>
      </c>
      <c r="F115" s="85">
        <f>STATS1003B!F115/1000</f>
        <v>31157.575769999999</v>
      </c>
      <c r="G115" s="85">
        <f>STATS1003B!G115/1000</f>
        <v>0</v>
      </c>
      <c r="H115" s="85">
        <f>STATS1003B!H115/1000</f>
        <v>31157.575769999999</v>
      </c>
      <c r="I115" s="85">
        <f>STATS1003B!I115/1000</f>
        <v>0</v>
      </c>
      <c r="J115" s="85">
        <f>STATS1003B!J115/1000</f>
        <v>0</v>
      </c>
      <c r="K115" s="85">
        <f>STATS1003B!K115/1000</f>
        <v>0</v>
      </c>
      <c r="L115" s="85">
        <f>STATS1003B!L115/1000</f>
        <v>0</v>
      </c>
      <c r="M115" s="85">
        <f>STATS1003B!M115/1000</f>
        <v>31157.575769999999</v>
      </c>
      <c r="N115" s="85">
        <f>STATS1003B!N115/1000</f>
        <v>593.21153000000004</v>
      </c>
      <c r="O115" s="85">
        <f>STATS1003B!O115/1000</f>
        <v>0</v>
      </c>
      <c r="P115" s="85">
        <f>STATS1003B!P115/1000</f>
        <v>593.21153000000004</v>
      </c>
      <c r="Q115" s="85">
        <f>STATS1003B!Q115/1000</f>
        <v>0</v>
      </c>
      <c r="R115" s="85">
        <f>STATS1003B!R115/1000</f>
        <v>0</v>
      </c>
      <c r="S115" s="85">
        <f>STATS1003B!S115/1000</f>
        <v>0</v>
      </c>
      <c r="T115" s="85">
        <f>STATS1003B!T115/1000</f>
        <v>0</v>
      </c>
      <c r="U115" s="85">
        <f>STATS1003B!U115/1000</f>
        <v>593.21153000000004</v>
      </c>
      <c r="V115" s="85">
        <f>STATS1003B!V115/1000</f>
        <v>31750.7873</v>
      </c>
      <c r="W115" s="85">
        <f>STATS1003B!W115/1000</f>
        <v>0</v>
      </c>
      <c r="X115" s="85">
        <f t="shared" si="12"/>
        <v>31750.7873</v>
      </c>
      <c r="Y115" s="85">
        <f>STATS1003B!Y115/1000</f>
        <v>0</v>
      </c>
      <c r="Z115" s="85">
        <f t="shared" si="13"/>
        <v>0</v>
      </c>
      <c r="AA115" s="69">
        <f>STATS1003B!AA115/1000</f>
        <v>31750.7873</v>
      </c>
      <c r="AB115" s="69">
        <f>STATS1003B!AB115/1000</f>
        <v>0</v>
      </c>
    </row>
    <row r="116" spans="1:28" hidden="1" x14ac:dyDescent="0.3">
      <c r="A116" s="117"/>
      <c r="C116" s="68" t="s">
        <v>53</v>
      </c>
      <c r="D116" s="87" t="s">
        <v>68</v>
      </c>
      <c r="E116" s="85">
        <f>STATS1003B!E116/1000</f>
        <v>1953.989</v>
      </c>
      <c r="F116" s="85">
        <f>STATS1003B!F116/1000</f>
        <v>0</v>
      </c>
      <c r="G116" s="85">
        <f>STATS1003B!G116/1000</f>
        <v>0</v>
      </c>
      <c r="H116" s="85">
        <f>STATS1003B!H116/1000</f>
        <v>0</v>
      </c>
      <c r="I116" s="85">
        <f>STATS1003B!I116/1000</f>
        <v>0</v>
      </c>
      <c r="J116" s="85">
        <f>STATS1003B!J116/1000</f>
        <v>0</v>
      </c>
      <c r="K116" s="85">
        <f>STATS1003B!K116/1000</f>
        <v>0</v>
      </c>
      <c r="L116" s="85">
        <f>STATS1003B!L116/1000</f>
        <v>0</v>
      </c>
      <c r="M116" s="85">
        <f>STATS1003B!M116/1000</f>
        <v>0</v>
      </c>
      <c r="N116" s="85">
        <f>STATS1003B!N116/1000</f>
        <v>1953.989</v>
      </c>
      <c r="O116" s="85">
        <f>STATS1003B!O116/1000</f>
        <v>0</v>
      </c>
      <c r="P116" s="85">
        <f>STATS1003B!P116/1000</f>
        <v>1953.989</v>
      </c>
      <c r="Q116" s="85">
        <f>STATS1003B!Q116/1000</f>
        <v>0</v>
      </c>
      <c r="R116" s="85">
        <f>STATS1003B!R116/1000</f>
        <v>0</v>
      </c>
      <c r="S116" s="85">
        <f>STATS1003B!S116/1000</f>
        <v>0</v>
      </c>
      <c r="T116" s="85">
        <f>STATS1003B!T116/1000</f>
        <v>0</v>
      </c>
      <c r="U116" s="85">
        <f>STATS1003B!U116/1000</f>
        <v>1953.989</v>
      </c>
      <c r="V116" s="85">
        <f>STATS1003B!V116/1000</f>
        <v>1953.989</v>
      </c>
      <c r="W116" s="85">
        <f>STATS1003B!W116/1000</f>
        <v>0</v>
      </c>
      <c r="X116" s="85">
        <f t="shared" si="12"/>
        <v>1953.989</v>
      </c>
      <c r="Y116" s="85">
        <f>STATS1003B!Y116/1000</f>
        <v>0</v>
      </c>
      <c r="Z116" s="85">
        <f t="shared" si="13"/>
        <v>0</v>
      </c>
      <c r="AA116" s="69">
        <f>STATS1003B!AA116/1000</f>
        <v>1953.989</v>
      </c>
      <c r="AB116" s="69">
        <f>STATS1003B!AB116/1000</f>
        <v>0</v>
      </c>
    </row>
    <row r="117" spans="1:28" hidden="1" x14ac:dyDescent="0.3">
      <c r="A117" s="117"/>
      <c r="C117" s="68" t="s">
        <v>69</v>
      </c>
      <c r="D117" s="87" t="s">
        <v>85</v>
      </c>
      <c r="E117" s="85">
        <f>STATS1003B!E117/1000</f>
        <v>955.34561999999994</v>
      </c>
      <c r="F117" s="85">
        <f>STATS1003B!F117/1000</f>
        <v>0</v>
      </c>
      <c r="G117" s="85">
        <f>STATS1003B!G117/1000</f>
        <v>0</v>
      </c>
      <c r="H117" s="85">
        <f>STATS1003B!H117/1000</f>
        <v>0</v>
      </c>
      <c r="I117" s="85">
        <f>STATS1003B!I117/1000</f>
        <v>0</v>
      </c>
      <c r="J117" s="85">
        <f>STATS1003B!J117/1000</f>
        <v>0</v>
      </c>
      <c r="K117" s="85">
        <f>STATS1003B!K117/1000</f>
        <v>0</v>
      </c>
      <c r="L117" s="85">
        <f>STATS1003B!L117/1000</f>
        <v>0</v>
      </c>
      <c r="M117" s="85">
        <f>STATS1003B!M117/1000</f>
        <v>0</v>
      </c>
      <c r="N117" s="85">
        <f>STATS1003B!N117/1000</f>
        <v>955.34561999999994</v>
      </c>
      <c r="O117" s="85">
        <f>STATS1003B!O117/1000</f>
        <v>0</v>
      </c>
      <c r="P117" s="85">
        <f>STATS1003B!P117/1000</f>
        <v>955.34561999999994</v>
      </c>
      <c r="Q117" s="85">
        <f>STATS1003B!Q117/1000</f>
        <v>0</v>
      </c>
      <c r="R117" s="85">
        <f>STATS1003B!R117/1000</f>
        <v>0</v>
      </c>
      <c r="S117" s="85">
        <f>STATS1003B!S117/1000</f>
        <v>0</v>
      </c>
      <c r="T117" s="85">
        <f>STATS1003B!T117/1000</f>
        <v>0</v>
      </c>
      <c r="U117" s="85">
        <f>STATS1003B!U117/1000</f>
        <v>955.34561999999994</v>
      </c>
      <c r="V117" s="85">
        <f>STATS1003B!V117/1000</f>
        <v>955.34561999999994</v>
      </c>
      <c r="W117" s="85">
        <f>STATS1003B!W117/1000</f>
        <v>0</v>
      </c>
      <c r="X117" s="85">
        <f t="shared" si="12"/>
        <v>955.34561999999994</v>
      </c>
      <c r="Y117" s="85">
        <f>STATS1003B!Y117/1000</f>
        <v>0</v>
      </c>
      <c r="Z117" s="85">
        <f t="shared" si="13"/>
        <v>0</v>
      </c>
      <c r="AA117" s="69">
        <f>STATS1003B!AA117/1000</f>
        <v>955.34561999999994</v>
      </c>
      <c r="AB117" s="69">
        <f>STATS1003B!AB117/1000</f>
        <v>0</v>
      </c>
    </row>
    <row r="118" spans="1:28" hidden="1" x14ac:dyDescent="0.3">
      <c r="A118" s="117"/>
      <c r="C118" s="68" t="s">
        <v>104</v>
      </c>
      <c r="D118" s="87" t="s">
        <v>105</v>
      </c>
      <c r="E118" s="85">
        <f>STATS1003B!E118/1000</f>
        <v>7200</v>
      </c>
      <c r="F118" s="85">
        <f>STATS1003B!F118/1000</f>
        <v>7200</v>
      </c>
      <c r="G118" s="85">
        <f>STATS1003B!G118/1000</f>
        <v>0</v>
      </c>
      <c r="H118" s="85">
        <f>STATS1003B!H118/1000</f>
        <v>7200</v>
      </c>
      <c r="I118" s="85">
        <f>STATS1003B!I118/1000</f>
        <v>0</v>
      </c>
      <c r="J118" s="85">
        <f>STATS1003B!J118/1000</f>
        <v>0</v>
      </c>
      <c r="K118" s="85">
        <f>STATS1003B!K118/1000</f>
        <v>0</v>
      </c>
      <c r="L118" s="85">
        <f>STATS1003B!L118/1000</f>
        <v>0</v>
      </c>
      <c r="M118" s="85">
        <f>STATS1003B!M118/1000</f>
        <v>7200</v>
      </c>
      <c r="N118" s="85">
        <f>STATS1003B!N118/1000</f>
        <v>0</v>
      </c>
      <c r="O118" s="85">
        <f>STATS1003B!O118/1000</f>
        <v>0</v>
      </c>
      <c r="P118" s="85">
        <f>STATS1003B!P118/1000</f>
        <v>0</v>
      </c>
      <c r="Q118" s="85">
        <f>STATS1003B!Q118/1000</f>
        <v>0</v>
      </c>
      <c r="R118" s="85">
        <f>STATS1003B!R118/1000</f>
        <v>0</v>
      </c>
      <c r="S118" s="85">
        <f>STATS1003B!S118/1000</f>
        <v>0</v>
      </c>
      <c r="T118" s="85">
        <f>STATS1003B!T118/1000</f>
        <v>0</v>
      </c>
      <c r="U118" s="85">
        <f>STATS1003B!U118/1000</f>
        <v>0</v>
      </c>
      <c r="V118" s="85">
        <f>STATS1003B!V118/1000</f>
        <v>7200</v>
      </c>
      <c r="W118" s="85">
        <f>STATS1003B!W118/1000</f>
        <v>0</v>
      </c>
      <c r="X118" s="85">
        <f t="shared" si="12"/>
        <v>7200</v>
      </c>
      <c r="Y118" s="85">
        <f>STATS1003B!Y118/1000</f>
        <v>0</v>
      </c>
      <c r="Z118" s="85">
        <f t="shared" si="13"/>
        <v>0</v>
      </c>
      <c r="AA118" s="69">
        <f>STATS1003B!AA118/1000</f>
        <v>7200</v>
      </c>
      <c r="AB118" s="69">
        <f>STATS1003B!AB118/1000</f>
        <v>0</v>
      </c>
    </row>
    <row r="119" spans="1:28" hidden="1" x14ac:dyDescent="0.3">
      <c r="A119" s="117"/>
      <c r="C119" s="68" t="s">
        <v>106</v>
      </c>
      <c r="D119" s="87" t="s">
        <v>85</v>
      </c>
      <c r="E119" s="85">
        <f>STATS1003B!E119/1000</f>
        <v>0</v>
      </c>
      <c r="F119" s="85">
        <f>STATS1003B!F119/1000</f>
        <v>0</v>
      </c>
      <c r="G119" s="85">
        <f>STATS1003B!G119/1000</f>
        <v>0</v>
      </c>
      <c r="H119" s="85">
        <f>STATS1003B!H119/1000</f>
        <v>0</v>
      </c>
      <c r="I119" s="85">
        <f>STATS1003B!I119/1000</f>
        <v>0</v>
      </c>
      <c r="J119" s="85">
        <f>STATS1003B!J119/1000</f>
        <v>0</v>
      </c>
      <c r="K119" s="85">
        <f>STATS1003B!K119/1000</f>
        <v>0</v>
      </c>
      <c r="L119" s="85">
        <f>STATS1003B!L119/1000</f>
        <v>0</v>
      </c>
      <c r="M119" s="85">
        <f>STATS1003B!M119/1000</f>
        <v>0</v>
      </c>
      <c r="N119" s="85">
        <f>STATS1003B!N119/1000</f>
        <v>0</v>
      </c>
      <c r="O119" s="85">
        <f>STATS1003B!O119/1000</f>
        <v>0</v>
      </c>
      <c r="P119" s="85">
        <f>STATS1003B!P119/1000</f>
        <v>0</v>
      </c>
      <c r="Q119" s="85">
        <f>STATS1003B!Q119/1000</f>
        <v>0</v>
      </c>
      <c r="R119" s="85">
        <f>STATS1003B!R119/1000</f>
        <v>0</v>
      </c>
      <c r="S119" s="85">
        <f>STATS1003B!S119/1000</f>
        <v>0</v>
      </c>
      <c r="T119" s="85">
        <f>STATS1003B!T119/1000</f>
        <v>0</v>
      </c>
      <c r="U119" s="85">
        <f>STATS1003B!U119/1000</f>
        <v>0</v>
      </c>
      <c r="V119" s="85">
        <f>STATS1003B!V119/1000</f>
        <v>0</v>
      </c>
      <c r="W119" s="85">
        <f>STATS1003B!W119/1000</f>
        <v>0</v>
      </c>
      <c r="X119" s="85">
        <f t="shared" si="12"/>
        <v>0</v>
      </c>
      <c r="Y119" s="85">
        <f>STATS1003B!Y119/1000</f>
        <v>0</v>
      </c>
      <c r="Z119" s="85">
        <f t="shared" si="13"/>
        <v>0</v>
      </c>
      <c r="AA119" s="69">
        <f>STATS1003B!AA119/1000</f>
        <v>0</v>
      </c>
      <c r="AB119" s="69">
        <f>STATS1003B!AB119/1000</f>
        <v>0</v>
      </c>
    </row>
    <row r="120" spans="1:28" hidden="1" x14ac:dyDescent="0.3">
      <c r="A120" s="117"/>
      <c r="C120" s="68" t="s">
        <v>87</v>
      </c>
      <c r="D120" s="87" t="s">
        <v>88</v>
      </c>
      <c r="E120" s="85">
        <f>STATS1003B!E120/1000</f>
        <v>10900</v>
      </c>
      <c r="F120" s="85">
        <f>STATS1003B!F120/1000</f>
        <v>10900</v>
      </c>
      <c r="G120" s="85">
        <f>STATS1003B!G120/1000</f>
        <v>0</v>
      </c>
      <c r="H120" s="85">
        <f>STATS1003B!H120/1000</f>
        <v>10900</v>
      </c>
      <c r="I120" s="85">
        <f>STATS1003B!I120/1000</f>
        <v>0</v>
      </c>
      <c r="J120" s="85">
        <f>STATS1003B!J120/1000</f>
        <v>0</v>
      </c>
      <c r="K120" s="85">
        <f>STATS1003B!K120/1000</f>
        <v>0</v>
      </c>
      <c r="L120" s="85">
        <f>STATS1003B!L120/1000</f>
        <v>0</v>
      </c>
      <c r="M120" s="85">
        <f>STATS1003B!M120/1000</f>
        <v>10900</v>
      </c>
      <c r="N120" s="85">
        <f>STATS1003B!N120/1000</f>
        <v>0</v>
      </c>
      <c r="O120" s="85">
        <f>STATS1003B!O120/1000</f>
        <v>0</v>
      </c>
      <c r="P120" s="85">
        <f>STATS1003B!P120/1000</f>
        <v>0</v>
      </c>
      <c r="Q120" s="85">
        <f>STATS1003B!Q120/1000</f>
        <v>0</v>
      </c>
      <c r="R120" s="85">
        <f>STATS1003B!R120/1000</f>
        <v>0</v>
      </c>
      <c r="S120" s="85">
        <f>STATS1003B!S120/1000</f>
        <v>0</v>
      </c>
      <c r="T120" s="85">
        <f>STATS1003B!T120/1000</f>
        <v>0</v>
      </c>
      <c r="U120" s="85">
        <f>STATS1003B!U120/1000</f>
        <v>0</v>
      </c>
      <c r="V120" s="85">
        <f>STATS1003B!V120/1000</f>
        <v>10900</v>
      </c>
      <c r="W120" s="85">
        <f>STATS1003B!W120/1000</f>
        <v>0</v>
      </c>
      <c r="X120" s="85">
        <f t="shared" si="12"/>
        <v>10900</v>
      </c>
      <c r="Y120" s="85">
        <f>STATS1003B!Y120/1000</f>
        <v>0</v>
      </c>
      <c r="Z120" s="85">
        <f t="shared" si="13"/>
        <v>0</v>
      </c>
      <c r="AA120" s="69">
        <f>STATS1003B!AA120/1000</f>
        <v>10900</v>
      </c>
      <c r="AB120" s="69">
        <f>STATS1003B!AB120/1000</f>
        <v>0</v>
      </c>
    </row>
    <row r="121" spans="1:28" hidden="1" x14ac:dyDescent="0.3">
      <c r="A121" s="117"/>
      <c r="C121" s="68" t="s">
        <v>107</v>
      </c>
      <c r="D121" s="87" t="s">
        <v>108</v>
      </c>
      <c r="E121" s="85">
        <f>STATS1003B!E121/1000</f>
        <v>1601.67768</v>
      </c>
      <c r="F121" s="85">
        <f>STATS1003B!F121/1000</f>
        <v>1601.67768</v>
      </c>
      <c r="G121" s="85">
        <f>STATS1003B!G121/1000</f>
        <v>0</v>
      </c>
      <c r="H121" s="85">
        <f>STATS1003B!H121/1000</f>
        <v>1601.67768</v>
      </c>
      <c r="I121" s="85">
        <f>STATS1003B!I121/1000</f>
        <v>0</v>
      </c>
      <c r="J121" s="85">
        <f>STATS1003B!J121/1000</f>
        <v>0</v>
      </c>
      <c r="K121" s="85">
        <f>STATS1003B!K121/1000</f>
        <v>0</v>
      </c>
      <c r="L121" s="85">
        <f>STATS1003B!L121/1000</f>
        <v>0</v>
      </c>
      <c r="M121" s="85">
        <f>STATS1003B!M121/1000</f>
        <v>1601.67768</v>
      </c>
      <c r="N121" s="85">
        <f>STATS1003B!N121/1000</f>
        <v>0</v>
      </c>
      <c r="O121" s="85">
        <f>STATS1003B!O121/1000</f>
        <v>0</v>
      </c>
      <c r="P121" s="85">
        <f>STATS1003B!P121/1000</f>
        <v>0</v>
      </c>
      <c r="Q121" s="85">
        <f>STATS1003B!Q121/1000</f>
        <v>0</v>
      </c>
      <c r="R121" s="85">
        <f>STATS1003B!R121/1000</f>
        <v>0</v>
      </c>
      <c r="S121" s="85">
        <f>STATS1003B!S121/1000</f>
        <v>0</v>
      </c>
      <c r="T121" s="85">
        <f>STATS1003B!T121/1000</f>
        <v>0</v>
      </c>
      <c r="U121" s="85">
        <f>STATS1003B!U121/1000</f>
        <v>0</v>
      </c>
      <c r="V121" s="85">
        <f>STATS1003B!V121/1000</f>
        <v>1601.67768</v>
      </c>
      <c r="W121" s="85">
        <f>STATS1003B!W121/1000</f>
        <v>0</v>
      </c>
      <c r="X121" s="85">
        <f t="shared" si="12"/>
        <v>1601.67768</v>
      </c>
      <c r="Y121" s="85">
        <f>STATS1003B!Y121/1000</f>
        <v>0</v>
      </c>
      <c r="Z121" s="85">
        <f t="shared" si="13"/>
        <v>0</v>
      </c>
      <c r="AA121" s="69">
        <f>STATS1003B!AA121/1000</f>
        <v>1601.67768</v>
      </c>
      <c r="AB121" s="69">
        <f>STATS1003B!AB121/1000</f>
        <v>0</v>
      </c>
    </row>
    <row r="122" spans="1:28" hidden="1" x14ac:dyDescent="0.3">
      <c r="A122" s="117"/>
      <c r="C122" s="68" t="s">
        <v>57</v>
      </c>
      <c r="D122" s="87" t="s">
        <v>58</v>
      </c>
      <c r="E122" s="85">
        <f>STATS1003B!E122/1000</f>
        <v>16586.66473</v>
      </c>
      <c r="F122" s="85">
        <f>STATS1003B!F122/1000</f>
        <v>16586.66473</v>
      </c>
      <c r="G122" s="85">
        <f>STATS1003B!G122/1000</f>
        <v>0</v>
      </c>
      <c r="H122" s="85">
        <f>STATS1003B!H122/1000</f>
        <v>16586.66473</v>
      </c>
      <c r="I122" s="85">
        <f>STATS1003B!I122/1000</f>
        <v>0</v>
      </c>
      <c r="J122" s="85">
        <f>STATS1003B!J122/1000</f>
        <v>0</v>
      </c>
      <c r="K122" s="85">
        <f>STATS1003B!K122/1000</f>
        <v>0</v>
      </c>
      <c r="L122" s="85">
        <f>STATS1003B!L122/1000</f>
        <v>0</v>
      </c>
      <c r="M122" s="85">
        <f>STATS1003B!M122/1000</f>
        <v>16586.66473</v>
      </c>
      <c r="N122" s="85">
        <f>STATS1003B!N122/1000</f>
        <v>0</v>
      </c>
      <c r="O122" s="85">
        <f>STATS1003B!O122/1000</f>
        <v>0</v>
      </c>
      <c r="P122" s="85">
        <f>STATS1003B!P122/1000</f>
        <v>0</v>
      </c>
      <c r="Q122" s="85">
        <f>STATS1003B!Q122/1000</f>
        <v>0</v>
      </c>
      <c r="R122" s="85">
        <f>STATS1003B!R122/1000</f>
        <v>0</v>
      </c>
      <c r="S122" s="85">
        <f>STATS1003B!S122/1000</f>
        <v>0</v>
      </c>
      <c r="T122" s="85">
        <f>STATS1003B!T122/1000</f>
        <v>0</v>
      </c>
      <c r="U122" s="85">
        <f>STATS1003B!U122/1000</f>
        <v>0</v>
      </c>
      <c r="V122" s="85">
        <f>STATS1003B!V122/1000</f>
        <v>16586.66473</v>
      </c>
      <c r="W122" s="85">
        <f>STATS1003B!W122/1000</f>
        <v>0</v>
      </c>
      <c r="X122" s="85">
        <f t="shared" si="12"/>
        <v>16586.66473</v>
      </c>
      <c r="Y122" s="85">
        <f>STATS1003B!Y122/1000</f>
        <v>0</v>
      </c>
      <c r="Z122" s="85">
        <f t="shared" si="13"/>
        <v>0</v>
      </c>
      <c r="AA122" s="69">
        <f>STATS1003B!AA122/1000</f>
        <v>16586.66473</v>
      </c>
      <c r="AB122" s="69">
        <f>STATS1003B!AB122/1000</f>
        <v>0</v>
      </c>
    </row>
    <row r="123" spans="1:28" hidden="1" x14ac:dyDescent="0.3">
      <c r="A123" s="117"/>
      <c r="C123" s="71" t="s">
        <v>109</v>
      </c>
      <c r="D123" s="88" t="s">
        <v>60</v>
      </c>
      <c r="E123" s="85">
        <f>STATS1003B!E123/1000</f>
        <v>2500</v>
      </c>
      <c r="F123" s="85">
        <f>STATS1003B!F123/1000</f>
        <v>2500</v>
      </c>
      <c r="G123" s="85">
        <f>STATS1003B!G123/1000</f>
        <v>0</v>
      </c>
      <c r="H123" s="85">
        <f>STATS1003B!H123/1000</f>
        <v>2500</v>
      </c>
      <c r="I123" s="85">
        <f>STATS1003B!I123/1000</f>
        <v>0</v>
      </c>
      <c r="J123" s="85">
        <f>STATS1003B!J123/1000</f>
        <v>0</v>
      </c>
      <c r="K123" s="85">
        <f>STATS1003B!K123/1000</f>
        <v>0</v>
      </c>
      <c r="L123" s="85">
        <f>STATS1003B!L123/1000</f>
        <v>0</v>
      </c>
      <c r="M123" s="85">
        <f>STATS1003B!M123/1000</f>
        <v>2500</v>
      </c>
      <c r="N123" s="85">
        <f>STATS1003B!N123/1000</f>
        <v>0</v>
      </c>
      <c r="O123" s="85">
        <f>STATS1003B!O123/1000</f>
        <v>0</v>
      </c>
      <c r="P123" s="85">
        <f>STATS1003B!P123/1000</f>
        <v>0</v>
      </c>
      <c r="Q123" s="85">
        <f>STATS1003B!Q123/1000</f>
        <v>0</v>
      </c>
      <c r="R123" s="85">
        <f>STATS1003B!R123/1000</f>
        <v>0</v>
      </c>
      <c r="S123" s="85">
        <f>STATS1003B!S123/1000</f>
        <v>0</v>
      </c>
      <c r="T123" s="85">
        <f>STATS1003B!T123/1000</f>
        <v>0</v>
      </c>
      <c r="U123" s="85">
        <f>STATS1003B!U123/1000</f>
        <v>0</v>
      </c>
      <c r="V123" s="85">
        <f>STATS1003B!V123/1000</f>
        <v>2500</v>
      </c>
      <c r="W123" s="85">
        <f>STATS1003B!W123/1000</f>
        <v>0</v>
      </c>
      <c r="X123" s="85">
        <f t="shared" si="12"/>
        <v>2500</v>
      </c>
      <c r="Y123" s="85">
        <f>STATS1003B!Y123/1000</f>
        <v>0</v>
      </c>
      <c r="Z123" s="85">
        <f t="shared" si="13"/>
        <v>0</v>
      </c>
      <c r="AA123" s="69">
        <f>STATS1003B!AA123/1000</f>
        <v>2500</v>
      </c>
      <c r="AB123" s="69">
        <f>STATS1003B!AB123/1000</f>
        <v>0</v>
      </c>
    </row>
    <row r="124" spans="1:28" hidden="1" x14ac:dyDescent="0.3">
      <c r="A124" s="117"/>
      <c r="C124" s="71" t="s">
        <v>110</v>
      </c>
      <c r="D124" s="71" t="s">
        <v>111</v>
      </c>
      <c r="E124" s="85">
        <f>STATS1003B!E124/1000</f>
        <v>681.83</v>
      </c>
      <c r="F124" s="85">
        <f>STATS1003B!F124/1000</f>
        <v>681.83</v>
      </c>
      <c r="G124" s="85">
        <f>STATS1003B!G124/1000</f>
        <v>0</v>
      </c>
      <c r="H124" s="85">
        <f>STATS1003B!H124/1000</f>
        <v>681.83</v>
      </c>
      <c r="I124" s="85">
        <f>STATS1003B!I124/1000</f>
        <v>0</v>
      </c>
      <c r="J124" s="85">
        <f>STATS1003B!J124/1000</f>
        <v>0</v>
      </c>
      <c r="K124" s="85">
        <f>STATS1003B!K124/1000</f>
        <v>0</v>
      </c>
      <c r="L124" s="85">
        <f>STATS1003B!L124/1000</f>
        <v>0</v>
      </c>
      <c r="M124" s="85">
        <f>STATS1003B!M124/1000</f>
        <v>681.83</v>
      </c>
      <c r="N124" s="85">
        <f>STATS1003B!N124/1000</f>
        <v>0</v>
      </c>
      <c r="O124" s="85">
        <f>STATS1003B!O124/1000</f>
        <v>0</v>
      </c>
      <c r="P124" s="85">
        <f>STATS1003B!P124/1000</f>
        <v>0</v>
      </c>
      <c r="Q124" s="85">
        <f>STATS1003B!Q124/1000</f>
        <v>0</v>
      </c>
      <c r="R124" s="85">
        <f>STATS1003B!R124/1000</f>
        <v>0</v>
      </c>
      <c r="S124" s="85">
        <f>STATS1003B!S124/1000</f>
        <v>0</v>
      </c>
      <c r="T124" s="85">
        <f>STATS1003B!T124/1000</f>
        <v>0</v>
      </c>
      <c r="U124" s="85">
        <f>STATS1003B!U124/1000</f>
        <v>0</v>
      </c>
      <c r="V124" s="85">
        <f>STATS1003B!V124/1000</f>
        <v>681.83</v>
      </c>
      <c r="W124" s="85">
        <f>STATS1003B!W124/1000</f>
        <v>0</v>
      </c>
      <c r="X124" s="85">
        <f t="shared" si="12"/>
        <v>681.83</v>
      </c>
      <c r="Y124" s="85">
        <f>STATS1003B!Y124/1000</f>
        <v>0</v>
      </c>
      <c r="Z124" s="85">
        <f t="shared" si="13"/>
        <v>0</v>
      </c>
      <c r="AA124" s="69">
        <f>STATS1003B!AA124/1000</f>
        <v>681.83</v>
      </c>
      <c r="AB124" s="69">
        <f>STATS1003B!AB124/1000</f>
        <v>0</v>
      </c>
    </row>
    <row r="125" spans="1:28" hidden="1" x14ac:dyDescent="0.3">
      <c r="A125" s="117"/>
      <c r="C125" s="71" t="s">
        <v>1096</v>
      </c>
      <c r="D125" s="71"/>
      <c r="E125" s="85">
        <f>STATS1003B!E125/1000</f>
        <v>255.63065</v>
      </c>
      <c r="F125" s="85">
        <f>STATS1003B!F125/1000</f>
        <v>255.63065</v>
      </c>
      <c r="G125" s="85">
        <f>STATS1003B!G125/1000</f>
        <v>0</v>
      </c>
      <c r="H125" s="85">
        <f>STATS1003B!H125/1000</f>
        <v>255.63065</v>
      </c>
      <c r="I125" s="85">
        <f>STATS1003B!I125/1000</f>
        <v>0</v>
      </c>
      <c r="J125" s="85">
        <f>STATS1003B!J125/1000</f>
        <v>0</v>
      </c>
      <c r="K125" s="85">
        <f>STATS1003B!K125/1000</f>
        <v>0</v>
      </c>
      <c r="L125" s="85">
        <f>STATS1003B!L125/1000</f>
        <v>0</v>
      </c>
      <c r="M125" s="85">
        <f>STATS1003B!M125/1000</f>
        <v>255.63065</v>
      </c>
      <c r="N125" s="85">
        <f>STATS1003B!N125/1000</f>
        <v>0</v>
      </c>
      <c r="O125" s="85">
        <f>STATS1003B!O125/1000</f>
        <v>0</v>
      </c>
      <c r="P125" s="85">
        <f>STATS1003B!P125/1000</f>
        <v>0</v>
      </c>
      <c r="Q125" s="85">
        <f>STATS1003B!Q125/1000</f>
        <v>0</v>
      </c>
      <c r="R125" s="85">
        <f>STATS1003B!R125/1000</f>
        <v>0</v>
      </c>
      <c r="S125" s="85">
        <f>STATS1003B!S125/1000</f>
        <v>0</v>
      </c>
      <c r="T125" s="85">
        <f>STATS1003B!T125/1000</f>
        <v>0</v>
      </c>
      <c r="U125" s="85">
        <f>STATS1003B!U125/1000</f>
        <v>0</v>
      </c>
      <c r="V125" s="85">
        <f>STATS1003B!V125/1000</f>
        <v>0</v>
      </c>
      <c r="W125" s="85">
        <f>STATS1003B!W125/1000</f>
        <v>0</v>
      </c>
      <c r="X125" s="85">
        <f t="shared" si="12"/>
        <v>255.63065</v>
      </c>
      <c r="Y125" s="85">
        <f>STATS1003B!Y125/1000</f>
        <v>0</v>
      </c>
      <c r="Z125" s="85">
        <f t="shared" si="13"/>
        <v>0</v>
      </c>
      <c r="AA125" s="69">
        <f>STATS1003B!AA125/1000</f>
        <v>255.63065</v>
      </c>
      <c r="AB125" s="69">
        <f>STATS1003B!AB125/1000</f>
        <v>0</v>
      </c>
    </row>
    <row r="126" spans="1:28" hidden="1" x14ac:dyDescent="0.3">
      <c r="A126" s="117"/>
      <c r="C126" s="71" t="s">
        <v>1135</v>
      </c>
      <c r="D126" s="89" t="s">
        <v>1126</v>
      </c>
      <c r="E126" s="85">
        <f>STATS1003B!E126/1000</f>
        <v>38.672559999999997</v>
      </c>
      <c r="F126" s="85">
        <f>STATS1003B!F126/1000</f>
        <v>38.672559999999997</v>
      </c>
      <c r="G126" s="85">
        <f>STATS1003B!G126/1000</f>
        <v>0</v>
      </c>
      <c r="H126" s="85">
        <f>STATS1003B!H126/1000</f>
        <v>38.672559999999997</v>
      </c>
      <c r="I126" s="85">
        <f>STATS1003B!I126/1000</f>
        <v>0</v>
      </c>
      <c r="J126" s="85">
        <f>STATS1003B!J126/1000</f>
        <v>0</v>
      </c>
      <c r="K126" s="85">
        <f>STATS1003B!K126/1000</f>
        <v>0</v>
      </c>
      <c r="L126" s="85">
        <f>STATS1003B!L126/1000</f>
        <v>0</v>
      </c>
      <c r="M126" s="85">
        <f>STATS1003B!M126/1000</f>
        <v>38.672559999999997</v>
      </c>
      <c r="N126" s="85">
        <f>STATS1003B!N126/1000</f>
        <v>0</v>
      </c>
      <c r="O126" s="85">
        <f>STATS1003B!O126/1000</f>
        <v>0</v>
      </c>
      <c r="P126" s="85">
        <f>STATS1003B!P126/1000</f>
        <v>0</v>
      </c>
      <c r="Q126" s="85">
        <f>STATS1003B!Q126/1000</f>
        <v>0</v>
      </c>
      <c r="R126" s="85">
        <f>STATS1003B!R126/1000</f>
        <v>0</v>
      </c>
      <c r="S126" s="85">
        <f>STATS1003B!S126/1000</f>
        <v>0</v>
      </c>
      <c r="T126" s="85">
        <f>STATS1003B!T126/1000</f>
        <v>0</v>
      </c>
      <c r="U126" s="85">
        <f>STATS1003B!U126/1000</f>
        <v>0</v>
      </c>
      <c r="V126" s="85">
        <f>STATS1003B!V126/1000</f>
        <v>0</v>
      </c>
      <c r="W126" s="85">
        <f>STATS1003B!W126/1000</f>
        <v>0</v>
      </c>
      <c r="X126" s="85">
        <f t="shared" si="12"/>
        <v>38.672559999999997</v>
      </c>
      <c r="Y126" s="85">
        <f>STATS1003B!Y126/1000</f>
        <v>0</v>
      </c>
      <c r="Z126" s="85">
        <f t="shared" si="13"/>
        <v>0</v>
      </c>
      <c r="AA126" s="69">
        <f>STATS1003B!AA126/1000</f>
        <v>38.672559999999997</v>
      </c>
      <c r="AB126" s="69">
        <f>STATS1003B!AB126/1000</f>
        <v>0</v>
      </c>
    </row>
    <row r="127" spans="1:28" hidden="1" x14ac:dyDescent="0.3">
      <c r="A127" s="117"/>
      <c r="C127" s="71" t="s">
        <v>1194</v>
      </c>
      <c r="D127" s="89" t="s">
        <v>1126</v>
      </c>
      <c r="E127" s="85">
        <f>STATS1003B!E127/1000</f>
        <v>852.82080000000008</v>
      </c>
      <c r="F127" s="85">
        <f>STATS1003B!F127/1000</f>
        <v>852.82080000000008</v>
      </c>
      <c r="G127" s="85">
        <f>STATS1003B!G127/1000</f>
        <v>0</v>
      </c>
      <c r="H127" s="85">
        <f>STATS1003B!H127/1000</f>
        <v>852.82080000000008</v>
      </c>
      <c r="I127" s="85">
        <f>STATS1003B!I127/1000</f>
        <v>0</v>
      </c>
      <c r="J127" s="85">
        <f>STATS1003B!J127/1000</f>
        <v>0</v>
      </c>
      <c r="K127" s="85">
        <f>STATS1003B!K127/1000</f>
        <v>0</v>
      </c>
      <c r="L127" s="85">
        <f>STATS1003B!L127/1000</f>
        <v>0</v>
      </c>
      <c r="M127" s="85">
        <f>STATS1003B!M127/1000</f>
        <v>852.82080000000008</v>
      </c>
      <c r="N127" s="85">
        <f>STATS1003B!N127/1000</f>
        <v>0</v>
      </c>
      <c r="O127" s="85">
        <f>STATS1003B!O127/1000</f>
        <v>0</v>
      </c>
      <c r="P127" s="85">
        <f>STATS1003B!P127/1000</f>
        <v>0</v>
      </c>
      <c r="Q127" s="85">
        <f>STATS1003B!Q127/1000</f>
        <v>0</v>
      </c>
      <c r="R127" s="85">
        <f>STATS1003B!R127/1000</f>
        <v>0</v>
      </c>
      <c r="S127" s="85">
        <f>STATS1003B!S127/1000</f>
        <v>0</v>
      </c>
      <c r="T127" s="85">
        <f>STATS1003B!T127/1000</f>
        <v>0</v>
      </c>
      <c r="U127" s="85">
        <f>STATS1003B!U127/1000</f>
        <v>0</v>
      </c>
      <c r="V127" s="85">
        <f>STATS1003B!V127/1000</f>
        <v>0</v>
      </c>
      <c r="W127" s="85">
        <f>STATS1003B!W127/1000</f>
        <v>0</v>
      </c>
      <c r="X127" s="85">
        <f t="shared" si="12"/>
        <v>852.82080000000008</v>
      </c>
      <c r="Y127" s="85">
        <f>STATS1003B!Y127/1000</f>
        <v>0</v>
      </c>
      <c r="Z127" s="85">
        <f t="shared" si="13"/>
        <v>0</v>
      </c>
      <c r="AA127" s="69">
        <f>STATS1003B!AA127/1000</f>
        <v>852.82080000000008</v>
      </c>
      <c r="AB127" s="69">
        <f>STATS1003B!AB127/1000</f>
        <v>0</v>
      </c>
    </row>
    <row r="128" spans="1:28" hidden="1" x14ac:dyDescent="0.3">
      <c r="A128" s="117"/>
      <c r="C128" s="68" t="s">
        <v>112</v>
      </c>
      <c r="E128" s="85">
        <f>STATS1003B!E128/1000</f>
        <v>6962.8410000000003</v>
      </c>
      <c r="F128" s="85">
        <f>STATS1003B!F128/1000</f>
        <v>6962.8410000000003</v>
      </c>
      <c r="G128" s="85">
        <f>STATS1003B!G128/1000</f>
        <v>0</v>
      </c>
      <c r="H128" s="85">
        <f>STATS1003B!H128/1000</f>
        <v>6962.8410000000003</v>
      </c>
      <c r="I128" s="85">
        <f>STATS1003B!I128/1000</f>
        <v>0</v>
      </c>
      <c r="J128" s="85">
        <f>STATS1003B!J128/1000</f>
        <v>0</v>
      </c>
      <c r="K128" s="85">
        <f>STATS1003B!K128/1000</f>
        <v>0</v>
      </c>
      <c r="L128" s="85">
        <f>STATS1003B!L128/1000</f>
        <v>0</v>
      </c>
      <c r="M128" s="85">
        <f>STATS1003B!M128/1000</f>
        <v>6962.8410000000003</v>
      </c>
      <c r="N128" s="85">
        <f>STATS1003B!N128/1000</f>
        <v>0</v>
      </c>
      <c r="O128" s="85">
        <f>STATS1003B!O128/1000</f>
        <v>0</v>
      </c>
      <c r="P128" s="85">
        <f>STATS1003B!P128/1000</f>
        <v>0</v>
      </c>
      <c r="Q128" s="85">
        <f>STATS1003B!Q128/1000</f>
        <v>0</v>
      </c>
      <c r="R128" s="85">
        <f>STATS1003B!R128/1000</f>
        <v>0</v>
      </c>
      <c r="S128" s="85">
        <f>STATS1003B!S128/1000</f>
        <v>0</v>
      </c>
      <c r="T128" s="85">
        <f>STATS1003B!T128/1000</f>
        <v>0</v>
      </c>
      <c r="U128" s="85">
        <f>STATS1003B!U128/1000</f>
        <v>0</v>
      </c>
      <c r="V128" s="85">
        <f>STATS1003B!V128/1000</f>
        <v>6962.8410000000003</v>
      </c>
      <c r="W128" s="85">
        <f>STATS1003B!W128/1000</f>
        <v>0</v>
      </c>
      <c r="X128" s="85">
        <f t="shared" si="12"/>
        <v>6962.8410000000003</v>
      </c>
      <c r="Y128" s="85">
        <f>STATS1003B!Y128/1000</f>
        <v>0</v>
      </c>
      <c r="Z128" s="85">
        <f t="shared" si="13"/>
        <v>0</v>
      </c>
      <c r="AA128" s="69">
        <f>STATS1003B!AA128/1000</f>
        <v>6962.8410000000003</v>
      </c>
      <c r="AB128" s="69">
        <f>STATS1003B!AB128/1000</f>
        <v>0</v>
      </c>
    </row>
    <row r="129" spans="1:28" hidden="1" x14ac:dyDescent="0.3">
      <c r="A129" s="117"/>
      <c r="E129" s="86" t="s">
        <v>29</v>
      </c>
      <c r="F129" s="86" t="s">
        <v>29</v>
      </c>
      <c r="G129" s="86" t="s">
        <v>29</v>
      </c>
      <c r="H129" s="86" t="s">
        <v>29</v>
      </c>
      <c r="I129" s="86" t="s">
        <v>29</v>
      </c>
      <c r="J129" s="86" t="s">
        <v>29</v>
      </c>
      <c r="K129" s="86" t="s">
        <v>29</v>
      </c>
      <c r="L129" s="86" t="s">
        <v>29</v>
      </c>
      <c r="M129" s="86" t="s">
        <v>29</v>
      </c>
      <c r="N129" s="86" t="s">
        <v>29</v>
      </c>
      <c r="O129" s="86" t="s">
        <v>29</v>
      </c>
      <c r="P129" s="86" t="s">
        <v>29</v>
      </c>
      <c r="Q129" s="86" t="s">
        <v>29</v>
      </c>
      <c r="R129" s="86" t="s">
        <v>29</v>
      </c>
      <c r="S129" s="86" t="s">
        <v>29</v>
      </c>
      <c r="T129" s="86" t="s">
        <v>29</v>
      </c>
      <c r="U129" s="86" t="s">
        <v>29</v>
      </c>
      <c r="V129" s="86" t="s">
        <v>29</v>
      </c>
      <c r="W129" s="86" t="s">
        <v>29</v>
      </c>
      <c r="X129" s="85" t="e">
        <f t="shared" si="12"/>
        <v>#VALUE!</v>
      </c>
      <c r="Y129" s="86" t="s">
        <v>29</v>
      </c>
      <c r="Z129" s="85" t="e">
        <f t="shared" si="13"/>
        <v>#VALUE!</v>
      </c>
      <c r="AA129" s="115" t="s">
        <v>29</v>
      </c>
      <c r="AB129" s="115" t="s">
        <v>29</v>
      </c>
    </row>
    <row r="130" spans="1:28" x14ac:dyDescent="0.3">
      <c r="A130" s="116" t="s">
        <v>939</v>
      </c>
      <c r="B130" s="68" t="s">
        <v>101</v>
      </c>
      <c r="E130" s="85">
        <f>167243570.05/1000</f>
        <v>167243.57005000001</v>
      </c>
      <c r="F130" s="85">
        <f>SUM(F110:F128)</f>
        <v>104147.87800000001</v>
      </c>
      <c r="G130" s="85">
        <f>SUM(G110:G128)</f>
        <v>0</v>
      </c>
      <c r="H130" s="85">
        <f>144113919.79/1000</f>
        <v>144113.91978999999</v>
      </c>
      <c r="I130" s="85">
        <f t="shared" ref="I130:O130" si="14">SUM(I110:I128)</f>
        <v>0</v>
      </c>
      <c r="J130" s="85">
        <f t="shared" si="14"/>
        <v>0</v>
      </c>
      <c r="K130" s="85">
        <f t="shared" si="14"/>
        <v>0</v>
      </c>
      <c r="L130" s="85">
        <f t="shared" si="14"/>
        <v>0</v>
      </c>
      <c r="M130" s="85">
        <f t="shared" si="14"/>
        <v>104147.87800000001</v>
      </c>
      <c r="N130" s="85">
        <f t="shared" si="14"/>
        <v>20027.297580000002</v>
      </c>
      <c r="O130" s="85">
        <f t="shared" si="14"/>
        <v>0</v>
      </c>
      <c r="P130" s="85">
        <f>20027297/1000</f>
        <v>20027.296999999999</v>
      </c>
      <c r="Q130" s="85">
        <f t="shared" ref="Q130:W130" si="15">SUM(Q110:Q128)</f>
        <v>0</v>
      </c>
      <c r="R130" s="85">
        <f t="shared" si="15"/>
        <v>0</v>
      </c>
      <c r="S130" s="85">
        <f t="shared" si="15"/>
        <v>0</v>
      </c>
      <c r="T130" s="85">
        <f t="shared" si="15"/>
        <v>0</v>
      </c>
      <c r="U130" s="85">
        <f t="shared" si="15"/>
        <v>20027.297580000002</v>
      </c>
      <c r="V130" s="85">
        <f t="shared" si="15"/>
        <v>123028.05157</v>
      </c>
      <c r="W130" s="85">
        <f t="shared" si="15"/>
        <v>3102.3526799999995</v>
      </c>
      <c r="X130" s="85">
        <f t="shared" si="12"/>
        <v>164141.21678999998</v>
      </c>
      <c r="Y130" s="85">
        <f>SUM(Y110:Y128)</f>
        <v>0</v>
      </c>
      <c r="Z130" s="85">
        <f t="shared" si="13"/>
        <v>3102.3532600000326</v>
      </c>
      <c r="AA130" s="69">
        <f>SUM(AA110:AA128)</f>
        <v>124175.17558000001</v>
      </c>
      <c r="AB130" s="69">
        <f>SUM(AB110:AB128)</f>
        <v>3102.3526799999995</v>
      </c>
    </row>
    <row r="131" spans="1:28" x14ac:dyDescent="0.3">
      <c r="A131" s="117"/>
      <c r="E131" s="86"/>
      <c r="F131" s="86"/>
      <c r="G131" s="86"/>
      <c r="H131" s="86"/>
      <c r="I131" s="86"/>
      <c r="J131" s="86"/>
      <c r="K131" s="86"/>
      <c r="L131" s="86"/>
      <c r="M131" s="86"/>
      <c r="N131" s="86"/>
      <c r="O131" s="86"/>
      <c r="P131" s="86"/>
      <c r="Q131" s="86"/>
      <c r="R131" s="86"/>
      <c r="S131" s="86"/>
      <c r="T131" s="86"/>
      <c r="U131" s="86"/>
      <c r="V131" s="86"/>
      <c r="W131" s="86"/>
      <c r="X131" s="86"/>
      <c r="Y131" s="86"/>
      <c r="Z131" s="86"/>
      <c r="AA131" s="115" t="s">
        <v>29</v>
      </c>
      <c r="AB131" s="115" t="s">
        <v>29</v>
      </c>
    </row>
    <row r="132" spans="1:28" s="106" customFormat="1" x14ac:dyDescent="0.3">
      <c r="A132" s="104"/>
      <c r="B132" s="8"/>
      <c r="C132" s="7" t="s">
        <v>3</v>
      </c>
      <c r="D132" s="8"/>
      <c r="E132" s="82">
        <f>+E22+E45+E68+E92+E107+E130</f>
        <v>677593.05320999993</v>
      </c>
      <c r="F132" s="82">
        <f>F130+F107+F92+F68+F45+F22</f>
        <v>273117.14243000001</v>
      </c>
      <c r="G132" s="82">
        <f>G130+G107+G92+G68+G45+G22</f>
        <v>0</v>
      </c>
      <c r="H132" s="82">
        <f t="shared" ref="H132:Z132" si="16">+H22+H45+H68+H92+H107+H130</f>
        <v>596814.13190000004</v>
      </c>
      <c r="I132" s="82">
        <f t="shared" si="16"/>
        <v>1122</v>
      </c>
      <c r="J132" s="82">
        <f t="shared" si="16"/>
        <v>1122</v>
      </c>
      <c r="K132" s="82">
        <f t="shared" si="16"/>
        <v>0</v>
      </c>
      <c r="L132" s="82">
        <f t="shared" si="16"/>
        <v>0</v>
      </c>
      <c r="M132" s="82">
        <f t="shared" si="16"/>
        <v>273117.14243000001</v>
      </c>
      <c r="N132" s="82">
        <f t="shared" si="16"/>
        <v>75916.920410000006</v>
      </c>
      <c r="O132" s="82">
        <f t="shared" si="16"/>
        <v>0</v>
      </c>
      <c r="P132" s="82">
        <f t="shared" si="16"/>
        <v>75916.918700000009</v>
      </c>
      <c r="Q132" s="82">
        <f t="shared" si="16"/>
        <v>0</v>
      </c>
      <c r="R132" s="82">
        <f t="shared" si="16"/>
        <v>0</v>
      </c>
      <c r="S132" s="82">
        <f t="shared" si="16"/>
        <v>31.498429999999999</v>
      </c>
      <c r="T132" s="82">
        <f t="shared" si="16"/>
        <v>29.618009999999998</v>
      </c>
      <c r="U132" s="82">
        <f t="shared" si="16"/>
        <v>75946.538419999997</v>
      </c>
      <c r="V132" s="82">
        <f t="shared" si="16"/>
        <v>345796.12938</v>
      </c>
      <c r="W132" s="82">
        <f t="shared" si="16"/>
        <v>4862.0008999999991</v>
      </c>
      <c r="X132" s="82">
        <f t="shared" si="16"/>
        <v>672731.05059999996</v>
      </c>
      <c r="Y132" s="82">
        <f t="shared" si="16"/>
        <v>0</v>
      </c>
      <c r="Z132" s="82">
        <f t="shared" si="16"/>
        <v>4862.0026100000105</v>
      </c>
      <c r="AA132" s="9">
        <f>AA130+AA107+AA92+AA68+AA45+AA22</f>
        <v>349063.68085000006</v>
      </c>
      <c r="AB132" s="9">
        <f>AB130+AB107+AB92+AB68+AB45+AB22</f>
        <v>4832.382889999999</v>
      </c>
    </row>
    <row r="133" spans="1:28" x14ac:dyDescent="0.3">
      <c r="A133" s="117"/>
      <c r="E133" s="86"/>
      <c r="F133" s="86"/>
      <c r="G133" s="86"/>
      <c r="H133" s="86"/>
      <c r="I133" s="86"/>
      <c r="J133" s="86"/>
      <c r="K133" s="86"/>
      <c r="L133" s="86"/>
      <c r="M133" s="86"/>
      <c r="N133" s="86"/>
      <c r="O133" s="86"/>
      <c r="P133" s="86"/>
      <c r="Q133" s="86"/>
      <c r="R133" s="86"/>
      <c r="S133" s="86"/>
      <c r="T133" s="86"/>
      <c r="U133" s="86"/>
      <c r="V133" s="86"/>
      <c r="W133" s="86"/>
      <c r="X133" s="86"/>
      <c r="Y133" s="86"/>
      <c r="Z133" s="86"/>
      <c r="AA133" s="115" t="s">
        <v>114</v>
      </c>
      <c r="AB133" s="115" t="s">
        <v>114</v>
      </c>
    </row>
    <row r="134" spans="1:28" x14ac:dyDescent="0.3">
      <c r="A134" s="117"/>
      <c r="B134" s="68" t="s">
        <v>1266</v>
      </c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120"/>
      <c r="Y134" s="84"/>
      <c r="Z134" s="84"/>
      <c r="AA134" s="118"/>
    </row>
    <row r="135" spans="1:28" hidden="1" x14ac:dyDescent="0.3">
      <c r="A135" s="117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</row>
    <row r="136" spans="1:28" hidden="1" x14ac:dyDescent="0.3">
      <c r="A136" s="105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</row>
    <row r="137" spans="1:28" hidden="1" x14ac:dyDescent="0.3">
      <c r="A137" s="117"/>
      <c r="C137" s="68" t="s">
        <v>75</v>
      </c>
      <c r="D137" s="88" t="s">
        <v>76</v>
      </c>
      <c r="E137" s="85">
        <f>STATS1003B!E137/1000</f>
        <v>6387</v>
      </c>
      <c r="F137" s="85">
        <f>STATS1003B!F137/1000</f>
        <v>0</v>
      </c>
      <c r="G137" s="85">
        <f>STATS1003B!G137/1000</f>
        <v>0</v>
      </c>
      <c r="H137" s="85">
        <f>STATS1003B!H137/1000</f>
        <v>0</v>
      </c>
      <c r="I137" s="85">
        <f>STATS1003B!I137/1000</f>
        <v>0</v>
      </c>
      <c r="J137" s="85">
        <f>STATS1003B!J137/1000</f>
        <v>0</v>
      </c>
      <c r="K137" s="85">
        <f>STATS1003B!K137/1000</f>
        <v>0</v>
      </c>
      <c r="L137" s="85">
        <f>STATS1003B!L137/1000</f>
        <v>0</v>
      </c>
      <c r="M137" s="85">
        <f>STATS1003B!M137/1000</f>
        <v>0</v>
      </c>
      <c r="N137" s="85">
        <f>STATS1003B!N137/1000</f>
        <v>4670.8686399999997</v>
      </c>
      <c r="O137" s="85">
        <f>STATS1003B!O137/1000</f>
        <v>0</v>
      </c>
      <c r="P137" s="85">
        <f>STATS1003B!P137/1000</f>
        <v>4670.8686399999997</v>
      </c>
      <c r="Q137" s="85">
        <f>STATS1003B!Q137/1000</f>
        <v>0</v>
      </c>
      <c r="R137" s="85">
        <f>STATS1003B!R137/1000</f>
        <v>0</v>
      </c>
      <c r="S137" s="85">
        <f>STATS1003B!S137/1000</f>
        <v>0</v>
      </c>
      <c r="T137" s="85">
        <f>STATS1003B!T137/1000</f>
        <v>0</v>
      </c>
      <c r="U137" s="85">
        <f>STATS1003B!U137/1000</f>
        <v>4670.8686399999997</v>
      </c>
      <c r="V137" s="85">
        <f>STATS1003B!V137/1000</f>
        <v>4670.8686399999997</v>
      </c>
      <c r="W137" s="85">
        <f>STATS1003B!W137/1000</f>
        <v>1716.1313600000003</v>
      </c>
      <c r="X137" s="85">
        <f>STATS1003B!X137/1000</f>
        <v>4670.8686399999997</v>
      </c>
      <c r="Y137" s="85">
        <f>STATS1003B!Y137/1000</f>
        <v>0</v>
      </c>
      <c r="Z137" s="85">
        <f>STATS1003B!Z137/1000</f>
        <v>1716.1313600000003</v>
      </c>
      <c r="AA137" s="69">
        <f>STATS1003B!AA137/1000</f>
        <v>4670.8686399999997</v>
      </c>
      <c r="AB137" s="69">
        <f>STATS1003B!AB137/1000</f>
        <v>1716.1313600000003</v>
      </c>
    </row>
    <row r="138" spans="1:28" hidden="1" x14ac:dyDescent="0.3">
      <c r="A138" s="117"/>
      <c r="C138" s="68" t="s">
        <v>57</v>
      </c>
      <c r="D138" s="87" t="s">
        <v>117</v>
      </c>
      <c r="E138" s="85">
        <f>STATS1003B!E138/1000</f>
        <v>13658.036539999999</v>
      </c>
      <c r="F138" s="85">
        <f>STATS1003B!F138/1000</f>
        <v>13354.002779999999</v>
      </c>
      <c r="G138" s="85">
        <f>STATS1003B!G138/1000</f>
        <v>0</v>
      </c>
      <c r="H138" s="85">
        <f>STATS1003B!H138/1000</f>
        <v>13354.002779999999</v>
      </c>
      <c r="I138" s="85">
        <f>STATS1003B!I138/1000</f>
        <v>0</v>
      </c>
      <c r="J138" s="85">
        <f>STATS1003B!J138/1000</f>
        <v>0</v>
      </c>
      <c r="K138" s="85">
        <f>STATS1003B!K138/1000</f>
        <v>0</v>
      </c>
      <c r="L138" s="85">
        <f>STATS1003B!L138/1000</f>
        <v>0</v>
      </c>
      <c r="M138" s="85">
        <f>STATS1003B!M138/1000</f>
        <v>13354.002779999999</v>
      </c>
      <c r="N138" s="85">
        <f>STATS1003B!N138/1000</f>
        <v>304.03376000000003</v>
      </c>
      <c r="O138" s="85">
        <f>STATS1003B!O138/1000</f>
        <v>0</v>
      </c>
      <c r="P138" s="85">
        <f>STATS1003B!P138/1000</f>
        <v>304.03376000000003</v>
      </c>
      <c r="Q138" s="85">
        <f>STATS1003B!Q138/1000</f>
        <v>0</v>
      </c>
      <c r="R138" s="85">
        <f>STATS1003B!R138/1000</f>
        <v>0</v>
      </c>
      <c r="S138" s="85">
        <f>STATS1003B!S138/1000</f>
        <v>0</v>
      </c>
      <c r="T138" s="85">
        <f>STATS1003B!T138/1000</f>
        <v>0</v>
      </c>
      <c r="U138" s="85">
        <f>STATS1003B!U138/1000</f>
        <v>304.03376000000003</v>
      </c>
      <c r="V138" s="85">
        <f>STATS1003B!V138/1000</f>
        <v>13658.036539999999</v>
      </c>
      <c r="W138" s="85">
        <f>STATS1003B!W138/1000</f>
        <v>0</v>
      </c>
      <c r="X138" s="85">
        <f>STATS1003B!X138/1000</f>
        <v>13658.036539999999</v>
      </c>
      <c r="Y138" s="85">
        <f>STATS1003B!Y138/1000</f>
        <v>0</v>
      </c>
      <c r="Z138" s="85">
        <f>STATS1003B!Z138/1000</f>
        <v>0</v>
      </c>
      <c r="AA138" s="69">
        <f>STATS1003B!AA138/1000</f>
        <v>13658.036539999999</v>
      </c>
      <c r="AB138" s="69">
        <f>STATS1003B!AB138/1000</f>
        <v>0</v>
      </c>
    </row>
    <row r="139" spans="1:28" hidden="1" x14ac:dyDescent="0.3">
      <c r="A139" s="117"/>
      <c r="C139" s="68" t="s">
        <v>118</v>
      </c>
      <c r="D139" s="87" t="s">
        <v>119</v>
      </c>
      <c r="E139" s="85">
        <f>STATS1003B!E139/1000</f>
        <v>695</v>
      </c>
      <c r="F139" s="85">
        <f>STATS1003B!F139/1000</f>
        <v>695</v>
      </c>
      <c r="G139" s="85">
        <f>STATS1003B!G139/1000</f>
        <v>0</v>
      </c>
      <c r="H139" s="85">
        <f>STATS1003B!H139/1000</f>
        <v>695</v>
      </c>
      <c r="I139" s="85">
        <f>STATS1003B!I139/1000</f>
        <v>0</v>
      </c>
      <c r="J139" s="85">
        <f>STATS1003B!J139/1000</f>
        <v>0</v>
      </c>
      <c r="K139" s="85">
        <f>STATS1003B!K139/1000</f>
        <v>0</v>
      </c>
      <c r="L139" s="85">
        <f>STATS1003B!L139/1000</f>
        <v>0</v>
      </c>
      <c r="M139" s="85">
        <f>STATS1003B!M139/1000</f>
        <v>695</v>
      </c>
      <c r="N139" s="85">
        <f>STATS1003B!N139/1000</f>
        <v>0</v>
      </c>
      <c r="O139" s="85">
        <f>STATS1003B!O139/1000</f>
        <v>0</v>
      </c>
      <c r="P139" s="85">
        <f>STATS1003B!P139/1000</f>
        <v>0</v>
      </c>
      <c r="Q139" s="85">
        <f>STATS1003B!Q139/1000</f>
        <v>0</v>
      </c>
      <c r="R139" s="85">
        <f>STATS1003B!R139/1000</f>
        <v>0</v>
      </c>
      <c r="S139" s="85">
        <f>STATS1003B!S139/1000</f>
        <v>0</v>
      </c>
      <c r="T139" s="85">
        <f>STATS1003B!T139/1000</f>
        <v>0</v>
      </c>
      <c r="U139" s="85">
        <f>STATS1003B!U139/1000</f>
        <v>0</v>
      </c>
      <c r="V139" s="85">
        <f>STATS1003B!V139/1000</f>
        <v>695</v>
      </c>
      <c r="W139" s="85">
        <f>STATS1003B!W139/1000</f>
        <v>0</v>
      </c>
      <c r="X139" s="85">
        <f>STATS1003B!X139/1000</f>
        <v>695</v>
      </c>
      <c r="Y139" s="85">
        <f>STATS1003B!Y139/1000</f>
        <v>0</v>
      </c>
      <c r="Z139" s="85">
        <f>STATS1003B!Z139/1000</f>
        <v>0</v>
      </c>
      <c r="AA139" s="69">
        <f>STATS1003B!AA139/1000</f>
        <v>695</v>
      </c>
      <c r="AB139" s="69">
        <f>STATS1003B!AB139/1000</f>
        <v>0</v>
      </c>
    </row>
    <row r="140" spans="1:28" hidden="1" x14ac:dyDescent="0.3">
      <c r="A140" s="117"/>
      <c r="C140" s="68" t="s">
        <v>53</v>
      </c>
      <c r="D140" s="87" t="s">
        <v>68</v>
      </c>
      <c r="E140" s="85">
        <f>STATS1003B!E140/1000</f>
        <v>1953.989</v>
      </c>
      <c r="F140" s="85">
        <f>STATS1003B!F140/1000</f>
        <v>0</v>
      </c>
      <c r="G140" s="85">
        <f>STATS1003B!G140/1000</f>
        <v>0</v>
      </c>
      <c r="H140" s="85">
        <f>STATS1003B!H140/1000</f>
        <v>0</v>
      </c>
      <c r="I140" s="85">
        <f>STATS1003B!I140/1000</f>
        <v>0</v>
      </c>
      <c r="J140" s="85">
        <f>STATS1003B!J140/1000</f>
        <v>0</v>
      </c>
      <c r="K140" s="85">
        <f>STATS1003B!K140/1000</f>
        <v>0</v>
      </c>
      <c r="L140" s="85">
        <f>STATS1003B!L140/1000</f>
        <v>0</v>
      </c>
      <c r="M140" s="85">
        <f>STATS1003B!M140/1000</f>
        <v>0</v>
      </c>
      <c r="N140" s="85">
        <f>STATS1003B!N140/1000</f>
        <v>1953.989</v>
      </c>
      <c r="O140" s="85">
        <f>STATS1003B!O140/1000</f>
        <v>0</v>
      </c>
      <c r="P140" s="85">
        <f>STATS1003B!P140/1000</f>
        <v>1953.989</v>
      </c>
      <c r="Q140" s="85">
        <f>STATS1003B!Q140/1000</f>
        <v>0</v>
      </c>
      <c r="R140" s="85">
        <f>STATS1003B!R140/1000</f>
        <v>0</v>
      </c>
      <c r="S140" s="85">
        <f>STATS1003B!S140/1000</f>
        <v>0</v>
      </c>
      <c r="T140" s="85">
        <f>STATS1003B!T140/1000</f>
        <v>0</v>
      </c>
      <c r="U140" s="85">
        <f>STATS1003B!U140/1000</f>
        <v>1953.989</v>
      </c>
      <c r="V140" s="85">
        <f>STATS1003B!V140/1000</f>
        <v>1953.989</v>
      </c>
      <c r="W140" s="85">
        <f>STATS1003B!W140/1000</f>
        <v>0</v>
      </c>
      <c r="X140" s="85">
        <f>STATS1003B!X140/1000</f>
        <v>1953.989</v>
      </c>
      <c r="Y140" s="85">
        <f>STATS1003B!Y140/1000</f>
        <v>0</v>
      </c>
      <c r="Z140" s="85">
        <f>STATS1003B!Z140/1000</f>
        <v>0</v>
      </c>
      <c r="AA140" s="69">
        <f>STATS1003B!AA140/1000</f>
        <v>1953.989</v>
      </c>
      <c r="AB140" s="69">
        <f>STATS1003B!AB140/1000</f>
        <v>0</v>
      </c>
    </row>
    <row r="141" spans="1:28" hidden="1" x14ac:dyDescent="0.3">
      <c r="A141" s="117"/>
      <c r="C141" s="68" t="s">
        <v>55</v>
      </c>
      <c r="D141" s="87" t="s">
        <v>54</v>
      </c>
      <c r="E141" s="85">
        <f>STATS1003B!E141/1000</f>
        <v>207.78731999999999</v>
      </c>
      <c r="F141" s="85">
        <f>STATS1003B!F141/1000</f>
        <v>0</v>
      </c>
      <c r="G141" s="85">
        <f>STATS1003B!G141/1000</f>
        <v>0</v>
      </c>
      <c r="H141" s="85">
        <f>STATS1003B!H141/1000</f>
        <v>0</v>
      </c>
      <c r="I141" s="85">
        <f>STATS1003B!I141/1000</f>
        <v>0</v>
      </c>
      <c r="J141" s="85">
        <f>STATS1003B!J141/1000</f>
        <v>0</v>
      </c>
      <c r="K141" s="85">
        <f>STATS1003B!K141/1000</f>
        <v>0</v>
      </c>
      <c r="L141" s="85">
        <f>STATS1003B!L141/1000</f>
        <v>0</v>
      </c>
      <c r="M141" s="85">
        <f>STATS1003B!M141/1000</f>
        <v>0</v>
      </c>
      <c r="N141" s="85">
        <f>STATS1003B!N141/1000</f>
        <v>207.78731999999999</v>
      </c>
      <c r="O141" s="85">
        <f>STATS1003B!O141/1000</f>
        <v>0</v>
      </c>
      <c r="P141" s="85">
        <f>STATS1003B!P141/1000</f>
        <v>207.78731999999999</v>
      </c>
      <c r="Q141" s="85">
        <f>STATS1003B!Q141/1000</f>
        <v>0</v>
      </c>
      <c r="R141" s="85">
        <f>STATS1003B!R141/1000</f>
        <v>0</v>
      </c>
      <c r="S141" s="85">
        <f>STATS1003B!S141/1000</f>
        <v>0</v>
      </c>
      <c r="T141" s="85">
        <f>STATS1003B!T141/1000</f>
        <v>0</v>
      </c>
      <c r="U141" s="85">
        <f>STATS1003B!U141/1000</f>
        <v>207.78731999999999</v>
      </c>
      <c r="V141" s="85">
        <f>STATS1003B!V141/1000</f>
        <v>207.78731999999999</v>
      </c>
      <c r="W141" s="85">
        <f>STATS1003B!W141/1000</f>
        <v>0</v>
      </c>
      <c r="X141" s="85">
        <f>STATS1003B!X141/1000</f>
        <v>207.78731999999999</v>
      </c>
      <c r="Y141" s="85">
        <f>STATS1003B!Y141/1000</f>
        <v>0</v>
      </c>
      <c r="Z141" s="85">
        <f>STATS1003B!Z141/1000</f>
        <v>0</v>
      </c>
      <c r="AA141" s="69">
        <f>STATS1003B!AA141/1000</f>
        <v>207.78731999999999</v>
      </c>
      <c r="AB141" s="69">
        <f>STATS1003B!AB141/1000</f>
        <v>0</v>
      </c>
    </row>
    <row r="142" spans="1:28" hidden="1" x14ac:dyDescent="0.3">
      <c r="A142" s="117"/>
      <c r="C142" s="68" t="s">
        <v>120</v>
      </c>
      <c r="D142" s="87" t="s">
        <v>85</v>
      </c>
      <c r="E142" s="85">
        <f>STATS1003B!E142/1000</f>
        <v>2000</v>
      </c>
      <c r="F142" s="85">
        <f>STATS1003B!F142/1000</f>
        <v>2000</v>
      </c>
      <c r="G142" s="85">
        <f>STATS1003B!G142/1000</f>
        <v>0</v>
      </c>
      <c r="H142" s="85">
        <f>STATS1003B!H142/1000</f>
        <v>2000</v>
      </c>
      <c r="I142" s="85">
        <f>STATS1003B!I142/1000</f>
        <v>0</v>
      </c>
      <c r="J142" s="85">
        <f>STATS1003B!J142/1000</f>
        <v>0</v>
      </c>
      <c r="K142" s="85">
        <f>STATS1003B!K142/1000</f>
        <v>0</v>
      </c>
      <c r="L142" s="85">
        <f>STATS1003B!L142/1000</f>
        <v>0</v>
      </c>
      <c r="M142" s="85">
        <f>STATS1003B!M142/1000</f>
        <v>2000</v>
      </c>
      <c r="N142" s="85">
        <f>STATS1003B!N142/1000</f>
        <v>0</v>
      </c>
      <c r="O142" s="85">
        <f>STATS1003B!O142/1000</f>
        <v>0</v>
      </c>
      <c r="P142" s="85">
        <f>STATS1003B!P142/1000</f>
        <v>0</v>
      </c>
      <c r="Q142" s="85">
        <f>STATS1003B!Q142/1000</f>
        <v>0</v>
      </c>
      <c r="R142" s="85">
        <f>STATS1003B!R142/1000</f>
        <v>0</v>
      </c>
      <c r="S142" s="85">
        <f>STATS1003B!S142/1000</f>
        <v>0</v>
      </c>
      <c r="T142" s="85">
        <f>STATS1003B!T142/1000</f>
        <v>0</v>
      </c>
      <c r="U142" s="85">
        <f>STATS1003B!U142/1000</f>
        <v>0</v>
      </c>
      <c r="V142" s="85">
        <f>STATS1003B!V142/1000</f>
        <v>2000</v>
      </c>
      <c r="W142" s="85">
        <f>STATS1003B!W142/1000</f>
        <v>0</v>
      </c>
      <c r="X142" s="85">
        <f>STATS1003B!X142/1000</f>
        <v>2000</v>
      </c>
      <c r="Y142" s="85">
        <f>STATS1003B!Y142/1000</f>
        <v>0</v>
      </c>
      <c r="Z142" s="85">
        <f>STATS1003B!Z142/1000</f>
        <v>0</v>
      </c>
      <c r="AA142" s="69">
        <f>STATS1003B!AA142/1000</f>
        <v>2000</v>
      </c>
      <c r="AB142" s="69">
        <f>STATS1003B!AB142/1000</f>
        <v>0</v>
      </c>
    </row>
    <row r="143" spans="1:28" hidden="1" x14ac:dyDescent="0.3">
      <c r="A143" s="117"/>
      <c r="C143" s="68" t="s">
        <v>57</v>
      </c>
      <c r="D143" s="87" t="s">
        <v>58</v>
      </c>
      <c r="E143" s="85">
        <f>STATS1003B!E143/1000</f>
        <v>2090.44</v>
      </c>
      <c r="F143" s="85">
        <f>STATS1003B!F143/1000</f>
        <v>2090.44</v>
      </c>
      <c r="G143" s="85">
        <f>STATS1003B!G143/1000</f>
        <v>0</v>
      </c>
      <c r="H143" s="85">
        <f>STATS1003B!H143/1000</f>
        <v>2090.44</v>
      </c>
      <c r="I143" s="85">
        <f>STATS1003B!I143/1000</f>
        <v>0</v>
      </c>
      <c r="J143" s="85">
        <f>STATS1003B!J143/1000</f>
        <v>0</v>
      </c>
      <c r="K143" s="85">
        <f>STATS1003B!K143/1000</f>
        <v>0</v>
      </c>
      <c r="L143" s="85">
        <f>STATS1003B!L143/1000</f>
        <v>0</v>
      </c>
      <c r="M143" s="85">
        <f>STATS1003B!M143/1000</f>
        <v>2090.44</v>
      </c>
      <c r="N143" s="85">
        <f>STATS1003B!N143/1000</f>
        <v>0</v>
      </c>
      <c r="O143" s="85">
        <f>STATS1003B!O143/1000</f>
        <v>0</v>
      </c>
      <c r="P143" s="85">
        <f>STATS1003B!P143/1000</f>
        <v>0</v>
      </c>
      <c r="Q143" s="85">
        <f>STATS1003B!Q143/1000</f>
        <v>0</v>
      </c>
      <c r="R143" s="85">
        <f>STATS1003B!R143/1000</f>
        <v>0</v>
      </c>
      <c r="S143" s="85">
        <f>STATS1003B!S143/1000</f>
        <v>0</v>
      </c>
      <c r="T143" s="85">
        <f>STATS1003B!T143/1000</f>
        <v>0</v>
      </c>
      <c r="U143" s="85">
        <f>STATS1003B!U143/1000</f>
        <v>0</v>
      </c>
      <c r="V143" s="85">
        <f>STATS1003B!V143/1000</f>
        <v>2090.44</v>
      </c>
      <c r="W143" s="85">
        <f>STATS1003B!W143/1000</f>
        <v>0</v>
      </c>
      <c r="X143" s="85">
        <f>STATS1003B!X143/1000</f>
        <v>2090.44</v>
      </c>
      <c r="Y143" s="85">
        <f>STATS1003B!Y143/1000</f>
        <v>0</v>
      </c>
      <c r="Z143" s="85">
        <f>STATS1003B!Z143/1000</f>
        <v>0</v>
      </c>
      <c r="AA143" s="69">
        <f>STATS1003B!AA143/1000</f>
        <v>2090.44</v>
      </c>
      <c r="AB143" s="69">
        <f>STATS1003B!AB143/1000</f>
        <v>0</v>
      </c>
    </row>
    <row r="144" spans="1:28" hidden="1" x14ac:dyDescent="0.3">
      <c r="A144" s="117"/>
      <c r="C144" s="71" t="s">
        <v>109</v>
      </c>
      <c r="D144" s="88" t="s">
        <v>60</v>
      </c>
      <c r="E144" s="85">
        <f>STATS1003B!E144/1000</f>
        <v>4943.6064399999996</v>
      </c>
      <c r="F144" s="85">
        <f>STATS1003B!F144/1000</f>
        <v>4943.6064400000005</v>
      </c>
      <c r="G144" s="85">
        <f>STATS1003B!G144/1000</f>
        <v>0</v>
      </c>
      <c r="H144" s="85">
        <f>STATS1003B!H144/1000</f>
        <v>4943.6064400000005</v>
      </c>
      <c r="I144" s="85">
        <f>STATS1003B!I144/1000</f>
        <v>0</v>
      </c>
      <c r="J144" s="85">
        <f>STATS1003B!J144/1000</f>
        <v>0</v>
      </c>
      <c r="K144" s="85">
        <f>STATS1003B!K144/1000</f>
        <v>0</v>
      </c>
      <c r="L144" s="85">
        <f>STATS1003B!L144/1000</f>
        <v>0</v>
      </c>
      <c r="M144" s="85">
        <f>STATS1003B!M144/1000</f>
        <v>4943.6064400000005</v>
      </c>
      <c r="N144" s="85">
        <f>STATS1003B!N144/1000</f>
        <v>0</v>
      </c>
      <c r="O144" s="85">
        <f>STATS1003B!O144/1000</f>
        <v>0</v>
      </c>
      <c r="P144" s="85">
        <f>STATS1003B!P144/1000</f>
        <v>0</v>
      </c>
      <c r="Q144" s="85">
        <f>STATS1003B!Q144/1000</f>
        <v>0</v>
      </c>
      <c r="R144" s="85">
        <f>STATS1003B!R144/1000</f>
        <v>0</v>
      </c>
      <c r="S144" s="85">
        <f>STATS1003B!S144/1000</f>
        <v>0</v>
      </c>
      <c r="T144" s="85">
        <f>STATS1003B!T144/1000</f>
        <v>0</v>
      </c>
      <c r="U144" s="85">
        <f>STATS1003B!U144/1000</f>
        <v>0</v>
      </c>
      <c r="V144" s="85">
        <f>STATS1003B!V144/1000</f>
        <v>4943.6064400000005</v>
      </c>
      <c r="W144" s="85">
        <f>STATS1003B!W144/1000</f>
        <v>0</v>
      </c>
      <c r="X144" s="85">
        <f>STATS1003B!X144/1000</f>
        <v>4943.6064400000005</v>
      </c>
      <c r="Y144" s="85">
        <f>STATS1003B!Y144/1000</f>
        <v>0</v>
      </c>
      <c r="Z144" s="85">
        <f>STATS1003B!Z144/1000</f>
        <v>0</v>
      </c>
      <c r="AA144" s="69">
        <f>STATS1003B!AA144/1000</f>
        <v>4943.6064400000005</v>
      </c>
      <c r="AB144" s="69">
        <f>STATS1003B!AB144/1000</f>
        <v>0</v>
      </c>
    </row>
    <row r="145" spans="1:28" hidden="1" x14ac:dyDescent="0.3">
      <c r="A145" s="117"/>
      <c r="C145" s="71" t="s">
        <v>121</v>
      </c>
      <c r="D145" s="87" t="s">
        <v>73</v>
      </c>
      <c r="E145" s="85">
        <f>STATS1003B!E145/1000</f>
        <v>2500</v>
      </c>
      <c r="F145" s="85">
        <f>STATS1003B!F145/1000</f>
        <v>2500</v>
      </c>
      <c r="G145" s="85">
        <f>STATS1003B!G145/1000</f>
        <v>0</v>
      </c>
      <c r="H145" s="85">
        <f>STATS1003B!H145/1000</f>
        <v>2500</v>
      </c>
      <c r="I145" s="85">
        <f>STATS1003B!I145/1000</f>
        <v>0</v>
      </c>
      <c r="J145" s="85">
        <f>STATS1003B!J145/1000</f>
        <v>0</v>
      </c>
      <c r="K145" s="85">
        <f>STATS1003B!K145/1000</f>
        <v>0</v>
      </c>
      <c r="L145" s="85">
        <f>STATS1003B!L145/1000</f>
        <v>0</v>
      </c>
      <c r="M145" s="85">
        <f>STATS1003B!M145/1000</f>
        <v>2500</v>
      </c>
      <c r="N145" s="85">
        <f>STATS1003B!N145/1000</f>
        <v>0</v>
      </c>
      <c r="O145" s="85">
        <f>STATS1003B!O145/1000</f>
        <v>0</v>
      </c>
      <c r="P145" s="85">
        <f>STATS1003B!P145/1000</f>
        <v>0</v>
      </c>
      <c r="Q145" s="85">
        <f>STATS1003B!Q145/1000</f>
        <v>0</v>
      </c>
      <c r="R145" s="85">
        <f>STATS1003B!R145/1000</f>
        <v>0</v>
      </c>
      <c r="S145" s="85">
        <f>STATS1003B!S145/1000</f>
        <v>0</v>
      </c>
      <c r="T145" s="85">
        <f>STATS1003B!T145/1000</f>
        <v>0</v>
      </c>
      <c r="U145" s="85">
        <f>STATS1003B!U145/1000</f>
        <v>0</v>
      </c>
      <c r="V145" s="85">
        <f>STATS1003B!V145/1000</f>
        <v>2500</v>
      </c>
      <c r="W145" s="85">
        <f>STATS1003B!W145/1000</f>
        <v>0</v>
      </c>
      <c r="X145" s="85">
        <f>STATS1003B!X145/1000</f>
        <v>2500</v>
      </c>
      <c r="Y145" s="85">
        <f>STATS1003B!Y145/1000</f>
        <v>0</v>
      </c>
      <c r="Z145" s="85">
        <f>STATS1003B!Z145/1000</f>
        <v>0</v>
      </c>
      <c r="AA145" s="69">
        <f>STATS1003B!AA145/1000</f>
        <v>2500</v>
      </c>
      <c r="AB145" s="69">
        <f>STATS1003B!AB145/1000</f>
        <v>0</v>
      </c>
    </row>
    <row r="146" spans="1:28" hidden="1" x14ac:dyDescent="0.3">
      <c r="A146" s="117"/>
      <c r="C146" s="71" t="s">
        <v>930</v>
      </c>
      <c r="D146" s="90" t="s">
        <v>1072</v>
      </c>
      <c r="E146" s="85">
        <f>STATS1003B!E146/1000</f>
        <v>4235.1093099999998</v>
      </c>
      <c r="F146" s="85">
        <f>STATS1003B!F146/1000</f>
        <v>4235.1093099999998</v>
      </c>
      <c r="G146" s="85">
        <f>STATS1003B!G146/1000</f>
        <v>0</v>
      </c>
      <c r="H146" s="85">
        <f>STATS1003B!H146/1000</f>
        <v>4235.1093099999998</v>
      </c>
      <c r="I146" s="85">
        <f>STATS1003B!I146/1000</f>
        <v>0</v>
      </c>
      <c r="J146" s="85">
        <f>STATS1003B!J146/1000</f>
        <v>0</v>
      </c>
      <c r="K146" s="85">
        <f>STATS1003B!K146/1000</f>
        <v>0</v>
      </c>
      <c r="L146" s="85">
        <f>STATS1003B!L146/1000</f>
        <v>0</v>
      </c>
      <c r="M146" s="85">
        <f>STATS1003B!M146/1000</f>
        <v>4235.1093099999998</v>
      </c>
      <c r="N146" s="85">
        <f>STATS1003B!N146/1000</f>
        <v>0</v>
      </c>
      <c r="O146" s="85">
        <f>STATS1003B!O146/1000</f>
        <v>0</v>
      </c>
      <c r="P146" s="85">
        <f>STATS1003B!P146/1000</f>
        <v>0</v>
      </c>
      <c r="Q146" s="85">
        <f>STATS1003B!Q146/1000</f>
        <v>0</v>
      </c>
      <c r="R146" s="85">
        <f>STATS1003B!R146/1000</f>
        <v>0</v>
      </c>
      <c r="S146" s="85">
        <f>STATS1003B!S146/1000</f>
        <v>0</v>
      </c>
      <c r="T146" s="85">
        <f>STATS1003B!T146/1000</f>
        <v>0</v>
      </c>
      <c r="U146" s="85">
        <f>STATS1003B!U146/1000</f>
        <v>0</v>
      </c>
      <c r="V146" s="85">
        <f>STATS1003B!V146/1000</f>
        <v>0</v>
      </c>
      <c r="W146" s="85">
        <f>STATS1003B!W146/1000</f>
        <v>0</v>
      </c>
      <c r="X146" s="85">
        <f>STATS1003B!X146/1000</f>
        <v>4235.1093099999998</v>
      </c>
      <c r="Y146" s="85">
        <f>STATS1003B!Y146/1000</f>
        <v>0</v>
      </c>
      <c r="Z146" s="85">
        <f>STATS1003B!Z146/1000</f>
        <v>0</v>
      </c>
      <c r="AA146" s="69">
        <f>STATS1003B!AA146/1000</f>
        <v>4235.1093099999998</v>
      </c>
      <c r="AB146" s="69">
        <f>STATS1003B!AB146/1000</f>
        <v>0</v>
      </c>
    </row>
    <row r="147" spans="1:28" hidden="1" x14ac:dyDescent="0.3">
      <c r="A147" s="117"/>
      <c r="C147" s="68" t="s">
        <v>122</v>
      </c>
      <c r="E147" s="85">
        <f>STATS1003B!E147/1000</f>
        <v>1602.81</v>
      </c>
      <c r="F147" s="85">
        <f>STATS1003B!F147/1000</f>
        <v>1602.81</v>
      </c>
      <c r="G147" s="85">
        <f>STATS1003B!G147/1000</f>
        <v>0</v>
      </c>
      <c r="H147" s="85">
        <f>STATS1003B!H147/1000</f>
        <v>1602.81</v>
      </c>
      <c r="I147" s="85">
        <f>STATS1003B!I147/1000</f>
        <v>0</v>
      </c>
      <c r="J147" s="85">
        <f>STATS1003B!J147/1000</f>
        <v>0</v>
      </c>
      <c r="K147" s="85">
        <f>STATS1003B!K147/1000</f>
        <v>0</v>
      </c>
      <c r="L147" s="85">
        <f>STATS1003B!L147/1000</f>
        <v>0</v>
      </c>
      <c r="M147" s="85">
        <f>STATS1003B!M147/1000</f>
        <v>1602.81</v>
      </c>
      <c r="N147" s="85">
        <f>STATS1003B!N147/1000</f>
        <v>0</v>
      </c>
      <c r="O147" s="85">
        <f>STATS1003B!O147/1000</f>
        <v>0</v>
      </c>
      <c r="P147" s="85">
        <f>STATS1003B!P147/1000</f>
        <v>0</v>
      </c>
      <c r="Q147" s="85">
        <f>STATS1003B!Q147/1000</f>
        <v>0</v>
      </c>
      <c r="R147" s="85">
        <f>STATS1003B!R147/1000</f>
        <v>0</v>
      </c>
      <c r="S147" s="85">
        <f>STATS1003B!S147/1000</f>
        <v>0</v>
      </c>
      <c r="T147" s="85">
        <f>STATS1003B!T147/1000</f>
        <v>0</v>
      </c>
      <c r="U147" s="85">
        <f>STATS1003B!U147/1000</f>
        <v>0</v>
      </c>
      <c r="V147" s="85">
        <f>STATS1003B!V147/1000</f>
        <v>1602.81</v>
      </c>
      <c r="W147" s="85">
        <f>STATS1003B!W147/1000</f>
        <v>0</v>
      </c>
      <c r="X147" s="85">
        <f>STATS1003B!X147/1000</f>
        <v>1602.81</v>
      </c>
      <c r="Y147" s="85">
        <f>STATS1003B!Y147/1000</f>
        <v>0</v>
      </c>
      <c r="Z147" s="85">
        <f>STATS1003B!Z147/1000</f>
        <v>0</v>
      </c>
      <c r="AA147" s="69">
        <f>STATS1003B!AA147/1000</f>
        <v>1602.81</v>
      </c>
      <c r="AB147" s="69">
        <f>STATS1003B!AB147/1000</f>
        <v>0</v>
      </c>
    </row>
    <row r="148" spans="1:28" hidden="1" x14ac:dyDescent="0.3">
      <c r="A148" s="117"/>
      <c r="E148" s="86" t="s">
        <v>29</v>
      </c>
      <c r="F148" s="86" t="s">
        <v>29</v>
      </c>
      <c r="G148" s="86" t="s">
        <v>29</v>
      </c>
      <c r="H148" s="86" t="s">
        <v>29</v>
      </c>
      <c r="I148" s="86" t="s">
        <v>29</v>
      </c>
      <c r="J148" s="86" t="s">
        <v>29</v>
      </c>
      <c r="K148" s="86" t="s">
        <v>29</v>
      </c>
      <c r="L148" s="86" t="s">
        <v>29</v>
      </c>
      <c r="M148" s="86" t="s">
        <v>29</v>
      </c>
      <c r="N148" s="86" t="s">
        <v>29</v>
      </c>
      <c r="O148" s="86" t="s">
        <v>29</v>
      </c>
      <c r="P148" s="86" t="s">
        <v>29</v>
      </c>
      <c r="Q148" s="86" t="s">
        <v>29</v>
      </c>
      <c r="R148" s="86" t="s">
        <v>29</v>
      </c>
      <c r="S148" s="86" t="s">
        <v>29</v>
      </c>
      <c r="T148" s="86" t="s">
        <v>29</v>
      </c>
      <c r="U148" s="86" t="s">
        <v>29</v>
      </c>
      <c r="V148" s="86" t="s">
        <v>29</v>
      </c>
      <c r="W148" s="86" t="s">
        <v>29</v>
      </c>
      <c r="X148" s="86" t="s">
        <v>29</v>
      </c>
      <c r="Y148" s="86" t="s">
        <v>29</v>
      </c>
      <c r="Z148" s="86" t="s">
        <v>29</v>
      </c>
      <c r="AA148" s="115" t="s">
        <v>29</v>
      </c>
      <c r="AB148" s="115" t="s">
        <v>29</v>
      </c>
    </row>
    <row r="149" spans="1:28" x14ac:dyDescent="0.3">
      <c r="A149" s="116" t="s">
        <v>940</v>
      </c>
      <c r="B149" s="68" t="s">
        <v>116</v>
      </c>
      <c r="E149" s="85">
        <f>65473207/1000</f>
        <v>65473.207000000002</v>
      </c>
      <c r="F149" s="85">
        <f>SUM(F137:F147)</f>
        <v>31420.968529999998</v>
      </c>
      <c r="G149" s="85">
        <f>SUM(G137:G147)</f>
        <v>0</v>
      </c>
      <c r="H149" s="85">
        <f>56620396.92/1000</f>
        <v>56620.396919999999</v>
      </c>
      <c r="I149" s="85">
        <f t="shared" ref="I149:O149" si="17">SUM(I137:I147)</f>
        <v>0</v>
      </c>
      <c r="J149" s="85">
        <f t="shared" si="17"/>
        <v>0</v>
      </c>
      <c r="K149" s="85">
        <f t="shared" si="17"/>
        <v>0</v>
      </c>
      <c r="L149" s="85">
        <f t="shared" si="17"/>
        <v>0</v>
      </c>
      <c r="M149" s="85">
        <f t="shared" si="17"/>
        <v>31420.968529999998</v>
      </c>
      <c r="N149" s="85">
        <f t="shared" si="17"/>
        <v>7136.6787200000008</v>
      </c>
      <c r="O149" s="85">
        <f t="shared" si="17"/>
        <v>0</v>
      </c>
      <c r="P149" s="85">
        <f>7136678.72/1000</f>
        <v>7136.6787199999999</v>
      </c>
      <c r="Q149" s="85">
        <f t="shared" ref="Q149:W149" si="18">SUM(Q137:Q147)</f>
        <v>0</v>
      </c>
      <c r="R149" s="85">
        <f t="shared" si="18"/>
        <v>0</v>
      </c>
      <c r="S149" s="85">
        <f t="shared" si="18"/>
        <v>0</v>
      </c>
      <c r="T149" s="85">
        <f t="shared" si="18"/>
        <v>0</v>
      </c>
      <c r="U149" s="85">
        <f t="shared" si="18"/>
        <v>7136.6787200000008</v>
      </c>
      <c r="V149" s="85">
        <f t="shared" si="18"/>
        <v>34322.537939999995</v>
      </c>
      <c r="W149" s="85">
        <f t="shared" si="18"/>
        <v>1716.1313600000003</v>
      </c>
      <c r="X149" s="85">
        <f>+H149+P149</f>
        <v>63757.075639999995</v>
      </c>
      <c r="Y149" s="85">
        <f>SUM(Y137:Y147)</f>
        <v>0</v>
      </c>
      <c r="Z149" s="85">
        <f>+E149-X149</f>
        <v>1716.1313600000067</v>
      </c>
      <c r="AA149" s="69">
        <f>SUM(AA137:AA147)</f>
        <v>38557.647249999995</v>
      </c>
      <c r="AB149" s="69">
        <f>SUM(AB137:AB147)</f>
        <v>1716.1313600000003</v>
      </c>
    </row>
    <row r="150" spans="1:28" hidden="1" x14ac:dyDescent="0.3">
      <c r="A150" s="117"/>
      <c r="E150" s="86" t="s">
        <v>29</v>
      </c>
      <c r="F150" s="86" t="s">
        <v>29</v>
      </c>
      <c r="G150" s="86" t="s">
        <v>29</v>
      </c>
      <c r="H150" s="86" t="s">
        <v>29</v>
      </c>
      <c r="I150" s="86" t="s">
        <v>29</v>
      </c>
      <c r="J150" s="86" t="s">
        <v>29</v>
      </c>
      <c r="K150" s="86" t="s">
        <v>29</v>
      </c>
      <c r="L150" s="86" t="s">
        <v>29</v>
      </c>
      <c r="M150" s="86" t="s">
        <v>29</v>
      </c>
      <c r="N150" s="86" t="s">
        <v>29</v>
      </c>
      <c r="O150" s="86" t="s">
        <v>29</v>
      </c>
      <c r="P150" s="86" t="s">
        <v>29</v>
      </c>
      <c r="Q150" s="86" t="s">
        <v>29</v>
      </c>
      <c r="R150" s="86" t="s">
        <v>29</v>
      </c>
      <c r="S150" s="86" t="s">
        <v>29</v>
      </c>
      <c r="T150" s="86" t="s">
        <v>29</v>
      </c>
      <c r="U150" s="86" t="s">
        <v>29</v>
      </c>
      <c r="V150" s="86" t="s">
        <v>29</v>
      </c>
      <c r="W150" s="86" t="s">
        <v>29</v>
      </c>
      <c r="X150" s="85" t="e">
        <f t="shared" ref="X150:X212" si="19">+H150+P150</f>
        <v>#VALUE!</v>
      </c>
      <c r="Y150" s="86" t="s">
        <v>29</v>
      </c>
      <c r="Z150" s="86" t="s">
        <v>29</v>
      </c>
      <c r="AA150" s="115" t="s">
        <v>29</v>
      </c>
      <c r="AB150" s="115" t="s">
        <v>29</v>
      </c>
    </row>
    <row r="151" spans="1:28" hidden="1" x14ac:dyDescent="0.3">
      <c r="A151" s="105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5">
        <f t="shared" si="19"/>
        <v>0</v>
      </c>
      <c r="Y151" s="84"/>
      <c r="Z151" s="84"/>
      <c r="AA151" s="118"/>
    </row>
    <row r="152" spans="1:28" hidden="1" x14ac:dyDescent="0.3">
      <c r="A152" s="117"/>
      <c r="C152" s="68" t="s">
        <v>75</v>
      </c>
      <c r="D152" s="88" t="s">
        <v>76</v>
      </c>
      <c r="E152" s="85">
        <f>STATS1003B!E152/1000</f>
        <v>30321</v>
      </c>
      <c r="F152" s="85">
        <f>STATS1003B!F152/1000</f>
        <v>7922.143</v>
      </c>
      <c r="G152" s="85">
        <f>STATS1003B!G152/1000</f>
        <v>0</v>
      </c>
      <c r="H152" s="85">
        <f>STATS1003B!H152/1000</f>
        <v>7922.143</v>
      </c>
      <c r="I152" s="85">
        <f>STATS1003B!I152/1000</f>
        <v>0</v>
      </c>
      <c r="J152" s="85">
        <f>STATS1003B!J152/1000</f>
        <v>0</v>
      </c>
      <c r="K152" s="85">
        <f>STATS1003B!K152/1000</f>
        <v>0</v>
      </c>
      <c r="L152" s="85">
        <f>STATS1003B!L152/1000</f>
        <v>0</v>
      </c>
      <c r="M152" s="85">
        <f>STATS1003B!M152/1000</f>
        <v>7922.143</v>
      </c>
      <c r="N152" s="85">
        <f>STATS1003B!N152/1000</f>
        <v>22180.877920000003</v>
      </c>
      <c r="O152" s="85">
        <f>STATS1003B!O152/1000</f>
        <v>0</v>
      </c>
      <c r="P152" s="85">
        <f>STATS1003B!P152/1000</f>
        <v>22180.877920000003</v>
      </c>
      <c r="Q152" s="85">
        <f>STATS1003B!Q152/1000</f>
        <v>0</v>
      </c>
      <c r="R152" s="85">
        <f>STATS1003B!R152/1000</f>
        <v>0</v>
      </c>
      <c r="S152" s="85">
        <f>STATS1003B!S152/1000</f>
        <v>0</v>
      </c>
      <c r="T152" s="85">
        <f>STATS1003B!T152/1000</f>
        <v>0</v>
      </c>
      <c r="U152" s="85">
        <f>STATS1003B!U152/1000</f>
        <v>22180.877920000003</v>
      </c>
      <c r="V152" s="85">
        <f>STATS1003B!V152/1000</f>
        <v>30103.020920000003</v>
      </c>
      <c r="W152" s="85">
        <f>STATS1003B!W152/1000</f>
        <v>217.97907999999822</v>
      </c>
      <c r="X152" s="85">
        <f t="shared" si="19"/>
        <v>30103.020920000003</v>
      </c>
      <c r="Y152" s="85">
        <f>STATS1003B!Y152/1000</f>
        <v>0</v>
      </c>
      <c r="Z152" s="85">
        <f>STATS1003B!Z152/1000</f>
        <v>217.97907999999822</v>
      </c>
      <c r="AA152" s="69">
        <f>STATS1003B!AA152/1000</f>
        <v>30103.020920000003</v>
      </c>
      <c r="AB152" s="69">
        <f>STATS1003B!AB152/1000</f>
        <v>217.97907999999822</v>
      </c>
    </row>
    <row r="153" spans="1:28" hidden="1" x14ac:dyDescent="0.3">
      <c r="A153" s="117"/>
      <c r="C153" s="68" t="s">
        <v>124</v>
      </c>
      <c r="D153" s="87" t="s">
        <v>125</v>
      </c>
      <c r="E153" s="85">
        <f>STATS1003B!E153/1000</f>
        <v>0</v>
      </c>
      <c r="F153" s="85">
        <f>STATS1003B!F153/1000</f>
        <v>0</v>
      </c>
      <c r="G153" s="85">
        <f>STATS1003B!G153/1000</f>
        <v>0</v>
      </c>
      <c r="H153" s="85">
        <f>STATS1003B!H153/1000</f>
        <v>0</v>
      </c>
      <c r="I153" s="85">
        <f>STATS1003B!I153/1000</f>
        <v>0</v>
      </c>
      <c r="J153" s="85">
        <f>STATS1003B!J153/1000</f>
        <v>0</v>
      </c>
      <c r="K153" s="85">
        <f>STATS1003B!K153/1000</f>
        <v>0</v>
      </c>
      <c r="L153" s="85">
        <f>STATS1003B!L153/1000</f>
        <v>0</v>
      </c>
      <c r="M153" s="85">
        <f>STATS1003B!M153/1000</f>
        <v>0</v>
      </c>
      <c r="N153" s="85">
        <f>STATS1003B!N153/1000</f>
        <v>0</v>
      </c>
      <c r="O153" s="85">
        <f>STATS1003B!O153/1000</f>
        <v>0</v>
      </c>
      <c r="P153" s="85">
        <f>STATS1003B!P153/1000</f>
        <v>0</v>
      </c>
      <c r="Q153" s="85">
        <f>STATS1003B!Q153/1000</f>
        <v>0</v>
      </c>
      <c r="R153" s="85">
        <f>STATS1003B!R153/1000</f>
        <v>0</v>
      </c>
      <c r="S153" s="85">
        <f>STATS1003B!S153/1000</f>
        <v>0</v>
      </c>
      <c r="T153" s="85">
        <f>STATS1003B!T153/1000</f>
        <v>0</v>
      </c>
      <c r="U153" s="85">
        <f>STATS1003B!U153/1000</f>
        <v>0</v>
      </c>
      <c r="V153" s="85">
        <f>STATS1003B!V153/1000</f>
        <v>0</v>
      </c>
      <c r="W153" s="85">
        <f>STATS1003B!W153/1000</f>
        <v>0</v>
      </c>
      <c r="X153" s="85">
        <f t="shared" si="19"/>
        <v>0</v>
      </c>
      <c r="Y153" s="85">
        <f>STATS1003B!Y153/1000</f>
        <v>0</v>
      </c>
      <c r="Z153" s="85">
        <f>STATS1003B!Z153/1000</f>
        <v>0</v>
      </c>
      <c r="AA153" s="69">
        <f>STATS1003B!AA153/1000</f>
        <v>0</v>
      </c>
      <c r="AB153" s="69">
        <f>STATS1003B!AB153/1000</f>
        <v>0</v>
      </c>
    </row>
    <row r="154" spans="1:28" hidden="1" x14ac:dyDescent="0.3">
      <c r="A154" s="117"/>
      <c r="D154" s="71" t="s">
        <v>126</v>
      </c>
      <c r="E154" s="85">
        <f>STATS1003B!E154/1000</f>
        <v>20509.5</v>
      </c>
      <c r="F154" s="85">
        <f>STATS1003B!F154/1000</f>
        <v>18775.664940000002</v>
      </c>
      <c r="G154" s="85">
        <f>STATS1003B!G154/1000</f>
        <v>0</v>
      </c>
      <c r="H154" s="85">
        <f>STATS1003B!H154/1000</f>
        <v>18775.664940000002</v>
      </c>
      <c r="I154" s="85">
        <f>STATS1003B!I154/1000</f>
        <v>0</v>
      </c>
      <c r="J154" s="85">
        <f>STATS1003B!J154/1000</f>
        <v>0</v>
      </c>
      <c r="K154" s="85">
        <f>STATS1003B!K154/1000</f>
        <v>0</v>
      </c>
      <c r="L154" s="85">
        <f>STATS1003B!L154/1000</f>
        <v>0</v>
      </c>
      <c r="M154" s="85">
        <f>STATS1003B!M154/1000</f>
        <v>18775.664940000002</v>
      </c>
      <c r="N154" s="85">
        <f>STATS1003B!N154/1000</f>
        <v>1733.8350600000001</v>
      </c>
      <c r="O154" s="85">
        <f>STATS1003B!O154/1000</f>
        <v>0</v>
      </c>
      <c r="P154" s="85">
        <f>STATS1003B!P154/1000</f>
        <v>1733.8350600000001</v>
      </c>
      <c r="Q154" s="85">
        <f>STATS1003B!Q154/1000</f>
        <v>0</v>
      </c>
      <c r="R154" s="85">
        <f>STATS1003B!R154/1000</f>
        <v>0</v>
      </c>
      <c r="S154" s="85">
        <f>STATS1003B!S154/1000</f>
        <v>0</v>
      </c>
      <c r="T154" s="85">
        <f>STATS1003B!T154/1000</f>
        <v>0</v>
      </c>
      <c r="U154" s="85">
        <f>STATS1003B!U154/1000</f>
        <v>1733.8350600000001</v>
      </c>
      <c r="V154" s="85">
        <f>STATS1003B!V154/1000</f>
        <v>20509.5</v>
      </c>
      <c r="W154" s="85">
        <f>STATS1003B!W154/1000</f>
        <v>0</v>
      </c>
      <c r="X154" s="85">
        <f t="shared" si="19"/>
        <v>20509.500000000004</v>
      </c>
      <c r="Y154" s="85">
        <f>STATS1003B!Y154/1000</f>
        <v>0</v>
      </c>
      <c r="Z154" s="85">
        <f>STATS1003B!Z154/1000</f>
        <v>0</v>
      </c>
      <c r="AA154" s="69">
        <f>STATS1003B!AA154/1000</f>
        <v>20509.5</v>
      </c>
      <c r="AB154" s="69">
        <f>STATS1003B!AB154/1000</f>
        <v>0</v>
      </c>
    </row>
    <row r="155" spans="1:28" hidden="1" x14ac:dyDescent="0.3">
      <c r="A155" s="117"/>
      <c r="C155" s="68" t="s">
        <v>53</v>
      </c>
      <c r="D155" s="87" t="s">
        <v>68</v>
      </c>
      <c r="E155" s="85">
        <f>STATS1003B!E155/1000</f>
        <v>1953.989</v>
      </c>
      <c r="F155" s="85">
        <f>STATS1003B!F155/1000</f>
        <v>0</v>
      </c>
      <c r="G155" s="85">
        <f>STATS1003B!G155/1000</f>
        <v>0</v>
      </c>
      <c r="H155" s="85">
        <f>STATS1003B!H155/1000</f>
        <v>0</v>
      </c>
      <c r="I155" s="85">
        <f>STATS1003B!I155/1000</f>
        <v>0</v>
      </c>
      <c r="J155" s="85">
        <f>STATS1003B!J155/1000</f>
        <v>0</v>
      </c>
      <c r="K155" s="85">
        <f>STATS1003B!K155/1000</f>
        <v>0</v>
      </c>
      <c r="L155" s="85">
        <f>STATS1003B!L155/1000</f>
        <v>0</v>
      </c>
      <c r="M155" s="85">
        <f>STATS1003B!M155/1000</f>
        <v>0</v>
      </c>
      <c r="N155" s="85">
        <f>STATS1003B!N155/1000</f>
        <v>1953.989</v>
      </c>
      <c r="O155" s="85">
        <f>STATS1003B!O155/1000</f>
        <v>0</v>
      </c>
      <c r="P155" s="85">
        <f>STATS1003B!P155/1000</f>
        <v>1953.989</v>
      </c>
      <c r="Q155" s="85">
        <f>STATS1003B!Q155/1000</f>
        <v>0</v>
      </c>
      <c r="R155" s="85">
        <f>STATS1003B!R155/1000</f>
        <v>0</v>
      </c>
      <c r="S155" s="85">
        <f>STATS1003B!S155/1000</f>
        <v>0</v>
      </c>
      <c r="T155" s="85">
        <f>STATS1003B!T155/1000</f>
        <v>0</v>
      </c>
      <c r="U155" s="85">
        <f>STATS1003B!U155/1000</f>
        <v>1953.989</v>
      </c>
      <c r="V155" s="85">
        <f>STATS1003B!V155/1000</f>
        <v>1953.989</v>
      </c>
      <c r="W155" s="85">
        <f>STATS1003B!W155/1000</f>
        <v>0</v>
      </c>
      <c r="X155" s="85">
        <f t="shared" si="19"/>
        <v>1953.989</v>
      </c>
      <c r="Y155" s="85">
        <f>STATS1003B!Y155/1000</f>
        <v>0</v>
      </c>
      <c r="Z155" s="85">
        <f>STATS1003B!Z155/1000</f>
        <v>0</v>
      </c>
      <c r="AA155" s="69">
        <f>STATS1003B!AA155/1000</f>
        <v>1953.989</v>
      </c>
      <c r="AB155" s="69">
        <f>STATS1003B!AB155/1000</f>
        <v>0</v>
      </c>
    </row>
    <row r="156" spans="1:28" hidden="1" x14ac:dyDescent="0.3">
      <c r="A156" s="117"/>
      <c r="C156" s="68" t="s">
        <v>55</v>
      </c>
      <c r="D156" s="87" t="s">
        <v>93</v>
      </c>
      <c r="E156" s="85">
        <f>STATS1003B!E156/1000</f>
        <v>2846.5423999999998</v>
      </c>
      <c r="F156" s="85">
        <f>STATS1003B!F156/1000</f>
        <v>0</v>
      </c>
      <c r="G156" s="85">
        <f>STATS1003B!G156/1000</f>
        <v>0</v>
      </c>
      <c r="H156" s="85">
        <f>STATS1003B!H156/1000</f>
        <v>0</v>
      </c>
      <c r="I156" s="85">
        <f>STATS1003B!I156/1000</f>
        <v>0</v>
      </c>
      <c r="J156" s="85">
        <f>STATS1003B!J156/1000</f>
        <v>0</v>
      </c>
      <c r="K156" s="85">
        <f>STATS1003B!K156/1000</f>
        <v>0</v>
      </c>
      <c r="L156" s="85">
        <f>STATS1003B!L156/1000</f>
        <v>0</v>
      </c>
      <c r="M156" s="85">
        <f>STATS1003B!M156/1000</f>
        <v>0</v>
      </c>
      <c r="N156" s="85">
        <f>STATS1003B!N156/1000</f>
        <v>2846.5423999999998</v>
      </c>
      <c r="O156" s="85">
        <f>STATS1003B!O156/1000</f>
        <v>0</v>
      </c>
      <c r="P156" s="85">
        <f>STATS1003B!P156/1000</f>
        <v>2846.5423999999998</v>
      </c>
      <c r="Q156" s="85">
        <f>STATS1003B!Q156/1000</f>
        <v>0</v>
      </c>
      <c r="R156" s="85">
        <f>STATS1003B!R156/1000</f>
        <v>0</v>
      </c>
      <c r="S156" s="85">
        <f>STATS1003B!S156/1000</f>
        <v>0</v>
      </c>
      <c r="T156" s="85">
        <f>STATS1003B!T156/1000</f>
        <v>0</v>
      </c>
      <c r="U156" s="85">
        <f>STATS1003B!U156/1000</f>
        <v>2846.5423999999998</v>
      </c>
      <c r="V156" s="85">
        <f>STATS1003B!V156/1000</f>
        <v>2846.5423999999998</v>
      </c>
      <c r="W156" s="85">
        <f>STATS1003B!W156/1000</f>
        <v>0</v>
      </c>
      <c r="X156" s="85">
        <f t="shared" si="19"/>
        <v>2846.5423999999998</v>
      </c>
      <c r="Y156" s="85">
        <f>STATS1003B!Y156/1000</f>
        <v>0</v>
      </c>
      <c r="Z156" s="85">
        <f>STATS1003B!Z156/1000</f>
        <v>0</v>
      </c>
      <c r="AA156" s="69">
        <f>STATS1003B!AA156/1000</f>
        <v>2846.5423999999998</v>
      </c>
      <c r="AB156" s="69">
        <f>STATS1003B!AB156/1000</f>
        <v>0</v>
      </c>
    </row>
    <row r="157" spans="1:28" hidden="1" x14ac:dyDescent="0.3">
      <c r="A157" s="117"/>
      <c r="C157" s="68" t="s">
        <v>127</v>
      </c>
      <c r="D157" s="87" t="s">
        <v>128</v>
      </c>
      <c r="E157" s="85">
        <f>STATS1003B!E157/1000</f>
        <v>1200</v>
      </c>
      <c r="F157" s="85">
        <f>STATS1003B!F157/1000</f>
        <v>1200</v>
      </c>
      <c r="G157" s="85">
        <f>STATS1003B!G157/1000</f>
        <v>0</v>
      </c>
      <c r="H157" s="85">
        <f>STATS1003B!H157/1000</f>
        <v>1200</v>
      </c>
      <c r="I157" s="85">
        <f>STATS1003B!I157/1000</f>
        <v>0</v>
      </c>
      <c r="J157" s="85">
        <f>STATS1003B!J157/1000</f>
        <v>0</v>
      </c>
      <c r="K157" s="85">
        <f>STATS1003B!K157/1000</f>
        <v>0</v>
      </c>
      <c r="L157" s="85">
        <f>STATS1003B!L157/1000</f>
        <v>0</v>
      </c>
      <c r="M157" s="85">
        <f>STATS1003B!M157/1000</f>
        <v>1200</v>
      </c>
      <c r="N157" s="85">
        <f>STATS1003B!N157/1000</f>
        <v>0</v>
      </c>
      <c r="O157" s="85">
        <f>STATS1003B!O157/1000</f>
        <v>0</v>
      </c>
      <c r="P157" s="85">
        <f>STATS1003B!P157/1000</f>
        <v>0</v>
      </c>
      <c r="Q157" s="85">
        <f>STATS1003B!Q157/1000</f>
        <v>0</v>
      </c>
      <c r="R157" s="85">
        <f>STATS1003B!R157/1000</f>
        <v>0</v>
      </c>
      <c r="S157" s="85">
        <f>STATS1003B!S157/1000</f>
        <v>0</v>
      </c>
      <c r="T157" s="85">
        <f>STATS1003B!T157/1000</f>
        <v>0</v>
      </c>
      <c r="U157" s="85">
        <f>STATS1003B!U157/1000</f>
        <v>0</v>
      </c>
      <c r="V157" s="85">
        <f>STATS1003B!V157/1000</f>
        <v>1200</v>
      </c>
      <c r="W157" s="85">
        <f>STATS1003B!W157/1000</f>
        <v>0</v>
      </c>
      <c r="X157" s="85">
        <f t="shared" si="19"/>
        <v>1200</v>
      </c>
      <c r="Y157" s="85">
        <f>STATS1003B!Y157/1000</f>
        <v>0</v>
      </c>
      <c r="Z157" s="85">
        <f>STATS1003B!Z157/1000</f>
        <v>0</v>
      </c>
      <c r="AA157" s="69">
        <f>STATS1003B!AA157/1000</f>
        <v>1200</v>
      </c>
      <c r="AB157" s="69">
        <f>STATS1003B!AB157/1000</f>
        <v>0</v>
      </c>
    </row>
    <row r="158" spans="1:28" hidden="1" x14ac:dyDescent="0.3">
      <c r="A158" s="117"/>
      <c r="C158" s="68" t="s">
        <v>932</v>
      </c>
      <c r="D158" s="90" t="s">
        <v>1072</v>
      </c>
      <c r="E158" s="85">
        <f>STATS1003B!E158/1000</f>
        <v>400</v>
      </c>
      <c r="F158" s="85">
        <f>STATS1003B!F158/1000</f>
        <v>400</v>
      </c>
      <c r="G158" s="85">
        <f>STATS1003B!G158/1000</f>
        <v>0</v>
      </c>
      <c r="H158" s="85">
        <f>STATS1003B!H158/1000</f>
        <v>400</v>
      </c>
      <c r="I158" s="85">
        <f>STATS1003B!I158/1000</f>
        <v>0</v>
      </c>
      <c r="J158" s="85">
        <f>STATS1003B!J158/1000</f>
        <v>0</v>
      </c>
      <c r="K158" s="85">
        <f>STATS1003B!K158/1000</f>
        <v>0</v>
      </c>
      <c r="L158" s="85">
        <f>STATS1003B!L158/1000</f>
        <v>0</v>
      </c>
      <c r="M158" s="85">
        <f>STATS1003B!M158/1000</f>
        <v>400</v>
      </c>
      <c r="N158" s="85">
        <f>STATS1003B!N158/1000</f>
        <v>0</v>
      </c>
      <c r="O158" s="85">
        <f>STATS1003B!O158/1000</f>
        <v>0</v>
      </c>
      <c r="P158" s="85">
        <f>STATS1003B!P158/1000</f>
        <v>0</v>
      </c>
      <c r="Q158" s="85">
        <f>STATS1003B!Q158/1000</f>
        <v>0</v>
      </c>
      <c r="R158" s="85">
        <f>STATS1003B!R158/1000</f>
        <v>0</v>
      </c>
      <c r="S158" s="85">
        <f>STATS1003B!S158/1000</f>
        <v>0</v>
      </c>
      <c r="T158" s="85">
        <f>STATS1003B!T158/1000</f>
        <v>0</v>
      </c>
      <c r="U158" s="85">
        <f>STATS1003B!U158/1000</f>
        <v>0</v>
      </c>
      <c r="V158" s="85">
        <f>STATS1003B!V158/1000</f>
        <v>400</v>
      </c>
      <c r="W158" s="85">
        <f>STATS1003B!W158/1000</f>
        <v>0</v>
      </c>
      <c r="X158" s="85">
        <f t="shared" si="19"/>
        <v>400</v>
      </c>
      <c r="Y158" s="85">
        <f>STATS1003B!Y158/1000</f>
        <v>0</v>
      </c>
      <c r="Z158" s="85">
        <f>STATS1003B!Z158/1000</f>
        <v>0</v>
      </c>
      <c r="AA158" s="69">
        <f>STATS1003B!AA158/1000</f>
        <v>400</v>
      </c>
      <c r="AB158" s="69">
        <f>STATS1003B!AB158/1000</f>
        <v>0</v>
      </c>
    </row>
    <row r="159" spans="1:28" hidden="1" x14ac:dyDescent="0.3">
      <c r="A159" s="117"/>
      <c r="C159" s="68" t="s">
        <v>930</v>
      </c>
      <c r="D159" s="90" t="s">
        <v>1072</v>
      </c>
      <c r="E159" s="85">
        <f>STATS1003B!E159/1000</f>
        <v>1155</v>
      </c>
      <c r="F159" s="85">
        <f>STATS1003B!F159/1000</f>
        <v>1155</v>
      </c>
      <c r="G159" s="85">
        <f>STATS1003B!G159/1000</f>
        <v>0</v>
      </c>
      <c r="H159" s="85">
        <f>STATS1003B!H159/1000</f>
        <v>1155</v>
      </c>
      <c r="I159" s="85">
        <f>STATS1003B!I159/1000</f>
        <v>0</v>
      </c>
      <c r="J159" s="85">
        <f>STATS1003B!J159/1000</f>
        <v>0</v>
      </c>
      <c r="K159" s="85">
        <f>STATS1003B!K159/1000</f>
        <v>0</v>
      </c>
      <c r="L159" s="85">
        <f>STATS1003B!L159/1000</f>
        <v>0</v>
      </c>
      <c r="M159" s="85">
        <f>STATS1003B!M159/1000</f>
        <v>1155</v>
      </c>
      <c r="N159" s="85">
        <f>STATS1003B!N159/1000</f>
        <v>0</v>
      </c>
      <c r="O159" s="85">
        <f>STATS1003B!O159/1000</f>
        <v>0</v>
      </c>
      <c r="P159" s="85">
        <f>STATS1003B!P159/1000</f>
        <v>0</v>
      </c>
      <c r="Q159" s="85">
        <f>STATS1003B!Q159/1000</f>
        <v>0</v>
      </c>
      <c r="R159" s="85">
        <f>STATS1003B!R159/1000</f>
        <v>0</v>
      </c>
      <c r="S159" s="85">
        <f>STATS1003B!S159/1000</f>
        <v>0</v>
      </c>
      <c r="T159" s="85">
        <f>STATS1003B!T159/1000</f>
        <v>0</v>
      </c>
      <c r="U159" s="85">
        <f>STATS1003B!U159/1000</f>
        <v>0</v>
      </c>
      <c r="V159" s="85">
        <f>STATS1003B!V159/1000</f>
        <v>1155</v>
      </c>
      <c r="W159" s="85">
        <f>STATS1003B!W159/1000</f>
        <v>0</v>
      </c>
      <c r="X159" s="85">
        <f t="shared" si="19"/>
        <v>1155</v>
      </c>
      <c r="Y159" s="85">
        <f>STATS1003B!Y159/1000</f>
        <v>0</v>
      </c>
      <c r="Z159" s="85">
        <f>STATS1003B!Z159/1000</f>
        <v>0</v>
      </c>
      <c r="AA159" s="69">
        <f>STATS1003B!AA159/1000</f>
        <v>1155</v>
      </c>
      <c r="AB159" s="69">
        <f>STATS1003B!AB159/1000</f>
        <v>0</v>
      </c>
    </row>
    <row r="160" spans="1:28" hidden="1" x14ac:dyDescent="0.3">
      <c r="A160" s="117"/>
      <c r="C160" s="68" t="s">
        <v>1238</v>
      </c>
      <c r="D160" s="90" t="s">
        <v>1225</v>
      </c>
      <c r="E160" s="85">
        <f>STATS1003B!E160/1000</f>
        <v>1000</v>
      </c>
      <c r="F160" s="85">
        <f>STATS1003B!F160/1000</f>
        <v>1000</v>
      </c>
      <c r="G160" s="85">
        <f>STATS1003B!G160/1000</f>
        <v>0</v>
      </c>
      <c r="H160" s="85">
        <f>STATS1003B!H160/1000</f>
        <v>1000</v>
      </c>
      <c r="I160" s="85">
        <f>STATS1003B!I160/1000</f>
        <v>0</v>
      </c>
      <c r="J160" s="85">
        <f>STATS1003B!J160/1000</f>
        <v>0</v>
      </c>
      <c r="K160" s="85">
        <f>STATS1003B!K160/1000</f>
        <v>0</v>
      </c>
      <c r="L160" s="85">
        <f>STATS1003B!L160/1000</f>
        <v>0</v>
      </c>
      <c r="M160" s="85">
        <f>STATS1003B!M160/1000</f>
        <v>1000</v>
      </c>
      <c r="N160" s="85">
        <f>STATS1003B!N160/1000</f>
        <v>0</v>
      </c>
      <c r="O160" s="85">
        <f>STATS1003B!O160/1000</f>
        <v>0</v>
      </c>
      <c r="P160" s="85">
        <f>STATS1003B!P160/1000</f>
        <v>0</v>
      </c>
      <c r="Q160" s="85">
        <f>STATS1003B!Q160/1000</f>
        <v>0</v>
      </c>
      <c r="R160" s="85">
        <f>STATS1003B!R160/1000</f>
        <v>0</v>
      </c>
      <c r="S160" s="85">
        <f>STATS1003B!S160/1000</f>
        <v>0</v>
      </c>
      <c r="T160" s="85">
        <f>STATS1003B!T160/1000</f>
        <v>0</v>
      </c>
      <c r="U160" s="85">
        <f>STATS1003B!U160/1000</f>
        <v>0</v>
      </c>
      <c r="V160" s="85">
        <f>STATS1003B!V160/1000</f>
        <v>1000</v>
      </c>
      <c r="W160" s="85">
        <f>STATS1003B!W160/1000</f>
        <v>0</v>
      </c>
      <c r="X160" s="85">
        <f t="shared" si="19"/>
        <v>1000</v>
      </c>
      <c r="Y160" s="85">
        <f>STATS1003B!Y160/1000</f>
        <v>0</v>
      </c>
      <c r="Z160" s="85">
        <f>STATS1003B!Z160/1000</f>
        <v>0</v>
      </c>
      <c r="AA160" s="69">
        <f>STATS1003B!AA160/1000</f>
        <v>1000</v>
      </c>
      <c r="AB160" s="69">
        <f>STATS1003B!AB160/1000</f>
        <v>0</v>
      </c>
    </row>
    <row r="161" spans="1:28" hidden="1" x14ac:dyDescent="0.3">
      <c r="A161" s="117"/>
      <c r="C161" s="68" t="s">
        <v>57</v>
      </c>
      <c r="D161" s="87" t="s">
        <v>58</v>
      </c>
      <c r="E161" s="85">
        <f>STATS1003B!E161/1000</f>
        <v>5562.73</v>
      </c>
      <c r="F161" s="85">
        <f>STATS1003B!F161/1000</f>
        <v>5562.73</v>
      </c>
      <c r="G161" s="85">
        <f>STATS1003B!G161/1000</f>
        <v>0</v>
      </c>
      <c r="H161" s="85">
        <f>STATS1003B!H161/1000</f>
        <v>5562.73</v>
      </c>
      <c r="I161" s="85">
        <f>STATS1003B!I161/1000</f>
        <v>0</v>
      </c>
      <c r="J161" s="85">
        <f>STATS1003B!J161/1000</f>
        <v>0</v>
      </c>
      <c r="K161" s="85">
        <f>STATS1003B!K161/1000</f>
        <v>0</v>
      </c>
      <c r="L161" s="85">
        <f>STATS1003B!L161/1000</f>
        <v>0</v>
      </c>
      <c r="M161" s="85">
        <f>STATS1003B!M161/1000</f>
        <v>5562.73</v>
      </c>
      <c r="N161" s="85">
        <f>STATS1003B!N161/1000</f>
        <v>0</v>
      </c>
      <c r="O161" s="85">
        <f>STATS1003B!O161/1000</f>
        <v>0</v>
      </c>
      <c r="P161" s="85">
        <f>STATS1003B!P161/1000</f>
        <v>0</v>
      </c>
      <c r="Q161" s="85">
        <f>STATS1003B!Q161/1000</f>
        <v>0</v>
      </c>
      <c r="R161" s="85">
        <f>STATS1003B!R161/1000</f>
        <v>0</v>
      </c>
      <c r="S161" s="85">
        <f>STATS1003B!S161/1000</f>
        <v>0</v>
      </c>
      <c r="T161" s="85">
        <f>STATS1003B!T161/1000</f>
        <v>0</v>
      </c>
      <c r="U161" s="85">
        <f>STATS1003B!U161/1000</f>
        <v>0</v>
      </c>
      <c r="V161" s="85">
        <f>STATS1003B!V161/1000</f>
        <v>5562.73</v>
      </c>
      <c r="W161" s="85">
        <f>STATS1003B!W161/1000</f>
        <v>0</v>
      </c>
      <c r="X161" s="85">
        <f t="shared" si="19"/>
        <v>5562.73</v>
      </c>
      <c r="Y161" s="85">
        <f>STATS1003B!Y161/1000</f>
        <v>0</v>
      </c>
      <c r="Z161" s="85">
        <f>STATS1003B!Z161/1000</f>
        <v>0</v>
      </c>
      <c r="AA161" s="69">
        <f>STATS1003B!AA161/1000</f>
        <v>5562.73</v>
      </c>
      <c r="AB161" s="69">
        <f>STATS1003B!AB161/1000</f>
        <v>0</v>
      </c>
    </row>
    <row r="162" spans="1:28" hidden="1" x14ac:dyDescent="0.3">
      <c r="A162" s="117"/>
      <c r="C162" s="68" t="s">
        <v>57</v>
      </c>
      <c r="D162" s="87" t="s">
        <v>60</v>
      </c>
      <c r="E162" s="85">
        <f>STATS1003B!E162/1000</f>
        <v>6942.41</v>
      </c>
      <c r="F162" s="85">
        <f>STATS1003B!F162/1000</f>
        <v>6942.41</v>
      </c>
      <c r="G162" s="85">
        <f>STATS1003B!G162/1000</f>
        <v>0</v>
      </c>
      <c r="H162" s="85">
        <f>STATS1003B!H162/1000</f>
        <v>6942.41</v>
      </c>
      <c r="I162" s="85">
        <f>STATS1003B!I162/1000</f>
        <v>0</v>
      </c>
      <c r="J162" s="85">
        <f>STATS1003B!J162/1000</f>
        <v>0</v>
      </c>
      <c r="K162" s="85">
        <f>STATS1003B!K162/1000</f>
        <v>0</v>
      </c>
      <c r="L162" s="85">
        <f>STATS1003B!L162/1000</f>
        <v>0</v>
      </c>
      <c r="M162" s="85">
        <f>STATS1003B!M162/1000</f>
        <v>6942.41</v>
      </c>
      <c r="N162" s="85">
        <f>STATS1003B!N162/1000</f>
        <v>0</v>
      </c>
      <c r="O162" s="85">
        <f>STATS1003B!O162/1000</f>
        <v>0</v>
      </c>
      <c r="P162" s="85">
        <f>STATS1003B!P162/1000</f>
        <v>0</v>
      </c>
      <c r="Q162" s="85">
        <f>STATS1003B!Q162/1000</f>
        <v>0</v>
      </c>
      <c r="R162" s="85">
        <f>STATS1003B!R162/1000</f>
        <v>0</v>
      </c>
      <c r="S162" s="85">
        <f>STATS1003B!S162/1000</f>
        <v>0</v>
      </c>
      <c r="T162" s="85">
        <f>STATS1003B!T162/1000</f>
        <v>0</v>
      </c>
      <c r="U162" s="85">
        <f>STATS1003B!U162/1000</f>
        <v>0</v>
      </c>
      <c r="V162" s="85">
        <f>STATS1003B!V162/1000</f>
        <v>6942.41</v>
      </c>
      <c r="W162" s="85">
        <f>STATS1003B!W162/1000</f>
        <v>0</v>
      </c>
      <c r="X162" s="85">
        <f t="shared" si="19"/>
        <v>6942.41</v>
      </c>
      <c r="Y162" s="85">
        <f>STATS1003B!Y162/1000</f>
        <v>0</v>
      </c>
      <c r="Z162" s="85">
        <f>STATS1003B!Z162/1000</f>
        <v>0</v>
      </c>
      <c r="AA162" s="69">
        <f>STATS1003B!AA162/1000</f>
        <v>6942.41</v>
      </c>
      <c r="AB162" s="69">
        <f>STATS1003B!AB162/1000</f>
        <v>0</v>
      </c>
    </row>
    <row r="163" spans="1:28" hidden="1" x14ac:dyDescent="0.3">
      <c r="A163" s="117"/>
      <c r="C163" s="71" t="s">
        <v>109</v>
      </c>
      <c r="D163" s="88" t="s">
        <v>60</v>
      </c>
      <c r="E163" s="85">
        <f>STATS1003B!E163/1000</f>
        <v>5000</v>
      </c>
      <c r="F163" s="85">
        <f>STATS1003B!F163/1000</f>
        <v>5000</v>
      </c>
      <c r="G163" s="85">
        <f>STATS1003B!G163/1000</f>
        <v>0</v>
      </c>
      <c r="H163" s="85">
        <f>STATS1003B!H163/1000</f>
        <v>5000</v>
      </c>
      <c r="I163" s="85">
        <f>STATS1003B!I163/1000</f>
        <v>0</v>
      </c>
      <c r="J163" s="85">
        <f>STATS1003B!J163/1000</f>
        <v>0</v>
      </c>
      <c r="K163" s="85">
        <f>STATS1003B!K163/1000</f>
        <v>0</v>
      </c>
      <c r="L163" s="85">
        <f>STATS1003B!L163/1000</f>
        <v>0</v>
      </c>
      <c r="M163" s="85">
        <f>STATS1003B!M163/1000</f>
        <v>5000</v>
      </c>
      <c r="N163" s="85">
        <f>STATS1003B!N163/1000</f>
        <v>0</v>
      </c>
      <c r="O163" s="85">
        <f>STATS1003B!O163/1000</f>
        <v>0</v>
      </c>
      <c r="P163" s="85">
        <f>STATS1003B!P163/1000</f>
        <v>0</v>
      </c>
      <c r="Q163" s="85">
        <f>STATS1003B!Q163/1000</f>
        <v>0</v>
      </c>
      <c r="R163" s="85">
        <f>STATS1003B!R163/1000</f>
        <v>0</v>
      </c>
      <c r="S163" s="85">
        <f>STATS1003B!S163/1000</f>
        <v>0</v>
      </c>
      <c r="T163" s="85">
        <f>STATS1003B!T163/1000</f>
        <v>0</v>
      </c>
      <c r="U163" s="85">
        <f>STATS1003B!U163/1000</f>
        <v>0</v>
      </c>
      <c r="V163" s="85">
        <f>STATS1003B!V163/1000</f>
        <v>5000</v>
      </c>
      <c r="W163" s="85">
        <f>STATS1003B!W163/1000</f>
        <v>0</v>
      </c>
      <c r="X163" s="85">
        <f t="shared" si="19"/>
        <v>5000</v>
      </c>
      <c r="Y163" s="85">
        <f>STATS1003B!Y163/1000</f>
        <v>0</v>
      </c>
      <c r="Z163" s="85">
        <f>STATS1003B!Z163/1000</f>
        <v>0</v>
      </c>
      <c r="AA163" s="69">
        <f>STATS1003B!AA163/1000</f>
        <v>5000</v>
      </c>
      <c r="AB163" s="69">
        <f>STATS1003B!AB163/1000</f>
        <v>0</v>
      </c>
    </row>
    <row r="164" spans="1:28" hidden="1" x14ac:dyDescent="0.3">
      <c r="A164" s="117"/>
      <c r="C164" s="68" t="s">
        <v>57</v>
      </c>
      <c r="D164" s="89" t="s">
        <v>61</v>
      </c>
      <c r="E164" s="85">
        <f>STATS1003B!E164/1000</f>
        <v>704.42246</v>
      </c>
      <c r="F164" s="85">
        <f>STATS1003B!F164/1000</f>
        <v>704.42246</v>
      </c>
      <c r="G164" s="85">
        <f>STATS1003B!G164/1000</f>
        <v>0</v>
      </c>
      <c r="H164" s="85">
        <f>STATS1003B!H164/1000</f>
        <v>704.42246</v>
      </c>
      <c r="I164" s="85">
        <f>STATS1003B!I164/1000</f>
        <v>0</v>
      </c>
      <c r="J164" s="85">
        <f>STATS1003B!J164/1000</f>
        <v>0</v>
      </c>
      <c r="K164" s="85">
        <f>STATS1003B!K164/1000</f>
        <v>0</v>
      </c>
      <c r="L164" s="85">
        <f>STATS1003B!L164/1000</f>
        <v>0</v>
      </c>
      <c r="M164" s="85">
        <f>STATS1003B!M164/1000</f>
        <v>704.42246</v>
      </c>
      <c r="N164" s="85">
        <f>STATS1003B!N164/1000</f>
        <v>0</v>
      </c>
      <c r="O164" s="85">
        <f>STATS1003B!O164/1000</f>
        <v>0</v>
      </c>
      <c r="P164" s="85">
        <f>STATS1003B!P164/1000</f>
        <v>0</v>
      </c>
      <c r="Q164" s="85">
        <f>STATS1003B!Q164/1000</f>
        <v>0</v>
      </c>
      <c r="R164" s="85">
        <f>STATS1003B!R164/1000</f>
        <v>0</v>
      </c>
      <c r="S164" s="85">
        <f>STATS1003B!S164/1000</f>
        <v>0</v>
      </c>
      <c r="T164" s="85">
        <f>STATS1003B!T164/1000</f>
        <v>0</v>
      </c>
      <c r="U164" s="85">
        <f>STATS1003B!U164/1000</f>
        <v>0</v>
      </c>
      <c r="V164" s="85">
        <f>STATS1003B!V164/1000</f>
        <v>704.42246</v>
      </c>
      <c r="W164" s="85">
        <f>STATS1003B!W164/1000</f>
        <v>0</v>
      </c>
      <c r="X164" s="85">
        <f t="shared" si="19"/>
        <v>704.42246</v>
      </c>
      <c r="Y164" s="85">
        <f>STATS1003B!Y164/1000</f>
        <v>0</v>
      </c>
      <c r="Z164" s="85">
        <f>STATS1003B!Z164/1000</f>
        <v>0</v>
      </c>
      <c r="AA164" s="69">
        <f>STATS1003B!AA164/1000</f>
        <v>704.42246</v>
      </c>
      <c r="AB164" s="69">
        <f>STATS1003B!AB164/1000</f>
        <v>0</v>
      </c>
    </row>
    <row r="165" spans="1:28" hidden="1" x14ac:dyDescent="0.3">
      <c r="A165" s="117"/>
      <c r="E165" s="86" t="s">
        <v>29</v>
      </c>
      <c r="F165" s="86" t="s">
        <v>29</v>
      </c>
      <c r="G165" s="86" t="s">
        <v>29</v>
      </c>
      <c r="H165" s="86" t="s">
        <v>29</v>
      </c>
      <c r="I165" s="86" t="s">
        <v>29</v>
      </c>
      <c r="J165" s="86" t="s">
        <v>29</v>
      </c>
      <c r="K165" s="86" t="s">
        <v>29</v>
      </c>
      <c r="L165" s="86" t="s">
        <v>29</v>
      </c>
      <c r="M165" s="86" t="s">
        <v>29</v>
      </c>
      <c r="N165" s="86" t="s">
        <v>29</v>
      </c>
      <c r="O165" s="86" t="s">
        <v>29</v>
      </c>
      <c r="P165" s="86" t="s">
        <v>29</v>
      </c>
      <c r="Q165" s="86" t="s">
        <v>29</v>
      </c>
      <c r="R165" s="86" t="s">
        <v>29</v>
      </c>
      <c r="S165" s="86" t="s">
        <v>29</v>
      </c>
      <c r="T165" s="86" t="s">
        <v>29</v>
      </c>
      <c r="U165" s="86" t="s">
        <v>29</v>
      </c>
      <c r="V165" s="86" t="s">
        <v>29</v>
      </c>
      <c r="W165" s="86" t="s">
        <v>29</v>
      </c>
      <c r="X165" s="85" t="e">
        <f t="shared" si="19"/>
        <v>#VALUE!</v>
      </c>
      <c r="Y165" s="86" t="s">
        <v>29</v>
      </c>
      <c r="Z165" s="86" t="s">
        <v>29</v>
      </c>
      <c r="AA165" s="115" t="s">
        <v>29</v>
      </c>
      <c r="AB165" s="115" t="s">
        <v>29</v>
      </c>
    </row>
    <row r="166" spans="1:28" x14ac:dyDescent="0.3">
      <c r="A166" s="116" t="s">
        <v>941</v>
      </c>
      <c r="B166" s="68" t="s">
        <v>123</v>
      </c>
      <c r="E166" s="85">
        <f>179603625.96/1000</f>
        <v>179603.62596</v>
      </c>
      <c r="F166" s="85">
        <f>SUM(F152:F164)</f>
        <v>48662.3704</v>
      </c>
      <c r="G166" s="85">
        <f>SUM(G152:G164)</f>
        <v>0</v>
      </c>
      <c r="H166" s="85">
        <f>150670402.5/1000</f>
        <v>150670.4025</v>
      </c>
      <c r="I166" s="85">
        <f t="shared" ref="I166:O166" si="20">SUM(I152:I164)</f>
        <v>0</v>
      </c>
      <c r="J166" s="85">
        <f t="shared" si="20"/>
        <v>0</v>
      </c>
      <c r="K166" s="85">
        <f t="shared" si="20"/>
        <v>0</v>
      </c>
      <c r="L166" s="85">
        <f t="shared" si="20"/>
        <v>0</v>
      </c>
      <c r="M166" s="85">
        <f t="shared" si="20"/>
        <v>48662.3704</v>
      </c>
      <c r="N166" s="85">
        <f t="shared" si="20"/>
        <v>28715.244380000004</v>
      </c>
      <c r="O166" s="85">
        <f t="shared" si="20"/>
        <v>0</v>
      </c>
      <c r="P166" s="85">
        <f>28715244/1000</f>
        <v>28715.243999999999</v>
      </c>
      <c r="Q166" s="85">
        <f t="shared" ref="Q166:W166" si="21">SUM(Q152:Q164)</f>
        <v>0</v>
      </c>
      <c r="R166" s="85">
        <f t="shared" si="21"/>
        <v>0</v>
      </c>
      <c r="S166" s="85">
        <f t="shared" si="21"/>
        <v>0</v>
      </c>
      <c r="T166" s="85">
        <f t="shared" si="21"/>
        <v>0</v>
      </c>
      <c r="U166" s="85">
        <f t="shared" si="21"/>
        <v>28715.244380000004</v>
      </c>
      <c r="V166" s="85">
        <f t="shared" si="21"/>
        <v>77377.614780000004</v>
      </c>
      <c r="W166" s="85">
        <f t="shared" si="21"/>
        <v>217.97907999999822</v>
      </c>
      <c r="X166" s="85">
        <f>+H166+P166</f>
        <v>179385.6465</v>
      </c>
      <c r="Y166" s="85">
        <f>SUM(Y152:Y164)</f>
        <v>0</v>
      </c>
      <c r="Z166" s="85">
        <f>+E166-X166</f>
        <v>217.97946000000229</v>
      </c>
      <c r="AA166" s="69">
        <f>SUM(AA152:AA164)</f>
        <v>77377.614780000004</v>
      </c>
      <c r="AB166" s="69">
        <f>SUM(AB152:AB164)</f>
        <v>217.97907999999822</v>
      </c>
    </row>
    <row r="167" spans="1:28" hidden="1" x14ac:dyDescent="0.3">
      <c r="A167" s="117"/>
      <c r="E167" s="86" t="s">
        <v>29</v>
      </c>
      <c r="F167" s="86" t="s">
        <v>29</v>
      </c>
      <c r="G167" s="86" t="s">
        <v>29</v>
      </c>
      <c r="H167" s="86" t="s">
        <v>29</v>
      </c>
      <c r="I167" s="86" t="s">
        <v>29</v>
      </c>
      <c r="J167" s="86" t="s">
        <v>29</v>
      </c>
      <c r="K167" s="86" t="s">
        <v>29</v>
      </c>
      <c r="L167" s="86" t="s">
        <v>29</v>
      </c>
      <c r="M167" s="86" t="s">
        <v>29</v>
      </c>
      <c r="N167" s="86" t="s">
        <v>29</v>
      </c>
      <c r="O167" s="86" t="s">
        <v>29</v>
      </c>
      <c r="P167" s="86" t="s">
        <v>29</v>
      </c>
      <c r="Q167" s="86" t="s">
        <v>29</v>
      </c>
      <c r="R167" s="86" t="s">
        <v>29</v>
      </c>
      <c r="S167" s="86" t="s">
        <v>29</v>
      </c>
      <c r="T167" s="86" t="s">
        <v>29</v>
      </c>
      <c r="U167" s="86" t="s">
        <v>29</v>
      </c>
      <c r="V167" s="86" t="s">
        <v>29</v>
      </c>
      <c r="W167" s="86" t="s">
        <v>29</v>
      </c>
      <c r="X167" s="85" t="e">
        <f t="shared" si="19"/>
        <v>#VALUE!</v>
      </c>
      <c r="Y167" s="86" t="s">
        <v>29</v>
      </c>
      <c r="Z167" s="85" t="e">
        <f t="shared" ref="Z167:Z229" si="22">+E167-X167</f>
        <v>#VALUE!</v>
      </c>
      <c r="AA167" s="115" t="s">
        <v>29</v>
      </c>
      <c r="AB167" s="115" t="s">
        <v>29</v>
      </c>
    </row>
    <row r="168" spans="1:28" hidden="1" x14ac:dyDescent="0.3">
      <c r="A168" s="117"/>
      <c r="E168" s="85">
        <v>71393761.400000006</v>
      </c>
      <c r="F168" s="85">
        <v>42460537.939999998</v>
      </c>
      <c r="G168" s="85"/>
      <c r="H168" s="85">
        <v>42460537.939999998</v>
      </c>
      <c r="I168" s="85"/>
      <c r="J168" s="85"/>
      <c r="K168" s="85"/>
      <c r="L168" s="85"/>
      <c r="M168" s="85">
        <v>42460537.939999998</v>
      </c>
      <c r="N168" s="85">
        <v>28715244.379999999</v>
      </c>
      <c r="O168" s="85"/>
      <c r="P168" s="85">
        <v>28715244.379999999</v>
      </c>
      <c r="Q168" s="85"/>
      <c r="R168" s="85"/>
      <c r="S168" s="85"/>
      <c r="T168" s="85"/>
      <c r="U168" s="85">
        <v>28715244.379999999</v>
      </c>
      <c r="V168" s="85"/>
      <c r="W168" s="85"/>
      <c r="X168" s="85">
        <f t="shared" si="19"/>
        <v>71175782.319999993</v>
      </c>
      <c r="Y168" s="85"/>
      <c r="Z168" s="85">
        <f t="shared" si="22"/>
        <v>217979.08000001311</v>
      </c>
      <c r="AA168" s="118"/>
    </row>
    <row r="169" spans="1:28" hidden="1" x14ac:dyDescent="0.3">
      <c r="A169" s="105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5">
        <f t="shared" si="19"/>
        <v>0</v>
      </c>
      <c r="Y169" s="84"/>
      <c r="Z169" s="85">
        <f t="shared" si="22"/>
        <v>0</v>
      </c>
    </row>
    <row r="170" spans="1:28" hidden="1" x14ac:dyDescent="0.3">
      <c r="A170" s="117"/>
      <c r="D170" s="87" t="s">
        <v>64</v>
      </c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5">
        <f t="shared" si="19"/>
        <v>0</v>
      </c>
      <c r="Y170" s="84"/>
      <c r="Z170" s="85">
        <f t="shared" si="22"/>
        <v>0</v>
      </c>
    </row>
    <row r="171" spans="1:28" hidden="1" x14ac:dyDescent="0.3">
      <c r="A171" s="117"/>
      <c r="C171" s="68" t="s">
        <v>130</v>
      </c>
      <c r="D171" s="71" t="s">
        <v>131</v>
      </c>
      <c r="E171" s="85">
        <f>STATS1003B!E171/1000</f>
        <v>29982.042719999998</v>
      </c>
      <c r="F171" s="85">
        <f>STATS1003B!F171/1000</f>
        <v>27295.999899999999</v>
      </c>
      <c r="G171" s="85">
        <f>STATS1003B!G171/1000</f>
        <v>0</v>
      </c>
      <c r="H171" s="85">
        <f>STATS1003B!H171/1000</f>
        <v>27295.999899999999</v>
      </c>
      <c r="I171" s="85">
        <f>STATS1003B!I171/1000</f>
        <v>0</v>
      </c>
      <c r="J171" s="85">
        <f>STATS1003B!J171/1000</f>
        <v>0</v>
      </c>
      <c r="K171" s="85">
        <f>STATS1003B!K171/1000</f>
        <v>0</v>
      </c>
      <c r="L171" s="85">
        <f>STATS1003B!L171/1000</f>
        <v>0</v>
      </c>
      <c r="M171" s="85">
        <f>STATS1003B!M171/1000</f>
        <v>27295.999899999999</v>
      </c>
      <c r="N171" s="85">
        <f>STATS1003B!N171/1000</f>
        <v>2686.0428200000001</v>
      </c>
      <c r="O171" s="85">
        <f>STATS1003B!O171/1000</f>
        <v>0</v>
      </c>
      <c r="P171" s="85">
        <f>STATS1003B!P171/1000</f>
        <v>2686.0428200000001</v>
      </c>
      <c r="Q171" s="85">
        <f>STATS1003B!Q171/1000</f>
        <v>0</v>
      </c>
      <c r="R171" s="85">
        <f>STATS1003B!R171/1000</f>
        <v>0</v>
      </c>
      <c r="S171" s="85">
        <f>STATS1003B!S171/1000</f>
        <v>0</v>
      </c>
      <c r="T171" s="85">
        <f>STATS1003B!T171/1000</f>
        <v>0</v>
      </c>
      <c r="U171" s="85">
        <f>STATS1003B!U171/1000</f>
        <v>2686.0428200000001</v>
      </c>
      <c r="V171" s="85">
        <f>STATS1003B!V171/1000</f>
        <v>29982.042719999998</v>
      </c>
      <c r="W171" s="85">
        <f>STATS1003B!W171/1000</f>
        <v>0</v>
      </c>
      <c r="X171" s="85">
        <f t="shared" si="19"/>
        <v>29982.042719999998</v>
      </c>
      <c r="Y171" s="85">
        <f>STATS1003B!Y171/1000</f>
        <v>0</v>
      </c>
      <c r="Z171" s="85">
        <f t="shared" si="22"/>
        <v>0</v>
      </c>
      <c r="AA171" s="69">
        <f>STATS1003B!AA171/1000</f>
        <v>29982.042719999998</v>
      </c>
      <c r="AB171" s="69">
        <f>STATS1003B!AB171/1000</f>
        <v>0</v>
      </c>
    </row>
    <row r="172" spans="1:28" hidden="1" x14ac:dyDescent="0.3">
      <c r="A172" s="117"/>
      <c r="C172" s="68" t="s">
        <v>132</v>
      </c>
      <c r="D172" s="87" t="s">
        <v>68</v>
      </c>
      <c r="E172" s="85">
        <f>STATS1003B!E172/1000</f>
        <v>770</v>
      </c>
      <c r="F172" s="85">
        <f>STATS1003B!F172/1000</f>
        <v>770</v>
      </c>
      <c r="G172" s="85">
        <f>STATS1003B!G172/1000</f>
        <v>0</v>
      </c>
      <c r="H172" s="85">
        <f>STATS1003B!H172/1000</f>
        <v>770</v>
      </c>
      <c r="I172" s="85">
        <f>STATS1003B!I172/1000</f>
        <v>0</v>
      </c>
      <c r="J172" s="85">
        <f>STATS1003B!J172/1000</f>
        <v>0</v>
      </c>
      <c r="K172" s="85">
        <f>STATS1003B!K172/1000</f>
        <v>0</v>
      </c>
      <c r="L172" s="85">
        <f>STATS1003B!L172/1000</f>
        <v>0</v>
      </c>
      <c r="M172" s="85">
        <f>STATS1003B!M172/1000</f>
        <v>770</v>
      </c>
      <c r="N172" s="85">
        <f>STATS1003B!N172/1000</f>
        <v>0</v>
      </c>
      <c r="O172" s="85">
        <f>STATS1003B!O172/1000</f>
        <v>0</v>
      </c>
      <c r="P172" s="85">
        <f>STATS1003B!P172/1000</f>
        <v>0</v>
      </c>
      <c r="Q172" s="85">
        <f>STATS1003B!Q172/1000</f>
        <v>0</v>
      </c>
      <c r="R172" s="85">
        <f>STATS1003B!R172/1000</f>
        <v>0</v>
      </c>
      <c r="S172" s="85">
        <f>STATS1003B!S172/1000</f>
        <v>0</v>
      </c>
      <c r="T172" s="85">
        <f>STATS1003B!T172/1000</f>
        <v>0</v>
      </c>
      <c r="U172" s="85">
        <f>STATS1003B!U172/1000</f>
        <v>0</v>
      </c>
      <c r="V172" s="85">
        <f>STATS1003B!V172/1000</f>
        <v>770</v>
      </c>
      <c r="W172" s="85">
        <f>STATS1003B!W172/1000</f>
        <v>0</v>
      </c>
      <c r="X172" s="85">
        <f t="shared" si="19"/>
        <v>770</v>
      </c>
      <c r="Y172" s="85">
        <f>STATS1003B!Y172/1000</f>
        <v>0</v>
      </c>
      <c r="Z172" s="85">
        <f t="shared" si="22"/>
        <v>0</v>
      </c>
      <c r="AA172" s="69">
        <f>STATS1003B!AA172/1000</f>
        <v>770</v>
      </c>
      <c r="AB172" s="69">
        <f>STATS1003B!AB172/1000</f>
        <v>0</v>
      </c>
    </row>
    <row r="173" spans="1:28" hidden="1" x14ac:dyDescent="0.3">
      <c r="A173" s="117"/>
      <c r="C173" s="68" t="s">
        <v>55</v>
      </c>
      <c r="D173" s="87" t="s">
        <v>68</v>
      </c>
      <c r="E173" s="85">
        <f>STATS1003B!E173/1000</f>
        <v>3139.1705000000002</v>
      </c>
      <c r="F173" s="85">
        <f>STATS1003B!F173/1000</f>
        <v>0</v>
      </c>
      <c r="G173" s="85">
        <f>STATS1003B!G173/1000</f>
        <v>0</v>
      </c>
      <c r="H173" s="85">
        <f>STATS1003B!H173/1000</f>
        <v>0</v>
      </c>
      <c r="I173" s="85">
        <f>STATS1003B!I173/1000</f>
        <v>0</v>
      </c>
      <c r="J173" s="85">
        <f>STATS1003B!J173/1000</f>
        <v>0</v>
      </c>
      <c r="K173" s="85">
        <f>STATS1003B!K173/1000</f>
        <v>0</v>
      </c>
      <c r="L173" s="85">
        <f>STATS1003B!L173/1000</f>
        <v>0</v>
      </c>
      <c r="M173" s="85">
        <f>STATS1003B!M173/1000</f>
        <v>0</v>
      </c>
      <c r="N173" s="85">
        <f>STATS1003B!N173/1000</f>
        <v>3139.1705000000002</v>
      </c>
      <c r="O173" s="85">
        <f>STATS1003B!O173/1000</f>
        <v>0</v>
      </c>
      <c r="P173" s="85">
        <f>STATS1003B!P173/1000</f>
        <v>3139.1705000000002</v>
      </c>
      <c r="Q173" s="85">
        <f>STATS1003B!Q173/1000</f>
        <v>0</v>
      </c>
      <c r="R173" s="85">
        <f>STATS1003B!R173/1000</f>
        <v>0</v>
      </c>
      <c r="S173" s="85">
        <f>STATS1003B!S173/1000</f>
        <v>0</v>
      </c>
      <c r="T173" s="85">
        <f>STATS1003B!T173/1000</f>
        <v>0</v>
      </c>
      <c r="U173" s="85">
        <f>STATS1003B!U173/1000</f>
        <v>3139.1705000000002</v>
      </c>
      <c r="V173" s="85">
        <f>STATS1003B!V173/1000</f>
        <v>3139.1705000000002</v>
      </c>
      <c r="W173" s="85">
        <f>STATS1003B!W173/1000</f>
        <v>0</v>
      </c>
      <c r="X173" s="85">
        <f t="shared" si="19"/>
        <v>3139.1705000000002</v>
      </c>
      <c r="Y173" s="85">
        <f>STATS1003B!Y173/1000</f>
        <v>0</v>
      </c>
      <c r="Z173" s="85">
        <f t="shared" si="22"/>
        <v>0</v>
      </c>
      <c r="AA173" s="69">
        <f>STATS1003B!AA173/1000</f>
        <v>3139.1705000000002</v>
      </c>
      <c r="AB173" s="69">
        <f>STATS1003B!AB173/1000</f>
        <v>0</v>
      </c>
    </row>
    <row r="174" spans="1:28" hidden="1" x14ac:dyDescent="0.3">
      <c r="A174" s="117"/>
      <c r="C174" s="68" t="s">
        <v>53</v>
      </c>
      <c r="D174" s="87" t="s">
        <v>54</v>
      </c>
      <c r="E174" s="85">
        <f>STATS1003B!E174/1000</f>
        <v>1767.77</v>
      </c>
      <c r="F174" s="85">
        <f>STATS1003B!F174/1000</f>
        <v>0</v>
      </c>
      <c r="G174" s="85">
        <f>STATS1003B!G174/1000</f>
        <v>0</v>
      </c>
      <c r="H174" s="85">
        <f>STATS1003B!H174/1000</f>
        <v>0</v>
      </c>
      <c r="I174" s="85">
        <f>STATS1003B!I174/1000</f>
        <v>0</v>
      </c>
      <c r="J174" s="85">
        <f>STATS1003B!J174/1000</f>
        <v>0</v>
      </c>
      <c r="K174" s="85">
        <f>STATS1003B!K174/1000</f>
        <v>0</v>
      </c>
      <c r="L174" s="85">
        <f>STATS1003B!L174/1000</f>
        <v>0</v>
      </c>
      <c r="M174" s="85">
        <f>STATS1003B!M174/1000</f>
        <v>0</v>
      </c>
      <c r="N174" s="85">
        <f>STATS1003B!N174/1000</f>
        <v>1767.77</v>
      </c>
      <c r="O174" s="85">
        <f>STATS1003B!O174/1000</f>
        <v>0</v>
      </c>
      <c r="P174" s="85">
        <f>STATS1003B!P174/1000</f>
        <v>1767.77</v>
      </c>
      <c r="Q174" s="85">
        <f>STATS1003B!Q174/1000</f>
        <v>0</v>
      </c>
      <c r="R174" s="85">
        <f>STATS1003B!R174/1000</f>
        <v>0</v>
      </c>
      <c r="S174" s="85">
        <f>STATS1003B!S174/1000</f>
        <v>0</v>
      </c>
      <c r="T174" s="85">
        <f>STATS1003B!T174/1000</f>
        <v>0</v>
      </c>
      <c r="U174" s="85">
        <f>STATS1003B!U174/1000</f>
        <v>1767.77</v>
      </c>
      <c r="V174" s="85">
        <f>STATS1003B!V174/1000</f>
        <v>1767.77</v>
      </c>
      <c r="W174" s="85">
        <f>STATS1003B!W174/1000</f>
        <v>0</v>
      </c>
      <c r="X174" s="85">
        <f t="shared" si="19"/>
        <v>1767.77</v>
      </c>
      <c r="Y174" s="85">
        <f>STATS1003B!Y174/1000</f>
        <v>0</v>
      </c>
      <c r="Z174" s="85">
        <f t="shared" si="22"/>
        <v>0</v>
      </c>
      <c r="AA174" s="69">
        <f>STATS1003B!AA174/1000</f>
        <v>1767.77</v>
      </c>
      <c r="AB174" s="69">
        <f>STATS1003B!AB174/1000</f>
        <v>0</v>
      </c>
    </row>
    <row r="175" spans="1:28" hidden="1" x14ac:dyDescent="0.3">
      <c r="A175" s="117"/>
      <c r="C175" s="68" t="s">
        <v>57</v>
      </c>
      <c r="D175" s="87" t="s">
        <v>58</v>
      </c>
      <c r="E175" s="85">
        <f>STATS1003B!E175/1000</f>
        <v>0</v>
      </c>
      <c r="F175" s="85">
        <f>STATS1003B!F175/1000</f>
        <v>0</v>
      </c>
      <c r="G175" s="85">
        <f>STATS1003B!G175/1000</f>
        <v>0</v>
      </c>
      <c r="H175" s="85">
        <f>STATS1003B!H175/1000</f>
        <v>0</v>
      </c>
      <c r="I175" s="85">
        <f>STATS1003B!I175/1000</f>
        <v>0</v>
      </c>
      <c r="J175" s="85">
        <f>STATS1003B!J175/1000</f>
        <v>0</v>
      </c>
      <c r="K175" s="85">
        <f>STATS1003B!K175/1000</f>
        <v>0</v>
      </c>
      <c r="L175" s="85">
        <f>STATS1003B!L175/1000</f>
        <v>0</v>
      </c>
      <c r="M175" s="85">
        <f>STATS1003B!M175/1000</f>
        <v>0</v>
      </c>
      <c r="N175" s="85">
        <f>STATS1003B!N175/1000</f>
        <v>0</v>
      </c>
      <c r="O175" s="85">
        <f>STATS1003B!O175/1000</f>
        <v>0</v>
      </c>
      <c r="P175" s="85">
        <f>STATS1003B!P175/1000</f>
        <v>0</v>
      </c>
      <c r="Q175" s="85">
        <f>STATS1003B!Q175/1000</f>
        <v>0</v>
      </c>
      <c r="R175" s="85">
        <f>STATS1003B!R175/1000</f>
        <v>0</v>
      </c>
      <c r="S175" s="85">
        <f>STATS1003B!S175/1000</f>
        <v>0</v>
      </c>
      <c r="T175" s="85">
        <f>STATS1003B!T175/1000</f>
        <v>0</v>
      </c>
      <c r="U175" s="85">
        <f>STATS1003B!U175/1000</f>
        <v>0</v>
      </c>
      <c r="V175" s="85">
        <f>STATS1003B!V175/1000</f>
        <v>0</v>
      </c>
      <c r="W175" s="85">
        <f>STATS1003B!W175/1000</f>
        <v>0</v>
      </c>
      <c r="X175" s="85">
        <f t="shared" si="19"/>
        <v>0</v>
      </c>
      <c r="Y175" s="85">
        <f>STATS1003B!Y175/1000</f>
        <v>0</v>
      </c>
      <c r="Z175" s="85">
        <f t="shared" si="22"/>
        <v>0</v>
      </c>
      <c r="AA175" s="69">
        <f>STATS1003B!AA175/1000</f>
        <v>0</v>
      </c>
      <c r="AB175" s="69">
        <f>STATS1003B!AB175/1000</f>
        <v>0</v>
      </c>
    </row>
    <row r="176" spans="1:28" hidden="1" x14ac:dyDescent="0.3">
      <c r="A176" s="117"/>
      <c r="C176" s="68" t="s">
        <v>57</v>
      </c>
      <c r="D176" s="87" t="s">
        <v>60</v>
      </c>
      <c r="E176" s="85">
        <f>STATS1003B!E176/1000</f>
        <v>1348.7571499999999</v>
      </c>
      <c r="F176" s="85">
        <f>STATS1003B!F176/1000</f>
        <v>1348.7571499999999</v>
      </c>
      <c r="G176" s="85">
        <f>STATS1003B!G176/1000</f>
        <v>0</v>
      </c>
      <c r="H176" s="85">
        <f>STATS1003B!H176/1000</f>
        <v>1348.7571499999999</v>
      </c>
      <c r="I176" s="85">
        <f>STATS1003B!I176/1000</f>
        <v>0</v>
      </c>
      <c r="J176" s="85">
        <f>STATS1003B!J176/1000</f>
        <v>0</v>
      </c>
      <c r="K176" s="85">
        <f>STATS1003B!K176/1000</f>
        <v>0</v>
      </c>
      <c r="L176" s="85">
        <f>STATS1003B!L176/1000</f>
        <v>0</v>
      </c>
      <c r="M176" s="85">
        <f>STATS1003B!M176/1000</f>
        <v>1348.7571499999999</v>
      </c>
      <c r="N176" s="85">
        <f>STATS1003B!N176/1000</f>
        <v>0</v>
      </c>
      <c r="O176" s="85">
        <f>STATS1003B!O176/1000</f>
        <v>0</v>
      </c>
      <c r="P176" s="85">
        <f>STATS1003B!P176/1000</f>
        <v>0</v>
      </c>
      <c r="Q176" s="85">
        <f>STATS1003B!Q176/1000</f>
        <v>0</v>
      </c>
      <c r="R176" s="85">
        <f>STATS1003B!R176/1000</f>
        <v>0</v>
      </c>
      <c r="S176" s="85">
        <f>STATS1003B!S176/1000</f>
        <v>0</v>
      </c>
      <c r="T176" s="85">
        <f>STATS1003B!T176/1000</f>
        <v>0</v>
      </c>
      <c r="U176" s="85">
        <f>STATS1003B!U176/1000</f>
        <v>0</v>
      </c>
      <c r="V176" s="85">
        <f>STATS1003B!V176/1000</f>
        <v>1348.7571499999999</v>
      </c>
      <c r="W176" s="85">
        <f>STATS1003B!W176/1000</f>
        <v>0</v>
      </c>
      <c r="X176" s="85">
        <f t="shared" si="19"/>
        <v>1348.7571499999999</v>
      </c>
      <c r="Y176" s="85">
        <f>STATS1003B!Y176/1000</f>
        <v>0</v>
      </c>
      <c r="Z176" s="85">
        <f t="shared" si="22"/>
        <v>0</v>
      </c>
      <c r="AA176" s="69">
        <f>STATS1003B!AA176/1000</f>
        <v>1348.7571499999999</v>
      </c>
      <c r="AB176" s="69">
        <f>STATS1003B!AB176/1000</f>
        <v>0</v>
      </c>
    </row>
    <row r="177" spans="1:28" hidden="1" x14ac:dyDescent="0.3">
      <c r="A177" s="117"/>
      <c r="C177" s="71" t="s">
        <v>109</v>
      </c>
      <c r="D177" s="88" t="s">
        <v>60</v>
      </c>
      <c r="E177" s="85">
        <f>STATS1003B!E177/1000</f>
        <v>2500</v>
      </c>
      <c r="F177" s="85">
        <f>STATS1003B!F177/1000</f>
        <v>2500</v>
      </c>
      <c r="G177" s="85">
        <f>STATS1003B!G177/1000</f>
        <v>0</v>
      </c>
      <c r="H177" s="85">
        <f>STATS1003B!H177/1000</f>
        <v>2500</v>
      </c>
      <c r="I177" s="85">
        <f>STATS1003B!I177/1000</f>
        <v>0</v>
      </c>
      <c r="J177" s="85">
        <f>STATS1003B!J177/1000</f>
        <v>0</v>
      </c>
      <c r="K177" s="85">
        <f>STATS1003B!K177/1000</f>
        <v>0</v>
      </c>
      <c r="L177" s="85">
        <f>STATS1003B!L177/1000</f>
        <v>0</v>
      </c>
      <c r="M177" s="85">
        <f>STATS1003B!M177/1000</f>
        <v>2500</v>
      </c>
      <c r="N177" s="85">
        <f>STATS1003B!N177/1000</f>
        <v>0</v>
      </c>
      <c r="O177" s="85">
        <f>STATS1003B!O177/1000</f>
        <v>0</v>
      </c>
      <c r="P177" s="85">
        <f>STATS1003B!P177/1000</f>
        <v>0</v>
      </c>
      <c r="Q177" s="85">
        <f>STATS1003B!Q177/1000</f>
        <v>0</v>
      </c>
      <c r="R177" s="85">
        <f>STATS1003B!R177/1000</f>
        <v>0</v>
      </c>
      <c r="S177" s="85">
        <f>STATS1003B!S177/1000</f>
        <v>0</v>
      </c>
      <c r="T177" s="85">
        <f>STATS1003B!T177/1000</f>
        <v>0</v>
      </c>
      <c r="U177" s="85">
        <f>STATS1003B!U177/1000</f>
        <v>0</v>
      </c>
      <c r="V177" s="85">
        <f>STATS1003B!V177/1000</f>
        <v>2500</v>
      </c>
      <c r="W177" s="85">
        <f>STATS1003B!W177/1000</f>
        <v>0</v>
      </c>
      <c r="X177" s="85">
        <f t="shared" si="19"/>
        <v>2500</v>
      </c>
      <c r="Y177" s="85">
        <f>STATS1003B!Y177/1000</f>
        <v>0</v>
      </c>
      <c r="Z177" s="85">
        <f t="shared" si="22"/>
        <v>0</v>
      </c>
      <c r="AA177" s="69">
        <f>STATS1003B!AA177/1000</f>
        <v>2500</v>
      </c>
      <c r="AB177" s="69">
        <f>STATS1003B!AB177/1000</f>
        <v>0</v>
      </c>
    </row>
    <row r="178" spans="1:28" hidden="1" x14ac:dyDescent="0.3">
      <c r="A178" s="117"/>
      <c r="C178" s="71" t="s">
        <v>95</v>
      </c>
      <c r="D178" s="88" t="s">
        <v>73</v>
      </c>
      <c r="E178" s="85">
        <f>STATS1003B!E178/1000</f>
        <v>3111</v>
      </c>
      <c r="F178" s="85">
        <f>STATS1003B!F178/1000</f>
        <v>3111</v>
      </c>
      <c r="G178" s="85">
        <f>STATS1003B!G178/1000</f>
        <v>0</v>
      </c>
      <c r="H178" s="85">
        <f>STATS1003B!H178/1000</f>
        <v>3111</v>
      </c>
      <c r="I178" s="85">
        <f>STATS1003B!I178/1000</f>
        <v>0</v>
      </c>
      <c r="J178" s="85">
        <f>STATS1003B!J178/1000</f>
        <v>0</v>
      </c>
      <c r="K178" s="85">
        <f>STATS1003B!K178/1000</f>
        <v>0</v>
      </c>
      <c r="L178" s="85">
        <f>STATS1003B!L178/1000</f>
        <v>0</v>
      </c>
      <c r="M178" s="85">
        <f>STATS1003B!M178/1000</f>
        <v>3111</v>
      </c>
      <c r="N178" s="85">
        <f>STATS1003B!N178/1000</f>
        <v>0</v>
      </c>
      <c r="O178" s="85">
        <f>STATS1003B!O178/1000</f>
        <v>0</v>
      </c>
      <c r="P178" s="85">
        <f>STATS1003B!P178/1000</f>
        <v>0</v>
      </c>
      <c r="Q178" s="85">
        <f>STATS1003B!Q178/1000</f>
        <v>0</v>
      </c>
      <c r="R178" s="85">
        <f>STATS1003B!R178/1000</f>
        <v>0</v>
      </c>
      <c r="S178" s="85">
        <f>STATS1003B!S178/1000</f>
        <v>0</v>
      </c>
      <c r="T178" s="85">
        <f>STATS1003B!T178/1000</f>
        <v>0</v>
      </c>
      <c r="U178" s="85">
        <f>STATS1003B!U178/1000</f>
        <v>0</v>
      </c>
      <c r="V178" s="85">
        <f>STATS1003B!V178/1000</f>
        <v>3111</v>
      </c>
      <c r="W178" s="85">
        <f>STATS1003B!W178/1000</f>
        <v>0</v>
      </c>
      <c r="X178" s="85">
        <f t="shared" si="19"/>
        <v>3111</v>
      </c>
      <c r="Y178" s="85">
        <f>STATS1003B!Y178/1000</f>
        <v>0</v>
      </c>
      <c r="Z178" s="85">
        <f t="shared" si="22"/>
        <v>0</v>
      </c>
      <c r="AA178" s="69">
        <f>STATS1003B!AA178/1000</f>
        <v>3111</v>
      </c>
      <c r="AB178" s="69">
        <f>STATS1003B!AB178/1000</f>
        <v>0</v>
      </c>
    </row>
    <row r="179" spans="1:28" hidden="1" x14ac:dyDescent="0.3">
      <c r="A179" s="117"/>
      <c r="C179" s="71" t="s">
        <v>121</v>
      </c>
      <c r="D179" s="88" t="s">
        <v>73</v>
      </c>
      <c r="E179" s="85">
        <f>STATS1003B!E179/1000</f>
        <v>500</v>
      </c>
      <c r="F179" s="85">
        <f>STATS1003B!F179/1000</f>
        <v>500</v>
      </c>
      <c r="G179" s="85">
        <f>STATS1003B!G179/1000</f>
        <v>0</v>
      </c>
      <c r="H179" s="85">
        <f>STATS1003B!H179/1000</f>
        <v>500</v>
      </c>
      <c r="I179" s="85">
        <f>STATS1003B!I179/1000</f>
        <v>0</v>
      </c>
      <c r="J179" s="85">
        <f>STATS1003B!J179/1000</f>
        <v>0</v>
      </c>
      <c r="K179" s="85">
        <f>STATS1003B!K179/1000</f>
        <v>0</v>
      </c>
      <c r="L179" s="85">
        <f>STATS1003B!L179/1000</f>
        <v>0</v>
      </c>
      <c r="M179" s="85">
        <f>STATS1003B!M179/1000</f>
        <v>500</v>
      </c>
      <c r="N179" s="85">
        <f>STATS1003B!N179/1000</f>
        <v>0</v>
      </c>
      <c r="O179" s="85">
        <f>STATS1003B!O179/1000</f>
        <v>0</v>
      </c>
      <c r="P179" s="85">
        <f>STATS1003B!P179/1000</f>
        <v>0</v>
      </c>
      <c r="Q179" s="85">
        <f>STATS1003B!Q179/1000</f>
        <v>0</v>
      </c>
      <c r="R179" s="85">
        <f>STATS1003B!R179/1000</f>
        <v>0</v>
      </c>
      <c r="S179" s="85">
        <f>STATS1003B!S179/1000</f>
        <v>0</v>
      </c>
      <c r="T179" s="85">
        <f>STATS1003B!T179/1000</f>
        <v>0</v>
      </c>
      <c r="U179" s="85">
        <f>STATS1003B!U179/1000</f>
        <v>0</v>
      </c>
      <c r="V179" s="85">
        <f>STATS1003B!V179/1000</f>
        <v>500</v>
      </c>
      <c r="W179" s="85">
        <f>STATS1003B!W179/1000</f>
        <v>0</v>
      </c>
      <c r="X179" s="85">
        <f t="shared" si="19"/>
        <v>500</v>
      </c>
      <c r="Y179" s="85">
        <f>STATS1003B!Y179/1000</f>
        <v>0</v>
      </c>
      <c r="Z179" s="85">
        <f t="shared" si="22"/>
        <v>0</v>
      </c>
      <c r="AA179" s="69">
        <f>STATS1003B!AA179/1000</f>
        <v>500</v>
      </c>
      <c r="AB179" s="69">
        <f>STATS1003B!AB179/1000</f>
        <v>0</v>
      </c>
    </row>
    <row r="180" spans="1:28" hidden="1" x14ac:dyDescent="0.3">
      <c r="A180" s="117"/>
      <c r="C180" s="71" t="s">
        <v>930</v>
      </c>
      <c r="D180" s="89" t="s">
        <v>1072</v>
      </c>
      <c r="E180" s="85">
        <f>STATS1003B!E180/1000</f>
        <v>5375</v>
      </c>
      <c r="F180" s="85">
        <f>STATS1003B!F180/1000</f>
        <v>5375</v>
      </c>
      <c r="G180" s="85">
        <f>STATS1003B!G180/1000</f>
        <v>0</v>
      </c>
      <c r="H180" s="85">
        <f>STATS1003B!H180/1000</f>
        <v>5375</v>
      </c>
      <c r="I180" s="85">
        <f>STATS1003B!I180/1000</f>
        <v>0</v>
      </c>
      <c r="J180" s="85">
        <f>STATS1003B!J180/1000</f>
        <v>0</v>
      </c>
      <c r="K180" s="85">
        <f>STATS1003B!K180/1000</f>
        <v>0</v>
      </c>
      <c r="L180" s="85">
        <f>STATS1003B!L180/1000</f>
        <v>0</v>
      </c>
      <c r="M180" s="85">
        <f>STATS1003B!M180/1000</f>
        <v>5375</v>
      </c>
      <c r="N180" s="85">
        <f>STATS1003B!N180/1000</f>
        <v>0</v>
      </c>
      <c r="O180" s="85">
        <f>STATS1003B!O180/1000</f>
        <v>0</v>
      </c>
      <c r="P180" s="85">
        <f>STATS1003B!P180/1000</f>
        <v>0</v>
      </c>
      <c r="Q180" s="85">
        <f>STATS1003B!Q180/1000</f>
        <v>0</v>
      </c>
      <c r="R180" s="85">
        <f>STATS1003B!R180/1000</f>
        <v>0</v>
      </c>
      <c r="S180" s="85">
        <f>STATS1003B!S180/1000</f>
        <v>0</v>
      </c>
      <c r="T180" s="85">
        <f>STATS1003B!T180/1000</f>
        <v>0</v>
      </c>
      <c r="U180" s="85">
        <f>STATS1003B!U180/1000</f>
        <v>0</v>
      </c>
      <c r="V180" s="85">
        <f>STATS1003B!V180/1000</f>
        <v>5375</v>
      </c>
      <c r="W180" s="85">
        <f>STATS1003B!W180/1000</f>
        <v>0</v>
      </c>
      <c r="X180" s="85">
        <f t="shared" si="19"/>
        <v>5375</v>
      </c>
      <c r="Y180" s="85">
        <f>STATS1003B!Y180/1000</f>
        <v>0</v>
      </c>
      <c r="Z180" s="85">
        <f t="shared" si="22"/>
        <v>0</v>
      </c>
      <c r="AA180" s="69">
        <f>STATS1003B!AA180/1000</f>
        <v>5375</v>
      </c>
      <c r="AB180" s="69">
        <f>STATS1003B!AB180/1000</f>
        <v>0</v>
      </c>
    </row>
    <row r="181" spans="1:28" hidden="1" x14ac:dyDescent="0.3">
      <c r="A181" s="117"/>
      <c r="C181" s="71" t="s">
        <v>1106</v>
      </c>
      <c r="D181" s="89" t="s">
        <v>1072</v>
      </c>
      <c r="E181" s="85">
        <f>STATS1003B!E181/1000</f>
        <v>1091.7517700000001</v>
      </c>
      <c r="F181" s="85">
        <f>STATS1003B!F181/1000</f>
        <v>1091.7517700000001</v>
      </c>
      <c r="G181" s="85">
        <f>STATS1003B!G181/1000</f>
        <v>0</v>
      </c>
      <c r="H181" s="85">
        <f>STATS1003B!H181/1000</f>
        <v>1091.7517700000001</v>
      </c>
      <c r="I181" s="85">
        <f>STATS1003B!I181/1000</f>
        <v>0</v>
      </c>
      <c r="J181" s="85">
        <f>STATS1003B!J181/1000</f>
        <v>0</v>
      </c>
      <c r="K181" s="85">
        <f>STATS1003B!K181/1000</f>
        <v>0</v>
      </c>
      <c r="L181" s="85">
        <f>STATS1003B!L181/1000</f>
        <v>0</v>
      </c>
      <c r="M181" s="85">
        <f>STATS1003B!M181/1000</f>
        <v>1091.7517700000001</v>
      </c>
      <c r="N181" s="85">
        <f>STATS1003B!N181/1000</f>
        <v>0</v>
      </c>
      <c r="O181" s="85">
        <f>STATS1003B!O181/1000</f>
        <v>0</v>
      </c>
      <c r="P181" s="85">
        <f>STATS1003B!P181/1000</f>
        <v>0</v>
      </c>
      <c r="Q181" s="85">
        <f>STATS1003B!Q181/1000</f>
        <v>0</v>
      </c>
      <c r="R181" s="85">
        <f>STATS1003B!R181/1000</f>
        <v>0</v>
      </c>
      <c r="S181" s="85">
        <f>STATS1003B!S181/1000</f>
        <v>0</v>
      </c>
      <c r="T181" s="85">
        <f>STATS1003B!T181/1000</f>
        <v>0</v>
      </c>
      <c r="U181" s="85">
        <f>STATS1003B!U181/1000</f>
        <v>0</v>
      </c>
      <c r="V181" s="85">
        <f>STATS1003B!V181/1000</f>
        <v>1091.7517700000001</v>
      </c>
      <c r="W181" s="85">
        <f>STATS1003B!W181/1000</f>
        <v>0</v>
      </c>
      <c r="X181" s="85">
        <f t="shared" si="19"/>
        <v>1091.7517700000001</v>
      </c>
      <c r="Y181" s="85">
        <f>STATS1003B!Y181/1000</f>
        <v>0</v>
      </c>
      <c r="Z181" s="85">
        <f t="shared" si="22"/>
        <v>0</v>
      </c>
      <c r="AA181" s="69">
        <f>STATS1003B!AA181/1000</f>
        <v>1091.7517700000001</v>
      </c>
      <c r="AB181" s="69">
        <f>STATS1003B!AB181/1000</f>
        <v>0</v>
      </c>
    </row>
    <row r="182" spans="1:28" hidden="1" x14ac:dyDescent="0.3">
      <c r="A182" s="117"/>
      <c r="C182" s="68" t="s">
        <v>57</v>
      </c>
      <c r="D182" s="87" t="s">
        <v>61</v>
      </c>
      <c r="E182" s="85">
        <f>STATS1003B!E182/1000</f>
        <v>992.68365000000006</v>
      </c>
      <c r="F182" s="85">
        <f>STATS1003B!F182/1000</f>
        <v>981.10997999999995</v>
      </c>
      <c r="G182" s="85">
        <f>STATS1003B!G182/1000</f>
        <v>0</v>
      </c>
      <c r="H182" s="85">
        <f>STATS1003B!H182/1000</f>
        <v>981.10997999999995</v>
      </c>
      <c r="I182" s="85">
        <f>STATS1003B!I182/1000</f>
        <v>0</v>
      </c>
      <c r="J182" s="85">
        <f>STATS1003B!J182/1000</f>
        <v>0</v>
      </c>
      <c r="K182" s="85">
        <f>STATS1003B!K182/1000</f>
        <v>0</v>
      </c>
      <c r="L182" s="85">
        <f>STATS1003B!L182/1000</f>
        <v>0</v>
      </c>
      <c r="M182" s="85">
        <f>STATS1003B!M182/1000</f>
        <v>981.10997999999995</v>
      </c>
      <c r="N182" s="85">
        <f>STATS1003B!N182/1000</f>
        <v>0</v>
      </c>
      <c r="O182" s="85">
        <f>STATS1003B!O182/1000</f>
        <v>0</v>
      </c>
      <c r="P182" s="85">
        <f>STATS1003B!P182/1000</f>
        <v>0</v>
      </c>
      <c r="Q182" s="85">
        <f>STATS1003B!Q182/1000</f>
        <v>11.57367</v>
      </c>
      <c r="R182" s="85">
        <f>STATS1003B!R182/1000</f>
        <v>0</v>
      </c>
      <c r="S182" s="85">
        <f>STATS1003B!S182/1000</f>
        <v>0</v>
      </c>
      <c r="T182" s="85">
        <f>STATS1003B!T182/1000</f>
        <v>11.57367</v>
      </c>
      <c r="U182" s="85">
        <f>STATS1003B!U182/1000</f>
        <v>11.57367</v>
      </c>
      <c r="V182" s="85">
        <f>STATS1003B!V182/1000</f>
        <v>981.10997999999995</v>
      </c>
      <c r="W182" s="85">
        <f>STATS1003B!W182/1000</f>
        <v>11.573670000000043</v>
      </c>
      <c r="X182" s="85">
        <f t="shared" si="19"/>
        <v>981.10997999999995</v>
      </c>
      <c r="Y182" s="85">
        <f>STATS1003B!Y182/1000</f>
        <v>0</v>
      </c>
      <c r="Z182" s="85">
        <f t="shared" si="22"/>
        <v>11.573670000000106</v>
      </c>
      <c r="AA182" s="69">
        <f>STATS1003B!AA182/1000</f>
        <v>992.68365000000006</v>
      </c>
      <c r="AB182" s="69">
        <f>STATS1003B!AB182/1000</f>
        <v>0</v>
      </c>
    </row>
    <row r="183" spans="1:28" hidden="1" x14ac:dyDescent="0.3">
      <c r="A183" s="117"/>
      <c r="E183" s="86" t="s">
        <v>29</v>
      </c>
      <c r="F183" s="86" t="s">
        <v>29</v>
      </c>
      <c r="G183" s="86" t="s">
        <v>29</v>
      </c>
      <c r="H183" s="86" t="s">
        <v>29</v>
      </c>
      <c r="I183" s="86" t="s">
        <v>29</v>
      </c>
      <c r="J183" s="86" t="s">
        <v>29</v>
      </c>
      <c r="K183" s="86" t="s">
        <v>29</v>
      </c>
      <c r="L183" s="86" t="s">
        <v>29</v>
      </c>
      <c r="M183" s="86" t="s">
        <v>29</v>
      </c>
      <c r="N183" s="86" t="s">
        <v>29</v>
      </c>
      <c r="O183" s="86" t="s">
        <v>29</v>
      </c>
      <c r="P183" s="86" t="s">
        <v>29</v>
      </c>
      <c r="Q183" s="86" t="s">
        <v>29</v>
      </c>
      <c r="R183" s="86" t="s">
        <v>29</v>
      </c>
      <c r="S183" s="86" t="s">
        <v>29</v>
      </c>
      <c r="T183" s="86" t="s">
        <v>29</v>
      </c>
      <c r="U183" s="86" t="s">
        <v>29</v>
      </c>
      <c r="V183" s="86" t="s">
        <v>29</v>
      </c>
      <c r="W183" s="86" t="s">
        <v>29</v>
      </c>
      <c r="X183" s="85" t="e">
        <f t="shared" si="19"/>
        <v>#VALUE!</v>
      </c>
      <c r="Y183" s="86" t="s">
        <v>29</v>
      </c>
      <c r="Z183" s="85" t="e">
        <f t="shared" si="22"/>
        <v>#VALUE!</v>
      </c>
      <c r="AA183" s="115" t="s">
        <v>29</v>
      </c>
      <c r="AB183" s="115" t="s">
        <v>29</v>
      </c>
    </row>
    <row r="184" spans="1:28" x14ac:dyDescent="0.3">
      <c r="A184" s="116" t="s">
        <v>942</v>
      </c>
      <c r="B184" s="68" t="s">
        <v>129</v>
      </c>
      <c r="E184" s="85">
        <f>91747694.77/1000</f>
        <v>91747.694770000002</v>
      </c>
      <c r="F184" s="85">
        <f>SUM(F171:F182)</f>
        <v>42973.618800000004</v>
      </c>
      <c r="G184" s="85">
        <f>SUM(G171:G182)</f>
        <v>0</v>
      </c>
      <c r="H184" s="85">
        <f>84143137.78/1000</f>
        <v>84143.137780000005</v>
      </c>
      <c r="I184" s="85">
        <f t="shared" ref="I184:O184" si="23">SUM(I171:I182)</f>
        <v>0</v>
      </c>
      <c r="J184" s="85">
        <f t="shared" si="23"/>
        <v>0</v>
      </c>
      <c r="K184" s="85">
        <f t="shared" si="23"/>
        <v>0</v>
      </c>
      <c r="L184" s="85">
        <f t="shared" si="23"/>
        <v>0</v>
      </c>
      <c r="M184" s="85">
        <f t="shared" si="23"/>
        <v>42973.618800000004</v>
      </c>
      <c r="N184" s="85">
        <f t="shared" si="23"/>
        <v>7592.9833200000012</v>
      </c>
      <c r="O184" s="85">
        <f t="shared" si="23"/>
        <v>0</v>
      </c>
      <c r="P184" s="85">
        <f>7592983.32/1000</f>
        <v>7592.9833200000003</v>
      </c>
      <c r="Q184" s="85">
        <f t="shared" ref="Q184:W184" si="24">SUM(Q171:Q182)</f>
        <v>11.57367</v>
      </c>
      <c r="R184" s="85">
        <f t="shared" si="24"/>
        <v>0</v>
      </c>
      <c r="S184" s="85">
        <f t="shared" si="24"/>
        <v>0</v>
      </c>
      <c r="T184" s="85">
        <f t="shared" si="24"/>
        <v>11.57367</v>
      </c>
      <c r="U184" s="85">
        <f t="shared" si="24"/>
        <v>7604.556990000001</v>
      </c>
      <c r="V184" s="85">
        <f t="shared" si="24"/>
        <v>50566.602119999996</v>
      </c>
      <c r="W184" s="85">
        <f t="shared" si="24"/>
        <v>11.573670000000043</v>
      </c>
      <c r="X184" s="85">
        <f>+H184+P184</f>
        <v>91736.121100000004</v>
      </c>
      <c r="Y184" s="85">
        <f>SUM(Y171:Y182)</f>
        <v>0</v>
      </c>
      <c r="Z184" s="85">
        <f t="shared" si="22"/>
        <v>11.573669999997946</v>
      </c>
      <c r="AA184" s="69">
        <f>SUM(AA171:AA182)</f>
        <v>50578.175789999994</v>
      </c>
      <c r="AB184" s="69">
        <f>SUM(AB171:AB182)</f>
        <v>0</v>
      </c>
    </row>
    <row r="185" spans="1:28" hidden="1" x14ac:dyDescent="0.3">
      <c r="A185" s="117"/>
      <c r="E185" s="86" t="s">
        <v>29</v>
      </c>
      <c r="F185" s="86" t="s">
        <v>29</v>
      </c>
      <c r="G185" s="86" t="s">
        <v>29</v>
      </c>
      <c r="H185" s="86" t="s">
        <v>29</v>
      </c>
      <c r="I185" s="86" t="s">
        <v>29</v>
      </c>
      <c r="J185" s="86" t="s">
        <v>29</v>
      </c>
      <c r="K185" s="86" t="s">
        <v>29</v>
      </c>
      <c r="L185" s="86" t="s">
        <v>29</v>
      </c>
      <c r="M185" s="86" t="s">
        <v>29</v>
      </c>
      <c r="N185" s="86" t="s">
        <v>29</v>
      </c>
      <c r="O185" s="86" t="s">
        <v>29</v>
      </c>
      <c r="P185" s="86" t="s">
        <v>29</v>
      </c>
      <c r="Q185" s="86" t="s">
        <v>29</v>
      </c>
      <c r="R185" s="86" t="s">
        <v>29</v>
      </c>
      <c r="S185" s="86" t="s">
        <v>29</v>
      </c>
      <c r="T185" s="86" t="s">
        <v>29</v>
      </c>
      <c r="U185" s="86" t="s">
        <v>29</v>
      </c>
      <c r="V185" s="86" t="s">
        <v>29</v>
      </c>
      <c r="W185" s="86" t="s">
        <v>29</v>
      </c>
      <c r="X185" s="85" t="e">
        <f t="shared" si="19"/>
        <v>#VALUE!</v>
      </c>
      <c r="Y185" s="86" t="s">
        <v>29</v>
      </c>
      <c r="Z185" s="85" t="e">
        <f t="shared" si="22"/>
        <v>#VALUE!</v>
      </c>
      <c r="AA185" s="115" t="s">
        <v>29</v>
      </c>
      <c r="AB185" s="115" t="s">
        <v>29</v>
      </c>
    </row>
    <row r="186" spans="1:28" hidden="1" x14ac:dyDescent="0.3">
      <c r="A186" s="105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6"/>
      <c r="T186" s="86"/>
      <c r="U186" s="86"/>
      <c r="V186" s="86"/>
      <c r="W186" s="86"/>
      <c r="X186" s="85">
        <f t="shared" si="19"/>
        <v>0</v>
      </c>
      <c r="Y186" s="86"/>
      <c r="Z186" s="85">
        <f t="shared" si="22"/>
        <v>0</v>
      </c>
      <c r="AA186" s="118"/>
    </row>
    <row r="187" spans="1:28" hidden="1" x14ac:dyDescent="0.3">
      <c r="A187" s="117"/>
      <c r="C187" s="68" t="s">
        <v>510</v>
      </c>
      <c r="D187" s="87" t="s">
        <v>76</v>
      </c>
      <c r="E187" s="85">
        <f>STATS1003B!E187/1000</f>
        <v>308</v>
      </c>
      <c r="F187" s="85">
        <f>STATS1003B!F187/1000</f>
        <v>0</v>
      </c>
      <c r="G187" s="85">
        <f>STATS1003B!G187/1000</f>
        <v>0</v>
      </c>
      <c r="H187" s="85">
        <f>STATS1003B!H187/1000</f>
        <v>0</v>
      </c>
      <c r="I187" s="85">
        <f>STATS1003B!I187/1000</f>
        <v>0</v>
      </c>
      <c r="J187" s="85">
        <f>STATS1003B!J187/1000</f>
        <v>0</v>
      </c>
      <c r="K187" s="85">
        <f>STATS1003B!K187/1000</f>
        <v>0</v>
      </c>
      <c r="L187" s="85">
        <f>STATS1003B!L187/1000</f>
        <v>0</v>
      </c>
      <c r="M187" s="85">
        <f>STATS1003B!M187/1000</f>
        <v>0</v>
      </c>
      <c r="N187" s="85">
        <f>STATS1003B!N187/1000</f>
        <v>161.34980999999999</v>
      </c>
      <c r="O187" s="85">
        <f>STATS1003B!O187/1000</f>
        <v>0</v>
      </c>
      <c r="P187" s="85">
        <f>STATS1003B!P187/1000</f>
        <v>161.34980999999999</v>
      </c>
      <c r="Q187" s="85">
        <f>STATS1003B!Q187/1000</f>
        <v>161.34980999999999</v>
      </c>
      <c r="R187" s="85">
        <f>STATS1003B!R187/1000</f>
        <v>146.65019000000001</v>
      </c>
      <c r="S187" s="85">
        <f>STATS1003B!S187/1000</f>
        <v>0</v>
      </c>
      <c r="T187" s="85">
        <f>STATS1003B!T187/1000</f>
        <v>0</v>
      </c>
      <c r="U187" s="85">
        <f>STATS1003B!U187/1000</f>
        <v>161.34980999999999</v>
      </c>
      <c r="V187" s="85">
        <f>STATS1003B!V187/1000</f>
        <v>0</v>
      </c>
      <c r="W187" s="85">
        <f>STATS1003B!W187/1000</f>
        <v>0</v>
      </c>
      <c r="X187" s="85">
        <f t="shared" si="19"/>
        <v>161.34980999999999</v>
      </c>
      <c r="Y187" s="85">
        <f>STATS1003B!Y187/1000</f>
        <v>0</v>
      </c>
      <c r="Z187" s="85">
        <f t="shared" si="22"/>
        <v>146.65019000000001</v>
      </c>
      <c r="AA187" s="69">
        <f>STATS1003B!AA187/1000</f>
        <v>161.34980999999999</v>
      </c>
      <c r="AB187" s="69">
        <f>STATS1003B!AB187/1000</f>
        <v>146.65019000000001</v>
      </c>
    </row>
    <row r="188" spans="1:28" hidden="1" x14ac:dyDescent="0.3">
      <c r="A188" s="117"/>
      <c r="C188" s="68" t="s">
        <v>511</v>
      </c>
      <c r="D188" s="87" t="s">
        <v>150</v>
      </c>
      <c r="E188" s="85">
        <f>STATS1003B!E188/1000</f>
        <v>1876</v>
      </c>
      <c r="F188" s="85">
        <f>STATS1003B!F188/1000</f>
        <v>1876</v>
      </c>
      <c r="G188" s="85">
        <f>STATS1003B!G188/1000</f>
        <v>0</v>
      </c>
      <c r="H188" s="85">
        <f>STATS1003B!H188/1000</f>
        <v>1876</v>
      </c>
      <c r="I188" s="85">
        <f>STATS1003B!I188/1000</f>
        <v>3752</v>
      </c>
      <c r="J188" s="85">
        <f>STATS1003B!J188/1000</f>
        <v>0</v>
      </c>
      <c r="K188" s="85">
        <f>STATS1003B!K188/1000</f>
        <v>3752</v>
      </c>
      <c r="L188" s="85">
        <f>STATS1003B!L188/1000</f>
        <v>0</v>
      </c>
      <c r="M188" s="85">
        <f>STATS1003B!M188/1000</f>
        <v>1876</v>
      </c>
      <c r="N188" s="85">
        <f>STATS1003B!N188/1000</f>
        <v>0</v>
      </c>
      <c r="O188" s="85">
        <f>STATS1003B!O188/1000</f>
        <v>0</v>
      </c>
      <c r="P188" s="85">
        <f>STATS1003B!P188/1000</f>
        <v>0</v>
      </c>
      <c r="Q188" s="85">
        <f>STATS1003B!Q188/1000</f>
        <v>3752</v>
      </c>
      <c r="R188" s="85">
        <f>STATS1003B!R188/1000</f>
        <v>-1876</v>
      </c>
      <c r="S188" s="85">
        <f>STATS1003B!S188/1000</f>
        <v>0</v>
      </c>
      <c r="T188" s="85">
        <f>STATS1003B!T188/1000</f>
        <v>0</v>
      </c>
      <c r="U188" s="85">
        <f>STATS1003B!U188/1000</f>
        <v>0</v>
      </c>
      <c r="V188" s="85">
        <f>STATS1003B!V188/1000</f>
        <v>0</v>
      </c>
      <c r="W188" s="85">
        <f>STATS1003B!W188/1000</f>
        <v>0</v>
      </c>
      <c r="X188" s="85">
        <f t="shared" si="19"/>
        <v>1876</v>
      </c>
      <c r="Y188" s="85">
        <f>STATS1003B!Y188/1000</f>
        <v>0</v>
      </c>
      <c r="Z188" s="85">
        <f t="shared" si="22"/>
        <v>0</v>
      </c>
      <c r="AA188" s="69">
        <f>STATS1003B!AA188/1000</f>
        <v>1876</v>
      </c>
      <c r="AB188" s="69">
        <f>STATS1003B!AB188/1000</f>
        <v>0</v>
      </c>
    </row>
    <row r="189" spans="1:28" hidden="1" x14ac:dyDescent="0.3">
      <c r="A189" s="117"/>
      <c r="C189" s="68" t="s">
        <v>512</v>
      </c>
      <c r="D189" s="87" t="s">
        <v>78</v>
      </c>
      <c r="E189" s="85">
        <f>STATS1003B!E189/1000</f>
        <v>1300.4875500000001</v>
      </c>
      <c r="F189" s="85">
        <f>STATS1003B!F189/1000</f>
        <v>0</v>
      </c>
      <c r="G189" s="85">
        <f>STATS1003B!G189/1000</f>
        <v>0</v>
      </c>
      <c r="H189" s="85">
        <f>STATS1003B!H189/1000</f>
        <v>0</v>
      </c>
      <c r="I189" s="85">
        <f>STATS1003B!I189/1000</f>
        <v>0</v>
      </c>
      <c r="J189" s="85">
        <f>STATS1003B!J189/1000</f>
        <v>0</v>
      </c>
      <c r="K189" s="85">
        <f>STATS1003B!K189/1000</f>
        <v>0</v>
      </c>
      <c r="L189" s="85">
        <f>STATS1003B!L189/1000</f>
        <v>0</v>
      </c>
      <c r="M189" s="85">
        <f>STATS1003B!M189/1000</f>
        <v>0</v>
      </c>
      <c r="N189" s="85">
        <f>STATS1003B!N189/1000</f>
        <v>1300.4875500000001</v>
      </c>
      <c r="O189" s="85">
        <f>STATS1003B!O189/1000</f>
        <v>0</v>
      </c>
      <c r="P189" s="85">
        <f>STATS1003B!P189/1000</f>
        <v>1300.4875500000001</v>
      </c>
      <c r="Q189" s="85">
        <f>STATS1003B!Q189/1000</f>
        <v>1300.4875500000001</v>
      </c>
      <c r="R189" s="85">
        <f>STATS1003B!R189/1000</f>
        <v>0</v>
      </c>
      <c r="S189" s="85">
        <f>STATS1003B!S189/1000</f>
        <v>0</v>
      </c>
      <c r="T189" s="85">
        <f>STATS1003B!T189/1000</f>
        <v>0</v>
      </c>
      <c r="U189" s="85">
        <f>STATS1003B!U189/1000</f>
        <v>1300.4875500000001</v>
      </c>
      <c r="V189" s="85">
        <f>STATS1003B!V189/1000</f>
        <v>0</v>
      </c>
      <c r="W189" s="85">
        <f>STATS1003B!W189/1000</f>
        <v>0</v>
      </c>
      <c r="X189" s="85">
        <f t="shared" si="19"/>
        <v>1300.4875500000001</v>
      </c>
      <c r="Y189" s="85">
        <f>STATS1003B!Y189/1000</f>
        <v>0</v>
      </c>
      <c r="Z189" s="85">
        <f t="shared" si="22"/>
        <v>0</v>
      </c>
      <c r="AA189" s="69">
        <f>STATS1003B!AA189/1000</f>
        <v>1300.4875500000001</v>
      </c>
      <c r="AB189" s="69">
        <f>STATS1003B!AB189/1000</f>
        <v>0</v>
      </c>
    </row>
    <row r="190" spans="1:28" hidden="1" x14ac:dyDescent="0.3">
      <c r="A190" s="117"/>
      <c r="C190" s="68" t="s">
        <v>513</v>
      </c>
      <c r="D190" s="87" t="s">
        <v>68</v>
      </c>
      <c r="E190" s="85">
        <f>STATS1003B!E190/1000</f>
        <v>737.91007000000025</v>
      </c>
      <c r="F190" s="85">
        <f>STATS1003B!F190/1000</f>
        <v>732.61599999999999</v>
      </c>
      <c r="G190" s="85">
        <f>STATS1003B!G190/1000</f>
        <v>0</v>
      </c>
      <c r="H190" s="85">
        <f>STATS1003B!H190/1000</f>
        <v>732.61599999999999</v>
      </c>
      <c r="I190" s="85">
        <f>STATS1003B!I190/1000</f>
        <v>1465.232</v>
      </c>
      <c r="J190" s="85">
        <f>STATS1003B!J190/1000</f>
        <v>0</v>
      </c>
      <c r="K190" s="85">
        <f>STATS1003B!K190/1000</f>
        <v>1465.232</v>
      </c>
      <c r="L190" s="85">
        <f>STATS1003B!L190/1000</f>
        <v>0</v>
      </c>
      <c r="M190" s="85">
        <f>STATS1003B!M190/1000</f>
        <v>732.61599999999999</v>
      </c>
      <c r="N190" s="85">
        <f>STATS1003B!N190/1000</f>
        <v>5.2940699999999996</v>
      </c>
      <c r="O190" s="85">
        <f>STATS1003B!O190/1000</f>
        <v>0</v>
      </c>
      <c r="P190" s="85">
        <f>STATS1003B!P190/1000</f>
        <v>5.2940699999999996</v>
      </c>
      <c r="Q190" s="85">
        <f>STATS1003B!Q190/1000</f>
        <v>1470.5260700000001</v>
      </c>
      <c r="R190" s="85">
        <f>STATS1003B!R190/1000</f>
        <v>-732.61599999999976</v>
      </c>
      <c r="S190" s="85">
        <f>STATS1003B!S190/1000</f>
        <v>0</v>
      </c>
      <c r="T190" s="85">
        <f>STATS1003B!T190/1000</f>
        <v>0</v>
      </c>
      <c r="U190" s="85">
        <f>STATS1003B!U190/1000</f>
        <v>5.2940699999999996</v>
      </c>
      <c r="V190" s="85">
        <f>STATS1003B!V190/1000</f>
        <v>0</v>
      </c>
      <c r="W190" s="85">
        <f>STATS1003B!W190/1000</f>
        <v>0</v>
      </c>
      <c r="X190" s="85">
        <f t="shared" si="19"/>
        <v>737.91007000000002</v>
      </c>
      <c r="Y190" s="85">
        <f>STATS1003B!Y190/1000</f>
        <v>0</v>
      </c>
      <c r="Z190" s="85">
        <f t="shared" si="22"/>
        <v>0</v>
      </c>
      <c r="AA190" s="69">
        <f>STATS1003B!AA190/1000</f>
        <v>737.91006999999991</v>
      </c>
      <c r="AB190" s="69">
        <f>STATS1003B!AB190/1000</f>
        <v>0</v>
      </c>
    </row>
    <row r="191" spans="1:28" hidden="1" x14ac:dyDescent="0.3">
      <c r="A191" s="117"/>
      <c r="C191" s="68" t="s">
        <v>514</v>
      </c>
      <c r="D191" s="87" t="s">
        <v>68</v>
      </c>
      <c r="E191" s="85">
        <f>STATS1003B!E191/1000</f>
        <v>633.08879999999999</v>
      </c>
      <c r="F191" s="85">
        <f>STATS1003B!F191/1000</f>
        <v>0</v>
      </c>
      <c r="G191" s="85">
        <f>STATS1003B!G191/1000</f>
        <v>0</v>
      </c>
      <c r="H191" s="85">
        <f>STATS1003B!H191/1000</f>
        <v>0</v>
      </c>
      <c r="I191" s="85">
        <f>STATS1003B!I191/1000</f>
        <v>0</v>
      </c>
      <c r="J191" s="85">
        <f>STATS1003B!J191/1000</f>
        <v>0</v>
      </c>
      <c r="K191" s="85">
        <f>STATS1003B!K191/1000</f>
        <v>0</v>
      </c>
      <c r="L191" s="85">
        <f>STATS1003B!L191/1000</f>
        <v>0</v>
      </c>
      <c r="M191" s="85">
        <f>STATS1003B!M191/1000</f>
        <v>0</v>
      </c>
      <c r="N191" s="85">
        <f>STATS1003B!N191/1000</f>
        <v>633.08879999999999</v>
      </c>
      <c r="O191" s="85">
        <f>STATS1003B!O191/1000</f>
        <v>0</v>
      </c>
      <c r="P191" s="85">
        <f>STATS1003B!P191/1000</f>
        <v>633.08879999999999</v>
      </c>
      <c r="Q191" s="85">
        <f>STATS1003B!Q191/1000</f>
        <v>633.08879999999999</v>
      </c>
      <c r="R191" s="85">
        <f>STATS1003B!R191/1000</f>
        <v>0</v>
      </c>
      <c r="S191" s="85">
        <f>STATS1003B!S191/1000</f>
        <v>0</v>
      </c>
      <c r="T191" s="85">
        <f>STATS1003B!T191/1000</f>
        <v>0</v>
      </c>
      <c r="U191" s="85">
        <f>STATS1003B!U191/1000</f>
        <v>633.08879999999999</v>
      </c>
      <c r="V191" s="85">
        <f>STATS1003B!V191/1000</f>
        <v>0</v>
      </c>
      <c r="W191" s="85">
        <f>STATS1003B!W191/1000</f>
        <v>0</v>
      </c>
      <c r="X191" s="85">
        <f t="shared" si="19"/>
        <v>633.08879999999999</v>
      </c>
      <c r="Y191" s="85">
        <f>STATS1003B!Y191/1000</f>
        <v>0</v>
      </c>
      <c r="Z191" s="85">
        <f t="shared" si="22"/>
        <v>0</v>
      </c>
      <c r="AA191" s="69">
        <f>STATS1003B!AA191/1000</f>
        <v>633.08879999999999</v>
      </c>
      <c r="AB191" s="69">
        <f>STATS1003B!AB191/1000</f>
        <v>0</v>
      </c>
    </row>
    <row r="192" spans="1:28" hidden="1" x14ac:dyDescent="0.3">
      <c r="A192" s="117"/>
      <c r="C192" s="68" t="s">
        <v>515</v>
      </c>
      <c r="D192" s="87" t="s">
        <v>54</v>
      </c>
      <c r="E192" s="85">
        <f>STATS1003B!E192/1000</f>
        <v>570.94100000000003</v>
      </c>
      <c r="F192" s="85">
        <f>STATS1003B!F192/1000</f>
        <v>0</v>
      </c>
      <c r="G192" s="85">
        <f>STATS1003B!G192/1000</f>
        <v>0</v>
      </c>
      <c r="H192" s="85">
        <f>STATS1003B!H192/1000</f>
        <v>0</v>
      </c>
      <c r="I192" s="85">
        <f>STATS1003B!I192/1000</f>
        <v>0</v>
      </c>
      <c r="J192" s="85">
        <f>STATS1003B!J192/1000</f>
        <v>0</v>
      </c>
      <c r="K192" s="85">
        <f>STATS1003B!K192/1000</f>
        <v>0</v>
      </c>
      <c r="L192" s="85">
        <f>STATS1003B!L192/1000</f>
        <v>0</v>
      </c>
      <c r="M192" s="85">
        <f>STATS1003B!M192/1000</f>
        <v>0</v>
      </c>
      <c r="N192" s="85">
        <f>STATS1003B!N192/1000</f>
        <v>570.94100000000003</v>
      </c>
      <c r="O192" s="85">
        <f>STATS1003B!O192/1000</f>
        <v>0</v>
      </c>
      <c r="P192" s="85">
        <f>STATS1003B!P192/1000</f>
        <v>570.94100000000003</v>
      </c>
      <c r="Q192" s="85">
        <f>STATS1003B!Q192/1000</f>
        <v>570.94100000000003</v>
      </c>
      <c r="R192" s="85">
        <f>STATS1003B!R192/1000</f>
        <v>0</v>
      </c>
      <c r="S192" s="85">
        <f>STATS1003B!S192/1000</f>
        <v>0</v>
      </c>
      <c r="T192" s="85">
        <f>STATS1003B!T192/1000</f>
        <v>0</v>
      </c>
      <c r="U192" s="85">
        <f>STATS1003B!U192/1000</f>
        <v>570.94100000000003</v>
      </c>
      <c r="V192" s="85">
        <f>STATS1003B!V192/1000</f>
        <v>0</v>
      </c>
      <c r="W192" s="85">
        <f>STATS1003B!W192/1000</f>
        <v>0</v>
      </c>
      <c r="X192" s="85">
        <f t="shared" si="19"/>
        <v>570.94100000000003</v>
      </c>
      <c r="Y192" s="85">
        <f>STATS1003B!Y192/1000</f>
        <v>0</v>
      </c>
      <c r="Z192" s="85">
        <f t="shared" si="22"/>
        <v>0</v>
      </c>
      <c r="AA192" s="69">
        <f>STATS1003B!AA192/1000</f>
        <v>570.94100000000003</v>
      </c>
      <c r="AB192" s="69">
        <f>STATS1003B!AB192/1000</f>
        <v>0</v>
      </c>
    </row>
    <row r="193" spans="1:28" hidden="1" x14ac:dyDescent="0.3">
      <c r="A193" s="117"/>
      <c r="C193" s="68" t="s">
        <v>516</v>
      </c>
      <c r="D193" s="87" t="s">
        <v>54</v>
      </c>
      <c r="E193" s="85">
        <f>STATS1003B!E193/1000</f>
        <v>1100</v>
      </c>
      <c r="F193" s="85">
        <f>STATS1003B!F193/1000</f>
        <v>1100</v>
      </c>
      <c r="G193" s="85">
        <f>STATS1003B!G193/1000</f>
        <v>0</v>
      </c>
      <c r="H193" s="85">
        <f>STATS1003B!H193/1000</f>
        <v>1100</v>
      </c>
      <c r="I193" s="85">
        <f>STATS1003B!I193/1000</f>
        <v>2200</v>
      </c>
      <c r="J193" s="85">
        <f>STATS1003B!J193/1000</f>
        <v>0</v>
      </c>
      <c r="K193" s="85">
        <f>STATS1003B!K193/1000</f>
        <v>2200</v>
      </c>
      <c r="L193" s="85">
        <f>STATS1003B!L193/1000</f>
        <v>0</v>
      </c>
      <c r="M193" s="85">
        <f>STATS1003B!M193/1000</f>
        <v>1100</v>
      </c>
      <c r="N193" s="85">
        <f>STATS1003B!N193/1000</f>
        <v>0</v>
      </c>
      <c r="O193" s="85">
        <f>STATS1003B!O193/1000</f>
        <v>0</v>
      </c>
      <c r="P193" s="85">
        <f>STATS1003B!P193/1000</f>
        <v>0</v>
      </c>
      <c r="Q193" s="85">
        <f>STATS1003B!Q193/1000</f>
        <v>2200</v>
      </c>
      <c r="R193" s="85">
        <f>STATS1003B!R193/1000</f>
        <v>-1100</v>
      </c>
      <c r="S193" s="85">
        <f>STATS1003B!S193/1000</f>
        <v>0</v>
      </c>
      <c r="T193" s="85">
        <f>STATS1003B!T193/1000</f>
        <v>0</v>
      </c>
      <c r="U193" s="85">
        <f>STATS1003B!U193/1000</f>
        <v>0</v>
      </c>
      <c r="V193" s="85">
        <f>STATS1003B!V193/1000</f>
        <v>0</v>
      </c>
      <c r="W193" s="85">
        <f>STATS1003B!W193/1000</f>
        <v>0</v>
      </c>
      <c r="X193" s="85">
        <f t="shared" si="19"/>
        <v>1100</v>
      </c>
      <c r="Y193" s="85">
        <f>STATS1003B!Y193/1000</f>
        <v>0</v>
      </c>
      <c r="Z193" s="85">
        <f t="shared" si="22"/>
        <v>0</v>
      </c>
      <c r="AA193" s="69">
        <f>STATS1003B!AA193/1000</f>
        <v>1100</v>
      </c>
      <c r="AB193" s="69">
        <f>STATS1003B!AB193/1000</f>
        <v>0</v>
      </c>
    </row>
    <row r="194" spans="1:28" hidden="1" x14ac:dyDescent="0.3">
      <c r="A194" s="117"/>
      <c r="C194" s="68" t="s">
        <v>513</v>
      </c>
      <c r="D194" s="87" t="s">
        <v>85</v>
      </c>
      <c r="E194" s="85">
        <f>STATS1003B!E194/1000</f>
        <v>2149.8000000000002</v>
      </c>
      <c r="F194" s="85">
        <f>STATS1003B!F194/1000</f>
        <v>2149.8000000000002</v>
      </c>
      <c r="G194" s="85">
        <f>STATS1003B!G194/1000</f>
        <v>0</v>
      </c>
      <c r="H194" s="85">
        <f>STATS1003B!H194/1000</f>
        <v>2149.8000000000002</v>
      </c>
      <c r="I194" s="85">
        <f>STATS1003B!I194/1000</f>
        <v>4299.6000000000004</v>
      </c>
      <c r="J194" s="85">
        <f>STATS1003B!J194/1000</f>
        <v>0</v>
      </c>
      <c r="K194" s="85">
        <f>STATS1003B!K194/1000</f>
        <v>4299.6000000000004</v>
      </c>
      <c r="L194" s="85">
        <f>STATS1003B!L194/1000</f>
        <v>0</v>
      </c>
      <c r="M194" s="85">
        <f>STATS1003B!M194/1000</f>
        <v>2149.8000000000002</v>
      </c>
      <c r="N194" s="85">
        <f>STATS1003B!N194/1000</f>
        <v>0</v>
      </c>
      <c r="O194" s="85">
        <f>STATS1003B!O194/1000</f>
        <v>0</v>
      </c>
      <c r="P194" s="85">
        <f>STATS1003B!P194/1000</f>
        <v>0</v>
      </c>
      <c r="Q194" s="85">
        <f>STATS1003B!Q194/1000</f>
        <v>4299.6000000000004</v>
      </c>
      <c r="R194" s="85">
        <f>STATS1003B!R194/1000</f>
        <v>-2149.8000000000002</v>
      </c>
      <c r="S194" s="85">
        <f>STATS1003B!S194/1000</f>
        <v>0</v>
      </c>
      <c r="T194" s="85">
        <f>STATS1003B!T194/1000</f>
        <v>0</v>
      </c>
      <c r="U194" s="85">
        <f>STATS1003B!U194/1000</f>
        <v>0</v>
      </c>
      <c r="V194" s="85">
        <f>STATS1003B!V194/1000</f>
        <v>0</v>
      </c>
      <c r="W194" s="85">
        <f>STATS1003B!W194/1000</f>
        <v>0</v>
      </c>
      <c r="X194" s="85">
        <f t="shared" si="19"/>
        <v>2149.8000000000002</v>
      </c>
      <c r="Y194" s="85">
        <f>STATS1003B!Y194/1000</f>
        <v>0</v>
      </c>
      <c r="Z194" s="85">
        <f t="shared" si="22"/>
        <v>0</v>
      </c>
      <c r="AA194" s="69">
        <f>STATS1003B!AA194/1000</f>
        <v>2149.8000000000002</v>
      </c>
      <c r="AB194" s="69">
        <f>STATS1003B!AB194/1000</f>
        <v>0</v>
      </c>
    </row>
    <row r="195" spans="1:28" hidden="1" x14ac:dyDescent="0.3">
      <c r="A195" s="117"/>
      <c r="C195" s="68" t="s">
        <v>513</v>
      </c>
      <c r="D195" s="87" t="s">
        <v>108</v>
      </c>
      <c r="E195" s="85">
        <f>STATS1003B!E195/1000</f>
        <v>1760</v>
      </c>
      <c r="F195" s="85">
        <f>STATS1003B!F195/1000</f>
        <v>1760</v>
      </c>
      <c r="G195" s="85">
        <f>STATS1003B!G195/1000</f>
        <v>0</v>
      </c>
      <c r="H195" s="85">
        <f>STATS1003B!H195/1000</f>
        <v>1760</v>
      </c>
      <c r="I195" s="85">
        <f>STATS1003B!I195/1000</f>
        <v>3520</v>
      </c>
      <c r="J195" s="85">
        <f>STATS1003B!J195/1000</f>
        <v>0</v>
      </c>
      <c r="K195" s="85">
        <f>STATS1003B!K195/1000</f>
        <v>3520</v>
      </c>
      <c r="L195" s="85">
        <f>STATS1003B!L195/1000</f>
        <v>0</v>
      </c>
      <c r="M195" s="85">
        <f>STATS1003B!M195/1000</f>
        <v>1760</v>
      </c>
      <c r="N195" s="85">
        <f>STATS1003B!N195/1000</f>
        <v>0</v>
      </c>
      <c r="O195" s="85">
        <f>STATS1003B!O195/1000</f>
        <v>0</v>
      </c>
      <c r="P195" s="85">
        <f>STATS1003B!P195/1000</f>
        <v>0</v>
      </c>
      <c r="Q195" s="85">
        <f>STATS1003B!Q195/1000</f>
        <v>3520</v>
      </c>
      <c r="R195" s="85">
        <f>STATS1003B!R195/1000</f>
        <v>-1760</v>
      </c>
      <c r="S195" s="85">
        <f>STATS1003B!S195/1000</f>
        <v>0</v>
      </c>
      <c r="T195" s="85">
        <f>STATS1003B!T195/1000</f>
        <v>0</v>
      </c>
      <c r="U195" s="85">
        <f>STATS1003B!U195/1000</f>
        <v>0</v>
      </c>
      <c r="V195" s="85">
        <f>STATS1003B!V195/1000</f>
        <v>0</v>
      </c>
      <c r="W195" s="85">
        <f>STATS1003B!W195/1000</f>
        <v>0</v>
      </c>
      <c r="X195" s="85">
        <f t="shared" si="19"/>
        <v>1760</v>
      </c>
      <c r="Y195" s="85">
        <f>STATS1003B!Y195/1000</f>
        <v>0</v>
      </c>
      <c r="Z195" s="85">
        <f t="shared" si="22"/>
        <v>0</v>
      </c>
      <c r="AA195" s="69">
        <f>STATS1003B!AA195/1000</f>
        <v>1760</v>
      </c>
      <c r="AB195" s="69">
        <f>STATS1003B!AB195/1000</f>
        <v>0</v>
      </c>
    </row>
    <row r="196" spans="1:28" hidden="1" x14ac:dyDescent="0.3">
      <c r="A196" s="117"/>
      <c r="C196" s="68" t="s">
        <v>513</v>
      </c>
      <c r="D196" s="87" t="s">
        <v>58</v>
      </c>
      <c r="E196" s="85">
        <f>STATS1003B!E196/1000</f>
        <v>2133.9</v>
      </c>
      <c r="F196" s="85">
        <f>STATS1003B!F196/1000</f>
        <v>2133.9</v>
      </c>
      <c r="G196" s="85">
        <f>STATS1003B!G196/1000</f>
        <v>0</v>
      </c>
      <c r="H196" s="85">
        <f>STATS1003B!H196/1000</f>
        <v>2133.9</v>
      </c>
      <c r="I196" s="85">
        <f>STATS1003B!I196/1000</f>
        <v>4267.8</v>
      </c>
      <c r="J196" s="85">
        <f>STATS1003B!J196/1000</f>
        <v>0</v>
      </c>
      <c r="K196" s="85">
        <f>STATS1003B!K196/1000</f>
        <v>4267.8</v>
      </c>
      <c r="L196" s="85">
        <f>STATS1003B!L196/1000</f>
        <v>0</v>
      </c>
      <c r="M196" s="85">
        <f>STATS1003B!M196/1000</f>
        <v>2133.9</v>
      </c>
      <c r="N196" s="85">
        <f>STATS1003B!N196/1000</f>
        <v>0</v>
      </c>
      <c r="O196" s="85">
        <f>STATS1003B!O196/1000</f>
        <v>0</v>
      </c>
      <c r="P196" s="85">
        <f>STATS1003B!P196/1000</f>
        <v>0</v>
      </c>
      <c r="Q196" s="85">
        <f>STATS1003B!Q196/1000</f>
        <v>4267.8</v>
      </c>
      <c r="R196" s="85">
        <f>STATS1003B!R196/1000</f>
        <v>-2133.9</v>
      </c>
      <c r="S196" s="85">
        <f>STATS1003B!S196/1000</f>
        <v>0</v>
      </c>
      <c r="T196" s="85">
        <f>STATS1003B!T196/1000</f>
        <v>0</v>
      </c>
      <c r="U196" s="85">
        <f>STATS1003B!U196/1000</f>
        <v>0</v>
      </c>
      <c r="V196" s="85">
        <f>STATS1003B!V196/1000</f>
        <v>0</v>
      </c>
      <c r="W196" s="85">
        <f>STATS1003B!W196/1000</f>
        <v>0</v>
      </c>
      <c r="X196" s="85">
        <f t="shared" si="19"/>
        <v>2133.9</v>
      </c>
      <c r="Y196" s="85">
        <f>STATS1003B!Y196/1000</f>
        <v>0</v>
      </c>
      <c r="Z196" s="85">
        <f t="shared" si="22"/>
        <v>0</v>
      </c>
      <c r="AA196" s="69">
        <f>STATS1003B!AA196/1000</f>
        <v>2133.9</v>
      </c>
      <c r="AB196" s="69">
        <f>STATS1003B!AB196/1000</f>
        <v>0</v>
      </c>
    </row>
    <row r="197" spans="1:28" hidden="1" x14ac:dyDescent="0.3">
      <c r="A197" s="117"/>
      <c r="C197" s="68" t="s">
        <v>513</v>
      </c>
      <c r="D197" s="87" t="s">
        <v>60</v>
      </c>
      <c r="E197" s="85">
        <f>STATS1003B!E197/1000</f>
        <v>1500</v>
      </c>
      <c r="F197" s="85">
        <f>STATS1003B!F197/1000</f>
        <v>1500</v>
      </c>
      <c r="G197" s="85">
        <f>STATS1003B!G197/1000</f>
        <v>0</v>
      </c>
      <c r="H197" s="85">
        <f>STATS1003B!H197/1000</f>
        <v>1500</v>
      </c>
      <c r="I197" s="85">
        <f>STATS1003B!I197/1000</f>
        <v>3000</v>
      </c>
      <c r="J197" s="85">
        <f>STATS1003B!J197/1000</f>
        <v>0</v>
      </c>
      <c r="K197" s="85">
        <f>STATS1003B!K197/1000</f>
        <v>3000</v>
      </c>
      <c r="L197" s="85">
        <f>STATS1003B!L197/1000</f>
        <v>0</v>
      </c>
      <c r="M197" s="85">
        <f>STATS1003B!M197/1000</f>
        <v>1500</v>
      </c>
      <c r="N197" s="85">
        <f>STATS1003B!N197/1000</f>
        <v>0</v>
      </c>
      <c r="O197" s="85">
        <f>STATS1003B!O197/1000</f>
        <v>0</v>
      </c>
      <c r="P197" s="85">
        <f>STATS1003B!P197/1000</f>
        <v>0</v>
      </c>
      <c r="Q197" s="85">
        <f>STATS1003B!Q197/1000</f>
        <v>3000</v>
      </c>
      <c r="R197" s="85">
        <f>STATS1003B!R197/1000</f>
        <v>-1500</v>
      </c>
      <c r="S197" s="85">
        <f>STATS1003B!S197/1000</f>
        <v>0</v>
      </c>
      <c r="T197" s="85">
        <f>STATS1003B!T197/1000</f>
        <v>0</v>
      </c>
      <c r="U197" s="85">
        <f>STATS1003B!U197/1000</f>
        <v>0</v>
      </c>
      <c r="V197" s="85">
        <f>STATS1003B!V197/1000</f>
        <v>0</v>
      </c>
      <c r="W197" s="85">
        <f>STATS1003B!W197/1000</f>
        <v>0</v>
      </c>
      <c r="X197" s="85">
        <f t="shared" si="19"/>
        <v>1500</v>
      </c>
      <c r="Y197" s="85">
        <f>STATS1003B!Y197/1000</f>
        <v>0</v>
      </c>
      <c r="Z197" s="85">
        <f t="shared" si="22"/>
        <v>0</v>
      </c>
      <c r="AA197" s="69">
        <f>STATS1003B!AA197/1000</f>
        <v>1500</v>
      </c>
      <c r="AB197" s="69">
        <f>STATS1003B!AB197/1000</f>
        <v>0</v>
      </c>
    </row>
    <row r="198" spans="1:28" hidden="1" x14ac:dyDescent="0.3">
      <c r="A198" s="117"/>
      <c r="C198" s="68" t="s">
        <v>513</v>
      </c>
      <c r="D198" s="87" t="s">
        <v>73</v>
      </c>
      <c r="E198" s="85">
        <f>STATS1003B!E198/1000</f>
        <v>2277.64</v>
      </c>
      <c r="F198" s="85">
        <f>STATS1003B!F198/1000</f>
        <v>2277.64</v>
      </c>
      <c r="G198" s="85">
        <f>STATS1003B!G198/1000</f>
        <v>0</v>
      </c>
      <c r="H198" s="85">
        <f>STATS1003B!H198/1000</f>
        <v>2277.64</v>
      </c>
      <c r="I198" s="85">
        <f>STATS1003B!I198/1000</f>
        <v>4555.28</v>
      </c>
      <c r="J198" s="85">
        <f>STATS1003B!J198/1000</f>
        <v>0</v>
      </c>
      <c r="K198" s="85">
        <f>STATS1003B!K198/1000</f>
        <v>4555.28</v>
      </c>
      <c r="L198" s="85">
        <f>STATS1003B!L198/1000</f>
        <v>0</v>
      </c>
      <c r="M198" s="85">
        <f>STATS1003B!M198/1000</f>
        <v>2277.64</v>
      </c>
      <c r="N198" s="85">
        <f>STATS1003B!N198/1000</f>
        <v>0</v>
      </c>
      <c r="O198" s="85">
        <f>STATS1003B!O198/1000</f>
        <v>0</v>
      </c>
      <c r="P198" s="85">
        <f>STATS1003B!P198/1000</f>
        <v>0</v>
      </c>
      <c r="Q198" s="85">
        <f>STATS1003B!Q198/1000</f>
        <v>4555.28</v>
      </c>
      <c r="R198" s="85">
        <f>STATS1003B!R198/1000</f>
        <v>-2277.64</v>
      </c>
      <c r="S198" s="85">
        <f>STATS1003B!S198/1000</f>
        <v>0</v>
      </c>
      <c r="T198" s="85">
        <f>STATS1003B!T198/1000</f>
        <v>0</v>
      </c>
      <c r="U198" s="85">
        <f>STATS1003B!U198/1000</f>
        <v>0</v>
      </c>
      <c r="V198" s="85">
        <f>STATS1003B!V198/1000</f>
        <v>0</v>
      </c>
      <c r="W198" s="85">
        <f>STATS1003B!W198/1000</f>
        <v>0</v>
      </c>
      <c r="X198" s="85">
        <f t="shared" si="19"/>
        <v>2277.64</v>
      </c>
      <c r="Y198" s="85">
        <f>STATS1003B!Y198/1000</f>
        <v>0</v>
      </c>
      <c r="Z198" s="85">
        <f t="shared" si="22"/>
        <v>0</v>
      </c>
      <c r="AA198" s="69">
        <f>STATS1003B!AA198/1000</f>
        <v>2277.64</v>
      </c>
      <c r="AB198" s="69">
        <f>STATS1003B!AB198/1000</f>
        <v>0</v>
      </c>
    </row>
    <row r="199" spans="1:28" hidden="1" x14ac:dyDescent="0.3">
      <c r="A199" s="117"/>
      <c r="C199" s="68" t="s">
        <v>517</v>
      </c>
      <c r="D199" s="87" t="s">
        <v>73</v>
      </c>
      <c r="E199" s="85">
        <f>STATS1003B!E199/1000</f>
        <v>500</v>
      </c>
      <c r="F199" s="85">
        <f>STATS1003B!F199/1000</f>
        <v>500</v>
      </c>
      <c r="G199" s="85">
        <f>STATS1003B!G199/1000</f>
        <v>0</v>
      </c>
      <c r="H199" s="85">
        <f>STATS1003B!H199/1000</f>
        <v>500</v>
      </c>
      <c r="I199" s="85">
        <f>STATS1003B!I199/1000</f>
        <v>1000</v>
      </c>
      <c r="J199" s="85">
        <f>STATS1003B!J199/1000</f>
        <v>0</v>
      </c>
      <c r="K199" s="85">
        <f>STATS1003B!K199/1000</f>
        <v>1000</v>
      </c>
      <c r="L199" s="85">
        <f>STATS1003B!L199/1000</f>
        <v>0</v>
      </c>
      <c r="M199" s="85">
        <f>STATS1003B!M199/1000</f>
        <v>500</v>
      </c>
      <c r="N199" s="85">
        <f>STATS1003B!N199/1000</f>
        <v>0</v>
      </c>
      <c r="O199" s="85">
        <f>STATS1003B!O199/1000</f>
        <v>0</v>
      </c>
      <c r="P199" s="85">
        <f>STATS1003B!P199/1000</f>
        <v>0</v>
      </c>
      <c r="Q199" s="85">
        <f>STATS1003B!Q199/1000</f>
        <v>1000</v>
      </c>
      <c r="R199" s="85">
        <f>STATS1003B!R199/1000</f>
        <v>-500</v>
      </c>
      <c r="S199" s="85">
        <f>STATS1003B!S199/1000</f>
        <v>0</v>
      </c>
      <c r="T199" s="85">
        <f>STATS1003B!T199/1000</f>
        <v>0</v>
      </c>
      <c r="U199" s="85">
        <f>STATS1003B!U199/1000</f>
        <v>0</v>
      </c>
      <c r="V199" s="85">
        <f>STATS1003B!V199/1000</f>
        <v>0</v>
      </c>
      <c r="W199" s="85">
        <f>STATS1003B!W199/1000</f>
        <v>0</v>
      </c>
      <c r="X199" s="85">
        <f t="shared" si="19"/>
        <v>500</v>
      </c>
      <c r="Y199" s="85">
        <f>STATS1003B!Y199/1000</f>
        <v>0</v>
      </c>
      <c r="Z199" s="85">
        <f t="shared" si="22"/>
        <v>0</v>
      </c>
      <c r="AA199" s="69">
        <f>STATS1003B!AA199/1000</f>
        <v>500</v>
      </c>
      <c r="AB199" s="69">
        <f>STATS1003B!AB199/1000</f>
        <v>0</v>
      </c>
    </row>
    <row r="200" spans="1:28" hidden="1" x14ac:dyDescent="0.3">
      <c r="A200" s="117"/>
      <c r="C200" s="71" t="s">
        <v>513</v>
      </c>
      <c r="D200" s="88" t="s">
        <v>61</v>
      </c>
      <c r="E200" s="85">
        <f>STATS1003B!E200/1000</f>
        <v>674</v>
      </c>
      <c r="F200" s="85">
        <f>STATS1003B!F200/1000</f>
        <v>674</v>
      </c>
      <c r="G200" s="85">
        <f>STATS1003B!G200/1000</f>
        <v>0</v>
      </c>
      <c r="H200" s="85">
        <f>STATS1003B!H200/1000</f>
        <v>674</v>
      </c>
      <c r="I200" s="85">
        <f>STATS1003B!I200/1000</f>
        <v>1348</v>
      </c>
      <c r="J200" s="85">
        <f>STATS1003B!J200/1000</f>
        <v>0</v>
      </c>
      <c r="K200" s="85">
        <f>STATS1003B!K200/1000</f>
        <v>1348</v>
      </c>
      <c r="L200" s="85">
        <f>STATS1003B!L200/1000</f>
        <v>0</v>
      </c>
      <c r="M200" s="85">
        <f>STATS1003B!M200/1000</f>
        <v>674</v>
      </c>
      <c r="N200" s="85">
        <f>STATS1003B!N200/1000</f>
        <v>0</v>
      </c>
      <c r="O200" s="85">
        <f>STATS1003B!O200/1000</f>
        <v>0</v>
      </c>
      <c r="P200" s="85">
        <f>STATS1003B!P200/1000</f>
        <v>0</v>
      </c>
      <c r="Q200" s="85">
        <f>STATS1003B!Q200/1000</f>
        <v>1348</v>
      </c>
      <c r="R200" s="85">
        <f>STATS1003B!R200/1000</f>
        <v>-674</v>
      </c>
      <c r="S200" s="85">
        <f>STATS1003B!S200/1000</f>
        <v>0</v>
      </c>
      <c r="T200" s="85">
        <f>STATS1003B!T200/1000</f>
        <v>0</v>
      </c>
      <c r="U200" s="85">
        <f>STATS1003B!U200/1000</f>
        <v>0</v>
      </c>
      <c r="V200" s="85">
        <f>STATS1003B!V200/1000</f>
        <v>0</v>
      </c>
      <c r="W200" s="85">
        <f>STATS1003B!W200/1000</f>
        <v>0</v>
      </c>
      <c r="X200" s="85">
        <f t="shared" si="19"/>
        <v>674</v>
      </c>
      <c r="Y200" s="85">
        <f>STATS1003B!Y200/1000</f>
        <v>0</v>
      </c>
      <c r="Z200" s="85">
        <f t="shared" si="22"/>
        <v>0</v>
      </c>
      <c r="AA200" s="69">
        <f>STATS1003B!AA200/1000</f>
        <v>674</v>
      </c>
      <c r="AB200" s="69">
        <f>STATS1003B!AB200/1000</f>
        <v>0</v>
      </c>
    </row>
    <row r="201" spans="1:28" hidden="1" x14ac:dyDescent="0.3">
      <c r="A201" s="117"/>
      <c r="C201" s="71" t="s">
        <v>1063</v>
      </c>
      <c r="D201" s="88"/>
      <c r="E201" s="85">
        <f>STATS1003B!E201/1000</f>
        <v>1251.4045800000001</v>
      </c>
      <c r="F201" s="85">
        <f>STATS1003B!F201/1000</f>
        <v>1251.4045800000001</v>
      </c>
      <c r="G201" s="85">
        <f>STATS1003B!G201/1000</f>
        <v>0</v>
      </c>
      <c r="H201" s="85">
        <f>STATS1003B!H201/1000</f>
        <v>1251.4045800000001</v>
      </c>
      <c r="I201" s="85">
        <f>STATS1003B!I201/1000</f>
        <v>0</v>
      </c>
      <c r="J201" s="85">
        <f>STATS1003B!J201/1000</f>
        <v>0</v>
      </c>
      <c r="K201" s="85">
        <f>STATS1003B!K201/1000</f>
        <v>0</v>
      </c>
      <c r="L201" s="85">
        <f>STATS1003B!L201/1000</f>
        <v>0</v>
      </c>
      <c r="M201" s="85">
        <f>STATS1003B!M201/1000</f>
        <v>1251.4045800000001</v>
      </c>
      <c r="N201" s="85">
        <f>STATS1003B!N201/1000</f>
        <v>0</v>
      </c>
      <c r="O201" s="85">
        <f>STATS1003B!O201/1000</f>
        <v>0</v>
      </c>
      <c r="P201" s="85">
        <f>STATS1003B!P201/1000</f>
        <v>0</v>
      </c>
      <c r="Q201" s="85">
        <f>STATS1003B!Q201/1000</f>
        <v>0</v>
      </c>
      <c r="R201" s="85">
        <f>STATS1003B!R201/1000</f>
        <v>0</v>
      </c>
      <c r="S201" s="85">
        <f>STATS1003B!S201/1000</f>
        <v>0</v>
      </c>
      <c r="T201" s="85">
        <f>STATS1003B!T201/1000</f>
        <v>0</v>
      </c>
      <c r="U201" s="85">
        <f>STATS1003B!U201/1000</f>
        <v>0</v>
      </c>
      <c r="V201" s="85">
        <f>STATS1003B!V201/1000</f>
        <v>0</v>
      </c>
      <c r="W201" s="85">
        <f>STATS1003B!W201/1000</f>
        <v>0</v>
      </c>
      <c r="X201" s="85">
        <f t="shared" si="19"/>
        <v>1251.4045800000001</v>
      </c>
      <c r="Y201" s="85">
        <f>STATS1003B!Y201/1000</f>
        <v>0</v>
      </c>
      <c r="Z201" s="85">
        <f t="shared" si="22"/>
        <v>0</v>
      </c>
      <c r="AA201" s="69">
        <f>STATS1003B!AA201/1000</f>
        <v>1251.4045800000001</v>
      </c>
      <c r="AB201" s="69">
        <f>STATS1003B!AB201/1000</f>
        <v>0</v>
      </c>
    </row>
    <row r="202" spans="1:28" hidden="1" x14ac:dyDescent="0.3">
      <c r="A202" s="117"/>
      <c r="C202" s="71" t="s">
        <v>1179</v>
      </c>
      <c r="D202" s="89" t="s">
        <v>1126</v>
      </c>
      <c r="E202" s="85">
        <f>STATS1003B!E202/1000</f>
        <v>686.77949000000001</v>
      </c>
      <c r="F202" s="85">
        <f>STATS1003B!F202/1000</f>
        <v>686.77949000000001</v>
      </c>
      <c r="G202" s="85">
        <f>STATS1003B!G202/1000</f>
        <v>0</v>
      </c>
      <c r="H202" s="85">
        <f>STATS1003B!H202/1000</f>
        <v>686.77949000000001</v>
      </c>
      <c r="I202" s="85">
        <f>STATS1003B!I202/1000</f>
        <v>0</v>
      </c>
      <c r="J202" s="85">
        <f>STATS1003B!J202/1000</f>
        <v>0</v>
      </c>
      <c r="K202" s="85">
        <f>STATS1003B!K202/1000</f>
        <v>0</v>
      </c>
      <c r="L202" s="85">
        <f>STATS1003B!L202/1000</f>
        <v>0</v>
      </c>
      <c r="M202" s="85">
        <f>STATS1003B!M202/1000</f>
        <v>686.77949000000001</v>
      </c>
      <c r="N202" s="85">
        <f>STATS1003B!N202/1000</f>
        <v>0</v>
      </c>
      <c r="O202" s="85">
        <f>STATS1003B!O202/1000</f>
        <v>0</v>
      </c>
      <c r="P202" s="85">
        <f>STATS1003B!P202/1000</f>
        <v>0</v>
      </c>
      <c r="Q202" s="85">
        <f>STATS1003B!Q202/1000</f>
        <v>0</v>
      </c>
      <c r="R202" s="85">
        <f>STATS1003B!R202/1000</f>
        <v>0</v>
      </c>
      <c r="S202" s="85">
        <f>STATS1003B!S202/1000</f>
        <v>0</v>
      </c>
      <c r="T202" s="85">
        <f>STATS1003B!T202/1000</f>
        <v>0</v>
      </c>
      <c r="U202" s="85">
        <f>STATS1003B!U202/1000</f>
        <v>0</v>
      </c>
      <c r="V202" s="85">
        <f>STATS1003B!V202/1000</f>
        <v>0</v>
      </c>
      <c r="W202" s="85">
        <f>STATS1003B!W202/1000</f>
        <v>0</v>
      </c>
      <c r="X202" s="85">
        <f t="shared" si="19"/>
        <v>686.77949000000001</v>
      </c>
      <c r="Y202" s="85">
        <f>STATS1003B!Y202/1000</f>
        <v>0</v>
      </c>
      <c r="Z202" s="85">
        <f t="shared" si="22"/>
        <v>0</v>
      </c>
      <c r="AA202" s="69">
        <f>STATS1003B!AA202/1000</f>
        <v>686.77949000000001</v>
      </c>
      <c r="AB202" s="69">
        <f>STATS1003B!AB202/1000</f>
        <v>0</v>
      </c>
    </row>
    <row r="203" spans="1:28" hidden="1" x14ac:dyDescent="0.3">
      <c r="A203" s="117"/>
      <c r="C203" s="68" t="s">
        <v>518</v>
      </c>
      <c r="E203" s="85">
        <f>STATS1003B!E203/1000</f>
        <v>1828.3206</v>
      </c>
      <c r="F203" s="85">
        <f>STATS1003B!F203/1000</f>
        <v>1828.3206</v>
      </c>
      <c r="G203" s="85">
        <f>STATS1003B!G203/1000</f>
        <v>0</v>
      </c>
      <c r="H203" s="85">
        <f>STATS1003B!H203/1000</f>
        <v>1828.3206</v>
      </c>
      <c r="I203" s="85">
        <f>STATS1003B!I203/1000</f>
        <v>3656.6412</v>
      </c>
      <c r="J203" s="85">
        <f>STATS1003B!J203/1000</f>
        <v>0</v>
      </c>
      <c r="K203" s="85">
        <f>STATS1003B!K203/1000</f>
        <v>3656.6412</v>
      </c>
      <c r="L203" s="85">
        <f>STATS1003B!L203/1000</f>
        <v>0</v>
      </c>
      <c r="M203" s="85">
        <f>STATS1003B!M203/1000</f>
        <v>1828.3206</v>
      </c>
      <c r="N203" s="85">
        <f>STATS1003B!N203/1000</f>
        <v>0</v>
      </c>
      <c r="O203" s="85">
        <f>STATS1003B!O203/1000</f>
        <v>0</v>
      </c>
      <c r="P203" s="85">
        <f>STATS1003B!P203/1000</f>
        <v>0</v>
      </c>
      <c r="Q203" s="85">
        <f>STATS1003B!Q203/1000</f>
        <v>3656.6412</v>
      </c>
      <c r="R203" s="85">
        <f>STATS1003B!R203/1000</f>
        <v>-1828.3206</v>
      </c>
      <c r="S203" s="85">
        <f>STATS1003B!S203/1000</f>
        <v>0</v>
      </c>
      <c r="T203" s="85">
        <f>STATS1003B!T203/1000</f>
        <v>0</v>
      </c>
      <c r="U203" s="85">
        <f>STATS1003B!U203/1000</f>
        <v>0</v>
      </c>
      <c r="V203" s="85">
        <f>STATS1003B!V203/1000</f>
        <v>0</v>
      </c>
      <c r="W203" s="85">
        <f>STATS1003B!W203/1000</f>
        <v>0</v>
      </c>
      <c r="X203" s="85">
        <f t="shared" si="19"/>
        <v>1828.3206</v>
      </c>
      <c r="Y203" s="85">
        <f>STATS1003B!Y203/1000</f>
        <v>0</v>
      </c>
      <c r="Z203" s="85">
        <f t="shared" si="22"/>
        <v>0</v>
      </c>
      <c r="AA203" s="69">
        <f>STATS1003B!AA203/1000</f>
        <v>1828.3206</v>
      </c>
      <c r="AB203" s="69">
        <f>STATS1003B!AB203/1000</f>
        <v>0</v>
      </c>
    </row>
    <row r="204" spans="1:28" hidden="1" x14ac:dyDescent="0.3">
      <c r="A204" s="117"/>
      <c r="C204" s="68" t="s">
        <v>519</v>
      </c>
      <c r="E204" s="85">
        <f>STATS1003B!E204/1000</f>
        <v>937.39431999999999</v>
      </c>
      <c r="F204" s="85">
        <f>STATS1003B!F204/1000</f>
        <v>937.39431999999999</v>
      </c>
      <c r="G204" s="85">
        <f>STATS1003B!G204/1000</f>
        <v>0</v>
      </c>
      <c r="H204" s="85">
        <f>STATS1003B!H204/1000</f>
        <v>937.39431999999999</v>
      </c>
      <c r="I204" s="85">
        <f>STATS1003B!I204/1000</f>
        <v>1874.78864</v>
      </c>
      <c r="J204" s="85">
        <f>STATS1003B!J204/1000</f>
        <v>0</v>
      </c>
      <c r="K204" s="85">
        <f>STATS1003B!K204/1000</f>
        <v>1874.78864</v>
      </c>
      <c r="L204" s="85">
        <f>STATS1003B!L204/1000</f>
        <v>0</v>
      </c>
      <c r="M204" s="85">
        <f>STATS1003B!M204/1000</f>
        <v>937.39431999999999</v>
      </c>
      <c r="N204" s="85">
        <f>STATS1003B!N204/1000</f>
        <v>0</v>
      </c>
      <c r="O204" s="85">
        <f>STATS1003B!O204/1000</f>
        <v>0</v>
      </c>
      <c r="P204" s="85">
        <f>STATS1003B!P204/1000</f>
        <v>0</v>
      </c>
      <c r="Q204" s="85">
        <f>STATS1003B!Q204/1000</f>
        <v>1874.78864</v>
      </c>
      <c r="R204" s="85">
        <f>STATS1003B!R204/1000</f>
        <v>-937.39431999999999</v>
      </c>
      <c r="S204" s="85">
        <f>STATS1003B!S204/1000</f>
        <v>0</v>
      </c>
      <c r="T204" s="85">
        <f>STATS1003B!T204/1000</f>
        <v>0</v>
      </c>
      <c r="U204" s="85">
        <f>STATS1003B!U204/1000</f>
        <v>0</v>
      </c>
      <c r="V204" s="85">
        <f>STATS1003B!V204/1000</f>
        <v>0</v>
      </c>
      <c r="W204" s="85">
        <f>STATS1003B!W204/1000</f>
        <v>0</v>
      </c>
      <c r="X204" s="85">
        <f t="shared" si="19"/>
        <v>937.39431999999999</v>
      </c>
      <c r="Y204" s="85">
        <f>STATS1003B!Y204/1000</f>
        <v>0</v>
      </c>
      <c r="Z204" s="85">
        <f t="shared" si="22"/>
        <v>0</v>
      </c>
      <c r="AA204" s="69">
        <f>STATS1003B!AA204/1000</f>
        <v>937.39431999999999</v>
      </c>
      <c r="AB204" s="69">
        <f>STATS1003B!AB204/1000</f>
        <v>0</v>
      </c>
    </row>
    <row r="205" spans="1:28" hidden="1" x14ac:dyDescent="0.3">
      <c r="A205" s="117"/>
      <c r="C205" s="68" t="s">
        <v>520</v>
      </c>
      <c r="E205" s="85">
        <f>STATS1003B!E205/1000</f>
        <v>1491.15</v>
      </c>
      <c r="F205" s="85">
        <f>STATS1003B!F205/1000</f>
        <v>1491.15</v>
      </c>
      <c r="G205" s="85">
        <f>STATS1003B!G205/1000</f>
        <v>0</v>
      </c>
      <c r="H205" s="85">
        <f>STATS1003B!H205/1000</f>
        <v>1491.15</v>
      </c>
      <c r="I205" s="85">
        <f>STATS1003B!I205/1000</f>
        <v>2982.3</v>
      </c>
      <c r="J205" s="85">
        <f>STATS1003B!J205/1000</f>
        <v>0</v>
      </c>
      <c r="K205" s="85">
        <f>STATS1003B!K205/1000</f>
        <v>2982.3</v>
      </c>
      <c r="L205" s="85">
        <f>STATS1003B!L205/1000</f>
        <v>0</v>
      </c>
      <c r="M205" s="85">
        <f>STATS1003B!M205/1000</f>
        <v>1491.15</v>
      </c>
      <c r="N205" s="85">
        <f>STATS1003B!N205/1000</f>
        <v>0</v>
      </c>
      <c r="O205" s="85">
        <f>STATS1003B!O205/1000</f>
        <v>0</v>
      </c>
      <c r="P205" s="85">
        <f>STATS1003B!P205/1000</f>
        <v>0</v>
      </c>
      <c r="Q205" s="85">
        <f>STATS1003B!Q205/1000</f>
        <v>2982.3</v>
      </c>
      <c r="R205" s="85">
        <f>STATS1003B!R205/1000</f>
        <v>-1491.15</v>
      </c>
      <c r="S205" s="85">
        <f>STATS1003B!S205/1000</f>
        <v>0</v>
      </c>
      <c r="T205" s="85">
        <f>STATS1003B!T205/1000</f>
        <v>0</v>
      </c>
      <c r="U205" s="85">
        <f>STATS1003B!U205/1000</f>
        <v>0</v>
      </c>
      <c r="V205" s="85">
        <f>STATS1003B!V205/1000</f>
        <v>0</v>
      </c>
      <c r="W205" s="85">
        <f>STATS1003B!W205/1000</f>
        <v>0</v>
      </c>
      <c r="X205" s="85">
        <f t="shared" si="19"/>
        <v>1491.15</v>
      </c>
      <c r="Y205" s="85">
        <f>STATS1003B!Y205/1000</f>
        <v>0</v>
      </c>
      <c r="Z205" s="85">
        <f t="shared" si="22"/>
        <v>0</v>
      </c>
      <c r="AA205" s="69">
        <f>STATS1003B!AA205/1000</f>
        <v>1491.15</v>
      </c>
      <c r="AB205" s="69">
        <f>STATS1003B!AB205/1000</f>
        <v>0</v>
      </c>
    </row>
    <row r="206" spans="1:28" hidden="1" x14ac:dyDescent="0.3">
      <c r="A206" s="117"/>
      <c r="C206" s="68" t="s">
        <v>521</v>
      </c>
      <c r="E206" s="85">
        <f>STATS1003B!E206/1000</f>
        <v>2820.6720499999997</v>
      </c>
      <c r="F206" s="85">
        <f>STATS1003B!F206/1000</f>
        <v>2820.6720499999997</v>
      </c>
      <c r="G206" s="85">
        <f>STATS1003B!G206/1000</f>
        <v>0</v>
      </c>
      <c r="H206" s="85">
        <f>STATS1003B!H206/1000</f>
        <v>2820.6720499999997</v>
      </c>
      <c r="I206" s="85">
        <f>STATS1003B!I206/1000</f>
        <v>5641.3440999999993</v>
      </c>
      <c r="J206" s="85">
        <f>STATS1003B!J206/1000</f>
        <v>0</v>
      </c>
      <c r="K206" s="85">
        <f>STATS1003B!K206/1000</f>
        <v>5641.3440999999993</v>
      </c>
      <c r="L206" s="85">
        <f>STATS1003B!L206/1000</f>
        <v>0</v>
      </c>
      <c r="M206" s="85">
        <f>STATS1003B!M206/1000</f>
        <v>2820.6720499999997</v>
      </c>
      <c r="N206" s="85">
        <f>STATS1003B!N206/1000</f>
        <v>0</v>
      </c>
      <c r="O206" s="85">
        <f>STATS1003B!O206/1000</f>
        <v>0</v>
      </c>
      <c r="P206" s="85">
        <f>STATS1003B!P206/1000</f>
        <v>0</v>
      </c>
      <c r="Q206" s="85">
        <f>STATS1003B!Q206/1000</f>
        <v>5641.3440999999993</v>
      </c>
      <c r="R206" s="85">
        <f>STATS1003B!R206/1000</f>
        <v>-2820.6720499999997</v>
      </c>
      <c r="S206" s="85">
        <f>STATS1003B!S206/1000</f>
        <v>0</v>
      </c>
      <c r="T206" s="85">
        <f>STATS1003B!T206/1000</f>
        <v>0</v>
      </c>
      <c r="U206" s="85">
        <f>STATS1003B!U206/1000</f>
        <v>0</v>
      </c>
      <c r="V206" s="85">
        <f>STATS1003B!V206/1000</f>
        <v>0</v>
      </c>
      <c r="W206" s="85">
        <f>STATS1003B!W206/1000</f>
        <v>0</v>
      </c>
      <c r="X206" s="85">
        <f t="shared" si="19"/>
        <v>2820.6720499999997</v>
      </c>
      <c r="Y206" s="85">
        <f>STATS1003B!Y206/1000</f>
        <v>0</v>
      </c>
      <c r="Z206" s="85">
        <f t="shared" si="22"/>
        <v>0</v>
      </c>
      <c r="AA206" s="69">
        <f>STATS1003B!AA206/1000</f>
        <v>2820.6720499999997</v>
      </c>
      <c r="AB206" s="69">
        <f>STATS1003B!AB206/1000</f>
        <v>0</v>
      </c>
    </row>
    <row r="207" spans="1:28" hidden="1" x14ac:dyDescent="0.3">
      <c r="A207" s="117"/>
      <c r="E207" s="86" t="s">
        <v>29</v>
      </c>
      <c r="F207" s="86" t="s">
        <v>29</v>
      </c>
      <c r="G207" s="86" t="s">
        <v>29</v>
      </c>
      <c r="H207" s="86" t="s">
        <v>29</v>
      </c>
      <c r="I207" s="86" t="s">
        <v>29</v>
      </c>
      <c r="J207" s="86" t="s">
        <v>29</v>
      </c>
      <c r="K207" s="86" t="s">
        <v>29</v>
      </c>
      <c r="L207" s="86" t="s">
        <v>29</v>
      </c>
      <c r="M207" s="86" t="s">
        <v>29</v>
      </c>
      <c r="N207" s="86" t="s">
        <v>29</v>
      </c>
      <c r="O207" s="86" t="s">
        <v>29</v>
      </c>
      <c r="P207" s="86" t="s">
        <v>29</v>
      </c>
      <c r="Q207" s="86" t="s">
        <v>29</v>
      </c>
      <c r="R207" s="86" t="s">
        <v>29</v>
      </c>
      <c r="S207" s="86" t="s">
        <v>29</v>
      </c>
      <c r="T207" s="86" t="s">
        <v>29</v>
      </c>
      <c r="U207" s="86" t="s">
        <v>29</v>
      </c>
      <c r="V207" s="86" t="s">
        <v>29</v>
      </c>
      <c r="W207" s="86" t="s">
        <v>29</v>
      </c>
      <c r="X207" s="85" t="e">
        <f t="shared" si="19"/>
        <v>#VALUE!</v>
      </c>
      <c r="Y207" s="86" t="s">
        <v>29</v>
      </c>
      <c r="Z207" s="85" t="e">
        <f t="shared" si="22"/>
        <v>#VALUE!</v>
      </c>
      <c r="AA207" s="115" t="s">
        <v>29</v>
      </c>
      <c r="AB207" s="115" t="s">
        <v>29</v>
      </c>
    </row>
    <row r="208" spans="1:28" x14ac:dyDescent="0.3">
      <c r="A208" s="116" t="s">
        <v>943</v>
      </c>
      <c r="B208" s="68" t="s">
        <v>509</v>
      </c>
      <c r="E208" s="85">
        <f>127475286.86/1000</f>
        <v>127475.28685999999</v>
      </c>
      <c r="F208" s="85">
        <f>SUM(F187:F206)</f>
        <v>23719.677040000002</v>
      </c>
      <c r="G208" s="85">
        <f>SUM(G187:G206)</f>
        <v>0</v>
      </c>
      <c r="H208" s="84">
        <f>124657475.44/1000</f>
        <v>124657.47543999999</v>
      </c>
      <c r="I208" s="85">
        <f t="shared" ref="I208:R208" si="25">SUM(I187:I207)</f>
        <v>43562.985940000006</v>
      </c>
      <c r="J208" s="85">
        <f t="shared" si="25"/>
        <v>0</v>
      </c>
      <c r="K208" s="85">
        <f t="shared" si="25"/>
        <v>43562.985940000006</v>
      </c>
      <c r="L208" s="85">
        <f t="shared" si="25"/>
        <v>0</v>
      </c>
      <c r="M208" s="85">
        <f t="shared" si="25"/>
        <v>23719.677040000002</v>
      </c>
      <c r="N208" s="85">
        <f t="shared" si="25"/>
        <v>2671.1612299999997</v>
      </c>
      <c r="O208" s="85">
        <f t="shared" si="25"/>
        <v>0</v>
      </c>
      <c r="P208" s="85">
        <f>2671161/1000</f>
        <v>2671.1610000000001</v>
      </c>
      <c r="Q208" s="85">
        <f t="shared" si="25"/>
        <v>46234.147170000004</v>
      </c>
      <c r="R208" s="85">
        <f t="shared" si="25"/>
        <v>-21634.842780000003</v>
      </c>
      <c r="S208" s="86"/>
      <c r="T208" s="92">
        <f>+O208+S208</f>
        <v>0</v>
      </c>
      <c r="U208" s="92">
        <f>SUM(U187:U206)</f>
        <v>2671.1612299999997</v>
      </c>
      <c r="V208" s="92">
        <f>+Q208+U208</f>
        <v>48905.308400000002</v>
      </c>
      <c r="W208" s="92">
        <f>+R208+V208</f>
        <v>27270.465619999999</v>
      </c>
      <c r="X208" s="85">
        <f>+H208+P208</f>
        <v>127328.63644</v>
      </c>
      <c r="Y208" s="92">
        <f>SUM(Y187:Y206)</f>
        <v>0</v>
      </c>
      <c r="Z208" s="85">
        <f t="shared" si="22"/>
        <v>146.65041999999085</v>
      </c>
      <c r="AA208" s="121">
        <f>SUM(AA187:AA206)</f>
        <v>26390.838269999997</v>
      </c>
      <c r="AB208" s="121">
        <f>SUM(AB187:AB206)</f>
        <v>146.65019000000001</v>
      </c>
    </row>
    <row r="209" spans="1:28" hidden="1" x14ac:dyDescent="0.3">
      <c r="A209" s="117"/>
      <c r="E209" s="86" t="s">
        <v>29</v>
      </c>
      <c r="F209" s="86" t="s">
        <v>29</v>
      </c>
      <c r="G209" s="86" t="s">
        <v>29</v>
      </c>
      <c r="H209" s="86" t="s">
        <v>29</v>
      </c>
      <c r="I209" s="86" t="s">
        <v>29</v>
      </c>
      <c r="J209" s="86" t="s">
        <v>29</v>
      </c>
      <c r="K209" s="86" t="s">
        <v>29</v>
      </c>
      <c r="L209" s="86" t="s">
        <v>29</v>
      </c>
      <c r="M209" s="86" t="s">
        <v>29</v>
      </c>
      <c r="N209" s="86" t="s">
        <v>29</v>
      </c>
      <c r="O209" s="86" t="s">
        <v>29</v>
      </c>
      <c r="P209" s="86" t="s">
        <v>29</v>
      </c>
      <c r="Q209" s="86" t="s">
        <v>29</v>
      </c>
      <c r="R209" s="86" t="s">
        <v>29</v>
      </c>
      <c r="S209" s="86" t="s">
        <v>29</v>
      </c>
      <c r="T209" s="86" t="s">
        <v>29</v>
      </c>
      <c r="U209" s="86" t="s">
        <v>29</v>
      </c>
      <c r="V209" s="86" t="s">
        <v>29</v>
      </c>
      <c r="W209" s="86" t="s">
        <v>29</v>
      </c>
      <c r="X209" s="85" t="e">
        <f t="shared" si="19"/>
        <v>#VALUE!</v>
      </c>
      <c r="Y209" s="86" t="s">
        <v>29</v>
      </c>
      <c r="Z209" s="85" t="e">
        <f t="shared" si="22"/>
        <v>#VALUE!</v>
      </c>
      <c r="AA209" s="115" t="s">
        <v>29</v>
      </c>
      <c r="AB209" s="115" t="s">
        <v>29</v>
      </c>
    </row>
    <row r="210" spans="1:28" hidden="1" x14ac:dyDescent="0.3">
      <c r="A210" s="105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6"/>
      <c r="T210" s="86"/>
      <c r="U210" s="86"/>
      <c r="V210" s="86"/>
      <c r="W210" s="86"/>
      <c r="X210" s="85">
        <f t="shared" si="19"/>
        <v>0</v>
      </c>
      <c r="Y210" s="86"/>
      <c r="Z210" s="85">
        <f t="shared" si="22"/>
        <v>0</v>
      </c>
      <c r="AA210" s="118"/>
    </row>
    <row r="211" spans="1:28" hidden="1" x14ac:dyDescent="0.3">
      <c r="A211" s="117"/>
      <c r="C211" s="68" t="s">
        <v>523</v>
      </c>
      <c r="D211" s="87" t="s">
        <v>166</v>
      </c>
      <c r="E211" s="85">
        <f>STATS1003B!E211/1000</f>
        <v>2968</v>
      </c>
      <c r="F211" s="85">
        <f>STATS1003B!F211/1000</f>
        <v>2968</v>
      </c>
      <c r="G211" s="85">
        <f>STATS1003B!G211/1000</f>
        <v>0</v>
      </c>
      <c r="H211" s="85">
        <f>STATS1003B!H211/1000</f>
        <v>2968</v>
      </c>
      <c r="I211" s="85">
        <f>STATS1003B!I211/1000</f>
        <v>5936</v>
      </c>
      <c r="J211" s="85">
        <f>STATS1003B!J211/1000</f>
        <v>0</v>
      </c>
      <c r="K211" s="85">
        <f>STATS1003B!K211/1000</f>
        <v>5936</v>
      </c>
      <c r="L211" s="85">
        <f>STATS1003B!L211/1000</f>
        <v>0</v>
      </c>
      <c r="M211" s="85">
        <f>STATS1003B!M211/1000</f>
        <v>2968</v>
      </c>
      <c r="N211" s="85">
        <f>STATS1003B!N211/1000</f>
        <v>0</v>
      </c>
      <c r="O211" s="85">
        <f>STATS1003B!O211/1000</f>
        <v>0</v>
      </c>
      <c r="P211" s="85">
        <f>STATS1003B!P211/1000</f>
        <v>0</v>
      </c>
      <c r="Q211" s="85">
        <f>STATS1003B!Q211/1000</f>
        <v>5936</v>
      </c>
      <c r="R211" s="85">
        <f>STATS1003B!R211/1000</f>
        <v>-2968</v>
      </c>
      <c r="S211" s="85">
        <f>STATS1003B!S211/1000</f>
        <v>0</v>
      </c>
      <c r="T211" s="85">
        <f>STATS1003B!T211/1000</f>
        <v>0</v>
      </c>
      <c r="U211" s="85">
        <f>STATS1003B!U211/1000</f>
        <v>0</v>
      </c>
      <c r="V211" s="85">
        <f>STATS1003B!V211/1000</f>
        <v>0</v>
      </c>
      <c r="W211" s="85">
        <f>STATS1003B!W211/1000</f>
        <v>0</v>
      </c>
      <c r="X211" s="85">
        <f t="shared" si="19"/>
        <v>2968</v>
      </c>
      <c r="Y211" s="85">
        <f>STATS1003B!Y211/1000</f>
        <v>0</v>
      </c>
      <c r="Z211" s="85">
        <f t="shared" si="22"/>
        <v>0</v>
      </c>
      <c r="AA211" s="69">
        <f>STATS1003B!AA211/1000</f>
        <v>2968</v>
      </c>
      <c r="AB211" s="69">
        <f>STATS1003B!AB211/1000</f>
        <v>0</v>
      </c>
    </row>
    <row r="212" spans="1:28" hidden="1" x14ac:dyDescent="0.3">
      <c r="A212" s="117"/>
      <c r="C212" s="68" t="s">
        <v>524</v>
      </c>
      <c r="D212" s="87" t="s">
        <v>78</v>
      </c>
      <c r="E212" s="85">
        <f>STATS1003B!E212/1000</f>
        <v>3722.1</v>
      </c>
      <c r="F212" s="85">
        <f>STATS1003B!F212/1000</f>
        <v>3005.34618</v>
      </c>
      <c r="G212" s="85">
        <f>STATS1003B!G212/1000</f>
        <v>0</v>
      </c>
      <c r="H212" s="85">
        <f>STATS1003B!H212/1000</f>
        <v>3005.34618</v>
      </c>
      <c r="I212" s="85">
        <f>STATS1003B!I212/1000</f>
        <v>6010.69236</v>
      </c>
      <c r="J212" s="85">
        <f>STATS1003B!J212/1000</f>
        <v>0</v>
      </c>
      <c r="K212" s="85">
        <f>STATS1003B!K212/1000</f>
        <v>6010.69236</v>
      </c>
      <c r="L212" s="85">
        <f>STATS1003B!L212/1000</f>
        <v>0</v>
      </c>
      <c r="M212" s="85">
        <f>STATS1003B!M212/1000</f>
        <v>3005.34618</v>
      </c>
      <c r="N212" s="85">
        <f>STATS1003B!N212/1000</f>
        <v>716.75381999999991</v>
      </c>
      <c r="O212" s="85">
        <f>STATS1003B!O212/1000</f>
        <v>0</v>
      </c>
      <c r="P212" s="85">
        <f>STATS1003B!P212/1000</f>
        <v>716.75381999999991</v>
      </c>
      <c r="Q212" s="85">
        <f>STATS1003B!Q212/1000</f>
        <v>6727.4461800000008</v>
      </c>
      <c r="R212" s="85">
        <f>STATS1003B!R212/1000</f>
        <v>-3005.3461800000005</v>
      </c>
      <c r="S212" s="85">
        <f>STATS1003B!S212/1000</f>
        <v>0</v>
      </c>
      <c r="T212" s="85">
        <f>STATS1003B!T212/1000</f>
        <v>0</v>
      </c>
      <c r="U212" s="85">
        <f>STATS1003B!U212/1000</f>
        <v>716.75381999999991</v>
      </c>
      <c r="V212" s="85">
        <f>STATS1003B!V212/1000</f>
        <v>0</v>
      </c>
      <c r="W212" s="85">
        <f>STATS1003B!W212/1000</f>
        <v>0</v>
      </c>
      <c r="X212" s="85">
        <f t="shared" si="19"/>
        <v>3722.1</v>
      </c>
      <c r="Y212" s="85">
        <f>STATS1003B!Y212/1000</f>
        <v>0</v>
      </c>
      <c r="Z212" s="85">
        <f t="shared" si="22"/>
        <v>0</v>
      </c>
      <c r="AA212" s="69">
        <f>STATS1003B!AA212/1000</f>
        <v>3722.1</v>
      </c>
      <c r="AB212" s="69">
        <f>STATS1003B!AB212/1000</f>
        <v>0</v>
      </c>
    </row>
    <row r="213" spans="1:28" hidden="1" x14ac:dyDescent="0.3">
      <c r="A213" s="117"/>
      <c r="C213" s="68" t="s">
        <v>512</v>
      </c>
      <c r="D213" s="87" t="s">
        <v>78</v>
      </c>
      <c r="E213" s="85">
        <f>STATS1003B!E213/1000</f>
        <v>570.89691000000005</v>
      </c>
      <c r="F213" s="85">
        <f>STATS1003B!F213/1000</f>
        <v>0</v>
      </c>
      <c r="G213" s="85">
        <f>STATS1003B!G213/1000</f>
        <v>0</v>
      </c>
      <c r="H213" s="85">
        <f>STATS1003B!H213/1000</f>
        <v>0</v>
      </c>
      <c r="I213" s="85">
        <f>STATS1003B!I213/1000</f>
        <v>0</v>
      </c>
      <c r="J213" s="85">
        <f>STATS1003B!J213/1000</f>
        <v>0</v>
      </c>
      <c r="K213" s="85">
        <f>STATS1003B!K213/1000</f>
        <v>0</v>
      </c>
      <c r="L213" s="85">
        <f>STATS1003B!L213/1000</f>
        <v>0</v>
      </c>
      <c r="M213" s="85">
        <f>STATS1003B!M213/1000</f>
        <v>0</v>
      </c>
      <c r="N213" s="85">
        <f>STATS1003B!N213/1000</f>
        <v>570.89691000000005</v>
      </c>
      <c r="O213" s="85">
        <f>STATS1003B!O213/1000</f>
        <v>0</v>
      </c>
      <c r="P213" s="85">
        <f>STATS1003B!P213/1000</f>
        <v>570.89691000000005</v>
      </c>
      <c r="Q213" s="85">
        <f>STATS1003B!Q213/1000</f>
        <v>570.89691000000005</v>
      </c>
      <c r="R213" s="85">
        <f>STATS1003B!R213/1000</f>
        <v>0</v>
      </c>
      <c r="S213" s="85">
        <f>STATS1003B!S213/1000</f>
        <v>0</v>
      </c>
      <c r="T213" s="85">
        <f>STATS1003B!T213/1000</f>
        <v>0</v>
      </c>
      <c r="U213" s="85">
        <f>STATS1003B!U213/1000</f>
        <v>570.89691000000005</v>
      </c>
      <c r="V213" s="85">
        <f>STATS1003B!V213/1000</f>
        <v>0</v>
      </c>
      <c r="W213" s="85">
        <f>STATS1003B!W213/1000</f>
        <v>0</v>
      </c>
      <c r="X213" s="85">
        <f t="shared" ref="X213:X234" si="26">+H213+P213</f>
        <v>570.89691000000005</v>
      </c>
      <c r="Y213" s="85">
        <f>STATS1003B!Y213/1000</f>
        <v>0</v>
      </c>
      <c r="Z213" s="85">
        <f t="shared" si="22"/>
        <v>0</v>
      </c>
      <c r="AA213" s="69">
        <f>STATS1003B!AA213/1000</f>
        <v>570.89691000000005</v>
      </c>
      <c r="AB213" s="69">
        <f>STATS1003B!AB213/1000</f>
        <v>0</v>
      </c>
    </row>
    <row r="214" spans="1:28" hidden="1" x14ac:dyDescent="0.3">
      <c r="A214" s="117"/>
      <c r="C214" s="68" t="s">
        <v>514</v>
      </c>
      <c r="D214" s="88" t="s">
        <v>68</v>
      </c>
      <c r="E214" s="85">
        <f>STATS1003B!E214/1000</f>
        <v>1386.9682399999999</v>
      </c>
      <c r="F214" s="85">
        <f>STATS1003B!F214/1000</f>
        <v>0</v>
      </c>
      <c r="G214" s="85">
        <f>STATS1003B!G214/1000</f>
        <v>0</v>
      </c>
      <c r="H214" s="85">
        <f>STATS1003B!H214/1000</f>
        <v>0</v>
      </c>
      <c r="I214" s="85">
        <f>STATS1003B!I214/1000</f>
        <v>0</v>
      </c>
      <c r="J214" s="85">
        <f>STATS1003B!J214/1000</f>
        <v>0</v>
      </c>
      <c r="K214" s="85">
        <f>STATS1003B!K214/1000</f>
        <v>0</v>
      </c>
      <c r="L214" s="85">
        <f>STATS1003B!L214/1000</f>
        <v>0</v>
      </c>
      <c r="M214" s="85">
        <f>STATS1003B!M214/1000</f>
        <v>0</v>
      </c>
      <c r="N214" s="85">
        <f>STATS1003B!N214/1000</f>
        <v>1386.9682399999999</v>
      </c>
      <c r="O214" s="85">
        <f>STATS1003B!O214/1000</f>
        <v>0</v>
      </c>
      <c r="P214" s="85">
        <f>STATS1003B!P214/1000</f>
        <v>1386.9682399999999</v>
      </c>
      <c r="Q214" s="85">
        <f>STATS1003B!Q214/1000</f>
        <v>1386.9682399999999</v>
      </c>
      <c r="R214" s="85">
        <f>STATS1003B!R214/1000</f>
        <v>0</v>
      </c>
      <c r="S214" s="85">
        <f>STATS1003B!S214/1000</f>
        <v>0</v>
      </c>
      <c r="T214" s="85">
        <f>STATS1003B!T214/1000</f>
        <v>0</v>
      </c>
      <c r="U214" s="85">
        <f>STATS1003B!U214/1000</f>
        <v>1386.9682399999999</v>
      </c>
      <c r="V214" s="85">
        <f>STATS1003B!V214/1000</f>
        <v>0</v>
      </c>
      <c r="W214" s="85">
        <f>STATS1003B!W214/1000</f>
        <v>0</v>
      </c>
      <c r="X214" s="85">
        <f t="shared" si="26"/>
        <v>1386.9682399999999</v>
      </c>
      <c r="Y214" s="85">
        <f>STATS1003B!Y214/1000</f>
        <v>0</v>
      </c>
      <c r="Z214" s="85">
        <f t="shared" si="22"/>
        <v>0</v>
      </c>
      <c r="AA214" s="69">
        <f>STATS1003B!AA214/1000</f>
        <v>1386.9682399999999</v>
      </c>
      <c r="AB214" s="69">
        <f>STATS1003B!AB214/1000</f>
        <v>0</v>
      </c>
    </row>
    <row r="215" spans="1:28" hidden="1" x14ac:dyDescent="0.3">
      <c r="A215" s="117"/>
      <c r="C215" s="68" t="s">
        <v>513</v>
      </c>
      <c r="D215" s="88" t="s">
        <v>68</v>
      </c>
      <c r="E215" s="85">
        <f>STATS1003B!E215/1000</f>
        <v>946.12295999999992</v>
      </c>
      <c r="F215" s="85">
        <f>STATS1003B!F215/1000</f>
        <v>931.56600000000003</v>
      </c>
      <c r="G215" s="85">
        <f>STATS1003B!G215/1000</f>
        <v>0</v>
      </c>
      <c r="H215" s="85">
        <f>STATS1003B!H215/1000</f>
        <v>931.56600000000003</v>
      </c>
      <c r="I215" s="85">
        <f>STATS1003B!I215/1000</f>
        <v>1863.1320000000001</v>
      </c>
      <c r="J215" s="85">
        <f>STATS1003B!J215/1000</f>
        <v>0</v>
      </c>
      <c r="K215" s="85">
        <f>STATS1003B!K215/1000</f>
        <v>1863.1320000000001</v>
      </c>
      <c r="L215" s="85">
        <f>STATS1003B!L215/1000</f>
        <v>0</v>
      </c>
      <c r="M215" s="85">
        <f>STATS1003B!M215/1000</f>
        <v>931.56600000000003</v>
      </c>
      <c r="N215" s="85">
        <f>STATS1003B!N215/1000</f>
        <v>14.556959999999998</v>
      </c>
      <c r="O215" s="85">
        <f>STATS1003B!O215/1000</f>
        <v>0</v>
      </c>
      <c r="P215" s="85">
        <f>STATS1003B!P215/1000</f>
        <v>14.556959999999998</v>
      </c>
      <c r="Q215" s="85">
        <f>STATS1003B!Q215/1000</f>
        <v>1877.68896</v>
      </c>
      <c r="R215" s="85">
        <f>STATS1003B!R215/1000</f>
        <v>-931.56600000000003</v>
      </c>
      <c r="S215" s="85">
        <f>STATS1003B!S215/1000</f>
        <v>0</v>
      </c>
      <c r="T215" s="85">
        <f>STATS1003B!T215/1000</f>
        <v>0</v>
      </c>
      <c r="U215" s="85">
        <f>STATS1003B!U215/1000</f>
        <v>14.556959999999998</v>
      </c>
      <c r="V215" s="85">
        <f>STATS1003B!V215/1000</f>
        <v>0</v>
      </c>
      <c r="W215" s="85">
        <f>STATS1003B!W215/1000</f>
        <v>0</v>
      </c>
      <c r="X215" s="85">
        <f t="shared" si="26"/>
        <v>946.12296000000003</v>
      </c>
      <c r="Y215" s="85">
        <f>STATS1003B!Y215/1000</f>
        <v>0</v>
      </c>
      <c r="Z215" s="85">
        <f t="shared" si="22"/>
        <v>0</v>
      </c>
      <c r="AA215" s="69">
        <f>STATS1003B!AA215/1000</f>
        <v>946.12295999999992</v>
      </c>
      <c r="AB215" s="69">
        <f>STATS1003B!AB215/1000</f>
        <v>0</v>
      </c>
    </row>
    <row r="216" spans="1:28" hidden="1" x14ac:dyDescent="0.3">
      <c r="A216" s="117"/>
      <c r="C216" s="68" t="s">
        <v>525</v>
      </c>
      <c r="D216" s="88" t="s">
        <v>54</v>
      </c>
      <c r="E216" s="85">
        <f>STATS1003B!E216/1000</f>
        <v>1767.77</v>
      </c>
      <c r="F216" s="85">
        <f>STATS1003B!F216/1000</f>
        <v>0</v>
      </c>
      <c r="G216" s="85">
        <f>STATS1003B!G216/1000</f>
        <v>0</v>
      </c>
      <c r="H216" s="85">
        <f>STATS1003B!H216/1000</f>
        <v>0</v>
      </c>
      <c r="I216" s="85">
        <f>STATS1003B!I216/1000</f>
        <v>0</v>
      </c>
      <c r="J216" s="85">
        <f>STATS1003B!J216/1000</f>
        <v>0</v>
      </c>
      <c r="K216" s="85">
        <f>STATS1003B!K216/1000</f>
        <v>0</v>
      </c>
      <c r="L216" s="85">
        <f>STATS1003B!L216/1000</f>
        <v>0</v>
      </c>
      <c r="M216" s="85">
        <f>STATS1003B!M216/1000</f>
        <v>0</v>
      </c>
      <c r="N216" s="85">
        <f>STATS1003B!N216/1000</f>
        <v>1767.77</v>
      </c>
      <c r="O216" s="85">
        <f>STATS1003B!O216/1000</f>
        <v>0</v>
      </c>
      <c r="P216" s="85">
        <f>STATS1003B!P216/1000</f>
        <v>1767.77</v>
      </c>
      <c r="Q216" s="85">
        <f>STATS1003B!Q216/1000</f>
        <v>1767.77</v>
      </c>
      <c r="R216" s="85">
        <f>STATS1003B!R216/1000</f>
        <v>0</v>
      </c>
      <c r="S216" s="85">
        <f>STATS1003B!S216/1000</f>
        <v>0</v>
      </c>
      <c r="T216" s="85">
        <f>STATS1003B!T216/1000</f>
        <v>0</v>
      </c>
      <c r="U216" s="85">
        <f>STATS1003B!U216/1000</f>
        <v>1767.77</v>
      </c>
      <c r="V216" s="85">
        <f>STATS1003B!V216/1000</f>
        <v>0</v>
      </c>
      <c r="W216" s="85">
        <f>STATS1003B!W216/1000</f>
        <v>0</v>
      </c>
      <c r="X216" s="85">
        <f t="shared" si="26"/>
        <v>1767.77</v>
      </c>
      <c r="Y216" s="85">
        <f>STATS1003B!Y216/1000</f>
        <v>0</v>
      </c>
      <c r="Z216" s="85">
        <f t="shared" si="22"/>
        <v>0</v>
      </c>
      <c r="AA216" s="69">
        <f>STATS1003B!AA216/1000</f>
        <v>1767.77</v>
      </c>
      <c r="AB216" s="69">
        <f>STATS1003B!AB216/1000</f>
        <v>0</v>
      </c>
    </row>
    <row r="217" spans="1:28" hidden="1" x14ac:dyDescent="0.3">
      <c r="A217" s="117"/>
      <c r="C217" s="68" t="s">
        <v>526</v>
      </c>
      <c r="D217" s="87" t="s">
        <v>85</v>
      </c>
      <c r="E217" s="85">
        <f>STATS1003B!E217/1000</f>
        <v>3377.7133799999997</v>
      </c>
      <c r="F217" s="85">
        <f>STATS1003B!F217/1000</f>
        <v>3377.7133799999997</v>
      </c>
      <c r="G217" s="85">
        <f>STATS1003B!G217/1000</f>
        <v>0</v>
      </c>
      <c r="H217" s="85">
        <f>STATS1003B!H217/1000</f>
        <v>3377.7133799999997</v>
      </c>
      <c r="I217" s="85">
        <f>STATS1003B!I217/1000</f>
        <v>6755.4267599999994</v>
      </c>
      <c r="J217" s="85">
        <f>STATS1003B!J217/1000</f>
        <v>0</v>
      </c>
      <c r="K217" s="85">
        <f>STATS1003B!K217/1000</f>
        <v>6755.4267599999994</v>
      </c>
      <c r="L217" s="85">
        <f>STATS1003B!L217/1000</f>
        <v>0</v>
      </c>
      <c r="M217" s="85">
        <f>STATS1003B!M217/1000</f>
        <v>3377.7133799999997</v>
      </c>
      <c r="N217" s="85">
        <f>STATS1003B!N217/1000</f>
        <v>0</v>
      </c>
      <c r="O217" s="85">
        <f>STATS1003B!O217/1000</f>
        <v>0</v>
      </c>
      <c r="P217" s="85">
        <f>STATS1003B!P217/1000</f>
        <v>0</v>
      </c>
      <c r="Q217" s="85">
        <f>STATS1003B!Q217/1000</f>
        <v>6755.4267599999994</v>
      </c>
      <c r="R217" s="85">
        <f>STATS1003B!R217/1000</f>
        <v>-3377.7133799999997</v>
      </c>
      <c r="S217" s="85">
        <f>STATS1003B!S217/1000</f>
        <v>0</v>
      </c>
      <c r="T217" s="85">
        <f>STATS1003B!T217/1000</f>
        <v>0</v>
      </c>
      <c r="U217" s="85">
        <f>STATS1003B!U217/1000</f>
        <v>0</v>
      </c>
      <c r="V217" s="85">
        <f>STATS1003B!V217/1000</f>
        <v>0</v>
      </c>
      <c r="W217" s="85">
        <f>STATS1003B!W217/1000</f>
        <v>0</v>
      </c>
      <c r="X217" s="85">
        <f t="shared" si="26"/>
        <v>3377.7133799999997</v>
      </c>
      <c r="Y217" s="85">
        <f>STATS1003B!Y217/1000</f>
        <v>0</v>
      </c>
      <c r="Z217" s="85">
        <f t="shared" si="22"/>
        <v>0</v>
      </c>
      <c r="AA217" s="69">
        <f>STATS1003B!AA217/1000</f>
        <v>3377.7133799999997</v>
      </c>
      <c r="AB217" s="69">
        <f>STATS1003B!AB217/1000</f>
        <v>0</v>
      </c>
    </row>
    <row r="218" spans="1:28" hidden="1" x14ac:dyDescent="0.3">
      <c r="A218" s="117"/>
      <c r="C218" s="68" t="s">
        <v>527</v>
      </c>
      <c r="D218" s="87" t="s">
        <v>85</v>
      </c>
      <c r="E218" s="85">
        <f>STATS1003B!E218/1000</f>
        <v>2479.8653599999998</v>
      </c>
      <c r="F218" s="85">
        <f>STATS1003B!F218/1000</f>
        <v>0</v>
      </c>
      <c r="G218" s="85">
        <f>STATS1003B!G218/1000</f>
        <v>0</v>
      </c>
      <c r="H218" s="85">
        <f>STATS1003B!H218/1000</f>
        <v>0</v>
      </c>
      <c r="I218" s="85">
        <f>STATS1003B!I218/1000</f>
        <v>0</v>
      </c>
      <c r="J218" s="85">
        <f>STATS1003B!J218/1000</f>
        <v>0</v>
      </c>
      <c r="K218" s="85">
        <f>STATS1003B!K218/1000</f>
        <v>0</v>
      </c>
      <c r="L218" s="85">
        <f>STATS1003B!L218/1000</f>
        <v>0</v>
      </c>
      <c r="M218" s="85">
        <f>STATS1003B!M218/1000</f>
        <v>0</v>
      </c>
      <c r="N218" s="85">
        <f>STATS1003B!N218/1000</f>
        <v>2479.8653599999998</v>
      </c>
      <c r="O218" s="85">
        <f>STATS1003B!O218/1000</f>
        <v>0</v>
      </c>
      <c r="P218" s="85">
        <f>STATS1003B!P218/1000</f>
        <v>2479.8653599999998</v>
      </c>
      <c r="Q218" s="85">
        <f>STATS1003B!Q218/1000</f>
        <v>2479.8653599999998</v>
      </c>
      <c r="R218" s="85">
        <f>STATS1003B!R218/1000</f>
        <v>0</v>
      </c>
      <c r="S218" s="85">
        <f>STATS1003B!S218/1000</f>
        <v>0</v>
      </c>
      <c r="T218" s="85">
        <f>STATS1003B!T218/1000</f>
        <v>0</v>
      </c>
      <c r="U218" s="85">
        <f>STATS1003B!U218/1000</f>
        <v>2479.8653599999998</v>
      </c>
      <c r="V218" s="85">
        <f>STATS1003B!V218/1000</f>
        <v>0</v>
      </c>
      <c r="W218" s="85">
        <f>STATS1003B!W218/1000</f>
        <v>0</v>
      </c>
      <c r="X218" s="85">
        <f t="shared" si="26"/>
        <v>2479.8653599999998</v>
      </c>
      <c r="Y218" s="85">
        <f>STATS1003B!Y218/1000</f>
        <v>0</v>
      </c>
      <c r="Z218" s="85">
        <f t="shared" si="22"/>
        <v>0</v>
      </c>
      <c r="AA218" s="69">
        <f>STATS1003B!AA218/1000</f>
        <v>2479.8653599999998</v>
      </c>
      <c r="AB218" s="69">
        <f>STATS1003B!AB218/1000</f>
        <v>0</v>
      </c>
    </row>
    <row r="219" spans="1:28" hidden="1" x14ac:dyDescent="0.3">
      <c r="A219" s="117"/>
      <c r="C219" s="68" t="s">
        <v>528</v>
      </c>
      <c r="D219" s="87" t="s">
        <v>85</v>
      </c>
      <c r="E219" s="85">
        <f>STATS1003B!E219/1000</f>
        <v>3610.8</v>
      </c>
      <c r="F219" s="85">
        <f>STATS1003B!F219/1000</f>
        <v>3610.8</v>
      </c>
      <c r="G219" s="85">
        <f>STATS1003B!G219/1000</f>
        <v>0</v>
      </c>
      <c r="H219" s="85">
        <f>STATS1003B!H219/1000</f>
        <v>3610.8</v>
      </c>
      <c r="I219" s="85">
        <f>STATS1003B!I219/1000</f>
        <v>7221.6</v>
      </c>
      <c r="J219" s="85">
        <f>STATS1003B!J219/1000</f>
        <v>0</v>
      </c>
      <c r="K219" s="85">
        <f>STATS1003B!K219/1000</f>
        <v>7221.6</v>
      </c>
      <c r="L219" s="85">
        <f>STATS1003B!L219/1000</f>
        <v>0</v>
      </c>
      <c r="M219" s="85">
        <f>STATS1003B!M219/1000</f>
        <v>3610.8</v>
      </c>
      <c r="N219" s="85">
        <f>STATS1003B!N219/1000</f>
        <v>0</v>
      </c>
      <c r="O219" s="85">
        <f>STATS1003B!O219/1000</f>
        <v>0</v>
      </c>
      <c r="P219" s="85">
        <f>STATS1003B!P219/1000</f>
        <v>0</v>
      </c>
      <c r="Q219" s="85">
        <f>STATS1003B!Q219/1000</f>
        <v>7221.6</v>
      </c>
      <c r="R219" s="85">
        <f>STATS1003B!R219/1000</f>
        <v>-3610.8</v>
      </c>
      <c r="S219" s="85">
        <f>STATS1003B!S219/1000</f>
        <v>0</v>
      </c>
      <c r="T219" s="85">
        <f>STATS1003B!T219/1000</f>
        <v>0</v>
      </c>
      <c r="U219" s="85">
        <f>STATS1003B!U219/1000</f>
        <v>0</v>
      </c>
      <c r="V219" s="85">
        <f>STATS1003B!V219/1000</f>
        <v>0</v>
      </c>
      <c r="W219" s="85">
        <f>STATS1003B!W219/1000</f>
        <v>0</v>
      </c>
      <c r="X219" s="85">
        <f t="shared" si="26"/>
        <v>3610.8</v>
      </c>
      <c r="Y219" s="85">
        <f>STATS1003B!Y219/1000</f>
        <v>0</v>
      </c>
      <c r="Z219" s="85">
        <f t="shared" si="22"/>
        <v>0</v>
      </c>
      <c r="AA219" s="69">
        <f>STATS1003B!AA219/1000</f>
        <v>3610.8</v>
      </c>
      <c r="AB219" s="69">
        <f>STATS1003B!AB219/1000</f>
        <v>0</v>
      </c>
    </row>
    <row r="220" spans="1:28" hidden="1" x14ac:dyDescent="0.3">
      <c r="A220" s="117"/>
      <c r="C220" s="68" t="s">
        <v>528</v>
      </c>
      <c r="D220" s="87" t="s">
        <v>128</v>
      </c>
      <c r="E220" s="85">
        <f>STATS1003B!E220/1000</f>
        <v>2000</v>
      </c>
      <c r="F220" s="85">
        <f>STATS1003B!F220/1000</f>
        <v>2000</v>
      </c>
      <c r="G220" s="85">
        <f>STATS1003B!G220/1000</f>
        <v>0</v>
      </c>
      <c r="H220" s="85">
        <f>STATS1003B!H220/1000</f>
        <v>2000</v>
      </c>
      <c r="I220" s="85">
        <f>STATS1003B!I220/1000</f>
        <v>4000</v>
      </c>
      <c r="J220" s="85">
        <f>STATS1003B!J220/1000</f>
        <v>0</v>
      </c>
      <c r="K220" s="85">
        <f>STATS1003B!K220/1000</f>
        <v>4000</v>
      </c>
      <c r="L220" s="85">
        <f>STATS1003B!L220/1000</f>
        <v>0</v>
      </c>
      <c r="M220" s="85">
        <f>STATS1003B!M220/1000</f>
        <v>2000</v>
      </c>
      <c r="N220" s="85">
        <f>STATS1003B!N220/1000</f>
        <v>0</v>
      </c>
      <c r="O220" s="85">
        <f>STATS1003B!O220/1000</f>
        <v>0</v>
      </c>
      <c r="P220" s="85">
        <f>STATS1003B!P220/1000</f>
        <v>0</v>
      </c>
      <c r="Q220" s="85">
        <f>STATS1003B!Q220/1000</f>
        <v>4000</v>
      </c>
      <c r="R220" s="85">
        <f>STATS1003B!R220/1000</f>
        <v>-2000</v>
      </c>
      <c r="S220" s="85">
        <f>STATS1003B!S220/1000</f>
        <v>0</v>
      </c>
      <c r="T220" s="85">
        <f>STATS1003B!T220/1000</f>
        <v>0</v>
      </c>
      <c r="U220" s="85">
        <f>STATS1003B!U220/1000</f>
        <v>0</v>
      </c>
      <c r="V220" s="85">
        <f>STATS1003B!V220/1000</f>
        <v>0</v>
      </c>
      <c r="W220" s="85">
        <f>STATS1003B!W220/1000</f>
        <v>0</v>
      </c>
      <c r="X220" s="85">
        <f t="shared" si="26"/>
        <v>2000</v>
      </c>
      <c r="Y220" s="85">
        <f>STATS1003B!Y220/1000</f>
        <v>0</v>
      </c>
      <c r="Z220" s="85">
        <f t="shared" si="22"/>
        <v>0</v>
      </c>
      <c r="AA220" s="69">
        <f>STATS1003B!AA220/1000</f>
        <v>2000</v>
      </c>
      <c r="AB220" s="69">
        <f>STATS1003B!AB220/1000</f>
        <v>0</v>
      </c>
    </row>
    <row r="221" spans="1:28" hidden="1" x14ac:dyDescent="0.3">
      <c r="A221" s="117"/>
      <c r="C221" s="68" t="s">
        <v>528</v>
      </c>
      <c r="D221" s="87" t="s">
        <v>88</v>
      </c>
      <c r="E221" s="85">
        <f>STATS1003B!E221/1000</f>
        <v>975.3</v>
      </c>
      <c r="F221" s="85">
        <f>STATS1003B!F221/1000</f>
        <v>975.3</v>
      </c>
      <c r="G221" s="85">
        <f>STATS1003B!G221/1000</f>
        <v>0</v>
      </c>
      <c r="H221" s="85">
        <f>STATS1003B!H221/1000</f>
        <v>975.3</v>
      </c>
      <c r="I221" s="85">
        <f>STATS1003B!I221/1000</f>
        <v>1950.6</v>
      </c>
      <c r="J221" s="85">
        <f>STATS1003B!J221/1000</f>
        <v>0</v>
      </c>
      <c r="K221" s="85">
        <f>STATS1003B!K221/1000</f>
        <v>1950.6</v>
      </c>
      <c r="L221" s="85">
        <f>STATS1003B!L221/1000</f>
        <v>0</v>
      </c>
      <c r="M221" s="85">
        <f>STATS1003B!M221/1000</f>
        <v>975.3</v>
      </c>
      <c r="N221" s="85">
        <f>STATS1003B!N221/1000</f>
        <v>0</v>
      </c>
      <c r="O221" s="85">
        <f>STATS1003B!O221/1000</f>
        <v>0</v>
      </c>
      <c r="P221" s="85">
        <f>STATS1003B!P221/1000</f>
        <v>0</v>
      </c>
      <c r="Q221" s="85">
        <f>STATS1003B!Q221/1000</f>
        <v>1950.6</v>
      </c>
      <c r="R221" s="85">
        <f>STATS1003B!R221/1000</f>
        <v>-975.3</v>
      </c>
      <c r="S221" s="85">
        <f>STATS1003B!S221/1000</f>
        <v>0</v>
      </c>
      <c r="T221" s="85">
        <f>STATS1003B!T221/1000</f>
        <v>0</v>
      </c>
      <c r="U221" s="85">
        <f>STATS1003B!U221/1000</f>
        <v>0</v>
      </c>
      <c r="V221" s="85">
        <f>STATS1003B!V221/1000</f>
        <v>0</v>
      </c>
      <c r="W221" s="85">
        <f>STATS1003B!W221/1000</f>
        <v>0</v>
      </c>
      <c r="X221" s="85">
        <f t="shared" si="26"/>
        <v>975.3</v>
      </c>
      <c r="Y221" s="85">
        <f>STATS1003B!Y221/1000</f>
        <v>0</v>
      </c>
      <c r="Z221" s="85">
        <f t="shared" si="22"/>
        <v>0</v>
      </c>
      <c r="AA221" s="69">
        <f>STATS1003B!AA221/1000</f>
        <v>975.3</v>
      </c>
      <c r="AB221" s="69">
        <f>STATS1003B!AB221/1000</f>
        <v>0</v>
      </c>
    </row>
    <row r="222" spans="1:28" hidden="1" x14ac:dyDescent="0.3">
      <c r="A222" s="117"/>
      <c r="C222" s="68" t="s">
        <v>528</v>
      </c>
      <c r="D222" s="87" t="s">
        <v>58</v>
      </c>
      <c r="E222" s="85">
        <f>STATS1003B!E222/1000</f>
        <v>8450.7340000000004</v>
      </c>
      <c r="F222" s="85">
        <f>STATS1003B!F222/1000</f>
        <v>5721.26</v>
      </c>
      <c r="G222" s="85">
        <f>STATS1003B!G222/1000</f>
        <v>0</v>
      </c>
      <c r="H222" s="85">
        <f>STATS1003B!H222/1000</f>
        <v>5721.26</v>
      </c>
      <c r="I222" s="85">
        <f>STATS1003B!I222/1000</f>
        <v>11442.52</v>
      </c>
      <c r="J222" s="85">
        <f>STATS1003B!J222/1000</f>
        <v>2729.4740000000002</v>
      </c>
      <c r="K222" s="85">
        <f>STATS1003B!K222/1000</f>
        <v>14171.994000000001</v>
      </c>
      <c r="L222" s="85">
        <f>STATS1003B!L222/1000</f>
        <v>2729.4740000000002</v>
      </c>
      <c r="M222" s="85">
        <f>STATS1003B!M222/1000</f>
        <v>8450.7340000000004</v>
      </c>
      <c r="N222" s="85">
        <f>STATS1003B!N222/1000</f>
        <v>0</v>
      </c>
      <c r="O222" s="85">
        <f>STATS1003B!O222/1000</f>
        <v>0</v>
      </c>
      <c r="P222" s="85">
        <f>STATS1003B!P222/1000</f>
        <v>0</v>
      </c>
      <c r="Q222" s="85">
        <f>STATS1003B!Q222/1000</f>
        <v>14171.994000000001</v>
      </c>
      <c r="R222" s="85">
        <f>STATS1003B!R222/1000</f>
        <v>-5721.26</v>
      </c>
      <c r="S222" s="85">
        <f>STATS1003B!S222/1000</f>
        <v>0</v>
      </c>
      <c r="T222" s="85">
        <f>STATS1003B!T222/1000</f>
        <v>0</v>
      </c>
      <c r="U222" s="85">
        <f>STATS1003B!U222/1000</f>
        <v>0</v>
      </c>
      <c r="V222" s="85">
        <f>STATS1003B!V222/1000</f>
        <v>0</v>
      </c>
      <c r="W222" s="85">
        <f>STATS1003B!W222/1000</f>
        <v>0</v>
      </c>
      <c r="X222" s="85">
        <f t="shared" si="26"/>
        <v>5721.26</v>
      </c>
      <c r="Y222" s="85">
        <f>STATS1003B!Y222/1000</f>
        <v>0</v>
      </c>
      <c r="Z222" s="85">
        <f t="shared" si="22"/>
        <v>2729.4740000000002</v>
      </c>
      <c r="AA222" s="69">
        <f>STATS1003B!AA222/1000</f>
        <v>8450.7340000000004</v>
      </c>
      <c r="AB222" s="69">
        <f>STATS1003B!AB222/1000</f>
        <v>0</v>
      </c>
    </row>
    <row r="223" spans="1:28" hidden="1" x14ac:dyDescent="0.3">
      <c r="A223" s="117"/>
      <c r="C223" s="68" t="s">
        <v>528</v>
      </c>
      <c r="D223" s="87" t="s">
        <v>60</v>
      </c>
      <c r="E223" s="85">
        <f>STATS1003B!E223/1000</f>
        <v>3000</v>
      </c>
      <c r="F223" s="85">
        <f>STATS1003B!F223/1000</f>
        <v>3000</v>
      </c>
      <c r="G223" s="85">
        <f>STATS1003B!G223/1000</f>
        <v>0</v>
      </c>
      <c r="H223" s="85">
        <f>STATS1003B!H223/1000</f>
        <v>3000</v>
      </c>
      <c r="I223" s="85">
        <f>STATS1003B!I223/1000</f>
        <v>6000</v>
      </c>
      <c r="J223" s="85">
        <f>STATS1003B!J223/1000</f>
        <v>0</v>
      </c>
      <c r="K223" s="85">
        <f>STATS1003B!K223/1000</f>
        <v>6000</v>
      </c>
      <c r="L223" s="85">
        <f>STATS1003B!L223/1000</f>
        <v>0</v>
      </c>
      <c r="M223" s="85">
        <f>STATS1003B!M223/1000</f>
        <v>3000</v>
      </c>
      <c r="N223" s="85">
        <f>STATS1003B!N223/1000</f>
        <v>0</v>
      </c>
      <c r="O223" s="85">
        <f>STATS1003B!O223/1000</f>
        <v>0</v>
      </c>
      <c r="P223" s="85">
        <f>STATS1003B!P223/1000</f>
        <v>0</v>
      </c>
      <c r="Q223" s="85">
        <f>STATS1003B!Q223/1000</f>
        <v>6000</v>
      </c>
      <c r="R223" s="85">
        <f>STATS1003B!R223/1000</f>
        <v>-3000</v>
      </c>
      <c r="S223" s="85">
        <f>STATS1003B!S223/1000</f>
        <v>0</v>
      </c>
      <c r="T223" s="85">
        <f>STATS1003B!T223/1000</f>
        <v>0</v>
      </c>
      <c r="U223" s="85">
        <f>STATS1003B!U223/1000</f>
        <v>0</v>
      </c>
      <c r="V223" s="85">
        <f>STATS1003B!V223/1000</f>
        <v>0</v>
      </c>
      <c r="W223" s="85">
        <f>STATS1003B!W223/1000</f>
        <v>0</v>
      </c>
      <c r="X223" s="85">
        <f t="shared" si="26"/>
        <v>3000</v>
      </c>
      <c r="Y223" s="85">
        <f>STATS1003B!Y223/1000</f>
        <v>0</v>
      </c>
      <c r="Z223" s="85">
        <f t="shared" si="22"/>
        <v>0</v>
      </c>
      <c r="AA223" s="69">
        <f>STATS1003B!AA223/1000</f>
        <v>3000</v>
      </c>
      <c r="AB223" s="69">
        <f>STATS1003B!AB223/1000</f>
        <v>0</v>
      </c>
    </row>
    <row r="224" spans="1:28" hidden="1" x14ac:dyDescent="0.3">
      <c r="A224" s="117"/>
      <c r="C224" s="68" t="s">
        <v>528</v>
      </c>
      <c r="D224" s="87" t="s">
        <v>73</v>
      </c>
      <c r="E224" s="85">
        <f>STATS1003B!E224/1000</f>
        <v>4583.9279999999999</v>
      </c>
      <c r="F224" s="85">
        <f>STATS1003B!F224/1000</f>
        <v>4583.9279999999999</v>
      </c>
      <c r="G224" s="85">
        <f>STATS1003B!G224/1000</f>
        <v>0</v>
      </c>
      <c r="H224" s="85">
        <f>STATS1003B!H224/1000</f>
        <v>4583.9279999999999</v>
      </c>
      <c r="I224" s="85">
        <f>STATS1003B!I224/1000</f>
        <v>9167.8559999999998</v>
      </c>
      <c r="J224" s="85">
        <f>STATS1003B!J224/1000</f>
        <v>0</v>
      </c>
      <c r="K224" s="85">
        <f>STATS1003B!K224/1000</f>
        <v>9167.8559999999998</v>
      </c>
      <c r="L224" s="85">
        <f>STATS1003B!L224/1000</f>
        <v>0</v>
      </c>
      <c r="M224" s="85">
        <f>STATS1003B!M224/1000</f>
        <v>4583.9279999999999</v>
      </c>
      <c r="N224" s="85">
        <f>STATS1003B!N224/1000</f>
        <v>0</v>
      </c>
      <c r="O224" s="85">
        <f>STATS1003B!O224/1000</f>
        <v>0</v>
      </c>
      <c r="P224" s="85">
        <f>STATS1003B!P224/1000</f>
        <v>0</v>
      </c>
      <c r="Q224" s="85">
        <f>STATS1003B!Q224/1000</f>
        <v>9167.8559999999998</v>
      </c>
      <c r="R224" s="85">
        <f>STATS1003B!R224/1000</f>
        <v>-4583.9279999999999</v>
      </c>
      <c r="S224" s="85">
        <f>STATS1003B!S224/1000</f>
        <v>0</v>
      </c>
      <c r="T224" s="85">
        <f>STATS1003B!T224/1000</f>
        <v>0</v>
      </c>
      <c r="U224" s="85">
        <f>STATS1003B!U224/1000</f>
        <v>0</v>
      </c>
      <c r="V224" s="85">
        <f>STATS1003B!V224/1000</f>
        <v>0</v>
      </c>
      <c r="W224" s="85">
        <f>STATS1003B!W224/1000</f>
        <v>0</v>
      </c>
      <c r="X224" s="85">
        <f t="shared" si="26"/>
        <v>4583.9279999999999</v>
      </c>
      <c r="Y224" s="85">
        <f>STATS1003B!Y224/1000</f>
        <v>0</v>
      </c>
      <c r="Z224" s="85">
        <f t="shared" si="22"/>
        <v>0</v>
      </c>
      <c r="AA224" s="69">
        <f>STATS1003B!AA224/1000</f>
        <v>4583.9279999999999</v>
      </c>
      <c r="AB224" s="69">
        <f>STATS1003B!AB224/1000</f>
        <v>0</v>
      </c>
    </row>
    <row r="225" spans="1:28" hidden="1" x14ac:dyDescent="0.3">
      <c r="A225" s="117"/>
      <c r="C225" s="71" t="s">
        <v>1114</v>
      </c>
      <c r="D225" s="88" t="s">
        <v>73</v>
      </c>
      <c r="E225" s="85">
        <f>STATS1003B!E225/1000</f>
        <v>941.82386999999994</v>
      </c>
      <c r="F225" s="85">
        <f>STATS1003B!F225/1000</f>
        <v>941.82386999999994</v>
      </c>
      <c r="G225" s="85">
        <f>STATS1003B!G225/1000</f>
        <v>0</v>
      </c>
      <c r="H225" s="85">
        <f>STATS1003B!H225/1000</f>
        <v>941.82386999999994</v>
      </c>
      <c r="I225" s="85">
        <f>STATS1003B!I225/1000</f>
        <v>1883.6477399999999</v>
      </c>
      <c r="J225" s="85">
        <f>STATS1003B!J225/1000</f>
        <v>0</v>
      </c>
      <c r="K225" s="85">
        <f>STATS1003B!K225/1000</f>
        <v>1883.6477399999999</v>
      </c>
      <c r="L225" s="85">
        <f>STATS1003B!L225/1000</f>
        <v>0</v>
      </c>
      <c r="M225" s="85">
        <f>STATS1003B!M225/1000</f>
        <v>941.82386999999994</v>
      </c>
      <c r="N225" s="85">
        <f>STATS1003B!N225/1000</f>
        <v>0</v>
      </c>
      <c r="O225" s="85">
        <f>STATS1003B!O225/1000</f>
        <v>0</v>
      </c>
      <c r="P225" s="85">
        <f>STATS1003B!P225/1000</f>
        <v>0</v>
      </c>
      <c r="Q225" s="85">
        <f>STATS1003B!Q225/1000</f>
        <v>1883.6477399999999</v>
      </c>
      <c r="R225" s="85">
        <f>STATS1003B!R225/1000</f>
        <v>-941.82386999999994</v>
      </c>
      <c r="S225" s="85">
        <f>STATS1003B!S225/1000</f>
        <v>0</v>
      </c>
      <c r="T225" s="85">
        <f>STATS1003B!T225/1000</f>
        <v>0</v>
      </c>
      <c r="U225" s="85">
        <f>STATS1003B!U225/1000</f>
        <v>0</v>
      </c>
      <c r="V225" s="85">
        <f>STATS1003B!V225/1000</f>
        <v>0</v>
      </c>
      <c r="W225" s="85">
        <f>STATS1003B!W225/1000</f>
        <v>0</v>
      </c>
      <c r="X225" s="85">
        <f t="shared" si="26"/>
        <v>941.82386999999994</v>
      </c>
      <c r="Y225" s="85">
        <f>STATS1003B!Y225/1000</f>
        <v>0</v>
      </c>
      <c r="Z225" s="85">
        <f t="shared" si="22"/>
        <v>0</v>
      </c>
      <c r="AA225" s="69">
        <f>STATS1003B!AA225/1000</f>
        <v>941.82386999999994</v>
      </c>
      <c r="AB225" s="69">
        <f>STATS1003B!AB225/1000</f>
        <v>0</v>
      </c>
    </row>
    <row r="226" spans="1:28" hidden="1" x14ac:dyDescent="0.3">
      <c r="A226" s="117"/>
      <c r="C226" s="68" t="s">
        <v>528</v>
      </c>
      <c r="D226" s="87" t="s">
        <v>61</v>
      </c>
      <c r="E226" s="85">
        <f>STATS1003B!E226/1000</f>
        <v>1998</v>
      </c>
      <c r="F226" s="85">
        <f>STATS1003B!F226/1000</f>
        <v>1998</v>
      </c>
      <c r="G226" s="85">
        <f>STATS1003B!G226/1000</f>
        <v>0</v>
      </c>
      <c r="H226" s="85">
        <f>STATS1003B!H226/1000</f>
        <v>1998</v>
      </c>
      <c r="I226" s="85">
        <f>STATS1003B!I226/1000</f>
        <v>3996</v>
      </c>
      <c r="J226" s="85">
        <f>STATS1003B!J226/1000</f>
        <v>0</v>
      </c>
      <c r="K226" s="85">
        <f>STATS1003B!K226/1000</f>
        <v>3996</v>
      </c>
      <c r="L226" s="85">
        <f>STATS1003B!L226/1000</f>
        <v>0</v>
      </c>
      <c r="M226" s="85">
        <f>STATS1003B!M226/1000</f>
        <v>1998</v>
      </c>
      <c r="N226" s="85">
        <f>STATS1003B!N226/1000</f>
        <v>0</v>
      </c>
      <c r="O226" s="85">
        <f>STATS1003B!O226/1000</f>
        <v>0</v>
      </c>
      <c r="P226" s="85">
        <f>STATS1003B!P226/1000</f>
        <v>0</v>
      </c>
      <c r="Q226" s="85">
        <f>STATS1003B!Q226/1000</f>
        <v>3996</v>
      </c>
      <c r="R226" s="85">
        <f>STATS1003B!R226/1000</f>
        <v>-1998</v>
      </c>
      <c r="S226" s="85">
        <f>STATS1003B!S226/1000</f>
        <v>0</v>
      </c>
      <c r="T226" s="85">
        <f>STATS1003B!T226/1000</f>
        <v>0</v>
      </c>
      <c r="U226" s="85">
        <f>STATS1003B!U226/1000</f>
        <v>0</v>
      </c>
      <c r="V226" s="85">
        <f>STATS1003B!V226/1000</f>
        <v>0</v>
      </c>
      <c r="W226" s="85">
        <f>STATS1003B!W226/1000</f>
        <v>0</v>
      </c>
      <c r="X226" s="85">
        <f t="shared" si="26"/>
        <v>1998</v>
      </c>
      <c r="Y226" s="85">
        <f>STATS1003B!Y226/1000</f>
        <v>0</v>
      </c>
      <c r="Z226" s="85">
        <f t="shared" si="22"/>
        <v>0</v>
      </c>
      <c r="AA226" s="69">
        <f>STATS1003B!AA226/1000</f>
        <v>1998</v>
      </c>
      <c r="AB226" s="69">
        <f>STATS1003B!AB226/1000</f>
        <v>0</v>
      </c>
    </row>
    <row r="227" spans="1:28" hidden="1" x14ac:dyDescent="0.3">
      <c r="A227" s="117"/>
      <c r="C227" s="68" t="s">
        <v>931</v>
      </c>
      <c r="D227" s="87"/>
      <c r="E227" s="85">
        <f>STATS1003B!E227/1000</f>
        <v>5440.3115199999993</v>
      </c>
      <c r="F227" s="85">
        <f>STATS1003B!F227/1000</f>
        <v>5440.3115199999993</v>
      </c>
      <c r="G227" s="85">
        <f>STATS1003B!G227/1000</f>
        <v>0</v>
      </c>
      <c r="H227" s="85">
        <f>STATS1003B!H227/1000</f>
        <v>5440.3115199999993</v>
      </c>
      <c r="I227" s="85">
        <f>STATS1003B!I227/1000</f>
        <v>0</v>
      </c>
      <c r="J227" s="85">
        <f>STATS1003B!J227/1000</f>
        <v>0</v>
      </c>
      <c r="K227" s="85">
        <f>STATS1003B!K227/1000</f>
        <v>0</v>
      </c>
      <c r="L227" s="85">
        <f>STATS1003B!L227/1000</f>
        <v>0</v>
      </c>
      <c r="M227" s="85">
        <f>STATS1003B!M227/1000</f>
        <v>5440.3115199999993</v>
      </c>
      <c r="N227" s="85">
        <f>STATS1003B!N227/1000</f>
        <v>0</v>
      </c>
      <c r="O227" s="85">
        <f>STATS1003B!O227/1000</f>
        <v>0</v>
      </c>
      <c r="P227" s="85">
        <f>STATS1003B!P227/1000</f>
        <v>0</v>
      </c>
      <c r="Q227" s="85">
        <f>STATS1003B!Q227/1000</f>
        <v>0</v>
      </c>
      <c r="R227" s="85">
        <f>STATS1003B!R227/1000</f>
        <v>0</v>
      </c>
      <c r="S227" s="85">
        <f>STATS1003B!S227/1000</f>
        <v>0</v>
      </c>
      <c r="T227" s="85">
        <f>STATS1003B!T227/1000</f>
        <v>0</v>
      </c>
      <c r="U227" s="85">
        <f>STATS1003B!U227/1000</f>
        <v>0</v>
      </c>
      <c r="V227" s="85">
        <f>STATS1003B!V227/1000</f>
        <v>0</v>
      </c>
      <c r="W227" s="85">
        <f>STATS1003B!W227/1000</f>
        <v>0</v>
      </c>
      <c r="X227" s="85">
        <f t="shared" si="26"/>
        <v>5440.3115199999993</v>
      </c>
      <c r="Y227" s="85">
        <f>STATS1003B!Y227/1000</f>
        <v>0</v>
      </c>
      <c r="Z227" s="85">
        <f t="shared" si="22"/>
        <v>0</v>
      </c>
      <c r="AA227" s="69">
        <f>STATS1003B!AA227/1000</f>
        <v>5440.3115199999993</v>
      </c>
      <c r="AB227" s="69">
        <f>STATS1003B!AB227/1000</f>
        <v>0</v>
      </c>
    </row>
    <row r="228" spans="1:28" hidden="1" x14ac:dyDescent="0.3">
      <c r="A228" s="117"/>
      <c r="C228" s="68" t="s">
        <v>1181</v>
      </c>
      <c r="D228" s="90" t="s">
        <v>1126</v>
      </c>
      <c r="E228" s="85">
        <f>STATS1003B!E228/1000</f>
        <v>2470.3595700000001</v>
      </c>
      <c r="F228" s="85">
        <f>STATS1003B!F228/1000</f>
        <v>2470.3595700000001</v>
      </c>
      <c r="G228" s="85">
        <f>STATS1003B!G228/1000</f>
        <v>0</v>
      </c>
      <c r="H228" s="85">
        <f>STATS1003B!H228/1000</f>
        <v>2470.3595700000001</v>
      </c>
      <c r="I228" s="85">
        <f>STATS1003B!I228/1000</f>
        <v>0</v>
      </c>
      <c r="J228" s="85">
        <f>STATS1003B!J228/1000</f>
        <v>0</v>
      </c>
      <c r="K228" s="85">
        <f>STATS1003B!K228/1000</f>
        <v>0</v>
      </c>
      <c r="L228" s="85">
        <f>STATS1003B!L228/1000</f>
        <v>0</v>
      </c>
      <c r="M228" s="85">
        <f>STATS1003B!M228/1000</f>
        <v>2470.3595700000001</v>
      </c>
      <c r="N228" s="85">
        <f>STATS1003B!N228/1000</f>
        <v>0</v>
      </c>
      <c r="O228" s="85">
        <f>STATS1003B!O228/1000</f>
        <v>0</v>
      </c>
      <c r="P228" s="85">
        <f>STATS1003B!P228/1000</f>
        <v>0</v>
      </c>
      <c r="Q228" s="85">
        <f>STATS1003B!Q228/1000</f>
        <v>0</v>
      </c>
      <c r="R228" s="85">
        <f>STATS1003B!R228/1000</f>
        <v>0</v>
      </c>
      <c r="S228" s="85">
        <f>STATS1003B!S228/1000</f>
        <v>0</v>
      </c>
      <c r="T228" s="85">
        <f>STATS1003B!T228/1000</f>
        <v>0</v>
      </c>
      <c r="U228" s="85">
        <f>STATS1003B!U228/1000</f>
        <v>0</v>
      </c>
      <c r="V228" s="85">
        <f>STATS1003B!V228/1000</f>
        <v>0</v>
      </c>
      <c r="W228" s="85">
        <f>STATS1003B!W228/1000</f>
        <v>0</v>
      </c>
      <c r="X228" s="85">
        <f t="shared" si="26"/>
        <v>2470.3595700000001</v>
      </c>
      <c r="Y228" s="85">
        <f>STATS1003B!Y228/1000</f>
        <v>0</v>
      </c>
      <c r="Z228" s="85">
        <f t="shared" si="22"/>
        <v>0</v>
      </c>
      <c r="AA228" s="69">
        <f>STATS1003B!AA228/1000</f>
        <v>2470.3595700000001</v>
      </c>
      <c r="AB228" s="69">
        <f>STATS1003B!AB228/1000</f>
        <v>0</v>
      </c>
    </row>
    <row r="229" spans="1:28" hidden="1" x14ac:dyDescent="0.3">
      <c r="A229" s="117"/>
      <c r="C229" s="68" t="s">
        <v>1218</v>
      </c>
      <c r="D229" s="90" t="s">
        <v>1126</v>
      </c>
      <c r="E229" s="85">
        <f>STATS1003B!E229/1000</f>
        <v>827.40882999999997</v>
      </c>
      <c r="F229" s="85">
        <f>STATS1003B!F229/1000</f>
        <v>827.40882999999997</v>
      </c>
      <c r="G229" s="85">
        <f>STATS1003B!G229/1000</f>
        <v>0</v>
      </c>
      <c r="H229" s="85">
        <f>STATS1003B!H229/1000</f>
        <v>827.40882999999997</v>
      </c>
      <c r="I229" s="85">
        <f>STATS1003B!I229/1000</f>
        <v>0</v>
      </c>
      <c r="J229" s="85">
        <f>STATS1003B!J229/1000</f>
        <v>0</v>
      </c>
      <c r="K229" s="85">
        <f>STATS1003B!K229/1000</f>
        <v>0</v>
      </c>
      <c r="L229" s="85">
        <f>STATS1003B!L229/1000</f>
        <v>0</v>
      </c>
      <c r="M229" s="85">
        <f>STATS1003B!M229/1000</f>
        <v>827.40882999999997</v>
      </c>
      <c r="N229" s="85">
        <f>STATS1003B!N229/1000</f>
        <v>0</v>
      </c>
      <c r="O229" s="85">
        <f>STATS1003B!O229/1000</f>
        <v>0</v>
      </c>
      <c r="P229" s="85">
        <f>STATS1003B!P229/1000</f>
        <v>0</v>
      </c>
      <c r="Q229" s="85">
        <f>STATS1003B!Q229/1000</f>
        <v>0</v>
      </c>
      <c r="R229" s="85">
        <f>STATS1003B!R229/1000</f>
        <v>0</v>
      </c>
      <c r="S229" s="85">
        <f>STATS1003B!S229/1000</f>
        <v>0</v>
      </c>
      <c r="T229" s="85">
        <f>STATS1003B!T229/1000</f>
        <v>0</v>
      </c>
      <c r="U229" s="85">
        <f>STATS1003B!U229/1000</f>
        <v>0</v>
      </c>
      <c r="V229" s="85">
        <f>STATS1003B!V229/1000</f>
        <v>0</v>
      </c>
      <c r="W229" s="85">
        <f>STATS1003B!W229/1000</f>
        <v>0</v>
      </c>
      <c r="X229" s="85">
        <f t="shared" si="26"/>
        <v>827.40882999999997</v>
      </c>
      <c r="Y229" s="85">
        <f>STATS1003B!Y229/1000</f>
        <v>0</v>
      </c>
      <c r="Z229" s="85">
        <f t="shared" si="22"/>
        <v>0</v>
      </c>
      <c r="AA229" s="69">
        <f>STATS1003B!AA229/1000</f>
        <v>827.40882999999997</v>
      </c>
      <c r="AB229" s="69">
        <f>STATS1003B!AB229/1000</f>
        <v>0</v>
      </c>
    </row>
    <row r="230" spans="1:28" hidden="1" x14ac:dyDescent="0.3">
      <c r="A230" s="117"/>
      <c r="C230" s="68" t="s">
        <v>529</v>
      </c>
      <c r="E230" s="85">
        <f>STATS1003B!E230/1000</f>
        <v>25.652900000000002</v>
      </c>
      <c r="F230" s="85">
        <f>STATS1003B!F230/1000</f>
        <v>0</v>
      </c>
      <c r="G230" s="85">
        <f>STATS1003B!G230/1000</f>
        <v>0</v>
      </c>
      <c r="H230" s="85">
        <f>STATS1003B!H230/1000</f>
        <v>0</v>
      </c>
      <c r="I230" s="85">
        <f>STATS1003B!I230/1000</f>
        <v>0</v>
      </c>
      <c r="J230" s="85">
        <f>STATS1003B!J230/1000</f>
        <v>0</v>
      </c>
      <c r="K230" s="85">
        <f>STATS1003B!K230/1000</f>
        <v>0</v>
      </c>
      <c r="L230" s="85">
        <f>STATS1003B!L230/1000</f>
        <v>0</v>
      </c>
      <c r="M230" s="85">
        <f>STATS1003B!M230/1000</f>
        <v>0</v>
      </c>
      <c r="N230" s="85">
        <f>STATS1003B!N230/1000</f>
        <v>25.652900000000002</v>
      </c>
      <c r="O230" s="85">
        <f>STATS1003B!O230/1000</f>
        <v>0</v>
      </c>
      <c r="P230" s="85">
        <f>STATS1003B!P230/1000</f>
        <v>25.652900000000002</v>
      </c>
      <c r="Q230" s="85">
        <f>STATS1003B!Q230/1000</f>
        <v>25.652900000000002</v>
      </c>
      <c r="R230" s="85">
        <f>STATS1003B!R230/1000</f>
        <v>0</v>
      </c>
      <c r="S230" s="85">
        <f>STATS1003B!S230/1000</f>
        <v>0</v>
      </c>
      <c r="T230" s="85">
        <f>STATS1003B!T230/1000</f>
        <v>0</v>
      </c>
      <c r="U230" s="85">
        <f>STATS1003B!U230/1000</f>
        <v>25.652900000000002</v>
      </c>
      <c r="V230" s="85">
        <f>STATS1003B!V230/1000</f>
        <v>0</v>
      </c>
      <c r="W230" s="85">
        <f>STATS1003B!W230/1000</f>
        <v>0</v>
      </c>
      <c r="X230" s="85">
        <f t="shared" si="26"/>
        <v>25.652900000000002</v>
      </c>
      <c r="Y230" s="85">
        <f>STATS1003B!Y230/1000</f>
        <v>0</v>
      </c>
      <c r="Z230" s="85">
        <f t="shared" ref="Z230:Z235" si="27">+E230-X230</f>
        <v>0</v>
      </c>
      <c r="AA230" s="69">
        <f>STATS1003B!AA230/1000</f>
        <v>25.652900000000002</v>
      </c>
      <c r="AB230" s="69">
        <f>STATS1003B!AB230/1000</f>
        <v>0</v>
      </c>
    </row>
    <row r="231" spans="1:28" hidden="1" x14ac:dyDescent="0.3">
      <c r="A231" s="117"/>
      <c r="C231" s="68" t="s">
        <v>530</v>
      </c>
      <c r="E231" s="85">
        <f>STATS1003B!E231/1000</f>
        <v>4000</v>
      </c>
      <c r="F231" s="85">
        <f>STATS1003B!F231/1000</f>
        <v>4000</v>
      </c>
      <c r="G231" s="85">
        <f>STATS1003B!G231/1000</f>
        <v>0</v>
      </c>
      <c r="H231" s="85">
        <f>STATS1003B!H231/1000</f>
        <v>4000</v>
      </c>
      <c r="I231" s="85">
        <f>STATS1003B!I231/1000</f>
        <v>8000</v>
      </c>
      <c r="J231" s="85">
        <f>STATS1003B!J231/1000</f>
        <v>0</v>
      </c>
      <c r="K231" s="85">
        <f>STATS1003B!K231/1000</f>
        <v>8000</v>
      </c>
      <c r="L231" s="85">
        <f>STATS1003B!L231/1000</f>
        <v>0</v>
      </c>
      <c r="M231" s="85">
        <f>STATS1003B!M231/1000</f>
        <v>4000</v>
      </c>
      <c r="N231" s="85">
        <f>STATS1003B!N231/1000</f>
        <v>0</v>
      </c>
      <c r="O231" s="85">
        <f>STATS1003B!O231/1000</f>
        <v>0</v>
      </c>
      <c r="P231" s="85">
        <f>STATS1003B!P231/1000</f>
        <v>0</v>
      </c>
      <c r="Q231" s="85">
        <f>STATS1003B!Q231/1000</f>
        <v>8000</v>
      </c>
      <c r="R231" s="85">
        <f>STATS1003B!R231/1000</f>
        <v>-4000</v>
      </c>
      <c r="S231" s="85">
        <f>STATS1003B!S231/1000</f>
        <v>0</v>
      </c>
      <c r="T231" s="85">
        <f>STATS1003B!T231/1000</f>
        <v>0</v>
      </c>
      <c r="U231" s="85">
        <f>STATS1003B!U231/1000</f>
        <v>0</v>
      </c>
      <c r="V231" s="85">
        <f>STATS1003B!V231/1000</f>
        <v>0</v>
      </c>
      <c r="W231" s="85">
        <f>STATS1003B!W231/1000</f>
        <v>0</v>
      </c>
      <c r="X231" s="85">
        <f t="shared" si="26"/>
        <v>4000</v>
      </c>
      <c r="Y231" s="85">
        <f>STATS1003B!Y231/1000</f>
        <v>0</v>
      </c>
      <c r="Z231" s="85">
        <f t="shared" si="27"/>
        <v>0</v>
      </c>
      <c r="AA231" s="69">
        <f>STATS1003B!AA231/1000</f>
        <v>4000</v>
      </c>
      <c r="AB231" s="69">
        <f>STATS1003B!AB231/1000</f>
        <v>0</v>
      </c>
    </row>
    <row r="232" spans="1:28" hidden="1" x14ac:dyDescent="0.3">
      <c r="A232" s="117"/>
      <c r="C232" s="68" t="s">
        <v>531</v>
      </c>
      <c r="E232" s="85">
        <f>STATS1003B!E232/1000</f>
        <v>84.611100000000008</v>
      </c>
      <c r="F232" s="85">
        <f>STATS1003B!F232/1000</f>
        <v>84.611100000000008</v>
      </c>
      <c r="G232" s="85">
        <f>STATS1003B!G232/1000</f>
        <v>0</v>
      </c>
      <c r="H232" s="85">
        <f>STATS1003B!H232/1000</f>
        <v>84.611100000000008</v>
      </c>
      <c r="I232" s="85">
        <f>STATS1003B!I232/1000</f>
        <v>169.22220000000002</v>
      </c>
      <c r="J232" s="85">
        <f>STATS1003B!J232/1000</f>
        <v>0</v>
      </c>
      <c r="K232" s="85">
        <f>STATS1003B!K232/1000</f>
        <v>169.22220000000002</v>
      </c>
      <c r="L232" s="85">
        <f>STATS1003B!L232/1000</f>
        <v>0</v>
      </c>
      <c r="M232" s="85">
        <f>STATS1003B!M232/1000</f>
        <v>84.611100000000008</v>
      </c>
      <c r="N232" s="85">
        <f>STATS1003B!N232/1000</f>
        <v>0</v>
      </c>
      <c r="O232" s="85">
        <f>STATS1003B!O232/1000</f>
        <v>0</v>
      </c>
      <c r="P232" s="85">
        <f>STATS1003B!P232/1000</f>
        <v>0</v>
      </c>
      <c r="Q232" s="85">
        <f>STATS1003B!Q232/1000</f>
        <v>169.22220000000002</v>
      </c>
      <c r="R232" s="85">
        <f>STATS1003B!R232/1000</f>
        <v>-84.611100000000008</v>
      </c>
      <c r="S232" s="85">
        <f>STATS1003B!S232/1000</f>
        <v>0</v>
      </c>
      <c r="T232" s="85">
        <f>STATS1003B!T232/1000</f>
        <v>0</v>
      </c>
      <c r="U232" s="85">
        <f>STATS1003B!U232/1000</f>
        <v>0</v>
      </c>
      <c r="V232" s="85">
        <f>STATS1003B!V232/1000</f>
        <v>0</v>
      </c>
      <c r="W232" s="85">
        <f>STATS1003B!W232/1000</f>
        <v>0</v>
      </c>
      <c r="X232" s="85">
        <f t="shared" si="26"/>
        <v>84.611100000000008</v>
      </c>
      <c r="Y232" s="85">
        <f>STATS1003B!Y232/1000</f>
        <v>0</v>
      </c>
      <c r="Z232" s="85">
        <f t="shared" si="27"/>
        <v>0</v>
      </c>
      <c r="AA232" s="69">
        <f>STATS1003B!AA232/1000</f>
        <v>84.611100000000008</v>
      </c>
      <c r="AB232" s="69">
        <f>STATS1003B!AB232/1000</f>
        <v>0</v>
      </c>
    </row>
    <row r="233" spans="1:28" hidden="1" x14ac:dyDescent="0.3">
      <c r="A233" s="117"/>
      <c r="C233" s="68" t="s">
        <v>532</v>
      </c>
      <c r="E233" s="85">
        <f>STATS1003B!E233/1000</f>
        <v>5000</v>
      </c>
      <c r="F233" s="85">
        <f>STATS1003B!F233/1000</f>
        <v>5000</v>
      </c>
      <c r="G233" s="85">
        <f>STATS1003B!G233/1000</f>
        <v>0</v>
      </c>
      <c r="H233" s="85">
        <f>STATS1003B!H233/1000</f>
        <v>5000</v>
      </c>
      <c r="I233" s="85">
        <f>STATS1003B!I233/1000</f>
        <v>10000</v>
      </c>
      <c r="J233" s="85">
        <f>STATS1003B!J233/1000</f>
        <v>0</v>
      </c>
      <c r="K233" s="85">
        <f>STATS1003B!K233/1000</f>
        <v>10000</v>
      </c>
      <c r="L233" s="85">
        <f>STATS1003B!L233/1000</f>
        <v>0</v>
      </c>
      <c r="M233" s="85">
        <f>STATS1003B!M233/1000</f>
        <v>5000</v>
      </c>
      <c r="N233" s="85">
        <f>STATS1003B!N233/1000</f>
        <v>0</v>
      </c>
      <c r="O233" s="85">
        <f>STATS1003B!O233/1000</f>
        <v>0</v>
      </c>
      <c r="P233" s="85">
        <f>STATS1003B!P233/1000</f>
        <v>0</v>
      </c>
      <c r="Q233" s="85">
        <f>STATS1003B!Q233/1000</f>
        <v>10000</v>
      </c>
      <c r="R233" s="85">
        <f>STATS1003B!R233/1000</f>
        <v>-5000</v>
      </c>
      <c r="S233" s="85">
        <f>STATS1003B!S233/1000</f>
        <v>0</v>
      </c>
      <c r="T233" s="85">
        <f>STATS1003B!T233/1000</f>
        <v>0</v>
      </c>
      <c r="U233" s="85">
        <f>STATS1003B!U233/1000</f>
        <v>0</v>
      </c>
      <c r="V233" s="85">
        <f>STATS1003B!V233/1000</f>
        <v>0</v>
      </c>
      <c r="W233" s="85">
        <f>STATS1003B!W233/1000</f>
        <v>0</v>
      </c>
      <c r="X233" s="85">
        <f t="shared" si="26"/>
        <v>5000</v>
      </c>
      <c r="Y233" s="85">
        <f>STATS1003B!Y233/1000</f>
        <v>0</v>
      </c>
      <c r="Z233" s="85">
        <f t="shared" si="27"/>
        <v>0</v>
      </c>
      <c r="AA233" s="69">
        <f>STATS1003B!AA233/1000</f>
        <v>5000</v>
      </c>
      <c r="AB233" s="69">
        <f>STATS1003B!AB233/1000</f>
        <v>0</v>
      </c>
    </row>
    <row r="234" spans="1:28" hidden="1" x14ac:dyDescent="0.3">
      <c r="A234" s="117"/>
      <c r="E234" s="86" t="s">
        <v>29</v>
      </c>
      <c r="F234" s="86" t="s">
        <v>29</v>
      </c>
      <c r="G234" s="86" t="s">
        <v>29</v>
      </c>
      <c r="H234" s="86" t="s">
        <v>29</v>
      </c>
      <c r="I234" s="86" t="s">
        <v>29</v>
      </c>
      <c r="J234" s="86" t="s">
        <v>29</v>
      </c>
      <c r="K234" s="86" t="s">
        <v>29</v>
      </c>
      <c r="L234" s="86" t="s">
        <v>29</v>
      </c>
      <c r="M234" s="86" t="s">
        <v>29</v>
      </c>
      <c r="N234" s="86" t="s">
        <v>29</v>
      </c>
      <c r="O234" s="86" t="s">
        <v>29</v>
      </c>
      <c r="P234" s="86" t="s">
        <v>29</v>
      </c>
      <c r="Q234" s="86" t="s">
        <v>29</v>
      </c>
      <c r="R234" s="86" t="s">
        <v>29</v>
      </c>
      <c r="S234" s="86" t="s">
        <v>29</v>
      </c>
      <c r="T234" s="86" t="s">
        <v>29</v>
      </c>
      <c r="U234" s="86" t="s">
        <v>29</v>
      </c>
      <c r="V234" s="86" t="s">
        <v>29</v>
      </c>
      <c r="W234" s="86" t="s">
        <v>29</v>
      </c>
      <c r="X234" s="85" t="e">
        <f t="shared" si="26"/>
        <v>#VALUE!</v>
      </c>
      <c r="Y234" s="86" t="s">
        <v>29</v>
      </c>
      <c r="Z234" s="85" t="e">
        <f t="shared" si="27"/>
        <v>#VALUE!</v>
      </c>
      <c r="AA234" s="115" t="s">
        <v>29</v>
      </c>
      <c r="AB234" s="115" t="s">
        <v>29</v>
      </c>
    </row>
    <row r="235" spans="1:28" x14ac:dyDescent="0.3">
      <c r="A235" s="116" t="s">
        <v>944</v>
      </c>
      <c r="B235" s="68" t="s">
        <v>522</v>
      </c>
      <c r="E235" s="85">
        <f>150627286.54/1000</f>
        <v>150627.28654</v>
      </c>
      <c r="F235" s="85">
        <f>SUM(F211:F233)</f>
        <v>50936.428449999999</v>
      </c>
      <c r="G235" s="85">
        <f>SUM(G211:G233)</f>
        <v>0</v>
      </c>
      <c r="H235" s="85">
        <f>140935348.45/1000</f>
        <v>140935.34844999999</v>
      </c>
      <c r="I235" s="85">
        <f t="shared" ref="I235:O235" si="28">SUM(I211:I233)</f>
        <v>84396.697060000006</v>
      </c>
      <c r="J235" s="85">
        <f t="shared" si="28"/>
        <v>2729.4740000000002</v>
      </c>
      <c r="K235" s="85">
        <f t="shared" si="28"/>
        <v>87126.171060000008</v>
      </c>
      <c r="L235" s="85">
        <f t="shared" si="28"/>
        <v>2729.4740000000002</v>
      </c>
      <c r="M235" s="85">
        <f t="shared" si="28"/>
        <v>53665.902450000001</v>
      </c>
      <c r="N235" s="85">
        <f t="shared" si="28"/>
        <v>6962.4641899999997</v>
      </c>
      <c r="O235" s="85">
        <f t="shared" si="28"/>
        <v>0</v>
      </c>
      <c r="P235" s="85">
        <f>6962464/1000</f>
        <v>6962.4639999999999</v>
      </c>
      <c r="Q235" s="85">
        <f t="shared" ref="Q235:W235" si="29">SUM(Q211:Q233)</f>
        <v>94088.635250000007</v>
      </c>
      <c r="R235" s="85">
        <f t="shared" si="29"/>
        <v>-42198.348530000003</v>
      </c>
      <c r="S235" s="85">
        <f t="shared" si="29"/>
        <v>0</v>
      </c>
      <c r="T235" s="85">
        <f t="shared" si="29"/>
        <v>0</v>
      </c>
      <c r="U235" s="85">
        <f t="shared" si="29"/>
        <v>6962.4641899999997</v>
      </c>
      <c r="V235" s="85">
        <f t="shared" si="29"/>
        <v>0</v>
      </c>
      <c r="W235" s="85">
        <f t="shared" si="29"/>
        <v>0</v>
      </c>
      <c r="X235" s="85">
        <f>+H235+P235</f>
        <v>147897.81245</v>
      </c>
      <c r="Y235" s="85">
        <f>SUM(Y211:Y233)</f>
        <v>0</v>
      </c>
      <c r="Z235" s="85">
        <f t="shared" si="27"/>
        <v>2729.4740900000033</v>
      </c>
      <c r="AA235" s="69">
        <f>SUM(AA211:AA233)</f>
        <v>60628.36664</v>
      </c>
      <c r="AB235" s="69">
        <f>SUM(AB211:AB233)</f>
        <v>0</v>
      </c>
    </row>
    <row r="236" spans="1:28" x14ac:dyDescent="0.3">
      <c r="A236" s="117"/>
      <c r="E236" s="86"/>
      <c r="F236" s="86"/>
      <c r="G236" s="86"/>
      <c r="H236" s="86"/>
      <c r="I236" s="86"/>
      <c r="J236" s="86"/>
      <c r="K236" s="86"/>
      <c r="L236" s="86"/>
      <c r="M236" s="86"/>
      <c r="N236" s="86"/>
      <c r="O236" s="86"/>
      <c r="P236" s="86"/>
      <c r="Q236" s="86"/>
      <c r="R236" s="86"/>
      <c r="S236" s="86"/>
      <c r="T236" s="86"/>
      <c r="U236" s="86"/>
      <c r="V236" s="86"/>
      <c r="W236" s="86"/>
      <c r="X236" s="86"/>
      <c r="Y236" s="86"/>
      <c r="Z236" s="86"/>
      <c r="AA236" s="115" t="s">
        <v>29</v>
      </c>
      <c r="AB236" s="115" t="s">
        <v>29</v>
      </c>
    </row>
    <row r="237" spans="1:28" s="106" customFormat="1" x14ac:dyDescent="0.3">
      <c r="A237" s="104"/>
      <c r="B237" s="8"/>
      <c r="C237" s="7" t="s">
        <v>3</v>
      </c>
      <c r="D237" s="8"/>
      <c r="E237" s="82">
        <f t="shared" ref="E237:AB237" si="30">E149+E166+E184+E208+E235</f>
        <v>614927.10112999997</v>
      </c>
      <c r="F237" s="82">
        <f t="shared" si="30"/>
        <v>197713.06322000001</v>
      </c>
      <c r="G237" s="82">
        <f t="shared" si="30"/>
        <v>0</v>
      </c>
      <c r="H237" s="82">
        <f t="shared" si="30"/>
        <v>557026.76108999993</v>
      </c>
      <c r="I237" s="82">
        <f t="shared" si="30"/>
        <v>127959.68300000002</v>
      </c>
      <c r="J237" s="82">
        <f t="shared" si="30"/>
        <v>2729.4740000000002</v>
      </c>
      <c r="K237" s="82">
        <f t="shared" si="30"/>
        <v>130689.15700000001</v>
      </c>
      <c r="L237" s="82">
        <f t="shared" si="30"/>
        <v>2729.4740000000002</v>
      </c>
      <c r="M237" s="82">
        <f t="shared" si="30"/>
        <v>200442.53722</v>
      </c>
      <c r="N237" s="82">
        <f t="shared" si="30"/>
        <v>53078.531840000003</v>
      </c>
      <c r="O237" s="82">
        <f t="shared" si="30"/>
        <v>0</v>
      </c>
      <c r="P237" s="82">
        <f t="shared" si="30"/>
        <v>53078.531040000002</v>
      </c>
      <c r="Q237" s="82">
        <f t="shared" si="30"/>
        <v>140334.35609000002</v>
      </c>
      <c r="R237" s="82">
        <f t="shared" si="30"/>
        <v>-63833.191310000009</v>
      </c>
      <c r="S237" s="82">
        <f t="shared" si="30"/>
        <v>0</v>
      </c>
      <c r="T237" s="82">
        <f t="shared" si="30"/>
        <v>11.57367</v>
      </c>
      <c r="U237" s="82">
        <f t="shared" si="30"/>
        <v>53090.105510000009</v>
      </c>
      <c r="V237" s="82">
        <f t="shared" si="30"/>
        <v>211172.06324000002</v>
      </c>
      <c r="W237" s="82">
        <f t="shared" si="30"/>
        <v>29216.149729999997</v>
      </c>
      <c r="X237" s="82">
        <f t="shared" si="30"/>
        <v>610105.29212999996</v>
      </c>
      <c r="Y237" s="82">
        <f t="shared" si="30"/>
        <v>0</v>
      </c>
      <c r="Z237" s="82">
        <f t="shared" si="30"/>
        <v>4821.8090000000011</v>
      </c>
      <c r="AA237" s="9">
        <f t="shared" si="30"/>
        <v>253532.64272999999</v>
      </c>
      <c r="AB237" s="9">
        <f t="shared" si="30"/>
        <v>2080.7606299999984</v>
      </c>
    </row>
    <row r="238" spans="1:28" x14ac:dyDescent="0.3">
      <c r="A238" s="117"/>
      <c r="E238" s="86"/>
      <c r="F238" s="86"/>
      <c r="G238" s="86"/>
      <c r="H238" s="86"/>
      <c r="I238" s="86"/>
      <c r="J238" s="86"/>
      <c r="K238" s="86"/>
      <c r="L238" s="86"/>
      <c r="M238" s="86"/>
      <c r="N238" s="86"/>
      <c r="O238" s="86"/>
      <c r="P238" s="86"/>
      <c r="Q238" s="86"/>
      <c r="R238" s="86"/>
      <c r="S238" s="86"/>
      <c r="T238" s="86"/>
      <c r="U238" s="86"/>
      <c r="V238" s="86"/>
      <c r="W238" s="86"/>
      <c r="X238" s="92"/>
      <c r="Y238" s="86"/>
      <c r="Z238" s="86"/>
      <c r="AA238" s="115" t="s">
        <v>114</v>
      </c>
      <c r="AB238" s="115" t="s">
        <v>114</v>
      </c>
    </row>
    <row r="239" spans="1:28" x14ac:dyDescent="0.3">
      <c r="A239" s="117"/>
      <c r="B239" s="68" t="s">
        <v>533</v>
      </c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6"/>
      <c r="S239" s="86"/>
      <c r="T239" s="86"/>
      <c r="U239" s="86"/>
      <c r="V239" s="86"/>
      <c r="W239" s="86"/>
      <c r="X239" s="92"/>
      <c r="Y239" s="86"/>
      <c r="Z239" s="86"/>
    </row>
    <row r="240" spans="1:28" hidden="1" x14ac:dyDescent="0.3">
      <c r="A240" s="117"/>
      <c r="B240" s="68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6"/>
      <c r="S240" s="86"/>
      <c r="T240" s="86"/>
      <c r="U240" s="86"/>
      <c r="V240" s="86"/>
      <c r="W240" s="86"/>
      <c r="X240" s="86"/>
      <c r="Y240" s="86"/>
      <c r="Z240" s="86"/>
    </row>
    <row r="241" spans="1:28" hidden="1" x14ac:dyDescent="0.3">
      <c r="A241" s="105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6"/>
      <c r="S241" s="86"/>
      <c r="T241" s="86"/>
      <c r="U241" s="86"/>
      <c r="V241" s="86"/>
      <c r="W241" s="86"/>
      <c r="X241" s="86"/>
      <c r="Y241" s="86"/>
      <c r="Z241" s="86"/>
    </row>
    <row r="242" spans="1:28" hidden="1" x14ac:dyDescent="0.3">
      <c r="A242" s="117"/>
      <c r="C242" s="68" t="s">
        <v>535</v>
      </c>
      <c r="D242" s="87" t="s">
        <v>76</v>
      </c>
      <c r="E242" s="85">
        <f>STATS1003B!E243/1000</f>
        <v>2174.7612999999997</v>
      </c>
      <c r="F242" s="85">
        <f>STATS1003B!F243/1000</f>
        <v>1677.8201000000001</v>
      </c>
      <c r="G242" s="85">
        <f>STATS1003B!G243/1000</f>
        <v>0</v>
      </c>
      <c r="H242" s="85">
        <f>STATS1003B!H243/1000</f>
        <v>1677.8201000000001</v>
      </c>
      <c r="I242" s="85">
        <f>STATS1003B!I243/1000</f>
        <v>0</v>
      </c>
      <c r="J242" s="85">
        <f>STATS1003B!J243/1000</f>
        <v>1677.8201000000001</v>
      </c>
      <c r="K242" s="85">
        <f>STATS1003B!K243/1000</f>
        <v>496.94119999999998</v>
      </c>
      <c r="L242" s="85">
        <f>STATS1003B!L243/1000</f>
        <v>0</v>
      </c>
      <c r="M242" s="85">
        <f>STATS1003B!M243/1000</f>
        <v>1677.8201000000001</v>
      </c>
      <c r="N242" s="85">
        <f>STATS1003B!N243/1000</f>
        <v>496.94120000000004</v>
      </c>
      <c r="O242" s="85">
        <f>STATS1003B!O243/1000</f>
        <v>0</v>
      </c>
      <c r="P242" s="85">
        <f>STATS1003B!P243/1000</f>
        <v>496.94120000000004</v>
      </c>
      <c r="Q242" s="85">
        <f>STATS1003B!Q243/1000</f>
        <v>1677.8200999999999</v>
      </c>
      <c r="R242" s="85">
        <f>STATS1003B!R243/1000</f>
        <v>0</v>
      </c>
      <c r="S242" s="85">
        <f>STATS1003B!S243/1000</f>
        <v>0</v>
      </c>
      <c r="T242" s="85">
        <f>STATS1003B!T243/1000</f>
        <v>0</v>
      </c>
      <c r="U242" s="85">
        <f>STATS1003B!U243/1000</f>
        <v>496.94120000000004</v>
      </c>
      <c r="V242" s="85">
        <f>STATS1003B!V243/1000</f>
        <v>0</v>
      </c>
      <c r="W242" s="85">
        <f>STATS1003B!W243/1000</f>
        <v>0</v>
      </c>
      <c r="X242" s="85">
        <f>STATS1003B!X243/1000</f>
        <v>2174.7613000000001</v>
      </c>
      <c r="Y242" s="85">
        <f>STATS1003B!Y243/1000</f>
        <v>0</v>
      </c>
      <c r="Z242" s="85">
        <f>STATS1003B!Z243/1000</f>
        <v>0</v>
      </c>
      <c r="AA242" s="69">
        <f>STATS1003B!AA243/1000</f>
        <v>2174.7613000000001</v>
      </c>
      <c r="AB242" s="69">
        <f>STATS1003B!AB243/1000</f>
        <v>0</v>
      </c>
    </row>
    <row r="243" spans="1:28" hidden="1" x14ac:dyDescent="0.3">
      <c r="A243" s="117"/>
      <c r="C243" s="68" t="s">
        <v>535</v>
      </c>
      <c r="D243" s="87" t="s">
        <v>150</v>
      </c>
      <c r="E243" s="85">
        <f>STATS1003B!E244/1000</f>
        <v>3887.62664</v>
      </c>
      <c r="F243" s="85">
        <f>STATS1003B!F244/1000</f>
        <v>3887.62664</v>
      </c>
      <c r="G243" s="85">
        <f>STATS1003B!G244/1000</f>
        <v>0</v>
      </c>
      <c r="H243" s="85">
        <f>STATS1003B!H244/1000</f>
        <v>3887.62664</v>
      </c>
      <c r="I243" s="85">
        <f>STATS1003B!I244/1000</f>
        <v>0</v>
      </c>
      <c r="J243" s="85">
        <f>STATS1003B!J244/1000</f>
        <v>3887.62664</v>
      </c>
      <c r="K243" s="85">
        <f>STATS1003B!K244/1000</f>
        <v>0</v>
      </c>
      <c r="L243" s="85">
        <f>STATS1003B!L244/1000</f>
        <v>0</v>
      </c>
      <c r="M243" s="85">
        <f>STATS1003B!M244/1000</f>
        <v>3887.62664</v>
      </c>
      <c r="N243" s="85">
        <f>STATS1003B!N244/1000</f>
        <v>0</v>
      </c>
      <c r="O243" s="85">
        <f>STATS1003B!O244/1000</f>
        <v>0</v>
      </c>
      <c r="P243" s="85">
        <f>STATS1003B!P244/1000</f>
        <v>0</v>
      </c>
      <c r="Q243" s="85">
        <f>STATS1003B!Q244/1000</f>
        <v>3887.62664</v>
      </c>
      <c r="R243" s="85">
        <f>STATS1003B!R244/1000</f>
        <v>0</v>
      </c>
      <c r="S243" s="85">
        <f>STATS1003B!S244/1000</f>
        <v>0</v>
      </c>
      <c r="T243" s="85">
        <f>STATS1003B!T244/1000</f>
        <v>0</v>
      </c>
      <c r="U243" s="85">
        <f>STATS1003B!U244/1000</f>
        <v>0</v>
      </c>
      <c r="V243" s="85">
        <f>STATS1003B!V244/1000</f>
        <v>0</v>
      </c>
      <c r="W243" s="85">
        <f>STATS1003B!W244/1000</f>
        <v>0</v>
      </c>
      <c r="X243" s="85">
        <f>STATS1003B!X244/1000</f>
        <v>3887.62664</v>
      </c>
      <c r="Y243" s="85">
        <f>STATS1003B!Y244/1000</f>
        <v>0</v>
      </c>
      <c r="Z243" s="85">
        <f>STATS1003B!Z244/1000</f>
        <v>0</v>
      </c>
      <c r="AA243" s="69">
        <f>STATS1003B!AA244/1000</f>
        <v>3887.62664</v>
      </c>
      <c r="AB243" s="69">
        <f>STATS1003B!AB244/1000</f>
        <v>0</v>
      </c>
    </row>
    <row r="244" spans="1:28" hidden="1" x14ac:dyDescent="0.3">
      <c r="A244" s="117"/>
      <c r="C244" s="68" t="s">
        <v>536</v>
      </c>
      <c r="D244" s="87" t="s">
        <v>150</v>
      </c>
      <c r="E244" s="85">
        <f>STATS1003B!E245/1000</f>
        <v>937</v>
      </c>
      <c r="F244" s="85">
        <f>STATS1003B!F245/1000</f>
        <v>937</v>
      </c>
      <c r="G244" s="85">
        <f>STATS1003B!G245/1000</f>
        <v>0</v>
      </c>
      <c r="H244" s="85">
        <f>STATS1003B!H245/1000</f>
        <v>937</v>
      </c>
      <c r="I244" s="85">
        <f>STATS1003B!I245/1000</f>
        <v>0</v>
      </c>
      <c r="J244" s="85">
        <f>STATS1003B!J245/1000</f>
        <v>937</v>
      </c>
      <c r="K244" s="85">
        <f>STATS1003B!K245/1000</f>
        <v>0</v>
      </c>
      <c r="L244" s="85">
        <f>STATS1003B!L245/1000</f>
        <v>0</v>
      </c>
      <c r="M244" s="85">
        <f>STATS1003B!M245/1000</f>
        <v>937</v>
      </c>
      <c r="N244" s="85">
        <f>STATS1003B!N245/1000</f>
        <v>0</v>
      </c>
      <c r="O244" s="85">
        <f>STATS1003B!O245/1000</f>
        <v>0</v>
      </c>
      <c r="P244" s="85">
        <f>STATS1003B!P245/1000</f>
        <v>0</v>
      </c>
      <c r="Q244" s="85">
        <f>STATS1003B!Q245/1000</f>
        <v>937</v>
      </c>
      <c r="R244" s="85">
        <f>STATS1003B!R245/1000</f>
        <v>0</v>
      </c>
      <c r="S244" s="85">
        <f>STATS1003B!S245/1000</f>
        <v>0</v>
      </c>
      <c r="T244" s="85">
        <f>STATS1003B!T245/1000</f>
        <v>0</v>
      </c>
      <c r="U244" s="85">
        <f>STATS1003B!U245/1000</f>
        <v>0</v>
      </c>
      <c r="V244" s="85">
        <f>STATS1003B!V245/1000</f>
        <v>0</v>
      </c>
      <c r="W244" s="85">
        <f>STATS1003B!W245/1000</f>
        <v>0</v>
      </c>
      <c r="X244" s="85">
        <f>STATS1003B!X245/1000</f>
        <v>937</v>
      </c>
      <c r="Y244" s="85">
        <f>STATS1003B!Y245/1000</f>
        <v>0</v>
      </c>
      <c r="Z244" s="85">
        <f>STATS1003B!Z245/1000</f>
        <v>0</v>
      </c>
      <c r="AA244" s="69">
        <f>STATS1003B!AA245/1000</f>
        <v>937</v>
      </c>
      <c r="AB244" s="69">
        <f>STATS1003B!AB245/1000</f>
        <v>0</v>
      </c>
    </row>
    <row r="245" spans="1:28" hidden="1" x14ac:dyDescent="0.3">
      <c r="A245" s="117"/>
      <c r="C245" s="68" t="s">
        <v>537</v>
      </c>
      <c r="D245" s="87" t="s">
        <v>166</v>
      </c>
      <c r="E245" s="85">
        <f>STATS1003B!E246/1000</f>
        <v>880.45335999999998</v>
      </c>
      <c r="F245" s="85">
        <f>STATS1003B!F246/1000</f>
        <v>805</v>
      </c>
      <c r="G245" s="85">
        <f>STATS1003B!G246/1000</f>
        <v>0</v>
      </c>
      <c r="H245" s="85">
        <f>STATS1003B!H246/1000</f>
        <v>805</v>
      </c>
      <c r="I245" s="85">
        <f>STATS1003B!I246/1000</f>
        <v>0</v>
      </c>
      <c r="J245" s="85">
        <f>STATS1003B!J246/1000</f>
        <v>805</v>
      </c>
      <c r="K245" s="85">
        <f>STATS1003B!K246/1000</f>
        <v>75.453360000000004</v>
      </c>
      <c r="L245" s="85">
        <f>STATS1003B!L246/1000</f>
        <v>0</v>
      </c>
      <c r="M245" s="85">
        <f>STATS1003B!M246/1000</f>
        <v>805</v>
      </c>
      <c r="N245" s="85">
        <f>STATS1003B!N246/1000</f>
        <v>75.453360000000004</v>
      </c>
      <c r="O245" s="85">
        <f>STATS1003B!O246/1000</f>
        <v>0</v>
      </c>
      <c r="P245" s="85">
        <f>STATS1003B!P246/1000</f>
        <v>75.453360000000004</v>
      </c>
      <c r="Q245" s="85">
        <f>STATS1003B!Q246/1000</f>
        <v>805</v>
      </c>
      <c r="R245" s="85">
        <f>STATS1003B!R246/1000</f>
        <v>0</v>
      </c>
      <c r="S245" s="85">
        <f>STATS1003B!S246/1000</f>
        <v>0</v>
      </c>
      <c r="T245" s="85">
        <f>STATS1003B!T246/1000</f>
        <v>0</v>
      </c>
      <c r="U245" s="85">
        <f>STATS1003B!U246/1000</f>
        <v>75.453360000000004</v>
      </c>
      <c r="V245" s="85">
        <f>STATS1003B!V246/1000</f>
        <v>0</v>
      </c>
      <c r="W245" s="85">
        <f>STATS1003B!W246/1000</f>
        <v>0</v>
      </c>
      <c r="X245" s="85">
        <f>STATS1003B!X246/1000</f>
        <v>880.45335999999998</v>
      </c>
      <c r="Y245" s="85">
        <f>STATS1003B!Y246/1000</f>
        <v>0</v>
      </c>
      <c r="Z245" s="85">
        <f>STATS1003B!Z246/1000</f>
        <v>0</v>
      </c>
      <c r="AA245" s="69">
        <f>STATS1003B!AA246/1000</f>
        <v>880.45335999999998</v>
      </c>
      <c r="AB245" s="69">
        <f>STATS1003B!AB246/1000</f>
        <v>0</v>
      </c>
    </row>
    <row r="246" spans="1:28" hidden="1" x14ac:dyDescent="0.3">
      <c r="A246" s="117"/>
      <c r="C246" s="68" t="s">
        <v>538</v>
      </c>
      <c r="D246" s="87" t="s">
        <v>78</v>
      </c>
      <c r="E246" s="85">
        <f>STATS1003B!E247/1000</f>
        <v>1889.9</v>
      </c>
      <c r="F246" s="85">
        <f>STATS1003B!F247/1000</f>
        <v>645.57000000000005</v>
      </c>
      <c r="G246" s="85">
        <f>STATS1003B!G247/1000</f>
        <v>0</v>
      </c>
      <c r="H246" s="85">
        <f>STATS1003B!H247/1000</f>
        <v>645.57000000000005</v>
      </c>
      <c r="I246" s="85">
        <f>STATS1003B!I247/1000</f>
        <v>0</v>
      </c>
      <c r="J246" s="85">
        <f>STATS1003B!J247/1000</f>
        <v>645.57000000000005</v>
      </c>
      <c r="K246" s="85">
        <f>STATS1003B!K247/1000</f>
        <v>1244.33</v>
      </c>
      <c r="L246" s="85">
        <f>STATS1003B!L247/1000</f>
        <v>0</v>
      </c>
      <c r="M246" s="85">
        <f>STATS1003B!M247/1000</f>
        <v>645.57000000000005</v>
      </c>
      <c r="N246" s="85">
        <f>STATS1003B!N247/1000</f>
        <v>1244.33</v>
      </c>
      <c r="O246" s="85">
        <f>STATS1003B!O247/1000</f>
        <v>0</v>
      </c>
      <c r="P246" s="85">
        <f>STATS1003B!P247/1000</f>
        <v>1244.33</v>
      </c>
      <c r="Q246" s="85">
        <f>STATS1003B!Q247/1000</f>
        <v>645.57000000000005</v>
      </c>
      <c r="R246" s="85">
        <f>STATS1003B!R247/1000</f>
        <v>0</v>
      </c>
      <c r="S246" s="85">
        <f>STATS1003B!S247/1000</f>
        <v>0</v>
      </c>
      <c r="T246" s="85">
        <f>STATS1003B!T247/1000</f>
        <v>0</v>
      </c>
      <c r="U246" s="85">
        <f>STATS1003B!U247/1000</f>
        <v>1244.33</v>
      </c>
      <c r="V246" s="85">
        <f>STATS1003B!V247/1000</f>
        <v>0</v>
      </c>
      <c r="W246" s="85">
        <f>STATS1003B!W247/1000</f>
        <v>0</v>
      </c>
      <c r="X246" s="85">
        <f>STATS1003B!X247/1000</f>
        <v>1889.9</v>
      </c>
      <c r="Y246" s="85">
        <f>STATS1003B!Y247/1000</f>
        <v>0</v>
      </c>
      <c r="Z246" s="85">
        <f>STATS1003B!Z247/1000</f>
        <v>0</v>
      </c>
      <c r="AA246" s="69">
        <f>STATS1003B!AA247/1000</f>
        <v>1889.9</v>
      </c>
      <c r="AB246" s="69">
        <f>STATS1003B!AB247/1000</f>
        <v>0</v>
      </c>
    </row>
    <row r="247" spans="1:28" hidden="1" x14ac:dyDescent="0.3">
      <c r="A247" s="117"/>
      <c r="C247" s="68" t="s">
        <v>539</v>
      </c>
      <c r="D247" s="87" t="s">
        <v>68</v>
      </c>
      <c r="E247" s="85">
        <f>STATS1003B!E248/1000</f>
        <v>718.05669999999998</v>
      </c>
      <c r="F247" s="85">
        <f>STATS1003B!F248/1000</f>
        <v>0</v>
      </c>
      <c r="G247" s="85">
        <f>STATS1003B!G248/1000</f>
        <v>0</v>
      </c>
      <c r="H247" s="85">
        <f>STATS1003B!H248/1000</f>
        <v>0</v>
      </c>
      <c r="I247" s="85">
        <f>STATS1003B!I248/1000</f>
        <v>0</v>
      </c>
      <c r="J247" s="85">
        <f>STATS1003B!J248/1000</f>
        <v>0</v>
      </c>
      <c r="K247" s="85">
        <f>STATS1003B!K248/1000</f>
        <v>718.05669999999998</v>
      </c>
      <c r="L247" s="85">
        <f>STATS1003B!L248/1000</f>
        <v>0</v>
      </c>
      <c r="M247" s="85">
        <f>STATS1003B!M248/1000</f>
        <v>0</v>
      </c>
      <c r="N247" s="85">
        <f>STATS1003B!N248/1000</f>
        <v>718.05669999999998</v>
      </c>
      <c r="O247" s="85">
        <f>STATS1003B!O248/1000</f>
        <v>0</v>
      </c>
      <c r="P247" s="85">
        <f>STATS1003B!P248/1000</f>
        <v>718.05669999999998</v>
      </c>
      <c r="Q247" s="85">
        <f>STATS1003B!Q248/1000</f>
        <v>0</v>
      </c>
      <c r="R247" s="85">
        <f>STATS1003B!R248/1000</f>
        <v>0</v>
      </c>
      <c r="S247" s="85">
        <f>STATS1003B!S248/1000</f>
        <v>0</v>
      </c>
      <c r="T247" s="85">
        <f>STATS1003B!T248/1000</f>
        <v>0</v>
      </c>
      <c r="U247" s="85">
        <f>STATS1003B!U248/1000</f>
        <v>718.05669999999998</v>
      </c>
      <c r="V247" s="85">
        <f>STATS1003B!V248/1000</f>
        <v>0</v>
      </c>
      <c r="W247" s="85">
        <f>STATS1003B!W248/1000</f>
        <v>0</v>
      </c>
      <c r="X247" s="85">
        <f>STATS1003B!X248/1000</f>
        <v>718.05669999999998</v>
      </c>
      <c r="Y247" s="85">
        <f>STATS1003B!Y248/1000</f>
        <v>0</v>
      </c>
      <c r="Z247" s="85">
        <f>STATS1003B!Z248/1000</f>
        <v>0</v>
      </c>
      <c r="AA247" s="69">
        <f>STATS1003B!AA248/1000</f>
        <v>718.05669999999998</v>
      </c>
      <c r="AB247" s="69">
        <f>STATS1003B!AB248/1000</f>
        <v>0</v>
      </c>
    </row>
    <row r="248" spans="1:28" hidden="1" x14ac:dyDescent="0.3">
      <c r="A248" s="117"/>
      <c r="C248" s="68" t="s">
        <v>535</v>
      </c>
      <c r="D248" s="87" t="s">
        <v>54</v>
      </c>
      <c r="E248" s="85">
        <f>STATS1003B!E249/1000</f>
        <v>901.55</v>
      </c>
      <c r="F248" s="85">
        <f>STATS1003B!F249/1000</f>
        <v>901.55</v>
      </c>
      <c r="G248" s="85">
        <f>STATS1003B!G249/1000</f>
        <v>0</v>
      </c>
      <c r="H248" s="85">
        <f>STATS1003B!H249/1000</f>
        <v>901.55</v>
      </c>
      <c r="I248" s="85">
        <f>STATS1003B!I249/1000</f>
        <v>0</v>
      </c>
      <c r="J248" s="85">
        <f>STATS1003B!J249/1000</f>
        <v>901.55</v>
      </c>
      <c r="K248" s="85">
        <f>STATS1003B!K249/1000</f>
        <v>0</v>
      </c>
      <c r="L248" s="85">
        <f>STATS1003B!L249/1000</f>
        <v>0</v>
      </c>
      <c r="M248" s="85">
        <f>STATS1003B!M249/1000</f>
        <v>901.55</v>
      </c>
      <c r="N248" s="85">
        <f>STATS1003B!N249/1000</f>
        <v>0</v>
      </c>
      <c r="O248" s="85">
        <f>STATS1003B!O249/1000</f>
        <v>0</v>
      </c>
      <c r="P248" s="85">
        <f>STATS1003B!P249/1000</f>
        <v>0</v>
      </c>
      <c r="Q248" s="85">
        <f>STATS1003B!Q249/1000</f>
        <v>901.55</v>
      </c>
      <c r="R248" s="85">
        <f>STATS1003B!R249/1000</f>
        <v>0</v>
      </c>
      <c r="S248" s="85">
        <f>STATS1003B!S249/1000</f>
        <v>0</v>
      </c>
      <c r="T248" s="85">
        <f>STATS1003B!T249/1000</f>
        <v>0</v>
      </c>
      <c r="U248" s="85">
        <f>STATS1003B!U249/1000</f>
        <v>0</v>
      </c>
      <c r="V248" s="85">
        <f>STATS1003B!V249/1000</f>
        <v>0</v>
      </c>
      <c r="W248" s="85">
        <f>STATS1003B!W249/1000</f>
        <v>0</v>
      </c>
      <c r="X248" s="85">
        <f>STATS1003B!X249/1000</f>
        <v>901.55</v>
      </c>
      <c r="Y248" s="85">
        <f>STATS1003B!Y249/1000</f>
        <v>0</v>
      </c>
      <c r="Z248" s="85">
        <f>STATS1003B!Z249/1000</f>
        <v>0</v>
      </c>
      <c r="AA248" s="69">
        <f>STATS1003B!AA249/1000</f>
        <v>901.55</v>
      </c>
      <c r="AB248" s="69">
        <f>STATS1003B!AB249/1000</f>
        <v>0</v>
      </c>
    </row>
    <row r="249" spans="1:28" hidden="1" x14ac:dyDescent="0.3">
      <c r="A249" s="117"/>
      <c r="C249" s="68" t="s">
        <v>540</v>
      </c>
      <c r="D249" s="87" t="s">
        <v>54</v>
      </c>
      <c r="E249" s="85">
        <f>STATS1003B!E250/1000</f>
        <v>570.94100000000003</v>
      </c>
      <c r="F249" s="85">
        <f>STATS1003B!F250/1000</f>
        <v>0</v>
      </c>
      <c r="G249" s="85">
        <f>STATS1003B!G250/1000</f>
        <v>0</v>
      </c>
      <c r="H249" s="85">
        <f>STATS1003B!H250/1000</f>
        <v>0</v>
      </c>
      <c r="I249" s="85">
        <f>STATS1003B!I250/1000</f>
        <v>0</v>
      </c>
      <c r="J249" s="85">
        <f>STATS1003B!J250/1000</f>
        <v>0</v>
      </c>
      <c r="K249" s="85">
        <f>STATS1003B!K250/1000</f>
        <v>570.94100000000003</v>
      </c>
      <c r="L249" s="85">
        <f>STATS1003B!L250/1000</f>
        <v>0</v>
      </c>
      <c r="M249" s="85">
        <f>STATS1003B!M250/1000</f>
        <v>0</v>
      </c>
      <c r="N249" s="85">
        <f>STATS1003B!N250/1000</f>
        <v>570.94100000000003</v>
      </c>
      <c r="O249" s="85">
        <f>STATS1003B!O250/1000</f>
        <v>0</v>
      </c>
      <c r="P249" s="85">
        <f>STATS1003B!P250/1000</f>
        <v>570.94100000000003</v>
      </c>
      <c r="Q249" s="85">
        <f>STATS1003B!Q250/1000</f>
        <v>0</v>
      </c>
      <c r="R249" s="85">
        <f>STATS1003B!R250/1000</f>
        <v>0</v>
      </c>
      <c r="S249" s="85">
        <f>STATS1003B!S250/1000</f>
        <v>0</v>
      </c>
      <c r="T249" s="85">
        <f>STATS1003B!T250/1000</f>
        <v>0</v>
      </c>
      <c r="U249" s="85">
        <f>STATS1003B!U250/1000</f>
        <v>570.94100000000003</v>
      </c>
      <c r="V249" s="85">
        <f>STATS1003B!V250/1000</f>
        <v>0</v>
      </c>
      <c r="W249" s="85">
        <f>STATS1003B!W250/1000</f>
        <v>0</v>
      </c>
      <c r="X249" s="85">
        <f>STATS1003B!X250/1000</f>
        <v>570.94100000000003</v>
      </c>
      <c r="Y249" s="85">
        <f>STATS1003B!Y250/1000</f>
        <v>0</v>
      </c>
      <c r="Z249" s="85">
        <f>STATS1003B!Z250/1000</f>
        <v>0</v>
      </c>
      <c r="AA249" s="69">
        <f>STATS1003B!AA250/1000</f>
        <v>570.94100000000003</v>
      </c>
      <c r="AB249" s="69">
        <f>STATS1003B!AB250/1000</f>
        <v>0</v>
      </c>
    </row>
    <row r="250" spans="1:28" hidden="1" x14ac:dyDescent="0.3">
      <c r="A250" s="117"/>
      <c r="C250" s="68" t="s">
        <v>541</v>
      </c>
      <c r="D250" s="87" t="s">
        <v>85</v>
      </c>
      <c r="E250" s="85">
        <f>STATS1003B!E251/1000</f>
        <v>1600</v>
      </c>
      <c r="F250" s="85">
        <f>STATS1003B!F251/1000</f>
        <v>1600</v>
      </c>
      <c r="G250" s="85">
        <f>STATS1003B!G251/1000</f>
        <v>0</v>
      </c>
      <c r="H250" s="85">
        <f>STATS1003B!H251/1000</f>
        <v>1600</v>
      </c>
      <c r="I250" s="85">
        <f>STATS1003B!I251/1000</f>
        <v>0</v>
      </c>
      <c r="J250" s="85">
        <f>STATS1003B!J251/1000</f>
        <v>1600</v>
      </c>
      <c r="K250" s="85">
        <f>STATS1003B!K251/1000</f>
        <v>0</v>
      </c>
      <c r="L250" s="85">
        <f>STATS1003B!L251/1000</f>
        <v>0</v>
      </c>
      <c r="M250" s="85">
        <f>STATS1003B!M251/1000</f>
        <v>1600</v>
      </c>
      <c r="N250" s="85">
        <f>STATS1003B!N251/1000</f>
        <v>0</v>
      </c>
      <c r="O250" s="85">
        <f>STATS1003B!O251/1000</f>
        <v>0</v>
      </c>
      <c r="P250" s="85">
        <f>STATS1003B!P251/1000</f>
        <v>0</v>
      </c>
      <c r="Q250" s="85">
        <f>STATS1003B!Q251/1000</f>
        <v>1600</v>
      </c>
      <c r="R250" s="85">
        <f>STATS1003B!R251/1000</f>
        <v>0</v>
      </c>
      <c r="S250" s="85">
        <f>STATS1003B!S251/1000</f>
        <v>0</v>
      </c>
      <c r="T250" s="85">
        <f>STATS1003B!T251/1000</f>
        <v>0</v>
      </c>
      <c r="U250" s="85">
        <f>STATS1003B!U251/1000</f>
        <v>0</v>
      </c>
      <c r="V250" s="85">
        <f>STATS1003B!V251/1000</f>
        <v>0</v>
      </c>
      <c r="W250" s="85">
        <f>STATS1003B!W251/1000</f>
        <v>0</v>
      </c>
      <c r="X250" s="85">
        <f>STATS1003B!X251/1000</f>
        <v>1600</v>
      </c>
      <c r="Y250" s="85">
        <f>STATS1003B!Y251/1000</f>
        <v>0</v>
      </c>
      <c r="Z250" s="85">
        <f>STATS1003B!Z251/1000</f>
        <v>0</v>
      </c>
      <c r="AA250" s="69">
        <f>STATS1003B!AA251/1000</f>
        <v>1600</v>
      </c>
      <c r="AB250" s="69">
        <f>STATS1003B!AB251/1000</f>
        <v>0</v>
      </c>
    </row>
    <row r="251" spans="1:28" hidden="1" x14ac:dyDescent="0.3">
      <c r="A251" s="117"/>
      <c r="C251" s="68" t="s">
        <v>535</v>
      </c>
      <c r="D251" s="87" t="s">
        <v>85</v>
      </c>
      <c r="E251" s="85">
        <f>STATS1003B!E252/1000</f>
        <v>1529.1</v>
      </c>
      <c r="F251" s="85">
        <f>STATS1003B!F252/1000</f>
        <v>1529.1</v>
      </c>
      <c r="G251" s="85">
        <f>STATS1003B!G252/1000</f>
        <v>0</v>
      </c>
      <c r="H251" s="85">
        <f>STATS1003B!H252/1000</f>
        <v>1529.1</v>
      </c>
      <c r="I251" s="85">
        <f>STATS1003B!I252/1000</f>
        <v>0</v>
      </c>
      <c r="J251" s="85">
        <f>STATS1003B!J252/1000</f>
        <v>1529.1</v>
      </c>
      <c r="K251" s="85">
        <f>STATS1003B!K252/1000</f>
        <v>0</v>
      </c>
      <c r="L251" s="85">
        <f>STATS1003B!L252/1000</f>
        <v>0</v>
      </c>
      <c r="M251" s="85">
        <f>STATS1003B!M252/1000</f>
        <v>1529.1</v>
      </c>
      <c r="N251" s="85">
        <f>STATS1003B!N252/1000</f>
        <v>0</v>
      </c>
      <c r="O251" s="85">
        <f>STATS1003B!O252/1000</f>
        <v>0</v>
      </c>
      <c r="P251" s="85">
        <f>STATS1003B!P252/1000</f>
        <v>0</v>
      </c>
      <c r="Q251" s="85">
        <f>STATS1003B!Q252/1000</f>
        <v>1529.1</v>
      </c>
      <c r="R251" s="85">
        <f>STATS1003B!R252/1000</f>
        <v>0</v>
      </c>
      <c r="S251" s="85">
        <f>STATS1003B!S252/1000</f>
        <v>0</v>
      </c>
      <c r="T251" s="85">
        <f>STATS1003B!T252/1000</f>
        <v>0</v>
      </c>
      <c r="U251" s="85">
        <f>STATS1003B!U252/1000</f>
        <v>0</v>
      </c>
      <c r="V251" s="85">
        <f>STATS1003B!V252/1000</f>
        <v>0</v>
      </c>
      <c r="W251" s="85">
        <f>STATS1003B!W252/1000</f>
        <v>0</v>
      </c>
      <c r="X251" s="85">
        <f>STATS1003B!X252/1000</f>
        <v>1529.1</v>
      </c>
      <c r="Y251" s="85">
        <f>STATS1003B!Y252/1000</f>
        <v>0</v>
      </c>
      <c r="Z251" s="85">
        <f>STATS1003B!Z252/1000</f>
        <v>0</v>
      </c>
      <c r="AA251" s="69">
        <f>STATS1003B!AA252/1000</f>
        <v>1529.1</v>
      </c>
      <c r="AB251" s="69">
        <f>STATS1003B!AB252/1000</f>
        <v>0</v>
      </c>
    </row>
    <row r="252" spans="1:28" hidden="1" x14ac:dyDescent="0.3">
      <c r="A252" s="117"/>
      <c r="C252" s="68" t="s">
        <v>535</v>
      </c>
      <c r="D252" s="87" t="s">
        <v>88</v>
      </c>
      <c r="E252" s="85">
        <f>STATS1003B!E253/1000</f>
        <v>1800</v>
      </c>
      <c r="F252" s="85">
        <f>STATS1003B!F253/1000</f>
        <v>1800</v>
      </c>
      <c r="G252" s="85">
        <f>STATS1003B!G253/1000</f>
        <v>0</v>
      </c>
      <c r="H252" s="85">
        <f>STATS1003B!H253/1000</f>
        <v>1800</v>
      </c>
      <c r="I252" s="85">
        <f>STATS1003B!I253/1000</f>
        <v>0</v>
      </c>
      <c r="J252" s="85">
        <f>STATS1003B!J253/1000</f>
        <v>1800</v>
      </c>
      <c r="K252" s="85">
        <f>STATS1003B!K253/1000</f>
        <v>0</v>
      </c>
      <c r="L252" s="85">
        <f>STATS1003B!L253/1000</f>
        <v>0</v>
      </c>
      <c r="M252" s="85">
        <f>STATS1003B!M253/1000</f>
        <v>1800</v>
      </c>
      <c r="N252" s="85">
        <f>STATS1003B!N253/1000</f>
        <v>0</v>
      </c>
      <c r="O252" s="85">
        <f>STATS1003B!O253/1000</f>
        <v>0</v>
      </c>
      <c r="P252" s="85">
        <f>STATS1003B!P253/1000</f>
        <v>0</v>
      </c>
      <c r="Q252" s="85">
        <f>STATS1003B!Q253/1000</f>
        <v>1800</v>
      </c>
      <c r="R252" s="85">
        <f>STATS1003B!R253/1000</f>
        <v>0</v>
      </c>
      <c r="S252" s="85">
        <f>STATS1003B!S253/1000</f>
        <v>0</v>
      </c>
      <c r="T252" s="85">
        <f>STATS1003B!T253/1000</f>
        <v>0</v>
      </c>
      <c r="U252" s="85">
        <f>STATS1003B!U253/1000</f>
        <v>0</v>
      </c>
      <c r="V252" s="85">
        <f>STATS1003B!V253/1000</f>
        <v>0</v>
      </c>
      <c r="W252" s="85">
        <f>STATS1003B!W253/1000</f>
        <v>0</v>
      </c>
      <c r="X252" s="85">
        <f>STATS1003B!X253/1000</f>
        <v>1800</v>
      </c>
      <c r="Y252" s="85">
        <f>STATS1003B!Y253/1000</f>
        <v>0</v>
      </c>
      <c r="Z252" s="85">
        <f>STATS1003B!Z253/1000</f>
        <v>0</v>
      </c>
      <c r="AA252" s="69">
        <f>STATS1003B!AA253/1000</f>
        <v>1800</v>
      </c>
      <c r="AB252" s="69">
        <f>STATS1003B!AB253/1000</f>
        <v>0</v>
      </c>
    </row>
    <row r="253" spans="1:28" hidden="1" x14ac:dyDescent="0.3">
      <c r="A253" s="117"/>
      <c r="C253" s="68" t="s">
        <v>542</v>
      </c>
      <c r="D253" s="87" t="s">
        <v>88</v>
      </c>
      <c r="E253" s="85">
        <f>STATS1003B!E254/1000</f>
        <v>4000</v>
      </c>
      <c r="F253" s="85">
        <f>STATS1003B!F254/1000</f>
        <v>4000</v>
      </c>
      <c r="G253" s="85">
        <f>STATS1003B!G254/1000</f>
        <v>0</v>
      </c>
      <c r="H253" s="85">
        <f>STATS1003B!H254/1000</f>
        <v>4000</v>
      </c>
      <c r="I253" s="85">
        <f>STATS1003B!I254/1000</f>
        <v>0</v>
      </c>
      <c r="J253" s="85">
        <f>STATS1003B!J254/1000</f>
        <v>4000</v>
      </c>
      <c r="K253" s="85">
        <f>STATS1003B!K254/1000</f>
        <v>0</v>
      </c>
      <c r="L253" s="85">
        <f>STATS1003B!L254/1000</f>
        <v>0</v>
      </c>
      <c r="M253" s="85">
        <f>STATS1003B!M254/1000</f>
        <v>4000</v>
      </c>
      <c r="N253" s="85">
        <f>STATS1003B!N254/1000</f>
        <v>0</v>
      </c>
      <c r="O253" s="85">
        <f>STATS1003B!O254/1000</f>
        <v>0</v>
      </c>
      <c r="P253" s="85">
        <f>STATS1003B!P254/1000</f>
        <v>0</v>
      </c>
      <c r="Q253" s="85">
        <f>STATS1003B!Q254/1000</f>
        <v>4000</v>
      </c>
      <c r="R253" s="85">
        <f>STATS1003B!R254/1000</f>
        <v>0</v>
      </c>
      <c r="S253" s="85">
        <f>STATS1003B!S254/1000</f>
        <v>0</v>
      </c>
      <c r="T253" s="85">
        <f>STATS1003B!T254/1000</f>
        <v>0</v>
      </c>
      <c r="U253" s="85">
        <f>STATS1003B!U254/1000</f>
        <v>0</v>
      </c>
      <c r="V253" s="85">
        <f>STATS1003B!V254/1000</f>
        <v>0</v>
      </c>
      <c r="W253" s="85">
        <f>STATS1003B!W254/1000</f>
        <v>0</v>
      </c>
      <c r="X253" s="85">
        <f>STATS1003B!X254/1000</f>
        <v>4000</v>
      </c>
      <c r="Y253" s="85">
        <f>STATS1003B!Y254/1000</f>
        <v>0</v>
      </c>
      <c r="Z253" s="85">
        <f>STATS1003B!Z254/1000</f>
        <v>0</v>
      </c>
      <c r="AA253" s="69">
        <f>STATS1003B!AA254/1000</f>
        <v>4000</v>
      </c>
      <c r="AB253" s="69">
        <f>STATS1003B!AB254/1000</f>
        <v>0</v>
      </c>
    </row>
    <row r="254" spans="1:28" hidden="1" x14ac:dyDescent="0.3">
      <c r="A254" s="117"/>
      <c r="C254" s="68" t="s">
        <v>535</v>
      </c>
      <c r="D254" s="87" t="s">
        <v>58</v>
      </c>
      <c r="E254" s="85">
        <f>STATS1003B!E255/1000</f>
        <v>3572.97</v>
      </c>
      <c r="F254" s="85">
        <f>STATS1003B!F255/1000</f>
        <v>3572.97</v>
      </c>
      <c r="G254" s="85">
        <f>STATS1003B!G255/1000</f>
        <v>0</v>
      </c>
      <c r="H254" s="85">
        <f>STATS1003B!H255/1000</f>
        <v>3572.97</v>
      </c>
      <c r="I254" s="85">
        <f>STATS1003B!I255/1000</f>
        <v>0</v>
      </c>
      <c r="J254" s="85">
        <f>STATS1003B!J255/1000</f>
        <v>3572.97</v>
      </c>
      <c r="K254" s="85">
        <f>STATS1003B!K255/1000</f>
        <v>0</v>
      </c>
      <c r="L254" s="85">
        <f>STATS1003B!L255/1000</f>
        <v>0</v>
      </c>
      <c r="M254" s="85">
        <f>STATS1003B!M255/1000</f>
        <v>3572.97</v>
      </c>
      <c r="N254" s="85">
        <f>STATS1003B!N255/1000</f>
        <v>0</v>
      </c>
      <c r="O254" s="85">
        <f>STATS1003B!O255/1000</f>
        <v>0</v>
      </c>
      <c r="P254" s="85">
        <f>STATS1003B!P255/1000</f>
        <v>0</v>
      </c>
      <c r="Q254" s="85">
        <f>STATS1003B!Q255/1000</f>
        <v>3572.97</v>
      </c>
      <c r="R254" s="85">
        <f>STATS1003B!R255/1000</f>
        <v>0</v>
      </c>
      <c r="S254" s="85">
        <f>STATS1003B!S255/1000</f>
        <v>0</v>
      </c>
      <c r="T254" s="85">
        <f>STATS1003B!T255/1000</f>
        <v>0</v>
      </c>
      <c r="U254" s="85">
        <f>STATS1003B!U255/1000</f>
        <v>0</v>
      </c>
      <c r="V254" s="85">
        <f>STATS1003B!V255/1000</f>
        <v>0</v>
      </c>
      <c r="W254" s="85">
        <f>STATS1003B!W255/1000</f>
        <v>0</v>
      </c>
      <c r="X254" s="85">
        <f>STATS1003B!X255/1000</f>
        <v>3572.97</v>
      </c>
      <c r="Y254" s="85">
        <f>STATS1003B!Y255/1000</f>
        <v>0</v>
      </c>
      <c r="Z254" s="85">
        <f>STATS1003B!Z255/1000</f>
        <v>0</v>
      </c>
      <c r="AA254" s="69">
        <f>STATS1003B!AA255/1000</f>
        <v>3572.97</v>
      </c>
      <c r="AB254" s="69">
        <f>STATS1003B!AB255/1000</f>
        <v>0</v>
      </c>
    </row>
    <row r="255" spans="1:28" hidden="1" x14ac:dyDescent="0.3">
      <c r="A255" s="117"/>
      <c r="C255" s="68" t="s">
        <v>535</v>
      </c>
      <c r="D255" s="87" t="s">
        <v>60</v>
      </c>
      <c r="E255" s="85">
        <f>STATS1003B!E256/1000</f>
        <v>3000</v>
      </c>
      <c r="F255" s="85">
        <f>STATS1003B!F256/1000</f>
        <v>3000</v>
      </c>
      <c r="G255" s="85">
        <f>STATS1003B!G256/1000</f>
        <v>0</v>
      </c>
      <c r="H255" s="85">
        <f>STATS1003B!H256/1000</f>
        <v>3000</v>
      </c>
      <c r="I255" s="85">
        <f>STATS1003B!I256/1000</f>
        <v>0</v>
      </c>
      <c r="J255" s="85">
        <f>STATS1003B!J256/1000</f>
        <v>3000</v>
      </c>
      <c r="K255" s="85">
        <f>STATS1003B!K256/1000</f>
        <v>0</v>
      </c>
      <c r="L255" s="85">
        <f>STATS1003B!L256/1000</f>
        <v>0</v>
      </c>
      <c r="M255" s="85">
        <f>STATS1003B!M256/1000</f>
        <v>3000</v>
      </c>
      <c r="N255" s="85">
        <f>STATS1003B!N256/1000</f>
        <v>0</v>
      </c>
      <c r="O255" s="85">
        <f>STATS1003B!O256/1000</f>
        <v>0</v>
      </c>
      <c r="P255" s="85">
        <f>STATS1003B!P256/1000</f>
        <v>0</v>
      </c>
      <c r="Q255" s="85">
        <f>STATS1003B!Q256/1000</f>
        <v>3000</v>
      </c>
      <c r="R255" s="85">
        <f>STATS1003B!R256/1000</f>
        <v>0</v>
      </c>
      <c r="S255" s="85">
        <f>STATS1003B!S256/1000</f>
        <v>0</v>
      </c>
      <c r="T255" s="85">
        <f>STATS1003B!T256/1000</f>
        <v>0</v>
      </c>
      <c r="U255" s="85">
        <f>STATS1003B!U256/1000</f>
        <v>0</v>
      </c>
      <c r="V255" s="85">
        <f>STATS1003B!V256/1000</f>
        <v>0</v>
      </c>
      <c r="W255" s="85">
        <f>STATS1003B!W256/1000</f>
        <v>0</v>
      </c>
      <c r="X255" s="85">
        <f>STATS1003B!X256/1000</f>
        <v>3000</v>
      </c>
      <c r="Y255" s="85">
        <f>STATS1003B!Y256/1000</f>
        <v>0</v>
      </c>
      <c r="Z255" s="85">
        <f>STATS1003B!Z256/1000</f>
        <v>0</v>
      </c>
      <c r="AA255" s="69">
        <f>STATS1003B!AA256/1000</f>
        <v>3000</v>
      </c>
      <c r="AB255" s="69">
        <f>STATS1003B!AB256/1000</f>
        <v>0</v>
      </c>
    </row>
    <row r="256" spans="1:28" hidden="1" x14ac:dyDescent="0.3">
      <c r="A256" s="117"/>
      <c r="C256" s="68" t="s">
        <v>535</v>
      </c>
      <c r="D256" s="87" t="s">
        <v>61</v>
      </c>
      <c r="E256" s="85">
        <f>STATS1003B!E257/1000</f>
        <v>205</v>
      </c>
      <c r="F256" s="85">
        <f>STATS1003B!F257/1000</f>
        <v>205</v>
      </c>
      <c r="G256" s="85">
        <f>STATS1003B!G257/1000</f>
        <v>0</v>
      </c>
      <c r="H256" s="85">
        <f>STATS1003B!H257/1000</f>
        <v>205</v>
      </c>
      <c r="I256" s="85">
        <f>STATS1003B!I257/1000</f>
        <v>0</v>
      </c>
      <c r="J256" s="85">
        <f>STATS1003B!J257/1000</f>
        <v>205</v>
      </c>
      <c r="K256" s="85">
        <f>STATS1003B!K257/1000</f>
        <v>0</v>
      </c>
      <c r="L256" s="85">
        <f>STATS1003B!L257/1000</f>
        <v>0</v>
      </c>
      <c r="M256" s="85">
        <f>STATS1003B!M257/1000</f>
        <v>205</v>
      </c>
      <c r="N256" s="85">
        <f>STATS1003B!N257/1000</f>
        <v>0</v>
      </c>
      <c r="O256" s="85">
        <f>STATS1003B!O257/1000</f>
        <v>0</v>
      </c>
      <c r="P256" s="85">
        <f>STATS1003B!P257/1000</f>
        <v>0</v>
      </c>
      <c r="Q256" s="85">
        <f>STATS1003B!Q257/1000</f>
        <v>205</v>
      </c>
      <c r="R256" s="85">
        <f>STATS1003B!R257/1000</f>
        <v>0</v>
      </c>
      <c r="S256" s="85">
        <f>STATS1003B!S257/1000</f>
        <v>0</v>
      </c>
      <c r="T256" s="85">
        <f>STATS1003B!T257/1000</f>
        <v>0</v>
      </c>
      <c r="U256" s="85">
        <f>STATS1003B!U257/1000</f>
        <v>0</v>
      </c>
      <c r="V256" s="85">
        <f>STATS1003B!V257/1000</f>
        <v>0</v>
      </c>
      <c r="W256" s="85">
        <f>STATS1003B!W257/1000</f>
        <v>0</v>
      </c>
      <c r="X256" s="85">
        <f>STATS1003B!X257/1000</f>
        <v>205</v>
      </c>
      <c r="Y256" s="85">
        <f>STATS1003B!Y257/1000</f>
        <v>0</v>
      </c>
      <c r="Z256" s="85">
        <f>STATS1003B!Z257/1000</f>
        <v>0</v>
      </c>
      <c r="AA256" s="69">
        <f>STATS1003B!AA257/1000</f>
        <v>205</v>
      </c>
      <c r="AB256" s="69">
        <f>STATS1003B!AB257/1000</f>
        <v>0</v>
      </c>
    </row>
    <row r="257" spans="1:28" hidden="1" x14ac:dyDescent="0.3">
      <c r="A257" s="117"/>
      <c r="C257" s="68" t="s">
        <v>1145</v>
      </c>
      <c r="D257" s="90" t="s">
        <v>1126</v>
      </c>
      <c r="E257" s="85">
        <f>STATS1003B!E258/1000</f>
        <v>400</v>
      </c>
      <c r="F257" s="85">
        <f>STATS1003B!F258/1000</f>
        <v>400</v>
      </c>
      <c r="G257" s="85">
        <f>STATS1003B!G258/1000</f>
        <v>0</v>
      </c>
      <c r="H257" s="85">
        <f>STATS1003B!H258/1000</f>
        <v>400</v>
      </c>
      <c r="I257" s="85">
        <f>STATS1003B!I258/1000</f>
        <v>0</v>
      </c>
      <c r="J257" s="85">
        <f>STATS1003B!J258/1000</f>
        <v>400</v>
      </c>
      <c r="K257" s="85">
        <f>STATS1003B!K258/1000</f>
        <v>0</v>
      </c>
      <c r="L257" s="85">
        <f>STATS1003B!L258/1000</f>
        <v>0</v>
      </c>
      <c r="M257" s="85">
        <f>STATS1003B!M258/1000</f>
        <v>400</v>
      </c>
      <c r="N257" s="85">
        <f>STATS1003B!N258/1000</f>
        <v>0</v>
      </c>
      <c r="O257" s="85">
        <f>STATS1003B!O258/1000</f>
        <v>0</v>
      </c>
      <c r="P257" s="85">
        <f>STATS1003B!P258/1000</f>
        <v>0</v>
      </c>
      <c r="Q257" s="85">
        <f>STATS1003B!Q258/1000</f>
        <v>0</v>
      </c>
      <c r="R257" s="85">
        <f>STATS1003B!R258/1000</f>
        <v>0</v>
      </c>
      <c r="S257" s="85">
        <f>STATS1003B!S258/1000</f>
        <v>0</v>
      </c>
      <c r="T257" s="85">
        <f>STATS1003B!T258/1000</f>
        <v>0</v>
      </c>
      <c r="U257" s="85">
        <f>STATS1003B!U258/1000</f>
        <v>0</v>
      </c>
      <c r="V257" s="85">
        <f>STATS1003B!V258/1000</f>
        <v>0</v>
      </c>
      <c r="W257" s="85">
        <f>STATS1003B!W258/1000</f>
        <v>0</v>
      </c>
      <c r="X257" s="85">
        <f>STATS1003B!X258/1000</f>
        <v>400</v>
      </c>
      <c r="Y257" s="85">
        <f>STATS1003B!Y258/1000</f>
        <v>0</v>
      </c>
      <c r="Z257" s="85">
        <f>STATS1003B!Z258/1000</f>
        <v>0</v>
      </c>
      <c r="AA257" s="69">
        <f>STATS1003B!AA258/1000</f>
        <v>400</v>
      </c>
      <c r="AB257" s="69">
        <f>STATS1003B!AB258/1000</f>
        <v>0</v>
      </c>
    </row>
    <row r="258" spans="1:28" hidden="1" x14ac:dyDescent="0.3">
      <c r="A258" s="117"/>
      <c r="C258" s="68" t="s">
        <v>1151</v>
      </c>
      <c r="D258" s="90" t="s">
        <v>1072</v>
      </c>
      <c r="E258" s="85">
        <f>STATS1003B!E259/1000</f>
        <v>100</v>
      </c>
      <c r="F258" s="85">
        <f>STATS1003B!F259/1000</f>
        <v>100</v>
      </c>
      <c r="G258" s="85">
        <f>STATS1003B!G259/1000</f>
        <v>0</v>
      </c>
      <c r="H258" s="85">
        <f>STATS1003B!H259/1000</f>
        <v>100</v>
      </c>
      <c r="I258" s="85">
        <f>STATS1003B!I259/1000</f>
        <v>0</v>
      </c>
      <c r="J258" s="85">
        <f>STATS1003B!J259/1000</f>
        <v>0</v>
      </c>
      <c r="K258" s="85">
        <f>STATS1003B!K259/1000</f>
        <v>0</v>
      </c>
      <c r="L258" s="85">
        <f>STATS1003B!L259/1000</f>
        <v>0</v>
      </c>
      <c r="M258" s="85">
        <f>STATS1003B!M259/1000</f>
        <v>100</v>
      </c>
      <c r="N258" s="85">
        <f>STATS1003B!N259/1000</f>
        <v>0</v>
      </c>
      <c r="O258" s="85">
        <f>STATS1003B!O259/1000</f>
        <v>0</v>
      </c>
      <c r="P258" s="85">
        <f>STATS1003B!P259/1000</f>
        <v>0</v>
      </c>
      <c r="Q258" s="85">
        <f>STATS1003B!Q259/1000</f>
        <v>0</v>
      </c>
      <c r="R258" s="85">
        <f>STATS1003B!R259/1000</f>
        <v>0</v>
      </c>
      <c r="S258" s="85">
        <f>STATS1003B!S259/1000</f>
        <v>0</v>
      </c>
      <c r="T258" s="85">
        <f>STATS1003B!T259/1000</f>
        <v>0</v>
      </c>
      <c r="U258" s="85">
        <f>STATS1003B!U259/1000</f>
        <v>0</v>
      </c>
      <c r="V258" s="85">
        <f>STATS1003B!V259/1000</f>
        <v>0</v>
      </c>
      <c r="W258" s="85">
        <f>STATS1003B!W259/1000</f>
        <v>0</v>
      </c>
      <c r="X258" s="85">
        <f>STATS1003B!X259/1000</f>
        <v>100</v>
      </c>
      <c r="Y258" s="85">
        <f>STATS1003B!Y259/1000</f>
        <v>0</v>
      </c>
      <c r="Z258" s="85">
        <f>STATS1003B!Z259/1000</f>
        <v>0</v>
      </c>
      <c r="AA258" s="69">
        <f>STATS1003B!AA259/1000</f>
        <v>100</v>
      </c>
      <c r="AB258" s="69">
        <f>STATS1003B!AB259/1000</f>
        <v>0</v>
      </c>
    </row>
    <row r="259" spans="1:28" hidden="1" x14ac:dyDescent="0.3">
      <c r="A259" s="117"/>
      <c r="C259" s="68" t="s">
        <v>543</v>
      </c>
      <c r="E259" s="85">
        <f>STATS1003B!E260/1000</f>
        <v>2500</v>
      </c>
      <c r="F259" s="85">
        <f>STATS1003B!F260/1000</f>
        <v>2500</v>
      </c>
      <c r="G259" s="85">
        <f>STATS1003B!G260/1000</f>
        <v>0</v>
      </c>
      <c r="H259" s="85">
        <f>STATS1003B!H260/1000</f>
        <v>2500</v>
      </c>
      <c r="I259" s="85">
        <f>STATS1003B!I260/1000</f>
        <v>0</v>
      </c>
      <c r="J259" s="85">
        <f>STATS1003B!J260/1000</f>
        <v>2500</v>
      </c>
      <c r="K259" s="85">
        <f>STATS1003B!K260/1000</f>
        <v>0</v>
      </c>
      <c r="L259" s="85">
        <f>STATS1003B!L260/1000</f>
        <v>0</v>
      </c>
      <c r="M259" s="85">
        <f>STATS1003B!M260/1000</f>
        <v>2500</v>
      </c>
      <c r="N259" s="85">
        <f>STATS1003B!N260/1000</f>
        <v>0</v>
      </c>
      <c r="O259" s="85">
        <f>STATS1003B!O260/1000</f>
        <v>0</v>
      </c>
      <c r="P259" s="85">
        <f>STATS1003B!P260/1000</f>
        <v>0</v>
      </c>
      <c r="Q259" s="85">
        <f>STATS1003B!Q260/1000</f>
        <v>2500</v>
      </c>
      <c r="R259" s="85">
        <f>STATS1003B!R260/1000</f>
        <v>0</v>
      </c>
      <c r="S259" s="85">
        <f>STATS1003B!S260/1000</f>
        <v>0</v>
      </c>
      <c r="T259" s="85">
        <f>STATS1003B!T260/1000</f>
        <v>0</v>
      </c>
      <c r="U259" s="85">
        <f>STATS1003B!U260/1000</f>
        <v>0</v>
      </c>
      <c r="V259" s="85">
        <f>STATS1003B!V260/1000</f>
        <v>0</v>
      </c>
      <c r="W259" s="85">
        <f>STATS1003B!W260/1000</f>
        <v>0</v>
      </c>
      <c r="X259" s="85">
        <f>STATS1003B!X260/1000</f>
        <v>2500</v>
      </c>
      <c r="Y259" s="85">
        <f>STATS1003B!Y260/1000</f>
        <v>0</v>
      </c>
      <c r="Z259" s="85">
        <f>STATS1003B!Z260/1000</f>
        <v>0</v>
      </c>
      <c r="AA259" s="69">
        <f>STATS1003B!AA260/1000</f>
        <v>2500</v>
      </c>
      <c r="AB259" s="69">
        <f>STATS1003B!AB260/1000</f>
        <v>0</v>
      </c>
    </row>
    <row r="260" spans="1:28" hidden="1" x14ac:dyDescent="0.3">
      <c r="A260" s="117"/>
      <c r="E260" s="86" t="s">
        <v>29</v>
      </c>
      <c r="F260" s="86" t="s">
        <v>29</v>
      </c>
      <c r="G260" s="86" t="s">
        <v>29</v>
      </c>
      <c r="H260" s="86" t="s">
        <v>29</v>
      </c>
      <c r="I260" s="86" t="s">
        <v>29</v>
      </c>
      <c r="J260" s="86" t="s">
        <v>29</v>
      </c>
      <c r="K260" s="86" t="s">
        <v>29</v>
      </c>
      <c r="L260" s="86" t="s">
        <v>29</v>
      </c>
      <c r="M260" s="86" t="s">
        <v>29</v>
      </c>
      <c r="N260" s="86" t="s">
        <v>29</v>
      </c>
      <c r="O260" s="86" t="s">
        <v>29</v>
      </c>
      <c r="P260" s="86" t="s">
        <v>29</v>
      </c>
      <c r="Q260" s="86" t="s">
        <v>29</v>
      </c>
      <c r="R260" s="86" t="s">
        <v>29</v>
      </c>
      <c r="S260" s="86" t="s">
        <v>29</v>
      </c>
      <c r="T260" s="86" t="s">
        <v>29</v>
      </c>
      <c r="U260" s="86" t="s">
        <v>29</v>
      </c>
      <c r="V260" s="86" t="s">
        <v>29</v>
      </c>
      <c r="W260" s="86" t="s">
        <v>29</v>
      </c>
      <c r="X260" s="86" t="s">
        <v>29</v>
      </c>
      <c r="Y260" s="86" t="s">
        <v>29</v>
      </c>
      <c r="Z260" s="86" t="s">
        <v>29</v>
      </c>
      <c r="AA260" s="115" t="s">
        <v>29</v>
      </c>
      <c r="AB260" s="115" t="s">
        <v>29</v>
      </c>
    </row>
    <row r="261" spans="1:28" x14ac:dyDescent="0.3">
      <c r="A261" s="116" t="s">
        <v>945</v>
      </c>
      <c r="B261" s="68" t="s">
        <v>534</v>
      </c>
      <c r="E261" s="85">
        <f>49283010.03/1000</f>
        <v>49283.010029999998</v>
      </c>
      <c r="F261" s="85">
        <f t="shared" ref="F261:Y261" si="31">SUM(F242:F260)</f>
        <v>27561.636740000002</v>
      </c>
      <c r="G261" s="85">
        <f t="shared" si="31"/>
        <v>0</v>
      </c>
      <c r="H261" s="85">
        <f>46177287.77/1000</f>
        <v>46177.287770000003</v>
      </c>
      <c r="I261" s="85">
        <f t="shared" si="31"/>
        <v>0</v>
      </c>
      <c r="J261" s="85">
        <f t="shared" si="31"/>
        <v>27461.636740000002</v>
      </c>
      <c r="K261" s="85">
        <f t="shared" si="31"/>
        <v>3105.7222599999996</v>
      </c>
      <c r="L261" s="85">
        <f t="shared" si="31"/>
        <v>0</v>
      </c>
      <c r="M261" s="85">
        <f t="shared" si="31"/>
        <v>27561.636740000002</v>
      </c>
      <c r="N261" s="85">
        <f t="shared" si="31"/>
        <v>3105.7222600000005</v>
      </c>
      <c r="O261" s="85">
        <f t="shared" si="31"/>
        <v>0</v>
      </c>
      <c r="P261" s="85">
        <f>3105722/1000</f>
        <v>3105.7220000000002</v>
      </c>
      <c r="Q261" s="85">
        <f t="shared" si="31"/>
        <v>27061.636740000002</v>
      </c>
      <c r="R261" s="85">
        <f t="shared" si="31"/>
        <v>0</v>
      </c>
      <c r="S261" s="85">
        <f t="shared" si="31"/>
        <v>0</v>
      </c>
      <c r="T261" s="85">
        <f t="shared" si="31"/>
        <v>0</v>
      </c>
      <c r="U261" s="85">
        <f t="shared" si="31"/>
        <v>3105.7222600000005</v>
      </c>
      <c r="V261" s="85">
        <f t="shared" si="31"/>
        <v>0</v>
      </c>
      <c r="W261" s="85">
        <f t="shared" si="31"/>
        <v>0</v>
      </c>
      <c r="X261" s="85">
        <f t="shared" ref="X261:X324" si="32">+H261+P261</f>
        <v>49283.009770000004</v>
      </c>
      <c r="Y261" s="85">
        <f t="shared" si="31"/>
        <v>0</v>
      </c>
      <c r="Z261" s="85">
        <f>+E261-X261</f>
        <v>2.5999999343184754E-4</v>
      </c>
      <c r="AA261" s="69">
        <f>SUM(AA242:AA260)</f>
        <v>30667.359</v>
      </c>
      <c r="AB261" s="69">
        <f>SUM(AB242:AB260)</f>
        <v>0</v>
      </c>
    </row>
    <row r="262" spans="1:28" hidden="1" x14ac:dyDescent="0.3">
      <c r="A262" s="117"/>
      <c r="E262" s="86" t="s">
        <v>29</v>
      </c>
      <c r="F262" s="86" t="s">
        <v>29</v>
      </c>
      <c r="G262" s="86" t="s">
        <v>29</v>
      </c>
      <c r="H262" s="86" t="s">
        <v>29</v>
      </c>
      <c r="I262" s="86" t="s">
        <v>29</v>
      </c>
      <c r="J262" s="86" t="s">
        <v>29</v>
      </c>
      <c r="K262" s="86" t="s">
        <v>29</v>
      </c>
      <c r="L262" s="86" t="s">
        <v>29</v>
      </c>
      <c r="M262" s="86" t="s">
        <v>29</v>
      </c>
      <c r="N262" s="86" t="s">
        <v>29</v>
      </c>
      <c r="O262" s="86" t="s">
        <v>29</v>
      </c>
      <c r="P262" s="86" t="s">
        <v>29</v>
      </c>
      <c r="Q262" s="86" t="s">
        <v>29</v>
      </c>
      <c r="R262" s="86" t="s">
        <v>29</v>
      </c>
      <c r="S262" s="86" t="s">
        <v>29</v>
      </c>
      <c r="T262" s="86" t="s">
        <v>29</v>
      </c>
      <c r="U262" s="86" t="s">
        <v>29</v>
      </c>
      <c r="V262" s="86" t="s">
        <v>29</v>
      </c>
      <c r="W262" s="86" t="s">
        <v>29</v>
      </c>
      <c r="X262" s="85" t="e">
        <f t="shared" si="32"/>
        <v>#VALUE!</v>
      </c>
      <c r="Y262" s="86" t="s">
        <v>29</v>
      </c>
      <c r="Z262" s="86" t="s">
        <v>29</v>
      </c>
      <c r="AA262" s="115" t="s">
        <v>29</v>
      </c>
      <c r="AB262" s="115" t="s">
        <v>29</v>
      </c>
    </row>
    <row r="263" spans="1:28" hidden="1" x14ac:dyDescent="0.3">
      <c r="A263" s="105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6"/>
      <c r="S263" s="86"/>
      <c r="T263" s="92"/>
      <c r="U263" s="92"/>
      <c r="V263" s="92"/>
      <c r="W263" s="92"/>
      <c r="X263" s="85">
        <f t="shared" si="32"/>
        <v>0</v>
      </c>
      <c r="Y263" s="92"/>
      <c r="Z263" s="92"/>
      <c r="AA263" s="122"/>
    </row>
    <row r="264" spans="1:28" hidden="1" x14ac:dyDescent="0.3">
      <c r="A264" s="117"/>
      <c r="C264" s="68" t="s">
        <v>539</v>
      </c>
      <c r="D264" s="87" t="s">
        <v>68</v>
      </c>
      <c r="E264" s="85">
        <f>STATS1003B!E265/1000</f>
        <v>13716.1576</v>
      </c>
      <c r="F264" s="85">
        <f>STATS1003B!F265/1000</f>
        <v>0</v>
      </c>
      <c r="G264" s="85">
        <f>STATS1003B!G265/1000</f>
        <v>0</v>
      </c>
      <c r="H264" s="85">
        <f>STATS1003B!H265/1000</f>
        <v>0</v>
      </c>
      <c r="I264" s="85">
        <f>STATS1003B!I265/1000</f>
        <v>0</v>
      </c>
      <c r="J264" s="85">
        <f>STATS1003B!J265/1000</f>
        <v>0</v>
      </c>
      <c r="K264" s="85">
        <f>STATS1003B!K265/1000</f>
        <v>13716.1576</v>
      </c>
      <c r="L264" s="85">
        <f>STATS1003B!L265/1000</f>
        <v>0</v>
      </c>
      <c r="M264" s="85">
        <f>STATS1003B!M265/1000</f>
        <v>0</v>
      </c>
      <c r="N264" s="85">
        <f>STATS1003B!N265/1000</f>
        <v>13716.1576</v>
      </c>
      <c r="O264" s="85">
        <f>STATS1003B!O265/1000</f>
        <v>0</v>
      </c>
      <c r="P264" s="85">
        <f>STATS1003B!P265/1000</f>
        <v>13716.1576</v>
      </c>
      <c r="Q264" s="85">
        <f>STATS1003B!Q265/1000</f>
        <v>0</v>
      </c>
      <c r="R264" s="85">
        <f>STATS1003B!R265/1000</f>
        <v>0</v>
      </c>
      <c r="S264" s="85">
        <f>STATS1003B!S265/1000</f>
        <v>0</v>
      </c>
      <c r="T264" s="85">
        <f>STATS1003B!T265/1000</f>
        <v>0</v>
      </c>
      <c r="U264" s="85">
        <f>STATS1003B!U265/1000</f>
        <v>13716.1576</v>
      </c>
      <c r="V264" s="85">
        <f>STATS1003B!V265/1000</f>
        <v>0</v>
      </c>
      <c r="W264" s="85">
        <f>STATS1003B!W265/1000</f>
        <v>0</v>
      </c>
      <c r="X264" s="85">
        <f t="shared" si="32"/>
        <v>13716.1576</v>
      </c>
      <c r="Y264" s="85">
        <f>STATS1003B!Y265/1000</f>
        <v>0</v>
      </c>
      <c r="Z264" s="85">
        <f>STATS1003B!Z265/1000</f>
        <v>0</v>
      </c>
      <c r="AA264" s="69">
        <f>STATS1003B!AA265/1000</f>
        <v>13716.1576</v>
      </c>
      <c r="AB264" s="69">
        <f>STATS1003B!AB265/1000</f>
        <v>0</v>
      </c>
    </row>
    <row r="265" spans="1:28" hidden="1" x14ac:dyDescent="0.3">
      <c r="A265" s="117"/>
      <c r="C265" s="68" t="s">
        <v>535</v>
      </c>
      <c r="D265" s="87" t="s">
        <v>68</v>
      </c>
      <c r="E265" s="85">
        <f>STATS1003B!E266/1000</f>
        <v>573.55418999999995</v>
      </c>
      <c r="F265" s="85">
        <f>STATS1003B!F266/1000</f>
        <v>145.68199999999999</v>
      </c>
      <c r="G265" s="85">
        <f>STATS1003B!G266/1000</f>
        <v>0</v>
      </c>
      <c r="H265" s="85">
        <f>STATS1003B!H266/1000</f>
        <v>145.68199999999999</v>
      </c>
      <c r="I265" s="85">
        <f>STATS1003B!I266/1000</f>
        <v>0</v>
      </c>
      <c r="J265" s="85">
        <f>STATS1003B!J266/1000</f>
        <v>145.68199999999999</v>
      </c>
      <c r="K265" s="85">
        <f>STATS1003B!K266/1000</f>
        <v>427.87218999999999</v>
      </c>
      <c r="L265" s="85">
        <f>STATS1003B!L266/1000</f>
        <v>0</v>
      </c>
      <c r="M265" s="85">
        <f>STATS1003B!M266/1000</f>
        <v>145.68199999999999</v>
      </c>
      <c r="N265" s="85">
        <f>STATS1003B!N266/1000</f>
        <v>427.87218999999999</v>
      </c>
      <c r="O265" s="85">
        <f>STATS1003B!O266/1000</f>
        <v>0</v>
      </c>
      <c r="P265" s="85">
        <f>STATS1003B!P266/1000</f>
        <v>427.87218999999999</v>
      </c>
      <c r="Q265" s="85">
        <f>STATS1003B!Q266/1000</f>
        <v>0</v>
      </c>
      <c r="R265" s="85">
        <f>STATS1003B!R266/1000</f>
        <v>0</v>
      </c>
      <c r="S265" s="85">
        <f>STATS1003B!S266/1000</f>
        <v>0</v>
      </c>
      <c r="T265" s="85">
        <f>STATS1003B!T266/1000</f>
        <v>0</v>
      </c>
      <c r="U265" s="85">
        <f>STATS1003B!U266/1000</f>
        <v>427.87218999999999</v>
      </c>
      <c r="V265" s="85">
        <f>STATS1003B!V266/1000</f>
        <v>0</v>
      </c>
      <c r="W265" s="85">
        <f>STATS1003B!W266/1000</f>
        <v>0</v>
      </c>
      <c r="X265" s="85">
        <f t="shared" si="32"/>
        <v>573.55418999999995</v>
      </c>
      <c r="Y265" s="85">
        <f>STATS1003B!Y266/1000</f>
        <v>0</v>
      </c>
      <c r="Z265" s="85">
        <f>STATS1003B!Z266/1000</f>
        <v>0</v>
      </c>
      <c r="AA265" s="69">
        <f>STATS1003B!AA266/1000</f>
        <v>573.55418999999995</v>
      </c>
      <c r="AB265" s="69">
        <f>STATS1003B!AB266/1000</f>
        <v>0</v>
      </c>
    </row>
    <row r="266" spans="1:28" hidden="1" x14ac:dyDescent="0.3">
      <c r="A266" s="117"/>
      <c r="C266" s="68" t="s">
        <v>545</v>
      </c>
      <c r="D266" s="87" t="s">
        <v>54</v>
      </c>
      <c r="E266" s="85">
        <f>STATS1003B!E267/1000</f>
        <v>1953.989</v>
      </c>
      <c r="F266" s="85">
        <f>STATS1003B!F267/1000</f>
        <v>0</v>
      </c>
      <c r="G266" s="85">
        <f>STATS1003B!G267/1000</f>
        <v>0</v>
      </c>
      <c r="H266" s="85">
        <f>STATS1003B!H267/1000</f>
        <v>0</v>
      </c>
      <c r="I266" s="85">
        <f>STATS1003B!I267/1000</f>
        <v>0</v>
      </c>
      <c r="J266" s="85">
        <f>STATS1003B!J267/1000</f>
        <v>0</v>
      </c>
      <c r="K266" s="85">
        <f>STATS1003B!K267/1000</f>
        <v>1953.989</v>
      </c>
      <c r="L266" s="85">
        <f>STATS1003B!L267/1000</f>
        <v>0</v>
      </c>
      <c r="M266" s="85">
        <f>STATS1003B!M267/1000</f>
        <v>0</v>
      </c>
      <c r="N266" s="85">
        <f>STATS1003B!N267/1000</f>
        <v>1953.989</v>
      </c>
      <c r="O266" s="85">
        <f>STATS1003B!O267/1000</f>
        <v>0</v>
      </c>
      <c r="P266" s="85">
        <f>STATS1003B!P267/1000</f>
        <v>1953.989</v>
      </c>
      <c r="Q266" s="85">
        <f>STATS1003B!Q267/1000</f>
        <v>0</v>
      </c>
      <c r="R266" s="85">
        <f>STATS1003B!R267/1000</f>
        <v>0</v>
      </c>
      <c r="S266" s="85">
        <f>STATS1003B!S267/1000</f>
        <v>0</v>
      </c>
      <c r="T266" s="85">
        <f>STATS1003B!T267/1000</f>
        <v>0</v>
      </c>
      <c r="U266" s="85">
        <f>STATS1003B!U267/1000</f>
        <v>1953.989</v>
      </c>
      <c r="V266" s="85">
        <f>STATS1003B!V267/1000</f>
        <v>0</v>
      </c>
      <c r="W266" s="85">
        <f>STATS1003B!W267/1000</f>
        <v>0</v>
      </c>
      <c r="X266" s="85">
        <f t="shared" si="32"/>
        <v>1953.989</v>
      </c>
      <c r="Y266" s="85">
        <f>STATS1003B!Y267/1000</f>
        <v>0</v>
      </c>
      <c r="Z266" s="85">
        <f>STATS1003B!Z267/1000</f>
        <v>0</v>
      </c>
      <c r="AA266" s="69">
        <f>STATS1003B!AA267/1000</f>
        <v>1953.989</v>
      </c>
      <c r="AB266" s="69">
        <f>STATS1003B!AB267/1000</f>
        <v>0</v>
      </c>
    </row>
    <row r="267" spans="1:28" hidden="1" x14ac:dyDescent="0.3">
      <c r="A267" s="117"/>
      <c r="C267" s="68" t="s">
        <v>535</v>
      </c>
      <c r="D267" s="87" t="s">
        <v>54</v>
      </c>
      <c r="E267" s="85">
        <f>STATS1003B!E268/1000</f>
        <v>866.4</v>
      </c>
      <c r="F267" s="85">
        <f>STATS1003B!F268/1000</f>
        <v>866.4</v>
      </c>
      <c r="G267" s="85">
        <f>STATS1003B!G268/1000</f>
        <v>0</v>
      </c>
      <c r="H267" s="85">
        <f>STATS1003B!H268/1000</f>
        <v>866.4</v>
      </c>
      <c r="I267" s="85">
        <f>STATS1003B!I268/1000</f>
        <v>0</v>
      </c>
      <c r="J267" s="85">
        <f>STATS1003B!J268/1000</f>
        <v>866.4</v>
      </c>
      <c r="K267" s="85">
        <f>STATS1003B!K268/1000</f>
        <v>0</v>
      </c>
      <c r="L267" s="85">
        <f>STATS1003B!L268/1000</f>
        <v>0</v>
      </c>
      <c r="M267" s="85">
        <f>STATS1003B!M268/1000</f>
        <v>866.4</v>
      </c>
      <c r="N267" s="85">
        <f>STATS1003B!N268/1000</f>
        <v>0</v>
      </c>
      <c r="O267" s="85">
        <f>STATS1003B!O268/1000</f>
        <v>0</v>
      </c>
      <c r="P267" s="85">
        <f>STATS1003B!P268/1000</f>
        <v>0</v>
      </c>
      <c r="Q267" s="85">
        <f>STATS1003B!Q268/1000</f>
        <v>0</v>
      </c>
      <c r="R267" s="85">
        <f>STATS1003B!R268/1000</f>
        <v>0</v>
      </c>
      <c r="S267" s="85">
        <f>STATS1003B!S268/1000</f>
        <v>0</v>
      </c>
      <c r="T267" s="85">
        <f>STATS1003B!T268/1000</f>
        <v>0</v>
      </c>
      <c r="U267" s="85">
        <f>STATS1003B!U268/1000</f>
        <v>0</v>
      </c>
      <c r="V267" s="85">
        <f>STATS1003B!V268/1000</f>
        <v>0</v>
      </c>
      <c r="W267" s="85">
        <f>STATS1003B!W268/1000</f>
        <v>0</v>
      </c>
      <c r="X267" s="85">
        <f t="shared" si="32"/>
        <v>866.4</v>
      </c>
      <c r="Y267" s="85">
        <f>STATS1003B!Y268/1000</f>
        <v>0</v>
      </c>
      <c r="Z267" s="85">
        <f>STATS1003B!Z268/1000</f>
        <v>0</v>
      </c>
      <c r="AA267" s="69">
        <f>STATS1003B!AA268/1000</f>
        <v>866.4</v>
      </c>
      <c r="AB267" s="69">
        <f>STATS1003B!AB268/1000</f>
        <v>0</v>
      </c>
    </row>
    <row r="268" spans="1:28" hidden="1" x14ac:dyDescent="0.3">
      <c r="A268" s="117"/>
      <c r="B268" s="68" t="s">
        <v>546</v>
      </c>
      <c r="C268" s="68" t="s">
        <v>547</v>
      </c>
      <c r="D268" s="88" t="s">
        <v>85</v>
      </c>
      <c r="E268" s="85">
        <f>STATS1003B!E269/1000</f>
        <v>2266.8000000000002</v>
      </c>
      <c r="F268" s="85">
        <f>STATS1003B!F269/1000</f>
        <v>2266.8000000000002</v>
      </c>
      <c r="G268" s="85">
        <f>STATS1003B!G269/1000</f>
        <v>0</v>
      </c>
      <c r="H268" s="85">
        <f>STATS1003B!H269/1000</f>
        <v>2266.8000000000002</v>
      </c>
      <c r="I268" s="85">
        <f>STATS1003B!I269/1000</f>
        <v>0</v>
      </c>
      <c r="J268" s="85">
        <f>STATS1003B!J269/1000</f>
        <v>2266.8000000000002</v>
      </c>
      <c r="K268" s="85">
        <f>STATS1003B!K269/1000</f>
        <v>0</v>
      </c>
      <c r="L268" s="85">
        <f>STATS1003B!L269/1000</f>
        <v>0</v>
      </c>
      <c r="M268" s="85">
        <f>STATS1003B!M269/1000</f>
        <v>2266.8000000000002</v>
      </c>
      <c r="N268" s="85">
        <f>STATS1003B!N269/1000</f>
        <v>0</v>
      </c>
      <c r="O268" s="85">
        <f>STATS1003B!O269/1000</f>
        <v>0</v>
      </c>
      <c r="P268" s="85">
        <f>STATS1003B!P269/1000</f>
        <v>0</v>
      </c>
      <c r="Q268" s="85">
        <f>STATS1003B!Q269/1000</f>
        <v>0</v>
      </c>
      <c r="R268" s="85">
        <f>STATS1003B!R269/1000</f>
        <v>0</v>
      </c>
      <c r="S268" s="85">
        <f>STATS1003B!S269/1000</f>
        <v>0</v>
      </c>
      <c r="T268" s="85">
        <f>STATS1003B!T269/1000</f>
        <v>0</v>
      </c>
      <c r="U268" s="85">
        <f>STATS1003B!U269/1000</f>
        <v>0</v>
      </c>
      <c r="V268" s="85">
        <f>STATS1003B!V269/1000</f>
        <v>0</v>
      </c>
      <c r="W268" s="85">
        <f>STATS1003B!W269/1000</f>
        <v>0</v>
      </c>
      <c r="X268" s="85">
        <f t="shared" si="32"/>
        <v>2266.8000000000002</v>
      </c>
      <c r="Y268" s="85">
        <f>STATS1003B!Y269/1000</f>
        <v>0</v>
      </c>
      <c r="Z268" s="85">
        <f>STATS1003B!Z269/1000</f>
        <v>0</v>
      </c>
      <c r="AA268" s="69">
        <f>STATS1003B!AA269/1000</f>
        <v>2266.8000000000002</v>
      </c>
      <c r="AB268" s="69">
        <f>STATS1003B!AB269/1000</f>
        <v>0</v>
      </c>
    </row>
    <row r="269" spans="1:28" hidden="1" x14ac:dyDescent="0.3">
      <c r="A269" s="117"/>
      <c r="C269" s="68" t="s">
        <v>548</v>
      </c>
      <c r="D269" s="87" t="s">
        <v>85</v>
      </c>
      <c r="E269" s="85">
        <f>STATS1003B!E270/1000</f>
        <v>1600</v>
      </c>
      <c r="F269" s="85">
        <f>STATS1003B!F270/1000</f>
        <v>1355.86</v>
      </c>
      <c r="G269" s="85">
        <f>STATS1003B!G270/1000</f>
        <v>0</v>
      </c>
      <c r="H269" s="85">
        <f>STATS1003B!H270/1000</f>
        <v>1355.86</v>
      </c>
      <c r="I269" s="85">
        <f>STATS1003B!I270/1000</f>
        <v>0</v>
      </c>
      <c r="J269" s="85">
        <f>STATS1003B!J270/1000</f>
        <v>1355.86</v>
      </c>
      <c r="K269" s="85">
        <f>STATS1003B!K270/1000</f>
        <v>0</v>
      </c>
      <c r="L269" s="85">
        <f>STATS1003B!L270/1000</f>
        <v>0</v>
      </c>
      <c r="M269" s="85">
        <f>STATS1003B!M270/1000</f>
        <v>1355.86</v>
      </c>
      <c r="N269" s="85">
        <f>STATS1003B!N270/1000</f>
        <v>0</v>
      </c>
      <c r="O269" s="85">
        <f>STATS1003B!O270/1000</f>
        <v>0</v>
      </c>
      <c r="P269" s="85">
        <f>STATS1003B!P270/1000</f>
        <v>0</v>
      </c>
      <c r="Q269" s="85">
        <f>STATS1003B!Q270/1000</f>
        <v>0</v>
      </c>
      <c r="R269" s="85">
        <f>STATS1003B!R270/1000</f>
        <v>0</v>
      </c>
      <c r="S269" s="85">
        <f>STATS1003B!S270/1000</f>
        <v>0</v>
      </c>
      <c r="T269" s="85">
        <f>STATS1003B!T270/1000</f>
        <v>0</v>
      </c>
      <c r="U269" s="85">
        <f>STATS1003B!U270/1000</f>
        <v>0</v>
      </c>
      <c r="V269" s="85">
        <f>STATS1003B!V270/1000</f>
        <v>0</v>
      </c>
      <c r="W269" s="85">
        <f>STATS1003B!W270/1000</f>
        <v>0</v>
      </c>
      <c r="X269" s="85">
        <f t="shared" si="32"/>
        <v>1355.86</v>
      </c>
      <c r="Y269" s="85">
        <f>STATS1003B!Y270/1000</f>
        <v>0</v>
      </c>
      <c r="Z269" s="85">
        <f>STATS1003B!Z270/1000</f>
        <v>244.14</v>
      </c>
      <c r="AA269" s="69">
        <f>STATS1003B!AA270/1000</f>
        <v>1355.86</v>
      </c>
      <c r="AB269" s="69">
        <f>STATS1003B!AB270/1000</f>
        <v>244.14</v>
      </c>
    </row>
    <row r="270" spans="1:28" hidden="1" x14ac:dyDescent="0.3">
      <c r="A270" s="117"/>
      <c r="C270" s="68" t="s">
        <v>535</v>
      </c>
      <c r="D270" s="87" t="s">
        <v>128</v>
      </c>
      <c r="E270" s="85">
        <f>STATS1003B!E271/1000</f>
        <v>5000</v>
      </c>
      <c r="F270" s="85">
        <f>STATS1003B!F271/1000</f>
        <v>5000</v>
      </c>
      <c r="G270" s="85">
        <f>STATS1003B!G271/1000</f>
        <v>0</v>
      </c>
      <c r="H270" s="85">
        <f>STATS1003B!H271/1000</f>
        <v>5000</v>
      </c>
      <c r="I270" s="85">
        <f>STATS1003B!I271/1000</f>
        <v>0</v>
      </c>
      <c r="J270" s="85">
        <f>STATS1003B!J271/1000</f>
        <v>5000</v>
      </c>
      <c r="K270" s="85">
        <f>STATS1003B!K271/1000</f>
        <v>0</v>
      </c>
      <c r="L270" s="85">
        <f>STATS1003B!L271/1000</f>
        <v>0</v>
      </c>
      <c r="M270" s="85">
        <f>STATS1003B!M271/1000</f>
        <v>5000</v>
      </c>
      <c r="N270" s="85">
        <f>STATS1003B!N271/1000</f>
        <v>0</v>
      </c>
      <c r="O270" s="85">
        <f>STATS1003B!O271/1000</f>
        <v>0</v>
      </c>
      <c r="P270" s="85">
        <f>STATS1003B!P271/1000</f>
        <v>0</v>
      </c>
      <c r="Q270" s="85">
        <f>STATS1003B!Q271/1000</f>
        <v>0</v>
      </c>
      <c r="R270" s="85">
        <f>STATS1003B!R271/1000</f>
        <v>0</v>
      </c>
      <c r="S270" s="85">
        <f>STATS1003B!S271/1000</f>
        <v>0</v>
      </c>
      <c r="T270" s="85">
        <f>STATS1003B!T271/1000</f>
        <v>0</v>
      </c>
      <c r="U270" s="85">
        <f>STATS1003B!U271/1000</f>
        <v>0</v>
      </c>
      <c r="V270" s="85">
        <f>STATS1003B!V271/1000</f>
        <v>0</v>
      </c>
      <c r="W270" s="85">
        <f>STATS1003B!W271/1000</f>
        <v>0</v>
      </c>
      <c r="X270" s="85">
        <f t="shared" si="32"/>
        <v>5000</v>
      </c>
      <c r="Y270" s="85">
        <f>STATS1003B!Y271/1000</f>
        <v>0</v>
      </c>
      <c r="Z270" s="85">
        <f>STATS1003B!Z271/1000</f>
        <v>0</v>
      </c>
      <c r="AA270" s="69">
        <f>STATS1003B!AA271/1000</f>
        <v>5000</v>
      </c>
      <c r="AB270" s="69">
        <f>STATS1003B!AB271/1000</f>
        <v>0</v>
      </c>
    </row>
    <row r="271" spans="1:28" hidden="1" x14ac:dyDescent="0.3">
      <c r="A271" s="117"/>
      <c r="C271" s="68" t="s">
        <v>548</v>
      </c>
      <c r="D271" s="87" t="s">
        <v>128</v>
      </c>
      <c r="E271" s="85">
        <f>STATS1003B!E272/1000</f>
        <v>1600</v>
      </c>
      <c r="F271" s="85">
        <f>STATS1003B!F272/1000</f>
        <v>634.35</v>
      </c>
      <c r="G271" s="85">
        <f>STATS1003B!G272/1000</f>
        <v>0</v>
      </c>
      <c r="H271" s="85">
        <f>STATS1003B!H272/1000</f>
        <v>634.35</v>
      </c>
      <c r="I271" s="85">
        <f>STATS1003B!I272/1000</f>
        <v>965.65</v>
      </c>
      <c r="J271" s="85">
        <f>STATS1003B!J272/1000</f>
        <v>1600</v>
      </c>
      <c r="K271" s="85">
        <f>STATS1003B!K272/1000</f>
        <v>0</v>
      </c>
      <c r="L271" s="85">
        <f>STATS1003B!L272/1000</f>
        <v>965.65</v>
      </c>
      <c r="M271" s="85">
        <f>STATS1003B!M272/1000</f>
        <v>1600</v>
      </c>
      <c r="N271" s="85">
        <f>STATS1003B!N272/1000</f>
        <v>0</v>
      </c>
      <c r="O271" s="85">
        <f>STATS1003B!O272/1000</f>
        <v>0</v>
      </c>
      <c r="P271" s="85">
        <f>STATS1003B!P272/1000</f>
        <v>0</v>
      </c>
      <c r="Q271" s="85">
        <f>STATS1003B!Q272/1000</f>
        <v>0</v>
      </c>
      <c r="R271" s="85">
        <f>STATS1003B!R272/1000</f>
        <v>0</v>
      </c>
      <c r="S271" s="85">
        <f>STATS1003B!S272/1000</f>
        <v>0</v>
      </c>
      <c r="T271" s="85">
        <f>STATS1003B!T272/1000</f>
        <v>0</v>
      </c>
      <c r="U271" s="85">
        <f>STATS1003B!U272/1000</f>
        <v>0</v>
      </c>
      <c r="V271" s="85">
        <f>STATS1003B!V272/1000</f>
        <v>0</v>
      </c>
      <c r="W271" s="85">
        <f>STATS1003B!W272/1000</f>
        <v>0</v>
      </c>
      <c r="X271" s="85">
        <f t="shared" si="32"/>
        <v>634.35</v>
      </c>
      <c r="Y271" s="85">
        <f>STATS1003B!Y272/1000</f>
        <v>0</v>
      </c>
      <c r="Z271" s="85">
        <f>STATS1003B!Z272/1000</f>
        <v>965.65</v>
      </c>
      <c r="AA271" s="69">
        <f>STATS1003B!AA272/1000</f>
        <v>1600</v>
      </c>
      <c r="AB271" s="69">
        <f>STATS1003B!AB272/1000</f>
        <v>0</v>
      </c>
    </row>
    <row r="272" spans="1:28" hidden="1" x14ac:dyDescent="0.3">
      <c r="A272" s="117"/>
      <c r="C272" s="68" t="s">
        <v>535</v>
      </c>
      <c r="D272" s="87" t="s">
        <v>58</v>
      </c>
      <c r="E272" s="85">
        <f>STATS1003B!E273/1000</f>
        <v>2297.58</v>
      </c>
      <c r="F272" s="85">
        <f>STATS1003B!F273/1000</f>
        <v>2297.58</v>
      </c>
      <c r="G272" s="85">
        <f>STATS1003B!G273/1000</f>
        <v>0</v>
      </c>
      <c r="H272" s="85">
        <f>STATS1003B!H273/1000</f>
        <v>2297.58</v>
      </c>
      <c r="I272" s="85">
        <f>STATS1003B!I273/1000</f>
        <v>0</v>
      </c>
      <c r="J272" s="85">
        <f>STATS1003B!J273/1000</f>
        <v>2297.58</v>
      </c>
      <c r="K272" s="85">
        <f>STATS1003B!K273/1000</f>
        <v>0</v>
      </c>
      <c r="L272" s="85">
        <f>STATS1003B!L273/1000</f>
        <v>0</v>
      </c>
      <c r="M272" s="85">
        <f>STATS1003B!M273/1000</f>
        <v>2297.58</v>
      </c>
      <c r="N272" s="85">
        <f>STATS1003B!N273/1000</f>
        <v>0</v>
      </c>
      <c r="O272" s="85">
        <f>STATS1003B!O273/1000</f>
        <v>0</v>
      </c>
      <c r="P272" s="85">
        <f>STATS1003B!P273/1000</f>
        <v>0</v>
      </c>
      <c r="Q272" s="85">
        <f>STATS1003B!Q273/1000</f>
        <v>0</v>
      </c>
      <c r="R272" s="85">
        <f>STATS1003B!R273/1000</f>
        <v>0</v>
      </c>
      <c r="S272" s="85">
        <f>STATS1003B!S273/1000</f>
        <v>0</v>
      </c>
      <c r="T272" s="85">
        <f>STATS1003B!T273/1000</f>
        <v>0</v>
      </c>
      <c r="U272" s="85">
        <f>STATS1003B!U273/1000</f>
        <v>0</v>
      </c>
      <c r="V272" s="85">
        <f>STATS1003B!V273/1000</f>
        <v>0</v>
      </c>
      <c r="W272" s="85">
        <f>STATS1003B!W273/1000</f>
        <v>0</v>
      </c>
      <c r="X272" s="85">
        <f t="shared" si="32"/>
        <v>2297.58</v>
      </c>
      <c r="Y272" s="85">
        <f>STATS1003B!Y273/1000</f>
        <v>0</v>
      </c>
      <c r="Z272" s="85">
        <f>STATS1003B!Z273/1000</f>
        <v>0</v>
      </c>
      <c r="AA272" s="69">
        <f>STATS1003B!AA273/1000</f>
        <v>2297.58</v>
      </c>
      <c r="AB272" s="69">
        <f>STATS1003B!AB273/1000</f>
        <v>0</v>
      </c>
    </row>
    <row r="273" spans="1:28" hidden="1" x14ac:dyDescent="0.3">
      <c r="A273" s="117"/>
      <c r="C273" s="68" t="s">
        <v>535</v>
      </c>
      <c r="D273" s="87" t="s">
        <v>60</v>
      </c>
      <c r="E273" s="85">
        <f>STATS1003B!E274/1000</f>
        <v>1117.722</v>
      </c>
      <c r="F273" s="85">
        <f>STATS1003B!F274/1000</f>
        <v>1117.722</v>
      </c>
      <c r="G273" s="85">
        <f>STATS1003B!G274/1000</f>
        <v>0</v>
      </c>
      <c r="H273" s="85">
        <f>STATS1003B!H274/1000</f>
        <v>1117.722</v>
      </c>
      <c r="I273" s="85">
        <f>STATS1003B!I274/1000</f>
        <v>0</v>
      </c>
      <c r="J273" s="85">
        <f>STATS1003B!J274/1000</f>
        <v>1117.722</v>
      </c>
      <c r="K273" s="85">
        <f>STATS1003B!K274/1000</f>
        <v>0</v>
      </c>
      <c r="L273" s="85">
        <f>STATS1003B!L274/1000</f>
        <v>0</v>
      </c>
      <c r="M273" s="85">
        <f>STATS1003B!M274/1000</f>
        <v>1117.722</v>
      </c>
      <c r="N273" s="85">
        <f>STATS1003B!N274/1000</f>
        <v>0</v>
      </c>
      <c r="O273" s="85">
        <f>STATS1003B!O274/1000</f>
        <v>0</v>
      </c>
      <c r="P273" s="85">
        <f>STATS1003B!P274/1000</f>
        <v>0</v>
      </c>
      <c r="Q273" s="85">
        <f>STATS1003B!Q274/1000</f>
        <v>0</v>
      </c>
      <c r="R273" s="85">
        <f>STATS1003B!R274/1000</f>
        <v>0</v>
      </c>
      <c r="S273" s="85">
        <f>STATS1003B!S274/1000</f>
        <v>0</v>
      </c>
      <c r="T273" s="85">
        <f>STATS1003B!T274/1000</f>
        <v>0</v>
      </c>
      <c r="U273" s="85">
        <f>STATS1003B!U274/1000</f>
        <v>0</v>
      </c>
      <c r="V273" s="85">
        <f>STATS1003B!V274/1000</f>
        <v>0</v>
      </c>
      <c r="W273" s="85">
        <f>STATS1003B!W274/1000</f>
        <v>0</v>
      </c>
      <c r="X273" s="85">
        <f t="shared" si="32"/>
        <v>1117.722</v>
      </c>
      <c r="Y273" s="85">
        <f>STATS1003B!Y274/1000</f>
        <v>0</v>
      </c>
      <c r="Z273" s="85">
        <f>STATS1003B!Z274/1000</f>
        <v>0</v>
      </c>
      <c r="AA273" s="69">
        <f>STATS1003B!AA274/1000</f>
        <v>1117.722</v>
      </c>
      <c r="AB273" s="69">
        <f>STATS1003B!AB274/1000</f>
        <v>0</v>
      </c>
    </row>
    <row r="274" spans="1:28" hidden="1" x14ac:dyDescent="0.3">
      <c r="A274" s="117"/>
      <c r="C274" s="71" t="s">
        <v>549</v>
      </c>
      <c r="D274" s="88" t="s">
        <v>73</v>
      </c>
      <c r="E274" s="85">
        <f>STATS1003B!E275/1000</f>
        <v>500</v>
      </c>
      <c r="F274" s="85">
        <f>STATS1003B!F275/1000</f>
        <v>500</v>
      </c>
      <c r="G274" s="85">
        <f>STATS1003B!G275/1000</f>
        <v>0</v>
      </c>
      <c r="H274" s="85">
        <f>STATS1003B!H275/1000</f>
        <v>500</v>
      </c>
      <c r="I274" s="85">
        <f>STATS1003B!I275/1000</f>
        <v>0</v>
      </c>
      <c r="J274" s="85">
        <f>STATS1003B!J275/1000</f>
        <v>500</v>
      </c>
      <c r="K274" s="85">
        <f>STATS1003B!K275/1000</f>
        <v>0</v>
      </c>
      <c r="L274" s="85">
        <f>STATS1003B!L275/1000</f>
        <v>0</v>
      </c>
      <c r="M274" s="85">
        <f>STATS1003B!M275/1000</f>
        <v>500</v>
      </c>
      <c r="N274" s="85">
        <f>STATS1003B!N275/1000</f>
        <v>0</v>
      </c>
      <c r="O274" s="85">
        <f>STATS1003B!O275/1000</f>
        <v>0</v>
      </c>
      <c r="P274" s="85">
        <f>STATS1003B!P275/1000</f>
        <v>0</v>
      </c>
      <c r="Q274" s="85">
        <f>STATS1003B!Q275/1000</f>
        <v>0</v>
      </c>
      <c r="R274" s="85">
        <f>STATS1003B!R275/1000</f>
        <v>0</v>
      </c>
      <c r="S274" s="85">
        <f>STATS1003B!S275/1000</f>
        <v>0</v>
      </c>
      <c r="T274" s="85">
        <f>STATS1003B!T275/1000</f>
        <v>0</v>
      </c>
      <c r="U274" s="85">
        <f>STATS1003B!U275/1000</f>
        <v>0</v>
      </c>
      <c r="V274" s="85">
        <f>STATS1003B!V275/1000</f>
        <v>0</v>
      </c>
      <c r="W274" s="85">
        <f>STATS1003B!W275/1000</f>
        <v>0</v>
      </c>
      <c r="X274" s="85">
        <f t="shared" si="32"/>
        <v>500</v>
      </c>
      <c r="Y274" s="85">
        <f>STATS1003B!Y275/1000</f>
        <v>0</v>
      </c>
      <c r="Z274" s="85">
        <f>STATS1003B!Z275/1000</f>
        <v>0</v>
      </c>
      <c r="AA274" s="69">
        <f>STATS1003B!AA275/1000</f>
        <v>500</v>
      </c>
      <c r="AB274" s="69">
        <f>STATS1003B!AB275/1000</f>
        <v>0</v>
      </c>
    </row>
    <row r="275" spans="1:28" hidden="1" x14ac:dyDescent="0.3">
      <c r="A275" s="117"/>
      <c r="C275" s="71" t="s">
        <v>1207</v>
      </c>
      <c r="D275" s="89" t="s">
        <v>1126</v>
      </c>
      <c r="E275" s="85">
        <f>STATS1003B!E276/1000</f>
        <v>500</v>
      </c>
      <c r="F275" s="85">
        <f>STATS1003B!F276/1000</f>
        <v>500</v>
      </c>
      <c r="G275" s="85">
        <f>STATS1003B!G276/1000</f>
        <v>0</v>
      </c>
      <c r="H275" s="85">
        <f>STATS1003B!H276/1000</f>
        <v>500</v>
      </c>
      <c r="I275" s="85">
        <f>STATS1003B!I276/1000</f>
        <v>0</v>
      </c>
      <c r="J275" s="85">
        <f>STATS1003B!J276/1000</f>
        <v>500</v>
      </c>
      <c r="K275" s="85">
        <f>STATS1003B!K276/1000</f>
        <v>0</v>
      </c>
      <c r="L275" s="85">
        <f>STATS1003B!L276/1000</f>
        <v>0</v>
      </c>
      <c r="M275" s="85">
        <f>STATS1003B!M276/1000</f>
        <v>500</v>
      </c>
      <c r="N275" s="85">
        <f>STATS1003B!N276/1000</f>
        <v>0</v>
      </c>
      <c r="O275" s="85">
        <f>STATS1003B!O276/1000</f>
        <v>0</v>
      </c>
      <c r="P275" s="85">
        <f>STATS1003B!P276/1000</f>
        <v>0</v>
      </c>
      <c r="Q275" s="85">
        <f>STATS1003B!Q276/1000</f>
        <v>0</v>
      </c>
      <c r="R275" s="85">
        <f>STATS1003B!R276/1000</f>
        <v>0</v>
      </c>
      <c r="S275" s="85">
        <f>STATS1003B!S276/1000</f>
        <v>0</v>
      </c>
      <c r="T275" s="85">
        <f>STATS1003B!T276/1000</f>
        <v>0</v>
      </c>
      <c r="U275" s="85">
        <f>STATS1003B!U276/1000</f>
        <v>0</v>
      </c>
      <c r="V275" s="85">
        <f>STATS1003B!V276/1000</f>
        <v>0</v>
      </c>
      <c r="W275" s="85">
        <f>STATS1003B!W276/1000</f>
        <v>0</v>
      </c>
      <c r="X275" s="85">
        <f t="shared" si="32"/>
        <v>500</v>
      </c>
      <c r="Y275" s="85">
        <f>STATS1003B!Y276/1000</f>
        <v>0</v>
      </c>
      <c r="Z275" s="85">
        <f>STATS1003B!Z276/1000</f>
        <v>0</v>
      </c>
      <c r="AA275" s="69">
        <f>STATS1003B!AA276/1000</f>
        <v>500</v>
      </c>
      <c r="AB275" s="69">
        <f>STATS1003B!AB276/1000</f>
        <v>0</v>
      </c>
    </row>
    <row r="276" spans="1:28" hidden="1" x14ac:dyDescent="0.3">
      <c r="A276" s="117"/>
      <c r="C276" s="68" t="s">
        <v>550</v>
      </c>
      <c r="E276" s="85">
        <f>STATS1003B!E277/1000</f>
        <v>390.84571999999997</v>
      </c>
      <c r="F276" s="85">
        <f>STATS1003B!F277/1000</f>
        <v>0</v>
      </c>
      <c r="G276" s="85">
        <f>STATS1003B!G277/1000</f>
        <v>0</v>
      </c>
      <c r="H276" s="85">
        <f>STATS1003B!H277/1000</f>
        <v>0</v>
      </c>
      <c r="I276" s="85">
        <f>STATS1003B!I277/1000</f>
        <v>0</v>
      </c>
      <c r="J276" s="85">
        <f>STATS1003B!J277/1000</f>
        <v>0</v>
      </c>
      <c r="K276" s="85">
        <f>STATS1003B!K277/1000</f>
        <v>390.84571999999997</v>
      </c>
      <c r="L276" s="85">
        <f>STATS1003B!L277/1000</f>
        <v>0</v>
      </c>
      <c r="M276" s="85">
        <f>STATS1003B!M277/1000</f>
        <v>0</v>
      </c>
      <c r="N276" s="85">
        <f>STATS1003B!N277/1000</f>
        <v>390.84571999999997</v>
      </c>
      <c r="O276" s="85">
        <f>STATS1003B!O277/1000</f>
        <v>0</v>
      </c>
      <c r="P276" s="85">
        <f>STATS1003B!P277/1000</f>
        <v>390.84571999999997</v>
      </c>
      <c r="Q276" s="85">
        <f>STATS1003B!Q277/1000</f>
        <v>0</v>
      </c>
      <c r="R276" s="85">
        <f>STATS1003B!R277/1000</f>
        <v>0</v>
      </c>
      <c r="S276" s="85">
        <f>STATS1003B!S277/1000</f>
        <v>0</v>
      </c>
      <c r="T276" s="85">
        <f>STATS1003B!T277/1000</f>
        <v>0</v>
      </c>
      <c r="U276" s="85">
        <f>STATS1003B!U277/1000</f>
        <v>390.84571999999997</v>
      </c>
      <c r="V276" s="85">
        <f>STATS1003B!V277/1000</f>
        <v>0</v>
      </c>
      <c r="W276" s="85">
        <f>STATS1003B!W277/1000</f>
        <v>0</v>
      </c>
      <c r="X276" s="85">
        <f t="shared" si="32"/>
        <v>390.84571999999997</v>
      </c>
      <c r="Y276" s="85">
        <f>STATS1003B!Y277/1000</f>
        <v>0</v>
      </c>
      <c r="Z276" s="85">
        <f>STATS1003B!Z277/1000</f>
        <v>0</v>
      </c>
      <c r="AA276" s="69">
        <f>STATS1003B!AA277/1000</f>
        <v>390.84571999999997</v>
      </c>
      <c r="AB276" s="69">
        <f>STATS1003B!AB277/1000</f>
        <v>0</v>
      </c>
    </row>
    <row r="277" spans="1:28" hidden="1" x14ac:dyDescent="0.3">
      <c r="A277" s="117"/>
      <c r="C277" s="68" t="s">
        <v>551</v>
      </c>
      <c r="E277" s="85">
        <f>STATS1003B!E278/1000</f>
        <v>158.72300000000001</v>
      </c>
      <c r="F277" s="85">
        <f>STATS1003B!F278/1000</f>
        <v>158.72300000000001</v>
      </c>
      <c r="G277" s="85">
        <f>STATS1003B!G278/1000</f>
        <v>0</v>
      </c>
      <c r="H277" s="85">
        <f>STATS1003B!H278/1000</f>
        <v>158.72300000000001</v>
      </c>
      <c r="I277" s="85">
        <f>STATS1003B!I278/1000</f>
        <v>0</v>
      </c>
      <c r="J277" s="85">
        <f>STATS1003B!J278/1000</f>
        <v>158.72300000000001</v>
      </c>
      <c r="K277" s="85">
        <f>STATS1003B!K278/1000</f>
        <v>0</v>
      </c>
      <c r="L277" s="85">
        <f>STATS1003B!L278/1000</f>
        <v>0</v>
      </c>
      <c r="M277" s="85">
        <f>STATS1003B!M278/1000</f>
        <v>158.72300000000001</v>
      </c>
      <c r="N277" s="85">
        <f>STATS1003B!N278/1000</f>
        <v>0</v>
      </c>
      <c r="O277" s="85">
        <f>STATS1003B!O278/1000</f>
        <v>0</v>
      </c>
      <c r="P277" s="85">
        <f>STATS1003B!P278/1000</f>
        <v>0</v>
      </c>
      <c r="Q277" s="85">
        <f>STATS1003B!Q278/1000</f>
        <v>0</v>
      </c>
      <c r="R277" s="85">
        <f>STATS1003B!R278/1000</f>
        <v>0</v>
      </c>
      <c r="S277" s="85">
        <f>STATS1003B!S278/1000</f>
        <v>0</v>
      </c>
      <c r="T277" s="85">
        <f>STATS1003B!T278/1000</f>
        <v>0</v>
      </c>
      <c r="U277" s="85">
        <f>STATS1003B!U278/1000</f>
        <v>0</v>
      </c>
      <c r="V277" s="85">
        <f>STATS1003B!V278/1000</f>
        <v>0</v>
      </c>
      <c r="W277" s="85">
        <f>STATS1003B!W278/1000</f>
        <v>0</v>
      </c>
      <c r="X277" s="85">
        <f t="shared" si="32"/>
        <v>158.72300000000001</v>
      </c>
      <c r="Y277" s="85">
        <f>STATS1003B!Y278/1000</f>
        <v>0</v>
      </c>
      <c r="Z277" s="85">
        <f>STATS1003B!Z278/1000</f>
        <v>0</v>
      </c>
      <c r="AA277" s="69">
        <f>STATS1003B!AA278/1000</f>
        <v>158.72300000000001</v>
      </c>
      <c r="AB277" s="69">
        <f>STATS1003B!AB278/1000</f>
        <v>0</v>
      </c>
    </row>
    <row r="278" spans="1:28" hidden="1" x14ac:dyDescent="0.3">
      <c r="A278" s="117"/>
      <c r="C278" s="68" t="s">
        <v>543</v>
      </c>
      <c r="E278" s="85">
        <f>STATS1003B!E279/1000</f>
        <v>2500</v>
      </c>
      <c r="F278" s="85">
        <f>STATS1003B!F279/1000</f>
        <v>2500</v>
      </c>
      <c r="G278" s="85">
        <f>STATS1003B!G279/1000</f>
        <v>0</v>
      </c>
      <c r="H278" s="85">
        <f>STATS1003B!H279/1000</f>
        <v>2500</v>
      </c>
      <c r="I278" s="85">
        <f>STATS1003B!I279/1000</f>
        <v>0</v>
      </c>
      <c r="J278" s="85">
        <f>STATS1003B!J279/1000</f>
        <v>2500</v>
      </c>
      <c r="K278" s="85">
        <f>STATS1003B!K279/1000</f>
        <v>0</v>
      </c>
      <c r="L278" s="85">
        <f>STATS1003B!L279/1000</f>
        <v>0</v>
      </c>
      <c r="M278" s="85">
        <f>STATS1003B!M279/1000</f>
        <v>2500</v>
      </c>
      <c r="N278" s="85">
        <f>STATS1003B!N279/1000</f>
        <v>0</v>
      </c>
      <c r="O278" s="85">
        <f>STATS1003B!O279/1000</f>
        <v>0</v>
      </c>
      <c r="P278" s="85">
        <f>STATS1003B!P279/1000</f>
        <v>0</v>
      </c>
      <c r="Q278" s="85">
        <f>STATS1003B!Q279/1000</f>
        <v>0</v>
      </c>
      <c r="R278" s="85">
        <f>STATS1003B!R279/1000</f>
        <v>0</v>
      </c>
      <c r="S278" s="85">
        <f>STATS1003B!S279/1000</f>
        <v>0</v>
      </c>
      <c r="T278" s="85">
        <f>STATS1003B!T279/1000</f>
        <v>0</v>
      </c>
      <c r="U278" s="85">
        <f>STATS1003B!U279/1000</f>
        <v>0</v>
      </c>
      <c r="V278" s="85">
        <f>STATS1003B!V279/1000</f>
        <v>0</v>
      </c>
      <c r="W278" s="85">
        <f>STATS1003B!W279/1000</f>
        <v>0</v>
      </c>
      <c r="X278" s="85">
        <f t="shared" si="32"/>
        <v>2500</v>
      </c>
      <c r="Y278" s="85">
        <f>STATS1003B!Y279/1000</f>
        <v>0</v>
      </c>
      <c r="Z278" s="85">
        <f>STATS1003B!Z279/1000</f>
        <v>0</v>
      </c>
      <c r="AA278" s="69">
        <f>STATS1003B!AA279/1000</f>
        <v>2500</v>
      </c>
      <c r="AB278" s="69">
        <f>STATS1003B!AB279/1000</f>
        <v>0</v>
      </c>
    </row>
    <row r="279" spans="1:28" hidden="1" x14ac:dyDescent="0.3">
      <c r="A279" s="117"/>
      <c r="E279" s="86" t="s">
        <v>29</v>
      </c>
      <c r="F279" s="86" t="s">
        <v>29</v>
      </c>
      <c r="G279" s="86" t="s">
        <v>29</v>
      </c>
      <c r="H279" s="86" t="s">
        <v>29</v>
      </c>
      <c r="I279" s="86" t="s">
        <v>29</v>
      </c>
      <c r="J279" s="86" t="s">
        <v>29</v>
      </c>
      <c r="K279" s="86" t="s">
        <v>29</v>
      </c>
      <c r="L279" s="86" t="s">
        <v>29</v>
      </c>
      <c r="M279" s="86" t="s">
        <v>29</v>
      </c>
      <c r="N279" s="86" t="s">
        <v>29</v>
      </c>
      <c r="O279" s="86" t="s">
        <v>29</v>
      </c>
      <c r="P279" s="86" t="s">
        <v>29</v>
      </c>
      <c r="Q279" s="86" t="s">
        <v>29</v>
      </c>
      <c r="R279" s="86" t="s">
        <v>29</v>
      </c>
      <c r="S279" s="86" t="s">
        <v>29</v>
      </c>
      <c r="T279" s="86" t="s">
        <v>29</v>
      </c>
      <c r="U279" s="86" t="s">
        <v>29</v>
      </c>
      <c r="V279" s="86" t="s">
        <v>29</v>
      </c>
      <c r="W279" s="86" t="s">
        <v>29</v>
      </c>
      <c r="X279" s="85" t="e">
        <f t="shared" si="32"/>
        <v>#VALUE!</v>
      </c>
      <c r="Y279" s="86" t="s">
        <v>29</v>
      </c>
      <c r="Z279" s="86" t="s">
        <v>29</v>
      </c>
      <c r="AA279" s="115" t="s">
        <v>29</v>
      </c>
      <c r="AB279" s="115" t="s">
        <v>29</v>
      </c>
    </row>
    <row r="280" spans="1:28" x14ac:dyDescent="0.3">
      <c r="A280" s="116" t="s">
        <v>946</v>
      </c>
      <c r="B280" s="68" t="s">
        <v>544</v>
      </c>
      <c r="E280" s="85">
        <f>102361089.05/1000</f>
        <v>102361.08905</v>
      </c>
      <c r="F280" s="85">
        <f t="shared" ref="F280:Q280" si="33">SUM(F264:F279)</f>
        <v>17343.116999999998</v>
      </c>
      <c r="G280" s="85">
        <f t="shared" si="33"/>
        <v>0</v>
      </c>
      <c r="H280" s="85">
        <f>84662434.54/1000</f>
        <v>84662.434540000002</v>
      </c>
      <c r="I280" s="85">
        <f t="shared" si="33"/>
        <v>965.65</v>
      </c>
      <c r="J280" s="85">
        <f t="shared" si="33"/>
        <v>18308.767</v>
      </c>
      <c r="K280" s="85">
        <f t="shared" si="33"/>
        <v>16488.864509999999</v>
      </c>
      <c r="L280" s="85">
        <f t="shared" si="33"/>
        <v>965.65</v>
      </c>
      <c r="M280" s="85">
        <f t="shared" si="33"/>
        <v>18308.767</v>
      </c>
      <c r="N280" s="85">
        <f t="shared" si="33"/>
        <v>16488.864509999999</v>
      </c>
      <c r="O280" s="85">
        <f t="shared" si="33"/>
        <v>0</v>
      </c>
      <c r="P280" s="85">
        <f>16488864/1000</f>
        <v>16488.864000000001</v>
      </c>
      <c r="Q280" s="85">
        <f t="shared" si="33"/>
        <v>0</v>
      </c>
      <c r="R280" s="86"/>
      <c r="S280" s="86"/>
      <c r="T280" s="92">
        <v>0</v>
      </c>
      <c r="U280" s="92">
        <f>+P280+T280</f>
        <v>16488.864000000001</v>
      </c>
      <c r="V280" s="92"/>
      <c r="W280" s="92"/>
      <c r="X280" s="85">
        <f>+H280+P280</f>
        <v>101151.29854</v>
      </c>
      <c r="Y280" s="92"/>
      <c r="Z280" s="85">
        <f t="shared" ref="Z280:Z343" si="34">+E280-X280</f>
        <v>1209.7905099999916</v>
      </c>
      <c r="AA280" s="121">
        <f>SUM(AA264:AA278)</f>
        <v>34797.631510000007</v>
      </c>
      <c r="AB280" s="121">
        <f>SUM(AB264:AB278)</f>
        <v>244.14</v>
      </c>
    </row>
    <row r="281" spans="1:28" hidden="1" x14ac:dyDescent="0.3">
      <c r="A281" s="117"/>
      <c r="E281" s="86" t="s">
        <v>29</v>
      </c>
      <c r="F281" s="86" t="s">
        <v>29</v>
      </c>
      <c r="G281" s="86" t="s">
        <v>29</v>
      </c>
      <c r="H281" s="86" t="s">
        <v>29</v>
      </c>
      <c r="I281" s="86" t="s">
        <v>29</v>
      </c>
      <c r="J281" s="86" t="s">
        <v>29</v>
      </c>
      <c r="K281" s="86" t="s">
        <v>29</v>
      </c>
      <c r="L281" s="86" t="s">
        <v>29</v>
      </c>
      <c r="M281" s="86" t="s">
        <v>29</v>
      </c>
      <c r="N281" s="86" t="s">
        <v>29</v>
      </c>
      <c r="O281" s="86" t="s">
        <v>29</v>
      </c>
      <c r="P281" s="86" t="s">
        <v>29</v>
      </c>
      <c r="Q281" s="86" t="s">
        <v>29</v>
      </c>
      <c r="R281" s="86" t="s">
        <v>29</v>
      </c>
      <c r="S281" s="86" t="s">
        <v>29</v>
      </c>
      <c r="T281" s="86" t="s">
        <v>29</v>
      </c>
      <c r="U281" s="86" t="s">
        <v>29</v>
      </c>
      <c r="V281" s="86" t="s">
        <v>29</v>
      </c>
      <c r="W281" s="86" t="s">
        <v>29</v>
      </c>
      <c r="X281" s="85" t="e">
        <f t="shared" si="32"/>
        <v>#VALUE!</v>
      </c>
      <c r="Y281" s="86" t="s">
        <v>29</v>
      </c>
      <c r="Z281" s="85" t="e">
        <f t="shared" si="34"/>
        <v>#VALUE!</v>
      </c>
      <c r="AA281" s="115" t="s">
        <v>29</v>
      </c>
      <c r="AB281" s="115" t="s">
        <v>29</v>
      </c>
    </row>
    <row r="282" spans="1:28" hidden="1" x14ac:dyDescent="0.3">
      <c r="A282" s="105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6"/>
      <c r="S282" s="86"/>
      <c r="T282" s="92"/>
      <c r="U282" s="92"/>
      <c r="V282" s="92"/>
      <c r="W282" s="92"/>
      <c r="X282" s="85">
        <f t="shared" si="32"/>
        <v>0</v>
      </c>
      <c r="Y282" s="92"/>
      <c r="Z282" s="85">
        <f t="shared" si="34"/>
        <v>0</v>
      </c>
      <c r="AA282" s="118"/>
    </row>
    <row r="283" spans="1:28" hidden="1" x14ac:dyDescent="0.3">
      <c r="A283" s="117"/>
      <c r="C283" s="68" t="s">
        <v>553</v>
      </c>
      <c r="D283" s="87" t="s">
        <v>150</v>
      </c>
      <c r="E283" s="85">
        <f>STATS1003B!E284/1000</f>
        <v>3215.2519600000001</v>
      </c>
      <c r="F283" s="85">
        <f>STATS1003B!F284/1000</f>
        <v>2405.2714900000001</v>
      </c>
      <c r="G283" s="85">
        <f>STATS1003B!G284/1000</f>
        <v>0</v>
      </c>
      <c r="H283" s="85">
        <f>STATS1003B!H284/1000</f>
        <v>2405.2714900000001</v>
      </c>
      <c r="I283" s="85">
        <f>STATS1003B!I284/1000</f>
        <v>0</v>
      </c>
      <c r="J283" s="85">
        <f>STATS1003B!J284/1000</f>
        <v>2405.2714900000001</v>
      </c>
      <c r="K283" s="85">
        <f>STATS1003B!K284/1000</f>
        <v>809.98046999999997</v>
      </c>
      <c r="L283" s="85">
        <f>STATS1003B!L284/1000</f>
        <v>0</v>
      </c>
      <c r="M283" s="85">
        <f>STATS1003B!M284/1000</f>
        <v>2405.2714900000001</v>
      </c>
      <c r="N283" s="85">
        <f>STATS1003B!N284/1000</f>
        <v>809.98046999999997</v>
      </c>
      <c r="O283" s="85">
        <f>STATS1003B!O284/1000</f>
        <v>0</v>
      </c>
      <c r="P283" s="85">
        <f>STATS1003B!P284/1000</f>
        <v>809.98046999999997</v>
      </c>
      <c r="Q283" s="85">
        <f>STATS1003B!Q284/1000</f>
        <v>0</v>
      </c>
      <c r="R283" s="85">
        <f>STATS1003B!R284/1000</f>
        <v>0</v>
      </c>
      <c r="S283" s="85">
        <f>STATS1003B!S284/1000</f>
        <v>0</v>
      </c>
      <c r="T283" s="85">
        <f>STATS1003B!T284/1000</f>
        <v>0</v>
      </c>
      <c r="U283" s="85">
        <f>STATS1003B!U284/1000</f>
        <v>809.98046999999997</v>
      </c>
      <c r="V283" s="85">
        <f>STATS1003B!V284/1000</f>
        <v>0</v>
      </c>
      <c r="W283" s="85">
        <f>STATS1003B!W284/1000</f>
        <v>0</v>
      </c>
      <c r="X283" s="85">
        <f t="shared" si="32"/>
        <v>3215.2519600000001</v>
      </c>
      <c r="Y283" s="85">
        <f>STATS1003B!Y284/1000</f>
        <v>0</v>
      </c>
      <c r="Z283" s="85">
        <f t="shared" si="34"/>
        <v>0</v>
      </c>
      <c r="AA283" s="69">
        <f>STATS1003B!AA284/1000</f>
        <v>3215.2519600000001</v>
      </c>
      <c r="AB283" s="69">
        <f>STATS1003B!AB284/1000</f>
        <v>0</v>
      </c>
    </row>
    <row r="284" spans="1:28" hidden="1" x14ac:dyDescent="0.3">
      <c r="A284" s="117"/>
      <c r="C284" s="68" t="s">
        <v>554</v>
      </c>
      <c r="D284" s="87" t="s">
        <v>150</v>
      </c>
      <c r="E284" s="85">
        <f>STATS1003B!E285/1000</f>
        <v>1306</v>
      </c>
      <c r="F284" s="85">
        <f>STATS1003B!F285/1000</f>
        <v>1268.5170000000001</v>
      </c>
      <c r="G284" s="85">
        <f>STATS1003B!G285/1000</f>
        <v>0</v>
      </c>
      <c r="H284" s="85">
        <f>STATS1003B!H285/1000</f>
        <v>1268.5170000000001</v>
      </c>
      <c r="I284" s="85">
        <f>STATS1003B!I285/1000</f>
        <v>0</v>
      </c>
      <c r="J284" s="85">
        <f>STATS1003B!J285/1000</f>
        <v>1268.5170000000001</v>
      </c>
      <c r="K284" s="85">
        <f>STATS1003B!K285/1000</f>
        <v>37.482999999999997</v>
      </c>
      <c r="L284" s="85">
        <f>STATS1003B!L285/1000</f>
        <v>0</v>
      </c>
      <c r="M284" s="85">
        <f>STATS1003B!M285/1000</f>
        <v>1268.5170000000001</v>
      </c>
      <c r="N284" s="85">
        <f>STATS1003B!N285/1000</f>
        <v>37.482999999999997</v>
      </c>
      <c r="O284" s="85">
        <f>STATS1003B!O285/1000</f>
        <v>0</v>
      </c>
      <c r="P284" s="85">
        <f>STATS1003B!P285/1000</f>
        <v>37.482999999999997</v>
      </c>
      <c r="Q284" s="85">
        <f>STATS1003B!Q285/1000</f>
        <v>0</v>
      </c>
      <c r="R284" s="85">
        <f>STATS1003B!R285/1000</f>
        <v>0</v>
      </c>
      <c r="S284" s="85">
        <f>STATS1003B!S285/1000</f>
        <v>0</v>
      </c>
      <c r="T284" s="85">
        <f>STATS1003B!T285/1000</f>
        <v>0</v>
      </c>
      <c r="U284" s="85">
        <f>STATS1003B!U285/1000</f>
        <v>37.482999999999997</v>
      </c>
      <c r="V284" s="85">
        <f>STATS1003B!V285/1000</f>
        <v>0</v>
      </c>
      <c r="W284" s="85">
        <f>STATS1003B!W285/1000</f>
        <v>0</v>
      </c>
      <c r="X284" s="85">
        <f t="shared" si="32"/>
        <v>1306</v>
      </c>
      <c r="Y284" s="85">
        <f>STATS1003B!Y285/1000</f>
        <v>0</v>
      </c>
      <c r="Z284" s="85">
        <f t="shared" si="34"/>
        <v>0</v>
      </c>
      <c r="AA284" s="69">
        <f>STATS1003B!AA285/1000</f>
        <v>1306</v>
      </c>
      <c r="AB284" s="69">
        <f>STATS1003B!AB285/1000</f>
        <v>0</v>
      </c>
    </row>
    <row r="285" spans="1:28" hidden="1" x14ac:dyDescent="0.3">
      <c r="A285" s="117"/>
      <c r="C285" s="68" t="s">
        <v>555</v>
      </c>
      <c r="D285" s="87" t="s">
        <v>166</v>
      </c>
      <c r="E285" s="85">
        <f>STATS1003B!E286/1000</f>
        <v>1700.4369999999999</v>
      </c>
      <c r="F285" s="85">
        <f>STATS1003B!F286/1000</f>
        <v>1700.4369999999999</v>
      </c>
      <c r="G285" s="85">
        <f>STATS1003B!G286/1000</f>
        <v>0</v>
      </c>
      <c r="H285" s="85">
        <f>STATS1003B!H286/1000</f>
        <v>1700.4369999999999</v>
      </c>
      <c r="I285" s="85">
        <f>STATS1003B!I286/1000</f>
        <v>0</v>
      </c>
      <c r="J285" s="85">
        <f>STATS1003B!J286/1000</f>
        <v>1700.4369999999999</v>
      </c>
      <c r="K285" s="85">
        <f>STATS1003B!K286/1000</f>
        <v>0</v>
      </c>
      <c r="L285" s="85">
        <f>STATS1003B!L286/1000</f>
        <v>0</v>
      </c>
      <c r="M285" s="85">
        <f>STATS1003B!M286/1000</f>
        <v>1700.4369999999999</v>
      </c>
      <c r="N285" s="85">
        <f>STATS1003B!N286/1000</f>
        <v>0</v>
      </c>
      <c r="O285" s="85">
        <f>STATS1003B!O286/1000</f>
        <v>0</v>
      </c>
      <c r="P285" s="85">
        <f>STATS1003B!P286/1000</f>
        <v>0</v>
      </c>
      <c r="Q285" s="85">
        <f>STATS1003B!Q286/1000</f>
        <v>0</v>
      </c>
      <c r="R285" s="85">
        <f>STATS1003B!R286/1000</f>
        <v>0</v>
      </c>
      <c r="S285" s="85">
        <f>STATS1003B!S286/1000</f>
        <v>0</v>
      </c>
      <c r="T285" s="85">
        <f>STATS1003B!T286/1000</f>
        <v>0</v>
      </c>
      <c r="U285" s="85">
        <f>STATS1003B!U286/1000</f>
        <v>0</v>
      </c>
      <c r="V285" s="85">
        <f>STATS1003B!V286/1000</f>
        <v>0</v>
      </c>
      <c r="W285" s="85">
        <f>STATS1003B!W286/1000</f>
        <v>0</v>
      </c>
      <c r="X285" s="85">
        <f t="shared" si="32"/>
        <v>1700.4369999999999</v>
      </c>
      <c r="Y285" s="85">
        <f>STATS1003B!Y286/1000</f>
        <v>0</v>
      </c>
      <c r="Z285" s="85">
        <f t="shared" si="34"/>
        <v>0</v>
      </c>
      <c r="AA285" s="69">
        <f>STATS1003B!AA286/1000</f>
        <v>1700.4369999999999</v>
      </c>
      <c r="AB285" s="69">
        <f>STATS1003B!AB286/1000</f>
        <v>0</v>
      </c>
    </row>
    <row r="286" spans="1:28" hidden="1" x14ac:dyDescent="0.3">
      <c r="A286" s="117"/>
      <c r="C286" s="68" t="s">
        <v>556</v>
      </c>
      <c r="D286" s="87" t="s">
        <v>166</v>
      </c>
      <c r="E286" s="85">
        <f>STATS1003B!E287/1000</f>
        <v>502.91800000000001</v>
      </c>
      <c r="F286" s="85">
        <f>STATS1003B!F287/1000</f>
        <v>502.91800000000001</v>
      </c>
      <c r="G286" s="85">
        <f>STATS1003B!G287/1000</f>
        <v>0</v>
      </c>
      <c r="H286" s="85">
        <f>STATS1003B!H287/1000</f>
        <v>502.91800000000001</v>
      </c>
      <c r="I286" s="85">
        <f>STATS1003B!I287/1000</f>
        <v>0</v>
      </c>
      <c r="J286" s="85">
        <f>STATS1003B!J287/1000</f>
        <v>502.91800000000001</v>
      </c>
      <c r="K286" s="85">
        <f>STATS1003B!K287/1000</f>
        <v>0</v>
      </c>
      <c r="L286" s="85">
        <f>STATS1003B!L287/1000</f>
        <v>0</v>
      </c>
      <c r="M286" s="85">
        <f>STATS1003B!M287/1000</f>
        <v>502.91800000000001</v>
      </c>
      <c r="N286" s="85">
        <f>STATS1003B!N287/1000</f>
        <v>0</v>
      </c>
      <c r="O286" s="85">
        <f>STATS1003B!O287/1000</f>
        <v>0</v>
      </c>
      <c r="P286" s="85">
        <f>STATS1003B!P287/1000</f>
        <v>0</v>
      </c>
      <c r="Q286" s="85">
        <f>STATS1003B!Q287/1000</f>
        <v>0</v>
      </c>
      <c r="R286" s="85">
        <f>STATS1003B!R287/1000</f>
        <v>0</v>
      </c>
      <c r="S286" s="85">
        <f>STATS1003B!S287/1000</f>
        <v>0</v>
      </c>
      <c r="T286" s="85">
        <f>STATS1003B!T287/1000</f>
        <v>0</v>
      </c>
      <c r="U286" s="85">
        <f>STATS1003B!U287/1000</f>
        <v>0</v>
      </c>
      <c r="V286" s="85">
        <f>STATS1003B!V287/1000</f>
        <v>0</v>
      </c>
      <c r="W286" s="85">
        <f>STATS1003B!W287/1000</f>
        <v>0</v>
      </c>
      <c r="X286" s="85">
        <f t="shared" si="32"/>
        <v>502.91800000000001</v>
      </c>
      <c r="Y286" s="85">
        <f>STATS1003B!Y287/1000</f>
        <v>0</v>
      </c>
      <c r="Z286" s="85">
        <f t="shared" si="34"/>
        <v>0</v>
      </c>
      <c r="AA286" s="69">
        <f>STATS1003B!AA287/1000</f>
        <v>502.91800000000001</v>
      </c>
      <c r="AB286" s="69">
        <f>STATS1003B!AB287/1000</f>
        <v>0</v>
      </c>
    </row>
    <row r="287" spans="1:28" hidden="1" x14ac:dyDescent="0.3">
      <c r="A287" s="117"/>
      <c r="C287" s="68" t="s">
        <v>535</v>
      </c>
      <c r="D287" s="87" t="s">
        <v>68</v>
      </c>
      <c r="E287" s="85">
        <f>STATS1003B!E288/1000</f>
        <v>1199.97783</v>
      </c>
      <c r="F287" s="85">
        <f>STATS1003B!F288/1000</f>
        <v>0</v>
      </c>
      <c r="G287" s="85">
        <f>STATS1003B!G288/1000</f>
        <v>0</v>
      </c>
      <c r="H287" s="85">
        <f>STATS1003B!H288/1000</f>
        <v>0</v>
      </c>
      <c r="I287" s="85">
        <f>STATS1003B!I288/1000</f>
        <v>0</v>
      </c>
      <c r="J287" s="85">
        <f>STATS1003B!J288/1000</f>
        <v>0</v>
      </c>
      <c r="K287" s="85">
        <f>STATS1003B!K288/1000</f>
        <v>1199.97783</v>
      </c>
      <c r="L287" s="85">
        <f>STATS1003B!L288/1000</f>
        <v>0</v>
      </c>
      <c r="M287" s="85">
        <f>STATS1003B!M288/1000</f>
        <v>0</v>
      </c>
      <c r="N287" s="85">
        <f>STATS1003B!N288/1000</f>
        <v>1199.97783</v>
      </c>
      <c r="O287" s="85">
        <f>STATS1003B!O288/1000</f>
        <v>0</v>
      </c>
      <c r="P287" s="85">
        <f>STATS1003B!P288/1000</f>
        <v>1199.97783</v>
      </c>
      <c r="Q287" s="85">
        <f>STATS1003B!Q288/1000</f>
        <v>0</v>
      </c>
      <c r="R287" s="85">
        <f>STATS1003B!R288/1000</f>
        <v>0</v>
      </c>
      <c r="S287" s="85">
        <f>STATS1003B!S288/1000</f>
        <v>0</v>
      </c>
      <c r="T287" s="85">
        <f>STATS1003B!T288/1000</f>
        <v>0</v>
      </c>
      <c r="U287" s="85">
        <f>STATS1003B!U288/1000</f>
        <v>1199.97783</v>
      </c>
      <c r="V287" s="85">
        <f>STATS1003B!V288/1000</f>
        <v>0</v>
      </c>
      <c r="W287" s="85">
        <f>STATS1003B!W288/1000</f>
        <v>0</v>
      </c>
      <c r="X287" s="85">
        <f t="shared" si="32"/>
        <v>1199.97783</v>
      </c>
      <c r="Y287" s="85">
        <f>STATS1003B!Y288/1000</f>
        <v>0</v>
      </c>
      <c r="Z287" s="85">
        <f t="shared" si="34"/>
        <v>0</v>
      </c>
      <c r="AA287" s="69">
        <f>STATS1003B!AA288/1000</f>
        <v>1199.97783</v>
      </c>
      <c r="AB287" s="69">
        <f>STATS1003B!AB288/1000</f>
        <v>0</v>
      </c>
    </row>
    <row r="288" spans="1:28" hidden="1" x14ac:dyDescent="0.3">
      <c r="A288" s="117"/>
      <c r="C288" s="68" t="s">
        <v>539</v>
      </c>
      <c r="D288" s="87" t="s">
        <v>68</v>
      </c>
      <c r="E288" s="85">
        <f>STATS1003B!E289/1000</f>
        <v>3141.7734999999998</v>
      </c>
      <c r="F288" s="85">
        <f>STATS1003B!F289/1000</f>
        <v>0</v>
      </c>
      <c r="G288" s="85">
        <f>STATS1003B!G289/1000</f>
        <v>0</v>
      </c>
      <c r="H288" s="85">
        <f>STATS1003B!H289/1000</f>
        <v>0</v>
      </c>
      <c r="I288" s="85">
        <f>STATS1003B!I289/1000</f>
        <v>0</v>
      </c>
      <c r="J288" s="85">
        <f>STATS1003B!J289/1000</f>
        <v>0</v>
      </c>
      <c r="K288" s="85">
        <f>STATS1003B!K289/1000</f>
        <v>3141.7734999999998</v>
      </c>
      <c r="L288" s="85">
        <f>STATS1003B!L289/1000</f>
        <v>0</v>
      </c>
      <c r="M288" s="85">
        <f>STATS1003B!M289/1000</f>
        <v>0</v>
      </c>
      <c r="N288" s="85">
        <f>STATS1003B!N289/1000</f>
        <v>3141.7734999999998</v>
      </c>
      <c r="O288" s="85">
        <f>STATS1003B!O289/1000</f>
        <v>0</v>
      </c>
      <c r="P288" s="85">
        <f>STATS1003B!P289/1000</f>
        <v>3141.7734999999998</v>
      </c>
      <c r="Q288" s="85">
        <f>STATS1003B!Q289/1000</f>
        <v>0</v>
      </c>
      <c r="R288" s="85">
        <f>STATS1003B!R289/1000</f>
        <v>0</v>
      </c>
      <c r="S288" s="85">
        <f>STATS1003B!S289/1000</f>
        <v>0</v>
      </c>
      <c r="T288" s="85">
        <f>STATS1003B!T289/1000</f>
        <v>0</v>
      </c>
      <c r="U288" s="85">
        <f>STATS1003B!U289/1000</f>
        <v>3141.7734999999998</v>
      </c>
      <c r="V288" s="85">
        <f>STATS1003B!V289/1000</f>
        <v>0</v>
      </c>
      <c r="W288" s="85">
        <f>STATS1003B!W289/1000</f>
        <v>0</v>
      </c>
      <c r="X288" s="85">
        <f t="shared" si="32"/>
        <v>3141.7734999999998</v>
      </c>
      <c r="Y288" s="85">
        <f>STATS1003B!Y289/1000</f>
        <v>0</v>
      </c>
      <c r="Z288" s="85">
        <f t="shared" si="34"/>
        <v>0</v>
      </c>
      <c r="AA288" s="69">
        <f>STATS1003B!AA289/1000</f>
        <v>3141.7734999999998</v>
      </c>
      <c r="AB288" s="69">
        <f>STATS1003B!AB289/1000</f>
        <v>0</v>
      </c>
    </row>
    <row r="289" spans="1:28" hidden="1" x14ac:dyDescent="0.3">
      <c r="A289" s="117"/>
      <c r="C289" s="68" t="s">
        <v>557</v>
      </c>
      <c r="D289" s="87" t="s">
        <v>68</v>
      </c>
      <c r="E289" s="85">
        <f>STATS1003B!E290/1000</f>
        <v>49.283999999999999</v>
      </c>
      <c r="F289" s="85">
        <f>STATS1003B!F290/1000</f>
        <v>49.283999999999999</v>
      </c>
      <c r="G289" s="85">
        <f>STATS1003B!G290/1000</f>
        <v>0</v>
      </c>
      <c r="H289" s="85">
        <f>STATS1003B!H290/1000</f>
        <v>49.283999999999999</v>
      </c>
      <c r="I289" s="85">
        <f>STATS1003B!I290/1000</f>
        <v>0</v>
      </c>
      <c r="J289" s="85">
        <f>STATS1003B!J290/1000</f>
        <v>49.283999999999999</v>
      </c>
      <c r="K289" s="85">
        <f>STATS1003B!K290/1000</f>
        <v>0</v>
      </c>
      <c r="L289" s="85">
        <f>STATS1003B!L290/1000</f>
        <v>0</v>
      </c>
      <c r="M289" s="85">
        <f>STATS1003B!M290/1000</f>
        <v>49.283999999999999</v>
      </c>
      <c r="N289" s="85">
        <f>STATS1003B!N290/1000</f>
        <v>0</v>
      </c>
      <c r="O289" s="85">
        <f>STATS1003B!O290/1000</f>
        <v>0</v>
      </c>
      <c r="P289" s="85">
        <f>STATS1003B!P290/1000</f>
        <v>0</v>
      </c>
      <c r="Q289" s="85">
        <f>STATS1003B!Q290/1000</f>
        <v>0</v>
      </c>
      <c r="R289" s="85">
        <f>STATS1003B!R290/1000</f>
        <v>0</v>
      </c>
      <c r="S289" s="85">
        <f>STATS1003B!S290/1000</f>
        <v>0</v>
      </c>
      <c r="T289" s="85">
        <f>STATS1003B!T290/1000</f>
        <v>0</v>
      </c>
      <c r="U289" s="85">
        <f>STATS1003B!U290/1000</f>
        <v>0</v>
      </c>
      <c r="V289" s="85">
        <f>STATS1003B!V290/1000</f>
        <v>0</v>
      </c>
      <c r="W289" s="85">
        <f>STATS1003B!W290/1000</f>
        <v>0</v>
      </c>
      <c r="X289" s="85">
        <f t="shared" si="32"/>
        <v>49.283999999999999</v>
      </c>
      <c r="Y289" s="85">
        <f>STATS1003B!Y290/1000</f>
        <v>0</v>
      </c>
      <c r="Z289" s="85">
        <f t="shared" si="34"/>
        <v>0</v>
      </c>
      <c r="AA289" s="69">
        <f>STATS1003B!AA290/1000</f>
        <v>49.283999999999999</v>
      </c>
      <c r="AB289" s="69">
        <f>STATS1003B!AB290/1000</f>
        <v>0</v>
      </c>
    </row>
    <row r="290" spans="1:28" hidden="1" x14ac:dyDescent="0.3">
      <c r="A290" s="117"/>
      <c r="C290" s="68" t="s">
        <v>558</v>
      </c>
      <c r="D290" s="87" t="s">
        <v>54</v>
      </c>
      <c r="E290" s="85">
        <f>STATS1003B!E291/1000</f>
        <v>4738.8565599999993</v>
      </c>
      <c r="F290" s="85">
        <f>STATS1003B!F291/1000</f>
        <v>4700.6241200000004</v>
      </c>
      <c r="G290" s="85">
        <f>STATS1003B!G291/1000</f>
        <v>0</v>
      </c>
      <c r="H290" s="85">
        <f>STATS1003B!H291/1000</f>
        <v>4700.6241200000004</v>
      </c>
      <c r="I290" s="85">
        <f>STATS1003B!I291/1000</f>
        <v>0</v>
      </c>
      <c r="J290" s="85">
        <f>STATS1003B!J291/1000</f>
        <v>4700.6241200000004</v>
      </c>
      <c r="K290" s="85">
        <f>STATS1003B!K291/1000</f>
        <v>38.232440000000004</v>
      </c>
      <c r="L290" s="85">
        <f>STATS1003B!L291/1000</f>
        <v>0</v>
      </c>
      <c r="M290" s="85">
        <f>STATS1003B!M291/1000</f>
        <v>4700.6241200000004</v>
      </c>
      <c r="N290" s="85">
        <f>STATS1003B!N291/1000</f>
        <v>38.232440000000004</v>
      </c>
      <c r="O290" s="85">
        <f>STATS1003B!O291/1000</f>
        <v>0</v>
      </c>
      <c r="P290" s="85">
        <f>STATS1003B!P291/1000</f>
        <v>38.232440000000004</v>
      </c>
      <c r="Q290" s="85">
        <f>STATS1003B!Q291/1000</f>
        <v>0</v>
      </c>
      <c r="R290" s="85">
        <f>STATS1003B!R291/1000</f>
        <v>0</v>
      </c>
      <c r="S290" s="85">
        <f>STATS1003B!S291/1000</f>
        <v>0</v>
      </c>
      <c r="T290" s="85">
        <f>STATS1003B!T291/1000</f>
        <v>0</v>
      </c>
      <c r="U290" s="85">
        <f>STATS1003B!U291/1000</f>
        <v>38.232440000000004</v>
      </c>
      <c r="V290" s="85">
        <f>STATS1003B!V291/1000</f>
        <v>0</v>
      </c>
      <c r="W290" s="85">
        <f>STATS1003B!W291/1000</f>
        <v>0</v>
      </c>
      <c r="X290" s="85">
        <f t="shared" si="32"/>
        <v>4738.8565600000002</v>
      </c>
      <c r="Y290" s="85">
        <f>STATS1003B!Y291/1000</f>
        <v>0</v>
      </c>
      <c r="Z290" s="85">
        <f t="shared" si="34"/>
        <v>0</v>
      </c>
      <c r="AA290" s="69">
        <f>STATS1003B!AA291/1000</f>
        <v>4738.8565600000002</v>
      </c>
      <c r="AB290" s="69">
        <f>STATS1003B!AB291/1000</f>
        <v>0</v>
      </c>
    </row>
    <row r="291" spans="1:28" hidden="1" x14ac:dyDescent="0.3">
      <c r="A291" s="117"/>
      <c r="C291" s="68" t="s">
        <v>535</v>
      </c>
      <c r="D291" s="87" t="s">
        <v>54</v>
      </c>
      <c r="E291" s="85">
        <f>STATS1003B!E292/1000</f>
        <v>481.36613</v>
      </c>
      <c r="F291" s="85">
        <f>STATS1003B!F292/1000</f>
        <v>481.36613</v>
      </c>
      <c r="G291" s="85">
        <f>STATS1003B!G292/1000</f>
        <v>0</v>
      </c>
      <c r="H291" s="85">
        <f>STATS1003B!H292/1000</f>
        <v>481.36613</v>
      </c>
      <c r="I291" s="85">
        <f>STATS1003B!I292/1000</f>
        <v>0</v>
      </c>
      <c r="J291" s="85">
        <f>STATS1003B!J292/1000</f>
        <v>481.36613</v>
      </c>
      <c r="K291" s="85">
        <f>STATS1003B!K292/1000</f>
        <v>0</v>
      </c>
      <c r="L291" s="85">
        <f>STATS1003B!L292/1000</f>
        <v>0</v>
      </c>
      <c r="M291" s="85">
        <f>STATS1003B!M292/1000</f>
        <v>481.36613</v>
      </c>
      <c r="N291" s="85">
        <f>STATS1003B!N292/1000</f>
        <v>0</v>
      </c>
      <c r="O291" s="85">
        <f>STATS1003B!O292/1000</f>
        <v>0</v>
      </c>
      <c r="P291" s="85">
        <f>STATS1003B!P292/1000</f>
        <v>0</v>
      </c>
      <c r="Q291" s="85">
        <f>STATS1003B!Q292/1000</f>
        <v>0</v>
      </c>
      <c r="R291" s="85">
        <f>STATS1003B!R292/1000</f>
        <v>0</v>
      </c>
      <c r="S291" s="85">
        <f>STATS1003B!S292/1000</f>
        <v>0</v>
      </c>
      <c r="T291" s="85">
        <f>STATS1003B!T292/1000</f>
        <v>0</v>
      </c>
      <c r="U291" s="85">
        <f>STATS1003B!U292/1000</f>
        <v>0</v>
      </c>
      <c r="V291" s="85">
        <f>STATS1003B!V292/1000</f>
        <v>0</v>
      </c>
      <c r="W291" s="85">
        <f>STATS1003B!W292/1000</f>
        <v>0</v>
      </c>
      <c r="X291" s="85">
        <f t="shared" si="32"/>
        <v>481.36613</v>
      </c>
      <c r="Y291" s="85">
        <f>STATS1003B!Y292/1000</f>
        <v>0</v>
      </c>
      <c r="Z291" s="85">
        <f t="shared" si="34"/>
        <v>0</v>
      </c>
      <c r="AA291" s="69">
        <f>STATS1003B!AA292/1000</f>
        <v>481.36613</v>
      </c>
      <c r="AB291" s="69">
        <f>STATS1003B!AB292/1000</f>
        <v>0</v>
      </c>
    </row>
    <row r="292" spans="1:28" hidden="1" x14ac:dyDescent="0.3">
      <c r="A292" s="117"/>
      <c r="C292" s="68" t="s">
        <v>545</v>
      </c>
      <c r="D292" s="87" t="s">
        <v>54</v>
      </c>
      <c r="E292" s="85">
        <f>STATS1003B!E293/1000</f>
        <v>1953.989</v>
      </c>
      <c r="F292" s="85">
        <f>STATS1003B!F293/1000</f>
        <v>0</v>
      </c>
      <c r="G292" s="85">
        <f>STATS1003B!G293/1000</f>
        <v>0</v>
      </c>
      <c r="H292" s="85">
        <f>STATS1003B!H293/1000</f>
        <v>0</v>
      </c>
      <c r="I292" s="85">
        <f>STATS1003B!I293/1000</f>
        <v>0</v>
      </c>
      <c r="J292" s="85">
        <f>STATS1003B!J293/1000</f>
        <v>0</v>
      </c>
      <c r="K292" s="85">
        <f>STATS1003B!K293/1000</f>
        <v>1953.989</v>
      </c>
      <c r="L292" s="85">
        <f>STATS1003B!L293/1000</f>
        <v>0</v>
      </c>
      <c r="M292" s="85">
        <f>STATS1003B!M293/1000</f>
        <v>0</v>
      </c>
      <c r="N292" s="85">
        <f>STATS1003B!N293/1000</f>
        <v>1953.989</v>
      </c>
      <c r="O292" s="85">
        <f>STATS1003B!O293/1000</f>
        <v>0</v>
      </c>
      <c r="P292" s="85">
        <f>STATS1003B!P293/1000</f>
        <v>1953.989</v>
      </c>
      <c r="Q292" s="85">
        <f>STATS1003B!Q293/1000</f>
        <v>0</v>
      </c>
      <c r="R292" s="85">
        <f>STATS1003B!R293/1000</f>
        <v>0</v>
      </c>
      <c r="S292" s="85">
        <f>STATS1003B!S293/1000</f>
        <v>0</v>
      </c>
      <c r="T292" s="85">
        <f>STATS1003B!T293/1000</f>
        <v>0</v>
      </c>
      <c r="U292" s="85">
        <f>STATS1003B!U293/1000</f>
        <v>1953.989</v>
      </c>
      <c r="V292" s="85">
        <f>STATS1003B!V293/1000</f>
        <v>0</v>
      </c>
      <c r="W292" s="85">
        <f>STATS1003B!W293/1000</f>
        <v>0</v>
      </c>
      <c r="X292" s="85">
        <f t="shared" si="32"/>
        <v>1953.989</v>
      </c>
      <c r="Y292" s="85">
        <f>STATS1003B!Y293/1000</f>
        <v>0</v>
      </c>
      <c r="Z292" s="85">
        <f t="shared" si="34"/>
        <v>0</v>
      </c>
      <c r="AA292" s="69">
        <f>STATS1003B!AA293/1000</f>
        <v>1953.989</v>
      </c>
      <c r="AB292" s="69">
        <f>STATS1003B!AB293/1000</f>
        <v>0</v>
      </c>
    </row>
    <row r="293" spans="1:28" hidden="1" x14ac:dyDescent="0.3">
      <c r="A293" s="117"/>
      <c r="C293" s="68" t="s">
        <v>558</v>
      </c>
      <c r="D293" s="87" t="s">
        <v>85</v>
      </c>
      <c r="E293" s="85">
        <f>STATS1003B!E294/1000</f>
        <v>3520</v>
      </c>
      <c r="F293" s="85">
        <f>STATS1003B!F294/1000</f>
        <v>3279.8</v>
      </c>
      <c r="G293" s="85">
        <f>STATS1003B!G294/1000</f>
        <v>0</v>
      </c>
      <c r="H293" s="85">
        <f>STATS1003B!H294/1000</f>
        <v>3279.8</v>
      </c>
      <c r="I293" s="85">
        <f>STATS1003B!I294/1000</f>
        <v>0</v>
      </c>
      <c r="J293" s="85">
        <f>STATS1003B!J294/1000</f>
        <v>3279.8</v>
      </c>
      <c r="K293" s="85">
        <f>STATS1003B!K294/1000</f>
        <v>2.5660799999999999</v>
      </c>
      <c r="L293" s="85">
        <f>STATS1003B!L294/1000</f>
        <v>0</v>
      </c>
      <c r="M293" s="85">
        <f>STATS1003B!M294/1000</f>
        <v>3279.8</v>
      </c>
      <c r="N293" s="85">
        <f>STATS1003B!N294/1000</f>
        <v>2.5660799999999999</v>
      </c>
      <c r="O293" s="85">
        <f>STATS1003B!O294/1000</f>
        <v>0</v>
      </c>
      <c r="P293" s="85">
        <f>STATS1003B!P294/1000</f>
        <v>2.5660799999999999</v>
      </c>
      <c r="Q293" s="85">
        <f>STATS1003B!Q294/1000</f>
        <v>0</v>
      </c>
      <c r="R293" s="85">
        <f>STATS1003B!R294/1000</f>
        <v>0</v>
      </c>
      <c r="S293" s="85">
        <f>STATS1003B!S294/1000</f>
        <v>0</v>
      </c>
      <c r="T293" s="85">
        <f>STATS1003B!T294/1000</f>
        <v>0</v>
      </c>
      <c r="U293" s="85">
        <f>STATS1003B!U294/1000</f>
        <v>2.5660799999999999</v>
      </c>
      <c r="V293" s="85">
        <f>STATS1003B!V294/1000</f>
        <v>0</v>
      </c>
      <c r="W293" s="85">
        <f>STATS1003B!W294/1000</f>
        <v>0</v>
      </c>
      <c r="X293" s="85">
        <f t="shared" si="32"/>
        <v>3282.3660800000002</v>
      </c>
      <c r="Y293" s="85">
        <f>STATS1003B!Y294/1000</f>
        <v>0</v>
      </c>
      <c r="Z293" s="85">
        <f t="shared" si="34"/>
        <v>237.63391999999976</v>
      </c>
      <c r="AA293" s="69">
        <f>STATS1003B!AA294/1000</f>
        <v>3282.3660800000002</v>
      </c>
      <c r="AB293" s="69">
        <f>STATS1003B!AB294/1000</f>
        <v>237.63391999999993</v>
      </c>
    </row>
    <row r="294" spans="1:28" hidden="1" x14ac:dyDescent="0.3">
      <c r="A294" s="117"/>
      <c r="C294" s="68" t="s">
        <v>558</v>
      </c>
      <c r="D294" s="87" t="s">
        <v>85</v>
      </c>
      <c r="E294" s="85">
        <f>STATS1003B!E295/1000</f>
        <v>480</v>
      </c>
      <c r="F294" s="85">
        <f>STATS1003B!F295/1000</f>
        <v>0</v>
      </c>
      <c r="G294" s="85">
        <f>STATS1003B!G295/1000</f>
        <v>0</v>
      </c>
      <c r="H294" s="85">
        <f>STATS1003B!H295/1000</f>
        <v>0</v>
      </c>
      <c r="I294" s="85">
        <f>STATS1003B!I295/1000</f>
        <v>0</v>
      </c>
      <c r="J294" s="85">
        <f>STATS1003B!J295/1000</f>
        <v>0</v>
      </c>
      <c r="K294" s="85">
        <f>STATS1003B!K295/1000</f>
        <v>0</v>
      </c>
      <c r="L294" s="85">
        <f>STATS1003B!L295/1000</f>
        <v>0</v>
      </c>
      <c r="M294" s="85">
        <f>STATS1003B!M295/1000</f>
        <v>0</v>
      </c>
      <c r="N294" s="85">
        <f>STATS1003B!N295/1000</f>
        <v>0</v>
      </c>
      <c r="O294" s="85">
        <f>STATS1003B!O295/1000</f>
        <v>0</v>
      </c>
      <c r="P294" s="85">
        <f>STATS1003B!P295/1000</f>
        <v>0</v>
      </c>
      <c r="Q294" s="85">
        <f>STATS1003B!Q295/1000</f>
        <v>0</v>
      </c>
      <c r="R294" s="85">
        <f>STATS1003B!R295/1000</f>
        <v>0</v>
      </c>
      <c r="S294" s="85">
        <f>STATS1003B!S295/1000</f>
        <v>0</v>
      </c>
      <c r="T294" s="85">
        <f>STATS1003B!T295/1000</f>
        <v>0</v>
      </c>
      <c r="U294" s="85">
        <f>STATS1003B!U295/1000</f>
        <v>0</v>
      </c>
      <c r="V294" s="85">
        <f>STATS1003B!V295/1000</f>
        <v>0</v>
      </c>
      <c r="W294" s="85">
        <f>STATS1003B!W295/1000</f>
        <v>0</v>
      </c>
      <c r="X294" s="85">
        <f t="shared" si="32"/>
        <v>0</v>
      </c>
      <c r="Y294" s="85">
        <f>STATS1003B!Y295/1000</f>
        <v>0</v>
      </c>
      <c r="Z294" s="85">
        <f t="shared" si="34"/>
        <v>480</v>
      </c>
      <c r="AA294" s="69">
        <f>STATS1003B!AA295/1000</f>
        <v>0</v>
      </c>
      <c r="AB294" s="69">
        <f>STATS1003B!AB295/1000</f>
        <v>480</v>
      </c>
    </row>
    <row r="295" spans="1:28" hidden="1" x14ac:dyDescent="0.3">
      <c r="A295" s="117"/>
      <c r="C295" s="68" t="s">
        <v>535</v>
      </c>
      <c r="D295" s="87" t="s">
        <v>128</v>
      </c>
      <c r="E295" s="85">
        <f>STATS1003B!E296/1000</f>
        <v>5377.1329999999998</v>
      </c>
      <c r="F295" s="85">
        <f>STATS1003B!F296/1000</f>
        <v>5377.1329999999998</v>
      </c>
      <c r="G295" s="85">
        <f>STATS1003B!G296/1000</f>
        <v>0</v>
      </c>
      <c r="H295" s="85">
        <f>STATS1003B!H296/1000</f>
        <v>5377.1329999999998</v>
      </c>
      <c r="I295" s="85">
        <f>STATS1003B!I296/1000</f>
        <v>0</v>
      </c>
      <c r="J295" s="85">
        <f>STATS1003B!J296/1000</f>
        <v>5377.1329999999998</v>
      </c>
      <c r="K295" s="85">
        <f>STATS1003B!K296/1000</f>
        <v>0</v>
      </c>
      <c r="L295" s="85">
        <f>STATS1003B!L296/1000</f>
        <v>0</v>
      </c>
      <c r="M295" s="85">
        <f>STATS1003B!M296/1000</f>
        <v>5377.1329999999998</v>
      </c>
      <c r="N295" s="85">
        <f>STATS1003B!N296/1000</f>
        <v>0</v>
      </c>
      <c r="O295" s="85">
        <f>STATS1003B!O296/1000</f>
        <v>0</v>
      </c>
      <c r="P295" s="85">
        <f>STATS1003B!P296/1000</f>
        <v>0</v>
      </c>
      <c r="Q295" s="85">
        <f>STATS1003B!Q296/1000</f>
        <v>0</v>
      </c>
      <c r="R295" s="85">
        <f>STATS1003B!R296/1000</f>
        <v>0</v>
      </c>
      <c r="S295" s="85">
        <f>STATS1003B!S296/1000</f>
        <v>0</v>
      </c>
      <c r="T295" s="85">
        <f>STATS1003B!T296/1000</f>
        <v>0</v>
      </c>
      <c r="U295" s="85">
        <f>STATS1003B!U296/1000</f>
        <v>0</v>
      </c>
      <c r="V295" s="85">
        <f>STATS1003B!V296/1000</f>
        <v>0</v>
      </c>
      <c r="W295" s="85">
        <f>STATS1003B!W296/1000</f>
        <v>0</v>
      </c>
      <c r="X295" s="85">
        <f t="shared" si="32"/>
        <v>5377.1329999999998</v>
      </c>
      <c r="Y295" s="85">
        <f>STATS1003B!Y296/1000</f>
        <v>0</v>
      </c>
      <c r="Z295" s="85">
        <f t="shared" si="34"/>
        <v>0</v>
      </c>
      <c r="AA295" s="69">
        <f>STATS1003B!AA296/1000</f>
        <v>5377.1329999999998</v>
      </c>
      <c r="AB295" s="69">
        <f>STATS1003B!AB296/1000</f>
        <v>0</v>
      </c>
    </row>
    <row r="296" spans="1:28" hidden="1" x14ac:dyDescent="0.3">
      <c r="A296" s="117"/>
      <c r="C296" s="68" t="s">
        <v>559</v>
      </c>
      <c r="D296" s="87" t="s">
        <v>128</v>
      </c>
      <c r="E296" s="85">
        <f>STATS1003B!E297/1000</f>
        <v>3500</v>
      </c>
      <c r="F296" s="85">
        <f>STATS1003B!F297/1000</f>
        <v>3500</v>
      </c>
      <c r="G296" s="85">
        <f>STATS1003B!G297/1000</f>
        <v>0</v>
      </c>
      <c r="H296" s="85">
        <f>STATS1003B!H297/1000</f>
        <v>3500</v>
      </c>
      <c r="I296" s="85">
        <f>STATS1003B!I297/1000</f>
        <v>0</v>
      </c>
      <c r="J296" s="85">
        <f>STATS1003B!J297/1000</f>
        <v>3500</v>
      </c>
      <c r="K296" s="85">
        <f>STATS1003B!K297/1000</f>
        <v>0</v>
      </c>
      <c r="L296" s="85">
        <f>STATS1003B!L297/1000</f>
        <v>0</v>
      </c>
      <c r="M296" s="85">
        <f>STATS1003B!M297/1000</f>
        <v>3500</v>
      </c>
      <c r="N296" s="85">
        <f>STATS1003B!N297/1000</f>
        <v>0</v>
      </c>
      <c r="O296" s="85">
        <f>STATS1003B!O297/1000</f>
        <v>0</v>
      </c>
      <c r="P296" s="85">
        <f>STATS1003B!P297/1000</f>
        <v>0</v>
      </c>
      <c r="Q296" s="85">
        <f>STATS1003B!Q297/1000</f>
        <v>0</v>
      </c>
      <c r="R296" s="85">
        <f>STATS1003B!R297/1000</f>
        <v>0</v>
      </c>
      <c r="S296" s="85">
        <f>STATS1003B!S297/1000</f>
        <v>0</v>
      </c>
      <c r="T296" s="85">
        <f>STATS1003B!T297/1000</f>
        <v>0</v>
      </c>
      <c r="U296" s="85">
        <f>STATS1003B!U297/1000</f>
        <v>0</v>
      </c>
      <c r="V296" s="85">
        <f>STATS1003B!V297/1000</f>
        <v>0</v>
      </c>
      <c r="W296" s="85">
        <f>STATS1003B!W297/1000</f>
        <v>0</v>
      </c>
      <c r="X296" s="85">
        <f t="shared" si="32"/>
        <v>3500</v>
      </c>
      <c r="Y296" s="85">
        <f>STATS1003B!Y297/1000</f>
        <v>0</v>
      </c>
      <c r="Z296" s="85">
        <f t="shared" si="34"/>
        <v>0</v>
      </c>
      <c r="AA296" s="69">
        <f>STATS1003B!AA297/1000</f>
        <v>3500</v>
      </c>
      <c r="AB296" s="69">
        <f>STATS1003B!AB297/1000</f>
        <v>0</v>
      </c>
    </row>
    <row r="297" spans="1:28" hidden="1" x14ac:dyDescent="0.3">
      <c r="A297" s="117"/>
      <c r="C297" s="68" t="s">
        <v>560</v>
      </c>
      <c r="D297" s="87" t="s">
        <v>128</v>
      </c>
      <c r="E297" s="85">
        <f>STATS1003B!E298/1000</f>
        <v>784.46</v>
      </c>
      <c r="F297" s="85">
        <f>STATS1003B!F298/1000</f>
        <v>784.46</v>
      </c>
      <c r="G297" s="85">
        <f>STATS1003B!G298/1000</f>
        <v>0</v>
      </c>
      <c r="H297" s="85">
        <f>STATS1003B!H298/1000</f>
        <v>784.46</v>
      </c>
      <c r="I297" s="85">
        <f>STATS1003B!I298/1000</f>
        <v>0</v>
      </c>
      <c r="J297" s="85">
        <f>STATS1003B!J298/1000</f>
        <v>784.46</v>
      </c>
      <c r="K297" s="85">
        <f>STATS1003B!K298/1000</f>
        <v>0</v>
      </c>
      <c r="L297" s="85">
        <f>STATS1003B!L298/1000</f>
        <v>0</v>
      </c>
      <c r="M297" s="85">
        <f>STATS1003B!M298/1000</f>
        <v>784.46</v>
      </c>
      <c r="N297" s="85">
        <f>STATS1003B!N298/1000</f>
        <v>0</v>
      </c>
      <c r="O297" s="85">
        <f>STATS1003B!O298/1000</f>
        <v>0</v>
      </c>
      <c r="P297" s="85">
        <f>STATS1003B!P298/1000</f>
        <v>0</v>
      </c>
      <c r="Q297" s="85">
        <f>STATS1003B!Q298/1000</f>
        <v>0</v>
      </c>
      <c r="R297" s="85">
        <f>STATS1003B!R298/1000</f>
        <v>0</v>
      </c>
      <c r="S297" s="85">
        <f>STATS1003B!S298/1000</f>
        <v>0</v>
      </c>
      <c r="T297" s="85">
        <f>STATS1003B!T298/1000</f>
        <v>0</v>
      </c>
      <c r="U297" s="85">
        <f>STATS1003B!U298/1000</f>
        <v>0</v>
      </c>
      <c r="V297" s="85">
        <f>STATS1003B!V298/1000</f>
        <v>0</v>
      </c>
      <c r="W297" s="85">
        <f>STATS1003B!W298/1000</f>
        <v>0</v>
      </c>
      <c r="X297" s="85">
        <f t="shared" si="32"/>
        <v>784.46</v>
      </c>
      <c r="Y297" s="85">
        <f>STATS1003B!Y298/1000</f>
        <v>0</v>
      </c>
      <c r="Z297" s="85">
        <f t="shared" si="34"/>
        <v>0</v>
      </c>
      <c r="AA297" s="69">
        <f>STATS1003B!AA298/1000</f>
        <v>784.46</v>
      </c>
      <c r="AB297" s="69">
        <f>STATS1003B!AB298/1000</f>
        <v>0</v>
      </c>
    </row>
    <row r="298" spans="1:28" hidden="1" x14ac:dyDescent="0.3">
      <c r="A298" s="117"/>
      <c r="C298" s="68" t="s">
        <v>558</v>
      </c>
      <c r="D298" s="87" t="s">
        <v>108</v>
      </c>
      <c r="E298" s="85">
        <f>STATS1003B!E299/1000</f>
        <v>717.63391999999999</v>
      </c>
      <c r="F298" s="85">
        <f>STATS1003B!F299/1000</f>
        <v>717.63391999999999</v>
      </c>
      <c r="G298" s="85">
        <f>STATS1003B!G299/1000</f>
        <v>0</v>
      </c>
      <c r="H298" s="85">
        <f>STATS1003B!H299/1000</f>
        <v>717.63391999999999</v>
      </c>
      <c r="I298" s="85">
        <f>STATS1003B!I299/1000</f>
        <v>0</v>
      </c>
      <c r="J298" s="85">
        <f>STATS1003B!J299/1000</f>
        <v>717.63391999999999</v>
      </c>
      <c r="K298" s="85">
        <f>STATS1003B!K299/1000</f>
        <v>0</v>
      </c>
      <c r="L298" s="85">
        <f>STATS1003B!L299/1000</f>
        <v>0</v>
      </c>
      <c r="M298" s="85">
        <f>STATS1003B!M299/1000</f>
        <v>717.63391999999999</v>
      </c>
      <c r="N298" s="85">
        <f>STATS1003B!N299/1000</f>
        <v>0</v>
      </c>
      <c r="O298" s="85">
        <f>STATS1003B!O299/1000</f>
        <v>0</v>
      </c>
      <c r="P298" s="85">
        <f>STATS1003B!P299/1000</f>
        <v>0</v>
      </c>
      <c r="Q298" s="85">
        <f>STATS1003B!Q299/1000</f>
        <v>0</v>
      </c>
      <c r="R298" s="85">
        <f>STATS1003B!R299/1000</f>
        <v>0</v>
      </c>
      <c r="S298" s="85">
        <f>STATS1003B!S299/1000</f>
        <v>0</v>
      </c>
      <c r="T298" s="85">
        <f>STATS1003B!T299/1000</f>
        <v>0</v>
      </c>
      <c r="U298" s="85">
        <f>STATS1003B!U299/1000</f>
        <v>0</v>
      </c>
      <c r="V298" s="85">
        <f>STATS1003B!V299/1000</f>
        <v>0</v>
      </c>
      <c r="W298" s="85">
        <f>STATS1003B!W299/1000</f>
        <v>0</v>
      </c>
      <c r="X298" s="85">
        <f t="shared" si="32"/>
        <v>717.63391999999999</v>
      </c>
      <c r="Y298" s="85">
        <f>STATS1003B!Y299/1000</f>
        <v>0</v>
      </c>
      <c r="Z298" s="85">
        <f t="shared" si="34"/>
        <v>0</v>
      </c>
      <c r="AA298" s="69">
        <f>STATS1003B!AA299/1000</f>
        <v>717.63391999999999</v>
      </c>
      <c r="AB298" s="69">
        <f>STATS1003B!AB299/1000</f>
        <v>0</v>
      </c>
    </row>
    <row r="299" spans="1:28" hidden="1" x14ac:dyDescent="0.3">
      <c r="A299" s="117"/>
      <c r="C299" s="68" t="s">
        <v>535</v>
      </c>
      <c r="D299" s="87" t="s">
        <v>108</v>
      </c>
      <c r="E299" s="85">
        <f>STATS1003B!E300/1000</f>
        <v>1507.7940000000001</v>
      </c>
      <c r="F299" s="85">
        <f>STATS1003B!F300/1000</f>
        <v>1507.7940000000001</v>
      </c>
      <c r="G299" s="85">
        <f>STATS1003B!G300/1000</f>
        <v>0</v>
      </c>
      <c r="H299" s="85">
        <f>STATS1003B!H300/1000</f>
        <v>1507.7940000000001</v>
      </c>
      <c r="I299" s="85">
        <f>STATS1003B!I300/1000</f>
        <v>0</v>
      </c>
      <c r="J299" s="85">
        <f>STATS1003B!J300/1000</f>
        <v>1507.7940000000001</v>
      </c>
      <c r="K299" s="85">
        <f>STATS1003B!K300/1000</f>
        <v>0</v>
      </c>
      <c r="L299" s="85">
        <f>STATS1003B!L300/1000</f>
        <v>0</v>
      </c>
      <c r="M299" s="85">
        <f>STATS1003B!M300/1000</f>
        <v>1507.7940000000001</v>
      </c>
      <c r="N299" s="85">
        <f>STATS1003B!N300/1000</f>
        <v>0</v>
      </c>
      <c r="O299" s="85">
        <f>STATS1003B!O300/1000</f>
        <v>0</v>
      </c>
      <c r="P299" s="85">
        <f>STATS1003B!P300/1000</f>
        <v>0</v>
      </c>
      <c r="Q299" s="85">
        <f>STATS1003B!Q300/1000</f>
        <v>0</v>
      </c>
      <c r="R299" s="85">
        <f>STATS1003B!R300/1000</f>
        <v>0</v>
      </c>
      <c r="S299" s="85">
        <f>STATS1003B!S300/1000</f>
        <v>0</v>
      </c>
      <c r="T299" s="85">
        <f>STATS1003B!T300/1000</f>
        <v>0</v>
      </c>
      <c r="U299" s="85">
        <f>STATS1003B!U300/1000</f>
        <v>0</v>
      </c>
      <c r="V299" s="85">
        <f>STATS1003B!V300/1000</f>
        <v>0</v>
      </c>
      <c r="W299" s="85">
        <f>STATS1003B!W300/1000</f>
        <v>0</v>
      </c>
      <c r="X299" s="85">
        <f t="shared" si="32"/>
        <v>1507.7940000000001</v>
      </c>
      <c r="Y299" s="85">
        <f>STATS1003B!Y300/1000</f>
        <v>0</v>
      </c>
      <c r="Z299" s="85">
        <f t="shared" si="34"/>
        <v>0</v>
      </c>
      <c r="AA299" s="69">
        <f>STATS1003B!AA300/1000</f>
        <v>1507.7940000000001</v>
      </c>
      <c r="AB299" s="69">
        <f>STATS1003B!AB300/1000</f>
        <v>0</v>
      </c>
    </row>
    <row r="300" spans="1:28" hidden="1" x14ac:dyDescent="0.3">
      <c r="A300" s="117"/>
      <c r="C300" s="68" t="s">
        <v>535</v>
      </c>
      <c r="D300" s="87" t="s">
        <v>58</v>
      </c>
      <c r="E300" s="85">
        <f>STATS1003B!E301/1000</f>
        <v>8962.7440000000006</v>
      </c>
      <c r="F300" s="85">
        <f>STATS1003B!F301/1000</f>
        <v>6488.9560000000001</v>
      </c>
      <c r="G300" s="85">
        <f>STATS1003B!G301/1000</f>
        <v>0</v>
      </c>
      <c r="H300" s="85">
        <f>STATS1003B!H301/1000</f>
        <v>6488.9560000000001</v>
      </c>
      <c r="I300" s="85">
        <f>STATS1003B!I301/1000</f>
        <v>2473.788</v>
      </c>
      <c r="J300" s="85">
        <f>STATS1003B!J301/1000</f>
        <v>8962.7440000000006</v>
      </c>
      <c r="K300" s="85">
        <f>STATS1003B!K301/1000</f>
        <v>0</v>
      </c>
      <c r="L300" s="85">
        <f>STATS1003B!L301/1000</f>
        <v>2473.788</v>
      </c>
      <c r="M300" s="85">
        <f>STATS1003B!M301/1000</f>
        <v>8962.7440000000006</v>
      </c>
      <c r="N300" s="85">
        <f>STATS1003B!N301/1000</f>
        <v>0</v>
      </c>
      <c r="O300" s="85">
        <f>STATS1003B!O301/1000</f>
        <v>0</v>
      </c>
      <c r="P300" s="85">
        <f>STATS1003B!P301/1000</f>
        <v>0</v>
      </c>
      <c r="Q300" s="85">
        <f>STATS1003B!Q301/1000</f>
        <v>0</v>
      </c>
      <c r="R300" s="85">
        <f>STATS1003B!R301/1000</f>
        <v>0</v>
      </c>
      <c r="S300" s="85">
        <f>STATS1003B!S301/1000</f>
        <v>0</v>
      </c>
      <c r="T300" s="85">
        <f>STATS1003B!T301/1000</f>
        <v>0</v>
      </c>
      <c r="U300" s="85">
        <f>STATS1003B!U301/1000</f>
        <v>0</v>
      </c>
      <c r="V300" s="85">
        <f>STATS1003B!V301/1000</f>
        <v>0</v>
      </c>
      <c r="W300" s="85">
        <f>STATS1003B!W301/1000</f>
        <v>0</v>
      </c>
      <c r="X300" s="85">
        <f t="shared" si="32"/>
        <v>6488.9560000000001</v>
      </c>
      <c r="Y300" s="85">
        <f>STATS1003B!Y301/1000</f>
        <v>0</v>
      </c>
      <c r="Z300" s="85">
        <f t="shared" si="34"/>
        <v>2473.7880000000005</v>
      </c>
      <c r="AA300" s="69">
        <f>STATS1003B!AA301/1000</f>
        <v>8962.7440000000006</v>
      </c>
      <c r="AB300" s="69">
        <f>STATS1003B!AB301/1000</f>
        <v>0</v>
      </c>
    </row>
    <row r="301" spans="1:28" hidden="1" x14ac:dyDescent="0.3">
      <c r="A301" s="117"/>
      <c r="C301" s="68" t="s">
        <v>535</v>
      </c>
      <c r="D301" s="87" t="s">
        <v>60</v>
      </c>
      <c r="E301" s="85">
        <f>STATS1003B!E302/1000</f>
        <v>1672.4090000000001</v>
      </c>
      <c r="F301" s="85">
        <f>STATS1003B!F302/1000</f>
        <v>1672.4090000000001</v>
      </c>
      <c r="G301" s="85">
        <f>STATS1003B!G302/1000</f>
        <v>0</v>
      </c>
      <c r="H301" s="85">
        <f>STATS1003B!H302/1000</f>
        <v>1672.4090000000001</v>
      </c>
      <c r="I301" s="85">
        <f>STATS1003B!I302/1000</f>
        <v>0</v>
      </c>
      <c r="J301" s="85">
        <f>STATS1003B!J302/1000</f>
        <v>1672.4090000000001</v>
      </c>
      <c r="K301" s="85">
        <f>STATS1003B!K302/1000</f>
        <v>0</v>
      </c>
      <c r="L301" s="85">
        <f>STATS1003B!L302/1000</f>
        <v>0</v>
      </c>
      <c r="M301" s="85">
        <f>STATS1003B!M302/1000</f>
        <v>1672.4090000000001</v>
      </c>
      <c r="N301" s="85">
        <f>STATS1003B!N302/1000</f>
        <v>0</v>
      </c>
      <c r="O301" s="85">
        <f>STATS1003B!O302/1000</f>
        <v>0</v>
      </c>
      <c r="P301" s="85">
        <f>STATS1003B!P302/1000</f>
        <v>0</v>
      </c>
      <c r="Q301" s="85">
        <f>STATS1003B!Q302/1000</f>
        <v>0</v>
      </c>
      <c r="R301" s="85">
        <f>STATS1003B!R302/1000</f>
        <v>0</v>
      </c>
      <c r="S301" s="85">
        <f>STATS1003B!S302/1000</f>
        <v>0</v>
      </c>
      <c r="T301" s="85">
        <f>STATS1003B!T302/1000</f>
        <v>0</v>
      </c>
      <c r="U301" s="85">
        <f>STATS1003B!U302/1000</f>
        <v>0</v>
      </c>
      <c r="V301" s="85">
        <f>STATS1003B!V302/1000</f>
        <v>0</v>
      </c>
      <c r="W301" s="85">
        <f>STATS1003B!W302/1000</f>
        <v>0</v>
      </c>
      <c r="X301" s="85">
        <f t="shared" si="32"/>
        <v>1672.4090000000001</v>
      </c>
      <c r="Y301" s="85">
        <f>STATS1003B!Y302/1000</f>
        <v>0</v>
      </c>
      <c r="Z301" s="85">
        <f t="shared" si="34"/>
        <v>0</v>
      </c>
      <c r="AA301" s="69">
        <f>STATS1003B!AA302/1000</f>
        <v>1672.4090000000001</v>
      </c>
      <c r="AB301" s="69">
        <f>STATS1003B!AB302/1000</f>
        <v>0</v>
      </c>
    </row>
    <row r="302" spans="1:28" hidden="1" x14ac:dyDescent="0.3">
      <c r="A302" s="117"/>
      <c r="C302" s="68" t="s">
        <v>561</v>
      </c>
      <c r="D302" s="87" t="s">
        <v>60</v>
      </c>
      <c r="E302" s="85">
        <f>STATS1003B!E303/1000</f>
        <v>1999.8525099999999</v>
      </c>
      <c r="F302" s="85">
        <f>STATS1003B!F303/1000</f>
        <v>1999.8525099999999</v>
      </c>
      <c r="G302" s="85">
        <f>STATS1003B!G303/1000</f>
        <v>0</v>
      </c>
      <c r="H302" s="85">
        <f>STATS1003B!H303/1000</f>
        <v>1999.8525099999999</v>
      </c>
      <c r="I302" s="85">
        <f>STATS1003B!I303/1000</f>
        <v>0</v>
      </c>
      <c r="J302" s="85">
        <f>STATS1003B!J303/1000</f>
        <v>1999.8525099999999</v>
      </c>
      <c r="K302" s="85">
        <f>STATS1003B!K303/1000</f>
        <v>0</v>
      </c>
      <c r="L302" s="85">
        <f>STATS1003B!L303/1000</f>
        <v>0</v>
      </c>
      <c r="M302" s="85">
        <f>STATS1003B!M303/1000</f>
        <v>1999.8525099999999</v>
      </c>
      <c r="N302" s="85">
        <f>STATS1003B!N303/1000</f>
        <v>0</v>
      </c>
      <c r="O302" s="85">
        <f>STATS1003B!O303/1000</f>
        <v>0</v>
      </c>
      <c r="P302" s="85">
        <f>STATS1003B!P303/1000</f>
        <v>0</v>
      </c>
      <c r="Q302" s="85">
        <f>STATS1003B!Q303/1000</f>
        <v>0</v>
      </c>
      <c r="R302" s="85">
        <f>STATS1003B!R303/1000</f>
        <v>0</v>
      </c>
      <c r="S302" s="85">
        <f>STATS1003B!S303/1000</f>
        <v>0</v>
      </c>
      <c r="T302" s="85">
        <f>STATS1003B!T303/1000</f>
        <v>0</v>
      </c>
      <c r="U302" s="85">
        <f>STATS1003B!U303/1000</f>
        <v>0</v>
      </c>
      <c r="V302" s="85">
        <f>STATS1003B!V303/1000</f>
        <v>0</v>
      </c>
      <c r="W302" s="85">
        <f>STATS1003B!W303/1000</f>
        <v>0</v>
      </c>
      <c r="X302" s="85">
        <f t="shared" si="32"/>
        <v>1999.8525099999999</v>
      </c>
      <c r="Y302" s="85">
        <f>STATS1003B!Y303/1000</f>
        <v>0</v>
      </c>
      <c r="Z302" s="85">
        <f t="shared" si="34"/>
        <v>0</v>
      </c>
      <c r="AA302" s="69">
        <f>STATS1003B!AA303/1000</f>
        <v>1999.8525099999999</v>
      </c>
      <c r="AB302" s="69">
        <f>STATS1003B!AB303/1000</f>
        <v>0</v>
      </c>
    </row>
    <row r="303" spans="1:28" hidden="1" x14ac:dyDescent="0.3">
      <c r="A303" s="117"/>
      <c r="C303" s="68" t="s">
        <v>535</v>
      </c>
      <c r="D303" s="87" t="s">
        <v>73</v>
      </c>
      <c r="E303" s="85">
        <f>STATS1003B!E304/1000</f>
        <v>4988</v>
      </c>
      <c r="F303" s="85">
        <f>STATS1003B!F304/1000</f>
        <v>4988</v>
      </c>
      <c r="G303" s="85">
        <f>STATS1003B!G304/1000</f>
        <v>0</v>
      </c>
      <c r="H303" s="85">
        <f>STATS1003B!H304/1000</f>
        <v>4988</v>
      </c>
      <c r="I303" s="85">
        <f>STATS1003B!I304/1000</f>
        <v>0</v>
      </c>
      <c r="J303" s="85">
        <f>STATS1003B!J304/1000</f>
        <v>4988</v>
      </c>
      <c r="K303" s="85">
        <f>STATS1003B!K304/1000</f>
        <v>0</v>
      </c>
      <c r="L303" s="85">
        <f>STATS1003B!L304/1000</f>
        <v>0</v>
      </c>
      <c r="M303" s="85">
        <f>STATS1003B!M304/1000</f>
        <v>4988</v>
      </c>
      <c r="N303" s="85">
        <f>STATS1003B!N304/1000</f>
        <v>0</v>
      </c>
      <c r="O303" s="85">
        <f>STATS1003B!O304/1000</f>
        <v>0</v>
      </c>
      <c r="P303" s="85">
        <f>STATS1003B!P304/1000</f>
        <v>0</v>
      </c>
      <c r="Q303" s="85">
        <f>STATS1003B!Q304/1000</f>
        <v>0</v>
      </c>
      <c r="R303" s="85">
        <f>STATS1003B!R304/1000</f>
        <v>0</v>
      </c>
      <c r="S303" s="85">
        <f>STATS1003B!S304/1000</f>
        <v>0</v>
      </c>
      <c r="T303" s="85">
        <f>STATS1003B!T304/1000</f>
        <v>0</v>
      </c>
      <c r="U303" s="85">
        <f>STATS1003B!U304/1000</f>
        <v>0</v>
      </c>
      <c r="V303" s="85">
        <f>STATS1003B!V304/1000</f>
        <v>0</v>
      </c>
      <c r="W303" s="85">
        <f>STATS1003B!W304/1000</f>
        <v>0</v>
      </c>
      <c r="X303" s="85">
        <f t="shared" si="32"/>
        <v>4988</v>
      </c>
      <c r="Y303" s="85">
        <f>STATS1003B!Y304/1000</f>
        <v>0</v>
      </c>
      <c r="Z303" s="85">
        <f t="shared" si="34"/>
        <v>0</v>
      </c>
      <c r="AA303" s="69">
        <f>STATS1003B!AA304/1000</f>
        <v>4988</v>
      </c>
      <c r="AB303" s="69">
        <f>STATS1003B!AB304/1000</f>
        <v>0</v>
      </c>
    </row>
    <row r="304" spans="1:28" hidden="1" x14ac:dyDescent="0.3">
      <c r="A304" s="117"/>
      <c r="C304" s="71" t="s">
        <v>549</v>
      </c>
      <c r="D304" s="88" t="s">
        <v>73</v>
      </c>
      <c r="E304" s="85">
        <f>STATS1003B!E305/1000</f>
        <v>500</v>
      </c>
      <c r="F304" s="85">
        <f>STATS1003B!F305/1000</f>
        <v>500</v>
      </c>
      <c r="G304" s="85">
        <f>STATS1003B!G305/1000</f>
        <v>0</v>
      </c>
      <c r="H304" s="85">
        <f>STATS1003B!H305/1000</f>
        <v>500</v>
      </c>
      <c r="I304" s="85">
        <f>STATS1003B!I305/1000</f>
        <v>0</v>
      </c>
      <c r="J304" s="85">
        <f>STATS1003B!J305/1000</f>
        <v>500</v>
      </c>
      <c r="K304" s="85">
        <f>STATS1003B!K305/1000</f>
        <v>0</v>
      </c>
      <c r="L304" s="85">
        <f>STATS1003B!L305/1000</f>
        <v>0</v>
      </c>
      <c r="M304" s="85">
        <f>STATS1003B!M305/1000</f>
        <v>500</v>
      </c>
      <c r="N304" s="85">
        <f>STATS1003B!N305/1000</f>
        <v>0</v>
      </c>
      <c r="O304" s="85">
        <f>STATS1003B!O305/1000</f>
        <v>0</v>
      </c>
      <c r="P304" s="85">
        <f>STATS1003B!P305/1000</f>
        <v>0</v>
      </c>
      <c r="Q304" s="85">
        <f>STATS1003B!Q305/1000</f>
        <v>0</v>
      </c>
      <c r="R304" s="85">
        <f>STATS1003B!R305/1000</f>
        <v>0</v>
      </c>
      <c r="S304" s="85">
        <f>STATS1003B!S305/1000</f>
        <v>0</v>
      </c>
      <c r="T304" s="85">
        <f>STATS1003B!T305/1000</f>
        <v>0</v>
      </c>
      <c r="U304" s="85">
        <f>STATS1003B!U305/1000</f>
        <v>0</v>
      </c>
      <c r="V304" s="85">
        <f>STATS1003B!V305/1000</f>
        <v>0</v>
      </c>
      <c r="W304" s="85">
        <f>STATS1003B!W305/1000</f>
        <v>0</v>
      </c>
      <c r="X304" s="85">
        <f t="shared" si="32"/>
        <v>500</v>
      </c>
      <c r="Y304" s="85">
        <f>STATS1003B!Y305/1000</f>
        <v>0</v>
      </c>
      <c r="Z304" s="85">
        <f t="shared" si="34"/>
        <v>0</v>
      </c>
      <c r="AA304" s="69">
        <f>STATS1003B!AA305/1000</f>
        <v>500</v>
      </c>
      <c r="AB304" s="69">
        <f>STATS1003B!AB305/1000</f>
        <v>0</v>
      </c>
    </row>
    <row r="305" spans="1:28" hidden="1" x14ac:dyDescent="0.3">
      <c r="A305" s="117"/>
      <c r="C305" s="68" t="s">
        <v>535</v>
      </c>
      <c r="D305" s="87" t="s">
        <v>61</v>
      </c>
      <c r="E305" s="85">
        <f>STATS1003B!E306/1000</f>
        <v>2042.03223</v>
      </c>
      <c r="F305" s="85">
        <f>STATS1003B!F306/1000</f>
        <v>2042.03223</v>
      </c>
      <c r="G305" s="85">
        <f>STATS1003B!G306/1000</f>
        <v>0</v>
      </c>
      <c r="H305" s="85">
        <f>STATS1003B!H306/1000</f>
        <v>2042.03223</v>
      </c>
      <c r="I305" s="85">
        <f>STATS1003B!I306/1000</f>
        <v>0</v>
      </c>
      <c r="J305" s="85">
        <f>STATS1003B!J306/1000</f>
        <v>2042.03223</v>
      </c>
      <c r="K305" s="85">
        <f>STATS1003B!K306/1000</f>
        <v>0</v>
      </c>
      <c r="L305" s="85">
        <f>STATS1003B!L306/1000</f>
        <v>0</v>
      </c>
      <c r="M305" s="85">
        <f>STATS1003B!M306/1000</f>
        <v>2042.03223</v>
      </c>
      <c r="N305" s="85">
        <f>STATS1003B!N306/1000</f>
        <v>0</v>
      </c>
      <c r="O305" s="85">
        <f>STATS1003B!O306/1000</f>
        <v>0</v>
      </c>
      <c r="P305" s="85">
        <f>STATS1003B!P306/1000</f>
        <v>0</v>
      </c>
      <c r="Q305" s="85">
        <f>STATS1003B!Q306/1000</f>
        <v>0</v>
      </c>
      <c r="R305" s="85">
        <f>STATS1003B!R306/1000</f>
        <v>0</v>
      </c>
      <c r="S305" s="85">
        <f>STATS1003B!S306/1000</f>
        <v>0</v>
      </c>
      <c r="T305" s="85">
        <f>STATS1003B!T306/1000</f>
        <v>0</v>
      </c>
      <c r="U305" s="85">
        <f>STATS1003B!U306/1000</f>
        <v>0</v>
      </c>
      <c r="V305" s="85">
        <f>STATS1003B!V306/1000</f>
        <v>0</v>
      </c>
      <c r="W305" s="85">
        <f>STATS1003B!W306/1000</f>
        <v>0</v>
      </c>
      <c r="X305" s="85">
        <f t="shared" si="32"/>
        <v>2042.03223</v>
      </c>
      <c r="Y305" s="85">
        <f>STATS1003B!Y306/1000</f>
        <v>0</v>
      </c>
      <c r="Z305" s="85">
        <f t="shared" si="34"/>
        <v>0</v>
      </c>
      <c r="AA305" s="69">
        <f>STATS1003B!AA306/1000</f>
        <v>2042.03223</v>
      </c>
      <c r="AB305" s="69">
        <f>STATS1003B!AB306/1000</f>
        <v>0</v>
      </c>
    </row>
    <row r="306" spans="1:28" hidden="1" x14ac:dyDescent="0.3">
      <c r="A306" s="117"/>
      <c r="C306" s="93" t="s">
        <v>933</v>
      </c>
      <c r="D306" s="90" t="s">
        <v>1072</v>
      </c>
      <c r="E306" s="85">
        <f>STATS1003B!E307/1000</f>
        <v>5307.5079599999999</v>
      </c>
      <c r="F306" s="85">
        <f>STATS1003B!F307/1000</f>
        <v>5307.5079599999999</v>
      </c>
      <c r="G306" s="85">
        <f>STATS1003B!G307/1000</f>
        <v>0</v>
      </c>
      <c r="H306" s="85">
        <f>STATS1003B!H307/1000</f>
        <v>5307.5079599999999</v>
      </c>
      <c r="I306" s="85">
        <f>STATS1003B!I307/1000</f>
        <v>0</v>
      </c>
      <c r="J306" s="85">
        <f>STATS1003B!J307/1000</f>
        <v>0</v>
      </c>
      <c r="K306" s="85">
        <f>STATS1003B!K307/1000</f>
        <v>0</v>
      </c>
      <c r="L306" s="85">
        <f>STATS1003B!L307/1000</f>
        <v>0</v>
      </c>
      <c r="M306" s="85">
        <f>STATS1003B!M307/1000</f>
        <v>5307.5079599999999</v>
      </c>
      <c r="N306" s="85">
        <f>STATS1003B!N307/1000</f>
        <v>0</v>
      </c>
      <c r="O306" s="85">
        <f>STATS1003B!O307/1000</f>
        <v>0</v>
      </c>
      <c r="P306" s="85">
        <f>STATS1003B!P307/1000</f>
        <v>0</v>
      </c>
      <c r="Q306" s="85">
        <f>STATS1003B!Q307/1000</f>
        <v>0</v>
      </c>
      <c r="R306" s="85">
        <f>STATS1003B!R307/1000</f>
        <v>0</v>
      </c>
      <c r="S306" s="85">
        <f>STATS1003B!S307/1000</f>
        <v>0</v>
      </c>
      <c r="T306" s="85">
        <f>STATS1003B!T307/1000</f>
        <v>0</v>
      </c>
      <c r="U306" s="85">
        <f>STATS1003B!U307/1000</f>
        <v>0</v>
      </c>
      <c r="V306" s="85">
        <f>STATS1003B!V307/1000</f>
        <v>0</v>
      </c>
      <c r="W306" s="85">
        <f>STATS1003B!W307/1000</f>
        <v>0</v>
      </c>
      <c r="X306" s="85">
        <f t="shared" si="32"/>
        <v>5307.5079599999999</v>
      </c>
      <c r="Y306" s="85">
        <f>STATS1003B!Y307/1000</f>
        <v>0</v>
      </c>
      <c r="Z306" s="85">
        <f t="shared" si="34"/>
        <v>0</v>
      </c>
      <c r="AA306" s="69">
        <f>STATS1003B!AA307/1000</f>
        <v>5307.5079599999999</v>
      </c>
      <c r="AB306" s="69">
        <f>STATS1003B!AB307/1000</f>
        <v>0</v>
      </c>
    </row>
    <row r="307" spans="1:28" hidden="1" x14ac:dyDescent="0.3">
      <c r="A307" s="117"/>
      <c r="C307" s="68" t="s">
        <v>1201</v>
      </c>
      <c r="D307" s="90" t="s">
        <v>1126</v>
      </c>
      <c r="E307" s="85">
        <f>STATS1003B!E308/1000</f>
        <v>1897.0810300000001</v>
      </c>
      <c r="F307" s="85">
        <f>STATS1003B!F308/1000</f>
        <v>1897.0810300000001</v>
      </c>
      <c r="G307" s="85">
        <f>STATS1003B!G308/1000</f>
        <v>0</v>
      </c>
      <c r="H307" s="85">
        <f>STATS1003B!H308/1000</f>
        <v>1897.0810300000001</v>
      </c>
      <c r="I307" s="85">
        <f>STATS1003B!I308/1000</f>
        <v>0</v>
      </c>
      <c r="J307" s="85">
        <f>STATS1003B!J308/1000</f>
        <v>0</v>
      </c>
      <c r="K307" s="85">
        <f>STATS1003B!K308/1000</f>
        <v>0</v>
      </c>
      <c r="L307" s="85">
        <f>STATS1003B!L308/1000</f>
        <v>0</v>
      </c>
      <c r="M307" s="85">
        <f>STATS1003B!M308/1000</f>
        <v>1897.0810300000001</v>
      </c>
      <c r="N307" s="85">
        <f>STATS1003B!N308/1000</f>
        <v>0</v>
      </c>
      <c r="O307" s="85">
        <f>STATS1003B!O308/1000</f>
        <v>0</v>
      </c>
      <c r="P307" s="85">
        <f>STATS1003B!P308/1000</f>
        <v>0</v>
      </c>
      <c r="Q307" s="85">
        <f>STATS1003B!Q308/1000</f>
        <v>0</v>
      </c>
      <c r="R307" s="85">
        <f>STATS1003B!R308/1000</f>
        <v>0</v>
      </c>
      <c r="S307" s="85">
        <f>STATS1003B!S308/1000</f>
        <v>0</v>
      </c>
      <c r="T307" s="85">
        <f>STATS1003B!T308/1000</f>
        <v>0</v>
      </c>
      <c r="U307" s="85">
        <f>STATS1003B!U308/1000</f>
        <v>0</v>
      </c>
      <c r="V307" s="85">
        <f>STATS1003B!V308/1000</f>
        <v>0</v>
      </c>
      <c r="W307" s="85">
        <f>STATS1003B!W308/1000</f>
        <v>0</v>
      </c>
      <c r="X307" s="85">
        <f t="shared" si="32"/>
        <v>1897.0810300000001</v>
      </c>
      <c r="Y307" s="85">
        <f>STATS1003B!Y308/1000</f>
        <v>0</v>
      </c>
      <c r="Z307" s="85">
        <f t="shared" si="34"/>
        <v>0</v>
      </c>
      <c r="AA307" s="69">
        <f>STATS1003B!AA308/1000</f>
        <v>1897.0810300000001</v>
      </c>
      <c r="AB307" s="69">
        <f>STATS1003B!AB308/1000</f>
        <v>0</v>
      </c>
    </row>
    <row r="308" spans="1:28" hidden="1" x14ac:dyDescent="0.3">
      <c r="A308" s="117"/>
      <c r="C308" s="68" t="s">
        <v>550</v>
      </c>
      <c r="E308" s="85">
        <f>STATS1003B!E309/1000</f>
        <v>306.92021999999997</v>
      </c>
      <c r="F308" s="85">
        <f>STATS1003B!F309/1000</f>
        <v>0</v>
      </c>
      <c r="G308" s="85">
        <f>STATS1003B!G309/1000</f>
        <v>0</v>
      </c>
      <c r="H308" s="85">
        <f>STATS1003B!H309/1000</f>
        <v>0</v>
      </c>
      <c r="I308" s="85">
        <f>STATS1003B!I309/1000</f>
        <v>0</v>
      </c>
      <c r="J308" s="85">
        <f>STATS1003B!J309/1000</f>
        <v>0</v>
      </c>
      <c r="K308" s="85">
        <f>STATS1003B!K309/1000</f>
        <v>306.92021999999997</v>
      </c>
      <c r="L308" s="85">
        <f>STATS1003B!L309/1000</f>
        <v>0</v>
      </c>
      <c r="M308" s="85">
        <f>STATS1003B!M309/1000</f>
        <v>0</v>
      </c>
      <c r="N308" s="85">
        <f>STATS1003B!N309/1000</f>
        <v>306.92021999999997</v>
      </c>
      <c r="O308" s="85">
        <f>STATS1003B!O309/1000</f>
        <v>0</v>
      </c>
      <c r="P308" s="85">
        <f>STATS1003B!P309/1000</f>
        <v>306.92021999999997</v>
      </c>
      <c r="Q308" s="85">
        <f>STATS1003B!Q309/1000</f>
        <v>0</v>
      </c>
      <c r="R308" s="85">
        <f>STATS1003B!R309/1000</f>
        <v>0</v>
      </c>
      <c r="S308" s="85">
        <f>STATS1003B!S309/1000</f>
        <v>0</v>
      </c>
      <c r="T308" s="85">
        <f>STATS1003B!T309/1000</f>
        <v>0</v>
      </c>
      <c r="U308" s="85">
        <f>STATS1003B!U309/1000</f>
        <v>306.92021999999997</v>
      </c>
      <c r="V308" s="85">
        <f>STATS1003B!V309/1000</f>
        <v>0</v>
      </c>
      <c r="W308" s="85">
        <f>STATS1003B!W309/1000</f>
        <v>0</v>
      </c>
      <c r="X308" s="85">
        <f t="shared" si="32"/>
        <v>306.92021999999997</v>
      </c>
      <c r="Y308" s="85">
        <f>STATS1003B!Y309/1000</f>
        <v>0</v>
      </c>
      <c r="Z308" s="85">
        <f t="shared" si="34"/>
        <v>0</v>
      </c>
      <c r="AA308" s="69">
        <f>STATS1003B!AA309/1000</f>
        <v>306.92021999999997</v>
      </c>
      <c r="AB308" s="69">
        <f>STATS1003B!AB309/1000</f>
        <v>0</v>
      </c>
    </row>
    <row r="309" spans="1:28" hidden="1" x14ac:dyDescent="0.3">
      <c r="A309" s="117"/>
      <c r="C309" s="68" t="s">
        <v>562</v>
      </c>
      <c r="E309" s="85">
        <f>STATS1003B!E310/1000</f>
        <v>792.11599999999999</v>
      </c>
      <c r="F309" s="85">
        <f>STATS1003B!F310/1000</f>
        <v>792.11599999999999</v>
      </c>
      <c r="G309" s="85">
        <f>STATS1003B!G310/1000</f>
        <v>0</v>
      </c>
      <c r="H309" s="85">
        <f>STATS1003B!H310/1000</f>
        <v>792.11599999999999</v>
      </c>
      <c r="I309" s="85">
        <f>STATS1003B!I310/1000</f>
        <v>0</v>
      </c>
      <c r="J309" s="85">
        <f>STATS1003B!J310/1000</f>
        <v>792.11599999999999</v>
      </c>
      <c r="K309" s="85">
        <f>STATS1003B!K310/1000</f>
        <v>0</v>
      </c>
      <c r="L309" s="85">
        <f>STATS1003B!L310/1000</f>
        <v>0</v>
      </c>
      <c r="M309" s="85">
        <f>STATS1003B!M310/1000</f>
        <v>792.11599999999999</v>
      </c>
      <c r="N309" s="85">
        <f>STATS1003B!N310/1000</f>
        <v>0</v>
      </c>
      <c r="O309" s="85">
        <f>STATS1003B!O310/1000</f>
        <v>0</v>
      </c>
      <c r="P309" s="85">
        <f>STATS1003B!P310/1000</f>
        <v>0</v>
      </c>
      <c r="Q309" s="85">
        <f>STATS1003B!Q310/1000</f>
        <v>0</v>
      </c>
      <c r="R309" s="85">
        <f>STATS1003B!R310/1000</f>
        <v>0</v>
      </c>
      <c r="S309" s="85">
        <f>STATS1003B!S310/1000</f>
        <v>0</v>
      </c>
      <c r="T309" s="85">
        <f>STATS1003B!T310/1000</f>
        <v>0</v>
      </c>
      <c r="U309" s="85">
        <f>STATS1003B!U310/1000</f>
        <v>0</v>
      </c>
      <c r="V309" s="85">
        <f>STATS1003B!V310/1000</f>
        <v>0</v>
      </c>
      <c r="W309" s="85">
        <f>STATS1003B!W310/1000</f>
        <v>0</v>
      </c>
      <c r="X309" s="85">
        <f t="shared" si="32"/>
        <v>792.11599999999999</v>
      </c>
      <c r="Y309" s="85">
        <f>STATS1003B!Y310/1000</f>
        <v>0</v>
      </c>
      <c r="Z309" s="85">
        <f t="shared" si="34"/>
        <v>0</v>
      </c>
      <c r="AA309" s="69">
        <f>STATS1003B!AA310/1000</f>
        <v>792.11599999999999</v>
      </c>
      <c r="AB309" s="69">
        <f>STATS1003B!AB310/1000</f>
        <v>0</v>
      </c>
    </row>
    <row r="310" spans="1:28" hidden="1" x14ac:dyDescent="0.3">
      <c r="A310" s="117"/>
      <c r="C310" s="68" t="s">
        <v>543</v>
      </c>
      <c r="E310" s="85">
        <f>STATS1003B!E311/1000</f>
        <v>7500</v>
      </c>
      <c r="F310" s="85">
        <f>STATS1003B!F311/1000</f>
        <v>7500</v>
      </c>
      <c r="G310" s="85">
        <f>STATS1003B!G311/1000</f>
        <v>0</v>
      </c>
      <c r="H310" s="85">
        <f>STATS1003B!H311/1000</f>
        <v>7500</v>
      </c>
      <c r="I310" s="85">
        <f>STATS1003B!I311/1000</f>
        <v>0</v>
      </c>
      <c r="J310" s="85">
        <f>STATS1003B!J311/1000</f>
        <v>7500</v>
      </c>
      <c r="K310" s="85">
        <f>STATS1003B!K311/1000</f>
        <v>0</v>
      </c>
      <c r="L310" s="85">
        <f>STATS1003B!L311/1000</f>
        <v>0</v>
      </c>
      <c r="M310" s="85">
        <f>STATS1003B!M311/1000</f>
        <v>7500</v>
      </c>
      <c r="N310" s="85">
        <f>STATS1003B!N311/1000</f>
        <v>0</v>
      </c>
      <c r="O310" s="85">
        <f>STATS1003B!O311/1000</f>
        <v>0</v>
      </c>
      <c r="P310" s="85">
        <f>STATS1003B!P311/1000</f>
        <v>0</v>
      </c>
      <c r="Q310" s="85">
        <f>STATS1003B!Q311/1000</f>
        <v>0</v>
      </c>
      <c r="R310" s="85">
        <f>STATS1003B!R311/1000</f>
        <v>0</v>
      </c>
      <c r="S310" s="85">
        <f>STATS1003B!S311/1000</f>
        <v>0</v>
      </c>
      <c r="T310" s="85">
        <f>STATS1003B!T311/1000</f>
        <v>0</v>
      </c>
      <c r="U310" s="85">
        <f>STATS1003B!U311/1000</f>
        <v>0</v>
      </c>
      <c r="V310" s="85">
        <f>STATS1003B!V311/1000</f>
        <v>0</v>
      </c>
      <c r="W310" s="85">
        <f>STATS1003B!W311/1000</f>
        <v>0</v>
      </c>
      <c r="X310" s="85">
        <f t="shared" si="32"/>
        <v>7500</v>
      </c>
      <c r="Y310" s="85">
        <f>STATS1003B!Y311/1000</f>
        <v>0</v>
      </c>
      <c r="Z310" s="85">
        <f t="shared" si="34"/>
        <v>0</v>
      </c>
      <c r="AA310" s="69">
        <f>STATS1003B!AA311/1000</f>
        <v>7500</v>
      </c>
      <c r="AB310" s="69">
        <f>STATS1003B!AB311/1000</f>
        <v>0</v>
      </c>
    </row>
    <row r="311" spans="1:28" hidden="1" x14ac:dyDescent="0.3">
      <c r="A311" s="117"/>
      <c r="E311" s="86" t="s">
        <v>29</v>
      </c>
      <c r="F311" s="86" t="s">
        <v>29</v>
      </c>
      <c r="G311" s="86" t="s">
        <v>29</v>
      </c>
      <c r="H311" s="86" t="s">
        <v>29</v>
      </c>
      <c r="I311" s="86" t="s">
        <v>29</v>
      </c>
      <c r="J311" s="86" t="s">
        <v>29</v>
      </c>
      <c r="K311" s="86" t="s">
        <v>29</v>
      </c>
      <c r="L311" s="86" t="s">
        <v>29</v>
      </c>
      <c r="M311" s="86" t="s">
        <v>29</v>
      </c>
      <c r="N311" s="86" t="s">
        <v>29</v>
      </c>
      <c r="O311" s="86" t="s">
        <v>29</v>
      </c>
      <c r="P311" s="86" t="s">
        <v>29</v>
      </c>
      <c r="Q311" s="86" t="s">
        <v>29</v>
      </c>
      <c r="R311" s="86" t="s">
        <v>29</v>
      </c>
      <c r="S311" s="86" t="s">
        <v>29</v>
      </c>
      <c r="T311" s="86" t="s">
        <v>29</v>
      </c>
      <c r="U311" s="86" t="s">
        <v>29</v>
      </c>
      <c r="V311" s="86" t="s">
        <v>29</v>
      </c>
      <c r="W311" s="86" t="s">
        <v>29</v>
      </c>
      <c r="X311" s="85" t="e">
        <f t="shared" si="32"/>
        <v>#VALUE!</v>
      </c>
      <c r="Y311" s="86" t="s">
        <v>29</v>
      </c>
      <c r="Z311" s="85" t="e">
        <f t="shared" si="34"/>
        <v>#VALUE!</v>
      </c>
      <c r="AA311" s="115" t="s">
        <v>29</v>
      </c>
      <c r="AB311" s="115" t="s">
        <v>29</v>
      </c>
    </row>
    <row r="312" spans="1:28" x14ac:dyDescent="0.3">
      <c r="A312" s="116" t="s">
        <v>947</v>
      </c>
      <c r="B312" s="68" t="s">
        <v>552</v>
      </c>
      <c r="E312" s="85">
        <f>138574453.44/1000</f>
        <v>138574.45344000001</v>
      </c>
      <c r="F312" s="85">
        <f t="shared" ref="F312:Q312" si="35">SUM(F283:F311)</f>
        <v>59463.19339</v>
      </c>
      <c r="G312" s="85">
        <f t="shared" si="35"/>
        <v>0</v>
      </c>
      <c r="H312" s="85">
        <f>127892108.98/1000</f>
        <v>127892.10898</v>
      </c>
      <c r="I312" s="85">
        <f t="shared" si="35"/>
        <v>2473.788</v>
      </c>
      <c r="J312" s="85">
        <f t="shared" si="35"/>
        <v>54732.392399999997</v>
      </c>
      <c r="K312" s="85">
        <f t="shared" si="35"/>
        <v>7490.9225399999987</v>
      </c>
      <c r="L312" s="85">
        <f t="shared" si="35"/>
        <v>2473.788</v>
      </c>
      <c r="M312" s="85">
        <f t="shared" si="35"/>
        <v>61936.981390000001</v>
      </c>
      <c r="N312" s="85">
        <f t="shared" si="35"/>
        <v>7490.9225399999987</v>
      </c>
      <c r="O312" s="85">
        <f t="shared" si="35"/>
        <v>0</v>
      </c>
      <c r="P312" s="85">
        <f>7490922/1000</f>
        <v>7490.9219999999996</v>
      </c>
      <c r="Q312" s="85">
        <f t="shared" si="35"/>
        <v>0</v>
      </c>
      <c r="R312" s="86"/>
      <c r="S312" s="86"/>
      <c r="T312" s="85">
        <f>SUM(T283:T311)</f>
        <v>0</v>
      </c>
      <c r="U312" s="85">
        <f>SUM(U283:U311)</f>
        <v>7490.9225399999987</v>
      </c>
      <c r="V312" s="85">
        <f>SUM(V283:V311)</f>
        <v>0</v>
      </c>
      <c r="W312" s="85">
        <f>SUM(W283:W311)</f>
        <v>0</v>
      </c>
      <c r="X312" s="85">
        <f>+H312+P312</f>
        <v>135383.03098000001</v>
      </c>
      <c r="Y312" s="85">
        <f>SUM(Y283:Y311)</f>
        <v>0</v>
      </c>
      <c r="Z312" s="85">
        <f t="shared" si="34"/>
        <v>3191.4224600000016</v>
      </c>
      <c r="AA312" s="69">
        <f>SUM(AA283:AA311)</f>
        <v>69427.90393</v>
      </c>
      <c r="AB312" s="69">
        <f>SUM(AB283:AB311)</f>
        <v>717.63391999999999</v>
      </c>
    </row>
    <row r="313" spans="1:28" hidden="1" x14ac:dyDescent="0.3">
      <c r="A313" s="117"/>
      <c r="E313" s="86" t="s">
        <v>29</v>
      </c>
      <c r="F313" s="86" t="s">
        <v>29</v>
      </c>
      <c r="G313" s="86" t="s">
        <v>29</v>
      </c>
      <c r="H313" s="86" t="s">
        <v>29</v>
      </c>
      <c r="I313" s="86" t="s">
        <v>29</v>
      </c>
      <c r="J313" s="86" t="s">
        <v>29</v>
      </c>
      <c r="K313" s="86" t="s">
        <v>29</v>
      </c>
      <c r="L313" s="86" t="s">
        <v>29</v>
      </c>
      <c r="M313" s="86" t="s">
        <v>29</v>
      </c>
      <c r="N313" s="86" t="s">
        <v>29</v>
      </c>
      <c r="O313" s="86" t="s">
        <v>29</v>
      </c>
      <c r="P313" s="86" t="s">
        <v>29</v>
      </c>
      <c r="Q313" s="86" t="s">
        <v>29</v>
      </c>
      <c r="R313" s="86" t="s">
        <v>29</v>
      </c>
      <c r="S313" s="86" t="s">
        <v>29</v>
      </c>
      <c r="T313" s="86" t="s">
        <v>29</v>
      </c>
      <c r="U313" s="86" t="s">
        <v>29</v>
      </c>
      <c r="V313" s="86" t="s">
        <v>29</v>
      </c>
      <c r="W313" s="86" t="s">
        <v>29</v>
      </c>
      <c r="X313" s="85" t="e">
        <f t="shared" si="32"/>
        <v>#VALUE!</v>
      </c>
      <c r="Y313" s="86" t="s">
        <v>29</v>
      </c>
      <c r="Z313" s="85" t="e">
        <f t="shared" si="34"/>
        <v>#VALUE!</v>
      </c>
      <c r="AA313" s="115" t="s">
        <v>29</v>
      </c>
      <c r="AB313" s="115" t="s">
        <v>29</v>
      </c>
    </row>
    <row r="314" spans="1:28" hidden="1" x14ac:dyDescent="0.3">
      <c r="A314" s="105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6"/>
      <c r="S314" s="86"/>
      <c r="T314" s="94"/>
      <c r="U314" s="94"/>
      <c r="V314" s="94"/>
      <c r="W314" s="94"/>
      <c r="X314" s="85">
        <f t="shared" si="32"/>
        <v>0</v>
      </c>
      <c r="Y314" s="94"/>
      <c r="Z314" s="85">
        <f t="shared" si="34"/>
        <v>0</v>
      </c>
      <c r="AA314" s="118"/>
    </row>
    <row r="315" spans="1:28" hidden="1" x14ac:dyDescent="0.3">
      <c r="A315" s="117"/>
      <c r="C315" s="68" t="s">
        <v>564</v>
      </c>
      <c r="D315" s="87" t="s">
        <v>76</v>
      </c>
      <c r="E315" s="85">
        <f>STATS1003B!E316/1000</f>
        <v>537</v>
      </c>
      <c r="F315" s="85">
        <f>STATS1003B!F316/1000</f>
        <v>0</v>
      </c>
      <c r="G315" s="85">
        <f>STATS1003B!G316/1000</f>
        <v>0</v>
      </c>
      <c r="H315" s="85">
        <f>STATS1003B!H316/1000</f>
        <v>0</v>
      </c>
      <c r="I315" s="85">
        <f>STATS1003B!I316/1000</f>
        <v>0</v>
      </c>
      <c r="J315" s="85">
        <f>STATS1003B!J316/1000</f>
        <v>0</v>
      </c>
      <c r="K315" s="85">
        <f>STATS1003B!K316/1000</f>
        <v>172.89044000000001</v>
      </c>
      <c r="L315" s="85">
        <f>STATS1003B!L316/1000</f>
        <v>0</v>
      </c>
      <c r="M315" s="85">
        <f>STATS1003B!M316/1000</f>
        <v>0</v>
      </c>
      <c r="N315" s="85">
        <f>STATS1003B!N316/1000</f>
        <v>172.89044000000001</v>
      </c>
      <c r="O315" s="85">
        <f>STATS1003B!O316/1000</f>
        <v>0</v>
      </c>
      <c r="P315" s="85">
        <f>STATS1003B!P316/1000</f>
        <v>172.89044000000001</v>
      </c>
      <c r="Q315" s="85">
        <f>STATS1003B!Q316/1000</f>
        <v>0</v>
      </c>
      <c r="R315" s="85">
        <f>STATS1003B!R316/1000</f>
        <v>0</v>
      </c>
      <c r="S315" s="85">
        <f>STATS1003B!S316/1000</f>
        <v>0</v>
      </c>
      <c r="T315" s="85">
        <f>STATS1003B!T316/1000</f>
        <v>0</v>
      </c>
      <c r="U315" s="85">
        <f>STATS1003B!U316/1000</f>
        <v>172.89044000000001</v>
      </c>
      <c r="V315" s="85">
        <f>STATS1003B!V316/1000</f>
        <v>0</v>
      </c>
      <c r="W315" s="85">
        <f>STATS1003B!W316/1000</f>
        <v>0</v>
      </c>
      <c r="X315" s="85">
        <f t="shared" si="32"/>
        <v>172.89044000000001</v>
      </c>
      <c r="Y315" s="85">
        <f>STATS1003B!Y316/1000</f>
        <v>0</v>
      </c>
      <c r="Z315" s="85">
        <f t="shared" si="34"/>
        <v>364.10955999999999</v>
      </c>
      <c r="AA315" s="69">
        <f>STATS1003B!AA316/1000</f>
        <v>172.89044000000001</v>
      </c>
      <c r="AB315" s="69">
        <f>STATS1003B!AB316/1000</f>
        <v>364.10955999999999</v>
      </c>
    </row>
    <row r="316" spans="1:28" hidden="1" x14ac:dyDescent="0.3">
      <c r="A316" s="117"/>
      <c r="C316" s="68" t="s">
        <v>565</v>
      </c>
      <c r="D316" s="87" t="s">
        <v>150</v>
      </c>
      <c r="E316" s="85">
        <f>STATS1003B!E317/1000</f>
        <v>1088.77711</v>
      </c>
      <c r="F316" s="85">
        <f>STATS1003B!F317/1000</f>
        <v>519.4216100000001</v>
      </c>
      <c r="G316" s="85">
        <f>STATS1003B!G317/1000</f>
        <v>0</v>
      </c>
      <c r="H316" s="85">
        <f>STATS1003B!H317/1000</f>
        <v>519.4216100000001</v>
      </c>
      <c r="I316" s="85">
        <f>STATS1003B!I317/1000</f>
        <v>0</v>
      </c>
      <c r="J316" s="85">
        <f>STATS1003B!J317/1000</f>
        <v>519.4216100000001</v>
      </c>
      <c r="K316" s="85">
        <f>STATS1003B!K317/1000</f>
        <v>569.35550000000001</v>
      </c>
      <c r="L316" s="85">
        <f>STATS1003B!L317/1000</f>
        <v>0</v>
      </c>
      <c r="M316" s="85">
        <f>STATS1003B!M317/1000</f>
        <v>519.4216100000001</v>
      </c>
      <c r="N316" s="85">
        <f>STATS1003B!N317/1000</f>
        <v>569.35550000000001</v>
      </c>
      <c r="O316" s="85">
        <f>STATS1003B!O317/1000</f>
        <v>0</v>
      </c>
      <c r="P316" s="85">
        <f>STATS1003B!P317/1000</f>
        <v>569.35550000000001</v>
      </c>
      <c r="Q316" s="85">
        <f>STATS1003B!Q317/1000</f>
        <v>0</v>
      </c>
      <c r="R316" s="85">
        <f>STATS1003B!R317/1000</f>
        <v>0</v>
      </c>
      <c r="S316" s="85">
        <f>STATS1003B!S317/1000</f>
        <v>0</v>
      </c>
      <c r="T316" s="85">
        <f>STATS1003B!T317/1000</f>
        <v>0</v>
      </c>
      <c r="U316" s="85">
        <f>STATS1003B!U317/1000</f>
        <v>569.35550000000001</v>
      </c>
      <c r="V316" s="85">
        <f>STATS1003B!V317/1000</f>
        <v>0</v>
      </c>
      <c r="W316" s="85">
        <f>STATS1003B!W317/1000</f>
        <v>0</v>
      </c>
      <c r="X316" s="85">
        <f t="shared" si="32"/>
        <v>1088.77711</v>
      </c>
      <c r="Y316" s="85">
        <f>STATS1003B!Y317/1000</f>
        <v>0</v>
      </c>
      <c r="Z316" s="85">
        <f t="shared" si="34"/>
        <v>0</v>
      </c>
      <c r="AA316" s="69">
        <f>STATS1003B!AA317/1000</f>
        <v>1088.77711</v>
      </c>
      <c r="AB316" s="69">
        <f>STATS1003B!AB317/1000</f>
        <v>0</v>
      </c>
    </row>
    <row r="317" spans="1:28" hidden="1" x14ac:dyDescent="0.3">
      <c r="A317" s="117"/>
      <c r="C317" s="68" t="s">
        <v>539</v>
      </c>
      <c r="D317" s="87" t="s">
        <v>68</v>
      </c>
      <c r="E317" s="85">
        <f>STATS1003B!E318/1000</f>
        <v>4462.9641999999994</v>
      </c>
      <c r="F317" s="85">
        <f>STATS1003B!F318/1000</f>
        <v>0</v>
      </c>
      <c r="G317" s="85">
        <f>STATS1003B!G318/1000</f>
        <v>0</v>
      </c>
      <c r="H317" s="85">
        <f>STATS1003B!H318/1000</f>
        <v>0</v>
      </c>
      <c r="I317" s="85">
        <f>STATS1003B!I318/1000</f>
        <v>0</v>
      </c>
      <c r="J317" s="85">
        <f>STATS1003B!J318/1000</f>
        <v>0</v>
      </c>
      <c r="K317" s="85">
        <f>STATS1003B!K318/1000</f>
        <v>4462.9642000000003</v>
      </c>
      <c r="L317" s="85">
        <f>STATS1003B!L318/1000</f>
        <v>0</v>
      </c>
      <c r="M317" s="85">
        <f>STATS1003B!M318/1000</f>
        <v>0</v>
      </c>
      <c r="N317" s="85">
        <f>STATS1003B!N318/1000</f>
        <v>4462.9642000000003</v>
      </c>
      <c r="O317" s="85">
        <f>STATS1003B!O318/1000</f>
        <v>0</v>
      </c>
      <c r="P317" s="85">
        <f>STATS1003B!P318/1000</f>
        <v>4462.9642000000003</v>
      </c>
      <c r="Q317" s="85">
        <f>STATS1003B!Q318/1000</f>
        <v>0</v>
      </c>
      <c r="R317" s="85">
        <f>STATS1003B!R318/1000</f>
        <v>0</v>
      </c>
      <c r="S317" s="85">
        <f>STATS1003B!S318/1000</f>
        <v>0</v>
      </c>
      <c r="T317" s="85">
        <f>STATS1003B!T318/1000</f>
        <v>0</v>
      </c>
      <c r="U317" s="85">
        <f>STATS1003B!U318/1000</f>
        <v>4462.9642000000003</v>
      </c>
      <c r="V317" s="85">
        <f>STATS1003B!V318/1000</f>
        <v>0</v>
      </c>
      <c r="W317" s="85">
        <f>STATS1003B!W318/1000</f>
        <v>0</v>
      </c>
      <c r="X317" s="85">
        <f t="shared" si="32"/>
        <v>4462.9642000000003</v>
      </c>
      <c r="Y317" s="85">
        <f>STATS1003B!Y318/1000</f>
        <v>0</v>
      </c>
      <c r="Z317" s="85">
        <f t="shared" si="34"/>
        <v>0</v>
      </c>
      <c r="AA317" s="69">
        <f>STATS1003B!AA318/1000</f>
        <v>4462.9642000000003</v>
      </c>
      <c r="AB317" s="69">
        <f>STATS1003B!AB318/1000</f>
        <v>0</v>
      </c>
    </row>
    <row r="318" spans="1:28" hidden="1" x14ac:dyDescent="0.3">
      <c r="A318" s="117"/>
      <c r="C318" s="68" t="s">
        <v>535</v>
      </c>
      <c r="D318" s="87" t="s">
        <v>68</v>
      </c>
      <c r="E318" s="85">
        <f>STATS1003B!E319/1000</f>
        <v>942.803</v>
      </c>
      <c r="F318" s="85">
        <f>STATS1003B!F319/1000</f>
        <v>942.803</v>
      </c>
      <c r="G318" s="85">
        <f>STATS1003B!G319/1000</f>
        <v>0</v>
      </c>
      <c r="H318" s="85">
        <f>STATS1003B!H319/1000</f>
        <v>942.803</v>
      </c>
      <c r="I318" s="85">
        <f>STATS1003B!I319/1000</f>
        <v>0</v>
      </c>
      <c r="J318" s="85">
        <f>STATS1003B!J319/1000</f>
        <v>942.803</v>
      </c>
      <c r="K318" s="85">
        <f>STATS1003B!K319/1000</f>
        <v>0</v>
      </c>
      <c r="L318" s="85">
        <f>STATS1003B!L319/1000</f>
        <v>0</v>
      </c>
      <c r="M318" s="85">
        <f>STATS1003B!M319/1000</f>
        <v>942.803</v>
      </c>
      <c r="N318" s="85">
        <f>STATS1003B!N319/1000</f>
        <v>0</v>
      </c>
      <c r="O318" s="85">
        <f>STATS1003B!O319/1000</f>
        <v>0</v>
      </c>
      <c r="P318" s="85">
        <f>STATS1003B!P319/1000</f>
        <v>0</v>
      </c>
      <c r="Q318" s="85">
        <f>STATS1003B!Q319/1000</f>
        <v>0</v>
      </c>
      <c r="R318" s="85">
        <f>STATS1003B!R319/1000</f>
        <v>0</v>
      </c>
      <c r="S318" s="85">
        <f>STATS1003B!S319/1000</f>
        <v>0</v>
      </c>
      <c r="T318" s="85">
        <f>STATS1003B!T319/1000</f>
        <v>0</v>
      </c>
      <c r="U318" s="85">
        <f>STATS1003B!U319/1000</f>
        <v>0</v>
      </c>
      <c r="V318" s="85">
        <f>STATS1003B!V319/1000</f>
        <v>0</v>
      </c>
      <c r="W318" s="85">
        <f>STATS1003B!W319/1000</f>
        <v>0</v>
      </c>
      <c r="X318" s="85">
        <f t="shared" si="32"/>
        <v>942.803</v>
      </c>
      <c r="Y318" s="85">
        <f>STATS1003B!Y319/1000</f>
        <v>0</v>
      </c>
      <c r="Z318" s="85">
        <f t="shared" si="34"/>
        <v>0</v>
      </c>
      <c r="AA318" s="69">
        <f>STATS1003B!AA319/1000</f>
        <v>942.803</v>
      </c>
      <c r="AB318" s="69">
        <f>STATS1003B!AB319/1000</f>
        <v>0</v>
      </c>
    </row>
    <row r="319" spans="1:28" hidden="1" x14ac:dyDescent="0.3">
      <c r="A319" s="117"/>
      <c r="C319" s="68" t="s">
        <v>545</v>
      </c>
      <c r="D319" s="87" t="s">
        <v>54</v>
      </c>
      <c r="E319" s="85">
        <f>STATS1003B!E320/1000</f>
        <v>1953.989</v>
      </c>
      <c r="F319" s="85">
        <f>STATS1003B!F320/1000</f>
        <v>0</v>
      </c>
      <c r="G319" s="85">
        <f>STATS1003B!G320/1000</f>
        <v>0</v>
      </c>
      <c r="H319" s="85">
        <f>STATS1003B!H320/1000</f>
        <v>0</v>
      </c>
      <c r="I319" s="85">
        <f>STATS1003B!I320/1000</f>
        <v>0</v>
      </c>
      <c r="J319" s="85">
        <f>STATS1003B!J320/1000</f>
        <v>0</v>
      </c>
      <c r="K319" s="85">
        <f>STATS1003B!K320/1000</f>
        <v>1953.989</v>
      </c>
      <c r="L319" s="85">
        <f>STATS1003B!L320/1000</f>
        <v>0</v>
      </c>
      <c r="M319" s="85">
        <f>STATS1003B!M320/1000</f>
        <v>0</v>
      </c>
      <c r="N319" s="85">
        <f>STATS1003B!N320/1000</f>
        <v>1953.989</v>
      </c>
      <c r="O319" s="85">
        <f>STATS1003B!O320/1000</f>
        <v>0</v>
      </c>
      <c r="P319" s="85">
        <f>STATS1003B!P320/1000</f>
        <v>1953.989</v>
      </c>
      <c r="Q319" s="85">
        <f>STATS1003B!Q320/1000</f>
        <v>0</v>
      </c>
      <c r="R319" s="85">
        <f>STATS1003B!R320/1000</f>
        <v>0</v>
      </c>
      <c r="S319" s="85">
        <f>STATS1003B!S320/1000</f>
        <v>0</v>
      </c>
      <c r="T319" s="85">
        <f>STATS1003B!T320/1000</f>
        <v>0</v>
      </c>
      <c r="U319" s="85">
        <f>STATS1003B!U320/1000</f>
        <v>1953.989</v>
      </c>
      <c r="V319" s="85">
        <f>STATS1003B!V320/1000</f>
        <v>0</v>
      </c>
      <c r="W319" s="85">
        <f>STATS1003B!W320/1000</f>
        <v>0</v>
      </c>
      <c r="X319" s="85">
        <f t="shared" si="32"/>
        <v>1953.989</v>
      </c>
      <c r="Y319" s="85">
        <f>STATS1003B!Y320/1000</f>
        <v>0</v>
      </c>
      <c r="Z319" s="85">
        <f t="shared" si="34"/>
        <v>0</v>
      </c>
      <c r="AA319" s="69">
        <f>STATS1003B!AA320/1000</f>
        <v>1953.989</v>
      </c>
      <c r="AB319" s="69">
        <f>STATS1003B!AB320/1000</f>
        <v>0</v>
      </c>
    </row>
    <row r="320" spans="1:28" hidden="1" x14ac:dyDescent="0.3">
      <c r="A320" s="117"/>
      <c r="C320" s="68" t="s">
        <v>557</v>
      </c>
      <c r="D320" s="87" t="s">
        <v>54</v>
      </c>
      <c r="E320" s="85">
        <f>STATS1003B!E321/1000</f>
        <v>605.25</v>
      </c>
      <c r="F320" s="85">
        <f>STATS1003B!F321/1000</f>
        <v>605.25</v>
      </c>
      <c r="G320" s="85">
        <f>STATS1003B!G321/1000</f>
        <v>0</v>
      </c>
      <c r="H320" s="85">
        <f>STATS1003B!H321/1000</f>
        <v>605.25</v>
      </c>
      <c r="I320" s="85">
        <f>STATS1003B!I321/1000</f>
        <v>0</v>
      </c>
      <c r="J320" s="85">
        <f>STATS1003B!J321/1000</f>
        <v>605.25</v>
      </c>
      <c r="K320" s="85">
        <f>STATS1003B!K321/1000</f>
        <v>0</v>
      </c>
      <c r="L320" s="85">
        <f>STATS1003B!L321/1000</f>
        <v>0</v>
      </c>
      <c r="M320" s="85">
        <f>STATS1003B!M321/1000</f>
        <v>605.25</v>
      </c>
      <c r="N320" s="85">
        <f>STATS1003B!N321/1000</f>
        <v>0</v>
      </c>
      <c r="O320" s="85">
        <f>STATS1003B!O321/1000</f>
        <v>0</v>
      </c>
      <c r="P320" s="85">
        <f>STATS1003B!P321/1000</f>
        <v>0</v>
      </c>
      <c r="Q320" s="85">
        <f>STATS1003B!Q321/1000</f>
        <v>0</v>
      </c>
      <c r="R320" s="85">
        <f>STATS1003B!R321/1000</f>
        <v>0</v>
      </c>
      <c r="S320" s="85">
        <f>STATS1003B!S321/1000</f>
        <v>0</v>
      </c>
      <c r="T320" s="85">
        <f>STATS1003B!T321/1000</f>
        <v>0</v>
      </c>
      <c r="U320" s="85">
        <f>STATS1003B!U321/1000</f>
        <v>0</v>
      </c>
      <c r="V320" s="85">
        <f>STATS1003B!V321/1000</f>
        <v>0</v>
      </c>
      <c r="W320" s="85">
        <f>STATS1003B!W321/1000</f>
        <v>0</v>
      </c>
      <c r="X320" s="85">
        <f t="shared" si="32"/>
        <v>605.25</v>
      </c>
      <c r="Y320" s="85">
        <f>STATS1003B!Y321/1000</f>
        <v>0</v>
      </c>
      <c r="Z320" s="85">
        <f t="shared" si="34"/>
        <v>0</v>
      </c>
      <c r="AA320" s="69">
        <f>STATS1003B!AA321/1000</f>
        <v>605.25</v>
      </c>
      <c r="AB320" s="69">
        <f>STATS1003B!AB321/1000</f>
        <v>0</v>
      </c>
    </row>
    <row r="321" spans="1:28" hidden="1" x14ac:dyDescent="0.3">
      <c r="A321" s="117"/>
      <c r="C321" s="68" t="s">
        <v>535</v>
      </c>
      <c r="D321" s="87" t="s">
        <v>85</v>
      </c>
      <c r="E321" s="85">
        <f>STATS1003B!E322/1000</f>
        <v>2211.65</v>
      </c>
      <c r="F321" s="85">
        <f>STATS1003B!F322/1000</f>
        <v>2211.65</v>
      </c>
      <c r="G321" s="85">
        <f>STATS1003B!G322/1000</f>
        <v>0</v>
      </c>
      <c r="H321" s="85">
        <f>STATS1003B!H322/1000</f>
        <v>2211.65</v>
      </c>
      <c r="I321" s="85">
        <f>STATS1003B!I322/1000</f>
        <v>0</v>
      </c>
      <c r="J321" s="85">
        <f>STATS1003B!J322/1000</f>
        <v>2211.65</v>
      </c>
      <c r="K321" s="85">
        <f>STATS1003B!K322/1000</f>
        <v>0</v>
      </c>
      <c r="L321" s="85">
        <f>STATS1003B!L322/1000</f>
        <v>0</v>
      </c>
      <c r="M321" s="85">
        <f>STATS1003B!M322/1000</f>
        <v>2211.65</v>
      </c>
      <c r="N321" s="85">
        <f>STATS1003B!N322/1000</f>
        <v>0</v>
      </c>
      <c r="O321" s="85">
        <f>STATS1003B!O322/1000</f>
        <v>0</v>
      </c>
      <c r="P321" s="85">
        <f>STATS1003B!P322/1000</f>
        <v>0</v>
      </c>
      <c r="Q321" s="85">
        <f>STATS1003B!Q322/1000</f>
        <v>0</v>
      </c>
      <c r="R321" s="85">
        <f>STATS1003B!R322/1000</f>
        <v>0</v>
      </c>
      <c r="S321" s="85">
        <f>STATS1003B!S322/1000</f>
        <v>0</v>
      </c>
      <c r="T321" s="85">
        <f>STATS1003B!T322/1000</f>
        <v>0</v>
      </c>
      <c r="U321" s="85">
        <f>STATS1003B!U322/1000</f>
        <v>0</v>
      </c>
      <c r="V321" s="85">
        <f>STATS1003B!V322/1000</f>
        <v>0</v>
      </c>
      <c r="W321" s="85">
        <f>STATS1003B!W322/1000</f>
        <v>0</v>
      </c>
      <c r="X321" s="85">
        <f t="shared" si="32"/>
        <v>2211.65</v>
      </c>
      <c r="Y321" s="85">
        <f>STATS1003B!Y322/1000</f>
        <v>0</v>
      </c>
      <c r="Z321" s="85">
        <f t="shared" si="34"/>
        <v>0</v>
      </c>
      <c r="AA321" s="69">
        <f>STATS1003B!AA322/1000</f>
        <v>2211.65</v>
      </c>
      <c r="AB321" s="69">
        <f>STATS1003B!AB322/1000</f>
        <v>0</v>
      </c>
    </row>
    <row r="322" spans="1:28" hidden="1" x14ac:dyDescent="0.3">
      <c r="A322" s="117"/>
      <c r="C322" s="68" t="s">
        <v>566</v>
      </c>
      <c r="D322" s="87" t="s">
        <v>128</v>
      </c>
      <c r="E322" s="85">
        <f>STATS1003B!E323/1000</f>
        <v>549.9</v>
      </c>
      <c r="F322" s="85">
        <f>STATS1003B!F323/1000</f>
        <v>549.9</v>
      </c>
      <c r="G322" s="85">
        <f>STATS1003B!G323/1000</f>
        <v>0</v>
      </c>
      <c r="H322" s="85">
        <f>STATS1003B!H323/1000</f>
        <v>549.9</v>
      </c>
      <c r="I322" s="85">
        <f>STATS1003B!I323/1000</f>
        <v>0</v>
      </c>
      <c r="J322" s="85">
        <f>STATS1003B!J323/1000</f>
        <v>549.9</v>
      </c>
      <c r="K322" s="85">
        <f>STATS1003B!K323/1000</f>
        <v>0</v>
      </c>
      <c r="L322" s="85">
        <f>STATS1003B!L323/1000</f>
        <v>0</v>
      </c>
      <c r="M322" s="85">
        <f>STATS1003B!M323/1000</f>
        <v>549.9</v>
      </c>
      <c r="N322" s="85">
        <f>STATS1003B!N323/1000</f>
        <v>0</v>
      </c>
      <c r="O322" s="85">
        <f>STATS1003B!O323/1000</f>
        <v>0</v>
      </c>
      <c r="P322" s="85">
        <f>STATS1003B!P323/1000</f>
        <v>0</v>
      </c>
      <c r="Q322" s="85">
        <f>STATS1003B!Q323/1000</f>
        <v>0</v>
      </c>
      <c r="R322" s="85">
        <f>STATS1003B!R323/1000</f>
        <v>0</v>
      </c>
      <c r="S322" s="85">
        <f>STATS1003B!S323/1000</f>
        <v>0</v>
      </c>
      <c r="T322" s="85">
        <f>STATS1003B!T323/1000</f>
        <v>0</v>
      </c>
      <c r="U322" s="85">
        <f>STATS1003B!U323/1000</f>
        <v>0</v>
      </c>
      <c r="V322" s="85">
        <f>STATS1003B!V323/1000</f>
        <v>0</v>
      </c>
      <c r="W322" s="85">
        <f>STATS1003B!W323/1000</f>
        <v>0</v>
      </c>
      <c r="X322" s="85">
        <f t="shared" si="32"/>
        <v>549.9</v>
      </c>
      <c r="Y322" s="85">
        <f>STATS1003B!Y323/1000</f>
        <v>0</v>
      </c>
      <c r="Z322" s="85">
        <f t="shared" si="34"/>
        <v>0</v>
      </c>
      <c r="AA322" s="69">
        <f>STATS1003B!AA323/1000</f>
        <v>549.9</v>
      </c>
      <c r="AB322" s="69">
        <f>STATS1003B!AB323/1000</f>
        <v>0</v>
      </c>
    </row>
    <row r="323" spans="1:28" hidden="1" x14ac:dyDescent="0.3">
      <c r="A323" s="117"/>
      <c r="C323" s="68" t="s">
        <v>535</v>
      </c>
      <c r="D323" s="87" t="s">
        <v>108</v>
      </c>
      <c r="E323" s="85">
        <f>STATS1003B!E324/1000</f>
        <v>3000</v>
      </c>
      <c r="F323" s="85">
        <f>STATS1003B!F324/1000</f>
        <v>3000</v>
      </c>
      <c r="G323" s="85">
        <f>STATS1003B!G324/1000</f>
        <v>0</v>
      </c>
      <c r="H323" s="85">
        <f>STATS1003B!H324/1000</f>
        <v>3000</v>
      </c>
      <c r="I323" s="85">
        <f>STATS1003B!I324/1000</f>
        <v>0</v>
      </c>
      <c r="J323" s="85">
        <f>STATS1003B!J324/1000</f>
        <v>3000</v>
      </c>
      <c r="K323" s="85">
        <f>STATS1003B!K324/1000</f>
        <v>0</v>
      </c>
      <c r="L323" s="85">
        <f>STATS1003B!L324/1000</f>
        <v>0</v>
      </c>
      <c r="M323" s="85">
        <f>STATS1003B!M324/1000</f>
        <v>3000</v>
      </c>
      <c r="N323" s="85">
        <f>STATS1003B!N324/1000</f>
        <v>0</v>
      </c>
      <c r="O323" s="85">
        <f>STATS1003B!O324/1000</f>
        <v>0</v>
      </c>
      <c r="P323" s="85">
        <f>STATS1003B!P324/1000</f>
        <v>0</v>
      </c>
      <c r="Q323" s="85">
        <f>STATS1003B!Q324/1000</f>
        <v>0</v>
      </c>
      <c r="R323" s="85">
        <f>STATS1003B!R324/1000</f>
        <v>0</v>
      </c>
      <c r="S323" s="85">
        <f>STATS1003B!S324/1000</f>
        <v>0</v>
      </c>
      <c r="T323" s="85">
        <f>STATS1003B!T324/1000</f>
        <v>0</v>
      </c>
      <c r="U323" s="85">
        <f>STATS1003B!U324/1000</f>
        <v>0</v>
      </c>
      <c r="V323" s="85">
        <f>STATS1003B!V324/1000</f>
        <v>0</v>
      </c>
      <c r="W323" s="85">
        <f>STATS1003B!W324/1000</f>
        <v>0</v>
      </c>
      <c r="X323" s="85">
        <f t="shared" si="32"/>
        <v>3000</v>
      </c>
      <c r="Y323" s="85">
        <f>STATS1003B!Y324/1000</f>
        <v>0</v>
      </c>
      <c r="Z323" s="85">
        <f t="shared" si="34"/>
        <v>0</v>
      </c>
      <c r="AA323" s="69">
        <f>STATS1003B!AA324/1000</f>
        <v>3000</v>
      </c>
      <c r="AB323" s="69">
        <f>STATS1003B!AB324/1000</f>
        <v>0</v>
      </c>
    </row>
    <row r="324" spans="1:28" hidden="1" x14ac:dyDescent="0.3">
      <c r="A324" s="117"/>
      <c r="C324" s="68" t="s">
        <v>535</v>
      </c>
      <c r="D324" s="88" t="s">
        <v>60</v>
      </c>
      <c r="E324" s="85">
        <f>STATS1003B!E325/1000</f>
        <v>3356.37</v>
      </c>
      <c r="F324" s="85">
        <f>STATS1003B!F325/1000</f>
        <v>3356.37</v>
      </c>
      <c r="G324" s="85">
        <f>STATS1003B!G325/1000</f>
        <v>0</v>
      </c>
      <c r="H324" s="85">
        <f>STATS1003B!H325/1000</f>
        <v>3356.37</v>
      </c>
      <c r="I324" s="85">
        <f>STATS1003B!I325/1000</f>
        <v>0</v>
      </c>
      <c r="J324" s="85">
        <f>STATS1003B!J325/1000</f>
        <v>3356.37</v>
      </c>
      <c r="K324" s="85">
        <f>STATS1003B!K325/1000</f>
        <v>0</v>
      </c>
      <c r="L324" s="85">
        <f>STATS1003B!L325/1000</f>
        <v>0</v>
      </c>
      <c r="M324" s="85">
        <f>STATS1003B!M325/1000</f>
        <v>3356.37</v>
      </c>
      <c r="N324" s="85">
        <f>STATS1003B!N325/1000</f>
        <v>0</v>
      </c>
      <c r="O324" s="85">
        <f>STATS1003B!O325/1000</f>
        <v>0</v>
      </c>
      <c r="P324" s="85">
        <f>STATS1003B!P325/1000</f>
        <v>0</v>
      </c>
      <c r="Q324" s="85">
        <f>STATS1003B!Q325/1000</f>
        <v>0</v>
      </c>
      <c r="R324" s="85">
        <f>STATS1003B!R325/1000</f>
        <v>0</v>
      </c>
      <c r="S324" s="85">
        <f>STATS1003B!S325/1000</f>
        <v>0</v>
      </c>
      <c r="T324" s="85">
        <f>STATS1003B!T325/1000</f>
        <v>0</v>
      </c>
      <c r="U324" s="85">
        <f>STATS1003B!U325/1000</f>
        <v>0</v>
      </c>
      <c r="V324" s="85">
        <f>STATS1003B!V325/1000</f>
        <v>0</v>
      </c>
      <c r="W324" s="85">
        <f>STATS1003B!W325/1000</f>
        <v>0</v>
      </c>
      <c r="X324" s="85">
        <f t="shared" si="32"/>
        <v>3356.37</v>
      </c>
      <c r="Y324" s="85">
        <f>STATS1003B!Y325/1000</f>
        <v>0</v>
      </c>
      <c r="Z324" s="85">
        <f t="shared" si="34"/>
        <v>0</v>
      </c>
      <c r="AA324" s="69">
        <f>STATS1003B!AA325/1000</f>
        <v>3356.37</v>
      </c>
      <c r="AB324" s="69">
        <f>STATS1003B!AB325/1000</f>
        <v>0</v>
      </c>
    </row>
    <row r="325" spans="1:28" hidden="1" x14ac:dyDescent="0.3">
      <c r="A325" s="117"/>
      <c r="C325" s="71" t="s">
        <v>535</v>
      </c>
      <c r="D325" s="88" t="s">
        <v>73</v>
      </c>
      <c r="E325" s="85">
        <f>STATS1003B!E326/1000</f>
        <v>1809.88023</v>
      </c>
      <c r="F325" s="85">
        <f>STATS1003B!F326/1000</f>
        <v>1809.88023</v>
      </c>
      <c r="G325" s="85">
        <f>STATS1003B!G326/1000</f>
        <v>0</v>
      </c>
      <c r="H325" s="85">
        <f>STATS1003B!H326/1000</f>
        <v>1809.88023</v>
      </c>
      <c r="I325" s="85">
        <f>STATS1003B!I326/1000</f>
        <v>0</v>
      </c>
      <c r="J325" s="85">
        <f>STATS1003B!J326/1000</f>
        <v>1809.88023</v>
      </c>
      <c r="K325" s="85">
        <f>STATS1003B!K326/1000</f>
        <v>0</v>
      </c>
      <c r="L325" s="85">
        <f>STATS1003B!L326/1000</f>
        <v>0</v>
      </c>
      <c r="M325" s="85">
        <f>STATS1003B!M326/1000</f>
        <v>1809.88023</v>
      </c>
      <c r="N325" s="85">
        <f>STATS1003B!N326/1000</f>
        <v>0</v>
      </c>
      <c r="O325" s="85">
        <f>STATS1003B!O326/1000</f>
        <v>0</v>
      </c>
      <c r="P325" s="85">
        <f>STATS1003B!P326/1000</f>
        <v>0</v>
      </c>
      <c r="Q325" s="85">
        <f>STATS1003B!Q326/1000</f>
        <v>0</v>
      </c>
      <c r="R325" s="85">
        <f>STATS1003B!R326/1000</f>
        <v>0</v>
      </c>
      <c r="S325" s="85">
        <f>STATS1003B!S326/1000</f>
        <v>0</v>
      </c>
      <c r="T325" s="85">
        <f>STATS1003B!T326/1000</f>
        <v>0</v>
      </c>
      <c r="U325" s="85">
        <f>STATS1003B!U326/1000</f>
        <v>0</v>
      </c>
      <c r="V325" s="85">
        <f>STATS1003B!V326/1000</f>
        <v>0</v>
      </c>
      <c r="W325" s="85">
        <f>STATS1003B!W326/1000</f>
        <v>0</v>
      </c>
      <c r="X325" s="85">
        <f t="shared" ref="X325:X388" si="36">+H325+P325</f>
        <v>1809.88023</v>
      </c>
      <c r="Y325" s="85">
        <f>STATS1003B!Y326/1000</f>
        <v>0</v>
      </c>
      <c r="Z325" s="85">
        <f t="shared" si="34"/>
        <v>0</v>
      </c>
      <c r="AA325" s="69">
        <f>STATS1003B!AA326/1000</f>
        <v>1809.88023</v>
      </c>
      <c r="AB325" s="69">
        <f>STATS1003B!AB326/1000</f>
        <v>0</v>
      </c>
    </row>
    <row r="326" spans="1:28" hidden="1" x14ac:dyDescent="0.3">
      <c r="A326" s="117"/>
      <c r="C326" s="71" t="s">
        <v>535</v>
      </c>
      <c r="D326" s="88" t="s">
        <v>61</v>
      </c>
      <c r="E326" s="85">
        <f>STATS1003B!E327/1000</f>
        <v>1839.5187700000001</v>
      </c>
      <c r="F326" s="85">
        <f>STATS1003B!F327/1000</f>
        <v>1768.53386</v>
      </c>
      <c r="G326" s="85">
        <f>STATS1003B!G327/1000</f>
        <v>0</v>
      </c>
      <c r="H326" s="85">
        <f>STATS1003B!H327/1000</f>
        <v>1768.53386</v>
      </c>
      <c r="I326" s="85">
        <f>STATS1003B!I327/1000</f>
        <v>0</v>
      </c>
      <c r="J326" s="85">
        <f>STATS1003B!J327/1000</f>
        <v>1768.53386</v>
      </c>
      <c r="K326" s="85">
        <f>STATS1003B!K327/1000</f>
        <v>0</v>
      </c>
      <c r="L326" s="85">
        <f>STATS1003B!L327/1000</f>
        <v>0</v>
      </c>
      <c r="M326" s="85">
        <f>STATS1003B!M327/1000</f>
        <v>1768.53386</v>
      </c>
      <c r="N326" s="85">
        <f>STATS1003B!N327/1000</f>
        <v>0</v>
      </c>
      <c r="O326" s="85">
        <f>STATS1003B!O327/1000</f>
        <v>0</v>
      </c>
      <c r="P326" s="85">
        <f>STATS1003B!P327/1000</f>
        <v>0</v>
      </c>
      <c r="Q326" s="85">
        <f>STATS1003B!Q327/1000</f>
        <v>0</v>
      </c>
      <c r="R326" s="85">
        <f>STATS1003B!R327/1000</f>
        <v>0</v>
      </c>
      <c r="S326" s="85">
        <f>STATS1003B!S327/1000</f>
        <v>0</v>
      </c>
      <c r="T326" s="85">
        <f>STATS1003B!T327/1000</f>
        <v>70.984909999999999</v>
      </c>
      <c r="U326" s="85">
        <f>STATS1003B!U327/1000</f>
        <v>70.984909999999999</v>
      </c>
      <c r="V326" s="85">
        <f>STATS1003B!V327/1000</f>
        <v>0</v>
      </c>
      <c r="W326" s="85">
        <f>STATS1003B!W327/1000</f>
        <v>0</v>
      </c>
      <c r="X326" s="85">
        <f t="shared" si="36"/>
        <v>1768.53386</v>
      </c>
      <c r="Y326" s="85">
        <f>STATS1003B!Y327/1000</f>
        <v>0</v>
      </c>
      <c r="Z326" s="85">
        <f t="shared" si="34"/>
        <v>70.984910000000127</v>
      </c>
      <c r="AA326" s="69">
        <f>STATS1003B!AA327/1000</f>
        <v>1839.5187700000001</v>
      </c>
      <c r="AB326" s="69">
        <f>STATS1003B!AB327/1000</f>
        <v>0</v>
      </c>
    </row>
    <row r="327" spans="1:28" hidden="1" x14ac:dyDescent="0.3">
      <c r="A327" s="117"/>
      <c r="C327" s="71" t="s">
        <v>926</v>
      </c>
      <c r="D327" s="88"/>
      <c r="E327" s="85">
        <f>STATS1003B!E328/1000</f>
        <v>892.18883999999991</v>
      </c>
      <c r="F327" s="85">
        <f>STATS1003B!F328/1000</f>
        <v>868.46614</v>
      </c>
      <c r="G327" s="85">
        <f>STATS1003B!G328/1000</f>
        <v>0</v>
      </c>
      <c r="H327" s="85">
        <f>STATS1003B!H328/1000</f>
        <v>868.46614</v>
      </c>
      <c r="I327" s="85">
        <f>STATS1003B!I328/1000</f>
        <v>0</v>
      </c>
      <c r="J327" s="85">
        <f>STATS1003B!J328/1000</f>
        <v>0</v>
      </c>
      <c r="K327" s="85">
        <f>STATS1003B!K328/1000</f>
        <v>0</v>
      </c>
      <c r="L327" s="85">
        <f>STATS1003B!L328/1000</f>
        <v>0</v>
      </c>
      <c r="M327" s="85">
        <f>STATS1003B!M328/1000</f>
        <v>868.46614</v>
      </c>
      <c r="N327" s="85">
        <f>STATS1003B!N328/1000</f>
        <v>23.7227</v>
      </c>
      <c r="O327" s="85">
        <f>STATS1003B!O328/1000</f>
        <v>0</v>
      </c>
      <c r="P327" s="85">
        <f>STATS1003B!P328/1000</f>
        <v>23.7227</v>
      </c>
      <c r="Q327" s="85">
        <f>STATS1003B!Q328/1000</f>
        <v>0</v>
      </c>
      <c r="R327" s="85">
        <f>STATS1003B!R328/1000</f>
        <v>0</v>
      </c>
      <c r="S327" s="85">
        <f>STATS1003B!S328/1000</f>
        <v>0</v>
      </c>
      <c r="T327" s="85">
        <f>STATS1003B!T328/1000</f>
        <v>0</v>
      </c>
      <c r="U327" s="85">
        <f>STATS1003B!U328/1000</f>
        <v>23.7227</v>
      </c>
      <c r="V327" s="85">
        <f>STATS1003B!V328/1000</f>
        <v>0</v>
      </c>
      <c r="W327" s="85">
        <f>STATS1003B!W328/1000</f>
        <v>0</v>
      </c>
      <c r="X327" s="85">
        <f t="shared" si="36"/>
        <v>892.18884000000003</v>
      </c>
      <c r="Y327" s="85">
        <f>STATS1003B!Y328/1000</f>
        <v>0</v>
      </c>
      <c r="Z327" s="85">
        <f t="shared" si="34"/>
        <v>0</v>
      </c>
      <c r="AA327" s="69">
        <f>STATS1003B!AA328/1000</f>
        <v>892.18883999999991</v>
      </c>
      <c r="AB327" s="69">
        <f>STATS1003B!AB328/1000</f>
        <v>0</v>
      </c>
    </row>
    <row r="328" spans="1:28" hidden="1" x14ac:dyDescent="0.3">
      <c r="A328" s="117"/>
      <c r="C328" s="71" t="s">
        <v>567</v>
      </c>
      <c r="D328" s="88" t="s">
        <v>61</v>
      </c>
      <c r="E328" s="85">
        <f>STATS1003B!E329/1000</f>
        <v>502.22015999999996</v>
      </c>
      <c r="F328" s="85">
        <f>STATS1003B!F329/1000</f>
        <v>484.62241999999998</v>
      </c>
      <c r="G328" s="85">
        <f>STATS1003B!G329/1000</f>
        <v>0</v>
      </c>
      <c r="H328" s="85">
        <f>STATS1003B!H329/1000</f>
        <v>484.62241999999998</v>
      </c>
      <c r="I328" s="85">
        <f>STATS1003B!I329/1000</f>
        <v>0</v>
      </c>
      <c r="J328" s="85">
        <f>STATS1003B!J329/1000</f>
        <v>484.62241999999998</v>
      </c>
      <c r="K328" s="85">
        <f>STATS1003B!K329/1000</f>
        <v>0</v>
      </c>
      <c r="L328" s="85">
        <f>STATS1003B!L329/1000</f>
        <v>0</v>
      </c>
      <c r="M328" s="85">
        <f>STATS1003B!M329/1000</f>
        <v>484.62241999999998</v>
      </c>
      <c r="N328" s="85">
        <f>STATS1003B!N329/1000</f>
        <v>0</v>
      </c>
      <c r="O328" s="85">
        <f>STATS1003B!O329/1000</f>
        <v>0</v>
      </c>
      <c r="P328" s="85">
        <f>STATS1003B!P329/1000</f>
        <v>0</v>
      </c>
      <c r="Q328" s="85">
        <f>STATS1003B!Q329/1000</f>
        <v>0</v>
      </c>
      <c r="R328" s="85">
        <f>STATS1003B!R329/1000</f>
        <v>0</v>
      </c>
      <c r="S328" s="85">
        <f>STATS1003B!S329/1000</f>
        <v>0</v>
      </c>
      <c r="T328" s="85">
        <f>STATS1003B!T329/1000</f>
        <v>17.597740000000002</v>
      </c>
      <c r="U328" s="85">
        <f>STATS1003B!U329/1000</f>
        <v>17.597740000000002</v>
      </c>
      <c r="V328" s="85">
        <f>STATS1003B!V329/1000</f>
        <v>0</v>
      </c>
      <c r="W328" s="85">
        <f>STATS1003B!W329/1000</f>
        <v>0</v>
      </c>
      <c r="X328" s="85">
        <f t="shared" si="36"/>
        <v>484.62241999999998</v>
      </c>
      <c r="Y328" s="85">
        <f>STATS1003B!Y329/1000</f>
        <v>0</v>
      </c>
      <c r="Z328" s="85">
        <f t="shared" si="34"/>
        <v>17.597739999999988</v>
      </c>
      <c r="AA328" s="69">
        <f>STATS1003B!AA329/1000</f>
        <v>502.22015999999996</v>
      </c>
      <c r="AB328" s="69">
        <f>STATS1003B!AB329/1000</f>
        <v>0</v>
      </c>
    </row>
    <row r="329" spans="1:28" hidden="1" x14ac:dyDescent="0.3">
      <c r="A329" s="117"/>
      <c r="C329" s="71" t="s">
        <v>568</v>
      </c>
      <c r="E329" s="85">
        <f>STATS1003B!E330/1000</f>
        <v>2838.3505699999996</v>
      </c>
      <c r="F329" s="85">
        <f>STATS1003B!F330/1000</f>
        <v>2838.3505699999996</v>
      </c>
      <c r="G329" s="85">
        <f>STATS1003B!G330/1000</f>
        <v>0</v>
      </c>
      <c r="H329" s="85">
        <f>STATS1003B!H330/1000</f>
        <v>2838.3505699999996</v>
      </c>
      <c r="I329" s="85">
        <f>STATS1003B!I330/1000</f>
        <v>0</v>
      </c>
      <c r="J329" s="85">
        <f>STATS1003B!J330/1000</f>
        <v>2838.3505699999996</v>
      </c>
      <c r="K329" s="85">
        <f>STATS1003B!K330/1000</f>
        <v>0</v>
      </c>
      <c r="L329" s="85">
        <f>STATS1003B!L330/1000</f>
        <v>0</v>
      </c>
      <c r="M329" s="85">
        <f>STATS1003B!M330/1000</f>
        <v>2838.3505699999996</v>
      </c>
      <c r="N329" s="85">
        <f>STATS1003B!N330/1000</f>
        <v>0</v>
      </c>
      <c r="O329" s="85">
        <f>STATS1003B!O330/1000</f>
        <v>0</v>
      </c>
      <c r="P329" s="85">
        <f>STATS1003B!P330/1000</f>
        <v>0</v>
      </c>
      <c r="Q329" s="85">
        <f>STATS1003B!Q330/1000</f>
        <v>0</v>
      </c>
      <c r="R329" s="85">
        <f>STATS1003B!R330/1000</f>
        <v>0</v>
      </c>
      <c r="S329" s="85">
        <f>STATS1003B!S330/1000</f>
        <v>0</v>
      </c>
      <c r="T329" s="85">
        <f>STATS1003B!T330/1000</f>
        <v>0</v>
      </c>
      <c r="U329" s="85">
        <f>STATS1003B!U330/1000</f>
        <v>0</v>
      </c>
      <c r="V329" s="85">
        <f>STATS1003B!V330/1000</f>
        <v>0</v>
      </c>
      <c r="W329" s="85">
        <f>STATS1003B!W330/1000</f>
        <v>0</v>
      </c>
      <c r="X329" s="85">
        <f t="shared" si="36"/>
        <v>2838.3505699999996</v>
      </c>
      <c r="Y329" s="85">
        <f>STATS1003B!Y330/1000</f>
        <v>0</v>
      </c>
      <c r="Z329" s="85">
        <f t="shared" si="34"/>
        <v>0</v>
      </c>
      <c r="AA329" s="69">
        <f>STATS1003B!AA330/1000</f>
        <v>2838.3505699999996</v>
      </c>
      <c r="AB329" s="69">
        <f>STATS1003B!AB330/1000</f>
        <v>0</v>
      </c>
    </row>
    <row r="330" spans="1:28" hidden="1" x14ac:dyDescent="0.3">
      <c r="A330" s="117"/>
      <c r="C330" s="68" t="s">
        <v>569</v>
      </c>
      <c r="E330" s="85">
        <f>STATS1003B!E331/1000</f>
        <v>664.55</v>
      </c>
      <c r="F330" s="85">
        <f>STATS1003B!F331/1000</f>
        <v>664.55</v>
      </c>
      <c r="G330" s="85">
        <f>STATS1003B!G331/1000</f>
        <v>0</v>
      </c>
      <c r="H330" s="85">
        <f>STATS1003B!H331/1000</f>
        <v>664.55</v>
      </c>
      <c r="I330" s="85">
        <f>STATS1003B!I331/1000</f>
        <v>0</v>
      </c>
      <c r="J330" s="85">
        <f>STATS1003B!J331/1000</f>
        <v>664.55</v>
      </c>
      <c r="K330" s="85">
        <f>STATS1003B!K331/1000</f>
        <v>0</v>
      </c>
      <c r="L330" s="85">
        <f>STATS1003B!L331/1000</f>
        <v>0</v>
      </c>
      <c r="M330" s="85">
        <f>STATS1003B!M331/1000</f>
        <v>664.55</v>
      </c>
      <c r="N330" s="85">
        <f>STATS1003B!N331/1000</f>
        <v>0</v>
      </c>
      <c r="O330" s="85">
        <f>STATS1003B!O331/1000</f>
        <v>0</v>
      </c>
      <c r="P330" s="85">
        <f>STATS1003B!P331/1000</f>
        <v>0</v>
      </c>
      <c r="Q330" s="85">
        <f>STATS1003B!Q331/1000</f>
        <v>0</v>
      </c>
      <c r="R330" s="85">
        <f>STATS1003B!R331/1000</f>
        <v>0</v>
      </c>
      <c r="S330" s="85">
        <f>STATS1003B!S331/1000</f>
        <v>0</v>
      </c>
      <c r="T330" s="85">
        <f>STATS1003B!T331/1000</f>
        <v>0</v>
      </c>
      <c r="U330" s="85">
        <f>STATS1003B!U331/1000</f>
        <v>0</v>
      </c>
      <c r="V330" s="85">
        <f>STATS1003B!V331/1000</f>
        <v>0</v>
      </c>
      <c r="W330" s="85">
        <f>STATS1003B!W331/1000</f>
        <v>0</v>
      </c>
      <c r="X330" s="85">
        <f t="shared" si="36"/>
        <v>664.55</v>
      </c>
      <c r="Y330" s="85">
        <f>STATS1003B!Y331/1000</f>
        <v>0</v>
      </c>
      <c r="Z330" s="85">
        <f t="shared" si="34"/>
        <v>0</v>
      </c>
      <c r="AA330" s="69">
        <f>STATS1003B!AA331/1000</f>
        <v>664.55</v>
      </c>
      <c r="AB330" s="69">
        <f>STATS1003B!AB331/1000</f>
        <v>0</v>
      </c>
    </row>
    <row r="331" spans="1:28" hidden="1" x14ac:dyDescent="0.3">
      <c r="A331" s="117"/>
      <c r="C331" s="68" t="s">
        <v>543</v>
      </c>
      <c r="E331" s="85">
        <f>STATS1003B!E332/1000</f>
        <v>4333.5500999999995</v>
      </c>
      <c r="F331" s="85">
        <f>STATS1003B!F332/1000</f>
        <v>4333.5500999999995</v>
      </c>
      <c r="G331" s="85">
        <f>STATS1003B!G332/1000</f>
        <v>0</v>
      </c>
      <c r="H331" s="85">
        <f>STATS1003B!H332/1000</f>
        <v>4333.5500999999995</v>
      </c>
      <c r="I331" s="85">
        <f>STATS1003B!I332/1000</f>
        <v>0</v>
      </c>
      <c r="J331" s="85">
        <f>STATS1003B!J332/1000</f>
        <v>4333.5500999999995</v>
      </c>
      <c r="K331" s="85">
        <f>STATS1003B!K332/1000</f>
        <v>0</v>
      </c>
      <c r="L331" s="85">
        <f>STATS1003B!L332/1000</f>
        <v>0</v>
      </c>
      <c r="M331" s="85">
        <f>STATS1003B!M332/1000</f>
        <v>4333.5500999999995</v>
      </c>
      <c r="N331" s="85">
        <f>STATS1003B!N332/1000</f>
        <v>0</v>
      </c>
      <c r="O331" s="85">
        <f>STATS1003B!O332/1000</f>
        <v>0</v>
      </c>
      <c r="P331" s="85">
        <f>STATS1003B!P332/1000</f>
        <v>0</v>
      </c>
      <c r="Q331" s="85">
        <f>STATS1003B!Q332/1000</f>
        <v>0</v>
      </c>
      <c r="R331" s="85">
        <f>STATS1003B!R332/1000</f>
        <v>0</v>
      </c>
      <c r="S331" s="85">
        <f>STATS1003B!S332/1000</f>
        <v>0</v>
      </c>
      <c r="T331" s="85">
        <f>STATS1003B!T332/1000</f>
        <v>0</v>
      </c>
      <c r="U331" s="85">
        <f>STATS1003B!U332/1000</f>
        <v>0</v>
      </c>
      <c r="V331" s="85">
        <f>STATS1003B!V332/1000</f>
        <v>0</v>
      </c>
      <c r="W331" s="85">
        <f>STATS1003B!W332/1000</f>
        <v>0</v>
      </c>
      <c r="X331" s="85">
        <f t="shared" si="36"/>
        <v>4333.5500999999995</v>
      </c>
      <c r="Y331" s="85">
        <f>STATS1003B!Y332/1000</f>
        <v>0</v>
      </c>
      <c r="Z331" s="85">
        <f t="shared" si="34"/>
        <v>0</v>
      </c>
      <c r="AA331" s="69">
        <f>STATS1003B!AA332/1000</f>
        <v>4333.5500999999995</v>
      </c>
      <c r="AB331" s="69">
        <f>STATS1003B!AB332/1000</f>
        <v>0</v>
      </c>
    </row>
    <row r="332" spans="1:28" hidden="1" x14ac:dyDescent="0.3">
      <c r="A332" s="117"/>
      <c r="E332" s="86" t="s">
        <v>29</v>
      </c>
      <c r="F332" s="86" t="s">
        <v>29</v>
      </c>
      <c r="G332" s="86" t="s">
        <v>29</v>
      </c>
      <c r="H332" s="86" t="s">
        <v>29</v>
      </c>
      <c r="I332" s="86" t="s">
        <v>29</v>
      </c>
      <c r="J332" s="86" t="s">
        <v>29</v>
      </c>
      <c r="K332" s="86" t="s">
        <v>29</v>
      </c>
      <c r="L332" s="86" t="s">
        <v>29</v>
      </c>
      <c r="M332" s="86" t="s">
        <v>29</v>
      </c>
      <c r="N332" s="86" t="s">
        <v>29</v>
      </c>
      <c r="O332" s="86" t="s">
        <v>29</v>
      </c>
      <c r="P332" s="86" t="s">
        <v>29</v>
      </c>
      <c r="Q332" s="86" t="s">
        <v>29</v>
      </c>
      <c r="R332" s="86" t="s">
        <v>29</v>
      </c>
      <c r="S332" s="86" t="s">
        <v>29</v>
      </c>
      <c r="T332" s="86" t="s">
        <v>29</v>
      </c>
      <c r="U332" s="86" t="s">
        <v>29</v>
      </c>
      <c r="V332" s="86" t="s">
        <v>29</v>
      </c>
      <c r="W332" s="86" t="s">
        <v>29</v>
      </c>
      <c r="X332" s="85" t="e">
        <f t="shared" si="36"/>
        <v>#VALUE!</v>
      </c>
      <c r="Y332" s="86" t="s">
        <v>29</v>
      </c>
      <c r="Z332" s="85" t="e">
        <f t="shared" si="34"/>
        <v>#VALUE!</v>
      </c>
      <c r="AA332" s="115" t="s">
        <v>29</v>
      </c>
      <c r="AB332" s="115" t="s">
        <v>29</v>
      </c>
    </row>
    <row r="333" spans="1:28" x14ac:dyDescent="0.3">
      <c r="A333" s="116" t="s">
        <v>948</v>
      </c>
      <c r="B333" s="68" t="s">
        <v>563</v>
      </c>
      <c r="E333" s="85">
        <f>109326803.03/1000</f>
        <v>109326.80303</v>
      </c>
      <c r="F333" s="85">
        <f t="shared" ref="F333:Q333" si="37">SUM(F315:F332)</f>
        <v>23953.34793</v>
      </c>
      <c r="G333" s="85">
        <f t="shared" si="37"/>
        <v>0</v>
      </c>
      <c r="H333" s="85">
        <f>101691188.98/1000</f>
        <v>101691.18898000001</v>
      </c>
      <c r="I333" s="85">
        <f t="shared" si="37"/>
        <v>0</v>
      </c>
      <c r="J333" s="85">
        <f t="shared" si="37"/>
        <v>23084.881789999999</v>
      </c>
      <c r="K333" s="85">
        <f t="shared" si="37"/>
        <v>7159.1991400000006</v>
      </c>
      <c r="L333" s="85">
        <f t="shared" si="37"/>
        <v>0</v>
      </c>
      <c r="M333" s="85">
        <f t="shared" si="37"/>
        <v>23953.34793</v>
      </c>
      <c r="N333" s="85">
        <f t="shared" si="37"/>
        <v>7182.9218400000009</v>
      </c>
      <c r="O333" s="85">
        <f t="shared" si="37"/>
        <v>0</v>
      </c>
      <c r="P333" s="85">
        <f>7182921/1000</f>
        <v>7182.9210000000003</v>
      </c>
      <c r="Q333" s="85">
        <f t="shared" si="37"/>
        <v>0</v>
      </c>
      <c r="R333" s="86"/>
      <c r="S333" s="86"/>
      <c r="T333" s="85">
        <f t="shared" ref="T333:Y333" si="38">SUM(T315:T332)</f>
        <v>88.582650000000001</v>
      </c>
      <c r="U333" s="85">
        <f t="shared" si="38"/>
        <v>7271.5044900000012</v>
      </c>
      <c r="V333" s="85">
        <f t="shared" si="38"/>
        <v>0</v>
      </c>
      <c r="W333" s="85">
        <f t="shared" si="38"/>
        <v>0</v>
      </c>
      <c r="X333" s="85">
        <f>+H333+P333</f>
        <v>108874.10998000001</v>
      </c>
      <c r="Y333" s="85">
        <f t="shared" si="38"/>
        <v>0</v>
      </c>
      <c r="Z333" s="85">
        <f t="shared" si="34"/>
        <v>452.69304999998712</v>
      </c>
      <c r="AA333" s="69">
        <f>SUM(AA315:AA332)</f>
        <v>31224.852419999996</v>
      </c>
      <c r="AB333" s="69">
        <f>SUM(AB315:AB332)</f>
        <v>364.10955999999999</v>
      </c>
    </row>
    <row r="334" spans="1:28" hidden="1" x14ac:dyDescent="0.3">
      <c r="A334" s="117"/>
      <c r="E334" s="86" t="s">
        <v>29</v>
      </c>
      <c r="F334" s="86" t="s">
        <v>29</v>
      </c>
      <c r="G334" s="86" t="s">
        <v>29</v>
      </c>
      <c r="H334" s="86" t="s">
        <v>29</v>
      </c>
      <c r="I334" s="86" t="s">
        <v>29</v>
      </c>
      <c r="J334" s="86" t="s">
        <v>29</v>
      </c>
      <c r="K334" s="86" t="s">
        <v>29</v>
      </c>
      <c r="L334" s="86" t="s">
        <v>29</v>
      </c>
      <c r="M334" s="86" t="s">
        <v>29</v>
      </c>
      <c r="N334" s="86" t="s">
        <v>29</v>
      </c>
      <c r="O334" s="86" t="s">
        <v>29</v>
      </c>
      <c r="P334" s="86" t="s">
        <v>29</v>
      </c>
      <c r="Q334" s="86" t="s">
        <v>29</v>
      </c>
      <c r="R334" s="86" t="s">
        <v>29</v>
      </c>
      <c r="S334" s="86" t="s">
        <v>29</v>
      </c>
      <c r="T334" s="86" t="s">
        <v>29</v>
      </c>
      <c r="U334" s="86" t="s">
        <v>29</v>
      </c>
      <c r="V334" s="86" t="s">
        <v>29</v>
      </c>
      <c r="W334" s="86" t="s">
        <v>29</v>
      </c>
      <c r="X334" s="85" t="e">
        <f t="shared" si="36"/>
        <v>#VALUE!</v>
      </c>
      <c r="Y334" s="86" t="s">
        <v>29</v>
      </c>
      <c r="Z334" s="85" t="e">
        <f t="shared" si="34"/>
        <v>#VALUE!</v>
      </c>
      <c r="AA334" s="115" t="s">
        <v>29</v>
      </c>
      <c r="AB334" s="115" t="s">
        <v>29</v>
      </c>
    </row>
    <row r="335" spans="1:28" hidden="1" x14ac:dyDescent="0.3">
      <c r="A335" s="105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6"/>
      <c r="S335" s="86"/>
      <c r="T335" s="94"/>
      <c r="U335" s="94"/>
      <c r="V335" s="94"/>
      <c r="W335" s="94"/>
      <c r="X335" s="85">
        <f t="shared" si="36"/>
        <v>0</v>
      </c>
      <c r="Y335" s="94"/>
      <c r="Z335" s="85">
        <f t="shared" si="34"/>
        <v>0</v>
      </c>
      <c r="AA335" s="118"/>
    </row>
    <row r="336" spans="1:28" hidden="1" x14ac:dyDescent="0.3">
      <c r="A336" s="117"/>
      <c r="C336" s="68" t="s">
        <v>539</v>
      </c>
      <c r="D336" s="87" t="s">
        <v>68</v>
      </c>
      <c r="E336" s="85">
        <f>STATS1003B!E337/1000</f>
        <v>2034.5417500000001</v>
      </c>
      <c r="F336" s="85">
        <f>STATS1003B!F337/1000</f>
        <v>0</v>
      </c>
      <c r="G336" s="85">
        <f>STATS1003B!G337/1000</f>
        <v>0</v>
      </c>
      <c r="H336" s="85">
        <f>STATS1003B!H337/1000</f>
        <v>0</v>
      </c>
      <c r="I336" s="85">
        <f>STATS1003B!I337/1000</f>
        <v>0</v>
      </c>
      <c r="J336" s="85">
        <f>STATS1003B!J337/1000</f>
        <v>0</v>
      </c>
      <c r="K336" s="85">
        <f>STATS1003B!K337/1000</f>
        <v>2034.5417500000001</v>
      </c>
      <c r="L336" s="85">
        <f>STATS1003B!L337/1000</f>
        <v>0</v>
      </c>
      <c r="M336" s="85">
        <f>STATS1003B!M337/1000</f>
        <v>0</v>
      </c>
      <c r="N336" s="85">
        <f>STATS1003B!N337/1000</f>
        <v>2034.5417500000001</v>
      </c>
      <c r="O336" s="85">
        <f>STATS1003B!O337/1000</f>
        <v>0</v>
      </c>
      <c r="P336" s="85">
        <f>STATS1003B!P337/1000</f>
        <v>2034.5417500000001</v>
      </c>
      <c r="Q336" s="85">
        <f>STATS1003B!Q337/1000</f>
        <v>0</v>
      </c>
      <c r="R336" s="85">
        <f>STATS1003B!R337/1000</f>
        <v>0</v>
      </c>
      <c r="S336" s="85">
        <f>STATS1003B!S337/1000</f>
        <v>0</v>
      </c>
      <c r="T336" s="85">
        <f>STATS1003B!T337/1000</f>
        <v>0</v>
      </c>
      <c r="U336" s="85">
        <f>STATS1003B!U337/1000</f>
        <v>2034.5417500000001</v>
      </c>
      <c r="V336" s="85">
        <f>STATS1003B!V337/1000</f>
        <v>0</v>
      </c>
      <c r="W336" s="85">
        <f>STATS1003B!W337/1000</f>
        <v>0</v>
      </c>
      <c r="X336" s="85">
        <f t="shared" si="36"/>
        <v>2034.5417500000001</v>
      </c>
      <c r="Y336" s="85">
        <f>STATS1003B!Y337/1000</f>
        <v>0</v>
      </c>
      <c r="Z336" s="85">
        <f t="shared" si="34"/>
        <v>0</v>
      </c>
      <c r="AA336" s="69">
        <f>STATS1003B!AA337/1000</f>
        <v>2034.5417500000001</v>
      </c>
      <c r="AB336" s="69">
        <f>STATS1003B!AB337/1000</f>
        <v>0</v>
      </c>
    </row>
    <row r="337" spans="1:28" hidden="1" x14ac:dyDescent="0.3">
      <c r="A337" s="117"/>
      <c r="C337" s="68" t="s">
        <v>535</v>
      </c>
      <c r="D337" s="87" t="s">
        <v>68</v>
      </c>
      <c r="E337" s="85">
        <f>STATS1003B!E338/1000</f>
        <v>1467.1890000000001</v>
      </c>
      <c r="F337" s="85">
        <f>STATS1003B!F338/1000</f>
        <v>1467.1890000000001</v>
      </c>
      <c r="G337" s="85">
        <f>STATS1003B!G338/1000</f>
        <v>0</v>
      </c>
      <c r="H337" s="85">
        <f>STATS1003B!H338/1000</f>
        <v>1467.1890000000001</v>
      </c>
      <c r="I337" s="85">
        <f>STATS1003B!I338/1000</f>
        <v>0</v>
      </c>
      <c r="J337" s="85">
        <f>STATS1003B!J338/1000</f>
        <v>1467.1890000000001</v>
      </c>
      <c r="K337" s="85">
        <f>STATS1003B!K338/1000</f>
        <v>0</v>
      </c>
      <c r="L337" s="85">
        <f>STATS1003B!L338/1000</f>
        <v>0</v>
      </c>
      <c r="M337" s="85">
        <f>STATS1003B!M338/1000</f>
        <v>1467.1890000000001</v>
      </c>
      <c r="N337" s="85">
        <f>STATS1003B!N338/1000</f>
        <v>0</v>
      </c>
      <c r="O337" s="85">
        <f>STATS1003B!O338/1000</f>
        <v>0</v>
      </c>
      <c r="P337" s="85">
        <f>STATS1003B!P338/1000</f>
        <v>0</v>
      </c>
      <c r="Q337" s="85">
        <f>STATS1003B!Q338/1000</f>
        <v>0</v>
      </c>
      <c r="R337" s="85">
        <f>STATS1003B!R338/1000</f>
        <v>0</v>
      </c>
      <c r="S337" s="85">
        <f>STATS1003B!S338/1000</f>
        <v>0</v>
      </c>
      <c r="T337" s="85">
        <f>STATS1003B!T338/1000</f>
        <v>0</v>
      </c>
      <c r="U337" s="85">
        <f>STATS1003B!U338/1000</f>
        <v>0</v>
      </c>
      <c r="V337" s="85">
        <f>STATS1003B!V338/1000</f>
        <v>0</v>
      </c>
      <c r="W337" s="85">
        <f>STATS1003B!W338/1000</f>
        <v>0</v>
      </c>
      <c r="X337" s="85">
        <f t="shared" si="36"/>
        <v>1467.1890000000001</v>
      </c>
      <c r="Y337" s="85">
        <f>STATS1003B!Y338/1000</f>
        <v>0</v>
      </c>
      <c r="Z337" s="85">
        <f t="shared" si="34"/>
        <v>0</v>
      </c>
      <c r="AA337" s="69">
        <f>STATS1003B!AA338/1000</f>
        <v>1467.1890000000001</v>
      </c>
      <c r="AB337" s="69">
        <f>STATS1003B!AB338/1000</f>
        <v>0</v>
      </c>
    </row>
    <row r="338" spans="1:28" hidden="1" x14ac:dyDescent="0.3">
      <c r="A338" s="117"/>
      <c r="C338" s="68" t="s">
        <v>535</v>
      </c>
      <c r="D338" s="87" t="s">
        <v>54</v>
      </c>
      <c r="E338" s="85">
        <f>STATS1003B!E339/1000</f>
        <v>1363</v>
      </c>
      <c r="F338" s="85">
        <f>STATS1003B!F339/1000</f>
        <v>1363</v>
      </c>
      <c r="G338" s="85">
        <f>STATS1003B!G339/1000</f>
        <v>0</v>
      </c>
      <c r="H338" s="85">
        <f>STATS1003B!H339/1000</f>
        <v>1363</v>
      </c>
      <c r="I338" s="85">
        <f>STATS1003B!I339/1000</f>
        <v>0</v>
      </c>
      <c r="J338" s="85">
        <f>STATS1003B!J339/1000</f>
        <v>1363</v>
      </c>
      <c r="K338" s="85">
        <f>STATS1003B!K339/1000</f>
        <v>0</v>
      </c>
      <c r="L338" s="85">
        <f>STATS1003B!L339/1000</f>
        <v>0</v>
      </c>
      <c r="M338" s="85">
        <f>STATS1003B!M339/1000</f>
        <v>1363</v>
      </c>
      <c r="N338" s="85">
        <f>STATS1003B!N339/1000</f>
        <v>0</v>
      </c>
      <c r="O338" s="85">
        <f>STATS1003B!O339/1000</f>
        <v>0</v>
      </c>
      <c r="P338" s="85">
        <f>STATS1003B!P339/1000</f>
        <v>0</v>
      </c>
      <c r="Q338" s="85">
        <f>STATS1003B!Q339/1000</f>
        <v>0</v>
      </c>
      <c r="R338" s="85">
        <f>STATS1003B!R339/1000</f>
        <v>0</v>
      </c>
      <c r="S338" s="85">
        <f>STATS1003B!S339/1000</f>
        <v>0</v>
      </c>
      <c r="T338" s="85">
        <f>STATS1003B!T339/1000</f>
        <v>0</v>
      </c>
      <c r="U338" s="85">
        <f>STATS1003B!U339/1000</f>
        <v>0</v>
      </c>
      <c r="V338" s="85">
        <f>STATS1003B!V339/1000</f>
        <v>0</v>
      </c>
      <c r="W338" s="85">
        <f>STATS1003B!W339/1000</f>
        <v>0</v>
      </c>
      <c r="X338" s="85">
        <f t="shared" si="36"/>
        <v>1363</v>
      </c>
      <c r="Y338" s="85">
        <f>STATS1003B!Y339/1000</f>
        <v>0</v>
      </c>
      <c r="Z338" s="85">
        <f t="shared" si="34"/>
        <v>0</v>
      </c>
      <c r="AA338" s="69">
        <f>STATS1003B!AA339/1000</f>
        <v>1363</v>
      </c>
      <c r="AB338" s="69">
        <f>STATS1003B!AB339/1000</f>
        <v>0</v>
      </c>
    </row>
    <row r="339" spans="1:28" hidden="1" x14ac:dyDescent="0.3">
      <c r="A339" s="117"/>
      <c r="C339" s="68" t="s">
        <v>571</v>
      </c>
      <c r="D339" s="87" t="s">
        <v>54</v>
      </c>
      <c r="E339" s="85">
        <f>STATS1003B!E340/1000</f>
        <v>0</v>
      </c>
      <c r="F339" s="85">
        <f>STATS1003B!F340/1000</f>
        <v>0</v>
      </c>
      <c r="G339" s="85">
        <f>STATS1003B!G340/1000</f>
        <v>0</v>
      </c>
      <c r="H339" s="85">
        <f>STATS1003B!H340/1000</f>
        <v>0</v>
      </c>
      <c r="I339" s="85">
        <f>STATS1003B!I340/1000</f>
        <v>0</v>
      </c>
      <c r="J339" s="85">
        <f>STATS1003B!J340/1000</f>
        <v>0</v>
      </c>
      <c r="K339" s="85">
        <f>STATS1003B!K340/1000</f>
        <v>0</v>
      </c>
      <c r="L339" s="85">
        <f>STATS1003B!L340/1000</f>
        <v>0</v>
      </c>
      <c r="M339" s="85">
        <f>STATS1003B!M340/1000</f>
        <v>0</v>
      </c>
      <c r="N339" s="85">
        <f>STATS1003B!N340/1000</f>
        <v>0</v>
      </c>
      <c r="O339" s="85">
        <f>STATS1003B!O340/1000</f>
        <v>0</v>
      </c>
      <c r="P339" s="85">
        <f>STATS1003B!P340/1000</f>
        <v>0</v>
      </c>
      <c r="Q339" s="85">
        <f>STATS1003B!Q340/1000</f>
        <v>0</v>
      </c>
      <c r="R339" s="85">
        <f>STATS1003B!R340/1000</f>
        <v>0</v>
      </c>
      <c r="S339" s="85">
        <f>STATS1003B!S340/1000</f>
        <v>0</v>
      </c>
      <c r="T339" s="85">
        <f>STATS1003B!T340/1000</f>
        <v>0</v>
      </c>
      <c r="U339" s="85">
        <f>STATS1003B!U340/1000</f>
        <v>0</v>
      </c>
      <c r="V339" s="85">
        <f>STATS1003B!V340/1000</f>
        <v>0</v>
      </c>
      <c r="W339" s="85">
        <f>STATS1003B!W340/1000</f>
        <v>0</v>
      </c>
      <c r="X339" s="85">
        <f t="shared" si="36"/>
        <v>0</v>
      </c>
      <c r="Y339" s="85">
        <f>STATS1003B!Y340/1000</f>
        <v>0</v>
      </c>
      <c r="Z339" s="85">
        <f t="shared" si="34"/>
        <v>0</v>
      </c>
      <c r="AA339" s="69">
        <f>STATS1003B!AA340/1000</f>
        <v>0</v>
      </c>
      <c r="AB339" s="69">
        <f>STATS1003B!AB340/1000</f>
        <v>0</v>
      </c>
    </row>
    <row r="340" spans="1:28" hidden="1" x14ac:dyDescent="0.3">
      <c r="A340" s="117"/>
      <c r="C340" s="68" t="s">
        <v>572</v>
      </c>
      <c r="D340" s="87" t="s">
        <v>54</v>
      </c>
      <c r="E340" s="85">
        <f>STATS1003B!E341/1000</f>
        <v>950</v>
      </c>
      <c r="F340" s="85">
        <f>STATS1003B!F341/1000</f>
        <v>950</v>
      </c>
      <c r="G340" s="85">
        <f>STATS1003B!G341/1000</f>
        <v>0</v>
      </c>
      <c r="H340" s="85">
        <f>STATS1003B!H341/1000</f>
        <v>950</v>
      </c>
      <c r="I340" s="85">
        <f>STATS1003B!I341/1000</f>
        <v>0</v>
      </c>
      <c r="J340" s="85">
        <f>STATS1003B!J341/1000</f>
        <v>950</v>
      </c>
      <c r="K340" s="85">
        <f>STATS1003B!K341/1000</f>
        <v>0</v>
      </c>
      <c r="L340" s="85">
        <f>STATS1003B!L341/1000</f>
        <v>0</v>
      </c>
      <c r="M340" s="85">
        <f>STATS1003B!M341/1000</f>
        <v>950</v>
      </c>
      <c r="N340" s="85">
        <f>STATS1003B!N341/1000</f>
        <v>0</v>
      </c>
      <c r="O340" s="85">
        <f>STATS1003B!O341/1000</f>
        <v>0</v>
      </c>
      <c r="P340" s="85">
        <f>STATS1003B!P341/1000</f>
        <v>0</v>
      </c>
      <c r="Q340" s="85">
        <f>STATS1003B!Q341/1000</f>
        <v>0</v>
      </c>
      <c r="R340" s="85">
        <f>STATS1003B!R341/1000</f>
        <v>0</v>
      </c>
      <c r="S340" s="85">
        <f>STATS1003B!S341/1000</f>
        <v>0</v>
      </c>
      <c r="T340" s="85">
        <f>STATS1003B!T341/1000</f>
        <v>0</v>
      </c>
      <c r="U340" s="85">
        <f>STATS1003B!U341/1000</f>
        <v>0</v>
      </c>
      <c r="V340" s="85">
        <f>STATS1003B!V341/1000</f>
        <v>0</v>
      </c>
      <c r="W340" s="85">
        <f>STATS1003B!W341/1000</f>
        <v>0</v>
      </c>
      <c r="X340" s="85">
        <f t="shared" si="36"/>
        <v>950</v>
      </c>
      <c r="Y340" s="85">
        <f>STATS1003B!Y341/1000</f>
        <v>0</v>
      </c>
      <c r="Z340" s="85">
        <f t="shared" si="34"/>
        <v>0</v>
      </c>
      <c r="AA340" s="69">
        <f>STATS1003B!AA341/1000</f>
        <v>950</v>
      </c>
      <c r="AB340" s="69">
        <f>STATS1003B!AB341/1000</f>
        <v>0</v>
      </c>
    </row>
    <row r="341" spans="1:28" hidden="1" x14ac:dyDescent="0.3">
      <c r="A341" s="117"/>
      <c r="C341" s="68" t="s">
        <v>573</v>
      </c>
      <c r="D341" s="87" t="s">
        <v>54</v>
      </c>
      <c r="E341" s="85">
        <f>STATS1003B!E342/1000</f>
        <v>500</v>
      </c>
      <c r="F341" s="85">
        <f>STATS1003B!F342/1000</f>
        <v>500</v>
      </c>
      <c r="G341" s="85">
        <f>STATS1003B!G342/1000</f>
        <v>0</v>
      </c>
      <c r="H341" s="85">
        <f>STATS1003B!H342/1000</f>
        <v>500</v>
      </c>
      <c r="I341" s="85">
        <f>STATS1003B!I342/1000</f>
        <v>0</v>
      </c>
      <c r="J341" s="85">
        <f>STATS1003B!J342/1000</f>
        <v>500</v>
      </c>
      <c r="K341" s="85">
        <f>STATS1003B!K342/1000</f>
        <v>0</v>
      </c>
      <c r="L341" s="85">
        <f>STATS1003B!L342/1000</f>
        <v>0</v>
      </c>
      <c r="M341" s="85">
        <f>STATS1003B!M342/1000</f>
        <v>500</v>
      </c>
      <c r="N341" s="85">
        <f>STATS1003B!N342/1000</f>
        <v>0</v>
      </c>
      <c r="O341" s="85">
        <f>STATS1003B!O342/1000</f>
        <v>0</v>
      </c>
      <c r="P341" s="85">
        <f>STATS1003B!P342/1000</f>
        <v>0</v>
      </c>
      <c r="Q341" s="85">
        <f>STATS1003B!Q342/1000</f>
        <v>0</v>
      </c>
      <c r="R341" s="85">
        <f>STATS1003B!R342/1000</f>
        <v>0</v>
      </c>
      <c r="S341" s="85">
        <f>STATS1003B!S342/1000</f>
        <v>0</v>
      </c>
      <c r="T341" s="85">
        <f>STATS1003B!T342/1000</f>
        <v>0</v>
      </c>
      <c r="U341" s="85">
        <f>STATS1003B!U342/1000</f>
        <v>0</v>
      </c>
      <c r="V341" s="85">
        <f>STATS1003B!V342/1000</f>
        <v>0</v>
      </c>
      <c r="W341" s="85">
        <f>STATS1003B!W342/1000</f>
        <v>0</v>
      </c>
      <c r="X341" s="85">
        <f t="shared" si="36"/>
        <v>500</v>
      </c>
      <c r="Y341" s="85">
        <f>STATS1003B!Y342/1000</f>
        <v>0</v>
      </c>
      <c r="Z341" s="85">
        <f t="shared" si="34"/>
        <v>0</v>
      </c>
      <c r="AA341" s="69">
        <f>STATS1003B!AA342/1000</f>
        <v>500</v>
      </c>
      <c r="AB341" s="69">
        <f>STATS1003B!AB342/1000</f>
        <v>0</v>
      </c>
    </row>
    <row r="342" spans="1:28" hidden="1" x14ac:dyDescent="0.3">
      <c r="A342" s="117"/>
      <c r="C342" s="68" t="s">
        <v>545</v>
      </c>
      <c r="D342" s="87" t="s">
        <v>54</v>
      </c>
      <c r="E342" s="85">
        <f>STATS1003B!E343/1000</f>
        <v>1953.989</v>
      </c>
      <c r="F342" s="85">
        <f>STATS1003B!F343/1000</f>
        <v>0</v>
      </c>
      <c r="G342" s="85">
        <f>STATS1003B!G343/1000</f>
        <v>0</v>
      </c>
      <c r="H342" s="85">
        <f>STATS1003B!H343/1000</f>
        <v>0</v>
      </c>
      <c r="I342" s="85">
        <f>STATS1003B!I343/1000</f>
        <v>0</v>
      </c>
      <c r="J342" s="85">
        <f>STATS1003B!J343/1000</f>
        <v>0</v>
      </c>
      <c r="K342" s="85">
        <f>STATS1003B!K343/1000</f>
        <v>1953.989</v>
      </c>
      <c r="L342" s="85">
        <f>STATS1003B!L343/1000</f>
        <v>0</v>
      </c>
      <c r="M342" s="85">
        <f>STATS1003B!M343/1000</f>
        <v>0</v>
      </c>
      <c r="N342" s="85">
        <f>STATS1003B!N343/1000</f>
        <v>1953.989</v>
      </c>
      <c r="O342" s="85">
        <f>STATS1003B!O343/1000</f>
        <v>0</v>
      </c>
      <c r="P342" s="85">
        <f>STATS1003B!P343/1000</f>
        <v>1953.989</v>
      </c>
      <c r="Q342" s="85">
        <f>STATS1003B!Q343/1000</f>
        <v>0</v>
      </c>
      <c r="R342" s="85">
        <f>STATS1003B!R343/1000</f>
        <v>0</v>
      </c>
      <c r="S342" s="85">
        <f>STATS1003B!S343/1000</f>
        <v>0</v>
      </c>
      <c r="T342" s="85">
        <f>STATS1003B!T343/1000</f>
        <v>0</v>
      </c>
      <c r="U342" s="85">
        <f>STATS1003B!U343/1000</f>
        <v>1953.989</v>
      </c>
      <c r="V342" s="85">
        <f>STATS1003B!V343/1000</f>
        <v>0</v>
      </c>
      <c r="W342" s="85">
        <f>STATS1003B!W343/1000</f>
        <v>0</v>
      </c>
      <c r="X342" s="85">
        <f t="shared" si="36"/>
        <v>1953.989</v>
      </c>
      <c r="Y342" s="85">
        <f>STATS1003B!Y343/1000</f>
        <v>0</v>
      </c>
      <c r="Z342" s="85">
        <f t="shared" si="34"/>
        <v>0</v>
      </c>
      <c r="AA342" s="69">
        <f>STATS1003B!AA343/1000</f>
        <v>1953.989</v>
      </c>
      <c r="AB342" s="69">
        <f>STATS1003B!AB343/1000</f>
        <v>0</v>
      </c>
    </row>
    <row r="343" spans="1:28" hidden="1" x14ac:dyDescent="0.3">
      <c r="A343" s="117"/>
      <c r="C343" s="68" t="s">
        <v>535</v>
      </c>
      <c r="D343" s="87" t="s">
        <v>85</v>
      </c>
      <c r="E343" s="85">
        <f>STATS1003B!E344/1000</f>
        <v>1500</v>
      </c>
      <c r="F343" s="85">
        <f>STATS1003B!F344/1000</f>
        <v>1500</v>
      </c>
      <c r="G343" s="85">
        <f>STATS1003B!G344/1000</f>
        <v>0</v>
      </c>
      <c r="H343" s="85">
        <f>STATS1003B!H344/1000</f>
        <v>1500</v>
      </c>
      <c r="I343" s="85">
        <f>STATS1003B!I344/1000</f>
        <v>0</v>
      </c>
      <c r="J343" s="85">
        <f>STATS1003B!J344/1000</f>
        <v>1500</v>
      </c>
      <c r="K343" s="85">
        <f>STATS1003B!K344/1000</f>
        <v>0</v>
      </c>
      <c r="L343" s="85">
        <f>STATS1003B!L344/1000</f>
        <v>0</v>
      </c>
      <c r="M343" s="85">
        <f>STATS1003B!M344/1000</f>
        <v>1500</v>
      </c>
      <c r="N343" s="85">
        <f>STATS1003B!N344/1000</f>
        <v>0</v>
      </c>
      <c r="O343" s="85">
        <f>STATS1003B!O344/1000</f>
        <v>0</v>
      </c>
      <c r="P343" s="85">
        <f>STATS1003B!P344/1000</f>
        <v>0</v>
      </c>
      <c r="Q343" s="85">
        <f>STATS1003B!Q344/1000</f>
        <v>0</v>
      </c>
      <c r="R343" s="85">
        <f>STATS1003B!R344/1000</f>
        <v>0</v>
      </c>
      <c r="S343" s="85">
        <f>STATS1003B!S344/1000</f>
        <v>0</v>
      </c>
      <c r="T343" s="85">
        <f>STATS1003B!T344/1000</f>
        <v>0</v>
      </c>
      <c r="U343" s="85">
        <f>STATS1003B!U344/1000</f>
        <v>0</v>
      </c>
      <c r="V343" s="85">
        <f>STATS1003B!V344/1000</f>
        <v>0</v>
      </c>
      <c r="W343" s="85">
        <f>STATS1003B!W344/1000</f>
        <v>0</v>
      </c>
      <c r="X343" s="85">
        <f t="shared" si="36"/>
        <v>1500</v>
      </c>
      <c r="Y343" s="85">
        <f>STATS1003B!Y344/1000</f>
        <v>0</v>
      </c>
      <c r="Z343" s="85">
        <f t="shared" si="34"/>
        <v>0</v>
      </c>
      <c r="AA343" s="69">
        <f>STATS1003B!AA344/1000</f>
        <v>1500</v>
      </c>
      <c r="AB343" s="69">
        <f>STATS1003B!AB344/1000</f>
        <v>0</v>
      </c>
    </row>
    <row r="344" spans="1:28" hidden="1" x14ac:dyDescent="0.3">
      <c r="A344" s="117"/>
      <c r="C344" s="68" t="s">
        <v>574</v>
      </c>
      <c r="D344" s="87" t="s">
        <v>85</v>
      </c>
      <c r="E344" s="85">
        <f>STATS1003B!E345/1000</f>
        <v>3332</v>
      </c>
      <c r="F344" s="85">
        <f>STATS1003B!F345/1000</f>
        <v>3332</v>
      </c>
      <c r="G344" s="85">
        <f>STATS1003B!G345/1000</f>
        <v>0</v>
      </c>
      <c r="H344" s="85">
        <f>STATS1003B!H345/1000</f>
        <v>3332</v>
      </c>
      <c r="I344" s="85">
        <f>STATS1003B!I345/1000</f>
        <v>0</v>
      </c>
      <c r="J344" s="85">
        <f>STATS1003B!J345/1000</f>
        <v>3332</v>
      </c>
      <c r="K344" s="85">
        <f>STATS1003B!K345/1000</f>
        <v>0</v>
      </c>
      <c r="L344" s="85">
        <f>STATS1003B!L345/1000</f>
        <v>0</v>
      </c>
      <c r="M344" s="85">
        <f>STATS1003B!M345/1000</f>
        <v>3332</v>
      </c>
      <c r="N344" s="85">
        <f>STATS1003B!N345/1000</f>
        <v>0</v>
      </c>
      <c r="O344" s="85">
        <f>STATS1003B!O345/1000</f>
        <v>0</v>
      </c>
      <c r="P344" s="85">
        <f>STATS1003B!P345/1000</f>
        <v>0</v>
      </c>
      <c r="Q344" s="85">
        <f>STATS1003B!Q345/1000</f>
        <v>0</v>
      </c>
      <c r="R344" s="85">
        <f>STATS1003B!R345/1000</f>
        <v>0</v>
      </c>
      <c r="S344" s="85">
        <f>STATS1003B!S345/1000</f>
        <v>0</v>
      </c>
      <c r="T344" s="85">
        <f>STATS1003B!T345/1000</f>
        <v>0</v>
      </c>
      <c r="U344" s="85">
        <f>STATS1003B!U345/1000</f>
        <v>0</v>
      </c>
      <c r="V344" s="85">
        <f>STATS1003B!V345/1000</f>
        <v>0</v>
      </c>
      <c r="W344" s="85">
        <f>STATS1003B!W345/1000</f>
        <v>0</v>
      </c>
      <c r="X344" s="85">
        <f t="shared" si="36"/>
        <v>3332</v>
      </c>
      <c r="Y344" s="85">
        <f>STATS1003B!Y345/1000</f>
        <v>0</v>
      </c>
      <c r="Z344" s="85">
        <f t="shared" ref="Z344:Z397" si="39">+E344-X344</f>
        <v>0</v>
      </c>
      <c r="AA344" s="69">
        <f>STATS1003B!AA345/1000</f>
        <v>3332</v>
      </c>
      <c r="AB344" s="69">
        <f>STATS1003B!AB345/1000</f>
        <v>0</v>
      </c>
    </row>
    <row r="345" spans="1:28" hidden="1" x14ac:dyDescent="0.3">
      <c r="A345" s="117"/>
      <c r="C345" s="68" t="s">
        <v>573</v>
      </c>
      <c r="D345" s="87" t="s">
        <v>85</v>
      </c>
      <c r="E345" s="85">
        <f>STATS1003B!E346/1000</f>
        <v>1830</v>
      </c>
      <c r="F345" s="85">
        <f>STATS1003B!F346/1000</f>
        <v>1830</v>
      </c>
      <c r="G345" s="85">
        <f>STATS1003B!G346/1000</f>
        <v>0</v>
      </c>
      <c r="H345" s="85">
        <f>STATS1003B!H346/1000</f>
        <v>1830</v>
      </c>
      <c r="I345" s="85">
        <f>STATS1003B!I346/1000</f>
        <v>0</v>
      </c>
      <c r="J345" s="85">
        <f>STATS1003B!J346/1000</f>
        <v>1830</v>
      </c>
      <c r="K345" s="85">
        <f>STATS1003B!K346/1000</f>
        <v>0</v>
      </c>
      <c r="L345" s="85">
        <f>STATS1003B!L346/1000</f>
        <v>0</v>
      </c>
      <c r="M345" s="85">
        <f>STATS1003B!M346/1000</f>
        <v>1830</v>
      </c>
      <c r="N345" s="85">
        <f>STATS1003B!N346/1000</f>
        <v>0</v>
      </c>
      <c r="O345" s="85">
        <f>STATS1003B!O346/1000</f>
        <v>0</v>
      </c>
      <c r="P345" s="85">
        <f>STATS1003B!P346/1000</f>
        <v>0</v>
      </c>
      <c r="Q345" s="85">
        <f>STATS1003B!Q346/1000</f>
        <v>0</v>
      </c>
      <c r="R345" s="85">
        <f>STATS1003B!R346/1000</f>
        <v>0</v>
      </c>
      <c r="S345" s="85">
        <f>STATS1003B!S346/1000</f>
        <v>0</v>
      </c>
      <c r="T345" s="85">
        <f>STATS1003B!T346/1000</f>
        <v>0</v>
      </c>
      <c r="U345" s="85">
        <f>STATS1003B!U346/1000</f>
        <v>0</v>
      </c>
      <c r="V345" s="85">
        <f>STATS1003B!V346/1000</f>
        <v>0</v>
      </c>
      <c r="W345" s="85">
        <f>STATS1003B!W346/1000</f>
        <v>0</v>
      </c>
      <c r="X345" s="85">
        <f t="shared" si="36"/>
        <v>1830</v>
      </c>
      <c r="Y345" s="85">
        <f>STATS1003B!Y346/1000</f>
        <v>0</v>
      </c>
      <c r="Z345" s="85">
        <f t="shared" si="39"/>
        <v>0</v>
      </c>
      <c r="AA345" s="69">
        <f>STATS1003B!AA346/1000</f>
        <v>1830</v>
      </c>
      <c r="AB345" s="69">
        <f>STATS1003B!AB346/1000</f>
        <v>0</v>
      </c>
    </row>
    <row r="346" spans="1:28" hidden="1" x14ac:dyDescent="0.3">
      <c r="A346" s="117"/>
      <c r="C346" s="68" t="s">
        <v>571</v>
      </c>
      <c r="D346" s="87" t="s">
        <v>85</v>
      </c>
      <c r="E346" s="85">
        <f>STATS1003B!E347/1000</f>
        <v>800</v>
      </c>
      <c r="F346" s="85">
        <f>STATS1003B!F347/1000</f>
        <v>800</v>
      </c>
      <c r="G346" s="85">
        <f>STATS1003B!G347/1000</f>
        <v>0</v>
      </c>
      <c r="H346" s="85">
        <f>STATS1003B!H347/1000</f>
        <v>800</v>
      </c>
      <c r="I346" s="85">
        <f>STATS1003B!I347/1000</f>
        <v>0</v>
      </c>
      <c r="J346" s="85">
        <f>STATS1003B!J347/1000</f>
        <v>800</v>
      </c>
      <c r="K346" s="85">
        <f>STATS1003B!K347/1000</f>
        <v>0</v>
      </c>
      <c r="L346" s="85">
        <f>STATS1003B!L347/1000</f>
        <v>0</v>
      </c>
      <c r="M346" s="85">
        <f>STATS1003B!M347/1000</f>
        <v>800</v>
      </c>
      <c r="N346" s="85">
        <f>STATS1003B!N347/1000</f>
        <v>0</v>
      </c>
      <c r="O346" s="85">
        <f>STATS1003B!O347/1000</f>
        <v>0</v>
      </c>
      <c r="P346" s="85">
        <f>STATS1003B!P347/1000</f>
        <v>0</v>
      </c>
      <c r="Q346" s="85">
        <f>STATS1003B!Q347/1000</f>
        <v>0</v>
      </c>
      <c r="R346" s="85">
        <f>STATS1003B!R347/1000</f>
        <v>0</v>
      </c>
      <c r="S346" s="85">
        <f>STATS1003B!S347/1000</f>
        <v>0</v>
      </c>
      <c r="T346" s="85">
        <f>STATS1003B!T347/1000</f>
        <v>0</v>
      </c>
      <c r="U346" s="85">
        <f>STATS1003B!U347/1000</f>
        <v>0</v>
      </c>
      <c r="V346" s="85">
        <f>STATS1003B!V347/1000</f>
        <v>0</v>
      </c>
      <c r="W346" s="85">
        <f>STATS1003B!W347/1000</f>
        <v>0</v>
      </c>
      <c r="X346" s="85">
        <f t="shared" si="36"/>
        <v>800</v>
      </c>
      <c r="Y346" s="85">
        <f>STATS1003B!Y347/1000</f>
        <v>0</v>
      </c>
      <c r="Z346" s="85">
        <f t="shared" si="39"/>
        <v>0</v>
      </c>
      <c r="AA346" s="69">
        <f>STATS1003B!AA347/1000</f>
        <v>800</v>
      </c>
      <c r="AB346" s="69">
        <f>STATS1003B!AB347/1000</f>
        <v>0</v>
      </c>
    </row>
    <row r="347" spans="1:28" hidden="1" x14ac:dyDescent="0.3">
      <c r="A347" s="117"/>
      <c r="C347" s="68" t="s">
        <v>535</v>
      </c>
      <c r="D347" s="87" t="s">
        <v>88</v>
      </c>
      <c r="E347" s="85">
        <f>STATS1003B!E348/1000</f>
        <v>4009.1590000000001</v>
      </c>
      <c r="F347" s="85">
        <f>STATS1003B!F348/1000</f>
        <v>4009.1590000000001</v>
      </c>
      <c r="G347" s="85">
        <f>STATS1003B!G348/1000</f>
        <v>0</v>
      </c>
      <c r="H347" s="85">
        <f>STATS1003B!H348/1000</f>
        <v>4009.1590000000001</v>
      </c>
      <c r="I347" s="85">
        <f>STATS1003B!I348/1000</f>
        <v>0</v>
      </c>
      <c r="J347" s="85">
        <f>STATS1003B!J348/1000</f>
        <v>4009.1590000000001</v>
      </c>
      <c r="K347" s="85">
        <f>STATS1003B!K348/1000</f>
        <v>0</v>
      </c>
      <c r="L347" s="85">
        <f>STATS1003B!L348/1000</f>
        <v>0</v>
      </c>
      <c r="M347" s="85">
        <f>STATS1003B!M348/1000</f>
        <v>4009.1590000000001</v>
      </c>
      <c r="N347" s="85">
        <f>STATS1003B!N348/1000</f>
        <v>0</v>
      </c>
      <c r="O347" s="85">
        <f>STATS1003B!O348/1000</f>
        <v>0</v>
      </c>
      <c r="P347" s="85">
        <f>STATS1003B!P348/1000</f>
        <v>0</v>
      </c>
      <c r="Q347" s="85">
        <f>STATS1003B!Q348/1000</f>
        <v>0</v>
      </c>
      <c r="R347" s="85">
        <f>STATS1003B!R348/1000</f>
        <v>0</v>
      </c>
      <c r="S347" s="85">
        <f>STATS1003B!S348/1000</f>
        <v>0</v>
      </c>
      <c r="T347" s="85">
        <f>STATS1003B!T348/1000</f>
        <v>0</v>
      </c>
      <c r="U347" s="85">
        <f>STATS1003B!U348/1000</f>
        <v>0</v>
      </c>
      <c r="V347" s="85">
        <f>STATS1003B!V348/1000</f>
        <v>0</v>
      </c>
      <c r="W347" s="85">
        <f>STATS1003B!W348/1000</f>
        <v>0</v>
      </c>
      <c r="X347" s="85">
        <f t="shared" si="36"/>
        <v>4009.1590000000001</v>
      </c>
      <c r="Y347" s="85">
        <f>STATS1003B!Y348/1000</f>
        <v>0</v>
      </c>
      <c r="Z347" s="85">
        <f t="shared" si="39"/>
        <v>0</v>
      </c>
      <c r="AA347" s="69">
        <f>STATS1003B!AA348/1000</f>
        <v>4009.1590000000001</v>
      </c>
      <c r="AB347" s="69">
        <f>STATS1003B!AB348/1000</f>
        <v>0</v>
      </c>
    </row>
    <row r="348" spans="1:28" hidden="1" x14ac:dyDescent="0.3">
      <c r="A348" s="117"/>
      <c r="C348" s="68" t="s">
        <v>575</v>
      </c>
      <c r="D348" s="87" t="s">
        <v>108</v>
      </c>
      <c r="E348" s="85">
        <f>STATS1003B!E349/1000</f>
        <v>2858.7</v>
      </c>
      <c r="F348" s="85">
        <f>STATS1003B!F349/1000</f>
        <v>2858.7</v>
      </c>
      <c r="G348" s="85">
        <f>STATS1003B!G349/1000</f>
        <v>0</v>
      </c>
      <c r="H348" s="85">
        <f>STATS1003B!H349/1000</f>
        <v>2858.7</v>
      </c>
      <c r="I348" s="85">
        <f>STATS1003B!I349/1000</f>
        <v>0</v>
      </c>
      <c r="J348" s="85">
        <f>STATS1003B!J349/1000</f>
        <v>2858.7</v>
      </c>
      <c r="K348" s="85">
        <f>STATS1003B!K349/1000</f>
        <v>0</v>
      </c>
      <c r="L348" s="85">
        <f>STATS1003B!L349/1000</f>
        <v>0</v>
      </c>
      <c r="M348" s="85">
        <f>STATS1003B!M349/1000</f>
        <v>2858.7</v>
      </c>
      <c r="N348" s="85">
        <f>STATS1003B!N349/1000</f>
        <v>0</v>
      </c>
      <c r="O348" s="85">
        <f>STATS1003B!O349/1000</f>
        <v>0</v>
      </c>
      <c r="P348" s="85">
        <f>STATS1003B!P349/1000</f>
        <v>0</v>
      </c>
      <c r="Q348" s="85">
        <f>STATS1003B!Q349/1000</f>
        <v>0</v>
      </c>
      <c r="R348" s="85">
        <f>STATS1003B!R349/1000</f>
        <v>0</v>
      </c>
      <c r="S348" s="85">
        <f>STATS1003B!S349/1000</f>
        <v>0</v>
      </c>
      <c r="T348" s="85">
        <f>STATS1003B!T349/1000</f>
        <v>0</v>
      </c>
      <c r="U348" s="85">
        <f>STATS1003B!U349/1000</f>
        <v>0</v>
      </c>
      <c r="V348" s="85">
        <f>STATS1003B!V349/1000</f>
        <v>0</v>
      </c>
      <c r="W348" s="85">
        <f>STATS1003B!W349/1000</f>
        <v>0</v>
      </c>
      <c r="X348" s="85">
        <f t="shared" si="36"/>
        <v>2858.7</v>
      </c>
      <c r="Y348" s="85">
        <f>STATS1003B!Y349/1000</f>
        <v>0</v>
      </c>
      <c r="Z348" s="85">
        <f t="shared" si="39"/>
        <v>0</v>
      </c>
      <c r="AA348" s="69">
        <f>STATS1003B!AA349/1000</f>
        <v>2858.7</v>
      </c>
      <c r="AB348" s="69">
        <f>STATS1003B!AB349/1000</f>
        <v>0</v>
      </c>
    </row>
    <row r="349" spans="1:28" hidden="1" x14ac:dyDescent="0.3">
      <c r="A349" s="117"/>
      <c r="C349" s="68" t="s">
        <v>535</v>
      </c>
      <c r="D349" s="87" t="s">
        <v>58</v>
      </c>
      <c r="E349" s="85">
        <f>STATS1003B!E350/1000</f>
        <v>10413.43</v>
      </c>
      <c r="F349" s="85">
        <f>STATS1003B!F350/1000</f>
        <v>10413.43</v>
      </c>
      <c r="G349" s="85">
        <f>STATS1003B!G350/1000</f>
        <v>0</v>
      </c>
      <c r="H349" s="85">
        <f>STATS1003B!H350/1000</f>
        <v>10413.43</v>
      </c>
      <c r="I349" s="85">
        <f>STATS1003B!I350/1000</f>
        <v>0</v>
      </c>
      <c r="J349" s="85">
        <f>STATS1003B!J350/1000</f>
        <v>10413.43</v>
      </c>
      <c r="K349" s="85">
        <f>STATS1003B!K350/1000</f>
        <v>0</v>
      </c>
      <c r="L349" s="85">
        <f>STATS1003B!L350/1000</f>
        <v>0</v>
      </c>
      <c r="M349" s="85">
        <f>STATS1003B!M350/1000</f>
        <v>10413.43</v>
      </c>
      <c r="N349" s="85">
        <f>STATS1003B!N350/1000</f>
        <v>0</v>
      </c>
      <c r="O349" s="85">
        <f>STATS1003B!O350/1000</f>
        <v>0</v>
      </c>
      <c r="P349" s="85">
        <f>STATS1003B!P350/1000</f>
        <v>0</v>
      </c>
      <c r="Q349" s="85">
        <f>STATS1003B!Q350/1000</f>
        <v>0</v>
      </c>
      <c r="R349" s="85">
        <f>STATS1003B!R350/1000</f>
        <v>0</v>
      </c>
      <c r="S349" s="85">
        <f>STATS1003B!S350/1000</f>
        <v>0</v>
      </c>
      <c r="T349" s="85">
        <f>STATS1003B!T350/1000</f>
        <v>0</v>
      </c>
      <c r="U349" s="85">
        <f>STATS1003B!U350/1000</f>
        <v>0</v>
      </c>
      <c r="V349" s="85">
        <f>STATS1003B!V350/1000</f>
        <v>0</v>
      </c>
      <c r="W349" s="85">
        <f>STATS1003B!W350/1000</f>
        <v>0</v>
      </c>
      <c r="X349" s="85">
        <f t="shared" si="36"/>
        <v>10413.43</v>
      </c>
      <c r="Y349" s="85">
        <f>STATS1003B!Y350/1000</f>
        <v>0</v>
      </c>
      <c r="Z349" s="85">
        <f t="shared" si="39"/>
        <v>0</v>
      </c>
      <c r="AA349" s="69">
        <f>STATS1003B!AA350/1000</f>
        <v>10413.43</v>
      </c>
      <c r="AB349" s="69">
        <f>STATS1003B!AB350/1000</f>
        <v>0</v>
      </c>
    </row>
    <row r="350" spans="1:28" hidden="1" x14ac:dyDescent="0.3">
      <c r="A350" s="117"/>
      <c r="C350" s="68" t="s">
        <v>535</v>
      </c>
      <c r="D350" s="87" t="s">
        <v>60</v>
      </c>
      <c r="E350" s="85">
        <f>STATS1003B!E351/1000</f>
        <v>947.7</v>
      </c>
      <c r="F350" s="85">
        <f>STATS1003B!F351/1000</f>
        <v>947.7</v>
      </c>
      <c r="G350" s="85">
        <f>STATS1003B!G351/1000</f>
        <v>0</v>
      </c>
      <c r="H350" s="85">
        <f>STATS1003B!H351/1000</f>
        <v>947.7</v>
      </c>
      <c r="I350" s="85">
        <f>STATS1003B!I351/1000</f>
        <v>0</v>
      </c>
      <c r="J350" s="85">
        <f>STATS1003B!J351/1000</f>
        <v>947.7</v>
      </c>
      <c r="K350" s="85">
        <f>STATS1003B!K351/1000</f>
        <v>0</v>
      </c>
      <c r="L350" s="85">
        <f>STATS1003B!L351/1000</f>
        <v>0</v>
      </c>
      <c r="M350" s="85">
        <f>STATS1003B!M351/1000</f>
        <v>947.7</v>
      </c>
      <c r="N350" s="85">
        <f>STATS1003B!N351/1000</f>
        <v>0</v>
      </c>
      <c r="O350" s="85">
        <f>STATS1003B!O351/1000</f>
        <v>0</v>
      </c>
      <c r="P350" s="85">
        <f>STATS1003B!P351/1000</f>
        <v>0</v>
      </c>
      <c r="Q350" s="85">
        <f>STATS1003B!Q351/1000</f>
        <v>0</v>
      </c>
      <c r="R350" s="85">
        <f>STATS1003B!R351/1000</f>
        <v>0</v>
      </c>
      <c r="S350" s="85">
        <f>STATS1003B!S351/1000</f>
        <v>0</v>
      </c>
      <c r="T350" s="85">
        <f>STATS1003B!T351/1000</f>
        <v>0</v>
      </c>
      <c r="U350" s="85">
        <f>STATS1003B!U351/1000</f>
        <v>0</v>
      </c>
      <c r="V350" s="85">
        <f>STATS1003B!V351/1000</f>
        <v>0</v>
      </c>
      <c r="W350" s="85">
        <f>STATS1003B!W351/1000</f>
        <v>0</v>
      </c>
      <c r="X350" s="85">
        <f t="shared" si="36"/>
        <v>947.7</v>
      </c>
      <c r="Y350" s="85">
        <f>STATS1003B!Y351/1000</f>
        <v>0</v>
      </c>
      <c r="Z350" s="85">
        <f t="shared" si="39"/>
        <v>0</v>
      </c>
      <c r="AA350" s="69">
        <f>STATS1003B!AA351/1000</f>
        <v>947.7</v>
      </c>
      <c r="AB350" s="69">
        <f>STATS1003B!AB351/1000</f>
        <v>0</v>
      </c>
    </row>
    <row r="351" spans="1:28" hidden="1" x14ac:dyDescent="0.3">
      <c r="A351" s="117"/>
      <c r="C351" s="71" t="s">
        <v>535</v>
      </c>
      <c r="D351" s="88" t="s">
        <v>73</v>
      </c>
      <c r="E351" s="85">
        <f>STATS1003B!E352/1000</f>
        <v>2992.7077799999997</v>
      </c>
      <c r="F351" s="85">
        <f>STATS1003B!F352/1000</f>
        <v>2992.7077799999997</v>
      </c>
      <c r="G351" s="85">
        <f>STATS1003B!G352/1000</f>
        <v>0</v>
      </c>
      <c r="H351" s="85">
        <f>STATS1003B!H352/1000</f>
        <v>2992.7077799999997</v>
      </c>
      <c r="I351" s="85">
        <f>STATS1003B!I352/1000</f>
        <v>0</v>
      </c>
      <c r="J351" s="85">
        <f>STATS1003B!J352/1000</f>
        <v>2992.7077799999997</v>
      </c>
      <c r="K351" s="85">
        <f>STATS1003B!K352/1000</f>
        <v>0</v>
      </c>
      <c r="L351" s="85">
        <f>STATS1003B!L352/1000</f>
        <v>0</v>
      </c>
      <c r="M351" s="85">
        <f>STATS1003B!M352/1000</f>
        <v>2992.7077799999997</v>
      </c>
      <c r="N351" s="85">
        <f>STATS1003B!N352/1000</f>
        <v>0</v>
      </c>
      <c r="O351" s="85">
        <f>STATS1003B!O352/1000</f>
        <v>0</v>
      </c>
      <c r="P351" s="85">
        <f>STATS1003B!P352/1000</f>
        <v>0</v>
      </c>
      <c r="Q351" s="85">
        <f>STATS1003B!Q352/1000</f>
        <v>0</v>
      </c>
      <c r="R351" s="85">
        <f>STATS1003B!R352/1000</f>
        <v>0</v>
      </c>
      <c r="S351" s="85">
        <f>STATS1003B!S352/1000</f>
        <v>0</v>
      </c>
      <c r="T351" s="85">
        <f>STATS1003B!T352/1000</f>
        <v>0</v>
      </c>
      <c r="U351" s="85">
        <f>STATS1003B!U352/1000</f>
        <v>0</v>
      </c>
      <c r="V351" s="85">
        <f>STATS1003B!V352/1000</f>
        <v>0</v>
      </c>
      <c r="W351" s="85">
        <f>STATS1003B!W352/1000</f>
        <v>0</v>
      </c>
      <c r="X351" s="85">
        <f t="shared" si="36"/>
        <v>2992.7077799999997</v>
      </c>
      <c r="Y351" s="85">
        <f>STATS1003B!Y352/1000</f>
        <v>0</v>
      </c>
      <c r="Z351" s="85">
        <f t="shared" si="39"/>
        <v>0</v>
      </c>
      <c r="AA351" s="69">
        <f>STATS1003B!AA352/1000</f>
        <v>2992.7077799999997</v>
      </c>
      <c r="AB351" s="69">
        <f>STATS1003B!AB352/1000</f>
        <v>0</v>
      </c>
    </row>
    <row r="352" spans="1:28" hidden="1" x14ac:dyDescent="0.3">
      <c r="A352" s="117"/>
      <c r="C352" s="71" t="s">
        <v>567</v>
      </c>
      <c r="D352" s="88" t="s">
        <v>73</v>
      </c>
      <c r="E352" s="85">
        <f>STATS1003B!E353/1000</f>
        <v>125.99310000000001</v>
      </c>
      <c r="F352" s="85">
        <f>STATS1003B!F353/1000</f>
        <v>125.99310000000001</v>
      </c>
      <c r="G352" s="85">
        <f>STATS1003B!G353/1000</f>
        <v>0</v>
      </c>
      <c r="H352" s="85">
        <f>STATS1003B!H353/1000</f>
        <v>125.99310000000001</v>
      </c>
      <c r="I352" s="85">
        <f>STATS1003B!I353/1000</f>
        <v>0</v>
      </c>
      <c r="J352" s="85">
        <f>STATS1003B!J353/1000</f>
        <v>125.99310000000001</v>
      </c>
      <c r="K352" s="85">
        <f>STATS1003B!K353/1000</f>
        <v>0</v>
      </c>
      <c r="L352" s="85">
        <f>STATS1003B!L353/1000</f>
        <v>0</v>
      </c>
      <c r="M352" s="85">
        <f>STATS1003B!M353/1000</f>
        <v>125.99310000000001</v>
      </c>
      <c r="N352" s="85">
        <f>STATS1003B!N353/1000</f>
        <v>0</v>
      </c>
      <c r="O352" s="85">
        <f>STATS1003B!O353/1000</f>
        <v>0</v>
      </c>
      <c r="P352" s="85">
        <f>STATS1003B!P353/1000</f>
        <v>0</v>
      </c>
      <c r="Q352" s="85">
        <f>STATS1003B!Q353/1000</f>
        <v>0</v>
      </c>
      <c r="R352" s="85">
        <f>STATS1003B!R353/1000</f>
        <v>0</v>
      </c>
      <c r="S352" s="85">
        <f>STATS1003B!S353/1000</f>
        <v>0</v>
      </c>
      <c r="T352" s="85">
        <f>STATS1003B!T353/1000</f>
        <v>0</v>
      </c>
      <c r="U352" s="85">
        <f>STATS1003B!U353/1000</f>
        <v>0</v>
      </c>
      <c r="V352" s="85">
        <f>STATS1003B!V353/1000</f>
        <v>0</v>
      </c>
      <c r="W352" s="85">
        <f>STATS1003B!W353/1000</f>
        <v>0</v>
      </c>
      <c r="X352" s="85">
        <f t="shared" si="36"/>
        <v>125.99310000000001</v>
      </c>
      <c r="Y352" s="85">
        <f>STATS1003B!Y353/1000</f>
        <v>0</v>
      </c>
      <c r="Z352" s="85">
        <f t="shared" si="39"/>
        <v>0</v>
      </c>
      <c r="AA352" s="69">
        <f>STATS1003B!AA353/1000</f>
        <v>125.99310000000001</v>
      </c>
      <c r="AB352" s="69">
        <f>STATS1003B!AB353/1000</f>
        <v>0</v>
      </c>
    </row>
    <row r="353" spans="1:28" hidden="1" x14ac:dyDescent="0.3">
      <c r="A353" s="117"/>
      <c r="C353" s="71" t="s">
        <v>576</v>
      </c>
      <c r="D353" s="88" t="s">
        <v>73</v>
      </c>
      <c r="E353" s="85">
        <f>STATS1003B!E354/1000</f>
        <v>587.47679000000005</v>
      </c>
      <c r="F353" s="85">
        <f>STATS1003B!F354/1000</f>
        <v>587.47679000000005</v>
      </c>
      <c r="G353" s="85">
        <f>STATS1003B!G354/1000</f>
        <v>0</v>
      </c>
      <c r="H353" s="85">
        <f>STATS1003B!H354/1000</f>
        <v>587.47679000000005</v>
      </c>
      <c r="I353" s="85">
        <f>STATS1003B!I354/1000</f>
        <v>0</v>
      </c>
      <c r="J353" s="85">
        <f>STATS1003B!J354/1000</f>
        <v>587.47679000000005</v>
      </c>
      <c r="K353" s="85">
        <f>STATS1003B!K354/1000</f>
        <v>0</v>
      </c>
      <c r="L353" s="85">
        <f>STATS1003B!L354/1000</f>
        <v>0</v>
      </c>
      <c r="M353" s="85">
        <f>STATS1003B!M354/1000</f>
        <v>587.47679000000005</v>
      </c>
      <c r="N353" s="85">
        <f>STATS1003B!N354/1000</f>
        <v>0</v>
      </c>
      <c r="O353" s="85">
        <f>STATS1003B!O354/1000</f>
        <v>0</v>
      </c>
      <c r="P353" s="85">
        <f>STATS1003B!P354/1000</f>
        <v>0</v>
      </c>
      <c r="Q353" s="85">
        <f>STATS1003B!Q354/1000</f>
        <v>0</v>
      </c>
      <c r="R353" s="85">
        <f>STATS1003B!R354/1000</f>
        <v>0</v>
      </c>
      <c r="S353" s="85">
        <f>STATS1003B!S354/1000</f>
        <v>0</v>
      </c>
      <c r="T353" s="85">
        <f>STATS1003B!T354/1000</f>
        <v>0</v>
      </c>
      <c r="U353" s="85">
        <f>STATS1003B!U354/1000</f>
        <v>0</v>
      </c>
      <c r="V353" s="85">
        <f>STATS1003B!V354/1000</f>
        <v>0</v>
      </c>
      <c r="W353" s="85">
        <f>STATS1003B!W354/1000</f>
        <v>0</v>
      </c>
      <c r="X353" s="85">
        <f t="shared" si="36"/>
        <v>587.47679000000005</v>
      </c>
      <c r="Y353" s="85">
        <f>STATS1003B!Y354/1000</f>
        <v>0</v>
      </c>
      <c r="Z353" s="85">
        <f t="shared" si="39"/>
        <v>0</v>
      </c>
      <c r="AA353" s="69">
        <f>STATS1003B!AA354/1000</f>
        <v>587.47679000000005</v>
      </c>
      <c r="AB353" s="69">
        <f>STATS1003B!AB354/1000</f>
        <v>0</v>
      </c>
    </row>
    <row r="354" spans="1:28" hidden="1" x14ac:dyDescent="0.3">
      <c r="A354" s="117"/>
      <c r="C354" s="71" t="s">
        <v>1172</v>
      </c>
      <c r="D354" s="89" t="s">
        <v>1126</v>
      </c>
      <c r="E354" s="85">
        <f>STATS1003B!E355/1000</f>
        <v>1000</v>
      </c>
      <c r="F354" s="85">
        <f>STATS1003B!F355/1000</f>
        <v>1000</v>
      </c>
      <c r="G354" s="85">
        <f>STATS1003B!G355/1000</f>
        <v>0</v>
      </c>
      <c r="H354" s="85">
        <f>STATS1003B!H355/1000</f>
        <v>1000</v>
      </c>
      <c r="I354" s="85">
        <f>STATS1003B!I355/1000</f>
        <v>0</v>
      </c>
      <c r="J354" s="85">
        <f>STATS1003B!J355/1000</f>
        <v>1000</v>
      </c>
      <c r="K354" s="85">
        <f>STATS1003B!K355/1000</f>
        <v>0</v>
      </c>
      <c r="L354" s="85">
        <f>STATS1003B!L355/1000</f>
        <v>0</v>
      </c>
      <c r="M354" s="85">
        <f>STATS1003B!M355/1000</f>
        <v>1000</v>
      </c>
      <c r="N354" s="85">
        <f>STATS1003B!N355/1000</f>
        <v>0</v>
      </c>
      <c r="O354" s="85">
        <f>STATS1003B!O355/1000</f>
        <v>0</v>
      </c>
      <c r="P354" s="85">
        <f>STATS1003B!P355/1000</f>
        <v>0</v>
      </c>
      <c r="Q354" s="85">
        <f>STATS1003B!Q355/1000</f>
        <v>0</v>
      </c>
      <c r="R354" s="85">
        <f>STATS1003B!R355/1000</f>
        <v>0</v>
      </c>
      <c r="S354" s="85">
        <f>STATS1003B!S355/1000</f>
        <v>0</v>
      </c>
      <c r="T354" s="85">
        <f>STATS1003B!T355/1000</f>
        <v>0</v>
      </c>
      <c r="U354" s="85">
        <f>STATS1003B!U355/1000</f>
        <v>0</v>
      </c>
      <c r="V354" s="85">
        <f>STATS1003B!V355/1000</f>
        <v>0</v>
      </c>
      <c r="W354" s="85">
        <f>STATS1003B!W355/1000</f>
        <v>0</v>
      </c>
      <c r="X354" s="85">
        <f t="shared" si="36"/>
        <v>1000</v>
      </c>
      <c r="Y354" s="85">
        <f>STATS1003B!Y355/1000</f>
        <v>0</v>
      </c>
      <c r="Z354" s="85">
        <f t="shared" si="39"/>
        <v>0</v>
      </c>
      <c r="AA354" s="69">
        <f>STATS1003B!AA355/1000</f>
        <v>1000</v>
      </c>
      <c r="AB354" s="69">
        <f>STATS1003B!AB355/1000</f>
        <v>0</v>
      </c>
    </row>
    <row r="355" spans="1:28" hidden="1" x14ac:dyDescent="0.3">
      <c r="A355" s="117"/>
      <c r="C355" s="71" t="s">
        <v>926</v>
      </c>
      <c r="D355" s="89" t="s">
        <v>61</v>
      </c>
      <c r="E355" s="85">
        <f>STATS1003B!E356/1000</f>
        <v>2763.6185</v>
      </c>
      <c r="F355" s="85">
        <f>STATS1003B!F356/1000</f>
        <v>2763.6185</v>
      </c>
      <c r="G355" s="85">
        <f>STATS1003B!G356/1000</f>
        <v>0</v>
      </c>
      <c r="H355" s="85">
        <f>STATS1003B!H356/1000</f>
        <v>2763.6185</v>
      </c>
      <c r="I355" s="85">
        <f>STATS1003B!I356/1000</f>
        <v>0</v>
      </c>
      <c r="J355" s="85">
        <f>STATS1003B!J356/1000</f>
        <v>0</v>
      </c>
      <c r="K355" s="85">
        <f>STATS1003B!K356/1000</f>
        <v>0</v>
      </c>
      <c r="L355" s="85">
        <f>STATS1003B!L356/1000</f>
        <v>0</v>
      </c>
      <c r="M355" s="85">
        <f>STATS1003B!M356/1000</f>
        <v>2763.6185</v>
      </c>
      <c r="N355" s="85">
        <f>STATS1003B!N356/1000</f>
        <v>0</v>
      </c>
      <c r="O355" s="85">
        <f>STATS1003B!O356/1000</f>
        <v>0</v>
      </c>
      <c r="P355" s="85">
        <f>STATS1003B!P356/1000</f>
        <v>0</v>
      </c>
      <c r="Q355" s="85">
        <f>STATS1003B!Q356/1000</f>
        <v>0</v>
      </c>
      <c r="R355" s="85">
        <f>STATS1003B!R356/1000</f>
        <v>0</v>
      </c>
      <c r="S355" s="85">
        <f>STATS1003B!S356/1000</f>
        <v>0</v>
      </c>
      <c r="T355" s="85">
        <f>STATS1003B!T356/1000</f>
        <v>0</v>
      </c>
      <c r="U355" s="85">
        <f>STATS1003B!U356/1000</f>
        <v>0</v>
      </c>
      <c r="V355" s="85">
        <f>STATS1003B!V356/1000</f>
        <v>0</v>
      </c>
      <c r="W355" s="85">
        <f>STATS1003B!W356/1000</f>
        <v>0</v>
      </c>
      <c r="X355" s="85">
        <f t="shared" si="36"/>
        <v>2763.6185</v>
      </c>
      <c r="Y355" s="85">
        <f>STATS1003B!Y356/1000</f>
        <v>0</v>
      </c>
      <c r="Z355" s="85">
        <f t="shared" si="39"/>
        <v>0</v>
      </c>
      <c r="AA355" s="69">
        <f>STATS1003B!AA356/1000</f>
        <v>2763.6185</v>
      </c>
      <c r="AB355" s="69">
        <f>STATS1003B!AB356/1000</f>
        <v>0</v>
      </c>
    </row>
    <row r="356" spans="1:28" hidden="1" x14ac:dyDescent="0.3">
      <c r="A356" s="117"/>
      <c r="C356" s="71" t="s">
        <v>929</v>
      </c>
      <c r="D356" s="89" t="s">
        <v>1072</v>
      </c>
      <c r="E356" s="85">
        <f>STATS1003B!E357/1000</f>
        <v>4843.23873</v>
      </c>
      <c r="F356" s="85">
        <f>STATS1003B!F357/1000</f>
        <v>4843.23873</v>
      </c>
      <c r="G356" s="85">
        <f>STATS1003B!G357/1000</f>
        <v>0</v>
      </c>
      <c r="H356" s="85">
        <f>STATS1003B!H357/1000</f>
        <v>4843.23873</v>
      </c>
      <c r="I356" s="85">
        <f>STATS1003B!I357/1000</f>
        <v>0</v>
      </c>
      <c r="J356" s="85">
        <f>STATS1003B!J357/1000</f>
        <v>0</v>
      </c>
      <c r="K356" s="85">
        <f>STATS1003B!K357/1000</f>
        <v>0</v>
      </c>
      <c r="L356" s="85">
        <f>STATS1003B!L357/1000</f>
        <v>0</v>
      </c>
      <c r="M356" s="85">
        <f>STATS1003B!M357/1000</f>
        <v>4843.23873</v>
      </c>
      <c r="N356" s="85">
        <f>STATS1003B!N357/1000</f>
        <v>0</v>
      </c>
      <c r="O356" s="85">
        <f>STATS1003B!O357/1000</f>
        <v>0</v>
      </c>
      <c r="P356" s="85">
        <f>STATS1003B!P357/1000</f>
        <v>0</v>
      </c>
      <c r="Q356" s="85">
        <f>STATS1003B!Q357/1000</f>
        <v>0</v>
      </c>
      <c r="R356" s="85">
        <f>STATS1003B!R357/1000</f>
        <v>0</v>
      </c>
      <c r="S356" s="85">
        <f>STATS1003B!S357/1000</f>
        <v>0</v>
      </c>
      <c r="T356" s="85">
        <f>STATS1003B!T357/1000</f>
        <v>0</v>
      </c>
      <c r="U356" s="85">
        <f>STATS1003B!U357/1000</f>
        <v>0</v>
      </c>
      <c r="V356" s="85">
        <f>STATS1003B!V357/1000</f>
        <v>0</v>
      </c>
      <c r="W356" s="85">
        <f>STATS1003B!W357/1000</f>
        <v>0</v>
      </c>
      <c r="X356" s="85">
        <f t="shared" si="36"/>
        <v>4843.23873</v>
      </c>
      <c r="Y356" s="85">
        <f>STATS1003B!Y357/1000</f>
        <v>0</v>
      </c>
      <c r="Z356" s="85">
        <f t="shared" si="39"/>
        <v>0</v>
      </c>
      <c r="AA356" s="69">
        <f>STATS1003B!AA357/1000</f>
        <v>4843.23873</v>
      </c>
      <c r="AB356" s="69">
        <f>STATS1003B!AB357/1000</f>
        <v>0</v>
      </c>
    </row>
    <row r="357" spans="1:28" hidden="1" x14ac:dyDescent="0.3">
      <c r="A357" s="117"/>
      <c r="C357" s="71" t="s">
        <v>1173</v>
      </c>
      <c r="D357" s="89" t="s">
        <v>1126</v>
      </c>
      <c r="E357" s="85">
        <f>STATS1003B!E358/1000</f>
        <v>6169.3897300000008</v>
      </c>
      <c r="F357" s="85">
        <f>STATS1003B!F358/1000</f>
        <v>6169.3897300000008</v>
      </c>
      <c r="G357" s="85">
        <f>STATS1003B!G358/1000</f>
        <v>0</v>
      </c>
      <c r="H357" s="85">
        <f>STATS1003B!H358/1000</f>
        <v>6169.3897300000008</v>
      </c>
      <c r="I357" s="85">
        <f>STATS1003B!I358/1000</f>
        <v>0</v>
      </c>
      <c r="J357" s="85">
        <f>STATS1003B!J358/1000</f>
        <v>0</v>
      </c>
      <c r="K357" s="85">
        <f>STATS1003B!K358/1000</f>
        <v>0</v>
      </c>
      <c r="L357" s="85">
        <f>STATS1003B!L358/1000</f>
        <v>0</v>
      </c>
      <c r="M357" s="85">
        <f>STATS1003B!M358/1000</f>
        <v>6169.3897300000008</v>
      </c>
      <c r="N357" s="85">
        <f>STATS1003B!N358/1000</f>
        <v>0</v>
      </c>
      <c r="O357" s="85">
        <f>STATS1003B!O358/1000</f>
        <v>0</v>
      </c>
      <c r="P357" s="85">
        <f>STATS1003B!P358/1000</f>
        <v>0</v>
      </c>
      <c r="Q357" s="85">
        <f>STATS1003B!Q358/1000</f>
        <v>0</v>
      </c>
      <c r="R357" s="85">
        <f>STATS1003B!R358/1000</f>
        <v>0</v>
      </c>
      <c r="S357" s="85">
        <f>STATS1003B!S358/1000</f>
        <v>0</v>
      </c>
      <c r="T357" s="85">
        <f>STATS1003B!T358/1000</f>
        <v>0</v>
      </c>
      <c r="U357" s="85">
        <f>STATS1003B!U358/1000</f>
        <v>0</v>
      </c>
      <c r="V357" s="85">
        <f>STATS1003B!V358/1000</f>
        <v>0</v>
      </c>
      <c r="W357" s="85">
        <f>STATS1003B!W358/1000</f>
        <v>0</v>
      </c>
      <c r="X357" s="85">
        <f t="shared" si="36"/>
        <v>6169.3897300000008</v>
      </c>
      <c r="Y357" s="85">
        <f>STATS1003B!Y358/1000</f>
        <v>0</v>
      </c>
      <c r="Z357" s="85">
        <f t="shared" si="39"/>
        <v>0</v>
      </c>
      <c r="AA357" s="69">
        <f>STATS1003B!AA358/1000</f>
        <v>6169.3897300000008</v>
      </c>
      <c r="AB357" s="69">
        <f>STATS1003B!AB358/1000</f>
        <v>0</v>
      </c>
    </row>
    <row r="358" spans="1:28" hidden="1" x14ac:dyDescent="0.3">
      <c r="A358" s="117"/>
      <c r="C358" s="95" t="s">
        <v>1244</v>
      </c>
      <c r="D358" s="89" t="s">
        <v>1225</v>
      </c>
      <c r="E358" s="85">
        <f>STATS1003B!E359/1000</f>
        <v>1539.1684399999999</v>
      </c>
      <c r="F358" s="85">
        <f>STATS1003B!F359/1000</f>
        <v>1539.1684399999999</v>
      </c>
      <c r="G358" s="85">
        <f>STATS1003B!G359/1000</f>
        <v>0</v>
      </c>
      <c r="H358" s="85">
        <f>STATS1003B!H359/1000</f>
        <v>1539.1684399999999</v>
      </c>
      <c r="I358" s="85">
        <f>STATS1003B!I359/1000</f>
        <v>0</v>
      </c>
      <c r="J358" s="85">
        <f>STATS1003B!J359/1000</f>
        <v>0</v>
      </c>
      <c r="K358" s="85">
        <f>STATS1003B!K359/1000</f>
        <v>0</v>
      </c>
      <c r="L358" s="85">
        <f>STATS1003B!L359/1000</f>
        <v>0</v>
      </c>
      <c r="M358" s="85">
        <f>STATS1003B!M359/1000</f>
        <v>1539.1684399999999</v>
      </c>
      <c r="N358" s="85">
        <f>STATS1003B!N359/1000</f>
        <v>0</v>
      </c>
      <c r="O358" s="85">
        <f>STATS1003B!O359/1000</f>
        <v>0</v>
      </c>
      <c r="P358" s="85">
        <f>STATS1003B!P359/1000</f>
        <v>0</v>
      </c>
      <c r="Q358" s="85">
        <f>STATS1003B!Q359/1000</f>
        <v>0</v>
      </c>
      <c r="R358" s="85">
        <f>STATS1003B!R359/1000</f>
        <v>0</v>
      </c>
      <c r="S358" s="85">
        <f>STATS1003B!S359/1000</f>
        <v>0</v>
      </c>
      <c r="T358" s="85">
        <f>STATS1003B!T359/1000</f>
        <v>0</v>
      </c>
      <c r="U358" s="85">
        <f>STATS1003B!U359/1000</f>
        <v>0</v>
      </c>
      <c r="V358" s="85">
        <f>STATS1003B!V359/1000</f>
        <v>0</v>
      </c>
      <c r="W358" s="85">
        <f>STATS1003B!W359/1000</f>
        <v>0</v>
      </c>
      <c r="X358" s="85">
        <f t="shared" si="36"/>
        <v>1539.1684399999999</v>
      </c>
      <c r="Y358" s="85">
        <f>STATS1003B!Y359/1000</f>
        <v>0</v>
      </c>
      <c r="Z358" s="85">
        <f t="shared" si="39"/>
        <v>0</v>
      </c>
      <c r="AA358" s="69">
        <f>STATS1003B!AA359/1000</f>
        <v>1539.1684399999999</v>
      </c>
      <c r="AB358" s="69">
        <f>STATS1003B!AB359/1000</f>
        <v>0</v>
      </c>
    </row>
    <row r="359" spans="1:28" hidden="1" x14ac:dyDescent="0.3">
      <c r="A359" s="117"/>
      <c r="C359" s="71" t="s">
        <v>1104</v>
      </c>
      <c r="D359" s="89" t="s">
        <v>1072</v>
      </c>
      <c r="E359" s="85">
        <f>STATS1003B!E360/1000</f>
        <v>1500</v>
      </c>
      <c r="F359" s="85">
        <f>STATS1003B!F360/1000</f>
        <v>1500</v>
      </c>
      <c r="G359" s="85">
        <f>STATS1003B!G360/1000</f>
        <v>0</v>
      </c>
      <c r="H359" s="85">
        <f>STATS1003B!H360/1000</f>
        <v>1500</v>
      </c>
      <c r="I359" s="85">
        <f>STATS1003B!I360/1000</f>
        <v>0</v>
      </c>
      <c r="J359" s="85">
        <f>STATS1003B!J360/1000</f>
        <v>0</v>
      </c>
      <c r="K359" s="85">
        <f>STATS1003B!K360/1000</f>
        <v>0</v>
      </c>
      <c r="L359" s="85">
        <f>STATS1003B!L360/1000</f>
        <v>0</v>
      </c>
      <c r="M359" s="85">
        <f>STATS1003B!M360/1000</f>
        <v>1500</v>
      </c>
      <c r="N359" s="85">
        <f>STATS1003B!N360/1000</f>
        <v>0</v>
      </c>
      <c r="O359" s="85">
        <f>STATS1003B!O360/1000</f>
        <v>0</v>
      </c>
      <c r="P359" s="85">
        <f>STATS1003B!P360/1000</f>
        <v>0</v>
      </c>
      <c r="Q359" s="85">
        <f>STATS1003B!Q360/1000</f>
        <v>0</v>
      </c>
      <c r="R359" s="85">
        <f>STATS1003B!R360/1000</f>
        <v>0</v>
      </c>
      <c r="S359" s="85">
        <f>STATS1003B!S360/1000</f>
        <v>0</v>
      </c>
      <c r="T359" s="85">
        <f>STATS1003B!T360/1000</f>
        <v>0</v>
      </c>
      <c r="U359" s="85">
        <f>STATS1003B!U360/1000</f>
        <v>0</v>
      </c>
      <c r="V359" s="85">
        <f>STATS1003B!V360/1000</f>
        <v>0</v>
      </c>
      <c r="W359" s="85">
        <f>STATS1003B!W360/1000</f>
        <v>0</v>
      </c>
      <c r="X359" s="85">
        <f t="shared" si="36"/>
        <v>1500</v>
      </c>
      <c r="Y359" s="85">
        <f>STATS1003B!Y360/1000</f>
        <v>0</v>
      </c>
      <c r="Z359" s="85">
        <f t="shared" si="39"/>
        <v>0</v>
      </c>
      <c r="AA359" s="69">
        <f>STATS1003B!AA360/1000</f>
        <v>1500</v>
      </c>
      <c r="AB359" s="69">
        <f>STATS1003B!AB360/1000</f>
        <v>0</v>
      </c>
    </row>
    <row r="360" spans="1:28" hidden="1" x14ac:dyDescent="0.3">
      <c r="A360" s="117"/>
      <c r="C360" s="71" t="s">
        <v>1142</v>
      </c>
      <c r="D360" s="89" t="s">
        <v>1126</v>
      </c>
      <c r="E360" s="85">
        <f>STATS1003B!E361/1000</f>
        <v>268.42352</v>
      </c>
      <c r="F360" s="85">
        <f>STATS1003B!F361/1000</f>
        <v>268.42352</v>
      </c>
      <c r="G360" s="85">
        <f>STATS1003B!G361/1000</f>
        <v>0</v>
      </c>
      <c r="H360" s="85">
        <f>STATS1003B!H361/1000</f>
        <v>268.42352</v>
      </c>
      <c r="I360" s="85">
        <f>STATS1003B!I361/1000</f>
        <v>0</v>
      </c>
      <c r="J360" s="85">
        <f>STATS1003B!J361/1000</f>
        <v>0</v>
      </c>
      <c r="K360" s="85">
        <f>STATS1003B!K361/1000</f>
        <v>0</v>
      </c>
      <c r="L360" s="85">
        <f>STATS1003B!L361/1000</f>
        <v>0</v>
      </c>
      <c r="M360" s="85">
        <f>STATS1003B!M361/1000</f>
        <v>268.42352</v>
      </c>
      <c r="N360" s="85">
        <f>STATS1003B!N361/1000</f>
        <v>0</v>
      </c>
      <c r="O360" s="85">
        <f>STATS1003B!O361/1000</f>
        <v>0</v>
      </c>
      <c r="P360" s="85">
        <f>STATS1003B!P361/1000</f>
        <v>0</v>
      </c>
      <c r="Q360" s="85">
        <f>STATS1003B!Q361/1000</f>
        <v>0</v>
      </c>
      <c r="R360" s="85">
        <f>STATS1003B!R361/1000</f>
        <v>0</v>
      </c>
      <c r="S360" s="85">
        <f>STATS1003B!S361/1000</f>
        <v>0</v>
      </c>
      <c r="T360" s="85">
        <f>STATS1003B!T361/1000</f>
        <v>0</v>
      </c>
      <c r="U360" s="85">
        <f>STATS1003B!U361/1000</f>
        <v>0</v>
      </c>
      <c r="V360" s="85">
        <f>STATS1003B!V361/1000</f>
        <v>0</v>
      </c>
      <c r="W360" s="85">
        <f>STATS1003B!W361/1000</f>
        <v>0</v>
      </c>
      <c r="X360" s="85">
        <f t="shared" si="36"/>
        <v>268.42352</v>
      </c>
      <c r="Y360" s="85">
        <f>STATS1003B!Y361/1000</f>
        <v>0</v>
      </c>
      <c r="Z360" s="85">
        <f t="shared" si="39"/>
        <v>0</v>
      </c>
      <c r="AA360" s="69">
        <f>STATS1003B!AA361/1000</f>
        <v>268.42352</v>
      </c>
      <c r="AB360" s="69">
        <f>STATS1003B!AB361/1000</f>
        <v>0</v>
      </c>
    </row>
    <row r="361" spans="1:28" hidden="1" x14ac:dyDescent="0.3">
      <c r="A361" s="117"/>
      <c r="C361" s="71" t="s">
        <v>1143</v>
      </c>
      <c r="D361" s="89" t="s">
        <v>1126</v>
      </c>
      <c r="E361" s="85">
        <f>STATS1003B!E362/1000</f>
        <v>874.00689999999997</v>
      </c>
      <c r="F361" s="85">
        <f>STATS1003B!F362/1000</f>
        <v>874.00689999999997</v>
      </c>
      <c r="G361" s="85">
        <f>STATS1003B!G362/1000</f>
        <v>0</v>
      </c>
      <c r="H361" s="85">
        <f>STATS1003B!H362/1000</f>
        <v>874.00689999999997</v>
      </c>
      <c r="I361" s="85">
        <f>STATS1003B!I362/1000</f>
        <v>0</v>
      </c>
      <c r="J361" s="85">
        <f>STATS1003B!J362/1000</f>
        <v>0</v>
      </c>
      <c r="K361" s="85">
        <f>STATS1003B!K362/1000</f>
        <v>0</v>
      </c>
      <c r="L361" s="85">
        <f>STATS1003B!L362/1000</f>
        <v>0</v>
      </c>
      <c r="M361" s="85">
        <f>STATS1003B!M362/1000</f>
        <v>874.00689999999997</v>
      </c>
      <c r="N361" s="85">
        <f>STATS1003B!N362/1000</f>
        <v>0</v>
      </c>
      <c r="O361" s="85">
        <f>STATS1003B!O362/1000</f>
        <v>0</v>
      </c>
      <c r="P361" s="85">
        <f>STATS1003B!P362/1000</f>
        <v>0</v>
      </c>
      <c r="Q361" s="85">
        <f>STATS1003B!Q362/1000</f>
        <v>0</v>
      </c>
      <c r="R361" s="85">
        <f>STATS1003B!R362/1000</f>
        <v>0</v>
      </c>
      <c r="S361" s="85">
        <f>STATS1003B!S362/1000</f>
        <v>0</v>
      </c>
      <c r="T361" s="85">
        <f>STATS1003B!T362/1000</f>
        <v>0</v>
      </c>
      <c r="U361" s="85">
        <f>STATS1003B!U362/1000</f>
        <v>0</v>
      </c>
      <c r="V361" s="85">
        <f>STATS1003B!V362/1000</f>
        <v>0</v>
      </c>
      <c r="W361" s="85">
        <f>STATS1003B!W362/1000</f>
        <v>0</v>
      </c>
      <c r="X361" s="85">
        <f t="shared" si="36"/>
        <v>874.00689999999997</v>
      </c>
      <c r="Y361" s="85">
        <f>STATS1003B!Y362/1000</f>
        <v>0</v>
      </c>
      <c r="Z361" s="85">
        <f t="shared" si="39"/>
        <v>0</v>
      </c>
      <c r="AA361" s="69">
        <f>STATS1003B!AA362/1000</f>
        <v>874.00689999999997</v>
      </c>
      <c r="AB361" s="69">
        <f>STATS1003B!AB362/1000</f>
        <v>0</v>
      </c>
    </row>
    <row r="362" spans="1:28" hidden="1" x14ac:dyDescent="0.3">
      <c r="A362" s="117"/>
      <c r="C362" s="71" t="s">
        <v>927</v>
      </c>
      <c r="D362" s="88"/>
      <c r="E362" s="85">
        <f>STATS1003B!E363/1000</f>
        <v>731.57647999999995</v>
      </c>
      <c r="F362" s="85">
        <f>STATS1003B!F363/1000</f>
        <v>731.57647999999995</v>
      </c>
      <c r="G362" s="85">
        <f>STATS1003B!G363/1000</f>
        <v>0</v>
      </c>
      <c r="H362" s="85">
        <f>STATS1003B!H363/1000</f>
        <v>731.57647999999995</v>
      </c>
      <c r="I362" s="85">
        <f>STATS1003B!I363/1000</f>
        <v>0</v>
      </c>
      <c r="J362" s="85">
        <f>STATS1003B!J363/1000</f>
        <v>0</v>
      </c>
      <c r="K362" s="85">
        <f>STATS1003B!K363/1000</f>
        <v>0</v>
      </c>
      <c r="L362" s="85">
        <f>STATS1003B!L363/1000</f>
        <v>0</v>
      </c>
      <c r="M362" s="85">
        <f>STATS1003B!M363/1000</f>
        <v>731.57647999999995</v>
      </c>
      <c r="N362" s="85">
        <f>STATS1003B!N363/1000</f>
        <v>0</v>
      </c>
      <c r="O362" s="85">
        <f>STATS1003B!O363/1000</f>
        <v>0</v>
      </c>
      <c r="P362" s="85">
        <f>STATS1003B!P363/1000</f>
        <v>0</v>
      </c>
      <c r="Q362" s="85">
        <f>STATS1003B!Q363/1000</f>
        <v>0</v>
      </c>
      <c r="R362" s="85">
        <f>STATS1003B!R363/1000</f>
        <v>0</v>
      </c>
      <c r="S362" s="85">
        <f>STATS1003B!S363/1000</f>
        <v>0</v>
      </c>
      <c r="T362" s="85">
        <f>STATS1003B!T363/1000</f>
        <v>0</v>
      </c>
      <c r="U362" s="85">
        <f>STATS1003B!U363/1000</f>
        <v>0</v>
      </c>
      <c r="V362" s="85">
        <f>STATS1003B!V363/1000</f>
        <v>0</v>
      </c>
      <c r="W362" s="85">
        <f>STATS1003B!W363/1000</f>
        <v>0</v>
      </c>
      <c r="X362" s="85">
        <f t="shared" si="36"/>
        <v>731.57647999999995</v>
      </c>
      <c r="Y362" s="85">
        <f>STATS1003B!Y363/1000</f>
        <v>0</v>
      </c>
      <c r="Z362" s="85">
        <f t="shared" si="39"/>
        <v>0</v>
      </c>
      <c r="AA362" s="69">
        <f>STATS1003B!AA363/1000</f>
        <v>731.57647999999995</v>
      </c>
      <c r="AB362" s="69">
        <f>STATS1003B!AB363/1000</f>
        <v>0</v>
      </c>
    </row>
    <row r="363" spans="1:28" hidden="1" x14ac:dyDescent="0.3">
      <c r="A363" s="117"/>
      <c r="C363" s="68" t="s">
        <v>577</v>
      </c>
      <c r="E363" s="85">
        <f>STATS1003B!E364/1000</f>
        <v>2654.645</v>
      </c>
      <c r="F363" s="85">
        <f>STATS1003B!F364/1000</f>
        <v>2654.645</v>
      </c>
      <c r="G363" s="85">
        <f>STATS1003B!G364/1000</f>
        <v>0</v>
      </c>
      <c r="H363" s="85">
        <f>STATS1003B!H364/1000</f>
        <v>2654.645</v>
      </c>
      <c r="I363" s="85">
        <f>STATS1003B!I364/1000</f>
        <v>0</v>
      </c>
      <c r="J363" s="85">
        <f>STATS1003B!J364/1000</f>
        <v>2654.645</v>
      </c>
      <c r="K363" s="85">
        <f>STATS1003B!K364/1000</f>
        <v>0</v>
      </c>
      <c r="L363" s="85">
        <f>STATS1003B!L364/1000</f>
        <v>0</v>
      </c>
      <c r="M363" s="85">
        <f>STATS1003B!M364/1000</f>
        <v>2654.645</v>
      </c>
      <c r="N363" s="85">
        <f>STATS1003B!N364/1000</f>
        <v>0</v>
      </c>
      <c r="O363" s="85">
        <f>STATS1003B!O364/1000</f>
        <v>0</v>
      </c>
      <c r="P363" s="85">
        <f>STATS1003B!P364/1000</f>
        <v>0</v>
      </c>
      <c r="Q363" s="85">
        <f>STATS1003B!Q364/1000</f>
        <v>0</v>
      </c>
      <c r="R363" s="85">
        <f>STATS1003B!R364/1000</f>
        <v>0</v>
      </c>
      <c r="S363" s="85">
        <f>STATS1003B!S364/1000</f>
        <v>0</v>
      </c>
      <c r="T363" s="85">
        <f>STATS1003B!T364/1000</f>
        <v>0</v>
      </c>
      <c r="U363" s="85">
        <f>STATS1003B!U364/1000</f>
        <v>0</v>
      </c>
      <c r="V363" s="85">
        <f>STATS1003B!V364/1000</f>
        <v>0</v>
      </c>
      <c r="W363" s="85">
        <f>STATS1003B!W364/1000</f>
        <v>0</v>
      </c>
      <c r="X363" s="85">
        <f t="shared" si="36"/>
        <v>2654.645</v>
      </c>
      <c r="Y363" s="85">
        <f>STATS1003B!Y364/1000</f>
        <v>0</v>
      </c>
      <c r="Z363" s="85">
        <f t="shared" si="39"/>
        <v>0</v>
      </c>
      <c r="AA363" s="69">
        <f>STATS1003B!AA364/1000</f>
        <v>2654.645</v>
      </c>
      <c r="AB363" s="69">
        <f>STATS1003B!AB364/1000</f>
        <v>0</v>
      </c>
    </row>
    <row r="364" spans="1:28" hidden="1" x14ac:dyDescent="0.3">
      <c r="A364" s="117"/>
      <c r="C364" s="68" t="s">
        <v>569</v>
      </c>
      <c r="E364" s="85">
        <f>STATS1003B!E365/1000</f>
        <v>772.64499999999998</v>
      </c>
      <c r="F364" s="85">
        <f>STATS1003B!F365/1000</f>
        <v>772.64499999999998</v>
      </c>
      <c r="G364" s="85">
        <f>STATS1003B!G365/1000</f>
        <v>0</v>
      </c>
      <c r="H364" s="85">
        <f>STATS1003B!H365/1000</f>
        <v>772.64499999999998</v>
      </c>
      <c r="I364" s="85">
        <f>STATS1003B!I365/1000</f>
        <v>0</v>
      </c>
      <c r="J364" s="85">
        <f>STATS1003B!J365/1000</f>
        <v>772.64499999999998</v>
      </c>
      <c r="K364" s="85">
        <f>STATS1003B!K365/1000</f>
        <v>0</v>
      </c>
      <c r="L364" s="85">
        <f>STATS1003B!L365/1000</f>
        <v>0</v>
      </c>
      <c r="M364" s="85">
        <f>STATS1003B!M365/1000</f>
        <v>772.64499999999998</v>
      </c>
      <c r="N364" s="85">
        <f>STATS1003B!N365/1000</f>
        <v>0</v>
      </c>
      <c r="O364" s="85">
        <f>STATS1003B!O365/1000</f>
        <v>0</v>
      </c>
      <c r="P364" s="85">
        <f>STATS1003B!P365/1000</f>
        <v>0</v>
      </c>
      <c r="Q364" s="85">
        <f>STATS1003B!Q365/1000</f>
        <v>0</v>
      </c>
      <c r="R364" s="85">
        <f>STATS1003B!R365/1000</f>
        <v>0</v>
      </c>
      <c r="S364" s="85">
        <f>STATS1003B!S365/1000</f>
        <v>0</v>
      </c>
      <c r="T364" s="85">
        <f>STATS1003B!T365/1000</f>
        <v>0</v>
      </c>
      <c r="U364" s="85">
        <f>STATS1003B!U365/1000</f>
        <v>0</v>
      </c>
      <c r="V364" s="85">
        <f>STATS1003B!V365/1000</f>
        <v>0</v>
      </c>
      <c r="W364" s="85">
        <f>STATS1003B!W365/1000</f>
        <v>0</v>
      </c>
      <c r="X364" s="85">
        <f t="shared" si="36"/>
        <v>772.64499999999998</v>
      </c>
      <c r="Y364" s="85">
        <f>STATS1003B!Y365/1000</f>
        <v>0</v>
      </c>
      <c r="Z364" s="85">
        <f t="shared" si="39"/>
        <v>0</v>
      </c>
      <c r="AA364" s="69">
        <f>STATS1003B!AA365/1000</f>
        <v>772.64499999999998</v>
      </c>
      <c r="AB364" s="69">
        <f>STATS1003B!AB365/1000</f>
        <v>0</v>
      </c>
    </row>
    <row r="365" spans="1:28" hidden="1" x14ac:dyDescent="0.3">
      <c r="A365" s="117"/>
      <c r="C365" s="68" t="s">
        <v>578</v>
      </c>
      <c r="E365" s="85">
        <f>STATS1003B!E366/1000</f>
        <v>25</v>
      </c>
      <c r="F365" s="85">
        <f>STATS1003B!F366/1000</f>
        <v>19.975999999999999</v>
      </c>
      <c r="G365" s="85">
        <f>STATS1003B!G366/1000</f>
        <v>0</v>
      </c>
      <c r="H365" s="85">
        <f>STATS1003B!H366/1000</f>
        <v>19.975999999999999</v>
      </c>
      <c r="I365" s="85">
        <f>STATS1003B!I366/1000</f>
        <v>0</v>
      </c>
      <c r="J365" s="85">
        <f>STATS1003B!J366/1000</f>
        <v>19.975999999999999</v>
      </c>
      <c r="K365" s="85">
        <f>STATS1003B!K366/1000</f>
        <v>0</v>
      </c>
      <c r="L365" s="85">
        <f>STATS1003B!L366/1000</f>
        <v>0</v>
      </c>
      <c r="M365" s="85">
        <f>STATS1003B!M366/1000</f>
        <v>19.975999999999999</v>
      </c>
      <c r="N365" s="85">
        <f>STATS1003B!N366/1000</f>
        <v>0</v>
      </c>
      <c r="O365" s="85">
        <f>STATS1003B!O366/1000</f>
        <v>0</v>
      </c>
      <c r="P365" s="85">
        <f>STATS1003B!P366/1000</f>
        <v>0</v>
      </c>
      <c r="Q365" s="85">
        <f>STATS1003B!Q366/1000</f>
        <v>0</v>
      </c>
      <c r="R365" s="85">
        <f>STATS1003B!R366/1000</f>
        <v>0</v>
      </c>
      <c r="S365" s="85">
        <f>STATS1003B!S366/1000</f>
        <v>0</v>
      </c>
      <c r="T365" s="85">
        <f>STATS1003B!T366/1000</f>
        <v>0</v>
      </c>
      <c r="U365" s="85">
        <f>STATS1003B!U366/1000</f>
        <v>0</v>
      </c>
      <c r="V365" s="85">
        <f>STATS1003B!V366/1000</f>
        <v>0</v>
      </c>
      <c r="W365" s="85">
        <f>STATS1003B!W366/1000</f>
        <v>0</v>
      </c>
      <c r="X365" s="85">
        <f t="shared" si="36"/>
        <v>19.975999999999999</v>
      </c>
      <c r="Y365" s="85">
        <f>STATS1003B!Y366/1000</f>
        <v>0</v>
      </c>
      <c r="Z365" s="85">
        <f t="shared" si="39"/>
        <v>5.0240000000000009</v>
      </c>
      <c r="AA365" s="69">
        <f>STATS1003B!AA366/1000</f>
        <v>19.975999999999999</v>
      </c>
      <c r="AB365" s="69">
        <f>STATS1003B!AB366/1000</f>
        <v>5.024</v>
      </c>
    </row>
    <row r="366" spans="1:28" hidden="1" x14ac:dyDescent="0.3">
      <c r="A366" s="117"/>
      <c r="C366" s="68" t="s">
        <v>579</v>
      </c>
      <c r="E366" s="85">
        <f>STATS1003B!E367/1000</f>
        <v>1914.2492999999999</v>
      </c>
      <c r="F366" s="85">
        <f>STATS1003B!F367/1000</f>
        <v>1914.2492999999999</v>
      </c>
      <c r="G366" s="85">
        <f>STATS1003B!G367/1000</f>
        <v>0</v>
      </c>
      <c r="H366" s="85">
        <f>STATS1003B!H367/1000</f>
        <v>1914.2492999999999</v>
      </c>
      <c r="I366" s="85">
        <f>STATS1003B!I367/1000</f>
        <v>0</v>
      </c>
      <c r="J366" s="85">
        <f>STATS1003B!J367/1000</f>
        <v>1914.2492999999999</v>
      </c>
      <c r="K366" s="85">
        <f>STATS1003B!K367/1000</f>
        <v>0</v>
      </c>
      <c r="L366" s="85">
        <f>STATS1003B!L367/1000</f>
        <v>0</v>
      </c>
      <c r="M366" s="85">
        <f>STATS1003B!M367/1000</f>
        <v>1914.2492999999999</v>
      </c>
      <c r="N366" s="85">
        <f>STATS1003B!N367/1000</f>
        <v>0</v>
      </c>
      <c r="O366" s="85">
        <f>STATS1003B!O367/1000</f>
        <v>0</v>
      </c>
      <c r="P366" s="85">
        <f>STATS1003B!P367/1000</f>
        <v>0</v>
      </c>
      <c r="Q366" s="85">
        <f>STATS1003B!Q367/1000</f>
        <v>0</v>
      </c>
      <c r="R366" s="85">
        <f>STATS1003B!R367/1000</f>
        <v>0</v>
      </c>
      <c r="S366" s="85">
        <f>STATS1003B!S367/1000</f>
        <v>0</v>
      </c>
      <c r="T366" s="85">
        <f>STATS1003B!T367/1000</f>
        <v>0</v>
      </c>
      <c r="U366" s="85">
        <f>STATS1003B!U367/1000</f>
        <v>0</v>
      </c>
      <c r="V366" s="85">
        <f>STATS1003B!V367/1000</f>
        <v>0</v>
      </c>
      <c r="W366" s="85">
        <f>STATS1003B!W367/1000</f>
        <v>0</v>
      </c>
      <c r="X366" s="85">
        <f t="shared" si="36"/>
        <v>1914.2492999999999</v>
      </c>
      <c r="Y366" s="85">
        <f>STATS1003B!Y367/1000</f>
        <v>0</v>
      </c>
      <c r="Z366" s="85">
        <f t="shared" si="39"/>
        <v>0</v>
      </c>
      <c r="AA366" s="69">
        <f>STATS1003B!AA367/1000</f>
        <v>1914.2492999999999</v>
      </c>
      <c r="AB366" s="69">
        <f>STATS1003B!AB367/1000</f>
        <v>0</v>
      </c>
    </row>
    <row r="367" spans="1:28" hidden="1" x14ac:dyDescent="0.3">
      <c r="A367" s="117"/>
      <c r="C367" s="68" t="s">
        <v>543</v>
      </c>
      <c r="E367" s="85">
        <f>STATS1003B!E368/1000</f>
        <v>4864.5644199999997</v>
      </c>
      <c r="F367" s="85">
        <f>STATS1003B!F368/1000</f>
        <v>4864.5644199999997</v>
      </c>
      <c r="G367" s="85">
        <f>STATS1003B!G368/1000</f>
        <v>0</v>
      </c>
      <c r="H367" s="85">
        <f>STATS1003B!H368/1000</f>
        <v>4864.5644199999997</v>
      </c>
      <c r="I367" s="85">
        <f>STATS1003B!I368/1000</f>
        <v>0</v>
      </c>
      <c r="J367" s="85">
        <f>STATS1003B!J368/1000</f>
        <v>4864.5644199999997</v>
      </c>
      <c r="K367" s="85">
        <f>STATS1003B!K368/1000</f>
        <v>0</v>
      </c>
      <c r="L367" s="85">
        <f>STATS1003B!L368/1000</f>
        <v>0</v>
      </c>
      <c r="M367" s="85">
        <f>STATS1003B!M368/1000</f>
        <v>4864.5644199999997</v>
      </c>
      <c r="N367" s="85">
        <f>STATS1003B!N368/1000</f>
        <v>0</v>
      </c>
      <c r="O367" s="85">
        <f>STATS1003B!O368/1000</f>
        <v>0</v>
      </c>
      <c r="P367" s="85">
        <f>STATS1003B!P368/1000</f>
        <v>0</v>
      </c>
      <c r="Q367" s="85">
        <f>STATS1003B!Q368/1000</f>
        <v>0</v>
      </c>
      <c r="R367" s="85">
        <f>STATS1003B!R368/1000</f>
        <v>0</v>
      </c>
      <c r="S367" s="85">
        <f>STATS1003B!S368/1000</f>
        <v>0</v>
      </c>
      <c r="T367" s="85">
        <f>STATS1003B!T368/1000</f>
        <v>0</v>
      </c>
      <c r="U367" s="85">
        <f>STATS1003B!U368/1000</f>
        <v>0</v>
      </c>
      <c r="V367" s="85">
        <f>STATS1003B!V368/1000</f>
        <v>0</v>
      </c>
      <c r="W367" s="85">
        <f>STATS1003B!W368/1000</f>
        <v>0</v>
      </c>
      <c r="X367" s="85">
        <f t="shared" si="36"/>
        <v>4864.5644199999997</v>
      </c>
      <c r="Y367" s="85">
        <f>STATS1003B!Y368/1000</f>
        <v>0</v>
      </c>
      <c r="Z367" s="85">
        <f t="shared" si="39"/>
        <v>0</v>
      </c>
      <c r="AA367" s="69">
        <f>STATS1003B!AA368/1000</f>
        <v>4864.5644199999997</v>
      </c>
      <c r="AB367" s="69">
        <f>STATS1003B!AB368/1000</f>
        <v>0</v>
      </c>
    </row>
    <row r="368" spans="1:28" hidden="1" x14ac:dyDescent="0.3">
      <c r="A368" s="117"/>
      <c r="E368" s="86" t="s">
        <v>29</v>
      </c>
      <c r="F368" s="86" t="s">
        <v>29</v>
      </c>
      <c r="G368" s="86" t="s">
        <v>29</v>
      </c>
      <c r="H368" s="86" t="s">
        <v>29</v>
      </c>
      <c r="I368" s="86" t="s">
        <v>29</v>
      </c>
      <c r="J368" s="86" t="s">
        <v>29</v>
      </c>
      <c r="K368" s="86" t="s">
        <v>29</v>
      </c>
      <c r="L368" s="86" t="s">
        <v>29</v>
      </c>
      <c r="M368" s="86"/>
      <c r="N368" s="86"/>
      <c r="O368" s="86"/>
      <c r="P368" s="86"/>
      <c r="Q368" s="86"/>
      <c r="R368" s="86"/>
      <c r="S368" s="86"/>
      <c r="T368" s="86"/>
      <c r="U368" s="86"/>
      <c r="V368" s="86"/>
      <c r="W368" s="86"/>
      <c r="X368" s="85" t="e">
        <f t="shared" si="36"/>
        <v>#VALUE!</v>
      </c>
      <c r="Y368" s="86"/>
      <c r="Z368" s="85" t="e">
        <f t="shared" si="39"/>
        <v>#VALUE!</v>
      </c>
      <c r="AA368" s="115" t="s">
        <v>29</v>
      </c>
      <c r="AB368" s="115" t="s">
        <v>29</v>
      </c>
    </row>
    <row r="369" spans="1:28" x14ac:dyDescent="0.3">
      <c r="A369" s="116" t="s">
        <v>949</v>
      </c>
      <c r="B369" s="68" t="s">
        <v>570</v>
      </c>
      <c r="E369" s="85">
        <f>142530041.97/1000</f>
        <v>142530.04196999999</v>
      </c>
      <c r="F369" s="85">
        <f>SUM(F336:F367)</f>
        <v>63592.857689999997</v>
      </c>
      <c r="G369" s="85">
        <f>SUM(G336:G367)</f>
        <v>0</v>
      </c>
      <c r="H369" s="85">
        <f>138536487.22/1000</f>
        <v>138536.48722000001</v>
      </c>
      <c r="I369" s="85">
        <f>SUM(I336:I367)</f>
        <v>0</v>
      </c>
      <c r="J369" s="85">
        <f>SUM(J336:J367)</f>
        <v>44903.435389999999</v>
      </c>
      <c r="K369" s="85">
        <f>SUM(K336:K367)</f>
        <v>3988.5307499999999</v>
      </c>
      <c r="L369" s="85"/>
      <c r="M369" s="85">
        <f>SUM(M336:M367)</f>
        <v>63592.857689999997</v>
      </c>
      <c r="N369" s="85">
        <f>SUM(N336:N367)</f>
        <v>3988.5307499999999</v>
      </c>
      <c r="O369" s="85">
        <f>SUM(O336:O367)</f>
        <v>0</v>
      </c>
      <c r="P369" s="85">
        <f>3988530/1000</f>
        <v>3988.53</v>
      </c>
      <c r="Q369" s="85">
        <f t="shared" ref="Q369:W369" si="40">SUM(Q336:Q367)</f>
        <v>0</v>
      </c>
      <c r="R369" s="85">
        <f t="shared" si="40"/>
        <v>0</v>
      </c>
      <c r="S369" s="85">
        <f t="shared" si="40"/>
        <v>0</v>
      </c>
      <c r="T369" s="85">
        <f t="shared" si="40"/>
        <v>0</v>
      </c>
      <c r="U369" s="85">
        <f t="shared" si="40"/>
        <v>3988.5307499999999</v>
      </c>
      <c r="V369" s="85">
        <f t="shared" si="40"/>
        <v>0</v>
      </c>
      <c r="W369" s="85">
        <f t="shared" si="40"/>
        <v>0</v>
      </c>
      <c r="X369" s="85">
        <f>+H369+P369</f>
        <v>142525.01722000001</v>
      </c>
      <c r="Y369" s="85">
        <f>SUM(Y336:Y367)</f>
        <v>0</v>
      </c>
      <c r="Z369" s="85">
        <f t="shared" si="39"/>
        <v>5.0247499999823049</v>
      </c>
      <c r="AA369" s="69">
        <f>SUM(AA336:AA367)</f>
        <v>67581.388439999995</v>
      </c>
      <c r="AB369" s="69">
        <f>SUM(AB336:AB367)</f>
        <v>5.024</v>
      </c>
    </row>
    <row r="370" spans="1:28" hidden="1" x14ac:dyDescent="0.3">
      <c r="A370" s="117"/>
      <c r="E370" s="86" t="s">
        <v>29</v>
      </c>
      <c r="F370" s="86" t="s">
        <v>29</v>
      </c>
      <c r="G370" s="86" t="s">
        <v>29</v>
      </c>
      <c r="H370" s="86" t="s">
        <v>29</v>
      </c>
      <c r="I370" s="86" t="s">
        <v>29</v>
      </c>
      <c r="J370" s="86" t="s">
        <v>29</v>
      </c>
      <c r="K370" s="86" t="s">
        <v>29</v>
      </c>
      <c r="L370" s="86" t="s">
        <v>29</v>
      </c>
      <c r="M370" s="86"/>
      <c r="N370" s="86"/>
      <c r="O370" s="86"/>
      <c r="P370" s="86"/>
      <c r="Q370" s="86"/>
      <c r="R370" s="86"/>
      <c r="S370" s="86"/>
      <c r="T370" s="86"/>
      <c r="U370" s="86"/>
      <c r="V370" s="86"/>
      <c r="W370" s="86"/>
      <c r="X370" s="85" t="e">
        <f t="shared" si="36"/>
        <v>#VALUE!</v>
      </c>
      <c r="Y370" s="86"/>
      <c r="Z370" s="85" t="e">
        <f t="shared" si="39"/>
        <v>#VALUE!</v>
      </c>
      <c r="AA370" s="115" t="s">
        <v>29</v>
      </c>
      <c r="AB370" s="115" t="s">
        <v>29</v>
      </c>
    </row>
    <row r="371" spans="1:28" hidden="1" x14ac:dyDescent="0.3">
      <c r="A371" s="105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6"/>
      <c r="S371" s="86"/>
      <c r="T371" s="94"/>
      <c r="U371" s="94"/>
      <c r="V371" s="94"/>
      <c r="W371" s="94"/>
      <c r="X371" s="85">
        <f t="shared" si="36"/>
        <v>0</v>
      </c>
      <c r="Y371" s="94"/>
      <c r="Z371" s="85">
        <f t="shared" si="39"/>
        <v>0</v>
      </c>
      <c r="AA371" s="118"/>
    </row>
    <row r="372" spans="1:28" hidden="1" x14ac:dyDescent="0.3">
      <c r="A372" s="117"/>
      <c r="C372" s="68" t="s">
        <v>581</v>
      </c>
      <c r="D372" s="87" t="s">
        <v>150</v>
      </c>
      <c r="E372" s="85">
        <f>STATS1003B!E373/1000</f>
        <v>2989.9219199999998</v>
      </c>
      <c r="F372" s="85">
        <f>STATS1003B!F373/1000</f>
        <v>2736.08853</v>
      </c>
      <c r="G372" s="85">
        <f>STATS1003B!G373/1000</f>
        <v>0</v>
      </c>
      <c r="H372" s="85">
        <f>STATS1003B!H373/1000</f>
        <v>2736.08853</v>
      </c>
      <c r="I372" s="85">
        <f>STATS1003B!I373/1000</f>
        <v>0</v>
      </c>
      <c r="J372" s="85">
        <f>STATS1003B!J373/1000</f>
        <v>2736.08853</v>
      </c>
      <c r="K372" s="85">
        <f>STATS1003B!K373/1000</f>
        <v>253.83339000000001</v>
      </c>
      <c r="L372" s="85">
        <f>STATS1003B!L373/1000</f>
        <v>0</v>
      </c>
      <c r="M372" s="85">
        <f>STATS1003B!M373/1000</f>
        <v>2736.08853</v>
      </c>
      <c r="N372" s="85">
        <f>STATS1003B!N373/1000</f>
        <v>253.83339000000001</v>
      </c>
      <c r="O372" s="85">
        <f>STATS1003B!O373/1000</f>
        <v>0</v>
      </c>
      <c r="P372" s="85">
        <f>STATS1003B!P373/1000</f>
        <v>253.83339000000001</v>
      </c>
      <c r="Q372" s="85">
        <f>STATS1003B!Q373/1000</f>
        <v>0</v>
      </c>
      <c r="R372" s="85">
        <f>STATS1003B!R373/1000</f>
        <v>0</v>
      </c>
      <c r="S372" s="85">
        <f>STATS1003B!S373/1000</f>
        <v>0</v>
      </c>
      <c r="T372" s="85">
        <f>STATS1003B!T373/1000</f>
        <v>0</v>
      </c>
      <c r="U372" s="85">
        <f>STATS1003B!U373/1000</f>
        <v>253.83339000000001</v>
      </c>
      <c r="V372" s="85">
        <f>STATS1003B!V373/1000</f>
        <v>0</v>
      </c>
      <c r="W372" s="85">
        <f>STATS1003B!W373/1000</f>
        <v>0</v>
      </c>
      <c r="X372" s="85">
        <f t="shared" si="36"/>
        <v>2989.9219199999998</v>
      </c>
      <c r="Y372" s="85">
        <f>STATS1003B!Y373/1000</f>
        <v>0</v>
      </c>
      <c r="Z372" s="85">
        <f t="shared" si="39"/>
        <v>0</v>
      </c>
      <c r="AA372" s="69">
        <f>STATS1003B!AA373/1000</f>
        <v>2989.9219199999998</v>
      </c>
      <c r="AB372" s="69">
        <f>STATS1003B!AB373/1000</f>
        <v>0</v>
      </c>
    </row>
    <row r="373" spans="1:28" hidden="1" x14ac:dyDescent="0.3">
      <c r="A373" s="117"/>
      <c r="C373" s="68" t="s">
        <v>535</v>
      </c>
      <c r="D373" s="87" t="s">
        <v>166</v>
      </c>
      <c r="E373" s="85">
        <f>STATS1003B!E374/1000</f>
        <v>700.59167000000002</v>
      </c>
      <c r="F373" s="85">
        <f>STATS1003B!F374/1000</f>
        <v>260.596</v>
      </c>
      <c r="G373" s="85">
        <f>STATS1003B!G374/1000</f>
        <v>0</v>
      </c>
      <c r="H373" s="85">
        <f>STATS1003B!H374/1000</f>
        <v>260.596</v>
      </c>
      <c r="I373" s="85">
        <f>STATS1003B!I374/1000</f>
        <v>0</v>
      </c>
      <c r="J373" s="85">
        <f>STATS1003B!J374/1000</f>
        <v>260.596</v>
      </c>
      <c r="K373" s="85">
        <f>STATS1003B!K374/1000</f>
        <v>439.99567000000002</v>
      </c>
      <c r="L373" s="85">
        <f>STATS1003B!L374/1000</f>
        <v>0</v>
      </c>
      <c r="M373" s="85">
        <f>STATS1003B!M374/1000</f>
        <v>260.596</v>
      </c>
      <c r="N373" s="85">
        <f>STATS1003B!N374/1000</f>
        <v>439.99566999999996</v>
      </c>
      <c r="O373" s="85">
        <f>STATS1003B!O374/1000</f>
        <v>0</v>
      </c>
      <c r="P373" s="85">
        <f>STATS1003B!P374/1000</f>
        <v>439.99566999999996</v>
      </c>
      <c r="Q373" s="85">
        <f>STATS1003B!Q374/1000</f>
        <v>0</v>
      </c>
      <c r="R373" s="85">
        <f>STATS1003B!R374/1000</f>
        <v>0</v>
      </c>
      <c r="S373" s="85">
        <f>STATS1003B!S374/1000</f>
        <v>0</v>
      </c>
      <c r="T373" s="85">
        <f>STATS1003B!T374/1000</f>
        <v>0</v>
      </c>
      <c r="U373" s="85">
        <f>STATS1003B!U374/1000</f>
        <v>439.99566999999996</v>
      </c>
      <c r="V373" s="85">
        <f>STATS1003B!V374/1000</f>
        <v>0</v>
      </c>
      <c r="W373" s="85">
        <f>STATS1003B!W374/1000</f>
        <v>0</v>
      </c>
      <c r="X373" s="85">
        <f t="shared" si="36"/>
        <v>700.59167000000002</v>
      </c>
      <c r="Y373" s="85">
        <f>STATS1003B!Y374/1000</f>
        <v>0</v>
      </c>
      <c r="Z373" s="85">
        <f t="shared" si="39"/>
        <v>0</v>
      </c>
      <c r="AA373" s="69">
        <f>STATS1003B!AA374/1000</f>
        <v>700.59166999999991</v>
      </c>
      <c r="AB373" s="69">
        <f>STATS1003B!AB374/1000</f>
        <v>0</v>
      </c>
    </row>
    <row r="374" spans="1:28" hidden="1" x14ac:dyDescent="0.3">
      <c r="A374" s="117"/>
      <c r="C374" s="68" t="s">
        <v>535</v>
      </c>
      <c r="D374" s="87" t="s">
        <v>68</v>
      </c>
      <c r="E374" s="85">
        <f>STATS1003B!E375/1000</f>
        <v>890.42700000000002</v>
      </c>
      <c r="F374" s="85">
        <f>STATS1003B!F375/1000</f>
        <v>890.42700000000002</v>
      </c>
      <c r="G374" s="85">
        <f>STATS1003B!G375/1000</f>
        <v>0</v>
      </c>
      <c r="H374" s="85">
        <f>STATS1003B!H375/1000</f>
        <v>890.42700000000002</v>
      </c>
      <c r="I374" s="85">
        <f>STATS1003B!I375/1000</f>
        <v>0</v>
      </c>
      <c r="J374" s="85">
        <f>STATS1003B!J375/1000</f>
        <v>890.42700000000002</v>
      </c>
      <c r="K374" s="85">
        <f>STATS1003B!K375/1000</f>
        <v>0</v>
      </c>
      <c r="L374" s="85">
        <f>STATS1003B!L375/1000</f>
        <v>0</v>
      </c>
      <c r="M374" s="85">
        <f>STATS1003B!M375/1000</f>
        <v>890.42700000000002</v>
      </c>
      <c r="N374" s="85">
        <f>STATS1003B!N375/1000</f>
        <v>0</v>
      </c>
      <c r="O374" s="85">
        <f>STATS1003B!O375/1000</f>
        <v>0</v>
      </c>
      <c r="P374" s="85">
        <f>STATS1003B!P375/1000</f>
        <v>0</v>
      </c>
      <c r="Q374" s="85">
        <f>STATS1003B!Q375/1000</f>
        <v>0</v>
      </c>
      <c r="R374" s="85">
        <f>STATS1003B!R375/1000</f>
        <v>0</v>
      </c>
      <c r="S374" s="85">
        <f>STATS1003B!S375/1000</f>
        <v>0</v>
      </c>
      <c r="T374" s="85">
        <f>STATS1003B!T375/1000</f>
        <v>0</v>
      </c>
      <c r="U374" s="85">
        <f>STATS1003B!U375/1000</f>
        <v>0</v>
      </c>
      <c r="V374" s="85">
        <f>STATS1003B!V375/1000</f>
        <v>0</v>
      </c>
      <c r="W374" s="85">
        <f>STATS1003B!W375/1000</f>
        <v>0</v>
      </c>
      <c r="X374" s="85">
        <f t="shared" si="36"/>
        <v>890.42700000000002</v>
      </c>
      <c r="Y374" s="85">
        <f>STATS1003B!Y375/1000</f>
        <v>0</v>
      </c>
      <c r="Z374" s="85">
        <f t="shared" si="39"/>
        <v>0</v>
      </c>
      <c r="AA374" s="69">
        <f>STATS1003B!AA375/1000</f>
        <v>890.42700000000002</v>
      </c>
      <c r="AB374" s="69">
        <f>STATS1003B!AB375/1000</f>
        <v>0</v>
      </c>
    </row>
    <row r="375" spans="1:28" hidden="1" x14ac:dyDescent="0.3">
      <c r="A375" s="117"/>
      <c r="C375" s="68" t="s">
        <v>539</v>
      </c>
      <c r="D375" s="87" t="s">
        <v>68</v>
      </c>
      <c r="E375" s="85">
        <f>STATS1003B!E376/1000</f>
        <v>4677.4075999999995</v>
      </c>
      <c r="F375" s="85">
        <f>STATS1003B!F376/1000</f>
        <v>0</v>
      </c>
      <c r="G375" s="85">
        <f>STATS1003B!G376/1000</f>
        <v>0</v>
      </c>
      <c r="H375" s="85">
        <f>STATS1003B!H376/1000</f>
        <v>0</v>
      </c>
      <c r="I375" s="85">
        <f>STATS1003B!I376/1000</f>
        <v>0</v>
      </c>
      <c r="J375" s="85">
        <f>STATS1003B!J376/1000</f>
        <v>0</v>
      </c>
      <c r="K375" s="85">
        <f>STATS1003B!K376/1000</f>
        <v>4677.4075999999995</v>
      </c>
      <c r="L375" s="85">
        <f>STATS1003B!L376/1000</f>
        <v>0</v>
      </c>
      <c r="M375" s="85">
        <f>STATS1003B!M376/1000</f>
        <v>0</v>
      </c>
      <c r="N375" s="85">
        <f>STATS1003B!N376/1000</f>
        <v>4677.4075999999995</v>
      </c>
      <c r="O375" s="85">
        <f>STATS1003B!O376/1000</f>
        <v>0</v>
      </c>
      <c r="P375" s="85">
        <f>STATS1003B!P376/1000</f>
        <v>4677.4075999999995</v>
      </c>
      <c r="Q375" s="85">
        <f>STATS1003B!Q376/1000</f>
        <v>0</v>
      </c>
      <c r="R375" s="85">
        <f>STATS1003B!R376/1000</f>
        <v>0</v>
      </c>
      <c r="S375" s="85">
        <f>STATS1003B!S376/1000</f>
        <v>0</v>
      </c>
      <c r="T375" s="85">
        <f>STATS1003B!T376/1000</f>
        <v>0</v>
      </c>
      <c r="U375" s="85">
        <f>STATS1003B!U376/1000</f>
        <v>4677.4075999999995</v>
      </c>
      <c r="V375" s="85">
        <f>STATS1003B!V376/1000</f>
        <v>0</v>
      </c>
      <c r="W375" s="85">
        <f>STATS1003B!W376/1000</f>
        <v>0</v>
      </c>
      <c r="X375" s="85">
        <f t="shared" si="36"/>
        <v>4677.4075999999995</v>
      </c>
      <c r="Y375" s="85">
        <f>STATS1003B!Y376/1000</f>
        <v>0</v>
      </c>
      <c r="Z375" s="85">
        <f t="shared" si="39"/>
        <v>0</v>
      </c>
      <c r="AA375" s="69">
        <f>STATS1003B!AA376/1000</f>
        <v>4677.4075999999995</v>
      </c>
      <c r="AB375" s="69">
        <f>STATS1003B!AB376/1000</f>
        <v>0</v>
      </c>
    </row>
    <row r="376" spans="1:28" hidden="1" x14ac:dyDescent="0.3">
      <c r="A376" s="117"/>
      <c r="C376" s="68" t="s">
        <v>535</v>
      </c>
      <c r="D376" s="87" t="s">
        <v>54</v>
      </c>
      <c r="E376" s="85">
        <f>STATS1003B!E377/1000</f>
        <v>309.45</v>
      </c>
      <c r="F376" s="85">
        <f>STATS1003B!F377/1000</f>
        <v>309.45</v>
      </c>
      <c r="G376" s="85">
        <f>STATS1003B!G377/1000</f>
        <v>0</v>
      </c>
      <c r="H376" s="85">
        <f>STATS1003B!H377/1000</f>
        <v>309.45</v>
      </c>
      <c r="I376" s="85">
        <f>STATS1003B!I377/1000</f>
        <v>0</v>
      </c>
      <c r="J376" s="85">
        <f>STATS1003B!J377/1000</f>
        <v>309.45</v>
      </c>
      <c r="K376" s="85">
        <f>STATS1003B!K377/1000</f>
        <v>0</v>
      </c>
      <c r="L376" s="85">
        <f>STATS1003B!L377/1000</f>
        <v>0</v>
      </c>
      <c r="M376" s="85">
        <f>STATS1003B!M377/1000</f>
        <v>309.45</v>
      </c>
      <c r="N376" s="85">
        <f>STATS1003B!N377/1000</f>
        <v>0</v>
      </c>
      <c r="O376" s="85">
        <f>STATS1003B!O377/1000</f>
        <v>0</v>
      </c>
      <c r="P376" s="85">
        <f>STATS1003B!P377/1000</f>
        <v>0</v>
      </c>
      <c r="Q376" s="85">
        <f>STATS1003B!Q377/1000</f>
        <v>0</v>
      </c>
      <c r="R376" s="85">
        <f>STATS1003B!R377/1000</f>
        <v>0</v>
      </c>
      <c r="S376" s="85">
        <f>STATS1003B!S377/1000</f>
        <v>0</v>
      </c>
      <c r="T376" s="85">
        <f>STATS1003B!T377/1000</f>
        <v>0</v>
      </c>
      <c r="U376" s="85">
        <f>STATS1003B!U377/1000</f>
        <v>0</v>
      </c>
      <c r="V376" s="85">
        <f>STATS1003B!V377/1000</f>
        <v>0</v>
      </c>
      <c r="W376" s="85">
        <f>STATS1003B!W377/1000</f>
        <v>0</v>
      </c>
      <c r="X376" s="85">
        <f t="shared" si="36"/>
        <v>309.45</v>
      </c>
      <c r="Y376" s="85">
        <f>STATS1003B!Y377/1000</f>
        <v>0</v>
      </c>
      <c r="Z376" s="85">
        <f t="shared" si="39"/>
        <v>0</v>
      </c>
      <c r="AA376" s="69">
        <f>STATS1003B!AA377/1000</f>
        <v>309.45</v>
      </c>
      <c r="AB376" s="69">
        <f>STATS1003B!AB377/1000</f>
        <v>0</v>
      </c>
    </row>
    <row r="377" spans="1:28" hidden="1" x14ac:dyDescent="0.3">
      <c r="A377" s="117"/>
      <c r="C377" s="68" t="s">
        <v>582</v>
      </c>
      <c r="D377" s="87" t="s">
        <v>54</v>
      </c>
      <c r="E377" s="85">
        <f>STATS1003B!E378/1000</f>
        <v>1588.7</v>
      </c>
      <c r="F377" s="85">
        <f>STATS1003B!F378/1000</f>
        <v>1588.7</v>
      </c>
      <c r="G377" s="85">
        <f>STATS1003B!G378/1000</f>
        <v>0</v>
      </c>
      <c r="H377" s="85">
        <f>STATS1003B!H378/1000</f>
        <v>1588.7</v>
      </c>
      <c r="I377" s="85">
        <f>STATS1003B!I378/1000</f>
        <v>0</v>
      </c>
      <c r="J377" s="85">
        <f>STATS1003B!J378/1000</f>
        <v>1588.7</v>
      </c>
      <c r="K377" s="85">
        <f>STATS1003B!K378/1000</f>
        <v>0</v>
      </c>
      <c r="L377" s="85">
        <f>STATS1003B!L378/1000</f>
        <v>0</v>
      </c>
      <c r="M377" s="85">
        <f>STATS1003B!M378/1000</f>
        <v>1588.7</v>
      </c>
      <c r="N377" s="85">
        <f>STATS1003B!N378/1000</f>
        <v>0</v>
      </c>
      <c r="O377" s="85">
        <f>STATS1003B!O378/1000</f>
        <v>0</v>
      </c>
      <c r="P377" s="85">
        <f>STATS1003B!P378/1000</f>
        <v>0</v>
      </c>
      <c r="Q377" s="85">
        <f>STATS1003B!Q378/1000</f>
        <v>0</v>
      </c>
      <c r="R377" s="85">
        <f>STATS1003B!R378/1000</f>
        <v>0</v>
      </c>
      <c r="S377" s="85">
        <f>STATS1003B!S378/1000</f>
        <v>0</v>
      </c>
      <c r="T377" s="85">
        <f>STATS1003B!T378/1000</f>
        <v>0</v>
      </c>
      <c r="U377" s="85">
        <f>STATS1003B!U378/1000</f>
        <v>0</v>
      </c>
      <c r="V377" s="85">
        <f>STATS1003B!V378/1000</f>
        <v>0</v>
      </c>
      <c r="W377" s="85">
        <f>STATS1003B!W378/1000</f>
        <v>0</v>
      </c>
      <c r="X377" s="85">
        <f t="shared" si="36"/>
        <v>1588.7</v>
      </c>
      <c r="Y377" s="85">
        <f>STATS1003B!Y378/1000</f>
        <v>0</v>
      </c>
      <c r="Z377" s="85">
        <f t="shared" si="39"/>
        <v>0</v>
      </c>
      <c r="AA377" s="69">
        <f>STATS1003B!AA378/1000</f>
        <v>1588.7</v>
      </c>
      <c r="AB377" s="69">
        <f>STATS1003B!AB378/1000</f>
        <v>0</v>
      </c>
    </row>
    <row r="378" spans="1:28" hidden="1" x14ac:dyDescent="0.3">
      <c r="A378" s="117"/>
      <c r="C378" s="68" t="s">
        <v>571</v>
      </c>
      <c r="D378" s="87" t="s">
        <v>54</v>
      </c>
      <c r="E378" s="85">
        <f>STATS1003B!E379/1000</f>
        <v>950</v>
      </c>
      <c r="F378" s="85">
        <f>STATS1003B!F379/1000</f>
        <v>950</v>
      </c>
      <c r="G378" s="85">
        <f>STATS1003B!G379/1000</f>
        <v>0</v>
      </c>
      <c r="H378" s="85">
        <f>STATS1003B!H379/1000</f>
        <v>950</v>
      </c>
      <c r="I378" s="85">
        <f>STATS1003B!I379/1000</f>
        <v>0</v>
      </c>
      <c r="J378" s="85">
        <f>STATS1003B!J379/1000</f>
        <v>950</v>
      </c>
      <c r="K378" s="85">
        <f>STATS1003B!K379/1000</f>
        <v>0</v>
      </c>
      <c r="L378" s="85">
        <f>STATS1003B!L379/1000</f>
        <v>0</v>
      </c>
      <c r="M378" s="85">
        <f>STATS1003B!M379/1000</f>
        <v>950</v>
      </c>
      <c r="N378" s="85">
        <f>STATS1003B!N379/1000</f>
        <v>0</v>
      </c>
      <c r="O378" s="85">
        <f>STATS1003B!O379/1000</f>
        <v>0</v>
      </c>
      <c r="P378" s="85">
        <f>STATS1003B!P379/1000</f>
        <v>0</v>
      </c>
      <c r="Q378" s="85">
        <f>STATS1003B!Q379/1000</f>
        <v>0</v>
      </c>
      <c r="R378" s="85">
        <f>STATS1003B!R379/1000</f>
        <v>0</v>
      </c>
      <c r="S378" s="85">
        <f>STATS1003B!S379/1000</f>
        <v>0</v>
      </c>
      <c r="T378" s="85">
        <f>STATS1003B!T379/1000</f>
        <v>0</v>
      </c>
      <c r="U378" s="85">
        <f>STATS1003B!U379/1000</f>
        <v>0</v>
      </c>
      <c r="V378" s="85">
        <f>STATS1003B!V379/1000</f>
        <v>0</v>
      </c>
      <c r="W378" s="85">
        <f>STATS1003B!W379/1000</f>
        <v>0</v>
      </c>
      <c r="X378" s="85">
        <f t="shared" si="36"/>
        <v>950</v>
      </c>
      <c r="Y378" s="85">
        <f>STATS1003B!Y379/1000</f>
        <v>0</v>
      </c>
      <c r="Z378" s="85">
        <f t="shared" si="39"/>
        <v>0</v>
      </c>
      <c r="AA378" s="69">
        <f>STATS1003B!AA379/1000</f>
        <v>950</v>
      </c>
      <c r="AB378" s="69">
        <f>STATS1003B!AB379/1000</f>
        <v>0</v>
      </c>
    </row>
    <row r="379" spans="1:28" hidden="1" x14ac:dyDescent="0.3">
      <c r="A379" s="117"/>
      <c r="C379" s="68" t="s">
        <v>583</v>
      </c>
      <c r="D379" s="87" t="s">
        <v>54</v>
      </c>
      <c r="E379" s="85">
        <f>STATS1003B!E380/1000</f>
        <v>2076.4460199999999</v>
      </c>
      <c r="F379" s="85">
        <f>STATS1003B!F380/1000</f>
        <v>1812.0516100000002</v>
      </c>
      <c r="G379" s="85">
        <f>STATS1003B!G380/1000</f>
        <v>0</v>
      </c>
      <c r="H379" s="85">
        <f>STATS1003B!H380/1000</f>
        <v>1812.0516100000002</v>
      </c>
      <c r="I379" s="85" t="e">
        <f>STATS1003B!I380/1000</f>
        <v>#VALUE!</v>
      </c>
      <c r="J379" s="85">
        <f>STATS1003B!J380/1000</f>
        <v>1812.0516100000002</v>
      </c>
      <c r="K379" s="85">
        <f>STATS1003B!K380/1000</f>
        <v>142.16556</v>
      </c>
      <c r="L379" s="85">
        <f>STATS1003B!L380/1000</f>
        <v>0</v>
      </c>
      <c r="M379" s="85">
        <f>STATS1003B!M380/1000</f>
        <v>1812.0516100000002</v>
      </c>
      <c r="N379" s="85">
        <f>STATS1003B!N380/1000</f>
        <v>142.16556</v>
      </c>
      <c r="O379" s="85">
        <f>STATS1003B!O380/1000</f>
        <v>0</v>
      </c>
      <c r="P379" s="85">
        <f>STATS1003B!P380/1000</f>
        <v>142.16556</v>
      </c>
      <c r="Q379" s="85">
        <f>STATS1003B!Q380/1000</f>
        <v>0</v>
      </c>
      <c r="R379" s="85">
        <f>STATS1003B!R380/1000</f>
        <v>0</v>
      </c>
      <c r="S379" s="85">
        <f>STATS1003B!S380/1000</f>
        <v>0</v>
      </c>
      <c r="T379" s="85">
        <f>STATS1003B!T380/1000</f>
        <v>0</v>
      </c>
      <c r="U379" s="85">
        <f>STATS1003B!U380/1000</f>
        <v>142.16556</v>
      </c>
      <c r="V379" s="85">
        <f>STATS1003B!V380/1000</f>
        <v>0</v>
      </c>
      <c r="W379" s="85">
        <f>STATS1003B!W380/1000</f>
        <v>0</v>
      </c>
      <c r="X379" s="85">
        <f t="shared" si="36"/>
        <v>1954.2171700000001</v>
      </c>
      <c r="Y379" s="85">
        <f>STATS1003B!Y380/1000</f>
        <v>0</v>
      </c>
      <c r="Z379" s="85">
        <f t="shared" si="39"/>
        <v>122.22884999999974</v>
      </c>
      <c r="AA379" s="69">
        <f>STATS1003B!AA380/1000</f>
        <v>1954.2171700000001</v>
      </c>
      <c r="AB379" s="69">
        <f>STATS1003B!AB380/1000</f>
        <v>122.22884999999987</v>
      </c>
    </row>
    <row r="380" spans="1:28" hidden="1" x14ac:dyDescent="0.3">
      <c r="A380" s="117"/>
      <c r="C380" s="68" t="s">
        <v>545</v>
      </c>
      <c r="D380" s="87" t="s">
        <v>54</v>
      </c>
      <c r="E380" s="85">
        <f>STATS1003B!E381/1000</f>
        <v>1953.989</v>
      </c>
      <c r="F380" s="85">
        <f>STATS1003B!F381/1000</f>
        <v>0</v>
      </c>
      <c r="G380" s="85">
        <f>STATS1003B!G381/1000</f>
        <v>0</v>
      </c>
      <c r="H380" s="85">
        <f>STATS1003B!H381/1000</f>
        <v>0</v>
      </c>
      <c r="I380" s="85">
        <f>STATS1003B!I381/1000</f>
        <v>0</v>
      </c>
      <c r="J380" s="85">
        <f>STATS1003B!J381/1000</f>
        <v>0</v>
      </c>
      <c r="K380" s="85">
        <f>STATS1003B!K381/1000</f>
        <v>1953.989</v>
      </c>
      <c r="L380" s="85">
        <f>STATS1003B!L381/1000</f>
        <v>0</v>
      </c>
      <c r="M380" s="85">
        <f>STATS1003B!M381/1000</f>
        <v>0</v>
      </c>
      <c r="N380" s="85">
        <f>STATS1003B!N381/1000</f>
        <v>1953.989</v>
      </c>
      <c r="O380" s="85">
        <f>STATS1003B!O381/1000</f>
        <v>0</v>
      </c>
      <c r="P380" s="85">
        <f>STATS1003B!P381/1000</f>
        <v>1953.989</v>
      </c>
      <c r="Q380" s="85">
        <f>STATS1003B!Q381/1000</f>
        <v>0</v>
      </c>
      <c r="R380" s="85">
        <f>STATS1003B!R381/1000</f>
        <v>0</v>
      </c>
      <c r="S380" s="85">
        <f>STATS1003B!S381/1000</f>
        <v>0</v>
      </c>
      <c r="T380" s="85">
        <f>STATS1003B!T381/1000</f>
        <v>0</v>
      </c>
      <c r="U380" s="85">
        <f>STATS1003B!U381/1000</f>
        <v>1953.989</v>
      </c>
      <c r="V380" s="85">
        <f>STATS1003B!V381/1000</f>
        <v>0</v>
      </c>
      <c r="W380" s="85">
        <f>STATS1003B!W381/1000</f>
        <v>0</v>
      </c>
      <c r="X380" s="85">
        <f t="shared" si="36"/>
        <v>1953.989</v>
      </c>
      <c r="Y380" s="85">
        <f>STATS1003B!Y381/1000</f>
        <v>0</v>
      </c>
      <c r="Z380" s="85">
        <f t="shared" si="39"/>
        <v>0</v>
      </c>
      <c r="AA380" s="69">
        <f>STATS1003B!AA381/1000</f>
        <v>1953.989</v>
      </c>
      <c r="AB380" s="69">
        <f>STATS1003B!AB381/1000</f>
        <v>0</v>
      </c>
    </row>
    <row r="381" spans="1:28" hidden="1" x14ac:dyDescent="0.3">
      <c r="A381" s="117"/>
      <c r="C381" s="68" t="s">
        <v>583</v>
      </c>
      <c r="D381" s="87" t="s">
        <v>85</v>
      </c>
      <c r="E381" s="85">
        <f>STATS1003B!E382/1000</f>
        <v>1990</v>
      </c>
      <c r="F381" s="85">
        <f>STATS1003B!F382/1000</f>
        <v>1990</v>
      </c>
      <c r="G381" s="85">
        <f>STATS1003B!G382/1000</f>
        <v>0</v>
      </c>
      <c r="H381" s="85">
        <f>STATS1003B!H382/1000</f>
        <v>1990</v>
      </c>
      <c r="I381" s="85">
        <f>STATS1003B!I382/1000</f>
        <v>0</v>
      </c>
      <c r="J381" s="85">
        <f>STATS1003B!J382/1000</f>
        <v>1990</v>
      </c>
      <c r="K381" s="85">
        <f>STATS1003B!K382/1000</f>
        <v>0</v>
      </c>
      <c r="L381" s="85">
        <f>STATS1003B!L382/1000</f>
        <v>0</v>
      </c>
      <c r="M381" s="85">
        <f>STATS1003B!M382/1000</f>
        <v>1990</v>
      </c>
      <c r="N381" s="85">
        <f>STATS1003B!N382/1000</f>
        <v>0</v>
      </c>
      <c r="O381" s="85">
        <f>STATS1003B!O382/1000</f>
        <v>0</v>
      </c>
      <c r="P381" s="85">
        <f>STATS1003B!P382/1000</f>
        <v>0</v>
      </c>
      <c r="Q381" s="85">
        <f>STATS1003B!Q382/1000</f>
        <v>0</v>
      </c>
      <c r="R381" s="85">
        <f>STATS1003B!R382/1000</f>
        <v>0</v>
      </c>
      <c r="S381" s="85">
        <f>STATS1003B!S382/1000</f>
        <v>0</v>
      </c>
      <c r="T381" s="85">
        <f>STATS1003B!T382/1000</f>
        <v>0</v>
      </c>
      <c r="U381" s="85">
        <f>STATS1003B!U382/1000</f>
        <v>0</v>
      </c>
      <c r="V381" s="85">
        <f>STATS1003B!V382/1000</f>
        <v>0</v>
      </c>
      <c r="W381" s="85">
        <f>STATS1003B!W382/1000</f>
        <v>0</v>
      </c>
      <c r="X381" s="85">
        <f t="shared" si="36"/>
        <v>1990</v>
      </c>
      <c r="Y381" s="85">
        <f>STATS1003B!Y382/1000</f>
        <v>0</v>
      </c>
      <c r="Z381" s="85">
        <f t="shared" si="39"/>
        <v>0</v>
      </c>
      <c r="AA381" s="69">
        <f>STATS1003B!AA382/1000</f>
        <v>1990</v>
      </c>
      <c r="AB381" s="69">
        <f>STATS1003B!AB382/1000</f>
        <v>0</v>
      </c>
    </row>
    <row r="382" spans="1:28" hidden="1" x14ac:dyDescent="0.3">
      <c r="A382" s="117"/>
      <c r="C382" s="68" t="s">
        <v>571</v>
      </c>
      <c r="D382" s="87" t="s">
        <v>85</v>
      </c>
      <c r="E382" s="85">
        <f>STATS1003B!E383/1000</f>
        <v>700</v>
      </c>
      <c r="F382" s="85">
        <f>STATS1003B!F383/1000</f>
        <v>700</v>
      </c>
      <c r="G382" s="85">
        <f>STATS1003B!G383/1000</f>
        <v>0</v>
      </c>
      <c r="H382" s="85">
        <f>STATS1003B!H383/1000</f>
        <v>700</v>
      </c>
      <c r="I382" s="85">
        <f>STATS1003B!I383/1000</f>
        <v>0</v>
      </c>
      <c r="J382" s="85">
        <f>STATS1003B!J383/1000</f>
        <v>700</v>
      </c>
      <c r="K382" s="85">
        <f>STATS1003B!K383/1000</f>
        <v>0</v>
      </c>
      <c r="L382" s="85">
        <f>STATS1003B!L383/1000</f>
        <v>0</v>
      </c>
      <c r="M382" s="85">
        <f>STATS1003B!M383/1000</f>
        <v>700</v>
      </c>
      <c r="N382" s="85">
        <f>STATS1003B!N383/1000</f>
        <v>0</v>
      </c>
      <c r="O382" s="85">
        <f>STATS1003B!O383/1000</f>
        <v>0</v>
      </c>
      <c r="P382" s="85">
        <f>STATS1003B!P383/1000</f>
        <v>0</v>
      </c>
      <c r="Q382" s="85">
        <f>STATS1003B!Q383/1000</f>
        <v>0</v>
      </c>
      <c r="R382" s="85">
        <f>STATS1003B!R383/1000</f>
        <v>0</v>
      </c>
      <c r="S382" s="85">
        <f>STATS1003B!S383/1000</f>
        <v>0</v>
      </c>
      <c r="T382" s="85">
        <f>STATS1003B!T383/1000</f>
        <v>0</v>
      </c>
      <c r="U382" s="85">
        <f>STATS1003B!U383/1000</f>
        <v>0</v>
      </c>
      <c r="V382" s="85">
        <f>STATS1003B!V383/1000</f>
        <v>0</v>
      </c>
      <c r="W382" s="85">
        <f>STATS1003B!W383/1000</f>
        <v>0</v>
      </c>
      <c r="X382" s="85">
        <f t="shared" si="36"/>
        <v>700</v>
      </c>
      <c r="Y382" s="85">
        <f>STATS1003B!Y383/1000</f>
        <v>0</v>
      </c>
      <c r="Z382" s="85">
        <f t="shared" si="39"/>
        <v>0</v>
      </c>
      <c r="AA382" s="69">
        <f>STATS1003B!AA383/1000</f>
        <v>700</v>
      </c>
      <c r="AB382" s="69">
        <f>STATS1003B!AB383/1000</f>
        <v>0</v>
      </c>
    </row>
    <row r="383" spans="1:28" hidden="1" x14ac:dyDescent="0.3">
      <c r="A383" s="117"/>
      <c r="C383" s="68" t="s">
        <v>585</v>
      </c>
      <c r="D383" s="87" t="s">
        <v>128</v>
      </c>
      <c r="E383" s="85">
        <f>STATS1003B!E384/1000</f>
        <v>674.6</v>
      </c>
      <c r="F383" s="85">
        <f>STATS1003B!F384/1000</f>
        <v>616.35</v>
      </c>
      <c r="G383" s="85">
        <f>STATS1003B!G384/1000</f>
        <v>0</v>
      </c>
      <c r="H383" s="85">
        <f>STATS1003B!H384/1000</f>
        <v>616.35</v>
      </c>
      <c r="I383" s="85">
        <f>STATS1003B!I384/1000</f>
        <v>0</v>
      </c>
      <c r="J383" s="85">
        <f>STATS1003B!J384/1000</f>
        <v>616.35</v>
      </c>
      <c r="K383" s="85">
        <f>STATS1003B!K384/1000</f>
        <v>0</v>
      </c>
      <c r="L383" s="85">
        <f>STATS1003B!L384/1000</f>
        <v>0</v>
      </c>
      <c r="M383" s="85">
        <f>STATS1003B!M384/1000</f>
        <v>616.35</v>
      </c>
      <c r="N383" s="85">
        <f>STATS1003B!N384/1000</f>
        <v>0</v>
      </c>
      <c r="O383" s="85">
        <f>STATS1003B!O384/1000</f>
        <v>0</v>
      </c>
      <c r="P383" s="85">
        <f>STATS1003B!P384/1000</f>
        <v>0</v>
      </c>
      <c r="Q383" s="85">
        <f>STATS1003B!Q384/1000</f>
        <v>0</v>
      </c>
      <c r="R383" s="85">
        <f>STATS1003B!R384/1000</f>
        <v>0</v>
      </c>
      <c r="S383" s="85">
        <f>STATS1003B!S384/1000</f>
        <v>0</v>
      </c>
      <c r="T383" s="85">
        <f>STATS1003B!T384/1000</f>
        <v>0</v>
      </c>
      <c r="U383" s="85">
        <f>STATS1003B!U384/1000</f>
        <v>0</v>
      </c>
      <c r="V383" s="85">
        <f>STATS1003B!V384/1000</f>
        <v>0</v>
      </c>
      <c r="W383" s="85">
        <f>STATS1003B!W384/1000</f>
        <v>0</v>
      </c>
      <c r="X383" s="85">
        <f t="shared" si="36"/>
        <v>616.35</v>
      </c>
      <c r="Y383" s="85">
        <f>STATS1003B!Y384/1000</f>
        <v>0</v>
      </c>
      <c r="Z383" s="85">
        <f t="shared" si="39"/>
        <v>58.25</v>
      </c>
      <c r="AA383" s="69">
        <f>STATS1003B!AA384/1000</f>
        <v>616.35</v>
      </c>
      <c r="AB383" s="69">
        <f>STATS1003B!AB384/1000</f>
        <v>58.25</v>
      </c>
    </row>
    <row r="384" spans="1:28" hidden="1" x14ac:dyDescent="0.3">
      <c r="A384" s="117"/>
      <c r="C384" s="68" t="s">
        <v>586</v>
      </c>
      <c r="D384" s="87" t="s">
        <v>128</v>
      </c>
      <c r="E384" s="85">
        <f>STATS1003B!E385/1000</f>
        <v>640</v>
      </c>
      <c r="F384" s="85">
        <f>STATS1003B!F385/1000</f>
        <v>640</v>
      </c>
      <c r="G384" s="85">
        <f>STATS1003B!G385/1000</f>
        <v>0</v>
      </c>
      <c r="H384" s="85">
        <f>STATS1003B!H385/1000</f>
        <v>640</v>
      </c>
      <c r="I384" s="85">
        <f>STATS1003B!I385/1000</f>
        <v>0</v>
      </c>
      <c r="J384" s="85">
        <f>STATS1003B!J385/1000</f>
        <v>640</v>
      </c>
      <c r="K384" s="85">
        <f>STATS1003B!K385/1000</f>
        <v>0</v>
      </c>
      <c r="L384" s="85">
        <f>STATS1003B!L385/1000</f>
        <v>0</v>
      </c>
      <c r="M384" s="85">
        <f>STATS1003B!M385/1000</f>
        <v>640</v>
      </c>
      <c r="N384" s="85">
        <f>STATS1003B!N385/1000</f>
        <v>0</v>
      </c>
      <c r="O384" s="85">
        <f>STATS1003B!O385/1000</f>
        <v>0</v>
      </c>
      <c r="P384" s="85">
        <f>STATS1003B!P385/1000</f>
        <v>0</v>
      </c>
      <c r="Q384" s="85">
        <f>STATS1003B!Q385/1000</f>
        <v>0</v>
      </c>
      <c r="R384" s="85">
        <f>STATS1003B!R385/1000</f>
        <v>0</v>
      </c>
      <c r="S384" s="85">
        <f>STATS1003B!S385/1000</f>
        <v>0</v>
      </c>
      <c r="T384" s="85">
        <f>STATS1003B!T385/1000</f>
        <v>0</v>
      </c>
      <c r="U384" s="85">
        <f>STATS1003B!U385/1000</f>
        <v>0</v>
      </c>
      <c r="V384" s="85">
        <f>STATS1003B!V385/1000</f>
        <v>0</v>
      </c>
      <c r="W384" s="85">
        <f>STATS1003B!W385/1000</f>
        <v>0</v>
      </c>
      <c r="X384" s="85">
        <f t="shared" si="36"/>
        <v>640</v>
      </c>
      <c r="Y384" s="85">
        <f>STATS1003B!Y385/1000</f>
        <v>0</v>
      </c>
      <c r="Z384" s="85">
        <f t="shared" si="39"/>
        <v>0</v>
      </c>
      <c r="AA384" s="69">
        <f>STATS1003B!AA385/1000</f>
        <v>640</v>
      </c>
      <c r="AB384" s="69">
        <f>STATS1003B!AB385/1000</f>
        <v>0</v>
      </c>
    </row>
    <row r="385" spans="1:28" hidden="1" x14ac:dyDescent="0.3">
      <c r="A385" s="117"/>
      <c r="C385" s="68" t="s">
        <v>535</v>
      </c>
      <c r="D385" s="87" t="s">
        <v>88</v>
      </c>
      <c r="E385" s="85">
        <f>STATS1003B!E386/1000</f>
        <v>2607.0169999999998</v>
      </c>
      <c r="F385" s="85">
        <f>STATS1003B!F386/1000</f>
        <v>2607.0169999999998</v>
      </c>
      <c r="G385" s="85">
        <f>STATS1003B!G386/1000</f>
        <v>0</v>
      </c>
      <c r="H385" s="85">
        <f>STATS1003B!H386/1000</f>
        <v>2607.0169999999998</v>
      </c>
      <c r="I385" s="85">
        <f>STATS1003B!I386/1000</f>
        <v>0</v>
      </c>
      <c r="J385" s="85">
        <f>STATS1003B!J386/1000</f>
        <v>2607.0169999999998</v>
      </c>
      <c r="K385" s="85">
        <f>STATS1003B!K386/1000</f>
        <v>0</v>
      </c>
      <c r="L385" s="85">
        <f>STATS1003B!L386/1000</f>
        <v>0</v>
      </c>
      <c r="M385" s="85">
        <f>STATS1003B!M386/1000</f>
        <v>2607.0169999999998</v>
      </c>
      <c r="N385" s="85">
        <f>STATS1003B!N386/1000</f>
        <v>0</v>
      </c>
      <c r="O385" s="85">
        <f>STATS1003B!O386/1000</f>
        <v>0</v>
      </c>
      <c r="P385" s="85">
        <f>STATS1003B!P386/1000</f>
        <v>0</v>
      </c>
      <c r="Q385" s="85">
        <f>STATS1003B!Q386/1000</f>
        <v>0</v>
      </c>
      <c r="R385" s="85">
        <f>STATS1003B!R386/1000</f>
        <v>0</v>
      </c>
      <c r="S385" s="85">
        <f>STATS1003B!S386/1000</f>
        <v>0</v>
      </c>
      <c r="T385" s="85">
        <f>STATS1003B!T386/1000</f>
        <v>0</v>
      </c>
      <c r="U385" s="85">
        <f>STATS1003B!U386/1000</f>
        <v>0</v>
      </c>
      <c r="V385" s="85">
        <f>STATS1003B!V386/1000</f>
        <v>0</v>
      </c>
      <c r="W385" s="85">
        <f>STATS1003B!W386/1000</f>
        <v>0</v>
      </c>
      <c r="X385" s="85">
        <f t="shared" si="36"/>
        <v>2607.0169999999998</v>
      </c>
      <c r="Y385" s="85">
        <f>STATS1003B!Y386/1000</f>
        <v>0</v>
      </c>
      <c r="Z385" s="85">
        <f t="shared" si="39"/>
        <v>0</v>
      </c>
      <c r="AA385" s="69">
        <f>STATS1003B!AA386/1000</f>
        <v>2607.0169999999998</v>
      </c>
      <c r="AB385" s="69">
        <f>STATS1003B!AB386/1000</f>
        <v>0</v>
      </c>
    </row>
    <row r="386" spans="1:28" hidden="1" x14ac:dyDescent="0.3">
      <c r="A386" s="117"/>
      <c r="C386" s="68" t="s">
        <v>587</v>
      </c>
      <c r="D386" s="87" t="s">
        <v>88</v>
      </c>
      <c r="E386" s="85">
        <f>STATS1003B!E387/1000</f>
        <v>875.6</v>
      </c>
      <c r="F386" s="85">
        <f>STATS1003B!F387/1000</f>
        <v>875.6</v>
      </c>
      <c r="G386" s="85">
        <f>STATS1003B!G387/1000</f>
        <v>0</v>
      </c>
      <c r="H386" s="85">
        <f>STATS1003B!H387/1000</f>
        <v>875.6</v>
      </c>
      <c r="I386" s="85">
        <f>STATS1003B!I387/1000</f>
        <v>0</v>
      </c>
      <c r="J386" s="85">
        <f>STATS1003B!J387/1000</f>
        <v>875.6</v>
      </c>
      <c r="K386" s="85">
        <f>STATS1003B!K387/1000</f>
        <v>0</v>
      </c>
      <c r="L386" s="85">
        <f>STATS1003B!L387/1000</f>
        <v>0</v>
      </c>
      <c r="M386" s="85">
        <f>STATS1003B!M387/1000</f>
        <v>875.6</v>
      </c>
      <c r="N386" s="85">
        <f>STATS1003B!N387/1000</f>
        <v>0</v>
      </c>
      <c r="O386" s="85">
        <f>STATS1003B!O387/1000</f>
        <v>0</v>
      </c>
      <c r="P386" s="85">
        <f>STATS1003B!P387/1000</f>
        <v>0</v>
      </c>
      <c r="Q386" s="85">
        <f>STATS1003B!Q387/1000</f>
        <v>0</v>
      </c>
      <c r="R386" s="85">
        <f>STATS1003B!R387/1000</f>
        <v>0</v>
      </c>
      <c r="S386" s="85">
        <f>STATS1003B!S387/1000</f>
        <v>0</v>
      </c>
      <c r="T386" s="85">
        <f>STATS1003B!T387/1000</f>
        <v>0</v>
      </c>
      <c r="U386" s="85">
        <f>STATS1003B!U387/1000</f>
        <v>0</v>
      </c>
      <c r="V386" s="85">
        <f>STATS1003B!V387/1000</f>
        <v>0</v>
      </c>
      <c r="W386" s="85">
        <f>STATS1003B!W387/1000</f>
        <v>0</v>
      </c>
      <c r="X386" s="85">
        <f t="shared" si="36"/>
        <v>875.6</v>
      </c>
      <c r="Y386" s="85">
        <f>STATS1003B!Y387/1000</f>
        <v>0</v>
      </c>
      <c r="Z386" s="85">
        <f t="shared" si="39"/>
        <v>0</v>
      </c>
      <c r="AA386" s="69">
        <f>STATS1003B!AA387/1000</f>
        <v>875.6</v>
      </c>
      <c r="AB386" s="69">
        <f>STATS1003B!AB387/1000</f>
        <v>0</v>
      </c>
    </row>
    <row r="387" spans="1:28" hidden="1" x14ac:dyDescent="0.3">
      <c r="A387" s="117"/>
      <c r="C387" s="68" t="s">
        <v>587</v>
      </c>
      <c r="D387" s="87" t="s">
        <v>108</v>
      </c>
      <c r="E387" s="85">
        <f>STATS1003B!E388/1000</f>
        <v>1841.3</v>
      </c>
      <c r="F387" s="85">
        <f>STATS1003B!F388/1000</f>
        <v>1841.3</v>
      </c>
      <c r="G387" s="85">
        <f>STATS1003B!G388/1000</f>
        <v>0</v>
      </c>
      <c r="H387" s="85">
        <f>STATS1003B!H388/1000</f>
        <v>1841.3</v>
      </c>
      <c r="I387" s="85">
        <f>STATS1003B!I388/1000</f>
        <v>0</v>
      </c>
      <c r="J387" s="85">
        <f>STATS1003B!J388/1000</f>
        <v>1841.3</v>
      </c>
      <c r="K387" s="85">
        <f>STATS1003B!K388/1000</f>
        <v>0</v>
      </c>
      <c r="L387" s="85">
        <f>STATS1003B!L388/1000</f>
        <v>0</v>
      </c>
      <c r="M387" s="85">
        <f>STATS1003B!M388/1000</f>
        <v>1841.3</v>
      </c>
      <c r="N387" s="85">
        <f>STATS1003B!N388/1000</f>
        <v>0</v>
      </c>
      <c r="O387" s="85">
        <f>STATS1003B!O388/1000</f>
        <v>0</v>
      </c>
      <c r="P387" s="85">
        <f>STATS1003B!P388/1000</f>
        <v>0</v>
      </c>
      <c r="Q387" s="85">
        <f>STATS1003B!Q388/1000</f>
        <v>0</v>
      </c>
      <c r="R387" s="85">
        <f>STATS1003B!R388/1000</f>
        <v>0</v>
      </c>
      <c r="S387" s="85">
        <f>STATS1003B!S388/1000</f>
        <v>0</v>
      </c>
      <c r="T387" s="85">
        <f>STATS1003B!T388/1000</f>
        <v>0</v>
      </c>
      <c r="U387" s="85">
        <f>STATS1003B!U388/1000</f>
        <v>0</v>
      </c>
      <c r="V387" s="85">
        <f>STATS1003B!V388/1000</f>
        <v>0</v>
      </c>
      <c r="W387" s="85">
        <f>STATS1003B!W388/1000</f>
        <v>0</v>
      </c>
      <c r="X387" s="85">
        <f t="shared" si="36"/>
        <v>1841.3</v>
      </c>
      <c r="Y387" s="85">
        <f>STATS1003B!Y388/1000</f>
        <v>0</v>
      </c>
      <c r="Z387" s="85">
        <f t="shared" si="39"/>
        <v>0</v>
      </c>
      <c r="AA387" s="69">
        <f>STATS1003B!AA388/1000</f>
        <v>1841.3</v>
      </c>
      <c r="AB387" s="69">
        <f>STATS1003B!AB388/1000</f>
        <v>0</v>
      </c>
    </row>
    <row r="388" spans="1:28" hidden="1" x14ac:dyDescent="0.3">
      <c r="A388" s="117"/>
      <c r="C388" s="68" t="s">
        <v>535</v>
      </c>
      <c r="D388" s="87" t="s">
        <v>58</v>
      </c>
      <c r="E388" s="85">
        <f>STATS1003B!E389/1000</f>
        <v>1691.0450000000001</v>
      </c>
      <c r="F388" s="85">
        <f>STATS1003B!F389/1000</f>
        <v>1691.0450000000001</v>
      </c>
      <c r="G388" s="85">
        <f>STATS1003B!G389/1000</f>
        <v>0</v>
      </c>
      <c r="H388" s="85">
        <f>STATS1003B!H389/1000</f>
        <v>1691.0450000000001</v>
      </c>
      <c r="I388" s="85">
        <f>STATS1003B!I389/1000</f>
        <v>0</v>
      </c>
      <c r="J388" s="85">
        <f>STATS1003B!J389/1000</f>
        <v>1691.0450000000001</v>
      </c>
      <c r="K388" s="85">
        <f>STATS1003B!K389/1000</f>
        <v>0</v>
      </c>
      <c r="L388" s="85">
        <f>STATS1003B!L389/1000</f>
        <v>0</v>
      </c>
      <c r="M388" s="85">
        <f>STATS1003B!M389/1000</f>
        <v>1691.0450000000001</v>
      </c>
      <c r="N388" s="85">
        <f>STATS1003B!N389/1000</f>
        <v>0</v>
      </c>
      <c r="O388" s="85">
        <f>STATS1003B!O389/1000</f>
        <v>0</v>
      </c>
      <c r="P388" s="85">
        <f>STATS1003B!P389/1000</f>
        <v>0</v>
      </c>
      <c r="Q388" s="85">
        <f>STATS1003B!Q389/1000</f>
        <v>0</v>
      </c>
      <c r="R388" s="85">
        <f>STATS1003B!R389/1000</f>
        <v>0</v>
      </c>
      <c r="S388" s="85">
        <f>STATS1003B!S389/1000</f>
        <v>0</v>
      </c>
      <c r="T388" s="85">
        <f>STATS1003B!T389/1000</f>
        <v>0</v>
      </c>
      <c r="U388" s="85">
        <f>STATS1003B!U389/1000</f>
        <v>0</v>
      </c>
      <c r="V388" s="85">
        <f>STATS1003B!V389/1000</f>
        <v>0</v>
      </c>
      <c r="W388" s="85">
        <f>STATS1003B!W389/1000</f>
        <v>0</v>
      </c>
      <c r="X388" s="85">
        <f t="shared" si="36"/>
        <v>1691.0450000000001</v>
      </c>
      <c r="Y388" s="85">
        <f>STATS1003B!Y389/1000</f>
        <v>0</v>
      </c>
      <c r="Z388" s="85">
        <f t="shared" si="39"/>
        <v>0</v>
      </c>
      <c r="AA388" s="69">
        <f>STATS1003B!AA389/1000</f>
        <v>1691.0450000000001</v>
      </c>
      <c r="AB388" s="69">
        <f>STATS1003B!AB389/1000</f>
        <v>0</v>
      </c>
    </row>
    <row r="389" spans="1:28" hidden="1" x14ac:dyDescent="0.3">
      <c r="A389" s="117"/>
      <c r="C389" s="71" t="s">
        <v>535</v>
      </c>
      <c r="D389" s="88" t="s">
        <v>60</v>
      </c>
      <c r="E389" s="85">
        <f>STATS1003B!E390/1000</f>
        <v>3685.1970000000001</v>
      </c>
      <c r="F389" s="85">
        <f>STATS1003B!F390/1000</f>
        <v>3685.1970000000001</v>
      </c>
      <c r="G389" s="85">
        <f>STATS1003B!G390/1000</f>
        <v>0</v>
      </c>
      <c r="H389" s="85">
        <f>STATS1003B!H390/1000</f>
        <v>3685.1970000000001</v>
      </c>
      <c r="I389" s="85">
        <f>STATS1003B!I390/1000</f>
        <v>0</v>
      </c>
      <c r="J389" s="85">
        <f>STATS1003B!J390/1000</f>
        <v>3685.1970000000001</v>
      </c>
      <c r="K389" s="85">
        <f>STATS1003B!K390/1000</f>
        <v>0</v>
      </c>
      <c r="L389" s="85">
        <f>STATS1003B!L390/1000</f>
        <v>0</v>
      </c>
      <c r="M389" s="85">
        <f>STATS1003B!M390/1000</f>
        <v>3685.1970000000001</v>
      </c>
      <c r="N389" s="85">
        <f>STATS1003B!N390/1000</f>
        <v>0</v>
      </c>
      <c r="O389" s="85">
        <f>STATS1003B!O390/1000</f>
        <v>0</v>
      </c>
      <c r="P389" s="85">
        <f>STATS1003B!P390/1000</f>
        <v>0</v>
      </c>
      <c r="Q389" s="85">
        <f>STATS1003B!Q390/1000</f>
        <v>0</v>
      </c>
      <c r="R389" s="85">
        <f>STATS1003B!R390/1000</f>
        <v>0</v>
      </c>
      <c r="S389" s="85">
        <f>STATS1003B!S390/1000</f>
        <v>0</v>
      </c>
      <c r="T389" s="85">
        <f>STATS1003B!T390/1000</f>
        <v>0</v>
      </c>
      <c r="U389" s="85">
        <f>STATS1003B!U390/1000</f>
        <v>0</v>
      </c>
      <c r="V389" s="85">
        <f>STATS1003B!V390/1000</f>
        <v>0</v>
      </c>
      <c r="W389" s="85">
        <f>STATS1003B!W390/1000</f>
        <v>0</v>
      </c>
      <c r="X389" s="85">
        <f t="shared" ref="X389:X418" si="41">+H389+P389</f>
        <v>3685.1970000000001</v>
      </c>
      <c r="Y389" s="85">
        <f>STATS1003B!Y390/1000</f>
        <v>0</v>
      </c>
      <c r="Z389" s="85">
        <f t="shared" si="39"/>
        <v>0</v>
      </c>
      <c r="AA389" s="69">
        <f>STATS1003B!AA390/1000</f>
        <v>3685.1970000000001</v>
      </c>
      <c r="AB389" s="69">
        <f>STATS1003B!AB390/1000</f>
        <v>0</v>
      </c>
    </row>
    <row r="390" spans="1:28" hidden="1" x14ac:dyDescent="0.3">
      <c r="A390" s="117"/>
      <c r="C390" s="71" t="s">
        <v>535</v>
      </c>
      <c r="D390" s="88" t="s">
        <v>73</v>
      </c>
      <c r="E390" s="85">
        <f>STATS1003B!E391/1000</f>
        <v>3633.2622099999999</v>
      </c>
      <c r="F390" s="85">
        <f>STATS1003B!F391/1000</f>
        <v>3633.2622099999999</v>
      </c>
      <c r="G390" s="85">
        <f>STATS1003B!G391/1000</f>
        <v>0</v>
      </c>
      <c r="H390" s="85">
        <f>STATS1003B!H391/1000</f>
        <v>3633.2622099999999</v>
      </c>
      <c r="I390" s="85">
        <f>STATS1003B!I391/1000</f>
        <v>0</v>
      </c>
      <c r="J390" s="85">
        <f>STATS1003B!J391/1000</f>
        <v>3633.2622099999999</v>
      </c>
      <c r="K390" s="85">
        <f>STATS1003B!K391/1000</f>
        <v>0</v>
      </c>
      <c r="L390" s="85">
        <f>STATS1003B!L391/1000</f>
        <v>0</v>
      </c>
      <c r="M390" s="85">
        <f>STATS1003B!M391/1000</f>
        <v>3633.2622099999999</v>
      </c>
      <c r="N390" s="85">
        <f>STATS1003B!N391/1000</f>
        <v>0</v>
      </c>
      <c r="O390" s="85">
        <f>STATS1003B!O391/1000</f>
        <v>0</v>
      </c>
      <c r="P390" s="85">
        <f>STATS1003B!P391/1000</f>
        <v>0</v>
      </c>
      <c r="Q390" s="85">
        <f>STATS1003B!Q391/1000</f>
        <v>0</v>
      </c>
      <c r="R390" s="85">
        <f>STATS1003B!R391/1000</f>
        <v>0</v>
      </c>
      <c r="S390" s="85">
        <f>STATS1003B!S391/1000</f>
        <v>0</v>
      </c>
      <c r="T390" s="85">
        <f>STATS1003B!T391/1000</f>
        <v>0</v>
      </c>
      <c r="U390" s="85">
        <f>STATS1003B!U391/1000</f>
        <v>0</v>
      </c>
      <c r="V390" s="85">
        <f>STATS1003B!V391/1000</f>
        <v>0</v>
      </c>
      <c r="W390" s="85">
        <f>STATS1003B!W391/1000</f>
        <v>0</v>
      </c>
      <c r="X390" s="85">
        <f t="shared" si="41"/>
        <v>3633.2622099999999</v>
      </c>
      <c r="Y390" s="85">
        <f>STATS1003B!Y391/1000</f>
        <v>0</v>
      </c>
      <c r="Z390" s="85">
        <f t="shared" si="39"/>
        <v>0</v>
      </c>
      <c r="AA390" s="69">
        <f>STATS1003B!AA391/1000</f>
        <v>3633.2622099999999</v>
      </c>
      <c r="AB390" s="69">
        <f>STATS1003B!AB391/1000</f>
        <v>0</v>
      </c>
    </row>
    <row r="391" spans="1:28" hidden="1" x14ac:dyDescent="0.3">
      <c r="A391" s="117"/>
      <c r="C391" s="71" t="s">
        <v>549</v>
      </c>
      <c r="D391" s="88" t="s">
        <v>73</v>
      </c>
      <c r="E391" s="85">
        <f>STATS1003B!E392/1000</f>
        <v>1000</v>
      </c>
      <c r="F391" s="85">
        <f>STATS1003B!F392/1000</f>
        <v>1000</v>
      </c>
      <c r="G391" s="85">
        <f>STATS1003B!G392/1000</f>
        <v>0</v>
      </c>
      <c r="H391" s="85">
        <f>STATS1003B!H392/1000</f>
        <v>1000</v>
      </c>
      <c r="I391" s="85">
        <f>STATS1003B!I392/1000</f>
        <v>0</v>
      </c>
      <c r="J391" s="85">
        <f>STATS1003B!J392/1000</f>
        <v>1000</v>
      </c>
      <c r="K391" s="85">
        <f>STATS1003B!K392/1000</f>
        <v>0</v>
      </c>
      <c r="L391" s="85">
        <f>STATS1003B!L392/1000</f>
        <v>0</v>
      </c>
      <c r="M391" s="85">
        <f>STATS1003B!M392/1000</f>
        <v>1000</v>
      </c>
      <c r="N391" s="85">
        <f>STATS1003B!N392/1000</f>
        <v>0</v>
      </c>
      <c r="O391" s="85">
        <f>STATS1003B!O392/1000</f>
        <v>0</v>
      </c>
      <c r="P391" s="85">
        <f>STATS1003B!P392/1000</f>
        <v>0</v>
      </c>
      <c r="Q391" s="85">
        <f>STATS1003B!Q392/1000</f>
        <v>0</v>
      </c>
      <c r="R391" s="85">
        <f>STATS1003B!R392/1000</f>
        <v>0</v>
      </c>
      <c r="S391" s="85">
        <f>STATS1003B!S392/1000</f>
        <v>0</v>
      </c>
      <c r="T391" s="85">
        <f>STATS1003B!T392/1000</f>
        <v>0</v>
      </c>
      <c r="U391" s="85">
        <f>STATS1003B!U392/1000</f>
        <v>0</v>
      </c>
      <c r="V391" s="85">
        <f>STATS1003B!V392/1000</f>
        <v>0</v>
      </c>
      <c r="W391" s="85">
        <f>STATS1003B!W392/1000</f>
        <v>0</v>
      </c>
      <c r="X391" s="85">
        <f t="shared" si="41"/>
        <v>1000</v>
      </c>
      <c r="Y391" s="85">
        <f>STATS1003B!Y392/1000</f>
        <v>0</v>
      </c>
      <c r="Z391" s="85">
        <f t="shared" si="39"/>
        <v>0</v>
      </c>
      <c r="AA391" s="69">
        <f>STATS1003B!AA392/1000</f>
        <v>1000</v>
      </c>
      <c r="AB391" s="69">
        <f>STATS1003B!AB392/1000</f>
        <v>0</v>
      </c>
    </row>
    <row r="392" spans="1:28" hidden="1" x14ac:dyDescent="0.3">
      <c r="A392" s="117"/>
      <c r="C392" s="71" t="s">
        <v>535</v>
      </c>
      <c r="D392" s="88" t="s">
        <v>61</v>
      </c>
      <c r="E392" s="85">
        <f>STATS1003B!E393/1000</f>
        <v>1639.5313199999998</v>
      </c>
      <c r="F392" s="85">
        <f>STATS1003B!F393/1000</f>
        <v>1639.5313199999998</v>
      </c>
      <c r="G392" s="85">
        <f>STATS1003B!G393/1000</f>
        <v>0</v>
      </c>
      <c r="H392" s="85">
        <f>STATS1003B!H393/1000</f>
        <v>1639.5313199999998</v>
      </c>
      <c r="I392" s="85">
        <f>STATS1003B!I393/1000</f>
        <v>0</v>
      </c>
      <c r="J392" s="85">
        <f>STATS1003B!J393/1000</f>
        <v>1639.5313199999998</v>
      </c>
      <c r="K392" s="85">
        <f>STATS1003B!K393/1000</f>
        <v>0</v>
      </c>
      <c r="L392" s="85">
        <f>STATS1003B!L393/1000</f>
        <v>0</v>
      </c>
      <c r="M392" s="85">
        <f>STATS1003B!M393/1000</f>
        <v>1639.5313199999998</v>
      </c>
      <c r="N392" s="85">
        <f>STATS1003B!N393/1000</f>
        <v>0</v>
      </c>
      <c r="O392" s="85">
        <f>STATS1003B!O393/1000</f>
        <v>0</v>
      </c>
      <c r="P392" s="85">
        <f>STATS1003B!P393/1000</f>
        <v>0</v>
      </c>
      <c r="Q392" s="85">
        <f>STATS1003B!Q393/1000</f>
        <v>0</v>
      </c>
      <c r="R392" s="85">
        <f>STATS1003B!R393/1000</f>
        <v>0</v>
      </c>
      <c r="S392" s="85">
        <f>STATS1003B!S393/1000</f>
        <v>0</v>
      </c>
      <c r="T392" s="85">
        <f>STATS1003B!T393/1000</f>
        <v>0</v>
      </c>
      <c r="U392" s="85">
        <f>STATS1003B!U393/1000</f>
        <v>0</v>
      </c>
      <c r="V392" s="85">
        <f>STATS1003B!V393/1000</f>
        <v>0</v>
      </c>
      <c r="W392" s="85">
        <f>STATS1003B!W393/1000</f>
        <v>0</v>
      </c>
      <c r="X392" s="85">
        <f t="shared" si="41"/>
        <v>1639.5313199999998</v>
      </c>
      <c r="Y392" s="85">
        <f>STATS1003B!Y393/1000</f>
        <v>0</v>
      </c>
      <c r="Z392" s="85">
        <f t="shared" si="39"/>
        <v>0</v>
      </c>
      <c r="AA392" s="69">
        <f>STATS1003B!AA393/1000</f>
        <v>1639.5313199999998</v>
      </c>
      <c r="AB392" s="69">
        <f>STATS1003B!AB393/1000</f>
        <v>0</v>
      </c>
    </row>
    <row r="393" spans="1:28" hidden="1" x14ac:dyDescent="0.3">
      <c r="A393" s="117"/>
      <c r="C393" s="95" t="s">
        <v>933</v>
      </c>
      <c r="D393" s="89" t="s">
        <v>1072</v>
      </c>
      <c r="E393" s="85">
        <f>STATS1003B!E394/1000</f>
        <v>3798</v>
      </c>
      <c r="F393" s="85">
        <f>STATS1003B!F394/1000</f>
        <v>3798</v>
      </c>
      <c r="G393" s="85">
        <f>STATS1003B!G394/1000</f>
        <v>0</v>
      </c>
      <c r="H393" s="85">
        <f>STATS1003B!H394/1000</f>
        <v>3798</v>
      </c>
      <c r="I393" s="85">
        <f>STATS1003B!I394/1000</f>
        <v>0</v>
      </c>
      <c r="J393" s="85">
        <f>STATS1003B!J394/1000</f>
        <v>3798</v>
      </c>
      <c r="K393" s="85">
        <f>STATS1003B!K394/1000</f>
        <v>0</v>
      </c>
      <c r="L393" s="85">
        <f>STATS1003B!L394/1000</f>
        <v>0</v>
      </c>
      <c r="M393" s="85">
        <f>STATS1003B!M394/1000</f>
        <v>3798</v>
      </c>
      <c r="N393" s="85">
        <f>STATS1003B!N394/1000</f>
        <v>0</v>
      </c>
      <c r="O393" s="85">
        <f>STATS1003B!O394/1000</f>
        <v>0</v>
      </c>
      <c r="P393" s="85">
        <f>STATS1003B!P394/1000</f>
        <v>0</v>
      </c>
      <c r="Q393" s="85">
        <f>STATS1003B!Q394/1000</f>
        <v>0</v>
      </c>
      <c r="R393" s="85">
        <f>STATS1003B!R394/1000</f>
        <v>0</v>
      </c>
      <c r="S393" s="85">
        <f>STATS1003B!S394/1000</f>
        <v>0</v>
      </c>
      <c r="T393" s="85">
        <f>STATS1003B!T394/1000</f>
        <v>0</v>
      </c>
      <c r="U393" s="85">
        <f>STATS1003B!U394/1000</f>
        <v>0</v>
      </c>
      <c r="V393" s="85">
        <f>STATS1003B!V394/1000</f>
        <v>0</v>
      </c>
      <c r="W393" s="85">
        <f>STATS1003B!W394/1000</f>
        <v>0</v>
      </c>
      <c r="X393" s="85">
        <f t="shared" si="41"/>
        <v>3798</v>
      </c>
      <c r="Y393" s="85">
        <f>STATS1003B!Y394/1000</f>
        <v>0</v>
      </c>
      <c r="Z393" s="85">
        <f t="shared" si="39"/>
        <v>0</v>
      </c>
      <c r="AA393" s="69">
        <f>STATS1003B!AA394/1000</f>
        <v>3798</v>
      </c>
      <c r="AB393" s="69">
        <f>STATS1003B!AB394/1000</f>
        <v>0</v>
      </c>
    </row>
    <row r="394" spans="1:28" hidden="1" x14ac:dyDescent="0.3">
      <c r="A394" s="117"/>
      <c r="C394" s="95" t="s">
        <v>1196</v>
      </c>
      <c r="D394" s="89" t="s">
        <v>1126</v>
      </c>
      <c r="E394" s="85">
        <f>STATS1003B!E395/1000</f>
        <v>1886.9403600000001</v>
      </c>
      <c r="F394" s="85">
        <f>STATS1003B!F395/1000</f>
        <v>1886.9403600000001</v>
      </c>
      <c r="G394" s="85">
        <f>STATS1003B!G395/1000</f>
        <v>0</v>
      </c>
      <c r="H394" s="85">
        <f>STATS1003B!H395/1000</f>
        <v>1886.9403600000001</v>
      </c>
      <c r="I394" s="85">
        <f>STATS1003B!I395/1000</f>
        <v>0</v>
      </c>
      <c r="J394" s="85">
        <f>STATS1003B!J395/1000</f>
        <v>1886.9403600000001</v>
      </c>
      <c r="K394" s="85">
        <f>STATS1003B!K395/1000</f>
        <v>0</v>
      </c>
      <c r="L394" s="85">
        <f>STATS1003B!L395/1000</f>
        <v>0</v>
      </c>
      <c r="M394" s="85">
        <f>STATS1003B!M395/1000</f>
        <v>1886.9403600000001</v>
      </c>
      <c r="N394" s="85">
        <f>STATS1003B!N395/1000</f>
        <v>0</v>
      </c>
      <c r="O394" s="85">
        <f>STATS1003B!O395/1000</f>
        <v>0</v>
      </c>
      <c r="P394" s="85">
        <f>STATS1003B!P395/1000</f>
        <v>0</v>
      </c>
      <c r="Q394" s="85">
        <f>STATS1003B!Q395/1000</f>
        <v>0</v>
      </c>
      <c r="R394" s="85">
        <f>STATS1003B!R395/1000</f>
        <v>0</v>
      </c>
      <c r="S394" s="85">
        <f>STATS1003B!S395/1000</f>
        <v>0</v>
      </c>
      <c r="T394" s="85">
        <f>STATS1003B!T395/1000</f>
        <v>0</v>
      </c>
      <c r="U394" s="85">
        <f>STATS1003B!U395/1000</f>
        <v>0</v>
      </c>
      <c r="V394" s="85">
        <f>STATS1003B!V395/1000</f>
        <v>0</v>
      </c>
      <c r="W394" s="85">
        <f>STATS1003B!W395/1000</f>
        <v>0</v>
      </c>
      <c r="X394" s="85">
        <f t="shared" si="41"/>
        <v>1886.9403600000001</v>
      </c>
      <c r="Y394" s="85">
        <f>STATS1003B!Y395/1000</f>
        <v>0</v>
      </c>
      <c r="Z394" s="85">
        <f t="shared" si="39"/>
        <v>0</v>
      </c>
      <c r="AA394" s="69">
        <f>STATS1003B!AA395/1000</f>
        <v>1886.9403600000001</v>
      </c>
      <c r="AB394" s="69">
        <f>STATS1003B!AB395/1000</f>
        <v>0</v>
      </c>
    </row>
    <row r="395" spans="1:28" hidden="1" x14ac:dyDescent="0.3">
      <c r="A395" s="117"/>
      <c r="C395" s="71" t="s">
        <v>1251</v>
      </c>
      <c r="D395" s="89" t="s">
        <v>1225</v>
      </c>
      <c r="E395" s="85">
        <f>STATS1003B!E396/1000</f>
        <v>647.40865000000008</v>
      </c>
      <c r="F395" s="85">
        <f>STATS1003B!F396/1000</f>
        <v>647.40865000000008</v>
      </c>
      <c r="G395" s="85">
        <f>STATS1003B!G396/1000</f>
        <v>0</v>
      </c>
      <c r="H395" s="85">
        <f>STATS1003B!H396/1000</f>
        <v>647.40865000000008</v>
      </c>
      <c r="I395" s="85">
        <f>STATS1003B!I396/1000</f>
        <v>0</v>
      </c>
      <c r="J395" s="85">
        <f>STATS1003B!J396/1000</f>
        <v>0</v>
      </c>
      <c r="K395" s="85">
        <f>STATS1003B!K396/1000</f>
        <v>0</v>
      </c>
      <c r="L395" s="85">
        <f>STATS1003B!L396/1000</f>
        <v>0</v>
      </c>
      <c r="M395" s="85">
        <f>STATS1003B!M396/1000</f>
        <v>647.40865000000008</v>
      </c>
      <c r="N395" s="85">
        <f>STATS1003B!N396/1000</f>
        <v>0</v>
      </c>
      <c r="O395" s="85">
        <f>STATS1003B!O396/1000</f>
        <v>0</v>
      </c>
      <c r="P395" s="85">
        <f>STATS1003B!P396/1000</f>
        <v>0</v>
      </c>
      <c r="Q395" s="85">
        <f>STATS1003B!Q396/1000</f>
        <v>0</v>
      </c>
      <c r="R395" s="85">
        <f>STATS1003B!R396/1000</f>
        <v>0</v>
      </c>
      <c r="S395" s="85">
        <f>STATS1003B!S396/1000</f>
        <v>0</v>
      </c>
      <c r="T395" s="85">
        <f>STATS1003B!T396/1000</f>
        <v>0</v>
      </c>
      <c r="U395" s="85">
        <f>STATS1003B!U396/1000</f>
        <v>0</v>
      </c>
      <c r="V395" s="85">
        <f>STATS1003B!V396/1000</f>
        <v>0</v>
      </c>
      <c r="W395" s="85">
        <f>STATS1003B!W396/1000</f>
        <v>0</v>
      </c>
      <c r="X395" s="85">
        <f t="shared" si="41"/>
        <v>647.40865000000008</v>
      </c>
      <c r="Y395" s="85">
        <f>STATS1003B!Y396/1000</f>
        <v>0</v>
      </c>
      <c r="Z395" s="85">
        <f t="shared" si="39"/>
        <v>0</v>
      </c>
      <c r="AA395" s="69">
        <f>STATS1003B!AA396/1000</f>
        <v>647.40865000000008</v>
      </c>
      <c r="AB395" s="69">
        <f>STATS1003B!AB396/1000</f>
        <v>0</v>
      </c>
    </row>
    <row r="396" spans="1:28" hidden="1" x14ac:dyDescent="0.3">
      <c r="A396" s="117"/>
      <c r="C396" s="68" t="s">
        <v>578</v>
      </c>
      <c r="E396" s="85">
        <f>STATS1003B!E397/1000</f>
        <v>18</v>
      </c>
      <c r="F396" s="85">
        <f>STATS1003B!F397/1000</f>
        <v>18</v>
      </c>
      <c r="G396" s="85">
        <f>STATS1003B!G397/1000</f>
        <v>0</v>
      </c>
      <c r="H396" s="85">
        <f>STATS1003B!H397/1000</f>
        <v>18</v>
      </c>
      <c r="I396" s="85">
        <f>STATS1003B!I397/1000</f>
        <v>0</v>
      </c>
      <c r="J396" s="85">
        <f>STATS1003B!J397/1000</f>
        <v>18</v>
      </c>
      <c r="K396" s="85">
        <f>STATS1003B!K397/1000</f>
        <v>0</v>
      </c>
      <c r="L396" s="85">
        <f>STATS1003B!L397/1000</f>
        <v>0</v>
      </c>
      <c r="M396" s="85">
        <f>STATS1003B!M397/1000</f>
        <v>18</v>
      </c>
      <c r="N396" s="85">
        <f>STATS1003B!N397/1000</f>
        <v>0</v>
      </c>
      <c r="O396" s="85">
        <f>STATS1003B!O397/1000</f>
        <v>0</v>
      </c>
      <c r="P396" s="85">
        <f>STATS1003B!P397/1000</f>
        <v>0</v>
      </c>
      <c r="Q396" s="85">
        <f>STATS1003B!Q397/1000</f>
        <v>0</v>
      </c>
      <c r="R396" s="85">
        <f>STATS1003B!R397/1000</f>
        <v>0</v>
      </c>
      <c r="S396" s="85">
        <f>STATS1003B!S397/1000</f>
        <v>0</v>
      </c>
      <c r="T396" s="85">
        <f>STATS1003B!T397/1000</f>
        <v>0</v>
      </c>
      <c r="U396" s="85">
        <f>STATS1003B!U397/1000</f>
        <v>0</v>
      </c>
      <c r="V396" s="85">
        <f>STATS1003B!V397/1000</f>
        <v>0</v>
      </c>
      <c r="W396" s="85">
        <f>STATS1003B!W397/1000</f>
        <v>0</v>
      </c>
      <c r="X396" s="85">
        <f t="shared" si="41"/>
        <v>18</v>
      </c>
      <c r="Y396" s="85">
        <f>STATS1003B!Y397/1000</f>
        <v>0</v>
      </c>
      <c r="Z396" s="85">
        <f t="shared" si="39"/>
        <v>0</v>
      </c>
      <c r="AA396" s="69">
        <f>STATS1003B!AA397/1000</f>
        <v>18</v>
      </c>
      <c r="AB396" s="69">
        <f>STATS1003B!AB397/1000</f>
        <v>0</v>
      </c>
    </row>
    <row r="397" spans="1:28" hidden="1" x14ac:dyDescent="0.3">
      <c r="A397" s="117"/>
      <c r="E397" s="86" t="s">
        <v>29</v>
      </c>
      <c r="F397" s="86" t="s">
        <v>29</v>
      </c>
      <c r="G397" s="86" t="s">
        <v>29</v>
      </c>
      <c r="H397" s="86" t="s">
        <v>29</v>
      </c>
      <c r="I397" s="86" t="s">
        <v>29</v>
      </c>
      <c r="J397" s="86" t="s">
        <v>29</v>
      </c>
      <c r="K397" s="86" t="s">
        <v>29</v>
      </c>
      <c r="L397" s="86" t="s">
        <v>29</v>
      </c>
      <c r="M397" s="86" t="s">
        <v>29</v>
      </c>
      <c r="N397" s="86" t="s">
        <v>29</v>
      </c>
      <c r="O397" s="86" t="s">
        <v>29</v>
      </c>
      <c r="P397" s="86" t="s">
        <v>29</v>
      </c>
      <c r="Q397" s="86" t="s">
        <v>29</v>
      </c>
      <c r="R397" s="86" t="s">
        <v>29</v>
      </c>
      <c r="S397" s="86" t="s">
        <v>29</v>
      </c>
      <c r="T397" s="86" t="s">
        <v>29</v>
      </c>
      <c r="U397" s="86" t="s">
        <v>29</v>
      </c>
      <c r="V397" s="86" t="s">
        <v>29</v>
      </c>
      <c r="W397" s="86" t="s">
        <v>29</v>
      </c>
      <c r="X397" s="85" t="e">
        <f t="shared" si="41"/>
        <v>#VALUE!</v>
      </c>
      <c r="Y397" s="86" t="s">
        <v>29</v>
      </c>
      <c r="Z397" s="85" t="e">
        <f t="shared" si="39"/>
        <v>#VALUE!</v>
      </c>
      <c r="AA397" s="115" t="s">
        <v>29</v>
      </c>
      <c r="AB397" s="115" t="s">
        <v>29</v>
      </c>
    </row>
    <row r="398" spans="1:28" x14ac:dyDescent="0.3">
      <c r="A398" s="116" t="s">
        <v>950</v>
      </c>
      <c r="B398" s="68" t="s">
        <v>580</v>
      </c>
      <c r="E398" s="85">
        <f>162963203.33/1000</f>
        <v>162963.20333000002</v>
      </c>
      <c r="F398" s="85">
        <f t="shared" ref="F398:Q398" si="42">SUM(F372:F397)</f>
        <v>35816.964679999997</v>
      </c>
      <c r="G398" s="85">
        <f t="shared" si="42"/>
        <v>0</v>
      </c>
      <c r="H398" s="85">
        <f>155315333.28/1000</f>
        <v>155315.33327999999</v>
      </c>
      <c r="I398" s="85" t="e">
        <f t="shared" si="42"/>
        <v>#VALUE!</v>
      </c>
      <c r="J398" s="85">
        <f t="shared" si="42"/>
        <v>35169.55603</v>
      </c>
      <c r="K398" s="85">
        <f t="shared" si="42"/>
        <v>7467.3912199999995</v>
      </c>
      <c r="L398" s="85">
        <f t="shared" si="42"/>
        <v>0</v>
      </c>
      <c r="M398" s="85">
        <f t="shared" si="42"/>
        <v>35816.964679999997</v>
      </c>
      <c r="N398" s="85">
        <f t="shared" si="42"/>
        <v>7467.3912199999995</v>
      </c>
      <c r="O398" s="85">
        <f t="shared" si="42"/>
        <v>0</v>
      </c>
      <c r="P398" s="85">
        <f>7467391/1000</f>
        <v>7467.3909999999996</v>
      </c>
      <c r="Q398" s="85">
        <f t="shared" si="42"/>
        <v>0</v>
      </c>
      <c r="R398" s="86"/>
      <c r="S398" s="86"/>
      <c r="T398" s="85">
        <f t="shared" ref="T398:Y398" si="43">SUM(T372:T397)</f>
        <v>0</v>
      </c>
      <c r="U398" s="85">
        <f t="shared" si="43"/>
        <v>7467.3912199999995</v>
      </c>
      <c r="V398" s="85">
        <f t="shared" si="43"/>
        <v>0</v>
      </c>
      <c r="W398" s="85">
        <f t="shared" si="43"/>
        <v>0</v>
      </c>
      <c r="X398" s="85">
        <f>+H398+P398</f>
        <v>162782.72427999999</v>
      </c>
      <c r="Y398" s="85">
        <f t="shared" si="43"/>
        <v>0</v>
      </c>
      <c r="Z398" s="85">
        <f>+E398-X398</f>
        <v>180.47905000002356</v>
      </c>
      <c r="AA398" s="69">
        <f>SUM(AA372:AA397)</f>
        <v>43284.355899999995</v>
      </c>
      <c r="AB398" s="69">
        <f>SUM(AB372:AB397)</f>
        <v>180.47884999999985</v>
      </c>
    </row>
    <row r="399" spans="1:28" hidden="1" x14ac:dyDescent="0.3">
      <c r="A399" s="117"/>
      <c r="E399" s="86" t="s">
        <v>29</v>
      </c>
      <c r="F399" s="86" t="s">
        <v>29</v>
      </c>
      <c r="G399" s="86" t="s">
        <v>29</v>
      </c>
      <c r="H399" s="86" t="s">
        <v>29</v>
      </c>
      <c r="I399" s="86" t="s">
        <v>29</v>
      </c>
      <c r="J399" s="86" t="s">
        <v>29</v>
      </c>
      <c r="K399" s="86" t="s">
        <v>29</v>
      </c>
      <c r="L399" s="86" t="s">
        <v>29</v>
      </c>
      <c r="M399" s="86" t="s">
        <v>29</v>
      </c>
      <c r="N399" s="86" t="s">
        <v>29</v>
      </c>
      <c r="O399" s="86" t="s">
        <v>29</v>
      </c>
      <c r="P399" s="86" t="s">
        <v>29</v>
      </c>
      <c r="Q399" s="86" t="s">
        <v>29</v>
      </c>
      <c r="R399" s="86" t="s">
        <v>29</v>
      </c>
      <c r="S399" s="86" t="s">
        <v>29</v>
      </c>
      <c r="T399" s="86" t="s">
        <v>29</v>
      </c>
      <c r="U399" s="86" t="s">
        <v>29</v>
      </c>
      <c r="V399" s="86" t="s">
        <v>29</v>
      </c>
      <c r="W399" s="86" t="s">
        <v>29</v>
      </c>
      <c r="X399" s="85" t="e">
        <f t="shared" si="41"/>
        <v>#VALUE!</v>
      </c>
      <c r="Y399" s="86" t="s">
        <v>29</v>
      </c>
      <c r="Z399" s="86" t="s">
        <v>29</v>
      </c>
      <c r="AA399" s="115" t="s">
        <v>29</v>
      </c>
      <c r="AB399" s="115" t="s">
        <v>29</v>
      </c>
    </row>
    <row r="400" spans="1:28" hidden="1" x14ac:dyDescent="0.3">
      <c r="A400" s="105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6"/>
      <c r="S400" s="86"/>
      <c r="T400" s="94"/>
      <c r="U400" s="94"/>
      <c r="V400" s="94"/>
      <c r="W400" s="94"/>
      <c r="X400" s="85">
        <f t="shared" si="41"/>
        <v>0</v>
      </c>
      <c r="Y400" s="94"/>
      <c r="Z400" s="94"/>
      <c r="AA400" s="118"/>
    </row>
    <row r="401" spans="1:28" hidden="1" x14ac:dyDescent="0.3">
      <c r="A401" s="117"/>
      <c r="C401" s="68" t="s">
        <v>539</v>
      </c>
      <c r="D401" s="87" t="s">
        <v>68</v>
      </c>
      <c r="E401" s="85">
        <f>STATS1003B!E402/1000</f>
        <v>5205.8914499999992</v>
      </c>
      <c r="F401" s="85">
        <f>STATS1003B!F402/1000</f>
        <v>0</v>
      </c>
      <c r="G401" s="85">
        <f>STATS1003B!G402/1000</f>
        <v>0</v>
      </c>
      <c r="H401" s="85">
        <f>STATS1003B!H402/1000</f>
        <v>0</v>
      </c>
      <c r="I401" s="85">
        <f>STATS1003B!I402/1000</f>
        <v>0</v>
      </c>
      <c r="J401" s="85">
        <f>STATS1003B!J402/1000</f>
        <v>0</v>
      </c>
      <c r="K401" s="85">
        <f>STATS1003B!K402/1000</f>
        <v>5205.8914499999992</v>
      </c>
      <c r="L401" s="85">
        <f>STATS1003B!L402/1000</f>
        <v>0</v>
      </c>
      <c r="M401" s="85">
        <f>STATS1003B!M402/1000</f>
        <v>0</v>
      </c>
      <c r="N401" s="85">
        <f>STATS1003B!N402/1000</f>
        <v>5205.8914500000001</v>
      </c>
      <c r="O401" s="85">
        <f>STATS1003B!O402/1000</f>
        <v>0</v>
      </c>
      <c r="P401" s="85">
        <f>STATS1003B!P402/1000</f>
        <v>5205.8914500000001</v>
      </c>
      <c r="Q401" s="85">
        <f>STATS1003B!Q402/1000</f>
        <v>0</v>
      </c>
      <c r="R401" s="85">
        <f>STATS1003B!R402/1000</f>
        <v>0</v>
      </c>
      <c r="S401" s="85">
        <f>STATS1003B!S402/1000</f>
        <v>0</v>
      </c>
      <c r="T401" s="85">
        <f>STATS1003B!T402/1000</f>
        <v>0</v>
      </c>
      <c r="U401" s="85">
        <f>STATS1003B!U402/1000</f>
        <v>5205.8914500000001</v>
      </c>
      <c r="V401" s="85">
        <f>STATS1003B!V402/1000</f>
        <v>0</v>
      </c>
      <c r="W401" s="85">
        <f>STATS1003B!W402/1000</f>
        <v>0</v>
      </c>
      <c r="X401" s="85">
        <f t="shared" si="41"/>
        <v>5205.8914500000001</v>
      </c>
      <c r="Y401" s="85">
        <f>STATS1003B!Y402/1000</f>
        <v>0</v>
      </c>
      <c r="Z401" s="85">
        <f>STATS1003B!Z402/1000</f>
        <v>0</v>
      </c>
      <c r="AA401" s="69">
        <f>STATS1003B!AA402/1000</f>
        <v>5205.8914500000001</v>
      </c>
      <c r="AB401" s="69">
        <f>STATS1003B!AB402/1000</f>
        <v>0</v>
      </c>
    </row>
    <row r="402" spans="1:28" hidden="1" x14ac:dyDescent="0.3">
      <c r="A402" s="117"/>
      <c r="C402" s="68" t="s">
        <v>535</v>
      </c>
      <c r="D402" s="87" t="s">
        <v>68</v>
      </c>
      <c r="E402" s="85">
        <f>STATS1003B!E403/1000</f>
        <v>1102</v>
      </c>
      <c r="F402" s="85">
        <f>STATS1003B!F403/1000</f>
        <v>1102</v>
      </c>
      <c r="G402" s="85">
        <f>STATS1003B!G403/1000</f>
        <v>0</v>
      </c>
      <c r="H402" s="85">
        <f>STATS1003B!H403/1000</f>
        <v>1102</v>
      </c>
      <c r="I402" s="85">
        <f>STATS1003B!I403/1000</f>
        <v>0</v>
      </c>
      <c r="J402" s="85">
        <f>STATS1003B!J403/1000</f>
        <v>1102</v>
      </c>
      <c r="K402" s="85">
        <f>STATS1003B!K403/1000</f>
        <v>0</v>
      </c>
      <c r="L402" s="85">
        <f>STATS1003B!L403/1000</f>
        <v>0</v>
      </c>
      <c r="M402" s="85">
        <f>STATS1003B!M403/1000</f>
        <v>1102</v>
      </c>
      <c r="N402" s="85">
        <f>STATS1003B!N403/1000</f>
        <v>0</v>
      </c>
      <c r="O402" s="85">
        <f>STATS1003B!O403/1000</f>
        <v>0</v>
      </c>
      <c r="P402" s="85">
        <f>STATS1003B!P403/1000</f>
        <v>0</v>
      </c>
      <c r="Q402" s="85">
        <f>STATS1003B!Q403/1000</f>
        <v>0</v>
      </c>
      <c r="R402" s="85">
        <f>STATS1003B!R403/1000</f>
        <v>0</v>
      </c>
      <c r="S402" s="85">
        <f>STATS1003B!S403/1000</f>
        <v>0</v>
      </c>
      <c r="T402" s="85">
        <f>STATS1003B!T403/1000</f>
        <v>0</v>
      </c>
      <c r="U402" s="85">
        <f>STATS1003B!U403/1000</f>
        <v>0</v>
      </c>
      <c r="V402" s="85">
        <f>STATS1003B!V403/1000</f>
        <v>0</v>
      </c>
      <c r="W402" s="85">
        <f>STATS1003B!W403/1000</f>
        <v>0</v>
      </c>
      <c r="X402" s="85">
        <f t="shared" si="41"/>
        <v>1102</v>
      </c>
      <c r="Y402" s="85">
        <f>STATS1003B!Y403/1000</f>
        <v>0</v>
      </c>
      <c r="Z402" s="85">
        <f>STATS1003B!Z403/1000</f>
        <v>0</v>
      </c>
      <c r="AA402" s="69">
        <f>STATS1003B!AA403/1000</f>
        <v>1102</v>
      </c>
      <c r="AB402" s="69">
        <f>STATS1003B!AB403/1000</f>
        <v>0</v>
      </c>
    </row>
    <row r="403" spans="1:28" hidden="1" x14ac:dyDescent="0.3">
      <c r="A403" s="117"/>
      <c r="C403" s="68" t="s">
        <v>545</v>
      </c>
      <c r="D403" s="87" t="s">
        <v>54</v>
      </c>
      <c r="E403" s="85">
        <f>STATS1003B!E404/1000</f>
        <v>1767.77</v>
      </c>
      <c r="F403" s="85">
        <f>STATS1003B!F404/1000</f>
        <v>0</v>
      </c>
      <c r="G403" s="85">
        <f>STATS1003B!G404/1000</f>
        <v>0</v>
      </c>
      <c r="H403" s="85">
        <f>STATS1003B!H404/1000</f>
        <v>0</v>
      </c>
      <c r="I403" s="85">
        <f>STATS1003B!I404/1000</f>
        <v>0</v>
      </c>
      <c r="J403" s="85">
        <f>STATS1003B!J404/1000</f>
        <v>0</v>
      </c>
      <c r="K403" s="85">
        <f>STATS1003B!K404/1000</f>
        <v>1767.77</v>
      </c>
      <c r="L403" s="85">
        <f>STATS1003B!L404/1000</f>
        <v>0</v>
      </c>
      <c r="M403" s="85">
        <f>STATS1003B!M404/1000</f>
        <v>0</v>
      </c>
      <c r="N403" s="85">
        <f>STATS1003B!N404/1000</f>
        <v>1767.77</v>
      </c>
      <c r="O403" s="85">
        <f>STATS1003B!O404/1000</f>
        <v>0</v>
      </c>
      <c r="P403" s="85">
        <f>STATS1003B!P404/1000</f>
        <v>1767.77</v>
      </c>
      <c r="Q403" s="85">
        <f>STATS1003B!Q404/1000</f>
        <v>0</v>
      </c>
      <c r="R403" s="85">
        <f>STATS1003B!R404/1000</f>
        <v>0</v>
      </c>
      <c r="S403" s="85">
        <f>STATS1003B!S404/1000</f>
        <v>0</v>
      </c>
      <c r="T403" s="85">
        <f>STATS1003B!T404/1000</f>
        <v>0</v>
      </c>
      <c r="U403" s="85">
        <f>STATS1003B!U404/1000</f>
        <v>1767.77</v>
      </c>
      <c r="V403" s="85">
        <f>STATS1003B!V404/1000</f>
        <v>0</v>
      </c>
      <c r="W403" s="85">
        <f>STATS1003B!W404/1000</f>
        <v>0</v>
      </c>
      <c r="X403" s="85">
        <f t="shared" si="41"/>
        <v>1767.77</v>
      </c>
      <c r="Y403" s="85">
        <f>STATS1003B!Y404/1000</f>
        <v>0</v>
      </c>
      <c r="Z403" s="85">
        <f>STATS1003B!Z404/1000</f>
        <v>0</v>
      </c>
      <c r="AA403" s="69">
        <f>STATS1003B!AA404/1000</f>
        <v>1767.77</v>
      </c>
      <c r="AB403" s="69">
        <f>STATS1003B!AB404/1000</f>
        <v>0</v>
      </c>
    </row>
    <row r="404" spans="1:28" hidden="1" x14ac:dyDescent="0.3">
      <c r="A404" s="117"/>
      <c r="C404" s="68" t="s">
        <v>535</v>
      </c>
      <c r="D404" s="87" t="s">
        <v>54</v>
      </c>
      <c r="E404" s="85">
        <f>STATS1003B!E405/1000</f>
        <v>1156</v>
      </c>
      <c r="F404" s="85">
        <f>STATS1003B!F405/1000</f>
        <v>1156</v>
      </c>
      <c r="G404" s="85">
        <f>STATS1003B!G405/1000</f>
        <v>0</v>
      </c>
      <c r="H404" s="85">
        <f>STATS1003B!H405/1000</f>
        <v>1156</v>
      </c>
      <c r="I404" s="85">
        <f>STATS1003B!I405/1000</f>
        <v>0</v>
      </c>
      <c r="J404" s="85">
        <f>STATS1003B!J405/1000</f>
        <v>1156</v>
      </c>
      <c r="K404" s="85">
        <f>STATS1003B!K405/1000</f>
        <v>0</v>
      </c>
      <c r="L404" s="85">
        <f>STATS1003B!L405/1000</f>
        <v>0</v>
      </c>
      <c r="M404" s="85">
        <f>STATS1003B!M405/1000</f>
        <v>1156</v>
      </c>
      <c r="N404" s="85">
        <f>STATS1003B!N405/1000</f>
        <v>0</v>
      </c>
      <c r="O404" s="85">
        <f>STATS1003B!O405/1000</f>
        <v>0</v>
      </c>
      <c r="P404" s="85">
        <f>STATS1003B!P405/1000</f>
        <v>0</v>
      </c>
      <c r="Q404" s="85">
        <f>STATS1003B!Q405/1000</f>
        <v>0</v>
      </c>
      <c r="R404" s="85">
        <f>STATS1003B!R405/1000</f>
        <v>0</v>
      </c>
      <c r="S404" s="85">
        <f>STATS1003B!S405/1000</f>
        <v>0</v>
      </c>
      <c r="T404" s="85">
        <f>STATS1003B!T405/1000</f>
        <v>0</v>
      </c>
      <c r="U404" s="85">
        <f>STATS1003B!U405/1000</f>
        <v>0</v>
      </c>
      <c r="V404" s="85">
        <f>STATS1003B!V405/1000</f>
        <v>0</v>
      </c>
      <c r="W404" s="85">
        <f>STATS1003B!W405/1000</f>
        <v>0</v>
      </c>
      <c r="X404" s="85">
        <f t="shared" si="41"/>
        <v>1156</v>
      </c>
      <c r="Y404" s="85">
        <f>STATS1003B!Y405/1000</f>
        <v>0</v>
      </c>
      <c r="Z404" s="85">
        <f>STATS1003B!Z405/1000</f>
        <v>0</v>
      </c>
      <c r="AA404" s="69">
        <f>STATS1003B!AA405/1000</f>
        <v>1156</v>
      </c>
      <c r="AB404" s="69">
        <f>STATS1003B!AB405/1000</f>
        <v>0</v>
      </c>
    </row>
    <row r="405" spans="1:28" hidden="1" x14ac:dyDescent="0.3">
      <c r="A405" s="117"/>
      <c r="C405" s="68" t="s">
        <v>535</v>
      </c>
      <c r="D405" s="87" t="s">
        <v>85</v>
      </c>
      <c r="E405" s="85">
        <f>STATS1003B!E406/1000</f>
        <v>1268.3</v>
      </c>
      <c r="F405" s="85">
        <f>STATS1003B!F406/1000</f>
        <v>1268.3</v>
      </c>
      <c r="G405" s="85">
        <f>STATS1003B!G406/1000</f>
        <v>0</v>
      </c>
      <c r="H405" s="85">
        <f>STATS1003B!H406/1000</f>
        <v>1268.3</v>
      </c>
      <c r="I405" s="85">
        <f>STATS1003B!I406/1000</f>
        <v>0</v>
      </c>
      <c r="J405" s="85">
        <f>STATS1003B!J406/1000</f>
        <v>1268.3</v>
      </c>
      <c r="K405" s="85">
        <f>STATS1003B!K406/1000</f>
        <v>0</v>
      </c>
      <c r="L405" s="85">
        <f>STATS1003B!L406/1000</f>
        <v>0</v>
      </c>
      <c r="M405" s="85">
        <f>STATS1003B!M406/1000</f>
        <v>1268.3</v>
      </c>
      <c r="N405" s="85">
        <f>STATS1003B!N406/1000</f>
        <v>0</v>
      </c>
      <c r="O405" s="85">
        <f>STATS1003B!O406/1000</f>
        <v>0</v>
      </c>
      <c r="P405" s="85">
        <f>STATS1003B!P406/1000</f>
        <v>0</v>
      </c>
      <c r="Q405" s="85">
        <f>STATS1003B!Q406/1000</f>
        <v>0</v>
      </c>
      <c r="R405" s="85">
        <f>STATS1003B!R406/1000</f>
        <v>0</v>
      </c>
      <c r="S405" s="85">
        <f>STATS1003B!S406/1000</f>
        <v>0</v>
      </c>
      <c r="T405" s="85">
        <f>STATS1003B!T406/1000</f>
        <v>0</v>
      </c>
      <c r="U405" s="85">
        <f>STATS1003B!U406/1000</f>
        <v>0</v>
      </c>
      <c r="V405" s="85">
        <f>STATS1003B!V406/1000</f>
        <v>0</v>
      </c>
      <c r="W405" s="85">
        <f>STATS1003B!W406/1000</f>
        <v>0</v>
      </c>
      <c r="X405" s="85">
        <f t="shared" si="41"/>
        <v>1268.3</v>
      </c>
      <c r="Y405" s="85">
        <f>STATS1003B!Y406/1000</f>
        <v>0</v>
      </c>
      <c r="Z405" s="85">
        <f>STATS1003B!Z406/1000</f>
        <v>0</v>
      </c>
      <c r="AA405" s="69">
        <f>STATS1003B!AA406/1000</f>
        <v>1268.3</v>
      </c>
      <c r="AB405" s="69">
        <f>STATS1003B!AB406/1000</f>
        <v>0</v>
      </c>
    </row>
    <row r="406" spans="1:28" hidden="1" x14ac:dyDescent="0.3">
      <c r="A406" s="117"/>
      <c r="C406" s="68" t="s">
        <v>535</v>
      </c>
      <c r="D406" s="87" t="s">
        <v>128</v>
      </c>
      <c r="E406" s="85">
        <f>STATS1003B!E407/1000</f>
        <v>709.2</v>
      </c>
      <c r="F406" s="85">
        <f>STATS1003B!F407/1000</f>
        <v>709.2</v>
      </c>
      <c r="G406" s="85">
        <f>STATS1003B!G407/1000</f>
        <v>0</v>
      </c>
      <c r="H406" s="85">
        <f>STATS1003B!H407/1000</f>
        <v>709.2</v>
      </c>
      <c r="I406" s="85">
        <f>STATS1003B!I407/1000</f>
        <v>0</v>
      </c>
      <c r="J406" s="85">
        <f>STATS1003B!J407/1000</f>
        <v>709.2</v>
      </c>
      <c r="K406" s="85">
        <f>STATS1003B!K407/1000</f>
        <v>0</v>
      </c>
      <c r="L406" s="85">
        <f>STATS1003B!L407/1000</f>
        <v>0</v>
      </c>
      <c r="M406" s="85">
        <f>STATS1003B!M407/1000</f>
        <v>709.2</v>
      </c>
      <c r="N406" s="85">
        <f>STATS1003B!N407/1000</f>
        <v>0</v>
      </c>
      <c r="O406" s="85">
        <f>STATS1003B!O407/1000</f>
        <v>0</v>
      </c>
      <c r="P406" s="85">
        <f>STATS1003B!P407/1000</f>
        <v>0</v>
      </c>
      <c r="Q406" s="85">
        <f>STATS1003B!Q407/1000</f>
        <v>0</v>
      </c>
      <c r="R406" s="85">
        <f>STATS1003B!R407/1000</f>
        <v>0</v>
      </c>
      <c r="S406" s="85">
        <f>STATS1003B!S407/1000</f>
        <v>0</v>
      </c>
      <c r="T406" s="85">
        <f>STATS1003B!T407/1000</f>
        <v>0</v>
      </c>
      <c r="U406" s="85">
        <f>STATS1003B!U407/1000</f>
        <v>0</v>
      </c>
      <c r="V406" s="85">
        <f>STATS1003B!V407/1000</f>
        <v>0</v>
      </c>
      <c r="W406" s="85">
        <f>STATS1003B!W407/1000</f>
        <v>0</v>
      </c>
      <c r="X406" s="85">
        <f t="shared" si="41"/>
        <v>709.2</v>
      </c>
      <c r="Y406" s="85">
        <f>STATS1003B!Y407/1000</f>
        <v>0</v>
      </c>
      <c r="Z406" s="85">
        <f>STATS1003B!Z407/1000</f>
        <v>0</v>
      </c>
      <c r="AA406" s="69">
        <f>STATS1003B!AA407/1000</f>
        <v>709.2</v>
      </c>
      <c r="AB406" s="69">
        <f>STATS1003B!AB407/1000</f>
        <v>0</v>
      </c>
    </row>
    <row r="407" spans="1:28" hidden="1" x14ac:dyDescent="0.3">
      <c r="A407" s="117"/>
      <c r="C407" s="68" t="s">
        <v>589</v>
      </c>
      <c r="D407" s="87" t="s">
        <v>128</v>
      </c>
      <c r="E407" s="85">
        <f>STATS1003B!E408/1000</f>
        <v>1000</v>
      </c>
      <c r="F407" s="85">
        <f>STATS1003B!F408/1000</f>
        <v>1000</v>
      </c>
      <c r="G407" s="85">
        <f>STATS1003B!G408/1000</f>
        <v>0</v>
      </c>
      <c r="H407" s="85">
        <f>STATS1003B!H408/1000</f>
        <v>1000</v>
      </c>
      <c r="I407" s="85">
        <f>STATS1003B!I408/1000</f>
        <v>0</v>
      </c>
      <c r="J407" s="85">
        <f>STATS1003B!J408/1000</f>
        <v>1000</v>
      </c>
      <c r="K407" s="85">
        <f>STATS1003B!K408/1000</f>
        <v>0</v>
      </c>
      <c r="L407" s="85">
        <f>STATS1003B!L408/1000</f>
        <v>0</v>
      </c>
      <c r="M407" s="85">
        <f>STATS1003B!M408/1000</f>
        <v>1000</v>
      </c>
      <c r="N407" s="85">
        <f>STATS1003B!N408/1000</f>
        <v>0</v>
      </c>
      <c r="O407" s="85">
        <f>STATS1003B!O408/1000</f>
        <v>0</v>
      </c>
      <c r="P407" s="85">
        <f>STATS1003B!P408/1000</f>
        <v>0</v>
      </c>
      <c r="Q407" s="85">
        <f>STATS1003B!Q408/1000</f>
        <v>0</v>
      </c>
      <c r="R407" s="85">
        <f>STATS1003B!R408/1000</f>
        <v>0</v>
      </c>
      <c r="S407" s="85">
        <f>STATS1003B!S408/1000</f>
        <v>0</v>
      </c>
      <c r="T407" s="85">
        <f>STATS1003B!T408/1000</f>
        <v>0</v>
      </c>
      <c r="U407" s="85">
        <f>STATS1003B!U408/1000</f>
        <v>0</v>
      </c>
      <c r="V407" s="85">
        <f>STATS1003B!V408/1000</f>
        <v>0</v>
      </c>
      <c r="W407" s="85">
        <f>STATS1003B!W408/1000</f>
        <v>0</v>
      </c>
      <c r="X407" s="85">
        <f t="shared" si="41"/>
        <v>1000</v>
      </c>
      <c r="Y407" s="85">
        <f>STATS1003B!Y408/1000</f>
        <v>0</v>
      </c>
      <c r="Z407" s="85">
        <f>STATS1003B!Z408/1000</f>
        <v>0</v>
      </c>
      <c r="AA407" s="69">
        <f>STATS1003B!AA408/1000</f>
        <v>1000</v>
      </c>
      <c r="AB407" s="69">
        <f>STATS1003B!AB408/1000</f>
        <v>0</v>
      </c>
    </row>
    <row r="408" spans="1:28" hidden="1" x14ac:dyDescent="0.3">
      <c r="A408" s="117"/>
      <c r="C408" s="68" t="s">
        <v>535</v>
      </c>
      <c r="D408" s="87" t="s">
        <v>108</v>
      </c>
      <c r="E408" s="85">
        <f>STATS1003B!E409/1000</f>
        <v>3638.3220000000001</v>
      </c>
      <c r="F408" s="85">
        <f>STATS1003B!F409/1000</f>
        <v>3638.3220000000001</v>
      </c>
      <c r="G408" s="85">
        <f>STATS1003B!G409/1000</f>
        <v>0</v>
      </c>
      <c r="H408" s="85">
        <f>STATS1003B!H409/1000</f>
        <v>3638.3220000000001</v>
      </c>
      <c r="I408" s="85">
        <f>STATS1003B!I409/1000</f>
        <v>0</v>
      </c>
      <c r="J408" s="85">
        <f>STATS1003B!J409/1000</f>
        <v>3638.3220000000001</v>
      </c>
      <c r="K408" s="85">
        <f>STATS1003B!K409/1000</f>
        <v>0</v>
      </c>
      <c r="L408" s="85">
        <f>STATS1003B!L409/1000</f>
        <v>0</v>
      </c>
      <c r="M408" s="85">
        <f>STATS1003B!M409/1000</f>
        <v>3638.3220000000001</v>
      </c>
      <c r="N408" s="85">
        <f>STATS1003B!N409/1000</f>
        <v>0</v>
      </c>
      <c r="O408" s="85">
        <f>STATS1003B!O409/1000</f>
        <v>0</v>
      </c>
      <c r="P408" s="85">
        <f>STATS1003B!P409/1000</f>
        <v>0</v>
      </c>
      <c r="Q408" s="85">
        <f>STATS1003B!Q409/1000</f>
        <v>0</v>
      </c>
      <c r="R408" s="85">
        <f>STATS1003B!R409/1000</f>
        <v>0</v>
      </c>
      <c r="S408" s="85">
        <f>STATS1003B!S409/1000</f>
        <v>0</v>
      </c>
      <c r="T408" s="85">
        <f>STATS1003B!T409/1000</f>
        <v>0</v>
      </c>
      <c r="U408" s="85">
        <f>STATS1003B!U409/1000</f>
        <v>0</v>
      </c>
      <c r="V408" s="85">
        <f>STATS1003B!V409/1000</f>
        <v>0</v>
      </c>
      <c r="W408" s="85">
        <f>STATS1003B!W409/1000</f>
        <v>0</v>
      </c>
      <c r="X408" s="85">
        <f t="shared" si="41"/>
        <v>3638.3220000000001</v>
      </c>
      <c r="Y408" s="85">
        <f>STATS1003B!Y409/1000</f>
        <v>0</v>
      </c>
      <c r="Z408" s="85">
        <f>STATS1003B!Z409/1000</f>
        <v>0</v>
      </c>
      <c r="AA408" s="69">
        <f>STATS1003B!AA409/1000</f>
        <v>3638.3220000000001</v>
      </c>
      <c r="AB408" s="69">
        <f>STATS1003B!AB409/1000</f>
        <v>0</v>
      </c>
    </row>
    <row r="409" spans="1:28" hidden="1" x14ac:dyDescent="0.3">
      <c r="A409" s="117"/>
      <c r="C409" s="68" t="s">
        <v>590</v>
      </c>
      <c r="D409" s="87" t="s">
        <v>108</v>
      </c>
      <c r="E409" s="85">
        <f>STATS1003B!E410/1000</f>
        <v>200</v>
      </c>
      <c r="F409" s="85">
        <f>STATS1003B!F410/1000</f>
        <v>200</v>
      </c>
      <c r="G409" s="85">
        <f>STATS1003B!G410/1000</f>
        <v>0</v>
      </c>
      <c r="H409" s="85">
        <f>STATS1003B!H410/1000</f>
        <v>200</v>
      </c>
      <c r="I409" s="85">
        <f>STATS1003B!I410/1000</f>
        <v>0</v>
      </c>
      <c r="J409" s="85">
        <f>STATS1003B!J410/1000</f>
        <v>200</v>
      </c>
      <c r="K409" s="85">
        <f>STATS1003B!K410/1000</f>
        <v>0</v>
      </c>
      <c r="L409" s="85">
        <f>STATS1003B!L410/1000</f>
        <v>0</v>
      </c>
      <c r="M409" s="85">
        <f>STATS1003B!M410/1000</f>
        <v>200</v>
      </c>
      <c r="N409" s="85">
        <f>STATS1003B!N410/1000</f>
        <v>0</v>
      </c>
      <c r="O409" s="85">
        <f>STATS1003B!O410/1000</f>
        <v>0</v>
      </c>
      <c r="P409" s="85">
        <f>STATS1003B!P410/1000</f>
        <v>0</v>
      </c>
      <c r="Q409" s="85">
        <f>STATS1003B!Q410/1000</f>
        <v>0</v>
      </c>
      <c r="R409" s="85">
        <f>STATS1003B!R410/1000</f>
        <v>0</v>
      </c>
      <c r="S409" s="85">
        <f>STATS1003B!S410/1000</f>
        <v>0</v>
      </c>
      <c r="T409" s="85">
        <f>STATS1003B!T410/1000</f>
        <v>0</v>
      </c>
      <c r="U409" s="85">
        <f>STATS1003B!U410/1000</f>
        <v>0</v>
      </c>
      <c r="V409" s="85">
        <f>STATS1003B!V410/1000</f>
        <v>0</v>
      </c>
      <c r="W409" s="85">
        <f>STATS1003B!W410/1000</f>
        <v>0</v>
      </c>
      <c r="X409" s="85">
        <f t="shared" si="41"/>
        <v>200</v>
      </c>
      <c r="Y409" s="85">
        <f>STATS1003B!Y410/1000</f>
        <v>0</v>
      </c>
      <c r="Z409" s="85">
        <f>STATS1003B!Z410/1000</f>
        <v>0</v>
      </c>
      <c r="AA409" s="69">
        <f>STATS1003B!AA410/1000</f>
        <v>200</v>
      </c>
      <c r="AB409" s="69">
        <f>STATS1003B!AB410/1000</f>
        <v>0</v>
      </c>
    </row>
    <row r="410" spans="1:28" hidden="1" x14ac:dyDescent="0.3">
      <c r="A410" s="117"/>
      <c r="C410" s="68" t="s">
        <v>535</v>
      </c>
      <c r="D410" s="87" t="s">
        <v>58</v>
      </c>
      <c r="E410" s="85">
        <f>STATS1003B!E411/1000</f>
        <v>2500</v>
      </c>
      <c r="F410" s="85">
        <f>STATS1003B!F411/1000</f>
        <v>2500</v>
      </c>
      <c r="G410" s="85">
        <f>STATS1003B!G411/1000</f>
        <v>0</v>
      </c>
      <c r="H410" s="85">
        <f>STATS1003B!H411/1000</f>
        <v>2500</v>
      </c>
      <c r="I410" s="85">
        <f>STATS1003B!I411/1000</f>
        <v>0</v>
      </c>
      <c r="J410" s="85">
        <f>STATS1003B!J411/1000</f>
        <v>2500</v>
      </c>
      <c r="K410" s="85">
        <f>STATS1003B!K411/1000</f>
        <v>0</v>
      </c>
      <c r="L410" s="85">
        <f>STATS1003B!L411/1000</f>
        <v>0</v>
      </c>
      <c r="M410" s="85">
        <f>STATS1003B!M411/1000</f>
        <v>2500</v>
      </c>
      <c r="N410" s="85">
        <f>STATS1003B!N411/1000</f>
        <v>0</v>
      </c>
      <c r="O410" s="85">
        <f>STATS1003B!O411/1000</f>
        <v>0</v>
      </c>
      <c r="P410" s="85">
        <f>STATS1003B!P411/1000</f>
        <v>0</v>
      </c>
      <c r="Q410" s="85">
        <f>STATS1003B!Q411/1000</f>
        <v>0</v>
      </c>
      <c r="R410" s="85">
        <f>STATS1003B!R411/1000</f>
        <v>0</v>
      </c>
      <c r="S410" s="85">
        <f>STATS1003B!S411/1000</f>
        <v>0</v>
      </c>
      <c r="T410" s="85">
        <f>STATS1003B!T411/1000</f>
        <v>0</v>
      </c>
      <c r="U410" s="85">
        <f>STATS1003B!U411/1000</f>
        <v>0</v>
      </c>
      <c r="V410" s="85">
        <f>STATS1003B!V411/1000</f>
        <v>0</v>
      </c>
      <c r="W410" s="85">
        <f>STATS1003B!W411/1000</f>
        <v>0</v>
      </c>
      <c r="X410" s="85">
        <f t="shared" si="41"/>
        <v>2500</v>
      </c>
      <c r="Y410" s="85">
        <f>STATS1003B!Y411/1000</f>
        <v>0</v>
      </c>
      <c r="Z410" s="85">
        <f>STATS1003B!Z411/1000</f>
        <v>0</v>
      </c>
      <c r="AA410" s="69">
        <f>STATS1003B!AA411/1000</f>
        <v>2500</v>
      </c>
      <c r="AB410" s="69">
        <f>STATS1003B!AB411/1000</f>
        <v>0</v>
      </c>
    </row>
    <row r="411" spans="1:28" hidden="1" x14ac:dyDescent="0.3">
      <c r="A411" s="117"/>
      <c r="C411" s="71" t="s">
        <v>591</v>
      </c>
      <c r="D411" s="88" t="s">
        <v>73</v>
      </c>
      <c r="E411" s="85">
        <f>STATS1003B!E412/1000</f>
        <v>500</v>
      </c>
      <c r="F411" s="85">
        <f>STATS1003B!F412/1000</f>
        <v>500</v>
      </c>
      <c r="G411" s="85">
        <f>STATS1003B!G412/1000</f>
        <v>0</v>
      </c>
      <c r="H411" s="85">
        <f>STATS1003B!H412/1000</f>
        <v>500</v>
      </c>
      <c r="I411" s="85">
        <f>STATS1003B!I412/1000</f>
        <v>0</v>
      </c>
      <c r="J411" s="85">
        <f>STATS1003B!J412/1000</f>
        <v>500</v>
      </c>
      <c r="K411" s="85">
        <f>STATS1003B!K412/1000</f>
        <v>0</v>
      </c>
      <c r="L411" s="85">
        <f>STATS1003B!L412/1000</f>
        <v>0</v>
      </c>
      <c r="M411" s="85">
        <f>STATS1003B!M412/1000</f>
        <v>500</v>
      </c>
      <c r="N411" s="85">
        <f>STATS1003B!N412/1000</f>
        <v>0</v>
      </c>
      <c r="O411" s="85">
        <f>STATS1003B!O412/1000</f>
        <v>0</v>
      </c>
      <c r="P411" s="85">
        <f>STATS1003B!P412/1000</f>
        <v>0</v>
      </c>
      <c r="Q411" s="85">
        <f>STATS1003B!Q412/1000</f>
        <v>0</v>
      </c>
      <c r="R411" s="85">
        <f>STATS1003B!R412/1000</f>
        <v>0</v>
      </c>
      <c r="S411" s="85">
        <f>STATS1003B!S412/1000</f>
        <v>0</v>
      </c>
      <c r="T411" s="85">
        <f>STATS1003B!T412/1000</f>
        <v>0</v>
      </c>
      <c r="U411" s="85">
        <f>STATS1003B!U412/1000</f>
        <v>0</v>
      </c>
      <c r="V411" s="85">
        <f>STATS1003B!V412/1000</f>
        <v>0</v>
      </c>
      <c r="W411" s="85">
        <f>STATS1003B!W412/1000</f>
        <v>0</v>
      </c>
      <c r="X411" s="85">
        <f t="shared" si="41"/>
        <v>500</v>
      </c>
      <c r="Y411" s="85">
        <f>STATS1003B!Y412/1000</f>
        <v>0</v>
      </c>
      <c r="Z411" s="85">
        <f>STATS1003B!Z412/1000</f>
        <v>0</v>
      </c>
      <c r="AA411" s="69">
        <f>STATS1003B!AA412/1000</f>
        <v>500</v>
      </c>
      <c r="AB411" s="69">
        <f>STATS1003B!AB412/1000</f>
        <v>0</v>
      </c>
    </row>
    <row r="412" spans="1:28" hidden="1" x14ac:dyDescent="0.3">
      <c r="A412" s="117"/>
      <c r="C412" s="68" t="s">
        <v>535</v>
      </c>
      <c r="D412" s="87" t="s">
        <v>61</v>
      </c>
      <c r="E412" s="85">
        <f>STATS1003B!E413/1000</f>
        <v>1087</v>
      </c>
      <c r="F412" s="85">
        <f>STATS1003B!F413/1000</f>
        <v>1087</v>
      </c>
      <c r="G412" s="85">
        <f>STATS1003B!G413/1000</f>
        <v>0</v>
      </c>
      <c r="H412" s="85">
        <f>STATS1003B!H413/1000</f>
        <v>1087</v>
      </c>
      <c r="I412" s="85">
        <f>STATS1003B!I413/1000</f>
        <v>0</v>
      </c>
      <c r="J412" s="85">
        <f>STATS1003B!J413/1000</f>
        <v>1087</v>
      </c>
      <c r="K412" s="85">
        <f>STATS1003B!K413/1000</f>
        <v>0</v>
      </c>
      <c r="L412" s="85">
        <f>STATS1003B!L413/1000</f>
        <v>0</v>
      </c>
      <c r="M412" s="85">
        <f>STATS1003B!M413/1000</f>
        <v>1087</v>
      </c>
      <c r="N412" s="85">
        <f>STATS1003B!N413/1000</f>
        <v>0</v>
      </c>
      <c r="O412" s="85">
        <f>STATS1003B!O413/1000</f>
        <v>0</v>
      </c>
      <c r="P412" s="85">
        <f>STATS1003B!P413/1000</f>
        <v>0</v>
      </c>
      <c r="Q412" s="85">
        <f>STATS1003B!Q413/1000</f>
        <v>0</v>
      </c>
      <c r="R412" s="85">
        <f>STATS1003B!R413/1000</f>
        <v>0</v>
      </c>
      <c r="S412" s="85">
        <f>STATS1003B!S413/1000</f>
        <v>0</v>
      </c>
      <c r="T412" s="85">
        <f>STATS1003B!T413/1000</f>
        <v>0</v>
      </c>
      <c r="U412" s="85">
        <f>STATS1003B!U413/1000</f>
        <v>0</v>
      </c>
      <c r="V412" s="85">
        <f>STATS1003B!V413/1000</f>
        <v>0</v>
      </c>
      <c r="W412" s="85">
        <f>STATS1003B!W413/1000</f>
        <v>0</v>
      </c>
      <c r="X412" s="85">
        <f t="shared" si="41"/>
        <v>1087</v>
      </c>
      <c r="Y412" s="85">
        <f>STATS1003B!Y413/1000</f>
        <v>0</v>
      </c>
      <c r="Z412" s="85">
        <f>STATS1003B!Z413/1000</f>
        <v>0</v>
      </c>
      <c r="AA412" s="69">
        <f>STATS1003B!AA413/1000</f>
        <v>1087</v>
      </c>
      <c r="AB412" s="69">
        <f>STATS1003B!AB413/1000</f>
        <v>0</v>
      </c>
    </row>
    <row r="413" spans="1:28" hidden="1" x14ac:dyDescent="0.3">
      <c r="A413" s="117"/>
      <c r="C413" s="68" t="s">
        <v>933</v>
      </c>
      <c r="D413" s="90" t="s">
        <v>1072</v>
      </c>
      <c r="E413" s="85">
        <f>STATS1003B!E414/1000</f>
        <v>1200</v>
      </c>
      <c r="F413" s="85">
        <f>STATS1003B!F414/1000</f>
        <v>1200</v>
      </c>
      <c r="G413" s="85">
        <f>STATS1003B!G414/1000</f>
        <v>0</v>
      </c>
      <c r="H413" s="85">
        <f>STATS1003B!H414/1000</f>
        <v>1200</v>
      </c>
      <c r="I413" s="85">
        <f>STATS1003B!I414/1000</f>
        <v>0</v>
      </c>
      <c r="J413" s="85">
        <f>STATS1003B!J414/1000</f>
        <v>1200</v>
      </c>
      <c r="K413" s="85">
        <f>STATS1003B!K414/1000</f>
        <v>0</v>
      </c>
      <c r="L413" s="85">
        <f>STATS1003B!L414/1000</f>
        <v>0</v>
      </c>
      <c r="M413" s="85">
        <f>STATS1003B!M414/1000</f>
        <v>1200</v>
      </c>
      <c r="N413" s="85">
        <f>STATS1003B!N414/1000</f>
        <v>0</v>
      </c>
      <c r="O413" s="85">
        <f>STATS1003B!O414/1000</f>
        <v>0</v>
      </c>
      <c r="P413" s="85">
        <f>STATS1003B!P414/1000</f>
        <v>0</v>
      </c>
      <c r="Q413" s="85">
        <f>STATS1003B!Q414/1000</f>
        <v>0</v>
      </c>
      <c r="R413" s="85">
        <f>STATS1003B!R414/1000</f>
        <v>0</v>
      </c>
      <c r="S413" s="85">
        <f>STATS1003B!S414/1000</f>
        <v>0</v>
      </c>
      <c r="T413" s="85">
        <f>STATS1003B!T414/1000</f>
        <v>0</v>
      </c>
      <c r="U413" s="85">
        <f>STATS1003B!U414/1000</f>
        <v>0</v>
      </c>
      <c r="V413" s="85">
        <f>STATS1003B!V414/1000</f>
        <v>0</v>
      </c>
      <c r="W413" s="85">
        <f>STATS1003B!W414/1000</f>
        <v>0</v>
      </c>
      <c r="X413" s="85">
        <f t="shared" si="41"/>
        <v>1200</v>
      </c>
      <c r="Y413" s="85">
        <f>STATS1003B!Y414/1000</f>
        <v>0</v>
      </c>
      <c r="Z413" s="85">
        <f>STATS1003B!Z414/1000</f>
        <v>0</v>
      </c>
      <c r="AA413" s="69">
        <f>STATS1003B!AA414/1000</f>
        <v>1200</v>
      </c>
      <c r="AB413" s="69">
        <f>STATS1003B!AB414/1000</f>
        <v>0</v>
      </c>
    </row>
    <row r="414" spans="1:28" hidden="1" x14ac:dyDescent="0.3">
      <c r="A414" s="117"/>
      <c r="C414" s="68" t="s">
        <v>550</v>
      </c>
      <c r="E414" s="85">
        <f>STATS1003B!E415/1000</f>
        <v>1677.0608099999999</v>
      </c>
      <c r="F414" s="85">
        <f>STATS1003B!F415/1000</f>
        <v>954.59324000000004</v>
      </c>
      <c r="G414" s="85">
        <f>STATS1003B!G415/1000</f>
        <v>0</v>
      </c>
      <c r="H414" s="85">
        <f>STATS1003B!H415/1000</f>
        <v>954.59324000000004</v>
      </c>
      <c r="I414" s="85">
        <f>STATS1003B!I415/1000</f>
        <v>0</v>
      </c>
      <c r="J414" s="85">
        <f>STATS1003B!J415/1000</f>
        <v>954.59324000000004</v>
      </c>
      <c r="K414" s="85">
        <f>STATS1003B!K415/1000</f>
        <v>722.46756999999991</v>
      </c>
      <c r="L414" s="85">
        <f>STATS1003B!L415/1000</f>
        <v>0</v>
      </c>
      <c r="M414" s="85">
        <f>STATS1003B!M415/1000</f>
        <v>954.59324000000004</v>
      </c>
      <c r="N414" s="85">
        <f>STATS1003B!N415/1000</f>
        <v>722.46756999999991</v>
      </c>
      <c r="O414" s="85">
        <f>STATS1003B!O415/1000</f>
        <v>0</v>
      </c>
      <c r="P414" s="85">
        <f>STATS1003B!P415/1000</f>
        <v>722.46756999999991</v>
      </c>
      <c r="Q414" s="85">
        <f>STATS1003B!Q415/1000</f>
        <v>0</v>
      </c>
      <c r="R414" s="85">
        <f>STATS1003B!R415/1000</f>
        <v>0</v>
      </c>
      <c r="S414" s="85">
        <f>STATS1003B!S415/1000</f>
        <v>0</v>
      </c>
      <c r="T414" s="85">
        <f>STATS1003B!T415/1000</f>
        <v>0</v>
      </c>
      <c r="U414" s="85">
        <f>STATS1003B!U415/1000</f>
        <v>722.46756999999991</v>
      </c>
      <c r="V414" s="85">
        <f>STATS1003B!V415/1000</f>
        <v>0</v>
      </c>
      <c r="W414" s="85">
        <f>STATS1003B!W415/1000</f>
        <v>0</v>
      </c>
      <c r="X414" s="85">
        <f t="shared" si="41"/>
        <v>1677.0608099999999</v>
      </c>
      <c r="Y414" s="85">
        <f>STATS1003B!Y415/1000</f>
        <v>0</v>
      </c>
      <c r="Z414" s="85">
        <f>STATS1003B!Z415/1000</f>
        <v>0</v>
      </c>
      <c r="AA414" s="69">
        <f>STATS1003B!AA415/1000</f>
        <v>1677.0608099999999</v>
      </c>
      <c r="AB414" s="69">
        <f>STATS1003B!AB415/1000</f>
        <v>0</v>
      </c>
    </row>
    <row r="415" spans="1:28" hidden="1" x14ac:dyDescent="0.3">
      <c r="A415" s="117"/>
      <c r="C415" s="68" t="s">
        <v>569</v>
      </c>
      <c r="E415" s="85">
        <f>STATS1003B!E416/1000</f>
        <v>4709.39336</v>
      </c>
      <c r="F415" s="85">
        <f>STATS1003B!F416/1000</f>
        <v>4709.39336</v>
      </c>
      <c r="G415" s="85">
        <f>STATS1003B!G416/1000</f>
        <v>0</v>
      </c>
      <c r="H415" s="85">
        <f>STATS1003B!H416/1000</f>
        <v>4709.39336</v>
      </c>
      <c r="I415" s="85">
        <f>STATS1003B!I416/1000</f>
        <v>0</v>
      </c>
      <c r="J415" s="85">
        <f>STATS1003B!J416/1000</f>
        <v>4709.39336</v>
      </c>
      <c r="K415" s="85">
        <f>STATS1003B!K416/1000</f>
        <v>0</v>
      </c>
      <c r="L415" s="85">
        <f>STATS1003B!L416/1000</f>
        <v>0</v>
      </c>
      <c r="M415" s="85">
        <f>STATS1003B!M416/1000</f>
        <v>4709.39336</v>
      </c>
      <c r="N415" s="85">
        <f>STATS1003B!N416/1000</f>
        <v>0</v>
      </c>
      <c r="O415" s="85">
        <f>STATS1003B!O416/1000</f>
        <v>0</v>
      </c>
      <c r="P415" s="85">
        <f>STATS1003B!P416/1000</f>
        <v>0</v>
      </c>
      <c r="Q415" s="85">
        <f>STATS1003B!Q416/1000</f>
        <v>0</v>
      </c>
      <c r="R415" s="85">
        <f>STATS1003B!R416/1000</f>
        <v>0</v>
      </c>
      <c r="S415" s="85">
        <f>STATS1003B!S416/1000</f>
        <v>0</v>
      </c>
      <c r="T415" s="85">
        <f>STATS1003B!T416/1000</f>
        <v>0</v>
      </c>
      <c r="U415" s="85">
        <f>STATS1003B!U416/1000</f>
        <v>0</v>
      </c>
      <c r="V415" s="85">
        <f>STATS1003B!V416/1000</f>
        <v>0</v>
      </c>
      <c r="W415" s="85">
        <f>STATS1003B!W416/1000</f>
        <v>0</v>
      </c>
      <c r="X415" s="85">
        <f t="shared" si="41"/>
        <v>4709.39336</v>
      </c>
      <c r="Y415" s="85">
        <f>STATS1003B!Y416/1000</f>
        <v>0</v>
      </c>
      <c r="Z415" s="85">
        <f>STATS1003B!Z416/1000</f>
        <v>0</v>
      </c>
      <c r="AA415" s="69">
        <f>STATS1003B!AA416/1000</f>
        <v>4709.39336</v>
      </c>
      <c r="AB415" s="69">
        <f>STATS1003B!AB416/1000</f>
        <v>0</v>
      </c>
    </row>
    <row r="416" spans="1:28" hidden="1" x14ac:dyDescent="0.3">
      <c r="A416" s="117"/>
      <c r="C416" s="68" t="s">
        <v>592</v>
      </c>
      <c r="E416" s="85">
        <f>STATS1003B!E417/1000</f>
        <v>726.14670000000001</v>
      </c>
      <c r="F416" s="85">
        <f>STATS1003B!F417/1000</f>
        <v>715.11800000000005</v>
      </c>
      <c r="G416" s="85">
        <f>STATS1003B!G417/1000</f>
        <v>0</v>
      </c>
      <c r="H416" s="85">
        <f>STATS1003B!H417/1000</f>
        <v>715.11800000000005</v>
      </c>
      <c r="I416" s="85">
        <f>STATS1003B!I417/1000</f>
        <v>0</v>
      </c>
      <c r="J416" s="85">
        <f>STATS1003B!J417/1000</f>
        <v>715.11800000000005</v>
      </c>
      <c r="K416" s="85">
        <f>STATS1003B!K417/1000</f>
        <v>11.028700000000001</v>
      </c>
      <c r="L416" s="85">
        <f>STATS1003B!L417/1000</f>
        <v>0</v>
      </c>
      <c r="M416" s="85">
        <f>STATS1003B!M417/1000</f>
        <v>715.11800000000005</v>
      </c>
      <c r="N416" s="85">
        <f>STATS1003B!N417/1000</f>
        <v>11.028700000000001</v>
      </c>
      <c r="O416" s="85">
        <f>STATS1003B!O417/1000</f>
        <v>0</v>
      </c>
      <c r="P416" s="85">
        <f>STATS1003B!P417/1000</f>
        <v>11.028700000000001</v>
      </c>
      <c r="Q416" s="85">
        <f>STATS1003B!Q417/1000</f>
        <v>0</v>
      </c>
      <c r="R416" s="85">
        <f>STATS1003B!R417/1000</f>
        <v>0</v>
      </c>
      <c r="S416" s="85">
        <f>STATS1003B!S417/1000</f>
        <v>0</v>
      </c>
      <c r="T416" s="85">
        <f>STATS1003B!T417/1000</f>
        <v>0</v>
      </c>
      <c r="U416" s="85">
        <f>STATS1003B!U417/1000</f>
        <v>11.028700000000001</v>
      </c>
      <c r="V416" s="85">
        <f>STATS1003B!V417/1000</f>
        <v>0</v>
      </c>
      <c r="W416" s="85">
        <f>STATS1003B!W417/1000</f>
        <v>0</v>
      </c>
      <c r="X416" s="85">
        <f t="shared" si="41"/>
        <v>726.14670000000001</v>
      </c>
      <c r="Y416" s="85">
        <f>STATS1003B!Y417/1000</f>
        <v>0</v>
      </c>
      <c r="Z416" s="85">
        <f>STATS1003B!Z417/1000</f>
        <v>0</v>
      </c>
      <c r="AA416" s="69">
        <f>STATS1003B!AA417/1000</f>
        <v>726.14670000000001</v>
      </c>
      <c r="AB416" s="69">
        <f>STATS1003B!AB417/1000</f>
        <v>0</v>
      </c>
    </row>
    <row r="417" spans="1:28" hidden="1" x14ac:dyDescent="0.3">
      <c r="A417" s="117"/>
      <c r="C417" s="68" t="s">
        <v>543</v>
      </c>
      <c r="E417" s="85">
        <f>STATS1003B!E418/1000</f>
        <v>2500</v>
      </c>
      <c r="F417" s="85">
        <f>STATS1003B!F418/1000</f>
        <v>2500</v>
      </c>
      <c r="G417" s="85">
        <f>STATS1003B!G418/1000</f>
        <v>0</v>
      </c>
      <c r="H417" s="85">
        <f>STATS1003B!H418/1000</f>
        <v>2500</v>
      </c>
      <c r="I417" s="85">
        <f>STATS1003B!I418/1000</f>
        <v>0</v>
      </c>
      <c r="J417" s="85">
        <f>STATS1003B!J418/1000</f>
        <v>2500</v>
      </c>
      <c r="K417" s="85">
        <f>STATS1003B!K418/1000</f>
        <v>0</v>
      </c>
      <c r="L417" s="85">
        <f>STATS1003B!L418/1000</f>
        <v>0</v>
      </c>
      <c r="M417" s="85">
        <f>STATS1003B!M418/1000</f>
        <v>2500</v>
      </c>
      <c r="N417" s="85">
        <f>STATS1003B!N418/1000</f>
        <v>0</v>
      </c>
      <c r="O417" s="85">
        <f>STATS1003B!O418/1000</f>
        <v>0</v>
      </c>
      <c r="P417" s="85">
        <f>STATS1003B!P418/1000</f>
        <v>0</v>
      </c>
      <c r="Q417" s="85">
        <f>STATS1003B!Q418/1000</f>
        <v>0</v>
      </c>
      <c r="R417" s="85">
        <f>STATS1003B!R418/1000</f>
        <v>0</v>
      </c>
      <c r="S417" s="85">
        <f>STATS1003B!S418/1000</f>
        <v>0</v>
      </c>
      <c r="T417" s="85">
        <f>STATS1003B!T418/1000</f>
        <v>0</v>
      </c>
      <c r="U417" s="85">
        <f>STATS1003B!U418/1000</f>
        <v>0</v>
      </c>
      <c r="V417" s="85">
        <f>STATS1003B!V418/1000</f>
        <v>0</v>
      </c>
      <c r="W417" s="85">
        <f>STATS1003B!W418/1000</f>
        <v>0</v>
      </c>
      <c r="X417" s="85">
        <f t="shared" si="41"/>
        <v>2500</v>
      </c>
      <c r="Y417" s="85">
        <f>STATS1003B!Y418/1000</f>
        <v>0</v>
      </c>
      <c r="Z417" s="85">
        <f>STATS1003B!Z418/1000</f>
        <v>0</v>
      </c>
      <c r="AA417" s="69">
        <f>STATS1003B!AA418/1000</f>
        <v>2500</v>
      </c>
      <c r="AB417" s="69">
        <f>STATS1003B!AB418/1000</f>
        <v>0</v>
      </c>
    </row>
    <row r="418" spans="1:28" hidden="1" x14ac:dyDescent="0.3">
      <c r="A418" s="117"/>
      <c r="E418" s="86" t="s">
        <v>29</v>
      </c>
      <c r="F418" s="86" t="s">
        <v>29</v>
      </c>
      <c r="G418" s="86" t="s">
        <v>29</v>
      </c>
      <c r="H418" s="86" t="s">
        <v>29</v>
      </c>
      <c r="I418" s="86" t="s">
        <v>29</v>
      </c>
      <c r="J418" s="86" t="s">
        <v>29</v>
      </c>
      <c r="K418" s="86" t="s">
        <v>29</v>
      </c>
      <c r="L418" s="86" t="s">
        <v>29</v>
      </c>
      <c r="M418" s="86" t="s">
        <v>29</v>
      </c>
      <c r="N418" s="86" t="s">
        <v>29</v>
      </c>
      <c r="O418" s="86" t="s">
        <v>29</v>
      </c>
      <c r="P418" s="86" t="s">
        <v>29</v>
      </c>
      <c r="Q418" s="86" t="s">
        <v>29</v>
      </c>
      <c r="R418" s="86" t="s">
        <v>29</v>
      </c>
      <c r="S418" s="86" t="s">
        <v>29</v>
      </c>
      <c r="T418" s="86" t="s">
        <v>29</v>
      </c>
      <c r="U418" s="86" t="s">
        <v>29</v>
      </c>
      <c r="V418" s="86" t="s">
        <v>29</v>
      </c>
      <c r="W418" s="86" t="s">
        <v>29</v>
      </c>
      <c r="X418" s="85" t="e">
        <f t="shared" si="41"/>
        <v>#VALUE!</v>
      </c>
      <c r="Y418" s="86" t="s">
        <v>29</v>
      </c>
      <c r="Z418" s="86" t="s">
        <v>29</v>
      </c>
      <c r="AA418" s="115" t="s">
        <v>29</v>
      </c>
      <c r="AB418" s="115" t="s">
        <v>29</v>
      </c>
    </row>
    <row r="419" spans="1:28" x14ac:dyDescent="0.3">
      <c r="A419" s="116" t="s">
        <v>951</v>
      </c>
      <c r="B419" s="68" t="s">
        <v>588</v>
      </c>
      <c r="E419" s="85">
        <f>91860697.4/1000</f>
        <v>91860.697400000005</v>
      </c>
      <c r="F419" s="85">
        <f t="shared" ref="F419:Q419" si="44">SUM(F401:F418)</f>
        <v>23239.926599999999</v>
      </c>
      <c r="G419" s="85">
        <f t="shared" si="44"/>
        <v>0</v>
      </c>
      <c r="H419" s="85">
        <f>84153539.68/1000</f>
        <v>84153.539680000002</v>
      </c>
      <c r="I419" s="85">
        <f t="shared" si="44"/>
        <v>0</v>
      </c>
      <c r="J419" s="85">
        <f t="shared" si="44"/>
        <v>23239.926599999999</v>
      </c>
      <c r="K419" s="85">
        <f t="shared" si="44"/>
        <v>7707.1577199999992</v>
      </c>
      <c r="L419" s="85">
        <f t="shared" si="44"/>
        <v>0</v>
      </c>
      <c r="M419" s="85">
        <f t="shared" si="44"/>
        <v>23239.926599999999</v>
      </c>
      <c r="N419" s="85">
        <f t="shared" si="44"/>
        <v>7707.1577199999992</v>
      </c>
      <c r="O419" s="85">
        <f t="shared" si="44"/>
        <v>0</v>
      </c>
      <c r="P419" s="85">
        <f>7707157/1000</f>
        <v>7707.1570000000002</v>
      </c>
      <c r="Q419" s="85">
        <f t="shared" si="44"/>
        <v>0</v>
      </c>
      <c r="R419" s="86"/>
      <c r="S419" s="86"/>
      <c r="T419" s="85">
        <f t="shared" ref="T419:Z419" si="45">SUM(T401:T418)</f>
        <v>0</v>
      </c>
      <c r="U419" s="85">
        <f t="shared" si="45"/>
        <v>7707.1577199999992</v>
      </c>
      <c r="V419" s="85">
        <f t="shared" si="45"/>
        <v>0</v>
      </c>
      <c r="W419" s="85">
        <f t="shared" si="45"/>
        <v>0</v>
      </c>
      <c r="X419" s="85">
        <f>+H419+P419</f>
        <v>91860.696680000008</v>
      </c>
      <c r="Y419" s="85">
        <f t="shared" si="45"/>
        <v>0</v>
      </c>
      <c r="Z419" s="85">
        <f t="shared" si="45"/>
        <v>0</v>
      </c>
      <c r="AA419" s="69">
        <f>SUM(AA401:AA418)</f>
        <v>30947.084319999998</v>
      </c>
      <c r="AB419" s="69">
        <f>SUM(AB401:AB418)</f>
        <v>0</v>
      </c>
    </row>
    <row r="420" spans="1:28" x14ac:dyDescent="0.3">
      <c r="A420" s="117"/>
      <c r="E420" s="86"/>
      <c r="F420" s="86"/>
      <c r="G420" s="86"/>
      <c r="H420" s="86"/>
      <c r="I420" s="86"/>
      <c r="J420" s="86"/>
      <c r="K420" s="86"/>
      <c r="L420" s="86"/>
      <c r="M420" s="86"/>
      <c r="N420" s="86"/>
      <c r="O420" s="86"/>
      <c r="P420" s="86"/>
      <c r="Q420" s="86"/>
      <c r="R420" s="86"/>
      <c r="S420" s="86"/>
      <c r="T420" s="86"/>
      <c r="U420" s="86"/>
      <c r="V420" s="86"/>
      <c r="W420" s="86"/>
      <c r="X420" s="86"/>
      <c r="Y420" s="86"/>
      <c r="Z420" s="86"/>
      <c r="AA420" s="115" t="s">
        <v>29</v>
      </c>
      <c r="AB420" s="115" t="s">
        <v>29</v>
      </c>
    </row>
    <row r="421" spans="1:28" s="106" customFormat="1" x14ac:dyDescent="0.3">
      <c r="A421" s="104"/>
      <c r="B421" s="7" t="s">
        <v>593</v>
      </c>
      <c r="C421" s="7" t="s">
        <v>3</v>
      </c>
      <c r="D421" s="8"/>
      <c r="E421" s="82">
        <f t="shared" ref="E421:AB421" si="46">E261+E280+E312+E333+E369+E398+E419</f>
        <v>796899.29824999999</v>
      </c>
      <c r="F421" s="82">
        <f t="shared" si="46"/>
        <v>250971.04403000002</v>
      </c>
      <c r="G421" s="82">
        <f t="shared" si="46"/>
        <v>0</v>
      </c>
      <c r="H421" s="82">
        <f t="shared" si="46"/>
        <v>738428.38045000006</v>
      </c>
      <c r="I421" s="82" t="e">
        <f t="shared" si="46"/>
        <v>#VALUE!</v>
      </c>
      <c r="J421" s="82">
        <f t="shared" si="46"/>
        <v>226900.59595000002</v>
      </c>
      <c r="K421" s="82">
        <f t="shared" si="46"/>
        <v>53407.78813999999</v>
      </c>
      <c r="L421" s="82">
        <f t="shared" si="46"/>
        <v>3439.4380000000001</v>
      </c>
      <c r="M421" s="82">
        <f t="shared" si="46"/>
        <v>254410.48203000001</v>
      </c>
      <c r="N421" s="82">
        <f t="shared" si="46"/>
        <v>53431.510840000003</v>
      </c>
      <c r="O421" s="82">
        <f t="shared" si="46"/>
        <v>0</v>
      </c>
      <c r="P421" s="82">
        <f t="shared" si="46"/>
        <v>53431.507000000005</v>
      </c>
      <c r="Q421" s="82">
        <f t="shared" si="46"/>
        <v>27061.636740000002</v>
      </c>
      <c r="R421" s="82">
        <f t="shared" si="46"/>
        <v>0</v>
      </c>
      <c r="S421" s="82">
        <f t="shared" si="46"/>
        <v>0</v>
      </c>
      <c r="T421" s="82">
        <f t="shared" si="46"/>
        <v>88.582650000000001</v>
      </c>
      <c r="U421" s="82">
        <f t="shared" si="46"/>
        <v>53520.092980000001</v>
      </c>
      <c r="V421" s="82">
        <f t="shared" si="46"/>
        <v>0</v>
      </c>
      <c r="W421" s="82">
        <f t="shared" si="46"/>
        <v>0</v>
      </c>
      <c r="X421" s="82">
        <f t="shared" si="46"/>
        <v>791859.88745000004</v>
      </c>
      <c r="Y421" s="82">
        <f t="shared" si="46"/>
        <v>0</v>
      </c>
      <c r="Z421" s="82">
        <f t="shared" si="46"/>
        <v>5039.4100799999796</v>
      </c>
      <c r="AA421" s="9">
        <f t="shared" si="46"/>
        <v>307930.57552000007</v>
      </c>
      <c r="AB421" s="9">
        <f t="shared" si="46"/>
        <v>1511.3863299999998</v>
      </c>
    </row>
    <row r="422" spans="1:28" x14ac:dyDescent="0.3">
      <c r="A422" s="117"/>
      <c r="E422" s="86"/>
      <c r="F422" s="86"/>
      <c r="G422" s="86"/>
      <c r="H422" s="86"/>
      <c r="I422" s="86"/>
      <c r="J422" s="86"/>
      <c r="K422" s="86"/>
      <c r="L422" s="86"/>
      <c r="M422" s="86"/>
      <c r="N422" s="86"/>
      <c r="O422" s="86"/>
      <c r="P422" s="86"/>
      <c r="Q422" s="86"/>
      <c r="R422" s="86"/>
      <c r="S422" s="86"/>
      <c r="T422" s="86"/>
      <c r="U422" s="86"/>
      <c r="V422" s="86"/>
      <c r="W422" s="86"/>
      <c r="X422" s="86"/>
      <c r="Y422" s="86"/>
      <c r="Z422" s="86"/>
      <c r="AA422" s="115" t="s">
        <v>114</v>
      </c>
      <c r="AB422" s="115" t="s">
        <v>114</v>
      </c>
    </row>
    <row r="423" spans="1:28" x14ac:dyDescent="0.3">
      <c r="A423" s="117"/>
      <c r="B423" s="68" t="s">
        <v>134</v>
      </c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118"/>
    </row>
    <row r="424" spans="1:28" hidden="1" x14ac:dyDescent="0.3">
      <c r="A424" s="117"/>
      <c r="B424" s="68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</row>
    <row r="425" spans="1:28" hidden="1" x14ac:dyDescent="0.3">
      <c r="A425" s="105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</row>
    <row r="426" spans="1:28" hidden="1" x14ac:dyDescent="0.3">
      <c r="A426" s="117"/>
      <c r="C426" s="68" t="s">
        <v>136</v>
      </c>
      <c r="D426" s="71" t="s">
        <v>137</v>
      </c>
      <c r="E426" s="85">
        <f>STATS1003B!E427/1000</f>
        <v>8432.6502500000006</v>
      </c>
      <c r="F426" s="85">
        <f>STATS1003B!F427/1000</f>
        <v>7929.1683000000012</v>
      </c>
      <c r="G426" s="85">
        <f>STATS1003B!G427/1000</f>
        <v>0</v>
      </c>
      <c r="H426" s="85">
        <f>STATS1003B!H427/1000</f>
        <v>7929.1683000000012</v>
      </c>
      <c r="I426" s="85">
        <f>STATS1003B!I427/1000</f>
        <v>0</v>
      </c>
      <c r="J426" s="85">
        <f>STATS1003B!J427/1000</f>
        <v>0</v>
      </c>
      <c r="K426" s="85">
        <f>STATS1003B!K427/1000</f>
        <v>0</v>
      </c>
      <c r="L426" s="85">
        <f>STATS1003B!L427/1000</f>
        <v>0</v>
      </c>
      <c r="M426" s="85">
        <f>STATS1003B!M427/1000</f>
        <v>7929.1683000000012</v>
      </c>
      <c r="N426" s="85">
        <f>STATS1003B!N427/1000</f>
        <v>503.48194999999993</v>
      </c>
      <c r="O426" s="85">
        <f>STATS1003B!O427/1000</f>
        <v>0</v>
      </c>
      <c r="P426" s="85">
        <f>STATS1003B!P427/1000</f>
        <v>503.48194999999993</v>
      </c>
      <c r="Q426" s="85">
        <f>STATS1003B!Q427/1000</f>
        <v>0</v>
      </c>
      <c r="R426" s="85">
        <f>STATS1003B!R427/1000</f>
        <v>0</v>
      </c>
      <c r="S426" s="85">
        <f>STATS1003B!S427/1000</f>
        <v>0</v>
      </c>
      <c r="T426" s="85">
        <f>STATS1003B!T427/1000</f>
        <v>0</v>
      </c>
      <c r="U426" s="85">
        <f>STATS1003B!U427/1000</f>
        <v>503.48194999999993</v>
      </c>
      <c r="V426" s="85">
        <f>STATS1003B!V427/1000</f>
        <v>8432.6502500000006</v>
      </c>
      <c r="W426" s="85">
        <f>STATS1003B!W427/1000</f>
        <v>0</v>
      </c>
      <c r="X426" s="85">
        <f>STATS1003B!X427/1000</f>
        <v>8432.6502500000006</v>
      </c>
      <c r="Y426" s="85">
        <f>STATS1003B!Y427/1000</f>
        <v>0</v>
      </c>
      <c r="Z426" s="85">
        <f>STATS1003B!Z427/1000</f>
        <v>0</v>
      </c>
      <c r="AA426" s="69">
        <f>STATS1003B!AA427/1000</f>
        <v>8432.6502500000006</v>
      </c>
      <c r="AB426" s="69">
        <f>STATS1003B!AB427/1000</f>
        <v>0</v>
      </c>
    </row>
    <row r="427" spans="1:28" hidden="1" x14ac:dyDescent="0.3">
      <c r="A427" s="117"/>
      <c r="C427" s="68" t="s">
        <v>55</v>
      </c>
      <c r="D427" s="88" t="s">
        <v>68</v>
      </c>
      <c r="E427" s="85">
        <f>STATS1003B!E428/1000</f>
        <v>4705.00929</v>
      </c>
      <c r="F427" s="85">
        <f>STATS1003B!F428/1000</f>
        <v>0</v>
      </c>
      <c r="G427" s="85">
        <f>STATS1003B!G428/1000</f>
        <v>0</v>
      </c>
      <c r="H427" s="85">
        <f>STATS1003B!H428/1000</f>
        <v>0</v>
      </c>
      <c r="I427" s="85">
        <f>STATS1003B!I428/1000</f>
        <v>0</v>
      </c>
      <c r="J427" s="85">
        <f>STATS1003B!J428/1000</f>
        <v>0</v>
      </c>
      <c r="K427" s="85">
        <f>STATS1003B!K428/1000</f>
        <v>0</v>
      </c>
      <c r="L427" s="85">
        <f>STATS1003B!L428/1000</f>
        <v>0</v>
      </c>
      <c r="M427" s="85">
        <f>STATS1003B!M428/1000</f>
        <v>0</v>
      </c>
      <c r="N427" s="85">
        <f>STATS1003B!N428/1000</f>
        <v>4705.00929</v>
      </c>
      <c r="O427" s="85">
        <f>STATS1003B!O428/1000</f>
        <v>0</v>
      </c>
      <c r="P427" s="85">
        <f>STATS1003B!P428/1000</f>
        <v>4705.00929</v>
      </c>
      <c r="Q427" s="85">
        <f>STATS1003B!Q428/1000</f>
        <v>0</v>
      </c>
      <c r="R427" s="85">
        <f>STATS1003B!R428/1000</f>
        <v>0</v>
      </c>
      <c r="S427" s="85">
        <f>STATS1003B!S428/1000</f>
        <v>0</v>
      </c>
      <c r="T427" s="85">
        <f>STATS1003B!T428/1000</f>
        <v>0</v>
      </c>
      <c r="U427" s="85">
        <f>STATS1003B!U428/1000</f>
        <v>4705.00929</v>
      </c>
      <c r="V427" s="85">
        <f>STATS1003B!V428/1000</f>
        <v>4705.00929</v>
      </c>
      <c r="W427" s="85">
        <f>STATS1003B!W428/1000</f>
        <v>0</v>
      </c>
      <c r="X427" s="85">
        <f>STATS1003B!X428/1000</f>
        <v>4705.00929</v>
      </c>
      <c r="Y427" s="85">
        <f>STATS1003B!Y428/1000</f>
        <v>0</v>
      </c>
      <c r="Z427" s="85">
        <f>STATS1003B!Z428/1000</f>
        <v>0</v>
      </c>
      <c r="AA427" s="69">
        <f>STATS1003B!AA428/1000</f>
        <v>4705.00929</v>
      </c>
      <c r="AB427" s="69">
        <f>STATS1003B!AB428/1000</f>
        <v>0</v>
      </c>
    </row>
    <row r="428" spans="1:28" hidden="1" x14ac:dyDescent="0.3">
      <c r="A428" s="117"/>
      <c r="C428" s="71" t="s">
        <v>138</v>
      </c>
      <c r="D428" s="71" t="s">
        <v>139</v>
      </c>
      <c r="E428" s="85">
        <f>STATS1003B!E429/1000</f>
        <v>3252.6264000000001</v>
      </c>
      <c r="F428" s="85">
        <f>STATS1003B!F429/1000</f>
        <v>3252.6264000000001</v>
      </c>
      <c r="G428" s="85">
        <f>STATS1003B!G429/1000</f>
        <v>0</v>
      </c>
      <c r="H428" s="85">
        <f>STATS1003B!H429/1000</f>
        <v>3252.6264000000001</v>
      </c>
      <c r="I428" s="85">
        <f>STATS1003B!I429/1000</f>
        <v>0</v>
      </c>
      <c r="J428" s="85">
        <f>STATS1003B!J429/1000</f>
        <v>0</v>
      </c>
      <c r="K428" s="85">
        <f>STATS1003B!K429/1000</f>
        <v>0</v>
      </c>
      <c r="L428" s="85">
        <f>STATS1003B!L429/1000</f>
        <v>0</v>
      </c>
      <c r="M428" s="85">
        <f>STATS1003B!M429/1000</f>
        <v>3252.6264000000001</v>
      </c>
      <c r="N428" s="85">
        <f>STATS1003B!N429/1000</f>
        <v>0</v>
      </c>
      <c r="O428" s="85">
        <f>STATS1003B!O429/1000</f>
        <v>0</v>
      </c>
      <c r="P428" s="85">
        <f>STATS1003B!P429/1000</f>
        <v>0</v>
      </c>
      <c r="Q428" s="85">
        <f>STATS1003B!Q429/1000</f>
        <v>0</v>
      </c>
      <c r="R428" s="85">
        <f>STATS1003B!R429/1000</f>
        <v>0</v>
      </c>
      <c r="S428" s="85">
        <f>STATS1003B!S429/1000</f>
        <v>0</v>
      </c>
      <c r="T428" s="85">
        <f>STATS1003B!T429/1000</f>
        <v>0</v>
      </c>
      <c r="U428" s="85">
        <f>STATS1003B!U429/1000</f>
        <v>0</v>
      </c>
      <c r="V428" s="85">
        <f>STATS1003B!V429/1000</f>
        <v>3252.6264000000001</v>
      </c>
      <c r="W428" s="85">
        <f>STATS1003B!W429/1000</f>
        <v>0</v>
      </c>
      <c r="X428" s="85">
        <f>STATS1003B!X429/1000</f>
        <v>3252.6264000000001</v>
      </c>
      <c r="Y428" s="85">
        <f>STATS1003B!Y429/1000</f>
        <v>0</v>
      </c>
      <c r="Z428" s="85">
        <f>STATS1003B!Z429/1000</f>
        <v>0</v>
      </c>
      <c r="AA428" s="69">
        <f>STATS1003B!AA429/1000</f>
        <v>3252.6264000000001</v>
      </c>
      <c r="AB428" s="69">
        <f>STATS1003B!AB429/1000</f>
        <v>0</v>
      </c>
    </row>
    <row r="429" spans="1:28" hidden="1" x14ac:dyDescent="0.3">
      <c r="A429" s="117"/>
      <c r="C429" s="68" t="s">
        <v>53</v>
      </c>
      <c r="D429" s="88" t="s">
        <v>54</v>
      </c>
      <c r="E429" s="85">
        <f>STATS1003B!E430/1000</f>
        <v>1767.77</v>
      </c>
      <c r="F429" s="85">
        <f>STATS1003B!F430/1000</f>
        <v>0</v>
      </c>
      <c r="G429" s="85">
        <f>STATS1003B!G430/1000</f>
        <v>0</v>
      </c>
      <c r="H429" s="85">
        <f>STATS1003B!H430/1000</f>
        <v>0</v>
      </c>
      <c r="I429" s="85">
        <f>STATS1003B!I430/1000</f>
        <v>0</v>
      </c>
      <c r="J429" s="85">
        <f>STATS1003B!J430/1000</f>
        <v>0</v>
      </c>
      <c r="K429" s="85">
        <f>STATS1003B!K430/1000</f>
        <v>0</v>
      </c>
      <c r="L429" s="85">
        <f>STATS1003B!L430/1000</f>
        <v>0</v>
      </c>
      <c r="M429" s="85">
        <f>STATS1003B!M430/1000</f>
        <v>0</v>
      </c>
      <c r="N429" s="85">
        <f>STATS1003B!N430/1000</f>
        <v>1767.77</v>
      </c>
      <c r="O429" s="85">
        <f>STATS1003B!O430/1000</f>
        <v>0</v>
      </c>
      <c r="P429" s="85">
        <f>STATS1003B!P430/1000</f>
        <v>1767.77</v>
      </c>
      <c r="Q429" s="85">
        <f>STATS1003B!Q430/1000</f>
        <v>0</v>
      </c>
      <c r="R429" s="85">
        <f>STATS1003B!R430/1000</f>
        <v>0</v>
      </c>
      <c r="S429" s="85">
        <f>STATS1003B!S430/1000</f>
        <v>0</v>
      </c>
      <c r="T429" s="85">
        <f>STATS1003B!T430/1000</f>
        <v>0</v>
      </c>
      <c r="U429" s="85">
        <f>STATS1003B!U430/1000</f>
        <v>1767.77</v>
      </c>
      <c r="V429" s="85">
        <f>STATS1003B!V430/1000</f>
        <v>1767.77</v>
      </c>
      <c r="W429" s="85">
        <f>STATS1003B!W430/1000</f>
        <v>0</v>
      </c>
      <c r="X429" s="85">
        <f>STATS1003B!X430/1000</f>
        <v>1767.77</v>
      </c>
      <c r="Y429" s="85">
        <f>STATS1003B!Y430/1000</f>
        <v>0</v>
      </c>
      <c r="Z429" s="85">
        <f>STATS1003B!Z430/1000</f>
        <v>0</v>
      </c>
      <c r="AA429" s="69">
        <f>STATS1003B!AA430/1000</f>
        <v>1767.77</v>
      </c>
      <c r="AB429" s="69">
        <f>STATS1003B!AB430/1000</f>
        <v>0</v>
      </c>
    </row>
    <row r="430" spans="1:28" hidden="1" x14ac:dyDescent="0.3">
      <c r="A430" s="117"/>
      <c r="C430" s="68" t="s">
        <v>140</v>
      </c>
      <c r="D430" s="88" t="s">
        <v>54</v>
      </c>
      <c r="E430" s="85">
        <f>STATS1003B!E431/1000</f>
        <v>475</v>
      </c>
      <c r="F430" s="85">
        <f>STATS1003B!F431/1000</f>
        <v>475</v>
      </c>
      <c r="G430" s="85">
        <f>STATS1003B!G431/1000</f>
        <v>0</v>
      </c>
      <c r="H430" s="85">
        <f>STATS1003B!H431/1000</f>
        <v>475</v>
      </c>
      <c r="I430" s="85">
        <f>STATS1003B!I431/1000</f>
        <v>0</v>
      </c>
      <c r="J430" s="85">
        <f>STATS1003B!J431/1000</f>
        <v>0</v>
      </c>
      <c r="K430" s="85">
        <f>STATS1003B!K431/1000</f>
        <v>0</v>
      </c>
      <c r="L430" s="85">
        <f>STATS1003B!L431/1000</f>
        <v>0</v>
      </c>
      <c r="M430" s="85">
        <f>STATS1003B!M431/1000</f>
        <v>475</v>
      </c>
      <c r="N430" s="85">
        <f>STATS1003B!N431/1000</f>
        <v>0</v>
      </c>
      <c r="O430" s="85">
        <f>STATS1003B!O431/1000</f>
        <v>0</v>
      </c>
      <c r="P430" s="85">
        <f>STATS1003B!P431/1000</f>
        <v>0</v>
      </c>
      <c r="Q430" s="85">
        <f>STATS1003B!Q431/1000</f>
        <v>0</v>
      </c>
      <c r="R430" s="85">
        <f>STATS1003B!R431/1000</f>
        <v>0</v>
      </c>
      <c r="S430" s="85">
        <f>STATS1003B!S431/1000</f>
        <v>0</v>
      </c>
      <c r="T430" s="85">
        <f>STATS1003B!T431/1000</f>
        <v>0</v>
      </c>
      <c r="U430" s="85">
        <f>STATS1003B!U431/1000</f>
        <v>0</v>
      </c>
      <c r="V430" s="85">
        <f>STATS1003B!V431/1000</f>
        <v>475</v>
      </c>
      <c r="W430" s="85">
        <f>STATS1003B!W431/1000</f>
        <v>0</v>
      </c>
      <c r="X430" s="85">
        <f>STATS1003B!X431/1000</f>
        <v>475</v>
      </c>
      <c r="Y430" s="85">
        <f>STATS1003B!Y431/1000</f>
        <v>0</v>
      </c>
      <c r="Z430" s="85">
        <f>STATS1003B!Z431/1000</f>
        <v>0</v>
      </c>
      <c r="AA430" s="69">
        <f>STATS1003B!AA431/1000</f>
        <v>475</v>
      </c>
      <c r="AB430" s="69">
        <f>STATS1003B!AB431/1000</f>
        <v>0</v>
      </c>
    </row>
    <row r="431" spans="1:28" hidden="1" x14ac:dyDescent="0.3">
      <c r="A431" s="117"/>
      <c r="C431" s="71" t="s">
        <v>141</v>
      </c>
      <c r="D431" s="88" t="s">
        <v>54</v>
      </c>
      <c r="E431" s="85">
        <f>STATS1003B!E432/1000</f>
        <v>5244</v>
      </c>
      <c r="F431" s="85">
        <f>STATS1003B!F432/1000</f>
        <v>5244</v>
      </c>
      <c r="G431" s="85">
        <f>STATS1003B!G432/1000</f>
        <v>0</v>
      </c>
      <c r="H431" s="85">
        <f>STATS1003B!H432/1000</f>
        <v>5244</v>
      </c>
      <c r="I431" s="85">
        <f>STATS1003B!I432/1000</f>
        <v>0</v>
      </c>
      <c r="J431" s="85">
        <f>STATS1003B!J432/1000</f>
        <v>0</v>
      </c>
      <c r="K431" s="85">
        <f>STATS1003B!K432/1000</f>
        <v>0</v>
      </c>
      <c r="L431" s="85">
        <f>STATS1003B!L432/1000</f>
        <v>0</v>
      </c>
      <c r="M431" s="85">
        <f>STATS1003B!M432/1000</f>
        <v>5244</v>
      </c>
      <c r="N431" s="85">
        <f>STATS1003B!N432/1000</f>
        <v>0</v>
      </c>
      <c r="O431" s="85">
        <f>STATS1003B!O432/1000</f>
        <v>0</v>
      </c>
      <c r="P431" s="85">
        <f>STATS1003B!P432/1000</f>
        <v>0</v>
      </c>
      <c r="Q431" s="85">
        <f>STATS1003B!Q432/1000</f>
        <v>0</v>
      </c>
      <c r="R431" s="85">
        <f>STATS1003B!R432/1000</f>
        <v>0</v>
      </c>
      <c r="S431" s="85">
        <f>STATS1003B!S432/1000</f>
        <v>0</v>
      </c>
      <c r="T431" s="85">
        <f>STATS1003B!T432/1000</f>
        <v>0</v>
      </c>
      <c r="U431" s="85">
        <f>STATS1003B!U432/1000</f>
        <v>0</v>
      </c>
      <c r="V431" s="85">
        <f>STATS1003B!V432/1000</f>
        <v>5244</v>
      </c>
      <c r="W431" s="85">
        <f>STATS1003B!W432/1000</f>
        <v>0</v>
      </c>
      <c r="X431" s="85">
        <f>STATS1003B!X432/1000</f>
        <v>5244</v>
      </c>
      <c r="Y431" s="85">
        <f>STATS1003B!Y432/1000</f>
        <v>0</v>
      </c>
      <c r="Z431" s="85">
        <f>STATS1003B!Z432/1000</f>
        <v>0</v>
      </c>
      <c r="AA431" s="69">
        <f>STATS1003B!AA432/1000</f>
        <v>5244</v>
      </c>
      <c r="AB431" s="69">
        <f>STATS1003B!AB432/1000</f>
        <v>0</v>
      </c>
    </row>
    <row r="432" spans="1:28" hidden="1" x14ac:dyDescent="0.3">
      <c r="A432" s="117"/>
      <c r="C432" s="71" t="s">
        <v>142</v>
      </c>
      <c r="D432" s="88" t="s">
        <v>108</v>
      </c>
      <c r="E432" s="85">
        <f>STATS1003B!E433/1000</f>
        <v>500</v>
      </c>
      <c r="F432" s="85">
        <f>STATS1003B!F433/1000</f>
        <v>500</v>
      </c>
      <c r="G432" s="85">
        <f>STATS1003B!G433/1000</f>
        <v>0</v>
      </c>
      <c r="H432" s="85">
        <f>STATS1003B!H433/1000</f>
        <v>500</v>
      </c>
      <c r="I432" s="85">
        <f>STATS1003B!I433/1000</f>
        <v>0</v>
      </c>
      <c r="J432" s="85">
        <f>STATS1003B!J433/1000</f>
        <v>0</v>
      </c>
      <c r="K432" s="85">
        <f>STATS1003B!K433/1000</f>
        <v>0</v>
      </c>
      <c r="L432" s="85">
        <f>STATS1003B!L433/1000</f>
        <v>0</v>
      </c>
      <c r="M432" s="85">
        <f>STATS1003B!M433/1000</f>
        <v>500</v>
      </c>
      <c r="N432" s="85">
        <f>STATS1003B!N433/1000</f>
        <v>0</v>
      </c>
      <c r="O432" s="85">
        <f>STATS1003B!O433/1000</f>
        <v>0</v>
      </c>
      <c r="P432" s="85">
        <f>STATS1003B!P433/1000</f>
        <v>0</v>
      </c>
      <c r="Q432" s="85">
        <f>STATS1003B!Q433/1000</f>
        <v>0</v>
      </c>
      <c r="R432" s="85">
        <f>STATS1003B!R433/1000</f>
        <v>0</v>
      </c>
      <c r="S432" s="85">
        <f>STATS1003B!S433/1000</f>
        <v>0</v>
      </c>
      <c r="T432" s="85">
        <f>STATS1003B!T433/1000</f>
        <v>0</v>
      </c>
      <c r="U432" s="85">
        <f>STATS1003B!U433/1000</f>
        <v>0</v>
      </c>
      <c r="V432" s="85">
        <f>STATS1003B!V433/1000</f>
        <v>500</v>
      </c>
      <c r="W432" s="85">
        <f>STATS1003B!W433/1000</f>
        <v>0</v>
      </c>
      <c r="X432" s="85">
        <f>STATS1003B!X433/1000</f>
        <v>500</v>
      </c>
      <c r="Y432" s="85">
        <f>STATS1003B!Y433/1000</f>
        <v>0</v>
      </c>
      <c r="Z432" s="85">
        <f>STATS1003B!Z433/1000</f>
        <v>0</v>
      </c>
      <c r="AA432" s="69">
        <f>STATS1003B!AA433/1000</f>
        <v>500</v>
      </c>
      <c r="AB432" s="69">
        <f>STATS1003B!AB433/1000</f>
        <v>0</v>
      </c>
    </row>
    <row r="433" spans="1:28" hidden="1" x14ac:dyDescent="0.3">
      <c r="A433" s="117"/>
      <c r="C433" s="71" t="s">
        <v>143</v>
      </c>
      <c r="D433" s="88" t="s">
        <v>58</v>
      </c>
      <c r="E433" s="85">
        <f>STATS1003B!E434/1000</f>
        <v>5000</v>
      </c>
      <c r="F433" s="85">
        <f>STATS1003B!F434/1000</f>
        <v>5000</v>
      </c>
      <c r="G433" s="85">
        <f>STATS1003B!G434/1000</f>
        <v>0</v>
      </c>
      <c r="H433" s="85">
        <f>STATS1003B!H434/1000</f>
        <v>5000</v>
      </c>
      <c r="I433" s="85">
        <f>STATS1003B!I434/1000</f>
        <v>0</v>
      </c>
      <c r="J433" s="85">
        <f>STATS1003B!J434/1000</f>
        <v>0</v>
      </c>
      <c r="K433" s="85">
        <f>STATS1003B!K434/1000</f>
        <v>0</v>
      </c>
      <c r="L433" s="85">
        <f>STATS1003B!L434/1000</f>
        <v>0</v>
      </c>
      <c r="M433" s="85">
        <f>STATS1003B!M434/1000</f>
        <v>5000</v>
      </c>
      <c r="N433" s="85">
        <f>STATS1003B!N434/1000</f>
        <v>0</v>
      </c>
      <c r="O433" s="85">
        <f>STATS1003B!O434/1000</f>
        <v>0</v>
      </c>
      <c r="P433" s="85">
        <f>STATS1003B!P434/1000</f>
        <v>0</v>
      </c>
      <c r="Q433" s="85">
        <f>STATS1003B!Q434/1000</f>
        <v>0</v>
      </c>
      <c r="R433" s="85">
        <f>STATS1003B!R434/1000</f>
        <v>0</v>
      </c>
      <c r="S433" s="85">
        <f>STATS1003B!S434/1000</f>
        <v>0</v>
      </c>
      <c r="T433" s="85">
        <f>STATS1003B!T434/1000</f>
        <v>0</v>
      </c>
      <c r="U433" s="85">
        <f>STATS1003B!U434/1000</f>
        <v>0</v>
      </c>
      <c r="V433" s="85">
        <f>STATS1003B!V434/1000</f>
        <v>5000</v>
      </c>
      <c r="W433" s="85">
        <f>STATS1003B!W434/1000</f>
        <v>0</v>
      </c>
      <c r="X433" s="85">
        <f>STATS1003B!X434/1000</f>
        <v>5000</v>
      </c>
      <c r="Y433" s="85">
        <f>STATS1003B!Y434/1000</f>
        <v>0</v>
      </c>
      <c r="Z433" s="85">
        <f>STATS1003B!Z434/1000</f>
        <v>0</v>
      </c>
      <c r="AA433" s="69">
        <f>STATS1003B!AA434/1000</f>
        <v>5000</v>
      </c>
      <c r="AB433" s="69">
        <f>STATS1003B!AB434/1000</f>
        <v>0</v>
      </c>
    </row>
    <row r="434" spans="1:28" hidden="1" x14ac:dyDescent="0.3">
      <c r="A434" s="117"/>
      <c r="C434" s="71" t="s">
        <v>144</v>
      </c>
      <c r="D434" s="88" t="s">
        <v>73</v>
      </c>
      <c r="E434" s="85">
        <f>STATS1003B!E435/1000</f>
        <v>348.17</v>
      </c>
      <c r="F434" s="85">
        <f>STATS1003B!F435/1000</f>
        <v>348.17</v>
      </c>
      <c r="G434" s="85">
        <f>STATS1003B!G435/1000</f>
        <v>0</v>
      </c>
      <c r="H434" s="85">
        <f>STATS1003B!H435/1000</f>
        <v>348.17</v>
      </c>
      <c r="I434" s="85">
        <f>STATS1003B!I435/1000</f>
        <v>0</v>
      </c>
      <c r="J434" s="85">
        <f>STATS1003B!J435/1000</f>
        <v>0</v>
      </c>
      <c r="K434" s="85">
        <f>STATS1003B!K435/1000</f>
        <v>0</v>
      </c>
      <c r="L434" s="85">
        <f>STATS1003B!L435/1000</f>
        <v>0</v>
      </c>
      <c r="M434" s="85">
        <f>STATS1003B!M435/1000</f>
        <v>348.17</v>
      </c>
      <c r="N434" s="85">
        <f>STATS1003B!N435/1000</f>
        <v>0</v>
      </c>
      <c r="O434" s="85">
        <f>STATS1003B!O435/1000</f>
        <v>0</v>
      </c>
      <c r="P434" s="85">
        <f>STATS1003B!P435/1000</f>
        <v>0</v>
      </c>
      <c r="Q434" s="85">
        <f>STATS1003B!Q435/1000</f>
        <v>0</v>
      </c>
      <c r="R434" s="85">
        <f>STATS1003B!R435/1000</f>
        <v>0</v>
      </c>
      <c r="S434" s="85">
        <f>STATS1003B!S435/1000</f>
        <v>0</v>
      </c>
      <c r="T434" s="85">
        <f>STATS1003B!T435/1000</f>
        <v>0</v>
      </c>
      <c r="U434" s="85">
        <f>STATS1003B!U435/1000</f>
        <v>0</v>
      </c>
      <c r="V434" s="85">
        <f>STATS1003B!V435/1000</f>
        <v>348.17</v>
      </c>
      <c r="W434" s="85">
        <f>STATS1003B!W435/1000</f>
        <v>0</v>
      </c>
      <c r="X434" s="85">
        <f>STATS1003B!X435/1000</f>
        <v>348.17</v>
      </c>
      <c r="Y434" s="85">
        <f>STATS1003B!Y435/1000</f>
        <v>0</v>
      </c>
      <c r="Z434" s="85">
        <f>STATS1003B!Z435/1000</f>
        <v>0</v>
      </c>
      <c r="AA434" s="69">
        <f>STATS1003B!AA435/1000</f>
        <v>348.17</v>
      </c>
      <c r="AB434" s="69">
        <f>STATS1003B!AB435/1000</f>
        <v>0</v>
      </c>
    </row>
    <row r="435" spans="1:28" hidden="1" x14ac:dyDescent="0.3">
      <c r="A435" s="117"/>
      <c r="C435" s="71" t="s">
        <v>925</v>
      </c>
      <c r="D435" s="89" t="s">
        <v>1072</v>
      </c>
      <c r="E435" s="85">
        <f>STATS1003B!E436/1000</f>
        <v>151.83000000000001</v>
      </c>
      <c r="F435" s="85">
        <f>STATS1003B!F436/1000</f>
        <v>151.83000000000001</v>
      </c>
      <c r="G435" s="85">
        <f>STATS1003B!G436/1000</f>
        <v>0</v>
      </c>
      <c r="H435" s="85">
        <f>STATS1003B!H436/1000</f>
        <v>151.83000000000001</v>
      </c>
      <c r="I435" s="85">
        <f>STATS1003B!I436/1000</f>
        <v>0</v>
      </c>
      <c r="J435" s="85">
        <f>STATS1003B!J436/1000</f>
        <v>0</v>
      </c>
      <c r="K435" s="85">
        <f>STATS1003B!K436/1000</f>
        <v>0</v>
      </c>
      <c r="L435" s="85">
        <f>STATS1003B!L436/1000</f>
        <v>0</v>
      </c>
      <c r="M435" s="85">
        <f>STATS1003B!M436/1000</f>
        <v>151.83000000000001</v>
      </c>
      <c r="N435" s="85">
        <f>STATS1003B!N436/1000</f>
        <v>0</v>
      </c>
      <c r="O435" s="85">
        <f>STATS1003B!O436/1000</f>
        <v>0</v>
      </c>
      <c r="P435" s="85">
        <f>STATS1003B!P436/1000</f>
        <v>0</v>
      </c>
      <c r="Q435" s="85">
        <f>STATS1003B!Q436/1000</f>
        <v>0</v>
      </c>
      <c r="R435" s="85">
        <f>STATS1003B!R436/1000</f>
        <v>0</v>
      </c>
      <c r="S435" s="85">
        <f>STATS1003B!S436/1000</f>
        <v>0</v>
      </c>
      <c r="T435" s="85">
        <f>STATS1003B!T436/1000</f>
        <v>0</v>
      </c>
      <c r="U435" s="85">
        <f>STATS1003B!U436/1000</f>
        <v>0</v>
      </c>
      <c r="V435" s="85">
        <f>STATS1003B!V436/1000</f>
        <v>151.83000000000001</v>
      </c>
      <c r="W435" s="85">
        <f>STATS1003B!W436/1000</f>
        <v>0</v>
      </c>
      <c r="X435" s="85">
        <f>STATS1003B!X436/1000</f>
        <v>151.83000000000001</v>
      </c>
      <c r="Y435" s="85">
        <f>STATS1003B!Y436/1000</f>
        <v>0</v>
      </c>
      <c r="Z435" s="85">
        <f>STATS1003B!Z436/1000</f>
        <v>0</v>
      </c>
      <c r="AA435" s="69">
        <f>STATS1003B!AA436/1000</f>
        <v>151.83000000000001</v>
      </c>
      <c r="AB435" s="69">
        <f>STATS1003B!AB436/1000</f>
        <v>0</v>
      </c>
    </row>
    <row r="436" spans="1:28" hidden="1" x14ac:dyDescent="0.3">
      <c r="A436" s="117"/>
      <c r="C436" s="71" t="s">
        <v>143</v>
      </c>
      <c r="D436" s="89" t="s">
        <v>61</v>
      </c>
      <c r="E436" s="85">
        <f>STATS1003B!E437/1000</f>
        <v>549.09146999999996</v>
      </c>
      <c r="F436" s="85">
        <f>STATS1003B!F437/1000</f>
        <v>549.09146999999996</v>
      </c>
      <c r="G436" s="85">
        <f>STATS1003B!G437/1000</f>
        <v>0</v>
      </c>
      <c r="H436" s="85">
        <f>STATS1003B!H437/1000</f>
        <v>549.09146999999996</v>
      </c>
      <c r="I436" s="85">
        <f>STATS1003B!I437/1000</f>
        <v>0</v>
      </c>
      <c r="J436" s="85">
        <f>STATS1003B!J437/1000</f>
        <v>0</v>
      </c>
      <c r="K436" s="85">
        <f>STATS1003B!K437/1000</f>
        <v>0</v>
      </c>
      <c r="L436" s="85">
        <f>STATS1003B!L437/1000</f>
        <v>0</v>
      </c>
      <c r="M436" s="85">
        <f>STATS1003B!M437/1000</f>
        <v>549.09146999999996</v>
      </c>
      <c r="N436" s="85">
        <f>STATS1003B!N437/1000</f>
        <v>0</v>
      </c>
      <c r="O436" s="85">
        <f>STATS1003B!O437/1000</f>
        <v>0</v>
      </c>
      <c r="P436" s="85">
        <f>STATS1003B!P437/1000</f>
        <v>0</v>
      </c>
      <c r="Q436" s="85">
        <f>STATS1003B!Q437/1000</f>
        <v>0</v>
      </c>
      <c r="R436" s="85">
        <f>STATS1003B!R437/1000</f>
        <v>0</v>
      </c>
      <c r="S436" s="85">
        <f>STATS1003B!S437/1000</f>
        <v>0</v>
      </c>
      <c r="T436" s="85">
        <f>STATS1003B!T437/1000</f>
        <v>0</v>
      </c>
      <c r="U436" s="85">
        <f>STATS1003B!U437/1000</f>
        <v>0</v>
      </c>
      <c r="V436" s="85">
        <f>STATS1003B!V437/1000</f>
        <v>549.09146999999996</v>
      </c>
      <c r="W436" s="85">
        <f>STATS1003B!W437/1000</f>
        <v>0</v>
      </c>
      <c r="X436" s="85">
        <f>STATS1003B!X437/1000</f>
        <v>549.09146999999996</v>
      </c>
      <c r="Y436" s="85">
        <f>STATS1003B!Y437/1000</f>
        <v>0</v>
      </c>
      <c r="Z436" s="85">
        <f>STATS1003B!Z437/1000</f>
        <v>0</v>
      </c>
      <c r="AA436" s="69">
        <f>STATS1003B!AA437/1000</f>
        <v>549.09146999999996</v>
      </c>
      <c r="AB436" s="69">
        <f>STATS1003B!AB437/1000</f>
        <v>0</v>
      </c>
    </row>
    <row r="437" spans="1:28" hidden="1" x14ac:dyDescent="0.3">
      <c r="A437" s="117"/>
      <c r="C437" s="71" t="s">
        <v>930</v>
      </c>
      <c r="D437" s="89" t="s">
        <v>1072</v>
      </c>
      <c r="E437" s="85">
        <f>STATS1003B!E438/1000</f>
        <v>1298.3228300000001</v>
      </c>
      <c r="F437" s="85">
        <f>STATS1003B!F438/1000</f>
        <v>1298.3228300000001</v>
      </c>
      <c r="G437" s="85">
        <f>STATS1003B!G438/1000</f>
        <v>0</v>
      </c>
      <c r="H437" s="85">
        <f>STATS1003B!H438/1000</f>
        <v>1298.3228300000001</v>
      </c>
      <c r="I437" s="85">
        <f>STATS1003B!I438/1000</f>
        <v>0</v>
      </c>
      <c r="J437" s="85">
        <f>STATS1003B!J438/1000</f>
        <v>0</v>
      </c>
      <c r="K437" s="85">
        <f>STATS1003B!K438/1000</f>
        <v>0</v>
      </c>
      <c r="L437" s="85">
        <f>STATS1003B!L438/1000</f>
        <v>0</v>
      </c>
      <c r="M437" s="85">
        <f>STATS1003B!M438/1000</f>
        <v>1298.3228300000001</v>
      </c>
      <c r="N437" s="85">
        <f>STATS1003B!N438/1000</f>
        <v>0</v>
      </c>
      <c r="O437" s="85">
        <f>STATS1003B!O438/1000</f>
        <v>0</v>
      </c>
      <c r="P437" s="85">
        <f>STATS1003B!P438/1000</f>
        <v>0</v>
      </c>
      <c r="Q437" s="85">
        <f>STATS1003B!Q438/1000</f>
        <v>0</v>
      </c>
      <c r="R437" s="85">
        <f>STATS1003B!R438/1000</f>
        <v>0</v>
      </c>
      <c r="S437" s="85">
        <f>STATS1003B!S438/1000</f>
        <v>0</v>
      </c>
      <c r="T437" s="85">
        <f>STATS1003B!T438/1000</f>
        <v>0</v>
      </c>
      <c r="U437" s="85">
        <f>STATS1003B!U438/1000</f>
        <v>0</v>
      </c>
      <c r="V437" s="85">
        <f>STATS1003B!V438/1000</f>
        <v>1298.3228300000001</v>
      </c>
      <c r="W437" s="85">
        <f>STATS1003B!W438/1000</f>
        <v>0</v>
      </c>
      <c r="X437" s="85">
        <f>STATS1003B!X438/1000</f>
        <v>1298.3228300000001</v>
      </c>
      <c r="Y437" s="85">
        <f>STATS1003B!Y438/1000</f>
        <v>0</v>
      </c>
      <c r="Z437" s="85">
        <f>STATS1003B!Z438/1000</f>
        <v>0</v>
      </c>
      <c r="AA437" s="69">
        <f>STATS1003B!AA438/1000</f>
        <v>1298.3228300000001</v>
      </c>
      <c r="AB437" s="69">
        <f>STATS1003B!AB438/1000</f>
        <v>0</v>
      </c>
    </row>
    <row r="438" spans="1:28" hidden="1" x14ac:dyDescent="0.3">
      <c r="A438" s="117"/>
      <c r="C438" s="71" t="s">
        <v>1184</v>
      </c>
      <c r="D438" s="89" t="s">
        <v>1126</v>
      </c>
      <c r="E438" s="85">
        <f>STATS1003B!E439/1000</f>
        <v>485.67559999999997</v>
      </c>
      <c r="F438" s="85">
        <f>STATS1003B!F439/1000</f>
        <v>485.67559999999997</v>
      </c>
      <c r="G438" s="85">
        <f>STATS1003B!G439/1000</f>
        <v>0</v>
      </c>
      <c r="H438" s="85">
        <f>STATS1003B!H439/1000</f>
        <v>485.67559999999997</v>
      </c>
      <c r="I438" s="85">
        <f>STATS1003B!I439/1000</f>
        <v>0</v>
      </c>
      <c r="J438" s="85">
        <f>STATS1003B!J439/1000</f>
        <v>0</v>
      </c>
      <c r="K438" s="85">
        <f>STATS1003B!K439/1000</f>
        <v>0</v>
      </c>
      <c r="L438" s="85">
        <f>STATS1003B!L439/1000</f>
        <v>0</v>
      </c>
      <c r="M438" s="85">
        <f>STATS1003B!M439/1000</f>
        <v>485.67559999999997</v>
      </c>
      <c r="N438" s="85">
        <f>STATS1003B!N439/1000</f>
        <v>0</v>
      </c>
      <c r="O438" s="85">
        <f>STATS1003B!O439/1000</f>
        <v>0</v>
      </c>
      <c r="P438" s="85">
        <f>STATS1003B!P439/1000</f>
        <v>0</v>
      </c>
      <c r="Q438" s="85">
        <f>STATS1003B!Q439/1000</f>
        <v>0</v>
      </c>
      <c r="R438" s="85">
        <f>STATS1003B!R439/1000</f>
        <v>0</v>
      </c>
      <c r="S438" s="85">
        <f>STATS1003B!S439/1000</f>
        <v>0</v>
      </c>
      <c r="T438" s="85">
        <f>STATS1003B!T439/1000</f>
        <v>0</v>
      </c>
      <c r="U438" s="85">
        <f>STATS1003B!U439/1000</f>
        <v>0</v>
      </c>
      <c r="V438" s="85">
        <f>STATS1003B!V439/1000</f>
        <v>485.67559999999997</v>
      </c>
      <c r="W438" s="85">
        <f>STATS1003B!W439/1000</f>
        <v>0</v>
      </c>
      <c r="X438" s="85">
        <f>STATS1003B!X439/1000</f>
        <v>485.67559999999997</v>
      </c>
      <c r="Y438" s="85">
        <f>STATS1003B!Y439/1000</f>
        <v>0</v>
      </c>
      <c r="Z438" s="85">
        <f>STATS1003B!Z439/1000</f>
        <v>0</v>
      </c>
      <c r="AA438" s="69">
        <f>STATS1003B!AA439/1000</f>
        <v>485.67559999999997</v>
      </c>
      <c r="AB438" s="69">
        <f>STATS1003B!AB439/1000</f>
        <v>0</v>
      </c>
    </row>
    <row r="439" spans="1:28" hidden="1" x14ac:dyDescent="0.3">
      <c r="A439" s="117"/>
      <c r="C439" s="71" t="s">
        <v>1242</v>
      </c>
      <c r="D439" s="89" t="s">
        <v>1225</v>
      </c>
      <c r="E439" s="85">
        <f>STATS1003B!E440/1000</f>
        <v>7568.2338600000003</v>
      </c>
      <c r="F439" s="85">
        <f>STATS1003B!F440/1000</f>
        <v>7568.2338600000003</v>
      </c>
      <c r="G439" s="85">
        <f>STATS1003B!G440/1000</f>
        <v>0</v>
      </c>
      <c r="H439" s="85">
        <f>STATS1003B!H440/1000</f>
        <v>7568.2338600000003</v>
      </c>
      <c r="I439" s="85">
        <f>STATS1003B!I440/1000</f>
        <v>0</v>
      </c>
      <c r="J439" s="85">
        <f>STATS1003B!J440/1000</f>
        <v>0</v>
      </c>
      <c r="K439" s="85">
        <f>STATS1003B!K440/1000</f>
        <v>0</v>
      </c>
      <c r="L439" s="85">
        <f>STATS1003B!L440/1000</f>
        <v>0</v>
      </c>
      <c r="M439" s="85">
        <f>STATS1003B!M440/1000</f>
        <v>7568.2338600000003</v>
      </c>
      <c r="N439" s="85">
        <f>STATS1003B!N440/1000</f>
        <v>0</v>
      </c>
      <c r="O439" s="85">
        <f>STATS1003B!O440/1000</f>
        <v>0</v>
      </c>
      <c r="P439" s="85">
        <f>STATS1003B!P440/1000</f>
        <v>0</v>
      </c>
      <c r="Q439" s="85">
        <f>STATS1003B!Q440/1000</f>
        <v>0</v>
      </c>
      <c r="R439" s="85">
        <f>STATS1003B!R440/1000</f>
        <v>0</v>
      </c>
      <c r="S439" s="85">
        <f>STATS1003B!S440/1000</f>
        <v>0</v>
      </c>
      <c r="T439" s="85">
        <f>STATS1003B!T440/1000</f>
        <v>0</v>
      </c>
      <c r="U439" s="85">
        <f>STATS1003B!U440/1000</f>
        <v>0</v>
      </c>
      <c r="V439" s="85">
        <f>STATS1003B!V440/1000</f>
        <v>7568.2338600000003</v>
      </c>
      <c r="W439" s="85">
        <f>STATS1003B!W440/1000</f>
        <v>0</v>
      </c>
      <c r="X439" s="85">
        <f>STATS1003B!X440/1000</f>
        <v>7568.2338600000003</v>
      </c>
      <c r="Y439" s="85">
        <f>STATS1003B!Y440/1000</f>
        <v>0</v>
      </c>
      <c r="Z439" s="85">
        <f>STATS1003B!Z440/1000</f>
        <v>0</v>
      </c>
      <c r="AA439" s="69">
        <f>STATS1003B!AA440/1000</f>
        <v>7568.2338600000003</v>
      </c>
      <c r="AB439" s="69">
        <f>STATS1003B!AB440/1000</f>
        <v>0</v>
      </c>
    </row>
    <row r="440" spans="1:28" hidden="1" x14ac:dyDescent="0.3">
      <c r="A440" s="117"/>
      <c r="C440" s="71" t="s">
        <v>178</v>
      </c>
      <c r="D440" s="89"/>
      <c r="E440" s="85">
        <f>STATS1003B!E441/1000</f>
        <v>1795.68715</v>
      </c>
      <c r="F440" s="85">
        <f>STATS1003B!F441/1000</f>
        <v>1795.68715</v>
      </c>
      <c r="G440" s="85">
        <f>STATS1003B!G441/1000</f>
        <v>0</v>
      </c>
      <c r="H440" s="85">
        <f>STATS1003B!H441/1000</f>
        <v>1795.68715</v>
      </c>
      <c r="I440" s="85">
        <f>STATS1003B!I441/1000</f>
        <v>0</v>
      </c>
      <c r="J440" s="85">
        <f>STATS1003B!J441/1000</f>
        <v>0</v>
      </c>
      <c r="K440" s="85">
        <f>STATS1003B!K441/1000</f>
        <v>0</v>
      </c>
      <c r="L440" s="85">
        <f>STATS1003B!L441/1000</f>
        <v>0</v>
      </c>
      <c r="M440" s="85">
        <f>STATS1003B!M441/1000</f>
        <v>1795.68715</v>
      </c>
      <c r="N440" s="85">
        <f>STATS1003B!N441/1000</f>
        <v>0</v>
      </c>
      <c r="O440" s="85">
        <f>STATS1003B!O441/1000</f>
        <v>0</v>
      </c>
      <c r="P440" s="85">
        <f>STATS1003B!P441/1000</f>
        <v>0</v>
      </c>
      <c r="Q440" s="85">
        <f>STATS1003B!Q441/1000</f>
        <v>0</v>
      </c>
      <c r="R440" s="85">
        <f>STATS1003B!R441/1000</f>
        <v>0</v>
      </c>
      <c r="S440" s="85">
        <f>STATS1003B!S441/1000</f>
        <v>0</v>
      </c>
      <c r="T440" s="85">
        <f>STATS1003B!T441/1000</f>
        <v>0</v>
      </c>
      <c r="U440" s="85">
        <f>STATS1003B!U441/1000</f>
        <v>0</v>
      </c>
      <c r="V440" s="85">
        <f>STATS1003B!V441/1000</f>
        <v>1795.68715</v>
      </c>
      <c r="W440" s="85">
        <f>STATS1003B!W441/1000</f>
        <v>0</v>
      </c>
      <c r="X440" s="85">
        <f>STATS1003B!X441/1000</f>
        <v>1795.68715</v>
      </c>
      <c r="Y440" s="85">
        <f>STATS1003B!Y441/1000</f>
        <v>0</v>
      </c>
      <c r="Z440" s="85">
        <f>STATS1003B!Z441/1000</f>
        <v>0</v>
      </c>
      <c r="AA440" s="69">
        <f>STATS1003B!AA441/1000</f>
        <v>1795.68715</v>
      </c>
      <c r="AB440" s="69">
        <f>STATS1003B!AB441/1000</f>
        <v>0</v>
      </c>
    </row>
    <row r="441" spans="1:28" hidden="1" x14ac:dyDescent="0.3">
      <c r="A441" s="117"/>
      <c r="C441" s="71" t="s">
        <v>145</v>
      </c>
      <c r="E441" s="85">
        <f>STATS1003B!E442/1000</f>
        <v>629.35645</v>
      </c>
      <c r="F441" s="85">
        <f>STATS1003B!F442/1000</f>
        <v>629.35645</v>
      </c>
      <c r="G441" s="85">
        <f>STATS1003B!G442/1000</f>
        <v>0</v>
      </c>
      <c r="H441" s="85">
        <f>STATS1003B!H442/1000</f>
        <v>629.35645</v>
      </c>
      <c r="I441" s="85">
        <f>STATS1003B!I442/1000</f>
        <v>0</v>
      </c>
      <c r="J441" s="85">
        <f>STATS1003B!J442/1000</f>
        <v>0</v>
      </c>
      <c r="K441" s="85">
        <f>STATS1003B!K442/1000</f>
        <v>0</v>
      </c>
      <c r="L441" s="85">
        <f>STATS1003B!L442/1000</f>
        <v>0</v>
      </c>
      <c r="M441" s="85">
        <f>STATS1003B!M442/1000</f>
        <v>629.35645</v>
      </c>
      <c r="N441" s="85">
        <f>STATS1003B!N442/1000</f>
        <v>0</v>
      </c>
      <c r="O441" s="85">
        <f>STATS1003B!O442/1000</f>
        <v>0</v>
      </c>
      <c r="P441" s="85">
        <f>STATS1003B!P442/1000</f>
        <v>0</v>
      </c>
      <c r="Q441" s="85">
        <f>STATS1003B!Q442/1000</f>
        <v>0</v>
      </c>
      <c r="R441" s="85">
        <f>STATS1003B!R442/1000</f>
        <v>0</v>
      </c>
      <c r="S441" s="85">
        <f>STATS1003B!S442/1000</f>
        <v>0</v>
      </c>
      <c r="T441" s="85">
        <f>STATS1003B!T442/1000</f>
        <v>0</v>
      </c>
      <c r="U441" s="85">
        <f>STATS1003B!U442/1000</f>
        <v>0</v>
      </c>
      <c r="V441" s="85">
        <f>STATS1003B!V442/1000</f>
        <v>629.35645</v>
      </c>
      <c r="W441" s="85">
        <f>STATS1003B!W442/1000</f>
        <v>0</v>
      </c>
      <c r="X441" s="85">
        <f>STATS1003B!X442/1000</f>
        <v>629.35645</v>
      </c>
      <c r="Y441" s="85">
        <f>STATS1003B!Y442/1000</f>
        <v>0</v>
      </c>
      <c r="Z441" s="85">
        <f>STATS1003B!Z442/1000</f>
        <v>0</v>
      </c>
      <c r="AA441" s="69">
        <f>STATS1003B!AA442/1000</f>
        <v>629.35645</v>
      </c>
      <c r="AB441" s="69">
        <f>STATS1003B!AB442/1000</f>
        <v>0</v>
      </c>
    </row>
    <row r="442" spans="1:28" hidden="1" x14ac:dyDescent="0.3">
      <c r="A442" s="117"/>
      <c r="C442" s="71" t="s">
        <v>146</v>
      </c>
      <c r="E442" s="85">
        <f>STATS1003B!E443/1000</f>
        <v>1335.8005900000001</v>
      </c>
      <c r="F442" s="85">
        <f>STATS1003B!F443/1000</f>
        <v>1335.8005900000001</v>
      </c>
      <c r="G442" s="85">
        <f>STATS1003B!G443/1000</f>
        <v>0</v>
      </c>
      <c r="H442" s="85">
        <f>STATS1003B!H443/1000</f>
        <v>1335.8005900000001</v>
      </c>
      <c r="I442" s="85">
        <f>STATS1003B!I443/1000</f>
        <v>0</v>
      </c>
      <c r="J442" s="85">
        <f>STATS1003B!J443/1000</f>
        <v>0</v>
      </c>
      <c r="K442" s="85">
        <f>STATS1003B!K443/1000</f>
        <v>0</v>
      </c>
      <c r="L442" s="85">
        <f>STATS1003B!L443/1000</f>
        <v>0</v>
      </c>
      <c r="M442" s="85">
        <f>STATS1003B!M443/1000</f>
        <v>1335.8005900000001</v>
      </c>
      <c r="N442" s="85">
        <f>STATS1003B!N443/1000</f>
        <v>0</v>
      </c>
      <c r="O442" s="85">
        <f>STATS1003B!O443/1000</f>
        <v>0</v>
      </c>
      <c r="P442" s="85">
        <f>STATS1003B!P443/1000</f>
        <v>0</v>
      </c>
      <c r="Q442" s="85">
        <f>STATS1003B!Q443/1000</f>
        <v>0</v>
      </c>
      <c r="R442" s="85">
        <f>STATS1003B!R443/1000</f>
        <v>0</v>
      </c>
      <c r="S442" s="85">
        <f>STATS1003B!S443/1000</f>
        <v>0</v>
      </c>
      <c r="T442" s="85">
        <f>STATS1003B!T443/1000</f>
        <v>0</v>
      </c>
      <c r="U442" s="85">
        <f>STATS1003B!U443/1000</f>
        <v>0</v>
      </c>
      <c r="V442" s="85">
        <f>STATS1003B!V443/1000</f>
        <v>1335.8005900000001</v>
      </c>
      <c r="W442" s="85">
        <f>STATS1003B!W443/1000</f>
        <v>0</v>
      </c>
      <c r="X442" s="85">
        <f>STATS1003B!X443/1000</f>
        <v>1335.8005900000001</v>
      </c>
      <c r="Y442" s="85">
        <f>STATS1003B!Y443/1000</f>
        <v>0</v>
      </c>
      <c r="Z442" s="85">
        <f>STATS1003B!Z443/1000</f>
        <v>0</v>
      </c>
      <c r="AA442" s="69">
        <f>STATS1003B!AA443/1000</f>
        <v>1335.8005900000001</v>
      </c>
      <c r="AB442" s="69">
        <f>STATS1003B!AB443/1000</f>
        <v>0</v>
      </c>
    </row>
    <row r="443" spans="1:28" hidden="1" x14ac:dyDescent="0.3">
      <c r="A443" s="117"/>
      <c r="C443" s="71" t="s">
        <v>147</v>
      </c>
      <c r="E443" s="85">
        <f>STATS1003B!E444/1000</f>
        <v>262.08</v>
      </c>
      <c r="F443" s="85">
        <f>STATS1003B!F444/1000</f>
        <v>0</v>
      </c>
      <c r="G443" s="85">
        <f>STATS1003B!G444/1000</f>
        <v>0</v>
      </c>
      <c r="H443" s="85">
        <f>STATS1003B!H444/1000</f>
        <v>0</v>
      </c>
      <c r="I443" s="85">
        <f>STATS1003B!I444/1000</f>
        <v>0</v>
      </c>
      <c r="J443" s="85">
        <f>STATS1003B!J444/1000</f>
        <v>0</v>
      </c>
      <c r="K443" s="85">
        <f>STATS1003B!K444/1000</f>
        <v>0</v>
      </c>
      <c r="L443" s="85">
        <f>STATS1003B!L444/1000</f>
        <v>0</v>
      </c>
      <c r="M443" s="85">
        <f>STATS1003B!M444/1000</f>
        <v>0</v>
      </c>
      <c r="N443" s="85">
        <f>STATS1003B!N444/1000</f>
        <v>262.08</v>
      </c>
      <c r="O443" s="85">
        <f>STATS1003B!O444/1000</f>
        <v>0</v>
      </c>
      <c r="P443" s="85">
        <f>STATS1003B!P444/1000</f>
        <v>262.08</v>
      </c>
      <c r="Q443" s="85">
        <f>STATS1003B!Q444/1000</f>
        <v>0</v>
      </c>
      <c r="R443" s="85">
        <f>STATS1003B!R444/1000</f>
        <v>0</v>
      </c>
      <c r="S443" s="85">
        <f>STATS1003B!S444/1000</f>
        <v>0</v>
      </c>
      <c r="T443" s="85">
        <f>STATS1003B!T444/1000</f>
        <v>0</v>
      </c>
      <c r="U443" s="85">
        <f>STATS1003B!U444/1000</f>
        <v>262.08</v>
      </c>
      <c r="V443" s="85">
        <f>STATS1003B!V444/1000</f>
        <v>262.08</v>
      </c>
      <c r="W443" s="85">
        <f>STATS1003B!W444/1000</f>
        <v>0</v>
      </c>
      <c r="X443" s="85">
        <f>STATS1003B!X444/1000</f>
        <v>262.08</v>
      </c>
      <c r="Y443" s="85">
        <f>STATS1003B!Y444/1000</f>
        <v>0</v>
      </c>
      <c r="Z443" s="85">
        <f>STATS1003B!Z444/1000</f>
        <v>0</v>
      </c>
      <c r="AA443" s="69">
        <f>STATS1003B!AA444/1000</f>
        <v>262.08</v>
      </c>
      <c r="AB443" s="69">
        <f>STATS1003B!AB444/1000</f>
        <v>0</v>
      </c>
    </row>
    <row r="444" spans="1:28" hidden="1" x14ac:dyDescent="0.3">
      <c r="A444" s="117"/>
      <c r="C444" s="71" t="s">
        <v>109</v>
      </c>
      <c r="E444" s="85">
        <f>STATS1003B!E445/1000</f>
        <v>5083.5182199999999</v>
      </c>
      <c r="F444" s="85">
        <f>STATS1003B!F445/1000</f>
        <v>5083.5182199999999</v>
      </c>
      <c r="G444" s="85">
        <f>STATS1003B!G445/1000</f>
        <v>0</v>
      </c>
      <c r="H444" s="85">
        <f>STATS1003B!H445/1000</f>
        <v>5083.5182199999999</v>
      </c>
      <c r="I444" s="85">
        <f>STATS1003B!I445/1000</f>
        <v>0</v>
      </c>
      <c r="J444" s="85">
        <f>STATS1003B!J445/1000</f>
        <v>0</v>
      </c>
      <c r="K444" s="85">
        <f>STATS1003B!K445/1000</f>
        <v>0</v>
      </c>
      <c r="L444" s="85">
        <f>STATS1003B!L445/1000</f>
        <v>0</v>
      </c>
      <c r="M444" s="85">
        <f>STATS1003B!M445/1000</f>
        <v>5083.5182199999999</v>
      </c>
      <c r="N444" s="85">
        <f>STATS1003B!N445/1000</f>
        <v>0</v>
      </c>
      <c r="O444" s="85">
        <f>STATS1003B!O445/1000</f>
        <v>0</v>
      </c>
      <c r="P444" s="85">
        <f>STATS1003B!P445/1000</f>
        <v>0</v>
      </c>
      <c r="Q444" s="85">
        <f>STATS1003B!Q445/1000</f>
        <v>0</v>
      </c>
      <c r="R444" s="85">
        <f>STATS1003B!R445/1000</f>
        <v>0</v>
      </c>
      <c r="S444" s="85">
        <f>STATS1003B!S445/1000</f>
        <v>0</v>
      </c>
      <c r="T444" s="85">
        <f>STATS1003B!T445/1000</f>
        <v>0</v>
      </c>
      <c r="U444" s="85">
        <f>STATS1003B!U445/1000</f>
        <v>0</v>
      </c>
      <c r="V444" s="85">
        <f>STATS1003B!V445/1000</f>
        <v>5083.5182199999999</v>
      </c>
      <c r="W444" s="85">
        <f>STATS1003B!W445/1000</f>
        <v>0</v>
      </c>
      <c r="X444" s="85">
        <f>STATS1003B!X445/1000</f>
        <v>5083.5182199999999</v>
      </c>
      <c r="Y444" s="85">
        <f>STATS1003B!Y445/1000</f>
        <v>0</v>
      </c>
      <c r="Z444" s="85">
        <f>STATS1003B!Z445/1000</f>
        <v>0</v>
      </c>
      <c r="AA444" s="69">
        <f>STATS1003B!AA445/1000</f>
        <v>5083.5182199999999</v>
      </c>
      <c r="AB444" s="69">
        <f>STATS1003B!AB445/1000</f>
        <v>0</v>
      </c>
    </row>
    <row r="445" spans="1:28" hidden="1" x14ac:dyDescent="0.3">
      <c r="A445" s="117"/>
      <c r="E445" s="86" t="s">
        <v>29</v>
      </c>
      <c r="F445" s="86" t="s">
        <v>29</v>
      </c>
      <c r="G445" s="86" t="s">
        <v>29</v>
      </c>
      <c r="H445" s="86" t="s">
        <v>29</v>
      </c>
      <c r="I445" s="86" t="s">
        <v>29</v>
      </c>
      <c r="J445" s="86" t="s">
        <v>29</v>
      </c>
      <c r="K445" s="86" t="s">
        <v>29</v>
      </c>
      <c r="L445" s="86" t="s">
        <v>29</v>
      </c>
      <c r="M445" s="86" t="s">
        <v>29</v>
      </c>
      <c r="N445" s="86" t="s">
        <v>29</v>
      </c>
      <c r="O445" s="86" t="s">
        <v>29</v>
      </c>
      <c r="P445" s="86" t="s">
        <v>29</v>
      </c>
      <c r="Q445" s="86" t="s">
        <v>29</v>
      </c>
      <c r="R445" s="86" t="s">
        <v>29</v>
      </c>
      <c r="S445" s="86" t="s">
        <v>29</v>
      </c>
      <c r="T445" s="86" t="s">
        <v>29</v>
      </c>
      <c r="U445" s="86" t="s">
        <v>29</v>
      </c>
      <c r="V445" s="86" t="s">
        <v>29</v>
      </c>
      <c r="W445" s="86" t="s">
        <v>29</v>
      </c>
      <c r="X445" s="86" t="s">
        <v>29</v>
      </c>
      <c r="Y445" s="86" t="s">
        <v>29</v>
      </c>
      <c r="Z445" s="86" t="s">
        <v>29</v>
      </c>
      <c r="AA445" s="115" t="s">
        <v>29</v>
      </c>
      <c r="AB445" s="115" t="s">
        <v>29</v>
      </c>
    </row>
    <row r="446" spans="1:28" x14ac:dyDescent="0.3">
      <c r="A446" s="116" t="s">
        <v>952</v>
      </c>
      <c r="B446" s="71" t="s">
        <v>135</v>
      </c>
      <c r="E446" s="85">
        <f>122118969.49/1000</f>
        <v>122118.96948999999</v>
      </c>
      <c r="F446" s="85">
        <f>SUM(F426:F444)</f>
        <v>41646.480869999992</v>
      </c>
      <c r="G446" s="85">
        <f>SUM(G426:G444)</f>
        <v>0</v>
      </c>
      <c r="H446" s="85">
        <f>114880628.25/1000</f>
        <v>114880.62824999999</v>
      </c>
      <c r="I446" s="85">
        <f t="shared" ref="I446:O446" si="47">SUM(I426:I444)</f>
        <v>0</v>
      </c>
      <c r="J446" s="85">
        <f t="shared" si="47"/>
        <v>0</v>
      </c>
      <c r="K446" s="85">
        <f t="shared" si="47"/>
        <v>0</v>
      </c>
      <c r="L446" s="85">
        <f t="shared" si="47"/>
        <v>0</v>
      </c>
      <c r="M446" s="85">
        <f t="shared" si="47"/>
        <v>41646.480869999992</v>
      </c>
      <c r="N446" s="85">
        <f t="shared" si="47"/>
        <v>7238.3412399999997</v>
      </c>
      <c r="O446" s="85">
        <f t="shared" si="47"/>
        <v>0</v>
      </c>
      <c r="P446" s="85">
        <f>7238341/1000</f>
        <v>7238.3410000000003</v>
      </c>
      <c r="Q446" s="85">
        <f t="shared" ref="Q446:W446" si="48">SUM(Q426:Q444)</f>
        <v>0</v>
      </c>
      <c r="R446" s="85">
        <f t="shared" si="48"/>
        <v>0</v>
      </c>
      <c r="S446" s="85">
        <f t="shared" si="48"/>
        <v>0</v>
      </c>
      <c r="T446" s="85">
        <f t="shared" si="48"/>
        <v>0</v>
      </c>
      <c r="U446" s="85">
        <f t="shared" si="48"/>
        <v>7238.3412399999997</v>
      </c>
      <c r="V446" s="85">
        <f t="shared" si="48"/>
        <v>48884.822110000001</v>
      </c>
      <c r="W446" s="85">
        <f t="shared" si="48"/>
        <v>0</v>
      </c>
      <c r="X446" s="85">
        <f t="shared" ref="X446:X477" si="49">+H446+P446</f>
        <v>122118.96924999999</v>
      </c>
      <c r="Y446" s="85">
        <f>SUM(Y426:Y444)</f>
        <v>0</v>
      </c>
      <c r="Z446" s="85">
        <f>+E446-X446</f>
        <v>2.3999999393709004E-4</v>
      </c>
      <c r="AA446" s="72">
        <f>SUM(AA426:AA444)</f>
        <v>48884.822110000001</v>
      </c>
      <c r="AB446" s="72">
        <f>SUM(AB426:AB444)</f>
        <v>0</v>
      </c>
    </row>
    <row r="447" spans="1:28" hidden="1" x14ac:dyDescent="0.3">
      <c r="A447" s="117"/>
      <c r="E447" s="86" t="s">
        <v>29</v>
      </c>
      <c r="F447" s="86" t="s">
        <v>29</v>
      </c>
      <c r="G447" s="86" t="s">
        <v>29</v>
      </c>
      <c r="H447" s="86" t="s">
        <v>29</v>
      </c>
      <c r="I447" s="86" t="s">
        <v>29</v>
      </c>
      <c r="J447" s="86" t="s">
        <v>29</v>
      </c>
      <c r="K447" s="86" t="s">
        <v>29</v>
      </c>
      <c r="L447" s="86" t="s">
        <v>29</v>
      </c>
      <c r="M447" s="86" t="s">
        <v>29</v>
      </c>
      <c r="N447" s="86" t="s">
        <v>29</v>
      </c>
      <c r="O447" s="86" t="s">
        <v>29</v>
      </c>
      <c r="P447" s="86" t="s">
        <v>29</v>
      </c>
      <c r="Q447" s="86" t="s">
        <v>29</v>
      </c>
      <c r="R447" s="86" t="s">
        <v>29</v>
      </c>
      <c r="S447" s="86" t="s">
        <v>29</v>
      </c>
      <c r="T447" s="86" t="s">
        <v>29</v>
      </c>
      <c r="U447" s="86" t="s">
        <v>29</v>
      </c>
      <c r="V447" s="86" t="s">
        <v>29</v>
      </c>
      <c r="W447" s="86" t="s">
        <v>29</v>
      </c>
      <c r="X447" s="85" t="e">
        <f t="shared" si="49"/>
        <v>#VALUE!</v>
      </c>
      <c r="Y447" s="86" t="s">
        <v>29</v>
      </c>
      <c r="Z447" s="86" t="s">
        <v>29</v>
      </c>
      <c r="AA447" s="115" t="s">
        <v>29</v>
      </c>
      <c r="AB447" s="115" t="s">
        <v>29</v>
      </c>
    </row>
    <row r="448" spans="1:28" hidden="1" x14ac:dyDescent="0.3">
      <c r="A448" s="105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5">
        <f t="shared" si="49"/>
        <v>0</v>
      </c>
      <c r="Y448" s="84"/>
      <c r="Z448" s="84"/>
      <c r="AA448" s="118"/>
    </row>
    <row r="449" spans="1:28" hidden="1" x14ac:dyDescent="0.3">
      <c r="A449" s="117"/>
      <c r="C449" s="68" t="s">
        <v>149</v>
      </c>
      <c r="D449" s="88" t="s">
        <v>150</v>
      </c>
      <c r="E449" s="85">
        <f>STATS1003B!E450/1000</f>
        <v>951.05426999999997</v>
      </c>
      <c r="F449" s="85">
        <f>STATS1003B!F450/1000</f>
        <v>0</v>
      </c>
      <c r="G449" s="85">
        <f>STATS1003B!G450/1000</f>
        <v>0</v>
      </c>
      <c r="H449" s="85">
        <f>STATS1003B!H450/1000</f>
        <v>0</v>
      </c>
      <c r="I449" s="85">
        <f>STATS1003B!I450/1000</f>
        <v>0</v>
      </c>
      <c r="J449" s="85">
        <f>STATS1003B!J450/1000</f>
        <v>0</v>
      </c>
      <c r="K449" s="85">
        <f>STATS1003B!K450/1000</f>
        <v>0</v>
      </c>
      <c r="L449" s="85">
        <f>STATS1003B!L450/1000</f>
        <v>0</v>
      </c>
      <c r="M449" s="85">
        <f>STATS1003B!M450/1000</f>
        <v>0</v>
      </c>
      <c r="N449" s="85">
        <f>STATS1003B!N450/1000</f>
        <v>635.13</v>
      </c>
      <c r="O449" s="85">
        <f>STATS1003B!O450/1000</f>
        <v>0</v>
      </c>
      <c r="P449" s="85">
        <f>STATS1003B!P450/1000</f>
        <v>635.13</v>
      </c>
      <c r="Q449" s="85">
        <f>STATS1003B!Q450/1000</f>
        <v>0</v>
      </c>
      <c r="R449" s="85">
        <f>STATS1003B!R450/1000</f>
        <v>0</v>
      </c>
      <c r="S449" s="85">
        <f>STATS1003B!S450/1000</f>
        <v>0</v>
      </c>
      <c r="T449" s="85">
        <f>STATS1003B!T450/1000</f>
        <v>0</v>
      </c>
      <c r="U449" s="85">
        <f>STATS1003B!U450/1000</f>
        <v>635.13</v>
      </c>
      <c r="V449" s="85">
        <f>STATS1003B!V450/1000</f>
        <v>635.13</v>
      </c>
      <c r="W449" s="85">
        <f>STATS1003B!W450/1000</f>
        <v>315.92427000000004</v>
      </c>
      <c r="X449" s="85">
        <f t="shared" si="49"/>
        <v>635.13</v>
      </c>
      <c r="Y449" s="85">
        <f>STATS1003B!Y450/1000</f>
        <v>0</v>
      </c>
      <c r="Z449" s="85">
        <f>STATS1003B!Z450/1000</f>
        <v>315.92427000000004</v>
      </c>
      <c r="AA449" s="69">
        <f>STATS1003B!AA450/1000</f>
        <v>635.13</v>
      </c>
      <c r="AB449" s="69">
        <f>STATS1003B!AB450/1000</f>
        <v>315.92427000000004</v>
      </c>
    </row>
    <row r="450" spans="1:28" hidden="1" x14ac:dyDescent="0.3">
      <c r="A450" s="117"/>
      <c r="C450" s="68" t="s">
        <v>151</v>
      </c>
      <c r="D450" s="88" t="s">
        <v>150</v>
      </c>
      <c r="E450" s="85">
        <f>STATS1003B!E451/1000</f>
        <v>10375.421</v>
      </c>
      <c r="F450" s="85">
        <f>STATS1003B!F451/1000</f>
        <v>7824.3192300000001</v>
      </c>
      <c r="G450" s="85">
        <f>STATS1003B!G451/1000</f>
        <v>0</v>
      </c>
      <c r="H450" s="85">
        <f>STATS1003B!H451/1000</f>
        <v>7824.3192300000001</v>
      </c>
      <c r="I450" s="85">
        <f>STATS1003B!I451/1000</f>
        <v>0</v>
      </c>
      <c r="J450" s="85">
        <f>STATS1003B!J451/1000</f>
        <v>0</v>
      </c>
      <c r="K450" s="85">
        <f>STATS1003B!K451/1000</f>
        <v>0</v>
      </c>
      <c r="L450" s="85">
        <f>STATS1003B!L451/1000</f>
        <v>0</v>
      </c>
      <c r="M450" s="85">
        <f>STATS1003B!M451/1000</f>
        <v>7824.3192300000001</v>
      </c>
      <c r="N450" s="85">
        <f>STATS1003B!N451/1000</f>
        <v>0</v>
      </c>
      <c r="O450" s="85">
        <f>STATS1003B!O451/1000</f>
        <v>0</v>
      </c>
      <c r="P450" s="85">
        <f>STATS1003B!P451/1000</f>
        <v>0</v>
      </c>
      <c r="Q450" s="85">
        <f>STATS1003B!Q451/1000</f>
        <v>0</v>
      </c>
      <c r="R450" s="85">
        <f>STATS1003B!R451/1000</f>
        <v>0</v>
      </c>
      <c r="S450" s="85">
        <f>STATS1003B!S451/1000</f>
        <v>0</v>
      </c>
      <c r="T450" s="85">
        <f>STATS1003B!T451/1000</f>
        <v>0</v>
      </c>
      <c r="U450" s="85">
        <f>STATS1003B!U451/1000</f>
        <v>0</v>
      </c>
      <c r="V450" s="85">
        <f>STATS1003B!V451/1000</f>
        <v>7824.3192300000001</v>
      </c>
      <c r="W450" s="85">
        <f>STATS1003B!W451/1000</f>
        <v>2551.1017699999998</v>
      </c>
      <c r="X450" s="85">
        <f t="shared" si="49"/>
        <v>7824.3192300000001</v>
      </c>
      <c r="Y450" s="85">
        <f>STATS1003B!Y451/1000</f>
        <v>0</v>
      </c>
      <c r="Z450" s="85">
        <f>STATS1003B!Z451/1000</f>
        <v>2551.1017699999998</v>
      </c>
      <c r="AA450" s="69">
        <f>STATS1003B!AA451/1000</f>
        <v>7824.3192300000001</v>
      </c>
      <c r="AB450" s="69">
        <f>STATS1003B!AB451/1000</f>
        <v>2551.1017699999998</v>
      </c>
    </row>
    <row r="451" spans="1:28" hidden="1" x14ac:dyDescent="0.3">
      <c r="A451" s="117"/>
      <c r="C451" s="68" t="s">
        <v>55</v>
      </c>
      <c r="D451" s="87" t="s">
        <v>152</v>
      </c>
      <c r="E451" s="85">
        <f>STATS1003B!E452/1000</f>
        <v>13146.1325</v>
      </c>
      <c r="F451" s="85">
        <f>STATS1003B!F452/1000</f>
        <v>0</v>
      </c>
      <c r="G451" s="85">
        <f>STATS1003B!G452/1000</f>
        <v>0</v>
      </c>
      <c r="H451" s="85">
        <f>STATS1003B!H452/1000</f>
        <v>0</v>
      </c>
      <c r="I451" s="85">
        <f>STATS1003B!I452/1000</f>
        <v>0</v>
      </c>
      <c r="J451" s="85">
        <f>STATS1003B!J452/1000</f>
        <v>0</v>
      </c>
      <c r="K451" s="85">
        <f>STATS1003B!K452/1000</f>
        <v>0</v>
      </c>
      <c r="L451" s="85">
        <f>STATS1003B!L452/1000</f>
        <v>0</v>
      </c>
      <c r="M451" s="85">
        <f>STATS1003B!M452/1000</f>
        <v>0</v>
      </c>
      <c r="N451" s="85">
        <f>STATS1003B!N452/1000</f>
        <v>13146.1325</v>
      </c>
      <c r="O451" s="85">
        <f>STATS1003B!O452/1000</f>
        <v>0</v>
      </c>
      <c r="P451" s="85">
        <f>STATS1003B!P452/1000</f>
        <v>13146.1325</v>
      </c>
      <c r="Q451" s="85">
        <f>STATS1003B!Q452/1000</f>
        <v>0</v>
      </c>
      <c r="R451" s="85">
        <f>STATS1003B!R452/1000</f>
        <v>0</v>
      </c>
      <c r="S451" s="85">
        <f>STATS1003B!S452/1000</f>
        <v>0</v>
      </c>
      <c r="T451" s="85">
        <f>STATS1003B!T452/1000</f>
        <v>0</v>
      </c>
      <c r="U451" s="85">
        <f>STATS1003B!U452/1000</f>
        <v>13146.1325</v>
      </c>
      <c r="V451" s="85">
        <f>STATS1003B!V452/1000</f>
        <v>13146.1325</v>
      </c>
      <c r="W451" s="85">
        <f>STATS1003B!W452/1000</f>
        <v>0</v>
      </c>
      <c r="X451" s="85">
        <f t="shared" si="49"/>
        <v>13146.1325</v>
      </c>
      <c r="Y451" s="85">
        <f>STATS1003B!Y452/1000</f>
        <v>0</v>
      </c>
      <c r="Z451" s="85">
        <f>STATS1003B!Z452/1000</f>
        <v>0</v>
      </c>
      <c r="AA451" s="69">
        <f>STATS1003B!AA452/1000</f>
        <v>13146.1325</v>
      </c>
      <c r="AB451" s="69">
        <f>STATS1003B!AB452/1000</f>
        <v>0</v>
      </c>
    </row>
    <row r="452" spans="1:28" hidden="1" x14ac:dyDescent="0.3">
      <c r="A452" s="117"/>
      <c r="C452" s="68" t="s">
        <v>53</v>
      </c>
      <c r="D452" s="87" t="s">
        <v>68</v>
      </c>
      <c r="E452" s="85">
        <f>STATS1003B!E453/1000</f>
        <v>2306.1060000000002</v>
      </c>
      <c r="F452" s="85">
        <f>STATS1003B!F453/1000</f>
        <v>0</v>
      </c>
      <c r="G452" s="85">
        <f>STATS1003B!G453/1000</f>
        <v>0</v>
      </c>
      <c r="H452" s="85">
        <f>STATS1003B!H453/1000</f>
        <v>0</v>
      </c>
      <c r="I452" s="85">
        <f>STATS1003B!I453/1000</f>
        <v>0</v>
      </c>
      <c r="J452" s="85">
        <f>STATS1003B!J453/1000</f>
        <v>0</v>
      </c>
      <c r="K452" s="85">
        <f>STATS1003B!K453/1000</f>
        <v>0</v>
      </c>
      <c r="L452" s="85">
        <f>STATS1003B!L453/1000</f>
        <v>0</v>
      </c>
      <c r="M452" s="85">
        <f>STATS1003B!M453/1000</f>
        <v>0</v>
      </c>
      <c r="N452" s="85">
        <f>STATS1003B!N453/1000</f>
        <v>2306.1060000000002</v>
      </c>
      <c r="O452" s="85">
        <f>STATS1003B!O453/1000</f>
        <v>0</v>
      </c>
      <c r="P452" s="85">
        <f>STATS1003B!P453/1000</f>
        <v>2306.1060000000002</v>
      </c>
      <c r="Q452" s="85">
        <f>STATS1003B!Q453/1000</f>
        <v>0</v>
      </c>
      <c r="R452" s="85">
        <f>STATS1003B!R453/1000</f>
        <v>0</v>
      </c>
      <c r="S452" s="85">
        <f>STATS1003B!S453/1000</f>
        <v>0</v>
      </c>
      <c r="T452" s="85">
        <f>STATS1003B!T453/1000</f>
        <v>0</v>
      </c>
      <c r="U452" s="85">
        <f>STATS1003B!U453/1000</f>
        <v>2306.1060000000002</v>
      </c>
      <c r="V452" s="85">
        <f>STATS1003B!V453/1000</f>
        <v>2306.1060000000002</v>
      </c>
      <c r="W452" s="85">
        <f>STATS1003B!W453/1000</f>
        <v>0</v>
      </c>
      <c r="X452" s="85">
        <f t="shared" si="49"/>
        <v>2306.1060000000002</v>
      </c>
      <c r="Y452" s="85">
        <f>STATS1003B!Y453/1000</f>
        <v>0</v>
      </c>
      <c r="Z452" s="85">
        <f>STATS1003B!Z453/1000</f>
        <v>0</v>
      </c>
      <c r="AA452" s="69">
        <f>STATS1003B!AA453/1000</f>
        <v>2306.1060000000002</v>
      </c>
      <c r="AB452" s="69">
        <f>STATS1003B!AB453/1000</f>
        <v>0</v>
      </c>
    </row>
    <row r="453" spans="1:28" hidden="1" x14ac:dyDescent="0.3">
      <c r="A453" s="117"/>
      <c r="C453" s="68" t="s">
        <v>153</v>
      </c>
      <c r="D453" s="87" t="s">
        <v>128</v>
      </c>
      <c r="E453" s="85">
        <f>STATS1003B!E454/1000</f>
        <v>4915.9385199999997</v>
      </c>
      <c r="F453" s="85">
        <f>STATS1003B!F454/1000</f>
        <v>4915.9385199999997</v>
      </c>
      <c r="G453" s="85">
        <f>STATS1003B!G454/1000</f>
        <v>0</v>
      </c>
      <c r="H453" s="85">
        <f>STATS1003B!H454/1000</f>
        <v>4915.9385199999997</v>
      </c>
      <c r="I453" s="85">
        <f>STATS1003B!I454/1000</f>
        <v>0</v>
      </c>
      <c r="J453" s="85">
        <f>STATS1003B!J454/1000</f>
        <v>0</v>
      </c>
      <c r="K453" s="85">
        <f>STATS1003B!K454/1000</f>
        <v>0</v>
      </c>
      <c r="L453" s="85">
        <f>STATS1003B!L454/1000</f>
        <v>0</v>
      </c>
      <c r="M453" s="85">
        <f>STATS1003B!M454/1000</f>
        <v>4915.9385199999997</v>
      </c>
      <c r="N453" s="85">
        <f>STATS1003B!N454/1000</f>
        <v>0</v>
      </c>
      <c r="O453" s="85">
        <f>STATS1003B!O454/1000</f>
        <v>0</v>
      </c>
      <c r="P453" s="85">
        <f>STATS1003B!P454/1000</f>
        <v>0</v>
      </c>
      <c r="Q453" s="85">
        <f>STATS1003B!Q454/1000</f>
        <v>0</v>
      </c>
      <c r="R453" s="85">
        <f>STATS1003B!R454/1000</f>
        <v>0</v>
      </c>
      <c r="S453" s="85">
        <f>STATS1003B!S454/1000</f>
        <v>0</v>
      </c>
      <c r="T453" s="85">
        <f>STATS1003B!T454/1000</f>
        <v>0</v>
      </c>
      <c r="U453" s="85">
        <f>STATS1003B!U454/1000</f>
        <v>0</v>
      </c>
      <c r="V453" s="85">
        <f>STATS1003B!V454/1000</f>
        <v>4915.9385199999997</v>
      </c>
      <c r="W453" s="85">
        <f>STATS1003B!W454/1000</f>
        <v>0</v>
      </c>
      <c r="X453" s="85">
        <f t="shared" si="49"/>
        <v>4915.9385199999997</v>
      </c>
      <c r="Y453" s="85">
        <f>STATS1003B!Y454/1000</f>
        <v>0</v>
      </c>
      <c r="Z453" s="85">
        <f>STATS1003B!Z454/1000</f>
        <v>0</v>
      </c>
      <c r="AA453" s="69">
        <f>STATS1003B!AA454/1000</f>
        <v>4915.9385199999997</v>
      </c>
      <c r="AB453" s="69">
        <f>STATS1003B!AB454/1000</f>
        <v>0</v>
      </c>
    </row>
    <row r="454" spans="1:28" hidden="1" x14ac:dyDescent="0.3">
      <c r="A454" s="117"/>
      <c r="C454" s="71" t="s">
        <v>109</v>
      </c>
      <c r="D454" s="88" t="s">
        <v>60</v>
      </c>
      <c r="E454" s="85">
        <f>STATS1003B!E455/1000</f>
        <v>2500</v>
      </c>
      <c r="F454" s="85">
        <f>STATS1003B!F455/1000</f>
        <v>2500</v>
      </c>
      <c r="G454" s="85">
        <f>STATS1003B!G455/1000</f>
        <v>0</v>
      </c>
      <c r="H454" s="85">
        <f>STATS1003B!H455/1000</f>
        <v>2500</v>
      </c>
      <c r="I454" s="85">
        <f>STATS1003B!I455/1000</f>
        <v>0</v>
      </c>
      <c r="J454" s="85">
        <f>STATS1003B!J455/1000</f>
        <v>0</v>
      </c>
      <c r="K454" s="85">
        <f>STATS1003B!K455/1000</f>
        <v>0</v>
      </c>
      <c r="L454" s="85">
        <f>STATS1003B!L455/1000</f>
        <v>0</v>
      </c>
      <c r="M454" s="85">
        <f>STATS1003B!M455/1000</f>
        <v>2500</v>
      </c>
      <c r="N454" s="85">
        <f>STATS1003B!N455/1000</f>
        <v>0</v>
      </c>
      <c r="O454" s="85">
        <f>STATS1003B!O455/1000</f>
        <v>0</v>
      </c>
      <c r="P454" s="85">
        <f>STATS1003B!P455/1000</f>
        <v>0</v>
      </c>
      <c r="Q454" s="85">
        <f>STATS1003B!Q455/1000</f>
        <v>0</v>
      </c>
      <c r="R454" s="85">
        <f>STATS1003B!R455/1000</f>
        <v>0</v>
      </c>
      <c r="S454" s="85">
        <f>STATS1003B!S455/1000</f>
        <v>0</v>
      </c>
      <c r="T454" s="85">
        <f>STATS1003B!T455/1000</f>
        <v>0</v>
      </c>
      <c r="U454" s="85">
        <f>STATS1003B!U455/1000</f>
        <v>0</v>
      </c>
      <c r="V454" s="85">
        <f>STATS1003B!V455/1000</f>
        <v>2500</v>
      </c>
      <c r="W454" s="85">
        <f>STATS1003B!W455/1000</f>
        <v>0</v>
      </c>
      <c r="X454" s="85">
        <f t="shared" si="49"/>
        <v>2500</v>
      </c>
      <c r="Y454" s="85">
        <f>STATS1003B!Y455/1000</f>
        <v>0</v>
      </c>
      <c r="Z454" s="85">
        <f>STATS1003B!Z455/1000</f>
        <v>0</v>
      </c>
      <c r="AA454" s="69">
        <f>STATS1003B!AA455/1000</f>
        <v>2500</v>
      </c>
      <c r="AB454" s="69">
        <f>STATS1003B!AB455/1000</f>
        <v>0</v>
      </c>
    </row>
    <row r="455" spans="1:28" hidden="1" x14ac:dyDescent="0.3">
      <c r="A455" s="117"/>
      <c r="C455" s="71" t="s">
        <v>57</v>
      </c>
      <c r="D455" s="88" t="s">
        <v>60</v>
      </c>
      <c r="E455" s="85">
        <f>STATS1003B!E456/1000</f>
        <v>1555.81</v>
      </c>
      <c r="F455" s="85">
        <f>STATS1003B!F456/1000</f>
        <v>1555.81</v>
      </c>
      <c r="G455" s="85">
        <f>STATS1003B!G456/1000</f>
        <v>0</v>
      </c>
      <c r="H455" s="85">
        <f>STATS1003B!H456/1000</f>
        <v>1555.81</v>
      </c>
      <c r="I455" s="85">
        <f>STATS1003B!I456/1000</f>
        <v>0</v>
      </c>
      <c r="J455" s="85">
        <f>STATS1003B!J456/1000</f>
        <v>0</v>
      </c>
      <c r="K455" s="85">
        <f>STATS1003B!K456/1000</f>
        <v>0</v>
      </c>
      <c r="L455" s="85">
        <f>STATS1003B!L456/1000</f>
        <v>0</v>
      </c>
      <c r="M455" s="85">
        <f>STATS1003B!M456/1000</f>
        <v>1555.81</v>
      </c>
      <c r="N455" s="85">
        <f>STATS1003B!N456/1000</f>
        <v>0</v>
      </c>
      <c r="O455" s="85">
        <f>STATS1003B!O456/1000</f>
        <v>0</v>
      </c>
      <c r="P455" s="85">
        <f>STATS1003B!P456/1000</f>
        <v>0</v>
      </c>
      <c r="Q455" s="85">
        <f>STATS1003B!Q456/1000</f>
        <v>0</v>
      </c>
      <c r="R455" s="85">
        <f>STATS1003B!R456/1000</f>
        <v>0</v>
      </c>
      <c r="S455" s="85">
        <f>STATS1003B!S456/1000</f>
        <v>0</v>
      </c>
      <c r="T455" s="85">
        <f>STATS1003B!T456/1000</f>
        <v>0</v>
      </c>
      <c r="U455" s="85">
        <f>STATS1003B!U456/1000</f>
        <v>0</v>
      </c>
      <c r="V455" s="85">
        <f>STATS1003B!V456/1000</f>
        <v>1555.81</v>
      </c>
      <c r="W455" s="85">
        <f>STATS1003B!W456/1000</f>
        <v>0</v>
      </c>
      <c r="X455" s="85">
        <f t="shared" si="49"/>
        <v>1555.81</v>
      </c>
      <c r="Y455" s="85">
        <f>STATS1003B!Y456/1000</f>
        <v>0</v>
      </c>
      <c r="Z455" s="85">
        <f>STATS1003B!Z456/1000</f>
        <v>0</v>
      </c>
      <c r="AA455" s="69">
        <f>STATS1003B!AA456/1000</f>
        <v>1555.81</v>
      </c>
      <c r="AB455" s="69">
        <f>STATS1003B!AB456/1000</f>
        <v>0</v>
      </c>
    </row>
    <row r="456" spans="1:28" hidden="1" x14ac:dyDescent="0.3">
      <c r="A456" s="117"/>
      <c r="E456" s="86" t="s">
        <v>29</v>
      </c>
      <c r="F456" s="86" t="s">
        <v>29</v>
      </c>
      <c r="G456" s="86" t="s">
        <v>29</v>
      </c>
      <c r="H456" s="86" t="s">
        <v>29</v>
      </c>
      <c r="I456" s="86" t="s">
        <v>29</v>
      </c>
      <c r="J456" s="86" t="s">
        <v>29</v>
      </c>
      <c r="K456" s="86" t="s">
        <v>29</v>
      </c>
      <c r="L456" s="86" t="s">
        <v>29</v>
      </c>
      <c r="M456" s="86" t="s">
        <v>29</v>
      </c>
      <c r="N456" s="86" t="s">
        <v>29</v>
      </c>
      <c r="O456" s="86" t="s">
        <v>29</v>
      </c>
      <c r="P456" s="86" t="s">
        <v>29</v>
      </c>
      <c r="Q456" s="86" t="s">
        <v>29</v>
      </c>
      <c r="R456" s="86" t="s">
        <v>29</v>
      </c>
      <c r="S456" s="86" t="s">
        <v>29</v>
      </c>
      <c r="T456" s="86" t="s">
        <v>29</v>
      </c>
      <c r="U456" s="86" t="s">
        <v>29</v>
      </c>
      <c r="V456" s="86" t="s">
        <v>29</v>
      </c>
      <c r="W456" s="86" t="s">
        <v>29</v>
      </c>
      <c r="X456" s="85" t="e">
        <f t="shared" si="49"/>
        <v>#VALUE!</v>
      </c>
      <c r="Y456" s="86" t="s">
        <v>29</v>
      </c>
      <c r="Z456" s="86" t="s">
        <v>29</v>
      </c>
      <c r="AA456" s="115" t="s">
        <v>29</v>
      </c>
      <c r="AB456" s="115" t="s">
        <v>29</v>
      </c>
    </row>
    <row r="457" spans="1:28" x14ac:dyDescent="0.3">
      <c r="A457" s="116" t="s">
        <v>953</v>
      </c>
      <c r="B457" s="68" t="s">
        <v>148</v>
      </c>
      <c r="E457" s="85">
        <f>85922224.95/1000</f>
        <v>85922.224950000003</v>
      </c>
      <c r="F457" s="85">
        <f>SUM(F449:F455)</f>
        <v>16796.067750000002</v>
      </c>
      <c r="G457" s="85">
        <f>SUM(G449:G455)</f>
        <v>0</v>
      </c>
      <c r="H457" s="85">
        <f>66967830.41/1000</f>
        <v>66967.830409999995</v>
      </c>
      <c r="I457" s="85">
        <f t="shared" ref="I457:O457" si="50">SUM(I449:I455)</f>
        <v>0</v>
      </c>
      <c r="J457" s="85">
        <f t="shared" si="50"/>
        <v>0</v>
      </c>
      <c r="K457" s="85">
        <f t="shared" si="50"/>
        <v>0</v>
      </c>
      <c r="L457" s="85">
        <f t="shared" si="50"/>
        <v>0</v>
      </c>
      <c r="M457" s="85">
        <f t="shared" si="50"/>
        <v>16796.067750000002</v>
      </c>
      <c r="N457" s="85">
        <f t="shared" si="50"/>
        <v>16087.368499999999</v>
      </c>
      <c r="O457" s="85">
        <f t="shared" si="50"/>
        <v>0</v>
      </c>
      <c r="P457" s="85">
        <f>16087368/1000</f>
        <v>16087.368</v>
      </c>
      <c r="Q457" s="85">
        <f t="shared" ref="Q457:W457" si="51">SUM(Q449:Q455)</f>
        <v>0</v>
      </c>
      <c r="R457" s="85">
        <f t="shared" si="51"/>
        <v>0</v>
      </c>
      <c r="S457" s="85">
        <f t="shared" si="51"/>
        <v>0</v>
      </c>
      <c r="T457" s="85">
        <f t="shared" si="51"/>
        <v>0</v>
      </c>
      <c r="U457" s="85">
        <f t="shared" si="51"/>
        <v>16087.368499999999</v>
      </c>
      <c r="V457" s="85">
        <f t="shared" si="51"/>
        <v>32883.436249999999</v>
      </c>
      <c r="W457" s="85">
        <f t="shared" si="51"/>
        <v>2867.0260399999997</v>
      </c>
      <c r="X457" s="85">
        <f t="shared" si="49"/>
        <v>83055.198409999997</v>
      </c>
      <c r="Y457" s="85">
        <f>SUM(Y449:Y455)</f>
        <v>0</v>
      </c>
      <c r="Z457" s="85">
        <f t="shared" ref="Z457:Z488" si="52">+E457-X457</f>
        <v>2867.0265400000062</v>
      </c>
      <c r="AA457" s="69">
        <f>SUM(AA449:AA455)</f>
        <v>32883.436249999999</v>
      </c>
      <c r="AB457" s="69">
        <f>SUM(AB449:AB455)</f>
        <v>2867.0260399999997</v>
      </c>
    </row>
    <row r="458" spans="1:28" hidden="1" x14ac:dyDescent="0.3">
      <c r="A458" s="117"/>
      <c r="E458" s="86" t="s">
        <v>29</v>
      </c>
      <c r="F458" s="86" t="s">
        <v>29</v>
      </c>
      <c r="G458" s="86" t="s">
        <v>29</v>
      </c>
      <c r="H458" s="86" t="s">
        <v>29</v>
      </c>
      <c r="I458" s="86" t="s">
        <v>29</v>
      </c>
      <c r="J458" s="86" t="s">
        <v>29</v>
      </c>
      <c r="K458" s="86" t="s">
        <v>29</v>
      </c>
      <c r="L458" s="86" t="s">
        <v>29</v>
      </c>
      <c r="M458" s="86" t="s">
        <v>29</v>
      </c>
      <c r="N458" s="86" t="s">
        <v>29</v>
      </c>
      <c r="O458" s="86" t="s">
        <v>29</v>
      </c>
      <c r="P458" s="86" t="s">
        <v>29</v>
      </c>
      <c r="Q458" s="86" t="s">
        <v>29</v>
      </c>
      <c r="R458" s="86" t="s">
        <v>29</v>
      </c>
      <c r="S458" s="86" t="s">
        <v>29</v>
      </c>
      <c r="T458" s="86" t="s">
        <v>29</v>
      </c>
      <c r="U458" s="86" t="s">
        <v>29</v>
      </c>
      <c r="V458" s="86" t="s">
        <v>29</v>
      </c>
      <c r="W458" s="86" t="s">
        <v>29</v>
      </c>
      <c r="X458" s="85" t="e">
        <f t="shared" si="49"/>
        <v>#VALUE!</v>
      </c>
      <c r="Y458" s="86" t="s">
        <v>29</v>
      </c>
      <c r="Z458" s="85" t="e">
        <f t="shared" si="52"/>
        <v>#VALUE!</v>
      </c>
      <c r="AA458" s="115" t="s">
        <v>29</v>
      </c>
      <c r="AB458" s="115" t="s">
        <v>29</v>
      </c>
    </row>
    <row r="459" spans="1:28" hidden="1" x14ac:dyDescent="0.3">
      <c r="A459" s="105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5">
        <f t="shared" si="49"/>
        <v>0</v>
      </c>
      <c r="Y459" s="84"/>
      <c r="Z459" s="85">
        <f t="shared" si="52"/>
        <v>0</v>
      </c>
      <c r="AA459" s="118"/>
    </row>
    <row r="460" spans="1:28" hidden="1" x14ac:dyDescent="0.3">
      <c r="A460" s="117"/>
      <c r="C460" s="68" t="s">
        <v>75</v>
      </c>
      <c r="D460" s="88" t="s">
        <v>76</v>
      </c>
      <c r="E460" s="85">
        <f>STATS1003B!E461/1000</f>
        <v>1705</v>
      </c>
      <c r="F460" s="85">
        <f>STATS1003B!F461/1000</f>
        <v>0</v>
      </c>
      <c r="G460" s="85">
        <f>STATS1003B!G461/1000</f>
        <v>0</v>
      </c>
      <c r="H460" s="85">
        <f>STATS1003B!H461/1000</f>
        <v>0</v>
      </c>
      <c r="I460" s="85">
        <f>STATS1003B!I461/1000</f>
        <v>0</v>
      </c>
      <c r="J460" s="85">
        <f>STATS1003B!J461/1000</f>
        <v>0</v>
      </c>
      <c r="K460" s="85">
        <f>STATS1003B!K461/1000</f>
        <v>0</v>
      </c>
      <c r="L460" s="85">
        <f>STATS1003B!L461/1000</f>
        <v>0</v>
      </c>
      <c r="M460" s="85">
        <f>STATS1003B!M461/1000</f>
        <v>0</v>
      </c>
      <c r="N460" s="85">
        <f>STATS1003B!N461/1000</f>
        <v>1198.1953000000001</v>
      </c>
      <c r="O460" s="85">
        <f>STATS1003B!O461/1000</f>
        <v>0</v>
      </c>
      <c r="P460" s="85">
        <f>STATS1003B!P461/1000</f>
        <v>1198.1953000000001</v>
      </c>
      <c r="Q460" s="85">
        <f>STATS1003B!Q461/1000</f>
        <v>0</v>
      </c>
      <c r="R460" s="85">
        <f>STATS1003B!R461/1000</f>
        <v>0</v>
      </c>
      <c r="S460" s="85">
        <f>STATS1003B!S461/1000</f>
        <v>0</v>
      </c>
      <c r="T460" s="85">
        <f>STATS1003B!T461/1000</f>
        <v>0</v>
      </c>
      <c r="U460" s="85">
        <f>STATS1003B!U461/1000</f>
        <v>1198.1953000000001</v>
      </c>
      <c r="V460" s="85">
        <f>STATS1003B!V461/1000</f>
        <v>1198.1953000000001</v>
      </c>
      <c r="W460" s="85">
        <f>STATS1003B!W461/1000</f>
        <v>506.80469999999997</v>
      </c>
      <c r="X460" s="85">
        <f t="shared" si="49"/>
        <v>1198.1953000000001</v>
      </c>
      <c r="Y460" s="85">
        <f>STATS1003B!Y461/1000</f>
        <v>0</v>
      </c>
      <c r="Z460" s="85">
        <f t="shared" si="52"/>
        <v>506.80469999999991</v>
      </c>
      <c r="AA460" s="69">
        <f>STATS1003B!AA461/1000</f>
        <v>1198.1953000000001</v>
      </c>
      <c r="AB460" s="69">
        <f>STATS1003B!AB461/1000</f>
        <v>506.80469999999997</v>
      </c>
    </row>
    <row r="461" spans="1:28" hidden="1" x14ac:dyDescent="0.3">
      <c r="A461" s="117"/>
      <c r="C461" s="68" t="s">
        <v>149</v>
      </c>
      <c r="D461" s="88" t="s">
        <v>150</v>
      </c>
      <c r="E461" s="85">
        <f>STATS1003B!E462/1000</f>
        <v>1095.7280000000001</v>
      </c>
      <c r="F461" s="85">
        <f>STATS1003B!F462/1000</f>
        <v>884.01800000000003</v>
      </c>
      <c r="G461" s="85">
        <f>STATS1003B!G462/1000</f>
        <v>0</v>
      </c>
      <c r="H461" s="85">
        <f>STATS1003B!H462/1000</f>
        <v>884.01800000000003</v>
      </c>
      <c r="I461" s="85">
        <f>STATS1003B!I462/1000</f>
        <v>0</v>
      </c>
      <c r="J461" s="85">
        <f>STATS1003B!J462/1000</f>
        <v>0</v>
      </c>
      <c r="K461" s="85">
        <f>STATS1003B!K462/1000</f>
        <v>0</v>
      </c>
      <c r="L461" s="85">
        <f>STATS1003B!L462/1000</f>
        <v>0</v>
      </c>
      <c r="M461" s="85">
        <f>STATS1003B!M462/1000</f>
        <v>884.01800000000003</v>
      </c>
      <c r="N461" s="85">
        <f>STATS1003B!N462/1000</f>
        <v>211.71</v>
      </c>
      <c r="O461" s="85">
        <f>STATS1003B!O462/1000</f>
        <v>0</v>
      </c>
      <c r="P461" s="85">
        <f>STATS1003B!P462/1000</f>
        <v>211.71</v>
      </c>
      <c r="Q461" s="85">
        <f>STATS1003B!Q462/1000</f>
        <v>0</v>
      </c>
      <c r="R461" s="85">
        <f>STATS1003B!R462/1000</f>
        <v>0</v>
      </c>
      <c r="S461" s="85">
        <f>STATS1003B!S462/1000</f>
        <v>0</v>
      </c>
      <c r="T461" s="85">
        <f>STATS1003B!T462/1000</f>
        <v>0</v>
      </c>
      <c r="U461" s="85">
        <f>STATS1003B!U462/1000</f>
        <v>211.71</v>
      </c>
      <c r="V461" s="85">
        <f>STATS1003B!V462/1000</f>
        <v>1095.7280000000001</v>
      </c>
      <c r="W461" s="85">
        <f>STATS1003B!W462/1000</f>
        <v>0</v>
      </c>
      <c r="X461" s="85">
        <f t="shared" si="49"/>
        <v>1095.7280000000001</v>
      </c>
      <c r="Y461" s="85">
        <f>STATS1003B!Y462/1000</f>
        <v>0</v>
      </c>
      <c r="Z461" s="85">
        <f t="shared" si="52"/>
        <v>0</v>
      </c>
      <c r="AA461" s="69">
        <f>STATS1003B!AA462/1000</f>
        <v>1095.7280000000001</v>
      </c>
      <c r="AB461" s="69">
        <f>STATS1003B!AB462/1000</f>
        <v>0</v>
      </c>
    </row>
    <row r="462" spans="1:28" hidden="1" x14ac:dyDescent="0.3">
      <c r="A462" s="117"/>
      <c r="C462" s="68" t="s">
        <v>151</v>
      </c>
      <c r="D462" s="88" t="s">
        <v>150</v>
      </c>
      <c r="E462" s="85">
        <f>STATS1003B!E463/1000</f>
        <v>28907.158940000001</v>
      </c>
      <c r="F462" s="85">
        <f>STATS1003B!F463/1000</f>
        <v>28062.330089999999</v>
      </c>
      <c r="G462" s="85">
        <f>STATS1003B!G463/1000</f>
        <v>0</v>
      </c>
      <c r="H462" s="85">
        <f>STATS1003B!H463/1000</f>
        <v>28062.330089999999</v>
      </c>
      <c r="I462" s="85">
        <f>STATS1003B!I463/1000</f>
        <v>0</v>
      </c>
      <c r="J462" s="85">
        <f>STATS1003B!J463/1000</f>
        <v>0</v>
      </c>
      <c r="K462" s="85">
        <f>STATS1003B!K463/1000</f>
        <v>0</v>
      </c>
      <c r="L462" s="85">
        <f>STATS1003B!L463/1000</f>
        <v>0</v>
      </c>
      <c r="M462" s="85">
        <f>STATS1003B!M463/1000</f>
        <v>28062.330089999999</v>
      </c>
      <c r="N462" s="85">
        <f>STATS1003B!N463/1000</f>
        <v>0</v>
      </c>
      <c r="O462" s="85">
        <f>STATS1003B!O463/1000</f>
        <v>0</v>
      </c>
      <c r="P462" s="85">
        <f>STATS1003B!P463/1000</f>
        <v>0</v>
      </c>
      <c r="Q462" s="85">
        <f>STATS1003B!Q463/1000</f>
        <v>0</v>
      </c>
      <c r="R462" s="85">
        <f>STATS1003B!R463/1000</f>
        <v>0</v>
      </c>
      <c r="S462" s="85">
        <f>STATS1003B!S463/1000</f>
        <v>0</v>
      </c>
      <c r="T462" s="85">
        <f>STATS1003B!T463/1000</f>
        <v>0</v>
      </c>
      <c r="U462" s="85">
        <f>STATS1003B!U463/1000</f>
        <v>0</v>
      </c>
      <c r="V462" s="85">
        <f>STATS1003B!V463/1000</f>
        <v>28062.330089999999</v>
      </c>
      <c r="W462" s="85">
        <f>STATS1003B!W463/1000</f>
        <v>844.82885000000147</v>
      </c>
      <c r="X462" s="85">
        <f t="shared" si="49"/>
        <v>28062.330089999999</v>
      </c>
      <c r="Y462" s="85">
        <f>STATS1003B!Y463/1000</f>
        <v>0</v>
      </c>
      <c r="Z462" s="85">
        <f t="shared" si="52"/>
        <v>844.82885000000169</v>
      </c>
      <c r="AA462" s="69">
        <f>STATS1003B!AA463/1000</f>
        <v>28062.330089999999</v>
      </c>
      <c r="AB462" s="69">
        <f>STATS1003B!AB463/1000</f>
        <v>844.82885000000147</v>
      </c>
    </row>
    <row r="463" spans="1:28" hidden="1" x14ac:dyDescent="0.3">
      <c r="A463" s="117"/>
      <c r="C463" s="68" t="s">
        <v>151</v>
      </c>
      <c r="D463" s="88" t="s">
        <v>150</v>
      </c>
      <c r="E463" s="85">
        <f>STATS1003B!E464/1000</f>
        <v>5968.1940000000004</v>
      </c>
      <c r="F463" s="85">
        <f>STATS1003B!F464/1000</f>
        <v>5968.1940000000004</v>
      </c>
      <c r="G463" s="85">
        <f>STATS1003B!G464/1000</f>
        <v>0</v>
      </c>
      <c r="H463" s="85">
        <f>STATS1003B!H464/1000</f>
        <v>5968.1940000000004</v>
      </c>
      <c r="I463" s="85">
        <f>STATS1003B!I464/1000</f>
        <v>0</v>
      </c>
      <c r="J463" s="85">
        <f>STATS1003B!J464/1000</f>
        <v>0</v>
      </c>
      <c r="K463" s="85">
        <f>STATS1003B!K464/1000</f>
        <v>0</v>
      </c>
      <c r="L463" s="85">
        <f>STATS1003B!L464/1000</f>
        <v>0</v>
      </c>
      <c r="M463" s="85">
        <f>STATS1003B!M464/1000</f>
        <v>5968.1940000000004</v>
      </c>
      <c r="N463" s="85">
        <f>STATS1003B!N464/1000</f>
        <v>0</v>
      </c>
      <c r="O463" s="85">
        <f>STATS1003B!O464/1000</f>
        <v>0</v>
      </c>
      <c r="P463" s="85">
        <f>STATS1003B!P464/1000</f>
        <v>0</v>
      </c>
      <c r="Q463" s="85">
        <f>STATS1003B!Q464/1000</f>
        <v>0</v>
      </c>
      <c r="R463" s="85">
        <f>STATS1003B!R464/1000</f>
        <v>0</v>
      </c>
      <c r="S463" s="85">
        <f>STATS1003B!S464/1000</f>
        <v>0</v>
      </c>
      <c r="T463" s="85">
        <f>STATS1003B!T464/1000</f>
        <v>0</v>
      </c>
      <c r="U463" s="85">
        <f>STATS1003B!U464/1000</f>
        <v>0</v>
      </c>
      <c r="V463" s="85">
        <f>STATS1003B!V464/1000</f>
        <v>5968.1940000000004</v>
      </c>
      <c r="W463" s="85">
        <f>STATS1003B!W464/1000</f>
        <v>0</v>
      </c>
      <c r="X463" s="85">
        <f t="shared" si="49"/>
        <v>5968.1940000000004</v>
      </c>
      <c r="Y463" s="85">
        <f>STATS1003B!Y464/1000</f>
        <v>0</v>
      </c>
      <c r="Z463" s="85">
        <f t="shared" si="52"/>
        <v>0</v>
      </c>
      <c r="AA463" s="69">
        <f>STATS1003B!AA464/1000</f>
        <v>5968.1940000000004</v>
      </c>
      <c r="AB463" s="69">
        <f>STATS1003B!AB464/1000</f>
        <v>0</v>
      </c>
    </row>
    <row r="464" spans="1:28" hidden="1" x14ac:dyDescent="0.3">
      <c r="A464" s="117"/>
      <c r="C464" s="68" t="s">
        <v>53</v>
      </c>
      <c r="D464" s="87" t="s">
        <v>68</v>
      </c>
      <c r="E464" s="85">
        <f>STATS1003B!E465/1000</f>
        <v>1953.989</v>
      </c>
      <c r="F464" s="85">
        <f>STATS1003B!F465/1000</f>
        <v>0</v>
      </c>
      <c r="G464" s="85">
        <f>STATS1003B!G465/1000</f>
        <v>0</v>
      </c>
      <c r="H464" s="85">
        <f>STATS1003B!H465/1000</f>
        <v>0</v>
      </c>
      <c r="I464" s="85">
        <f>STATS1003B!I465/1000</f>
        <v>0</v>
      </c>
      <c r="J464" s="85">
        <f>STATS1003B!J465/1000</f>
        <v>0</v>
      </c>
      <c r="K464" s="85">
        <f>STATS1003B!K465/1000</f>
        <v>0</v>
      </c>
      <c r="L464" s="85">
        <f>STATS1003B!L465/1000</f>
        <v>0</v>
      </c>
      <c r="M464" s="85">
        <f>STATS1003B!M465/1000</f>
        <v>0</v>
      </c>
      <c r="N464" s="85">
        <f>STATS1003B!N465/1000</f>
        <v>1953.989</v>
      </c>
      <c r="O464" s="85">
        <f>STATS1003B!O465/1000</f>
        <v>0</v>
      </c>
      <c r="P464" s="85">
        <f>STATS1003B!P465/1000</f>
        <v>1953.989</v>
      </c>
      <c r="Q464" s="85">
        <f>STATS1003B!Q465/1000</f>
        <v>0</v>
      </c>
      <c r="R464" s="85">
        <f>STATS1003B!R465/1000</f>
        <v>0</v>
      </c>
      <c r="S464" s="85">
        <f>STATS1003B!S465/1000</f>
        <v>0</v>
      </c>
      <c r="T464" s="85">
        <f>STATS1003B!T465/1000</f>
        <v>0</v>
      </c>
      <c r="U464" s="85">
        <f>STATS1003B!U465/1000</f>
        <v>1953.989</v>
      </c>
      <c r="V464" s="85">
        <f>STATS1003B!V465/1000</f>
        <v>1953.989</v>
      </c>
      <c r="W464" s="85">
        <f>STATS1003B!W465/1000</f>
        <v>0</v>
      </c>
      <c r="X464" s="85">
        <f t="shared" si="49"/>
        <v>1953.989</v>
      </c>
      <c r="Y464" s="85">
        <f>STATS1003B!Y465/1000</f>
        <v>0</v>
      </c>
      <c r="Z464" s="85">
        <f t="shared" si="52"/>
        <v>0</v>
      </c>
      <c r="AA464" s="69">
        <f>STATS1003B!AA465/1000</f>
        <v>1953.989</v>
      </c>
      <c r="AB464" s="69">
        <f>STATS1003B!AB465/1000</f>
        <v>0</v>
      </c>
    </row>
    <row r="465" spans="1:28" hidden="1" x14ac:dyDescent="0.3">
      <c r="A465" s="117"/>
      <c r="C465" s="68" t="s">
        <v>57</v>
      </c>
      <c r="D465" s="87" t="s">
        <v>155</v>
      </c>
      <c r="E465" s="85">
        <f>STATS1003B!E466/1000</f>
        <v>3578.5410000000002</v>
      </c>
      <c r="F465" s="85">
        <f>STATS1003B!F466/1000</f>
        <v>3578.5410000000002</v>
      </c>
      <c r="G465" s="85">
        <f>STATS1003B!G466/1000</f>
        <v>0</v>
      </c>
      <c r="H465" s="85">
        <f>STATS1003B!H466/1000</f>
        <v>3578.5410000000002</v>
      </c>
      <c r="I465" s="85">
        <f>STATS1003B!I466/1000</f>
        <v>0</v>
      </c>
      <c r="J465" s="85">
        <f>STATS1003B!J466/1000</f>
        <v>0</v>
      </c>
      <c r="K465" s="85">
        <f>STATS1003B!K466/1000</f>
        <v>0</v>
      </c>
      <c r="L465" s="85">
        <f>STATS1003B!L466/1000</f>
        <v>0</v>
      </c>
      <c r="M465" s="85">
        <f>STATS1003B!M466/1000</f>
        <v>3578.5410000000002</v>
      </c>
      <c r="N465" s="85">
        <f>STATS1003B!N466/1000</f>
        <v>0</v>
      </c>
      <c r="O465" s="85">
        <f>STATS1003B!O466/1000</f>
        <v>0</v>
      </c>
      <c r="P465" s="85">
        <f>STATS1003B!P466/1000</f>
        <v>0</v>
      </c>
      <c r="Q465" s="85">
        <f>STATS1003B!Q466/1000</f>
        <v>0</v>
      </c>
      <c r="R465" s="85">
        <f>STATS1003B!R466/1000</f>
        <v>0</v>
      </c>
      <c r="S465" s="85">
        <f>STATS1003B!S466/1000</f>
        <v>0</v>
      </c>
      <c r="T465" s="85">
        <f>STATS1003B!T466/1000</f>
        <v>0</v>
      </c>
      <c r="U465" s="85">
        <f>STATS1003B!U466/1000</f>
        <v>0</v>
      </c>
      <c r="V465" s="85">
        <f>STATS1003B!V466/1000</f>
        <v>3578.5410000000002</v>
      </c>
      <c r="W465" s="85">
        <f>STATS1003B!W466/1000</f>
        <v>0</v>
      </c>
      <c r="X465" s="85">
        <f t="shared" si="49"/>
        <v>3578.5410000000002</v>
      </c>
      <c r="Y465" s="85">
        <f>STATS1003B!Y466/1000</f>
        <v>0</v>
      </c>
      <c r="Z465" s="85">
        <f t="shared" si="52"/>
        <v>0</v>
      </c>
      <c r="AA465" s="69">
        <f>STATS1003B!AA466/1000</f>
        <v>3578.5410000000002</v>
      </c>
      <c r="AB465" s="69">
        <f>STATS1003B!AB466/1000</f>
        <v>0</v>
      </c>
    </row>
    <row r="466" spans="1:28" hidden="1" x14ac:dyDescent="0.3">
      <c r="A466" s="117"/>
      <c r="C466" s="68" t="s">
        <v>87</v>
      </c>
      <c r="D466" s="87" t="s">
        <v>88</v>
      </c>
      <c r="E466" s="85">
        <f>STATS1003B!E467/1000</f>
        <v>10900</v>
      </c>
      <c r="F466" s="85">
        <f>STATS1003B!F467/1000</f>
        <v>10900</v>
      </c>
      <c r="G466" s="85">
        <f>STATS1003B!G467/1000</f>
        <v>0</v>
      </c>
      <c r="H466" s="85">
        <f>STATS1003B!H467/1000</f>
        <v>10900</v>
      </c>
      <c r="I466" s="85">
        <f>STATS1003B!I467/1000</f>
        <v>0</v>
      </c>
      <c r="J466" s="85">
        <f>STATS1003B!J467/1000</f>
        <v>0</v>
      </c>
      <c r="K466" s="85">
        <f>STATS1003B!K467/1000</f>
        <v>0</v>
      </c>
      <c r="L466" s="85">
        <f>STATS1003B!L467/1000</f>
        <v>0</v>
      </c>
      <c r="M466" s="85">
        <f>STATS1003B!M467/1000</f>
        <v>10900</v>
      </c>
      <c r="N466" s="85">
        <f>STATS1003B!N467/1000</f>
        <v>0</v>
      </c>
      <c r="O466" s="85">
        <f>STATS1003B!O467/1000</f>
        <v>0</v>
      </c>
      <c r="P466" s="85">
        <f>STATS1003B!P467/1000</f>
        <v>0</v>
      </c>
      <c r="Q466" s="85">
        <f>STATS1003B!Q467/1000</f>
        <v>0</v>
      </c>
      <c r="R466" s="85">
        <f>STATS1003B!R467/1000</f>
        <v>0</v>
      </c>
      <c r="S466" s="85">
        <f>STATS1003B!S467/1000</f>
        <v>0</v>
      </c>
      <c r="T466" s="85">
        <f>STATS1003B!T467/1000</f>
        <v>0</v>
      </c>
      <c r="U466" s="85">
        <f>STATS1003B!U467/1000</f>
        <v>0</v>
      </c>
      <c r="V466" s="85">
        <f>STATS1003B!V467/1000</f>
        <v>10900</v>
      </c>
      <c r="W466" s="85">
        <f>STATS1003B!W467/1000</f>
        <v>0</v>
      </c>
      <c r="X466" s="85">
        <f t="shared" si="49"/>
        <v>10900</v>
      </c>
      <c r="Y466" s="85">
        <f>STATS1003B!Y467/1000</f>
        <v>0</v>
      </c>
      <c r="Z466" s="85">
        <f t="shared" si="52"/>
        <v>0</v>
      </c>
      <c r="AA466" s="69">
        <f>STATS1003B!AA467/1000</f>
        <v>10900</v>
      </c>
      <c r="AB466" s="69">
        <f>STATS1003B!AB467/1000</f>
        <v>0</v>
      </c>
    </row>
    <row r="467" spans="1:28" hidden="1" x14ac:dyDescent="0.3">
      <c r="A467" s="117"/>
      <c r="C467" s="68" t="s">
        <v>57</v>
      </c>
      <c r="D467" s="87" t="s">
        <v>58</v>
      </c>
      <c r="E467" s="85">
        <f>STATS1003B!E468/1000</f>
        <v>2426.4</v>
      </c>
      <c r="F467" s="85">
        <f>STATS1003B!F468/1000</f>
        <v>2426.4</v>
      </c>
      <c r="G467" s="85">
        <f>STATS1003B!G468/1000</f>
        <v>0</v>
      </c>
      <c r="H467" s="85">
        <f>STATS1003B!H468/1000</f>
        <v>2426.4</v>
      </c>
      <c r="I467" s="85">
        <f>STATS1003B!I468/1000</f>
        <v>0</v>
      </c>
      <c r="J467" s="85">
        <f>STATS1003B!J468/1000</f>
        <v>0</v>
      </c>
      <c r="K467" s="85">
        <f>STATS1003B!K468/1000</f>
        <v>0</v>
      </c>
      <c r="L467" s="85">
        <f>STATS1003B!L468/1000</f>
        <v>0</v>
      </c>
      <c r="M467" s="85">
        <f>STATS1003B!M468/1000</f>
        <v>2426.4</v>
      </c>
      <c r="N467" s="85">
        <f>STATS1003B!N468/1000</f>
        <v>0</v>
      </c>
      <c r="O467" s="85">
        <f>STATS1003B!O468/1000</f>
        <v>0</v>
      </c>
      <c r="P467" s="85">
        <f>STATS1003B!P468/1000</f>
        <v>0</v>
      </c>
      <c r="Q467" s="85">
        <f>STATS1003B!Q468/1000</f>
        <v>0</v>
      </c>
      <c r="R467" s="85">
        <f>STATS1003B!R468/1000</f>
        <v>0</v>
      </c>
      <c r="S467" s="85">
        <f>STATS1003B!S468/1000</f>
        <v>0</v>
      </c>
      <c r="T467" s="85">
        <f>STATS1003B!T468/1000</f>
        <v>0</v>
      </c>
      <c r="U467" s="85">
        <f>STATS1003B!U468/1000</f>
        <v>0</v>
      </c>
      <c r="V467" s="85">
        <f>STATS1003B!V468/1000</f>
        <v>2426.4</v>
      </c>
      <c r="W467" s="85">
        <f>STATS1003B!W468/1000</f>
        <v>0</v>
      </c>
      <c r="X467" s="85">
        <f t="shared" si="49"/>
        <v>2426.4</v>
      </c>
      <c r="Y467" s="85">
        <f>STATS1003B!Y468/1000</f>
        <v>0</v>
      </c>
      <c r="Z467" s="85">
        <f t="shared" si="52"/>
        <v>0</v>
      </c>
      <c r="AA467" s="69">
        <f>STATS1003B!AA468/1000</f>
        <v>2426.4</v>
      </c>
      <c r="AB467" s="69">
        <f>STATS1003B!AB468/1000</f>
        <v>0</v>
      </c>
    </row>
    <row r="468" spans="1:28" hidden="1" x14ac:dyDescent="0.3">
      <c r="A468" s="117"/>
      <c r="C468" s="68" t="s">
        <v>57</v>
      </c>
      <c r="D468" s="87" t="s">
        <v>60</v>
      </c>
      <c r="E468" s="85">
        <f>STATS1003B!E469/1000</f>
        <v>2239.65</v>
      </c>
      <c r="F468" s="85">
        <f>STATS1003B!F469/1000</f>
        <v>2239.65</v>
      </c>
      <c r="G468" s="85">
        <f>STATS1003B!G469/1000</f>
        <v>0</v>
      </c>
      <c r="H468" s="85">
        <f>STATS1003B!H469/1000</f>
        <v>2239.65</v>
      </c>
      <c r="I468" s="85">
        <f>STATS1003B!I469/1000</f>
        <v>0</v>
      </c>
      <c r="J468" s="85">
        <f>STATS1003B!J469/1000</f>
        <v>0</v>
      </c>
      <c r="K468" s="85">
        <f>STATS1003B!K469/1000</f>
        <v>0</v>
      </c>
      <c r="L468" s="85">
        <f>STATS1003B!L469/1000</f>
        <v>0</v>
      </c>
      <c r="M468" s="85">
        <f>STATS1003B!M469/1000</f>
        <v>2239.65</v>
      </c>
      <c r="N468" s="85">
        <f>STATS1003B!N469/1000</f>
        <v>0</v>
      </c>
      <c r="O468" s="85">
        <f>STATS1003B!O469/1000</f>
        <v>0</v>
      </c>
      <c r="P468" s="85">
        <f>STATS1003B!P469/1000</f>
        <v>0</v>
      </c>
      <c r="Q468" s="85">
        <f>STATS1003B!Q469/1000</f>
        <v>0</v>
      </c>
      <c r="R468" s="85">
        <f>STATS1003B!R469/1000</f>
        <v>0</v>
      </c>
      <c r="S468" s="85">
        <f>STATS1003B!S469/1000</f>
        <v>0</v>
      </c>
      <c r="T468" s="85">
        <f>STATS1003B!T469/1000</f>
        <v>0</v>
      </c>
      <c r="U468" s="85">
        <f>STATS1003B!U469/1000</f>
        <v>0</v>
      </c>
      <c r="V468" s="85">
        <f>STATS1003B!V469/1000</f>
        <v>2239.65</v>
      </c>
      <c r="W468" s="85">
        <f>STATS1003B!W469/1000</f>
        <v>0</v>
      </c>
      <c r="X468" s="85">
        <f t="shared" si="49"/>
        <v>2239.65</v>
      </c>
      <c r="Y468" s="85">
        <f>STATS1003B!Y469/1000</f>
        <v>0</v>
      </c>
      <c r="Z468" s="85">
        <f t="shared" si="52"/>
        <v>0</v>
      </c>
      <c r="AA468" s="69">
        <f>STATS1003B!AA469/1000</f>
        <v>2239.65</v>
      </c>
      <c r="AB468" s="69">
        <f>STATS1003B!AB469/1000</f>
        <v>0</v>
      </c>
    </row>
    <row r="469" spans="1:28" hidden="1" x14ac:dyDescent="0.3">
      <c r="A469" s="117"/>
      <c r="C469" s="68" t="s">
        <v>924</v>
      </c>
      <c r="D469" s="90" t="s">
        <v>1072</v>
      </c>
      <c r="E469" s="85">
        <f>STATS1003B!E470/1000</f>
        <v>419</v>
      </c>
      <c r="F469" s="85">
        <f>STATS1003B!F470/1000</f>
        <v>419</v>
      </c>
      <c r="G469" s="85">
        <f>STATS1003B!G470/1000</f>
        <v>0</v>
      </c>
      <c r="H469" s="85">
        <f>STATS1003B!H470/1000</f>
        <v>419</v>
      </c>
      <c r="I469" s="85">
        <f>STATS1003B!I470/1000</f>
        <v>0</v>
      </c>
      <c r="J469" s="85">
        <f>STATS1003B!J470/1000</f>
        <v>0</v>
      </c>
      <c r="K469" s="85">
        <f>STATS1003B!K470/1000</f>
        <v>0</v>
      </c>
      <c r="L469" s="85">
        <f>STATS1003B!L470/1000</f>
        <v>0</v>
      </c>
      <c r="M469" s="85">
        <f>STATS1003B!M470/1000</f>
        <v>419</v>
      </c>
      <c r="N469" s="85">
        <f>STATS1003B!N470/1000</f>
        <v>0</v>
      </c>
      <c r="O469" s="85">
        <f>STATS1003B!O470/1000</f>
        <v>0</v>
      </c>
      <c r="P469" s="85">
        <f>STATS1003B!P470/1000</f>
        <v>0</v>
      </c>
      <c r="Q469" s="85">
        <f>STATS1003B!Q470/1000</f>
        <v>0</v>
      </c>
      <c r="R469" s="85">
        <f>STATS1003B!R470/1000</f>
        <v>0</v>
      </c>
      <c r="S469" s="85">
        <f>STATS1003B!S470/1000</f>
        <v>0</v>
      </c>
      <c r="T469" s="85">
        <f>STATS1003B!T470/1000</f>
        <v>0</v>
      </c>
      <c r="U469" s="85">
        <f>STATS1003B!U470/1000</f>
        <v>0</v>
      </c>
      <c r="V469" s="85">
        <f>STATS1003B!V470/1000</f>
        <v>419</v>
      </c>
      <c r="W469" s="85">
        <f>STATS1003B!W470/1000</f>
        <v>0</v>
      </c>
      <c r="X469" s="85">
        <f t="shared" si="49"/>
        <v>419</v>
      </c>
      <c r="Y469" s="85">
        <f>STATS1003B!Y470/1000</f>
        <v>0</v>
      </c>
      <c r="Z469" s="85">
        <f t="shared" si="52"/>
        <v>0</v>
      </c>
      <c r="AA469" s="69">
        <f>STATS1003B!AA470/1000</f>
        <v>419</v>
      </c>
      <c r="AB469" s="69">
        <f>STATS1003B!AB470/1000</f>
        <v>0</v>
      </c>
    </row>
    <row r="470" spans="1:28" hidden="1" x14ac:dyDescent="0.3">
      <c r="A470" s="117"/>
      <c r="C470" s="68" t="s">
        <v>930</v>
      </c>
      <c r="D470" s="90" t="s">
        <v>1072</v>
      </c>
      <c r="E470" s="85">
        <f>STATS1003B!E471/1000</f>
        <v>369</v>
      </c>
      <c r="F470" s="85">
        <f>STATS1003B!F471/1000</f>
        <v>369</v>
      </c>
      <c r="G470" s="85">
        <f>STATS1003B!G471/1000</f>
        <v>0</v>
      </c>
      <c r="H470" s="85">
        <f>STATS1003B!H471/1000</f>
        <v>369</v>
      </c>
      <c r="I470" s="85">
        <f>STATS1003B!I471/1000</f>
        <v>0</v>
      </c>
      <c r="J470" s="85">
        <f>STATS1003B!J471/1000</f>
        <v>0</v>
      </c>
      <c r="K470" s="85">
        <f>STATS1003B!K471/1000</f>
        <v>0</v>
      </c>
      <c r="L470" s="85">
        <f>STATS1003B!L471/1000</f>
        <v>0</v>
      </c>
      <c r="M470" s="85">
        <f>STATS1003B!M471/1000</f>
        <v>369</v>
      </c>
      <c r="N470" s="85">
        <f>STATS1003B!N471/1000</f>
        <v>0</v>
      </c>
      <c r="O470" s="85">
        <f>STATS1003B!O471/1000</f>
        <v>0</v>
      </c>
      <c r="P470" s="85">
        <f>STATS1003B!P471/1000</f>
        <v>0</v>
      </c>
      <c r="Q470" s="85">
        <f>STATS1003B!Q471/1000</f>
        <v>0</v>
      </c>
      <c r="R470" s="85">
        <f>STATS1003B!R471/1000</f>
        <v>0</v>
      </c>
      <c r="S470" s="85">
        <f>STATS1003B!S471/1000</f>
        <v>0</v>
      </c>
      <c r="T470" s="85">
        <f>STATS1003B!T471/1000</f>
        <v>0</v>
      </c>
      <c r="U470" s="85">
        <f>STATS1003B!U471/1000</f>
        <v>0</v>
      </c>
      <c r="V470" s="85">
        <f>STATS1003B!V471/1000</f>
        <v>369</v>
      </c>
      <c r="W470" s="85">
        <f>STATS1003B!W471/1000</f>
        <v>0</v>
      </c>
      <c r="X470" s="85">
        <f t="shared" si="49"/>
        <v>369</v>
      </c>
      <c r="Y470" s="85">
        <f>STATS1003B!Y471/1000</f>
        <v>0</v>
      </c>
      <c r="Z470" s="85">
        <f t="shared" si="52"/>
        <v>0</v>
      </c>
      <c r="AA470" s="69">
        <f>STATS1003B!AA471/1000</f>
        <v>369</v>
      </c>
      <c r="AB470" s="69">
        <f>STATS1003B!AB471/1000</f>
        <v>0</v>
      </c>
    </row>
    <row r="471" spans="1:28" hidden="1" x14ac:dyDescent="0.3">
      <c r="A471" s="117"/>
      <c r="C471" s="71" t="s">
        <v>109</v>
      </c>
      <c r="D471" s="88" t="s">
        <v>60</v>
      </c>
      <c r="E471" s="85">
        <f>STATS1003B!E472/1000</f>
        <v>7500</v>
      </c>
      <c r="F471" s="85">
        <f>STATS1003B!F472/1000</f>
        <v>7500</v>
      </c>
      <c r="G471" s="85">
        <f>STATS1003B!G472/1000</f>
        <v>0</v>
      </c>
      <c r="H471" s="85">
        <f>STATS1003B!H472/1000</f>
        <v>7500</v>
      </c>
      <c r="I471" s="85">
        <f>STATS1003B!I472/1000</f>
        <v>0</v>
      </c>
      <c r="J471" s="85">
        <f>STATS1003B!J472/1000</f>
        <v>0</v>
      </c>
      <c r="K471" s="85">
        <f>STATS1003B!K472/1000</f>
        <v>0</v>
      </c>
      <c r="L471" s="85">
        <f>STATS1003B!L472/1000</f>
        <v>0</v>
      </c>
      <c r="M471" s="85">
        <f>STATS1003B!M472/1000</f>
        <v>7500</v>
      </c>
      <c r="N471" s="85">
        <f>STATS1003B!N472/1000</f>
        <v>0</v>
      </c>
      <c r="O471" s="85">
        <f>STATS1003B!O472/1000</f>
        <v>0</v>
      </c>
      <c r="P471" s="85">
        <f>STATS1003B!P472/1000</f>
        <v>0</v>
      </c>
      <c r="Q471" s="85">
        <f>STATS1003B!Q472/1000</f>
        <v>0</v>
      </c>
      <c r="R471" s="85">
        <f>STATS1003B!R472/1000</f>
        <v>0</v>
      </c>
      <c r="S471" s="85">
        <f>STATS1003B!S472/1000</f>
        <v>0</v>
      </c>
      <c r="T471" s="85">
        <f>STATS1003B!T472/1000</f>
        <v>0</v>
      </c>
      <c r="U471" s="85">
        <f>STATS1003B!U472/1000</f>
        <v>0</v>
      </c>
      <c r="V471" s="85">
        <f>STATS1003B!V472/1000</f>
        <v>7500</v>
      </c>
      <c r="W471" s="85">
        <f>STATS1003B!W472/1000</f>
        <v>0</v>
      </c>
      <c r="X471" s="85">
        <f t="shared" si="49"/>
        <v>7500</v>
      </c>
      <c r="Y471" s="85">
        <f>STATS1003B!Y472/1000</f>
        <v>0</v>
      </c>
      <c r="Z471" s="85">
        <f t="shared" si="52"/>
        <v>0</v>
      </c>
      <c r="AA471" s="69">
        <f>STATS1003B!AA472/1000</f>
        <v>7500</v>
      </c>
      <c r="AB471" s="69">
        <f>STATS1003B!AB472/1000</f>
        <v>0</v>
      </c>
    </row>
    <row r="472" spans="1:28" hidden="1" x14ac:dyDescent="0.3">
      <c r="A472" s="117"/>
      <c r="E472" s="86" t="s">
        <v>29</v>
      </c>
      <c r="F472" s="86" t="s">
        <v>29</v>
      </c>
      <c r="G472" s="86" t="s">
        <v>29</v>
      </c>
      <c r="H472" s="86" t="s">
        <v>29</v>
      </c>
      <c r="I472" s="86" t="s">
        <v>29</v>
      </c>
      <c r="J472" s="86" t="s">
        <v>29</v>
      </c>
      <c r="K472" s="86" t="s">
        <v>29</v>
      </c>
      <c r="L472" s="86" t="s">
        <v>29</v>
      </c>
      <c r="M472" s="86" t="s">
        <v>29</v>
      </c>
      <c r="N472" s="86" t="s">
        <v>29</v>
      </c>
      <c r="O472" s="86" t="s">
        <v>29</v>
      </c>
      <c r="P472" s="86" t="s">
        <v>29</v>
      </c>
      <c r="Q472" s="86" t="s">
        <v>29</v>
      </c>
      <c r="R472" s="86" t="s">
        <v>29</v>
      </c>
      <c r="S472" s="86" t="s">
        <v>29</v>
      </c>
      <c r="T472" s="86" t="s">
        <v>29</v>
      </c>
      <c r="U472" s="86" t="s">
        <v>29</v>
      </c>
      <c r="V472" s="86" t="s">
        <v>29</v>
      </c>
      <c r="W472" s="86" t="s">
        <v>29</v>
      </c>
      <c r="X472" s="85" t="e">
        <f t="shared" si="49"/>
        <v>#VALUE!</v>
      </c>
      <c r="Y472" s="86" t="s">
        <v>29</v>
      </c>
      <c r="Z472" s="85" t="e">
        <f t="shared" si="52"/>
        <v>#VALUE!</v>
      </c>
      <c r="AA472" s="115" t="s">
        <v>29</v>
      </c>
      <c r="AB472" s="115" t="s">
        <v>29</v>
      </c>
    </row>
    <row r="473" spans="1:28" x14ac:dyDescent="0.3">
      <c r="A473" s="116" t="s">
        <v>954</v>
      </c>
      <c r="B473" s="68" t="s">
        <v>154</v>
      </c>
      <c r="E473" s="85">
        <f>102739923.74/1000</f>
        <v>102739.92374</v>
      </c>
      <c r="F473" s="85">
        <f>SUM(F460:F471)</f>
        <v>62347.133090000003</v>
      </c>
      <c r="G473" s="85">
        <f>SUM(G460:G471)</f>
        <v>0</v>
      </c>
      <c r="H473" s="85">
        <f>98024395.89/1000</f>
        <v>98024.39589</v>
      </c>
      <c r="I473" s="85">
        <f t="shared" ref="I473:O473" si="53">SUM(I460:I471)</f>
        <v>0</v>
      </c>
      <c r="J473" s="85">
        <f t="shared" si="53"/>
        <v>0</v>
      </c>
      <c r="K473" s="85">
        <f t="shared" si="53"/>
        <v>0</v>
      </c>
      <c r="L473" s="85">
        <f t="shared" si="53"/>
        <v>0</v>
      </c>
      <c r="M473" s="85">
        <f t="shared" si="53"/>
        <v>62347.133090000003</v>
      </c>
      <c r="N473" s="85">
        <f t="shared" si="53"/>
        <v>3363.8942999999999</v>
      </c>
      <c r="O473" s="85">
        <f t="shared" si="53"/>
        <v>0</v>
      </c>
      <c r="P473" s="85">
        <f>3363894/1000</f>
        <v>3363.8939999999998</v>
      </c>
      <c r="Q473" s="85">
        <f t="shared" ref="Q473:W473" si="54">SUM(Q460:Q471)</f>
        <v>0</v>
      </c>
      <c r="R473" s="85">
        <f t="shared" si="54"/>
        <v>0</v>
      </c>
      <c r="S473" s="85">
        <f t="shared" si="54"/>
        <v>0</v>
      </c>
      <c r="T473" s="85">
        <f t="shared" si="54"/>
        <v>0</v>
      </c>
      <c r="U473" s="85">
        <f t="shared" si="54"/>
        <v>3363.8942999999999</v>
      </c>
      <c r="V473" s="85">
        <f t="shared" si="54"/>
        <v>65711.027390000003</v>
      </c>
      <c r="W473" s="85">
        <f t="shared" si="54"/>
        <v>1351.6335500000014</v>
      </c>
      <c r="X473" s="85">
        <f t="shared" si="49"/>
        <v>101388.28989</v>
      </c>
      <c r="Y473" s="85">
        <f>SUM(Y460:Y471)</f>
        <v>0</v>
      </c>
      <c r="Z473" s="85">
        <f t="shared" si="52"/>
        <v>1351.6338499999983</v>
      </c>
      <c r="AA473" s="69">
        <f>SUM(AA460:AA471)</f>
        <v>65711.027390000003</v>
      </c>
      <c r="AB473" s="69">
        <f>SUM(AB460:AB471)</f>
        <v>1351.6335500000014</v>
      </c>
    </row>
    <row r="474" spans="1:28" hidden="1" x14ac:dyDescent="0.3">
      <c r="A474" s="117"/>
      <c r="E474" s="86" t="s">
        <v>29</v>
      </c>
      <c r="F474" s="86" t="s">
        <v>29</v>
      </c>
      <c r="G474" s="86" t="s">
        <v>29</v>
      </c>
      <c r="H474" s="86" t="s">
        <v>29</v>
      </c>
      <c r="I474" s="86" t="s">
        <v>29</v>
      </c>
      <c r="J474" s="86" t="s">
        <v>29</v>
      </c>
      <c r="K474" s="86" t="s">
        <v>29</v>
      </c>
      <c r="L474" s="86" t="s">
        <v>29</v>
      </c>
      <c r="M474" s="86" t="s">
        <v>29</v>
      </c>
      <c r="N474" s="86" t="s">
        <v>29</v>
      </c>
      <c r="O474" s="86" t="s">
        <v>29</v>
      </c>
      <c r="P474" s="86" t="s">
        <v>29</v>
      </c>
      <c r="Q474" s="86" t="s">
        <v>29</v>
      </c>
      <c r="R474" s="86" t="s">
        <v>29</v>
      </c>
      <c r="S474" s="86" t="s">
        <v>29</v>
      </c>
      <c r="T474" s="86" t="s">
        <v>29</v>
      </c>
      <c r="U474" s="86" t="s">
        <v>29</v>
      </c>
      <c r="V474" s="86" t="s">
        <v>29</v>
      </c>
      <c r="W474" s="86" t="s">
        <v>29</v>
      </c>
      <c r="X474" s="85" t="e">
        <f t="shared" si="49"/>
        <v>#VALUE!</v>
      </c>
      <c r="Y474" s="86" t="s">
        <v>29</v>
      </c>
      <c r="Z474" s="85" t="e">
        <f t="shared" si="52"/>
        <v>#VALUE!</v>
      </c>
      <c r="AA474" s="115" t="s">
        <v>29</v>
      </c>
      <c r="AB474" s="115" t="s">
        <v>29</v>
      </c>
    </row>
    <row r="475" spans="1:28" hidden="1" x14ac:dyDescent="0.3">
      <c r="A475" s="105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5">
        <f t="shared" si="49"/>
        <v>0</v>
      </c>
      <c r="Y475" s="84"/>
      <c r="Z475" s="85">
        <f t="shared" si="52"/>
        <v>0</v>
      </c>
      <c r="AA475" s="118"/>
    </row>
    <row r="476" spans="1:28" hidden="1" x14ac:dyDescent="0.3">
      <c r="A476" s="117"/>
      <c r="C476" s="68" t="s">
        <v>149</v>
      </c>
      <c r="D476" s="88" t="s">
        <v>150</v>
      </c>
      <c r="E476" s="85">
        <f>STATS1003B!E477/1000</f>
        <v>5641.5137300000006</v>
      </c>
      <c r="F476" s="85">
        <f>STATS1003B!F477/1000</f>
        <v>4170.0682500000003</v>
      </c>
      <c r="G476" s="85">
        <f>STATS1003B!G477/1000</f>
        <v>0</v>
      </c>
      <c r="H476" s="85">
        <f>STATS1003B!H477/1000</f>
        <v>4170.0682500000003</v>
      </c>
      <c r="I476" s="85">
        <f>STATS1003B!I477/1000</f>
        <v>0</v>
      </c>
      <c r="J476" s="85">
        <f>STATS1003B!J477/1000</f>
        <v>0</v>
      </c>
      <c r="K476" s="85">
        <f>STATS1003B!K477/1000</f>
        <v>0</v>
      </c>
      <c r="L476" s="85">
        <f>STATS1003B!L477/1000</f>
        <v>0</v>
      </c>
      <c r="M476" s="85">
        <f>STATS1003B!M477/1000</f>
        <v>4170.0682500000003</v>
      </c>
      <c r="N476" s="85">
        <f>STATS1003B!N477/1000</f>
        <v>635.13</v>
      </c>
      <c r="O476" s="85">
        <f>STATS1003B!O477/1000</f>
        <v>0</v>
      </c>
      <c r="P476" s="85">
        <f>STATS1003B!P477/1000</f>
        <v>635.13</v>
      </c>
      <c r="Q476" s="85">
        <f>STATS1003B!Q477/1000</f>
        <v>0</v>
      </c>
      <c r="R476" s="85">
        <f>STATS1003B!R477/1000</f>
        <v>0</v>
      </c>
      <c r="S476" s="85">
        <f>STATS1003B!S477/1000</f>
        <v>0</v>
      </c>
      <c r="T476" s="85">
        <f>STATS1003B!T477/1000</f>
        <v>0</v>
      </c>
      <c r="U476" s="85">
        <f>STATS1003B!U477/1000</f>
        <v>635.13</v>
      </c>
      <c r="V476" s="85">
        <f>STATS1003B!V477/1000</f>
        <v>4805.1982500000004</v>
      </c>
      <c r="W476" s="85">
        <f>STATS1003B!W477/1000</f>
        <v>0</v>
      </c>
      <c r="X476" s="85">
        <f t="shared" si="49"/>
        <v>4805.1982500000004</v>
      </c>
      <c r="Y476" s="85">
        <f>STATS1003B!Y477/1000</f>
        <v>0</v>
      </c>
      <c r="Z476" s="85">
        <f t="shared" si="52"/>
        <v>836.31548000000021</v>
      </c>
      <c r="AA476" s="69">
        <f>STATS1003B!AA477/1000</f>
        <v>4805.1982500000004</v>
      </c>
      <c r="AB476" s="69">
        <f>STATS1003B!AB477/1000</f>
        <v>836.31548000000043</v>
      </c>
    </row>
    <row r="477" spans="1:28" hidden="1" x14ac:dyDescent="0.3">
      <c r="A477" s="117"/>
      <c r="C477" s="68" t="s">
        <v>151</v>
      </c>
      <c r="D477" s="88" t="s">
        <v>150</v>
      </c>
      <c r="E477" s="85">
        <f>STATS1003B!E478/1000</f>
        <v>117392.29078</v>
      </c>
      <c r="F477" s="85">
        <f>STATS1003B!F478/1000</f>
        <v>97761.691630000001</v>
      </c>
      <c r="G477" s="85">
        <f>STATS1003B!G478/1000</f>
        <v>0</v>
      </c>
      <c r="H477" s="85">
        <f>STATS1003B!H478/1000</f>
        <v>97761.691630000001</v>
      </c>
      <c r="I477" s="85">
        <f>STATS1003B!I478/1000</f>
        <v>0</v>
      </c>
      <c r="J477" s="85">
        <f>STATS1003B!J478/1000</f>
        <v>0</v>
      </c>
      <c r="K477" s="85">
        <f>STATS1003B!K478/1000</f>
        <v>0</v>
      </c>
      <c r="L477" s="85">
        <f>STATS1003B!L478/1000</f>
        <v>0</v>
      </c>
      <c r="M477" s="85">
        <f>STATS1003B!M478/1000</f>
        <v>97761.691630000001</v>
      </c>
      <c r="N477" s="85">
        <f>STATS1003B!N478/1000</f>
        <v>0</v>
      </c>
      <c r="O477" s="85">
        <f>STATS1003B!O478/1000</f>
        <v>0</v>
      </c>
      <c r="P477" s="85">
        <f>STATS1003B!P478/1000</f>
        <v>0</v>
      </c>
      <c r="Q477" s="85">
        <f>STATS1003B!Q478/1000</f>
        <v>0</v>
      </c>
      <c r="R477" s="85">
        <f>STATS1003B!R478/1000</f>
        <v>0</v>
      </c>
      <c r="S477" s="85">
        <f>STATS1003B!S478/1000</f>
        <v>0</v>
      </c>
      <c r="T477" s="85">
        <f>STATS1003B!T478/1000</f>
        <v>0</v>
      </c>
      <c r="U477" s="85">
        <f>STATS1003B!U478/1000</f>
        <v>0</v>
      </c>
      <c r="V477" s="85">
        <f>STATS1003B!V478/1000</f>
        <v>97761.691630000001</v>
      </c>
      <c r="W477" s="85">
        <f>STATS1003B!W478/1000</f>
        <v>0</v>
      </c>
      <c r="X477" s="85">
        <f t="shared" si="49"/>
        <v>97761.691630000001</v>
      </c>
      <c r="Y477" s="85">
        <f>STATS1003B!Y478/1000</f>
        <v>0</v>
      </c>
      <c r="Z477" s="85">
        <f t="shared" si="52"/>
        <v>19630.599149999995</v>
      </c>
      <c r="AA477" s="69">
        <f>STATS1003B!AA478/1000</f>
        <v>97761.691630000001</v>
      </c>
      <c r="AB477" s="69">
        <f>STATS1003B!AB478/1000</f>
        <v>19630.599150000005</v>
      </c>
    </row>
    <row r="478" spans="1:28" hidden="1" x14ac:dyDescent="0.3">
      <c r="A478" s="117"/>
      <c r="C478" s="68" t="s">
        <v>157</v>
      </c>
      <c r="D478" s="88" t="s">
        <v>150</v>
      </c>
      <c r="E478" s="85">
        <f>STATS1003B!E479/1000</f>
        <v>1486.867</v>
      </c>
      <c r="F478" s="85">
        <f>STATS1003B!F479/1000</f>
        <v>1486.867</v>
      </c>
      <c r="G478" s="85">
        <f>STATS1003B!G479/1000</f>
        <v>0</v>
      </c>
      <c r="H478" s="85">
        <f>STATS1003B!H479/1000</f>
        <v>1486.867</v>
      </c>
      <c r="I478" s="85">
        <f>STATS1003B!I479/1000</f>
        <v>0</v>
      </c>
      <c r="J478" s="85">
        <f>STATS1003B!J479/1000</f>
        <v>0</v>
      </c>
      <c r="K478" s="85">
        <f>STATS1003B!K479/1000</f>
        <v>0</v>
      </c>
      <c r="L478" s="85">
        <f>STATS1003B!L479/1000</f>
        <v>0</v>
      </c>
      <c r="M478" s="85">
        <f>STATS1003B!M479/1000</f>
        <v>1486.867</v>
      </c>
      <c r="N478" s="85">
        <f>STATS1003B!N479/1000</f>
        <v>0</v>
      </c>
      <c r="O478" s="85">
        <f>STATS1003B!O479/1000</f>
        <v>0</v>
      </c>
      <c r="P478" s="85">
        <f>STATS1003B!P479/1000</f>
        <v>0</v>
      </c>
      <c r="Q478" s="85">
        <f>STATS1003B!Q479/1000</f>
        <v>0</v>
      </c>
      <c r="R478" s="85">
        <f>STATS1003B!R479/1000</f>
        <v>0</v>
      </c>
      <c r="S478" s="85">
        <f>STATS1003B!S479/1000</f>
        <v>0</v>
      </c>
      <c r="T478" s="85">
        <f>STATS1003B!T479/1000</f>
        <v>0</v>
      </c>
      <c r="U478" s="85">
        <f>STATS1003B!U479/1000</f>
        <v>0</v>
      </c>
      <c r="V478" s="85">
        <f>STATS1003B!V479/1000</f>
        <v>1486.867</v>
      </c>
      <c r="W478" s="85">
        <f>STATS1003B!W479/1000</f>
        <v>0</v>
      </c>
      <c r="X478" s="85">
        <f t="shared" ref="X478:X509" si="55">+H478+P478</f>
        <v>1486.867</v>
      </c>
      <c r="Y478" s="85">
        <f>STATS1003B!Y479/1000</f>
        <v>0</v>
      </c>
      <c r="Z478" s="85">
        <f t="shared" si="52"/>
        <v>0</v>
      </c>
      <c r="AA478" s="69">
        <f>STATS1003B!AA479/1000</f>
        <v>1486.867</v>
      </c>
      <c r="AB478" s="69">
        <f>STATS1003B!AB479/1000</f>
        <v>0</v>
      </c>
    </row>
    <row r="479" spans="1:28" hidden="1" x14ac:dyDescent="0.3">
      <c r="A479" s="117"/>
      <c r="C479" s="68" t="s">
        <v>57</v>
      </c>
      <c r="D479" s="87" t="s">
        <v>158</v>
      </c>
      <c r="E479" s="85">
        <f>STATS1003B!E480/1000</f>
        <v>3144.6558100000002</v>
      </c>
      <c r="F479" s="85">
        <f>STATS1003B!F480/1000</f>
        <v>3144.6558100000002</v>
      </c>
      <c r="G479" s="85">
        <f>STATS1003B!G480/1000</f>
        <v>0</v>
      </c>
      <c r="H479" s="85">
        <f>STATS1003B!H480/1000</f>
        <v>3144.6558100000002</v>
      </c>
      <c r="I479" s="85">
        <f>STATS1003B!I480/1000</f>
        <v>0</v>
      </c>
      <c r="J479" s="85">
        <f>STATS1003B!J480/1000</f>
        <v>0</v>
      </c>
      <c r="K479" s="85">
        <f>STATS1003B!K480/1000</f>
        <v>0</v>
      </c>
      <c r="L479" s="85">
        <f>STATS1003B!L480/1000</f>
        <v>0</v>
      </c>
      <c r="M479" s="85">
        <f>STATS1003B!M480/1000</f>
        <v>3144.6558100000002</v>
      </c>
      <c r="N479" s="85">
        <f>STATS1003B!N480/1000</f>
        <v>0</v>
      </c>
      <c r="O479" s="85">
        <f>STATS1003B!O480/1000</f>
        <v>0</v>
      </c>
      <c r="P479" s="85">
        <f>STATS1003B!P480/1000</f>
        <v>0</v>
      </c>
      <c r="Q479" s="85">
        <f>STATS1003B!Q480/1000</f>
        <v>0</v>
      </c>
      <c r="R479" s="85">
        <f>STATS1003B!R480/1000</f>
        <v>0</v>
      </c>
      <c r="S479" s="85">
        <f>STATS1003B!S480/1000</f>
        <v>0</v>
      </c>
      <c r="T479" s="85">
        <f>STATS1003B!T480/1000</f>
        <v>0</v>
      </c>
      <c r="U479" s="85">
        <f>STATS1003B!U480/1000</f>
        <v>0</v>
      </c>
      <c r="V479" s="85">
        <f>STATS1003B!V480/1000</f>
        <v>3144.6558100000002</v>
      </c>
      <c r="W479" s="85">
        <f>STATS1003B!W480/1000</f>
        <v>0</v>
      </c>
      <c r="X479" s="85">
        <f t="shared" si="55"/>
        <v>3144.6558100000002</v>
      </c>
      <c r="Y479" s="85">
        <f>STATS1003B!Y480/1000</f>
        <v>0</v>
      </c>
      <c r="Z479" s="85">
        <f t="shared" si="52"/>
        <v>0</v>
      </c>
      <c r="AA479" s="69">
        <f>STATS1003B!AA480/1000</f>
        <v>3144.6558100000002</v>
      </c>
      <c r="AB479" s="69">
        <f>STATS1003B!AB480/1000</f>
        <v>0</v>
      </c>
    </row>
    <row r="480" spans="1:28" hidden="1" x14ac:dyDescent="0.3">
      <c r="A480" s="117"/>
      <c r="C480" s="68" t="s">
        <v>55</v>
      </c>
      <c r="D480" s="87" t="s">
        <v>103</v>
      </c>
      <c r="E480" s="85">
        <f>STATS1003B!E481/1000</f>
        <v>2739.2890000000002</v>
      </c>
      <c r="F480" s="85">
        <f>STATS1003B!F481/1000</f>
        <v>0</v>
      </c>
      <c r="G480" s="85">
        <f>STATS1003B!G481/1000</f>
        <v>0</v>
      </c>
      <c r="H480" s="85">
        <f>STATS1003B!H481/1000</f>
        <v>0</v>
      </c>
      <c r="I480" s="85">
        <f>STATS1003B!I481/1000</f>
        <v>0</v>
      </c>
      <c r="J480" s="85">
        <f>STATS1003B!J481/1000</f>
        <v>0</v>
      </c>
      <c r="K480" s="85">
        <f>STATS1003B!K481/1000</f>
        <v>0</v>
      </c>
      <c r="L480" s="85">
        <f>STATS1003B!L481/1000</f>
        <v>0</v>
      </c>
      <c r="M480" s="85">
        <f>STATS1003B!M481/1000</f>
        <v>0</v>
      </c>
      <c r="N480" s="85">
        <f>STATS1003B!N481/1000</f>
        <v>2739.2890000000002</v>
      </c>
      <c r="O480" s="85">
        <f>STATS1003B!O481/1000</f>
        <v>0</v>
      </c>
      <c r="P480" s="85">
        <f>STATS1003B!P481/1000</f>
        <v>2739.2890000000002</v>
      </c>
      <c r="Q480" s="85">
        <f>STATS1003B!Q481/1000</f>
        <v>0</v>
      </c>
      <c r="R480" s="85">
        <f>STATS1003B!R481/1000</f>
        <v>0</v>
      </c>
      <c r="S480" s="85">
        <f>STATS1003B!S481/1000</f>
        <v>0</v>
      </c>
      <c r="T480" s="85">
        <f>STATS1003B!T481/1000</f>
        <v>0</v>
      </c>
      <c r="U480" s="85">
        <f>STATS1003B!U481/1000</f>
        <v>2739.2890000000002</v>
      </c>
      <c r="V480" s="85">
        <f>STATS1003B!V481/1000</f>
        <v>2739.2890000000002</v>
      </c>
      <c r="W480" s="85">
        <f>STATS1003B!W481/1000</f>
        <v>0</v>
      </c>
      <c r="X480" s="85">
        <f t="shared" si="55"/>
        <v>2739.2890000000002</v>
      </c>
      <c r="Y480" s="85">
        <f>STATS1003B!Y481/1000</f>
        <v>0</v>
      </c>
      <c r="Z480" s="85">
        <f t="shared" si="52"/>
        <v>0</v>
      </c>
      <c r="AA480" s="69">
        <f>STATS1003B!AA481/1000</f>
        <v>2739.2890000000002</v>
      </c>
      <c r="AB480" s="69">
        <f>STATS1003B!AB481/1000</f>
        <v>0</v>
      </c>
    </row>
    <row r="481" spans="1:28" hidden="1" x14ac:dyDescent="0.3">
      <c r="A481" s="117"/>
      <c r="C481" s="68" t="s">
        <v>159</v>
      </c>
      <c r="D481" s="87" t="s">
        <v>128</v>
      </c>
      <c r="E481" s="85">
        <f>STATS1003B!E482/1000</f>
        <v>2306.1060000000002</v>
      </c>
      <c r="F481" s="85">
        <f>STATS1003B!F482/1000</f>
        <v>0</v>
      </c>
      <c r="G481" s="85">
        <f>STATS1003B!G482/1000</f>
        <v>0</v>
      </c>
      <c r="H481" s="85">
        <f>STATS1003B!H482/1000</f>
        <v>0</v>
      </c>
      <c r="I481" s="85">
        <f>STATS1003B!I482/1000</f>
        <v>0</v>
      </c>
      <c r="J481" s="85">
        <f>STATS1003B!J482/1000</f>
        <v>0</v>
      </c>
      <c r="K481" s="85">
        <f>STATS1003B!K482/1000</f>
        <v>0</v>
      </c>
      <c r="L481" s="85">
        <f>STATS1003B!L482/1000</f>
        <v>0</v>
      </c>
      <c r="M481" s="85">
        <f>STATS1003B!M482/1000</f>
        <v>0</v>
      </c>
      <c r="N481" s="85">
        <f>STATS1003B!N482/1000</f>
        <v>2306.1060000000002</v>
      </c>
      <c r="O481" s="85">
        <f>STATS1003B!O482/1000</f>
        <v>0</v>
      </c>
      <c r="P481" s="85">
        <f>STATS1003B!P482/1000</f>
        <v>2306.1060000000002</v>
      </c>
      <c r="Q481" s="85">
        <f>STATS1003B!Q482/1000</f>
        <v>0</v>
      </c>
      <c r="R481" s="85">
        <f>STATS1003B!R482/1000</f>
        <v>0</v>
      </c>
      <c r="S481" s="85">
        <f>STATS1003B!S482/1000</f>
        <v>0</v>
      </c>
      <c r="T481" s="85">
        <f>STATS1003B!T482/1000</f>
        <v>0</v>
      </c>
      <c r="U481" s="85">
        <f>STATS1003B!U482/1000</f>
        <v>2306.1060000000002</v>
      </c>
      <c r="V481" s="85">
        <f>STATS1003B!V482/1000</f>
        <v>2306.1060000000002</v>
      </c>
      <c r="W481" s="85">
        <f>STATS1003B!W482/1000</f>
        <v>0</v>
      </c>
      <c r="X481" s="85">
        <f t="shared" si="55"/>
        <v>2306.1060000000002</v>
      </c>
      <c r="Y481" s="85">
        <f>STATS1003B!Y482/1000</f>
        <v>0</v>
      </c>
      <c r="Z481" s="85">
        <f t="shared" si="52"/>
        <v>0</v>
      </c>
      <c r="AA481" s="69">
        <f>STATS1003B!AA482/1000</f>
        <v>2306.1060000000002</v>
      </c>
      <c r="AB481" s="69">
        <f>STATS1003B!AB482/1000</f>
        <v>0</v>
      </c>
    </row>
    <row r="482" spans="1:28" hidden="1" x14ac:dyDescent="0.3">
      <c r="A482" s="117"/>
      <c r="C482" s="68" t="s">
        <v>57</v>
      </c>
      <c r="D482" s="87" t="s">
        <v>58</v>
      </c>
      <c r="E482" s="85">
        <f>STATS1003B!E483/1000</f>
        <v>2475.9544999999998</v>
      </c>
      <c r="F482" s="85">
        <f>STATS1003B!F483/1000</f>
        <v>2475.9544999999998</v>
      </c>
      <c r="G482" s="85">
        <f>STATS1003B!G483/1000</f>
        <v>0</v>
      </c>
      <c r="H482" s="85">
        <f>STATS1003B!H483/1000</f>
        <v>2475.9544999999998</v>
      </c>
      <c r="I482" s="85">
        <f>STATS1003B!I483/1000</f>
        <v>0</v>
      </c>
      <c r="J482" s="85">
        <f>STATS1003B!J483/1000</f>
        <v>0</v>
      </c>
      <c r="K482" s="85">
        <f>STATS1003B!K483/1000</f>
        <v>0</v>
      </c>
      <c r="L482" s="85">
        <f>STATS1003B!L483/1000</f>
        <v>0</v>
      </c>
      <c r="M482" s="85">
        <f>STATS1003B!M483/1000</f>
        <v>2475.9544999999998</v>
      </c>
      <c r="N482" s="85">
        <f>STATS1003B!N483/1000</f>
        <v>0</v>
      </c>
      <c r="O482" s="85">
        <f>STATS1003B!O483/1000</f>
        <v>0</v>
      </c>
      <c r="P482" s="85">
        <f>STATS1003B!P483/1000</f>
        <v>0</v>
      </c>
      <c r="Q482" s="85">
        <f>STATS1003B!Q483/1000</f>
        <v>0</v>
      </c>
      <c r="R482" s="85">
        <f>STATS1003B!R483/1000</f>
        <v>0</v>
      </c>
      <c r="S482" s="85">
        <f>STATS1003B!S483/1000</f>
        <v>0</v>
      </c>
      <c r="T482" s="85">
        <f>STATS1003B!T483/1000</f>
        <v>0</v>
      </c>
      <c r="U482" s="85">
        <f>STATS1003B!U483/1000</f>
        <v>0</v>
      </c>
      <c r="V482" s="85">
        <f>STATS1003B!V483/1000</f>
        <v>2475.9544999999998</v>
      </c>
      <c r="W482" s="85">
        <f>STATS1003B!W483/1000</f>
        <v>0</v>
      </c>
      <c r="X482" s="85">
        <f t="shared" si="55"/>
        <v>2475.9544999999998</v>
      </c>
      <c r="Y482" s="85">
        <f>STATS1003B!Y483/1000</f>
        <v>0</v>
      </c>
      <c r="Z482" s="85">
        <f t="shared" si="52"/>
        <v>0</v>
      </c>
      <c r="AA482" s="69">
        <f>STATS1003B!AA483/1000</f>
        <v>2475.9544999999998</v>
      </c>
      <c r="AB482" s="69">
        <f>STATS1003B!AB483/1000</f>
        <v>0</v>
      </c>
    </row>
    <row r="483" spans="1:28" hidden="1" x14ac:dyDescent="0.3">
      <c r="A483" s="117"/>
      <c r="C483" s="68" t="s">
        <v>57</v>
      </c>
      <c r="D483" s="87" t="s">
        <v>73</v>
      </c>
      <c r="E483" s="85">
        <f>STATS1003B!E484/1000</f>
        <v>252.74700000000001</v>
      </c>
      <c r="F483" s="85">
        <f>STATS1003B!F484/1000</f>
        <v>252.74700000000001</v>
      </c>
      <c r="G483" s="85">
        <f>STATS1003B!G484/1000</f>
        <v>0</v>
      </c>
      <c r="H483" s="85">
        <f>STATS1003B!H484/1000</f>
        <v>252.74700000000001</v>
      </c>
      <c r="I483" s="85">
        <f>STATS1003B!I484/1000</f>
        <v>0</v>
      </c>
      <c r="J483" s="85">
        <f>STATS1003B!J484/1000</f>
        <v>0</v>
      </c>
      <c r="K483" s="85">
        <f>STATS1003B!K484/1000</f>
        <v>0</v>
      </c>
      <c r="L483" s="85">
        <f>STATS1003B!L484/1000</f>
        <v>0</v>
      </c>
      <c r="M483" s="85">
        <f>STATS1003B!M484/1000</f>
        <v>252.74700000000001</v>
      </c>
      <c r="N483" s="85">
        <f>STATS1003B!N484/1000</f>
        <v>0</v>
      </c>
      <c r="O483" s="85">
        <f>STATS1003B!O484/1000</f>
        <v>0</v>
      </c>
      <c r="P483" s="85">
        <f>STATS1003B!P484/1000</f>
        <v>0</v>
      </c>
      <c r="Q483" s="85">
        <f>STATS1003B!Q484/1000</f>
        <v>0</v>
      </c>
      <c r="R483" s="85">
        <f>STATS1003B!R484/1000</f>
        <v>0</v>
      </c>
      <c r="S483" s="85">
        <f>STATS1003B!S484/1000</f>
        <v>0</v>
      </c>
      <c r="T483" s="85">
        <f>STATS1003B!T484/1000</f>
        <v>0</v>
      </c>
      <c r="U483" s="85">
        <f>STATS1003B!U484/1000</f>
        <v>0</v>
      </c>
      <c r="V483" s="85">
        <f>STATS1003B!V484/1000</f>
        <v>252.74700000000001</v>
      </c>
      <c r="W483" s="85">
        <f>STATS1003B!W484/1000</f>
        <v>0</v>
      </c>
      <c r="X483" s="85">
        <f t="shared" si="55"/>
        <v>252.74700000000001</v>
      </c>
      <c r="Y483" s="85">
        <f>STATS1003B!Y484/1000</f>
        <v>0</v>
      </c>
      <c r="Z483" s="85">
        <f t="shared" si="52"/>
        <v>0</v>
      </c>
      <c r="AA483" s="69">
        <f>STATS1003B!AA484/1000</f>
        <v>252.74700000000001</v>
      </c>
      <c r="AB483" s="69">
        <f>STATS1003B!AB484/1000</f>
        <v>0</v>
      </c>
    </row>
    <row r="484" spans="1:28" hidden="1" x14ac:dyDescent="0.3">
      <c r="A484" s="117"/>
      <c r="C484" s="71" t="s">
        <v>109</v>
      </c>
      <c r="D484" s="88" t="s">
        <v>60</v>
      </c>
      <c r="E484" s="85">
        <f>STATS1003B!E485/1000</f>
        <v>5888.6207300000005</v>
      </c>
      <c r="F484" s="85">
        <f>STATS1003B!F485/1000</f>
        <v>4858.6324999999997</v>
      </c>
      <c r="G484" s="85">
        <f>STATS1003B!G485/1000</f>
        <v>0</v>
      </c>
      <c r="H484" s="85">
        <f>STATS1003B!H485/1000</f>
        <v>4858.6324999999997</v>
      </c>
      <c r="I484" s="85">
        <f>STATS1003B!I485/1000</f>
        <v>1029.9882299999999</v>
      </c>
      <c r="J484" s="85">
        <f>STATS1003B!J485/1000</f>
        <v>0</v>
      </c>
      <c r="K484" s="85">
        <f>STATS1003B!K485/1000</f>
        <v>0</v>
      </c>
      <c r="L484" s="85">
        <f>STATS1003B!L485/1000</f>
        <v>1029.9882299999999</v>
      </c>
      <c r="M484" s="85">
        <f>STATS1003B!M485/1000</f>
        <v>5888.6207300000005</v>
      </c>
      <c r="N484" s="85">
        <f>STATS1003B!N485/1000</f>
        <v>0</v>
      </c>
      <c r="O484" s="85">
        <f>STATS1003B!O485/1000</f>
        <v>0</v>
      </c>
      <c r="P484" s="85">
        <f>STATS1003B!P485/1000</f>
        <v>0</v>
      </c>
      <c r="Q484" s="85">
        <f>STATS1003B!Q485/1000</f>
        <v>0</v>
      </c>
      <c r="R484" s="85">
        <f>STATS1003B!R485/1000</f>
        <v>0</v>
      </c>
      <c r="S484" s="85">
        <f>STATS1003B!S485/1000</f>
        <v>0</v>
      </c>
      <c r="T484" s="85">
        <f>STATS1003B!T485/1000</f>
        <v>0</v>
      </c>
      <c r="U484" s="85">
        <f>STATS1003B!U485/1000</f>
        <v>0</v>
      </c>
      <c r="V484" s="85">
        <f>STATS1003B!V485/1000</f>
        <v>4858.6324999999997</v>
      </c>
      <c r="W484" s="85">
        <f>STATS1003B!W485/1000</f>
        <v>1029.9882300000004</v>
      </c>
      <c r="X484" s="85">
        <f t="shared" si="55"/>
        <v>4858.6324999999997</v>
      </c>
      <c r="Y484" s="85">
        <f>STATS1003B!Y485/1000</f>
        <v>0</v>
      </c>
      <c r="Z484" s="85">
        <f t="shared" si="52"/>
        <v>1029.9882300000008</v>
      </c>
      <c r="AA484" s="69">
        <f>STATS1003B!AA485/1000</f>
        <v>5888.6207300000005</v>
      </c>
      <c r="AB484" s="69">
        <f>STATS1003B!AB485/1000</f>
        <v>0</v>
      </c>
    </row>
    <row r="485" spans="1:28" hidden="1" x14ac:dyDescent="0.3">
      <c r="A485" s="117"/>
      <c r="C485" s="68" t="s">
        <v>122</v>
      </c>
      <c r="E485" s="85">
        <f>STATS1003B!E486/1000</f>
        <v>88.174999999999997</v>
      </c>
      <c r="F485" s="85">
        <f>STATS1003B!F486/1000</f>
        <v>88.174999999999997</v>
      </c>
      <c r="G485" s="85">
        <f>STATS1003B!G486/1000</f>
        <v>0</v>
      </c>
      <c r="H485" s="85">
        <f>STATS1003B!H486/1000</f>
        <v>88.174999999999997</v>
      </c>
      <c r="I485" s="85">
        <f>STATS1003B!I486/1000</f>
        <v>0</v>
      </c>
      <c r="J485" s="85">
        <f>STATS1003B!J486/1000</f>
        <v>0</v>
      </c>
      <c r="K485" s="85">
        <f>STATS1003B!K486/1000</f>
        <v>0</v>
      </c>
      <c r="L485" s="85">
        <f>STATS1003B!L486/1000</f>
        <v>0</v>
      </c>
      <c r="M485" s="85">
        <f>STATS1003B!M486/1000</f>
        <v>88.174999999999997</v>
      </c>
      <c r="N485" s="85">
        <f>STATS1003B!N486/1000</f>
        <v>0</v>
      </c>
      <c r="O485" s="85">
        <f>STATS1003B!O486/1000</f>
        <v>0</v>
      </c>
      <c r="P485" s="85">
        <f>STATS1003B!P486/1000</f>
        <v>0</v>
      </c>
      <c r="Q485" s="85">
        <f>STATS1003B!Q486/1000</f>
        <v>0</v>
      </c>
      <c r="R485" s="85">
        <f>STATS1003B!R486/1000</f>
        <v>0</v>
      </c>
      <c r="S485" s="85">
        <f>STATS1003B!S486/1000</f>
        <v>0</v>
      </c>
      <c r="T485" s="85">
        <f>STATS1003B!T486/1000</f>
        <v>0</v>
      </c>
      <c r="U485" s="85">
        <f>STATS1003B!U486/1000</f>
        <v>0</v>
      </c>
      <c r="V485" s="85">
        <f>STATS1003B!V486/1000</f>
        <v>88.174999999999997</v>
      </c>
      <c r="W485" s="85">
        <f>STATS1003B!W486/1000</f>
        <v>0</v>
      </c>
      <c r="X485" s="85">
        <f t="shared" si="55"/>
        <v>88.174999999999997</v>
      </c>
      <c r="Y485" s="85">
        <f>STATS1003B!Y486/1000</f>
        <v>0</v>
      </c>
      <c r="Z485" s="85">
        <f t="shared" si="52"/>
        <v>0</v>
      </c>
      <c r="AA485" s="69">
        <f>STATS1003B!AA486/1000</f>
        <v>88.174999999999997</v>
      </c>
      <c r="AB485" s="69">
        <f>STATS1003B!AB486/1000</f>
        <v>0</v>
      </c>
    </row>
    <row r="486" spans="1:28" hidden="1" x14ac:dyDescent="0.3">
      <c r="A486" s="117"/>
      <c r="E486" s="86" t="s">
        <v>29</v>
      </c>
      <c r="F486" s="86" t="s">
        <v>29</v>
      </c>
      <c r="G486" s="86" t="s">
        <v>29</v>
      </c>
      <c r="H486" s="86" t="s">
        <v>29</v>
      </c>
      <c r="I486" s="86" t="s">
        <v>29</v>
      </c>
      <c r="J486" s="86" t="s">
        <v>29</v>
      </c>
      <c r="K486" s="86" t="s">
        <v>29</v>
      </c>
      <c r="L486" s="86" t="s">
        <v>29</v>
      </c>
      <c r="M486" s="86" t="s">
        <v>29</v>
      </c>
      <c r="N486" s="86" t="s">
        <v>29</v>
      </c>
      <c r="O486" s="86" t="s">
        <v>29</v>
      </c>
      <c r="P486" s="86" t="s">
        <v>29</v>
      </c>
      <c r="Q486" s="86" t="s">
        <v>29</v>
      </c>
      <c r="R486" s="86" t="s">
        <v>29</v>
      </c>
      <c r="S486" s="86" t="s">
        <v>29</v>
      </c>
      <c r="T486" s="86" t="s">
        <v>29</v>
      </c>
      <c r="U486" s="86" t="s">
        <v>29</v>
      </c>
      <c r="V486" s="86" t="s">
        <v>29</v>
      </c>
      <c r="W486" s="86" t="s">
        <v>29</v>
      </c>
      <c r="X486" s="85" t="e">
        <f t="shared" si="55"/>
        <v>#VALUE!</v>
      </c>
      <c r="Y486" s="86" t="s">
        <v>29</v>
      </c>
      <c r="Z486" s="85" t="e">
        <f t="shared" si="52"/>
        <v>#VALUE!</v>
      </c>
      <c r="AA486" s="115" t="s">
        <v>29</v>
      </c>
      <c r="AB486" s="115" t="s">
        <v>29</v>
      </c>
    </row>
    <row r="487" spans="1:28" x14ac:dyDescent="0.3">
      <c r="A487" s="116" t="s">
        <v>955</v>
      </c>
      <c r="B487" s="68" t="s">
        <v>156</v>
      </c>
      <c r="E487" s="85">
        <f>195844092.33/1000</f>
        <v>195844.09233000001</v>
      </c>
      <c r="F487" s="85">
        <f>SUM(F476:F485)</f>
        <v>114238.79169</v>
      </c>
      <c r="G487" s="85">
        <f>SUM(G476:G485)</f>
        <v>0</v>
      </c>
      <c r="H487" s="85">
        <f>168666664.47/1000</f>
        <v>168666.66446999999</v>
      </c>
      <c r="I487" s="85">
        <f t="shared" ref="I487:O487" si="56">SUM(I476:I485)</f>
        <v>1029.9882299999999</v>
      </c>
      <c r="J487" s="85">
        <f t="shared" si="56"/>
        <v>0</v>
      </c>
      <c r="K487" s="85">
        <f t="shared" si="56"/>
        <v>0</v>
      </c>
      <c r="L487" s="85">
        <f t="shared" si="56"/>
        <v>1029.9882299999999</v>
      </c>
      <c r="M487" s="85">
        <f t="shared" si="56"/>
        <v>115268.77991999999</v>
      </c>
      <c r="N487" s="85">
        <f t="shared" si="56"/>
        <v>5680.5250000000005</v>
      </c>
      <c r="O487" s="85">
        <f t="shared" si="56"/>
        <v>0</v>
      </c>
      <c r="P487" s="85">
        <f>5680525/1000</f>
        <v>5680.5249999999996</v>
      </c>
      <c r="Q487" s="85">
        <f t="shared" ref="Q487:W487" si="57">SUM(Q476:Q485)</f>
        <v>0</v>
      </c>
      <c r="R487" s="85">
        <f t="shared" si="57"/>
        <v>0</v>
      </c>
      <c r="S487" s="85">
        <f t="shared" si="57"/>
        <v>0</v>
      </c>
      <c r="T487" s="85">
        <f t="shared" si="57"/>
        <v>0</v>
      </c>
      <c r="U487" s="85">
        <f t="shared" si="57"/>
        <v>5680.5250000000005</v>
      </c>
      <c r="V487" s="85">
        <f t="shared" si="57"/>
        <v>119919.31669000002</v>
      </c>
      <c r="W487" s="85">
        <f t="shared" si="57"/>
        <v>1029.9882300000004</v>
      </c>
      <c r="X487" s="85">
        <f t="shared" si="55"/>
        <v>174347.18946999998</v>
      </c>
      <c r="Y487" s="85">
        <f>SUM(Y476:Y485)</f>
        <v>0</v>
      </c>
      <c r="Z487" s="85">
        <f t="shared" si="52"/>
        <v>21496.902860000031</v>
      </c>
      <c r="AA487" s="69">
        <f>SUM(AA476:AA485)</f>
        <v>120949.30492000001</v>
      </c>
      <c r="AB487" s="69">
        <f>SUM(AB476:AB485)</f>
        <v>20466.914630000007</v>
      </c>
    </row>
    <row r="488" spans="1:28" hidden="1" x14ac:dyDescent="0.3">
      <c r="A488" s="117"/>
      <c r="E488" s="86" t="s">
        <v>29</v>
      </c>
      <c r="F488" s="86" t="s">
        <v>29</v>
      </c>
      <c r="G488" s="86" t="s">
        <v>29</v>
      </c>
      <c r="H488" s="86" t="s">
        <v>29</v>
      </c>
      <c r="I488" s="86" t="s">
        <v>29</v>
      </c>
      <c r="J488" s="86" t="s">
        <v>29</v>
      </c>
      <c r="K488" s="86" t="s">
        <v>29</v>
      </c>
      <c r="L488" s="86" t="s">
        <v>29</v>
      </c>
      <c r="M488" s="86" t="s">
        <v>29</v>
      </c>
      <c r="N488" s="86" t="s">
        <v>29</v>
      </c>
      <c r="O488" s="86" t="s">
        <v>29</v>
      </c>
      <c r="P488" s="86" t="s">
        <v>29</v>
      </c>
      <c r="Q488" s="86" t="s">
        <v>29</v>
      </c>
      <c r="R488" s="86" t="s">
        <v>29</v>
      </c>
      <c r="S488" s="86" t="s">
        <v>29</v>
      </c>
      <c r="T488" s="86" t="s">
        <v>29</v>
      </c>
      <c r="U488" s="86" t="s">
        <v>29</v>
      </c>
      <c r="V488" s="86" t="s">
        <v>29</v>
      </c>
      <c r="W488" s="86" t="s">
        <v>29</v>
      </c>
      <c r="X488" s="85" t="e">
        <f t="shared" si="55"/>
        <v>#VALUE!</v>
      </c>
      <c r="Y488" s="86" t="s">
        <v>29</v>
      </c>
      <c r="Z488" s="85" t="e">
        <f t="shared" si="52"/>
        <v>#VALUE!</v>
      </c>
      <c r="AA488" s="115" t="s">
        <v>29</v>
      </c>
      <c r="AB488" s="115" t="s">
        <v>29</v>
      </c>
    </row>
    <row r="489" spans="1:28" hidden="1" x14ac:dyDescent="0.3">
      <c r="A489" s="117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5">
        <f t="shared" si="55"/>
        <v>0</v>
      </c>
      <c r="Y489" s="84"/>
      <c r="Z489" s="85">
        <f t="shared" ref="Z489:Z520" si="58">+E489-X489</f>
        <v>0</v>
      </c>
      <c r="AA489" s="118"/>
    </row>
    <row r="490" spans="1:28" hidden="1" x14ac:dyDescent="0.3">
      <c r="A490" s="105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5">
        <f t="shared" si="55"/>
        <v>0</v>
      </c>
      <c r="Y490" s="84"/>
      <c r="Z490" s="85">
        <f t="shared" si="58"/>
        <v>0</v>
      </c>
    </row>
    <row r="491" spans="1:28" hidden="1" x14ac:dyDescent="0.3">
      <c r="A491" s="117"/>
      <c r="C491" s="68" t="s">
        <v>75</v>
      </c>
      <c r="D491" s="88" t="s">
        <v>76</v>
      </c>
      <c r="E491" s="85">
        <f>STATS1003B!E492/1000</f>
        <v>2852</v>
      </c>
      <c r="F491" s="85">
        <f>STATS1003B!F492/1000</f>
        <v>0</v>
      </c>
      <c r="G491" s="85">
        <f>STATS1003B!G492/1000</f>
        <v>0</v>
      </c>
      <c r="H491" s="85">
        <f>STATS1003B!H492/1000</f>
        <v>0</v>
      </c>
      <c r="I491" s="85">
        <f>STATS1003B!I492/1000</f>
        <v>0</v>
      </c>
      <c r="J491" s="85">
        <f>STATS1003B!J492/1000</f>
        <v>0</v>
      </c>
      <c r="K491" s="85">
        <f>STATS1003B!K492/1000</f>
        <v>0</v>
      </c>
      <c r="L491" s="85">
        <f>STATS1003B!L492/1000</f>
        <v>0</v>
      </c>
      <c r="M491" s="85">
        <f>STATS1003B!M492/1000</f>
        <v>0</v>
      </c>
      <c r="N491" s="85">
        <f>STATS1003B!N492/1000</f>
        <v>2069.6983600000003</v>
      </c>
      <c r="O491" s="85">
        <f>STATS1003B!O492/1000</f>
        <v>0</v>
      </c>
      <c r="P491" s="85">
        <f>STATS1003B!P492/1000</f>
        <v>2069.6983600000003</v>
      </c>
      <c r="Q491" s="85">
        <f>STATS1003B!Q492/1000</f>
        <v>0</v>
      </c>
      <c r="R491" s="85">
        <f>STATS1003B!R492/1000</f>
        <v>0</v>
      </c>
      <c r="S491" s="85">
        <f>STATS1003B!S492/1000</f>
        <v>0</v>
      </c>
      <c r="T491" s="85">
        <f>STATS1003B!T492/1000</f>
        <v>0</v>
      </c>
      <c r="U491" s="85">
        <f>STATS1003B!U492/1000</f>
        <v>2069.6983600000003</v>
      </c>
      <c r="V491" s="85">
        <f>STATS1003B!V492/1000</f>
        <v>2069.6983600000003</v>
      </c>
      <c r="W491" s="85">
        <f>STATS1003B!W492/1000</f>
        <v>782.30163999999991</v>
      </c>
      <c r="X491" s="85">
        <f t="shared" si="55"/>
        <v>2069.6983600000003</v>
      </c>
      <c r="Y491" s="85">
        <f>STATS1003B!Y492/1000</f>
        <v>0</v>
      </c>
      <c r="Z491" s="85">
        <f t="shared" si="58"/>
        <v>782.30163999999968</v>
      </c>
      <c r="AA491" s="69">
        <f>STATS1003B!AA492/1000</f>
        <v>2069.6983600000003</v>
      </c>
      <c r="AB491" s="69">
        <f>STATS1003B!AB492/1000</f>
        <v>782.30163999999991</v>
      </c>
    </row>
    <row r="492" spans="1:28" hidden="1" x14ac:dyDescent="0.3">
      <c r="A492" s="117"/>
      <c r="C492" s="68" t="s">
        <v>55</v>
      </c>
      <c r="D492" s="87" t="s">
        <v>54</v>
      </c>
      <c r="E492" s="85">
        <f>STATS1003B!E493/1000</f>
        <v>1892.385</v>
      </c>
      <c r="F492" s="85">
        <f>STATS1003B!F493/1000</f>
        <v>0</v>
      </c>
      <c r="G492" s="85">
        <f>STATS1003B!G493/1000</f>
        <v>0</v>
      </c>
      <c r="H492" s="85">
        <f>STATS1003B!H493/1000</f>
        <v>0</v>
      </c>
      <c r="I492" s="85">
        <f>STATS1003B!I493/1000</f>
        <v>0</v>
      </c>
      <c r="J492" s="85">
        <f>STATS1003B!J493/1000</f>
        <v>0</v>
      </c>
      <c r="K492" s="85">
        <f>STATS1003B!K493/1000</f>
        <v>0</v>
      </c>
      <c r="L492" s="85">
        <f>STATS1003B!L493/1000</f>
        <v>0</v>
      </c>
      <c r="M492" s="85">
        <f>STATS1003B!M493/1000</f>
        <v>0</v>
      </c>
      <c r="N492" s="85">
        <f>STATS1003B!N493/1000</f>
        <v>1892.385</v>
      </c>
      <c r="O492" s="85">
        <f>STATS1003B!O493/1000</f>
        <v>0</v>
      </c>
      <c r="P492" s="85">
        <f>STATS1003B!P493/1000</f>
        <v>1892.385</v>
      </c>
      <c r="Q492" s="85">
        <f>STATS1003B!Q493/1000</f>
        <v>0</v>
      </c>
      <c r="R492" s="85">
        <f>STATS1003B!R493/1000</f>
        <v>0</v>
      </c>
      <c r="S492" s="85">
        <f>STATS1003B!S493/1000</f>
        <v>0</v>
      </c>
      <c r="T492" s="85">
        <f>STATS1003B!T493/1000</f>
        <v>0</v>
      </c>
      <c r="U492" s="85">
        <f>STATS1003B!U493/1000</f>
        <v>1892.385</v>
      </c>
      <c r="V492" s="85">
        <f>STATS1003B!V493/1000</f>
        <v>1892.385</v>
      </c>
      <c r="W492" s="85">
        <f>STATS1003B!W493/1000</f>
        <v>0</v>
      </c>
      <c r="X492" s="85">
        <f t="shared" si="55"/>
        <v>1892.385</v>
      </c>
      <c r="Y492" s="85">
        <f>STATS1003B!Y493/1000</f>
        <v>0</v>
      </c>
      <c r="Z492" s="85">
        <f t="shared" si="58"/>
        <v>0</v>
      </c>
      <c r="AA492" s="69">
        <f>STATS1003B!AA493/1000</f>
        <v>1892.385</v>
      </c>
      <c r="AB492" s="69">
        <f>STATS1003B!AB493/1000</f>
        <v>0</v>
      </c>
    </row>
    <row r="493" spans="1:28" hidden="1" x14ac:dyDescent="0.3">
      <c r="A493" s="117"/>
      <c r="C493" s="68" t="s">
        <v>161</v>
      </c>
      <c r="D493" s="87" t="s">
        <v>54</v>
      </c>
      <c r="E493" s="85">
        <f>STATS1003B!E494/1000</f>
        <v>955.34561999999994</v>
      </c>
      <c r="F493" s="85">
        <f>STATS1003B!F494/1000</f>
        <v>0</v>
      </c>
      <c r="G493" s="85">
        <f>STATS1003B!G494/1000</f>
        <v>0</v>
      </c>
      <c r="H493" s="85">
        <f>STATS1003B!H494/1000</f>
        <v>0</v>
      </c>
      <c r="I493" s="85">
        <f>STATS1003B!I494/1000</f>
        <v>0</v>
      </c>
      <c r="J493" s="85">
        <f>STATS1003B!J494/1000</f>
        <v>0</v>
      </c>
      <c r="K493" s="85">
        <f>STATS1003B!K494/1000</f>
        <v>0</v>
      </c>
      <c r="L493" s="85">
        <f>STATS1003B!L494/1000</f>
        <v>0</v>
      </c>
      <c r="M493" s="85">
        <f>STATS1003B!M494/1000</f>
        <v>0</v>
      </c>
      <c r="N493" s="85">
        <f>STATS1003B!N494/1000</f>
        <v>955.34561999999994</v>
      </c>
      <c r="O493" s="85">
        <f>STATS1003B!O494/1000</f>
        <v>0</v>
      </c>
      <c r="P493" s="85">
        <f>STATS1003B!P494/1000</f>
        <v>955.34561999999994</v>
      </c>
      <c r="Q493" s="85">
        <f>STATS1003B!Q494/1000</f>
        <v>0</v>
      </c>
      <c r="R493" s="85">
        <f>STATS1003B!R494/1000</f>
        <v>0</v>
      </c>
      <c r="S493" s="85">
        <f>STATS1003B!S494/1000</f>
        <v>0</v>
      </c>
      <c r="T493" s="85">
        <f>STATS1003B!T494/1000</f>
        <v>0</v>
      </c>
      <c r="U493" s="85">
        <f>STATS1003B!U494/1000</f>
        <v>955.34561999999994</v>
      </c>
      <c r="V493" s="85">
        <f>STATS1003B!V494/1000</f>
        <v>955.34561999999994</v>
      </c>
      <c r="W493" s="85">
        <f>STATS1003B!W494/1000</f>
        <v>0</v>
      </c>
      <c r="X493" s="85">
        <f t="shared" si="55"/>
        <v>955.34561999999994</v>
      </c>
      <c r="Y493" s="85">
        <f>STATS1003B!Y494/1000</f>
        <v>0</v>
      </c>
      <c r="Z493" s="85">
        <f t="shared" si="58"/>
        <v>0</v>
      </c>
      <c r="AA493" s="69">
        <f>STATS1003B!AA494/1000</f>
        <v>955.34561999999994</v>
      </c>
      <c r="AB493" s="69">
        <f>STATS1003B!AB494/1000</f>
        <v>0</v>
      </c>
    </row>
    <row r="494" spans="1:28" hidden="1" x14ac:dyDescent="0.3">
      <c r="A494" s="117"/>
      <c r="C494" s="68" t="s">
        <v>159</v>
      </c>
      <c r="D494" s="87" t="s">
        <v>85</v>
      </c>
      <c r="E494" s="85">
        <f>STATS1003B!E495/1000</f>
        <v>1953.989</v>
      </c>
      <c r="F494" s="85">
        <f>STATS1003B!F495/1000</f>
        <v>0</v>
      </c>
      <c r="G494" s="85">
        <f>STATS1003B!G495/1000</f>
        <v>0</v>
      </c>
      <c r="H494" s="85">
        <f>STATS1003B!H495/1000</f>
        <v>0</v>
      </c>
      <c r="I494" s="85">
        <f>STATS1003B!I495/1000</f>
        <v>0</v>
      </c>
      <c r="J494" s="85">
        <f>STATS1003B!J495/1000</f>
        <v>0</v>
      </c>
      <c r="K494" s="85">
        <f>STATS1003B!K495/1000</f>
        <v>0</v>
      </c>
      <c r="L494" s="85">
        <f>STATS1003B!L495/1000</f>
        <v>0</v>
      </c>
      <c r="M494" s="85">
        <f>STATS1003B!M495/1000</f>
        <v>0</v>
      </c>
      <c r="N494" s="85">
        <f>STATS1003B!N495/1000</f>
        <v>1953.989</v>
      </c>
      <c r="O494" s="85">
        <f>STATS1003B!O495/1000</f>
        <v>0</v>
      </c>
      <c r="P494" s="85">
        <f>STATS1003B!P495/1000</f>
        <v>1953.989</v>
      </c>
      <c r="Q494" s="85">
        <f>STATS1003B!Q495/1000</f>
        <v>0</v>
      </c>
      <c r="R494" s="85">
        <f>STATS1003B!R495/1000</f>
        <v>0</v>
      </c>
      <c r="S494" s="85">
        <f>STATS1003B!S495/1000</f>
        <v>0</v>
      </c>
      <c r="T494" s="85">
        <f>STATS1003B!T495/1000</f>
        <v>0</v>
      </c>
      <c r="U494" s="85">
        <f>STATS1003B!U495/1000</f>
        <v>1953.989</v>
      </c>
      <c r="V494" s="85">
        <f>STATS1003B!V495/1000</f>
        <v>1953.989</v>
      </c>
      <c r="W494" s="85">
        <f>STATS1003B!W495/1000</f>
        <v>0</v>
      </c>
      <c r="X494" s="85">
        <f t="shared" si="55"/>
        <v>1953.989</v>
      </c>
      <c r="Y494" s="85">
        <f>STATS1003B!Y495/1000</f>
        <v>0</v>
      </c>
      <c r="Z494" s="85">
        <f t="shared" si="58"/>
        <v>0</v>
      </c>
      <c r="AA494" s="69">
        <f>STATS1003B!AA495/1000</f>
        <v>1953.989</v>
      </c>
      <c r="AB494" s="69">
        <f>STATS1003B!AB495/1000</f>
        <v>0</v>
      </c>
    </row>
    <row r="495" spans="1:28" hidden="1" x14ac:dyDescent="0.3">
      <c r="A495" s="117"/>
      <c r="C495" s="68" t="s">
        <v>57</v>
      </c>
      <c r="D495" s="87" t="s">
        <v>108</v>
      </c>
      <c r="E495" s="85">
        <f>STATS1003B!E496/1000</f>
        <v>3156.1996899999999</v>
      </c>
      <c r="F495" s="85">
        <f>STATS1003B!F496/1000</f>
        <v>3156.1996899999999</v>
      </c>
      <c r="G495" s="85">
        <f>STATS1003B!G496/1000</f>
        <v>0</v>
      </c>
      <c r="H495" s="85">
        <f>STATS1003B!H496/1000</f>
        <v>3156.1996899999999</v>
      </c>
      <c r="I495" s="85">
        <f>STATS1003B!I496/1000</f>
        <v>0</v>
      </c>
      <c r="J495" s="85">
        <f>STATS1003B!J496/1000</f>
        <v>0</v>
      </c>
      <c r="K495" s="85">
        <f>STATS1003B!K496/1000</f>
        <v>0</v>
      </c>
      <c r="L495" s="85">
        <f>STATS1003B!L496/1000</f>
        <v>0</v>
      </c>
      <c r="M495" s="85">
        <f>STATS1003B!M496/1000</f>
        <v>3156.1996899999999</v>
      </c>
      <c r="N495" s="85">
        <f>STATS1003B!N496/1000</f>
        <v>0</v>
      </c>
      <c r="O495" s="85">
        <f>STATS1003B!O496/1000</f>
        <v>0</v>
      </c>
      <c r="P495" s="85">
        <f>STATS1003B!P496/1000</f>
        <v>0</v>
      </c>
      <c r="Q495" s="85">
        <f>STATS1003B!Q496/1000</f>
        <v>0</v>
      </c>
      <c r="R495" s="85">
        <f>STATS1003B!R496/1000</f>
        <v>0</v>
      </c>
      <c r="S495" s="85">
        <f>STATS1003B!S496/1000</f>
        <v>0</v>
      </c>
      <c r="T495" s="85">
        <f>STATS1003B!T496/1000</f>
        <v>0</v>
      </c>
      <c r="U495" s="85">
        <f>STATS1003B!U496/1000</f>
        <v>0</v>
      </c>
      <c r="V495" s="85">
        <f>STATS1003B!V496/1000</f>
        <v>3156.1996899999999</v>
      </c>
      <c r="W495" s="85">
        <f>STATS1003B!W496/1000</f>
        <v>0</v>
      </c>
      <c r="X495" s="85">
        <f t="shared" si="55"/>
        <v>3156.1996899999999</v>
      </c>
      <c r="Y495" s="85">
        <f>STATS1003B!Y496/1000</f>
        <v>0</v>
      </c>
      <c r="Z495" s="85">
        <f t="shared" si="58"/>
        <v>0</v>
      </c>
      <c r="AA495" s="69">
        <f>STATS1003B!AA496/1000</f>
        <v>3156.1996899999999</v>
      </c>
      <c r="AB495" s="69">
        <f>STATS1003B!AB496/1000</f>
        <v>0</v>
      </c>
    </row>
    <row r="496" spans="1:28" hidden="1" x14ac:dyDescent="0.3">
      <c r="A496" s="117"/>
      <c r="C496" s="68" t="s">
        <v>57</v>
      </c>
      <c r="D496" s="87" t="s">
        <v>58</v>
      </c>
      <c r="E496" s="85">
        <f>STATS1003B!E497/1000</f>
        <v>2931</v>
      </c>
      <c r="F496" s="85">
        <f>STATS1003B!F497/1000</f>
        <v>2931</v>
      </c>
      <c r="G496" s="85">
        <f>STATS1003B!G497/1000</f>
        <v>0</v>
      </c>
      <c r="H496" s="85">
        <f>STATS1003B!H497/1000</f>
        <v>2931</v>
      </c>
      <c r="I496" s="85">
        <f>STATS1003B!I497/1000</f>
        <v>0</v>
      </c>
      <c r="J496" s="85">
        <f>STATS1003B!J497/1000</f>
        <v>0</v>
      </c>
      <c r="K496" s="85">
        <f>STATS1003B!K497/1000</f>
        <v>0</v>
      </c>
      <c r="L496" s="85">
        <f>STATS1003B!L497/1000</f>
        <v>0</v>
      </c>
      <c r="M496" s="85">
        <f>STATS1003B!M497/1000</f>
        <v>2931</v>
      </c>
      <c r="N496" s="85">
        <f>STATS1003B!N497/1000</f>
        <v>0</v>
      </c>
      <c r="O496" s="85">
        <f>STATS1003B!O497/1000</f>
        <v>0</v>
      </c>
      <c r="P496" s="85">
        <f>STATS1003B!P497/1000</f>
        <v>0</v>
      </c>
      <c r="Q496" s="85">
        <f>STATS1003B!Q497/1000</f>
        <v>0</v>
      </c>
      <c r="R496" s="85">
        <f>STATS1003B!R497/1000</f>
        <v>0</v>
      </c>
      <c r="S496" s="85">
        <f>STATS1003B!S497/1000</f>
        <v>0</v>
      </c>
      <c r="T496" s="85">
        <f>STATS1003B!T497/1000</f>
        <v>0</v>
      </c>
      <c r="U496" s="85">
        <f>STATS1003B!U497/1000</f>
        <v>0</v>
      </c>
      <c r="V496" s="85">
        <f>STATS1003B!V497/1000</f>
        <v>2931</v>
      </c>
      <c r="W496" s="85">
        <f>STATS1003B!W497/1000</f>
        <v>0</v>
      </c>
      <c r="X496" s="85">
        <f t="shared" si="55"/>
        <v>2931</v>
      </c>
      <c r="Y496" s="85">
        <f>STATS1003B!Y497/1000</f>
        <v>0</v>
      </c>
      <c r="Z496" s="85">
        <f t="shared" si="58"/>
        <v>0</v>
      </c>
      <c r="AA496" s="69">
        <f>STATS1003B!AA497/1000</f>
        <v>2931</v>
      </c>
      <c r="AB496" s="69">
        <f>STATS1003B!AB497/1000</f>
        <v>0</v>
      </c>
    </row>
    <row r="497" spans="1:28" hidden="1" x14ac:dyDescent="0.3">
      <c r="A497" s="117"/>
      <c r="C497" s="68" t="s">
        <v>57</v>
      </c>
      <c r="D497" s="87" t="s">
        <v>60</v>
      </c>
      <c r="E497" s="85">
        <f>STATS1003B!E498/1000</f>
        <v>1503.3406100000002</v>
      </c>
      <c r="F497" s="85">
        <f>STATS1003B!F498/1000</f>
        <v>1503.3406100000002</v>
      </c>
      <c r="G497" s="85">
        <f>STATS1003B!G498/1000</f>
        <v>0</v>
      </c>
      <c r="H497" s="85">
        <f>STATS1003B!H498/1000</f>
        <v>1503.3406100000002</v>
      </c>
      <c r="I497" s="85">
        <f>STATS1003B!I498/1000</f>
        <v>0</v>
      </c>
      <c r="J497" s="85">
        <f>STATS1003B!J498/1000</f>
        <v>0</v>
      </c>
      <c r="K497" s="85">
        <f>STATS1003B!K498/1000</f>
        <v>0</v>
      </c>
      <c r="L497" s="85">
        <f>STATS1003B!L498/1000</f>
        <v>0</v>
      </c>
      <c r="M497" s="85">
        <f>STATS1003B!M498/1000</f>
        <v>1503.3406100000002</v>
      </c>
      <c r="N497" s="85">
        <f>STATS1003B!N498/1000</f>
        <v>0</v>
      </c>
      <c r="O497" s="85">
        <f>STATS1003B!O498/1000</f>
        <v>0</v>
      </c>
      <c r="P497" s="85">
        <f>STATS1003B!P498/1000</f>
        <v>0</v>
      </c>
      <c r="Q497" s="85">
        <f>STATS1003B!Q498/1000</f>
        <v>0</v>
      </c>
      <c r="R497" s="85">
        <f>STATS1003B!R498/1000</f>
        <v>0</v>
      </c>
      <c r="S497" s="85">
        <f>STATS1003B!S498/1000</f>
        <v>0</v>
      </c>
      <c r="T497" s="85">
        <f>STATS1003B!T498/1000</f>
        <v>0</v>
      </c>
      <c r="U497" s="85">
        <f>STATS1003B!U498/1000</f>
        <v>0</v>
      </c>
      <c r="V497" s="85">
        <f>STATS1003B!V498/1000</f>
        <v>1503.3406100000002</v>
      </c>
      <c r="W497" s="85">
        <f>STATS1003B!W498/1000</f>
        <v>0</v>
      </c>
      <c r="X497" s="85">
        <f t="shared" si="55"/>
        <v>1503.3406100000002</v>
      </c>
      <c r="Y497" s="85">
        <f>STATS1003B!Y498/1000</f>
        <v>0</v>
      </c>
      <c r="Z497" s="85">
        <f t="shared" si="58"/>
        <v>0</v>
      </c>
      <c r="AA497" s="69">
        <f>STATS1003B!AA498/1000</f>
        <v>1503.3406100000002</v>
      </c>
      <c r="AB497" s="69">
        <f>STATS1003B!AB498/1000</f>
        <v>0</v>
      </c>
    </row>
    <row r="498" spans="1:28" hidden="1" x14ac:dyDescent="0.3">
      <c r="A498" s="117"/>
      <c r="C498" s="71" t="s">
        <v>109</v>
      </c>
      <c r="D498" s="88" t="s">
        <v>60</v>
      </c>
      <c r="E498" s="85">
        <f>STATS1003B!E499/1000</f>
        <v>2500</v>
      </c>
      <c r="F498" s="85">
        <f>STATS1003B!F499/1000</f>
        <v>2500</v>
      </c>
      <c r="G498" s="85">
        <f>STATS1003B!G499/1000</f>
        <v>0</v>
      </c>
      <c r="H498" s="85">
        <f>STATS1003B!H499/1000</f>
        <v>2500</v>
      </c>
      <c r="I498" s="85">
        <f>STATS1003B!I499/1000</f>
        <v>0</v>
      </c>
      <c r="J498" s="85">
        <f>STATS1003B!J499/1000</f>
        <v>0</v>
      </c>
      <c r="K498" s="85">
        <f>STATS1003B!K499/1000</f>
        <v>0</v>
      </c>
      <c r="L498" s="85">
        <f>STATS1003B!L499/1000</f>
        <v>0</v>
      </c>
      <c r="M498" s="85">
        <f>STATS1003B!M499/1000</f>
        <v>2500</v>
      </c>
      <c r="N498" s="85">
        <f>STATS1003B!N499/1000</f>
        <v>0</v>
      </c>
      <c r="O498" s="85">
        <f>STATS1003B!O499/1000</f>
        <v>0</v>
      </c>
      <c r="P498" s="85">
        <f>STATS1003B!P499/1000</f>
        <v>0</v>
      </c>
      <c r="Q498" s="85">
        <f>STATS1003B!Q499/1000</f>
        <v>0</v>
      </c>
      <c r="R498" s="85">
        <f>STATS1003B!R499/1000</f>
        <v>0</v>
      </c>
      <c r="S498" s="85">
        <f>STATS1003B!S499/1000</f>
        <v>0</v>
      </c>
      <c r="T498" s="85">
        <f>STATS1003B!T499/1000</f>
        <v>0</v>
      </c>
      <c r="U498" s="85">
        <f>STATS1003B!U499/1000</f>
        <v>0</v>
      </c>
      <c r="V498" s="85">
        <f>STATS1003B!V499/1000</f>
        <v>2500</v>
      </c>
      <c r="W498" s="85">
        <f>STATS1003B!W499/1000</f>
        <v>0</v>
      </c>
      <c r="X498" s="85">
        <f t="shared" si="55"/>
        <v>2500</v>
      </c>
      <c r="Y498" s="85">
        <f>STATS1003B!Y499/1000</f>
        <v>0</v>
      </c>
      <c r="Z498" s="85">
        <f t="shared" si="58"/>
        <v>0</v>
      </c>
      <c r="AA498" s="69">
        <f>STATS1003B!AA499/1000</f>
        <v>2500</v>
      </c>
      <c r="AB498" s="69">
        <f>STATS1003B!AB499/1000</f>
        <v>0</v>
      </c>
    </row>
    <row r="499" spans="1:28" hidden="1" x14ac:dyDescent="0.3">
      <c r="A499" s="117"/>
      <c r="E499" s="86" t="s">
        <v>29</v>
      </c>
      <c r="F499" s="86" t="s">
        <v>29</v>
      </c>
      <c r="G499" s="86" t="s">
        <v>29</v>
      </c>
      <c r="H499" s="86" t="s">
        <v>29</v>
      </c>
      <c r="I499" s="86" t="s">
        <v>29</v>
      </c>
      <c r="J499" s="86" t="s">
        <v>29</v>
      </c>
      <c r="K499" s="86" t="s">
        <v>29</v>
      </c>
      <c r="L499" s="86" t="s">
        <v>29</v>
      </c>
      <c r="M499" s="86" t="s">
        <v>29</v>
      </c>
      <c r="N499" s="86" t="s">
        <v>29</v>
      </c>
      <c r="O499" s="86" t="s">
        <v>29</v>
      </c>
      <c r="P499" s="86" t="s">
        <v>29</v>
      </c>
      <c r="Q499" s="86" t="s">
        <v>29</v>
      </c>
      <c r="R499" s="86" t="s">
        <v>29</v>
      </c>
      <c r="S499" s="86" t="s">
        <v>29</v>
      </c>
      <c r="T499" s="86" t="s">
        <v>29</v>
      </c>
      <c r="U499" s="86" t="s">
        <v>29</v>
      </c>
      <c r="V499" s="86" t="s">
        <v>29</v>
      </c>
      <c r="W499" s="86" t="s">
        <v>29</v>
      </c>
      <c r="X499" s="85" t="e">
        <f t="shared" si="55"/>
        <v>#VALUE!</v>
      </c>
      <c r="Y499" s="86" t="s">
        <v>29</v>
      </c>
      <c r="Z499" s="85" t="e">
        <f t="shared" si="58"/>
        <v>#VALUE!</v>
      </c>
      <c r="AA499" s="115" t="s">
        <v>29</v>
      </c>
      <c r="AB499" s="115" t="s">
        <v>29</v>
      </c>
    </row>
    <row r="500" spans="1:28" x14ac:dyDescent="0.3">
      <c r="A500" s="116" t="s">
        <v>956</v>
      </c>
      <c r="B500" s="68" t="s">
        <v>160</v>
      </c>
      <c r="E500" s="85">
        <f>31858918.77/1000</f>
        <v>31858.91877</v>
      </c>
      <c r="F500" s="85">
        <f>SUM(F491:F498)</f>
        <v>10090.540300000001</v>
      </c>
      <c r="G500" s="85">
        <f>SUM(G491:G498)</f>
        <v>0</v>
      </c>
      <c r="H500" s="85">
        <f>24205199.15/1000</f>
        <v>24205.199149999997</v>
      </c>
      <c r="I500" s="85">
        <f t="shared" ref="I500:O500" si="59">SUM(I491:I498)</f>
        <v>0</v>
      </c>
      <c r="J500" s="85">
        <f t="shared" si="59"/>
        <v>0</v>
      </c>
      <c r="K500" s="85">
        <f t="shared" si="59"/>
        <v>0</v>
      </c>
      <c r="L500" s="85">
        <f t="shared" si="59"/>
        <v>0</v>
      </c>
      <c r="M500" s="85">
        <f t="shared" si="59"/>
        <v>10090.540300000001</v>
      </c>
      <c r="N500" s="85">
        <f t="shared" si="59"/>
        <v>6871.4179800000002</v>
      </c>
      <c r="O500" s="85">
        <f t="shared" si="59"/>
        <v>0</v>
      </c>
      <c r="P500" s="85">
        <f>6871417/1000</f>
        <v>6871.4170000000004</v>
      </c>
      <c r="Q500" s="85">
        <f t="shared" ref="Q500:W500" si="60">SUM(Q491:Q498)</f>
        <v>0</v>
      </c>
      <c r="R500" s="85">
        <f t="shared" si="60"/>
        <v>0</v>
      </c>
      <c r="S500" s="85">
        <f t="shared" si="60"/>
        <v>0</v>
      </c>
      <c r="T500" s="85">
        <f t="shared" si="60"/>
        <v>0</v>
      </c>
      <c r="U500" s="85">
        <f t="shared" si="60"/>
        <v>6871.4179800000002</v>
      </c>
      <c r="V500" s="85">
        <f t="shared" si="60"/>
        <v>16961.958279999999</v>
      </c>
      <c r="W500" s="85">
        <f t="shared" si="60"/>
        <v>782.30163999999991</v>
      </c>
      <c r="X500" s="85">
        <f t="shared" si="55"/>
        <v>31076.616149999998</v>
      </c>
      <c r="Y500" s="85">
        <f>SUM(Y491:Y498)</f>
        <v>0</v>
      </c>
      <c r="Z500" s="85">
        <f t="shared" si="58"/>
        <v>782.30262000000221</v>
      </c>
      <c r="AA500" s="69">
        <f>SUM(AA491:AA498)</f>
        <v>16961.958279999999</v>
      </c>
      <c r="AB500" s="69">
        <f>SUM(AB491:AB498)</f>
        <v>782.30163999999991</v>
      </c>
    </row>
    <row r="501" spans="1:28" hidden="1" x14ac:dyDescent="0.3">
      <c r="A501" s="117"/>
      <c r="E501" s="86" t="s">
        <v>29</v>
      </c>
      <c r="F501" s="86" t="s">
        <v>29</v>
      </c>
      <c r="G501" s="86" t="s">
        <v>29</v>
      </c>
      <c r="H501" s="86" t="s">
        <v>29</v>
      </c>
      <c r="I501" s="86" t="s">
        <v>29</v>
      </c>
      <c r="J501" s="86" t="s">
        <v>29</v>
      </c>
      <c r="K501" s="86" t="s">
        <v>29</v>
      </c>
      <c r="L501" s="86" t="s">
        <v>29</v>
      </c>
      <c r="M501" s="86" t="s">
        <v>29</v>
      </c>
      <c r="N501" s="86" t="s">
        <v>29</v>
      </c>
      <c r="O501" s="86" t="s">
        <v>29</v>
      </c>
      <c r="P501" s="86" t="s">
        <v>29</v>
      </c>
      <c r="Q501" s="86" t="s">
        <v>29</v>
      </c>
      <c r="R501" s="86" t="s">
        <v>29</v>
      </c>
      <c r="S501" s="86" t="s">
        <v>29</v>
      </c>
      <c r="T501" s="86" t="s">
        <v>29</v>
      </c>
      <c r="U501" s="86" t="s">
        <v>29</v>
      </c>
      <c r="V501" s="86" t="s">
        <v>29</v>
      </c>
      <c r="W501" s="86" t="s">
        <v>29</v>
      </c>
      <c r="X501" s="85" t="e">
        <f t="shared" si="55"/>
        <v>#VALUE!</v>
      </c>
      <c r="Y501" s="86" t="s">
        <v>29</v>
      </c>
      <c r="Z501" s="85" t="e">
        <f t="shared" si="58"/>
        <v>#VALUE!</v>
      </c>
      <c r="AA501" s="115" t="s">
        <v>29</v>
      </c>
      <c r="AB501" s="115" t="s">
        <v>29</v>
      </c>
    </row>
    <row r="502" spans="1:28" hidden="1" x14ac:dyDescent="0.3">
      <c r="A502" s="105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5">
        <f t="shared" si="55"/>
        <v>0</v>
      </c>
      <c r="Y502" s="84"/>
      <c r="Z502" s="85">
        <f t="shared" si="58"/>
        <v>0</v>
      </c>
      <c r="AA502" s="118"/>
    </row>
    <row r="503" spans="1:28" hidden="1" x14ac:dyDescent="0.3">
      <c r="A503" s="117"/>
      <c r="C503" s="68" t="s">
        <v>149</v>
      </c>
      <c r="D503" s="88" t="s">
        <v>150</v>
      </c>
      <c r="E503" s="85">
        <f>STATS1003B!E504/1000</f>
        <v>1644.184</v>
      </c>
      <c r="F503" s="85">
        <f>STATS1003B!F504/1000</f>
        <v>1115.9105500000001</v>
      </c>
      <c r="G503" s="85">
        <f>STATS1003B!G504/1000</f>
        <v>0</v>
      </c>
      <c r="H503" s="85">
        <f>STATS1003B!H504/1000</f>
        <v>1115.9105500000001</v>
      </c>
      <c r="I503" s="85">
        <f>STATS1003B!I504/1000</f>
        <v>0</v>
      </c>
      <c r="J503" s="85">
        <f>STATS1003B!J504/1000</f>
        <v>0</v>
      </c>
      <c r="K503" s="85">
        <f>STATS1003B!K504/1000</f>
        <v>0</v>
      </c>
      <c r="L503" s="85">
        <f>STATS1003B!L504/1000</f>
        <v>0</v>
      </c>
      <c r="M503" s="85">
        <f>STATS1003B!M504/1000</f>
        <v>1115.9105500000001</v>
      </c>
      <c r="N503" s="85">
        <f>STATS1003B!N504/1000</f>
        <v>211.71</v>
      </c>
      <c r="O503" s="85">
        <f>STATS1003B!O504/1000</f>
        <v>0</v>
      </c>
      <c r="P503" s="85">
        <f>STATS1003B!P504/1000</f>
        <v>211.71</v>
      </c>
      <c r="Q503" s="85">
        <f>STATS1003B!Q504/1000</f>
        <v>0</v>
      </c>
      <c r="R503" s="85">
        <f>STATS1003B!R504/1000</f>
        <v>0</v>
      </c>
      <c r="S503" s="85">
        <f>STATS1003B!S504/1000</f>
        <v>0</v>
      </c>
      <c r="T503" s="85">
        <f>STATS1003B!T504/1000</f>
        <v>0</v>
      </c>
      <c r="U503" s="85">
        <f>STATS1003B!U504/1000</f>
        <v>211.71</v>
      </c>
      <c r="V503" s="85">
        <f>STATS1003B!V504/1000</f>
        <v>1327.6205500000001</v>
      </c>
      <c r="W503" s="85">
        <f>STATS1003B!W504/1000</f>
        <v>316.56344999999993</v>
      </c>
      <c r="X503" s="85">
        <f t="shared" si="55"/>
        <v>1327.6205500000001</v>
      </c>
      <c r="Y503" s="85">
        <f>STATS1003B!Y504/1000</f>
        <v>0</v>
      </c>
      <c r="Z503" s="85">
        <f t="shared" si="58"/>
        <v>316.56344999999988</v>
      </c>
      <c r="AA503" s="69">
        <f>STATS1003B!AA504/1000</f>
        <v>1327.6205500000001</v>
      </c>
      <c r="AB503" s="69">
        <f>STATS1003B!AB504/1000</f>
        <v>316.56344999999993</v>
      </c>
    </row>
    <row r="504" spans="1:28" hidden="1" x14ac:dyDescent="0.3">
      <c r="A504" s="117"/>
      <c r="C504" s="68" t="s">
        <v>151</v>
      </c>
      <c r="D504" s="88" t="s">
        <v>150</v>
      </c>
      <c r="E504" s="85">
        <f>STATS1003B!E505/1000</f>
        <v>3370.4960000000001</v>
      </c>
      <c r="F504" s="85">
        <f>STATS1003B!F505/1000</f>
        <v>312.64253000000002</v>
      </c>
      <c r="G504" s="85">
        <f>STATS1003B!G505/1000</f>
        <v>0</v>
      </c>
      <c r="H504" s="85">
        <f>STATS1003B!H505/1000</f>
        <v>312.64253000000002</v>
      </c>
      <c r="I504" s="85">
        <f>STATS1003B!I505/1000</f>
        <v>0</v>
      </c>
      <c r="J504" s="85">
        <f>STATS1003B!J505/1000</f>
        <v>0</v>
      </c>
      <c r="K504" s="85">
        <f>STATS1003B!K505/1000</f>
        <v>0</v>
      </c>
      <c r="L504" s="85">
        <f>STATS1003B!L505/1000</f>
        <v>0</v>
      </c>
      <c r="M504" s="85">
        <f>STATS1003B!M505/1000</f>
        <v>312.64253000000002</v>
      </c>
      <c r="N504" s="85">
        <f>STATS1003B!N505/1000</f>
        <v>0</v>
      </c>
      <c r="O504" s="85">
        <f>STATS1003B!O505/1000</f>
        <v>0</v>
      </c>
      <c r="P504" s="85">
        <f>STATS1003B!P505/1000</f>
        <v>0</v>
      </c>
      <c r="Q504" s="85">
        <f>STATS1003B!Q505/1000</f>
        <v>0</v>
      </c>
      <c r="R504" s="85">
        <f>STATS1003B!R505/1000</f>
        <v>0</v>
      </c>
      <c r="S504" s="85">
        <f>STATS1003B!S505/1000</f>
        <v>0</v>
      </c>
      <c r="T504" s="85">
        <f>STATS1003B!T505/1000</f>
        <v>0</v>
      </c>
      <c r="U504" s="85">
        <f>STATS1003B!U505/1000</f>
        <v>0</v>
      </c>
      <c r="V504" s="85">
        <f>STATS1003B!V505/1000</f>
        <v>312.64253000000002</v>
      </c>
      <c r="W504" s="85">
        <f>STATS1003B!W505/1000</f>
        <v>3057.8534699999996</v>
      </c>
      <c r="X504" s="85">
        <f t="shared" si="55"/>
        <v>312.64253000000002</v>
      </c>
      <c r="Y504" s="85">
        <f>STATS1003B!Y505/1000</f>
        <v>0</v>
      </c>
      <c r="Z504" s="85">
        <f t="shared" si="58"/>
        <v>3057.85347</v>
      </c>
      <c r="AA504" s="69">
        <f>STATS1003B!AA505/1000</f>
        <v>312.64253000000002</v>
      </c>
      <c r="AB504" s="69">
        <f>STATS1003B!AB505/1000</f>
        <v>3057.8534699999996</v>
      </c>
    </row>
    <row r="505" spans="1:28" hidden="1" x14ac:dyDescent="0.3">
      <c r="A505" s="117"/>
      <c r="C505" s="68" t="s">
        <v>57</v>
      </c>
      <c r="D505" s="87" t="s">
        <v>163</v>
      </c>
      <c r="E505" s="85">
        <f>STATS1003B!E506/1000</f>
        <v>1694.2441999999999</v>
      </c>
      <c r="F505" s="85">
        <f>STATS1003B!F506/1000</f>
        <v>1670.31</v>
      </c>
      <c r="G505" s="85">
        <f>STATS1003B!G506/1000</f>
        <v>0</v>
      </c>
      <c r="H505" s="85">
        <f>STATS1003B!H506/1000</f>
        <v>1670.31</v>
      </c>
      <c r="I505" s="85">
        <f>STATS1003B!I506/1000</f>
        <v>0</v>
      </c>
      <c r="J505" s="85">
        <f>STATS1003B!J506/1000</f>
        <v>0</v>
      </c>
      <c r="K505" s="85">
        <f>STATS1003B!K506/1000</f>
        <v>0</v>
      </c>
      <c r="L505" s="85">
        <f>STATS1003B!L506/1000</f>
        <v>0</v>
      </c>
      <c r="M505" s="85">
        <f>STATS1003B!M506/1000</f>
        <v>1670.31</v>
      </c>
      <c r="N505" s="85">
        <f>STATS1003B!N506/1000</f>
        <v>23.934200000000001</v>
      </c>
      <c r="O505" s="85">
        <f>STATS1003B!O506/1000</f>
        <v>0</v>
      </c>
      <c r="P505" s="85">
        <f>STATS1003B!P506/1000</f>
        <v>23.934200000000001</v>
      </c>
      <c r="Q505" s="85">
        <f>STATS1003B!Q506/1000</f>
        <v>0</v>
      </c>
      <c r="R505" s="85">
        <f>STATS1003B!R506/1000</f>
        <v>0</v>
      </c>
      <c r="S505" s="85">
        <f>STATS1003B!S506/1000</f>
        <v>0</v>
      </c>
      <c r="T505" s="85">
        <f>STATS1003B!T506/1000</f>
        <v>0</v>
      </c>
      <c r="U505" s="85">
        <f>STATS1003B!U506/1000</f>
        <v>23.934200000000001</v>
      </c>
      <c r="V505" s="85">
        <f>STATS1003B!V506/1000</f>
        <v>1694.2441999999999</v>
      </c>
      <c r="W505" s="85">
        <f>STATS1003B!W506/1000</f>
        <v>0</v>
      </c>
      <c r="X505" s="85">
        <f t="shared" si="55"/>
        <v>1694.2441999999999</v>
      </c>
      <c r="Y505" s="85">
        <f>STATS1003B!Y506/1000</f>
        <v>0</v>
      </c>
      <c r="Z505" s="85">
        <f t="shared" si="58"/>
        <v>0</v>
      </c>
      <c r="AA505" s="69">
        <f>STATS1003B!AA506/1000</f>
        <v>1694.2441999999999</v>
      </c>
      <c r="AB505" s="69">
        <f>STATS1003B!AB506/1000</f>
        <v>0</v>
      </c>
    </row>
    <row r="506" spans="1:28" hidden="1" x14ac:dyDescent="0.3">
      <c r="A506" s="117"/>
      <c r="C506" s="68" t="s">
        <v>159</v>
      </c>
      <c r="D506" s="87" t="s">
        <v>128</v>
      </c>
      <c r="E506" s="85">
        <f>STATS1003B!E507/1000</f>
        <v>570.94100000000003</v>
      </c>
      <c r="F506" s="85">
        <f>STATS1003B!F507/1000</f>
        <v>0</v>
      </c>
      <c r="G506" s="85">
        <f>STATS1003B!G507/1000</f>
        <v>0</v>
      </c>
      <c r="H506" s="85">
        <f>STATS1003B!H507/1000</f>
        <v>0</v>
      </c>
      <c r="I506" s="85">
        <f>STATS1003B!I507/1000</f>
        <v>0</v>
      </c>
      <c r="J506" s="85">
        <f>STATS1003B!J507/1000</f>
        <v>0</v>
      </c>
      <c r="K506" s="85">
        <f>STATS1003B!K507/1000</f>
        <v>0</v>
      </c>
      <c r="L506" s="85">
        <f>STATS1003B!L507/1000</f>
        <v>0</v>
      </c>
      <c r="M506" s="85">
        <f>STATS1003B!M507/1000</f>
        <v>0</v>
      </c>
      <c r="N506" s="85">
        <f>STATS1003B!N507/1000</f>
        <v>570.94100000000003</v>
      </c>
      <c r="O506" s="85">
        <f>STATS1003B!O507/1000</f>
        <v>0</v>
      </c>
      <c r="P506" s="85">
        <f>STATS1003B!P507/1000</f>
        <v>570.94100000000003</v>
      </c>
      <c r="Q506" s="85">
        <f>STATS1003B!Q507/1000</f>
        <v>0</v>
      </c>
      <c r="R506" s="85">
        <f>STATS1003B!R507/1000</f>
        <v>0</v>
      </c>
      <c r="S506" s="85">
        <f>STATS1003B!S507/1000</f>
        <v>0</v>
      </c>
      <c r="T506" s="85">
        <f>STATS1003B!T507/1000</f>
        <v>0</v>
      </c>
      <c r="U506" s="85">
        <f>STATS1003B!U507/1000</f>
        <v>570.94100000000003</v>
      </c>
      <c r="V506" s="85">
        <f>STATS1003B!V507/1000</f>
        <v>570.94100000000003</v>
      </c>
      <c r="W506" s="85">
        <f>STATS1003B!W507/1000</f>
        <v>0</v>
      </c>
      <c r="X506" s="85">
        <f t="shared" si="55"/>
        <v>570.94100000000003</v>
      </c>
      <c r="Y506" s="85">
        <f>STATS1003B!Y507/1000</f>
        <v>0</v>
      </c>
      <c r="Z506" s="85">
        <f t="shared" si="58"/>
        <v>0</v>
      </c>
      <c r="AA506" s="69">
        <f>STATS1003B!AA507/1000</f>
        <v>570.94100000000003</v>
      </c>
      <c r="AB506" s="69">
        <f>STATS1003B!AB507/1000</f>
        <v>0</v>
      </c>
    </row>
    <row r="507" spans="1:28" hidden="1" x14ac:dyDescent="0.3">
      <c r="A507" s="117"/>
      <c r="C507" s="71" t="s">
        <v>109</v>
      </c>
      <c r="D507" s="88" t="s">
        <v>73</v>
      </c>
      <c r="E507" s="85">
        <f>STATS1003B!E508/1000</f>
        <v>310.17740000000003</v>
      </c>
      <c r="F507" s="85">
        <f>STATS1003B!F508/1000</f>
        <v>310.17740000000003</v>
      </c>
      <c r="G507" s="85">
        <f>STATS1003B!G508/1000</f>
        <v>0</v>
      </c>
      <c r="H507" s="85">
        <f>STATS1003B!H508/1000</f>
        <v>310.17740000000003</v>
      </c>
      <c r="I507" s="85">
        <f>STATS1003B!I508/1000</f>
        <v>0</v>
      </c>
      <c r="J507" s="85">
        <f>STATS1003B!J508/1000</f>
        <v>0</v>
      </c>
      <c r="K507" s="85">
        <f>STATS1003B!K508/1000</f>
        <v>0</v>
      </c>
      <c r="L507" s="85">
        <f>STATS1003B!L508/1000</f>
        <v>0</v>
      </c>
      <c r="M507" s="85">
        <f>STATS1003B!M508/1000</f>
        <v>310.17740000000003</v>
      </c>
      <c r="N507" s="85">
        <f>STATS1003B!N508/1000</f>
        <v>0</v>
      </c>
      <c r="O507" s="85">
        <f>STATS1003B!O508/1000</f>
        <v>0</v>
      </c>
      <c r="P507" s="85">
        <f>STATS1003B!P508/1000</f>
        <v>0</v>
      </c>
      <c r="Q507" s="85">
        <f>STATS1003B!Q508/1000</f>
        <v>0</v>
      </c>
      <c r="R507" s="85">
        <f>STATS1003B!R508/1000</f>
        <v>0</v>
      </c>
      <c r="S507" s="85">
        <f>STATS1003B!S508/1000</f>
        <v>0</v>
      </c>
      <c r="T507" s="85">
        <f>STATS1003B!T508/1000</f>
        <v>0</v>
      </c>
      <c r="U507" s="85">
        <f>STATS1003B!U508/1000</f>
        <v>0</v>
      </c>
      <c r="V507" s="85">
        <f>STATS1003B!V508/1000</f>
        <v>310.17740000000003</v>
      </c>
      <c r="W507" s="85">
        <f>STATS1003B!W508/1000</f>
        <v>0</v>
      </c>
      <c r="X507" s="85">
        <f t="shared" si="55"/>
        <v>310.17740000000003</v>
      </c>
      <c r="Y507" s="85">
        <f>STATS1003B!Y508/1000</f>
        <v>0</v>
      </c>
      <c r="Z507" s="85">
        <f t="shared" si="58"/>
        <v>0</v>
      </c>
      <c r="AA507" s="69">
        <f>STATS1003B!AA508/1000</f>
        <v>310.17740000000003</v>
      </c>
      <c r="AB507" s="69">
        <f>STATS1003B!AB508/1000</f>
        <v>0</v>
      </c>
    </row>
    <row r="508" spans="1:28" hidden="1" x14ac:dyDescent="0.3">
      <c r="A508" s="117"/>
      <c r="E508" s="86" t="s">
        <v>29</v>
      </c>
      <c r="F508" s="86" t="s">
        <v>29</v>
      </c>
      <c r="G508" s="86" t="s">
        <v>29</v>
      </c>
      <c r="H508" s="86" t="s">
        <v>29</v>
      </c>
      <c r="I508" s="86" t="s">
        <v>29</v>
      </c>
      <c r="J508" s="86" t="s">
        <v>29</v>
      </c>
      <c r="K508" s="86" t="s">
        <v>29</v>
      </c>
      <c r="L508" s="86" t="s">
        <v>29</v>
      </c>
      <c r="M508" s="86" t="s">
        <v>29</v>
      </c>
      <c r="N508" s="86" t="s">
        <v>29</v>
      </c>
      <c r="O508" s="86" t="s">
        <v>29</v>
      </c>
      <c r="P508" s="86" t="s">
        <v>29</v>
      </c>
      <c r="Q508" s="86" t="s">
        <v>29</v>
      </c>
      <c r="R508" s="86" t="s">
        <v>29</v>
      </c>
      <c r="S508" s="86" t="s">
        <v>29</v>
      </c>
      <c r="T508" s="86" t="s">
        <v>29</v>
      </c>
      <c r="U508" s="86" t="s">
        <v>29</v>
      </c>
      <c r="V508" s="86" t="s">
        <v>29</v>
      </c>
      <c r="W508" s="86" t="s">
        <v>29</v>
      </c>
      <c r="X508" s="85" t="e">
        <f t="shared" si="55"/>
        <v>#VALUE!</v>
      </c>
      <c r="Y508" s="86" t="s">
        <v>29</v>
      </c>
      <c r="Z508" s="85" t="e">
        <f t="shared" si="58"/>
        <v>#VALUE!</v>
      </c>
      <c r="AA508" s="115" t="s">
        <v>29</v>
      </c>
      <c r="AB508" s="115" t="s">
        <v>29</v>
      </c>
    </row>
    <row r="509" spans="1:28" x14ac:dyDescent="0.3">
      <c r="A509" s="116" t="s">
        <v>957</v>
      </c>
      <c r="B509" s="68" t="s">
        <v>162</v>
      </c>
      <c r="D509" s="69"/>
      <c r="E509" s="85">
        <f>13794327.34/1000</f>
        <v>13794.32734</v>
      </c>
      <c r="F509" s="85">
        <f>SUM(F503:F507)</f>
        <v>3409.0404800000001</v>
      </c>
      <c r="G509" s="85">
        <f>SUM(G503:G507)</f>
        <v>0</v>
      </c>
      <c r="H509" s="85">
        <f>9613325.22/1000</f>
        <v>9613.3252200000006</v>
      </c>
      <c r="I509" s="85">
        <f t="shared" ref="I509:O509" si="61">SUM(I503:I507)</f>
        <v>0</v>
      </c>
      <c r="J509" s="85">
        <f t="shared" si="61"/>
        <v>0</v>
      </c>
      <c r="K509" s="85">
        <f t="shared" si="61"/>
        <v>0</v>
      </c>
      <c r="L509" s="85">
        <f t="shared" si="61"/>
        <v>0</v>
      </c>
      <c r="M509" s="85">
        <f t="shared" si="61"/>
        <v>3409.0404800000001</v>
      </c>
      <c r="N509" s="85">
        <f t="shared" si="61"/>
        <v>806.58519999999999</v>
      </c>
      <c r="O509" s="85">
        <f t="shared" si="61"/>
        <v>0</v>
      </c>
      <c r="P509" s="85">
        <f>806585/1000</f>
        <v>806.58500000000004</v>
      </c>
      <c r="Q509" s="85">
        <f t="shared" ref="Q509:W509" si="62">SUM(Q503:Q507)</f>
        <v>0</v>
      </c>
      <c r="R509" s="85">
        <f t="shared" si="62"/>
        <v>0</v>
      </c>
      <c r="S509" s="85">
        <f t="shared" si="62"/>
        <v>0</v>
      </c>
      <c r="T509" s="85">
        <f t="shared" si="62"/>
        <v>0</v>
      </c>
      <c r="U509" s="85">
        <f t="shared" si="62"/>
        <v>806.58519999999999</v>
      </c>
      <c r="V509" s="85">
        <f t="shared" si="62"/>
        <v>4215.6256799999992</v>
      </c>
      <c r="W509" s="85">
        <f t="shared" si="62"/>
        <v>3374.4169199999997</v>
      </c>
      <c r="X509" s="85">
        <f t="shared" si="55"/>
        <v>10419.910220000002</v>
      </c>
      <c r="Y509" s="85">
        <f>SUM(Y503:Y507)</f>
        <v>0</v>
      </c>
      <c r="Z509" s="85">
        <f t="shared" si="58"/>
        <v>3374.4171199999982</v>
      </c>
      <c r="AA509" s="69">
        <f>SUM(AA503:AA507)</f>
        <v>4215.6256799999992</v>
      </c>
      <c r="AB509" s="69">
        <f>SUM(AB503:AB507)</f>
        <v>3374.4169199999997</v>
      </c>
    </row>
    <row r="510" spans="1:28" hidden="1" x14ac:dyDescent="0.3">
      <c r="A510" s="117"/>
      <c r="C510" s="69"/>
      <c r="D510" s="69"/>
      <c r="E510" s="86" t="s">
        <v>29</v>
      </c>
      <c r="F510" s="86" t="s">
        <v>29</v>
      </c>
      <c r="G510" s="86" t="s">
        <v>29</v>
      </c>
      <c r="H510" s="86" t="s">
        <v>29</v>
      </c>
      <c r="I510" s="86" t="s">
        <v>29</v>
      </c>
      <c r="J510" s="86" t="s">
        <v>29</v>
      </c>
      <c r="K510" s="86" t="s">
        <v>29</v>
      </c>
      <c r="L510" s="86" t="s">
        <v>29</v>
      </c>
      <c r="M510" s="86" t="s">
        <v>29</v>
      </c>
      <c r="N510" s="86" t="s">
        <v>29</v>
      </c>
      <c r="O510" s="86" t="s">
        <v>29</v>
      </c>
      <c r="P510" s="86" t="s">
        <v>29</v>
      </c>
      <c r="Q510" s="86" t="s">
        <v>29</v>
      </c>
      <c r="R510" s="86" t="s">
        <v>29</v>
      </c>
      <c r="S510" s="86" t="s">
        <v>29</v>
      </c>
      <c r="T510" s="86" t="s">
        <v>29</v>
      </c>
      <c r="U510" s="86" t="s">
        <v>29</v>
      </c>
      <c r="V510" s="86" t="s">
        <v>29</v>
      </c>
      <c r="W510" s="86" t="s">
        <v>29</v>
      </c>
      <c r="X510" s="85" t="e">
        <f t="shared" ref="X510:X541" si="63">+H510+P510</f>
        <v>#VALUE!</v>
      </c>
      <c r="Y510" s="86" t="s">
        <v>29</v>
      </c>
      <c r="Z510" s="85" t="e">
        <f t="shared" si="58"/>
        <v>#VALUE!</v>
      </c>
      <c r="AA510" s="115" t="s">
        <v>29</v>
      </c>
      <c r="AB510" s="115" t="s">
        <v>29</v>
      </c>
    </row>
    <row r="511" spans="1:28" hidden="1" x14ac:dyDescent="0.3">
      <c r="A511" s="105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5">
        <f t="shared" si="63"/>
        <v>0</v>
      </c>
      <c r="Y511" s="84"/>
      <c r="Z511" s="85">
        <f t="shared" si="58"/>
        <v>0</v>
      </c>
      <c r="AA511" s="118"/>
    </row>
    <row r="512" spans="1:28" hidden="1" x14ac:dyDescent="0.3">
      <c r="A512" s="117"/>
      <c r="C512" s="68" t="s">
        <v>75</v>
      </c>
      <c r="D512" s="88" t="s">
        <v>150</v>
      </c>
      <c r="E512" s="85">
        <f>STATS1003B!E513/1000</f>
        <v>595</v>
      </c>
      <c r="F512" s="85">
        <f>STATS1003B!F513/1000</f>
        <v>0</v>
      </c>
      <c r="G512" s="85">
        <f>STATS1003B!G513/1000</f>
        <v>0</v>
      </c>
      <c r="H512" s="85">
        <f>STATS1003B!H513/1000</f>
        <v>0</v>
      </c>
      <c r="I512" s="85">
        <f>STATS1003B!I513/1000</f>
        <v>0</v>
      </c>
      <c r="J512" s="85">
        <f>STATS1003B!J513/1000</f>
        <v>0</v>
      </c>
      <c r="K512" s="85">
        <f>STATS1003B!K513/1000</f>
        <v>0</v>
      </c>
      <c r="L512" s="85">
        <f>STATS1003B!L513/1000</f>
        <v>0</v>
      </c>
      <c r="M512" s="85">
        <f>STATS1003B!M513/1000</f>
        <v>0</v>
      </c>
      <c r="N512" s="85">
        <f>STATS1003B!N513/1000</f>
        <v>477.71688</v>
      </c>
      <c r="O512" s="85">
        <f>STATS1003B!O513/1000</f>
        <v>0</v>
      </c>
      <c r="P512" s="85">
        <f>STATS1003B!P513/1000</f>
        <v>477.71688</v>
      </c>
      <c r="Q512" s="85">
        <f>STATS1003B!Q513/1000</f>
        <v>0</v>
      </c>
      <c r="R512" s="85">
        <f>STATS1003B!R513/1000</f>
        <v>0</v>
      </c>
      <c r="S512" s="85">
        <f>STATS1003B!S513/1000</f>
        <v>0</v>
      </c>
      <c r="T512" s="85">
        <f>STATS1003B!T513/1000</f>
        <v>0</v>
      </c>
      <c r="U512" s="85">
        <f>STATS1003B!U513/1000</f>
        <v>477.71688</v>
      </c>
      <c r="V512" s="85">
        <f>STATS1003B!V513/1000</f>
        <v>477.71688</v>
      </c>
      <c r="W512" s="85">
        <f>STATS1003B!W513/1000</f>
        <v>117.28312</v>
      </c>
      <c r="X512" s="85">
        <f t="shared" si="63"/>
        <v>477.71688</v>
      </c>
      <c r="Y512" s="85">
        <f>STATS1003B!Y513/1000</f>
        <v>0</v>
      </c>
      <c r="Z512" s="85">
        <f t="shared" si="58"/>
        <v>117.28312</v>
      </c>
      <c r="AA512" s="69">
        <f>STATS1003B!AA513/1000</f>
        <v>477.71688</v>
      </c>
      <c r="AB512" s="69">
        <f>STATS1003B!AB513/1000</f>
        <v>117.28312</v>
      </c>
    </row>
    <row r="513" spans="1:28" hidden="1" x14ac:dyDescent="0.3">
      <c r="A513" s="117"/>
      <c r="C513" s="68" t="s">
        <v>165</v>
      </c>
      <c r="D513" s="88" t="s">
        <v>166</v>
      </c>
      <c r="E513" s="85">
        <f>STATS1003B!E514/1000</f>
        <v>667.07737999999995</v>
      </c>
      <c r="F513" s="85">
        <f>STATS1003B!F514/1000</f>
        <v>667.07737999999995</v>
      </c>
      <c r="G513" s="85">
        <f>STATS1003B!G514/1000</f>
        <v>0</v>
      </c>
      <c r="H513" s="85">
        <f>STATS1003B!H514/1000</f>
        <v>667.07737999999995</v>
      </c>
      <c r="I513" s="85">
        <f>STATS1003B!I514/1000</f>
        <v>0</v>
      </c>
      <c r="J513" s="85">
        <f>STATS1003B!J514/1000</f>
        <v>0</v>
      </c>
      <c r="K513" s="85">
        <f>STATS1003B!K514/1000</f>
        <v>0</v>
      </c>
      <c r="L513" s="85">
        <f>STATS1003B!L514/1000</f>
        <v>0</v>
      </c>
      <c r="M513" s="85">
        <f>STATS1003B!M514/1000</f>
        <v>667.07737999999995</v>
      </c>
      <c r="N513" s="85">
        <f>STATS1003B!N514/1000</f>
        <v>0</v>
      </c>
      <c r="O513" s="85">
        <f>STATS1003B!O514/1000</f>
        <v>0</v>
      </c>
      <c r="P513" s="85">
        <f>STATS1003B!P514/1000</f>
        <v>0</v>
      </c>
      <c r="Q513" s="85">
        <f>STATS1003B!Q514/1000</f>
        <v>0</v>
      </c>
      <c r="R513" s="85">
        <f>STATS1003B!R514/1000</f>
        <v>0</v>
      </c>
      <c r="S513" s="85">
        <f>STATS1003B!S514/1000</f>
        <v>0</v>
      </c>
      <c r="T513" s="85">
        <f>STATS1003B!T514/1000</f>
        <v>0</v>
      </c>
      <c r="U513" s="85">
        <f>STATS1003B!U514/1000</f>
        <v>0</v>
      </c>
      <c r="V513" s="85">
        <f>STATS1003B!V514/1000</f>
        <v>667.07737999999995</v>
      </c>
      <c r="W513" s="85">
        <f>STATS1003B!W514/1000</f>
        <v>0</v>
      </c>
      <c r="X513" s="85">
        <f t="shared" si="63"/>
        <v>667.07737999999995</v>
      </c>
      <c r="Y513" s="85">
        <f>STATS1003B!Y514/1000</f>
        <v>0</v>
      </c>
      <c r="Z513" s="85">
        <f t="shared" si="58"/>
        <v>0</v>
      </c>
      <c r="AA513" s="69">
        <f>STATS1003B!AA514/1000</f>
        <v>667.07737999999995</v>
      </c>
      <c r="AB513" s="69">
        <f>STATS1003B!AB514/1000</f>
        <v>0</v>
      </c>
    </row>
    <row r="514" spans="1:28" hidden="1" x14ac:dyDescent="0.3">
      <c r="A514" s="117"/>
      <c r="C514" s="68" t="s">
        <v>167</v>
      </c>
      <c r="D514" s="87" t="s">
        <v>68</v>
      </c>
      <c r="E514" s="85">
        <f>STATS1003B!E515/1000</f>
        <v>159.16873999999999</v>
      </c>
      <c r="F514" s="85">
        <f>STATS1003B!F515/1000</f>
        <v>95.344200000000001</v>
      </c>
      <c r="G514" s="85">
        <f>STATS1003B!G515/1000</f>
        <v>0</v>
      </c>
      <c r="H514" s="85">
        <f>STATS1003B!H515/1000</f>
        <v>95.344200000000001</v>
      </c>
      <c r="I514" s="85">
        <f>STATS1003B!I515/1000</f>
        <v>0</v>
      </c>
      <c r="J514" s="85">
        <f>STATS1003B!J515/1000</f>
        <v>0</v>
      </c>
      <c r="K514" s="85">
        <f>STATS1003B!K515/1000</f>
        <v>0</v>
      </c>
      <c r="L514" s="85">
        <f>STATS1003B!L515/1000</f>
        <v>0</v>
      </c>
      <c r="M514" s="85">
        <f>STATS1003B!M515/1000</f>
        <v>95.344200000000001</v>
      </c>
      <c r="N514" s="85">
        <f>STATS1003B!N515/1000</f>
        <v>63.824539999999999</v>
      </c>
      <c r="O514" s="85">
        <f>STATS1003B!O515/1000</f>
        <v>0</v>
      </c>
      <c r="P514" s="85">
        <f>STATS1003B!P515/1000</f>
        <v>63.824539999999999</v>
      </c>
      <c r="Q514" s="85">
        <f>STATS1003B!Q515/1000</f>
        <v>0</v>
      </c>
      <c r="R514" s="85">
        <f>STATS1003B!R515/1000</f>
        <v>0</v>
      </c>
      <c r="S514" s="85">
        <f>STATS1003B!S515/1000</f>
        <v>0</v>
      </c>
      <c r="T514" s="85">
        <f>STATS1003B!T515/1000</f>
        <v>0</v>
      </c>
      <c r="U514" s="85">
        <f>STATS1003B!U515/1000</f>
        <v>63.824539999999999</v>
      </c>
      <c r="V514" s="85">
        <f>STATS1003B!V515/1000</f>
        <v>159.16873999999999</v>
      </c>
      <c r="W514" s="85">
        <f>STATS1003B!W515/1000</f>
        <v>0</v>
      </c>
      <c r="X514" s="85">
        <f t="shared" si="63"/>
        <v>159.16874000000001</v>
      </c>
      <c r="Y514" s="85">
        <f>STATS1003B!Y515/1000</f>
        <v>0</v>
      </c>
      <c r="Z514" s="85">
        <f t="shared" si="58"/>
        <v>0</v>
      </c>
      <c r="AA514" s="69">
        <f>STATS1003B!AA515/1000</f>
        <v>159.16873999999999</v>
      </c>
      <c r="AB514" s="69">
        <f>STATS1003B!AB515/1000</f>
        <v>0</v>
      </c>
    </row>
    <row r="515" spans="1:28" hidden="1" x14ac:dyDescent="0.3">
      <c r="A515" s="117"/>
      <c r="C515" s="68" t="s">
        <v>55</v>
      </c>
      <c r="D515" s="87" t="s">
        <v>168</v>
      </c>
      <c r="E515" s="85">
        <f>STATS1003B!E516/1000</f>
        <v>4270.4284000000007</v>
      </c>
      <c r="F515" s="85">
        <f>STATS1003B!F516/1000</f>
        <v>0</v>
      </c>
      <c r="G515" s="85">
        <f>STATS1003B!G516/1000</f>
        <v>0</v>
      </c>
      <c r="H515" s="85">
        <f>STATS1003B!H516/1000</f>
        <v>0</v>
      </c>
      <c r="I515" s="85">
        <f>STATS1003B!I516/1000</f>
        <v>0</v>
      </c>
      <c r="J515" s="85">
        <f>STATS1003B!J516/1000</f>
        <v>0</v>
      </c>
      <c r="K515" s="85">
        <f>STATS1003B!K516/1000</f>
        <v>0</v>
      </c>
      <c r="L515" s="85">
        <f>STATS1003B!L516/1000</f>
        <v>0</v>
      </c>
      <c r="M515" s="85">
        <f>STATS1003B!M516/1000</f>
        <v>0</v>
      </c>
      <c r="N515" s="85">
        <f>STATS1003B!N516/1000</f>
        <v>4270.4284000000007</v>
      </c>
      <c r="O515" s="85">
        <f>STATS1003B!O516/1000</f>
        <v>0</v>
      </c>
      <c r="P515" s="85">
        <f>STATS1003B!P516/1000</f>
        <v>4270.4284000000007</v>
      </c>
      <c r="Q515" s="85">
        <f>STATS1003B!Q516/1000</f>
        <v>0</v>
      </c>
      <c r="R515" s="85">
        <f>STATS1003B!R516/1000</f>
        <v>0</v>
      </c>
      <c r="S515" s="85">
        <f>STATS1003B!S516/1000</f>
        <v>0</v>
      </c>
      <c r="T515" s="85">
        <f>STATS1003B!T516/1000</f>
        <v>0</v>
      </c>
      <c r="U515" s="85">
        <f>STATS1003B!U516/1000</f>
        <v>4270.4284000000007</v>
      </c>
      <c r="V515" s="85">
        <f>STATS1003B!V516/1000</f>
        <v>4270.4284000000007</v>
      </c>
      <c r="W515" s="85">
        <f>STATS1003B!W516/1000</f>
        <v>0</v>
      </c>
      <c r="X515" s="85">
        <f t="shared" si="63"/>
        <v>4270.4284000000007</v>
      </c>
      <c r="Y515" s="85">
        <f>STATS1003B!Y516/1000</f>
        <v>0</v>
      </c>
      <c r="Z515" s="85">
        <f t="shared" si="58"/>
        <v>0</v>
      </c>
      <c r="AA515" s="69">
        <f>STATS1003B!AA516/1000</f>
        <v>4270.4284000000007</v>
      </c>
      <c r="AB515" s="69">
        <f>STATS1003B!AB516/1000</f>
        <v>0</v>
      </c>
    </row>
    <row r="516" spans="1:28" hidden="1" x14ac:dyDescent="0.3">
      <c r="A516" s="117"/>
      <c r="C516" s="68" t="s">
        <v>53</v>
      </c>
      <c r="D516" s="87" t="s">
        <v>54</v>
      </c>
      <c r="E516" s="85">
        <f>STATS1003B!E517/1000</f>
        <v>1953.989</v>
      </c>
      <c r="F516" s="85">
        <f>STATS1003B!F517/1000</f>
        <v>0</v>
      </c>
      <c r="G516" s="85">
        <f>STATS1003B!G517/1000</f>
        <v>0</v>
      </c>
      <c r="H516" s="85">
        <f>STATS1003B!H517/1000</f>
        <v>0</v>
      </c>
      <c r="I516" s="85">
        <f>STATS1003B!I517/1000</f>
        <v>0</v>
      </c>
      <c r="J516" s="85">
        <f>STATS1003B!J517/1000</f>
        <v>0</v>
      </c>
      <c r="K516" s="85">
        <f>STATS1003B!K517/1000</f>
        <v>0</v>
      </c>
      <c r="L516" s="85">
        <f>STATS1003B!L517/1000</f>
        <v>0</v>
      </c>
      <c r="M516" s="85">
        <f>STATS1003B!M517/1000</f>
        <v>0</v>
      </c>
      <c r="N516" s="85">
        <f>STATS1003B!N517/1000</f>
        <v>1953.989</v>
      </c>
      <c r="O516" s="85">
        <f>STATS1003B!O517/1000</f>
        <v>0</v>
      </c>
      <c r="P516" s="85">
        <f>STATS1003B!P517/1000</f>
        <v>1953.989</v>
      </c>
      <c r="Q516" s="85">
        <f>STATS1003B!Q517/1000</f>
        <v>0</v>
      </c>
      <c r="R516" s="85">
        <f>STATS1003B!R517/1000</f>
        <v>0</v>
      </c>
      <c r="S516" s="85">
        <f>STATS1003B!S517/1000</f>
        <v>0</v>
      </c>
      <c r="T516" s="85">
        <f>STATS1003B!T517/1000</f>
        <v>0</v>
      </c>
      <c r="U516" s="85">
        <f>STATS1003B!U517/1000</f>
        <v>1953.989</v>
      </c>
      <c r="V516" s="85">
        <f>STATS1003B!V517/1000</f>
        <v>1953.989</v>
      </c>
      <c r="W516" s="85">
        <f>STATS1003B!W517/1000</f>
        <v>0</v>
      </c>
      <c r="X516" s="85">
        <f t="shared" si="63"/>
        <v>1953.989</v>
      </c>
      <c r="Y516" s="85">
        <f>STATS1003B!Y517/1000</f>
        <v>0</v>
      </c>
      <c r="Z516" s="85">
        <f t="shared" si="58"/>
        <v>0</v>
      </c>
      <c r="AA516" s="69">
        <f>STATS1003B!AA517/1000</f>
        <v>1953.989</v>
      </c>
      <c r="AB516" s="69">
        <f>STATS1003B!AB517/1000</f>
        <v>0</v>
      </c>
    </row>
    <row r="517" spans="1:28" hidden="1" x14ac:dyDescent="0.3">
      <c r="A517" s="117"/>
      <c r="C517" s="68" t="s">
        <v>169</v>
      </c>
      <c r="D517" s="87" t="s">
        <v>54</v>
      </c>
      <c r="E517" s="85">
        <f>STATS1003B!E518/1000</f>
        <v>815.35</v>
      </c>
      <c r="F517" s="85">
        <f>STATS1003B!F518/1000</f>
        <v>815.35</v>
      </c>
      <c r="G517" s="85">
        <f>STATS1003B!G518/1000</f>
        <v>0</v>
      </c>
      <c r="H517" s="85">
        <f>STATS1003B!H518/1000</f>
        <v>815.35</v>
      </c>
      <c r="I517" s="85">
        <f>STATS1003B!I518/1000</f>
        <v>0</v>
      </c>
      <c r="J517" s="85">
        <f>STATS1003B!J518/1000</f>
        <v>0</v>
      </c>
      <c r="K517" s="85">
        <f>STATS1003B!K518/1000</f>
        <v>0</v>
      </c>
      <c r="L517" s="85">
        <f>STATS1003B!L518/1000</f>
        <v>0</v>
      </c>
      <c r="M517" s="85">
        <f>STATS1003B!M518/1000</f>
        <v>815.35</v>
      </c>
      <c r="N517" s="85">
        <f>STATS1003B!N518/1000</f>
        <v>0</v>
      </c>
      <c r="O517" s="85">
        <f>STATS1003B!O518/1000</f>
        <v>0</v>
      </c>
      <c r="P517" s="85">
        <f>STATS1003B!P518/1000</f>
        <v>0</v>
      </c>
      <c r="Q517" s="85">
        <f>STATS1003B!Q518/1000</f>
        <v>0</v>
      </c>
      <c r="R517" s="85">
        <f>STATS1003B!R518/1000</f>
        <v>0</v>
      </c>
      <c r="S517" s="85">
        <f>STATS1003B!S518/1000</f>
        <v>0</v>
      </c>
      <c r="T517" s="85">
        <f>STATS1003B!T518/1000</f>
        <v>0</v>
      </c>
      <c r="U517" s="85">
        <f>STATS1003B!U518/1000</f>
        <v>0</v>
      </c>
      <c r="V517" s="85">
        <f>STATS1003B!V518/1000</f>
        <v>815.35</v>
      </c>
      <c r="W517" s="85">
        <f>STATS1003B!W518/1000</f>
        <v>0</v>
      </c>
      <c r="X517" s="85">
        <f t="shared" si="63"/>
        <v>815.35</v>
      </c>
      <c r="Y517" s="85">
        <f>STATS1003B!Y518/1000</f>
        <v>0</v>
      </c>
      <c r="Z517" s="85">
        <f t="shared" si="58"/>
        <v>0</v>
      </c>
      <c r="AA517" s="69">
        <f>STATS1003B!AA518/1000</f>
        <v>815.35</v>
      </c>
      <c r="AB517" s="69">
        <f>STATS1003B!AB518/1000</f>
        <v>0</v>
      </c>
    </row>
    <row r="518" spans="1:28" hidden="1" x14ac:dyDescent="0.3">
      <c r="A518" s="117"/>
      <c r="C518" s="71" t="s">
        <v>109</v>
      </c>
      <c r="D518" s="88" t="s">
        <v>60</v>
      </c>
      <c r="E518" s="85">
        <f>STATS1003B!E519/1000</f>
        <v>2329.43912</v>
      </c>
      <c r="F518" s="85">
        <f>STATS1003B!F519/1000</f>
        <v>2329.43912</v>
      </c>
      <c r="G518" s="85">
        <f>STATS1003B!G519/1000</f>
        <v>0</v>
      </c>
      <c r="H518" s="85">
        <f>STATS1003B!H519/1000</f>
        <v>2329.43912</v>
      </c>
      <c r="I518" s="85">
        <f>STATS1003B!I519/1000</f>
        <v>0</v>
      </c>
      <c r="J518" s="85">
        <f>STATS1003B!J519/1000</f>
        <v>0</v>
      </c>
      <c r="K518" s="85">
        <f>STATS1003B!K519/1000</f>
        <v>0</v>
      </c>
      <c r="L518" s="85">
        <f>STATS1003B!L519/1000</f>
        <v>0</v>
      </c>
      <c r="M518" s="85">
        <f>STATS1003B!M519/1000</f>
        <v>2329.43912</v>
      </c>
      <c r="N518" s="85">
        <f>STATS1003B!N519/1000</f>
        <v>0</v>
      </c>
      <c r="O518" s="85">
        <f>STATS1003B!O519/1000</f>
        <v>0</v>
      </c>
      <c r="P518" s="85">
        <f>STATS1003B!P519/1000</f>
        <v>0</v>
      </c>
      <c r="Q518" s="85">
        <f>STATS1003B!Q519/1000</f>
        <v>0</v>
      </c>
      <c r="R518" s="85">
        <f>STATS1003B!R519/1000</f>
        <v>0</v>
      </c>
      <c r="S518" s="85">
        <f>STATS1003B!S519/1000</f>
        <v>0</v>
      </c>
      <c r="T518" s="85">
        <f>STATS1003B!T519/1000</f>
        <v>0</v>
      </c>
      <c r="U518" s="85">
        <f>STATS1003B!U519/1000</f>
        <v>0</v>
      </c>
      <c r="V518" s="85">
        <f>STATS1003B!V519/1000</f>
        <v>2329.43912</v>
      </c>
      <c r="W518" s="85">
        <f>STATS1003B!W519/1000</f>
        <v>0</v>
      </c>
      <c r="X518" s="85">
        <f t="shared" si="63"/>
        <v>2329.43912</v>
      </c>
      <c r="Y518" s="85">
        <f>STATS1003B!Y519/1000</f>
        <v>0</v>
      </c>
      <c r="Z518" s="85">
        <f t="shared" si="58"/>
        <v>0</v>
      </c>
      <c r="AA518" s="69">
        <f>STATS1003B!AA519/1000</f>
        <v>2329.43912</v>
      </c>
      <c r="AB518" s="69">
        <f>STATS1003B!AB519/1000</f>
        <v>0</v>
      </c>
    </row>
    <row r="519" spans="1:28" hidden="1" x14ac:dyDescent="0.3">
      <c r="A519" s="117"/>
      <c r="C519" s="71" t="s">
        <v>930</v>
      </c>
      <c r="D519" s="89" t="s">
        <v>1072</v>
      </c>
      <c r="E519" s="85">
        <f>STATS1003B!E520/1000</f>
        <v>304</v>
      </c>
      <c r="F519" s="85">
        <f>STATS1003B!F520/1000</f>
        <v>304</v>
      </c>
      <c r="G519" s="85">
        <f>STATS1003B!G520/1000</f>
        <v>0</v>
      </c>
      <c r="H519" s="85">
        <f>STATS1003B!H520/1000</f>
        <v>304</v>
      </c>
      <c r="I519" s="85">
        <f>STATS1003B!I520/1000</f>
        <v>0</v>
      </c>
      <c r="J519" s="85">
        <f>STATS1003B!J520/1000</f>
        <v>0</v>
      </c>
      <c r="K519" s="85">
        <f>STATS1003B!K520/1000</f>
        <v>0</v>
      </c>
      <c r="L519" s="85">
        <f>STATS1003B!L520/1000</f>
        <v>0</v>
      </c>
      <c r="M519" s="85">
        <f>STATS1003B!M520/1000</f>
        <v>304</v>
      </c>
      <c r="N519" s="85">
        <f>STATS1003B!N520/1000</f>
        <v>0</v>
      </c>
      <c r="O519" s="85">
        <f>STATS1003B!O520/1000</f>
        <v>0</v>
      </c>
      <c r="P519" s="85">
        <f>STATS1003B!P520/1000</f>
        <v>0</v>
      </c>
      <c r="Q519" s="85">
        <f>STATS1003B!Q520/1000</f>
        <v>0</v>
      </c>
      <c r="R519" s="85">
        <f>STATS1003B!R520/1000</f>
        <v>0</v>
      </c>
      <c r="S519" s="85">
        <f>STATS1003B!S520/1000</f>
        <v>0</v>
      </c>
      <c r="T519" s="85">
        <f>STATS1003B!T520/1000</f>
        <v>0</v>
      </c>
      <c r="U519" s="85">
        <f>STATS1003B!U520/1000</f>
        <v>0</v>
      </c>
      <c r="V519" s="85">
        <f>STATS1003B!V520/1000</f>
        <v>304</v>
      </c>
      <c r="W519" s="85">
        <f>STATS1003B!W520/1000</f>
        <v>0</v>
      </c>
      <c r="X519" s="85">
        <f t="shared" si="63"/>
        <v>304</v>
      </c>
      <c r="Y519" s="85">
        <f>STATS1003B!Y520/1000</f>
        <v>0</v>
      </c>
      <c r="Z519" s="85">
        <f t="shared" si="58"/>
        <v>0</v>
      </c>
      <c r="AA519" s="69">
        <f>STATS1003B!AA520/1000</f>
        <v>304</v>
      </c>
      <c r="AB519" s="69">
        <f>STATS1003B!AB520/1000</f>
        <v>0</v>
      </c>
    </row>
    <row r="520" spans="1:28" hidden="1" x14ac:dyDescent="0.3">
      <c r="A520" s="117"/>
      <c r="C520" s="68" t="s">
        <v>170</v>
      </c>
      <c r="D520" s="89" t="s">
        <v>61</v>
      </c>
      <c r="E520" s="85">
        <f>STATS1003B!E521/1000</f>
        <v>366</v>
      </c>
      <c r="F520" s="85">
        <f>STATS1003B!F521/1000</f>
        <v>366</v>
      </c>
      <c r="G520" s="85">
        <f>STATS1003B!G521/1000</f>
        <v>0</v>
      </c>
      <c r="H520" s="85">
        <f>STATS1003B!H521/1000</f>
        <v>366</v>
      </c>
      <c r="I520" s="85">
        <f>STATS1003B!I521/1000</f>
        <v>0</v>
      </c>
      <c r="J520" s="85">
        <f>STATS1003B!J521/1000</f>
        <v>0</v>
      </c>
      <c r="K520" s="85">
        <f>STATS1003B!K521/1000</f>
        <v>0</v>
      </c>
      <c r="L520" s="85">
        <f>STATS1003B!L521/1000</f>
        <v>0</v>
      </c>
      <c r="M520" s="85">
        <f>STATS1003B!M521/1000</f>
        <v>366</v>
      </c>
      <c r="N520" s="85">
        <f>STATS1003B!N521/1000</f>
        <v>0</v>
      </c>
      <c r="O520" s="85">
        <f>STATS1003B!O521/1000</f>
        <v>0</v>
      </c>
      <c r="P520" s="85">
        <f>STATS1003B!P521/1000</f>
        <v>0</v>
      </c>
      <c r="Q520" s="85">
        <f>STATS1003B!Q521/1000</f>
        <v>0</v>
      </c>
      <c r="R520" s="85">
        <f>STATS1003B!R521/1000</f>
        <v>0</v>
      </c>
      <c r="S520" s="85">
        <f>STATS1003B!S521/1000</f>
        <v>0</v>
      </c>
      <c r="T520" s="85">
        <f>STATS1003B!T521/1000</f>
        <v>0</v>
      </c>
      <c r="U520" s="85">
        <f>STATS1003B!U521/1000</f>
        <v>0</v>
      </c>
      <c r="V520" s="85">
        <f>STATS1003B!V521/1000</f>
        <v>366</v>
      </c>
      <c r="W520" s="85">
        <f>STATS1003B!W521/1000</f>
        <v>0</v>
      </c>
      <c r="X520" s="85">
        <f t="shared" si="63"/>
        <v>366</v>
      </c>
      <c r="Y520" s="85">
        <f>STATS1003B!Y521/1000</f>
        <v>0</v>
      </c>
      <c r="Z520" s="85">
        <f t="shared" si="58"/>
        <v>0</v>
      </c>
      <c r="AA520" s="69">
        <f>STATS1003B!AA521/1000</f>
        <v>366</v>
      </c>
      <c r="AB520" s="69">
        <f>STATS1003B!AB521/1000</f>
        <v>0</v>
      </c>
    </row>
    <row r="521" spans="1:28" hidden="1" x14ac:dyDescent="0.3">
      <c r="A521" s="117"/>
      <c r="C521" s="69"/>
      <c r="D521" s="69"/>
      <c r="E521" s="86" t="s">
        <v>29</v>
      </c>
      <c r="F521" s="86" t="s">
        <v>29</v>
      </c>
      <c r="G521" s="86" t="s">
        <v>29</v>
      </c>
      <c r="H521" s="86" t="s">
        <v>29</v>
      </c>
      <c r="I521" s="86" t="s">
        <v>29</v>
      </c>
      <c r="J521" s="86" t="s">
        <v>29</v>
      </c>
      <c r="K521" s="86" t="s">
        <v>29</v>
      </c>
      <c r="L521" s="86" t="s">
        <v>29</v>
      </c>
      <c r="M521" s="86" t="s">
        <v>29</v>
      </c>
      <c r="N521" s="86" t="s">
        <v>29</v>
      </c>
      <c r="O521" s="86" t="s">
        <v>29</v>
      </c>
      <c r="P521" s="86" t="s">
        <v>29</v>
      </c>
      <c r="Q521" s="86" t="s">
        <v>29</v>
      </c>
      <c r="R521" s="86" t="s">
        <v>29</v>
      </c>
      <c r="S521" s="86" t="s">
        <v>29</v>
      </c>
      <c r="T521" s="86" t="s">
        <v>29</v>
      </c>
      <c r="U521" s="86" t="s">
        <v>29</v>
      </c>
      <c r="V521" s="86" t="s">
        <v>29</v>
      </c>
      <c r="W521" s="86" t="s">
        <v>29</v>
      </c>
      <c r="X521" s="85" t="e">
        <f t="shared" si="63"/>
        <v>#VALUE!</v>
      </c>
      <c r="Y521" s="86" t="s">
        <v>29</v>
      </c>
      <c r="Z521" s="85" t="e">
        <f t="shared" ref="Z521:Z586" si="64">+E521-X521</f>
        <v>#VALUE!</v>
      </c>
      <c r="AA521" s="115" t="s">
        <v>29</v>
      </c>
      <c r="AB521" s="115" t="s">
        <v>29</v>
      </c>
    </row>
    <row r="522" spans="1:28" x14ac:dyDescent="0.3">
      <c r="A522" s="116" t="s">
        <v>958</v>
      </c>
      <c r="B522" s="68" t="s">
        <v>164</v>
      </c>
      <c r="D522" s="69"/>
      <c r="E522" s="85">
        <f>51784158.7/1000</f>
        <v>51784.1587</v>
      </c>
      <c r="F522" s="85">
        <f>SUM(F512:F520)</f>
        <v>4577.2106999999996</v>
      </c>
      <c r="G522" s="85">
        <f>SUM(G512:G520)</f>
        <v>0</v>
      </c>
      <c r="H522" s="85">
        <f>44900916.76/1000</f>
        <v>44900.91676</v>
      </c>
      <c r="I522" s="85">
        <f t="shared" ref="I522:O522" si="65">SUM(I512:I520)</f>
        <v>0</v>
      </c>
      <c r="J522" s="85">
        <f t="shared" si="65"/>
        <v>0</v>
      </c>
      <c r="K522" s="85">
        <f t="shared" si="65"/>
        <v>0</v>
      </c>
      <c r="L522" s="85">
        <f t="shared" si="65"/>
        <v>0</v>
      </c>
      <c r="M522" s="85">
        <f t="shared" si="65"/>
        <v>4577.2106999999996</v>
      </c>
      <c r="N522" s="85">
        <f t="shared" si="65"/>
        <v>6765.9588199999998</v>
      </c>
      <c r="O522" s="85">
        <f t="shared" si="65"/>
        <v>0</v>
      </c>
      <c r="P522" s="85">
        <f>6765958/1000</f>
        <v>6765.9579999999996</v>
      </c>
      <c r="Q522" s="85">
        <f t="shared" ref="Q522:W522" si="66">SUM(Q512:Q520)</f>
        <v>0</v>
      </c>
      <c r="R522" s="85">
        <f t="shared" si="66"/>
        <v>0</v>
      </c>
      <c r="S522" s="85">
        <f t="shared" si="66"/>
        <v>0</v>
      </c>
      <c r="T522" s="85">
        <f t="shared" si="66"/>
        <v>0</v>
      </c>
      <c r="U522" s="85">
        <f t="shared" si="66"/>
        <v>6765.9588199999998</v>
      </c>
      <c r="V522" s="85">
        <f t="shared" si="66"/>
        <v>11343.169519999999</v>
      </c>
      <c r="W522" s="85">
        <f t="shared" si="66"/>
        <v>117.28312</v>
      </c>
      <c r="X522" s="85">
        <f t="shared" si="63"/>
        <v>51666.874759999999</v>
      </c>
      <c r="Y522" s="85">
        <f>SUM(Y512:Y520)</f>
        <v>0</v>
      </c>
      <c r="Z522" s="85">
        <f t="shared" si="64"/>
        <v>117.28394000000117</v>
      </c>
      <c r="AA522" s="69">
        <f>SUM(AA512:AA520)</f>
        <v>11343.169519999999</v>
      </c>
      <c r="AB522" s="69">
        <f>SUM(AB512:AB520)</f>
        <v>117.28312</v>
      </c>
    </row>
    <row r="523" spans="1:28" hidden="1" x14ac:dyDescent="0.3">
      <c r="A523" s="117"/>
      <c r="E523" s="86" t="s">
        <v>29</v>
      </c>
      <c r="F523" s="86" t="s">
        <v>29</v>
      </c>
      <c r="G523" s="86" t="s">
        <v>29</v>
      </c>
      <c r="H523" s="86" t="s">
        <v>29</v>
      </c>
      <c r="I523" s="86" t="s">
        <v>29</v>
      </c>
      <c r="J523" s="86" t="s">
        <v>29</v>
      </c>
      <c r="K523" s="86" t="s">
        <v>29</v>
      </c>
      <c r="L523" s="86" t="s">
        <v>29</v>
      </c>
      <c r="M523" s="86" t="s">
        <v>29</v>
      </c>
      <c r="N523" s="86" t="s">
        <v>29</v>
      </c>
      <c r="O523" s="86" t="s">
        <v>29</v>
      </c>
      <c r="P523" s="86" t="s">
        <v>29</v>
      </c>
      <c r="Q523" s="86" t="s">
        <v>29</v>
      </c>
      <c r="R523" s="86" t="s">
        <v>29</v>
      </c>
      <c r="S523" s="86" t="s">
        <v>29</v>
      </c>
      <c r="T523" s="86" t="s">
        <v>29</v>
      </c>
      <c r="U523" s="86" t="s">
        <v>29</v>
      </c>
      <c r="V523" s="86" t="s">
        <v>29</v>
      </c>
      <c r="W523" s="86" t="s">
        <v>29</v>
      </c>
      <c r="X523" s="85" t="e">
        <f t="shared" si="63"/>
        <v>#VALUE!</v>
      </c>
      <c r="Y523" s="86" t="s">
        <v>29</v>
      </c>
      <c r="Z523" s="85" t="e">
        <f t="shared" si="64"/>
        <v>#VALUE!</v>
      </c>
      <c r="AA523" s="115" t="s">
        <v>29</v>
      </c>
      <c r="AB523" s="115" t="s">
        <v>29</v>
      </c>
    </row>
    <row r="524" spans="1:28" hidden="1" x14ac:dyDescent="0.3">
      <c r="A524" s="105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5">
        <f t="shared" si="63"/>
        <v>0</v>
      </c>
      <c r="Y524" s="84"/>
      <c r="Z524" s="85">
        <f t="shared" si="64"/>
        <v>0</v>
      </c>
      <c r="AA524" s="118"/>
    </row>
    <row r="525" spans="1:28" hidden="1" x14ac:dyDescent="0.3">
      <c r="A525" s="117"/>
      <c r="C525" s="68" t="s">
        <v>75</v>
      </c>
      <c r="D525" s="88" t="s">
        <v>76</v>
      </c>
      <c r="E525" s="85">
        <f>STATS1003B!E526/1000</f>
        <v>4522</v>
      </c>
      <c r="F525" s="85">
        <f>STATS1003B!F526/1000</f>
        <v>868.22649999999999</v>
      </c>
      <c r="G525" s="85">
        <f>STATS1003B!G526/1000</f>
        <v>0</v>
      </c>
      <c r="H525" s="85">
        <f>STATS1003B!H526/1000</f>
        <v>868.22649999999999</v>
      </c>
      <c r="I525" s="85">
        <f>STATS1003B!I526/1000</f>
        <v>0</v>
      </c>
      <c r="J525" s="85">
        <f>STATS1003B!J526/1000</f>
        <v>0</v>
      </c>
      <c r="K525" s="85">
        <f>STATS1003B!K526/1000</f>
        <v>0</v>
      </c>
      <c r="L525" s="85">
        <f>STATS1003B!L526/1000</f>
        <v>0</v>
      </c>
      <c r="M525" s="85">
        <f>STATS1003B!M526/1000</f>
        <v>868.22649999999999</v>
      </c>
      <c r="N525" s="85">
        <f>STATS1003B!N526/1000</f>
        <v>2367.26262</v>
      </c>
      <c r="O525" s="85">
        <f>STATS1003B!O526/1000</f>
        <v>0</v>
      </c>
      <c r="P525" s="85">
        <f>STATS1003B!P526/1000</f>
        <v>2367.26262</v>
      </c>
      <c r="Q525" s="85">
        <f>STATS1003B!Q526/1000</f>
        <v>0</v>
      </c>
      <c r="R525" s="85">
        <f>STATS1003B!R526/1000</f>
        <v>0</v>
      </c>
      <c r="S525" s="85">
        <f>STATS1003B!S526/1000</f>
        <v>0</v>
      </c>
      <c r="T525" s="85">
        <f>STATS1003B!T526/1000</f>
        <v>0</v>
      </c>
      <c r="U525" s="85">
        <f>STATS1003B!U526/1000</f>
        <v>2367.26262</v>
      </c>
      <c r="V525" s="85">
        <f>STATS1003B!V526/1000</f>
        <v>3235.4891200000002</v>
      </c>
      <c r="W525" s="85">
        <f>STATS1003B!W526/1000</f>
        <v>1286.5108799999998</v>
      </c>
      <c r="X525" s="85">
        <f t="shared" si="63"/>
        <v>3235.4891200000002</v>
      </c>
      <c r="Y525" s="85">
        <f>STATS1003B!Y526/1000</f>
        <v>0</v>
      </c>
      <c r="Z525" s="85">
        <f t="shared" si="64"/>
        <v>1286.5108799999998</v>
      </c>
      <c r="AA525" s="69">
        <f>STATS1003B!AA526/1000</f>
        <v>3235.4891200000002</v>
      </c>
      <c r="AB525" s="69">
        <f>STATS1003B!AB526/1000</f>
        <v>1286.5108799999998</v>
      </c>
    </row>
    <row r="526" spans="1:28" hidden="1" x14ac:dyDescent="0.3">
      <c r="A526" s="117"/>
      <c r="C526" s="68" t="s">
        <v>172</v>
      </c>
      <c r="D526" s="88" t="s">
        <v>150</v>
      </c>
      <c r="E526" s="85">
        <f>STATS1003B!E527/1000</f>
        <v>167.089</v>
      </c>
      <c r="F526" s="85">
        <f>STATS1003B!F527/1000</f>
        <v>167.089</v>
      </c>
      <c r="G526" s="85">
        <f>STATS1003B!G527/1000</f>
        <v>0</v>
      </c>
      <c r="H526" s="85">
        <f>STATS1003B!H527/1000</f>
        <v>167.089</v>
      </c>
      <c r="I526" s="85">
        <f>STATS1003B!I527/1000</f>
        <v>0</v>
      </c>
      <c r="J526" s="85">
        <f>STATS1003B!J527/1000</f>
        <v>0</v>
      </c>
      <c r="K526" s="85">
        <f>STATS1003B!K527/1000</f>
        <v>0</v>
      </c>
      <c r="L526" s="85">
        <f>STATS1003B!L527/1000</f>
        <v>0</v>
      </c>
      <c r="M526" s="85">
        <f>STATS1003B!M527/1000</f>
        <v>167.089</v>
      </c>
      <c r="N526" s="85">
        <f>STATS1003B!N527/1000</f>
        <v>0</v>
      </c>
      <c r="O526" s="85">
        <f>STATS1003B!O527/1000</f>
        <v>0</v>
      </c>
      <c r="P526" s="85">
        <f>STATS1003B!P527/1000</f>
        <v>0</v>
      </c>
      <c r="Q526" s="85">
        <f>STATS1003B!Q527/1000</f>
        <v>0</v>
      </c>
      <c r="R526" s="85">
        <f>STATS1003B!R527/1000</f>
        <v>0</v>
      </c>
      <c r="S526" s="85">
        <f>STATS1003B!S527/1000</f>
        <v>0</v>
      </c>
      <c r="T526" s="85">
        <f>STATS1003B!T527/1000</f>
        <v>0</v>
      </c>
      <c r="U526" s="85">
        <f>STATS1003B!U527/1000</f>
        <v>0</v>
      </c>
      <c r="V526" s="85">
        <f>STATS1003B!V527/1000</f>
        <v>167.089</v>
      </c>
      <c r="W526" s="85">
        <f>STATS1003B!W527/1000</f>
        <v>0</v>
      </c>
      <c r="X526" s="85">
        <f t="shared" si="63"/>
        <v>167.089</v>
      </c>
      <c r="Y526" s="85">
        <f>STATS1003B!Y527/1000</f>
        <v>0</v>
      </c>
      <c r="Z526" s="85">
        <f t="shared" si="64"/>
        <v>0</v>
      </c>
      <c r="AA526" s="69">
        <f>STATS1003B!AA527/1000</f>
        <v>167.089</v>
      </c>
      <c r="AB526" s="69">
        <f>STATS1003B!AB527/1000</f>
        <v>0</v>
      </c>
    </row>
    <row r="527" spans="1:28" hidden="1" x14ac:dyDescent="0.3">
      <c r="A527" s="117"/>
      <c r="D527" s="87" t="s">
        <v>173</v>
      </c>
      <c r="E527" s="85">
        <f>STATS1003B!E528/1000</f>
        <v>0</v>
      </c>
      <c r="F527" s="85">
        <f>STATS1003B!F528/1000</f>
        <v>0</v>
      </c>
      <c r="G527" s="85">
        <f>STATS1003B!G528/1000</f>
        <v>0</v>
      </c>
      <c r="H527" s="85">
        <f>STATS1003B!H528/1000</f>
        <v>0</v>
      </c>
      <c r="I527" s="85">
        <f>STATS1003B!I528/1000</f>
        <v>0</v>
      </c>
      <c r="J527" s="85">
        <f>STATS1003B!J528/1000</f>
        <v>0</v>
      </c>
      <c r="K527" s="85">
        <f>STATS1003B!K528/1000</f>
        <v>0</v>
      </c>
      <c r="L527" s="85">
        <f>STATS1003B!L528/1000</f>
        <v>0</v>
      </c>
      <c r="M527" s="85">
        <f>STATS1003B!M528/1000</f>
        <v>0</v>
      </c>
      <c r="N527" s="85">
        <f>STATS1003B!N528/1000</f>
        <v>0</v>
      </c>
      <c r="O527" s="85">
        <f>STATS1003B!O528/1000</f>
        <v>0</v>
      </c>
      <c r="P527" s="85">
        <f>STATS1003B!P528/1000</f>
        <v>0</v>
      </c>
      <c r="Q527" s="85">
        <f>STATS1003B!Q528/1000</f>
        <v>0</v>
      </c>
      <c r="R527" s="85">
        <f>STATS1003B!R528/1000</f>
        <v>0</v>
      </c>
      <c r="S527" s="85">
        <f>STATS1003B!S528/1000</f>
        <v>0</v>
      </c>
      <c r="T527" s="85">
        <f>STATS1003B!T528/1000</f>
        <v>0</v>
      </c>
      <c r="U527" s="85">
        <f>STATS1003B!U528/1000</f>
        <v>0</v>
      </c>
      <c r="V527" s="85">
        <f>STATS1003B!V528/1000</f>
        <v>0</v>
      </c>
      <c r="W527" s="85">
        <f>STATS1003B!W528/1000</f>
        <v>0</v>
      </c>
      <c r="X527" s="85">
        <f t="shared" si="63"/>
        <v>0</v>
      </c>
      <c r="Y527" s="85">
        <f>STATS1003B!Y528/1000</f>
        <v>0</v>
      </c>
      <c r="Z527" s="85">
        <f t="shared" si="64"/>
        <v>0</v>
      </c>
      <c r="AA527" s="69">
        <f>STATS1003B!AA528/1000</f>
        <v>0</v>
      </c>
      <c r="AB527" s="69">
        <f>STATS1003B!AB528/1000</f>
        <v>0</v>
      </c>
    </row>
    <row r="528" spans="1:28" hidden="1" x14ac:dyDescent="0.3">
      <c r="A528" s="117"/>
      <c r="C528" s="68" t="s">
        <v>174</v>
      </c>
      <c r="D528" s="71" t="s">
        <v>175</v>
      </c>
      <c r="E528" s="85">
        <f>STATS1003B!E529/1000</f>
        <v>6238.42245</v>
      </c>
      <c r="F528" s="85">
        <f>STATS1003B!F529/1000</f>
        <v>6054.0167300000003</v>
      </c>
      <c r="G528" s="85">
        <f>STATS1003B!G529/1000</f>
        <v>0</v>
      </c>
      <c r="H528" s="85">
        <f>STATS1003B!H529/1000</f>
        <v>6054.0167300000003</v>
      </c>
      <c r="I528" s="85">
        <f>STATS1003B!I529/1000</f>
        <v>0</v>
      </c>
      <c r="J528" s="85">
        <f>STATS1003B!J529/1000</f>
        <v>0</v>
      </c>
      <c r="K528" s="85">
        <f>STATS1003B!K529/1000</f>
        <v>0</v>
      </c>
      <c r="L528" s="85">
        <f>STATS1003B!L529/1000</f>
        <v>0</v>
      </c>
      <c r="M528" s="85">
        <f>STATS1003B!M529/1000</f>
        <v>6054.0167300000003</v>
      </c>
      <c r="N528" s="85">
        <f>STATS1003B!N529/1000</f>
        <v>184.40572</v>
      </c>
      <c r="O528" s="85">
        <f>STATS1003B!O529/1000</f>
        <v>0</v>
      </c>
      <c r="P528" s="85">
        <f>STATS1003B!P529/1000</f>
        <v>184.40572</v>
      </c>
      <c r="Q528" s="85">
        <f>STATS1003B!Q529/1000</f>
        <v>0</v>
      </c>
      <c r="R528" s="85">
        <f>STATS1003B!R529/1000</f>
        <v>0</v>
      </c>
      <c r="S528" s="85">
        <f>STATS1003B!S529/1000</f>
        <v>0</v>
      </c>
      <c r="T528" s="85">
        <f>STATS1003B!T529/1000</f>
        <v>0</v>
      </c>
      <c r="U528" s="85">
        <f>STATS1003B!U529/1000</f>
        <v>184.40572</v>
      </c>
      <c r="V528" s="85">
        <f>STATS1003B!V529/1000</f>
        <v>6238.42245</v>
      </c>
      <c r="W528" s="85">
        <f>STATS1003B!W529/1000</f>
        <v>0</v>
      </c>
      <c r="X528" s="85">
        <f t="shared" si="63"/>
        <v>6238.42245</v>
      </c>
      <c r="Y528" s="85">
        <f>STATS1003B!Y529/1000</f>
        <v>0</v>
      </c>
      <c r="Z528" s="85">
        <f t="shared" si="64"/>
        <v>0</v>
      </c>
      <c r="AA528" s="69">
        <f>STATS1003B!AA529/1000</f>
        <v>6238.42245</v>
      </c>
      <c r="AB528" s="69">
        <f>STATS1003B!AB529/1000</f>
        <v>0</v>
      </c>
    </row>
    <row r="529" spans="1:28" hidden="1" x14ac:dyDescent="0.3">
      <c r="A529" s="117"/>
      <c r="C529" s="68" t="s">
        <v>55</v>
      </c>
      <c r="D529" s="87" t="s">
        <v>119</v>
      </c>
      <c r="E529" s="85">
        <f>STATS1003B!E530/1000</f>
        <v>11277.40525</v>
      </c>
      <c r="F529" s="85">
        <f>STATS1003B!F530/1000</f>
        <v>0</v>
      </c>
      <c r="G529" s="85">
        <f>STATS1003B!G530/1000</f>
        <v>0</v>
      </c>
      <c r="H529" s="85">
        <f>STATS1003B!H530/1000</f>
        <v>0</v>
      </c>
      <c r="I529" s="85">
        <f>STATS1003B!I530/1000</f>
        <v>0</v>
      </c>
      <c r="J529" s="85">
        <f>STATS1003B!J530/1000</f>
        <v>0</v>
      </c>
      <c r="K529" s="85">
        <f>STATS1003B!K530/1000</f>
        <v>0</v>
      </c>
      <c r="L529" s="85">
        <f>STATS1003B!L530/1000</f>
        <v>0</v>
      </c>
      <c r="M529" s="85">
        <f>STATS1003B!M530/1000</f>
        <v>0</v>
      </c>
      <c r="N529" s="85">
        <f>STATS1003B!N530/1000</f>
        <v>11277.40525</v>
      </c>
      <c r="O529" s="85">
        <f>STATS1003B!O530/1000</f>
        <v>0</v>
      </c>
      <c r="P529" s="85">
        <f>STATS1003B!P530/1000</f>
        <v>11277.40525</v>
      </c>
      <c r="Q529" s="85">
        <f>STATS1003B!Q530/1000</f>
        <v>0</v>
      </c>
      <c r="R529" s="85">
        <f>STATS1003B!R530/1000</f>
        <v>0</v>
      </c>
      <c r="S529" s="85">
        <f>STATS1003B!S530/1000</f>
        <v>0</v>
      </c>
      <c r="T529" s="85">
        <f>STATS1003B!T530/1000</f>
        <v>0</v>
      </c>
      <c r="U529" s="85">
        <f>STATS1003B!U530/1000</f>
        <v>11277.40525</v>
      </c>
      <c r="V529" s="85">
        <f>STATS1003B!V530/1000</f>
        <v>11277.40525</v>
      </c>
      <c r="W529" s="85">
        <f>STATS1003B!W530/1000</f>
        <v>0</v>
      </c>
      <c r="X529" s="85">
        <f t="shared" si="63"/>
        <v>11277.40525</v>
      </c>
      <c r="Y529" s="85">
        <f>STATS1003B!Y530/1000</f>
        <v>0</v>
      </c>
      <c r="Z529" s="85">
        <f t="shared" si="64"/>
        <v>0</v>
      </c>
      <c r="AA529" s="69">
        <f>STATS1003B!AA530/1000</f>
        <v>11277.40525</v>
      </c>
      <c r="AB529" s="69">
        <f>STATS1003B!AB530/1000</f>
        <v>0</v>
      </c>
    </row>
    <row r="530" spans="1:28" hidden="1" x14ac:dyDescent="0.3">
      <c r="A530" s="117"/>
      <c r="C530" s="68" t="s">
        <v>53</v>
      </c>
      <c r="D530" s="87" t="s">
        <v>54</v>
      </c>
      <c r="E530" s="85">
        <f>STATS1003B!E531/1000</f>
        <v>1953.989</v>
      </c>
      <c r="F530" s="85">
        <f>STATS1003B!F531/1000</f>
        <v>0</v>
      </c>
      <c r="G530" s="85">
        <f>STATS1003B!G531/1000</f>
        <v>0</v>
      </c>
      <c r="H530" s="85">
        <f>STATS1003B!H531/1000</f>
        <v>0</v>
      </c>
      <c r="I530" s="85">
        <f>STATS1003B!I531/1000</f>
        <v>0</v>
      </c>
      <c r="J530" s="85">
        <f>STATS1003B!J531/1000</f>
        <v>0</v>
      </c>
      <c r="K530" s="85">
        <f>STATS1003B!K531/1000</f>
        <v>0</v>
      </c>
      <c r="L530" s="85">
        <f>STATS1003B!L531/1000</f>
        <v>0</v>
      </c>
      <c r="M530" s="85">
        <f>STATS1003B!M531/1000</f>
        <v>0</v>
      </c>
      <c r="N530" s="85">
        <f>STATS1003B!N531/1000</f>
        <v>1953.989</v>
      </c>
      <c r="O530" s="85">
        <f>STATS1003B!O531/1000</f>
        <v>0</v>
      </c>
      <c r="P530" s="85">
        <f>STATS1003B!P531/1000</f>
        <v>1953.989</v>
      </c>
      <c r="Q530" s="85">
        <f>STATS1003B!Q531/1000</f>
        <v>0</v>
      </c>
      <c r="R530" s="85">
        <f>STATS1003B!R531/1000</f>
        <v>0</v>
      </c>
      <c r="S530" s="85">
        <f>STATS1003B!S531/1000</f>
        <v>0</v>
      </c>
      <c r="T530" s="85">
        <f>STATS1003B!T531/1000</f>
        <v>0</v>
      </c>
      <c r="U530" s="85">
        <f>STATS1003B!U531/1000</f>
        <v>1953.989</v>
      </c>
      <c r="V530" s="85">
        <f>STATS1003B!V531/1000</f>
        <v>1953.989</v>
      </c>
      <c r="W530" s="85">
        <f>STATS1003B!W531/1000</f>
        <v>0</v>
      </c>
      <c r="X530" s="85">
        <f t="shared" si="63"/>
        <v>1953.989</v>
      </c>
      <c r="Y530" s="85">
        <f>STATS1003B!Y531/1000</f>
        <v>0</v>
      </c>
      <c r="Z530" s="85">
        <f t="shared" si="64"/>
        <v>0</v>
      </c>
      <c r="AA530" s="69">
        <f>STATS1003B!AA531/1000</f>
        <v>1953.989</v>
      </c>
      <c r="AB530" s="69">
        <f>STATS1003B!AB531/1000</f>
        <v>0</v>
      </c>
    </row>
    <row r="531" spans="1:28" hidden="1" x14ac:dyDescent="0.3">
      <c r="A531" s="117"/>
      <c r="C531" s="68" t="s">
        <v>930</v>
      </c>
      <c r="D531" s="90" t="s">
        <v>1072</v>
      </c>
      <c r="E531" s="85">
        <f>STATS1003B!E532/1000</f>
        <v>294.80248</v>
      </c>
      <c r="F531" s="85">
        <f>STATS1003B!F532/1000</f>
        <v>294.80248</v>
      </c>
      <c r="G531" s="85">
        <f>STATS1003B!G532/1000</f>
        <v>0</v>
      </c>
      <c r="H531" s="85">
        <f>STATS1003B!H532/1000</f>
        <v>294.80248</v>
      </c>
      <c r="I531" s="85">
        <f>STATS1003B!I532/1000</f>
        <v>0</v>
      </c>
      <c r="J531" s="85">
        <f>STATS1003B!J532/1000</f>
        <v>0</v>
      </c>
      <c r="K531" s="85">
        <f>STATS1003B!K532/1000</f>
        <v>0</v>
      </c>
      <c r="L531" s="85">
        <f>STATS1003B!L532/1000</f>
        <v>0</v>
      </c>
      <c r="M531" s="85">
        <f>STATS1003B!M532/1000</f>
        <v>294.80248</v>
      </c>
      <c r="N531" s="85">
        <f>STATS1003B!N532/1000</f>
        <v>0</v>
      </c>
      <c r="O531" s="85">
        <f>STATS1003B!O532/1000</f>
        <v>0</v>
      </c>
      <c r="P531" s="85">
        <f>STATS1003B!P532/1000</f>
        <v>0</v>
      </c>
      <c r="Q531" s="85">
        <f>STATS1003B!Q532/1000</f>
        <v>0</v>
      </c>
      <c r="R531" s="85">
        <f>STATS1003B!R532/1000</f>
        <v>0</v>
      </c>
      <c r="S531" s="85">
        <f>STATS1003B!S532/1000</f>
        <v>0</v>
      </c>
      <c r="T531" s="85">
        <f>STATS1003B!T532/1000</f>
        <v>0</v>
      </c>
      <c r="U531" s="85">
        <f>STATS1003B!U532/1000</f>
        <v>0</v>
      </c>
      <c r="V531" s="85">
        <f>STATS1003B!V532/1000</f>
        <v>294.80248</v>
      </c>
      <c r="W531" s="85">
        <f>STATS1003B!W532/1000</f>
        <v>0</v>
      </c>
      <c r="X531" s="85">
        <f t="shared" si="63"/>
        <v>294.80248</v>
      </c>
      <c r="Y531" s="85">
        <f>STATS1003B!Y532/1000</f>
        <v>0</v>
      </c>
      <c r="Z531" s="85">
        <f t="shared" si="64"/>
        <v>0</v>
      </c>
      <c r="AA531" s="69">
        <f>STATS1003B!AA532/1000</f>
        <v>294.80248</v>
      </c>
      <c r="AB531" s="69">
        <f>STATS1003B!AB532/1000</f>
        <v>0</v>
      </c>
    </row>
    <row r="532" spans="1:28" hidden="1" x14ac:dyDescent="0.3">
      <c r="A532" s="117"/>
      <c r="C532" s="68" t="s">
        <v>57</v>
      </c>
      <c r="D532" s="87" t="s">
        <v>60</v>
      </c>
      <c r="E532" s="85">
        <f>STATS1003B!E533/1000</f>
        <v>378.76100000000002</v>
      </c>
      <c r="F532" s="85">
        <f>STATS1003B!F533/1000</f>
        <v>378.76100000000002</v>
      </c>
      <c r="G532" s="85">
        <f>STATS1003B!G533/1000</f>
        <v>0</v>
      </c>
      <c r="H532" s="85">
        <f>STATS1003B!H533/1000</f>
        <v>378.76100000000002</v>
      </c>
      <c r="I532" s="85">
        <f>STATS1003B!I533/1000</f>
        <v>0</v>
      </c>
      <c r="J532" s="85">
        <f>STATS1003B!J533/1000</f>
        <v>0</v>
      </c>
      <c r="K532" s="85">
        <f>STATS1003B!K533/1000</f>
        <v>0</v>
      </c>
      <c r="L532" s="85">
        <f>STATS1003B!L533/1000</f>
        <v>0</v>
      </c>
      <c r="M532" s="85">
        <f>STATS1003B!M533/1000</f>
        <v>378.76100000000002</v>
      </c>
      <c r="N532" s="85">
        <f>STATS1003B!N533/1000</f>
        <v>0</v>
      </c>
      <c r="O532" s="85">
        <f>STATS1003B!O533/1000</f>
        <v>0</v>
      </c>
      <c r="P532" s="85">
        <f>STATS1003B!P533/1000</f>
        <v>0</v>
      </c>
      <c r="Q532" s="85">
        <f>STATS1003B!Q533/1000</f>
        <v>0</v>
      </c>
      <c r="R532" s="85">
        <f>STATS1003B!R533/1000</f>
        <v>0</v>
      </c>
      <c r="S532" s="85">
        <f>STATS1003B!S533/1000</f>
        <v>0</v>
      </c>
      <c r="T532" s="85">
        <f>STATS1003B!T533/1000</f>
        <v>0</v>
      </c>
      <c r="U532" s="85">
        <f>STATS1003B!U533/1000</f>
        <v>0</v>
      </c>
      <c r="V532" s="85">
        <f>STATS1003B!V533/1000</f>
        <v>378.76100000000002</v>
      </c>
      <c r="W532" s="85">
        <f>STATS1003B!W533/1000</f>
        <v>0</v>
      </c>
      <c r="X532" s="85">
        <f t="shared" si="63"/>
        <v>378.76100000000002</v>
      </c>
      <c r="Y532" s="85">
        <f>STATS1003B!Y533/1000</f>
        <v>0</v>
      </c>
      <c r="Z532" s="85">
        <f t="shared" si="64"/>
        <v>0</v>
      </c>
      <c r="AA532" s="69">
        <f>STATS1003B!AA533/1000</f>
        <v>378.76100000000002</v>
      </c>
      <c r="AB532" s="69">
        <f>STATS1003B!AB533/1000</f>
        <v>0</v>
      </c>
    </row>
    <row r="533" spans="1:28" hidden="1" x14ac:dyDescent="0.3">
      <c r="A533" s="117"/>
      <c r="C533" s="71" t="s">
        <v>109</v>
      </c>
      <c r="D533" s="88" t="s">
        <v>60</v>
      </c>
      <c r="E533" s="85">
        <f>STATS1003B!E534/1000</f>
        <v>2500</v>
      </c>
      <c r="F533" s="85">
        <f>STATS1003B!F534/1000</f>
        <v>2500</v>
      </c>
      <c r="G533" s="85">
        <f>STATS1003B!G534/1000</f>
        <v>0</v>
      </c>
      <c r="H533" s="85">
        <f>STATS1003B!H534/1000</f>
        <v>2500</v>
      </c>
      <c r="I533" s="85">
        <f>STATS1003B!I534/1000</f>
        <v>0</v>
      </c>
      <c r="J533" s="85">
        <f>STATS1003B!J534/1000</f>
        <v>0</v>
      </c>
      <c r="K533" s="85">
        <f>STATS1003B!K534/1000</f>
        <v>0</v>
      </c>
      <c r="L533" s="85">
        <f>STATS1003B!L534/1000</f>
        <v>0</v>
      </c>
      <c r="M533" s="85">
        <f>STATS1003B!M534/1000</f>
        <v>2500</v>
      </c>
      <c r="N533" s="85">
        <f>STATS1003B!N534/1000</f>
        <v>0</v>
      </c>
      <c r="O533" s="85">
        <f>STATS1003B!O534/1000</f>
        <v>0</v>
      </c>
      <c r="P533" s="85">
        <f>STATS1003B!P534/1000</f>
        <v>0</v>
      </c>
      <c r="Q533" s="85">
        <f>STATS1003B!Q534/1000</f>
        <v>0</v>
      </c>
      <c r="R533" s="85">
        <f>STATS1003B!R534/1000</f>
        <v>0</v>
      </c>
      <c r="S533" s="85">
        <f>STATS1003B!S534/1000</f>
        <v>0</v>
      </c>
      <c r="T533" s="85">
        <f>STATS1003B!T534/1000</f>
        <v>0</v>
      </c>
      <c r="U533" s="85">
        <f>STATS1003B!U534/1000</f>
        <v>0</v>
      </c>
      <c r="V533" s="85">
        <f>STATS1003B!V534/1000</f>
        <v>2500</v>
      </c>
      <c r="W533" s="85">
        <f>STATS1003B!W534/1000</f>
        <v>0</v>
      </c>
      <c r="X533" s="85">
        <f t="shared" si="63"/>
        <v>2500</v>
      </c>
      <c r="Y533" s="85">
        <f>STATS1003B!Y534/1000</f>
        <v>0</v>
      </c>
      <c r="Z533" s="85">
        <f t="shared" si="64"/>
        <v>0</v>
      </c>
      <c r="AA533" s="69">
        <f>STATS1003B!AA534/1000</f>
        <v>2500</v>
      </c>
      <c r="AB533" s="69">
        <f>STATS1003B!AB534/1000</f>
        <v>0</v>
      </c>
    </row>
    <row r="534" spans="1:28" hidden="1" x14ac:dyDescent="0.3">
      <c r="A534" s="117"/>
      <c r="C534" s="69"/>
      <c r="D534" s="69"/>
      <c r="E534" s="86" t="s">
        <v>29</v>
      </c>
      <c r="F534" s="86" t="s">
        <v>29</v>
      </c>
      <c r="G534" s="86" t="s">
        <v>29</v>
      </c>
      <c r="H534" s="86" t="s">
        <v>29</v>
      </c>
      <c r="I534" s="86" t="s">
        <v>29</v>
      </c>
      <c r="J534" s="86" t="s">
        <v>29</v>
      </c>
      <c r="K534" s="86" t="s">
        <v>29</v>
      </c>
      <c r="L534" s="86" t="s">
        <v>29</v>
      </c>
      <c r="M534" s="86" t="s">
        <v>29</v>
      </c>
      <c r="N534" s="86" t="s">
        <v>29</v>
      </c>
      <c r="O534" s="86" t="s">
        <v>29</v>
      </c>
      <c r="P534" s="86" t="s">
        <v>29</v>
      </c>
      <c r="Q534" s="86" t="s">
        <v>29</v>
      </c>
      <c r="R534" s="86" t="s">
        <v>29</v>
      </c>
      <c r="S534" s="86" t="s">
        <v>29</v>
      </c>
      <c r="T534" s="86" t="s">
        <v>29</v>
      </c>
      <c r="U534" s="86" t="s">
        <v>29</v>
      </c>
      <c r="V534" s="86" t="s">
        <v>29</v>
      </c>
      <c r="W534" s="86" t="s">
        <v>29</v>
      </c>
      <c r="X534" s="85" t="e">
        <f t="shared" si="63"/>
        <v>#VALUE!</v>
      </c>
      <c r="Y534" s="86" t="s">
        <v>29</v>
      </c>
      <c r="Z534" s="85" t="e">
        <f t="shared" si="64"/>
        <v>#VALUE!</v>
      </c>
      <c r="AA534" s="115" t="s">
        <v>29</v>
      </c>
      <c r="AB534" s="115" t="s">
        <v>29</v>
      </c>
    </row>
    <row r="535" spans="1:28" x14ac:dyDescent="0.3">
      <c r="A535" s="116" t="s">
        <v>959</v>
      </c>
      <c r="B535" s="68" t="s">
        <v>171</v>
      </c>
      <c r="E535" s="85">
        <f>29166048.32/1000</f>
        <v>29166.048320000002</v>
      </c>
      <c r="F535" s="85">
        <f>SUM(F525:F533)</f>
        <v>10262.895710000001</v>
      </c>
      <c r="G535" s="85">
        <f>SUM(G525:G533)</f>
        <v>0</v>
      </c>
      <c r="H535" s="85">
        <f>12096474.85/1000</f>
        <v>12096.474850000001</v>
      </c>
      <c r="I535" s="85">
        <f t="shared" ref="I535:O535" si="67">SUM(I525:I533)</f>
        <v>0</v>
      </c>
      <c r="J535" s="85">
        <f t="shared" si="67"/>
        <v>0</v>
      </c>
      <c r="K535" s="85">
        <f t="shared" si="67"/>
        <v>0</v>
      </c>
      <c r="L535" s="85">
        <f t="shared" si="67"/>
        <v>0</v>
      </c>
      <c r="M535" s="85">
        <f t="shared" si="67"/>
        <v>10262.895710000001</v>
      </c>
      <c r="N535" s="85">
        <f t="shared" si="67"/>
        <v>15783.06259</v>
      </c>
      <c r="O535" s="85">
        <f t="shared" si="67"/>
        <v>0</v>
      </c>
      <c r="P535" s="85">
        <f>15783062/1000</f>
        <v>15783.062</v>
      </c>
      <c r="Q535" s="85">
        <f t="shared" ref="Q535:W535" si="68">SUM(Q525:Q533)</f>
        <v>0</v>
      </c>
      <c r="R535" s="85">
        <f t="shared" si="68"/>
        <v>0</v>
      </c>
      <c r="S535" s="85">
        <f t="shared" si="68"/>
        <v>0</v>
      </c>
      <c r="T535" s="85">
        <f t="shared" si="68"/>
        <v>0</v>
      </c>
      <c r="U535" s="85">
        <f t="shared" si="68"/>
        <v>15783.06259</v>
      </c>
      <c r="V535" s="85">
        <f t="shared" si="68"/>
        <v>26045.958299999998</v>
      </c>
      <c r="W535" s="85">
        <f t="shared" si="68"/>
        <v>1286.5108799999998</v>
      </c>
      <c r="X535" s="85">
        <f t="shared" si="63"/>
        <v>27879.53685</v>
      </c>
      <c r="Y535" s="85">
        <f>SUM(Y525:Y533)</f>
        <v>0</v>
      </c>
      <c r="Z535" s="85">
        <f t="shared" si="64"/>
        <v>1286.5114700000013</v>
      </c>
      <c r="AA535" s="69">
        <f>SUM(AA525:AA533)</f>
        <v>26045.958299999998</v>
      </c>
      <c r="AB535" s="69">
        <f>SUM(AB525:AB533)</f>
        <v>1286.5108799999998</v>
      </c>
    </row>
    <row r="536" spans="1:28" hidden="1" x14ac:dyDescent="0.3">
      <c r="A536" s="117"/>
      <c r="E536" s="86" t="s">
        <v>29</v>
      </c>
      <c r="F536" s="86" t="s">
        <v>29</v>
      </c>
      <c r="G536" s="86" t="s">
        <v>29</v>
      </c>
      <c r="H536" s="86" t="s">
        <v>29</v>
      </c>
      <c r="I536" s="86" t="s">
        <v>29</v>
      </c>
      <c r="J536" s="86" t="s">
        <v>29</v>
      </c>
      <c r="K536" s="86" t="s">
        <v>29</v>
      </c>
      <c r="L536" s="86" t="s">
        <v>29</v>
      </c>
      <c r="M536" s="86" t="s">
        <v>29</v>
      </c>
      <c r="N536" s="86" t="s">
        <v>29</v>
      </c>
      <c r="O536" s="86" t="s">
        <v>29</v>
      </c>
      <c r="P536" s="86" t="s">
        <v>29</v>
      </c>
      <c r="Q536" s="86" t="s">
        <v>29</v>
      </c>
      <c r="R536" s="86" t="s">
        <v>29</v>
      </c>
      <c r="S536" s="86" t="s">
        <v>29</v>
      </c>
      <c r="T536" s="86" t="s">
        <v>29</v>
      </c>
      <c r="U536" s="86" t="s">
        <v>29</v>
      </c>
      <c r="V536" s="86" t="s">
        <v>29</v>
      </c>
      <c r="W536" s="86" t="s">
        <v>29</v>
      </c>
      <c r="X536" s="85" t="e">
        <f t="shared" si="63"/>
        <v>#VALUE!</v>
      </c>
      <c r="Y536" s="86" t="s">
        <v>29</v>
      </c>
      <c r="Z536" s="85" t="e">
        <f t="shared" si="64"/>
        <v>#VALUE!</v>
      </c>
      <c r="AA536" s="115" t="s">
        <v>29</v>
      </c>
      <c r="AB536" s="115" t="s">
        <v>29</v>
      </c>
    </row>
    <row r="537" spans="1:28" hidden="1" x14ac:dyDescent="0.3">
      <c r="A537" s="105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5">
        <f t="shared" si="63"/>
        <v>0</v>
      </c>
      <c r="Y537" s="84"/>
      <c r="Z537" s="85">
        <f t="shared" si="64"/>
        <v>0</v>
      </c>
    </row>
    <row r="538" spans="1:28" hidden="1" x14ac:dyDescent="0.3">
      <c r="A538" s="117"/>
      <c r="C538" s="68" t="s">
        <v>165</v>
      </c>
      <c r="D538" s="88" t="s">
        <v>166</v>
      </c>
      <c r="E538" s="85">
        <f>STATS1003B!E539/1000</f>
        <v>245.23334</v>
      </c>
      <c r="F538" s="85">
        <f>STATS1003B!F539/1000</f>
        <v>245.23334</v>
      </c>
      <c r="G538" s="85">
        <f>STATS1003B!G539/1000</f>
        <v>0</v>
      </c>
      <c r="H538" s="85">
        <f>STATS1003B!H539/1000</f>
        <v>245.23334</v>
      </c>
      <c r="I538" s="85">
        <f>STATS1003B!I539/1000</f>
        <v>0</v>
      </c>
      <c r="J538" s="85">
        <f>STATS1003B!J539/1000</f>
        <v>0</v>
      </c>
      <c r="K538" s="85">
        <f>STATS1003B!K539/1000</f>
        <v>0</v>
      </c>
      <c r="L538" s="85">
        <f>STATS1003B!L539/1000</f>
        <v>0</v>
      </c>
      <c r="M538" s="85">
        <f>STATS1003B!M539/1000</f>
        <v>245.23334</v>
      </c>
      <c r="N538" s="85">
        <f>STATS1003B!N539/1000</f>
        <v>0</v>
      </c>
      <c r="O538" s="85">
        <f>STATS1003B!O539/1000</f>
        <v>0</v>
      </c>
      <c r="P538" s="85">
        <f>STATS1003B!P539/1000</f>
        <v>0</v>
      </c>
      <c r="Q538" s="85">
        <f>STATS1003B!Q539/1000</f>
        <v>0</v>
      </c>
      <c r="R538" s="85">
        <f>STATS1003B!R539/1000</f>
        <v>0</v>
      </c>
      <c r="S538" s="85">
        <f>STATS1003B!S539/1000</f>
        <v>0</v>
      </c>
      <c r="T538" s="85">
        <f>STATS1003B!T539/1000</f>
        <v>0</v>
      </c>
      <c r="U538" s="85">
        <f>STATS1003B!U539/1000</f>
        <v>0</v>
      </c>
      <c r="V538" s="85">
        <f>STATS1003B!V539/1000</f>
        <v>245.23334</v>
      </c>
      <c r="W538" s="85">
        <f>STATS1003B!W539/1000</f>
        <v>0</v>
      </c>
      <c r="X538" s="85">
        <f t="shared" si="63"/>
        <v>245.23334</v>
      </c>
      <c r="Y538" s="85">
        <f>STATS1003B!Y539/1000</f>
        <v>0</v>
      </c>
      <c r="Z538" s="85">
        <f t="shared" si="64"/>
        <v>0</v>
      </c>
      <c r="AA538" s="69">
        <f>STATS1003B!AA539/1000</f>
        <v>245.23334</v>
      </c>
      <c r="AB538" s="69">
        <f>STATS1003B!AB539/1000</f>
        <v>0</v>
      </c>
    </row>
    <row r="539" spans="1:28" hidden="1" x14ac:dyDescent="0.3">
      <c r="A539" s="117"/>
      <c r="C539" s="68" t="s">
        <v>1087</v>
      </c>
      <c r="D539" s="89" t="s">
        <v>1072</v>
      </c>
      <c r="E539" s="85">
        <f>STATS1003B!E540/1000</f>
        <v>1430.65446</v>
      </c>
      <c r="F539" s="85">
        <f>STATS1003B!F540/1000</f>
        <v>1430.65446</v>
      </c>
      <c r="G539" s="85">
        <f>STATS1003B!G540/1000</f>
        <v>0</v>
      </c>
      <c r="H539" s="85">
        <f>STATS1003B!H540/1000</f>
        <v>1430.65446</v>
      </c>
      <c r="I539" s="85">
        <f>STATS1003B!I540/1000</f>
        <v>0</v>
      </c>
      <c r="J539" s="85">
        <f>STATS1003B!J540/1000</f>
        <v>0</v>
      </c>
      <c r="K539" s="85">
        <f>STATS1003B!K540/1000</f>
        <v>0</v>
      </c>
      <c r="L539" s="85">
        <f>STATS1003B!L540/1000</f>
        <v>0</v>
      </c>
      <c r="M539" s="85">
        <f>STATS1003B!M540/1000</f>
        <v>1430.65446</v>
      </c>
      <c r="N539" s="85">
        <f>STATS1003B!N540/1000</f>
        <v>0</v>
      </c>
      <c r="O539" s="85">
        <f>STATS1003B!O540/1000</f>
        <v>0</v>
      </c>
      <c r="P539" s="85">
        <f>STATS1003B!P540/1000</f>
        <v>0</v>
      </c>
      <c r="Q539" s="85">
        <f>STATS1003B!Q540/1000</f>
        <v>0</v>
      </c>
      <c r="R539" s="85">
        <f>STATS1003B!R540/1000</f>
        <v>0</v>
      </c>
      <c r="S539" s="85">
        <f>STATS1003B!S540/1000</f>
        <v>0</v>
      </c>
      <c r="T539" s="85">
        <f>STATS1003B!T540/1000</f>
        <v>0</v>
      </c>
      <c r="U539" s="85">
        <f>STATS1003B!U540/1000</f>
        <v>0</v>
      </c>
      <c r="V539" s="85">
        <f>STATS1003B!V540/1000</f>
        <v>0</v>
      </c>
      <c r="W539" s="85">
        <f>STATS1003B!W540/1000</f>
        <v>0</v>
      </c>
      <c r="X539" s="85">
        <f t="shared" si="63"/>
        <v>1430.65446</v>
      </c>
      <c r="Y539" s="85">
        <f>STATS1003B!Y540/1000</f>
        <v>0</v>
      </c>
      <c r="Z539" s="85">
        <f t="shared" si="64"/>
        <v>0</v>
      </c>
      <c r="AA539" s="69">
        <f>STATS1003B!AA540/1000</f>
        <v>1430.65446</v>
      </c>
      <c r="AB539" s="69">
        <f>STATS1003B!AB540/1000</f>
        <v>0</v>
      </c>
    </row>
    <row r="540" spans="1:28" hidden="1" x14ac:dyDescent="0.3">
      <c r="A540" s="117"/>
      <c r="C540" s="68" t="s">
        <v>177</v>
      </c>
      <c r="D540" s="87" t="s">
        <v>68</v>
      </c>
      <c r="E540" s="85">
        <f>STATS1003B!E541/1000</f>
        <v>657.46223999999995</v>
      </c>
      <c r="F540" s="85">
        <f>STATS1003B!F541/1000</f>
        <v>557.71400000000006</v>
      </c>
      <c r="G540" s="85">
        <f>STATS1003B!G541/1000</f>
        <v>0</v>
      </c>
      <c r="H540" s="85">
        <f>STATS1003B!H541/1000</f>
        <v>557.71400000000006</v>
      </c>
      <c r="I540" s="85">
        <f>STATS1003B!I541/1000</f>
        <v>0</v>
      </c>
      <c r="J540" s="85">
        <f>STATS1003B!J541/1000</f>
        <v>0</v>
      </c>
      <c r="K540" s="85">
        <f>STATS1003B!K541/1000</f>
        <v>0</v>
      </c>
      <c r="L540" s="85">
        <f>STATS1003B!L541/1000</f>
        <v>0</v>
      </c>
      <c r="M540" s="85">
        <f>STATS1003B!M541/1000</f>
        <v>557.71400000000006</v>
      </c>
      <c r="N540" s="85">
        <f>STATS1003B!N541/1000</f>
        <v>99.74824000000001</v>
      </c>
      <c r="O540" s="85">
        <f>STATS1003B!O541/1000</f>
        <v>0</v>
      </c>
      <c r="P540" s="85">
        <f>STATS1003B!P541/1000</f>
        <v>99.74824000000001</v>
      </c>
      <c r="Q540" s="85">
        <f>STATS1003B!Q541/1000</f>
        <v>0</v>
      </c>
      <c r="R540" s="85">
        <f>STATS1003B!R541/1000</f>
        <v>0</v>
      </c>
      <c r="S540" s="85">
        <f>STATS1003B!S541/1000</f>
        <v>0</v>
      </c>
      <c r="T540" s="85">
        <f>STATS1003B!T541/1000</f>
        <v>0</v>
      </c>
      <c r="U540" s="85">
        <f>STATS1003B!U541/1000</f>
        <v>99.74824000000001</v>
      </c>
      <c r="V540" s="85">
        <f>STATS1003B!V541/1000</f>
        <v>657.46223999999995</v>
      </c>
      <c r="W540" s="85">
        <f>STATS1003B!W541/1000</f>
        <v>0</v>
      </c>
      <c r="X540" s="85">
        <f t="shared" si="63"/>
        <v>657.46224000000007</v>
      </c>
      <c r="Y540" s="85">
        <f>STATS1003B!Y541/1000</f>
        <v>0</v>
      </c>
      <c r="Z540" s="85">
        <f t="shared" si="64"/>
        <v>0</v>
      </c>
      <c r="AA540" s="69">
        <f>STATS1003B!AA541/1000</f>
        <v>657.46223999999995</v>
      </c>
      <c r="AB540" s="69">
        <f>STATS1003B!AB541/1000</f>
        <v>0</v>
      </c>
    </row>
    <row r="541" spans="1:28" hidden="1" x14ac:dyDescent="0.3">
      <c r="A541" s="117"/>
      <c r="C541" s="68" t="s">
        <v>55</v>
      </c>
      <c r="D541" s="87" t="s">
        <v>68</v>
      </c>
      <c r="E541" s="85">
        <f>STATS1003B!E542/1000</f>
        <v>1511.5823</v>
      </c>
      <c r="F541" s="85">
        <f>STATS1003B!F542/1000</f>
        <v>0</v>
      </c>
      <c r="G541" s="85">
        <f>STATS1003B!G542/1000</f>
        <v>0</v>
      </c>
      <c r="H541" s="85">
        <f>STATS1003B!H542/1000</f>
        <v>0</v>
      </c>
      <c r="I541" s="85">
        <f>STATS1003B!I542/1000</f>
        <v>0</v>
      </c>
      <c r="J541" s="85">
        <f>STATS1003B!J542/1000</f>
        <v>0</v>
      </c>
      <c r="K541" s="85">
        <f>STATS1003B!K542/1000</f>
        <v>0</v>
      </c>
      <c r="L541" s="85">
        <f>STATS1003B!L542/1000</f>
        <v>0</v>
      </c>
      <c r="M541" s="85">
        <f>STATS1003B!M542/1000</f>
        <v>0</v>
      </c>
      <c r="N541" s="85">
        <f>STATS1003B!N542/1000</f>
        <v>1511.5823</v>
      </c>
      <c r="O541" s="85">
        <f>STATS1003B!O542/1000</f>
        <v>0</v>
      </c>
      <c r="P541" s="85">
        <f>STATS1003B!P542/1000</f>
        <v>1511.5823</v>
      </c>
      <c r="Q541" s="85">
        <f>STATS1003B!Q542/1000</f>
        <v>0</v>
      </c>
      <c r="R541" s="85">
        <f>STATS1003B!R542/1000</f>
        <v>0</v>
      </c>
      <c r="S541" s="85">
        <f>STATS1003B!S542/1000</f>
        <v>0</v>
      </c>
      <c r="T541" s="85">
        <f>STATS1003B!T542/1000</f>
        <v>0</v>
      </c>
      <c r="U541" s="85">
        <f>STATS1003B!U542/1000</f>
        <v>1511.5823</v>
      </c>
      <c r="V541" s="85">
        <f>STATS1003B!V542/1000</f>
        <v>1511.5823</v>
      </c>
      <c r="W541" s="85">
        <f>STATS1003B!W542/1000</f>
        <v>0</v>
      </c>
      <c r="X541" s="85">
        <f t="shared" si="63"/>
        <v>1511.5823</v>
      </c>
      <c r="Y541" s="85">
        <f>STATS1003B!Y542/1000</f>
        <v>0</v>
      </c>
      <c r="Z541" s="85">
        <f t="shared" si="64"/>
        <v>0</v>
      </c>
      <c r="AA541" s="69">
        <f>STATS1003B!AA542/1000</f>
        <v>1511.5823</v>
      </c>
      <c r="AB541" s="69">
        <f>STATS1003B!AB542/1000</f>
        <v>0</v>
      </c>
    </row>
    <row r="542" spans="1:28" hidden="1" x14ac:dyDescent="0.3">
      <c r="A542" s="117"/>
      <c r="C542" s="68" t="s">
        <v>178</v>
      </c>
      <c r="D542" s="68" t="s">
        <v>179</v>
      </c>
      <c r="E542" s="85">
        <f>STATS1003B!E543/1000</f>
        <v>274.87628999999998</v>
      </c>
      <c r="F542" s="85">
        <f>STATS1003B!F543/1000</f>
        <v>0</v>
      </c>
      <c r="G542" s="85">
        <f>STATS1003B!G543/1000</f>
        <v>0</v>
      </c>
      <c r="H542" s="85">
        <f>STATS1003B!H543/1000</f>
        <v>0</v>
      </c>
      <c r="I542" s="85">
        <f>STATS1003B!I543/1000</f>
        <v>0</v>
      </c>
      <c r="J542" s="85">
        <f>STATS1003B!J543/1000</f>
        <v>0</v>
      </c>
      <c r="K542" s="85">
        <f>STATS1003B!K543/1000</f>
        <v>0</v>
      </c>
      <c r="L542" s="85">
        <f>STATS1003B!L543/1000</f>
        <v>0</v>
      </c>
      <c r="M542" s="85">
        <f>STATS1003B!M543/1000</f>
        <v>0</v>
      </c>
      <c r="N542" s="85">
        <f>STATS1003B!N543/1000</f>
        <v>274.87628999999998</v>
      </c>
      <c r="O542" s="85">
        <f>STATS1003B!O543/1000</f>
        <v>0</v>
      </c>
      <c r="P542" s="85">
        <f>STATS1003B!P543/1000</f>
        <v>274.87628999999998</v>
      </c>
      <c r="Q542" s="85">
        <f>STATS1003B!Q543/1000</f>
        <v>0</v>
      </c>
      <c r="R542" s="85">
        <f>STATS1003B!R543/1000</f>
        <v>0</v>
      </c>
      <c r="S542" s="85">
        <f>STATS1003B!S543/1000</f>
        <v>0</v>
      </c>
      <c r="T542" s="85">
        <f>STATS1003B!T543/1000</f>
        <v>0</v>
      </c>
      <c r="U542" s="85">
        <f>STATS1003B!U543/1000</f>
        <v>274.87628999999998</v>
      </c>
      <c r="V542" s="85">
        <f>STATS1003B!V543/1000</f>
        <v>274.87628999999998</v>
      </c>
      <c r="W542" s="85">
        <f>STATS1003B!W543/1000</f>
        <v>0</v>
      </c>
      <c r="X542" s="85">
        <f t="shared" ref="X542:X575" si="69">+H542+P542</f>
        <v>274.87628999999998</v>
      </c>
      <c r="Y542" s="85">
        <f>STATS1003B!Y543/1000</f>
        <v>0</v>
      </c>
      <c r="Z542" s="85">
        <f t="shared" si="64"/>
        <v>0</v>
      </c>
      <c r="AA542" s="69">
        <f>STATS1003B!AA543/1000</f>
        <v>274.87628999999998</v>
      </c>
      <c r="AB542" s="69">
        <f>STATS1003B!AB543/1000</f>
        <v>0</v>
      </c>
    </row>
    <row r="543" spans="1:28" hidden="1" x14ac:dyDescent="0.3">
      <c r="A543" s="117"/>
      <c r="C543" s="68" t="s">
        <v>159</v>
      </c>
      <c r="D543" s="87" t="s">
        <v>128</v>
      </c>
      <c r="E543" s="85">
        <f>STATS1003B!E544/1000</f>
        <v>1953.989</v>
      </c>
      <c r="F543" s="85">
        <f>STATS1003B!F544/1000</f>
        <v>0</v>
      </c>
      <c r="G543" s="85">
        <f>STATS1003B!G544/1000</f>
        <v>0</v>
      </c>
      <c r="H543" s="85">
        <f>STATS1003B!H544/1000</f>
        <v>0</v>
      </c>
      <c r="I543" s="85">
        <f>STATS1003B!I544/1000</f>
        <v>0</v>
      </c>
      <c r="J543" s="85">
        <f>STATS1003B!J544/1000</f>
        <v>0</v>
      </c>
      <c r="K543" s="85">
        <f>STATS1003B!K544/1000</f>
        <v>0</v>
      </c>
      <c r="L543" s="85">
        <f>STATS1003B!L544/1000</f>
        <v>0</v>
      </c>
      <c r="M543" s="85">
        <f>STATS1003B!M544/1000</f>
        <v>0</v>
      </c>
      <c r="N543" s="85">
        <f>STATS1003B!N544/1000</f>
        <v>1953.989</v>
      </c>
      <c r="O543" s="85">
        <f>STATS1003B!O544/1000</f>
        <v>0</v>
      </c>
      <c r="P543" s="85">
        <f>STATS1003B!P544/1000</f>
        <v>1953.989</v>
      </c>
      <c r="Q543" s="85">
        <f>STATS1003B!Q544/1000</f>
        <v>0</v>
      </c>
      <c r="R543" s="85">
        <f>STATS1003B!R544/1000</f>
        <v>0</v>
      </c>
      <c r="S543" s="85">
        <f>STATS1003B!S544/1000</f>
        <v>0</v>
      </c>
      <c r="T543" s="85">
        <f>STATS1003B!T544/1000</f>
        <v>0</v>
      </c>
      <c r="U543" s="85">
        <f>STATS1003B!U544/1000</f>
        <v>1953.989</v>
      </c>
      <c r="V543" s="85">
        <f>STATS1003B!V544/1000</f>
        <v>1953.989</v>
      </c>
      <c r="W543" s="85">
        <f>STATS1003B!W544/1000</f>
        <v>0</v>
      </c>
      <c r="X543" s="85">
        <f t="shared" si="69"/>
        <v>1953.989</v>
      </c>
      <c r="Y543" s="85">
        <f>STATS1003B!Y544/1000</f>
        <v>0</v>
      </c>
      <c r="Z543" s="85">
        <f t="shared" si="64"/>
        <v>0</v>
      </c>
      <c r="AA543" s="69">
        <f>STATS1003B!AA544/1000</f>
        <v>1953.989</v>
      </c>
      <c r="AB543" s="69">
        <f>STATS1003B!AB544/1000</f>
        <v>0</v>
      </c>
    </row>
    <row r="544" spans="1:28" hidden="1" x14ac:dyDescent="0.3">
      <c r="A544" s="117"/>
      <c r="E544" s="86" t="s">
        <v>29</v>
      </c>
      <c r="F544" s="86" t="s">
        <v>29</v>
      </c>
      <c r="G544" s="86" t="s">
        <v>29</v>
      </c>
      <c r="H544" s="86" t="s">
        <v>29</v>
      </c>
      <c r="I544" s="86" t="s">
        <v>29</v>
      </c>
      <c r="J544" s="86" t="s">
        <v>29</v>
      </c>
      <c r="K544" s="86" t="s">
        <v>29</v>
      </c>
      <c r="L544" s="86" t="s">
        <v>29</v>
      </c>
      <c r="M544" s="86" t="s">
        <v>29</v>
      </c>
      <c r="N544" s="86" t="s">
        <v>29</v>
      </c>
      <c r="O544" s="86" t="s">
        <v>29</v>
      </c>
      <c r="P544" s="86" t="s">
        <v>29</v>
      </c>
      <c r="Q544" s="86" t="s">
        <v>29</v>
      </c>
      <c r="R544" s="86" t="s">
        <v>29</v>
      </c>
      <c r="S544" s="86" t="s">
        <v>29</v>
      </c>
      <c r="T544" s="86" t="s">
        <v>29</v>
      </c>
      <c r="U544" s="86" t="s">
        <v>29</v>
      </c>
      <c r="V544" s="86" t="s">
        <v>29</v>
      </c>
      <c r="W544" s="86" t="s">
        <v>29</v>
      </c>
      <c r="X544" s="85" t="e">
        <f t="shared" si="69"/>
        <v>#VALUE!</v>
      </c>
      <c r="Y544" s="86" t="s">
        <v>29</v>
      </c>
      <c r="Z544" s="85" t="e">
        <f t="shared" si="64"/>
        <v>#VALUE!</v>
      </c>
      <c r="AA544" s="115" t="s">
        <v>29</v>
      </c>
      <c r="AB544" s="115" t="s">
        <v>29</v>
      </c>
    </row>
    <row r="545" spans="1:28" x14ac:dyDescent="0.3">
      <c r="A545" s="116"/>
      <c r="B545" s="68" t="s">
        <v>176</v>
      </c>
      <c r="E545" s="85">
        <f>6073797/1000</f>
        <v>6073.7969999999996</v>
      </c>
      <c r="F545" s="85">
        <f>SUM(F538:F543)</f>
        <v>2233.6017999999999</v>
      </c>
      <c r="G545" s="85">
        <f>SUM(G538:G543)</f>
        <v>0</v>
      </c>
      <c r="H545" s="85">
        <f>2233601/1000</f>
        <v>2233.6010000000001</v>
      </c>
      <c r="I545" s="85">
        <f t="shared" ref="I545:O545" si="70">SUM(I538:I543)</f>
        <v>0</v>
      </c>
      <c r="J545" s="85">
        <f t="shared" si="70"/>
        <v>0</v>
      </c>
      <c r="K545" s="85">
        <f t="shared" si="70"/>
        <v>0</v>
      </c>
      <c r="L545" s="85">
        <f t="shared" si="70"/>
        <v>0</v>
      </c>
      <c r="M545" s="85">
        <f t="shared" si="70"/>
        <v>2233.6017999999999</v>
      </c>
      <c r="N545" s="85">
        <f t="shared" si="70"/>
        <v>3840.1958299999997</v>
      </c>
      <c r="O545" s="85">
        <f t="shared" si="70"/>
        <v>0</v>
      </c>
      <c r="P545" s="85">
        <f>3840195/1000</f>
        <v>3840.1950000000002</v>
      </c>
      <c r="Q545" s="85">
        <f t="shared" ref="Q545:W545" si="71">SUM(Q538:Q543)</f>
        <v>0</v>
      </c>
      <c r="R545" s="85">
        <f t="shared" si="71"/>
        <v>0</v>
      </c>
      <c r="S545" s="85">
        <f t="shared" si="71"/>
        <v>0</v>
      </c>
      <c r="T545" s="85">
        <f t="shared" si="71"/>
        <v>0</v>
      </c>
      <c r="U545" s="85">
        <f t="shared" si="71"/>
        <v>3840.1958299999997</v>
      </c>
      <c r="V545" s="85">
        <f t="shared" si="71"/>
        <v>4643.1431700000003</v>
      </c>
      <c r="W545" s="85">
        <f t="shared" si="71"/>
        <v>0</v>
      </c>
      <c r="X545" s="85">
        <f t="shared" si="69"/>
        <v>6073.7960000000003</v>
      </c>
      <c r="Y545" s="85">
        <f>SUM(Y538:Y543)</f>
        <v>0</v>
      </c>
      <c r="Z545" s="85">
        <f t="shared" si="64"/>
        <v>9.9999999929423211E-4</v>
      </c>
      <c r="AA545" s="69">
        <f>SUM(AA538:AA543)</f>
        <v>6073.7976299999991</v>
      </c>
      <c r="AB545" s="69">
        <f>SUM(AB538:AB543)</f>
        <v>0</v>
      </c>
    </row>
    <row r="546" spans="1:28" hidden="1" x14ac:dyDescent="0.3">
      <c r="A546" s="117"/>
      <c r="E546" s="86" t="s">
        <v>29</v>
      </c>
      <c r="F546" s="86" t="s">
        <v>29</v>
      </c>
      <c r="G546" s="86" t="s">
        <v>29</v>
      </c>
      <c r="H546" s="86" t="s">
        <v>29</v>
      </c>
      <c r="I546" s="86" t="s">
        <v>29</v>
      </c>
      <c r="J546" s="86" t="s">
        <v>29</v>
      </c>
      <c r="K546" s="86" t="s">
        <v>29</v>
      </c>
      <c r="L546" s="86" t="s">
        <v>29</v>
      </c>
      <c r="M546" s="86" t="s">
        <v>29</v>
      </c>
      <c r="N546" s="86" t="s">
        <v>29</v>
      </c>
      <c r="O546" s="86" t="s">
        <v>29</v>
      </c>
      <c r="P546" s="86" t="s">
        <v>29</v>
      </c>
      <c r="Q546" s="86" t="s">
        <v>29</v>
      </c>
      <c r="R546" s="86" t="s">
        <v>29</v>
      </c>
      <c r="S546" s="86" t="s">
        <v>29</v>
      </c>
      <c r="T546" s="86" t="s">
        <v>29</v>
      </c>
      <c r="U546" s="86" t="s">
        <v>29</v>
      </c>
      <c r="V546" s="86" t="s">
        <v>29</v>
      </c>
      <c r="W546" s="86" t="s">
        <v>29</v>
      </c>
      <c r="X546" s="85" t="e">
        <f t="shared" si="69"/>
        <v>#VALUE!</v>
      </c>
      <c r="Y546" s="86" t="s">
        <v>29</v>
      </c>
      <c r="Z546" s="85" t="e">
        <f t="shared" si="64"/>
        <v>#VALUE!</v>
      </c>
      <c r="AA546" s="115" t="s">
        <v>29</v>
      </c>
      <c r="AB546" s="115" t="s">
        <v>29</v>
      </c>
    </row>
    <row r="547" spans="1:28" hidden="1" x14ac:dyDescent="0.3">
      <c r="A547" s="105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5">
        <f t="shared" si="69"/>
        <v>0</v>
      </c>
      <c r="Y547" s="84"/>
      <c r="Z547" s="85">
        <f t="shared" si="64"/>
        <v>0</v>
      </c>
      <c r="AA547" s="118"/>
    </row>
    <row r="548" spans="1:28" hidden="1" x14ac:dyDescent="0.3">
      <c r="A548" s="117"/>
      <c r="C548" s="68" t="s">
        <v>75</v>
      </c>
      <c r="D548" s="88" t="s">
        <v>76</v>
      </c>
      <c r="E548" s="85">
        <f>STATS1003B!E549/1000</f>
        <v>3840</v>
      </c>
      <c r="F548" s="85">
        <f>STATS1003B!F549/1000</f>
        <v>0</v>
      </c>
      <c r="G548" s="85">
        <f>STATS1003B!G549/1000</f>
        <v>0</v>
      </c>
      <c r="H548" s="85">
        <f>STATS1003B!H549/1000</f>
        <v>0</v>
      </c>
      <c r="I548" s="85">
        <f>STATS1003B!I549/1000</f>
        <v>0</v>
      </c>
      <c r="J548" s="85">
        <f>STATS1003B!J549/1000</f>
        <v>0</v>
      </c>
      <c r="K548" s="85">
        <f>STATS1003B!K549/1000</f>
        <v>0</v>
      </c>
      <c r="L548" s="85">
        <f>STATS1003B!L549/1000</f>
        <v>0</v>
      </c>
      <c r="M548" s="85">
        <f>STATS1003B!M549/1000</f>
        <v>0</v>
      </c>
      <c r="N548" s="85">
        <f>STATS1003B!N549/1000</f>
        <v>2924.0063399999999</v>
      </c>
      <c r="O548" s="85">
        <f>STATS1003B!O549/1000</f>
        <v>0</v>
      </c>
      <c r="P548" s="85">
        <f>STATS1003B!P549/1000</f>
        <v>2924.0063399999999</v>
      </c>
      <c r="Q548" s="85">
        <f>STATS1003B!Q549/1000</f>
        <v>0</v>
      </c>
      <c r="R548" s="85">
        <f>STATS1003B!R549/1000</f>
        <v>0</v>
      </c>
      <c r="S548" s="85">
        <f>STATS1003B!S549/1000</f>
        <v>0</v>
      </c>
      <c r="T548" s="85">
        <f>STATS1003B!T549/1000</f>
        <v>0</v>
      </c>
      <c r="U548" s="85">
        <f>STATS1003B!U549/1000</f>
        <v>2924.0063399999999</v>
      </c>
      <c r="V548" s="85">
        <f>STATS1003B!V549/1000</f>
        <v>2924.0063399999999</v>
      </c>
      <c r="W548" s="85">
        <f>STATS1003B!W549/1000</f>
        <v>915.9936600000002</v>
      </c>
      <c r="X548" s="85">
        <f t="shared" si="69"/>
        <v>2924.0063399999999</v>
      </c>
      <c r="Y548" s="85">
        <f>STATS1003B!Y549/1000</f>
        <v>0</v>
      </c>
      <c r="Z548" s="85">
        <f t="shared" si="64"/>
        <v>915.99366000000009</v>
      </c>
      <c r="AA548" s="69">
        <f>STATS1003B!AA549/1000</f>
        <v>2924.0063399999999</v>
      </c>
      <c r="AB548" s="69">
        <f>STATS1003B!AB549/1000</f>
        <v>915.9936600000002</v>
      </c>
    </row>
    <row r="549" spans="1:28" hidden="1" x14ac:dyDescent="0.3">
      <c r="A549" s="117"/>
      <c r="C549" s="71" t="s">
        <v>109</v>
      </c>
      <c r="D549" s="88" t="s">
        <v>60</v>
      </c>
      <c r="E549" s="85">
        <f>STATS1003B!E550/1000</f>
        <v>2500</v>
      </c>
      <c r="F549" s="85">
        <f>STATS1003B!F550/1000</f>
        <v>2500</v>
      </c>
      <c r="G549" s="85">
        <f>STATS1003B!G550/1000</f>
        <v>0</v>
      </c>
      <c r="H549" s="85">
        <f>STATS1003B!H550/1000</f>
        <v>2500</v>
      </c>
      <c r="I549" s="85">
        <f>STATS1003B!I550/1000</f>
        <v>0</v>
      </c>
      <c r="J549" s="85">
        <f>STATS1003B!J550/1000</f>
        <v>0</v>
      </c>
      <c r="K549" s="85">
        <f>STATS1003B!K550/1000</f>
        <v>0</v>
      </c>
      <c r="L549" s="85">
        <f>STATS1003B!L550/1000</f>
        <v>0</v>
      </c>
      <c r="M549" s="85">
        <f>STATS1003B!M550/1000</f>
        <v>2500</v>
      </c>
      <c r="N549" s="85">
        <f>STATS1003B!N550/1000</f>
        <v>0</v>
      </c>
      <c r="O549" s="85">
        <f>STATS1003B!O550/1000</f>
        <v>0</v>
      </c>
      <c r="P549" s="85">
        <f>STATS1003B!P550/1000</f>
        <v>0</v>
      </c>
      <c r="Q549" s="85">
        <f>STATS1003B!Q550/1000</f>
        <v>0</v>
      </c>
      <c r="R549" s="85">
        <f>STATS1003B!R550/1000</f>
        <v>0</v>
      </c>
      <c r="S549" s="85">
        <f>STATS1003B!S550/1000</f>
        <v>0</v>
      </c>
      <c r="T549" s="85">
        <f>STATS1003B!T550/1000</f>
        <v>0</v>
      </c>
      <c r="U549" s="85">
        <f>STATS1003B!U550/1000</f>
        <v>0</v>
      </c>
      <c r="V549" s="85">
        <f>STATS1003B!V550/1000</f>
        <v>2500</v>
      </c>
      <c r="W549" s="85">
        <f>STATS1003B!W550/1000</f>
        <v>0</v>
      </c>
      <c r="X549" s="85">
        <f t="shared" si="69"/>
        <v>2500</v>
      </c>
      <c r="Y549" s="85">
        <f>STATS1003B!Y550/1000</f>
        <v>0</v>
      </c>
      <c r="Z549" s="85">
        <f t="shared" si="64"/>
        <v>0</v>
      </c>
      <c r="AA549" s="69">
        <f>STATS1003B!AA550/1000</f>
        <v>2500</v>
      </c>
      <c r="AB549" s="69">
        <f>STATS1003B!AB550/1000</f>
        <v>0</v>
      </c>
    </row>
    <row r="550" spans="1:28" hidden="1" x14ac:dyDescent="0.3">
      <c r="A550" s="117"/>
      <c r="C550" s="68" t="s">
        <v>57</v>
      </c>
      <c r="D550" s="87" t="s">
        <v>60</v>
      </c>
      <c r="E550" s="85">
        <f>STATS1003B!E551/1000</f>
        <v>2483.2620000000002</v>
      </c>
      <c r="F550" s="85">
        <f>STATS1003B!F551/1000</f>
        <v>2483.2620000000002</v>
      </c>
      <c r="G550" s="85">
        <f>STATS1003B!G551/1000</f>
        <v>0</v>
      </c>
      <c r="H550" s="85">
        <f>STATS1003B!H551/1000</f>
        <v>2483.2620000000002</v>
      </c>
      <c r="I550" s="85">
        <f>STATS1003B!I551/1000</f>
        <v>0</v>
      </c>
      <c r="J550" s="85">
        <f>STATS1003B!J551/1000</f>
        <v>0</v>
      </c>
      <c r="K550" s="85">
        <f>STATS1003B!K551/1000</f>
        <v>0</v>
      </c>
      <c r="L550" s="85">
        <f>STATS1003B!L551/1000</f>
        <v>0</v>
      </c>
      <c r="M550" s="85">
        <f>STATS1003B!M551/1000</f>
        <v>2483.2620000000002</v>
      </c>
      <c r="N550" s="85">
        <f>STATS1003B!N551/1000</f>
        <v>0</v>
      </c>
      <c r="O550" s="85">
        <f>STATS1003B!O551/1000</f>
        <v>0</v>
      </c>
      <c r="P550" s="85">
        <f>STATS1003B!P551/1000</f>
        <v>0</v>
      </c>
      <c r="Q550" s="85">
        <f>STATS1003B!Q551/1000</f>
        <v>0</v>
      </c>
      <c r="R550" s="85">
        <f>STATS1003B!R551/1000</f>
        <v>0</v>
      </c>
      <c r="S550" s="85">
        <f>STATS1003B!S551/1000</f>
        <v>0</v>
      </c>
      <c r="T550" s="85">
        <f>STATS1003B!T551/1000</f>
        <v>0</v>
      </c>
      <c r="U550" s="85">
        <f>STATS1003B!U551/1000</f>
        <v>0</v>
      </c>
      <c r="V550" s="85">
        <f>STATS1003B!V551/1000</f>
        <v>2483.2620000000002</v>
      </c>
      <c r="W550" s="85">
        <f>STATS1003B!W551/1000</f>
        <v>0</v>
      </c>
      <c r="X550" s="85">
        <f t="shared" si="69"/>
        <v>2483.2620000000002</v>
      </c>
      <c r="Y550" s="85">
        <f>STATS1003B!Y551/1000</f>
        <v>0</v>
      </c>
      <c r="Z550" s="85">
        <f t="shared" si="64"/>
        <v>0</v>
      </c>
      <c r="AA550" s="69">
        <f>STATS1003B!AA551/1000</f>
        <v>2483.2620000000002</v>
      </c>
      <c r="AB550" s="69">
        <f>STATS1003B!AB551/1000</f>
        <v>0</v>
      </c>
    </row>
    <row r="551" spans="1:28" hidden="1" x14ac:dyDescent="0.3">
      <c r="A551" s="117"/>
      <c r="C551" s="68" t="s">
        <v>1064</v>
      </c>
      <c r="D551" s="87"/>
      <c r="E551" s="85">
        <f>STATS1003B!E552/1000</f>
        <v>569</v>
      </c>
      <c r="F551" s="85">
        <f>STATS1003B!F552/1000</f>
        <v>569</v>
      </c>
      <c r="G551" s="85">
        <f>STATS1003B!G552/1000</f>
        <v>0</v>
      </c>
      <c r="H551" s="85">
        <f>STATS1003B!H552/1000</f>
        <v>569</v>
      </c>
      <c r="I551" s="85">
        <f>STATS1003B!I552/1000</f>
        <v>0</v>
      </c>
      <c r="J551" s="85">
        <f>STATS1003B!J552/1000</f>
        <v>0</v>
      </c>
      <c r="K551" s="85">
        <f>STATS1003B!K552/1000</f>
        <v>0</v>
      </c>
      <c r="L551" s="85">
        <f>STATS1003B!L552/1000</f>
        <v>0</v>
      </c>
      <c r="M551" s="85">
        <f>STATS1003B!M552/1000</f>
        <v>569</v>
      </c>
      <c r="N551" s="85">
        <f>STATS1003B!N552/1000</f>
        <v>0</v>
      </c>
      <c r="O551" s="85">
        <f>STATS1003B!O552/1000</f>
        <v>0</v>
      </c>
      <c r="P551" s="85">
        <f>STATS1003B!P552/1000</f>
        <v>0</v>
      </c>
      <c r="Q551" s="85">
        <f>STATS1003B!Q552/1000</f>
        <v>0</v>
      </c>
      <c r="R551" s="85">
        <f>STATS1003B!R552/1000</f>
        <v>0</v>
      </c>
      <c r="S551" s="85">
        <f>STATS1003B!S552/1000</f>
        <v>0</v>
      </c>
      <c r="T551" s="85">
        <f>STATS1003B!T552/1000</f>
        <v>0</v>
      </c>
      <c r="U551" s="85">
        <f>STATS1003B!U552/1000</f>
        <v>0</v>
      </c>
      <c r="V551" s="85">
        <f>STATS1003B!V552/1000</f>
        <v>569</v>
      </c>
      <c r="W551" s="85">
        <f>STATS1003B!W552/1000</f>
        <v>0</v>
      </c>
      <c r="X551" s="85">
        <f t="shared" si="69"/>
        <v>569</v>
      </c>
      <c r="Y551" s="85">
        <f>STATS1003B!Y552/1000</f>
        <v>0</v>
      </c>
      <c r="Z551" s="85">
        <f t="shared" si="64"/>
        <v>0</v>
      </c>
      <c r="AA551" s="69">
        <f>STATS1003B!AA552/1000</f>
        <v>569</v>
      </c>
      <c r="AB551" s="69">
        <f>STATS1003B!AB552/1000</f>
        <v>0</v>
      </c>
    </row>
    <row r="552" spans="1:28" hidden="1" x14ac:dyDescent="0.3">
      <c r="A552" s="117"/>
      <c r="C552" s="68" t="s">
        <v>930</v>
      </c>
      <c r="D552" s="90" t="s">
        <v>1072</v>
      </c>
      <c r="E552" s="85">
        <f>STATS1003B!E553/1000</f>
        <v>657</v>
      </c>
      <c r="F552" s="85">
        <f>STATS1003B!F553/1000</f>
        <v>657</v>
      </c>
      <c r="G552" s="85">
        <f>STATS1003B!G553/1000</f>
        <v>0</v>
      </c>
      <c r="H552" s="85">
        <f>STATS1003B!H553/1000</f>
        <v>657</v>
      </c>
      <c r="I552" s="85">
        <f>STATS1003B!I553/1000</f>
        <v>0</v>
      </c>
      <c r="J552" s="85">
        <f>STATS1003B!J553/1000</f>
        <v>0</v>
      </c>
      <c r="K552" s="85">
        <f>STATS1003B!K553/1000</f>
        <v>0</v>
      </c>
      <c r="L552" s="85">
        <f>STATS1003B!L553/1000</f>
        <v>0</v>
      </c>
      <c r="M552" s="85">
        <f>STATS1003B!M553/1000</f>
        <v>657</v>
      </c>
      <c r="N552" s="85">
        <f>STATS1003B!N553/1000</f>
        <v>0</v>
      </c>
      <c r="O552" s="85">
        <f>STATS1003B!O553/1000</f>
        <v>0</v>
      </c>
      <c r="P552" s="85">
        <f>STATS1003B!P553/1000</f>
        <v>0</v>
      </c>
      <c r="Q552" s="85">
        <f>STATS1003B!Q553/1000</f>
        <v>0</v>
      </c>
      <c r="R552" s="85">
        <f>STATS1003B!R553/1000</f>
        <v>0</v>
      </c>
      <c r="S552" s="85">
        <f>STATS1003B!S553/1000</f>
        <v>0</v>
      </c>
      <c r="T552" s="85">
        <f>STATS1003B!T553/1000</f>
        <v>0</v>
      </c>
      <c r="U552" s="85">
        <f>STATS1003B!U553/1000</f>
        <v>0</v>
      </c>
      <c r="V552" s="85">
        <f>STATS1003B!V553/1000</f>
        <v>657</v>
      </c>
      <c r="W552" s="85">
        <f>STATS1003B!W553/1000</f>
        <v>0</v>
      </c>
      <c r="X552" s="85">
        <f t="shared" si="69"/>
        <v>657</v>
      </c>
      <c r="Y552" s="85">
        <f>STATS1003B!Y553/1000</f>
        <v>0</v>
      </c>
      <c r="Z552" s="85">
        <f t="shared" si="64"/>
        <v>0</v>
      </c>
      <c r="AA552" s="69">
        <f>STATS1003B!AA553/1000</f>
        <v>657</v>
      </c>
      <c r="AB552" s="69">
        <f>STATS1003B!AB553/1000</f>
        <v>0</v>
      </c>
    </row>
    <row r="553" spans="1:28" hidden="1" x14ac:dyDescent="0.3">
      <c r="A553" s="117"/>
      <c r="C553" s="68" t="s">
        <v>181</v>
      </c>
      <c r="D553" s="87" t="s">
        <v>73</v>
      </c>
      <c r="E553" s="85">
        <f>STATS1003B!E554/1000</f>
        <v>4585.2998499999994</v>
      </c>
      <c r="F553" s="85">
        <f>STATS1003B!F554/1000</f>
        <v>4585.2998499999994</v>
      </c>
      <c r="G553" s="85">
        <f>STATS1003B!G554/1000</f>
        <v>0</v>
      </c>
      <c r="H553" s="85">
        <f>STATS1003B!H554/1000</f>
        <v>4585.2998499999994</v>
      </c>
      <c r="I553" s="85">
        <f>STATS1003B!I554/1000</f>
        <v>0</v>
      </c>
      <c r="J553" s="85">
        <f>STATS1003B!J554/1000</f>
        <v>0</v>
      </c>
      <c r="K553" s="85">
        <f>STATS1003B!K554/1000</f>
        <v>0</v>
      </c>
      <c r="L553" s="85">
        <f>STATS1003B!L554/1000</f>
        <v>0</v>
      </c>
      <c r="M553" s="85">
        <f>STATS1003B!M554/1000</f>
        <v>4585.2998499999994</v>
      </c>
      <c r="N553" s="85">
        <f>STATS1003B!N554/1000</f>
        <v>0</v>
      </c>
      <c r="O553" s="85">
        <f>STATS1003B!O554/1000</f>
        <v>0</v>
      </c>
      <c r="P553" s="85">
        <f>STATS1003B!P554/1000</f>
        <v>0</v>
      </c>
      <c r="Q553" s="85">
        <f>STATS1003B!Q554/1000</f>
        <v>0</v>
      </c>
      <c r="R553" s="85">
        <f>STATS1003B!R554/1000</f>
        <v>0</v>
      </c>
      <c r="S553" s="85">
        <f>STATS1003B!S554/1000</f>
        <v>0</v>
      </c>
      <c r="T553" s="85">
        <f>STATS1003B!T554/1000</f>
        <v>0</v>
      </c>
      <c r="U553" s="85">
        <f>STATS1003B!U554/1000</f>
        <v>0</v>
      </c>
      <c r="V553" s="85">
        <f>STATS1003B!V554/1000</f>
        <v>4585.2998499999994</v>
      </c>
      <c r="W553" s="85">
        <f>STATS1003B!W554/1000</f>
        <v>0</v>
      </c>
      <c r="X553" s="85">
        <f t="shared" si="69"/>
        <v>4585.2998499999994</v>
      </c>
      <c r="Y553" s="85">
        <f>STATS1003B!Y554/1000</f>
        <v>0</v>
      </c>
      <c r="Z553" s="85">
        <f t="shared" si="64"/>
        <v>0</v>
      </c>
      <c r="AA553" s="69">
        <f>STATS1003B!AA554/1000</f>
        <v>4585.2998499999994</v>
      </c>
      <c r="AB553" s="69">
        <f>STATS1003B!AB554/1000</f>
        <v>0</v>
      </c>
    </row>
    <row r="554" spans="1:28" hidden="1" x14ac:dyDescent="0.3">
      <c r="A554" s="117"/>
      <c r="C554" s="68" t="s">
        <v>57</v>
      </c>
      <c r="D554" s="90" t="s">
        <v>61</v>
      </c>
      <c r="E554" s="85">
        <f>STATS1003B!E555/1000</f>
        <v>746.94429000000002</v>
      </c>
      <c r="F554" s="85">
        <f>STATS1003B!F555/1000</f>
        <v>746.94429000000002</v>
      </c>
      <c r="G554" s="85">
        <f>STATS1003B!G555/1000</f>
        <v>0</v>
      </c>
      <c r="H554" s="85">
        <f>STATS1003B!H555/1000</f>
        <v>746.94429000000002</v>
      </c>
      <c r="I554" s="85">
        <f>STATS1003B!I555/1000</f>
        <v>0</v>
      </c>
      <c r="J554" s="85">
        <f>STATS1003B!J555/1000</f>
        <v>0</v>
      </c>
      <c r="K554" s="85">
        <f>STATS1003B!K555/1000</f>
        <v>0</v>
      </c>
      <c r="L554" s="85">
        <f>STATS1003B!L555/1000</f>
        <v>0</v>
      </c>
      <c r="M554" s="85">
        <f>STATS1003B!M555/1000</f>
        <v>746.94429000000002</v>
      </c>
      <c r="N554" s="85">
        <f>STATS1003B!N555/1000</f>
        <v>0</v>
      </c>
      <c r="O554" s="85">
        <f>STATS1003B!O555/1000</f>
        <v>0</v>
      </c>
      <c r="P554" s="85">
        <f>STATS1003B!P555/1000</f>
        <v>0</v>
      </c>
      <c r="Q554" s="85">
        <f>STATS1003B!Q555/1000</f>
        <v>0</v>
      </c>
      <c r="R554" s="85">
        <f>STATS1003B!R555/1000</f>
        <v>0</v>
      </c>
      <c r="S554" s="85">
        <f>STATS1003B!S555/1000</f>
        <v>0</v>
      </c>
      <c r="T554" s="85">
        <f>STATS1003B!T555/1000</f>
        <v>0</v>
      </c>
      <c r="U554" s="85">
        <f>STATS1003B!U555/1000</f>
        <v>0</v>
      </c>
      <c r="V554" s="85">
        <f>STATS1003B!V555/1000</f>
        <v>746.94429000000002</v>
      </c>
      <c r="W554" s="85">
        <f>STATS1003B!W555/1000</f>
        <v>0</v>
      </c>
      <c r="X554" s="85">
        <f t="shared" si="69"/>
        <v>746.94429000000002</v>
      </c>
      <c r="Y554" s="85">
        <f>STATS1003B!Y555/1000</f>
        <v>0</v>
      </c>
      <c r="Z554" s="85">
        <f t="shared" si="64"/>
        <v>0</v>
      </c>
      <c r="AA554" s="69">
        <f>STATS1003B!AA555/1000</f>
        <v>746.94429000000002</v>
      </c>
      <c r="AB554" s="69">
        <f>STATS1003B!AB555/1000</f>
        <v>0</v>
      </c>
    </row>
    <row r="555" spans="1:28" hidden="1" x14ac:dyDescent="0.3">
      <c r="A555" s="117"/>
      <c r="E555" s="86" t="s">
        <v>29</v>
      </c>
      <c r="F555" s="86" t="s">
        <v>29</v>
      </c>
      <c r="G555" s="86" t="s">
        <v>29</v>
      </c>
      <c r="H555" s="86" t="s">
        <v>29</v>
      </c>
      <c r="I555" s="86" t="s">
        <v>29</v>
      </c>
      <c r="J555" s="86" t="s">
        <v>29</v>
      </c>
      <c r="K555" s="86" t="s">
        <v>29</v>
      </c>
      <c r="L555" s="86" t="s">
        <v>29</v>
      </c>
      <c r="M555" s="86" t="s">
        <v>29</v>
      </c>
      <c r="N555" s="86" t="s">
        <v>29</v>
      </c>
      <c r="O555" s="86" t="s">
        <v>29</v>
      </c>
      <c r="P555" s="86" t="s">
        <v>29</v>
      </c>
      <c r="Q555" s="86" t="s">
        <v>29</v>
      </c>
      <c r="R555" s="86" t="s">
        <v>29</v>
      </c>
      <c r="S555" s="86" t="s">
        <v>29</v>
      </c>
      <c r="T555" s="86" t="s">
        <v>29</v>
      </c>
      <c r="U555" s="86" t="s">
        <v>29</v>
      </c>
      <c r="V555" s="86" t="s">
        <v>29</v>
      </c>
      <c r="W555" s="86" t="s">
        <v>29</v>
      </c>
      <c r="X555" s="85" t="e">
        <f t="shared" si="69"/>
        <v>#VALUE!</v>
      </c>
      <c r="Y555" s="86" t="s">
        <v>29</v>
      </c>
      <c r="Z555" s="85" t="e">
        <f t="shared" si="64"/>
        <v>#VALUE!</v>
      </c>
      <c r="AA555" s="115" t="s">
        <v>29</v>
      </c>
      <c r="AB555" s="115" t="s">
        <v>29</v>
      </c>
    </row>
    <row r="556" spans="1:28" x14ac:dyDescent="0.3">
      <c r="A556" s="117"/>
      <c r="B556" s="68" t="s">
        <v>1289</v>
      </c>
      <c r="E556" s="92">
        <f>68804762.25/1000</f>
        <v>68804.76225</v>
      </c>
      <c r="F556" s="92"/>
      <c r="G556" s="92"/>
      <c r="H556" s="92">
        <f>68804762.25/1000</f>
        <v>68804.76225</v>
      </c>
      <c r="I556" s="92"/>
      <c r="J556" s="92"/>
      <c r="K556" s="92"/>
      <c r="L556" s="92"/>
      <c r="M556" s="92"/>
      <c r="N556" s="92"/>
      <c r="O556" s="92"/>
      <c r="P556" s="92">
        <v>0</v>
      </c>
      <c r="Q556" s="92"/>
      <c r="R556" s="92"/>
      <c r="S556" s="92"/>
      <c r="T556" s="92"/>
      <c r="U556" s="92"/>
      <c r="V556" s="92"/>
      <c r="W556" s="92"/>
      <c r="X556" s="92">
        <f t="shared" si="69"/>
        <v>68804.76225</v>
      </c>
      <c r="Y556" s="92"/>
      <c r="Z556" s="85">
        <f t="shared" si="64"/>
        <v>0</v>
      </c>
      <c r="AA556" s="115"/>
      <c r="AB556" s="115"/>
    </row>
    <row r="557" spans="1:28" x14ac:dyDescent="0.3">
      <c r="A557" s="117"/>
      <c r="B557" s="68" t="s">
        <v>1290</v>
      </c>
      <c r="E557" s="92">
        <f>46467867.69/1000</f>
        <v>46467.867689999999</v>
      </c>
      <c r="F557" s="92"/>
      <c r="G557" s="92"/>
      <c r="H557" s="92">
        <f>46467867.69/1000</f>
        <v>46467.867689999999</v>
      </c>
      <c r="I557" s="92"/>
      <c r="J557" s="92"/>
      <c r="K557" s="92"/>
      <c r="L557" s="92"/>
      <c r="M557" s="92"/>
      <c r="N557" s="92"/>
      <c r="O557" s="92"/>
      <c r="P557" s="92">
        <v>0</v>
      </c>
      <c r="Q557" s="92"/>
      <c r="R557" s="92"/>
      <c r="S557" s="92"/>
      <c r="T557" s="92"/>
      <c r="U557" s="92"/>
      <c r="V557" s="92"/>
      <c r="W557" s="92"/>
      <c r="X557" s="92">
        <f t="shared" si="69"/>
        <v>46467.867689999999</v>
      </c>
      <c r="Y557" s="92"/>
      <c r="Z557" s="92">
        <f t="shared" si="64"/>
        <v>0</v>
      </c>
      <c r="AA557" s="115"/>
      <c r="AB557" s="115"/>
    </row>
    <row r="558" spans="1:28" x14ac:dyDescent="0.3">
      <c r="A558" s="116"/>
      <c r="B558" s="68" t="s">
        <v>180</v>
      </c>
      <c r="E558" s="85">
        <f>15381506/1000</f>
        <v>15381.505999999999</v>
      </c>
      <c r="F558" s="85">
        <f>SUM(F548:F554)</f>
        <v>11541.50614</v>
      </c>
      <c r="G558" s="85">
        <f>SUM(G548:G554)</f>
        <v>0</v>
      </c>
      <c r="H558" s="85">
        <f>11541506/1000</f>
        <v>11541.505999999999</v>
      </c>
      <c r="I558" s="85">
        <f t="shared" ref="I558:O558" si="72">SUM(I548:I554)</f>
        <v>0</v>
      </c>
      <c r="J558" s="85">
        <f t="shared" si="72"/>
        <v>0</v>
      </c>
      <c r="K558" s="85">
        <f t="shared" si="72"/>
        <v>0</v>
      </c>
      <c r="L558" s="85">
        <f t="shared" si="72"/>
        <v>0</v>
      </c>
      <c r="M558" s="85">
        <f t="shared" si="72"/>
        <v>11541.50614</v>
      </c>
      <c r="N558" s="85">
        <f t="shared" si="72"/>
        <v>2924.0063399999999</v>
      </c>
      <c r="O558" s="85">
        <f t="shared" si="72"/>
        <v>0</v>
      </c>
      <c r="P558" s="85">
        <f>2924006/1000</f>
        <v>2924.0059999999999</v>
      </c>
      <c r="Q558" s="85">
        <f t="shared" ref="Q558:W558" si="73">SUM(Q548:Q554)</f>
        <v>0</v>
      </c>
      <c r="R558" s="85">
        <f t="shared" si="73"/>
        <v>0</v>
      </c>
      <c r="S558" s="85">
        <f t="shared" si="73"/>
        <v>0</v>
      </c>
      <c r="T558" s="85">
        <f t="shared" si="73"/>
        <v>0</v>
      </c>
      <c r="U558" s="85">
        <f t="shared" si="73"/>
        <v>2924.0063399999999</v>
      </c>
      <c r="V558" s="85">
        <f t="shared" si="73"/>
        <v>14465.512479999999</v>
      </c>
      <c r="W558" s="85">
        <f t="shared" si="73"/>
        <v>915.9936600000002</v>
      </c>
      <c r="X558" s="85">
        <f t="shared" si="69"/>
        <v>14465.511999999999</v>
      </c>
      <c r="Y558" s="85">
        <f>SUM(Y548:Y554)</f>
        <v>0</v>
      </c>
      <c r="Z558" s="85">
        <f t="shared" si="64"/>
        <v>915.9940000000006</v>
      </c>
      <c r="AA558" s="69">
        <f>SUM(AA548:AA554)</f>
        <v>14465.512479999999</v>
      </c>
      <c r="AB558" s="69">
        <f>SUM(AB548:AB554)</f>
        <v>915.9936600000002</v>
      </c>
    </row>
    <row r="559" spans="1:28" hidden="1" x14ac:dyDescent="0.3">
      <c r="A559" s="117"/>
      <c r="E559" s="86" t="s">
        <v>29</v>
      </c>
      <c r="F559" s="86" t="s">
        <v>29</v>
      </c>
      <c r="G559" s="86" t="s">
        <v>29</v>
      </c>
      <c r="H559" s="86" t="s">
        <v>29</v>
      </c>
      <c r="I559" s="86" t="s">
        <v>29</v>
      </c>
      <c r="J559" s="86" t="s">
        <v>29</v>
      </c>
      <c r="K559" s="86" t="s">
        <v>29</v>
      </c>
      <c r="L559" s="86" t="s">
        <v>29</v>
      </c>
      <c r="M559" s="86" t="s">
        <v>29</v>
      </c>
      <c r="N559" s="86" t="s">
        <v>29</v>
      </c>
      <c r="O559" s="86" t="s">
        <v>29</v>
      </c>
      <c r="P559" s="86" t="s">
        <v>29</v>
      </c>
      <c r="Q559" s="86" t="s">
        <v>29</v>
      </c>
      <c r="R559" s="86" t="s">
        <v>29</v>
      </c>
      <c r="S559" s="86" t="s">
        <v>29</v>
      </c>
      <c r="T559" s="86" t="s">
        <v>29</v>
      </c>
      <c r="U559" s="86" t="s">
        <v>29</v>
      </c>
      <c r="V559" s="86" t="s">
        <v>29</v>
      </c>
      <c r="W559" s="86" t="s">
        <v>29</v>
      </c>
      <c r="X559" s="85" t="e">
        <f t="shared" si="69"/>
        <v>#VALUE!</v>
      </c>
      <c r="Y559" s="86" t="s">
        <v>29</v>
      </c>
      <c r="Z559" s="85" t="e">
        <f t="shared" si="64"/>
        <v>#VALUE!</v>
      </c>
      <c r="AA559" s="115" t="s">
        <v>29</v>
      </c>
      <c r="AB559" s="115" t="s">
        <v>29</v>
      </c>
    </row>
    <row r="560" spans="1:28" hidden="1" x14ac:dyDescent="0.3">
      <c r="A560" s="105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5">
        <f t="shared" si="69"/>
        <v>0</v>
      </c>
      <c r="Y560" s="84"/>
      <c r="Z560" s="85">
        <f t="shared" si="64"/>
        <v>0</v>
      </c>
      <c r="AA560" s="118"/>
    </row>
    <row r="561" spans="1:28" hidden="1" x14ac:dyDescent="0.3">
      <c r="A561" s="105"/>
      <c r="D561" s="87" t="s">
        <v>88</v>
      </c>
      <c r="E561" s="85">
        <f>STATS1003B!E560/1000</f>
        <v>545.29246000000001</v>
      </c>
      <c r="F561" s="85">
        <f>STATS1003B!F560/1000</f>
        <v>545.29246000000001</v>
      </c>
      <c r="G561" s="85">
        <f>STATS1003B!G560/1000</f>
        <v>0</v>
      </c>
      <c r="H561" s="85">
        <f>STATS1003B!H560/1000</f>
        <v>545.29246000000001</v>
      </c>
      <c r="I561" s="85">
        <f>STATS1003B!I560/1000</f>
        <v>0</v>
      </c>
      <c r="J561" s="85">
        <f>STATS1003B!J560/1000</f>
        <v>0</v>
      </c>
      <c r="K561" s="85">
        <f>STATS1003B!K560/1000</f>
        <v>0</v>
      </c>
      <c r="L561" s="85">
        <f>STATS1003B!L560/1000</f>
        <v>0</v>
      </c>
      <c r="M561" s="85">
        <f>STATS1003B!M560/1000</f>
        <v>545.29246000000001</v>
      </c>
      <c r="N561" s="85">
        <f>STATS1003B!N560/1000</f>
        <v>0</v>
      </c>
      <c r="O561" s="85">
        <f>STATS1003B!O560/1000</f>
        <v>0</v>
      </c>
      <c r="P561" s="85">
        <f>STATS1003B!P560/1000</f>
        <v>0</v>
      </c>
      <c r="Q561" s="85">
        <f>STATS1003B!Q560/1000</f>
        <v>0</v>
      </c>
      <c r="R561" s="85">
        <f>STATS1003B!R560/1000</f>
        <v>0</v>
      </c>
      <c r="S561" s="85">
        <f>STATS1003B!S560/1000</f>
        <v>0</v>
      </c>
      <c r="T561" s="85">
        <f>STATS1003B!T560/1000</f>
        <v>0</v>
      </c>
      <c r="U561" s="85">
        <f>STATS1003B!U560/1000</f>
        <v>0</v>
      </c>
      <c r="V561" s="85">
        <f>STATS1003B!V560/1000</f>
        <v>545.29246000000001</v>
      </c>
      <c r="W561" s="85">
        <f>STATS1003B!W560/1000</f>
        <v>0</v>
      </c>
      <c r="X561" s="85">
        <f t="shared" si="69"/>
        <v>545.29246000000001</v>
      </c>
      <c r="Y561" s="85">
        <f>STATS1003B!Y560/1000</f>
        <v>0</v>
      </c>
      <c r="Z561" s="85">
        <f t="shared" si="64"/>
        <v>0</v>
      </c>
      <c r="AA561" s="69">
        <f>STATS1003B!AA560/1000</f>
        <v>545.29246000000001</v>
      </c>
      <c r="AB561" s="69">
        <f>STATS1003B!AB560/1000</f>
        <v>0</v>
      </c>
    </row>
    <row r="562" spans="1:28" hidden="1" x14ac:dyDescent="0.3">
      <c r="A562" s="117"/>
      <c r="E562" s="86" t="s">
        <v>29</v>
      </c>
      <c r="F562" s="86" t="s">
        <v>29</v>
      </c>
      <c r="G562" s="86" t="s">
        <v>29</v>
      </c>
      <c r="H562" s="86" t="s">
        <v>29</v>
      </c>
      <c r="I562" s="86" t="s">
        <v>29</v>
      </c>
      <c r="J562" s="86" t="s">
        <v>29</v>
      </c>
      <c r="K562" s="86" t="s">
        <v>29</v>
      </c>
      <c r="L562" s="86" t="s">
        <v>29</v>
      </c>
      <c r="M562" s="86" t="s">
        <v>29</v>
      </c>
      <c r="N562" s="86" t="s">
        <v>29</v>
      </c>
      <c r="O562" s="86" t="s">
        <v>29</v>
      </c>
      <c r="P562" s="86" t="s">
        <v>29</v>
      </c>
      <c r="Q562" s="86" t="s">
        <v>29</v>
      </c>
      <c r="R562" s="86" t="s">
        <v>29</v>
      </c>
      <c r="S562" s="86" t="s">
        <v>29</v>
      </c>
      <c r="T562" s="86" t="s">
        <v>29</v>
      </c>
      <c r="U562" s="86" t="s">
        <v>29</v>
      </c>
      <c r="V562" s="86" t="s">
        <v>29</v>
      </c>
      <c r="W562" s="86" t="s">
        <v>29</v>
      </c>
      <c r="X562" s="85" t="e">
        <f t="shared" si="69"/>
        <v>#VALUE!</v>
      </c>
      <c r="Y562" s="86" t="s">
        <v>29</v>
      </c>
      <c r="Z562" s="85" t="e">
        <f t="shared" si="64"/>
        <v>#VALUE!</v>
      </c>
      <c r="AA562" s="115" t="s">
        <v>29</v>
      </c>
      <c r="AB562" s="115" t="s">
        <v>29</v>
      </c>
    </row>
    <row r="563" spans="1:28" x14ac:dyDescent="0.3">
      <c r="A563" s="116"/>
      <c r="B563" s="68" t="s">
        <v>1269</v>
      </c>
      <c r="E563" s="85">
        <f>545292/1000</f>
        <v>545.29200000000003</v>
      </c>
      <c r="F563" s="85">
        <f>F561</f>
        <v>545.29246000000001</v>
      </c>
      <c r="G563" s="85">
        <f>G561</f>
        <v>0</v>
      </c>
      <c r="H563" s="85">
        <f>545292/1000</f>
        <v>545.29200000000003</v>
      </c>
      <c r="I563" s="85">
        <f t="shared" ref="I563:O563" si="74">I561</f>
        <v>0</v>
      </c>
      <c r="J563" s="85">
        <f t="shared" si="74"/>
        <v>0</v>
      </c>
      <c r="K563" s="85">
        <f t="shared" si="74"/>
        <v>0</v>
      </c>
      <c r="L563" s="85">
        <f t="shared" si="74"/>
        <v>0</v>
      </c>
      <c r="M563" s="85">
        <f t="shared" si="74"/>
        <v>545.29246000000001</v>
      </c>
      <c r="N563" s="85">
        <f t="shared" si="74"/>
        <v>0</v>
      </c>
      <c r="O563" s="85">
        <f t="shared" si="74"/>
        <v>0</v>
      </c>
      <c r="P563" s="85">
        <v>0</v>
      </c>
      <c r="Q563" s="85">
        <f t="shared" ref="Q563:W563" si="75">Q561</f>
        <v>0</v>
      </c>
      <c r="R563" s="85">
        <f t="shared" si="75"/>
        <v>0</v>
      </c>
      <c r="S563" s="85">
        <f t="shared" si="75"/>
        <v>0</v>
      </c>
      <c r="T563" s="85">
        <f t="shared" si="75"/>
        <v>0</v>
      </c>
      <c r="U563" s="85">
        <f t="shared" si="75"/>
        <v>0</v>
      </c>
      <c r="V563" s="85">
        <f t="shared" si="75"/>
        <v>545.29246000000001</v>
      </c>
      <c r="W563" s="85">
        <f t="shared" si="75"/>
        <v>0</v>
      </c>
      <c r="X563" s="85">
        <f t="shared" si="69"/>
        <v>545.29200000000003</v>
      </c>
      <c r="Y563" s="85">
        <f>Y561</f>
        <v>0</v>
      </c>
      <c r="Z563" s="85">
        <f t="shared" si="64"/>
        <v>0</v>
      </c>
      <c r="AA563" s="69">
        <f>AA561</f>
        <v>545.29246000000001</v>
      </c>
      <c r="AB563" s="69">
        <f>AB561</f>
        <v>0</v>
      </c>
    </row>
    <row r="564" spans="1:28" hidden="1" x14ac:dyDescent="0.3">
      <c r="A564" s="117"/>
      <c r="E564" s="86" t="s">
        <v>29</v>
      </c>
      <c r="F564" s="86" t="s">
        <v>29</v>
      </c>
      <c r="G564" s="86" t="s">
        <v>29</v>
      </c>
      <c r="H564" s="86" t="s">
        <v>29</v>
      </c>
      <c r="I564" s="86" t="s">
        <v>29</v>
      </c>
      <c r="J564" s="86" t="s">
        <v>29</v>
      </c>
      <c r="K564" s="86" t="s">
        <v>29</v>
      </c>
      <c r="L564" s="86" t="s">
        <v>29</v>
      </c>
      <c r="M564" s="86" t="s">
        <v>29</v>
      </c>
      <c r="N564" s="86" t="s">
        <v>29</v>
      </c>
      <c r="O564" s="86" t="s">
        <v>29</v>
      </c>
      <c r="P564" s="86" t="s">
        <v>29</v>
      </c>
      <c r="Q564" s="86" t="s">
        <v>29</v>
      </c>
      <c r="R564" s="86" t="s">
        <v>29</v>
      </c>
      <c r="S564" s="86" t="s">
        <v>29</v>
      </c>
      <c r="T564" s="86" t="s">
        <v>29</v>
      </c>
      <c r="U564" s="86" t="s">
        <v>29</v>
      </c>
      <c r="V564" s="86" t="s">
        <v>29</v>
      </c>
      <c r="W564" s="86" t="s">
        <v>29</v>
      </c>
      <c r="X564" s="85" t="e">
        <f t="shared" si="69"/>
        <v>#VALUE!</v>
      </c>
      <c r="Y564" s="86" t="s">
        <v>29</v>
      </c>
      <c r="Z564" s="85" t="e">
        <f t="shared" si="64"/>
        <v>#VALUE!</v>
      </c>
      <c r="AA564" s="115" t="s">
        <v>29</v>
      </c>
      <c r="AB564" s="115" t="s">
        <v>29</v>
      </c>
    </row>
    <row r="565" spans="1:28" hidden="1" x14ac:dyDescent="0.3">
      <c r="A565" s="105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5">
        <f t="shared" si="69"/>
        <v>0</v>
      </c>
      <c r="Y565" s="84"/>
      <c r="Z565" s="85">
        <f t="shared" si="64"/>
        <v>0</v>
      </c>
    </row>
    <row r="566" spans="1:28" hidden="1" x14ac:dyDescent="0.3">
      <c r="A566" s="117"/>
      <c r="C566" s="68" t="s">
        <v>185</v>
      </c>
      <c r="D566" s="87" t="s">
        <v>68</v>
      </c>
      <c r="E566" s="85">
        <f>STATS1003B!E565/1000</f>
        <v>1767.77</v>
      </c>
      <c r="F566" s="85">
        <f>STATS1003B!F565/1000</f>
        <v>0</v>
      </c>
      <c r="G566" s="85">
        <f>STATS1003B!G565/1000</f>
        <v>0</v>
      </c>
      <c r="H566" s="85">
        <f>STATS1003B!H565/1000</f>
        <v>0</v>
      </c>
      <c r="I566" s="85">
        <f>STATS1003B!I565/1000</f>
        <v>0</v>
      </c>
      <c r="J566" s="85">
        <f>STATS1003B!J565/1000</f>
        <v>0</v>
      </c>
      <c r="K566" s="85">
        <f>STATS1003B!K565/1000</f>
        <v>0</v>
      </c>
      <c r="L566" s="85">
        <f>STATS1003B!L565/1000</f>
        <v>0</v>
      </c>
      <c r="M566" s="85">
        <f>STATS1003B!M565/1000</f>
        <v>0</v>
      </c>
      <c r="N566" s="85">
        <f>STATS1003B!N565/1000</f>
        <v>1767.77</v>
      </c>
      <c r="O566" s="85">
        <f>STATS1003B!O565/1000</f>
        <v>0</v>
      </c>
      <c r="P566" s="85">
        <f>STATS1003B!P565/1000</f>
        <v>1767.77</v>
      </c>
      <c r="Q566" s="85">
        <f>STATS1003B!Q565/1000</f>
        <v>0</v>
      </c>
      <c r="R566" s="85">
        <f>STATS1003B!R565/1000</f>
        <v>0</v>
      </c>
      <c r="S566" s="85">
        <f>STATS1003B!S565/1000</f>
        <v>0</v>
      </c>
      <c r="T566" s="85">
        <f>STATS1003B!T565/1000</f>
        <v>0</v>
      </c>
      <c r="U566" s="85">
        <f>STATS1003B!U565/1000</f>
        <v>1767.77</v>
      </c>
      <c r="V566" s="85">
        <f>STATS1003B!V565/1000</f>
        <v>1767.77</v>
      </c>
      <c r="W566" s="85">
        <f>STATS1003B!W565/1000</f>
        <v>0</v>
      </c>
      <c r="X566" s="85">
        <f t="shared" si="69"/>
        <v>1767.77</v>
      </c>
      <c r="Y566" s="85">
        <f>STATS1003B!Y565/1000</f>
        <v>0</v>
      </c>
      <c r="Z566" s="85">
        <f t="shared" si="64"/>
        <v>0</v>
      </c>
      <c r="AA566" s="69">
        <f>STATS1003B!AA565/1000</f>
        <v>1767.77</v>
      </c>
      <c r="AB566" s="69">
        <f>STATS1003B!AB565/1000</f>
        <v>0</v>
      </c>
    </row>
    <row r="567" spans="1:28" hidden="1" x14ac:dyDescent="0.3">
      <c r="A567" s="117"/>
      <c r="C567" s="68" t="s">
        <v>57</v>
      </c>
      <c r="D567" s="87" t="s">
        <v>128</v>
      </c>
      <c r="E567" s="85">
        <f>STATS1003B!E566/1000</f>
        <v>289.8</v>
      </c>
      <c r="F567" s="85">
        <f>STATS1003B!F566/1000</f>
        <v>289.8</v>
      </c>
      <c r="G567" s="85">
        <f>STATS1003B!G566/1000</f>
        <v>0</v>
      </c>
      <c r="H567" s="85">
        <f>STATS1003B!H566/1000</f>
        <v>289.8</v>
      </c>
      <c r="I567" s="85">
        <f>STATS1003B!I566/1000</f>
        <v>0</v>
      </c>
      <c r="J567" s="85">
        <f>STATS1003B!J566/1000</f>
        <v>0</v>
      </c>
      <c r="K567" s="85">
        <f>STATS1003B!K566/1000</f>
        <v>0</v>
      </c>
      <c r="L567" s="85">
        <f>STATS1003B!L566/1000</f>
        <v>0</v>
      </c>
      <c r="M567" s="85">
        <f>STATS1003B!M566/1000</f>
        <v>289.8</v>
      </c>
      <c r="N567" s="85">
        <f>STATS1003B!N566/1000</f>
        <v>0</v>
      </c>
      <c r="O567" s="85">
        <f>STATS1003B!O566/1000</f>
        <v>0</v>
      </c>
      <c r="P567" s="85">
        <f>STATS1003B!P566/1000</f>
        <v>0</v>
      </c>
      <c r="Q567" s="85">
        <f>STATS1003B!Q566/1000</f>
        <v>0</v>
      </c>
      <c r="R567" s="85">
        <f>STATS1003B!R566/1000</f>
        <v>0</v>
      </c>
      <c r="S567" s="85">
        <f>STATS1003B!S566/1000</f>
        <v>0</v>
      </c>
      <c r="T567" s="85">
        <f>STATS1003B!T566/1000</f>
        <v>0</v>
      </c>
      <c r="U567" s="85">
        <f>STATS1003B!U566/1000</f>
        <v>0</v>
      </c>
      <c r="V567" s="85">
        <f>STATS1003B!V566/1000</f>
        <v>289.8</v>
      </c>
      <c r="W567" s="85">
        <f>STATS1003B!W566/1000</f>
        <v>0</v>
      </c>
      <c r="X567" s="85">
        <f t="shared" si="69"/>
        <v>289.8</v>
      </c>
      <c r="Y567" s="85">
        <f>STATS1003B!Y566/1000</f>
        <v>0</v>
      </c>
      <c r="Z567" s="85">
        <f t="shared" si="64"/>
        <v>0</v>
      </c>
      <c r="AA567" s="69">
        <f>STATS1003B!AA566/1000</f>
        <v>289.8</v>
      </c>
      <c r="AB567" s="69">
        <f>STATS1003B!AB566/1000</f>
        <v>0</v>
      </c>
    </row>
    <row r="568" spans="1:28" hidden="1" x14ac:dyDescent="0.3">
      <c r="A568" s="117"/>
      <c r="C568" s="71" t="s">
        <v>109</v>
      </c>
      <c r="D568" s="88" t="s">
        <v>60</v>
      </c>
      <c r="E568" s="85">
        <f>STATS1003B!E567/1000</f>
        <v>1511.45946</v>
      </c>
      <c r="F568" s="85">
        <f>STATS1003B!F567/1000</f>
        <v>1511.45946</v>
      </c>
      <c r="G568" s="85">
        <f>STATS1003B!G567/1000</f>
        <v>0</v>
      </c>
      <c r="H568" s="85">
        <f>STATS1003B!H567/1000</f>
        <v>1511.45946</v>
      </c>
      <c r="I568" s="85">
        <f>STATS1003B!I567/1000</f>
        <v>0</v>
      </c>
      <c r="J568" s="85">
        <f>STATS1003B!J567/1000</f>
        <v>0</v>
      </c>
      <c r="K568" s="85">
        <f>STATS1003B!K567/1000</f>
        <v>0</v>
      </c>
      <c r="L568" s="85">
        <f>STATS1003B!L567/1000</f>
        <v>0</v>
      </c>
      <c r="M568" s="85">
        <f>STATS1003B!M567/1000</f>
        <v>1511.45946</v>
      </c>
      <c r="N568" s="85">
        <f>STATS1003B!N567/1000</f>
        <v>0</v>
      </c>
      <c r="O568" s="85">
        <f>STATS1003B!O567/1000</f>
        <v>0</v>
      </c>
      <c r="P568" s="85">
        <f>STATS1003B!P567/1000</f>
        <v>0</v>
      </c>
      <c r="Q568" s="85">
        <f>STATS1003B!Q567/1000</f>
        <v>0</v>
      </c>
      <c r="R568" s="85">
        <f>STATS1003B!R567/1000</f>
        <v>0</v>
      </c>
      <c r="S568" s="85">
        <f>STATS1003B!S567/1000</f>
        <v>0</v>
      </c>
      <c r="T568" s="85">
        <f>STATS1003B!T567/1000</f>
        <v>0</v>
      </c>
      <c r="U568" s="85">
        <f>STATS1003B!U567/1000</f>
        <v>0</v>
      </c>
      <c r="V568" s="85">
        <f>STATS1003B!V567/1000</f>
        <v>1511.45946</v>
      </c>
      <c r="W568" s="85">
        <f>STATS1003B!W567/1000</f>
        <v>0</v>
      </c>
      <c r="X568" s="85">
        <f t="shared" si="69"/>
        <v>1511.45946</v>
      </c>
      <c r="Y568" s="85">
        <f>STATS1003B!Y567/1000</f>
        <v>0</v>
      </c>
      <c r="Z568" s="85">
        <f t="shared" si="64"/>
        <v>0</v>
      </c>
      <c r="AA568" s="69">
        <f>STATS1003B!AA567/1000</f>
        <v>1511.45946</v>
      </c>
      <c r="AB568" s="69">
        <f>STATS1003B!AB567/1000</f>
        <v>0</v>
      </c>
    </row>
    <row r="569" spans="1:28" hidden="1" x14ac:dyDescent="0.3">
      <c r="A569" s="117"/>
      <c r="E569" s="86" t="s">
        <v>29</v>
      </c>
      <c r="F569" s="86" t="s">
        <v>29</v>
      </c>
      <c r="G569" s="86" t="s">
        <v>29</v>
      </c>
      <c r="H569" s="86" t="s">
        <v>29</v>
      </c>
      <c r="I569" s="86" t="s">
        <v>29</v>
      </c>
      <c r="J569" s="86" t="s">
        <v>29</v>
      </c>
      <c r="K569" s="86" t="s">
        <v>29</v>
      </c>
      <c r="L569" s="86" t="s">
        <v>29</v>
      </c>
      <c r="M569" s="86" t="s">
        <v>29</v>
      </c>
      <c r="N569" s="86" t="s">
        <v>29</v>
      </c>
      <c r="O569" s="86" t="s">
        <v>29</v>
      </c>
      <c r="P569" s="86" t="s">
        <v>29</v>
      </c>
      <c r="Q569" s="86" t="s">
        <v>29</v>
      </c>
      <c r="R569" s="86" t="s">
        <v>29</v>
      </c>
      <c r="S569" s="86" t="s">
        <v>29</v>
      </c>
      <c r="T569" s="86" t="s">
        <v>29</v>
      </c>
      <c r="U569" s="86" t="s">
        <v>29</v>
      </c>
      <c r="V569" s="86" t="s">
        <v>29</v>
      </c>
      <c r="W569" s="86" t="s">
        <v>29</v>
      </c>
      <c r="X569" s="85" t="e">
        <f t="shared" si="69"/>
        <v>#VALUE!</v>
      </c>
      <c r="Y569" s="86" t="s">
        <v>29</v>
      </c>
      <c r="Z569" s="85" t="e">
        <f t="shared" si="64"/>
        <v>#VALUE!</v>
      </c>
      <c r="AA569" s="115" t="s">
        <v>29</v>
      </c>
      <c r="AB569" s="115" t="s">
        <v>29</v>
      </c>
    </row>
    <row r="570" spans="1:28" x14ac:dyDescent="0.3">
      <c r="A570" s="116">
        <v>27</v>
      </c>
      <c r="B570" s="68" t="s">
        <v>184</v>
      </c>
      <c r="E570" s="85">
        <f>10584429/1000</f>
        <v>10584.429</v>
      </c>
      <c r="F570" s="85">
        <f>SUM(F566:F568)</f>
        <v>1801.25946</v>
      </c>
      <c r="G570" s="85">
        <f>SUM(G566:G568)</f>
        <v>0</v>
      </c>
      <c r="H570" s="85">
        <f>8816759/1000</f>
        <v>8816.759</v>
      </c>
      <c r="I570" s="85">
        <f t="shared" ref="I570:O570" si="76">SUM(I566:I568)</f>
        <v>0</v>
      </c>
      <c r="J570" s="85">
        <f t="shared" si="76"/>
        <v>0</v>
      </c>
      <c r="K570" s="85">
        <f t="shared" si="76"/>
        <v>0</v>
      </c>
      <c r="L570" s="85">
        <f t="shared" si="76"/>
        <v>0</v>
      </c>
      <c r="M570" s="85">
        <f t="shared" si="76"/>
        <v>1801.25946</v>
      </c>
      <c r="N570" s="85">
        <f t="shared" si="76"/>
        <v>1767.77</v>
      </c>
      <c r="O570" s="85">
        <f t="shared" si="76"/>
        <v>0</v>
      </c>
      <c r="P570" s="85">
        <f>1767770/1000</f>
        <v>1767.77</v>
      </c>
      <c r="Q570" s="85">
        <f t="shared" ref="Q570:W570" si="77">SUM(Q566:Q568)</f>
        <v>0</v>
      </c>
      <c r="R570" s="85">
        <f t="shared" si="77"/>
        <v>0</v>
      </c>
      <c r="S570" s="85">
        <f t="shared" si="77"/>
        <v>0</v>
      </c>
      <c r="T570" s="85">
        <f t="shared" si="77"/>
        <v>0</v>
      </c>
      <c r="U570" s="85">
        <f t="shared" si="77"/>
        <v>1767.77</v>
      </c>
      <c r="V570" s="85">
        <f t="shared" si="77"/>
        <v>3569.0294600000002</v>
      </c>
      <c r="W570" s="85">
        <f t="shared" si="77"/>
        <v>0</v>
      </c>
      <c r="X570" s="85">
        <f t="shared" si="69"/>
        <v>10584.529</v>
      </c>
      <c r="Y570" s="85">
        <f>SUM(Y566:Y568)</f>
        <v>0</v>
      </c>
      <c r="Z570" s="85">
        <f>+X570-E570</f>
        <v>0.1000000000003638</v>
      </c>
      <c r="AA570" s="69">
        <f>SUM(AA566:AA568)</f>
        <v>3569.0294600000002</v>
      </c>
      <c r="AB570" s="69">
        <f>SUM(AB566:AB568)</f>
        <v>0</v>
      </c>
    </row>
    <row r="571" spans="1:28" hidden="1" x14ac:dyDescent="0.3">
      <c r="A571" s="117"/>
      <c r="E571" s="86" t="s">
        <v>29</v>
      </c>
      <c r="F571" s="86" t="s">
        <v>29</v>
      </c>
      <c r="G571" s="86" t="s">
        <v>29</v>
      </c>
      <c r="H571" s="86" t="s">
        <v>29</v>
      </c>
      <c r="I571" s="86" t="s">
        <v>29</v>
      </c>
      <c r="J571" s="86" t="s">
        <v>29</v>
      </c>
      <c r="K571" s="86" t="s">
        <v>29</v>
      </c>
      <c r="L571" s="86" t="s">
        <v>29</v>
      </c>
      <c r="M571" s="86" t="s">
        <v>29</v>
      </c>
      <c r="N571" s="86" t="s">
        <v>29</v>
      </c>
      <c r="O571" s="86" t="s">
        <v>29</v>
      </c>
      <c r="P571" s="86" t="s">
        <v>29</v>
      </c>
      <c r="Q571" s="86" t="s">
        <v>29</v>
      </c>
      <c r="R571" s="86" t="s">
        <v>29</v>
      </c>
      <c r="S571" s="86" t="s">
        <v>29</v>
      </c>
      <c r="T571" s="86" t="s">
        <v>29</v>
      </c>
      <c r="U571" s="86" t="s">
        <v>29</v>
      </c>
      <c r="V571" s="86" t="s">
        <v>29</v>
      </c>
      <c r="W571" s="86" t="s">
        <v>29</v>
      </c>
      <c r="X571" s="85" t="e">
        <f t="shared" si="69"/>
        <v>#VALUE!</v>
      </c>
      <c r="Y571" s="86" t="s">
        <v>29</v>
      </c>
      <c r="Z571" s="85" t="e">
        <f t="shared" si="64"/>
        <v>#VALUE!</v>
      </c>
      <c r="AA571" s="115" t="s">
        <v>29</v>
      </c>
      <c r="AB571" s="115" t="s">
        <v>29</v>
      </c>
    </row>
    <row r="572" spans="1:28" hidden="1" x14ac:dyDescent="0.3">
      <c r="A572" s="105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5">
        <f t="shared" si="69"/>
        <v>0</v>
      </c>
      <c r="Y572" s="84"/>
      <c r="Z572" s="85">
        <f t="shared" si="64"/>
        <v>0</v>
      </c>
      <c r="AA572" s="118"/>
    </row>
    <row r="573" spans="1:28" hidden="1" x14ac:dyDescent="0.3">
      <c r="A573" s="117"/>
      <c r="C573" s="68" t="s">
        <v>75</v>
      </c>
      <c r="D573" s="88" t="s">
        <v>76</v>
      </c>
      <c r="E573" s="85">
        <f>STATS1003B!E572/1000</f>
        <v>3788</v>
      </c>
      <c r="F573" s="85">
        <f>STATS1003B!F572/1000</f>
        <v>0</v>
      </c>
      <c r="G573" s="85">
        <f>STATS1003B!G572/1000</f>
        <v>0</v>
      </c>
      <c r="H573" s="85">
        <f>STATS1003B!H572/1000</f>
        <v>0</v>
      </c>
      <c r="I573" s="85">
        <f>STATS1003B!I572/1000</f>
        <v>0</v>
      </c>
      <c r="J573" s="85">
        <f>STATS1003B!J572/1000</f>
        <v>0</v>
      </c>
      <c r="K573" s="85">
        <f>STATS1003B!K572/1000</f>
        <v>0</v>
      </c>
      <c r="L573" s="85">
        <f>STATS1003B!L572/1000</f>
        <v>0</v>
      </c>
      <c r="M573" s="85">
        <f>STATS1003B!M572/1000</f>
        <v>0</v>
      </c>
      <c r="N573" s="85">
        <f>STATS1003B!N572/1000</f>
        <v>3788</v>
      </c>
      <c r="O573" s="85">
        <f>STATS1003B!O572/1000</f>
        <v>0</v>
      </c>
      <c r="P573" s="85">
        <f>STATS1003B!P572/1000</f>
        <v>3788</v>
      </c>
      <c r="Q573" s="85">
        <f>STATS1003B!Q572/1000</f>
        <v>0</v>
      </c>
      <c r="R573" s="85">
        <f>STATS1003B!R572/1000</f>
        <v>0</v>
      </c>
      <c r="S573" s="85">
        <f>STATS1003B!S572/1000</f>
        <v>0</v>
      </c>
      <c r="T573" s="85">
        <f>STATS1003B!T572/1000</f>
        <v>0</v>
      </c>
      <c r="U573" s="85">
        <f>STATS1003B!U572/1000</f>
        <v>3788</v>
      </c>
      <c r="V573" s="85">
        <f>STATS1003B!V572/1000</f>
        <v>3788</v>
      </c>
      <c r="W573" s="85">
        <f>STATS1003B!W572/1000</f>
        <v>0</v>
      </c>
      <c r="X573" s="85">
        <f t="shared" si="69"/>
        <v>3788</v>
      </c>
      <c r="Y573" s="85">
        <f>STATS1003B!Y572/1000</f>
        <v>0</v>
      </c>
      <c r="Z573" s="85">
        <f t="shared" si="64"/>
        <v>0</v>
      </c>
      <c r="AA573" s="69">
        <f>STATS1003B!AA572/1000</f>
        <v>3788</v>
      </c>
      <c r="AB573" s="69">
        <f>STATS1003B!AB572/1000</f>
        <v>0</v>
      </c>
    </row>
    <row r="574" spans="1:28" hidden="1" x14ac:dyDescent="0.3">
      <c r="A574" s="117"/>
      <c r="C574" s="68" t="s">
        <v>149</v>
      </c>
      <c r="D574" s="88" t="s">
        <v>150</v>
      </c>
      <c r="E574" s="85">
        <f>STATS1003B!E573/1000</f>
        <v>1641.675</v>
      </c>
      <c r="F574" s="85">
        <f>STATS1003B!F573/1000</f>
        <v>658.58139000000006</v>
      </c>
      <c r="G574" s="85">
        <f>STATS1003B!G573/1000</f>
        <v>0</v>
      </c>
      <c r="H574" s="85">
        <f>STATS1003B!H573/1000</f>
        <v>658.58139000000006</v>
      </c>
      <c r="I574" s="85">
        <f>STATS1003B!I573/1000</f>
        <v>0</v>
      </c>
      <c r="J574" s="85">
        <f>STATS1003B!J573/1000</f>
        <v>0</v>
      </c>
      <c r="K574" s="85">
        <f>STATS1003B!K573/1000</f>
        <v>0</v>
      </c>
      <c r="L574" s="85">
        <f>STATS1003B!L573/1000</f>
        <v>0</v>
      </c>
      <c r="M574" s="85">
        <f>STATS1003B!M573/1000</f>
        <v>658.58139000000006</v>
      </c>
      <c r="N574" s="85">
        <f>STATS1003B!N573/1000</f>
        <v>211.71</v>
      </c>
      <c r="O574" s="85">
        <f>STATS1003B!O573/1000</f>
        <v>0</v>
      </c>
      <c r="P574" s="85">
        <f>STATS1003B!P573/1000</f>
        <v>211.71</v>
      </c>
      <c r="Q574" s="85">
        <f>STATS1003B!Q573/1000</f>
        <v>0</v>
      </c>
      <c r="R574" s="85">
        <f>STATS1003B!R573/1000</f>
        <v>0</v>
      </c>
      <c r="S574" s="85">
        <f>STATS1003B!S573/1000</f>
        <v>0</v>
      </c>
      <c r="T574" s="85">
        <f>STATS1003B!T573/1000</f>
        <v>0</v>
      </c>
      <c r="U574" s="85">
        <f>STATS1003B!U573/1000</f>
        <v>211.71</v>
      </c>
      <c r="V574" s="85">
        <f>STATS1003B!V573/1000</f>
        <v>870.29138999999998</v>
      </c>
      <c r="W574" s="85">
        <f>STATS1003B!W573/1000</f>
        <v>771.38360999999998</v>
      </c>
      <c r="X574" s="85">
        <f t="shared" si="69"/>
        <v>870.29139000000009</v>
      </c>
      <c r="Y574" s="85">
        <f>STATS1003B!Y573/1000</f>
        <v>0</v>
      </c>
      <c r="Z574" s="85">
        <f t="shared" si="64"/>
        <v>771.38360999999986</v>
      </c>
      <c r="AA574" s="69">
        <f>STATS1003B!AA573/1000</f>
        <v>870.29138999999998</v>
      </c>
      <c r="AB574" s="69">
        <f>STATS1003B!AB573/1000</f>
        <v>771.38360999999998</v>
      </c>
    </row>
    <row r="575" spans="1:28" hidden="1" x14ac:dyDescent="0.3">
      <c r="A575" s="117"/>
      <c r="C575" s="68" t="s">
        <v>187</v>
      </c>
      <c r="D575" s="68" t="s">
        <v>188</v>
      </c>
      <c r="E575" s="85">
        <f>STATS1003B!E574/1000</f>
        <v>0</v>
      </c>
      <c r="F575" s="85">
        <f>STATS1003B!F574/1000</f>
        <v>0</v>
      </c>
      <c r="G575" s="85">
        <f>STATS1003B!G574/1000</f>
        <v>0</v>
      </c>
      <c r="H575" s="85">
        <f>STATS1003B!H574/1000</f>
        <v>0</v>
      </c>
      <c r="I575" s="85">
        <f>STATS1003B!I574/1000</f>
        <v>0</v>
      </c>
      <c r="J575" s="85">
        <f>STATS1003B!J574/1000</f>
        <v>0</v>
      </c>
      <c r="K575" s="85">
        <f>STATS1003B!K574/1000</f>
        <v>0</v>
      </c>
      <c r="L575" s="85">
        <f>STATS1003B!L574/1000</f>
        <v>0</v>
      </c>
      <c r="M575" s="85">
        <f>STATS1003B!M574/1000</f>
        <v>0</v>
      </c>
      <c r="N575" s="85">
        <f>STATS1003B!N574/1000</f>
        <v>0</v>
      </c>
      <c r="O575" s="85">
        <f>STATS1003B!O574/1000</f>
        <v>0</v>
      </c>
      <c r="P575" s="85">
        <f>STATS1003B!P574/1000</f>
        <v>0</v>
      </c>
      <c r="Q575" s="85">
        <f>STATS1003B!Q574/1000</f>
        <v>0</v>
      </c>
      <c r="R575" s="85">
        <f>STATS1003B!R574/1000</f>
        <v>0</v>
      </c>
      <c r="S575" s="85">
        <f>STATS1003B!S574/1000</f>
        <v>0</v>
      </c>
      <c r="T575" s="85">
        <f>STATS1003B!T574/1000</f>
        <v>0</v>
      </c>
      <c r="U575" s="85">
        <f>STATS1003B!U574/1000</f>
        <v>0</v>
      </c>
      <c r="V575" s="85">
        <f>STATS1003B!V574/1000</f>
        <v>0</v>
      </c>
      <c r="W575" s="85">
        <f>STATS1003B!W574/1000</f>
        <v>0</v>
      </c>
      <c r="X575" s="85">
        <f t="shared" si="69"/>
        <v>0</v>
      </c>
      <c r="Y575" s="85">
        <f>STATS1003B!Y574/1000</f>
        <v>0</v>
      </c>
      <c r="Z575" s="85">
        <f t="shared" si="64"/>
        <v>0</v>
      </c>
      <c r="AA575" s="69">
        <f>STATS1003B!AA574/1000</f>
        <v>0</v>
      </c>
      <c r="AB575" s="69">
        <f>STATS1003B!AB574/1000</f>
        <v>0</v>
      </c>
    </row>
    <row r="576" spans="1:28" hidden="1" x14ac:dyDescent="0.3">
      <c r="A576" s="117"/>
      <c r="C576" s="71" t="s">
        <v>174</v>
      </c>
      <c r="D576" s="71" t="s">
        <v>189</v>
      </c>
      <c r="E576" s="85">
        <f>STATS1003B!E575/1000</f>
        <v>25150.521109999998</v>
      </c>
      <c r="F576" s="85">
        <f>STATS1003B!F575/1000</f>
        <v>24252.704399999999</v>
      </c>
      <c r="G576" s="85">
        <f>STATS1003B!G575/1000</f>
        <v>0</v>
      </c>
      <c r="H576" s="85">
        <f>STATS1003B!H575/1000</f>
        <v>24252.704399999999</v>
      </c>
      <c r="I576" s="85">
        <f>STATS1003B!I575/1000</f>
        <v>0</v>
      </c>
      <c r="J576" s="85">
        <f>STATS1003B!J575/1000</f>
        <v>0</v>
      </c>
      <c r="K576" s="85">
        <f>STATS1003B!K575/1000</f>
        <v>0</v>
      </c>
      <c r="L576" s="85">
        <f>STATS1003B!L575/1000</f>
        <v>0</v>
      </c>
      <c r="M576" s="85">
        <f>STATS1003B!M575/1000</f>
        <v>24252.704399999999</v>
      </c>
      <c r="N576" s="85">
        <f>STATS1003B!N575/1000</f>
        <v>897.81670999999994</v>
      </c>
      <c r="O576" s="85">
        <f>STATS1003B!O575/1000</f>
        <v>0</v>
      </c>
      <c r="P576" s="85">
        <f>STATS1003B!P575/1000</f>
        <v>897.81670999999994</v>
      </c>
      <c r="Q576" s="85">
        <f>STATS1003B!Q575/1000</f>
        <v>0</v>
      </c>
      <c r="R576" s="85">
        <f>STATS1003B!R575/1000</f>
        <v>0</v>
      </c>
      <c r="S576" s="85">
        <f>STATS1003B!S575/1000</f>
        <v>0</v>
      </c>
      <c r="T576" s="85">
        <f>STATS1003B!T575/1000</f>
        <v>0</v>
      </c>
      <c r="U576" s="85">
        <f>STATS1003B!U575/1000</f>
        <v>897.81670999999994</v>
      </c>
      <c r="V576" s="85">
        <f>STATS1003B!V575/1000</f>
        <v>25150.521109999998</v>
      </c>
      <c r="W576" s="85">
        <f>STATS1003B!W575/1000</f>
        <v>0</v>
      </c>
      <c r="X576" s="85">
        <f t="shared" ref="X576:X637" si="78">+H576+P576</f>
        <v>25150.521109999998</v>
      </c>
      <c r="Y576" s="85">
        <f>STATS1003B!Y575/1000</f>
        <v>0</v>
      </c>
      <c r="Z576" s="85">
        <f t="shared" si="64"/>
        <v>0</v>
      </c>
      <c r="AA576" s="69">
        <f>STATS1003B!AA575/1000</f>
        <v>25150.521109999998</v>
      </c>
      <c r="AB576" s="69">
        <f>STATS1003B!AB575/1000</f>
        <v>0</v>
      </c>
    </row>
    <row r="577" spans="1:28" hidden="1" x14ac:dyDescent="0.3">
      <c r="A577" s="117"/>
      <c r="C577" s="68" t="s">
        <v>55</v>
      </c>
      <c r="D577" s="87" t="s">
        <v>68</v>
      </c>
      <c r="E577" s="85">
        <f>STATS1003B!E576/1000</f>
        <v>3195.9920000000002</v>
      </c>
      <c r="F577" s="85">
        <f>STATS1003B!F576/1000</f>
        <v>0</v>
      </c>
      <c r="G577" s="85">
        <f>STATS1003B!G576/1000</f>
        <v>0</v>
      </c>
      <c r="H577" s="85">
        <f>STATS1003B!H576/1000</f>
        <v>0</v>
      </c>
      <c r="I577" s="85">
        <f>STATS1003B!I576/1000</f>
        <v>0</v>
      </c>
      <c r="J577" s="85">
        <f>STATS1003B!J576/1000</f>
        <v>0</v>
      </c>
      <c r="K577" s="85">
        <f>STATS1003B!K576/1000</f>
        <v>0</v>
      </c>
      <c r="L577" s="85">
        <f>STATS1003B!L576/1000</f>
        <v>0</v>
      </c>
      <c r="M577" s="85">
        <f>STATS1003B!M576/1000</f>
        <v>0</v>
      </c>
      <c r="N577" s="85">
        <f>STATS1003B!N576/1000</f>
        <v>3195.9920000000002</v>
      </c>
      <c r="O577" s="85">
        <f>STATS1003B!O576/1000</f>
        <v>0</v>
      </c>
      <c r="P577" s="85">
        <f>STATS1003B!P576/1000</f>
        <v>3195.9920000000002</v>
      </c>
      <c r="Q577" s="85">
        <f>STATS1003B!Q576/1000</f>
        <v>0</v>
      </c>
      <c r="R577" s="85">
        <f>STATS1003B!R576/1000</f>
        <v>0</v>
      </c>
      <c r="S577" s="85">
        <f>STATS1003B!S576/1000</f>
        <v>0</v>
      </c>
      <c r="T577" s="85">
        <f>STATS1003B!T576/1000</f>
        <v>0</v>
      </c>
      <c r="U577" s="85">
        <f>STATS1003B!U576/1000</f>
        <v>3195.9920000000002</v>
      </c>
      <c r="V577" s="85">
        <f>STATS1003B!V576/1000</f>
        <v>3195.9920000000002</v>
      </c>
      <c r="W577" s="85">
        <f>STATS1003B!W576/1000</f>
        <v>0</v>
      </c>
      <c r="X577" s="85">
        <f t="shared" si="78"/>
        <v>3195.9920000000002</v>
      </c>
      <c r="Y577" s="85">
        <f>STATS1003B!Y576/1000</f>
        <v>0</v>
      </c>
      <c r="Z577" s="85">
        <f t="shared" si="64"/>
        <v>0</v>
      </c>
      <c r="AA577" s="69">
        <f>STATS1003B!AA576/1000</f>
        <v>3195.9920000000002</v>
      </c>
      <c r="AB577" s="69">
        <f>STATS1003B!AB576/1000</f>
        <v>0</v>
      </c>
    </row>
    <row r="578" spans="1:28" hidden="1" x14ac:dyDescent="0.3">
      <c r="A578" s="117"/>
      <c r="C578" s="68" t="s">
        <v>53</v>
      </c>
      <c r="D578" s="87" t="s">
        <v>68</v>
      </c>
      <c r="E578" s="85">
        <f>STATS1003B!E577/1000</f>
        <v>1953.989</v>
      </c>
      <c r="F578" s="85">
        <f>STATS1003B!F577/1000</f>
        <v>0</v>
      </c>
      <c r="G578" s="85">
        <f>STATS1003B!G577/1000</f>
        <v>0</v>
      </c>
      <c r="H578" s="85">
        <f>STATS1003B!H577/1000</f>
        <v>0</v>
      </c>
      <c r="I578" s="85">
        <f>STATS1003B!I577/1000</f>
        <v>0</v>
      </c>
      <c r="J578" s="85">
        <f>STATS1003B!J577/1000</f>
        <v>0</v>
      </c>
      <c r="K578" s="85">
        <f>STATS1003B!K577/1000</f>
        <v>0</v>
      </c>
      <c r="L578" s="85">
        <f>STATS1003B!L577/1000</f>
        <v>0</v>
      </c>
      <c r="M578" s="85">
        <f>STATS1003B!M577/1000</f>
        <v>0</v>
      </c>
      <c r="N578" s="85">
        <f>STATS1003B!N577/1000</f>
        <v>1953.989</v>
      </c>
      <c r="O578" s="85">
        <f>STATS1003B!O577/1000</f>
        <v>0</v>
      </c>
      <c r="P578" s="85">
        <f>STATS1003B!P577/1000</f>
        <v>1953.989</v>
      </c>
      <c r="Q578" s="85">
        <f>STATS1003B!Q577/1000</f>
        <v>0</v>
      </c>
      <c r="R578" s="85">
        <f>STATS1003B!R577/1000</f>
        <v>0</v>
      </c>
      <c r="S578" s="85">
        <f>STATS1003B!S577/1000</f>
        <v>0</v>
      </c>
      <c r="T578" s="85">
        <f>STATS1003B!T577/1000</f>
        <v>0</v>
      </c>
      <c r="U578" s="85">
        <f>STATS1003B!U577/1000</f>
        <v>1953.989</v>
      </c>
      <c r="V578" s="85">
        <f>STATS1003B!V577/1000</f>
        <v>1953.989</v>
      </c>
      <c r="W578" s="85">
        <f>STATS1003B!W577/1000</f>
        <v>0</v>
      </c>
      <c r="X578" s="85">
        <f t="shared" si="78"/>
        <v>1953.989</v>
      </c>
      <c r="Y578" s="85">
        <f>STATS1003B!Y577/1000</f>
        <v>0</v>
      </c>
      <c r="Z578" s="85">
        <f t="shared" si="64"/>
        <v>0</v>
      </c>
      <c r="AA578" s="69">
        <f>STATS1003B!AA577/1000</f>
        <v>1953.989</v>
      </c>
      <c r="AB578" s="69">
        <f>STATS1003B!AB577/1000</f>
        <v>0</v>
      </c>
    </row>
    <row r="579" spans="1:28" hidden="1" x14ac:dyDescent="0.3">
      <c r="A579" s="117"/>
      <c r="C579" s="68" t="s">
        <v>69</v>
      </c>
      <c r="D579" s="87" t="s">
        <v>85</v>
      </c>
      <c r="E579" s="85">
        <f>STATS1003B!E578/1000</f>
        <v>955.34561999999994</v>
      </c>
      <c r="F579" s="85">
        <f>STATS1003B!F578/1000</f>
        <v>0</v>
      </c>
      <c r="G579" s="85">
        <f>STATS1003B!G578/1000</f>
        <v>0</v>
      </c>
      <c r="H579" s="85">
        <f>STATS1003B!H578/1000</f>
        <v>0</v>
      </c>
      <c r="I579" s="85">
        <f>STATS1003B!I578/1000</f>
        <v>0</v>
      </c>
      <c r="J579" s="85">
        <f>STATS1003B!J578/1000</f>
        <v>0</v>
      </c>
      <c r="K579" s="85">
        <f>STATS1003B!K578/1000</f>
        <v>0</v>
      </c>
      <c r="L579" s="85">
        <f>STATS1003B!L578/1000</f>
        <v>0</v>
      </c>
      <c r="M579" s="85">
        <f>STATS1003B!M578/1000</f>
        <v>0</v>
      </c>
      <c r="N579" s="85">
        <f>STATS1003B!N578/1000</f>
        <v>955.34561999999994</v>
      </c>
      <c r="O579" s="85">
        <f>STATS1003B!O578/1000</f>
        <v>0</v>
      </c>
      <c r="P579" s="85">
        <f>STATS1003B!P578/1000</f>
        <v>955.34561999999994</v>
      </c>
      <c r="Q579" s="85">
        <f>STATS1003B!Q578/1000</f>
        <v>0</v>
      </c>
      <c r="R579" s="85">
        <f>STATS1003B!R578/1000</f>
        <v>0</v>
      </c>
      <c r="S579" s="85">
        <f>STATS1003B!S578/1000</f>
        <v>0</v>
      </c>
      <c r="T579" s="85">
        <f>STATS1003B!T578/1000</f>
        <v>0</v>
      </c>
      <c r="U579" s="85">
        <f>STATS1003B!U578/1000</f>
        <v>955.34561999999994</v>
      </c>
      <c r="V579" s="85">
        <f>STATS1003B!V578/1000</f>
        <v>955.34561999999994</v>
      </c>
      <c r="W579" s="85">
        <f>STATS1003B!W578/1000</f>
        <v>0</v>
      </c>
      <c r="X579" s="85">
        <f t="shared" si="78"/>
        <v>955.34561999999994</v>
      </c>
      <c r="Y579" s="85">
        <f>STATS1003B!Y578/1000</f>
        <v>0</v>
      </c>
      <c r="Z579" s="85">
        <f t="shared" si="64"/>
        <v>0</v>
      </c>
      <c r="AA579" s="69">
        <f>STATS1003B!AA578/1000</f>
        <v>955.34561999999994</v>
      </c>
      <c r="AB579" s="69">
        <f>STATS1003B!AB578/1000</f>
        <v>0</v>
      </c>
    </row>
    <row r="580" spans="1:28" hidden="1" x14ac:dyDescent="0.3">
      <c r="A580" s="117"/>
      <c r="C580" s="68" t="s">
        <v>57</v>
      </c>
      <c r="D580" s="87" t="s">
        <v>58</v>
      </c>
      <c r="E580" s="85">
        <f>STATS1003B!E579/1000</f>
        <v>7490.9392600000001</v>
      </c>
      <c r="F580" s="85">
        <f>STATS1003B!F579/1000</f>
        <v>7490.9392600000001</v>
      </c>
      <c r="G580" s="85">
        <f>STATS1003B!G579/1000</f>
        <v>0</v>
      </c>
      <c r="H580" s="85">
        <f>STATS1003B!H579/1000</f>
        <v>7490.9392600000001</v>
      </c>
      <c r="I580" s="85">
        <f>STATS1003B!I579/1000</f>
        <v>0</v>
      </c>
      <c r="J580" s="85">
        <f>STATS1003B!J579/1000</f>
        <v>0</v>
      </c>
      <c r="K580" s="85">
        <f>STATS1003B!K579/1000</f>
        <v>0</v>
      </c>
      <c r="L580" s="85">
        <f>STATS1003B!L579/1000</f>
        <v>0</v>
      </c>
      <c r="M580" s="85">
        <f>STATS1003B!M579/1000</f>
        <v>7490.9392600000001</v>
      </c>
      <c r="N580" s="85">
        <f>STATS1003B!N579/1000</f>
        <v>0</v>
      </c>
      <c r="O580" s="85">
        <f>STATS1003B!O579/1000</f>
        <v>0</v>
      </c>
      <c r="P580" s="85">
        <f>STATS1003B!P579/1000</f>
        <v>0</v>
      </c>
      <c r="Q580" s="85">
        <f>STATS1003B!Q579/1000</f>
        <v>0</v>
      </c>
      <c r="R580" s="85">
        <f>STATS1003B!R579/1000</f>
        <v>0</v>
      </c>
      <c r="S580" s="85">
        <f>STATS1003B!S579/1000</f>
        <v>0</v>
      </c>
      <c r="T580" s="85">
        <f>STATS1003B!T579/1000</f>
        <v>0</v>
      </c>
      <c r="U580" s="85">
        <f>STATS1003B!U579/1000</f>
        <v>0</v>
      </c>
      <c r="V580" s="85">
        <f>STATS1003B!V579/1000</f>
        <v>7490.9392600000001</v>
      </c>
      <c r="W580" s="85">
        <f>STATS1003B!W579/1000</f>
        <v>0</v>
      </c>
      <c r="X580" s="85">
        <f t="shared" si="78"/>
        <v>7490.9392600000001</v>
      </c>
      <c r="Y580" s="85">
        <f>STATS1003B!Y579/1000</f>
        <v>0</v>
      </c>
      <c r="Z580" s="85">
        <f t="shared" si="64"/>
        <v>0</v>
      </c>
      <c r="AA580" s="69">
        <f>STATS1003B!AA579/1000</f>
        <v>7490.9392600000001</v>
      </c>
      <c r="AB580" s="69">
        <f>STATS1003B!AB579/1000</f>
        <v>0</v>
      </c>
    </row>
    <row r="581" spans="1:28" hidden="1" x14ac:dyDescent="0.3">
      <c r="A581" s="117"/>
      <c r="C581" s="71" t="s">
        <v>109</v>
      </c>
      <c r="D581" s="88" t="s">
        <v>60</v>
      </c>
      <c r="E581" s="85">
        <f>STATS1003B!E580/1000</f>
        <v>2500</v>
      </c>
      <c r="F581" s="85">
        <f>STATS1003B!F580/1000</f>
        <v>2500</v>
      </c>
      <c r="G581" s="85">
        <f>STATS1003B!G580/1000</f>
        <v>0</v>
      </c>
      <c r="H581" s="85">
        <f>STATS1003B!H580/1000</f>
        <v>2500</v>
      </c>
      <c r="I581" s="85">
        <f>STATS1003B!I580/1000</f>
        <v>0</v>
      </c>
      <c r="J581" s="85">
        <f>STATS1003B!J580/1000</f>
        <v>0</v>
      </c>
      <c r="K581" s="85">
        <f>STATS1003B!K580/1000</f>
        <v>0</v>
      </c>
      <c r="L581" s="85">
        <f>STATS1003B!L580/1000</f>
        <v>0</v>
      </c>
      <c r="M581" s="85">
        <f>STATS1003B!M580/1000</f>
        <v>2500</v>
      </c>
      <c r="N581" s="85">
        <f>STATS1003B!N580/1000</f>
        <v>0</v>
      </c>
      <c r="O581" s="85">
        <f>STATS1003B!O580/1000</f>
        <v>0</v>
      </c>
      <c r="P581" s="85">
        <f>STATS1003B!P580/1000</f>
        <v>0</v>
      </c>
      <c r="Q581" s="85">
        <f>STATS1003B!Q580/1000</f>
        <v>0</v>
      </c>
      <c r="R581" s="85">
        <f>STATS1003B!R580/1000</f>
        <v>0</v>
      </c>
      <c r="S581" s="85">
        <f>STATS1003B!S580/1000</f>
        <v>0</v>
      </c>
      <c r="T581" s="85">
        <f>STATS1003B!T580/1000</f>
        <v>0</v>
      </c>
      <c r="U581" s="85">
        <f>STATS1003B!U580/1000</f>
        <v>0</v>
      </c>
      <c r="V581" s="85">
        <f>STATS1003B!V580/1000</f>
        <v>2500</v>
      </c>
      <c r="W581" s="85">
        <f>STATS1003B!W580/1000</f>
        <v>0</v>
      </c>
      <c r="X581" s="85">
        <f t="shared" si="78"/>
        <v>2500</v>
      </c>
      <c r="Y581" s="85">
        <f>STATS1003B!Y580/1000</f>
        <v>0</v>
      </c>
      <c r="Z581" s="85">
        <f t="shared" si="64"/>
        <v>0</v>
      </c>
      <c r="AA581" s="69">
        <f>STATS1003B!AA580/1000</f>
        <v>2500</v>
      </c>
      <c r="AB581" s="69">
        <f>STATS1003B!AB580/1000</f>
        <v>0</v>
      </c>
    </row>
    <row r="582" spans="1:28" hidden="1" x14ac:dyDescent="0.3">
      <c r="A582" s="117"/>
      <c r="C582" s="71" t="s">
        <v>932</v>
      </c>
      <c r="D582" s="88"/>
      <c r="E582" s="85">
        <f>STATS1003B!E581/1000</f>
        <v>700</v>
      </c>
      <c r="F582" s="85">
        <f>STATS1003B!F581/1000</f>
        <v>700</v>
      </c>
      <c r="G582" s="85">
        <f>STATS1003B!G581/1000</f>
        <v>0</v>
      </c>
      <c r="H582" s="85">
        <f>STATS1003B!H581/1000</f>
        <v>700</v>
      </c>
      <c r="I582" s="85">
        <f>STATS1003B!I581/1000</f>
        <v>0</v>
      </c>
      <c r="J582" s="85">
        <f>STATS1003B!J581/1000</f>
        <v>0</v>
      </c>
      <c r="K582" s="85">
        <f>STATS1003B!K581/1000</f>
        <v>0</v>
      </c>
      <c r="L582" s="85">
        <f>STATS1003B!L581/1000</f>
        <v>0</v>
      </c>
      <c r="M582" s="85">
        <f>STATS1003B!M581/1000</f>
        <v>700</v>
      </c>
      <c r="N582" s="85">
        <f>STATS1003B!N581/1000</f>
        <v>0</v>
      </c>
      <c r="O582" s="85">
        <f>STATS1003B!O581/1000</f>
        <v>0</v>
      </c>
      <c r="P582" s="85">
        <f>STATS1003B!P581/1000</f>
        <v>0</v>
      </c>
      <c r="Q582" s="85">
        <f>STATS1003B!Q581/1000</f>
        <v>0</v>
      </c>
      <c r="R582" s="85">
        <f>STATS1003B!R581/1000</f>
        <v>0</v>
      </c>
      <c r="S582" s="85">
        <f>STATS1003B!S581/1000</f>
        <v>0</v>
      </c>
      <c r="T582" s="85">
        <f>STATS1003B!T581/1000</f>
        <v>0</v>
      </c>
      <c r="U582" s="85">
        <f>STATS1003B!U581/1000</f>
        <v>0</v>
      </c>
      <c r="V582" s="85">
        <f>STATS1003B!V581/1000</f>
        <v>700</v>
      </c>
      <c r="W582" s="85">
        <f>STATS1003B!W581/1000</f>
        <v>0</v>
      </c>
      <c r="X582" s="85">
        <f t="shared" si="78"/>
        <v>700</v>
      </c>
      <c r="Y582" s="85">
        <f>STATS1003B!Y581/1000</f>
        <v>0</v>
      </c>
      <c r="Z582" s="85">
        <f t="shared" si="64"/>
        <v>0</v>
      </c>
      <c r="AA582" s="69">
        <f>STATS1003B!AA581/1000</f>
        <v>700</v>
      </c>
      <c r="AB582" s="69">
        <f>STATS1003B!AB581/1000</f>
        <v>0</v>
      </c>
    </row>
    <row r="583" spans="1:28" hidden="1" x14ac:dyDescent="0.3">
      <c r="A583" s="117"/>
      <c r="C583" s="71" t="s">
        <v>1127</v>
      </c>
      <c r="D583" s="89" t="s">
        <v>1126</v>
      </c>
      <c r="E583" s="85">
        <f>STATS1003B!E582/1000</f>
        <v>300</v>
      </c>
      <c r="F583" s="85">
        <f>STATS1003B!F582/1000</f>
        <v>300</v>
      </c>
      <c r="G583" s="85">
        <f>STATS1003B!G582/1000</f>
        <v>0</v>
      </c>
      <c r="H583" s="85">
        <f>STATS1003B!H582/1000</f>
        <v>300</v>
      </c>
      <c r="I583" s="85">
        <f>STATS1003B!I582/1000</f>
        <v>0</v>
      </c>
      <c r="J583" s="85">
        <f>STATS1003B!J582/1000</f>
        <v>0</v>
      </c>
      <c r="K583" s="85">
        <f>STATS1003B!K582/1000</f>
        <v>0</v>
      </c>
      <c r="L583" s="85">
        <f>STATS1003B!L582/1000</f>
        <v>0</v>
      </c>
      <c r="M583" s="85">
        <f>STATS1003B!M582/1000</f>
        <v>300</v>
      </c>
      <c r="N583" s="85">
        <f>STATS1003B!N582/1000</f>
        <v>0</v>
      </c>
      <c r="O583" s="85">
        <f>STATS1003B!O582/1000</f>
        <v>0</v>
      </c>
      <c r="P583" s="85">
        <f>STATS1003B!P582/1000</f>
        <v>0</v>
      </c>
      <c r="Q583" s="85">
        <f>STATS1003B!Q582/1000</f>
        <v>0</v>
      </c>
      <c r="R583" s="85">
        <f>STATS1003B!R582/1000</f>
        <v>0</v>
      </c>
      <c r="S583" s="85">
        <f>STATS1003B!S582/1000</f>
        <v>0</v>
      </c>
      <c r="T583" s="85">
        <f>STATS1003B!T582/1000</f>
        <v>0</v>
      </c>
      <c r="U583" s="85">
        <f>STATS1003B!U582/1000</f>
        <v>0</v>
      </c>
      <c r="V583" s="85">
        <f>STATS1003B!V582/1000</f>
        <v>300</v>
      </c>
      <c r="W583" s="85">
        <f>STATS1003B!W582/1000</f>
        <v>0</v>
      </c>
      <c r="X583" s="85">
        <f t="shared" si="78"/>
        <v>300</v>
      </c>
      <c r="Y583" s="85">
        <f>STATS1003B!Y582/1000</f>
        <v>0</v>
      </c>
      <c r="Z583" s="85">
        <f t="shared" si="64"/>
        <v>0</v>
      </c>
      <c r="AA583" s="69">
        <f>STATS1003B!AA582/1000</f>
        <v>300</v>
      </c>
      <c r="AB583" s="69">
        <f>STATS1003B!AB582/1000</f>
        <v>0</v>
      </c>
    </row>
    <row r="584" spans="1:28" hidden="1" x14ac:dyDescent="0.3">
      <c r="A584" s="117"/>
      <c r="C584" s="71" t="s">
        <v>930</v>
      </c>
      <c r="D584" s="89" t="s">
        <v>1126</v>
      </c>
      <c r="E584" s="85">
        <f>STATS1003B!E583/1000</f>
        <v>937.45222999999999</v>
      </c>
      <c r="F584" s="85">
        <f>STATS1003B!F583/1000</f>
        <v>937.45222999999999</v>
      </c>
      <c r="G584" s="85">
        <f>STATS1003B!G583/1000</f>
        <v>0</v>
      </c>
      <c r="H584" s="85">
        <f>STATS1003B!H583/1000</f>
        <v>937.45222999999999</v>
      </c>
      <c r="I584" s="85">
        <f>STATS1003B!I583/1000</f>
        <v>0</v>
      </c>
      <c r="J584" s="85">
        <f>STATS1003B!J583/1000</f>
        <v>0</v>
      </c>
      <c r="K584" s="85">
        <f>STATS1003B!K583/1000</f>
        <v>0</v>
      </c>
      <c r="L584" s="85">
        <f>STATS1003B!L583/1000</f>
        <v>0</v>
      </c>
      <c r="M584" s="85">
        <f>STATS1003B!M583/1000</f>
        <v>937.45222999999999</v>
      </c>
      <c r="N584" s="85">
        <f>STATS1003B!N583/1000</f>
        <v>0</v>
      </c>
      <c r="O584" s="85">
        <f>STATS1003B!O583/1000</f>
        <v>0</v>
      </c>
      <c r="P584" s="85">
        <f>STATS1003B!P583/1000</f>
        <v>0</v>
      </c>
      <c r="Q584" s="85">
        <f>STATS1003B!Q583/1000</f>
        <v>0</v>
      </c>
      <c r="R584" s="85">
        <f>STATS1003B!R583/1000</f>
        <v>0</v>
      </c>
      <c r="S584" s="85">
        <f>STATS1003B!S583/1000</f>
        <v>0</v>
      </c>
      <c r="T584" s="85">
        <f>STATS1003B!T583/1000</f>
        <v>0</v>
      </c>
      <c r="U584" s="85">
        <f>STATS1003B!U583/1000</f>
        <v>0</v>
      </c>
      <c r="V584" s="85">
        <f>STATS1003B!V583/1000</f>
        <v>0</v>
      </c>
      <c r="W584" s="85">
        <f>STATS1003B!W583/1000</f>
        <v>0</v>
      </c>
      <c r="X584" s="85">
        <f t="shared" si="78"/>
        <v>937.45222999999999</v>
      </c>
      <c r="Y584" s="85">
        <f>STATS1003B!Y583/1000</f>
        <v>0</v>
      </c>
      <c r="Z584" s="85">
        <f t="shared" si="64"/>
        <v>0</v>
      </c>
      <c r="AA584" s="69">
        <f>STATS1003B!AA583/1000</f>
        <v>937.45222999999999</v>
      </c>
      <c r="AB584" s="69">
        <f>STATS1003B!AB583/1000</f>
        <v>0</v>
      </c>
    </row>
    <row r="585" spans="1:28" hidden="1" x14ac:dyDescent="0.3">
      <c r="A585" s="117"/>
      <c r="C585" s="71" t="s">
        <v>1163</v>
      </c>
      <c r="D585" s="89" t="s">
        <v>1126</v>
      </c>
      <c r="E585" s="85">
        <f>STATS1003B!E584/1000</f>
        <v>400</v>
      </c>
      <c r="F585" s="85">
        <f>STATS1003B!F584/1000</f>
        <v>400</v>
      </c>
      <c r="G585" s="85">
        <f>STATS1003B!G584/1000</f>
        <v>0</v>
      </c>
      <c r="H585" s="85">
        <f>STATS1003B!H584/1000</f>
        <v>400</v>
      </c>
      <c r="I585" s="85">
        <f>STATS1003B!I584/1000</f>
        <v>0</v>
      </c>
      <c r="J585" s="85">
        <f>STATS1003B!J584/1000</f>
        <v>0</v>
      </c>
      <c r="K585" s="85">
        <f>STATS1003B!K584/1000</f>
        <v>0</v>
      </c>
      <c r="L585" s="85">
        <f>STATS1003B!L584/1000</f>
        <v>0</v>
      </c>
      <c r="M585" s="85">
        <f>STATS1003B!M584/1000</f>
        <v>400</v>
      </c>
      <c r="N585" s="85">
        <f>STATS1003B!N584/1000</f>
        <v>0</v>
      </c>
      <c r="O585" s="85">
        <f>STATS1003B!O584/1000</f>
        <v>0</v>
      </c>
      <c r="P585" s="85">
        <f>STATS1003B!P584/1000</f>
        <v>0</v>
      </c>
      <c r="Q585" s="85">
        <f>STATS1003B!Q584/1000</f>
        <v>0</v>
      </c>
      <c r="R585" s="85">
        <f>STATS1003B!R584/1000</f>
        <v>0</v>
      </c>
      <c r="S585" s="85">
        <f>STATS1003B!S584/1000</f>
        <v>0</v>
      </c>
      <c r="T585" s="85">
        <f>STATS1003B!T584/1000</f>
        <v>0</v>
      </c>
      <c r="U585" s="85">
        <f>STATS1003B!U584/1000</f>
        <v>0</v>
      </c>
      <c r="V585" s="85">
        <f>STATS1003B!V584/1000</f>
        <v>0</v>
      </c>
      <c r="W585" s="85">
        <f>STATS1003B!W584/1000</f>
        <v>0</v>
      </c>
      <c r="X585" s="85">
        <f t="shared" si="78"/>
        <v>400</v>
      </c>
      <c r="Y585" s="85">
        <f>STATS1003B!Y584/1000</f>
        <v>0</v>
      </c>
      <c r="Z585" s="85">
        <f t="shared" si="64"/>
        <v>0</v>
      </c>
      <c r="AA585" s="69">
        <f>STATS1003B!AA584/1000</f>
        <v>400</v>
      </c>
      <c r="AB585" s="69">
        <f>STATS1003B!AB584/1000</f>
        <v>0</v>
      </c>
    </row>
    <row r="586" spans="1:28" hidden="1" x14ac:dyDescent="0.3">
      <c r="A586" s="117"/>
      <c r="C586" s="71" t="s">
        <v>1192</v>
      </c>
      <c r="D586" s="89" t="s">
        <v>1126</v>
      </c>
      <c r="E586" s="85">
        <f>STATS1003B!E585/1000</f>
        <v>1885.1293500000002</v>
      </c>
      <c r="F586" s="85">
        <f>STATS1003B!F585/1000</f>
        <v>1885.1293500000002</v>
      </c>
      <c r="G586" s="85">
        <f>STATS1003B!G585/1000</f>
        <v>0</v>
      </c>
      <c r="H586" s="85">
        <f>STATS1003B!H585/1000</f>
        <v>1885.1293500000002</v>
      </c>
      <c r="I586" s="85">
        <f>STATS1003B!I585/1000</f>
        <v>0</v>
      </c>
      <c r="J586" s="85">
        <f>STATS1003B!J585/1000</f>
        <v>0</v>
      </c>
      <c r="K586" s="85">
        <f>STATS1003B!K585/1000</f>
        <v>0</v>
      </c>
      <c r="L586" s="85">
        <f>STATS1003B!L585/1000</f>
        <v>0</v>
      </c>
      <c r="M586" s="85">
        <f>STATS1003B!M585/1000</f>
        <v>1885.1293500000002</v>
      </c>
      <c r="N586" s="85">
        <f>STATS1003B!N585/1000</f>
        <v>0</v>
      </c>
      <c r="O586" s="85">
        <f>STATS1003B!O585/1000</f>
        <v>0</v>
      </c>
      <c r="P586" s="85">
        <f>STATS1003B!P585/1000</f>
        <v>0</v>
      </c>
      <c r="Q586" s="85">
        <f>STATS1003B!Q585/1000</f>
        <v>0</v>
      </c>
      <c r="R586" s="85">
        <f>STATS1003B!R585/1000</f>
        <v>0</v>
      </c>
      <c r="S586" s="85">
        <f>STATS1003B!S585/1000</f>
        <v>0</v>
      </c>
      <c r="T586" s="85">
        <f>STATS1003B!T585/1000</f>
        <v>0</v>
      </c>
      <c r="U586" s="85">
        <f>STATS1003B!U585/1000</f>
        <v>0</v>
      </c>
      <c r="V586" s="85">
        <f>STATS1003B!V585/1000</f>
        <v>0</v>
      </c>
      <c r="W586" s="85">
        <f>STATS1003B!W585/1000</f>
        <v>0</v>
      </c>
      <c r="X586" s="85">
        <f t="shared" si="78"/>
        <v>1885.1293500000002</v>
      </c>
      <c r="Y586" s="85">
        <f>STATS1003B!Y585/1000</f>
        <v>0</v>
      </c>
      <c r="Z586" s="85">
        <f t="shared" si="64"/>
        <v>0</v>
      </c>
      <c r="AA586" s="69">
        <f>STATS1003B!AA585/1000</f>
        <v>1885.1293500000002</v>
      </c>
      <c r="AB586" s="69">
        <f>STATS1003B!AB585/1000</f>
        <v>0</v>
      </c>
    </row>
    <row r="587" spans="1:28" hidden="1" x14ac:dyDescent="0.3">
      <c r="A587" s="117"/>
      <c r="C587" s="68" t="s">
        <v>57</v>
      </c>
      <c r="D587" s="89" t="s">
        <v>61</v>
      </c>
      <c r="E587" s="85">
        <f>STATS1003B!E586/1000</f>
        <v>1125.77746</v>
      </c>
      <c r="F587" s="85">
        <f>STATS1003B!F586/1000</f>
        <v>1125.77746</v>
      </c>
      <c r="G587" s="85">
        <f>STATS1003B!G586/1000</f>
        <v>0</v>
      </c>
      <c r="H587" s="85">
        <f>STATS1003B!H586/1000</f>
        <v>1125.77746</v>
      </c>
      <c r="I587" s="85">
        <f>STATS1003B!I586/1000</f>
        <v>0</v>
      </c>
      <c r="J587" s="85">
        <f>STATS1003B!J586/1000</f>
        <v>0</v>
      </c>
      <c r="K587" s="85">
        <f>STATS1003B!K586/1000</f>
        <v>0</v>
      </c>
      <c r="L587" s="85">
        <f>STATS1003B!L586/1000</f>
        <v>0</v>
      </c>
      <c r="M587" s="85">
        <f>STATS1003B!M586/1000</f>
        <v>1125.77746</v>
      </c>
      <c r="N587" s="85">
        <f>STATS1003B!N586/1000</f>
        <v>0</v>
      </c>
      <c r="O587" s="85">
        <f>STATS1003B!O586/1000</f>
        <v>0</v>
      </c>
      <c r="P587" s="85">
        <f>STATS1003B!P586/1000</f>
        <v>0</v>
      </c>
      <c r="Q587" s="85">
        <f>STATS1003B!Q586/1000</f>
        <v>0</v>
      </c>
      <c r="R587" s="85">
        <f>STATS1003B!R586/1000</f>
        <v>0</v>
      </c>
      <c r="S587" s="85">
        <f>STATS1003B!S586/1000</f>
        <v>0</v>
      </c>
      <c r="T587" s="85">
        <f>STATS1003B!T586/1000</f>
        <v>0</v>
      </c>
      <c r="U587" s="85">
        <f>STATS1003B!U586/1000</f>
        <v>0</v>
      </c>
      <c r="V587" s="85">
        <f>STATS1003B!V586/1000</f>
        <v>1125.77746</v>
      </c>
      <c r="W587" s="85">
        <f>STATS1003B!W586/1000</f>
        <v>0</v>
      </c>
      <c r="X587" s="85">
        <f t="shared" si="78"/>
        <v>1125.77746</v>
      </c>
      <c r="Y587" s="85">
        <f>STATS1003B!Y586/1000</f>
        <v>0</v>
      </c>
      <c r="Z587" s="85">
        <f t="shared" ref="Z587:Z625" si="79">+E587-X587</f>
        <v>0</v>
      </c>
      <c r="AA587" s="69">
        <f>STATS1003B!AA586/1000</f>
        <v>1125.77746</v>
      </c>
      <c r="AB587" s="69">
        <f>STATS1003B!AB586/1000</f>
        <v>0</v>
      </c>
    </row>
    <row r="588" spans="1:28" hidden="1" x14ac:dyDescent="0.3">
      <c r="A588" s="117"/>
      <c r="E588" s="86" t="s">
        <v>29</v>
      </c>
      <c r="F588" s="86" t="s">
        <v>29</v>
      </c>
      <c r="G588" s="86" t="s">
        <v>29</v>
      </c>
      <c r="H588" s="86" t="s">
        <v>29</v>
      </c>
      <c r="I588" s="86" t="s">
        <v>29</v>
      </c>
      <c r="J588" s="86" t="s">
        <v>29</v>
      </c>
      <c r="K588" s="86" t="s">
        <v>29</v>
      </c>
      <c r="L588" s="86" t="s">
        <v>29</v>
      </c>
      <c r="M588" s="86" t="s">
        <v>29</v>
      </c>
      <c r="N588" s="86" t="s">
        <v>29</v>
      </c>
      <c r="O588" s="86" t="s">
        <v>29</v>
      </c>
      <c r="P588" s="86" t="s">
        <v>29</v>
      </c>
      <c r="Q588" s="86" t="s">
        <v>29</v>
      </c>
      <c r="R588" s="86" t="s">
        <v>29</v>
      </c>
      <c r="S588" s="86" t="s">
        <v>29</v>
      </c>
      <c r="T588" s="86" t="s">
        <v>29</v>
      </c>
      <c r="U588" s="86" t="s">
        <v>29</v>
      </c>
      <c r="V588" s="86" t="s">
        <v>29</v>
      </c>
      <c r="W588" s="86" t="s">
        <v>29</v>
      </c>
      <c r="X588" s="85" t="e">
        <f t="shared" si="78"/>
        <v>#VALUE!</v>
      </c>
      <c r="Y588" s="86" t="s">
        <v>29</v>
      </c>
      <c r="Z588" s="85" t="e">
        <f t="shared" si="79"/>
        <v>#VALUE!</v>
      </c>
      <c r="AA588" s="115" t="s">
        <v>29</v>
      </c>
      <c r="AB588" s="115" t="s">
        <v>29</v>
      </c>
    </row>
    <row r="589" spans="1:28" x14ac:dyDescent="0.3">
      <c r="A589" s="116">
        <v>28</v>
      </c>
      <c r="B589" s="68" t="s">
        <v>186</v>
      </c>
      <c r="E589" s="85">
        <f>125610933.42/1000</f>
        <v>125610.93342</v>
      </c>
      <c r="F589" s="85">
        <f>SUM(F573:F587)</f>
        <v>40250.584089999997</v>
      </c>
      <c r="G589" s="85">
        <f>SUM(G573:G587)</f>
        <v>0</v>
      </c>
      <c r="H589" s="85">
        <f>113836696.48/1000</f>
        <v>113836.69648</v>
      </c>
      <c r="I589" s="85">
        <f t="shared" ref="I589:O589" si="80">SUM(I573:I587)</f>
        <v>0</v>
      </c>
      <c r="J589" s="85">
        <f t="shared" si="80"/>
        <v>0</v>
      </c>
      <c r="K589" s="85">
        <f t="shared" si="80"/>
        <v>0</v>
      </c>
      <c r="L589" s="85">
        <f t="shared" si="80"/>
        <v>0</v>
      </c>
      <c r="M589" s="85">
        <f t="shared" si="80"/>
        <v>40250.584089999997</v>
      </c>
      <c r="N589" s="85">
        <f t="shared" si="80"/>
        <v>11002.85333</v>
      </c>
      <c r="O589" s="85">
        <f t="shared" si="80"/>
        <v>0</v>
      </c>
      <c r="P589" s="85">
        <f>11002853/1000</f>
        <v>11002.852999999999</v>
      </c>
      <c r="Q589" s="85">
        <f t="shared" ref="Q589:W589" si="81">SUM(Q573:Q587)</f>
        <v>0</v>
      </c>
      <c r="R589" s="85">
        <f t="shared" si="81"/>
        <v>0</v>
      </c>
      <c r="S589" s="85">
        <f t="shared" si="81"/>
        <v>0</v>
      </c>
      <c r="T589" s="85">
        <f t="shared" si="81"/>
        <v>0</v>
      </c>
      <c r="U589" s="85">
        <f t="shared" si="81"/>
        <v>11002.85333</v>
      </c>
      <c r="V589" s="85">
        <f t="shared" si="81"/>
        <v>48030.855839999997</v>
      </c>
      <c r="W589" s="85">
        <f t="shared" si="81"/>
        <v>771.38360999999998</v>
      </c>
      <c r="X589" s="85">
        <f t="shared" si="78"/>
        <v>124839.54948</v>
      </c>
      <c r="Y589" s="85">
        <f>SUM(Y573:Y587)</f>
        <v>0</v>
      </c>
      <c r="Z589" s="85">
        <f t="shared" si="79"/>
        <v>771.38393999999971</v>
      </c>
      <c r="AA589" s="69">
        <f>SUM(AA573:AA587)</f>
        <v>51253.437420000002</v>
      </c>
      <c r="AB589" s="69">
        <f>SUM(AB573:AB587)</f>
        <v>771.38360999999998</v>
      </c>
    </row>
    <row r="590" spans="1:28" hidden="1" x14ac:dyDescent="0.3">
      <c r="A590" s="117"/>
      <c r="E590" s="86" t="s">
        <v>29</v>
      </c>
      <c r="F590" s="86" t="s">
        <v>29</v>
      </c>
      <c r="G590" s="86" t="s">
        <v>29</v>
      </c>
      <c r="H590" s="86" t="s">
        <v>29</v>
      </c>
      <c r="I590" s="86" t="s">
        <v>29</v>
      </c>
      <c r="J590" s="86" t="s">
        <v>29</v>
      </c>
      <c r="K590" s="86" t="s">
        <v>29</v>
      </c>
      <c r="L590" s="86" t="s">
        <v>29</v>
      </c>
      <c r="M590" s="86" t="s">
        <v>29</v>
      </c>
      <c r="N590" s="86" t="s">
        <v>29</v>
      </c>
      <c r="O590" s="86" t="s">
        <v>29</v>
      </c>
      <c r="P590" s="86" t="s">
        <v>29</v>
      </c>
      <c r="Q590" s="86" t="s">
        <v>29</v>
      </c>
      <c r="R590" s="86" t="s">
        <v>29</v>
      </c>
      <c r="S590" s="86" t="s">
        <v>29</v>
      </c>
      <c r="T590" s="86" t="s">
        <v>29</v>
      </c>
      <c r="U590" s="86" t="s">
        <v>29</v>
      </c>
      <c r="V590" s="86" t="s">
        <v>29</v>
      </c>
      <c r="W590" s="86" t="s">
        <v>29</v>
      </c>
      <c r="X590" s="85" t="e">
        <f t="shared" si="78"/>
        <v>#VALUE!</v>
      </c>
      <c r="Y590" s="86" t="s">
        <v>29</v>
      </c>
      <c r="Z590" s="85" t="e">
        <f t="shared" si="79"/>
        <v>#VALUE!</v>
      </c>
      <c r="AA590" s="115" t="s">
        <v>29</v>
      </c>
      <c r="AB590" s="115" t="s">
        <v>29</v>
      </c>
    </row>
    <row r="591" spans="1:28" hidden="1" x14ac:dyDescent="0.3">
      <c r="A591" s="105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5">
        <f t="shared" si="78"/>
        <v>0</v>
      </c>
      <c r="Y591" s="84"/>
      <c r="Z591" s="85">
        <f t="shared" si="79"/>
        <v>0</v>
      </c>
      <c r="AA591" s="118"/>
    </row>
    <row r="592" spans="1:28" hidden="1" x14ac:dyDescent="0.3">
      <c r="A592" s="117"/>
      <c r="C592" s="68" t="s">
        <v>75</v>
      </c>
      <c r="D592" s="88" t="s">
        <v>76</v>
      </c>
      <c r="E592" s="85">
        <f>STATS1003B!E591/1000</f>
        <v>1569</v>
      </c>
      <c r="F592" s="85">
        <f>STATS1003B!F591/1000</f>
        <v>0</v>
      </c>
      <c r="G592" s="85">
        <f>STATS1003B!G591/1000</f>
        <v>0</v>
      </c>
      <c r="H592" s="85">
        <f>STATS1003B!H591/1000</f>
        <v>0</v>
      </c>
      <c r="I592" s="85">
        <f>STATS1003B!I591/1000</f>
        <v>0</v>
      </c>
      <c r="J592" s="85">
        <f>STATS1003B!J591/1000</f>
        <v>0</v>
      </c>
      <c r="K592" s="85">
        <f>STATS1003B!K591/1000</f>
        <v>0</v>
      </c>
      <c r="L592" s="85">
        <f>STATS1003B!L591/1000</f>
        <v>0</v>
      </c>
      <c r="M592" s="85">
        <f>STATS1003B!M591/1000</f>
        <v>0</v>
      </c>
      <c r="N592" s="85">
        <f>STATS1003B!N591/1000</f>
        <v>998.39665000000002</v>
      </c>
      <c r="O592" s="85">
        <f>STATS1003B!O591/1000</f>
        <v>0</v>
      </c>
      <c r="P592" s="85">
        <f>STATS1003B!P591/1000</f>
        <v>998.39665000000002</v>
      </c>
      <c r="Q592" s="85">
        <f>STATS1003B!Q591/1000</f>
        <v>0</v>
      </c>
      <c r="R592" s="85">
        <f>STATS1003B!R591/1000</f>
        <v>0</v>
      </c>
      <c r="S592" s="85">
        <f>STATS1003B!S591/1000</f>
        <v>0</v>
      </c>
      <c r="T592" s="85">
        <f>STATS1003B!T591/1000</f>
        <v>0</v>
      </c>
      <c r="U592" s="85">
        <f>STATS1003B!U591/1000</f>
        <v>998.39665000000002</v>
      </c>
      <c r="V592" s="85">
        <f>STATS1003B!V591/1000</f>
        <v>998.39665000000002</v>
      </c>
      <c r="W592" s="85">
        <f>STATS1003B!W591/1000</f>
        <v>570.60334999999998</v>
      </c>
      <c r="X592" s="85">
        <f t="shared" si="78"/>
        <v>998.39665000000002</v>
      </c>
      <c r="Y592" s="85">
        <f>STATS1003B!Y591/1000</f>
        <v>0</v>
      </c>
      <c r="Z592" s="85">
        <f t="shared" si="79"/>
        <v>570.60334999999998</v>
      </c>
      <c r="AA592" s="69">
        <f>STATS1003B!AA591/1000</f>
        <v>998.39665000000002</v>
      </c>
      <c r="AB592" s="69">
        <f>STATS1003B!AB591/1000</f>
        <v>570.60334999999998</v>
      </c>
    </row>
    <row r="593" spans="1:28" hidden="1" x14ac:dyDescent="0.3">
      <c r="A593" s="117"/>
      <c r="C593" s="68" t="s">
        <v>149</v>
      </c>
      <c r="D593" s="88" t="s">
        <v>150</v>
      </c>
      <c r="E593" s="85">
        <f>STATS1003B!E592/1000</f>
        <v>3236.7550000000001</v>
      </c>
      <c r="F593" s="85">
        <f>STATS1003B!F592/1000</f>
        <v>2168.7214700000004</v>
      </c>
      <c r="G593" s="85">
        <f>STATS1003B!G592/1000</f>
        <v>0</v>
      </c>
      <c r="H593" s="85">
        <f>STATS1003B!H592/1000</f>
        <v>2168.7214700000004</v>
      </c>
      <c r="I593" s="85">
        <f>STATS1003B!I592/1000</f>
        <v>0</v>
      </c>
      <c r="J593" s="85">
        <f>STATS1003B!J592/1000</f>
        <v>0</v>
      </c>
      <c r="K593" s="85">
        <f>STATS1003B!K592/1000</f>
        <v>0</v>
      </c>
      <c r="L593" s="85">
        <f>STATS1003B!L592/1000</f>
        <v>0</v>
      </c>
      <c r="M593" s="85">
        <f>STATS1003B!M592/1000</f>
        <v>2168.7214700000004</v>
      </c>
      <c r="N593" s="85">
        <f>STATS1003B!N592/1000</f>
        <v>904.11999000000003</v>
      </c>
      <c r="O593" s="85">
        <f>STATS1003B!O592/1000</f>
        <v>0</v>
      </c>
      <c r="P593" s="85">
        <f>STATS1003B!P592/1000</f>
        <v>904.11999000000003</v>
      </c>
      <c r="Q593" s="85">
        <f>STATS1003B!Q592/1000</f>
        <v>0</v>
      </c>
      <c r="R593" s="85">
        <f>STATS1003B!R592/1000</f>
        <v>0</v>
      </c>
      <c r="S593" s="85">
        <f>STATS1003B!S592/1000</f>
        <v>0</v>
      </c>
      <c r="T593" s="85">
        <f>STATS1003B!T592/1000</f>
        <v>0</v>
      </c>
      <c r="U593" s="85">
        <f>STATS1003B!U592/1000</f>
        <v>904.11999000000003</v>
      </c>
      <c r="V593" s="85">
        <f>STATS1003B!V592/1000</f>
        <v>3072.8414600000001</v>
      </c>
      <c r="W593" s="85">
        <f>STATS1003B!W592/1000</f>
        <v>163.91354000000004</v>
      </c>
      <c r="X593" s="85">
        <f t="shared" si="78"/>
        <v>3072.8414600000006</v>
      </c>
      <c r="Y593" s="85">
        <f>STATS1003B!Y592/1000</f>
        <v>0</v>
      </c>
      <c r="Z593" s="85">
        <f t="shared" si="79"/>
        <v>163.91353999999956</v>
      </c>
      <c r="AA593" s="69">
        <f>STATS1003B!AA592/1000</f>
        <v>3072.8414600000001</v>
      </c>
      <c r="AB593" s="69">
        <f>STATS1003B!AB592/1000</f>
        <v>163.91354000000004</v>
      </c>
    </row>
    <row r="594" spans="1:28" hidden="1" x14ac:dyDescent="0.3">
      <c r="A594" s="117"/>
      <c r="C594" s="68" t="s">
        <v>151</v>
      </c>
      <c r="D594" s="88" t="s">
        <v>150</v>
      </c>
      <c r="E594" s="85">
        <f>STATS1003B!E593/1000</f>
        <v>174570.99476</v>
      </c>
      <c r="F594" s="85">
        <f>STATS1003B!F593/1000</f>
        <v>98849.889650000012</v>
      </c>
      <c r="G594" s="85">
        <f>STATS1003B!G593/1000</f>
        <v>0</v>
      </c>
      <c r="H594" s="85">
        <f>STATS1003B!H593/1000</f>
        <v>98849.889650000012</v>
      </c>
      <c r="I594" s="85">
        <f>STATS1003B!I593/1000</f>
        <v>0</v>
      </c>
      <c r="J594" s="85">
        <f>STATS1003B!J593/1000</f>
        <v>0</v>
      </c>
      <c r="K594" s="85">
        <f>STATS1003B!K593/1000</f>
        <v>0</v>
      </c>
      <c r="L594" s="85">
        <f>STATS1003B!L593/1000</f>
        <v>0</v>
      </c>
      <c r="M594" s="85">
        <f>STATS1003B!M593/1000</f>
        <v>98849.889650000012</v>
      </c>
      <c r="N594" s="85">
        <f>STATS1003B!N593/1000</f>
        <v>0</v>
      </c>
      <c r="O594" s="85">
        <f>STATS1003B!O593/1000</f>
        <v>0</v>
      </c>
      <c r="P594" s="85">
        <f>STATS1003B!P593/1000</f>
        <v>0</v>
      </c>
      <c r="Q594" s="85">
        <f>STATS1003B!Q593/1000</f>
        <v>0</v>
      </c>
      <c r="R594" s="85">
        <f>STATS1003B!R593/1000</f>
        <v>0</v>
      </c>
      <c r="S594" s="85">
        <f>STATS1003B!S593/1000</f>
        <v>0</v>
      </c>
      <c r="T594" s="85">
        <f>STATS1003B!T593/1000</f>
        <v>0</v>
      </c>
      <c r="U594" s="85">
        <f>STATS1003B!U593/1000</f>
        <v>0</v>
      </c>
      <c r="V594" s="85">
        <f>STATS1003B!V593/1000</f>
        <v>98849.889650000012</v>
      </c>
      <c r="W594" s="85">
        <f>STATS1003B!W593/1000</f>
        <v>75721.10510999999</v>
      </c>
      <c r="X594" s="85">
        <f t="shared" si="78"/>
        <v>98849.889650000012</v>
      </c>
      <c r="Y594" s="85">
        <f>STATS1003B!Y593/1000</f>
        <v>0</v>
      </c>
      <c r="Z594" s="85">
        <f t="shared" si="79"/>
        <v>75721.10510999999</v>
      </c>
      <c r="AA594" s="69">
        <f>STATS1003B!AA593/1000</f>
        <v>98849.889650000012</v>
      </c>
      <c r="AB594" s="69">
        <f>STATS1003B!AB593/1000</f>
        <v>75721.10510999999</v>
      </c>
    </row>
    <row r="595" spans="1:28" hidden="1" x14ac:dyDescent="0.3">
      <c r="A595" s="117"/>
      <c r="D595" s="87" t="s">
        <v>79</v>
      </c>
      <c r="E595" s="85">
        <f>STATS1003B!E594/1000</f>
        <v>0</v>
      </c>
      <c r="F595" s="85">
        <f>STATS1003B!F594/1000</f>
        <v>0</v>
      </c>
      <c r="G595" s="85">
        <f>STATS1003B!G594/1000</f>
        <v>0</v>
      </c>
      <c r="H595" s="85">
        <f>STATS1003B!H594/1000</f>
        <v>0</v>
      </c>
      <c r="I595" s="85">
        <f>STATS1003B!I594/1000</f>
        <v>0</v>
      </c>
      <c r="J595" s="85">
        <f>STATS1003B!J594/1000</f>
        <v>0</v>
      </c>
      <c r="K595" s="85">
        <f>STATS1003B!K594/1000</f>
        <v>0</v>
      </c>
      <c r="L595" s="85">
        <f>STATS1003B!L594/1000</f>
        <v>0</v>
      </c>
      <c r="M595" s="85">
        <f>STATS1003B!M594/1000</f>
        <v>0</v>
      </c>
      <c r="N595" s="85">
        <f>STATS1003B!N594/1000</f>
        <v>0</v>
      </c>
      <c r="O595" s="85">
        <f>STATS1003B!O594/1000</f>
        <v>0</v>
      </c>
      <c r="P595" s="85">
        <f>STATS1003B!P594/1000</f>
        <v>0</v>
      </c>
      <c r="Q595" s="85">
        <f>STATS1003B!Q594/1000</f>
        <v>0</v>
      </c>
      <c r="R595" s="85">
        <f>STATS1003B!R594/1000</f>
        <v>0</v>
      </c>
      <c r="S595" s="85">
        <f>STATS1003B!S594/1000</f>
        <v>0</v>
      </c>
      <c r="T595" s="85">
        <f>STATS1003B!T594/1000</f>
        <v>0</v>
      </c>
      <c r="U595" s="85">
        <f>STATS1003B!U594/1000</f>
        <v>0</v>
      </c>
      <c r="V595" s="85">
        <f>STATS1003B!V594/1000</f>
        <v>0</v>
      </c>
      <c r="W595" s="85">
        <f>STATS1003B!W594/1000</f>
        <v>0</v>
      </c>
      <c r="X595" s="85">
        <f t="shared" si="78"/>
        <v>0</v>
      </c>
      <c r="Y595" s="85">
        <f>STATS1003B!Y594/1000</f>
        <v>0</v>
      </c>
      <c r="Z595" s="85">
        <f t="shared" si="79"/>
        <v>0</v>
      </c>
      <c r="AA595" s="69">
        <f>STATS1003B!AA594/1000</f>
        <v>0</v>
      </c>
      <c r="AB595" s="69">
        <f>STATS1003B!AB594/1000</f>
        <v>0</v>
      </c>
    </row>
    <row r="596" spans="1:28" hidden="1" x14ac:dyDescent="0.3">
      <c r="A596" s="117"/>
      <c r="C596" s="68" t="s">
        <v>57</v>
      </c>
      <c r="D596" s="71" t="s">
        <v>191</v>
      </c>
      <c r="E596" s="85">
        <f>STATS1003B!E595/1000</f>
        <v>4005.9220999999998</v>
      </c>
      <c r="F596" s="85">
        <f>STATS1003B!F595/1000</f>
        <v>3555.6979000000001</v>
      </c>
      <c r="G596" s="85">
        <f>STATS1003B!G595/1000</f>
        <v>0</v>
      </c>
      <c r="H596" s="85">
        <f>STATS1003B!H595/1000</f>
        <v>3555.6979000000001</v>
      </c>
      <c r="I596" s="85">
        <f>STATS1003B!I595/1000</f>
        <v>0</v>
      </c>
      <c r="J596" s="85">
        <f>STATS1003B!J595/1000</f>
        <v>0</v>
      </c>
      <c r="K596" s="85">
        <f>STATS1003B!K595/1000</f>
        <v>0</v>
      </c>
      <c r="L596" s="85">
        <f>STATS1003B!L595/1000</f>
        <v>0</v>
      </c>
      <c r="M596" s="85">
        <f>STATS1003B!M595/1000</f>
        <v>3555.6979000000001</v>
      </c>
      <c r="N596" s="85">
        <f>STATS1003B!N595/1000</f>
        <v>450.2242</v>
      </c>
      <c r="O596" s="85">
        <f>STATS1003B!O595/1000</f>
        <v>0</v>
      </c>
      <c r="P596" s="85">
        <f>STATS1003B!P595/1000</f>
        <v>450.2242</v>
      </c>
      <c r="Q596" s="85">
        <f>STATS1003B!Q595/1000</f>
        <v>0</v>
      </c>
      <c r="R596" s="85">
        <f>STATS1003B!R595/1000</f>
        <v>0</v>
      </c>
      <c r="S596" s="85">
        <f>STATS1003B!S595/1000</f>
        <v>0</v>
      </c>
      <c r="T596" s="85">
        <f>STATS1003B!T595/1000</f>
        <v>0</v>
      </c>
      <c r="U596" s="85">
        <f>STATS1003B!U595/1000</f>
        <v>450.2242</v>
      </c>
      <c r="V596" s="85">
        <f>STATS1003B!V595/1000</f>
        <v>4005.9221000000002</v>
      </c>
      <c r="W596" s="85">
        <f>STATS1003B!W595/1000</f>
        <v>0</v>
      </c>
      <c r="X596" s="85">
        <f t="shared" si="78"/>
        <v>4005.9221000000002</v>
      </c>
      <c r="Y596" s="85">
        <f>STATS1003B!Y595/1000</f>
        <v>0</v>
      </c>
      <c r="Z596" s="85">
        <f t="shared" si="79"/>
        <v>0</v>
      </c>
      <c r="AA596" s="69">
        <f>STATS1003B!AA595/1000</f>
        <v>4005.9221000000002</v>
      </c>
      <c r="AB596" s="69">
        <f>STATS1003B!AB595/1000</f>
        <v>0</v>
      </c>
    </row>
    <row r="597" spans="1:28" hidden="1" x14ac:dyDescent="0.3">
      <c r="A597" s="117"/>
      <c r="C597" s="68" t="s">
        <v>53</v>
      </c>
      <c r="D597" s="87" t="s">
        <v>68</v>
      </c>
      <c r="E597" s="85">
        <f>STATS1003B!E596/1000</f>
        <v>1953.989</v>
      </c>
      <c r="F597" s="85">
        <f>STATS1003B!F596/1000</f>
        <v>0</v>
      </c>
      <c r="G597" s="85">
        <f>STATS1003B!G596/1000</f>
        <v>0</v>
      </c>
      <c r="H597" s="85">
        <f>STATS1003B!H596/1000</f>
        <v>0</v>
      </c>
      <c r="I597" s="85">
        <f>STATS1003B!I596/1000</f>
        <v>0</v>
      </c>
      <c r="J597" s="85">
        <f>STATS1003B!J596/1000</f>
        <v>0</v>
      </c>
      <c r="K597" s="85">
        <f>STATS1003B!K596/1000</f>
        <v>0</v>
      </c>
      <c r="L597" s="85">
        <f>STATS1003B!L596/1000</f>
        <v>0</v>
      </c>
      <c r="M597" s="85">
        <f>STATS1003B!M596/1000</f>
        <v>0</v>
      </c>
      <c r="N597" s="85">
        <f>STATS1003B!N596/1000</f>
        <v>1953.989</v>
      </c>
      <c r="O597" s="85">
        <f>STATS1003B!O596/1000</f>
        <v>0</v>
      </c>
      <c r="P597" s="85">
        <f>STATS1003B!P596/1000</f>
        <v>1953.989</v>
      </c>
      <c r="Q597" s="85">
        <f>STATS1003B!Q596/1000</f>
        <v>0</v>
      </c>
      <c r="R597" s="85">
        <f>STATS1003B!R596/1000</f>
        <v>0</v>
      </c>
      <c r="S597" s="85">
        <f>STATS1003B!S596/1000</f>
        <v>0</v>
      </c>
      <c r="T597" s="85">
        <f>STATS1003B!T596/1000</f>
        <v>0</v>
      </c>
      <c r="U597" s="85">
        <f>STATS1003B!U596/1000</f>
        <v>1953.989</v>
      </c>
      <c r="V597" s="85">
        <f>STATS1003B!V596/1000</f>
        <v>1953.989</v>
      </c>
      <c r="W597" s="85">
        <f>STATS1003B!W596/1000</f>
        <v>0</v>
      </c>
      <c r="X597" s="85">
        <f t="shared" si="78"/>
        <v>1953.989</v>
      </c>
      <c r="Y597" s="85">
        <f>STATS1003B!Y596/1000</f>
        <v>0</v>
      </c>
      <c r="Z597" s="85">
        <f t="shared" si="79"/>
        <v>0</v>
      </c>
      <c r="AA597" s="69">
        <f>STATS1003B!AA596/1000</f>
        <v>1953.989</v>
      </c>
      <c r="AB597" s="69">
        <f>STATS1003B!AB596/1000</f>
        <v>0</v>
      </c>
    </row>
    <row r="598" spans="1:28" hidden="1" x14ac:dyDescent="0.3">
      <c r="A598" s="117"/>
      <c r="C598" s="68" t="s">
        <v>55</v>
      </c>
      <c r="D598" s="87" t="s">
        <v>54</v>
      </c>
      <c r="E598" s="85">
        <f>STATS1003B!E597/1000</f>
        <v>196.1199</v>
      </c>
      <c r="F598" s="85">
        <f>STATS1003B!F597/1000</f>
        <v>0</v>
      </c>
      <c r="G598" s="85">
        <f>STATS1003B!G597/1000</f>
        <v>0</v>
      </c>
      <c r="H598" s="85">
        <f>STATS1003B!H597/1000</f>
        <v>0</v>
      </c>
      <c r="I598" s="85">
        <f>STATS1003B!I597/1000</f>
        <v>0</v>
      </c>
      <c r="J598" s="85">
        <f>STATS1003B!J597/1000</f>
        <v>0</v>
      </c>
      <c r="K598" s="85">
        <f>STATS1003B!K597/1000</f>
        <v>0</v>
      </c>
      <c r="L598" s="85">
        <f>STATS1003B!L597/1000</f>
        <v>0</v>
      </c>
      <c r="M598" s="85">
        <f>STATS1003B!M597/1000</f>
        <v>0</v>
      </c>
      <c r="N598" s="85">
        <f>STATS1003B!N597/1000</f>
        <v>196.1199</v>
      </c>
      <c r="O598" s="85">
        <f>STATS1003B!O597/1000</f>
        <v>0</v>
      </c>
      <c r="P598" s="85">
        <f>STATS1003B!P597/1000</f>
        <v>196.1199</v>
      </c>
      <c r="Q598" s="85">
        <f>STATS1003B!Q597/1000</f>
        <v>0</v>
      </c>
      <c r="R598" s="85">
        <f>STATS1003B!R597/1000</f>
        <v>0</v>
      </c>
      <c r="S598" s="85">
        <f>STATS1003B!S597/1000</f>
        <v>0</v>
      </c>
      <c r="T598" s="85">
        <f>STATS1003B!T597/1000</f>
        <v>0</v>
      </c>
      <c r="U598" s="85">
        <f>STATS1003B!U597/1000</f>
        <v>196.1199</v>
      </c>
      <c r="V598" s="85">
        <f>STATS1003B!V597/1000</f>
        <v>196.1199</v>
      </c>
      <c r="W598" s="85">
        <f>STATS1003B!W597/1000</f>
        <v>0</v>
      </c>
      <c r="X598" s="85">
        <f t="shared" si="78"/>
        <v>196.1199</v>
      </c>
      <c r="Y598" s="85">
        <f>STATS1003B!Y597/1000</f>
        <v>0</v>
      </c>
      <c r="Z598" s="85">
        <f t="shared" si="79"/>
        <v>0</v>
      </c>
      <c r="AA598" s="69">
        <f>STATS1003B!AA597/1000</f>
        <v>196.1199</v>
      </c>
      <c r="AB598" s="69">
        <f>STATS1003B!AB597/1000</f>
        <v>0</v>
      </c>
    </row>
    <row r="599" spans="1:28" hidden="1" x14ac:dyDescent="0.3">
      <c r="A599" s="117"/>
      <c r="C599" s="68" t="s">
        <v>192</v>
      </c>
      <c r="D599" s="87" t="s">
        <v>54</v>
      </c>
      <c r="E599" s="85">
        <f>STATS1003B!E598/1000</f>
        <v>955.34561999999994</v>
      </c>
      <c r="F599" s="85">
        <f>STATS1003B!F598/1000</f>
        <v>0</v>
      </c>
      <c r="G599" s="85">
        <f>STATS1003B!G598/1000</f>
        <v>0</v>
      </c>
      <c r="H599" s="85">
        <f>STATS1003B!H598/1000</f>
        <v>0</v>
      </c>
      <c r="I599" s="85">
        <f>STATS1003B!I598/1000</f>
        <v>0</v>
      </c>
      <c r="J599" s="85">
        <f>STATS1003B!J598/1000</f>
        <v>0</v>
      </c>
      <c r="K599" s="85">
        <f>STATS1003B!K598/1000</f>
        <v>0</v>
      </c>
      <c r="L599" s="85">
        <f>STATS1003B!L598/1000</f>
        <v>0</v>
      </c>
      <c r="M599" s="85">
        <f>STATS1003B!M598/1000</f>
        <v>0</v>
      </c>
      <c r="N599" s="85">
        <f>STATS1003B!N598/1000</f>
        <v>955.34561999999994</v>
      </c>
      <c r="O599" s="85">
        <f>STATS1003B!O598/1000</f>
        <v>0</v>
      </c>
      <c r="P599" s="85">
        <f>STATS1003B!P598/1000</f>
        <v>955.34561999999994</v>
      </c>
      <c r="Q599" s="85">
        <f>STATS1003B!Q598/1000</f>
        <v>0</v>
      </c>
      <c r="R599" s="85">
        <f>STATS1003B!R598/1000</f>
        <v>0</v>
      </c>
      <c r="S599" s="85">
        <f>STATS1003B!S598/1000</f>
        <v>0</v>
      </c>
      <c r="T599" s="85">
        <f>STATS1003B!T598/1000</f>
        <v>0</v>
      </c>
      <c r="U599" s="85">
        <f>STATS1003B!U598/1000</f>
        <v>955.34561999999994</v>
      </c>
      <c r="V599" s="85">
        <f>STATS1003B!V598/1000</f>
        <v>955.34561999999994</v>
      </c>
      <c r="W599" s="85">
        <f>STATS1003B!W598/1000</f>
        <v>0</v>
      </c>
      <c r="X599" s="85">
        <f t="shared" si="78"/>
        <v>955.34561999999994</v>
      </c>
      <c r="Y599" s="85">
        <f>STATS1003B!Y598/1000</f>
        <v>0</v>
      </c>
      <c r="Z599" s="85">
        <f t="shared" si="79"/>
        <v>0</v>
      </c>
      <c r="AA599" s="69">
        <f>STATS1003B!AA598/1000</f>
        <v>955.34561999999994</v>
      </c>
      <c r="AB599" s="69">
        <f>STATS1003B!AB598/1000</f>
        <v>0</v>
      </c>
    </row>
    <row r="600" spans="1:28" hidden="1" x14ac:dyDescent="0.3">
      <c r="A600" s="117"/>
      <c r="C600" s="68" t="s">
        <v>106</v>
      </c>
      <c r="D600" s="87" t="s">
        <v>85</v>
      </c>
      <c r="E600" s="85">
        <f>STATS1003B!E599/1000</f>
        <v>160</v>
      </c>
      <c r="F600" s="85">
        <f>STATS1003B!F599/1000</f>
        <v>160</v>
      </c>
      <c r="G600" s="85">
        <f>STATS1003B!G599/1000</f>
        <v>0</v>
      </c>
      <c r="H600" s="85">
        <f>STATS1003B!H599/1000</f>
        <v>160</v>
      </c>
      <c r="I600" s="85">
        <f>STATS1003B!I599/1000</f>
        <v>0</v>
      </c>
      <c r="J600" s="85">
        <f>STATS1003B!J599/1000</f>
        <v>0</v>
      </c>
      <c r="K600" s="85">
        <f>STATS1003B!K599/1000</f>
        <v>0</v>
      </c>
      <c r="L600" s="85">
        <f>STATS1003B!L599/1000</f>
        <v>0</v>
      </c>
      <c r="M600" s="85">
        <f>STATS1003B!M599/1000</f>
        <v>160</v>
      </c>
      <c r="N600" s="85">
        <f>STATS1003B!N599/1000</f>
        <v>0</v>
      </c>
      <c r="O600" s="85">
        <f>STATS1003B!O599/1000</f>
        <v>0</v>
      </c>
      <c r="P600" s="85">
        <f>STATS1003B!P599/1000</f>
        <v>0</v>
      </c>
      <c r="Q600" s="85">
        <f>STATS1003B!Q599/1000</f>
        <v>0</v>
      </c>
      <c r="R600" s="85">
        <f>STATS1003B!R599/1000</f>
        <v>0</v>
      </c>
      <c r="S600" s="85">
        <f>STATS1003B!S599/1000</f>
        <v>0</v>
      </c>
      <c r="T600" s="85">
        <f>STATS1003B!T599/1000</f>
        <v>0</v>
      </c>
      <c r="U600" s="85">
        <f>STATS1003B!U599/1000</f>
        <v>0</v>
      </c>
      <c r="V600" s="85">
        <f>STATS1003B!V599/1000</f>
        <v>160</v>
      </c>
      <c r="W600" s="85">
        <f>STATS1003B!W599/1000</f>
        <v>0</v>
      </c>
      <c r="X600" s="85">
        <f t="shared" si="78"/>
        <v>160</v>
      </c>
      <c r="Y600" s="85">
        <f>STATS1003B!Y599/1000</f>
        <v>0</v>
      </c>
      <c r="Z600" s="85">
        <f t="shared" si="79"/>
        <v>0</v>
      </c>
      <c r="AA600" s="69">
        <f>STATS1003B!AA599/1000</f>
        <v>160</v>
      </c>
      <c r="AB600" s="69">
        <f>STATS1003B!AB599/1000</f>
        <v>0</v>
      </c>
    </row>
    <row r="601" spans="1:28" hidden="1" x14ac:dyDescent="0.3">
      <c r="A601" s="117"/>
      <c r="C601" s="68" t="s">
        <v>57</v>
      </c>
      <c r="D601" s="87" t="s">
        <v>60</v>
      </c>
      <c r="E601" s="85">
        <f>STATS1003B!E600/1000</f>
        <v>2000</v>
      </c>
      <c r="F601" s="85">
        <f>STATS1003B!F600/1000</f>
        <v>2000</v>
      </c>
      <c r="G601" s="85">
        <f>STATS1003B!G600/1000</f>
        <v>0</v>
      </c>
      <c r="H601" s="85">
        <f>STATS1003B!H600/1000</f>
        <v>2000</v>
      </c>
      <c r="I601" s="85">
        <f>STATS1003B!I600/1000</f>
        <v>0</v>
      </c>
      <c r="J601" s="85">
        <f>STATS1003B!J600/1000</f>
        <v>0</v>
      </c>
      <c r="K601" s="85">
        <f>STATS1003B!K600/1000</f>
        <v>0</v>
      </c>
      <c r="L601" s="85">
        <f>STATS1003B!L600/1000</f>
        <v>0</v>
      </c>
      <c r="M601" s="85">
        <f>STATS1003B!M600/1000</f>
        <v>2000</v>
      </c>
      <c r="N601" s="85">
        <f>STATS1003B!N600/1000</f>
        <v>0</v>
      </c>
      <c r="O601" s="85">
        <f>STATS1003B!O600/1000</f>
        <v>0</v>
      </c>
      <c r="P601" s="85">
        <f>STATS1003B!P600/1000</f>
        <v>0</v>
      </c>
      <c r="Q601" s="85">
        <f>STATS1003B!Q600/1000</f>
        <v>0</v>
      </c>
      <c r="R601" s="85">
        <f>STATS1003B!R600/1000</f>
        <v>0</v>
      </c>
      <c r="S601" s="85">
        <f>STATS1003B!S600/1000</f>
        <v>0</v>
      </c>
      <c r="T601" s="85">
        <f>STATS1003B!T600/1000</f>
        <v>0</v>
      </c>
      <c r="U601" s="85">
        <f>STATS1003B!U600/1000</f>
        <v>0</v>
      </c>
      <c r="V601" s="85">
        <f>STATS1003B!V600/1000</f>
        <v>2000</v>
      </c>
      <c r="W601" s="85">
        <f>STATS1003B!W600/1000</f>
        <v>0</v>
      </c>
      <c r="X601" s="85">
        <f t="shared" si="78"/>
        <v>2000</v>
      </c>
      <c r="Y601" s="85">
        <f>STATS1003B!Y600/1000</f>
        <v>0</v>
      </c>
      <c r="Z601" s="85">
        <f t="shared" si="79"/>
        <v>0</v>
      </c>
      <c r="AA601" s="69">
        <f>STATS1003B!AA600/1000</f>
        <v>2000</v>
      </c>
      <c r="AB601" s="69">
        <f>STATS1003B!AB600/1000</f>
        <v>0</v>
      </c>
    </row>
    <row r="602" spans="1:28" hidden="1" x14ac:dyDescent="0.3">
      <c r="A602" s="117"/>
      <c r="C602" s="71" t="s">
        <v>109</v>
      </c>
      <c r="D602" s="88" t="s">
        <v>60</v>
      </c>
      <c r="E602" s="85">
        <f>STATS1003B!E601/1000</f>
        <v>2500</v>
      </c>
      <c r="F602" s="85">
        <f>STATS1003B!F601/1000</f>
        <v>2500</v>
      </c>
      <c r="G602" s="85">
        <f>STATS1003B!G601/1000</f>
        <v>0</v>
      </c>
      <c r="H602" s="85">
        <f>STATS1003B!H601/1000</f>
        <v>2500</v>
      </c>
      <c r="I602" s="85">
        <f>STATS1003B!I601/1000</f>
        <v>0</v>
      </c>
      <c r="J602" s="85">
        <f>STATS1003B!J601/1000</f>
        <v>0</v>
      </c>
      <c r="K602" s="85">
        <f>STATS1003B!K601/1000</f>
        <v>0</v>
      </c>
      <c r="L602" s="85">
        <f>STATS1003B!L601/1000</f>
        <v>0</v>
      </c>
      <c r="M602" s="85">
        <f>STATS1003B!M601/1000</f>
        <v>2500</v>
      </c>
      <c r="N602" s="85">
        <f>STATS1003B!N601/1000</f>
        <v>0</v>
      </c>
      <c r="O602" s="85">
        <f>STATS1003B!O601/1000</f>
        <v>0</v>
      </c>
      <c r="P602" s="85">
        <f>STATS1003B!P601/1000</f>
        <v>0</v>
      </c>
      <c r="Q602" s="85">
        <f>STATS1003B!Q601/1000</f>
        <v>0</v>
      </c>
      <c r="R602" s="85">
        <f>STATS1003B!R601/1000</f>
        <v>0</v>
      </c>
      <c r="S602" s="85">
        <f>STATS1003B!S601/1000</f>
        <v>0</v>
      </c>
      <c r="T602" s="85">
        <f>STATS1003B!T601/1000</f>
        <v>0</v>
      </c>
      <c r="U602" s="85">
        <f>STATS1003B!U601/1000</f>
        <v>0</v>
      </c>
      <c r="V602" s="85">
        <f>STATS1003B!V601/1000</f>
        <v>2500</v>
      </c>
      <c r="W602" s="85">
        <f>STATS1003B!W601/1000</f>
        <v>0</v>
      </c>
      <c r="X602" s="85">
        <f t="shared" si="78"/>
        <v>2500</v>
      </c>
      <c r="Y602" s="85">
        <f>STATS1003B!Y601/1000</f>
        <v>0</v>
      </c>
      <c r="Z602" s="85">
        <f t="shared" si="79"/>
        <v>0</v>
      </c>
      <c r="AA602" s="69">
        <f>STATS1003B!AA601/1000</f>
        <v>2500</v>
      </c>
      <c r="AB602" s="69">
        <f>STATS1003B!AB601/1000</f>
        <v>0</v>
      </c>
    </row>
    <row r="603" spans="1:28" hidden="1" x14ac:dyDescent="0.3">
      <c r="A603" s="117"/>
      <c r="C603" s="71" t="s">
        <v>1135</v>
      </c>
      <c r="D603" s="89" t="s">
        <v>1126</v>
      </c>
      <c r="E603" s="85">
        <f>STATS1003B!E602/1000</f>
        <v>300</v>
      </c>
      <c r="F603" s="85">
        <f>STATS1003B!F602/1000</f>
        <v>300</v>
      </c>
      <c r="G603" s="85">
        <f>STATS1003B!G602/1000</f>
        <v>0</v>
      </c>
      <c r="H603" s="85">
        <f>STATS1003B!H602/1000</f>
        <v>300</v>
      </c>
      <c r="I603" s="85">
        <f>STATS1003B!I602/1000</f>
        <v>0</v>
      </c>
      <c r="J603" s="85">
        <f>STATS1003B!J602/1000</f>
        <v>0</v>
      </c>
      <c r="K603" s="85">
        <f>STATS1003B!K602/1000</f>
        <v>0</v>
      </c>
      <c r="L603" s="85">
        <f>STATS1003B!L602/1000</f>
        <v>0</v>
      </c>
      <c r="M603" s="85">
        <f>STATS1003B!M602/1000</f>
        <v>300</v>
      </c>
      <c r="N603" s="85">
        <f>STATS1003B!N602/1000</f>
        <v>0</v>
      </c>
      <c r="O603" s="85">
        <f>STATS1003B!O602/1000</f>
        <v>0</v>
      </c>
      <c r="P603" s="85">
        <f>STATS1003B!P602/1000</f>
        <v>0</v>
      </c>
      <c r="Q603" s="85">
        <f>STATS1003B!Q602/1000</f>
        <v>0</v>
      </c>
      <c r="R603" s="85">
        <f>STATS1003B!R602/1000</f>
        <v>0</v>
      </c>
      <c r="S603" s="85">
        <f>STATS1003B!S602/1000</f>
        <v>0</v>
      </c>
      <c r="T603" s="85">
        <f>STATS1003B!T602/1000</f>
        <v>0</v>
      </c>
      <c r="U603" s="85">
        <f>STATS1003B!U602/1000</f>
        <v>0</v>
      </c>
      <c r="V603" s="85">
        <f>STATS1003B!V602/1000</f>
        <v>300</v>
      </c>
      <c r="W603" s="85">
        <f>STATS1003B!W602/1000</f>
        <v>0</v>
      </c>
      <c r="X603" s="85">
        <f t="shared" si="78"/>
        <v>300</v>
      </c>
      <c r="Y603" s="85">
        <f>STATS1003B!Y602/1000</f>
        <v>0</v>
      </c>
      <c r="Z603" s="85">
        <f t="shared" si="79"/>
        <v>0</v>
      </c>
      <c r="AA603" s="69">
        <f>STATS1003B!AA602/1000</f>
        <v>300</v>
      </c>
      <c r="AB603" s="69">
        <f>STATS1003B!AB602/1000</f>
        <v>0</v>
      </c>
    </row>
    <row r="604" spans="1:28" hidden="1" x14ac:dyDescent="0.3">
      <c r="A604" s="117"/>
      <c r="C604" s="71" t="s">
        <v>930</v>
      </c>
      <c r="D604" s="88"/>
      <c r="E604" s="85">
        <f>STATS1003B!E603/1000</f>
        <v>855.56915000000004</v>
      </c>
      <c r="F604" s="85">
        <f>STATS1003B!F603/1000</f>
        <v>838.75401999999997</v>
      </c>
      <c r="G604" s="85">
        <f>STATS1003B!G603/1000</f>
        <v>0</v>
      </c>
      <c r="H604" s="85">
        <f>STATS1003B!H603/1000</f>
        <v>838.75401999999997</v>
      </c>
      <c r="I604" s="85">
        <f>STATS1003B!I603/1000</f>
        <v>0</v>
      </c>
      <c r="J604" s="85">
        <f>STATS1003B!J603/1000</f>
        <v>0</v>
      </c>
      <c r="K604" s="85">
        <f>STATS1003B!K603/1000</f>
        <v>0</v>
      </c>
      <c r="L604" s="85">
        <f>STATS1003B!L603/1000</f>
        <v>0</v>
      </c>
      <c r="M604" s="85">
        <f>STATS1003B!M603/1000</f>
        <v>838.75401999999997</v>
      </c>
      <c r="N604" s="85">
        <f>STATS1003B!N603/1000</f>
        <v>16.81513</v>
      </c>
      <c r="O604" s="85">
        <f>STATS1003B!O603/1000</f>
        <v>0</v>
      </c>
      <c r="P604" s="85">
        <f>STATS1003B!P603/1000</f>
        <v>16.81513</v>
      </c>
      <c r="Q604" s="85">
        <f>STATS1003B!Q603/1000</f>
        <v>0</v>
      </c>
      <c r="R604" s="85">
        <f>STATS1003B!R603/1000</f>
        <v>0</v>
      </c>
      <c r="S604" s="85">
        <f>STATS1003B!S603/1000</f>
        <v>0</v>
      </c>
      <c r="T604" s="85">
        <f>STATS1003B!T603/1000</f>
        <v>0</v>
      </c>
      <c r="U604" s="85">
        <f>STATS1003B!U603/1000</f>
        <v>16.81513</v>
      </c>
      <c r="V604" s="85">
        <f>STATS1003B!V603/1000</f>
        <v>855.56915000000004</v>
      </c>
      <c r="W604" s="85">
        <f>STATS1003B!W603/1000</f>
        <v>0</v>
      </c>
      <c r="X604" s="85">
        <f t="shared" si="78"/>
        <v>855.56914999999992</v>
      </c>
      <c r="Y604" s="85">
        <f>STATS1003B!Y603/1000</f>
        <v>0</v>
      </c>
      <c r="Z604" s="85">
        <f t="shared" si="79"/>
        <v>0</v>
      </c>
      <c r="AA604" s="69">
        <f>STATS1003B!AA603/1000</f>
        <v>855.56915000000004</v>
      </c>
      <c r="AB604" s="69">
        <f>STATS1003B!AB603/1000</f>
        <v>0</v>
      </c>
    </row>
    <row r="605" spans="1:28" hidden="1" x14ac:dyDescent="0.3">
      <c r="A605" s="117"/>
      <c r="C605" s="68" t="s">
        <v>193</v>
      </c>
      <c r="D605" s="87" t="s">
        <v>194</v>
      </c>
      <c r="E605" s="85">
        <f>STATS1003B!E604/1000</f>
        <v>4579</v>
      </c>
      <c r="F605" s="85">
        <f>STATS1003B!F604/1000</f>
        <v>4579</v>
      </c>
      <c r="G605" s="85">
        <f>STATS1003B!G604/1000</f>
        <v>0</v>
      </c>
      <c r="H605" s="85">
        <f>STATS1003B!H604/1000</f>
        <v>4579</v>
      </c>
      <c r="I605" s="85">
        <f>STATS1003B!I604/1000</f>
        <v>0</v>
      </c>
      <c r="J605" s="85">
        <f>STATS1003B!J604/1000</f>
        <v>0</v>
      </c>
      <c r="K605" s="85">
        <f>STATS1003B!K604/1000</f>
        <v>0</v>
      </c>
      <c r="L605" s="85">
        <f>STATS1003B!L604/1000</f>
        <v>0</v>
      </c>
      <c r="M605" s="85">
        <f>STATS1003B!M604/1000</f>
        <v>4579</v>
      </c>
      <c r="N605" s="85">
        <f>STATS1003B!N604/1000</f>
        <v>0</v>
      </c>
      <c r="O605" s="85">
        <f>STATS1003B!O604/1000</f>
        <v>0</v>
      </c>
      <c r="P605" s="85">
        <f>STATS1003B!P604/1000</f>
        <v>0</v>
      </c>
      <c r="Q605" s="85">
        <f>STATS1003B!Q604/1000</f>
        <v>0</v>
      </c>
      <c r="R605" s="85">
        <f>STATS1003B!R604/1000</f>
        <v>0</v>
      </c>
      <c r="S605" s="85">
        <f>STATS1003B!S604/1000</f>
        <v>0</v>
      </c>
      <c r="T605" s="85">
        <f>STATS1003B!T604/1000</f>
        <v>0</v>
      </c>
      <c r="U605" s="85">
        <f>STATS1003B!U604/1000</f>
        <v>0</v>
      </c>
      <c r="V605" s="85">
        <f>STATS1003B!V604/1000</f>
        <v>4579</v>
      </c>
      <c r="W605" s="85">
        <f>STATS1003B!W604/1000</f>
        <v>0</v>
      </c>
      <c r="X605" s="85">
        <f t="shared" si="78"/>
        <v>4579</v>
      </c>
      <c r="Y605" s="85">
        <f>STATS1003B!Y604/1000</f>
        <v>0</v>
      </c>
      <c r="Z605" s="85">
        <f t="shared" si="79"/>
        <v>0</v>
      </c>
      <c r="AA605" s="69">
        <f>STATS1003B!AA604/1000</f>
        <v>4579</v>
      </c>
      <c r="AB605" s="69">
        <f>STATS1003B!AB604/1000</f>
        <v>0</v>
      </c>
    </row>
    <row r="606" spans="1:28" hidden="1" x14ac:dyDescent="0.3">
      <c r="A606" s="117"/>
      <c r="E606" s="86" t="s">
        <v>29</v>
      </c>
      <c r="F606" s="86" t="s">
        <v>29</v>
      </c>
      <c r="G606" s="86" t="s">
        <v>29</v>
      </c>
      <c r="H606" s="86" t="s">
        <v>29</v>
      </c>
      <c r="I606" s="86" t="s">
        <v>29</v>
      </c>
      <c r="J606" s="86" t="s">
        <v>29</v>
      </c>
      <c r="K606" s="86" t="s">
        <v>29</v>
      </c>
      <c r="L606" s="86" t="s">
        <v>29</v>
      </c>
      <c r="M606" s="86" t="s">
        <v>29</v>
      </c>
      <c r="N606" s="86" t="s">
        <v>29</v>
      </c>
      <c r="O606" s="86" t="s">
        <v>29</v>
      </c>
      <c r="P606" s="86" t="s">
        <v>29</v>
      </c>
      <c r="Q606" s="86" t="s">
        <v>29</v>
      </c>
      <c r="R606" s="86" t="s">
        <v>29</v>
      </c>
      <c r="S606" s="86" t="s">
        <v>29</v>
      </c>
      <c r="T606" s="86" t="s">
        <v>29</v>
      </c>
      <c r="U606" s="86" t="s">
        <v>29</v>
      </c>
      <c r="V606" s="86" t="s">
        <v>29</v>
      </c>
      <c r="W606" s="86" t="s">
        <v>29</v>
      </c>
      <c r="X606" s="85" t="e">
        <f t="shared" si="78"/>
        <v>#VALUE!</v>
      </c>
      <c r="Y606" s="86" t="s">
        <v>29</v>
      </c>
      <c r="Z606" s="85" t="e">
        <f t="shared" si="79"/>
        <v>#VALUE!</v>
      </c>
      <c r="AA606" s="115" t="s">
        <v>29</v>
      </c>
      <c r="AB606" s="115" t="s">
        <v>29</v>
      </c>
    </row>
    <row r="607" spans="1:28" x14ac:dyDescent="0.3">
      <c r="A607" s="116">
        <v>29</v>
      </c>
      <c r="B607" s="68" t="s">
        <v>190</v>
      </c>
      <c r="E607" s="85">
        <f>241576964.84/1000</f>
        <v>241576.96484</v>
      </c>
      <c r="F607" s="85">
        <f>SUM(F592:F605)</f>
        <v>114952.06304000001</v>
      </c>
      <c r="G607" s="85">
        <f>SUM(G592:G605)</f>
        <v>0</v>
      </c>
      <c r="H607" s="85">
        <f>159646332.35/1000</f>
        <v>159646.33234999998</v>
      </c>
      <c r="I607" s="85">
        <f t="shared" ref="I607:O607" si="82">SUM(I592:I605)</f>
        <v>0</v>
      </c>
      <c r="J607" s="85">
        <f t="shared" si="82"/>
        <v>0</v>
      </c>
      <c r="K607" s="85">
        <f t="shared" si="82"/>
        <v>0</v>
      </c>
      <c r="L607" s="85">
        <f t="shared" si="82"/>
        <v>0</v>
      </c>
      <c r="M607" s="85">
        <f t="shared" si="82"/>
        <v>114952.06304000001</v>
      </c>
      <c r="N607" s="85">
        <f t="shared" si="82"/>
        <v>5475.0104899999997</v>
      </c>
      <c r="O607" s="85">
        <f t="shared" si="82"/>
        <v>0</v>
      </c>
      <c r="P607" s="85">
        <f>5475010/1000</f>
        <v>5475.01</v>
      </c>
      <c r="Q607" s="85">
        <f t="shared" ref="Q607:W607" si="83">SUM(Q592:Q605)</f>
        <v>0</v>
      </c>
      <c r="R607" s="85">
        <f t="shared" si="83"/>
        <v>0</v>
      </c>
      <c r="S607" s="85">
        <f t="shared" si="83"/>
        <v>0</v>
      </c>
      <c r="T607" s="85">
        <f t="shared" si="83"/>
        <v>0</v>
      </c>
      <c r="U607" s="85">
        <f t="shared" si="83"/>
        <v>5475.0104899999997</v>
      </c>
      <c r="V607" s="85">
        <f t="shared" si="83"/>
        <v>120427.07353000001</v>
      </c>
      <c r="W607" s="85">
        <f t="shared" si="83"/>
        <v>76455.621999999988</v>
      </c>
      <c r="X607" s="85">
        <f t="shared" si="78"/>
        <v>165121.34234999999</v>
      </c>
      <c r="Y607" s="85">
        <f>SUM(Y592:Y605)</f>
        <v>0</v>
      </c>
      <c r="Z607" s="85">
        <f t="shared" si="79"/>
        <v>76455.622490000009</v>
      </c>
      <c r="AA607" s="69">
        <f>SUM(AA592:AA605)</f>
        <v>120427.07353000001</v>
      </c>
      <c r="AB607" s="69">
        <f>SUM(AB592:AB605)</f>
        <v>76455.621999999988</v>
      </c>
    </row>
    <row r="608" spans="1:28" hidden="1" x14ac:dyDescent="0.3">
      <c r="A608" s="117"/>
      <c r="E608" s="86" t="s">
        <v>29</v>
      </c>
      <c r="F608" s="86" t="s">
        <v>29</v>
      </c>
      <c r="G608" s="86" t="s">
        <v>29</v>
      </c>
      <c r="H608" s="86" t="s">
        <v>29</v>
      </c>
      <c r="I608" s="86" t="s">
        <v>29</v>
      </c>
      <c r="J608" s="86" t="s">
        <v>29</v>
      </c>
      <c r="K608" s="86" t="s">
        <v>29</v>
      </c>
      <c r="L608" s="86" t="s">
        <v>29</v>
      </c>
      <c r="M608" s="86" t="s">
        <v>29</v>
      </c>
      <c r="N608" s="86" t="s">
        <v>29</v>
      </c>
      <c r="O608" s="86" t="s">
        <v>29</v>
      </c>
      <c r="P608" s="86" t="s">
        <v>29</v>
      </c>
      <c r="Q608" s="86" t="s">
        <v>29</v>
      </c>
      <c r="R608" s="86" t="s">
        <v>29</v>
      </c>
      <c r="S608" s="86" t="s">
        <v>29</v>
      </c>
      <c r="T608" s="86" t="s">
        <v>29</v>
      </c>
      <c r="U608" s="86" t="s">
        <v>29</v>
      </c>
      <c r="V608" s="86" t="s">
        <v>29</v>
      </c>
      <c r="W608" s="86" t="s">
        <v>29</v>
      </c>
      <c r="X608" s="85" t="e">
        <f t="shared" si="78"/>
        <v>#VALUE!</v>
      </c>
      <c r="Y608" s="86" t="s">
        <v>29</v>
      </c>
      <c r="Z608" s="85" t="e">
        <f t="shared" si="79"/>
        <v>#VALUE!</v>
      </c>
      <c r="AA608" s="115" t="s">
        <v>29</v>
      </c>
      <c r="AB608" s="115" t="s">
        <v>29</v>
      </c>
    </row>
    <row r="609" spans="1:28" hidden="1" x14ac:dyDescent="0.3">
      <c r="A609" s="117"/>
      <c r="E609" s="85">
        <v>191148126.38</v>
      </c>
      <c r="F609" s="85">
        <v>109234309.02</v>
      </c>
      <c r="G609" s="85"/>
      <c r="H609" s="85">
        <v>109234309.02</v>
      </c>
      <c r="I609" s="85"/>
      <c r="J609" s="85"/>
      <c r="K609" s="85"/>
      <c r="L609" s="85"/>
      <c r="M609" s="85">
        <v>109234309.02</v>
      </c>
      <c r="N609" s="85">
        <v>5458195.3600000003</v>
      </c>
      <c r="O609" s="85"/>
      <c r="P609" s="85">
        <v>5458195.3600000003</v>
      </c>
      <c r="Q609" s="85"/>
      <c r="R609" s="85"/>
      <c r="S609" s="85"/>
      <c r="T609" s="85"/>
      <c r="U609" s="85">
        <v>5458195.3600000003</v>
      </c>
      <c r="V609" s="85"/>
      <c r="W609" s="85"/>
      <c r="X609" s="85">
        <f t="shared" si="78"/>
        <v>114692504.38</v>
      </c>
      <c r="Y609" s="85"/>
      <c r="Z609" s="85">
        <f t="shared" si="79"/>
        <v>76455622</v>
      </c>
      <c r="AA609" s="118"/>
    </row>
    <row r="610" spans="1:28" hidden="1" x14ac:dyDescent="0.3">
      <c r="A610" s="105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5">
        <f t="shared" si="78"/>
        <v>0</v>
      </c>
      <c r="Y610" s="84"/>
      <c r="Z610" s="85">
        <f t="shared" si="79"/>
        <v>0</v>
      </c>
    </row>
    <row r="611" spans="1:28" hidden="1" x14ac:dyDescent="0.3">
      <c r="A611" s="117"/>
      <c r="C611" s="68" t="s">
        <v>149</v>
      </c>
      <c r="D611" s="88" t="s">
        <v>150</v>
      </c>
      <c r="E611" s="85">
        <f>STATS1003B!E610/1000</f>
        <v>2088.0790000000002</v>
      </c>
      <c r="F611" s="85">
        <f>STATS1003B!F610/1000</f>
        <v>2088.0790000000002</v>
      </c>
      <c r="G611" s="85">
        <f>STATS1003B!G610/1000</f>
        <v>0</v>
      </c>
      <c r="H611" s="85">
        <f>STATS1003B!H610/1000</f>
        <v>2088.0790000000002</v>
      </c>
      <c r="I611" s="85">
        <f>STATS1003B!I610/1000</f>
        <v>0</v>
      </c>
      <c r="J611" s="85">
        <f>STATS1003B!J610/1000</f>
        <v>0</v>
      </c>
      <c r="K611" s="85">
        <f>STATS1003B!K610/1000</f>
        <v>0</v>
      </c>
      <c r="L611" s="85">
        <f>STATS1003B!L610/1000</f>
        <v>0</v>
      </c>
      <c r="M611" s="85">
        <f>STATS1003B!M610/1000</f>
        <v>2088.0790000000002</v>
      </c>
      <c r="N611" s="85">
        <f>STATS1003B!N610/1000</f>
        <v>0</v>
      </c>
      <c r="O611" s="85">
        <f>STATS1003B!O610/1000</f>
        <v>0</v>
      </c>
      <c r="P611" s="85">
        <f>STATS1003B!P610/1000</f>
        <v>0</v>
      </c>
      <c r="Q611" s="85">
        <f>STATS1003B!Q610/1000</f>
        <v>0</v>
      </c>
      <c r="R611" s="85">
        <f>STATS1003B!R610/1000</f>
        <v>0</v>
      </c>
      <c r="S611" s="85">
        <f>STATS1003B!S610/1000</f>
        <v>0</v>
      </c>
      <c r="T611" s="85">
        <f>STATS1003B!T610/1000</f>
        <v>0</v>
      </c>
      <c r="U611" s="85">
        <f>STATS1003B!U610/1000</f>
        <v>0</v>
      </c>
      <c r="V611" s="85">
        <f>STATS1003B!V610/1000</f>
        <v>2088.0790000000002</v>
      </c>
      <c r="W611" s="85">
        <f>STATS1003B!W610/1000</f>
        <v>0</v>
      </c>
      <c r="X611" s="85">
        <f t="shared" si="78"/>
        <v>2088.0790000000002</v>
      </c>
      <c r="Y611" s="85">
        <f>STATS1003B!Y610/1000</f>
        <v>0</v>
      </c>
      <c r="Z611" s="85">
        <f t="shared" si="79"/>
        <v>0</v>
      </c>
      <c r="AA611" s="69">
        <f>STATS1003B!AA610/1000</f>
        <v>2088.0790000000002</v>
      </c>
      <c r="AB611" s="69">
        <f>STATS1003B!AB610/1000</f>
        <v>0</v>
      </c>
    </row>
    <row r="612" spans="1:28" hidden="1" x14ac:dyDescent="0.3">
      <c r="A612" s="117"/>
      <c r="C612" s="68" t="s">
        <v>151</v>
      </c>
      <c r="D612" s="88" t="s">
        <v>150</v>
      </c>
      <c r="E612" s="85">
        <f>STATS1003B!E611/1000</f>
        <v>27568.642969999997</v>
      </c>
      <c r="F612" s="85">
        <f>STATS1003B!F611/1000</f>
        <v>20245.05143</v>
      </c>
      <c r="G612" s="85">
        <f>STATS1003B!G611/1000</f>
        <v>0</v>
      </c>
      <c r="H612" s="85">
        <f>STATS1003B!H611/1000</f>
        <v>20245.05143</v>
      </c>
      <c r="I612" s="85">
        <f>STATS1003B!I611/1000</f>
        <v>0</v>
      </c>
      <c r="J612" s="85">
        <f>STATS1003B!J611/1000</f>
        <v>0</v>
      </c>
      <c r="K612" s="85">
        <f>STATS1003B!K611/1000</f>
        <v>0</v>
      </c>
      <c r="L612" s="85">
        <f>STATS1003B!L611/1000</f>
        <v>0</v>
      </c>
      <c r="M612" s="85">
        <f>STATS1003B!M611/1000</f>
        <v>20245.05143</v>
      </c>
      <c r="N612" s="85">
        <f>STATS1003B!N611/1000</f>
        <v>143.63325</v>
      </c>
      <c r="O612" s="85">
        <f>STATS1003B!O611/1000</f>
        <v>0</v>
      </c>
      <c r="P612" s="85">
        <f>STATS1003B!P611/1000</f>
        <v>143.63325</v>
      </c>
      <c r="Q612" s="85">
        <f>STATS1003B!Q611/1000</f>
        <v>0</v>
      </c>
      <c r="R612" s="85">
        <f>STATS1003B!R611/1000</f>
        <v>0</v>
      </c>
      <c r="S612" s="85">
        <f>STATS1003B!S611/1000</f>
        <v>0</v>
      </c>
      <c r="T612" s="85">
        <f>STATS1003B!T611/1000</f>
        <v>0</v>
      </c>
      <c r="U612" s="85">
        <f>STATS1003B!U611/1000</f>
        <v>143.63325</v>
      </c>
      <c r="V612" s="85">
        <f>STATS1003B!V611/1000</f>
        <v>20388.684679999998</v>
      </c>
      <c r="W612" s="85">
        <f>STATS1003B!W611/1000</f>
        <v>7179.9582899999987</v>
      </c>
      <c r="X612" s="85">
        <f t="shared" si="78"/>
        <v>20388.684679999998</v>
      </c>
      <c r="Y612" s="85">
        <f>STATS1003B!Y611/1000</f>
        <v>0</v>
      </c>
      <c r="Z612" s="85">
        <f t="shared" si="79"/>
        <v>7179.9582899999987</v>
      </c>
      <c r="AA612" s="69">
        <f>STATS1003B!AA611/1000</f>
        <v>20388.684679999998</v>
      </c>
      <c r="AB612" s="69">
        <f>STATS1003B!AB611/1000</f>
        <v>7179.9582899999987</v>
      </c>
    </row>
    <row r="613" spans="1:28" hidden="1" x14ac:dyDescent="0.3">
      <c r="A613" s="117"/>
      <c r="C613" s="68" t="s">
        <v>57</v>
      </c>
      <c r="D613" s="87" t="s">
        <v>196</v>
      </c>
      <c r="E613" s="85">
        <f>STATS1003B!E612/1000</f>
        <v>5932.9730599999994</v>
      </c>
      <c r="F613" s="85">
        <f>STATS1003B!F612/1000</f>
        <v>5932.9730599999994</v>
      </c>
      <c r="G613" s="85">
        <f>STATS1003B!G612/1000</f>
        <v>0</v>
      </c>
      <c r="H613" s="85">
        <f>STATS1003B!H612/1000</f>
        <v>5932.9730599999994</v>
      </c>
      <c r="I613" s="85">
        <f>STATS1003B!I612/1000</f>
        <v>0</v>
      </c>
      <c r="J613" s="85">
        <f>STATS1003B!J612/1000</f>
        <v>0</v>
      </c>
      <c r="K613" s="85">
        <f>STATS1003B!K612/1000</f>
        <v>0</v>
      </c>
      <c r="L613" s="85">
        <f>STATS1003B!L612/1000</f>
        <v>0</v>
      </c>
      <c r="M613" s="85">
        <f>STATS1003B!M612/1000</f>
        <v>5932.9730599999994</v>
      </c>
      <c r="N613" s="85">
        <f>STATS1003B!N612/1000</f>
        <v>0</v>
      </c>
      <c r="O613" s="85">
        <f>STATS1003B!O612/1000</f>
        <v>0</v>
      </c>
      <c r="P613" s="85">
        <f>STATS1003B!P612/1000</f>
        <v>0</v>
      </c>
      <c r="Q613" s="85">
        <f>STATS1003B!Q612/1000</f>
        <v>0</v>
      </c>
      <c r="R613" s="85">
        <f>STATS1003B!R612/1000</f>
        <v>0</v>
      </c>
      <c r="S613" s="85">
        <f>STATS1003B!S612/1000</f>
        <v>0</v>
      </c>
      <c r="T613" s="85">
        <f>STATS1003B!T612/1000</f>
        <v>0</v>
      </c>
      <c r="U613" s="85">
        <f>STATS1003B!U612/1000</f>
        <v>0</v>
      </c>
      <c r="V613" s="85">
        <f>STATS1003B!V612/1000</f>
        <v>5932.9730599999994</v>
      </c>
      <c r="W613" s="85">
        <f>STATS1003B!W612/1000</f>
        <v>0</v>
      </c>
      <c r="X613" s="85">
        <f t="shared" si="78"/>
        <v>5932.9730599999994</v>
      </c>
      <c r="Y613" s="85">
        <f>STATS1003B!Y612/1000</f>
        <v>0</v>
      </c>
      <c r="Z613" s="85">
        <f t="shared" si="79"/>
        <v>0</v>
      </c>
      <c r="AA613" s="69">
        <f>STATS1003B!AA612/1000</f>
        <v>5932.9730599999994</v>
      </c>
      <c r="AB613" s="69">
        <f>STATS1003B!AB612/1000</f>
        <v>0</v>
      </c>
    </row>
    <row r="614" spans="1:28" hidden="1" x14ac:dyDescent="0.3">
      <c r="A614" s="117"/>
      <c r="C614" s="68" t="s">
        <v>55</v>
      </c>
      <c r="D614" s="87" t="s">
        <v>54</v>
      </c>
      <c r="E614" s="85">
        <f>STATS1003B!E613/1000</f>
        <v>34.406999999999996</v>
      </c>
      <c r="F614" s="85">
        <f>STATS1003B!F613/1000</f>
        <v>0</v>
      </c>
      <c r="G614" s="85">
        <f>STATS1003B!G613/1000</f>
        <v>0</v>
      </c>
      <c r="H614" s="85">
        <f>STATS1003B!H613/1000</f>
        <v>0</v>
      </c>
      <c r="I614" s="85">
        <f>STATS1003B!I613/1000</f>
        <v>0</v>
      </c>
      <c r="J614" s="85">
        <f>STATS1003B!J613/1000</f>
        <v>0</v>
      </c>
      <c r="K614" s="85">
        <f>STATS1003B!K613/1000</f>
        <v>0</v>
      </c>
      <c r="L614" s="85">
        <f>STATS1003B!L613/1000</f>
        <v>0</v>
      </c>
      <c r="M614" s="85">
        <f>STATS1003B!M613/1000</f>
        <v>0</v>
      </c>
      <c r="N614" s="85">
        <f>STATS1003B!N613/1000</f>
        <v>34.406999999999996</v>
      </c>
      <c r="O614" s="85">
        <f>STATS1003B!O613/1000</f>
        <v>0</v>
      </c>
      <c r="P614" s="85">
        <f>STATS1003B!P613/1000</f>
        <v>34.406999999999996</v>
      </c>
      <c r="Q614" s="85">
        <f>STATS1003B!Q613/1000</f>
        <v>0</v>
      </c>
      <c r="R614" s="85">
        <f>STATS1003B!R613/1000</f>
        <v>0</v>
      </c>
      <c r="S614" s="85">
        <f>STATS1003B!S613/1000</f>
        <v>0</v>
      </c>
      <c r="T614" s="85">
        <f>STATS1003B!T613/1000</f>
        <v>0</v>
      </c>
      <c r="U614" s="85">
        <f>STATS1003B!U613/1000</f>
        <v>34.406999999999996</v>
      </c>
      <c r="V614" s="85">
        <f>STATS1003B!V613/1000</f>
        <v>34.406999999999996</v>
      </c>
      <c r="W614" s="85">
        <f>STATS1003B!W613/1000</f>
        <v>0</v>
      </c>
      <c r="X614" s="85">
        <f t="shared" si="78"/>
        <v>34.406999999999996</v>
      </c>
      <c r="Y614" s="85">
        <f>STATS1003B!Y613/1000</f>
        <v>0</v>
      </c>
      <c r="Z614" s="85">
        <f t="shared" si="79"/>
        <v>0</v>
      </c>
      <c r="AA614" s="69">
        <f>STATS1003B!AA613/1000</f>
        <v>34.406999999999996</v>
      </c>
      <c r="AB614" s="69">
        <f>STATS1003B!AB613/1000</f>
        <v>0</v>
      </c>
    </row>
    <row r="615" spans="1:28" hidden="1" x14ac:dyDescent="0.3">
      <c r="A615" s="117"/>
      <c r="C615" s="68" t="s">
        <v>53</v>
      </c>
      <c r="D615" s="87" t="s">
        <v>85</v>
      </c>
      <c r="E615" s="85">
        <f>STATS1003B!E614/1000</f>
        <v>1767.77</v>
      </c>
      <c r="F615" s="85">
        <f>STATS1003B!F614/1000</f>
        <v>0</v>
      </c>
      <c r="G615" s="85">
        <f>STATS1003B!G614/1000</f>
        <v>0</v>
      </c>
      <c r="H615" s="85">
        <f>STATS1003B!H614/1000</f>
        <v>0</v>
      </c>
      <c r="I615" s="85">
        <f>STATS1003B!I614/1000</f>
        <v>0</v>
      </c>
      <c r="J615" s="85">
        <f>STATS1003B!J614/1000</f>
        <v>0</v>
      </c>
      <c r="K615" s="85">
        <f>STATS1003B!K614/1000</f>
        <v>0</v>
      </c>
      <c r="L615" s="85">
        <f>STATS1003B!L614/1000</f>
        <v>0</v>
      </c>
      <c r="M615" s="85">
        <f>STATS1003B!M614/1000</f>
        <v>0</v>
      </c>
      <c r="N615" s="85">
        <f>STATS1003B!N614/1000</f>
        <v>1767.77</v>
      </c>
      <c r="O615" s="85">
        <f>STATS1003B!O614/1000</f>
        <v>0</v>
      </c>
      <c r="P615" s="85">
        <f>STATS1003B!P614/1000</f>
        <v>1767.77</v>
      </c>
      <c r="Q615" s="85">
        <f>STATS1003B!Q614/1000</f>
        <v>0</v>
      </c>
      <c r="R615" s="85">
        <f>STATS1003B!R614/1000</f>
        <v>0</v>
      </c>
      <c r="S615" s="85">
        <f>STATS1003B!S614/1000</f>
        <v>0</v>
      </c>
      <c r="T615" s="85">
        <f>STATS1003B!T614/1000</f>
        <v>0</v>
      </c>
      <c r="U615" s="85">
        <f>STATS1003B!U614/1000</f>
        <v>1767.77</v>
      </c>
      <c r="V615" s="85">
        <f>STATS1003B!V614/1000</f>
        <v>1767.77</v>
      </c>
      <c r="W615" s="85">
        <f>STATS1003B!W614/1000</f>
        <v>0</v>
      </c>
      <c r="X615" s="85">
        <f t="shared" si="78"/>
        <v>1767.77</v>
      </c>
      <c r="Y615" s="85">
        <f>STATS1003B!Y614/1000</f>
        <v>0</v>
      </c>
      <c r="Z615" s="85">
        <f t="shared" si="79"/>
        <v>0</v>
      </c>
      <c r="AA615" s="69">
        <f>STATS1003B!AA614/1000</f>
        <v>1767.77</v>
      </c>
      <c r="AB615" s="69">
        <f>STATS1003B!AB614/1000</f>
        <v>0</v>
      </c>
    </row>
    <row r="616" spans="1:28" hidden="1" x14ac:dyDescent="0.3">
      <c r="A616" s="117"/>
      <c r="C616" s="68" t="s">
        <v>147</v>
      </c>
      <c r="D616" s="87" t="s">
        <v>85</v>
      </c>
      <c r="E616" s="85">
        <f>STATS1003B!E615/1000</f>
        <v>270.3</v>
      </c>
      <c r="F616" s="85">
        <f>STATS1003B!F615/1000</f>
        <v>0</v>
      </c>
      <c r="G616" s="85">
        <f>STATS1003B!G615/1000</f>
        <v>0</v>
      </c>
      <c r="H616" s="85">
        <f>STATS1003B!H615/1000</f>
        <v>0</v>
      </c>
      <c r="I616" s="85">
        <f>STATS1003B!I615/1000</f>
        <v>0</v>
      </c>
      <c r="J616" s="85">
        <f>STATS1003B!J615/1000</f>
        <v>0</v>
      </c>
      <c r="K616" s="85">
        <f>STATS1003B!K615/1000</f>
        <v>0</v>
      </c>
      <c r="L616" s="85">
        <f>STATS1003B!L615/1000</f>
        <v>0</v>
      </c>
      <c r="M616" s="85">
        <f>STATS1003B!M615/1000</f>
        <v>0</v>
      </c>
      <c r="N616" s="85">
        <f>STATS1003B!N615/1000</f>
        <v>270.3</v>
      </c>
      <c r="O616" s="85">
        <f>STATS1003B!O615/1000</f>
        <v>0</v>
      </c>
      <c r="P616" s="85">
        <f>STATS1003B!P615/1000</f>
        <v>270.3</v>
      </c>
      <c r="Q616" s="85">
        <f>STATS1003B!Q615/1000</f>
        <v>0</v>
      </c>
      <c r="R616" s="85">
        <f>STATS1003B!R615/1000</f>
        <v>0</v>
      </c>
      <c r="S616" s="85">
        <f>STATS1003B!S615/1000</f>
        <v>0</v>
      </c>
      <c r="T616" s="85">
        <f>STATS1003B!T615/1000</f>
        <v>0</v>
      </c>
      <c r="U616" s="85">
        <f>STATS1003B!U615/1000</f>
        <v>270.3</v>
      </c>
      <c r="V616" s="85">
        <f>STATS1003B!V615/1000</f>
        <v>270.3</v>
      </c>
      <c r="W616" s="85">
        <f>STATS1003B!W615/1000</f>
        <v>0</v>
      </c>
      <c r="X616" s="85">
        <f t="shared" si="78"/>
        <v>270.3</v>
      </c>
      <c r="Y616" s="85">
        <f>STATS1003B!Y615/1000</f>
        <v>0</v>
      </c>
      <c r="Z616" s="85">
        <f t="shared" si="79"/>
        <v>0</v>
      </c>
      <c r="AA616" s="69">
        <f>STATS1003B!AA615/1000</f>
        <v>270.3</v>
      </c>
      <c r="AB616" s="69">
        <f>STATS1003B!AB615/1000</f>
        <v>0</v>
      </c>
    </row>
    <row r="617" spans="1:28" hidden="1" x14ac:dyDescent="0.3">
      <c r="A617" s="117"/>
      <c r="C617" s="68" t="s">
        <v>197</v>
      </c>
      <c r="D617" s="87" t="s">
        <v>85</v>
      </c>
      <c r="E617" s="85">
        <f>STATS1003B!E616/1000</f>
        <v>1200</v>
      </c>
      <c r="F617" s="85">
        <f>STATS1003B!F616/1000</f>
        <v>1200</v>
      </c>
      <c r="G617" s="85">
        <f>STATS1003B!G616/1000</f>
        <v>0</v>
      </c>
      <c r="H617" s="85">
        <f>STATS1003B!H616/1000</f>
        <v>1200</v>
      </c>
      <c r="I617" s="85">
        <f>STATS1003B!I616/1000</f>
        <v>0</v>
      </c>
      <c r="J617" s="85">
        <f>STATS1003B!J616/1000</f>
        <v>0</v>
      </c>
      <c r="K617" s="85">
        <f>STATS1003B!K616/1000</f>
        <v>0</v>
      </c>
      <c r="L617" s="85">
        <f>STATS1003B!L616/1000</f>
        <v>0</v>
      </c>
      <c r="M617" s="85">
        <f>STATS1003B!M616/1000</f>
        <v>1200</v>
      </c>
      <c r="N617" s="85">
        <f>STATS1003B!N616/1000</f>
        <v>0</v>
      </c>
      <c r="O617" s="85">
        <f>STATS1003B!O616/1000</f>
        <v>0</v>
      </c>
      <c r="P617" s="85">
        <f>STATS1003B!P616/1000</f>
        <v>0</v>
      </c>
      <c r="Q617" s="85">
        <f>STATS1003B!Q616/1000</f>
        <v>0</v>
      </c>
      <c r="R617" s="85">
        <f>STATS1003B!R616/1000</f>
        <v>0</v>
      </c>
      <c r="S617" s="85">
        <f>STATS1003B!S616/1000</f>
        <v>0</v>
      </c>
      <c r="T617" s="85">
        <f>STATS1003B!T616/1000</f>
        <v>0</v>
      </c>
      <c r="U617" s="85">
        <f>STATS1003B!U616/1000</f>
        <v>0</v>
      </c>
      <c r="V617" s="85">
        <f>STATS1003B!V616/1000</f>
        <v>1200</v>
      </c>
      <c r="W617" s="85">
        <f>STATS1003B!W616/1000</f>
        <v>0</v>
      </c>
      <c r="X617" s="85">
        <f t="shared" si="78"/>
        <v>1200</v>
      </c>
      <c r="Y617" s="85">
        <f>STATS1003B!Y616/1000</f>
        <v>0</v>
      </c>
      <c r="Z617" s="85">
        <f t="shared" si="79"/>
        <v>0</v>
      </c>
      <c r="AA617" s="69">
        <f>STATS1003B!AA616/1000</f>
        <v>1200</v>
      </c>
      <c r="AB617" s="69">
        <f>STATS1003B!AB616/1000</f>
        <v>0</v>
      </c>
    </row>
    <row r="618" spans="1:28" hidden="1" x14ac:dyDescent="0.3">
      <c r="A618" s="117"/>
      <c r="C618" s="68" t="s">
        <v>57</v>
      </c>
      <c r="D618" s="87" t="s">
        <v>58</v>
      </c>
      <c r="E618" s="85">
        <f>STATS1003B!E617/1000</f>
        <v>5562.6350000000002</v>
      </c>
      <c r="F618" s="85">
        <f>STATS1003B!F617/1000</f>
        <v>5562.6350000000002</v>
      </c>
      <c r="G618" s="85">
        <f>STATS1003B!G617/1000</f>
        <v>0</v>
      </c>
      <c r="H618" s="85">
        <f>STATS1003B!H617/1000</f>
        <v>5562.6350000000002</v>
      </c>
      <c r="I618" s="85">
        <f>STATS1003B!I617/1000</f>
        <v>0</v>
      </c>
      <c r="J618" s="85">
        <f>STATS1003B!J617/1000</f>
        <v>0</v>
      </c>
      <c r="K618" s="85">
        <f>STATS1003B!K617/1000</f>
        <v>0</v>
      </c>
      <c r="L618" s="85">
        <f>STATS1003B!L617/1000</f>
        <v>0</v>
      </c>
      <c r="M618" s="85">
        <f>STATS1003B!M617/1000</f>
        <v>5562.6350000000002</v>
      </c>
      <c r="N618" s="85">
        <f>STATS1003B!N617/1000</f>
        <v>0</v>
      </c>
      <c r="O618" s="85">
        <f>STATS1003B!O617/1000</f>
        <v>0</v>
      </c>
      <c r="P618" s="85">
        <f>STATS1003B!P617/1000</f>
        <v>0</v>
      </c>
      <c r="Q618" s="85">
        <f>STATS1003B!Q617/1000</f>
        <v>0</v>
      </c>
      <c r="R618" s="85">
        <f>STATS1003B!R617/1000</f>
        <v>0</v>
      </c>
      <c r="S618" s="85">
        <f>STATS1003B!S617/1000</f>
        <v>0</v>
      </c>
      <c r="T618" s="85">
        <f>STATS1003B!T617/1000</f>
        <v>0</v>
      </c>
      <c r="U618" s="85">
        <f>STATS1003B!U617/1000</f>
        <v>0</v>
      </c>
      <c r="V618" s="85">
        <f>STATS1003B!V617/1000</f>
        <v>5562.6350000000002</v>
      </c>
      <c r="W618" s="85">
        <f>STATS1003B!W617/1000</f>
        <v>0</v>
      </c>
      <c r="X618" s="85">
        <f t="shared" si="78"/>
        <v>5562.6350000000002</v>
      </c>
      <c r="Y618" s="85">
        <f>STATS1003B!Y617/1000</f>
        <v>0</v>
      </c>
      <c r="Z618" s="85">
        <f t="shared" si="79"/>
        <v>0</v>
      </c>
      <c r="AA618" s="69">
        <f>STATS1003B!AA617/1000</f>
        <v>5562.6350000000002</v>
      </c>
      <c r="AB618" s="69">
        <f>STATS1003B!AB617/1000</f>
        <v>0</v>
      </c>
    </row>
    <row r="619" spans="1:28" hidden="1" x14ac:dyDescent="0.3">
      <c r="A619" s="117"/>
      <c r="C619" s="71" t="s">
        <v>109</v>
      </c>
      <c r="D619" s="88" t="s">
        <v>60</v>
      </c>
      <c r="E619" s="85">
        <f>STATS1003B!E618/1000</f>
        <v>4978.3924799999995</v>
      </c>
      <c r="F619" s="85">
        <f>STATS1003B!F618/1000</f>
        <v>4978.3924799999995</v>
      </c>
      <c r="G619" s="85">
        <f>STATS1003B!G618/1000</f>
        <v>0</v>
      </c>
      <c r="H619" s="85">
        <f>STATS1003B!H618/1000</f>
        <v>4978.3924799999995</v>
      </c>
      <c r="I619" s="85">
        <f>STATS1003B!I618/1000</f>
        <v>0</v>
      </c>
      <c r="J619" s="85">
        <f>STATS1003B!J618/1000</f>
        <v>0</v>
      </c>
      <c r="K619" s="85">
        <f>STATS1003B!K618/1000</f>
        <v>0</v>
      </c>
      <c r="L619" s="85">
        <f>STATS1003B!L618/1000</f>
        <v>0</v>
      </c>
      <c r="M619" s="85">
        <f>STATS1003B!M618/1000</f>
        <v>4978.3924799999995</v>
      </c>
      <c r="N619" s="85">
        <f>STATS1003B!N618/1000</f>
        <v>0</v>
      </c>
      <c r="O619" s="85">
        <f>STATS1003B!O618/1000</f>
        <v>0</v>
      </c>
      <c r="P619" s="85">
        <f>STATS1003B!P618/1000</f>
        <v>0</v>
      </c>
      <c r="Q619" s="85">
        <f>STATS1003B!Q618/1000</f>
        <v>0</v>
      </c>
      <c r="R619" s="85">
        <f>STATS1003B!R618/1000</f>
        <v>0</v>
      </c>
      <c r="S619" s="85">
        <f>STATS1003B!S618/1000</f>
        <v>0</v>
      </c>
      <c r="T619" s="85">
        <f>STATS1003B!T618/1000</f>
        <v>0</v>
      </c>
      <c r="U619" s="85">
        <f>STATS1003B!U618/1000</f>
        <v>0</v>
      </c>
      <c r="V619" s="85">
        <f>STATS1003B!V618/1000</f>
        <v>4978.3924799999995</v>
      </c>
      <c r="W619" s="85">
        <f>STATS1003B!W618/1000</f>
        <v>0</v>
      </c>
      <c r="X619" s="85">
        <f t="shared" si="78"/>
        <v>4978.3924799999995</v>
      </c>
      <c r="Y619" s="85">
        <f>STATS1003B!Y618/1000</f>
        <v>0</v>
      </c>
      <c r="Z619" s="85">
        <f t="shared" si="79"/>
        <v>0</v>
      </c>
      <c r="AA619" s="69">
        <f>STATS1003B!AA618/1000</f>
        <v>4978.3924799999995</v>
      </c>
      <c r="AB619" s="69">
        <f>STATS1003B!AB618/1000</f>
        <v>0</v>
      </c>
    </row>
    <row r="620" spans="1:28" hidden="1" x14ac:dyDescent="0.3">
      <c r="A620" s="117"/>
      <c r="C620" s="71" t="s">
        <v>1076</v>
      </c>
      <c r="D620" s="89" t="s">
        <v>1072</v>
      </c>
      <c r="E620" s="85">
        <f>STATS1003B!E619/1000</f>
        <v>300</v>
      </c>
      <c r="F620" s="85">
        <f>STATS1003B!F619/1000</f>
        <v>300</v>
      </c>
      <c r="G620" s="85">
        <f>STATS1003B!G619/1000</f>
        <v>0</v>
      </c>
      <c r="H620" s="85">
        <f>STATS1003B!H619/1000</f>
        <v>300</v>
      </c>
      <c r="I620" s="85">
        <f>STATS1003B!I619/1000</f>
        <v>0</v>
      </c>
      <c r="J620" s="85">
        <f>STATS1003B!J619/1000</f>
        <v>0</v>
      </c>
      <c r="K620" s="85">
        <f>STATS1003B!K619/1000</f>
        <v>0</v>
      </c>
      <c r="L620" s="85">
        <f>STATS1003B!L619/1000</f>
        <v>0</v>
      </c>
      <c r="M620" s="85">
        <f>STATS1003B!M619/1000</f>
        <v>300</v>
      </c>
      <c r="N620" s="85">
        <f>STATS1003B!N619/1000</f>
        <v>0</v>
      </c>
      <c r="O620" s="85">
        <f>STATS1003B!O619/1000</f>
        <v>0</v>
      </c>
      <c r="P620" s="85">
        <f>STATS1003B!P619/1000</f>
        <v>0</v>
      </c>
      <c r="Q620" s="85">
        <f>STATS1003B!Q619/1000</f>
        <v>0</v>
      </c>
      <c r="R620" s="85">
        <f>STATS1003B!R619/1000</f>
        <v>0</v>
      </c>
      <c r="S620" s="85">
        <f>STATS1003B!S619/1000</f>
        <v>0</v>
      </c>
      <c r="T620" s="85">
        <f>STATS1003B!T619/1000</f>
        <v>0</v>
      </c>
      <c r="U620" s="85">
        <f>STATS1003B!U619/1000</f>
        <v>0</v>
      </c>
      <c r="V620" s="85">
        <f>STATS1003B!V619/1000</f>
        <v>300</v>
      </c>
      <c r="W620" s="85">
        <f>STATS1003B!W619/1000</f>
        <v>0</v>
      </c>
      <c r="X620" s="85">
        <f t="shared" si="78"/>
        <v>300</v>
      </c>
      <c r="Y620" s="85">
        <f>STATS1003B!Y619/1000</f>
        <v>0</v>
      </c>
      <c r="Z620" s="85">
        <f t="shared" si="79"/>
        <v>0</v>
      </c>
      <c r="AA620" s="69">
        <f>STATS1003B!AA619/1000</f>
        <v>300</v>
      </c>
      <c r="AB620" s="69">
        <f>STATS1003B!AB619/1000</f>
        <v>0</v>
      </c>
    </row>
    <row r="621" spans="1:28" hidden="1" x14ac:dyDescent="0.3">
      <c r="A621" s="117"/>
      <c r="C621" s="71" t="s">
        <v>930</v>
      </c>
      <c r="D621" s="89" t="s">
        <v>1072</v>
      </c>
      <c r="E621" s="85">
        <f>STATS1003B!E620/1000</f>
        <v>239.13757000000001</v>
      </c>
      <c r="F621" s="85">
        <f>STATS1003B!F620/1000</f>
        <v>239.13757000000001</v>
      </c>
      <c r="G621" s="85">
        <f>STATS1003B!G620/1000</f>
        <v>0</v>
      </c>
      <c r="H621" s="85">
        <f>STATS1003B!H620/1000</f>
        <v>239.13757000000001</v>
      </c>
      <c r="I621" s="85">
        <f>STATS1003B!I620/1000</f>
        <v>0</v>
      </c>
      <c r="J621" s="85">
        <f>STATS1003B!J620/1000</f>
        <v>0</v>
      </c>
      <c r="K621" s="85">
        <f>STATS1003B!K620/1000</f>
        <v>0</v>
      </c>
      <c r="L621" s="85">
        <f>STATS1003B!L620/1000</f>
        <v>0</v>
      </c>
      <c r="M621" s="85">
        <f>STATS1003B!M620/1000</f>
        <v>239.13757000000001</v>
      </c>
      <c r="N621" s="85">
        <f>STATS1003B!N620/1000</f>
        <v>0</v>
      </c>
      <c r="O621" s="85">
        <f>STATS1003B!O620/1000</f>
        <v>0</v>
      </c>
      <c r="P621" s="85">
        <f>STATS1003B!P620/1000</f>
        <v>0</v>
      </c>
      <c r="Q621" s="85">
        <f>STATS1003B!Q620/1000</f>
        <v>0</v>
      </c>
      <c r="R621" s="85">
        <f>STATS1003B!R620/1000</f>
        <v>0</v>
      </c>
      <c r="S621" s="85">
        <f>STATS1003B!S620/1000</f>
        <v>0</v>
      </c>
      <c r="T621" s="85">
        <f>STATS1003B!T620/1000</f>
        <v>0</v>
      </c>
      <c r="U621" s="85">
        <f>STATS1003B!U620/1000</f>
        <v>0</v>
      </c>
      <c r="V621" s="85">
        <f>STATS1003B!V620/1000</f>
        <v>239.13757000000001</v>
      </c>
      <c r="W621" s="85">
        <f>STATS1003B!W620/1000</f>
        <v>0</v>
      </c>
      <c r="X621" s="85">
        <f t="shared" si="78"/>
        <v>239.13757000000001</v>
      </c>
      <c r="Y621" s="85">
        <f>STATS1003B!Y620/1000</f>
        <v>0</v>
      </c>
      <c r="Z621" s="85">
        <f t="shared" si="79"/>
        <v>0</v>
      </c>
      <c r="AA621" s="69">
        <f>STATS1003B!AA620/1000</f>
        <v>239.13757000000001</v>
      </c>
      <c r="AB621" s="69">
        <f>STATS1003B!AB620/1000</f>
        <v>0</v>
      </c>
    </row>
    <row r="622" spans="1:28" hidden="1" x14ac:dyDescent="0.3">
      <c r="A622" s="117"/>
      <c r="C622" s="71" t="s">
        <v>1246</v>
      </c>
      <c r="D622" s="89" t="s">
        <v>1225</v>
      </c>
      <c r="E622" s="85">
        <f>STATS1003B!E621/1000</f>
        <v>250</v>
      </c>
      <c r="F622" s="85">
        <f>STATS1003B!F621/1000</f>
        <v>250</v>
      </c>
      <c r="G622" s="85">
        <f>STATS1003B!G621/1000</f>
        <v>0</v>
      </c>
      <c r="H622" s="85">
        <f>STATS1003B!H621/1000</f>
        <v>250</v>
      </c>
      <c r="I622" s="85">
        <f>STATS1003B!I621/1000</f>
        <v>0</v>
      </c>
      <c r="J622" s="85">
        <f>STATS1003B!J621/1000</f>
        <v>0</v>
      </c>
      <c r="K622" s="85">
        <f>STATS1003B!K621/1000</f>
        <v>0</v>
      </c>
      <c r="L622" s="85">
        <f>STATS1003B!L621/1000</f>
        <v>0</v>
      </c>
      <c r="M622" s="85">
        <f>STATS1003B!M621/1000</f>
        <v>250</v>
      </c>
      <c r="N622" s="85">
        <f>STATS1003B!N621/1000</f>
        <v>0</v>
      </c>
      <c r="O622" s="85">
        <f>STATS1003B!O621/1000</f>
        <v>0</v>
      </c>
      <c r="P622" s="85">
        <f>STATS1003B!P621/1000</f>
        <v>0</v>
      </c>
      <c r="Q622" s="85">
        <f>STATS1003B!Q621/1000</f>
        <v>0</v>
      </c>
      <c r="R622" s="85">
        <f>STATS1003B!R621/1000</f>
        <v>0</v>
      </c>
      <c r="S622" s="85">
        <f>STATS1003B!S621/1000</f>
        <v>0</v>
      </c>
      <c r="T622" s="85">
        <f>STATS1003B!T621/1000</f>
        <v>0</v>
      </c>
      <c r="U622" s="85">
        <f>STATS1003B!U621/1000</f>
        <v>0</v>
      </c>
      <c r="V622" s="85">
        <f>STATS1003B!V621/1000</f>
        <v>0</v>
      </c>
      <c r="W622" s="85">
        <f>STATS1003B!W621/1000</f>
        <v>0</v>
      </c>
      <c r="X622" s="85">
        <f t="shared" si="78"/>
        <v>250</v>
      </c>
      <c r="Y622" s="85">
        <f>STATS1003B!Y621/1000</f>
        <v>0</v>
      </c>
      <c r="Z622" s="85">
        <f t="shared" si="79"/>
        <v>0</v>
      </c>
      <c r="AA622" s="69">
        <f>STATS1003B!AA621/1000</f>
        <v>250</v>
      </c>
      <c r="AB622" s="69">
        <f>STATS1003B!AB621/1000</f>
        <v>0</v>
      </c>
    </row>
    <row r="623" spans="1:28" hidden="1" x14ac:dyDescent="0.3">
      <c r="A623" s="117"/>
      <c r="C623" s="68" t="s">
        <v>57</v>
      </c>
      <c r="D623" s="89" t="s">
        <v>61</v>
      </c>
      <c r="E623" s="85">
        <f>STATS1003B!E622/1000</f>
        <v>320.14792</v>
      </c>
      <c r="F623" s="85">
        <f>STATS1003B!F622/1000</f>
        <v>320.14792</v>
      </c>
      <c r="G623" s="85">
        <f>STATS1003B!G622/1000</f>
        <v>0</v>
      </c>
      <c r="H623" s="85">
        <f>STATS1003B!H622/1000</f>
        <v>320.14792</v>
      </c>
      <c r="I623" s="85">
        <f>STATS1003B!I622/1000</f>
        <v>0</v>
      </c>
      <c r="J623" s="85">
        <f>STATS1003B!J622/1000</f>
        <v>0</v>
      </c>
      <c r="K623" s="85">
        <f>STATS1003B!K622/1000</f>
        <v>0</v>
      </c>
      <c r="L623" s="85">
        <f>STATS1003B!L622/1000</f>
        <v>0</v>
      </c>
      <c r="M623" s="85">
        <f>STATS1003B!M622/1000</f>
        <v>320.14792</v>
      </c>
      <c r="N623" s="85">
        <f>STATS1003B!N622/1000</f>
        <v>0</v>
      </c>
      <c r="O623" s="85">
        <f>STATS1003B!O622/1000</f>
        <v>0</v>
      </c>
      <c r="P623" s="85">
        <f>STATS1003B!P622/1000</f>
        <v>0</v>
      </c>
      <c r="Q623" s="85">
        <f>STATS1003B!Q622/1000</f>
        <v>0</v>
      </c>
      <c r="R623" s="85">
        <f>STATS1003B!R622/1000</f>
        <v>0</v>
      </c>
      <c r="S623" s="85">
        <f>STATS1003B!S622/1000</f>
        <v>0</v>
      </c>
      <c r="T623" s="85">
        <f>STATS1003B!T622/1000</f>
        <v>0</v>
      </c>
      <c r="U623" s="85">
        <f>STATS1003B!U622/1000</f>
        <v>0</v>
      </c>
      <c r="V623" s="85">
        <f>STATS1003B!V622/1000</f>
        <v>320.14792</v>
      </c>
      <c r="W623" s="85">
        <f>STATS1003B!W622/1000</f>
        <v>0</v>
      </c>
      <c r="X623" s="85">
        <f t="shared" si="78"/>
        <v>320.14792</v>
      </c>
      <c r="Y623" s="85">
        <f>STATS1003B!Y622/1000</f>
        <v>0</v>
      </c>
      <c r="Z623" s="85">
        <f t="shared" si="79"/>
        <v>0</v>
      </c>
      <c r="AA623" s="69">
        <f>STATS1003B!AA622/1000</f>
        <v>320.14792</v>
      </c>
      <c r="AB623" s="69">
        <f>STATS1003B!AB622/1000</f>
        <v>0</v>
      </c>
    </row>
    <row r="624" spans="1:28" hidden="1" x14ac:dyDescent="0.3">
      <c r="A624" s="117"/>
      <c r="E624" s="86" t="s">
        <v>29</v>
      </c>
      <c r="F624" s="86" t="s">
        <v>29</v>
      </c>
      <c r="G624" s="86" t="s">
        <v>29</v>
      </c>
      <c r="H624" s="86" t="s">
        <v>29</v>
      </c>
      <c r="I624" s="86" t="s">
        <v>29</v>
      </c>
      <c r="J624" s="86" t="s">
        <v>29</v>
      </c>
      <c r="K624" s="86" t="s">
        <v>29</v>
      </c>
      <c r="L624" s="86" t="s">
        <v>29</v>
      </c>
      <c r="M624" s="86" t="s">
        <v>29</v>
      </c>
      <c r="N624" s="86" t="s">
        <v>29</v>
      </c>
      <c r="O624" s="86" t="s">
        <v>29</v>
      </c>
      <c r="P624" s="86" t="s">
        <v>29</v>
      </c>
      <c r="Q624" s="86" t="s">
        <v>29</v>
      </c>
      <c r="R624" s="86" t="s">
        <v>29</v>
      </c>
      <c r="S624" s="86" t="s">
        <v>29</v>
      </c>
      <c r="T624" s="86" t="s">
        <v>29</v>
      </c>
      <c r="U624" s="86" t="s">
        <v>29</v>
      </c>
      <c r="V624" s="86" t="s">
        <v>29</v>
      </c>
      <c r="W624" s="86" t="s">
        <v>29</v>
      </c>
      <c r="X624" s="85" t="e">
        <f t="shared" si="78"/>
        <v>#VALUE!</v>
      </c>
      <c r="Y624" s="86" t="s">
        <v>29</v>
      </c>
      <c r="Z624" s="85" t="e">
        <f t="shared" si="79"/>
        <v>#VALUE!</v>
      </c>
      <c r="AA624" s="115" t="s">
        <v>29</v>
      </c>
      <c r="AB624" s="115" t="s">
        <v>29</v>
      </c>
    </row>
    <row r="625" spans="1:28" x14ac:dyDescent="0.3">
      <c r="A625" s="116">
        <v>30</v>
      </c>
      <c r="B625" s="68" t="s">
        <v>195</v>
      </c>
      <c r="E625" s="85">
        <f>77431641.61/1000</f>
        <v>77431.641610000006</v>
      </c>
      <c r="F625" s="85">
        <f>SUM(F611:F623)</f>
        <v>41116.416460000008</v>
      </c>
      <c r="G625" s="85">
        <f>SUM(G611:G623)</f>
        <v>0</v>
      </c>
      <c r="H625" s="85">
        <f>68035573.07/1000</f>
        <v>68035.573069999999</v>
      </c>
      <c r="I625" s="85">
        <f t="shared" ref="I625:O625" si="84">SUM(I611:I623)</f>
        <v>0</v>
      </c>
      <c r="J625" s="85">
        <f t="shared" si="84"/>
        <v>0</v>
      </c>
      <c r="K625" s="85">
        <f t="shared" si="84"/>
        <v>0</v>
      </c>
      <c r="L625" s="85">
        <f t="shared" si="84"/>
        <v>0</v>
      </c>
      <c r="M625" s="85">
        <f t="shared" si="84"/>
        <v>41116.416460000008</v>
      </c>
      <c r="N625" s="85">
        <f t="shared" si="84"/>
        <v>2216.1102500000002</v>
      </c>
      <c r="O625" s="85">
        <f t="shared" si="84"/>
        <v>0</v>
      </c>
      <c r="P625" s="85">
        <f>2216110/1000</f>
        <v>2216.11</v>
      </c>
      <c r="Q625" s="85">
        <f t="shared" ref="Q625:W625" si="85">SUM(Q611:Q623)</f>
        <v>0</v>
      </c>
      <c r="R625" s="85">
        <f t="shared" si="85"/>
        <v>0</v>
      </c>
      <c r="S625" s="85">
        <f t="shared" si="85"/>
        <v>0</v>
      </c>
      <c r="T625" s="85">
        <f t="shared" si="85"/>
        <v>0</v>
      </c>
      <c r="U625" s="85">
        <f t="shared" si="85"/>
        <v>2216.1102500000002</v>
      </c>
      <c r="V625" s="85">
        <f t="shared" si="85"/>
        <v>43082.526710000006</v>
      </c>
      <c r="W625" s="85">
        <f t="shared" si="85"/>
        <v>7179.9582899999987</v>
      </c>
      <c r="X625" s="85">
        <f t="shared" si="78"/>
        <v>70251.683069999999</v>
      </c>
      <c r="Y625" s="85">
        <f>SUM(Y611:Y623)</f>
        <v>0</v>
      </c>
      <c r="Z625" s="85">
        <f t="shared" si="79"/>
        <v>7179.9585400000069</v>
      </c>
      <c r="AA625" s="69">
        <f>SUM(AA611:AA623)</f>
        <v>43332.526710000006</v>
      </c>
      <c r="AB625" s="69">
        <f>SUM(AB611:AB623)</f>
        <v>7179.9582899999987</v>
      </c>
    </row>
    <row r="626" spans="1:28" hidden="1" x14ac:dyDescent="0.3">
      <c r="A626" s="117"/>
      <c r="E626" s="86" t="s">
        <v>29</v>
      </c>
      <c r="F626" s="86" t="s">
        <v>29</v>
      </c>
      <c r="G626" s="86" t="s">
        <v>29</v>
      </c>
      <c r="H626" s="86" t="s">
        <v>29</v>
      </c>
      <c r="I626" s="86" t="s">
        <v>29</v>
      </c>
      <c r="J626" s="86" t="s">
        <v>29</v>
      </c>
      <c r="K626" s="86" t="s">
        <v>29</v>
      </c>
      <c r="L626" s="86" t="s">
        <v>29</v>
      </c>
      <c r="M626" s="86" t="s">
        <v>29</v>
      </c>
      <c r="N626" s="86" t="s">
        <v>29</v>
      </c>
      <c r="O626" s="86" t="s">
        <v>29</v>
      </c>
      <c r="P626" s="86" t="s">
        <v>29</v>
      </c>
      <c r="Q626" s="86" t="s">
        <v>29</v>
      </c>
      <c r="R626" s="86" t="s">
        <v>29</v>
      </c>
      <c r="S626" s="86" t="s">
        <v>29</v>
      </c>
      <c r="T626" s="86" t="s">
        <v>29</v>
      </c>
      <c r="U626" s="86" t="s">
        <v>29</v>
      </c>
      <c r="V626" s="86" t="s">
        <v>29</v>
      </c>
      <c r="W626" s="86" t="s">
        <v>29</v>
      </c>
      <c r="X626" s="85" t="e">
        <f t="shared" si="78"/>
        <v>#VALUE!</v>
      </c>
      <c r="Y626" s="86" t="s">
        <v>29</v>
      </c>
      <c r="Z626" s="86" t="s">
        <v>29</v>
      </c>
      <c r="AA626" s="115" t="s">
        <v>29</v>
      </c>
      <c r="AB626" s="115" t="s">
        <v>29</v>
      </c>
    </row>
    <row r="627" spans="1:28" hidden="1" x14ac:dyDescent="0.3">
      <c r="A627" s="105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5">
        <f t="shared" si="78"/>
        <v>0</v>
      </c>
      <c r="Y627" s="84"/>
      <c r="Z627" s="84"/>
      <c r="AA627" s="118"/>
    </row>
    <row r="628" spans="1:28" hidden="1" x14ac:dyDescent="0.3">
      <c r="A628" s="117"/>
      <c r="C628" s="68" t="s">
        <v>149</v>
      </c>
      <c r="D628" s="88" t="s">
        <v>150</v>
      </c>
      <c r="E628" s="85">
        <f>STATS1003B!E627/1000</f>
        <v>5700.9610000000002</v>
      </c>
      <c r="F628" s="85">
        <f>STATS1003B!F627/1000</f>
        <v>4825</v>
      </c>
      <c r="G628" s="85">
        <f>STATS1003B!G627/1000</f>
        <v>0</v>
      </c>
      <c r="H628" s="85">
        <f>STATS1003B!H627/1000</f>
        <v>4825</v>
      </c>
      <c r="I628" s="85">
        <f>STATS1003B!I627/1000</f>
        <v>0</v>
      </c>
      <c r="J628" s="85">
        <f>STATS1003B!J627/1000</f>
        <v>0</v>
      </c>
      <c r="K628" s="85">
        <f>STATS1003B!K627/1000</f>
        <v>0</v>
      </c>
      <c r="L628" s="85">
        <f>STATS1003B!L627/1000</f>
        <v>0</v>
      </c>
      <c r="M628" s="85">
        <f>STATS1003B!M627/1000</f>
        <v>4825</v>
      </c>
      <c r="N628" s="85">
        <f>STATS1003B!N627/1000</f>
        <v>211.72848000000002</v>
      </c>
      <c r="O628" s="85">
        <f>STATS1003B!O627/1000</f>
        <v>0</v>
      </c>
      <c r="P628" s="85">
        <f>STATS1003B!P627/1000</f>
        <v>211.72848000000002</v>
      </c>
      <c r="Q628" s="85">
        <f>STATS1003B!Q627/1000</f>
        <v>0</v>
      </c>
      <c r="R628" s="85">
        <f>STATS1003B!R627/1000</f>
        <v>0</v>
      </c>
      <c r="S628" s="85">
        <f>STATS1003B!S627/1000</f>
        <v>0</v>
      </c>
      <c r="T628" s="85">
        <f>STATS1003B!T627/1000</f>
        <v>0</v>
      </c>
      <c r="U628" s="85">
        <f>STATS1003B!U627/1000</f>
        <v>211.72848000000002</v>
      </c>
      <c r="V628" s="85">
        <f>STATS1003B!V627/1000</f>
        <v>5036.7284800000007</v>
      </c>
      <c r="W628" s="85">
        <f>STATS1003B!W627/1000</f>
        <v>664.23251999999957</v>
      </c>
      <c r="X628" s="85">
        <f t="shared" si="78"/>
        <v>5036.7284799999998</v>
      </c>
      <c r="Y628" s="85">
        <f>STATS1003B!Y627/1000</f>
        <v>0</v>
      </c>
      <c r="Z628" s="85">
        <f>STATS1003B!Z627/1000</f>
        <v>664.23251999999957</v>
      </c>
      <c r="AA628" s="69">
        <f>STATS1003B!AA627/1000</f>
        <v>5036.7284800000007</v>
      </c>
      <c r="AB628" s="69">
        <f>STATS1003B!AB627/1000</f>
        <v>664.23251999999957</v>
      </c>
    </row>
    <row r="629" spans="1:28" hidden="1" x14ac:dyDescent="0.3">
      <c r="A629" s="117"/>
      <c r="C629" s="68" t="s">
        <v>151</v>
      </c>
      <c r="D629" s="88" t="s">
        <v>150</v>
      </c>
      <c r="E629" s="85">
        <f>STATS1003B!E628/1000</f>
        <v>20240.572550000001</v>
      </c>
      <c r="F629" s="85">
        <f>STATS1003B!F628/1000</f>
        <v>14408.445240000001</v>
      </c>
      <c r="G629" s="85">
        <f>STATS1003B!G628/1000</f>
        <v>0</v>
      </c>
      <c r="H629" s="85">
        <f>STATS1003B!H628/1000</f>
        <v>14408.445240000001</v>
      </c>
      <c r="I629" s="85">
        <f>STATS1003B!I628/1000</f>
        <v>0</v>
      </c>
      <c r="J629" s="85">
        <f>STATS1003B!J628/1000</f>
        <v>0</v>
      </c>
      <c r="K629" s="85">
        <f>STATS1003B!K628/1000</f>
        <v>0</v>
      </c>
      <c r="L629" s="85">
        <f>STATS1003B!L628/1000</f>
        <v>0</v>
      </c>
      <c r="M629" s="85">
        <f>STATS1003B!M628/1000</f>
        <v>14408.445240000001</v>
      </c>
      <c r="N629" s="85">
        <f>STATS1003B!N628/1000</f>
        <v>0</v>
      </c>
      <c r="O629" s="85">
        <f>STATS1003B!O628/1000</f>
        <v>0</v>
      </c>
      <c r="P629" s="85">
        <f>STATS1003B!P628/1000</f>
        <v>0</v>
      </c>
      <c r="Q629" s="85">
        <f>STATS1003B!Q628/1000</f>
        <v>0</v>
      </c>
      <c r="R629" s="85">
        <f>STATS1003B!R628/1000</f>
        <v>0</v>
      </c>
      <c r="S629" s="85">
        <f>STATS1003B!S628/1000</f>
        <v>0</v>
      </c>
      <c r="T629" s="85">
        <f>STATS1003B!T628/1000</f>
        <v>0</v>
      </c>
      <c r="U629" s="85">
        <f>STATS1003B!U628/1000</f>
        <v>0</v>
      </c>
      <c r="V629" s="85">
        <f>STATS1003B!V628/1000</f>
        <v>14408.445240000001</v>
      </c>
      <c r="W629" s="85">
        <f>STATS1003B!W628/1000</f>
        <v>5832.1273100000008</v>
      </c>
      <c r="X629" s="85">
        <f t="shared" si="78"/>
        <v>14408.445240000001</v>
      </c>
      <c r="Y629" s="85">
        <f>STATS1003B!Y628/1000</f>
        <v>0</v>
      </c>
      <c r="Z629" s="85">
        <f>STATS1003B!Z628/1000</f>
        <v>5832.1273100000008</v>
      </c>
      <c r="AA629" s="69">
        <f>STATS1003B!AA628/1000</f>
        <v>14408.445240000001</v>
      </c>
      <c r="AB629" s="69">
        <f>STATS1003B!AB628/1000</f>
        <v>5832.1273100000008</v>
      </c>
    </row>
    <row r="630" spans="1:28" hidden="1" x14ac:dyDescent="0.3">
      <c r="A630" s="117"/>
      <c r="C630" s="68" t="s">
        <v>57</v>
      </c>
      <c r="D630" s="87" t="s">
        <v>54</v>
      </c>
      <c r="E630" s="85">
        <f>STATS1003B!E629/1000</f>
        <v>81.05</v>
      </c>
      <c r="F630" s="85">
        <f>STATS1003B!F629/1000</f>
        <v>81.05</v>
      </c>
      <c r="G630" s="85">
        <f>STATS1003B!G629/1000</f>
        <v>0</v>
      </c>
      <c r="H630" s="85">
        <f>STATS1003B!H629/1000</f>
        <v>81.05</v>
      </c>
      <c r="I630" s="85">
        <f>STATS1003B!I629/1000</f>
        <v>0</v>
      </c>
      <c r="J630" s="85">
        <f>STATS1003B!J629/1000</f>
        <v>0</v>
      </c>
      <c r="K630" s="85">
        <f>STATS1003B!K629/1000</f>
        <v>0</v>
      </c>
      <c r="L630" s="85">
        <f>STATS1003B!L629/1000</f>
        <v>0</v>
      </c>
      <c r="M630" s="85">
        <f>STATS1003B!M629/1000</f>
        <v>81.05</v>
      </c>
      <c r="N630" s="85">
        <f>STATS1003B!N629/1000</f>
        <v>0</v>
      </c>
      <c r="O630" s="85">
        <f>STATS1003B!O629/1000</f>
        <v>0</v>
      </c>
      <c r="P630" s="85">
        <f>STATS1003B!P629/1000</f>
        <v>0</v>
      </c>
      <c r="Q630" s="85">
        <f>STATS1003B!Q629/1000</f>
        <v>0</v>
      </c>
      <c r="R630" s="85">
        <f>STATS1003B!R629/1000</f>
        <v>0</v>
      </c>
      <c r="S630" s="85">
        <f>STATS1003B!S629/1000</f>
        <v>0</v>
      </c>
      <c r="T630" s="85">
        <f>STATS1003B!T629/1000</f>
        <v>0</v>
      </c>
      <c r="U630" s="85">
        <f>STATS1003B!U629/1000</f>
        <v>0</v>
      </c>
      <c r="V630" s="85">
        <f>STATS1003B!V629/1000</f>
        <v>81.05</v>
      </c>
      <c r="W630" s="85">
        <f>STATS1003B!W629/1000</f>
        <v>0</v>
      </c>
      <c r="X630" s="85">
        <f t="shared" si="78"/>
        <v>81.05</v>
      </c>
      <c r="Y630" s="85">
        <f>STATS1003B!Y629/1000</f>
        <v>0</v>
      </c>
      <c r="Z630" s="85">
        <f>STATS1003B!Z629/1000</f>
        <v>0</v>
      </c>
      <c r="AA630" s="69">
        <f>STATS1003B!AA629/1000</f>
        <v>81.05</v>
      </c>
      <c r="AB630" s="69">
        <f>STATS1003B!AB629/1000</f>
        <v>0</v>
      </c>
    </row>
    <row r="631" spans="1:28" hidden="1" x14ac:dyDescent="0.3">
      <c r="A631" s="117"/>
      <c r="C631" s="68" t="s">
        <v>53</v>
      </c>
      <c r="D631" s="87" t="s">
        <v>85</v>
      </c>
      <c r="E631" s="85">
        <f>STATS1003B!E630/1000</f>
        <v>1950.1130000000001</v>
      </c>
      <c r="F631" s="85">
        <f>STATS1003B!F630/1000</f>
        <v>0</v>
      </c>
      <c r="G631" s="85">
        <f>STATS1003B!G630/1000</f>
        <v>0</v>
      </c>
      <c r="H631" s="85">
        <f>STATS1003B!H630/1000</f>
        <v>0</v>
      </c>
      <c r="I631" s="85">
        <f>STATS1003B!I630/1000</f>
        <v>0</v>
      </c>
      <c r="J631" s="85">
        <f>STATS1003B!J630/1000</f>
        <v>0</v>
      </c>
      <c r="K631" s="85">
        <f>STATS1003B!K630/1000</f>
        <v>0</v>
      </c>
      <c r="L631" s="85">
        <f>STATS1003B!L630/1000</f>
        <v>0</v>
      </c>
      <c r="M631" s="85">
        <f>STATS1003B!M630/1000</f>
        <v>0</v>
      </c>
      <c r="N631" s="85">
        <f>STATS1003B!N630/1000</f>
        <v>1950.1130000000001</v>
      </c>
      <c r="O631" s="85">
        <f>STATS1003B!O630/1000</f>
        <v>0</v>
      </c>
      <c r="P631" s="85">
        <f>STATS1003B!P630/1000</f>
        <v>1950.1130000000001</v>
      </c>
      <c r="Q631" s="85">
        <f>STATS1003B!Q630/1000</f>
        <v>0</v>
      </c>
      <c r="R631" s="85">
        <f>STATS1003B!R630/1000</f>
        <v>0</v>
      </c>
      <c r="S631" s="85">
        <f>STATS1003B!S630/1000</f>
        <v>0</v>
      </c>
      <c r="T631" s="85">
        <f>STATS1003B!T630/1000</f>
        <v>0</v>
      </c>
      <c r="U631" s="85">
        <f>STATS1003B!U630/1000</f>
        <v>1950.1130000000001</v>
      </c>
      <c r="V631" s="85">
        <f>STATS1003B!V630/1000</f>
        <v>1950.1130000000001</v>
      </c>
      <c r="W631" s="85">
        <f>STATS1003B!W630/1000</f>
        <v>0</v>
      </c>
      <c r="X631" s="85">
        <f t="shared" si="78"/>
        <v>1950.1130000000001</v>
      </c>
      <c r="Y631" s="85">
        <f>STATS1003B!Y630/1000</f>
        <v>0</v>
      </c>
      <c r="Z631" s="85">
        <f>STATS1003B!Z630/1000</f>
        <v>0</v>
      </c>
      <c r="AA631" s="69">
        <f>STATS1003B!AA630/1000</f>
        <v>1950.1130000000001</v>
      </c>
      <c r="AB631" s="69">
        <f>STATS1003B!AB630/1000</f>
        <v>0</v>
      </c>
    </row>
    <row r="632" spans="1:28" hidden="1" x14ac:dyDescent="0.3">
      <c r="A632" s="117"/>
      <c r="C632" s="68" t="s">
        <v>147</v>
      </c>
      <c r="D632" s="87" t="s">
        <v>128</v>
      </c>
      <c r="E632" s="85">
        <f>STATS1003B!E631/1000</f>
        <v>282.73</v>
      </c>
      <c r="F632" s="85">
        <f>STATS1003B!F631/1000</f>
        <v>0</v>
      </c>
      <c r="G632" s="85">
        <f>STATS1003B!G631/1000</f>
        <v>0</v>
      </c>
      <c r="H632" s="85">
        <f>STATS1003B!H631/1000</f>
        <v>0</v>
      </c>
      <c r="I632" s="85">
        <f>STATS1003B!I631/1000</f>
        <v>0</v>
      </c>
      <c r="J632" s="85">
        <f>STATS1003B!J631/1000</f>
        <v>0</v>
      </c>
      <c r="K632" s="85">
        <f>STATS1003B!K631/1000</f>
        <v>0</v>
      </c>
      <c r="L632" s="85">
        <f>STATS1003B!L631/1000</f>
        <v>0</v>
      </c>
      <c r="M632" s="85">
        <f>STATS1003B!M631/1000</f>
        <v>0</v>
      </c>
      <c r="N632" s="85">
        <f>STATS1003B!N631/1000</f>
        <v>282.73</v>
      </c>
      <c r="O632" s="85">
        <f>STATS1003B!O631/1000</f>
        <v>0</v>
      </c>
      <c r="P632" s="85">
        <f>STATS1003B!P631/1000</f>
        <v>282.73</v>
      </c>
      <c r="Q632" s="85">
        <f>STATS1003B!Q631/1000</f>
        <v>0</v>
      </c>
      <c r="R632" s="85">
        <f>STATS1003B!R631/1000</f>
        <v>0</v>
      </c>
      <c r="S632" s="85">
        <f>STATS1003B!S631/1000</f>
        <v>0</v>
      </c>
      <c r="T632" s="85">
        <f>STATS1003B!T631/1000</f>
        <v>0</v>
      </c>
      <c r="U632" s="85">
        <f>STATS1003B!U631/1000</f>
        <v>282.73</v>
      </c>
      <c r="V632" s="85">
        <f>STATS1003B!V631/1000</f>
        <v>282.73</v>
      </c>
      <c r="W632" s="85">
        <f>STATS1003B!W631/1000</f>
        <v>0</v>
      </c>
      <c r="X632" s="85">
        <f t="shared" si="78"/>
        <v>282.73</v>
      </c>
      <c r="Y632" s="85">
        <f>STATS1003B!Y631/1000</f>
        <v>0</v>
      </c>
      <c r="Z632" s="85">
        <f>STATS1003B!Z631/1000</f>
        <v>0</v>
      </c>
      <c r="AA632" s="69">
        <f>STATS1003B!AA631/1000</f>
        <v>282.73</v>
      </c>
      <c r="AB632" s="69">
        <f>STATS1003B!AB631/1000</f>
        <v>0</v>
      </c>
    </row>
    <row r="633" spans="1:28" hidden="1" x14ac:dyDescent="0.3">
      <c r="A633" s="117"/>
      <c r="C633" s="68" t="s">
        <v>57</v>
      </c>
      <c r="D633" s="87" t="s">
        <v>108</v>
      </c>
      <c r="E633" s="85">
        <f>STATS1003B!E632/1000</f>
        <v>2468.7566900000002</v>
      </c>
      <c r="F633" s="85">
        <f>STATS1003B!F632/1000</f>
        <v>2468.7566900000002</v>
      </c>
      <c r="G633" s="85">
        <f>STATS1003B!G632/1000</f>
        <v>0</v>
      </c>
      <c r="H633" s="85">
        <f>STATS1003B!H632/1000</f>
        <v>2468.7566900000002</v>
      </c>
      <c r="I633" s="85">
        <f>STATS1003B!I632/1000</f>
        <v>0</v>
      </c>
      <c r="J633" s="85">
        <f>STATS1003B!J632/1000</f>
        <v>0</v>
      </c>
      <c r="K633" s="85">
        <f>STATS1003B!K632/1000</f>
        <v>0</v>
      </c>
      <c r="L633" s="85">
        <f>STATS1003B!L632/1000</f>
        <v>0</v>
      </c>
      <c r="M633" s="85">
        <f>STATS1003B!M632/1000</f>
        <v>2468.7566900000002</v>
      </c>
      <c r="N633" s="85">
        <f>STATS1003B!N632/1000</f>
        <v>0</v>
      </c>
      <c r="O633" s="85">
        <f>STATS1003B!O632/1000</f>
        <v>0</v>
      </c>
      <c r="P633" s="85">
        <f>STATS1003B!P632/1000</f>
        <v>0</v>
      </c>
      <c r="Q633" s="85">
        <f>STATS1003B!Q632/1000</f>
        <v>0</v>
      </c>
      <c r="R633" s="85">
        <f>STATS1003B!R632/1000</f>
        <v>0</v>
      </c>
      <c r="S633" s="85">
        <f>STATS1003B!S632/1000</f>
        <v>0</v>
      </c>
      <c r="T633" s="85">
        <f>STATS1003B!T632/1000</f>
        <v>0</v>
      </c>
      <c r="U633" s="85">
        <f>STATS1003B!U632/1000</f>
        <v>0</v>
      </c>
      <c r="V633" s="85">
        <f>STATS1003B!V632/1000</f>
        <v>2468.7566900000002</v>
      </c>
      <c r="W633" s="85">
        <f>STATS1003B!W632/1000</f>
        <v>0</v>
      </c>
      <c r="X633" s="85">
        <f t="shared" si="78"/>
        <v>2468.7566900000002</v>
      </c>
      <c r="Y633" s="85">
        <f>STATS1003B!Y632/1000</f>
        <v>0</v>
      </c>
      <c r="Z633" s="85">
        <f>STATS1003B!Z632/1000</f>
        <v>0</v>
      </c>
      <c r="AA633" s="69">
        <f>STATS1003B!AA632/1000</f>
        <v>2468.7566900000002</v>
      </c>
      <c r="AB633" s="69">
        <f>STATS1003B!AB632/1000</f>
        <v>0</v>
      </c>
    </row>
    <row r="634" spans="1:28" hidden="1" x14ac:dyDescent="0.3">
      <c r="A634" s="117"/>
      <c r="C634" s="68" t="s">
        <v>57</v>
      </c>
      <c r="D634" s="87" t="s">
        <v>58</v>
      </c>
      <c r="E634" s="85">
        <f>STATS1003B!E633/1000</f>
        <v>4062.9070000000002</v>
      </c>
      <c r="F634" s="85">
        <f>STATS1003B!F633/1000</f>
        <v>4062.9070000000002</v>
      </c>
      <c r="G634" s="85">
        <f>STATS1003B!G633/1000</f>
        <v>0</v>
      </c>
      <c r="H634" s="85">
        <f>STATS1003B!H633/1000</f>
        <v>4062.9070000000002</v>
      </c>
      <c r="I634" s="85">
        <f>STATS1003B!I633/1000</f>
        <v>0</v>
      </c>
      <c r="J634" s="85">
        <f>STATS1003B!J633/1000</f>
        <v>0</v>
      </c>
      <c r="K634" s="85">
        <f>STATS1003B!K633/1000</f>
        <v>0</v>
      </c>
      <c r="L634" s="85">
        <f>STATS1003B!L633/1000</f>
        <v>0</v>
      </c>
      <c r="M634" s="85">
        <f>STATS1003B!M633/1000</f>
        <v>4062.9070000000002</v>
      </c>
      <c r="N634" s="85">
        <f>STATS1003B!N633/1000</f>
        <v>0</v>
      </c>
      <c r="O634" s="85">
        <f>STATS1003B!O633/1000</f>
        <v>0</v>
      </c>
      <c r="P634" s="85">
        <f>STATS1003B!P633/1000</f>
        <v>0</v>
      </c>
      <c r="Q634" s="85">
        <f>STATS1003B!Q633/1000</f>
        <v>0</v>
      </c>
      <c r="R634" s="85">
        <f>STATS1003B!R633/1000</f>
        <v>0</v>
      </c>
      <c r="S634" s="85">
        <f>STATS1003B!S633/1000</f>
        <v>0</v>
      </c>
      <c r="T634" s="85">
        <f>STATS1003B!T633/1000</f>
        <v>0</v>
      </c>
      <c r="U634" s="85">
        <f>STATS1003B!U633/1000</f>
        <v>0</v>
      </c>
      <c r="V634" s="85">
        <f>STATS1003B!V633/1000</f>
        <v>4062.9070000000002</v>
      </c>
      <c r="W634" s="85">
        <f>STATS1003B!W633/1000</f>
        <v>0</v>
      </c>
      <c r="X634" s="85">
        <f t="shared" si="78"/>
        <v>4062.9070000000002</v>
      </c>
      <c r="Y634" s="85">
        <f>STATS1003B!Y633/1000</f>
        <v>0</v>
      </c>
      <c r="Z634" s="85">
        <f>STATS1003B!Z633/1000</f>
        <v>0</v>
      </c>
      <c r="AA634" s="69">
        <f>STATS1003B!AA633/1000</f>
        <v>4062.9070000000002</v>
      </c>
      <c r="AB634" s="69">
        <f>STATS1003B!AB633/1000</f>
        <v>0</v>
      </c>
    </row>
    <row r="635" spans="1:28" hidden="1" x14ac:dyDescent="0.3">
      <c r="A635" s="117"/>
      <c r="C635" s="68" t="s">
        <v>1077</v>
      </c>
      <c r="D635" s="87"/>
      <c r="E635" s="85">
        <f>STATS1003B!E634/1000</f>
        <v>271.88514000000004</v>
      </c>
      <c r="F635" s="85">
        <f>STATS1003B!F634/1000</f>
        <v>271.88514000000004</v>
      </c>
      <c r="G635" s="85">
        <f>STATS1003B!G634/1000</f>
        <v>0</v>
      </c>
      <c r="H635" s="85">
        <f>STATS1003B!H634/1000</f>
        <v>271.88514000000004</v>
      </c>
      <c r="I635" s="85">
        <f>STATS1003B!I634/1000</f>
        <v>0</v>
      </c>
      <c r="J635" s="85">
        <f>STATS1003B!J634/1000</f>
        <v>0</v>
      </c>
      <c r="K635" s="85">
        <f>STATS1003B!K634/1000</f>
        <v>0</v>
      </c>
      <c r="L635" s="85">
        <f>STATS1003B!L634/1000</f>
        <v>0</v>
      </c>
      <c r="M635" s="85">
        <f>STATS1003B!M634/1000</f>
        <v>271.88514000000004</v>
      </c>
      <c r="N635" s="85">
        <f>STATS1003B!N634/1000</f>
        <v>0</v>
      </c>
      <c r="O635" s="85">
        <f>STATS1003B!O634/1000</f>
        <v>0</v>
      </c>
      <c r="P635" s="85">
        <f>STATS1003B!P634/1000</f>
        <v>0</v>
      </c>
      <c r="Q635" s="85">
        <f>STATS1003B!Q634/1000</f>
        <v>0</v>
      </c>
      <c r="R635" s="85">
        <f>STATS1003B!R634/1000</f>
        <v>0</v>
      </c>
      <c r="S635" s="85">
        <f>STATS1003B!S634/1000</f>
        <v>0</v>
      </c>
      <c r="T635" s="85">
        <f>STATS1003B!T634/1000</f>
        <v>0</v>
      </c>
      <c r="U635" s="85">
        <f>STATS1003B!U634/1000</f>
        <v>0</v>
      </c>
      <c r="V635" s="85">
        <f>STATS1003B!V634/1000</f>
        <v>271.88514000000004</v>
      </c>
      <c r="W635" s="85">
        <f>STATS1003B!W634/1000</f>
        <v>0</v>
      </c>
      <c r="X635" s="85">
        <f t="shared" si="78"/>
        <v>271.88514000000004</v>
      </c>
      <c r="Y635" s="85">
        <f>STATS1003B!Y634/1000</f>
        <v>0</v>
      </c>
      <c r="Z635" s="85">
        <f>STATS1003B!Z634/1000</f>
        <v>0</v>
      </c>
      <c r="AA635" s="69">
        <f>STATS1003B!AA634/1000</f>
        <v>271.88514000000004</v>
      </c>
      <c r="AB635" s="69">
        <f>STATS1003B!AB634/1000</f>
        <v>0</v>
      </c>
    </row>
    <row r="636" spans="1:28" hidden="1" x14ac:dyDescent="0.3">
      <c r="A636" s="117"/>
      <c r="C636" s="71" t="s">
        <v>199</v>
      </c>
      <c r="D636" s="87" t="s">
        <v>58</v>
      </c>
      <c r="E636" s="85">
        <f>STATS1003B!E635/1000</f>
        <v>5000</v>
      </c>
      <c r="F636" s="85">
        <f>STATS1003B!F635/1000</f>
        <v>5000</v>
      </c>
      <c r="G636" s="85">
        <f>STATS1003B!G635/1000</f>
        <v>0</v>
      </c>
      <c r="H636" s="85">
        <f>STATS1003B!H635/1000</f>
        <v>5000</v>
      </c>
      <c r="I636" s="85">
        <f>STATS1003B!I635/1000</f>
        <v>0</v>
      </c>
      <c r="J636" s="85">
        <f>STATS1003B!J635/1000</f>
        <v>0</v>
      </c>
      <c r="K636" s="85">
        <f>STATS1003B!K635/1000</f>
        <v>0</v>
      </c>
      <c r="L636" s="85">
        <f>STATS1003B!L635/1000</f>
        <v>0</v>
      </c>
      <c r="M636" s="85">
        <f>STATS1003B!M635/1000</f>
        <v>5000</v>
      </c>
      <c r="N636" s="85">
        <f>STATS1003B!N635/1000</f>
        <v>0</v>
      </c>
      <c r="O636" s="85">
        <f>STATS1003B!O635/1000</f>
        <v>0</v>
      </c>
      <c r="P636" s="85">
        <f>STATS1003B!P635/1000</f>
        <v>0</v>
      </c>
      <c r="Q636" s="85">
        <f>STATS1003B!Q635/1000</f>
        <v>0</v>
      </c>
      <c r="R636" s="85">
        <f>STATS1003B!R635/1000</f>
        <v>0</v>
      </c>
      <c r="S636" s="85">
        <f>STATS1003B!S635/1000</f>
        <v>0</v>
      </c>
      <c r="T636" s="85">
        <f>STATS1003B!T635/1000</f>
        <v>0</v>
      </c>
      <c r="U636" s="85">
        <f>STATS1003B!U635/1000</f>
        <v>0</v>
      </c>
      <c r="V636" s="85">
        <f>STATS1003B!V635/1000</f>
        <v>5000</v>
      </c>
      <c r="W636" s="85">
        <f>STATS1003B!W635/1000</f>
        <v>0</v>
      </c>
      <c r="X636" s="85">
        <f t="shared" si="78"/>
        <v>5000</v>
      </c>
      <c r="Y636" s="85">
        <f>STATS1003B!Y635/1000</f>
        <v>0</v>
      </c>
      <c r="Z636" s="85">
        <f>STATS1003B!Z635/1000</f>
        <v>0</v>
      </c>
      <c r="AA636" s="69">
        <f>STATS1003B!AA635/1000</f>
        <v>5000</v>
      </c>
      <c r="AB636" s="69">
        <f>STATS1003B!AB635/1000</f>
        <v>0</v>
      </c>
    </row>
    <row r="637" spans="1:28" hidden="1" x14ac:dyDescent="0.3">
      <c r="A637" s="117"/>
      <c r="E637" s="86" t="s">
        <v>29</v>
      </c>
      <c r="F637" s="86" t="s">
        <v>29</v>
      </c>
      <c r="G637" s="86" t="s">
        <v>29</v>
      </c>
      <c r="H637" s="86" t="s">
        <v>29</v>
      </c>
      <c r="I637" s="86" t="s">
        <v>29</v>
      </c>
      <c r="J637" s="86" t="s">
        <v>29</v>
      </c>
      <c r="K637" s="86" t="s">
        <v>29</v>
      </c>
      <c r="L637" s="86" t="s">
        <v>29</v>
      </c>
      <c r="M637" s="86" t="s">
        <v>29</v>
      </c>
      <c r="N637" s="86" t="s">
        <v>29</v>
      </c>
      <c r="O637" s="86" t="s">
        <v>29</v>
      </c>
      <c r="P637" s="86" t="s">
        <v>29</v>
      </c>
      <c r="Q637" s="86" t="s">
        <v>29</v>
      </c>
      <c r="R637" s="86" t="s">
        <v>29</v>
      </c>
      <c r="S637" s="86" t="s">
        <v>29</v>
      </c>
      <c r="T637" s="86" t="s">
        <v>29</v>
      </c>
      <c r="U637" s="86" t="s">
        <v>29</v>
      </c>
      <c r="V637" s="86" t="s">
        <v>29</v>
      </c>
      <c r="W637" s="86" t="s">
        <v>29</v>
      </c>
      <c r="X637" s="85" t="e">
        <f t="shared" si="78"/>
        <v>#VALUE!</v>
      </c>
      <c r="Y637" s="86" t="s">
        <v>29</v>
      </c>
      <c r="Z637" s="86" t="s">
        <v>29</v>
      </c>
      <c r="AA637" s="115" t="s">
        <v>29</v>
      </c>
      <c r="AB637" s="115" t="s">
        <v>29</v>
      </c>
    </row>
    <row r="638" spans="1:28" x14ac:dyDescent="0.3">
      <c r="A638" s="116">
        <v>31</v>
      </c>
      <c r="B638" s="68" t="s">
        <v>198</v>
      </c>
      <c r="E638" s="85">
        <f>83943141.22/1000</f>
        <v>83943.141220000005</v>
      </c>
      <c r="F638" s="85">
        <f>SUM(F628:F636)</f>
        <v>31118.044069999996</v>
      </c>
      <c r="G638" s="85">
        <f>SUM(G628:G636)</f>
        <v>0</v>
      </c>
      <c r="H638" s="85">
        <f>75002209.91/1000</f>
        <v>75002.20990999999</v>
      </c>
      <c r="I638" s="85">
        <f t="shared" ref="I638:O638" si="86">SUM(I628:I636)</f>
        <v>0</v>
      </c>
      <c r="J638" s="85">
        <f t="shared" si="86"/>
        <v>0</v>
      </c>
      <c r="K638" s="85">
        <f t="shared" si="86"/>
        <v>0</v>
      </c>
      <c r="L638" s="85">
        <f t="shared" si="86"/>
        <v>0</v>
      </c>
      <c r="M638" s="85">
        <f t="shared" si="86"/>
        <v>31118.044069999996</v>
      </c>
      <c r="N638" s="85">
        <f t="shared" si="86"/>
        <v>2444.5714800000001</v>
      </c>
      <c r="O638" s="85">
        <f t="shared" si="86"/>
        <v>0</v>
      </c>
      <c r="P638" s="85">
        <f>2444571/1000</f>
        <v>2444.5709999999999</v>
      </c>
      <c r="Q638" s="85">
        <f t="shared" ref="Q638:W638" si="87">SUM(Q628:Q636)</f>
        <v>0</v>
      </c>
      <c r="R638" s="85">
        <f t="shared" si="87"/>
        <v>0</v>
      </c>
      <c r="S638" s="85">
        <f t="shared" si="87"/>
        <v>0</v>
      </c>
      <c r="T638" s="85">
        <f t="shared" si="87"/>
        <v>0</v>
      </c>
      <c r="U638" s="85">
        <f t="shared" si="87"/>
        <v>2444.5714800000001</v>
      </c>
      <c r="V638" s="85">
        <f t="shared" si="87"/>
        <v>33562.615550000002</v>
      </c>
      <c r="W638" s="85">
        <f t="shared" si="87"/>
        <v>6496.3598300000003</v>
      </c>
      <c r="X638" s="85">
        <f>+H638+P638</f>
        <v>77446.780909999987</v>
      </c>
      <c r="Y638" s="85">
        <f>SUM(Y628:Y636)</f>
        <v>0</v>
      </c>
      <c r="Z638" s="85">
        <f>+E638-X638</f>
        <v>6496.3603100000182</v>
      </c>
      <c r="AA638" s="69">
        <f>SUM(AA628:AA636)</f>
        <v>33562.615550000002</v>
      </c>
      <c r="AB638" s="69">
        <f>SUM(AB628:AB636)</f>
        <v>6496.3598300000003</v>
      </c>
    </row>
    <row r="639" spans="1:28" x14ac:dyDescent="0.3">
      <c r="A639" s="117"/>
      <c r="E639" s="86"/>
      <c r="F639" s="86"/>
      <c r="G639" s="86"/>
      <c r="H639" s="86"/>
      <c r="I639" s="86"/>
      <c r="J639" s="86"/>
      <c r="K639" s="86"/>
      <c r="L639" s="86"/>
      <c r="M639" s="86"/>
      <c r="N639" s="86"/>
      <c r="O639" s="86"/>
      <c r="P639" s="86"/>
      <c r="Q639" s="86"/>
      <c r="R639" s="86"/>
      <c r="S639" s="86"/>
      <c r="T639" s="86"/>
      <c r="U639" s="86"/>
      <c r="V639" s="86"/>
      <c r="W639" s="86"/>
      <c r="X639" s="86"/>
      <c r="Y639" s="86"/>
      <c r="Z639" s="86"/>
      <c r="AA639" s="115" t="s">
        <v>29</v>
      </c>
      <c r="AB639" s="115" t="s">
        <v>29</v>
      </c>
    </row>
    <row r="640" spans="1:28" s="106" customFormat="1" x14ac:dyDescent="0.3">
      <c r="A640" s="104"/>
      <c r="B640" s="8"/>
      <c r="C640" s="7" t="s">
        <v>3</v>
      </c>
      <c r="D640" s="8"/>
      <c r="E640" s="82">
        <f>E638+E625+E607+E589+E570+E558+E545+E535+E522+E509+E500+E487+E473+E457+E563+E446+E556+E557</f>
        <v>1309648.9986699999</v>
      </c>
      <c r="F640" s="82">
        <f>F638+F625+F607+F589+F570+F558+F545+F535+F522+F509+F500+F487+F473+F457+F563+F446</f>
        <v>506926.92811000004</v>
      </c>
      <c r="G640" s="82">
        <f>G638+G625+G607+G589+G570+G558+G545+G535+G522+G509+G500+G487+G473+G457+G563+G446</f>
        <v>0</v>
      </c>
      <c r="H640" s="82">
        <f t="shared" ref="H640:Z640" si="88">H638+H625+H607+H589+H570+H558+H545+H535+H522+H509+H500+H487+H473+H457+H563+H446+H556+H557</f>
        <v>1094286.0347500001</v>
      </c>
      <c r="I640" s="82">
        <f t="shared" si="88"/>
        <v>1029.9882299999999</v>
      </c>
      <c r="J640" s="82">
        <f t="shared" si="88"/>
        <v>0</v>
      </c>
      <c r="K640" s="82">
        <f t="shared" si="88"/>
        <v>0</v>
      </c>
      <c r="L640" s="82">
        <f t="shared" si="88"/>
        <v>1029.9882299999999</v>
      </c>
      <c r="M640" s="82">
        <f t="shared" si="88"/>
        <v>507956.91634000005</v>
      </c>
      <c r="N640" s="82">
        <f t="shared" si="88"/>
        <v>92267.67134999999</v>
      </c>
      <c r="O640" s="82">
        <f t="shared" si="88"/>
        <v>0</v>
      </c>
      <c r="P640" s="82">
        <f t="shared" si="88"/>
        <v>92267.665000000008</v>
      </c>
      <c r="Q640" s="82">
        <f t="shared" si="88"/>
        <v>0</v>
      </c>
      <c r="R640" s="82">
        <f t="shared" si="88"/>
        <v>0</v>
      </c>
      <c r="S640" s="82">
        <f t="shared" si="88"/>
        <v>0</v>
      </c>
      <c r="T640" s="82">
        <f t="shared" si="88"/>
        <v>0</v>
      </c>
      <c r="U640" s="82">
        <f t="shared" si="88"/>
        <v>92267.67134999999</v>
      </c>
      <c r="V640" s="82">
        <f t="shared" si="88"/>
        <v>594291.36341999995</v>
      </c>
      <c r="W640" s="82">
        <f t="shared" si="88"/>
        <v>102628.47777</v>
      </c>
      <c r="X640" s="82">
        <f t="shared" si="88"/>
        <v>1186553.6997499997</v>
      </c>
      <c r="Y640" s="82">
        <f t="shared" si="88"/>
        <v>0</v>
      </c>
      <c r="Z640" s="82">
        <f t="shared" si="88"/>
        <v>123095.49892000007</v>
      </c>
      <c r="AA640" s="9">
        <f>AA638+AA625+AA607+AA589+AA570+AA558+AA545+AA535+AA522+AA509+AA500+AA487+AA473+AA457+AA563+AA446</f>
        <v>600224.58768999996</v>
      </c>
      <c r="AB640" s="9">
        <f>AB638+AB625+AB607+AB589+AB570+AB558+AB545+AB535+AB522+AB509+AB500+AB487+AB473+AB457+AB563+AB446</f>
        <v>122065.40416999999</v>
      </c>
    </row>
    <row r="641" spans="1:28" x14ac:dyDescent="0.3">
      <c r="A641" s="117"/>
      <c r="E641" s="86"/>
      <c r="F641" s="86"/>
      <c r="G641" s="86"/>
      <c r="H641" s="86"/>
      <c r="I641" s="86"/>
      <c r="J641" s="86"/>
      <c r="K641" s="86"/>
      <c r="L641" s="86"/>
      <c r="M641" s="86"/>
      <c r="N641" s="86"/>
      <c r="O641" s="86"/>
      <c r="P641" s="86"/>
      <c r="Q641" s="86"/>
      <c r="R641" s="86"/>
      <c r="S641" s="86"/>
      <c r="T641" s="86"/>
      <c r="U641" s="86"/>
      <c r="V641" s="86"/>
      <c r="W641" s="86"/>
      <c r="X641" s="92"/>
      <c r="Y641" s="86"/>
      <c r="Z641" s="86"/>
      <c r="AA641" s="115" t="s">
        <v>114</v>
      </c>
      <c r="AB641" s="115" t="s">
        <v>114</v>
      </c>
    </row>
    <row r="642" spans="1:28" x14ac:dyDescent="0.3">
      <c r="A642" s="117"/>
      <c r="B642" s="68" t="s">
        <v>594</v>
      </c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6"/>
      <c r="S642" s="86"/>
      <c r="T642" s="86"/>
      <c r="U642" s="86"/>
      <c r="V642" s="86"/>
      <c r="W642" s="86"/>
      <c r="X642" s="86"/>
      <c r="Y642" s="86"/>
      <c r="Z642" s="86"/>
    </row>
    <row r="643" spans="1:28" hidden="1" x14ac:dyDescent="0.3">
      <c r="A643" s="117"/>
      <c r="B643" s="68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6"/>
      <c r="S643" s="86"/>
      <c r="T643" s="86"/>
      <c r="U643" s="86"/>
      <c r="V643" s="86"/>
      <c r="W643" s="86"/>
      <c r="X643" s="86"/>
      <c r="Y643" s="86"/>
      <c r="Z643" s="86"/>
    </row>
    <row r="644" spans="1:28" hidden="1" x14ac:dyDescent="0.3">
      <c r="A644" s="117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6"/>
      <c r="S644" s="86"/>
      <c r="T644" s="86"/>
      <c r="U644" s="86"/>
      <c r="V644" s="86"/>
      <c r="W644" s="86"/>
      <c r="X644" s="86"/>
      <c r="Y644" s="86"/>
      <c r="Z644" s="86"/>
    </row>
    <row r="645" spans="1:28" x14ac:dyDescent="0.3">
      <c r="A645" s="117"/>
      <c r="B645" s="96" t="s">
        <v>1214</v>
      </c>
      <c r="D645" s="91" t="s">
        <v>1126</v>
      </c>
      <c r="E645" s="85">
        <f>1000000/1000</f>
        <v>1000</v>
      </c>
      <c r="F645" s="85">
        <f>STATS1003B!F645/1000</f>
        <v>1000</v>
      </c>
      <c r="G645" s="85">
        <f>STATS1003B!G645/1000</f>
        <v>0</v>
      </c>
      <c r="H645" s="85">
        <f>1000000/1000</f>
        <v>1000</v>
      </c>
      <c r="I645" s="85">
        <f>STATS1003B!I645/1000</f>
        <v>0</v>
      </c>
      <c r="J645" s="85">
        <f>STATS1003B!J645/1000</f>
        <v>0</v>
      </c>
      <c r="K645" s="85">
        <f>STATS1003B!K645/1000</f>
        <v>0</v>
      </c>
      <c r="L645" s="85">
        <f>STATS1003B!L645/1000</f>
        <v>0</v>
      </c>
      <c r="M645" s="85">
        <f>STATS1003B!M645/1000</f>
        <v>1000</v>
      </c>
      <c r="N645" s="85">
        <f>STATS1003B!N645/1000</f>
        <v>0</v>
      </c>
      <c r="O645" s="85">
        <f>STATS1003B!O645/1000</f>
        <v>0</v>
      </c>
      <c r="P645" s="85">
        <v>0</v>
      </c>
      <c r="Q645" s="85">
        <f>STATS1003B!Q645/1000</f>
        <v>0</v>
      </c>
      <c r="R645" s="85">
        <f>STATS1003B!R645/1000</f>
        <v>0</v>
      </c>
      <c r="S645" s="85">
        <f>STATS1003B!S645/1000</f>
        <v>0</v>
      </c>
      <c r="T645" s="85">
        <f>STATS1003B!T645/1000</f>
        <v>0</v>
      </c>
      <c r="U645" s="85">
        <f>STATS1003B!U645/1000</f>
        <v>0</v>
      </c>
      <c r="V645" s="85">
        <f>STATS1003B!V645/1000</f>
        <v>1000</v>
      </c>
      <c r="W645" s="85">
        <f>STATS1003B!W645/1000</f>
        <v>0</v>
      </c>
      <c r="X645" s="85">
        <f t="shared" ref="X645:X708" si="89">+H645+P645</f>
        <v>1000</v>
      </c>
      <c r="Y645" s="85">
        <f>STATS1003B!Y645/1000</f>
        <v>0</v>
      </c>
      <c r="Z645" s="85">
        <f>+E645-X645</f>
        <v>0</v>
      </c>
      <c r="AA645" s="69">
        <f>STATS1003B!AA645/1000</f>
        <v>1000</v>
      </c>
      <c r="AB645" s="69">
        <f>STATS1003B!AB645/1000</f>
        <v>0</v>
      </c>
    </row>
    <row r="646" spans="1:28" hidden="1" x14ac:dyDescent="0.3">
      <c r="A646" s="117"/>
      <c r="B646" s="68"/>
      <c r="E646" s="86" t="s">
        <v>114</v>
      </c>
      <c r="F646" s="86" t="s">
        <v>114</v>
      </c>
      <c r="G646" s="86" t="s">
        <v>114</v>
      </c>
      <c r="H646" s="86" t="s">
        <v>114</v>
      </c>
      <c r="I646" s="86" t="s">
        <v>114</v>
      </c>
      <c r="J646" s="86" t="s">
        <v>114</v>
      </c>
      <c r="K646" s="86" t="s">
        <v>114</v>
      </c>
      <c r="L646" s="86" t="s">
        <v>114</v>
      </c>
      <c r="M646" s="86" t="s">
        <v>114</v>
      </c>
      <c r="N646" s="86" t="s">
        <v>114</v>
      </c>
      <c r="O646" s="86" t="s">
        <v>114</v>
      </c>
      <c r="P646" s="86" t="s">
        <v>114</v>
      </c>
      <c r="Q646" s="86" t="s">
        <v>114</v>
      </c>
      <c r="R646" s="86" t="s">
        <v>114</v>
      </c>
      <c r="S646" s="86" t="s">
        <v>114</v>
      </c>
      <c r="T646" s="86" t="s">
        <v>114</v>
      </c>
      <c r="U646" s="86" t="s">
        <v>114</v>
      </c>
      <c r="V646" s="86" t="s">
        <v>114</v>
      </c>
      <c r="W646" s="86" t="s">
        <v>114</v>
      </c>
      <c r="X646" s="85" t="e">
        <f t="shared" si="89"/>
        <v>#VALUE!</v>
      </c>
      <c r="Y646" s="86" t="s">
        <v>114</v>
      </c>
      <c r="Z646" s="86" t="s">
        <v>114</v>
      </c>
      <c r="AA646" s="115" t="s">
        <v>114</v>
      </c>
      <c r="AB646" s="115" t="s">
        <v>114</v>
      </c>
    </row>
    <row r="647" spans="1:28" hidden="1" x14ac:dyDescent="0.3">
      <c r="A647" s="117"/>
      <c r="B647" s="68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6"/>
      <c r="S647" s="86"/>
      <c r="T647" s="86"/>
      <c r="U647" s="86"/>
      <c r="V647" s="86"/>
      <c r="W647" s="86"/>
      <c r="X647" s="85">
        <f t="shared" si="89"/>
        <v>0</v>
      </c>
      <c r="Y647" s="86"/>
      <c r="Z647" s="86"/>
    </row>
    <row r="648" spans="1:28" hidden="1" x14ac:dyDescent="0.3">
      <c r="A648" s="105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6"/>
      <c r="S648" s="86"/>
      <c r="T648" s="86"/>
      <c r="U648" s="86"/>
      <c r="V648" s="86"/>
      <c r="W648" s="86"/>
      <c r="X648" s="85">
        <f t="shared" si="89"/>
        <v>0</v>
      </c>
      <c r="Y648" s="86"/>
      <c r="Z648" s="86"/>
    </row>
    <row r="649" spans="1:28" hidden="1" x14ac:dyDescent="0.3">
      <c r="A649" s="117"/>
      <c r="C649" s="68" t="s">
        <v>535</v>
      </c>
      <c r="D649" s="87" t="s">
        <v>76</v>
      </c>
      <c r="E649" s="85">
        <f>STATS1003B!E649/1000</f>
        <v>3325.4664500000003</v>
      </c>
      <c r="F649" s="85">
        <f>STATS1003B!F649/1000</f>
        <v>2915.38492</v>
      </c>
      <c r="G649" s="85">
        <f>STATS1003B!G649/1000</f>
        <v>0</v>
      </c>
      <c r="H649" s="85">
        <f>STATS1003B!H649/1000</f>
        <v>2915.38492</v>
      </c>
      <c r="I649" s="85">
        <f>STATS1003B!I649/1000</f>
        <v>0</v>
      </c>
      <c r="J649" s="85">
        <f>STATS1003B!J649/1000</f>
        <v>2915.38492</v>
      </c>
      <c r="K649" s="85">
        <f>STATS1003B!K649/1000</f>
        <v>410.08153000000004</v>
      </c>
      <c r="L649" s="85">
        <f>STATS1003B!L649/1000</f>
        <v>0</v>
      </c>
      <c r="M649" s="85">
        <f>STATS1003B!M649/1000</f>
        <v>2915.38492</v>
      </c>
      <c r="N649" s="85">
        <f>STATS1003B!N649/1000</f>
        <v>410.08153000000004</v>
      </c>
      <c r="O649" s="85">
        <f>STATS1003B!O649/1000</f>
        <v>0</v>
      </c>
      <c r="P649" s="85">
        <f>STATS1003B!P649/1000</f>
        <v>410.08153000000004</v>
      </c>
      <c r="Q649" s="85">
        <f>STATS1003B!Q649/1000</f>
        <v>0</v>
      </c>
      <c r="R649" s="85">
        <f>STATS1003B!R649/1000</f>
        <v>0</v>
      </c>
      <c r="S649" s="85">
        <f>STATS1003B!S649/1000</f>
        <v>0</v>
      </c>
      <c r="T649" s="85">
        <f>STATS1003B!T649/1000</f>
        <v>0</v>
      </c>
      <c r="U649" s="85">
        <f>STATS1003B!U649/1000</f>
        <v>410.08153000000004</v>
      </c>
      <c r="V649" s="85">
        <f>STATS1003B!V649/1000</f>
        <v>3325.4664500000003</v>
      </c>
      <c r="W649" s="85">
        <f>STATS1003B!W649/1000</f>
        <v>0</v>
      </c>
      <c r="X649" s="85">
        <f t="shared" si="89"/>
        <v>3325.4664499999999</v>
      </c>
      <c r="Y649" s="85">
        <f>STATS1003B!Y649/1000</f>
        <v>0</v>
      </c>
      <c r="Z649" s="85">
        <f>STATS1003B!Z649/1000</f>
        <v>0</v>
      </c>
      <c r="AA649" s="69">
        <f>STATS1003B!AA649/1000</f>
        <v>3325.4664500000003</v>
      </c>
      <c r="AB649" s="69">
        <f>STATS1003B!AB649/1000</f>
        <v>0</v>
      </c>
    </row>
    <row r="650" spans="1:28" hidden="1" x14ac:dyDescent="0.3">
      <c r="A650" s="117"/>
      <c r="C650" s="68" t="s">
        <v>535</v>
      </c>
      <c r="D650" s="87" t="s">
        <v>150</v>
      </c>
      <c r="E650" s="85">
        <f>STATS1003B!E650/1000</f>
        <v>2567</v>
      </c>
      <c r="F650" s="85">
        <f>STATS1003B!F650/1000</f>
        <v>2567</v>
      </c>
      <c r="G650" s="85">
        <f>STATS1003B!G650/1000</f>
        <v>0</v>
      </c>
      <c r="H650" s="85">
        <f>STATS1003B!H650/1000</f>
        <v>2567</v>
      </c>
      <c r="I650" s="85">
        <f>STATS1003B!I650/1000</f>
        <v>0</v>
      </c>
      <c r="J650" s="85">
        <f>STATS1003B!J650/1000</f>
        <v>2567</v>
      </c>
      <c r="K650" s="85">
        <f>STATS1003B!K650/1000</f>
        <v>0</v>
      </c>
      <c r="L650" s="85">
        <f>STATS1003B!L650/1000</f>
        <v>0</v>
      </c>
      <c r="M650" s="85">
        <f>STATS1003B!M650/1000</f>
        <v>2567</v>
      </c>
      <c r="N650" s="85">
        <f>STATS1003B!N650/1000</f>
        <v>0</v>
      </c>
      <c r="O650" s="85">
        <f>STATS1003B!O650/1000</f>
        <v>0</v>
      </c>
      <c r="P650" s="85">
        <f>STATS1003B!P650/1000</f>
        <v>0</v>
      </c>
      <c r="Q650" s="85">
        <f>STATS1003B!Q650/1000</f>
        <v>0</v>
      </c>
      <c r="R650" s="85">
        <f>STATS1003B!R650/1000</f>
        <v>0</v>
      </c>
      <c r="S650" s="85">
        <f>STATS1003B!S650/1000</f>
        <v>0</v>
      </c>
      <c r="T650" s="85">
        <f>STATS1003B!T650/1000</f>
        <v>0</v>
      </c>
      <c r="U650" s="85">
        <f>STATS1003B!U650/1000</f>
        <v>0</v>
      </c>
      <c r="V650" s="85">
        <f>STATS1003B!V650/1000</f>
        <v>2567</v>
      </c>
      <c r="W650" s="85">
        <f>STATS1003B!W650/1000</f>
        <v>0</v>
      </c>
      <c r="X650" s="85">
        <f t="shared" si="89"/>
        <v>2567</v>
      </c>
      <c r="Y650" s="85">
        <f>STATS1003B!Y650/1000</f>
        <v>0</v>
      </c>
      <c r="Z650" s="85">
        <f>STATS1003B!Z650/1000</f>
        <v>0</v>
      </c>
      <c r="AA650" s="69">
        <f>STATS1003B!AA650/1000</f>
        <v>2567</v>
      </c>
      <c r="AB650" s="69">
        <f>STATS1003B!AB650/1000</f>
        <v>0</v>
      </c>
    </row>
    <row r="651" spans="1:28" hidden="1" x14ac:dyDescent="0.3">
      <c r="A651" s="117"/>
      <c r="C651" s="68" t="s">
        <v>596</v>
      </c>
      <c r="D651" s="87" t="s">
        <v>78</v>
      </c>
      <c r="E651" s="85">
        <f>STATS1003B!E651/1000</f>
        <v>767.54544999999996</v>
      </c>
      <c r="F651" s="85">
        <f>STATS1003B!F651/1000</f>
        <v>721.69299999999998</v>
      </c>
      <c r="G651" s="85">
        <f>STATS1003B!G651/1000</f>
        <v>0</v>
      </c>
      <c r="H651" s="85">
        <f>STATS1003B!H651/1000</f>
        <v>721.69299999999998</v>
      </c>
      <c r="I651" s="85">
        <f>STATS1003B!I651/1000</f>
        <v>0</v>
      </c>
      <c r="J651" s="85">
        <f>STATS1003B!J651/1000</f>
        <v>721.69299999999998</v>
      </c>
      <c r="K651" s="85">
        <f>STATS1003B!K651/1000</f>
        <v>45.852449999999997</v>
      </c>
      <c r="L651" s="85">
        <f>STATS1003B!L651/1000</f>
        <v>0</v>
      </c>
      <c r="M651" s="85">
        <f>STATS1003B!M651/1000</f>
        <v>721.69299999999998</v>
      </c>
      <c r="N651" s="85">
        <f>STATS1003B!N651/1000</f>
        <v>45.852449999999997</v>
      </c>
      <c r="O651" s="85">
        <f>STATS1003B!O651/1000</f>
        <v>0</v>
      </c>
      <c r="P651" s="85">
        <f>STATS1003B!P651/1000</f>
        <v>45.852449999999997</v>
      </c>
      <c r="Q651" s="85">
        <f>STATS1003B!Q651/1000</f>
        <v>0</v>
      </c>
      <c r="R651" s="85">
        <f>STATS1003B!R651/1000</f>
        <v>0</v>
      </c>
      <c r="S651" s="85">
        <f>STATS1003B!S651/1000</f>
        <v>0</v>
      </c>
      <c r="T651" s="85">
        <f>STATS1003B!T651/1000</f>
        <v>0</v>
      </c>
      <c r="U651" s="85">
        <f>STATS1003B!U651/1000</f>
        <v>45.852449999999997</v>
      </c>
      <c r="V651" s="85">
        <f>STATS1003B!V651/1000</f>
        <v>767.54544999999996</v>
      </c>
      <c r="W651" s="85">
        <f>STATS1003B!W651/1000</f>
        <v>0</v>
      </c>
      <c r="X651" s="85">
        <f t="shared" si="89"/>
        <v>767.54544999999996</v>
      </c>
      <c r="Y651" s="85">
        <f>STATS1003B!Y651/1000</f>
        <v>0</v>
      </c>
      <c r="Z651" s="85">
        <f>STATS1003B!Z651/1000</f>
        <v>0</v>
      </c>
      <c r="AA651" s="69">
        <f>STATS1003B!AA651/1000</f>
        <v>767.54544999999996</v>
      </c>
      <c r="AB651" s="69">
        <f>STATS1003B!AB651/1000</f>
        <v>0</v>
      </c>
    </row>
    <row r="652" spans="1:28" hidden="1" x14ac:dyDescent="0.3">
      <c r="A652" s="117"/>
      <c r="C652" s="68" t="s">
        <v>597</v>
      </c>
      <c r="D652" s="87" t="s">
        <v>78</v>
      </c>
      <c r="E652" s="85">
        <f>STATS1003B!E652/1000</f>
        <v>807.5</v>
      </c>
      <c r="F652" s="85">
        <f>STATS1003B!F652/1000</f>
        <v>807.5</v>
      </c>
      <c r="G652" s="85">
        <f>STATS1003B!G652/1000</f>
        <v>0</v>
      </c>
      <c r="H652" s="85">
        <f>STATS1003B!H652/1000</f>
        <v>807.5</v>
      </c>
      <c r="I652" s="85">
        <f>STATS1003B!I652/1000</f>
        <v>0</v>
      </c>
      <c r="J652" s="85">
        <f>STATS1003B!J652/1000</f>
        <v>807.5</v>
      </c>
      <c r="K652" s="85">
        <f>STATS1003B!K652/1000</f>
        <v>0</v>
      </c>
      <c r="L652" s="85">
        <f>STATS1003B!L652/1000</f>
        <v>0</v>
      </c>
      <c r="M652" s="85">
        <f>STATS1003B!M652/1000</f>
        <v>807.5</v>
      </c>
      <c r="N652" s="85">
        <f>STATS1003B!N652/1000</f>
        <v>0</v>
      </c>
      <c r="O652" s="85">
        <f>STATS1003B!O652/1000</f>
        <v>0</v>
      </c>
      <c r="P652" s="85">
        <f>STATS1003B!P652/1000</f>
        <v>0</v>
      </c>
      <c r="Q652" s="85">
        <f>STATS1003B!Q652/1000</f>
        <v>0</v>
      </c>
      <c r="R652" s="85">
        <f>STATS1003B!R652/1000</f>
        <v>0</v>
      </c>
      <c r="S652" s="85">
        <f>STATS1003B!S652/1000</f>
        <v>0</v>
      </c>
      <c r="T652" s="85">
        <f>STATS1003B!T652/1000</f>
        <v>0</v>
      </c>
      <c r="U652" s="85">
        <f>STATS1003B!U652/1000</f>
        <v>0</v>
      </c>
      <c r="V652" s="85">
        <f>STATS1003B!V652/1000</f>
        <v>807.5</v>
      </c>
      <c r="W652" s="85">
        <f>STATS1003B!W652/1000</f>
        <v>0</v>
      </c>
      <c r="X652" s="85">
        <f t="shared" si="89"/>
        <v>807.5</v>
      </c>
      <c r="Y652" s="85">
        <f>STATS1003B!Y652/1000</f>
        <v>0</v>
      </c>
      <c r="Z652" s="85">
        <f>STATS1003B!Z652/1000</f>
        <v>0</v>
      </c>
      <c r="AA652" s="69">
        <f>STATS1003B!AA652/1000</f>
        <v>807.5</v>
      </c>
      <c r="AB652" s="69">
        <f>STATS1003B!AB652/1000</f>
        <v>0</v>
      </c>
    </row>
    <row r="653" spans="1:28" hidden="1" x14ac:dyDescent="0.3">
      <c r="A653" s="117"/>
      <c r="C653" s="68" t="s">
        <v>535</v>
      </c>
      <c r="D653" s="87" t="s">
        <v>68</v>
      </c>
      <c r="E653" s="85">
        <f>STATS1003B!E653/1000</f>
        <v>188.76499999999999</v>
      </c>
      <c r="F653" s="85">
        <f>STATS1003B!F653/1000</f>
        <v>188.76499999999999</v>
      </c>
      <c r="G653" s="85">
        <f>STATS1003B!G653/1000</f>
        <v>0</v>
      </c>
      <c r="H653" s="85">
        <f>STATS1003B!H653/1000</f>
        <v>188.76499999999999</v>
      </c>
      <c r="I653" s="85">
        <f>STATS1003B!I653/1000</f>
        <v>0</v>
      </c>
      <c r="J653" s="85">
        <f>STATS1003B!J653/1000</f>
        <v>188.76499999999999</v>
      </c>
      <c r="K653" s="85">
        <f>STATS1003B!K653/1000</f>
        <v>0</v>
      </c>
      <c r="L653" s="85">
        <f>STATS1003B!L653/1000</f>
        <v>0</v>
      </c>
      <c r="M653" s="85">
        <f>STATS1003B!M653/1000</f>
        <v>188.76499999999999</v>
      </c>
      <c r="N653" s="85">
        <f>STATS1003B!N653/1000</f>
        <v>0</v>
      </c>
      <c r="O653" s="85">
        <f>STATS1003B!O653/1000</f>
        <v>0</v>
      </c>
      <c r="P653" s="85">
        <f>STATS1003B!P653/1000</f>
        <v>0</v>
      </c>
      <c r="Q653" s="85">
        <f>STATS1003B!Q653/1000</f>
        <v>0</v>
      </c>
      <c r="R653" s="85">
        <f>STATS1003B!R653/1000</f>
        <v>0</v>
      </c>
      <c r="S653" s="85">
        <f>STATS1003B!S653/1000</f>
        <v>0</v>
      </c>
      <c r="T653" s="85">
        <f>STATS1003B!T653/1000</f>
        <v>0</v>
      </c>
      <c r="U653" s="85">
        <f>STATS1003B!U653/1000</f>
        <v>0</v>
      </c>
      <c r="V653" s="85">
        <f>STATS1003B!V653/1000</f>
        <v>188.76499999999999</v>
      </c>
      <c r="W653" s="85">
        <f>STATS1003B!W653/1000</f>
        <v>0</v>
      </c>
      <c r="X653" s="85">
        <f t="shared" si="89"/>
        <v>188.76499999999999</v>
      </c>
      <c r="Y653" s="85">
        <f>STATS1003B!Y653/1000</f>
        <v>0</v>
      </c>
      <c r="Z653" s="85">
        <f>STATS1003B!Z653/1000</f>
        <v>0</v>
      </c>
      <c r="AA653" s="69">
        <f>STATS1003B!AA653/1000</f>
        <v>188.76499999999999</v>
      </c>
      <c r="AB653" s="69">
        <f>STATS1003B!AB653/1000</f>
        <v>0</v>
      </c>
    </row>
    <row r="654" spans="1:28" hidden="1" x14ac:dyDescent="0.3">
      <c r="A654" s="117"/>
      <c r="C654" s="68" t="s">
        <v>539</v>
      </c>
      <c r="D654" s="87" t="s">
        <v>68</v>
      </c>
      <c r="E654" s="85">
        <f>STATS1003B!E654/1000</f>
        <v>333.971</v>
      </c>
      <c r="F654" s="85">
        <f>STATS1003B!F654/1000</f>
        <v>0</v>
      </c>
      <c r="G654" s="85">
        <f>STATS1003B!G654/1000</f>
        <v>0</v>
      </c>
      <c r="H654" s="85">
        <f>STATS1003B!H654/1000</f>
        <v>0</v>
      </c>
      <c r="I654" s="85">
        <f>STATS1003B!I654/1000</f>
        <v>0</v>
      </c>
      <c r="J654" s="85">
        <f>STATS1003B!J654/1000</f>
        <v>0</v>
      </c>
      <c r="K654" s="85">
        <f>STATS1003B!K654/1000</f>
        <v>333.971</v>
      </c>
      <c r="L654" s="85">
        <f>STATS1003B!L654/1000</f>
        <v>0</v>
      </c>
      <c r="M654" s="85">
        <f>STATS1003B!M654/1000</f>
        <v>0</v>
      </c>
      <c r="N654" s="85">
        <f>STATS1003B!N654/1000</f>
        <v>333.971</v>
      </c>
      <c r="O654" s="85">
        <f>STATS1003B!O654/1000</f>
        <v>0</v>
      </c>
      <c r="P654" s="85">
        <f>STATS1003B!P654/1000</f>
        <v>333.971</v>
      </c>
      <c r="Q654" s="85">
        <f>STATS1003B!Q654/1000</f>
        <v>0</v>
      </c>
      <c r="R654" s="85">
        <f>STATS1003B!R654/1000</f>
        <v>0</v>
      </c>
      <c r="S654" s="85">
        <f>STATS1003B!S654/1000</f>
        <v>0</v>
      </c>
      <c r="T654" s="85">
        <f>STATS1003B!T654/1000</f>
        <v>0</v>
      </c>
      <c r="U654" s="85">
        <f>STATS1003B!U654/1000</f>
        <v>333.971</v>
      </c>
      <c r="V654" s="85">
        <f>STATS1003B!V654/1000</f>
        <v>333.971</v>
      </c>
      <c r="W654" s="85">
        <f>STATS1003B!W654/1000</f>
        <v>0</v>
      </c>
      <c r="X654" s="85">
        <f t="shared" si="89"/>
        <v>333.971</v>
      </c>
      <c r="Y654" s="85">
        <f>STATS1003B!Y654/1000</f>
        <v>0</v>
      </c>
      <c r="Z654" s="85">
        <f>STATS1003B!Z654/1000</f>
        <v>0</v>
      </c>
      <c r="AA654" s="69">
        <f>STATS1003B!AA654/1000</f>
        <v>333.971</v>
      </c>
      <c r="AB654" s="69">
        <f>STATS1003B!AB654/1000</f>
        <v>0</v>
      </c>
    </row>
    <row r="655" spans="1:28" hidden="1" x14ac:dyDescent="0.3">
      <c r="A655" s="117"/>
      <c r="C655" s="68" t="s">
        <v>535</v>
      </c>
      <c r="D655" s="87" t="s">
        <v>54</v>
      </c>
      <c r="E655" s="85">
        <f>STATS1003B!E655/1000</f>
        <v>149.983</v>
      </c>
      <c r="F655" s="85">
        <f>STATS1003B!F655/1000</f>
        <v>149.983</v>
      </c>
      <c r="G655" s="85">
        <f>STATS1003B!G655/1000</f>
        <v>0</v>
      </c>
      <c r="H655" s="85">
        <f>STATS1003B!H655/1000</f>
        <v>149.983</v>
      </c>
      <c r="I655" s="85">
        <f>STATS1003B!I655/1000</f>
        <v>0</v>
      </c>
      <c r="J655" s="85">
        <f>STATS1003B!J655/1000</f>
        <v>149.983</v>
      </c>
      <c r="K655" s="85">
        <f>STATS1003B!K655/1000</f>
        <v>0</v>
      </c>
      <c r="L655" s="85">
        <f>STATS1003B!L655/1000</f>
        <v>0</v>
      </c>
      <c r="M655" s="85">
        <f>STATS1003B!M655/1000</f>
        <v>149.983</v>
      </c>
      <c r="N655" s="85">
        <f>STATS1003B!N655/1000</f>
        <v>0</v>
      </c>
      <c r="O655" s="85">
        <f>STATS1003B!O655/1000</f>
        <v>0</v>
      </c>
      <c r="P655" s="85">
        <f>STATS1003B!P655/1000</f>
        <v>0</v>
      </c>
      <c r="Q655" s="85">
        <f>STATS1003B!Q655/1000</f>
        <v>0</v>
      </c>
      <c r="R655" s="85">
        <f>STATS1003B!R655/1000</f>
        <v>0</v>
      </c>
      <c r="S655" s="85">
        <f>STATS1003B!S655/1000</f>
        <v>0</v>
      </c>
      <c r="T655" s="85">
        <f>STATS1003B!T655/1000</f>
        <v>0</v>
      </c>
      <c r="U655" s="85">
        <f>STATS1003B!U655/1000</f>
        <v>0</v>
      </c>
      <c r="V655" s="85">
        <f>STATS1003B!V655/1000</f>
        <v>149.983</v>
      </c>
      <c r="W655" s="85">
        <f>STATS1003B!W655/1000</f>
        <v>0</v>
      </c>
      <c r="X655" s="85">
        <f t="shared" si="89"/>
        <v>149.983</v>
      </c>
      <c r="Y655" s="85">
        <f>STATS1003B!Y655/1000</f>
        <v>0</v>
      </c>
      <c r="Z655" s="85">
        <f>STATS1003B!Z655/1000</f>
        <v>0</v>
      </c>
      <c r="AA655" s="69">
        <f>STATS1003B!AA655/1000</f>
        <v>149.983</v>
      </c>
      <c r="AB655" s="69">
        <f>STATS1003B!AB655/1000</f>
        <v>0</v>
      </c>
    </row>
    <row r="656" spans="1:28" hidden="1" x14ac:dyDescent="0.3">
      <c r="A656" s="117"/>
      <c r="C656" s="68" t="s">
        <v>545</v>
      </c>
      <c r="D656" s="87" t="s">
        <v>54</v>
      </c>
      <c r="E656" s="85">
        <f>STATS1003B!E656/1000</f>
        <v>570.94100000000003</v>
      </c>
      <c r="F656" s="85">
        <f>STATS1003B!F656/1000</f>
        <v>0</v>
      </c>
      <c r="G656" s="85">
        <f>STATS1003B!G656/1000</f>
        <v>0</v>
      </c>
      <c r="H656" s="85">
        <f>STATS1003B!H656/1000</f>
        <v>0</v>
      </c>
      <c r="I656" s="85">
        <f>STATS1003B!I656/1000</f>
        <v>0</v>
      </c>
      <c r="J656" s="85">
        <f>STATS1003B!J656/1000</f>
        <v>0</v>
      </c>
      <c r="K656" s="85">
        <f>STATS1003B!K656/1000</f>
        <v>570.94100000000003</v>
      </c>
      <c r="L656" s="85">
        <f>STATS1003B!L656/1000</f>
        <v>0</v>
      </c>
      <c r="M656" s="85">
        <f>STATS1003B!M656/1000</f>
        <v>0</v>
      </c>
      <c r="N656" s="85">
        <f>STATS1003B!N656/1000</f>
        <v>570.94100000000003</v>
      </c>
      <c r="O656" s="85">
        <f>STATS1003B!O656/1000</f>
        <v>0</v>
      </c>
      <c r="P656" s="85">
        <f>STATS1003B!P656/1000</f>
        <v>570.94100000000003</v>
      </c>
      <c r="Q656" s="85">
        <f>STATS1003B!Q656/1000</f>
        <v>0</v>
      </c>
      <c r="R656" s="85">
        <f>STATS1003B!R656/1000</f>
        <v>0</v>
      </c>
      <c r="S656" s="85">
        <f>STATS1003B!S656/1000</f>
        <v>0</v>
      </c>
      <c r="T656" s="85">
        <f>STATS1003B!T656/1000</f>
        <v>0</v>
      </c>
      <c r="U656" s="85">
        <f>STATS1003B!U656/1000</f>
        <v>570.94100000000003</v>
      </c>
      <c r="V656" s="85">
        <f>STATS1003B!V656/1000</f>
        <v>570.94100000000003</v>
      </c>
      <c r="W656" s="85">
        <f>STATS1003B!W656/1000</f>
        <v>0</v>
      </c>
      <c r="X656" s="85">
        <f t="shared" si="89"/>
        <v>570.94100000000003</v>
      </c>
      <c r="Y656" s="85">
        <f>STATS1003B!Y656/1000</f>
        <v>0</v>
      </c>
      <c r="Z656" s="85">
        <f>STATS1003B!Z656/1000</f>
        <v>0</v>
      </c>
      <c r="AA656" s="69">
        <f>STATS1003B!AA656/1000</f>
        <v>570.94100000000003</v>
      </c>
      <c r="AB656" s="69">
        <f>STATS1003B!AB656/1000</f>
        <v>0</v>
      </c>
    </row>
    <row r="657" spans="1:28" hidden="1" x14ac:dyDescent="0.3">
      <c r="A657" s="117"/>
      <c r="C657" s="68" t="s">
        <v>535</v>
      </c>
      <c r="D657" s="87" t="s">
        <v>108</v>
      </c>
      <c r="E657" s="85">
        <f>STATS1003B!E657/1000</f>
        <v>1000</v>
      </c>
      <c r="F657" s="85">
        <f>STATS1003B!F657/1000</f>
        <v>1000</v>
      </c>
      <c r="G657" s="85">
        <f>STATS1003B!G657/1000</f>
        <v>0</v>
      </c>
      <c r="H657" s="85">
        <f>STATS1003B!H657/1000</f>
        <v>1000</v>
      </c>
      <c r="I657" s="85">
        <f>STATS1003B!I657/1000</f>
        <v>0</v>
      </c>
      <c r="J657" s="85">
        <f>STATS1003B!J657/1000</f>
        <v>1000</v>
      </c>
      <c r="K657" s="85">
        <f>STATS1003B!K657/1000</f>
        <v>0</v>
      </c>
      <c r="L657" s="85">
        <f>STATS1003B!L657/1000</f>
        <v>0</v>
      </c>
      <c r="M657" s="85">
        <f>STATS1003B!M657/1000</f>
        <v>1000</v>
      </c>
      <c r="N657" s="85">
        <f>STATS1003B!N657/1000</f>
        <v>0</v>
      </c>
      <c r="O657" s="85">
        <f>STATS1003B!O657/1000</f>
        <v>0</v>
      </c>
      <c r="P657" s="85">
        <f>STATS1003B!P657/1000</f>
        <v>0</v>
      </c>
      <c r="Q657" s="85">
        <f>STATS1003B!Q657/1000</f>
        <v>0</v>
      </c>
      <c r="R657" s="85">
        <f>STATS1003B!R657/1000</f>
        <v>0</v>
      </c>
      <c r="S657" s="85">
        <f>STATS1003B!S657/1000</f>
        <v>0</v>
      </c>
      <c r="T657" s="85">
        <f>STATS1003B!T657/1000</f>
        <v>0</v>
      </c>
      <c r="U657" s="85">
        <f>STATS1003B!U657/1000</f>
        <v>0</v>
      </c>
      <c r="V657" s="85">
        <f>STATS1003B!V657/1000</f>
        <v>1000</v>
      </c>
      <c r="W657" s="85">
        <f>STATS1003B!W657/1000</f>
        <v>0</v>
      </c>
      <c r="X657" s="85">
        <f t="shared" si="89"/>
        <v>1000</v>
      </c>
      <c r="Y657" s="85">
        <f>STATS1003B!Y657/1000</f>
        <v>0</v>
      </c>
      <c r="Z657" s="85">
        <f>STATS1003B!Z657/1000</f>
        <v>0</v>
      </c>
      <c r="AA657" s="69">
        <f>STATS1003B!AA657/1000</f>
        <v>1000</v>
      </c>
      <c r="AB657" s="69">
        <f>STATS1003B!AB657/1000</f>
        <v>0</v>
      </c>
    </row>
    <row r="658" spans="1:28" hidden="1" x14ac:dyDescent="0.3">
      <c r="A658" s="117"/>
      <c r="C658" s="68" t="s">
        <v>598</v>
      </c>
      <c r="E658" s="85">
        <f>STATS1003B!E658/1000</f>
        <v>619.14700000000005</v>
      </c>
      <c r="F658" s="85">
        <f>STATS1003B!F658/1000</f>
        <v>619.14700000000005</v>
      </c>
      <c r="G658" s="85">
        <f>STATS1003B!G658/1000</f>
        <v>0</v>
      </c>
      <c r="H658" s="85">
        <f>STATS1003B!H658/1000</f>
        <v>619.14700000000005</v>
      </c>
      <c r="I658" s="85">
        <f>STATS1003B!I658/1000</f>
        <v>0</v>
      </c>
      <c r="J658" s="85">
        <f>STATS1003B!J658/1000</f>
        <v>619.14700000000005</v>
      </c>
      <c r="K658" s="85">
        <f>STATS1003B!K658/1000</f>
        <v>0</v>
      </c>
      <c r="L658" s="85">
        <f>STATS1003B!L658/1000</f>
        <v>0</v>
      </c>
      <c r="M658" s="85">
        <f>STATS1003B!M658/1000</f>
        <v>619.14700000000005</v>
      </c>
      <c r="N658" s="85">
        <f>STATS1003B!N658/1000</f>
        <v>0</v>
      </c>
      <c r="O658" s="85">
        <f>STATS1003B!O658/1000</f>
        <v>0</v>
      </c>
      <c r="P658" s="85">
        <f>STATS1003B!P658/1000</f>
        <v>0</v>
      </c>
      <c r="Q658" s="85">
        <f>STATS1003B!Q658/1000</f>
        <v>0</v>
      </c>
      <c r="R658" s="85">
        <f>STATS1003B!R658/1000</f>
        <v>0</v>
      </c>
      <c r="S658" s="85">
        <f>STATS1003B!S658/1000</f>
        <v>0</v>
      </c>
      <c r="T658" s="85">
        <f>STATS1003B!T658/1000</f>
        <v>0</v>
      </c>
      <c r="U658" s="85">
        <f>STATS1003B!U658/1000</f>
        <v>0</v>
      </c>
      <c r="V658" s="85">
        <f>STATS1003B!V658/1000</f>
        <v>619.14700000000005</v>
      </c>
      <c r="W658" s="85">
        <f>STATS1003B!W658/1000</f>
        <v>0</v>
      </c>
      <c r="X658" s="85">
        <f t="shared" si="89"/>
        <v>619.14700000000005</v>
      </c>
      <c r="Y658" s="85">
        <f>STATS1003B!Y658/1000</f>
        <v>0</v>
      </c>
      <c r="Z658" s="85">
        <f>STATS1003B!Z658/1000</f>
        <v>0</v>
      </c>
      <c r="AA658" s="69">
        <f>STATS1003B!AA658/1000</f>
        <v>619.14700000000005</v>
      </c>
      <c r="AB658" s="69">
        <f>STATS1003B!AB658/1000</f>
        <v>0</v>
      </c>
    </row>
    <row r="659" spans="1:28" hidden="1" x14ac:dyDescent="0.3">
      <c r="A659" s="117"/>
      <c r="C659" s="68" t="s">
        <v>551</v>
      </c>
      <c r="E659" s="85">
        <f>STATS1003B!E659/1000</f>
        <v>988.4185500000001</v>
      </c>
      <c r="F659" s="85">
        <f>STATS1003B!F659/1000</f>
        <v>988.4185500000001</v>
      </c>
      <c r="G659" s="85">
        <f>STATS1003B!G659/1000</f>
        <v>0</v>
      </c>
      <c r="H659" s="85">
        <f>STATS1003B!H659/1000</f>
        <v>988.4185500000001</v>
      </c>
      <c r="I659" s="85">
        <f>STATS1003B!I659/1000</f>
        <v>0</v>
      </c>
      <c r="J659" s="85">
        <f>STATS1003B!J659/1000</f>
        <v>988.4185500000001</v>
      </c>
      <c r="K659" s="85">
        <f>STATS1003B!K659/1000</f>
        <v>0</v>
      </c>
      <c r="L659" s="85">
        <f>STATS1003B!L659/1000</f>
        <v>0</v>
      </c>
      <c r="M659" s="85">
        <f>STATS1003B!M659/1000</f>
        <v>988.4185500000001</v>
      </c>
      <c r="N659" s="85">
        <f>STATS1003B!N659/1000</f>
        <v>0</v>
      </c>
      <c r="O659" s="85">
        <f>STATS1003B!O659/1000</f>
        <v>0</v>
      </c>
      <c r="P659" s="85">
        <f>STATS1003B!P659/1000</f>
        <v>0</v>
      </c>
      <c r="Q659" s="85">
        <f>STATS1003B!Q659/1000</f>
        <v>0</v>
      </c>
      <c r="R659" s="85">
        <f>STATS1003B!R659/1000</f>
        <v>0</v>
      </c>
      <c r="S659" s="85">
        <f>STATS1003B!S659/1000</f>
        <v>0</v>
      </c>
      <c r="T659" s="85">
        <f>STATS1003B!T659/1000</f>
        <v>0</v>
      </c>
      <c r="U659" s="85">
        <f>STATS1003B!U659/1000</f>
        <v>0</v>
      </c>
      <c r="V659" s="85">
        <f>STATS1003B!V659/1000</f>
        <v>988.4185500000001</v>
      </c>
      <c r="W659" s="85">
        <f>STATS1003B!W659/1000</f>
        <v>0</v>
      </c>
      <c r="X659" s="85">
        <f t="shared" si="89"/>
        <v>988.4185500000001</v>
      </c>
      <c r="Y659" s="85">
        <f>STATS1003B!Y659/1000</f>
        <v>0</v>
      </c>
      <c r="Z659" s="85">
        <f>STATS1003B!Z659/1000</f>
        <v>0</v>
      </c>
      <c r="AA659" s="69">
        <f>STATS1003B!AA659/1000</f>
        <v>988.4185500000001</v>
      </c>
      <c r="AB659" s="69">
        <f>STATS1003B!AB659/1000</f>
        <v>0</v>
      </c>
    </row>
    <row r="660" spans="1:28" hidden="1" x14ac:dyDescent="0.3">
      <c r="A660" s="117"/>
      <c r="E660" s="86" t="s">
        <v>29</v>
      </c>
      <c r="F660" s="86" t="s">
        <v>29</v>
      </c>
      <c r="G660" s="86" t="s">
        <v>29</v>
      </c>
      <c r="H660" s="86" t="s">
        <v>29</v>
      </c>
      <c r="I660" s="86" t="s">
        <v>29</v>
      </c>
      <c r="J660" s="86" t="s">
        <v>29</v>
      </c>
      <c r="K660" s="86" t="s">
        <v>29</v>
      </c>
      <c r="L660" s="86" t="s">
        <v>29</v>
      </c>
      <c r="M660" s="86" t="s">
        <v>29</v>
      </c>
      <c r="N660" s="86" t="s">
        <v>29</v>
      </c>
      <c r="O660" s="86" t="s">
        <v>29</v>
      </c>
      <c r="P660" s="86" t="s">
        <v>29</v>
      </c>
      <c r="Q660" s="86" t="s">
        <v>29</v>
      </c>
      <c r="R660" s="86" t="s">
        <v>29</v>
      </c>
      <c r="S660" s="86" t="s">
        <v>29</v>
      </c>
      <c r="T660" s="86" t="s">
        <v>29</v>
      </c>
      <c r="U660" s="86" t="s">
        <v>29</v>
      </c>
      <c r="V660" s="86" t="s">
        <v>29</v>
      </c>
      <c r="W660" s="86" t="s">
        <v>29</v>
      </c>
      <c r="X660" s="85" t="e">
        <f t="shared" si="89"/>
        <v>#VALUE!</v>
      </c>
      <c r="Y660" s="86" t="s">
        <v>29</v>
      </c>
      <c r="Z660" s="86" t="s">
        <v>29</v>
      </c>
      <c r="AA660" s="115" t="s">
        <v>29</v>
      </c>
      <c r="AB660" s="115" t="s">
        <v>29</v>
      </c>
    </row>
    <row r="661" spans="1:28" x14ac:dyDescent="0.3">
      <c r="A661" s="116">
        <v>32</v>
      </c>
      <c r="B661" s="68" t="s">
        <v>595</v>
      </c>
      <c r="E661" s="85">
        <f>33175491.2/1000</f>
        <v>33175.491199999997</v>
      </c>
      <c r="F661" s="85">
        <f t="shared" ref="F661:Q661" si="90">SUM(F649:F660)</f>
        <v>9957.8914700000023</v>
      </c>
      <c r="G661" s="85">
        <f t="shared" si="90"/>
        <v>0</v>
      </c>
      <c r="H661" s="85">
        <f>31814645.22/1000</f>
        <v>31814.645219999999</v>
      </c>
      <c r="I661" s="85">
        <f t="shared" si="90"/>
        <v>0</v>
      </c>
      <c r="J661" s="85">
        <f t="shared" si="90"/>
        <v>9957.8914700000023</v>
      </c>
      <c r="K661" s="85">
        <f t="shared" si="90"/>
        <v>1360.8459800000001</v>
      </c>
      <c r="L661" s="85">
        <f t="shared" si="90"/>
        <v>0</v>
      </c>
      <c r="M661" s="85">
        <f t="shared" si="90"/>
        <v>9957.8914700000023</v>
      </c>
      <c r="N661" s="85">
        <f t="shared" si="90"/>
        <v>1360.8459800000001</v>
      </c>
      <c r="O661" s="85">
        <f t="shared" si="90"/>
        <v>0</v>
      </c>
      <c r="P661" s="85">
        <f>1360845/1000</f>
        <v>1360.845</v>
      </c>
      <c r="Q661" s="85">
        <f t="shared" si="90"/>
        <v>0</v>
      </c>
      <c r="R661" s="86"/>
      <c r="S661" s="86"/>
      <c r="T661" s="85">
        <f t="shared" ref="T661:Y661" si="91">SUM(T649:T660)</f>
        <v>0</v>
      </c>
      <c r="U661" s="85">
        <f t="shared" si="91"/>
        <v>1360.8459800000001</v>
      </c>
      <c r="V661" s="85">
        <f t="shared" si="91"/>
        <v>11318.737450000002</v>
      </c>
      <c r="W661" s="85">
        <f t="shared" si="91"/>
        <v>0</v>
      </c>
      <c r="X661" s="85">
        <f>+H661+P661</f>
        <v>33175.49022</v>
      </c>
      <c r="Y661" s="85">
        <f t="shared" si="91"/>
        <v>0</v>
      </c>
      <c r="Z661" s="85">
        <f t="shared" ref="Z661:Z724" si="92">+E661-X661</f>
        <v>9.799999970709905E-4</v>
      </c>
      <c r="AA661" s="69">
        <f>SUM(AA649:AA660)</f>
        <v>11318.737450000002</v>
      </c>
      <c r="AB661" s="69">
        <f>SUM(AB649:AB660)</f>
        <v>0</v>
      </c>
    </row>
    <row r="662" spans="1:28" hidden="1" x14ac:dyDescent="0.3">
      <c r="A662" s="117"/>
      <c r="E662" s="86" t="s">
        <v>29</v>
      </c>
      <c r="F662" s="86" t="s">
        <v>29</v>
      </c>
      <c r="G662" s="86" t="s">
        <v>29</v>
      </c>
      <c r="H662" s="86" t="s">
        <v>29</v>
      </c>
      <c r="I662" s="86" t="s">
        <v>29</v>
      </c>
      <c r="J662" s="86" t="s">
        <v>29</v>
      </c>
      <c r="K662" s="86" t="s">
        <v>29</v>
      </c>
      <c r="L662" s="86" t="s">
        <v>29</v>
      </c>
      <c r="M662" s="86" t="s">
        <v>29</v>
      </c>
      <c r="N662" s="86" t="s">
        <v>29</v>
      </c>
      <c r="O662" s="86" t="s">
        <v>29</v>
      </c>
      <c r="P662" s="86" t="s">
        <v>29</v>
      </c>
      <c r="Q662" s="86" t="s">
        <v>29</v>
      </c>
      <c r="R662" s="86" t="s">
        <v>29</v>
      </c>
      <c r="S662" s="86" t="s">
        <v>29</v>
      </c>
      <c r="T662" s="86" t="s">
        <v>29</v>
      </c>
      <c r="U662" s="86" t="s">
        <v>29</v>
      </c>
      <c r="V662" s="86" t="s">
        <v>29</v>
      </c>
      <c r="W662" s="86" t="s">
        <v>29</v>
      </c>
      <c r="X662" s="85" t="e">
        <f t="shared" si="89"/>
        <v>#VALUE!</v>
      </c>
      <c r="Y662" s="86" t="s">
        <v>29</v>
      </c>
      <c r="Z662" s="85" t="e">
        <f t="shared" si="92"/>
        <v>#VALUE!</v>
      </c>
      <c r="AA662" s="115" t="s">
        <v>29</v>
      </c>
      <c r="AB662" s="115" t="s">
        <v>29</v>
      </c>
    </row>
    <row r="663" spans="1:28" hidden="1" x14ac:dyDescent="0.3">
      <c r="A663" s="105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6"/>
      <c r="S663" s="86"/>
      <c r="T663" s="86"/>
      <c r="U663" s="86"/>
      <c r="V663" s="86"/>
      <c r="W663" s="86"/>
      <c r="X663" s="85">
        <f t="shared" si="89"/>
        <v>0</v>
      </c>
      <c r="Y663" s="86"/>
      <c r="Z663" s="85">
        <f t="shared" si="92"/>
        <v>0</v>
      </c>
      <c r="AA663" s="118"/>
    </row>
    <row r="664" spans="1:28" hidden="1" x14ac:dyDescent="0.3">
      <c r="A664" s="117"/>
      <c r="C664" s="68" t="s">
        <v>539</v>
      </c>
      <c r="D664" s="87" t="s">
        <v>68</v>
      </c>
      <c r="E664" s="85">
        <f>STATS1003B!E664/1000</f>
        <v>278.69670000000002</v>
      </c>
      <c r="F664" s="85">
        <f>STATS1003B!F664/1000</f>
        <v>0</v>
      </c>
      <c r="G664" s="85">
        <f>STATS1003B!G664/1000</f>
        <v>0</v>
      </c>
      <c r="H664" s="85">
        <f>STATS1003B!H664/1000</f>
        <v>0</v>
      </c>
      <c r="I664" s="85">
        <f>STATS1003B!I664/1000</f>
        <v>0</v>
      </c>
      <c r="J664" s="85">
        <f>STATS1003B!J664/1000</f>
        <v>0</v>
      </c>
      <c r="K664" s="85">
        <f>STATS1003B!K664/1000</f>
        <v>278.69670000000002</v>
      </c>
      <c r="L664" s="85">
        <f>STATS1003B!L664/1000</f>
        <v>0</v>
      </c>
      <c r="M664" s="85">
        <f>STATS1003B!M664/1000</f>
        <v>0</v>
      </c>
      <c r="N664" s="85">
        <f>STATS1003B!N664/1000</f>
        <v>278.69670000000002</v>
      </c>
      <c r="O664" s="85">
        <f>STATS1003B!O664/1000</f>
        <v>0</v>
      </c>
      <c r="P664" s="85">
        <f>STATS1003B!P664/1000</f>
        <v>278.69670000000002</v>
      </c>
      <c r="Q664" s="85">
        <f>STATS1003B!Q664/1000</f>
        <v>0</v>
      </c>
      <c r="R664" s="85">
        <f>STATS1003B!R664/1000</f>
        <v>0</v>
      </c>
      <c r="S664" s="85">
        <f>STATS1003B!S664/1000</f>
        <v>0</v>
      </c>
      <c r="T664" s="85">
        <f>STATS1003B!T664/1000</f>
        <v>0</v>
      </c>
      <c r="U664" s="85">
        <f>STATS1003B!U664/1000</f>
        <v>278.69670000000002</v>
      </c>
      <c r="V664" s="85">
        <f>STATS1003B!V664/1000</f>
        <v>278.69670000000002</v>
      </c>
      <c r="W664" s="85">
        <f>STATS1003B!W664/1000</f>
        <v>0</v>
      </c>
      <c r="X664" s="85">
        <f t="shared" si="89"/>
        <v>278.69670000000002</v>
      </c>
      <c r="Y664" s="85">
        <f>STATS1003B!Y664/1000</f>
        <v>0</v>
      </c>
      <c r="Z664" s="85">
        <f t="shared" si="92"/>
        <v>0</v>
      </c>
      <c r="AA664" s="69">
        <f>STATS1003B!AA664/1000</f>
        <v>278.69670000000002</v>
      </c>
      <c r="AB664" s="69">
        <f>STATS1003B!AB664/1000</f>
        <v>0</v>
      </c>
    </row>
    <row r="665" spans="1:28" hidden="1" x14ac:dyDescent="0.3">
      <c r="A665" s="117"/>
      <c r="C665" s="68" t="s">
        <v>535</v>
      </c>
      <c r="D665" s="87" t="s">
        <v>68</v>
      </c>
      <c r="E665" s="85">
        <f>STATS1003B!E665/1000</f>
        <v>1014.23443</v>
      </c>
      <c r="F665" s="85">
        <f>STATS1003B!F665/1000</f>
        <v>443.33752000000004</v>
      </c>
      <c r="G665" s="85">
        <f>STATS1003B!G665/1000</f>
        <v>0</v>
      </c>
      <c r="H665" s="85">
        <f>STATS1003B!H665/1000</f>
        <v>443.33752000000004</v>
      </c>
      <c r="I665" s="85">
        <f>STATS1003B!I665/1000</f>
        <v>0</v>
      </c>
      <c r="J665" s="85">
        <f>STATS1003B!J665/1000</f>
        <v>443.33752000000004</v>
      </c>
      <c r="K665" s="85">
        <f>STATS1003B!K665/1000</f>
        <v>570.89691000000005</v>
      </c>
      <c r="L665" s="85">
        <f>STATS1003B!L665/1000</f>
        <v>0</v>
      </c>
      <c r="M665" s="85">
        <f>STATS1003B!M665/1000</f>
        <v>443.33752000000004</v>
      </c>
      <c r="N665" s="85">
        <f>STATS1003B!N665/1000</f>
        <v>570.89691000000005</v>
      </c>
      <c r="O665" s="85">
        <f>STATS1003B!O665/1000</f>
        <v>0</v>
      </c>
      <c r="P665" s="85">
        <f>STATS1003B!P665/1000</f>
        <v>570.89691000000005</v>
      </c>
      <c r="Q665" s="85">
        <f>STATS1003B!Q665/1000</f>
        <v>0</v>
      </c>
      <c r="R665" s="85">
        <f>STATS1003B!R665/1000</f>
        <v>0</v>
      </c>
      <c r="S665" s="85">
        <f>STATS1003B!S665/1000</f>
        <v>0</v>
      </c>
      <c r="T665" s="85">
        <f>STATS1003B!T665/1000</f>
        <v>0</v>
      </c>
      <c r="U665" s="85">
        <f>STATS1003B!U665/1000</f>
        <v>570.89691000000005</v>
      </c>
      <c r="V665" s="85">
        <f>STATS1003B!V665/1000</f>
        <v>1014.2344300000001</v>
      </c>
      <c r="W665" s="85">
        <f>STATS1003B!W665/1000</f>
        <v>0</v>
      </c>
      <c r="X665" s="85">
        <f t="shared" si="89"/>
        <v>1014.2344300000001</v>
      </c>
      <c r="Y665" s="85">
        <f>STATS1003B!Y665/1000</f>
        <v>0</v>
      </c>
      <c r="Z665" s="85">
        <f t="shared" si="92"/>
        <v>0</v>
      </c>
      <c r="AA665" s="69">
        <f>STATS1003B!AA665/1000</f>
        <v>1014.2344300000001</v>
      </c>
      <c r="AB665" s="69">
        <f>STATS1003B!AB665/1000</f>
        <v>0</v>
      </c>
    </row>
    <row r="666" spans="1:28" hidden="1" x14ac:dyDescent="0.3">
      <c r="A666" s="117"/>
      <c r="C666" s="68" t="s">
        <v>535</v>
      </c>
      <c r="D666" s="87" t="s">
        <v>54</v>
      </c>
      <c r="E666" s="85">
        <f>STATS1003B!E666/1000</f>
        <v>1602.5063500000001</v>
      </c>
      <c r="F666" s="85">
        <f>STATS1003B!F666/1000</f>
        <v>1592.566</v>
      </c>
      <c r="G666" s="85">
        <f>STATS1003B!G666/1000</f>
        <v>0</v>
      </c>
      <c r="H666" s="85">
        <f>STATS1003B!H666/1000</f>
        <v>1592.566</v>
      </c>
      <c r="I666" s="85">
        <f>STATS1003B!I666/1000</f>
        <v>0</v>
      </c>
      <c r="J666" s="85">
        <f>STATS1003B!J666/1000</f>
        <v>1592.566</v>
      </c>
      <c r="K666" s="85">
        <f>STATS1003B!K666/1000</f>
        <v>9.9403500000000005</v>
      </c>
      <c r="L666" s="85">
        <f>STATS1003B!L666/1000</f>
        <v>0</v>
      </c>
      <c r="M666" s="85">
        <f>STATS1003B!M666/1000</f>
        <v>1592.566</v>
      </c>
      <c r="N666" s="85">
        <f>STATS1003B!N666/1000</f>
        <v>9.9403500000000005</v>
      </c>
      <c r="O666" s="85">
        <f>STATS1003B!O666/1000</f>
        <v>0</v>
      </c>
      <c r="P666" s="85">
        <f>STATS1003B!P666/1000</f>
        <v>9.9403500000000005</v>
      </c>
      <c r="Q666" s="85">
        <f>STATS1003B!Q666/1000</f>
        <v>0</v>
      </c>
      <c r="R666" s="85">
        <f>STATS1003B!R666/1000</f>
        <v>0</v>
      </c>
      <c r="S666" s="85">
        <f>STATS1003B!S666/1000</f>
        <v>0</v>
      </c>
      <c r="T666" s="85">
        <f>STATS1003B!T666/1000</f>
        <v>0</v>
      </c>
      <c r="U666" s="85">
        <f>STATS1003B!U666/1000</f>
        <v>9.9403500000000005</v>
      </c>
      <c r="V666" s="85">
        <f>STATS1003B!V666/1000</f>
        <v>1602.5063500000001</v>
      </c>
      <c r="W666" s="85">
        <f>STATS1003B!W666/1000</f>
        <v>0</v>
      </c>
      <c r="X666" s="85">
        <f t="shared" si="89"/>
        <v>1602.5063500000001</v>
      </c>
      <c r="Y666" s="85">
        <f>STATS1003B!Y666/1000</f>
        <v>0</v>
      </c>
      <c r="Z666" s="85">
        <f t="shared" si="92"/>
        <v>0</v>
      </c>
      <c r="AA666" s="69">
        <f>STATS1003B!AA666/1000</f>
        <v>1602.5063500000001</v>
      </c>
      <c r="AB666" s="69">
        <f>STATS1003B!AB666/1000</f>
        <v>0</v>
      </c>
    </row>
    <row r="667" spans="1:28" hidden="1" x14ac:dyDescent="0.3">
      <c r="A667" s="117"/>
      <c r="C667" s="68" t="s">
        <v>600</v>
      </c>
      <c r="D667" s="87" t="s">
        <v>54</v>
      </c>
      <c r="E667" s="85">
        <f>STATS1003B!E667/1000</f>
        <v>475</v>
      </c>
      <c r="F667" s="85">
        <f>STATS1003B!F667/1000</f>
        <v>475</v>
      </c>
      <c r="G667" s="85">
        <f>STATS1003B!G667/1000</f>
        <v>0</v>
      </c>
      <c r="H667" s="85">
        <f>STATS1003B!H667/1000</f>
        <v>475</v>
      </c>
      <c r="I667" s="85">
        <f>STATS1003B!I667/1000</f>
        <v>0</v>
      </c>
      <c r="J667" s="85">
        <f>STATS1003B!J667/1000</f>
        <v>475</v>
      </c>
      <c r="K667" s="85">
        <f>STATS1003B!K667/1000</f>
        <v>0</v>
      </c>
      <c r="L667" s="85">
        <f>STATS1003B!L667/1000</f>
        <v>0</v>
      </c>
      <c r="M667" s="85">
        <f>STATS1003B!M667/1000</f>
        <v>475</v>
      </c>
      <c r="N667" s="85">
        <f>STATS1003B!N667/1000</f>
        <v>0</v>
      </c>
      <c r="O667" s="85">
        <f>STATS1003B!O667/1000</f>
        <v>0</v>
      </c>
      <c r="P667" s="85">
        <f>STATS1003B!P667/1000</f>
        <v>0</v>
      </c>
      <c r="Q667" s="85">
        <f>STATS1003B!Q667/1000</f>
        <v>0</v>
      </c>
      <c r="R667" s="85">
        <f>STATS1003B!R667/1000</f>
        <v>0</v>
      </c>
      <c r="S667" s="85">
        <f>STATS1003B!S667/1000</f>
        <v>0</v>
      </c>
      <c r="T667" s="85">
        <f>STATS1003B!T667/1000</f>
        <v>0</v>
      </c>
      <c r="U667" s="85">
        <f>STATS1003B!U667/1000</f>
        <v>0</v>
      </c>
      <c r="V667" s="85">
        <f>STATS1003B!V667/1000</f>
        <v>475</v>
      </c>
      <c r="W667" s="85">
        <f>STATS1003B!W667/1000</f>
        <v>0</v>
      </c>
      <c r="X667" s="85">
        <f t="shared" si="89"/>
        <v>475</v>
      </c>
      <c r="Y667" s="85">
        <f>STATS1003B!Y667/1000</f>
        <v>0</v>
      </c>
      <c r="Z667" s="85">
        <f t="shared" si="92"/>
        <v>0</v>
      </c>
      <c r="AA667" s="69">
        <f>STATS1003B!AA667/1000</f>
        <v>475</v>
      </c>
      <c r="AB667" s="69">
        <f>STATS1003B!AB667/1000</f>
        <v>0</v>
      </c>
    </row>
    <row r="668" spans="1:28" hidden="1" x14ac:dyDescent="0.3">
      <c r="A668" s="117"/>
      <c r="C668" s="68" t="s">
        <v>545</v>
      </c>
      <c r="D668" s="87" t="s">
        <v>54</v>
      </c>
      <c r="E668" s="85">
        <f>STATS1003B!E668/1000</f>
        <v>2306.1060000000002</v>
      </c>
      <c r="F668" s="85">
        <f>STATS1003B!F668/1000</f>
        <v>0</v>
      </c>
      <c r="G668" s="85">
        <f>STATS1003B!G668/1000</f>
        <v>0</v>
      </c>
      <c r="H668" s="85">
        <f>STATS1003B!H668/1000</f>
        <v>0</v>
      </c>
      <c r="I668" s="85">
        <f>STATS1003B!I668/1000</f>
        <v>0</v>
      </c>
      <c r="J668" s="85">
        <f>STATS1003B!J668/1000</f>
        <v>0</v>
      </c>
      <c r="K668" s="85">
        <f>STATS1003B!K668/1000</f>
        <v>2306.1060000000002</v>
      </c>
      <c r="L668" s="85">
        <f>STATS1003B!L668/1000</f>
        <v>0</v>
      </c>
      <c r="M668" s="85">
        <f>STATS1003B!M668/1000</f>
        <v>0</v>
      </c>
      <c r="N668" s="85">
        <f>STATS1003B!N668/1000</f>
        <v>2306.1060000000002</v>
      </c>
      <c r="O668" s="85">
        <f>STATS1003B!O668/1000</f>
        <v>0</v>
      </c>
      <c r="P668" s="85">
        <f>STATS1003B!P668/1000</f>
        <v>2306.1060000000002</v>
      </c>
      <c r="Q668" s="85">
        <f>STATS1003B!Q668/1000</f>
        <v>0</v>
      </c>
      <c r="R668" s="85">
        <f>STATS1003B!R668/1000</f>
        <v>0</v>
      </c>
      <c r="S668" s="85">
        <f>STATS1003B!S668/1000</f>
        <v>0</v>
      </c>
      <c r="T668" s="85">
        <f>STATS1003B!T668/1000</f>
        <v>0</v>
      </c>
      <c r="U668" s="85">
        <f>STATS1003B!U668/1000</f>
        <v>2306.1060000000002</v>
      </c>
      <c r="V668" s="85">
        <f>STATS1003B!V668/1000</f>
        <v>2306.1060000000002</v>
      </c>
      <c r="W668" s="85">
        <f>STATS1003B!W668/1000</f>
        <v>0</v>
      </c>
      <c r="X668" s="85">
        <f t="shared" si="89"/>
        <v>2306.1060000000002</v>
      </c>
      <c r="Y668" s="85">
        <f>STATS1003B!Y668/1000</f>
        <v>0</v>
      </c>
      <c r="Z668" s="85">
        <f t="shared" si="92"/>
        <v>0</v>
      </c>
      <c r="AA668" s="69">
        <f>STATS1003B!AA668/1000</f>
        <v>2306.1060000000002</v>
      </c>
      <c r="AB668" s="69">
        <f>STATS1003B!AB668/1000</f>
        <v>0</v>
      </c>
    </row>
    <row r="669" spans="1:28" hidden="1" x14ac:dyDescent="0.3">
      <c r="A669" s="117"/>
      <c r="C669" s="68" t="s">
        <v>601</v>
      </c>
      <c r="D669" s="87" t="s">
        <v>54</v>
      </c>
      <c r="E669" s="85">
        <f>STATS1003B!E669/1000</f>
        <v>955.34561999999994</v>
      </c>
      <c r="F669" s="85">
        <f>STATS1003B!F669/1000</f>
        <v>0</v>
      </c>
      <c r="G669" s="85">
        <f>STATS1003B!G669/1000</f>
        <v>0</v>
      </c>
      <c r="H669" s="85">
        <f>STATS1003B!H669/1000</f>
        <v>0</v>
      </c>
      <c r="I669" s="85">
        <f>STATS1003B!I669/1000</f>
        <v>0</v>
      </c>
      <c r="J669" s="85">
        <f>STATS1003B!J669/1000</f>
        <v>0</v>
      </c>
      <c r="K669" s="85">
        <f>STATS1003B!K669/1000</f>
        <v>955.34561999999994</v>
      </c>
      <c r="L669" s="85">
        <f>STATS1003B!L669/1000</f>
        <v>0</v>
      </c>
      <c r="M669" s="85">
        <f>STATS1003B!M669/1000</f>
        <v>0</v>
      </c>
      <c r="N669" s="85">
        <f>STATS1003B!N669/1000</f>
        <v>955.34561999999994</v>
      </c>
      <c r="O669" s="85">
        <f>STATS1003B!O669/1000</f>
        <v>0</v>
      </c>
      <c r="P669" s="85">
        <f>STATS1003B!P669/1000</f>
        <v>955.34561999999994</v>
      </c>
      <c r="Q669" s="85">
        <f>STATS1003B!Q669/1000</f>
        <v>0</v>
      </c>
      <c r="R669" s="85">
        <f>STATS1003B!R669/1000</f>
        <v>0</v>
      </c>
      <c r="S669" s="85">
        <f>STATS1003B!S669/1000</f>
        <v>0</v>
      </c>
      <c r="T669" s="85">
        <f>STATS1003B!T669/1000</f>
        <v>0</v>
      </c>
      <c r="U669" s="85">
        <f>STATS1003B!U669/1000</f>
        <v>955.34561999999994</v>
      </c>
      <c r="V669" s="85">
        <f>STATS1003B!V669/1000</f>
        <v>955.34561999999994</v>
      </c>
      <c r="W669" s="85">
        <f>STATS1003B!W669/1000</f>
        <v>0</v>
      </c>
      <c r="X669" s="85">
        <f t="shared" si="89"/>
        <v>955.34561999999994</v>
      </c>
      <c r="Y669" s="85">
        <f>STATS1003B!Y669/1000</f>
        <v>0</v>
      </c>
      <c r="Z669" s="85">
        <f t="shared" si="92"/>
        <v>0</v>
      </c>
      <c r="AA669" s="69">
        <f>STATS1003B!AA669/1000</f>
        <v>955.34561999999994</v>
      </c>
      <c r="AB669" s="69">
        <f>STATS1003B!AB669/1000</f>
        <v>0</v>
      </c>
    </row>
    <row r="670" spans="1:28" hidden="1" x14ac:dyDescent="0.3">
      <c r="A670" s="117"/>
      <c r="C670" s="68" t="s">
        <v>535</v>
      </c>
      <c r="D670" s="87" t="s">
        <v>85</v>
      </c>
      <c r="E670" s="85">
        <f>STATS1003B!E670/1000</f>
        <v>4256.1000000000004</v>
      </c>
      <c r="F670" s="85">
        <f>STATS1003B!F670/1000</f>
        <v>4256.1000000000004</v>
      </c>
      <c r="G670" s="85">
        <f>STATS1003B!G670/1000</f>
        <v>0</v>
      </c>
      <c r="H670" s="85">
        <f>STATS1003B!H670/1000</f>
        <v>4256.1000000000004</v>
      </c>
      <c r="I670" s="85">
        <f>STATS1003B!I670/1000</f>
        <v>0</v>
      </c>
      <c r="J670" s="85">
        <f>STATS1003B!J670/1000</f>
        <v>4256.1000000000004</v>
      </c>
      <c r="K670" s="85">
        <f>STATS1003B!K670/1000</f>
        <v>0</v>
      </c>
      <c r="L670" s="85">
        <f>STATS1003B!L670/1000</f>
        <v>0</v>
      </c>
      <c r="M670" s="85">
        <f>STATS1003B!M670/1000</f>
        <v>4256.1000000000004</v>
      </c>
      <c r="N670" s="85">
        <f>STATS1003B!N670/1000</f>
        <v>0</v>
      </c>
      <c r="O670" s="85">
        <f>STATS1003B!O670/1000</f>
        <v>0</v>
      </c>
      <c r="P670" s="85">
        <f>STATS1003B!P670/1000</f>
        <v>0</v>
      </c>
      <c r="Q670" s="85">
        <f>STATS1003B!Q670/1000</f>
        <v>0</v>
      </c>
      <c r="R670" s="85">
        <f>STATS1003B!R670/1000</f>
        <v>0</v>
      </c>
      <c r="S670" s="85">
        <f>STATS1003B!S670/1000</f>
        <v>0</v>
      </c>
      <c r="T670" s="85">
        <f>STATS1003B!T670/1000</f>
        <v>0</v>
      </c>
      <c r="U670" s="85">
        <f>STATS1003B!U670/1000</f>
        <v>0</v>
      </c>
      <c r="V670" s="85">
        <f>STATS1003B!V670/1000</f>
        <v>4256.1000000000004</v>
      </c>
      <c r="W670" s="85">
        <f>STATS1003B!W670/1000</f>
        <v>0</v>
      </c>
      <c r="X670" s="85">
        <f t="shared" si="89"/>
        <v>4256.1000000000004</v>
      </c>
      <c r="Y670" s="85">
        <f>STATS1003B!Y670/1000</f>
        <v>0</v>
      </c>
      <c r="Z670" s="85">
        <f t="shared" si="92"/>
        <v>0</v>
      </c>
      <c r="AA670" s="69">
        <f>STATS1003B!AA670/1000</f>
        <v>4256.1000000000004</v>
      </c>
      <c r="AB670" s="69">
        <f>STATS1003B!AB670/1000</f>
        <v>0</v>
      </c>
    </row>
    <row r="671" spans="1:28" hidden="1" x14ac:dyDescent="0.3">
      <c r="A671" s="117"/>
      <c r="C671" s="68" t="s">
        <v>602</v>
      </c>
      <c r="D671" s="87" t="s">
        <v>85</v>
      </c>
      <c r="E671" s="85">
        <f>STATS1003B!E671/1000</f>
        <v>1000</v>
      </c>
      <c r="F671" s="85">
        <f>STATS1003B!F671/1000</f>
        <v>1000</v>
      </c>
      <c r="G671" s="85">
        <f>STATS1003B!G671/1000</f>
        <v>0</v>
      </c>
      <c r="H671" s="85">
        <f>STATS1003B!H671/1000</f>
        <v>1000</v>
      </c>
      <c r="I671" s="85">
        <f>STATS1003B!I671/1000</f>
        <v>0</v>
      </c>
      <c r="J671" s="85">
        <f>STATS1003B!J671/1000</f>
        <v>1000</v>
      </c>
      <c r="K671" s="85">
        <f>STATS1003B!K671/1000</f>
        <v>0</v>
      </c>
      <c r="L671" s="85">
        <f>STATS1003B!L671/1000</f>
        <v>0</v>
      </c>
      <c r="M671" s="85">
        <f>STATS1003B!M671/1000</f>
        <v>1000</v>
      </c>
      <c r="N671" s="85">
        <f>STATS1003B!N671/1000</f>
        <v>0</v>
      </c>
      <c r="O671" s="85">
        <f>STATS1003B!O671/1000</f>
        <v>0</v>
      </c>
      <c r="P671" s="85">
        <f>STATS1003B!P671/1000</f>
        <v>0</v>
      </c>
      <c r="Q671" s="85">
        <f>STATS1003B!Q671/1000</f>
        <v>0</v>
      </c>
      <c r="R671" s="85">
        <f>STATS1003B!R671/1000</f>
        <v>0</v>
      </c>
      <c r="S671" s="85">
        <f>STATS1003B!S671/1000</f>
        <v>0</v>
      </c>
      <c r="T671" s="85">
        <f>STATS1003B!T671/1000</f>
        <v>0</v>
      </c>
      <c r="U671" s="85">
        <f>STATS1003B!U671/1000</f>
        <v>0</v>
      </c>
      <c r="V671" s="85">
        <f>STATS1003B!V671/1000</f>
        <v>1000</v>
      </c>
      <c r="W671" s="85">
        <f>STATS1003B!W671/1000</f>
        <v>0</v>
      </c>
      <c r="X671" s="85">
        <f t="shared" si="89"/>
        <v>1000</v>
      </c>
      <c r="Y671" s="85">
        <f>STATS1003B!Y671/1000</f>
        <v>0</v>
      </c>
      <c r="Z671" s="85">
        <f t="shared" si="92"/>
        <v>0</v>
      </c>
      <c r="AA671" s="69">
        <f>STATS1003B!AA671/1000</f>
        <v>1000</v>
      </c>
      <c r="AB671" s="69">
        <f>STATS1003B!AB671/1000</f>
        <v>0</v>
      </c>
    </row>
    <row r="672" spans="1:28" hidden="1" x14ac:dyDescent="0.3">
      <c r="A672" s="117"/>
      <c r="C672" s="68" t="s">
        <v>603</v>
      </c>
      <c r="D672" s="87" t="s">
        <v>85</v>
      </c>
      <c r="E672" s="85">
        <f>STATS1003B!E672/1000</f>
        <v>80</v>
      </c>
      <c r="F672" s="85">
        <f>STATS1003B!F672/1000</f>
        <v>80</v>
      </c>
      <c r="G672" s="85">
        <f>STATS1003B!G672/1000</f>
        <v>0</v>
      </c>
      <c r="H672" s="85">
        <f>STATS1003B!H672/1000</f>
        <v>80</v>
      </c>
      <c r="I672" s="85">
        <f>STATS1003B!I672/1000</f>
        <v>0</v>
      </c>
      <c r="J672" s="85">
        <f>STATS1003B!J672/1000</f>
        <v>80</v>
      </c>
      <c r="K672" s="85">
        <f>STATS1003B!K672/1000</f>
        <v>0</v>
      </c>
      <c r="L672" s="85">
        <f>STATS1003B!L672/1000</f>
        <v>0</v>
      </c>
      <c r="M672" s="85">
        <f>STATS1003B!M672/1000</f>
        <v>80</v>
      </c>
      <c r="N672" s="85">
        <f>STATS1003B!N672/1000</f>
        <v>0</v>
      </c>
      <c r="O672" s="85">
        <f>STATS1003B!O672/1000</f>
        <v>0</v>
      </c>
      <c r="P672" s="85">
        <f>STATS1003B!P672/1000</f>
        <v>0</v>
      </c>
      <c r="Q672" s="85">
        <f>STATS1003B!Q672/1000</f>
        <v>0</v>
      </c>
      <c r="R672" s="85">
        <f>STATS1003B!R672/1000</f>
        <v>0</v>
      </c>
      <c r="S672" s="85">
        <f>STATS1003B!S672/1000</f>
        <v>0</v>
      </c>
      <c r="T672" s="85">
        <f>STATS1003B!T672/1000</f>
        <v>0</v>
      </c>
      <c r="U672" s="85">
        <f>STATS1003B!U672/1000</f>
        <v>0</v>
      </c>
      <c r="V672" s="85">
        <f>STATS1003B!V672/1000</f>
        <v>80</v>
      </c>
      <c r="W672" s="85">
        <f>STATS1003B!W672/1000</f>
        <v>0</v>
      </c>
      <c r="X672" s="85">
        <f t="shared" si="89"/>
        <v>80</v>
      </c>
      <c r="Y672" s="85">
        <f>STATS1003B!Y672/1000</f>
        <v>0</v>
      </c>
      <c r="Z672" s="85">
        <f t="shared" si="92"/>
        <v>0</v>
      </c>
      <c r="AA672" s="69">
        <f>STATS1003B!AA672/1000</f>
        <v>80</v>
      </c>
      <c r="AB672" s="69">
        <f>STATS1003B!AB672/1000</f>
        <v>0</v>
      </c>
    </row>
    <row r="673" spans="1:28" hidden="1" x14ac:dyDescent="0.3">
      <c r="A673" s="117"/>
      <c r="C673" s="68" t="s">
        <v>604</v>
      </c>
      <c r="D673" s="87" t="s">
        <v>85</v>
      </c>
      <c r="E673" s="85">
        <f>STATS1003B!E673/1000</f>
        <v>120</v>
      </c>
      <c r="F673" s="85">
        <f>STATS1003B!F673/1000</f>
        <v>120</v>
      </c>
      <c r="G673" s="85">
        <f>STATS1003B!G673/1000</f>
        <v>0</v>
      </c>
      <c r="H673" s="85">
        <f>STATS1003B!H673/1000</f>
        <v>120</v>
      </c>
      <c r="I673" s="85">
        <f>STATS1003B!I673/1000</f>
        <v>0</v>
      </c>
      <c r="J673" s="85">
        <f>STATS1003B!J673/1000</f>
        <v>120</v>
      </c>
      <c r="K673" s="85">
        <f>STATS1003B!K673/1000</f>
        <v>0</v>
      </c>
      <c r="L673" s="85">
        <f>STATS1003B!L673/1000</f>
        <v>0</v>
      </c>
      <c r="M673" s="85">
        <f>STATS1003B!M673/1000</f>
        <v>120</v>
      </c>
      <c r="N673" s="85">
        <f>STATS1003B!N673/1000</f>
        <v>0</v>
      </c>
      <c r="O673" s="85">
        <f>STATS1003B!O673/1000</f>
        <v>0</v>
      </c>
      <c r="P673" s="85">
        <f>STATS1003B!P673/1000</f>
        <v>0</v>
      </c>
      <c r="Q673" s="85">
        <f>STATS1003B!Q673/1000</f>
        <v>0</v>
      </c>
      <c r="R673" s="85">
        <f>STATS1003B!R673/1000</f>
        <v>0</v>
      </c>
      <c r="S673" s="85">
        <f>STATS1003B!S673/1000</f>
        <v>0</v>
      </c>
      <c r="T673" s="85">
        <f>STATS1003B!T673/1000</f>
        <v>0</v>
      </c>
      <c r="U673" s="85">
        <f>STATS1003B!U673/1000</f>
        <v>0</v>
      </c>
      <c r="V673" s="85">
        <f>STATS1003B!V673/1000</f>
        <v>120</v>
      </c>
      <c r="W673" s="85">
        <f>STATS1003B!W673/1000</f>
        <v>0</v>
      </c>
      <c r="X673" s="85">
        <f t="shared" si="89"/>
        <v>120</v>
      </c>
      <c r="Y673" s="85">
        <f>STATS1003B!Y673/1000</f>
        <v>0</v>
      </c>
      <c r="Z673" s="85">
        <f t="shared" si="92"/>
        <v>0</v>
      </c>
      <c r="AA673" s="69">
        <f>STATS1003B!AA673/1000</f>
        <v>120</v>
      </c>
      <c r="AB673" s="69">
        <f>STATS1003B!AB673/1000</f>
        <v>0</v>
      </c>
    </row>
    <row r="674" spans="1:28" hidden="1" x14ac:dyDescent="0.3">
      <c r="A674" s="117"/>
      <c r="C674" s="68" t="s">
        <v>535</v>
      </c>
      <c r="D674" s="87" t="s">
        <v>128</v>
      </c>
      <c r="E674" s="85">
        <f>STATS1003B!E674/1000</f>
        <v>2586.6</v>
      </c>
      <c r="F674" s="85">
        <f>STATS1003B!F674/1000</f>
        <v>2586.6</v>
      </c>
      <c r="G674" s="85">
        <f>STATS1003B!G674/1000</f>
        <v>0</v>
      </c>
      <c r="H674" s="85">
        <f>STATS1003B!H674/1000</f>
        <v>2586.6</v>
      </c>
      <c r="I674" s="85">
        <f>STATS1003B!I674/1000</f>
        <v>0</v>
      </c>
      <c r="J674" s="85">
        <f>STATS1003B!J674/1000</f>
        <v>2586.6</v>
      </c>
      <c r="K674" s="85">
        <f>STATS1003B!K674/1000</f>
        <v>0</v>
      </c>
      <c r="L674" s="85">
        <f>STATS1003B!L674/1000</f>
        <v>0</v>
      </c>
      <c r="M674" s="85">
        <f>STATS1003B!M674/1000</f>
        <v>2586.6</v>
      </c>
      <c r="N674" s="85">
        <f>STATS1003B!N674/1000</f>
        <v>0</v>
      </c>
      <c r="O674" s="85">
        <f>STATS1003B!O674/1000</f>
        <v>0</v>
      </c>
      <c r="P674" s="85">
        <f>STATS1003B!P674/1000</f>
        <v>0</v>
      </c>
      <c r="Q674" s="85">
        <f>STATS1003B!Q674/1000</f>
        <v>0</v>
      </c>
      <c r="R674" s="85">
        <f>STATS1003B!R674/1000</f>
        <v>0</v>
      </c>
      <c r="S674" s="85">
        <f>STATS1003B!S674/1000</f>
        <v>0</v>
      </c>
      <c r="T674" s="85">
        <f>STATS1003B!T674/1000</f>
        <v>0</v>
      </c>
      <c r="U674" s="85">
        <f>STATS1003B!U674/1000</f>
        <v>0</v>
      </c>
      <c r="V674" s="85">
        <f>STATS1003B!V674/1000</f>
        <v>2586.6</v>
      </c>
      <c r="W674" s="85">
        <f>STATS1003B!W674/1000</f>
        <v>0</v>
      </c>
      <c r="X674" s="85">
        <f t="shared" si="89"/>
        <v>2586.6</v>
      </c>
      <c r="Y674" s="85">
        <f>STATS1003B!Y674/1000</f>
        <v>0</v>
      </c>
      <c r="Z674" s="85">
        <f t="shared" si="92"/>
        <v>0</v>
      </c>
      <c r="AA674" s="69">
        <f>STATS1003B!AA674/1000</f>
        <v>2586.6</v>
      </c>
      <c r="AB674" s="69">
        <f>STATS1003B!AB674/1000</f>
        <v>0</v>
      </c>
    </row>
    <row r="675" spans="1:28" hidden="1" x14ac:dyDescent="0.3">
      <c r="A675" s="117"/>
      <c r="C675" s="68" t="s">
        <v>566</v>
      </c>
      <c r="D675" s="87" t="s">
        <v>128</v>
      </c>
      <c r="E675" s="85">
        <f>STATS1003B!E675/1000</f>
        <v>1000</v>
      </c>
      <c r="F675" s="85">
        <f>STATS1003B!F675/1000</f>
        <v>1000</v>
      </c>
      <c r="G675" s="85">
        <f>STATS1003B!G675/1000</f>
        <v>0</v>
      </c>
      <c r="H675" s="85">
        <f>STATS1003B!H675/1000</f>
        <v>1000</v>
      </c>
      <c r="I675" s="85">
        <f>STATS1003B!I675/1000</f>
        <v>0</v>
      </c>
      <c r="J675" s="85">
        <f>STATS1003B!J675/1000</f>
        <v>1000</v>
      </c>
      <c r="K675" s="85">
        <f>STATS1003B!K675/1000</f>
        <v>0</v>
      </c>
      <c r="L675" s="85">
        <f>STATS1003B!L675/1000</f>
        <v>0</v>
      </c>
      <c r="M675" s="85">
        <f>STATS1003B!M675/1000</f>
        <v>1000</v>
      </c>
      <c r="N675" s="85">
        <f>STATS1003B!N675/1000</f>
        <v>0</v>
      </c>
      <c r="O675" s="85">
        <f>STATS1003B!O675/1000</f>
        <v>0</v>
      </c>
      <c r="P675" s="85">
        <f>STATS1003B!P675/1000</f>
        <v>0</v>
      </c>
      <c r="Q675" s="85">
        <f>STATS1003B!Q675/1000</f>
        <v>0</v>
      </c>
      <c r="R675" s="85">
        <f>STATS1003B!R675/1000</f>
        <v>0</v>
      </c>
      <c r="S675" s="85">
        <f>STATS1003B!S675/1000</f>
        <v>0</v>
      </c>
      <c r="T675" s="85">
        <f>STATS1003B!T675/1000</f>
        <v>0</v>
      </c>
      <c r="U675" s="85">
        <f>STATS1003B!U675/1000</f>
        <v>0</v>
      </c>
      <c r="V675" s="85">
        <f>STATS1003B!V675/1000</f>
        <v>1000</v>
      </c>
      <c r="W675" s="85">
        <f>STATS1003B!W675/1000</f>
        <v>0</v>
      </c>
      <c r="X675" s="85">
        <f t="shared" si="89"/>
        <v>1000</v>
      </c>
      <c r="Y675" s="85">
        <f>STATS1003B!Y675/1000</f>
        <v>0</v>
      </c>
      <c r="Z675" s="85">
        <f t="shared" si="92"/>
        <v>0</v>
      </c>
      <c r="AA675" s="69">
        <f>STATS1003B!AA675/1000</f>
        <v>1000</v>
      </c>
      <c r="AB675" s="69">
        <f>STATS1003B!AB675/1000</f>
        <v>0</v>
      </c>
    </row>
    <row r="676" spans="1:28" hidden="1" x14ac:dyDescent="0.3">
      <c r="A676" s="117"/>
      <c r="C676" s="68" t="s">
        <v>535</v>
      </c>
      <c r="D676" s="87" t="s">
        <v>88</v>
      </c>
      <c r="E676" s="85">
        <f>STATS1003B!E676/1000</f>
        <v>2000</v>
      </c>
      <c r="F676" s="85">
        <f>STATS1003B!F676/1000</f>
        <v>2000</v>
      </c>
      <c r="G676" s="85">
        <f>STATS1003B!G676/1000</f>
        <v>0</v>
      </c>
      <c r="H676" s="85">
        <f>STATS1003B!H676/1000</f>
        <v>2000</v>
      </c>
      <c r="I676" s="85">
        <f>STATS1003B!I676/1000</f>
        <v>0</v>
      </c>
      <c r="J676" s="85">
        <f>STATS1003B!J676/1000</f>
        <v>2000</v>
      </c>
      <c r="K676" s="85">
        <f>STATS1003B!K676/1000</f>
        <v>0</v>
      </c>
      <c r="L676" s="85">
        <f>STATS1003B!L676/1000</f>
        <v>0</v>
      </c>
      <c r="M676" s="85">
        <f>STATS1003B!M676/1000</f>
        <v>2000</v>
      </c>
      <c r="N676" s="85">
        <f>STATS1003B!N676/1000</f>
        <v>0</v>
      </c>
      <c r="O676" s="85">
        <f>STATS1003B!O676/1000</f>
        <v>0</v>
      </c>
      <c r="P676" s="85">
        <f>STATS1003B!P676/1000</f>
        <v>0</v>
      </c>
      <c r="Q676" s="85">
        <f>STATS1003B!Q676/1000</f>
        <v>0</v>
      </c>
      <c r="R676" s="85">
        <f>STATS1003B!R676/1000</f>
        <v>0</v>
      </c>
      <c r="S676" s="85">
        <f>STATS1003B!S676/1000</f>
        <v>0</v>
      </c>
      <c r="T676" s="85">
        <f>STATS1003B!T676/1000</f>
        <v>0</v>
      </c>
      <c r="U676" s="85">
        <f>STATS1003B!U676/1000</f>
        <v>0</v>
      </c>
      <c r="V676" s="85">
        <f>STATS1003B!V676/1000</f>
        <v>2000</v>
      </c>
      <c r="W676" s="85">
        <f>STATS1003B!W676/1000</f>
        <v>0</v>
      </c>
      <c r="X676" s="85">
        <f t="shared" si="89"/>
        <v>2000</v>
      </c>
      <c r="Y676" s="85">
        <f>STATS1003B!Y676/1000</f>
        <v>0</v>
      </c>
      <c r="Z676" s="85">
        <f t="shared" si="92"/>
        <v>0</v>
      </c>
      <c r="AA676" s="69">
        <f>STATS1003B!AA676/1000</f>
        <v>2000</v>
      </c>
      <c r="AB676" s="69">
        <f>STATS1003B!AB676/1000</f>
        <v>0</v>
      </c>
    </row>
    <row r="677" spans="1:28" hidden="1" x14ac:dyDescent="0.3">
      <c r="A677" s="117"/>
      <c r="C677" s="68" t="s">
        <v>535</v>
      </c>
      <c r="D677" s="87" t="s">
        <v>108</v>
      </c>
      <c r="E677" s="85">
        <f>STATS1003B!E677/1000</f>
        <v>9226.4779399999989</v>
      </c>
      <c r="F677" s="85">
        <f>STATS1003B!F677/1000</f>
        <v>9226.4779400000007</v>
      </c>
      <c r="G677" s="85">
        <f>STATS1003B!G677/1000</f>
        <v>0</v>
      </c>
      <c r="H677" s="85">
        <f>STATS1003B!H677/1000</f>
        <v>9226.4779400000007</v>
      </c>
      <c r="I677" s="85">
        <f>STATS1003B!I677/1000</f>
        <v>0</v>
      </c>
      <c r="J677" s="85">
        <f>STATS1003B!J677/1000</f>
        <v>9226.4779400000007</v>
      </c>
      <c r="K677" s="85">
        <f>STATS1003B!K677/1000</f>
        <v>0</v>
      </c>
      <c r="L677" s="85">
        <f>STATS1003B!L677/1000</f>
        <v>0</v>
      </c>
      <c r="M677" s="85">
        <f>STATS1003B!M677/1000</f>
        <v>9226.4779400000007</v>
      </c>
      <c r="N677" s="85">
        <f>STATS1003B!N677/1000</f>
        <v>0</v>
      </c>
      <c r="O677" s="85">
        <f>STATS1003B!O677/1000</f>
        <v>0</v>
      </c>
      <c r="P677" s="85">
        <f>STATS1003B!P677/1000</f>
        <v>0</v>
      </c>
      <c r="Q677" s="85">
        <f>STATS1003B!Q677/1000</f>
        <v>0</v>
      </c>
      <c r="R677" s="85">
        <f>STATS1003B!R677/1000</f>
        <v>0</v>
      </c>
      <c r="S677" s="85">
        <f>STATS1003B!S677/1000</f>
        <v>0</v>
      </c>
      <c r="T677" s="85">
        <f>STATS1003B!T677/1000</f>
        <v>0</v>
      </c>
      <c r="U677" s="85">
        <f>STATS1003B!U677/1000</f>
        <v>0</v>
      </c>
      <c r="V677" s="85">
        <f>STATS1003B!V677/1000</f>
        <v>9226.4779400000007</v>
      </c>
      <c r="W677" s="85">
        <f>STATS1003B!W677/1000</f>
        <v>0</v>
      </c>
      <c r="X677" s="85">
        <f t="shared" si="89"/>
        <v>9226.4779400000007</v>
      </c>
      <c r="Y677" s="85">
        <f>STATS1003B!Y677/1000</f>
        <v>0</v>
      </c>
      <c r="Z677" s="85">
        <f t="shared" si="92"/>
        <v>0</v>
      </c>
      <c r="AA677" s="69">
        <f>STATS1003B!AA677/1000</f>
        <v>9226.4779400000007</v>
      </c>
      <c r="AB677" s="69">
        <f>STATS1003B!AB677/1000</f>
        <v>0</v>
      </c>
    </row>
    <row r="678" spans="1:28" hidden="1" x14ac:dyDescent="0.3">
      <c r="A678" s="117"/>
      <c r="B678" s="68" t="s">
        <v>605</v>
      </c>
      <c r="C678" s="68" t="s">
        <v>535</v>
      </c>
      <c r="D678" s="87" t="s">
        <v>108</v>
      </c>
      <c r="E678" s="85">
        <f>STATS1003B!E678/1000</f>
        <v>5000</v>
      </c>
      <c r="F678" s="85">
        <f>STATS1003B!F678/1000</f>
        <v>5000</v>
      </c>
      <c r="G678" s="85">
        <f>STATS1003B!G678/1000</f>
        <v>0</v>
      </c>
      <c r="H678" s="85">
        <f>STATS1003B!H678/1000</f>
        <v>5000</v>
      </c>
      <c r="I678" s="85">
        <f>STATS1003B!I678/1000</f>
        <v>0</v>
      </c>
      <c r="J678" s="85">
        <f>STATS1003B!J678/1000</f>
        <v>5000</v>
      </c>
      <c r="K678" s="85">
        <f>STATS1003B!K678/1000</f>
        <v>0</v>
      </c>
      <c r="L678" s="85">
        <f>STATS1003B!L678/1000</f>
        <v>0</v>
      </c>
      <c r="M678" s="85">
        <f>STATS1003B!M678/1000</f>
        <v>5000</v>
      </c>
      <c r="N678" s="85">
        <f>STATS1003B!N678/1000</f>
        <v>0</v>
      </c>
      <c r="O678" s="85">
        <f>STATS1003B!O678/1000</f>
        <v>0</v>
      </c>
      <c r="P678" s="85">
        <f>STATS1003B!P678/1000</f>
        <v>0</v>
      </c>
      <c r="Q678" s="85">
        <f>STATS1003B!Q678/1000</f>
        <v>0</v>
      </c>
      <c r="R678" s="85">
        <f>STATS1003B!R678/1000</f>
        <v>0</v>
      </c>
      <c r="S678" s="85">
        <f>STATS1003B!S678/1000</f>
        <v>0</v>
      </c>
      <c r="T678" s="85">
        <f>STATS1003B!T678/1000</f>
        <v>0</v>
      </c>
      <c r="U678" s="85">
        <f>STATS1003B!U678/1000</f>
        <v>0</v>
      </c>
      <c r="V678" s="85">
        <f>STATS1003B!V678/1000</f>
        <v>5000</v>
      </c>
      <c r="W678" s="85">
        <f>STATS1003B!W678/1000</f>
        <v>0</v>
      </c>
      <c r="X678" s="85">
        <f t="shared" si="89"/>
        <v>5000</v>
      </c>
      <c r="Y678" s="85">
        <f>STATS1003B!Y678/1000</f>
        <v>0</v>
      </c>
      <c r="Z678" s="85">
        <f t="shared" si="92"/>
        <v>0</v>
      </c>
      <c r="AA678" s="69">
        <f>STATS1003B!AA678/1000</f>
        <v>5000</v>
      </c>
      <c r="AB678" s="69">
        <f>STATS1003B!AB678/1000</f>
        <v>0</v>
      </c>
    </row>
    <row r="679" spans="1:28" hidden="1" x14ac:dyDescent="0.3">
      <c r="A679" s="117"/>
      <c r="C679" s="68" t="s">
        <v>535</v>
      </c>
      <c r="D679" s="87" t="s">
        <v>58</v>
      </c>
      <c r="E679" s="85">
        <f>STATS1003B!E679/1000</f>
        <v>19415.622609999999</v>
      </c>
      <c r="F679" s="85">
        <f>STATS1003B!F679/1000</f>
        <v>15364.039439999999</v>
      </c>
      <c r="G679" s="85">
        <f>STATS1003B!G679/1000</f>
        <v>0</v>
      </c>
      <c r="H679" s="85">
        <f>STATS1003B!H679/1000</f>
        <v>15364.039439999999</v>
      </c>
      <c r="I679" s="85">
        <f>STATS1003B!I679/1000</f>
        <v>4051.5831699999999</v>
      </c>
      <c r="J679" s="85">
        <f>STATS1003B!J679/1000</f>
        <v>19415.622609999999</v>
      </c>
      <c r="K679" s="85">
        <f>STATS1003B!K679/1000</f>
        <v>0</v>
      </c>
      <c r="L679" s="85">
        <f>STATS1003B!L679/1000</f>
        <v>4051.5831699999999</v>
      </c>
      <c r="M679" s="85">
        <f>STATS1003B!M679/1000</f>
        <v>19415.622609999999</v>
      </c>
      <c r="N679" s="85">
        <f>STATS1003B!N679/1000</f>
        <v>0</v>
      </c>
      <c r="O679" s="85">
        <f>STATS1003B!O679/1000</f>
        <v>0</v>
      </c>
      <c r="P679" s="85">
        <f>STATS1003B!P679/1000</f>
        <v>0</v>
      </c>
      <c r="Q679" s="85">
        <f>STATS1003B!Q679/1000</f>
        <v>0</v>
      </c>
      <c r="R679" s="85">
        <f>STATS1003B!R679/1000</f>
        <v>0</v>
      </c>
      <c r="S679" s="85">
        <f>STATS1003B!S679/1000</f>
        <v>0</v>
      </c>
      <c r="T679" s="85">
        <f>STATS1003B!T679/1000</f>
        <v>0</v>
      </c>
      <c r="U679" s="85">
        <f>STATS1003B!U679/1000</f>
        <v>0</v>
      </c>
      <c r="V679" s="85">
        <f>STATS1003B!V679/1000</f>
        <v>15364.039439999999</v>
      </c>
      <c r="W679" s="85">
        <f>STATS1003B!W679/1000</f>
        <v>4051.5831699999999</v>
      </c>
      <c r="X679" s="85">
        <f t="shared" si="89"/>
        <v>15364.039439999999</v>
      </c>
      <c r="Y679" s="85">
        <f>STATS1003B!Y679/1000</f>
        <v>0</v>
      </c>
      <c r="Z679" s="85">
        <f t="shared" si="92"/>
        <v>4051.5831699999999</v>
      </c>
      <c r="AA679" s="69">
        <f>STATS1003B!AA679/1000</f>
        <v>19415.622609999999</v>
      </c>
      <c r="AB679" s="69">
        <f>STATS1003B!AB679/1000</f>
        <v>0</v>
      </c>
    </row>
    <row r="680" spans="1:28" hidden="1" x14ac:dyDescent="0.3">
      <c r="A680" s="117"/>
      <c r="C680" s="68" t="s">
        <v>535</v>
      </c>
      <c r="D680" s="87" t="s">
        <v>60</v>
      </c>
      <c r="E680" s="85">
        <f>STATS1003B!E680/1000</f>
        <v>544.471</v>
      </c>
      <c r="F680" s="85">
        <f>STATS1003B!F680/1000</f>
        <v>544.471</v>
      </c>
      <c r="G680" s="85">
        <f>STATS1003B!G680/1000</f>
        <v>0</v>
      </c>
      <c r="H680" s="85">
        <f>STATS1003B!H680/1000</f>
        <v>544.471</v>
      </c>
      <c r="I680" s="85">
        <f>STATS1003B!I680/1000</f>
        <v>0</v>
      </c>
      <c r="J680" s="85">
        <f>STATS1003B!J680/1000</f>
        <v>544.471</v>
      </c>
      <c r="K680" s="85">
        <f>STATS1003B!K680/1000</f>
        <v>0</v>
      </c>
      <c r="L680" s="85">
        <f>STATS1003B!L680/1000</f>
        <v>0</v>
      </c>
      <c r="M680" s="85">
        <f>STATS1003B!M680/1000</f>
        <v>544.471</v>
      </c>
      <c r="N680" s="85">
        <f>STATS1003B!N680/1000</f>
        <v>0</v>
      </c>
      <c r="O680" s="85">
        <f>STATS1003B!O680/1000</f>
        <v>0</v>
      </c>
      <c r="P680" s="85">
        <f>STATS1003B!P680/1000</f>
        <v>0</v>
      </c>
      <c r="Q680" s="85">
        <f>STATS1003B!Q680/1000</f>
        <v>0</v>
      </c>
      <c r="R680" s="85">
        <f>STATS1003B!R680/1000</f>
        <v>0</v>
      </c>
      <c r="S680" s="85">
        <f>STATS1003B!S680/1000</f>
        <v>0</v>
      </c>
      <c r="T680" s="85">
        <f>STATS1003B!T680/1000</f>
        <v>0</v>
      </c>
      <c r="U680" s="85">
        <f>STATS1003B!U680/1000</f>
        <v>0</v>
      </c>
      <c r="V680" s="85">
        <f>STATS1003B!V680/1000</f>
        <v>544.471</v>
      </c>
      <c r="W680" s="85">
        <f>STATS1003B!W680/1000</f>
        <v>0</v>
      </c>
      <c r="X680" s="85">
        <f t="shared" si="89"/>
        <v>544.471</v>
      </c>
      <c r="Y680" s="85">
        <f>STATS1003B!Y680/1000</f>
        <v>0</v>
      </c>
      <c r="Z680" s="85">
        <f t="shared" si="92"/>
        <v>0</v>
      </c>
      <c r="AA680" s="69">
        <f>STATS1003B!AA680/1000</f>
        <v>544.471</v>
      </c>
      <c r="AB680" s="69">
        <f>STATS1003B!AB680/1000</f>
        <v>0</v>
      </c>
    </row>
    <row r="681" spans="1:28" hidden="1" x14ac:dyDescent="0.3">
      <c r="A681" s="117"/>
      <c r="C681" s="68" t="s">
        <v>898</v>
      </c>
      <c r="D681" s="90" t="s">
        <v>1072</v>
      </c>
      <c r="E681" s="85">
        <f>STATS1003B!E681/1000</f>
        <v>1403.1551899999999</v>
      </c>
      <c r="F681" s="85">
        <f>STATS1003B!F681/1000</f>
        <v>1403.1551899999999</v>
      </c>
      <c r="G681" s="85">
        <f>STATS1003B!G681/1000</f>
        <v>0</v>
      </c>
      <c r="H681" s="85">
        <f>STATS1003B!H681/1000</f>
        <v>1403.1551899999999</v>
      </c>
      <c r="I681" s="85">
        <f>STATS1003B!I681/1000</f>
        <v>0</v>
      </c>
      <c r="J681" s="85">
        <f>STATS1003B!J681/1000</f>
        <v>0</v>
      </c>
      <c r="K681" s="85">
        <f>STATS1003B!K681/1000</f>
        <v>0</v>
      </c>
      <c r="L681" s="85">
        <f>STATS1003B!L681/1000</f>
        <v>0</v>
      </c>
      <c r="M681" s="85">
        <f>STATS1003B!M681/1000</f>
        <v>1403.1551899999999</v>
      </c>
      <c r="N681" s="85">
        <f>STATS1003B!N681/1000</f>
        <v>0</v>
      </c>
      <c r="O681" s="85">
        <f>STATS1003B!O681/1000</f>
        <v>0</v>
      </c>
      <c r="P681" s="85">
        <f>STATS1003B!P681/1000</f>
        <v>0</v>
      </c>
      <c r="Q681" s="85">
        <f>STATS1003B!Q681/1000</f>
        <v>0</v>
      </c>
      <c r="R681" s="85">
        <f>STATS1003B!R681/1000</f>
        <v>0</v>
      </c>
      <c r="S681" s="85">
        <f>STATS1003B!S681/1000</f>
        <v>0</v>
      </c>
      <c r="T681" s="85">
        <f>STATS1003B!T681/1000</f>
        <v>0</v>
      </c>
      <c r="U681" s="85">
        <f>STATS1003B!U681/1000</f>
        <v>0</v>
      </c>
      <c r="V681" s="85">
        <f>STATS1003B!V681/1000</f>
        <v>0</v>
      </c>
      <c r="W681" s="85">
        <f>STATS1003B!W681/1000</f>
        <v>0</v>
      </c>
      <c r="X681" s="85">
        <f t="shared" si="89"/>
        <v>1403.1551899999999</v>
      </c>
      <c r="Y681" s="85">
        <f>STATS1003B!Y681/1000</f>
        <v>0</v>
      </c>
      <c r="Z681" s="85">
        <f t="shared" si="92"/>
        <v>0</v>
      </c>
      <c r="AA681" s="69">
        <f>STATS1003B!AA681/1000</f>
        <v>1403.1551899999999</v>
      </c>
      <c r="AB681" s="69">
        <f>STATS1003B!AB681/1000</f>
        <v>0</v>
      </c>
    </row>
    <row r="682" spans="1:28" hidden="1" x14ac:dyDescent="0.3">
      <c r="A682" s="117"/>
      <c r="C682" s="93" t="s">
        <v>933</v>
      </c>
      <c r="D682" s="90" t="s">
        <v>1072</v>
      </c>
      <c r="E682" s="85">
        <f>STATS1003B!E682/1000</f>
        <v>100</v>
      </c>
      <c r="F682" s="85">
        <f>STATS1003B!F682/1000</f>
        <v>100</v>
      </c>
      <c r="G682" s="85">
        <f>STATS1003B!G682/1000</f>
        <v>0</v>
      </c>
      <c r="H682" s="85">
        <f>STATS1003B!H682/1000</f>
        <v>100</v>
      </c>
      <c r="I682" s="85">
        <f>STATS1003B!I682/1000</f>
        <v>0</v>
      </c>
      <c r="J682" s="85">
        <f>STATS1003B!J682/1000</f>
        <v>0</v>
      </c>
      <c r="K682" s="85">
        <f>STATS1003B!K682/1000</f>
        <v>0</v>
      </c>
      <c r="L682" s="85">
        <f>STATS1003B!L682/1000</f>
        <v>0</v>
      </c>
      <c r="M682" s="85">
        <f>STATS1003B!M682/1000</f>
        <v>100</v>
      </c>
      <c r="N682" s="85">
        <f>STATS1003B!N682/1000</f>
        <v>0</v>
      </c>
      <c r="O682" s="85">
        <f>STATS1003B!O682/1000</f>
        <v>0</v>
      </c>
      <c r="P682" s="85">
        <f>STATS1003B!P682/1000</f>
        <v>0</v>
      </c>
      <c r="Q682" s="85">
        <f>STATS1003B!Q682/1000</f>
        <v>0</v>
      </c>
      <c r="R682" s="85">
        <f>STATS1003B!R682/1000</f>
        <v>0</v>
      </c>
      <c r="S682" s="85">
        <f>STATS1003B!S682/1000</f>
        <v>0</v>
      </c>
      <c r="T682" s="85">
        <f>STATS1003B!T682/1000</f>
        <v>0</v>
      </c>
      <c r="U682" s="85">
        <f>STATS1003B!U682/1000</f>
        <v>0</v>
      </c>
      <c r="V682" s="85">
        <f>STATS1003B!V682/1000</f>
        <v>0</v>
      </c>
      <c r="W682" s="85">
        <f>STATS1003B!W682/1000</f>
        <v>0</v>
      </c>
      <c r="X682" s="85">
        <f t="shared" si="89"/>
        <v>100</v>
      </c>
      <c r="Y682" s="85">
        <f>STATS1003B!Y682/1000</f>
        <v>0</v>
      </c>
      <c r="Z682" s="85">
        <f t="shared" si="92"/>
        <v>0</v>
      </c>
      <c r="AA682" s="69">
        <f>STATS1003B!AA682/1000</f>
        <v>100</v>
      </c>
      <c r="AB682" s="69">
        <f>STATS1003B!AB682/1000</f>
        <v>0</v>
      </c>
    </row>
    <row r="683" spans="1:28" hidden="1" x14ac:dyDescent="0.3">
      <c r="A683" s="117"/>
      <c r="C683" s="68" t="s">
        <v>1164</v>
      </c>
      <c r="D683" s="90" t="s">
        <v>1126</v>
      </c>
      <c r="E683" s="85">
        <f>STATS1003B!E683/1000</f>
        <v>1596</v>
      </c>
      <c r="F683" s="85">
        <f>STATS1003B!F683/1000</f>
        <v>1596</v>
      </c>
      <c r="G683" s="85">
        <f>STATS1003B!G683/1000</f>
        <v>0</v>
      </c>
      <c r="H683" s="85">
        <f>STATS1003B!H683/1000</f>
        <v>1596</v>
      </c>
      <c r="I683" s="85">
        <f>STATS1003B!I683/1000</f>
        <v>0</v>
      </c>
      <c r="J683" s="85">
        <f>STATS1003B!J683/1000</f>
        <v>0</v>
      </c>
      <c r="K683" s="85">
        <f>STATS1003B!K683/1000</f>
        <v>0</v>
      </c>
      <c r="L683" s="85">
        <f>STATS1003B!L683/1000</f>
        <v>0</v>
      </c>
      <c r="M683" s="85">
        <f>STATS1003B!M683/1000</f>
        <v>1596</v>
      </c>
      <c r="N683" s="85">
        <f>STATS1003B!N683/1000</f>
        <v>0</v>
      </c>
      <c r="O683" s="85">
        <f>STATS1003B!O683/1000</f>
        <v>0</v>
      </c>
      <c r="P683" s="85">
        <f>STATS1003B!P683/1000</f>
        <v>0</v>
      </c>
      <c r="Q683" s="85">
        <f>STATS1003B!Q683/1000</f>
        <v>0</v>
      </c>
      <c r="R683" s="85">
        <f>STATS1003B!R683/1000</f>
        <v>0</v>
      </c>
      <c r="S683" s="85">
        <f>STATS1003B!S683/1000</f>
        <v>0</v>
      </c>
      <c r="T683" s="85">
        <f>STATS1003B!T683/1000</f>
        <v>0</v>
      </c>
      <c r="U683" s="85">
        <f>STATS1003B!U683/1000</f>
        <v>0</v>
      </c>
      <c r="V683" s="85">
        <f>STATS1003B!V683/1000</f>
        <v>0</v>
      </c>
      <c r="W683" s="85">
        <f>STATS1003B!W683/1000</f>
        <v>0</v>
      </c>
      <c r="X683" s="85">
        <f t="shared" si="89"/>
        <v>1596</v>
      </c>
      <c r="Y683" s="85">
        <f>STATS1003B!Y683/1000</f>
        <v>0</v>
      </c>
      <c r="Z683" s="85">
        <f t="shared" si="92"/>
        <v>0</v>
      </c>
      <c r="AA683" s="69">
        <f>STATS1003B!AA683/1000</f>
        <v>1596</v>
      </c>
      <c r="AB683" s="69">
        <f>STATS1003B!AB683/1000</f>
        <v>0</v>
      </c>
    </row>
    <row r="684" spans="1:28" hidden="1" x14ac:dyDescent="0.3">
      <c r="A684" s="117"/>
      <c r="C684" s="68" t="s">
        <v>1255</v>
      </c>
      <c r="D684" s="90" t="s">
        <v>1225</v>
      </c>
      <c r="E684" s="85">
        <f>STATS1003B!E684/1000</f>
        <v>1881.6422</v>
      </c>
      <c r="F684" s="85">
        <f>STATS1003B!F684/1000</f>
        <v>0</v>
      </c>
      <c r="G684" s="85">
        <f>STATS1003B!G684/1000</f>
        <v>1881.6422</v>
      </c>
      <c r="H684" s="85">
        <f>STATS1003B!H684/1000</f>
        <v>1881.6422</v>
      </c>
      <c r="I684" s="85">
        <f>STATS1003B!I684/1000</f>
        <v>0</v>
      </c>
      <c r="J684" s="85">
        <f>STATS1003B!J684/1000</f>
        <v>0</v>
      </c>
      <c r="K684" s="85">
        <f>STATS1003B!K684/1000</f>
        <v>0</v>
      </c>
      <c r="L684" s="85">
        <f>STATS1003B!L684/1000</f>
        <v>0</v>
      </c>
      <c r="M684" s="85">
        <f>STATS1003B!M684/1000</f>
        <v>1881.6422</v>
      </c>
      <c r="N684" s="85">
        <f>STATS1003B!N684/1000</f>
        <v>0</v>
      </c>
      <c r="O684" s="85">
        <f>STATS1003B!O684/1000</f>
        <v>0</v>
      </c>
      <c r="P684" s="85">
        <f>STATS1003B!P684/1000</f>
        <v>0</v>
      </c>
      <c r="Q684" s="85">
        <f>STATS1003B!Q684/1000</f>
        <v>0</v>
      </c>
      <c r="R684" s="85">
        <f>STATS1003B!R684/1000</f>
        <v>0</v>
      </c>
      <c r="S684" s="85">
        <f>STATS1003B!S684/1000</f>
        <v>0</v>
      </c>
      <c r="T684" s="85">
        <f>STATS1003B!T684/1000</f>
        <v>0</v>
      </c>
      <c r="U684" s="85">
        <f>STATS1003B!U684/1000</f>
        <v>0</v>
      </c>
      <c r="V684" s="85">
        <f>STATS1003B!V684/1000</f>
        <v>0</v>
      </c>
      <c r="W684" s="85">
        <f>STATS1003B!W684/1000</f>
        <v>0</v>
      </c>
      <c r="X684" s="85">
        <f t="shared" si="89"/>
        <v>1881.6422</v>
      </c>
      <c r="Y684" s="85">
        <f>STATS1003B!Y684/1000</f>
        <v>0</v>
      </c>
      <c r="Z684" s="85">
        <f t="shared" si="92"/>
        <v>0</v>
      </c>
      <c r="AA684" s="69">
        <f>STATS1003B!AA684/1000</f>
        <v>1881.6422</v>
      </c>
      <c r="AB684" s="69">
        <f>STATS1003B!AB684/1000</f>
        <v>0</v>
      </c>
    </row>
    <row r="685" spans="1:28" hidden="1" x14ac:dyDescent="0.3">
      <c r="A685" s="117"/>
      <c r="C685" s="68" t="s">
        <v>577</v>
      </c>
      <c r="E685" s="85">
        <f>STATS1003B!E685/1000</f>
        <v>5334.8176900000008</v>
      </c>
      <c r="F685" s="85">
        <f>STATS1003B!F685/1000</f>
        <v>5334.8176900000008</v>
      </c>
      <c r="G685" s="85">
        <f>STATS1003B!G685/1000</f>
        <v>0</v>
      </c>
      <c r="H685" s="85">
        <f>STATS1003B!H685/1000</f>
        <v>5334.8176900000008</v>
      </c>
      <c r="I685" s="85">
        <f>STATS1003B!I685/1000</f>
        <v>0</v>
      </c>
      <c r="J685" s="85">
        <f>STATS1003B!J685/1000</f>
        <v>5334.8176900000008</v>
      </c>
      <c r="K685" s="85">
        <f>STATS1003B!K685/1000</f>
        <v>0</v>
      </c>
      <c r="L685" s="85">
        <f>STATS1003B!L685/1000</f>
        <v>0</v>
      </c>
      <c r="M685" s="85">
        <f>STATS1003B!M685/1000</f>
        <v>5334.8176900000008</v>
      </c>
      <c r="N685" s="85">
        <f>STATS1003B!N685/1000</f>
        <v>0</v>
      </c>
      <c r="O685" s="85">
        <f>STATS1003B!O685/1000</f>
        <v>0</v>
      </c>
      <c r="P685" s="85">
        <f>STATS1003B!P685/1000</f>
        <v>0</v>
      </c>
      <c r="Q685" s="85">
        <f>STATS1003B!Q685/1000</f>
        <v>0</v>
      </c>
      <c r="R685" s="85">
        <f>STATS1003B!R685/1000</f>
        <v>0</v>
      </c>
      <c r="S685" s="85">
        <f>STATS1003B!S685/1000</f>
        <v>0</v>
      </c>
      <c r="T685" s="85">
        <f>STATS1003B!T685/1000</f>
        <v>0</v>
      </c>
      <c r="U685" s="85">
        <f>STATS1003B!U685/1000</f>
        <v>0</v>
      </c>
      <c r="V685" s="85">
        <f>STATS1003B!V685/1000</f>
        <v>5334.8176900000008</v>
      </c>
      <c r="W685" s="85">
        <f>STATS1003B!W685/1000</f>
        <v>0</v>
      </c>
      <c r="X685" s="85">
        <f t="shared" si="89"/>
        <v>5334.8176900000008</v>
      </c>
      <c r="Y685" s="85">
        <f>STATS1003B!Y685/1000</f>
        <v>0</v>
      </c>
      <c r="Z685" s="85">
        <f t="shared" si="92"/>
        <v>0</v>
      </c>
      <c r="AA685" s="69">
        <f>STATS1003B!AA685/1000</f>
        <v>5334.8176900000008</v>
      </c>
      <c r="AB685" s="69">
        <f>STATS1003B!AB685/1000</f>
        <v>0</v>
      </c>
    </row>
    <row r="686" spans="1:28" hidden="1" x14ac:dyDescent="0.3">
      <c r="A686" s="117"/>
      <c r="C686" s="68" t="s">
        <v>550</v>
      </c>
      <c r="E686" s="85">
        <f>STATS1003B!E686/1000</f>
        <v>910.16600000000005</v>
      </c>
      <c r="F686" s="85">
        <f>STATS1003B!F686/1000</f>
        <v>910.16600000000005</v>
      </c>
      <c r="G686" s="85">
        <f>STATS1003B!G686/1000</f>
        <v>0</v>
      </c>
      <c r="H686" s="85">
        <f>STATS1003B!H686/1000</f>
        <v>910.16600000000005</v>
      </c>
      <c r="I686" s="85">
        <f>STATS1003B!I686/1000</f>
        <v>0</v>
      </c>
      <c r="J686" s="85">
        <f>STATS1003B!J686/1000</f>
        <v>910.16600000000005</v>
      </c>
      <c r="K686" s="85">
        <f>STATS1003B!K686/1000</f>
        <v>0</v>
      </c>
      <c r="L686" s="85">
        <f>STATS1003B!L686/1000</f>
        <v>0</v>
      </c>
      <c r="M686" s="85">
        <f>STATS1003B!M686/1000</f>
        <v>910.16600000000005</v>
      </c>
      <c r="N686" s="85">
        <f>STATS1003B!N686/1000</f>
        <v>0</v>
      </c>
      <c r="O686" s="85">
        <f>STATS1003B!O686/1000</f>
        <v>0</v>
      </c>
      <c r="P686" s="85">
        <f>STATS1003B!P686/1000</f>
        <v>0</v>
      </c>
      <c r="Q686" s="85">
        <f>STATS1003B!Q686/1000</f>
        <v>0</v>
      </c>
      <c r="R686" s="85">
        <f>STATS1003B!R686/1000</f>
        <v>0</v>
      </c>
      <c r="S686" s="85">
        <f>STATS1003B!S686/1000</f>
        <v>0</v>
      </c>
      <c r="T686" s="85">
        <f>STATS1003B!T686/1000</f>
        <v>0</v>
      </c>
      <c r="U686" s="85">
        <f>STATS1003B!U686/1000</f>
        <v>0</v>
      </c>
      <c r="V686" s="85">
        <f>STATS1003B!V686/1000</f>
        <v>910.16600000000005</v>
      </c>
      <c r="W686" s="85">
        <f>STATS1003B!W686/1000</f>
        <v>0</v>
      </c>
      <c r="X686" s="85">
        <f t="shared" si="89"/>
        <v>910.16600000000005</v>
      </c>
      <c r="Y686" s="85">
        <f>STATS1003B!Y686/1000</f>
        <v>0</v>
      </c>
      <c r="Z686" s="85">
        <f t="shared" si="92"/>
        <v>0</v>
      </c>
      <c r="AA686" s="69">
        <f>STATS1003B!AA686/1000</f>
        <v>910.16600000000005</v>
      </c>
      <c r="AB686" s="69">
        <f>STATS1003B!AB686/1000</f>
        <v>0</v>
      </c>
    </row>
    <row r="687" spans="1:28" hidden="1" x14ac:dyDescent="0.3">
      <c r="A687" s="117"/>
      <c r="C687" s="68" t="s">
        <v>569</v>
      </c>
      <c r="E687" s="85">
        <f>STATS1003B!E687/1000</f>
        <v>2856.83</v>
      </c>
      <c r="F687" s="85">
        <f>STATS1003B!F687/1000</f>
        <v>2856.83</v>
      </c>
      <c r="G687" s="85">
        <f>STATS1003B!G687/1000</f>
        <v>0</v>
      </c>
      <c r="H687" s="85">
        <f>STATS1003B!H687/1000</f>
        <v>2856.83</v>
      </c>
      <c r="I687" s="85">
        <f>STATS1003B!I687/1000</f>
        <v>0</v>
      </c>
      <c r="J687" s="85">
        <f>STATS1003B!J687/1000</f>
        <v>2856.83</v>
      </c>
      <c r="K687" s="85">
        <f>STATS1003B!K687/1000</f>
        <v>0</v>
      </c>
      <c r="L687" s="85">
        <f>STATS1003B!L687/1000</f>
        <v>0</v>
      </c>
      <c r="M687" s="85">
        <f>STATS1003B!M687/1000</f>
        <v>2856.83</v>
      </c>
      <c r="N687" s="85">
        <f>STATS1003B!N687/1000</f>
        <v>0</v>
      </c>
      <c r="O687" s="85">
        <f>STATS1003B!O687/1000</f>
        <v>0</v>
      </c>
      <c r="P687" s="85">
        <f>STATS1003B!P687/1000</f>
        <v>0</v>
      </c>
      <c r="Q687" s="85">
        <f>STATS1003B!Q687/1000</f>
        <v>0</v>
      </c>
      <c r="R687" s="85">
        <f>STATS1003B!R687/1000</f>
        <v>0</v>
      </c>
      <c r="S687" s="85">
        <f>STATS1003B!S687/1000</f>
        <v>0</v>
      </c>
      <c r="T687" s="85">
        <f>STATS1003B!T687/1000</f>
        <v>0</v>
      </c>
      <c r="U687" s="85">
        <f>STATS1003B!U687/1000</f>
        <v>0</v>
      </c>
      <c r="V687" s="85">
        <f>STATS1003B!V687/1000</f>
        <v>2856.83</v>
      </c>
      <c r="W687" s="85">
        <f>STATS1003B!W687/1000</f>
        <v>0</v>
      </c>
      <c r="X687" s="85">
        <f t="shared" si="89"/>
        <v>2856.83</v>
      </c>
      <c r="Y687" s="85">
        <f>STATS1003B!Y687/1000</f>
        <v>0</v>
      </c>
      <c r="Z687" s="85">
        <f t="shared" si="92"/>
        <v>0</v>
      </c>
      <c r="AA687" s="69">
        <f>STATS1003B!AA687/1000</f>
        <v>2856.83</v>
      </c>
      <c r="AB687" s="69">
        <f>STATS1003B!AB687/1000</f>
        <v>0</v>
      </c>
    </row>
    <row r="688" spans="1:28" hidden="1" x14ac:dyDescent="0.3">
      <c r="A688" s="117"/>
      <c r="C688" s="68" t="s">
        <v>551</v>
      </c>
      <c r="E688" s="85">
        <f>STATS1003B!E688/1000</f>
        <v>2135.6354300000003</v>
      </c>
      <c r="F688" s="85">
        <f>STATS1003B!F688/1000</f>
        <v>2135.6354300000003</v>
      </c>
      <c r="G688" s="85">
        <f>STATS1003B!G688/1000</f>
        <v>0</v>
      </c>
      <c r="H688" s="85">
        <f>STATS1003B!H688/1000</f>
        <v>2135.6354300000003</v>
      </c>
      <c r="I688" s="85">
        <f>STATS1003B!I688/1000</f>
        <v>0</v>
      </c>
      <c r="J688" s="85">
        <f>STATS1003B!J688/1000</f>
        <v>2135.6354300000003</v>
      </c>
      <c r="K688" s="85">
        <f>STATS1003B!K688/1000</f>
        <v>0</v>
      </c>
      <c r="L688" s="85">
        <f>STATS1003B!L688/1000</f>
        <v>0</v>
      </c>
      <c r="M688" s="85">
        <f>STATS1003B!M688/1000</f>
        <v>2135.6354300000003</v>
      </c>
      <c r="N688" s="85">
        <f>STATS1003B!N688/1000</f>
        <v>0</v>
      </c>
      <c r="O688" s="85">
        <f>STATS1003B!O688/1000</f>
        <v>0</v>
      </c>
      <c r="P688" s="85">
        <f>STATS1003B!P688/1000</f>
        <v>0</v>
      </c>
      <c r="Q688" s="85">
        <f>STATS1003B!Q688/1000</f>
        <v>0</v>
      </c>
      <c r="R688" s="85">
        <f>STATS1003B!R688/1000</f>
        <v>0</v>
      </c>
      <c r="S688" s="85">
        <f>STATS1003B!S688/1000</f>
        <v>0</v>
      </c>
      <c r="T688" s="85">
        <f>STATS1003B!T688/1000</f>
        <v>0</v>
      </c>
      <c r="U688" s="85">
        <f>STATS1003B!U688/1000</f>
        <v>0</v>
      </c>
      <c r="V688" s="85">
        <f>STATS1003B!V688/1000</f>
        <v>2135.6354300000003</v>
      </c>
      <c r="W688" s="85">
        <f>STATS1003B!W688/1000</f>
        <v>0</v>
      </c>
      <c r="X688" s="85">
        <f t="shared" si="89"/>
        <v>2135.6354300000003</v>
      </c>
      <c r="Y688" s="85">
        <f>STATS1003B!Y688/1000</f>
        <v>0</v>
      </c>
      <c r="Z688" s="85">
        <f t="shared" si="92"/>
        <v>0</v>
      </c>
      <c r="AA688" s="69">
        <f>STATS1003B!AA688/1000</f>
        <v>2135.6354300000003</v>
      </c>
      <c r="AB688" s="69">
        <f>STATS1003B!AB688/1000</f>
        <v>0</v>
      </c>
    </row>
    <row r="689" spans="1:28" hidden="1" x14ac:dyDescent="0.3">
      <c r="A689" s="117"/>
      <c r="C689" s="68" t="s">
        <v>606</v>
      </c>
      <c r="E689" s="85">
        <f>STATS1003B!E689/1000</f>
        <v>5000</v>
      </c>
      <c r="F689" s="85">
        <f>STATS1003B!F689/1000</f>
        <v>5000</v>
      </c>
      <c r="G689" s="85">
        <f>STATS1003B!G689/1000</f>
        <v>0</v>
      </c>
      <c r="H689" s="85">
        <f>STATS1003B!H689/1000</f>
        <v>5000</v>
      </c>
      <c r="I689" s="85">
        <f>STATS1003B!I689/1000</f>
        <v>0</v>
      </c>
      <c r="J689" s="85">
        <f>STATS1003B!J689/1000</f>
        <v>5000</v>
      </c>
      <c r="K689" s="85">
        <f>STATS1003B!K689/1000</f>
        <v>0</v>
      </c>
      <c r="L689" s="85">
        <f>STATS1003B!L689/1000</f>
        <v>0</v>
      </c>
      <c r="M689" s="85">
        <f>STATS1003B!M689/1000</f>
        <v>5000</v>
      </c>
      <c r="N689" s="85">
        <f>STATS1003B!N689/1000</f>
        <v>0</v>
      </c>
      <c r="O689" s="85">
        <f>STATS1003B!O689/1000</f>
        <v>0</v>
      </c>
      <c r="P689" s="85">
        <f>STATS1003B!P689/1000</f>
        <v>0</v>
      </c>
      <c r="Q689" s="85">
        <f>STATS1003B!Q689/1000</f>
        <v>0</v>
      </c>
      <c r="R689" s="85">
        <f>STATS1003B!R689/1000</f>
        <v>0</v>
      </c>
      <c r="S689" s="85">
        <f>STATS1003B!S689/1000</f>
        <v>0</v>
      </c>
      <c r="T689" s="85">
        <f>STATS1003B!T689/1000</f>
        <v>0</v>
      </c>
      <c r="U689" s="85">
        <f>STATS1003B!U689/1000</f>
        <v>0</v>
      </c>
      <c r="V689" s="85">
        <f>STATS1003B!V689/1000</f>
        <v>5000</v>
      </c>
      <c r="W689" s="85">
        <f>STATS1003B!W689/1000</f>
        <v>0</v>
      </c>
      <c r="X689" s="85">
        <f t="shared" si="89"/>
        <v>5000</v>
      </c>
      <c r="Y689" s="85">
        <f>STATS1003B!Y689/1000</f>
        <v>0</v>
      </c>
      <c r="Z689" s="85">
        <f t="shared" si="92"/>
        <v>0</v>
      </c>
      <c r="AA689" s="69">
        <f>STATS1003B!AA689/1000</f>
        <v>5000</v>
      </c>
      <c r="AB689" s="69">
        <f>STATS1003B!AB689/1000</f>
        <v>0</v>
      </c>
    </row>
    <row r="690" spans="1:28" hidden="1" x14ac:dyDescent="0.3">
      <c r="A690" s="117"/>
      <c r="E690" s="86" t="s">
        <v>29</v>
      </c>
      <c r="F690" s="86" t="s">
        <v>29</v>
      </c>
      <c r="G690" s="86" t="s">
        <v>29</v>
      </c>
      <c r="H690" s="86" t="s">
        <v>29</v>
      </c>
      <c r="I690" s="86" t="s">
        <v>29</v>
      </c>
      <c r="J690" s="86" t="s">
        <v>29</v>
      </c>
      <c r="K690" s="86" t="s">
        <v>29</v>
      </c>
      <c r="L690" s="86" t="s">
        <v>29</v>
      </c>
      <c r="M690" s="86" t="s">
        <v>29</v>
      </c>
      <c r="N690" s="86" t="s">
        <v>29</v>
      </c>
      <c r="O690" s="86" t="s">
        <v>29</v>
      </c>
      <c r="P690" s="86" t="s">
        <v>29</v>
      </c>
      <c r="Q690" s="86" t="s">
        <v>29</v>
      </c>
      <c r="R690" s="86" t="s">
        <v>29</v>
      </c>
      <c r="S690" s="86" t="s">
        <v>29</v>
      </c>
      <c r="T690" s="86" t="s">
        <v>29</v>
      </c>
      <c r="U690" s="86" t="s">
        <v>29</v>
      </c>
      <c r="V690" s="86" t="s">
        <v>29</v>
      </c>
      <c r="W690" s="86" t="s">
        <v>29</v>
      </c>
      <c r="X690" s="85" t="e">
        <f t="shared" si="89"/>
        <v>#VALUE!</v>
      </c>
      <c r="Y690" s="86" t="s">
        <v>29</v>
      </c>
      <c r="Z690" s="85" t="e">
        <f t="shared" si="92"/>
        <v>#VALUE!</v>
      </c>
      <c r="AA690" s="115" t="s">
        <v>29</v>
      </c>
      <c r="AB690" s="115" t="s">
        <v>29</v>
      </c>
    </row>
    <row r="691" spans="1:28" x14ac:dyDescent="0.3">
      <c r="A691" s="116">
        <v>33</v>
      </c>
      <c r="B691" s="68" t="s">
        <v>599</v>
      </c>
      <c r="E691" s="85">
        <f>219277769.64/1000</f>
        <v>219277.76963999998</v>
      </c>
      <c r="F691" s="85">
        <f t="shared" ref="F691:Q691" si="93">SUM(F664:F690)</f>
        <v>63025.196210000002</v>
      </c>
      <c r="G691" s="85">
        <f t="shared" si="93"/>
        <v>1881.6422</v>
      </c>
      <c r="H691" s="85">
        <f>211105200.89/1000</f>
        <v>211105.20088999998</v>
      </c>
      <c r="I691" s="85">
        <f t="shared" si="93"/>
        <v>4051.5831699999999</v>
      </c>
      <c r="J691" s="85">
        <f t="shared" si="93"/>
        <v>63977.624190000002</v>
      </c>
      <c r="K691" s="85">
        <f t="shared" si="93"/>
        <v>4120.9855800000005</v>
      </c>
      <c r="L691" s="85">
        <f t="shared" si="93"/>
        <v>4051.5831699999999</v>
      </c>
      <c r="M691" s="85">
        <f t="shared" si="93"/>
        <v>68958.421579999995</v>
      </c>
      <c r="N691" s="85">
        <f t="shared" si="93"/>
        <v>4120.9855800000005</v>
      </c>
      <c r="O691" s="85">
        <f t="shared" si="93"/>
        <v>0</v>
      </c>
      <c r="P691" s="85">
        <f>4120985/1000</f>
        <v>4120.9849999999997</v>
      </c>
      <c r="Q691" s="85">
        <f t="shared" si="93"/>
        <v>0</v>
      </c>
      <c r="R691" s="86"/>
      <c r="S691" s="86"/>
      <c r="T691" s="85">
        <f t="shared" ref="T691:Y691" si="94">SUM(T664:T690)</f>
        <v>0</v>
      </c>
      <c r="U691" s="85">
        <f t="shared" si="94"/>
        <v>4120.9855800000005</v>
      </c>
      <c r="V691" s="85">
        <f t="shared" si="94"/>
        <v>64047.026600000005</v>
      </c>
      <c r="W691" s="85">
        <f t="shared" si="94"/>
        <v>4051.5831699999999</v>
      </c>
      <c r="X691" s="85">
        <f t="shared" si="89"/>
        <v>215226.18588999996</v>
      </c>
      <c r="Y691" s="85">
        <f t="shared" si="94"/>
        <v>0</v>
      </c>
      <c r="Z691" s="85">
        <f t="shared" si="92"/>
        <v>4051.5837500000198</v>
      </c>
      <c r="AA691" s="69">
        <f>SUM(AA664:AA690)</f>
        <v>73079.407159999988</v>
      </c>
      <c r="AB691" s="69">
        <f>SUM(AB664:AB690)</f>
        <v>0</v>
      </c>
    </row>
    <row r="692" spans="1:28" hidden="1" x14ac:dyDescent="0.3">
      <c r="A692" s="117"/>
      <c r="E692" s="86" t="s">
        <v>29</v>
      </c>
      <c r="F692" s="86" t="s">
        <v>29</v>
      </c>
      <c r="G692" s="86" t="s">
        <v>29</v>
      </c>
      <c r="H692" s="86" t="s">
        <v>29</v>
      </c>
      <c r="I692" s="86" t="s">
        <v>29</v>
      </c>
      <c r="J692" s="86" t="s">
        <v>29</v>
      </c>
      <c r="K692" s="86" t="s">
        <v>29</v>
      </c>
      <c r="L692" s="86" t="s">
        <v>29</v>
      </c>
      <c r="M692" s="86" t="s">
        <v>29</v>
      </c>
      <c r="N692" s="86" t="s">
        <v>29</v>
      </c>
      <c r="O692" s="86" t="s">
        <v>29</v>
      </c>
      <c r="P692" s="86" t="s">
        <v>29</v>
      </c>
      <c r="Q692" s="86" t="s">
        <v>29</v>
      </c>
      <c r="R692" s="86" t="s">
        <v>29</v>
      </c>
      <c r="S692" s="86" t="s">
        <v>29</v>
      </c>
      <c r="T692" s="86" t="s">
        <v>29</v>
      </c>
      <c r="U692" s="86" t="s">
        <v>29</v>
      </c>
      <c r="V692" s="86" t="s">
        <v>29</v>
      </c>
      <c r="W692" s="86" t="s">
        <v>29</v>
      </c>
      <c r="X692" s="85" t="e">
        <f t="shared" si="89"/>
        <v>#VALUE!</v>
      </c>
      <c r="Y692" s="86" t="s">
        <v>29</v>
      </c>
      <c r="Z692" s="85" t="e">
        <f t="shared" si="92"/>
        <v>#VALUE!</v>
      </c>
      <c r="AA692" s="115" t="s">
        <v>29</v>
      </c>
      <c r="AB692" s="115" t="s">
        <v>29</v>
      </c>
    </row>
    <row r="693" spans="1:28" hidden="1" x14ac:dyDescent="0.3">
      <c r="A693" s="105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6"/>
      <c r="S693" s="86"/>
      <c r="T693" s="86"/>
      <c r="U693" s="86"/>
      <c r="V693" s="86"/>
      <c r="W693" s="86"/>
      <c r="X693" s="85">
        <f t="shared" si="89"/>
        <v>0</v>
      </c>
      <c r="Y693" s="86"/>
      <c r="Z693" s="85">
        <f t="shared" si="92"/>
        <v>0</v>
      </c>
      <c r="AA693" s="118"/>
    </row>
    <row r="694" spans="1:28" hidden="1" x14ac:dyDescent="0.3">
      <c r="A694" s="117"/>
      <c r="C694" s="68" t="s">
        <v>608</v>
      </c>
      <c r="D694" s="87" t="s">
        <v>76</v>
      </c>
      <c r="E694" s="85">
        <f>STATS1003B!E694/1000</f>
        <v>3228.3827700000002</v>
      </c>
      <c r="F694" s="85">
        <f>STATS1003B!F694/1000</f>
        <v>3207.0488700000001</v>
      </c>
      <c r="G694" s="85">
        <f>STATS1003B!G694/1000</f>
        <v>0</v>
      </c>
      <c r="H694" s="85">
        <f>STATS1003B!H694/1000</f>
        <v>3207.0488700000001</v>
      </c>
      <c r="I694" s="85">
        <f>STATS1003B!I694/1000</f>
        <v>0</v>
      </c>
      <c r="J694" s="85">
        <f>STATS1003B!J694/1000</f>
        <v>3207.0488700000001</v>
      </c>
      <c r="K694" s="85">
        <f>STATS1003B!K694/1000</f>
        <v>21.333899999999996</v>
      </c>
      <c r="L694" s="85">
        <f>STATS1003B!L694/1000</f>
        <v>0</v>
      </c>
      <c r="M694" s="85">
        <f>STATS1003B!M694/1000</f>
        <v>3207.0488700000001</v>
      </c>
      <c r="N694" s="85">
        <f>STATS1003B!N694/1000</f>
        <v>21.3339</v>
      </c>
      <c r="O694" s="85">
        <f>STATS1003B!O694/1000</f>
        <v>0</v>
      </c>
      <c r="P694" s="85">
        <f>STATS1003B!P694/1000</f>
        <v>21.3339</v>
      </c>
      <c r="Q694" s="85">
        <f>STATS1003B!Q694/1000</f>
        <v>3207.0488700000001</v>
      </c>
      <c r="R694" s="85">
        <f>STATS1003B!R694/1000</f>
        <v>0</v>
      </c>
      <c r="S694" s="85">
        <f>STATS1003B!S694/1000</f>
        <v>0</v>
      </c>
      <c r="T694" s="85">
        <f>STATS1003B!T694/1000</f>
        <v>0</v>
      </c>
      <c r="U694" s="85">
        <f>STATS1003B!U694/1000</f>
        <v>21.3339</v>
      </c>
      <c r="V694" s="85">
        <f>STATS1003B!V694/1000</f>
        <v>3228.3827700000002</v>
      </c>
      <c r="W694" s="85">
        <f>STATS1003B!W694/1000</f>
        <v>0</v>
      </c>
      <c r="X694" s="85">
        <f t="shared" si="89"/>
        <v>3228.3827700000002</v>
      </c>
      <c r="Y694" s="85">
        <f>STATS1003B!Y694/1000</f>
        <v>0</v>
      </c>
      <c r="Z694" s="85">
        <f t="shared" si="92"/>
        <v>0</v>
      </c>
      <c r="AA694" s="69">
        <f>STATS1003B!AA694/1000</f>
        <v>3228.3827700000002</v>
      </c>
      <c r="AB694" s="69">
        <f>STATS1003B!AB694/1000</f>
        <v>0</v>
      </c>
    </row>
    <row r="695" spans="1:28" hidden="1" x14ac:dyDescent="0.3">
      <c r="A695" s="117"/>
      <c r="C695" s="68" t="s">
        <v>608</v>
      </c>
      <c r="D695" s="87" t="s">
        <v>150</v>
      </c>
      <c r="E695" s="85">
        <f>STATS1003B!E695/1000</f>
        <v>5997</v>
      </c>
      <c r="F695" s="85">
        <f>STATS1003B!F695/1000</f>
        <v>5997</v>
      </c>
      <c r="G695" s="85">
        <f>STATS1003B!G695/1000</f>
        <v>0</v>
      </c>
      <c r="H695" s="85">
        <f>STATS1003B!H695/1000</f>
        <v>5997</v>
      </c>
      <c r="I695" s="85">
        <f>STATS1003B!I695/1000</f>
        <v>0</v>
      </c>
      <c r="J695" s="85">
        <f>STATS1003B!J695/1000</f>
        <v>5997</v>
      </c>
      <c r="K695" s="85">
        <f>STATS1003B!K695/1000</f>
        <v>0</v>
      </c>
      <c r="L695" s="85">
        <f>STATS1003B!L695/1000</f>
        <v>0</v>
      </c>
      <c r="M695" s="85">
        <f>STATS1003B!M695/1000</f>
        <v>5997</v>
      </c>
      <c r="N695" s="85">
        <f>STATS1003B!N695/1000</f>
        <v>0</v>
      </c>
      <c r="O695" s="85">
        <f>STATS1003B!O695/1000</f>
        <v>0</v>
      </c>
      <c r="P695" s="85">
        <f>STATS1003B!P695/1000</f>
        <v>0</v>
      </c>
      <c r="Q695" s="85">
        <f>STATS1003B!Q695/1000</f>
        <v>5997</v>
      </c>
      <c r="R695" s="85">
        <f>STATS1003B!R695/1000</f>
        <v>0</v>
      </c>
      <c r="S695" s="85">
        <f>STATS1003B!S695/1000</f>
        <v>0</v>
      </c>
      <c r="T695" s="85">
        <f>STATS1003B!T695/1000</f>
        <v>0</v>
      </c>
      <c r="U695" s="85">
        <f>STATS1003B!U695/1000</f>
        <v>0</v>
      </c>
      <c r="V695" s="85">
        <f>STATS1003B!V695/1000</f>
        <v>5997</v>
      </c>
      <c r="W695" s="85">
        <f>STATS1003B!W695/1000</f>
        <v>0</v>
      </c>
      <c r="X695" s="85">
        <f t="shared" si="89"/>
        <v>5997</v>
      </c>
      <c r="Y695" s="85">
        <f>STATS1003B!Y695/1000</f>
        <v>0</v>
      </c>
      <c r="Z695" s="85">
        <f t="shared" si="92"/>
        <v>0</v>
      </c>
      <c r="AA695" s="69">
        <f>STATS1003B!AA695/1000</f>
        <v>5997</v>
      </c>
      <c r="AB695" s="69">
        <f>STATS1003B!AB695/1000</f>
        <v>0</v>
      </c>
    </row>
    <row r="696" spans="1:28" hidden="1" x14ac:dyDescent="0.3">
      <c r="A696" s="117"/>
      <c r="C696" s="68" t="s">
        <v>609</v>
      </c>
      <c r="D696" s="87" t="s">
        <v>166</v>
      </c>
      <c r="E696" s="85">
        <f>STATS1003B!E696/1000</f>
        <v>2832.5366400000003</v>
      </c>
      <c r="F696" s="85">
        <f>STATS1003B!F696/1000</f>
        <v>2820.9381200000003</v>
      </c>
      <c r="G696" s="85">
        <f>STATS1003B!G696/1000</f>
        <v>0</v>
      </c>
      <c r="H696" s="85">
        <f>STATS1003B!H696/1000</f>
        <v>2820.9381200000003</v>
      </c>
      <c r="I696" s="85">
        <f>STATS1003B!I696/1000</f>
        <v>0</v>
      </c>
      <c r="J696" s="85">
        <f>STATS1003B!J696/1000</f>
        <v>2820.9381200000003</v>
      </c>
      <c r="K696" s="85">
        <f>STATS1003B!K696/1000</f>
        <v>11.598520000000001</v>
      </c>
      <c r="L696" s="85">
        <f>STATS1003B!L696/1000</f>
        <v>0</v>
      </c>
      <c r="M696" s="85">
        <f>STATS1003B!M696/1000</f>
        <v>2820.9381200000003</v>
      </c>
      <c r="N696" s="85">
        <f>STATS1003B!N696/1000</f>
        <v>11.598520000000001</v>
      </c>
      <c r="O696" s="85">
        <f>STATS1003B!O696/1000</f>
        <v>0</v>
      </c>
      <c r="P696" s="85">
        <f>STATS1003B!P696/1000</f>
        <v>11.598520000000001</v>
      </c>
      <c r="Q696" s="85">
        <f>STATS1003B!Q696/1000</f>
        <v>2820.9381200000003</v>
      </c>
      <c r="R696" s="85">
        <f>STATS1003B!R696/1000</f>
        <v>0</v>
      </c>
      <c r="S696" s="85">
        <f>STATS1003B!S696/1000</f>
        <v>0</v>
      </c>
      <c r="T696" s="85">
        <f>STATS1003B!T696/1000</f>
        <v>0</v>
      </c>
      <c r="U696" s="85">
        <f>STATS1003B!U696/1000</f>
        <v>11.598520000000001</v>
      </c>
      <c r="V696" s="85">
        <f>STATS1003B!V696/1000</f>
        <v>2832.5366400000003</v>
      </c>
      <c r="W696" s="85">
        <f>STATS1003B!W696/1000</f>
        <v>0</v>
      </c>
      <c r="X696" s="85">
        <f t="shared" si="89"/>
        <v>2832.5366400000003</v>
      </c>
      <c r="Y696" s="85">
        <f>STATS1003B!Y696/1000</f>
        <v>0</v>
      </c>
      <c r="Z696" s="85">
        <f t="shared" si="92"/>
        <v>0</v>
      </c>
      <c r="AA696" s="69">
        <f>STATS1003B!AA696/1000</f>
        <v>2832.5366400000003</v>
      </c>
      <c r="AB696" s="69">
        <f>STATS1003B!AB696/1000</f>
        <v>0</v>
      </c>
    </row>
    <row r="697" spans="1:28" hidden="1" x14ac:dyDescent="0.3">
      <c r="A697" s="117"/>
      <c r="C697" s="68" t="s">
        <v>610</v>
      </c>
      <c r="D697" s="87" t="s">
        <v>166</v>
      </c>
      <c r="E697" s="85">
        <f>STATS1003B!E697/1000</f>
        <v>3459</v>
      </c>
      <c r="F697" s="85">
        <f>STATS1003B!F697/1000</f>
        <v>3458.5568199999998</v>
      </c>
      <c r="G697" s="85">
        <f>STATS1003B!G697/1000</f>
        <v>0</v>
      </c>
      <c r="H697" s="85">
        <f>STATS1003B!H697/1000</f>
        <v>3458.5568199999998</v>
      </c>
      <c r="I697" s="85">
        <f>STATS1003B!I697/1000</f>
        <v>0</v>
      </c>
      <c r="J697" s="85">
        <f>STATS1003B!J697/1000</f>
        <v>3458.5568199999998</v>
      </c>
      <c r="K697" s="85">
        <f>STATS1003B!K697/1000</f>
        <v>0.44318000000000002</v>
      </c>
      <c r="L697" s="85">
        <f>STATS1003B!L697/1000</f>
        <v>0</v>
      </c>
      <c r="M697" s="85">
        <f>STATS1003B!M697/1000</f>
        <v>3458.5568199999998</v>
      </c>
      <c r="N697" s="85">
        <f>STATS1003B!N697/1000</f>
        <v>0.44318000000000002</v>
      </c>
      <c r="O697" s="85">
        <f>STATS1003B!O697/1000</f>
        <v>0</v>
      </c>
      <c r="P697" s="85">
        <f>STATS1003B!P697/1000</f>
        <v>0.44318000000000002</v>
      </c>
      <c r="Q697" s="85">
        <f>STATS1003B!Q697/1000</f>
        <v>3458.5568199999998</v>
      </c>
      <c r="R697" s="85">
        <f>STATS1003B!R697/1000</f>
        <v>0</v>
      </c>
      <c r="S697" s="85">
        <f>STATS1003B!S697/1000</f>
        <v>0</v>
      </c>
      <c r="T697" s="85">
        <f>STATS1003B!T697/1000</f>
        <v>0</v>
      </c>
      <c r="U697" s="85">
        <f>STATS1003B!U697/1000</f>
        <v>0.44318000000000002</v>
      </c>
      <c r="V697" s="85">
        <f>STATS1003B!V697/1000</f>
        <v>3459</v>
      </c>
      <c r="W697" s="85">
        <f>STATS1003B!W697/1000</f>
        <v>0</v>
      </c>
      <c r="X697" s="85">
        <f t="shared" si="89"/>
        <v>3459</v>
      </c>
      <c r="Y697" s="85">
        <f>STATS1003B!Y697/1000</f>
        <v>0</v>
      </c>
      <c r="Z697" s="85">
        <f t="shared" si="92"/>
        <v>0</v>
      </c>
      <c r="AA697" s="69">
        <f>STATS1003B!AA697/1000</f>
        <v>3459</v>
      </c>
      <c r="AB697" s="69">
        <f>STATS1003B!AB697/1000</f>
        <v>0</v>
      </c>
    </row>
    <row r="698" spans="1:28" hidden="1" x14ac:dyDescent="0.3">
      <c r="A698" s="117"/>
      <c r="C698" s="68" t="s">
        <v>539</v>
      </c>
      <c r="D698" s="87" t="s">
        <v>68</v>
      </c>
      <c r="E698" s="85">
        <f>STATS1003B!E698/1000</f>
        <v>1454.0656000000001</v>
      </c>
      <c r="F698" s="85">
        <f>STATS1003B!F698/1000</f>
        <v>0</v>
      </c>
      <c r="G698" s="85">
        <f>STATS1003B!G698/1000</f>
        <v>0</v>
      </c>
      <c r="H698" s="85">
        <f>STATS1003B!H698/1000</f>
        <v>0</v>
      </c>
      <c r="I698" s="85">
        <f>STATS1003B!I698/1000</f>
        <v>0</v>
      </c>
      <c r="J698" s="85">
        <f>STATS1003B!J698/1000</f>
        <v>0</v>
      </c>
      <c r="K698" s="85">
        <f>STATS1003B!K698/1000</f>
        <v>1454.0656000000001</v>
      </c>
      <c r="L698" s="85">
        <f>STATS1003B!L698/1000</f>
        <v>0</v>
      </c>
      <c r="M698" s="85">
        <f>STATS1003B!M698/1000</f>
        <v>0</v>
      </c>
      <c r="N698" s="85">
        <f>STATS1003B!N698/1000</f>
        <v>1454.0656000000001</v>
      </c>
      <c r="O698" s="85">
        <f>STATS1003B!O698/1000</f>
        <v>0</v>
      </c>
      <c r="P698" s="85">
        <f>STATS1003B!P698/1000</f>
        <v>1454.0656000000001</v>
      </c>
      <c r="Q698" s="85">
        <f>STATS1003B!Q698/1000</f>
        <v>0</v>
      </c>
      <c r="R698" s="85">
        <f>STATS1003B!R698/1000</f>
        <v>0</v>
      </c>
      <c r="S698" s="85">
        <f>STATS1003B!S698/1000</f>
        <v>0</v>
      </c>
      <c r="T698" s="85">
        <f>STATS1003B!T698/1000</f>
        <v>0</v>
      </c>
      <c r="U698" s="85">
        <f>STATS1003B!U698/1000</f>
        <v>1454.0656000000001</v>
      </c>
      <c r="V698" s="85">
        <f>STATS1003B!V698/1000</f>
        <v>1454.0656000000001</v>
      </c>
      <c r="W698" s="85">
        <f>STATS1003B!W698/1000</f>
        <v>0</v>
      </c>
      <c r="X698" s="85">
        <f t="shared" si="89"/>
        <v>1454.0656000000001</v>
      </c>
      <c r="Y698" s="85">
        <f>STATS1003B!Y698/1000</f>
        <v>0</v>
      </c>
      <c r="Z698" s="85">
        <f t="shared" si="92"/>
        <v>0</v>
      </c>
      <c r="AA698" s="69">
        <f>STATS1003B!AA698/1000</f>
        <v>1454.0656000000001</v>
      </c>
      <c r="AB698" s="69">
        <f>STATS1003B!AB698/1000</f>
        <v>0</v>
      </c>
    </row>
    <row r="699" spans="1:28" hidden="1" x14ac:dyDescent="0.3">
      <c r="A699" s="117"/>
      <c r="C699" s="68" t="s">
        <v>535</v>
      </c>
      <c r="D699" s="87" t="s">
        <v>68</v>
      </c>
      <c r="E699" s="85">
        <f>STATS1003B!E699/1000</f>
        <v>63.438330000000072</v>
      </c>
      <c r="F699" s="85">
        <f>STATS1003B!F699/1000</f>
        <v>0</v>
      </c>
      <c r="G699" s="85">
        <f>STATS1003B!G699/1000</f>
        <v>0</v>
      </c>
      <c r="H699" s="85">
        <f>STATS1003B!H699/1000</f>
        <v>0</v>
      </c>
      <c r="I699" s="85">
        <f>STATS1003B!I699/1000</f>
        <v>0</v>
      </c>
      <c r="J699" s="85">
        <f>STATS1003B!J699/1000</f>
        <v>0</v>
      </c>
      <c r="K699" s="85">
        <f>STATS1003B!K699/1000</f>
        <v>63.438330000000001</v>
      </c>
      <c r="L699" s="85">
        <f>STATS1003B!L699/1000</f>
        <v>0</v>
      </c>
      <c r="M699" s="85">
        <f>STATS1003B!M699/1000</f>
        <v>0</v>
      </c>
      <c r="N699" s="85">
        <f>STATS1003B!N699/1000</f>
        <v>63.438330000000001</v>
      </c>
      <c r="O699" s="85">
        <f>STATS1003B!O699/1000</f>
        <v>0</v>
      </c>
      <c r="P699" s="85">
        <f>STATS1003B!P699/1000</f>
        <v>63.438330000000001</v>
      </c>
      <c r="Q699" s="85">
        <f>STATS1003B!Q699/1000</f>
        <v>7.2759576141834261E-14</v>
      </c>
      <c r="R699" s="85">
        <f>STATS1003B!R699/1000</f>
        <v>0</v>
      </c>
      <c r="S699" s="85">
        <f>STATS1003B!S699/1000</f>
        <v>0</v>
      </c>
      <c r="T699" s="85">
        <f>STATS1003B!T699/1000</f>
        <v>0</v>
      </c>
      <c r="U699" s="85">
        <f>STATS1003B!U699/1000</f>
        <v>63.438330000000001</v>
      </c>
      <c r="V699" s="85">
        <f>STATS1003B!V699/1000</f>
        <v>63.438330000000001</v>
      </c>
      <c r="W699" s="85">
        <f>STATS1003B!W699/1000</f>
        <v>7.2759576141834261E-14</v>
      </c>
      <c r="X699" s="85">
        <f t="shared" si="89"/>
        <v>63.438330000000001</v>
      </c>
      <c r="Y699" s="85">
        <f>STATS1003B!Y699/1000</f>
        <v>0</v>
      </c>
      <c r="Z699" s="85">
        <f t="shared" si="92"/>
        <v>7.1054273576010019E-14</v>
      </c>
      <c r="AA699" s="69">
        <f>STATS1003B!AA699/1000</f>
        <v>63.438330000000001</v>
      </c>
      <c r="AB699" s="69">
        <f>STATS1003B!AB699/1000</f>
        <v>7.2759576141834261E-14</v>
      </c>
    </row>
    <row r="700" spans="1:28" hidden="1" x14ac:dyDescent="0.3">
      <c r="A700" s="117"/>
      <c r="C700" s="68" t="s">
        <v>600</v>
      </c>
      <c r="D700" s="87" t="s">
        <v>54</v>
      </c>
      <c r="E700" s="85">
        <f>STATS1003B!E700/1000</f>
        <v>543.875</v>
      </c>
      <c r="F700" s="85">
        <f>STATS1003B!F700/1000</f>
        <v>543.875</v>
      </c>
      <c r="G700" s="85">
        <f>STATS1003B!G700/1000</f>
        <v>0</v>
      </c>
      <c r="H700" s="85">
        <f>STATS1003B!H700/1000</f>
        <v>543.875</v>
      </c>
      <c r="I700" s="85">
        <f>STATS1003B!I700/1000</f>
        <v>0</v>
      </c>
      <c r="J700" s="85">
        <f>STATS1003B!J700/1000</f>
        <v>543.875</v>
      </c>
      <c r="K700" s="85">
        <f>STATS1003B!K700/1000</f>
        <v>0</v>
      </c>
      <c r="L700" s="85">
        <f>STATS1003B!L700/1000</f>
        <v>0</v>
      </c>
      <c r="M700" s="85">
        <f>STATS1003B!M700/1000</f>
        <v>543.875</v>
      </c>
      <c r="N700" s="85">
        <f>STATS1003B!N700/1000</f>
        <v>0</v>
      </c>
      <c r="O700" s="85">
        <f>STATS1003B!O700/1000</f>
        <v>0</v>
      </c>
      <c r="P700" s="85">
        <f>STATS1003B!P700/1000</f>
        <v>0</v>
      </c>
      <c r="Q700" s="85">
        <f>STATS1003B!Q700/1000</f>
        <v>543.875</v>
      </c>
      <c r="R700" s="85">
        <f>STATS1003B!R700/1000</f>
        <v>0</v>
      </c>
      <c r="S700" s="85">
        <f>STATS1003B!S700/1000</f>
        <v>0</v>
      </c>
      <c r="T700" s="85">
        <f>STATS1003B!T700/1000</f>
        <v>0</v>
      </c>
      <c r="U700" s="85">
        <f>STATS1003B!U700/1000</f>
        <v>0</v>
      </c>
      <c r="V700" s="85">
        <f>STATS1003B!V700/1000</f>
        <v>543.875</v>
      </c>
      <c r="W700" s="85">
        <f>STATS1003B!W700/1000</f>
        <v>0</v>
      </c>
      <c r="X700" s="85">
        <f t="shared" si="89"/>
        <v>543.875</v>
      </c>
      <c r="Y700" s="85">
        <f>STATS1003B!Y700/1000</f>
        <v>0</v>
      </c>
      <c r="Z700" s="85">
        <f t="shared" si="92"/>
        <v>0</v>
      </c>
      <c r="AA700" s="69">
        <f>STATS1003B!AA700/1000</f>
        <v>543.875</v>
      </c>
      <c r="AB700" s="69">
        <f>STATS1003B!AB700/1000</f>
        <v>0</v>
      </c>
    </row>
    <row r="701" spans="1:28" hidden="1" x14ac:dyDescent="0.3">
      <c r="A701" s="117"/>
      <c r="C701" s="68" t="s">
        <v>611</v>
      </c>
      <c r="D701" s="87" t="s">
        <v>54</v>
      </c>
      <c r="E701" s="85">
        <f>STATS1003B!E701/1000</f>
        <v>475</v>
      </c>
      <c r="F701" s="85">
        <f>STATS1003B!F701/1000</f>
        <v>475</v>
      </c>
      <c r="G701" s="85">
        <f>STATS1003B!G701/1000</f>
        <v>0</v>
      </c>
      <c r="H701" s="85">
        <f>STATS1003B!H701/1000</f>
        <v>475</v>
      </c>
      <c r="I701" s="85">
        <f>STATS1003B!I701/1000</f>
        <v>0</v>
      </c>
      <c r="J701" s="85">
        <f>STATS1003B!J701/1000</f>
        <v>475</v>
      </c>
      <c r="K701" s="85">
        <f>STATS1003B!K701/1000</f>
        <v>0</v>
      </c>
      <c r="L701" s="85">
        <f>STATS1003B!L701/1000</f>
        <v>0</v>
      </c>
      <c r="M701" s="85">
        <f>STATS1003B!M701/1000</f>
        <v>475</v>
      </c>
      <c r="N701" s="85">
        <f>STATS1003B!N701/1000</f>
        <v>0</v>
      </c>
      <c r="O701" s="85">
        <f>STATS1003B!O701/1000</f>
        <v>0</v>
      </c>
      <c r="P701" s="85">
        <f>STATS1003B!P701/1000</f>
        <v>0</v>
      </c>
      <c r="Q701" s="85">
        <f>STATS1003B!Q701/1000</f>
        <v>475</v>
      </c>
      <c r="R701" s="85">
        <f>STATS1003B!R701/1000</f>
        <v>0</v>
      </c>
      <c r="S701" s="85">
        <f>STATS1003B!S701/1000</f>
        <v>0</v>
      </c>
      <c r="T701" s="85">
        <f>STATS1003B!T701/1000</f>
        <v>0</v>
      </c>
      <c r="U701" s="85">
        <f>STATS1003B!U701/1000</f>
        <v>0</v>
      </c>
      <c r="V701" s="85">
        <f>STATS1003B!V701/1000</f>
        <v>475</v>
      </c>
      <c r="W701" s="85">
        <f>STATS1003B!W701/1000</f>
        <v>0</v>
      </c>
      <c r="X701" s="85">
        <f t="shared" si="89"/>
        <v>475</v>
      </c>
      <c r="Y701" s="85">
        <f>STATS1003B!Y701/1000</f>
        <v>0</v>
      </c>
      <c r="Z701" s="85">
        <f t="shared" si="92"/>
        <v>0</v>
      </c>
      <c r="AA701" s="69">
        <f>STATS1003B!AA701/1000</f>
        <v>475</v>
      </c>
      <c r="AB701" s="69">
        <f>STATS1003B!AB701/1000</f>
        <v>0</v>
      </c>
    </row>
    <row r="702" spans="1:28" hidden="1" x14ac:dyDescent="0.3">
      <c r="A702" s="117"/>
      <c r="C702" s="68" t="s">
        <v>545</v>
      </c>
      <c r="D702" s="87" t="s">
        <v>54</v>
      </c>
      <c r="E702" s="85">
        <f>STATS1003B!E702/1000</f>
        <v>1767.77</v>
      </c>
      <c r="F702" s="85">
        <f>STATS1003B!F702/1000</f>
        <v>0</v>
      </c>
      <c r="G702" s="85">
        <f>STATS1003B!G702/1000</f>
        <v>0</v>
      </c>
      <c r="H702" s="85">
        <f>STATS1003B!H702/1000</f>
        <v>0</v>
      </c>
      <c r="I702" s="85">
        <f>STATS1003B!I702/1000</f>
        <v>0</v>
      </c>
      <c r="J702" s="85">
        <f>STATS1003B!J702/1000</f>
        <v>0</v>
      </c>
      <c r="K702" s="85">
        <f>STATS1003B!K702/1000</f>
        <v>1767.77</v>
      </c>
      <c r="L702" s="85">
        <f>STATS1003B!L702/1000</f>
        <v>0</v>
      </c>
      <c r="M702" s="85">
        <f>STATS1003B!M702/1000</f>
        <v>0</v>
      </c>
      <c r="N702" s="85">
        <f>STATS1003B!N702/1000</f>
        <v>1767.77</v>
      </c>
      <c r="O702" s="85">
        <f>STATS1003B!O702/1000</f>
        <v>0</v>
      </c>
      <c r="P702" s="85">
        <f>STATS1003B!P702/1000</f>
        <v>1767.77</v>
      </c>
      <c r="Q702" s="85">
        <f>STATS1003B!Q702/1000</f>
        <v>0</v>
      </c>
      <c r="R702" s="85">
        <f>STATS1003B!R702/1000</f>
        <v>0</v>
      </c>
      <c r="S702" s="85">
        <f>STATS1003B!S702/1000</f>
        <v>0</v>
      </c>
      <c r="T702" s="85">
        <f>STATS1003B!T702/1000</f>
        <v>0</v>
      </c>
      <c r="U702" s="85">
        <f>STATS1003B!U702/1000</f>
        <v>1767.77</v>
      </c>
      <c r="V702" s="85">
        <f>STATS1003B!V702/1000</f>
        <v>1767.77</v>
      </c>
      <c r="W702" s="85">
        <f>STATS1003B!W702/1000</f>
        <v>0</v>
      </c>
      <c r="X702" s="85">
        <f t="shared" si="89"/>
        <v>1767.77</v>
      </c>
      <c r="Y702" s="85">
        <f>STATS1003B!Y702/1000</f>
        <v>0</v>
      </c>
      <c r="Z702" s="85">
        <f t="shared" si="92"/>
        <v>0</v>
      </c>
      <c r="AA702" s="69">
        <f>STATS1003B!AA702/1000</f>
        <v>1767.77</v>
      </c>
      <c r="AB702" s="69">
        <f>STATS1003B!AB702/1000</f>
        <v>0</v>
      </c>
    </row>
    <row r="703" spans="1:28" hidden="1" x14ac:dyDescent="0.3">
      <c r="A703" s="117"/>
      <c r="C703" s="68" t="s">
        <v>535</v>
      </c>
      <c r="D703" s="87" t="s">
        <v>85</v>
      </c>
      <c r="E703" s="85">
        <f>STATS1003B!E703/1000</f>
        <v>1025.0999999999999</v>
      </c>
      <c r="F703" s="85">
        <f>STATS1003B!F703/1000</f>
        <v>1025.0999999999999</v>
      </c>
      <c r="G703" s="85">
        <f>STATS1003B!G703/1000</f>
        <v>0</v>
      </c>
      <c r="H703" s="85">
        <f>STATS1003B!H703/1000</f>
        <v>1025.0999999999999</v>
      </c>
      <c r="I703" s="85">
        <f>STATS1003B!I703/1000</f>
        <v>0</v>
      </c>
      <c r="J703" s="85">
        <f>STATS1003B!J703/1000</f>
        <v>1025.0999999999999</v>
      </c>
      <c r="K703" s="85">
        <f>STATS1003B!K703/1000</f>
        <v>0</v>
      </c>
      <c r="L703" s="85">
        <f>STATS1003B!L703/1000</f>
        <v>0</v>
      </c>
      <c r="M703" s="85">
        <f>STATS1003B!M703/1000</f>
        <v>1025.0999999999999</v>
      </c>
      <c r="N703" s="85">
        <f>STATS1003B!N703/1000</f>
        <v>0</v>
      </c>
      <c r="O703" s="85">
        <f>STATS1003B!O703/1000</f>
        <v>0</v>
      </c>
      <c r="P703" s="85">
        <f>STATS1003B!P703/1000</f>
        <v>0</v>
      </c>
      <c r="Q703" s="85">
        <f>STATS1003B!Q703/1000</f>
        <v>1025.0999999999999</v>
      </c>
      <c r="R703" s="85">
        <f>STATS1003B!R703/1000</f>
        <v>0</v>
      </c>
      <c r="S703" s="85">
        <f>STATS1003B!S703/1000</f>
        <v>0</v>
      </c>
      <c r="T703" s="85">
        <f>STATS1003B!T703/1000</f>
        <v>0</v>
      </c>
      <c r="U703" s="85">
        <f>STATS1003B!U703/1000</f>
        <v>0</v>
      </c>
      <c r="V703" s="85">
        <f>STATS1003B!V703/1000</f>
        <v>1025.0999999999999</v>
      </c>
      <c r="W703" s="85">
        <f>STATS1003B!W703/1000</f>
        <v>0</v>
      </c>
      <c r="X703" s="85">
        <f t="shared" si="89"/>
        <v>1025.0999999999999</v>
      </c>
      <c r="Y703" s="85">
        <f>STATS1003B!Y703/1000</f>
        <v>0</v>
      </c>
      <c r="Z703" s="85">
        <f t="shared" si="92"/>
        <v>0</v>
      </c>
      <c r="AA703" s="69">
        <f>STATS1003B!AA703/1000</f>
        <v>1025.0999999999999</v>
      </c>
      <c r="AB703" s="69">
        <f>STATS1003B!AB703/1000</f>
        <v>0</v>
      </c>
    </row>
    <row r="704" spans="1:28" hidden="1" x14ac:dyDescent="0.3">
      <c r="A704" s="117"/>
      <c r="C704" s="68" t="s">
        <v>612</v>
      </c>
      <c r="D704" s="87" t="s">
        <v>85</v>
      </c>
      <c r="E704" s="85">
        <f>STATS1003B!E704/1000</f>
        <v>3010.3530000000001</v>
      </c>
      <c r="F704" s="85">
        <f>STATS1003B!F704/1000</f>
        <v>3010.3530000000001</v>
      </c>
      <c r="G704" s="85">
        <f>STATS1003B!G704/1000</f>
        <v>0</v>
      </c>
      <c r="H704" s="85">
        <f>STATS1003B!H704/1000</f>
        <v>3010.3530000000001</v>
      </c>
      <c r="I704" s="85">
        <f>STATS1003B!I704/1000</f>
        <v>0</v>
      </c>
      <c r="J704" s="85">
        <f>STATS1003B!J704/1000</f>
        <v>3010.3530000000001</v>
      </c>
      <c r="K704" s="85">
        <f>STATS1003B!K704/1000</f>
        <v>0</v>
      </c>
      <c r="L704" s="85">
        <f>STATS1003B!L704/1000</f>
        <v>0</v>
      </c>
      <c r="M704" s="85">
        <f>STATS1003B!M704/1000</f>
        <v>3010.3530000000001</v>
      </c>
      <c r="N704" s="85">
        <f>STATS1003B!N704/1000</f>
        <v>0</v>
      </c>
      <c r="O704" s="85">
        <f>STATS1003B!O704/1000</f>
        <v>0</v>
      </c>
      <c r="P704" s="85">
        <f>STATS1003B!P704/1000</f>
        <v>0</v>
      </c>
      <c r="Q704" s="85">
        <f>STATS1003B!Q704/1000</f>
        <v>3010.3530000000001</v>
      </c>
      <c r="R704" s="85">
        <f>STATS1003B!R704/1000</f>
        <v>0</v>
      </c>
      <c r="S704" s="85">
        <f>STATS1003B!S704/1000</f>
        <v>0</v>
      </c>
      <c r="T704" s="85">
        <f>STATS1003B!T704/1000</f>
        <v>0</v>
      </c>
      <c r="U704" s="85">
        <f>STATS1003B!U704/1000</f>
        <v>0</v>
      </c>
      <c r="V704" s="85">
        <f>STATS1003B!V704/1000</f>
        <v>3010.3530000000001</v>
      </c>
      <c r="W704" s="85">
        <f>STATS1003B!W704/1000</f>
        <v>0</v>
      </c>
      <c r="X704" s="85">
        <f t="shared" si="89"/>
        <v>3010.3530000000001</v>
      </c>
      <c r="Y704" s="85">
        <f>STATS1003B!Y704/1000</f>
        <v>0</v>
      </c>
      <c r="Z704" s="85">
        <f t="shared" si="92"/>
        <v>0</v>
      </c>
      <c r="AA704" s="69">
        <f>STATS1003B!AA704/1000</f>
        <v>3010.3530000000001</v>
      </c>
      <c r="AB704" s="69">
        <f>STATS1003B!AB704/1000</f>
        <v>0</v>
      </c>
    </row>
    <row r="705" spans="1:28" hidden="1" x14ac:dyDescent="0.3">
      <c r="A705" s="117"/>
      <c r="C705" s="68" t="s">
        <v>613</v>
      </c>
      <c r="D705" s="87" t="s">
        <v>85</v>
      </c>
      <c r="E705" s="85">
        <f>STATS1003B!E705/1000</f>
        <v>160</v>
      </c>
      <c r="F705" s="85">
        <f>STATS1003B!F705/1000</f>
        <v>0</v>
      </c>
      <c r="G705" s="85">
        <f>STATS1003B!G705/1000</f>
        <v>0</v>
      </c>
      <c r="H705" s="85">
        <f>STATS1003B!H705/1000</f>
        <v>0</v>
      </c>
      <c r="I705" s="85">
        <f>STATS1003B!I705/1000</f>
        <v>0</v>
      </c>
      <c r="J705" s="85">
        <f>STATS1003B!J705/1000</f>
        <v>0</v>
      </c>
      <c r="K705" s="85">
        <f>STATS1003B!K705/1000</f>
        <v>0</v>
      </c>
      <c r="L705" s="85">
        <f>STATS1003B!L705/1000</f>
        <v>0</v>
      </c>
      <c r="M705" s="85">
        <f>STATS1003B!M705/1000</f>
        <v>0</v>
      </c>
      <c r="N705" s="85">
        <f>STATS1003B!N705/1000</f>
        <v>0</v>
      </c>
      <c r="O705" s="85">
        <f>STATS1003B!O705/1000</f>
        <v>0</v>
      </c>
      <c r="P705" s="85">
        <f>STATS1003B!P705/1000</f>
        <v>0</v>
      </c>
      <c r="Q705" s="85">
        <f>STATS1003B!Q705/1000</f>
        <v>160</v>
      </c>
      <c r="R705" s="85">
        <f>STATS1003B!R705/1000</f>
        <v>0</v>
      </c>
      <c r="S705" s="85">
        <f>STATS1003B!S705/1000</f>
        <v>0</v>
      </c>
      <c r="T705" s="85">
        <f>STATS1003B!T705/1000</f>
        <v>0</v>
      </c>
      <c r="U705" s="85">
        <f>STATS1003B!U705/1000</f>
        <v>0</v>
      </c>
      <c r="V705" s="85">
        <f>STATS1003B!V705/1000</f>
        <v>0</v>
      </c>
      <c r="W705" s="85">
        <f>STATS1003B!W705/1000</f>
        <v>160</v>
      </c>
      <c r="X705" s="85">
        <f t="shared" si="89"/>
        <v>0</v>
      </c>
      <c r="Y705" s="85">
        <f>STATS1003B!Y705/1000</f>
        <v>0</v>
      </c>
      <c r="Z705" s="85">
        <f t="shared" si="92"/>
        <v>160</v>
      </c>
      <c r="AA705" s="69">
        <f>STATS1003B!AA705/1000</f>
        <v>0</v>
      </c>
      <c r="AB705" s="69">
        <f>STATS1003B!AB705/1000</f>
        <v>160</v>
      </c>
    </row>
    <row r="706" spans="1:28" hidden="1" x14ac:dyDescent="0.3">
      <c r="A706" s="117"/>
      <c r="C706" s="68" t="s">
        <v>566</v>
      </c>
      <c r="D706" s="87" t="s">
        <v>128</v>
      </c>
      <c r="E706" s="85">
        <f>STATS1003B!E706/1000</f>
        <v>2339.1</v>
      </c>
      <c r="F706" s="85">
        <f>STATS1003B!F706/1000</f>
        <v>2339.1</v>
      </c>
      <c r="G706" s="85">
        <f>STATS1003B!G706/1000</f>
        <v>0</v>
      </c>
      <c r="H706" s="85">
        <f>STATS1003B!H706/1000</f>
        <v>2339.1</v>
      </c>
      <c r="I706" s="85">
        <f>STATS1003B!I706/1000</f>
        <v>0</v>
      </c>
      <c r="J706" s="85">
        <f>STATS1003B!J706/1000</f>
        <v>2339.1</v>
      </c>
      <c r="K706" s="85">
        <f>STATS1003B!K706/1000</f>
        <v>0</v>
      </c>
      <c r="L706" s="85">
        <f>STATS1003B!L706/1000</f>
        <v>0</v>
      </c>
      <c r="M706" s="85">
        <f>STATS1003B!M706/1000</f>
        <v>2339.1</v>
      </c>
      <c r="N706" s="85">
        <f>STATS1003B!N706/1000</f>
        <v>0</v>
      </c>
      <c r="O706" s="85">
        <f>STATS1003B!O706/1000</f>
        <v>0</v>
      </c>
      <c r="P706" s="85">
        <f>STATS1003B!P706/1000</f>
        <v>0</v>
      </c>
      <c r="Q706" s="85">
        <f>STATS1003B!Q706/1000</f>
        <v>2339.1</v>
      </c>
      <c r="R706" s="85">
        <f>STATS1003B!R706/1000</f>
        <v>0</v>
      </c>
      <c r="S706" s="85">
        <f>STATS1003B!S706/1000</f>
        <v>0</v>
      </c>
      <c r="T706" s="85">
        <f>STATS1003B!T706/1000</f>
        <v>0</v>
      </c>
      <c r="U706" s="85">
        <f>STATS1003B!U706/1000</f>
        <v>0</v>
      </c>
      <c r="V706" s="85">
        <f>STATS1003B!V706/1000</f>
        <v>2339.1</v>
      </c>
      <c r="W706" s="85">
        <f>STATS1003B!W706/1000</f>
        <v>0</v>
      </c>
      <c r="X706" s="85">
        <f t="shared" si="89"/>
        <v>2339.1</v>
      </c>
      <c r="Y706" s="85">
        <f>STATS1003B!Y706/1000</f>
        <v>0</v>
      </c>
      <c r="Z706" s="85">
        <f t="shared" si="92"/>
        <v>0</v>
      </c>
      <c r="AA706" s="69">
        <f>STATS1003B!AA706/1000</f>
        <v>2339.1</v>
      </c>
      <c r="AB706" s="69">
        <f>STATS1003B!AB706/1000</f>
        <v>0</v>
      </c>
    </row>
    <row r="707" spans="1:28" hidden="1" x14ac:dyDescent="0.3">
      <c r="A707" s="117"/>
      <c r="C707" s="68" t="s">
        <v>535</v>
      </c>
      <c r="D707" s="87" t="s">
        <v>108</v>
      </c>
      <c r="E707" s="85">
        <f>STATS1003B!E707/1000</f>
        <v>2368.5</v>
      </c>
      <c r="F707" s="85">
        <f>STATS1003B!F707/1000</f>
        <v>2368.5</v>
      </c>
      <c r="G707" s="85">
        <f>STATS1003B!G707/1000</f>
        <v>0</v>
      </c>
      <c r="H707" s="85">
        <f>STATS1003B!H707/1000</f>
        <v>2368.5</v>
      </c>
      <c r="I707" s="85">
        <f>STATS1003B!I707/1000</f>
        <v>0</v>
      </c>
      <c r="J707" s="85">
        <f>STATS1003B!J707/1000</f>
        <v>2368.5</v>
      </c>
      <c r="K707" s="85">
        <f>STATS1003B!K707/1000</f>
        <v>0</v>
      </c>
      <c r="L707" s="85">
        <f>STATS1003B!L707/1000</f>
        <v>0</v>
      </c>
      <c r="M707" s="85">
        <f>STATS1003B!M707/1000</f>
        <v>2368.5</v>
      </c>
      <c r="N707" s="85">
        <f>STATS1003B!N707/1000</f>
        <v>0</v>
      </c>
      <c r="O707" s="85">
        <f>STATS1003B!O707/1000</f>
        <v>0</v>
      </c>
      <c r="P707" s="85">
        <f>STATS1003B!P707/1000</f>
        <v>0</v>
      </c>
      <c r="Q707" s="85">
        <f>STATS1003B!Q707/1000</f>
        <v>2368.5</v>
      </c>
      <c r="R707" s="85">
        <f>STATS1003B!R707/1000</f>
        <v>0</v>
      </c>
      <c r="S707" s="85">
        <f>STATS1003B!S707/1000</f>
        <v>0</v>
      </c>
      <c r="T707" s="85">
        <f>STATS1003B!T707/1000</f>
        <v>0</v>
      </c>
      <c r="U707" s="85">
        <f>STATS1003B!U707/1000</f>
        <v>0</v>
      </c>
      <c r="V707" s="85">
        <f>STATS1003B!V707/1000</f>
        <v>2368.5</v>
      </c>
      <c r="W707" s="85">
        <f>STATS1003B!W707/1000</f>
        <v>0</v>
      </c>
      <c r="X707" s="85">
        <f t="shared" si="89"/>
        <v>2368.5</v>
      </c>
      <c r="Y707" s="85">
        <f>STATS1003B!Y707/1000</f>
        <v>0</v>
      </c>
      <c r="Z707" s="85">
        <f t="shared" si="92"/>
        <v>0</v>
      </c>
      <c r="AA707" s="69">
        <f>STATS1003B!AA707/1000</f>
        <v>2368.5</v>
      </c>
      <c r="AB707" s="69">
        <f>STATS1003B!AB707/1000</f>
        <v>0</v>
      </c>
    </row>
    <row r="708" spans="1:28" hidden="1" x14ac:dyDescent="0.3">
      <c r="A708" s="117"/>
      <c r="C708" s="68" t="s">
        <v>535</v>
      </c>
      <c r="D708" s="87" t="s">
        <v>58</v>
      </c>
      <c r="E708" s="85">
        <f>STATS1003B!E708/1000</f>
        <v>3301.8975</v>
      </c>
      <c r="F708" s="85">
        <f>STATS1003B!F708/1000</f>
        <v>3301.8975</v>
      </c>
      <c r="G708" s="85">
        <f>STATS1003B!G708/1000</f>
        <v>0</v>
      </c>
      <c r="H708" s="85">
        <f>STATS1003B!H708/1000</f>
        <v>3301.8975</v>
      </c>
      <c r="I708" s="85">
        <f>STATS1003B!I708/1000</f>
        <v>0</v>
      </c>
      <c r="J708" s="85">
        <f>STATS1003B!J708/1000</f>
        <v>3301.8975</v>
      </c>
      <c r="K708" s="85">
        <f>STATS1003B!K708/1000</f>
        <v>0</v>
      </c>
      <c r="L708" s="85">
        <f>STATS1003B!L708/1000</f>
        <v>0</v>
      </c>
      <c r="M708" s="85">
        <f>STATS1003B!M708/1000</f>
        <v>3301.8975</v>
      </c>
      <c r="N708" s="85">
        <f>STATS1003B!N708/1000</f>
        <v>0</v>
      </c>
      <c r="O708" s="85">
        <f>STATS1003B!O708/1000</f>
        <v>0</v>
      </c>
      <c r="P708" s="85">
        <f>STATS1003B!P708/1000</f>
        <v>0</v>
      </c>
      <c r="Q708" s="85">
        <f>STATS1003B!Q708/1000</f>
        <v>3301.8975</v>
      </c>
      <c r="R708" s="85">
        <f>STATS1003B!R708/1000</f>
        <v>0</v>
      </c>
      <c r="S708" s="85">
        <f>STATS1003B!S708/1000</f>
        <v>0</v>
      </c>
      <c r="T708" s="85">
        <f>STATS1003B!T708/1000</f>
        <v>0</v>
      </c>
      <c r="U708" s="85">
        <f>STATS1003B!U708/1000</f>
        <v>0</v>
      </c>
      <c r="V708" s="85">
        <f>STATS1003B!V708/1000</f>
        <v>3301.8975</v>
      </c>
      <c r="W708" s="85">
        <f>STATS1003B!W708/1000</f>
        <v>0</v>
      </c>
      <c r="X708" s="85">
        <f t="shared" si="89"/>
        <v>3301.8975</v>
      </c>
      <c r="Y708" s="85">
        <f>STATS1003B!Y708/1000</f>
        <v>0</v>
      </c>
      <c r="Z708" s="85">
        <f t="shared" si="92"/>
        <v>0</v>
      </c>
      <c r="AA708" s="69">
        <f>STATS1003B!AA708/1000</f>
        <v>3301.8975</v>
      </c>
      <c r="AB708" s="69">
        <f>STATS1003B!AB708/1000</f>
        <v>0</v>
      </c>
    </row>
    <row r="709" spans="1:28" hidden="1" x14ac:dyDescent="0.3">
      <c r="A709" s="117"/>
      <c r="C709" s="68" t="s">
        <v>535</v>
      </c>
      <c r="D709" s="88" t="s">
        <v>73</v>
      </c>
      <c r="E709" s="85">
        <f>STATS1003B!E709/1000</f>
        <v>2980.8139999999999</v>
      </c>
      <c r="F709" s="85">
        <f>STATS1003B!F709/1000</f>
        <v>2980.8139999999999</v>
      </c>
      <c r="G709" s="85">
        <f>STATS1003B!G709/1000</f>
        <v>0</v>
      </c>
      <c r="H709" s="85">
        <f>STATS1003B!H709/1000</f>
        <v>2980.8139999999999</v>
      </c>
      <c r="I709" s="85">
        <f>STATS1003B!I709/1000</f>
        <v>0</v>
      </c>
      <c r="J709" s="85">
        <f>STATS1003B!J709/1000</f>
        <v>2980.8139999999999</v>
      </c>
      <c r="K709" s="85">
        <f>STATS1003B!K709/1000</f>
        <v>0</v>
      </c>
      <c r="L709" s="85">
        <f>STATS1003B!L709/1000</f>
        <v>0</v>
      </c>
      <c r="M709" s="85">
        <f>STATS1003B!M709/1000</f>
        <v>2980.8139999999999</v>
      </c>
      <c r="N709" s="85">
        <f>STATS1003B!N709/1000</f>
        <v>0</v>
      </c>
      <c r="O709" s="85">
        <f>STATS1003B!O709/1000</f>
        <v>0</v>
      </c>
      <c r="P709" s="85">
        <f>STATS1003B!P709/1000</f>
        <v>0</v>
      </c>
      <c r="Q709" s="85">
        <f>STATS1003B!Q709/1000</f>
        <v>2980.8139999999999</v>
      </c>
      <c r="R709" s="85">
        <f>STATS1003B!R709/1000</f>
        <v>0</v>
      </c>
      <c r="S709" s="85">
        <f>STATS1003B!S709/1000</f>
        <v>0</v>
      </c>
      <c r="T709" s="85">
        <f>STATS1003B!T709/1000</f>
        <v>0</v>
      </c>
      <c r="U709" s="85">
        <f>STATS1003B!U709/1000</f>
        <v>0</v>
      </c>
      <c r="V709" s="85">
        <f>STATS1003B!V709/1000</f>
        <v>2980.8139999999999</v>
      </c>
      <c r="W709" s="85">
        <f>STATS1003B!W709/1000</f>
        <v>0</v>
      </c>
      <c r="X709" s="85">
        <f t="shared" ref="X709:X772" si="95">+H709+P709</f>
        <v>2980.8139999999999</v>
      </c>
      <c r="Y709" s="85">
        <f>STATS1003B!Y709/1000</f>
        <v>0</v>
      </c>
      <c r="Z709" s="85">
        <f t="shared" si="92"/>
        <v>0</v>
      </c>
      <c r="AA709" s="69">
        <f>STATS1003B!AA709/1000</f>
        <v>2980.8139999999999</v>
      </c>
      <c r="AB709" s="69">
        <f>STATS1003B!AB709/1000</f>
        <v>0</v>
      </c>
    </row>
    <row r="710" spans="1:28" hidden="1" x14ac:dyDescent="0.3">
      <c r="A710" s="117"/>
      <c r="C710" s="71" t="s">
        <v>614</v>
      </c>
      <c r="D710" s="88" t="s">
        <v>61</v>
      </c>
      <c r="E710" s="85">
        <f>STATS1003B!E710/1000</f>
        <v>500</v>
      </c>
      <c r="F710" s="85">
        <f>STATS1003B!F710/1000</f>
        <v>500</v>
      </c>
      <c r="G710" s="85">
        <f>STATS1003B!G710/1000</f>
        <v>0</v>
      </c>
      <c r="H710" s="85">
        <f>STATS1003B!H710/1000</f>
        <v>500</v>
      </c>
      <c r="I710" s="85">
        <f>STATS1003B!I710/1000</f>
        <v>0</v>
      </c>
      <c r="J710" s="85">
        <f>STATS1003B!J710/1000</f>
        <v>500</v>
      </c>
      <c r="K710" s="85">
        <f>STATS1003B!K710/1000</f>
        <v>0</v>
      </c>
      <c r="L710" s="85">
        <f>STATS1003B!L710/1000</f>
        <v>0</v>
      </c>
      <c r="M710" s="85">
        <f>STATS1003B!M710/1000</f>
        <v>500</v>
      </c>
      <c r="N710" s="85">
        <f>STATS1003B!N710/1000</f>
        <v>0</v>
      </c>
      <c r="O710" s="85">
        <f>STATS1003B!O710/1000</f>
        <v>0</v>
      </c>
      <c r="P710" s="85">
        <f>STATS1003B!P710/1000</f>
        <v>0</v>
      </c>
      <c r="Q710" s="85">
        <f>STATS1003B!Q710/1000</f>
        <v>500</v>
      </c>
      <c r="R710" s="85">
        <f>STATS1003B!R710/1000</f>
        <v>0</v>
      </c>
      <c r="S710" s="85">
        <f>STATS1003B!S710/1000</f>
        <v>0</v>
      </c>
      <c r="T710" s="85">
        <f>STATS1003B!T710/1000</f>
        <v>0</v>
      </c>
      <c r="U710" s="85">
        <f>STATS1003B!U710/1000</f>
        <v>0</v>
      </c>
      <c r="V710" s="85">
        <f>STATS1003B!V710/1000</f>
        <v>500</v>
      </c>
      <c r="W710" s="85">
        <f>STATS1003B!W710/1000</f>
        <v>0</v>
      </c>
      <c r="X710" s="85">
        <f t="shared" si="95"/>
        <v>500</v>
      </c>
      <c r="Y710" s="85">
        <f>STATS1003B!Y710/1000</f>
        <v>0</v>
      </c>
      <c r="Z710" s="85">
        <f t="shared" si="92"/>
        <v>0</v>
      </c>
      <c r="AA710" s="69">
        <f>STATS1003B!AA710/1000</f>
        <v>500</v>
      </c>
      <c r="AB710" s="69">
        <f>STATS1003B!AB710/1000</f>
        <v>0</v>
      </c>
    </row>
    <row r="711" spans="1:28" hidden="1" x14ac:dyDescent="0.3">
      <c r="A711" s="117"/>
      <c r="C711" s="71" t="s">
        <v>568</v>
      </c>
      <c r="E711" s="85">
        <f>STATS1003B!E711/1000</f>
        <v>1719.64436</v>
      </c>
      <c r="F711" s="85">
        <f>STATS1003B!F711/1000</f>
        <v>1719.64436</v>
      </c>
      <c r="G711" s="85">
        <f>STATS1003B!G711/1000</f>
        <v>0</v>
      </c>
      <c r="H711" s="85">
        <f>STATS1003B!H711/1000</f>
        <v>1719.64436</v>
      </c>
      <c r="I711" s="85">
        <f>STATS1003B!I711/1000</f>
        <v>0</v>
      </c>
      <c r="J711" s="85">
        <f>STATS1003B!J711/1000</f>
        <v>1719.64436</v>
      </c>
      <c r="K711" s="85">
        <f>STATS1003B!K711/1000</f>
        <v>0</v>
      </c>
      <c r="L711" s="85">
        <f>STATS1003B!L711/1000</f>
        <v>0</v>
      </c>
      <c r="M711" s="85">
        <f>STATS1003B!M711/1000</f>
        <v>1719.64436</v>
      </c>
      <c r="N711" s="85">
        <f>STATS1003B!N711/1000</f>
        <v>0</v>
      </c>
      <c r="O711" s="85">
        <f>STATS1003B!O711/1000</f>
        <v>0</v>
      </c>
      <c r="P711" s="85">
        <f>STATS1003B!P711/1000</f>
        <v>0</v>
      </c>
      <c r="Q711" s="85">
        <f>STATS1003B!Q711/1000</f>
        <v>1719.64436</v>
      </c>
      <c r="R711" s="85">
        <f>STATS1003B!R711/1000</f>
        <v>0</v>
      </c>
      <c r="S711" s="85">
        <f>STATS1003B!S711/1000</f>
        <v>0</v>
      </c>
      <c r="T711" s="85">
        <f>STATS1003B!T711/1000</f>
        <v>0</v>
      </c>
      <c r="U711" s="85">
        <f>STATS1003B!U711/1000</f>
        <v>0</v>
      </c>
      <c r="V711" s="85">
        <f>STATS1003B!V711/1000</f>
        <v>1719.64436</v>
      </c>
      <c r="W711" s="85">
        <f>STATS1003B!W711/1000</f>
        <v>0</v>
      </c>
      <c r="X711" s="85">
        <f t="shared" si="95"/>
        <v>1719.64436</v>
      </c>
      <c r="Y711" s="85">
        <f>STATS1003B!Y711/1000</f>
        <v>0</v>
      </c>
      <c r="Z711" s="85">
        <f t="shared" si="92"/>
        <v>0</v>
      </c>
      <c r="AA711" s="69">
        <f>STATS1003B!AA711/1000</f>
        <v>1719.64436</v>
      </c>
      <c r="AB711" s="69">
        <f>STATS1003B!AB711/1000</f>
        <v>0</v>
      </c>
    </row>
    <row r="712" spans="1:28" hidden="1" x14ac:dyDescent="0.3">
      <c r="A712" s="117"/>
      <c r="C712" s="68" t="s">
        <v>606</v>
      </c>
      <c r="E712" s="85">
        <f>STATS1003B!E712/1000</f>
        <v>2500</v>
      </c>
      <c r="F712" s="85">
        <f>STATS1003B!F712/1000</f>
        <v>2500</v>
      </c>
      <c r="G712" s="85">
        <f>STATS1003B!G712/1000</f>
        <v>0</v>
      </c>
      <c r="H712" s="85">
        <f>STATS1003B!H712/1000</f>
        <v>2500</v>
      </c>
      <c r="I712" s="85">
        <f>STATS1003B!I712/1000</f>
        <v>0</v>
      </c>
      <c r="J712" s="85">
        <f>STATS1003B!J712/1000</f>
        <v>2500</v>
      </c>
      <c r="K712" s="85">
        <f>STATS1003B!K712/1000</f>
        <v>0</v>
      </c>
      <c r="L712" s="85">
        <f>STATS1003B!L712/1000</f>
        <v>0</v>
      </c>
      <c r="M712" s="85">
        <f>STATS1003B!M712/1000</f>
        <v>2500</v>
      </c>
      <c r="N712" s="85">
        <f>STATS1003B!N712/1000</f>
        <v>0</v>
      </c>
      <c r="O712" s="85">
        <f>STATS1003B!O712/1000</f>
        <v>0</v>
      </c>
      <c r="P712" s="85">
        <f>STATS1003B!P712/1000</f>
        <v>0</v>
      </c>
      <c r="Q712" s="85">
        <f>STATS1003B!Q712/1000</f>
        <v>2500</v>
      </c>
      <c r="R712" s="85">
        <f>STATS1003B!R712/1000</f>
        <v>0</v>
      </c>
      <c r="S712" s="85">
        <f>STATS1003B!S712/1000</f>
        <v>0</v>
      </c>
      <c r="T712" s="85">
        <f>STATS1003B!T712/1000</f>
        <v>0</v>
      </c>
      <c r="U712" s="85">
        <f>STATS1003B!U712/1000</f>
        <v>0</v>
      </c>
      <c r="V712" s="85">
        <f>STATS1003B!V712/1000</f>
        <v>2500</v>
      </c>
      <c r="W712" s="85">
        <f>STATS1003B!W712/1000</f>
        <v>0</v>
      </c>
      <c r="X712" s="85">
        <f t="shared" si="95"/>
        <v>2500</v>
      </c>
      <c r="Y712" s="85">
        <f>STATS1003B!Y712/1000</f>
        <v>0</v>
      </c>
      <c r="Z712" s="85">
        <f t="shared" si="92"/>
        <v>0</v>
      </c>
      <c r="AA712" s="69">
        <f>STATS1003B!AA712/1000</f>
        <v>2500</v>
      </c>
      <c r="AB712" s="69">
        <f>STATS1003B!AB712/1000</f>
        <v>0</v>
      </c>
    </row>
    <row r="713" spans="1:28" hidden="1" x14ac:dyDescent="0.3">
      <c r="A713" s="117"/>
      <c r="E713" s="86" t="s">
        <v>29</v>
      </c>
      <c r="F713" s="86" t="s">
        <v>29</v>
      </c>
      <c r="G713" s="86" t="s">
        <v>29</v>
      </c>
      <c r="H713" s="86" t="s">
        <v>29</v>
      </c>
      <c r="I713" s="86" t="s">
        <v>29</v>
      </c>
      <c r="J713" s="86" t="s">
        <v>29</v>
      </c>
      <c r="K713" s="86" t="s">
        <v>29</v>
      </c>
      <c r="L713" s="86" t="s">
        <v>29</v>
      </c>
      <c r="M713" s="86" t="s">
        <v>29</v>
      </c>
      <c r="N713" s="86" t="s">
        <v>29</v>
      </c>
      <c r="O713" s="86" t="s">
        <v>29</v>
      </c>
      <c r="P713" s="86" t="s">
        <v>29</v>
      </c>
      <c r="Q713" s="86" t="s">
        <v>29</v>
      </c>
      <c r="R713" s="86" t="s">
        <v>29</v>
      </c>
      <c r="S713" s="86" t="s">
        <v>29</v>
      </c>
      <c r="T713" s="86" t="s">
        <v>29</v>
      </c>
      <c r="U713" s="86" t="s">
        <v>29</v>
      </c>
      <c r="V713" s="86" t="s">
        <v>29</v>
      </c>
      <c r="W713" s="86" t="s">
        <v>29</v>
      </c>
      <c r="X713" s="85" t="e">
        <f t="shared" si="95"/>
        <v>#VALUE!</v>
      </c>
      <c r="Y713" s="86" t="s">
        <v>29</v>
      </c>
      <c r="Z713" s="85" t="e">
        <f t="shared" si="92"/>
        <v>#VALUE!</v>
      </c>
      <c r="AA713" s="115" t="s">
        <v>29</v>
      </c>
      <c r="AB713" s="115" t="s">
        <v>29</v>
      </c>
    </row>
    <row r="714" spans="1:28" x14ac:dyDescent="0.3">
      <c r="A714" s="116">
        <v>34</v>
      </c>
      <c r="B714" s="68" t="s">
        <v>607</v>
      </c>
      <c r="E714" s="85">
        <f>71775118.69/1000</f>
        <v>71775.118690000003</v>
      </c>
      <c r="F714" s="85">
        <f t="shared" ref="F714:Q714" si="96">SUM(F694:F713)</f>
        <v>36247.827669999999</v>
      </c>
      <c r="G714" s="85">
        <f t="shared" si="96"/>
        <v>0</v>
      </c>
      <c r="H714" s="85">
        <f>68296469.16/1000</f>
        <v>68296.469159999993</v>
      </c>
      <c r="I714" s="85">
        <f t="shared" si="96"/>
        <v>0</v>
      </c>
      <c r="J714" s="85">
        <f t="shared" si="96"/>
        <v>36247.827669999999</v>
      </c>
      <c r="K714" s="85">
        <f t="shared" si="96"/>
        <v>3318.6495300000001</v>
      </c>
      <c r="L714" s="85">
        <f t="shared" si="96"/>
        <v>0</v>
      </c>
      <c r="M714" s="85">
        <f t="shared" si="96"/>
        <v>36247.827669999999</v>
      </c>
      <c r="N714" s="85">
        <f t="shared" si="96"/>
        <v>3318.6495300000001</v>
      </c>
      <c r="O714" s="85">
        <f t="shared" si="96"/>
        <v>0</v>
      </c>
      <c r="P714" s="85">
        <f>3318649/1000</f>
        <v>3318.6489999999999</v>
      </c>
      <c r="Q714" s="85">
        <f t="shared" si="96"/>
        <v>36407.827669999999</v>
      </c>
      <c r="R714" s="86"/>
      <c r="S714" s="86"/>
      <c r="T714" s="85">
        <f t="shared" ref="T714:Y714" si="97">SUM(T694:T713)</f>
        <v>0</v>
      </c>
      <c r="U714" s="85">
        <f t="shared" si="97"/>
        <v>3318.6495300000001</v>
      </c>
      <c r="V714" s="85">
        <f t="shared" si="97"/>
        <v>39566.477199999994</v>
      </c>
      <c r="W714" s="85">
        <f t="shared" si="97"/>
        <v>160.00000000000009</v>
      </c>
      <c r="X714" s="85">
        <f>+H714+P714</f>
        <v>71615.118159999998</v>
      </c>
      <c r="Y714" s="85">
        <f t="shared" si="97"/>
        <v>0</v>
      </c>
      <c r="Z714" s="85">
        <f>+E714-X714</f>
        <v>160.0005300000048</v>
      </c>
      <c r="AA714" s="69">
        <f>SUM(AA694:AA713)</f>
        <v>39566.477199999994</v>
      </c>
      <c r="AB714" s="69">
        <f>SUM(AB694:AB713)</f>
        <v>160.00000000000009</v>
      </c>
    </row>
    <row r="715" spans="1:28" hidden="1" x14ac:dyDescent="0.3">
      <c r="A715" s="117"/>
      <c r="E715" s="86" t="s">
        <v>29</v>
      </c>
      <c r="F715" s="86" t="s">
        <v>29</v>
      </c>
      <c r="G715" s="86" t="s">
        <v>29</v>
      </c>
      <c r="H715" s="86" t="s">
        <v>29</v>
      </c>
      <c r="I715" s="86" t="s">
        <v>29</v>
      </c>
      <c r="J715" s="86" t="s">
        <v>29</v>
      </c>
      <c r="K715" s="86" t="s">
        <v>29</v>
      </c>
      <c r="L715" s="86" t="s">
        <v>29</v>
      </c>
      <c r="M715" s="86" t="s">
        <v>29</v>
      </c>
      <c r="N715" s="86" t="s">
        <v>29</v>
      </c>
      <c r="O715" s="86" t="s">
        <v>29</v>
      </c>
      <c r="P715" s="86" t="s">
        <v>29</v>
      </c>
      <c r="Q715" s="86" t="s">
        <v>29</v>
      </c>
      <c r="R715" s="86" t="s">
        <v>29</v>
      </c>
      <c r="S715" s="86" t="s">
        <v>29</v>
      </c>
      <c r="T715" s="86" t="s">
        <v>29</v>
      </c>
      <c r="U715" s="86" t="s">
        <v>29</v>
      </c>
      <c r="V715" s="86" t="s">
        <v>29</v>
      </c>
      <c r="W715" s="86" t="s">
        <v>29</v>
      </c>
      <c r="X715" s="85" t="e">
        <f t="shared" si="95"/>
        <v>#VALUE!</v>
      </c>
      <c r="Y715" s="86" t="s">
        <v>29</v>
      </c>
      <c r="Z715" s="85" t="e">
        <f t="shared" si="92"/>
        <v>#VALUE!</v>
      </c>
      <c r="AA715" s="115" t="s">
        <v>29</v>
      </c>
      <c r="AB715" s="115" t="s">
        <v>29</v>
      </c>
    </row>
    <row r="716" spans="1:28" hidden="1" x14ac:dyDescent="0.3">
      <c r="A716" s="105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6"/>
      <c r="S716" s="86"/>
      <c r="T716" s="86"/>
      <c r="U716" s="86"/>
      <c r="V716" s="86"/>
      <c r="W716" s="86"/>
      <c r="X716" s="85">
        <f t="shared" si="95"/>
        <v>0</v>
      </c>
      <c r="Y716" s="86"/>
      <c r="Z716" s="85">
        <f t="shared" si="92"/>
        <v>0</v>
      </c>
      <c r="AA716" s="118"/>
    </row>
    <row r="717" spans="1:28" hidden="1" x14ac:dyDescent="0.3">
      <c r="A717" s="117"/>
      <c r="C717" s="68" t="s">
        <v>535</v>
      </c>
      <c r="D717" s="87" t="s">
        <v>76</v>
      </c>
      <c r="E717" s="85">
        <f>STATS1003B!E717/1000</f>
        <v>6320</v>
      </c>
      <c r="F717" s="85">
        <f>STATS1003B!F717/1000</f>
        <v>5931.4727899999989</v>
      </c>
      <c r="G717" s="85">
        <f>STATS1003B!G717/1000</f>
        <v>0</v>
      </c>
      <c r="H717" s="85">
        <f>STATS1003B!H717/1000</f>
        <v>5931.4727899999989</v>
      </c>
      <c r="I717" s="85">
        <f>STATS1003B!I717/1000</f>
        <v>0</v>
      </c>
      <c r="J717" s="85">
        <f>STATS1003B!J717/1000</f>
        <v>5931.4727899999989</v>
      </c>
      <c r="K717" s="85">
        <f>STATS1003B!K717/1000</f>
        <v>388.52721000000003</v>
      </c>
      <c r="L717" s="85">
        <f>STATS1003B!L717/1000</f>
        <v>0</v>
      </c>
      <c r="M717" s="85">
        <f>STATS1003B!M717/1000</f>
        <v>5931.4727899999989</v>
      </c>
      <c r="N717" s="85">
        <f>STATS1003B!N717/1000</f>
        <v>388.52721000000003</v>
      </c>
      <c r="O717" s="85">
        <f>STATS1003B!O717/1000</f>
        <v>0</v>
      </c>
      <c r="P717" s="85">
        <f>STATS1003B!P717/1000</f>
        <v>388.52721000000003</v>
      </c>
      <c r="Q717" s="85">
        <f>STATS1003B!Q717/1000</f>
        <v>5931.4727899999998</v>
      </c>
      <c r="R717" s="85">
        <f>STATS1003B!R717/1000</f>
        <v>0</v>
      </c>
      <c r="S717" s="85">
        <f>STATS1003B!S717/1000</f>
        <v>0</v>
      </c>
      <c r="T717" s="85">
        <f>STATS1003B!T717/1000</f>
        <v>0</v>
      </c>
      <c r="U717" s="85">
        <f>STATS1003B!U717/1000</f>
        <v>388.52721000000003</v>
      </c>
      <c r="V717" s="85">
        <f>STATS1003B!V717/1000</f>
        <v>6319.9999999999991</v>
      </c>
      <c r="W717" s="85">
        <f>STATS1003B!W717/1000</f>
        <v>0</v>
      </c>
      <c r="X717" s="85">
        <f t="shared" si="95"/>
        <v>6319.9999999999991</v>
      </c>
      <c r="Y717" s="85">
        <f>STATS1003B!Y717/1000</f>
        <v>0</v>
      </c>
      <c r="Z717" s="85">
        <f t="shared" si="92"/>
        <v>0</v>
      </c>
      <c r="AA717" s="69">
        <f>STATS1003B!AA717/1000</f>
        <v>6319.9999999999991</v>
      </c>
      <c r="AB717" s="69">
        <f>STATS1003B!AB717/1000</f>
        <v>0</v>
      </c>
    </row>
    <row r="718" spans="1:28" hidden="1" x14ac:dyDescent="0.3">
      <c r="A718" s="117"/>
      <c r="C718" s="68" t="s">
        <v>616</v>
      </c>
      <c r="D718" s="87" t="s">
        <v>76</v>
      </c>
      <c r="E718" s="85">
        <f>STATS1003B!E718/1000</f>
        <v>4750</v>
      </c>
      <c r="F718" s="85">
        <f>STATS1003B!F718/1000</f>
        <v>4750</v>
      </c>
      <c r="G718" s="85">
        <f>STATS1003B!G718/1000</f>
        <v>0</v>
      </c>
      <c r="H718" s="85">
        <f>STATS1003B!H718/1000</f>
        <v>4750</v>
      </c>
      <c r="I718" s="85">
        <f>STATS1003B!I718/1000</f>
        <v>0</v>
      </c>
      <c r="J718" s="85">
        <f>STATS1003B!J718/1000</f>
        <v>4750</v>
      </c>
      <c r="K718" s="85">
        <f>STATS1003B!K718/1000</f>
        <v>0</v>
      </c>
      <c r="L718" s="85">
        <f>STATS1003B!L718/1000</f>
        <v>0</v>
      </c>
      <c r="M718" s="85">
        <f>STATS1003B!M718/1000</f>
        <v>4750</v>
      </c>
      <c r="N718" s="85">
        <f>STATS1003B!N718/1000</f>
        <v>0</v>
      </c>
      <c r="O718" s="85">
        <f>STATS1003B!O718/1000</f>
        <v>0</v>
      </c>
      <c r="P718" s="85">
        <f>STATS1003B!P718/1000</f>
        <v>0</v>
      </c>
      <c r="Q718" s="85">
        <f>STATS1003B!Q718/1000</f>
        <v>4750</v>
      </c>
      <c r="R718" s="85">
        <f>STATS1003B!R718/1000</f>
        <v>0</v>
      </c>
      <c r="S718" s="85">
        <f>STATS1003B!S718/1000</f>
        <v>0</v>
      </c>
      <c r="T718" s="85">
        <f>STATS1003B!T718/1000</f>
        <v>0</v>
      </c>
      <c r="U718" s="85">
        <f>STATS1003B!U718/1000</f>
        <v>0</v>
      </c>
      <c r="V718" s="85">
        <f>STATS1003B!V718/1000</f>
        <v>4750</v>
      </c>
      <c r="W718" s="85">
        <f>STATS1003B!W718/1000</f>
        <v>0</v>
      </c>
      <c r="X718" s="85">
        <f t="shared" si="95"/>
        <v>4750</v>
      </c>
      <c r="Y718" s="85">
        <f>STATS1003B!Y718/1000</f>
        <v>0</v>
      </c>
      <c r="Z718" s="85">
        <f t="shared" si="92"/>
        <v>0</v>
      </c>
      <c r="AA718" s="69">
        <f>STATS1003B!AA718/1000</f>
        <v>4750</v>
      </c>
      <c r="AB718" s="69">
        <f>STATS1003B!AB718/1000</f>
        <v>0</v>
      </c>
    </row>
    <row r="719" spans="1:28" hidden="1" x14ac:dyDescent="0.3">
      <c r="A719" s="117"/>
      <c r="C719" s="68" t="s">
        <v>535</v>
      </c>
      <c r="D719" s="87" t="s">
        <v>150</v>
      </c>
      <c r="E719" s="85">
        <f>STATS1003B!E719/1000</f>
        <v>6136.2725099999998</v>
      </c>
      <c r="F719" s="85">
        <f>STATS1003B!F719/1000</f>
        <v>4780.6039500000006</v>
      </c>
      <c r="G719" s="85">
        <f>STATS1003B!G719/1000</f>
        <v>0</v>
      </c>
      <c r="H719" s="85">
        <f>STATS1003B!H719/1000</f>
        <v>4780.6039500000006</v>
      </c>
      <c r="I719" s="85">
        <f>STATS1003B!I719/1000</f>
        <v>0</v>
      </c>
      <c r="J719" s="85">
        <f>STATS1003B!J719/1000</f>
        <v>4780.6039500000006</v>
      </c>
      <c r="K719" s="85">
        <f>STATS1003B!K719/1000</f>
        <v>1355.6685600000001</v>
      </c>
      <c r="L719" s="85">
        <f>STATS1003B!L719/1000</f>
        <v>0</v>
      </c>
      <c r="M719" s="85">
        <f>STATS1003B!M719/1000</f>
        <v>4780.6039500000006</v>
      </c>
      <c r="N719" s="85">
        <f>STATS1003B!N719/1000</f>
        <v>1355.6685600000001</v>
      </c>
      <c r="O719" s="85">
        <f>STATS1003B!O719/1000</f>
        <v>0</v>
      </c>
      <c r="P719" s="85">
        <f>STATS1003B!P719/1000</f>
        <v>1355.6685600000001</v>
      </c>
      <c r="Q719" s="85">
        <f>STATS1003B!Q719/1000</f>
        <v>4780.6039499999988</v>
      </c>
      <c r="R719" s="85">
        <f>STATS1003B!R719/1000</f>
        <v>0</v>
      </c>
      <c r="S719" s="85">
        <f>STATS1003B!S719/1000</f>
        <v>0</v>
      </c>
      <c r="T719" s="85">
        <f>STATS1003B!T719/1000</f>
        <v>0</v>
      </c>
      <c r="U719" s="85">
        <f>STATS1003B!U719/1000</f>
        <v>1355.6685600000001</v>
      </c>
      <c r="V719" s="85">
        <f>STATS1003B!V719/1000</f>
        <v>6136.2725099999998</v>
      </c>
      <c r="W719" s="85">
        <f>STATS1003B!W719/1000</f>
        <v>0</v>
      </c>
      <c r="X719" s="85">
        <f t="shared" si="95"/>
        <v>6136.2725100000007</v>
      </c>
      <c r="Y719" s="85">
        <f>STATS1003B!Y719/1000</f>
        <v>0</v>
      </c>
      <c r="Z719" s="85">
        <f t="shared" si="92"/>
        <v>0</v>
      </c>
      <c r="AA719" s="69">
        <f>STATS1003B!AA719/1000</f>
        <v>6136.2725099999998</v>
      </c>
      <c r="AB719" s="69">
        <f>STATS1003B!AB719/1000</f>
        <v>0</v>
      </c>
    </row>
    <row r="720" spans="1:28" hidden="1" x14ac:dyDescent="0.3">
      <c r="A720" s="117"/>
      <c r="C720" s="68" t="s">
        <v>616</v>
      </c>
      <c r="D720" s="87" t="s">
        <v>150</v>
      </c>
      <c r="E720" s="85">
        <f>STATS1003B!E720/1000</f>
        <v>4742</v>
      </c>
      <c r="F720" s="85">
        <f>STATS1003B!F720/1000</f>
        <v>4742</v>
      </c>
      <c r="G720" s="85">
        <f>STATS1003B!G720/1000</f>
        <v>0</v>
      </c>
      <c r="H720" s="85">
        <f>STATS1003B!H720/1000</f>
        <v>4742</v>
      </c>
      <c r="I720" s="85">
        <f>STATS1003B!I720/1000</f>
        <v>0</v>
      </c>
      <c r="J720" s="85">
        <f>STATS1003B!J720/1000</f>
        <v>4742</v>
      </c>
      <c r="K720" s="85">
        <f>STATS1003B!K720/1000</f>
        <v>0</v>
      </c>
      <c r="L720" s="85">
        <f>STATS1003B!L720/1000</f>
        <v>0</v>
      </c>
      <c r="M720" s="85">
        <f>STATS1003B!M720/1000</f>
        <v>4742</v>
      </c>
      <c r="N720" s="85">
        <f>STATS1003B!N720/1000</f>
        <v>0</v>
      </c>
      <c r="O720" s="85">
        <f>STATS1003B!O720/1000</f>
        <v>0</v>
      </c>
      <c r="P720" s="85">
        <f>STATS1003B!P720/1000</f>
        <v>0</v>
      </c>
      <c r="Q720" s="85">
        <f>STATS1003B!Q720/1000</f>
        <v>4742</v>
      </c>
      <c r="R720" s="85">
        <f>STATS1003B!R720/1000</f>
        <v>0</v>
      </c>
      <c r="S720" s="85">
        <f>STATS1003B!S720/1000</f>
        <v>0</v>
      </c>
      <c r="T720" s="85">
        <f>STATS1003B!T720/1000</f>
        <v>0</v>
      </c>
      <c r="U720" s="85">
        <f>STATS1003B!U720/1000</f>
        <v>0</v>
      </c>
      <c r="V720" s="85">
        <f>STATS1003B!V720/1000</f>
        <v>4742</v>
      </c>
      <c r="W720" s="85">
        <f>STATS1003B!W720/1000</f>
        <v>0</v>
      </c>
      <c r="X720" s="85">
        <f t="shared" si="95"/>
        <v>4742</v>
      </c>
      <c r="Y720" s="85">
        <f>STATS1003B!Y720/1000</f>
        <v>0</v>
      </c>
      <c r="Z720" s="85">
        <f t="shared" si="92"/>
        <v>0</v>
      </c>
      <c r="AA720" s="69">
        <f>STATS1003B!AA720/1000</f>
        <v>4742</v>
      </c>
      <c r="AB720" s="69">
        <f>STATS1003B!AB720/1000</f>
        <v>0</v>
      </c>
    </row>
    <row r="721" spans="1:28" hidden="1" x14ac:dyDescent="0.3">
      <c r="A721" s="117"/>
      <c r="C721" s="68" t="s">
        <v>617</v>
      </c>
      <c r="D721" s="87" t="s">
        <v>166</v>
      </c>
      <c r="E721" s="85">
        <f>STATS1003B!E721/1000</f>
        <v>512.84848</v>
      </c>
      <c r="F721" s="85">
        <f>STATS1003B!F721/1000</f>
        <v>0</v>
      </c>
      <c r="G721" s="85">
        <f>STATS1003B!G721/1000</f>
        <v>0</v>
      </c>
      <c r="H721" s="85">
        <f>STATS1003B!H721/1000</f>
        <v>0</v>
      </c>
      <c r="I721" s="85">
        <f>STATS1003B!I721/1000</f>
        <v>0</v>
      </c>
      <c r="J721" s="85">
        <f>STATS1003B!J721/1000</f>
        <v>0</v>
      </c>
      <c r="K721" s="85">
        <f>STATS1003B!K721/1000</f>
        <v>512.84848</v>
      </c>
      <c r="L721" s="85">
        <f>STATS1003B!L721/1000</f>
        <v>0</v>
      </c>
      <c r="M721" s="85">
        <f>STATS1003B!M721/1000</f>
        <v>0</v>
      </c>
      <c r="N721" s="85">
        <f>STATS1003B!N721/1000</f>
        <v>512.84848</v>
      </c>
      <c r="O721" s="85">
        <f>STATS1003B!O721/1000</f>
        <v>0</v>
      </c>
      <c r="P721" s="85">
        <f>STATS1003B!P721/1000</f>
        <v>512.84848</v>
      </c>
      <c r="Q721" s="85">
        <f>STATS1003B!Q721/1000</f>
        <v>0</v>
      </c>
      <c r="R721" s="85">
        <f>STATS1003B!R721/1000</f>
        <v>0</v>
      </c>
      <c r="S721" s="85">
        <f>STATS1003B!S721/1000</f>
        <v>0</v>
      </c>
      <c r="T721" s="85">
        <f>STATS1003B!T721/1000</f>
        <v>0</v>
      </c>
      <c r="U721" s="85">
        <f>STATS1003B!U721/1000</f>
        <v>512.84848</v>
      </c>
      <c r="V721" s="85">
        <f>STATS1003B!V721/1000</f>
        <v>512.84848</v>
      </c>
      <c r="W721" s="85">
        <f>STATS1003B!W721/1000</f>
        <v>0</v>
      </c>
      <c r="X721" s="85">
        <f t="shared" si="95"/>
        <v>512.84848</v>
      </c>
      <c r="Y721" s="85">
        <f>STATS1003B!Y721/1000</f>
        <v>0</v>
      </c>
      <c r="Z721" s="85">
        <f t="shared" si="92"/>
        <v>0</v>
      </c>
      <c r="AA721" s="69">
        <f>STATS1003B!AA721/1000</f>
        <v>512.84848</v>
      </c>
      <c r="AB721" s="69">
        <f>STATS1003B!AB721/1000</f>
        <v>0</v>
      </c>
    </row>
    <row r="722" spans="1:28" hidden="1" x14ac:dyDescent="0.3">
      <c r="A722" s="117"/>
      <c r="C722" s="68" t="s">
        <v>535</v>
      </c>
      <c r="D722" s="87" t="s">
        <v>68</v>
      </c>
      <c r="E722" s="85">
        <f>STATS1003B!E722/1000</f>
        <v>298.62330000000003</v>
      </c>
      <c r="F722" s="85">
        <f>STATS1003B!F722/1000</f>
        <v>0</v>
      </c>
      <c r="G722" s="85">
        <f>STATS1003B!G722/1000</f>
        <v>0</v>
      </c>
      <c r="H722" s="85">
        <f>STATS1003B!H722/1000</f>
        <v>0</v>
      </c>
      <c r="I722" s="85">
        <f>STATS1003B!I722/1000</f>
        <v>0</v>
      </c>
      <c r="J722" s="85">
        <f>STATS1003B!J722/1000</f>
        <v>0</v>
      </c>
      <c r="K722" s="85">
        <f>STATS1003B!K722/1000</f>
        <v>298.62329999999997</v>
      </c>
      <c r="L722" s="85">
        <f>STATS1003B!L722/1000</f>
        <v>0</v>
      </c>
      <c r="M722" s="85">
        <f>STATS1003B!M722/1000</f>
        <v>0</v>
      </c>
      <c r="N722" s="85">
        <f>STATS1003B!N722/1000</f>
        <v>298.62329999999997</v>
      </c>
      <c r="O722" s="85">
        <f>STATS1003B!O722/1000</f>
        <v>0</v>
      </c>
      <c r="P722" s="85">
        <f>STATS1003B!P722/1000</f>
        <v>298.62329999999997</v>
      </c>
      <c r="Q722" s="85">
        <f>STATS1003B!Q722/1000</f>
        <v>0</v>
      </c>
      <c r="R722" s="85">
        <f>STATS1003B!R722/1000</f>
        <v>0</v>
      </c>
      <c r="S722" s="85">
        <f>STATS1003B!S722/1000</f>
        <v>0</v>
      </c>
      <c r="T722" s="85">
        <f>STATS1003B!T722/1000</f>
        <v>0</v>
      </c>
      <c r="U722" s="85">
        <f>STATS1003B!U722/1000</f>
        <v>298.62329999999997</v>
      </c>
      <c r="V722" s="85">
        <f>STATS1003B!V722/1000</f>
        <v>298.62329999999997</v>
      </c>
      <c r="W722" s="85">
        <f>STATS1003B!W722/1000</f>
        <v>0</v>
      </c>
      <c r="X722" s="85">
        <f t="shared" si="95"/>
        <v>298.62329999999997</v>
      </c>
      <c r="Y722" s="85">
        <f>STATS1003B!Y722/1000</f>
        <v>0</v>
      </c>
      <c r="Z722" s="85">
        <f t="shared" si="92"/>
        <v>0</v>
      </c>
      <c r="AA722" s="69">
        <f>STATS1003B!AA722/1000</f>
        <v>298.62329999999997</v>
      </c>
      <c r="AB722" s="69">
        <f>STATS1003B!AB722/1000</f>
        <v>0</v>
      </c>
    </row>
    <row r="723" spans="1:28" hidden="1" x14ac:dyDescent="0.3">
      <c r="A723" s="117"/>
      <c r="C723" s="68" t="s">
        <v>539</v>
      </c>
      <c r="D723" s="87" t="s">
        <v>68</v>
      </c>
      <c r="E723" s="85">
        <f>STATS1003B!E723/1000</f>
        <v>344.07</v>
      </c>
      <c r="F723" s="85">
        <f>STATS1003B!F723/1000</f>
        <v>0</v>
      </c>
      <c r="G723" s="85">
        <f>STATS1003B!G723/1000</f>
        <v>0</v>
      </c>
      <c r="H723" s="85">
        <f>STATS1003B!H723/1000</f>
        <v>0</v>
      </c>
      <c r="I723" s="85">
        <f>STATS1003B!I723/1000</f>
        <v>0</v>
      </c>
      <c r="J723" s="85">
        <f>STATS1003B!J723/1000</f>
        <v>0</v>
      </c>
      <c r="K723" s="85">
        <f>STATS1003B!K723/1000</f>
        <v>344.07</v>
      </c>
      <c r="L723" s="85">
        <f>STATS1003B!L723/1000</f>
        <v>0</v>
      </c>
      <c r="M723" s="85">
        <f>STATS1003B!M723/1000</f>
        <v>0</v>
      </c>
      <c r="N723" s="85">
        <f>STATS1003B!N723/1000</f>
        <v>344.07</v>
      </c>
      <c r="O723" s="85">
        <f>STATS1003B!O723/1000</f>
        <v>0</v>
      </c>
      <c r="P723" s="85">
        <f>STATS1003B!P723/1000</f>
        <v>344.07</v>
      </c>
      <c r="Q723" s="85">
        <f>STATS1003B!Q723/1000</f>
        <v>0</v>
      </c>
      <c r="R723" s="85">
        <f>STATS1003B!R723/1000</f>
        <v>0</v>
      </c>
      <c r="S723" s="85">
        <f>STATS1003B!S723/1000</f>
        <v>0</v>
      </c>
      <c r="T723" s="85">
        <f>STATS1003B!T723/1000</f>
        <v>0</v>
      </c>
      <c r="U723" s="85">
        <f>STATS1003B!U723/1000</f>
        <v>344.07</v>
      </c>
      <c r="V723" s="85">
        <f>STATS1003B!V723/1000</f>
        <v>344.07</v>
      </c>
      <c r="W723" s="85">
        <f>STATS1003B!W723/1000</f>
        <v>0</v>
      </c>
      <c r="X723" s="85">
        <f t="shared" si="95"/>
        <v>344.07</v>
      </c>
      <c r="Y723" s="85">
        <f>STATS1003B!Y723/1000</f>
        <v>0</v>
      </c>
      <c r="Z723" s="85">
        <f t="shared" si="92"/>
        <v>0</v>
      </c>
      <c r="AA723" s="69">
        <f>STATS1003B!AA723/1000</f>
        <v>344.07</v>
      </c>
      <c r="AB723" s="69">
        <f>STATS1003B!AB723/1000</f>
        <v>0</v>
      </c>
    </row>
    <row r="724" spans="1:28" hidden="1" x14ac:dyDescent="0.3">
      <c r="A724" s="117"/>
      <c r="C724" s="68" t="s">
        <v>618</v>
      </c>
      <c r="D724" s="87" t="s">
        <v>68</v>
      </c>
      <c r="E724" s="85">
        <f>STATS1003B!E724/1000</f>
        <v>1745.6378</v>
      </c>
      <c r="F724" s="85">
        <f>STATS1003B!F724/1000</f>
        <v>1739.1849999999999</v>
      </c>
      <c r="G724" s="85">
        <f>STATS1003B!G724/1000</f>
        <v>0</v>
      </c>
      <c r="H724" s="85">
        <f>STATS1003B!H724/1000</f>
        <v>1739.1849999999999</v>
      </c>
      <c r="I724" s="85">
        <f>STATS1003B!I724/1000</f>
        <v>0</v>
      </c>
      <c r="J724" s="85">
        <f>STATS1003B!J724/1000</f>
        <v>1739.1849999999999</v>
      </c>
      <c r="K724" s="85">
        <f>STATS1003B!K724/1000</f>
        <v>6.4527999999999999</v>
      </c>
      <c r="L724" s="85">
        <f>STATS1003B!L724/1000</f>
        <v>0</v>
      </c>
      <c r="M724" s="85">
        <f>STATS1003B!M724/1000</f>
        <v>1739.1849999999999</v>
      </c>
      <c r="N724" s="85">
        <f>STATS1003B!N724/1000</f>
        <v>6.4527999999999999</v>
      </c>
      <c r="O724" s="85">
        <f>STATS1003B!O724/1000</f>
        <v>0</v>
      </c>
      <c r="P724" s="85">
        <f>STATS1003B!P724/1000</f>
        <v>6.4527999999999999</v>
      </c>
      <c r="Q724" s="85">
        <f>STATS1003B!Q724/1000</f>
        <v>1739.1849999999999</v>
      </c>
      <c r="R724" s="85">
        <f>STATS1003B!R724/1000</f>
        <v>0</v>
      </c>
      <c r="S724" s="85">
        <f>STATS1003B!S724/1000</f>
        <v>0</v>
      </c>
      <c r="T724" s="85">
        <f>STATS1003B!T724/1000</f>
        <v>0</v>
      </c>
      <c r="U724" s="85">
        <f>STATS1003B!U724/1000</f>
        <v>6.4527999999999999</v>
      </c>
      <c r="V724" s="85">
        <f>STATS1003B!V724/1000</f>
        <v>1745.6378</v>
      </c>
      <c r="W724" s="85">
        <f>STATS1003B!W724/1000</f>
        <v>0</v>
      </c>
      <c r="X724" s="85">
        <f t="shared" si="95"/>
        <v>1745.6378</v>
      </c>
      <c r="Y724" s="85">
        <f>STATS1003B!Y724/1000</f>
        <v>0</v>
      </c>
      <c r="Z724" s="85">
        <f t="shared" si="92"/>
        <v>0</v>
      </c>
      <c r="AA724" s="69">
        <f>STATS1003B!AA724/1000</f>
        <v>1745.6378</v>
      </c>
      <c r="AB724" s="69">
        <f>STATS1003B!AB724/1000</f>
        <v>0</v>
      </c>
    </row>
    <row r="725" spans="1:28" hidden="1" x14ac:dyDescent="0.3">
      <c r="A725" s="117"/>
      <c r="C725" s="68" t="s">
        <v>618</v>
      </c>
      <c r="D725" s="87" t="s">
        <v>54</v>
      </c>
      <c r="E725" s="85">
        <f>STATS1003B!E725/1000</f>
        <v>4037.5</v>
      </c>
      <c r="F725" s="85">
        <f>STATS1003B!F725/1000</f>
        <v>4037.5</v>
      </c>
      <c r="G725" s="85">
        <f>STATS1003B!G725/1000</f>
        <v>0</v>
      </c>
      <c r="H725" s="85">
        <f>STATS1003B!H725/1000</f>
        <v>4037.5</v>
      </c>
      <c r="I725" s="85">
        <f>STATS1003B!I725/1000</f>
        <v>0</v>
      </c>
      <c r="J725" s="85">
        <f>STATS1003B!J725/1000</f>
        <v>4037.5</v>
      </c>
      <c r="K725" s="85">
        <f>STATS1003B!K725/1000</f>
        <v>0</v>
      </c>
      <c r="L725" s="85">
        <f>STATS1003B!L725/1000</f>
        <v>0</v>
      </c>
      <c r="M725" s="85">
        <f>STATS1003B!M725/1000</f>
        <v>4037.5</v>
      </c>
      <c r="N725" s="85">
        <f>STATS1003B!N725/1000</f>
        <v>0</v>
      </c>
      <c r="O725" s="85">
        <f>STATS1003B!O725/1000</f>
        <v>0</v>
      </c>
      <c r="P725" s="85">
        <f>STATS1003B!P725/1000</f>
        <v>0</v>
      </c>
      <c r="Q725" s="85">
        <f>STATS1003B!Q725/1000</f>
        <v>4037.5</v>
      </c>
      <c r="R725" s="85">
        <f>STATS1003B!R725/1000</f>
        <v>0</v>
      </c>
      <c r="S725" s="85">
        <f>STATS1003B!S725/1000</f>
        <v>0</v>
      </c>
      <c r="T725" s="85">
        <f>STATS1003B!T725/1000</f>
        <v>0</v>
      </c>
      <c r="U725" s="85">
        <f>STATS1003B!U725/1000</f>
        <v>0</v>
      </c>
      <c r="V725" s="85">
        <f>STATS1003B!V725/1000</f>
        <v>4037.5</v>
      </c>
      <c r="W725" s="85">
        <f>STATS1003B!W725/1000</f>
        <v>0</v>
      </c>
      <c r="X725" s="85">
        <f t="shared" si="95"/>
        <v>4037.5</v>
      </c>
      <c r="Y725" s="85">
        <f>STATS1003B!Y725/1000</f>
        <v>0</v>
      </c>
      <c r="Z725" s="85">
        <f t="shared" ref="Z725:Z788" si="98">+E725-X725</f>
        <v>0</v>
      </c>
      <c r="AA725" s="69">
        <f>STATS1003B!AA725/1000</f>
        <v>4037.5</v>
      </c>
      <c r="AB725" s="69">
        <f>STATS1003B!AB725/1000</f>
        <v>0</v>
      </c>
    </row>
    <row r="726" spans="1:28" hidden="1" x14ac:dyDescent="0.3">
      <c r="A726" s="117"/>
      <c r="C726" s="68" t="s">
        <v>545</v>
      </c>
      <c r="D726" s="87" t="s">
        <v>54</v>
      </c>
      <c r="E726" s="85">
        <f>STATS1003B!E726/1000</f>
        <v>570.94100000000003</v>
      </c>
      <c r="F726" s="85">
        <f>STATS1003B!F726/1000</f>
        <v>0</v>
      </c>
      <c r="G726" s="85">
        <f>STATS1003B!G726/1000</f>
        <v>0</v>
      </c>
      <c r="H726" s="85">
        <f>STATS1003B!H726/1000</f>
        <v>0</v>
      </c>
      <c r="I726" s="85">
        <f>STATS1003B!I726/1000</f>
        <v>0</v>
      </c>
      <c r="J726" s="85">
        <f>STATS1003B!J726/1000</f>
        <v>0</v>
      </c>
      <c r="K726" s="85">
        <f>STATS1003B!K726/1000</f>
        <v>570.94100000000003</v>
      </c>
      <c r="L726" s="85">
        <f>STATS1003B!L726/1000</f>
        <v>0</v>
      </c>
      <c r="M726" s="85">
        <f>STATS1003B!M726/1000</f>
        <v>0</v>
      </c>
      <c r="N726" s="85">
        <f>STATS1003B!N726/1000</f>
        <v>570.94100000000003</v>
      </c>
      <c r="O726" s="85">
        <f>STATS1003B!O726/1000</f>
        <v>0</v>
      </c>
      <c r="P726" s="85">
        <f>STATS1003B!P726/1000</f>
        <v>570.94100000000003</v>
      </c>
      <c r="Q726" s="85">
        <f>STATS1003B!Q726/1000</f>
        <v>0</v>
      </c>
      <c r="R726" s="85">
        <f>STATS1003B!R726/1000</f>
        <v>0</v>
      </c>
      <c r="S726" s="85">
        <f>STATS1003B!S726/1000</f>
        <v>0</v>
      </c>
      <c r="T726" s="85">
        <f>STATS1003B!T726/1000</f>
        <v>0</v>
      </c>
      <c r="U726" s="85">
        <f>STATS1003B!U726/1000</f>
        <v>570.94100000000003</v>
      </c>
      <c r="V726" s="85">
        <f>STATS1003B!V726/1000</f>
        <v>570.94100000000003</v>
      </c>
      <c r="W726" s="85">
        <f>STATS1003B!W726/1000</f>
        <v>0</v>
      </c>
      <c r="X726" s="85">
        <f t="shared" si="95"/>
        <v>570.94100000000003</v>
      </c>
      <c r="Y726" s="85">
        <f>STATS1003B!Y726/1000</f>
        <v>0</v>
      </c>
      <c r="Z726" s="85">
        <f t="shared" si="98"/>
        <v>0</v>
      </c>
      <c r="AA726" s="69">
        <f>STATS1003B!AA726/1000</f>
        <v>570.94100000000003</v>
      </c>
      <c r="AB726" s="69">
        <f>STATS1003B!AB726/1000</f>
        <v>0</v>
      </c>
    </row>
    <row r="727" spans="1:28" hidden="1" x14ac:dyDescent="0.3">
      <c r="A727" s="117"/>
      <c r="C727" s="68" t="s">
        <v>535</v>
      </c>
      <c r="D727" s="87" t="s">
        <v>85</v>
      </c>
      <c r="E727" s="85">
        <f>STATS1003B!E727/1000</f>
        <v>645.29999999999995</v>
      </c>
      <c r="F727" s="85">
        <f>STATS1003B!F727/1000</f>
        <v>645.29999999999995</v>
      </c>
      <c r="G727" s="85">
        <f>STATS1003B!G727/1000</f>
        <v>0</v>
      </c>
      <c r="H727" s="85">
        <f>STATS1003B!H727/1000</f>
        <v>645.29999999999995</v>
      </c>
      <c r="I727" s="85">
        <f>STATS1003B!I727/1000</f>
        <v>0</v>
      </c>
      <c r="J727" s="85">
        <f>STATS1003B!J727/1000</f>
        <v>645.29999999999995</v>
      </c>
      <c r="K727" s="85">
        <f>STATS1003B!K727/1000</f>
        <v>0</v>
      </c>
      <c r="L727" s="85">
        <f>STATS1003B!L727/1000</f>
        <v>0</v>
      </c>
      <c r="M727" s="85">
        <f>STATS1003B!M727/1000</f>
        <v>645.29999999999995</v>
      </c>
      <c r="N727" s="85">
        <f>STATS1003B!N727/1000</f>
        <v>0</v>
      </c>
      <c r="O727" s="85">
        <f>STATS1003B!O727/1000</f>
        <v>0</v>
      </c>
      <c r="P727" s="85">
        <f>STATS1003B!P727/1000</f>
        <v>0</v>
      </c>
      <c r="Q727" s="85">
        <f>STATS1003B!Q727/1000</f>
        <v>645.29999999999995</v>
      </c>
      <c r="R727" s="85">
        <f>STATS1003B!R727/1000</f>
        <v>0</v>
      </c>
      <c r="S727" s="85">
        <f>STATS1003B!S727/1000</f>
        <v>0</v>
      </c>
      <c r="T727" s="85">
        <f>STATS1003B!T727/1000</f>
        <v>0</v>
      </c>
      <c r="U727" s="85">
        <f>STATS1003B!U727/1000</f>
        <v>0</v>
      </c>
      <c r="V727" s="85">
        <f>STATS1003B!V727/1000</f>
        <v>645.29999999999995</v>
      </c>
      <c r="W727" s="85">
        <f>STATS1003B!W727/1000</f>
        <v>0</v>
      </c>
      <c r="X727" s="85">
        <f t="shared" si="95"/>
        <v>645.29999999999995</v>
      </c>
      <c r="Y727" s="85">
        <f>STATS1003B!Y727/1000</f>
        <v>0</v>
      </c>
      <c r="Z727" s="85">
        <f t="shared" si="98"/>
        <v>0</v>
      </c>
      <c r="AA727" s="69">
        <f>STATS1003B!AA727/1000</f>
        <v>645.29999999999995</v>
      </c>
      <c r="AB727" s="69">
        <f>STATS1003B!AB727/1000</f>
        <v>0</v>
      </c>
    </row>
    <row r="728" spans="1:28" hidden="1" x14ac:dyDescent="0.3">
      <c r="A728" s="117"/>
      <c r="C728" s="68" t="s">
        <v>535</v>
      </c>
      <c r="D728" s="87" t="s">
        <v>128</v>
      </c>
      <c r="E728" s="85">
        <f>STATS1003B!E728/1000</f>
        <v>715.5</v>
      </c>
      <c r="F728" s="85">
        <f>STATS1003B!F728/1000</f>
        <v>715.5</v>
      </c>
      <c r="G728" s="85">
        <f>STATS1003B!G728/1000</f>
        <v>0</v>
      </c>
      <c r="H728" s="85">
        <f>STATS1003B!H728/1000</f>
        <v>715.5</v>
      </c>
      <c r="I728" s="85">
        <f>STATS1003B!I728/1000</f>
        <v>0</v>
      </c>
      <c r="J728" s="85">
        <f>STATS1003B!J728/1000</f>
        <v>715.5</v>
      </c>
      <c r="K728" s="85">
        <f>STATS1003B!K728/1000</f>
        <v>0</v>
      </c>
      <c r="L728" s="85">
        <f>STATS1003B!L728/1000</f>
        <v>0</v>
      </c>
      <c r="M728" s="85">
        <f>STATS1003B!M728/1000</f>
        <v>715.5</v>
      </c>
      <c r="N728" s="85">
        <f>STATS1003B!N728/1000</f>
        <v>0</v>
      </c>
      <c r="O728" s="85">
        <f>STATS1003B!O728/1000</f>
        <v>0</v>
      </c>
      <c r="P728" s="85">
        <f>STATS1003B!P728/1000</f>
        <v>0</v>
      </c>
      <c r="Q728" s="85">
        <f>STATS1003B!Q728/1000</f>
        <v>715.5</v>
      </c>
      <c r="R728" s="85">
        <f>STATS1003B!R728/1000</f>
        <v>0</v>
      </c>
      <c r="S728" s="85">
        <f>STATS1003B!S728/1000</f>
        <v>0</v>
      </c>
      <c r="T728" s="85">
        <f>STATS1003B!T728/1000</f>
        <v>0</v>
      </c>
      <c r="U728" s="85">
        <f>STATS1003B!U728/1000</f>
        <v>0</v>
      </c>
      <c r="V728" s="85">
        <f>STATS1003B!V728/1000</f>
        <v>715.5</v>
      </c>
      <c r="W728" s="85">
        <f>STATS1003B!W728/1000</f>
        <v>0</v>
      </c>
      <c r="X728" s="85">
        <f t="shared" si="95"/>
        <v>715.5</v>
      </c>
      <c r="Y728" s="85">
        <f>STATS1003B!Y728/1000</f>
        <v>0</v>
      </c>
      <c r="Z728" s="85">
        <f t="shared" si="98"/>
        <v>0</v>
      </c>
      <c r="AA728" s="69">
        <f>STATS1003B!AA728/1000</f>
        <v>715.5</v>
      </c>
      <c r="AB728" s="69">
        <f>STATS1003B!AB728/1000</f>
        <v>0</v>
      </c>
    </row>
    <row r="729" spans="1:28" hidden="1" x14ac:dyDescent="0.3">
      <c r="A729" s="117"/>
      <c r="C729" s="68" t="s">
        <v>619</v>
      </c>
      <c r="D729" s="87" t="s">
        <v>128</v>
      </c>
      <c r="E729" s="85">
        <f>STATS1003B!E729/1000</f>
        <v>400</v>
      </c>
      <c r="F729" s="85">
        <f>STATS1003B!F729/1000</f>
        <v>400</v>
      </c>
      <c r="G729" s="85">
        <f>STATS1003B!G729/1000</f>
        <v>0</v>
      </c>
      <c r="H729" s="85">
        <f>STATS1003B!H729/1000</f>
        <v>400</v>
      </c>
      <c r="I729" s="85">
        <f>STATS1003B!I729/1000</f>
        <v>0</v>
      </c>
      <c r="J729" s="85">
        <f>STATS1003B!J729/1000</f>
        <v>400</v>
      </c>
      <c r="K729" s="85">
        <f>STATS1003B!K729/1000</f>
        <v>0</v>
      </c>
      <c r="L729" s="85">
        <f>STATS1003B!L729/1000</f>
        <v>0</v>
      </c>
      <c r="M729" s="85">
        <f>STATS1003B!M729/1000</f>
        <v>400</v>
      </c>
      <c r="N729" s="85">
        <f>STATS1003B!N729/1000</f>
        <v>0</v>
      </c>
      <c r="O729" s="85">
        <f>STATS1003B!O729/1000</f>
        <v>0</v>
      </c>
      <c r="P729" s="85">
        <f>STATS1003B!P729/1000</f>
        <v>0</v>
      </c>
      <c r="Q729" s="85">
        <f>STATS1003B!Q729/1000</f>
        <v>400</v>
      </c>
      <c r="R729" s="85">
        <f>STATS1003B!R729/1000</f>
        <v>0</v>
      </c>
      <c r="S729" s="85">
        <f>STATS1003B!S729/1000</f>
        <v>0</v>
      </c>
      <c r="T729" s="85">
        <f>STATS1003B!T729/1000</f>
        <v>0</v>
      </c>
      <c r="U729" s="85">
        <f>STATS1003B!U729/1000</f>
        <v>0</v>
      </c>
      <c r="V729" s="85">
        <f>STATS1003B!V729/1000</f>
        <v>400</v>
      </c>
      <c r="W729" s="85">
        <f>STATS1003B!W729/1000</f>
        <v>0</v>
      </c>
      <c r="X729" s="85">
        <f t="shared" si="95"/>
        <v>400</v>
      </c>
      <c r="Y729" s="85">
        <f>STATS1003B!Y729/1000</f>
        <v>0</v>
      </c>
      <c r="Z729" s="85">
        <f t="shared" si="98"/>
        <v>0</v>
      </c>
      <c r="AA729" s="69">
        <f>STATS1003B!AA729/1000</f>
        <v>400</v>
      </c>
      <c r="AB729" s="69">
        <f>STATS1003B!AB729/1000</f>
        <v>0</v>
      </c>
    </row>
    <row r="730" spans="1:28" hidden="1" x14ac:dyDescent="0.3">
      <c r="A730" s="117"/>
      <c r="C730" s="68" t="s">
        <v>535</v>
      </c>
      <c r="D730" s="87" t="s">
        <v>88</v>
      </c>
      <c r="E730" s="85">
        <f>STATS1003B!E730/1000</f>
        <v>1400</v>
      </c>
      <c r="F730" s="85">
        <f>STATS1003B!F730/1000</f>
        <v>1400</v>
      </c>
      <c r="G730" s="85">
        <f>STATS1003B!G730/1000</f>
        <v>0</v>
      </c>
      <c r="H730" s="85">
        <f>STATS1003B!H730/1000</f>
        <v>1400</v>
      </c>
      <c r="I730" s="85">
        <f>STATS1003B!I730/1000</f>
        <v>0</v>
      </c>
      <c r="J730" s="85">
        <f>STATS1003B!J730/1000</f>
        <v>1400</v>
      </c>
      <c r="K730" s="85">
        <f>STATS1003B!K730/1000</f>
        <v>0</v>
      </c>
      <c r="L730" s="85">
        <f>STATS1003B!L730/1000</f>
        <v>0</v>
      </c>
      <c r="M730" s="85">
        <f>STATS1003B!M730/1000</f>
        <v>1400</v>
      </c>
      <c r="N730" s="85">
        <f>STATS1003B!N730/1000</f>
        <v>0</v>
      </c>
      <c r="O730" s="85">
        <f>STATS1003B!O730/1000</f>
        <v>0</v>
      </c>
      <c r="P730" s="85">
        <f>STATS1003B!P730/1000</f>
        <v>0</v>
      </c>
      <c r="Q730" s="85">
        <f>STATS1003B!Q730/1000</f>
        <v>1400</v>
      </c>
      <c r="R730" s="85">
        <f>STATS1003B!R730/1000</f>
        <v>0</v>
      </c>
      <c r="S730" s="85">
        <f>STATS1003B!S730/1000</f>
        <v>0</v>
      </c>
      <c r="T730" s="85">
        <f>STATS1003B!T730/1000</f>
        <v>0</v>
      </c>
      <c r="U730" s="85">
        <f>STATS1003B!U730/1000</f>
        <v>0</v>
      </c>
      <c r="V730" s="85">
        <f>STATS1003B!V730/1000</f>
        <v>1400</v>
      </c>
      <c r="W730" s="85">
        <f>STATS1003B!W730/1000</f>
        <v>0</v>
      </c>
      <c r="X730" s="85">
        <f t="shared" si="95"/>
        <v>1400</v>
      </c>
      <c r="Y730" s="85">
        <f>STATS1003B!Y730/1000</f>
        <v>0</v>
      </c>
      <c r="Z730" s="85">
        <f t="shared" si="98"/>
        <v>0</v>
      </c>
      <c r="AA730" s="69">
        <f>STATS1003B!AA730/1000</f>
        <v>1400</v>
      </c>
      <c r="AB730" s="69">
        <f>STATS1003B!AB730/1000</f>
        <v>0</v>
      </c>
    </row>
    <row r="731" spans="1:28" hidden="1" x14ac:dyDescent="0.3">
      <c r="A731" s="117"/>
      <c r="C731" s="68" t="s">
        <v>535</v>
      </c>
      <c r="D731" s="87" t="s">
        <v>58</v>
      </c>
      <c r="E731" s="85">
        <f>STATS1003B!E731/1000</f>
        <v>3662.0233399999997</v>
      </c>
      <c r="F731" s="85">
        <f>STATS1003B!F731/1000</f>
        <v>2410.0120000000002</v>
      </c>
      <c r="G731" s="85">
        <f>STATS1003B!G731/1000</f>
        <v>0</v>
      </c>
      <c r="H731" s="85">
        <f>STATS1003B!H731/1000</f>
        <v>2410.0120000000002</v>
      </c>
      <c r="I731" s="85">
        <f>STATS1003B!I731/1000</f>
        <v>1252.0233399999995</v>
      </c>
      <c r="J731" s="85">
        <f>STATS1003B!J731/1000</f>
        <v>3662.0353399999999</v>
      </c>
      <c r="K731" s="85">
        <f>STATS1003B!K731/1000</f>
        <v>0</v>
      </c>
      <c r="L731" s="85">
        <f>STATS1003B!L731/1000</f>
        <v>1252.0233400000002</v>
      </c>
      <c r="M731" s="85">
        <f>STATS1003B!M731/1000</f>
        <v>3662.0353399999999</v>
      </c>
      <c r="N731" s="85">
        <f>STATS1003B!N731/1000</f>
        <v>0</v>
      </c>
      <c r="O731" s="85">
        <f>STATS1003B!O731/1000</f>
        <v>0</v>
      </c>
      <c r="P731" s="85">
        <f>STATS1003B!P731/1000</f>
        <v>0</v>
      </c>
      <c r="Q731" s="85">
        <f>STATS1003B!Q731/1000</f>
        <v>3662.0233399999997</v>
      </c>
      <c r="R731" s="85">
        <f>STATS1003B!R731/1000</f>
        <v>0</v>
      </c>
      <c r="S731" s="85">
        <f>STATS1003B!S731/1000</f>
        <v>0</v>
      </c>
      <c r="T731" s="85">
        <f>STATS1003B!T731/1000</f>
        <v>0</v>
      </c>
      <c r="U731" s="85">
        <f>STATS1003B!U731/1000</f>
        <v>0</v>
      </c>
      <c r="V731" s="85">
        <f>STATS1003B!V731/1000</f>
        <v>2410.0120000000002</v>
      </c>
      <c r="W731" s="85">
        <f>STATS1003B!W731/1000</f>
        <v>1252.0113399999998</v>
      </c>
      <c r="X731" s="85">
        <f t="shared" si="95"/>
        <v>2410.0120000000002</v>
      </c>
      <c r="Y731" s="85">
        <f>STATS1003B!Y731/1000</f>
        <v>0</v>
      </c>
      <c r="Z731" s="85">
        <f t="shared" si="98"/>
        <v>1252.0113399999996</v>
      </c>
      <c r="AA731" s="69">
        <f>STATS1003B!AA731/1000</f>
        <v>3662.0353399999999</v>
      </c>
      <c r="AB731" s="69">
        <f>STATS1003B!AB731/1000</f>
        <v>-1.2E-2</v>
      </c>
    </row>
    <row r="732" spans="1:28" hidden="1" x14ac:dyDescent="0.3">
      <c r="A732" s="117"/>
      <c r="C732" s="68" t="s">
        <v>535</v>
      </c>
      <c r="D732" s="87" t="s">
        <v>60</v>
      </c>
      <c r="E732" s="85">
        <f>STATS1003B!E732/1000</f>
        <v>2888.8294799999999</v>
      </c>
      <c r="F732" s="85">
        <f>STATS1003B!F732/1000</f>
        <v>2888.8294799999999</v>
      </c>
      <c r="G732" s="85">
        <f>STATS1003B!G732/1000</f>
        <v>0</v>
      </c>
      <c r="H732" s="85">
        <f>STATS1003B!H732/1000</f>
        <v>2888.8294799999999</v>
      </c>
      <c r="I732" s="85">
        <f>STATS1003B!I732/1000</f>
        <v>0</v>
      </c>
      <c r="J732" s="85">
        <f>STATS1003B!J732/1000</f>
        <v>2888.8294799999999</v>
      </c>
      <c r="K732" s="85">
        <f>STATS1003B!K732/1000</f>
        <v>0</v>
      </c>
      <c r="L732" s="85">
        <f>STATS1003B!L732/1000</f>
        <v>0</v>
      </c>
      <c r="M732" s="85">
        <f>STATS1003B!M732/1000</f>
        <v>2888.8294799999999</v>
      </c>
      <c r="N732" s="85">
        <f>STATS1003B!N732/1000</f>
        <v>0</v>
      </c>
      <c r="O732" s="85">
        <f>STATS1003B!O732/1000</f>
        <v>0</v>
      </c>
      <c r="P732" s="85">
        <f>STATS1003B!P732/1000</f>
        <v>0</v>
      </c>
      <c r="Q732" s="85">
        <f>STATS1003B!Q732/1000</f>
        <v>2888.8294799999999</v>
      </c>
      <c r="R732" s="85">
        <f>STATS1003B!R732/1000</f>
        <v>0</v>
      </c>
      <c r="S732" s="85">
        <f>STATS1003B!S732/1000</f>
        <v>0</v>
      </c>
      <c r="T732" s="85">
        <f>STATS1003B!T732/1000</f>
        <v>0</v>
      </c>
      <c r="U732" s="85">
        <f>STATS1003B!U732/1000</f>
        <v>0</v>
      </c>
      <c r="V732" s="85">
        <f>STATS1003B!V732/1000</f>
        <v>2888.8294799999999</v>
      </c>
      <c r="W732" s="85">
        <f>STATS1003B!W732/1000</f>
        <v>0</v>
      </c>
      <c r="X732" s="85">
        <f t="shared" si="95"/>
        <v>2888.8294799999999</v>
      </c>
      <c r="Y732" s="85">
        <f>STATS1003B!Y732/1000</f>
        <v>0</v>
      </c>
      <c r="Z732" s="85">
        <f t="shared" si="98"/>
        <v>0</v>
      </c>
      <c r="AA732" s="69">
        <f>STATS1003B!AA732/1000</f>
        <v>2888.8294799999999</v>
      </c>
      <c r="AB732" s="69">
        <f>STATS1003B!AB732/1000</f>
        <v>0</v>
      </c>
    </row>
    <row r="733" spans="1:28" hidden="1" x14ac:dyDescent="0.3">
      <c r="A733" s="117"/>
      <c r="C733" s="68" t="s">
        <v>535</v>
      </c>
      <c r="D733" s="87" t="s">
        <v>73</v>
      </c>
      <c r="E733" s="85">
        <f>STATS1003B!E733/1000</f>
        <v>2212.0390000000002</v>
      </c>
      <c r="F733" s="85">
        <f>STATS1003B!F733/1000</f>
        <v>2212.0390000000002</v>
      </c>
      <c r="G733" s="85">
        <f>STATS1003B!G733/1000</f>
        <v>0</v>
      </c>
      <c r="H733" s="85">
        <f>STATS1003B!H733/1000</f>
        <v>2212.0390000000002</v>
      </c>
      <c r="I733" s="85">
        <f>STATS1003B!I733/1000</f>
        <v>0</v>
      </c>
      <c r="J733" s="85">
        <f>STATS1003B!J733/1000</f>
        <v>2212.0390000000002</v>
      </c>
      <c r="K733" s="85">
        <f>STATS1003B!K733/1000</f>
        <v>0</v>
      </c>
      <c r="L733" s="85">
        <f>STATS1003B!L733/1000</f>
        <v>0</v>
      </c>
      <c r="M733" s="85">
        <f>STATS1003B!M733/1000</f>
        <v>2212.0390000000002</v>
      </c>
      <c r="N733" s="85">
        <f>STATS1003B!N733/1000</f>
        <v>0</v>
      </c>
      <c r="O733" s="85">
        <f>STATS1003B!O733/1000</f>
        <v>0</v>
      </c>
      <c r="P733" s="85">
        <f>STATS1003B!P733/1000</f>
        <v>0</v>
      </c>
      <c r="Q733" s="85">
        <f>STATS1003B!Q733/1000</f>
        <v>2212.0390000000002</v>
      </c>
      <c r="R733" s="85">
        <f>STATS1003B!R733/1000</f>
        <v>0</v>
      </c>
      <c r="S733" s="85">
        <f>STATS1003B!S733/1000</f>
        <v>0</v>
      </c>
      <c r="T733" s="85">
        <f>STATS1003B!T733/1000</f>
        <v>0</v>
      </c>
      <c r="U733" s="85">
        <f>STATS1003B!U733/1000</f>
        <v>0</v>
      </c>
      <c r="V733" s="85">
        <f>STATS1003B!V733/1000</f>
        <v>2212.0390000000002</v>
      </c>
      <c r="W733" s="85">
        <f>STATS1003B!W733/1000</f>
        <v>0</v>
      </c>
      <c r="X733" s="85">
        <f t="shared" si="95"/>
        <v>2212.0390000000002</v>
      </c>
      <c r="Y733" s="85">
        <f>STATS1003B!Y733/1000</f>
        <v>0</v>
      </c>
      <c r="Z733" s="85">
        <f t="shared" si="98"/>
        <v>0</v>
      </c>
      <c r="AA733" s="69">
        <f>STATS1003B!AA733/1000</f>
        <v>2212.0390000000002</v>
      </c>
      <c r="AB733" s="69">
        <f>STATS1003B!AB733/1000</f>
        <v>0</v>
      </c>
    </row>
    <row r="734" spans="1:28" hidden="1" x14ac:dyDescent="0.3">
      <c r="A734" s="117"/>
      <c r="B734" s="71" t="s">
        <v>620</v>
      </c>
      <c r="C734" s="68" t="s">
        <v>535</v>
      </c>
      <c r="D734" s="87" t="s">
        <v>61</v>
      </c>
      <c r="E734" s="85">
        <f>STATS1003B!E734/1000</f>
        <v>1055.2968999999998</v>
      </c>
      <c r="F734" s="85">
        <f>STATS1003B!F734/1000</f>
        <v>1055.2968999999998</v>
      </c>
      <c r="G734" s="85">
        <f>STATS1003B!G734/1000</f>
        <v>0</v>
      </c>
      <c r="H734" s="85">
        <f>STATS1003B!H734/1000</f>
        <v>1055.2968999999998</v>
      </c>
      <c r="I734" s="85">
        <f>STATS1003B!I734/1000</f>
        <v>0</v>
      </c>
      <c r="J734" s="85">
        <f>STATS1003B!J734/1000</f>
        <v>1055.2968999999998</v>
      </c>
      <c r="K734" s="85">
        <f>STATS1003B!K734/1000</f>
        <v>0</v>
      </c>
      <c r="L734" s="85">
        <f>STATS1003B!L734/1000</f>
        <v>0</v>
      </c>
      <c r="M734" s="85">
        <f>STATS1003B!M734/1000</f>
        <v>1055.2968999999998</v>
      </c>
      <c r="N734" s="85">
        <f>STATS1003B!N734/1000</f>
        <v>0</v>
      </c>
      <c r="O734" s="85">
        <f>STATS1003B!O734/1000</f>
        <v>0</v>
      </c>
      <c r="P734" s="85">
        <f>STATS1003B!P734/1000</f>
        <v>0</v>
      </c>
      <c r="Q734" s="85">
        <f>STATS1003B!Q734/1000</f>
        <v>1055.2968999999998</v>
      </c>
      <c r="R734" s="85">
        <f>STATS1003B!R734/1000</f>
        <v>0</v>
      </c>
      <c r="S734" s="85">
        <f>STATS1003B!S734/1000</f>
        <v>0</v>
      </c>
      <c r="T734" s="85">
        <f>STATS1003B!T734/1000</f>
        <v>0</v>
      </c>
      <c r="U734" s="85">
        <f>STATS1003B!U734/1000</f>
        <v>0</v>
      </c>
      <c r="V734" s="85">
        <f>STATS1003B!V734/1000</f>
        <v>1055.2968999999998</v>
      </c>
      <c r="W734" s="85">
        <f>STATS1003B!W734/1000</f>
        <v>0</v>
      </c>
      <c r="X734" s="85">
        <f t="shared" si="95"/>
        <v>1055.2968999999998</v>
      </c>
      <c r="Y734" s="85">
        <f>STATS1003B!Y734/1000</f>
        <v>0</v>
      </c>
      <c r="Z734" s="85">
        <f t="shared" si="98"/>
        <v>0</v>
      </c>
      <c r="AA734" s="69">
        <f>STATS1003B!AA734/1000</f>
        <v>1055.2968999999998</v>
      </c>
      <c r="AB734" s="69">
        <f>STATS1003B!AB734/1000</f>
        <v>0</v>
      </c>
    </row>
    <row r="735" spans="1:28" hidden="1" x14ac:dyDescent="0.3">
      <c r="A735" s="117"/>
      <c r="C735" s="68" t="s">
        <v>621</v>
      </c>
      <c r="D735" s="87" t="s">
        <v>61</v>
      </c>
      <c r="E735" s="85">
        <f>STATS1003B!E735/1000</f>
        <v>1792.5467599999997</v>
      </c>
      <c r="F735" s="85">
        <f>STATS1003B!F735/1000</f>
        <v>1722.9116799999999</v>
      </c>
      <c r="G735" s="85">
        <f>STATS1003B!G735/1000</f>
        <v>0</v>
      </c>
      <c r="H735" s="85">
        <f>STATS1003B!H735/1000</f>
        <v>1722.9116799999999</v>
      </c>
      <c r="I735" s="85">
        <f>STATS1003B!I735/1000</f>
        <v>0</v>
      </c>
      <c r="J735" s="85">
        <f>STATS1003B!J735/1000</f>
        <v>1722.9116799999999</v>
      </c>
      <c r="K735" s="85">
        <f>STATS1003B!K735/1000</f>
        <v>69.635080000000002</v>
      </c>
      <c r="L735" s="85">
        <f>STATS1003B!L735/1000</f>
        <v>0</v>
      </c>
      <c r="M735" s="85">
        <f>STATS1003B!M735/1000</f>
        <v>1722.9116799999999</v>
      </c>
      <c r="N735" s="85">
        <f>STATS1003B!N735/1000</f>
        <v>69.635080000000002</v>
      </c>
      <c r="O735" s="85">
        <f>STATS1003B!O735/1000</f>
        <v>0</v>
      </c>
      <c r="P735" s="85">
        <f>STATS1003B!P735/1000</f>
        <v>69.635080000000002</v>
      </c>
      <c r="Q735" s="85">
        <f>STATS1003B!Q735/1000</f>
        <v>1722.9116799999997</v>
      </c>
      <c r="R735" s="85">
        <f>STATS1003B!R735/1000</f>
        <v>0</v>
      </c>
      <c r="S735" s="85">
        <f>STATS1003B!S735/1000</f>
        <v>0</v>
      </c>
      <c r="T735" s="85">
        <f>STATS1003B!T735/1000</f>
        <v>0</v>
      </c>
      <c r="U735" s="85">
        <f>STATS1003B!U735/1000</f>
        <v>69.635080000000002</v>
      </c>
      <c r="V735" s="85">
        <f>STATS1003B!V735/1000</f>
        <v>1792.5467599999999</v>
      </c>
      <c r="W735" s="85">
        <f>STATS1003B!W735/1000</f>
        <v>0</v>
      </c>
      <c r="X735" s="85">
        <f t="shared" si="95"/>
        <v>1792.5467599999999</v>
      </c>
      <c r="Y735" s="85">
        <f>STATS1003B!Y735/1000</f>
        <v>0</v>
      </c>
      <c r="Z735" s="85">
        <f t="shared" si="98"/>
        <v>0</v>
      </c>
      <c r="AA735" s="69">
        <f>STATS1003B!AA735/1000</f>
        <v>1792.5467599999999</v>
      </c>
      <c r="AB735" s="69">
        <f>STATS1003B!AB735/1000</f>
        <v>0</v>
      </c>
    </row>
    <row r="736" spans="1:28" hidden="1" x14ac:dyDescent="0.3">
      <c r="A736" s="117"/>
      <c r="C736" s="68" t="s">
        <v>1103</v>
      </c>
      <c r="D736" s="90" t="s">
        <v>1072</v>
      </c>
      <c r="E736" s="85">
        <f>STATS1003B!E736/1000</f>
        <v>300</v>
      </c>
      <c r="F736" s="85">
        <f>STATS1003B!F736/1000</f>
        <v>300</v>
      </c>
      <c r="G736" s="85">
        <f>STATS1003B!G736/1000</f>
        <v>0</v>
      </c>
      <c r="H736" s="85">
        <f>STATS1003B!H736/1000</f>
        <v>300</v>
      </c>
      <c r="I736" s="85">
        <f>STATS1003B!I736/1000</f>
        <v>0</v>
      </c>
      <c r="J736" s="85">
        <f>STATS1003B!J736/1000</f>
        <v>300</v>
      </c>
      <c r="K736" s="85">
        <f>STATS1003B!K736/1000</f>
        <v>0</v>
      </c>
      <c r="L736" s="85">
        <f>STATS1003B!L736/1000</f>
        <v>0</v>
      </c>
      <c r="M736" s="85">
        <f>STATS1003B!M736/1000</f>
        <v>300</v>
      </c>
      <c r="N736" s="85">
        <f>STATS1003B!N736/1000</f>
        <v>0</v>
      </c>
      <c r="O736" s="85">
        <f>STATS1003B!O736/1000</f>
        <v>0</v>
      </c>
      <c r="P736" s="85">
        <f>STATS1003B!P736/1000</f>
        <v>0</v>
      </c>
      <c r="Q736" s="85">
        <f>STATS1003B!Q736/1000</f>
        <v>0</v>
      </c>
      <c r="R736" s="85">
        <f>STATS1003B!R736/1000</f>
        <v>0</v>
      </c>
      <c r="S736" s="85">
        <f>STATS1003B!S736/1000</f>
        <v>0</v>
      </c>
      <c r="T736" s="85">
        <f>STATS1003B!T736/1000</f>
        <v>0</v>
      </c>
      <c r="U736" s="85">
        <f>STATS1003B!U736/1000</f>
        <v>0</v>
      </c>
      <c r="V736" s="85">
        <f>STATS1003B!V736/1000</f>
        <v>300</v>
      </c>
      <c r="W736" s="85">
        <f>STATS1003B!W736/1000</f>
        <v>0</v>
      </c>
      <c r="X736" s="85">
        <f t="shared" si="95"/>
        <v>300</v>
      </c>
      <c r="Y736" s="85">
        <f>STATS1003B!Y736/1000</f>
        <v>0</v>
      </c>
      <c r="Z736" s="85">
        <f t="shared" si="98"/>
        <v>0</v>
      </c>
      <c r="AA736" s="69">
        <f>STATS1003B!AA736/1000</f>
        <v>300</v>
      </c>
      <c r="AB736" s="69">
        <f>STATS1003B!AB736/1000</f>
        <v>0</v>
      </c>
    </row>
    <row r="737" spans="1:28" hidden="1" x14ac:dyDescent="0.3">
      <c r="A737" s="117"/>
      <c r="C737" s="68" t="s">
        <v>1145</v>
      </c>
      <c r="D737" s="90" t="s">
        <v>1126</v>
      </c>
      <c r="E737" s="85">
        <f>STATS1003B!E737/1000</f>
        <v>300</v>
      </c>
      <c r="F737" s="85">
        <f>STATS1003B!F737/1000</f>
        <v>300</v>
      </c>
      <c r="G737" s="85">
        <f>STATS1003B!G737/1000</f>
        <v>0</v>
      </c>
      <c r="H737" s="85">
        <f>STATS1003B!H737/1000</f>
        <v>300</v>
      </c>
      <c r="I737" s="85">
        <f>STATS1003B!I737/1000</f>
        <v>0</v>
      </c>
      <c r="J737" s="85">
        <f>STATS1003B!J737/1000</f>
        <v>300</v>
      </c>
      <c r="K737" s="85">
        <f>STATS1003B!K737/1000</f>
        <v>0</v>
      </c>
      <c r="L737" s="85">
        <f>STATS1003B!L737/1000</f>
        <v>0</v>
      </c>
      <c r="M737" s="85">
        <f>STATS1003B!M737/1000</f>
        <v>300</v>
      </c>
      <c r="N737" s="85">
        <f>STATS1003B!N737/1000</f>
        <v>0</v>
      </c>
      <c r="O737" s="85">
        <f>STATS1003B!O737/1000</f>
        <v>0</v>
      </c>
      <c r="P737" s="85">
        <f>STATS1003B!P737/1000</f>
        <v>0</v>
      </c>
      <c r="Q737" s="85">
        <f>STATS1003B!Q737/1000</f>
        <v>0</v>
      </c>
      <c r="R737" s="85">
        <f>STATS1003B!R737/1000</f>
        <v>0</v>
      </c>
      <c r="S737" s="85">
        <f>STATS1003B!S737/1000</f>
        <v>0</v>
      </c>
      <c r="T737" s="85">
        <f>STATS1003B!T737/1000</f>
        <v>0</v>
      </c>
      <c r="U737" s="85">
        <f>STATS1003B!U737/1000</f>
        <v>0</v>
      </c>
      <c r="V737" s="85">
        <f>STATS1003B!V737/1000</f>
        <v>300</v>
      </c>
      <c r="W737" s="85">
        <f>STATS1003B!W737/1000</f>
        <v>0</v>
      </c>
      <c r="X737" s="85">
        <f t="shared" si="95"/>
        <v>300</v>
      </c>
      <c r="Y737" s="85">
        <f>STATS1003B!Y737/1000</f>
        <v>0</v>
      </c>
      <c r="Z737" s="85">
        <f t="shared" si="98"/>
        <v>0</v>
      </c>
      <c r="AA737" s="69">
        <f>STATS1003B!AA737/1000</f>
        <v>300</v>
      </c>
      <c r="AB737" s="69">
        <f>STATS1003B!AB737/1000</f>
        <v>0</v>
      </c>
    </row>
    <row r="738" spans="1:28" hidden="1" x14ac:dyDescent="0.3">
      <c r="A738" s="117"/>
      <c r="C738" s="68" t="s">
        <v>933</v>
      </c>
      <c r="D738" s="90" t="s">
        <v>1072</v>
      </c>
      <c r="E738" s="85">
        <f>STATS1003B!E738/1000</f>
        <v>212</v>
      </c>
      <c r="F738" s="85">
        <f>STATS1003B!F738/1000</f>
        <v>212</v>
      </c>
      <c r="G738" s="85">
        <f>STATS1003B!G738/1000</f>
        <v>0</v>
      </c>
      <c r="H738" s="85">
        <f>STATS1003B!H738/1000</f>
        <v>212</v>
      </c>
      <c r="I738" s="85">
        <f>STATS1003B!I738/1000</f>
        <v>0</v>
      </c>
      <c r="J738" s="85">
        <f>STATS1003B!J738/1000</f>
        <v>0</v>
      </c>
      <c r="K738" s="85">
        <f>STATS1003B!K738/1000</f>
        <v>0</v>
      </c>
      <c r="L738" s="85">
        <f>STATS1003B!L738/1000</f>
        <v>0</v>
      </c>
      <c r="M738" s="85">
        <f>STATS1003B!M738/1000</f>
        <v>212</v>
      </c>
      <c r="N738" s="85">
        <f>STATS1003B!N738/1000</f>
        <v>0</v>
      </c>
      <c r="O738" s="85">
        <f>STATS1003B!O738/1000</f>
        <v>0</v>
      </c>
      <c r="P738" s="85">
        <f>STATS1003B!P738/1000</f>
        <v>0</v>
      </c>
      <c r="Q738" s="85">
        <f>STATS1003B!Q738/1000</f>
        <v>0</v>
      </c>
      <c r="R738" s="85">
        <f>STATS1003B!R738/1000</f>
        <v>0</v>
      </c>
      <c r="S738" s="85">
        <f>STATS1003B!S738/1000</f>
        <v>0</v>
      </c>
      <c r="T738" s="85">
        <f>STATS1003B!T738/1000</f>
        <v>0</v>
      </c>
      <c r="U738" s="85">
        <f>STATS1003B!U738/1000</f>
        <v>0</v>
      </c>
      <c r="V738" s="85">
        <f>STATS1003B!V738/1000</f>
        <v>212</v>
      </c>
      <c r="W738" s="85">
        <f>STATS1003B!W738/1000</f>
        <v>0</v>
      </c>
      <c r="X738" s="85">
        <f t="shared" si="95"/>
        <v>212</v>
      </c>
      <c r="Y738" s="85">
        <f>STATS1003B!Y738/1000</f>
        <v>0</v>
      </c>
      <c r="Z738" s="85">
        <f t="shared" si="98"/>
        <v>0</v>
      </c>
      <c r="AA738" s="69">
        <f>STATS1003B!AA738/1000</f>
        <v>212</v>
      </c>
      <c r="AB738" s="69">
        <f>STATS1003B!AB738/1000</f>
        <v>0</v>
      </c>
    </row>
    <row r="739" spans="1:28" hidden="1" x14ac:dyDescent="0.3">
      <c r="A739" s="117"/>
      <c r="C739" s="68" t="s">
        <v>622</v>
      </c>
      <c r="E739" s="85">
        <f>STATS1003B!E739/1000</f>
        <v>3829.9040499999996</v>
      </c>
      <c r="F739" s="85">
        <f>STATS1003B!F739/1000</f>
        <v>3791.8706499999998</v>
      </c>
      <c r="G739" s="85">
        <f>STATS1003B!G739/1000</f>
        <v>0</v>
      </c>
      <c r="H739" s="85">
        <f>STATS1003B!H739/1000</f>
        <v>3791.8706499999998</v>
      </c>
      <c r="I739" s="85">
        <f>STATS1003B!I739/1000</f>
        <v>0</v>
      </c>
      <c r="J739" s="85">
        <f>STATS1003B!J739/1000</f>
        <v>3791.8706499999998</v>
      </c>
      <c r="K739" s="85">
        <f>STATS1003B!K739/1000</f>
        <v>38.0334</v>
      </c>
      <c r="L739" s="85">
        <f>STATS1003B!L739/1000</f>
        <v>0</v>
      </c>
      <c r="M739" s="85">
        <f>STATS1003B!M739/1000</f>
        <v>3791.8706499999998</v>
      </c>
      <c r="N739" s="85">
        <f>STATS1003B!N739/1000</f>
        <v>38.0334</v>
      </c>
      <c r="O739" s="85">
        <f>STATS1003B!O739/1000</f>
        <v>0</v>
      </c>
      <c r="P739" s="85">
        <f>STATS1003B!P739/1000</f>
        <v>38.0334</v>
      </c>
      <c r="Q739" s="85">
        <f>STATS1003B!Q739/1000</f>
        <v>3791.8706499999998</v>
      </c>
      <c r="R739" s="85">
        <f>STATS1003B!R739/1000</f>
        <v>0</v>
      </c>
      <c r="S739" s="85">
        <f>STATS1003B!S739/1000</f>
        <v>0</v>
      </c>
      <c r="T739" s="85">
        <f>STATS1003B!T739/1000</f>
        <v>0</v>
      </c>
      <c r="U739" s="85">
        <f>STATS1003B!U739/1000</f>
        <v>38.0334</v>
      </c>
      <c r="V739" s="85">
        <f>STATS1003B!V739/1000</f>
        <v>3829.9040499999996</v>
      </c>
      <c r="W739" s="85">
        <f>STATS1003B!W739/1000</f>
        <v>0</v>
      </c>
      <c r="X739" s="85">
        <f t="shared" si="95"/>
        <v>3829.9040499999996</v>
      </c>
      <c r="Y739" s="85">
        <f>STATS1003B!Y739/1000</f>
        <v>0</v>
      </c>
      <c r="Z739" s="85">
        <f t="shared" si="98"/>
        <v>0</v>
      </c>
      <c r="AA739" s="69">
        <f>STATS1003B!AA739/1000</f>
        <v>3829.9040499999996</v>
      </c>
      <c r="AB739" s="69">
        <f>STATS1003B!AB739/1000</f>
        <v>0</v>
      </c>
    </row>
    <row r="740" spans="1:28" hidden="1" x14ac:dyDescent="0.3">
      <c r="A740" s="117"/>
      <c r="C740" s="68" t="s">
        <v>623</v>
      </c>
      <c r="E740" s="85">
        <f>STATS1003B!E740/1000</f>
        <v>452.86399999999998</v>
      </c>
      <c r="F740" s="85">
        <f>STATS1003B!F740/1000</f>
        <v>452.86399999999998</v>
      </c>
      <c r="G740" s="85">
        <f>STATS1003B!G740/1000</f>
        <v>0</v>
      </c>
      <c r="H740" s="85">
        <f>STATS1003B!H740/1000</f>
        <v>452.86399999999998</v>
      </c>
      <c r="I740" s="85">
        <f>STATS1003B!I740/1000</f>
        <v>0</v>
      </c>
      <c r="J740" s="85">
        <f>STATS1003B!J740/1000</f>
        <v>452.86399999999998</v>
      </c>
      <c r="K740" s="85">
        <f>STATS1003B!K740/1000</f>
        <v>0</v>
      </c>
      <c r="L740" s="85">
        <f>STATS1003B!L740/1000</f>
        <v>0</v>
      </c>
      <c r="M740" s="85">
        <f>STATS1003B!M740/1000</f>
        <v>452.86399999999998</v>
      </c>
      <c r="N740" s="85">
        <f>STATS1003B!N740/1000</f>
        <v>0</v>
      </c>
      <c r="O740" s="85">
        <f>STATS1003B!O740/1000</f>
        <v>0</v>
      </c>
      <c r="P740" s="85">
        <f>STATS1003B!P740/1000</f>
        <v>0</v>
      </c>
      <c r="Q740" s="85">
        <f>STATS1003B!Q740/1000</f>
        <v>452.86399999999998</v>
      </c>
      <c r="R740" s="85">
        <f>STATS1003B!R740/1000</f>
        <v>0</v>
      </c>
      <c r="S740" s="85">
        <f>STATS1003B!S740/1000</f>
        <v>0</v>
      </c>
      <c r="T740" s="85">
        <f>STATS1003B!T740/1000</f>
        <v>0</v>
      </c>
      <c r="U740" s="85">
        <f>STATS1003B!U740/1000</f>
        <v>0</v>
      </c>
      <c r="V740" s="85">
        <f>STATS1003B!V740/1000</f>
        <v>452.86399999999998</v>
      </c>
      <c r="W740" s="85">
        <f>STATS1003B!W740/1000</f>
        <v>0</v>
      </c>
      <c r="X740" s="85">
        <f t="shared" si="95"/>
        <v>452.86399999999998</v>
      </c>
      <c r="Y740" s="85">
        <f>STATS1003B!Y740/1000</f>
        <v>0</v>
      </c>
      <c r="Z740" s="85">
        <f t="shared" si="98"/>
        <v>0</v>
      </c>
      <c r="AA740" s="69">
        <f>STATS1003B!AA740/1000</f>
        <v>452.86399999999998</v>
      </c>
      <c r="AB740" s="69">
        <f>STATS1003B!AB740/1000</f>
        <v>0</v>
      </c>
    </row>
    <row r="741" spans="1:28" hidden="1" x14ac:dyDescent="0.3">
      <c r="A741" s="117"/>
      <c r="C741" s="68" t="s">
        <v>606</v>
      </c>
      <c r="E741" s="85">
        <f>STATS1003B!E741/1000</f>
        <v>2500</v>
      </c>
      <c r="F741" s="85">
        <f>STATS1003B!F741/1000</f>
        <v>2500</v>
      </c>
      <c r="G741" s="85">
        <f>STATS1003B!G741/1000</f>
        <v>0</v>
      </c>
      <c r="H741" s="85">
        <f>STATS1003B!H741/1000</f>
        <v>2500</v>
      </c>
      <c r="I741" s="85">
        <f>STATS1003B!I741/1000</f>
        <v>0</v>
      </c>
      <c r="J741" s="85">
        <f>STATS1003B!J741/1000</f>
        <v>2500</v>
      </c>
      <c r="K741" s="85">
        <f>STATS1003B!K741/1000</f>
        <v>0</v>
      </c>
      <c r="L741" s="85">
        <f>STATS1003B!L741/1000</f>
        <v>0</v>
      </c>
      <c r="M741" s="85">
        <f>STATS1003B!M741/1000</f>
        <v>2500</v>
      </c>
      <c r="N741" s="85">
        <f>STATS1003B!N741/1000</f>
        <v>0</v>
      </c>
      <c r="O741" s="85">
        <f>STATS1003B!O741/1000</f>
        <v>0</v>
      </c>
      <c r="P741" s="85">
        <f>STATS1003B!P741/1000</f>
        <v>0</v>
      </c>
      <c r="Q741" s="85">
        <f>STATS1003B!Q741/1000</f>
        <v>2500</v>
      </c>
      <c r="R741" s="85">
        <f>STATS1003B!R741/1000</f>
        <v>0</v>
      </c>
      <c r="S741" s="85">
        <f>STATS1003B!S741/1000</f>
        <v>0</v>
      </c>
      <c r="T741" s="85">
        <f>STATS1003B!T741/1000</f>
        <v>0</v>
      </c>
      <c r="U741" s="85">
        <f>STATS1003B!U741/1000</f>
        <v>0</v>
      </c>
      <c r="V741" s="85">
        <f>STATS1003B!V741/1000</f>
        <v>2500</v>
      </c>
      <c r="W741" s="85">
        <f>STATS1003B!W741/1000</f>
        <v>0</v>
      </c>
      <c r="X741" s="85">
        <f t="shared" si="95"/>
        <v>2500</v>
      </c>
      <c r="Y741" s="85">
        <f>STATS1003B!Y741/1000</f>
        <v>0</v>
      </c>
      <c r="Z741" s="85">
        <f t="shared" si="98"/>
        <v>0</v>
      </c>
      <c r="AA741" s="69">
        <f>STATS1003B!AA741/1000</f>
        <v>2500</v>
      </c>
      <c r="AB741" s="69">
        <f>STATS1003B!AB741/1000</f>
        <v>0</v>
      </c>
    </row>
    <row r="742" spans="1:28" hidden="1" x14ac:dyDescent="0.3">
      <c r="A742" s="117"/>
      <c r="E742" s="86" t="s">
        <v>29</v>
      </c>
      <c r="F742" s="86" t="s">
        <v>29</v>
      </c>
      <c r="G742" s="86" t="s">
        <v>29</v>
      </c>
      <c r="H742" s="86" t="s">
        <v>29</v>
      </c>
      <c r="I742" s="86" t="s">
        <v>29</v>
      </c>
      <c r="J742" s="86" t="s">
        <v>29</v>
      </c>
      <c r="K742" s="86" t="s">
        <v>29</v>
      </c>
      <c r="L742" s="86" t="s">
        <v>29</v>
      </c>
      <c r="M742" s="86" t="s">
        <v>29</v>
      </c>
      <c r="N742" s="86" t="s">
        <v>29</v>
      </c>
      <c r="O742" s="86" t="s">
        <v>29</v>
      </c>
      <c r="P742" s="86" t="s">
        <v>29</v>
      </c>
      <c r="Q742" s="86" t="s">
        <v>29</v>
      </c>
      <c r="R742" s="86" t="s">
        <v>29</v>
      </c>
      <c r="S742" s="86" t="s">
        <v>29</v>
      </c>
      <c r="T742" s="86" t="s">
        <v>29</v>
      </c>
      <c r="U742" s="86" t="s">
        <v>29</v>
      </c>
      <c r="V742" s="86" t="s">
        <v>29</v>
      </c>
      <c r="W742" s="86" t="s">
        <v>29</v>
      </c>
      <c r="X742" s="85" t="e">
        <f t="shared" si="95"/>
        <v>#VALUE!</v>
      </c>
      <c r="Y742" s="86" t="s">
        <v>29</v>
      </c>
      <c r="Z742" s="85" t="e">
        <f t="shared" si="98"/>
        <v>#VALUE!</v>
      </c>
      <c r="AA742" s="115" t="s">
        <v>29</v>
      </c>
      <c r="AB742" s="115" t="s">
        <v>29</v>
      </c>
    </row>
    <row r="743" spans="1:28" x14ac:dyDescent="0.3">
      <c r="A743" s="116">
        <v>35</v>
      </c>
      <c r="B743" s="68" t="s">
        <v>1278</v>
      </c>
      <c r="E743" s="85">
        <f>91418395.39/1000</f>
        <v>91418.395390000005</v>
      </c>
      <c r="F743" s="85">
        <f t="shared" ref="F743:Q743" si="99">SUM(F717:F742)</f>
        <v>46987.385449999994</v>
      </c>
      <c r="G743" s="85">
        <f t="shared" si="99"/>
        <v>0</v>
      </c>
      <c r="H743" s="85">
        <f>86581584.22/1000</f>
        <v>86581.584220000004</v>
      </c>
      <c r="I743" s="85">
        <f t="shared" si="99"/>
        <v>1252.0233399999995</v>
      </c>
      <c r="J743" s="85">
        <f t="shared" si="99"/>
        <v>48027.408789999994</v>
      </c>
      <c r="K743" s="85">
        <f t="shared" si="99"/>
        <v>3584.7998300000004</v>
      </c>
      <c r="L743" s="85">
        <f t="shared" si="99"/>
        <v>1252.0233400000002</v>
      </c>
      <c r="M743" s="85">
        <f t="shared" si="99"/>
        <v>48239.408789999994</v>
      </c>
      <c r="N743" s="85">
        <f t="shared" si="99"/>
        <v>3584.7998300000004</v>
      </c>
      <c r="O743" s="85">
        <f t="shared" si="99"/>
        <v>0</v>
      </c>
      <c r="P743" s="85">
        <f>3584799/1000</f>
        <v>3584.799</v>
      </c>
      <c r="Q743" s="85">
        <f t="shared" si="99"/>
        <v>47427.396789999992</v>
      </c>
      <c r="R743" s="86"/>
      <c r="S743" s="86"/>
      <c r="T743" s="85">
        <f t="shared" ref="T743:Y743" si="100">SUM(T717:T742)</f>
        <v>0</v>
      </c>
      <c r="U743" s="85">
        <f t="shared" si="100"/>
        <v>3584.7998300000004</v>
      </c>
      <c r="V743" s="85">
        <f t="shared" si="100"/>
        <v>50572.185279999991</v>
      </c>
      <c r="W743" s="85">
        <f t="shared" si="100"/>
        <v>1252.0113399999998</v>
      </c>
      <c r="X743" s="85">
        <f t="shared" si="95"/>
        <v>90166.383220000003</v>
      </c>
      <c r="Y743" s="85">
        <f t="shared" si="100"/>
        <v>0</v>
      </c>
      <c r="Z743" s="85">
        <f t="shared" si="98"/>
        <v>1252.0121700000018</v>
      </c>
      <c r="AA743" s="69">
        <f>SUM(AA717:AA742)</f>
        <v>51824.20861999999</v>
      </c>
      <c r="AB743" s="69">
        <f>SUM(AB717:AB742)</f>
        <v>-1.2E-2</v>
      </c>
    </row>
    <row r="744" spans="1:28" hidden="1" x14ac:dyDescent="0.3">
      <c r="A744" s="117"/>
      <c r="E744" s="86" t="s">
        <v>29</v>
      </c>
      <c r="F744" s="86" t="s">
        <v>29</v>
      </c>
      <c r="G744" s="86" t="s">
        <v>29</v>
      </c>
      <c r="H744" s="86" t="s">
        <v>29</v>
      </c>
      <c r="I744" s="86" t="s">
        <v>29</v>
      </c>
      <c r="J744" s="86" t="s">
        <v>29</v>
      </c>
      <c r="K744" s="86" t="s">
        <v>29</v>
      </c>
      <c r="L744" s="86" t="s">
        <v>29</v>
      </c>
      <c r="M744" s="86" t="s">
        <v>29</v>
      </c>
      <c r="N744" s="86" t="s">
        <v>29</v>
      </c>
      <c r="O744" s="86" t="s">
        <v>29</v>
      </c>
      <c r="P744" s="86" t="s">
        <v>29</v>
      </c>
      <c r="Q744" s="86" t="s">
        <v>29</v>
      </c>
      <c r="R744" s="86" t="s">
        <v>29</v>
      </c>
      <c r="S744" s="86" t="s">
        <v>29</v>
      </c>
      <c r="T744" s="86" t="s">
        <v>29</v>
      </c>
      <c r="U744" s="86" t="s">
        <v>29</v>
      </c>
      <c r="V744" s="86" t="s">
        <v>29</v>
      </c>
      <c r="W744" s="86" t="s">
        <v>29</v>
      </c>
      <c r="X744" s="85" t="e">
        <f t="shared" si="95"/>
        <v>#VALUE!</v>
      </c>
      <c r="Y744" s="86" t="s">
        <v>29</v>
      </c>
      <c r="Z744" s="85" t="e">
        <f t="shared" si="98"/>
        <v>#VALUE!</v>
      </c>
      <c r="AA744" s="115" t="s">
        <v>29</v>
      </c>
      <c r="AB744" s="115" t="s">
        <v>29</v>
      </c>
    </row>
    <row r="745" spans="1:28" hidden="1" x14ac:dyDescent="0.3">
      <c r="A745" s="105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6"/>
      <c r="S745" s="86"/>
      <c r="T745" s="86"/>
      <c r="U745" s="86"/>
      <c r="V745" s="86"/>
      <c r="W745" s="86"/>
      <c r="X745" s="85">
        <f t="shared" si="95"/>
        <v>0</v>
      </c>
      <c r="Y745" s="86"/>
      <c r="Z745" s="85">
        <f t="shared" si="98"/>
        <v>0</v>
      </c>
      <c r="AA745" s="118"/>
    </row>
    <row r="746" spans="1:28" hidden="1" x14ac:dyDescent="0.3">
      <c r="A746" s="117"/>
      <c r="C746" s="68" t="s">
        <v>535</v>
      </c>
      <c r="D746" s="87" t="s">
        <v>150</v>
      </c>
      <c r="E746" s="85">
        <f>STATS1003B!E746/1000</f>
        <v>1532.7944299999999</v>
      </c>
      <c r="F746" s="85">
        <f>STATS1003B!F746/1000</f>
        <v>1532.7944299999999</v>
      </c>
      <c r="G746" s="85">
        <f>STATS1003B!G746/1000</f>
        <v>0</v>
      </c>
      <c r="H746" s="85">
        <f>STATS1003B!H746/1000</f>
        <v>1532.7944299999999</v>
      </c>
      <c r="I746" s="85">
        <f>STATS1003B!I746/1000</f>
        <v>0</v>
      </c>
      <c r="J746" s="85">
        <f>STATS1003B!J746/1000</f>
        <v>1532.7944299999999</v>
      </c>
      <c r="K746" s="85">
        <f>STATS1003B!K746/1000</f>
        <v>0</v>
      </c>
      <c r="L746" s="85">
        <f>STATS1003B!L746/1000</f>
        <v>0</v>
      </c>
      <c r="M746" s="85">
        <f>STATS1003B!M746/1000</f>
        <v>1532.7944299999999</v>
      </c>
      <c r="N746" s="85">
        <f>STATS1003B!N746/1000</f>
        <v>0</v>
      </c>
      <c r="O746" s="85">
        <f>STATS1003B!O746/1000</f>
        <v>0</v>
      </c>
      <c r="P746" s="85">
        <f>STATS1003B!P746/1000</f>
        <v>0</v>
      </c>
      <c r="Q746" s="85">
        <f>STATS1003B!Q746/1000</f>
        <v>1532.7944299999999</v>
      </c>
      <c r="R746" s="85">
        <f>STATS1003B!R746/1000</f>
        <v>0</v>
      </c>
      <c r="S746" s="85">
        <f>STATS1003B!S746/1000</f>
        <v>0</v>
      </c>
      <c r="T746" s="85">
        <f>STATS1003B!T746/1000</f>
        <v>0</v>
      </c>
      <c r="U746" s="85">
        <f>STATS1003B!U746/1000</f>
        <v>0</v>
      </c>
      <c r="V746" s="85">
        <f>STATS1003B!V746/1000</f>
        <v>1532.7944299999999</v>
      </c>
      <c r="W746" s="85">
        <f>STATS1003B!W746/1000</f>
        <v>0</v>
      </c>
      <c r="X746" s="85">
        <f t="shared" si="95"/>
        <v>1532.7944299999999</v>
      </c>
      <c r="Y746" s="85">
        <f>STATS1003B!Y746/1000</f>
        <v>0</v>
      </c>
      <c r="Z746" s="85">
        <f t="shared" si="98"/>
        <v>0</v>
      </c>
      <c r="AA746" s="69">
        <f>STATS1003B!AA746/1000</f>
        <v>1532.7944299999999</v>
      </c>
      <c r="AB746" s="69">
        <f>STATS1003B!AB746/1000</f>
        <v>0</v>
      </c>
    </row>
    <row r="747" spans="1:28" hidden="1" x14ac:dyDescent="0.3">
      <c r="A747" s="117"/>
      <c r="C747" s="68" t="s">
        <v>625</v>
      </c>
      <c r="D747" s="87" t="s">
        <v>150</v>
      </c>
      <c r="E747" s="85">
        <f>STATS1003B!E747/1000</f>
        <v>4350</v>
      </c>
      <c r="F747" s="85">
        <f>STATS1003B!F747/1000</f>
        <v>4328.5010000000002</v>
      </c>
      <c r="G747" s="85">
        <f>STATS1003B!G747/1000</f>
        <v>0</v>
      </c>
      <c r="H747" s="85">
        <f>STATS1003B!H747/1000</f>
        <v>4328.5010000000002</v>
      </c>
      <c r="I747" s="85">
        <f>STATS1003B!I747/1000</f>
        <v>0</v>
      </c>
      <c r="J747" s="85">
        <f>STATS1003B!J747/1000</f>
        <v>4328.5010000000002</v>
      </c>
      <c r="K747" s="85">
        <f>STATS1003B!K747/1000</f>
        <v>21.498999999999999</v>
      </c>
      <c r="L747" s="85">
        <f>STATS1003B!L747/1000</f>
        <v>0</v>
      </c>
      <c r="M747" s="85">
        <f>STATS1003B!M747/1000</f>
        <v>4328.5010000000002</v>
      </c>
      <c r="N747" s="85">
        <f>STATS1003B!N747/1000</f>
        <v>21.498999999999999</v>
      </c>
      <c r="O747" s="85">
        <f>STATS1003B!O747/1000</f>
        <v>0</v>
      </c>
      <c r="P747" s="85">
        <f>STATS1003B!P747/1000</f>
        <v>21.498999999999999</v>
      </c>
      <c r="Q747" s="85">
        <f>STATS1003B!Q747/1000</f>
        <v>4328.5010000000002</v>
      </c>
      <c r="R747" s="85">
        <f>STATS1003B!R747/1000</f>
        <v>0</v>
      </c>
      <c r="S747" s="85">
        <f>STATS1003B!S747/1000</f>
        <v>0</v>
      </c>
      <c r="T747" s="85">
        <f>STATS1003B!T747/1000</f>
        <v>0</v>
      </c>
      <c r="U747" s="85">
        <f>STATS1003B!U747/1000</f>
        <v>21.498999999999999</v>
      </c>
      <c r="V747" s="85">
        <f>STATS1003B!V747/1000</f>
        <v>4350</v>
      </c>
      <c r="W747" s="85">
        <f>STATS1003B!W747/1000</f>
        <v>0</v>
      </c>
      <c r="X747" s="85">
        <f t="shared" si="95"/>
        <v>4350</v>
      </c>
      <c r="Y747" s="85">
        <f>STATS1003B!Y747/1000</f>
        <v>0</v>
      </c>
      <c r="Z747" s="85">
        <f t="shared" si="98"/>
        <v>0</v>
      </c>
      <c r="AA747" s="69">
        <f>STATS1003B!AA747/1000</f>
        <v>4350</v>
      </c>
      <c r="AB747" s="69">
        <f>STATS1003B!AB747/1000</f>
        <v>0</v>
      </c>
    </row>
    <row r="748" spans="1:28" hidden="1" x14ac:dyDescent="0.3">
      <c r="A748" s="117"/>
      <c r="C748" s="68" t="s">
        <v>626</v>
      </c>
      <c r="D748" s="87" t="s">
        <v>150</v>
      </c>
      <c r="E748" s="85">
        <f>STATS1003B!E748/1000</f>
        <v>1856.87943</v>
      </c>
      <c r="F748" s="85">
        <f>STATS1003B!F748/1000</f>
        <v>1375.4691200000002</v>
      </c>
      <c r="G748" s="85">
        <f>STATS1003B!G748/1000</f>
        <v>0</v>
      </c>
      <c r="H748" s="85">
        <f>STATS1003B!H748/1000</f>
        <v>1375.4691200000002</v>
      </c>
      <c r="I748" s="85">
        <f>STATS1003B!I748/1000</f>
        <v>0</v>
      </c>
      <c r="J748" s="85">
        <f>STATS1003B!J748/1000</f>
        <v>1375.4691200000002</v>
      </c>
      <c r="K748" s="85">
        <f>STATS1003B!K748/1000</f>
        <v>481.41030999999998</v>
      </c>
      <c r="L748" s="85">
        <f>STATS1003B!L748/1000</f>
        <v>0</v>
      </c>
      <c r="M748" s="85">
        <f>STATS1003B!M748/1000</f>
        <v>1375.4691200000002</v>
      </c>
      <c r="N748" s="85">
        <f>STATS1003B!N748/1000</f>
        <v>481.41030999999998</v>
      </c>
      <c r="O748" s="85">
        <f>STATS1003B!O748/1000</f>
        <v>0</v>
      </c>
      <c r="P748" s="85">
        <f>STATS1003B!P748/1000</f>
        <v>481.41030999999998</v>
      </c>
      <c r="Q748" s="85">
        <f>STATS1003B!Q748/1000</f>
        <v>1375.46912</v>
      </c>
      <c r="R748" s="85">
        <f>STATS1003B!R748/1000</f>
        <v>0</v>
      </c>
      <c r="S748" s="85">
        <f>STATS1003B!S748/1000</f>
        <v>0</v>
      </c>
      <c r="T748" s="85">
        <f>STATS1003B!T748/1000</f>
        <v>0</v>
      </c>
      <c r="U748" s="85">
        <f>STATS1003B!U748/1000</f>
        <v>481.41030999999998</v>
      </c>
      <c r="V748" s="85">
        <f>STATS1003B!V748/1000</f>
        <v>1856.8794300000002</v>
      </c>
      <c r="W748" s="85">
        <f>STATS1003B!W748/1000</f>
        <v>0</v>
      </c>
      <c r="X748" s="85">
        <f t="shared" si="95"/>
        <v>1856.8794300000002</v>
      </c>
      <c r="Y748" s="85">
        <f>STATS1003B!Y748/1000</f>
        <v>0</v>
      </c>
      <c r="Z748" s="85">
        <f t="shared" si="98"/>
        <v>0</v>
      </c>
      <c r="AA748" s="69">
        <f>STATS1003B!AA748/1000</f>
        <v>1856.8794300000002</v>
      </c>
      <c r="AB748" s="69">
        <f>STATS1003B!AB748/1000</f>
        <v>0</v>
      </c>
    </row>
    <row r="749" spans="1:28" hidden="1" x14ac:dyDescent="0.3">
      <c r="A749" s="117"/>
      <c r="C749" s="68" t="s">
        <v>535</v>
      </c>
      <c r="D749" s="87" t="s">
        <v>68</v>
      </c>
      <c r="E749" s="85">
        <f>STATS1003B!E749/1000</f>
        <v>610.48292000000004</v>
      </c>
      <c r="F749" s="85">
        <f>STATS1003B!F749/1000</f>
        <v>0</v>
      </c>
      <c r="G749" s="85">
        <f>STATS1003B!G749/1000</f>
        <v>0</v>
      </c>
      <c r="H749" s="85">
        <f>STATS1003B!H749/1000</f>
        <v>0</v>
      </c>
      <c r="I749" s="85">
        <f>STATS1003B!I749/1000</f>
        <v>0</v>
      </c>
      <c r="J749" s="85">
        <f>STATS1003B!J749/1000</f>
        <v>0</v>
      </c>
      <c r="K749" s="85">
        <f>STATS1003B!K749/1000</f>
        <v>610.48292000000004</v>
      </c>
      <c r="L749" s="85">
        <f>STATS1003B!L749/1000</f>
        <v>0</v>
      </c>
      <c r="M749" s="85">
        <f>STATS1003B!M749/1000</f>
        <v>0</v>
      </c>
      <c r="N749" s="85">
        <f>STATS1003B!N749/1000</f>
        <v>610.48292000000004</v>
      </c>
      <c r="O749" s="85">
        <f>STATS1003B!O749/1000</f>
        <v>0</v>
      </c>
      <c r="P749" s="85">
        <f>STATS1003B!P749/1000</f>
        <v>610.48292000000004</v>
      </c>
      <c r="Q749" s="85">
        <f>STATS1003B!Q749/1000</f>
        <v>0</v>
      </c>
      <c r="R749" s="85">
        <f>STATS1003B!R749/1000</f>
        <v>0</v>
      </c>
      <c r="S749" s="85">
        <f>STATS1003B!S749/1000</f>
        <v>0</v>
      </c>
      <c r="T749" s="85">
        <f>STATS1003B!T749/1000</f>
        <v>0</v>
      </c>
      <c r="U749" s="85">
        <f>STATS1003B!U749/1000</f>
        <v>610.48292000000004</v>
      </c>
      <c r="V749" s="85">
        <f>STATS1003B!V749/1000</f>
        <v>610.48292000000004</v>
      </c>
      <c r="W749" s="85">
        <f>STATS1003B!W749/1000</f>
        <v>0</v>
      </c>
      <c r="X749" s="85">
        <f t="shared" si="95"/>
        <v>610.48292000000004</v>
      </c>
      <c r="Y749" s="85">
        <f>STATS1003B!Y749/1000</f>
        <v>0</v>
      </c>
      <c r="Z749" s="85">
        <f t="shared" si="98"/>
        <v>0</v>
      </c>
      <c r="AA749" s="69">
        <f>STATS1003B!AA749/1000</f>
        <v>610.48292000000004</v>
      </c>
      <c r="AB749" s="69">
        <f>STATS1003B!AB749/1000</f>
        <v>0</v>
      </c>
    </row>
    <row r="750" spans="1:28" hidden="1" x14ac:dyDescent="0.3">
      <c r="A750" s="117"/>
      <c r="C750" s="68" t="s">
        <v>545</v>
      </c>
      <c r="D750" s="87" t="s">
        <v>54</v>
      </c>
      <c r="E750" s="85">
        <f>STATS1003B!E750/1000</f>
        <v>570.94100000000003</v>
      </c>
      <c r="F750" s="85">
        <f>STATS1003B!F750/1000</f>
        <v>0</v>
      </c>
      <c r="G750" s="85">
        <f>STATS1003B!G750/1000</f>
        <v>0</v>
      </c>
      <c r="H750" s="85">
        <f>STATS1003B!H750/1000</f>
        <v>0</v>
      </c>
      <c r="I750" s="85">
        <f>STATS1003B!I750/1000</f>
        <v>0</v>
      </c>
      <c r="J750" s="85">
        <f>STATS1003B!J750/1000</f>
        <v>0</v>
      </c>
      <c r="K750" s="85">
        <f>STATS1003B!K750/1000</f>
        <v>570.94100000000003</v>
      </c>
      <c r="L750" s="85">
        <f>STATS1003B!L750/1000</f>
        <v>0</v>
      </c>
      <c r="M750" s="85">
        <f>STATS1003B!M750/1000</f>
        <v>0</v>
      </c>
      <c r="N750" s="85">
        <f>STATS1003B!N750/1000</f>
        <v>570.94100000000003</v>
      </c>
      <c r="O750" s="85">
        <f>STATS1003B!O750/1000</f>
        <v>0</v>
      </c>
      <c r="P750" s="85">
        <f>STATS1003B!P750/1000</f>
        <v>570.94100000000003</v>
      </c>
      <c r="Q750" s="85">
        <f>STATS1003B!Q750/1000</f>
        <v>0</v>
      </c>
      <c r="R750" s="85">
        <f>STATS1003B!R750/1000</f>
        <v>0</v>
      </c>
      <c r="S750" s="85">
        <f>STATS1003B!S750/1000</f>
        <v>0</v>
      </c>
      <c r="T750" s="85">
        <f>STATS1003B!T750/1000</f>
        <v>0</v>
      </c>
      <c r="U750" s="85">
        <f>STATS1003B!U750/1000</f>
        <v>570.94100000000003</v>
      </c>
      <c r="V750" s="85">
        <f>STATS1003B!V750/1000</f>
        <v>570.94100000000003</v>
      </c>
      <c r="W750" s="85">
        <f>STATS1003B!W750/1000</f>
        <v>0</v>
      </c>
      <c r="X750" s="85">
        <f t="shared" si="95"/>
        <v>570.94100000000003</v>
      </c>
      <c r="Y750" s="85">
        <f>STATS1003B!Y750/1000</f>
        <v>0</v>
      </c>
      <c r="Z750" s="85">
        <f t="shared" si="98"/>
        <v>0</v>
      </c>
      <c r="AA750" s="69">
        <f>STATS1003B!AA750/1000</f>
        <v>570.94100000000003</v>
      </c>
      <c r="AB750" s="69">
        <f>STATS1003B!AB750/1000</f>
        <v>0</v>
      </c>
    </row>
    <row r="751" spans="1:28" hidden="1" x14ac:dyDescent="0.3">
      <c r="A751" s="117"/>
      <c r="C751" s="68" t="s">
        <v>535</v>
      </c>
      <c r="D751" s="87" t="s">
        <v>85</v>
      </c>
      <c r="E751" s="85">
        <f>STATS1003B!E751/1000</f>
        <v>511.904</v>
      </c>
      <c r="F751" s="85">
        <f>STATS1003B!F751/1000</f>
        <v>511.904</v>
      </c>
      <c r="G751" s="85">
        <f>STATS1003B!G751/1000</f>
        <v>0</v>
      </c>
      <c r="H751" s="85">
        <f>STATS1003B!H751/1000</f>
        <v>511.904</v>
      </c>
      <c r="I751" s="85">
        <f>STATS1003B!I751/1000</f>
        <v>0</v>
      </c>
      <c r="J751" s="85">
        <f>STATS1003B!J751/1000</f>
        <v>511.904</v>
      </c>
      <c r="K751" s="85">
        <f>STATS1003B!K751/1000</f>
        <v>0</v>
      </c>
      <c r="L751" s="85">
        <f>STATS1003B!L751/1000</f>
        <v>0</v>
      </c>
      <c r="M751" s="85">
        <f>STATS1003B!M751/1000</f>
        <v>511.904</v>
      </c>
      <c r="N751" s="85">
        <f>STATS1003B!N751/1000</f>
        <v>0</v>
      </c>
      <c r="O751" s="85">
        <f>STATS1003B!O751/1000</f>
        <v>0</v>
      </c>
      <c r="P751" s="85">
        <f>STATS1003B!P751/1000</f>
        <v>0</v>
      </c>
      <c r="Q751" s="85">
        <f>STATS1003B!Q751/1000</f>
        <v>511.904</v>
      </c>
      <c r="R751" s="85">
        <f>STATS1003B!R751/1000</f>
        <v>0</v>
      </c>
      <c r="S751" s="85">
        <f>STATS1003B!S751/1000</f>
        <v>0</v>
      </c>
      <c r="T751" s="85">
        <f>STATS1003B!T751/1000</f>
        <v>0</v>
      </c>
      <c r="U751" s="85">
        <f>STATS1003B!U751/1000</f>
        <v>0</v>
      </c>
      <c r="V751" s="85">
        <f>STATS1003B!V751/1000</f>
        <v>511.904</v>
      </c>
      <c r="W751" s="85">
        <f>STATS1003B!W751/1000</f>
        <v>0</v>
      </c>
      <c r="X751" s="85">
        <f t="shared" si="95"/>
        <v>511.904</v>
      </c>
      <c r="Y751" s="85">
        <f>STATS1003B!Y751/1000</f>
        <v>0</v>
      </c>
      <c r="Z751" s="85">
        <f t="shared" si="98"/>
        <v>0</v>
      </c>
      <c r="AA751" s="69">
        <f>STATS1003B!AA751/1000</f>
        <v>511.904</v>
      </c>
      <c r="AB751" s="69">
        <f>STATS1003B!AB751/1000</f>
        <v>0</v>
      </c>
    </row>
    <row r="752" spans="1:28" hidden="1" x14ac:dyDescent="0.3">
      <c r="A752" s="117"/>
      <c r="C752" s="68" t="s">
        <v>535</v>
      </c>
      <c r="D752" s="88" t="s">
        <v>73</v>
      </c>
      <c r="E752" s="85">
        <f>STATS1003B!E752/1000</f>
        <v>3203.7130000000002</v>
      </c>
      <c r="F752" s="85">
        <f>STATS1003B!F752/1000</f>
        <v>3203.7130000000002</v>
      </c>
      <c r="G752" s="85">
        <f>STATS1003B!G752/1000</f>
        <v>0</v>
      </c>
      <c r="H752" s="85">
        <f>STATS1003B!H752/1000</f>
        <v>3203.7130000000002</v>
      </c>
      <c r="I752" s="85">
        <f>STATS1003B!I752/1000</f>
        <v>0</v>
      </c>
      <c r="J752" s="85">
        <f>STATS1003B!J752/1000</f>
        <v>3203.7130000000002</v>
      </c>
      <c r="K752" s="85">
        <f>STATS1003B!K752/1000</f>
        <v>0</v>
      </c>
      <c r="L752" s="85">
        <f>STATS1003B!L752/1000</f>
        <v>0</v>
      </c>
      <c r="M752" s="85">
        <f>STATS1003B!M752/1000</f>
        <v>3203.7130000000002</v>
      </c>
      <c r="N752" s="85">
        <f>STATS1003B!N752/1000</f>
        <v>0</v>
      </c>
      <c r="O752" s="85">
        <f>STATS1003B!O752/1000</f>
        <v>0</v>
      </c>
      <c r="P752" s="85">
        <f>STATS1003B!P752/1000</f>
        <v>0</v>
      </c>
      <c r="Q752" s="85">
        <f>STATS1003B!Q752/1000</f>
        <v>3203.7130000000002</v>
      </c>
      <c r="R752" s="85">
        <f>STATS1003B!R752/1000</f>
        <v>0</v>
      </c>
      <c r="S752" s="85">
        <f>STATS1003B!S752/1000</f>
        <v>0</v>
      </c>
      <c r="T752" s="85">
        <f>STATS1003B!T752/1000</f>
        <v>0</v>
      </c>
      <c r="U752" s="85">
        <f>STATS1003B!U752/1000</f>
        <v>0</v>
      </c>
      <c r="V752" s="85">
        <f>STATS1003B!V752/1000</f>
        <v>3203.7130000000002</v>
      </c>
      <c r="W752" s="85">
        <f>STATS1003B!W752/1000</f>
        <v>0</v>
      </c>
      <c r="X752" s="85">
        <f t="shared" si="95"/>
        <v>3203.7130000000002</v>
      </c>
      <c r="Y752" s="85">
        <f>STATS1003B!Y752/1000</f>
        <v>0</v>
      </c>
      <c r="Z752" s="85">
        <f t="shared" si="98"/>
        <v>0</v>
      </c>
      <c r="AA752" s="69">
        <f>STATS1003B!AA752/1000</f>
        <v>3203.7130000000002</v>
      </c>
      <c r="AB752" s="69">
        <f>STATS1003B!AB752/1000</f>
        <v>0</v>
      </c>
    </row>
    <row r="753" spans="1:28" hidden="1" x14ac:dyDescent="0.3">
      <c r="A753" s="117"/>
      <c r="C753" s="68" t="s">
        <v>933</v>
      </c>
      <c r="D753" s="89" t="s">
        <v>1072</v>
      </c>
      <c r="E753" s="85">
        <f>STATS1003B!E753/1000</f>
        <v>756.15334999999993</v>
      </c>
      <c r="F753" s="85">
        <f>STATS1003B!F753/1000</f>
        <v>756.15334999999993</v>
      </c>
      <c r="G753" s="85">
        <f>STATS1003B!G753/1000</f>
        <v>0</v>
      </c>
      <c r="H753" s="85">
        <f>STATS1003B!H753/1000</f>
        <v>756.15334999999993</v>
      </c>
      <c r="I753" s="85">
        <f>STATS1003B!I753/1000</f>
        <v>0</v>
      </c>
      <c r="J753" s="85">
        <f>STATS1003B!J753/1000</f>
        <v>0</v>
      </c>
      <c r="K753" s="85">
        <f>STATS1003B!K753/1000</f>
        <v>0</v>
      </c>
      <c r="L753" s="85">
        <f>STATS1003B!L753/1000</f>
        <v>0</v>
      </c>
      <c r="M753" s="85">
        <f>STATS1003B!M753/1000</f>
        <v>756.15334999999993</v>
      </c>
      <c r="N753" s="85">
        <f>STATS1003B!N753/1000</f>
        <v>0</v>
      </c>
      <c r="O753" s="85">
        <f>STATS1003B!O753/1000</f>
        <v>0</v>
      </c>
      <c r="P753" s="85">
        <f>STATS1003B!P753/1000</f>
        <v>0</v>
      </c>
      <c r="Q753" s="85">
        <f>STATS1003B!Q753/1000</f>
        <v>0</v>
      </c>
      <c r="R753" s="85">
        <f>STATS1003B!R753/1000</f>
        <v>0</v>
      </c>
      <c r="S753" s="85">
        <f>STATS1003B!S753/1000</f>
        <v>0</v>
      </c>
      <c r="T753" s="85">
        <f>STATS1003B!T753/1000</f>
        <v>0</v>
      </c>
      <c r="U753" s="85">
        <f>STATS1003B!U753/1000</f>
        <v>0</v>
      </c>
      <c r="V753" s="85">
        <f>STATS1003B!V753/1000</f>
        <v>0</v>
      </c>
      <c r="W753" s="85">
        <f>STATS1003B!W753/1000</f>
        <v>0</v>
      </c>
      <c r="X753" s="85">
        <f t="shared" si="95"/>
        <v>756.15334999999993</v>
      </c>
      <c r="Y753" s="85">
        <f>STATS1003B!Y753/1000</f>
        <v>0</v>
      </c>
      <c r="Z753" s="85">
        <f t="shared" si="98"/>
        <v>0</v>
      </c>
      <c r="AA753" s="69">
        <f>STATS1003B!AA753/1000</f>
        <v>756.15334999999993</v>
      </c>
      <c r="AB753" s="69">
        <f>STATS1003B!AB753/1000</f>
        <v>0</v>
      </c>
    </row>
    <row r="754" spans="1:28" hidden="1" x14ac:dyDescent="0.3">
      <c r="A754" s="117"/>
      <c r="C754" s="68" t="s">
        <v>598</v>
      </c>
      <c r="E754" s="85">
        <f>STATS1003B!E754/1000</f>
        <v>145.41999999999999</v>
      </c>
      <c r="F754" s="85">
        <f>STATS1003B!F754/1000</f>
        <v>145.41999999999999</v>
      </c>
      <c r="G754" s="85">
        <f>STATS1003B!G754/1000</f>
        <v>0</v>
      </c>
      <c r="H754" s="85">
        <f>STATS1003B!H754/1000</f>
        <v>145.41999999999999</v>
      </c>
      <c r="I754" s="85">
        <f>STATS1003B!I754/1000</f>
        <v>0</v>
      </c>
      <c r="J754" s="85">
        <f>STATS1003B!J754/1000</f>
        <v>145.41999999999999</v>
      </c>
      <c r="K754" s="85">
        <f>STATS1003B!K754/1000</f>
        <v>0</v>
      </c>
      <c r="L754" s="85">
        <f>STATS1003B!L754/1000</f>
        <v>0</v>
      </c>
      <c r="M754" s="85">
        <f>STATS1003B!M754/1000</f>
        <v>145.41999999999999</v>
      </c>
      <c r="N754" s="85">
        <f>STATS1003B!N754/1000</f>
        <v>0</v>
      </c>
      <c r="O754" s="85">
        <f>STATS1003B!O754/1000</f>
        <v>0</v>
      </c>
      <c r="P754" s="85">
        <f>STATS1003B!P754/1000</f>
        <v>0</v>
      </c>
      <c r="Q754" s="85">
        <f>STATS1003B!Q754/1000</f>
        <v>145.41999999999999</v>
      </c>
      <c r="R754" s="85">
        <f>STATS1003B!R754/1000</f>
        <v>0</v>
      </c>
      <c r="S754" s="85">
        <f>STATS1003B!S754/1000</f>
        <v>0</v>
      </c>
      <c r="T754" s="85">
        <f>STATS1003B!T754/1000</f>
        <v>0</v>
      </c>
      <c r="U754" s="85">
        <f>STATS1003B!U754/1000</f>
        <v>0</v>
      </c>
      <c r="V754" s="85">
        <f>STATS1003B!V754/1000</f>
        <v>145.41999999999999</v>
      </c>
      <c r="W754" s="85">
        <f>STATS1003B!W754/1000</f>
        <v>0</v>
      </c>
      <c r="X754" s="85">
        <f t="shared" si="95"/>
        <v>145.41999999999999</v>
      </c>
      <c r="Y754" s="85">
        <f>STATS1003B!Y754/1000</f>
        <v>0</v>
      </c>
      <c r="Z754" s="85">
        <f t="shared" si="98"/>
        <v>0</v>
      </c>
      <c r="AA754" s="69">
        <f>STATS1003B!AA754/1000</f>
        <v>145.41999999999999</v>
      </c>
      <c r="AB754" s="69">
        <f>STATS1003B!AB754/1000</f>
        <v>0</v>
      </c>
    </row>
    <row r="755" spans="1:28" hidden="1" x14ac:dyDescent="0.3">
      <c r="A755" s="117"/>
      <c r="E755" s="86" t="s">
        <v>29</v>
      </c>
      <c r="F755" s="86" t="s">
        <v>29</v>
      </c>
      <c r="G755" s="86" t="s">
        <v>29</v>
      </c>
      <c r="H755" s="86" t="s">
        <v>29</v>
      </c>
      <c r="I755" s="86" t="s">
        <v>29</v>
      </c>
      <c r="J755" s="86" t="s">
        <v>29</v>
      </c>
      <c r="K755" s="86" t="s">
        <v>29</v>
      </c>
      <c r="L755" s="86" t="s">
        <v>29</v>
      </c>
      <c r="M755" s="86" t="s">
        <v>29</v>
      </c>
      <c r="N755" s="86" t="s">
        <v>29</v>
      </c>
      <c r="O755" s="86" t="s">
        <v>29</v>
      </c>
      <c r="P755" s="86" t="s">
        <v>29</v>
      </c>
      <c r="Q755" s="86" t="s">
        <v>29</v>
      </c>
      <c r="R755" s="86" t="s">
        <v>29</v>
      </c>
      <c r="S755" s="86" t="s">
        <v>29</v>
      </c>
      <c r="T755" s="86" t="s">
        <v>29</v>
      </c>
      <c r="U755" s="86" t="s">
        <v>29</v>
      </c>
      <c r="V755" s="86" t="s">
        <v>29</v>
      </c>
      <c r="W755" s="86" t="s">
        <v>29</v>
      </c>
      <c r="X755" s="85" t="e">
        <f t="shared" si="95"/>
        <v>#VALUE!</v>
      </c>
      <c r="Y755" s="86" t="s">
        <v>29</v>
      </c>
      <c r="Z755" s="85" t="e">
        <f t="shared" si="98"/>
        <v>#VALUE!</v>
      </c>
      <c r="AA755" s="115" t="s">
        <v>29</v>
      </c>
      <c r="AB755" s="115" t="s">
        <v>29</v>
      </c>
    </row>
    <row r="756" spans="1:28" x14ac:dyDescent="0.3">
      <c r="A756" s="116">
        <v>36</v>
      </c>
      <c r="B756" s="68" t="s">
        <v>624</v>
      </c>
      <c r="E756" s="85">
        <f>74674156.87/1000</f>
        <v>74674.156870000006</v>
      </c>
      <c r="F756" s="85">
        <f t="shared" ref="F756:Q756" si="101">SUM(F746:F755)</f>
        <v>11853.954900000001</v>
      </c>
      <c r="G756" s="85">
        <f t="shared" si="101"/>
        <v>0</v>
      </c>
      <c r="H756" s="85">
        <f>72989823.64/1000</f>
        <v>72989.823640000002</v>
      </c>
      <c r="I756" s="85">
        <f t="shared" si="101"/>
        <v>0</v>
      </c>
      <c r="J756" s="85">
        <f t="shared" si="101"/>
        <v>11097.80155</v>
      </c>
      <c r="K756" s="85">
        <f t="shared" si="101"/>
        <v>1684.33323</v>
      </c>
      <c r="L756" s="85">
        <f t="shared" si="101"/>
        <v>0</v>
      </c>
      <c r="M756" s="85">
        <f t="shared" si="101"/>
        <v>11853.954900000001</v>
      </c>
      <c r="N756" s="85">
        <f t="shared" si="101"/>
        <v>1684.33323</v>
      </c>
      <c r="O756" s="85">
        <f t="shared" si="101"/>
        <v>0</v>
      </c>
      <c r="P756" s="85">
        <f>1684333/1000</f>
        <v>1684.3330000000001</v>
      </c>
      <c r="Q756" s="85">
        <f t="shared" si="101"/>
        <v>11097.80155</v>
      </c>
      <c r="R756" s="86"/>
      <c r="S756" s="86"/>
      <c r="T756" s="85">
        <f t="shared" ref="T756:Y756" si="102">SUM(T746:T755)</f>
        <v>0</v>
      </c>
      <c r="U756" s="85">
        <f t="shared" si="102"/>
        <v>1684.33323</v>
      </c>
      <c r="V756" s="85">
        <f t="shared" si="102"/>
        <v>12782.13478</v>
      </c>
      <c r="W756" s="85">
        <f t="shared" si="102"/>
        <v>0</v>
      </c>
      <c r="X756" s="85">
        <f>+H756+P756</f>
        <v>74674.156640000001</v>
      </c>
      <c r="Y756" s="85">
        <f t="shared" si="102"/>
        <v>0</v>
      </c>
      <c r="Z756" s="85">
        <f t="shared" si="98"/>
        <v>2.3000000510364771E-4</v>
      </c>
      <c r="AA756" s="69">
        <f>SUM(AA746:AA755)</f>
        <v>13538.288130000001</v>
      </c>
      <c r="AB756" s="69">
        <f>SUM(AB746:AB755)</f>
        <v>0</v>
      </c>
    </row>
    <row r="757" spans="1:28" hidden="1" x14ac:dyDescent="0.3">
      <c r="A757" s="117"/>
      <c r="E757" s="86" t="s">
        <v>29</v>
      </c>
      <c r="F757" s="86" t="s">
        <v>29</v>
      </c>
      <c r="G757" s="86" t="s">
        <v>29</v>
      </c>
      <c r="H757" s="86" t="s">
        <v>29</v>
      </c>
      <c r="I757" s="86" t="s">
        <v>29</v>
      </c>
      <c r="J757" s="86" t="s">
        <v>29</v>
      </c>
      <c r="K757" s="86" t="s">
        <v>29</v>
      </c>
      <c r="L757" s="86" t="s">
        <v>29</v>
      </c>
      <c r="M757" s="86" t="s">
        <v>29</v>
      </c>
      <c r="N757" s="86" t="s">
        <v>29</v>
      </c>
      <c r="O757" s="86" t="s">
        <v>29</v>
      </c>
      <c r="P757" s="86" t="s">
        <v>29</v>
      </c>
      <c r="Q757" s="86" t="s">
        <v>29</v>
      </c>
      <c r="R757" s="86" t="s">
        <v>29</v>
      </c>
      <c r="S757" s="86" t="s">
        <v>29</v>
      </c>
      <c r="T757" s="86" t="s">
        <v>29</v>
      </c>
      <c r="U757" s="86" t="s">
        <v>29</v>
      </c>
      <c r="V757" s="86" t="s">
        <v>29</v>
      </c>
      <c r="W757" s="86" t="s">
        <v>29</v>
      </c>
      <c r="X757" s="85" t="e">
        <f t="shared" si="95"/>
        <v>#VALUE!</v>
      </c>
      <c r="Y757" s="86" t="s">
        <v>29</v>
      </c>
      <c r="Z757" s="85" t="e">
        <f t="shared" si="98"/>
        <v>#VALUE!</v>
      </c>
      <c r="AA757" s="115" t="s">
        <v>29</v>
      </c>
      <c r="AB757" s="115" t="s">
        <v>29</v>
      </c>
    </row>
    <row r="758" spans="1:28" hidden="1" x14ac:dyDescent="0.3">
      <c r="A758" s="117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6"/>
      <c r="S758" s="86"/>
      <c r="T758" s="86"/>
      <c r="U758" s="86"/>
      <c r="V758" s="86"/>
      <c r="W758" s="86"/>
      <c r="X758" s="85">
        <f t="shared" si="95"/>
        <v>0</v>
      </c>
      <c r="Y758" s="86"/>
      <c r="Z758" s="85">
        <f t="shared" si="98"/>
        <v>0</v>
      </c>
      <c r="AA758" s="118"/>
    </row>
    <row r="759" spans="1:28" hidden="1" x14ac:dyDescent="0.3">
      <c r="A759" s="105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6"/>
      <c r="S759" s="86"/>
      <c r="T759" s="86"/>
      <c r="U759" s="86"/>
      <c r="V759" s="86"/>
      <c r="W759" s="86"/>
      <c r="X759" s="85">
        <f t="shared" si="95"/>
        <v>0</v>
      </c>
      <c r="Y759" s="86"/>
      <c r="Z759" s="85">
        <f t="shared" si="98"/>
        <v>0</v>
      </c>
    </row>
    <row r="760" spans="1:28" hidden="1" x14ac:dyDescent="0.3">
      <c r="A760" s="117"/>
      <c r="C760" s="68" t="s">
        <v>535</v>
      </c>
      <c r="D760" s="87" t="s">
        <v>150</v>
      </c>
      <c r="E760" s="85">
        <f>STATS1003B!E760/1000</f>
        <v>3715.2800499999998</v>
      </c>
      <c r="F760" s="85">
        <f>STATS1003B!F760/1000</f>
        <v>3715.2800499999998</v>
      </c>
      <c r="G760" s="85">
        <f>STATS1003B!G760/1000</f>
        <v>0</v>
      </c>
      <c r="H760" s="85">
        <f>STATS1003B!H760/1000</f>
        <v>3715.2800499999998</v>
      </c>
      <c r="I760" s="85">
        <f>STATS1003B!I760/1000</f>
        <v>0</v>
      </c>
      <c r="J760" s="85">
        <f>STATS1003B!J760/1000</f>
        <v>3715.2800499999998</v>
      </c>
      <c r="K760" s="85">
        <f>STATS1003B!K760/1000</f>
        <v>0</v>
      </c>
      <c r="L760" s="85">
        <f>STATS1003B!L760/1000</f>
        <v>0</v>
      </c>
      <c r="M760" s="85">
        <f>STATS1003B!M760/1000</f>
        <v>3715.2800499999998</v>
      </c>
      <c r="N760" s="85">
        <f>STATS1003B!N760/1000</f>
        <v>0</v>
      </c>
      <c r="O760" s="85">
        <f>STATS1003B!O760/1000</f>
        <v>0</v>
      </c>
      <c r="P760" s="85">
        <f>STATS1003B!P760/1000</f>
        <v>0</v>
      </c>
      <c r="Q760" s="85">
        <f>STATS1003B!Q760/1000</f>
        <v>3715.2800499999998</v>
      </c>
      <c r="R760" s="85">
        <f>STATS1003B!R760/1000</f>
        <v>0</v>
      </c>
      <c r="S760" s="85">
        <f>STATS1003B!S760/1000</f>
        <v>0</v>
      </c>
      <c r="T760" s="85">
        <f>STATS1003B!T760/1000</f>
        <v>0</v>
      </c>
      <c r="U760" s="85">
        <f>STATS1003B!U760/1000</f>
        <v>0</v>
      </c>
      <c r="V760" s="85">
        <f>STATS1003B!V760/1000</f>
        <v>3715.2800499999998</v>
      </c>
      <c r="W760" s="85">
        <f>STATS1003B!W760/1000</f>
        <v>0</v>
      </c>
      <c r="X760" s="85">
        <f t="shared" si="95"/>
        <v>3715.2800499999998</v>
      </c>
      <c r="Y760" s="85">
        <f>STATS1003B!Y760/1000</f>
        <v>0</v>
      </c>
      <c r="Z760" s="85">
        <f t="shared" si="98"/>
        <v>0</v>
      </c>
      <c r="AA760" s="69">
        <f>STATS1003B!AA760/1000</f>
        <v>3715.2800499999998</v>
      </c>
      <c r="AB760" s="69">
        <f>STATS1003B!AB760/1000</f>
        <v>0</v>
      </c>
    </row>
    <row r="761" spans="1:28" hidden="1" x14ac:dyDescent="0.3">
      <c r="A761" s="117"/>
      <c r="C761" s="68" t="s">
        <v>628</v>
      </c>
      <c r="D761" s="87" t="s">
        <v>166</v>
      </c>
      <c r="E761" s="85">
        <f>STATS1003B!E761/1000</f>
        <v>550</v>
      </c>
      <c r="F761" s="85">
        <f>STATS1003B!F761/1000</f>
        <v>550</v>
      </c>
      <c r="G761" s="85">
        <f>STATS1003B!G761/1000</f>
        <v>0</v>
      </c>
      <c r="H761" s="85">
        <f>STATS1003B!H761/1000</f>
        <v>550</v>
      </c>
      <c r="I761" s="85">
        <f>STATS1003B!I761/1000</f>
        <v>0</v>
      </c>
      <c r="J761" s="85">
        <f>STATS1003B!J761/1000</f>
        <v>550</v>
      </c>
      <c r="K761" s="85">
        <f>STATS1003B!K761/1000</f>
        <v>0</v>
      </c>
      <c r="L761" s="85">
        <f>STATS1003B!L761/1000</f>
        <v>0</v>
      </c>
      <c r="M761" s="85">
        <f>STATS1003B!M761/1000</f>
        <v>550</v>
      </c>
      <c r="N761" s="85">
        <f>STATS1003B!N761/1000</f>
        <v>0</v>
      </c>
      <c r="O761" s="85">
        <f>STATS1003B!O761/1000</f>
        <v>0</v>
      </c>
      <c r="P761" s="85">
        <f>STATS1003B!P761/1000</f>
        <v>0</v>
      </c>
      <c r="Q761" s="85">
        <f>STATS1003B!Q761/1000</f>
        <v>550</v>
      </c>
      <c r="R761" s="85">
        <f>STATS1003B!R761/1000</f>
        <v>0</v>
      </c>
      <c r="S761" s="85">
        <f>STATS1003B!S761/1000</f>
        <v>0</v>
      </c>
      <c r="T761" s="85">
        <f>STATS1003B!T761/1000</f>
        <v>0</v>
      </c>
      <c r="U761" s="85">
        <f>STATS1003B!U761/1000</f>
        <v>0</v>
      </c>
      <c r="V761" s="85">
        <f>STATS1003B!V761/1000</f>
        <v>550</v>
      </c>
      <c r="W761" s="85">
        <f>STATS1003B!W761/1000</f>
        <v>0</v>
      </c>
      <c r="X761" s="85">
        <f t="shared" si="95"/>
        <v>550</v>
      </c>
      <c r="Y761" s="85">
        <f>STATS1003B!Y761/1000</f>
        <v>0</v>
      </c>
      <c r="Z761" s="85">
        <f t="shared" si="98"/>
        <v>0</v>
      </c>
      <c r="AA761" s="69">
        <f>STATS1003B!AA761/1000</f>
        <v>550</v>
      </c>
      <c r="AB761" s="69">
        <f>STATS1003B!AB761/1000</f>
        <v>0</v>
      </c>
    </row>
    <row r="762" spans="1:28" hidden="1" x14ac:dyDescent="0.3">
      <c r="A762" s="117"/>
      <c r="C762" s="68" t="s">
        <v>535</v>
      </c>
      <c r="D762" s="87" t="s">
        <v>68</v>
      </c>
      <c r="E762" s="85">
        <f>STATS1003B!E762/1000</f>
        <v>546.74014</v>
      </c>
      <c r="F762" s="85">
        <f>STATS1003B!F762/1000</f>
        <v>546.74014</v>
      </c>
      <c r="G762" s="85">
        <f>STATS1003B!G762/1000</f>
        <v>0</v>
      </c>
      <c r="H762" s="85">
        <f>STATS1003B!H762/1000</f>
        <v>546.74014</v>
      </c>
      <c r="I762" s="85">
        <f>STATS1003B!I762/1000</f>
        <v>0</v>
      </c>
      <c r="J762" s="85">
        <f>STATS1003B!J762/1000</f>
        <v>546.74014</v>
      </c>
      <c r="K762" s="85">
        <f>STATS1003B!K762/1000</f>
        <v>0</v>
      </c>
      <c r="L762" s="85">
        <f>STATS1003B!L762/1000</f>
        <v>0</v>
      </c>
      <c r="M762" s="85">
        <f>STATS1003B!M762/1000</f>
        <v>546.74014</v>
      </c>
      <c r="N762" s="85">
        <f>STATS1003B!N762/1000</f>
        <v>0</v>
      </c>
      <c r="O762" s="85">
        <f>STATS1003B!O762/1000</f>
        <v>0</v>
      </c>
      <c r="P762" s="85">
        <f>STATS1003B!P762/1000</f>
        <v>0</v>
      </c>
      <c r="Q762" s="85">
        <f>STATS1003B!Q762/1000</f>
        <v>546.74014</v>
      </c>
      <c r="R762" s="85">
        <f>STATS1003B!R762/1000</f>
        <v>0</v>
      </c>
      <c r="S762" s="85">
        <f>STATS1003B!S762/1000</f>
        <v>0</v>
      </c>
      <c r="T762" s="85">
        <f>STATS1003B!T762/1000</f>
        <v>0</v>
      </c>
      <c r="U762" s="85">
        <f>STATS1003B!U762/1000</f>
        <v>0</v>
      </c>
      <c r="V762" s="85">
        <f>STATS1003B!V762/1000</f>
        <v>546.74014</v>
      </c>
      <c r="W762" s="85">
        <f>STATS1003B!W762/1000</f>
        <v>0</v>
      </c>
      <c r="X762" s="85">
        <f t="shared" si="95"/>
        <v>546.74014</v>
      </c>
      <c r="Y762" s="85">
        <f>STATS1003B!Y762/1000</f>
        <v>0</v>
      </c>
      <c r="Z762" s="85">
        <f t="shared" si="98"/>
        <v>0</v>
      </c>
      <c r="AA762" s="69">
        <f>STATS1003B!AA762/1000</f>
        <v>546.74014</v>
      </c>
      <c r="AB762" s="69">
        <f>STATS1003B!AB762/1000</f>
        <v>0</v>
      </c>
    </row>
    <row r="763" spans="1:28" hidden="1" x14ac:dyDescent="0.3">
      <c r="A763" s="117"/>
      <c r="C763" s="68" t="s">
        <v>539</v>
      </c>
      <c r="D763" s="87" t="s">
        <v>68</v>
      </c>
      <c r="E763" s="85">
        <f>STATS1003B!E763/1000</f>
        <v>1608.8220499999998</v>
      </c>
      <c r="F763" s="85">
        <f>STATS1003B!F763/1000</f>
        <v>0</v>
      </c>
      <c r="G763" s="85">
        <f>STATS1003B!G763/1000</f>
        <v>0</v>
      </c>
      <c r="H763" s="85">
        <f>STATS1003B!H763/1000</f>
        <v>0</v>
      </c>
      <c r="I763" s="85">
        <f>STATS1003B!I763/1000</f>
        <v>0</v>
      </c>
      <c r="J763" s="85">
        <f>STATS1003B!J763/1000</f>
        <v>0</v>
      </c>
      <c r="K763" s="85">
        <f>STATS1003B!K763/1000</f>
        <v>1608.8220499999998</v>
      </c>
      <c r="L763" s="85">
        <f>STATS1003B!L763/1000</f>
        <v>0</v>
      </c>
      <c r="M763" s="85">
        <f>STATS1003B!M763/1000</f>
        <v>0</v>
      </c>
      <c r="N763" s="85">
        <f>STATS1003B!N763/1000</f>
        <v>1608.82205</v>
      </c>
      <c r="O763" s="85">
        <f>STATS1003B!O763/1000</f>
        <v>0</v>
      </c>
      <c r="P763" s="85">
        <f>STATS1003B!P763/1000</f>
        <v>1608.82205</v>
      </c>
      <c r="Q763" s="85">
        <f>STATS1003B!Q763/1000</f>
        <v>0</v>
      </c>
      <c r="R763" s="85">
        <f>STATS1003B!R763/1000</f>
        <v>0</v>
      </c>
      <c r="S763" s="85">
        <f>STATS1003B!S763/1000</f>
        <v>0</v>
      </c>
      <c r="T763" s="85">
        <f>STATS1003B!T763/1000</f>
        <v>0</v>
      </c>
      <c r="U763" s="85">
        <f>STATS1003B!U763/1000</f>
        <v>1608.82205</v>
      </c>
      <c r="V763" s="85">
        <f>STATS1003B!V763/1000</f>
        <v>1608.82205</v>
      </c>
      <c r="W763" s="85">
        <f>STATS1003B!W763/1000</f>
        <v>0</v>
      </c>
      <c r="X763" s="85">
        <f t="shared" si="95"/>
        <v>1608.82205</v>
      </c>
      <c r="Y763" s="85">
        <f>STATS1003B!Y763/1000</f>
        <v>0</v>
      </c>
      <c r="Z763" s="85">
        <f t="shared" si="98"/>
        <v>0</v>
      </c>
      <c r="AA763" s="69">
        <f>STATS1003B!AA763/1000</f>
        <v>1608.82205</v>
      </c>
      <c r="AB763" s="69">
        <f>STATS1003B!AB763/1000</f>
        <v>0</v>
      </c>
    </row>
    <row r="764" spans="1:28" hidden="1" x14ac:dyDescent="0.3">
      <c r="A764" s="117"/>
      <c r="C764" s="68" t="s">
        <v>629</v>
      </c>
      <c r="D764" s="87" t="s">
        <v>54</v>
      </c>
      <c r="E764" s="85">
        <f>STATS1003B!E764/1000</f>
        <v>1250</v>
      </c>
      <c r="F764" s="85">
        <f>STATS1003B!F764/1000</f>
        <v>1184.6344299999998</v>
      </c>
      <c r="G764" s="85">
        <f>STATS1003B!G764/1000</f>
        <v>0</v>
      </c>
      <c r="H764" s="85">
        <f>STATS1003B!H764/1000</f>
        <v>1184.6344299999998</v>
      </c>
      <c r="I764" s="85">
        <f>STATS1003B!I764/1000</f>
        <v>0</v>
      </c>
      <c r="J764" s="85">
        <f>STATS1003B!J764/1000</f>
        <v>1184.6344299999998</v>
      </c>
      <c r="K764" s="85">
        <f>STATS1003B!K764/1000</f>
        <v>65.365570000000005</v>
      </c>
      <c r="L764" s="85">
        <f>STATS1003B!L764/1000</f>
        <v>0</v>
      </c>
      <c r="M764" s="85">
        <f>STATS1003B!M764/1000</f>
        <v>1184.6344299999998</v>
      </c>
      <c r="N764" s="85">
        <f>STATS1003B!N764/1000</f>
        <v>65.365570000000005</v>
      </c>
      <c r="O764" s="85">
        <f>STATS1003B!O764/1000</f>
        <v>0</v>
      </c>
      <c r="P764" s="85">
        <f>STATS1003B!P764/1000</f>
        <v>65.365570000000005</v>
      </c>
      <c r="Q764" s="85">
        <f>STATS1003B!Q764/1000</f>
        <v>1184.6344299999998</v>
      </c>
      <c r="R764" s="85">
        <f>STATS1003B!R764/1000</f>
        <v>0</v>
      </c>
      <c r="S764" s="85">
        <f>STATS1003B!S764/1000</f>
        <v>0</v>
      </c>
      <c r="T764" s="85">
        <f>STATS1003B!T764/1000</f>
        <v>0</v>
      </c>
      <c r="U764" s="85">
        <f>STATS1003B!U764/1000</f>
        <v>65.365570000000005</v>
      </c>
      <c r="V764" s="85">
        <f>STATS1003B!V764/1000</f>
        <v>1250</v>
      </c>
      <c r="W764" s="85">
        <f>STATS1003B!W764/1000</f>
        <v>0</v>
      </c>
      <c r="X764" s="85">
        <f t="shared" si="95"/>
        <v>1249.9999999999998</v>
      </c>
      <c r="Y764" s="85">
        <f>STATS1003B!Y764/1000</f>
        <v>0</v>
      </c>
      <c r="Z764" s="85">
        <f t="shared" si="98"/>
        <v>0</v>
      </c>
      <c r="AA764" s="69">
        <f>STATS1003B!AA764/1000</f>
        <v>1250</v>
      </c>
      <c r="AB764" s="69">
        <f>STATS1003B!AB764/1000</f>
        <v>0</v>
      </c>
    </row>
    <row r="765" spans="1:28" hidden="1" x14ac:dyDescent="0.3">
      <c r="A765" s="117"/>
      <c r="C765" s="68" t="s">
        <v>545</v>
      </c>
      <c r="D765" s="87" t="s">
        <v>54</v>
      </c>
      <c r="E765" s="85">
        <f>STATS1003B!E765/1000</f>
        <v>570.94100000000003</v>
      </c>
      <c r="F765" s="85">
        <f>STATS1003B!F765/1000</f>
        <v>0</v>
      </c>
      <c r="G765" s="85">
        <f>STATS1003B!G765/1000</f>
        <v>0</v>
      </c>
      <c r="H765" s="85">
        <f>STATS1003B!H765/1000</f>
        <v>0</v>
      </c>
      <c r="I765" s="85">
        <f>STATS1003B!I765/1000</f>
        <v>0</v>
      </c>
      <c r="J765" s="85">
        <f>STATS1003B!J765/1000</f>
        <v>0</v>
      </c>
      <c r="K765" s="85">
        <f>STATS1003B!K765/1000</f>
        <v>570.94100000000003</v>
      </c>
      <c r="L765" s="85">
        <f>STATS1003B!L765/1000</f>
        <v>0</v>
      </c>
      <c r="M765" s="85">
        <f>STATS1003B!M765/1000</f>
        <v>0</v>
      </c>
      <c r="N765" s="85">
        <f>STATS1003B!N765/1000</f>
        <v>570.94100000000003</v>
      </c>
      <c r="O765" s="85">
        <f>STATS1003B!O765/1000</f>
        <v>0</v>
      </c>
      <c r="P765" s="85">
        <f>STATS1003B!P765/1000</f>
        <v>570.94100000000003</v>
      </c>
      <c r="Q765" s="85">
        <f>STATS1003B!Q765/1000</f>
        <v>0</v>
      </c>
      <c r="R765" s="85">
        <f>STATS1003B!R765/1000</f>
        <v>0</v>
      </c>
      <c r="S765" s="85">
        <f>STATS1003B!S765/1000</f>
        <v>0</v>
      </c>
      <c r="T765" s="85">
        <f>STATS1003B!T765/1000</f>
        <v>0</v>
      </c>
      <c r="U765" s="85">
        <f>STATS1003B!U765/1000</f>
        <v>570.94100000000003</v>
      </c>
      <c r="V765" s="85">
        <f>STATS1003B!V765/1000</f>
        <v>570.94100000000003</v>
      </c>
      <c r="W765" s="85">
        <f>STATS1003B!W765/1000</f>
        <v>0</v>
      </c>
      <c r="X765" s="85">
        <f t="shared" si="95"/>
        <v>570.94100000000003</v>
      </c>
      <c r="Y765" s="85">
        <f>STATS1003B!Y765/1000</f>
        <v>0</v>
      </c>
      <c r="Z765" s="85">
        <f t="shared" si="98"/>
        <v>0</v>
      </c>
      <c r="AA765" s="69">
        <f>STATS1003B!AA765/1000</f>
        <v>570.94100000000003</v>
      </c>
      <c r="AB765" s="69">
        <f>STATS1003B!AB765/1000</f>
        <v>0</v>
      </c>
    </row>
    <row r="766" spans="1:28" hidden="1" x14ac:dyDescent="0.3">
      <c r="A766" s="117"/>
      <c r="C766" s="68" t="s">
        <v>535</v>
      </c>
      <c r="D766" s="87" t="s">
        <v>54</v>
      </c>
      <c r="E766" s="85">
        <f>STATS1003B!E766/1000</f>
        <v>283</v>
      </c>
      <c r="F766" s="85">
        <f>STATS1003B!F766/1000</f>
        <v>283</v>
      </c>
      <c r="G766" s="85">
        <f>STATS1003B!G766/1000</f>
        <v>0</v>
      </c>
      <c r="H766" s="85">
        <f>STATS1003B!H766/1000</f>
        <v>283</v>
      </c>
      <c r="I766" s="85">
        <f>STATS1003B!I766/1000</f>
        <v>0</v>
      </c>
      <c r="J766" s="85">
        <f>STATS1003B!J766/1000</f>
        <v>283</v>
      </c>
      <c r="K766" s="85">
        <f>STATS1003B!K766/1000</f>
        <v>0</v>
      </c>
      <c r="L766" s="85">
        <f>STATS1003B!L766/1000</f>
        <v>0</v>
      </c>
      <c r="M766" s="85">
        <f>STATS1003B!M766/1000</f>
        <v>283</v>
      </c>
      <c r="N766" s="85">
        <f>STATS1003B!N766/1000</f>
        <v>0</v>
      </c>
      <c r="O766" s="85">
        <f>STATS1003B!O766/1000</f>
        <v>0</v>
      </c>
      <c r="P766" s="85">
        <f>STATS1003B!P766/1000</f>
        <v>0</v>
      </c>
      <c r="Q766" s="85">
        <f>STATS1003B!Q766/1000</f>
        <v>283</v>
      </c>
      <c r="R766" s="85">
        <f>STATS1003B!R766/1000</f>
        <v>0</v>
      </c>
      <c r="S766" s="85">
        <f>STATS1003B!S766/1000</f>
        <v>0</v>
      </c>
      <c r="T766" s="85">
        <f>STATS1003B!T766/1000</f>
        <v>0</v>
      </c>
      <c r="U766" s="85">
        <f>STATS1003B!U766/1000</f>
        <v>0</v>
      </c>
      <c r="V766" s="85">
        <f>STATS1003B!V766/1000</f>
        <v>283</v>
      </c>
      <c r="W766" s="85">
        <f>STATS1003B!W766/1000</f>
        <v>0</v>
      </c>
      <c r="X766" s="85">
        <f t="shared" si="95"/>
        <v>283</v>
      </c>
      <c r="Y766" s="85">
        <f>STATS1003B!Y766/1000</f>
        <v>0</v>
      </c>
      <c r="Z766" s="85">
        <f t="shared" si="98"/>
        <v>0</v>
      </c>
      <c r="AA766" s="69">
        <f>STATS1003B!AA766/1000</f>
        <v>283</v>
      </c>
      <c r="AB766" s="69">
        <f>STATS1003B!AB766/1000</f>
        <v>0</v>
      </c>
    </row>
    <row r="767" spans="1:28" hidden="1" x14ac:dyDescent="0.3">
      <c r="A767" s="117"/>
      <c r="C767" s="68" t="s">
        <v>535</v>
      </c>
      <c r="D767" s="87" t="s">
        <v>85</v>
      </c>
      <c r="E767" s="85">
        <f>STATS1003B!E767/1000</f>
        <v>432</v>
      </c>
      <c r="F767" s="85">
        <f>STATS1003B!F767/1000</f>
        <v>432</v>
      </c>
      <c r="G767" s="85">
        <f>STATS1003B!G767/1000</f>
        <v>0</v>
      </c>
      <c r="H767" s="85">
        <f>STATS1003B!H767/1000</f>
        <v>432</v>
      </c>
      <c r="I767" s="85">
        <f>STATS1003B!I767/1000</f>
        <v>0</v>
      </c>
      <c r="J767" s="85">
        <f>STATS1003B!J767/1000</f>
        <v>432</v>
      </c>
      <c r="K767" s="85">
        <f>STATS1003B!K767/1000</f>
        <v>0</v>
      </c>
      <c r="L767" s="85">
        <f>STATS1003B!L767/1000</f>
        <v>0</v>
      </c>
      <c r="M767" s="85">
        <f>STATS1003B!M767/1000</f>
        <v>432</v>
      </c>
      <c r="N767" s="85">
        <f>STATS1003B!N767/1000</f>
        <v>0</v>
      </c>
      <c r="O767" s="85">
        <f>STATS1003B!O767/1000</f>
        <v>0</v>
      </c>
      <c r="P767" s="85">
        <f>STATS1003B!P767/1000</f>
        <v>0</v>
      </c>
      <c r="Q767" s="85">
        <f>STATS1003B!Q767/1000</f>
        <v>432</v>
      </c>
      <c r="R767" s="85">
        <f>STATS1003B!R767/1000</f>
        <v>0</v>
      </c>
      <c r="S767" s="85">
        <f>STATS1003B!S767/1000</f>
        <v>0</v>
      </c>
      <c r="T767" s="85">
        <f>STATS1003B!T767/1000</f>
        <v>0</v>
      </c>
      <c r="U767" s="85">
        <f>STATS1003B!U767/1000</f>
        <v>0</v>
      </c>
      <c r="V767" s="85">
        <f>STATS1003B!V767/1000</f>
        <v>432</v>
      </c>
      <c r="W767" s="85">
        <f>STATS1003B!W767/1000</f>
        <v>0</v>
      </c>
      <c r="X767" s="85">
        <f t="shared" si="95"/>
        <v>432</v>
      </c>
      <c r="Y767" s="85">
        <f>STATS1003B!Y767/1000</f>
        <v>0</v>
      </c>
      <c r="Z767" s="85">
        <f t="shared" si="98"/>
        <v>0</v>
      </c>
      <c r="AA767" s="69">
        <f>STATS1003B!AA767/1000</f>
        <v>432</v>
      </c>
      <c r="AB767" s="69">
        <f>STATS1003B!AB767/1000</f>
        <v>0</v>
      </c>
    </row>
    <row r="768" spans="1:28" hidden="1" x14ac:dyDescent="0.3">
      <c r="A768" s="117"/>
      <c r="C768" s="68" t="s">
        <v>629</v>
      </c>
      <c r="D768" s="87" t="s">
        <v>128</v>
      </c>
      <c r="E768" s="85">
        <f>STATS1003B!E768/1000</f>
        <v>600</v>
      </c>
      <c r="F768" s="85">
        <f>STATS1003B!F768/1000</f>
        <v>600</v>
      </c>
      <c r="G768" s="85">
        <f>STATS1003B!G768/1000</f>
        <v>0</v>
      </c>
      <c r="H768" s="85">
        <f>STATS1003B!H768/1000</f>
        <v>600</v>
      </c>
      <c r="I768" s="85">
        <f>STATS1003B!I768/1000</f>
        <v>0</v>
      </c>
      <c r="J768" s="85">
        <f>STATS1003B!J768/1000</f>
        <v>600</v>
      </c>
      <c r="K768" s="85">
        <f>STATS1003B!K768/1000</f>
        <v>0</v>
      </c>
      <c r="L768" s="85">
        <f>STATS1003B!L768/1000</f>
        <v>0</v>
      </c>
      <c r="M768" s="85">
        <f>STATS1003B!M768/1000</f>
        <v>600</v>
      </c>
      <c r="N768" s="85">
        <f>STATS1003B!N768/1000</f>
        <v>0</v>
      </c>
      <c r="O768" s="85">
        <f>STATS1003B!O768/1000</f>
        <v>0</v>
      </c>
      <c r="P768" s="85">
        <f>STATS1003B!P768/1000</f>
        <v>0</v>
      </c>
      <c r="Q768" s="85">
        <f>STATS1003B!Q768/1000</f>
        <v>600</v>
      </c>
      <c r="R768" s="85">
        <f>STATS1003B!R768/1000</f>
        <v>0</v>
      </c>
      <c r="S768" s="85">
        <f>STATS1003B!S768/1000</f>
        <v>0</v>
      </c>
      <c r="T768" s="85">
        <f>STATS1003B!T768/1000</f>
        <v>0</v>
      </c>
      <c r="U768" s="85">
        <f>STATS1003B!U768/1000</f>
        <v>0</v>
      </c>
      <c r="V768" s="85">
        <f>STATS1003B!V768/1000</f>
        <v>600</v>
      </c>
      <c r="W768" s="85">
        <f>STATS1003B!W768/1000</f>
        <v>0</v>
      </c>
      <c r="X768" s="85">
        <f t="shared" si="95"/>
        <v>600</v>
      </c>
      <c r="Y768" s="85">
        <f>STATS1003B!Y768/1000</f>
        <v>0</v>
      </c>
      <c r="Z768" s="85">
        <f t="shared" si="98"/>
        <v>0</v>
      </c>
      <c r="AA768" s="69">
        <f>STATS1003B!AA768/1000</f>
        <v>600</v>
      </c>
      <c r="AB768" s="69">
        <f>STATS1003B!AB768/1000</f>
        <v>0</v>
      </c>
    </row>
    <row r="769" spans="1:28" hidden="1" x14ac:dyDescent="0.3">
      <c r="A769" s="117"/>
      <c r="C769" s="68" t="s">
        <v>535</v>
      </c>
      <c r="D769" s="87" t="s">
        <v>128</v>
      </c>
      <c r="E769" s="85">
        <f>STATS1003B!E769/1000</f>
        <v>477</v>
      </c>
      <c r="F769" s="85">
        <f>STATS1003B!F769/1000</f>
        <v>477</v>
      </c>
      <c r="G769" s="85">
        <f>STATS1003B!G769/1000</f>
        <v>0</v>
      </c>
      <c r="H769" s="85">
        <f>STATS1003B!H769/1000</f>
        <v>477</v>
      </c>
      <c r="I769" s="85">
        <f>STATS1003B!I769/1000</f>
        <v>0</v>
      </c>
      <c r="J769" s="85">
        <f>STATS1003B!J769/1000</f>
        <v>477</v>
      </c>
      <c r="K769" s="85">
        <f>STATS1003B!K769/1000</f>
        <v>0</v>
      </c>
      <c r="L769" s="85">
        <f>STATS1003B!L769/1000</f>
        <v>0</v>
      </c>
      <c r="M769" s="85">
        <f>STATS1003B!M769/1000</f>
        <v>477</v>
      </c>
      <c r="N769" s="85">
        <f>STATS1003B!N769/1000</f>
        <v>0</v>
      </c>
      <c r="O769" s="85">
        <f>STATS1003B!O769/1000</f>
        <v>0</v>
      </c>
      <c r="P769" s="85">
        <f>STATS1003B!P769/1000</f>
        <v>0</v>
      </c>
      <c r="Q769" s="85">
        <f>STATS1003B!Q769/1000</f>
        <v>477</v>
      </c>
      <c r="R769" s="85">
        <f>STATS1003B!R769/1000</f>
        <v>0</v>
      </c>
      <c r="S769" s="85">
        <f>STATS1003B!S769/1000</f>
        <v>0</v>
      </c>
      <c r="T769" s="85">
        <f>STATS1003B!T769/1000</f>
        <v>0</v>
      </c>
      <c r="U769" s="85">
        <f>STATS1003B!U769/1000</f>
        <v>0</v>
      </c>
      <c r="V769" s="85">
        <f>STATS1003B!V769/1000</f>
        <v>477</v>
      </c>
      <c r="W769" s="85">
        <f>STATS1003B!W769/1000</f>
        <v>0</v>
      </c>
      <c r="X769" s="85">
        <f t="shared" si="95"/>
        <v>477</v>
      </c>
      <c r="Y769" s="85">
        <f>STATS1003B!Y769/1000</f>
        <v>0</v>
      </c>
      <c r="Z769" s="85">
        <f t="shared" si="98"/>
        <v>0</v>
      </c>
      <c r="AA769" s="69">
        <f>STATS1003B!AA769/1000</f>
        <v>477</v>
      </c>
      <c r="AB769" s="69">
        <f>STATS1003B!AB769/1000</f>
        <v>0</v>
      </c>
    </row>
    <row r="770" spans="1:28" hidden="1" x14ac:dyDescent="0.3">
      <c r="A770" s="117"/>
      <c r="C770" s="68" t="s">
        <v>630</v>
      </c>
      <c r="D770" s="87" t="s">
        <v>128</v>
      </c>
      <c r="E770" s="85">
        <f>STATS1003B!E770/1000</f>
        <v>400</v>
      </c>
      <c r="F770" s="85">
        <f>STATS1003B!F770/1000</f>
        <v>400</v>
      </c>
      <c r="G770" s="85">
        <f>STATS1003B!G770/1000</f>
        <v>0</v>
      </c>
      <c r="H770" s="85">
        <f>STATS1003B!H770/1000</f>
        <v>400</v>
      </c>
      <c r="I770" s="85">
        <f>STATS1003B!I770/1000</f>
        <v>0</v>
      </c>
      <c r="J770" s="85">
        <f>STATS1003B!J770/1000</f>
        <v>400</v>
      </c>
      <c r="K770" s="85">
        <f>STATS1003B!K770/1000</f>
        <v>0</v>
      </c>
      <c r="L770" s="85">
        <f>STATS1003B!L770/1000</f>
        <v>0</v>
      </c>
      <c r="M770" s="85">
        <f>STATS1003B!M770/1000</f>
        <v>400</v>
      </c>
      <c r="N770" s="85">
        <f>STATS1003B!N770/1000</f>
        <v>0</v>
      </c>
      <c r="O770" s="85">
        <f>STATS1003B!O770/1000</f>
        <v>0</v>
      </c>
      <c r="P770" s="85">
        <f>STATS1003B!P770/1000</f>
        <v>0</v>
      </c>
      <c r="Q770" s="85">
        <f>STATS1003B!Q770/1000</f>
        <v>400</v>
      </c>
      <c r="R770" s="85">
        <f>STATS1003B!R770/1000</f>
        <v>0</v>
      </c>
      <c r="S770" s="85">
        <f>STATS1003B!S770/1000</f>
        <v>0</v>
      </c>
      <c r="T770" s="85">
        <f>STATS1003B!T770/1000</f>
        <v>0</v>
      </c>
      <c r="U770" s="85">
        <f>STATS1003B!U770/1000</f>
        <v>0</v>
      </c>
      <c r="V770" s="85">
        <f>STATS1003B!V770/1000</f>
        <v>400</v>
      </c>
      <c r="W770" s="85">
        <f>STATS1003B!W770/1000</f>
        <v>0</v>
      </c>
      <c r="X770" s="85">
        <f t="shared" si="95"/>
        <v>400</v>
      </c>
      <c r="Y770" s="85">
        <f>STATS1003B!Y770/1000</f>
        <v>0</v>
      </c>
      <c r="Z770" s="85">
        <f t="shared" si="98"/>
        <v>0</v>
      </c>
      <c r="AA770" s="69">
        <f>STATS1003B!AA770/1000</f>
        <v>400</v>
      </c>
      <c r="AB770" s="69">
        <f>STATS1003B!AB770/1000</f>
        <v>0</v>
      </c>
    </row>
    <row r="771" spans="1:28" hidden="1" x14ac:dyDescent="0.3">
      <c r="A771" s="117"/>
      <c r="C771" s="68" t="s">
        <v>535</v>
      </c>
      <c r="D771" s="87" t="s">
        <v>88</v>
      </c>
      <c r="E771" s="85">
        <f>STATS1003B!E771/1000</f>
        <v>1100</v>
      </c>
      <c r="F771" s="85">
        <f>STATS1003B!F771/1000</f>
        <v>1100</v>
      </c>
      <c r="G771" s="85">
        <f>STATS1003B!G771/1000</f>
        <v>0</v>
      </c>
      <c r="H771" s="85">
        <f>STATS1003B!H771/1000</f>
        <v>1100</v>
      </c>
      <c r="I771" s="85">
        <f>STATS1003B!I771/1000</f>
        <v>0</v>
      </c>
      <c r="J771" s="85">
        <f>STATS1003B!J771/1000</f>
        <v>1100</v>
      </c>
      <c r="K771" s="85">
        <f>STATS1003B!K771/1000</f>
        <v>0</v>
      </c>
      <c r="L771" s="85">
        <f>STATS1003B!L771/1000</f>
        <v>0</v>
      </c>
      <c r="M771" s="85">
        <f>STATS1003B!M771/1000</f>
        <v>1100</v>
      </c>
      <c r="N771" s="85">
        <f>STATS1003B!N771/1000</f>
        <v>0</v>
      </c>
      <c r="O771" s="85">
        <f>STATS1003B!O771/1000</f>
        <v>0</v>
      </c>
      <c r="P771" s="85">
        <f>STATS1003B!P771/1000</f>
        <v>0</v>
      </c>
      <c r="Q771" s="85">
        <f>STATS1003B!Q771/1000</f>
        <v>1100</v>
      </c>
      <c r="R771" s="85">
        <f>STATS1003B!R771/1000</f>
        <v>0</v>
      </c>
      <c r="S771" s="85">
        <f>STATS1003B!S771/1000</f>
        <v>0</v>
      </c>
      <c r="T771" s="85">
        <f>STATS1003B!T771/1000</f>
        <v>0</v>
      </c>
      <c r="U771" s="85">
        <f>STATS1003B!U771/1000</f>
        <v>0</v>
      </c>
      <c r="V771" s="85">
        <f>STATS1003B!V771/1000</f>
        <v>1100</v>
      </c>
      <c r="W771" s="85">
        <f>STATS1003B!W771/1000</f>
        <v>0</v>
      </c>
      <c r="X771" s="85">
        <f t="shared" si="95"/>
        <v>1100</v>
      </c>
      <c r="Y771" s="85">
        <f>STATS1003B!Y771/1000</f>
        <v>0</v>
      </c>
      <c r="Z771" s="85">
        <f t="shared" si="98"/>
        <v>0</v>
      </c>
      <c r="AA771" s="69">
        <f>STATS1003B!AA771/1000</f>
        <v>1100</v>
      </c>
      <c r="AB771" s="69">
        <f>STATS1003B!AB771/1000</f>
        <v>0</v>
      </c>
    </row>
    <row r="772" spans="1:28" hidden="1" x14ac:dyDescent="0.3">
      <c r="A772" s="117"/>
      <c r="C772" s="68" t="s">
        <v>535</v>
      </c>
      <c r="D772" s="87" t="s">
        <v>58</v>
      </c>
      <c r="E772" s="85">
        <f>STATS1003B!E772/1000</f>
        <v>1234.67</v>
      </c>
      <c r="F772" s="85">
        <f>STATS1003B!F772/1000</f>
        <v>1234.67</v>
      </c>
      <c r="G772" s="85">
        <f>STATS1003B!G772/1000</f>
        <v>0</v>
      </c>
      <c r="H772" s="85">
        <f>STATS1003B!H772/1000</f>
        <v>1234.67</v>
      </c>
      <c r="I772" s="85">
        <f>STATS1003B!I772/1000</f>
        <v>0</v>
      </c>
      <c r="J772" s="85">
        <f>STATS1003B!J772/1000</f>
        <v>1234.67</v>
      </c>
      <c r="K772" s="85">
        <f>STATS1003B!K772/1000</f>
        <v>0</v>
      </c>
      <c r="L772" s="85">
        <f>STATS1003B!L772/1000</f>
        <v>0</v>
      </c>
      <c r="M772" s="85">
        <f>STATS1003B!M772/1000</f>
        <v>1234.67</v>
      </c>
      <c r="N772" s="85">
        <f>STATS1003B!N772/1000</f>
        <v>0</v>
      </c>
      <c r="O772" s="85">
        <f>STATS1003B!O772/1000</f>
        <v>0</v>
      </c>
      <c r="P772" s="85">
        <f>STATS1003B!P772/1000</f>
        <v>0</v>
      </c>
      <c r="Q772" s="85">
        <f>STATS1003B!Q772/1000</f>
        <v>1234.67</v>
      </c>
      <c r="R772" s="85">
        <f>STATS1003B!R772/1000</f>
        <v>0</v>
      </c>
      <c r="S772" s="85">
        <f>STATS1003B!S772/1000</f>
        <v>0</v>
      </c>
      <c r="T772" s="85">
        <f>STATS1003B!T772/1000</f>
        <v>0</v>
      </c>
      <c r="U772" s="85">
        <f>STATS1003B!U772/1000</f>
        <v>0</v>
      </c>
      <c r="V772" s="85">
        <f>STATS1003B!V772/1000</f>
        <v>1234.67</v>
      </c>
      <c r="W772" s="85">
        <f>STATS1003B!W772/1000</f>
        <v>0</v>
      </c>
      <c r="X772" s="85">
        <f t="shared" si="95"/>
        <v>1234.67</v>
      </c>
      <c r="Y772" s="85">
        <f>STATS1003B!Y772/1000</f>
        <v>0</v>
      </c>
      <c r="Z772" s="85">
        <f t="shared" si="98"/>
        <v>0</v>
      </c>
      <c r="AA772" s="69">
        <f>STATS1003B!AA772/1000</f>
        <v>1234.67</v>
      </c>
      <c r="AB772" s="69">
        <f>STATS1003B!AB772/1000</f>
        <v>0</v>
      </c>
    </row>
    <row r="773" spans="1:28" hidden="1" x14ac:dyDescent="0.3">
      <c r="A773" s="117"/>
      <c r="C773" s="71" t="s">
        <v>535</v>
      </c>
      <c r="D773" s="88" t="s">
        <v>73</v>
      </c>
      <c r="E773" s="85">
        <f>STATS1003B!E773/1000</f>
        <v>492</v>
      </c>
      <c r="F773" s="85">
        <f>STATS1003B!F773/1000</f>
        <v>492</v>
      </c>
      <c r="G773" s="85">
        <f>STATS1003B!G773/1000</f>
        <v>0</v>
      </c>
      <c r="H773" s="85">
        <f>STATS1003B!H773/1000</f>
        <v>492</v>
      </c>
      <c r="I773" s="85">
        <f>STATS1003B!I773/1000</f>
        <v>0</v>
      </c>
      <c r="J773" s="85">
        <f>STATS1003B!J773/1000</f>
        <v>492</v>
      </c>
      <c r="K773" s="85">
        <f>STATS1003B!K773/1000</f>
        <v>0</v>
      </c>
      <c r="L773" s="85">
        <f>STATS1003B!L773/1000</f>
        <v>0</v>
      </c>
      <c r="M773" s="85">
        <f>STATS1003B!M773/1000</f>
        <v>492</v>
      </c>
      <c r="N773" s="85">
        <f>STATS1003B!N773/1000</f>
        <v>0</v>
      </c>
      <c r="O773" s="85">
        <f>STATS1003B!O773/1000</f>
        <v>0</v>
      </c>
      <c r="P773" s="85">
        <f>STATS1003B!P773/1000</f>
        <v>0</v>
      </c>
      <c r="Q773" s="85">
        <f>STATS1003B!Q773/1000</f>
        <v>492</v>
      </c>
      <c r="R773" s="85">
        <f>STATS1003B!R773/1000</f>
        <v>0</v>
      </c>
      <c r="S773" s="85">
        <f>STATS1003B!S773/1000</f>
        <v>0</v>
      </c>
      <c r="T773" s="85">
        <f>STATS1003B!T773/1000</f>
        <v>0</v>
      </c>
      <c r="U773" s="85">
        <f>STATS1003B!U773/1000</f>
        <v>0</v>
      </c>
      <c r="V773" s="85">
        <f>STATS1003B!V773/1000</f>
        <v>492</v>
      </c>
      <c r="W773" s="85">
        <f>STATS1003B!W773/1000</f>
        <v>0</v>
      </c>
      <c r="X773" s="85">
        <f t="shared" ref="X773:X836" si="103">+H773+P773</f>
        <v>492</v>
      </c>
      <c r="Y773" s="85">
        <f>STATS1003B!Y773/1000</f>
        <v>0</v>
      </c>
      <c r="Z773" s="85">
        <f t="shared" si="98"/>
        <v>0</v>
      </c>
      <c r="AA773" s="69">
        <f>STATS1003B!AA773/1000</f>
        <v>492</v>
      </c>
      <c r="AB773" s="69">
        <f>STATS1003B!AB773/1000</f>
        <v>0</v>
      </c>
    </row>
    <row r="774" spans="1:28" hidden="1" x14ac:dyDescent="0.3">
      <c r="A774" s="117"/>
      <c r="C774" s="71" t="s">
        <v>535</v>
      </c>
      <c r="D774" s="88" t="s">
        <v>61</v>
      </c>
      <c r="E774" s="85">
        <f>STATS1003B!E774/1000</f>
        <v>434</v>
      </c>
      <c r="F774" s="85">
        <f>STATS1003B!F774/1000</f>
        <v>434</v>
      </c>
      <c r="G774" s="85">
        <f>STATS1003B!G774/1000</f>
        <v>0</v>
      </c>
      <c r="H774" s="85">
        <f>STATS1003B!H774/1000</f>
        <v>434</v>
      </c>
      <c r="I774" s="85">
        <f>STATS1003B!I774/1000</f>
        <v>0</v>
      </c>
      <c r="J774" s="85">
        <f>STATS1003B!J774/1000</f>
        <v>434</v>
      </c>
      <c r="K774" s="85">
        <f>STATS1003B!K774/1000</f>
        <v>0</v>
      </c>
      <c r="L774" s="85">
        <f>STATS1003B!L774/1000</f>
        <v>0</v>
      </c>
      <c r="M774" s="85">
        <f>STATS1003B!M774/1000</f>
        <v>434</v>
      </c>
      <c r="N774" s="85">
        <f>STATS1003B!N774/1000</f>
        <v>0</v>
      </c>
      <c r="O774" s="85">
        <f>STATS1003B!O774/1000</f>
        <v>0</v>
      </c>
      <c r="P774" s="85">
        <f>STATS1003B!P774/1000</f>
        <v>0</v>
      </c>
      <c r="Q774" s="85">
        <f>STATS1003B!Q774/1000</f>
        <v>434</v>
      </c>
      <c r="R774" s="85">
        <f>STATS1003B!R774/1000</f>
        <v>0</v>
      </c>
      <c r="S774" s="85">
        <f>STATS1003B!S774/1000</f>
        <v>0</v>
      </c>
      <c r="T774" s="85">
        <f>STATS1003B!T774/1000</f>
        <v>0</v>
      </c>
      <c r="U774" s="85">
        <f>STATS1003B!U774/1000</f>
        <v>0</v>
      </c>
      <c r="V774" s="85">
        <f>STATS1003B!V774/1000</f>
        <v>434</v>
      </c>
      <c r="W774" s="85">
        <f>STATS1003B!W774/1000</f>
        <v>0</v>
      </c>
      <c r="X774" s="85">
        <f t="shared" si="103"/>
        <v>434</v>
      </c>
      <c r="Y774" s="85">
        <f>STATS1003B!Y774/1000</f>
        <v>0</v>
      </c>
      <c r="Z774" s="85">
        <f t="shared" si="98"/>
        <v>0</v>
      </c>
      <c r="AA774" s="69">
        <f>STATS1003B!AA774/1000</f>
        <v>434</v>
      </c>
      <c r="AB774" s="69">
        <f>STATS1003B!AB774/1000</f>
        <v>0</v>
      </c>
    </row>
    <row r="775" spans="1:28" hidden="1" x14ac:dyDescent="0.3">
      <c r="A775" s="117"/>
      <c r="C775" s="71" t="s">
        <v>1182</v>
      </c>
      <c r="D775" s="89" t="s">
        <v>1126</v>
      </c>
      <c r="E775" s="85">
        <f>STATS1003B!E775/1000</f>
        <v>855.20096000000001</v>
      </c>
      <c r="F775" s="85">
        <f>STATS1003B!F775/1000</f>
        <v>855.20096000000001</v>
      </c>
      <c r="G775" s="85">
        <f>STATS1003B!G775/1000</f>
        <v>0</v>
      </c>
      <c r="H775" s="85">
        <f>STATS1003B!H775/1000</f>
        <v>855.20096000000001</v>
      </c>
      <c r="I775" s="85">
        <f>STATS1003B!I775/1000</f>
        <v>0</v>
      </c>
      <c r="J775" s="85">
        <f>STATS1003B!J775/1000</f>
        <v>855.20096000000001</v>
      </c>
      <c r="K775" s="85">
        <f>STATS1003B!K775/1000</f>
        <v>0</v>
      </c>
      <c r="L775" s="85">
        <f>STATS1003B!L775/1000</f>
        <v>0</v>
      </c>
      <c r="M775" s="85">
        <f>STATS1003B!M775/1000</f>
        <v>855.20096000000001</v>
      </c>
      <c r="N775" s="85">
        <f>STATS1003B!N775/1000</f>
        <v>0</v>
      </c>
      <c r="O775" s="85">
        <f>STATS1003B!O775/1000</f>
        <v>0</v>
      </c>
      <c r="P775" s="85">
        <f>STATS1003B!P775/1000</f>
        <v>0</v>
      </c>
      <c r="Q775" s="85">
        <f>STATS1003B!Q775/1000</f>
        <v>0</v>
      </c>
      <c r="R775" s="85">
        <f>STATS1003B!R775/1000</f>
        <v>0</v>
      </c>
      <c r="S775" s="85">
        <f>STATS1003B!S775/1000</f>
        <v>0</v>
      </c>
      <c r="T775" s="85">
        <f>STATS1003B!T775/1000</f>
        <v>0</v>
      </c>
      <c r="U775" s="85">
        <f>STATS1003B!U775/1000</f>
        <v>0</v>
      </c>
      <c r="V775" s="85">
        <f>STATS1003B!V775/1000</f>
        <v>855.20096000000001</v>
      </c>
      <c r="W775" s="85">
        <f>STATS1003B!W775/1000</f>
        <v>0</v>
      </c>
      <c r="X775" s="85">
        <f t="shared" si="103"/>
        <v>855.20096000000001</v>
      </c>
      <c r="Y775" s="85">
        <f>STATS1003B!Y775/1000</f>
        <v>0</v>
      </c>
      <c r="Z775" s="85">
        <f t="shared" si="98"/>
        <v>0</v>
      </c>
      <c r="AA775" s="69">
        <f>STATS1003B!AA775/1000</f>
        <v>855.20096000000001</v>
      </c>
      <c r="AB775" s="69">
        <f>STATS1003B!AB775/1000</f>
        <v>0</v>
      </c>
    </row>
    <row r="776" spans="1:28" hidden="1" x14ac:dyDescent="0.3">
      <c r="A776" s="117"/>
      <c r="C776" s="71" t="s">
        <v>933</v>
      </c>
      <c r="D776" s="89" t="s">
        <v>1072</v>
      </c>
      <c r="E776" s="85">
        <f>STATS1003B!E776/1000</f>
        <v>343</v>
      </c>
      <c r="F776" s="85">
        <f>STATS1003B!F776/1000</f>
        <v>343</v>
      </c>
      <c r="G776" s="85">
        <f>STATS1003B!G776/1000</f>
        <v>0</v>
      </c>
      <c r="H776" s="85">
        <f>STATS1003B!H776/1000</f>
        <v>343</v>
      </c>
      <c r="I776" s="85">
        <f>STATS1003B!I776/1000</f>
        <v>0</v>
      </c>
      <c r="J776" s="85">
        <f>STATS1003B!J776/1000</f>
        <v>343</v>
      </c>
      <c r="K776" s="85">
        <f>STATS1003B!K776/1000</f>
        <v>0</v>
      </c>
      <c r="L776" s="85">
        <f>STATS1003B!L776/1000</f>
        <v>0</v>
      </c>
      <c r="M776" s="85">
        <f>STATS1003B!M776/1000</f>
        <v>343</v>
      </c>
      <c r="N776" s="85">
        <f>STATS1003B!N776/1000</f>
        <v>0</v>
      </c>
      <c r="O776" s="85">
        <f>STATS1003B!O776/1000</f>
        <v>0</v>
      </c>
      <c r="P776" s="85">
        <f>STATS1003B!P776/1000</f>
        <v>0</v>
      </c>
      <c r="Q776" s="85">
        <f>STATS1003B!Q776/1000</f>
        <v>343</v>
      </c>
      <c r="R776" s="85">
        <f>STATS1003B!R776/1000</f>
        <v>0</v>
      </c>
      <c r="S776" s="85">
        <f>STATS1003B!S776/1000</f>
        <v>0</v>
      </c>
      <c r="T776" s="85">
        <f>STATS1003B!T776/1000</f>
        <v>0</v>
      </c>
      <c r="U776" s="85">
        <f>STATS1003B!U776/1000</f>
        <v>0</v>
      </c>
      <c r="V776" s="85">
        <f>STATS1003B!V776/1000</f>
        <v>343</v>
      </c>
      <c r="W776" s="85">
        <f>STATS1003B!W776/1000</f>
        <v>0</v>
      </c>
      <c r="X776" s="85">
        <f t="shared" si="103"/>
        <v>343</v>
      </c>
      <c r="Y776" s="85">
        <f>STATS1003B!Y776/1000</f>
        <v>0</v>
      </c>
      <c r="Z776" s="85">
        <f t="shared" si="98"/>
        <v>0</v>
      </c>
      <c r="AA776" s="69">
        <f>STATS1003B!AA776/1000</f>
        <v>343</v>
      </c>
      <c r="AB776" s="69">
        <f>STATS1003B!AB776/1000</f>
        <v>0</v>
      </c>
    </row>
    <row r="777" spans="1:28" hidden="1" x14ac:dyDescent="0.3">
      <c r="A777" s="117"/>
      <c r="C777" s="71" t="s">
        <v>1257</v>
      </c>
      <c r="D777" s="89" t="s">
        <v>1225</v>
      </c>
      <c r="E777" s="85">
        <f>STATS1003B!E777/1000</f>
        <v>250</v>
      </c>
      <c r="F777" s="85">
        <f>STATS1003B!F777/1000</f>
        <v>0</v>
      </c>
      <c r="G777" s="85">
        <f>STATS1003B!G777/1000</f>
        <v>250</v>
      </c>
      <c r="H777" s="85">
        <f>STATS1003B!H777/1000</f>
        <v>250</v>
      </c>
      <c r="I777" s="85">
        <f>STATS1003B!I777/1000</f>
        <v>0</v>
      </c>
      <c r="J777" s="85">
        <f>STATS1003B!J777/1000</f>
        <v>250</v>
      </c>
      <c r="K777" s="85">
        <f>STATS1003B!K777/1000</f>
        <v>0</v>
      </c>
      <c r="L777" s="85">
        <f>STATS1003B!L777/1000</f>
        <v>0</v>
      </c>
      <c r="M777" s="85">
        <f>STATS1003B!M777/1000</f>
        <v>250</v>
      </c>
      <c r="N777" s="85">
        <f>STATS1003B!N777/1000</f>
        <v>0</v>
      </c>
      <c r="O777" s="85">
        <f>STATS1003B!O777/1000</f>
        <v>0</v>
      </c>
      <c r="P777" s="85">
        <f>STATS1003B!P777/1000</f>
        <v>0</v>
      </c>
      <c r="Q777" s="85">
        <f>STATS1003B!Q777/1000</f>
        <v>250</v>
      </c>
      <c r="R777" s="85">
        <f>STATS1003B!R777/1000</f>
        <v>0</v>
      </c>
      <c r="S777" s="85">
        <f>STATS1003B!S777/1000</f>
        <v>0</v>
      </c>
      <c r="T777" s="85">
        <f>STATS1003B!T777/1000</f>
        <v>0</v>
      </c>
      <c r="U777" s="85">
        <f>STATS1003B!U777/1000</f>
        <v>0</v>
      </c>
      <c r="V777" s="85">
        <f>STATS1003B!V777/1000</f>
        <v>250</v>
      </c>
      <c r="W777" s="85">
        <f>STATS1003B!W777/1000</f>
        <v>0</v>
      </c>
      <c r="X777" s="85">
        <f t="shared" si="103"/>
        <v>250</v>
      </c>
      <c r="Y777" s="85">
        <f>STATS1003B!Y777/1000</f>
        <v>0</v>
      </c>
      <c r="Z777" s="85">
        <f t="shared" si="98"/>
        <v>0</v>
      </c>
      <c r="AA777" s="69">
        <f>STATS1003B!AA777/1000</f>
        <v>250</v>
      </c>
      <c r="AB777" s="69">
        <f>STATS1003B!AB777/1000</f>
        <v>0</v>
      </c>
    </row>
    <row r="778" spans="1:28" hidden="1" x14ac:dyDescent="0.3">
      <c r="A778" s="117"/>
      <c r="C778" s="71" t="s">
        <v>567</v>
      </c>
      <c r="D778" s="88" t="s">
        <v>61</v>
      </c>
      <c r="E778" s="85">
        <f>STATS1003B!E778/1000</f>
        <v>500.74213000000003</v>
      </c>
      <c r="F778" s="85">
        <f>STATS1003B!F778/1000</f>
        <v>494.44582000000003</v>
      </c>
      <c r="G778" s="85">
        <f>STATS1003B!G778/1000</f>
        <v>0</v>
      </c>
      <c r="H778" s="85">
        <f>STATS1003B!H778/1000</f>
        <v>494.44582000000003</v>
      </c>
      <c r="I778" s="85">
        <f>STATS1003B!I778/1000</f>
        <v>0</v>
      </c>
      <c r="J778" s="85">
        <f>STATS1003B!J778/1000</f>
        <v>494.44582000000003</v>
      </c>
      <c r="K778" s="85">
        <f>STATS1003B!K778/1000</f>
        <v>0</v>
      </c>
      <c r="L778" s="85">
        <f>STATS1003B!L778/1000</f>
        <v>0</v>
      </c>
      <c r="M778" s="85">
        <f>STATS1003B!M778/1000</f>
        <v>494.44582000000003</v>
      </c>
      <c r="N778" s="85">
        <f>STATS1003B!N778/1000</f>
        <v>0</v>
      </c>
      <c r="O778" s="85">
        <f>STATS1003B!O778/1000</f>
        <v>0</v>
      </c>
      <c r="P778" s="85">
        <f>STATS1003B!P778/1000</f>
        <v>0</v>
      </c>
      <c r="Q778" s="85">
        <f>STATS1003B!Q778/1000</f>
        <v>500.74213000000003</v>
      </c>
      <c r="R778" s="85">
        <f>STATS1003B!R778/1000</f>
        <v>0</v>
      </c>
      <c r="S778" s="85">
        <f>STATS1003B!S778/1000</f>
        <v>0</v>
      </c>
      <c r="T778" s="85">
        <f>STATS1003B!T778/1000</f>
        <v>6.2963100000000001</v>
      </c>
      <c r="U778" s="85">
        <f>STATS1003B!U778/1000</f>
        <v>6.2963100000000001</v>
      </c>
      <c r="V778" s="85">
        <f>STATS1003B!V778/1000</f>
        <v>494.44582000000003</v>
      </c>
      <c r="W778" s="85">
        <f>STATS1003B!W778/1000</f>
        <v>6.2963099999999974</v>
      </c>
      <c r="X778" s="85">
        <f t="shared" si="103"/>
        <v>494.44582000000003</v>
      </c>
      <c r="Y778" s="85">
        <f>STATS1003B!Y778/1000</f>
        <v>0</v>
      </c>
      <c r="Z778" s="85">
        <f t="shared" si="98"/>
        <v>6.2963100000000054</v>
      </c>
      <c r="AA778" s="69">
        <f>STATS1003B!AA778/1000</f>
        <v>500.74213000000003</v>
      </c>
      <c r="AB778" s="69">
        <f>STATS1003B!AB778/1000</f>
        <v>0</v>
      </c>
    </row>
    <row r="779" spans="1:28" hidden="1" x14ac:dyDescent="0.3">
      <c r="A779" s="117"/>
      <c r="C779" s="68" t="s">
        <v>606</v>
      </c>
      <c r="E779" s="85">
        <f>STATS1003B!E779/1000</f>
        <v>2105.1361099999999</v>
      </c>
      <c r="F779" s="85">
        <f>STATS1003B!F779/1000</f>
        <v>2105.1361099999999</v>
      </c>
      <c r="G779" s="85">
        <f>STATS1003B!G779/1000</f>
        <v>0</v>
      </c>
      <c r="H779" s="85">
        <f>STATS1003B!H779/1000</f>
        <v>2105.1361099999999</v>
      </c>
      <c r="I779" s="85">
        <f>STATS1003B!I779/1000</f>
        <v>3.0000000260770321E-6</v>
      </c>
      <c r="J779" s="85">
        <f>STATS1003B!J779/1000</f>
        <v>2105.136113</v>
      </c>
      <c r="K779" s="85">
        <f>STATS1003B!K779/1000</f>
        <v>0</v>
      </c>
      <c r="L779" s="85">
        <f>STATS1003B!L779/1000</f>
        <v>0</v>
      </c>
      <c r="M779" s="85">
        <f>STATS1003B!M779/1000</f>
        <v>2105.1361099999999</v>
      </c>
      <c r="N779" s="85">
        <f>STATS1003B!N779/1000</f>
        <v>0</v>
      </c>
      <c r="O779" s="85">
        <f>STATS1003B!O779/1000</f>
        <v>0</v>
      </c>
      <c r="P779" s="85">
        <f>STATS1003B!P779/1000</f>
        <v>0</v>
      </c>
      <c r="Q779" s="85">
        <f>STATS1003B!Q779/1000</f>
        <v>2105.1361099999999</v>
      </c>
      <c r="R779" s="85">
        <f>STATS1003B!R779/1000</f>
        <v>0</v>
      </c>
      <c r="S779" s="85">
        <f>STATS1003B!S779/1000</f>
        <v>0</v>
      </c>
      <c r="T779" s="85">
        <f>STATS1003B!T779/1000</f>
        <v>0</v>
      </c>
      <c r="U779" s="85">
        <f>STATS1003B!U779/1000</f>
        <v>0</v>
      </c>
      <c r="V779" s="85">
        <f>STATS1003B!V779/1000</f>
        <v>2105.1361099999999</v>
      </c>
      <c r="W779" s="85">
        <f>STATS1003B!W779/1000</f>
        <v>0</v>
      </c>
      <c r="X779" s="85">
        <f t="shared" si="103"/>
        <v>2105.1361099999999</v>
      </c>
      <c r="Y779" s="85">
        <f>STATS1003B!Y779/1000</f>
        <v>0</v>
      </c>
      <c r="Z779" s="85">
        <f t="shared" si="98"/>
        <v>0</v>
      </c>
      <c r="AA779" s="69">
        <f>STATS1003B!AA779/1000</f>
        <v>2105.1361099999999</v>
      </c>
      <c r="AB779" s="69">
        <f>STATS1003B!AB779/1000</f>
        <v>0</v>
      </c>
    </row>
    <row r="780" spans="1:28" hidden="1" x14ac:dyDescent="0.3">
      <c r="A780" s="117"/>
      <c r="E780" s="86" t="s">
        <v>29</v>
      </c>
      <c r="F780" s="86" t="s">
        <v>29</v>
      </c>
      <c r="G780" s="86" t="s">
        <v>29</v>
      </c>
      <c r="H780" s="86" t="s">
        <v>29</v>
      </c>
      <c r="I780" s="86" t="s">
        <v>29</v>
      </c>
      <c r="J780" s="86" t="s">
        <v>29</v>
      </c>
      <c r="K780" s="86" t="s">
        <v>29</v>
      </c>
      <c r="L780" s="86" t="s">
        <v>29</v>
      </c>
      <c r="M780" s="86" t="s">
        <v>29</v>
      </c>
      <c r="N780" s="86" t="s">
        <v>29</v>
      </c>
      <c r="O780" s="86" t="s">
        <v>29</v>
      </c>
      <c r="P780" s="86" t="s">
        <v>29</v>
      </c>
      <c r="Q780" s="86" t="s">
        <v>29</v>
      </c>
      <c r="R780" s="86" t="s">
        <v>29</v>
      </c>
      <c r="S780" s="86" t="s">
        <v>29</v>
      </c>
      <c r="T780" s="86" t="s">
        <v>29</v>
      </c>
      <c r="U780" s="86" t="s">
        <v>29</v>
      </c>
      <c r="V780" s="86" t="s">
        <v>29</v>
      </c>
      <c r="W780" s="86" t="s">
        <v>29</v>
      </c>
      <c r="X780" s="85" t="e">
        <f t="shared" si="103"/>
        <v>#VALUE!</v>
      </c>
      <c r="Y780" s="86" t="s">
        <v>29</v>
      </c>
      <c r="Z780" s="85" t="e">
        <f t="shared" si="98"/>
        <v>#VALUE!</v>
      </c>
      <c r="AA780" s="115" t="s">
        <v>29</v>
      </c>
      <c r="AB780" s="115" t="s">
        <v>29</v>
      </c>
    </row>
    <row r="781" spans="1:28" x14ac:dyDescent="0.3">
      <c r="A781" s="116">
        <v>37</v>
      </c>
      <c r="B781" s="68" t="s">
        <v>627</v>
      </c>
      <c r="E781" s="85">
        <f>62440198.67/1000</f>
        <v>62440.198670000005</v>
      </c>
      <c r="F781" s="85">
        <f t="shared" ref="F781:Q781" si="104">SUM(F760:F780)</f>
        <v>15247.10751</v>
      </c>
      <c r="G781" s="85">
        <f t="shared" si="104"/>
        <v>250</v>
      </c>
      <c r="H781" s="85">
        <f>60188773.74/1000</f>
        <v>60188.773740000004</v>
      </c>
      <c r="I781" s="85">
        <f t="shared" si="104"/>
        <v>3.0000000260770321E-6</v>
      </c>
      <c r="J781" s="85">
        <f t="shared" si="104"/>
        <v>15497.107513000001</v>
      </c>
      <c r="K781" s="85">
        <f t="shared" si="104"/>
        <v>2245.1286199999995</v>
      </c>
      <c r="L781" s="85">
        <f t="shared" si="104"/>
        <v>0</v>
      </c>
      <c r="M781" s="85">
        <f t="shared" si="104"/>
        <v>15497.10751</v>
      </c>
      <c r="N781" s="85">
        <f t="shared" si="104"/>
        <v>2245.12862</v>
      </c>
      <c r="O781" s="85">
        <f t="shared" si="104"/>
        <v>0</v>
      </c>
      <c r="P781" s="85">
        <f>2245128/1000</f>
        <v>2245.1280000000002</v>
      </c>
      <c r="Q781" s="85">
        <f t="shared" si="104"/>
        <v>14648.202859999999</v>
      </c>
      <c r="R781" s="86"/>
      <c r="S781" s="86"/>
      <c r="T781" s="85">
        <f t="shared" ref="T781:Y781" si="105">SUM(T760:T780)</f>
        <v>6.2963100000000001</v>
      </c>
      <c r="U781" s="85">
        <f t="shared" si="105"/>
        <v>2251.4249300000001</v>
      </c>
      <c r="V781" s="85">
        <f t="shared" si="105"/>
        <v>17742.236130000001</v>
      </c>
      <c r="W781" s="85">
        <f t="shared" si="105"/>
        <v>6.2963099999999974</v>
      </c>
      <c r="X781" s="85">
        <f>+H781+P781</f>
        <v>62433.901740000001</v>
      </c>
      <c r="Y781" s="85">
        <f t="shared" si="105"/>
        <v>0</v>
      </c>
      <c r="Z781" s="85">
        <f t="shared" si="98"/>
        <v>6.2969300000040676</v>
      </c>
      <c r="AA781" s="69">
        <f>SUM(AA760:AA780)</f>
        <v>17748.532439999999</v>
      </c>
      <c r="AB781" s="69">
        <f>SUM(AB760:AB780)</f>
        <v>0</v>
      </c>
    </row>
    <row r="782" spans="1:28" hidden="1" x14ac:dyDescent="0.3">
      <c r="A782" s="117"/>
      <c r="E782" s="86" t="s">
        <v>29</v>
      </c>
      <c r="F782" s="86" t="s">
        <v>29</v>
      </c>
      <c r="G782" s="86" t="s">
        <v>29</v>
      </c>
      <c r="H782" s="86" t="s">
        <v>29</v>
      </c>
      <c r="I782" s="86" t="s">
        <v>29</v>
      </c>
      <c r="J782" s="86" t="s">
        <v>29</v>
      </c>
      <c r="K782" s="86" t="s">
        <v>29</v>
      </c>
      <c r="L782" s="86" t="s">
        <v>29</v>
      </c>
      <c r="M782" s="86" t="s">
        <v>29</v>
      </c>
      <c r="N782" s="86" t="s">
        <v>29</v>
      </c>
      <c r="O782" s="86" t="s">
        <v>29</v>
      </c>
      <c r="P782" s="86" t="s">
        <v>29</v>
      </c>
      <c r="Q782" s="86" t="s">
        <v>29</v>
      </c>
      <c r="R782" s="86" t="s">
        <v>29</v>
      </c>
      <c r="S782" s="86" t="s">
        <v>29</v>
      </c>
      <c r="T782" s="86" t="s">
        <v>29</v>
      </c>
      <c r="U782" s="86" t="s">
        <v>29</v>
      </c>
      <c r="V782" s="86" t="s">
        <v>29</v>
      </c>
      <c r="W782" s="86" t="s">
        <v>29</v>
      </c>
      <c r="X782" s="85" t="e">
        <f t="shared" si="103"/>
        <v>#VALUE!</v>
      </c>
      <c r="Y782" s="86" t="s">
        <v>29</v>
      </c>
      <c r="Z782" s="85" t="e">
        <f t="shared" si="98"/>
        <v>#VALUE!</v>
      </c>
      <c r="AA782" s="115" t="s">
        <v>29</v>
      </c>
      <c r="AB782" s="115" t="s">
        <v>29</v>
      </c>
    </row>
    <row r="783" spans="1:28" hidden="1" x14ac:dyDescent="0.3">
      <c r="A783" s="105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6"/>
      <c r="S783" s="86"/>
      <c r="T783" s="86"/>
      <c r="U783" s="86"/>
      <c r="V783" s="86"/>
      <c r="W783" s="86"/>
      <c r="X783" s="85">
        <f t="shared" si="103"/>
        <v>0</v>
      </c>
      <c r="Y783" s="86"/>
      <c r="Z783" s="85">
        <f t="shared" si="98"/>
        <v>0</v>
      </c>
      <c r="AA783" s="118"/>
    </row>
    <row r="784" spans="1:28" hidden="1" x14ac:dyDescent="0.3">
      <c r="A784" s="117"/>
      <c r="C784" s="68" t="s">
        <v>632</v>
      </c>
      <c r="D784" s="87" t="s">
        <v>150</v>
      </c>
      <c r="E784" s="85">
        <f>STATS1003B!E784/1000</f>
        <v>30415.36102</v>
      </c>
      <c r="F784" s="85">
        <f>STATS1003B!F784/1000</f>
        <v>29897.836059999998</v>
      </c>
      <c r="G784" s="85">
        <f>STATS1003B!G784/1000</f>
        <v>0</v>
      </c>
      <c r="H784" s="85">
        <f>STATS1003B!H784/1000</f>
        <v>29897.836059999998</v>
      </c>
      <c r="I784" s="85">
        <f>STATS1003B!I784/1000</f>
        <v>0</v>
      </c>
      <c r="J784" s="85">
        <f>STATS1003B!J784/1000</f>
        <v>29897.836059999998</v>
      </c>
      <c r="K784" s="85">
        <f>STATS1003B!K784/1000</f>
        <v>517.52495999999996</v>
      </c>
      <c r="L784" s="85">
        <f>STATS1003B!L784/1000</f>
        <v>0</v>
      </c>
      <c r="M784" s="85">
        <f>STATS1003B!M784/1000</f>
        <v>29897.836059999998</v>
      </c>
      <c r="N784" s="85">
        <f>STATS1003B!N784/1000</f>
        <v>517.52495999999996</v>
      </c>
      <c r="O784" s="85">
        <f>STATS1003B!O784/1000</f>
        <v>0</v>
      </c>
      <c r="P784" s="85">
        <f>STATS1003B!P784/1000</f>
        <v>517.52495999999996</v>
      </c>
      <c r="Q784" s="85">
        <f>STATS1003B!Q784/1000</f>
        <v>29897.836059999998</v>
      </c>
      <c r="R784" s="85">
        <f>STATS1003B!R784/1000</f>
        <v>0</v>
      </c>
      <c r="S784" s="85">
        <f>STATS1003B!S784/1000</f>
        <v>0</v>
      </c>
      <c r="T784" s="85">
        <f>STATS1003B!T784/1000</f>
        <v>0</v>
      </c>
      <c r="U784" s="85">
        <f>STATS1003B!U784/1000</f>
        <v>517.52495999999996</v>
      </c>
      <c r="V784" s="85">
        <f>STATS1003B!V784/1000</f>
        <v>30415.36102</v>
      </c>
      <c r="W784" s="85">
        <f>STATS1003B!W784/1000</f>
        <v>0</v>
      </c>
      <c r="X784" s="85">
        <f t="shared" si="103"/>
        <v>30415.361019999997</v>
      </c>
      <c r="Y784" s="85">
        <f>STATS1003B!Y784/1000</f>
        <v>0</v>
      </c>
      <c r="Z784" s="85">
        <f t="shared" si="98"/>
        <v>0</v>
      </c>
      <c r="AA784" s="69">
        <f>STATS1003B!AA784/1000</f>
        <v>30415.36102</v>
      </c>
      <c r="AB784" s="69">
        <f>STATS1003B!AB784/1000</f>
        <v>0</v>
      </c>
    </row>
    <row r="785" spans="1:28" hidden="1" x14ac:dyDescent="0.3">
      <c r="A785" s="117"/>
      <c r="C785" s="68" t="s">
        <v>633</v>
      </c>
      <c r="D785" s="87" t="s">
        <v>150</v>
      </c>
      <c r="E785" s="85">
        <f>STATS1003B!E785/1000</f>
        <v>779.67492000000004</v>
      </c>
      <c r="F785" s="85">
        <f>STATS1003B!F785/1000</f>
        <v>636.173</v>
      </c>
      <c r="G785" s="85">
        <f>STATS1003B!G785/1000</f>
        <v>0</v>
      </c>
      <c r="H785" s="85">
        <f>STATS1003B!H785/1000</f>
        <v>636.173</v>
      </c>
      <c r="I785" s="85">
        <f>STATS1003B!I785/1000</f>
        <v>0</v>
      </c>
      <c r="J785" s="85">
        <f>STATS1003B!J785/1000</f>
        <v>636.173</v>
      </c>
      <c r="K785" s="85">
        <f>STATS1003B!K785/1000</f>
        <v>143.50192000000001</v>
      </c>
      <c r="L785" s="85">
        <f>STATS1003B!L785/1000</f>
        <v>0</v>
      </c>
      <c r="M785" s="85">
        <f>STATS1003B!M785/1000</f>
        <v>636.173</v>
      </c>
      <c r="N785" s="85">
        <f>STATS1003B!N785/1000</f>
        <v>143.50192000000001</v>
      </c>
      <c r="O785" s="85">
        <f>STATS1003B!O785/1000</f>
        <v>0</v>
      </c>
      <c r="P785" s="85">
        <f>STATS1003B!P785/1000</f>
        <v>143.50192000000001</v>
      </c>
      <c r="Q785" s="85">
        <f>STATS1003B!Q785/1000</f>
        <v>636.173</v>
      </c>
      <c r="R785" s="85">
        <f>STATS1003B!R785/1000</f>
        <v>0</v>
      </c>
      <c r="S785" s="85">
        <f>STATS1003B!S785/1000</f>
        <v>0</v>
      </c>
      <c r="T785" s="85">
        <f>STATS1003B!T785/1000</f>
        <v>0</v>
      </c>
      <c r="U785" s="85">
        <f>STATS1003B!U785/1000</f>
        <v>143.50192000000001</v>
      </c>
      <c r="V785" s="85">
        <f>STATS1003B!V785/1000</f>
        <v>779.67492000000004</v>
      </c>
      <c r="W785" s="85">
        <f>STATS1003B!W785/1000</f>
        <v>0</v>
      </c>
      <c r="X785" s="85">
        <f t="shared" si="103"/>
        <v>779.67492000000004</v>
      </c>
      <c r="Y785" s="85">
        <f>STATS1003B!Y785/1000</f>
        <v>0</v>
      </c>
      <c r="Z785" s="85">
        <f t="shared" si="98"/>
        <v>0</v>
      </c>
      <c r="AA785" s="69">
        <f>STATS1003B!AA785/1000</f>
        <v>779.67492000000004</v>
      </c>
      <c r="AB785" s="69">
        <f>STATS1003B!AB785/1000</f>
        <v>0</v>
      </c>
    </row>
    <row r="786" spans="1:28" hidden="1" x14ac:dyDescent="0.3">
      <c r="A786" s="117"/>
      <c r="C786" s="68" t="s">
        <v>634</v>
      </c>
      <c r="D786" s="87" t="s">
        <v>166</v>
      </c>
      <c r="E786" s="85">
        <f>STATS1003B!E786/1000</f>
        <v>550</v>
      </c>
      <c r="F786" s="85">
        <f>STATS1003B!F786/1000</f>
        <v>550</v>
      </c>
      <c r="G786" s="85">
        <f>STATS1003B!G786/1000</f>
        <v>0</v>
      </c>
      <c r="H786" s="85">
        <f>STATS1003B!H786/1000</f>
        <v>550</v>
      </c>
      <c r="I786" s="85">
        <f>STATS1003B!I786/1000</f>
        <v>0</v>
      </c>
      <c r="J786" s="85">
        <f>STATS1003B!J786/1000</f>
        <v>550</v>
      </c>
      <c r="K786" s="85">
        <f>STATS1003B!K786/1000</f>
        <v>0</v>
      </c>
      <c r="L786" s="85">
        <f>STATS1003B!L786/1000</f>
        <v>0</v>
      </c>
      <c r="M786" s="85">
        <f>STATS1003B!M786/1000</f>
        <v>550</v>
      </c>
      <c r="N786" s="85">
        <f>STATS1003B!N786/1000</f>
        <v>0</v>
      </c>
      <c r="O786" s="85">
        <f>STATS1003B!O786/1000</f>
        <v>0</v>
      </c>
      <c r="P786" s="85">
        <f>STATS1003B!P786/1000</f>
        <v>0</v>
      </c>
      <c r="Q786" s="85">
        <f>STATS1003B!Q786/1000</f>
        <v>550</v>
      </c>
      <c r="R786" s="85">
        <f>STATS1003B!R786/1000</f>
        <v>0</v>
      </c>
      <c r="S786" s="85">
        <f>STATS1003B!S786/1000</f>
        <v>0</v>
      </c>
      <c r="T786" s="85">
        <f>STATS1003B!T786/1000</f>
        <v>0</v>
      </c>
      <c r="U786" s="85">
        <f>STATS1003B!U786/1000</f>
        <v>0</v>
      </c>
      <c r="V786" s="85">
        <f>STATS1003B!V786/1000</f>
        <v>550</v>
      </c>
      <c r="W786" s="85">
        <f>STATS1003B!W786/1000</f>
        <v>0</v>
      </c>
      <c r="X786" s="85">
        <f t="shared" si="103"/>
        <v>550</v>
      </c>
      <c r="Y786" s="85">
        <f>STATS1003B!Y786/1000</f>
        <v>0</v>
      </c>
      <c r="Z786" s="85">
        <f t="shared" si="98"/>
        <v>0</v>
      </c>
      <c r="AA786" s="69">
        <f>STATS1003B!AA786/1000</f>
        <v>550</v>
      </c>
      <c r="AB786" s="69">
        <f>STATS1003B!AB786/1000</f>
        <v>0</v>
      </c>
    </row>
    <row r="787" spans="1:28" hidden="1" x14ac:dyDescent="0.3">
      <c r="A787" s="117"/>
      <c r="C787" s="68" t="s">
        <v>635</v>
      </c>
      <c r="D787" s="87" t="s">
        <v>166</v>
      </c>
      <c r="E787" s="85">
        <f>STATS1003B!E787/1000</f>
        <v>60.142449999999954</v>
      </c>
      <c r="F787" s="85">
        <f>STATS1003B!F787/1000</f>
        <v>0</v>
      </c>
      <c r="G787" s="85">
        <f>STATS1003B!G787/1000</f>
        <v>0</v>
      </c>
      <c r="H787" s="85">
        <f>STATS1003B!H787/1000</f>
        <v>0</v>
      </c>
      <c r="I787" s="85">
        <f>STATS1003B!I787/1000</f>
        <v>0</v>
      </c>
      <c r="J787" s="85">
        <f>STATS1003B!J787/1000</f>
        <v>0</v>
      </c>
      <c r="K787" s="85">
        <f>STATS1003B!K787/1000</f>
        <v>60.142449999999997</v>
      </c>
      <c r="L787" s="85">
        <f>STATS1003B!L787/1000</f>
        <v>0</v>
      </c>
      <c r="M787" s="85">
        <f>STATS1003B!M787/1000</f>
        <v>0</v>
      </c>
      <c r="N787" s="85">
        <f>STATS1003B!N787/1000</f>
        <v>60.142449999999997</v>
      </c>
      <c r="O787" s="85">
        <f>STATS1003B!O787/1000</f>
        <v>0</v>
      </c>
      <c r="P787" s="85">
        <f>STATS1003B!P787/1000</f>
        <v>60.142449999999997</v>
      </c>
      <c r="Q787" s="85">
        <f>STATS1003B!Q787/1000</f>
        <v>0</v>
      </c>
      <c r="R787" s="85">
        <f>STATS1003B!R787/1000</f>
        <v>0</v>
      </c>
      <c r="S787" s="85">
        <f>STATS1003B!S787/1000</f>
        <v>0</v>
      </c>
      <c r="T787" s="85">
        <f>STATS1003B!T787/1000</f>
        <v>0</v>
      </c>
      <c r="U787" s="85">
        <f>STATS1003B!U787/1000</f>
        <v>60.142449999999997</v>
      </c>
      <c r="V787" s="85">
        <f>STATS1003B!V787/1000</f>
        <v>60.142449999999997</v>
      </c>
      <c r="W787" s="85">
        <f>STATS1003B!W787/1000</f>
        <v>0</v>
      </c>
      <c r="X787" s="85">
        <f t="shared" si="103"/>
        <v>60.142449999999997</v>
      </c>
      <c r="Y787" s="85">
        <f>STATS1003B!Y787/1000</f>
        <v>0</v>
      </c>
      <c r="Z787" s="85">
        <f t="shared" si="98"/>
        <v>0</v>
      </c>
      <c r="AA787" s="69">
        <f>STATS1003B!AA787/1000</f>
        <v>60.142449999999997</v>
      </c>
      <c r="AB787" s="69">
        <f>STATS1003B!AB787/1000</f>
        <v>0</v>
      </c>
    </row>
    <row r="788" spans="1:28" hidden="1" x14ac:dyDescent="0.3">
      <c r="A788" s="117"/>
      <c r="C788" s="68" t="s">
        <v>636</v>
      </c>
      <c r="D788" s="87" t="s">
        <v>78</v>
      </c>
      <c r="E788" s="85">
        <f>STATS1003B!E788/1000</f>
        <v>1623.54603</v>
      </c>
      <c r="F788" s="85">
        <f>STATS1003B!F788/1000</f>
        <v>1297.9701</v>
      </c>
      <c r="G788" s="85">
        <f>STATS1003B!G788/1000</f>
        <v>0</v>
      </c>
      <c r="H788" s="85">
        <f>STATS1003B!H788/1000</f>
        <v>1297.9701</v>
      </c>
      <c r="I788" s="85">
        <f>STATS1003B!I788/1000</f>
        <v>0</v>
      </c>
      <c r="J788" s="85">
        <f>STATS1003B!J788/1000</f>
        <v>1297.9701</v>
      </c>
      <c r="K788" s="85">
        <f>STATS1003B!K788/1000</f>
        <v>325.57592999999997</v>
      </c>
      <c r="L788" s="85">
        <f>STATS1003B!L788/1000</f>
        <v>0</v>
      </c>
      <c r="M788" s="85">
        <f>STATS1003B!M788/1000</f>
        <v>1297.9701</v>
      </c>
      <c r="N788" s="85">
        <f>STATS1003B!N788/1000</f>
        <v>325.57592999999997</v>
      </c>
      <c r="O788" s="85">
        <f>STATS1003B!O788/1000</f>
        <v>0</v>
      </c>
      <c r="P788" s="85">
        <f>STATS1003B!P788/1000</f>
        <v>325.57592999999997</v>
      </c>
      <c r="Q788" s="85">
        <f>STATS1003B!Q788/1000</f>
        <v>1297.9701</v>
      </c>
      <c r="R788" s="85">
        <f>STATS1003B!R788/1000</f>
        <v>0</v>
      </c>
      <c r="S788" s="85">
        <f>STATS1003B!S788/1000</f>
        <v>0</v>
      </c>
      <c r="T788" s="85">
        <f>STATS1003B!T788/1000</f>
        <v>0</v>
      </c>
      <c r="U788" s="85">
        <f>STATS1003B!U788/1000</f>
        <v>325.57592999999997</v>
      </c>
      <c r="V788" s="85">
        <f>STATS1003B!V788/1000</f>
        <v>1623.54603</v>
      </c>
      <c r="W788" s="85">
        <f>STATS1003B!W788/1000</f>
        <v>0</v>
      </c>
      <c r="X788" s="85">
        <f t="shared" si="103"/>
        <v>1623.54603</v>
      </c>
      <c r="Y788" s="85">
        <f>STATS1003B!Y788/1000</f>
        <v>0</v>
      </c>
      <c r="Z788" s="85">
        <f t="shared" si="98"/>
        <v>0</v>
      </c>
      <c r="AA788" s="69">
        <f>STATS1003B!AA788/1000</f>
        <v>1623.54603</v>
      </c>
      <c r="AB788" s="69">
        <f>STATS1003B!AB788/1000</f>
        <v>0</v>
      </c>
    </row>
    <row r="789" spans="1:28" hidden="1" x14ac:dyDescent="0.3">
      <c r="A789" s="117"/>
      <c r="C789" s="68" t="s">
        <v>539</v>
      </c>
      <c r="D789" s="87" t="s">
        <v>68</v>
      </c>
      <c r="E789" s="85">
        <f>STATS1003B!E789/1000</f>
        <v>1194.4390000000001</v>
      </c>
      <c r="F789" s="85">
        <f>STATS1003B!F789/1000</f>
        <v>0</v>
      </c>
      <c r="G789" s="85">
        <f>STATS1003B!G789/1000</f>
        <v>0</v>
      </c>
      <c r="H789" s="85">
        <f>STATS1003B!H789/1000</f>
        <v>0</v>
      </c>
      <c r="I789" s="85">
        <f>STATS1003B!I789/1000</f>
        <v>0</v>
      </c>
      <c r="J789" s="85">
        <f>STATS1003B!J789/1000</f>
        <v>0</v>
      </c>
      <c r="K789" s="85">
        <f>STATS1003B!K789/1000</f>
        <v>1194.4390000000001</v>
      </c>
      <c r="L789" s="85">
        <f>STATS1003B!L789/1000</f>
        <v>0</v>
      </c>
      <c r="M789" s="85">
        <f>STATS1003B!M789/1000</f>
        <v>0</v>
      </c>
      <c r="N789" s="85">
        <f>STATS1003B!N789/1000</f>
        <v>1194.4390000000001</v>
      </c>
      <c r="O789" s="85">
        <f>STATS1003B!O789/1000</f>
        <v>0</v>
      </c>
      <c r="P789" s="85">
        <f>STATS1003B!P789/1000</f>
        <v>1194.4390000000001</v>
      </c>
      <c r="Q789" s="85">
        <f>STATS1003B!Q789/1000</f>
        <v>0</v>
      </c>
      <c r="R789" s="85">
        <f>STATS1003B!R789/1000</f>
        <v>0</v>
      </c>
      <c r="S789" s="85">
        <f>STATS1003B!S789/1000</f>
        <v>0</v>
      </c>
      <c r="T789" s="85">
        <f>STATS1003B!T789/1000</f>
        <v>0</v>
      </c>
      <c r="U789" s="85">
        <f>STATS1003B!U789/1000</f>
        <v>1194.4390000000001</v>
      </c>
      <c r="V789" s="85">
        <f>STATS1003B!V789/1000</f>
        <v>1194.4390000000001</v>
      </c>
      <c r="W789" s="85">
        <f>STATS1003B!W789/1000</f>
        <v>0</v>
      </c>
      <c r="X789" s="85">
        <f t="shared" si="103"/>
        <v>1194.4390000000001</v>
      </c>
      <c r="Y789" s="85">
        <f>STATS1003B!Y789/1000</f>
        <v>0</v>
      </c>
      <c r="Z789" s="85">
        <f t="shared" ref="Z789:Z852" si="106">+E789-X789</f>
        <v>0</v>
      </c>
      <c r="AA789" s="69">
        <f>STATS1003B!AA789/1000</f>
        <v>1194.4390000000001</v>
      </c>
      <c r="AB789" s="69">
        <f>STATS1003B!AB789/1000</f>
        <v>0</v>
      </c>
    </row>
    <row r="790" spans="1:28" hidden="1" x14ac:dyDescent="0.3">
      <c r="A790" s="117"/>
      <c r="C790" s="68" t="s">
        <v>545</v>
      </c>
      <c r="D790" s="87" t="s">
        <v>54</v>
      </c>
      <c r="E790" s="85">
        <f>STATS1003B!E790/1000</f>
        <v>1767.77</v>
      </c>
      <c r="F790" s="85">
        <f>STATS1003B!F790/1000</f>
        <v>0</v>
      </c>
      <c r="G790" s="85">
        <f>STATS1003B!G790/1000</f>
        <v>0</v>
      </c>
      <c r="H790" s="85">
        <f>STATS1003B!H790/1000</f>
        <v>0</v>
      </c>
      <c r="I790" s="85">
        <f>STATS1003B!I790/1000</f>
        <v>0</v>
      </c>
      <c r="J790" s="85">
        <f>STATS1003B!J790/1000</f>
        <v>0</v>
      </c>
      <c r="K790" s="85">
        <f>STATS1003B!K790/1000</f>
        <v>1767.77</v>
      </c>
      <c r="L790" s="85">
        <f>STATS1003B!L790/1000</f>
        <v>0</v>
      </c>
      <c r="M790" s="85">
        <f>STATS1003B!M790/1000</f>
        <v>0</v>
      </c>
      <c r="N790" s="85">
        <f>STATS1003B!N790/1000</f>
        <v>1767.77</v>
      </c>
      <c r="O790" s="85">
        <f>STATS1003B!O790/1000</f>
        <v>0</v>
      </c>
      <c r="P790" s="85">
        <f>STATS1003B!P790/1000</f>
        <v>1767.77</v>
      </c>
      <c r="Q790" s="85">
        <f>STATS1003B!Q790/1000</f>
        <v>0</v>
      </c>
      <c r="R790" s="85">
        <f>STATS1003B!R790/1000</f>
        <v>0</v>
      </c>
      <c r="S790" s="85">
        <f>STATS1003B!S790/1000</f>
        <v>0</v>
      </c>
      <c r="T790" s="85">
        <f>STATS1003B!T790/1000</f>
        <v>0</v>
      </c>
      <c r="U790" s="85">
        <f>STATS1003B!U790/1000</f>
        <v>1767.77</v>
      </c>
      <c r="V790" s="85">
        <f>STATS1003B!V790/1000</f>
        <v>1767.77</v>
      </c>
      <c r="W790" s="85">
        <f>STATS1003B!W790/1000</f>
        <v>0</v>
      </c>
      <c r="X790" s="85">
        <f t="shared" si="103"/>
        <v>1767.77</v>
      </c>
      <c r="Y790" s="85">
        <f>STATS1003B!Y790/1000</f>
        <v>0</v>
      </c>
      <c r="Z790" s="85">
        <f t="shared" si="106"/>
        <v>0</v>
      </c>
      <c r="AA790" s="69">
        <f>STATS1003B!AA790/1000</f>
        <v>1767.77</v>
      </c>
      <c r="AB790" s="69">
        <f>STATS1003B!AB790/1000</f>
        <v>0</v>
      </c>
    </row>
    <row r="791" spans="1:28" hidden="1" x14ac:dyDescent="0.3">
      <c r="A791" s="117"/>
      <c r="C791" s="68" t="s">
        <v>535</v>
      </c>
      <c r="D791" s="87" t="s">
        <v>54</v>
      </c>
      <c r="E791" s="85">
        <f>STATS1003B!E791/1000</f>
        <v>950</v>
      </c>
      <c r="F791" s="85">
        <f>STATS1003B!F791/1000</f>
        <v>950</v>
      </c>
      <c r="G791" s="85">
        <f>STATS1003B!G791/1000</f>
        <v>0</v>
      </c>
      <c r="H791" s="85">
        <f>STATS1003B!H791/1000</f>
        <v>950</v>
      </c>
      <c r="I791" s="85">
        <f>STATS1003B!I791/1000</f>
        <v>0</v>
      </c>
      <c r="J791" s="85">
        <f>STATS1003B!J791/1000</f>
        <v>950</v>
      </c>
      <c r="K791" s="85">
        <f>STATS1003B!K791/1000</f>
        <v>0</v>
      </c>
      <c r="L791" s="85">
        <f>STATS1003B!L791/1000</f>
        <v>0</v>
      </c>
      <c r="M791" s="85">
        <f>STATS1003B!M791/1000</f>
        <v>950</v>
      </c>
      <c r="N791" s="85">
        <f>STATS1003B!N791/1000</f>
        <v>0</v>
      </c>
      <c r="O791" s="85">
        <f>STATS1003B!O791/1000</f>
        <v>0</v>
      </c>
      <c r="P791" s="85">
        <f>STATS1003B!P791/1000</f>
        <v>0</v>
      </c>
      <c r="Q791" s="85">
        <f>STATS1003B!Q791/1000</f>
        <v>950</v>
      </c>
      <c r="R791" s="85">
        <f>STATS1003B!R791/1000</f>
        <v>0</v>
      </c>
      <c r="S791" s="85">
        <f>STATS1003B!S791/1000</f>
        <v>0</v>
      </c>
      <c r="T791" s="85">
        <f>STATS1003B!T791/1000</f>
        <v>0</v>
      </c>
      <c r="U791" s="85">
        <f>STATS1003B!U791/1000</f>
        <v>0</v>
      </c>
      <c r="V791" s="85">
        <f>STATS1003B!V791/1000</f>
        <v>950</v>
      </c>
      <c r="W791" s="85">
        <f>STATS1003B!W791/1000</f>
        <v>0</v>
      </c>
      <c r="X791" s="85">
        <f t="shared" si="103"/>
        <v>950</v>
      </c>
      <c r="Y791" s="85">
        <f>STATS1003B!Y791/1000</f>
        <v>0</v>
      </c>
      <c r="Z791" s="85">
        <f t="shared" si="106"/>
        <v>0</v>
      </c>
      <c r="AA791" s="69">
        <f>STATS1003B!AA791/1000</f>
        <v>950</v>
      </c>
      <c r="AB791" s="69">
        <f>STATS1003B!AB791/1000</f>
        <v>0</v>
      </c>
    </row>
    <row r="792" spans="1:28" hidden="1" x14ac:dyDescent="0.3">
      <c r="A792" s="117"/>
      <c r="C792" s="68" t="s">
        <v>535</v>
      </c>
      <c r="D792" s="87" t="s">
        <v>128</v>
      </c>
      <c r="E792" s="85">
        <f>STATS1003B!E792/1000</f>
        <v>1050.481</v>
      </c>
      <c r="F792" s="85">
        <f>STATS1003B!F792/1000</f>
        <v>1050.481</v>
      </c>
      <c r="G792" s="85">
        <f>STATS1003B!G792/1000</f>
        <v>0</v>
      </c>
      <c r="H792" s="85">
        <f>STATS1003B!H792/1000</f>
        <v>1050.481</v>
      </c>
      <c r="I792" s="85">
        <f>STATS1003B!I792/1000</f>
        <v>0</v>
      </c>
      <c r="J792" s="85">
        <f>STATS1003B!J792/1000</f>
        <v>1050.481</v>
      </c>
      <c r="K792" s="85">
        <f>STATS1003B!K792/1000</f>
        <v>0</v>
      </c>
      <c r="L792" s="85">
        <f>STATS1003B!L792/1000</f>
        <v>0</v>
      </c>
      <c r="M792" s="85">
        <f>STATS1003B!M792/1000</f>
        <v>1050.481</v>
      </c>
      <c r="N792" s="85">
        <f>STATS1003B!N792/1000</f>
        <v>0</v>
      </c>
      <c r="O792" s="85">
        <f>STATS1003B!O792/1000</f>
        <v>0</v>
      </c>
      <c r="P792" s="85">
        <f>STATS1003B!P792/1000</f>
        <v>0</v>
      </c>
      <c r="Q792" s="85">
        <f>STATS1003B!Q792/1000</f>
        <v>1050.481</v>
      </c>
      <c r="R792" s="85">
        <f>STATS1003B!R792/1000</f>
        <v>0</v>
      </c>
      <c r="S792" s="85">
        <f>STATS1003B!S792/1000</f>
        <v>0</v>
      </c>
      <c r="T792" s="85">
        <f>STATS1003B!T792/1000</f>
        <v>0</v>
      </c>
      <c r="U792" s="85">
        <f>STATS1003B!U792/1000</f>
        <v>0</v>
      </c>
      <c r="V792" s="85">
        <f>STATS1003B!V792/1000</f>
        <v>1050.481</v>
      </c>
      <c r="W792" s="85">
        <f>STATS1003B!W792/1000</f>
        <v>0</v>
      </c>
      <c r="X792" s="85">
        <f t="shared" si="103"/>
        <v>1050.481</v>
      </c>
      <c r="Y792" s="85">
        <f>STATS1003B!Y792/1000</f>
        <v>0</v>
      </c>
      <c r="Z792" s="85">
        <f t="shared" si="106"/>
        <v>0</v>
      </c>
      <c r="AA792" s="69">
        <f>STATS1003B!AA792/1000</f>
        <v>1050.481</v>
      </c>
      <c r="AB792" s="69">
        <f>STATS1003B!AB792/1000</f>
        <v>0</v>
      </c>
    </row>
    <row r="793" spans="1:28" hidden="1" x14ac:dyDescent="0.3">
      <c r="A793" s="117"/>
      <c r="C793" s="68" t="s">
        <v>535</v>
      </c>
      <c r="D793" s="87" t="s">
        <v>58</v>
      </c>
      <c r="E793" s="85">
        <f>STATS1003B!E793/1000</f>
        <v>1799.1949999999999</v>
      </c>
      <c r="F793" s="85">
        <f>STATS1003B!F793/1000</f>
        <v>1799.1949999999999</v>
      </c>
      <c r="G793" s="85">
        <f>STATS1003B!G793/1000</f>
        <v>0</v>
      </c>
      <c r="H793" s="85">
        <f>STATS1003B!H793/1000</f>
        <v>1799.1949999999999</v>
      </c>
      <c r="I793" s="85">
        <f>STATS1003B!I793/1000</f>
        <v>0</v>
      </c>
      <c r="J793" s="85">
        <f>STATS1003B!J793/1000</f>
        <v>1799.1949999999999</v>
      </c>
      <c r="K793" s="85">
        <f>STATS1003B!K793/1000</f>
        <v>0</v>
      </c>
      <c r="L793" s="85">
        <f>STATS1003B!L793/1000</f>
        <v>0</v>
      </c>
      <c r="M793" s="85">
        <f>STATS1003B!M793/1000</f>
        <v>1799.1949999999999</v>
      </c>
      <c r="N793" s="85">
        <f>STATS1003B!N793/1000</f>
        <v>0</v>
      </c>
      <c r="O793" s="85">
        <f>STATS1003B!O793/1000</f>
        <v>0</v>
      </c>
      <c r="P793" s="85">
        <f>STATS1003B!P793/1000</f>
        <v>0</v>
      </c>
      <c r="Q793" s="85">
        <f>STATS1003B!Q793/1000</f>
        <v>1799.1949999999999</v>
      </c>
      <c r="R793" s="85">
        <f>STATS1003B!R793/1000</f>
        <v>0</v>
      </c>
      <c r="S793" s="85">
        <f>STATS1003B!S793/1000</f>
        <v>0</v>
      </c>
      <c r="T793" s="85">
        <f>STATS1003B!T793/1000</f>
        <v>0</v>
      </c>
      <c r="U793" s="85">
        <f>STATS1003B!U793/1000</f>
        <v>0</v>
      </c>
      <c r="V793" s="85">
        <f>STATS1003B!V793/1000</f>
        <v>1799.1949999999999</v>
      </c>
      <c r="W793" s="85">
        <f>STATS1003B!W793/1000</f>
        <v>0</v>
      </c>
      <c r="X793" s="85">
        <f t="shared" si="103"/>
        <v>1799.1949999999999</v>
      </c>
      <c r="Y793" s="85">
        <f>STATS1003B!Y793/1000</f>
        <v>0</v>
      </c>
      <c r="Z793" s="85">
        <f t="shared" si="106"/>
        <v>0</v>
      </c>
      <c r="AA793" s="69">
        <f>STATS1003B!AA793/1000</f>
        <v>1799.1949999999999</v>
      </c>
      <c r="AB793" s="69">
        <f>STATS1003B!AB793/1000</f>
        <v>0</v>
      </c>
    </row>
    <row r="794" spans="1:28" hidden="1" x14ac:dyDescent="0.3">
      <c r="A794" s="117"/>
      <c r="C794" s="71" t="s">
        <v>535</v>
      </c>
      <c r="D794" s="88" t="s">
        <v>73</v>
      </c>
      <c r="E794" s="85">
        <f>STATS1003B!E794/1000</f>
        <v>5829.8010000000004</v>
      </c>
      <c r="F794" s="85">
        <f>STATS1003B!F794/1000</f>
        <v>2454.6080000000002</v>
      </c>
      <c r="G794" s="85">
        <f>STATS1003B!G794/1000</f>
        <v>0</v>
      </c>
      <c r="H794" s="85">
        <f>STATS1003B!H794/1000</f>
        <v>2454.6080000000002</v>
      </c>
      <c r="I794" s="85">
        <f>STATS1003B!I794/1000</f>
        <v>3375.1930000000002</v>
      </c>
      <c r="J794" s="85">
        <f>STATS1003B!J794/1000</f>
        <v>5829.8010000000004</v>
      </c>
      <c r="K794" s="85">
        <f>STATS1003B!K794/1000</f>
        <v>0</v>
      </c>
      <c r="L794" s="85">
        <f>STATS1003B!L794/1000</f>
        <v>3375.1930000000002</v>
      </c>
      <c r="M794" s="85">
        <f>STATS1003B!M794/1000</f>
        <v>5829.8010000000004</v>
      </c>
      <c r="N794" s="85">
        <f>STATS1003B!N794/1000</f>
        <v>0</v>
      </c>
      <c r="O794" s="85">
        <f>STATS1003B!O794/1000</f>
        <v>0</v>
      </c>
      <c r="P794" s="85">
        <f>STATS1003B!P794/1000</f>
        <v>0</v>
      </c>
      <c r="Q794" s="85">
        <f>STATS1003B!Q794/1000</f>
        <v>5829.8010000000004</v>
      </c>
      <c r="R794" s="85">
        <f>STATS1003B!R794/1000</f>
        <v>0</v>
      </c>
      <c r="S794" s="85">
        <f>STATS1003B!S794/1000</f>
        <v>0</v>
      </c>
      <c r="T794" s="85">
        <f>STATS1003B!T794/1000</f>
        <v>0</v>
      </c>
      <c r="U794" s="85">
        <f>STATS1003B!U794/1000</f>
        <v>0</v>
      </c>
      <c r="V794" s="85">
        <f>STATS1003B!V794/1000</f>
        <v>2454.6080000000002</v>
      </c>
      <c r="W794" s="85">
        <f>STATS1003B!W794/1000</f>
        <v>3375.1930000000002</v>
      </c>
      <c r="X794" s="85">
        <f t="shared" si="103"/>
        <v>2454.6080000000002</v>
      </c>
      <c r="Y794" s="85">
        <f>STATS1003B!Y794/1000</f>
        <v>0</v>
      </c>
      <c r="Z794" s="85">
        <f t="shared" si="106"/>
        <v>3375.1930000000002</v>
      </c>
      <c r="AA794" s="69">
        <f>STATS1003B!AA794/1000</f>
        <v>5829.8010000000004</v>
      </c>
      <c r="AB794" s="69">
        <f>STATS1003B!AB794/1000</f>
        <v>0</v>
      </c>
    </row>
    <row r="795" spans="1:28" hidden="1" x14ac:dyDescent="0.3">
      <c r="A795" s="117"/>
      <c r="C795" s="71" t="s">
        <v>535</v>
      </c>
      <c r="D795" s="88" t="s">
        <v>61</v>
      </c>
      <c r="E795" s="85">
        <f>STATS1003B!E795/1000</f>
        <v>9187.105590000001</v>
      </c>
      <c r="F795" s="85">
        <f>STATS1003B!F795/1000</f>
        <v>8949.6400099999992</v>
      </c>
      <c r="G795" s="85">
        <f>STATS1003B!G795/1000</f>
        <v>0</v>
      </c>
      <c r="H795" s="85">
        <f>STATS1003B!H795/1000</f>
        <v>8949.6400099999992</v>
      </c>
      <c r="I795" s="85">
        <f>STATS1003B!I795/1000</f>
        <v>0</v>
      </c>
      <c r="J795" s="85">
        <f>STATS1003B!J795/1000</f>
        <v>8949.6400099999992</v>
      </c>
      <c r="K795" s="85">
        <f>STATS1003B!K795/1000</f>
        <v>0</v>
      </c>
      <c r="L795" s="85">
        <f>STATS1003B!L795/1000</f>
        <v>0</v>
      </c>
      <c r="M795" s="85">
        <f>STATS1003B!M795/1000</f>
        <v>8949.6400099999992</v>
      </c>
      <c r="N795" s="85">
        <f>STATS1003B!N795/1000</f>
        <v>0</v>
      </c>
      <c r="O795" s="85">
        <f>STATS1003B!O795/1000</f>
        <v>0</v>
      </c>
      <c r="P795" s="85">
        <f>STATS1003B!P795/1000</f>
        <v>0</v>
      </c>
      <c r="Q795" s="85">
        <f>STATS1003B!Q795/1000</f>
        <v>9187.105590000001</v>
      </c>
      <c r="R795" s="85">
        <f>STATS1003B!R795/1000</f>
        <v>0</v>
      </c>
      <c r="S795" s="85">
        <f>STATS1003B!S795/1000</f>
        <v>0</v>
      </c>
      <c r="T795" s="85">
        <f>STATS1003B!T795/1000</f>
        <v>237.46557999999999</v>
      </c>
      <c r="U795" s="85">
        <f>STATS1003B!U795/1000</f>
        <v>237.46557999999999</v>
      </c>
      <c r="V795" s="85">
        <f>STATS1003B!V795/1000</f>
        <v>8949.6400099999992</v>
      </c>
      <c r="W795" s="85">
        <f>STATS1003B!W795/1000</f>
        <v>237.46558000000195</v>
      </c>
      <c r="X795" s="85">
        <f t="shared" si="103"/>
        <v>8949.6400099999992</v>
      </c>
      <c r="Y795" s="85">
        <f>STATS1003B!Y795/1000</f>
        <v>0</v>
      </c>
      <c r="Z795" s="85">
        <f t="shared" si="106"/>
        <v>237.46558000000186</v>
      </c>
      <c r="AA795" s="69">
        <f>STATS1003B!AA795/1000</f>
        <v>9187.1055899999992</v>
      </c>
      <c r="AB795" s="69">
        <f>STATS1003B!AB795/1000</f>
        <v>0</v>
      </c>
    </row>
    <row r="796" spans="1:28" hidden="1" x14ac:dyDescent="0.3">
      <c r="A796" s="117"/>
      <c r="C796" s="71" t="s">
        <v>898</v>
      </c>
      <c r="D796" s="88"/>
      <c r="E796" s="85">
        <f>STATS1003B!E796/1000</f>
        <v>253.63464999999999</v>
      </c>
      <c r="F796" s="85">
        <f>STATS1003B!F796/1000</f>
        <v>0</v>
      </c>
      <c r="G796" s="85">
        <f>STATS1003B!G796/1000</f>
        <v>0</v>
      </c>
      <c r="H796" s="85">
        <f>STATS1003B!H796/1000</f>
        <v>0</v>
      </c>
      <c r="I796" s="85">
        <f>STATS1003B!I796/1000</f>
        <v>0</v>
      </c>
      <c r="J796" s="85">
        <f>STATS1003B!J796/1000</f>
        <v>0</v>
      </c>
      <c r="K796" s="85">
        <f>STATS1003B!K796/1000</f>
        <v>0</v>
      </c>
      <c r="L796" s="85">
        <f>STATS1003B!L796/1000</f>
        <v>0</v>
      </c>
      <c r="M796" s="85">
        <f>STATS1003B!M796/1000</f>
        <v>0</v>
      </c>
      <c r="N796" s="85">
        <f>STATS1003B!N796/1000</f>
        <v>253.63464999999999</v>
      </c>
      <c r="O796" s="85">
        <f>STATS1003B!O796/1000</f>
        <v>0</v>
      </c>
      <c r="P796" s="85">
        <f>STATS1003B!P796/1000</f>
        <v>253.63464999999999</v>
      </c>
      <c r="Q796" s="85">
        <f>STATS1003B!Q796/1000</f>
        <v>0</v>
      </c>
      <c r="R796" s="85">
        <f>STATS1003B!R796/1000</f>
        <v>0</v>
      </c>
      <c r="S796" s="85">
        <f>STATS1003B!S796/1000</f>
        <v>0</v>
      </c>
      <c r="T796" s="85">
        <f>STATS1003B!T796/1000</f>
        <v>0</v>
      </c>
      <c r="U796" s="85">
        <f>STATS1003B!U796/1000</f>
        <v>253.63464999999999</v>
      </c>
      <c r="V796" s="85">
        <f>STATS1003B!V796/1000</f>
        <v>253.63464999999999</v>
      </c>
      <c r="W796" s="85">
        <f>STATS1003B!W796/1000</f>
        <v>0</v>
      </c>
      <c r="X796" s="85">
        <f t="shared" si="103"/>
        <v>253.63464999999999</v>
      </c>
      <c r="Y796" s="85">
        <f>STATS1003B!Y796/1000</f>
        <v>0</v>
      </c>
      <c r="Z796" s="85">
        <f t="shared" si="106"/>
        <v>0</v>
      </c>
      <c r="AA796" s="69">
        <f>STATS1003B!AA796/1000</f>
        <v>253.63464999999999</v>
      </c>
      <c r="AB796" s="69">
        <f>STATS1003B!AB796/1000</f>
        <v>0</v>
      </c>
    </row>
    <row r="797" spans="1:28" hidden="1" x14ac:dyDescent="0.3">
      <c r="A797" s="117"/>
      <c r="C797" s="71" t="s">
        <v>933</v>
      </c>
      <c r="D797" s="89" t="s">
        <v>1072</v>
      </c>
      <c r="E797" s="85">
        <f>STATS1003B!E797/1000</f>
        <v>9200</v>
      </c>
      <c r="F797" s="85">
        <f>STATS1003B!F797/1000</f>
        <v>9200</v>
      </c>
      <c r="G797" s="85">
        <f>STATS1003B!G797/1000</f>
        <v>0</v>
      </c>
      <c r="H797" s="85">
        <f>STATS1003B!H797/1000</f>
        <v>9200</v>
      </c>
      <c r="I797" s="85">
        <f>STATS1003B!I797/1000</f>
        <v>0</v>
      </c>
      <c r="J797" s="85">
        <f>STATS1003B!J797/1000</f>
        <v>0</v>
      </c>
      <c r="K797" s="85">
        <f>STATS1003B!K797/1000</f>
        <v>0</v>
      </c>
      <c r="L797" s="85">
        <f>STATS1003B!L797/1000</f>
        <v>0</v>
      </c>
      <c r="M797" s="85">
        <f>STATS1003B!M797/1000</f>
        <v>9200</v>
      </c>
      <c r="N797" s="85">
        <f>STATS1003B!N797/1000</f>
        <v>0</v>
      </c>
      <c r="O797" s="85">
        <f>STATS1003B!O797/1000</f>
        <v>0</v>
      </c>
      <c r="P797" s="85">
        <f>STATS1003B!P797/1000</f>
        <v>0</v>
      </c>
      <c r="Q797" s="85">
        <f>STATS1003B!Q797/1000</f>
        <v>0</v>
      </c>
      <c r="R797" s="85">
        <f>STATS1003B!R797/1000</f>
        <v>0</v>
      </c>
      <c r="S797" s="85">
        <f>STATS1003B!S797/1000</f>
        <v>0</v>
      </c>
      <c r="T797" s="85">
        <f>STATS1003B!T797/1000</f>
        <v>0</v>
      </c>
      <c r="U797" s="85">
        <f>STATS1003B!U797/1000</f>
        <v>0</v>
      </c>
      <c r="V797" s="85">
        <f>STATS1003B!V797/1000</f>
        <v>0</v>
      </c>
      <c r="W797" s="85">
        <f>STATS1003B!W797/1000</f>
        <v>0</v>
      </c>
      <c r="X797" s="85">
        <f t="shared" si="103"/>
        <v>9200</v>
      </c>
      <c r="Y797" s="85">
        <f>STATS1003B!Y797/1000</f>
        <v>0</v>
      </c>
      <c r="Z797" s="85">
        <f t="shared" si="106"/>
        <v>0</v>
      </c>
      <c r="AA797" s="69">
        <f>STATS1003B!AA797/1000</f>
        <v>9200</v>
      </c>
      <c r="AB797" s="69">
        <f>STATS1003B!AB797/1000</f>
        <v>0</v>
      </c>
    </row>
    <row r="798" spans="1:28" hidden="1" x14ac:dyDescent="0.3">
      <c r="A798" s="117"/>
      <c r="C798" s="71" t="s">
        <v>1228</v>
      </c>
      <c r="D798" s="89" t="s">
        <v>1225</v>
      </c>
      <c r="E798" s="85">
        <f>STATS1003B!E798/1000</f>
        <v>400</v>
      </c>
      <c r="F798" s="85">
        <f>STATS1003B!F798/1000</f>
        <v>400</v>
      </c>
      <c r="G798" s="85">
        <f>STATS1003B!G798/1000</f>
        <v>0</v>
      </c>
      <c r="H798" s="85">
        <f>STATS1003B!H798/1000</f>
        <v>400</v>
      </c>
      <c r="I798" s="85">
        <f>STATS1003B!I798/1000</f>
        <v>0</v>
      </c>
      <c r="J798" s="85">
        <f>STATS1003B!J798/1000</f>
        <v>0</v>
      </c>
      <c r="K798" s="85">
        <f>STATS1003B!K798/1000</f>
        <v>0</v>
      </c>
      <c r="L798" s="85">
        <f>STATS1003B!L798/1000</f>
        <v>0</v>
      </c>
      <c r="M798" s="85">
        <f>STATS1003B!M798/1000</f>
        <v>400</v>
      </c>
      <c r="N798" s="85">
        <f>STATS1003B!N798/1000</f>
        <v>0</v>
      </c>
      <c r="O798" s="85">
        <f>STATS1003B!O798/1000</f>
        <v>0</v>
      </c>
      <c r="P798" s="85">
        <f>STATS1003B!P798/1000</f>
        <v>0</v>
      </c>
      <c r="Q798" s="85">
        <f>STATS1003B!Q798/1000</f>
        <v>0</v>
      </c>
      <c r="R798" s="85">
        <f>STATS1003B!R798/1000</f>
        <v>0</v>
      </c>
      <c r="S798" s="85">
        <f>STATS1003B!S798/1000</f>
        <v>0</v>
      </c>
      <c r="T798" s="85">
        <f>STATS1003B!T798/1000</f>
        <v>0</v>
      </c>
      <c r="U798" s="85">
        <f>STATS1003B!U798/1000</f>
        <v>0</v>
      </c>
      <c r="V798" s="85">
        <f>STATS1003B!V798/1000</f>
        <v>0</v>
      </c>
      <c r="W798" s="85">
        <f>STATS1003B!W798/1000</f>
        <v>0</v>
      </c>
      <c r="X798" s="85">
        <f t="shared" si="103"/>
        <v>400</v>
      </c>
      <c r="Y798" s="85">
        <f>STATS1003B!Y798/1000</f>
        <v>0</v>
      </c>
      <c r="Z798" s="85">
        <f t="shared" si="106"/>
        <v>0</v>
      </c>
      <c r="AA798" s="69">
        <f>STATS1003B!AA798/1000</f>
        <v>400</v>
      </c>
      <c r="AB798" s="69">
        <f>STATS1003B!AB798/1000</f>
        <v>0</v>
      </c>
    </row>
    <row r="799" spans="1:28" hidden="1" x14ac:dyDescent="0.3">
      <c r="A799" s="117"/>
      <c r="C799" s="71" t="s">
        <v>567</v>
      </c>
      <c r="D799" s="88" t="s">
        <v>61</v>
      </c>
      <c r="E799" s="85">
        <f>STATS1003B!E799/1000</f>
        <v>407.07816000000003</v>
      </c>
      <c r="F799" s="85">
        <f>STATS1003B!F799/1000</f>
        <v>393.83734000000004</v>
      </c>
      <c r="G799" s="85">
        <f>STATS1003B!G799/1000</f>
        <v>0</v>
      </c>
      <c r="H799" s="85">
        <f>STATS1003B!H799/1000</f>
        <v>393.83734000000004</v>
      </c>
      <c r="I799" s="85">
        <f>STATS1003B!I799/1000</f>
        <v>0</v>
      </c>
      <c r="J799" s="85">
        <f>STATS1003B!J799/1000</f>
        <v>393.83734000000004</v>
      </c>
      <c r="K799" s="85">
        <f>STATS1003B!K799/1000</f>
        <v>0</v>
      </c>
      <c r="L799" s="85">
        <f>STATS1003B!L799/1000</f>
        <v>0</v>
      </c>
      <c r="M799" s="85">
        <f>STATS1003B!M799/1000</f>
        <v>393.83734000000004</v>
      </c>
      <c r="N799" s="85">
        <f>STATS1003B!N799/1000</f>
        <v>6.2090200000000006</v>
      </c>
      <c r="O799" s="85">
        <f>STATS1003B!O799/1000</f>
        <v>0</v>
      </c>
      <c r="P799" s="85">
        <f>STATS1003B!P799/1000</f>
        <v>6.2090200000000006</v>
      </c>
      <c r="Q799" s="85">
        <f>STATS1003B!Q799/1000</f>
        <v>400.86914000000002</v>
      </c>
      <c r="R799" s="85">
        <f>STATS1003B!R799/1000</f>
        <v>0</v>
      </c>
      <c r="S799" s="85">
        <f>STATS1003B!S799/1000</f>
        <v>0</v>
      </c>
      <c r="T799" s="85">
        <f>STATS1003B!T799/1000</f>
        <v>7.0318000000000005</v>
      </c>
      <c r="U799" s="85">
        <f>STATS1003B!U799/1000</f>
        <v>13.240819999999999</v>
      </c>
      <c r="V799" s="85">
        <f>STATS1003B!V799/1000</f>
        <v>400.04636000000005</v>
      </c>
      <c r="W799" s="85">
        <f>STATS1003B!W799/1000</f>
        <v>7.0317999999999881</v>
      </c>
      <c r="X799" s="85">
        <f t="shared" si="103"/>
        <v>400.04636000000005</v>
      </c>
      <c r="Y799" s="85">
        <f>STATS1003B!Y799/1000</f>
        <v>0</v>
      </c>
      <c r="Z799" s="85">
        <f t="shared" si="106"/>
        <v>7.0317999999999756</v>
      </c>
      <c r="AA799" s="69">
        <f>STATS1003B!AA799/1000</f>
        <v>407.07816000000003</v>
      </c>
      <c r="AB799" s="69">
        <f>STATS1003B!AB799/1000</f>
        <v>0</v>
      </c>
    </row>
    <row r="800" spans="1:28" hidden="1" x14ac:dyDescent="0.3">
      <c r="A800" s="117"/>
      <c r="C800" s="68" t="s">
        <v>606</v>
      </c>
      <c r="E800" s="85">
        <f>STATS1003B!E800/1000</f>
        <v>2023.81197</v>
      </c>
      <c r="F800" s="85">
        <f>STATS1003B!F800/1000</f>
        <v>2023.81197</v>
      </c>
      <c r="G800" s="85">
        <f>STATS1003B!G800/1000</f>
        <v>0</v>
      </c>
      <c r="H800" s="85">
        <f>STATS1003B!H800/1000</f>
        <v>2023.81197</v>
      </c>
      <c r="I800" s="85">
        <f>STATS1003B!I800/1000</f>
        <v>0</v>
      </c>
      <c r="J800" s="85">
        <f>STATS1003B!J800/1000</f>
        <v>2023.81197</v>
      </c>
      <c r="K800" s="85">
        <f>STATS1003B!K800/1000</f>
        <v>0</v>
      </c>
      <c r="L800" s="85">
        <f>STATS1003B!L800/1000</f>
        <v>0</v>
      </c>
      <c r="M800" s="85">
        <f>STATS1003B!M800/1000</f>
        <v>2023.81197</v>
      </c>
      <c r="N800" s="85">
        <f>STATS1003B!N800/1000</f>
        <v>0</v>
      </c>
      <c r="O800" s="85">
        <f>STATS1003B!O800/1000</f>
        <v>0</v>
      </c>
      <c r="P800" s="85">
        <f>STATS1003B!P800/1000</f>
        <v>0</v>
      </c>
      <c r="Q800" s="85">
        <f>STATS1003B!Q800/1000</f>
        <v>2023.81197</v>
      </c>
      <c r="R800" s="85">
        <f>STATS1003B!R800/1000</f>
        <v>0</v>
      </c>
      <c r="S800" s="85">
        <f>STATS1003B!S800/1000</f>
        <v>0</v>
      </c>
      <c r="T800" s="85">
        <f>STATS1003B!T800/1000</f>
        <v>0</v>
      </c>
      <c r="U800" s="85">
        <f>STATS1003B!U800/1000</f>
        <v>0</v>
      </c>
      <c r="V800" s="85">
        <f>STATS1003B!V800/1000</f>
        <v>2023.81197</v>
      </c>
      <c r="W800" s="85">
        <f>STATS1003B!W800/1000</f>
        <v>0</v>
      </c>
      <c r="X800" s="85">
        <f t="shared" si="103"/>
        <v>2023.81197</v>
      </c>
      <c r="Y800" s="85">
        <f>STATS1003B!Y800/1000</f>
        <v>0</v>
      </c>
      <c r="Z800" s="85">
        <f t="shared" si="106"/>
        <v>0</v>
      </c>
      <c r="AA800" s="69">
        <f>STATS1003B!AA800/1000</f>
        <v>2023.81197</v>
      </c>
      <c r="AB800" s="69">
        <f>STATS1003B!AB800/1000</f>
        <v>0</v>
      </c>
    </row>
    <row r="801" spans="1:28" hidden="1" x14ac:dyDescent="0.3">
      <c r="A801" s="117"/>
      <c r="E801" s="86" t="s">
        <v>29</v>
      </c>
      <c r="F801" s="86" t="s">
        <v>29</v>
      </c>
      <c r="G801" s="86" t="s">
        <v>29</v>
      </c>
      <c r="H801" s="86" t="s">
        <v>29</v>
      </c>
      <c r="I801" s="86" t="s">
        <v>29</v>
      </c>
      <c r="J801" s="86" t="s">
        <v>29</v>
      </c>
      <c r="K801" s="86" t="s">
        <v>29</v>
      </c>
      <c r="L801" s="86" t="s">
        <v>29</v>
      </c>
      <c r="M801" s="86" t="s">
        <v>29</v>
      </c>
      <c r="N801" s="86" t="s">
        <v>29</v>
      </c>
      <c r="O801" s="86" t="s">
        <v>29</v>
      </c>
      <c r="P801" s="86" t="s">
        <v>29</v>
      </c>
      <c r="Q801" s="86" t="s">
        <v>29</v>
      </c>
      <c r="R801" s="86" t="s">
        <v>29</v>
      </c>
      <c r="S801" s="86" t="s">
        <v>29</v>
      </c>
      <c r="T801" s="86" t="s">
        <v>29</v>
      </c>
      <c r="U801" s="86" t="s">
        <v>29</v>
      </c>
      <c r="V801" s="86" t="s">
        <v>29</v>
      </c>
      <c r="W801" s="86" t="s">
        <v>29</v>
      </c>
      <c r="X801" s="85" t="e">
        <f t="shared" si="103"/>
        <v>#VALUE!</v>
      </c>
      <c r="Y801" s="86" t="s">
        <v>29</v>
      </c>
      <c r="Z801" s="85" t="e">
        <f t="shared" si="106"/>
        <v>#VALUE!</v>
      </c>
      <c r="AA801" s="115" t="s">
        <v>29</v>
      </c>
      <c r="AB801" s="115" t="s">
        <v>29</v>
      </c>
    </row>
    <row r="802" spans="1:28" x14ac:dyDescent="0.3">
      <c r="A802" s="116">
        <v>38</v>
      </c>
      <c r="B802" s="68" t="s">
        <v>631</v>
      </c>
      <c r="E802" s="85">
        <f>97061206.28/1000</f>
        <v>97061.206279999999</v>
      </c>
      <c r="F802" s="85">
        <f t="shared" ref="F802:Q802" si="107">SUM(F784:F801)</f>
        <v>59603.552479999991</v>
      </c>
      <c r="G802" s="85">
        <f t="shared" si="107"/>
        <v>0</v>
      </c>
      <c r="H802" s="85">
        <f>89172717.97/1000</f>
        <v>89172.717969999998</v>
      </c>
      <c r="I802" s="85">
        <f t="shared" si="107"/>
        <v>3375.1930000000002</v>
      </c>
      <c r="J802" s="85">
        <f t="shared" si="107"/>
        <v>53378.74547999999</v>
      </c>
      <c r="K802" s="85">
        <f t="shared" si="107"/>
        <v>4008.95426</v>
      </c>
      <c r="L802" s="85">
        <f t="shared" si="107"/>
        <v>3375.1930000000002</v>
      </c>
      <c r="M802" s="85">
        <f t="shared" si="107"/>
        <v>62978.74547999999</v>
      </c>
      <c r="N802" s="85">
        <f t="shared" si="107"/>
        <v>4268.7979300000006</v>
      </c>
      <c r="O802" s="85">
        <f t="shared" si="107"/>
        <v>0</v>
      </c>
      <c r="P802" s="85">
        <f>4268797/1000</f>
        <v>4268.7969999999996</v>
      </c>
      <c r="Q802" s="85">
        <f t="shared" si="107"/>
        <v>53623.242859999998</v>
      </c>
      <c r="R802" s="86"/>
      <c r="S802" s="86"/>
      <c r="T802" s="85">
        <f t="shared" ref="T802:Y802" si="108">SUM(T784:T801)</f>
        <v>244.49737999999999</v>
      </c>
      <c r="U802" s="85">
        <f t="shared" si="108"/>
        <v>4513.2953099999995</v>
      </c>
      <c r="V802" s="85">
        <f t="shared" si="108"/>
        <v>54272.350409999992</v>
      </c>
      <c r="W802" s="85">
        <f t="shared" si="108"/>
        <v>3619.6903800000023</v>
      </c>
      <c r="X802" s="85">
        <f>+H802+P802</f>
        <v>93441.514970000004</v>
      </c>
      <c r="Y802" s="85">
        <f t="shared" si="108"/>
        <v>0</v>
      </c>
      <c r="Z802" s="85">
        <f t="shared" si="106"/>
        <v>3619.6913099999947</v>
      </c>
      <c r="AA802" s="69">
        <f>SUM(AA784:AA801)</f>
        <v>67492.040789999985</v>
      </c>
      <c r="AB802" s="69">
        <f>SUM(AB784:AB801)</f>
        <v>0</v>
      </c>
    </row>
    <row r="803" spans="1:28" hidden="1" x14ac:dyDescent="0.3">
      <c r="A803" s="117"/>
      <c r="E803" s="86" t="s">
        <v>29</v>
      </c>
      <c r="F803" s="86" t="s">
        <v>29</v>
      </c>
      <c r="G803" s="86" t="s">
        <v>29</v>
      </c>
      <c r="H803" s="86" t="s">
        <v>29</v>
      </c>
      <c r="I803" s="86" t="s">
        <v>29</v>
      </c>
      <c r="J803" s="86" t="s">
        <v>29</v>
      </c>
      <c r="K803" s="86" t="s">
        <v>29</v>
      </c>
      <c r="L803" s="86" t="s">
        <v>29</v>
      </c>
      <c r="M803" s="86" t="s">
        <v>29</v>
      </c>
      <c r="N803" s="86" t="s">
        <v>29</v>
      </c>
      <c r="O803" s="86" t="s">
        <v>29</v>
      </c>
      <c r="P803" s="86" t="s">
        <v>29</v>
      </c>
      <c r="Q803" s="86" t="s">
        <v>29</v>
      </c>
      <c r="R803" s="86" t="s">
        <v>29</v>
      </c>
      <c r="S803" s="86" t="s">
        <v>29</v>
      </c>
      <c r="T803" s="86" t="s">
        <v>29</v>
      </c>
      <c r="U803" s="86" t="s">
        <v>29</v>
      </c>
      <c r="V803" s="86" t="s">
        <v>29</v>
      </c>
      <c r="W803" s="86" t="s">
        <v>29</v>
      </c>
      <c r="X803" s="85" t="e">
        <f t="shared" si="103"/>
        <v>#VALUE!</v>
      </c>
      <c r="Y803" s="86" t="s">
        <v>29</v>
      </c>
      <c r="Z803" s="85" t="e">
        <f t="shared" si="106"/>
        <v>#VALUE!</v>
      </c>
      <c r="AA803" s="115" t="s">
        <v>29</v>
      </c>
      <c r="AB803" s="115" t="s">
        <v>29</v>
      </c>
    </row>
    <row r="804" spans="1:28" hidden="1" x14ac:dyDescent="0.3">
      <c r="A804" s="105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6"/>
      <c r="S804" s="86"/>
      <c r="T804" s="86"/>
      <c r="U804" s="86"/>
      <c r="V804" s="86"/>
      <c r="W804" s="86"/>
      <c r="X804" s="85">
        <f t="shared" si="103"/>
        <v>0</v>
      </c>
      <c r="Y804" s="86"/>
      <c r="Z804" s="85">
        <f t="shared" si="106"/>
        <v>0</v>
      </c>
      <c r="AA804" s="118"/>
    </row>
    <row r="805" spans="1:28" hidden="1" x14ac:dyDescent="0.3">
      <c r="A805" s="117"/>
      <c r="C805" s="68" t="s">
        <v>638</v>
      </c>
      <c r="D805" s="87" t="s">
        <v>150</v>
      </c>
      <c r="E805" s="85">
        <f>STATS1003B!E805/1000</f>
        <v>3018.4</v>
      </c>
      <c r="F805" s="85">
        <f>STATS1003B!F805/1000</f>
        <v>3000</v>
      </c>
      <c r="G805" s="85">
        <f>STATS1003B!G805/1000</f>
        <v>0</v>
      </c>
      <c r="H805" s="85">
        <f>STATS1003B!H805/1000</f>
        <v>3000</v>
      </c>
      <c r="I805" s="85">
        <f>STATS1003B!I805/1000</f>
        <v>0</v>
      </c>
      <c r="J805" s="85">
        <f>STATS1003B!J805/1000</f>
        <v>3000</v>
      </c>
      <c r="K805" s="85">
        <f>STATS1003B!K805/1000</f>
        <v>18.399999999999999</v>
      </c>
      <c r="L805" s="85">
        <f>STATS1003B!L805/1000</f>
        <v>0</v>
      </c>
      <c r="M805" s="85">
        <f>STATS1003B!M805/1000</f>
        <v>3000</v>
      </c>
      <c r="N805" s="85">
        <f>STATS1003B!N805/1000</f>
        <v>18.399999999999999</v>
      </c>
      <c r="O805" s="85">
        <f>STATS1003B!O805/1000</f>
        <v>0</v>
      </c>
      <c r="P805" s="85">
        <f>STATS1003B!P805/1000</f>
        <v>18.399999999999999</v>
      </c>
      <c r="Q805" s="85">
        <f>STATS1003B!Q805/1000</f>
        <v>3000</v>
      </c>
      <c r="R805" s="85">
        <f>STATS1003B!R805/1000</f>
        <v>0</v>
      </c>
      <c r="S805" s="85">
        <f>STATS1003B!S805/1000</f>
        <v>0</v>
      </c>
      <c r="T805" s="85">
        <f>STATS1003B!T805/1000</f>
        <v>0</v>
      </c>
      <c r="U805" s="85">
        <f>STATS1003B!U805/1000</f>
        <v>18.399999999999999</v>
      </c>
      <c r="V805" s="85">
        <f>STATS1003B!V805/1000</f>
        <v>3018.4</v>
      </c>
      <c r="W805" s="85">
        <f>STATS1003B!W805/1000</f>
        <v>0</v>
      </c>
      <c r="X805" s="85">
        <f t="shared" si="103"/>
        <v>3018.4</v>
      </c>
      <c r="Y805" s="85">
        <f>STATS1003B!Y805/1000</f>
        <v>0</v>
      </c>
      <c r="Z805" s="85">
        <f t="shared" si="106"/>
        <v>0</v>
      </c>
      <c r="AA805" s="69">
        <f>STATS1003B!AA805/1000</f>
        <v>3018.4</v>
      </c>
      <c r="AB805" s="69">
        <f>STATS1003B!AB805/1000</f>
        <v>0</v>
      </c>
    </row>
    <row r="806" spans="1:28" hidden="1" x14ac:dyDescent="0.3">
      <c r="A806" s="117"/>
      <c r="C806" s="68" t="s">
        <v>535</v>
      </c>
      <c r="D806" s="87" t="s">
        <v>68</v>
      </c>
      <c r="E806" s="85">
        <f>STATS1003B!E806/1000</f>
        <v>3650.85</v>
      </c>
      <c r="F806" s="85">
        <f>STATS1003B!F806/1000</f>
        <v>1321.2</v>
      </c>
      <c r="G806" s="85">
        <f>STATS1003B!G806/1000</f>
        <v>0</v>
      </c>
      <c r="H806" s="85">
        <f>STATS1003B!H806/1000</f>
        <v>1321.2</v>
      </c>
      <c r="I806" s="85">
        <f>STATS1003B!I806/1000</f>
        <v>0</v>
      </c>
      <c r="J806" s="85">
        <f>STATS1003B!J806/1000</f>
        <v>1321.2</v>
      </c>
      <c r="K806" s="85">
        <f>STATS1003B!K806/1000</f>
        <v>2329.65</v>
      </c>
      <c r="L806" s="85">
        <f>STATS1003B!L806/1000</f>
        <v>0</v>
      </c>
      <c r="M806" s="85">
        <f>STATS1003B!M806/1000</f>
        <v>1321.2</v>
      </c>
      <c r="N806" s="85">
        <f>STATS1003B!N806/1000</f>
        <v>2329.65</v>
      </c>
      <c r="O806" s="85">
        <f>STATS1003B!O806/1000</f>
        <v>0</v>
      </c>
      <c r="P806" s="85">
        <f>STATS1003B!P806/1000</f>
        <v>2329.65</v>
      </c>
      <c r="Q806" s="85">
        <f>STATS1003B!Q806/1000</f>
        <v>1321.2</v>
      </c>
      <c r="R806" s="85">
        <f>STATS1003B!R806/1000</f>
        <v>0</v>
      </c>
      <c r="S806" s="85">
        <f>STATS1003B!S806/1000</f>
        <v>0</v>
      </c>
      <c r="T806" s="85">
        <f>STATS1003B!T806/1000</f>
        <v>0</v>
      </c>
      <c r="U806" s="85">
        <f>STATS1003B!U806/1000</f>
        <v>2329.65</v>
      </c>
      <c r="V806" s="85">
        <f>STATS1003B!V806/1000</f>
        <v>3650.85</v>
      </c>
      <c r="W806" s="85">
        <f>STATS1003B!W806/1000</f>
        <v>0</v>
      </c>
      <c r="X806" s="85">
        <f t="shared" si="103"/>
        <v>3650.8500000000004</v>
      </c>
      <c r="Y806" s="85">
        <f>STATS1003B!Y806/1000</f>
        <v>0</v>
      </c>
      <c r="Z806" s="85">
        <f t="shared" si="106"/>
        <v>0</v>
      </c>
      <c r="AA806" s="69">
        <f>STATS1003B!AA806/1000</f>
        <v>3650.85</v>
      </c>
      <c r="AB806" s="69">
        <f>STATS1003B!AB806/1000</f>
        <v>0</v>
      </c>
    </row>
    <row r="807" spans="1:28" hidden="1" x14ac:dyDescent="0.3">
      <c r="A807" s="117"/>
      <c r="C807" s="68" t="s">
        <v>539</v>
      </c>
      <c r="D807" s="87" t="s">
        <v>68</v>
      </c>
      <c r="E807" s="85">
        <f>STATS1003B!E807/1000</f>
        <v>5886.7094699999998</v>
      </c>
      <c r="F807" s="85">
        <f>STATS1003B!F807/1000</f>
        <v>0</v>
      </c>
      <c r="G807" s="85">
        <f>STATS1003B!G807/1000</f>
        <v>0</v>
      </c>
      <c r="H807" s="85">
        <f>STATS1003B!H807/1000</f>
        <v>0</v>
      </c>
      <c r="I807" s="85">
        <f>STATS1003B!I807/1000</f>
        <v>0</v>
      </c>
      <c r="J807" s="85">
        <f>STATS1003B!J807/1000</f>
        <v>0</v>
      </c>
      <c r="K807" s="85">
        <f>STATS1003B!K807/1000</f>
        <v>5886.7094699999998</v>
      </c>
      <c r="L807" s="85">
        <f>STATS1003B!L807/1000</f>
        <v>0</v>
      </c>
      <c r="M807" s="85">
        <f>STATS1003B!M807/1000</f>
        <v>0</v>
      </c>
      <c r="N807" s="85">
        <f>STATS1003B!N807/1000</f>
        <v>5886.7094699999998</v>
      </c>
      <c r="O807" s="85">
        <f>STATS1003B!O807/1000</f>
        <v>0</v>
      </c>
      <c r="P807" s="85">
        <f>STATS1003B!P807/1000</f>
        <v>5886.7094699999998</v>
      </c>
      <c r="Q807" s="85">
        <f>STATS1003B!Q807/1000</f>
        <v>0</v>
      </c>
      <c r="R807" s="85">
        <f>STATS1003B!R807/1000</f>
        <v>0</v>
      </c>
      <c r="S807" s="85">
        <f>STATS1003B!S807/1000</f>
        <v>0</v>
      </c>
      <c r="T807" s="85">
        <f>STATS1003B!T807/1000</f>
        <v>0</v>
      </c>
      <c r="U807" s="85">
        <f>STATS1003B!U807/1000</f>
        <v>5886.7094699999998</v>
      </c>
      <c r="V807" s="85">
        <f>STATS1003B!V807/1000</f>
        <v>5886.7094699999998</v>
      </c>
      <c r="W807" s="85">
        <f>STATS1003B!W807/1000</f>
        <v>0</v>
      </c>
      <c r="X807" s="85">
        <f t="shared" si="103"/>
        <v>5886.7094699999998</v>
      </c>
      <c r="Y807" s="85">
        <f>STATS1003B!Y807/1000</f>
        <v>0</v>
      </c>
      <c r="Z807" s="85">
        <f t="shared" si="106"/>
        <v>0</v>
      </c>
      <c r="AA807" s="69">
        <f>STATS1003B!AA807/1000</f>
        <v>5886.7094699999998</v>
      </c>
      <c r="AB807" s="69">
        <f>STATS1003B!AB807/1000</f>
        <v>0</v>
      </c>
    </row>
    <row r="808" spans="1:28" hidden="1" x14ac:dyDescent="0.3">
      <c r="A808" s="117"/>
      <c r="C808" s="68" t="s">
        <v>545</v>
      </c>
      <c r="D808" s="87" t="s">
        <v>54</v>
      </c>
      <c r="E808" s="85">
        <f>STATS1003B!E808/1000</f>
        <v>1767.77</v>
      </c>
      <c r="F808" s="85">
        <f>STATS1003B!F808/1000</f>
        <v>0</v>
      </c>
      <c r="G808" s="85">
        <f>STATS1003B!G808/1000</f>
        <v>0</v>
      </c>
      <c r="H808" s="85">
        <f>STATS1003B!H808/1000</f>
        <v>0</v>
      </c>
      <c r="I808" s="85">
        <f>STATS1003B!I808/1000</f>
        <v>0</v>
      </c>
      <c r="J808" s="85">
        <f>STATS1003B!J808/1000</f>
        <v>0</v>
      </c>
      <c r="K808" s="85">
        <f>STATS1003B!K808/1000</f>
        <v>1767.77</v>
      </c>
      <c r="L808" s="85">
        <f>STATS1003B!L808/1000</f>
        <v>0</v>
      </c>
      <c r="M808" s="85">
        <f>STATS1003B!M808/1000</f>
        <v>0</v>
      </c>
      <c r="N808" s="85">
        <f>STATS1003B!N808/1000</f>
        <v>1767.77</v>
      </c>
      <c r="O808" s="85">
        <f>STATS1003B!O808/1000</f>
        <v>0</v>
      </c>
      <c r="P808" s="85">
        <f>STATS1003B!P808/1000</f>
        <v>1767.77</v>
      </c>
      <c r="Q808" s="85">
        <f>STATS1003B!Q808/1000</f>
        <v>0</v>
      </c>
      <c r="R808" s="85">
        <f>STATS1003B!R808/1000</f>
        <v>0</v>
      </c>
      <c r="S808" s="85">
        <f>STATS1003B!S808/1000</f>
        <v>0</v>
      </c>
      <c r="T808" s="85">
        <f>STATS1003B!T808/1000</f>
        <v>0</v>
      </c>
      <c r="U808" s="85">
        <f>STATS1003B!U808/1000</f>
        <v>1767.77</v>
      </c>
      <c r="V808" s="85">
        <f>STATS1003B!V808/1000</f>
        <v>1767.77</v>
      </c>
      <c r="W808" s="85">
        <f>STATS1003B!W808/1000</f>
        <v>0</v>
      </c>
      <c r="X808" s="85">
        <f t="shared" si="103"/>
        <v>1767.77</v>
      </c>
      <c r="Y808" s="85">
        <f>STATS1003B!Y808/1000</f>
        <v>0</v>
      </c>
      <c r="Z808" s="85">
        <f t="shared" si="106"/>
        <v>0</v>
      </c>
      <c r="AA808" s="69">
        <f>STATS1003B!AA808/1000</f>
        <v>1767.77</v>
      </c>
      <c r="AB808" s="69">
        <f>STATS1003B!AB808/1000</f>
        <v>0</v>
      </c>
    </row>
    <row r="809" spans="1:28" hidden="1" x14ac:dyDescent="0.3">
      <c r="A809" s="117"/>
      <c r="C809" s="68" t="s">
        <v>535</v>
      </c>
      <c r="D809" s="87" t="s">
        <v>54</v>
      </c>
      <c r="E809" s="85">
        <f>STATS1003B!E809/1000</f>
        <v>439</v>
      </c>
      <c r="F809" s="85">
        <f>STATS1003B!F809/1000</f>
        <v>439</v>
      </c>
      <c r="G809" s="85">
        <f>STATS1003B!G809/1000</f>
        <v>0</v>
      </c>
      <c r="H809" s="85">
        <f>STATS1003B!H809/1000</f>
        <v>439</v>
      </c>
      <c r="I809" s="85">
        <f>STATS1003B!I809/1000</f>
        <v>0</v>
      </c>
      <c r="J809" s="85">
        <f>STATS1003B!J809/1000</f>
        <v>439</v>
      </c>
      <c r="K809" s="85">
        <f>STATS1003B!K809/1000</f>
        <v>0</v>
      </c>
      <c r="L809" s="85">
        <f>STATS1003B!L809/1000</f>
        <v>0</v>
      </c>
      <c r="M809" s="85">
        <f>STATS1003B!M809/1000</f>
        <v>439</v>
      </c>
      <c r="N809" s="85">
        <f>STATS1003B!N809/1000</f>
        <v>0</v>
      </c>
      <c r="O809" s="85">
        <f>STATS1003B!O809/1000</f>
        <v>0</v>
      </c>
      <c r="P809" s="85">
        <f>STATS1003B!P809/1000</f>
        <v>0</v>
      </c>
      <c r="Q809" s="85">
        <f>STATS1003B!Q809/1000</f>
        <v>439</v>
      </c>
      <c r="R809" s="85">
        <f>STATS1003B!R809/1000</f>
        <v>0</v>
      </c>
      <c r="S809" s="85">
        <f>STATS1003B!S809/1000</f>
        <v>0</v>
      </c>
      <c r="T809" s="85">
        <f>STATS1003B!T809/1000</f>
        <v>0</v>
      </c>
      <c r="U809" s="85">
        <f>STATS1003B!U809/1000</f>
        <v>0</v>
      </c>
      <c r="V809" s="85">
        <f>STATS1003B!V809/1000</f>
        <v>439</v>
      </c>
      <c r="W809" s="85">
        <f>STATS1003B!W809/1000</f>
        <v>0</v>
      </c>
      <c r="X809" s="85">
        <f t="shared" si="103"/>
        <v>439</v>
      </c>
      <c r="Y809" s="85">
        <f>STATS1003B!Y809/1000</f>
        <v>0</v>
      </c>
      <c r="Z809" s="85">
        <f t="shared" si="106"/>
        <v>0</v>
      </c>
      <c r="AA809" s="69">
        <f>STATS1003B!AA809/1000</f>
        <v>439</v>
      </c>
      <c r="AB809" s="69">
        <f>STATS1003B!AB809/1000</f>
        <v>0</v>
      </c>
    </row>
    <row r="810" spans="1:28" hidden="1" x14ac:dyDescent="0.3">
      <c r="A810" s="117"/>
      <c r="C810" s="68" t="s">
        <v>639</v>
      </c>
      <c r="D810" s="87" t="s">
        <v>54</v>
      </c>
      <c r="E810" s="85">
        <f>STATS1003B!E810/1000</f>
        <v>2849.98</v>
      </c>
      <c r="F810" s="85">
        <f>STATS1003B!F810/1000</f>
        <v>2849.98</v>
      </c>
      <c r="G810" s="85">
        <f>STATS1003B!G810/1000</f>
        <v>0</v>
      </c>
      <c r="H810" s="85">
        <f>STATS1003B!H810/1000</f>
        <v>2849.98</v>
      </c>
      <c r="I810" s="85">
        <f>STATS1003B!I810/1000</f>
        <v>0</v>
      </c>
      <c r="J810" s="85">
        <f>STATS1003B!J810/1000</f>
        <v>2849.98</v>
      </c>
      <c r="K810" s="85">
        <f>STATS1003B!K810/1000</f>
        <v>0</v>
      </c>
      <c r="L810" s="85">
        <f>STATS1003B!L810/1000</f>
        <v>0</v>
      </c>
      <c r="M810" s="85">
        <f>STATS1003B!M810/1000</f>
        <v>2849.98</v>
      </c>
      <c r="N810" s="85">
        <f>STATS1003B!N810/1000</f>
        <v>0</v>
      </c>
      <c r="O810" s="85">
        <f>STATS1003B!O810/1000</f>
        <v>0</v>
      </c>
      <c r="P810" s="85">
        <f>STATS1003B!P810/1000</f>
        <v>0</v>
      </c>
      <c r="Q810" s="85">
        <f>STATS1003B!Q810/1000</f>
        <v>2849.98</v>
      </c>
      <c r="R810" s="85">
        <f>STATS1003B!R810/1000</f>
        <v>0</v>
      </c>
      <c r="S810" s="85">
        <f>STATS1003B!S810/1000</f>
        <v>0</v>
      </c>
      <c r="T810" s="85">
        <f>STATS1003B!T810/1000</f>
        <v>0</v>
      </c>
      <c r="U810" s="85">
        <f>STATS1003B!U810/1000</f>
        <v>0</v>
      </c>
      <c r="V810" s="85">
        <f>STATS1003B!V810/1000</f>
        <v>2849.98</v>
      </c>
      <c r="W810" s="85">
        <f>STATS1003B!W810/1000</f>
        <v>0</v>
      </c>
      <c r="X810" s="85">
        <f t="shared" si="103"/>
        <v>2849.98</v>
      </c>
      <c r="Y810" s="85">
        <f>STATS1003B!Y810/1000</f>
        <v>0</v>
      </c>
      <c r="Z810" s="85">
        <f t="shared" si="106"/>
        <v>0</v>
      </c>
      <c r="AA810" s="69">
        <f>STATS1003B!AA810/1000</f>
        <v>2849.98</v>
      </c>
      <c r="AB810" s="69">
        <f>STATS1003B!AB810/1000</f>
        <v>0</v>
      </c>
    </row>
    <row r="811" spans="1:28" hidden="1" x14ac:dyDescent="0.3">
      <c r="A811" s="117"/>
      <c r="C811" s="68" t="s">
        <v>535</v>
      </c>
      <c r="D811" s="87" t="s">
        <v>85</v>
      </c>
      <c r="E811" s="85">
        <f>STATS1003B!E811/1000</f>
        <v>1063.8</v>
      </c>
      <c r="F811" s="85">
        <f>STATS1003B!F811/1000</f>
        <v>1063.8</v>
      </c>
      <c r="G811" s="85">
        <f>STATS1003B!G811/1000</f>
        <v>0</v>
      </c>
      <c r="H811" s="85">
        <f>STATS1003B!H811/1000</f>
        <v>1063.8</v>
      </c>
      <c r="I811" s="85">
        <f>STATS1003B!I811/1000</f>
        <v>0</v>
      </c>
      <c r="J811" s="85">
        <f>STATS1003B!J811/1000</f>
        <v>1063.8</v>
      </c>
      <c r="K811" s="85">
        <f>STATS1003B!K811/1000</f>
        <v>0</v>
      </c>
      <c r="L811" s="85">
        <f>STATS1003B!L811/1000</f>
        <v>0</v>
      </c>
      <c r="M811" s="85">
        <f>STATS1003B!M811/1000</f>
        <v>1063.8</v>
      </c>
      <c r="N811" s="85">
        <f>STATS1003B!N811/1000</f>
        <v>0</v>
      </c>
      <c r="O811" s="85">
        <f>STATS1003B!O811/1000</f>
        <v>0</v>
      </c>
      <c r="P811" s="85">
        <f>STATS1003B!P811/1000</f>
        <v>0</v>
      </c>
      <c r="Q811" s="85">
        <f>STATS1003B!Q811/1000</f>
        <v>1063.8</v>
      </c>
      <c r="R811" s="85">
        <f>STATS1003B!R811/1000</f>
        <v>0</v>
      </c>
      <c r="S811" s="85">
        <f>STATS1003B!S811/1000</f>
        <v>0</v>
      </c>
      <c r="T811" s="85">
        <f>STATS1003B!T811/1000</f>
        <v>0</v>
      </c>
      <c r="U811" s="85">
        <f>STATS1003B!U811/1000</f>
        <v>0</v>
      </c>
      <c r="V811" s="85">
        <f>STATS1003B!V811/1000</f>
        <v>1063.8</v>
      </c>
      <c r="W811" s="85">
        <f>STATS1003B!W811/1000</f>
        <v>0</v>
      </c>
      <c r="X811" s="85">
        <f t="shared" si="103"/>
        <v>1063.8</v>
      </c>
      <c r="Y811" s="85">
        <f>STATS1003B!Y811/1000</f>
        <v>0</v>
      </c>
      <c r="Z811" s="85">
        <f t="shared" si="106"/>
        <v>0</v>
      </c>
      <c r="AA811" s="69">
        <f>STATS1003B!AA811/1000</f>
        <v>1063.8</v>
      </c>
      <c r="AB811" s="69">
        <f>STATS1003B!AB811/1000</f>
        <v>0</v>
      </c>
    </row>
    <row r="812" spans="1:28" hidden="1" x14ac:dyDescent="0.3">
      <c r="A812" s="117"/>
      <c r="C812" s="68" t="s">
        <v>639</v>
      </c>
      <c r="D812" s="87" t="s">
        <v>85</v>
      </c>
      <c r="E812" s="85">
        <f>STATS1003B!E812/1000</f>
        <v>2400.0005000000001</v>
      </c>
      <c r="F812" s="85">
        <f>STATS1003B!F812/1000</f>
        <v>2400.0005000000001</v>
      </c>
      <c r="G812" s="85">
        <f>STATS1003B!G812/1000</f>
        <v>0</v>
      </c>
      <c r="H812" s="85">
        <f>STATS1003B!H812/1000</f>
        <v>2400.0005000000001</v>
      </c>
      <c r="I812" s="85">
        <f>STATS1003B!I812/1000</f>
        <v>0</v>
      </c>
      <c r="J812" s="85">
        <f>STATS1003B!J812/1000</f>
        <v>2400.0005000000001</v>
      </c>
      <c r="K812" s="85">
        <f>STATS1003B!K812/1000</f>
        <v>0</v>
      </c>
      <c r="L812" s="85">
        <f>STATS1003B!L812/1000</f>
        <v>0</v>
      </c>
      <c r="M812" s="85">
        <f>STATS1003B!M812/1000</f>
        <v>2400.0005000000001</v>
      </c>
      <c r="N812" s="85">
        <f>STATS1003B!N812/1000</f>
        <v>0</v>
      </c>
      <c r="O812" s="85">
        <f>STATS1003B!O812/1000</f>
        <v>0</v>
      </c>
      <c r="P812" s="85">
        <f>STATS1003B!P812/1000</f>
        <v>0</v>
      </c>
      <c r="Q812" s="85">
        <f>STATS1003B!Q812/1000</f>
        <v>2400.0005000000001</v>
      </c>
      <c r="R812" s="85">
        <f>STATS1003B!R812/1000</f>
        <v>0</v>
      </c>
      <c r="S812" s="85">
        <f>STATS1003B!S812/1000</f>
        <v>0</v>
      </c>
      <c r="T812" s="85">
        <f>STATS1003B!T812/1000</f>
        <v>0</v>
      </c>
      <c r="U812" s="85">
        <f>STATS1003B!U812/1000</f>
        <v>0</v>
      </c>
      <c r="V812" s="85">
        <f>STATS1003B!V812/1000</f>
        <v>2400.0005000000001</v>
      </c>
      <c r="W812" s="85">
        <f>STATS1003B!W812/1000</f>
        <v>0</v>
      </c>
      <c r="X812" s="85">
        <f t="shared" si="103"/>
        <v>2400.0005000000001</v>
      </c>
      <c r="Y812" s="85">
        <f>STATS1003B!Y812/1000</f>
        <v>0</v>
      </c>
      <c r="Z812" s="85">
        <f t="shared" si="106"/>
        <v>0</v>
      </c>
      <c r="AA812" s="69">
        <f>STATS1003B!AA812/1000</f>
        <v>2400.0005000000001</v>
      </c>
      <c r="AB812" s="69">
        <f>STATS1003B!AB812/1000</f>
        <v>0</v>
      </c>
    </row>
    <row r="813" spans="1:28" hidden="1" x14ac:dyDescent="0.3">
      <c r="A813" s="117"/>
      <c r="C813" s="68" t="s">
        <v>640</v>
      </c>
      <c r="D813" s="87" t="s">
        <v>128</v>
      </c>
      <c r="E813" s="85">
        <f>STATS1003B!E813/1000</f>
        <v>800</v>
      </c>
      <c r="F813" s="85">
        <f>STATS1003B!F813/1000</f>
        <v>800</v>
      </c>
      <c r="G813" s="85">
        <f>STATS1003B!G813/1000</f>
        <v>0</v>
      </c>
      <c r="H813" s="85">
        <f>STATS1003B!H813/1000</f>
        <v>800</v>
      </c>
      <c r="I813" s="85">
        <f>STATS1003B!I813/1000</f>
        <v>0</v>
      </c>
      <c r="J813" s="85">
        <f>STATS1003B!J813/1000</f>
        <v>800</v>
      </c>
      <c r="K813" s="85">
        <f>STATS1003B!K813/1000</f>
        <v>0</v>
      </c>
      <c r="L813" s="85">
        <f>STATS1003B!L813/1000</f>
        <v>0</v>
      </c>
      <c r="M813" s="85">
        <f>STATS1003B!M813/1000</f>
        <v>800</v>
      </c>
      <c r="N813" s="85">
        <f>STATS1003B!N813/1000</f>
        <v>0</v>
      </c>
      <c r="O813" s="85">
        <f>STATS1003B!O813/1000</f>
        <v>0</v>
      </c>
      <c r="P813" s="85">
        <f>STATS1003B!P813/1000</f>
        <v>0</v>
      </c>
      <c r="Q813" s="85">
        <f>STATS1003B!Q813/1000</f>
        <v>800</v>
      </c>
      <c r="R813" s="85">
        <f>STATS1003B!R813/1000</f>
        <v>0</v>
      </c>
      <c r="S813" s="85">
        <f>STATS1003B!S813/1000</f>
        <v>0</v>
      </c>
      <c r="T813" s="85">
        <f>STATS1003B!T813/1000</f>
        <v>0</v>
      </c>
      <c r="U813" s="85">
        <f>STATS1003B!U813/1000</f>
        <v>0</v>
      </c>
      <c r="V813" s="85">
        <f>STATS1003B!V813/1000</f>
        <v>800</v>
      </c>
      <c r="W813" s="85">
        <f>STATS1003B!W813/1000</f>
        <v>0</v>
      </c>
      <c r="X813" s="85">
        <f t="shared" si="103"/>
        <v>800</v>
      </c>
      <c r="Y813" s="85">
        <f>STATS1003B!Y813/1000</f>
        <v>0</v>
      </c>
      <c r="Z813" s="85">
        <f t="shared" si="106"/>
        <v>0</v>
      </c>
      <c r="AA813" s="69">
        <f>STATS1003B!AA813/1000</f>
        <v>800</v>
      </c>
      <c r="AB813" s="69">
        <f>STATS1003B!AB813/1000</f>
        <v>0</v>
      </c>
    </row>
    <row r="814" spans="1:28" hidden="1" x14ac:dyDescent="0.3">
      <c r="A814" s="117"/>
      <c r="C814" s="68" t="s">
        <v>641</v>
      </c>
      <c r="D814" s="87" t="s">
        <v>128</v>
      </c>
      <c r="E814" s="85">
        <f>STATS1003B!E814/1000</f>
        <v>1000</v>
      </c>
      <c r="F814" s="85">
        <f>STATS1003B!F814/1000</f>
        <v>1000</v>
      </c>
      <c r="G814" s="85">
        <f>STATS1003B!G814/1000</f>
        <v>0</v>
      </c>
      <c r="H814" s="85">
        <f>STATS1003B!H814/1000</f>
        <v>1000</v>
      </c>
      <c r="I814" s="85">
        <f>STATS1003B!I814/1000</f>
        <v>0</v>
      </c>
      <c r="J814" s="85">
        <f>STATS1003B!J814/1000</f>
        <v>1000</v>
      </c>
      <c r="K814" s="85">
        <f>STATS1003B!K814/1000</f>
        <v>0</v>
      </c>
      <c r="L814" s="85">
        <f>STATS1003B!L814/1000</f>
        <v>0</v>
      </c>
      <c r="M814" s="85">
        <f>STATS1003B!M814/1000</f>
        <v>1000</v>
      </c>
      <c r="N814" s="85">
        <f>STATS1003B!N814/1000</f>
        <v>0</v>
      </c>
      <c r="O814" s="85">
        <f>STATS1003B!O814/1000</f>
        <v>0</v>
      </c>
      <c r="P814" s="85">
        <f>STATS1003B!P814/1000</f>
        <v>0</v>
      </c>
      <c r="Q814" s="85">
        <f>STATS1003B!Q814/1000</f>
        <v>1000</v>
      </c>
      <c r="R814" s="85">
        <f>STATS1003B!R814/1000</f>
        <v>0</v>
      </c>
      <c r="S814" s="85">
        <f>STATS1003B!S814/1000</f>
        <v>0</v>
      </c>
      <c r="T814" s="85">
        <f>STATS1003B!T814/1000</f>
        <v>0</v>
      </c>
      <c r="U814" s="85">
        <f>STATS1003B!U814/1000</f>
        <v>0</v>
      </c>
      <c r="V814" s="85">
        <f>STATS1003B!V814/1000</f>
        <v>1000</v>
      </c>
      <c r="W814" s="85">
        <f>STATS1003B!W814/1000</f>
        <v>0</v>
      </c>
      <c r="X814" s="85">
        <f t="shared" si="103"/>
        <v>1000</v>
      </c>
      <c r="Y814" s="85">
        <f>STATS1003B!Y814/1000</f>
        <v>0</v>
      </c>
      <c r="Z814" s="85">
        <f t="shared" si="106"/>
        <v>0</v>
      </c>
      <c r="AA814" s="69">
        <f>STATS1003B!AA814/1000</f>
        <v>1000</v>
      </c>
      <c r="AB814" s="69">
        <f>STATS1003B!AB814/1000</f>
        <v>0</v>
      </c>
    </row>
    <row r="815" spans="1:28" hidden="1" x14ac:dyDescent="0.3">
      <c r="A815" s="117"/>
      <c r="C815" s="68" t="s">
        <v>535</v>
      </c>
      <c r="D815" s="87" t="s">
        <v>128</v>
      </c>
      <c r="E815" s="85">
        <f>STATS1003B!E815/1000</f>
        <v>3903.5</v>
      </c>
      <c r="F815" s="85">
        <f>STATS1003B!F815/1000</f>
        <v>3903.5</v>
      </c>
      <c r="G815" s="85">
        <f>STATS1003B!G815/1000</f>
        <v>0</v>
      </c>
      <c r="H815" s="85">
        <f>STATS1003B!H815/1000</f>
        <v>3903.5</v>
      </c>
      <c r="I815" s="85">
        <f>STATS1003B!I815/1000</f>
        <v>0</v>
      </c>
      <c r="J815" s="85">
        <f>STATS1003B!J815/1000</f>
        <v>3903.5</v>
      </c>
      <c r="K815" s="85">
        <f>STATS1003B!K815/1000</f>
        <v>0</v>
      </c>
      <c r="L815" s="85">
        <f>STATS1003B!L815/1000</f>
        <v>0</v>
      </c>
      <c r="M815" s="85">
        <f>STATS1003B!M815/1000</f>
        <v>3903.5</v>
      </c>
      <c r="N815" s="85">
        <f>STATS1003B!N815/1000</f>
        <v>0</v>
      </c>
      <c r="O815" s="85">
        <f>STATS1003B!O815/1000</f>
        <v>0</v>
      </c>
      <c r="P815" s="85">
        <f>STATS1003B!P815/1000</f>
        <v>0</v>
      </c>
      <c r="Q815" s="85">
        <f>STATS1003B!Q815/1000</f>
        <v>3903.5</v>
      </c>
      <c r="R815" s="85">
        <f>STATS1003B!R815/1000</f>
        <v>0</v>
      </c>
      <c r="S815" s="85">
        <f>STATS1003B!S815/1000</f>
        <v>0</v>
      </c>
      <c r="T815" s="85">
        <f>STATS1003B!T815/1000</f>
        <v>0</v>
      </c>
      <c r="U815" s="85">
        <f>STATS1003B!U815/1000</f>
        <v>0</v>
      </c>
      <c r="V815" s="85">
        <f>STATS1003B!V815/1000</f>
        <v>3903.5</v>
      </c>
      <c r="W815" s="85">
        <f>STATS1003B!W815/1000</f>
        <v>0</v>
      </c>
      <c r="X815" s="85">
        <f t="shared" si="103"/>
        <v>3903.5</v>
      </c>
      <c r="Y815" s="85">
        <f>STATS1003B!Y815/1000</f>
        <v>0</v>
      </c>
      <c r="Z815" s="85">
        <f t="shared" si="106"/>
        <v>0</v>
      </c>
      <c r="AA815" s="69">
        <f>STATS1003B!AA815/1000</f>
        <v>3903.5</v>
      </c>
      <c r="AB815" s="69">
        <f>STATS1003B!AB815/1000</f>
        <v>0</v>
      </c>
    </row>
    <row r="816" spans="1:28" hidden="1" x14ac:dyDescent="0.3">
      <c r="A816" s="117"/>
      <c r="B816" s="68" t="s">
        <v>642</v>
      </c>
      <c r="C816" s="68" t="s">
        <v>535</v>
      </c>
      <c r="D816" s="87" t="s">
        <v>108</v>
      </c>
      <c r="E816" s="85">
        <f>STATS1003B!E816/1000</f>
        <v>2000</v>
      </c>
      <c r="F816" s="85">
        <f>STATS1003B!F816/1000</f>
        <v>2000</v>
      </c>
      <c r="G816" s="85">
        <f>STATS1003B!G816/1000</f>
        <v>0</v>
      </c>
      <c r="H816" s="85">
        <f>STATS1003B!H816/1000</f>
        <v>2000</v>
      </c>
      <c r="I816" s="85">
        <f>STATS1003B!I816/1000</f>
        <v>0</v>
      </c>
      <c r="J816" s="85">
        <f>STATS1003B!J816/1000</f>
        <v>2000</v>
      </c>
      <c r="K816" s="85">
        <f>STATS1003B!K816/1000</f>
        <v>0</v>
      </c>
      <c r="L816" s="85">
        <f>STATS1003B!L816/1000</f>
        <v>0</v>
      </c>
      <c r="M816" s="85">
        <f>STATS1003B!M816/1000</f>
        <v>2000</v>
      </c>
      <c r="N816" s="85">
        <f>STATS1003B!N816/1000</f>
        <v>0</v>
      </c>
      <c r="O816" s="85">
        <f>STATS1003B!O816/1000</f>
        <v>0</v>
      </c>
      <c r="P816" s="85">
        <f>STATS1003B!P816/1000</f>
        <v>0</v>
      </c>
      <c r="Q816" s="85">
        <f>STATS1003B!Q816/1000</f>
        <v>2000</v>
      </c>
      <c r="R816" s="85">
        <f>STATS1003B!R816/1000</f>
        <v>0</v>
      </c>
      <c r="S816" s="85">
        <f>STATS1003B!S816/1000</f>
        <v>0</v>
      </c>
      <c r="T816" s="85">
        <f>STATS1003B!T816/1000</f>
        <v>0</v>
      </c>
      <c r="U816" s="85">
        <f>STATS1003B!U816/1000</f>
        <v>0</v>
      </c>
      <c r="V816" s="85">
        <f>STATS1003B!V816/1000</f>
        <v>2000</v>
      </c>
      <c r="W816" s="85">
        <f>STATS1003B!W816/1000</f>
        <v>0</v>
      </c>
      <c r="X816" s="85">
        <f t="shared" si="103"/>
        <v>2000</v>
      </c>
      <c r="Y816" s="85">
        <f>STATS1003B!Y816/1000</f>
        <v>0</v>
      </c>
      <c r="Z816" s="85">
        <f t="shared" si="106"/>
        <v>0</v>
      </c>
      <c r="AA816" s="69">
        <f>STATS1003B!AA816/1000</f>
        <v>2000</v>
      </c>
      <c r="AB816" s="69">
        <f>STATS1003B!AB816/1000</f>
        <v>0</v>
      </c>
    </row>
    <row r="817" spans="1:28" hidden="1" x14ac:dyDescent="0.3">
      <c r="A817" s="117"/>
      <c r="C817" s="68" t="s">
        <v>535</v>
      </c>
      <c r="D817" s="87" t="s">
        <v>194</v>
      </c>
      <c r="E817" s="85">
        <f>STATS1003B!E817/1000</f>
        <v>894.69569999999999</v>
      </c>
      <c r="F817" s="85">
        <f>STATS1003B!F817/1000</f>
        <v>894.69569999999999</v>
      </c>
      <c r="G817" s="85">
        <f>STATS1003B!G817/1000</f>
        <v>0</v>
      </c>
      <c r="H817" s="85">
        <f>STATS1003B!H817/1000</f>
        <v>894.69569999999999</v>
      </c>
      <c r="I817" s="85">
        <f>STATS1003B!I817/1000</f>
        <v>0</v>
      </c>
      <c r="J817" s="85">
        <f>STATS1003B!J817/1000</f>
        <v>894.69569999999999</v>
      </c>
      <c r="K817" s="85">
        <f>STATS1003B!K817/1000</f>
        <v>0</v>
      </c>
      <c r="L817" s="85">
        <f>STATS1003B!L817/1000</f>
        <v>0</v>
      </c>
      <c r="M817" s="85">
        <f>STATS1003B!M817/1000</f>
        <v>894.69569999999999</v>
      </c>
      <c r="N817" s="85">
        <f>STATS1003B!N817/1000</f>
        <v>0</v>
      </c>
      <c r="O817" s="85">
        <f>STATS1003B!O817/1000</f>
        <v>0</v>
      </c>
      <c r="P817" s="85">
        <f>STATS1003B!P817/1000</f>
        <v>0</v>
      </c>
      <c r="Q817" s="85">
        <f>STATS1003B!Q817/1000</f>
        <v>894.69569999999999</v>
      </c>
      <c r="R817" s="85">
        <f>STATS1003B!R817/1000</f>
        <v>0</v>
      </c>
      <c r="S817" s="85">
        <f>STATS1003B!S817/1000</f>
        <v>0</v>
      </c>
      <c r="T817" s="85">
        <f>STATS1003B!T817/1000</f>
        <v>0</v>
      </c>
      <c r="U817" s="85">
        <f>STATS1003B!U817/1000</f>
        <v>0</v>
      </c>
      <c r="V817" s="85">
        <f>STATS1003B!V817/1000</f>
        <v>894.69569999999999</v>
      </c>
      <c r="W817" s="85">
        <f>STATS1003B!W817/1000</f>
        <v>0</v>
      </c>
      <c r="X817" s="85">
        <f t="shared" si="103"/>
        <v>894.69569999999999</v>
      </c>
      <c r="Y817" s="85">
        <f>STATS1003B!Y817/1000</f>
        <v>0</v>
      </c>
      <c r="Z817" s="85">
        <f t="shared" si="106"/>
        <v>0</v>
      </c>
      <c r="AA817" s="69">
        <f>STATS1003B!AA817/1000</f>
        <v>894.69569999999999</v>
      </c>
      <c r="AB817" s="69">
        <f>STATS1003B!AB817/1000</f>
        <v>0</v>
      </c>
    </row>
    <row r="818" spans="1:28" hidden="1" x14ac:dyDescent="0.3">
      <c r="A818" s="117"/>
      <c r="C818" s="68" t="s">
        <v>535</v>
      </c>
      <c r="D818" s="87" t="s">
        <v>61</v>
      </c>
      <c r="E818" s="85">
        <f>STATS1003B!E818/1000</f>
        <v>628.79346999999996</v>
      </c>
      <c r="F818" s="85">
        <f>STATS1003B!F818/1000</f>
        <v>612</v>
      </c>
      <c r="G818" s="85">
        <f>STATS1003B!G818/1000</f>
        <v>0</v>
      </c>
      <c r="H818" s="85">
        <f>STATS1003B!H818/1000</f>
        <v>612</v>
      </c>
      <c r="I818" s="85">
        <f>STATS1003B!I818/1000</f>
        <v>0</v>
      </c>
      <c r="J818" s="85">
        <f>STATS1003B!J818/1000</f>
        <v>612</v>
      </c>
      <c r="K818" s="85">
        <f>STATS1003B!K818/1000</f>
        <v>0</v>
      </c>
      <c r="L818" s="85">
        <f>STATS1003B!L818/1000</f>
        <v>0</v>
      </c>
      <c r="M818" s="85">
        <f>STATS1003B!M818/1000</f>
        <v>612</v>
      </c>
      <c r="N818" s="85">
        <f>STATS1003B!N818/1000</f>
        <v>0</v>
      </c>
      <c r="O818" s="85">
        <f>STATS1003B!O818/1000</f>
        <v>0</v>
      </c>
      <c r="P818" s="85">
        <f>STATS1003B!P818/1000</f>
        <v>0</v>
      </c>
      <c r="Q818" s="85">
        <f>STATS1003B!Q818/1000</f>
        <v>628.79346999999996</v>
      </c>
      <c r="R818" s="85">
        <f>STATS1003B!R818/1000</f>
        <v>0</v>
      </c>
      <c r="S818" s="85">
        <f>STATS1003B!S818/1000</f>
        <v>0</v>
      </c>
      <c r="T818" s="85">
        <f>STATS1003B!T818/1000</f>
        <v>16.793470000000003</v>
      </c>
      <c r="U818" s="85">
        <f>STATS1003B!U818/1000</f>
        <v>16.793470000000003</v>
      </c>
      <c r="V818" s="85">
        <f>STATS1003B!V818/1000</f>
        <v>612</v>
      </c>
      <c r="W818" s="85">
        <f>STATS1003B!W818/1000</f>
        <v>16.793469999999971</v>
      </c>
      <c r="X818" s="85">
        <f t="shared" si="103"/>
        <v>612</v>
      </c>
      <c r="Y818" s="85">
        <f>STATS1003B!Y818/1000</f>
        <v>0</v>
      </c>
      <c r="Z818" s="85">
        <f t="shared" si="106"/>
        <v>16.793469999999957</v>
      </c>
      <c r="AA818" s="69">
        <f>STATS1003B!AA818/1000</f>
        <v>628.79346999999996</v>
      </c>
      <c r="AB818" s="69">
        <f>STATS1003B!AB818/1000</f>
        <v>0</v>
      </c>
    </row>
    <row r="819" spans="1:28" hidden="1" x14ac:dyDescent="0.3">
      <c r="A819" s="117"/>
      <c r="C819" s="71" t="s">
        <v>643</v>
      </c>
      <c r="D819" s="87" t="s">
        <v>61</v>
      </c>
      <c r="E819" s="85">
        <f>STATS1003B!E819/1000</f>
        <v>758.95093000000008</v>
      </c>
      <c r="F819" s="85">
        <f>STATS1003B!F819/1000</f>
        <v>758.95093000000008</v>
      </c>
      <c r="G819" s="85">
        <f>STATS1003B!G819/1000</f>
        <v>0</v>
      </c>
      <c r="H819" s="85">
        <f>STATS1003B!H819/1000</f>
        <v>758.95093000000008</v>
      </c>
      <c r="I819" s="85">
        <f>STATS1003B!I819/1000</f>
        <v>0</v>
      </c>
      <c r="J819" s="85">
        <f>STATS1003B!J819/1000</f>
        <v>758.95093000000008</v>
      </c>
      <c r="K819" s="85">
        <f>STATS1003B!K819/1000</f>
        <v>0</v>
      </c>
      <c r="L819" s="85">
        <f>STATS1003B!L819/1000</f>
        <v>0</v>
      </c>
      <c r="M819" s="85">
        <f>STATS1003B!M819/1000</f>
        <v>758.95093000000008</v>
      </c>
      <c r="N819" s="85">
        <f>STATS1003B!N819/1000</f>
        <v>0</v>
      </c>
      <c r="O819" s="85">
        <f>STATS1003B!O819/1000</f>
        <v>0</v>
      </c>
      <c r="P819" s="85">
        <f>STATS1003B!P819/1000</f>
        <v>0</v>
      </c>
      <c r="Q819" s="85">
        <f>STATS1003B!Q819/1000</f>
        <v>758.95093000000008</v>
      </c>
      <c r="R819" s="85">
        <f>STATS1003B!R819/1000</f>
        <v>0</v>
      </c>
      <c r="S819" s="85">
        <f>STATS1003B!S819/1000</f>
        <v>0</v>
      </c>
      <c r="T819" s="85">
        <f>STATS1003B!T819/1000</f>
        <v>0</v>
      </c>
      <c r="U819" s="85">
        <f>STATS1003B!U819/1000</f>
        <v>0</v>
      </c>
      <c r="V819" s="85">
        <f>STATS1003B!V819/1000</f>
        <v>758.95093000000008</v>
      </c>
      <c r="W819" s="85">
        <f>STATS1003B!W819/1000</f>
        <v>0</v>
      </c>
      <c r="X819" s="85">
        <f t="shared" si="103"/>
        <v>758.95093000000008</v>
      </c>
      <c r="Y819" s="85">
        <f>STATS1003B!Y819/1000</f>
        <v>0</v>
      </c>
      <c r="Z819" s="85">
        <f t="shared" si="106"/>
        <v>0</v>
      </c>
      <c r="AA819" s="69">
        <f>STATS1003B!AA819/1000</f>
        <v>758.95093000000008</v>
      </c>
      <c r="AB819" s="69">
        <f>STATS1003B!AB819/1000</f>
        <v>0</v>
      </c>
    </row>
    <row r="820" spans="1:28" hidden="1" x14ac:dyDescent="0.3">
      <c r="A820" s="117"/>
      <c r="C820" s="71" t="s">
        <v>923</v>
      </c>
      <c r="D820" s="87"/>
      <c r="E820" s="85">
        <f>STATS1003B!E820/1000</f>
        <v>300</v>
      </c>
      <c r="F820" s="85">
        <f>STATS1003B!F820/1000</f>
        <v>300</v>
      </c>
      <c r="G820" s="85">
        <f>STATS1003B!G820/1000</f>
        <v>0</v>
      </c>
      <c r="H820" s="85">
        <f>STATS1003B!H820/1000</f>
        <v>300</v>
      </c>
      <c r="I820" s="85">
        <f>STATS1003B!I820/1000</f>
        <v>0</v>
      </c>
      <c r="J820" s="85">
        <f>STATS1003B!J820/1000</f>
        <v>0</v>
      </c>
      <c r="K820" s="85">
        <f>STATS1003B!K820/1000</f>
        <v>0</v>
      </c>
      <c r="L820" s="85">
        <f>STATS1003B!L820/1000</f>
        <v>0</v>
      </c>
      <c r="M820" s="85">
        <f>STATS1003B!M820/1000</f>
        <v>300</v>
      </c>
      <c r="N820" s="85">
        <f>STATS1003B!N820/1000</f>
        <v>0</v>
      </c>
      <c r="O820" s="85">
        <f>STATS1003B!O820/1000</f>
        <v>0</v>
      </c>
      <c r="P820" s="85">
        <f>STATS1003B!P820/1000</f>
        <v>0</v>
      </c>
      <c r="Q820" s="85">
        <f>STATS1003B!Q820/1000</f>
        <v>0</v>
      </c>
      <c r="R820" s="85">
        <f>STATS1003B!R820/1000</f>
        <v>0</v>
      </c>
      <c r="S820" s="85">
        <f>STATS1003B!S820/1000</f>
        <v>0</v>
      </c>
      <c r="T820" s="85">
        <f>STATS1003B!T820/1000</f>
        <v>0</v>
      </c>
      <c r="U820" s="85">
        <f>STATS1003B!U820/1000</f>
        <v>0</v>
      </c>
      <c r="V820" s="85">
        <f>STATS1003B!V820/1000</f>
        <v>300</v>
      </c>
      <c r="W820" s="85">
        <f>STATS1003B!W820/1000</f>
        <v>0</v>
      </c>
      <c r="X820" s="85">
        <f t="shared" si="103"/>
        <v>300</v>
      </c>
      <c r="Y820" s="85">
        <f>STATS1003B!Y820/1000</f>
        <v>0</v>
      </c>
      <c r="Z820" s="85">
        <f t="shared" si="106"/>
        <v>0</v>
      </c>
      <c r="AA820" s="69">
        <f>STATS1003B!AA820/1000</f>
        <v>300</v>
      </c>
      <c r="AB820" s="69">
        <f>STATS1003B!AB820/1000</f>
        <v>0</v>
      </c>
    </row>
    <row r="821" spans="1:28" hidden="1" x14ac:dyDescent="0.3">
      <c r="A821" s="117"/>
      <c r="C821" s="68" t="s">
        <v>606</v>
      </c>
      <c r="E821" s="85">
        <f>STATS1003B!E821/1000</f>
        <v>2500</v>
      </c>
      <c r="F821" s="85">
        <f>STATS1003B!F821/1000</f>
        <v>2500</v>
      </c>
      <c r="G821" s="85">
        <f>STATS1003B!G821/1000</f>
        <v>0</v>
      </c>
      <c r="H821" s="85">
        <f>STATS1003B!H821/1000</f>
        <v>2500</v>
      </c>
      <c r="I821" s="85">
        <f>STATS1003B!I821/1000</f>
        <v>0</v>
      </c>
      <c r="J821" s="85">
        <f>STATS1003B!J821/1000</f>
        <v>2500</v>
      </c>
      <c r="K821" s="85">
        <f>STATS1003B!K821/1000</f>
        <v>0</v>
      </c>
      <c r="L821" s="85">
        <f>STATS1003B!L821/1000</f>
        <v>0</v>
      </c>
      <c r="M821" s="85">
        <f>STATS1003B!M821/1000</f>
        <v>2500</v>
      </c>
      <c r="N821" s="85">
        <f>STATS1003B!N821/1000</f>
        <v>0</v>
      </c>
      <c r="O821" s="85">
        <f>STATS1003B!O821/1000</f>
        <v>0</v>
      </c>
      <c r="P821" s="85">
        <f>STATS1003B!P821/1000</f>
        <v>0</v>
      </c>
      <c r="Q821" s="85">
        <f>STATS1003B!Q821/1000</f>
        <v>2500</v>
      </c>
      <c r="R821" s="85">
        <f>STATS1003B!R821/1000</f>
        <v>0</v>
      </c>
      <c r="S821" s="85">
        <f>STATS1003B!S821/1000</f>
        <v>0</v>
      </c>
      <c r="T821" s="85">
        <f>STATS1003B!T821/1000</f>
        <v>0</v>
      </c>
      <c r="U821" s="85">
        <f>STATS1003B!U821/1000</f>
        <v>0</v>
      </c>
      <c r="V821" s="85">
        <f>STATS1003B!V821/1000</f>
        <v>2500</v>
      </c>
      <c r="W821" s="85">
        <f>STATS1003B!W821/1000</f>
        <v>0</v>
      </c>
      <c r="X821" s="85">
        <f t="shared" si="103"/>
        <v>2500</v>
      </c>
      <c r="Y821" s="85">
        <f>STATS1003B!Y821/1000</f>
        <v>0</v>
      </c>
      <c r="Z821" s="85">
        <f t="shared" si="106"/>
        <v>0</v>
      </c>
      <c r="AA821" s="69">
        <f>STATS1003B!AA821/1000</f>
        <v>2500</v>
      </c>
      <c r="AB821" s="69">
        <f>STATS1003B!AB821/1000</f>
        <v>0</v>
      </c>
    </row>
    <row r="822" spans="1:28" hidden="1" x14ac:dyDescent="0.3">
      <c r="A822" s="117"/>
      <c r="E822" s="86" t="s">
        <v>29</v>
      </c>
      <c r="F822" s="86" t="s">
        <v>29</v>
      </c>
      <c r="G822" s="86" t="s">
        <v>29</v>
      </c>
      <c r="H822" s="86" t="s">
        <v>29</v>
      </c>
      <c r="I822" s="86" t="s">
        <v>29</v>
      </c>
      <c r="J822" s="86" t="s">
        <v>29</v>
      </c>
      <c r="K822" s="86" t="s">
        <v>29</v>
      </c>
      <c r="L822" s="86" t="s">
        <v>29</v>
      </c>
      <c r="M822" s="86" t="s">
        <v>29</v>
      </c>
      <c r="N822" s="86" t="s">
        <v>29</v>
      </c>
      <c r="O822" s="86" t="s">
        <v>29</v>
      </c>
      <c r="P822" s="86" t="s">
        <v>29</v>
      </c>
      <c r="Q822" s="86" t="s">
        <v>29</v>
      </c>
      <c r="R822" s="86" t="s">
        <v>29</v>
      </c>
      <c r="S822" s="86" t="s">
        <v>29</v>
      </c>
      <c r="T822" s="86" t="s">
        <v>29</v>
      </c>
      <c r="U822" s="86" t="s">
        <v>29</v>
      </c>
      <c r="V822" s="86" t="s">
        <v>29</v>
      </c>
      <c r="W822" s="86" t="s">
        <v>29</v>
      </c>
      <c r="X822" s="85" t="e">
        <f t="shared" si="103"/>
        <v>#VALUE!</v>
      </c>
      <c r="Y822" s="86" t="s">
        <v>29</v>
      </c>
      <c r="Z822" s="85" t="e">
        <f t="shared" si="106"/>
        <v>#VALUE!</v>
      </c>
      <c r="AA822" s="115" t="s">
        <v>29</v>
      </c>
      <c r="AB822" s="115" t="s">
        <v>29</v>
      </c>
    </row>
    <row r="823" spans="1:28" x14ac:dyDescent="0.3">
      <c r="A823" s="116">
        <v>39</v>
      </c>
      <c r="B823" s="68" t="s">
        <v>637</v>
      </c>
      <c r="E823" s="85">
        <f>117754601.71/1000</f>
        <v>117754.60170999999</v>
      </c>
      <c r="F823" s="85">
        <f t="shared" ref="F823:Q823" si="109">SUM(F805:F822)</f>
        <v>23843.127129999997</v>
      </c>
      <c r="G823" s="85">
        <f t="shared" si="109"/>
        <v>0</v>
      </c>
      <c r="H823" s="85">
        <f>107735278.77/1000</f>
        <v>107735.27876999999</v>
      </c>
      <c r="I823" s="85">
        <f t="shared" si="109"/>
        <v>0</v>
      </c>
      <c r="J823" s="85">
        <f t="shared" si="109"/>
        <v>23543.127129999997</v>
      </c>
      <c r="K823" s="85">
        <f t="shared" si="109"/>
        <v>10002.529470000001</v>
      </c>
      <c r="L823" s="85">
        <f t="shared" si="109"/>
        <v>0</v>
      </c>
      <c r="M823" s="85">
        <f t="shared" si="109"/>
        <v>23843.127129999997</v>
      </c>
      <c r="N823" s="85">
        <f t="shared" si="109"/>
        <v>10002.529470000001</v>
      </c>
      <c r="O823" s="85">
        <f t="shared" si="109"/>
        <v>0</v>
      </c>
      <c r="P823" s="85">
        <f>10002529/1000</f>
        <v>10002.529</v>
      </c>
      <c r="Q823" s="85">
        <f t="shared" si="109"/>
        <v>23559.920599999998</v>
      </c>
      <c r="R823" s="86"/>
      <c r="S823" s="86"/>
      <c r="T823" s="85">
        <f t="shared" ref="T823:Y823" si="110">SUM(T805:T822)</f>
        <v>16.793470000000003</v>
      </c>
      <c r="U823" s="85">
        <f t="shared" si="110"/>
        <v>10019.322940000002</v>
      </c>
      <c r="V823" s="85">
        <f t="shared" si="110"/>
        <v>33845.656600000002</v>
      </c>
      <c r="W823" s="85">
        <f t="shared" si="110"/>
        <v>16.793469999999971</v>
      </c>
      <c r="X823" s="85">
        <f t="shared" si="103"/>
        <v>117737.80776999998</v>
      </c>
      <c r="Y823" s="85">
        <f t="shared" si="110"/>
        <v>0</v>
      </c>
      <c r="Z823" s="85">
        <f t="shared" si="106"/>
        <v>16.793940000003204</v>
      </c>
      <c r="AA823" s="69">
        <f>SUM(AA805:AA822)</f>
        <v>33862.450069999999</v>
      </c>
      <c r="AB823" s="69">
        <f>SUM(AB805:AB822)</f>
        <v>0</v>
      </c>
    </row>
    <row r="824" spans="1:28" hidden="1" x14ac:dyDescent="0.3">
      <c r="A824" s="117"/>
      <c r="E824" s="86" t="s">
        <v>29</v>
      </c>
      <c r="F824" s="86" t="s">
        <v>29</v>
      </c>
      <c r="G824" s="86" t="s">
        <v>29</v>
      </c>
      <c r="H824" s="86" t="s">
        <v>29</v>
      </c>
      <c r="I824" s="86" t="s">
        <v>29</v>
      </c>
      <c r="J824" s="86" t="s">
        <v>29</v>
      </c>
      <c r="K824" s="86" t="s">
        <v>29</v>
      </c>
      <c r="L824" s="86" t="s">
        <v>29</v>
      </c>
      <c r="M824" s="86" t="s">
        <v>29</v>
      </c>
      <c r="N824" s="86" t="s">
        <v>29</v>
      </c>
      <c r="O824" s="86" t="s">
        <v>29</v>
      </c>
      <c r="P824" s="86" t="s">
        <v>29</v>
      </c>
      <c r="Q824" s="86" t="s">
        <v>29</v>
      </c>
      <c r="R824" s="86" t="s">
        <v>29</v>
      </c>
      <c r="S824" s="86" t="s">
        <v>29</v>
      </c>
      <c r="T824" s="86" t="s">
        <v>29</v>
      </c>
      <c r="U824" s="86" t="s">
        <v>29</v>
      </c>
      <c r="V824" s="86" t="s">
        <v>29</v>
      </c>
      <c r="W824" s="86" t="s">
        <v>29</v>
      </c>
      <c r="X824" s="85" t="e">
        <f t="shared" si="103"/>
        <v>#VALUE!</v>
      </c>
      <c r="Y824" s="86" t="s">
        <v>29</v>
      </c>
      <c r="Z824" s="85" t="e">
        <f t="shared" si="106"/>
        <v>#VALUE!</v>
      </c>
      <c r="AA824" s="115" t="s">
        <v>29</v>
      </c>
      <c r="AB824" s="115" t="s">
        <v>29</v>
      </c>
    </row>
    <row r="825" spans="1:28" hidden="1" x14ac:dyDescent="0.3">
      <c r="A825" s="105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6"/>
      <c r="S825" s="86"/>
      <c r="T825" s="86"/>
      <c r="U825" s="86"/>
      <c r="V825" s="86"/>
      <c r="W825" s="86"/>
      <c r="X825" s="85">
        <f t="shared" si="103"/>
        <v>0</v>
      </c>
      <c r="Y825" s="86"/>
      <c r="Z825" s="85">
        <f t="shared" si="106"/>
        <v>0</v>
      </c>
      <c r="AA825" s="118"/>
    </row>
    <row r="826" spans="1:28" hidden="1" x14ac:dyDescent="0.3">
      <c r="A826" s="117"/>
      <c r="C826" s="68" t="s">
        <v>645</v>
      </c>
      <c r="D826" s="87" t="s">
        <v>150</v>
      </c>
      <c r="E826" s="85">
        <f>STATS1003B!E826/1000</f>
        <v>2821</v>
      </c>
      <c r="F826" s="85">
        <f>STATS1003B!F826/1000</f>
        <v>2821</v>
      </c>
      <c r="G826" s="85">
        <f>STATS1003B!G826/1000</f>
        <v>0</v>
      </c>
      <c r="H826" s="85">
        <f>STATS1003B!H826/1000</f>
        <v>2821</v>
      </c>
      <c r="I826" s="85">
        <f>STATS1003B!I826/1000</f>
        <v>0</v>
      </c>
      <c r="J826" s="85">
        <f>STATS1003B!J826/1000</f>
        <v>2821</v>
      </c>
      <c r="K826" s="85">
        <f>STATS1003B!K826/1000</f>
        <v>0</v>
      </c>
      <c r="L826" s="85">
        <f>STATS1003B!L826/1000</f>
        <v>0</v>
      </c>
      <c r="M826" s="85">
        <f>STATS1003B!M826/1000</f>
        <v>2821</v>
      </c>
      <c r="N826" s="85">
        <f>STATS1003B!N826/1000</f>
        <v>0</v>
      </c>
      <c r="O826" s="85">
        <f>STATS1003B!O826/1000</f>
        <v>0</v>
      </c>
      <c r="P826" s="85">
        <f>STATS1003B!P826/1000</f>
        <v>0</v>
      </c>
      <c r="Q826" s="85">
        <f>STATS1003B!Q826/1000</f>
        <v>2821</v>
      </c>
      <c r="R826" s="85">
        <f>STATS1003B!R826/1000</f>
        <v>0</v>
      </c>
      <c r="S826" s="85">
        <f>STATS1003B!S826/1000</f>
        <v>0</v>
      </c>
      <c r="T826" s="85">
        <f>STATS1003B!T826/1000</f>
        <v>0</v>
      </c>
      <c r="U826" s="85">
        <f>STATS1003B!U826/1000</f>
        <v>0</v>
      </c>
      <c r="V826" s="85">
        <f>STATS1003B!V826/1000</f>
        <v>2821</v>
      </c>
      <c r="W826" s="85">
        <f>STATS1003B!W826/1000</f>
        <v>0</v>
      </c>
      <c r="X826" s="85">
        <f t="shared" si="103"/>
        <v>2821</v>
      </c>
      <c r="Y826" s="85">
        <f>STATS1003B!Y826/1000</f>
        <v>0</v>
      </c>
      <c r="Z826" s="85">
        <f t="shared" si="106"/>
        <v>0</v>
      </c>
      <c r="AA826" s="69">
        <f>STATS1003B!AA826/1000</f>
        <v>2821</v>
      </c>
      <c r="AB826" s="69">
        <f>STATS1003B!AB826/1000</f>
        <v>0</v>
      </c>
    </row>
    <row r="827" spans="1:28" hidden="1" x14ac:dyDescent="0.3">
      <c r="A827" s="117"/>
      <c r="C827" s="68" t="s">
        <v>539</v>
      </c>
      <c r="D827" s="87" t="s">
        <v>68</v>
      </c>
      <c r="E827" s="85">
        <f>STATS1003B!E827/1000</f>
        <v>3286.7265000000002</v>
      </c>
      <c r="F827" s="85">
        <f>STATS1003B!F827/1000</f>
        <v>0</v>
      </c>
      <c r="G827" s="85">
        <f>STATS1003B!G827/1000</f>
        <v>0</v>
      </c>
      <c r="H827" s="85">
        <f>STATS1003B!H827/1000</f>
        <v>0</v>
      </c>
      <c r="I827" s="85">
        <f>STATS1003B!I827/1000</f>
        <v>0</v>
      </c>
      <c r="J827" s="85">
        <f>STATS1003B!J827/1000</f>
        <v>0</v>
      </c>
      <c r="K827" s="85">
        <f>STATS1003B!K827/1000</f>
        <v>3286.7265000000002</v>
      </c>
      <c r="L827" s="85">
        <f>STATS1003B!L827/1000</f>
        <v>0</v>
      </c>
      <c r="M827" s="85">
        <f>STATS1003B!M827/1000</f>
        <v>0</v>
      </c>
      <c r="N827" s="85">
        <f>STATS1003B!N827/1000</f>
        <v>3286.7265000000002</v>
      </c>
      <c r="O827" s="85">
        <f>STATS1003B!O827/1000</f>
        <v>0</v>
      </c>
      <c r="P827" s="85">
        <f>STATS1003B!P827/1000</f>
        <v>3286.7265000000002</v>
      </c>
      <c r="Q827" s="85">
        <f>STATS1003B!Q827/1000</f>
        <v>0</v>
      </c>
      <c r="R827" s="85">
        <f>STATS1003B!R827/1000</f>
        <v>0</v>
      </c>
      <c r="S827" s="85">
        <f>STATS1003B!S827/1000</f>
        <v>0</v>
      </c>
      <c r="T827" s="85">
        <f>STATS1003B!T827/1000</f>
        <v>0</v>
      </c>
      <c r="U827" s="85">
        <f>STATS1003B!U827/1000</f>
        <v>3286.7265000000002</v>
      </c>
      <c r="V827" s="85">
        <f>STATS1003B!V827/1000</f>
        <v>3286.7265000000002</v>
      </c>
      <c r="W827" s="85">
        <f>STATS1003B!W827/1000</f>
        <v>0</v>
      </c>
      <c r="X827" s="85">
        <f t="shared" si="103"/>
        <v>3286.7265000000002</v>
      </c>
      <c r="Y827" s="85">
        <f>STATS1003B!Y827/1000</f>
        <v>0</v>
      </c>
      <c r="Z827" s="85">
        <f t="shared" si="106"/>
        <v>0</v>
      </c>
      <c r="AA827" s="69">
        <f>STATS1003B!AA827/1000</f>
        <v>3286.7265000000002</v>
      </c>
      <c r="AB827" s="69">
        <f>STATS1003B!AB827/1000</f>
        <v>0</v>
      </c>
    </row>
    <row r="828" spans="1:28" hidden="1" x14ac:dyDescent="0.3">
      <c r="A828" s="117"/>
      <c r="C828" s="68" t="s">
        <v>545</v>
      </c>
      <c r="D828" s="87" t="s">
        <v>54</v>
      </c>
      <c r="E828" s="85">
        <f>STATS1003B!E828/1000</f>
        <v>1767.77</v>
      </c>
      <c r="F828" s="85">
        <f>STATS1003B!F828/1000</f>
        <v>0</v>
      </c>
      <c r="G828" s="85">
        <f>STATS1003B!G828/1000</f>
        <v>0</v>
      </c>
      <c r="H828" s="85">
        <f>STATS1003B!H828/1000</f>
        <v>0</v>
      </c>
      <c r="I828" s="85">
        <f>STATS1003B!I828/1000</f>
        <v>0</v>
      </c>
      <c r="J828" s="85">
        <f>STATS1003B!J828/1000</f>
        <v>0</v>
      </c>
      <c r="K828" s="85">
        <f>STATS1003B!K828/1000</f>
        <v>1767.77</v>
      </c>
      <c r="L828" s="85">
        <f>STATS1003B!L828/1000</f>
        <v>0</v>
      </c>
      <c r="M828" s="85">
        <f>STATS1003B!M828/1000</f>
        <v>0</v>
      </c>
      <c r="N828" s="85">
        <f>STATS1003B!N828/1000</f>
        <v>1767.77</v>
      </c>
      <c r="O828" s="85">
        <f>STATS1003B!O828/1000</f>
        <v>0</v>
      </c>
      <c r="P828" s="85">
        <f>STATS1003B!P828/1000</f>
        <v>1767.77</v>
      </c>
      <c r="Q828" s="85">
        <f>STATS1003B!Q828/1000</f>
        <v>0</v>
      </c>
      <c r="R828" s="85">
        <f>STATS1003B!R828/1000</f>
        <v>0</v>
      </c>
      <c r="S828" s="85">
        <f>STATS1003B!S828/1000</f>
        <v>0</v>
      </c>
      <c r="T828" s="85">
        <f>STATS1003B!T828/1000</f>
        <v>0</v>
      </c>
      <c r="U828" s="85">
        <f>STATS1003B!U828/1000</f>
        <v>1767.77</v>
      </c>
      <c r="V828" s="85">
        <f>STATS1003B!V828/1000</f>
        <v>1767.77</v>
      </c>
      <c r="W828" s="85">
        <f>STATS1003B!W828/1000</f>
        <v>0</v>
      </c>
      <c r="X828" s="85">
        <f t="shared" si="103"/>
        <v>1767.77</v>
      </c>
      <c r="Y828" s="85">
        <f>STATS1003B!Y828/1000</f>
        <v>0</v>
      </c>
      <c r="Z828" s="85">
        <f t="shared" si="106"/>
        <v>0</v>
      </c>
      <c r="AA828" s="69">
        <f>STATS1003B!AA828/1000</f>
        <v>1767.77</v>
      </c>
      <c r="AB828" s="69">
        <f>STATS1003B!AB828/1000</f>
        <v>0</v>
      </c>
    </row>
    <row r="829" spans="1:28" hidden="1" x14ac:dyDescent="0.3">
      <c r="A829" s="117"/>
      <c r="C829" s="68" t="s">
        <v>535</v>
      </c>
      <c r="D829" s="87" t="s">
        <v>54</v>
      </c>
      <c r="E829" s="85">
        <f>STATS1003B!E829/1000</f>
        <v>556.70000000000005</v>
      </c>
      <c r="F829" s="85">
        <f>STATS1003B!F829/1000</f>
        <v>556.70000000000005</v>
      </c>
      <c r="G829" s="85">
        <f>STATS1003B!G829/1000</f>
        <v>0</v>
      </c>
      <c r="H829" s="85">
        <f>STATS1003B!H829/1000</f>
        <v>556.70000000000005</v>
      </c>
      <c r="I829" s="85">
        <f>STATS1003B!I829/1000</f>
        <v>0</v>
      </c>
      <c r="J829" s="85">
        <f>STATS1003B!J829/1000</f>
        <v>556.70000000000005</v>
      </c>
      <c r="K829" s="85">
        <f>STATS1003B!K829/1000</f>
        <v>0</v>
      </c>
      <c r="L829" s="85">
        <f>STATS1003B!L829/1000</f>
        <v>0</v>
      </c>
      <c r="M829" s="85">
        <f>STATS1003B!M829/1000</f>
        <v>556.70000000000005</v>
      </c>
      <c r="N829" s="85">
        <f>STATS1003B!N829/1000</f>
        <v>0</v>
      </c>
      <c r="O829" s="85">
        <f>STATS1003B!O829/1000</f>
        <v>0</v>
      </c>
      <c r="P829" s="85">
        <f>STATS1003B!P829/1000</f>
        <v>0</v>
      </c>
      <c r="Q829" s="85">
        <f>STATS1003B!Q829/1000</f>
        <v>556.70000000000005</v>
      </c>
      <c r="R829" s="85">
        <f>STATS1003B!R829/1000</f>
        <v>0</v>
      </c>
      <c r="S829" s="85">
        <f>STATS1003B!S829/1000</f>
        <v>0</v>
      </c>
      <c r="T829" s="85">
        <f>STATS1003B!T829/1000</f>
        <v>0</v>
      </c>
      <c r="U829" s="85">
        <f>STATS1003B!U829/1000</f>
        <v>0</v>
      </c>
      <c r="V829" s="85">
        <f>STATS1003B!V829/1000</f>
        <v>556.70000000000005</v>
      </c>
      <c r="W829" s="85">
        <f>STATS1003B!W829/1000</f>
        <v>0</v>
      </c>
      <c r="X829" s="85">
        <f t="shared" si="103"/>
        <v>556.70000000000005</v>
      </c>
      <c r="Y829" s="85">
        <f>STATS1003B!Y829/1000</f>
        <v>0</v>
      </c>
      <c r="Z829" s="85">
        <f t="shared" si="106"/>
        <v>0</v>
      </c>
      <c r="AA829" s="69">
        <f>STATS1003B!AA829/1000</f>
        <v>556.70000000000005</v>
      </c>
      <c r="AB829" s="69">
        <f>STATS1003B!AB829/1000</f>
        <v>0</v>
      </c>
    </row>
    <row r="830" spans="1:28" hidden="1" x14ac:dyDescent="0.3">
      <c r="A830" s="117"/>
      <c r="C830" s="68" t="s">
        <v>535</v>
      </c>
      <c r="D830" s="87" t="s">
        <v>85</v>
      </c>
      <c r="E830" s="85">
        <f>STATS1003B!E830/1000</f>
        <v>1006.2</v>
      </c>
      <c r="F830" s="85">
        <f>STATS1003B!F830/1000</f>
        <v>1006.2</v>
      </c>
      <c r="G830" s="85">
        <f>STATS1003B!G830/1000</f>
        <v>0</v>
      </c>
      <c r="H830" s="85">
        <f>STATS1003B!H830/1000</f>
        <v>1006.2</v>
      </c>
      <c r="I830" s="85">
        <f>STATS1003B!I830/1000</f>
        <v>0</v>
      </c>
      <c r="J830" s="85">
        <f>STATS1003B!J830/1000</f>
        <v>1006.2</v>
      </c>
      <c r="K830" s="85">
        <f>STATS1003B!K830/1000</f>
        <v>0</v>
      </c>
      <c r="L830" s="85">
        <f>STATS1003B!L830/1000</f>
        <v>0</v>
      </c>
      <c r="M830" s="85">
        <f>STATS1003B!M830/1000</f>
        <v>1006.2</v>
      </c>
      <c r="N830" s="85">
        <f>STATS1003B!N830/1000</f>
        <v>0</v>
      </c>
      <c r="O830" s="85">
        <f>STATS1003B!O830/1000</f>
        <v>0</v>
      </c>
      <c r="P830" s="85">
        <f>STATS1003B!P830/1000</f>
        <v>0</v>
      </c>
      <c r="Q830" s="85">
        <f>STATS1003B!Q830/1000</f>
        <v>1006.2</v>
      </c>
      <c r="R830" s="85">
        <f>STATS1003B!R830/1000</f>
        <v>0</v>
      </c>
      <c r="S830" s="85">
        <f>STATS1003B!S830/1000</f>
        <v>0</v>
      </c>
      <c r="T830" s="85">
        <f>STATS1003B!T830/1000</f>
        <v>0</v>
      </c>
      <c r="U830" s="85">
        <f>STATS1003B!U830/1000</f>
        <v>0</v>
      </c>
      <c r="V830" s="85">
        <f>STATS1003B!V830/1000</f>
        <v>1006.2</v>
      </c>
      <c r="W830" s="85">
        <f>STATS1003B!W830/1000</f>
        <v>0</v>
      </c>
      <c r="X830" s="85">
        <f t="shared" si="103"/>
        <v>1006.2</v>
      </c>
      <c r="Y830" s="85">
        <f>STATS1003B!Y830/1000</f>
        <v>0</v>
      </c>
      <c r="Z830" s="85">
        <f t="shared" si="106"/>
        <v>0</v>
      </c>
      <c r="AA830" s="69">
        <f>STATS1003B!AA830/1000</f>
        <v>1006.2</v>
      </c>
      <c r="AB830" s="69">
        <f>STATS1003B!AB830/1000</f>
        <v>0</v>
      </c>
    </row>
    <row r="831" spans="1:28" hidden="1" x14ac:dyDescent="0.3">
      <c r="A831" s="117"/>
      <c r="C831" s="68" t="s">
        <v>535</v>
      </c>
      <c r="D831" s="87" t="s">
        <v>128</v>
      </c>
      <c r="E831" s="85">
        <f>STATS1003B!E831/1000</f>
        <v>844.2</v>
      </c>
      <c r="F831" s="85">
        <f>STATS1003B!F831/1000</f>
        <v>844.2</v>
      </c>
      <c r="G831" s="85">
        <f>STATS1003B!G831/1000</f>
        <v>0</v>
      </c>
      <c r="H831" s="85">
        <f>STATS1003B!H831/1000</f>
        <v>844.2</v>
      </c>
      <c r="I831" s="85">
        <f>STATS1003B!I831/1000</f>
        <v>0</v>
      </c>
      <c r="J831" s="85">
        <f>STATS1003B!J831/1000</f>
        <v>844.2</v>
      </c>
      <c r="K831" s="85">
        <f>STATS1003B!K831/1000</f>
        <v>0</v>
      </c>
      <c r="L831" s="85">
        <f>STATS1003B!L831/1000</f>
        <v>0</v>
      </c>
      <c r="M831" s="85">
        <f>STATS1003B!M831/1000</f>
        <v>844.2</v>
      </c>
      <c r="N831" s="85">
        <f>STATS1003B!N831/1000</f>
        <v>0</v>
      </c>
      <c r="O831" s="85">
        <f>STATS1003B!O831/1000</f>
        <v>0</v>
      </c>
      <c r="P831" s="85">
        <f>STATS1003B!P831/1000</f>
        <v>0</v>
      </c>
      <c r="Q831" s="85">
        <f>STATS1003B!Q831/1000</f>
        <v>844.2</v>
      </c>
      <c r="R831" s="85">
        <f>STATS1003B!R831/1000</f>
        <v>0</v>
      </c>
      <c r="S831" s="85">
        <f>STATS1003B!S831/1000</f>
        <v>0</v>
      </c>
      <c r="T831" s="85">
        <f>STATS1003B!T831/1000</f>
        <v>0</v>
      </c>
      <c r="U831" s="85">
        <f>STATS1003B!U831/1000</f>
        <v>0</v>
      </c>
      <c r="V831" s="85">
        <f>STATS1003B!V831/1000</f>
        <v>844.2</v>
      </c>
      <c r="W831" s="85">
        <f>STATS1003B!W831/1000</f>
        <v>0</v>
      </c>
      <c r="X831" s="85">
        <f t="shared" si="103"/>
        <v>844.2</v>
      </c>
      <c r="Y831" s="85">
        <f>STATS1003B!Y831/1000</f>
        <v>0</v>
      </c>
      <c r="Z831" s="85">
        <f t="shared" si="106"/>
        <v>0</v>
      </c>
      <c r="AA831" s="69">
        <f>STATS1003B!AA831/1000</f>
        <v>844.2</v>
      </c>
      <c r="AB831" s="69">
        <f>STATS1003B!AB831/1000</f>
        <v>0</v>
      </c>
    </row>
    <row r="832" spans="1:28" hidden="1" x14ac:dyDescent="0.3">
      <c r="A832" s="117"/>
      <c r="C832" s="68" t="s">
        <v>646</v>
      </c>
      <c r="D832" s="87" t="s">
        <v>128</v>
      </c>
      <c r="E832" s="85">
        <f>STATS1003B!E832/1000</f>
        <v>400</v>
      </c>
      <c r="F832" s="85">
        <f>STATS1003B!F832/1000</f>
        <v>400</v>
      </c>
      <c r="G832" s="85">
        <f>STATS1003B!G832/1000</f>
        <v>0</v>
      </c>
      <c r="H832" s="85">
        <f>STATS1003B!H832/1000</f>
        <v>400</v>
      </c>
      <c r="I832" s="85">
        <f>STATS1003B!I832/1000</f>
        <v>0</v>
      </c>
      <c r="J832" s="85">
        <f>STATS1003B!J832/1000</f>
        <v>400</v>
      </c>
      <c r="K832" s="85">
        <f>STATS1003B!K832/1000</f>
        <v>0</v>
      </c>
      <c r="L832" s="85">
        <f>STATS1003B!L832/1000</f>
        <v>0</v>
      </c>
      <c r="M832" s="85">
        <f>STATS1003B!M832/1000</f>
        <v>400</v>
      </c>
      <c r="N832" s="85">
        <f>STATS1003B!N832/1000</f>
        <v>0</v>
      </c>
      <c r="O832" s="85">
        <f>STATS1003B!O832/1000</f>
        <v>0</v>
      </c>
      <c r="P832" s="85">
        <f>STATS1003B!P832/1000</f>
        <v>0</v>
      </c>
      <c r="Q832" s="85">
        <f>STATS1003B!Q832/1000</f>
        <v>400</v>
      </c>
      <c r="R832" s="85">
        <f>STATS1003B!R832/1000</f>
        <v>0</v>
      </c>
      <c r="S832" s="85">
        <f>STATS1003B!S832/1000</f>
        <v>0</v>
      </c>
      <c r="T832" s="85">
        <f>STATS1003B!T832/1000</f>
        <v>0</v>
      </c>
      <c r="U832" s="85">
        <f>STATS1003B!U832/1000</f>
        <v>0</v>
      </c>
      <c r="V832" s="85">
        <f>STATS1003B!V832/1000</f>
        <v>400</v>
      </c>
      <c r="W832" s="85">
        <f>STATS1003B!W832/1000</f>
        <v>0</v>
      </c>
      <c r="X832" s="85">
        <f t="shared" si="103"/>
        <v>400</v>
      </c>
      <c r="Y832" s="85">
        <f>STATS1003B!Y832/1000</f>
        <v>0</v>
      </c>
      <c r="Z832" s="85">
        <f t="shared" si="106"/>
        <v>0</v>
      </c>
      <c r="AA832" s="69">
        <f>STATS1003B!AA832/1000</f>
        <v>400</v>
      </c>
      <c r="AB832" s="69">
        <f>STATS1003B!AB832/1000</f>
        <v>0</v>
      </c>
    </row>
    <row r="833" spans="1:28" hidden="1" x14ac:dyDescent="0.3">
      <c r="A833" s="117"/>
      <c r="C833" s="68" t="s">
        <v>535</v>
      </c>
      <c r="D833" s="87" t="s">
        <v>58</v>
      </c>
      <c r="E833" s="85">
        <f>STATS1003B!E833/1000</f>
        <v>4842.2950000000001</v>
      </c>
      <c r="F833" s="85">
        <f>STATS1003B!F833/1000</f>
        <v>4842.2950000000001</v>
      </c>
      <c r="G833" s="85">
        <f>STATS1003B!G833/1000</f>
        <v>0</v>
      </c>
      <c r="H833" s="85">
        <f>STATS1003B!H833/1000</f>
        <v>4842.2950000000001</v>
      </c>
      <c r="I833" s="85">
        <f>STATS1003B!I833/1000</f>
        <v>0</v>
      </c>
      <c r="J833" s="85">
        <f>STATS1003B!J833/1000</f>
        <v>4842.2950000000001</v>
      </c>
      <c r="K833" s="85">
        <f>STATS1003B!K833/1000</f>
        <v>0</v>
      </c>
      <c r="L833" s="85">
        <f>STATS1003B!L833/1000</f>
        <v>0</v>
      </c>
      <c r="M833" s="85">
        <f>STATS1003B!M833/1000</f>
        <v>4842.2950000000001</v>
      </c>
      <c r="N833" s="85">
        <f>STATS1003B!N833/1000</f>
        <v>0</v>
      </c>
      <c r="O833" s="85">
        <f>STATS1003B!O833/1000</f>
        <v>0</v>
      </c>
      <c r="P833" s="85">
        <f>STATS1003B!P833/1000</f>
        <v>0</v>
      </c>
      <c r="Q833" s="85">
        <f>STATS1003B!Q833/1000</f>
        <v>4842.2950000000001</v>
      </c>
      <c r="R833" s="85">
        <f>STATS1003B!R833/1000</f>
        <v>0</v>
      </c>
      <c r="S833" s="85">
        <f>STATS1003B!S833/1000</f>
        <v>0</v>
      </c>
      <c r="T833" s="85">
        <f>STATS1003B!T833/1000</f>
        <v>0</v>
      </c>
      <c r="U833" s="85">
        <f>STATS1003B!U833/1000</f>
        <v>0</v>
      </c>
      <c r="V833" s="85">
        <f>STATS1003B!V833/1000</f>
        <v>4842.2950000000001</v>
      </c>
      <c r="W833" s="85">
        <f>STATS1003B!W833/1000</f>
        <v>0</v>
      </c>
      <c r="X833" s="85">
        <f t="shared" si="103"/>
        <v>4842.2950000000001</v>
      </c>
      <c r="Y833" s="85">
        <f>STATS1003B!Y833/1000</f>
        <v>0</v>
      </c>
      <c r="Z833" s="85">
        <f t="shared" si="106"/>
        <v>0</v>
      </c>
      <c r="AA833" s="69">
        <f>STATS1003B!AA833/1000</f>
        <v>4842.2950000000001</v>
      </c>
      <c r="AB833" s="69">
        <f>STATS1003B!AB833/1000</f>
        <v>0</v>
      </c>
    </row>
    <row r="834" spans="1:28" hidden="1" x14ac:dyDescent="0.3">
      <c r="A834" s="117"/>
      <c r="C834" s="68" t="s">
        <v>535</v>
      </c>
      <c r="D834" s="87" t="s">
        <v>60</v>
      </c>
      <c r="E834" s="85">
        <f>STATS1003B!E834/1000</f>
        <v>4034.99748</v>
      </c>
      <c r="F834" s="85">
        <f>STATS1003B!F834/1000</f>
        <v>4034.99748</v>
      </c>
      <c r="G834" s="85">
        <f>STATS1003B!G834/1000</f>
        <v>0</v>
      </c>
      <c r="H834" s="85">
        <f>STATS1003B!H834/1000</f>
        <v>4034.99748</v>
      </c>
      <c r="I834" s="85">
        <f>STATS1003B!I834/1000</f>
        <v>0</v>
      </c>
      <c r="J834" s="85">
        <f>STATS1003B!J834/1000</f>
        <v>4034.99748</v>
      </c>
      <c r="K834" s="85">
        <f>STATS1003B!K834/1000</f>
        <v>0</v>
      </c>
      <c r="L834" s="85">
        <f>STATS1003B!L834/1000</f>
        <v>0</v>
      </c>
      <c r="M834" s="85">
        <f>STATS1003B!M834/1000</f>
        <v>4034.99748</v>
      </c>
      <c r="N834" s="85">
        <f>STATS1003B!N834/1000</f>
        <v>0</v>
      </c>
      <c r="O834" s="85">
        <f>STATS1003B!O834/1000</f>
        <v>0</v>
      </c>
      <c r="P834" s="85">
        <f>STATS1003B!P834/1000</f>
        <v>0</v>
      </c>
      <c r="Q834" s="85">
        <f>STATS1003B!Q834/1000</f>
        <v>4034.99748</v>
      </c>
      <c r="R834" s="85">
        <f>STATS1003B!R834/1000</f>
        <v>0</v>
      </c>
      <c r="S834" s="85">
        <f>STATS1003B!S834/1000</f>
        <v>0</v>
      </c>
      <c r="T834" s="85">
        <f>STATS1003B!T834/1000</f>
        <v>0</v>
      </c>
      <c r="U834" s="85">
        <f>STATS1003B!U834/1000</f>
        <v>0</v>
      </c>
      <c r="V834" s="85">
        <f>STATS1003B!V834/1000</f>
        <v>4034.99748</v>
      </c>
      <c r="W834" s="85">
        <f>STATS1003B!W834/1000</f>
        <v>0</v>
      </c>
      <c r="X834" s="85">
        <f t="shared" si="103"/>
        <v>4034.99748</v>
      </c>
      <c r="Y834" s="85">
        <f>STATS1003B!Y834/1000</f>
        <v>0</v>
      </c>
      <c r="Z834" s="85">
        <f t="shared" si="106"/>
        <v>0</v>
      </c>
      <c r="AA834" s="69">
        <f>STATS1003B!AA834/1000</f>
        <v>4034.99748</v>
      </c>
      <c r="AB834" s="69">
        <f>STATS1003B!AB834/1000</f>
        <v>0</v>
      </c>
    </row>
    <row r="835" spans="1:28" hidden="1" x14ac:dyDescent="0.3">
      <c r="A835" s="117"/>
      <c r="C835" s="68" t="s">
        <v>535</v>
      </c>
      <c r="D835" s="87" t="s">
        <v>73</v>
      </c>
      <c r="E835" s="85">
        <f>STATS1003B!E835/1000</f>
        <v>3118.1392799999999</v>
      </c>
      <c r="F835" s="85">
        <f>STATS1003B!F835/1000</f>
        <v>3118.1392799999999</v>
      </c>
      <c r="G835" s="85">
        <f>STATS1003B!G835/1000</f>
        <v>0</v>
      </c>
      <c r="H835" s="85">
        <f>STATS1003B!H835/1000</f>
        <v>3118.1392799999999</v>
      </c>
      <c r="I835" s="85">
        <f>STATS1003B!I835/1000</f>
        <v>0</v>
      </c>
      <c r="J835" s="85">
        <f>STATS1003B!J835/1000</f>
        <v>3118.1392799999999</v>
      </c>
      <c r="K835" s="85">
        <f>STATS1003B!K835/1000</f>
        <v>0</v>
      </c>
      <c r="L835" s="85">
        <f>STATS1003B!L835/1000</f>
        <v>0</v>
      </c>
      <c r="M835" s="85">
        <f>STATS1003B!M835/1000</f>
        <v>3118.1392799999999</v>
      </c>
      <c r="N835" s="85">
        <f>STATS1003B!N835/1000</f>
        <v>0</v>
      </c>
      <c r="O835" s="85">
        <f>STATS1003B!O835/1000</f>
        <v>0</v>
      </c>
      <c r="P835" s="85">
        <f>STATS1003B!P835/1000</f>
        <v>0</v>
      </c>
      <c r="Q835" s="85">
        <f>STATS1003B!Q835/1000</f>
        <v>3118.1392799999999</v>
      </c>
      <c r="R835" s="85">
        <f>STATS1003B!R835/1000</f>
        <v>0</v>
      </c>
      <c r="S835" s="85">
        <f>STATS1003B!S835/1000</f>
        <v>0</v>
      </c>
      <c r="T835" s="85">
        <f>STATS1003B!T835/1000</f>
        <v>0</v>
      </c>
      <c r="U835" s="85">
        <f>STATS1003B!U835/1000</f>
        <v>0</v>
      </c>
      <c r="V835" s="85">
        <f>STATS1003B!V835/1000</f>
        <v>3118.1392799999999</v>
      </c>
      <c r="W835" s="85">
        <f>STATS1003B!W835/1000</f>
        <v>0</v>
      </c>
      <c r="X835" s="85">
        <f t="shared" si="103"/>
        <v>3118.1392799999999</v>
      </c>
      <c r="Y835" s="85">
        <f>STATS1003B!Y835/1000</f>
        <v>0</v>
      </c>
      <c r="Z835" s="85">
        <f t="shared" si="106"/>
        <v>0</v>
      </c>
      <c r="AA835" s="69">
        <f>STATS1003B!AA835/1000</f>
        <v>3118.1392799999999</v>
      </c>
      <c r="AB835" s="69">
        <f>STATS1003B!AB835/1000</f>
        <v>0</v>
      </c>
    </row>
    <row r="836" spans="1:28" hidden="1" x14ac:dyDescent="0.3">
      <c r="A836" s="117"/>
      <c r="C836" s="68" t="s">
        <v>535</v>
      </c>
      <c r="D836" s="87" t="s">
        <v>61</v>
      </c>
      <c r="E836" s="85">
        <f>STATS1003B!E836/1000</f>
        <v>499.00283000000002</v>
      </c>
      <c r="F836" s="85">
        <f>STATS1003B!F836/1000</f>
        <v>481.07040000000001</v>
      </c>
      <c r="G836" s="85">
        <f>STATS1003B!G836/1000</f>
        <v>0</v>
      </c>
      <c r="H836" s="85">
        <f>STATS1003B!H836/1000</f>
        <v>481.07040000000001</v>
      </c>
      <c r="I836" s="85">
        <f>STATS1003B!I836/1000</f>
        <v>0</v>
      </c>
      <c r="J836" s="85">
        <f>STATS1003B!J836/1000</f>
        <v>481.07040000000001</v>
      </c>
      <c r="K836" s="85">
        <f>STATS1003B!K836/1000</f>
        <v>0</v>
      </c>
      <c r="L836" s="85">
        <f>STATS1003B!L836/1000</f>
        <v>0</v>
      </c>
      <c r="M836" s="85">
        <f>STATS1003B!M836/1000</f>
        <v>481.07040000000001</v>
      </c>
      <c r="N836" s="85">
        <f>STATS1003B!N836/1000</f>
        <v>0</v>
      </c>
      <c r="O836" s="85">
        <f>STATS1003B!O836/1000</f>
        <v>0</v>
      </c>
      <c r="P836" s="85">
        <f>STATS1003B!P836/1000</f>
        <v>0</v>
      </c>
      <c r="Q836" s="85">
        <f>STATS1003B!Q836/1000</f>
        <v>499.00283000000002</v>
      </c>
      <c r="R836" s="85">
        <f>STATS1003B!R836/1000</f>
        <v>0</v>
      </c>
      <c r="S836" s="85">
        <f>STATS1003B!S836/1000</f>
        <v>0</v>
      </c>
      <c r="T836" s="85">
        <f>STATS1003B!T836/1000</f>
        <v>17.93243</v>
      </c>
      <c r="U836" s="85">
        <f>STATS1003B!U836/1000</f>
        <v>17.93243</v>
      </c>
      <c r="V836" s="85">
        <f>STATS1003B!V836/1000</f>
        <v>481.07040000000001</v>
      </c>
      <c r="W836" s="85">
        <f>STATS1003B!W836/1000</f>
        <v>17.932429999999993</v>
      </c>
      <c r="X836" s="85">
        <f t="shared" si="103"/>
        <v>481.07040000000001</v>
      </c>
      <c r="Y836" s="85">
        <f>STATS1003B!Y836/1000</f>
        <v>0</v>
      </c>
      <c r="Z836" s="85">
        <f t="shared" si="106"/>
        <v>17.932430000000011</v>
      </c>
      <c r="AA836" s="69">
        <f>STATS1003B!AA836/1000</f>
        <v>499.00283000000002</v>
      </c>
      <c r="AB836" s="69">
        <f>STATS1003B!AB836/1000</f>
        <v>0</v>
      </c>
    </row>
    <row r="837" spans="1:28" hidden="1" x14ac:dyDescent="0.3">
      <c r="A837" s="117"/>
      <c r="C837" s="93" t="s">
        <v>1128</v>
      </c>
      <c r="D837" s="90" t="s">
        <v>1126</v>
      </c>
      <c r="E837" s="85">
        <f>STATS1003B!E837/1000</f>
        <v>500</v>
      </c>
      <c r="F837" s="85">
        <f>STATS1003B!F837/1000</f>
        <v>500</v>
      </c>
      <c r="G837" s="85">
        <f>STATS1003B!G837/1000</f>
        <v>0</v>
      </c>
      <c r="H837" s="85">
        <f>STATS1003B!H837/1000</f>
        <v>500</v>
      </c>
      <c r="I837" s="85">
        <f>STATS1003B!I837/1000</f>
        <v>0</v>
      </c>
      <c r="J837" s="85">
        <f>STATS1003B!J837/1000</f>
        <v>500</v>
      </c>
      <c r="K837" s="85">
        <f>STATS1003B!K837/1000</f>
        <v>0</v>
      </c>
      <c r="L837" s="85">
        <f>STATS1003B!L837/1000</f>
        <v>0</v>
      </c>
      <c r="M837" s="85">
        <f>STATS1003B!M837/1000</f>
        <v>500</v>
      </c>
      <c r="N837" s="85">
        <f>STATS1003B!N837/1000</f>
        <v>0</v>
      </c>
      <c r="O837" s="85">
        <f>STATS1003B!O837/1000</f>
        <v>0</v>
      </c>
      <c r="P837" s="85">
        <f>STATS1003B!P837/1000</f>
        <v>0</v>
      </c>
      <c r="Q837" s="85">
        <f>STATS1003B!Q837/1000</f>
        <v>0</v>
      </c>
      <c r="R837" s="85">
        <f>STATS1003B!R837/1000</f>
        <v>0</v>
      </c>
      <c r="S837" s="85">
        <f>STATS1003B!S837/1000</f>
        <v>0</v>
      </c>
      <c r="T837" s="85">
        <f>STATS1003B!T837/1000</f>
        <v>0</v>
      </c>
      <c r="U837" s="85">
        <f>STATS1003B!U837/1000</f>
        <v>0</v>
      </c>
      <c r="V837" s="85">
        <f>STATS1003B!V837/1000</f>
        <v>500</v>
      </c>
      <c r="W837" s="85">
        <f>STATS1003B!W837/1000</f>
        <v>0</v>
      </c>
      <c r="X837" s="85">
        <f t="shared" ref="X837:X900" si="111">+H837+P837</f>
        <v>500</v>
      </c>
      <c r="Y837" s="85">
        <f>STATS1003B!Y837/1000</f>
        <v>0</v>
      </c>
      <c r="Z837" s="85">
        <f t="shared" si="106"/>
        <v>0</v>
      </c>
      <c r="AA837" s="69">
        <f>STATS1003B!AA837/1000</f>
        <v>500</v>
      </c>
      <c r="AB837" s="69">
        <f>STATS1003B!AB837/1000</f>
        <v>0</v>
      </c>
    </row>
    <row r="838" spans="1:28" hidden="1" x14ac:dyDescent="0.3">
      <c r="A838" s="117"/>
      <c r="C838" s="68" t="s">
        <v>933</v>
      </c>
      <c r="D838" s="90" t="s">
        <v>1072</v>
      </c>
      <c r="E838" s="85">
        <f>STATS1003B!E838/1000</f>
        <v>3882.5036399999999</v>
      </c>
      <c r="F838" s="85">
        <f>STATS1003B!F838/1000</f>
        <v>3882.5036399999999</v>
      </c>
      <c r="G838" s="85">
        <f>STATS1003B!G838/1000</f>
        <v>0</v>
      </c>
      <c r="H838" s="85">
        <f>STATS1003B!H838/1000</f>
        <v>3882.5036399999999</v>
      </c>
      <c r="I838" s="85">
        <f>STATS1003B!I838/1000</f>
        <v>0</v>
      </c>
      <c r="J838" s="85">
        <f>STATS1003B!J838/1000</f>
        <v>0</v>
      </c>
      <c r="K838" s="85">
        <f>STATS1003B!K838/1000</f>
        <v>0</v>
      </c>
      <c r="L838" s="85">
        <f>STATS1003B!L838/1000</f>
        <v>0</v>
      </c>
      <c r="M838" s="85">
        <f>STATS1003B!M838/1000</f>
        <v>3882.5036399999999</v>
      </c>
      <c r="N838" s="85">
        <f>STATS1003B!N838/1000</f>
        <v>0</v>
      </c>
      <c r="O838" s="85">
        <f>STATS1003B!O838/1000</f>
        <v>0</v>
      </c>
      <c r="P838" s="85">
        <f>STATS1003B!P838/1000</f>
        <v>0</v>
      </c>
      <c r="Q838" s="85">
        <f>STATS1003B!Q838/1000</f>
        <v>0</v>
      </c>
      <c r="R838" s="85">
        <f>STATS1003B!R838/1000</f>
        <v>0</v>
      </c>
      <c r="S838" s="85">
        <f>STATS1003B!S838/1000</f>
        <v>0</v>
      </c>
      <c r="T838" s="85">
        <f>STATS1003B!T838/1000</f>
        <v>0</v>
      </c>
      <c r="U838" s="85">
        <f>STATS1003B!U838/1000</f>
        <v>0</v>
      </c>
      <c r="V838" s="85">
        <f>STATS1003B!V838/1000</f>
        <v>0</v>
      </c>
      <c r="W838" s="85">
        <f>STATS1003B!W838/1000</f>
        <v>0</v>
      </c>
      <c r="X838" s="85">
        <f t="shared" si="111"/>
        <v>3882.5036399999999</v>
      </c>
      <c r="Y838" s="85">
        <f>STATS1003B!Y838/1000</f>
        <v>0</v>
      </c>
      <c r="Z838" s="85">
        <f t="shared" si="106"/>
        <v>0</v>
      </c>
      <c r="AA838" s="69">
        <f>STATS1003B!AA838/1000</f>
        <v>3882.5036399999999</v>
      </c>
      <c r="AB838" s="69">
        <f>STATS1003B!AB838/1000</f>
        <v>0</v>
      </c>
    </row>
    <row r="839" spans="1:28" hidden="1" x14ac:dyDescent="0.3">
      <c r="A839" s="117"/>
      <c r="C839" s="68" t="s">
        <v>1203</v>
      </c>
      <c r="D839" s="90" t="s">
        <v>1126</v>
      </c>
      <c r="E839" s="85">
        <f>STATS1003B!E839/1000</f>
        <v>4238.4456799999998</v>
      </c>
      <c r="F839" s="85">
        <f>STATS1003B!F839/1000</f>
        <v>4238.4456799999998</v>
      </c>
      <c r="G839" s="85">
        <f>STATS1003B!G839/1000</f>
        <v>0</v>
      </c>
      <c r="H839" s="85">
        <f>STATS1003B!H839/1000</f>
        <v>4238.4456799999998</v>
      </c>
      <c r="I839" s="85">
        <f>STATS1003B!I839/1000</f>
        <v>0</v>
      </c>
      <c r="J839" s="85">
        <f>STATS1003B!J839/1000</f>
        <v>0</v>
      </c>
      <c r="K839" s="85">
        <f>STATS1003B!K839/1000</f>
        <v>0</v>
      </c>
      <c r="L839" s="85">
        <f>STATS1003B!L839/1000</f>
        <v>0</v>
      </c>
      <c r="M839" s="85">
        <f>STATS1003B!M839/1000</f>
        <v>4238.4456799999998</v>
      </c>
      <c r="N839" s="85">
        <f>STATS1003B!N839/1000</f>
        <v>0</v>
      </c>
      <c r="O839" s="85">
        <f>STATS1003B!O839/1000</f>
        <v>0</v>
      </c>
      <c r="P839" s="85">
        <f>STATS1003B!P839/1000</f>
        <v>0</v>
      </c>
      <c r="Q839" s="85">
        <f>STATS1003B!Q839/1000</f>
        <v>0</v>
      </c>
      <c r="R839" s="85">
        <f>STATS1003B!R839/1000</f>
        <v>0</v>
      </c>
      <c r="S839" s="85">
        <f>STATS1003B!S839/1000</f>
        <v>0</v>
      </c>
      <c r="T839" s="85">
        <f>STATS1003B!T839/1000</f>
        <v>0</v>
      </c>
      <c r="U839" s="85">
        <f>STATS1003B!U839/1000</f>
        <v>0</v>
      </c>
      <c r="V839" s="85">
        <f>STATS1003B!V839/1000</f>
        <v>0</v>
      </c>
      <c r="W839" s="85">
        <f>STATS1003B!W839/1000</f>
        <v>0</v>
      </c>
      <c r="X839" s="85">
        <f t="shared" si="111"/>
        <v>4238.4456799999998</v>
      </c>
      <c r="Y839" s="85">
        <f>STATS1003B!Y839/1000</f>
        <v>0</v>
      </c>
      <c r="Z839" s="85">
        <f t="shared" si="106"/>
        <v>0</v>
      </c>
      <c r="AA839" s="69">
        <f>STATS1003B!AA839/1000</f>
        <v>4238.4456799999998</v>
      </c>
      <c r="AB839" s="69">
        <f>STATS1003B!AB839/1000</f>
        <v>0</v>
      </c>
    </row>
    <row r="840" spans="1:28" hidden="1" x14ac:dyDescent="0.3">
      <c r="A840" s="117"/>
      <c r="C840" s="68" t="s">
        <v>598</v>
      </c>
      <c r="E840" s="85">
        <f>STATS1003B!E840/1000</f>
        <v>798.72</v>
      </c>
      <c r="F840" s="85">
        <f>STATS1003B!F840/1000</f>
        <v>798.72</v>
      </c>
      <c r="G840" s="85">
        <f>STATS1003B!G840/1000</f>
        <v>0</v>
      </c>
      <c r="H840" s="85">
        <f>STATS1003B!H840/1000</f>
        <v>798.72</v>
      </c>
      <c r="I840" s="85">
        <f>STATS1003B!I840/1000</f>
        <v>0</v>
      </c>
      <c r="J840" s="85">
        <f>STATS1003B!J840/1000</f>
        <v>798.72</v>
      </c>
      <c r="K840" s="85">
        <f>STATS1003B!K840/1000</f>
        <v>0</v>
      </c>
      <c r="L840" s="85">
        <f>STATS1003B!L840/1000</f>
        <v>0</v>
      </c>
      <c r="M840" s="85">
        <f>STATS1003B!M840/1000</f>
        <v>798.72</v>
      </c>
      <c r="N840" s="85">
        <f>STATS1003B!N840/1000</f>
        <v>0</v>
      </c>
      <c r="O840" s="85">
        <f>STATS1003B!O840/1000</f>
        <v>0</v>
      </c>
      <c r="P840" s="85">
        <f>STATS1003B!P840/1000</f>
        <v>0</v>
      </c>
      <c r="Q840" s="85">
        <f>STATS1003B!Q840/1000</f>
        <v>798.72</v>
      </c>
      <c r="R840" s="85">
        <f>STATS1003B!R840/1000</f>
        <v>0</v>
      </c>
      <c r="S840" s="85">
        <f>STATS1003B!S840/1000</f>
        <v>0</v>
      </c>
      <c r="T840" s="85">
        <f>STATS1003B!T840/1000</f>
        <v>0</v>
      </c>
      <c r="U840" s="85">
        <f>STATS1003B!U840/1000</f>
        <v>0</v>
      </c>
      <c r="V840" s="85">
        <f>STATS1003B!V840/1000</f>
        <v>798.72</v>
      </c>
      <c r="W840" s="85">
        <f>STATS1003B!W840/1000</f>
        <v>0</v>
      </c>
      <c r="X840" s="85">
        <f t="shared" si="111"/>
        <v>798.72</v>
      </c>
      <c r="Y840" s="85">
        <f>STATS1003B!Y840/1000</f>
        <v>0</v>
      </c>
      <c r="Z840" s="85">
        <f t="shared" si="106"/>
        <v>0</v>
      </c>
      <c r="AA840" s="69">
        <f>STATS1003B!AA840/1000</f>
        <v>798.72</v>
      </c>
      <c r="AB840" s="69">
        <f>STATS1003B!AB840/1000</f>
        <v>0</v>
      </c>
    </row>
    <row r="841" spans="1:28" hidden="1" x14ac:dyDescent="0.3">
      <c r="A841" s="117"/>
      <c r="C841" s="68" t="s">
        <v>550</v>
      </c>
      <c r="E841" s="85">
        <f>STATS1003B!E841/1000</f>
        <v>83.548000000000002</v>
      </c>
      <c r="F841" s="85">
        <f>STATS1003B!F841/1000</f>
        <v>83.548000000000002</v>
      </c>
      <c r="G841" s="85">
        <f>STATS1003B!G841/1000</f>
        <v>0</v>
      </c>
      <c r="H841" s="85">
        <f>STATS1003B!H841/1000</f>
        <v>83.548000000000002</v>
      </c>
      <c r="I841" s="85">
        <f>STATS1003B!I841/1000</f>
        <v>0</v>
      </c>
      <c r="J841" s="85">
        <f>STATS1003B!J841/1000</f>
        <v>83.548000000000002</v>
      </c>
      <c r="K841" s="85">
        <f>STATS1003B!K841/1000</f>
        <v>0</v>
      </c>
      <c r="L841" s="85">
        <f>STATS1003B!L841/1000</f>
        <v>0</v>
      </c>
      <c r="M841" s="85">
        <f>STATS1003B!M841/1000</f>
        <v>83.548000000000002</v>
      </c>
      <c r="N841" s="85">
        <f>STATS1003B!N841/1000</f>
        <v>0</v>
      </c>
      <c r="O841" s="85">
        <f>STATS1003B!O841/1000</f>
        <v>0</v>
      </c>
      <c r="P841" s="85">
        <f>STATS1003B!P841/1000</f>
        <v>0</v>
      </c>
      <c r="Q841" s="85">
        <f>STATS1003B!Q841/1000</f>
        <v>83.548000000000002</v>
      </c>
      <c r="R841" s="85">
        <f>STATS1003B!R841/1000</f>
        <v>0</v>
      </c>
      <c r="S841" s="85">
        <f>STATS1003B!S841/1000</f>
        <v>0</v>
      </c>
      <c r="T841" s="85">
        <f>STATS1003B!T841/1000</f>
        <v>0</v>
      </c>
      <c r="U841" s="85">
        <f>STATS1003B!U841/1000</f>
        <v>0</v>
      </c>
      <c r="V841" s="85">
        <f>STATS1003B!V841/1000</f>
        <v>83.548000000000002</v>
      </c>
      <c r="W841" s="85">
        <f>STATS1003B!W841/1000</f>
        <v>0</v>
      </c>
      <c r="X841" s="85">
        <f t="shared" si="111"/>
        <v>83.548000000000002</v>
      </c>
      <c r="Y841" s="85">
        <f>STATS1003B!Y841/1000</f>
        <v>0</v>
      </c>
      <c r="Z841" s="85">
        <f t="shared" si="106"/>
        <v>0</v>
      </c>
      <c r="AA841" s="69">
        <f>STATS1003B!AA841/1000</f>
        <v>83.548000000000002</v>
      </c>
      <c r="AB841" s="69">
        <f>STATS1003B!AB841/1000</f>
        <v>0</v>
      </c>
    </row>
    <row r="842" spans="1:28" hidden="1" x14ac:dyDescent="0.3">
      <c r="A842" s="117"/>
      <c r="C842" s="68" t="s">
        <v>606</v>
      </c>
      <c r="E842" s="85">
        <f>STATS1003B!E842/1000</f>
        <v>2500</v>
      </c>
      <c r="F842" s="85">
        <f>STATS1003B!F842/1000</f>
        <v>2500</v>
      </c>
      <c r="G842" s="85">
        <f>STATS1003B!G842/1000</f>
        <v>0</v>
      </c>
      <c r="H842" s="85">
        <f>STATS1003B!H842/1000</f>
        <v>2500</v>
      </c>
      <c r="I842" s="85">
        <f>STATS1003B!I842/1000</f>
        <v>0</v>
      </c>
      <c r="J842" s="85">
        <f>STATS1003B!J842/1000</f>
        <v>2500</v>
      </c>
      <c r="K842" s="85">
        <f>STATS1003B!K842/1000</f>
        <v>0</v>
      </c>
      <c r="L842" s="85">
        <f>STATS1003B!L842/1000</f>
        <v>0</v>
      </c>
      <c r="M842" s="85">
        <f>STATS1003B!M842/1000</f>
        <v>2500</v>
      </c>
      <c r="N842" s="85">
        <f>STATS1003B!N842/1000</f>
        <v>0</v>
      </c>
      <c r="O842" s="85">
        <f>STATS1003B!O842/1000</f>
        <v>0</v>
      </c>
      <c r="P842" s="85">
        <f>STATS1003B!P842/1000</f>
        <v>0</v>
      </c>
      <c r="Q842" s="85">
        <f>STATS1003B!Q842/1000</f>
        <v>2500</v>
      </c>
      <c r="R842" s="85">
        <f>STATS1003B!R842/1000</f>
        <v>0</v>
      </c>
      <c r="S842" s="85">
        <f>STATS1003B!S842/1000</f>
        <v>0</v>
      </c>
      <c r="T842" s="85">
        <f>STATS1003B!T842/1000</f>
        <v>0</v>
      </c>
      <c r="U842" s="85">
        <f>STATS1003B!U842/1000</f>
        <v>0</v>
      </c>
      <c r="V842" s="85">
        <f>STATS1003B!V842/1000</f>
        <v>2500</v>
      </c>
      <c r="W842" s="85">
        <f>STATS1003B!W842/1000</f>
        <v>0</v>
      </c>
      <c r="X842" s="85">
        <f t="shared" si="111"/>
        <v>2500</v>
      </c>
      <c r="Y842" s="85">
        <f>STATS1003B!Y842/1000</f>
        <v>0</v>
      </c>
      <c r="Z842" s="85">
        <f t="shared" si="106"/>
        <v>0</v>
      </c>
      <c r="AA842" s="69">
        <f>STATS1003B!AA842/1000</f>
        <v>2500</v>
      </c>
      <c r="AB842" s="69">
        <f>STATS1003B!AB842/1000</f>
        <v>0</v>
      </c>
    </row>
    <row r="843" spans="1:28" hidden="1" x14ac:dyDescent="0.3">
      <c r="A843" s="117"/>
      <c r="E843" s="86" t="s">
        <v>29</v>
      </c>
      <c r="F843" s="86" t="s">
        <v>29</v>
      </c>
      <c r="G843" s="86" t="s">
        <v>29</v>
      </c>
      <c r="H843" s="86" t="s">
        <v>29</v>
      </c>
      <c r="I843" s="86" t="s">
        <v>29</v>
      </c>
      <c r="J843" s="86" t="s">
        <v>29</v>
      </c>
      <c r="K843" s="86" t="s">
        <v>29</v>
      </c>
      <c r="L843" s="86" t="s">
        <v>29</v>
      </c>
      <c r="M843" s="86" t="s">
        <v>29</v>
      </c>
      <c r="N843" s="86" t="s">
        <v>29</v>
      </c>
      <c r="O843" s="86" t="s">
        <v>29</v>
      </c>
      <c r="P843" s="86" t="s">
        <v>29</v>
      </c>
      <c r="Q843" s="86" t="s">
        <v>29</v>
      </c>
      <c r="R843" s="86" t="s">
        <v>29</v>
      </c>
      <c r="S843" s="86" t="s">
        <v>29</v>
      </c>
      <c r="T843" s="86" t="s">
        <v>29</v>
      </c>
      <c r="U843" s="86" t="s">
        <v>29</v>
      </c>
      <c r="V843" s="86" t="s">
        <v>29</v>
      </c>
      <c r="W843" s="86" t="s">
        <v>29</v>
      </c>
      <c r="X843" s="85" t="e">
        <f t="shared" si="111"/>
        <v>#VALUE!</v>
      </c>
      <c r="Y843" s="86" t="s">
        <v>29</v>
      </c>
      <c r="Z843" s="85" t="e">
        <f t="shared" si="106"/>
        <v>#VALUE!</v>
      </c>
      <c r="AA843" s="115" t="s">
        <v>29</v>
      </c>
      <c r="AB843" s="115" t="s">
        <v>29</v>
      </c>
    </row>
    <row r="844" spans="1:28" x14ac:dyDescent="0.3">
      <c r="A844" s="116">
        <v>40</v>
      </c>
      <c r="B844" s="68" t="s">
        <v>644</v>
      </c>
      <c r="E844" s="85">
        <f>182596684.13/1000</f>
        <v>182596.68413000001</v>
      </c>
      <c r="F844" s="85">
        <f t="shared" ref="F844:Q844" si="112">SUM(F826:F843)</f>
        <v>30107.819480000002</v>
      </c>
      <c r="G844" s="85">
        <f t="shared" si="112"/>
        <v>0</v>
      </c>
      <c r="H844" s="85">
        <f>177524255.2/1000</f>
        <v>177524.25519999999</v>
      </c>
      <c r="I844" s="85">
        <f t="shared" si="112"/>
        <v>0</v>
      </c>
      <c r="J844" s="85">
        <f t="shared" si="112"/>
        <v>21986.870160000002</v>
      </c>
      <c r="K844" s="85">
        <f t="shared" si="112"/>
        <v>5054.4965000000002</v>
      </c>
      <c r="L844" s="85">
        <f t="shared" si="112"/>
        <v>0</v>
      </c>
      <c r="M844" s="85">
        <f t="shared" si="112"/>
        <v>30107.819480000002</v>
      </c>
      <c r="N844" s="85">
        <f t="shared" si="112"/>
        <v>5054.4965000000002</v>
      </c>
      <c r="O844" s="85">
        <f t="shared" si="112"/>
        <v>0</v>
      </c>
      <c r="P844" s="85">
        <f>5054496/1000</f>
        <v>5054.4960000000001</v>
      </c>
      <c r="Q844" s="85">
        <f t="shared" si="112"/>
        <v>21504.802590000003</v>
      </c>
      <c r="R844" s="86"/>
      <c r="S844" s="86"/>
      <c r="T844" s="85">
        <f t="shared" ref="T844:Y844" si="113">SUM(T826:T843)</f>
        <v>17.93243</v>
      </c>
      <c r="U844" s="85">
        <f t="shared" si="113"/>
        <v>5072.42893</v>
      </c>
      <c r="V844" s="85">
        <f t="shared" si="113"/>
        <v>27041.366660000003</v>
      </c>
      <c r="W844" s="85">
        <f t="shared" si="113"/>
        <v>17.932429999999993</v>
      </c>
      <c r="X844" s="85">
        <f>+H844+P844</f>
        <v>182578.7512</v>
      </c>
      <c r="Y844" s="85">
        <f t="shared" si="113"/>
        <v>0</v>
      </c>
      <c r="Z844" s="85">
        <f t="shared" si="106"/>
        <v>17.932930000009947</v>
      </c>
      <c r="AA844" s="69">
        <f>SUM(AA826:AA843)</f>
        <v>35180.24841</v>
      </c>
      <c r="AB844" s="69">
        <f>SUM(AB826:AB843)</f>
        <v>0</v>
      </c>
    </row>
    <row r="845" spans="1:28" hidden="1" x14ac:dyDescent="0.3">
      <c r="A845" s="117"/>
      <c r="E845" s="86" t="s">
        <v>29</v>
      </c>
      <c r="F845" s="86" t="s">
        <v>29</v>
      </c>
      <c r="G845" s="86" t="s">
        <v>29</v>
      </c>
      <c r="H845" s="86" t="s">
        <v>29</v>
      </c>
      <c r="I845" s="86" t="s">
        <v>29</v>
      </c>
      <c r="J845" s="86" t="s">
        <v>29</v>
      </c>
      <c r="K845" s="86" t="s">
        <v>29</v>
      </c>
      <c r="L845" s="86" t="s">
        <v>29</v>
      </c>
      <c r="M845" s="86" t="s">
        <v>29</v>
      </c>
      <c r="N845" s="86" t="s">
        <v>29</v>
      </c>
      <c r="O845" s="86" t="s">
        <v>29</v>
      </c>
      <c r="P845" s="86" t="s">
        <v>29</v>
      </c>
      <c r="Q845" s="86" t="s">
        <v>29</v>
      </c>
      <c r="R845" s="86" t="s">
        <v>29</v>
      </c>
      <c r="S845" s="86" t="s">
        <v>29</v>
      </c>
      <c r="T845" s="86" t="s">
        <v>29</v>
      </c>
      <c r="U845" s="86" t="s">
        <v>29</v>
      </c>
      <c r="V845" s="86" t="s">
        <v>29</v>
      </c>
      <c r="W845" s="86" t="s">
        <v>29</v>
      </c>
      <c r="X845" s="85" t="e">
        <f t="shared" si="111"/>
        <v>#VALUE!</v>
      </c>
      <c r="Y845" s="86" t="s">
        <v>29</v>
      </c>
      <c r="Z845" s="85" t="e">
        <f t="shared" si="106"/>
        <v>#VALUE!</v>
      </c>
      <c r="AA845" s="115" t="s">
        <v>29</v>
      </c>
      <c r="AB845" s="115" t="s">
        <v>29</v>
      </c>
    </row>
    <row r="846" spans="1:28" hidden="1" x14ac:dyDescent="0.3">
      <c r="A846" s="105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6"/>
      <c r="S846" s="86"/>
      <c r="T846" s="86"/>
      <c r="U846" s="86"/>
      <c r="V846" s="86"/>
      <c r="W846" s="86"/>
      <c r="X846" s="85">
        <f t="shared" si="111"/>
        <v>0</v>
      </c>
      <c r="Y846" s="86"/>
      <c r="Z846" s="85">
        <f t="shared" si="106"/>
        <v>0</v>
      </c>
      <c r="AA846" s="118"/>
    </row>
    <row r="847" spans="1:28" hidden="1" x14ac:dyDescent="0.3">
      <c r="A847" s="117"/>
      <c r="C847" s="71" t="s">
        <v>648</v>
      </c>
      <c r="D847" s="88" t="s">
        <v>649</v>
      </c>
      <c r="E847" s="85">
        <f>STATS1003B!E847/1000</f>
        <v>195.54189000000002</v>
      </c>
      <c r="F847" s="85">
        <f>STATS1003B!F847/1000</f>
        <v>195.54189000000002</v>
      </c>
      <c r="G847" s="85">
        <f>STATS1003B!G847/1000</f>
        <v>0</v>
      </c>
      <c r="H847" s="85">
        <f>STATS1003B!H847/1000</f>
        <v>195.54189000000002</v>
      </c>
      <c r="I847" s="85">
        <f>STATS1003B!I847/1000</f>
        <v>0</v>
      </c>
      <c r="J847" s="85">
        <f>STATS1003B!J847/1000</f>
        <v>195.54189000000002</v>
      </c>
      <c r="K847" s="85">
        <f>STATS1003B!K847/1000</f>
        <v>0</v>
      </c>
      <c r="L847" s="85">
        <f>STATS1003B!L847/1000</f>
        <v>0</v>
      </c>
      <c r="M847" s="85">
        <f>STATS1003B!M847/1000</f>
        <v>195.54189000000002</v>
      </c>
      <c r="N847" s="85">
        <f>STATS1003B!N847/1000</f>
        <v>0</v>
      </c>
      <c r="O847" s="85">
        <f>STATS1003B!O847/1000</f>
        <v>0</v>
      </c>
      <c r="P847" s="85">
        <f>STATS1003B!P847/1000</f>
        <v>0</v>
      </c>
      <c r="Q847" s="85">
        <f>STATS1003B!Q847/1000</f>
        <v>195.54189000000002</v>
      </c>
      <c r="R847" s="85">
        <f>STATS1003B!R847/1000</f>
        <v>0</v>
      </c>
      <c r="S847" s="85">
        <f>STATS1003B!S847/1000</f>
        <v>0</v>
      </c>
      <c r="T847" s="85">
        <f>STATS1003B!T847/1000</f>
        <v>0</v>
      </c>
      <c r="U847" s="85">
        <f>STATS1003B!U847/1000</f>
        <v>0</v>
      </c>
      <c r="V847" s="85">
        <f>STATS1003B!V847/1000</f>
        <v>195.54189000000002</v>
      </c>
      <c r="W847" s="85">
        <f>STATS1003B!W847/1000</f>
        <v>0</v>
      </c>
      <c r="X847" s="85">
        <f t="shared" si="111"/>
        <v>195.54189000000002</v>
      </c>
      <c r="Y847" s="85">
        <f>STATS1003B!Y847/1000</f>
        <v>0</v>
      </c>
      <c r="Z847" s="85">
        <f t="shared" si="106"/>
        <v>0</v>
      </c>
      <c r="AA847" s="69">
        <f>STATS1003B!AA847/1000</f>
        <v>195.54189000000002</v>
      </c>
      <c r="AB847" s="69">
        <f>STATS1003B!AB847/1000</f>
        <v>0</v>
      </c>
    </row>
    <row r="848" spans="1:28" hidden="1" x14ac:dyDescent="0.3">
      <c r="A848" s="117"/>
      <c r="C848" s="68" t="s">
        <v>535</v>
      </c>
      <c r="D848" s="87" t="s">
        <v>68</v>
      </c>
      <c r="E848" s="85">
        <f>STATS1003B!E848/1000</f>
        <v>406.56723999999997</v>
      </c>
      <c r="F848" s="85">
        <f>STATS1003B!F848/1000</f>
        <v>382.94600000000003</v>
      </c>
      <c r="G848" s="85">
        <f>STATS1003B!G848/1000</f>
        <v>0</v>
      </c>
      <c r="H848" s="85">
        <f>STATS1003B!H848/1000</f>
        <v>382.94600000000003</v>
      </c>
      <c r="I848" s="85">
        <f>STATS1003B!I848/1000</f>
        <v>0</v>
      </c>
      <c r="J848" s="85">
        <f>STATS1003B!J848/1000</f>
        <v>382.94600000000003</v>
      </c>
      <c r="K848" s="85">
        <f>STATS1003B!K848/1000</f>
        <v>23.62124</v>
      </c>
      <c r="L848" s="85">
        <f>STATS1003B!L848/1000</f>
        <v>0</v>
      </c>
      <c r="M848" s="85">
        <f>STATS1003B!M848/1000</f>
        <v>382.94600000000003</v>
      </c>
      <c r="N848" s="85">
        <f>STATS1003B!N848/1000</f>
        <v>23.62124</v>
      </c>
      <c r="O848" s="85">
        <f>STATS1003B!O848/1000</f>
        <v>0</v>
      </c>
      <c r="P848" s="85">
        <f>STATS1003B!P848/1000</f>
        <v>23.62124</v>
      </c>
      <c r="Q848" s="85">
        <f>STATS1003B!Q848/1000</f>
        <v>382.94600000000003</v>
      </c>
      <c r="R848" s="85">
        <f>STATS1003B!R848/1000</f>
        <v>0</v>
      </c>
      <c r="S848" s="85">
        <f>STATS1003B!S848/1000</f>
        <v>0</v>
      </c>
      <c r="T848" s="85">
        <f>STATS1003B!T848/1000</f>
        <v>0</v>
      </c>
      <c r="U848" s="85">
        <f>STATS1003B!U848/1000</f>
        <v>23.62124</v>
      </c>
      <c r="V848" s="85">
        <f>STATS1003B!V848/1000</f>
        <v>406.56723999999997</v>
      </c>
      <c r="W848" s="85">
        <f>STATS1003B!W848/1000</f>
        <v>0</v>
      </c>
      <c r="X848" s="85">
        <f t="shared" si="111"/>
        <v>406.56724000000003</v>
      </c>
      <c r="Y848" s="85">
        <f>STATS1003B!Y848/1000</f>
        <v>0</v>
      </c>
      <c r="Z848" s="85">
        <f t="shared" si="106"/>
        <v>0</v>
      </c>
      <c r="AA848" s="69">
        <f>STATS1003B!AA848/1000</f>
        <v>406.56723999999997</v>
      </c>
      <c r="AB848" s="69">
        <f>STATS1003B!AB848/1000</f>
        <v>0</v>
      </c>
    </row>
    <row r="849" spans="1:28" hidden="1" x14ac:dyDescent="0.3">
      <c r="A849" s="117"/>
      <c r="C849" s="68" t="s">
        <v>539</v>
      </c>
      <c r="D849" s="87" t="s">
        <v>68</v>
      </c>
      <c r="E849" s="85">
        <f>STATS1003B!E849/1000</f>
        <v>4422.0830999999998</v>
      </c>
      <c r="F849" s="85">
        <f>STATS1003B!F849/1000</f>
        <v>0</v>
      </c>
      <c r="G849" s="85">
        <f>STATS1003B!G849/1000</f>
        <v>0</v>
      </c>
      <c r="H849" s="85">
        <f>STATS1003B!H849/1000</f>
        <v>0</v>
      </c>
      <c r="I849" s="85">
        <f>STATS1003B!I849/1000</f>
        <v>0</v>
      </c>
      <c r="J849" s="85">
        <f>STATS1003B!J849/1000</f>
        <v>0</v>
      </c>
      <c r="K849" s="85">
        <f>STATS1003B!K849/1000</f>
        <v>4422.0830999999998</v>
      </c>
      <c r="L849" s="85">
        <f>STATS1003B!L849/1000</f>
        <v>0</v>
      </c>
      <c r="M849" s="85">
        <f>STATS1003B!M849/1000</f>
        <v>0</v>
      </c>
      <c r="N849" s="85">
        <f>STATS1003B!N849/1000</f>
        <v>4422.0830999999998</v>
      </c>
      <c r="O849" s="85">
        <f>STATS1003B!O849/1000</f>
        <v>0</v>
      </c>
      <c r="P849" s="85">
        <f>STATS1003B!P849/1000</f>
        <v>4422.0830999999998</v>
      </c>
      <c r="Q849" s="85">
        <f>STATS1003B!Q849/1000</f>
        <v>0</v>
      </c>
      <c r="R849" s="85">
        <f>STATS1003B!R849/1000</f>
        <v>0</v>
      </c>
      <c r="S849" s="85">
        <f>STATS1003B!S849/1000</f>
        <v>0</v>
      </c>
      <c r="T849" s="85">
        <f>STATS1003B!T849/1000</f>
        <v>0</v>
      </c>
      <c r="U849" s="85">
        <f>STATS1003B!U849/1000</f>
        <v>4422.0830999999998</v>
      </c>
      <c r="V849" s="85">
        <f>STATS1003B!V849/1000</f>
        <v>4422.0830999999998</v>
      </c>
      <c r="W849" s="85">
        <f>STATS1003B!W849/1000</f>
        <v>0</v>
      </c>
      <c r="X849" s="85">
        <f t="shared" si="111"/>
        <v>4422.0830999999998</v>
      </c>
      <c r="Y849" s="85">
        <f>STATS1003B!Y849/1000</f>
        <v>0</v>
      </c>
      <c r="Z849" s="85">
        <f t="shared" si="106"/>
        <v>0</v>
      </c>
      <c r="AA849" s="69">
        <f>STATS1003B!AA849/1000</f>
        <v>4422.0830999999998</v>
      </c>
      <c r="AB849" s="69">
        <f>STATS1003B!AB849/1000</f>
        <v>0</v>
      </c>
    </row>
    <row r="850" spans="1:28" hidden="1" x14ac:dyDescent="0.3">
      <c r="A850" s="117"/>
      <c r="C850" s="68" t="s">
        <v>535</v>
      </c>
      <c r="D850" s="87" t="s">
        <v>54</v>
      </c>
      <c r="E850" s="85">
        <f>STATS1003B!E850/1000</f>
        <v>1144</v>
      </c>
      <c r="F850" s="85">
        <f>STATS1003B!F850/1000</f>
        <v>1144</v>
      </c>
      <c r="G850" s="85">
        <f>STATS1003B!G850/1000</f>
        <v>0</v>
      </c>
      <c r="H850" s="85">
        <f>STATS1003B!H850/1000</f>
        <v>1144</v>
      </c>
      <c r="I850" s="85">
        <f>STATS1003B!I850/1000</f>
        <v>0</v>
      </c>
      <c r="J850" s="85">
        <f>STATS1003B!J850/1000</f>
        <v>1144</v>
      </c>
      <c r="K850" s="85">
        <f>STATS1003B!K850/1000</f>
        <v>0</v>
      </c>
      <c r="L850" s="85">
        <f>STATS1003B!L850/1000</f>
        <v>0</v>
      </c>
      <c r="M850" s="85">
        <f>STATS1003B!M850/1000</f>
        <v>1144</v>
      </c>
      <c r="N850" s="85">
        <f>STATS1003B!N850/1000</f>
        <v>0</v>
      </c>
      <c r="O850" s="85">
        <f>STATS1003B!O850/1000</f>
        <v>0</v>
      </c>
      <c r="P850" s="85">
        <f>STATS1003B!P850/1000</f>
        <v>0</v>
      </c>
      <c r="Q850" s="85">
        <f>STATS1003B!Q850/1000</f>
        <v>1144</v>
      </c>
      <c r="R850" s="85">
        <f>STATS1003B!R850/1000</f>
        <v>0</v>
      </c>
      <c r="S850" s="85">
        <f>STATS1003B!S850/1000</f>
        <v>0</v>
      </c>
      <c r="T850" s="85">
        <f>STATS1003B!T850/1000</f>
        <v>0</v>
      </c>
      <c r="U850" s="85">
        <f>STATS1003B!U850/1000</f>
        <v>0</v>
      </c>
      <c r="V850" s="85">
        <f>STATS1003B!V850/1000</f>
        <v>1144</v>
      </c>
      <c r="W850" s="85">
        <f>STATS1003B!W850/1000</f>
        <v>0</v>
      </c>
      <c r="X850" s="85">
        <f t="shared" si="111"/>
        <v>1144</v>
      </c>
      <c r="Y850" s="85">
        <f>STATS1003B!Y850/1000</f>
        <v>0</v>
      </c>
      <c r="Z850" s="85">
        <f t="shared" si="106"/>
        <v>0</v>
      </c>
      <c r="AA850" s="69">
        <f>STATS1003B!AA850/1000</f>
        <v>1144</v>
      </c>
      <c r="AB850" s="69">
        <f>STATS1003B!AB850/1000</f>
        <v>0</v>
      </c>
    </row>
    <row r="851" spans="1:28" hidden="1" x14ac:dyDescent="0.3">
      <c r="A851" s="117"/>
      <c r="C851" s="68" t="s">
        <v>545</v>
      </c>
      <c r="D851" s="87" t="s">
        <v>54</v>
      </c>
      <c r="E851" s="85">
        <f>STATS1003B!E851/1000</f>
        <v>1953.989</v>
      </c>
      <c r="F851" s="85">
        <f>STATS1003B!F851/1000</f>
        <v>0</v>
      </c>
      <c r="G851" s="85">
        <f>STATS1003B!G851/1000</f>
        <v>0</v>
      </c>
      <c r="H851" s="85">
        <f>STATS1003B!H851/1000</f>
        <v>0</v>
      </c>
      <c r="I851" s="85">
        <f>STATS1003B!I851/1000</f>
        <v>0</v>
      </c>
      <c r="J851" s="85">
        <f>STATS1003B!J851/1000</f>
        <v>0</v>
      </c>
      <c r="K851" s="85">
        <f>STATS1003B!K851/1000</f>
        <v>1953.989</v>
      </c>
      <c r="L851" s="85">
        <f>STATS1003B!L851/1000</f>
        <v>0</v>
      </c>
      <c r="M851" s="85">
        <f>STATS1003B!M851/1000</f>
        <v>0</v>
      </c>
      <c r="N851" s="85">
        <f>STATS1003B!N851/1000</f>
        <v>1953.989</v>
      </c>
      <c r="O851" s="85">
        <f>STATS1003B!O851/1000</f>
        <v>0</v>
      </c>
      <c r="P851" s="85">
        <f>STATS1003B!P851/1000</f>
        <v>1953.989</v>
      </c>
      <c r="Q851" s="85">
        <f>STATS1003B!Q851/1000</f>
        <v>0</v>
      </c>
      <c r="R851" s="85">
        <f>STATS1003B!R851/1000</f>
        <v>0</v>
      </c>
      <c r="S851" s="85">
        <f>STATS1003B!S851/1000</f>
        <v>0</v>
      </c>
      <c r="T851" s="85">
        <f>STATS1003B!T851/1000</f>
        <v>0</v>
      </c>
      <c r="U851" s="85">
        <f>STATS1003B!U851/1000</f>
        <v>1953.989</v>
      </c>
      <c r="V851" s="85">
        <f>STATS1003B!V851/1000</f>
        <v>1953.989</v>
      </c>
      <c r="W851" s="85">
        <f>STATS1003B!W851/1000</f>
        <v>0</v>
      </c>
      <c r="X851" s="85">
        <f t="shared" si="111"/>
        <v>1953.989</v>
      </c>
      <c r="Y851" s="85">
        <f>STATS1003B!Y851/1000</f>
        <v>0</v>
      </c>
      <c r="Z851" s="85">
        <f t="shared" si="106"/>
        <v>0</v>
      </c>
      <c r="AA851" s="69">
        <f>STATS1003B!AA851/1000</f>
        <v>1953.989</v>
      </c>
      <c r="AB851" s="69">
        <f>STATS1003B!AB851/1000</f>
        <v>0</v>
      </c>
    </row>
    <row r="852" spans="1:28" hidden="1" x14ac:dyDescent="0.3">
      <c r="A852" s="117"/>
      <c r="C852" s="68" t="s">
        <v>535</v>
      </c>
      <c r="D852" s="87" t="s">
        <v>85</v>
      </c>
      <c r="E852" s="85">
        <f>STATS1003B!E852/1000</f>
        <v>2000</v>
      </c>
      <c r="F852" s="85">
        <f>STATS1003B!F852/1000</f>
        <v>2000</v>
      </c>
      <c r="G852" s="85">
        <f>STATS1003B!G852/1000</f>
        <v>0</v>
      </c>
      <c r="H852" s="85">
        <f>STATS1003B!H852/1000</f>
        <v>2000</v>
      </c>
      <c r="I852" s="85">
        <f>STATS1003B!I852/1000</f>
        <v>0</v>
      </c>
      <c r="J852" s="85">
        <f>STATS1003B!J852/1000</f>
        <v>2000</v>
      </c>
      <c r="K852" s="85">
        <f>STATS1003B!K852/1000</f>
        <v>0</v>
      </c>
      <c r="L852" s="85">
        <f>STATS1003B!L852/1000</f>
        <v>0</v>
      </c>
      <c r="M852" s="85">
        <f>STATS1003B!M852/1000</f>
        <v>2000</v>
      </c>
      <c r="N852" s="85">
        <f>STATS1003B!N852/1000</f>
        <v>0</v>
      </c>
      <c r="O852" s="85">
        <f>STATS1003B!O852/1000</f>
        <v>0</v>
      </c>
      <c r="P852" s="85">
        <f>STATS1003B!P852/1000</f>
        <v>0</v>
      </c>
      <c r="Q852" s="85">
        <f>STATS1003B!Q852/1000</f>
        <v>2000</v>
      </c>
      <c r="R852" s="85">
        <f>STATS1003B!R852/1000</f>
        <v>0</v>
      </c>
      <c r="S852" s="85">
        <f>STATS1003B!S852/1000</f>
        <v>0</v>
      </c>
      <c r="T852" s="85">
        <f>STATS1003B!T852/1000</f>
        <v>0</v>
      </c>
      <c r="U852" s="85">
        <f>STATS1003B!U852/1000</f>
        <v>0</v>
      </c>
      <c r="V852" s="85">
        <f>STATS1003B!V852/1000</f>
        <v>2000</v>
      </c>
      <c r="W852" s="85">
        <f>STATS1003B!W852/1000</f>
        <v>0</v>
      </c>
      <c r="X852" s="85">
        <f t="shared" si="111"/>
        <v>2000</v>
      </c>
      <c r="Y852" s="85">
        <f>STATS1003B!Y852/1000</f>
        <v>0</v>
      </c>
      <c r="Z852" s="85">
        <f t="shared" si="106"/>
        <v>0</v>
      </c>
      <c r="AA852" s="69">
        <f>STATS1003B!AA852/1000</f>
        <v>2000</v>
      </c>
      <c r="AB852" s="69">
        <f>STATS1003B!AB852/1000</f>
        <v>0</v>
      </c>
    </row>
    <row r="853" spans="1:28" hidden="1" x14ac:dyDescent="0.3">
      <c r="A853" s="117"/>
      <c r="C853" s="68" t="s">
        <v>650</v>
      </c>
      <c r="D853" s="87" t="s">
        <v>85</v>
      </c>
      <c r="E853" s="85">
        <f>STATS1003B!E853/1000</f>
        <v>188.98500000000001</v>
      </c>
      <c r="F853" s="85">
        <f>STATS1003B!F853/1000</f>
        <v>188.98500000000001</v>
      </c>
      <c r="G853" s="85">
        <f>STATS1003B!G853/1000</f>
        <v>0</v>
      </c>
      <c r="H853" s="85">
        <f>STATS1003B!H853/1000</f>
        <v>188.98500000000001</v>
      </c>
      <c r="I853" s="85">
        <f>STATS1003B!I853/1000</f>
        <v>0</v>
      </c>
      <c r="J853" s="85">
        <f>STATS1003B!J853/1000</f>
        <v>188.98500000000001</v>
      </c>
      <c r="K853" s="85">
        <f>STATS1003B!K853/1000</f>
        <v>0</v>
      </c>
      <c r="L853" s="85">
        <f>STATS1003B!L853/1000</f>
        <v>0</v>
      </c>
      <c r="M853" s="85">
        <f>STATS1003B!M853/1000</f>
        <v>188.98500000000001</v>
      </c>
      <c r="N853" s="85">
        <f>STATS1003B!N853/1000</f>
        <v>0</v>
      </c>
      <c r="O853" s="85">
        <f>STATS1003B!O853/1000</f>
        <v>0</v>
      </c>
      <c r="P853" s="85">
        <f>STATS1003B!P853/1000</f>
        <v>0</v>
      </c>
      <c r="Q853" s="85">
        <f>STATS1003B!Q853/1000</f>
        <v>188.98500000000001</v>
      </c>
      <c r="R853" s="85">
        <f>STATS1003B!R853/1000</f>
        <v>0</v>
      </c>
      <c r="S853" s="85">
        <f>STATS1003B!S853/1000</f>
        <v>0</v>
      </c>
      <c r="T853" s="85">
        <f>STATS1003B!T853/1000</f>
        <v>0</v>
      </c>
      <c r="U853" s="85">
        <f>STATS1003B!U853/1000</f>
        <v>0</v>
      </c>
      <c r="V853" s="85">
        <f>STATS1003B!V853/1000</f>
        <v>188.98500000000001</v>
      </c>
      <c r="W853" s="85">
        <f>STATS1003B!W853/1000</f>
        <v>0</v>
      </c>
      <c r="X853" s="85">
        <f t="shared" si="111"/>
        <v>188.98500000000001</v>
      </c>
      <c r="Y853" s="85">
        <f>STATS1003B!Y853/1000</f>
        <v>0</v>
      </c>
      <c r="Z853" s="85">
        <f t="shared" ref="Z853:Z916" si="114">+E853-X853</f>
        <v>0</v>
      </c>
      <c r="AA853" s="69">
        <f>STATS1003B!AA853/1000</f>
        <v>188.98500000000001</v>
      </c>
      <c r="AB853" s="69">
        <f>STATS1003B!AB853/1000</f>
        <v>0</v>
      </c>
    </row>
    <row r="854" spans="1:28" hidden="1" x14ac:dyDescent="0.3">
      <c r="A854" s="117"/>
      <c r="C854" s="68" t="s">
        <v>651</v>
      </c>
      <c r="D854" s="87" t="s">
        <v>128</v>
      </c>
      <c r="E854" s="85">
        <f>STATS1003B!E854/1000</f>
        <v>619.62400000000002</v>
      </c>
      <c r="F854" s="85">
        <f>STATS1003B!F854/1000</f>
        <v>619.62400000000002</v>
      </c>
      <c r="G854" s="85">
        <f>STATS1003B!G854/1000</f>
        <v>0</v>
      </c>
      <c r="H854" s="85">
        <f>STATS1003B!H854/1000</f>
        <v>619.62400000000002</v>
      </c>
      <c r="I854" s="85">
        <f>STATS1003B!I854/1000</f>
        <v>0</v>
      </c>
      <c r="J854" s="85">
        <f>STATS1003B!J854/1000</f>
        <v>619.62400000000002</v>
      </c>
      <c r="K854" s="85">
        <f>STATS1003B!K854/1000</f>
        <v>0</v>
      </c>
      <c r="L854" s="85">
        <f>STATS1003B!L854/1000</f>
        <v>0</v>
      </c>
      <c r="M854" s="85">
        <f>STATS1003B!M854/1000</f>
        <v>619.62400000000002</v>
      </c>
      <c r="N854" s="85">
        <f>STATS1003B!N854/1000</f>
        <v>0</v>
      </c>
      <c r="O854" s="85">
        <f>STATS1003B!O854/1000</f>
        <v>0</v>
      </c>
      <c r="P854" s="85">
        <f>STATS1003B!P854/1000</f>
        <v>0</v>
      </c>
      <c r="Q854" s="85">
        <f>STATS1003B!Q854/1000</f>
        <v>619.62400000000002</v>
      </c>
      <c r="R854" s="85">
        <f>STATS1003B!R854/1000</f>
        <v>0</v>
      </c>
      <c r="S854" s="85">
        <f>STATS1003B!S854/1000</f>
        <v>0</v>
      </c>
      <c r="T854" s="85">
        <f>STATS1003B!T854/1000</f>
        <v>0</v>
      </c>
      <c r="U854" s="85">
        <f>STATS1003B!U854/1000</f>
        <v>0</v>
      </c>
      <c r="V854" s="85">
        <f>STATS1003B!V854/1000</f>
        <v>619.62400000000002</v>
      </c>
      <c r="W854" s="85">
        <f>STATS1003B!W854/1000</f>
        <v>0</v>
      </c>
      <c r="X854" s="85">
        <f t="shared" si="111"/>
        <v>619.62400000000002</v>
      </c>
      <c r="Y854" s="85">
        <f>STATS1003B!Y854/1000</f>
        <v>0</v>
      </c>
      <c r="Z854" s="85">
        <f t="shared" si="114"/>
        <v>0</v>
      </c>
      <c r="AA854" s="69">
        <f>STATS1003B!AA854/1000</f>
        <v>619.62400000000002</v>
      </c>
      <c r="AB854" s="69">
        <f>STATS1003B!AB854/1000</f>
        <v>0</v>
      </c>
    </row>
    <row r="855" spans="1:28" hidden="1" x14ac:dyDescent="0.3">
      <c r="A855" s="117"/>
      <c r="C855" s="68" t="s">
        <v>535</v>
      </c>
      <c r="D855" s="87" t="s">
        <v>128</v>
      </c>
      <c r="E855" s="85">
        <f>STATS1003B!E855/1000</f>
        <v>3859.0639999999999</v>
      </c>
      <c r="F855" s="85">
        <f>STATS1003B!F855/1000</f>
        <v>3859.0639999999999</v>
      </c>
      <c r="G855" s="85">
        <f>STATS1003B!G855/1000</f>
        <v>0</v>
      </c>
      <c r="H855" s="85">
        <f>STATS1003B!H855/1000</f>
        <v>3859.0639999999999</v>
      </c>
      <c r="I855" s="85">
        <f>STATS1003B!I855/1000</f>
        <v>0</v>
      </c>
      <c r="J855" s="85">
        <f>STATS1003B!J855/1000</f>
        <v>3859.0639999999999</v>
      </c>
      <c r="K855" s="85">
        <f>STATS1003B!K855/1000</f>
        <v>0</v>
      </c>
      <c r="L855" s="85">
        <f>STATS1003B!L855/1000</f>
        <v>0</v>
      </c>
      <c r="M855" s="85">
        <f>STATS1003B!M855/1000</f>
        <v>3859.0639999999999</v>
      </c>
      <c r="N855" s="85">
        <f>STATS1003B!N855/1000</f>
        <v>0</v>
      </c>
      <c r="O855" s="85">
        <f>STATS1003B!O855/1000</f>
        <v>0</v>
      </c>
      <c r="P855" s="85">
        <f>STATS1003B!P855/1000</f>
        <v>0</v>
      </c>
      <c r="Q855" s="85">
        <f>STATS1003B!Q855/1000</f>
        <v>3859.0639999999999</v>
      </c>
      <c r="R855" s="85">
        <f>STATS1003B!R855/1000</f>
        <v>0</v>
      </c>
      <c r="S855" s="85">
        <f>STATS1003B!S855/1000</f>
        <v>0</v>
      </c>
      <c r="T855" s="85">
        <f>STATS1003B!T855/1000</f>
        <v>0</v>
      </c>
      <c r="U855" s="85">
        <f>STATS1003B!U855/1000</f>
        <v>0</v>
      </c>
      <c r="V855" s="85">
        <f>STATS1003B!V855/1000</f>
        <v>3859.0639999999999</v>
      </c>
      <c r="W855" s="85">
        <f>STATS1003B!W855/1000</f>
        <v>0</v>
      </c>
      <c r="X855" s="85">
        <f t="shared" si="111"/>
        <v>3859.0639999999999</v>
      </c>
      <c r="Y855" s="85">
        <f>STATS1003B!Y855/1000</f>
        <v>0</v>
      </c>
      <c r="Z855" s="85">
        <f t="shared" si="114"/>
        <v>0</v>
      </c>
      <c r="AA855" s="69">
        <f>STATS1003B!AA855/1000</f>
        <v>3859.0639999999999</v>
      </c>
      <c r="AB855" s="69">
        <f>STATS1003B!AB855/1000</f>
        <v>0</v>
      </c>
    </row>
    <row r="856" spans="1:28" hidden="1" x14ac:dyDescent="0.3">
      <c r="A856" s="117"/>
      <c r="C856" s="68" t="s">
        <v>535</v>
      </c>
      <c r="D856" s="87" t="s">
        <v>108</v>
      </c>
      <c r="E856" s="85">
        <f>STATS1003B!E856/1000</f>
        <v>7310.5309999999999</v>
      </c>
      <c r="F856" s="85">
        <f>STATS1003B!F856/1000</f>
        <v>7310.5309999999999</v>
      </c>
      <c r="G856" s="85">
        <f>STATS1003B!G856/1000</f>
        <v>0</v>
      </c>
      <c r="H856" s="85">
        <f>STATS1003B!H856/1000</f>
        <v>7310.5309999999999</v>
      </c>
      <c r="I856" s="85">
        <f>STATS1003B!I856/1000</f>
        <v>0</v>
      </c>
      <c r="J856" s="85">
        <f>STATS1003B!J856/1000</f>
        <v>7310.5309999999999</v>
      </c>
      <c r="K856" s="85">
        <f>STATS1003B!K856/1000</f>
        <v>0</v>
      </c>
      <c r="L856" s="85">
        <f>STATS1003B!L856/1000</f>
        <v>0</v>
      </c>
      <c r="M856" s="85">
        <f>STATS1003B!M856/1000</f>
        <v>7310.5309999999999</v>
      </c>
      <c r="N856" s="85">
        <f>STATS1003B!N856/1000</f>
        <v>0</v>
      </c>
      <c r="O856" s="85">
        <f>STATS1003B!O856/1000</f>
        <v>0</v>
      </c>
      <c r="P856" s="85">
        <f>STATS1003B!P856/1000</f>
        <v>0</v>
      </c>
      <c r="Q856" s="85">
        <f>STATS1003B!Q856/1000</f>
        <v>7310.5309999999999</v>
      </c>
      <c r="R856" s="85">
        <f>STATS1003B!R856/1000</f>
        <v>0</v>
      </c>
      <c r="S856" s="85">
        <f>STATS1003B!S856/1000</f>
        <v>0</v>
      </c>
      <c r="T856" s="85">
        <f>STATS1003B!T856/1000</f>
        <v>0</v>
      </c>
      <c r="U856" s="85">
        <f>STATS1003B!U856/1000</f>
        <v>0</v>
      </c>
      <c r="V856" s="85">
        <f>STATS1003B!V856/1000</f>
        <v>7310.5309999999999</v>
      </c>
      <c r="W856" s="85">
        <f>STATS1003B!W856/1000</f>
        <v>0</v>
      </c>
      <c r="X856" s="85">
        <f t="shared" si="111"/>
        <v>7310.5309999999999</v>
      </c>
      <c r="Y856" s="85">
        <f>STATS1003B!Y856/1000</f>
        <v>0</v>
      </c>
      <c r="Z856" s="85">
        <f t="shared" si="114"/>
        <v>0</v>
      </c>
      <c r="AA856" s="69">
        <f>STATS1003B!AA856/1000</f>
        <v>7310.5309999999999</v>
      </c>
      <c r="AB856" s="69">
        <f>STATS1003B!AB856/1000</f>
        <v>0</v>
      </c>
    </row>
    <row r="857" spans="1:28" hidden="1" x14ac:dyDescent="0.3">
      <c r="A857" s="117"/>
      <c r="C857" s="68" t="s">
        <v>535</v>
      </c>
      <c r="D857" s="87" t="s">
        <v>58</v>
      </c>
      <c r="E857" s="85">
        <f>STATS1003B!E857/1000</f>
        <v>10632.75</v>
      </c>
      <c r="F857" s="85">
        <f>STATS1003B!F857/1000</f>
        <v>10632.75</v>
      </c>
      <c r="G857" s="85">
        <f>STATS1003B!G857/1000</f>
        <v>0</v>
      </c>
      <c r="H857" s="85">
        <f>STATS1003B!H857/1000</f>
        <v>10632.75</v>
      </c>
      <c r="I857" s="85">
        <f>STATS1003B!I857/1000</f>
        <v>0</v>
      </c>
      <c r="J857" s="85">
        <f>STATS1003B!J857/1000</f>
        <v>10632.75</v>
      </c>
      <c r="K857" s="85">
        <f>STATS1003B!K857/1000</f>
        <v>0</v>
      </c>
      <c r="L857" s="85">
        <f>STATS1003B!L857/1000</f>
        <v>0</v>
      </c>
      <c r="M857" s="85">
        <f>STATS1003B!M857/1000</f>
        <v>10632.75</v>
      </c>
      <c r="N857" s="85">
        <f>STATS1003B!N857/1000</f>
        <v>0</v>
      </c>
      <c r="O857" s="85">
        <f>STATS1003B!O857/1000</f>
        <v>0</v>
      </c>
      <c r="P857" s="85">
        <f>STATS1003B!P857/1000</f>
        <v>0</v>
      </c>
      <c r="Q857" s="85">
        <f>STATS1003B!Q857/1000</f>
        <v>10632.75</v>
      </c>
      <c r="R857" s="85">
        <f>STATS1003B!R857/1000</f>
        <v>0</v>
      </c>
      <c r="S857" s="85">
        <f>STATS1003B!S857/1000</f>
        <v>0</v>
      </c>
      <c r="T857" s="85">
        <f>STATS1003B!T857/1000</f>
        <v>0</v>
      </c>
      <c r="U857" s="85">
        <f>STATS1003B!U857/1000</f>
        <v>0</v>
      </c>
      <c r="V857" s="85">
        <f>STATS1003B!V857/1000</f>
        <v>10632.75</v>
      </c>
      <c r="W857" s="85">
        <f>STATS1003B!W857/1000</f>
        <v>0</v>
      </c>
      <c r="X857" s="85">
        <f t="shared" si="111"/>
        <v>10632.75</v>
      </c>
      <c r="Y857" s="85">
        <f>STATS1003B!Y857/1000</f>
        <v>0</v>
      </c>
      <c r="Z857" s="85">
        <f t="shared" si="114"/>
        <v>0</v>
      </c>
      <c r="AA857" s="69">
        <f>STATS1003B!AA857/1000</f>
        <v>10632.75</v>
      </c>
      <c r="AB857" s="69">
        <f>STATS1003B!AB857/1000</f>
        <v>0</v>
      </c>
    </row>
    <row r="858" spans="1:28" hidden="1" x14ac:dyDescent="0.3">
      <c r="A858" s="117"/>
      <c r="C858" s="71" t="s">
        <v>652</v>
      </c>
      <c r="D858" s="88" t="s">
        <v>228</v>
      </c>
      <c r="E858" s="85">
        <f>STATS1003B!E858/1000</f>
        <v>313.8</v>
      </c>
      <c r="F858" s="85">
        <f>STATS1003B!F858/1000</f>
        <v>313.8</v>
      </c>
      <c r="G858" s="85">
        <f>STATS1003B!G858/1000</f>
        <v>0</v>
      </c>
      <c r="H858" s="85">
        <f>STATS1003B!H858/1000</f>
        <v>313.8</v>
      </c>
      <c r="I858" s="85">
        <f>STATS1003B!I858/1000</f>
        <v>0</v>
      </c>
      <c r="J858" s="85">
        <f>STATS1003B!J858/1000</f>
        <v>313.8</v>
      </c>
      <c r="K858" s="85">
        <f>STATS1003B!K858/1000</f>
        <v>0</v>
      </c>
      <c r="L858" s="85">
        <f>STATS1003B!L858/1000</f>
        <v>0</v>
      </c>
      <c r="M858" s="85">
        <f>STATS1003B!M858/1000</f>
        <v>313.8</v>
      </c>
      <c r="N858" s="85">
        <f>STATS1003B!N858/1000</f>
        <v>0</v>
      </c>
      <c r="O858" s="85">
        <f>STATS1003B!O858/1000</f>
        <v>0</v>
      </c>
      <c r="P858" s="85">
        <f>STATS1003B!P858/1000</f>
        <v>0</v>
      </c>
      <c r="Q858" s="85">
        <f>STATS1003B!Q858/1000</f>
        <v>313.8</v>
      </c>
      <c r="R858" s="85">
        <f>STATS1003B!R858/1000</f>
        <v>0</v>
      </c>
      <c r="S858" s="85">
        <f>STATS1003B!S858/1000</f>
        <v>0</v>
      </c>
      <c r="T858" s="85">
        <f>STATS1003B!T858/1000</f>
        <v>0</v>
      </c>
      <c r="U858" s="85">
        <f>STATS1003B!U858/1000</f>
        <v>0</v>
      </c>
      <c r="V858" s="85">
        <f>STATS1003B!V858/1000</f>
        <v>313.8</v>
      </c>
      <c r="W858" s="85">
        <f>STATS1003B!W858/1000</f>
        <v>0</v>
      </c>
      <c r="X858" s="85">
        <f t="shared" si="111"/>
        <v>313.8</v>
      </c>
      <c r="Y858" s="85">
        <f>STATS1003B!Y858/1000</f>
        <v>0</v>
      </c>
      <c r="Z858" s="85">
        <f t="shared" si="114"/>
        <v>0</v>
      </c>
      <c r="AA858" s="69">
        <f>STATS1003B!AA858/1000</f>
        <v>313.8</v>
      </c>
      <c r="AB858" s="69">
        <f>STATS1003B!AB858/1000</f>
        <v>0</v>
      </c>
    </row>
    <row r="859" spans="1:28" hidden="1" x14ac:dyDescent="0.3">
      <c r="A859" s="117"/>
      <c r="C859" s="68" t="s">
        <v>621</v>
      </c>
      <c r="D859" s="88" t="s">
        <v>73</v>
      </c>
      <c r="E859" s="85">
        <f>STATS1003B!E859/1000</f>
        <v>553</v>
      </c>
      <c r="F859" s="85">
        <f>STATS1003B!F859/1000</f>
        <v>553</v>
      </c>
      <c r="G859" s="85">
        <f>STATS1003B!G859/1000</f>
        <v>0</v>
      </c>
      <c r="H859" s="85">
        <f>STATS1003B!H859/1000</f>
        <v>553</v>
      </c>
      <c r="I859" s="85">
        <f>STATS1003B!I859/1000</f>
        <v>0</v>
      </c>
      <c r="J859" s="85">
        <f>STATS1003B!J859/1000</f>
        <v>553</v>
      </c>
      <c r="K859" s="85">
        <f>STATS1003B!K859/1000</f>
        <v>0</v>
      </c>
      <c r="L859" s="85">
        <f>STATS1003B!L859/1000</f>
        <v>0</v>
      </c>
      <c r="M859" s="85">
        <f>STATS1003B!M859/1000</f>
        <v>553</v>
      </c>
      <c r="N859" s="85">
        <f>STATS1003B!N859/1000</f>
        <v>0</v>
      </c>
      <c r="O859" s="85">
        <f>STATS1003B!O859/1000</f>
        <v>0</v>
      </c>
      <c r="P859" s="85">
        <f>STATS1003B!P859/1000</f>
        <v>0</v>
      </c>
      <c r="Q859" s="85">
        <f>STATS1003B!Q859/1000</f>
        <v>553</v>
      </c>
      <c r="R859" s="85">
        <f>STATS1003B!R859/1000</f>
        <v>0</v>
      </c>
      <c r="S859" s="85">
        <f>STATS1003B!S859/1000</f>
        <v>0</v>
      </c>
      <c r="T859" s="85">
        <f>STATS1003B!T859/1000</f>
        <v>0</v>
      </c>
      <c r="U859" s="85">
        <f>STATS1003B!U859/1000</f>
        <v>0</v>
      </c>
      <c r="V859" s="85">
        <f>STATS1003B!V859/1000</f>
        <v>553</v>
      </c>
      <c r="W859" s="85">
        <f>STATS1003B!W859/1000</f>
        <v>0</v>
      </c>
      <c r="X859" s="85">
        <f t="shared" si="111"/>
        <v>553</v>
      </c>
      <c r="Y859" s="85">
        <f>STATS1003B!Y859/1000</f>
        <v>0</v>
      </c>
      <c r="Z859" s="85">
        <f t="shared" si="114"/>
        <v>0</v>
      </c>
      <c r="AA859" s="69">
        <f>STATS1003B!AA859/1000</f>
        <v>553</v>
      </c>
      <c r="AB859" s="69">
        <f>STATS1003B!AB859/1000</f>
        <v>0</v>
      </c>
    </row>
    <row r="860" spans="1:28" hidden="1" x14ac:dyDescent="0.3">
      <c r="A860" s="117"/>
      <c r="C860" s="71" t="s">
        <v>567</v>
      </c>
      <c r="D860" s="88" t="s">
        <v>73</v>
      </c>
      <c r="E860" s="85">
        <f>STATS1003B!E860/1000</f>
        <v>463.88529</v>
      </c>
      <c r="F860" s="85">
        <f>STATS1003B!F860/1000</f>
        <v>463.88529</v>
      </c>
      <c r="G860" s="85">
        <f>STATS1003B!G860/1000</f>
        <v>0</v>
      </c>
      <c r="H860" s="85">
        <f>STATS1003B!H860/1000</f>
        <v>463.88529</v>
      </c>
      <c r="I860" s="85">
        <f>STATS1003B!I860/1000</f>
        <v>0</v>
      </c>
      <c r="J860" s="85">
        <f>STATS1003B!J860/1000</f>
        <v>463.88529</v>
      </c>
      <c r="K860" s="85">
        <f>STATS1003B!K860/1000</f>
        <v>0</v>
      </c>
      <c r="L860" s="85">
        <f>STATS1003B!L860/1000</f>
        <v>0</v>
      </c>
      <c r="M860" s="85">
        <f>STATS1003B!M860/1000</f>
        <v>463.88529</v>
      </c>
      <c r="N860" s="85">
        <f>STATS1003B!N860/1000</f>
        <v>0</v>
      </c>
      <c r="O860" s="85">
        <f>STATS1003B!O860/1000</f>
        <v>0</v>
      </c>
      <c r="P860" s="85">
        <f>STATS1003B!P860/1000</f>
        <v>0</v>
      </c>
      <c r="Q860" s="85">
        <f>STATS1003B!Q860/1000</f>
        <v>463.88529</v>
      </c>
      <c r="R860" s="85">
        <f>STATS1003B!R860/1000</f>
        <v>0</v>
      </c>
      <c r="S860" s="85">
        <f>STATS1003B!S860/1000</f>
        <v>0</v>
      </c>
      <c r="T860" s="85">
        <f>STATS1003B!T860/1000</f>
        <v>0</v>
      </c>
      <c r="U860" s="85">
        <f>STATS1003B!U860/1000</f>
        <v>0</v>
      </c>
      <c r="V860" s="85">
        <f>STATS1003B!V860/1000</f>
        <v>463.88529</v>
      </c>
      <c r="W860" s="85">
        <f>STATS1003B!W860/1000</f>
        <v>0</v>
      </c>
      <c r="X860" s="85">
        <f t="shared" si="111"/>
        <v>463.88529</v>
      </c>
      <c r="Y860" s="85">
        <f>STATS1003B!Y860/1000</f>
        <v>0</v>
      </c>
      <c r="Z860" s="85">
        <f t="shared" si="114"/>
        <v>0</v>
      </c>
      <c r="AA860" s="69">
        <f>STATS1003B!AA860/1000</f>
        <v>463.88529</v>
      </c>
      <c r="AB860" s="69">
        <f>STATS1003B!AB860/1000</f>
        <v>0</v>
      </c>
    </row>
    <row r="861" spans="1:28" hidden="1" x14ac:dyDescent="0.3">
      <c r="A861" s="117"/>
      <c r="C861" s="68" t="s">
        <v>535</v>
      </c>
      <c r="D861" s="87" t="s">
        <v>61</v>
      </c>
      <c r="E861" s="85">
        <f>STATS1003B!E861/1000</f>
        <v>1017</v>
      </c>
      <c r="F861" s="85">
        <f>STATS1003B!F861/1000</f>
        <v>1017</v>
      </c>
      <c r="G861" s="85">
        <f>STATS1003B!G861/1000</f>
        <v>0</v>
      </c>
      <c r="H861" s="85">
        <f>STATS1003B!H861/1000</f>
        <v>1017</v>
      </c>
      <c r="I861" s="85">
        <f>STATS1003B!I861/1000</f>
        <v>0</v>
      </c>
      <c r="J861" s="85">
        <f>STATS1003B!J861/1000</f>
        <v>1017</v>
      </c>
      <c r="K861" s="85">
        <f>STATS1003B!K861/1000</f>
        <v>0</v>
      </c>
      <c r="L861" s="85">
        <f>STATS1003B!L861/1000</f>
        <v>0</v>
      </c>
      <c r="M861" s="85">
        <f>STATS1003B!M861/1000</f>
        <v>1017</v>
      </c>
      <c r="N861" s="85">
        <f>STATS1003B!N861/1000</f>
        <v>0</v>
      </c>
      <c r="O861" s="85">
        <f>STATS1003B!O861/1000</f>
        <v>0</v>
      </c>
      <c r="P861" s="85">
        <f>STATS1003B!P861/1000</f>
        <v>0</v>
      </c>
      <c r="Q861" s="85">
        <f>STATS1003B!Q861/1000</f>
        <v>1017</v>
      </c>
      <c r="R861" s="85">
        <f>STATS1003B!R861/1000</f>
        <v>0</v>
      </c>
      <c r="S861" s="85">
        <f>STATS1003B!S861/1000</f>
        <v>0</v>
      </c>
      <c r="T861" s="85">
        <f>STATS1003B!T861/1000</f>
        <v>0</v>
      </c>
      <c r="U861" s="85">
        <f>STATS1003B!U861/1000</f>
        <v>0</v>
      </c>
      <c r="V861" s="85">
        <f>STATS1003B!V861/1000</f>
        <v>1017</v>
      </c>
      <c r="W861" s="85">
        <f>STATS1003B!W861/1000</f>
        <v>0</v>
      </c>
      <c r="X861" s="85">
        <f t="shared" si="111"/>
        <v>1017</v>
      </c>
      <c r="Y861" s="85">
        <f>STATS1003B!Y861/1000</f>
        <v>0</v>
      </c>
      <c r="Z861" s="85">
        <f t="shared" si="114"/>
        <v>0</v>
      </c>
      <c r="AA861" s="69">
        <f>STATS1003B!AA861/1000</f>
        <v>1017</v>
      </c>
      <c r="AB861" s="69">
        <f>STATS1003B!AB861/1000</f>
        <v>0</v>
      </c>
    </row>
    <row r="862" spans="1:28" hidden="1" x14ac:dyDescent="0.3">
      <c r="A862" s="117"/>
      <c r="C862" s="68" t="s">
        <v>621</v>
      </c>
      <c r="D862" s="88" t="s">
        <v>61</v>
      </c>
      <c r="E862" s="85">
        <f>STATS1003B!E862/1000</f>
        <v>1482.4371199999998</v>
      </c>
      <c r="F862" s="85">
        <f>STATS1003B!F862/1000</f>
        <v>1397.8066299999998</v>
      </c>
      <c r="G862" s="85">
        <f>STATS1003B!G862/1000</f>
        <v>0</v>
      </c>
      <c r="H862" s="85">
        <f>STATS1003B!H862/1000</f>
        <v>1397.8066299999998</v>
      </c>
      <c r="I862" s="85">
        <f>STATS1003B!I862/1000</f>
        <v>0</v>
      </c>
      <c r="J862" s="85">
        <f>STATS1003B!J862/1000</f>
        <v>1397.8066299999998</v>
      </c>
      <c r="K862" s="85">
        <f>STATS1003B!K862/1000</f>
        <v>0</v>
      </c>
      <c r="L862" s="85">
        <f>STATS1003B!L862/1000</f>
        <v>0</v>
      </c>
      <c r="M862" s="85">
        <f>STATS1003B!M862/1000</f>
        <v>1397.8066299999998</v>
      </c>
      <c r="N862" s="85">
        <f>STATS1003B!N862/1000</f>
        <v>0</v>
      </c>
      <c r="O862" s="85">
        <f>STATS1003B!O862/1000</f>
        <v>0</v>
      </c>
      <c r="P862" s="85">
        <f>STATS1003B!P862/1000</f>
        <v>0</v>
      </c>
      <c r="Q862" s="85">
        <f>STATS1003B!Q862/1000</f>
        <v>1482.4371199999998</v>
      </c>
      <c r="R862" s="85">
        <f>STATS1003B!R862/1000</f>
        <v>0</v>
      </c>
      <c r="S862" s="85">
        <f>STATS1003B!S862/1000</f>
        <v>0</v>
      </c>
      <c r="T862" s="85">
        <f>STATS1003B!T862/1000</f>
        <v>84.630490000000009</v>
      </c>
      <c r="U862" s="85">
        <f>STATS1003B!U862/1000</f>
        <v>84.630490000000009</v>
      </c>
      <c r="V862" s="85">
        <f>STATS1003B!V862/1000</f>
        <v>1397.8066299999998</v>
      </c>
      <c r="W862" s="85">
        <f>STATS1003B!W862/1000</f>
        <v>84.630489999999995</v>
      </c>
      <c r="X862" s="85">
        <f t="shared" si="111"/>
        <v>1397.8066299999998</v>
      </c>
      <c r="Y862" s="85">
        <f>STATS1003B!Y862/1000</f>
        <v>0</v>
      </c>
      <c r="Z862" s="85">
        <f t="shared" si="114"/>
        <v>84.630490000000009</v>
      </c>
      <c r="AA862" s="69">
        <f>STATS1003B!AA862/1000</f>
        <v>1482.4371199999998</v>
      </c>
      <c r="AB862" s="69">
        <f>STATS1003B!AB862/1000</f>
        <v>0</v>
      </c>
    </row>
    <row r="863" spans="1:28" hidden="1" x14ac:dyDescent="0.3">
      <c r="A863" s="117"/>
      <c r="C863" s="68" t="s">
        <v>1136</v>
      </c>
      <c r="D863" s="89" t="s">
        <v>1126</v>
      </c>
      <c r="E863" s="85">
        <f>STATS1003B!E863/1000</f>
        <v>300</v>
      </c>
      <c r="F863" s="85">
        <f>STATS1003B!F863/1000</f>
        <v>300</v>
      </c>
      <c r="G863" s="85">
        <f>STATS1003B!G863/1000</f>
        <v>0</v>
      </c>
      <c r="H863" s="85">
        <f>STATS1003B!H863/1000</f>
        <v>300</v>
      </c>
      <c r="I863" s="85">
        <f>STATS1003B!I863/1000</f>
        <v>0</v>
      </c>
      <c r="J863" s="85">
        <f>STATS1003B!J863/1000</f>
        <v>300</v>
      </c>
      <c r="K863" s="85">
        <f>STATS1003B!K863/1000</f>
        <v>0</v>
      </c>
      <c r="L863" s="85">
        <f>STATS1003B!L863/1000</f>
        <v>0</v>
      </c>
      <c r="M863" s="85">
        <f>STATS1003B!M863/1000</f>
        <v>300</v>
      </c>
      <c r="N863" s="85">
        <f>STATS1003B!N863/1000</f>
        <v>0</v>
      </c>
      <c r="O863" s="85">
        <f>STATS1003B!O863/1000</f>
        <v>0</v>
      </c>
      <c r="P863" s="85">
        <f>STATS1003B!P863/1000</f>
        <v>0</v>
      </c>
      <c r="Q863" s="85">
        <f>STATS1003B!Q863/1000</f>
        <v>0</v>
      </c>
      <c r="R863" s="85">
        <f>STATS1003B!R863/1000</f>
        <v>0</v>
      </c>
      <c r="S863" s="85">
        <f>STATS1003B!S863/1000</f>
        <v>0</v>
      </c>
      <c r="T863" s="85">
        <f>STATS1003B!T863/1000</f>
        <v>0</v>
      </c>
      <c r="U863" s="85">
        <f>STATS1003B!U863/1000</f>
        <v>0</v>
      </c>
      <c r="V863" s="85">
        <f>STATS1003B!V863/1000</f>
        <v>300</v>
      </c>
      <c r="W863" s="85">
        <f>STATS1003B!W863/1000</f>
        <v>0</v>
      </c>
      <c r="X863" s="85">
        <f t="shared" si="111"/>
        <v>300</v>
      </c>
      <c r="Y863" s="85">
        <f>STATS1003B!Y863/1000</f>
        <v>0</v>
      </c>
      <c r="Z863" s="85">
        <f t="shared" si="114"/>
        <v>0</v>
      </c>
      <c r="AA863" s="69">
        <f>STATS1003B!AA863/1000</f>
        <v>300</v>
      </c>
      <c r="AB863" s="69">
        <f>STATS1003B!AB863/1000</f>
        <v>0</v>
      </c>
    </row>
    <row r="864" spans="1:28" hidden="1" x14ac:dyDescent="0.3">
      <c r="A864" s="117"/>
      <c r="C864" s="68" t="s">
        <v>1170</v>
      </c>
      <c r="D864" s="89" t="s">
        <v>1126</v>
      </c>
      <c r="E864" s="85">
        <f>STATS1003B!E864/1000</f>
        <v>295.24890000000005</v>
      </c>
      <c r="F864" s="85">
        <f>STATS1003B!F864/1000</f>
        <v>295.24890000000005</v>
      </c>
      <c r="G864" s="85">
        <f>STATS1003B!G864/1000</f>
        <v>0</v>
      </c>
      <c r="H864" s="85">
        <f>STATS1003B!H864/1000</f>
        <v>295.24890000000005</v>
      </c>
      <c r="I864" s="85">
        <f>STATS1003B!I864/1000</f>
        <v>0</v>
      </c>
      <c r="J864" s="85">
        <f>STATS1003B!J864/1000</f>
        <v>295.24890000000005</v>
      </c>
      <c r="K864" s="85">
        <f>STATS1003B!K864/1000</f>
        <v>0</v>
      </c>
      <c r="L864" s="85">
        <f>STATS1003B!L864/1000</f>
        <v>0</v>
      </c>
      <c r="M864" s="85">
        <f>STATS1003B!M864/1000</f>
        <v>295.24890000000005</v>
      </c>
      <c r="N864" s="85">
        <f>STATS1003B!N864/1000</f>
        <v>0</v>
      </c>
      <c r="O864" s="85">
        <f>STATS1003B!O864/1000</f>
        <v>0</v>
      </c>
      <c r="P864" s="85">
        <f>STATS1003B!P864/1000</f>
        <v>0</v>
      </c>
      <c r="Q864" s="85">
        <f>STATS1003B!Q864/1000</f>
        <v>0</v>
      </c>
      <c r="R864" s="85">
        <f>STATS1003B!R864/1000</f>
        <v>0</v>
      </c>
      <c r="S864" s="85">
        <f>STATS1003B!S864/1000</f>
        <v>0</v>
      </c>
      <c r="T864" s="85">
        <f>STATS1003B!T864/1000</f>
        <v>0</v>
      </c>
      <c r="U864" s="85">
        <f>STATS1003B!U864/1000</f>
        <v>0</v>
      </c>
      <c r="V864" s="85">
        <f>STATS1003B!V864/1000</f>
        <v>295.24890000000005</v>
      </c>
      <c r="W864" s="85">
        <f>STATS1003B!W864/1000</f>
        <v>0</v>
      </c>
      <c r="X864" s="85">
        <f t="shared" si="111"/>
        <v>295.24890000000005</v>
      </c>
      <c r="Y864" s="85">
        <f>STATS1003B!Y864/1000</f>
        <v>0</v>
      </c>
      <c r="Z864" s="85">
        <f t="shared" si="114"/>
        <v>0</v>
      </c>
      <c r="AA864" s="69">
        <f>STATS1003B!AA864/1000</f>
        <v>295.24890000000005</v>
      </c>
      <c r="AB864" s="69">
        <f>STATS1003B!AB864/1000</f>
        <v>0</v>
      </c>
    </row>
    <row r="865" spans="1:28" hidden="1" x14ac:dyDescent="0.3">
      <c r="A865" s="117"/>
      <c r="C865" s="68" t="s">
        <v>1161</v>
      </c>
      <c r="D865" s="89" t="s">
        <v>1229</v>
      </c>
      <c r="E865" s="85">
        <f>STATS1003B!E865/1000</f>
        <v>2766.52916</v>
      </c>
      <c r="F865" s="85">
        <f>STATS1003B!F865/1000</f>
        <v>2766.52916</v>
      </c>
      <c r="G865" s="85">
        <f>STATS1003B!G865/1000</f>
        <v>0</v>
      </c>
      <c r="H865" s="85">
        <f>STATS1003B!H865/1000</f>
        <v>2766.52916</v>
      </c>
      <c r="I865" s="85">
        <f>STATS1003B!I865/1000</f>
        <v>0</v>
      </c>
      <c r="J865" s="85">
        <f>STATS1003B!J865/1000</f>
        <v>2766.52916</v>
      </c>
      <c r="K865" s="85">
        <f>STATS1003B!K865/1000</f>
        <v>0</v>
      </c>
      <c r="L865" s="85">
        <f>STATS1003B!L865/1000</f>
        <v>0</v>
      </c>
      <c r="M865" s="85">
        <f>STATS1003B!M865/1000</f>
        <v>2766.52916</v>
      </c>
      <c r="N865" s="85">
        <f>STATS1003B!N865/1000</f>
        <v>0</v>
      </c>
      <c r="O865" s="85">
        <f>STATS1003B!O865/1000</f>
        <v>0</v>
      </c>
      <c r="P865" s="85">
        <f>STATS1003B!P865/1000</f>
        <v>0</v>
      </c>
      <c r="Q865" s="85">
        <f>STATS1003B!Q865/1000</f>
        <v>0</v>
      </c>
      <c r="R865" s="85">
        <f>STATS1003B!R865/1000</f>
        <v>0</v>
      </c>
      <c r="S865" s="85">
        <f>STATS1003B!S865/1000</f>
        <v>0</v>
      </c>
      <c r="T865" s="85">
        <f>STATS1003B!T865/1000</f>
        <v>0</v>
      </c>
      <c r="U865" s="85">
        <f>STATS1003B!U865/1000</f>
        <v>0</v>
      </c>
      <c r="V865" s="85">
        <f>STATS1003B!V865/1000</f>
        <v>2766.52916</v>
      </c>
      <c r="W865" s="85">
        <f>STATS1003B!W865/1000</f>
        <v>0</v>
      </c>
      <c r="X865" s="85">
        <f t="shared" si="111"/>
        <v>2766.52916</v>
      </c>
      <c r="Y865" s="85">
        <f>STATS1003B!Y865/1000</f>
        <v>0</v>
      </c>
      <c r="Z865" s="85">
        <f t="shared" si="114"/>
        <v>0</v>
      </c>
      <c r="AA865" s="69">
        <f>STATS1003B!AA865/1000</f>
        <v>2766.52916</v>
      </c>
      <c r="AB865" s="69">
        <f>STATS1003B!AB865/1000</f>
        <v>0</v>
      </c>
    </row>
    <row r="866" spans="1:28" hidden="1" x14ac:dyDescent="0.3">
      <c r="A866" s="117"/>
      <c r="C866" s="68" t="s">
        <v>933</v>
      </c>
      <c r="D866" s="89" t="s">
        <v>1072</v>
      </c>
      <c r="E866" s="85">
        <f>STATS1003B!E866/1000</f>
        <v>1304</v>
      </c>
      <c r="F866" s="85">
        <f>STATS1003B!F866/1000</f>
        <v>1304</v>
      </c>
      <c r="G866" s="85">
        <f>STATS1003B!G866/1000</f>
        <v>0</v>
      </c>
      <c r="H866" s="85">
        <f>STATS1003B!H866/1000</f>
        <v>1304</v>
      </c>
      <c r="I866" s="85">
        <f>STATS1003B!I866/1000</f>
        <v>0</v>
      </c>
      <c r="J866" s="85">
        <f>STATS1003B!J866/1000</f>
        <v>1304</v>
      </c>
      <c r="K866" s="85">
        <f>STATS1003B!K866/1000</f>
        <v>0</v>
      </c>
      <c r="L866" s="85">
        <f>STATS1003B!L866/1000</f>
        <v>0</v>
      </c>
      <c r="M866" s="85">
        <f>STATS1003B!M866/1000</f>
        <v>1304</v>
      </c>
      <c r="N866" s="85">
        <f>STATS1003B!N866/1000</f>
        <v>0</v>
      </c>
      <c r="O866" s="85">
        <f>STATS1003B!O866/1000</f>
        <v>0</v>
      </c>
      <c r="P866" s="85">
        <f>STATS1003B!P866/1000</f>
        <v>0</v>
      </c>
      <c r="Q866" s="85">
        <f>STATS1003B!Q866/1000</f>
        <v>0</v>
      </c>
      <c r="R866" s="85">
        <f>STATS1003B!R866/1000</f>
        <v>0</v>
      </c>
      <c r="S866" s="85">
        <f>STATS1003B!S866/1000</f>
        <v>0</v>
      </c>
      <c r="T866" s="85">
        <f>STATS1003B!T866/1000</f>
        <v>0</v>
      </c>
      <c r="U866" s="85">
        <f>STATS1003B!U866/1000</f>
        <v>0</v>
      </c>
      <c r="V866" s="85">
        <f>STATS1003B!V866/1000</f>
        <v>1304</v>
      </c>
      <c r="W866" s="85">
        <f>STATS1003B!W866/1000</f>
        <v>0</v>
      </c>
      <c r="X866" s="85">
        <f t="shared" si="111"/>
        <v>1304</v>
      </c>
      <c r="Y866" s="85">
        <f>STATS1003B!Y866/1000</f>
        <v>0</v>
      </c>
      <c r="Z866" s="85">
        <f t="shared" si="114"/>
        <v>0</v>
      </c>
      <c r="AA866" s="69">
        <f>STATS1003B!AA866/1000</f>
        <v>1304</v>
      </c>
      <c r="AB866" s="69">
        <f>STATS1003B!AB866/1000</f>
        <v>0</v>
      </c>
    </row>
    <row r="867" spans="1:28" hidden="1" x14ac:dyDescent="0.3">
      <c r="A867" s="117"/>
      <c r="C867" s="68" t="s">
        <v>1236</v>
      </c>
      <c r="D867" s="89" t="s">
        <v>1225</v>
      </c>
      <c r="E867" s="85">
        <f>STATS1003B!E867/1000</f>
        <v>304.29722999999996</v>
      </c>
      <c r="F867" s="85">
        <f>STATS1003B!F867/1000</f>
        <v>304.29722999999996</v>
      </c>
      <c r="G867" s="85">
        <f>STATS1003B!G867/1000</f>
        <v>0</v>
      </c>
      <c r="H867" s="85">
        <f>STATS1003B!H867/1000</f>
        <v>304.29722999999996</v>
      </c>
      <c r="I867" s="85">
        <f>STATS1003B!I867/1000</f>
        <v>0</v>
      </c>
      <c r="J867" s="85">
        <f>STATS1003B!J867/1000</f>
        <v>304.29722999999996</v>
      </c>
      <c r="K867" s="85">
        <f>STATS1003B!K867/1000</f>
        <v>0</v>
      </c>
      <c r="L867" s="85">
        <f>STATS1003B!L867/1000</f>
        <v>0</v>
      </c>
      <c r="M867" s="85">
        <f>STATS1003B!M867/1000</f>
        <v>304.29722999999996</v>
      </c>
      <c r="N867" s="85">
        <f>STATS1003B!N867/1000</f>
        <v>0</v>
      </c>
      <c r="O867" s="85">
        <f>STATS1003B!O867/1000</f>
        <v>0</v>
      </c>
      <c r="P867" s="85">
        <f>STATS1003B!P867/1000</f>
        <v>0</v>
      </c>
      <c r="Q867" s="85">
        <f>STATS1003B!Q867/1000</f>
        <v>0</v>
      </c>
      <c r="R867" s="85">
        <f>STATS1003B!R867/1000</f>
        <v>0</v>
      </c>
      <c r="S867" s="85">
        <f>STATS1003B!S867/1000</f>
        <v>0</v>
      </c>
      <c r="T867" s="85">
        <f>STATS1003B!T867/1000</f>
        <v>0</v>
      </c>
      <c r="U867" s="85">
        <f>STATS1003B!U867/1000</f>
        <v>0</v>
      </c>
      <c r="V867" s="85">
        <f>STATS1003B!V867/1000</f>
        <v>304.29722999999996</v>
      </c>
      <c r="W867" s="85">
        <f>STATS1003B!W867/1000</f>
        <v>0</v>
      </c>
      <c r="X867" s="85">
        <f t="shared" si="111"/>
        <v>304.29722999999996</v>
      </c>
      <c r="Y867" s="85">
        <f>STATS1003B!Y867/1000</f>
        <v>0</v>
      </c>
      <c r="Z867" s="85">
        <f t="shared" si="114"/>
        <v>0</v>
      </c>
      <c r="AA867" s="69">
        <f>STATS1003B!AA867/1000</f>
        <v>304.29722999999996</v>
      </c>
      <c r="AB867" s="69">
        <f>STATS1003B!AB867/1000</f>
        <v>0</v>
      </c>
    </row>
    <row r="868" spans="1:28" hidden="1" x14ac:dyDescent="0.3">
      <c r="A868" s="117"/>
      <c r="C868" s="68" t="s">
        <v>1203</v>
      </c>
      <c r="D868" s="89" t="s">
        <v>1126</v>
      </c>
      <c r="E868" s="85">
        <f>STATS1003B!E868/1000</f>
        <v>531.97993000000008</v>
      </c>
      <c r="F868" s="85">
        <f>STATS1003B!F868/1000</f>
        <v>531.97993000000008</v>
      </c>
      <c r="G868" s="85">
        <f>STATS1003B!G868/1000</f>
        <v>0</v>
      </c>
      <c r="H868" s="85">
        <f>STATS1003B!H868/1000</f>
        <v>531.97993000000008</v>
      </c>
      <c r="I868" s="85">
        <f>STATS1003B!I868/1000</f>
        <v>0</v>
      </c>
      <c r="J868" s="85">
        <f>STATS1003B!J868/1000</f>
        <v>531.97993000000008</v>
      </c>
      <c r="K868" s="85">
        <f>STATS1003B!K868/1000</f>
        <v>0</v>
      </c>
      <c r="L868" s="85">
        <f>STATS1003B!L868/1000</f>
        <v>0</v>
      </c>
      <c r="M868" s="85">
        <f>STATS1003B!M868/1000</f>
        <v>531.97993000000008</v>
      </c>
      <c r="N868" s="85">
        <f>STATS1003B!N868/1000</f>
        <v>0</v>
      </c>
      <c r="O868" s="85">
        <f>STATS1003B!O868/1000</f>
        <v>0</v>
      </c>
      <c r="P868" s="85">
        <f>STATS1003B!P868/1000</f>
        <v>0</v>
      </c>
      <c r="Q868" s="85">
        <f>STATS1003B!Q868/1000</f>
        <v>0</v>
      </c>
      <c r="R868" s="85">
        <f>STATS1003B!R868/1000</f>
        <v>0</v>
      </c>
      <c r="S868" s="85">
        <f>STATS1003B!S868/1000</f>
        <v>0</v>
      </c>
      <c r="T868" s="85">
        <f>STATS1003B!T868/1000</f>
        <v>0</v>
      </c>
      <c r="U868" s="85">
        <f>STATS1003B!U868/1000</f>
        <v>0</v>
      </c>
      <c r="V868" s="85">
        <f>STATS1003B!V868/1000</f>
        <v>531.97993000000008</v>
      </c>
      <c r="W868" s="85">
        <f>STATS1003B!W868/1000</f>
        <v>0</v>
      </c>
      <c r="X868" s="85">
        <f t="shared" si="111"/>
        <v>531.97993000000008</v>
      </c>
      <c r="Y868" s="85">
        <f>STATS1003B!Y868/1000</f>
        <v>0</v>
      </c>
      <c r="Z868" s="85">
        <f t="shared" si="114"/>
        <v>0</v>
      </c>
      <c r="AA868" s="69">
        <f>STATS1003B!AA868/1000</f>
        <v>531.97993000000008</v>
      </c>
      <c r="AB868" s="69">
        <f>STATS1003B!AB868/1000</f>
        <v>0</v>
      </c>
    </row>
    <row r="869" spans="1:28" hidden="1" x14ac:dyDescent="0.3">
      <c r="A869" s="117"/>
      <c r="C869" s="68" t="s">
        <v>1228</v>
      </c>
      <c r="D869" s="89" t="s">
        <v>1225</v>
      </c>
      <c r="E869" s="85">
        <f>STATS1003B!E869/1000</f>
        <v>400</v>
      </c>
      <c r="F869" s="85">
        <f>STATS1003B!F869/1000</f>
        <v>400</v>
      </c>
      <c r="G869" s="85">
        <f>STATS1003B!G869/1000</f>
        <v>0</v>
      </c>
      <c r="H869" s="85">
        <f>STATS1003B!H869/1000</f>
        <v>400</v>
      </c>
      <c r="I869" s="85">
        <f>STATS1003B!I869/1000</f>
        <v>0</v>
      </c>
      <c r="J869" s="85">
        <f>STATS1003B!J869/1000</f>
        <v>400</v>
      </c>
      <c r="K869" s="85">
        <f>STATS1003B!K869/1000</f>
        <v>0</v>
      </c>
      <c r="L869" s="85">
        <f>STATS1003B!L869/1000</f>
        <v>0</v>
      </c>
      <c r="M869" s="85">
        <f>STATS1003B!M869/1000</f>
        <v>400</v>
      </c>
      <c r="N869" s="85">
        <f>STATS1003B!N869/1000</f>
        <v>0</v>
      </c>
      <c r="O869" s="85">
        <f>STATS1003B!O869/1000</f>
        <v>0</v>
      </c>
      <c r="P869" s="85">
        <f>STATS1003B!P869/1000</f>
        <v>0</v>
      </c>
      <c r="Q869" s="85">
        <f>STATS1003B!Q869/1000</f>
        <v>0</v>
      </c>
      <c r="R869" s="85">
        <f>STATS1003B!R869/1000</f>
        <v>0</v>
      </c>
      <c r="S869" s="85">
        <f>STATS1003B!S869/1000</f>
        <v>0</v>
      </c>
      <c r="T869" s="85">
        <f>STATS1003B!T869/1000</f>
        <v>0</v>
      </c>
      <c r="U869" s="85">
        <f>STATS1003B!U869/1000</f>
        <v>0</v>
      </c>
      <c r="V869" s="85">
        <f>STATS1003B!V869/1000</f>
        <v>400</v>
      </c>
      <c r="W869" s="85">
        <f>STATS1003B!W869/1000</f>
        <v>0</v>
      </c>
      <c r="X869" s="85">
        <f t="shared" si="111"/>
        <v>400</v>
      </c>
      <c r="Y869" s="85">
        <f>STATS1003B!Y869/1000</f>
        <v>0</v>
      </c>
      <c r="Z869" s="85">
        <f t="shared" si="114"/>
        <v>0</v>
      </c>
      <c r="AA869" s="69">
        <f>STATS1003B!AA869/1000</f>
        <v>400</v>
      </c>
      <c r="AB869" s="69">
        <f>STATS1003B!AB869/1000</f>
        <v>0</v>
      </c>
    </row>
    <row r="870" spans="1:28" hidden="1" x14ac:dyDescent="0.3">
      <c r="A870" s="117"/>
      <c r="C870" s="68" t="s">
        <v>550</v>
      </c>
      <c r="E870" s="85">
        <f>STATS1003B!E870/1000</f>
        <v>1411.241</v>
      </c>
      <c r="F870" s="85">
        <f>STATS1003B!F870/1000</f>
        <v>1411.241</v>
      </c>
      <c r="G870" s="85">
        <f>STATS1003B!G870/1000</f>
        <v>0</v>
      </c>
      <c r="H870" s="85">
        <f>STATS1003B!H870/1000</f>
        <v>1411.241</v>
      </c>
      <c r="I870" s="85">
        <f>STATS1003B!I870/1000</f>
        <v>0</v>
      </c>
      <c r="J870" s="85">
        <f>STATS1003B!J870/1000</f>
        <v>1411.241</v>
      </c>
      <c r="K870" s="85">
        <f>STATS1003B!K870/1000</f>
        <v>0</v>
      </c>
      <c r="L870" s="85">
        <f>STATS1003B!L870/1000</f>
        <v>0</v>
      </c>
      <c r="M870" s="85">
        <f>STATS1003B!M870/1000</f>
        <v>1411.241</v>
      </c>
      <c r="N870" s="85">
        <f>STATS1003B!N870/1000</f>
        <v>0</v>
      </c>
      <c r="O870" s="85">
        <f>STATS1003B!O870/1000</f>
        <v>0</v>
      </c>
      <c r="P870" s="85">
        <f>STATS1003B!P870/1000</f>
        <v>0</v>
      </c>
      <c r="Q870" s="85">
        <f>STATS1003B!Q870/1000</f>
        <v>1411.241</v>
      </c>
      <c r="R870" s="85">
        <f>STATS1003B!R870/1000</f>
        <v>0</v>
      </c>
      <c r="S870" s="85">
        <f>STATS1003B!S870/1000</f>
        <v>0</v>
      </c>
      <c r="T870" s="85">
        <f>STATS1003B!T870/1000</f>
        <v>0</v>
      </c>
      <c r="U870" s="85">
        <f>STATS1003B!U870/1000</f>
        <v>0</v>
      </c>
      <c r="V870" s="85">
        <f>STATS1003B!V870/1000</f>
        <v>1411.241</v>
      </c>
      <c r="W870" s="85">
        <f>STATS1003B!W870/1000</f>
        <v>0</v>
      </c>
      <c r="X870" s="85">
        <f t="shared" si="111"/>
        <v>1411.241</v>
      </c>
      <c r="Y870" s="85">
        <f>STATS1003B!Y870/1000</f>
        <v>0</v>
      </c>
      <c r="Z870" s="85">
        <f t="shared" si="114"/>
        <v>0</v>
      </c>
      <c r="AA870" s="69">
        <f>STATS1003B!AA870/1000</f>
        <v>1411.241</v>
      </c>
      <c r="AB870" s="69">
        <f>STATS1003B!AB870/1000</f>
        <v>0</v>
      </c>
    </row>
    <row r="871" spans="1:28" hidden="1" x14ac:dyDescent="0.3">
      <c r="A871" s="117"/>
      <c r="E871" s="86" t="s">
        <v>29</v>
      </c>
      <c r="F871" s="86" t="s">
        <v>29</v>
      </c>
      <c r="G871" s="86" t="s">
        <v>29</v>
      </c>
      <c r="H871" s="86" t="s">
        <v>29</v>
      </c>
      <c r="I871" s="86" t="s">
        <v>29</v>
      </c>
      <c r="J871" s="86" t="s">
        <v>29</v>
      </c>
      <c r="K871" s="86" t="s">
        <v>29</v>
      </c>
      <c r="L871" s="86" t="s">
        <v>29</v>
      </c>
      <c r="M871" s="86" t="s">
        <v>29</v>
      </c>
      <c r="N871" s="86" t="s">
        <v>29</v>
      </c>
      <c r="O871" s="86" t="s">
        <v>29</v>
      </c>
      <c r="P871" s="86" t="s">
        <v>29</v>
      </c>
      <c r="Q871" s="86" t="s">
        <v>29</v>
      </c>
      <c r="R871" s="86" t="s">
        <v>29</v>
      </c>
      <c r="S871" s="86" t="s">
        <v>29</v>
      </c>
      <c r="T871" s="86" t="s">
        <v>29</v>
      </c>
      <c r="U871" s="86" t="s">
        <v>29</v>
      </c>
      <c r="V871" s="86" t="s">
        <v>29</v>
      </c>
      <c r="W871" s="86" t="s">
        <v>29</v>
      </c>
      <c r="X871" s="85" t="e">
        <f t="shared" si="111"/>
        <v>#VALUE!</v>
      </c>
      <c r="Y871" s="86" t="s">
        <v>29</v>
      </c>
      <c r="Z871" s="85" t="e">
        <f t="shared" si="114"/>
        <v>#VALUE!</v>
      </c>
      <c r="AA871" s="115" t="s">
        <v>29</v>
      </c>
      <c r="AB871" s="115" t="s">
        <v>29</v>
      </c>
    </row>
    <row r="872" spans="1:28" x14ac:dyDescent="0.3">
      <c r="A872" s="116">
        <v>41</v>
      </c>
      <c r="B872" s="68" t="s">
        <v>647</v>
      </c>
      <c r="E872" s="85">
        <f>311922119.49/1000</f>
        <v>311922.11949000001</v>
      </c>
      <c r="F872" s="85">
        <f t="shared" ref="F872:Q872" si="115">SUM(F847:F871)</f>
        <v>37392.230029999999</v>
      </c>
      <c r="G872" s="85">
        <f t="shared" si="115"/>
        <v>0</v>
      </c>
      <c r="H872" s="85">
        <f>305437795.66/1000</f>
        <v>305437.79566</v>
      </c>
      <c r="I872" s="85">
        <f t="shared" si="115"/>
        <v>0</v>
      </c>
      <c r="J872" s="85">
        <f t="shared" si="115"/>
        <v>37392.230029999999</v>
      </c>
      <c r="K872" s="85">
        <f t="shared" si="115"/>
        <v>6399.6933399999998</v>
      </c>
      <c r="L872" s="85">
        <f t="shared" si="115"/>
        <v>0</v>
      </c>
      <c r="M872" s="85">
        <f t="shared" si="115"/>
        <v>37392.230029999999</v>
      </c>
      <c r="N872" s="85">
        <f t="shared" si="115"/>
        <v>6399.6933399999998</v>
      </c>
      <c r="O872" s="85">
        <f t="shared" si="115"/>
        <v>0</v>
      </c>
      <c r="P872" s="85">
        <f>6399693/1000</f>
        <v>6399.6930000000002</v>
      </c>
      <c r="Q872" s="85">
        <f t="shared" si="115"/>
        <v>31574.8053</v>
      </c>
      <c r="R872" s="86"/>
      <c r="S872" s="86"/>
      <c r="T872" s="85">
        <f t="shared" ref="T872:Y872" si="116">SUM(T847:T871)</f>
        <v>84.630490000000009</v>
      </c>
      <c r="U872" s="85">
        <f t="shared" si="116"/>
        <v>6484.3238299999994</v>
      </c>
      <c r="V872" s="85">
        <f t="shared" si="116"/>
        <v>43791.923369999997</v>
      </c>
      <c r="W872" s="85">
        <f t="shared" si="116"/>
        <v>84.630489999999995</v>
      </c>
      <c r="X872" s="85">
        <f>+H872+P872</f>
        <v>311837.48866000003</v>
      </c>
      <c r="Y872" s="85">
        <f t="shared" si="116"/>
        <v>0</v>
      </c>
      <c r="Z872" s="85">
        <f t="shared" si="114"/>
        <v>84.630829999980051</v>
      </c>
      <c r="AA872" s="69">
        <f>SUM(AA847:AA871)</f>
        <v>43876.55386</v>
      </c>
      <c r="AB872" s="69">
        <f>SUM(AB847:AB871)</f>
        <v>0</v>
      </c>
    </row>
    <row r="873" spans="1:28" hidden="1" x14ac:dyDescent="0.3">
      <c r="A873" s="117"/>
      <c r="E873" s="86" t="s">
        <v>29</v>
      </c>
      <c r="F873" s="86" t="s">
        <v>29</v>
      </c>
      <c r="G873" s="86" t="s">
        <v>29</v>
      </c>
      <c r="H873" s="86" t="s">
        <v>29</v>
      </c>
      <c r="I873" s="86" t="s">
        <v>29</v>
      </c>
      <c r="J873" s="86" t="s">
        <v>29</v>
      </c>
      <c r="K873" s="86" t="s">
        <v>29</v>
      </c>
      <c r="L873" s="86" t="s">
        <v>29</v>
      </c>
      <c r="M873" s="86" t="s">
        <v>29</v>
      </c>
      <c r="N873" s="86" t="s">
        <v>29</v>
      </c>
      <c r="O873" s="86" t="s">
        <v>29</v>
      </c>
      <c r="P873" s="86" t="s">
        <v>29</v>
      </c>
      <c r="Q873" s="86" t="s">
        <v>29</v>
      </c>
      <c r="R873" s="86" t="s">
        <v>29</v>
      </c>
      <c r="S873" s="86" t="s">
        <v>29</v>
      </c>
      <c r="T873" s="86" t="s">
        <v>29</v>
      </c>
      <c r="U873" s="86" t="s">
        <v>29</v>
      </c>
      <c r="V873" s="86" t="s">
        <v>29</v>
      </c>
      <c r="W873" s="86" t="s">
        <v>29</v>
      </c>
      <c r="X873" s="85" t="e">
        <f t="shared" si="111"/>
        <v>#VALUE!</v>
      </c>
      <c r="Y873" s="86" t="s">
        <v>29</v>
      </c>
      <c r="Z873" s="85" t="e">
        <f t="shared" si="114"/>
        <v>#VALUE!</v>
      </c>
      <c r="AA873" s="115" t="s">
        <v>29</v>
      </c>
      <c r="AB873" s="115" t="s">
        <v>29</v>
      </c>
    </row>
    <row r="874" spans="1:28" hidden="1" x14ac:dyDescent="0.3">
      <c r="A874" s="105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6"/>
      <c r="S874" s="86"/>
      <c r="T874" s="86"/>
      <c r="U874" s="86"/>
      <c r="V874" s="86"/>
      <c r="W874" s="86"/>
      <c r="X874" s="85">
        <f t="shared" si="111"/>
        <v>0</v>
      </c>
      <c r="Y874" s="86"/>
      <c r="Z874" s="85">
        <f t="shared" si="114"/>
        <v>0</v>
      </c>
      <c r="AA874" s="118"/>
    </row>
    <row r="875" spans="1:28" hidden="1" x14ac:dyDescent="0.3">
      <c r="A875" s="117"/>
      <c r="C875" s="68" t="s">
        <v>539</v>
      </c>
      <c r="D875" s="87" t="s">
        <v>68</v>
      </c>
      <c r="E875" s="85">
        <f>STATS1003B!E875/1000</f>
        <v>1745.7574999999999</v>
      </c>
      <c r="F875" s="85">
        <f>STATS1003B!F875/1000</f>
        <v>0</v>
      </c>
      <c r="G875" s="85">
        <f>STATS1003B!G875/1000</f>
        <v>0</v>
      </c>
      <c r="H875" s="85">
        <f>STATS1003B!H875/1000</f>
        <v>0</v>
      </c>
      <c r="I875" s="85">
        <f>STATS1003B!I875/1000</f>
        <v>0</v>
      </c>
      <c r="J875" s="85">
        <f>STATS1003B!J875/1000</f>
        <v>0</v>
      </c>
      <c r="K875" s="85">
        <f>STATS1003B!K875/1000</f>
        <v>1745.7574999999999</v>
      </c>
      <c r="L875" s="85">
        <f>STATS1003B!L875/1000</f>
        <v>0</v>
      </c>
      <c r="M875" s="85">
        <f>STATS1003B!M875/1000</f>
        <v>0</v>
      </c>
      <c r="N875" s="85">
        <f>STATS1003B!N875/1000</f>
        <v>1745.7574999999999</v>
      </c>
      <c r="O875" s="85">
        <f>STATS1003B!O875/1000</f>
        <v>0</v>
      </c>
      <c r="P875" s="85">
        <f>STATS1003B!P875/1000</f>
        <v>1745.7574999999999</v>
      </c>
      <c r="Q875" s="85">
        <f>STATS1003B!Q875/1000</f>
        <v>0</v>
      </c>
      <c r="R875" s="85">
        <f>STATS1003B!R875/1000</f>
        <v>0</v>
      </c>
      <c r="S875" s="85">
        <f>STATS1003B!S875/1000</f>
        <v>0</v>
      </c>
      <c r="T875" s="85">
        <f>STATS1003B!T875/1000</f>
        <v>0</v>
      </c>
      <c r="U875" s="85">
        <f>STATS1003B!U875/1000</f>
        <v>1745.7574999999999</v>
      </c>
      <c r="V875" s="85">
        <f>STATS1003B!V875/1000</f>
        <v>1745.7574999999999</v>
      </c>
      <c r="W875" s="85">
        <f>STATS1003B!W875/1000</f>
        <v>0</v>
      </c>
      <c r="X875" s="85">
        <f t="shared" si="111"/>
        <v>1745.7574999999999</v>
      </c>
      <c r="Y875" s="85">
        <f>STATS1003B!Y875/1000</f>
        <v>0</v>
      </c>
      <c r="Z875" s="85">
        <f t="shared" si="114"/>
        <v>0</v>
      </c>
      <c r="AA875" s="69">
        <f>STATS1003B!AA875/1000</f>
        <v>1745.7574999999999</v>
      </c>
      <c r="AB875" s="69">
        <f>STATS1003B!AB875/1000</f>
        <v>0</v>
      </c>
    </row>
    <row r="876" spans="1:28" hidden="1" x14ac:dyDescent="0.3">
      <c r="A876" s="117"/>
      <c r="C876" s="68" t="s">
        <v>535</v>
      </c>
      <c r="D876" s="87" t="s">
        <v>68</v>
      </c>
      <c r="E876" s="85">
        <f>STATS1003B!E876/1000</f>
        <v>634</v>
      </c>
      <c r="F876" s="85">
        <f>STATS1003B!F876/1000</f>
        <v>634</v>
      </c>
      <c r="G876" s="85">
        <f>STATS1003B!G876/1000</f>
        <v>0</v>
      </c>
      <c r="H876" s="85">
        <f>STATS1003B!H876/1000</f>
        <v>634</v>
      </c>
      <c r="I876" s="85">
        <f>STATS1003B!I876/1000</f>
        <v>0</v>
      </c>
      <c r="J876" s="85">
        <f>STATS1003B!J876/1000</f>
        <v>634</v>
      </c>
      <c r="K876" s="85">
        <f>STATS1003B!K876/1000</f>
        <v>0</v>
      </c>
      <c r="L876" s="85">
        <f>STATS1003B!L876/1000</f>
        <v>0</v>
      </c>
      <c r="M876" s="85">
        <f>STATS1003B!M876/1000</f>
        <v>634</v>
      </c>
      <c r="N876" s="85">
        <f>STATS1003B!N876/1000</f>
        <v>0</v>
      </c>
      <c r="O876" s="85">
        <f>STATS1003B!O876/1000</f>
        <v>0</v>
      </c>
      <c r="P876" s="85">
        <f>STATS1003B!P876/1000</f>
        <v>0</v>
      </c>
      <c r="Q876" s="85">
        <f>STATS1003B!Q876/1000</f>
        <v>634</v>
      </c>
      <c r="R876" s="85">
        <f>STATS1003B!R876/1000</f>
        <v>0</v>
      </c>
      <c r="S876" s="85">
        <f>STATS1003B!S876/1000</f>
        <v>0</v>
      </c>
      <c r="T876" s="85">
        <f>STATS1003B!T876/1000</f>
        <v>0</v>
      </c>
      <c r="U876" s="85">
        <f>STATS1003B!U876/1000</f>
        <v>0</v>
      </c>
      <c r="V876" s="85">
        <f>STATS1003B!V876/1000</f>
        <v>634</v>
      </c>
      <c r="W876" s="85">
        <f>STATS1003B!W876/1000</f>
        <v>0</v>
      </c>
      <c r="X876" s="85">
        <f t="shared" si="111"/>
        <v>634</v>
      </c>
      <c r="Y876" s="85">
        <f>STATS1003B!Y876/1000</f>
        <v>0</v>
      </c>
      <c r="Z876" s="85">
        <f t="shared" si="114"/>
        <v>0</v>
      </c>
      <c r="AA876" s="69">
        <f>STATS1003B!AA876/1000</f>
        <v>634</v>
      </c>
      <c r="AB876" s="69">
        <f>STATS1003B!AB876/1000</f>
        <v>0</v>
      </c>
    </row>
    <row r="877" spans="1:28" hidden="1" x14ac:dyDescent="0.3">
      <c r="A877" s="117"/>
      <c r="C877" s="68" t="s">
        <v>535</v>
      </c>
      <c r="D877" s="87" t="s">
        <v>54</v>
      </c>
      <c r="E877" s="85">
        <f>STATS1003B!E877/1000</f>
        <v>298</v>
      </c>
      <c r="F877" s="85">
        <f>STATS1003B!F877/1000</f>
        <v>298</v>
      </c>
      <c r="G877" s="85">
        <f>STATS1003B!G877/1000</f>
        <v>0</v>
      </c>
      <c r="H877" s="85">
        <f>STATS1003B!H877/1000</f>
        <v>298</v>
      </c>
      <c r="I877" s="85">
        <f>STATS1003B!I877/1000</f>
        <v>0</v>
      </c>
      <c r="J877" s="85">
        <f>STATS1003B!J877/1000</f>
        <v>298</v>
      </c>
      <c r="K877" s="85">
        <f>STATS1003B!K877/1000</f>
        <v>0</v>
      </c>
      <c r="L877" s="85">
        <f>STATS1003B!L877/1000</f>
        <v>0</v>
      </c>
      <c r="M877" s="85">
        <f>STATS1003B!M877/1000</f>
        <v>298</v>
      </c>
      <c r="N877" s="85">
        <f>STATS1003B!N877/1000</f>
        <v>0</v>
      </c>
      <c r="O877" s="85">
        <f>STATS1003B!O877/1000</f>
        <v>0</v>
      </c>
      <c r="P877" s="85">
        <f>STATS1003B!P877/1000</f>
        <v>0</v>
      </c>
      <c r="Q877" s="85">
        <f>STATS1003B!Q877/1000</f>
        <v>298</v>
      </c>
      <c r="R877" s="85">
        <f>STATS1003B!R877/1000</f>
        <v>0</v>
      </c>
      <c r="S877" s="85">
        <f>STATS1003B!S877/1000</f>
        <v>0</v>
      </c>
      <c r="T877" s="85">
        <f>STATS1003B!T877/1000</f>
        <v>0</v>
      </c>
      <c r="U877" s="85">
        <f>STATS1003B!U877/1000</f>
        <v>0</v>
      </c>
      <c r="V877" s="85">
        <f>STATS1003B!V877/1000</f>
        <v>298</v>
      </c>
      <c r="W877" s="85">
        <f>STATS1003B!W877/1000</f>
        <v>0</v>
      </c>
      <c r="X877" s="85">
        <f t="shared" si="111"/>
        <v>298</v>
      </c>
      <c r="Y877" s="85">
        <f>STATS1003B!Y877/1000</f>
        <v>0</v>
      </c>
      <c r="Z877" s="85">
        <f t="shared" si="114"/>
        <v>0</v>
      </c>
      <c r="AA877" s="69">
        <f>STATS1003B!AA877/1000</f>
        <v>298</v>
      </c>
      <c r="AB877" s="69">
        <f>STATS1003B!AB877/1000</f>
        <v>0</v>
      </c>
    </row>
    <row r="878" spans="1:28" hidden="1" x14ac:dyDescent="0.3">
      <c r="A878" s="117"/>
      <c r="C878" s="68" t="s">
        <v>654</v>
      </c>
      <c r="D878" s="87" t="s">
        <v>54</v>
      </c>
      <c r="E878" s="85">
        <f>STATS1003B!E878/1000</f>
        <v>3886.326</v>
      </c>
      <c r="F878" s="85">
        <f>STATS1003B!F878/1000</f>
        <v>3886.326</v>
      </c>
      <c r="G878" s="85">
        <f>STATS1003B!G878/1000</f>
        <v>0</v>
      </c>
      <c r="H878" s="85">
        <f>STATS1003B!H878/1000</f>
        <v>3886.326</v>
      </c>
      <c r="I878" s="85">
        <f>STATS1003B!I878/1000</f>
        <v>0</v>
      </c>
      <c r="J878" s="85">
        <f>STATS1003B!J878/1000</f>
        <v>3886.326</v>
      </c>
      <c r="K878" s="85">
        <f>STATS1003B!K878/1000</f>
        <v>0</v>
      </c>
      <c r="L878" s="85">
        <f>STATS1003B!L878/1000</f>
        <v>0</v>
      </c>
      <c r="M878" s="85">
        <f>STATS1003B!M878/1000</f>
        <v>3886.326</v>
      </c>
      <c r="N878" s="85">
        <f>STATS1003B!N878/1000</f>
        <v>0</v>
      </c>
      <c r="O878" s="85">
        <f>STATS1003B!O878/1000</f>
        <v>0</v>
      </c>
      <c r="P878" s="85">
        <f>STATS1003B!P878/1000</f>
        <v>0</v>
      </c>
      <c r="Q878" s="85">
        <f>STATS1003B!Q878/1000</f>
        <v>3886.326</v>
      </c>
      <c r="R878" s="85">
        <f>STATS1003B!R878/1000</f>
        <v>0</v>
      </c>
      <c r="S878" s="85">
        <f>STATS1003B!S878/1000</f>
        <v>0</v>
      </c>
      <c r="T878" s="85">
        <f>STATS1003B!T878/1000</f>
        <v>0</v>
      </c>
      <c r="U878" s="85">
        <f>STATS1003B!U878/1000</f>
        <v>0</v>
      </c>
      <c r="V878" s="85">
        <f>STATS1003B!V878/1000</f>
        <v>3886.326</v>
      </c>
      <c r="W878" s="85">
        <f>STATS1003B!W878/1000</f>
        <v>0</v>
      </c>
      <c r="X878" s="85">
        <f t="shared" si="111"/>
        <v>3886.326</v>
      </c>
      <c r="Y878" s="85">
        <f>STATS1003B!Y878/1000</f>
        <v>0</v>
      </c>
      <c r="Z878" s="85">
        <f t="shared" si="114"/>
        <v>0</v>
      </c>
      <c r="AA878" s="69">
        <f>STATS1003B!AA878/1000</f>
        <v>3886.326</v>
      </c>
      <c r="AB878" s="69">
        <f>STATS1003B!AB878/1000</f>
        <v>0</v>
      </c>
    </row>
    <row r="879" spans="1:28" hidden="1" x14ac:dyDescent="0.3">
      <c r="A879" s="117"/>
      <c r="C879" s="68" t="s">
        <v>545</v>
      </c>
      <c r="D879" s="87" t="s">
        <v>54</v>
      </c>
      <c r="E879" s="85">
        <f>STATS1003B!E879/1000</f>
        <v>2306.1060000000002</v>
      </c>
      <c r="F879" s="85">
        <f>STATS1003B!F879/1000</f>
        <v>0</v>
      </c>
      <c r="G879" s="85">
        <f>STATS1003B!G879/1000</f>
        <v>0</v>
      </c>
      <c r="H879" s="85">
        <f>STATS1003B!H879/1000</f>
        <v>0</v>
      </c>
      <c r="I879" s="85">
        <f>STATS1003B!I879/1000</f>
        <v>0</v>
      </c>
      <c r="J879" s="85">
        <f>STATS1003B!J879/1000</f>
        <v>0</v>
      </c>
      <c r="K879" s="85">
        <f>STATS1003B!K879/1000</f>
        <v>2306.1060000000002</v>
      </c>
      <c r="L879" s="85">
        <f>STATS1003B!L879/1000</f>
        <v>0</v>
      </c>
      <c r="M879" s="85">
        <f>STATS1003B!M879/1000</f>
        <v>0</v>
      </c>
      <c r="N879" s="85">
        <f>STATS1003B!N879/1000</f>
        <v>2306.1060000000002</v>
      </c>
      <c r="O879" s="85">
        <f>STATS1003B!O879/1000</f>
        <v>0</v>
      </c>
      <c r="P879" s="85">
        <f>STATS1003B!P879/1000</f>
        <v>2306.1060000000002</v>
      </c>
      <c r="Q879" s="85">
        <f>STATS1003B!Q879/1000</f>
        <v>0</v>
      </c>
      <c r="R879" s="85">
        <f>STATS1003B!R879/1000</f>
        <v>0</v>
      </c>
      <c r="S879" s="85">
        <f>STATS1003B!S879/1000</f>
        <v>0</v>
      </c>
      <c r="T879" s="85">
        <f>STATS1003B!T879/1000</f>
        <v>0</v>
      </c>
      <c r="U879" s="85">
        <f>STATS1003B!U879/1000</f>
        <v>2306.1060000000002</v>
      </c>
      <c r="V879" s="85">
        <f>STATS1003B!V879/1000</f>
        <v>2306.1060000000002</v>
      </c>
      <c r="W879" s="85">
        <f>STATS1003B!W879/1000</f>
        <v>0</v>
      </c>
      <c r="X879" s="85">
        <f t="shared" si="111"/>
        <v>2306.1060000000002</v>
      </c>
      <c r="Y879" s="85">
        <f>STATS1003B!Y879/1000</f>
        <v>0</v>
      </c>
      <c r="Z879" s="85">
        <f t="shared" si="114"/>
        <v>0</v>
      </c>
      <c r="AA879" s="69">
        <f>STATS1003B!AA879/1000</f>
        <v>2306.1060000000002</v>
      </c>
      <c r="AB879" s="69">
        <f>STATS1003B!AB879/1000</f>
        <v>0</v>
      </c>
    </row>
    <row r="880" spans="1:28" hidden="1" x14ac:dyDescent="0.3">
      <c r="A880" s="117"/>
      <c r="C880" s="68" t="s">
        <v>655</v>
      </c>
      <c r="D880" s="87" t="s">
        <v>54</v>
      </c>
      <c r="E880" s="85">
        <f>STATS1003B!E880/1000</f>
        <v>955.34561999999994</v>
      </c>
      <c r="F880" s="85">
        <f>STATS1003B!F880/1000</f>
        <v>0</v>
      </c>
      <c r="G880" s="85">
        <f>STATS1003B!G880/1000</f>
        <v>0</v>
      </c>
      <c r="H880" s="85">
        <f>STATS1003B!H880/1000</f>
        <v>0</v>
      </c>
      <c r="I880" s="85">
        <f>STATS1003B!I880/1000</f>
        <v>0</v>
      </c>
      <c r="J880" s="85">
        <f>STATS1003B!J880/1000</f>
        <v>0</v>
      </c>
      <c r="K880" s="85">
        <f>STATS1003B!K880/1000</f>
        <v>955.34561999999994</v>
      </c>
      <c r="L880" s="85">
        <f>STATS1003B!L880/1000</f>
        <v>0</v>
      </c>
      <c r="M880" s="85">
        <f>STATS1003B!M880/1000</f>
        <v>0</v>
      </c>
      <c r="N880" s="85">
        <f>STATS1003B!N880/1000</f>
        <v>955.34561999999994</v>
      </c>
      <c r="O880" s="85">
        <f>STATS1003B!O880/1000</f>
        <v>0</v>
      </c>
      <c r="P880" s="85">
        <f>STATS1003B!P880/1000</f>
        <v>955.34561999999994</v>
      </c>
      <c r="Q880" s="85">
        <f>STATS1003B!Q880/1000</f>
        <v>0</v>
      </c>
      <c r="R880" s="85">
        <f>STATS1003B!R880/1000</f>
        <v>0</v>
      </c>
      <c r="S880" s="85">
        <f>STATS1003B!S880/1000</f>
        <v>0</v>
      </c>
      <c r="T880" s="85">
        <f>STATS1003B!T880/1000</f>
        <v>0</v>
      </c>
      <c r="U880" s="85">
        <f>STATS1003B!U880/1000</f>
        <v>955.34561999999994</v>
      </c>
      <c r="V880" s="85">
        <f>STATS1003B!V880/1000</f>
        <v>955.34561999999994</v>
      </c>
      <c r="W880" s="85">
        <f>STATS1003B!W880/1000</f>
        <v>0</v>
      </c>
      <c r="X880" s="85">
        <f t="shared" si="111"/>
        <v>955.34561999999994</v>
      </c>
      <c r="Y880" s="85">
        <f>STATS1003B!Y880/1000</f>
        <v>0</v>
      </c>
      <c r="Z880" s="85">
        <f t="shared" si="114"/>
        <v>0</v>
      </c>
      <c r="AA880" s="69">
        <f>STATS1003B!AA880/1000</f>
        <v>955.34561999999994</v>
      </c>
      <c r="AB880" s="69">
        <f>STATS1003B!AB880/1000</f>
        <v>0</v>
      </c>
    </row>
    <row r="881" spans="1:28" hidden="1" x14ac:dyDescent="0.3">
      <c r="A881" s="117"/>
      <c r="C881" s="68" t="s">
        <v>535</v>
      </c>
      <c r="D881" s="87" t="s">
        <v>85</v>
      </c>
      <c r="E881" s="85">
        <f>STATS1003B!E881/1000</f>
        <v>342</v>
      </c>
      <c r="F881" s="85">
        <f>STATS1003B!F881/1000</f>
        <v>342</v>
      </c>
      <c r="G881" s="85">
        <f>STATS1003B!G881/1000</f>
        <v>0</v>
      </c>
      <c r="H881" s="85">
        <f>STATS1003B!H881/1000</f>
        <v>342</v>
      </c>
      <c r="I881" s="85">
        <f>STATS1003B!I881/1000</f>
        <v>0</v>
      </c>
      <c r="J881" s="85">
        <f>STATS1003B!J881/1000</f>
        <v>342</v>
      </c>
      <c r="K881" s="85">
        <f>STATS1003B!K881/1000</f>
        <v>0</v>
      </c>
      <c r="L881" s="85">
        <f>STATS1003B!L881/1000</f>
        <v>0</v>
      </c>
      <c r="M881" s="85">
        <f>STATS1003B!M881/1000</f>
        <v>342</v>
      </c>
      <c r="N881" s="85">
        <f>STATS1003B!N881/1000</f>
        <v>0</v>
      </c>
      <c r="O881" s="85">
        <f>STATS1003B!O881/1000</f>
        <v>0</v>
      </c>
      <c r="P881" s="85">
        <f>STATS1003B!P881/1000</f>
        <v>0</v>
      </c>
      <c r="Q881" s="85">
        <f>STATS1003B!Q881/1000</f>
        <v>342</v>
      </c>
      <c r="R881" s="85">
        <f>STATS1003B!R881/1000</f>
        <v>0</v>
      </c>
      <c r="S881" s="85">
        <f>STATS1003B!S881/1000</f>
        <v>0</v>
      </c>
      <c r="T881" s="85">
        <f>STATS1003B!T881/1000</f>
        <v>0</v>
      </c>
      <c r="U881" s="85">
        <f>STATS1003B!U881/1000</f>
        <v>0</v>
      </c>
      <c r="V881" s="85">
        <f>STATS1003B!V881/1000</f>
        <v>342</v>
      </c>
      <c r="W881" s="85">
        <f>STATS1003B!W881/1000</f>
        <v>0</v>
      </c>
      <c r="X881" s="85">
        <f t="shared" si="111"/>
        <v>342</v>
      </c>
      <c r="Y881" s="85">
        <f>STATS1003B!Y881/1000</f>
        <v>0</v>
      </c>
      <c r="Z881" s="85">
        <f t="shared" si="114"/>
        <v>0</v>
      </c>
      <c r="AA881" s="69">
        <f>STATS1003B!AA881/1000</f>
        <v>342</v>
      </c>
      <c r="AB881" s="69">
        <f>STATS1003B!AB881/1000</f>
        <v>0</v>
      </c>
    </row>
    <row r="882" spans="1:28" hidden="1" x14ac:dyDescent="0.3">
      <c r="A882" s="117"/>
      <c r="C882" s="68" t="s">
        <v>654</v>
      </c>
      <c r="D882" s="87" t="s">
        <v>85</v>
      </c>
      <c r="E882" s="85">
        <f>STATS1003B!E882/1000</f>
        <v>3200</v>
      </c>
      <c r="F882" s="85">
        <f>STATS1003B!F882/1000</f>
        <v>3200</v>
      </c>
      <c r="G882" s="85">
        <f>STATS1003B!G882/1000</f>
        <v>0</v>
      </c>
      <c r="H882" s="85">
        <f>STATS1003B!H882/1000</f>
        <v>3200</v>
      </c>
      <c r="I882" s="85">
        <f>STATS1003B!I882/1000</f>
        <v>0</v>
      </c>
      <c r="J882" s="85">
        <f>STATS1003B!J882/1000</f>
        <v>3200</v>
      </c>
      <c r="K882" s="85">
        <f>STATS1003B!K882/1000</f>
        <v>0</v>
      </c>
      <c r="L882" s="85">
        <f>STATS1003B!L882/1000</f>
        <v>0</v>
      </c>
      <c r="M882" s="85">
        <f>STATS1003B!M882/1000</f>
        <v>3200</v>
      </c>
      <c r="N882" s="85">
        <f>STATS1003B!N882/1000</f>
        <v>0</v>
      </c>
      <c r="O882" s="85">
        <f>STATS1003B!O882/1000</f>
        <v>0</v>
      </c>
      <c r="P882" s="85">
        <f>STATS1003B!P882/1000</f>
        <v>0</v>
      </c>
      <c r="Q882" s="85">
        <f>STATS1003B!Q882/1000</f>
        <v>3200</v>
      </c>
      <c r="R882" s="85">
        <f>STATS1003B!R882/1000</f>
        <v>0</v>
      </c>
      <c r="S882" s="85">
        <f>STATS1003B!S882/1000</f>
        <v>0</v>
      </c>
      <c r="T882" s="85">
        <f>STATS1003B!T882/1000</f>
        <v>0</v>
      </c>
      <c r="U882" s="85">
        <f>STATS1003B!U882/1000</f>
        <v>0</v>
      </c>
      <c r="V882" s="85">
        <f>STATS1003B!V882/1000</f>
        <v>3200</v>
      </c>
      <c r="W882" s="85">
        <f>STATS1003B!W882/1000</f>
        <v>0</v>
      </c>
      <c r="X882" s="85">
        <f t="shared" si="111"/>
        <v>3200</v>
      </c>
      <c r="Y882" s="85">
        <f>STATS1003B!Y882/1000</f>
        <v>0</v>
      </c>
      <c r="Z882" s="85">
        <f t="shared" si="114"/>
        <v>0</v>
      </c>
      <c r="AA882" s="69">
        <f>STATS1003B!AA882/1000</f>
        <v>3200</v>
      </c>
      <c r="AB882" s="69">
        <f>STATS1003B!AB882/1000</f>
        <v>0</v>
      </c>
    </row>
    <row r="883" spans="1:28" hidden="1" x14ac:dyDescent="0.3">
      <c r="A883" s="117"/>
      <c r="C883" s="68" t="s">
        <v>535</v>
      </c>
      <c r="D883" s="87" t="s">
        <v>128</v>
      </c>
      <c r="E883" s="85">
        <f>STATS1003B!E883/1000</f>
        <v>2000</v>
      </c>
      <c r="F883" s="85">
        <f>STATS1003B!F883/1000</f>
        <v>2000</v>
      </c>
      <c r="G883" s="85">
        <f>STATS1003B!G883/1000</f>
        <v>0</v>
      </c>
      <c r="H883" s="85">
        <f>STATS1003B!H883/1000</f>
        <v>2000</v>
      </c>
      <c r="I883" s="85">
        <f>STATS1003B!I883/1000</f>
        <v>0</v>
      </c>
      <c r="J883" s="85">
        <f>STATS1003B!J883/1000</f>
        <v>2000</v>
      </c>
      <c r="K883" s="85">
        <f>STATS1003B!K883/1000</f>
        <v>0</v>
      </c>
      <c r="L883" s="85">
        <f>STATS1003B!L883/1000</f>
        <v>0</v>
      </c>
      <c r="M883" s="85">
        <f>STATS1003B!M883/1000</f>
        <v>2000</v>
      </c>
      <c r="N883" s="85">
        <f>STATS1003B!N883/1000</f>
        <v>0</v>
      </c>
      <c r="O883" s="85">
        <f>STATS1003B!O883/1000</f>
        <v>0</v>
      </c>
      <c r="P883" s="85">
        <f>STATS1003B!P883/1000</f>
        <v>0</v>
      </c>
      <c r="Q883" s="85">
        <f>STATS1003B!Q883/1000</f>
        <v>2000</v>
      </c>
      <c r="R883" s="85">
        <f>STATS1003B!R883/1000</f>
        <v>0</v>
      </c>
      <c r="S883" s="85">
        <f>STATS1003B!S883/1000</f>
        <v>0</v>
      </c>
      <c r="T883" s="85">
        <f>STATS1003B!T883/1000</f>
        <v>0</v>
      </c>
      <c r="U883" s="85">
        <f>STATS1003B!U883/1000</f>
        <v>0</v>
      </c>
      <c r="V883" s="85">
        <f>STATS1003B!V883/1000</f>
        <v>2000</v>
      </c>
      <c r="W883" s="85">
        <f>STATS1003B!W883/1000</f>
        <v>0</v>
      </c>
      <c r="X883" s="85">
        <f t="shared" si="111"/>
        <v>2000</v>
      </c>
      <c r="Y883" s="85">
        <f>STATS1003B!Y883/1000</f>
        <v>0</v>
      </c>
      <c r="Z883" s="85">
        <f t="shared" si="114"/>
        <v>0</v>
      </c>
      <c r="AA883" s="69">
        <f>STATS1003B!AA883/1000</f>
        <v>2000</v>
      </c>
      <c r="AB883" s="69">
        <f>STATS1003B!AB883/1000</f>
        <v>0</v>
      </c>
    </row>
    <row r="884" spans="1:28" hidden="1" x14ac:dyDescent="0.3">
      <c r="A884" s="117"/>
      <c r="C884" s="68" t="s">
        <v>656</v>
      </c>
      <c r="D884" s="87" t="s">
        <v>128</v>
      </c>
      <c r="E884" s="85">
        <f>STATS1003B!E884/1000</f>
        <v>400</v>
      </c>
      <c r="F884" s="85">
        <f>STATS1003B!F884/1000</f>
        <v>400</v>
      </c>
      <c r="G884" s="85">
        <f>STATS1003B!G884/1000</f>
        <v>0</v>
      </c>
      <c r="H884" s="85">
        <f>STATS1003B!H884/1000</f>
        <v>400</v>
      </c>
      <c r="I884" s="85">
        <f>STATS1003B!I884/1000</f>
        <v>0</v>
      </c>
      <c r="J884" s="85">
        <f>STATS1003B!J884/1000</f>
        <v>400</v>
      </c>
      <c r="K884" s="85">
        <f>STATS1003B!K884/1000</f>
        <v>0</v>
      </c>
      <c r="L884" s="85">
        <f>STATS1003B!L884/1000</f>
        <v>0</v>
      </c>
      <c r="M884" s="85">
        <f>STATS1003B!M884/1000</f>
        <v>400</v>
      </c>
      <c r="N884" s="85">
        <f>STATS1003B!N884/1000</f>
        <v>0</v>
      </c>
      <c r="O884" s="85">
        <f>STATS1003B!O884/1000</f>
        <v>0</v>
      </c>
      <c r="P884" s="85">
        <f>STATS1003B!P884/1000</f>
        <v>0</v>
      </c>
      <c r="Q884" s="85">
        <f>STATS1003B!Q884/1000</f>
        <v>400</v>
      </c>
      <c r="R884" s="85">
        <f>STATS1003B!R884/1000</f>
        <v>0</v>
      </c>
      <c r="S884" s="85">
        <f>STATS1003B!S884/1000</f>
        <v>0</v>
      </c>
      <c r="T884" s="85">
        <f>STATS1003B!T884/1000</f>
        <v>0</v>
      </c>
      <c r="U884" s="85">
        <f>STATS1003B!U884/1000</f>
        <v>0</v>
      </c>
      <c r="V884" s="85">
        <f>STATS1003B!V884/1000</f>
        <v>400</v>
      </c>
      <c r="W884" s="85">
        <f>STATS1003B!W884/1000</f>
        <v>0</v>
      </c>
      <c r="X884" s="85">
        <f t="shared" si="111"/>
        <v>400</v>
      </c>
      <c r="Y884" s="85">
        <f>STATS1003B!Y884/1000</f>
        <v>0</v>
      </c>
      <c r="Z884" s="85">
        <f t="shared" si="114"/>
        <v>0</v>
      </c>
      <c r="AA884" s="69">
        <f>STATS1003B!AA884/1000</f>
        <v>400</v>
      </c>
      <c r="AB884" s="69">
        <f>STATS1003B!AB884/1000</f>
        <v>0</v>
      </c>
    </row>
    <row r="885" spans="1:28" hidden="1" x14ac:dyDescent="0.3">
      <c r="A885" s="117"/>
      <c r="C885" s="68" t="s">
        <v>535</v>
      </c>
      <c r="D885" s="87" t="s">
        <v>108</v>
      </c>
      <c r="E885" s="85">
        <f>STATS1003B!E885/1000</f>
        <v>2778.43543</v>
      </c>
      <c r="F885" s="85">
        <f>STATS1003B!F885/1000</f>
        <v>2778.43543</v>
      </c>
      <c r="G885" s="85">
        <f>STATS1003B!G885/1000</f>
        <v>0</v>
      </c>
      <c r="H885" s="85">
        <f>STATS1003B!H885/1000</f>
        <v>2778.43543</v>
      </c>
      <c r="I885" s="85">
        <f>STATS1003B!I885/1000</f>
        <v>0</v>
      </c>
      <c r="J885" s="85">
        <f>STATS1003B!J885/1000</f>
        <v>2778.43543</v>
      </c>
      <c r="K885" s="85">
        <f>STATS1003B!K885/1000</f>
        <v>0</v>
      </c>
      <c r="L885" s="85">
        <f>STATS1003B!L885/1000</f>
        <v>0</v>
      </c>
      <c r="M885" s="85">
        <f>STATS1003B!M885/1000</f>
        <v>2778.43543</v>
      </c>
      <c r="N885" s="85">
        <f>STATS1003B!N885/1000</f>
        <v>0</v>
      </c>
      <c r="O885" s="85">
        <f>STATS1003B!O885/1000</f>
        <v>0</v>
      </c>
      <c r="P885" s="85">
        <f>STATS1003B!P885/1000</f>
        <v>0</v>
      </c>
      <c r="Q885" s="85">
        <f>STATS1003B!Q885/1000</f>
        <v>2778.43543</v>
      </c>
      <c r="R885" s="85">
        <f>STATS1003B!R885/1000</f>
        <v>0</v>
      </c>
      <c r="S885" s="85">
        <f>STATS1003B!S885/1000</f>
        <v>0</v>
      </c>
      <c r="T885" s="85">
        <f>STATS1003B!T885/1000</f>
        <v>0</v>
      </c>
      <c r="U885" s="85">
        <f>STATS1003B!U885/1000</f>
        <v>0</v>
      </c>
      <c r="V885" s="85">
        <f>STATS1003B!V885/1000</f>
        <v>2778.43543</v>
      </c>
      <c r="W885" s="85">
        <f>STATS1003B!W885/1000</f>
        <v>0</v>
      </c>
      <c r="X885" s="85">
        <f t="shared" si="111"/>
        <v>2778.43543</v>
      </c>
      <c r="Y885" s="85">
        <f>STATS1003B!Y885/1000</f>
        <v>0</v>
      </c>
      <c r="Z885" s="85">
        <f t="shared" si="114"/>
        <v>0</v>
      </c>
      <c r="AA885" s="69">
        <f>STATS1003B!AA885/1000</f>
        <v>2778.43543</v>
      </c>
      <c r="AB885" s="69">
        <f>STATS1003B!AB885/1000</f>
        <v>0</v>
      </c>
    </row>
    <row r="886" spans="1:28" hidden="1" x14ac:dyDescent="0.3">
      <c r="A886" s="117"/>
      <c r="C886" s="68" t="s">
        <v>535</v>
      </c>
      <c r="D886" s="87" t="s">
        <v>60</v>
      </c>
      <c r="E886" s="85">
        <f>STATS1003B!E886/1000</f>
        <v>2957.67</v>
      </c>
      <c r="F886" s="85">
        <f>STATS1003B!F886/1000</f>
        <v>2957.67</v>
      </c>
      <c r="G886" s="85">
        <f>STATS1003B!G886/1000</f>
        <v>0</v>
      </c>
      <c r="H886" s="85">
        <f>STATS1003B!H886/1000</f>
        <v>2957.67</v>
      </c>
      <c r="I886" s="85">
        <f>STATS1003B!I886/1000</f>
        <v>0</v>
      </c>
      <c r="J886" s="85">
        <f>STATS1003B!J886/1000</f>
        <v>2957.67</v>
      </c>
      <c r="K886" s="85">
        <f>STATS1003B!K886/1000</f>
        <v>0</v>
      </c>
      <c r="L886" s="85">
        <f>STATS1003B!L886/1000</f>
        <v>0</v>
      </c>
      <c r="M886" s="85">
        <f>STATS1003B!M886/1000</f>
        <v>2957.67</v>
      </c>
      <c r="N886" s="85">
        <f>STATS1003B!N886/1000</f>
        <v>0</v>
      </c>
      <c r="O886" s="85">
        <f>STATS1003B!O886/1000</f>
        <v>0</v>
      </c>
      <c r="P886" s="85">
        <f>STATS1003B!P886/1000</f>
        <v>0</v>
      </c>
      <c r="Q886" s="85">
        <f>STATS1003B!Q886/1000</f>
        <v>2957.67</v>
      </c>
      <c r="R886" s="85">
        <f>STATS1003B!R886/1000</f>
        <v>0</v>
      </c>
      <c r="S886" s="85">
        <f>STATS1003B!S886/1000</f>
        <v>0</v>
      </c>
      <c r="T886" s="85">
        <f>STATS1003B!T886/1000</f>
        <v>0</v>
      </c>
      <c r="U886" s="85">
        <f>STATS1003B!U886/1000</f>
        <v>0</v>
      </c>
      <c r="V886" s="85">
        <f>STATS1003B!V886/1000</f>
        <v>2957.67</v>
      </c>
      <c r="W886" s="85">
        <f>STATS1003B!W886/1000</f>
        <v>0</v>
      </c>
      <c r="X886" s="85">
        <f t="shared" si="111"/>
        <v>2957.67</v>
      </c>
      <c r="Y886" s="85">
        <f>STATS1003B!Y886/1000</f>
        <v>0</v>
      </c>
      <c r="Z886" s="85">
        <f t="shared" si="114"/>
        <v>0</v>
      </c>
      <c r="AA886" s="69">
        <f>STATS1003B!AA886/1000</f>
        <v>2957.67</v>
      </c>
      <c r="AB886" s="69">
        <f>STATS1003B!AB886/1000</f>
        <v>0</v>
      </c>
    </row>
    <row r="887" spans="1:28" hidden="1" x14ac:dyDescent="0.3">
      <c r="A887" s="117"/>
      <c r="C887" s="68" t="s">
        <v>535</v>
      </c>
      <c r="D887" s="87" t="s">
        <v>61</v>
      </c>
      <c r="E887" s="85">
        <f>STATS1003B!E887/1000</f>
        <v>1326.96</v>
      </c>
      <c r="F887" s="85">
        <f>STATS1003B!F887/1000</f>
        <v>1326.96</v>
      </c>
      <c r="G887" s="85">
        <f>STATS1003B!G887/1000</f>
        <v>0</v>
      </c>
      <c r="H887" s="85">
        <f>STATS1003B!H887/1000</f>
        <v>1326.96</v>
      </c>
      <c r="I887" s="85">
        <f>STATS1003B!I887/1000</f>
        <v>0</v>
      </c>
      <c r="J887" s="85">
        <f>STATS1003B!J887/1000</f>
        <v>1326.96</v>
      </c>
      <c r="K887" s="85">
        <f>STATS1003B!K887/1000</f>
        <v>0</v>
      </c>
      <c r="L887" s="85">
        <f>STATS1003B!L887/1000</f>
        <v>0</v>
      </c>
      <c r="M887" s="85">
        <f>STATS1003B!M887/1000</f>
        <v>1326.96</v>
      </c>
      <c r="N887" s="85">
        <f>STATS1003B!N887/1000</f>
        <v>0</v>
      </c>
      <c r="O887" s="85">
        <f>STATS1003B!O887/1000</f>
        <v>0</v>
      </c>
      <c r="P887" s="85">
        <f>STATS1003B!P887/1000</f>
        <v>0</v>
      </c>
      <c r="Q887" s="85">
        <f>STATS1003B!Q887/1000</f>
        <v>1326.96</v>
      </c>
      <c r="R887" s="85">
        <f>STATS1003B!R887/1000</f>
        <v>0</v>
      </c>
      <c r="S887" s="85">
        <f>STATS1003B!S887/1000</f>
        <v>0</v>
      </c>
      <c r="T887" s="85">
        <f>STATS1003B!T887/1000</f>
        <v>0</v>
      </c>
      <c r="U887" s="85">
        <f>STATS1003B!U887/1000</f>
        <v>0</v>
      </c>
      <c r="V887" s="85">
        <f>STATS1003B!V887/1000</f>
        <v>1326.96</v>
      </c>
      <c r="W887" s="85">
        <f>STATS1003B!W887/1000</f>
        <v>0</v>
      </c>
      <c r="X887" s="85">
        <f t="shared" si="111"/>
        <v>1326.96</v>
      </c>
      <c r="Y887" s="85">
        <f>STATS1003B!Y887/1000</f>
        <v>0</v>
      </c>
      <c r="Z887" s="85">
        <f t="shared" si="114"/>
        <v>0</v>
      </c>
      <c r="AA887" s="69">
        <f>STATS1003B!AA887/1000</f>
        <v>1326.96</v>
      </c>
      <c r="AB887" s="69">
        <f>STATS1003B!AB887/1000</f>
        <v>0</v>
      </c>
    </row>
    <row r="888" spans="1:28" hidden="1" x14ac:dyDescent="0.3">
      <c r="A888" s="117"/>
      <c r="C888" s="68" t="s">
        <v>1093</v>
      </c>
      <c r="D888" s="90" t="s">
        <v>1072</v>
      </c>
      <c r="E888" s="85">
        <f>STATS1003B!E888/1000</f>
        <v>300</v>
      </c>
      <c r="F888" s="85">
        <f>STATS1003B!F888/1000</f>
        <v>300</v>
      </c>
      <c r="G888" s="85">
        <f>STATS1003B!G888/1000</f>
        <v>0</v>
      </c>
      <c r="H888" s="85">
        <f>STATS1003B!H888/1000</f>
        <v>300</v>
      </c>
      <c r="I888" s="85">
        <f>STATS1003B!I888/1000</f>
        <v>0</v>
      </c>
      <c r="J888" s="85">
        <f>STATS1003B!J888/1000</f>
        <v>0</v>
      </c>
      <c r="K888" s="85">
        <f>STATS1003B!K888/1000</f>
        <v>0</v>
      </c>
      <c r="L888" s="85">
        <f>STATS1003B!L888/1000</f>
        <v>0</v>
      </c>
      <c r="M888" s="85">
        <f>STATS1003B!M888/1000</f>
        <v>300</v>
      </c>
      <c r="N888" s="85">
        <f>STATS1003B!N888/1000</f>
        <v>0</v>
      </c>
      <c r="O888" s="85">
        <f>STATS1003B!O888/1000</f>
        <v>0</v>
      </c>
      <c r="P888" s="85">
        <f>STATS1003B!P888/1000</f>
        <v>0</v>
      </c>
      <c r="Q888" s="85">
        <f>STATS1003B!Q888/1000</f>
        <v>0</v>
      </c>
      <c r="R888" s="85">
        <f>STATS1003B!R888/1000</f>
        <v>0</v>
      </c>
      <c r="S888" s="85">
        <f>STATS1003B!S888/1000</f>
        <v>0</v>
      </c>
      <c r="T888" s="85">
        <f>STATS1003B!T888/1000</f>
        <v>0</v>
      </c>
      <c r="U888" s="85">
        <f>STATS1003B!U888/1000</f>
        <v>0</v>
      </c>
      <c r="V888" s="85">
        <f>STATS1003B!V888/1000</f>
        <v>0</v>
      </c>
      <c r="W888" s="85">
        <f>STATS1003B!W888/1000</f>
        <v>0</v>
      </c>
      <c r="X888" s="85">
        <f t="shared" si="111"/>
        <v>300</v>
      </c>
      <c r="Y888" s="85">
        <f>STATS1003B!Y888/1000</f>
        <v>0</v>
      </c>
      <c r="Z888" s="85">
        <f t="shared" si="114"/>
        <v>0</v>
      </c>
      <c r="AA888" s="69">
        <f>STATS1003B!AA888/1000</f>
        <v>300</v>
      </c>
      <c r="AB888" s="69">
        <f>STATS1003B!AB888/1000</f>
        <v>0</v>
      </c>
    </row>
    <row r="889" spans="1:28" hidden="1" x14ac:dyDescent="0.3">
      <c r="A889" s="117"/>
      <c r="C889" s="68" t="s">
        <v>933</v>
      </c>
      <c r="D889" s="90" t="s">
        <v>1072</v>
      </c>
      <c r="E889" s="85">
        <f>STATS1003B!E889/1000</f>
        <v>1109</v>
      </c>
      <c r="F889" s="85">
        <f>STATS1003B!F889/1000</f>
        <v>1109</v>
      </c>
      <c r="G889" s="85">
        <f>STATS1003B!G889/1000</f>
        <v>0</v>
      </c>
      <c r="H889" s="85">
        <f>STATS1003B!H889/1000</f>
        <v>1109</v>
      </c>
      <c r="I889" s="85">
        <f>STATS1003B!I889/1000</f>
        <v>0</v>
      </c>
      <c r="J889" s="85">
        <f>STATS1003B!J889/1000</f>
        <v>0</v>
      </c>
      <c r="K889" s="85">
        <f>STATS1003B!K889/1000</f>
        <v>0</v>
      </c>
      <c r="L889" s="85">
        <f>STATS1003B!L889/1000</f>
        <v>0</v>
      </c>
      <c r="M889" s="85">
        <f>STATS1003B!M889/1000</f>
        <v>1109</v>
      </c>
      <c r="N889" s="85">
        <f>STATS1003B!N889/1000</f>
        <v>0</v>
      </c>
      <c r="O889" s="85">
        <f>STATS1003B!O889/1000</f>
        <v>0</v>
      </c>
      <c r="P889" s="85">
        <f>STATS1003B!P889/1000</f>
        <v>0</v>
      </c>
      <c r="Q889" s="85">
        <f>STATS1003B!Q889/1000</f>
        <v>0</v>
      </c>
      <c r="R889" s="85">
        <f>STATS1003B!R889/1000</f>
        <v>0</v>
      </c>
      <c r="S889" s="85">
        <f>STATS1003B!S889/1000</f>
        <v>0</v>
      </c>
      <c r="T889" s="85">
        <f>STATS1003B!T889/1000</f>
        <v>0</v>
      </c>
      <c r="U889" s="85">
        <f>STATS1003B!U889/1000</f>
        <v>0</v>
      </c>
      <c r="V889" s="85">
        <f>STATS1003B!V889/1000</f>
        <v>0</v>
      </c>
      <c r="W889" s="85">
        <f>STATS1003B!W889/1000</f>
        <v>0</v>
      </c>
      <c r="X889" s="85">
        <f t="shared" si="111"/>
        <v>1109</v>
      </c>
      <c r="Y889" s="85">
        <f>STATS1003B!Y889/1000</f>
        <v>0</v>
      </c>
      <c r="Z889" s="85">
        <f t="shared" si="114"/>
        <v>0</v>
      </c>
      <c r="AA889" s="69">
        <f>STATS1003B!AA889/1000</f>
        <v>1109</v>
      </c>
      <c r="AB889" s="69">
        <f>STATS1003B!AB889/1000</f>
        <v>0</v>
      </c>
    </row>
    <row r="890" spans="1:28" hidden="1" x14ac:dyDescent="0.3">
      <c r="A890" s="117"/>
      <c r="C890" s="68" t="s">
        <v>1116</v>
      </c>
      <c r="D890" s="90" t="s">
        <v>1126</v>
      </c>
      <c r="E890" s="85">
        <f>STATS1003B!E890/1000</f>
        <v>79.806250000000006</v>
      </c>
      <c r="F890" s="85">
        <f>STATS1003B!F890/1000</f>
        <v>79.806250000000006</v>
      </c>
      <c r="G890" s="85">
        <f>STATS1003B!G890/1000</f>
        <v>0</v>
      </c>
      <c r="H890" s="85">
        <f>STATS1003B!H890/1000</f>
        <v>79.806250000000006</v>
      </c>
      <c r="I890" s="85">
        <f>STATS1003B!I890/1000</f>
        <v>0</v>
      </c>
      <c r="J890" s="85">
        <f>STATS1003B!J890/1000</f>
        <v>0</v>
      </c>
      <c r="K890" s="85">
        <f>STATS1003B!K890/1000</f>
        <v>0</v>
      </c>
      <c r="L890" s="85">
        <f>STATS1003B!L890/1000</f>
        <v>0</v>
      </c>
      <c r="M890" s="85">
        <f>STATS1003B!M890/1000</f>
        <v>79.806250000000006</v>
      </c>
      <c r="N890" s="85">
        <f>STATS1003B!N890/1000</f>
        <v>0</v>
      </c>
      <c r="O890" s="85">
        <f>STATS1003B!O890/1000</f>
        <v>0</v>
      </c>
      <c r="P890" s="85">
        <f>STATS1003B!P890/1000</f>
        <v>0</v>
      </c>
      <c r="Q890" s="85">
        <f>STATS1003B!Q890/1000</f>
        <v>0</v>
      </c>
      <c r="R890" s="85">
        <f>STATS1003B!R890/1000</f>
        <v>0</v>
      </c>
      <c r="S890" s="85">
        <f>STATS1003B!S890/1000</f>
        <v>0</v>
      </c>
      <c r="T890" s="85">
        <f>STATS1003B!T890/1000</f>
        <v>0</v>
      </c>
      <c r="U890" s="85">
        <f>STATS1003B!U890/1000</f>
        <v>0</v>
      </c>
      <c r="V890" s="85">
        <f>STATS1003B!V890/1000</f>
        <v>0</v>
      </c>
      <c r="W890" s="85">
        <f>STATS1003B!W890/1000</f>
        <v>0</v>
      </c>
      <c r="X890" s="85">
        <f t="shared" si="111"/>
        <v>79.806250000000006</v>
      </c>
      <c r="Y890" s="85">
        <f>STATS1003B!Y890/1000</f>
        <v>0</v>
      </c>
      <c r="Z890" s="85">
        <f t="shared" si="114"/>
        <v>0</v>
      </c>
      <c r="AA890" s="69">
        <f>STATS1003B!AA890/1000</f>
        <v>79.806250000000006</v>
      </c>
      <c r="AB890" s="69">
        <f>STATS1003B!AB890/1000</f>
        <v>0</v>
      </c>
    </row>
    <row r="891" spans="1:28" hidden="1" x14ac:dyDescent="0.3">
      <c r="A891" s="117"/>
      <c r="C891" s="68" t="s">
        <v>657</v>
      </c>
      <c r="E891" s="85">
        <f>STATS1003B!E891/1000</f>
        <v>50</v>
      </c>
      <c r="F891" s="85">
        <f>STATS1003B!F891/1000</f>
        <v>0</v>
      </c>
      <c r="G891" s="85">
        <f>STATS1003B!G891/1000</f>
        <v>0</v>
      </c>
      <c r="H891" s="85">
        <f>STATS1003B!H891/1000</f>
        <v>0</v>
      </c>
      <c r="I891" s="85">
        <f>STATS1003B!I891/1000</f>
        <v>0</v>
      </c>
      <c r="J891" s="85">
        <f>STATS1003B!J891/1000</f>
        <v>0</v>
      </c>
      <c r="K891" s="85">
        <f>STATS1003B!K891/1000</f>
        <v>0</v>
      </c>
      <c r="L891" s="85">
        <f>STATS1003B!L891/1000</f>
        <v>0</v>
      </c>
      <c r="M891" s="85">
        <f>STATS1003B!M891/1000</f>
        <v>0</v>
      </c>
      <c r="N891" s="85">
        <f>STATS1003B!N891/1000</f>
        <v>0</v>
      </c>
      <c r="O891" s="85">
        <f>STATS1003B!O891/1000</f>
        <v>0</v>
      </c>
      <c r="P891" s="85">
        <f>STATS1003B!P891/1000</f>
        <v>0</v>
      </c>
      <c r="Q891" s="85">
        <f>STATS1003B!Q891/1000</f>
        <v>50</v>
      </c>
      <c r="R891" s="85">
        <f>STATS1003B!R891/1000</f>
        <v>0</v>
      </c>
      <c r="S891" s="85">
        <f>STATS1003B!S891/1000</f>
        <v>0</v>
      </c>
      <c r="T891" s="85">
        <f>STATS1003B!T891/1000</f>
        <v>0</v>
      </c>
      <c r="U891" s="85">
        <f>STATS1003B!U891/1000</f>
        <v>0</v>
      </c>
      <c r="V891" s="85">
        <f>STATS1003B!V891/1000</f>
        <v>0</v>
      </c>
      <c r="W891" s="85">
        <f>STATS1003B!W891/1000</f>
        <v>50</v>
      </c>
      <c r="X891" s="85">
        <f t="shared" si="111"/>
        <v>0</v>
      </c>
      <c r="Y891" s="85">
        <f>STATS1003B!Y891/1000</f>
        <v>0</v>
      </c>
      <c r="Z891" s="85">
        <f t="shared" si="114"/>
        <v>50</v>
      </c>
      <c r="AA891" s="69">
        <f>STATS1003B!AA891/1000</f>
        <v>0</v>
      </c>
      <c r="AB891" s="69">
        <f>STATS1003B!AB891/1000</f>
        <v>50</v>
      </c>
    </row>
    <row r="892" spans="1:28" hidden="1" x14ac:dyDescent="0.3">
      <c r="A892" s="117"/>
      <c r="C892" s="68" t="s">
        <v>551</v>
      </c>
      <c r="E892" s="85">
        <f>STATS1003B!E892/1000</f>
        <v>23459.560989999998</v>
      </c>
      <c r="F892" s="85">
        <f>STATS1003B!F892/1000</f>
        <v>23459.560990000002</v>
      </c>
      <c r="G892" s="85">
        <f>STATS1003B!G892/1000</f>
        <v>0</v>
      </c>
      <c r="H892" s="85">
        <f>STATS1003B!H892/1000</f>
        <v>23459.560990000002</v>
      </c>
      <c r="I892" s="85">
        <f>STATS1003B!I892/1000</f>
        <v>0</v>
      </c>
      <c r="J892" s="85">
        <f>STATS1003B!J892/1000</f>
        <v>23459.560990000002</v>
      </c>
      <c r="K892" s="85">
        <f>STATS1003B!K892/1000</f>
        <v>0</v>
      </c>
      <c r="L892" s="85">
        <f>STATS1003B!L892/1000</f>
        <v>0</v>
      </c>
      <c r="M892" s="85">
        <f>STATS1003B!M892/1000</f>
        <v>23459.560990000002</v>
      </c>
      <c r="N892" s="85">
        <f>STATS1003B!N892/1000</f>
        <v>0</v>
      </c>
      <c r="O892" s="85">
        <f>STATS1003B!O892/1000</f>
        <v>0</v>
      </c>
      <c r="P892" s="85">
        <f>STATS1003B!P892/1000</f>
        <v>0</v>
      </c>
      <c r="Q892" s="85">
        <f>STATS1003B!Q892/1000</f>
        <v>23459.560989999998</v>
      </c>
      <c r="R892" s="85">
        <f>STATS1003B!R892/1000</f>
        <v>0</v>
      </c>
      <c r="S892" s="85">
        <f>STATS1003B!S892/1000</f>
        <v>0</v>
      </c>
      <c r="T892" s="85">
        <f>STATS1003B!T892/1000</f>
        <v>0</v>
      </c>
      <c r="U892" s="85">
        <f>STATS1003B!U892/1000</f>
        <v>0</v>
      </c>
      <c r="V892" s="85">
        <f>STATS1003B!V892/1000</f>
        <v>23459.560990000002</v>
      </c>
      <c r="W892" s="85">
        <f>STATS1003B!W892/1000</f>
        <v>0</v>
      </c>
      <c r="X892" s="85">
        <f t="shared" si="111"/>
        <v>23459.560990000002</v>
      </c>
      <c r="Y892" s="85">
        <f>STATS1003B!Y892/1000</f>
        <v>0</v>
      </c>
      <c r="Z892" s="85">
        <f t="shared" si="114"/>
        <v>0</v>
      </c>
      <c r="AA892" s="69">
        <f>STATS1003B!AA892/1000</f>
        <v>23459.560990000002</v>
      </c>
      <c r="AB892" s="69">
        <f>STATS1003B!AB892/1000</f>
        <v>0</v>
      </c>
    </row>
    <row r="893" spans="1:28" hidden="1" x14ac:dyDescent="0.3">
      <c r="A893" s="117"/>
      <c r="C893" s="68" t="s">
        <v>606</v>
      </c>
      <c r="E893" s="85">
        <f>STATS1003B!E893/1000</f>
        <v>1989.4285400000001</v>
      </c>
      <c r="F893" s="85">
        <f>STATS1003B!F893/1000</f>
        <v>1989.4285400000001</v>
      </c>
      <c r="G893" s="85">
        <f>STATS1003B!G893/1000</f>
        <v>0</v>
      </c>
      <c r="H893" s="85">
        <f>STATS1003B!H893/1000</f>
        <v>1989.4285400000001</v>
      </c>
      <c r="I893" s="85">
        <f>STATS1003B!I893/1000</f>
        <v>0</v>
      </c>
      <c r="J893" s="85">
        <f>STATS1003B!J893/1000</f>
        <v>1989.4285400000001</v>
      </c>
      <c r="K893" s="85">
        <f>STATS1003B!K893/1000</f>
        <v>0</v>
      </c>
      <c r="L893" s="85">
        <f>STATS1003B!L893/1000</f>
        <v>0</v>
      </c>
      <c r="M893" s="85">
        <f>STATS1003B!M893/1000</f>
        <v>1989.4285400000001</v>
      </c>
      <c r="N893" s="85">
        <f>STATS1003B!N893/1000</f>
        <v>0</v>
      </c>
      <c r="O893" s="85">
        <f>STATS1003B!O893/1000</f>
        <v>0</v>
      </c>
      <c r="P893" s="85">
        <f>STATS1003B!P893/1000</f>
        <v>0</v>
      </c>
      <c r="Q893" s="85">
        <f>STATS1003B!Q893/1000</f>
        <v>1989.4285400000001</v>
      </c>
      <c r="R893" s="85">
        <f>STATS1003B!R893/1000</f>
        <v>0</v>
      </c>
      <c r="S893" s="85">
        <f>STATS1003B!S893/1000</f>
        <v>0</v>
      </c>
      <c r="T893" s="85">
        <f>STATS1003B!T893/1000</f>
        <v>0</v>
      </c>
      <c r="U893" s="85">
        <f>STATS1003B!U893/1000</f>
        <v>0</v>
      </c>
      <c r="V893" s="85">
        <f>STATS1003B!V893/1000</f>
        <v>1989.4285400000001</v>
      </c>
      <c r="W893" s="85">
        <f>STATS1003B!W893/1000</f>
        <v>0</v>
      </c>
      <c r="X893" s="85">
        <f t="shared" si="111"/>
        <v>1989.4285400000001</v>
      </c>
      <c r="Y893" s="85">
        <f>STATS1003B!Y893/1000</f>
        <v>0</v>
      </c>
      <c r="Z893" s="85">
        <f t="shared" si="114"/>
        <v>0</v>
      </c>
      <c r="AA893" s="69">
        <f>STATS1003B!AA893/1000</f>
        <v>1989.4285400000001</v>
      </c>
      <c r="AB893" s="69">
        <f>STATS1003B!AB893/1000</f>
        <v>0</v>
      </c>
    </row>
    <row r="894" spans="1:28" hidden="1" x14ac:dyDescent="0.3">
      <c r="A894" s="117"/>
      <c r="E894" s="86" t="s">
        <v>29</v>
      </c>
      <c r="F894" s="86" t="s">
        <v>29</v>
      </c>
      <c r="G894" s="86" t="s">
        <v>29</v>
      </c>
      <c r="H894" s="86" t="s">
        <v>29</v>
      </c>
      <c r="I894" s="86" t="s">
        <v>29</v>
      </c>
      <c r="J894" s="86" t="s">
        <v>29</v>
      </c>
      <c r="K894" s="86" t="s">
        <v>29</v>
      </c>
      <c r="L894" s="86" t="s">
        <v>29</v>
      </c>
      <c r="M894" s="86" t="s">
        <v>29</v>
      </c>
      <c r="N894" s="86" t="s">
        <v>29</v>
      </c>
      <c r="O894" s="86" t="s">
        <v>29</v>
      </c>
      <c r="P894" s="86" t="s">
        <v>29</v>
      </c>
      <c r="Q894" s="86" t="s">
        <v>29</v>
      </c>
      <c r="R894" s="86" t="s">
        <v>29</v>
      </c>
      <c r="S894" s="86" t="s">
        <v>29</v>
      </c>
      <c r="T894" s="86" t="s">
        <v>29</v>
      </c>
      <c r="U894" s="86" t="s">
        <v>29</v>
      </c>
      <c r="V894" s="86" t="s">
        <v>29</v>
      </c>
      <c r="W894" s="86" t="s">
        <v>29</v>
      </c>
      <c r="X894" s="85" t="e">
        <f t="shared" si="111"/>
        <v>#VALUE!</v>
      </c>
      <c r="Y894" s="86" t="s">
        <v>29</v>
      </c>
      <c r="Z894" s="85" t="e">
        <f t="shared" si="114"/>
        <v>#VALUE!</v>
      </c>
      <c r="AA894" s="115" t="s">
        <v>29</v>
      </c>
      <c r="AB894" s="115" t="s">
        <v>29</v>
      </c>
    </row>
    <row r="895" spans="1:28" x14ac:dyDescent="0.3">
      <c r="A895" s="116">
        <v>42</v>
      </c>
      <c r="B895" s="68" t="s">
        <v>653</v>
      </c>
      <c r="E895" s="85">
        <f>105878315.72/1000</f>
        <v>105878.31572</v>
      </c>
      <c r="F895" s="85">
        <f t="shared" ref="F895:Q895" si="117">SUM(F875:F894)</f>
        <v>44761.187210000004</v>
      </c>
      <c r="G895" s="85">
        <f t="shared" si="117"/>
        <v>0</v>
      </c>
      <c r="H895" s="85">
        <f>100821106.6/1000</f>
        <v>100821.1066</v>
      </c>
      <c r="I895" s="85">
        <f t="shared" si="117"/>
        <v>0</v>
      </c>
      <c r="J895" s="85">
        <f t="shared" si="117"/>
        <v>43272.380960000002</v>
      </c>
      <c r="K895" s="85">
        <f t="shared" si="117"/>
        <v>5007.2091200000004</v>
      </c>
      <c r="L895" s="85">
        <f t="shared" si="117"/>
        <v>0</v>
      </c>
      <c r="M895" s="85">
        <f t="shared" si="117"/>
        <v>44761.187210000004</v>
      </c>
      <c r="N895" s="85">
        <f t="shared" si="117"/>
        <v>5007.2091200000004</v>
      </c>
      <c r="O895" s="85">
        <f t="shared" si="117"/>
        <v>0</v>
      </c>
      <c r="P895" s="85">
        <f>5007209/1000</f>
        <v>5007.2089999999998</v>
      </c>
      <c r="Q895" s="85">
        <f t="shared" si="117"/>
        <v>43322.380960000002</v>
      </c>
      <c r="R895" s="86"/>
      <c r="S895" s="86"/>
      <c r="T895" s="85">
        <f t="shared" ref="T895:Y895" si="118">SUM(T875:T894)</f>
        <v>0</v>
      </c>
      <c r="U895" s="85">
        <f t="shared" si="118"/>
        <v>5007.2091200000004</v>
      </c>
      <c r="V895" s="85">
        <f t="shared" si="118"/>
        <v>48279.590080000002</v>
      </c>
      <c r="W895" s="85">
        <f t="shared" si="118"/>
        <v>50</v>
      </c>
      <c r="X895" s="85">
        <f t="shared" si="111"/>
        <v>105828.3156</v>
      </c>
      <c r="Y895" s="85">
        <f t="shared" si="118"/>
        <v>0</v>
      </c>
      <c r="Z895" s="85">
        <f t="shared" si="114"/>
        <v>50.000119999996969</v>
      </c>
      <c r="AA895" s="69">
        <f>SUM(AA875:AA894)</f>
        <v>49768.39633000001</v>
      </c>
      <c r="AB895" s="69">
        <f>SUM(AB875:AB894)</f>
        <v>50</v>
      </c>
    </row>
    <row r="896" spans="1:28" hidden="1" x14ac:dyDescent="0.3">
      <c r="A896" s="117"/>
      <c r="E896" s="86" t="s">
        <v>29</v>
      </c>
      <c r="F896" s="86" t="s">
        <v>29</v>
      </c>
      <c r="G896" s="86" t="s">
        <v>29</v>
      </c>
      <c r="H896" s="86" t="s">
        <v>29</v>
      </c>
      <c r="I896" s="86" t="s">
        <v>29</v>
      </c>
      <c r="J896" s="86" t="s">
        <v>29</v>
      </c>
      <c r="K896" s="86" t="s">
        <v>29</v>
      </c>
      <c r="L896" s="86" t="s">
        <v>29</v>
      </c>
      <c r="M896" s="86" t="s">
        <v>29</v>
      </c>
      <c r="N896" s="86" t="s">
        <v>29</v>
      </c>
      <c r="O896" s="86" t="s">
        <v>29</v>
      </c>
      <c r="P896" s="86" t="s">
        <v>29</v>
      </c>
      <c r="Q896" s="86" t="s">
        <v>29</v>
      </c>
      <c r="R896" s="86" t="s">
        <v>29</v>
      </c>
      <c r="S896" s="86" t="s">
        <v>29</v>
      </c>
      <c r="T896" s="86" t="s">
        <v>29</v>
      </c>
      <c r="U896" s="86" t="s">
        <v>29</v>
      </c>
      <c r="V896" s="86" t="s">
        <v>29</v>
      </c>
      <c r="W896" s="86" t="s">
        <v>29</v>
      </c>
      <c r="X896" s="85" t="e">
        <f t="shared" si="111"/>
        <v>#VALUE!</v>
      </c>
      <c r="Y896" s="86" t="s">
        <v>29</v>
      </c>
      <c r="Z896" s="85" t="e">
        <f t="shared" si="114"/>
        <v>#VALUE!</v>
      </c>
      <c r="AA896" s="115" t="s">
        <v>29</v>
      </c>
      <c r="AB896" s="115" t="s">
        <v>29</v>
      </c>
    </row>
    <row r="897" spans="1:28" hidden="1" x14ac:dyDescent="0.3">
      <c r="A897" s="105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6"/>
      <c r="S897" s="86"/>
      <c r="T897" s="86"/>
      <c r="U897" s="86"/>
      <c r="V897" s="86"/>
      <c r="W897" s="86"/>
      <c r="X897" s="85">
        <f t="shared" si="111"/>
        <v>0</v>
      </c>
      <c r="Y897" s="86"/>
      <c r="Z897" s="85">
        <f t="shared" si="114"/>
        <v>0</v>
      </c>
      <c r="AA897" s="118"/>
    </row>
    <row r="898" spans="1:28" hidden="1" x14ac:dyDescent="0.3">
      <c r="A898" s="117"/>
      <c r="C898" s="68" t="s">
        <v>659</v>
      </c>
      <c r="D898" s="87" t="s">
        <v>78</v>
      </c>
      <c r="E898" s="85">
        <f>STATS1003B!E898/1000</f>
        <v>528.8279399999999</v>
      </c>
      <c r="F898" s="85">
        <f>STATS1003B!F898/1000</f>
        <v>521</v>
      </c>
      <c r="G898" s="85">
        <f>STATS1003B!G898/1000</f>
        <v>0</v>
      </c>
      <c r="H898" s="85">
        <f>STATS1003B!H898/1000</f>
        <v>521</v>
      </c>
      <c r="I898" s="85">
        <f>STATS1003B!I898/1000</f>
        <v>0</v>
      </c>
      <c r="J898" s="85">
        <f>STATS1003B!J898/1000</f>
        <v>521</v>
      </c>
      <c r="K898" s="85">
        <f>STATS1003B!K898/1000</f>
        <v>7.8279399999999999</v>
      </c>
      <c r="L898" s="85">
        <f>STATS1003B!L898/1000</f>
        <v>0</v>
      </c>
      <c r="M898" s="85">
        <f>STATS1003B!M898/1000</f>
        <v>521</v>
      </c>
      <c r="N898" s="85">
        <f>STATS1003B!N898/1000</f>
        <v>7.8279399999999999</v>
      </c>
      <c r="O898" s="85">
        <f>STATS1003B!O898/1000</f>
        <v>0</v>
      </c>
      <c r="P898" s="85">
        <f>STATS1003B!P898/1000</f>
        <v>7.8279399999999999</v>
      </c>
      <c r="Q898" s="85">
        <f>STATS1003B!Q898/1000</f>
        <v>520.99999999999989</v>
      </c>
      <c r="R898" s="85">
        <f>STATS1003B!R898/1000</f>
        <v>0</v>
      </c>
      <c r="S898" s="85">
        <f>STATS1003B!S898/1000</f>
        <v>0</v>
      </c>
      <c r="T898" s="85">
        <f>STATS1003B!T898/1000</f>
        <v>0</v>
      </c>
      <c r="U898" s="85">
        <f>STATS1003B!U898/1000</f>
        <v>7.8279399999999999</v>
      </c>
      <c r="V898" s="85">
        <f>STATS1003B!V898/1000</f>
        <v>528.8279399999999</v>
      </c>
      <c r="W898" s="85">
        <f>STATS1003B!W898/1000</f>
        <v>0</v>
      </c>
      <c r="X898" s="85">
        <f t="shared" si="111"/>
        <v>528.82794000000001</v>
      </c>
      <c r="Y898" s="85">
        <f>STATS1003B!Y898/1000</f>
        <v>0</v>
      </c>
      <c r="Z898" s="85">
        <f t="shared" si="114"/>
        <v>0</v>
      </c>
      <c r="AA898" s="69">
        <f>STATS1003B!AA898/1000</f>
        <v>528.8279399999999</v>
      </c>
      <c r="AB898" s="69">
        <f>STATS1003B!AB898/1000</f>
        <v>0</v>
      </c>
    </row>
    <row r="899" spans="1:28" hidden="1" x14ac:dyDescent="0.3">
      <c r="A899" s="117"/>
      <c r="C899" s="68" t="s">
        <v>539</v>
      </c>
      <c r="D899" s="87" t="s">
        <v>54</v>
      </c>
      <c r="E899" s="85">
        <f>STATS1003B!E899/1000</f>
        <v>17180.944649999998</v>
      </c>
      <c r="F899" s="85">
        <f>STATS1003B!F899/1000</f>
        <v>0</v>
      </c>
      <c r="G899" s="85">
        <f>STATS1003B!G899/1000</f>
        <v>0</v>
      </c>
      <c r="H899" s="85">
        <f>STATS1003B!H899/1000</f>
        <v>0</v>
      </c>
      <c r="I899" s="85">
        <f>STATS1003B!I899/1000</f>
        <v>0</v>
      </c>
      <c r="J899" s="85">
        <f>STATS1003B!J899/1000</f>
        <v>0</v>
      </c>
      <c r="K899" s="85">
        <f>STATS1003B!K899/1000</f>
        <v>17180.944649999998</v>
      </c>
      <c r="L899" s="85">
        <f>STATS1003B!L899/1000</f>
        <v>0</v>
      </c>
      <c r="M899" s="85">
        <f>STATS1003B!M899/1000</f>
        <v>0</v>
      </c>
      <c r="N899" s="85">
        <f>STATS1003B!N899/1000</f>
        <v>17180.944649999998</v>
      </c>
      <c r="O899" s="85">
        <f>STATS1003B!O899/1000</f>
        <v>0</v>
      </c>
      <c r="P899" s="85">
        <f>STATS1003B!P899/1000</f>
        <v>17180.944649999998</v>
      </c>
      <c r="Q899" s="85">
        <f>STATS1003B!Q899/1000</f>
        <v>0</v>
      </c>
      <c r="R899" s="85">
        <f>STATS1003B!R899/1000</f>
        <v>0</v>
      </c>
      <c r="S899" s="85">
        <f>STATS1003B!S899/1000</f>
        <v>0</v>
      </c>
      <c r="T899" s="85">
        <f>STATS1003B!T899/1000</f>
        <v>0</v>
      </c>
      <c r="U899" s="85">
        <f>STATS1003B!U899/1000</f>
        <v>17180.944649999998</v>
      </c>
      <c r="V899" s="85">
        <f>STATS1003B!V899/1000</f>
        <v>17180.944649999998</v>
      </c>
      <c r="W899" s="85">
        <f>STATS1003B!W899/1000</f>
        <v>0</v>
      </c>
      <c r="X899" s="85">
        <f t="shared" si="111"/>
        <v>17180.944649999998</v>
      </c>
      <c r="Y899" s="85">
        <f>STATS1003B!Y899/1000</f>
        <v>0</v>
      </c>
      <c r="Z899" s="85">
        <f t="shared" si="114"/>
        <v>0</v>
      </c>
      <c r="AA899" s="69">
        <f>STATS1003B!AA899/1000</f>
        <v>17180.944649999998</v>
      </c>
      <c r="AB899" s="69">
        <f>STATS1003B!AB899/1000</f>
        <v>0</v>
      </c>
    </row>
    <row r="900" spans="1:28" hidden="1" x14ac:dyDescent="0.3">
      <c r="A900" s="117"/>
      <c r="C900" s="68" t="s">
        <v>545</v>
      </c>
      <c r="D900" s="87" t="s">
        <v>54</v>
      </c>
      <c r="E900" s="85">
        <f>STATS1003B!E900/1000</f>
        <v>2306.1060000000002</v>
      </c>
      <c r="F900" s="85">
        <f>STATS1003B!F900/1000</f>
        <v>0</v>
      </c>
      <c r="G900" s="85">
        <f>STATS1003B!G900/1000</f>
        <v>0</v>
      </c>
      <c r="H900" s="85">
        <f>STATS1003B!H900/1000</f>
        <v>0</v>
      </c>
      <c r="I900" s="85">
        <f>STATS1003B!I900/1000</f>
        <v>0</v>
      </c>
      <c r="J900" s="85">
        <f>STATS1003B!J900/1000</f>
        <v>0</v>
      </c>
      <c r="K900" s="85">
        <f>STATS1003B!K900/1000</f>
        <v>2306.1060000000002</v>
      </c>
      <c r="L900" s="85">
        <f>STATS1003B!L900/1000</f>
        <v>0</v>
      </c>
      <c r="M900" s="85">
        <f>STATS1003B!M900/1000</f>
        <v>0</v>
      </c>
      <c r="N900" s="85">
        <f>STATS1003B!N900/1000</f>
        <v>2306.1060000000002</v>
      </c>
      <c r="O900" s="85">
        <f>STATS1003B!O900/1000</f>
        <v>0</v>
      </c>
      <c r="P900" s="85">
        <f>STATS1003B!P900/1000</f>
        <v>2306.1060000000002</v>
      </c>
      <c r="Q900" s="85">
        <f>STATS1003B!Q900/1000</f>
        <v>0</v>
      </c>
      <c r="R900" s="85">
        <f>STATS1003B!R900/1000</f>
        <v>0</v>
      </c>
      <c r="S900" s="85">
        <f>STATS1003B!S900/1000</f>
        <v>0</v>
      </c>
      <c r="T900" s="85">
        <f>STATS1003B!T900/1000</f>
        <v>0</v>
      </c>
      <c r="U900" s="85">
        <f>STATS1003B!U900/1000</f>
        <v>2306.1060000000002</v>
      </c>
      <c r="V900" s="85">
        <f>STATS1003B!V900/1000</f>
        <v>2306.1060000000002</v>
      </c>
      <c r="W900" s="85">
        <f>STATS1003B!W900/1000</f>
        <v>0</v>
      </c>
      <c r="X900" s="85">
        <f t="shared" si="111"/>
        <v>2306.1060000000002</v>
      </c>
      <c r="Y900" s="85">
        <f>STATS1003B!Y900/1000</f>
        <v>0</v>
      </c>
      <c r="Z900" s="85">
        <f t="shared" si="114"/>
        <v>0</v>
      </c>
      <c r="AA900" s="69">
        <f>STATS1003B!AA900/1000</f>
        <v>2306.1060000000002</v>
      </c>
      <c r="AB900" s="69">
        <f>STATS1003B!AB900/1000</f>
        <v>0</v>
      </c>
    </row>
    <row r="901" spans="1:28" hidden="1" x14ac:dyDescent="0.3">
      <c r="A901" s="117"/>
      <c r="C901" s="68" t="s">
        <v>535</v>
      </c>
      <c r="D901" s="87" t="s">
        <v>54</v>
      </c>
      <c r="E901" s="85">
        <f>STATS1003B!E901/1000</f>
        <v>920.25599999999997</v>
      </c>
      <c r="F901" s="85">
        <f>STATS1003B!F901/1000</f>
        <v>920.25599999999997</v>
      </c>
      <c r="G901" s="85">
        <f>STATS1003B!G901/1000</f>
        <v>0</v>
      </c>
      <c r="H901" s="85">
        <f>STATS1003B!H901/1000</f>
        <v>920.25599999999997</v>
      </c>
      <c r="I901" s="85">
        <f>STATS1003B!I901/1000</f>
        <v>0</v>
      </c>
      <c r="J901" s="85">
        <f>STATS1003B!J901/1000</f>
        <v>920.25599999999997</v>
      </c>
      <c r="K901" s="85">
        <f>STATS1003B!K901/1000</f>
        <v>0</v>
      </c>
      <c r="L901" s="85">
        <f>STATS1003B!L901/1000</f>
        <v>0</v>
      </c>
      <c r="M901" s="85">
        <f>STATS1003B!M901/1000</f>
        <v>920.25599999999997</v>
      </c>
      <c r="N901" s="85">
        <f>STATS1003B!N901/1000</f>
        <v>0</v>
      </c>
      <c r="O901" s="85">
        <f>STATS1003B!O901/1000</f>
        <v>0</v>
      </c>
      <c r="P901" s="85">
        <f>STATS1003B!P901/1000</f>
        <v>0</v>
      </c>
      <c r="Q901" s="85">
        <f>STATS1003B!Q901/1000</f>
        <v>920.25599999999997</v>
      </c>
      <c r="R901" s="85">
        <f>STATS1003B!R901/1000</f>
        <v>0</v>
      </c>
      <c r="S901" s="85">
        <f>STATS1003B!S901/1000</f>
        <v>0</v>
      </c>
      <c r="T901" s="85">
        <f>STATS1003B!T901/1000</f>
        <v>0</v>
      </c>
      <c r="U901" s="85">
        <f>STATS1003B!U901/1000</f>
        <v>0</v>
      </c>
      <c r="V901" s="85">
        <f>STATS1003B!V901/1000</f>
        <v>920.25599999999997</v>
      </c>
      <c r="W901" s="85">
        <f>STATS1003B!W901/1000</f>
        <v>0</v>
      </c>
      <c r="X901" s="85">
        <f t="shared" ref="X901:X959" si="119">+H901+P901</f>
        <v>920.25599999999997</v>
      </c>
      <c r="Y901" s="85">
        <f>STATS1003B!Y901/1000</f>
        <v>0</v>
      </c>
      <c r="Z901" s="85">
        <f t="shared" si="114"/>
        <v>0</v>
      </c>
      <c r="AA901" s="69">
        <f>STATS1003B!AA901/1000</f>
        <v>920.25599999999997</v>
      </c>
      <c r="AB901" s="69">
        <f>STATS1003B!AB901/1000</f>
        <v>0</v>
      </c>
    </row>
    <row r="902" spans="1:28" hidden="1" x14ac:dyDescent="0.3">
      <c r="A902" s="117"/>
      <c r="C902" s="68" t="s">
        <v>557</v>
      </c>
      <c r="D902" s="87" t="s">
        <v>54</v>
      </c>
      <c r="E902" s="85">
        <f>STATS1003B!E902/1000</f>
        <v>4793.7550000000001</v>
      </c>
      <c r="F902" s="85">
        <f>STATS1003B!F902/1000</f>
        <v>4793.7550000000001</v>
      </c>
      <c r="G902" s="85">
        <f>STATS1003B!G902/1000</f>
        <v>0</v>
      </c>
      <c r="H902" s="85">
        <f>STATS1003B!H902/1000</f>
        <v>4793.7550000000001</v>
      </c>
      <c r="I902" s="85">
        <f>STATS1003B!I902/1000</f>
        <v>0</v>
      </c>
      <c r="J902" s="85">
        <f>STATS1003B!J902/1000</f>
        <v>4793.7550000000001</v>
      </c>
      <c r="K902" s="85">
        <f>STATS1003B!K902/1000</f>
        <v>0</v>
      </c>
      <c r="L902" s="85">
        <f>STATS1003B!L902/1000</f>
        <v>0</v>
      </c>
      <c r="M902" s="85">
        <f>STATS1003B!M902/1000</f>
        <v>4793.7550000000001</v>
      </c>
      <c r="N902" s="85">
        <f>STATS1003B!N902/1000</f>
        <v>0</v>
      </c>
      <c r="O902" s="85">
        <f>STATS1003B!O902/1000</f>
        <v>0</v>
      </c>
      <c r="P902" s="85">
        <f>STATS1003B!P902/1000</f>
        <v>0</v>
      </c>
      <c r="Q902" s="85">
        <f>STATS1003B!Q902/1000</f>
        <v>4793.7550000000001</v>
      </c>
      <c r="R902" s="85">
        <f>STATS1003B!R902/1000</f>
        <v>0</v>
      </c>
      <c r="S902" s="85">
        <f>STATS1003B!S902/1000</f>
        <v>0</v>
      </c>
      <c r="T902" s="85">
        <f>STATS1003B!T902/1000</f>
        <v>0</v>
      </c>
      <c r="U902" s="85">
        <f>STATS1003B!U902/1000</f>
        <v>0</v>
      </c>
      <c r="V902" s="85">
        <f>STATS1003B!V902/1000</f>
        <v>4793.7550000000001</v>
      </c>
      <c r="W902" s="85">
        <f>STATS1003B!W902/1000</f>
        <v>0</v>
      </c>
      <c r="X902" s="85">
        <f t="shared" si="119"/>
        <v>4793.7550000000001</v>
      </c>
      <c r="Y902" s="85">
        <f>STATS1003B!Y902/1000</f>
        <v>0</v>
      </c>
      <c r="Z902" s="85">
        <f t="shared" si="114"/>
        <v>0</v>
      </c>
      <c r="AA902" s="69">
        <f>STATS1003B!AA902/1000</f>
        <v>4793.7550000000001</v>
      </c>
      <c r="AB902" s="69">
        <f>STATS1003B!AB902/1000</f>
        <v>0</v>
      </c>
    </row>
    <row r="903" spans="1:28" hidden="1" x14ac:dyDescent="0.3">
      <c r="A903" s="117"/>
      <c r="C903" s="68" t="s">
        <v>535</v>
      </c>
      <c r="D903" s="87" t="s">
        <v>85</v>
      </c>
      <c r="E903" s="85">
        <f>STATS1003B!E903/1000</f>
        <v>1044.9000000000001</v>
      </c>
      <c r="F903" s="85">
        <f>STATS1003B!F903/1000</f>
        <v>1044.9000000000001</v>
      </c>
      <c r="G903" s="85">
        <f>STATS1003B!G903/1000</f>
        <v>0</v>
      </c>
      <c r="H903" s="85">
        <f>STATS1003B!H903/1000</f>
        <v>1044.9000000000001</v>
      </c>
      <c r="I903" s="85">
        <f>STATS1003B!I903/1000</f>
        <v>0</v>
      </c>
      <c r="J903" s="85">
        <f>STATS1003B!J903/1000</f>
        <v>1044.9000000000001</v>
      </c>
      <c r="K903" s="85">
        <f>STATS1003B!K903/1000</f>
        <v>0</v>
      </c>
      <c r="L903" s="85">
        <f>STATS1003B!L903/1000</f>
        <v>0</v>
      </c>
      <c r="M903" s="85">
        <f>STATS1003B!M903/1000</f>
        <v>1044.9000000000001</v>
      </c>
      <c r="N903" s="85">
        <f>STATS1003B!N903/1000</f>
        <v>0</v>
      </c>
      <c r="O903" s="85">
        <f>STATS1003B!O903/1000</f>
        <v>0</v>
      </c>
      <c r="P903" s="85">
        <f>STATS1003B!P903/1000</f>
        <v>0</v>
      </c>
      <c r="Q903" s="85">
        <f>STATS1003B!Q903/1000</f>
        <v>1044.9000000000001</v>
      </c>
      <c r="R903" s="85">
        <f>STATS1003B!R903/1000</f>
        <v>0</v>
      </c>
      <c r="S903" s="85">
        <f>STATS1003B!S903/1000</f>
        <v>0</v>
      </c>
      <c r="T903" s="85">
        <f>STATS1003B!T903/1000</f>
        <v>0</v>
      </c>
      <c r="U903" s="85">
        <f>STATS1003B!U903/1000</f>
        <v>0</v>
      </c>
      <c r="V903" s="85">
        <f>STATS1003B!V903/1000</f>
        <v>1044.9000000000001</v>
      </c>
      <c r="W903" s="85">
        <f>STATS1003B!W903/1000</f>
        <v>0</v>
      </c>
      <c r="X903" s="85">
        <f t="shared" si="119"/>
        <v>1044.9000000000001</v>
      </c>
      <c r="Y903" s="85">
        <f>STATS1003B!Y903/1000</f>
        <v>0</v>
      </c>
      <c r="Z903" s="85">
        <f t="shared" si="114"/>
        <v>0</v>
      </c>
      <c r="AA903" s="69">
        <f>STATS1003B!AA903/1000</f>
        <v>1044.9000000000001</v>
      </c>
      <c r="AB903" s="69">
        <f>STATS1003B!AB903/1000</f>
        <v>0</v>
      </c>
    </row>
    <row r="904" spans="1:28" hidden="1" x14ac:dyDescent="0.3">
      <c r="A904" s="117"/>
      <c r="C904" s="68" t="s">
        <v>660</v>
      </c>
      <c r="D904" s="87" t="s">
        <v>85</v>
      </c>
      <c r="E904" s="85">
        <f>STATS1003B!E904/1000</f>
        <v>600</v>
      </c>
      <c r="F904" s="85">
        <f>STATS1003B!F904/1000</f>
        <v>600</v>
      </c>
      <c r="G904" s="85">
        <f>STATS1003B!G904/1000</f>
        <v>0</v>
      </c>
      <c r="H904" s="85">
        <f>STATS1003B!H904/1000</f>
        <v>600</v>
      </c>
      <c r="I904" s="85">
        <f>STATS1003B!I904/1000</f>
        <v>0</v>
      </c>
      <c r="J904" s="85">
        <f>STATS1003B!J904/1000</f>
        <v>600</v>
      </c>
      <c r="K904" s="85">
        <f>STATS1003B!K904/1000</f>
        <v>0</v>
      </c>
      <c r="L904" s="85">
        <f>STATS1003B!L904/1000</f>
        <v>0</v>
      </c>
      <c r="M904" s="85">
        <f>STATS1003B!M904/1000</f>
        <v>600</v>
      </c>
      <c r="N904" s="85">
        <f>STATS1003B!N904/1000</f>
        <v>0</v>
      </c>
      <c r="O904" s="85">
        <f>STATS1003B!O904/1000</f>
        <v>0</v>
      </c>
      <c r="P904" s="85">
        <f>STATS1003B!P904/1000</f>
        <v>0</v>
      </c>
      <c r="Q904" s="85">
        <f>STATS1003B!Q904/1000</f>
        <v>600</v>
      </c>
      <c r="R904" s="85">
        <f>STATS1003B!R904/1000</f>
        <v>0</v>
      </c>
      <c r="S904" s="85">
        <f>STATS1003B!S904/1000</f>
        <v>0</v>
      </c>
      <c r="T904" s="85">
        <f>STATS1003B!T904/1000</f>
        <v>0</v>
      </c>
      <c r="U904" s="85">
        <f>STATS1003B!U904/1000</f>
        <v>0</v>
      </c>
      <c r="V904" s="85">
        <f>STATS1003B!V904/1000</f>
        <v>600</v>
      </c>
      <c r="W904" s="85">
        <f>STATS1003B!W904/1000</f>
        <v>0</v>
      </c>
      <c r="X904" s="85">
        <f t="shared" si="119"/>
        <v>600</v>
      </c>
      <c r="Y904" s="85">
        <f>STATS1003B!Y904/1000</f>
        <v>0</v>
      </c>
      <c r="Z904" s="85">
        <f t="shared" si="114"/>
        <v>0</v>
      </c>
      <c r="AA904" s="69">
        <f>STATS1003B!AA904/1000</f>
        <v>600</v>
      </c>
      <c r="AB904" s="69">
        <f>STATS1003B!AB904/1000</f>
        <v>0</v>
      </c>
    </row>
    <row r="905" spans="1:28" hidden="1" x14ac:dyDescent="0.3">
      <c r="A905" s="117"/>
      <c r="C905" s="68" t="s">
        <v>660</v>
      </c>
      <c r="D905" s="87" t="s">
        <v>128</v>
      </c>
      <c r="E905" s="85">
        <f>STATS1003B!E905/1000</f>
        <v>750</v>
      </c>
      <c r="F905" s="85">
        <f>STATS1003B!F905/1000</f>
        <v>750</v>
      </c>
      <c r="G905" s="85">
        <f>STATS1003B!G905/1000</f>
        <v>0</v>
      </c>
      <c r="H905" s="85">
        <f>STATS1003B!H905/1000</f>
        <v>750</v>
      </c>
      <c r="I905" s="85">
        <f>STATS1003B!I905/1000</f>
        <v>0</v>
      </c>
      <c r="J905" s="85">
        <f>STATS1003B!J905/1000</f>
        <v>750</v>
      </c>
      <c r="K905" s="85">
        <f>STATS1003B!K905/1000</f>
        <v>0</v>
      </c>
      <c r="L905" s="85">
        <f>STATS1003B!L905/1000</f>
        <v>0</v>
      </c>
      <c r="M905" s="85">
        <f>STATS1003B!M905/1000</f>
        <v>750</v>
      </c>
      <c r="N905" s="85">
        <f>STATS1003B!N905/1000</f>
        <v>0</v>
      </c>
      <c r="O905" s="85">
        <f>STATS1003B!O905/1000</f>
        <v>0</v>
      </c>
      <c r="P905" s="85">
        <f>STATS1003B!P905/1000</f>
        <v>0</v>
      </c>
      <c r="Q905" s="85">
        <f>STATS1003B!Q905/1000</f>
        <v>750</v>
      </c>
      <c r="R905" s="85">
        <f>STATS1003B!R905/1000</f>
        <v>0</v>
      </c>
      <c r="S905" s="85">
        <f>STATS1003B!S905/1000</f>
        <v>0</v>
      </c>
      <c r="T905" s="85">
        <f>STATS1003B!T905/1000</f>
        <v>0</v>
      </c>
      <c r="U905" s="85">
        <f>STATS1003B!U905/1000</f>
        <v>0</v>
      </c>
      <c r="V905" s="85">
        <f>STATS1003B!V905/1000</f>
        <v>750</v>
      </c>
      <c r="W905" s="85">
        <f>STATS1003B!W905/1000</f>
        <v>0</v>
      </c>
      <c r="X905" s="85">
        <f t="shared" si="119"/>
        <v>750</v>
      </c>
      <c r="Y905" s="85">
        <f>STATS1003B!Y905/1000</f>
        <v>0</v>
      </c>
      <c r="Z905" s="85">
        <f t="shared" si="114"/>
        <v>0</v>
      </c>
      <c r="AA905" s="69">
        <f>STATS1003B!AA905/1000</f>
        <v>750</v>
      </c>
      <c r="AB905" s="69">
        <f>STATS1003B!AB905/1000</f>
        <v>0</v>
      </c>
    </row>
    <row r="906" spans="1:28" hidden="1" x14ac:dyDescent="0.3">
      <c r="A906" s="117"/>
      <c r="C906" s="68" t="s">
        <v>535</v>
      </c>
      <c r="D906" s="87" t="s">
        <v>88</v>
      </c>
      <c r="E906" s="85">
        <f>STATS1003B!E906/1000</f>
        <v>3418.7395299999998</v>
      </c>
      <c r="F906" s="85">
        <f>STATS1003B!F906/1000</f>
        <v>3418.7395299999998</v>
      </c>
      <c r="G906" s="85">
        <f>STATS1003B!G906/1000</f>
        <v>0</v>
      </c>
      <c r="H906" s="85">
        <f>STATS1003B!H906/1000</f>
        <v>3418.7395299999998</v>
      </c>
      <c r="I906" s="85">
        <f>STATS1003B!I906/1000</f>
        <v>0</v>
      </c>
      <c r="J906" s="85">
        <f>STATS1003B!J906/1000</f>
        <v>3418.7395299999998</v>
      </c>
      <c r="K906" s="85">
        <f>STATS1003B!K906/1000</f>
        <v>0</v>
      </c>
      <c r="L906" s="85">
        <f>STATS1003B!L906/1000</f>
        <v>0</v>
      </c>
      <c r="M906" s="85">
        <f>STATS1003B!M906/1000</f>
        <v>3418.7395299999998</v>
      </c>
      <c r="N906" s="85">
        <f>STATS1003B!N906/1000</f>
        <v>0</v>
      </c>
      <c r="O906" s="85">
        <f>STATS1003B!O906/1000</f>
        <v>0</v>
      </c>
      <c r="P906" s="85">
        <f>STATS1003B!P906/1000</f>
        <v>0</v>
      </c>
      <c r="Q906" s="85">
        <f>STATS1003B!Q906/1000</f>
        <v>3418.7395299999998</v>
      </c>
      <c r="R906" s="85">
        <f>STATS1003B!R906/1000</f>
        <v>0</v>
      </c>
      <c r="S906" s="85">
        <f>STATS1003B!S906/1000</f>
        <v>0</v>
      </c>
      <c r="T906" s="85">
        <f>STATS1003B!T906/1000</f>
        <v>0</v>
      </c>
      <c r="U906" s="85">
        <f>STATS1003B!U906/1000</f>
        <v>0</v>
      </c>
      <c r="V906" s="85">
        <f>STATS1003B!V906/1000</f>
        <v>3418.7395299999998</v>
      </c>
      <c r="W906" s="85">
        <f>STATS1003B!W906/1000</f>
        <v>0</v>
      </c>
      <c r="X906" s="85">
        <f t="shared" si="119"/>
        <v>3418.7395299999998</v>
      </c>
      <c r="Y906" s="85">
        <f>STATS1003B!Y906/1000</f>
        <v>0</v>
      </c>
      <c r="Z906" s="85">
        <f t="shared" si="114"/>
        <v>0</v>
      </c>
      <c r="AA906" s="69">
        <f>STATS1003B!AA906/1000</f>
        <v>3418.7395299999998</v>
      </c>
      <c r="AB906" s="69">
        <f>STATS1003B!AB906/1000</f>
        <v>0</v>
      </c>
    </row>
    <row r="907" spans="1:28" hidden="1" x14ac:dyDescent="0.3">
      <c r="A907" s="117"/>
      <c r="C907" s="68" t="s">
        <v>535</v>
      </c>
      <c r="D907" s="87" t="s">
        <v>108</v>
      </c>
      <c r="E907" s="85">
        <f>STATS1003B!E907/1000</f>
        <v>8753.9118100000014</v>
      </c>
      <c r="F907" s="85">
        <f>STATS1003B!F907/1000</f>
        <v>8753.9118100000014</v>
      </c>
      <c r="G907" s="85">
        <f>STATS1003B!G907/1000</f>
        <v>0</v>
      </c>
      <c r="H907" s="85">
        <f>STATS1003B!H907/1000</f>
        <v>8753.9118100000014</v>
      </c>
      <c r="I907" s="85">
        <f>STATS1003B!I907/1000</f>
        <v>0</v>
      </c>
      <c r="J907" s="85">
        <f>STATS1003B!J907/1000</f>
        <v>8753.9118100000014</v>
      </c>
      <c r="K907" s="85">
        <f>STATS1003B!K907/1000</f>
        <v>0</v>
      </c>
      <c r="L907" s="85">
        <f>STATS1003B!L907/1000</f>
        <v>0</v>
      </c>
      <c r="M907" s="85">
        <f>STATS1003B!M907/1000</f>
        <v>8753.9118100000014</v>
      </c>
      <c r="N907" s="85">
        <f>STATS1003B!N907/1000</f>
        <v>0</v>
      </c>
      <c r="O907" s="85">
        <f>STATS1003B!O907/1000</f>
        <v>0</v>
      </c>
      <c r="P907" s="85">
        <f>STATS1003B!P907/1000</f>
        <v>0</v>
      </c>
      <c r="Q907" s="85">
        <f>STATS1003B!Q907/1000</f>
        <v>8753.9118100000014</v>
      </c>
      <c r="R907" s="85">
        <f>STATS1003B!R907/1000</f>
        <v>0</v>
      </c>
      <c r="S907" s="85">
        <f>STATS1003B!S907/1000</f>
        <v>0</v>
      </c>
      <c r="T907" s="85">
        <f>STATS1003B!T907/1000</f>
        <v>0</v>
      </c>
      <c r="U907" s="85">
        <f>STATS1003B!U907/1000</f>
        <v>0</v>
      </c>
      <c r="V907" s="85">
        <f>STATS1003B!V907/1000</f>
        <v>8753.9118100000014</v>
      </c>
      <c r="W907" s="85">
        <f>STATS1003B!W907/1000</f>
        <v>0</v>
      </c>
      <c r="X907" s="85">
        <f t="shared" si="119"/>
        <v>8753.9118100000014</v>
      </c>
      <c r="Y907" s="85">
        <f>STATS1003B!Y907/1000</f>
        <v>0</v>
      </c>
      <c r="Z907" s="85">
        <f t="shared" si="114"/>
        <v>0</v>
      </c>
      <c r="AA907" s="69">
        <f>STATS1003B!AA907/1000</f>
        <v>8753.9118100000014</v>
      </c>
      <c r="AB907" s="69">
        <f>STATS1003B!AB907/1000</f>
        <v>0</v>
      </c>
    </row>
    <row r="908" spans="1:28" hidden="1" x14ac:dyDescent="0.3">
      <c r="A908" s="117"/>
      <c r="C908" s="68" t="s">
        <v>535</v>
      </c>
      <c r="D908" s="87" t="s">
        <v>58</v>
      </c>
      <c r="E908" s="85">
        <f>STATS1003B!E908/1000</f>
        <v>2925.66</v>
      </c>
      <c r="F908" s="85">
        <f>STATS1003B!F908/1000</f>
        <v>2925.66</v>
      </c>
      <c r="G908" s="85">
        <f>STATS1003B!G908/1000</f>
        <v>0</v>
      </c>
      <c r="H908" s="85">
        <f>STATS1003B!H908/1000</f>
        <v>2925.66</v>
      </c>
      <c r="I908" s="85">
        <f>STATS1003B!I908/1000</f>
        <v>0</v>
      </c>
      <c r="J908" s="85">
        <f>STATS1003B!J908/1000</f>
        <v>2925.66</v>
      </c>
      <c r="K908" s="85">
        <f>STATS1003B!K908/1000</f>
        <v>0</v>
      </c>
      <c r="L908" s="85">
        <f>STATS1003B!L908/1000</f>
        <v>0</v>
      </c>
      <c r="M908" s="85">
        <f>STATS1003B!M908/1000</f>
        <v>2925.66</v>
      </c>
      <c r="N908" s="85">
        <f>STATS1003B!N908/1000</f>
        <v>0</v>
      </c>
      <c r="O908" s="85">
        <f>STATS1003B!O908/1000</f>
        <v>0</v>
      </c>
      <c r="P908" s="85">
        <f>STATS1003B!P908/1000</f>
        <v>0</v>
      </c>
      <c r="Q908" s="85">
        <f>STATS1003B!Q908/1000</f>
        <v>2925.66</v>
      </c>
      <c r="R908" s="85">
        <f>STATS1003B!R908/1000</f>
        <v>0</v>
      </c>
      <c r="S908" s="85">
        <f>STATS1003B!S908/1000</f>
        <v>0</v>
      </c>
      <c r="T908" s="85">
        <f>STATS1003B!T908/1000</f>
        <v>0</v>
      </c>
      <c r="U908" s="85">
        <f>STATS1003B!U908/1000</f>
        <v>0</v>
      </c>
      <c r="V908" s="85">
        <f>STATS1003B!V908/1000</f>
        <v>2925.66</v>
      </c>
      <c r="W908" s="85">
        <f>STATS1003B!W908/1000</f>
        <v>0</v>
      </c>
      <c r="X908" s="85">
        <f t="shared" si="119"/>
        <v>2925.66</v>
      </c>
      <c r="Y908" s="85">
        <f>STATS1003B!Y908/1000</f>
        <v>0</v>
      </c>
      <c r="Z908" s="85">
        <f t="shared" si="114"/>
        <v>0</v>
      </c>
      <c r="AA908" s="69">
        <f>STATS1003B!AA908/1000</f>
        <v>2925.66</v>
      </c>
      <c r="AB908" s="69">
        <f>STATS1003B!AB908/1000</f>
        <v>0</v>
      </c>
    </row>
    <row r="909" spans="1:28" hidden="1" x14ac:dyDescent="0.3">
      <c r="A909" s="117"/>
      <c r="C909" s="68" t="s">
        <v>535</v>
      </c>
      <c r="D909" s="87" t="s">
        <v>60</v>
      </c>
      <c r="E909" s="85">
        <f>STATS1003B!E909/1000</f>
        <v>5629.152</v>
      </c>
      <c r="F909" s="85">
        <f>STATS1003B!F909/1000</f>
        <v>5629.152</v>
      </c>
      <c r="G909" s="85">
        <f>STATS1003B!G909/1000</f>
        <v>0</v>
      </c>
      <c r="H909" s="85">
        <f>STATS1003B!H909/1000</f>
        <v>5629.152</v>
      </c>
      <c r="I909" s="85">
        <f>STATS1003B!I909/1000</f>
        <v>0</v>
      </c>
      <c r="J909" s="85">
        <f>STATS1003B!J909/1000</f>
        <v>5629.152</v>
      </c>
      <c r="K909" s="85">
        <f>STATS1003B!K909/1000</f>
        <v>0</v>
      </c>
      <c r="L909" s="85">
        <f>STATS1003B!L909/1000</f>
        <v>0</v>
      </c>
      <c r="M909" s="85">
        <f>STATS1003B!M909/1000</f>
        <v>5629.152</v>
      </c>
      <c r="N909" s="85">
        <f>STATS1003B!N909/1000</f>
        <v>0</v>
      </c>
      <c r="O909" s="85">
        <f>STATS1003B!O909/1000</f>
        <v>0</v>
      </c>
      <c r="P909" s="85">
        <f>STATS1003B!P909/1000</f>
        <v>0</v>
      </c>
      <c r="Q909" s="85">
        <f>STATS1003B!Q909/1000</f>
        <v>5629.152</v>
      </c>
      <c r="R909" s="85">
        <f>STATS1003B!R909/1000</f>
        <v>0</v>
      </c>
      <c r="S909" s="85">
        <f>STATS1003B!S909/1000</f>
        <v>0</v>
      </c>
      <c r="T909" s="85">
        <f>STATS1003B!T909/1000</f>
        <v>0</v>
      </c>
      <c r="U909" s="85">
        <f>STATS1003B!U909/1000</f>
        <v>0</v>
      </c>
      <c r="V909" s="85">
        <f>STATS1003B!V909/1000</f>
        <v>5629.152</v>
      </c>
      <c r="W909" s="85">
        <f>STATS1003B!W909/1000</f>
        <v>0</v>
      </c>
      <c r="X909" s="85">
        <f t="shared" si="119"/>
        <v>5629.152</v>
      </c>
      <c r="Y909" s="85">
        <f>STATS1003B!Y909/1000</f>
        <v>0</v>
      </c>
      <c r="Z909" s="85">
        <f t="shared" si="114"/>
        <v>0</v>
      </c>
      <c r="AA909" s="69">
        <f>STATS1003B!AA909/1000</f>
        <v>5629.152</v>
      </c>
      <c r="AB909" s="69">
        <f>STATS1003B!AB909/1000</f>
        <v>0</v>
      </c>
    </row>
    <row r="910" spans="1:28" hidden="1" x14ac:dyDescent="0.3">
      <c r="A910" s="117"/>
      <c r="C910" s="71" t="s">
        <v>661</v>
      </c>
      <c r="D910" s="71" t="s">
        <v>194</v>
      </c>
      <c r="E910" s="85">
        <f>STATS1003B!E910/1000</f>
        <v>637.42565999999999</v>
      </c>
      <c r="F910" s="85">
        <f>STATS1003B!F910/1000</f>
        <v>637.42565999999999</v>
      </c>
      <c r="G910" s="85">
        <f>STATS1003B!G910/1000</f>
        <v>0</v>
      </c>
      <c r="H910" s="85">
        <f>STATS1003B!H910/1000</f>
        <v>637.42565999999999</v>
      </c>
      <c r="I910" s="85">
        <f>STATS1003B!I910/1000</f>
        <v>0</v>
      </c>
      <c r="J910" s="85">
        <f>STATS1003B!J910/1000</f>
        <v>637.42565999999999</v>
      </c>
      <c r="K910" s="85">
        <f>STATS1003B!K910/1000</f>
        <v>0</v>
      </c>
      <c r="L910" s="85">
        <f>STATS1003B!L910/1000</f>
        <v>0</v>
      </c>
      <c r="M910" s="85">
        <f>STATS1003B!M910/1000</f>
        <v>637.42565999999999</v>
      </c>
      <c r="N910" s="85">
        <f>STATS1003B!N910/1000</f>
        <v>0</v>
      </c>
      <c r="O910" s="85">
        <f>STATS1003B!O910/1000</f>
        <v>0</v>
      </c>
      <c r="P910" s="85">
        <f>STATS1003B!P910/1000</f>
        <v>0</v>
      </c>
      <c r="Q910" s="85">
        <f>STATS1003B!Q910/1000</f>
        <v>637.42565999999999</v>
      </c>
      <c r="R910" s="85">
        <f>STATS1003B!R910/1000</f>
        <v>0</v>
      </c>
      <c r="S910" s="85">
        <f>STATS1003B!S910/1000</f>
        <v>0</v>
      </c>
      <c r="T910" s="85">
        <f>STATS1003B!T910/1000</f>
        <v>0</v>
      </c>
      <c r="U910" s="85">
        <f>STATS1003B!U910/1000</f>
        <v>0</v>
      </c>
      <c r="V910" s="85">
        <f>STATS1003B!V910/1000</f>
        <v>637.42565999999999</v>
      </c>
      <c r="W910" s="85">
        <f>STATS1003B!W910/1000</f>
        <v>0</v>
      </c>
      <c r="X910" s="85">
        <f t="shared" si="119"/>
        <v>637.42565999999999</v>
      </c>
      <c r="Y910" s="85">
        <f>STATS1003B!Y910/1000</f>
        <v>0</v>
      </c>
      <c r="Z910" s="85">
        <f t="shared" si="114"/>
        <v>0</v>
      </c>
      <c r="AA910" s="69">
        <f>STATS1003B!AA910/1000</f>
        <v>637.42565999999999</v>
      </c>
      <c r="AB910" s="69">
        <f>STATS1003B!AB910/1000</f>
        <v>0</v>
      </c>
    </row>
    <row r="911" spans="1:28" hidden="1" x14ac:dyDescent="0.3">
      <c r="A911" s="117"/>
      <c r="C911" s="71" t="s">
        <v>621</v>
      </c>
      <c r="D911" s="88" t="s">
        <v>73</v>
      </c>
      <c r="E911" s="85">
        <f>STATS1003B!E911/1000</f>
        <v>1513</v>
      </c>
      <c r="F911" s="85">
        <f>STATS1003B!F911/1000</f>
        <v>1513</v>
      </c>
      <c r="G911" s="85">
        <f>STATS1003B!G911/1000</f>
        <v>0</v>
      </c>
      <c r="H911" s="85">
        <f>STATS1003B!H911/1000</f>
        <v>1513</v>
      </c>
      <c r="I911" s="85">
        <f>STATS1003B!I911/1000</f>
        <v>0</v>
      </c>
      <c r="J911" s="85">
        <f>STATS1003B!J911/1000</f>
        <v>1513</v>
      </c>
      <c r="K911" s="85">
        <f>STATS1003B!K911/1000</f>
        <v>0</v>
      </c>
      <c r="L911" s="85">
        <f>STATS1003B!L911/1000</f>
        <v>0</v>
      </c>
      <c r="M911" s="85">
        <f>STATS1003B!M911/1000</f>
        <v>1513</v>
      </c>
      <c r="N911" s="85">
        <f>STATS1003B!N911/1000</f>
        <v>0</v>
      </c>
      <c r="O911" s="85">
        <f>STATS1003B!O911/1000</f>
        <v>0</v>
      </c>
      <c r="P911" s="85">
        <f>STATS1003B!P911/1000</f>
        <v>0</v>
      </c>
      <c r="Q911" s="85">
        <f>STATS1003B!Q911/1000</f>
        <v>1513</v>
      </c>
      <c r="R911" s="85">
        <f>STATS1003B!R911/1000</f>
        <v>0</v>
      </c>
      <c r="S911" s="85">
        <f>STATS1003B!S911/1000</f>
        <v>0</v>
      </c>
      <c r="T911" s="85">
        <f>STATS1003B!T911/1000</f>
        <v>0</v>
      </c>
      <c r="U911" s="85">
        <f>STATS1003B!U911/1000</f>
        <v>0</v>
      </c>
      <c r="V911" s="85">
        <f>STATS1003B!V911/1000</f>
        <v>1513</v>
      </c>
      <c r="W911" s="85">
        <f>STATS1003B!W911/1000</f>
        <v>0</v>
      </c>
      <c r="X911" s="85">
        <f t="shared" si="119"/>
        <v>1513</v>
      </c>
      <c r="Y911" s="85">
        <f>STATS1003B!Y911/1000</f>
        <v>0</v>
      </c>
      <c r="Z911" s="85">
        <f t="shared" si="114"/>
        <v>0</v>
      </c>
      <c r="AA911" s="69">
        <f>STATS1003B!AA911/1000</f>
        <v>1513</v>
      </c>
      <c r="AB911" s="69">
        <f>STATS1003B!AB911/1000</f>
        <v>0</v>
      </c>
    </row>
    <row r="912" spans="1:28" hidden="1" x14ac:dyDescent="0.3">
      <c r="A912" s="117"/>
      <c r="C912" s="68" t="s">
        <v>535</v>
      </c>
      <c r="D912" s="87" t="s">
        <v>61</v>
      </c>
      <c r="E912" s="85">
        <f>STATS1003B!E912/1000</f>
        <v>1280</v>
      </c>
      <c r="F912" s="85">
        <f>STATS1003B!F912/1000</f>
        <v>1280</v>
      </c>
      <c r="G912" s="85">
        <f>STATS1003B!G912/1000</f>
        <v>0</v>
      </c>
      <c r="H912" s="85">
        <f>STATS1003B!H912/1000</f>
        <v>1280</v>
      </c>
      <c r="I912" s="85">
        <f>STATS1003B!I912/1000</f>
        <v>0</v>
      </c>
      <c r="J912" s="85">
        <f>STATS1003B!J912/1000</f>
        <v>1280</v>
      </c>
      <c r="K912" s="85">
        <f>STATS1003B!K912/1000</f>
        <v>0</v>
      </c>
      <c r="L912" s="85">
        <f>STATS1003B!L912/1000</f>
        <v>0</v>
      </c>
      <c r="M912" s="85">
        <f>STATS1003B!M912/1000</f>
        <v>1280</v>
      </c>
      <c r="N912" s="85">
        <f>STATS1003B!N912/1000</f>
        <v>0</v>
      </c>
      <c r="O912" s="85">
        <f>STATS1003B!O912/1000</f>
        <v>0</v>
      </c>
      <c r="P912" s="85">
        <f>STATS1003B!P912/1000</f>
        <v>0</v>
      </c>
      <c r="Q912" s="85">
        <f>STATS1003B!Q912/1000</f>
        <v>1280</v>
      </c>
      <c r="R912" s="85">
        <f>STATS1003B!R912/1000</f>
        <v>0</v>
      </c>
      <c r="S912" s="85">
        <f>STATS1003B!S912/1000</f>
        <v>0</v>
      </c>
      <c r="T912" s="85">
        <f>STATS1003B!T912/1000</f>
        <v>0</v>
      </c>
      <c r="U912" s="85">
        <f>STATS1003B!U912/1000</f>
        <v>0</v>
      </c>
      <c r="V912" s="85">
        <f>STATS1003B!V912/1000</f>
        <v>1280</v>
      </c>
      <c r="W912" s="85">
        <f>STATS1003B!W912/1000</f>
        <v>0</v>
      </c>
      <c r="X912" s="85">
        <f t="shared" si="119"/>
        <v>1280</v>
      </c>
      <c r="Y912" s="85">
        <f>STATS1003B!Y912/1000</f>
        <v>0</v>
      </c>
      <c r="Z912" s="85">
        <f t="shared" si="114"/>
        <v>0</v>
      </c>
      <c r="AA912" s="69">
        <f>STATS1003B!AA912/1000</f>
        <v>1280</v>
      </c>
      <c r="AB912" s="69">
        <f>STATS1003B!AB912/1000</f>
        <v>0</v>
      </c>
    </row>
    <row r="913" spans="1:28" hidden="1" x14ac:dyDescent="0.3">
      <c r="A913" s="117"/>
      <c r="C913" s="68" t="s">
        <v>1171</v>
      </c>
      <c r="D913" s="90" t="s">
        <v>1126</v>
      </c>
      <c r="E913" s="85">
        <f>STATS1003B!E913/1000</f>
        <v>300</v>
      </c>
      <c r="F913" s="85">
        <f>STATS1003B!F913/1000</f>
        <v>300</v>
      </c>
      <c r="G913" s="85">
        <f>STATS1003B!G913/1000</f>
        <v>0</v>
      </c>
      <c r="H913" s="85">
        <f>STATS1003B!H913/1000</f>
        <v>300</v>
      </c>
      <c r="I913" s="85">
        <f>STATS1003B!I913/1000</f>
        <v>0</v>
      </c>
      <c r="J913" s="85">
        <f>STATS1003B!J913/1000</f>
        <v>300</v>
      </c>
      <c r="K913" s="85">
        <f>STATS1003B!K913/1000</f>
        <v>0</v>
      </c>
      <c r="L913" s="85">
        <f>STATS1003B!L913/1000</f>
        <v>0</v>
      </c>
      <c r="M913" s="85">
        <f>STATS1003B!M913/1000</f>
        <v>300</v>
      </c>
      <c r="N913" s="85">
        <f>STATS1003B!N913/1000</f>
        <v>0</v>
      </c>
      <c r="O913" s="85">
        <f>STATS1003B!O913/1000</f>
        <v>0</v>
      </c>
      <c r="P913" s="85">
        <f>STATS1003B!P913/1000</f>
        <v>0</v>
      </c>
      <c r="Q913" s="85">
        <f>STATS1003B!Q913/1000</f>
        <v>300</v>
      </c>
      <c r="R913" s="85">
        <f>STATS1003B!R913/1000</f>
        <v>0</v>
      </c>
      <c r="S913" s="85">
        <f>STATS1003B!S913/1000</f>
        <v>0</v>
      </c>
      <c r="T913" s="85">
        <f>STATS1003B!T913/1000</f>
        <v>0</v>
      </c>
      <c r="U913" s="85">
        <f>STATS1003B!U913/1000</f>
        <v>0</v>
      </c>
      <c r="V913" s="85">
        <f>STATS1003B!V913/1000</f>
        <v>300</v>
      </c>
      <c r="W913" s="85">
        <f>STATS1003B!W913/1000</f>
        <v>0</v>
      </c>
      <c r="X913" s="85">
        <f t="shared" si="119"/>
        <v>300</v>
      </c>
      <c r="Y913" s="85">
        <f>STATS1003B!Y913/1000</f>
        <v>0</v>
      </c>
      <c r="Z913" s="85">
        <f t="shared" si="114"/>
        <v>0</v>
      </c>
      <c r="AA913" s="69">
        <f>STATS1003B!AA913/1000</f>
        <v>300</v>
      </c>
      <c r="AB913" s="69">
        <f>STATS1003B!AB913/1000</f>
        <v>0</v>
      </c>
    </row>
    <row r="914" spans="1:28" hidden="1" x14ac:dyDescent="0.3">
      <c r="A914" s="117"/>
      <c r="C914" s="93" t="s">
        <v>933</v>
      </c>
      <c r="D914" s="90" t="s">
        <v>1072</v>
      </c>
      <c r="E914" s="85">
        <f>STATS1003B!E914/1000</f>
        <v>2245.7029500000003</v>
      </c>
      <c r="F914" s="85">
        <f>STATS1003B!F914/1000</f>
        <v>2245.7029500000003</v>
      </c>
      <c r="G914" s="85">
        <f>STATS1003B!G914/1000</f>
        <v>0</v>
      </c>
      <c r="H914" s="85">
        <f>STATS1003B!H914/1000</f>
        <v>2245.7029500000003</v>
      </c>
      <c r="I914" s="85">
        <f>STATS1003B!I914/1000</f>
        <v>0</v>
      </c>
      <c r="J914" s="85">
        <f>STATS1003B!J914/1000</f>
        <v>0</v>
      </c>
      <c r="K914" s="85">
        <f>STATS1003B!K914/1000</f>
        <v>0</v>
      </c>
      <c r="L914" s="85">
        <f>STATS1003B!L914/1000</f>
        <v>0</v>
      </c>
      <c r="M914" s="85">
        <f>STATS1003B!M914/1000</f>
        <v>2245.7029500000003</v>
      </c>
      <c r="N914" s="85">
        <f>STATS1003B!N914/1000</f>
        <v>0</v>
      </c>
      <c r="O914" s="85">
        <f>STATS1003B!O914/1000</f>
        <v>0</v>
      </c>
      <c r="P914" s="85">
        <f>STATS1003B!P914/1000</f>
        <v>0</v>
      </c>
      <c r="Q914" s="85">
        <f>STATS1003B!Q914/1000</f>
        <v>0</v>
      </c>
      <c r="R914" s="85">
        <f>STATS1003B!R914/1000</f>
        <v>0</v>
      </c>
      <c r="S914" s="85">
        <f>STATS1003B!S914/1000</f>
        <v>0</v>
      </c>
      <c r="T914" s="85">
        <f>STATS1003B!T914/1000</f>
        <v>0</v>
      </c>
      <c r="U914" s="85">
        <f>STATS1003B!U914/1000</f>
        <v>0</v>
      </c>
      <c r="V914" s="85">
        <f>STATS1003B!V914/1000</f>
        <v>2245.7029500000003</v>
      </c>
      <c r="W914" s="85">
        <f>STATS1003B!W914/1000</f>
        <v>0</v>
      </c>
      <c r="X914" s="85">
        <f t="shared" si="119"/>
        <v>2245.7029500000003</v>
      </c>
      <c r="Y914" s="85">
        <f>STATS1003B!Y914/1000</f>
        <v>0</v>
      </c>
      <c r="Z914" s="85">
        <f t="shared" si="114"/>
        <v>0</v>
      </c>
      <c r="AA914" s="69">
        <f>STATS1003B!AA914/1000</f>
        <v>2245.7029500000003</v>
      </c>
      <c r="AB914" s="69">
        <f>STATS1003B!AB914/1000</f>
        <v>0</v>
      </c>
    </row>
    <row r="915" spans="1:28" hidden="1" x14ac:dyDescent="0.3">
      <c r="A915" s="117"/>
      <c r="C915" s="93" t="s">
        <v>1202</v>
      </c>
      <c r="D915" s="90" t="s">
        <v>1126</v>
      </c>
      <c r="E915" s="85">
        <f>STATS1003B!E915/1000</f>
        <v>2104.6465200000002</v>
      </c>
      <c r="F915" s="85">
        <f>STATS1003B!F915/1000</f>
        <v>2104.6465200000002</v>
      </c>
      <c r="G915" s="85">
        <f>STATS1003B!G915/1000</f>
        <v>0</v>
      </c>
      <c r="H915" s="85">
        <f>STATS1003B!H915/1000</f>
        <v>2104.6465200000002</v>
      </c>
      <c r="I915" s="85">
        <f>STATS1003B!I915/1000</f>
        <v>0</v>
      </c>
      <c r="J915" s="85">
        <f>STATS1003B!J915/1000</f>
        <v>0</v>
      </c>
      <c r="K915" s="85">
        <f>STATS1003B!K915/1000</f>
        <v>0</v>
      </c>
      <c r="L915" s="85">
        <f>STATS1003B!L915/1000</f>
        <v>0</v>
      </c>
      <c r="M915" s="85">
        <f>STATS1003B!M915/1000</f>
        <v>2104.6465200000002</v>
      </c>
      <c r="N915" s="85">
        <f>STATS1003B!N915/1000</f>
        <v>0</v>
      </c>
      <c r="O915" s="85">
        <f>STATS1003B!O915/1000</f>
        <v>0</v>
      </c>
      <c r="P915" s="85">
        <f>STATS1003B!P915/1000</f>
        <v>0</v>
      </c>
      <c r="Q915" s="85">
        <f>STATS1003B!Q915/1000</f>
        <v>0</v>
      </c>
      <c r="R915" s="85">
        <f>STATS1003B!R915/1000</f>
        <v>0</v>
      </c>
      <c r="S915" s="85">
        <f>STATS1003B!S915/1000</f>
        <v>0</v>
      </c>
      <c r="T915" s="85">
        <f>STATS1003B!T915/1000</f>
        <v>0</v>
      </c>
      <c r="U915" s="85">
        <f>STATS1003B!U915/1000</f>
        <v>0</v>
      </c>
      <c r="V915" s="85">
        <f>STATS1003B!V915/1000</f>
        <v>0</v>
      </c>
      <c r="W915" s="85">
        <f>STATS1003B!W915/1000</f>
        <v>0</v>
      </c>
      <c r="X915" s="85">
        <f t="shared" si="119"/>
        <v>2104.6465200000002</v>
      </c>
      <c r="Y915" s="85">
        <f>STATS1003B!Y915/1000</f>
        <v>0</v>
      </c>
      <c r="Z915" s="85">
        <f t="shared" si="114"/>
        <v>0</v>
      </c>
      <c r="AA915" s="69">
        <f>STATS1003B!AA915/1000</f>
        <v>2104.6465200000002</v>
      </c>
      <c r="AB915" s="69">
        <f>STATS1003B!AB915/1000</f>
        <v>0</v>
      </c>
    </row>
    <row r="916" spans="1:28" hidden="1" x14ac:dyDescent="0.3">
      <c r="A916" s="117"/>
      <c r="C916" s="68" t="s">
        <v>1250</v>
      </c>
      <c r="D916" s="90" t="s">
        <v>1225</v>
      </c>
      <c r="E916" s="85">
        <f>STATS1003B!E916/1000</f>
        <v>350</v>
      </c>
      <c r="F916" s="85">
        <f>STATS1003B!F916/1000</f>
        <v>350</v>
      </c>
      <c r="G916" s="85">
        <f>STATS1003B!G916/1000</f>
        <v>0</v>
      </c>
      <c r="H916" s="85">
        <f>STATS1003B!H916/1000</f>
        <v>350</v>
      </c>
      <c r="I916" s="85">
        <f>STATS1003B!I916/1000</f>
        <v>0</v>
      </c>
      <c r="J916" s="85">
        <f>STATS1003B!J916/1000</f>
        <v>0</v>
      </c>
      <c r="K916" s="85">
        <f>STATS1003B!K916/1000</f>
        <v>0</v>
      </c>
      <c r="L916" s="85">
        <f>STATS1003B!L916/1000</f>
        <v>0</v>
      </c>
      <c r="M916" s="85">
        <f>STATS1003B!M916/1000</f>
        <v>350</v>
      </c>
      <c r="N916" s="85">
        <f>STATS1003B!N916/1000</f>
        <v>0</v>
      </c>
      <c r="O916" s="85">
        <f>STATS1003B!O916/1000</f>
        <v>0</v>
      </c>
      <c r="P916" s="85">
        <f>STATS1003B!P916/1000</f>
        <v>0</v>
      </c>
      <c r="Q916" s="85">
        <f>STATS1003B!Q916/1000</f>
        <v>0</v>
      </c>
      <c r="R916" s="85">
        <f>STATS1003B!R916/1000</f>
        <v>0</v>
      </c>
      <c r="S916" s="85">
        <f>STATS1003B!S916/1000</f>
        <v>0</v>
      </c>
      <c r="T916" s="85">
        <f>STATS1003B!T916/1000</f>
        <v>0</v>
      </c>
      <c r="U916" s="85">
        <f>STATS1003B!U916/1000</f>
        <v>0</v>
      </c>
      <c r="V916" s="85">
        <f>STATS1003B!V916/1000</f>
        <v>0</v>
      </c>
      <c r="W916" s="85">
        <f>STATS1003B!W916/1000</f>
        <v>0</v>
      </c>
      <c r="X916" s="85">
        <f t="shared" si="119"/>
        <v>350</v>
      </c>
      <c r="Y916" s="85">
        <f>STATS1003B!Y916/1000</f>
        <v>0</v>
      </c>
      <c r="Z916" s="85">
        <f t="shared" si="114"/>
        <v>0</v>
      </c>
      <c r="AA916" s="69">
        <f>STATS1003B!AA916/1000</f>
        <v>350</v>
      </c>
      <c r="AB916" s="69">
        <f>STATS1003B!AB916/1000</f>
        <v>0</v>
      </c>
    </row>
    <row r="917" spans="1:28" hidden="1" x14ac:dyDescent="0.3">
      <c r="A917" s="117"/>
      <c r="C917" s="71" t="s">
        <v>568</v>
      </c>
      <c r="E917" s="85">
        <f>STATS1003B!E917/1000</f>
        <v>707.35249999999996</v>
      </c>
      <c r="F917" s="85">
        <f>STATS1003B!F917/1000</f>
        <v>707.35249999999996</v>
      </c>
      <c r="G917" s="85">
        <f>STATS1003B!G917/1000</f>
        <v>0</v>
      </c>
      <c r="H917" s="85">
        <f>STATS1003B!H917/1000</f>
        <v>707.35249999999996</v>
      </c>
      <c r="I917" s="85">
        <f>STATS1003B!I917/1000</f>
        <v>0</v>
      </c>
      <c r="J917" s="85">
        <f>STATS1003B!J917/1000</f>
        <v>707.35249999999996</v>
      </c>
      <c r="K917" s="85">
        <f>STATS1003B!K917/1000</f>
        <v>0</v>
      </c>
      <c r="L917" s="85">
        <f>STATS1003B!L917/1000</f>
        <v>0</v>
      </c>
      <c r="M917" s="85">
        <f>STATS1003B!M917/1000</f>
        <v>707.35249999999996</v>
      </c>
      <c r="N917" s="85">
        <f>STATS1003B!N917/1000</f>
        <v>0</v>
      </c>
      <c r="O917" s="85">
        <f>STATS1003B!O917/1000</f>
        <v>0</v>
      </c>
      <c r="P917" s="85">
        <f>STATS1003B!P917/1000</f>
        <v>0</v>
      </c>
      <c r="Q917" s="85">
        <f>STATS1003B!Q917/1000</f>
        <v>707.35249999999996</v>
      </c>
      <c r="R917" s="85">
        <f>STATS1003B!R917/1000</f>
        <v>0</v>
      </c>
      <c r="S917" s="85">
        <f>STATS1003B!S917/1000</f>
        <v>0</v>
      </c>
      <c r="T917" s="85">
        <f>STATS1003B!T917/1000</f>
        <v>0</v>
      </c>
      <c r="U917" s="85">
        <f>STATS1003B!U917/1000</f>
        <v>0</v>
      </c>
      <c r="V917" s="85">
        <f>STATS1003B!V917/1000</f>
        <v>707.35249999999996</v>
      </c>
      <c r="W917" s="85">
        <f>STATS1003B!W917/1000</f>
        <v>0</v>
      </c>
      <c r="X917" s="85">
        <f t="shared" si="119"/>
        <v>707.35249999999996</v>
      </c>
      <c r="Y917" s="85">
        <f>STATS1003B!Y917/1000</f>
        <v>0</v>
      </c>
      <c r="Z917" s="85">
        <f t="shared" ref="Z917:Z959" si="120">+E917-X917</f>
        <v>0</v>
      </c>
      <c r="AA917" s="69">
        <f>STATS1003B!AA917/1000</f>
        <v>707.35249999999996</v>
      </c>
      <c r="AB917" s="69">
        <f>STATS1003B!AB917/1000</f>
        <v>0</v>
      </c>
    </row>
    <row r="918" spans="1:28" hidden="1" x14ac:dyDescent="0.3">
      <c r="A918" s="117"/>
      <c r="C918" s="68" t="s">
        <v>662</v>
      </c>
      <c r="E918" s="85">
        <f>STATS1003B!E918/1000</f>
        <v>850</v>
      </c>
      <c r="F918" s="85">
        <f>STATS1003B!F918/1000</f>
        <v>850</v>
      </c>
      <c r="G918" s="85">
        <f>STATS1003B!G918/1000</f>
        <v>0</v>
      </c>
      <c r="H918" s="85">
        <f>STATS1003B!H918/1000</f>
        <v>850</v>
      </c>
      <c r="I918" s="85">
        <f>STATS1003B!I918/1000</f>
        <v>0</v>
      </c>
      <c r="J918" s="85">
        <f>STATS1003B!J918/1000</f>
        <v>850</v>
      </c>
      <c r="K918" s="85">
        <f>STATS1003B!K918/1000</f>
        <v>0</v>
      </c>
      <c r="L918" s="85">
        <f>STATS1003B!L918/1000</f>
        <v>0</v>
      </c>
      <c r="M918" s="85">
        <f>STATS1003B!M918/1000</f>
        <v>850</v>
      </c>
      <c r="N918" s="85">
        <f>STATS1003B!N918/1000</f>
        <v>0</v>
      </c>
      <c r="O918" s="85">
        <f>STATS1003B!O918/1000</f>
        <v>0</v>
      </c>
      <c r="P918" s="85">
        <f>STATS1003B!P918/1000</f>
        <v>0</v>
      </c>
      <c r="Q918" s="85">
        <f>STATS1003B!Q918/1000</f>
        <v>850</v>
      </c>
      <c r="R918" s="85">
        <f>STATS1003B!R918/1000</f>
        <v>0</v>
      </c>
      <c r="S918" s="85">
        <f>STATS1003B!S918/1000</f>
        <v>0</v>
      </c>
      <c r="T918" s="85">
        <f>STATS1003B!T918/1000</f>
        <v>0</v>
      </c>
      <c r="U918" s="85">
        <f>STATS1003B!U918/1000</f>
        <v>0</v>
      </c>
      <c r="V918" s="85">
        <f>STATS1003B!V918/1000</f>
        <v>850</v>
      </c>
      <c r="W918" s="85">
        <f>STATS1003B!W918/1000</f>
        <v>0</v>
      </c>
      <c r="X918" s="85">
        <f t="shared" si="119"/>
        <v>850</v>
      </c>
      <c r="Y918" s="85">
        <f>STATS1003B!Y918/1000</f>
        <v>0</v>
      </c>
      <c r="Z918" s="85">
        <f t="shared" si="120"/>
        <v>0</v>
      </c>
      <c r="AA918" s="69">
        <f>STATS1003B!AA918/1000</f>
        <v>850</v>
      </c>
      <c r="AB918" s="69">
        <f>STATS1003B!AB918/1000</f>
        <v>0</v>
      </c>
    </row>
    <row r="919" spans="1:28" hidden="1" x14ac:dyDescent="0.3">
      <c r="A919" s="117"/>
      <c r="C919" s="68" t="s">
        <v>663</v>
      </c>
      <c r="E919" s="85">
        <f>STATS1003B!E919/1000</f>
        <v>50</v>
      </c>
      <c r="F919" s="85">
        <f>STATS1003B!F919/1000</f>
        <v>50</v>
      </c>
      <c r="G919" s="85">
        <f>STATS1003B!G919/1000</f>
        <v>0</v>
      </c>
      <c r="H919" s="85">
        <f>STATS1003B!H919/1000</f>
        <v>50</v>
      </c>
      <c r="I919" s="85">
        <f>STATS1003B!I919/1000</f>
        <v>0</v>
      </c>
      <c r="J919" s="85">
        <f>STATS1003B!J919/1000</f>
        <v>50</v>
      </c>
      <c r="K919" s="85">
        <f>STATS1003B!K919/1000</f>
        <v>0</v>
      </c>
      <c r="L919" s="85">
        <f>STATS1003B!L919/1000</f>
        <v>0</v>
      </c>
      <c r="M919" s="85">
        <f>STATS1003B!M919/1000</f>
        <v>50</v>
      </c>
      <c r="N919" s="85">
        <f>STATS1003B!N919/1000</f>
        <v>0</v>
      </c>
      <c r="O919" s="85">
        <f>STATS1003B!O919/1000</f>
        <v>0</v>
      </c>
      <c r="P919" s="85">
        <f>STATS1003B!P919/1000</f>
        <v>0</v>
      </c>
      <c r="Q919" s="85">
        <f>STATS1003B!Q919/1000</f>
        <v>50</v>
      </c>
      <c r="R919" s="85">
        <f>STATS1003B!R919/1000</f>
        <v>0</v>
      </c>
      <c r="S919" s="85">
        <f>STATS1003B!S919/1000</f>
        <v>0</v>
      </c>
      <c r="T919" s="85">
        <f>STATS1003B!T919/1000</f>
        <v>0</v>
      </c>
      <c r="U919" s="85">
        <f>STATS1003B!U919/1000</f>
        <v>0</v>
      </c>
      <c r="V919" s="85">
        <f>STATS1003B!V919/1000</f>
        <v>50</v>
      </c>
      <c r="W919" s="85">
        <f>STATS1003B!W919/1000</f>
        <v>0</v>
      </c>
      <c r="X919" s="85">
        <f t="shared" si="119"/>
        <v>50</v>
      </c>
      <c r="Y919" s="85">
        <f>STATS1003B!Y919/1000</f>
        <v>0</v>
      </c>
      <c r="Z919" s="85">
        <f t="shared" si="120"/>
        <v>0</v>
      </c>
      <c r="AA919" s="69">
        <f>STATS1003B!AA919/1000</f>
        <v>50</v>
      </c>
      <c r="AB919" s="69">
        <f>STATS1003B!AB919/1000</f>
        <v>0</v>
      </c>
    </row>
    <row r="920" spans="1:28" hidden="1" x14ac:dyDescent="0.3">
      <c r="A920" s="117"/>
      <c r="C920" s="68" t="s">
        <v>606</v>
      </c>
      <c r="E920" s="85">
        <f>STATS1003B!E920/1000</f>
        <v>4722.4857400000001</v>
      </c>
      <c r="F920" s="85">
        <f>STATS1003B!F920/1000</f>
        <v>4722.4857400000001</v>
      </c>
      <c r="G920" s="85">
        <f>STATS1003B!G920/1000</f>
        <v>0</v>
      </c>
      <c r="H920" s="85">
        <f>STATS1003B!H920/1000</f>
        <v>4722.4857400000001</v>
      </c>
      <c r="I920" s="85">
        <f>STATS1003B!I920/1000</f>
        <v>0</v>
      </c>
      <c r="J920" s="85">
        <f>STATS1003B!J920/1000</f>
        <v>4722.4857400000001</v>
      </c>
      <c r="K920" s="85">
        <f>STATS1003B!K920/1000</f>
        <v>0</v>
      </c>
      <c r="L920" s="85">
        <f>STATS1003B!L920/1000</f>
        <v>0</v>
      </c>
      <c r="M920" s="85">
        <f>STATS1003B!M920/1000</f>
        <v>4722.4857400000001</v>
      </c>
      <c r="N920" s="85">
        <f>STATS1003B!N920/1000</f>
        <v>0</v>
      </c>
      <c r="O920" s="85">
        <f>STATS1003B!O920/1000</f>
        <v>0</v>
      </c>
      <c r="P920" s="85">
        <f>STATS1003B!P920/1000</f>
        <v>0</v>
      </c>
      <c r="Q920" s="85">
        <f>STATS1003B!Q920/1000</f>
        <v>4722.4857400000001</v>
      </c>
      <c r="R920" s="85">
        <f>STATS1003B!R920/1000</f>
        <v>0</v>
      </c>
      <c r="S920" s="85">
        <f>STATS1003B!S920/1000</f>
        <v>0</v>
      </c>
      <c r="T920" s="85">
        <f>STATS1003B!T920/1000</f>
        <v>0</v>
      </c>
      <c r="U920" s="85">
        <f>STATS1003B!U920/1000</f>
        <v>0</v>
      </c>
      <c r="V920" s="85">
        <f>STATS1003B!V920/1000</f>
        <v>4722.4857400000001</v>
      </c>
      <c r="W920" s="85">
        <f>STATS1003B!W920/1000</f>
        <v>0</v>
      </c>
      <c r="X920" s="85">
        <f t="shared" si="119"/>
        <v>4722.4857400000001</v>
      </c>
      <c r="Y920" s="85">
        <f>STATS1003B!Y920/1000</f>
        <v>0</v>
      </c>
      <c r="Z920" s="85">
        <f t="shared" si="120"/>
        <v>0</v>
      </c>
      <c r="AA920" s="69">
        <f>STATS1003B!AA920/1000</f>
        <v>4722.4857400000001</v>
      </c>
      <c r="AB920" s="69">
        <f>STATS1003B!AB920/1000</f>
        <v>0</v>
      </c>
    </row>
    <row r="921" spans="1:28" hidden="1" x14ac:dyDescent="0.3">
      <c r="A921" s="117"/>
      <c r="E921" s="86" t="s">
        <v>29</v>
      </c>
      <c r="F921" s="86" t="s">
        <v>29</v>
      </c>
      <c r="G921" s="86" t="s">
        <v>29</v>
      </c>
      <c r="H921" s="86" t="s">
        <v>29</v>
      </c>
      <c r="I921" s="86" t="s">
        <v>29</v>
      </c>
      <c r="J921" s="86" t="s">
        <v>29</v>
      </c>
      <c r="K921" s="86" t="s">
        <v>29</v>
      </c>
      <c r="L921" s="86" t="s">
        <v>29</v>
      </c>
      <c r="M921" s="86" t="s">
        <v>29</v>
      </c>
      <c r="N921" s="86" t="s">
        <v>29</v>
      </c>
      <c r="O921" s="86" t="s">
        <v>29</v>
      </c>
      <c r="P921" s="86" t="s">
        <v>29</v>
      </c>
      <c r="Q921" s="86" t="s">
        <v>29</v>
      </c>
      <c r="R921" s="86" t="s">
        <v>29</v>
      </c>
      <c r="S921" s="86" t="s">
        <v>29</v>
      </c>
      <c r="T921" s="86" t="s">
        <v>29</v>
      </c>
      <c r="U921" s="86" t="s">
        <v>29</v>
      </c>
      <c r="V921" s="86" t="s">
        <v>29</v>
      </c>
      <c r="W921" s="86" t="s">
        <v>29</v>
      </c>
      <c r="X921" s="85" t="e">
        <f t="shared" si="119"/>
        <v>#VALUE!</v>
      </c>
      <c r="Y921" s="86" t="s">
        <v>29</v>
      </c>
      <c r="Z921" s="85" t="e">
        <f t="shared" si="120"/>
        <v>#VALUE!</v>
      </c>
      <c r="AA921" s="115" t="s">
        <v>29</v>
      </c>
      <c r="AB921" s="115" t="s">
        <v>29</v>
      </c>
    </row>
    <row r="922" spans="1:28" x14ac:dyDescent="0.3">
      <c r="A922" s="116">
        <v>43</v>
      </c>
      <c r="B922" s="68" t="s">
        <v>658</v>
      </c>
      <c r="E922" s="85">
        <f>169127899.18/1000</f>
        <v>169127.89918000001</v>
      </c>
      <c r="F922" s="85">
        <f t="shared" ref="F922:Y922" si="121">SUM(F898:F921)</f>
        <v>44117.987710000001</v>
      </c>
      <c r="G922" s="85">
        <f t="shared" si="121"/>
        <v>0</v>
      </c>
      <c r="H922" s="85">
        <f>149633020.59/1000</f>
        <v>149633.02059</v>
      </c>
      <c r="I922" s="85">
        <f t="shared" si="121"/>
        <v>0</v>
      </c>
      <c r="J922" s="85">
        <f t="shared" si="121"/>
        <v>39417.63824</v>
      </c>
      <c r="K922" s="85">
        <f t="shared" si="121"/>
        <v>19494.878589999997</v>
      </c>
      <c r="L922" s="85">
        <f t="shared" si="121"/>
        <v>0</v>
      </c>
      <c r="M922" s="85">
        <f t="shared" si="121"/>
        <v>44117.987710000001</v>
      </c>
      <c r="N922" s="85">
        <f t="shared" si="121"/>
        <v>19494.878589999997</v>
      </c>
      <c r="O922" s="85">
        <f t="shared" si="121"/>
        <v>0</v>
      </c>
      <c r="P922" s="85">
        <f>19494878/1000</f>
        <v>19494.878000000001</v>
      </c>
      <c r="Q922" s="85">
        <f t="shared" si="121"/>
        <v>39417.63824</v>
      </c>
      <c r="R922" s="85">
        <f t="shared" si="121"/>
        <v>0</v>
      </c>
      <c r="S922" s="85">
        <f t="shared" si="121"/>
        <v>0</v>
      </c>
      <c r="T922" s="85">
        <f t="shared" si="121"/>
        <v>0</v>
      </c>
      <c r="U922" s="85">
        <f t="shared" si="121"/>
        <v>19494.878589999997</v>
      </c>
      <c r="V922" s="85">
        <f t="shared" si="121"/>
        <v>61158.219779999999</v>
      </c>
      <c r="W922" s="85">
        <f t="shared" si="121"/>
        <v>0</v>
      </c>
      <c r="X922" s="85">
        <f>+H922+P922</f>
        <v>169127.89859</v>
      </c>
      <c r="Y922" s="85">
        <f t="shared" si="121"/>
        <v>0</v>
      </c>
      <c r="Z922" s="85">
        <f t="shared" si="120"/>
        <v>5.90000010561198E-4</v>
      </c>
      <c r="AA922" s="69">
        <f>SUM(AA898:AA921)</f>
        <v>63612.866300000009</v>
      </c>
      <c r="AB922" s="69">
        <f>SUM(AB898:AB921)</f>
        <v>0</v>
      </c>
    </row>
    <row r="923" spans="1:28" hidden="1" x14ac:dyDescent="0.3">
      <c r="A923" s="117"/>
      <c r="E923" s="86" t="s">
        <v>29</v>
      </c>
      <c r="F923" s="86" t="s">
        <v>29</v>
      </c>
      <c r="G923" s="86" t="s">
        <v>29</v>
      </c>
      <c r="H923" s="86" t="s">
        <v>29</v>
      </c>
      <c r="I923" s="86" t="s">
        <v>29</v>
      </c>
      <c r="J923" s="86" t="s">
        <v>29</v>
      </c>
      <c r="K923" s="86" t="s">
        <v>29</v>
      </c>
      <c r="L923" s="86" t="s">
        <v>29</v>
      </c>
      <c r="M923" s="86" t="s">
        <v>29</v>
      </c>
      <c r="N923" s="86" t="s">
        <v>29</v>
      </c>
      <c r="O923" s="86" t="s">
        <v>29</v>
      </c>
      <c r="P923" s="86" t="s">
        <v>29</v>
      </c>
      <c r="Q923" s="86" t="s">
        <v>29</v>
      </c>
      <c r="R923" s="86" t="s">
        <v>29</v>
      </c>
      <c r="S923" s="86" t="s">
        <v>29</v>
      </c>
      <c r="T923" s="86" t="s">
        <v>29</v>
      </c>
      <c r="U923" s="86" t="s">
        <v>29</v>
      </c>
      <c r="V923" s="86" t="s">
        <v>29</v>
      </c>
      <c r="W923" s="86" t="s">
        <v>29</v>
      </c>
      <c r="X923" s="85" t="e">
        <f t="shared" si="119"/>
        <v>#VALUE!</v>
      </c>
      <c r="Y923" s="86" t="s">
        <v>29</v>
      </c>
      <c r="Z923" s="85" t="e">
        <f t="shared" si="120"/>
        <v>#VALUE!</v>
      </c>
      <c r="AA923" s="115" t="s">
        <v>29</v>
      </c>
      <c r="AB923" s="115" t="s">
        <v>29</v>
      </c>
    </row>
    <row r="924" spans="1:28" hidden="1" x14ac:dyDescent="0.3">
      <c r="A924" s="105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6"/>
      <c r="S924" s="86"/>
      <c r="T924" s="86"/>
      <c r="U924" s="86"/>
      <c r="V924" s="86"/>
      <c r="W924" s="86"/>
      <c r="X924" s="85">
        <f t="shared" si="119"/>
        <v>0</v>
      </c>
      <c r="Y924" s="86"/>
      <c r="Z924" s="85">
        <f t="shared" si="120"/>
        <v>0</v>
      </c>
      <c r="AA924" s="118"/>
    </row>
    <row r="925" spans="1:28" hidden="1" x14ac:dyDescent="0.3">
      <c r="A925" s="117"/>
      <c r="C925" s="68" t="s">
        <v>539</v>
      </c>
      <c r="D925" s="87" t="s">
        <v>68</v>
      </c>
      <c r="E925" s="85">
        <f>STATS1003B!E925/1000</f>
        <v>472.3433</v>
      </c>
      <c r="F925" s="85">
        <f>STATS1003B!F925/1000</f>
        <v>0</v>
      </c>
      <c r="G925" s="85">
        <f>STATS1003B!G925/1000</f>
        <v>0</v>
      </c>
      <c r="H925" s="85">
        <f>STATS1003B!H925/1000</f>
        <v>0</v>
      </c>
      <c r="I925" s="85">
        <f>STATS1003B!I925/1000</f>
        <v>0</v>
      </c>
      <c r="J925" s="85">
        <f>STATS1003B!J925/1000</f>
        <v>0</v>
      </c>
      <c r="K925" s="85">
        <f>STATS1003B!K925/1000</f>
        <v>472.3433</v>
      </c>
      <c r="L925" s="85">
        <f>STATS1003B!L925/1000</f>
        <v>0</v>
      </c>
      <c r="M925" s="85">
        <f>STATS1003B!M925/1000</f>
        <v>0</v>
      </c>
      <c r="N925" s="85">
        <f>STATS1003B!N925/1000</f>
        <v>472.3433</v>
      </c>
      <c r="O925" s="85">
        <f>STATS1003B!O925/1000</f>
        <v>0</v>
      </c>
      <c r="P925" s="85">
        <f>STATS1003B!P925/1000</f>
        <v>472.3433</v>
      </c>
      <c r="Q925" s="85">
        <f>STATS1003B!Q925/1000</f>
        <v>0</v>
      </c>
      <c r="R925" s="85">
        <f>STATS1003B!R925/1000</f>
        <v>0</v>
      </c>
      <c r="S925" s="85">
        <f>STATS1003B!S925/1000</f>
        <v>0</v>
      </c>
      <c r="T925" s="85">
        <f>STATS1003B!T925/1000</f>
        <v>0</v>
      </c>
      <c r="U925" s="85">
        <f>STATS1003B!U925/1000</f>
        <v>472.3433</v>
      </c>
      <c r="V925" s="85">
        <f>STATS1003B!V925/1000</f>
        <v>472.3433</v>
      </c>
      <c r="W925" s="85">
        <f>STATS1003B!W925/1000</f>
        <v>0</v>
      </c>
      <c r="X925" s="85">
        <f t="shared" si="119"/>
        <v>472.3433</v>
      </c>
      <c r="Y925" s="85">
        <f>STATS1003B!Y925/1000</f>
        <v>0</v>
      </c>
      <c r="Z925" s="85">
        <f t="shared" si="120"/>
        <v>0</v>
      </c>
      <c r="AA925" s="69">
        <f>STATS1003B!AA925/1000</f>
        <v>472.3433</v>
      </c>
      <c r="AB925" s="69">
        <f>STATS1003B!AB925/1000</f>
        <v>0</v>
      </c>
    </row>
    <row r="926" spans="1:28" hidden="1" x14ac:dyDescent="0.3">
      <c r="A926" s="117"/>
      <c r="C926" s="68" t="s">
        <v>665</v>
      </c>
      <c r="D926" s="87" t="s">
        <v>68</v>
      </c>
      <c r="E926" s="85">
        <f>STATS1003B!E926/1000</f>
        <v>1700</v>
      </c>
      <c r="F926" s="85">
        <f>STATS1003B!F926/1000</f>
        <v>685.94758000000013</v>
      </c>
      <c r="G926" s="85">
        <f>STATS1003B!G926/1000</f>
        <v>0</v>
      </c>
      <c r="H926" s="85">
        <f>STATS1003B!H926/1000</f>
        <v>685.94758000000013</v>
      </c>
      <c r="I926" s="85">
        <f>STATS1003B!I926/1000</f>
        <v>0</v>
      </c>
      <c r="J926" s="85">
        <f>STATS1003B!J926/1000</f>
        <v>685.94758000000013</v>
      </c>
      <c r="K926" s="85">
        <f>STATS1003B!K926/1000</f>
        <v>1014.0524200000001</v>
      </c>
      <c r="L926" s="85">
        <f>STATS1003B!L926/1000</f>
        <v>0</v>
      </c>
      <c r="M926" s="85">
        <f>STATS1003B!M926/1000</f>
        <v>685.94758000000013</v>
      </c>
      <c r="N926" s="85">
        <f>STATS1003B!N926/1000</f>
        <v>1014.0524200000001</v>
      </c>
      <c r="O926" s="85">
        <f>STATS1003B!O926/1000</f>
        <v>0</v>
      </c>
      <c r="P926" s="85">
        <f>STATS1003B!P926/1000</f>
        <v>1014.0524200000001</v>
      </c>
      <c r="Q926" s="85">
        <f>STATS1003B!Q926/1000</f>
        <v>685.9475799999999</v>
      </c>
      <c r="R926" s="85">
        <f>STATS1003B!R926/1000</f>
        <v>0</v>
      </c>
      <c r="S926" s="85">
        <f>STATS1003B!S926/1000</f>
        <v>0</v>
      </c>
      <c r="T926" s="85">
        <f>STATS1003B!T926/1000</f>
        <v>0</v>
      </c>
      <c r="U926" s="85">
        <f>STATS1003B!U926/1000</f>
        <v>1014.0524200000001</v>
      </c>
      <c r="V926" s="85">
        <f>STATS1003B!V926/1000</f>
        <v>1700</v>
      </c>
      <c r="W926" s="85">
        <f>STATS1003B!W926/1000</f>
        <v>0</v>
      </c>
      <c r="X926" s="85">
        <f t="shared" si="119"/>
        <v>1700.0000000000002</v>
      </c>
      <c r="Y926" s="85">
        <f>STATS1003B!Y926/1000</f>
        <v>0</v>
      </c>
      <c r="Z926" s="85">
        <f t="shared" si="120"/>
        <v>0</v>
      </c>
      <c r="AA926" s="69">
        <f>STATS1003B!AA926/1000</f>
        <v>1700</v>
      </c>
      <c r="AB926" s="69">
        <f>STATS1003B!AB926/1000</f>
        <v>0</v>
      </c>
    </row>
    <row r="927" spans="1:28" hidden="1" x14ac:dyDescent="0.3">
      <c r="A927" s="117"/>
      <c r="C927" s="68" t="s">
        <v>665</v>
      </c>
      <c r="D927" s="87" t="s">
        <v>68</v>
      </c>
      <c r="E927" s="85">
        <f>STATS1003B!E927/1000</f>
        <v>2550</v>
      </c>
      <c r="F927" s="85">
        <f>STATS1003B!F927/1000</f>
        <v>2545.1856699999998</v>
      </c>
      <c r="G927" s="85">
        <f>STATS1003B!G927/1000</f>
        <v>0</v>
      </c>
      <c r="H927" s="85">
        <f>STATS1003B!H927/1000</f>
        <v>2545.1856699999998</v>
      </c>
      <c r="I927" s="85">
        <f>STATS1003B!I927/1000</f>
        <v>0</v>
      </c>
      <c r="J927" s="85">
        <f>STATS1003B!J927/1000</f>
        <v>2545.1856699999998</v>
      </c>
      <c r="K927" s="85">
        <f>STATS1003B!K927/1000</f>
        <v>4.81433</v>
      </c>
      <c r="L927" s="85">
        <f>STATS1003B!L927/1000</f>
        <v>0</v>
      </c>
      <c r="M927" s="85">
        <f>STATS1003B!M927/1000</f>
        <v>2545.1856699999998</v>
      </c>
      <c r="N927" s="85">
        <f>STATS1003B!N927/1000</f>
        <v>4.81433</v>
      </c>
      <c r="O927" s="85">
        <f>STATS1003B!O927/1000</f>
        <v>0</v>
      </c>
      <c r="P927" s="85">
        <f>STATS1003B!P927/1000</f>
        <v>4.81433</v>
      </c>
      <c r="Q927" s="85">
        <f>STATS1003B!Q927/1000</f>
        <v>2545.1856699999998</v>
      </c>
      <c r="R927" s="85">
        <f>STATS1003B!R927/1000</f>
        <v>0</v>
      </c>
      <c r="S927" s="85">
        <f>STATS1003B!S927/1000</f>
        <v>0</v>
      </c>
      <c r="T927" s="85">
        <f>STATS1003B!T927/1000</f>
        <v>0</v>
      </c>
      <c r="U927" s="85">
        <f>STATS1003B!U927/1000</f>
        <v>4.81433</v>
      </c>
      <c r="V927" s="85">
        <f>STATS1003B!V927/1000</f>
        <v>2550</v>
      </c>
      <c r="W927" s="85">
        <f>STATS1003B!W927/1000</f>
        <v>0</v>
      </c>
      <c r="X927" s="85">
        <f t="shared" si="119"/>
        <v>2550</v>
      </c>
      <c r="Y927" s="85">
        <f>STATS1003B!Y927/1000</f>
        <v>0</v>
      </c>
      <c r="Z927" s="85">
        <f t="shared" si="120"/>
        <v>0</v>
      </c>
      <c r="AA927" s="69">
        <f>STATS1003B!AA927/1000</f>
        <v>2550</v>
      </c>
      <c r="AB927" s="69">
        <f>STATS1003B!AB927/1000</f>
        <v>0</v>
      </c>
    </row>
    <row r="928" spans="1:28" hidden="1" x14ac:dyDescent="0.3">
      <c r="A928" s="117"/>
      <c r="C928" s="68" t="s">
        <v>535</v>
      </c>
      <c r="D928" s="87" t="s">
        <v>54</v>
      </c>
      <c r="E928" s="85">
        <f>STATS1003B!E928/1000</f>
        <v>179.19300000000001</v>
      </c>
      <c r="F928" s="85">
        <f>STATS1003B!F928/1000</f>
        <v>179.19300000000001</v>
      </c>
      <c r="G928" s="85">
        <f>STATS1003B!G928/1000</f>
        <v>0</v>
      </c>
      <c r="H928" s="85">
        <f>STATS1003B!H928/1000</f>
        <v>179.19300000000001</v>
      </c>
      <c r="I928" s="85">
        <f>STATS1003B!I928/1000</f>
        <v>0</v>
      </c>
      <c r="J928" s="85">
        <f>STATS1003B!J928/1000</f>
        <v>179.19300000000001</v>
      </c>
      <c r="K928" s="85">
        <f>STATS1003B!K928/1000</f>
        <v>0</v>
      </c>
      <c r="L928" s="85">
        <f>STATS1003B!L928/1000</f>
        <v>0</v>
      </c>
      <c r="M928" s="85">
        <f>STATS1003B!M928/1000</f>
        <v>179.19300000000001</v>
      </c>
      <c r="N928" s="85">
        <f>STATS1003B!N928/1000</f>
        <v>0</v>
      </c>
      <c r="O928" s="85">
        <f>STATS1003B!O928/1000</f>
        <v>0</v>
      </c>
      <c r="P928" s="85">
        <f>STATS1003B!P928/1000</f>
        <v>0</v>
      </c>
      <c r="Q928" s="85">
        <f>STATS1003B!Q928/1000</f>
        <v>179.19300000000001</v>
      </c>
      <c r="R928" s="85">
        <f>STATS1003B!R928/1000</f>
        <v>0</v>
      </c>
      <c r="S928" s="85">
        <f>STATS1003B!S928/1000</f>
        <v>0</v>
      </c>
      <c r="T928" s="85">
        <f>STATS1003B!T928/1000</f>
        <v>0</v>
      </c>
      <c r="U928" s="85">
        <f>STATS1003B!U928/1000</f>
        <v>0</v>
      </c>
      <c r="V928" s="85">
        <f>STATS1003B!V928/1000</f>
        <v>179.19300000000001</v>
      </c>
      <c r="W928" s="85">
        <f>STATS1003B!W928/1000</f>
        <v>0</v>
      </c>
      <c r="X928" s="85">
        <f t="shared" si="119"/>
        <v>179.19300000000001</v>
      </c>
      <c r="Y928" s="85">
        <f>STATS1003B!Y928/1000</f>
        <v>0</v>
      </c>
      <c r="Z928" s="85">
        <f t="shared" si="120"/>
        <v>0</v>
      </c>
      <c r="AA928" s="69">
        <f>STATS1003B!AA928/1000</f>
        <v>179.19300000000001</v>
      </c>
      <c r="AB928" s="69">
        <f>STATS1003B!AB928/1000</f>
        <v>0</v>
      </c>
    </row>
    <row r="929" spans="1:28" hidden="1" x14ac:dyDescent="0.3">
      <c r="A929" s="117"/>
      <c r="C929" s="68" t="s">
        <v>545</v>
      </c>
      <c r="D929" s="87" t="s">
        <v>54</v>
      </c>
      <c r="E929" s="85">
        <f>STATS1003B!E929/1000</f>
        <v>1953.989</v>
      </c>
      <c r="F929" s="85">
        <f>STATS1003B!F929/1000</f>
        <v>0</v>
      </c>
      <c r="G929" s="85">
        <f>STATS1003B!G929/1000</f>
        <v>0</v>
      </c>
      <c r="H929" s="85">
        <f>STATS1003B!H929/1000</f>
        <v>0</v>
      </c>
      <c r="I929" s="85">
        <f>STATS1003B!I929/1000</f>
        <v>0</v>
      </c>
      <c r="J929" s="85">
        <f>STATS1003B!J929/1000</f>
        <v>0</v>
      </c>
      <c r="K929" s="85">
        <f>STATS1003B!K929/1000</f>
        <v>1953.989</v>
      </c>
      <c r="L929" s="85">
        <f>STATS1003B!L929/1000</f>
        <v>0</v>
      </c>
      <c r="M929" s="85">
        <f>STATS1003B!M929/1000</f>
        <v>0</v>
      </c>
      <c r="N929" s="85">
        <f>STATS1003B!N929/1000</f>
        <v>1953.989</v>
      </c>
      <c r="O929" s="85">
        <f>STATS1003B!O929/1000</f>
        <v>0</v>
      </c>
      <c r="P929" s="85">
        <f>STATS1003B!P929/1000</f>
        <v>1953.989</v>
      </c>
      <c r="Q929" s="85">
        <f>STATS1003B!Q929/1000</f>
        <v>0</v>
      </c>
      <c r="R929" s="85">
        <f>STATS1003B!R929/1000</f>
        <v>0</v>
      </c>
      <c r="S929" s="85">
        <f>STATS1003B!S929/1000</f>
        <v>0</v>
      </c>
      <c r="T929" s="85">
        <f>STATS1003B!T929/1000</f>
        <v>0</v>
      </c>
      <c r="U929" s="85">
        <f>STATS1003B!U929/1000</f>
        <v>1953.989</v>
      </c>
      <c r="V929" s="85">
        <f>STATS1003B!V929/1000</f>
        <v>1953.989</v>
      </c>
      <c r="W929" s="85">
        <f>STATS1003B!W929/1000</f>
        <v>0</v>
      </c>
      <c r="X929" s="85">
        <f t="shared" si="119"/>
        <v>1953.989</v>
      </c>
      <c r="Y929" s="85">
        <f>STATS1003B!Y929/1000</f>
        <v>0</v>
      </c>
      <c r="Z929" s="85">
        <f t="shared" si="120"/>
        <v>0</v>
      </c>
      <c r="AA929" s="69">
        <f>STATS1003B!AA929/1000</f>
        <v>1953.989</v>
      </c>
      <c r="AB929" s="69">
        <f>STATS1003B!AB929/1000</f>
        <v>0</v>
      </c>
    </row>
    <row r="930" spans="1:28" hidden="1" x14ac:dyDescent="0.3">
      <c r="A930" s="117"/>
      <c r="C930" s="68" t="s">
        <v>535</v>
      </c>
      <c r="D930" s="87" t="s">
        <v>85</v>
      </c>
      <c r="E930" s="85">
        <f>STATS1003B!E930/1000</f>
        <v>665.1</v>
      </c>
      <c r="F930" s="85">
        <f>STATS1003B!F930/1000</f>
        <v>665.1</v>
      </c>
      <c r="G930" s="85">
        <f>STATS1003B!G930/1000</f>
        <v>0</v>
      </c>
      <c r="H930" s="85">
        <f>STATS1003B!H930/1000</f>
        <v>665.1</v>
      </c>
      <c r="I930" s="85">
        <f>STATS1003B!I930/1000</f>
        <v>0</v>
      </c>
      <c r="J930" s="85">
        <f>STATS1003B!J930/1000</f>
        <v>665.1</v>
      </c>
      <c r="K930" s="85">
        <f>STATS1003B!K930/1000</f>
        <v>0</v>
      </c>
      <c r="L930" s="85">
        <f>STATS1003B!L930/1000</f>
        <v>0</v>
      </c>
      <c r="M930" s="85">
        <f>STATS1003B!M930/1000</f>
        <v>665.1</v>
      </c>
      <c r="N930" s="85">
        <f>STATS1003B!N930/1000</f>
        <v>0</v>
      </c>
      <c r="O930" s="85">
        <f>STATS1003B!O930/1000</f>
        <v>0</v>
      </c>
      <c r="P930" s="85">
        <f>STATS1003B!P930/1000</f>
        <v>0</v>
      </c>
      <c r="Q930" s="85">
        <f>STATS1003B!Q930/1000</f>
        <v>665.1</v>
      </c>
      <c r="R930" s="85">
        <f>STATS1003B!R930/1000</f>
        <v>0</v>
      </c>
      <c r="S930" s="85">
        <f>STATS1003B!S930/1000</f>
        <v>0</v>
      </c>
      <c r="T930" s="85">
        <f>STATS1003B!T930/1000</f>
        <v>0</v>
      </c>
      <c r="U930" s="85">
        <f>STATS1003B!U930/1000</f>
        <v>0</v>
      </c>
      <c r="V930" s="85">
        <f>STATS1003B!V930/1000</f>
        <v>665.1</v>
      </c>
      <c r="W930" s="85">
        <f>STATS1003B!W930/1000</f>
        <v>0</v>
      </c>
      <c r="X930" s="85">
        <f t="shared" si="119"/>
        <v>665.1</v>
      </c>
      <c r="Y930" s="85">
        <f>STATS1003B!Y930/1000</f>
        <v>0</v>
      </c>
      <c r="Z930" s="85">
        <f t="shared" si="120"/>
        <v>0</v>
      </c>
      <c r="AA930" s="69">
        <f>STATS1003B!AA930/1000</f>
        <v>665.1</v>
      </c>
      <c r="AB930" s="69">
        <f>STATS1003B!AB930/1000</f>
        <v>0</v>
      </c>
    </row>
    <row r="931" spans="1:28" hidden="1" x14ac:dyDescent="0.3">
      <c r="A931" s="117"/>
      <c r="C931" s="68" t="s">
        <v>535</v>
      </c>
      <c r="D931" s="87" t="s">
        <v>128</v>
      </c>
      <c r="E931" s="85">
        <f>STATS1003B!E931/1000</f>
        <v>1500</v>
      </c>
      <c r="F931" s="85">
        <f>STATS1003B!F931/1000</f>
        <v>1500</v>
      </c>
      <c r="G931" s="85">
        <f>STATS1003B!G931/1000</f>
        <v>0</v>
      </c>
      <c r="H931" s="85">
        <f>STATS1003B!H931/1000</f>
        <v>1500</v>
      </c>
      <c r="I931" s="85">
        <f>STATS1003B!I931/1000</f>
        <v>0</v>
      </c>
      <c r="J931" s="85">
        <f>STATS1003B!J931/1000</f>
        <v>1500</v>
      </c>
      <c r="K931" s="85">
        <f>STATS1003B!K931/1000</f>
        <v>0</v>
      </c>
      <c r="L931" s="85">
        <f>STATS1003B!L931/1000</f>
        <v>0</v>
      </c>
      <c r="M931" s="85">
        <f>STATS1003B!M931/1000</f>
        <v>1500</v>
      </c>
      <c r="N931" s="85">
        <f>STATS1003B!N931/1000</f>
        <v>0</v>
      </c>
      <c r="O931" s="85">
        <f>STATS1003B!O931/1000</f>
        <v>0</v>
      </c>
      <c r="P931" s="85">
        <f>STATS1003B!P931/1000</f>
        <v>0</v>
      </c>
      <c r="Q931" s="85">
        <f>STATS1003B!Q931/1000</f>
        <v>1500</v>
      </c>
      <c r="R931" s="85">
        <f>STATS1003B!R931/1000</f>
        <v>0</v>
      </c>
      <c r="S931" s="85">
        <f>STATS1003B!S931/1000</f>
        <v>0</v>
      </c>
      <c r="T931" s="85">
        <f>STATS1003B!T931/1000</f>
        <v>0</v>
      </c>
      <c r="U931" s="85">
        <f>STATS1003B!U931/1000</f>
        <v>0</v>
      </c>
      <c r="V931" s="85">
        <f>STATS1003B!V931/1000</f>
        <v>1500</v>
      </c>
      <c r="W931" s="85">
        <f>STATS1003B!W931/1000</f>
        <v>0</v>
      </c>
      <c r="X931" s="85">
        <f t="shared" si="119"/>
        <v>1500</v>
      </c>
      <c r="Y931" s="85">
        <f>STATS1003B!Y931/1000</f>
        <v>0</v>
      </c>
      <c r="Z931" s="85">
        <f t="shared" si="120"/>
        <v>0</v>
      </c>
      <c r="AA931" s="69">
        <f>STATS1003B!AA931/1000</f>
        <v>1500</v>
      </c>
      <c r="AB931" s="69">
        <f>STATS1003B!AB931/1000</f>
        <v>0</v>
      </c>
    </row>
    <row r="932" spans="1:28" hidden="1" x14ac:dyDescent="0.3">
      <c r="A932" s="117"/>
      <c r="C932" s="68" t="s">
        <v>535</v>
      </c>
      <c r="D932" s="87" t="s">
        <v>88</v>
      </c>
      <c r="E932" s="85">
        <f>STATS1003B!E932/1000</f>
        <v>516.29</v>
      </c>
      <c r="F932" s="85">
        <f>STATS1003B!F932/1000</f>
        <v>516.29</v>
      </c>
      <c r="G932" s="85">
        <f>STATS1003B!G932/1000</f>
        <v>0</v>
      </c>
      <c r="H932" s="85">
        <f>STATS1003B!H932/1000</f>
        <v>516.29</v>
      </c>
      <c r="I932" s="85">
        <f>STATS1003B!I932/1000</f>
        <v>0</v>
      </c>
      <c r="J932" s="85">
        <f>STATS1003B!J932/1000</f>
        <v>516.29</v>
      </c>
      <c r="K932" s="85">
        <f>STATS1003B!K932/1000</f>
        <v>0</v>
      </c>
      <c r="L932" s="85">
        <f>STATS1003B!L932/1000</f>
        <v>0</v>
      </c>
      <c r="M932" s="85">
        <f>STATS1003B!M932/1000</f>
        <v>516.29</v>
      </c>
      <c r="N932" s="85">
        <f>STATS1003B!N932/1000</f>
        <v>0</v>
      </c>
      <c r="O932" s="85">
        <f>STATS1003B!O932/1000</f>
        <v>0</v>
      </c>
      <c r="P932" s="85">
        <f>STATS1003B!P932/1000</f>
        <v>0</v>
      </c>
      <c r="Q932" s="85">
        <f>STATS1003B!Q932/1000</f>
        <v>516.29</v>
      </c>
      <c r="R932" s="85">
        <f>STATS1003B!R932/1000</f>
        <v>0</v>
      </c>
      <c r="S932" s="85">
        <f>STATS1003B!S932/1000</f>
        <v>0</v>
      </c>
      <c r="T932" s="85">
        <f>STATS1003B!T932/1000</f>
        <v>0</v>
      </c>
      <c r="U932" s="85">
        <f>STATS1003B!U932/1000</f>
        <v>0</v>
      </c>
      <c r="V932" s="85">
        <f>STATS1003B!V932/1000</f>
        <v>516.29</v>
      </c>
      <c r="W932" s="85">
        <f>STATS1003B!W932/1000</f>
        <v>0</v>
      </c>
      <c r="X932" s="85">
        <f t="shared" si="119"/>
        <v>516.29</v>
      </c>
      <c r="Y932" s="85">
        <f>STATS1003B!Y932/1000</f>
        <v>0</v>
      </c>
      <c r="Z932" s="85">
        <f t="shared" si="120"/>
        <v>0</v>
      </c>
      <c r="AA932" s="69">
        <f>STATS1003B!AA932/1000</f>
        <v>516.29</v>
      </c>
      <c r="AB932" s="69">
        <f>STATS1003B!AB932/1000</f>
        <v>0</v>
      </c>
    </row>
    <row r="933" spans="1:28" hidden="1" x14ac:dyDescent="0.3">
      <c r="A933" s="117"/>
      <c r="C933" s="68" t="s">
        <v>542</v>
      </c>
      <c r="D933" s="87" t="s">
        <v>88</v>
      </c>
      <c r="E933" s="85">
        <f>STATS1003B!E933/1000</f>
        <v>4500</v>
      </c>
      <c r="F933" s="85">
        <f>STATS1003B!F933/1000</f>
        <v>4500</v>
      </c>
      <c r="G933" s="85">
        <f>STATS1003B!G933/1000</f>
        <v>0</v>
      </c>
      <c r="H933" s="85">
        <f>STATS1003B!H933/1000</f>
        <v>4500</v>
      </c>
      <c r="I933" s="85">
        <f>STATS1003B!I933/1000</f>
        <v>0</v>
      </c>
      <c r="J933" s="85">
        <f>STATS1003B!J933/1000</f>
        <v>4500</v>
      </c>
      <c r="K933" s="85">
        <f>STATS1003B!K933/1000</f>
        <v>0</v>
      </c>
      <c r="L933" s="85">
        <f>STATS1003B!L933/1000</f>
        <v>0</v>
      </c>
      <c r="M933" s="85">
        <f>STATS1003B!M933/1000</f>
        <v>4500</v>
      </c>
      <c r="N933" s="85">
        <f>STATS1003B!N933/1000</f>
        <v>0</v>
      </c>
      <c r="O933" s="85">
        <f>STATS1003B!O933/1000</f>
        <v>0</v>
      </c>
      <c r="P933" s="85">
        <f>STATS1003B!P933/1000</f>
        <v>0</v>
      </c>
      <c r="Q933" s="85">
        <f>STATS1003B!Q933/1000</f>
        <v>4500</v>
      </c>
      <c r="R933" s="85">
        <f>STATS1003B!R933/1000</f>
        <v>0</v>
      </c>
      <c r="S933" s="85">
        <f>STATS1003B!S933/1000</f>
        <v>0</v>
      </c>
      <c r="T933" s="85">
        <f>STATS1003B!T933/1000</f>
        <v>0</v>
      </c>
      <c r="U933" s="85">
        <f>STATS1003B!U933/1000</f>
        <v>0</v>
      </c>
      <c r="V933" s="85">
        <f>STATS1003B!V933/1000</f>
        <v>4500</v>
      </c>
      <c r="W933" s="85">
        <f>STATS1003B!W933/1000</f>
        <v>0</v>
      </c>
      <c r="X933" s="85">
        <f t="shared" si="119"/>
        <v>4500</v>
      </c>
      <c r="Y933" s="85">
        <f>STATS1003B!Y933/1000</f>
        <v>0</v>
      </c>
      <c r="Z933" s="85">
        <f t="shared" si="120"/>
        <v>0</v>
      </c>
      <c r="AA933" s="69">
        <f>STATS1003B!AA933/1000</f>
        <v>4500</v>
      </c>
      <c r="AB933" s="69">
        <f>STATS1003B!AB933/1000</f>
        <v>0</v>
      </c>
    </row>
    <row r="934" spans="1:28" hidden="1" x14ac:dyDescent="0.3">
      <c r="A934" s="117"/>
      <c r="C934" s="68" t="s">
        <v>535</v>
      </c>
      <c r="D934" s="87" t="s">
        <v>60</v>
      </c>
      <c r="E934" s="85">
        <f>STATS1003B!E934/1000</f>
        <v>3329.1954900000001</v>
      </c>
      <c r="F934" s="85">
        <f>STATS1003B!F934/1000</f>
        <v>3329.1954900000001</v>
      </c>
      <c r="G934" s="85">
        <f>STATS1003B!G934/1000</f>
        <v>0</v>
      </c>
      <c r="H934" s="85">
        <f>STATS1003B!H934/1000</f>
        <v>3329.1954900000001</v>
      </c>
      <c r="I934" s="85">
        <f>STATS1003B!I934/1000</f>
        <v>0</v>
      </c>
      <c r="J934" s="85">
        <f>STATS1003B!J934/1000</f>
        <v>3329.1954900000001</v>
      </c>
      <c r="K934" s="85">
        <f>STATS1003B!K934/1000</f>
        <v>0</v>
      </c>
      <c r="L934" s="85">
        <f>STATS1003B!L934/1000</f>
        <v>0</v>
      </c>
      <c r="M934" s="85">
        <f>STATS1003B!M934/1000</f>
        <v>3329.1954900000001</v>
      </c>
      <c r="N934" s="85">
        <f>STATS1003B!N934/1000</f>
        <v>0</v>
      </c>
      <c r="O934" s="85">
        <f>STATS1003B!O934/1000</f>
        <v>0</v>
      </c>
      <c r="P934" s="85">
        <f>STATS1003B!P934/1000</f>
        <v>0</v>
      </c>
      <c r="Q934" s="85">
        <f>STATS1003B!Q934/1000</f>
        <v>3329.1954900000001</v>
      </c>
      <c r="R934" s="85">
        <f>STATS1003B!R934/1000</f>
        <v>0</v>
      </c>
      <c r="S934" s="85">
        <f>STATS1003B!S934/1000</f>
        <v>0</v>
      </c>
      <c r="T934" s="85">
        <f>STATS1003B!T934/1000</f>
        <v>0</v>
      </c>
      <c r="U934" s="85">
        <f>STATS1003B!U934/1000</f>
        <v>0</v>
      </c>
      <c r="V934" s="85">
        <f>STATS1003B!V934/1000</f>
        <v>3329.1954900000001</v>
      </c>
      <c r="W934" s="85">
        <f>STATS1003B!W934/1000</f>
        <v>0</v>
      </c>
      <c r="X934" s="85">
        <f t="shared" si="119"/>
        <v>3329.1954900000001</v>
      </c>
      <c r="Y934" s="85">
        <f>STATS1003B!Y934/1000</f>
        <v>0</v>
      </c>
      <c r="Z934" s="85">
        <f t="shared" si="120"/>
        <v>0</v>
      </c>
      <c r="AA934" s="69">
        <f>STATS1003B!AA934/1000</f>
        <v>3329.1954900000001</v>
      </c>
      <c r="AB934" s="69">
        <f>STATS1003B!AB934/1000</f>
        <v>0</v>
      </c>
    </row>
    <row r="935" spans="1:28" hidden="1" x14ac:dyDescent="0.3">
      <c r="A935" s="117"/>
      <c r="C935" s="68" t="s">
        <v>1125</v>
      </c>
      <c r="D935" s="90" t="s">
        <v>1126</v>
      </c>
      <c r="E935" s="85">
        <f>STATS1003B!E935/1000</f>
        <v>300</v>
      </c>
      <c r="F935" s="85">
        <f>STATS1003B!F935/1000</f>
        <v>300</v>
      </c>
      <c r="G935" s="85">
        <f>STATS1003B!G935/1000</f>
        <v>0</v>
      </c>
      <c r="H935" s="85">
        <f>STATS1003B!H935/1000</f>
        <v>300</v>
      </c>
      <c r="I935" s="85">
        <f>STATS1003B!I935/1000</f>
        <v>0</v>
      </c>
      <c r="J935" s="85">
        <f>STATS1003B!J935/1000</f>
        <v>300</v>
      </c>
      <c r="K935" s="85">
        <f>STATS1003B!K935/1000</f>
        <v>0</v>
      </c>
      <c r="L935" s="85">
        <f>STATS1003B!L935/1000</f>
        <v>0</v>
      </c>
      <c r="M935" s="85">
        <f>STATS1003B!M935/1000</f>
        <v>300</v>
      </c>
      <c r="N935" s="85">
        <f>STATS1003B!N935/1000</f>
        <v>0</v>
      </c>
      <c r="O935" s="85">
        <f>STATS1003B!O935/1000</f>
        <v>0</v>
      </c>
      <c r="P935" s="85">
        <f>STATS1003B!P935/1000</f>
        <v>0</v>
      </c>
      <c r="Q935" s="85">
        <f>STATS1003B!Q935/1000</f>
        <v>300</v>
      </c>
      <c r="R935" s="85">
        <f>STATS1003B!R935/1000</f>
        <v>0</v>
      </c>
      <c r="S935" s="85">
        <f>STATS1003B!S935/1000</f>
        <v>0</v>
      </c>
      <c r="T935" s="85">
        <f>STATS1003B!T935/1000</f>
        <v>0</v>
      </c>
      <c r="U935" s="85">
        <f>STATS1003B!U935/1000</f>
        <v>0</v>
      </c>
      <c r="V935" s="85">
        <f>STATS1003B!V935/1000</f>
        <v>300</v>
      </c>
      <c r="W935" s="85">
        <f>STATS1003B!W935/1000</f>
        <v>0</v>
      </c>
      <c r="X935" s="85">
        <f t="shared" si="119"/>
        <v>300</v>
      </c>
      <c r="Y935" s="85">
        <f>STATS1003B!Y935/1000</f>
        <v>0</v>
      </c>
      <c r="Z935" s="85">
        <f t="shared" si="120"/>
        <v>0</v>
      </c>
      <c r="AA935" s="69">
        <f>STATS1003B!AA935/1000</f>
        <v>300</v>
      </c>
      <c r="AB935" s="69">
        <f>STATS1003B!AB935/1000</f>
        <v>0</v>
      </c>
    </row>
    <row r="936" spans="1:28" hidden="1" x14ac:dyDescent="0.3">
      <c r="A936" s="117"/>
      <c r="C936" s="93" t="s">
        <v>1116</v>
      </c>
      <c r="D936" s="90" t="s">
        <v>1072</v>
      </c>
      <c r="E936" s="85">
        <f>STATS1003B!E936/1000</f>
        <v>1677.4192600000001</v>
      </c>
      <c r="F936" s="85">
        <f>STATS1003B!F936/1000</f>
        <v>1677.4192600000001</v>
      </c>
      <c r="G936" s="85">
        <f>STATS1003B!G936/1000</f>
        <v>0</v>
      </c>
      <c r="H936" s="85">
        <f>STATS1003B!H936/1000</f>
        <v>1677.4192600000001</v>
      </c>
      <c r="I936" s="85">
        <f>STATS1003B!I936/1000</f>
        <v>0</v>
      </c>
      <c r="J936" s="85">
        <f>STATS1003B!J936/1000</f>
        <v>1677.4192600000001</v>
      </c>
      <c r="K936" s="85">
        <f>STATS1003B!K936/1000</f>
        <v>0</v>
      </c>
      <c r="L936" s="85">
        <f>STATS1003B!L936/1000</f>
        <v>0</v>
      </c>
      <c r="M936" s="85">
        <f>STATS1003B!M936/1000</f>
        <v>1677.4192600000001</v>
      </c>
      <c r="N936" s="85">
        <f>STATS1003B!N936/1000</f>
        <v>0</v>
      </c>
      <c r="O936" s="85">
        <f>STATS1003B!O936/1000</f>
        <v>0</v>
      </c>
      <c r="P936" s="85">
        <f>STATS1003B!P936/1000</f>
        <v>0</v>
      </c>
      <c r="Q936" s="85">
        <f>STATS1003B!Q936/1000</f>
        <v>1677.4192600000001</v>
      </c>
      <c r="R936" s="85">
        <f>STATS1003B!R936/1000</f>
        <v>0</v>
      </c>
      <c r="S936" s="85">
        <f>STATS1003B!S936/1000</f>
        <v>0</v>
      </c>
      <c r="T936" s="85">
        <f>STATS1003B!T936/1000</f>
        <v>0</v>
      </c>
      <c r="U936" s="85">
        <f>STATS1003B!U936/1000</f>
        <v>0</v>
      </c>
      <c r="V936" s="85">
        <f>STATS1003B!V936/1000</f>
        <v>1677.4192600000001</v>
      </c>
      <c r="W936" s="85">
        <f>STATS1003B!W936/1000</f>
        <v>0</v>
      </c>
      <c r="X936" s="85">
        <f t="shared" si="119"/>
        <v>1677.4192600000001</v>
      </c>
      <c r="Y936" s="85">
        <f>STATS1003B!Y936/1000</f>
        <v>0</v>
      </c>
      <c r="Z936" s="85">
        <f t="shared" si="120"/>
        <v>0</v>
      </c>
      <c r="AA936" s="69">
        <f>STATS1003B!AA936/1000</f>
        <v>1677.4192600000001</v>
      </c>
      <c r="AB936" s="69">
        <f>STATS1003B!AB936/1000</f>
        <v>0</v>
      </c>
    </row>
    <row r="937" spans="1:28" hidden="1" x14ac:dyDescent="0.3">
      <c r="A937" s="117"/>
      <c r="C937" s="68" t="s">
        <v>562</v>
      </c>
      <c r="E937" s="85">
        <f>STATS1003B!E937/1000</f>
        <v>313.09542000000005</v>
      </c>
      <c r="F937" s="85">
        <f>STATS1003B!F937/1000</f>
        <v>313.09541999999999</v>
      </c>
      <c r="G937" s="85">
        <f>STATS1003B!G937/1000</f>
        <v>0</v>
      </c>
      <c r="H937" s="85">
        <f>STATS1003B!H937/1000</f>
        <v>313.09541999999999</v>
      </c>
      <c r="I937" s="85">
        <f>STATS1003B!I937/1000</f>
        <v>0</v>
      </c>
      <c r="J937" s="85">
        <f>STATS1003B!J937/1000</f>
        <v>313.09541999999999</v>
      </c>
      <c r="K937" s="85">
        <f>STATS1003B!K937/1000</f>
        <v>0</v>
      </c>
      <c r="L937" s="85">
        <f>STATS1003B!L937/1000</f>
        <v>0</v>
      </c>
      <c r="M937" s="85">
        <f>STATS1003B!M937/1000</f>
        <v>313.09541999999999</v>
      </c>
      <c r="N937" s="85">
        <f>STATS1003B!N937/1000</f>
        <v>0</v>
      </c>
      <c r="O937" s="85">
        <f>STATS1003B!O937/1000</f>
        <v>0</v>
      </c>
      <c r="P937" s="85">
        <f>STATS1003B!P937/1000</f>
        <v>0</v>
      </c>
      <c r="Q937" s="85">
        <f>STATS1003B!Q937/1000</f>
        <v>313.09542000000005</v>
      </c>
      <c r="R937" s="85">
        <f>STATS1003B!R937/1000</f>
        <v>0</v>
      </c>
      <c r="S937" s="85">
        <f>STATS1003B!S937/1000</f>
        <v>0</v>
      </c>
      <c r="T937" s="85">
        <f>STATS1003B!T937/1000</f>
        <v>0</v>
      </c>
      <c r="U937" s="85">
        <f>STATS1003B!U937/1000</f>
        <v>0</v>
      </c>
      <c r="V937" s="85">
        <f>STATS1003B!V937/1000</f>
        <v>313.09541999999999</v>
      </c>
      <c r="W937" s="85">
        <f>STATS1003B!W937/1000</f>
        <v>0</v>
      </c>
      <c r="X937" s="85">
        <f t="shared" si="119"/>
        <v>313.09541999999999</v>
      </c>
      <c r="Y937" s="85">
        <f>STATS1003B!Y937/1000</f>
        <v>0</v>
      </c>
      <c r="Z937" s="85">
        <f t="shared" si="120"/>
        <v>0</v>
      </c>
      <c r="AA937" s="69">
        <f>STATS1003B!AA937/1000</f>
        <v>313.09541999999999</v>
      </c>
      <c r="AB937" s="69">
        <f>STATS1003B!AB937/1000</f>
        <v>0</v>
      </c>
    </row>
    <row r="938" spans="1:28" hidden="1" x14ac:dyDescent="0.3">
      <c r="A938" s="117"/>
      <c r="C938" s="68" t="s">
        <v>551</v>
      </c>
      <c r="E938" s="85">
        <f>STATS1003B!E938/1000</f>
        <v>12184.36203</v>
      </c>
      <c r="F938" s="85">
        <f>STATS1003B!F938/1000</f>
        <v>12184.36203</v>
      </c>
      <c r="G938" s="85">
        <f>STATS1003B!G938/1000</f>
        <v>0</v>
      </c>
      <c r="H938" s="85">
        <f>STATS1003B!H938/1000</f>
        <v>12184.36203</v>
      </c>
      <c r="I938" s="85">
        <f>STATS1003B!I938/1000</f>
        <v>0</v>
      </c>
      <c r="J938" s="85">
        <f>STATS1003B!J938/1000</f>
        <v>12184.36203</v>
      </c>
      <c r="K938" s="85">
        <f>STATS1003B!K938/1000</f>
        <v>0</v>
      </c>
      <c r="L938" s="85">
        <f>STATS1003B!L938/1000</f>
        <v>0</v>
      </c>
      <c r="M938" s="85">
        <f>STATS1003B!M938/1000</f>
        <v>12184.36203</v>
      </c>
      <c r="N938" s="85">
        <f>STATS1003B!N938/1000</f>
        <v>0</v>
      </c>
      <c r="O938" s="85">
        <f>STATS1003B!O938/1000</f>
        <v>0</v>
      </c>
      <c r="P938" s="85">
        <f>STATS1003B!P938/1000</f>
        <v>0</v>
      </c>
      <c r="Q938" s="85">
        <f>STATS1003B!Q938/1000</f>
        <v>12184.36203</v>
      </c>
      <c r="R938" s="85">
        <f>STATS1003B!R938/1000</f>
        <v>0</v>
      </c>
      <c r="S938" s="85">
        <f>STATS1003B!S938/1000</f>
        <v>0</v>
      </c>
      <c r="T938" s="85">
        <f>STATS1003B!T938/1000</f>
        <v>0</v>
      </c>
      <c r="U938" s="85">
        <f>STATS1003B!U938/1000</f>
        <v>0</v>
      </c>
      <c r="V938" s="85">
        <f>STATS1003B!V938/1000</f>
        <v>12184.36203</v>
      </c>
      <c r="W938" s="85">
        <f>STATS1003B!W938/1000</f>
        <v>0</v>
      </c>
      <c r="X938" s="85">
        <f t="shared" si="119"/>
        <v>12184.36203</v>
      </c>
      <c r="Y938" s="85">
        <f>STATS1003B!Y938/1000</f>
        <v>0</v>
      </c>
      <c r="Z938" s="85">
        <f t="shared" si="120"/>
        <v>0</v>
      </c>
      <c r="AA938" s="69">
        <f>STATS1003B!AA938/1000</f>
        <v>12184.36203</v>
      </c>
      <c r="AB938" s="69">
        <f>STATS1003B!AB938/1000</f>
        <v>0</v>
      </c>
    </row>
    <row r="939" spans="1:28" hidden="1" x14ac:dyDescent="0.3">
      <c r="A939" s="117"/>
      <c r="C939" s="68" t="s">
        <v>606</v>
      </c>
      <c r="E939" s="85">
        <f>STATS1003B!E939/1000</f>
        <v>2500</v>
      </c>
      <c r="F939" s="85">
        <f>STATS1003B!F939/1000</f>
        <v>2500</v>
      </c>
      <c r="G939" s="85">
        <f>STATS1003B!G939/1000</f>
        <v>0</v>
      </c>
      <c r="H939" s="85">
        <f>STATS1003B!H939/1000</f>
        <v>2500</v>
      </c>
      <c r="I939" s="85">
        <f>STATS1003B!I939/1000</f>
        <v>0</v>
      </c>
      <c r="J939" s="85">
        <f>STATS1003B!J939/1000</f>
        <v>2500</v>
      </c>
      <c r="K939" s="85">
        <f>STATS1003B!K939/1000</f>
        <v>0</v>
      </c>
      <c r="L939" s="85">
        <f>STATS1003B!L939/1000</f>
        <v>0</v>
      </c>
      <c r="M939" s="85">
        <f>STATS1003B!M939/1000</f>
        <v>2500</v>
      </c>
      <c r="N939" s="85">
        <f>STATS1003B!N939/1000</f>
        <v>0</v>
      </c>
      <c r="O939" s="85">
        <f>STATS1003B!O939/1000</f>
        <v>0</v>
      </c>
      <c r="P939" s="85">
        <f>STATS1003B!P939/1000</f>
        <v>0</v>
      </c>
      <c r="Q939" s="85">
        <f>STATS1003B!Q939/1000</f>
        <v>2500</v>
      </c>
      <c r="R939" s="85">
        <f>STATS1003B!R939/1000</f>
        <v>0</v>
      </c>
      <c r="S939" s="85">
        <f>STATS1003B!S939/1000</f>
        <v>0</v>
      </c>
      <c r="T939" s="85">
        <f>STATS1003B!T939/1000</f>
        <v>0</v>
      </c>
      <c r="U939" s="85">
        <f>STATS1003B!U939/1000</f>
        <v>0</v>
      </c>
      <c r="V939" s="85">
        <f>STATS1003B!V939/1000</f>
        <v>2500</v>
      </c>
      <c r="W939" s="85">
        <f>STATS1003B!W939/1000</f>
        <v>0</v>
      </c>
      <c r="X939" s="85">
        <f t="shared" si="119"/>
        <v>2500</v>
      </c>
      <c r="Y939" s="85">
        <f>STATS1003B!Y939/1000</f>
        <v>0</v>
      </c>
      <c r="Z939" s="85">
        <f t="shared" si="120"/>
        <v>0</v>
      </c>
      <c r="AA939" s="69">
        <f>STATS1003B!AA939/1000</f>
        <v>2500</v>
      </c>
      <c r="AB939" s="69">
        <f>STATS1003B!AB939/1000</f>
        <v>0</v>
      </c>
    </row>
    <row r="940" spans="1:28" hidden="1" x14ac:dyDescent="0.3">
      <c r="A940" s="117"/>
      <c r="E940" s="86" t="s">
        <v>29</v>
      </c>
      <c r="F940" s="86" t="s">
        <v>29</v>
      </c>
      <c r="G940" s="86" t="s">
        <v>29</v>
      </c>
      <c r="H940" s="86" t="s">
        <v>29</v>
      </c>
      <c r="I940" s="86" t="s">
        <v>29</v>
      </c>
      <c r="J940" s="86" t="s">
        <v>29</v>
      </c>
      <c r="K940" s="86" t="s">
        <v>29</v>
      </c>
      <c r="L940" s="86" t="s">
        <v>29</v>
      </c>
      <c r="M940" s="86" t="s">
        <v>29</v>
      </c>
      <c r="N940" s="86" t="s">
        <v>29</v>
      </c>
      <c r="O940" s="86" t="s">
        <v>29</v>
      </c>
      <c r="P940" s="86" t="s">
        <v>29</v>
      </c>
      <c r="Q940" s="86" t="s">
        <v>29</v>
      </c>
      <c r="R940" s="86" t="s">
        <v>29</v>
      </c>
      <c r="S940" s="86" t="s">
        <v>29</v>
      </c>
      <c r="T940" s="86" t="s">
        <v>29</v>
      </c>
      <c r="U940" s="86" t="s">
        <v>29</v>
      </c>
      <c r="V940" s="86" t="s">
        <v>29</v>
      </c>
      <c r="W940" s="86" t="s">
        <v>29</v>
      </c>
      <c r="X940" s="85" t="e">
        <f t="shared" si="119"/>
        <v>#VALUE!</v>
      </c>
      <c r="Y940" s="86" t="s">
        <v>29</v>
      </c>
      <c r="Z940" s="85" t="e">
        <f t="shared" si="120"/>
        <v>#VALUE!</v>
      </c>
      <c r="AA940" s="115" t="s">
        <v>29</v>
      </c>
      <c r="AB940" s="115" t="s">
        <v>29</v>
      </c>
    </row>
    <row r="941" spans="1:28" x14ac:dyDescent="0.3">
      <c r="A941" s="116">
        <v>44</v>
      </c>
      <c r="B941" s="68" t="s">
        <v>664</v>
      </c>
      <c r="E941" s="85">
        <f>107503946.62/1000</f>
        <v>107503.94662</v>
      </c>
      <c r="F941" s="85">
        <f t="shared" ref="F941:Q941" si="122">SUM(F925:F940)</f>
        <v>30895.78845</v>
      </c>
      <c r="G941" s="85">
        <f t="shared" si="122"/>
        <v>0</v>
      </c>
      <c r="H941" s="85">
        <f>104058747.57/1000</f>
        <v>104058.74756999999</v>
      </c>
      <c r="I941" s="85">
        <f t="shared" si="122"/>
        <v>0</v>
      </c>
      <c r="J941" s="85">
        <f t="shared" si="122"/>
        <v>30895.78845</v>
      </c>
      <c r="K941" s="85">
        <f t="shared" si="122"/>
        <v>3445.1990500000002</v>
      </c>
      <c r="L941" s="85">
        <f t="shared" si="122"/>
        <v>0</v>
      </c>
      <c r="M941" s="85">
        <f t="shared" si="122"/>
        <v>30895.78845</v>
      </c>
      <c r="N941" s="85">
        <f t="shared" si="122"/>
        <v>3445.1990500000002</v>
      </c>
      <c r="O941" s="85">
        <f t="shared" si="122"/>
        <v>0</v>
      </c>
      <c r="P941" s="85">
        <f>3445199/1000</f>
        <v>3445.1990000000001</v>
      </c>
      <c r="Q941" s="85">
        <f t="shared" si="122"/>
        <v>30895.78845</v>
      </c>
      <c r="R941" s="86"/>
      <c r="S941" s="86"/>
      <c r="T941" s="85">
        <f t="shared" ref="T941:Y941" si="123">SUM(T925:T940)</f>
        <v>0</v>
      </c>
      <c r="U941" s="85">
        <f t="shared" si="123"/>
        <v>3445.1990500000002</v>
      </c>
      <c r="V941" s="85">
        <f t="shared" si="123"/>
        <v>34340.987500000003</v>
      </c>
      <c r="W941" s="85">
        <f t="shared" si="123"/>
        <v>0</v>
      </c>
      <c r="X941" s="85">
        <f t="shared" si="119"/>
        <v>107503.94656999999</v>
      </c>
      <c r="Y941" s="85">
        <f t="shared" si="123"/>
        <v>0</v>
      </c>
      <c r="Z941" s="85">
        <f t="shared" si="120"/>
        <v>5.0000016926787794E-5</v>
      </c>
      <c r="AA941" s="69">
        <f>SUM(AA925:AA940)</f>
        <v>34340.987500000003</v>
      </c>
      <c r="AB941" s="69">
        <f>SUM(AB925:AB940)</f>
        <v>0</v>
      </c>
    </row>
    <row r="942" spans="1:28" hidden="1" x14ac:dyDescent="0.3">
      <c r="A942" s="117"/>
      <c r="E942" s="86" t="s">
        <v>29</v>
      </c>
      <c r="F942" s="86" t="s">
        <v>29</v>
      </c>
      <c r="G942" s="86" t="s">
        <v>29</v>
      </c>
      <c r="H942" s="86" t="s">
        <v>29</v>
      </c>
      <c r="I942" s="86" t="s">
        <v>29</v>
      </c>
      <c r="J942" s="86" t="s">
        <v>29</v>
      </c>
      <c r="K942" s="86" t="s">
        <v>29</v>
      </c>
      <c r="L942" s="86" t="s">
        <v>29</v>
      </c>
      <c r="M942" s="86" t="s">
        <v>29</v>
      </c>
      <c r="N942" s="86" t="s">
        <v>29</v>
      </c>
      <c r="O942" s="86" t="s">
        <v>29</v>
      </c>
      <c r="P942" s="86" t="s">
        <v>29</v>
      </c>
      <c r="Q942" s="86" t="s">
        <v>29</v>
      </c>
      <c r="R942" s="86" t="s">
        <v>29</v>
      </c>
      <c r="S942" s="86" t="s">
        <v>29</v>
      </c>
      <c r="T942" s="86" t="s">
        <v>29</v>
      </c>
      <c r="U942" s="86" t="s">
        <v>29</v>
      </c>
      <c r="V942" s="86" t="s">
        <v>29</v>
      </c>
      <c r="W942" s="86" t="s">
        <v>29</v>
      </c>
      <c r="X942" s="85" t="e">
        <f t="shared" si="119"/>
        <v>#VALUE!</v>
      </c>
      <c r="Y942" s="86" t="s">
        <v>29</v>
      </c>
      <c r="Z942" s="85" t="e">
        <f t="shared" si="120"/>
        <v>#VALUE!</v>
      </c>
      <c r="AA942" s="115" t="s">
        <v>29</v>
      </c>
      <c r="AB942" s="115" t="s">
        <v>29</v>
      </c>
    </row>
    <row r="943" spans="1:28" hidden="1" x14ac:dyDescent="0.3">
      <c r="A943" s="105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6"/>
      <c r="S943" s="86"/>
      <c r="T943" s="86"/>
      <c r="U943" s="86"/>
      <c r="V943" s="86"/>
      <c r="W943" s="86"/>
      <c r="X943" s="85">
        <f t="shared" si="119"/>
        <v>0</v>
      </c>
      <c r="Y943" s="86"/>
      <c r="Z943" s="85">
        <f t="shared" si="120"/>
        <v>0</v>
      </c>
      <c r="AA943" s="118"/>
    </row>
    <row r="944" spans="1:28" hidden="1" x14ac:dyDescent="0.3">
      <c r="A944" s="117"/>
      <c r="C944" s="68" t="s">
        <v>667</v>
      </c>
      <c r="D944" s="87" t="s">
        <v>85</v>
      </c>
      <c r="E944" s="85">
        <f>STATS1003B!E944/1000</f>
        <v>280</v>
      </c>
      <c r="F944" s="85">
        <f>STATS1003B!F944/1000</f>
        <v>280</v>
      </c>
      <c r="G944" s="85">
        <f>STATS1003B!G944/1000</f>
        <v>0</v>
      </c>
      <c r="H944" s="85">
        <f>STATS1003B!H944/1000</f>
        <v>280</v>
      </c>
      <c r="I944" s="85">
        <f>STATS1003B!I944/1000</f>
        <v>0</v>
      </c>
      <c r="J944" s="85">
        <f>STATS1003B!J944/1000</f>
        <v>280</v>
      </c>
      <c r="K944" s="85">
        <f>STATS1003B!K944/1000</f>
        <v>0</v>
      </c>
      <c r="L944" s="85">
        <f>STATS1003B!L944/1000</f>
        <v>0</v>
      </c>
      <c r="M944" s="85">
        <f>STATS1003B!M944/1000</f>
        <v>280</v>
      </c>
      <c r="N944" s="85">
        <f>STATS1003B!N944/1000</f>
        <v>0</v>
      </c>
      <c r="O944" s="85">
        <f>STATS1003B!O944/1000</f>
        <v>0</v>
      </c>
      <c r="P944" s="85">
        <f>STATS1003B!P944/1000</f>
        <v>0</v>
      </c>
      <c r="Q944" s="85">
        <f>STATS1003B!Q944/1000</f>
        <v>280</v>
      </c>
      <c r="R944" s="85">
        <f>STATS1003B!R944/1000</f>
        <v>0</v>
      </c>
      <c r="S944" s="85">
        <f>STATS1003B!S944/1000</f>
        <v>0</v>
      </c>
      <c r="T944" s="85">
        <f>STATS1003B!T944/1000</f>
        <v>0</v>
      </c>
      <c r="U944" s="85">
        <f>STATS1003B!U944/1000</f>
        <v>0</v>
      </c>
      <c r="V944" s="85">
        <f>STATS1003B!V944/1000</f>
        <v>280</v>
      </c>
      <c r="W944" s="85">
        <f>STATS1003B!W944/1000</f>
        <v>0</v>
      </c>
      <c r="X944" s="85">
        <f t="shared" si="119"/>
        <v>280</v>
      </c>
      <c r="Y944" s="85">
        <f>STATS1003B!Y944/1000</f>
        <v>0</v>
      </c>
      <c r="Z944" s="85">
        <f t="shared" si="120"/>
        <v>0</v>
      </c>
      <c r="AA944" s="69">
        <f>STATS1003B!AA944/1000</f>
        <v>280</v>
      </c>
      <c r="AB944" s="69">
        <f>STATS1003B!AB944/1000</f>
        <v>0</v>
      </c>
    </row>
    <row r="945" spans="1:28" hidden="1" x14ac:dyDescent="0.3">
      <c r="A945" s="117"/>
      <c r="C945" s="68" t="s">
        <v>667</v>
      </c>
      <c r="D945" s="87" t="s">
        <v>85</v>
      </c>
      <c r="E945" s="85">
        <f>STATS1003B!E945/1000</f>
        <v>475</v>
      </c>
      <c r="F945" s="85">
        <f>STATS1003B!F945/1000</f>
        <v>475</v>
      </c>
      <c r="G945" s="85">
        <f>STATS1003B!G945/1000</f>
        <v>0</v>
      </c>
      <c r="H945" s="85">
        <f>STATS1003B!H945/1000</f>
        <v>475</v>
      </c>
      <c r="I945" s="85">
        <f>STATS1003B!I945/1000</f>
        <v>0</v>
      </c>
      <c r="J945" s="85">
        <f>STATS1003B!J945/1000</f>
        <v>475</v>
      </c>
      <c r="K945" s="85">
        <f>STATS1003B!K945/1000</f>
        <v>0</v>
      </c>
      <c r="L945" s="85">
        <f>STATS1003B!L945/1000</f>
        <v>0</v>
      </c>
      <c r="M945" s="85">
        <f>STATS1003B!M945/1000</f>
        <v>475</v>
      </c>
      <c r="N945" s="85">
        <f>STATS1003B!N945/1000</f>
        <v>0</v>
      </c>
      <c r="O945" s="85">
        <f>STATS1003B!O945/1000</f>
        <v>0</v>
      </c>
      <c r="P945" s="85">
        <f>STATS1003B!P945/1000</f>
        <v>0</v>
      </c>
      <c r="Q945" s="85">
        <f>STATS1003B!Q945/1000</f>
        <v>475</v>
      </c>
      <c r="R945" s="85">
        <f>STATS1003B!R945/1000</f>
        <v>0</v>
      </c>
      <c r="S945" s="85">
        <f>STATS1003B!S945/1000</f>
        <v>0</v>
      </c>
      <c r="T945" s="85">
        <f>STATS1003B!T945/1000</f>
        <v>0</v>
      </c>
      <c r="U945" s="85">
        <f>STATS1003B!U945/1000</f>
        <v>0</v>
      </c>
      <c r="V945" s="85">
        <f>STATS1003B!V945/1000</f>
        <v>475</v>
      </c>
      <c r="W945" s="85">
        <f>STATS1003B!W945/1000</f>
        <v>0</v>
      </c>
      <c r="X945" s="85">
        <f t="shared" si="119"/>
        <v>475</v>
      </c>
      <c r="Y945" s="85">
        <f>STATS1003B!Y945/1000</f>
        <v>0</v>
      </c>
      <c r="Z945" s="85">
        <f t="shared" si="120"/>
        <v>0</v>
      </c>
      <c r="AA945" s="69">
        <f>STATS1003B!AA945/1000</f>
        <v>475</v>
      </c>
      <c r="AB945" s="69">
        <f>STATS1003B!AB945/1000</f>
        <v>0</v>
      </c>
    </row>
    <row r="946" spans="1:28" hidden="1" x14ac:dyDescent="0.3">
      <c r="A946" s="117"/>
      <c r="E946" s="86" t="s">
        <v>29</v>
      </c>
      <c r="F946" s="86" t="s">
        <v>29</v>
      </c>
      <c r="G946" s="86" t="s">
        <v>29</v>
      </c>
      <c r="H946" s="86" t="s">
        <v>29</v>
      </c>
      <c r="I946" s="86" t="s">
        <v>29</v>
      </c>
      <c r="J946" s="86" t="s">
        <v>29</v>
      </c>
      <c r="K946" s="86" t="s">
        <v>29</v>
      </c>
      <c r="L946" s="86" t="s">
        <v>29</v>
      </c>
      <c r="M946" s="86" t="s">
        <v>29</v>
      </c>
      <c r="N946" s="86" t="s">
        <v>29</v>
      </c>
      <c r="O946" s="86" t="s">
        <v>29</v>
      </c>
      <c r="P946" s="86" t="s">
        <v>29</v>
      </c>
      <c r="Q946" s="86" t="s">
        <v>29</v>
      </c>
      <c r="R946" s="86" t="s">
        <v>29</v>
      </c>
      <c r="S946" s="86" t="s">
        <v>29</v>
      </c>
      <c r="T946" s="86" t="s">
        <v>29</v>
      </c>
      <c r="U946" s="86" t="s">
        <v>29</v>
      </c>
      <c r="V946" s="86" t="s">
        <v>29</v>
      </c>
      <c r="W946" s="86" t="s">
        <v>29</v>
      </c>
      <c r="X946" s="85" t="e">
        <f t="shared" si="119"/>
        <v>#VALUE!</v>
      </c>
      <c r="Y946" s="86" t="s">
        <v>29</v>
      </c>
      <c r="Z946" s="85" t="e">
        <f t="shared" si="120"/>
        <v>#VALUE!</v>
      </c>
      <c r="AA946" s="115" t="s">
        <v>29</v>
      </c>
      <c r="AB946" s="115" t="s">
        <v>29</v>
      </c>
    </row>
    <row r="947" spans="1:28" x14ac:dyDescent="0.3">
      <c r="A947" s="116"/>
      <c r="B947" s="68" t="s">
        <v>666</v>
      </c>
      <c r="E947" s="85">
        <f>755000/1000</f>
        <v>755</v>
      </c>
      <c r="F947" s="85">
        <f t="shared" ref="F947:Q947" si="124">SUM(F944:F946)</f>
        <v>755</v>
      </c>
      <c r="G947" s="85">
        <f t="shared" si="124"/>
        <v>0</v>
      </c>
      <c r="H947" s="85">
        <f>755000/1000</f>
        <v>755</v>
      </c>
      <c r="I947" s="85">
        <f t="shared" si="124"/>
        <v>0</v>
      </c>
      <c r="J947" s="85">
        <f t="shared" si="124"/>
        <v>755</v>
      </c>
      <c r="K947" s="85">
        <f t="shared" si="124"/>
        <v>0</v>
      </c>
      <c r="L947" s="85">
        <f t="shared" si="124"/>
        <v>0</v>
      </c>
      <c r="M947" s="85">
        <f t="shared" si="124"/>
        <v>755</v>
      </c>
      <c r="N947" s="85">
        <f t="shared" si="124"/>
        <v>0</v>
      </c>
      <c r="O947" s="85">
        <f t="shared" si="124"/>
        <v>0</v>
      </c>
      <c r="P947" s="85">
        <v>0</v>
      </c>
      <c r="Q947" s="85">
        <f t="shared" si="124"/>
        <v>755</v>
      </c>
      <c r="R947" s="86"/>
      <c r="S947" s="86"/>
      <c r="T947" s="85">
        <f t="shared" ref="T947:Y947" si="125">SUM(T944:T946)</f>
        <v>0</v>
      </c>
      <c r="U947" s="85">
        <f t="shared" si="125"/>
        <v>0</v>
      </c>
      <c r="V947" s="85">
        <f t="shared" si="125"/>
        <v>755</v>
      </c>
      <c r="W947" s="85">
        <f t="shared" si="125"/>
        <v>0</v>
      </c>
      <c r="X947" s="85">
        <f t="shared" si="119"/>
        <v>755</v>
      </c>
      <c r="Y947" s="85">
        <f t="shared" si="125"/>
        <v>0</v>
      </c>
      <c r="Z947" s="85">
        <f t="shared" si="120"/>
        <v>0</v>
      </c>
      <c r="AA947" s="69">
        <f>SUM(AA944:AA946)</f>
        <v>755</v>
      </c>
      <c r="AB947" s="69">
        <f>SUM(AB944:AB946)</f>
        <v>0</v>
      </c>
    </row>
    <row r="948" spans="1:28" hidden="1" x14ac:dyDescent="0.3">
      <c r="A948" s="117"/>
      <c r="E948" s="86" t="s">
        <v>29</v>
      </c>
      <c r="F948" s="86" t="s">
        <v>29</v>
      </c>
      <c r="G948" s="86" t="s">
        <v>29</v>
      </c>
      <c r="H948" s="86" t="s">
        <v>29</v>
      </c>
      <c r="I948" s="86" t="s">
        <v>29</v>
      </c>
      <c r="J948" s="86" t="s">
        <v>29</v>
      </c>
      <c r="K948" s="86" t="s">
        <v>29</v>
      </c>
      <c r="L948" s="86" t="s">
        <v>29</v>
      </c>
      <c r="M948" s="86" t="s">
        <v>29</v>
      </c>
      <c r="N948" s="86" t="s">
        <v>29</v>
      </c>
      <c r="O948" s="86" t="s">
        <v>29</v>
      </c>
      <c r="P948" s="86" t="s">
        <v>29</v>
      </c>
      <c r="Q948" s="86" t="s">
        <v>29</v>
      </c>
      <c r="R948" s="86" t="s">
        <v>29</v>
      </c>
      <c r="S948" s="86" t="s">
        <v>29</v>
      </c>
      <c r="T948" s="86" t="s">
        <v>29</v>
      </c>
      <c r="U948" s="86" t="s">
        <v>29</v>
      </c>
      <c r="V948" s="86" t="s">
        <v>29</v>
      </c>
      <c r="W948" s="86" t="s">
        <v>29</v>
      </c>
      <c r="X948" s="85" t="e">
        <f t="shared" si="119"/>
        <v>#VALUE!</v>
      </c>
      <c r="Y948" s="86" t="s">
        <v>29</v>
      </c>
      <c r="Z948" s="85" t="e">
        <f t="shared" si="120"/>
        <v>#VALUE!</v>
      </c>
      <c r="AA948" s="115" t="s">
        <v>29</v>
      </c>
      <c r="AB948" s="115" t="s">
        <v>29</v>
      </c>
    </row>
    <row r="949" spans="1:28" hidden="1" x14ac:dyDescent="0.3">
      <c r="A949" s="117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6"/>
      <c r="S949" s="86"/>
      <c r="T949" s="86"/>
      <c r="U949" s="86"/>
      <c r="V949" s="86"/>
      <c r="W949" s="86"/>
      <c r="X949" s="85">
        <f t="shared" si="119"/>
        <v>0</v>
      </c>
      <c r="Y949" s="86"/>
      <c r="Z949" s="85">
        <f t="shared" si="120"/>
        <v>0</v>
      </c>
    </row>
    <row r="950" spans="1:28" x14ac:dyDescent="0.3">
      <c r="A950" s="117"/>
      <c r="B950" s="68" t="s">
        <v>668</v>
      </c>
      <c r="D950" s="87" t="s">
        <v>85</v>
      </c>
      <c r="E950" s="85">
        <f>160000/1000</f>
        <v>160</v>
      </c>
      <c r="F950" s="85">
        <f>STATS1003B!F950/1000</f>
        <v>160</v>
      </c>
      <c r="G950" s="85">
        <f>STATS1003B!G950/1000</f>
        <v>0</v>
      </c>
      <c r="H950" s="85">
        <f>160000/1000</f>
        <v>160</v>
      </c>
      <c r="I950" s="85">
        <f>STATS1003B!I950/1000</f>
        <v>0</v>
      </c>
      <c r="J950" s="85">
        <f>STATS1003B!J950/1000</f>
        <v>160</v>
      </c>
      <c r="K950" s="85">
        <f>STATS1003B!K950/1000</f>
        <v>0</v>
      </c>
      <c r="L950" s="85">
        <f>STATS1003B!L950/1000</f>
        <v>0</v>
      </c>
      <c r="M950" s="85">
        <f>STATS1003B!M950/1000</f>
        <v>160</v>
      </c>
      <c r="N950" s="85">
        <f>STATS1003B!N950/1000</f>
        <v>0</v>
      </c>
      <c r="O950" s="85">
        <f>STATS1003B!O950/1000</f>
        <v>0</v>
      </c>
      <c r="P950" s="85">
        <v>0</v>
      </c>
      <c r="Q950" s="85">
        <f>STATS1003B!Q950/1000</f>
        <v>160</v>
      </c>
      <c r="R950" s="85">
        <f>STATS1003B!R950/1000</f>
        <v>0</v>
      </c>
      <c r="S950" s="85">
        <f>STATS1003B!S950/1000</f>
        <v>0</v>
      </c>
      <c r="T950" s="85">
        <f>STATS1003B!T950/1000</f>
        <v>0</v>
      </c>
      <c r="U950" s="85">
        <f>STATS1003B!U950/1000</f>
        <v>0</v>
      </c>
      <c r="V950" s="85">
        <f>STATS1003B!V950/1000</f>
        <v>160</v>
      </c>
      <c r="W950" s="85">
        <f>STATS1003B!W950/1000</f>
        <v>0</v>
      </c>
      <c r="X950" s="85">
        <f t="shared" si="119"/>
        <v>160</v>
      </c>
      <c r="Y950" s="85">
        <f>STATS1003B!Y950/1000</f>
        <v>0</v>
      </c>
      <c r="Z950" s="85">
        <f t="shared" si="120"/>
        <v>0</v>
      </c>
      <c r="AA950" s="69">
        <f>STATS1003B!AA950/1000</f>
        <v>160</v>
      </c>
      <c r="AB950" s="69">
        <f>STATS1003B!AB950/1000</f>
        <v>0</v>
      </c>
    </row>
    <row r="951" spans="1:28" hidden="1" x14ac:dyDescent="0.3">
      <c r="A951" s="117"/>
      <c r="E951" s="86" t="s">
        <v>29</v>
      </c>
      <c r="F951" s="86" t="s">
        <v>29</v>
      </c>
      <c r="G951" s="86" t="s">
        <v>29</v>
      </c>
      <c r="H951" s="86" t="s">
        <v>29</v>
      </c>
      <c r="I951" s="86" t="s">
        <v>29</v>
      </c>
      <c r="J951" s="86" t="s">
        <v>29</v>
      </c>
      <c r="K951" s="86" t="s">
        <v>29</v>
      </c>
      <c r="L951" s="86" t="s">
        <v>29</v>
      </c>
      <c r="M951" s="86" t="s">
        <v>29</v>
      </c>
      <c r="N951" s="86" t="s">
        <v>29</v>
      </c>
      <c r="O951" s="86" t="s">
        <v>29</v>
      </c>
      <c r="P951" s="86" t="s">
        <v>29</v>
      </c>
      <c r="Q951" s="86" t="s">
        <v>29</v>
      </c>
      <c r="R951" s="86" t="s">
        <v>29</v>
      </c>
      <c r="S951" s="86" t="s">
        <v>29</v>
      </c>
      <c r="T951" s="86" t="s">
        <v>29</v>
      </c>
      <c r="U951" s="86" t="s">
        <v>29</v>
      </c>
      <c r="V951" s="86" t="s">
        <v>29</v>
      </c>
      <c r="W951" s="86" t="s">
        <v>29</v>
      </c>
      <c r="X951" s="85" t="e">
        <f t="shared" si="119"/>
        <v>#VALUE!</v>
      </c>
      <c r="Y951" s="86" t="s">
        <v>29</v>
      </c>
      <c r="Z951" s="85" t="e">
        <f t="shared" si="120"/>
        <v>#VALUE!</v>
      </c>
      <c r="AA951" s="115" t="s">
        <v>29</v>
      </c>
      <c r="AB951" s="115" t="s">
        <v>29</v>
      </c>
    </row>
    <row r="952" spans="1:28" hidden="1" x14ac:dyDescent="0.3">
      <c r="A952" s="117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6"/>
      <c r="S952" s="86"/>
      <c r="T952" s="86"/>
      <c r="U952" s="86"/>
      <c r="V952" s="86"/>
      <c r="W952" s="86"/>
      <c r="X952" s="85">
        <f t="shared" si="119"/>
        <v>0</v>
      </c>
      <c r="Y952" s="86"/>
      <c r="Z952" s="85">
        <f t="shared" si="120"/>
        <v>0</v>
      </c>
    </row>
    <row r="953" spans="1:28" hidden="1" x14ac:dyDescent="0.3">
      <c r="A953" s="117"/>
      <c r="C953" s="68" t="s">
        <v>667</v>
      </c>
      <c r="D953" s="87" t="s">
        <v>85</v>
      </c>
      <c r="E953" s="85">
        <f>STATS1003B!E953/1000</f>
        <v>160</v>
      </c>
      <c r="F953" s="85">
        <f>STATS1003B!F953/1000</f>
        <v>160</v>
      </c>
      <c r="G953" s="85">
        <f>STATS1003B!G953/1000</f>
        <v>0</v>
      </c>
      <c r="H953" s="85">
        <f>STATS1003B!H953/1000</f>
        <v>160</v>
      </c>
      <c r="I953" s="85">
        <f>STATS1003B!I953/1000</f>
        <v>0</v>
      </c>
      <c r="J953" s="85">
        <f>STATS1003B!J953/1000</f>
        <v>160</v>
      </c>
      <c r="K953" s="85">
        <f>STATS1003B!K953/1000</f>
        <v>0</v>
      </c>
      <c r="L953" s="85">
        <f>STATS1003B!L953/1000</f>
        <v>0</v>
      </c>
      <c r="M953" s="85">
        <f>STATS1003B!M953/1000</f>
        <v>160</v>
      </c>
      <c r="N953" s="85">
        <f>STATS1003B!N953/1000</f>
        <v>0</v>
      </c>
      <c r="O953" s="85">
        <f>STATS1003B!O953/1000</f>
        <v>0</v>
      </c>
      <c r="P953" s="85">
        <f>STATS1003B!P953/1000</f>
        <v>0</v>
      </c>
      <c r="Q953" s="85">
        <f>STATS1003B!Q953/1000</f>
        <v>160</v>
      </c>
      <c r="R953" s="85">
        <f>STATS1003B!R953/1000</f>
        <v>0</v>
      </c>
      <c r="S953" s="85">
        <f>STATS1003B!S953/1000</f>
        <v>0</v>
      </c>
      <c r="T953" s="85">
        <f>STATS1003B!T953/1000</f>
        <v>0</v>
      </c>
      <c r="U953" s="85">
        <f>STATS1003B!U953/1000</f>
        <v>0</v>
      </c>
      <c r="V953" s="85">
        <f>STATS1003B!V953/1000</f>
        <v>160</v>
      </c>
      <c r="W953" s="85">
        <f>STATS1003B!W953/1000</f>
        <v>0</v>
      </c>
      <c r="X953" s="85">
        <f t="shared" si="119"/>
        <v>160</v>
      </c>
      <c r="Y953" s="85">
        <f>STATS1003B!Y953/1000</f>
        <v>0</v>
      </c>
      <c r="Z953" s="85">
        <f t="shared" si="120"/>
        <v>0</v>
      </c>
      <c r="AA953" s="69">
        <f>STATS1003B!AA953/1000</f>
        <v>160</v>
      </c>
      <c r="AB953" s="69">
        <f>STATS1003B!AB953/1000</f>
        <v>0</v>
      </c>
    </row>
    <row r="954" spans="1:28" hidden="1" x14ac:dyDescent="0.3">
      <c r="A954" s="117"/>
      <c r="C954" s="68" t="s">
        <v>667</v>
      </c>
      <c r="D954" s="87" t="s">
        <v>85</v>
      </c>
      <c r="E954" s="85">
        <f>STATS1003B!E954/1000</f>
        <v>400</v>
      </c>
      <c r="F954" s="85">
        <f>STATS1003B!F954/1000</f>
        <v>0</v>
      </c>
      <c r="G954" s="85">
        <f>STATS1003B!G954/1000</f>
        <v>0</v>
      </c>
      <c r="H954" s="85">
        <f>STATS1003B!H954/1000</f>
        <v>0</v>
      </c>
      <c r="I954" s="85">
        <f>STATS1003B!I954/1000</f>
        <v>0</v>
      </c>
      <c r="J954" s="85">
        <f>STATS1003B!J954/1000</f>
        <v>0</v>
      </c>
      <c r="K954" s="85">
        <f>STATS1003B!K954/1000</f>
        <v>0</v>
      </c>
      <c r="L954" s="85">
        <f>STATS1003B!L954/1000</f>
        <v>0</v>
      </c>
      <c r="M954" s="85">
        <f>STATS1003B!M954/1000</f>
        <v>0</v>
      </c>
      <c r="N954" s="85">
        <f>STATS1003B!N954/1000</f>
        <v>0</v>
      </c>
      <c r="O954" s="85">
        <f>STATS1003B!O954/1000</f>
        <v>0</v>
      </c>
      <c r="P954" s="85">
        <f>STATS1003B!P954/1000</f>
        <v>0</v>
      </c>
      <c r="Q954" s="85">
        <f>STATS1003B!Q954/1000</f>
        <v>400</v>
      </c>
      <c r="R954" s="85">
        <f>STATS1003B!R954/1000</f>
        <v>0</v>
      </c>
      <c r="S954" s="85">
        <f>STATS1003B!S954/1000</f>
        <v>0</v>
      </c>
      <c r="T954" s="85">
        <f>STATS1003B!T954/1000</f>
        <v>0</v>
      </c>
      <c r="U954" s="85">
        <f>STATS1003B!U954/1000</f>
        <v>0</v>
      </c>
      <c r="V954" s="85">
        <f>STATS1003B!V954/1000</f>
        <v>0</v>
      </c>
      <c r="W954" s="85">
        <f>STATS1003B!W954/1000</f>
        <v>400</v>
      </c>
      <c r="X954" s="85">
        <f t="shared" si="119"/>
        <v>0</v>
      </c>
      <c r="Y954" s="85">
        <f>STATS1003B!Y954/1000</f>
        <v>0</v>
      </c>
      <c r="Z954" s="85">
        <f t="shared" si="120"/>
        <v>400</v>
      </c>
      <c r="AA954" s="69">
        <f>STATS1003B!AA954/1000</f>
        <v>0</v>
      </c>
      <c r="AB954" s="69">
        <f>STATS1003B!AB954/1000</f>
        <v>400</v>
      </c>
    </row>
    <row r="955" spans="1:28" hidden="1" x14ac:dyDescent="0.3">
      <c r="A955" s="117"/>
      <c r="E955" s="86" t="s">
        <v>29</v>
      </c>
      <c r="F955" s="86" t="s">
        <v>29</v>
      </c>
      <c r="G955" s="86" t="s">
        <v>29</v>
      </c>
      <c r="H955" s="86" t="s">
        <v>29</v>
      </c>
      <c r="I955" s="86" t="s">
        <v>29</v>
      </c>
      <c r="J955" s="86" t="s">
        <v>29</v>
      </c>
      <c r="K955" s="86" t="s">
        <v>29</v>
      </c>
      <c r="L955" s="86" t="s">
        <v>29</v>
      </c>
      <c r="M955" s="86" t="s">
        <v>29</v>
      </c>
      <c r="N955" s="86" t="s">
        <v>29</v>
      </c>
      <c r="O955" s="86" t="s">
        <v>29</v>
      </c>
      <c r="P955" s="86" t="s">
        <v>29</v>
      </c>
      <c r="Q955" s="86" t="s">
        <v>29</v>
      </c>
      <c r="R955" s="86" t="s">
        <v>29</v>
      </c>
      <c r="S955" s="86" t="s">
        <v>29</v>
      </c>
      <c r="T955" s="86" t="s">
        <v>29</v>
      </c>
      <c r="U955" s="86" t="s">
        <v>29</v>
      </c>
      <c r="V955" s="86" t="s">
        <v>29</v>
      </c>
      <c r="W955" s="86" t="s">
        <v>29</v>
      </c>
      <c r="X955" s="85" t="e">
        <f t="shared" si="119"/>
        <v>#VALUE!</v>
      </c>
      <c r="Y955" s="86" t="s">
        <v>29</v>
      </c>
      <c r="Z955" s="85" t="e">
        <f t="shared" si="120"/>
        <v>#VALUE!</v>
      </c>
      <c r="AA955" s="115" t="s">
        <v>29</v>
      </c>
      <c r="AB955" s="115" t="s">
        <v>29</v>
      </c>
    </row>
    <row r="956" spans="1:28" x14ac:dyDescent="0.3">
      <c r="A956" s="117"/>
      <c r="C956" s="68" t="s">
        <v>669</v>
      </c>
      <c r="E956" s="85">
        <f>560000/1000</f>
        <v>560</v>
      </c>
      <c r="F956" s="85">
        <f t="shared" ref="F956:Q956" si="126">SUM(F953:F954)</f>
        <v>160</v>
      </c>
      <c r="G956" s="85">
        <f t="shared" si="126"/>
        <v>0</v>
      </c>
      <c r="H956" s="85">
        <f>160000/1000</f>
        <v>160</v>
      </c>
      <c r="I956" s="85">
        <f t="shared" si="126"/>
        <v>0</v>
      </c>
      <c r="J956" s="85">
        <f t="shared" si="126"/>
        <v>160</v>
      </c>
      <c r="K956" s="85">
        <f t="shared" si="126"/>
        <v>0</v>
      </c>
      <c r="L956" s="85">
        <f t="shared" si="126"/>
        <v>0</v>
      </c>
      <c r="M956" s="85">
        <f t="shared" si="126"/>
        <v>160</v>
      </c>
      <c r="N956" s="85">
        <f t="shared" si="126"/>
        <v>0</v>
      </c>
      <c r="O956" s="85">
        <f t="shared" si="126"/>
        <v>0</v>
      </c>
      <c r="P956" s="85">
        <v>0</v>
      </c>
      <c r="Q956" s="85">
        <f t="shared" si="126"/>
        <v>560</v>
      </c>
      <c r="R956" s="86"/>
      <c r="S956" s="86"/>
      <c r="T956" s="85">
        <f t="shared" ref="T956:AB956" si="127">SUM(T953:T954)</f>
        <v>0</v>
      </c>
      <c r="U956" s="85">
        <f t="shared" si="127"/>
        <v>0</v>
      </c>
      <c r="V956" s="85">
        <f t="shared" si="127"/>
        <v>160</v>
      </c>
      <c r="W956" s="85">
        <f t="shared" si="127"/>
        <v>400</v>
      </c>
      <c r="X956" s="85">
        <f t="shared" si="119"/>
        <v>160</v>
      </c>
      <c r="Y956" s="85">
        <f t="shared" si="127"/>
        <v>0</v>
      </c>
      <c r="Z956" s="85">
        <f t="shared" si="120"/>
        <v>400</v>
      </c>
      <c r="AA956" s="69">
        <f t="shared" si="127"/>
        <v>160</v>
      </c>
      <c r="AB956" s="69">
        <f t="shared" si="127"/>
        <v>400</v>
      </c>
    </row>
    <row r="957" spans="1:28" hidden="1" x14ac:dyDescent="0.3">
      <c r="A957" s="117"/>
      <c r="E957" s="86" t="s">
        <v>29</v>
      </c>
      <c r="F957" s="86" t="s">
        <v>29</v>
      </c>
      <c r="G957" s="86" t="s">
        <v>29</v>
      </c>
      <c r="H957" s="86" t="s">
        <v>29</v>
      </c>
      <c r="I957" s="86" t="s">
        <v>29</v>
      </c>
      <c r="J957" s="86" t="s">
        <v>29</v>
      </c>
      <c r="K957" s="86" t="s">
        <v>29</v>
      </c>
      <c r="L957" s="86" t="s">
        <v>29</v>
      </c>
      <c r="M957" s="86" t="s">
        <v>29</v>
      </c>
      <c r="N957" s="86" t="s">
        <v>29</v>
      </c>
      <c r="O957" s="86" t="s">
        <v>29</v>
      </c>
      <c r="P957" s="86" t="s">
        <v>29</v>
      </c>
      <c r="Q957" s="86" t="s">
        <v>29</v>
      </c>
      <c r="R957" s="86" t="s">
        <v>29</v>
      </c>
      <c r="S957" s="86" t="s">
        <v>29</v>
      </c>
      <c r="T957" s="86" t="s">
        <v>29</v>
      </c>
      <c r="U957" s="86" t="s">
        <v>29</v>
      </c>
      <c r="V957" s="86" t="s">
        <v>29</v>
      </c>
      <c r="W957" s="86" t="s">
        <v>29</v>
      </c>
      <c r="X957" s="85" t="e">
        <f t="shared" si="119"/>
        <v>#VALUE!</v>
      </c>
      <c r="Y957" s="86" t="s">
        <v>29</v>
      </c>
      <c r="Z957" s="85" t="e">
        <f t="shared" si="120"/>
        <v>#VALUE!</v>
      </c>
      <c r="AA957" s="115" t="s">
        <v>29</v>
      </c>
      <c r="AB957" s="115" t="s">
        <v>29</v>
      </c>
    </row>
    <row r="958" spans="1:28" hidden="1" x14ac:dyDescent="0.3">
      <c r="A958" s="117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6"/>
      <c r="S958" s="86"/>
      <c r="T958" s="86"/>
      <c r="U958" s="86"/>
      <c r="V958" s="86"/>
      <c r="W958" s="86"/>
      <c r="X958" s="85">
        <f t="shared" si="119"/>
        <v>0</v>
      </c>
      <c r="Y958" s="86"/>
      <c r="Z958" s="85">
        <f t="shared" si="120"/>
        <v>0</v>
      </c>
      <c r="AA958" s="115"/>
      <c r="AB958" s="115"/>
    </row>
    <row r="959" spans="1:28" x14ac:dyDescent="0.3">
      <c r="A959" s="117"/>
      <c r="B959" s="68" t="s">
        <v>670</v>
      </c>
      <c r="D959" s="87" t="s">
        <v>85</v>
      </c>
      <c r="E959" s="85">
        <f>56000/1000</f>
        <v>56</v>
      </c>
      <c r="F959" s="85">
        <f>STATS1003B!F959/1000</f>
        <v>0</v>
      </c>
      <c r="G959" s="85">
        <f>STATS1003B!G959/1000</f>
        <v>0</v>
      </c>
      <c r="H959" s="85">
        <v>0</v>
      </c>
      <c r="I959" s="85">
        <f>STATS1003B!I959/1000</f>
        <v>0</v>
      </c>
      <c r="J959" s="85">
        <f>STATS1003B!J959/1000</f>
        <v>0</v>
      </c>
      <c r="K959" s="85">
        <f>STATS1003B!K959/1000</f>
        <v>0</v>
      </c>
      <c r="L959" s="85">
        <f>STATS1003B!L959/1000</f>
        <v>0</v>
      </c>
      <c r="M959" s="85">
        <f>STATS1003B!M959/1000</f>
        <v>0</v>
      </c>
      <c r="N959" s="85">
        <f>STATS1003B!N959/1000</f>
        <v>0</v>
      </c>
      <c r="O959" s="85">
        <f>STATS1003B!O959/1000</f>
        <v>0</v>
      </c>
      <c r="P959" s="85">
        <v>0</v>
      </c>
      <c r="Q959" s="85">
        <f>STATS1003B!Q959/1000</f>
        <v>56</v>
      </c>
      <c r="R959" s="85">
        <f>STATS1003B!R959/1000</f>
        <v>0</v>
      </c>
      <c r="S959" s="85">
        <f>STATS1003B!S959/1000</f>
        <v>0</v>
      </c>
      <c r="T959" s="85">
        <f>STATS1003B!T959/1000</f>
        <v>0</v>
      </c>
      <c r="U959" s="85">
        <f>STATS1003B!U959/1000</f>
        <v>0</v>
      </c>
      <c r="V959" s="85">
        <f>STATS1003B!V959/1000</f>
        <v>0</v>
      </c>
      <c r="W959" s="85">
        <f>STATS1003B!W959/1000</f>
        <v>0</v>
      </c>
      <c r="X959" s="85">
        <f t="shared" si="119"/>
        <v>0</v>
      </c>
      <c r="Y959" s="85">
        <f>STATS1003B!Y959/1000</f>
        <v>0</v>
      </c>
      <c r="Z959" s="85">
        <f t="shared" si="120"/>
        <v>56</v>
      </c>
      <c r="AA959" s="69">
        <f>STATS1003B!AA959/1000</f>
        <v>0</v>
      </c>
      <c r="AB959" s="69">
        <f>STATS1003B!AB959/1000</f>
        <v>56</v>
      </c>
    </row>
    <row r="960" spans="1:28" x14ac:dyDescent="0.3">
      <c r="A960" s="117"/>
      <c r="E960" s="86"/>
      <c r="F960" s="86"/>
      <c r="G960" s="86"/>
      <c r="H960" s="86"/>
      <c r="I960" s="86"/>
      <c r="J960" s="86"/>
      <c r="K960" s="86"/>
      <c r="L960" s="86"/>
      <c r="M960" s="86"/>
      <c r="N960" s="86"/>
      <c r="O960" s="86"/>
      <c r="P960" s="86"/>
      <c r="Q960" s="86"/>
      <c r="R960" s="86"/>
      <c r="S960" s="86"/>
      <c r="T960" s="86"/>
      <c r="U960" s="86"/>
      <c r="V960" s="86"/>
      <c r="W960" s="86"/>
      <c r="X960" s="86"/>
      <c r="Y960" s="86"/>
      <c r="Z960" s="86"/>
      <c r="AA960" s="115" t="s">
        <v>29</v>
      </c>
      <c r="AB960" s="115" t="s">
        <v>29</v>
      </c>
    </row>
    <row r="961" spans="1:28" s="106" customFormat="1" x14ac:dyDescent="0.3">
      <c r="A961" s="104"/>
      <c r="B961" s="7" t="s">
        <v>672</v>
      </c>
      <c r="C961" s="7" t="s">
        <v>3</v>
      </c>
      <c r="D961" s="8"/>
      <c r="E961" s="82">
        <f>E661+E691+E714+E743+E756+E781+E802+E823+E844+E872+E895+E922+E941+E947+E950+E956+E959+E645</f>
        <v>1647136.90359</v>
      </c>
      <c r="F961" s="82">
        <f>F661+F691+F714+F743+F756+F781+F802+F823+F844+F872+F895+F922+F941+F947+F950+F956+F959+F645</f>
        <v>456116.05569999997</v>
      </c>
      <c r="G961" s="82">
        <f>G661+G691+G714+G743+G756+G781+G802+G823+G844+G872+G895+G922+G941+G947+G950+G956+G959+G645</f>
        <v>2131.6422000000002</v>
      </c>
      <c r="H961" s="82">
        <f>H661+H691+H714+H743+H756+H781+H802+H823+H844+H872+H895+H922+H941+H947+H950+H956+H959+H645</f>
        <v>1567434.4192300001</v>
      </c>
      <c r="I961" s="82">
        <f>I661+I691+I714+I743+I756+I781+I802+I823+I844+I872+I895+I922+I941+I947+I950+I956+I959</f>
        <v>8678.7995129999999</v>
      </c>
      <c r="J961" s="82">
        <f>J661+J691+J714+J743+J756+J781+J802+J823+J844+J872+J895+J922+J941+J947+J950+J956+J959</f>
        <v>435767.44163299992</v>
      </c>
      <c r="K961" s="82">
        <f>K661+K691+K714+K743+K756+K781+K802+K823+K844+K872+K895+K922+K941+K947+K950+K956+K959</f>
        <v>69727.703099999984</v>
      </c>
      <c r="L961" s="82">
        <f>L661+L691+L714+L743+L756+L781+L802+L823+L844+L872+L895+L922+L941+L947+L950+L956+L959+L645</f>
        <v>8678.7995100000007</v>
      </c>
      <c r="M961" s="82">
        <f>M661+M691+M714+M743+M756+M781+M802+M823+M844+M872+M895+M922+M941+M947+M950+M956+M959+M645</f>
        <v>466926.49740999995</v>
      </c>
      <c r="N961" s="82">
        <f>N661+N691+N714+N743+N756+N781+N802+N823+N844+N872+N895+N922+N941+N947+N950+N956+N959+N645</f>
        <v>69987.546769999986</v>
      </c>
      <c r="O961" s="82">
        <f>O661+O691+O714+O743+O756+O781+O802+O823+O844+O872+O895+O922+O941+O947+O950+O956+O959+O645</f>
        <v>0</v>
      </c>
      <c r="P961" s="82">
        <f>P661+P691+P714+P743+P756+P781+P802+P823+P844+P872+P895+P922+P941+P947+P950+P956+P959+P645</f>
        <v>69987.539999999994</v>
      </c>
      <c r="Q961" s="82">
        <f>Q661+Q691+Q714+Q743+Q756+Q781+Q802+Q823+Q844+Q872+Q895+Q922+Q941+Q947+Q950+Q956+Q959</f>
        <v>355010.80787000002</v>
      </c>
      <c r="R961" s="82">
        <f>R661+R691+R714+R743+R756+R781+R802+R823+R844+R872+R895+R922+R941+R947+R950+R956+R959</f>
        <v>0</v>
      </c>
      <c r="S961" s="82">
        <f>S661+S691+S714+S743+S756+S781+S802+S823+S844+S872+S895+S922+S941+S947+S950+S956+S959</f>
        <v>0</v>
      </c>
      <c r="T961" s="82">
        <f>T661+T691+T714+T743+T756+T781+T802+T823+T844+T872+T895+T922+T941+T947+T950+T956+T959+T645</f>
        <v>370.15008</v>
      </c>
      <c r="U961" s="82">
        <f>U661+U691+U714+U743+U756+U781+U802+U823+U844+U872+U895+U922+U941+U947+U950+U956+U959+U645</f>
        <v>70357.696849999993</v>
      </c>
      <c r="V961" s="82">
        <f>V661+V691+V714+V743+V756+V781+V802+V823+V844+V872+V895+V922+V941+V947+V950+V956+V959</f>
        <v>499833.89183999994</v>
      </c>
      <c r="W961" s="82">
        <f>W661+W691+W714+W743+W756+W781+W802+W823+W844+W872+W895+W922+W941+W947+W950+W956+W959</f>
        <v>9658.9375900000032</v>
      </c>
      <c r="X961" s="82">
        <f>X661+X691+X714+X743+X756+X781+X802+X823+X844+X872+X895+X922+X941+X947+X950+X956+X959+X645</f>
        <v>1637421.9592299999</v>
      </c>
      <c r="Y961" s="82">
        <f>Y661+Y691+Y714+Y743+Y756+Y781+Y802+Y823+Y844+Y872+Y895+Y922+Y941+Y947+Y950+Y956+Y959</f>
        <v>0</v>
      </c>
      <c r="Z961" s="82">
        <f>Z661+Z691+Z714+Z743+Z756+Z781+Z802+Z823+Z844+Z872+Z895+Z922+Z941+Z947+Z950+Z956+Z959+Z645</f>
        <v>9714.944360000045</v>
      </c>
      <c r="AA961" s="9">
        <f>AA661+AA691+AA714+AA743+AA756+AA781+AA802+AA823+AA844+AA872+AA895+AA922+AA941+AA947+AA950+AA956+AA959+AA645</f>
        <v>537284.19426000002</v>
      </c>
      <c r="AB961" s="9">
        <f>AB661+AB691+AB714+AB743+AB756+AB781+AB802+AB823+AB844+AB872+AB895+AB922+AB941+AB947+AB950+AB956+AB959+AB645</f>
        <v>665.98800000000006</v>
      </c>
    </row>
    <row r="962" spans="1:28" x14ac:dyDescent="0.3">
      <c r="A962" s="117"/>
      <c r="E962" s="86"/>
      <c r="F962" s="86"/>
      <c r="G962" s="86"/>
      <c r="H962" s="86"/>
      <c r="I962" s="86"/>
      <c r="J962" s="86"/>
      <c r="K962" s="86"/>
      <c r="L962" s="86"/>
      <c r="M962" s="86"/>
      <c r="N962" s="86"/>
      <c r="O962" s="86"/>
      <c r="P962" s="86"/>
      <c r="Q962" s="86"/>
      <c r="R962" s="86"/>
      <c r="S962" s="86"/>
      <c r="T962" s="86"/>
      <c r="U962" s="86"/>
      <c r="V962" s="86"/>
      <c r="W962" s="86"/>
      <c r="X962" s="86"/>
      <c r="Y962" s="86"/>
      <c r="Z962" s="86"/>
      <c r="AA962" s="115" t="s">
        <v>114</v>
      </c>
      <c r="AB962" s="115" t="s">
        <v>114</v>
      </c>
    </row>
    <row r="963" spans="1:28" hidden="1" x14ac:dyDescent="0.3">
      <c r="A963" s="117"/>
      <c r="E963" s="86"/>
      <c r="F963" s="86"/>
      <c r="G963" s="86"/>
      <c r="H963" s="92"/>
      <c r="I963" s="86"/>
      <c r="J963" s="86"/>
      <c r="K963" s="86"/>
      <c r="L963" s="86"/>
      <c r="M963" s="86"/>
      <c r="N963" s="86"/>
      <c r="O963" s="86"/>
      <c r="P963" s="86"/>
      <c r="Q963" s="86"/>
      <c r="R963" s="86"/>
      <c r="S963" s="86"/>
      <c r="T963" s="86"/>
      <c r="U963" s="86"/>
      <c r="V963" s="86"/>
      <c r="W963" s="86"/>
      <c r="X963" s="86"/>
      <c r="Y963" s="86"/>
      <c r="Z963" s="97"/>
      <c r="AA963" s="118"/>
    </row>
    <row r="964" spans="1:28" x14ac:dyDescent="0.3">
      <c r="A964" s="117" t="s">
        <v>375</v>
      </c>
      <c r="B964" s="68" t="s">
        <v>201</v>
      </c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</row>
    <row r="965" spans="1:28" hidden="1" x14ac:dyDescent="0.3">
      <c r="A965" s="117"/>
      <c r="C965" s="68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</row>
    <row r="966" spans="1:28" hidden="1" x14ac:dyDescent="0.3">
      <c r="A966" s="105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</row>
    <row r="967" spans="1:28" hidden="1" x14ac:dyDescent="0.3">
      <c r="A967" s="117"/>
      <c r="D967" s="87" t="s">
        <v>203</v>
      </c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</row>
    <row r="968" spans="1:28" hidden="1" x14ac:dyDescent="0.3">
      <c r="A968" s="117"/>
      <c r="C968" s="68" t="s">
        <v>204</v>
      </c>
      <c r="D968" s="87" t="s">
        <v>205</v>
      </c>
      <c r="E968" s="85">
        <f>STATS1003B!E969/1000</f>
        <v>18538.041149999997</v>
      </c>
      <c r="F968" s="85">
        <f>STATS1003B!F969/1000</f>
        <v>15279.448480000001</v>
      </c>
      <c r="G968" s="85">
        <f>STATS1003B!G969/1000</f>
        <v>0</v>
      </c>
      <c r="H968" s="85">
        <f>STATS1003B!H969/1000</f>
        <v>15279.448480000001</v>
      </c>
      <c r="I968" s="85">
        <f>STATS1003B!I969/1000</f>
        <v>0</v>
      </c>
      <c r="J968" s="85">
        <f>STATS1003B!J969/1000</f>
        <v>0</v>
      </c>
      <c r="K968" s="85">
        <f>STATS1003B!K969/1000</f>
        <v>0</v>
      </c>
      <c r="L968" s="85">
        <f>STATS1003B!L969/1000</f>
        <v>0</v>
      </c>
      <c r="M968" s="85">
        <f>STATS1003B!M969/1000</f>
        <v>15279.448480000001</v>
      </c>
      <c r="N968" s="85">
        <f>STATS1003B!N969/1000</f>
        <v>3258.59267</v>
      </c>
      <c r="O968" s="85">
        <f>STATS1003B!O969/1000</f>
        <v>0</v>
      </c>
      <c r="P968" s="85">
        <f>STATS1003B!P969/1000</f>
        <v>3258.59267</v>
      </c>
      <c r="Q968" s="85">
        <f>STATS1003B!Q969/1000</f>
        <v>0</v>
      </c>
      <c r="R968" s="85">
        <f>STATS1003B!R969/1000</f>
        <v>0</v>
      </c>
      <c r="S968" s="85">
        <f>STATS1003B!S969/1000</f>
        <v>0</v>
      </c>
      <c r="T968" s="85">
        <f>STATS1003B!T969/1000</f>
        <v>0</v>
      </c>
      <c r="U968" s="85">
        <f>STATS1003B!U969/1000</f>
        <v>3258.59267</v>
      </c>
      <c r="V968" s="85">
        <f>STATS1003B!V969/1000</f>
        <v>18538.041149999997</v>
      </c>
      <c r="W968" s="85">
        <f>STATS1003B!W969/1000</f>
        <v>0</v>
      </c>
      <c r="X968" s="85">
        <f>STATS1003B!X969/1000</f>
        <v>18538.041149999997</v>
      </c>
      <c r="Y968" s="85">
        <f>STATS1003B!Y969/1000</f>
        <v>0</v>
      </c>
      <c r="Z968" s="85">
        <f>STATS1003B!Z969/1000</f>
        <v>0</v>
      </c>
      <c r="AA968" s="69">
        <f>STATS1003B!AA969/1000</f>
        <v>18538.041149999997</v>
      </c>
      <c r="AB968" s="69">
        <f>STATS1003B!AB969/1000</f>
        <v>0</v>
      </c>
    </row>
    <row r="969" spans="1:28" hidden="1" x14ac:dyDescent="0.3">
      <c r="A969" s="117"/>
      <c r="C969" s="68" t="s">
        <v>206</v>
      </c>
      <c r="D969" s="87" t="s">
        <v>166</v>
      </c>
      <c r="E969" s="85">
        <f>STATS1003B!E970/1000</f>
        <v>3498.1603700000001</v>
      </c>
      <c r="F969" s="85">
        <f>STATS1003B!F970/1000</f>
        <v>2652.64156</v>
      </c>
      <c r="G969" s="85">
        <f>STATS1003B!G970/1000</f>
        <v>0</v>
      </c>
      <c r="H969" s="85">
        <f>STATS1003B!H970/1000</f>
        <v>2652.64156</v>
      </c>
      <c r="I969" s="85">
        <f>STATS1003B!I970/1000</f>
        <v>0</v>
      </c>
      <c r="J969" s="85">
        <f>STATS1003B!J970/1000</f>
        <v>0</v>
      </c>
      <c r="K969" s="85">
        <f>STATS1003B!K970/1000</f>
        <v>0</v>
      </c>
      <c r="L969" s="85">
        <f>STATS1003B!L970/1000</f>
        <v>0</v>
      </c>
      <c r="M969" s="85">
        <f>STATS1003B!M970/1000</f>
        <v>2652.64156</v>
      </c>
      <c r="N969" s="85">
        <f>STATS1003B!N970/1000</f>
        <v>845.51881000000003</v>
      </c>
      <c r="O969" s="85">
        <f>STATS1003B!O970/1000</f>
        <v>0</v>
      </c>
      <c r="P969" s="85">
        <f>STATS1003B!P970/1000</f>
        <v>845.51881000000003</v>
      </c>
      <c r="Q969" s="85">
        <f>STATS1003B!Q970/1000</f>
        <v>0</v>
      </c>
      <c r="R969" s="85">
        <f>STATS1003B!R970/1000</f>
        <v>0</v>
      </c>
      <c r="S969" s="85">
        <f>STATS1003B!S970/1000</f>
        <v>0</v>
      </c>
      <c r="T969" s="85">
        <f>STATS1003B!T970/1000</f>
        <v>0</v>
      </c>
      <c r="U969" s="85">
        <f>STATS1003B!U970/1000</f>
        <v>845.51881000000003</v>
      </c>
      <c r="V969" s="85">
        <f>STATS1003B!V970/1000</f>
        <v>3498.1603700000001</v>
      </c>
      <c r="W969" s="85">
        <f>STATS1003B!W970/1000</f>
        <v>0</v>
      </c>
      <c r="X969" s="85">
        <f>STATS1003B!X970/1000</f>
        <v>3498.1603700000001</v>
      </c>
      <c r="Y969" s="85">
        <f>STATS1003B!Y970/1000</f>
        <v>0</v>
      </c>
      <c r="Z969" s="85">
        <f>STATS1003B!Z970/1000</f>
        <v>0</v>
      </c>
      <c r="AA969" s="69">
        <f>STATS1003B!AA970/1000</f>
        <v>3498.1603700000001</v>
      </c>
      <c r="AB969" s="69">
        <f>STATS1003B!AB970/1000</f>
        <v>0</v>
      </c>
    </row>
    <row r="970" spans="1:28" hidden="1" x14ac:dyDescent="0.3">
      <c r="A970" s="117"/>
      <c r="C970" s="68" t="s">
        <v>83</v>
      </c>
      <c r="D970" s="87" t="s">
        <v>67</v>
      </c>
      <c r="E970" s="85">
        <f>STATS1003B!E971/1000</f>
        <v>878.63900000000001</v>
      </c>
      <c r="F970" s="85">
        <f>STATS1003B!F971/1000</f>
        <v>878.63900000000001</v>
      </c>
      <c r="G970" s="85">
        <f>STATS1003B!G971/1000</f>
        <v>0</v>
      </c>
      <c r="H970" s="85">
        <f>STATS1003B!H971/1000</f>
        <v>878.63900000000001</v>
      </c>
      <c r="I970" s="85">
        <f>STATS1003B!I971/1000</f>
        <v>0</v>
      </c>
      <c r="J970" s="85">
        <f>STATS1003B!J971/1000</f>
        <v>0</v>
      </c>
      <c r="K970" s="85">
        <f>STATS1003B!K971/1000</f>
        <v>0</v>
      </c>
      <c r="L970" s="85">
        <f>STATS1003B!L971/1000</f>
        <v>0</v>
      </c>
      <c r="M970" s="85">
        <f>STATS1003B!M971/1000</f>
        <v>878.63900000000001</v>
      </c>
      <c r="N970" s="85">
        <f>STATS1003B!N971/1000</f>
        <v>0</v>
      </c>
      <c r="O970" s="85">
        <f>STATS1003B!O971/1000</f>
        <v>0</v>
      </c>
      <c r="P970" s="85">
        <f>STATS1003B!P971/1000</f>
        <v>0</v>
      </c>
      <c r="Q970" s="85">
        <f>STATS1003B!Q971/1000</f>
        <v>0</v>
      </c>
      <c r="R970" s="85">
        <f>STATS1003B!R971/1000</f>
        <v>0</v>
      </c>
      <c r="S970" s="85">
        <f>STATS1003B!S971/1000</f>
        <v>0</v>
      </c>
      <c r="T970" s="85">
        <f>STATS1003B!T971/1000</f>
        <v>0</v>
      </c>
      <c r="U970" s="85">
        <f>STATS1003B!U971/1000</f>
        <v>0</v>
      </c>
      <c r="V970" s="85">
        <f>STATS1003B!V971/1000</f>
        <v>878.63900000000001</v>
      </c>
      <c r="W970" s="85">
        <f>STATS1003B!W971/1000</f>
        <v>0</v>
      </c>
      <c r="X970" s="85">
        <f>STATS1003B!X971/1000</f>
        <v>878.63900000000001</v>
      </c>
      <c r="Y970" s="85">
        <f>STATS1003B!Y971/1000</f>
        <v>0</v>
      </c>
      <c r="Z970" s="85">
        <f>STATS1003B!Z971/1000</f>
        <v>0</v>
      </c>
      <c r="AA970" s="69">
        <f>STATS1003B!AA971/1000</f>
        <v>878.63900000000001</v>
      </c>
      <c r="AB970" s="69">
        <f>STATS1003B!AB971/1000</f>
        <v>0</v>
      </c>
    </row>
    <row r="971" spans="1:28" hidden="1" x14ac:dyDescent="0.3">
      <c r="A971" s="117"/>
      <c r="C971" s="68" t="s">
        <v>55</v>
      </c>
      <c r="D971" s="87" t="s">
        <v>207</v>
      </c>
      <c r="E971" s="85">
        <f>STATS1003B!E972/1000</f>
        <v>1466.7094</v>
      </c>
      <c r="F971" s="85">
        <f>STATS1003B!F972/1000</f>
        <v>0</v>
      </c>
      <c r="G971" s="85">
        <f>STATS1003B!G972/1000</f>
        <v>0</v>
      </c>
      <c r="H971" s="85">
        <f>STATS1003B!H972/1000</f>
        <v>0</v>
      </c>
      <c r="I971" s="85">
        <f>STATS1003B!I972/1000</f>
        <v>0</v>
      </c>
      <c r="J971" s="85">
        <f>STATS1003B!J972/1000</f>
        <v>0</v>
      </c>
      <c r="K971" s="85">
        <f>STATS1003B!K972/1000</f>
        <v>0</v>
      </c>
      <c r="L971" s="85">
        <f>STATS1003B!L972/1000</f>
        <v>0</v>
      </c>
      <c r="M971" s="85">
        <f>STATS1003B!M972/1000</f>
        <v>0</v>
      </c>
      <c r="N971" s="85">
        <f>STATS1003B!N972/1000</f>
        <v>1466.7094</v>
      </c>
      <c r="O971" s="85">
        <f>STATS1003B!O972/1000</f>
        <v>0</v>
      </c>
      <c r="P971" s="85">
        <f>STATS1003B!P972/1000</f>
        <v>1466.7094</v>
      </c>
      <c r="Q971" s="85">
        <f>STATS1003B!Q972/1000</f>
        <v>0</v>
      </c>
      <c r="R971" s="85">
        <f>STATS1003B!R972/1000</f>
        <v>0</v>
      </c>
      <c r="S971" s="85">
        <f>STATS1003B!S972/1000</f>
        <v>0</v>
      </c>
      <c r="T971" s="85">
        <f>STATS1003B!T972/1000</f>
        <v>0</v>
      </c>
      <c r="U971" s="85">
        <f>STATS1003B!U972/1000</f>
        <v>1466.7094</v>
      </c>
      <c r="V971" s="85">
        <f>STATS1003B!V972/1000</f>
        <v>1466.7094</v>
      </c>
      <c r="W971" s="85">
        <f>STATS1003B!W972/1000</f>
        <v>0</v>
      </c>
      <c r="X971" s="85">
        <f>STATS1003B!X972/1000</f>
        <v>1466.7094</v>
      </c>
      <c r="Y971" s="85">
        <f>STATS1003B!Y972/1000</f>
        <v>0</v>
      </c>
      <c r="Z971" s="85">
        <f>STATS1003B!Z972/1000</f>
        <v>0</v>
      </c>
      <c r="AA971" s="69">
        <f>STATS1003B!AA972/1000</f>
        <v>1466.7094</v>
      </c>
      <c r="AB971" s="69">
        <f>STATS1003B!AB972/1000</f>
        <v>0</v>
      </c>
    </row>
    <row r="972" spans="1:28" hidden="1" x14ac:dyDescent="0.3">
      <c r="A972" s="117"/>
      <c r="C972" s="68" t="s">
        <v>53</v>
      </c>
      <c r="D972" s="87" t="s">
        <v>54</v>
      </c>
      <c r="E972" s="85">
        <f>STATS1003B!E973/1000</f>
        <v>2306.1060000000002</v>
      </c>
      <c r="F972" s="85">
        <f>STATS1003B!F973/1000</f>
        <v>0</v>
      </c>
      <c r="G972" s="85">
        <f>STATS1003B!G973/1000</f>
        <v>0</v>
      </c>
      <c r="H972" s="85">
        <f>STATS1003B!H973/1000</f>
        <v>0</v>
      </c>
      <c r="I972" s="85">
        <f>STATS1003B!I973/1000</f>
        <v>0</v>
      </c>
      <c r="J972" s="85">
        <f>STATS1003B!J973/1000</f>
        <v>0</v>
      </c>
      <c r="K972" s="85">
        <f>STATS1003B!K973/1000</f>
        <v>0</v>
      </c>
      <c r="L972" s="85">
        <f>STATS1003B!L973/1000</f>
        <v>0</v>
      </c>
      <c r="M972" s="85">
        <f>STATS1003B!M973/1000</f>
        <v>0</v>
      </c>
      <c r="N972" s="85">
        <f>STATS1003B!N973/1000</f>
        <v>2306.1060000000002</v>
      </c>
      <c r="O972" s="85">
        <f>STATS1003B!O973/1000</f>
        <v>0</v>
      </c>
      <c r="P972" s="85">
        <f>STATS1003B!P973/1000</f>
        <v>2306.1060000000002</v>
      </c>
      <c r="Q972" s="85">
        <f>STATS1003B!Q973/1000</f>
        <v>0</v>
      </c>
      <c r="R972" s="85">
        <f>STATS1003B!R973/1000</f>
        <v>0</v>
      </c>
      <c r="S972" s="85">
        <f>STATS1003B!S973/1000</f>
        <v>0</v>
      </c>
      <c r="T972" s="85">
        <f>STATS1003B!T973/1000</f>
        <v>0</v>
      </c>
      <c r="U972" s="85">
        <f>STATS1003B!U973/1000</f>
        <v>2306.1060000000002</v>
      </c>
      <c r="V972" s="85">
        <f>STATS1003B!V973/1000</f>
        <v>2306.1060000000002</v>
      </c>
      <c r="W972" s="85">
        <f>STATS1003B!W973/1000</f>
        <v>0</v>
      </c>
      <c r="X972" s="85">
        <f>STATS1003B!X973/1000</f>
        <v>2306.1060000000002</v>
      </c>
      <c r="Y972" s="85">
        <f>STATS1003B!Y973/1000</f>
        <v>0</v>
      </c>
      <c r="Z972" s="85">
        <f>STATS1003B!Z973/1000</f>
        <v>0</v>
      </c>
      <c r="AA972" s="69">
        <f>STATS1003B!AA973/1000</f>
        <v>2306.1060000000002</v>
      </c>
      <c r="AB972" s="69">
        <f>STATS1003B!AB973/1000</f>
        <v>0</v>
      </c>
    </row>
    <row r="973" spans="1:28" hidden="1" x14ac:dyDescent="0.3">
      <c r="A973" s="117"/>
      <c r="C973" s="68" t="s">
        <v>208</v>
      </c>
      <c r="D973" s="87" t="s">
        <v>209</v>
      </c>
      <c r="E973" s="85">
        <f>STATS1003B!E974/1000</f>
        <v>2822.9789999999998</v>
      </c>
      <c r="F973" s="85">
        <f>STATS1003B!F974/1000</f>
        <v>2311.951</v>
      </c>
      <c r="G973" s="85">
        <f>STATS1003B!G974/1000</f>
        <v>0</v>
      </c>
      <c r="H973" s="85">
        <f>STATS1003B!H974/1000</f>
        <v>2311.951</v>
      </c>
      <c r="I973" s="85">
        <f>STATS1003B!I974/1000</f>
        <v>0</v>
      </c>
      <c r="J973" s="85">
        <f>STATS1003B!J974/1000</f>
        <v>0</v>
      </c>
      <c r="K973" s="85">
        <f>STATS1003B!K974/1000</f>
        <v>0</v>
      </c>
      <c r="L973" s="85">
        <f>STATS1003B!L974/1000</f>
        <v>0</v>
      </c>
      <c r="M973" s="85">
        <f>STATS1003B!M974/1000</f>
        <v>2311.951</v>
      </c>
      <c r="N973" s="85">
        <f>STATS1003B!N974/1000</f>
        <v>0</v>
      </c>
      <c r="O973" s="85">
        <f>STATS1003B!O974/1000</f>
        <v>0</v>
      </c>
      <c r="P973" s="85">
        <f>STATS1003B!P974/1000</f>
        <v>0</v>
      </c>
      <c r="Q973" s="85">
        <f>STATS1003B!Q974/1000</f>
        <v>0</v>
      </c>
      <c r="R973" s="85">
        <f>STATS1003B!R974/1000</f>
        <v>0</v>
      </c>
      <c r="S973" s="85">
        <f>STATS1003B!S974/1000</f>
        <v>0</v>
      </c>
      <c r="T973" s="85">
        <f>STATS1003B!T974/1000</f>
        <v>0</v>
      </c>
      <c r="U973" s="85">
        <f>STATS1003B!U974/1000</f>
        <v>0</v>
      </c>
      <c r="V973" s="85">
        <f>STATS1003B!V974/1000</f>
        <v>2311.951</v>
      </c>
      <c r="W973" s="85">
        <f>STATS1003B!W974/1000</f>
        <v>511.02800000000002</v>
      </c>
      <c r="X973" s="85">
        <f>STATS1003B!X974/1000</f>
        <v>2311.951</v>
      </c>
      <c r="Y973" s="85">
        <f>STATS1003B!Y974/1000</f>
        <v>0</v>
      </c>
      <c r="Z973" s="85">
        <f>STATS1003B!Z974/1000</f>
        <v>511.02800000000002</v>
      </c>
      <c r="AA973" s="69">
        <f>STATS1003B!AA974/1000</f>
        <v>2311.951</v>
      </c>
      <c r="AB973" s="69">
        <f>STATS1003B!AB974/1000</f>
        <v>511.02800000000002</v>
      </c>
    </row>
    <row r="974" spans="1:28" hidden="1" x14ac:dyDescent="0.3">
      <c r="A974" s="117"/>
      <c r="C974" s="68" t="s">
        <v>210</v>
      </c>
      <c r="D974" s="87" t="s">
        <v>54</v>
      </c>
      <c r="E974" s="85">
        <f>STATS1003B!E975/1000</f>
        <v>751.83299999999997</v>
      </c>
      <c r="F974" s="85">
        <f>STATS1003B!F975/1000</f>
        <v>751.83299999999997</v>
      </c>
      <c r="G974" s="85">
        <f>STATS1003B!G975/1000</f>
        <v>0</v>
      </c>
      <c r="H974" s="85">
        <f>STATS1003B!H975/1000</f>
        <v>751.83299999999997</v>
      </c>
      <c r="I974" s="85">
        <f>STATS1003B!I975/1000</f>
        <v>0</v>
      </c>
      <c r="J974" s="85">
        <f>STATS1003B!J975/1000</f>
        <v>0</v>
      </c>
      <c r="K974" s="85">
        <f>STATS1003B!K975/1000</f>
        <v>0</v>
      </c>
      <c r="L974" s="85">
        <f>STATS1003B!L975/1000</f>
        <v>0</v>
      </c>
      <c r="M974" s="85">
        <f>STATS1003B!M975/1000</f>
        <v>751.83299999999997</v>
      </c>
      <c r="N974" s="85">
        <f>STATS1003B!N975/1000</f>
        <v>0</v>
      </c>
      <c r="O974" s="85">
        <f>STATS1003B!O975/1000</f>
        <v>0</v>
      </c>
      <c r="P974" s="85">
        <f>STATS1003B!P975/1000</f>
        <v>0</v>
      </c>
      <c r="Q974" s="85">
        <f>STATS1003B!Q975/1000</f>
        <v>0</v>
      </c>
      <c r="R974" s="85">
        <f>STATS1003B!R975/1000</f>
        <v>0</v>
      </c>
      <c r="S974" s="85">
        <f>STATS1003B!S975/1000</f>
        <v>0</v>
      </c>
      <c r="T974" s="85">
        <f>STATS1003B!T975/1000</f>
        <v>0</v>
      </c>
      <c r="U974" s="85">
        <f>STATS1003B!U975/1000</f>
        <v>0</v>
      </c>
      <c r="V974" s="85">
        <f>STATS1003B!V975/1000</f>
        <v>751.83299999999997</v>
      </c>
      <c r="W974" s="85">
        <f>STATS1003B!W975/1000</f>
        <v>0</v>
      </c>
      <c r="X974" s="85">
        <f>STATS1003B!X975/1000</f>
        <v>751.83299999999997</v>
      </c>
      <c r="Y974" s="85">
        <f>STATS1003B!Y975/1000</f>
        <v>0</v>
      </c>
      <c r="Z974" s="85">
        <f>STATS1003B!Z975/1000</f>
        <v>0</v>
      </c>
      <c r="AA974" s="69">
        <f>STATS1003B!AA975/1000</f>
        <v>751.83299999999997</v>
      </c>
      <c r="AB974" s="69">
        <f>STATS1003B!AB975/1000</f>
        <v>0</v>
      </c>
    </row>
    <row r="975" spans="1:28" hidden="1" x14ac:dyDescent="0.3">
      <c r="A975" s="117"/>
      <c r="C975" s="68" t="s">
        <v>107</v>
      </c>
      <c r="D975" s="87" t="s">
        <v>211</v>
      </c>
      <c r="E975" s="85">
        <f>STATS1003B!E976/1000</f>
        <v>17375.13222</v>
      </c>
      <c r="F975" s="85">
        <f>STATS1003B!F976/1000</f>
        <v>17375.13222</v>
      </c>
      <c r="G975" s="85">
        <f>STATS1003B!G976/1000</f>
        <v>0</v>
      </c>
      <c r="H975" s="85">
        <f>STATS1003B!H976/1000</f>
        <v>17375.13222</v>
      </c>
      <c r="I975" s="85">
        <f>STATS1003B!I976/1000</f>
        <v>0</v>
      </c>
      <c r="J975" s="85">
        <f>STATS1003B!J976/1000</f>
        <v>0</v>
      </c>
      <c r="K975" s="85">
        <f>STATS1003B!K976/1000</f>
        <v>0</v>
      </c>
      <c r="L975" s="85">
        <f>STATS1003B!L976/1000</f>
        <v>0</v>
      </c>
      <c r="M975" s="85">
        <f>STATS1003B!M976/1000</f>
        <v>17375.13222</v>
      </c>
      <c r="N975" s="85">
        <f>STATS1003B!N976/1000</f>
        <v>0</v>
      </c>
      <c r="O975" s="85">
        <f>STATS1003B!O976/1000</f>
        <v>0</v>
      </c>
      <c r="P975" s="85">
        <f>STATS1003B!P976/1000</f>
        <v>0</v>
      </c>
      <c r="Q975" s="85">
        <f>STATS1003B!Q976/1000</f>
        <v>0</v>
      </c>
      <c r="R975" s="85">
        <f>STATS1003B!R976/1000</f>
        <v>0</v>
      </c>
      <c r="S975" s="85">
        <f>STATS1003B!S976/1000</f>
        <v>0</v>
      </c>
      <c r="T975" s="85">
        <f>STATS1003B!T976/1000</f>
        <v>0</v>
      </c>
      <c r="U975" s="85">
        <f>STATS1003B!U976/1000</f>
        <v>0</v>
      </c>
      <c r="V975" s="85">
        <f>STATS1003B!V976/1000</f>
        <v>17375.13222</v>
      </c>
      <c r="W975" s="85">
        <f>STATS1003B!W976/1000</f>
        <v>0</v>
      </c>
      <c r="X975" s="85">
        <f>STATS1003B!X976/1000</f>
        <v>17375.13222</v>
      </c>
      <c r="Y975" s="85">
        <f>STATS1003B!Y976/1000</f>
        <v>0</v>
      </c>
      <c r="Z975" s="85">
        <f>STATS1003B!Z976/1000</f>
        <v>0</v>
      </c>
      <c r="AA975" s="69">
        <f>STATS1003B!AA976/1000</f>
        <v>17375.13222</v>
      </c>
      <c r="AB975" s="69">
        <f>STATS1003B!AB976/1000</f>
        <v>0</v>
      </c>
    </row>
    <row r="976" spans="1:28" hidden="1" x14ac:dyDescent="0.3">
      <c r="A976" s="117"/>
      <c r="C976" s="68" t="s">
        <v>212</v>
      </c>
      <c r="D976" s="87" t="s">
        <v>85</v>
      </c>
      <c r="E976" s="85">
        <f>STATS1003B!E977/1000</f>
        <v>0</v>
      </c>
      <c r="F976" s="85">
        <f>STATS1003B!F977/1000</f>
        <v>0</v>
      </c>
      <c r="G976" s="85">
        <f>STATS1003B!G977/1000</f>
        <v>0</v>
      </c>
      <c r="H976" s="85">
        <f>STATS1003B!H977/1000</f>
        <v>0</v>
      </c>
      <c r="I976" s="85">
        <f>STATS1003B!I977/1000</f>
        <v>0</v>
      </c>
      <c r="J976" s="85">
        <f>STATS1003B!J977/1000</f>
        <v>0</v>
      </c>
      <c r="K976" s="85">
        <f>STATS1003B!K977/1000</f>
        <v>0</v>
      </c>
      <c r="L976" s="85">
        <f>STATS1003B!L977/1000</f>
        <v>0</v>
      </c>
      <c r="M976" s="85">
        <f>STATS1003B!M977/1000</f>
        <v>0</v>
      </c>
      <c r="N976" s="85">
        <f>STATS1003B!N977/1000</f>
        <v>0</v>
      </c>
      <c r="O976" s="85">
        <f>STATS1003B!O977/1000</f>
        <v>0</v>
      </c>
      <c r="P976" s="85">
        <f>STATS1003B!P977/1000</f>
        <v>0</v>
      </c>
      <c r="Q976" s="85">
        <f>STATS1003B!Q977/1000</f>
        <v>0</v>
      </c>
      <c r="R976" s="85">
        <f>STATS1003B!R977/1000</f>
        <v>0</v>
      </c>
      <c r="S976" s="85">
        <f>STATS1003B!S977/1000</f>
        <v>0</v>
      </c>
      <c r="T976" s="85">
        <f>STATS1003B!T977/1000</f>
        <v>0</v>
      </c>
      <c r="U976" s="85">
        <f>STATS1003B!U977/1000</f>
        <v>0</v>
      </c>
      <c r="V976" s="85">
        <f>STATS1003B!V977/1000</f>
        <v>0</v>
      </c>
      <c r="W976" s="85">
        <f>STATS1003B!W977/1000</f>
        <v>0</v>
      </c>
      <c r="X976" s="85">
        <f>STATS1003B!X977/1000</f>
        <v>0</v>
      </c>
      <c r="Y976" s="85">
        <f>STATS1003B!Y977/1000</f>
        <v>0</v>
      </c>
      <c r="Z976" s="85">
        <f>STATS1003B!Z977/1000</f>
        <v>0</v>
      </c>
      <c r="AA976" s="69">
        <f>STATS1003B!AA977/1000</f>
        <v>0</v>
      </c>
      <c r="AB976" s="69">
        <f>STATS1003B!AB977/1000</f>
        <v>0</v>
      </c>
    </row>
    <row r="977" spans="1:28" hidden="1" x14ac:dyDescent="0.3">
      <c r="A977" s="117"/>
      <c r="C977" s="68" t="s">
        <v>213</v>
      </c>
      <c r="D977" s="87" t="s">
        <v>128</v>
      </c>
      <c r="E977" s="85">
        <f>STATS1003B!E978/1000</f>
        <v>714.46900000000005</v>
      </c>
      <c r="F977" s="85">
        <f>STATS1003B!F978/1000</f>
        <v>714.46900000000005</v>
      </c>
      <c r="G977" s="85">
        <f>STATS1003B!G978/1000</f>
        <v>0</v>
      </c>
      <c r="H977" s="85">
        <f>STATS1003B!H978/1000</f>
        <v>714.46900000000005</v>
      </c>
      <c r="I977" s="85">
        <f>STATS1003B!I978/1000</f>
        <v>0</v>
      </c>
      <c r="J977" s="85">
        <f>STATS1003B!J978/1000</f>
        <v>0</v>
      </c>
      <c r="K977" s="85">
        <f>STATS1003B!K978/1000</f>
        <v>0</v>
      </c>
      <c r="L977" s="85">
        <f>STATS1003B!L978/1000</f>
        <v>0</v>
      </c>
      <c r="M977" s="85">
        <f>STATS1003B!M978/1000</f>
        <v>714.46900000000005</v>
      </c>
      <c r="N977" s="85">
        <f>STATS1003B!N978/1000</f>
        <v>0</v>
      </c>
      <c r="O977" s="85">
        <f>STATS1003B!O978/1000</f>
        <v>0</v>
      </c>
      <c r="P977" s="85">
        <f>STATS1003B!P978/1000</f>
        <v>0</v>
      </c>
      <c r="Q977" s="85">
        <f>STATS1003B!Q978/1000</f>
        <v>0</v>
      </c>
      <c r="R977" s="85">
        <f>STATS1003B!R978/1000</f>
        <v>0</v>
      </c>
      <c r="S977" s="85">
        <f>STATS1003B!S978/1000</f>
        <v>0</v>
      </c>
      <c r="T977" s="85">
        <f>STATS1003B!T978/1000</f>
        <v>0</v>
      </c>
      <c r="U977" s="85">
        <f>STATS1003B!U978/1000</f>
        <v>0</v>
      </c>
      <c r="V977" s="85">
        <f>STATS1003B!V978/1000</f>
        <v>714.46900000000005</v>
      </c>
      <c r="W977" s="85">
        <f>STATS1003B!W978/1000</f>
        <v>0</v>
      </c>
      <c r="X977" s="85">
        <f>STATS1003B!X978/1000</f>
        <v>714.46900000000005</v>
      </c>
      <c r="Y977" s="85">
        <f>STATS1003B!Y978/1000</f>
        <v>0</v>
      </c>
      <c r="Z977" s="85">
        <f>STATS1003B!Z978/1000</f>
        <v>0</v>
      </c>
      <c r="AA977" s="69">
        <f>STATS1003B!AA978/1000</f>
        <v>714.46900000000005</v>
      </c>
      <c r="AB977" s="69">
        <f>STATS1003B!AB978/1000</f>
        <v>0</v>
      </c>
    </row>
    <row r="978" spans="1:28" hidden="1" x14ac:dyDescent="0.3">
      <c r="A978" s="117"/>
      <c r="C978" s="68" t="s">
        <v>57</v>
      </c>
      <c r="D978" s="87" t="s">
        <v>58</v>
      </c>
      <c r="E978" s="85">
        <f>STATS1003B!E979/1000</f>
        <v>9371.2459999999992</v>
      </c>
      <c r="F978" s="85">
        <f>STATS1003B!F979/1000</f>
        <v>9371.2459999999992</v>
      </c>
      <c r="G978" s="85">
        <f>STATS1003B!G979/1000</f>
        <v>0</v>
      </c>
      <c r="H978" s="85">
        <f>STATS1003B!H979/1000</f>
        <v>9371.2459999999992</v>
      </c>
      <c r="I978" s="85">
        <f>STATS1003B!I979/1000</f>
        <v>0</v>
      </c>
      <c r="J978" s="85">
        <f>STATS1003B!J979/1000</f>
        <v>0</v>
      </c>
      <c r="K978" s="85">
        <f>STATS1003B!K979/1000</f>
        <v>0</v>
      </c>
      <c r="L978" s="85">
        <f>STATS1003B!L979/1000</f>
        <v>0</v>
      </c>
      <c r="M978" s="85">
        <f>STATS1003B!M979/1000</f>
        <v>9371.2459999999992</v>
      </c>
      <c r="N978" s="85">
        <f>STATS1003B!N979/1000</f>
        <v>0</v>
      </c>
      <c r="O978" s="85">
        <f>STATS1003B!O979/1000</f>
        <v>0</v>
      </c>
      <c r="P978" s="85">
        <f>STATS1003B!P979/1000</f>
        <v>0</v>
      </c>
      <c r="Q978" s="85">
        <f>STATS1003B!Q979/1000</f>
        <v>0</v>
      </c>
      <c r="R978" s="85">
        <f>STATS1003B!R979/1000</f>
        <v>0</v>
      </c>
      <c r="S978" s="85">
        <f>STATS1003B!S979/1000</f>
        <v>0</v>
      </c>
      <c r="T978" s="85">
        <f>STATS1003B!T979/1000</f>
        <v>0</v>
      </c>
      <c r="U978" s="85">
        <f>STATS1003B!U979/1000</f>
        <v>0</v>
      </c>
      <c r="V978" s="85">
        <f>STATS1003B!V979/1000</f>
        <v>9371.2459999999992</v>
      </c>
      <c r="W978" s="85">
        <f>STATS1003B!W979/1000</f>
        <v>0</v>
      </c>
      <c r="X978" s="85">
        <f>STATS1003B!X979/1000</f>
        <v>9371.2459999999992</v>
      </c>
      <c r="Y978" s="85">
        <f>STATS1003B!Y979/1000</f>
        <v>0</v>
      </c>
      <c r="Z978" s="85">
        <f>STATS1003B!Z979/1000</f>
        <v>0</v>
      </c>
      <c r="AA978" s="69">
        <f>STATS1003B!AA979/1000</f>
        <v>9371.2459999999992</v>
      </c>
      <c r="AB978" s="69">
        <f>STATS1003B!AB979/1000</f>
        <v>0</v>
      </c>
    </row>
    <row r="979" spans="1:28" hidden="1" x14ac:dyDescent="0.3">
      <c r="A979" s="117"/>
      <c r="C979" s="68" t="s">
        <v>214</v>
      </c>
      <c r="D979" s="87" t="s">
        <v>194</v>
      </c>
      <c r="E979" s="85">
        <f>STATS1003B!E980/1000</f>
        <v>12907.53745</v>
      </c>
      <c r="F979" s="85">
        <f>STATS1003B!F980/1000</f>
        <v>12907.53745</v>
      </c>
      <c r="G979" s="85">
        <f>STATS1003B!G980/1000</f>
        <v>0</v>
      </c>
      <c r="H979" s="85">
        <f>STATS1003B!H980/1000</f>
        <v>12907.53745</v>
      </c>
      <c r="I979" s="85">
        <f>STATS1003B!I980/1000</f>
        <v>0</v>
      </c>
      <c r="J979" s="85">
        <f>STATS1003B!J980/1000</f>
        <v>0</v>
      </c>
      <c r="K979" s="85">
        <f>STATS1003B!K980/1000</f>
        <v>0</v>
      </c>
      <c r="L979" s="85">
        <f>STATS1003B!L980/1000</f>
        <v>0</v>
      </c>
      <c r="M979" s="85">
        <f>STATS1003B!M980/1000</f>
        <v>12907.53745</v>
      </c>
      <c r="N979" s="85">
        <f>STATS1003B!N980/1000</f>
        <v>0</v>
      </c>
      <c r="O979" s="85">
        <f>STATS1003B!O980/1000</f>
        <v>0</v>
      </c>
      <c r="P979" s="85">
        <f>STATS1003B!P980/1000</f>
        <v>0</v>
      </c>
      <c r="Q979" s="85">
        <f>STATS1003B!Q980/1000</f>
        <v>0</v>
      </c>
      <c r="R979" s="85">
        <f>STATS1003B!R980/1000</f>
        <v>0</v>
      </c>
      <c r="S979" s="85">
        <f>STATS1003B!S980/1000</f>
        <v>0</v>
      </c>
      <c r="T979" s="85">
        <f>STATS1003B!T980/1000</f>
        <v>0</v>
      </c>
      <c r="U979" s="85">
        <f>STATS1003B!U980/1000</f>
        <v>0</v>
      </c>
      <c r="V979" s="85">
        <f>STATS1003B!V980/1000</f>
        <v>12907.53745</v>
      </c>
      <c r="W979" s="85">
        <f>STATS1003B!W980/1000</f>
        <v>0</v>
      </c>
      <c r="X979" s="85">
        <f>STATS1003B!X980/1000</f>
        <v>12907.53745</v>
      </c>
      <c r="Y979" s="85">
        <f>STATS1003B!Y980/1000</f>
        <v>0</v>
      </c>
      <c r="Z979" s="85">
        <f>STATS1003B!Z980/1000</f>
        <v>0</v>
      </c>
      <c r="AA979" s="69">
        <f>STATS1003B!AA980/1000</f>
        <v>12907.53745</v>
      </c>
      <c r="AB979" s="69">
        <f>STATS1003B!AB980/1000</f>
        <v>0</v>
      </c>
    </row>
    <row r="980" spans="1:28" hidden="1" x14ac:dyDescent="0.3">
      <c r="A980" s="117"/>
      <c r="C980" s="68" t="s">
        <v>1194</v>
      </c>
      <c r="D980" s="90" t="s">
        <v>1126</v>
      </c>
      <c r="E980" s="85">
        <f>STATS1003B!E981/1000</f>
        <v>883.90953000000002</v>
      </c>
      <c r="F980" s="85">
        <f>STATS1003B!F981/1000</f>
        <v>883.90953000000002</v>
      </c>
      <c r="G980" s="85">
        <f>STATS1003B!G981/1000</f>
        <v>0</v>
      </c>
      <c r="H980" s="85">
        <f>STATS1003B!H981/1000</f>
        <v>883.90953000000002</v>
      </c>
      <c r="I980" s="85">
        <f>STATS1003B!I981/1000</f>
        <v>0</v>
      </c>
      <c r="J980" s="85">
        <f>STATS1003B!J981/1000</f>
        <v>0</v>
      </c>
      <c r="K980" s="85">
        <f>STATS1003B!K981/1000</f>
        <v>0</v>
      </c>
      <c r="L980" s="85">
        <f>STATS1003B!L981/1000</f>
        <v>0</v>
      </c>
      <c r="M980" s="85">
        <f>STATS1003B!M981/1000</f>
        <v>883.90953000000002</v>
      </c>
      <c r="N980" s="85">
        <f>STATS1003B!N981/1000</f>
        <v>0</v>
      </c>
      <c r="O980" s="85">
        <f>STATS1003B!O981/1000</f>
        <v>0</v>
      </c>
      <c r="P980" s="85">
        <f>STATS1003B!P981/1000</f>
        <v>0</v>
      </c>
      <c r="Q980" s="85">
        <f>STATS1003B!Q981/1000</f>
        <v>0</v>
      </c>
      <c r="R980" s="85">
        <f>STATS1003B!R981/1000</f>
        <v>0</v>
      </c>
      <c r="S980" s="85">
        <f>STATS1003B!S981/1000</f>
        <v>0</v>
      </c>
      <c r="T980" s="85">
        <f>STATS1003B!T981/1000</f>
        <v>0</v>
      </c>
      <c r="U980" s="85">
        <f>STATS1003B!U981/1000</f>
        <v>0</v>
      </c>
      <c r="V980" s="85">
        <f>STATS1003B!V981/1000</f>
        <v>883.90953000000002</v>
      </c>
      <c r="W980" s="85">
        <f>STATS1003B!W981/1000</f>
        <v>0</v>
      </c>
      <c r="X980" s="85">
        <f>STATS1003B!X981/1000</f>
        <v>883.90953000000002</v>
      </c>
      <c r="Y980" s="85">
        <f>STATS1003B!Y981/1000</f>
        <v>0</v>
      </c>
      <c r="Z980" s="85">
        <f>STATS1003B!Z981/1000</f>
        <v>0</v>
      </c>
      <c r="AA980" s="69">
        <f>STATS1003B!AA981/1000</f>
        <v>883.90953000000002</v>
      </c>
      <c r="AB980" s="69">
        <f>STATS1003B!AB981/1000</f>
        <v>0</v>
      </c>
    </row>
    <row r="981" spans="1:28" hidden="1" x14ac:dyDescent="0.3">
      <c r="A981" s="117"/>
      <c r="C981" s="71" t="s">
        <v>109</v>
      </c>
      <c r="D981" s="88" t="s">
        <v>60</v>
      </c>
      <c r="E981" s="85">
        <f>STATS1003B!E982/1000</f>
        <v>15708.457560000001</v>
      </c>
      <c r="F981" s="85">
        <f>STATS1003B!F982/1000</f>
        <v>15708.457560000001</v>
      </c>
      <c r="G981" s="85">
        <f>STATS1003B!G982/1000</f>
        <v>0</v>
      </c>
      <c r="H981" s="85">
        <f>STATS1003B!H982/1000</f>
        <v>15708.457560000001</v>
      </c>
      <c r="I981" s="85">
        <f>STATS1003B!I982/1000</f>
        <v>0</v>
      </c>
      <c r="J981" s="85">
        <f>STATS1003B!J982/1000</f>
        <v>0</v>
      </c>
      <c r="K981" s="85">
        <f>STATS1003B!K982/1000</f>
        <v>0</v>
      </c>
      <c r="L981" s="85">
        <f>STATS1003B!L982/1000</f>
        <v>0</v>
      </c>
      <c r="M981" s="85">
        <f>STATS1003B!M982/1000</f>
        <v>15708.457560000001</v>
      </c>
      <c r="N981" s="85">
        <f>STATS1003B!N982/1000</f>
        <v>0</v>
      </c>
      <c r="O981" s="85">
        <f>STATS1003B!O982/1000</f>
        <v>0</v>
      </c>
      <c r="P981" s="85">
        <f>STATS1003B!P982/1000</f>
        <v>0</v>
      </c>
      <c r="Q981" s="85">
        <f>STATS1003B!Q982/1000</f>
        <v>0</v>
      </c>
      <c r="R981" s="85">
        <f>STATS1003B!R982/1000</f>
        <v>0</v>
      </c>
      <c r="S981" s="85">
        <f>STATS1003B!S982/1000</f>
        <v>0</v>
      </c>
      <c r="T981" s="85">
        <f>STATS1003B!T982/1000</f>
        <v>0</v>
      </c>
      <c r="U981" s="85">
        <f>STATS1003B!U982/1000</f>
        <v>0</v>
      </c>
      <c r="V981" s="85">
        <f>STATS1003B!V982/1000</f>
        <v>15708.457560000001</v>
      </c>
      <c r="W981" s="85">
        <f>STATS1003B!W982/1000</f>
        <v>0</v>
      </c>
      <c r="X981" s="85">
        <f>STATS1003B!X982/1000</f>
        <v>15708.457560000001</v>
      </c>
      <c r="Y981" s="85">
        <f>STATS1003B!Y982/1000</f>
        <v>0</v>
      </c>
      <c r="Z981" s="85">
        <f>STATS1003B!Z982/1000</f>
        <v>0</v>
      </c>
      <c r="AA981" s="69">
        <f>STATS1003B!AA982/1000</f>
        <v>15708.457560000001</v>
      </c>
      <c r="AB981" s="69">
        <f>STATS1003B!AB982/1000</f>
        <v>0</v>
      </c>
    </row>
    <row r="982" spans="1:28" hidden="1" x14ac:dyDescent="0.3">
      <c r="A982" s="117"/>
      <c r="C982" s="68" t="s">
        <v>57</v>
      </c>
      <c r="D982" s="89" t="s">
        <v>61</v>
      </c>
      <c r="E982" s="85">
        <f>STATS1003B!E983/1000</f>
        <v>715.71341000000007</v>
      </c>
      <c r="F982" s="85">
        <f>STATS1003B!F983/1000</f>
        <v>715.71341000000007</v>
      </c>
      <c r="G982" s="85">
        <f>STATS1003B!G983/1000</f>
        <v>0</v>
      </c>
      <c r="H982" s="85">
        <f>STATS1003B!H983/1000</f>
        <v>715.71341000000007</v>
      </c>
      <c r="I982" s="85">
        <f>STATS1003B!I983/1000</f>
        <v>0</v>
      </c>
      <c r="J982" s="85">
        <f>STATS1003B!J983/1000</f>
        <v>0</v>
      </c>
      <c r="K982" s="85">
        <f>STATS1003B!K983/1000</f>
        <v>0</v>
      </c>
      <c r="L982" s="85">
        <f>STATS1003B!L983/1000</f>
        <v>0</v>
      </c>
      <c r="M982" s="85">
        <f>STATS1003B!M983/1000</f>
        <v>715.71341000000007</v>
      </c>
      <c r="N982" s="85">
        <f>STATS1003B!N983/1000</f>
        <v>0</v>
      </c>
      <c r="O982" s="85">
        <f>STATS1003B!O983/1000</f>
        <v>0</v>
      </c>
      <c r="P982" s="85">
        <f>STATS1003B!P983/1000</f>
        <v>0</v>
      </c>
      <c r="Q982" s="85">
        <f>STATS1003B!Q983/1000</f>
        <v>0</v>
      </c>
      <c r="R982" s="85">
        <f>STATS1003B!R983/1000</f>
        <v>0</v>
      </c>
      <c r="S982" s="85">
        <f>STATS1003B!S983/1000</f>
        <v>0</v>
      </c>
      <c r="T982" s="85">
        <f>STATS1003B!T983/1000</f>
        <v>0</v>
      </c>
      <c r="U982" s="85">
        <f>STATS1003B!U983/1000</f>
        <v>0</v>
      </c>
      <c r="V982" s="85">
        <f>STATS1003B!V983/1000</f>
        <v>715.71341000000007</v>
      </c>
      <c r="W982" s="85">
        <f>STATS1003B!W983/1000</f>
        <v>0</v>
      </c>
      <c r="X982" s="85">
        <f>STATS1003B!X983/1000</f>
        <v>715.71341000000007</v>
      </c>
      <c r="Y982" s="85">
        <f>STATS1003B!Y983/1000</f>
        <v>0</v>
      </c>
      <c r="Z982" s="85">
        <f>STATS1003B!Z983/1000</f>
        <v>0</v>
      </c>
      <c r="AA982" s="69">
        <f>STATS1003B!AA983/1000</f>
        <v>715.71341000000007</v>
      </c>
      <c r="AB982" s="69">
        <f>STATS1003B!AB983/1000</f>
        <v>0</v>
      </c>
    </row>
    <row r="983" spans="1:28" hidden="1" x14ac:dyDescent="0.3">
      <c r="A983" s="117"/>
      <c r="E983" s="86" t="s">
        <v>29</v>
      </c>
      <c r="F983" s="86" t="s">
        <v>29</v>
      </c>
      <c r="G983" s="86" t="s">
        <v>29</v>
      </c>
      <c r="H983" s="86" t="s">
        <v>29</v>
      </c>
      <c r="I983" s="86" t="s">
        <v>29</v>
      </c>
      <c r="J983" s="86" t="s">
        <v>29</v>
      </c>
      <c r="K983" s="86" t="s">
        <v>29</v>
      </c>
      <c r="L983" s="86" t="s">
        <v>29</v>
      </c>
      <c r="M983" s="86" t="s">
        <v>29</v>
      </c>
      <c r="N983" s="86" t="s">
        <v>29</v>
      </c>
      <c r="O983" s="86" t="s">
        <v>29</v>
      </c>
      <c r="P983" s="86" t="s">
        <v>29</v>
      </c>
      <c r="Q983" s="86" t="s">
        <v>29</v>
      </c>
      <c r="R983" s="86" t="s">
        <v>29</v>
      </c>
      <c r="S983" s="86" t="s">
        <v>29</v>
      </c>
      <c r="T983" s="86" t="s">
        <v>29</v>
      </c>
      <c r="U983" s="86" t="s">
        <v>29</v>
      </c>
      <c r="V983" s="86" t="s">
        <v>29</v>
      </c>
      <c r="W983" s="86" t="s">
        <v>29</v>
      </c>
      <c r="X983" s="86" t="s">
        <v>29</v>
      </c>
      <c r="Y983" s="86" t="s">
        <v>29</v>
      </c>
      <c r="Z983" s="86" t="s">
        <v>29</v>
      </c>
      <c r="AA983" s="115" t="s">
        <v>29</v>
      </c>
      <c r="AB983" s="115" t="s">
        <v>29</v>
      </c>
    </row>
    <row r="984" spans="1:28" x14ac:dyDescent="0.3">
      <c r="A984" s="116">
        <v>45</v>
      </c>
      <c r="B984" s="68" t="s">
        <v>202</v>
      </c>
      <c r="E984" s="85">
        <f>537977176.79/1000</f>
        <v>537977.17678999994</v>
      </c>
      <c r="F984" s="85">
        <f t="shared" ref="F984:AB984" si="128">SUM(F968:F982)</f>
        <v>79550.978210000001</v>
      </c>
      <c r="G984" s="85">
        <f t="shared" si="128"/>
        <v>0</v>
      </c>
      <c r="H984" s="85">
        <f>529589221.91/1000</f>
        <v>529589.22191000008</v>
      </c>
      <c r="I984" s="85">
        <f t="shared" si="128"/>
        <v>0</v>
      </c>
      <c r="J984" s="85">
        <f t="shared" si="128"/>
        <v>0</v>
      </c>
      <c r="K984" s="85">
        <f t="shared" si="128"/>
        <v>0</v>
      </c>
      <c r="L984" s="85">
        <f t="shared" si="128"/>
        <v>0</v>
      </c>
      <c r="M984" s="85">
        <f t="shared" si="128"/>
        <v>79550.978210000001</v>
      </c>
      <c r="N984" s="85">
        <f t="shared" si="128"/>
        <v>7876.9268799999991</v>
      </c>
      <c r="O984" s="85">
        <f t="shared" si="128"/>
        <v>0</v>
      </c>
      <c r="P984" s="85">
        <f>7876926/1000</f>
        <v>7876.9260000000004</v>
      </c>
      <c r="Q984" s="85">
        <f t="shared" si="128"/>
        <v>0</v>
      </c>
      <c r="R984" s="85">
        <f t="shared" si="128"/>
        <v>0</v>
      </c>
      <c r="S984" s="85">
        <f t="shared" si="128"/>
        <v>0</v>
      </c>
      <c r="T984" s="85">
        <f t="shared" si="128"/>
        <v>0</v>
      </c>
      <c r="U984" s="85">
        <f t="shared" si="128"/>
        <v>7876.9268799999991</v>
      </c>
      <c r="V984" s="85">
        <f t="shared" si="128"/>
        <v>87427.905089999986</v>
      </c>
      <c r="W984" s="85">
        <f t="shared" si="128"/>
        <v>511.02800000000002</v>
      </c>
      <c r="X984" s="85">
        <f>+H984+P984</f>
        <v>537466.14791000006</v>
      </c>
      <c r="Y984" s="85">
        <f t="shared" si="128"/>
        <v>0</v>
      </c>
      <c r="Z984" s="85">
        <f>+E984-X984</f>
        <v>511.02887999988161</v>
      </c>
      <c r="AA984" s="69">
        <f t="shared" si="128"/>
        <v>87427.905089999986</v>
      </c>
      <c r="AB984" s="69">
        <f t="shared" si="128"/>
        <v>511.02800000000002</v>
      </c>
    </row>
    <row r="985" spans="1:28" hidden="1" x14ac:dyDescent="0.3">
      <c r="A985" s="117"/>
      <c r="E985" s="86" t="s">
        <v>29</v>
      </c>
      <c r="F985" s="86" t="s">
        <v>29</v>
      </c>
      <c r="G985" s="86" t="s">
        <v>29</v>
      </c>
      <c r="H985" s="86" t="s">
        <v>29</v>
      </c>
      <c r="I985" s="86" t="s">
        <v>29</v>
      </c>
      <c r="J985" s="86" t="s">
        <v>29</v>
      </c>
      <c r="K985" s="86" t="s">
        <v>29</v>
      </c>
      <c r="L985" s="86" t="s">
        <v>29</v>
      </c>
      <c r="M985" s="86" t="s">
        <v>29</v>
      </c>
      <c r="N985" s="86" t="s">
        <v>29</v>
      </c>
      <c r="O985" s="86" t="s">
        <v>29</v>
      </c>
      <c r="P985" s="86" t="s">
        <v>29</v>
      </c>
      <c r="Q985" s="86" t="s">
        <v>29</v>
      </c>
      <c r="R985" s="86" t="s">
        <v>29</v>
      </c>
      <c r="S985" s="86" t="s">
        <v>29</v>
      </c>
      <c r="T985" s="86" t="s">
        <v>29</v>
      </c>
      <c r="U985" s="86" t="s">
        <v>29</v>
      </c>
      <c r="V985" s="86" t="s">
        <v>29</v>
      </c>
      <c r="W985" s="86" t="s">
        <v>29</v>
      </c>
      <c r="X985" s="85" t="e">
        <f t="shared" ref="X985:X1047" si="129">+H985+P985</f>
        <v>#VALUE!</v>
      </c>
      <c r="Y985" s="86" t="s">
        <v>29</v>
      </c>
      <c r="Z985" s="86" t="s">
        <v>29</v>
      </c>
      <c r="AA985" s="115" t="s">
        <v>29</v>
      </c>
      <c r="AB985" s="115" t="s">
        <v>29</v>
      </c>
    </row>
    <row r="986" spans="1:28" hidden="1" x14ac:dyDescent="0.3">
      <c r="A986" s="117"/>
      <c r="E986" s="85">
        <f>E984-77914450.96</f>
        <v>-77376473.783209994</v>
      </c>
      <c r="F986" s="85">
        <f>F984-71185418.47</f>
        <v>-71105867.491789997</v>
      </c>
      <c r="G986" s="85">
        <f>G984-0</f>
        <v>0</v>
      </c>
      <c r="H986" s="85">
        <f>H984-71185418.47</f>
        <v>-70655829.248089999</v>
      </c>
      <c r="I986" s="85">
        <f>I984-77914450.96</f>
        <v>-77914450.959999993</v>
      </c>
      <c r="J986" s="85">
        <f>J984-77914450.96</f>
        <v>-77914450.959999993</v>
      </c>
      <c r="K986" s="85">
        <f>K984-77914450.96</f>
        <v>-77914450.959999993</v>
      </c>
      <c r="L986" s="85">
        <f>L984-0</f>
        <v>0</v>
      </c>
      <c r="M986" s="85">
        <f>M984-71185418.47</f>
        <v>-71105867.491789997</v>
      </c>
      <c r="N986" s="85">
        <f>N984-5850452.49</f>
        <v>-5842575.5631200001</v>
      </c>
      <c r="O986" s="85">
        <f>O984-0</f>
        <v>0</v>
      </c>
      <c r="P986" s="85">
        <f>P984-5850452.49</f>
        <v>-5842575.5640000002</v>
      </c>
      <c r="Q986" s="85">
        <f>Q984-77914450.96</f>
        <v>-77914450.959999993</v>
      </c>
      <c r="R986" s="85">
        <f>R984-77914450.96</f>
        <v>-77914450.959999993</v>
      </c>
      <c r="S986" s="85">
        <f>S984-77914450.96</f>
        <v>-77914450.959999993</v>
      </c>
      <c r="T986" s="85">
        <f>T984-0</f>
        <v>0</v>
      </c>
      <c r="U986" s="85">
        <f>U984-5850452.49</f>
        <v>-5842575.5631200001</v>
      </c>
      <c r="V986" s="85">
        <f>V984-77914450.96</f>
        <v>-77827023.054909989</v>
      </c>
      <c r="W986" s="85">
        <f>W984-77914450.96</f>
        <v>-77913939.931999996</v>
      </c>
      <c r="X986" s="85">
        <f t="shared" si="129"/>
        <v>-76498404.812089995</v>
      </c>
      <c r="Y986" s="85">
        <f>Y984-77914450.96</f>
        <v>-77914450.959999993</v>
      </c>
      <c r="Z986" s="85">
        <f>Z984-878580</f>
        <v>-878068.97112000012</v>
      </c>
    </row>
    <row r="987" spans="1:28" hidden="1" x14ac:dyDescent="0.3">
      <c r="A987" s="117"/>
      <c r="C987" s="68" t="s">
        <v>216</v>
      </c>
      <c r="D987" s="87" t="s">
        <v>128</v>
      </c>
      <c r="E987" s="85">
        <f>STATS1003B!E988/1000</f>
        <v>900</v>
      </c>
      <c r="F987" s="85">
        <f>STATS1003B!F988/1000</f>
        <v>900</v>
      </c>
      <c r="G987" s="85">
        <f>STATS1003B!G988/1000</f>
        <v>0</v>
      </c>
      <c r="H987" s="85">
        <f>STATS1003B!H988/1000</f>
        <v>900</v>
      </c>
      <c r="I987" s="85">
        <f>STATS1003B!I988/1000</f>
        <v>0</v>
      </c>
      <c r="J987" s="85">
        <f>STATS1003B!J988/1000</f>
        <v>0</v>
      </c>
      <c r="K987" s="85">
        <f>STATS1003B!K988/1000</f>
        <v>0</v>
      </c>
      <c r="L987" s="85">
        <f>STATS1003B!L988/1000</f>
        <v>0</v>
      </c>
      <c r="M987" s="85">
        <f>STATS1003B!M988/1000</f>
        <v>900</v>
      </c>
      <c r="N987" s="85">
        <f>STATS1003B!N988/1000</f>
        <v>0</v>
      </c>
      <c r="O987" s="85">
        <f>STATS1003B!O988/1000</f>
        <v>0</v>
      </c>
      <c r="P987" s="85">
        <f>STATS1003B!P988/1000</f>
        <v>0</v>
      </c>
      <c r="Q987" s="85">
        <f>STATS1003B!Q988/1000</f>
        <v>0</v>
      </c>
      <c r="R987" s="85">
        <f>STATS1003B!R988/1000</f>
        <v>0</v>
      </c>
      <c r="S987" s="85">
        <f>STATS1003B!S988/1000</f>
        <v>0</v>
      </c>
      <c r="T987" s="85">
        <f>STATS1003B!T988/1000</f>
        <v>0</v>
      </c>
      <c r="U987" s="85">
        <f>STATS1003B!U988/1000</f>
        <v>0</v>
      </c>
      <c r="V987" s="85">
        <f>STATS1003B!V988/1000</f>
        <v>900</v>
      </c>
      <c r="W987" s="85">
        <f>STATS1003B!W988/1000</f>
        <v>0</v>
      </c>
      <c r="X987" s="85">
        <f t="shared" si="129"/>
        <v>900</v>
      </c>
      <c r="Y987" s="85">
        <f>STATS1003B!Y988/1000</f>
        <v>0</v>
      </c>
      <c r="Z987" s="85">
        <f>STATS1003B!Z988/1000</f>
        <v>0</v>
      </c>
      <c r="AA987" s="69">
        <f>STATS1003B!AA988/1000</f>
        <v>900</v>
      </c>
      <c r="AB987" s="69">
        <f>STATS1003B!AB988/1000</f>
        <v>0</v>
      </c>
    </row>
    <row r="988" spans="1:28" hidden="1" x14ac:dyDescent="0.3">
      <c r="A988" s="117"/>
      <c r="E988" s="86" t="s">
        <v>29</v>
      </c>
      <c r="F988" s="86" t="s">
        <v>29</v>
      </c>
      <c r="G988" s="86" t="s">
        <v>29</v>
      </c>
      <c r="H988" s="86" t="s">
        <v>29</v>
      </c>
      <c r="I988" s="86" t="s">
        <v>29</v>
      </c>
      <c r="J988" s="86" t="s">
        <v>29</v>
      </c>
      <c r="K988" s="86" t="s">
        <v>29</v>
      </c>
      <c r="L988" s="86" t="s">
        <v>29</v>
      </c>
      <c r="M988" s="86" t="s">
        <v>29</v>
      </c>
      <c r="N988" s="86" t="s">
        <v>29</v>
      </c>
      <c r="O988" s="86" t="s">
        <v>29</v>
      </c>
      <c r="P988" s="86" t="s">
        <v>29</v>
      </c>
      <c r="Q988" s="86" t="s">
        <v>29</v>
      </c>
      <c r="R988" s="86" t="s">
        <v>29</v>
      </c>
      <c r="S988" s="86" t="s">
        <v>29</v>
      </c>
      <c r="T988" s="86" t="s">
        <v>29</v>
      </c>
      <c r="U988" s="86" t="s">
        <v>29</v>
      </c>
      <c r="V988" s="86" t="s">
        <v>29</v>
      </c>
      <c r="W988" s="86" t="s">
        <v>29</v>
      </c>
      <c r="X988" s="85" t="e">
        <f t="shared" si="129"/>
        <v>#VALUE!</v>
      </c>
      <c r="Y988" s="86" t="s">
        <v>29</v>
      </c>
      <c r="Z988" s="86" t="s">
        <v>29</v>
      </c>
      <c r="AA988" s="115" t="s">
        <v>29</v>
      </c>
      <c r="AB988" s="115" t="s">
        <v>29</v>
      </c>
    </row>
    <row r="989" spans="1:28" x14ac:dyDescent="0.3">
      <c r="A989" s="117"/>
      <c r="B989" s="68" t="s">
        <v>215</v>
      </c>
      <c r="E989" s="85">
        <f>900000/1000</f>
        <v>900</v>
      </c>
      <c r="F989" s="85">
        <f t="shared" ref="F989:AB989" si="130">F987</f>
        <v>900</v>
      </c>
      <c r="G989" s="85">
        <f t="shared" si="130"/>
        <v>0</v>
      </c>
      <c r="H989" s="85">
        <f>900000/1000</f>
        <v>900</v>
      </c>
      <c r="I989" s="85">
        <f t="shared" si="130"/>
        <v>0</v>
      </c>
      <c r="J989" s="85">
        <f t="shared" si="130"/>
        <v>0</v>
      </c>
      <c r="K989" s="85">
        <f t="shared" si="130"/>
        <v>0</v>
      </c>
      <c r="L989" s="85">
        <f t="shared" si="130"/>
        <v>0</v>
      </c>
      <c r="M989" s="85">
        <f t="shared" si="130"/>
        <v>900</v>
      </c>
      <c r="N989" s="85">
        <f t="shared" si="130"/>
        <v>0</v>
      </c>
      <c r="O989" s="85">
        <f t="shared" si="130"/>
        <v>0</v>
      </c>
      <c r="P989" s="85">
        <v>0</v>
      </c>
      <c r="Q989" s="85">
        <f t="shared" si="130"/>
        <v>0</v>
      </c>
      <c r="R989" s="85">
        <f t="shared" si="130"/>
        <v>0</v>
      </c>
      <c r="S989" s="85">
        <f t="shared" si="130"/>
        <v>0</v>
      </c>
      <c r="T989" s="85">
        <f t="shared" si="130"/>
        <v>0</v>
      </c>
      <c r="U989" s="85">
        <f t="shared" si="130"/>
        <v>0</v>
      </c>
      <c r="V989" s="85">
        <f t="shared" si="130"/>
        <v>900</v>
      </c>
      <c r="W989" s="85">
        <f t="shared" si="130"/>
        <v>0</v>
      </c>
      <c r="X989" s="85">
        <f t="shared" si="129"/>
        <v>900</v>
      </c>
      <c r="Y989" s="85">
        <f t="shared" si="130"/>
        <v>0</v>
      </c>
      <c r="Z989" s="85">
        <f t="shared" ref="Z989:Z1052" si="131">+E989-X989</f>
        <v>0</v>
      </c>
      <c r="AA989" s="69">
        <f t="shared" si="130"/>
        <v>900</v>
      </c>
      <c r="AB989" s="69">
        <f t="shared" si="130"/>
        <v>0</v>
      </c>
    </row>
    <row r="990" spans="1:28" hidden="1" x14ac:dyDescent="0.3">
      <c r="A990" s="117"/>
      <c r="E990" s="86" t="s">
        <v>29</v>
      </c>
      <c r="F990" s="86" t="s">
        <v>29</v>
      </c>
      <c r="G990" s="86" t="s">
        <v>29</v>
      </c>
      <c r="H990" s="86" t="s">
        <v>29</v>
      </c>
      <c r="I990" s="86" t="s">
        <v>29</v>
      </c>
      <c r="J990" s="86" t="s">
        <v>29</v>
      </c>
      <c r="K990" s="86" t="s">
        <v>29</v>
      </c>
      <c r="L990" s="86" t="s">
        <v>29</v>
      </c>
      <c r="M990" s="86" t="s">
        <v>29</v>
      </c>
      <c r="N990" s="86" t="s">
        <v>29</v>
      </c>
      <c r="O990" s="86" t="s">
        <v>29</v>
      </c>
      <c r="P990" s="86" t="s">
        <v>29</v>
      </c>
      <c r="Q990" s="86" t="s">
        <v>29</v>
      </c>
      <c r="R990" s="86" t="s">
        <v>29</v>
      </c>
      <c r="S990" s="86" t="s">
        <v>29</v>
      </c>
      <c r="T990" s="86" t="s">
        <v>29</v>
      </c>
      <c r="U990" s="86" t="s">
        <v>29</v>
      </c>
      <c r="V990" s="86" t="s">
        <v>29</v>
      </c>
      <c r="W990" s="86" t="s">
        <v>29</v>
      </c>
      <c r="X990" s="85" t="e">
        <f t="shared" si="129"/>
        <v>#VALUE!</v>
      </c>
      <c r="Y990" s="86" t="s">
        <v>29</v>
      </c>
      <c r="Z990" s="85" t="e">
        <f t="shared" si="131"/>
        <v>#VALUE!</v>
      </c>
      <c r="AA990" s="115" t="s">
        <v>29</v>
      </c>
      <c r="AB990" s="115" t="s">
        <v>29</v>
      </c>
    </row>
    <row r="991" spans="1:28" hidden="1" x14ac:dyDescent="0.3">
      <c r="A991" s="105"/>
      <c r="E991" s="84"/>
      <c r="F991" s="84"/>
      <c r="G991" s="84"/>
      <c r="H991" s="84"/>
      <c r="I991" s="84"/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  <c r="U991" s="84"/>
      <c r="V991" s="84"/>
      <c r="W991" s="84"/>
      <c r="X991" s="85">
        <f t="shared" si="129"/>
        <v>0</v>
      </c>
      <c r="Y991" s="84"/>
      <c r="Z991" s="85">
        <f t="shared" si="131"/>
        <v>0</v>
      </c>
    </row>
    <row r="992" spans="1:28" hidden="1" x14ac:dyDescent="0.3">
      <c r="A992" s="117"/>
      <c r="D992" s="87" t="s">
        <v>218</v>
      </c>
      <c r="E992" s="84"/>
      <c r="F992" s="84"/>
      <c r="G992" s="84"/>
      <c r="H992" s="84"/>
      <c r="I992" s="84"/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  <c r="U992" s="84"/>
      <c r="V992" s="84"/>
      <c r="W992" s="84"/>
      <c r="X992" s="85">
        <f t="shared" si="129"/>
        <v>0</v>
      </c>
      <c r="Y992" s="84"/>
      <c r="Z992" s="85">
        <f t="shared" si="131"/>
        <v>0</v>
      </c>
    </row>
    <row r="993" spans="1:28" hidden="1" x14ac:dyDescent="0.3">
      <c r="A993" s="117"/>
      <c r="C993" s="68" t="s">
        <v>219</v>
      </c>
      <c r="D993" s="71" t="s">
        <v>220</v>
      </c>
      <c r="E993" s="85">
        <f>STATS1003B!E994/1000</f>
        <v>16916.30055</v>
      </c>
      <c r="F993" s="85">
        <f>STATS1003B!F994/1000</f>
        <v>12883.74683</v>
      </c>
      <c r="G993" s="85">
        <f>STATS1003B!G994/1000</f>
        <v>0</v>
      </c>
      <c r="H993" s="85">
        <f>STATS1003B!H994/1000</f>
        <v>12883.74683</v>
      </c>
      <c r="I993" s="85">
        <f>STATS1003B!I994/1000</f>
        <v>0</v>
      </c>
      <c r="J993" s="85">
        <f>STATS1003B!J994/1000</f>
        <v>0</v>
      </c>
      <c r="K993" s="85">
        <f>STATS1003B!K994/1000</f>
        <v>0</v>
      </c>
      <c r="L993" s="85">
        <f>STATS1003B!L994/1000</f>
        <v>0</v>
      </c>
      <c r="M993" s="85">
        <f>STATS1003B!M994/1000</f>
        <v>12883.74683</v>
      </c>
      <c r="N993" s="85">
        <f>STATS1003B!N994/1000</f>
        <v>4032.5537199999999</v>
      </c>
      <c r="O993" s="85">
        <f>STATS1003B!O994/1000</f>
        <v>0</v>
      </c>
      <c r="P993" s="85">
        <f>STATS1003B!P994/1000</f>
        <v>4032.5537199999999</v>
      </c>
      <c r="Q993" s="85">
        <f>STATS1003B!Q994/1000</f>
        <v>0</v>
      </c>
      <c r="R993" s="85">
        <f>STATS1003B!R994/1000</f>
        <v>0</v>
      </c>
      <c r="S993" s="85">
        <f>STATS1003B!S994/1000</f>
        <v>0</v>
      </c>
      <c r="T993" s="85">
        <f>STATS1003B!T994/1000</f>
        <v>0</v>
      </c>
      <c r="U993" s="85">
        <f>STATS1003B!U994/1000</f>
        <v>4032.5537199999999</v>
      </c>
      <c r="V993" s="85">
        <f>STATS1003B!V994/1000</f>
        <v>16916.30055</v>
      </c>
      <c r="W993" s="85">
        <f>STATS1003B!W994/1000</f>
        <v>0</v>
      </c>
      <c r="X993" s="85">
        <f t="shared" si="129"/>
        <v>16916.30055</v>
      </c>
      <c r="Y993" s="85">
        <f>STATS1003B!Y994/1000</f>
        <v>0</v>
      </c>
      <c r="Z993" s="85">
        <f t="shared" si="131"/>
        <v>0</v>
      </c>
      <c r="AA993" s="69">
        <f>STATS1003B!AA994/1000</f>
        <v>16916.30055</v>
      </c>
      <c r="AB993" s="69">
        <f>STATS1003B!AB994/1000</f>
        <v>0</v>
      </c>
    </row>
    <row r="994" spans="1:28" hidden="1" x14ac:dyDescent="0.3">
      <c r="A994" s="117"/>
      <c r="C994" s="68" t="s">
        <v>172</v>
      </c>
      <c r="D994" s="87" t="s">
        <v>166</v>
      </c>
      <c r="E994" s="85">
        <f>STATS1003B!E995/1000</f>
        <v>1597.144</v>
      </c>
      <c r="F994" s="85">
        <f>STATS1003B!F995/1000</f>
        <v>1597.144</v>
      </c>
      <c r="G994" s="85">
        <f>STATS1003B!G995/1000</f>
        <v>0</v>
      </c>
      <c r="H994" s="85">
        <f>STATS1003B!H995/1000</f>
        <v>1597.144</v>
      </c>
      <c r="I994" s="85">
        <f>STATS1003B!I995/1000</f>
        <v>0</v>
      </c>
      <c r="J994" s="85">
        <f>STATS1003B!J995/1000</f>
        <v>0</v>
      </c>
      <c r="K994" s="85">
        <f>STATS1003B!K995/1000</f>
        <v>0</v>
      </c>
      <c r="L994" s="85">
        <f>STATS1003B!L995/1000</f>
        <v>0</v>
      </c>
      <c r="M994" s="85">
        <f>STATS1003B!M995/1000</f>
        <v>1597.144</v>
      </c>
      <c r="N994" s="85">
        <f>STATS1003B!N995/1000</f>
        <v>0</v>
      </c>
      <c r="O994" s="85">
        <f>STATS1003B!O995/1000</f>
        <v>0</v>
      </c>
      <c r="P994" s="85">
        <f>STATS1003B!P995/1000</f>
        <v>0</v>
      </c>
      <c r="Q994" s="85">
        <f>STATS1003B!Q995/1000</f>
        <v>0</v>
      </c>
      <c r="R994" s="85">
        <f>STATS1003B!R995/1000</f>
        <v>0</v>
      </c>
      <c r="S994" s="85">
        <f>STATS1003B!S995/1000</f>
        <v>0</v>
      </c>
      <c r="T994" s="85">
        <f>STATS1003B!T995/1000</f>
        <v>0</v>
      </c>
      <c r="U994" s="85">
        <f>STATS1003B!U995/1000</f>
        <v>0</v>
      </c>
      <c r="V994" s="85">
        <f>STATS1003B!V995/1000</f>
        <v>1597.144</v>
      </c>
      <c r="W994" s="85">
        <f>STATS1003B!W995/1000</f>
        <v>0</v>
      </c>
      <c r="X994" s="85">
        <f t="shared" si="129"/>
        <v>1597.144</v>
      </c>
      <c r="Y994" s="85">
        <f>STATS1003B!Y995/1000</f>
        <v>0</v>
      </c>
      <c r="Z994" s="85">
        <f t="shared" si="131"/>
        <v>0</v>
      </c>
      <c r="AA994" s="69">
        <f>STATS1003B!AA995/1000</f>
        <v>1597.144</v>
      </c>
      <c r="AB994" s="69">
        <f>STATS1003B!AB995/1000</f>
        <v>0</v>
      </c>
    </row>
    <row r="995" spans="1:28" hidden="1" x14ac:dyDescent="0.3">
      <c r="A995" s="117"/>
      <c r="C995" s="68" t="s">
        <v>221</v>
      </c>
      <c r="D995" s="90" t="s">
        <v>68</v>
      </c>
      <c r="E995" s="85">
        <f>STATS1003B!E996/1000</f>
        <v>1224.4970000000001</v>
      </c>
      <c r="F995" s="85">
        <f>STATS1003B!F996/1000</f>
        <v>1224.4970000000001</v>
      </c>
      <c r="G995" s="85">
        <f>STATS1003B!G996/1000</f>
        <v>0</v>
      </c>
      <c r="H995" s="85">
        <f>STATS1003B!H996/1000</f>
        <v>1224.4970000000001</v>
      </c>
      <c r="I995" s="85">
        <f>STATS1003B!I996/1000</f>
        <v>0</v>
      </c>
      <c r="J995" s="85">
        <f>STATS1003B!J996/1000</f>
        <v>0</v>
      </c>
      <c r="K995" s="85">
        <f>STATS1003B!K996/1000</f>
        <v>0</v>
      </c>
      <c r="L995" s="85">
        <f>STATS1003B!L996/1000</f>
        <v>0</v>
      </c>
      <c r="M995" s="85">
        <f>STATS1003B!M996/1000</f>
        <v>1224.4970000000001</v>
      </c>
      <c r="N995" s="85">
        <f>STATS1003B!N996/1000</f>
        <v>0</v>
      </c>
      <c r="O995" s="85">
        <f>STATS1003B!O996/1000</f>
        <v>0</v>
      </c>
      <c r="P995" s="85">
        <f>STATS1003B!P996/1000</f>
        <v>0</v>
      </c>
      <c r="Q995" s="85">
        <f>STATS1003B!Q996/1000</f>
        <v>0</v>
      </c>
      <c r="R995" s="85">
        <f>STATS1003B!R996/1000</f>
        <v>0</v>
      </c>
      <c r="S995" s="85">
        <f>STATS1003B!S996/1000</f>
        <v>0</v>
      </c>
      <c r="T995" s="85">
        <f>STATS1003B!T996/1000</f>
        <v>0</v>
      </c>
      <c r="U995" s="85">
        <f>STATS1003B!U996/1000</f>
        <v>0</v>
      </c>
      <c r="V995" s="85">
        <f>STATS1003B!V996/1000</f>
        <v>1224.4970000000001</v>
      </c>
      <c r="W995" s="85">
        <f>STATS1003B!W996/1000</f>
        <v>0</v>
      </c>
      <c r="X995" s="85">
        <f t="shared" si="129"/>
        <v>1224.4970000000001</v>
      </c>
      <c r="Y995" s="85">
        <f>STATS1003B!Y996/1000</f>
        <v>0</v>
      </c>
      <c r="Z995" s="85">
        <f t="shared" si="131"/>
        <v>0</v>
      </c>
      <c r="AA995" s="69">
        <f>STATS1003B!AA996/1000</f>
        <v>1224.4970000000001</v>
      </c>
      <c r="AB995" s="69">
        <f>STATS1003B!AB996/1000</f>
        <v>0</v>
      </c>
    </row>
    <row r="996" spans="1:28" hidden="1" x14ac:dyDescent="0.3">
      <c r="A996" s="117"/>
      <c r="C996" s="68" t="s">
        <v>222</v>
      </c>
      <c r="E996" s="85">
        <f>STATS1003B!E997/1000</f>
        <v>0</v>
      </c>
      <c r="F996" s="85">
        <f>STATS1003B!F997/1000</f>
        <v>0</v>
      </c>
      <c r="G996" s="85">
        <f>STATS1003B!G997/1000</f>
        <v>0</v>
      </c>
      <c r="H996" s="85">
        <f>STATS1003B!H997/1000</f>
        <v>0</v>
      </c>
      <c r="I996" s="85">
        <f>STATS1003B!I997/1000</f>
        <v>0</v>
      </c>
      <c r="J996" s="85">
        <f>STATS1003B!J997/1000</f>
        <v>0</v>
      </c>
      <c r="K996" s="85">
        <f>STATS1003B!K997/1000</f>
        <v>0</v>
      </c>
      <c r="L996" s="85">
        <f>STATS1003B!L997/1000</f>
        <v>0</v>
      </c>
      <c r="M996" s="85">
        <f>STATS1003B!M997/1000</f>
        <v>0</v>
      </c>
      <c r="N996" s="85">
        <f>STATS1003B!N997/1000</f>
        <v>0</v>
      </c>
      <c r="O996" s="85">
        <f>STATS1003B!O997/1000</f>
        <v>0</v>
      </c>
      <c r="P996" s="85">
        <f>STATS1003B!P997/1000</f>
        <v>0</v>
      </c>
      <c r="Q996" s="85">
        <f>STATS1003B!Q997/1000</f>
        <v>0</v>
      </c>
      <c r="R996" s="85">
        <f>STATS1003B!R997/1000</f>
        <v>0</v>
      </c>
      <c r="S996" s="85">
        <f>STATS1003B!S997/1000</f>
        <v>0</v>
      </c>
      <c r="T996" s="85">
        <f>STATS1003B!T997/1000</f>
        <v>0</v>
      </c>
      <c r="U996" s="85">
        <f>STATS1003B!U997/1000</f>
        <v>0</v>
      </c>
      <c r="V996" s="85">
        <f>STATS1003B!V997/1000</f>
        <v>0</v>
      </c>
      <c r="W996" s="85">
        <f>STATS1003B!W997/1000</f>
        <v>0</v>
      </c>
      <c r="X996" s="85">
        <f t="shared" si="129"/>
        <v>0</v>
      </c>
      <c r="Y996" s="85">
        <f>STATS1003B!Y997/1000</f>
        <v>0</v>
      </c>
      <c r="Z996" s="85">
        <f t="shared" si="131"/>
        <v>0</v>
      </c>
      <c r="AA996" s="69">
        <f>STATS1003B!AA997/1000</f>
        <v>0</v>
      </c>
      <c r="AB996" s="69">
        <f>STATS1003B!AB997/1000</f>
        <v>0</v>
      </c>
    </row>
    <row r="997" spans="1:28" hidden="1" x14ac:dyDescent="0.3">
      <c r="A997" s="117"/>
      <c r="C997" s="68" t="s">
        <v>53</v>
      </c>
      <c r="D997" s="87" t="s">
        <v>54</v>
      </c>
      <c r="E997" s="85">
        <f>STATS1003B!E998/1000</f>
        <v>1767.77</v>
      </c>
      <c r="F997" s="85">
        <f>STATS1003B!F998/1000</f>
        <v>0</v>
      </c>
      <c r="G997" s="85">
        <f>STATS1003B!G998/1000</f>
        <v>0</v>
      </c>
      <c r="H997" s="85">
        <f>STATS1003B!H998/1000</f>
        <v>0</v>
      </c>
      <c r="I997" s="85">
        <f>STATS1003B!I998/1000</f>
        <v>0</v>
      </c>
      <c r="J997" s="85">
        <f>STATS1003B!J998/1000</f>
        <v>0</v>
      </c>
      <c r="K997" s="85">
        <f>STATS1003B!K998/1000</f>
        <v>0</v>
      </c>
      <c r="L997" s="85">
        <f>STATS1003B!L998/1000</f>
        <v>0</v>
      </c>
      <c r="M997" s="85">
        <f>STATS1003B!M998/1000</f>
        <v>0</v>
      </c>
      <c r="N997" s="85">
        <f>STATS1003B!N998/1000</f>
        <v>1767.77</v>
      </c>
      <c r="O997" s="85">
        <f>STATS1003B!O998/1000</f>
        <v>0</v>
      </c>
      <c r="P997" s="85">
        <f>STATS1003B!P998/1000</f>
        <v>1767.77</v>
      </c>
      <c r="Q997" s="85">
        <f>STATS1003B!Q998/1000</f>
        <v>0</v>
      </c>
      <c r="R997" s="85">
        <f>STATS1003B!R998/1000</f>
        <v>0</v>
      </c>
      <c r="S997" s="85">
        <f>STATS1003B!S998/1000</f>
        <v>0</v>
      </c>
      <c r="T997" s="85">
        <f>STATS1003B!T998/1000</f>
        <v>0</v>
      </c>
      <c r="U997" s="85">
        <f>STATS1003B!U998/1000</f>
        <v>1767.77</v>
      </c>
      <c r="V997" s="85">
        <f>STATS1003B!V998/1000</f>
        <v>1767.77</v>
      </c>
      <c r="W997" s="85">
        <f>STATS1003B!W998/1000</f>
        <v>0</v>
      </c>
      <c r="X997" s="85">
        <f t="shared" si="129"/>
        <v>1767.77</v>
      </c>
      <c r="Y997" s="85">
        <f>STATS1003B!Y998/1000</f>
        <v>0</v>
      </c>
      <c r="Z997" s="85">
        <f t="shared" si="131"/>
        <v>0</v>
      </c>
      <c r="AA997" s="69">
        <f>STATS1003B!AA998/1000</f>
        <v>1767.77</v>
      </c>
      <c r="AB997" s="69">
        <f>STATS1003B!AB998/1000</f>
        <v>0</v>
      </c>
    </row>
    <row r="998" spans="1:28" hidden="1" x14ac:dyDescent="0.3">
      <c r="A998" s="117"/>
      <c r="C998" s="68" t="s">
        <v>223</v>
      </c>
      <c r="D998" s="87" t="s">
        <v>54</v>
      </c>
      <c r="E998" s="85">
        <f>STATS1003B!E999/1000</f>
        <v>543.875</v>
      </c>
      <c r="F998" s="85">
        <f>STATS1003B!F999/1000</f>
        <v>543.875</v>
      </c>
      <c r="G998" s="85">
        <f>STATS1003B!G999/1000</f>
        <v>0</v>
      </c>
      <c r="H998" s="85">
        <f>STATS1003B!H999/1000</f>
        <v>543.875</v>
      </c>
      <c r="I998" s="85">
        <f>STATS1003B!I999/1000</f>
        <v>0</v>
      </c>
      <c r="J998" s="85">
        <f>STATS1003B!J999/1000</f>
        <v>0</v>
      </c>
      <c r="K998" s="85">
        <f>STATS1003B!K999/1000</f>
        <v>0</v>
      </c>
      <c r="L998" s="85">
        <f>STATS1003B!L999/1000</f>
        <v>0</v>
      </c>
      <c r="M998" s="85">
        <f>STATS1003B!M999/1000</f>
        <v>543.875</v>
      </c>
      <c r="N998" s="85">
        <f>STATS1003B!N999/1000</f>
        <v>0</v>
      </c>
      <c r="O998" s="85">
        <f>STATS1003B!O999/1000</f>
        <v>0</v>
      </c>
      <c r="P998" s="85">
        <f>STATS1003B!P999/1000</f>
        <v>0</v>
      </c>
      <c r="Q998" s="85">
        <f>STATS1003B!Q999/1000</f>
        <v>0</v>
      </c>
      <c r="R998" s="85">
        <f>STATS1003B!R999/1000</f>
        <v>0</v>
      </c>
      <c r="S998" s="85">
        <f>STATS1003B!S999/1000</f>
        <v>0</v>
      </c>
      <c r="T998" s="85">
        <f>STATS1003B!T999/1000</f>
        <v>0</v>
      </c>
      <c r="U998" s="85">
        <f>STATS1003B!U999/1000</f>
        <v>0</v>
      </c>
      <c r="V998" s="85">
        <f>STATS1003B!V999/1000</f>
        <v>543.875</v>
      </c>
      <c r="W998" s="85">
        <f>STATS1003B!W999/1000</f>
        <v>0</v>
      </c>
      <c r="X998" s="85">
        <f t="shared" si="129"/>
        <v>543.875</v>
      </c>
      <c r="Y998" s="85">
        <f>STATS1003B!Y999/1000</f>
        <v>0</v>
      </c>
      <c r="Z998" s="85">
        <f t="shared" si="131"/>
        <v>0</v>
      </c>
      <c r="AA998" s="69">
        <f>STATS1003B!AA999/1000</f>
        <v>543.875</v>
      </c>
      <c r="AB998" s="69">
        <f>STATS1003B!AB999/1000</f>
        <v>0</v>
      </c>
    </row>
    <row r="999" spans="1:28" hidden="1" x14ac:dyDescent="0.3">
      <c r="A999" s="117"/>
      <c r="C999" s="68" t="s">
        <v>55</v>
      </c>
      <c r="D999" s="87" t="s">
        <v>224</v>
      </c>
      <c r="E999" s="85">
        <f>STATS1003B!E1000/1000</f>
        <v>4907.7460000000001</v>
      </c>
      <c r="F999" s="85">
        <f>STATS1003B!F1000/1000</f>
        <v>0</v>
      </c>
      <c r="G999" s="85">
        <f>STATS1003B!G1000/1000</f>
        <v>0</v>
      </c>
      <c r="H999" s="85">
        <f>STATS1003B!H1000/1000</f>
        <v>0</v>
      </c>
      <c r="I999" s="85">
        <f>STATS1003B!I1000/1000</f>
        <v>0</v>
      </c>
      <c r="J999" s="85">
        <f>STATS1003B!J1000/1000</f>
        <v>0</v>
      </c>
      <c r="K999" s="85">
        <f>STATS1003B!K1000/1000</f>
        <v>0</v>
      </c>
      <c r="L999" s="85">
        <f>STATS1003B!L1000/1000</f>
        <v>0</v>
      </c>
      <c r="M999" s="85">
        <f>STATS1003B!M1000/1000</f>
        <v>0</v>
      </c>
      <c r="N999" s="85">
        <f>STATS1003B!N1000/1000</f>
        <v>4907.7460000000001</v>
      </c>
      <c r="O999" s="85">
        <f>STATS1003B!O1000/1000</f>
        <v>0</v>
      </c>
      <c r="P999" s="85">
        <f>STATS1003B!P1000/1000</f>
        <v>4907.7460000000001</v>
      </c>
      <c r="Q999" s="85">
        <f>STATS1003B!Q1000/1000</f>
        <v>0</v>
      </c>
      <c r="R999" s="85">
        <f>STATS1003B!R1000/1000</f>
        <v>0</v>
      </c>
      <c r="S999" s="85">
        <f>STATS1003B!S1000/1000</f>
        <v>0</v>
      </c>
      <c r="T999" s="85">
        <f>STATS1003B!T1000/1000</f>
        <v>0</v>
      </c>
      <c r="U999" s="85">
        <f>STATS1003B!U1000/1000</f>
        <v>4907.7460000000001</v>
      </c>
      <c r="V999" s="85">
        <f>STATS1003B!V1000/1000</f>
        <v>4907.7460000000001</v>
      </c>
      <c r="W999" s="85">
        <f>STATS1003B!W1000/1000</f>
        <v>0</v>
      </c>
      <c r="X999" s="85">
        <f t="shared" si="129"/>
        <v>4907.7460000000001</v>
      </c>
      <c r="Y999" s="85">
        <f>STATS1003B!Y1000/1000</f>
        <v>0</v>
      </c>
      <c r="Z999" s="85">
        <f t="shared" si="131"/>
        <v>0</v>
      </c>
      <c r="AA999" s="69">
        <f>STATS1003B!AA1000/1000</f>
        <v>4907.7460000000001</v>
      </c>
      <c r="AB999" s="69">
        <f>STATS1003B!AB1000/1000</f>
        <v>0</v>
      </c>
    </row>
    <row r="1000" spans="1:28" hidden="1" x14ac:dyDescent="0.3">
      <c r="A1000" s="117"/>
      <c r="C1000" s="68" t="s">
        <v>225</v>
      </c>
      <c r="D1000" s="87" t="s">
        <v>85</v>
      </c>
      <c r="E1000" s="85">
        <f>STATS1003B!E1001/1000</f>
        <v>480</v>
      </c>
      <c r="F1000" s="85">
        <f>STATS1003B!F1001/1000</f>
        <v>480</v>
      </c>
      <c r="G1000" s="85">
        <f>STATS1003B!G1001/1000</f>
        <v>0</v>
      </c>
      <c r="H1000" s="85">
        <f>STATS1003B!H1001/1000</f>
        <v>480</v>
      </c>
      <c r="I1000" s="85">
        <f>STATS1003B!I1001/1000</f>
        <v>0</v>
      </c>
      <c r="J1000" s="85">
        <f>STATS1003B!J1001/1000</f>
        <v>0</v>
      </c>
      <c r="K1000" s="85">
        <f>STATS1003B!K1001/1000</f>
        <v>0</v>
      </c>
      <c r="L1000" s="85">
        <f>STATS1003B!L1001/1000</f>
        <v>0</v>
      </c>
      <c r="M1000" s="85">
        <f>STATS1003B!M1001/1000</f>
        <v>480</v>
      </c>
      <c r="N1000" s="85">
        <f>STATS1003B!N1001/1000</f>
        <v>0</v>
      </c>
      <c r="O1000" s="85">
        <f>STATS1003B!O1001/1000</f>
        <v>0</v>
      </c>
      <c r="P1000" s="85">
        <f>STATS1003B!P1001/1000</f>
        <v>0</v>
      </c>
      <c r="Q1000" s="85">
        <f>STATS1003B!Q1001/1000</f>
        <v>0</v>
      </c>
      <c r="R1000" s="85">
        <f>STATS1003B!R1001/1000</f>
        <v>0</v>
      </c>
      <c r="S1000" s="85">
        <f>STATS1003B!S1001/1000</f>
        <v>0</v>
      </c>
      <c r="T1000" s="85">
        <f>STATS1003B!T1001/1000</f>
        <v>0</v>
      </c>
      <c r="U1000" s="85">
        <f>STATS1003B!U1001/1000</f>
        <v>0</v>
      </c>
      <c r="V1000" s="85">
        <f>STATS1003B!V1001/1000</f>
        <v>480</v>
      </c>
      <c r="W1000" s="85">
        <f>STATS1003B!W1001/1000</f>
        <v>0</v>
      </c>
      <c r="X1000" s="85">
        <f t="shared" si="129"/>
        <v>480</v>
      </c>
      <c r="Y1000" s="85">
        <f>STATS1003B!Y1001/1000</f>
        <v>0</v>
      </c>
      <c r="Z1000" s="85">
        <f t="shared" si="131"/>
        <v>0</v>
      </c>
      <c r="AA1000" s="69">
        <f>STATS1003B!AA1001/1000</f>
        <v>480</v>
      </c>
      <c r="AB1000" s="69">
        <f>STATS1003B!AB1001/1000</f>
        <v>0</v>
      </c>
    </row>
    <row r="1001" spans="1:28" hidden="1" x14ac:dyDescent="0.3">
      <c r="A1001" s="117"/>
      <c r="C1001" s="68" t="s">
        <v>226</v>
      </c>
      <c r="D1001" s="87" t="s">
        <v>85</v>
      </c>
      <c r="E1001" s="85">
        <f>STATS1003B!E1002/1000</f>
        <v>8840.7080000000005</v>
      </c>
      <c r="F1001" s="85">
        <f>STATS1003B!F1002/1000</f>
        <v>8840.7080000000005</v>
      </c>
      <c r="G1001" s="85">
        <f>STATS1003B!G1002/1000</f>
        <v>0</v>
      </c>
      <c r="H1001" s="85">
        <f>STATS1003B!H1002/1000</f>
        <v>8840.7080000000005</v>
      </c>
      <c r="I1001" s="85">
        <f>STATS1003B!I1002/1000</f>
        <v>0</v>
      </c>
      <c r="J1001" s="85">
        <f>STATS1003B!J1002/1000</f>
        <v>0</v>
      </c>
      <c r="K1001" s="85">
        <f>STATS1003B!K1002/1000</f>
        <v>0</v>
      </c>
      <c r="L1001" s="85">
        <f>STATS1003B!L1002/1000</f>
        <v>0</v>
      </c>
      <c r="M1001" s="85">
        <f>STATS1003B!M1002/1000</f>
        <v>8840.7080000000005</v>
      </c>
      <c r="N1001" s="85">
        <f>STATS1003B!N1002/1000</f>
        <v>0</v>
      </c>
      <c r="O1001" s="85">
        <f>STATS1003B!O1002/1000</f>
        <v>0</v>
      </c>
      <c r="P1001" s="85">
        <f>STATS1003B!P1002/1000</f>
        <v>0</v>
      </c>
      <c r="Q1001" s="85">
        <f>STATS1003B!Q1002/1000</f>
        <v>0</v>
      </c>
      <c r="R1001" s="85">
        <f>STATS1003B!R1002/1000</f>
        <v>0</v>
      </c>
      <c r="S1001" s="85">
        <f>STATS1003B!S1002/1000</f>
        <v>0</v>
      </c>
      <c r="T1001" s="85">
        <f>STATS1003B!T1002/1000</f>
        <v>0</v>
      </c>
      <c r="U1001" s="85">
        <f>STATS1003B!U1002/1000</f>
        <v>0</v>
      </c>
      <c r="V1001" s="85">
        <f>STATS1003B!V1002/1000</f>
        <v>8840.7080000000005</v>
      </c>
      <c r="W1001" s="85">
        <f>STATS1003B!W1002/1000</f>
        <v>0</v>
      </c>
      <c r="X1001" s="85">
        <f t="shared" si="129"/>
        <v>8840.7080000000005</v>
      </c>
      <c r="Y1001" s="85">
        <f>STATS1003B!Y1002/1000</f>
        <v>0</v>
      </c>
      <c r="Z1001" s="85">
        <f t="shared" si="131"/>
        <v>0</v>
      </c>
      <c r="AA1001" s="69">
        <f>STATS1003B!AA1002/1000</f>
        <v>8840.7080000000005</v>
      </c>
      <c r="AB1001" s="69">
        <f>STATS1003B!AB1002/1000</f>
        <v>0</v>
      </c>
    </row>
    <row r="1002" spans="1:28" hidden="1" x14ac:dyDescent="0.3">
      <c r="A1002" s="117"/>
      <c r="C1002" s="68" t="s">
        <v>57</v>
      </c>
      <c r="D1002" s="87" t="s">
        <v>58</v>
      </c>
      <c r="E1002" s="85">
        <f>STATS1003B!E1003/1000</f>
        <v>3125.5210000000002</v>
      </c>
      <c r="F1002" s="85">
        <f>STATS1003B!F1003/1000</f>
        <v>3125.5210000000002</v>
      </c>
      <c r="G1002" s="85">
        <f>STATS1003B!G1003/1000</f>
        <v>0</v>
      </c>
      <c r="H1002" s="85">
        <f>STATS1003B!H1003/1000</f>
        <v>3125.5210000000002</v>
      </c>
      <c r="I1002" s="85">
        <f>STATS1003B!I1003/1000</f>
        <v>0</v>
      </c>
      <c r="J1002" s="85">
        <f>STATS1003B!J1003/1000</f>
        <v>0</v>
      </c>
      <c r="K1002" s="85">
        <f>STATS1003B!K1003/1000</f>
        <v>0</v>
      </c>
      <c r="L1002" s="85">
        <f>STATS1003B!L1003/1000</f>
        <v>0</v>
      </c>
      <c r="M1002" s="85">
        <f>STATS1003B!M1003/1000</f>
        <v>3125.5210000000002</v>
      </c>
      <c r="N1002" s="85">
        <f>STATS1003B!N1003/1000</f>
        <v>0</v>
      </c>
      <c r="O1002" s="85">
        <f>STATS1003B!O1003/1000</f>
        <v>0</v>
      </c>
      <c r="P1002" s="85">
        <f>STATS1003B!P1003/1000</f>
        <v>0</v>
      </c>
      <c r="Q1002" s="85">
        <f>STATS1003B!Q1003/1000</f>
        <v>0</v>
      </c>
      <c r="R1002" s="85">
        <f>STATS1003B!R1003/1000</f>
        <v>0</v>
      </c>
      <c r="S1002" s="85">
        <f>STATS1003B!S1003/1000</f>
        <v>0</v>
      </c>
      <c r="T1002" s="85">
        <f>STATS1003B!T1003/1000</f>
        <v>0</v>
      </c>
      <c r="U1002" s="85">
        <f>STATS1003B!U1003/1000</f>
        <v>0</v>
      </c>
      <c r="V1002" s="85">
        <f>STATS1003B!V1003/1000</f>
        <v>3125.5210000000002</v>
      </c>
      <c r="W1002" s="85">
        <f>STATS1003B!W1003/1000</f>
        <v>0</v>
      </c>
      <c r="X1002" s="85">
        <f t="shared" si="129"/>
        <v>3125.5210000000002</v>
      </c>
      <c r="Y1002" s="85">
        <f>STATS1003B!Y1003/1000</f>
        <v>0</v>
      </c>
      <c r="Z1002" s="85">
        <f t="shared" si="131"/>
        <v>0</v>
      </c>
      <c r="AA1002" s="69">
        <f>STATS1003B!AA1003/1000</f>
        <v>3125.5210000000002</v>
      </c>
      <c r="AB1002" s="69">
        <f>STATS1003B!AB1003/1000</f>
        <v>0</v>
      </c>
    </row>
    <row r="1003" spans="1:28" hidden="1" x14ac:dyDescent="0.3">
      <c r="A1003" s="117"/>
      <c r="C1003" s="68" t="s">
        <v>57</v>
      </c>
      <c r="D1003" s="87" t="s">
        <v>60</v>
      </c>
      <c r="E1003" s="85">
        <f>STATS1003B!E1004/1000</f>
        <v>3473.3953099999999</v>
      </c>
      <c r="F1003" s="85">
        <f>STATS1003B!F1004/1000</f>
        <v>3473.3953099999999</v>
      </c>
      <c r="G1003" s="85">
        <f>STATS1003B!G1004/1000</f>
        <v>0</v>
      </c>
      <c r="H1003" s="85">
        <f>STATS1003B!H1004/1000</f>
        <v>3473.3953099999999</v>
      </c>
      <c r="I1003" s="85">
        <f>STATS1003B!I1004/1000</f>
        <v>0</v>
      </c>
      <c r="J1003" s="85">
        <f>STATS1003B!J1004/1000</f>
        <v>0</v>
      </c>
      <c r="K1003" s="85">
        <f>STATS1003B!K1004/1000</f>
        <v>0</v>
      </c>
      <c r="L1003" s="85">
        <f>STATS1003B!L1004/1000</f>
        <v>0</v>
      </c>
      <c r="M1003" s="85">
        <f>STATS1003B!M1004/1000</f>
        <v>3473.3953099999999</v>
      </c>
      <c r="N1003" s="85">
        <f>STATS1003B!N1004/1000</f>
        <v>0</v>
      </c>
      <c r="O1003" s="85">
        <f>STATS1003B!O1004/1000</f>
        <v>0</v>
      </c>
      <c r="P1003" s="85">
        <f>STATS1003B!P1004/1000</f>
        <v>0</v>
      </c>
      <c r="Q1003" s="85">
        <f>STATS1003B!Q1004/1000</f>
        <v>0</v>
      </c>
      <c r="R1003" s="85">
        <f>STATS1003B!R1004/1000</f>
        <v>0</v>
      </c>
      <c r="S1003" s="85">
        <f>STATS1003B!S1004/1000</f>
        <v>0</v>
      </c>
      <c r="T1003" s="85">
        <f>STATS1003B!T1004/1000</f>
        <v>0</v>
      </c>
      <c r="U1003" s="85">
        <f>STATS1003B!U1004/1000</f>
        <v>0</v>
      </c>
      <c r="V1003" s="85">
        <f>STATS1003B!V1004/1000</f>
        <v>3473.3953099999999</v>
      </c>
      <c r="W1003" s="85">
        <f>STATS1003B!W1004/1000</f>
        <v>0</v>
      </c>
      <c r="X1003" s="85">
        <f t="shared" si="129"/>
        <v>3473.3953099999999</v>
      </c>
      <c r="Y1003" s="85">
        <f>STATS1003B!Y1004/1000</f>
        <v>0</v>
      </c>
      <c r="Z1003" s="85">
        <f t="shared" si="131"/>
        <v>0</v>
      </c>
      <c r="AA1003" s="69">
        <f>STATS1003B!AA1004/1000</f>
        <v>3473.3953099999999</v>
      </c>
      <c r="AB1003" s="69">
        <f>STATS1003B!AB1004/1000</f>
        <v>0</v>
      </c>
    </row>
    <row r="1004" spans="1:28" hidden="1" x14ac:dyDescent="0.3">
      <c r="A1004" s="117"/>
      <c r="C1004" s="71" t="s">
        <v>109</v>
      </c>
      <c r="D1004" s="88" t="s">
        <v>60</v>
      </c>
      <c r="E1004" s="85">
        <f>STATS1003B!E1005/1000</f>
        <v>3646.4539100000002</v>
      </c>
      <c r="F1004" s="85">
        <f>STATS1003B!F1005/1000</f>
        <v>3646.4539100000002</v>
      </c>
      <c r="G1004" s="85">
        <f>STATS1003B!G1005/1000</f>
        <v>0</v>
      </c>
      <c r="H1004" s="85">
        <f>STATS1003B!H1005/1000</f>
        <v>3646.4539100000002</v>
      </c>
      <c r="I1004" s="85">
        <f>STATS1003B!I1005/1000</f>
        <v>0</v>
      </c>
      <c r="J1004" s="85">
        <f>STATS1003B!J1005/1000</f>
        <v>0</v>
      </c>
      <c r="K1004" s="85">
        <f>STATS1003B!K1005/1000</f>
        <v>0</v>
      </c>
      <c r="L1004" s="85">
        <f>STATS1003B!L1005/1000</f>
        <v>0</v>
      </c>
      <c r="M1004" s="85">
        <f>STATS1003B!M1005/1000</f>
        <v>3646.4539100000002</v>
      </c>
      <c r="N1004" s="85">
        <f>STATS1003B!N1005/1000</f>
        <v>0</v>
      </c>
      <c r="O1004" s="85">
        <f>STATS1003B!O1005/1000</f>
        <v>0</v>
      </c>
      <c r="P1004" s="85">
        <f>STATS1003B!P1005/1000</f>
        <v>0</v>
      </c>
      <c r="Q1004" s="85">
        <f>STATS1003B!Q1005/1000</f>
        <v>0</v>
      </c>
      <c r="R1004" s="85">
        <f>STATS1003B!R1005/1000</f>
        <v>0</v>
      </c>
      <c r="S1004" s="85">
        <f>STATS1003B!S1005/1000</f>
        <v>0</v>
      </c>
      <c r="T1004" s="85">
        <f>STATS1003B!T1005/1000</f>
        <v>0</v>
      </c>
      <c r="U1004" s="85">
        <f>STATS1003B!U1005/1000</f>
        <v>0</v>
      </c>
      <c r="V1004" s="85">
        <f>STATS1003B!V1005/1000</f>
        <v>3646.4539100000002</v>
      </c>
      <c r="W1004" s="85">
        <f>STATS1003B!W1005/1000</f>
        <v>0</v>
      </c>
      <c r="X1004" s="85">
        <f t="shared" si="129"/>
        <v>3646.4539100000002</v>
      </c>
      <c r="Y1004" s="85">
        <f>STATS1003B!Y1005/1000</f>
        <v>0</v>
      </c>
      <c r="Z1004" s="85">
        <f t="shared" si="131"/>
        <v>0</v>
      </c>
      <c r="AA1004" s="69">
        <f>STATS1003B!AA1005/1000</f>
        <v>3646.4539100000002</v>
      </c>
      <c r="AB1004" s="69">
        <f>STATS1003B!AB1005/1000</f>
        <v>0</v>
      </c>
    </row>
    <row r="1005" spans="1:28" hidden="1" x14ac:dyDescent="0.3">
      <c r="A1005" s="117"/>
      <c r="C1005" s="71" t="s">
        <v>227</v>
      </c>
      <c r="D1005" s="87" t="s">
        <v>228</v>
      </c>
      <c r="E1005" s="85">
        <f>STATS1003B!E1006/1000</f>
        <v>572.93700000000001</v>
      </c>
      <c r="F1005" s="85">
        <f>STATS1003B!F1006/1000</f>
        <v>572.93700000000001</v>
      </c>
      <c r="G1005" s="85">
        <f>STATS1003B!G1006/1000</f>
        <v>0</v>
      </c>
      <c r="H1005" s="85">
        <f>STATS1003B!H1006/1000</f>
        <v>572.93700000000001</v>
      </c>
      <c r="I1005" s="85">
        <f>STATS1003B!I1006/1000</f>
        <v>0</v>
      </c>
      <c r="J1005" s="85">
        <f>STATS1003B!J1006/1000</f>
        <v>0</v>
      </c>
      <c r="K1005" s="85">
        <f>STATS1003B!K1006/1000</f>
        <v>0</v>
      </c>
      <c r="L1005" s="85">
        <f>STATS1003B!L1006/1000</f>
        <v>0</v>
      </c>
      <c r="M1005" s="85">
        <f>STATS1003B!M1006/1000</f>
        <v>572.93700000000001</v>
      </c>
      <c r="N1005" s="85">
        <f>STATS1003B!N1006/1000</f>
        <v>0</v>
      </c>
      <c r="O1005" s="85">
        <f>STATS1003B!O1006/1000</f>
        <v>0</v>
      </c>
      <c r="P1005" s="85">
        <f>STATS1003B!P1006/1000</f>
        <v>0</v>
      </c>
      <c r="Q1005" s="85">
        <f>STATS1003B!Q1006/1000</f>
        <v>0</v>
      </c>
      <c r="R1005" s="85">
        <f>STATS1003B!R1006/1000</f>
        <v>0</v>
      </c>
      <c r="S1005" s="85">
        <f>STATS1003B!S1006/1000</f>
        <v>0</v>
      </c>
      <c r="T1005" s="85">
        <f>STATS1003B!T1006/1000</f>
        <v>0</v>
      </c>
      <c r="U1005" s="85">
        <f>STATS1003B!U1006/1000</f>
        <v>0</v>
      </c>
      <c r="V1005" s="85">
        <f>STATS1003B!V1006/1000</f>
        <v>572.93700000000001</v>
      </c>
      <c r="W1005" s="85">
        <f>STATS1003B!W1006/1000</f>
        <v>0</v>
      </c>
      <c r="X1005" s="85">
        <f t="shared" si="129"/>
        <v>572.93700000000001</v>
      </c>
      <c r="Y1005" s="85">
        <f>STATS1003B!Y1006/1000</f>
        <v>0</v>
      </c>
      <c r="Z1005" s="85">
        <f t="shared" si="131"/>
        <v>0</v>
      </c>
      <c r="AA1005" s="69">
        <f>STATS1003B!AA1006/1000</f>
        <v>572.93700000000001</v>
      </c>
      <c r="AB1005" s="69">
        <f>STATS1003B!AB1006/1000</f>
        <v>0</v>
      </c>
    </row>
    <row r="1006" spans="1:28" hidden="1" x14ac:dyDescent="0.3">
      <c r="A1006" s="117"/>
      <c r="C1006" s="71" t="s">
        <v>229</v>
      </c>
      <c r="D1006" s="90" t="s">
        <v>239</v>
      </c>
      <c r="E1006" s="85">
        <f>STATS1003B!E1007/1000</f>
        <v>15460</v>
      </c>
      <c r="F1006" s="85">
        <f>STATS1003B!F1007/1000</f>
        <v>15460</v>
      </c>
      <c r="G1006" s="85">
        <f>STATS1003B!G1007/1000</f>
        <v>0</v>
      </c>
      <c r="H1006" s="85">
        <f>STATS1003B!H1007/1000</f>
        <v>15460</v>
      </c>
      <c r="I1006" s="85">
        <f>STATS1003B!I1007/1000</f>
        <v>10300</v>
      </c>
      <c r="J1006" s="85">
        <f>STATS1003B!J1007/1000</f>
        <v>10300</v>
      </c>
      <c r="K1006" s="85">
        <f>STATS1003B!K1007/1000</f>
        <v>0</v>
      </c>
      <c r="L1006" s="85">
        <f>STATS1003B!L1007/1000</f>
        <v>0</v>
      </c>
      <c r="M1006" s="85">
        <f>STATS1003B!M1007/1000</f>
        <v>15460</v>
      </c>
      <c r="N1006" s="85">
        <f>STATS1003B!N1007/1000</f>
        <v>0</v>
      </c>
      <c r="O1006" s="85">
        <f>STATS1003B!O1007/1000</f>
        <v>0</v>
      </c>
      <c r="P1006" s="85">
        <f>STATS1003B!P1007/1000</f>
        <v>0</v>
      </c>
      <c r="Q1006" s="85">
        <f>STATS1003B!Q1007/1000</f>
        <v>0</v>
      </c>
      <c r="R1006" s="85">
        <f>STATS1003B!R1007/1000</f>
        <v>0</v>
      </c>
      <c r="S1006" s="85">
        <f>STATS1003B!S1007/1000</f>
        <v>0</v>
      </c>
      <c r="T1006" s="85">
        <f>STATS1003B!T1007/1000</f>
        <v>0</v>
      </c>
      <c r="U1006" s="85">
        <f>STATS1003B!U1007/1000</f>
        <v>0</v>
      </c>
      <c r="V1006" s="85">
        <f>STATS1003B!V1007/1000</f>
        <v>15460</v>
      </c>
      <c r="W1006" s="85">
        <f>STATS1003B!W1007/1000</f>
        <v>0</v>
      </c>
      <c r="X1006" s="85">
        <f t="shared" si="129"/>
        <v>15460</v>
      </c>
      <c r="Y1006" s="85">
        <f>STATS1003B!Y1007/1000</f>
        <v>0</v>
      </c>
      <c r="Z1006" s="85">
        <f t="shared" si="131"/>
        <v>0</v>
      </c>
      <c r="AA1006" s="69">
        <f>STATS1003B!AA1007/1000</f>
        <v>15460</v>
      </c>
      <c r="AB1006" s="69">
        <f>STATS1003B!AB1007/1000</f>
        <v>0</v>
      </c>
    </row>
    <row r="1007" spans="1:28" hidden="1" x14ac:dyDescent="0.3">
      <c r="A1007" s="117"/>
      <c r="C1007" s="68" t="s">
        <v>57</v>
      </c>
      <c r="D1007" s="87" t="s">
        <v>73</v>
      </c>
      <c r="E1007" s="85">
        <f>STATS1003B!E1008/1000</f>
        <v>2238</v>
      </c>
      <c r="F1007" s="85">
        <f>STATS1003B!F1008/1000</f>
        <v>2238</v>
      </c>
      <c r="G1007" s="85">
        <f>STATS1003B!G1008/1000</f>
        <v>0</v>
      </c>
      <c r="H1007" s="85">
        <f>STATS1003B!H1008/1000</f>
        <v>2238</v>
      </c>
      <c r="I1007" s="85">
        <f>STATS1003B!I1008/1000</f>
        <v>0</v>
      </c>
      <c r="J1007" s="85">
        <f>STATS1003B!J1008/1000</f>
        <v>0</v>
      </c>
      <c r="K1007" s="85">
        <f>STATS1003B!K1008/1000</f>
        <v>0</v>
      </c>
      <c r="L1007" s="85">
        <f>STATS1003B!L1008/1000</f>
        <v>0</v>
      </c>
      <c r="M1007" s="85">
        <f>STATS1003B!M1008/1000</f>
        <v>2238</v>
      </c>
      <c r="N1007" s="85">
        <f>STATS1003B!N1008/1000</f>
        <v>0</v>
      </c>
      <c r="O1007" s="85">
        <f>STATS1003B!O1008/1000</f>
        <v>0</v>
      </c>
      <c r="P1007" s="85">
        <f>STATS1003B!P1008/1000</f>
        <v>0</v>
      </c>
      <c r="Q1007" s="85">
        <f>STATS1003B!Q1008/1000</f>
        <v>0</v>
      </c>
      <c r="R1007" s="85">
        <f>STATS1003B!R1008/1000</f>
        <v>0</v>
      </c>
      <c r="S1007" s="85">
        <f>STATS1003B!S1008/1000</f>
        <v>0</v>
      </c>
      <c r="T1007" s="85">
        <f>STATS1003B!T1008/1000</f>
        <v>0</v>
      </c>
      <c r="U1007" s="85">
        <f>STATS1003B!U1008/1000</f>
        <v>0</v>
      </c>
      <c r="V1007" s="85">
        <f>STATS1003B!V1008/1000</f>
        <v>2238</v>
      </c>
      <c r="W1007" s="85">
        <f>STATS1003B!W1008/1000</f>
        <v>0</v>
      </c>
      <c r="X1007" s="85">
        <f t="shared" si="129"/>
        <v>2238</v>
      </c>
      <c r="Y1007" s="85">
        <f>STATS1003B!Y1008/1000</f>
        <v>0</v>
      </c>
      <c r="Z1007" s="85">
        <f t="shared" si="131"/>
        <v>0</v>
      </c>
      <c r="AA1007" s="69">
        <f>STATS1003B!AA1008/1000</f>
        <v>2238</v>
      </c>
      <c r="AB1007" s="69">
        <f>STATS1003B!AB1008/1000</f>
        <v>0</v>
      </c>
    </row>
    <row r="1008" spans="1:28" hidden="1" x14ac:dyDescent="0.3">
      <c r="A1008" s="117"/>
      <c r="C1008" s="68" t="s">
        <v>932</v>
      </c>
      <c r="D1008" s="87"/>
      <c r="E1008" s="85">
        <f>STATS1003B!E1009/1000</f>
        <v>497.38157000000001</v>
      </c>
      <c r="F1008" s="85">
        <f>STATS1003B!F1009/1000</f>
        <v>497.38157000000001</v>
      </c>
      <c r="G1008" s="85">
        <f>STATS1003B!G1009/1000</f>
        <v>0</v>
      </c>
      <c r="H1008" s="85">
        <f>STATS1003B!H1009/1000</f>
        <v>497.38157000000001</v>
      </c>
      <c r="I1008" s="85">
        <f>STATS1003B!I1009/1000</f>
        <v>0</v>
      </c>
      <c r="J1008" s="85">
        <f>STATS1003B!J1009/1000</f>
        <v>0</v>
      </c>
      <c r="K1008" s="85">
        <f>STATS1003B!K1009/1000</f>
        <v>0</v>
      </c>
      <c r="L1008" s="85">
        <f>STATS1003B!L1009/1000</f>
        <v>0</v>
      </c>
      <c r="M1008" s="85">
        <f>STATS1003B!M1009/1000</f>
        <v>497.38157000000001</v>
      </c>
      <c r="N1008" s="85">
        <f>STATS1003B!N1009/1000</f>
        <v>0</v>
      </c>
      <c r="O1008" s="85">
        <f>STATS1003B!O1009/1000</f>
        <v>0</v>
      </c>
      <c r="P1008" s="85">
        <f>STATS1003B!P1009/1000</f>
        <v>0</v>
      </c>
      <c r="Q1008" s="85">
        <f>STATS1003B!Q1009/1000</f>
        <v>0</v>
      </c>
      <c r="R1008" s="85">
        <f>STATS1003B!R1009/1000</f>
        <v>0</v>
      </c>
      <c r="S1008" s="85">
        <f>STATS1003B!S1009/1000</f>
        <v>0</v>
      </c>
      <c r="T1008" s="85">
        <f>STATS1003B!T1009/1000</f>
        <v>0</v>
      </c>
      <c r="U1008" s="85">
        <f>STATS1003B!U1009/1000</f>
        <v>0</v>
      </c>
      <c r="V1008" s="85">
        <f>STATS1003B!V1009/1000</f>
        <v>497.38157000000001</v>
      </c>
      <c r="W1008" s="85">
        <f>STATS1003B!W1009/1000</f>
        <v>0</v>
      </c>
      <c r="X1008" s="85">
        <f t="shared" si="129"/>
        <v>497.38157000000001</v>
      </c>
      <c r="Y1008" s="85">
        <f>STATS1003B!Y1009/1000</f>
        <v>0</v>
      </c>
      <c r="Z1008" s="85">
        <f t="shared" si="131"/>
        <v>0</v>
      </c>
      <c r="AA1008" s="69">
        <f>STATS1003B!AA1009/1000</f>
        <v>497.38157000000001</v>
      </c>
      <c r="AB1008" s="69">
        <f>STATS1003B!AB1009/1000</f>
        <v>0</v>
      </c>
    </row>
    <row r="1009" spans="1:28" hidden="1" x14ac:dyDescent="0.3">
      <c r="A1009" s="117"/>
      <c r="C1009" s="68" t="s">
        <v>1187</v>
      </c>
      <c r="D1009" s="90" t="s">
        <v>1126</v>
      </c>
      <c r="E1009" s="85">
        <f>STATS1003B!E1010/1000</f>
        <v>4250</v>
      </c>
      <c r="F1009" s="85">
        <f>STATS1003B!F1010/1000</f>
        <v>4250</v>
      </c>
      <c r="G1009" s="85">
        <f>STATS1003B!G1010/1000</f>
        <v>0</v>
      </c>
      <c r="H1009" s="85">
        <f>STATS1003B!H1010/1000</f>
        <v>4250</v>
      </c>
      <c r="I1009" s="85">
        <f>STATS1003B!I1010/1000</f>
        <v>0</v>
      </c>
      <c r="J1009" s="85">
        <f>STATS1003B!J1010/1000</f>
        <v>0</v>
      </c>
      <c r="K1009" s="85">
        <f>STATS1003B!K1010/1000</f>
        <v>0</v>
      </c>
      <c r="L1009" s="85">
        <f>STATS1003B!L1010/1000</f>
        <v>0</v>
      </c>
      <c r="M1009" s="85">
        <f>STATS1003B!M1010/1000</f>
        <v>4250</v>
      </c>
      <c r="N1009" s="85">
        <f>STATS1003B!N1010/1000</f>
        <v>0</v>
      </c>
      <c r="O1009" s="85">
        <f>STATS1003B!O1010/1000</f>
        <v>0</v>
      </c>
      <c r="P1009" s="85">
        <f>STATS1003B!P1010/1000</f>
        <v>0</v>
      </c>
      <c r="Q1009" s="85">
        <f>STATS1003B!Q1010/1000</f>
        <v>0</v>
      </c>
      <c r="R1009" s="85">
        <f>STATS1003B!R1010/1000</f>
        <v>0</v>
      </c>
      <c r="S1009" s="85">
        <f>STATS1003B!S1010/1000</f>
        <v>0</v>
      </c>
      <c r="T1009" s="85">
        <f>STATS1003B!T1010/1000</f>
        <v>0</v>
      </c>
      <c r="U1009" s="85">
        <f>STATS1003B!U1010/1000</f>
        <v>0</v>
      </c>
      <c r="V1009" s="85">
        <f>STATS1003B!V1010/1000</f>
        <v>4250</v>
      </c>
      <c r="W1009" s="85">
        <f>STATS1003B!W1010/1000</f>
        <v>0</v>
      </c>
      <c r="X1009" s="85">
        <f t="shared" si="129"/>
        <v>4250</v>
      </c>
      <c r="Y1009" s="85">
        <f>STATS1003B!Y1010/1000</f>
        <v>0</v>
      </c>
      <c r="Z1009" s="85">
        <f t="shared" si="131"/>
        <v>0</v>
      </c>
      <c r="AA1009" s="69">
        <f>STATS1003B!AA1010/1000</f>
        <v>4250</v>
      </c>
      <c r="AB1009" s="69">
        <f>STATS1003B!AB1010/1000</f>
        <v>0</v>
      </c>
    </row>
    <row r="1010" spans="1:28" hidden="1" x14ac:dyDescent="0.3">
      <c r="A1010" s="117"/>
      <c r="C1010" s="68" t="s">
        <v>1186</v>
      </c>
      <c r="D1010" s="90" t="s">
        <v>1126</v>
      </c>
      <c r="E1010" s="85">
        <f>STATS1003B!E1011/1000</f>
        <v>3300</v>
      </c>
      <c r="F1010" s="85">
        <f>STATS1003B!F1011/1000</f>
        <v>3300</v>
      </c>
      <c r="G1010" s="85">
        <f>STATS1003B!G1011/1000</f>
        <v>0</v>
      </c>
      <c r="H1010" s="85">
        <f>STATS1003B!H1011/1000</f>
        <v>3300</v>
      </c>
      <c r="I1010" s="85">
        <f>STATS1003B!I1011/1000</f>
        <v>0</v>
      </c>
      <c r="J1010" s="85">
        <f>STATS1003B!J1011/1000</f>
        <v>0</v>
      </c>
      <c r="K1010" s="85">
        <f>STATS1003B!K1011/1000</f>
        <v>0</v>
      </c>
      <c r="L1010" s="85">
        <f>STATS1003B!L1011/1000</f>
        <v>0</v>
      </c>
      <c r="M1010" s="85">
        <f>STATS1003B!M1011/1000</f>
        <v>3300</v>
      </c>
      <c r="N1010" s="85">
        <f>STATS1003B!N1011/1000</f>
        <v>0</v>
      </c>
      <c r="O1010" s="85">
        <f>STATS1003B!O1011/1000</f>
        <v>0</v>
      </c>
      <c r="P1010" s="85">
        <f>STATS1003B!P1011/1000</f>
        <v>0</v>
      </c>
      <c r="Q1010" s="85">
        <f>STATS1003B!Q1011/1000</f>
        <v>0</v>
      </c>
      <c r="R1010" s="85">
        <f>STATS1003B!R1011/1000</f>
        <v>0</v>
      </c>
      <c r="S1010" s="85">
        <f>STATS1003B!S1011/1000</f>
        <v>0</v>
      </c>
      <c r="T1010" s="85">
        <f>STATS1003B!T1011/1000</f>
        <v>0</v>
      </c>
      <c r="U1010" s="85">
        <f>STATS1003B!U1011/1000</f>
        <v>0</v>
      </c>
      <c r="V1010" s="85">
        <f>STATS1003B!V1011/1000</f>
        <v>0</v>
      </c>
      <c r="W1010" s="85">
        <f>STATS1003B!W1011/1000</f>
        <v>0</v>
      </c>
      <c r="X1010" s="85">
        <f t="shared" si="129"/>
        <v>3300</v>
      </c>
      <c r="Y1010" s="85">
        <f>STATS1003B!Y1011/1000</f>
        <v>0</v>
      </c>
      <c r="Z1010" s="85">
        <f t="shared" si="131"/>
        <v>0</v>
      </c>
      <c r="AA1010" s="69">
        <f>STATS1003B!AA1011/1000</f>
        <v>3300</v>
      </c>
      <c r="AB1010" s="69">
        <f>STATS1003B!AB1011/1000</f>
        <v>0</v>
      </c>
    </row>
    <row r="1011" spans="1:28" hidden="1" x14ac:dyDescent="0.3">
      <c r="A1011" s="117"/>
      <c r="C1011" s="68" t="s">
        <v>57</v>
      </c>
      <c r="D1011" s="90" t="s">
        <v>61</v>
      </c>
      <c r="E1011" s="85">
        <f>STATS1003B!E1012/1000</f>
        <v>514</v>
      </c>
      <c r="F1011" s="85">
        <f>STATS1003B!F1012/1000</f>
        <v>514</v>
      </c>
      <c r="G1011" s="85">
        <f>STATS1003B!G1012/1000</f>
        <v>0</v>
      </c>
      <c r="H1011" s="85">
        <f>STATS1003B!H1012/1000</f>
        <v>514</v>
      </c>
      <c r="I1011" s="85">
        <f>STATS1003B!I1012/1000</f>
        <v>0</v>
      </c>
      <c r="J1011" s="85">
        <f>STATS1003B!J1012/1000</f>
        <v>0</v>
      </c>
      <c r="K1011" s="85">
        <f>STATS1003B!K1012/1000</f>
        <v>0</v>
      </c>
      <c r="L1011" s="85">
        <f>STATS1003B!L1012/1000</f>
        <v>0</v>
      </c>
      <c r="M1011" s="85">
        <f>STATS1003B!M1012/1000</f>
        <v>514</v>
      </c>
      <c r="N1011" s="85">
        <f>STATS1003B!N1012/1000</f>
        <v>0</v>
      </c>
      <c r="O1011" s="85">
        <f>STATS1003B!O1012/1000</f>
        <v>0</v>
      </c>
      <c r="P1011" s="85">
        <f>STATS1003B!P1012/1000</f>
        <v>0</v>
      </c>
      <c r="Q1011" s="85">
        <f>STATS1003B!Q1012/1000</f>
        <v>0</v>
      </c>
      <c r="R1011" s="85">
        <f>STATS1003B!R1012/1000</f>
        <v>0</v>
      </c>
      <c r="S1011" s="85">
        <f>STATS1003B!S1012/1000</f>
        <v>0</v>
      </c>
      <c r="T1011" s="85">
        <f>STATS1003B!T1012/1000</f>
        <v>0</v>
      </c>
      <c r="U1011" s="85">
        <f>STATS1003B!U1012/1000</f>
        <v>0</v>
      </c>
      <c r="V1011" s="85">
        <f>STATS1003B!V1012/1000</f>
        <v>514</v>
      </c>
      <c r="W1011" s="85">
        <f>STATS1003B!W1012/1000</f>
        <v>0</v>
      </c>
      <c r="X1011" s="85">
        <f t="shared" si="129"/>
        <v>514</v>
      </c>
      <c r="Y1011" s="85">
        <f>STATS1003B!Y1012/1000</f>
        <v>0</v>
      </c>
      <c r="Z1011" s="85">
        <f t="shared" si="131"/>
        <v>0</v>
      </c>
      <c r="AA1011" s="69">
        <f>STATS1003B!AA1012/1000</f>
        <v>514</v>
      </c>
      <c r="AB1011" s="69">
        <f>STATS1003B!AB1012/1000</f>
        <v>0</v>
      </c>
    </row>
    <row r="1012" spans="1:28" hidden="1" x14ac:dyDescent="0.3">
      <c r="A1012" s="117"/>
      <c r="E1012" s="86" t="s">
        <v>29</v>
      </c>
      <c r="F1012" s="86" t="s">
        <v>29</v>
      </c>
      <c r="G1012" s="86" t="s">
        <v>29</v>
      </c>
      <c r="H1012" s="86" t="s">
        <v>29</v>
      </c>
      <c r="I1012" s="86" t="s">
        <v>29</v>
      </c>
      <c r="J1012" s="86" t="s">
        <v>29</v>
      </c>
      <c r="K1012" s="86" t="s">
        <v>29</v>
      </c>
      <c r="L1012" s="86" t="s">
        <v>29</v>
      </c>
      <c r="M1012" s="86" t="s">
        <v>29</v>
      </c>
      <c r="N1012" s="86" t="s">
        <v>29</v>
      </c>
      <c r="O1012" s="86" t="s">
        <v>29</v>
      </c>
      <c r="P1012" s="86" t="s">
        <v>29</v>
      </c>
      <c r="Q1012" s="86" t="s">
        <v>29</v>
      </c>
      <c r="R1012" s="86" t="s">
        <v>29</v>
      </c>
      <c r="S1012" s="86" t="s">
        <v>29</v>
      </c>
      <c r="T1012" s="86" t="s">
        <v>29</v>
      </c>
      <c r="U1012" s="86" t="s">
        <v>29</v>
      </c>
      <c r="V1012" s="86" t="s">
        <v>29</v>
      </c>
      <c r="W1012" s="86" t="s">
        <v>29</v>
      </c>
      <c r="X1012" s="85" t="e">
        <f t="shared" si="129"/>
        <v>#VALUE!</v>
      </c>
      <c r="Y1012" s="86" t="s">
        <v>29</v>
      </c>
      <c r="Z1012" s="85" t="e">
        <f t="shared" si="131"/>
        <v>#VALUE!</v>
      </c>
      <c r="AA1012" s="115" t="s">
        <v>29</v>
      </c>
      <c r="AB1012" s="115" t="s">
        <v>29</v>
      </c>
    </row>
    <row r="1013" spans="1:28" x14ac:dyDescent="0.3">
      <c r="A1013" s="116">
        <v>46</v>
      </c>
      <c r="B1013" s="68" t="s">
        <v>217</v>
      </c>
      <c r="E1013" s="85">
        <f>281783091.93/1000</f>
        <v>281783.09193</v>
      </c>
      <c r="F1013" s="85">
        <f t="shared" ref="F1013:AB1013" si="132">SUM(F993:F1011)</f>
        <v>62647.659619999999</v>
      </c>
      <c r="G1013" s="85">
        <f t="shared" si="132"/>
        <v>0</v>
      </c>
      <c r="H1013" s="85">
        <f>271075022.21/1000</f>
        <v>271075.02220999997</v>
      </c>
      <c r="I1013" s="85">
        <f t="shared" si="132"/>
        <v>10300</v>
      </c>
      <c r="J1013" s="85">
        <f t="shared" si="132"/>
        <v>10300</v>
      </c>
      <c r="K1013" s="85">
        <f t="shared" si="132"/>
        <v>0</v>
      </c>
      <c r="L1013" s="85">
        <f t="shared" si="132"/>
        <v>0</v>
      </c>
      <c r="M1013" s="85">
        <f t="shared" si="132"/>
        <v>62647.659619999999</v>
      </c>
      <c r="N1013" s="85">
        <f t="shared" si="132"/>
        <v>10708.06972</v>
      </c>
      <c r="O1013" s="85">
        <f t="shared" si="132"/>
        <v>0</v>
      </c>
      <c r="P1013" s="85">
        <f>10708069/1000</f>
        <v>10708.069</v>
      </c>
      <c r="Q1013" s="85">
        <f t="shared" si="132"/>
        <v>0</v>
      </c>
      <c r="R1013" s="85">
        <f t="shared" si="132"/>
        <v>0</v>
      </c>
      <c r="S1013" s="85">
        <f t="shared" si="132"/>
        <v>0</v>
      </c>
      <c r="T1013" s="85">
        <f t="shared" si="132"/>
        <v>0</v>
      </c>
      <c r="U1013" s="85">
        <f t="shared" si="132"/>
        <v>10708.06972</v>
      </c>
      <c r="V1013" s="85">
        <f t="shared" si="132"/>
        <v>70055.729339999991</v>
      </c>
      <c r="W1013" s="85">
        <f t="shared" si="132"/>
        <v>0</v>
      </c>
      <c r="X1013" s="85">
        <f t="shared" si="129"/>
        <v>281783.09120999998</v>
      </c>
      <c r="Y1013" s="85">
        <f t="shared" si="132"/>
        <v>0</v>
      </c>
      <c r="Z1013" s="85">
        <f t="shared" si="131"/>
        <v>7.2000001091510057E-4</v>
      </c>
      <c r="AA1013" s="69">
        <f t="shared" si="132"/>
        <v>73355.729339999991</v>
      </c>
      <c r="AB1013" s="69">
        <f t="shared" si="132"/>
        <v>0</v>
      </c>
    </row>
    <row r="1014" spans="1:28" hidden="1" x14ac:dyDescent="0.3">
      <c r="A1014" s="117"/>
      <c r="E1014" s="86" t="s">
        <v>29</v>
      </c>
      <c r="F1014" s="86" t="s">
        <v>29</v>
      </c>
      <c r="G1014" s="86" t="s">
        <v>29</v>
      </c>
      <c r="H1014" s="86" t="s">
        <v>29</v>
      </c>
      <c r="I1014" s="86" t="s">
        <v>29</v>
      </c>
      <c r="J1014" s="86" t="s">
        <v>29</v>
      </c>
      <c r="K1014" s="86" t="s">
        <v>29</v>
      </c>
      <c r="L1014" s="86" t="s">
        <v>29</v>
      </c>
      <c r="M1014" s="86" t="s">
        <v>29</v>
      </c>
      <c r="N1014" s="86" t="s">
        <v>29</v>
      </c>
      <c r="O1014" s="86" t="s">
        <v>29</v>
      </c>
      <c r="P1014" s="86" t="s">
        <v>29</v>
      </c>
      <c r="Q1014" s="86" t="s">
        <v>29</v>
      </c>
      <c r="R1014" s="86" t="s">
        <v>29</v>
      </c>
      <c r="S1014" s="86" t="s">
        <v>29</v>
      </c>
      <c r="T1014" s="86" t="s">
        <v>29</v>
      </c>
      <c r="U1014" s="86" t="s">
        <v>29</v>
      </c>
      <c r="V1014" s="86" t="s">
        <v>29</v>
      </c>
      <c r="W1014" s="86" t="s">
        <v>29</v>
      </c>
      <c r="X1014" s="85" t="e">
        <f t="shared" si="129"/>
        <v>#VALUE!</v>
      </c>
      <c r="Y1014" s="86" t="s">
        <v>29</v>
      </c>
      <c r="Z1014" s="85" t="e">
        <f t="shared" si="131"/>
        <v>#VALUE!</v>
      </c>
      <c r="AA1014" s="115" t="s">
        <v>29</v>
      </c>
      <c r="AB1014" s="115" t="s">
        <v>29</v>
      </c>
    </row>
    <row r="1015" spans="1:28" hidden="1" x14ac:dyDescent="0.3">
      <c r="A1015" s="117"/>
      <c r="E1015" s="84"/>
      <c r="F1015" s="84"/>
      <c r="G1015" s="84"/>
      <c r="H1015" s="84"/>
      <c r="I1015" s="84"/>
      <c r="J1015" s="84"/>
      <c r="K1015" s="84"/>
      <c r="L1015" s="84"/>
      <c r="M1015" s="84"/>
      <c r="N1015" s="84"/>
      <c r="O1015" s="84"/>
      <c r="P1015" s="84"/>
      <c r="Q1015" s="84"/>
      <c r="R1015" s="84"/>
      <c r="S1015" s="84"/>
      <c r="T1015" s="84"/>
      <c r="U1015" s="84"/>
      <c r="V1015" s="84"/>
      <c r="W1015" s="84"/>
      <c r="X1015" s="85">
        <f t="shared" si="129"/>
        <v>0</v>
      </c>
      <c r="Y1015" s="84"/>
      <c r="Z1015" s="85">
        <f t="shared" si="131"/>
        <v>0</v>
      </c>
    </row>
    <row r="1016" spans="1:28" hidden="1" x14ac:dyDescent="0.3">
      <c r="A1016" s="105"/>
      <c r="E1016" s="84"/>
      <c r="F1016" s="84"/>
      <c r="G1016" s="84"/>
      <c r="H1016" s="84"/>
      <c r="I1016" s="84"/>
      <c r="J1016" s="84"/>
      <c r="K1016" s="84"/>
      <c r="L1016" s="84"/>
      <c r="M1016" s="84"/>
      <c r="N1016" s="84"/>
      <c r="O1016" s="84"/>
      <c r="P1016" s="84"/>
      <c r="Q1016" s="84"/>
      <c r="R1016" s="84"/>
      <c r="S1016" s="84"/>
      <c r="T1016" s="84"/>
      <c r="U1016" s="84"/>
      <c r="V1016" s="84"/>
      <c r="W1016" s="84"/>
      <c r="X1016" s="85">
        <f t="shared" si="129"/>
        <v>0</v>
      </c>
      <c r="Y1016" s="84"/>
      <c r="Z1016" s="85">
        <f t="shared" si="131"/>
        <v>0</v>
      </c>
    </row>
    <row r="1017" spans="1:28" hidden="1" x14ac:dyDescent="0.3">
      <c r="A1017" s="117"/>
      <c r="C1017" s="68" t="s">
        <v>172</v>
      </c>
      <c r="D1017" s="87" t="s">
        <v>231</v>
      </c>
      <c r="E1017" s="85">
        <f>STATS1003B!E1018/1000</f>
        <v>2288.835</v>
      </c>
      <c r="F1017" s="85">
        <f>STATS1003B!F1018/1000</f>
        <v>2288.835</v>
      </c>
      <c r="G1017" s="85">
        <f>STATS1003B!G1018/1000</f>
        <v>0</v>
      </c>
      <c r="H1017" s="85">
        <f>STATS1003B!H1018/1000</f>
        <v>2288.835</v>
      </c>
      <c r="I1017" s="85">
        <f>STATS1003B!I1018/1000</f>
        <v>0</v>
      </c>
      <c r="J1017" s="85">
        <f>STATS1003B!J1018/1000</f>
        <v>0</v>
      </c>
      <c r="K1017" s="85">
        <f>STATS1003B!K1018/1000</f>
        <v>0</v>
      </c>
      <c r="L1017" s="85">
        <f>STATS1003B!L1018/1000</f>
        <v>0</v>
      </c>
      <c r="M1017" s="85">
        <f>STATS1003B!M1018/1000</f>
        <v>2288.835</v>
      </c>
      <c r="N1017" s="85">
        <f>STATS1003B!N1018/1000</f>
        <v>0</v>
      </c>
      <c r="O1017" s="85">
        <f>STATS1003B!O1018/1000</f>
        <v>0</v>
      </c>
      <c r="P1017" s="85">
        <f>STATS1003B!P1018/1000</f>
        <v>0</v>
      </c>
      <c r="Q1017" s="85">
        <f>STATS1003B!Q1018/1000</f>
        <v>0</v>
      </c>
      <c r="R1017" s="85">
        <f>STATS1003B!R1018/1000</f>
        <v>0</v>
      </c>
      <c r="S1017" s="85">
        <f>STATS1003B!S1018/1000</f>
        <v>0</v>
      </c>
      <c r="T1017" s="85">
        <f>STATS1003B!T1018/1000</f>
        <v>0</v>
      </c>
      <c r="U1017" s="85">
        <f>STATS1003B!U1018/1000</f>
        <v>0</v>
      </c>
      <c r="V1017" s="85">
        <f>STATS1003B!V1018/1000</f>
        <v>2288.835</v>
      </c>
      <c r="W1017" s="85">
        <f>STATS1003B!W1018/1000</f>
        <v>0</v>
      </c>
      <c r="X1017" s="85">
        <f t="shared" si="129"/>
        <v>2288.835</v>
      </c>
      <c r="Y1017" s="85">
        <f>STATS1003B!Y1018/1000</f>
        <v>0</v>
      </c>
      <c r="Z1017" s="85">
        <f t="shared" si="131"/>
        <v>0</v>
      </c>
      <c r="AA1017" s="69">
        <f>STATS1003B!AA1018/1000</f>
        <v>2288.835</v>
      </c>
      <c r="AB1017" s="69">
        <f>STATS1003B!AB1018/1000</f>
        <v>0</v>
      </c>
    </row>
    <row r="1018" spans="1:28" hidden="1" x14ac:dyDescent="0.3">
      <c r="A1018" s="117"/>
      <c r="C1018" s="68" t="s">
        <v>57</v>
      </c>
      <c r="D1018" s="87" t="s">
        <v>232</v>
      </c>
      <c r="E1018" s="85">
        <f>STATS1003B!E1019/1000</f>
        <v>9060.0585600000013</v>
      </c>
      <c r="F1018" s="85">
        <f>STATS1003B!F1019/1000</f>
        <v>5775.6549999999997</v>
      </c>
      <c r="G1018" s="85">
        <f>STATS1003B!G1019/1000</f>
        <v>0</v>
      </c>
      <c r="H1018" s="85">
        <f>STATS1003B!H1019/1000</f>
        <v>5775.6549999999997</v>
      </c>
      <c r="I1018" s="85">
        <f>STATS1003B!I1019/1000</f>
        <v>0</v>
      </c>
      <c r="J1018" s="85">
        <f>STATS1003B!J1019/1000</f>
        <v>0</v>
      </c>
      <c r="K1018" s="85">
        <f>STATS1003B!K1019/1000</f>
        <v>0</v>
      </c>
      <c r="L1018" s="85">
        <f>STATS1003B!L1019/1000</f>
        <v>0</v>
      </c>
      <c r="M1018" s="85">
        <f>STATS1003B!M1019/1000</f>
        <v>5775.6549999999997</v>
      </c>
      <c r="N1018" s="85">
        <f>STATS1003B!N1019/1000</f>
        <v>3284.4035600000002</v>
      </c>
      <c r="O1018" s="85">
        <f>STATS1003B!O1019/1000</f>
        <v>0</v>
      </c>
      <c r="P1018" s="85">
        <f>STATS1003B!P1019/1000</f>
        <v>3284.4035600000002</v>
      </c>
      <c r="Q1018" s="85">
        <f>STATS1003B!Q1019/1000</f>
        <v>0</v>
      </c>
      <c r="R1018" s="85">
        <f>STATS1003B!R1019/1000</f>
        <v>0</v>
      </c>
      <c r="S1018" s="85">
        <f>STATS1003B!S1019/1000</f>
        <v>0</v>
      </c>
      <c r="T1018" s="85">
        <f>STATS1003B!T1019/1000</f>
        <v>0</v>
      </c>
      <c r="U1018" s="85">
        <f>STATS1003B!U1019/1000</f>
        <v>3284.4035600000002</v>
      </c>
      <c r="V1018" s="85">
        <f>STATS1003B!V1019/1000</f>
        <v>9060.0585600000013</v>
      </c>
      <c r="W1018" s="85">
        <f>STATS1003B!W1019/1000</f>
        <v>0</v>
      </c>
      <c r="X1018" s="85">
        <f t="shared" si="129"/>
        <v>9060.0585599999995</v>
      </c>
      <c r="Y1018" s="85">
        <f>STATS1003B!Y1019/1000</f>
        <v>0</v>
      </c>
      <c r="Z1018" s="85">
        <f t="shared" si="131"/>
        <v>0</v>
      </c>
      <c r="AA1018" s="69">
        <f>STATS1003B!AA1019/1000</f>
        <v>9060.0585600000013</v>
      </c>
      <c r="AB1018" s="69">
        <f>STATS1003B!AB1019/1000</f>
        <v>0</v>
      </c>
    </row>
    <row r="1019" spans="1:28" hidden="1" x14ac:dyDescent="0.3">
      <c r="A1019" s="117"/>
      <c r="C1019" s="68" t="s">
        <v>192</v>
      </c>
      <c r="D1019" s="87" t="s">
        <v>54</v>
      </c>
      <c r="E1019" s="85">
        <f>STATS1003B!E1020/1000</f>
        <v>955.34561999999994</v>
      </c>
      <c r="F1019" s="85">
        <f>STATS1003B!F1020/1000</f>
        <v>0</v>
      </c>
      <c r="G1019" s="85">
        <f>STATS1003B!G1020/1000</f>
        <v>0</v>
      </c>
      <c r="H1019" s="85">
        <f>STATS1003B!H1020/1000</f>
        <v>0</v>
      </c>
      <c r="I1019" s="85">
        <f>STATS1003B!I1020/1000</f>
        <v>0</v>
      </c>
      <c r="J1019" s="85">
        <f>STATS1003B!J1020/1000</f>
        <v>0</v>
      </c>
      <c r="K1019" s="85">
        <f>STATS1003B!K1020/1000</f>
        <v>0</v>
      </c>
      <c r="L1019" s="85">
        <f>STATS1003B!L1020/1000</f>
        <v>0</v>
      </c>
      <c r="M1019" s="85">
        <f>STATS1003B!M1020/1000</f>
        <v>0</v>
      </c>
      <c r="N1019" s="85">
        <f>STATS1003B!N1020/1000</f>
        <v>955.34561999999994</v>
      </c>
      <c r="O1019" s="85">
        <f>STATS1003B!O1020/1000</f>
        <v>0</v>
      </c>
      <c r="P1019" s="85">
        <f>STATS1003B!P1020/1000</f>
        <v>955.34561999999994</v>
      </c>
      <c r="Q1019" s="85">
        <f>STATS1003B!Q1020/1000</f>
        <v>0</v>
      </c>
      <c r="R1019" s="85">
        <f>STATS1003B!R1020/1000</f>
        <v>0</v>
      </c>
      <c r="S1019" s="85">
        <f>STATS1003B!S1020/1000</f>
        <v>0</v>
      </c>
      <c r="T1019" s="85">
        <f>STATS1003B!T1020/1000</f>
        <v>0</v>
      </c>
      <c r="U1019" s="85">
        <f>STATS1003B!U1020/1000</f>
        <v>955.34561999999994</v>
      </c>
      <c r="V1019" s="85">
        <f>STATS1003B!V1020/1000</f>
        <v>955.34561999999994</v>
      </c>
      <c r="W1019" s="85">
        <f>STATS1003B!W1020/1000</f>
        <v>0</v>
      </c>
      <c r="X1019" s="85">
        <f t="shared" si="129"/>
        <v>955.34561999999994</v>
      </c>
      <c r="Y1019" s="85">
        <f>STATS1003B!Y1020/1000</f>
        <v>0</v>
      </c>
      <c r="Z1019" s="85">
        <f t="shared" si="131"/>
        <v>0</v>
      </c>
      <c r="AA1019" s="69">
        <f>STATS1003B!AA1020/1000</f>
        <v>955.34561999999994</v>
      </c>
      <c r="AB1019" s="69">
        <f>STATS1003B!AB1020/1000</f>
        <v>0</v>
      </c>
    </row>
    <row r="1020" spans="1:28" hidden="1" x14ac:dyDescent="0.3">
      <c r="A1020" s="117"/>
      <c r="C1020" s="68" t="s">
        <v>53</v>
      </c>
      <c r="D1020" s="87" t="s">
        <v>54</v>
      </c>
      <c r="E1020" s="85">
        <f>STATS1003B!E1021/1000</f>
        <v>1953.989</v>
      </c>
      <c r="F1020" s="85">
        <f>STATS1003B!F1021/1000</f>
        <v>0</v>
      </c>
      <c r="G1020" s="85">
        <f>STATS1003B!G1021/1000</f>
        <v>0</v>
      </c>
      <c r="H1020" s="85">
        <f>STATS1003B!H1021/1000</f>
        <v>0</v>
      </c>
      <c r="I1020" s="85">
        <f>STATS1003B!I1021/1000</f>
        <v>0</v>
      </c>
      <c r="J1020" s="85">
        <f>STATS1003B!J1021/1000</f>
        <v>0</v>
      </c>
      <c r="K1020" s="85">
        <f>STATS1003B!K1021/1000</f>
        <v>0</v>
      </c>
      <c r="L1020" s="85">
        <f>STATS1003B!L1021/1000</f>
        <v>0</v>
      </c>
      <c r="M1020" s="85">
        <f>STATS1003B!M1021/1000</f>
        <v>0</v>
      </c>
      <c r="N1020" s="85">
        <f>STATS1003B!N1021/1000</f>
        <v>1953.989</v>
      </c>
      <c r="O1020" s="85">
        <f>STATS1003B!O1021/1000</f>
        <v>0</v>
      </c>
      <c r="P1020" s="85">
        <f>STATS1003B!P1021/1000</f>
        <v>1953.989</v>
      </c>
      <c r="Q1020" s="85">
        <f>STATS1003B!Q1021/1000</f>
        <v>0</v>
      </c>
      <c r="R1020" s="85">
        <f>STATS1003B!R1021/1000</f>
        <v>0</v>
      </c>
      <c r="S1020" s="85">
        <f>STATS1003B!S1021/1000</f>
        <v>0</v>
      </c>
      <c r="T1020" s="85">
        <f>STATS1003B!T1021/1000</f>
        <v>0</v>
      </c>
      <c r="U1020" s="85">
        <f>STATS1003B!U1021/1000</f>
        <v>1953.989</v>
      </c>
      <c r="V1020" s="85">
        <f>STATS1003B!V1021/1000</f>
        <v>1953.989</v>
      </c>
      <c r="W1020" s="85">
        <f>STATS1003B!W1021/1000</f>
        <v>0</v>
      </c>
      <c r="X1020" s="85">
        <f t="shared" si="129"/>
        <v>1953.989</v>
      </c>
      <c r="Y1020" s="85">
        <f>STATS1003B!Y1021/1000</f>
        <v>0</v>
      </c>
      <c r="Z1020" s="85">
        <f t="shared" si="131"/>
        <v>0</v>
      </c>
      <c r="AA1020" s="69">
        <f>STATS1003B!AA1021/1000</f>
        <v>1953.989</v>
      </c>
      <c r="AB1020" s="69">
        <f>STATS1003B!AB1021/1000</f>
        <v>0</v>
      </c>
    </row>
    <row r="1021" spans="1:28" hidden="1" x14ac:dyDescent="0.3">
      <c r="A1021" s="117"/>
      <c r="C1021" s="68" t="s">
        <v>233</v>
      </c>
      <c r="D1021" s="87" t="s">
        <v>234</v>
      </c>
      <c r="E1021" s="85">
        <f>STATS1003B!E1022/1000</f>
        <v>430</v>
      </c>
      <c r="F1021" s="85">
        <f>STATS1003B!F1022/1000</f>
        <v>430</v>
      </c>
      <c r="G1021" s="85">
        <f>STATS1003B!G1022/1000</f>
        <v>0</v>
      </c>
      <c r="H1021" s="85">
        <f>STATS1003B!H1022/1000</f>
        <v>430</v>
      </c>
      <c r="I1021" s="85">
        <f>STATS1003B!I1022/1000</f>
        <v>0</v>
      </c>
      <c r="J1021" s="85">
        <f>STATS1003B!J1022/1000</f>
        <v>0</v>
      </c>
      <c r="K1021" s="85">
        <f>STATS1003B!K1022/1000</f>
        <v>0</v>
      </c>
      <c r="L1021" s="85">
        <f>STATS1003B!L1022/1000</f>
        <v>0</v>
      </c>
      <c r="M1021" s="85">
        <f>STATS1003B!M1022/1000</f>
        <v>430</v>
      </c>
      <c r="N1021" s="85">
        <f>STATS1003B!N1022/1000</f>
        <v>0</v>
      </c>
      <c r="O1021" s="85">
        <f>STATS1003B!O1022/1000</f>
        <v>0</v>
      </c>
      <c r="P1021" s="85">
        <f>STATS1003B!P1022/1000</f>
        <v>0</v>
      </c>
      <c r="Q1021" s="85">
        <f>STATS1003B!Q1022/1000</f>
        <v>0</v>
      </c>
      <c r="R1021" s="85">
        <f>STATS1003B!R1022/1000</f>
        <v>0</v>
      </c>
      <c r="S1021" s="85">
        <f>STATS1003B!S1022/1000</f>
        <v>0</v>
      </c>
      <c r="T1021" s="85">
        <f>STATS1003B!T1022/1000</f>
        <v>0</v>
      </c>
      <c r="U1021" s="85">
        <f>STATS1003B!U1022/1000</f>
        <v>0</v>
      </c>
      <c r="V1021" s="85">
        <f>STATS1003B!V1022/1000</f>
        <v>430</v>
      </c>
      <c r="W1021" s="85">
        <f>STATS1003B!W1022/1000</f>
        <v>0</v>
      </c>
      <c r="X1021" s="85">
        <f t="shared" si="129"/>
        <v>430</v>
      </c>
      <c r="Y1021" s="85">
        <f>STATS1003B!Y1022/1000</f>
        <v>0</v>
      </c>
      <c r="Z1021" s="85">
        <f t="shared" si="131"/>
        <v>0</v>
      </c>
      <c r="AA1021" s="69">
        <f>STATS1003B!AA1022/1000</f>
        <v>430</v>
      </c>
      <c r="AB1021" s="69">
        <f>STATS1003B!AB1022/1000</f>
        <v>0</v>
      </c>
    </row>
    <row r="1022" spans="1:28" hidden="1" x14ac:dyDescent="0.3">
      <c r="A1022" s="117"/>
      <c r="C1022" s="68" t="s">
        <v>235</v>
      </c>
      <c r="D1022" s="87" t="s">
        <v>85</v>
      </c>
      <c r="E1022" s="85">
        <f>STATS1003B!E1023/1000</f>
        <v>3286.8739999999998</v>
      </c>
      <c r="F1022" s="85">
        <f>STATS1003B!F1023/1000</f>
        <v>3286.8739999999998</v>
      </c>
      <c r="G1022" s="85">
        <f>STATS1003B!G1023/1000</f>
        <v>0</v>
      </c>
      <c r="H1022" s="85">
        <f>STATS1003B!H1023/1000</f>
        <v>3286.8739999999998</v>
      </c>
      <c r="I1022" s="85">
        <f>STATS1003B!I1023/1000</f>
        <v>0</v>
      </c>
      <c r="J1022" s="85">
        <f>STATS1003B!J1023/1000</f>
        <v>0</v>
      </c>
      <c r="K1022" s="85">
        <f>STATS1003B!K1023/1000</f>
        <v>0</v>
      </c>
      <c r="L1022" s="85">
        <f>STATS1003B!L1023/1000</f>
        <v>0</v>
      </c>
      <c r="M1022" s="85">
        <f>STATS1003B!M1023/1000</f>
        <v>3286.8739999999998</v>
      </c>
      <c r="N1022" s="85">
        <f>STATS1003B!N1023/1000</f>
        <v>0</v>
      </c>
      <c r="O1022" s="85">
        <f>STATS1003B!O1023/1000</f>
        <v>0</v>
      </c>
      <c r="P1022" s="85">
        <f>STATS1003B!P1023/1000</f>
        <v>0</v>
      </c>
      <c r="Q1022" s="85">
        <f>STATS1003B!Q1023/1000</f>
        <v>0</v>
      </c>
      <c r="R1022" s="85">
        <f>STATS1003B!R1023/1000</f>
        <v>0</v>
      </c>
      <c r="S1022" s="85">
        <f>STATS1003B!S1023/1000</f>
        <v>0</v>
      </c>
      <c r="T1022" s="85">
        <f>STATS1003B!T1023/1000</f>
        <v>0</v>
      </c>
      <c r="U1022" s="85">
        <f>STATS1003B!U1023/1000</f>
        <v>0</v>
      </c>
      <c r="V1022" s="85">
        <f>STATS1003B!V1023/1000</f>
        <v>3286.8739999999998</v>
      </c>
      <c r="W1022" s="85">
        <f>STATS1003B!W1023/1000</f>
        <v>0</v>
      </c>
      <c r="X1022" s="85">
        <f t="shared" si="129"/>
        <v>3286.8739999999998</v>
      </c>
      <c r="Y1022" s="85">
        <f>STATS1003B!Y1023/1000</f>
        <v>0</v>
      </c>
      <c r="Z1022" s="85">
        <f t="shared" si="131"/>
        <v>0</v>
      </c>
      <c r="AA1022" s="69">
        <f>STATS1003B!AA1023/1000</f>
        <v>3286.8739999999998</v>
      </c>
      <c r="AB1022" s="69">
        <f>STATS1003B!AB1023/1000</f>
        <v>0</v>
      </c>
    </row>
    <row r="1023" spans="1:28" hidden="1" x14ac:dyDescent="0.3">
      <c r="A1023" s="117"/>
      <c r="C1023" s="68" t="s">
        <v>55</v>
      </c>
      <c r="D1023" s="87" t="s">
        <v>236</v>
      </c>
      <c r="E1023" s="85">
        <f>STATS1003B!E1024/1000</f>
        <v>29437.122649999998</v>
      </c>
      <c r="F1023" s="85">
        <f>STATS1003B!F1024/1000</f>
        <v>0</v>
      </c>
      <c r="G1023" s="85">
        <f>STATS1003B!G1024/1000</f>
        <v>0</v>
      </c>
      <c r="H1023" s="85">
        <f>STATS1003B!H1024/1000</f>
        <v>0</v>
      </c>
      <c r="I1023" s="85">
        <f>STATS1003B!I1024/1000</f>
        <v>0</v>
      </c>
      <c r="J1023" s="85">
        <f>STATS1003B!J1024/1000</f>
        <v>0</v>
      </c>
      <c r="K1023" s="85">
        <f>STATS1003B!K1024/1000</f>
        <v>0</v>
      </c>
      <c r="L1023" s="85">
        <f>STATS1003B!L1024/1000</f>
        <v>0</v>
      </c>
      <c r="M1023" s="85">
        <f>STATS1003B!M1024/1000</f>
        <v>0</v>
      </c>
      <c r="N1023" s="85">
        <f>STATS1003B!N1024/1000</f>
        <v>29437.122649999998</v>
      </c>
      <c r="O1023" s="85">
        <f>STATS1003B!O1024/1000</f>
        <v>0</v>
      </c>
      <c r="P1023" s="85">
        <f>STATS1003B!P1024/1000</f>
        <v>29437.122649999998</v>
      </c>
      <c r="Q1023" s="85">
        <f>STATS1003B!Q1024/1000</f>
        <v>0</v>
      </c>
      <c r="R1023" s="85">
        <f>STATS1003B!R1024/1000</f>
        <v>0</v>
      </c>
      <c r="S1023" s="85">
        <f>STATS1003B!S1024/1000</f>
        <v>0</v>
      </c>
      <c r="T1023" s="85">
        <f>STATS1003B!T1024/1000</f>
        <v>0</v>
      </c>
      <c r="U1023" s="85">
        <f>STATS1003B!U1024/1000</f>
        <v>29437.122649999998</v>
      </c>
      <c r="V1023" s="85">
        <f>STATS1003B!V1024/1000</f>
        <v>29437.122649999998</v>
      </c>
      <c r="W1023" s="85">
        <f>STATS1003B!W1024/1000</f>
        <v>0</v>
      </c>
      <c r="X1023" s="85">
        <f t="shared" si="129"/>
        <v>29437.122649999998</v>
      </c>
      <c r="Y1023" s="85">
        <f>STATS1003B!Y1024/1000</f>
        <v>0</v>
      </c>
      <c r="Z1023" s="85">
        <f t="shared" si="131"/>
        <v>0</v>
      </c>
      <c r="AA1023" s="69">
        <f>STATS1003B!AA1024/1000</f>
        <v>29437.122649999998</v>
      </c>
      <c r="AB1023" s="69">
        <f>STATS1003B!AB1024/1000</f>
        <v>0</v>
      </c>
    </row>
    <row r="1024" spans="1:28" hidden="1" x14ac:dyDescent="0.3">
      <c r="A1024" s="117"/>
      <c r="C1024" s="68" t="s">
        <v>237</v>
      </c>
      <c r="D1024" s="87" t="s">
        <v>128</v>
      </c>
      <c r="E1024" s="85">
        <f>STATS1003B!E1025/1000</f>
        <v>0</v>
      </c>
      <c r="F1024" s="85">
        <f>STATS1003B!F1025/1000</f>
        <v>0</v>
      </c>
      <c r="G1024" s="85">
        <f>STATS1003B!G1025/1000</f>
        <v>0</v>
      </c>
      <c r="H1024" s="85">
        <f>STATS1003B!H1025/1000</f>
        <v>0</v>
      </c>
      <c r="I1024" s="85">
        <f>STATS1003B!I1025/1000</f>
        <v>0</v>
      </c>
      <c r="J1024" s="85">
        <f>STATS1003B!J1025/1000</f>
        <v>0</v>
      </c>
      <c r="K1024" s="85">
        <f>STATS1003B!K1025/1000</f>
        <v>0</v>
      </c>
      <c r="L1024" s="85">
        <f>STATS1003B!L1025/1000</f>
        <v>0</v>
      </c>
      <c r="M1024" s="85">
        <f>STATS1003B!M1025/1000</f>
        <v>0</v>
      </c>
      <c r="N1024" s="85">
        <f>STATS1003B!N1025/1000</f>
        <v>0</v>
      </c>
      <c r="O1024" s="85">
        <f>STATS1003B!O1025/1000</f>
        <v>0</v>
      </c>
      <c r="P1024" s="85">
        <f>STATS1003B!P1025/1000</f>
        <v>0</v>
      </c>
      <c r="Q1024" s="85">
        <f>STATS1003B!Q1025/1000</f>
        <v>0</v>
      </c>
      <c r="R1024" s="85">
        <f>STATS1003B!R1025/1000</f>
        <v>0</v>
      </c>
      <c r="S1024" s="85">
        <f>STATS1003B!S1025/1000</f>
        <v>0</v>
      </c>
      <c r="T1024" s="85">
        <f>STATS1003B!T1025/1000</f>
        <v>0</v>
      </c>
      <c r="U1024" s="85">
        <f>STATS1003B!U1025/1000</f>
        <v>0</v>
      </c>
      <c r="V1024" s="85">
        <f>STATS1003B!V1025/1000</f>
        <v>0</v>
      </c>
      <c r="W1024" s="85">
        <f>STATS1003B!W1025/1000</f>
        <v>0</v>
      </c>
      <c r="X1024" s="85">
        <f t="shared" si="129"/>
        <v>0</v>
      </c>
      <c r="Y1024" s="85">
        <f>STATS1003B!Y1025/1000</f>
        <v>0</v>
      </c>
      <c r="Z1024" s="85">
        <f t="shared" si="131"/>
        <v>0</v>
      </c>
      <c r="AA1024" s="69">
        <f>STATS1003B!AA1025/1000</f>
        <v>0</v>
      </c>
      <c r="AB1024" s="69">
        <f>STATS1003B!AB1025/1000</f>
        <v>0</v>
      </c>
    </row>
    <row r="1025" spans="1:28" hidden="1" x14ac:dyDescent="0.3">
      <c r="A1025" s="117"/>
      <c r="C1025" s="71" t="s">
        <v>109</v>
      </c>
      <c r="D1025" s="88" t="s">
        <v>60</v>
      </c>
      <c r="E1025" s="85">
        <f>STATS1003B!E1026/1000</f>
        <v>2500</v>
      </c>
      <c r="F1025" s="85">
        <f>STATS1003B!F1026/1000</f>
        <v>2500</v>
      </c>
      <c r="G1025" s="85">
        <f>STATS1003B!G1026/1000</f>
        <v>0</v>
      </c>
      <c r="H1025" s="85">
        <f>STATS1003B!H1026/1000</f>
        <v>2500</v>
      </c>
      <c r="I1025" s="85">
        <f>STATS1003B!I1026/1000</f>
        <v>0</v>
      </c>
      <c r="J1025" s="85">
        <f>STATS1003B!J1026/1000</f>
        <v>0</v>
      </c>
      <c r="K1025" s="85">
        <f>STATS1003B!K1026/1000</f>
        <v>0</v>
      </c>
      <c r="L1025" s="85">
        <f>STATS1003B!L1026/1000</f>
        <v>0</v>
      </c>
      <c r="M1025" s="85">
        <f>STATS1003B!M1026/1000</f>
        <v>2500</v>
      </c>
      <c r="N1025" s="85">
        <f>STATS1003B!N1026/1000</f>
        <v>0</v>
      </c>
      <c r="O1025" s="85">
        <f>STATS1003B!O1026/1000</f>
        <v>0</v>
      </c>
      <c r="P1025" s="85">
        <f>STATS1003B!P1026/1000</f>
        <v>0</v>
      </c>
      <c r="Q1025" s="85">
        <f>STATS1003B!Q1026/1000</f>
        <v>0</v>
      </c>
      <c r="R1025" s="85">
        <f>STATS1003B!R1026/1000</f>
        <v>0</v>
      </c>
      <c r="S1025" s="85">
        <f>STATS1003B!S1026/1000</f>
        <v>0</v>
      </c>
      <c r="T1025" s="85">
        <f>STATS1003B!T1026/1000</f>
        <v>0</v>
      </c>
      <c r="U1025" s="85">
        <f>STATS1003B!U1026/1000</f>
        <v>0</v>
      </c>
      <c r="V1025" s="85">
        <f>STATS1003B!V1026/1000</f>
        <v>2500</v>
      </c>
      <c r="W1025" s="85">
        <f>STATS1003B!W1026/1000</f>
        <v>0</v>
      </c>
      <c r="X1025" s="85">
        <f t="shared" si="129"/>
        <v>2500</v>
      </c>
      <c r="Y1025" s="85">
        <f>STATS1003B!Y1026/1000</f>
        <v>0</v>
      </c>
      <c r="Z1025" s="85">
        <f t="shared" si="131"/>
        <v>0</v>
      </c>
      <c r="AA1025" s="69">
        <f>STATS1003B!AA1026/1000</f>
        <v>2500</v>
      </c>
      <c r="AB1025" s="69">
        <f>STATS1003B!AB1026/1000</f>
        <v>0</v>
      </c>
    </row>
    <row r="1026" spans="1:28" hidden="1" x14ac:dyDescent="0.3">
      <c r="A1026" s="117"/>
      <c r="C1026" s="71" t="s">
        <v>57</v>
      </c>
      <c r="D1026" s="88" t="s">
        <v>60</v>
      </c>
      <c r="E1026" s="85">
        <f>STATS1003B!E1027/1000</f>
        <v>714</v>
      </c>
      <c r="F1026" s="85">
        <f>STATS1003B!F1027/1000</f>
        <v>714</v>
      </c>
      <c r="G1026" s="85">
        <f>STATS1003B!G1027/1000</f>
        <v>0</v>
      </c>
      <c r="H1026" s="85">
        <f>STATS1003B!H1027/1000</f>
        <v>714</v>
      </c>
      <c r="I1026" s="85">
        <f>STATS1003B!I1027/1000</f>
        <v>0</v>
      </c>
      <c r="J1026" s="85">
        <f>STATS1003B!J1027/1000</f>
        <v>0</v>
      </c>
      <c r="K1026" s="85">
        <f>STATS1003B!K1027/1000</f>
        <v>0</v>
      </c>
      <c r="L1026" s="85">
        <f>STATS1003B!L1027/1000</f>
        <v>0</v>
      </c>
      <c r="M1026" s="85">
        <f>STATS1003B!M1027/1000</f>
        <v>714</v>
      </c>
      <c r="N1026" s="85">
        <f>STATS1003B!N1027/1000</f>
        <v>0</v>
      </c>
      <c r="O1026" s="85">
        <f>STATS1003B!O1027/1000</f>
        <v>0</v>
      </c>
      <c r="P1026" s="85">
        <f>STATS1003B!P1027/1000</f>
        <v>0</v>
      </c>
      <c r="Q1026" s="85">
        <f>STATS1003B!Q1027/1000</f>
        <v>0</v>
      </c>
      <c r="R1026" s="85">
        <f>STATS1003B!R1027/1000</f>
        <v>0</v>
      </c>
      <c r="S1026" s="85">
        <f>STATS1003B!S1027/1000</f>
        <v>0</v>
      </c>
      <c r="T1026" s="85">
        <f>STATS1003B!T1027/1000</f>
        <v>0</v>
      </c>
      <c r="U1026" s="85">
        <f>STATS1003B!U1027/1000</f>
        <v>0</v>
      </c>
      <c r="V1026" s="85">
        <f>STATS1003B!V1027/1000</f>
        <v>714</v>
      </c>
      <c r="W1026" s="85">
        <f>STATS1003B!W1027/1000</f>
        <v>0</v>
      </c>
      <c r="X1026" s="85">
        <f t="shared" si="129"/>
        <v>714</v>
      </c>
      <c r="Y1026" s="85">
        <f>STATS1003B!Y1027/1000</f>
        <v>0</v>
      </c>
      <c r="Z1026" s="85">
        <f t="shared" si="131"/>
        <v>0</v>
      </c>
      <c r="AA1026" s="69">
        <f>STATS1003B!AA1027/1000</f>
        <v>714</v>
      </c>
      <c r="AB1026" s="69">
        <f>STATS1003B!AB1027/1000</f>
        <v>0</v>
      </c>
    </row>
    <row r="1027" spans="1:28" hidden="1" x14ac:dyDescent="0.3">
      <c r="A1027" s="117"/>
      <c r="C1027" s="71" t="s">
        <v>238</v>
      </c>
      <c r="D1027" s="89" t="s">
        <v>239</v>
      </c>
      <c r="E1027" s="85">
        <f>STATS1003B!E1028/1000</f>
        <v>891.37900000000002</v>
      </c>
      <c r="F1027" s="85">
        <f>STATS1003B!F1028/1000</f>
        <v>891.37900000000002</v>
      </c>
      <c r="G1027" s="85">
        <f>STATS1003B!G1028/1000</f>
        <v>0</v>
      </c>
      <c r="H1027" s="85">
        <f>STATS1003B!H1028/1000</f>
        <v>891.37900000000002</v>
      </c>
      <c r="I1027" s="85">
        <f>STATS1003B!I1028/1000</f>
        <v>0</v>
      </c>
      <c r="J1027" s="85">
        <f>STATS1003B!J1028/1000</f>
        <v>0</v>
      </c>
      <c r="K1027" s="85">
        <f>STATS1003B!K1028/1000</f>
        <v>0</v>
      </c>
      <c r="L1027" s="85">
        <f>STATS1003B!L1028/1000</f>
        <v>0</v>
      </c>
      <c r="M1027" s="85">
        <f>STATS1003B!M1028/1000</f>
        <v>891.37900000000002</v>
      </c>
      <c r="N1027" s="85">
        <f>STATS1003B!N1028/1000</f>
        <v>0</v>
      </c>
      <c r="O1027" s="85">
        <f>STATS1003B!O1028/1000</f>
        <v>0</v>
      </c>
      <c r="P1027" s="85">
        <f>STATS1003B!P1028/1000</f>
        <v>0</v>
      </c>
      <c r="Q1027" s="85">
        <f>STATS1003B!Q1028/1000</f>
        <v>0</v>
      </c>
      <c r="R1027" s="85">
        <f>STATS1003B!R1028/1000</f>
        <v>0</v>
      </c>
      <c r="S1027" s="85">
        <f>STATS1003B!S1028/1000</f>
        <v>0</v>
      </c>
      <c r="T1027" s="85">
        <f>STATS1003B!T1028/1000</f>
        <v>0</v>
      </c>
      <c r="U1027" s="85">
        <f>STATS1003B!U1028/1000</f>
        <v>0</v>
      </c>
      <c r="V1027" s="85">
        <f>STATS1003B!V1028/1000</f>
        <v>891.37900000000002</v>
      </c>
      <c r="W1027" s="85">
        <f>STATS1003B!W1028/1000</f>
        <v>0</v>
      </c>
      <c r="X1027" s="85">
        <f t="shared" si="129"/>
        <v>891.37900000000002</v>
      </c>
      <c r="Y1027" s="85">
        <f>STATS1003B!Y1028/1000</f>
        <v>0</v>
      </c>
      <c r="Z1027" s="85">
        <f t="shared" si="131"/>
        <v>0</v>
      </c>
      <c r="AA1027" s="69">
        <f>STATS1003B!AA1028/1000</f>
        <v>891.37900000000002</v>
      </c>
      <c r="AB1027" s="69">
        <f>STATS1003B!AB1028/1000</f>
        <v>0</v>
      </c>
    </row>
    <row r="1028" spans="1:28" hidden="1" x14ac:dyDescent="0.3">
      <c r="A1028" s="117"/>
      <c r="C1028" s="71" t="s">
        <v>925</v>
      </c>
      <c r="D1028" s="89" t="s">
        <v>1072</v>
      </c>
      <c r="E1028" s="85">
        <f>STATS1003B!E1029/1000</f>
        <v>108.621</v>
      </c>
      <c r="F1028" s="85">
        <f>STATS1003B!F1029/1000</f>
        <v>108.621</v>
      </c>
      <c r="G1028" s="85">
        <f>STATS1003B!G1029/1000</f>
        <v>0</v>
      </c>
      <c r="H1028" s="85">
        <f>STATS1003B!H1029/1000</f>
        <v>108.621</v>
      </c>
      <c r="I1028" s="85">
        <f>STATS1003B!I1029/1000</f>
        <v>0</v>
      </c>
      <c r="J1028" s="85">
        <f>STATS1003B!J1029/1000</f>
        <v>0</v>
      </c>
      <c r="K1028" s="85">
        <f>STATS1003B!K1029/1000</f>
        <v>0</v>
      </c>
      <c r="L1028" s="85">
        <f>STATS1003B!L1029/1000</f>
        <v>0</v>
      </c>
      <c r="M1028" s="85">
        <f>STATS1003B!M1029/1000</f>
        <v>108.621</v>
      </c>
      <c r="N1028" s="85">
        <f>STATS1003B!N1029/1000</f>
        <v>0</v>
      </c>
      <c r="O1028" s="85">
        <f>STATS1003B!O1029/1000</f>
        <v>0</v>
      </c>
      <c r="P1028" s="85">
        <f>STATS1003B!P1029/1000</f>
        <v>0</v>
      </c>
      <c r="Q1028" s="85">
        <f>STATS1003B!Q1029/1000</f>
        <v>0</v>
      </c>
      <c r="R1028" s="85">
        <f>STATS1003B!R1029/1000</f>
        <v>0</v>
      </c>
      <c r="S1028" s="85">
        <f>STATS1003B!S1029/1000</f>
        <v>0</v>
      </c>
      <c r="T1028" s="85">
        <f>STATS1003B!T1029/1000</f>
        <v>0</v>
      </c>
      <c r="U1028" s="85">
        <f>STATS1003B!U1029/1000</f>
        <v>0</v>
      </c>
      <c r="V1028" s="85">
        <f>STATS1003B!V1029/1000</f>
        <v>108.621</v>
      </c>
      <c r="W1028" s="85">
        <f>STATS1003B!W1029/1000</f>
        <v>0</v>
      </c>
      <c r="X1028" s="85">
        <f t="shared" si="129"/>
        <v>108.621</v>
      </c>
      <c r="Y1028" s="85">
        <f>STATS1003B!Y1029/1000</f>
        <v>0</v>
      </c>
      <c r="Z1028" s="85">
        <f t="shared" si="131"/>
        <v>0</v>
      </c>
      <c r="AA1028" s="69">
        <f>STATS1003B!AA1029/1000</f>
        <v>108.621</v>
      </c>
      <c r="AB1028" s="69">
        <f>STATS1003B!AB1029/1000</f>
        <v>0</v>
      </c>
    </row>
    <row r="1029" spans="1:28" hidden="1" x14ac:dyDescent="0.3">
      <c r="A1029" s="117"/>
      <c r="C1029" s="71" t="s">
        <v>932</v>
      </c>
      <c r="D1029" s="89" t="s">
        <v>1072</v>
      </c>
      <c r="E1029" s="85">
        <f>STATS1003B!E1030/1000</f>
        <v>400</v>
      </c>
      <c r="F1029" s="85">
        <f>STATS1003B!F1030/1000</f>
        <v>400</v>
      </c>
      <c r="G1029" s="85">
        <f>STATS1003B!G1030/1000</f>
        <v>0</v>
      </c>
      <c r="H1029" s="85">
        <f>STATS1003B!H1030/1000</f>
        <v>400</v>
      </c>
      <c r="I1029" s="85">
        <f>STATS1003B!I1030/1000</f>
        <v>0</v>
      </c>
      <c r="J1029" s="85">
        <f>STATS1003B!J1030/1000</f>
        <v>0</v>
      </c>
      <c r="K1029" s="85">
        <f>STATS1003B!K1030/1000</f>
        <v>0</v>
      </c>
      <c r="L1029" s="85">
        <f>STATS1003B!L1030/1000</f>
        <v>0</v>
      </c>
      <c r="M1029" s="85">
        <f>STATS1003B!M1030/1000</f>
        <v>400</v>
      </c>
      <c r="N1029" s="85">
        <f>STATS1003B!N1030/1000</f>
        <v>0</v>
      </c>
      <c r="O1029" s="85">
        <f>STATS1003B!O1030/1000</f>
        <v>0</v>
      </c>
      <c r="P1029" s="85">
        <f>STATS1003B!P1030/1000</f>
        <v>0</v>
      </c>
      <c r="Q1029" s="85">
        <f>STATS1003B!Q1030/1000</f>
        <v>0</v>
      </c>
      <c r="R1029" s="85">
        <f>STATS1003B!R1030/1000</f>
        <v>0</v>
      </c>
      <c r="S1029" s="85">
        <f>STATS1003B!S1030/1000</f>
        <v>0</v>
      </c>
      <c r="T1029" s="85">
        <f>STATS1003B!T1030/1000</f>
        <v>0</v>
      </c>
      <c r="U1029" s="85">
        <f>STATS1003B!U1030/1000</f>
        <v>0</v>
      </c>
      <c r="V1029" s="85">
        <f>STATS1003B!V1030/1000</f>
        <v>400</v>
      </c>
      <c r="W1029" s="85">
        <f>STATS1003B!W1030/1000</f>
        <v>0</v>
      </c>
      <c r="X1029" s="85">
        <f t="shared" si="129"/>
        <v>400</v>
      </c>
      <c r="Y1029" s="85">
        <f>STATS1003B!Y1030/1000</f>
        <v>0</v>
      </c>
      <c r="Z1029" s="85">
        <f t="shared" si="131"/>
        <v>0</v>
      </c>
      <c r="AA1029" s="69">
        <f>STATS1003B!AA1030/1000</f>
        <v>400</v>
      </c>
      <c r="AB1029" s="69">
        <f>STATS1003B!AB1030/1000</f>
        <v>0</v>
      </c>
    </row>
    <row r="1030" spans="1:28" hidden="1" x14ac:dyDescent="0.3">
      <c r="A1030" s="117"/>
      <c r="C1030" s="71" t="s">
        <v>924</v>
      </c>
      <c r="D1030" s="89" t="s">
        <v>1072</v>
      </c>
      <c r="E1030" s="85">
        <f>STATS1003B!E1031/1000</f>
        <v>3.1838500000000001</v>
      </c>
      <c r="F1030" s="85">
        <f>STATS1003B!F1031/1000</f>
        <v>0</v>
      </c>
      <c r="G1030" s="85">
        <f>STATS1003B!G1031/1000</f>
        <v>0</v>
      </c>
      <c r="H1030" s="85">
        <f>STATS1003B!H1031/1000</f>
        <v>0</v>
      </c>
      <c r="I1030" s="85">
        <f>STATS1003B!I1031/1000</f>
        <v>0</v>
      </c>
      <c r="J1030" s="85">
        <f>STATS1003B!J1031/1000</f>
        <v>0</v>
      </c>
      <c r="K1030" s="85">
        <f>STATS1003B!K1031/1000</f>
        <v>0</v>
      </c>
      <c r="L1030" s="85">
        <f>STATS1003B!L1031/1000</f>
        <v>0</v>
      </c>
      <c r="M1030" s="85">
        <f>STATS1003B!M1031/1000</f>
        <v>0</v>
      </c>
      <c r="N1030" s="85">
        <f>STATS1003B!N1031/1000</f>
        <v>3.1838500000000001</v>
      </c>
      <c r="O1030" s="85">
        <f>STATS1003B!O1031/1000</f>
        <v>0</v>
      </c>
      <c r="P1030" s="85">
        <f>STATS1003B!P1031/1000</f>
        <v>3.1838500000000001</v>
      </c>
      <c r="Q1030" s="85">
        <f>STATS1003B!Q1031/1000</f>
        <v>0</v>
      </c>
      <c r="R1030" s="85">
        <f>STATS1003B!R1031/1000</f>
        <v>0</v>
      </c>
      <c r="S1030" s="85">
        <f>STATS1003B!S1031/1000</f>
        <v>0</v>
      </c>
      <c r="T1030" s="85">
        <f>STATS1003B!T1031/1000</f>
        <v>0</v>
      </c>
      <c r="U1030" s="85">
        <f>STATS1003B!U1031/1000</f>
        <v>3.1838500000000001</v>
      </c>
      <c r="V1030" s="85">
        <f>STATS1003B!V1031/1000</f>
        <v>3.1838500000000001</v>
      </c>
      <c r="W1030" s="85">
        <f>STATS1003B!W1031/1000</f>
        <v>0</v>
      </c>
      <c r="X1030" s="85">
        <f t="shared" si="129"/>
        <v>3.1838500000000001</v>
      </c>
      <c r="Y1030" s="85">
        <f>STATS1003B!Y1031/1000</f>
        <v>0</v>
      </c>
      <c r="Z1030" s="85">
        <f t="shared" si="131"/>
        <v>0</v>
      </c>
      <c r="AA1030" s="69">
        <f>STATS1003B!AA1031/1000</f>
        <v>3.1838500000000001</v>
      </c>
      <c r="AB1030" s="69">
        <f>STATS1003B!AB1031/1000</f>
        <v>0</v>
      </c>
    </row>
    <row r="1031" spans="1:28" hidden="1" x14ac:dyDescent="0.3">
      <c r="A1031" s="117"/>
      <c r="C1031" s="71" t="s">
        <v>57</v>
      </c>
      <c r="D1031" s="89" t="s">
        <v>61</v>
      </c>
      <c r="E1031" s="85">
        <f>STATS1003B!E1032/1000</f>
        <v>564</v>
      </c>
      <c r="F1031" s="85">
        <f>STATS1003B!F1032/1000</f>
        <v>564</v>
      </c>
      <c r="G1031" s="85">
        <f>STATS1003B!G1032/1000</f>
        <v>0</v>
      </c>
      <c r="H1031" s="85">
        <f>STATS1003B!H1032/1000</f>
        <v>564</v>
      </c>
      <c r="I1031" s="85">
        <f>STATS1003B!I1032/1000</f>
        <v>564</v>
      </c>
      <c r="J1031" s="85">
        <f>STATS1003B!J1032/1000</f>
        <v>564</v>
      </c>
      <c r="K1031" s="85">
        <f>STATS1003B!K1032/1000</f>
        <v>0</v>
      </c>
      <c r="L1031" s="85">
        <f>STATS1003B!L1032/1000</f>
        <v>0</v>
      </c>
      <c r="M1031" s="85">
        <f>STATS1003B!M1032/1000</f>
        <v>564</v>
      </c>
      <c r="N1031" s="85">
        <f>STATS1003B!N1032/1000</f>
        <v>0</v>
      </c>
      <c r="O1031" s="85">
        <f>STATS1003B!O1032/1000</f>
        <v>0</v>
      </c>
      <c r="P1031" s="85">
        <f>STATS1003B!P1032/1000</f>
        <v>0</v>
      </c>
      <c r="Q1031" s="85">
        <f>STATS1003B!Q1032/1000</f>
        <v>0</v>
      </c>
      <c r="R1031" s="85">
        <f>STATS1003B!R1032/1000</f>
        <v>0</v>
      </c>
      <c r="S1031" s="85">
        <f>STATS1003B!S1032/1000</f>
        <v>0</v>
      </c>
      <c r="T1031" s="85">
        <f>STATS1003B!T1032/1000</f>
        <v>0</v>
      </c>
      <c r="U1031" s="85">
        <f>STATS1003B!U1032/1000</f>
        <v>0</v>
      </c>
      <c r="V1031" s="85">
        <f>STATS1003B!V1032/1000</f>
        <v>564</v>
      </c>
      <c r="W1031" s="85">
        <f>STATS1003B!W1032/1000</f>
        <v>0</v>
      </c>
      <c r="X1031" s="85">
        <f t="shared" si="129"/>
        <v>564</v>
      </c>
      <c r="Y1031" s="85">
        <f>STATS1003B!Y1032/1000</f>
        <v>0</v>
      </c>
      <c r="Z1031" s="85">
        <f t="shared" si="131"/>
        <v>0</v>
      </c>
      <c r="AA1031" s="69">
        <f>STATS1003B!AA1032/1000</f>
        <v>564</v>
      </c>
      <c r="AB1031" s="69">
        <f>STATS1003B!AB1032/1000</f>
        <v>0</v>
      </c>
    </row>
    <row r="1032" spans="1:28" hidden="1" x14ac:dyDescent="0.3">
      <c r="A1032" s="117"/>
      <c r="E1032" s="86" t="s">
        <v>29</v>
      </c>
      <c r="F1032" s="86" t="s">
        <v>29</v>
      </c>
      <c r="G1032" s="86" t="s">
        <v>29</v>
      </c>
      <c r="H1032" s="86" t="s">
        <v>29</v>
      </c>
      <c r="I1032" s="86" t="s">
        <v>29</v>
      </c>
      <c r="J1032" s="86" t="s">
        <v>29</v>
      </c>
      <c r="K1032" s="86" t="s">
        <v>29</v>
      </c>
      <c r="L1032" s="86" t="s">
        <v>29</v>
      </c>
      <c r="M1032" s="86" t="s">
        <v>29</v>
      </c>
      <c r="N1032" s="86" t="s">
        <v>29</v>
      </c>
      <c r="O1032" s="86" t="s">
        <v>29</v>
      </c>
      <c r="P1032" s="86" t="s">
        <v>29</v>
      </c>
      <c r="Q1032" s="86" t="s">
        <v>29</v>
      </c>
      <c r="R1032" s="86" t="s">
        <v>29</v>
      </c>
      <c r="S1032" s="86" t="s">
        <v>29</v>
      </c>
      <c r="T1032" s="86" t="s">
        <v>29</v>
      </c>
      <c r="U1032" s="86" t="s">
        <v>29</v>
      </c>
      <c r="V1032" s="86" t="s">
        <v>29</v>
      </c>
      <c r="W1032" s="86" t="s">
        <v>29</v>
      </c>
      <c r="X1032" s="85" t="e">
        <f t="shared" si="129"/>
        <v>#VALUE!</v>
      </c>
      <c r="Y1032" s="86" t="s">
        <v>29</v>
      </c>
      <c r="Z1032" s="85" t="e">
        <f t="shared" si="131"/>
        <v>#VALUE!</v>
      </c>
      <c r="AA1032" s="115" t="s">
        <v>29</v>
      </c>
      <c r="AB1032" s="115" t="s">
        <v>29</v>
      </c>
    </row>
    <row r="1033" spans="1:28" x14ac:dyDescent="0.3">
      <c r="A1033" s="116">
        <v>47</v>
      </c>
      <c r="B1033" s="68" t="s">
        <v>230</v>
      </c>
      <c r="E1033" s="85">
        <f>178914870.06/1000</f>
        <v>178914.87006000002</v>
      </c>
      <c r="F1033" s="85">
        <f t="shared" ref="F1033:AB1033" si="133">SUM(F1017:F1031)</f>
        <v>16959.364000000001</v>
      </c>
      <c r="G1033" s="85">
        <f t="shared" si="133"/>
        <v>0</v>
      </c>
      <c r="H1033" s="85">
        <f>143280825.38/1000</f>
        <v>143280.82537999999</v>
      </c>
      <c r="I1033" s="85">
        <f t="shared" si="133"/>
        <v>564</v>
      </c>
      <c r="J1033" s="85">
        <f t="shared" si="133"/>
        <v>564</v>
      </c>
      <c r="K1033" s="85">
        <f t="shared" si="133"/>
        <v>0</v>
      </c>
      <c r="L1033" s="85">
        <f t="shared" si="133"/>
        <v>0</v>
      </c>
      <c r="M1033" s="85">
        <f t="shared" si="133"/>
        <v>16959.364000000001</v>
      </c>
      <c r="N1033" s="85">
        <f t="shared" si="133"/>
        <v>35634.044679999999</v>
      </c>
      <c r="O1033" s="85">
        <f t="shared" si="133"/>
        <v>0</v>
      </c>
      <c r="P1033" s="85">
        <f>35634044/1000</f>
        <v>35634.044000000002</v>
      </c>
      <c r="Q1033" s="85">
        <f t="shared" si="133"/>
        <v>0</v>
      </c>
      <c r="R1033" s="85">
        <f t="shared" si="133"/>
        <v>0</v>
      </c>
      <c r="S1033" s="85">
        <f t="shared" si="133"/>
        <v>0</v>
      </c>
      <c r="T1033" s="85">
        <f t="shared" si="133"/>
        <v>0</v>
      </c>
      <c r="U1033" s="85">
        <f t="shared" si="133"/>
        <v>35634.044679999999</v>
      </c>
      <c r="V1033" s="85">
        <f t="shared" si="133"/>
        <v>52593.40868</v>
      </c>
      <c r="W1033" s="85">
        <f t="shared" si="133"/>
        <v>0</v>
      </c>
      <c r="X1033" s="85">
        <f>+H1033+P1033</f>
        <v>178914.86937999999</v>
      </c>
      <c r="Y1033" s="85">
        <f t="shared" si="133"/>
        <v>0</v>
      </c>
      <c r="Z1033" s="85">
        <f t="shared" si="131"/>
        <v>6.800000264775008E-4</v>
      </c>
      <c r="AA1033" s="69">
        <f t="shared" si="133"/>
        <v>52593.40868</v>
      </c>
      <c r="AB1033" s="69">
        <f t="shared" si="133"/>
        <v>0</v>
      </c>
    </row>
    <row r="1034" spans="1:28" hidden="1" x14ac:dyDescent="0.3">
      <c r="A1034" s="117"/>
      <c r="E1034" s="86" t="s">
        <v>29</v>
      </c>
      <c r="F1034" s="86" t="s">
        <v>29</v>
      </c>
      <c r="G1034" s="86" t="s">
        <v>29</v>
      </c>
      <c r="H1034" s="86" t="s">
        <v>29</v>
      </c>
      <c r="I1034" s="86" t="s">
        <v>29</v>
      </c>
      <c r="J1034" s="86" t="s">
        <v>29</v>
      </c>
      <c r="K1034" s="86" t="s">
        <v>29</v>
      </c>
      <c r="L1034" s="86" t="s">
        <v>29</v>
      </c>
      <c r="M1034" s="86" t="s">
        <v>29</v>
      </c>
      <c r="N1034" s="86" t="s">
        <v>29</v>
      </c>
      <c r="O1034" s="86" t="s">
        <v>29</v>
      </c>
      <c r="P1034" s="86" t="s">
        <v>29</v>
      </c>
      <c r="Q1034" s="86" t="s">
        <v>29</v>
      </c>
      <c r="R1034" s="86" t="s">
        <v>29</v>
      </c>
      <c r="S1034" s="86" t="s">
        <v>29</v>
      </c>
      <c r="T1034" s="86" t="s">
        <v>29</v>
      </c>
      <c r="U1034" s="86" t="s">
        <v>29</v>
      </c>
      <c r="V1034" s="86" t="s">
        <v>29</v>
      </c>
      <c r="W1034" s="86" t="s">
        <v>29</v>
      </c>
      <c r="X1034" s="85" t="e">
        <f t="shared" si="129"/>
        <v>#VALUE!</v>
      </c>
      <c r="Y1034" s="86" t="s">
        <v>29</v>
      </c>
      <c r="Z1034" s="85" t="e">
        <f t="shared" si="131"/>
        <v>#VALUE!</v>
      </c>
      <c r="AA1034" s="115" t="s">
        <v>29</v>
      </c>
      <c r="AB1034" s="115" t="s">
        <v>29</v>
      </c>
    </row>
    <row r="1035" spans="1:28" hidden="1" x14ac:dyDescent="0.3">
      <c r="A1035" s="105"/>
      <c r="E1035" s="84"/>
      <c r="F1035" s="84"/>
      <c r="G1035" s="84"/>
      <c r="H1035" s="84"/>
      <c r="I1035" s="84"/>
      <c r="J1035" s="84"/>
      <c r="K1035" s="84"/>
      <c r="L1035" s="84"/>
      <c r="M1035" s="84"/>
      <c r="N1035" s="84"/>
      <c r="O1035" s="84"/>
      <c r="P1035" s="84"/>
      <c r="Q1035" s="84"/>
      <c r="R1035" s="84"/>
      <c r="S1035" s="84"/>
      <c r="T1035" s="84"/>
      <c r="U1035" s="84"/>
      <c r="V1035" s="84"/>
      <c r="W1035" s="84"/>
      <c r="X1035" s="85">
        <f t="shared" si="129"/>
        <v>0</v>
      </c>
      <c r="Y1035" s="84"/>
      <c r="Z1035" s="85">
        <f t="shared" si="131"/>
        <v>0</v>
      </c>
    </row>
    <row r="1036" spans="1:28" hidden="1" x14ac:dyDescent="0.3">
      <c r="A1036" s="117"/>
      <c r="C1036" s="68" t="s">
        <v>172</v>
      </c>
      <c r="D1036" s="87" t="s">
        <v>166</v>
      </c>
      <c r="E1036" s="85">
        <f>STATS1003B!E1037/1000</f>
        <v>1609.847</v>
      </c>
      <c r="F1036" s="85">
        <f>STATS1003B!F1037/1000</f>
        <v>1609.847</v>
      </c>
      <c r="G1036" s="85">
        <f>STATS1003B!G1037/1000</f>
        <v>0</v>
      </c>
      <c r="H1036" s="85">
        <f>STATS1003B!H1037/1000</f>
        <v>1609.847</v>
      </c>
      <c r="I1036" s="85">
        <f>STATS1003B!I1037/1000</f>
        <v>0</v>
      </c>
      <c r="J1036" s="85">
        <f>STATS1003B!J1037/1000</f>
        <v>0</v>
      </c>
      <c r="K1036" s="85">
        <f>STATS1003B!K1037/1000</f>
        <v>0</v>
      </c>
      <c r="L1036" s="85">
        <f>STATS1003B!L1037/1000</f>
        <v>0</v>
      </c>
      <c r="M1036" s="85">
        <f>STATS1003B!M1037/1000</f>
        <v>1609.847</v>
      </c>
      <c r="N1036" s="85">
        <f>STATS1003B!N1037/1000</f>
        <v>0</v>
      </c>
      <c r="O1036" s="85">
        <f>STATS1003B!O1037/1000</f>
        <v>0</v>
      </c>
      <c r="P1036" s="85">
        <f>STATS1003B!P1037/1000</f>
        <v>0</v>
      </c>
      <c r="Q1036" s="85">
        <f>STATS1003B!Q1037/1000</f>
        <v>0</v>
      </c>
      <c r="R1036" s="85">
        <f>STATS1003B!R1037/1000</f>
        <v>0</v>
      </c>
      <c r="S1036" s="85">
        <f>STATS1003B!S1037/1000</f>
        <v>0</v>
      </c>
      <c r="T1036" s="85">
        <f>STATS1003B!T1037/1000</f>
        <v>0</v>
      </c>
      <c r="U1036" s="85">
        <f>STATS1003B!U1037/1000</f>
        <v>0</v>
      </c>
      <c r="V1036" s="85">
        <f>STATS1003B!V1037/1000</f>
        <v>1609.847</v>
      </c>
      <c r="W1036" s="85">
        <f>STATS1003B!W1037/1000</f>
        <v>0</v>
      </c>
      <c r="X1036" s="85">
        <f t="shared" si="129"/>
        <v>1609.847</v>
      </c>
      <c r="Y1036" s="85">
        <f>STATS1003B!Y1037/1000</f>
        <v>0</v>
      </c>
      <c r="Z1036" s="85">
        <f t="shared" si="131"/>
        <v>0</v>
      </c>
      <c r="AA1036" s="69">
        <f>STATS1003B!AA1037/1000</f>
        <v>1609.847</v>
      </c>
      <c r="AB1036" s="69">
        <f>STATS1003B!AB1037/1000</f>
        <v>0</v>
      </c>
    </row>
    <row r="1037" spans="1:28" hidden="1" x14ac:dyDescent="0.3">
      <c r="A1037" s="117"/>
      <c r="C1037" s="68" t="s">
        <v>55</v>
      </c>
      <c r="D1037" s="87" t="s">
        <v>99</v>
      </c>
      <c r="E1037" s="85">
        <f>STATS1003B!E1038/1000</f>
        <v>20755.785250000001</v>
      </c>
      <c r="F1037" s="85">
        <f>STATS1003B!F1038/1000</f>
        <v>0</v>
      </c>
      <c r="G1037" s="85">
        <f>STATS1003B!G1038/1000</f>
        <v>0</v>
      </c>
      <c r="H1037" s="85">
        <f>STATS1003B!H1038/1000</f>
        <v>0</v>
      </c>
      <c r="I1037" s="85">
        <f>STATS1003B!I1038/1000</f>
        <v>0</v>
      </c>
      <c r="J1037" s="85">
        <f>STATS1003B!J1038/1000</f>
        <v>0</v>
      </c>
      <c r="K1037" s="85">
        <f>STATS1003B!K1038/1000</f>
        <v>0</v>
      </c>
      <c r="L1037" s="85">
        <f>STATS1003B!L1038/1000</f>
        <v>0</v>
      </c>
      <c r="M1037" s="85">
        <f>STATS1003B!M1038/1000</f>
        <v>0</v>
      </c>
      <c r="N1037" s="85">
        <f>STATS1003B!N1038/1000</f>
        <v>20755.785250000001</v>
      </c>
      <c r="O1037" s="85">
        <f>STATS1003B!O1038/1000</f>
        <v>0</v>
      </c>
      <c r="P1037" s="85">
        <f>STATS1003B!P1038/1000</f>
        <v>20755.785250000001</v>
      </c>
      <c r="Q1037" s="85">
        <f>STATS1003B!Q1038/1000</f>
        <v>0</v>
      </c>
      <c r="R1037" s="85">
        <f>STATS1003B!R1038/1000</f>
        <v>0</v>
      </c>
      <c r="S1037" s="85">
        <f>STATS1003B!S1038/1000</f>
        <v>0</v>
      </c>
      <c r="T1037" s="85">
        <f>STATS1003B!T1038/1000</f>
        <v>0</v>
      </c>
      <c r="U1037" s="85">
        <f>STATS1003B!U1038/1000</f>
        <v>20755.785250000001</v>
      </c>
      <c r="V1037" s="85">
        <f>STATS1003B!V1038/1000</f>
        <v>20755.785250000001</v>
      </c>
      <c r="W1037" s="85">
        <f>STATS1003B!W1038/1000</f>
        <v>0</v>
      </c>
      <c r="X1037" s="85">
        <f t="shared" si="129"/>
        <v>20755.785250000001</v>
      </c>
      <c r="Y1037" s="85">
        <f>STATS1003B!Y1038/1000</f>
        <v>0</v>
      </c>
      <c r="Z1037" s="85">
        <f t="shared" si="131"/>
        <v>0</v>
      </c>
      <c r="AA1037" s="69">
        <f>STATS1003B!AA1038/1000</f>
        <v>20755.785250000001</v>
      </c>
      <c r="AB1037" s="69">
        <f>STATS1003B!AB1038/1000</f>
        <v>0</v>
      </c>
    </row>
    <row r="1038" spans="1:28" hidden="1" x14ac:dyDescent="0.3">
      <c r="A1038" s="117"/>
      <c r="C1038" s="68" t="s">
        <v>57</v>
      </c>
      <c r="D1038" s="87" t="s">
        <v>79</v>
      </c>
      <c r="E1038" s="85">
        <f>STATS1003B!E1039/1000</f>
        <v>3660.1525499999998</v>
      </c>
      <c r="F1038" s="85">
        <f>STATS1003B!F1039/1000</f>
        <v>1929.4341399999998</v>
      </c>
      <c r="G1038" s="85">
        <f>STATS1003B!G1039/1000</f>
        <v>0</v>
      </c>
      <c r="H1038" s="85">
        <f>STATS1003B!H1039/1000</f>
        <v>1929.4341399999998</v>
      </c>
      <c r="I1038" s="85">
        <f>STATS1003B!I1039/1000</f>
        <v>0</v>
      </c>
      <c r="J1038" s="85">
        <f>STATS1003B!J1039/1000</f>
        <v>0</v>
      </c>
      <c r="K1038" s="85">
        <f>STATS1003B!K1039/1000</f>
        <v>0</v>
      </c>
      <c r="L1038" s="85">
        <f>STATS1003B!L1039/1000</f>
        <v>0</v>
      </c>
      <c r="M1038" s="85">
        <f>STATS1003B!M1039/1000</f>
        <v>1929.4341399999998</v>
      </c>
      <c r="N1038" s="85">
        <f>STATS1003B!N1039/1000</f>
        <v>1730.7184099999999</v>
      </c>
      <c r="O1038" s="85">
        <f>STATS1003B!O1039/1000</f>
        <v>0</v>
      </c>
      <c r="P1038" s="85">
        <f>STATS1003B!P1039/1000</f>
        <v>1730.7184099999999</v>
      </c>
      <c r="Q1038" s="85">
        <f>STATS1003B!Q1039/1000</f>
        <v>0</v>
      </c>
      <c r="R1038" s="85">
        <f>STATS1003B!R1039/1000</f>
        <v>0</v>
      </c>
      <c r="S1038" s="85">
        <f>STATS1003B!S1039/1000</f>
        <v>0</v>
      </c>
      <c r="T1038" s="85">
        <f>STATS1003B!T1039/1000</f>
        <v>0</v>
      </c>
      <c r="U1038" s="85">
        <f>STATS1003B!U1039/1000</f>
        <v>1730.7184099999999</v>
      </c>
      <c r="V1038" s="85">
        <f>STATS1003B!V1039/1000</f>
        <v>3660.1525499999998</v>
      </c>
      <c r="W1038" s="85">
        <f>STATS1003B!W1039/1000</f>
        <v>0</v>
      </c>
      <c r="X1038" s="85">
        <f t="shared" si="129"/>
        <v>3660.1525499999998</v>
      </c>
      <c r="Y1038" s="85">
        <f>STATS1003B!Y1039/1000</f>
        <v>0</v>
      </c>
      <c r="Z1038" s="85">
        <f t="shared" si="131"/>
        <v>0</v>
      </c>
      <c r="AA1038" s="69">
        <f>STATS1003B!AA1039/1000</f>
        <v>3660.1525499999998</v>
      </c>
      <c r="AB1038" s="69">
        <f>STATS1003B!AB1039/1000</f>
        <v>0</v>
      </c>
    </row>
    <row r="1039" spans="1:28" hidden="1" x14ac:dyDescent="0.3">
      <c r="A1039" s="117"/>
      <c r="C1039" s="68" t="s">
        <v>53</v>
      </c>
      <c r="D1039" s="87" t="s">
        <v>68</v>
      </c>
      <c r="E1039" s="85">
        <f>STATS1003B!E1040/1000</f>
        <v>1953.989</v>
      </c>
      <c r="F1039" s="85">
        <f>STATS1003B!F1040/1000</f>
        <v>0</v>
      </c>
      <c r="G1039" s="85">
        <f>STATS1003B!G1040/1000</f>
        <v>0</v>
      </c>
      <c r="H1039" s="85">
        <f>STATS1003B!H1040/1000</f>
        <v>0</v>
      </c>
      <c r="I1039" s="85">
        <f>STATS1003B!I1040/1000</f>
        <v>0</v>
      </c>
      <c r="J1039" s="85">
        <f>STATS1003B!J1040/1000</f>
        <v>0</v>
      </c>
      <c r="K1039" s="85">
        <f>STATS1003B!K1040/1000</f>
        <v>0</v>
      </c>
      <c r="L1039" s="85">
        <f>STATS1003B!L1040/1000</f>
        <v>0</v>
      </c>
      <c r="M1039" s="85">
        <f>STATS1003B!M1040/1000</f>
        <v>0</v>
      </c>
      <c r="N1039" s="85">
        <f>STATS1003B!N1040/1000</f>
        <v>1953.989</v>
      </c>
      <c r="O1039" s="85">
        <f>STATS1003B!O1040/1000</f>
        <v>0</v>
      </c>
      <c r="P1039" s="85">
        <f>STATS1003B!P1040/1000</f>
        <v>1953.989</v>
      </c>
      <c r="Q1039" s="85">
        <f>STATS1003B!Q1040/1000</f>
        <v>0</v>
      </c>
      <c r="R1039" s="85">
        <f>STATS1003B!R1040/1000</f>
        <v>0</v>
      </c>
      <c r="S1039" s="85">
        <f>STATS1003B!S1040/1000</f>
        <v>0</v>
      </c>
      <c r="T1039" s="85">
        <f>STATS1003B!T1040/1000</f>
        <v>0</v>
      </c>
      <c r="U1039" s="85">
        <f>STATS1003B!U1040/1000</f>
        <v>1953.989</v>
      </c>
      <c r="V1039" s="85">
        <f>STATS1003B!V1040/1000</f>
        <v>1953.989</v>
      </c>
      <c r="W1039" s="85">
        <f>STATS1003B!W1040/1000</f>
        <v>0</v>
      </c>
      <c r="X1039" s="85">
        <f t="shared" si="129"/>
        <v>1953.989</v>
      </c>
      <c r="Y1039" s="85">
        <f>STATS1003B!Y1040/1000</f>
        <v>0</v>
      </c>
      <c r="Z1039" s="85">
        <f t="shared" si="131"/>
        <v>0</v>
      </c>
      <c r="AA1039" s="69">
        <f>STATS1003B!AA1040/1000</f>
        <v>1953.989</v>
      </c>
      <c r="AB1039" s="69">
        <f>STATS1003B!AB1040/1000</f>
        <v>0</v>
      </c>
    </row>
    <row r="1040" spans="1:28" hidden="1" x14ac:dyDescent="0.3">
      <c r="A1040" s="117"/>
      <c r="C1040" s="68" t="s">
        <v>192</v>
      </c>
      <c r="D1040" s="87" t="s">
        <v>54</v>
      </c>
      <c r="E1040" s="85">
        <f>STATS1003B!E1041/1000</f>
        <v>955.34561999999994</v>
      </c>
      <c r="F1040" s="85">
        <f>STATS1003B!F1041/1000</f>
        <v>0</v>
      </c>
      <c r="G1040" s="85">
        <f>STATS1003B!G1041/1000</f>
        <v>0</v>
      </c>
      <c r="H1040" s="85">
        <f>STATS1003B!H1041/1000</f>
        <v>0</v>
      </c>
      <c r="I1040" s="85">
        <f>STATS1003B!I1041/1000</f>
        <v>0</v>
      </c>
      <c r="J1040" s="85">
        <f>STATS1003B!J1041/1000</f>
        <v>0</v>
      </c>
      <c r="K1040" s="85">
        <f>STATS1003B!K1041/1000</f>
        <v>0</v>
      </c>
      <c r="L1040" s="85">
        <f>STATS1003B!L1041/1000</f>
        <v>0</v>
      </c>
      <c r="M1040" s="85">
        <f>STATS1003B!M1041/1000</f>
        <v>0</v>
      </c>
      <c r="N1040" s="85">
        <f>STATS1003B!N1041/1000</f>
        <v>955.34561999999994</v>
      </c>
      <c r="O1040" s="85">
        <f>STATS1003B!O1041/1000</f>
        <v>0</v>
      </c>
      <c r="P1040" s="85">
        <f>STATS1003B!P1041/1000</f>
        <v>955.34561999999994</v>
      </c>
      <c r="Q1040" s="85">
        <f>STATS1003B!Q1041/1000</f>
        <v>0</v>
      </c>
      <c r="R1040" s="85">
        <f>STATS1003B!R1041/1000</f>
        <v>0</v>
      </c>
      <c r="S1040" s="85">
        <f>STATS1003B!S1041/1000</f>
        <v>0</v>
      </c>
      <c r="T1040" s="85">
        <f>STATS1003B!T1041/1000</f>
        <v>0</v>
      </c>
      <c r="U1040" s="85">
        <f>STATS1003B!U1041/1000</f>
        <v>955.34561999999994</v>
      </c>
      <c r="V1040" s="85">
        <f>STATS1003B!V1041/1000</f>
        <v>955.34561999999994</v>
      </c>
      <c r="W1040" s="85">
        <f>STATS1003B!W1041/1000</f>
        <v>0</v>
      </c>
      <c r="X1040" s="85">
        <f t="shared" si="129"/>
        <v>955.34561999999994</v>
      </c>
      <c r="Y1040" s="85">
        <f>STATS1003B!Y1041/1000</f>
        <v>0</v>
      </c>
      <c r="Z1040" s="85">
        <f t="shared" si="131"/>
        <v>0</v>
      </c>
      <c r="AA1040" s="69">
        <f>STATS1003B!AA1041/1000</f>
        <v>955.34561999999994</v>
      </c>
      <c r="AB1040" s="69">
        <f>STATS1003B!AB1041/1000</f>
        <v>0</v>
      </c>
    </row>
    <row r="1041" spans="1:28" hidden="1" x14ac:dyDescent="0.3">
      <c r="A1041" s="117"/>
      <c r="C1041" s="68" t="s">
        <v>225</v>
      </c>
      <c r="D1041" s="87" t="s">
        <v>85</v>
      </c>
      <c r="E1041" s="85">
        <f>STATS1003B!E1042/1000</f>
        <v>160</v>
      </c>
      <c r="F1041" s="85">
        <f>STATS1003B!F1042/1000</f>
        <v>160</v>
      </c>
      <c r="G1041" s="85">
        <f>STATS1003B!G1042/1000</f>
        <v>0</v>
      </c>
      <c r="H1041" s="85">
        <f>STATS1003B!H1042/1000</f>
        <v>160</v>
      </c>
      <c r="I1041" s="85">
        <f>STATS1003B!I1042/1000</f>
        <v>0</v>
      </c>
      <c r="J1041" s="85">
        <f>STATS1003B!J1042/1000</f>
        <v>0</v>
      </c>
      <c r="K1041" s="85">
        <f>STATS1003B!K1042/1000</f>
        <v>0</v>
      </c>
      <c r="L1041" s="85">
        <f>STATS1003B!L1042/1000</f>
        <v>0</v>
      </c>
      <c r="M1041" s="85">
        <f>STATS1003B!M1042/1000</f>
        <v>160</v>
      </c>
      <c r="N1041" s="85">
        <f>STATS1003B!N1042/1000</f>
        <v>0</v>
      </c>
      <c r="O1041" s="85">
        <f>STATS1003B!O1042/1000</f>
        <v>0</v>
      </c>
      <c r="P1041" s="85">
        <f>STATS1003B!P1042/1000</f>
        <v>0</v>
      </c>
      <c r="Q1041" s="85">
        <f>STATS1003B!Q1042/1000</f>
        <v>0</v>
      </c>
      <c r="R1041" s="85">
        <f>STATS1003B!R1042/1000</f>
        <v>0</v>
      </c>
      <c r="S1041" s="85">
        <f>STATS1003B!S1042/1000</f>
        <v>0</v>
      </c>
      <c r="T1041" s="85">
        <f>STATS1003B!T1042/1000</f>
        <v>0</v>
      </c>
      <c r="U1041" s="85">
        <f>STATS1003B!U1042/1000</f>
        <v>0</v>
      </c>
      <c r="V1041" s="85">
        <f>STATS1003B!V1042/1000</f>
        <v>160</v>
      </c>
      <c r="W1041" s="85">
        <f>STATS1003B!W1042/1000</f>
        <v>0</v>
      </c>
      <c r="X1041" s="85">
        <f t="shared" si="129"/>
        <v>160</v>
      </c>
      <c r="Y1041" s="85">
        <f>STATS1003B!Y1042/1000</f>
        <v>0</v>
      </c>
      <c r="Z1041" s="85">
        <f t="shared" si="131"/>
        <v>0</v>
      </c>
      <c r="AA1041" s="69">
        <f>STATS1003B!AA1042/1000</f>
        <v>160</v>
      </c>
      <c r="AB1041" s="69">
        <f>STATS1003B!AB1042/1000</f>
        <v>0</v>
      </c>
    </row>
    <row r="1042" spans="1:28" hidden="1" x14ac:dyDescent="0.3">
      <c r="A1042" s="117"/>
      <c r="C1042" s="68" t="s">
        <v>241</v>
      </c>
      <c r="D1042" s="87" t="s">
        <v>128</v>
      </c>
      <c r="E1042" s="85">
        <f>STATS1003B!E1043/1000</f>
        <v>1000</v>
      </c>
      <c r="F1042" s="85">
        <f>STATS1003B!F1043/1000</f>
        <v>1000</v>
      </c>
      <c r="G1042" s="85">
        <f>STATS1003B!G1043/1000</f>
        <v>0</v>
      </c>
      <c r="H1042" s="85">
        <f>STATS1003B!H1043/1000</f>
        <v>1000</v>
      </c>
      <c r="I1042" s="85">
        <f>STATS1003B!I1043/1000</f>
        <v>0</v>
      </c>
      <c r="J1042" s="85">
        <f>STATS1003B!J1043/1000</f>
        <v>0</v>
      </c>
      <c r="K1042" s="85">
        <f>STATS1003B!K1043/1000</f>
        <v>0</v>
      </c>
      <c r="L1042" s="85">
        <f>STATS1003B!L1043/1000</f>
        <v>0</v>
      </c>
      <c r="M1042" s="85">
        <f>STATS1003B!M1043/1000</f>
        <v>1000</v>
      </c>
      <c r="N1042" s="85">
        <f>STATS1003B!N1043/1000</f>
        <v>0</v>
      </c>
      <c r="O1042" s="85">
        <f>STATS1003B!O1043/1000</f>
        <v>0</v>
      </c>
      <c r="P1042" s="85">
        <f>STATS1003B!P1043/1000</f>
        <v>0</v>
      </c>
      <c r="Q1042" s="85">
        <f>STATS1003B!Q1043/1000</f>
        <v>0</v>
      </c>
      <c r="R1042" s="85">
        <f>STATS1003B!R1043/1000</f>
        <v>0</v>
      </c>
      <c r="S1042" s="85">
        <f>STATS1003B!S1043/1000</f>
        <v>0</v>
      </c>
      <c r="T1042" s="85">
        <f>STATS1003B!T1043/1000</f>
        <v>0</v>
      </c>
      <c r="U1042" s="85">
        <f>STATS1003B!U1043/1000</f>
        <v>0</v>
      </c>
      <c r="V1042" s="85">
        <f>STATS1003B!V1043/1000</f>
        <v>1000</v>
      </c>
      <c r="W1042" s="85">
        <f>STATS1003B!W1043/1000</f>
        <v>0</v>
      </c>
      <c r="X1042" s="85">
        <f t="shared" si="129"/>
        <v>1000</v>
      </c>
      <c r="Y1042" s="85">
        <f>STATS1003B!Y1043/1000</f>
        <v>0</v>
      </c>
      <c r="Z1042" s="85">
        <f t="shared" si="131"/>
        <v>0</v>
      </c>
      <c r="AA1042" s="69">
        <f>STATS1003B!AA1043/1000</f>
        <v>1000</v>
      </c>
      <c r="AB1042" s="69">
        <f>STATS1003B!AB1043/1000</f>
        <v>0</v>
      </c>
    </row>
    <row r="1043" spans="1:28" hidden="1" x14ac:dyDescent="0.3">
      <c r="A1043" s="117"/>
      <c r="C1043" s="68" t="s">
        <v>57</v>
      </c>
      <c r="D1043" s="87" t="s">
        <v>58</v>
      </c>
      <c r="E1043" s="85">
        <f>STATS1003B!E1044/1000</f>
        <v>2076.5189999999998</v>
      </c>
      <c r="F1043" s="85">
        <f>STATS1003B!F1044/1000</f>
        <v>2076.5189999999998</v>
      </c>
      <c r="G1043" s="85">
        <f>STATS1003B!G1044/1000</f>
        <v>0</v>
      </c>
      <c r="H1043" s="85">
        <f>STATS1003B!H1044/1000</f>
        <v>2076.5189999999998</v>
      </c>
      <c r="I1043" s="85">
        <f>STATS1003B!I1044/1000</f>
        <v>0</v>
      </c>
      <c r="J1043" s="85">
        <f>STATS1003B!J1044/1000</f>
        <v>0</v>
      </c>
      <c r="K1043" s="85">
        <f>STATS1003B!K1044/1000</f>
        <v>0</v>
      </c>
      <c r="L1043" s="85">
        <f>STATS1003B!L1044/1000</f>
        <v>0</v>
      </c>
      <c r="M1043" s="85">
        <f>STATS1003B!M1044/1000</f>
        <v>2076.5189999999998</v>
      </c>
      <c r="N1043" s="85">
        <f>STATS1003B!N1044/1000</f>
        <v>0</v>
      </c>
      <c r="O1043" s="85">
        <f>STATS1003B!O1044/1000</f>
        <v>0</v>
      </c>
      <c r="P1043" s="85">
        <f>STATS1003B!P1044/1000</f>
        <v>0</v>
      </c>
      <c r="Q1043" s="85">
        <f>STATS1003B!Q1044/1000</f>
        <v>0</v>
      </c>
      <c r="R1043" s="85">
        <f>STATS1003B!R1044/1000</f>
        <v>0</v>
      </c>
      <c r="S1043" s="85">
        <f>STATS1003B!S1044/1000</f>
        <v>0</v>
      </c>
      <c r="T1043" s="85">
        <f>STATS1003B!T1044/1000</f>
        <v>0</v>
      </c>
      <c r="U1043" s="85">
        <f>STATS1003B!U1044/1000</f>
        <v>0</v>
      </c>
      <c r="V1043" s="85">
        <f>STATS1003B!V1044/1000</f>
        <v>2076.5189999999998</v>
      </c>
      <c r="W1043" s="85">
        <f>STATS1003B!W1044/1000</f>
        <v>0</v>
      </c>
      <c r="X1043" s="85">
        <f t="shared" si="129"/>
        <v>2076.5189999999998</v>
      </c>
      <c r="Y1043" s="85">
        <f>STATS1003B!Y1044/1000</f>
        <v>0</v>
      </c>
      <c r="Z1043" s="85">
        <f t="shared" si="131"/>
        <v>0</v>
      </c>
      <c r="AA1043" s="69">
        <f>STATS1003B!AA1044/1000</f>
        <v>2076.5189999999998</v>
      </c>
      <c r="AB1043" s="69">
        <f>STATS1003B!AB1044/1000</f>
        <v>0</v>
      </c>
    </row>
    <row r="1044" spans="1:28" hidden="1" x14ac:dyDescent="0.3">
      <c r="A1044" s="117"/>
      <c r="C1044" s="68" t="s">
        <v>924</v>
      </c>
      <c r="D1044" s="87"/>
      <c r="E1044" s="85">
        <f>STATS1003B!E1045/1000</f>
        <v>450</v>
      </c>
      <c r="F1044" s="85">
        <f>STATS1003B!F1045/1000</f>
        <v>450</v>
      </c>
      <c r="G1044" s="85">
        <f>STATS1003B!G1045/1000</f>
        <v>0</v>
      </c>
      <c r="H1044" s="85">
        <f>STATS1003B!H1045/1000</f>
        <v>450</v>
      </c>
      <c r="I1044" s="85">
        <f>STATS1003B!I1045/1000</f>
        <v>0</v>
      </c>
      <c r="J1044" s="85">
        <f>STATS1003B!J1045/1000</f>
        <v>0</v>
      </c>
      <c r="K1044" s="85">
        <f>STATS1003B!K1045/1000</f>
        <v>0</v>
      </c>
      <c r="L1044" s="85">
        <f>STATS1003B!L1045/1000</f>
        <v>0</v>
      </c>
      <c r="M1044" s="85">
        <f>STATS1003B!M1045/1000</f>
        <v>450</v>
      </c>
      <c r="N1044" s="85">
        <f>STATS1003B!N1045/1000</f>
        <v>0</v>
      </c>
      <c r="O1044" s="85">
        <f>STATS1003B!O1045/1000</f>
        <v>0</v>
      </c>
      <c r="P1044" s="85">
        <f>STATS1003B!P1045/1000</f>
        <v>0</v>
      </c>
      <c r="Q1044" s="85">
        <f>STATS1003B!Q1045/1000</f>
        <v>0</v>
      </c>
      <c r="R1044" s="85">
        <f>STATS1003B!R1045/1000</f>
        <v>0</v>
      </c>
      <c r="S1044" s="85">
        <f>STATS1003B!S1045/1000</f>
        <v>0</v>
      </c>
      <c r="T1044" s="85">
        <f>STATS1003B!T1045/1000</f>
        <v>0</v>
      </c>
      <c r="U1044" s="85">
        <f>STATS1003B!U1045/1000</f>
        <v>0</v>
      </c>
      <c r="V1044" s="85">
        <f>STATS1003B!V1045/1000</f>
        <v>450</v>
      </c>
      <c r="W1044" s="85">
        <f>STATS1003B!W1045/1000</f>
        <v>0</v>
      </c>
      <c r="X1044" s="85">
        <f t="shared" si="129"/>
        <v>450</v>
      </c>
      <c r="Y1044" s="85">
        <f>STATS1003B!Y1045/1000</f>
        <v>0</v>
      </c>
      <c r="Z1044" s="85">
        <f t="shared" si="131"/>
        <v>0</v>
      </c>
      <c r="AA1044" s="69">
        <f>STATS1003B!AA1045/1000</f>
        <v>450</v>
      </c>
      <c r="AB1044" s="69">
        <f>STATS1003B!AB1045/1000</f>
        <v>0</v>
      </c>
    </row>
    <row r="1045" spans="1:28" hidden="1" x14ac:dyDescent="0.3">
      <c r="A1045" s="117"/>
      <c r="C1045" s="68" t="s">
        <v>930</v>
      </c>
      <c r="D1045" s="90" t="s">
        <v>1072</v>
      </c>
      <c r="E1045" s="85">
        <f>STATS1003B!E1046/1000</f>
        <v>767</v>
      </c>
      <c r="F1045" s="85">
        <f>STATS1003B!F1046/1000</f>
        <v>767</v>
      </c>
      <c r="G1045" s="85">
        <f>STATS1003B!G1046/1000</f>
        <v>0</v>
      </c>
      <c r="H1045" s="85">
        <f>STATS1003B!H1046/1000</f>
        <v>767</v>
      </c>
      <c r="I1045" s="85">
        <f>STATS1003B!I1046/1000</f>
        <v>0</v>
      </c>
      <c r="J1045" s="85">
        <f>STATS1003B!J1046/1000</f>
        <v>0</v>
      </c>
      <c r="K1045" s="85">
        <f>STATS1003B!K1046/1000</f>
        <v>0</v>
      </c>
      <c r="L1045" s="85">
        <f>STATS1003B!L1046/1000</f>
        <v>0</v>
      </c>
      <c r="M1045" s="85">
        <f>STATS1003B!M1046/1000</f>
        <v>767</v>
      </c>
      <c r="N1045" s="85">
        <f>STATS1003B!N1046/1000</f>
        <v>0</v>
      </c>
      <c r="O1045" s="85">
        <f>STATS1003B!O1046/1000</f>
        <v>0</v>
      </c>
      <c r="P1045" s="85">
        <f>STATS1003B!P1046/1000</f>
        <v>0</v>
      </c>
      <c r="Q1045" s="85">
        <f>STATS1003B!Q1046/1000</f>
        <v>0</v>
      </c>
      <c r="R1045" s="85">
        <f>STATS1003B!R1046/1000</f>
        <v>0</v>
      </c>
      <c r="S1045" s="85">
        <f>STATS1003B!S1046/1000</f>
        <v>0</v>
      </c>
      <c r="T1045" s="85">
        <f>STATS1003B!T1046/1000</f>
        <v>0</v>
      </c>
      <c r="U1045" s="85">
        <f>STATS1003B!U1046/1000</f>
        <v>0</v>
      </c>
      <c r="V1045" s="85">
        <f>STATS1003B!V1046/1000</f>
        <v>767</v>
      </c>
      <c r="W1045" s="85">
        <f>STATS1003B!W1046/1000</f>
        <v>0</v>
      </c>
      <c r="X1045" s="85">
        <f t="shared" si="129"/>
        <v>767</v>
      </c>
      <c r="Y1045" s="85">
        <f>STATS1003B!Y1046/1000</f>
        <v>0</v>
      </c>
      <c r="Z1045" s="85">
        <f t="shared" si="131"/>
        <v>0</v>
      </c>
      <c r="AA1045" s="69">
        <f>STATS1003B!AA1046/1000</f>
        <v>767</v>
      </c>
      <c r="AB1045" s="69">
        <f>STATS1003B!AB1046/1000</f>
        <v>0</v>
      </c>
    </row>
    <row r="1046" spans="1:28" hidden="1" x14ac:dyDescent="0.3">
      <c r="A1046" s="117"/>
      <c r="C1046" s="71" t="s">
        <v>109</v>
      </c>
      <c r="D1046" s="88" t="s">
        <v>60</v>
      </c>
      <c r="E1046" s="85">
        <f>STATS1003B!E1047/1000</f>
        <v>2500</v>
      </c>
      <c r="F1046" s="85">
        <f>STATS1003B!F1047/1000</f>
        <v>2500</v>
      </c>
      <c r="G1046" s="85">
        <f>STATS1003B!G1047/1000</f>
        <v>0</v>
      </c>
      <c r="H1046" s="85">
        <f>STATS1003B!H1047/1000</f>
        <v>2500</v>
      </c>
      <c r="I1046" s="85">
        <f>STATS1003B!I1047/1000</f>
        <v>0</v>
      </c>
      <c r="J1046" s="85">
        <f>STATS1003B!J1047/1000</f>
        <v>0</v>
      </c>
      <c r="K1046" s="85">
        <f>STATS1003B!K1047/1000</f>
        <v>0</v>
      </c>
      <c r="L1046" s="85">
        <f>STATS1003B!L1047/1000</f>
        <v>0</v>
      </c>
      <c r="M1046" s="85">
        <f>STATS1003B!M1047/1000</f>
        <v>2500</v>
      </c>
      <c r="N1046" s="85">
        <f>STATS1003B!N1047/1000</f>
        <v>0</v>
      </c>
      <c r="O1046" s="85">
        <f>STATS1003B!O1047/1000</f>
        <v>0</v>
      </c>
      <c r="P1046" s="85">
        <f>STATS1003B!P1047/1000</f>
        <v>0</v>
      </c>
      <c r="Q1046" s="85">
        <f>STATS1003B!Q1047/1000</f>
        <v>0</v>
      </c>
      <c r="R1046" s="85">
        <f>STATS1003B!R1047/1000</f>
        <v>0</v>
      </c>
      <c r="S1046" s="85">
        <f>STATS1003B!S1047/1000</f>
        <v>0</v>
      </c>
      <c r="T1046" s="85">
        <f>STATS1003B!T1047/1000</f>
        <v>0</v>
      </c>
      <c r="U1046" s="85">
        <f>STATS1003B!U1047/1000</f>
        <v>0</v>
      </c>
      <c r="V1046" s="85">
        <f>STATS1003B!V1047/1000</f>
        <v>2500</v>
      </c>
      <c r="W1046" s="85">
        <f>STATS1003B!W1047/1000</f>
        <v>0</v>
      </c>
      <c r="X1046" s="85">
        <f t="shared" si="129"/>
        <v>2500</v>
      </c>
      <c r="Y1046" s="85">
        <f>STATS1003B!Y1047/1000</f>
        <v>0</v>
      </c>
      <c r="Z1046" s="85">
        <f t="shared" si="131"/>
        <v>0</v>
      </c>
      <c r="AA1046" s="69">
        <f>STATS1003B!AA1047/1000</f>
        <v>2500</v>
      </c>
      <c r="AB1046" s="69">
        <f>STATS1003B!AB1047/1000</f>
        <v>0</v>
      </c>
    </row>
    <row r="1047" spans="1:28" hidden="1" x14ac:dyDescent="0.3">
      <c r="A1047" s="117"/>
      <c r="C1047" s="68" t="s">
        <v>57</v>
      </c>
      <c r="D1047" s="87" t="s">
        <v>60</v>
      </c>
      <c r="E1047" s="85">
        <f>STATS1003B!E1048/1000</f>
        <v>1308</v>
      </c>
      <c r="F1047" s="85">
        <f>STATS1003B!F1048/1000</f>
        <v>1308</v>
      </c>
      <c r="G1047" s="85">
        <f>STATS1003B!G1048/1000</f>
        <v>0</v>
      </c>
      <c r="H1047" s="85">
        <f>STATS1003B!H1048/1000</f>
        <v>1308</v>
      </c>
      <c r="I1047" s="85">
        <f>STATS1003B!I1048/1000</f>
        <v>0</v>
      </c>
      <c r="J1047" s="85">
        <f>STATS1003B!J1048/1000</f>
        <v>0</v>
      </c>
      <c r="K1047" s="85">
        <f>STATS1003B!K1048/1000</f>
        <v>0</v>
      </c>
      <c r="L1047" s="85">
        <f>STATS1003B!L1048/1000</f>
        <v>0</v>
      </c>
      <c r="M1047" s="85">
        <f>STATS1003B!M1048/1000</f>
        <v>1308</v>
      </c>
      <c r="N1047" s="85">
        <f>STATS1003B!N1048/1000</f>
        <v>0</v>
      </c>
      <c r="O1047" s="85">
        <f>STATS1003B!O1048/1000</f>
        <v>0</v>
      </c>
      <c r="P1047" s="85">
        <f>STATS1003B!P1048/1000</f>
        <v>0</v>
      </c>
      <c r="Q1047" s="85">
        <f>STATS1003B!Q1048/1000</f>
        <v>0</v>
      </c>
      <c r="R1047" s="85">
        <f>STATS1003B!R1048/1000</f>
        <v>0</v>
      </c>
      <c r="S1047" s="85">
        <f>STATS1003B!S1048/1000</f>
        <v>0</v>
      </c>
      <c r="T1047" s="85">
        <f>STATS1003B!T1048/1000</f>
        <v>0</v>
      </c>
      <c r="U1047" s="85">
        <f>STATS1003B!U1048/1000</f>
        <v>0</v>
      </c>
      <c r="V1047" s="85">
        <f>STATS1003B!V1048/1000</f>
        <v>1308</v>
      </c>
      <c r="W1047" s="85">
        <f>STATS1003B!W1048/1000</f>
        <v>0</v>
      </c>
      <c r="X1047" s="85">
        <f t="shared" si="129"/>
        <v>1308</v>
      </c>
      <c r="Y1047" s="85">
        <f>STATS1003B!Y1048/1000</f>
        <v>0</v>
      </c>
      <c r="Z1047" s="85">
        <f t="shared" si="131"/>
        <v>0</v>
      </c>
      <c r="AA1047" s="69">
        <f>STATS1003B!AA1048/1000</f>
        <v>1308</v>
      </c>
      <c r="AB1047" s="69">
        <f>STATS1003B!AB1048/1000</f>
        <v>0</v>
      </c>
    </row>
    <row r="1048" spans="1:28" hidden="1" x14ac:dyDescent="0.3">
      <c r="A1048" s="117"/>
      <c r="E1048" s="86" t="s">
        <v>29</v>
      </c>
      <c r="F1048" s="86" t="s">
        <v>29</v>
      </c>
      <c r="G1048" s="86" t="s">
        <v>29</v>
      </c>
      <c r="H1048" s="86" t="s">
        <v>29</v>
      </c>
      <c r="I1048" s="86" t="s">
        <v>29</v>
      </c>
      <c r="J1048" s="86" t="s">
        <v>29</v>
      </c>
      <c r="K1048" s="86" t="s">
        <v>29</v>
      </c>
      <c r="L1048" s="86" t="s">
        <v>29</v>
      </c>
      <c r="M1048" s="86" t="s">
        <v>29</v>
      </c>
      <c r="N1048" s="86" t="s">
        <v>29</v>
      </c>
      <c r="O1048" s="86" t="s">
        <v>29</v>
      </c>
      <c r="P1048" s="86" t="s">
        <v>29</v>
      </c>
      <c r="Q1048" s="86" t="s">
        <v>29</v>
      </c>
      <c r="R1048" s="86" t="s">
        <v>29</v>
      </c>
      <c r="S1048" s="86" t="s">
        <v>29</v>
      </c>
      <c r="T1048" s="86" t="s">
        <v>29</v>
      </c>
      <c r="U1048" s="86" t="s">
        <v>29</v>
      </c>
      <c r="V1048" s="86" t="s">
        <v>29</v>
      </c>
      <c r="W1048" s="86" t="s">
        <v>29</v>
      </c>
      <c r="X1048" s="85" t="e">
        <f t="shared" ref="X1048:X1111" si="134">+H1048+P1048</f>
        <v>#VALUE!</v>
      </c>
      <c r="Y1048" s="86" t="s">
        <v>29</v>
      </c>
      <c r="Z1048" s="85" t="e">
        <f t="shared" si="131"/>
        <v>#VALUE!</v>
      </c>
      <c r="AA1048" s="115" t="s">
        <v>29</v>
      </c>
      <c r="AB1048" s="115" t="s">
        <v>29</v>
      </c>
    </row>
    <row r="1049" spans="1:28" x14ac:dyDescent="0.3">
      <c r="A1049" s="116">
        <v>48</v>
      </c>
      <c r="B1049" s="68" t="s">
        <v>240</v>
      </c>
      <c r="E1049" s="85">
        <f>123160911.91/1000</f>
        <v>123160.91191</v>
      </c>
      <c r="F1049" s="85">
        <f t="shared" ref="F1049:AB1049" si="135">SUM(F1036:F1047)</f>
        <v>11800.800139999999</v>
      </c>
      <c r="G1049" s="85">
        <f t="shared" si="135"/>
        <v>0</v>
      </c>
      <c r="H1049" s="85">
        <f>97765073.63/1000</f>
        <v>97765.073629999999</v>
      </c>
      <c r="I1049" s="85">
        <f t="shared" si="135"/>
        <v>0</v>
      </c>
      <c r="J1049" s="85">
        <f t="shared" si="135"/>
        <v>0</v>
      </c>
      <c r="K1049" s="85">
        <f t="shared" si="135"/>
        <v>0</v>
      </c>
      <c r="L1049" s="85">
        <f t="shared" si="135"/>
        <v>0</v>
      </c>
      <c r="M1049" s="85">
        <f t="shared" si="135"/>
        <v>11800.800139999999</v>
      </c>
      <c r="N1049" s="85">
        <f t="shared" si="135"/>
        <v>25395.838280000004</v>
      </c>
      <c r="O1049" s="85">
        <f t="shared" si="135"/>
        <v>0</v>
      </c>
      <c r="P1049" s="85">
        <f>25395838/1000</f>
        <v>25395.838</v>
      </c>
      <c r="Q1049" s="85">
        <f t="shared" si="135"/>
        <v>0</v>
      </c>
      <c r="R1049" s="85">
        <f t="shared" si="135"/>
        <v>0</v>
      </c>
      <c r="S1049" s="85">
        <f t="shared" si="135"/>
        <v>0</v>
      </c>
      <c r="T1049" s="85">
        <f t="shared" si="135"/>
        <v>0</v>
      </c>
      <c r="U1049" s="85">
        <f t="shared" si="135"/>
        <v>25395.838280000004</v>
      </c>
      <c r="V1049" s="85">
        <f t="shared" si="135"/>
        <v>37196.638420000003</v>
      </c>
      <c r="W1049" s="85">
        <f t="shared" si="135"/>
        <v>0</v>
      </c>
      <c r="X1049" s="85">
        <f t="shared" si="134"/>
        <v>123160.91163</v>
      </c>
      <c r="Y1049" s="85">
        <f t="shared" si="135"/>
        <v>0</v>
      </c>
      <c r="Z1049" s="85">
        <f t="shared" si="131"/>
        <v>2.7999999292660505E-4</v>
      </c>
      <c r="AA1049" s="69">
        <f t="shared" si="135"/>
        <v>37196.638420000003</v>
      </c>
      <c r="AB1049" s="69">
        <f t="shared" si="135"/>
        <v>0</v>
      </c>
    </row>
    <row r="1050" spans="1:28" hidden="1" x14ac:dyDescent="0.3">
      <c r="A1050" s="117"/>
      <c r="E1050" s="86" t="s">
        <v>29</v>
      </c>
      <c r="F1050" s="86" t="s">
        <v>29</v>
      </c>
      <c r="G1050" s="86" t="s">
        <v>29</v>
      </c>
      <c r="H1050" s="86" t="s">
        <v>29</v>
      </c>
      <c r="I1050" s="86" t="s">
        <v>29</v>
      </c>
      <c r="J1050" s="86" t="s">
        <v>29</v>
      </c>
      <c r="K1050" s="86" t="s">
        <v>29</v>
      </c>
      <c r="L1050" s="86" t="s">
        <v>29</v>
      </c>
      <c r="M1050" s="86" t="s">
        <v>29</v>
      </c>
      <c r="N1050" s="86" t="s">
        <v>29</v>
      </c>
      <c r="O1050" s="86" t="s">
        <v>29</v>
      </c>
      <c r="P1050" s="86" t="s">
        <v>29</v>
      </c>
      <c r="Q1050" s="86" t="s">
        <v>29</v>
      </c>
      <c r="R1050" s="86" t="s">
        <v>29</v>
      </c>
      <c r="S1050" s="86" t="s">
        <v>29</v>
      </c>
      <c r="T1050" s="86" t="s">
        <v>29</v>
      </c>
      <c r="U1050" s="86" t="s">
        <v>29</v>
      </c>
      <c r="V1050" s="86" t="s">
        <v>29</v>
      </c>
      <c r="W1050" s="86" t="s">
        <v>29</v>
      </c>
      <c r="X1050" s="85" t="e">
        <f t="shared" si="134"/>
        <v>#VALUE!</v>
      </c>
      <c r="Y1050" s="86" t="s">
        <v>29</v>
      </c>
      <c r="Z1050" s="85" t="e">
        <f t="shared" si="131"/>
        <v>#VALUE!</v>
      </c>
      <c r="AA1050" s="115" t="s">
        <v>29</v>
      </c>
      <c r="AB1050" s="115" t="s">
        <v>29</v>
      </c>
    </row>
    <row r="1051" spans="1:28" hidden="1" x14ac:dyDescent="0.3">
      <c r="A1051" s="105"/>
      <c r="E1051" s="84"/>
      <c r="F1051" s="84"/>
      <c r="G1051" s="84"/>
      <c r="H1051" s="84"/>
      <c r="I1051" s="84"/>
      <c r="J1051" s="84"/>
      <c r="K1051" s="84"/>
      <c r="L1051" s="84"/>
      <c r="M1051" s="84"/>
      <c r="N1051" s="84"/>
      <c r="O1051" s="84"/>
      <c r="P1051" s="84"/>
      <c r="Q1051" s="84"/>
      <c r="R1051" s="84"/>
      <c r="S1051" s="84"/>
      <c r="T1051" s="84"/>
      <c r="U1051" s="84"/>
      <c r="V1051" s="84"/>
      <c r="W1051" s="84"/>
      <c r="X1051" s="85">
        <f t="shared" si="134"/>
        <v>0</v>
      </c>
      <c r="Y1051" s="84"/>
      <c r="Z1051" s="85">
        <f t="shared" si="131"/>
        <v>0</v>
      </c>
    </row>
    <row r="1052" spans="1:28" hidden="1" x14ac:dyDescent="0.3">
      <c r="A1052" s="117"/>
      <c r="C1052" s="68" t="s">
        <v>172</v>
      </c>
      <c r="D1052" s="87" t="s">
        <v>166</v>
      </c>
      <c r="E1052" s="85">
        <f>STATS1003B!E1053/1000</f>
        <v>1033.8340000000001</v>
      </c>
      <c r="F1052" s="85">
        <f>STATS1003B!F1053/1000</f>
        <v>1033.8340000000001</v>
      </c>
      <c r="G1052" s="85">
        <f>STATS1003B!G1053/1000</f>
        <v>0</v>
      </c>
      <c r="H1052" s="85">
        <f>STATS1003B!H1053/1000</f>
        <v>1033.8340000000001</v>
      </c>
      <c r="I1052" s="85">
        <f>STATS1003B!I1053/1000</f>
        <v>0</v>
      </c>
      <c r="J1052" s="85">
        <f>STATS1003B!J1053/1000</f>
        <v>0</v>
      </c>
      <c r="K1052" s="85">
        <f>STATS1003B!K1053/1000</f>
        <v>0</v>
      </c>
      <c r="L1052" s="85">
        <f>STATS1003B!L1053/1000</f>
        <v>0</v>
      </c>
      <c r="M1052" s="85">
        <f>STATS1003B!M1053/1000</f>
        <v>1033.8340000000001</v>
      </c>
      <c r="N1052" s="85">
        <f>STATS1003B!N1053/1000</f>
        <v>0</v>
      </c>
      <c r="O1052" s="85">
        <f>STATS1003B!O1053/1000</f>
        <v>0</v>
      </c>
      <c r="P1052" s="85">
        <f>STATS1003B!P1053/1000</f>
        <v>0</v>
      </c>
      <c r="Q1052" s="85">
        <f>STATS1003B!Q1053/1000</f>
        <v>0</v>
      </c>
      <c r="R1052" s="85">
        <f>STATS1003B!R1053/1000</f>
        <v>0</v>
      </c>
      <c r="S1052" s="85">
        <f>STATS1003B!S1053/1000</f>
        <v>0</v>
      </c>
      <c r="T1052" s="85">
        <f>STATS1003B!T1053/1000</f>
        <v>0</v>
      </c>
      <c r="U1052" s="85">
        <f>STATS1003B!U1053/1000</f>
        <v>0</v>
      </c>
      <c r="V1052" s="85">
        <f>STATS1003B!V1053/1000</f>
        <v>1033.8340000000001</v>
      </c>
      <c r="W1052" s="85">
        <f>STATS1003B!W1053/1000</f>
        <v>0</v>
      </c>
      <c r="X1052" s="85">
        <f t="shared" si="134"/>
        <v>1033.8340000000001</v>
      </c>
      <c r="Y1052" s="85">
        <f>STATS1003B!Y1053/1000</f>
        <v>0</v>
      </c>
      <c r="Z1052" s="85">
        <f t="shared" si="131"/>
        <v>0</v>
      </c>
      <c r="AA1052" s="69">
        <f>STATS1003B!AA1053/1000</f>
        <v>1033.8340000000001</v>
      </c>
      <c r="AB1052" s="69">
        <f>STATS1003B!AB1053/1000</f>
        <v>0</v>
      </c>
    </row>
    <row r="1053" spans="1:28" hidden="1" x14ac:dyDescent="0.3">
      <c r="A1053" s="117"/>
      <c r="D1053" s="87" t="s">
        <v>79</v>
      </c>
      <c r="E1053" s="85">
        <f>STATS1003B!E1054/1000</f>
        <v>0</v>
      </c>
      <c r="F1053" s="85">
        <f>STATS1003B!F1054/1000</f>
        <v>0</v>
      </c>
      <c r="G1053" s="85">
        <f>STATS1003B!G1054/1000</f>
        <v>0</v>
      </c>
      <c r="H1053" s="85">
        <f>STATS1003B!H1054/1000</f>
        <v>0</v>
      </c>
      <c r="I1053" s="85">
        <f>STATS1003B!I1054/1000</f>
        <v>0</v>
      </c>
      <c r="J1053" s="85">
        <f>STATS1003B!J1054/1000</f>
        <v>0</v>
      </c>
      <c r="K1053" s="85">
        <f>STATS1003B!K1054/1000</f>
        <v>0</v>
      </c>
      <c r="L1053" s="85">
        <f>STATS1003B!L1054/1000</f>
        <v>0</v>
      </c>
      <c r="M1053" s="85">
        <f>STATS1003B!M1054/1000</f>
        <v>0</v>
      </c>
      <c r="N1053" s="85">
        <f>STATS1003B!N1054/1000</f>
        <v>0</v>
      </c>
      <c r="O1053" s="85">
        <f>STATS1003B!O1054/1000</f>
        <v>0</v>
      </c>
      <c r="P1053" s="85">
        <f>STATS1003B!P1054/1000</f>
        <v>0</v>
      </c>
      <c r="Q1053" s="85">
        <f>STATS1003B!Q1054/1000</f>
        <v>0</v>
      </c>
      <c r="R1053" s="85">
        <f>STATS1003B!R1054/1000</f>
        <v>0</v>
      </c>
      <c r="S1053" s="85">
        <f>STATS1003B!S1054/1000</f>
        <v>0</v>
      </c>
      <c r="T1053" s="85">
        <f>STATS1003B!T1054/1000</f>
        <v>0</v>
      </c>
      <c r="U1053" s="85">
        <f>STATS1003B!U1054/1000</f>
        <v>0</v>
      </c>
      <c r="V1053" s="85">
        <f>STATS1003B!V1054/1000</f>
        <v>0</v>
      </c>
      <c r="W1053" s="85">
        <f>STATS1003B!W1054/1000</f>
        <v>0</v>
      </c>
      <c r="X1053" s="85">
        <f t="shared" si="134"/>
        <v>0</v>
      </c>
      <c r="Y1053" s="85">
        <f>STATS1003B!Y1054/1000</f>
        <v>0</v>
      </c>
      <c r="Z1053" s="85">
        <f t="shared" ref="Z1053:Z1116" si="136">+E1053-X1053</f>
        <v>0</v>
      </c>
      <c r="AA1053" s="69">
        <f>STATS1003B!AA1054/1000</f>
        <v>0</v>
      </c>
      <c r="AB1053" s="69">
        <f>STATS1003B!AB1054/1000</f>
        <v>0</v>
      </c>
    </row>
    <row r="1054" spans="1:28" hidden="1" x14ac:dyDescent="0.3">
      <c r="A1054" s="117"/>
      <c r="C1054" s="68" t="s">
        <v>243</v>
      </c>
      <c r="D1054" s="71" t="s">
        <v>244</v>
      </c>
      <c r="E1054" s="85">
        <f>STATS1003B!E1055/1000</f>
        <v>12085.64136</v>
      </c>
      <c r="F1054" s="85">
        <f>STATS1003B!F1055/1000</f>
        <v>11106.36434</v>
      </c>
      <c r="G1054" s="85">
        <f>STATS1003B!G1055/1000</f>
        <v>0</v>
      </c>
      <c r="H1054" s="85">
        <f>STATS1003B!H1055/1000</f>
        <v>11106.36434</v>
      </c>
      <c r="I1054" s="85">
        <f>STATS1003B!I1055/1000</f>
        <v>0</v>
      </c>
      <c r="J1054" s="85">
        <f>STATS1003B!J1055/1000</f>
        <v>0</v>
      </c>
      <c r="K1054" s="85">
        <f>STATS1003B!K1055/1000</f>
        <v>0</v>
      </c>
      <c r="L1054" s="85">
        <f>STATS1003B!L1055/1000</f>
        <v>0</v>
      </c>
      <c r="M1054" s="85">
        <f>STATS1003B!M1055/1000</f>
        <v>11106.36434</v>
      </c>
      <c r="N1054" s="85">
        <f>STATS1003B!N1055/1000</f>
        <v>979.27701999999999</v>
      </c>
      <c r="O1054" s="85">
        <f>STATS1003B!O1055/1000</f>
        <v>0</v>
      </c>
      <c r="P1054" s="85">
        <f>STATS1003B!P1055/1000</f>
        <v>979.27701999999999</v>
      </c>
      <c r="Q1054" s="85">
        <f>STATS1003B!Q1055/1000</f>
        <v>0</v>
      </c>
      <c r="R1054" s="85">
        <f>STATS1003B!R1055/1000</f>
        <v>0</v>
      </c>
      <c r="S1054" s="85">
        <f>STATS1003B!S1055/1000</f>
        <v>0</v>
      </c>
      <c r="T1054" s="85">
        <f>STATS1003B!T1055/1000</f>
        <v>0</v>
      </c>
      <c r="U1054" s="85">
        <f>STATS1003B!U1055/1000</f>
        <v>979.27701999999999</v>
      </c>
      <c r="V1054" s="85">
        <f>STATS1003B!V1055/1000</f>
        <v>12085.64136</v>
      </c>
      <c r="W1054" s="85">
        <f>STATS1003B!W1055/1000</f>
        <v>0</v>
      </c>
      <c r="X1054" s="85">
        <f t="shared" si="134"/>
        <v>12085.64136</v>
      </c>
      <c r="Y1054" s="85">
        <f>STATS1003B!Y1055/1000</f>
        <v>0</v>
      </c>
      <c r="Z1054" s="85">
        <f t="shared" si="136"/>
        <v>0</v>
      </c>
      <c r="AA1054" s="69">
        <f>STATS1003B!AA1055/1000</f>
        <v>12085.64136</v>
      </c>
      <c r="AB1054" s="69">
        <f>STATS1003B!AB1055/1000</f>
        <v>0</v>
      </c>
    </row>
    <row r="1055" spans="1:28" hidden="1" x14ac:dyDescent="0.3">
      <c r="A1055" s="117"/>
      <c r="C1055" s="68" t="s">
        <v>53</v>
      </c>
      <c r="D1055" s="87" t="s">
        <v>54</v>
      </c>
      <c r="E1055" s="85">
        <f>STATS1003B!E1056/1000</f>
        <v>1767.77</v>
      </c>
      <c r="F1055" s="85">
        <f>STATS1003B!F1056/1000</f>
        <v>0</v>
      </c>
      <c r="G1055" s="85">
        <f>STATS1003B!G1056/1000</f>
        <v>0</v>
      </c>
      <c r="H1055" s="85">
        <f>STATS1003B!H1056/1000</f>
        <v>0</v>
      </c>
      <c r="I1055" s="85">
        <f>STATS1003B!I1056/1000</f>
        <v>0</v>
      </c>
      <c r="J1055" s="85">
        <f>STATS1003B!J1056/1000</f>
        <v>0</v>
      </c>
      <c r="K1055" s="85">
        <f>STATS1003B!K1056/1000</f>
        <v>0</v>
      </c>
      <c r="L1055" s="85">
        <f>STATS1003B!L1056/1000</f>
        <v>0</v>
      </c>
      <c r="M1055" s="85">
        <f>STATS1003B!M1056/1000</f>
        <v>0</v>
      </c>
      <c r="N1055" s="85">
        <f>STATS1003B!N1056/1000</f>
        <v>1767.77</v>
      </c>
      <c r="O1055" s="85">
        <f>STATS1003B!O1056/1000</f>
        <v>0</v>
      </c>
      <c r="P1055" s="85">
        <f>STATS1003B!P1056/1000</f>
        <v>1767.77</v>
      </c>
      <c r="Q1055" s="85">
        <f>STATS1003B!Q1056/1000</f>
        <v>0</v>
      </c>
      <c r="R1055" s="85">
        <f>STATS1003B!R1056/1000</f>
        <v>0</v>
      </c>
      <c r="S1055" s="85">
        <f>STATS1003B!S1056/1000</f>
        <v>0</v>
      </c>
      <c r="T1055" s="85">
        <f>STATS1003B!T1056/1000</f>
        <v>0</v>
      </c>
      <c r="U1055" s="85">
        <f>STATS1003B!U1056/1000</f>
        <v>1767.77</v>
      </c>
      <c r="V1055" s="85">
        <f>STATS1003B!V1056/1000</f>
        <v>1767.77</v>
      </c>
      <c r="W1055" s="85">
        <f>STATS1003B!W1056/1000</f>
        <v>0</v>
      </c>
      <c r="X1055" s="85">
        <f t="shared" si="134"/>
        <v>1767.77</v>
      </c>
      <c r="Y1055" s="85">
        <f>STATS1003B!Y1056/1000</f>
        <v>0</v>
      </c>
      <c r="Z1055" s="85">
        <f t="shared" si="136"/>
        <v>0</v>
      </c>
      <c r="AA1055" s="69">
        <f>STATS1003B!AA1056/1000</f>
        <v>1767.77</v>
      </c>
      <c r="AB1055" s="69">
        <f>STATS1003B!AB1056/1000</f>
        <v>0</v>
      </c>
    </row>
    <row r="1056" spans="1:28" hidden="1" x14ac:dyDescent="0.3">
      <c r="A1056" s="117"/>
      <c r="C1056" s="68" t="s">
        <v>55</v>
      </c>
      <c r="D1056" s="87" t="s">
        <v>245</v>
      </c>
      <c r="E1056" s="85">
        <f>STATS1003B!E1057/1000</f>
        <v>2176.6713</v>
      </c>
      <c r="F1056" s="85">
        <f>STATS1003B!F1057/1000</f>
        <v>0</v>
      </c>
      <c r="G1056" s="85">
        <f>STATS1003B!G1057/1000</f>
        <v>0</v>
      </c>
      <c r="H1056" s="85">
        <f>STATS1003B!H1057/1000</f>
        <v>0</v>
      </c>
      <c r="I1056" s="85">
        <f>STATS1003B!I1057/1000</f>
        <v>0</v>
      </c>
      <c r="J1056" s="85">
        <f>STATS1003B!J1057/1000</f>
        <v>0</v>
      </c>
      <c r="K1056" s="85">
        <f>STATS1003B!K1057/1000</f>
        <v>0</v>
      </c>
      <c r="L1056" s="85">
        <f>STATS1003B!L1057/1000</f>
        <v>0</v>
      </c>
      <c r="M1056" s="85">
        <f>STATS1003B!M1057/1000</f>
        <v>0</v>
      </c>
      <c r="N1056" s="85">
        <f>STATS1003B!N1057/1000</f>
        <v>2176.6713</v>
      </c>
      <c r="O1056" s="85">
        <f>STATS1003B!O1057/1000</f>
        <v>0</v>
      </c>
      <c r="P1056" s="85">
        <f>STATS1003B!P1057/1000</f>
        <v>2176.6713</v>
      </c>
      <c r="Q1056" s="85">
        <f>STATS1003B!Q1057/1000</f>
        <v>0</v>
      </c>
      <c r="R1056" s="85">
        <f>STATS1003B!R1057/1000</f>
        <v>0</v>
      </c>
      <c r="S1056" s="85">
        <f>STATS1003B!S1057/1000</f>
        <v>0</v>
      </c>
      <c r="T1056" s="85">
        <f>STATS1003B!T1057/1000</f>
        <v>0</v>
      </c>
      <c r="U1056" s="85">
        <f>STATS1003B!U1057/1000</f>
        <v>2176.6713</v>
      </c>
      <c r="V1056" s="85">
        <f>STATS1003B!V1057/1000</f>
        <v>2176.6713</v>
      </c>
      <c r="W1056" s="85">
        <f>STATS1003B!W1057/1000</f>
        <v>0</v>
      </c>
      <c r="X1056" s="85">
        <f t="shared" si="134"/>
        <v>2176.6713</v>
      </c>
      <c r="Y1056" s="85">
        <f>STATS1003B!Y1057/1000</f>
        <v>0</v>
      </c>
      <c r="Z1056" s="85">
        <f t="shared" si="136"/>
        <v>0</v>
      </c>
      <c r="AA1056" s="69">
        <f>STATS1003B!AA1057/1000</f>
        <v>2176.6713</v>
      </c>
      <c r="AB1056" s="69">
        <f>STATS1003B!AB1057/1000</f>
        <v>0</v>
      </c>
    </row>
    <row r="1057" spans="1:28" hidden="1" x14ac:dyDescent="0.3">
      <c r="A1057" s="117"/>
      <c r="C1057" s="68" t="s">
        <v>225</v>
      </c>
      <c r="D1057" s="87" t="s">
        <v>85</v>
      </c>
      <c r="E1057" s="85">
        <f>STATS1003B!E1058/1000</f>
        <v>560</v>
      </c>
      <c r="F1057" s="85">
        <f>STATS1003B!F1058/1000</f>
        <v>486.38400000000001</v>
      </c>
      <c r="G1057" s="85">
        <f>STATS1003B!G1058/1000</f>
        <v>0</v>
      </c>
      <c r="H1057" s="85">
        <f>STATS1003B!H1058/1000</f>
        <v>486.38400000000001</v>
      </c>
      <c r="I1057" s="85">
        <f>STATS1003B!I1058/1000</f>
        <v>0</v>
      </c>
      <c r="J1057" s="85">
        <f>STATS1003B!J1058/1000</f>
        <v>0</v>
      </c>
      <c r="K1057" s="85">
        <f>STATS1003B!K1058/1000</f>
        <v>0</v>
      </c>
      <c r="L1057" s="85">
        <f>STATS1003B!L1058/1000</f>
        <v>0</v>
      </c>
      <c r="M1057" s="85">
        <f>STATS1003B!M1058/1000</f>
        <v>486.38400000000001</v>
      </c>
      <c r="N1057" s="85">
        <f>STATS1003B!N1058/1000</f>
        <v>0</v>
      </c>
      <c r="O1057" s="85">
        <f>STATS1003B!O1058/1000</f>
        <v>0</v>
      </c>
      <c r="P1057" s="85">
        <f>STATS1003B!P1058/1000</f>
        <v>0</v>
      </c>
      <c r="Q1057" s="85">
        <f>STATS1003B!Q1058/1000</f>
        <v>0</v>
      </c>
      <c r="R1057" s="85">
        <f>STATS1003B!R1058/1000</f>
        <v>0</v>
      </c>
      <c r="S1057" s="85">
        <f>STATS1003B!S1058/1000</f>
        <v>0</v>
      </c>
      <c r="T1057" s="85">
        <f>STATS1003B!T1058/1000</f>
        <v>0</v>
      </c>
      <c r="U1057" s="85">
        <f>STATS1003B!U1058/1000</f>
        <v>0</v>
      </c>
      <c r="V1057" s="85">
        <f>STATS1003B!V1058/1000</f>
        <v>486.38400000000001</v>
      </c>
      <c r="W1057" s="85">
        <f>STATS1003B!W1058/1000</f>
        <v>73.616</v>
      </c>
      <c r="X1057" s="85">
        <f t="shared" si="134"/>
        <v>486.38400000000001</v>
      </c>
      <c r="Y1057" s="85">
        <f>STATS1003B!Y1058/1000</f>
        <v>0</v>
      </c>
      <c r="Z1057" s="85">
        <f t="shared" si="136"/>
        <v>73.615999999999985</v>
      </c>
      <c r="AA1057" s="69">
        <f>STATS1003B!AA1058/1000</f>
        <v>486.38400000000001</v>
      </c>
      <c r="AB1057" s="69">
        <f>STATS1003B!AB1058/1000</f>
        <v>73.616</v>
      </c>
    </row>
    <row r="1058" spans="1:28" hidden="1" x14ac:dyDescent="0.3">
      <c r="A1058" s="117"/>
      <c r="C1058" s="68" t="s">
        <v>57</v>
      </c>
      <c r="D1058" s="87" t="s">
        <v>58</v>
      </c>
      <c r="E1058" s="85">
        <f>STATS1003B!E1059/1000</f>
        <v>1736.6479999999999</v>
      </c>
      <c r="F1058" s="85">
        <f>STATS1003B!F1059/1000</f>
        <v>1736.6479999999999</v>
      </c>
      <c r="G1058" s="85">
        <f>STATS1003B!G1059/1000</f>
        <v>0</v>
      </c>
      <c r="H1058" s="85">
        <f>STATS1003B!H1059/1000</f>
        <v>1736.6479999999999</v>
      </c>
      <c r="I1058" s="85">
        <f>STATS1003B!I1059/1000</f>
        <v>0</v>
      </c>
      <c r="J1058" s="85">
        <f>STATS1003B!J1059/1000</f>
        <v>0</v>
      </c>
      <c r="K1058" s="85">
        <f>STATS1003B!K1059/1000</f>
        <v>0</v>
      </c>
      <c r="L1058" s="85">
        <f>STATS1003B!L1059/1000</f>
        <v>0</v>
      </c>
      <c r="M1058" s="85">
        <f>STATS1003B!M1059/1000</f>
        <v>1736.6479999999999</v>
      </c>
      <c r="N1058" s="85">
        <f>STATS1003B!N1059/1000</f>
        <v>0</v>
      </c>
      <c r="O1058" s="85">
        <f>STATS1003B!O1059/1000</f>
        <v>0</v>
      </c>
      <c r="P1058" s="85">
        <f>STATS1003B!P1059/1000</f>
        <v>0</v>
      </c>
      <c r="Q1058" s="85">
        <f>STATS1003B!Q1059/1000</f>
        <v>0</v>
      </c>
      <c r="R1058" s="85">
        <f>STATS1003B!R1059/1000</f>
        <v>0</v>
      </c>
      <c r="S1058" s="85">
        <f>STATS1003B!S1059/1000</f>
        <v>0</v>
      </c>
      <c r="T1058" s="85">
        <f>STATS1003B!T1059/1000</f>
        <v>0</v>
      </c>
      <c r="U1058" s="85">
        <f>STATS1003B!U1059/1000</f>
        <v>0</v>
      </c>
      <c r="V1058" s="85">
        <f>STATS1003B!V1059/1000</f>
        <v>1736.6479999999999</v>
      </c>
      <c r="W1058" s="85">
        <f>STATS1003B!W1059/1000</f>
        <v>0</v>
      </c>
      <c r="X1058" s="85">
        <f t="shared" si="134"/>
        <v>1736.6479999999999</v>
      </c>
      <c r="Y1058" s="85">
        <f>STATS1003B!Y1059/1000</f>
        <v>0</v>
      </c>
      <c r="Z1058" s="85">
        <f t="shared" si="136"/>
        <v>0</v>
      </c>
      <c r="AA1058" s="69">
        <f>STATS1003B!AA1059/1000</f>
        <v>1736.6479999999999</v>
      </c>
      <c r="AB1058" s="69">
        <f>STATS1003B!AB1059/1000</f>
        <v>0</v>
      </c>
    </row>
    <row r="1059" spans="1:28" hidden="1" x14ac:dyDescent="0.3">
      <c r="A1059" s="117"/>
      <c r="C1059" s="68" t="s">
        <v>57</v>
      </c>
      <c r="D1059" s="87" t="s">
        <v>60</v>
      </c>
      <c r="E1059" s="85">
        <f>STATS1003B!E1060/1000</f>
        <v>5391.9449999999997</v>
      </c>
      <c r="F1059" s="85">
        <f>STATS1003B!F1060/1000</f>
        <v>5391.9449999999997</v>
      </c>
      <c r="G1059" s="85">
        <f>STATS1003B!G1060/1000</f>
        <v>0</v>
      </c>
      <c r="H1059" s="85">
        <f>STATS1003B!H1060/1000</f>
        <v>5391.9449999999997</v>
      </c>
      <c r="I1059" s="85">
        <f>STATS1003B!I1060/1000</f>
        <v>0</v>
      </c>
      <c r="J1059" s="85">
        <f>STATS1003B!J1060/1000</f>
        <v>0</v>
      </c>
      <c r="K1059" s="85">
        <f>STATS1003B!K1060/1000</f>
        <v>0</v>
      </c>
      <c r="L1059" s="85">
        <f>STATS1003B!L1060/1000</f>
        <v>0</v>
      </c>
      <c r="M1059" s="85">
        <f>STATS1003B!M1060/1000</f>
        <v>5391.9449999999997</v>
      </c>
      <c r="N1059" s="85">
        <f>STATS1003B!N1060/1000</f>
        <v>0</v>
      </c>
      <c r="O1059" s="85">
        <f>STATS1003B!O1060/1000</f>
        <v>0</v>
      </c>
      <c r="P1059" s="85">
        <f>STATS1003B!P1060/1000</f>
        <v>0</v>
      </c>
      <c r="Q1059" s="85">
        <f>STATS1003B!Q1060/1000</f>
        <v>0</v>
      </c>
      <c r="R1059" s="85">
        <f>STATS1003B!R1060/1000</f>
        <v>0</v>
      </c>
      <c r="S1059" s="85">
        <f>STATS1003B!S1060/1000</f>
        <v>0</v>
      </c>
      <c r="T1059" s="85">
        <f>STATS1003B!T1060/1000</f>
        <v>0</v>
      </c>
      <c r="U1059" s="85">
        <f>STATS1003B!U1060/1000</f>
        <v>0</v>
      </c>
      <c r="V1059" s="85">
        <f>STATS1003B!V1060/1000</f>
        <v>5391.9449999999997</v>
      </c>
      <c r="W1059" s="85">
        <f>STATS1003B!W1060/1000</f>
        <v>0</v>
      </c>
      <c r="X1059" s="85">
        <f t="shared" si="134"/>
        <v>5391.9449999999997</v>
      </c>
      <c r="Y1059" s="85">
        <f>STATS1003B!Y1060/1000</f>
        <v>0</v>
      </c>
      <c r="Z1059" s="85">
        <f t="shared" si="136"/>
        <v>0</v>
      </c>
      <c r="AA1059" s="69">
        <f>STATS1003B!AA1060/1000</f>
        <v>5391.9449999999997</v>
      </c>
      <c r="AB1059" s="69">
        <f>STATS1003B!AB1060/1000</f>
        <v>0</v>
      </c>
    </row>
    <row r="1060" spans="1:28" hidden="1" x14ac:dyDescent="0.3">
      <c r="A1060" s="117"/>
      <c r="C1060" s="68" t="s">
        <v>932</v>
      </c>
      <c r="D1060" s="90" t="s">
        <v>1126</v>
      </c>
      <c r="E1060" s="85">
        <f>STATS1003B!E1061/1000</f>
        <v>300</v>
      </c>
      <c r="F1060" s="85">
        <f>STATS1003B!F1061/1000</f>
        <v>300</v>
      </c>
      <c r="G1060" s="85">
        <f>STATS1003B!G1061/1000</f>
        <v>0</v>
      </c>
      <c r="H1060" s="85">
        <f>STATS1003B!H1061/1000</f>
        <v>300</v>
      </c>
      <c r="I1060" s="85">
        <f>STATS1003B!I1061/1000</f>
        <v>0</v>
      </c>
      <c r="J1060" s="85">
        <f>STATS1003B!J1061/1000</f>
        <v>0</v>
      </c>
      <c r="K1060" s="85">
        <f>STATS1003B!K1061/1000</f>
        <v>0</v>
      </c>
      <c r="L1060" s="85">
        <f>STATS1003B!L1061/1000</f>
        <v>0</v>
      </c>
      <c r="M1060" s="85">
        <f>STATS1003B!M1061/1000</f>
        <v>300</v>
      </c>
      <c r="N1060" s="85">
        <f>STATS1003B!N1061/1000</f>
        <v>0</v>
      </c>
      <c r="O1060" s="85">
        <f>STATS1003B!O1061/1000</f>
        <v>0</v>
      </c>
      <c r="P1060" s="85">
        <f>STATS1003B!P1061/1000</f>
        <v>0</v>
      </c>
      <c r="Q1060" s="85">
        <f>STATS1003B!Q1061/1000</f>
        <v>0</v>
      </c>
      <c r="R1060" s="85">
        <f>STATS1003B!R1061/1000</f>
        <v>0</v>
      </c>
      <c r="S1060" s="85">
        <f>STATS1003B!S1061/1000</f>
        <v>0</v>
      </c>
      <c r="T1060" s="85">
        <f>STATS1003B!T1061/1000</f>
        <v>0</v>
      </c>
      <c r="U1060" s="85">
        <f>STATS1003B!U1061/1000</f>
        <v>0</v>
      </c>
      <c r="V1060" s="85">
        <f>STATS1003B!V1061/1000</f>
        <v>300</v>
      </c>
      <c r="W1060" s="85">
        <f>STATS1003B!W1061/1000</f>
        <v>0</v>
      </c>
      <c r="X1060" s="85">
        <f t="shared" si="134"/>
        <v>300</v>
      </c>
      <c r="Y1060" s="85">
        <f>STATS1003B!Y1061/1000</f>
        <v>0</v>
      </c>
      <c r="Z1060" s="85">
        <f t="shared" si="136"/>
        <v>0</v>
      </c>
      <c r="AA1060" s="69">
        <f>STATS1003B!AA1061/1000</f>
        <v>300</v>
      </c>
      <c r="AB1060" s="69">
        <f>STATS1003B!AB1061/1000</f>
        <v>0</v>
      </c>
    </row>
    <row r="1061" spans="1:28" hidden="1" x14ac:dyDescent="0.3">
      <c r="A1061" s="117"/>
      <c r="C1061" s="68" t="s">
        <v>1234</v>
      </c>
      <c r="D1061" s="90" t="s">
        <v>1225</v>
      </c>
      <c r="E1061" s="85">
        <f>STATS1003B!E1062/1000</f>
        <v>250</v>
      </c>
      <c r="F1061" s="85">
        <f>STATS1003B!F1062/1000</f>
        <v>0</v>
      </c>
      <c r="G1061" s="85">
        <f>STATS1003B!G1062/1000</f>
        <v>250</v>
      </c>
      <c r="H1061" s="85">
        <f>STATS1003B!H1062/1000</f>
        <v>250</v>
      </c>
      <c r="I1061" s="85">
        <f>STATS1003B!I1062/1000</f>
        <v>0</v>
      </c>
      <c r="J1061" s="85">
        <f>STATS1003B!J1062/1000</f>
        <v>0</v>
      </c>
      <c r="K1061" s="85">
        <f>STATS1003B!K1062/1000</f>
        <v>0</v>
      </c>
      <c r="L1061" s="85">
        <f>STATS1003B!L1062/1000</f>
        <v>0</v>
      </c>
      <c r="M1061" s="85">
        <f>STATS1003B!M1062/1000</f>
        <v>250</v>
      </c>
      <c r="N1061" s="85">
        <f>STATS1003B!N1062/1000</f>
        <v>0</v>
      </c>
      <c r="O1061" s="85">
        <f>STATS1003B!O1062/1000</f>
        <v>0</v>
      </c>
      <c r="P1061" s="85">
        <f>STATS1003B!P1062/1000</f>
        <v>0</v>
      </c>
      <c r="Q1061" s="85">
        <f>STATS1003B!Q1062/1000</f>
        <v>0</v>
      </c>
      <c r="R1061" s="85">
        <f>STATS1003B!R1062/1000</f>
        <v>0</v>
      </c>
      <c r="S1061" s="85">
        <f>STATS1003B!S1062/1000</f>
        <v>0</v>
      </c>
      <c r="T1061" s="85">
        <f>STATS1003B!T1062/1000</f>
        <v>0</v>
      </c>
      <c r="U1061" s="85">
        <f>STATS1003B!U1062/1000</f>
        <v>0</v>
      </c>
      <c r="V1061" s="85">
        <f>STATS1003B!V1062/1000</f>
        <v>250</v>
      </c>
      <c r="W1061" s="85">
        <f>STATS1003B!W1062/1000</f>
        <v>0</v>
      </c>
      <c r="X1061" s="85">
        <f t="shared" si="134"/>
        <v>250</v>
      </c>
      <c r="Y1061" s="85">
        <f>STATS1003B!Y1062/1000</f>
        <v>0</v>
      </c>
      <c r="Z1061" s="85">
        <f t="shared" si="136"/>
        <v>0</v>
      </c>
      <c r="AA1061" s="69">
        <f>STATS1003B!AA1062/1000</f>
        <v>250</v>
      </c>
      <c r="AB1061" s="69">
        <f>STATS1003B!AB1062/1000</f>
        <v>0</v>
      </c>
    </row>
    <row r="1062" spans="1:28" hidden="1" x14ac:dyDescent="0.3">
      <c r="A1062" s="117"/>
      <c r="C1062" s="71" t="s">
        <v>109</v>
      </c>
      <c r="D1062" s="88" t="s">
        <v>60</v>
      </c>
      <c r="E1062" s="85">
        <f>STATS1003B!E1063/1000</f>
        <v>5000</v>
      </c>
      <c r="F1062" s="85">
        <f>STATS1003B!F1063/1000</f>
        <v>5000</v>
      </c>
      <c r="G1062" s="85">
        <f>STATS1003B!G1063/1000</f>
        <v>0</v>
      </c>
      <c r="H1062" s="85">
        <f>STATS1003B!H1063/1000</f>
        <v>5000</v>
      </c>
      <c r="I1062" s="85">
        <f>STATS1003B!I1063/1000</f>
        <v>0</v>
      </c>
      <c r="J1062" s="85">
        <f>STATS1003B!J1063/1000</f>
        <v>0</v>
      </c>
      <c r="K1062" s="85">
        <f>STATS1003B!K1063/1000</f>
        <v>0</v>
      </c>
      <c r="L1062" s="85">
        <f>STATS1003B!L1063/1000</f>
        <v>0</v>
      </c>
      <c r="M1062" s="85">
        <f>STATS1003B!M1063/1000</f>
        <v>5000</v>
      </c>
      <c r="N1062" s="85">
        <f>STATS1003B!N1063/1000</f>
        <v>0</v>
      </c>
      <c r="O1062" s="85">
        <f>STATS1003B!O1063/1000</f>
        <v>0</v>
      </c>
      <c r="P1062" s="85">
        <f>STATS1003B!P1063/1000</f>
        <v>0</v>
      </c>
      <c r="Q1062" s="85">
        <f>STATS1003B!Q1063/1000</f>
        <v>0</v>
      </c>
      <c r="R1062" s="85">
        <f>STATS1003B!R1063/1000</f>
        <v>0</v>
      </c>
      <c r="S1062" s="85">
        <f>STATS1003B!S1063/1000</f>
        <v>0</v>
      </c>
      <c r="T1062" s="85">
        <f>STATS1003B!T1063/1000</f>
        <v>0</v>
      </c>
      <c r="U1062" s="85">
        <f>STATS1003B!U1063/1000</f>
        <v>0</v>
      </c>
      <c r="V1062" s="85">
        <f>STATS1003B!V1063/1000</f>
        <v>5000</v>
      </c>
      <c r="W1062" s="85">
        <f>STATS1003B!W1063/1000</f>
        <v>0</v>
      </c>
      <c r="X1062" s="85">
        <f t="shared" si="134"/>
        <v>5000</v>
      </c>
      <c r="Y1062" s="85">
        <f>STATS1003B!Y1063/1000</f>
        <v>0</v>
      </c>
      <c r="Z1062" s="85">
        <f t="shared" si="136"/>
        <v>0</v>
      </c>
      <c r="AA1062" s="69">
        <f>STATS1003B!AA1063/1000</f>
        <v>5000</v>
      </c>
      <c r="AB1062" s="69">
        <f>STATS1003B!AB1063/1000</f>
        <v>0</v>
      </c>
    </row>
    <row r="1063" spans="1:28" hidden="1" x14ac:dyDescent="0.3">
      <c r="A1063" s="117"/>
      <c r="C1063" s="68" t="s">
        <v>57</v>
      </c>
      <c r="D1063" s="89" t="s">
        <v>61</v>
      </c>
      <c r="E1063" s="85">
        <f>STATS1003B!E1064/1000</f>
        <v>610</v>
      </c>
      <c r="F1063" s="85">
        <f>STATS1003B!F1064/1000</f>
        <v>610</v>
      </c>
      <c r="G1063" s="85">
        <f>STATS1003B!G1064/1000</f>
        <v>0</v>
      </c>
      <c r="H1063" s="85">
        <f>STATS1003B!H1064/1000</f>
        <v>610</v>
      </c>
      <c r="I1063" s="85">
        <f>STATS1003B!I1064/1000</f>
        <v>0</v>
      </c>
      <c r="J1063" s="85">
        <f>STATS1003B!J1064/1000</f>
        <v>0</v>
      </c>
      <c r="K1063" s="85">
        <f>STATS1003B!K1064/1000</f>
        <v>0</v>
      </c>
      <c r="L1063" s="85">
        <f>STATS1003B!L1064/1000</f>
        <v>0</v>
      </c>
      <c r="M1063" s="85">
        <f>STATS1003B!M1064/1000</f>
        <v>610</v>
      </c>
      <c r="N1063" s="85">
        <f>STATS1003B!N1064/1000</f>
        <v>0</v>
      </c>
      <c r="O1063" s="85">
        <f>STATS1003B!O1064/1000</f>
        <v>0</v>
      </c>
      <c r="P1063" s="85">
        <f>STATS1003B!P1064/1000</f>
        <v>0</v>
      </c>
      <c r="Q1063" s="85">
        <f>STATS1003B!Q1064/1000</f>
        <v>0</v>
      </c>
      <c r="R1063" s="85">
        <f>STATS1003B!R1064/1000</f>
        <v>0</v>
      </c>
      <c r="S1063" s="85">
        <f>STATS1003B!S1064/1000</f>
        <v>0</v>
      </c>
      <c r="T1063" s="85">
        <f>STATS1003B!T1064/1000</f>
        <v>0</v>
      </c>
      <c r="U1063" s="85">
        <f>STATS1003B!U1064/1000</f>
        <v>0</v>
      </c>
      <c r="V1063" s="85">
        <f>STATS1003B!V1064/1000</f>
        <v>610</v>
      </c>
      <c r="W1063" s="85">
        <f>STATS1003B!W1064/1000</f>
        <v>0</v>
      </c>
      <c r="X1063" s="85">
        <f t="shared" si="134"/>
        <v>610</v>
      </c>
      <c r="Y1063" s="85">
        <f>STATS1003B!Y1064/1000</f>
        <v>0</v>
      </c>
      <c r="Z1063" s="85">
        <f t="shared" si="136"/>
        <v>0</v>
      </c>
      <c r="AA1063" s="69">
        <f>STATS1003B!AA1064/1000</f>
        <v>610</v>
      </c>
      <c r="AB1063" s="69">
        <f>STATS1003B!AB1064/1000</f>
        <v>0</v>
      </c>
    </row>
    <row r="1064" spans="1:28" hidden="1" x14ac:dyDescent="0.3">
      <c r="A1064" s="117"/>
      <c r="E1064" s="86" t="s">
        <v>29</v>
      </c>
      <c r="F1064" s="86" t="s">
        <v>29</v>
      </c>
      <c r="G1064" s="86" t="s">
        <v>29</v>
      </c>
      <c r="H1064" s="86" t="s">
        <v>29</v>
      </c>
      <c r="I1064" s="86" t="s">
        <v>29</v>
      </c>
      <c r="J1064" s="86" t="s">
        <v>29</v>
      </c>
      <c r="K1064" s="86" t="s">
        <v>29</v>
      </c>
      <c r="L1064" s="86" t="s">
        <v>29</v>
      </c>
      <c r="M1064" s="86" t="s">
        <v>29</v>
      </c>
      <c r="N1064" s="86" t="s">
        <v>29</v>
      </c>
      <c r="O1064" s="86" t="s">
        <v>29</v>
      </c>
      <c r="P1064" s="86" t="s">
        <v>29</v>
      </c>
      <c r="Q1064" s="86" t="s">
        <v>29</v>
      </c>
      <c r="R1064" s="86" t="s">
        <v>29</v>
      </c>
      <c r="S1064" s="86" t="s">
        <v>29</v>
      </c>
      <c r="T1064" s="86" t="s">
        <v>29</v>
      </c>
      <c r="U1064" s="86" t="s">
        <v>29</v>
      </c>
      <c r="V1064" s="86" t="s">
        <v>29</v>
      </c>
      <c r="W1064" s="86" t="s">
        <v>29</v>
      </c>
      <c r="X1064" s="85" t="e">
        <f t="shared" si="134"/>
        <v>#VALUE!</v>
      </c>
      <c r="Y1064" s="86" t="s">
        <v>29</v>
      </c>
      <c r="Z1064" s="85" t="e">
        <f t="shared" si="136"/>
        <v>#VALUE!</v>
      </c>
      <c r="AA1064" s="115" t="s">
        <v>29</v>
      </c>
      <c r="AB1064" s="115" t="s">
        <v>29</v>
      </c>
    </row>
    <row r="1065" spans="1:28" x14ac:dyDescent="0.3">
      <c r="A1065" s="116">
        <v>49</v>
      </c>
      <c r="B1065" s="68" t="s">
        <v>242</v>
      </c>
      <c r="E1065" s="85">
        <f>259240537.05/1000</f>
        <v>259240.53705000001</v>
      </c>
      <c r="F1065" s="85">
        <f t="shared" ref="F1065:AB1065" si="137">SUM(F1052:F1063)</f>
        <v>25665.175340000002</v>
      </c>
      <c r="G1065" s="85">
        <f t="shared" si="137"/>
        <v>250</v>
      </c>
      <c r="H1065" s="85">
        <f>254243202.73/1000</f>
        <v>254243.20272999999</v>
      </c>
      <c r="I1065" s="85">
        <f t="shared" si="137"/>
        <v>0</v>
      </c>
      <c r="J1065" s="85">
        <f t="shared" si="137"/>
        <v>0</v>
      </c>
      <c r="K1065" s="85">
        <f t="shared" si="137"/>
        <v>0</v>
      </c>
      <c r="L1065" s="85">
        <f t="shared" si="137"/>
        <v>0</v>
      </c>
      <c r="M1065" s="85">
        <f t="shared" si="137"/>
        <v>25915.175340000002</v>
      </c>
      <c r="N1065" s="85">
        <f t="shared" si="137"/>
        <v>4923.7183199999999</v>
      </c>
      <c r="O1065" s="85">
        <f t="shared" si="137"/>
        <v>0</v>
      </c>
      <c r="P1065" s="85">
        <f>4923718/1000</f>
        <v>4923.7179999999998</v>
      </c>
      <c r="Q1065" s="85">
        <f t="shared" si="137"/>
        <v>0</v>
      </c>
      <c r="R1065" s="85">
        <f t="shared" si="137"/>
        <v>0</v>
      </c>
      <c r="S1065" s="85">
        <f t="shared" si="137"/>
        <v>0</v>
      </c>
      <c r="T1065" s="85">
        <f t="shared" si="137"/>
        <v>0</v>
      </c>
      <c r="U1065" s="85">
        <f t="shared" si="137"/>
        <v>4923.7183199999999</v>
      </c>
      <c r="V1065" s="85">
        <f t="shared" si="137"/>
        <v>30838.893660000002</v>
      </c>
      <c r="W1065" s="85">
        <f t="shared" si="137"/>
        <v>73.616</v>
      </c>
      <c r="X1065" s="85">
        <f>+H1065+P1065</f>
        <v>259166.92072999998</v>
      </c>
      <c r="Y1065" s="85">
        <f t="shared" si="137"/>
        <v>0</v>
      </c>
      <c r="Z1065" s="85">
        <f t="shared" si="136"/>
        <v>73.6163200000301</v>
      </c>
      <c r="AA1065" s="69">
        <f t="shared" si="137"/>
        <v>30838.893660000002</v>
      </c>
      <c r="AB1065" s="69">
        <f t="shared" si="137"/>
        <v>73.616</v>
      </c>
    </row>
    <row r="1066" spans="1:28" hidden="1" x14ac:dyDescent="0.3">
      <c r="A1066" s="117"/>
      <c r="E1066" s="86" t="s">
        <v>29</v>
      </c>
      <c r="F1066" s="86" t="s">
        <v>29</v>
      </c>
      <c r="G1066" s="86" t="s">
        <v>29</v>
      </c>
      <c r="H1066" s="86" t="s">
        <v>29</v>
      </c>
      <c r="I1066" s="86" t="s">
        <v>29</v>
      </c>
      <c r="J1066" s="86" t="s">
        <v>29</v>
      </c>
      <c r="K1066" s="86" t="s">
        <v>29</v>
      </c>
      <c r="L1066" s="86" t="s">
        <v>29</v>
      </c>
      <c r="M1066" s="86" t="s">
        <v>29</v>
      </c>
      <c r="N1066" s="86" t="s">
        <v>29</v>
      </c>
      <c r="O1066" s="86" t="s">
        <v>29</v>
      </c>
      <c r="P1066" s="86" t="s">
        <v>29</v>
      </c>
      <c r="Q1066" s="86" t="s">
        <v>29</v>
      </c>
      <c r="R1066" s="86" t="s">
        <v>29</v>
      </c>
      <c r="S1066" s="86" t="s">
        <v>29</v>
      </c>
      <c r="T1066" s="86" t="s">
        <v>29</v>
      </c>
      <c r="U1066" s="86" t="s">
        <v>29</v>
      </c>
      <c r="V1066" s="86" t="s">
        <v>29</v>
      </c>
      <c r="W1066" s="86" t="s">
        <v>29</v>
      </c>
      <c r="X1066" s="85" t="e">
        <f t="shared" si="134"/>
        <v>#VALUE!</v>
      </c>
      <c r="Y1066" s="86" t="s">
        <v>29</v>
      </c>
      <c r="Z1066" s="85" t="e">
        <f t="shared" si="136"/>
        <v>#VALUE!</v>
      </c>
      <c r="AA1066" s="115" t="s">
        <v>29</v>
      </c>
      <c r="AB1066" s="115" t="s">
        <v>29</v>
      </c>
    </row>
    <row r="1067" spans="1:28" hidden="1" x14ac:dyDescent="0.3">
      <c r="A1067" s="105"/>
      <c r="E1067" s="84"/>
      <c r="F1067" s="84"/>
      <c r="G1067" s="84"/>
      <c r="H1067" s="84"/>
      <c r="I1067" s="84"/>
      <c r="J1067" s="84"/>
      <c r="K1067" s="84"/>
      <c r="L1067" s="84"/>
      <c r="M1067" s="84"/>
      <c r="N1067" s="84"/>
      <c r="O1067" s="84"/>
      <c r="P1067" s="84"/>
      <c r="Q1067" s="84"/>
      <c r="R1067" s="84"/>
      <c r="S1067" s="84"/>
      <c r="T1067" s="84"/>
      <c r="U1067" s="84"/>
      <c r="V1067" s="84"/>
      <c r="W1067" s="84"/>
      <c r="X1067" s="85">
        <f t="shared" si="134"/>
        <v>0</v>
      </c>
      <c r="Y1067" s="84"/>
      <c r="Z1067" s="85">
        <f t="shared" si="136"/>
        <v>0</v>
      </c>
    </row>
    <row r="1068" spans="1:28" hidden="1" x14ac:dyDescent="0.3">
      <c r="A1068" s="117"/>
      <c r="C1068" s="68" t="s">
        <v>172</v>
      </c>
      <c r="D1068" s="87" t="s">
        <v>166</v>
      </c>
      <c r="E1068" s="85">
        <f>STATS1003B!E1069/1000</f>
        <v>2004.7280000000001</v>
      </c>
      <c r="F1068" s="85">
        <f>STATS1003B!F1069/1000</f>
        <v>2004.7280000000001</v>
      </c>
      <c r="G1068" s="85">
        <f>STATS1003B!G1069/1000</f>
        <v>0</v>
      </c>
      <c r="H1068" s="85">
        <f>STATS1003B!H1069/1000</f>
        <v>2004.7280000000001</v>
      </c>
      <c r="I1068" s="85">
        <f>STATS1003B!I1069/1000</f>
        <v>0</v>
      </c>
      <c r="J1068" s="85">
        <f>STATS1003B!J1069/1000</f>
        <v>0</v>
      </c>
      <c r="K1068" s="85">
        <f>STATS1003B!K1069/1000</f>
        <v>0</v>
      </c>
      <c r="L1068" s="85">
        <f>STATS1003B!L1069/1000</f>
        <v>0</v>
      </c>
      <c r="M1068" s="85">
        <f>STATS1003B!M1069/1000</f>
        <v>2004.7280000000001</v>
      </c>
      <c r="N1068" s="85">
        <f>STATS1003B!N1069/1000</f>
        <v>0</v>
      </c>
      <c r="O1068" s="85">
        <f>STATS1003B!O1069/1000</f>
        <v>0</v>
      </c>
      <c r="P1068" s="85">
        <f>STATS1003B!P1069/1000</f>
        <v>0</v>
      </c>
      <c r="Q1068" s="85">
        <f>STATS1003B!Q1069/1000</f>
        <v>0</v>
      </c>
      <c r="R1068" s="85">
        <f>STATS1003B!R1069/1000</f>
        <v>0</v>
      </c>
      <c r="S1068" s="85">
        <f>STATS1003B!S1069/1000</f>
        <v>0</v>
      </c>
      <c r="T1068" s="85">
        <f>STATS1003B!T1069/1000</f>
        <v>0</v>
      </c>
      <c r="U1068" s="85">
        <f>STATS1003B!U1069/1000</f>
        <v>0</v>
      </c>
      <c r="V1068" s="85">
        <f>STATS1003B!V1069/1000</f>
        <v>2004.7280000000001</v>
      </c>
      <c r="W1068" s="85">
        <f>STATS1003B!W1069/1000</f>
        <v>0</v>
      </c>
      <c r="X1068" s="85">
        <f t="shared" si="134"/>
        <v>2004.7280000000001</v>
      </c>
      <c r="Y1068" s="85">
        <f>STATS1003B!Y1069/1000</f>
        <v>0</v>
      </c>
      <c r="Z1068" s="85">
        <f t="shared" si="136"/>
        <v>0</v>
      </c>
      <c r="AA1068" s="69">
        <f>STATS1003B!AA1069/1000</f>
        <v>2004.7280000000001</v>
      </c>
      <c r="AB1068" s="69">
        <f>STATS1003B!AB1069/1000</f>
        <v>0</v>
      </c>
    </row>
    <row r="1069" spans="1:28" hidden="1" x14ac:dyDescent="0.3">
      <c r="A1069" s="117"/>
      <c r="C1069" s="68" t="s">
        <v>57</v>
      </c>
      <c r="D1069" s="87" t="s">
        <v>247</v>
      </c>
      <c r="E1069" s="85">
        <f>STATS1003B!E1070/1000</f>
        <v>4021.0395899999999</v>
      </c>
      <c r="F1069" s="85">
        <f>STATS1003B!F1070/1000</f>
        <v>3040.45</v>
      </c>
      <c r="G1069" s="85">
        <f>STATS1003B!G1070/1000</f>
        <v>0</v>
      </c>
      <c r="H1069" s="85">
        <f>STATS1003B!H1070/1000</f>
        <v>3040.45</v>
      </c>
      <c r="I1069" s="85">
        <f>STATS1003B!I1070/1000</f>
        <v>0</v>
      </c>
      <c r="J1069" s="85">
        <f>STATS1003B!J1070/1000</f>
        <v>0</v>
      </c>
      <c r="K1069" s="85">
        <f>STATS1003B!K1070/1000</f>
        <v>0</v>
      </c>
      <c r="L1069" s="85">
        <f>STATS1003B!L1070/1000</f>
        <v>0</v>
      </c>
      <c r="M1069" s="85">
        <f>STATS1003B!M1070/1000</f>
        <v>3040.45</v>
      </c>
      <c r="N1069" s="85">
        <f>STATS1003B!N1070/1000</f>
        <v>980.58958999999993</v>
      </c>
      <c r="O1069" s="85">
        <f>STATS1003B!O1070/1000</f>
        <v>0</v>
      </c>
      <c r="P1069" s="85">
        <f>STATS1003B!P1070/1000</f>
        <v>980.58958999999993</v>
      </c>
      <c r="Q1069" s="85">
        <f>STATS1003B!Q1070/1000</f>
        <v>0</v>
      </c>
      <c r="R1069" s="85">
        <f>STATS1003B!R1070/1000</f>
        <v>0</v>
      </c>
      <c r="S1069" s="85">
        <f>STATS1003B!S1070/1000</f>
        <v>0</v>
      </c>
      <c r="T1069" s="85">
        <f>STATS1003B!T1070/1000</f>
        <v>0</v>
      </c>
      <c r="U1069" s="85">
        <f>STATS1003B!U1070/1000</f>
        <v>980.58958999999993</v>
      </c>
      <c r="V1069" s="85">
        <f>STATS1003B!V1070/1000</f>
        <v>4021.0395899999999</v>
      </c>
      <c r="W1069" s="85">
        <f>STATS1003B!W1070/1000</f>
        <v>0</v>
      </c>
      <c r="X1069" s="85">
        <f t="shared" si="134"/>
        <v>4021.0395899999999</v>
      </c>
      <c r="Y1069" s="85">
        <f>STATS1003B!Y1070/1000</f>
        <v>0</v>
      </c>
      <c r="Z1069" s="85">
        <f t="shared" si="136"/>
        <v>0</v>
      </c>
      <c r="AA1069" s="69">
        <f>STATS1003B!AA1070/1000</f>
        <v>4021.0395899999999</v>
      </c>
      <c r="AB1069" s="69">
        <f>STATS1003B!AB1070/1000</f>
        <v>0</v>
      </c>
    </row>
    <row r="1070" spans="1:28" hidden="1" x14ac:dyDescent="0.3">
      <c r="A1070" s="117"/>
      <c r="C1070" s="68" t="s">
        <v>53</v>
      </c>
      <c r="D1070" s="87" t="s">
        <v>68</v>
      </c>
      <c r="E1070" s="85">
        <f>STATS1003B!E1071/1000</f>
        <v>1953.989</v>
      </c>
      <c r="F1070" s="85">
        <f>STATS1003B!F1071/1000</f>
        <v>0</v>
      </c>
      <c r="G1070" s="85">
        <f>STATS1003B!G1071/1000</f>
        <v>0</v>
      </c>
      <c r="H1070" s="85">
        <f>STATS1003B!H1071/1000</f>
        <v>0</v>
      </c>
      <c r="I1070" s="85">
        <f>STATS1003B!I1071/1000</f>
        <v>0</v>
      </c>
      <c r="J1070" s="85">
        <f>STATS1003B!J1071/1000</f>
        <v>0</v>
      </c>
      <c r="K1070" s="85">
        <f>STATS1003B!K1071/1000</f>
        <v>0</v>
      </c>
      <c r="L1070" s="85">
        <f>STATS1003B!L1071/1000</f>
        <v>0</v>
      </c>
      <c r="M1070" s="85">
        <f>STATS1003B!M1071/1000</f>
        <v>0</v>
      </c>
      <c r="N1070" s="85">
        <f>STATS1003B!N1071/1000</f>
        <v>1953.989</v>
      </c>
      <c r="O1070" s="85">
        <f>STATS1003B!O1071/1000</f>
        <v>0</v>
      </c>
      <c r="P1070" s="85">
        <f>STATS1003B!P1071/1000</f>
        <v>1953.989</v>
      </c>
      <c r="Q1070" s="85">
        <f>STATS1003B!Q1071/1000</f>
        <v>0</v>
      </c>
      <c r="R1070" s="85">
        <f>STATS1003B!R1071/1000</f>
        <v>0</v>
      </c>
      <c r="S1070" s="85">
        <f>STATS1003B!S1071/1000</f>
        <v>0</v>
      </c>
      <c r="T1070" s="85">
        <f>STATS1003B!T1071/1000</f>
        <v>0</v>
      </c>
      <c r="U1070" s="85">
        <f>STATS1003B!U1071/1000</f>
        <v>1953.989</v>
      </c>
      <c r="V1070" s="85">
        <f>STATS1003B!V1071/1000</f>
        <v>1953.989</v>
      </c>
      <c r="W1070" s="85">
        <f>STATS1003B!W1071/1000</f>
        <v>0</v>
      </c>
      <c r="X1070" s="85">
        <f t="shared" si="134"/>
        <v>1953.989</v>
      </c>
      <c r="Y1070" s="85">
        <f>STATS1003B!Y1071/1000</f>
        <v>0</v>
      </c>
      <c r="Z1070" s="85">
        <f t="shared" si="136"/>
        <v>0</v>
      </c>
      <c r="AA1070" s="69">
        <f>STATS1003B!AA1071/1000</f>
        <v>1953.989</v>
      </c>
      <c r="AB1070" s="69">
        <f>STATS1003B!AB1071/1000</f>
        <v>0</v>
      </c>
    </row>
    <row r="1071" spans="1:28" hidden="1" x14ac:dyDescent="0.3">
      <c r="A1071" s="117"/>
      <c r="C1071" s="68" t="s">
        <v>248</v>
      </c>
      <c r="D1071" s="87" t="s">
        <v>85</v>
      </c>
      <c r="E1071" s="85">
        <f>STATS1003B!E1072/1000</f>
        <v>80</v>
      </c>
      <c r="F1071" s="85">
        <f>STATS1003B!F1072/1000</f>
        <v>80</v>
      </c>
      <c r="G1071" s="85">
        <f>STATS1003B!G1072/1000</f>
        <v>0</v>
      </c>
      <c r="H1071" s="85">
        <f>STATS1003B!H1072/1000</f>
        <v>80</v>
      </c>
      <c r="I1071" s="85">
        <f>STATS1003B!I1072/1000</f>
        <v>0</v>
      </c>
      <c r="J1071" s="85">
        <f>STATS1003B!J1072/1000</f>
        <v>0</v>
      </c>
      <c r="K1071" s="85">
        <f>STATS1003B!K1072/1000</f>
        <v>0</v>
      </c>
      <c r="L1071" s="85">
        <f>STATS1003B!L1072/1000</f>
        <v>0</v>
      </c>
      <c r="M1071" s="85">
        <f>STATS1003B!M1072/1000</f>
        <v>80</v>
      </c>
      <c r="N1071" s="85">
        <f>STATS1003B!N1072/1000</f>
        <v>0</v>
      </c>
      <c r="O1071" s="85">
        <f>STATS1003B!O1072/1000</f>
        <v>0</v>
      </c>
      <c r="P1071" s="85">
        <f>STATS1003B!P1072/1000</f>
        <v>0</v>
      </c>
      <c r="Q1071" s="85">
        <f>STATS1003B!Q1072/1000</f>
        <v>0</v>
      </c>
      <c r="R1071" s="85">
        <f>STATS1003B!R1072/1000</f>
        <v>0</v>
      </c>
      <c r="S1071" s="85">
        <f>STATS1003B!S1072/1000</f>
        <v>0</v>
      </c>
      <c r="T1071" s="85">
        <f>STATS1003B!T1072/1000</f>
        <v>0</v>
      </c>
      <c r="U1071" s="85">
        <f>STATS1003B!U1072/1000</f>
        <v>0</v>
      </c>
      <c r="V1071" s="85">
        <f>STATS1003B!V1072/1000</f>
        <v>80</v>
      </c>
      <c r="W1071" s="85">
        <f>STATS1003B!W1072/1000</f>
        <v>0</v>
      </c>
      <c r="X1071" s="85">
        <f t="shared" si="134"/>
        <v>80</v>
      </c>
      <c r="Y1071" s="85">
        <f>STATS1003B!Y1072/1000</f>
        <v>0</v>
      </c>
      <c r="Z1071" s="85">
        <f t="shared" si="136"/>
        <v>0</v>
      </c>
      <c r="AA1071" s="69">
        <f>STATS1003B!AA1072/1000</f>
        <v>80</v>
      </c>
      <c r="AB1071" s="69">
        <f>STATS1003B!AB1072/1000</f>
        <v>0</v>
      </c>
    </row>
    <row r="1072" spans="1:28" hidden="1" x14ac:dyDescent="0.3">
      <c r="A1072" s="117"/>
      <c r="C1072" s="68" t="s">
        <v>249</v>
      </c>
      <c r="D1072" s="87" t="s">
        <v>128</v>
      </c>
      <c r="E1072" s="85">
        <f>STATS1003B!E1073/1000</f>
        <v>1600</v>
      </c>
      <c r="F1072" s="85">
        <f>STATS1003B!F1073/1000</f>
        <v>1600</v>
      </c>
      <c r="G1072" s="85">
        <f>STATS1003B!G1073/1000</f>
        <v>0</v>
      </c>
      <c r="H1072" s="85">
        <f>STATS1003B!H1073/1000</f>
        <v>1600</v>
      </c>
      <c r="I1072" s="85">
        <f>STATS1003B!I1073/1000</f>
        <v>0</v>
      </c>
      <c r="J1072" s="85">
        <f>STATS1003B!J1073/1000</f>
        <v>0</v>
      </c>
      <c r="K1072" s="85">
        <f>STATS1003B!K1073/1000</f>
        <v>0</v>
      </c>
      <c r="L1072" s="85">
        <f>STATS1003B!L1073/1000</f>
        <v>0</v>
      </c>
      <c r="M1072" s="85">
        <f>STATS1003B!M1073/1000</f>
        <v>1600</v>
      </c>
      <c r="N1072" s="85">
        <f>STATS1003B!N1073/1000</f>
        <v>0</v>
      </c>
      <c r="O1072" s="85">
        <f>STATS1003B!O1073/1000</f>
        <v>0</v>
      </c>
      <c r="P1072" s="85">
        <f>STATS1003B!P1073/1000</f>
        <v>0</v>
      </c>
      <c r="Q1072" s="85">
        <f>STATS1003B!Q1073/1000</f>
        <v>0</v>
      </c>
      <c r="R1072" s="85">
        <f>STATS1003B!R1073/1000</f>
        <v>0</v>
      </c>
      <c r="S1072" s="85">
        <f>STATS1003B!S1073/1000</f>
        <v>0</v>
      </c>
      <c r="T1072" s="85">
        <f>STATS1003B!T1073/1000</f>
        <v>0</v>
      </c>
      <c r="U1072" s="85">
        <f>STATS1003B!U1073/1000</f>
        <v>0</v>
      </c>
      <c r="V1072" s="85">
        <f>STATS1003B!V1073/1000</f>
        <v>1600</v>
      </c>
      <c r="W1072" s="85">
        <f>STATS1003B!W1073/1000</f>
        <v>0</v>
      </c>
      <c r="X1072" s="85">
        <f t="shared" si="134"/>
        <v>1600</v>
      </c>
      <c r="Y1072" s="85">
        <f>STATS1003B!Y1073/1000</f>
        <v>0</v>
      </c>
      <c r="Z1072" s="85">
        <f t="shared" si="136"/>
        <v>0</v>
      </c>
      <c r="AA1072" s="69">
        <f>STATS1003B!AA1073/1000</f>
        <v>1600</v>
      </c>
      <c r="AB1072" s="69">
        <f>STATS1003B!AB1073/1000</f>
        <v>0</v>
      </c>
    </row>
    <row r="1073" spans="1:28" hidden="1" x14ac:dyDescent="0.3">
      <c r="A1073" s="117"/>
      <c r="C1073" s="68" t="s">
        <v>55</v>
      </c>
      <c r="D1073" s="87" t="s">
        <v>88</v>
      </c>
      <c r="E1073" s="85">
        <f>STATS1003B!E1074/1000</f>
        <v>2249.5153</v>
      </c>
      <c r="F1073" s="85">
        <f>STATS1003B!F1074/1000</f>
        <v>0</v>
      </c>
      <c r="G1073" s="85">
        <f>STATS1003B!G1074/1000</f>
        <v>0</v>
      </c>
      <c r="H1073" s="85">
        <f>STATS1003B!H1074/1000</f>
        <v>0</v>
      </c>
      <c r="I1073" s="85">
        <f>STATS1003B!I1074/1000</f>
        <v>0</v>
      </c>
      <c r="J1073" s="85">
        <f>STATS1003B!J1074/1000</f>
        <v>0</v>
      </c>
      <c r="K1073" s="85">
        <f>STATS1003B!K1074/1000</f>
        <v>0</v>
      </c>
      <c r="L1073" s="85">
        <f>STATS1003B!L1074/1000</f>
        <v>0</v>
      </c>
      <c r="M1073" s="85">
        <f>STATS1003B!M1074/1000</f>
        <v>0</v>
      </c>
      <c r="N1073" s="85">
        <f>STATS1003B!N1074/1000</f>
        <v>2249.5153</v>
      </c>
      <c r="O1073" s="85">
        <f>STATS1003B!O1074/1000</f>
        <v>0</v>
      </c>
      <c r="P1073" s="85">
        <f>STATS1003B!P1074/1000</f>
        <v>2249.5153</v>
      </c>
      <c r="Q1073" s="85">
        <f>STATS1003B!Q1074/1000</f>
        <v>0</v>
      </c>
      <c r="R1073" s="85">
        <f>STATS1003B!R1074/1000</f>
        <v>0</v>
      </c>
      <c r="S1073" s="85">
        <f>STATS1003B!S1074/1000</f>
        <v>0</v>
      </c>
      <c r="T1073" s="85">
        <f>STATS1003B!T1074/1000</f>
        <v>0</v>
      </c>
      <c r="U1073" s="85">
        <f>STATS1003B!U1074/1000</f>
        <v>2249.5153</v>
      </c>
      <c r="V1073" s="85">
        <f>STATS1003B!V1074/1000</f>
        <v>2249.5153</v>
      </c>
      <c r="W1073" s="85">
        <f>STATS1003B!W1074/1000</f>
        <v>0</v>
      </c>
      <c r="X1073" s="85">
        <f t="shared" si="134"/>
        <v>2249.5153</v>
      </c>
      <c r="Y1073" s="85">
        <f>STATS1003B!Y1074/1000</f>
        <v>0</v>
      </c>
      <c r="Z1073" s="85">
        <f t="shared" si="136"/>
        <v>0</v>
      </c>
      <c r="AA1073" s="69">
        <f>STATS1003B!AA1074/1000</f>
        <v>2249.5153</v>
      </c>
      <c r="AB1073" s="69">
        <f>STATS1003B!AB1074/1000</f>
        <v>0</v>
      </c>
    </row>
    <row r="1074" spans="1:28" hidden="1" x14ac:dyDescent="0.3">
      <c r="A1074" s="117"/>
      <c r="C1074" s="68" t="s">
        <v>57</v>
      </c>
      <c r="D1074" s="87" t="s">
        <v>58</v>
      </c>
      <c r="E1074" s="85">
        <f>STATS1003B!E1075/1000</f>
        <v>2049.6210000000001</v>
      </c>
      <c r="F1074" s="85">
        <f>STATS1003B!F1075/1000</f>
        <v>2049.6210000000001</v>
      </c>
      <c r="G1074" s="85">
        <f>STATS1003B!G1075/1000</f>
        <v>0</v>
      </c>
      <c r="H1074" s="85">
        <f>STATS1003B!H1075/1000</f>
        <v>2049.6210000000001</v>
      </c>
      <c r="I1074" s="85">
        <f>STATS1003B!I1075/1000</f>
        <v>0</v>
      </c>
      <c r="J1074" s="85">
        <f>STATS1003B!J1075/1000</f>
        <v>0</v>
      </c>
      <c r="K1074" s="85">
        <f>STATS1003B!K1075/1000</f>
        <v>0</v>
      </c>
      <c r="L1074" s="85">
        <f>STATS1003B!L1075/1000</f>
        <v>0</v>
      </c>
      <c r="M1074" s="85">
        <f>STATS1003B!M1075/1000</f>
        <v>2049.6210000000001</v>
      </c>
      <c r="N1074" s="85">
        <f>STATS1003B!N1075/1000</f>
        <v>0</v>
      </c>
      <c r="O1074" s="85">
        <f>STATS1003B!O1075/1000</f>
        <v>0</v>
      </c>
      <c r="P1074" s="85">
        <f>STATS1003B!P1075/1000</f>
        <v>0</v>
      </c>
      <c r="Q1074" s="85">
        <f>STATS1003B!Q1075/1000</f>
        <v>0</v>
      </c>
      <c r="R1074" s="85">
        <f>STATS1003B!R1075/1000</f>
        <v>0</v>
      </c>
      <c r="S1074" s="85">
        <f>STATS1003B!S1075/1000</f>
        <v>0</v>
      </c>
      <c r="T1074" s="85">
        <f>STATS1003B!T1075/1000</f>
        <v>0</v>
      </c>
      <c r="U1074" s="85">
        <f>STATS1003B!U1075/1000</f>
        <v>0</v>
      </c>
      <c r="V1074" s="85">
        <f>STATS1003B!V1075/1000</f>
        <v>2049.6210000000001</v>
      </c>
      <c r="W1074" s="85">
        <f>STATS1003B!W1075/1000</f>
        <v>0</v>
      </c>
      <c r="X1074" s="85">
        <f t="shared" si="134"/>
        <v>2049.6210000000001</v>
      </c>
      <c r="Y1074" s="85">
        <f>STATS1003B!Y1075/1000</f>
        <v>0</v>
      </c>
      <c r="Z1074" s="85">
        <f t="shared" si="136"/>
        <v>0</v>
      </c>
      <c r="AA1074" s="69">
        <f>STATS1003B!AA1075/1000</f>
        <v>2049.6210000000001</v>
      </c>
      <c r="AB1074" s="69">
        <f>STATS1003B!AB1075/1000</f>
        <v>0</v>
      </c>
    </row>
    <row r="1075" spans="1:28" hidden="1" x14ac:dyDescent="0.3">
      <c r="A1075" s="117"/>
      <c r="C1075" s="71" t="s">
        <v>109</v>
      </c>
      <c r="D1075" s="88" t="s">
        <v>60</v>
      </c>
      <c r="E1075" s="85">
        <f>STATS1003B!E1076/1000</f>
        <v>1502.2619099999999</v>
      </c>
      <c r="F1075" s="85">
        <f>STATS1003B!F1076/1000</f>
        <v>1502.2619099999999</v>
      </c>
      <c r="G1075" s="85">
        <f>STATS1003B!G1076/1000</f>
        <v>0</v>
      </c>
      <c r="H1075" s="85">
        <f>STATS1003B!H1076/1000</f>
        <v>1502.2619099999999</v>
      </c>
      <c r="I1075" s="85">
        <f>STATS1003B!I1076/1000</f>
        <v>0</v>
      </c>
      <c r="J1075" s="85">
        <f>STATS1003B!J1076/1000</f>
        <v>0</v>
      </c>
      <c r="K1075" s="85">
        <f>STATS1003B!K1076/1000</f>
        <v>0</v>
      </c>
      <c r="L1075" s="85">
        <f>STATS1003B!L1076/1000</f>
        <v>0</v>
      </c>
      <c r="M1075" s="85">
        <f>STATS1003B!M1076/1000</f>
        <v>1502.2619099999999</v>
      </c>
      <c r="N1075" s="85">
        <f>STATS1003B!N1076/1000</f>
        <v>0</v>
      </c>
      <c r="O1075" s="85">
        <f>STATS1003B!O1076/1000</f>
        <v>0</v>
      </c>
      <c r="P1075" s="85">
        <f>STATS1003B!P1076/1000</f>
        <v>0</v>
      </c>
      <c r="Q1075" s="85">
        <f>STATS1003B!Q1076/1000</f>
        <v>0</v>
      </c>
      <c r="R1075" s="85">
        <f>STATS1003B!R1076/1000</f>
        <v>0</v>
      </c>
      <c r="S1075" s="85">
        <f>STATS1003B!S1076/1000</f>
        <v>0</v>
      </c>
      <c r="T1075" s="85">
        <f>STATS1003B!T1076/1000</f>
        <v>0</v>
      </c>
      <c r="U1075" s="85">
        <f>STATS1003B!U1076/1000</f>
        <v>0</v>
      </c>
      <c r="V1075" s="85">
        <f>STATS1003B!V1076/1000</f>
        <v>1502.2619099999999</v>
      </c>
      <c r="W1075" s="85">
        <f>STATS1003B!W1076/1000</f>
        <v>0</v>
      </c>
      <c r="X1075" s="85">
        <f t="shared" si="134"/>
        <v>1502.2619099999999</v>
      </c>
      <c r="Y1075" s="85">
        <f>STATS1003B!Y1076/1000</f>
        <v>0</v>
      </c>
      <c r="Z1075" s="85">
        <f t="shared" si="136"/>
        <v>0</v>
      </c>
      <c r="AA1075" s="69">
        <f>STATS1003B!AA1076/1000</f>
        <v>1502.2619099999999</v>
      </c>
      <c r="AB1075" s="69">
        <f>STATS1003B!AB1076/1000</f>
        <v>0</v>
      </c>
    </row>
    <row r="1076" spans="1:28" hidden="1" x14ac:dyDescent="0.3">
      <c r="A1076" s="117"/>
      <c r="C1076" s="71" t="s">
        <v>1117</v>
      </c>
      <c r="D1076" s="89" t="s">
        <v>1072</v>
      </c>
      <c r="E1076" s="85">
        <f>STATS1003B!E1077/1000</f>
        <v>300</v>
      </c>
      <c r="F1076" s="85">
        <f>STATS1003B!F1077/1000</f>
        <v>300</v>
      </c>
      <c r="G1076" s="85">
        <f>STATS1003B!G1077/1000</f>
        <v>0</v>
      </c>
      <c r="H1076" s="85">
        <f>STATS1003B!H1077/1000</f>
        <v>300</v>
      </c>
      <c r="I1076" s="85">
        <f>STATS1003B!I1077/1000</f>
        <v>0</v>
      </c>
      <c r="J1076" s="85">
        <f>STATS1003B!J1077/1000</f>
        <v>0</v>
      </c>
      <c r="K1076" s="85">
        <f>STATS1003B!K1077/1000</f>
        <v>0</v>
      </c>
      <c r="L1076" s="85">
        <f>STATS1003B!L1077/1000</f>
        <v>0</v>
      </c>
      <c r="M1076" s="85">
        <f>STATS1003B!M1077/1000</f>
        <v>300</v>
      </c>
      <c r="N1076" s="85">
        <f>STATS1003B!N1077/1000</f>
        <v>0</v>
      </c>
      <c r="O1076" s="85">
        <f>STATS1003B!O1077/1000</f>
        <v>0</v>
      </c>
      <c r="P1076" s="85">
        <f>STATS1003B!P1077/1000</f>
        <v>0</v>
      </c>
      <c r="Q1076" s="85">
        <f>STATS1003B!Q1077/1000</f>
        <v>0</v>
      </c>
      <c r="R1076" s="85">
        <f>STATS1003B!R1077/1000</f>
        <v>0</v>
      </c>
      <c r="S1076" s="85">
        <f>STATS1003B!S1077/1000</f>
        <v>0</v>
      </c>
      <c r="T1076" s="85">
        <f>STATS1003B!T1077/1000</f>
        <v>0</v>
      </c>
      <c r="U1076" s="85">
        <f>STATS1003B!U1077/1000</f>
        <v>0</v>
      </c>
      <c r="V1076" s="85">
        <f>STATS1003B!V1077/1000</f>
        <v>300</v>
      </c>
      <c r="W1076" s="85">
        <f>STATS1003B!W1077/1000</f>
        <v>0</v>
      </c>
      <c r="X1076" s="85">
        <f t="shared" si="134"/>
        <v>300</v>
      </c>
      <c r="Y1076" s="85">
        <f>STATS1003B!Y1077/1000</f>
        <v>0</v>
      </c>
      <c r="Z1076" s="85">
        <f t="shared" si="136"/>
        <v>0</v>
      </c>
      <c r="AA1076" s="69">
        <f>STATS1003B!AA1077/1000</f>
        <v>300</v>
      </c>
      <c r="AB1076" s="69">
        <f>STATS1003B!AB1077/1000</f>
        <v>0</v>
      </c>
    </row>
    <row r="1077" spans="1:28" hidden="1" x14ac:dyDescent="0.3">
      <c r="A1077" s="117"/>
      <c r="C1077" s="71" t="s">
        <v>930</v>
      </c>
      <c r="D1077" s="88"/>
      <c r="E1077" s="85">
        <f>STATS1003B!E1078/1000</f>
        <v>2163.3572899999999</v>
      </c>
      <c r="F1077" s="85">
        <f>STATS1003B!F1078/1000</f>
        <v>2163.3572899999999</v>
      </c>
      <c r="G1077" s="85">
        <f>STATS1003B!G1078/1000</f>
        <v>0</v>
      </c>
      <c r="H1077" s="85">
        <f>STATS1003B!H1078/1000</f>
        <v>2163.3572899999999</v>
      </c>
      <c r="I1077" s="85">
        <f>STATS1003B!I1078/1000</f>
        <v>0</v>
      </c>
      <c r="J1077" s="85">
        <f>STATS1003B!J1078/1000</f>
        <v>0</v>
      </c>
      <c r="K1077" s="85">
        <f>STATS1003B!K1078/1000</f>
        <v>0</v>
      </c>
      <c r="L1077" s="85">
        <f>STATS1003B!L1078/1000</f>
        <v>0</v>
      </c>
      <c r="M1077" s="85">
        <f>STATS1003B!M1078/1000</f>
        <v>2163.3572899999999</v>
      </c>
      <c r="N1077" s="85">
        <f>STATS1003B!N1078/1000</f>
        <v>0</v>
      </c>
      <c r="O1077" s="85">
        <f>STATS1003B!O1078/1000</f>
        <v>0</v>
      </c>
      <c r="P1077" s="85">
        <f>STATS1003B!P1078/1000</f>
        <v>0</v>
      </c>
      <c r="Q1077" s="85">
        <f>STATS1003B!Q1078/1000</f>
        <v>0</v>
      </c>
      <c r="R1077" s="85">
        <f>STATS1003B!R1078/1000</f>
        <v>0</v>
      </c>
      <c r="S1077" s="85">
        <f>STATS1003B!S1078/1000</f>
        <v>0</v>
      </c>
      <c r="T1077" s="85">
        <f>STATS1003B!T1078/1000</f>
        <v>0</v>
      </c>
      <c r="U1077" s="85">
        <f>STATS1003B!U1078/1000</f>
        <v>0</v>
      </c>
      <c r="V1077" s="85">
        <f>STATS1003B!V1078/1000</f>
        <v>2163.3572899999999</v>
      </c>
      <c r="W1077" s="85">
        <f>STATS1003B!W1078/1000</f>
        <v>0</v>
      </c>
      <c r="X1077" s="85">
        <f t="shared" si="134"/>
        <v>2163.3572899999999</v>
      </c>
      <c r="Y1077" s="85">
        <f>STATS1003B!Y1078/1000</f>
        <v>0</v>
      </c>
      <c r="Z1077" s="85">
        <f t="shared" si="136"/>
        <v>0</v>
      </c>
      <c r="AA1077" s="69">
        <f>STATS1003B!AA1078/1000</f>
        <v>2163.3572899999999</v>
      </c>
      <c r="AB1077" s="69">
        <f>STATS1003B!AB1078/1000</f>
        <v>0</v>
      </c>
    </row>
    <row r="1078" spans="1:28" hidden="1" x14ac:dyDescent="0.3">
      <c r="A1078" s="117"/>
      <c r="C1078" s="71" t="s">
        <v>1129</v>
      </c>
      <c r="D1078" s="89" t="s">
        <v>1126</v>
      </c>
      <c r="E1078" s="85">
        <f>STATS1003B!E1079/1000</f>
        <v>2015.8043899999998</v>
      </c>
      <c r="F1078" s="85">
        <f>STATS1003B!F1079/1000</f>
        <v>2015.8043899999998</v>
      </c>
      <c r="G1078" s="85">
        <f>STATS1003B!G1079/1000</f>
        <v>0</v>
      </c>
      <c r="H1078" s="85">
        <f>STATS1003B!H1079/1000</f>
        <v>2015.8043899999998</v>
      </c>
      <c r="I1078" s="85">
        <f>STATS1003B!I1079/1000</f>
        <v>0</v>
      </c>
      <c r="J1078" s="85">
        <f>STATS1003B!J1079/1000</f>
        <v>0</v>
      </c>
      <c r="K1078" s="85">
        <f>STATS1003B!K1079/1000</f>
        <v>0</v>
      </c>
      <c r="L1078" s="85">
        <f>STATS1003B!L1079/1000</f>
        <v>0</v>
      </c>
      <c r="M1078" s="85">
        <f>STATS1003B!M1079/1000</f>
        <v>2015.8043899999998</v>
      </c>
      <c r="N1078" s="85">
        <f>STATS1003B!N1079/1000</f>
        <v>0</v>
      </c>
      <c r="O1078" s="85">
        <f>STATS1003B!O1079/1000</f>
        <v>0</v>
      </c>
      <c r="P1078" s="85">
        <f>STATS1003B!P1079/1000</f>
        <v>0</v>
      </c>
      <c r="Q1078" s="85">
        <f>STATS1003B!Q1079/1000</f>
        <v>0</v>
      </c>
      <c r="R1078" s="85">
        <f>STATS1003B!R1079/1000</f>
        <v>0</v>
      </c>
      <c r="S1078" s="85">
        <f>STATS1003B!S1079/1000</f>
        <v>0</v>
      </c>
      <c r="T1078" s="85">
        <f>STATS1003B!T1079/1000</f>
        <v>0</v>
      </c>
      <c r="U1078" s="85">
        <f>STATS1003B!U1079/1000</f>
        <v>0</v>
      </c>
      <c r="V1078" s="85">
        <f>STATS1003B!V1079/1000</f>
        <v>0</v>
      </c>
      <c r="W1078" s="85">
        <f>STATS1003B!W1079/1000</f>
        <v>0</v>
      </c>
      <c r="X1078" s="85">
        <f t="shared" si="134"/>
        <v>2015.8043899999998</v>
      </c>
      <c r="Y1078" s="85">
        <f>STATS1003B!Y1079/1000</f>
        <v>0</v>
      </c>
      <c r="Z1078" s="85">
        <f t="shared" si="136"/>
        <v>0</v>
      </c>
      <c r="AA1078" s="69">
        <f>STATS1003B!AA1079/1000</f>
        <v>2015.8043899999998</v>
      </c>
      <c r="AB1078" s="69">
        <f>STATS1003B!AB1079/1000</f>
        <v>0</v>
      </c>
    </row>
    <row r="1079" spans="1:28" hidden="1" x14ac:dyDescent="0.3">
      <c r="A1079" s="117"/>
      <c r="C1079" s="71" t="s">
        <v>1079</v>
      </c>
      <c r="D1079" s="89" t="s">
        <v>1072</v>
      </c>
      <c r="E1079" s="85">
        <f>STATS1003B!E1080/1000</f>
        <v>2993.51316</v>
      </c>
      <c r="F1079" s="85">
        <f>STATS1003B!F1080/1000</f>
        <v>2993.51316</v>
      </c>
      <c r="G1079" s="85">
        <f>STATS1003B!G1080/1000</f>
        <v>0</v>
      </c>
      <c r="H1079" s="85">
        <f>STATS1003B!H1080/1000</f>
        <v>2993.51316</v>
      </c>
      <c r="I1079" s="85">
        <f>STATS1003B!I1080/1000</f>
        <v>0</v>
      </c>
      <c r="J1079" s="85">
        <f>STATS1003B!J1080/1000</f>
        <v>0</v>
      </c>
      <c r="K1079" s="85">
        <f>STATS1003B!K1080/1000</f>
        <v>0</v>
      </c>
      <c r="L1079" s="85">
        <f>STATS1003B!L1080/1000</f>
        <v>0</v>
      </c>
      <c r="M1079" s="85">
        <f>STATS1003B!M1080/1000</f>
        <v>2993.51316</v>
      </c>
      <c r="N1079" s="85">
        <f>STATS1003B!N1080/1000</f>
        <v>0</v>
      </c>
      <c r="O1079" s="85">
        <f>STATS1003B!O1080/1000</f>
        <v>0</v>
      </c>
      <c r="P1079" s="85">
        <f>STATS1003B!P1080/1000</f>
        <v>0</v>
      </c>
      <c r="Q1079" s="85">
        <f>STATS1003B!Q1080/1000</f>
        <v>0</v>
      </c>
      <c r="R1079" s="85">
        <f>STATS1003B!R1080/1000</f>
        <v>0</v>
      </c>
      <c r="S1079" s="85">
        <f>STATS1003B!S1080/1000</f>
        <v>0</v>
      </c>
      <c r="T1079" s="85">
        <f>STATS1003B!T1080/1000</f>
        <v>0</v>
      </c>
      <c r="U1079" s="85">
        <f>STATS1003B!U1080/1000</f>
        <v>0</v>
      </c>
      <c r="V1079" s="85">
        <f>STATS1003B!V1080/1000</f>
        <v>0</v>
      </c>
      <c r="W1079" s="85">
        <f>STATS1003B!W1080/1000</f>
        <v>0</v>
      </c>
      <c r="X1079" s="85">
        <f t="shared" si="134"/>
        <v>2993.51316</v>
      </c>
      <c r="Y1079" s="85">
        <f>STATS1003B!Y1080/1000</f>
        <v>0</v>
      </c>
      <c r="Z1079" s="85">
        <f t="shared" si="136"/>
        <v>0</v>
      </c>
      <c r="AA1079" s="69">
        <f>STATS1003B!AA1080/1000</f>
        <v>2993.51316</v>
      </c>
      <c r="AB1079" s="69">
        <f>STATS1003B!AB1080/1000</f>
        <v>0</v>
      </c>
    </row>
    <row r="1080" spans="1:28" hidden="1" x14ac:dyDescent="0.3">
      <c r="A1080" s="117"/>
      <c r="C1080" s="71" t="s">
        <v>1176</v>
      </c>
      <c r="D1080" s="89" t="s">
        <v>1126</v>
      </c>
      <c r="E1080" s="85">
        <f>STATS1003B!E1081/1000</f>
        <v>3456.0763500000003</v>
      </c>
      <c r="F1080" s="85">
        <f>STATS1003B!F1081/1000</f>
        <v>3456.0763500000003</v>
      </c>
      <c r="G1080" s="85">
        <f>STATS1003B!G1081/1000</f>
        <v>0</v>
      </c>
      <c r="H1080" s="85">
        <f>STATS1003B!H1081/1000</f>
        <v>3456.0763500000003</v>
      </c>
      <c r="I1080" s="85">
        <f>STATS1003B!I1081/1000</f>
        <v>0</v>
      </c>
      <c r="J1080" s="85">
        <f>STATS1003B!J1081/1000</f>
        <v>0</v>
      </c>
      <c r="K1080" s="85">
        <f>STATS1003B!K1081/1000</f>
        <v>0</v>
      </c>
      <c r="L1080" s="85">
        <f>STATS1003B!L1081/1000</f>
        <v>0</v>
      </c>
      <c r="M1080" s="85">
        <f>STATS1003B!M1081/1000</f>
        <v>3456.0763500000003</v>
      </c>
      <c r="N1080" s="85">
        <f>STATS1003B!N1081/1000</f>
        <v>0</v>
      </c>
      <c r="O1080" s="85">
        <f>STATS1003B!O1081/1000</f>
        <v>0</v>
      </c>
      <c r="P1080" s="85">
        <f>STATS1003B!P1081/1000</f>
        <v>0</v>
      </c>
      <c r="Q1080" s="85">
        <f>STATS1003B!Q1081/1000</f>
        <v>0</v>
      </c>
      <c r="R1080" s="85">
        <f>STATS1003B!R1081/1000</f>
        <v>0</v>
      </c>
      <c r="S1080" s="85">
        <f>STATS1003B!S1081/1000</f>
        <v>0</v>
      </c>
      <c r="T1080" s="85">
        <f>STATS1003B!T1081/1000</f>
        <v>0</v>
      </c>
      <c r="U1080" s="85">
        <f>STATS1003B!U1081/1000</f>
        <v>0</v>
      </c>
      <c r="V1080" s="85">
        <f>STATS1003B!V1081/1000</f>
        <v>0</v>
      </c>
      <c r="W1080" s="85">
        <f>STATS1003B!W1081/1000</f>
        <v>0</v>
      </c>
      <c r="X1080" s="85">
        <f t="shared" si="134"/>
        <v>3456.0763500000003</v>
      </c>
      <c r="Y1080" s="85">
        <f>STATS1003B!Y1081/1000</f>
        <v>0</v>
      </c>
      <c r="Z1080" s="85">
        <f t="shared" si="136"/>
        <v>0</v>
      </c>
      <c r="AA1080" s="69">
        <f>STATS1003B!AA1081/1000</f>
        <v>3456.0763500000003</v>
      </c>
      <c r="AB1080" s="69">
        <f>STATS1003B!AB1081/1000</f>
        <v>0</v>
      </c>
    </row>
    <row r="1081" spans="1:28" hidden="1" x14ac:dyDescent="0.3">
      <c r="A1081" s="117"/>
      <c r="C1081" s="68" t="s">
        <v>57</v>
      </c>
      <c r="D1081" s="87" t="s">
        <v>60</v>
      </c>
      <c r="E1081" s="85">
        <f>STATS1003B!E1082/1000</f>
        <v>2171.0540000000001</v>
      </c>
      <c r="F1081" s="85">
        <f>STATS1003B!F1082/1000</f>
        <v>2171.0540000000001</v>
      </c>
      <c r="G1081" s="85">
        <f>STATS1003B!G1082/1000</f>
        <v>0</v>
      </c>
      <c r="H1081" s="85">
        <f>STATS1003B!H1082/1000</f>
        <v>2171.0540000000001</v>
      </c>
      <c r="I1081" s="85">
        <f>STATS1003B!I1082/1000</f>
        <v>0</v>
      </c>
      <c r="J1081" s="85">
        <f>STATS1003B!J1082/1000</f>
        <v>0</v>
      </c>
      <c r="K1081" s="85">
        <f>STATS1003B!K1082/1000</f>
        <v>0</v>
      </c>
      <c r="L1081" s="85">
        <f>STATS1003B!L1082/1000</f>
        <v>0</v>
      </c>
      <c r="M1081" s="85">
        <f>STATS1003B!M1082/1000</f>
        <v>2171.0540000000001</v>
      </c>
      <c r="N1081" s="85">
        <f>STATS1003B!N1082/1000</f>
        <v>0</v>
      </c>
      <c r="O1081" s="85">
        <f>STATS1003B!O1082/1000</f>
        <v>0</v>
      </c>
      <c r="P1081" s="85">
        <f>STATS1003B!P1082/1000</f>
        <v>0</v>
      </c>
      <c r="Q1081" s="85">
        <f>STATS1003B!Q1082/1000</f>
        <v>0</v>
      </c>
      <c r="R1081" s="85">
        <f>STATS1003B!R1082/1000</f>
        <v>0</v>
      </c>
      <c r="S1081" s="85">
        <f>STATS1003B!S1082/1000</f>
        <v>0</v>
      </c>
      <c r="T1081" s="85">
        <f>STATS1003B!T1082/1000</f>
        <v>0</v>
      </c>
      <c r="U1081" s="85">
        <f>STATS1003B!U1082/1000</f>
        <v>0</v>
      </c>
      <c r="V1081" s="85">
        <f>STATS1003B!V1082/1000</f>
        <v>2171.0540000000001</v>
      </c>
      <c r="W1081" s="85">
        <f>STATS1003B!W1082/1000</f>
        <v>0</v>
      </c>
      <c r="X1081" s="85">
        <f t="shared" si="134"/>
        <v>2171.0540000000001</v>
      </c>
      <c r="Y1081" s="85">
        <f>STATS1003B!Y1082/1000</f>
        <v>0</v>
      </c>
      <c r="Z1081" s="85">
        <f t="shared" si="136"/>
        <v>0</v>
      </c>
      <c r="AA1081" s="69">
        <f>STATS1003B!AA1082/1000</f>
        <v>2171.0540000000001</v>
      </c>
      <c r="AB1081" s="69">
        <f>STATS1003B!AB1082/1000</f>
        <v>0</v>
      </c>
    </row>
    <row r="1082" spans="1:28" hidden="1" x14ac:dyDescent="0.3">
      <c r="A1082" s="117"/>
      <c r="C1082" s="68" t="s">
        <v>57</v>
      </c>
      <c r="D1082" s="87" t="s">
        <v>73</v>
      </c>
      <c r="E1082" s="85">
        <f>STATS1003B!E1083/1000</f>
        <v>1001</v>
      </c>
      <c r="F1082" s="85">
        <f>STATS1003B!F1083/1000</f>
        <v>1001</v>
      </c>
      <c r="G1082" s="85">
        <f>STATS1003B!G1083/1000</f>
        <v>0</v>
      </c>
      <c r="H1082" s="85">
        <f>STATS1003B!H1083/1000</f>
        <v>1001</v>
      </c>
      <c r="I1082" s="85">
        <f>STATS1003B!I1083/1000</f>
        <v>0</v>
      </c>
      <c r="J1082" s="85">
        <f>STATS1003B!J1083/1000</f>
        <v>0</v>
      </c>
      <c r="K1082" s="85">
        <f>STATS1003B!K1083/1000</f>
        <v>0</v>
      </c>
      <c r="L1082" s="85">
        <f>STATS1003B!L1083/1000</f>
        <v>0</v>
      </c>
      <c r="M1082" s="85">
        <f>STATS1003B!M1083/1000</f>
        <v>1001</v>
      </c>
      <c r="N1082" s="85">
        <f>STATS1003B!N1083/1000</f>
        <v>0</v>
      </c>
      <c r="O1082" s="85">
        <f>STATS1003B!O1083/1000</f>
        <v>0</v>
      </c>
      <c r="P1082" s="85">
        <f>STATS1003B!P1083/1000</f>
        <v>0</v>
      </c>
      <c r="Q1082" s="85">
        <f>STATS1003B!Q1083/1000</f>
        <v>0</v>
      </c>
      <c r="R1082" s="85">
        <f>STATS1003B!R1083/1000</f>
        <v>0</v>
      </c>
      <c r="S1082" s="85">
        <f>STATS1003B!S1083/1000</f>
        <v>0</v>
      </c>
      <c r="T1082" s="85">
        <f>STATS1003B!T1083/1000</f>
        <v>0</v>
      </c>
      <c r="U1082" s="85">
        <f>STATS1003B!U1083/1000</f>
        <v>0</v>
      </c>
      <c r="V1082" s="85">
        <f>STATS1003B!V1083/1000</f>
        <v>1001</v>
      </c>
      <c r="W1082" s="85">
        <f>STATS1003B!W1083/1000</f>
        <v>0</v>
      </c>
      <c r="X1082" s="85">
        <f t="shared" si="134"/>
        <v>1001</v>
      </c>
      <c r="Y1082" s="85">
        <f>STATS1003B!Y1083/1000</f>
        <v>0</v>
      </c>
      <c r="Z1082" s="85">
        <f t="shared" si="136"/>
        <v>0</v>
      </c>
      <c r="AA1082" s="69">
        <f>STATS1003B!AA1083/1000</f>
        <v>1001</v>
      </c>
      <c r="AB1082" s="69">
        <f>STATS1003B!AB1083/1000</f>
        <v>0</v>
      </c>
    </row>
    <row r="1083" spans="1:28" hidden="1" x14ac:dyDescent="0.3">
      <c r="A1083" s="117"/>
      <c r="C1083" s="68" t="s">
        <v>57</v>
      </c>
      <c r="D1083" s="90" t="s">
        <v>61</v>
      </c>
      <c r="E1083" s="85">
        <f>STATS1003B!E1084/1000</f>
        <v>787.80641000000003</v>
      </c>
      <c r="F1083" s="85">
        <f>STATS1003B!F1084/1000</f>
        <v>750</v>
      </c>
      <c r="G1083" s="85">
        <f>STATS1003B!G1084/1000</f>
        <v>0</v>
      </c>
      <c r="H1083" s="85">
        <f>STATS1003B!H1084/1000</f>
        <v>750</v>
      </c>
      <c r="I1083" s="85">
        <f>STATS1003B!I1084/1000</f>
        <v>0</v>
      </c>
      <c r="J1083" s="85">
        <f>STATS1003B!J1084/1000</f>
        <v>0</v>
      </c>
      <c r="K1083" s="85">
        <f>STATS1003B!K1084/1000</f>
        <v>0</v>
      </c>
      <c r="L1083" s="85">
        <f>STATS1003B!L1084/1000</f>
        <v>0</v>
      </c>
      <c r="M1083" s="85">
        <f>STATS1003B!M1084/1000</f>
        <v>750</v>
      </c>
      <c r="N1083" s="85">
        <f>STATS1003B!N1084/1000</f>
        <v>0</v>
      </c>
      <c r="O1083" s="85">
        <f>STATS1003B!O1084/1000</f>
        <v>0</v>
      </c>
      <c r="P1083" s="85">
        <f>STATS1003B!P1084/1000</f>
        <v>0</v>
      </c>
      <c r="Q1083" s="85">
        <f>STATS1003B!Q1084/1000</f>
        <v>37.806410000000007</v>
      </c>
      <c r="R1083" s="85">
        <f>STATS1003B!R1084/1000</f>
        <v>0</v>
      </c>
      <c r="S1083" s="85">
        <f>STATS1003B!S1084/1000</f>
        <v>0</v>
      </c>
      <c r="T1083" s="85">
        <f>STATS1003B!T1084/1000</f>
        <v>37.806410000000007</v>
      </c>
      <c r="U1083" s="85">
        <f>STATS1003B!U1084/1000</f>
        <v>37.806410000000007</v>
      </c>
      <c r="V1083" s="85">
        <f>STATS1003B!V1084/1000</f>
        <v>750</v>
      </c>
      <c r="W1083" s="85">
        <f>STATS1003B!W1084/1000</f>
        <v>37.806410000000035</v>
      </c>
      <c r="X1083" s="85">
        <f t="shared" si="134"/>
        <v>750</v>
      </c>
      <c r="Y1083" s="85">
        <f>STATS1003B!Y1084/1000</f>
        <v>0</v>
      </c>
      <c r="Z1083" s="85">
        <f t="shared" si="136"/>
        <v>37.806410000000028</v>
      </c>
      <c r="AA1083" s="69">
        <f>STATS1003B!AA1084/1000</f>
        <v>787.80641000000003</v>
      </c>
      <c r="AB1083" s="69">
        <f>STATS1003B!AB1084/1000</f>
        <v>0</v>
      </c>
    </row>
    <row r="1084" spans="1:28" hidden="1" x14ac:dyDescent="0.3">
      <c r="A1084" s="117"/>
      <c r="E1084" s="86" t="s">
        <v>29</v>
      </c>
      <c r="F1084" s="86" t="s">
        <v>29</v>
      </c>
      <c r="G1084" s="86" t="s">
        <v>29</v>
      </c>
      <c r="H1084" s="86" t="s">
        <v>29</v>
      </c>
      <c r="I1084" s="86" t="s">
        <v>29</v>
      </c>
      <c r="J1084" s="86" t="s">
        <v>29</v>
      </c>
      <c r="K1084" s="86" t="s">
        <v>29</v>
      </c>
      <c r="L1084" s="86" t="s">
        <v>29</v>
      </c>
      <c r="M1084" s="86" t="s">
        <v>29</v>
      </c>
      <c r="N1084" s="86" t="s">
        <v>29</v>
      </c>
      <c r="O1084" s="86" t="s">
        <v>29</v>
      </c>
      <c r="P1084" s="86" t="s">
        <v>29</v>
      </c>
      <c r="Q1084" s="86" t="s">
        <v>29</v>
      </c>
      <c r="R1084" s="86" t="s">
        <v>29</v>
      </c>
      <c r="S1084" s="86" t="s">
        <v>29</v>
      </c>
      <c r="T1084" s="86" t="s">
        <v>29</v>
      </c>
      <c r="U1084" s="86" t="s">
        <v>29</v>
      </c>
      <c r="V1084" s="86" t="s">
        <v>29</v>
      </c>
      <c r="W1084" s="86" t="s">
        <v>29</v>
      </c>
      <c r="X1084" s="85" t="e">
        <f t="shared" si="134"/>
        <v>#VALUE!</v>
      </c>
      <c r="Y1084" s="86" t="s">
        <v>29</v>
      </c>
      <c r="Z1084" s="85" t="e">
        <f t="shared" si="136"/>
        <v>#VALUE!</v>
      </c>
      <c r="AA1084" s="115" t="s">
        <v>29</v>
      </c>
      <c r="AB1084" s="115" t="s">
        <v>29</v>
      </c>
    </row>
    <row r="1085" spans="1:28" x14ac:dyDescent="0.3">
      <c r="A1085" s="116">
        <v>50</v>
      </c>
      <c r="B1085" s="68" t="s">
        <v>246</v>
      </c>
      <c r="E1085" s="85">
        <f>118503942.28/1000</f>
        <v>118503.94228</v>
      </c>
      <c r="F1085" s="85">
        <f t="shared" ref="F1085:AB1085" si="138">SUM(F1068:F1083)</f>
        <v>25127.866099999996</v>
      </c>
      <c r="G1085" s="85">
        <f t="shared" si="138"/>
        <v>0</v>
      </c>
      <c r="H1085" s="85">
        <f>113282041.98/1000</f>
        <v>113282.04198000001</v>
      </c>
      <c r="I1085" s="85">
        <f t="shared" si="138"/>
        <v>0</v>
      </c>
      <c r="J1085" s="85">
        <f t="shared" si="138"/>
        <v>0</v>
      </c>
      <c r="K1085" s="85">
        <f t="shared" si="138"/>
        <v>0</v>
      </c>
      <c r="L1085" s="85">
        <f t="shared" si="138"/>
        <v>0</v>
      </c>
      <c r="M1085" s="85">
        <f t="shared" si="138"/>
        <v>25127.866099999996</v>
      </c>
      <c r="N1085" s="85">
        <f t="shared" si="138"/>
        <v>5184.0938900000001</v>
      </c>
      <c r="O1085" s="85">
        <f t="shared" si="138"/>
        <v>0</v>
      </c>
      <c r="P1085" s="85">
        <f>5184093/1000</f>
        <v>5184.0929999999998</v>
      </c>
      <c r="Q1085" s="85">
        <f t="shared" si="138"/>
        <v>37.806410000000007</v>
      </c>
      <c r="R1085" s="85">
        <f t="shared" si="138"/>
        <v>0</v>
      </c>
      <c r="S1085" s="85">
        <f t="shared" si="138"/>
        <v>0</v>
      </c>
      <c r="T1085" s="85">
        <f t="shared" si="138"/>
        <v>37.806410000000007</v>
      </c>
      <c r="U1085" s="85">
        <f t="shared" si="138"/>
        <v>5221.9003000000002</v>
      </c>
      <c r="V1085" s="85">
        <f t="shared" si="138"/>
        <v>21846.566089999997</v>
      </c>
      <c r="W1085" s="85">
        <f t="shared" si="138"/>
        <v>37.806410000000035</v>
      </c>
      <c r="X1085" s="85">
        <f>+H1085+P1085</f>
        <v>118466.13498</v>
      </c>
      <c r="Y1085" s="85">
        <f t="shared" si="138"/>
        <v>0</v>
      </c>
      <c r="Z1085" s="85">
        <f t="shared" si="136"/>
        <v>37.807300000000396</v>
      </c>
      <c r="AA1085" s="69">
        <f t="shared" si="138"/>
        <v>30349.766399999997</v>
      </c>
      <c r="AB1085" s="69">
        <f t="shared" si="138"/>
        <v>0</v>
      </c>
    </row>
    <row r="1086" spans="1:28" hidden="1" x14ac:dyDescent="0.3">
      <c r="A1086" s="117"/>
      <c r="E1086" s="86" t="s">
        <v>29</v>
      </c>
      <c r="F1086" s="86" t="s">
        <v>29</v>
      </c>
      <c r="G1086" s="86" t="s">
        <v>29</v>
      </c>
      <c r="H1086" s="86" t="s">
        <v>29</v>
      </c>
      <c r="I1086" s="86" t="s">
        <v>29</v>
      </c>
      <c r="J1086" s="86" t="s">
        <v>29</v>
      </c>
      <c r="K1086" s="86" t="s">
        <v>29</v>
      </c>
      <c r="L1086" s="86" t="s">
        <v>29</v>
      </c>
      <c r="M1086" s="86" t="s">
        <v>29</v>
      </c>
      <c r="N1086" s="86" t="s">
        <v>29</v>
      </c>
      <c r="O1086" s="86" t="s">
        <v>29</v>
      </c>
      <c r="P1086" s="86" t="s">
        <v>29</v>
      </c>
      <c r="Q1086" s="86" t="s">
        <v>29</v>
      </c>
      <c r="R1086" s="86" t="s">
        <v>29</v>
      </c>
      <c r="S1086" s="86" t="s">
        <v>29</v>
      </c>
      <c r="T1086" s="86" t="s">
        <v>29</v>
      </c>
      <c r="U1086" s="86" t="s">
        <v>29</v>
      </c>
      <c r="V1086" s="86" t="s">
        <v>29</v>
      </c>
      <c r="W1086" s="86" t="s">
        <v>29</v>
      </c>
      <c r="X1086" s="85" t="e">
        <f t="shared" si="134"/>
        <v>#VALUE!</v>
      </c>
      <c r="Y1086" s="86" t="s">
        <v>29</v>
      </c>
      <c r="Z1086" s="85" t="e">
        <f t="shared" si="136"/>
        <v>#VALUE!</v>
      </c>
      <c r="AA1086" s="115" t="s">
        <v>29</v>
      </c>
      <c r="AB1086" s="115" t="s">
        <v>29</v>
      </c>
    </row>
    <row r="1087" spans="1:28" hidden="1" x14ac:dyDescent="0.3">
      <c r="A1087" s="105"/>
      <c r="E1087" s="84"/>
      <c r="F1087" s="84"/>
      <c r="G1087" s="84"/>
      <c r="H1087" s="84"/>
      <c r="I1087" s="84"/>
      <c r="J1087" s="84"/>
      <c r="K1087" s="84"/>
      <c r="L1087" s="84"/>
      <c r="M1087" s="84"/>
      <c r="N1087" s="84"/>
      <c r="O1087" s="84"/>
      <c r="P1087" s="84"/>
      <c r="Q1087" s="84"/>
      <c r="R1087" s="84"/>
      <c r="S1087" s="84"/>
      <c r="T1087" s="84"/>
      <c r="U1087" s="84"/>
      <c r="V1087" s="84"/>
      <c r="W1087" s="84"/>
      <c r="X1087" s="85">
        <f t="shared" si="134"/>
        <v>0</v>
      </c>
      <c r="Y1087" s="84"/>
      <c r="Z1087" s="85">
        <f t="shared" si="136"/>
        <v>0</v>
      </c>
    </row>
    <row r="1088" spans="1:28" hidden="1" x14ac:dyDescent="0.3">
      <c r="A1088" s="117"/>
      <c r="D1088" s="87" t="s">
        <v>251</v>
      </c>
      <c r="E1088" s="84"/>
      <c r="F1088" s="84"/>
      <c r="G1088" s="84"/>
      <c r="H1088" s="84"/>
      <c r="I1088" s="84"/>
      <c r="J1088" s="84"/>
      <c r="K1088" s="84"/>
      <c r="L1088" s="84"/>
      <c r="M1088" s="84"/>
      <c r="N1088" s="84"/>
      <c r="O1088" s="84"/>
      <c r="P1088" s="84"/>
      <c r="Q1088" s="84"/>
      <c r="R1088" s="84"/>
      <c r="S1088" s="84"/>
      <c r="T1088" s="84"/>
      <c r="U1088" s="84"/>
      <c r="V1088" s="84"/>
      <c r="W1088" s="84"/>
      <c r="X1088" s="85">
        <f t="shared" si="134"/>
        <v>0</v>
      </c>
      <c r="Y1088" s="84"/>
      <c r="Z1088" s="85">
        <f t="shared" si="136"/>
        <v>0</v>
      </c>
    </row>
    <row r="1089" spans="1:28" hidden="1" x14ac:dyDescent="0.3">
      <c r="A1089" s="117"/>
      <c r="C1089" s="68" t="s">
        <v>252</v>
      </c>
      <c r="D1089" s="71" t="s">
        <v>191</v>
      </c>
      <c r="E1089" s="85">
        <f>STATS1003B!E1090/1000</f>
        <v>25461.984629999999</v>
      </c>
      <c r="F1089" s="85">
        <f>STATS1003B!F1090/1000</f>
        <v>25305.304609999999</v>
      </c>
      <c r="G1089" s="85">
        <f>STATS1003B!G1090/1000</f>
        <v>0</v>
      </c>
      <c r="H1089" s="85">
        <f>STATS1003B!H1090/1000</f>
        <v>25305.304609999999</v>
      </c>
      <c r="I1089" s="85">
        <f>STATS1003B!I1090/1000</f>
        <v>0</v>
      </c>
      <c r="J1089" s="85">
        <f>STATS1003B!J1090/1000</f>
        <v>0</v>
      </c>
      <c r="K1089" s="85">
        <f>STATS1003B!K1090/1000</f>
        <v>0</v>
      </c>
      <c r="L1089" s="85">
        <f>STATS1003B!L1090/1000</f>
        <v>0</v>
      </c>
      <c r="M1089" s="85">
        <f>STATS1003B!M1090/1000</f>
        <v>25305.304609999999</v>
      </c>
      <c r="N1089" s="85">
        <f>STATS1003B!N1090/1000</f>
        <v>156.68001999999998</v>
      </c>
      <c r="O1089" s="85">
        <f>STATS1003B!O1090/1000</f>
        <v>0</v>
      </c>
      <c r="P1089" s="85">
        <f>STATS1003B!P1090/1000</f>
        <v>156.68001999999998</v>
      </c>
      <c r="Q1089" s="85">
        <f>STATS1003B!Q1090/1000</f>
        <v>0</v>
      </c>
      <c r="R1089" s="85">
        <f>STATS1003B!R1090/1000</f>
        <v>0</v>
      </c>
      <c r="S1089" s="85">
        <f>STATS1003B!S1090/1000</f>
        <v>0</v>
      </c>
      <c r="T1089" s="85">
        <f>STATS1003B!T1090/1000</f>
        <v>0</v>
      </c>
      <c r="U1089" s="85">
        <f>STATS1003B!U1090/1000</f>
        <v>156.68001999999998</v>
      </c>
      <c r="V1089" s="85">
        <f>STATS1003B!V1090/1000</f>
        <v>25461.984629999999</v>
      </c>
      <c r="W1089" s="85">
        <f>STATS1003B!W1090/1000</f>
        <v>0</v>
      </c>
      <c r="X1089" s="85">
        <f t="shared" si="134"/>
        <v>25461.984629999999</v>
      </c>
      <c r="Y1089" s="85">
        <f>STATS1003B!Y1090/1000</f>
        <v>0</v>
      </c>
      <c r="Z1089" s="85">
        <f t="shared" si="136"/>
        <v>0</v>
      </c>
      <c r="AA1089" s="69">
        <f>STATS1003B!AA1090/1000</f>
        <v>25461.984629999999</v>
      </c>
      <c r="AB1089" s="69">
        <f>STATS1003B!AB1090/1000</f>
        <v>0</v>
      </c>
    </row>
    <row r="1090" spans="1:28" hidden="1" x14ac:dyDescent="0.3">
      <c r="A1090" s="117"/>
      <c r="C1090" s="68" t="s">
        <v>253</v>
      </c>
      <c r="D1090" s="87" t="s">
        <v>254</v>
      </c>
      <c r="E1090" s="85">
        <f>STATS1003B!E1091/1000</f>
        <v>11726.953</v>
      </c>
      <c r="F1090" s="85">
        <f>STATS1003B!F1091/1000</f>
        <v>11726.953</v>
      </c>
      <c r="G1090" s="85">
        <f>STATS1003B!G1091/1000</f>
        <v>0</v>
      </c>
      <c r="H1090" s="85">
        <f>STATS1003B!H1091/1000</f>
        <v>11726.953</v>
      </c>
      <c r="I1090" s="85">
        <f>STATS1003B!I1091/1000</f>
        <v>0</v>
      </c>
      <c r="J1090" s="85">
        <f>STATS1003B!J1091/1000</f>
        <v>0</v>
      </c>
      <c r="K1090" s="85">
        <f>STATS1003B!K1091/1000</f>
        <v>0</v>
      </c>
      <c r="L1090" s="85">
        <f>STATS1003B!L1091/1000</f>
        <v>0</v>
      </c>
      <c r="M1090" s="85">
        <f>STATS1003B!M1091/1000</f>
        <v>11726.953</v>
      </c>
      <c r="N1090" s="85">
        <f>STATS1003B!N1091/1000</f>
        <v>0</v>
      </c>
      <c r="O1090" s="85">
        <f>STATS1003B!O1091/1000</f>
        <v>0</v>
      </c>
      <c r="P1090" s="85">
        <f>STATS1003B!P1091/1000</f>
        <v>0</v>
      </c>
      <c r="Q1090" s="85">
        <f>STATS1003B!Q1091/1000</f>
        <v>0</v>
      </c>
      <c r="R1090" s="85">
        <f>STATS1003B!R1091/1000</f>
        <v>0</v>
      </c>
      <c r="S1090" s="85">
        <f>STATS1003B!S1091/1000</f>
        <v>0</v>
      </c>
      <c r="T1090" s="85">
        <f>STATS1003B!T1091/1000</f>
        <v>0</v>
      </c>
      <c r="U1090" s="85">
        <f>STATS1003B!U1091/1000</f>
        <v>0</v>
      </c>
      <c r="V1090" s="85">
        <f>STATS1003B!V1091/1000</f>
        <v>11726.953</v>
      </c>
      <c r="W1090" s="85">
        <f>STATS1003B!W1091/1000</f>
        <v>0</v>
      </c>
      <c r="X1090" s="85">
        <f t="shared" si="134"/>
        <v>11726.953</v>
      </c>
      <c r="Y1090" s="85">
        <f>STATS1003B!Y1091/1000</f>
        <v>0</v>
      </c>
      <c r="Z1090" s="85">
        <f t="shared" si="136"/>
        <v>0</v>
      </c>
      <c r="AA1090" s="69">
        <f>STATS1003B!AA1091/1000</f>
        <v>11726.953</v>
      </c>
      <c r="AB1090" s="69">
        <f>STATS1003B!AB1091/1000</f>
        <v>0</v>
      </c>
    </row>
    <row r="1091" spans="1:28" hidden="1" x14ac:dyDescent="0.3">
      <c r="A1091" s="117"/>
      <c r="C1091" s="68" t="s">
        <v>255</v>
      </c>
      <c r="D1091" s="87" t="s">
        <v>218</v>
      </c>
      <c r="E1091" s="85">
        <f>STATS1003B!E1092/1000</f>
        <v>5193.9992999999995</v>
      </c>
      <c r="F1091" s="85">
        <f>STATS1003B!F1092/1000</f>
        <v>5193.9992999999995</v>
      </c>
      <c r="G1091" s="85">
        <f>STATS1003B!G1092/1000</f>
        <v>0</v>
      </c>
      <c r="H1091" s="85">
        <f>STATS1003B!H1092/1000</f>
        <v>5193.9992999999995</v>
      </c>
      <c r="I1091" s="85">
        <f>STATS1003B!I1092/1000</f>
        <v>0</v>
      </c>
      <c r="J1091" s="85">
        <f>STATS1003B!J1092/1000</f>
        <v>0</v>
      </c>
      <c r="K1091" s="85">
        <f>STATS1003B!K1092/1000</f>
        <v>0</v>
      </c>
      <c r="L1091" s="85">
        <f>STATS1003B!L1092/1000</f>
        <v>0</v>
      </c>
      <c r="M1091" s="85">
        <f>STATS1003B!M1092/1000</f>
        <v>5193.9992999999995</v>
      </c>
      <c r="N1091" s="85">
        <f>STATS1003B!N1092/1000</f>
        <v>0</v>
      </c>
      <c r="O1091" s="85">
        <f>STATS1003B!O1092/1000</f>
        <v>0</v>
      </c>
      <c r="P1091" s="85">
        <f>STATS1003B!P1092/1000</f>
        <v>0</v>
      </c>
      <c r="Q1091" s="85">
        <f>STATS1003B!Q1092/1000</f>
        <v>0</v>
      </c>
      <c r="R1091" s="85">
        <f>STATS1003B!R1092/1000</f>
        <v>0</v>
      </c>
      <c r="S1091" s="85">
        <f>STATS1003B!S1092/1000</f>
        <v>0</v>
      </c>
      <c r="T1091" s="85">
        <f>STATS1003B!T1092/1000</f>
        <v>0</v>
      </c>
      <c r="U1091" s="85">
        <f>STATS1003B!U1092/1000</f>
        <v>0</v>
      </c>
      <c r="V1091" s="85">
        <f>STATS1003B!V1092/1000</f>
        <v>5193.9992999999995</v>
      </c>
      <c r="W1091" s="85">
        <f>STATS1003B!W1092/1000</f>
        <v>0</v>
      </c>
      <c r="X1091" s="85">
        <f t="shared" si="134"/>
        <v>5193.9992999999995</v>
      </c>
      <c r="Y1091" s="85">
        <f>STATS1003B!Y1092/1000</f>
        <v>0</v>
      </c>
      <c r="Z1091" s="85">
        <f t="shared" si="136"/>
        <v>0</v>
      </c>
      <c r="AA1091" s="69">
        <f>STATS1003B!AA1092/1000</f>
        <v>5193.9992999999995</v>
      </c>
      <c r="AB1091" s="69">
        <f>STATS1003B!AB1092/1000</f>
        <v>0</v>
      </c>
    </row>
    <row r="1092" spans="1:28" hidden="1" x14ac:dyDescent="0.3">
      <c r="A1092" s="117"/>
      <c r="C1092" s="68" t="s">
        <v>53</v>
      </c>
      <c r="D1092" s="87" t="s">
        <v>54</v>
      </c>
      <c r="E1092" s="85">
        <f>STATS1003B!E1093/1000</f>
        <v>1767.77</v>
      </c>
      <c r="F1092" s="85">
        <f>STATS1003B!F1093/1000</f>
        <v>0</v>
      </c>
      <c r="G1092" s="85">
        <f>STATS1003B!G1093/1000</f>
        <v>0</v>
      </c>
      <c r="H1092" s="85">
        <f>STATS1003B!H1093/1000</f>
        <v>0</v>
      </c>
      <c r="I1092" s="85">
        <f>STATS1003B!I1093/1000</f>
        <v>0</v>
      </c>
      <c r="J1092" s="85">
        <f>STATS1003B!J1093/1000</f>
        <v>0</v>
      </c>
      <c r="K1092" s="85">
        <f>STATS1003B!K1093/1000</f>
        <v>0</v>
      </c>
      <c r="L1092" s="85">
        <f>STATS1003B!L1093/1000</f>
        <v>0</v>
      </c>
      <c r="M1092" s="85">
        <f>STATS1003B!M1093/1000</f>
        <v>0</v>
      </c>
      <c r="N1092" s="85">
        <f>STATS1003B!N1093/1000</f>
        <v>1767.77</v>
      </c>
      <c r="O1092" s="85">
        <f>STATS1003B!O1093/1000</f>
        <v>0</v>
      </c>
      <c r="P1092" s="85">
        <f>STATS1003B!P1093/1000</f>
        <v>1767.77</v>
      </c>
      <c r="Q1092" s="85">
        <f>STATS1003B!Q1093/1000</f>
        <v>0</v>
      </c>
      <c r="R1092" s="85">
        <f>STATS1003B!R1093/1000</f>
        <v>0</v>
      </c>
      <c r="S1092" s="85">
        <f>STATS1003B!S1093/1000</f>
        <v>0</v>
      </c>
      <c r="T1092" s="85">
        <f>STATS1003B!T1093/1000</f>
        <v>0</v>
      </c>
      <c r="U1092" s="85">
        <f>STATS1003B!U1093/1000</f>
        <v>1767.77</v>
      </c>
      <c r="V1092" s="85">
        <f>STATS1003B!V1093/1000</f>
        <v>1767.77</v>
      </c>
      <c r="W1092" s="85">
        <f>STATS1003B!W1093/1000</f>
        <v>0</v>
      </c>
      <c r="X1092" s="85">
        <f t="shared" si="134"/>
        <v>1767.77</v>
      </c>
      <c r="Y1092" s="85">
        <f>STATS1003B!Y1093/1000</f>
        <v>0</v>
      </c>
      <c r="Z1092" s="85">
        <f t="shared" si="136"/>
        <v>0</v>
      </c>
      <c r="AA1092" s="69">
        <f>STATS1003B!AA1093/1000</f>
        <v>1767.77</v>
      </c>
      <c r="AB1092" s="69">
        <f>STATS1003B!AB1093/1000</f>
        <v>0</v>
      </c>
    </row>
    <row r="1093" spans="1:28" hidden="1" x14ac:dyDescent="0.3">
      <c r="A1093" s="117"/>
      <c r="C1093" s="68" t="s">
        <v>55</v>
      </c>
      <c r="D1093" s="87" t="s">
        <v>256</v>
      </c>
      <c r="E1093" s="85">
        <f>STATS1003B!E1094/1000</f>
        <v>8117.1698499999993</v>
      </c>
      <c r="F1093" s="85">
        <f>STATS1003B!F1094/1000</f>
        <v>0</v>
      </c>
      <c r="G1093" s="85">
        <f>STATS1003B!G1094/1000</f>
        <v>0</v>
      </c>
      <c r="H1093" s="85">
        <f>STATS1003B!H1094/1000</f>
        <v>0</v>
      </c>
      <c r="I1093" s="85">
        <f>STATS1003B!I1094/1000</f>
        <v>0</v>
      </c>
      <c r="J1093" s="85">
        <f>STATS1003B!J1094/1000</f>
        <v>0</v>
      </c>
      <c r="K1093" s="85">
        <f>STATS1003B!K1094/1000</f>
        <v>0</v>
      </c>
      <c r="L1093" s="85">
        <f>STATS1003B!L1094/1000</f>
        <v>0</v>
      </c>
      <c r="M1093" s="85">
        <f>STATS1003B!M1094/1000</f>
        <v>0</v>
      </c>
      <c r="N1093" s="85">
        <f>STATS1003B!N1094/1000</f>
        <v>8117.1698499999993</v>
      </c>
      <c r="O1093" s="85">
        <f>STATS1003B!O1094/1000</f>
        <v>0</v>
      </c>
      <c r="P1093" s="85">
        <f>STATS1003B!P1094/1000</f>
        <v>8117.1698499999993</v>
      </c>
      <c r="Q1093" s="85">
        <f>STATS1003B!Q1094/1000</f>
        <v>0</v>
      </c>
      <c r="R1093" s="85">
        <f>STATS1003B!R1094/1000</f>
        <v>0</v>
      </c>
      <c r="S1093" s="85">
        <f>STATS1003B!S1094/1000</f>
        <v>0</v>
      </c>
      <c r="T1093" s="85">
        <f>STATS1003B!T1094/1000</f>
        <v>0</v>
      </c>
      <c r="U1093" s="85">
        <f>STATS1003B!U1094/1000</f>
        <v>8117.1698499999993</v>
      </c>
      <c r="V1093" s="85">
        <f>STATS1003B!V1094/1000</f>
        <v>8117.1698499999993</v>
      </c>
      <c r="W1093" s="85">
        <f>STATS1003B!W1094/1000</f>
        <v>0</v>
      </c>
      <c r="X1093" s="85">
        <f t="shared" si="134"/>
        <v>8117.1698499999993</v>
      </c>
      <c r="Y1093" s="85">
        <f>STATS1003B!Y1094/1000</f>
        <v>0</v>
      </c>
      <c r="Z1093" s="85">
        <f t="shared" si="136"/>
        <v>0</v>
      </c>
      <c r="AA1093" s="69">
        <f>STATS1003B!AA1094/1000</f>
        <v>8117.1698499999993</v>
      </c>
      <c r="AB1093" s="69">
        <f>STATS1003B!AB1094/1000</f>
        <v>0</v>
      </c>
    </row>
    <row r="1094" spans="1:28" hidden="1" x14ac:dyDescent="0.3">
      <c r="A1094" s="117"/>
      <c r="C1094" s="68" t="s">
        <v>257</v>
      </c>
      <c r="D1094" s="87" t="s">
        <v>85</v>
      </c>
      <c r="E1094" s="85">
        <f>STATS1003B!E1095/1000</f>
        <v>2000</v>
      </c>
      <c r="F1094" s="85">
        <f>STATS1003B!F1095/1000</f>
        <v>2000</v>
      </c>
      <c r="G1094" s="85">
        <f>STATS1003B!G1095/1000</f>
        <v>0</v>
      </c>
      <c r="H1094" s="85">
        <f>STATS1003B!H1095/1000</f>
        <v>2000</v>
      </c>
      <c r="I1094" s="85">
        <f>STATS1003B!I1095/1000</f>
        <v>0</v>
      </c>
      <c r="J1094" s="85">
        <f>STATS1003B!J1095/1000</f>
        <v>0</v>
      </c>
      <c r="K1094" s="85">
        <f>STATS1003B!K1095/1000</f>
        <v>0</v>
      </c>
      <c r="L1094" s="85">
        <f>STATS1003B!L1095/1000</f>
        <v>0</v>
      </c>
      <c r="M1094" s="85">
        <f>STATS1003B!M1095/1000</f>
        <v>2000</v>
      </c>
      <c r="N1094" s="85">
        <f>STATS1003B!N1095/1000</f>
        <v>0</v>
      </c>
      <c r="O1094" s="85">
        <f>STATS1003B!O1095/1000</f>
        <v>0</v>
      </c>
      <c r="P1094" s="85">
        <f>STATS1003B!P1095/1000</f>
        <v>0</v>
      </c>
      <c r="Q1094" s="85">
        <f>STATS1003B!Q1095/1000</f>
        <v>0</v>
      </c>
      <c r="R1094" s="85">
        <f>STATS1003B!R1095/1000</f>
        <v>0</v>
      </c>
      <c r="S1094" s="85">
        <f>STATS1003B!S1095/1000</f>
        <v>0</v>
      </c>
      <c r="T1094" s="85">
        <f>STATS1003B!T1095/1000</f>
        <v>0</v>
      </c>
      <c r="U1094" s="85">
        <f>STATS1003B!U1095/1000</f>
        <v>0</v>
      </c>
      <c r="V1094" s="85">
        <f>STATS1003B!V1095/1000</f>
        <v>2000</v>
      </c>
      <c r="W1094" s="85">
        <f>STATS1003B!W1095/1000</f>
        <v>0</v>
      </c>
      <c r="X1094" s="85">
        <f t="shared" si="134"/>
        <v>2000</v>
      </c>
      <c r="Y1094" s="85">
        <f>STATS1003B!Y1095/1000</f>
        <v>0</v>
      </c>
      <c r="Z1094" s="85">
        <f t="shared" si="136"/>
        <v>0</v>
      </c>
      <c r="AA1094" s="69">
        <f>STATS1003B!AA1095/1000</f>
        <v>2000</v>
      </c>
      <c r="AB1094" s="69">
        <f>STATS1003B!AB1095/1000</f>
        <v>0</v>
      </c>
    </row>
    <row r="1095" spans="1:28" hidden="1" x14ac:dyDescent="0.3">
      <c r="A1095" s="117"/>
      <c r="C1095" s="68" t="s">
        <v>258</v>
      </c>
      <c r="D1095" s="87" t="s">
        <v>85</v>
      </c>
      <c r="E1095" s="85">
        <f>STATS1003B!E1096/1000</f>
        <v>80</v>
      </c>
      <c r="F1095" s="85">
        <f>STATS1003B!F1096/1000</f>
        <v>80</v>
      </c>
      <c r="G1095" s="85">
        <f>STATS1003B!G1096/1000</f>
        <v>0</v>
      </c>
      <c r="H1095" s="85">
        <f>STATS1003B!H1096/1000</f>
        <v>80</v>
      </c>
      <c r="I1095" s="85">
        <f>STATS1003B!I1096/1000</f>
        <v>0</v>
      </c>
      <c r="J1095" s="85">
        <f>STATS1003B!J1096/1000</f>
        <v>0</v>
      </c>
      <c r="K1095" s="85">
        <f>STATS1003B!K1096/1000</f>
        <v>0</v>
      </c>
      <c r="L1095" s="85">
        <f>STATS1003B!L1096/1000</f>
        <v>0</v>
      </c>
      <c r="M1095" s="85">
        <f>STATS1003B!M1096/1000</f>
        <v>80</v>
      </c>
      <c r="N1095" s="85">
        <f>STATS1003B!N1096/1000</f>
        <v>0</v>
      </c>
      <c r="O1095" s="85">
        <f>STATS1003B!O1096/1000</f>
        <v>0</v>
      </c>
      <c r="P1095" s="85">
        <f>STATS1003B!P1096/1000</f>
        <v>0</v>
      </c>
      <c r="Q1095" s="85">
        <f>STATS1003B!Q1096/1000</f>
        <v>0</v>
      </c>
      <c r="R1095" s="85">
        <f>STATS1003B!R1096/1000</f>
        <v>0</v>
      </c>
      <c r="S1095" s="85">
        <f>STATS1003B!S1096/1000</f>
        <v>0</v>
      </c>
      <c r="T1095" s="85">
        <f>STATS1003B!T1096/1000</f>
        <v>0</v>
      </c>
      <c r="U1095" s="85">
        <f>STATS1003B!U1096/1000</f>
        <v>0</v>
      </c>
      <c r="V1095" s="85">
        <f>STATS1003B!V1096/1000</f>
        <v>80</v>
      </c>
      <c r="W1095" s="85">
        <f>STATS1003B!W1096/1000</f>
        <v>0</v>
      </c>
      <c r="X1095" s="85">
        <f t="shared" si="134"/>
        <v>80</v>
      </c>
      <c r="Y1095" s="85">
        <f>STATS1003B!Y1096/1000</f>
        <v>0</v>
      </c>
      <c r="Z1095" s="85">
        <f t="shared" si="136"/>
        <v>0</v>
      </c>
      <c r="AA1095" s="69">
        <f>STATS1003B!AA1096/1000</f>
        <v>80</v>
      </c>
      <c r="AB1095" s="69">
        <f>STATS1003B!AB1096/1000</f>
        <v>0</v>
      </c>
    </row>
    <row r="1096" spans="1:28" hidden="1" x14ac:dyDescent="0.3">
      <c r="A1096" s="117"/>
      <c r="C1096" s="68" t="s">
        <v>87</v>
      </c>
      <c r="D1096" s="87" t="s">
        <v>88</v>
      </c>
      <c r="E1096" s="85">
        <f>STATS1003B!E1097/1000</f>
        <v>3500</v>
      </c>
      <c r="F1096" s="85">
        <f>STATS1003B!F1097/1000</f>
        <v>3500</v>
      </c>
      <c r="G1096" s="85">
        <f>STATS1003B!G1097/1000</f>
        <v>0</v>
      </c>
      <c r="H1096" s="85">
        <f>STATS1003B!H1097/1000</f>
        <v>3500</v>
      </c>
      <c r="I1096" s="85">
        <f>STATS1003B!I1097/1000</f>
        <v>0</v>
      </c>
      <c r="J1096" s="85">
        <f>STATS1003B!J1097/1000</f>
        <v>0</v>
      </c>
      <c r="K1096" s="85">
        <f>STATS1003B!K1097/1000</f>
        <v>0</v>
      </c>
      <c r="L1096" s="85">
        <f>STATS1003B!L1097/1000</f>
        <v>0</v>
      </c>
      <c r="M1096" s="85">
        <f>STATS1003B!M1097/1000</f>
        <v>3500</v>
      </c>
      <c r="N1096" s="85">
        <f>STATS1003B!N1097/1000</f>
        <v>0</v>
      </c>
      <c r="O1096" s="85">
        <f>STATS1003B!O1097/1000</f>
        <v>0</v>
      </c>
      <c r="P1096" s="85">
        <f>STATS1003B!P1097/1000</f>
        <v>0</v>
      </c>
      <c r="Q1096" s="85">
        <f>STATS1003B!Q1097/1000</f>
        <v>0</v>
      </c>
      <c r="R1096" s="85">
        <f>STATS1003B!R1097/1000</f>
        <v>0</v>
      </c>
      <c r="S1096" s="85">
        <f>STATS1003B!S1097/1000</f>
        <v>0</v>
      </c>
      <c r="T1096" s="85">
        <f>STATS1003B!T1097/1000</f>
        <v>0</v>
      </c>
      <c r="U1096" s="85">
        <f>STATS1003B!U1097/1000</f>
        <v>0</v>
      </c>
      <c r="V1096" s="85">
        <f>STATS1003B!V1097/1000</f>
        <v>3500</v>
      </c>
      <c r="W1096" s="85">
        <f>STATS1003B!W1097/1000</f>
        <v>0</v>
      </c>
      <c r="X1096" s="85">
        <f t="shared" si="134"/>
        <v>3500</v>
      </c>
      <c r="Y1096" s="85">
        <f>STATS1003B!Y1097/1000</f>
        <v>0</v>
      </c>
      <c r="Z1096" s="85">
        <f t="shared" si="136"/>
        <v>0</v>
      </c>
      <c r="AA1096" s="69">
        <f>STATS1003B!AA1097/1000</f>
        <v>3500</v>
      </c>
      <c r="AB1096" s="69">
        <f>STATS1003B!AB1097/1000</f>
        <v>0</v>
      </c>
    </row>
    <row r="1097" spans="1:28" hidden="1" x14ac:dyDescent="0.3">
      <c r="A1097" s="117"/>
      <c r="C1097" s="68" t="s">
        <v>259</v>
      </c>
      <c r="D1097" s="87" t="s">
        <v>88</v>
      </c>
      <c r="E1097" s="85">
        <f>STATS1003B!E1098/1000</f>
        <v>1000</v>
      </c>
      <c r="F1097" s="85">
        <f>STATS1003B!F1098/1000</f>
        <v>1000</v>
      </c>
      <c r="G1097" s="85">
        <f>STATS1003B!G1098/1000</f>
        <v>0</v>
      </c>
      <c r="H1097" s="85">
        <f>STATS1003B!H1098/1000</f>
        <v>1000</v>
      </c>
      <c r="I1097" s="85">
        <f>STATS1003B!I1098/1000</f>
        <v>0</v>
      </c>
      <c r="J1097" s="85">
        <f>STATS1003B!J1098/1000</f>
        <v>0</v>
      </c>
      <c r="K1097" s="85">
        <f>STATS1003B!K1098/1000</f>
        <v>0</v>
      </c>
      <c r="L1097" s="85">
        <f>STATS1003B!L1098/1000</f>
        <v>0</v>
      </c>
      <c r="M1097" s="85">
        <f>STATS1003B!M1098/1000</f>
        <v>1000</v>
      </c>
      <c r="N1097" s="85">
        <f>STATS1003B!N1098/1000</f>
        <v>0</v>
      </c>
      <c r="O1097" s="85">
        <f>STATS1003B!O1098/1000</f>
        <v>0</v>
      </c>
      <c r="P1097" s="85">
        <f>STATS1003B!P1098/1000</f>
        <v>0</v>
      </c>
      <c r="Q1097" s="85">
        <f>STATS1003B!Q1098/1000</f>
        <v>0</v>
      </c>
      <c r="R1097" s="85">
        <f>STATS1003B!R1098/1000</f>
        <v>0</v>
      </c>
      <c r="S1097" s="85">
        <f>STATS1003B!S1098/1000</f>
        <v>0</v>
      </c>
      <c r="T1097" s="85">
        <f>STATS1003B!T1098/1000</f>
        <v>0</v>
      </c>
      <c r="U1097" s="85">
        <f>STATS1003B!U1098/1000</f>
        <v>0</v>
      </c>
      <c r="V1097" s="85">
        <f>STATS1003B!V1098/1000</f>
        <v>1000</v>
      </c>
      <c r="W1097" s="85">
        <f>STATS1003B!W1098/1000</f>
        <v>0</v>
      </c>
      <c r="X1097" s="85">
        <f t="shared" si="134"/>
        <v>1000</v>
      </c>
      <c r="Y1097" s="85">
        <f>STATS1003B!Y1098/1000</f>
        <v>0</v>
      </c>
      <c r="Z1097" s="85">
        <f t="shared" si="136"/>
        <v>0</v>
      </c>
      <c r="AA1097" s="69">
        <f>STATS1003B!AA1098/1000</f>
        <v>1000</v>
      </c>
      <c r="AB1097" s="69">
        <f>STATS1003B!AB1098/1000</f>
        <v>0</v>
      </c>
    </row>
    <row r="1098" spans="1:28" hidden="1" x14ac:dyDescent="0.3">
      <c r="A1098" s="117"/>
      <c r="C1098" s="68" t="s">
        <v>57</v>
      </c>
      <c r="D1098" s="87" t="s">
        <v>58</v>
      </c>
      <c r="E1098" s="85">
        <f>STATS1003B!E1099/1000</f>
        <v>3000</v>
      </c>
      <c r="F1098" s="85">
        <f>STATS1003B!F1099/1000</f>
        <v>3000</v>
      </c>
      <c r="G1098" s="85">
        <f>STATS1003B!G1099/1000</f>
        <v>0</v>
      </c>
      <c r="H1098" s="85">
        <f>STATS1003B!H1099/1000</f>
        <v>3000</v>
      </c>
      <c r="I1098" s="85">
        <f>STATS1003B!I1099/1000</f>
        <v>0</v>
      </c>
      <c r="J1098" s="85">
        <f>STATS1003B!J1099/1000</f>
        <v>0</v>
      </c>
      <c r="K1098" s="85">
        <f>STATS1003B!K1099/1000</f>
        <v>0</v>
      </c>
      <c r="L1098" s="85">
        <f>STATS1003B!L1099/1000</f>
        <v>0</v>
      </c>
      <c r="M1098" s="85">
        <f>STATS1003B!M1099/1000</f>
        <v>3000</v>
      </c>
      <c r="N1098" s="85">
        <f>STATS1003B!N1099/1000</f>
        <v>0</v>
      </c>
      <c r="O1098" s="85">
        <f>STATS1003B!O1099/1000</f>
        <v>0</v>
      </c>
      <c r="P1098" s="85">
        <f>STATS1003B!P1099/1000</f>
        <v>0</v>
      </c>
      <c r="Q1098" s="85">
        <f>STATS1003B!Q1099/1000</f>
        <v>0</v>
      </c>
      <c r="R1098" s="85">
        <f>STATS1003B!R1099/1000</f>
        <v>0</v>
      </c>
      <c r="S1098" s="85">
        <f>STATS1003B!S1099/1000</f>
        <v>0</v>
      </c>
      <c r="T1098" s="85">
        <f>STATS1003B!T1099/1000</f>
        <v>0</v>
      </c>
      <c r="U1098" s="85">
        <f>STATS1003B!U1099/1000</f>
        <v>0</v>
      </c>
      <c r="V1098" s="85">
        <f>STATS1003B!V1099/1000</f>
        <v>3000</v>
      </c>
      <c r="W1098" s="85">
        <f>STATS1003B!W1099/1000</f>
        <v>0</v>
      </c>
      <c r="X1098" s="85">
        <f t="shared" si="134"/>
        <v>3000</v>
      </c>
      <c r="Y1098" s="85">
        <f>STATS1003B!Y1099/1000</f>
        <v>0</v>
      </c>
      <c r="Z1098" s="85">
        <f t="shared" si="136"/>
        <v>0</v>
      </c>
      <c r="AA1098" s="69">
        <f>STATS1003B!AA1099/1000</f>
        <v>3000</v>
      </c>
      <c r="AB1098" s="69">
        <f>STATS1003B!AB1099/1000</f>
        <v>0</v>
      </c>
    </row>
    <row r="1099" spans="1:28" hidden="1" x14ac:dyDescent="0.3">
      <c r="A1099" s="117"/>
      <c r="C1099" s="71" t="s">
        <v>109</v>
      </c>
      <c r="D1099" s="88" t="s">
        <v>60</v>
      </c>
      <c r="E1099" s="85">
        <f>STATS1003B!E1100/1000</f>
        <v>5000</v>
      </c>
      <c r="F1099" s="85">
        <f>STATS1003B!F1100/1000</f>
        <v>5000</v>
      </c>
      <c r="G1099" s="85">
        <f>STATS1003B!G1100/1000</f>
        <v>0</v>
      </c>
      <c r="H1099" s="85">
        <f>STATS1003B!H1100/1000</f>
        <v>5000</v>
      </c>
      <c r="I1099" s="85">
        <f>STATS1003B!I1100/1000</f>
        <v>1498.18551</v>
      </c>
      <c r="J1099" s="85">
        <f>STATS1003B!J1100/1000</f>
        <v>1498.18551</v>
      </c>
      <c r="K1099" s="85">
        <f>STATS1003B!K1100/1000</f>
        <v>0</v>
      </c>
      <c r="L1099" s="85">
        <f>STATS1003B!L1100/1000</f>
        <v>0</v>
      </c>
      <c r="M1099" s="85">
        <f>STATS1003B!M1100/1000</f>
        <v>5000</v>
      </c>
      <c r="N1099" s="85">
        <f>STATS1003B!N1100/1000</f>
        <v>0</v>
      </c>
      <c r="O1099" s="85">
        <f>STATS1003B!O1100/1000</f>
        <v>0</v>
      </c>
      <c r="P1099" s="85">
        <f>STATS1003B!P1100/1000</f>
        <v>0</v>
      </c>
      <c r="Q1099" s="85">
        <f>STATS1003B!Q1100/1000</f>
        <v>0</v>
      </c>
      <c r="R1099" s="85">
        <f>STATS1003B!R1100/1000</f>
        <v>0</v>
      </c>
      <c r="S1099" s="85">
        <f>STATS1003B!S1100/1000</f>
        <v>0</v>
      </c>
      <c r="T1099" s="85">
        <f>STATS1003B!T1100/1000</f>
        <v>0</v>
      </c>
      <c r="U1099" s="85">
        <f>STATS1003B!U1100/1000</f>
        <v>0</v>
      </c>
      <c r="V1099" s="85">
        <f>STATS1003B!V1100/1000</f>
        <v>5000</v>
      </c>
      <c r="W1099" s="85">
        <f>STATS1003B!W1100/1000</f>
        <v>0</v>
      </c>
      <c r="X1099" s="85">
        <f t="shared" si="134"/>
        <v>5000</v>
      </c>
      <c r="Y1099" s="85">
        <f>STATS1003B!Y1100/1000</f>
        <v>0</v>
      </c>
      <c r="Z1099" s="85">
        <f t="shared" si="136"/>
        <v>0</v>
      </c>
      <c r="AA1099" s="69">
        <f>STATS1003B!AA1100/1000</f>
        <v>5000</v>
      </c>
      <c r="AB1099" s="69">
        <f>STATS1003B!AB1100/1000</f>
        <v>0</v>
      </c>
    </row>
    <row r="1100" spans="1:28" hidden="1" x14ac:dyDescent="0.3">
      <c r="A1100" s="117"/>
      <c r="C1100" s="68" t="s">
        <v>122</v>
      </c>
      <c r="E1100" s="85">
        <f>STATS1003B!E1101/1000</f>
        <v>1413.7035000000001</v>
      </c>
      <c r="F1100" s="85">
        <f>STATS1003B!F1101/1000</f>
        <v>1413.7035000000001</v>
      </c>
      <c r="G1100" s="85">
        <f>STATS1003B!G1101/1000</f>
        <v>0</v>
      </c>
      <c r="H1100" s="85">
        <f>STATS1003B!H1101/1000</f>
        <v>1413.7035000000001</v>
      </c>
      <c r="I1100" s="85">
        <f>STATS1003B!I1101/1000</f>
        <v>0</v>
      </c>
      <c r="J1100" s="85">
        <f>STATS1003B!J1101/1000</f>
        <v>0</v>
      </c>
      <c r="K1100" s="85">
        <f>STATS1003B!K1101/1000</f>
        <v>0</v>
      </c>
      <c r="L1100" s="85">
        <f>STATS1003B!L1101/1000</f>
        <v>0</v>
      </c>
      <c r="M1100" s="85">
        <f>STATS1003B!M1101/1000</f>
        <v>1413.7035000000001</v>
      </c>
      <c r="N1100" s="85">
        <f>STATS1003B!N1101/1000</f>
        <v>0</v>
      </c>
      <c r="O1100" s="85">
        <f>STATS1003B!O1101/1000</f>
        <v>0</v>
      </c>
      <c r="P1100" s="85">
        <f>STATS1003B!P1101/1000</f>
        <v>0</v>
      </c>
      <c r="Q1100" s="85">
        <f>STATS1003B!Q1101/1000</f>
        <v>0</v>
      </c>
      <c r="R1100" s="85">
        <f>STATS1003B!R1101/1000</f>
        <v>0</v>
      </c>
      <c r="S1100" s="85">
        <f>STATS1003B!S1101/1000</f>
        <v>0</v>
      </c>
      <c r="T1100" s="85">
        <f>STATS1003B!T1101/1000</f>
        <v>0</v>
      </c>
      <c r="U1100" s="85">
        <f>STATS1003B!U1101/1000</f>
        <v>0</v>
      </c>
      <c r="V1100" s="85">
        <f>STATS1003B!V1101/1000</f>
        <v>1413.7035000000001</v>
      </c>
      <c r="W1100" s="85">
        <f>STATS1003B!W1101/1000</f>
        <v>0</v>
      </c>
      <c r="X1100" s="85">
        <f t="shared" si="134"/>
        <v>1413.7035000000001</v>
      </c>
      <c r="Y1100" s="85">
        <f>STATS1003B!Y1101/1000</f>
        <v>0</v>
      </c>
      <c r="Z1100" s="85">
        <f t="shared" si="136"/>
        <v>0</v>
      </c>
      <c r="AA1100" s="69">
        <f>STATS1003B!AA1101/1000</f>
        <v>1413.7035000000001</v>
      </c>
      <c r="AB1100" s="69">
        <f>STATS1003B!AB1101/1000</f>
        <v>0</v>
      </c>
    </row>
    <row r="1101" spans="1:28" hidden="1" x14ac:dyDescent="0.3">
      <c r="A1101" s="117"/>
      <c r="C1101" s="68" t="s">
        <v>1078</v>
      </c>
      <c r="E1101" s="85">
        <f>STATS1003B!E1102/1000</f>
        <v>300</v>
      </c>
      <c r="F1101" s="85">
        <f>STATS1003B!F1102/1000</f>
        <v>300</v>
      </c>
      <c r="G1101" s="85">
        <f>STATS1003B!G1102/1000</f>
        <v>0</v>
      </c>
      <c r="H1101" s="85">
        <f>STATS1003B!H1102/1000</f>
        <v>300</v>
      </c>
      <c r="I1101" s="85">
        <f>STATS1003B!I1102/1000</f>
        <v>0</v>
      </c>
      <c r="J1101" s="85">
        <f>STATS1003B!J1102/1000</f>
        <v>0</v>
      </c>
      <c r="K1101" s="85">
        <f>STATS1003B!K1102/1000</f>
        <v>0</v>
      </c>
      <c r="L1101" s="85">
        <f>STATS1003B!L1102/1000</f>
        <v>0</v>
      </c>
      <c r="M1101" s="85">
        <f>STATS1003B!M1102/1000</f>
        <v>300</v>
      </c>
      <c r="N1101" s="85">
        <f>STATS1003B!N1102/1000</f>
        <v>0</v>
      </c>
      <c r="O1101" s="85">
        <f>STATS1003B!O1102/1000</f>
        <v>0</v>
      </c>
      <c r="P1101" s="85">
        <f>STATS1003B!P1102/1000</f>
        <v>0</v>
      </c>
      <c r="Q1101" s="85">
        <f>STATS1003B!Q1102/1000</f>
        <v>0</v>
      </c>
      <c r="R1101" s="85">
        <f>STATS1003B!R1102/1000</f>
        <v>0</v>
      </c>
      <c r="S1101" s="85">
        <f>STATS1003B!S1102/1000</f>
        <v>0</v>
      </c>
      <c r="T1101" s="85">
        <f>STATS1003B!T1102/1000</f>
        <v>0</v>
      </c>
      <c r="U1101" s="85">
        <f>STATS1003B!U1102/1000</f>
        <v>0</v>
      </c>
      <c r="V1101" s="85">
        <f>STATS1003B!V1102/1000</f>
        <v>300</v>
      </c>
      <c r="W1101" s="85">
        <f>STATS1003B!W1102/1000</f>
        <v>0</v>
      </c>
      <c r="X1101" s="85">
        <f t="shared" si="134"/>
        <v>300</v>
      </c>
      <c r="Y1101" s="85">
        <f>STATS1003B!Y1102/1000</f>
        <v>0</v>
      </c>
      <c r="Z1101" s="85">
        <f t="shared" si="136"/>
        <v>0</v>
      </c>
      <c r="AA1101" s="69">
        <f>STATS1003B!AA1102/1000</f>
        <v>300</v>
      </c>
      <c r="AB1101" s="69">
        <f>STATS1003B!AB1102/1000</f>
        <v>0</v>
      </c>
    </row>
    <row r="1102" spans="1:28" hidden="1" x14ac:dyDescent="0.3">
      <c r="A1102" s="117"/>
      <c r="C1102" s="68" t="s">
        <v>1106</v>
      </c>
      <c r="D1102" s="91" t="s">
        <v>1072</v>
      </c>
      <c r="E1102" s="85">
        <f>STATS1003B!E1103/1000</f>
        <v>1778.7012199999999</v>
      </c>
      <c r="F1102" s="85">
        <f>STATS1003B!F1103/1000</f>
        <v>1778.7012199999999</v>
      </c>
      <c r="G1102" s="85">
        <f>STATS1003B!G1103/1000</f>
        <v>0</v>
      </c>
      <c r="H1102" s="85">
        <f>STATS1003B!H1103/1000</f>
        <v>1778.7012199999999</v>
      </c>
      <c r="I1102" s="85">
        <f>STATS1003B!I1103/1000</f>
        <v>0</v>
      </c>
      <c r="J1102" s="85">
        <f>STATS1003B!J1103/1000</f>
        <v>0</v>
      </c>
      <c r="K1102" s="85">
        <f>STATS1003B!K1103/1000</f>
        <v>0</v>
      </c>
      <c r="L1102" s="85">
        <f>STATS1003B!L1103/1000</f>
        <v>0</v>
      </c>
      <c r="M1102" s="85">
        <f>STATS1003B!M1103/1000</f>
        <v>1778.7012199999999</v>
      </c>
      <c r="N1102" s="85">
        <f>STATS1003B!N1103/1000</f>
        <v>0</v>
      </c>
      <c r="O1102" s="85">
        <f>STATS1003B!O1103/1000</f>
        <v>0</v>
      </c>
      <c r="P1102" s="85">
        <f>STATS1003B!P1103/1000</f>
        <v>0</v>
      </c>
      <c r="Q1102" s="85">
        <f>STATS1003B!Q1103/1000</f>
        <v>0</v>
      </c>
      <c r="R1102" s="85">
        <f>STATS1003B!R1103/1000</f>
        <v>0</v>
      </c>
      <c r="S1102" s="85">
        <f>STATS1003B!S1103/1000</f>
        <v>0</v>
      </c>
      <c r="T1102" s="85">
        <f>STATS1003B!T1103/1000</f>
        <v>0</v>
      </c>
      <c r="U1102" s="85">
        <f>STATS1003B!U1103/1000</f>
        <v>0</v>
      </c>
      <c r="V1102" s="85">
        <f>STATS1003B!V1103/1000</f>
        <v>1778.7012199999999</v>
      </c>
      <c r="W1102" s="85">
        <f>STATS1003B!W1103/1000</f>
        <v>0</v>
      </c>
      <c r="X1102" s="85">
        <f t="shared" si="134"/>
        <v>1778.7012199999999</v>
      </c>
      <c r="Y1102" s="85">
        <f>STATS1003B!Y1103/1000</f>
        <v>0</v>
      </c>
      <c r="Z1102" s="85">
        <f t="shared" si="136"/>
        <v>0</v>
      </c>
      <c r="AA1102" s="69">
        <f>STATS1003B!AA1103/1000</f>
        <v>1778.7012199999999</v>
      </c>
      <c r="AB1102" s="69">
        <f>STATS1003B!AB1103/1000</f>
        <v>0</v>
      </c>
    </row>
    <row r="1103" spans="1:28" hidden="1" x14ac:dyDescent="0.3">
      <c r="A1103" s="117"/>
      <c r="C1103" s="68" t="s">
        <v>1234</v>
      </c>
      <c r="D1103" s="91" t="s">
        <v>1225</v>
      </c>
      <c r="E1103" s="85">
        <f>STATS1003B!E1104/1000</f>
        <v>300</v>
      </c>
      <c r="F1103" s="85">
        <f>STATS1003B!F1104/1000</f>
        <v>300</v>
      </c>
      <c r="G1103" s="85">
        <f>STATS1003B!G1104/1000</f>
        <v>0</v>
      </c>
      <c r="H1103" s="85">
        <f>STATS1003B!H1104/1000</f>
        <v>300</v>
      </c>
      <c r="I1103" s="85">
        <f>STATS1003B!I1104/1000</f>
        <v>0</v>
      </c>
      <c r="J1103" s="85">
        <f>STATS1003B!J1104/1000</f>
        <v>0</v>
      </c>
      <c r="K1103" s="85">
        <f>STATS1003B!K1104/1000</f>
        <v>0</v>
      </c>
      <c r="L1103" s="85">
        <f>STATS1003B!L1104/1000</f>
        <v>0</v>
      </c>
      <c r="M1103" s="85">
        <f>STATS1003B!M1104/1000</f>
        <v>300</v>
      </c>
      <c r="N1103" s="85">
        <f>STATS1003B!N1104/1000</f>
        <v>0</v>
      </c>
      <c r="O1103" s="85">
        <f>STATS1003B!O1104/1000</f>
        <v>0</v>
      </c>
      <c r="P1103" s="85">
        <f>STATS1003B!P1104/1000</f>
        <v>0</v>
      </c>
      <c r="Q1103" s="85">
        <f>STATS1003B!Q1104/1000</f>
        <v>0</v>
      </c>
      <c r="R1103" s="85">
        <f>STATS1003B!R1104/1000</f>
        <v>0</v>
      </c>
      <c r="S1103" s="85">
        <f>STATS1003B!S1104/1000</f>
        <v>0</v>
      </c>
      <c r="T1103" s="85">
        <f>STATS1003B!T1104/1000</f>
        <v>0</v>
      </c>
      <c r="U1103" s="85">
        <f>STATS1003B!U1104/1000</f>
        <v>0</v>
      </c>
      <c r="V1103" s="85">
        <f>STATS1003B!V1104/1000</f>
        <v>0</v>
      </c>
      <c r="W1103" s="85">
        <f>STATS1003B!W1104/1000</f>
        <v>0</v>
      </c>
      <c r="X1103" s="85">
        <f t="shared" si="134"/>
        <v>300</v>
      </c>
      <c r="Y1103" s="85">
        <f>STATS1003B!Y1104/1000</f>
        <v>0</v>
      </c>
      <c r="Z1103" s="85">
        <f t="shared" si="136"/>
        <v>0</v>
      </c>
      <c r="AA1103" s="69">
        <f>STATS1003B!AA1104/1000</f>
        <v>300</v>
      </c>
      <c r="AB1103" s="69">
        <f>STATS1003B!AB1104/1000</f>
        <v>0</v>
      </c>
    </row>
    <row r="1104" spans="1:28" hidden="1" x14ac:dyDescent="0.3">
      <c r="A1104" s="117"/>
      <c r="C1104" s="68" t="s">
        <v>57</v>
      </c>
      <c r="D1104" s="91" t="s">
        <v>61</v>
      </c>
      <c r="E1104" s="85">
        <f>STATS1003B!E1105/1000</f>
        <v>742.30845999999997</v>
      </c>
      <c r="F1104" s="85">
        <f>STATS1003B!F1105/1000</f>
        <v>742.30845999999997</v>
      </c>
      <c r="G1104" s="85">
        <f>STATS1003B!G1105/1000</f>
        <v>0</v>
      </c>
      <c r="H1104" s="85">
        <f>STATS1003B!H1105/1000</f>
        <v>742.30845999999997</v>
      </c>
      <c r="I1104" s="85">
        <f>STATS1003B!I1105/1000</f>
        <v>0</v>
      </c>
      <c r="J1104" s="85">
        <f>STATS1003B!J1105/1000</f>
        <v>0</v>
      </c>
      <c r="K1104" s="85">
        <f>STATS1003B!K1105/1000</f>
        <v>0</v>
      </c>
      <c r="L1104" s="85">
        <f>STATS1003B!L1105/1000</f>
        <v>0</v>
      </c>
      <c r="M1104" s="85">
        <f>STATS1003B!M1105/1000</f>
        <v>742.30845999999997</v>
      </c>
      <c r="N1104" s="85">
        <f>STATS1003B!N1105/1000</f>
        <v>0</v>
      </c>
      <c r="O1104" s="85">
        <f>STATS1003B!O1105/1000</f>
        <v>0</v>
      </c>
      <c r="P1104" s="85">
        <f>STATS1003B!P1105/1000</f>
        <v>0</v>
      </c>
      <c r="Q1104" s="85">
        <f>STATS1003B!Q1105/1000</f>
        <v>0</v>
      </c>
      <c r="R1104" s="85">
        <f>STATS1003B!R1105/1000</f>
        <v>0</v>
      </c>
      <c r="S1104" s="85">
        <f>STATS1003B!S1105/1000</f>
        <v>0</v>
      </c>
      <c r="T1104" s="85">
        <f>STATS1003B!T1105/1000</f>
        <v>0</v>
      </c>
      <c r="U1104" s="85">
        <f>STATS1003B!U1105/1000</f>
        <v>0</v>
      </c>
      <c r="V1104" s="85">
        <f>STATS1003B!V1105/1000</f>
        <v>742.30845999999997</v>
      </c>
      <c r="W1104" s="85">
        <f>STATS1003B!W1105/1000</f>
        <v>0</v>
      </c>
      <c r="X1104" s="85">
        <f t="shared" si="134"/>
        <v>742.30845999999997</v>
      </c>
      <c r="Y1104" s="85">
        <f>STATS1003B!Y1105/1000</f>
        <v>0</v>
      </c>
      <c r="Z1104" s="85">
        <f t="shared" si="136"/>
        <v>0</v>
      </c>
      <c r="AA1104" s="69">
        <f>STATS1003B!AA1105/1000</f>
        <v>742.30845999999997</v>
      </c>
      <c r="AB1104" s="69">
        <f>STATS1003B!AB1105/1000</f>
        <v>0</v>
      </c>
    </row>
    <row r="1105" spans="1:28" hidden="1" x14ac:dyDescent="0.3">
      <c r="A1105" s="117"/>
      <c r="E1105" s="86" t="s">
        <v>29</v>
      </c>
      <c r="F1105" s="86" t="s">
        <v>29</v>
      </c>
      <c r="G1105" s="86" t="s">
        <v>29</v>
      </c>
      <c r="H1105" s="86" t="s">
        <v>29</v>
      </c>
      <c r="I1105" s="86" t="s">
        <v>29</v>
      </c>
      <c r="J1105" s="86" t="s">
        <v>29</v>
      </c>
      <c r="K1105" s="86" t="s">
        <v>29</v>
      </c>
      <c r="L1105" s="86" t="s">
        <v>29</v>
      </c>
      <c r="M1105" s="86" t="s">
        <v>29</v>
      </c>
      <c r="N1105" s="86" t="s">
        <v>29</v>
      </c>
      <c r="O1105" s="86" t="s">
        <v>29</v>
      </c>
      <c r="P1105" s="86" t="s">
        <v>29</v>
      </c>
      <c r="Q1105" s="86" t="s">
        <v>29</v>
      </c>
      <c r="R1105" s="86" t="s">
        <v>29</v>
      </c>
      <c r="S1105" s="86" t="s">
        <v>29</v>
      </c>
      <c r="T1105" s="86" t="s">
        <v>29</v>
      </c>
      <c r="U1105" s="86" t="s">
        <v>29</v>
      </c>
      <c r="V1105" s="86" t="s">
        <v>29</v>
      </c>
      <c r="W1105" s="86" t="s">
        <v>29</v>
      </c>
      <c r="X1105" s="85" t="e">
        <f t="shared" si="134"/>
        <v>#VALUE!</v>
      </c>
      <c r="Y1105" s="86" t="s">
        <v>29</v>
      </c>
      <c r="Z1105" s="85" t="e">
        <f t="shared" si="136"/>
        <v>#VALUE!</v>
      </c>
      <c r="AA1105" s="115" t="s">
        <v>29</v>
      </c>
      <c r="AB1105" s="115" t="s">
        <v>29</v>
      </c>
    </row>
    <row r="1106" spans="1:28" x14ac:dyDescent="0.3">
      <c r="A1106" s="116">
        <v>51</v>
      </c>
      <c r="B1106" s="68" t="s">
        <v>250</v>
      </c>
      <c r="E1106" s="85">
        <f>157083819.75/1000</f>
        <v>157083.81975</v>
      </c>
      <c r="F1106" s="85">
        <f t="shared" ref="F1106:AB1106" si="139">SUM(F1089:F1104)</f>
        <v>61340.970090000003</v>
      </c>
      <c r="G1106" s="85">
        <f t="shared" si="139"/>
        <v>0</v>
      </c>
      <c r="H1106" s="85">
        <f>147042199.88/1000</f>
        <v>147042.19988</v>
      </c>
      <c r="I1106" s="85">
        <f t="shared" si="139"/>
        <v>1498.18551</v>
      </c>
      <c r="J1106" s="85">
        <f t="shared" si="139"/>
        <v>1498.18551</v>
      </c>
      <c r="K1106" s="85">
        <f t="shared" si="139"/>
        <v>0</v>
      </c>
      <c r="L1106" s="85">
        <f t="shared" si="139"/>
        <v>0</v>
      </c>
      <c r="M1106" s="85">
        <f t="shared" si="139"/>
        <v>61340.970090000003</v>
      </c>
      <c r="N1106" s="85">
        <f t="shared" si="139"/>
        <v>10041.619869999999</v>
      </c>
      <c r="O1106" s="85">
        <f t="shared" si="139"/>
        <v>0</v>
      </c>
      <c r="P1106" s="85">
        <f>10041619/1000</f>
        <v>10041.619000000001</v>
      </c>
      <c r="Q1106" s="85">
        <f t="shared" si="139"/>
        <v>0</v>
      </c>
      <c r="R1106" s="85">
        <f t="shared" si="139"/>
        <v>0</v>
      </c>
      <c r="S1106" s="85">
        <f t="shared" si="139"/>
        <v>0</v>
      </c>
      <c r="T1106" s="85">
        <f t="shared" si="139"/>
        <v>0</v>
      </c>
      <c r="U1106" s="85">
        <f t="shared" si="139"/>
        <v>10041.619869999999</v>
      </c>
      <c r="V1106" s="85">
        <f t="shared" si="139"/>
        <v>71082.589959999998</v>
      </c>
      <c r="W1106" s="85">
        <f t="shared" si="139"/>
        <v>0</v>
      </c>
      <c r="X1106" s="85">
        <f t="shared" si="134"/>
        <v>157083.81888000001</v>
      </c>
      <c r="Y1106" s="85">
        <f t="shared" si="139"/>
        <v>0</v>
      </c>
      <c r="Z1106" s="85">
        <f t="shared" si="136"/>
        <v>8.6999998893588781E-4</v>
      </c>
      <c r="AA1106" s="69">
        <f t="shared" si="139"/>
        <v>71382.589959999998</v>
      </c>
      <c r="AB1106" s="69">
        <f t="shared" si="139"/>
        <v>0</v>
      </c>
    </row>
    <row r="1107" spans="1:28" hidden="1" x14ac:dyDescent="0.3">
      <c r="A1107" s="117"/>
      <c r="E1107" s="86" t="s">
        <v>29</v>
      </c>
      <c r="F1107" s="86" t="s">
        <v>29</v>
      </c>
      <c r="G1107" s="86" t="s">
        <v>29</v>
      </c>
      <c r="H1107" s="86" t="s">
        <v>29</v>
      </c>
      <c r="I1107" s="86" t="s">
        <v>29</v>
      </c>
      <c r="J1107" s="86" t="s">
        <v>29</v>
      </c>
      <c r="K1107" s="86" t="s">
        <v>29</v>
      </c>
      <c r="L1107" s="86" t="s">
        <v>29</v>
      </c>
      <c r="M1107" s="86" t="s">
        <v>29</v>
      </c>
      <c r="N1107" s="86" t="s">
        <v>29</v>
      </c>
      <c r="O1107" s="86" t="s">
        <v>29</v>
      </c>
      <c r="P1107" s="86" t="s">
        <v>29</v>
      </c>
      <c r="Q1107" s="86" t="s">
        <v>29</v>
      </c>
      <c r="R1107" s="86" t="s">
        <v>29</v>
      </c>
      <c r="S1107" s="86" t="s">
        <v>29</v>
      </c>
      <c r="T1107" s="86" t="s">
        <v>29</v>
      </c>
      <c r="U1107" s="86" t="s">
        <v>29</v>
      </c>
      <c r="V1107" s="86" t="s">
        <v>29</v>
      </c>
      <c r="W1107" s="86" t="s">
        <v>29</v>
      </c>
      <c r="X1107" s="85" t="e">
        <f t="shared" si="134"/>
        <v>#VALUE!</v>
      </c>
      <c r="Y1107" s="86" t="s">
        <v>29</v>
      </c>
      <c r="Z1107" s="85" t="e">
        <f t="shared" si="136"/>
        <v>#VALUE!</v>
      </c>
      <c r="AA1107" s="115" t="s">
        <v>29</v>
      </c>
      <c r="AB1107" s="115" t="s">
        <v>29</v>
      </c>
    </row>
    <row r="1108" spans="1:28" hidden="1" x14ac:dyDescent="0.3">
      <c r="A1108" s="105"/>
      <c r="E1108" s="84"/>
      <c r="F1108" s="84"/>
      <c r="G1108" s="84"/>
      <c r="H1108" s="84"/>
      <c r="I1108" s="84"/>
      <c r="J1108" s="84"/>
      <c r="K1108" s="84"/>
      <c r="L1108" s="84"/>
      <c r="M1108" s="84"/>
      <c r="N1108" s="84"/>
      <c r="O1108" s="84"/>
      <c r="P1108" s="84"/>
      <c r="Q1108" s="84"/>
      <c r="R1108" s="84"/>
      <c r="S1108" s="84"/>
      <c r="T1108" s="84"/>
      <c r="U1108" s="84"/>
      <c r="V1108" s="84"/>
      <c r="W1108" s="84"/>
      <c r="X1108" s="85">
        <f t="shared" si="134"/>
        <v>0</v>
      </c>
      <c r="Y1108" s="84"/>
      <c r="Z1108" s="85">
        <f t="shared" si="136"/>
        <v>0</v>
      </c>
    </row>
    <row r="1109" spans="1:28" hidden="1" x14ac:dyDescent="0.3">
      <c r="A1109" s="117"/>
      <c r="C1109" s="68" t="s">
        <v>261</v>
      </c>
      <c r="D1109" s="87" t="s">
        <v>262</v>
      </c>
      <c r="E1109" s="85">
        <f>STATS1003B!E1110/1000</f>
        <v>10187.1</v>
      </c>
      <c r="F1109" s="85">
        <f>STATS1003B!F1110/1000</f>
        <v>10187.1</v>
      </c>
      <c r="G1109" s="85">
        <f>STATS1003B!G1110/1000</f>
        <v>0</v>
      </c>
      <c r="H1109" s="85">
        <f>STATS1003B!H1110/1000</f>
        <v>10187.1</v>
      </c>
      <c r="I1109" s="85">
        <f>STATS1003B!I1110/1000</f>
        <v>0</v>
      </c>
      <c r="J1109" s="85">
        <f>STATS1003B!J1110/1000</f>
        <v>0</v>
      </c>
      <c r="K1109" s="85">
        <f>STATS1003B!K1110/1000</f>
        <v>0</v>
      </c>
      <c r="L1109" s="85">
        <f>STATS1003B!L1110/1000</f>
        <v>0</v>
      </c>
      <c r="M1109" s="85">
        <f>STATS1003B!M1110/1000</f>
        <v>10187.1</v>
      </c>
      <c r="N1109" s="85">
        <f>STATS1003B!N1110/1000</f>
        <v>0</v>
      </c>
      <c r="O1109" s="85">
        <f>STATS1003B!O1110/1000</f>
        <v>0</v>
      </c>
      <c r="P1109" s="85">
        <f>STATS1003B!P1110/1000</f>
        <v>0</v>
      </c>
      <c r="Q1109" s="85">
        <f>STATS1003B!Q1110/1000</f>
        <v>0</v>
      </c>
      <c r="R1109" s="85">
        <f>STATS1003B!R1110/1000</f>
        <v>0</v>
      </c>
      <c r="S1109" s="85">
        <f>STATS1003B!S1110/1000</f>
        <v>0</v>
      </c>
      <c r="T1109" s="85">
        <f>STATS1003B!T1110/1000</f>
        <v>0</v>
      </c>
      <c r="U1109" s="85">
        <f>STATS1003B!U1110/1000</f>
        <v>0</v>
      </c>
      <c r="V1109" s="85">
        <f>STATS1003B!V1110/1000</f>
        <v>10187.1</v>
      </c>
      <c r="W1109" s="85">
        <f>STATS1003B!W1110/1000</f>
        <v>0</v>
      </c>
      <c r="X1109" s="85">
        <f t="shared" si="134"/>
        <v>10187.1</v>
      </c>
      <c r="Y1109" s="85">
        <f>STATS1003B!Y1110/1000</f>
        <v>0</v>
      </c>
      <c r="Z1109" s="85">
        <f t="shared" si="136"/>
        <v>0</v>
      </c>
      <c r="AA1109" s="69">
        <f>STATS1003B!AA1110/1000</f>
        <v>10187.1</v>
      </c>
      <c r="AB1109" s="69">
        <f>STATS1003B!AB1110/1000</f>
        <v>0</v>
      </c>
    </row>
    <row r="1110" spans="1:28" hidden="1" x14ac:dyDescent="0.3">
      <c r="A1110" s="117"/>
      <c r="C1110" s="68" t="s">
        <v>263</v>
      </c>
      <c r="D1110" s="87" t="s">
        <v>264</v>
      </c>
      <c r="E1110" s="85">
        <f>STATS1003B!E1111/1000</f>
        <v>12754.612050000002</v>
      </c>
      <c r="F1110" s="85">
        <f>STATS1003B!F1111/1000</f>
        <v>12754.612050000002</v>
      </c>
      <c r="G1110" s="85">
        <f>STATS1003B!G1111/1000</f>
        <v>0</v>
      </c>
      <c r="H1110" s="85">
        <f>STATS1003B!H1111/1000</f>
        <v>12754.612050000002</v>
      </c>
      <c r="I1110" s="85">
        <f>STATS1003B!I1111/1000</f>
        <v>0</v>
      </c>
      <c r="J1110" s="85">
        <f>STATS1003B!J1111/1000</f>
        <v>0</v>
      </c>
      <c r="K1110" s="85">
        <f>STATS1003B!K1111/1000</f>
        <v>0</v>
      </c>
      <c r="L1110" s="85">
        <f>STATS1003B!L1111/1000</f>
        <v>0</v>
      </c>
      <c r="M1110" s="85">
        <f>STATS1003B!M1111/1000</f>
        <v>12754.612050000002</v>
      </c>
      <c r="N1110" s="85">
        <f>STATS1003B!N1111/1000</f>
        <v>0</v>
      </c>
      <c r="O1110" s="85">
        <f>STATS1003B!O1111/1000</f>
        <v>0</v>
      </c>
      <c r="P1110" s="85">
        <f>STATS1003B!P1111/1000</f>
        <v>0</v>
      </c>
      <c r="Q1110" s="85">
        <f>STATS1003B!Q1111/1000</f>
        <v>0</v>
      </c>
      <c r="R1110" s="85">
        <f>STATS1003B!R1111/1000</f>
        <v>0</v>
      </c>
      <c r="S1110" s="85">
        <f>STATS1003B!S1111/1000</f>
        <v>0</v>
      </c>
      <c r="T1110" s="85">
        <f>STATS1003B!T1111/1000</f>
        <v>0</v>
      </c>
      <c r="U1110" s="85">
        <f>STATS1003B!U1111/1000</f>
        <v>0</v>
      </c>
      <c r="V1110" s="85">
        <f>STATS1003B!V1111/1000</f>
        <v>12754.612050000002</v>
      </c>
      <c r="W1110" s="85">
        <f>STATS1003B!W1111/1000</f>
        <v>0</v>
      </c>
      <c r="X1110" s="85">
        <f t="shared" si="134"/>
        <v>12754.612050000002</v>
      </c>
      <c r="Y1110" s="85">
        <f>STATS1003B!Y1111/1000</f>
        <v>0</v>
      </c>
      <c r="Z1110" s="85">
        <f t="shared" si="136"/>
        <v>0</v>
      </c>
      <c r="AA1110" s="69">
        <f>STATS1003B!AA1111/1000</f>
        <v>12754.612050000002</v>
      </c>
      <c r="AB1110" s="69">
        <f>STATS1003B!AB1111/1000</f>
        <v>0</v>
      </c>
    </row>
    <row r="1111" spans="1:28" hidden="1" x14ac:dyDescent="0.3">
      <c r="A1111" s="117"/>
      <c r="C1111" s="68" t="s">
        <v>265</v>
      </c>
      <c r="D1111" s="68" t="s">
        <v>266</v>
      </c>
      <c r="E1111" s="85">
        <f>STATS1003B!E1112/1000</f>
        <v>16331.25585</v>
      </c>
      <c r="F1111" s="85">
        <f>STATS1003B!F1112/1000</f>
        <v>16331.25585</v>
      </c>
      <c r="G1111" s="85">
        <f>STATS1003B!G1112/1000</f>
        <v>0</v>
      </c>
      <c r="H1111" s="85">
        <f>STATS1003B!H1112/1000</f>
        <v>16331.25585</v>
      </c>
      <c r="I1111" s="85">
        <f>STATS1003B!I1112/1000</f>
        <v>0</v>
      </c>
      <c r="J1111" s="85">
        <f>STATS1003B!J1112/1000</f>
        <v>0</v>
      </c>
      <c r="K1111" s="85">
        <f>STATS1003B!K1112/1000</f>
        <v>0</v>
      </c>
      <c r="L1111" s="85">
        <f>STATS1003B!L1112/1000</f>
        <v>0</v>
      </c>
      <c r="M1111" s="85">
        <f>STATS1003B!M1112/1000</f>
        <v>16331.25585</v>
      </c>
      <c r="N1111" s="85">
        <f>STATS1003B!N1112/1000</f>
        <v>0</v>
      </c>
      <c r="O1111" s="85">
        <f>STATS1003B!O1112/1000</f>
        <v>0</v>
      </c>
      <c r="P1111" s="85">
        <f>STATS1003B!P1112/1000</f>
        <v>0</v>
      </c>
      <c r="Q1111" s="85">
        <f>STATS1003B!Q1112/1000</f>
        <v>0</v>
      </c>
      <c r="R1111" s="85">
        <f>STATS1003B!R1112/1000</f>
        <v>0</v>
      </c>
      <c r="S1111" s="85">
        <f>STATS1003B!S1112/1000</f>
        <v>0</v>
      </c>
      <c r="T1111" s="85">
        <f>STATS1003B!T1112/1000</f>
        <v>0</v>
      </c>
      <c r="U1111" s="85">
        <f>STATS1003B!U1112/1000</f>
        <v>0</v>
      </c>
      <c r="V1111" s="85">
        <f>STATS1003B!V1112/1000</f>
        <v>16331.25585</v>
      </c>
      <c r="W1111" s="85">
        <f>STATS1003B!W1112/1000</f>
        <v>0</v>
      </c>
      <c r="X1111" s="85">
        <f t="shared" si="134"/>
        <v>16331.25585</v>
      </c>
      <c r="Y1111" s="85">
        <f>STATS1003B!Y1112/1000</f>
        <v>0</v>
      </c>
      <c r="Z1111" s="85">
        <f t="shared" si="136"/>
        <v>0</v>
      </c>
      <c r="AA1111" s="69">
        <f>STATS1003B!AA1112/1000</f>
        <v>16331.25585</v>
      </c>
      <c r="AB1111" s="69">
        <f>STATS1003B!AB1112/1000</f>
        <v>0</v>
      </c>
    </row>
    <row r="1112" spans="1:28" hidden="1" x14ac:dyDescent="0.3">
      <c r="A1112" s="117"/>
      <c r="D1112" s="68" t="s">
        <v>267</v>
      </c>
      <c r="E1112" s="85">
        <f>STATS1003B!E1113/1000</f>
        <v>0</v>
      </c>
      <c r="F1112" s="85">
        <f>STATS1003B!F1113/1000</f>
        <v>0</v>
      </c>
      <c r="G1112" s="85">
        <f>STATS1003B!G1113/1000</f>
        <v>0</v>
      </c>
      <c r="H1112" s="85">
        <f>STATS1003B!H1113/1000</f>
        <v>0</v>
      </c>
      <c r="I1112" s="85">
        <f>STATS1003B!I1113/1000</f>
        <v>0</v>
      </c>
      <c r="J1112" s="85">
        <f>STATS1003B!J1113/1000</f>
        <v>0</v>
      </c>
      <c r="K1112" s="85">
        <f>STATS1003B!K1113/1000</f>
        <v>0</v>
      </c>
      <c r="L1112" s="85">
        <f>STATS1003B!L1113/1000</f>
        <v>0</v>
      </c>
      <c r="M1112" s="85">
        <f>STATS1003B!M1113/1000</f>
        <v>0</v>
      </c>
      <c r="N1112" s="85">
        <f>STATS1003B!N1113/1000</f>
        <v>0</v>
      </c>
      <c r="O1112" s="85">
        <f>STATS1003B!O1113/1000</f>
        <v>0</v>
      </c>
      <c r="P1112" s="85">
        <f>STATS1003B!P1113/1000</f>
        <v>0</v>
      </c>
      <c r="Q1112" s="85">
        <f>STATS1003B!Q1113/1000</f>
        <v>0</v>
      </c>
      <c r="R1112" s="85">
        <f>STATS1003B!R1113/1000</f>
        <v>0</v>
      </c>
      <c r="S1112" s="85">
        <f>STATS1003B!S1113/1000</f>
        <v>0</v>
      </c>
      <c r="T1112" s="85">
        <f>STATS1003B!T1113/1000</f>
        <v>0</v>
      </c>
      <c r="U1112" s="85">
        <f>STATS1003B!U1113/1000</f>
        <v>0</v>
      </c>
      <c r="V1112" s="85">
        <f>STATS1003B!V1113/1000</f>
        <v>0</v>
      </c>
      <c r="W1112" s="85">
        <f>STATS1003B!W1113/1000</f>
        <v>0</v>
      </c>
      <c r="X1112" s="85">
        <f t="shared" ref="X1112:X1175" si="140">+H1112+P1112</f>
        <v>0</v>
      </c>
      <c r="Y1112" s="85">
        <f>STATS1003B!Y1113/1000</f>
        <v>0</v>
      </c>
      <c r="Z1112" s="85">
        <f t="shared" si="136"/>
        <v>0</v>
      </c>
      <c r="AA1112" s="69">
        <f>STATS1003B!AA1113/1000</f>
        <v>0</v>
      </c>
      <c r="AB1112" s="69">
        <f>STATS1003B!AB1113/1000</f>
        <v>0</v>
      </c>
    </row>
    <row r="1113" spans="1:28" hidden="1" x14ac:dyDescent="0.3">
      <c r="A1113" s="117"/>
      <c r="C1113" s="68" t="s">
        <v>172</v>
      </c>
      <c r="D1113" s="87" t="s">
        <v>166</v>
      </c>
      <c r="E1113" s="85">
        <f>STATS1003B!E1114/1000</f>
        <v>601.91300000000001</v>
      </c>
      <c r="F1113" s="85">
        <f>STATS1003B!F1114/1000</f>
        <v>601.91300000000001</v>
      </c>
      <c r="G1113" s="85">
        <f>STATS1003B!G1114/1000</f>
        <v>0</v>
      </c>
      <c r="H1113" s="85">
        <f>STATS1003B!H1114/1000</f>
        <v>601.91300000000001</v>
      </c>
      <c r="I1113" s="85">
        <f>STATS1003B!I1114/1000</f>
        <v>0</v>
      </c>
      <c r="J1113" s="85">
        <f>STATS1003B!J1114/1000</f>
        <v>0</v>
      </c>
      <c r="K1113" s="85">
        <f>STATS1003B!K1114/1000</f>
        <v>0</v>
      </c>
      <c r="L1113" s="85">
        <f>STATS1003B!L1114/1000</f>
        <v>0</v>
      </c>
      <c r="M1113" s="85">
        <f>STATS1003B!M1114/1000</f>
        <v>601.91300000000001</v>
      </c>
      <c r="N1113" s="85">
        <f>STATS1003B!N1114/1000</f>
        <v>0</v>
      </c>
      <c r="O1113" s="85">
        <f>STATS1003B!O1114/1000</f>
        <v>0</v>
      </c>
      <c r="P1113" s="85">
        <f>STATS1003B!P1114/1000</f>
        <v>0</v>
      </c>
      <c r="Q1113" s="85">
        <f>STATS1003B!Q1114/1000</f>
        <v>0</v>
      </c>
      <c r="R1113" s="85">
        <f>STATS1003B!R1114/1000</f>
        <v>0</v>
      </c>
      <c r="S1113" s="85">
        <f>STATS1003B!S1114/1000</f>
        <v>0</v>
      </c>
      <c r="T1113" s="85">
        <f>STATS1003B!T1114/1000</f>
        <v>0</v>
      </c>
      <c r="U1113" s="85">
        <f>STATS1003B!U1114/1000</f>
        <v>0</v>
      </c>
      <c r="V1113" s="85">
        <f>STATS1003B!V1114/1000</f>
        <v>601.91300000000001</v>
      </c>
      <c r="W1113" s="85">
        <f>STATS1003B!W1114/1000</f>
        <v>0</v>
      </c>
      <c r="X1113" s="85">
        <f t="shared" si="140"/>
        <v>601.91300000000001</v>
      </c>
      <c r="Y1113" s="85">
        <f>STATS1003B!Y1114/1000</f>
        <v>0</v>
      </c>
      <c r="Z1113" s="85">
        <f t="shared" si="136"/>
        <v>0</v>
      </c>
      <c r="AA1113" s="69">
        <f>STATS1003B!AA1114/1000</f>
        <v>601.91300000000001</v>
      </c>
      <c r="AB1113" s="69">
        <f>STATS1003B!AB1114/1000</f>
        <v>0</v>
      </c>
    </row>
    <row r="1114" spans="1:28" hidden="1" x14ac:dyDescent="0.3">
      <c r="A1114" s="117"/>
      <c r="C1114" s="68" t="s">
        <v>57</v>
      </c>
      <c r="D1114" s="87" t="s">
        <v>268</v>
      </c>
      <c r="E1114" s="85">
        <f>STATS1003B!E1115/1000</f>
        <v>13035.02686</v>
      </c>
      <c r="F1114" s="85">
        <f>STATS1003B!F1115/1000</f>
        <v>12990.97</v>
      </c>
      <c r="G1114" s="85">
        <f>STATS1003B!G1115/1000</f>
        <v>0</v>
      </c>
      <c r="H1114" s="85">
        <f>STATS1003B!H1115/1000</f>
        <v>12990.97</v>
      </c>
      <c r="I1114" s="85">
        <f>STATS1003B!I1115/1000</f>
        <v>0</v>
      </c>
      <c r="J1114" s="85">
        <f>STATS1003B!J1115/1000</f>
        <v>0</v>
      </c>
      <c r="K1114" s="85">
        <f>STATS1003B!K1115/1000</f>
        <v>0</v>
      </c>
      <c r="L1114" s="85">
        <f>STATS1003B!L1115/1000</f>
        <v>0</v>
      </c>
      <c r="M1114" s="85">
        <f>STATS1003B!M1115/1000</f>
        <v>12990.97</v>
      </c>
      <c r="N1114" s="85">
        <f>STATS1003B!N1115/1000</f>
        <v>44.05686</v>
      </c>
      <c r="O1114" s="85">
        <f>STATS1003B!O1115/1000</f>
        <v>0</v>
      </c>
      <c r="P1114" s="85">
        <f>STATS1003B!P1115/1000</f>
        <v>44.05686</v>
      </c>
      <c r="Q1114" s="85">
        <f>STATS1003B!Q1115/1000</f>
        <v>0</v>
      </c>
      <c r="R1114" s="85">
        <f>STATS1003B!R1115/1000</f>
        <v>0</v>
      </c>
      <c r="S1114" s="85">
        <f>STATS1003B!S1115/1000</f>
        <v>0</v>
      </c>
      <c r="T1114" s="85">
        <f>STATS1003B!T1115/1000</f>
        <v>0</v>
      </c>
      <c r="U1114" s="85">
        <f>STATS1003B!U1115/1000</f>
        <v>44.05686</v>
      </c>
      <c r="V1114" s="85">
        <f>STATS1003B!V1115/1000</f>
        <v>13035.02686</v>
      </c>
      <c r="W1114" s="85">
        <f>STATS1003B!W1115/1000</f>
        <v>0</v>
      </c>
      <c r="X1114" s="85">
        <f t="shared" si="140"/>
        <v>13035.02686</v>
      </c>
      <c r="Y1114" s="85">
        <f>STATS1003B!Y1115/1000</f>
        <v>0</v>
      </c>
      <c r="Z1114" s="85">
        <f t="shared" si="136"/>
        <v>0</v>
      </c>
      <c r="AA1114" s="69">
        <f>STATS1003B!AA1115/1000</f>
        <v>13035.02686</v>
      </c>
      <c r="AB1114" s="69">
        <f>STATS1003B!AB1115/1000</f>
        <v>0</v>
      </c>
    </row>
    <row r="1115" spans="1:28" hidden="1" x14ac:dyDescent="0.3">
      <c r="A1115" s="117"/>
      <c r="C1115" s="68" t="s">
        <v>53</v>
      </c>
      <c r="D1115" s="87" t="s">
        <v>68</v>
      </c>
      <c r="E1115" s="85">
        <f>STATS1003B!E1116/1000</f>
        <v>1767.77</v>
      </c>
      <c r="F1115" s="85">
        <f>STATS1003B!F1116/1000</f>
        <v>0</v>
      </c>
      <c r="G1115" s="85">
        <f>STATS1003B!G1116/1000</f>
        <v>0</v>
      </c>
      <c r="H1115" s="85">
        <f>STATS1003B!H1116/1000</f>
        <v>0</v>
      </c>
      <c r="I1115" s="85">
        <f>STATS1003B!I1116/1000</f>
        <v>0</v>
      </c>
      <c r="J1115" s="85">
        <f>STATS1003B!J1116/1000</f>
        <v>0</v>
      </c>
      <c r="K1115" s="85">
        <f>STATS1003B!K1116/1000</f>
        <v>0</v>
      </c>
      <c r="L1115" s="85">
        <f>STATS1003B!L1116/1000</f>
        <v>0</v>
      </c>
      <c r="M1115" s="85">
        <f>STATS1003B!M1116/1000</f>
        <v>0</v>
      </c>
      <c r="N1115" s="85">
        <f>STATS1003B!N1116/1000</f>
        <v>1767.77</v>
      </c>
      <c r="O1115" s="85">
        <f>STATS1003B!O1116/1000</f>
        <v>0</v>
      </c>
      <c r="P1115" s="85">
        <f>STATS1003B!P1116/1000</f>
        <v>1767.77</v>
      </c>
      <c r="Q1115" s="85">
        <f>STATS1003B!Q1116/1000</f>
        <v>0</v>
      </c>
      <c r="R1115" s="85">
        <f>STATS1003B!R1116/1000</f>
        <v>0</v>
      </c>
      <c r="S1115" s="85">
        <f>STATS1003B!S1116/1000</f>
        <v>0</v>
      </c>
      <c r="T1115" s="85">
        <f>STATS1003B!T1116/1000</f>
        <v>0</v>
      </c>
      <c r="U1115" s="85">
        <f>STATS1003B!U1116/1000</f>
        <v>1767.77</v>
      </c>
      <c r="V1115" s="85">
        <f>STATS1003B!V1116/1000</f>
        <v>1767.77</v>
      </c>
      <c r="W1115" s="85">
        <f>STATS1003B!W1116/1000</f>
        <v>0</v>
      </c>
      <c r="X1115" s="85">
        <f t="shared" si="140"/>
        <v>1767.77</v>
      </c>
      <c r="Y1115" s="85">
        <f>STATS1003B!Y1116/1000</f>
        <v>0</v>
      </c>
      <c r="Z1115" s="85">
        <f t="shared" si="136"/>
        <v>0</v>
      </c>
      <c r="AA1115" s="69">
        <f>STATS1003B!AA1116/1000</f>
        <v>1767.77</v>
      </c>
      <c r="AB1115" s="69">
        <f>STATS1003B!AB1116/1000</f>
        <v>0</v>
      </c>
    </row>
    <row r="1116" spans="1:28" hidden="1" x14ac:dyDescent="0.3">
      <c r="A1116" s="117"/>
      <c r="C1116" s="68" t="s">
        <v>269</v>
      </c>
      <c r="D1116" s="87" t="s">
        <v>270</v>
      </c>
      <c r="E1116" s="85">
        <f>STATS1003B!E1117/1000</f>
        <v>5950</v>
      </c>
      <c r="F1116" s="85">
        <f>STATS1003B!F1117/1000</f>
        <v>5950</v>
      </c>
      <c r="G1116" s="85">
        <f>STATS1003B!G1117/1000</f>
        <v>0</v>
      </c>
      <c r="H1116" s="85">
        <f>STATS1003B!H1117/1000</f>
        <v>5950</v>
      </c>
      <c r="I1116" s="85">
        <f>STATS1003B!I1117/1000</f>
        <v>0</v>
      </c>
      <c r="J1116" s="85">
        <f>STATS1003B!J1117/1000</f>
        <v>0</v>
      </c>
      <c r="K1116" s="85">
        <f>STATS1003B!K1117/1000</f>
        <v>0</v>
      </c>
      <c r="L1116" s="85">
        <f>STATS1003B!L1117/1000</f>
        <v>0</v>
      </c>
      <c r="M1116" s="85">
        <f>STATS1003B!M1117/1000</f>
        <v>5950</v>
      </c>
      <c r="N1116" s="85">
        <f>STATS1003B!N1117/1000</f>
        <v>0</v>
      </c>
      <c r="O1116" s="85">
        <f>STATS1003B!O1117/1000</f>
        <v>0</v>
      </c>
      <c r="P1116" s="85">
        <f>STATS1003B!P1117/1000</f>
        <v>0</v>
      </c>
      <c r="Q1116" s="85">
        <f>STATS1003B!Q1117/1000</f>
        <v>0</v>
      </c>
      <c r="R1116" s="85">
        <f>STATS1003B!R1117/1000</f>
        <v>0</v>
      </c>
      <c r="S1116" s="85">
        <f>STATS1003B!S1117/1000</f>
        <v>0</v>
      </c>
      <c r="T1116" s="85">
        <f>STATS1003B!T1117/1000</f>
        <v>0</v>
      </c>
      <c r="U1116" s="85">
        <f>STATS1003B!U1117/1000</f>
        <v>0</v>
      </c>
      <c r="V1116" s="85">
        <f>STATS1003B!V1117/1000</f>
        <v>5950</v>
      </c>
      <c r="W1116" s="85">
        <f>STATS1003B!W1117/1000</f>
        <v>0</v>
      </c>
      <c r="X1116" s="85">
        <f t="shared" si="140"/>
        <v>5950</v>
      </c>
      <c r="Y1116" s="85">
        <f>STATS1003B!Y1117/1000</f>
        <v>0</v>
      </c>
      <c r="Z1116" s="85">
        <f t="shared" si="136"/>
        <v>0</v>
      </c>
      <c r="AA1116" s="69">
        <f>STATS1003B!AA1117/1000</f>
        <v>5950</v>
      </c>
      <c r="AB1116" s="69">
        <f>STATS1003B!AB1117/1000</f>
        <v>0</v>
      </c>
    </row>
    <row r="1117" spans="1:28" hidden="1" x14ac:dyDescent="0.3">
      <c r="A1117" s="117"/>
      <c r="C1117" s="68" t="s">
        <v>57</v>
      </c>
      <c r="D1117" s="87" t="s">
        <v>58</v>
      </c>
      <c r="E1117" s="85">
        <f>STATS1003B!E1118/1000</f>
        <v>3254.4090000000001</v>
      </c>
      <c r="F1117" s="85">
        <f>STATS1003B!F1118/1000</f>
        <v>3254.4090000000001</v>
      </c>
      <c r="G1117" s="85">
        <f>STATS1003B!G1118/1000</f>
        <v>0</v>
      </c>
      <c r="H1117" s="85">
        <f>STATS1003B!H1118/1000</f>
        <v>3254.4090000000001</v>
      </c>
      <c r="I1117" s="85">
        <f>STATS1003B!I1118/1000</f>
        <v>0</v>
      </c>
      <c r="J1117" s="85">
        <f>STATS1003B!J1118/1000</f>
        <v>0</v>
      </c>
      <c r="K1117" s="85">
        <f>STATS1003B!K1118/1000</f>
        <v>0</v>
      </c>
      <c r="L1117" s="85">
        <f>STATS1003B!L1118/1000</f>
        <v>0</v>
      </c>
      <c r="M1117" s="85">
        <f>STATS1003B!M1118/1000</f>
        <v>3254.4090000000001</v>
      </c>
      <c r="N1117" s="85">
        <f>STATS1003B!N1118/1000</f>
        <v>0</v>
      </c>
      <c r="O1117" s="85">
        <f>STATS1003B!O1118/1000</f>
        <v>0</v>
      </c>
      <c r="P1117" s="85">
        <f>STATS1003B!P1118/1000</f>
        <v>0</v>
      </c>
      <c r="Q1117" s="85">
        <f>STATS1003B!Q1118/1000</f>
        <v>0</v>
      </c>
      <c r="R1117" s="85">
        <f>STATS1003B!R1118/1000</f>
        <v>0</v>
      </c>
      <c r="S1117" s="85">
        <f>STATS1003B!S1118/1000</f>
        <v>0</v>
      </c>
      <c r="T1117" s="85">
        <f>STATS1003B!T1118/1000</f>
        <v>0</v>
      </c>
      <c r="U1117" s="85">
        <f>STATS1003B!U1118/1000</f>
        <v>0</v>
      </c>
      <c r="V1117" s="85">
        <f>STATS1003B!V1118/1000</f>
        <v>3254.4090000000001</v>
      </c>
      <c r="W1117" s="85">
        <f>STATS1003B!W1118/1000</f>
        <v>0</v>
      </c>
      <c r="X1117" s="85">
        <f t="shared" si="140"/>
        <v>3254.4090000000001</v>
      </c>
      <c r="Y1117" s="85">
        <f>STATS1003B!Y1118/1000</f>
        <v>0</v>
      </c>
      <c r="Z1117" s="85">
        <f t="shared" ref="Z1117:Z1180" si="141">+E1117-X1117</f>
        <v>0</v>
      </c>
      <c r="AA1117" s="69">
        <f>STATS1003B!AA1118/1000</f>
        <v>3254.4090000000001</v>
      </c>
      <c r="AB1117" s="69">
        <f>STATS1003B!AB1118/1000</f>
        <v>0</v>
      </c>
    </row>
    <row r="1118" spans="1:28" hidden="1" x14ac:dyDescent="0.3">
      <c r="A1118" s="117"/>
      <c r="C1118" s="68" t="s">
        <v>57</v>
      </c>
      <c r="D1118" s="87" t="s">
        <v>60</v>
      </c>
      <c r="E1118" s="85">
        <f>STATS1003B!E1119/1000</f>
        <v>8844.6924799999997</v>
      </c>
      <c r="F1118" s="85">
        <f>STATS1003B!F1119/1000</f>
        <v>8844.6924799999997</v>
      </c>
      <c r="G1118" s="85">
        <f>STATS1003B!G1119/1000</f>
        <v>0</v>
      </c>
      <c r="H1118" s="85">
        <f>STATS1003B!H1119/1000</f>
        <v>8844.6924799999997</v>
      </c>
      <c r="I1118" s="85">
        <f>STATS1003B!I1119/1000</f>
        <v>0</v>
      </c>
      <c r="J1118" s="85">
        <f>STATS1003B!J1119/1000</f>
        <v>0</v>
      </c>
      <c r="K1118" s="85">
        <f>STATS1003B!K1119/1000</f>
        <v>0</v>
      </c>
      <c r="L1118" s="85">
        <f>STATS1003B!L1119/1000</f>
        <v>0</v>
      </c>
      <c r="M1118" s="85">
        <f>STATS1003B!M1119/1000</f>
        <v>8844.6924799999997</v>
      </c>
      <c r="N1118" s="85">
        <f>STATS1003B!N1119/1000</f>
        <v>0</v>
      </c>
      <c r="O1118" s="85">
        <f>STATS1003B!O1119/1000</f>
        <v>0</v>
      </c>
      <c r="P1118" s="85">
        <f>STATS1003B!P1119/1000</f>
        <v>0</v>
      </c>
      <c r="Q1118" s="85">
        <f>STATS1003B!Q1119/1000</f>
        <v>0</v>
      </c>
      <c r="R1118" s="85">
        <f>STATS1003B!R1119/1000</f>
        <v>0</v>
      </c>
      <c r="S1118" s="85">
        <f>STATS1003B!S1119/1000</f>
        <v>0</v>
      </c>
      <c r="T1118" s="85">
        <f>STATS1003B!T1119/1000</f>
        <v>0</v>
      </c>
      <c r="U1118" s="85">
        <f>STATS1003B!U1119/1000</f>
        <v>0</v>
      </c>
      <c r="V1118" s="85">
        <f>STATS1003B!V1119/1000</f>
        <v>8844.6924799999997</v>
      </c>
      <c r="W1118" s="85">
        <f>STATS1003B!W1119/1000</f>
        <v>0</v>
      </c>
      <c r="X1118" s="85">
        <f t="shared" si="140"/>
        <v>8844.6924799999997</v>
      </c>
      <c r="Y1118" s="85">
        <f>STATS1003B!Y1119/1000</f>
        <v>0</v>
      </c>
      <c r="Z1118" s="85">
        <f t="shared" si="141"/>
        <v>0</v>
      </c>
      <c r="AA1118" s="69">
        <f>STATS1003B!AA1119/1000</f>
        <v>8844.6924799999997</v>
      </c>
      <c r="AB1118" s="69">
        <f>STATS1003B!AB1119/1000</f>
        <v>0</v>
      </c>
    </row>
    <row r="1119" spans="1:28" hidden="1" x14ac:dyDescent="0.3">
      <c r="A1119" s="117"/>
      <c r="C1119" s="71" t="s">
        <v>109</v>
      </c>
      <c r="D1119" s="88" t="s">
        <v>60</v>
      </c>
      <c r="E1119" s="85">
        <f>STATS1003B!E1120/1000</f>
        <v>6692.3680000000004</v>
      </c>
      <c r="F1119" s="85">
        <f>STATS1003B!F1120/1000</f>
        <v>6692.3680000000004</v>
      </c>
      <c r="G1119" s="85">
        <f>STATS1003B!G1120/1000</f>
        <v>0</v>
      </c>
      <c r="H1119" s="85">
        <f>STATS1003B!H1120/1000</f>
        <v>6692.3680000000004</v>
      </c>
      <c r="I1119" s="85">
        <f>STATS1003B!I1120/1000</f>
        <v>0</v>
      </c>
      <c r="J1119" s="85">
        <f>STATS1003B!J1120/1000</f>
        <v>0</v>
      </c>
      <c r="K1119" s="85">
        <f>STATS1003B!K1120/1000</f>
        <v>0</v>
      </c>
      <c r="L1119" s="85">
        <f>STATS1003B!L1120/1000</f>
        <v>0</v>
      </c>
      <c r="M1119" s="85">
        <f>STATS1003B!M1120/1000</f>
        <v>6692.3680000000004</v>
      </c>
      <c r="N1119" s="85">
        <f>STATS1003B!N1120/1000</f>
        <v>0</v>
      </c>
      <c r="O1119" s="85">
        <f>STATS1003B!O1120/1000</f>
        <v>0</v>
      </c>
      <c r="P1119" s="85">
        <f>STATS1003B!P1120/1000</f>
        <v>0</v>
      </c>
      <c r="Q1119" s="85">
        <f>STATS1003B!Q1120/1000</f>
        <v>0</v>
      </c>
      <c r="R1119" s="85">
        <f>STATS1003B!R1120/1000</f>
        <v>0</v>
      </c>
      <c r="S1119" s="85">
        <f>STATS1003B!S1120/1000</f>
        <v>0</v>
      </c>
      <c r="T1119" s="85">
        <f>STATS1003B!T1120/1000</f>
        <v>0</v>
      </c>
      <c r="U1119" s="85">
        <f>STATS1003B!U1120/1000</f>
        <v>0</v>
      </c>
      <c r="V1119" s="85">
        <f>STATS1003B!V1120/1000</f>
        <v>6692.3680000000004</v>
      </c>
      <c r="W1119" s="85">
        <f>STATS1003B!W1120/1000</f>
        <v>0</v>
      </c>
      <c r="X1119" s="85">
        <f t="shared" si="140"/>
        <v>6692.3680000000004</v>
      </c>
      <c r="Y1119" s="85">
        <f>STATS1003B!Y1120/1000</f>
        <v>0</v>
      </c>
      <c r="Z1119" s="85">
        <f t="shared" si="141"/>
        <v>0</v>
      </c>
      <c r="AA1119" s="69">
        <f>STATS1003B!AA1120/1000</f>
        <v>6692.3680000000004</v>
      </c>
      <c r="AB1119" s="69">
        <f>STATS1003B!AB1120/1000</f>
        <v>0</v>
      </c>
    </row>
    <row r="1120" spans="1:28" hidden="1" x14ac:dyDescent="0.3">
      <c r="A1120" s="117"/>
      <c r="C1120" s="71" t="s">
        <v>95</v>
      </c>
      <c r="D1120" s="88" t="s">
        <v>73</v>
      </c>
      <c r="E1120" s="85">
        <f>STATS1003B!E1121/1000</f>
        <v>7518.8209799999995</v>
      </c>
      <c r="F1120" s="85">
        <f>STATS1003B!F1121/1000</f>
        <v>5604.5119999999997</v>
      </c>
      <c r="G1120" s="85">
        <f>STATS1003B!G1121/1000</f>
        <v>0</v>
      </c>
      <c r="H1120" s="85">
        <f>STATS1003B!H1121/1000</f>
        <v>5604.5119999999997</v>
      </c>
      <c r="I1120" s="85">
        <f>STATS1003B!I1121/1000</f>
        <v>0</v>
      </c>
      <c r="J1120" s="85">
        <f>STATS1003B!J1121/1000</f>
        <v>0</v>
      </c>
      <c r="K1120" s="85">
        <f>STATS1003B!K1121/1000</f>
        <v>0</v>
      </c>
      <c r="L1120" s="85">
        <f>STATS1003B!L1121/1000</f>
        <v>0</v>
      </c>
      <c r="M1120" s="85">
        <f>STATS1003B!M1121/1000</f>
        <v>5604.5119999999997</v>
      </c>
      <c r="N1120" s="85">
        <f>STATS1003B!N1121/1000</f>
        <v>1914.30898</v>
      </c>
      <c r="O1120" s="85">
        <f>STATS1003B!O1121/1000</f>
        <v>0</v>
      </c>
      <c r="P1120" s="85">
        <f>STATS1003B!P1121/1000</f>
        <v>1914.30898</v>
      </c>
      <c r="Q1120" s="85">
        <f>STATS1003B!Q1121/1000</f>
        <v>0</v>
      </c>
      <c r="R1120" s="85">
        <f>STATS1003B!R1121/1000</f>
        <v>0</v>
      </c>
      <c r="S1120" s="85">
        <f>STATS1003B!S1121/1000</f>
        <v>0</v>
      </c>
      <c r="T1120" s="85">
        <f>STATS1003B!T1121/1000</f>
        <v>0</v>
      </c>
      <c r="U1120" s="85">
        <f>STATS1003B!U1121/1000</f>
        <v>1914.30898</v>
      </c>
      <c r="V1120" s="85">
        <f>STATS1003B!V1121/1000</f>
        <v>7518.8209800000004</v>
      </c>
      <c r="W1120" s="85">
        <f>STATS1003B!W1121/1000</f>
        <v>0</v>
      </c>
      <c r="X1120" s="85">
        <f t="shared" si="140"/>
        <v>7518.8209799999995</v>
      </c>
      <c r="Y1120" s="85">
        <f>STATS1003B!Y1121/1000</f>
        <v>0</v>
      </c>
      <c r="Z1120" s="85">
        <f t="shared" si="141"/>
        <v>0</v>
      </c>
      <c r="AA1120" s="69">
        <f>STATS1003B!AA1121/1000</f>
        <v>7518.8209800000004</v>
      </c>
      <c r="AB1120" s="69">
        <f>STATS1003B!AB1121/1000</f>
        <v>0</v>
      </c>
    </row>
    <row r="1121" spans="1:28" hidden="1" x14ac:dyDescent="0.3">
      <c r="A1121" s="117"/>
      <c r="C1121" s="68" t="s">
        <v>57</v>
      </c>
      <c r="D1121" s="88" t="s">
        <v>73</v>
      </c>
      <c r="E1121" s="85">
        <f>STATS1003B!E1122/1000</f>
        <v>15459.760549999999</v>
      </c>
      <c r="F1121" s="85">
        <f>STATS1003B!F1122/1000</f>
        <v>15459.760549999999</v>
      </c>
      <c r="G1121" s="85">
        <f>STATS1003B!G1122/1000</f>
        <v>0</v>
      </c>
      <c r="H1121" s="85">
        <f>STATS1003B!H1122/1000</f>
        <v>15459.760549999999</v>
      </c>
      <c r="I1121" s="85">
        <f>STATS1003B!I1122/1000</f>
        <v>0</v>
      </c>
      <c r="J1121" s="85">
        <f>STATS1003B!J1122/1000</f>
        <v>0</v>
      </c>
      <c r="K1121" s="85">
        <f>STATS1003B!K1122/1000</f>
        <v>0</v>
      </c>
      <c r="L1121" s="85">
        <f>STATS1003B!L1122/1000</f>
        <v>0</v>
      </c>
      <c r="M1121" s="85">
        <f>STATS1003B!M1122/1000</f>
        <v>15459.760549999999</v>
      </c>
      <c r="N1121" s="85">
        <f>STATS1003B!N1122/1000</f>
        <v>0</v>
      </c>
      <c r="O1121" s="85">
        <f>STATS1003B!O1122/1000</f>
        <v>0</v>
      </c>
      <c r="P1121" s="85">
        <f>STATS1003B!P1122/1000</f>
        <v>0</v>
      </c>
      <c r="Q1121" s="85">
        <f>STATS1003B!Q1122/1000</f>
        <v>0</v>
      </c>
      <c r="R1121" s="85">
        <f>STATS1003B!R1122/1000</f>
        <v>0</v>
      </c>
      <c r="S1121" s="85">
        <f>STATS1003B!S1122/1000</f>
        <v>0</v>
      </c>
      <c r="T1121" s="85">
        <f>STATS1003B!T1122/1000</f>
        <v>0</v>
      </c>
      <c r="U1121" s="85">
        <f>STATS1003B!U1122/1000</f>
        <v>0</v>
      </c>
      <c r="V1121" s="85">
        <f>STATS1003B!V1122/1000</f>
        <v>15459.760549999999</v>
      </c>
      <c r="W1121" s="85">
        <f>STATS1003B!W1122/1000</f>
        <v>0</v>
      </c>
      <c r="X1121" s="85">
        <f t="shared" si="140"/>
        <v>15459.760549999999</v>
      </c>
      <c r="Y1121" s="85">
        <f>STATS1003B!Y1122/1000</f>
        <v>0</v>
      </c>
      <c r="Z1121" s="85">
        <f t="shared" si="141"/>
        <v>0</v>
      </c>
      <c r="AA1121" s="69">
        <f>STATS1003B!AA1122/1000</f>
        <v>15459.760549999999</v>
      </c>
      <c r="AB1121" s="69">
        <f>STATS1003B!AB1122/1000</f>
        <v>0</v>
      </c>
    </row>
    <row r="1122" spans="1:28" hidden="1" x14ac:dyDescent="0.3">
      <c r="A1122" s="117"/>
      <c r="C1122" s="68" t="str">
        <f>+C1121</f>
        <v xml:space="preserve">  EXPANSION</v>
      </c>
      <c r="D1122" s="89" t="s">
        <v>61</v>
      </c>
      <c r="E1122" s="85">
        <f>STATS1003B!E1123/1000</f>
        <v>10058.50115</v>
      </c>
      <c r="F1122" s="85">
        <f>STATS1003B!F1123/1000</f>
        <v>10058.50115</v>
      </c>
      <c r="G1122" s="85">
        <f>STATS1003B!G1123/1000</f>
        <v>0</v>
      </c>
      <c r="H1122" s="85">
        <f>STATS1003B!H1123/1000</f>
        <v>10058.50115</v>
      </c>
      <c r="I1122" s="85">
        <f>STATS1003B!I1123/1000</f>
        <v>0</v>
      </c>
      <c r="J1122" s="85">
        <f>STATS1003B!J1123/1000</f>
        <v>0</v>
      </c>
      <c r="K1122" s="85">
        <f>STATS1003B!K1123/1000</f>
        <v>0</v>
      </c>
      <c r="L1122" s="85">
        <f>STATS1003B!L1123/1000</f>
        <v>0</v>
      </c>
      <c r="M1122" s="85">
        <f>STATS1003B!M1123/1000</f>
        <v>10058.50115</v>
      </c>
      <c r="N1122" s="85">
        <f>STATS1003B!N1123/1000</f>
        <v>0</v>
      </c>
      <c r="O1122" s="85">
        <f>STATS1003B!O1123/1000</f>
        <v>0</v>
      </c>
      <c r="P1122" s="85">
        <f>STATS1003B!P1123/1000</f>
        <v>0</v>
      </c>
      <c r="Q1122" s="85">
        <f>STATS1003B!Q1123/1000</f>
        <v>0</v>
      </c>
      <c r="R1122" s="85">
        <f>STATS1003B!R1123/1000</f>
        <v>0</v>
      </c>
      <c r="S1122" s="85">
        <f>STATS1003B!S1123/1000</f>
        <v>0</v>
      </c>
      <c r="T1122" s="85">
        <f>STATS1003B!T1123/1000</f>
        <v>0</v>
      </c>
      <c r="U1122" s="85">
        <f>STATS1003B!U1123/1000</f>
        <v>0</v>
      </c>
      <c r="V1122" s="85">
        <f>STATS1003B!V1123/1000</f>
        <v>10058.50115</v>
      </c>
      <c r="W1122" s="85">
        <f>STATS1003B!W1123/1000</f>
        <v>0</v>
      </c>
      <c r="X1122" s="85">
        <f t="shared" si="140"/>
        <v>10058.50115</v>
      </c>
      <c r="Y1122" s="85">
        <f>STATS1003B!Y1123/1000</f>
        <v>0</v>
      </c>
      <c r="Z1122" s="85">
        <f t="shared" si="141"/>
        <v>0</v>
      </c>
      <c r="AA1122" s="69">
        <f>STATS1003B!AA1123/1000</f>
        <v>10058.50115</v>
      </c>
      <c r="AB1122" s="69">
        <f>STATS1003B!AB1123/1000</f>
        <v>0</v>
      </c>
    </row>
    <row r="1123" spans="1:28" hidden="1" x14ac:dyDescent="0.3">
      <c r="A1123" s="117"/>
      <c r="C1123" s="68" t="s">
        <v>924</v>
      </c>
      <c r="D1123" s="89" t="s">
        <v>1072</v>
      </c>
      <c r="E1123" s="85">
        <f>STATS1003B!E1124/1000</f>
        <v>6334.7876200000001</v>
      </c>
      <c r="F1123" s="85">
        <f>STATS1003B!F1124/1000</f>
        <v>6334.7876200000001</v>
      </c>
      <c r="G1123" s="85">
        <f>STATS1003B!G1124/1000</f>
        <v>0</v>
      </c>
      <c r="H1123" s="85">
        <f>STATS1003B!H1124/1000</f>
        <v>6334.7876200000001</v>
      </c>
      <c r="I1123" s="85">
        <f>STATS1003B!I1124/1000</f>
        <v>0</v>
      </c>
      <c r="J1123" s="85">
        <f>STATS1003B!J1124/1000</f>
        <v>0</v>
      </c>
      <c r="K1123" s="85">
        <f>STATS1003B!K1124/1000</f>
        <v>0</v>
      </c>
      <c r="L1123" s="85">
        <f>STATS1003B!L1124/1000</f>
        <v>0</v>
      </c>
      <c r="M1123" s="85">
        <f>STATS1003B!M1124/1000</f>
        <v>6334.7876200000001</v>
      </c>
      <c r="N1123" s="85">
        <f>STATS1003B!N1124/1000</f>
        <v>0</v>
      </c>
      <c r="O1123" s="85">
        <f>STATS1003B!O1124/1000</f>
        <v>0</v>
      </c>
      <c r="P1123" s="85">
        <f>STATS1003B!P1124/1000</f>
        <v>0</v>
      </c>
      <c r="Q1123" s="85">
        <f>STATS1003B!Q1124/1000</f>
        <v>0</v>
      </c>
      <c r="R1123" s="85">
        <f>STATS1003B!R1124/1000</f>
        <v>0</v>
      </c>
      <c r="S1123" s="85">
        <f>STATS1003B!S1124/1000</f>
        <v>0</v>
      </c>
      <c r="T1123" s="85">
        <f>STATS1003B!T1124/1000</f>
        <v>0</v>
      </c>
      <c r="U1123" s="85">
        <f>STATS1003B!U1124/1000</f>
        <v>0</v>
      </c>
      <c r="V1123" s="85">
        <f>STATS1003B!V1124/1000</f>
        <v>0</v>
      </c>
      <c r="W1123" s="85">
        <f>STATS1003B!W1124/1000</f>
        <v>0</v>
      </c>
      <c r="X1123" s="85">
        <f t="shared" si="140"/>
        <v>6334.7876200000001</v>
      </c>
      <c r="Y1123" s="85">
        <f>STATS1003B!Y1124/1000</f>
        <v>0</v>
      </c>
      <c r="Z1123" s="85">
        <f t="shared" si="141"/>
        <v>0</v>
      </c>
      <c r="AA1123" s="69">
        <f>STATS1003B!AA1124/1000</f>
        <v>6334.7876200000001</v>
      </c>
      <c r="AB1123" s="69">
        <f>STATS1003B!AB1124/1000</f>
        <v>0</v>
      </c>
    </row>
    <row r="1124" spans="1:28" hidden="1" x14ac:dyDescent="0.3">
      <c r="A1124" s="117"/>
      <c r="C1124" s="68" t="s">
        <v>930</v>
      </c>
      <c r="D1124" s="89" t="s">
        <v>1072</v>
      </c>
      <c r="E1124" s="85">
        <f>STATS1003B!E1125/1000</f>
        <v>4346.0541800000001</v>
      </c>
      <c r="F1124" s="85">
        <f>STATS1003B!F1125/1000</f>
        <v>4346.0541800000001</v>
      </c>
      <c r="G1124" s="85">
        <f>STATS1003B!G1125/1000</f>
        <v>0</v>
      </c>
      <c r="H1124" s="85">
        <f>STATS1003B!H1125/1000</f>
        <v>4346.0541800000001</v>
      </c>
      <c r="I1124" s="85">
        <f>STATS1003B!I1125/1000</f>
        <v>0</v>
      </c>
      <c r="J1124" s="85">
        <f>STATS1003B!J1125/1000</f>
        <v>0</v>
      </c>
      <c r="K1124" s="85">
        <f>STATS1003B!K1125/1000</f>
        <v>0</v>
      </c>
      <c r="L1124" s="85">
        <f>STATS1003B!L1125/1000</f>
        <v>0</v>
      </c>
      <c r="M1124" s="85">
        <f>STATS1003B!M1125/1000</f>
        <v>4346.0541800000001</v>
      </c>
      <c r="N1124" s="85">
        <f>STATS1003B!N1125/1000</f>
        <v>0</v>
      </c>
      <c r="O1124" s="85">
        <f>STATS1003B!O1125/1000</f>
        <v>0</v>
      </c>
      <c r="P1124" s="85">
        <f>STATS1003B!P1125/1000</f>
        <v>0</v>
      </c>
      <c r="Q1124" s="85">
        <f>STATS1003B!Q1125/1000</f>
        <v>0</v>
      </c>
      <c r="R1124" s="85">
        <f>STATS1003B!R1125/1000</f>
        <v>0</v>
      </c>
      <c r="S1124" s="85">
        <f>STATS1003B!S1125/1000</f>
        <v>0</v>
      </c>
      <c r="T1124" s="85">
        <f>STATS1003B!T1125/1000</f>
        <v>0</v>
      </c>
      <c r="U1124" s="85">
        <f>STATS1003B!U1125/1000</f>
        <v>0</v>
      </c>
      <c r="V1124" s="85">
        <f>STATS1003B!V1125/1000</f>
        <v>0</v>
      </c>
      <c r="W1124" s="85">
        <f>STATS1003B!W1125/1000</f>
        <v>0</v>
      </c>
      <c r="X1124" s="85">
        <f t="shared" si="140"/>
        <v>4346.0541800000001</v>
      </c>
      <c r="Y1124" s="85">
        <f>STATS1003B!Y1125/1000</f>
        <v>0</v>
      </c>
      <c r="Z1124" s="85">
        <f t="shared" si="141"/>
        <v>0</v>
      </c>
      <c r="AA1124" s="69">
        <f>STATS1003B!AA1125/1000</f>
        <v>4346.0541800000001</v>
      </c>
      <c r="AB1124" s="69">
        <f>STATS1003B!AB1125/1000</f>
        <v>0</v>
      </c>
    </row>
    <row r="1125" spans="1:28" hidden="1" x14ac:dyDescent="0.3">
      <c r="A1125" s="117"/>
      <c r="C1125" s="68" t="s">
        <v>1079</v>
      </c>
      <c r="D1125" s="89" t="s">
        <v>1072</v>
      </c>
      <c r="E1125" s="85">
        <f>STATS1003B!E1126/1000</f>
        <v>6757.2870800000001</v>
      </c>
      <c r="F1125" s="85">
        <f>STATS1003B!F1126/1000</f>
        <v>6757.2870800000001</v>
      </c>
      <c r="G1125" s="85">
        <f>STATS1003B!G1126/1000</f>
        <v>0</v>
      </c>
      <c r="H1125" s="85">
        <f>STATS1003B!H1126/1000</f>
        <v>6757.2870800000001</v>
      </c>
      <c r="I1125" s="85">
        <f>STATS1003B!I1126/1000</f>
        <v>0</v>
      </c>
      <c r="J1125" s="85">
        <f>STATS1003B!J1126/1000</f>
        <v>0</v>
      </c>
      <c r="K1125" s="85">
        <f>STATS1003B!K1126/1000</f>
        <v>0</v>
      </c>
      <c r="L1125" s="85">
        <f>STATS1003B!L1126/1000</f>
        <v>0</v>
      </c>
      <c r="M1125" s="85">
        <f>STATS1003B!M1126/1000</f>
        <v>6757.2870800000001</v>
      </c>
      <c r="N1125" s="85">
        <f>STATS1003B!N1126/1000</f>
        <v>0</v>
      </c>
      <c r="O1125" s="85">
        <f>STATS1003B!O1126/1000</f>
        <v>0</v>
      </c>
      <c r="P1125" s="85">
        <f>STATS1003B!P1126/1000</f>
        <v>0</v>
      </c>
      <c r="Q1125" s="85">
        <f>STATS1003B!Q1126/1000</f>
        <v>0</v>
      </c>
      <c r="R1125" s="85">
        <f>STATS1003B!R1126/1000</f>
        <v>0</v>
      </c>
      <c r="S1125" s="85">
        <f>STATS1003B!S1126/1000</f>
        <v>0</v>
      </c>
      <c r="T1125" s="85">
        <f>STATS1003B!T1126/1000</f>
        <v>0</v>
      </c>
      <c r="U1125" s="85">
        <f>STATS1003B!U1126/1000</f>
        <v>0</v>
      </c>
      <c r="V1125" s="85">
        <f>STATS1003B!V1126/1000</f>
        <v>0</v>
      </c>
      <c r="W1125" s="85">
        <f>STATS1003B!W1126/1000</f>
        <v>0</v>
      </c>
      <c r="X1125" s="85">
        <f t="shared" si="140"/>
        <v>6757.2870800000001</v>
      </c>
      <c r="Y1125" s="85">
        <f>STATS1003B!Y1126/1000</f>
        <v>0</v>
      </c>
      <c r="Z1125" s="85">
        <f t="shared" si="141"/>
        <v>0</v>
      </c>
      <c r="AA1125" s="69">
        <f>STATS1003B!AA1126/1000</f>
        <v>6757.2870800000001</v>
      </c>
      <c r="AB1125" s="69">
        <f>STATS1003B!AB1126/1000</f>
        <v>0</v>
      </c>
    </row>
    <row r="1126" spans="1:28" hidden="1" x14ac:dyDescent="0.3">
      <c r="A1126" s="117"/>
      <c r="C1126" s="68" t="s">
        <v>1176</v>
      </c>
      <c r="D1126" s="89" t="s">
        <v>1126</v>
      </c>
      <c r="E1126" s="85">
        <f>STATS1003B!E1127/1000</f>
        <v>7956.3050200000007</v>
      </c>
      <c r="F1126" s="85">
        <f>STATS1003B!F1127/1000</f>
        <v>7956.3050200000007</v>
      </c>
      <c r="G1126" s="85">
        <f>STATS1003B!G1127/1000</f>
        <v>0</v>
      </c>
      <c r="H1126" s="85">
        <f>STATS1003B!H1127/1000</f>
        <v>7956.3050200000007</v>
      </c>
      <c r="I1126" s="85">
        <f>STATS1003B!I1127/1000</f>
        <v>0</v>
      </c>
      <c r="J1126" s="85">
        <f>STATS1003B!J1127/1000</f>
        <v>0</v>
      </c>
      <c r="K1126" s="85">
        <f>STATS1003B!K1127/1000</f>
        <v>0</v>
      </c>
      <c r="L1126" s="85">
        <f>STATS1003B!L1127/1000</f>
        <v>0</v>
      </c>
      <c r="M1126" s="85">
        <f>STATS1003B!M1127/1000</f>
        <v>7956.3050200000007</v>
      </c>
      <c r="N1126" s="85">
        <f>STATS1003B!N1127/1000</f>
        <v>0</v>
      </c>
      <c r="O1126" s="85">
        <f>STATS1003B!O1127/1000</f>
        <v>0</v>
      </c>
      <c r="P1126" s="85">
        <f>STATS1003B!P1127/1000</f>
        <v>0</v>
      </c>
      <c r="Q1126" s="85">
        <f>STATS1003B!Q1127/1000</f>
        <v>0</v>
      </c>
      <c r="R1126" s="85">
        <f>STATS1003B!R1127/1000</f>
        <v>0</v>
      </c>
      <c r="S1126" s="85">
        <f>STATS1003B!S1127/1000</f>
        <v>0</v>
      </c>
      <c r="T1126" s="85">
        <f>STATS1003B!T1127/1000</f>
        <v>0</v>
      </c>
      <c r="U1126" s="85">
        <f>STATS1003B!U1127/1000</f>
        <v>0</v>
      </c>
      <c r="V1126" s="85">
        <f>STATS1003B!V1127/1000</f>
        <v>0</v>
      </c>
      <c r="W1126" s="85">
        <f>STATS1003B!W1127/1000</f>
        <v>0</v>
      </c>
      <c r="X1126" s="85">
        <f t="shared" si="140"/>
        <v>7956.3050200000007</v>
      </c>
      <c r="Y1126" s="85">
        <f>STATS1003B!Y1127/1000</f>
        <v>0</v>
      </c>
      <c r="Z1126" s="85">
        <f t="shared" si="141"/>
        <v>0</v>
      </c>
      <c r="AA1126" s="69">
        <f>STATS1003B!AA1127/1000</f>
        <v>7956.3050200000007</v>
      </c>
      <c r="AB1126" s="69">
        <f>STATS1003B!AB1127/1000</f>
        <v>0</v>
      </c>
    </row>
    <row r="1127" spans="1:28" hidden="1" x14ac:dyDescent="0.3">
      <c r="A1127" s="117"/>
      <c r="C1127" s="71" t="s">
        <v>178</v>
      </c>
      <c r="D1127" s="71" t="s">
        <v>111</v>
      </c>
      <c r="E1127" s="85">
        <f>STATS1003B!E1128/1000</f>
        <v>1873.28</v>
      </c>
      <c r="F1127" s="85">
        <f>STATS1003B!F1128/1000</f>
        <v>1873.28</v>
      </c>
      <c r="G1127" s="85">
        <f>STATS1003B!G1128/1000</f>
        <v>0</v>
      </c>
      <c r="H1127" s="85">
        <f>STATS1003B!H1128/1000</f>
        <v>1873.28</v>
      </c>
      <c r="I1127" s="85">
        <f>STATS1003B!I1128/1000</f>
        <v>0</v>
      </c>
      <c r="J1127" s="85">
        <f>STATS1003B!J1128/1000</f>
        <v>0</v>
      </c>
      <c r="K1127" s="85">
        <f>STATS1003B!K1128/1000</f>
        <v>0</v>
      </c>
      <c r="L1127" s="85">
        <f>STATS1003B!L1128/1000</f>
        <v>0</v>
      </c>
      <c r="M1127" s="85">
        <f>STATS1003B!M1128/1000</f>
        <v>1873.28</v>
      </c>
      <c r="N1127" s="85">
        <f>STATS1003B!N1128/1000</f>
        <v>0</v>
      </c>
      <c r="O1127" s="85">
        <f>STATS1003B!O1128/1000</f>
        <v>0</v>
      </c>
      <c r="P1127" s="85">
        <f>STATS1003B!P1128/1000</f>
        <v>0</v>
      </c>
      <c r="Q1127" s="85">
        <f>STATS1003B!Q1128/1000</f>
        <v>0</v>
      </c>
      <c r="R1127" s="85">
        <f>STATS1003B!R1128/1000</f>
        <v>0</v>
      </c>
      <c r="S1127" s="85">
        <f>STATS1003B!S1128/1000</f>
        <v>0</v>
      </c>
      <c r="T1127" s="85">
        <f>STATS1003B!T1128/1000</f>
        <v>0</v>
      </c>
      <c r="U1127" s="85">
        <f>STATS1003B!U1128/1000</f>
        <v>0</v>
      </c>
      <c r="V1127" s="85">
        <f>STATS1003B!V1128/1000</f>
        <v>1873.28</v>
      </c>
      <c r="W1127" s="85">
        <f>STATS1003B!W1128/1000</f>
        <v>0</v>
      </c>
      <c r="X1127" s="85">
        <f t="shared" si="140"/>
        <v>1873.28</v>
      </c>
      <c r="Y1127" s="85">
        <f>STATS1003B!Y1128/1000</f>
        <v>0</v>
      </c>
      <c r="Z1127" s="85">
        <f t="shared" si="141"/>
        <v>0</v>
      </c>
      <c r="AA1127" s="69">
        <f>STATS1003B!AA1128/1000</f>
        <v>1873.28</v>
      </c>
      <c r="AB1127" s="69">
        <f>STATS1003B!AB1128/1000</f>
        <v>0</v>
      </c>
    </row>
    <row r="1128" spans="1:28" hidden="1" x14ac:dyDescent="0.3">
      <c r="A1128" s="117"/>
      <c r="E1128" s="86" t="s">
        <v>29</v>
      </c>
      <c r="F1128" s="86" t="s">
        <v>29</v>
      </c>
      <c r="G1128" s="86" t="s">
        <v>29</v>
      </c>
      <c r="H1128" s="86" t="s">
        <v>29</v>
      </c>
      <c r="I1128" s="86" t="s">
        <v>29</v>
      </c>
      <c r="J1128" s="86" t="s">
        <v>29</v>
      </c>
      <c r="K1128" s="86" t="s">
        <v>29</v>
      </c>
      <c r="L1128" s="86" t="s">
        <v>29</v>
      </c>
      <c r="M1128" s="86" t="s">
        <v>29</v>
      </c>
      <c r="N1128" s="86" t="s">
        <v>29</v>
      </c>
      <c r="O1128" s="86" t="s">
        <v>29</v>
      </c>
      <c r="P1128" s="86" t="s">
        <v>29</v>
      </c>
      <c r="Q1128" s="86" t="s">
        <v>29</v>
      </c>
      <c r="R1128" s="86" t="s">
        <v>29</v>
      </c>
      <c r="S1128" s="86" t="s">
        <v>29</v>
      </c>
      <c r="T1128" s="86" t="s">
        <v>29</v>
      </c>
      <c r="U1128" s="86" t="s">
        <v>29</v>
      </c>
      <c r="V1128" s="86" t="s">
        <v>29</v>
      </c>
      <c r="W1128" s="86" t="s">
        <v>29</v>
      </c>
      <c r="X1128" s="85" t="e">
        <f t="shared" si="140"/>
        <v>#VALUE!</v>
      </c>
      <c r="Y1128" s="86" t="s">
        <v>29</v>
      </c>
      <c r="Z1128" s="85" t="e">
        <f t="shared" si="141"/>
        <v>#VALUE!</v>
      </c>
      <c r="AA1128" s="115" t="s">
        <v>29</v>
      </c>
      <c r="AB1128" s="115" t="s">
        <v>29</v>
      </c>
    </row>
    <row r="1129" spans="1:28" x14ac:dyDescent="0.3">
      <c r="A1129" s="116">
        <v>52</v>
      </c>
      <c r="B1129" s="68" t="s">
        <v>260</v>
      </c>
      <c r="E1129" s="85">
        <f>362279913.59/1000</f>
        <v>362279.91358999995</v>
      </c>
      <c r="F1129" s="85">
        <f t="shared" ref="F1129:AB1129" si="142">SUM(F1109:F1127)</f>
        <v>135997.80798000001</v>
      </c>
      <c r="G1129" s="85">
        <f t="shared" si="142"/>
        <v>0</v>
      </c>
      <c r="H1129" s="85">
        <f>358553777.75/1000</f>
        <v>358553.77775000001</v>
      </c>
      <c r="I1129" s="85">
        <f t="shared" si="142"/>
        <v>0</v>
      </c>
      <c r="J1129" s="85">
        <f t="shared" si="142"/>
        <v>0</v>
      </c>
      <c r="K1129" s="85">
        <f t="shared" si="142"/>
        <v>0</v>
      </c>
      <c r="L1129" s="85">
        <f t="shared" si="142"/>
        <v>0</v>
      </c>
      <c r="M1129" s="85">
        <f t="shared" si="142"/>
        <v>135997.80798000001</v>
      </c>
      <c r="N1129" s="85">
        <f t="shared" si="142"/>
        <v>3726.1358399999999</v>
      </c>
      <c r="O1129" s="85">
        <f t="shared" si="142"/>
        <v>0</v>
      </c>
      <c r="P1129" s="85">
        <f>3726135/1000</f>
        <v>3726.1350000000002</v>
      </c>
      <c r="Q1129" s="85">
        <f t="shared" si="142"/>
        <v>0</v>
      </c>
      <c r="R1129" s="85">
        <f t="shared" si="142"/>
        <v>0</v>
      </c>
      <c r="S1129" s="85">
        <f t="shared" si="142"/>
        <v>0</v>
      </c>
      <c r="T1129" s="85">
        <f t="shared" si="142"/>
        <v>0</v>
      </c>
      <c r="U1129" s="85">
        <f t="shared" si="142"/>
        <v>3726.1358399999999</v>
      </c>
      <c r="V1129" s="85">
        <f t="shared" si="142"/>
        <v>114329.50992000001</v>
      </c>
      <c r="W1129" s="85">
        <f t="shared" si="142"/>
        <v>0</v>
      </c>
      <c r="X1129" s="85">
        <f>+H1129+P1129</f>
        <v>362279.91275000002</v>
      </c>
      <c r="Y1129" s="85">
        <f t="shared" si="142"/>
        <v>0</v>
      </c>
      <c r="Z1129" s="85">
        <f t="shared" si="141"/>
        <v>8.3999993512406945E-4</v>
      </c>
      <c r="AA1129" s="69">
        <f t="shared" si="142"/>
        <v>139723.94382000001</v>
      </c>
      <c r="AB1129" s="69">
        <f t="shared" si="142"/>
        <v>0</v>
      </c>
    </row>
    <row r="1130" spans="1:28" hidden="1" x14ac:dyDescent="0.3">
      <c r="A1130" s="117"/>
      <c r="E1130" s="86" t="s">
        <v>29</v>
      </c>
      <c r="F1130" s="86" t="s">
        <v>29</v>
      </c>
      <c r="G1130" s="86" t="s">
        <v>29</v>
      </c>
      <c r="H1130" s="86" t="s">
        <v>29</v>
      </c>
      <c r="I1130" s="86" t="s">
        <v>29</v>
      </c>
      <c r="J1130" s="86" t="s">
        <v>29</v>
      </c>
      <c r="K1130" s="86" t="s">
        <v>29</v>
      </c>
      <c r="L1130" s="86" t="s">
        <v>29</v>
      </c>
      <c r="M1130" s="86" t="s">
        <v>29</v>
      </c>
      <c r="N1130" s="86" t="s">
        <v>29</v>
      </c>
      <c r="O1130" s="86" t="s">
        <v>29</v>
      </c>
      <c r="P1130" s="86" t="s">
        <v>29</v>
      </c>
      <c r="Q1130" s="86" t="s">
        <v>29</v>
      </c>
      <c r="R1130" s="86" t="s">
        <v>29</v>
      </c>
      <c r="S1130" s="86" t="s">
        <v>29</v>
      </c>
      <c r="T1130" s="86" t="s">
        <v>29</v>
      </c>
      <c r="U1130" s="86" t="s">
        <v>29</v>
      </c>
      <c r="V1130" s="86" t="s">
        <v>29</v>
      </c>
      <c r="W1130" s="86" t="s">
        <v>29</v>
      </c>
      <c r="X1130" s="85" t="e">
        <f t="shared" si="140"/>
        <v>#VALUE!</v>
      </c>
      <c r="Y1130" s="86" t="s">
        <v>29</v>
      </c>
      <c r="Z1130" s="85" t="e">
        <f t="shared" si="141"/>
        <v>#VALUE!</v>
      </c>
      <c r="AA1130" s="115" t="s">
        <v>29</v>
      </c>
      <c r="AB1130" s="115" t="s">
        <v>29</v>
      </c>
    </row>
    <row r="1131" spans="1:28" hidden="1" x14ac:dyDescent="0.3">
      <c r="A1131" s="105"/>
      <c r="E1131" s="84"/>
      <c r="F1131" s="84"/>
      <c r="G1131" s="84"/>
      <c r="H1131" s="84"/>
      <c r="I1131" s="84"/>
      <c r="J1131" s="84"/>
      <c r="K1131" s="84"/>
      <c r="L1131" s="84"/>
      <c r="M1131" s="84"/>
      <c r="N1131" s="84"/>
      <c r="O1131" s="84"/>
      <c r="P1131" s="84"/>
      <c r="Q1131" s="84"/>
      <c r="R1131" s="84"/>
      <c r="S1131" s="84"/>
      <c r="T1131" s="84"/>
      <c r="U1131" s="84"/>
      <c r="V1131" s="84"/>
      <c r="W1131" s="84"/>
      <c r="X1131" s="85">
        <f t="shared" si="140"/>
        <v>0</v>
      </c>
      <c r="Y1131" s="84"/>
      <c r="Z1131" s="85">
        <f t="shared" si="141"/>
        <v>0</v>
      </c>
    </row>
    <row r="1132" spans="1:28" hidden="1" x14ac:dyDescent="0.3">
      <c r="A1132" s="117"/>
      <c r="C1132" s="68" t="s">
        <v>272</v>
      </c>
      <c r="D1132" s="87" t="s">
        <v>273</v>
      </c>
      <c r="E1132" s="85">
        <f>STATS1003B!E1133/1000</f>
        <v>14602.828660000001</v>
      </c>
      <c r="F1132" s="85">
        <f>STATS1003B!F1133/1000</f>
        <v>13013.94664</v>
      </c>
      <c r="G1132" s="85">
        <f>STATS1003B!G1133/1000</f>
        <v>0</v>
      </c>
      <c r="H1132" s="85">
        <f>STATS1003B!H1133/1000</f>
        <v>13013.94664</v>
      </c>
      <c r="I1132" s="85">
        <f>STATS1003B!I1133/1000</f>
        <v>0</v>
      </c>
      <c r="J1132" s="85">
        <f>STATS1003B!J1133/1000</f>
        <v>0</v>
      </c>
      <c r="K1132" s="85">
        <f>STATS1003B!K1133/1000</f>
        <v>0</v>
      </c>
      <c r="L1132" s="85">
        <f>STATS1003B!L1133/1000</f>
        <v>0</v>
      </c>
      <c r="M1132" s="85">
        <f>STATS1003B!M1133/1000</f>
        <v>13013.94664</v>
      </c>
      <c r="N1132" s="85">
        <f>STATS1003B!N1133/1000</f>
        <v>1588.88202</v>
      </c>
      <c r="O1132" s="85">
        <f>STATS1003B!O1133/1000</f>
        <v>0</v>
      </c>
      <c r="P1132" s="85">
        <f>STATS1003B!P1133/1000</f>
        <v>1588.88202</v>
      </c>
      <c r="Q1132" s="85">
        <f>STATS1003B!Q1133/1000</f>
        <v>0</v>
      </c>
      <c r="R1132" s="85">
        <f>STATS1003B!R1133/1000</f>
        <v>0</v>
      </c>
      <c r="S1132" s="85">
        <f>STATS1003B!S1133/1000</f>
        <v>0</v>
      </c>
      <c r="T1132" s="85">
        <f>STATS1003B!T1133/1000</f>
        <v>0</v>
      </c>
      <c r="U1132" s="85">
        <f>STATS1003B!U1133/1000</f>
        <v>1588.88202</v>
      </c>
      <c r="V1132" s="85">
        <f>STATS1003B!V1133/1000</f>
        <v>14602.828660000001</v>
      </c>
      <c r="W1132" s="85">
        <f>STATS1003B!W1133/1000</f>
        <v>0</v>
      </c>
      <c r="X1132" s="85">
        <f t="shared" si="140"/>
        <v>14602.828659999999</v>
      </c>
      <c r="Y1132" s="85">
        <f>STATS1003B!Y1133/1000</f>
        <v>0</v>
      </c>
      <c r="Z1132" s="85">
        <f t="shared" si="141"/>
        <v>0</v>
      </c>
      <c r="AA1132" s="69">
        <f>STATS1003B!AA1133/1000</f>
        <v>14602.828660000001</v>
      </c>
      <c r="AB1132" s="69">
        <f>STATS1003B!AB1133/1000</f>
        <v>0</v>
      </c>
    </row>
    <row r="1133" spans="1:28" hidden="1" x14ac:dyDescent="0.3">
      <c r="A1133" s="117"/>
      <c r="C1133" s="68" t="s">
        <v>172</v>
      </c>
      <c r="D1133" s="87" t="s">
        <v>166</v>
      </c>
      <c r="E1133" s="85">
        <f>STATS1003B!E1134/1000</f>
        <v>279.33199999999999</v>
      </c>
      <c r="F1133" s="85">
        <f>STATS1003B!F1134/1000</f>
        <v>279.33199999999999</v>
      </c>
      <c r="G1133" s="85">
        <f>STATS1003B!G1134/1000</f>
        <v>0</v>
      </c>
      <c r="H1133" s="85">
        <f>STATS1003B!H1134/1000</f>
        <v>279.33199999999999</v>
      </c>
      <c r="I1133" s="85">
        <f>STATS1003B!I1134/1000</f>
        <v>0</v>
      </c>
      <c r="J1133" s="85">
        <f>STATS1003B!J1134/1000</f>
        <v>0</v>
      </c>
      <c r="K1133" s="85">
        <f>STATS1003B!K1134/1000</f>
        <v>0</v>
      </c>
      <c r="L1133" s="85">
        <f>STATS1003B!L1134/1000</f>
        <v>0</v>
      </c>
      <c r="M1133" s="85">
        <f>STATS1003B!M1134/1000</f>
        <v>279.33199999999999</v>
      </c>
      <c r="N1133" s="85">
        <f>STATS1003B!N1134/1000</f>
        <v>0</v>
      </c>
      <c r="O1133" s="85">
        <f>STATS1003B!O1134/1000</f>
        <v>0</v>
      </c>
      <c r="P1133" s="85">
        <f>STATS1003B!P1134/1000</f>
        <v>0</v>
      </c>
      <c r="Q1133" s="85">
        <f>STATS1003B!Q1134/1000</f>
        <v>0</v>
      </c>
      <c r="R1133" s="85">
        <f>STATS1003B!R1134/1000</f>
        <v>0</v>
      </c>
      <c r="S1133" s="85">
        <f>STATS1003B!S1134/1000</f>
        <v>0</v>
      </c>
      <c r="T1133" s="85">
        <f>STATS1003B!T1134/1000</f>
        <v>0</v>
      </c>
      <c r="U1133" s="85">
        <f>STATS1003B!U1134/1000</f>
        <v>0</v>
      </c>
      <c r="V1133" s="85">
        <f>STATS1003B!V1134/1000</f>
        <v>279.33199999999999</v>
      </c>
      <c r="W1133" s="85">
        <f>STATS1003B!W1134/1000</f>
        <v>0</v>
      </c>
      <c r="X1133" s="85">
        <f t="shared" si="140"/>
        <v>279.33199999999999</v>
      </c>
      <c r="Y1133" s="85">
        <f>STATS1003B!Y1134/1000</f>
        <v>0</v>
      </c>
      <c r="Z1133" s="85">
        <f t="shared" si="141"/>
        <v>0</v>
      </c>
      <c r="AA1133" s="69">
        <f>STATS1003B!AA1134/1000</f>
        <v>279.33199999999999</v>
      </c>
      <c r="AB1133" s="69">
        <f>STATS1003B!AB1134/1000</f>
        <v>0</v>
      </c>
    </row>
    <row r="1134" spans="1:28" hidden="1" x14ac:dyDescent="0.3">
      <c r="A1134" s="117"/>
      <c r="C1134" s="68" t="s">
        <v>57</v>
      </c>
      <c r="D1134" s="87" t="s">
        <v>274</v>
      </c>
      <c r="E1134" s="85">
        <f>STATS1003B!E1135/1000</f>
        <v>4376.9400500000002</v>
      </c>
      <c r="F1134" s="85">
        <f>STATS1003B!F1135/1000</f>
        <v>3591.92409</v>
      </c>
      <c r="G1134" s="85">
        <f>STATS1003B!G1135/1000</f>
        <v>0</v>
      </c>
      <c r="H1134" s="85">
        <f>STATS1003B!H1135/1000</f>
        <v>3591.92409</v>
      </c>
      <c r="I1134" s="85">
        <f>STATS1003B!I1135/1000</f>
        <v>0</v>
      </c>
      <c r="J1134" s="85">
        <f>STATS1003B!J1135/1000</f>
        <v>0</v>
      </c>
      <c r="K1134" s="85">
        <f>STATS1003B!K1135/1000</f>
        <v>0</v>
      </c>
      <c r="L1134" s="85">
        <f>STATS1003B!L1135/1000</f>
        <v>0</v>
      </c>
      <c r="M1134" s="85">
        <f>STATS1003B!M1135/1000</f>
        <v>3591.92409</v>
      </c>
      <c r="N1134" s="85">
        <f>STATS1003B!N1135/1000</f>
        <v>785.01595999999995</v>
      </c>
      <c r="O1134" s="85">
        <f>STATS1003B!O1135/1000</f>
        <v>0</v>
      </c>
      <c r="P1134" s="85">
        <f>STATS1003B!P1135/1000</f>
        <v>785.01595999999995</v>
      </c>
      <c r="Q1134" s="85">
        <f>STATS1003B!Q1135/1000</f>
        <v>0</v>
      </c>
      <c r="R1134" s="85">
        <f>STATS1003B!R1135/1000</f>
        <v>0</v>
      </c>
      <c r="S1134" s="85">
        <f>STATS1003B!S1135/1000</f>
        <v>0</v>
      </c>
      <c r="T1134" s="85">
        <f>STATS1003B!T1135/1000</f>
        <v>0</v>
      </c>
      <c r="U1134" s="85">
        <f>STATS1003B!U1135/1000</f>
        <v>785.01595999999995</v>
      </c>
      <c r="V1134" s="85">
        <f>STATS1003B!V1135/1000</f>
        <v>4376.9400500000002</v>
      </c>
      <c r="W1134" s="85">
        <f>STATS1003B!W1135/1000</f>
        <v>0</v>
      </c>
      <c r="X1134" s="85">
        <f t="shared" si="140"/>
        <v>4376.9400500000002</v>
      </c>
      <c r="Y1134" s="85">
        <f>STATS1003B!Y1135/1000</f>
        <v>0</v>
      </c>
      <c r="Z1134" s="85">
        <f t="shared" si="141"/>
        <v>0</v>
      </c>
      <c r="AA1134" s="69">
        <f>STATS1003B!AA1135/1000</f>
        <v>4376.9400500000002</v>
      </c>
      <c r="AB1134" s="69">
        <f>STATS1003B!AB1135/1000</f>
        <v>0</v>
      </c>
    </row>
    <row r="1135" spans="1:28" hidden="1" x14ac:dyDescent="0.3">
      <c r="A1135" s="117"/>
      <c r="C1135" s="68" t="s">
        <v>275</v>
      </c>
      <c r="D1135" s="88" t="s">
        <v>68</v>
      </c>
      <c r="E1135" s="85">
        <f>STATS1003B!E1136/1000</f>
        <v>1325.5029999999999</v>
      </c>
      <c r="F1135" s="85">
        <f>STATS1003B!F1136/1000</f>
        <v>1325.5029999999999</v>
      </c>
      <c r="G1135" s="85">
        <f>STATS1003B!G1136/1000</f>
        <v>0</v>
      </c>
      <c r="H1135" s="85">
        <f>STATS1003B!H1136/1000</f>
        <v>1325.5029999999999</v>
      </c>
      <c r="I1135" s="85">
        <f>STATS1003B!I1136/1000</f>
        <v>0</v>
      </c>
      <c r="J1135" s="85">
        <f>STATS1003B!J1136/1000</f>
        <v>0</v>
      </c>
      <c r="K1135" s="85">
        <f>STATS1003B!K1136/1000</f>
        <v>0</v>
      </c>
      <c r="L1135" s="85">
        <f>STATS1003B!L1136/1000</f>
        <v>0</v>
      </c>
      <c r="M1135" s="85">
        <f>STATS1003B!M1136/1000</f>
        <v>1325.5029999999999</v>
      </c>
      <c r="N1135" s="85">
        <f>STATS1003B!N1136/1000</f>
        <v>0</v>
      </c>
      <c r="O1135" s="85">
        <f>STATS1003B!O1136/1000</f>
        <v>0</v>
      </c>
      <c r="P1135" s="85">
        <f>STATS1003B!P1136/1000</f>
        <v>0</v>
      </c>
      <c r="Q1135" s="85">
        <f>STATS1003B!Q1136/1000</f>
        <v>0</v>
      </c>
      <c r="R1135" s="85">
        <f>STATS1003B!R1136/1000</f>
        <v>0</v>
      </c>
      <c r="S1135" s="85">
        <f>STATS1003B!S1136/1000</f>
        <v>0</v>
      </c>
      <c r="T1135" s="85">
        <f>STATS1003B!T1136/1000</f>
        <v>0</v>
      </c>
      <c r="U1135" s="85">
        <f>STATS1003B!U1136/1000</f>
        <v>0</v>
      </c>
      <c r="V1135" s="85">
        <f>STATS1003B!V1136/1000</f>
        <v>1325.5029999999999</v>
      </c>
      <c r="W1135" s="85">
        <f>STATS1003B!W1136/1000</f>
        <v>0</v>
      </c>
      <c r="X1135" s="85">
        <f t="shared" si="140"/>
        <v>1325.5029999999999</v>
      </c>
      <c r="Y1135" s="85">
        <f>STATS1003B!Y1136/1000</f>
        <v>0</v>
      </c>
      <c r="Z1135" s="85">
        <f t="shared" si="141"/>
        <v>0</v>
      </c>
      <c r="AA1135" s="69">
        <f>STATS1003B!AA1136/1000</f>
        <v>1325.5029999999999</v>
      </c>
      <c r="AB1135" s="69">
        <f>STATS1003B!AB1136/1000</f>
        <v>0</v>
      </c>
    </row>
    <row r="1136" spans="1:28" hidden="1" x14ac:dyDescent="0.3">
      <c r="A1136" s="117"/>
      <c r="C1136" s="71" t="s">
        <v>276</v>
      </c>
      <c r="D1136" s="88" t="s">
        <v>68</v>
      </c>
      <c r="E1136" s="85">
        <f>STATS1003B!E1137/1000</f>
        <v>303.02690000000001</v>
      </c>
      <c r="F1136" s="85">
        <f>STATS1003B!F1137/1000</f>
        <v>0</v>
      </c>
      <c r="G1136" s="85">
        <f>STATS1003B!G1137/1000</f>
        <v>0</v>
      </c>
      <c r="H1136" s="85">
        <f>STATS1003B!H1137/1000</f>
        <v>0</v>
      </c>
      <c r="I1136" s="85">
        <f>STATS1003B!I1137/1000</f>
        <v>0</v>
      </c>
      <c r="J1136" s="85">
        <f>STATS1003B!J1137/1000</f>
        <v>0</v>
      </c>
      <c r="K1136" s="85">
        <f>STATS1003B!K1137/1000</f>
        <v>0</v>
      </c>
      <c r="L1136" s="85">
        <f>STATS1003B!L1137/1000</f>
        <v>0</v>
      </c>
      <c r="M1136" s="85">
        <f>STATS1003B!M1137/1000</f>
        <v>0</v>
      </c>
      <c r="N1136" s="85">
        <f>STATS1003B!N1137/1000</f>
        <v>303.02690000000001</v>
      </c>
      <c r="O1136" s="85">
        <f>STATS1003B!O1137/1000</f>
        <v>0</v>
      </c>
      <c r="P1136" s="85">
        <f>STATS1003B!P1137/1000</f>
        <v>303.02690000000001</v>
      </c>
      <c r="Q1136" s="85">
        <f>STATS1003B!Q1137/1000</f>
        <v>0</v>
      </c>
      <c r="R1136" s="85">
        <f>STATS1003B!R1137/1000</f>
        <v>0</v>
      </c>
      <c r="S1136" s="85">
        <f>STATS1003B!S1137/1000</f>
        <v>0</v>
      </c>
      <c r="T1136" s="85">
        <f>STATS1003B!T1137/1000</f>
        <v>0</v>
      </c>
      <c r="U1136" s="85">
        <f>STATS1003B!U1137/1000</f>
        <v>303.02690000000001</v>
      </c>
      <c r="V1136" s="85">
        <f>STATS1003B!V1137/1000</f>
        <v>303.02690000000001</v>
      </c>
      <c r="W1136" s="85">
        <f>STATS1003B!W1137/1000</f>
        <v>0</v>
      </c>
      <c r="X1136" s="85">
        <f t="shared" si="140"/>
        <v>303.02690000000001</v>
      </c>
      <c r="Y1136" s="85">
        <f>STATS1003B!Y1137/1000</f>
        <v>0</v>
      </c>
      <c r="Z1136" s="85">
        <f t="shared" si="141"/>
        <v>0</v>
      </c>
      <c r="AA1136" s="69">
        <f>STATS1003B!AA1137/1000</f>
        <v>303.02690000000001</v>
      </c>
      <c r="AB1136" s="69">
        <f>STATS1003B!AB1137/1000</f>
        <v>0</v>
      </c>
    </row>
    <row r="1137" spans="1:28" hidden="1" x14ac:dyDescent="0.3">
      <c r="A1137" s="117"/>
      <c r="C1137" s="68" t="s">
        <v>53</v>
      </c>
      <c r="D1137" s="87" t="s">
        <v>128</v>
      </c>
      <c r="E1137" s="85">
        <f>STATS1003B!E1138/1000</f>
        <v>570.94100000000003</v>
      </c>
      <c r="F1137" s="85">
        <f>STATS1003B!F1138/1000</f>
        <v>0</v>
      </c>
      <c r="G1137" s="85">
        <f>STATS1003B!G1138/1000</f>
        <v>0</v>
      </c>
      <c r="H1137" s="85">
        <f>STATS1003B!H1138/1000</f>
        <v>0</v>
      </c>
      <c r="I1137" s="85">
        <f>STATS1003B!I1138/1000</f>
        <v>0</v>
      </c>
      <c r="J1137" s="85">
        <f>STATS1003B!J1138/1000</f>
        <v>0</v>
      </c>
      <c r="K1137" s="85">
        <f>STATS1003B!K1138/1000</f>
        <v>0</v>
      </c>
      <c r="L1137" s="85">
        <f>STATS1003B!L1138/1000</f>
        <v>0</v>
      </c>
      <c r="M1137" s="85">
        <f>STATS1003B!M1138/1000</f>
        <v>0</v>
      </c>
      <c r="N1137" s="85">
        <f>STATS1003B!N1138/1000</f>
        <v>570.94100000000003</v>
      </c>
      <c r="O1137" s="85">
        <f>STATS1003B!O1138/1000</f>
        <v>0</v>
      </c>
      <c r="P1137" s="85">
        <f>STATS1003B!P1138/1000</f>
        <v>570.94100000000003</v>
      </c>
      <c r="Q1137" s="85">
        <f>STATS1003B!Q1138/1000</f>
        <v>0</v>
      </c>
      <c r="R1137" s="85">
        <f>STATS1003B!R1138/1000</f>
        <v>0</v>
      </c>
      <c r="S1137" s="85">
        <f>STATS1003B!S1138/1000</f>
        <v>0</v>
      </c>
      <c r="T1137" s="85">
        <f>STATS1003B!T1138/1000</f>
        <v>0</v>
      </c>
      <c r="U1137" s="85">
        <f>STATS1003B!U1138/1000</f>
        <v>570.94100000000003</v>
      </c>
      <c r="V1137" s="85">
        <f>STATS1003B!V1138/1000</f>
        <v>570.94100000000003</v>
      </c>
      <c r="W1137" s="85">
        <f>STATS1003B!W1138/1000</f>
        <v>0</v>
      </c>
      <c r="X1137" s="85">
        <f t="shared" si="140"/>
        <v>570.94100000000003</v>
      </c>
      <c r="Y1137" s="85">
        <f>STATS1003B!Y1138/1000</f>
        <v>0</v>
      </c>
      <c r="Z1137" s="85">
        <f t="shared" si="141"/>
        <v>0</v>
      </c>
      <c r="AA1137" s="69">
        <f>STATS1003B!AA1138/1000</f>
        <v>570.94100000000003</v>
      </c>
      <c r="AB1137" s="69">
        <f>STATS1003B!AB1138/1000</f>
        <v>0</v>
      </c>
    </row>
    <row r="1138" spans="1:28" hidden="1" x14ac:dyDescent="0.3">
      <c r="A1138" s="117"/>
      <c r="C1138" s="68" t="s">
        <v>57</v>
      </c>
      <c r="D1138" s="87" t="s">
        <v>58</v>
      </c>
      <c r="E1138" s="85">
        <f>STATS1003B!E1139/1000</f>
        <v>2416.2660000000001</v>
      </c>
      <c r="F1138" s="85">
        <f>STATS1003B!F1139/1000</f>
        <v>2416.2660000000001</v>
      </c>
      <c r="G1138" s="85">
        <f>STATS1003B!G1139/1000</f>
        <v>0</v>
      </c>
      <c r="H1138" s="85">
        <f>STATS1003B!H1139/1000</f>
        <v>2416.2660000000001</v>
      </c>
      <c r="I1138" s="85">
        <f>STATS1003B!I1139/1000</f>
        <v>0</v>
      </c>
      <c r="J1138" s="85">
        <f>STATS1003B!J1139/1000</f>
        <v>0</v>
      </c>
      <c r="K1138" s="85">
        <f>STATS1003B!K1139/1000</f>
        <v>0</v>
      </c>
      <c r="L1138" s="85">
        <f>STATS1003B!L1139/1000</f>
        <v>0</v>
      </c>
      <c r="M1138" s="85">
        <f>STATS1003B!M1139/1000</f>
        <v>2416.2660000000001</v>
      </c>
      <c r="N1138" s="85">
        <f>STATS1003B!N1139/1000</f>
        <v>0</v>
      </c>
      <c r="O1138" s="85">
        <f>STATS1003B!O1139/1000</f>
        <v>0</v>
      </c>
      <c r="P1138" s="85">
        <f>STATS1003B!P1139/1000</f>
        <v>0</v>
      </c>
      <c r="Q1138" s="85">
        <f>STATS1003B!Q1139/1000</f>
        <v>0</v>
      </c>
      <c r="R1138" s="85">
        <f>STATS1003B!R1139/1000</f>
        <v>0</v>
      </c>
      <c r="S1138" s="85">
        <f>STATS1003B!S1139/1000</f>
        <v>0</v>
      </c>
      <c r="T1138" s="85">
        <f>STATS1003B!T1139/1000</f>
        <v>0</v>
      </c>
      <c r="U1138" s="85">
        <f>STATS1003B!U1139/1000</f>
        <v>0</v>
      </c>
      <c r="V1138" s="85">
        <f>STATS1003B!V1139/1000</f>
        <v>2416.2660000000001</v>
      </c>
      <c r="W1138" s="85">
        <f>STATS1003B!W1139/1000</f>
        <v>0</v>
      </c>
      <c r="X1138" s="85">
        <f t="shared" si="140"/>
        <v>2416.2660000000001</v>
      </c>
      <c r="Y1138" s="85">
        <f>STATS1003B!Y1139/1000</f>
        <v>0</v>
      </c>
      <c r="Z1138" s="85">
        <f t="shared" si="141"/>
        <v>0</v>
      </c>
      <c r="AA1138" s="69">
        <f>STATS1003B!AA1139/1000</f>
        <v>2416.2660000000001</v>
      </c>
      <c r="AB1138" s="69">
        <f>STATS1003B!AB1139/1000</f>
        <v>0</v>
      </c>
    </row>
    <row r="1139" spans="1:28" hidden="1" x14ac:dyDescent="0.3">
      <c r="A1139" s="117"/>
      <c r="C1139" s="68" t="s">
        <v>57</v>
      </c>
      <c r="D1139" s="87" t="s">
        <v>60</v>
      </c>
      <c r="E1139" s="85">
        <f>STATS1003B!E1140/1000</f>
        <v>3641.3130000000001</v>
      </c>
      <c r="F1139" s="85">
        <f>STATS1003B!F1140/1000</f>
        <v>3641.3130000000001</v>
      </c>
      <c r="G1139" s="85">
        <f>STATS1003B!G1140/1000</f>
        <v>0</v>
      </c>
      <c r="H1139" s="85">
        <f>STATS1003B!H1140/1000</f>
        <v>3641.3130000000001</v>
      </c>
      <c r="I1139" s="85">
        <f>STATS1003B!I1140/1000</f>
        <v>0</v>
      </c>
      <c r="J1139" s="85">
        <f>STATS1003B!J1140/1000</f>
        <v>0</v>
      </c>
      <c r="K1139" s="85">
        <f>STATS1003B!K1140/1000</f>
        <v>0</v>
      </c>
      <c r="L1139" s="85">
        <f>STATS1003B!L1140/1000</f>
        <v>0</v>
      </c>
      <c r="M1139" s="85">
        <f>STATS1003B!M1140/1000</f>
        <v>3641.3130000000001</v>
      </c>
      <c r="N1139" s="85">
        <f>STATS1003B!N1140/1000</f>
        <v>0</v>
      </c>
      <c r="O1139" s="85">
        <f>STATS1003B!O1140/1000</f>
        <v>0</v>
      </c>
      <c r="P1139" s="85">
        <f>STATS1003B!P1140/1000</f>
        <v>0</v>
      </c>
      <c r="Q1139" s="85">
        <f>STATS1003B!Q1140/1000</f>
        <v>0</v>
      </c>
      <c r="R1139" s="85">
        <f>STATS1003B!R1140/1000</f>
        <v>0</v>
      </c>
      <c r="S1139" s="85">
        <f>STATS1003B!S1140/1000</f>
        <v>0</v>
      </c>
      <c r="T1139" s="85">
        <f>STATS1003B!T1140/1000</f>
        <v>0</v>
      </c>
      <c r="U1139" s="85">
        <f>STATS1003B!U1140/1000</f>
        <v>0</v>
      </c>
      <c r="V1139" s="85">
        <f>STATS1003B!V1140/1000</f>
        <v>3641.3130000000001</v>
      </c>
      <c r="W1139" s="85">
        <f>STATS1003B!W1140/1000</f>
        <v>0</v>
      </c>
      <c r="X1139" s="85">
        <f t="shared" si="140"/>
        <v>3641.3130000000001</v>
      </c>
      <c r="Y1139" s="85">
        <f>STATS1003B!Y1140/1000</f>
        <v>0</v>
      </c>
      <c r="Z1139" s="85">
        <f t="shared" si="141"/>
        <v>0</v>
      </c>
      <c r="AA1139" s="69">
        <f>STATS1003B!AA1140/1000</f>
        <v>3641.3130000000001</v>
      </c>
      <c r="AB1139" s="69">
        <f>STATS1003B!AB1140/1000</f>
        <v>0</v>
      </c>
    </row>
    <row r="1140" spans="1:28" hidden="1" x14ac:dyDescent="0.3">
      <c r="A1140" s="117"/>
      <c r="C1140" s="71" t="s">
        <v>277</v>
      </c>
      <c r="D1140" s="88" t="s">
        <v>73</v>
      </c>
      <c r="E1140" s="85">
        <f>STATS1003B!E1141/1000</f>
        <v>1499</v>
      </c>
      <c r="F1140" s="85">
        <f>STATS1003B!F1141/1000</f>
        <v>1499</v>
      </c>
      <c r="G1140" s="85">
        <f>STATS1003B!G1141/1000</f>
        <v>0</v>
      </c>
      <c r="H1140" s="85">
        <f>STATS1003B!H1141/1000</f>
        <v>1499</v>
      </c>
      <c r="I1140" s="85">
        <f>STATS1003B!I1141/1000</f>
        <v>0</v>
      </c>
      <c r="J1140" s="85">
        <f>STATS1003B!J1141/1000</f>
        <v>0</v>
      </c>
      <c r="K1140" s="85">
        <f>STATS1003B!K1141/1000</f>
        <v>0</v>
      </c>
      <c r="L1140" s="85">
        <f>STATS1003B!L1141/1000</f>
        <v>0</v>
      </c>
      <c r="M1140" s="85">
        <f>STATS1003B!M1141/1000</f>
        <v>1499</v>
      </c>
      <c r="N1140" s="85">
        <f>STATS1003B!N1141/1000</f>
        <v>0</v>
      </c>
      <c r="O1140" s="85">
        <f>STATS1003B!O1141/1000</f>
        <v>0</v>
      </c>
      <c r="P1140" s="85">
        <f>STATS1003B!P1141/1000</f>
        <v>0</v>
      </c>
      <c r="Q1140" s="85">
        <f>STATS1003B!Q1141/1000</f>
        <v>0</v>
      </c>
      <c r="R1140" s="85">
        <f>STATS1003B!R1141/1000</f>
        <v>0</v>
      </c>
      <c r="S1140" s="85">
        <f>STATS1003B!S1141/1000</f>
        <v>0</v>
      </c>
      <c r="T1140" s="85">
        <f>STATS1003B!T1141/1000</f>
        <v>0</v>
      </c>
      <c r="U1140" s="85">
        <f>STATS1003B!U1141/1000</f>
        <v>0</v>
      </c>
      <c r="V1140" s="85">
        <f>STATS1003B!V1141/1000</f>
        <v>1499</v>
      </c>
      <c r="W1140" s="85">
        <f>STATS1003B!W1141/1000</f>
        <v>0</v>
      </c>
      <c r="X1140" s="85">
        <f t="shared" si="140"/>
        <v>1499</v>
      </c>
      <c r="Y1140" s="85">
        <f>STATS1003B!Y1141/1000</f>
        <v>0</v>
      </c>
      <c r="Z1140" s="85">
        <f t="shared" si="141"/>
        <v>0</v>
      </c>
      <c r="AA1140" s="69">
        <f>STATS1003B!AA1141/1000</f>
        <v>1499</v>
      </c>
      <c r="AB1140" s="69">
        <f>STATS1003B!AB1141/1000</f>
        <v>0</v>
      </c>
    </row>
    <row r="1141" spans="1:28" hidden="1" x14ac:dyDescent="0.3">
      <c r="A1141" s="117"/>
      <c r="C1141" s="68" t="s">
        <v>57</v>
      </c>
      <c r="D1141" s="89" t="s">
        <v>61</v>
      </c>
      <c r="E1141" s="85">
        <f>STATS1003B!E1142/1000</f>
        <v>858.67466000000002</v>
      </c>
      <c r="F1141" s="85">
        <f>STATS1003B!F1142/1000</f>
        <v>768.28392000000008</v>
      </c>
      <c r="G1141" s="85">
        <f>STATS1003B!G1142/1000</f>
        <v>0</v>
      </c>
      <c r="H1141" s="85">
        <f>STATS1003B!H1142/1000</f>
        <v>768.28392000000008</v>
      </c>
      <c r="I1141" s="85">
        <f>STATS1003B!I1142/1000</f>
        <v>768.28392000000008</v>
      </c>
      <c r="J1141" s="85">
        <f>STATS1003B!J1142/1000</f>
        <v>768.28392000000008</v>
      </c>
      <c r="K1141" s="85">
        <f>STATS1003B!K1142/1000</f>
        <v>0</v>
      </c>
      <c r="L1141" s="85">
        <f>STATS1003B!L1142/1000</f>
        <v>0</v>
      </c>
      <c r="M1141" s="85">
        <f>STATS1003B!M1142/1000</f>
        <v>768.28392000000008</v>
      </c>
      <c r="N1141" s="85">
        <f>STATS1003B!N1142/1000</f>
        <v>0</v>
      </c>
      <c r="O1141" s="85">
        <f>STATS1003B!O1142/1000</f>
        <v>0</v>
      </c>
      <c r="P1141" s="85">
        <f>STATS1003B!P1142/1000</f>
        <v>0</v>
      </c>
      <c r="Q1141" s="85">
        <f>STATS1003B!Q1142/1000</f>
        <v>0</v>
      </c>
      <c r="R1141" s="85">
        <f>STATS1003B!R1142/1000</f>
        <v>0</v>
      </c>
      <c r="S1141" s="85">
        <f>STATS1003B!S1142/1000</f>
        <v>90.390740000000008</v>
      </c>
      <c r="T1141" s="85">
        <f>STATS1003B!T1142/1000</f>
        <v>90.390740000000008</v>
      </c>
      <c r="U1141" s="85">
        <f>STATS1003B!U1142/1000</f>
        <v>90.390740000000008</v>
      </c>
      <c r="V1141" s="85">
        <f>STATS1003B!V1142/1000</f>
        <v>768.28392000000008</v>
      </c>
      <c r="W1141" s="85">
        <f>STATS1003B!W1142/1000</f>
        <v>90.390739999999994</v>
      </c>
      <c r="X1141" s="85">
        <f t="shared" si="140"/>
        <v>768.28392000000008</v>
      </c>
      <c r="Y1141" s="85">
        <f>STATS1003B!Y1142/1000</f>
        <v>0</v>
      </c>
      <c r="Z1141" s="85">
        <f t="shared" si="141"/>
        <v>90.390739999999937</v>
      </c>
      <c r="AA1141" s="69">
        <f>STATS1003B!AA1142/1000</f>
        <v>858.67466000000002</v>
      </c>
      <c r="AB1141" s="69">
        <f>STATS1003B!AB1142/1000</f>
        <v>0</v>
      </c>
    </row>
    <row r="1142" spans="1:28" hidden="1" x14ac:dyDescent="0.3">
      <c r="A1142" s="117"/>
      <c r="E1142" s="86" t="s">
        <v>29</v>
      </c>
      <c r="F1142" s="86" t="s">
        <v>29</v>
      </c>
      <c r="G1142" s="86" t="s">
        <v>29</v>
      </c>
      <c r="H1142" s="86" t="s">
        <v>29</v>
      </c>
      <c r="I1142" s="86" t="s">
        <v>29</v>
      </c>
      <c r="J1142" s="86" t="s">
        <v>29</v>
      </c>
      <c r="K1142" s="86" t="s">
        <v>29</v>
      </c>
      <c r="L1142" s="86" t="s">
        <v>29</v>
      </c>
      <c r="M1142" s="86" t="s">
        <v>29</v>
      </c>
      <c r="N1142" s="86" t="s">
        <v>29</v>
      </c>
      <c r="O1142" s="86" t="s">
        <v>29</v>
      </c>
      <c r="P1142" s="86" t="s">
        <v>29</v>
      </c>
      <c r="Q1142" s="86" t="s">
        <v>29</v>
      </c>
      <c r="R1142" s="86" t="s">
        <v>29</v>
      </c>
      <c r="S1142" s="86" t="s">
        <v>29</v>
      </c>
      <c r="T1142" s="86" t="s">
        <v>29</v>
      </c>
      <c r="U1142" s="86" t="s">
        <v>29</v>
      </c>
      <c r="V1142" s="86" t="s">
        <v>29</v>
      </c>
      <c r="W1142" s="86" t="s">
        <v>29</v>
      </c>
      <c r="X1142" s="85" t="e">
        <f t="shared" si="140"/>
        <v>#VALUE!</v>
      </c>
      <c r="Y1142" s="86" t="s">
        <v>29</v>
      </c>
      <c r="Z1142" s="85" t="e">
        <f t="shared" si="141"/>
        <v>#VALUE!</v>
      </c>
      <c r="AA1142" s="115" t="s">
        <v>29</v>
      </c>
      <c r="AB1142" s="115" t="s">
        <v>29</v>
      </c>
    </row>
    <row r="1143" spans="1:28" x14ac:dyDescent="0.3">
      <c r="A1143" s="116">
        <v>53</v>
      </c>
      <c r="B1143" s="68" t="s">
        <v>271</v>
      </c>
      <c r="E1143" s="85">
        <f>41211683.95/1000</f>
        <v>41211.683950000006</v>
      </c>
      <c r="F1143" s="85">
        <f t="shared" ref="F1143:AB1143" si="143">SUM(F1132:F1141)</f>
        <v>26535.568650000001</v>
      </c>
      <c r="G1143" s="85">
        <f t="shared" si="143"/>
        <v>0</v>
      </c>
      <c r="H1143" s="85">
        <f>37873427.33/1000</f>
        <v>37873.427329999999</v>
      </c>
      <c r="I1143" s="85">
        <f t="shared" si="143"/>
        <v>768.28392000000008</v>
      </c>
      <c r="J1143" s="85">
        <f t="shared" si="143"/>
        <v>768.28392000000008</v>
      </c>
      <c r="K1143" s="85">
        <f t="shared" si="143"/>
        <v>0</v>
      </c>
      <c r="L1143" s="85">
        <f t="shared" si="143"/>
        <v>0</v>
      </c>
      <c r="M1143" s="85">
        <f t="shared" si="143"/>
        <v>26535.568650000001</v>
      </c>
      <c r="N1143" s="85">
        <f t="shared" si="143"/>
        <v>3247.8658799999994</v>
      </c>
      <c r="O1143" s="85">
        <f t="shared" si="143"/>
        <v>0</v>
      </c>
      <c r="P1143" s="85">
        <f>3247865/1000</f>
        <v>3247.8649999999998</v>
      </c>
      <c r="Q1143" s="85">
        <f t="shared" si="143"/>
        <v>0</v>
      </c>
      <c r="R1143" s="85">
        <f t="shared" si="143"/>
        <v>0</v>
      </c>
      <c r="S1143" s="85">
        <f t="shared" si="143"/>
        <v>90.390740000000008</v>
      </c>
      <c r="T1143" s="85">
        <f t="shared" si="143"/>
        <v>90.390740000000008</v>
      </c>
      <c r="U1143" s="85">
        <f t="shared" si="143"/>
        <v>3338.2566199999992</v>
      </c>
      <c r="V1143" s="85">
        <f t="shared" si="143"/>
        <v>29783.434530000006</v>
      </c>
      <c r="W1143" s="85">
        <f t="shared" si="143"/>
        <v>90.390739999999994</v>
      </c>
      <c r="X1143" s="85">
        <f>+H1143+P1143</f>
        <v>41121.292329999997</v>
      </c>
      <c r="Y1143" s="85">
        <f t="shared" si="143"/>
        <v>0</v>
      </c>
      <c r="Z1143" s="85">
        <f t="shared" si="141"/>
        <v>90.391620000009425</v>
      </c>
      <c r="AA1143" s="69">
        <f t="shared" si="143"/>
        <v>29873.825270000005</v>
      </c>
      <c r="AB1143" s="69">
        <f t="shared" si="143"/>
        <v>0</v>
      </c>
    </row>
    <row r="1144" spans="1:28" hidden="1" x14ac:dyDescent="0.3">
      <c r="A1144" s="117"/>
      <c r="E1144" s="86" t="s">
        <v>29</v>
      </c>
      <c r="F1144" s="86" t="s">
        <v>29</v>
      </c>
      <c r="G1144" s="86" t="s">
        <v>29</v>
      </c>
      <c r="H1144" s="86" t="s">
        <v>29</v>
      </c>
      <c r="I1144" s="86" t="s">
        <v>29</v>
      </c>
      <c r="J1144" s="86" t="s">
        <v>29</v>
      </c>
      <c r="K1144" s="86" t="s">
        <v>29</v>
      </c>
      <c r="L1144" s="86" t="s">
        <v>29</v>
      </c>
      <c r="M1144" s="86" t="s">
        <v>29</v>
      </c>
      <c r="N1144" s="86" t="s">
        <v>29</v>
      </c>
      <c r="O1144" s="86" t="s">
        <v>29</v>
      </c>
      <c r="P1144" s="86" t="s">
        <v>29</v>
      </c>
      <c r="Q1144" s="86" t="s">
        <v>29</v>
      </c>
      <c r="R1144" s="86" t="s">
        <v>29</v>
      </c>
      <c r="S1144" s="86" t="s">
        <v>29</v>
      </c>
      <c r="T1144" s="86" t="s">
        <v>29</v>
      </c>
      <c r="U1144" s="86" t="s">
        <v>29</v>
      </c>
      <c r="V1144" s="86" t="s">
        <v>29</v>
      </c>
      <c r="W1144" s="86" t="s">
        <v>29</v>
      </c>
      <c r="X1144" s="85" t="e">
        <f t="shared" si="140"/>
        <v>#VALUE!</v>
      </c>
      <c r="Y1144" s="86" t="s">
        <v>29</v>
      </c>
      <c r="Z1144" s="85" t="e">
        <f t="shared" si="141"/>
        <v>#VALUE!</v>
      </c>
      <c r="AA1144" s="115" t="s">
        <v>29</v>
      </c>
      <c r="AB1144" s="115" t="s">
        <v>29</v>
      </c>
    </row>
    <row r="1145" spans="1:28" hidden="1" x14ac:dyDescent="0.3">
      <c r="A1145" s="105"/>
      <c r="E1145" s="84"/>
      <c r="F1145" s="84"/>
      <c r="G1145" s="84"/>
      <c r="H1145" s="84"/>
      <c r="I1145" s="84"/>
      <c r="J1145" s="84"/>
      <c r="K1145" s="84"/>
      <c r="L1145" s="84"/>
      <c r="M1145" s="84"/>
      <c r="N1145" s="84"/>
      <c r="O1145" s="84"/>
      <c r="P1145" s="84"/>
      <c r="Q1145" s="84"/>
      <c r="R1145" s="84"/>
      <c r="S1145" s="84"/>
      <c r="T1145" s="84"/>
      <c r="U1145" s="84"/>
      <c r="V1145" s="84"/>
      <c r="W1145" s="84"/>
      <c r="X1145" s="85">
        <f t="shared" si="140"/>
        <v>0</v>
      </c>
      <c r="Y1145" s="84"/>
      <c r="Z1145" s="85">
        <f t="shared" si="141"/>
        <v>0</v>
      </c>
    </row>
    <row r="1146" spans="1:28" hidden="1" x14ac:dyDescent="0.3">
      <c r="A1146" s="117"/>
      <c r="D1146" s="87" t="s">
        <v>218</v>
      </c>
      <c r="E1146" s="84"/>
      <c r="F1146" s="84"/>
      <c r="G1146" s="84"/>
      <c r="H1146" s="84"/>
      <c r="I1146" s="84"/>
      <c r="J1146" s="84"/>
      <c r="K1146" s="84"/>
      <c r="L1146" s="84"/>
      <c r="M1146" s="84"/>
      <c r="N1146" s="84"/>
      <c r="O1146" s="84"/>
      <c r="P1146" s="84"/>
      <c r="Q1146" s="84"/>
      <c r="R1146" s="84"/>
      <c r="S1146" s="84"/>
      <c r="T1146" s="84"/>
      <c r="U1146" s="84"/>
      <c r="V1146" s="84"/>
      <c r="W1146" s="84"/>
      <c r="X1146" s="85">
        <f t="shared" si="140"/>
        <v>0</v>
      </c>
      <c r="Y1146" s="84"/>
      <c r="Z1146" s="85">
        <f t="shared" si="141"/>
        <v>0</v>
      </c>
    </row>
    <row r="1147" spans="1:28" hidden="1" x14ac:dyDescent="0.3">
      <c r="A1147" s="117"/>
      <c r="C1147" s="68" t="s">
        <v>279</v>
      </c>
      <c r="D1147" s="71" t="s">
        <v>65</v>
      </c>
      <c r="E1147" s="85">
        <f>STATS1003B!E1148/1000</f>
        <v>9250.5238499999996</v>
      </c>
      <c r="F1147" s="85">
        <f>STATS1003B!F1148/1000</f>
        <v>8210.3072400000001</v>
      </c>
      <c r="G1147" s="85">
        <f>STATS1003B!G1148/1000</f>
        <v>0</v>
      </c>
      <c r="H1147" s="85">
        <f>STATS1003B!H1148/1000</f>
        <v>8210.3072400000001</v>
      </c>
      <c r="I1147" s="85">
        <f>STATS1003B!I1148/1000</f>
        <v>0</v>
      </c>
      <c r="J1147" s="85">
        <f>STATS1003B!J1148/1000</f>
        <v>0</v>
      </c>
      <c r="K1147" s="85">
        <f>STATS1003B!K1148/1000</f>
        <v>0</v>
      </c>
      <c r="L1147" s="85">
        <f>STATS1003B!L1148/1000</f>
        <v>0</v>
      </c>
      <c r="M1147" s="85">
        <f>STATS1003B!M1148/1000</f>
        <v>8210.3072400000001</v>
      </c>
      <c r="N1147" s="85">
        <f>STATS1003B!N1148/1000</f>
        <v>1040.2166099999999</v>
      </c>
      <c r="O1147" s="85">
        <f>STATS1003B!O1148/1000</f>
        <v>0</v>
      </c>
      <c r="P1147" s="85">
        <f>STATS1003B!P1148/1000</f>
        <v>1040.2166099999999</v>
      </c>
      <c r="Q1147" s="85">
        <f>STATS1003B!Q1148/1000</f>
        <v>0</v>
      </c>
      <c r="R1147" s="85">
        <f>STATS1003B!R1148/1000</f>
        <v>0</v>
      </c>
      <c r="S1147" s="85">
        <f>STATS1003B!S1148/1000</f>
        <v>0</v>
      </c>
      <c r="T1147" s="85">
        <f>STATS1003B!T1148/1000</f>
        <v>0</v>
      </c>
      <c r="U1147" s="85">
        <f>STATS1003B!U1148/1000</f>
        <v>1040.2166099999999</v>
      </c>
      <c r="V1147" s="85">
        <f>STATS1003B!V1148/1000</f>
        <v>9250.5238499999996</v>
      </c>
      <c r="W1147" s="85">
        <f>STATS1003B!W1148/1000</f>
        <v>0</v>
      </c>
      <c r="X1147" s="85">
        <f t="shared" si="140"/>
        <v>9250.5238499999996</v>
      </c>
      <c r="Y1147" s="85">
        <f>STATS1003B!Y1148/1000</f>
        <v>0</v>
      </c>
      <c r="Z1147" s="85">
        <f t="shared" si="141"/>
        <v>0</v>
      </c>
      <c r="AA1147" s="69">
        <f>STATS1003B!AA1148/1000</f>
        <v>9250.5238499999996</v>
      </c>
      <c r="AB1147" s="69">
        <f>STATS1003B!AB1148/1000</f>
        <v>0</v>
      </c>
    </row>
    <row r="1148" spans="1:28" hidden="1" x14ac:dyDescent="0.3">
      <c r="A1148" s="117"/>
      <c r="C1148" s="68" t="s">
        <v>172</v>
      </c>
      <c r="D1148" s="87" t="s">
        <v>166</v>
      </c>
      <c r="E1148" s="85">
        <f>STATS1003B!E1149/1000</f>
        <v>1010.957</v>
      </c>
      <c r="F1148" s="85">
        <f>STATS1003B!F1149/1000</f>
        <v>1010.957</v>
      </c>
      <c r="G1148" s="85">
        <f>STATS1003B!G1149/1000</f>
        <v>0</v>
      </c>
      <c r="H1148" s="85">
        <f>STATS1003B!H1149/1000</f>
        <v>1010.957</v>
      </c>
      <c r="I1148" s="85">
        <f>STATS1003B!I1149/1000</f>
        <v>0</v>
      </c>
      <c r="J1148" s="85">
        <f>STATS1003B!J1149/1000</f>
        <v>0</v>
      </c>
      <c r="K1148" s="85">
        <f>STATS1003B!K1149/1000</f>
        <v>0</v>
      </c>
      <c r="L1148" s="85">
        <f>STATS1003B!L1149/1000</f>
        <v>0</v>
      </c>
      <c r="M1148" s="85">
        <f>STATS1003B!M1149/1000</f>
        <v>1010.957</v>
      </c>
      <c r="N1148" s="85">
        <f>STATS1003B!N1149/1000</f>
        <v>0</v>
      </c>
      <c r="O1148" s="85">
        <f>STATS1003B!O1149/1000</f>
        <v>0</v>
      </c>
      <c r="P1148" s="85">
        <f>STATS1003B!P1149/1000</f>
        <v>0</v>
      </c>
      <c r="Q1148" s="85">
        <f>STATS1003B!Q1149/1000</f>
        <v>0</v>
      </c>
      <c r="R1148" s="85">
        <f>STATS1003B!R1149/1000</f>
        <v>0</v>
      </c>
      <c r="S1148" s="85">
        <f>STATS1003B!S1149/1000</f>
        <v>0</v>
      </c>
      <c r="T1148" s="85">
        <f>STATS1003B!T1149/1000</f>
        <v>0</v>
      </c>
      <c r="U1148" s="85">
        <f>STATS1003B!U1149/1000</f>
        <v>0</v>
      </c>
      <c r="V1148" s="85">
        <f>STATS1003B!V1149/1000</f>
        <v>1010.957</v>
      </c>
      <c r="W1148" s="85">
        <f>STATS1003B!W1149/1000</f>
        <v>0</v>
      </c>
      <c r="X1148" s="85">
        <f t="shared" si="140"/>
        <v>1010.957</v>
      </c>
      <c r="Y1148" s="85">
        <f>STATS1003B!Y1149/1000</f>
        <v>0</v>
      </c>
      <c r="Z1148" s="85">
        <f t="shared" si="141"/>
        <v>0</v>
      </c>
      <c r="AA1148" s="69">
        <f>STATS1003B!AA1149/1000</f>
        <v>1010.957</v>
      </c>
      <c r="AB1148" s="69">
        <f>STATS1003B!AB1149/1000</f>
        <v>0</v>
      </c>
    </row>
    <row r="1149" spans="1:28" hidden="1" x14ac:dyDescent="0.3">
      <c r="A1149" s="117"/>
      <c r="C1149" s="68" t="s">
        <v>53</v>
      </c>
      <c r="D1149" s="87" t="s">
        <v>68</v>
      </c>
      <c r="E1149" s="85">
        <f>STATS1003B!E1150/1000</f>
        <v>1953.989</v>
      </c>
      <c r="F1149" s="85">
        <f>STATS1003B!F1150/1000</f>
        <v>0</v>
      </c>
      <c r="G1149" s="85">
        <f>STATS1003B!G1150/1000</f>
        <v>0</v>
      </c>
      <c r="H1149" s="85">
        <f>STATS1003B!H1150/1000</f>
        <v>0</v>
      </c>
      <c r="I1149" s="85">
        <f>STATS1003B!I1150/1000</f>
        <v>0</v>
      </c>
      <c r="J1149" s="85">
        <f>STATS1003B!J1150/1000</f>
        <v>0</v>
      </c>
      <c r="K1149" s="85">
        <f>STATS1003B!K1150/1000</f>
        <v>0</v>
      </c>
      <c r="L1149" s="85">
        <f>STATS1003B!L1150/1000</f>
        <v>0</v>
      </c>
      <c r="M1149" s="85">
        <f>STATS1003B!M1150/1000</f>
        <v>0</v>
      </c>
      <c r="N1149" s="85">
        <f>STATS1003B!N1150/1000</f>
        <v>1953.989</v>
      </c>
      <c r="O1149" s="85">
        <f>STATS1003B!O1150/1000</f>
        <v>0</v>
      </c>
      <c r="P1149" s="85">
        <f>STATS1003B!P1150/1000</f>
        <v>1953.989</v>
      </c>
      <c r="Q1149" s="85">
        <f>STATS1003B!Q1150/1000</f>
        <v>0</v>
      </c>
      <c r="R1149" s="85">
        <f>STATS1003B!R1150/1000</f>
        <v>0</v>
      </c>
      <c r="S1149" s="85">
        <f>STATS1003B!S1150/1000</f>
        <v>0</v>
      </c>
      <c r="T1149" s="85">
        <f>STATS1003B!T1150/1000</f>
        <v>0</v>
      </c>
      <c r="U1149" s="85">
        <f>STATS1003B!U1150/1000</f>
        <v>1953.989</v>
      </c>
      <c r="V1149" s="85">
        <f>STATS1003B!V1150/1000</f>
        <v>1953.989</v>
      </c>
      <c r="W1149" s="85">
        <f>STATS1003B!W1150/1000</f>
        <v>0</v>
      </c>
      <c r="X1149" s="85">
        <f t="shared" si="140"/>
        <v>1953.989</v>
      </c>
      <c r="Y1149" s="85">
        <f>STATS1003B!Y1150/1000</f>
        <v>0</v>
      </c>
      <c r="Z1149" s="85">
        <f t="shared" si="141"/>
        <v>0</v>
      </c>
      <c r="AA1149" s="69">
        <f>STATS1003B!AA1150/1000</f>
        <v>1953.989</v>
      </c>
      <c r="AB1149" s="69">
        <f>STATS1003B!AB1150/1000</f>
        <v>0</v>
      </c>
    </row>
    <row r="1150" spans="1:28" hidden="1" x14ac:dyDescent="0.3">
      <c r="A1150" s="117"/>
      <c r="C1150" s="68" t="s">
        <v>280</v>
      </c>
      <c r="D1150" s="87" t="s">
        <v>68</v>
      </c>
      <c r="E1150" s="85">
        <f>STATS1003B!E1151/1000</f>
        <v>1550</v>
      </c>
      <c r="F1150" s="85">
        <f>STATS1003B!F1151/1000</f>
        <v>1488.15996</v>
      </c>
      <c r="G1150" s="85">
        <f>STATS1003B!G1151/1000</f>
        <v>0</v>
      </c>
      <c r="H1150" s="85">
        <f>STATS1003B!H1151/1000</f>
        <v>1488.15996</v>
      </c>
      <c r="I1150" s="85">
        <f>STATS1003B!I1151/1000</f>
        <v>0</v>
      </c>
      <c r="J1150" s="85">
        <f>STATS1003B!J1151/1000</f>
        <v>0</v>
      </c>
      <c r="K1150" s="85">
        <f>STATS1003B!K1151/1000</f>
        <v>0</v>
      </c>
      <c r="L1150" s="85">
        <f>STATS1003B!L1151/1000</f>
        <v>0</v>
      </c>
      <c r="M1150" s="85">
        <f>STATS1003B!M1151/1000</f>
        <v>1488.15996</v>
      </c>
      <c r="N1150" s="85">
        <f>STATS1003B!N1151/1000</f>
        <v>61.840040000000002</v>
      </c>
      <c r="O1150" s="85">
        <f>STATS1003B!O1151/1000</f>
        <v>0</v>
      </c>
      <c r="P1150" s="85">
        <f>STATS1003B!P1151/1000</f>
        <v>61.840040000000002</v>
      </c>
      <c r="Q1150" s="85">
        <f>STATS1003B!Q1151/1000</f>
        <v>0</v>
      </c>
      <c r="R1150" s="85">
        <f>STATS1003B!R1151/1000</f>
        <v>0</v>
      </c>
      <c r="S1150" s="85">
        <f>STATS1003B!S1151/1000</f>
        <v>0</v>
      </c>
      <c r="T1150" s="85">
        <f>STATS1003B!T1151/1000</f>
        <v>0</v>
      </c>
      <c r="U1150" s="85">
        <f>STATS1003B!U1151/1000</f>
        <v>61.840040000000002</v>
      </c>
      <c r="V1150" s="85">
        <f>STATS1003B!V1151/1000</f>
        <v>1550</v>
      </c>
      <c r="W1150" s="85">
        <f>STATS1003B!W1151/1000</f>
        <v>0</v>
      </c>
      <c r="X1150" s="85">
        <f t="shared" si="140"/>
        <v>1550</v>
      </c>
      <c r="Y1150" s="85">
        <f>STATS1003B!Y1151/1000</f>
        <v>0</v>
      </c>
      <c r="Z1150" s="85">
        <f t="shared" si="141"/>
        <v>0</v>
      </c>
      <c r="AA1150" s="69">
        <f>STATS1003B!AA1151/1000</f>
        <v>1550</v>
      </c>
      <c r="AB1150" s="69">
        <f>STATS1003B!AB1151/1000</f>
        <v>0</v>
      </c>
    </row>
    <row r="1151" spans="1:28" hidden="1" x14ac:dyDescent="0.3">
      <c r="A1151" s="117"/>
      <c r="C1151" s="68" t="s">
        <v>281</v>
      </c>
      <c r="D1151" s="87" t="s">
        <v>173</v>
      </c>
      <c r="E1151" s="85">
        <f>STATS1003B!E1152/1000</f>
        <v>4571.576</v>
      </c>
      <c r="F1151" s="85">
        <f>STATS1003B!F1152/1000</f>
        <v>4571.576</v>
      </c>
      <c r="G1151" s="85">
        <f>STATS1003B!G1152/1000</f>
        <v>0</v>
      </c>
      <c r="H1151" s="85">
        <f>STATS1003B!H1152/1000</f>
        <v>4571.576</v>
      </c>
      <c r="I1151" s="85">
        <f>STATS1003B!I1152/1000</f>
        <v>0</v>
      </c>
      <c r="J1151" s="85">
        <f>STATS1003B!J1152/1000</f>
        <v>0</v>
      </c>
      <c r="K1151" s="85">
        <f>STATS1003B!K1152/1000</f>
        <v>0</v>
      </c>
      <c r="L1151" s="85">
        <f>STATS1003B!L1152/1000</f>
        <v>0</v>
      </c>
      <c r="M1151" s="85">
        <f>STATS1003B!M1152/1000</f>
        <v>4571.576</v>
      </c>
      <c r="N1151" s="85">
        <f>STATS1003B!N1152/1000</f>
        <v>0</v>
      </c>
      <c r="O1151" s="85">
        <f>STATS1003B!O1152/1000</f>
        <v>0</v>
      </c>
      <c r="P1151" s="85">
        <f>STATS1003B!P1152/1000</f>
        <v>0</v>
      </c>
      <c r="Q1151" s="85">
        <f>STATS1003B!Q1152/1000</f>
        <v>0</v>
      </c>
      <c r="R1151" s="85">
        <f>STATS1003B!R1152/1000</f>
        <v>0</v>
      </c>
      <c r="S1151" s="85">
        <f>STATS1003B!S1152/1000</f>
        <v>0</v>
      </c>
      <c r="T1151" s="85">
        <f>STATS1003B!T1152/1000</f>
        <v>0</v>
      </c>
      <c r="U1151" s="85">
        <f>STATS1003B!U1152/1000</f>
        <v>0</v>
      </c>
      <c r="V1151" s="85">
        <f>STATS1003B!V1152/1000</f>
        <v>4571.576</v>
      </c>
      <c r="W1151" s="85">
        <f>STATS1003B!W1152/1000</f>
        <v>0</v>
      </c>
      <c r="X1151" s="85">
        <f t="shared" si="140"/>
        <v>4571.576</v>
      </c>
      <c r="Y1151" s="85">
        <f>STATS1003B!Y1152/1000</f>
        <v>0</v>
      </c>
      <c r="Z1151" s="85">
        <f t="shared" si="141"/>
        <v>0</v>
      </c>
      <c r="AA1151" s="69">
        <f>STATS1003B!AA1152/1000</f>
        <v>4571.576</v>
      </c>
      <c r="AB1151" s="69">
        <f>STATS1003B!AB1152/1000</f>
        <v>0</v>
      </c>
    </row>
    <row r="1152" spans="1:28" hidden="1" x14ac:dyDescent="0.3">
      <c r="A1152" s="117"/>
      <c r="C1152" s="68" t="s">
        <v>55</v>
      </c>
      <c r="D1152" s="87" t="s">
        <v>270</v>
      </c>
      <c r="E1152" s="85">
        <f>STATS1003B!E1153/1000</f>
        <v>208.8879</v>
      </c>
      <c r="F1152" s="85">
        <f>STATS1003B!F1153/1000</f>
        <v>0</v>
      </c>
      <c r="G1152" s="85">
        <f>STATS1003B!G1153/1000</f>
        <v>0</v>
      </c>
      <c r="H1152" s="85">
        <f>STATS1003B!H1153/1000</f>
        <v>0</v>
      </c>
      <c r="I1152" s="85">
        <f>STATS1003B!I1153/1000</f>
        <v>0</v>
      </c>
      <c r="J1152" s="85">
        <f>STATS1003B!J1153/1000</f>
        <v>0</v>
      </c>
      <c r="K1152" s="85">
        <f>STATS1003B!K1153/1000</f>
        <v>0</v>
      </c>
      <c r="L1152" s="85">
        <f>STATS1003B!L1153/1000</f>
        <v>0</v>
      </c>
      <c r="M1152" s="85">
        <f>STATS1003B!M1153/1000</f>
        <v>0</v>
      </c>
      <c r="N1152" s="85">
        <f>STATS1003B!N1153/1000</f>
        <v>208.8879</v>
      </c>
      <c r="O1152" s="85">
        <f>STATS1003B!O1153/1000</f>
        <v>0</v>
      </c>
      <c r="P1152" s="85">
        <f>STATS1003B!P1153/1000</f>
        <v>208.8879</v>
      </c>
      <c r="Q1152" s="85">
        <f>STATS1003B!Q1153/1000</f>
        <v>0</v>
      </c>
      <c r="R1152" s="85">
        <f>STATS1003B!R1153/1000</f>
        <v>0</v>
      </c>
      <c r="S1152" s="85">
        <f>STATS1003B!S1153/1000</f>
        <v>0</v>
      </c>
      <c r="T1152" s="85">
        <f>STATS1003B!T1153/1000</f>
        <v>0</v>
      </c>
      <c r="U1152" s="85">
        <f>STATS1003B!U1153/1000</f>
        <v>208.8879</v>
      </c>
      <c r="V1152" s="85">
        <f>STATS1003B!V1153/1000</f>
        <v>208.8879</v>
      </c>
      <c r="W1152" s="85">
        <f>STATS1003B!W1153/1000</f>
        <v>0</v>
      </c>
      <c r="X1152" s="85">
        <f t="shared" si="140"/>
        <v>208.8879</v>
      </c>
      <c r="Y1152" s="85">
        <f>STATS1003B!Y1153/1000</f>
        <v>0</v>
      </c>
      <c r="Z1152" s="85">
        <f t="shared" si="141"/>
        <v>0</v>
      </c>
      <c r="AA1152" s="69">
        <f>STATS1003B!AA1153/1000</f>
        <v>208.8879</v>
      </c>
      <c r="AB1152" s="69">
        <f>STATS1003B!AB1153/1000</f>
        <v>0</v>
      </c>
    </row>
    <row r="1153" spans="1:28" hidden="1" x14ac:dyDescent="0.3">
      <c r="A1153" s="117"/>
      <c r="C1153" s="68" t="s">
        <v>282</v>
      </c>
      <c r="D1153" s="87" t="s">
        <v>54</v>
      </c>
      <c r="E1153" s="85">
        <f>STATS1003B!E1154/1000</f>
        <v>3620.893</v>
      </c>
      <c r="F1153" s="85">
        <f>STATS1003B!F1154/1000</f>
        <v>3620.893</v>
      </c>
      <c r="G1153" s="85">
        <f>STATS1003B!G1154/1000</f>
        <v>0</v>
      </c>
      <c r="H1153" s="85">
        <f>STATS1003B!H1154/1000</f>
        <v>3620.893</v>
      </c>
      <c r="I1153" s="85">
        <f>STATS1003B!I1154/1000</f>
        <v>0</v>
      </c>
      <c r="J1153" s="85">
        <f>STATS1003B!J1154/1000</f>
        <v>0</v>
      </c>
      <c r="K1153" s="85">
        <f>STATS1003B!K1154/1000</f>
        <v>0</v>
      </c>
      <c r="L1153" s="85">
        <f>STATS1003B!L1154/1000</f>
        <v>0</v>
      </c>
      <c r="M1153" s="85">
        <f>STATS1003B!M1154/1000</f>
        <v>3620.893</v>
      </c>
      <c r="N1153" s="85">
        <f>STATS1003B!N1154/1000</f>
        <v>0</v>
      </c>
      <c r="O1153" s="85">
        <f>STATS1003B!O1154/1000</f>
        <v>0</v>
      </c>
      <c r="P1153" s="85">
        <f>STATS1003B!P1154/1000</f>
        <v>0</v>
      </c>
      <c r="Q1153" s="85">
        <f>STATS1003B!Q1154/1000</f>
        <v>0</v>
      </c>
      <c r="R1153" s="85">
        <f>STATS1003B!R1154/1000</f>
        <v>0</v>
      </c>
      <c r="S1153" s="85">
        <f>STATS1003B!S1154/1000</f>
        <v>0</v>
      </c>
      <c r="T1153" s="85">
        <f>STATS1003B!T1154/1000</f>
        <v>0</v>
      </c>
      <c r="U1153" s="85">
        <f>STATS1003B!U1154/1000</f>
        <v>0</v>
      </c>
      <c r="V1153" s="85">
        <f>STATS1003B!V1154/1000</f>
        <v>3620.893</v>
      </c>
      <c r="W1153" s="85">
        <f>STATS1003B!W1154/1000</f>
        <v>0</v>
      </c>
      <c r="X1153" s="85">
        <f t="shared" si="140"/>
        <v>3620.893</v>
      </c>
      <c r="Y1153" s="85">
        <f>STATS1003B!Y1154/1000</f>
        <v>0</v>
      </c>
      <c r="Z1153" s="85">
        <f t="shared" si="141"/>
        <v>0</v>
      </c>
      <c r="AA1153" s="69">
        <f>STATS1003B!AA1154/1000</f>
        <v>3620.893</v>
      </c>
      <c r="AB1153" s="69">
        <f>STATS1003B!AB1154/1000</f>
        <v>0</v>
      </c>
    </row>
    <row r="1154" spans="1:28" hidden="1" x14ac:dyDescent="0.3">
      <c r="A1154" s="117"/>
      <c r="C1154" s="68" t="s">
        <v>283</v>
      </c>
      <c r="D1154" s="87" t="s">
        <v>85</v>
      </c>
      <c r="E1154" s="85">
        <f>STATS1003B!E1155/1000</f>
        <v>1200</v>
      </c>
      <c r="F1154" s="85">
        <f>STATS1003B!F1155/1000</f>
        <v>1200</v>
      </c>
      <c r="G1154" s="85">
        <f>STATS1003B!G1155/1000</f>
        <v>0</v>
      </c>
      <c r="H1154" s="85">
        <f>STATS1003B!H1155/1000</f>
        <v>1200</v>
      </c>
      <c r="I1154" s="85">
        <f>STATS1003B!I1155/1000</f>
        <v>0</v>
      </c>
      <c r="J1154" s="85">
        <f>STATS1003B!J1155/1000</f>
        <v>0</v>
      </c>
      <c r="K1154" s="85">
        <f>STATS1003B!K1155/1000</f>
        <v>0</v>
      </c>
      <c r="L1154" s="85">
        <f>STATS1003B!L1155/1000</f>
        <v>0</v>
      </c>
      <c r="M1154" s="85">
        <f>STATS1003B!M1155/1000</f>
        <v>1200</v>
      </c>
      <c r="N1154" s="85">
        <f>STATS1003B!N1155/1000</f>
        <v>0</v>
      </c>
      <c r="O1154" s="85">
        <f>STATS1003B!O1155/1000</f>
        <v>0</v>
      </c>
      <c r="P1154" s="85">
        <f>STATS1003B!P1155/1000</f>
        <v>0</v>
      </c>
      <c r="Q1154" s="85">
        <f>STATS1003B!Q1155/1000</f>
        <v>0</v>
      </c>
      <c r="R1154" s="85">
        <f>STATS1003B!R1155/1000</f>
        <v>0</v>
      </c>
      <c r="S1154" s="85">
        <f>STATS1003B!S1155/1000</f>
        <v>0</v>
      </c>
      <c r="T1154" s="85">
        <f>STATS1003B!T1155/1000</f>
        <v>0</v>
      </c>
      <c r="U1154" s="85">
        <f>STATS1003B!U1155/1000</f>
        <v>0</v>
      </c>
      <c r="V1154" s="85">
        <f>STATS1003B!V1155/1000</f>
        <v>1200</v>
      </c>
      <c r="W1154" s="85">
        <f>STATS1003B!W1155/1000</f>
        <v>0</v>
      </c>
      <c r="X1154" s="85">
        <f t="shared" si="140"/>
        <v>1200</v>
      </c>
      <c r="Y1154" s="85">
        <f>STATS1003B!Y1155/1000</f>
        <v>0</v>
      </c>
      <c r="Z1154" s="85">
        <f t="shared" si="141"/>
        <v>0</v>
      </c>
      <c r="AA1154" s="69">
        <f>STATS1003B!AA1155/1000</f>
        <v>1200</v>
      </c>
      <c r="AB1154" s="69">
        <f>STATS1003B!AB1155/1000</f>
        <v>0</v>
      </c>
    </row>
    <row r="1155" spans="1:28" hidden="1" x14ac:dyDescent="0.3">
      <c r="A1155" s="117"/>
      <c r="C1155" s="68" t="s">
        <v>225</v>
      </c>
      <c r="D1155" s="87" t="s">
        <v>85</v>
      </c>
      <c r="E1155" s="85">
        <f>STATS1003B!E1156/1000</f>
        <v>160</v>
      </c>
      <c r="F1155" s="85">
        <f>STATS1003B!F1156/1000</f>
        <v>160</v>
      </c>
      <c r="G1155" s="85">
        <f>STATS1003B!G1156/1000</f>
        <v>0</v>
      </c>
      <c r="H1155" s="85">
        <f>STATS1003B!H1156/1000</f>
        <v>160</v>
      </c>
      <c r="I1155" s="85">
        <f>STATS1003B!I1156/1000</f>
        <v>0</v>
      </c>
      <c r="J1155" s="85">
        <f>STATS1003B!J1156/1000</f>
        <v>0</v>
      </c>
      <c r="K1155" s="85">
        <f>STATS1003B!K1156/1000</f>
        <v>0</v>
      </c>
      <c r="L1155" s="85">
        <f>STATS1003B!L1156/1000</f>
        <v>0</v>
      </c>
      <c r="M1155" s="85">
        <f>STATS1003B!M1156/1000</f>
        <v>160</v>
      </c>
      <c r="N1155" s="85">
        <f>STATS1003B!N1156/1000</f>
        <v>0</v>
      </c>
      <c r="O1155" s="85">
        <f>STATS1003B!O1156/1000</f>
        <v>0</v>
      </c>
      <c r="P1155" s="85">
        <f>STATS1003B!P1156/1000</f>
        <v>0</v>
      </c>
      <c r="Q1155" s="85">
        <f>STATS1003B!Q1156/1000</f>
        <v>0</v>
      </c>
      <c r="R1155" s="85">
        <f>STATS1003B!R1156/1000</f>
        <v>0</v>
      </c>
      <c r="S1155" s="85">
        <f>STATS1003B!S1156/1000</f>
        <v>0</v>
      </c>
      <c r="T1155" s="85">
        <f>STATS1003B!T1156/1000</f>
        <v>0</v>
      </c>
      <c r="U1155" s="85">
        <f>STATS1003B!U1156/1000</f>
        <v>0</v>
      </c>
      <c r="V1155" s="85">
        <f>STATS1003B!V1156/1000</f>
        <v>160</v>
      </c>
      <c r="W1155" s="85">
        <f>STATS1003B!W1156/1000</f>
        <v>0</v>
      </c>
      <c r="X1155" s="85">
        <f t="shared" si="140"/>
        <v>160</v>
      </c>
      <c r="Y1155" s="85">
        <f>STATS1003B!Y1156/1000</f>
        <v>0</v>
      </c>
      <c r="Z1155" s="85">
        <f t="shared" si="141"/>
        <v>0</v>
      </c>
      <c r="AA1155" s="69">
        <f>STATS1003B!AA1156/1000</f>
        <v>160</v>
      </c>
      <c r="AB1155" s="69">
        <f>STATS1003B!AB1156/1000</f>
        <v>0</v>
      </c>
    </row>
    <row r="1156" spans="1:28" hidden="1" x14ac:dyDescent="0.3">
      <c r="A1156" s="117"/>
      <c r="C1156" s="68" t="s">
        <v>284</v>
      </c>
      <c r="D1156" s="87" t="s">
        <v>128</v>
      </c>
      <c r="E1156" s="85">
        <f>STATS1003B!E1157/1000</f>
        <v>3000</v>
      </c>
      <c r="F1156" s="85">
        <f>STATS1003B!F1157/1000</f>
        <v>3000</v>
      </c>
      <c r="G1156" s="85">
        <f>STATS1003B!G1157/1000</f>
        <v>0</v>
      </c>
      <c r="H1156" s="85">
        <f>STATS1003B!H1157/1000</f>
        <v>3000</v>
      </c>
      <c r="I1156" s="85">
        <f>STATS1003B!I1157/1000</f>
        <v>0</v>
      </c>
      <c r="J1156" s="85">
        <f>STATS1003B!J1157/1000</f>
        <v>0</v>
      </c>
      <c r="K1156" s="85">
        <f>STATS1003B!K1157/1000</f>
        <v>0</v>
      </c>
      <c r="L1156" s="85">
        <f>STATS1003B!L1157/1000</f>
        <v>0</v>
      </c>
      <c r="M1156" s="85">
        <f>STATS1003B!M1157/1000</f>
        <v>3000</v>
      </c>
      <c r="N1156" s="85">
        <f>STATS1003B!N1157/1000</f>
        <v>0</v>
      </c>
      <c r="O1156" s="85">
        <f>STATS1003B!O1157/1000</f>
        <v>0</v>
      </c>
      <c r="P1156" s="85">
        <f>STATS1003B!P1157/1000</f>
        <v>0</v>
      </c>
      <c r="Q1156" s="85">
        <f>STATS1003B!Q1157/1000</f>
        <v>0</v>
      </c>
      <c r="R1156" s="85">
        <f>STATS1003B!R1157/1000</f>
        <v>0</v>
      </c>
      <c r="S1156" s="85">
        <f>STATS1003B!S1157/1000</f>
        <v>0</v>
      </c>
      <c r="T1156" s="85">
        <f>STATS1003B!T1157/1000</f>
        <v>0</v>
      </c>
      <c r="U1156" s="85">
        <f>STATS1003B!U1157/1000</f>
        <v>0</v>
      </c>
      <c r="V1156" s="85">
        <f>STATS1003B!V1157/1000</f>
        <v>3000</v>
      </c>
      <c r="W1156" s="85">
        <f>STATS1003B!W1157/1000</f>
        <v>0</v>
      </c>
      <c r="X1156" s="85">
        <f t="shared" si="140"/>
        <v>3000</v>
      </c>
      <c r="Y1156" s="85">
        <f>STATS1003B!Y1157/1000</f>
        <v>0</v>
      </c>
      <c r="Z1156" s="85">
        <f t="shared" si="141"/>
        <v>0</v>
      </c>
      <c r="AA1156" s="69">
        <f>STATS1003B!AA1157/1000</f>
        <v>3000</v>
      </c>
      <c r="AB1156" s="69">
        <f>STATS1003B!AB1157/1000</f>
        <v>0</v>
      </c>
    </row>
    <row r="1157" spans="1:28" hidden="1" x14ac:dyDescent="0.3">
      <c r="A1157" s="117"/>
      <c r="C1157" s="68" t="s">
        <v>57</v>
      </c>
      <c r="D1157" s="87" t="s">
        <v>58</v>
      </c>
      <c r="E1157" s="85">
        <f>STATS1003B!E1158/1000</f>
        <v>1288.82</v>
      </c>
      <c r="F1157" s="85">
        <f>STATS1003B!F1158/1000</f>
        <v>1288.82</v>
      </c>
      <c r="G1157" s="85">
        <f>STATS1003B!G1158/1000</f>
        <v>0</v>
      </c>
      <c r="H1157" s="85">
        <f>STATS1003B!H1158/1000</f>
        <v>1288.82</v>
      </c>
      <c r="I1157" s="85">
        <f>STATS1003B!I1158/1000</f>
        <v>0</v>
      </c>
      <c r="J1157" s="85">
        <f>STATS1003B!J1158/1000</f>
        <v>0</v>
      </c>
      <c r="K1157" s="85">
        <f>STATS1003B!K1158/1000</f>
        <v>0</v>
      </c>
      <c r="L1157" s="85">
        <f>STATS1003B!L1158/1000</f>
        <v>0</v>
      </c>
      <c r="M1157" s="85">
        <f>STATS1003B!M1158/1000</f>
        <v>1288.82</v>
      </c>
      <c r="N1157" s="85">
        <f>STATS1003B!N1158/1000</f>
        <v>0</v>
      </c>
      <c r="O1157" s="85">
        <f>STATS1003B!O1158/1000</f>
        <v>0</v>
      </c>
      <c r="P1157" s="85">
        <f>STATS1003B!P1158/1000</f>
        <v>0</v>
      </c>
      <c r="Q1157" s="85">
        <f>STATS1003B!Q1158/1000</f>
        <v>0</v>
      </c>
      <c r="R1157" s="85">
        <f>STATS1003B!R1158/1000</f>
        <v>0</v>
      </c>
      <c r="S1157" s="85">
        <f>STATS1003B!S1158/1000</f>
        <v>0</v>
      </c>
      <c r="T1157" s="85">
        <f>STATS1003B!T1158/1000</f>
        <v>0</v>
      </c>
      <c r="U1157" s="85">
        <f>STATS1003B!U1158/1000</f>
        <v>0</v>
      </c>
      <c r="V1157" s="85">
        <f>STATS1003B!V1158/1000</f>
        <v>1288.82</v>
      </c>
      <c r="W1157" s="85">
        <f>STATS1003B!W1158/1000</f>
        <v>0</v>
      </c>
      <c r="X1157" s="85">
        <f t="shared" si="140"/>
        <v>1288.82</v>
      </c>
      <c r="Y1157" s="85">
        <f>STATS1003B!Y1158/1000</f>
        <v>0</v>
      </c>
      <c r="Z1157" s="85">
        <f t="shared" si="141"/>
        <v>0</v>
      </c>
      <c r="AA1157" s="69">
        <f>STATS1003B!AA1158/1000</f>
        <v>1288.82</v>
      </c>
      <c r="AB1157" s="69">
        <f>STATS1003B!AB1158/1000</f>
        <v>0</v>
      </c>
    </row>
    <row r="1158" spans="1:28" hidden="1" x14ac:dyDescent="0.3">
      <c r="A1158" s="117"/>
      <c r="C1158" s="68" t="s">
        <v>57</v>
      </c>
      <c r="D1158" s="87" t="s">
        <v>60</v>
      </c>
      <c r="E1158" s="85">
        <f>STATS1003B!E1159/1000</f>
        <v>2063.0131000000001</v>
      </c>
      <c r="F1158" s="85">
        <f>STATS1003B!F1159/1000</f>
        <v>2063.0131000000001</v>
      </c>
      <c r="G1158" s="85">
        <f>STATS1003B!G1159/1000</f>
        <v>0</v>
      </c>
      <c r="H1158" s="85">
        <f>STATS1003B!H1159/1000</f>
        <v>2063.0131000000001</v>
      </c>
      <c r="I1158" s="85">
        <f>STATS1003B!I1159/1000</f>
        <v>0</v>
      </c>
      <c r="J1158" s="85">
        <f>STATS1003B!J1159/1000</f>
        <v>0</v>
      </c>
      <c r="K1158" s="85">
        <f>STATS1003B!K1159/1000</f>
        <v>0</v>
      </c>
      <c r="L1158" s="85">
        <f>STATS1003B!L1159/1000</f>
        <v>0</v>
      </c>
      <c r="M1158" s="85">
        <f>STATS1003B!M1159/1000</f>
        <v>2063.0131000000001</v>
      </c>
      <c r="N1158" s="85">
        <f>STATS1003B!N1159/1000</f>
        <v>0</v>
      </c>
      <c r="O1158" s="85">
        <f>STATS1003B!O1159/1000</f>
        <v>0</v>
      </c>
      <c r="P1158" s="85">
        <f>STATS1003B!P1159/1000</f>
        <v>0</v>
      </c>
      <c r="Q1158" s="85">
        <f>STATS1003B!Q1159/1000</f>
        <v>0</v>
      </c>
      <c r="R1158" s="85">
        <f>STATS1003B!R1159/1000</f>
        <v>0</v>
      </c>
      <c r="S1158" s="85">
        <f>STATS1003B!S1159/1000</f>
        <v>0</v>
      </c>
      <c r="T1158" s="85">
        <f>STATS1003B!T1159/1000</f>
        <v>0</v>
      </c>
      <c r="U1158" s="85">
        <f>STATS1003B!U1159/1000</f>
        <v>0</v>
      </c>
      <c r="V1158" s="85">
        <f>STATS1003B!V1159/1000</f>
        <v>2063.0131000000001</v>
      </c>
      <c r="W1158" s="85">
        <f>STATS1003B!W1159/1000</f>
        <v>0</v>
      </c>
      <c r="X1158" s="85">
        <f t="shared" si="140"/>
        <v>2063.0131000000001</v>
      </c>
      <c r="Y1158" s="85">
        <f>STATS1003B!Y1159/1000</f>
        <v>0</v>
      </c>
      <c r="Z1158" s="85">
        <f t="shared" si="141"/>
        <v>0</v>
      </c>
      <c r="AA1158" s="69">
        <f>STATS1003B!AA1159/1000</f>
        <v>2063.0131000000001</v>
      </c>
      <c r="AB1158" s="69">
        <f>STATS1003B!AB1159/1000</f>
        <v>0</v>
      </c>
    </row>
    <row r="1159" spans="1:28" hidden="1" x14ac:dyDescent="0.3">
      <c r="A1159" s="117"/>
      <c r="C1159" s="71" t="s">
        <v>109</v>
      </c>
      <c r="D1159" s="88" t="s">
        <v>60</v>
      </c>
      <c r="E1159" s="85">
        <f>STATS1003B!E1160/1000</f>
        <v>2500</v>
      </c>
      <c r="F1159" s="85">
        <f>STATS1003B!F1160/1000</f>
        <v>2500</v>
      </c>
      <c r="G1159" s="85">
        <f>STATS1003B!G1160/1000</f>
        <v>0</v>
      </c>
      <c r="H1159" s="85">
        <f>STATS1003B!H1160/1000</f>
        <v>2500</v>
      </c>
      <c r="I1159" s="85">
        <f>STATS1003B!I1160/1000</f>
        <v>0</v>
      </c>
      <c r="J1159" s="85">
        <f>STATS1003B!J1160/1000</f>
        <v>0</v>
      </c>
      <c r="K1159" s="85">
        <f>STATS1003B!K1160/1000</f>
        <v>0</v>
      </c>
      <c r="L1159" s="85">
        <f>STATS1003B!L1160/1000</f>
        <v>0</v>
      </c>
      <c r="M1159" s="85">
        <f>STATS1003B!M1160/1000</f>
        <v>2500</v>
      </c>
      <c r="N1159" s="85">
        <f>STATS1003B!N1160/1000</f>
        <v>0</v>
      </c>
      <c r="O1159" s="85">
        <f>STATS1003B!O1160/1000</f>
        <v>0</v>
      </c>
      <c r="P1159" s="85">
        <f>STATS1003B!P1160/1000</f>
        <v>0</v>
      </c>
      <c r="Q1159" s="85">
        <f>STATS1003B!Q1160/1000</f>
        <v>0</v>
      </c>
      <c r="R1159" s="85">
        <f>STATS1003B!R1160/1000</f>
        <v>0</v>
      </c>
      <c r="S1159" s="85">
        <f>STATS1003B!S1160/1000</f>
        <v>0</v>
      </c>
      <c r="T1159" s="85">
        <f>STATS1003B!T1160/1000</f>
        <v>0</v>
      </c>
      <c r="U1159" s="85">
        <f>STATS1003B!U1160/1000</f>
        <v>0</v>
      </c>
      <c r="V1159" s="85">
        <f>STATS1003B!V1160/1000</f>
        <v>2500</v>
      </c>
      <c r="W1159" s="85">
        <f>STATS1003B!W1160/1000</f>
        <v>0</v>
      </c>
      <c r="X1159" s="85">
        <f t="shared" si="140"/>
        <v>2500</v>
      </c>
      <c r="Y1159" s="85">
        <f>STATS1003B!Y1160/1000</f>
        <v>0</v>
      </c>
      <c r="Z1159" s="85">
        <f t="shared" si="141"/>
        <v>0</v>
      </c>
      <c r="AA1159" s="69">
        <f>STATS1003B!AA1160/1000</f>
        <v>2500</v>
      </c>
      <c r="AB1159" s="69">
        <f>STATS1003B!AB1160/1000</f>
        <v>0</v>
      </c>
    </row>
    <row r="1160" spans="1:28" hidden="1" x14ac:dyDescent="0.3">
      <c r="A1160" s="117"/>
      <c r="C1160" s="68" t="s">
        <v>90</v>
      </c>
      <c r="D1160" s="90" t="s">
        <v>61</v>
      </c>
      <c r="E1160" s="85">
        <f>STATS1003B!E1161/1000</f>
        <v>500</v>
      </c>
      <c r="F1160" s="85">
        <f>STATS1003B!F1161/1000</f>
        <v>500</v>
      </c>
      <c r="G1160" s="85">
        <f>STATS1003B!G1161/1000</f>
        <v>0</v>
      </c>
      <c r="H1160" s="85">
        <f>STATS1003B!H1161/1000</f>
        <v>500</v>
      </c>
      <c r="I1160" s="85">
        <f>STATS1003B!I1161/1000</f>
        <v>0</v>
      </c>
      <c r="J1160" s="85">
        <f>STATS1003B!J1161/1000</f>
        <v>0</v>
      </c>
      <c r="K1160" s="85">
        <f>STATS1003B!K1161/1000</f>
        <v>0</v>
      </c>
      <c r="L1160" s="85">
        <f>STATS1003B!L1161/1000</f>
        <v>0</v>
      </c>
      <c r="M1160" s="85">
        <f>STATS1003B!M1161/1000</f>
        <v>500</v>
      </c>
      <c r="N1160" s="85">
        <f>STATS1003B!N1161/1000</f>
        <v>0</v>
      </c>
      <c r="O1160" s="85">
        <f>STATS1003B!O1161/1000</f>
        <v>0</v>
      </c>
      <c r="P1160" s="85">
        <f>STATS1003B!P1161/1000</f>
        <v>0</v>
      </c>
      <c r="Q1160" s="85">
        <f>STATS1003B!Q1161/1000</f>
        <v>0</v>
      </c>
      <c r="R1160" s="85">
        <f>STATS1003B!R1161/1000</f>
        <v>0</v>
      </c>
      <c r="S1160" s="85">
        <f>STATS1003B!S1161/1000</f>
        <v>0</v>
      </c>
      <c r="T1160" s="85">
        <f>STATS1003B!T1161/1000</f>
        <v>0</v>
      </c>
      <c r="U1160" s="85">
        <f>STATS1003B!U1161/1000</f>
        <v>0</v>
      </c>
      <c r="V1160" s="85">
        <f>STATS1003B!V1161/1000</f>
        <v>500</v>
      </c>
      <c r="W1160" s="85">
        <f>STATS1003B!W1161/1000</f>
        <v>0</v>
      </c>
      <c r="X1160" s="85">
        <f t="shared" si="140"/>
        <v>500</v>
      </c>
      <c r="Y1160" s="85">
        <f>STATS1003B!Y1161/1000</f>
        <v>0</v>
      </c>
      <c r="Z1160" s="85">
        <f t="shared" si="141"/>
        <v>0</v>
      </c>
      <c r="AA1160" s="69">
        <f>STATS1003B!AA1161/1000</f>
        <v>500</v>
      </c>
      <c r="AB1160" s="69">
        <f>STATS1003B!AB1161/1000</f>
        <v>0</v>
      </c>
    </row>
    <row r="1161" spans="1:28" hidden="1" x14ac:dyDescent="0.3">
      <c r="A1161" s="117"/>
      <c r="C1161" s="68" t="s">
        <v>1234</v>
      </c>
      <c r="D1161" s="90" t="s">
        <v>1225</v>
      </c>
      <c r="E1161" s="85">
        <f>STATS1003B!E1162/1000</f>
        <v>400</v>
      </c>
      <c r="F1161" s="85">
        <f>STATS1003B!F1162/1000</f>
        <v>400</v>
      </c>
      <c r="G1161" s="85">
        <f>STATS1003B!G1162/1000</f>
        <v>0</v>
      </c>
      <c r="H1161" s="85">
        <f>STATS1003B!H1162/1000</f>
        <v>400</v>
      </c>
      <c r="I1161" s="85">
        <f>STATS1003B!I1162/1000</f>
        <v>0</v>
      </c>
      <c r="J1161" s="85">
        <f>STATS1003B!J1162/1000</f>
        <v>0</v>
      </c>
      <c r="K1161" s="85">
        <f>STATS1003B!K1162/1000</f>
        <v>0</v>
      </c>
      <c r="L1161" s="85">
        <f>STATS1003B!L1162/1000</f>
        <v>0</v>
      </c>
      <c r="M1161" s="85">
        <f>STATS1003B!M1162/1000</f>
        <v>400</v>
      </c>
      <c r="N1161" s="85">
        <f>STATS1003B!N1162/1000</f>
        <v>0</v>
      </c>
      <c r="O1161" s="85">
        <f>STATS1003B!O1162/1000</f>
        <v>0</v>
      </c>
      <c r="P1161" s="85">
        <f>STATS1003B!P1162/1000</f>
        <v>0</v>
      </c>
      <c r="Q1161" s="85">
        <f>STATS1003B!Q1162/1000</f>
        <v>0</v>
      </c>
      <c r="R1161" s="85">
        <f>STATS1003B!R1162/1000</f>
        <v>0</v>
      </c>
      <c r="S1161" s="85">
        <f>STATS1003B!S1162/1000</f>
        <v>0</v>
      </c>
      <c r="T1161" s="85">
        <f>STATS1003B!T1162/1000</f>
        <v>0</v>
      </c>
      <c r="U1161" s="85">
        <f>STATS1003B!U1162/1000</f>
        <v>0</v>
      </c>
      <c r="V1161" s="85">
        <f>STATS1003B!V1162/1000</f>
        <v>400</v>
      </c>
      <c r="W1161" s="85">
        <f>STATS1003B!W1162/1000</f>
        <v>0</v>
      </c>
      <c r="X1161" s="85">
        <f t="shared" si="140"/>
        <v>400</v>
      </c>
      <c r="Y1161" s="85">
        <f>STATS1003B!Y1162/1000</f>
        <v>0</v>
      </c>
      <c r="Z1161" s="85">
        <f t="shared" si="141"/>
        <v>0</v>
      </c>
      <c r="AA1161" s="69">
        <f>STATS1003B!AA1162/1000</f>
        <v>400</v>
      </c>
      <c r="AB1161" s="69">
        <f>STATS1003B!AB1162/1000</f>
        <v>0</v>
      </c>
    </row>
    <row r="1162" spans="1:28" hidden="1" x14ac:dyDescent="0.3">
      <c r="A1162" s="117"/>
      <c r="C1162" s="68" t="s">
        <v>1134</v>
      </c>
      <c r="D1162" s="90" t="s">
        <v>1126</v>
      </c>
      <c r="E1162" s="85">
        <f>STATS1003B!E1163/1000</f>
        <v>1209.0686099999998</v>
      </c>
      <c r="F1162" s="85">
        <f>STATS1003B!F1163/1000</f>
        <v>1209.0686099999998</v>
      </c>
      <c r="G1162" s="85">
        <f>STATS1003B!G1163/1000</f>
        <v>0</v>
      </c>
      <c r="H1162" s="85">
        <f>STATS1003B!H1163/1000</f>
        <v>1209.0686099999998</v>
      </c>
      <c r="I1162" s="85">
        <f>STATS1003B!I1163/1000</f>
        <v>0</v>
      </c>
      <c r="J1162" s="85">
        <f>STATS1003B!J1163/1000</f>
        <v>0</v>
      </c>
      <c r="K1162" s="85">
        <f>STATS1003B!K1163/1000</f>
        <v>0</v>
      </c>
      <c r="L1162" s="85">
        <f>STATS1003B!L1163/1000</f>
        <v>0</v>
      </c>
      <c r="M1162" s="85">
        <f>STATS1003B!M1163/1000</f>
        <v>1209.0686099999998</v>
      </c>
      <c r="N1162" s="85">
        <f>STATS1003B!N1163/1000</f>
        <v>0</v>
      </c>
      <c r="O1162" s="85">
        <f>STATS1003B!O1163/1000</f>
        <v>0</v>
      </c>
      <c r="P1162" s="85">
        <f>STATS1003B!P1163/1000</f>
        <v>0</v>
      </c>
      <c r="Q1162" s="85">
        <f>STATS1003B!Q1163/1000</f>
        <v>0</v>
      </c>
      <c r="R1162" s="85">
        <f>STATS1003B!R1163/1000</f>
        <v>0</v>
      </c>
      <c r="S1162" s="85">
        <f>STATS1003B!S1163/1000</f>
        <v>0</v>
      </c>
      <c r="T1162" s="85">
        <f>STATS1003B!T1163/1000</f>
        <v>0</v>
      </c>
      <c r="U1162" s="85">
        <f>STATS1003B!U1163/1000</f>
        <v>0</v>
      </c>
      <c r="V1162" s="85">
        <f>STATS1003B!V1163/1000</f>
        <v>1209.0686099999998</v>
      </c>
      <c r="W1162" s="85">
        <f>STATS1003B!W1163/1000</f>
        <v>0</v>
      </c>
      <c r="X1162" s="85">
        <f t="shared" si="140"/>
        <v>1209.0686099999998</v>
      </c>
      <c r="Y1162" s="85">
        <f>STATS1003B!Y1163/1000</f>
        <v>0</v>
      </c>
      <c r="Z1162" s="85">
        <f t="shared" si="141"/>
        <v>0</v>
      </c>
      <c r="AA1162" s="69">
        <f>STATS1003B!AA1163/1000</f>
        <v>1209.0686099999998</v>
      </c>
      <c r="AB1162" s="69">
        <f>STATS1003B!AB1163/1000</f>
        <v>0</v>
      </c>
    </row>
    <row r="1163" spans="1:28" hidden="1" x14ac:dyDescent="0.3">
      <c r="A1163" s="117"/>
      <c r="C1163" s="68" t="s">
        <v>930</v>
      </c>
      <c r="D1163" s="90" t="s">
        <v>1072</v>
      </c>
      <c r="E1163" s="85">
        <f>STATS1003B!E1164/1000</f>
        <v>775</v>
      </c>
      <c r="F1163" s="85">
        <f>STATS1003B!F1164/1000</f>
        <v>775</v>
      </c>
      <c r="G1163" s="85">
        <f>STATS1003B!G1164/1000</f>
        <v>0</v>
      </c>
      <c r="H1163" s="85">
        <f>STATS1003B!H1164/1000</f>
        <v>775</v>
      </c>
      <c r="I1163" s="85">
        <f>STATS1003B!I1164/1000</f>
        <v>0</v>
      </c>
      <c r="J1163" s="85">
        <f>STATS1003B!J1164/1000</f>
        <v>0</v>
      </c>
      <c r="K1163" s="85">
        <f>STATS1003B!K1164/1000</f>
        <v>0</v>
      </c>
      <c r="L1163" s="85">
        <f>STATS1003B!L1164/1000</f>
        <v>0</v>
      </c>
      <c r="M1163" s="85">
        <f>STATS1003B!M1164/1000</f>
        <v>775</v>
      </c>
      <c r="N1163" s="85">
        <f>STATS1003B!N1164/1000</f>
        <v>0</v>
      </c>
      <c r="O1163" s="85">
        <f>STATS1003B!O1164/1000</f>
        <v>0</v>
      </c>
      <c r="P1163" s="85">
        <f>STATS1003B!P1164/1000</f>
        <v>0</v>
      </c>
      <c r="Q1163" s="85">
        <f>STATS1003B!Q1164/1000</f>
        <v>0</v>
      </c>
      <c r="R1163" s="85">
        <f>STATS1003B!R1164/1000</f>
        <v>0</v>
      </c>
      <c r="S1163" s="85">
        <f>STATS1003B!S1164/1000</f>
        <v>0</v>
      </c>
      <c r="T1163" s="85">
        <f>STATS1003B!T1164/1000</f>
        <v>0</v>
      </c>
      <c r="U1163" s="85">
        <f>STATS1003B!U1164/1000</f>
        <v>0</v>
      </c>
      <c r="V1163" s="85">
        <f>STATS1003B!V1164/1000</f>
        <v>775</v>
      </c>
      <c r="W1163" s="85">
        <f>STATS1003B!W1164/1000</f>
        <v>0</v>
      </c>
      <c r="X1163" s="85">
        <f t="shared" si="140"/>
        <v>775</v>
      </c>
      <c r="Y1163" s="85">
        <f>STATS1003B!Y1164/1000</f>
        <v>0</v>
      </c>
      <c r="Z1163" s="85">
        <f t="shared" si="141"/>
        <v>0</v>
      </c>
      <c r="AA1163" s="69">
        <f>STATS1003B!AA1164/1000</f>
        <v>775</v>
      </c>
      <c r="AB1163" s="69">
        <f>STATS1003B!AB1164/1000</f>
        <v>0</v>
      </c>
    </row>
    <row r="1164" spans="1:28" hidden="1" x14ac:dyDescent="0.3">
      <c r="A1164" s="117"/>
      <c r="C1164" s="68" t="s">
        <v>57</v>
      </c>
      <c r="D1164" s="90" t="s">
        <v>61</v>
      </c>
      <c r="E1164" s="85">
        <f>STATS1003B!E1165/1000</f>
        <v>613.01013999999998</v>
      </c>
      <c r="F1164" s="85">
        <f>STATS1003B!F1165/1000</f>
        <v>613.01013999999998</v>
      </c>
      <c r="G1164" s="85">
        <f>STATS1003B!G1165/1000</f>
        <v>0</v>
      </c>
      <c r="H1164" s="85">
        <f>STATS1003B!H1165/1000</f>
        <v>613.01013999999998</v>
      </c>
      <c r="I1164" s="85">
        <f>STATS1003B!I1165/1000</f>
        <v>0</v>
      </c>
      <c r="J1164" s="85">
        <f>STATS1003B!J1165/1000</f>
        <v>0</v>
      </c>
      <c r="K1164" s="85">
        <f>STATS1003B!K1165/1000</f>
        <v>0</v>
      </c>
      <c r="L1164" s="85">
        <f>STATS1003B!L1165/1000</f>
        <v>0</v>
      </c>
      <c r="M1164" s="85">
        <f>STATS1003B!M1165/1000</f>
        <v>613.01013999999998</v>
      </c>
      <c r="N1164" s="85">
        <f>STATS1003B!N1165/1000</f>
        <v>0</v>
      </c>
      <c r="O1164" s="85">
        <f>STATS1003B!O1165/1000</f>
        <v>0</v>
      </c>
      <c r="P1164" s="85">
        <f>STATS1003B!P1165/1000</f>
        <v>0</v>
      </c>
      <c r="Q1164" s="85">
        <f>STATS1003B!Q1165/1000</f>
        <v>0</v>
      </c>
      <c r="R1164" s="85">
        <f>STATS1003B!R1165/1000</f>
        <v>0</v>
      </c>
      <c r="S1164" s="85">
        <f>STATS1003B!S1165/1000</f>
        <v>0</v>
      </c>
      <c r="T1164" s="85">
        <f>STATS1003B!T1165/1000</f>
        <v>0</v>
      </c>
      <c r="U1164" s="85">
        <f>STATS1003B!U1165/1000</f>
        <v>0</v>
      </c>
      <c r="V1164" s="85">
        <f>STATS1003B!V1165/1000</f>
        <v>613.01013999999998</v>
      </c>
      <c r="W1164" s="85">
        <f>STATS1003B!W1165/1000</f>
        <v>0</v>
      </c>
      <c r="X1164" s="85">
        <f t="shared" si="140"/>
        <v>613.01013999999998</v>
      </c>
      <c r="Y1164" s="85">
        <f>STATS1003B!Y1165/1000</f>
        <v>0</v>
      </c>
      <c r="Z1164" s="85">
        <f t="shared" si="141"/>
        <v>0</v>
      </c>
      <c r="AA1164" s="69">
        <f>STATS1003B!AA1165/1000</f>
        <v>613.01013999999998</v>
      </c>
      <c r="AB1164" s="69">
        <f>STATS1003B!AB1165/1000</f>
        <v>0</v>
      </c>
    </row>
    <row r="1165" spans="1:28" hidden="1" x14ac:dyDescent="0.3">
      <c r="A1165" s="117"/>
      <c r="E1165" s="86" t="s">
        <v>29</v>
      </c>
      <c r="F1165" s="86" t="s">
        <v>29</v>
      </c>
      <c r="G1165" s="86" t="s">
        <v>29</v>
      </c>
      <c r="H1165" s="86" t="s">
        <v>29</v>
      </c>
      <c r="I1165" s="86" t="s">
        <v>29</v>
      </c>
      <c r="J1165" s="86" t="s">
        <v>29</v>
      </c>
      <c r="K1165" s="86" t="s">
        <v>29</v>
      </c>
      <c r="L1165" s="86" t="s">
        <v>29</v>
      </c>
      <c r="M1165" s="86" t="s">
        <v>29</v>
      </c>
      <c r="N1165" s="86" t="s">
        <v>29</v>
      </c>
      <c r="O1165" s="86" t="s">
        <v>29</v>
      </c>
      <c r="P1165" s="86" t="s">
        <v>29</v>
      </c>
      <c r="Q1165" s="86" t="s">
        <v>29</v>
      </c>
      <c r="R1165" s="86" t="s">
        <v>29</v>
      </c>
      <c r="S1165" s="86" t="s">
        <v>29</v>
      </c>
      <c r="T1165" s="86" t="s">
        <v>29</v>
      </c>
      <c r="U1165" s="86" t="s">
        <v>29</v>
      </c>
      <c r="V1165" s="86" t="s">
        <v>29</v>
      </c>
      <c r="W1165" s="86" t="s">
        <v>29</v>
      </c>
      <c r="X1165" s="85" t="e">
        <f t="shared" si="140"/>
        <v>#VALUE!</v>
      </c>
      <c r="Y1165" s="86" t="s">
        <v>29</v>
      </c>
      <c r="Z1165" s="85" t="e">
        <f t="shared" si="141"/>
        <v>#VALUE!</v>
      </c>
      <c r="AA1165" s="115" t="s">
        <v>29</v>
      </c>
      <c r="AB1165" s="115" t="s">
        <v>29</v>
      </c>
    </row>
    <row r="1166" spans="1:28" x14ac:dyDescent="0.3">
      <c r="A1166" s="116">
        <v>54</v>
      </c>
      <c r="B1166" s="68" t="s">
        <v>278</v>
      </c>
      <c r="E1166" s="85">
        <f>135992076.59/1000</f>
        <v>135992.07659000001</v>
      </c>
      <c r="F1166" s="85">
        <f t="shared" ref="F1166:AB1166" si="144">SUM(F1147:F1164)</f>
        <v>32610.805049999999</v>
      </c>
      <c r="G1166" s="85">
        <f t="shared" si="144"/>
        <v>0</v>
      </c>
      <c r="H1166" s="85">
        <f>132727143.04/1000</f>
        <v>132727.14304</v>
      </c>
      <c r="I1166" s="85">
        <f t="shared" si="144"/>
        <v>0</v>
      </c>
      <c r="J1166" s="85">
        <f t="shared" si="144"/>
        <v>0</v>
      </c>
      <c r="K1166" s="85">
        <f t="shared" si="144"/>
        <v>0</v>
      </c>
      <c r="L1166" s="85">
        <f t="shared" si="144"/>
        <v>0</v>
      </c>
      <c r="M1166" s="85">
        <f t="shared" si="144"/>
        <v>32610.805049999999</v>
      </c>
      <c r="N1166" s="85">
        <f t="shared" si="144"/>
        <v>3264.9335500000002</v>
      </c>
      <c r="O1166" s="85">
        <f t="shared" si="144"/>
        <v>0</v>
      </c>
      <c r="P1166" s="85">
        <f>3264933.55/1000</f>
        <v>3264.9335499999997</v>
      </c>
      <c r="Q1166" s="85">
        <f t="shared" si="144"/>
        <v>0</v>
      </c>
      <c r="R1166" s="85">
        <f t="shared" si="144"/>
        <v>0</v>
      </c>
      <c r="S1166" s="85">
        <f t="shared" si="144"/>
        <v>0</v>
      </c>
      <c r="T1166" s="85">
        <f t="shared" si="144"/>
        <v>0</v>
      </c>
      <c r="U1166" s="85">
        <f t="shared" si="144"/>
        <v>3264.9335500000002</v>
      </c>
      <c r="V1166" s="85">
        <f t="shared" si="144"/>
        <v>35875.738599999997</v>
      </c>
      <c r="W1166" s="85">
        <f t="shared" si="144"/>
        <v>0</v>
      </c>
      <c r="X1166" s="85">
        <f>+H1166+P1166</f>
        <v>135992.07658999998</v>
      </c>
      <c r="Y1166" s="85">
        <f t="shared" si="144"/>
        <v>0</v>
      </c>
      <c r="Z1166" s="85">
        <f t="shared" si="141"/>
        <v>0</v>
      </c>
      <c r="AA1166" s="69">
        <f t="shared" si="144"/>
        <v>35875.738599999997</v>
      </c>
      <c r="AB1166" s="69">
        <f t="shared" si="144"/>
        <v>0</v>
      </c>
    </row>
    <row r="1167" spans="1:28" hidden="1" x14ac:dyDescent="0.3">
      <c r="A1167" s="117"/>
      <c r="E1167" s="86" t="s">
        <v>29</v>
      </c>
      <c r="F1167" s="86" t="s">
        <v>29</v>
      </c>
      <c r="G1167" s="86" t="s">
        <v>29</v>
      </c>
      <c r="H1167" s="86" t="s">
        <v>29</v>
      </c>
      <c r="I1167" s="86" t="s">
        <v>29</v>
      </c>
      <c r="J1167" s="86" t="s">
        <v>29</v>
      </c>
      <c r="K1167" s="86" t="s">
        <v>29</v>
      </c>
      <c r="L1167" s="86" t="s">
        <v>29</v>
      </c>
      <c r="M1167" s="86" t="s">
        <v>29</v>
      </c>
      <c r="N1167" s="86" t="s">
        <v>29</v>
      </c>
      <c r="O1167" s="86" t="s">
        <v>29</v>
      </c>
      <c r="P1167" s="86" t="s">
        <v>29</v>
      </c>
      <c r="Q1167" s="86" t="s">
        <v>29</v>
      </c>
      <c r="R1167" s="86" t="s">
        <v>29</v>
      </c>
      <c r="S1167" s="86" t="s">
        <v>29</v>
      </c>
      <c r="T1167" s="86" t="s">
        <v>29</v>
      </c>
      <c r="U1167" s="86" t="s">
        <v>29</v>
      </c>
      <c r="V1167" s="86" t="s">
        <v>29</v>
      </c>
      <c r="W1167" s="86" t="s">
        <v>29</v>
      </c>
      <c r="X1167" s="85" t="e">
        <f t="shared" si="140"/>
        <v>#VALUE!</v>
      </c>
      <c r="Y1167" s="86" t="s">
        <v>29</v>
      </c>
      <c r="Z1167" s="85" t="e">
        <f t="shared" si="141"/>
        <v>#VALUE!</v>
      </c>
      <c r="AA1167" s="115" t="s">
        <v>29</v>
      </c>
      <c r="AB1167" s="115" t="s">
        <v>29</v>
      </c>
    </row>
    <row r="1168" spans="1:28" hidden="1" x14ac:dyDescent="0.3">
      <c r="A1168" s="105"/>
      <c r="E1168" s="84"/>
      <c r="F1168" s="84"/>
      <c r="G1168" s="84"/>
      <c r="H1168" s="84"/>
      <c r="I1168" s="84"/>
      <c r="J1168" s="84"/>
      <c r="K1168" s="84"/>
      <c r="L1168" s="84"/>
      <c r="M1168" s="84"/>
      <c r="N1168" s="84"/>
      <c r="O1168" s="84"/>
      <c r="P1168" s="84"/>
      <c r="Q1168" s="84"/>
      <c r="R1168" s="84"/>
      <c r="S1168" s="84"/>
      <c r="T1168" s="84"/>
      <c r="U1168" s="84"/>
      <c r="V1168" s="84"/>
      <c r="W1168" s="84"/>
      <c r="X1168" s="85">
        <f t="shared" si="140"/>
        <v>0</v>
      </c>
      <c r="Y1168" s="84"/>
      <c r="Z1168" s="85">
        <f t="shared" si="141"/>
        <v>0</v>
      </c>
    </row>
    <row r="1169" spans="1:28" hidden="1" x14ac:dyDescent="0.3">
      <c r="A1169" s="117"/>
      <c r="C1169" s="68" t="s">
        <v>286</v>
      </c>
      <c r="D1169" s="87" t="s">
        <v>287</v>
      </c>
      <c r="E1169" s="85">
        <f>STATS1003B!E1170/1000</f>
        <v>5298.1496699999998</v>
      </c>
      <c r="F1169" s="85">
        <f>STATS1003B!F1170/1000</f>
        <v>4239.8325800000002</v>
      </c>
      <c r="G1169" s="85">
        <f>STATS1003B!G1170/1000</f>
        <v>0</v>
      </c>
      <c r="H1169" s="85">
        <f>STATS1003B!H1170/1000</f>
        <v>4239.8325800000002</v>
      </c>
      <c r="I1169" s="85">
        <f>STATS1003B!I1170/1000</f>
        <v>0</v>
      </c>
      <c r="J1169" s="85">
        <f>STATS1003B!J1170/1000</f>
        <v>0</v>
      </c>
      <c r="K1169" s="85">
        <f>STATS1003B!K1170/1000</f>
        <v>0</v>
      </c>
      <c r="L1169" s="85">
        <f>STATS1003B!L1170/1000</f>
        <v>0</v>
      </c>
      <c r="M1169" s="85">
        <f>STATS1003B!M1170/1000</f>
        <v>4239.8325800000002</v>
      </c>
      <c r="N1169" s="85">
        <f>STATS1003B!N1170/1000</f>
        <v>1058.31709</v>
      </c>
      <c r="O1169" s="85">
        <f>STATS1003B!O1170/1000</f>
        <v>0</v>
      </c>
      <c r="P1169" s="85">
        <f>STATS1003B!P1170/1000</f>
        <v>1058.31709</v>
      </c>
      <c r="Q1169" s="85">
        <f>STATS1003B!Q1170/1000</f>
        <v>0</v>
      </c>
      <c r="R1169" s="85">
        <f>STATS1003B!R1170/1000</f>
        <v>0</v>
      </c>
      <c r="S1169" s="85">
        <f>STATS1003B!S1170/1000</f>
        <v>0</v>
      </c>
      <c r="T1169" s="85">
        <f>STATS1003B!T1170/1000</f>
        <v>0</v>
      </c>
      <c r="U1169" s="85">
        <f>STATS1003B!U1170/1000</f>
        <v>1058.31709</v>
      </c>
      <c r="V1169" s="85">
        <f>STATS1003B!V1170/1000</f>
        <v>5298.1496699999998</v>
      </c>
      <c r="W1169" s="85">
        <f>STATS1003B!W1170/1000</f>
        <v>0</v>
      </c>
      <c r="X1169" s="85">
        <f t="shared" si="140"/>
        <v>5298.1496700000007</v>
      </c>
      <c r="Y1169" s="85">
        <f>STATS1003B!Y1170/1000</f>
        <v>0</v>
      </c>
      <c r="Z1169" s="85">
        <f t="shared" si="141"/>
        <v>0</v>
      </c>
      <c r="AA1169" s="69">
        <f>STATS1003B!AA1170/1000</f>
        <v>5298.1496699999998</v>
      </c>
      <c r="AB1169" s="69">
        <f>STATS1003B!AB1170/1000</f>
        <v>0</v>
      </c>
    </row>
    <row r="1170" spans="1:28" hidden="1" x14ac:dyDescent="0.3">
      <c r="A1170" s="117"/>
      <c r="C1170" s="68" t="s">
        <v>280</v>
      </c>
      <c r="D1170" s="87" t="s">
        <v>288</v>
      </c>
      <c r="E1170" s="85">
        <f>STATS1003B!E1171/1000</f>
        <v>3915</v>
      </c>
      <c r="F1170" s="85">
        <f>STATS1003B!F1171/1000</f>
        <v>3915</v>
      </c>
      <c r="G1170" s="85">
        <f>STATS1003B!G1171/1000</f>
        <v>0</v>
      </c>
      <c r="H1170" s="85">
        <f>STATS1003B!H1171/1000</f>
        <v>3915</v>
      </c>
      <c r="I1170" s="85">
        <f>STATS1003B!I1171/1000</f>
        <v>0</v>
      </c>
      <c r="J1170" s="85">
        <f>STATS1003B!J1171/1000</f>
        <v>0</v>
      </c>
      <c r="K1170" s="85">
        <f>STATS1003B!K1171/1000</f>
        <v>0</v>
      </c>
      <c r="L1170" s="85">
        <f>STATS1003B!L1171/1000</f>
        <v>0</v>
      </c>
      <c r="M1170" s="85">
        <f>STATS1003B!M1171/1000</f>
        <v>3915</v>
      </c>
      <c r="N1170" s="85">
        <f>STATS1003B!N1171/1000</f>
        <v>0</v>
      </c>
      <c r="O1170" s="85">
        <f>STATS1003B!O1171/1000</f>
        <v>0</v>
      </c>
      <c r="P1170" s="85">
        <f>STATS1003B!P1171/1000</f>
        <v>0</v>
      </c>
      <c r="Q1170" s="85">
        <f>STATS1003B!Q1171/1000</f>
        <v>0</v>
      </c>
      <c r="R1170" s="85">
        <f>STATS1003B!R1171/1000</f>
        <v>0</v>
      </c>
      <c r="S1170" s="85">
        <f>STATS1003B!S1171/1000</f>
        <v>0</v>
      </c>
      <c r="T1170" s="85">
        <f>STATS1003B!T1171/1000</f>
        <v>0</v>
      </c>
      <c r="U1170" s="85">
        <f>STATS1003B!U1171/1000</f>
        <v>0</v>
      </c>
      <c r="V1170" s="85">
        <f>STATS1003B!V1171/1000</f>
        <v>3915</v>
      </c>
      <c r="W1170" s="85">
        <f>STATS1003B!W1171/1000</f>
        <v>0</v>
      </c>
      <c r="X1170" s="85">
        <f t="shared" si="140"/>
        <v>3915</v>
      </c>
      <c r="Y1170" s="85">
        <f>STATS1003B!Y1171/1000</f>
        <v>0</v>
      </c>
      <c r="Z1170" s="85">
        <f t="shared" si="141"/>
        <v>0</v>
      </c>
      <c r="AA1170" s="69">
        <f>STATS1003B!AA1171/1000</f>
        <v>3915</v>
      </c>
      <c r="AB1170" s="69">
        <f>STATS1003B!AB1171/1000</f>
        <v>0</v>
      </c>
    </row>
    <row r="1171" spans="1:28" hidden="1" x14ac:dyDescent="0.3">
      <c r="A1171" s="117"/>
      <c r="C1171" s="68" t="s">
        <v>281</v>
      </c>
      <c r="D1171" s="87" t="s">
        <v>173</v>
      </c>
      <c r="E1171" s="85">
        <f>STATS1003B!E1172/1000</f>
        <v>1705.6225099999999</v>
      </c>
      <c r="F1171" s="85">
        <f>STATS1003B!F1172/1000</f>
        <v>1128.67643</v>
      </c>
      <c r="G1171" s="85">
        <f>STATS1003B!G1172/1000</f>
        <v>0</v>
      </c>
      <c r="H1171" s="85">
        <f>STATS1003B!H1172/1000</f>
        <v>1128.67643</v>
      </c>
      <c r="I1171" s="85">
        <f>STATS1003B!I1172/1000</f>
        <v>0</v>
      </c>
      <c r="J1171" s="85">
        <f>STATS1003B!J1172/1000</f>
        <v>0</v>
      </c>
      <c r="K1171" s="85">
        <f>STATS1003B!K1172/1000</f>
        <v>0</v>
      </c>
      <c r="L1171" s="85">
        <f>STATS1003B!L1172/1000</f>
        <v>0</v>
      </c>
      <c r="M1171" s="85">
        <f>STATS1003B!M1172/1000</f>
        <v>1128.67643</v>
      </c>
      <c r="N1171" s="85">
        <f>STATS1003B!N1172/1000</f>
        <v>576.94607999999994</v>
      </c>
      <c r="O1171" s="85">
        <f>STATS1003B!O1172/1000</f>
        <v>0</v>
      </c>
      <c r="P1171" s="85">
        <f>STATS1003B!P1172/1000</f>
        <v>576.94607999999994</v>
      </c>
      <c r="Q1171" s="85">
        <f>STATS1003B!Q1172/1000</f>
        <v>0</v>
      </c>
      <c r="R1171" s="85">
        <f>STATS1003B!R1172/1000</f>
        <v>0</v>
      </c>
      <c r="S1171" s="85">
        <f>STATS1003B!S1172/1000</f>
        <v>0</v>
      </c>
      <c r="T1171" s="85">
        <f>STATS1003B!T1172/1000</f>
        <v>0</v>
      </c>
      <c r="U1171" s="85">
        <f>STATS1003B!U1172/1000</f>
        <v>576.94607999999994</v>
      </c>
      <c r="V1171" s="85">
        <f>STATS1003B!V1172/1000</f>
        <v>1705.6225099999997</v>
      </c>
      <c r="W1171" s="85">
        <f>STATS1003B!W1172/1000</f>
        <v>0</v>
      </c>
      <c r="X1171" s="85">
        <f t="shared" si="140"/>
        <v>1705.6225099999999</v>
      </c>
      <c r="Y1171" s="85">
        <f>STATS1003B!Y1172/1000</f>
        <v>0</v>
      </c>
      <c r="Z1171" s="85">
        <f t="shared" si="141"/>
        <v>0</v>
      </c>
      <c r="AA1171" s="69">
        <f>STATS1003B!AA1172/1000</f>
        <v>1705.6225099999997</v>
      </c>
      <c r="AB1171" s="69">
        <f>STATS1003B!AB1172/1000</f>
        <v>0</v>
      </c>
    </row>
    <row r="1172" spans="1:28" hidden="1" x14ac:dyDescent="0.3">
      <c r="A1172" s="117"/>
      <c r="C1172" s="68" t="s">
        <v>289</v>
      </c>
      <c r="D1172" s="87" t="s">
        <v>54</v>
      </c>
      <c r="E1172" s="85">
        <f>STATS1003B!E1173/1000</f>
        <v>5779.1064000000006</v>
      </c>
      <c r="F1172" s="85">
        <f>STATS1003B!F1173/1000</f>
        <v>5779.1064000000006</v>
      </c>
      <c r="G1172" s="85">
        <f>STATS1003B!G1173/1000</f>
        <v>0</v>
      </c>
      <c r="H1172" s="85">
        <f>STATS1003B!H1173/1000</f>
        <v>5779.1064000000006</v>
      </c>
      <c r="I1172" s="85">
        <f>STATS1003B!I1173/1000</f>
        <v>0</v>
      </c>
      <c r="J1172" s="85">
        <f>STATS1003B!J1173/1000</f>
        <v>0</v>
      </c>
      <c r="K1172" s="85">
        <f>STATS1003B!K1173/1000</f>
        <v>0</v>
      </c>
      <c r="L1172" s="85">
        <f>STATS1003B!L1173/1000</f>
        <v>0</v>
      </c>
      <c r="M1172" s="85">
        <f>STATS1003B!M1173/1000</f>
        <v>5779.1064000000006</v>
      </c>
      <c r="N1172" s="85">
        <f>STATS1003B!N1173/1000</f>
        <v>0</v>
      </c>
      <c r="O1172" s="85">
        <f>STATS1003B!O1173/1000</f>
        <v>0</v>
      </c>
      <c r="P1172" s="85">
        <f>STATS1003B!P1173/1000</f>
        <v>0</v>
      </c>
      <c r="Q1172" s="85">
        <f>STATS1003B!Q1173/1000</f>
        <v>0</v>
      </c>
      <c r="R1172" s="85">
        <f>STATS1003B!R1173/1000</f>
        <v>0</v>
      </c>
      <c r="S1172" s="85">
        <f>STATS1003B!S1173/1000</f>
        <v>0</v>
      </c>
      <c r="T1172" s="85">
        <f>STATS1003B!T1173/1000</f>
        <v>0</v>
      </c>
      <c r="U1172" s="85">
        <f>STATS1003B!U1173/1000</f>
        <v>0</v>
      </c>
      <c r="V1172" s="85">
        <f>STATS1003B!V1173/1000</f>
        <v>5779.1064000000006</v>
      </c>
      <c r="W1172" s="85">
        <f>STATS1003B!W1173/1000</f>
        <v>0</v>
      </c>
      <c r="X1172" s="85">
        <f t="shared" si="140"/>
        <v>5779.1064000000006</v>
      </c>
      <c r="Y1172" s="85">
        <f>STATS1003B!Y1173/1000</f>
        <v>0</v>
      </c>
      <c r="Z1172" s="85">
        <f t="shared" si="141"/>
        <v>0</v>
      </c>
      <c r="AA1172" s="69">
        <f>STATS1003B!AA1173/1000</f>
        <v>5779.1064000000006</v>
      </c>
      <c r="AB1172" s="69">
        <f>STATS1003B!AB1173/1000</f>
        <v>0</v>
      </c>
    </row>
    <row r="1173" spans="1:28" hidden="1" x14ac:dyDescent="0.3">
      <c r="A1173" s="117"/>
      <c r="C1173" s="68" t="s">
        <v>53</v>
      </c>
      <c r="D1173" s="87" t="s">
        <v>54</v>
      </c>
      <c r="E1173" s="85">
        <f>STATS1003B!E1174/1000</f>
        <v>1953.989</v>
      </c>
      <c r="F1173" s="85">
        <f>STATS1003B!F1174/1000</f>
        <v>0</v>
      </c>
      <c r="G1173" s="85">
        <f>STATS1003B!G1174/1000</f>
        <v>0</v>
      </c>
      <c r="H1173" s="85">
        <f>STATS1003B!H1174/1000</f>
        <v>0</v>
      </c>
      <c r="I1173" s="85">
        <f>STATS1003B!I1174/1000</f>
        <v>0</v>
      </c>
      <c r="J1173" s="85">
        <f>STATS1003B!J1174/1000</f>
        <v>0</v>
      </c>
      <c r="K1173" s="85">
        <f>STATS1003B!K1174/1000</f>
        <v>0</v>
      </c>
      <c r="L1173" s="85">
        <f>STATS1003B!L1174/1000</f>
        <v>0</v>
      </c>
      <c r="M1173" s="85">
        <f>STATS1003B!M1174/1000</f>
        <v>0</v>
      </c>
      <c r="N1173" s="85">
        <f>STATS1003B!N1174/1000</f>
        <v>1953.989</v>
      </c>
      <c r="O1173" s="85">
        <f>STATS1003B!O1174/1000</f>
        <v>0</v>
      </c>
      <c r="P1173" s="85">
        <f>STATS1003B!P1174/1000</f>
        <v>1953.989</v>
      </c>
      <c r="Q1173" s="85">
        <f>STATS1003B!Q1174/1000</f>
        <v>0</v>
      </c>
      <c r="R1173" s="85">
        <f>STATS1003B!R1174/1000</f>
        <v>0</v>
      </c>
      <c r="S1173" s="85">
        <f>STATS1003B!S1174/1000</f>
        <v>0</v>
      </c>
      <c r="T1173" s="85">
        <f>STATS1003B!T1174/1000</f>
        <v>0</v>
      </c>
      <c r="U1173" s="85">
        <f>STATS1003B!U1174/1000</f>
        <v>1953.989</v>
      </c>
      <c r="V1173" s="85">
        <f>STATS1003B!V1174/1000</f>
        <v>1953.989</v>
      </c>
      <c r="W1173" s="85">
        <f>STATS1003B!W1174/1000</f>
        <v>0</v>
      </c>
      <c r="X1173" s="85">
        <f t="shared" si="140"/>
        <v>1953.989</v>
      </c>
      <c r="Y1173" s="85">
        <f>STATS1003B!Y1174/1000</f>
        <v>0</v>
      </c>
      <c r="Z1173" s="85">
        <f t="shared" si="141"/>
        <v>0</v>
      </c>
      <c r="AA1173" s="69">
        <f>STATS1003B!AA1174/1000</f>
        <v>1953.989</v>
      </c>
      <c r="AB1173" s="69">
        <f>STATS1003B!AB1174/1000</f>
        <v>0</v>
      </c>
    </row>
    <row r="1174" spans="1:28" hidden="1" x14ac:dyDescent="0.3">
      <c r="A1174" s="117"/>
      <c r="C1174" s="68" t="s">
        <v>290</v>
      </c>
      <c r="D1174" s="87" t="s">
        <v>54</v>
      </c>
      <c r="E1174" s="85">
        <f>STATS1003B!E1175/1000</f>
        <v>835.71900000000005</v>
      </c>
      <c r="F1174" s="85">
        <f>STATS1003B!F1175/1000</f>
        <v>835.71900000000005</v>
      </c>
      <c r="G1174" s="85">
        <f>STATS1003B!G1175/1000</f>
        <v>0</v>
      </c>
      <c r="H1174" s="85">
        <f>STATS1003B!H1175/1000</f>
        <v>835.71900000000005</v>
      </c>
      <c r="I1174" s="85">
        <f>STATS1003B!I1175/1000</f>
        <v>0</v>
      </c>
      <c r="J1174" s="85">
        <f>STATS1003B!J1175/1000</f>
        <v>0</v>
      </c>
      <c r="K1174" s="85">
        <f>STATS1003B!K1175/1000</f>
        <v>0</v>
      </c>
      <c r="L1174" s="85">
        <f>STATS1003B!L1175/1000</f>
        <v>0</v>
      </c>
      <c r="M1174" s="85">
        <f>STATS1003B!M1175/1000</f>
        <v>835.71900000000005</v>
      </c>
      <c r="N1174" s="85">
        <f>STATS1003B!N1175/1000</f>
        <v>0</v>
      </c>
      <c r="O1174" s="85">
        <f>STATS1003B!O1175/1000</f>
        <v>0</v>
      </c>
      <c r="P1174" s="85">
        <f>STATS1003B!P1175/1000</f>
        <v>0</v>
      </c>
      <c r="Q1174" s="85">
        <f>STATS1003B!Q1175/1000</f>
        <v>0</v>
      </c>
      <c r="R1174" s="85">
        <f>STATS1003B!R1175/1000</f>
        <v>0</v>
      </c>
      <c r="S1174" s="85">
        <f>STATS1003B!S1175/1000</f>
        <v>0</v>
      </c>
      <c r="T1174" s="85">
        <f>STATS1003B!T1175/1000</f>
        <v>0</v>
      </c>
      <c r="U1174" s="85">
        <f>STATS1003B!U1175/1000</f>
        <v>0</v>
      </c>
      <c r="V1174" s="85">
        <f>STATS1003B!V1175/1000</f>
        <v>835.71900000000005</v>
      </c>
      <c r="W1174" s="85">
        <f>STATS1003B!W1175/1000</f>
        <v>0</v>
      </c>
      <c r="X1174" s="85">
        <f t="shared" si="140"/>
        <v>835.71900000000005</v>
      </c>
      <c r="Y1174" s="85">
        <f>STATS1003B!Y1175/1000</f>
        <v>0</v>
      </c>
      <c r="Z1174" s="85">
        <f t="shared" si="141"/>
        <v>0</v>
      </c>
      <c r="AA1174" s="69">
        <f>STATS1003B!AA1175/1000</f>
        <v>835.71900000000005</v>
      </c>
      <c r="AB1174" s="69">
        <f>STATS1003B!AB1175/1000</f>
        <v>0</v>
      </c>
    </row>
    <row r="1175" spans="1:28" hidden="1" x14ac:dyDescent="0.3">
      <c r="A1175" s="117"/>
      <c r="C1175" s="68" t="s">
        <v>283</v>
      </c>
      <c r="D1175" s="87" t="s">
        <v>105</v>
      </c>
      <c r="E1175" s="85">
        <f>STATS1003B!E1176/1000</f>
        <v>5865.3959999999997</v>
      </c>
      <c r="F1175" s="85">
        <f>STATS1003B!F1176/1000</f>
        <v>5865.3959999999997</v>
      </c>
      <c r="G1175" s="85">
        <f>STATS1003B!G1176/1000</f>
        <v>0</v>
      </c>
      <c r="H1175" s="85">
        <f>STATS1003B!H1176/1000</f>
        <v>5865.3959999999997</v>
      </c>
      <c r="I1175" s="85">
        <f>STATS1003B!I1176/1000</f>
        <v>0</v>
      </c>
      <c r="J1175" s="85">
        <f>STATS1003B!J1176/1000</f>
        <v>0</v>
      </c>
      <c r="K1175" s="85">
        <f>STATS1003B!K1176/1000</f>
        <v>0</v>
      </c>
      <c r="L1175" s="85">
        <f>STATS1003B!L1176/1000</f>
        <v>0</v>
      </c>
      <c r="M1175" s="85">
        <f>STATS1003B!M1176/1000</f>
        <v>5865.3959999999997</v>
      </c>
      <c r="N1175" s="85">
        <f>STATS1003B!N1176/1000</f>
        <v>0</v>
      </c>
      <c r="O1175" s="85">
        <f>STATS1003B!O1176/1000</f>
        <v>0</v>
      </c>
      <c r="P1175" s="85">
        <f>STATS1003B!P1176/1000</f>
        <v>0</v>
      </c>
      <c r="Q1175" s="85">
        <f>STATS1003B!Q1176/1000</f>
        <v>0</v>
      </c>
      <c r="R1175" s="85">
        <f>STATS1003B!R1176/1000</f>
        <v>0</v>
      </c>
      <c r="S1175" s="85">
        <f>STATS1003B!S1176/1000</f>
        <v>0</v>
      </c>
      <c r="T1175" s="85">
        <f>STATS1003B!T1176/1000</f>
        <v>0</v>
      </c>
      <c r="U1175" s="85">
        <f>STATS1003B!U1176/1000</f>
        <v>0</v>
      </c>
      <c r="V1175" s="85">
        <f>STATS1003B!V1176/1000</f>
        <v>5865.3959999999997</v>
      </c>
      <c r="W1175" s="85">
        <f>STATS1003B!W1176/1000</f>
        <v>0</v>
      </c>
      <c r="X1175" s="85">
        <f t="shared" si="140"/>
        <v>5865.3959999999997</v>
      </c>
      <c r="Y1175" s="85">
        <f>STATS1003B!Y1176/1000</f>
        <v>0</v>
      </c>
      <c r="Z1175" s="85">
        <f t="shared" si="141"/>
        <v>0</v>
      </c>
      <c r="AA1175" s="69">
        <f>STATS1003B!AA1176/1000</f>
        <v>5865.3959999999997</v>
      </c>
      <c r="AB1175" s="69">
        <f>STATS1003B!AB1176/1000</f>
        <v>0</v>
      </c>
    </row>
    <row r="1176" spans="1:28" hidden="1" x14ac:dyDescent="0.3">
      <c r="A1176" s="117"/>
      <c r="C1176" s="68" t="s">
        <v>55</v>
      </c>
      <c r="D1176" s="87" t="s">
        <v>85</v>
      </c>
      <c r="E1176" s="85">
        <f>STATS1003B!E1177/1000</f>
        <v>283.05</v>
      </c>
      <c r="F1176" s="85">
        <f>STATS1003B!F1177/1000</f>
        <v>0</v>
      </c>
      <c r="G1176" s="85">
        <f>STATS1003B!G1177/1000</f>
        <v>0</v>
      </c>
      <c r="H1176" s="85">
        <f>STATS1003B!H1177/1000</f>
        <v>0</v>
      </c>
      <c r="I1176" s="85">
        <f>STATS1003B!I1177/1000</f>
        <v>0</v>
      </c>
      <c r="J1176" s="85">
        <f>STATS1003B!J1177/1000</f>
        <v>0</v>
      </c>
      <c r="K1176" s="85">
        <f>STATS1003B!K1177/1000</f>
        <v>0</v>
      </c>
      <c r="L1176" s="85">
        <f>STATS1003B!L1177/1000</f>
        <v>0</v>
      </c>
      <c r="M1176" s="85">
        <f>STATS1003B!M1177/1000</f>
        <v>0</v>
      </c>
      <c r="N1176" s="85">
        <f>STATS1003B!N1177/1000</f>
        <v>283.05</v>
      </c>
      <c r="O1176" s="85">
        <f>STATS1003B!O1177/1000</f>
        <v>0</v>
      </c>
      <c r="P1176" s="85">
        <f>STATS1003B!P1177/1000</f>
        <v>283.05</v>
      </c>
      <c r="Q1176" s="85">
        <f>STATS1003B!Q1177/1000</f>
        <v>0</v>
      </c>
      <c r="R1176" s="85">
        <f>STATS1003B!R1177/1000</f>
        <v>0</v>
      </c>
      <c r="S1176" s="85">
        <f>STATS1003B!S1177/1000</f>
        <v>0</v>
      </c>
      <c r="T1176" s="85">
        <f>STATS1003B!T1177/1000</f>
        <v>0</v>
      </c>
      <c r="U1176" s="85">
        <f>STATS1003B!U1177/1000</f>
        <v>283.05</v>
      </c>
      <c r="V1176" s="85">
        <f>STATS1003B!V1177/1000</f>
        <v>283.05</v>
      </c>
      <c r="W1176" s="85">
        <f>STATS1003B!W1177/1000</f>
        <v>0</v>
      </c>
      <c r="X1176" s="85">
        <f t="shared" ref="X1176:X1186" si="145">+H1176+P1176</f>
        <v>283.05</v>
      </c>
      <c r="Y1176" s="85">
        <f>STATS1003B!Y1177/1000</f>
        <v>0</v>
      </c>
      <c r="Z1176" s="85">
        <f t="shared" si="141"/>
        <v>0</v>
      </c>
      <c r="AA1176" s="69">
        <f>STATS1003B!AA1177/1000</f>
        <v>283.05</v>
      </c>
      <c r="AB1176" s="69">
        <f>STATS1003B!AB1177/1000</f>
        <v>0</v>
      </c>
    </row>
    <row r="1177" spans="1:28" hidden="1" x14ac:dyDescent="0.3">
      <c r="A1177" s="117"/>
      <c r="C1177" s="68" t="s">
        <v>248</v>
      </c>
      <c r="D1177" s="87" t="s">
        <v>85</v>
      </c>
      <c r="E1177" s="85">
        <f>STATS1003B!E1178/1000</f>
        <v>120</v>
      </c>
      <c r="F1177" s="85">
        <f>STATS1003B!F1178/1000</f>
        <v>120</v>
      </c>
      <c r="G1177" s="85">
        <f>STATS1003B!G1178/1000</f>
        <v>0</v>
      </c>
      <c r="H1177" s="85">
        <f>STATS1003B!H1178/1000</f>
        <v>120</v>
      </c>
      <c r="I1177" s="85">
        <f>STATS1003B!I1178/1000</f>
        <v>0</v>
      </c>
      <c r="J1177" s="85">
        <f>STATS1003B!J1178/1000</f>
        <v>0</v>
      </c>
      <c r="K1177" s="85">
        <f>STATS1003B!K1178/1000</f>
        <v>0</v>
      </c>
      <c r="L1177" s="85">
        <f>STATS1003B!L1178/1000</f>
        <v>0</v>
      </c>
      <c r="M1177" s="85">
        <f>STATS1003B!M1178/1000</f>
        <v>120</v>
      </c>
      <c r="N1177" s="85">
        <f>STATS1003B!N1178/1000</f>
        <v>0</v>
      </c>
      <c r="O1177" s="85">
        <f>STATS1003B!O1178/1000</f>
        <v>0</v>
      </c>
      <c r="P1177" s="85">
        <f>STATS1003B!P1178/1000</f>
        <v>0</v>
      </c>
      <c r="Q1177" s="85">
        <f>STATS1003B!Q1178/1000</f>
        <v>0</v>
      </c>
      <c r="R1177" s="85">
        <f>STATS1003B!R1178/1000</f>
        <v>0</v>
      </c>
      <c r="S1177" s="85">
        <f>STATS1003B!S1178/1000</f>
        <v>0</v>
      </c>
      <c r="T1177" s="85">
        <f>STATS1003B!T1178/1000</f>
        <v>0</v>
      </c>
      <c r="U1177" s="85">
        <f>STATS1003B!U1178/1000</f>
        <v>0</v>
      </c>
      <c r="V1177" s="85">
        <f>STATS1003B!V1178/1000</f>
        <v>120</v>
      </c>
      <c r="W1177" s="85">
        <f>STATS1003B!W1178/1000</f>
        <v>0</v>
      </c>
      <c r="X1177" s="85">
        <f t="shared" si="145"/>
        <v>120</v>
      </c>
      <c r="Y1177" s="85">
        <f>STATS1003B!Y1178/1000</f>
        <v>0</v>
      </c>
      <c r="Z1177" s="85">
        <f t="shared" si="141"/>
        <v>0</v>
      </c>
      <c r="AA1177" s="69">
        <f>STATS1003B!AA1178/1000</f>
        <v>120</v>
      </c>
      <c r="AB1177" s="69">
        <f>STATS1003B!AB1178/1000</f>
        <v>0</v>
      </c>
    </row>
    <row r="1178" spans="1:28" hidden="1" x14ac:dyDescent="0.3">
      <c r="A1178" s="117"/>
      <c r="C1178" s="68" t="s">
        <v>284</v>
      </c>
      <c r="D1178" s="87" t="s">
        <v>128</v>
      </c>
      <c r="E1178" s="85">
        <f>STATS1003B!E1179/1000</f>
        <v>5000</v>
      </c>
      <c r="F1178" s="85">
        <f>STATS1003B!F1179/1000</f>
        <v>5000</v>
      </c>
      <c r="G1178" s="85">
        <f>STATS1003B!G1179/1000</f>
        <v>0</v>
      </c>
      <c r="H1178" s="85">
        <f>STATS1003B!H1179/1000</f>
        <v>5000</v>
      </c>
      <c r="I1178" s="85">
        <f>STATS1003B!I1179/1000</f>
        <v>0</v>
      </c>
      <c r="J1178" s="85">
        <f>STATS1003B!J1179/1000</f>
        <v>0</v>
      </c>
      <c r="K1178" s="85">
        <f>STATS1003B!K1179/1000</f>
        <v>0</v>
      </c>
      <c r="L1178" s="85">
        <f>STATS1003B!L1179/1000</f>
        <v>0</v>
      </c>
      <c r="M1178" s="85">
        <f>STATS1003B!M1179/1000</f>
        <v>5000</v>
      </c>
      <c r="N1178" s="85">
        <f>STATS1003B!N1179/1000</f>
        <v>0</v>
      </c>
      <c r="O1178" s="85">
        <f>STATS1003B!O1179/1000</f>
        <v>0</v>
      </c>
      <c r="P1178" s="85">
        <f>STATS1003B!P1179/1000</f>
        <v>0</v>
      </c>
      <c r="Q1178" s="85">
        <f>STATS1003B!Q1179/1000</f>
        <v>0</v>
      </c>
      <c r="R1178" s="85">
        <f>STATS1003B!R1179/1000</f>
        <v>0</v>
      </c>
      <c r="S1178" s="85">
        <f>STATS1003B!S1179/1000</f>
        <v>0</v>
      </c>
      <c r="T1178" s="85">
        <f>STATS1003B!T1179/1000</f>
        <v>0</v>
      </c>
      <c r="U1178" s="85">
        <f>STATS1003B!U1179/1000</f>
        <v>0</v>
      </c>
      <c r="V1178" s="85">
        <f>STATS1003B!V1179/1000</f>
        <v>5000</v>
      </c>
      <c r="W1178" s="85">
        <f>STATS1003B!W1179/1000</f>
        <v>0</v>
      </c>
      <c r="X1178" s="85">
        <f t="shared" si="145"/>
        <v>5000</v>
      </c>
      <c r="Y1178" s="85">
        <f>STATS1003B!Y1179/1000</f>
        <v>0</v>
      </c>
      <c r="Z1178" s="85">
        <f t="shared" si="141"/>
        <v>0</v>
      </c>
      <c r="AA1178" s="69">
        <f>STATS1003B!AA1179/1000</f>
        <v>5000</v>
      </c>
      <c r="AB1178" s="69">
        <f>STATS1003B!AB1179/1000</f>
        <v>0</v>
      </c>
    </row>
    <row r="1179" spans="1:28" hidden="1" x14ac:dyDescent="0.3">
      <c r="A1179" s="117"/>
      <c r="C1179" s="68" t="s">
        <v>57</v>
      </c>
      <c r="D1179" s="87" t="s">
        <v>58</v>
      </c>
      <c r="E1179" s="85">
        <f>STATS1003B!E1180/1000</f>
        <v>1229.9259999999999</v>
      </c>
      <c r="F1179" s="85">
        <f>STATS1003B!F1180/1000</f>
        <v>1229.9259999999999</v>
      </c>
      <c r="G1179" s="85">
        <f>STATS1003B!G1180/1000</f>
        <v>0</v>
      </c>
      <c r="H1179" s="85">
        <f>STATS1003B!H1180/1000</f>
        <v>1229.9259999999999</v>
      </c>
      <c r="I1179" s="85">
        <f>STATS1003B!I1180/1000</f>
        <v>0</v>
      </c>
      <c r="J1179" s="85">
        <f>STATS1003B!J1180/1000</f>
        <v>0</v>
      </c>
      <c r="K1179" s="85">
        <f>STATS1003B!K1180/1000</f>
        <v>0</v>
      </c>
      <c r="L1179" s="85">
        <f>STATS1003B!L1180/1000</f>
        <v>0</v>
      </c>
      <c r="M1179" s="85">
        <f>STATS1003B!M1180/1000</f>
        <v>1229.9259999999999</v>
      </c>
      <c r="N1179" s="85">
        <f>STATS1003B!N1180/1000</f>
        <v>0</v>
      </c>
      <c r="O1179" s="85">
        <f>STATS1003B!O1180/1000</f>
        <v>0</v>
      </c>
      <c r="P1179" s="85">
        <f>STATS1003B!P1180/1000</f>
        <v>0</v>
      </c>
      <c r="Q1179" s="85">
        <f>STATS1003B!Q1180/1000</f>
        <v>0</v>
      </c>
      <c r="R1179" s="85">
        <f>STATS1003B!R1180/1000</f>
        <v>0</v>
      </c>
      <c r="S1179" s="85">
        <f>STATS1003B!S1180/1000</f>
        <v>0</v>
      </c>
      <c r="T1179" s="85">
        <f>STATS1003B!T1180/1000</f>
        <v>0</v>
      </c>
      <c r="U1179" s="85">
        <f>STATS1003B!U1180/1000</f>
        <v>0</v>
      </c>
      <c r="V1179" s="85">
        <f>STATS1003B!V1180/1000</f>
        <v>1229.9259999999999</v>
      </c>
      <c r="W1179" s="85">
        <f>STATS1003B!W1180/1000</f>
        <v>0</v>
      </c>
      <c r="X1179" s="85">
        <f t="shared" si="145"/>
        <v>1229.9259999999999</v>
      </c>
      <c r="Y1179" s="85">
        <f>STATS1003B!Y1180/1000</f>
        <v>0</v>
      </c>
      <c r="Z1179" s="85">
        <f t="shared" si="141"/>
        <v>0</v>
      </c>
      <c r="AA1179" s="69">
        <f>STATS1003B!AA1180/1000</f>
        <v>1229.9259999999999</v>
      </c>
      <c r="AB1179" s="69">
        <f>STATS1003B!AB1180/1000</f>
        <v>0</v>
      </c>
    </row>
    <row r="1180" spans="1:28" hidden="1" x14ac:dyDescent="0.3">
      <c r="A1180" s="117"/>
      <c r="C1180" s="71" t="s">
        <v>109</v>
      </c>
      <c r="D1180" s="88" t="s">
        <v>60</v>
      </c>
      <c r="E1180" s="85">
        <f>STATS1003B!E1181/1000</f>
        <v>2500</v>
      </c>
      <c r="F1180" s="85">
        <f>STATS1003B!F1181/1000</f>
        <v>2500</v>
      </c>
      <c r="G1180" s="85">
        <f>STATS1003B!G1181/1000</f>
        <v>0</v>
      </c>
      <c r="H1180" s="85">
        <f>STATS1003B!H1181/1000</f>
        <v>2500</v>
      </c>
      <c r="I1180" s="85">
        <f>STATS1003B!I1181/1000</f>
        <v>0</v>
      </c>
      <c r="J1180" s="85">
        <f>STATS1003B!J1181/1000</f>
        <v>0</v>
      </c>
      <c r="K1180" s="85">
        <f>STATS1003B!K1181/1000</f>
        <v>0</v>
      </c>
      <c r="L1180" s="85">
        <f>STATS1003B!L1181/1000</f>
        <v>0</v>
      </c>
      <c r="M1180" s="85">
        <f>STATS1003B!M1181/1000</f>
        <v>2500</v>
      </c>
      <c r="N1180" s="85">
        <f>STATS1003B!N1181/1000</f>
        <v>0</v>
      </c>
      <c r="O1180" s="85">
        <f>STATS1003B!O1181/1000</f>
        <v>0</v>
      </c>
      <c r="P1180" s="85">
        <f>STATS1003B!P1181/1000</f>
        <v>0</v>
      </c>
      <c r="Q1180" s="85">
        <f>STATS1003B!Q1181/1000</f>
        <v>0</v>
      </c>
      <c r="R1180" s="85">
        <f>STATS1003B!R1181/1000</f>
        <v>0</v>
      </c>
      <c r="S1180" s="85">
        <f>STATS1003B!S1181/1000</f>
        <v>0</v>
      </c>
      <c r="T1180" s="85">
        <f>STATS1003B!T1181/1000</f>
        <v>0</v>
      </c>
      <c r="U1180" s="85">
        <f>STATS1003B!U1181/1000</f>
        <v>0</v>
      </c>
      <c r="V1180" s="85">
        <f>STATS1003B!V1181/1000</f>
        <v>2500</v>
      </c>
      <c r="W1180" s="85">
        <f>STATS1003B!W1181/1000</f>
        <v>0</v>
      </c>
      <c r="X1180" s="85">
        <f t="shared" si="145"/>
        <v>2500</v>
      </c>
      <c r="Y1180" s="85">
        <f>STATS1003B!Y1181/1000</f>
        <v>0</v>
      </c>
      <c r="Z1180" s="85">
        <f t="shared" si="141"/>
        <v>0</v>
      </c>
      <c r="AA1180" s="69">
        <f>STATS1003B!AA1181/1000</f>
        <v>2500</v>
      </c>
      <c r="AB1180" s="69">
        <f>STATS1003B!AB1181/1000</f>
        <v>0</v>
      </c>
    </row>
    <row r="1181" spans="1:28" hidden="1" x14ac:dyDescent="0.3">
      <c r="A1181" s="117"/>
      <c r="C1181" s="71" t="s">
        <v>291</v>
      </c>
      <c r="D1181" s="88" t="s">
        <v>73</v>
      </c>
      <c r="E1181" s="85">
        <f>STATS1003B!E1182/1000</f>
        <v>2200</v>
      </c>
      <c r="F1181" s="85">
        <f>STATS1003B!F1182/1000</f>
        <v>2200</v>
      </c>
      <c r="G1181" s="85">
        <f>STATS1003B!G1182/1000</f>
        <v>0</v>
      </c>
      <c r="H1181" s="85">
        <f>STATS1003B!H1182/1000</f>
        <v>2200</v>
      </c>
      <c r="I1181" s="85">
        <f>STATS1003B!I1182/1000</f>
        <v>0</v>
      </c>
      <c r="J1181" s="85">
        <f>STATS1003B!J1182/1000</f>
        <v>0</v>
      </c>
      <c r="K1181" s="85">
        <f>STATS1003B!K1182/1000</f>
        <v>0</v>
      </c>
      <c r="L1181" s="85">
        <f>STATS1003B!L1182/1000</f>
        <v>0</v>
      </c>
      <c r="M1181" s="85">
        <f>STATS1003B!M1182/1000</f>
        <v>2200</v>
      </c>
      <c r="N1181" s="85">
        <f>STATS1003B!N1182/1000</f>
        <v>0</v>
      </c>
      <c r="O1181" s="85">
        <f>STATS1003B!O1182/1000</f>
        <v>0</v>
      </c>
      <c r="P1181" s="85">
        <f>STATS1003B!P1182/1000</f>
        <v>0</v>
      </c>
      <c r="Q1181" s="85">
        <f>STATS1003B!Q1182/1000</f>
        <v>0</v>
      </c>
      <c r="R1181" s="85">
        <f>STATS1003B!R1182/1000</f>
        <v>0</v>
      </c>
      <c r="S1181" s="85">
        <f>STATS1003B!S1182/1000</f>
        <v>0</v>
      </c>
      <c r="T1181" s="85">
        <f>STATS1003B!T1182/1000</f>
        <v>0</v>
      </c>
      <c r="U1181" s="85">
        <f>STATS1003B!U1182/1000</f>
        <v>0</v>
      </c>
      <c r="V1181" s="85">
        <f>STATS1003B!V1182/1000</f>
        <v>2200</v>
      </c>
      <c r="W1181" s="85">
        <f>STATS1003B!W1182/1000</f>
        <v>0</v>
      </c>
      <c r="X1181" s="85">
        <f t="shared" si="145"/>
        <v>2200</v>
      </c>
      <c r="Y1181" s="85">
        <f>STATS1003B!Y1182/1000</f>
        <v>0</v>
      </c>
      <c r="Z1181" s="85">
        <f t="shared" ref="Z1181:Z1188" si="146">+E1181-X1181</f>
        <v>0</v>
      </c>
      <c r="AA1181" s="69">
        <f>STATS1003B!AA1182/1000</f>
        <v>2200</v>
      </c>
      <c r="AB1181" s="69">
        <f>STATS1003B!AB1182/1000</f>
        <v>0</v>
      </c>
    </row>
    <row r="1182" spans="1:28" hidden="1" x14ac:dyDescent="0.3">
      <c r="A1182" s="117"/>
      <c r="C1182" s="68" t="s">
        <v>122</v>
      </c>
      <c r="E1182" s="85">
        <f>STATS1003B!E1183/1000</f>
        <v>794.02242000000001</v>
      </c>
      <c r="F1182" s="85">
        <f>STATS1003B!F1183/1000</f>
        <v>794.02242000000001</v>
      </c>
      <c r="G1182" s="85">
        <f>STATS1003B!G1183/1000</f>
        <v>0</v>
      </c>
      <c r="H1182" s="85">
        <f>STATS1003B!H1183/1000</f>
        <v>794.02242000000001</v>
      </c>
      <c r="I1182" s="85">
        <f>STATS1003B!I1183/1000</f>
        <v>0</v>
      </c>
      <c r="J1182" s="85">
        <f>STATS1003B!J1183/1000</f>
        <v>0</v>
      </c>
      <c r="K1182" s="85">
        <f>STATS1003B!K1183/1000</f>
        <v>0</v>
      </c>
      <c r="L1182" s="85">
        <f>STATS1003B!L1183/1000</f>
        <v>0</v>
      </c>
      <c r="M1182" s="85">
        <f>STATS1003B!M1183/1000</f>
        <v>794.02242000000001</v>
      </c>
      <c r="N1182" s="85">
        <f>STATS1003B!N1183/1000</f>
        <v>0</v>
      </c>
      <c r="O1182" s="85">
        <f>STATS1003B!O1183/1000</f>
        <v>0</v>
      </c>
      <c r="P1182" s="85">
        <f>STATS1003B!P1183/1000</f>
        <v>0</v>
      </c>
      <c r="Q1182" s="85">
        <f>STATS1003B!Q1183/1000</f>
        <v>0</v>
      </c>
      <c r="R1182" s="85">
        <f>STATS1003B!R1183/1000</f>
        <v>0</v>
      </c>
      <c r="S1182" s="85">
        <f>STATS1003B!S1183/1000</f>
        <v>0</v>
      </c>
      <c r="T1182" s="85">
        <f>STATS1003B!T1183/1000</f>
        <v>0</v>
      </c>
      <c r="U1182" s="85">
        <f>STATS1003B!U1183/1000</f>
        <v>0</v>
      </c>
      <c r="V1182" s="85">
        <f>STATS1003B!V1183/1000</f>
        <v>794.02242000000001</v>
      </c>
      <c r="W1182" s="85">
        <f>STATS1003B!W1183/1000</f>
        <v>0</v>
      </c>
      <c r="X1182" s="85">
        <f t="shared" si="145"/>
        <v>794.02242000000001</v>
      </c>
      <c r="Y1182" s="85">
        <f>STATS1003B!Y1183/1000</f>
        <v>0</v>
      </c>
      <c r="Z1182" s="85">
        <f t="shared" si="146"/>
        <v>0</v>
      </c>
      <c r="AA1182" s="69">
        <f>STATS1003B!AA1183/1000</f>
        <v>794.02242000000001</v>
      </c>
      <c r="AB1182" s="69">
        <f>STATS1003B!AB1183/1000</f>
        <v>0</v>
      </c>
    </row>
    <row r="1183" spans="1:28" hidden="1" x14ac:dyDescent="0.3">
      <c r="A1183" s="117"/>
      <c r="C1183" s="68" t="s">
        <v>924</v>
      </c>
      <c r="E1183" s="85">
        <f>STATS1003B!E1184/1000</f>
        <v>840.72231999999997</v>
      </c>
      <c r="F1183" s="85">
        <f>STATS1003B!F1184/1000</f>
        <v>836</v>
      </c>
      <c r="G1183" s="85">
        <f>STATS1003B!G1184/1000</f>
        <v>0</v>
      </c>
      <c r="H1183" s="85">
        <f>STATS1003B!H1184/1000</f>
        <v>836</v>
      </c>
      <c r="I1183" s="85">
        <f>STATS1003B!I1184/1000</f>
        <v>0</v>
      </c>
      <c r="J1183" s="85">
        <f>STATS1003B!J1184/1000</f>
        <v>0</v>
      </c>
      <c r="K1183" s="85">
        <f>STATS1003B!K1184/1000</f>
        <v>0</v>
      </c>
      <c r="L1183" s="85">
        <f>STATS1003B!L1184/1000</f>
        <v>0</v>
      </c>
      <c r="M1183" s="85">
        <f>STATS1003B!M1184/1000</f>
        <v>836</v>
      </c>
      <c r="N1183" s="85">
        <f>STATS1003B!N1184/1000</f>
        <v>4.7223199999999999</v>
      </c>
      <c r="O1183" s="85">
        <f>STATS1003B!O1184/1000</f>
        <v>0</v>
      </c>
      <c r="P1183" s="85">
        <f>STATS1003B!P1184/1000</f>
        <v>4.7223199999999999</v>
      </c>
      <c r="Q1183" s="85">
        <f>STATS1003B!Q1184/1000</f>
        <v>0</v>
      </c>
      <c r="R1183" s="85">
        <f>STATS1003B!R1184/1000</f>
        <v>0</v>
      </c>
      <c r="S1183" s="85">
        <f>STATS1003B!S1184/1000</f>
        <v>0</v>
      </c>
      <c r="T1183" s="85">
        <f>STATS1003B!T1184/1000</f>
        <v>0</v>
      </c>
      <c r="U1183" s="85">
        <f>STATS1003B!U1184/1000</f>
        <v>4.7223199999999999</v>
      </c>
      <c r="V1183" s="85">
        <f>STATS1003B!V1184/1000</f>
        <v>840.72231999999997</v>
      </c>
      <c r="W1183" s="85">
        <f>STATS1003B!W1184/1000</f>
        <v>0</v>
      </c>
      <c r="X1183" s="85">
        <f t="shared" si="145"/>
        <v>840.72231999999997</v>
      </c>
      <c r="Y1183" s="85">
        <f>STATS1003B!Y1184/1000</f>
        <v>0</v>
      </c>
      <c r="Z1183" s="85">
        <f t="shared" si="146"/>
        <v>0</v>
      </c>
      <c r="AA1183" s="69">
        <f>STATS1003B!AA1184/1000</f>
        <v>840.72231999999997</v>
      </c>
      <c r="AB1183" s="69">
        <f>STATS1003B!AB1184/1000</f>
        <v>0</v>
      </c>
    </row>
    <row r="1184" spans="1:28" hidden="1" x14ac:dyDescent="0.3">
      <c r="A1184" s="117"/>
      <c r="C1184" s="68" t="s">
        <v>1134</v>
      </c>
      <c r="D1184" s="91" t="s">
        <v>1126</v>
      </c>
      <c r="E1184" s="85">
        <f>STATS1003B!E1185/1000</f>
        <v>875.15701000000001</v>
      </c>
      <c r="F1184" s="85">
        <f>STATS1003B!F1185/1000</f>
        <v>875.15701000000001</v>
      </c>
      <c r="G1184" s="85">
        <f>STATS1003B!G1185/1000</f>
        <v>0</v>
      </c>
      <c r="H1184" s="85">
        <f>STATS1003B!H1185/1000</f>
        <v>875.15701000000001</v>
      </c>
      <c r="I1184" s="85">
        <f>STATS1003B!I1185/1000</f>
        <v>0</v>
      </c>
      <c r="J1184" s="85">
        <f>STATS1003B!J1185/1000</f>
        <v>0</v>
      </c>
      <c r="K1184" s="85">
        <f>STATS1003B!K1185/1000</f>
        <v>0</v>
      </c>
      <c r="L1184" s="85">
        <f>STATS1003B!L1185/1000</f>
        <v>0</v>
      </c>
      <c r="M1184" s="85">
        <f>STATS1003B!M1185/1000</f>
        <v>875.15701000000001</v>
      </c>
      <c r="N1184" s="85">
        <f>STATS1003B!N1185/1000</f>
        <v>0</v>
      </c>
      <c r="O1184" s="85">
        <f>STATS1003B!O1185/1000</f>
        <v>0</v>
      </c>
      <c r="P1184" s="85">
        <f>STATS1003B!P1185/1000</f>
        <v>0</v>
      </c>
      <c r="Q1184" s="85">
        <f>STATS1003B!Q1185/1000</f>
        <v>0</v>
      </c>
      <c r="R1184" s="85">
        <f>STATS1003B!R1185/1000</f>
        <v>0</v>
      </c>
      <c r="S1184" s="85">
        <f>STATS1003B!S1185/1000</f>
        <v>0</v>
      </c>
      <c r="T1184" s="85">
        <f>STATS1003B!T1185/1000</f>
        <v>0</v>
      </c>
      <c r="U1184" s="85">
        <f>STATS1003B!U1185/1000</f>
        <v>0</v>
      </c>
      <c r="V1184" s="85">
        <f>STATS1003B!V1185/1000</f>
        <v>875.15701000000001</v>
      </c>
      <c r="W1184" s="85">
        <f>STATS1003B!W1185/1000</f>
        <v>0</v>
      </c>
      <c r="X1184" s="85">
        <f t="shared" si="145"/>
        <v>875.15701000000001</v>
      </c>
      <c r="Y1184" s="85">
        <f>STATS1003B!Y1185/1000</f>
        <v>0</v>
      </c>
      <c r="Z1184" s="85">
        <f t="shared" si="146"/>
        <v>0</v>
      </c>
      <c r="AA1184" s="69">
        <f>STATS1003B!AA1185/1000</f>
        <v>875.15701000000001</v>
      </c>
      <c r="AB1184" s="69">
        <f>STATS1003B!AB1185/1000</f>
        <v>0</v>
      </c>
    </row>
    <row r="1185" spans="1:32" hidden="1" x14ac:dyDescent="0.3">
      <c r="A1185" s="117"/>
      <c r="C1185" s="68" t="s">
        <v>90</v>
      </c>
      <c r="D1185" s="91" t="s">
        <v>61</v>
      </c>
      <c r="E1185" s="85">
        <f>STATS1003B!E1186/1000</f>
        <v>300</v>
      </c>
      <c r="F1185" s="85">
        <f>STATS1003B!F1186/1000</f>
        <v>300</v>
      </c>
      <c r="G1185" s="85">
        <f>STATS1003B!G1186/1000</f>
        <v>0</v>
      </c>
      <c r="H1185" s="85">
        <f>STATS1003B!H1186/1000</f>
        <v>300</v>
      </c>
      <c r="I1185" s="85">
        <f>STATS1003B!I1186/1000</f>
        <v>300</v>
      </c>
      <c r="J1185" s="85">
        <f>STATS1003B!J1186/1000</f>
        <v>300</v>
      </c>
      <c r="K1185" s="85">
        <f>STATS1003B!K1186/1000</f>
        <v>0</v>
      </c>
      <c r="L1185" s="85">
        <f>STATS1003B!L1186/1000</f>
        <v>0</v>
      </c>
      <c r="M1185" s="85">
        <f>STATS1003B!M1186/1000</f>
        <v>300</v>
      </c>
      <c r="N1185" s="85">
        <f>STATS1003B!N1186/1000</f>
        <v>0</v>
      </c>
      <c r="O1185" s="85">
        <f>STATS1003B!O1186/1000</f>
        <v>0</v>
      </c>
      <c r="P1185" s="85">
        <f>STATS1003B!P1186/1000</f>
        <v>0</v>
      </c>
      <c r="Q1185" s="85">
        <f>STATS1003B!Q1186/1000</f>
        <v>0</v>
      </c>
      <c r="R1185" s="85">
        <f>STATS1003B!R1186/1000</f>
        <v>0</v>
      </c>
      <c r="S1185" s="85">
        <f>STATS1003B!S1186/1000</f>
        <v>0</v>
      </c>
      <c r="T1185" s="85">
        <f>STATS1003B!T1186/1000</f>
        <v>0</v>
      </c>
      <c r="U1185" s="85">
        <f>STATS1003B!U1186/1000</f>
        <v>0</v>
      </c>
      <c r="V1185" s="85">
        <f>STATS1003B!V1186/1000</f>
        <v>300</v>
      </c>
      <c r="W1185" s="85">
        <f>STATS1003B!W1186/1000</f>
        <v>0</v>
      </c>
      <c r="X1185" s="85">
        <f t="shared" si="145"/>
        <v>300</v>
      </c>
      <c r="Y1185" s="85">
        <f>STATS1003B!Y1186/1000</f>
        <v>0</v>
      </c>
      <c r="Z1185" s="85">
        <f t="shared" si="146"/>
        <v>0</v>
      </c>
      <c r="AA1185" s="69">
        <f>STATS1003B!AA1186/1000</f>
        <v>300</v>
      </c>
      <c r="AB1185" s="69">
        <f>STATS1003B!AB1186/1000</f>
        <v>0</v>
      </c>
    </row>
    <row r="1186" spans="1:32" hidden="1" x14ac:dyDescent="0.3">
      <c r="A1186" s="117"/>
      <c r="E1186" s="86" t="s">
        <v>29</v>
      </c>
      <c r="F1186" s="86" t="s">
        <v>29</v>
      </c>
      <c r="G1186" s="86" t="s">
        <v>29</v>
      </c>
      <c r="H1186" s="86" t="s">
        <v>29</v>
      </c>
      <c r="I1186" s="86" t="s">
        <v>29</v>
      </c>
      <c r="J1186" s="86" t="s">
        <v>29</v>
      </c>
      <c r="K1186" s="86" t="s">
        <v>29</v>
      </c>
      <c r="L1186" s="86" t="s">
        <v>29</v>
      </c>
      <c r="M1186" s="86" t="s">
        <v>29</v>
      </c>
      <c r="N1186" s="86" t="s">
        <v>29</v>
      </c>
      <c r="O1186" s="86" t="s">
        <v>29</v>
      </c>
      <c r="P1186" s="86" t="s">
        <v>29</v>
      </c>
      <c r="Q1186" s="86" t="s">
        <v>29</v>
      </c>
      <c r="R1186" s="86" t="s">
        <v>29</v>
      </c>
      <c r="S1186" s="86" t="s">
        <v>29</v>
      </c>
      <c r="T1186" s="86" t="s">
        <v>29</v>
      </c>
      <c r="U1186" s="86" t="s">
        <v>29</v>
      </c>
      <c r="V1186" s="86" t="s">
        <v>29</v>
      </c>
      <c r="W1186" s="86" t="s">
        <v>29</v>
      </c>
      <c r="X1186" s="85" t="e">
        <f t="shared" si="145"/>
        <v>#VALUE!</v>
      </c>
      <c r="Y1186" s="86" t="s">
        <v>29</v>
      </c>
      <c r="Z1186" s="85" t="e">
        <f t="shared" si="146"/>
        <v>#VALUE!</v>
      </c>
      <c r="AA1186" s="115" t="s">
        <v>29</v>
      </c>
      <c r="AB1186" s="115" t="s">
        <v>29</v>
      </c>
    </row>
    <row r="1187" spans="1:32" x14ac:dyDescent="0.3">
      <c r="A1187" s="117"/>
      <c r="B1187" s="6" t="s">
        <v>1308</v>
      </c>
      <c r="E1187" s="92">
        <f>4328570.42/1000</f>
        <v>4328.57042</v>
      </c>
      <c r="F1187" s="92"/>
      <c r="G1187" s="92"/>
      <c r="H1187" s="92">
        <f>4328570.42/1000</f>
        <v>4328.57042</v>
      </c>
      <c r="I1187" s="92"/>
      <c r="J1187" s="92"/>
      <c r="K1187" s="92"/>
      <c r="L1187" s="92"/>
      <c r="M1187" s="92"/>
      <c r="N1187" s="92"/>
      <c r="O1187" s="92"/>
      <c r="P1187" s="92">
        <v>0</v>
      </c>
      <c r="Q1187" s="92"/>
      <c r="R1187" s="92"/>
      <c r="S1187" s="92"/>
      <c r="T1187" s="92"/>
      <c r="U1187" s="92"/>
      <c r="V1187" s="92"/>
      <c r="W1187" s="92"/>
      <c r="X1187" s="92">
        <f>+H1187+P1187</f>
        <v>4328.57042</v>
      </c>
      <c r="Y1187" s="92"/>
      <c r="Z1187" s="92">
        <f>+E1187-X1187</f>
        <v>0</v>
      </c>
      <c r="AA1187" s="115"/>
      <c r="AB1187" s="115"/>
    </row>
    <row r="1188" spans="1:32" x14ac:dyDescent="0.3">
      <c r="A1188" s="117">
        <v>55</v>
      </c>
      <c r="B1188" s="68" t="s">
        <v>285</v>
      </c>
      <c r="E1188" s="85">
        <f>131467177.92/1000</f>
        <v>131467.17791999999</v>
      </c>
      <c r="F1188" s="85">
        <f t="shared" ref="F1188:AB1188" si="147">SUM(F1169:F1185)</f>
        <v>35618.83584</v>
      </c>
      <c r="G1188" s="85">
        <f t="shared" si="147"/>
        <v>0</v>
      </c>
      <c r="H1188" s="85">
        <f>127590153.43/1000</f>
        <v>127590.15343000001</v>
      </c>
      <c r="I1188" s="85">
        <f t="shared" si="147"/>
        <v>300</v>
      </c>
      <c r="J1188" s="85">
        <f t="shared" si="147"/>
        <v>300</v>
      </c>
      <c r="K1188" s="85">
        <f t="shared" si="147"/>
        <v>0</v>
      </c>
      <c r="L1188" s="85">
        <f t="shared" si="147"/>
        <v>0</v>
      </c>
      <c r="M1188" s="85">
        <f t="shared" si="147"/>
        <v>35618.83584</v>
      </c>
      <c r="N1188" s="85">
        <f t="shared" si="147"/>
        <v>3877.0244899999998</v>
      </c>
      <c r="O1188" s="85">
        <f t="shared" si="147"/>
        <v>0</v>
      </c>
      <c r="P1188" s="85">
        <f>3877024/1000</f>
        <v>3877.0239999999999</v>
      </c>
      <c r="Q1188" s="85">
        <f t="shared" si="147"/>
        <v>0</v>
      </c>
      <c r="R1188" s="85">
        <f t="shared" si="147"/>
        <v>0</v>
      </c>
      <c r="S1188" s="85">
        <f t="shared" si="147"/>
        <v>0</v>
      </c>
      <c r="T1188" s="85">
        <f t="shared" si="147"/>
        <v>0</v>
      </c>
      <c r="U1188" s="85">
        <f t="shared" si="147"/>
        <v>3877.0244899999998</v>
      </c>
      <c r="V1188" s="85">
        <f t="shared" si="147"/>
        <v>39495.860330000003</v>
      </c>
      <c r="W1188" s="85">
        <f t="shared" si="147"/>
        <v>0</v>
      </c>
      <c r="X1188" s="85">
        <f>+H1188+P1188</f>
        <v>131467.17743000001</v>
      </c>
      <c r="Y1188" s="85">
        <f t="shared" si="147"/>
        <v>0</v>
      </c>
      <c r="Z1188" s="85">
        <f t="shared" si="146"/>
        <v>4.8999997670762241E-4</v>
      </c>
      <c r="AA1188" s="69">
        <f t="shared" si="147"/>
        <v>39495.860330000003</v>
      </c>
      <c r="AB1188" s="69">
        <f t="shared" si="147"/>
        <v>0</v>
      </c>
    </row>
    <row r="1189" spans="1:32" x14ac:dyDescent="0.3">
      <c r="A1189" s="117"/>
      <c r="E1189" s="86"/>
      <c r="F1189" s="86"/>
      <c r="G1189" s="86"/>
      <c r="H1189" s="86"/>
      <c r="I1189" s="86"/>
      <c r="J1189" s="86"/>
      <c r="K1189" s="86"/>
      <c r="L1189" s="86"/>
      <c r="M1189" s="86"/>
      <c r="N1189" s="86"/>
      <c r="O1189" s="86"/>
      <c r="P1189" s="86"/>
      <c r="Q1189" s="86"/>
      <c r="R1189" s="86"/>
      <c r="S1189" s="86"/>
      <c r="T1189" s="86"/>
      <c r="U1189" s="86"/>
      <c r="V1189" s="86"/>
      <c r="W1189" s="86"/>
      <c r="X1189" s="86"/>
      <c r="Y1189" s="86"/>
      <c r="Z1189" s="86"/>
      <c r="AA1189" s="115"/>
      <c r="AB1189" s="115"/>
      <c r="AF1189" s="123"/>
    </row>
    <row r="1190" spans="1:32" x14ac:dyDescent="0.3">
      <c r="A1190" s="117"/>
      <c r="C1190" s="68" t="s">
        <v>3</v>
      </c>
      <c r="E1190" s="82">
        <f>+E984+E989+E1013+E1033+E1049+E1065+E1085+E1106+E1129+E1143+E1166+E1187+E1188</f>
        <v>2332843.7722399998</v>
      </c>
      <c r="F1190" s="82">
        <f t="shared" ref="F1190:AB1190" si="148">F1188+F1166+F1143+F1129+F1106+F1085+F1065+F1049+F1033+F1013+F989+F984</f>
        <v>514755.83102000004</v>
      </c>
      <c r="G1190" s="82">
        <f t="shared" si="148"/>
        <v>250</v>
      </c>
      <c r="H1190" s="82">
        <f>+H984+H989+H1013+H1033+H1049+H1065+H1085+H1106+H1129+H1143+H1166+H1187+H1188</f>
        <v>2218250.6596900001</v>
      </c>
      <c r="I1190" s="82">
        <f t="shared" si="148"/>
        <v>13430.469430000001</v>
      </c>
      <c r="J1190" s="82">
        <f t="shared" si="148"/>
        <v>13430.469430000001</v>
      </c>
      <c r="K1190" s="82">
        <f t="shared" si="148"/>
        <v>0</v>
      </c>
      <c r="L1190" s="82">
        <f t="shared" si="148"/>
        <v>0</v>
      </c>
      <c r="M1190" s="82">
        <f t="shared" si="148"/>
        <v>515005.83102000004</v>
      </c>
      <c r="N1190" s="82">
        <f t="shared" si="148"/>
        <v>113880.2714</v>
      </c>
      <c r="O1190" s="82">
        <f t="shared" si="148"/>
        <v>0</v>
      </c>
      <c r="P1190" s="82">
        <f>+P984+P989+P1013+P1033+P1049+P1065+P1085+P1106+P1129+P1143+P1166+P1187+P1188</f>
        <v>113880.26455000001</v>
      </c>
      <c r="Q1190" s="82">
        <f t="shared" si="148"/>
        <v>37.806410000000007</v>
      </c>
      <c r="R1190" s="82">
        <f t="shared" si="148"/>
        <v>0</v>
      </c>
      <c r="S1190" s="82">
        <f t="shared" si="148"/>
        <v>90.390740000000008</v>
      </c>
      <c r="T1190" s="82">
        <f t="shared" si="148"/>
        <v>128.19715000000002</v>
      </c>
      <c r="U1190" s="82">
        <f t="shared" si="148"/>
        <v>114008.46855000001</v>
      </c>
      <c r="V1190" s="82">
        <f t="shared" si="148"/>
        <v>591426.27461999992</v>
      </c>
      <c r="W1190" s="82">
        <f t="shared" si="148"/>
        <v>712.84114999999997</v>
      </c>
      <c r="X1190" s="82">
        <f>+X984+X989+X1013+X1033+X1049+X1065+X1085+X1106+X1129+X1143+X1166+X1187+X1188</f>
        <v>2332130.9242400001</v>
      </c>
      <c r="Y1190" s="82">
        <f t="shared" si="148"/>
        <v>0</v>
      </c>
      <c r="Z1190" s="82">
        <f>+Z984+Z989+Z1013+Z1033+Z1049+Z1065+Z1085+Z1106+Z1129+Z1143+Z1166+Z1187+Z1188</f>
        <v>712.84799999985262</v>
      </c>
      <c r="AA1190" s="69">
        <f t="shared" si="148"/>
        <v>629014.29957000003</v>
      </c>
      <c r="AB1190" s="69">
        <f t="shared" si="148"/>
        <v>584.64400000000001</v>
      </c>
    </row>
    <row r="1191" spans="1:32" x14ac:dyDescent="0.3">
      <c r="A1191" s="117"/>
      <c r="E1191" s="92"/>
      <c r="F1191" s="86"/>
      <c r="G1191" s="86"/>
      <c r="H1191" s="86"/>
      <c r="I1191" s="86"/>
      <c r="J1191" s="86"/>
      <c r="K1191" s="86"/>
      <c r="L1191" s="86"/>
      <c r="M1191" s="86"/>
      <c r="N1191" s="86"/>
      <c r="O1191" s="86"/>
      <c r="P1191" s="86"/>
      <c r="Q1191" s="86"/>
      <c r="R1191" s="86"/>
      <c r="S1191" s="86"/>
      <c r="T1191" s="86"/>
      <c r="U1191" s="86"/>
      <c r="V1191" s="86"/>
      <c r="W1191" s="86"/>
      <c r="X1191" s="92"/>
      <c r="Y1191" s="86"/>
      <c r="Z1191" s="86"/>
      <c r="AA1191" s="115" t="s">
        <v>114</v>
      </c>
      <c r="AB1191" s="115" t="s">
        <v>114</v>
      </c>
    </row>
    <row r="1192" spans="1:32" hidden="1" x14ac:dyDescent="0.3">
      <c r="A1192" s="117"/>
      <c r="E1192" s="86"/>
      <c r="F1192" s="86"/>
      <c r="G1192" s="86"/>
      <c r="H1192" s="86"/>
      <c r="I1192" s="86"/>
      <c r="J1192" s="86"/>
      <c r="K1192" s="86"/>
      <c r="L1192" s="86"/>
      <c r="M1192" s="86"/>
      <c r="N1192" s="86"/>
      <c r="O1192" s="86"/>
      <c r="P1192" s="86"/>
      <c r="Q1192" s="86"/>
      <c r="R1192" s="86"/>
      <c r="S1192" s="86"/>
      <c r="T1192" s="86"/>
      <c r="U1192" s="86"/>
      <c r="V1192" s="86"/>
      <c r="W1192" s="86"/>
      <c r="X1192" s="86"/>
      <c r="Y1192" s="86"/>
      <c r="Z1192" s="86"/>
      <c r="AA1192" s="118"/>
    </row>
    <row r="1193" spans="1:32" x14ac:dyDescent="0.3">
      <c r="A1193" s="117"/>
      <c r="B1193" s="68" t="s">
        <v>673</v>
      </c>
      <c r="E1193" s="84"/>
      <c r="F1193" s="84"/>
      <c r="G1193" s="84"/>
      <c r="H1193" s="84"/>
      <c r="I1193" s="84"/>
      <c r="J1193" s="84"/>
      <c r="K1193" s="84"/>
      <c r="L1193" s="84"/>
      <c r="M1193" s="84"/>
      <c r="N1193" s="84"/>
      <c r="O1193" s="84"/>
      <c r="P1193" s="84"/>
      <c r="Q1193" s="84"/>
      <c r="R1193" s="86"/>
      <c r="S1193" s="86"/>
      <c r="T1193" s="86"/>
      <c r="U1193" s="86"/>
      <c r="V1193" s="86"/>
      <c r="W1193" s="86"/>
      <c r="X1193" s="124"/>
      <c r="Y1193" s="86"/>
      <c r="Z1193" s="86"/>
    </row>
    <row r="1194" spans="1:32" hidden="1" x14ac:dyDescent="0.3">
      <c r="A1194" s="117"/>
      <c r="B1194" s="68"/>
      <c r="E1194" s="84"/>
      <c r="F1194" s="84"/>
      <c r="G1194" s="84"/>
      <c r="H1194" s="84"/>
      <c r="I1194" s="84"/>
      <c r="J1194" s="84"/>
      <c r="K1194" s="84"/>
      <c r="L1194" s="84"/>
      <c r="M1194" s="84"/>
      <c r="N1194" s="84"/>
      <c r="O1194" s="84"/>
      <c r="P1194" s="84"/>
      <c r="Q1194" s="84"/>
      <c r="R1194" s="86"/>
      <c r="S1194" s="86"/>
      <c r="T1194" s="86"/>
      <c r="U1194" s="86"/>
      <c r="V1194" s="86"/>
      <c r="W1194" s="86"/>
      <c r="X1194" s="86"/>
      <c r="Y1194" s="86"/>
      <c r="Z1194" s="86"/>
    </row>
    <row r="1195" spans="1:32" hidden="1" x14ac:dyDescent="0.3">
      <c r="A1195" s="105"/>
      <c r="E1195" s="84"/>
      <c r="F1195" s="84"/>
      <c r="G1195" s="84"/>
      <c r="H1195" s="84"/>
      <c r="I1195" s="84"/>
      <c r="J1195" s="84"/>
      <c r="K1195" s="84"/>
      <c r="L1195" s="84"/>
      <c r="M1195" s="84"/>
      <c r="N1195" s="84"/>
      <c r="O1195" s="84"/>
      <c r="P1195" s="84"/>
      <c r="Q1195" s="84"/>
      <c r="R1195" s="86"/>
      <c r="S1195" s="86"/>
      <c r="T1195" s="86"/>
      <c r="U1195" s="86"/>
      <c r="V1195" s="86"/>
      <c r="W1195" s="86"/>
      <c r="X1195" s="86"/>
      <c r="Y1195" s="86"/>
      <c r="Z1195" s="86"/>
    </row>
    <row r="1196" spans="1:32" hidden="1" x14ac:dyDescent="0.3">
      <c r="A1196" s="117"/>
      <c r="C1196" s="68" t="s">
        <v>675</v>
      </c>
      <c r="D1196" s="87" t="s">
        <v>76</v>
      </c>
      <c r="E1196" s="85">
        <f>STATS1003B!E1197/1000</f>
        <v>2232.0402200000003</v>
      </c>
      <c r="F1196" s="85">
        <f>STATS1003B!F1197/1000</f>
        <v>1833.69569</v>
      </c>
      <c r="G1196" s="85">
        <f>STATS1003B!G1197/1000</f>
        <v>0</v>
      </c>
      <c r="H1196" s="85">
        <f>STATS1003B!H1197/1000</f>
        <v>1833.69569</v>
      </c>
      <c r="I1196" s="85">
        <f>STATS1003B!I1197/1000</f>
        <v>0</v>
      </c>
      <c r="J1196" s="85">
        <f>STATS1003B!J1197/1000</f>
        <v>1833.69569</v>
      </c>
      <c r="K1196" s="85">
        <f>STATS1003B!K1197/1000</f>
        <v>398.34453000000002</v>
      </c>
      <c r="L1196" s="85">
        <f>STATS1003B!L1197/1000</f>
        <v>0</v>
      </c>
      <c r="M1196" s="85">
        <f>STATS1003B!M1197/1000</f>
        <v>1833.69569</v>
      </c>
      <c r="N1196" s="85">
        <f>STATS1003B!N1197/1000</f>
        <v>398.34453000000002</v>
      </c>
      <c r="O1196" s="85">
        <f>STATS1003B!O1197/1000</f>
        <v>0</v>
      </c>
      <c r="P1196" s="85">
        <f>STATS1003B!P1197/1000</f>
        <v>398.34453000000002</v>
      </c>
      <c r="Q1196" s="85">
        <f>STATS1003B!Q1197/1000</f>
        <v>1833.6956900000002</v>
      </c>
      <c r="R1196" s="85">
        <f>STATS1003B!R1197/1000</f>
        <v>0</v>
      </c>
      <c r="S1196" s="85">
        <f>STATS1003B!S1197/1000</f>
        <v>0</v>
      </c>
      <c r="T1196" s="85">
        <f>STATS1003B!T1197/1000</f>
        <v>0</v>
      </c>
      <c r="U1196" s="85">
        <f>STATS1003B!U1197/1000</f>
        <v>398.34453000000002</v>
      </c>
      <c r="V1196" s="85">
        <f>STATS1003B!V1197/1000</f>
        <v>2232.0402199999999</v>
      </c>
      <c r="W1196" s="85">
        <f>STATS1003B!W1197/1000</f>
        <v>0</v>
      </c>
      <c r="X1196" s="85">
        <f>STATS1003B!X1197/1000</f>
        <v>2232.0402199999999</v>
      </c>
      <c r="Y1196" s="85">
        <f>STATS1003B!Y1197/1000</f>
        <v>0</v>
      </c>
      <c r="Z1196" s="85">
        <f>STATS1003B!Z1197/1000</f>
        <v>0</v>
      </c>
      <c r="AA1196" s="69">
        <f>STATS1003B!AA1197/1000</f>
        <v>2232.0402199999999</v>
      </c>
      <c r="AB1196" s="69">
        <f>STATS1003B!AB1197/1000</f>
        <v>0</v>
      </c>
    </row>
    <row r="1197" spans="1:32" hidden="1" x14ac:dyDescent="0.3">
      <c r="A1197" s="117"/>
      <c r="C1197" s="68" t="s">
        <v>539</v>
      </c>
      <c r="D1197" s="87" t="s">
        <v>68</v>
      </c>
      <c r="E1197" s="85">
        <f>STATS1003B!E1198/1000</f>
        <v>3629.9385000000002</v>
      </c>
      <c r="F1197" s="85">
        <f>STATS1003B!F1198/1000</f>
        <v>0</v>
      </c>
      <c r="G1197" s="85">
        <f>STATS1003B!G1198/1000</f>
        <v>0</v>
      </c>
      <c r="H1197" s="85">
        <f>STATS1003B!H1198/1000</f>
        <v>0</v>
      </c>
      <c r="I1197" s="85">
        <f>STATS1003B!I1198/1000</f>
        <v>0</v>
      </c>
      <c r="J1197" s="85">
        <f>STATS1003B!J1198/1000</f>
        <v>0</v>
      </c>
      <c r="K1197" s="85">
        <f>STATS1003B!K1198/1000</f>
        <v>3629.9385000000002</v>
      </c>
      <c r="L1197" s="85">
        <f>STATS1003B!L1198/1000</f>
        <v>0</v>
      </c>
      <c r="M1197" s="85">
        <f>STATS1003B!M1198/1000</f>
        <v>0</v>
      </c>
      <c r="N1197" s="85">
        <f>STATS1003B!N1198/1000</f>
        <v>3629.9385000000002</v>
      </c>
      <c r="O1197" s="85">
        <f>STATS1003B!O1198/1000</f>
        <v>0</v>
      </c>
      <c r="P1197" s="85">
        <f>STATS1003B!P1198/1000</f>
        <v>3629.9385000000002</v>
      </c>
      <c r="Q1197" s="85">
        <f>STATS1003B!Q1198/1000</f>
        <v>0</v>
      </c>
      <c r="R1197" s="85">
        <f>STATS1003B!R1198/1000</f>
        <v>0</v>
      </c>
      <c r="S1197" s="85">
        <f>STATS1003B!S1198/1000</f>
        <v>0</v>
      </c>
      <c r="T1197" s="85">
        <f>STATS1003B!T1198/1000</f>
        <v>0</v>
      </c>
      <c r="U1197" s="85">
        <f>STATS1003B!U1198/1000</f>
        <v>3629.9385000000002</v>
      </c>
      <c r="V1197" s="85">
        <f>STATS1003B!V1198/1000</f>
        <v>3629.9385000000002</v>
      </c>
      <c r="W1197" s="85">
        <f>STATS1003B!W1198/1000</f>
        <v>0</v>
      </c>
      <c r="X1197" s="85">
        <f>STATS1003B!X1198/1000</f>
        <v>3629.9385000000002</v>
      </c>
      <c r="Y1197" s="85">
        <f>STATS1003B!Y1198/1000</f>
        <v>0</v>
      </c>
      <c r="Z1197" s="85">
        <f>STATS1003B!Z1198/1000</f>
        <v>0</v>
      </c>
      <c r="AA1197" s="69">
        <f>STATS1003B!AA1198/1000</f>
        <v>3629.9385000000002</v>
      </c>
      <c r="AB1197" s="69">
        <f>STATS1003B!AB1198/1000</f>
        <v>0</v>
      </c>
    </row>
    <row r="1198" spans="1:32" hidden="1" x14ac:dyDescent="0.3">
      <c r="A1198" s="117"/>
      <c r="C1198" s="68" t="s">
        <v>535</v>
      </c>
      <c r="D1198" s="87" t="s">
        <v>68</v>
      </c>
      <c r="E1198" s="85">
        <f>STATS1003B!E1199/1000</f>
        <v>446.10741999999993</v>
      </c>
      <c r="F1198" s="85">
        <f>STATS1003B!F1199/1000</f>
        <v>0</v>
      </c>
      <c r="G1198" s="85">
        <f>STATS1003B!G1199/1000</f>
        <v>0</v>
      </c>
      <c r="H1198" s="85">
        <f>STATS1003B!H1199/1000</f>
        <v>0</v>
      </c>
      <c r="I1198" s="85">
        <f>STATS1003B!I1199/1000</f>
        <v>0</v>
      </c>
      <c r="J1198" s="85">
        <f>STATS1003B!J1199/1000</f>
        <v>0</v>
      </c>
      <c r="K1198" s="85">
        <f>STATS1003B!K1199/1000</f>
        <v>446.10742000000005</v>
      </c>
      <c r="L1198" s="85">
        <f>STATS1003B!L1199/1000</f>
        <v>0</v>
      </c>
      <c r="M1198" s="85">
        <f>STATS1003B!M1199/1000</f>
        <v>0</v>
      </c>
      <c r="N1198" s="85">
        <f>STATS1003B!N1199/1000</f>
        <v>446.10741999999999</v>
      </c>
      <c r="O1198" s="85">
        <f>STATS1003B!O1199/1000</f>
        <v>0</v>
      </c>
      <c r="P1198" s="85">
        <f>STATS1003B!P1199/1000</f>
        <v>446.10741999999999</v>
      </c>
      <c r="Q1198" s="85">
        <f>STATS1003B!Q1199/1000</f>
        <v>0</v>
      </c>
      <c r="R1198" s="85">
        <f>STATS1003B!R1199/1000</f>
        <v>0</v>
      </c>
      <c r="S1198" s="85">
        <f>STATS1003B!S1199/1000</f>
        <v>0</v>
      </c>
      <c r="T1198" s="85">
        <f>STATS1003B!T1199/1000</f>
        <v>0</v>
      </c>
      <c r="U1198" s="85">
        <f>STATS1003B!U1199/1000</f>
        <v>446.10741999999999</v>
      </c>
      <c r="V1198" s="85">
        <f>STATS1003B!V1199/1000</f>
        <v>446.10741999999999</v>
      </c>
      <c r="W1198" s="85">
        <f>STATS1003B!W1199/1000</f>
        <v>0</v>
      </c>
      <c r="X1198" s="85">
        <f>STATS1003B!X1199/1000</f>
        <v>446.10741999999999</v>
      </c>
      <c r="Y1198" s="85">
        <f>STATS1003B!Y1199/1000</f>
        <v>0</v>
      </c>
      <c r="Z1198" s="85">
        <f>STATS1003B!Z1199/1000</f>
        <v>0</v>
      </c>
      <c r="AA1198" s="69">
        <f>STATS1003B!AA1199/1000</f>
        <v>446.10741999999999</v>
      </c>
      <c r="AB1198" s="69">
        <f>STATS1003B!AB1199/1000</f>
        <v>0</v>
      </c>
    </row>
    <row r="1199" spans="1:32" hidden="1" x14ac:dyDescent="0.3">
      <c r="A1199" s="117"/>
      <c r="C1199" s="68" t="s">
        <v>545</v>
      </c>
      <c r="D1199" s="87" t="s">
        <v>54</v>
      </c>
      <c r="E1199" s="85">
        <f>STATS1003B!E1200/1000</f>
        <v>1953.989</v>
      </c>
      <c r="F1199" s="85">
        <f>STATS1003B!F1200/1000</f>
        <v>0</v>
      </c>
      <c r="G1199" s="85">
        <f>STATS1003B!G1200/1000</f>
        <v>0</v>
      </c>
      <c r="H1199" s="85">
        <f>STATS1003B!H1200/1000</f>
        <v>0</v>
      </c>
      <c r="I1199" s="85">
        <f>STATS1003B!I1200/1000</f>
        <v>0</v>
      </c>
      <c r="J1199" s="85">
        <f>STATS1003B!J1200/1000</f>
        <v>0</v>
      </c>
      <c r="K1199" s="85">
        <f>STATS1003B!K1200/1000</f>
        <v>1953.989</v>
      </c>
      <c r="L1199" s="85">
        <f>STATS1003B!L1200/1000</f>
        <v>0</v>
      </c>
      <c r="M1199" s="85">
        <f>STATS1003B!M1200/1000</f>
        <v>0</v>
      </c>
      <c r="N1199" s="85">
        <f>STATS1003B!N1200/1000</f>
        <v>1953.989</v>
      </c>
      <c r="O1199" s="85">
        <f>STATS1003B!O1200/1000</f>
        <v>0</v>
      </c>
      <c r="P1199" s="85">
        <f>STATS1003B!P1200/1000</f>
        <v>1953.989</v>
      </c>
      <c r="Q1199" s="85">
        <f>STATS1003B!Q1200/1000</f>
        <v>0</v>
      </c>
      <c r="R1199" s="85">
        <f>STATS1003B!R1200/1000</f>
        <v>0</v>
      </c>
      <c r="S1199" s="85">
        <f>STATS1003B!S1200/1000</f>
        <v>0</v>
      </c>
      <c r="T1199" s="85">
        <f>STATS1003B!T1200/1000</f>
        <v>0</v>
      </c>
      <c r="U1199" s="85">
        <f>STATS1003B!U1200/1000</f>
        <v>1953.989</v>
      </c>
      <c r="V1199" s="85">
        <f>STATS1003B!V1200/1000</f>
        <v>1953.989</v>
      </c>
      <c r="W1199" s="85">
        <f>STATS1003B!W1200/1000</f>
        <v>0</v>
      </c>
      <c r="X1199" s="85">
        <f>STATS1003B!X1200/1000</f>
        <v>1953.989</v>
      </c>
      <c r="Y1199" s="85">
        <f>STATS1003B!Y1200/1000</f>
        <v>0</v>
      </c>
      <c r="Z1199" s="85">
        <f>STATS1003B!Z1200/1000</f>
        <v>0</v>
      </c>
      <c r="AA1199" s="69">
        <f>STATS1003B!AA1200/1000</f>
        <v>1953.989</v>
      </c>
      <c r="AB1199" s="69">
        <f>STATS1003B!AB1200/1000</f>
        <v>0</v>
      </c>
    </row>
    <row r="1200" spans="1:32" hidden="1" x14ac:dyDescent="0.3">
      <c r="A1200" s="117"/>
      <c r="C1200" s="68" t="s">
        <v>557</v>
      </c>
      <c r="D1200" s="87" t="s">
        <v>54</v>
      </c>
      <c r="E1200" s="85">
        <f>STATS1003B!E1201/1000</f>
        <v>5307</v>
      </c>
      <c r="F1200" s="85">
        <f>STATS1003B!F1201/1000</f>
        <v>5307</v>
      </c>
      <c r="G1200" s="85">
        <f>STATS1003B!G1201/1000</f>
        <v>0</v>
      </c>
      <c r="H1200" s="85">
        <f>STATS1003B!H1201/1000</f>
        <v>5307</v>
      </c>
      <c r="I1200" s="85">
        <f>STATS1003B!I1201/1000</f>
        <v>0</v>
      </c>
      <c r="J1200" s="85">
        <f>STATS1003B!J1201/1000</f>
        <v>5307</v>
      </c>
      <c r="K1200" s="85">
        <f>STATS1003B!K1201/1000</f>
        <v>0</v>
      </c>
      <c r="L1200" s="85">
        <f>STATS1003B!L1201/1000</f>
        <v>0</v>
      </c>
      <c r="M1200" s="85">
        <f>STATS1003B!M1201/1000</f>
        <v>5307</v>
      </c>
      <c r="N1200" s="85">
        <f>STATS1003B!N1201/1000</f>
        <v>0</v>
      </c>
      <c r="O1200" s="85">
        <f>STATS1003B!O1201/1000</f>
        <v>0</v>
      </c>
      <c r="P1200" s="85">
        <f>STATS1003B!P1201/1000</f>
        <v>0</v>
      </c>
      <c r="Q1200" s="85">
        <f>STATS1003B!Q1201/1000</f>
        <v>5307</v>
      </c>
      <c r="R1200" s="85">
        <f>STATS1003B!R1201/1000</f>
        <v>0</v>
      </c>
      <c r="S1200" s="85">
        <f>STATS1003B!S1201/1000</f>
        <v>0</v>
      </c>
      <c r="T1200" s="85">
        <f>STATS1003B!T1201/1000</f>
        <v>0</v>
      </c>
      <c r="U1200" s="85">
        <f>STATS1003B!U1201/1000</f>
        <v>0</v>
      </c>
      <c r="V1200" s="85">
        <f>STATS1003B!V1201/1000</f>
        <v>5307</v>
      </c>
      <c r="W1200" s="85">
        <f>STATS1003B!W1201/1000</f>
        <v>0</v>
      </c>
      <c r="X1200" s="85">
        <f>STATS1003B!X1201/1000</f>
        <v>5307</v>
      </c>
      <c r="Y1200" s="85">
        <f>STATS1003B!Y1201/1000</f>
        <v>0</v>
      </c>
      <c r="Z1200" s="85">
        <f>STATS1003B!Z1201/1000</f>
        <v>0</v>
      </c>
      <c r="AA1200" s="69">
        <f>STATS1003B!AA1201/1000</f>
        <v>5307</v>
      </c>
      <c r="AB1200" s="69">
        <f>STATS1003B!AB1201/1000</f>
        <v>0</v>
      </c>
    </row>
    <row r="1201" spans="1:28" hidden="1" x14ac:dyDescent="0.3">
      <c r="A1201" s="117"/>
      <c r="C1201" s="68" t="s">
        <v>535</v>
      </c>
      <c r="D1201" s="87" t="s">
        <v>108</v>
      </c>
      <c r="E1201" s="85">
        <f>STATS1003B!E1202/1000</f>
        <v>6610.50288</v>
      </c>
      <c r="F1201" s="85">
        <f>STATS1003B!F1202/1000</f>
        <v>6610.50288</v>
      </c>
      <c r="G1201" s="85">
        <f>STATS1003B!G1202/1000</f>
        <v>0</v>
      </c>
      <c r="H1201" s="85">
        <f>STATS1003B!H1202/1000</f>
        <v>6610.50288</v>
      </c>
      <c r="I1201" s="85">
        <f>STATS1003B!I1202/1000</f>
        <v>0</v>
      </c>
      <c r="J1201" s="85">
        <f>STATS1003B!J1202/1000</f>
        <v>6610.50288</v>
      </c>
      <c r="K1201" s="85">
        <f>STATS1003B!K1202/1000</f>
        <v>0</v>
      </c>
      <c r="L1201" s="85">
        <f>STATS1003B!L1202/1000</f>
        <v>0</v>
      </c>
      <c r="M1201" s="85">
        <f>STATS1003B!M1202/1000</f>
        <v>6610.50288</v>
      </c>
      <c r="N1201" s="85">
        <f>STATS1003B!N1202/1000</f>
        <v>0</v>
      </c>
      <c r="O1201" s="85">
        <f>STATS1003B!O1202/1000</f>
        <v>0</v>
      </c>
      <c r="P1201" s="85">
        <f>STATS1003B!P1202/1000</f>
        <v>0</v>
      </c>
      <c r="Q1201" s="85">
        <f>STATS1003B!Q1202/1000</f>
        <v>6610.50288</v>
      </c>
      <c r="R1201" s="85">
        <f>STATS1003B!R1202/1000</f>
        <v>0</v>
      </c>
      <c r="S1201" s="85">
        <f>STATS1003B!S1202/1000</f>
        <v>0</v>
      </c>
      <c r="T1201" s="85">
        <f>STATS1003B!T1202/1000</f>
        <v>0</v>
      </c>
      <c r="U1201" s="85">
        <f>STATS1003B!U1202/1000</f>
        <v>0</v>
      </c>
      <c r="V1201" s="85">
        <f>STATS1003B!V1202/1000</f>
        <v>6610.50288</v>
      </c>
      <c r="W1201" s="85">
        <f>STATS1003B!W1202/1000</f>
        <v>0</v>
      </c>
      <c r="X1201" s="85">
        <f>STATS1003B!X1202/1000</f>
        <v>6610.50288</v>
      </c>
      <c r="Y1201" s="85">
        <f>STATS1003B!Y1202/1000</f>
        <v>0</v>
      </c>
      <c r="Z1201" s="85">
        <f>STATS1003B!Z1202/1000</f>
        <v>0</v>
      </c>
      <c r="AA1201" s="69">
        <f>STATS1003B!AA1202/1000</f>
        <v>6610.50288</v>
      </c>
      <c r="AB1201" s="69">
        <f>STATS1003B!AB1202/1000</f>
        <v>0</v>
      </c>
    </row>
    <row r="1202" spans="1:28" hidden="1" x14ac:dyDescent="0.3">
      <c r="A1202" s="117"/>
      <c r="C1202" s="68" t="s">
        <v>1193</v>
      </c>
      <c r="D1202" s="90" t="s">
        <v>1126</v>
      </c>
      <c r="E1202" s="85">
        <f>STATS1003B!E1203/1000</f>
        <v>399.40199999999999</v>
      </c>
      <c r="F1202" s="85">
        <f>STATS1003B!F1203/1000</f>
        <v>399.40199999999999</v>
      </c>
      <c r="G1202" s="85">
        <f>STATS1003B!G1203/1000</f>
        <v>0</v>
      </c>
      <c r="H1202" s="85">
        <f>STATS1003B!H1203/1000</f>
        <v>399.40199999999999</v>
      </c>
      <c r="I1202" s="85">
        <f>STATS1003B!I1203/1000</f>
        <v>0</v>
      </c>
      <c r="J1202" s="85">
        <f>STATS1003B!J1203/1000</f>
        <v>399.40199999999999</v>
      </c>
      <c r="K1202" s="85">
        <f>STATS1003B!K1203/1000</f>
        <v>0</v>
      </c>
      <c r="L1202" s="85">
        <f>STATS1003B!L1203/1000</f>
        <v>0</v>
      </c>
      <c r="M1202" s="85">
        <f>STATS1003B!M1203/1000</f>
        <v>399.40199999999999</v>
      </c>
      <c r="N1202" s="85">
        <f>STATS1003B!N1203/1000</f>
        <v>0</v>
      </c>
      <c r="O1202" s="85">
        <f>STATS1003B!O1203/1000</f>
        <v>0</v>
      </c>
      <c r="P1202" s="85">
        <f>STATS1003B!P1203/1000</f>
        <v>0</v>
      </c>
      <c r="Q1202" s="85">
        <f>STATS1003B!Q1203/1000</f>
        <v>399.40199999999999</v>
      </c>
      <c r="R1202" s="85">
        <f>STATS1003B!R1203/1000</f>
        <v>0</v>
      </c>
      <c r="S1202" s="85">
        <f>STATS1003B!S1203/1000</f>
        <v>0</v>
      </c>
      <c r="T1202" s="85">
        <f>STATS1003B!T1203/1000</f>
        <v>0</v>
      </c>
      <c r="U1202" s="85">
        <f>STATS1003B!U1203/1000</f>
        <v>0</v>
      </c>
      <c r="V1202" s="85">
        <f>STATS1003B!V1203/1000</f>
        <v>399.40199999999999</v>
      </c>
      <c r="W1202" s="85">
        <f>STATS1003B!W1203/1000</f>
        <v>0</v>
      </c>
      <c r="X1202" s="85">
        <f>STATS1003B!X1203/1000</f>
        <v>399.40199999999999</v>
      </c>
      <c r="Y1202" s="85">
        <f>STATS1003B!Y1203/1000</f>
        <v>0</v>
      </c>
      <c r="Z1202" s="85">
        <f>STATS1003B!Z1203/1000</f>
        <v>0</v>
      </c>
      <c r="AA1202" s="69">
        <f>STATS1003B!AA1203/1000</f>
        <v>399.40199999999999</v>
      </c>
      <c r="AB1202" s="69">
        <f>STATS1003B!AB1203/1000</f>
        <v>0</v>
      </c>
    </row>
    <row r="1203" spans="1:28" hidden="1" x14ac:dyDescent="0.3">
      <c r="A1203" s="117"/>
      <c r="C1203" s="68" t="s">
        <v>535</v>
      </c>
      <c r="D1203" s="87" t="s">
        <v>58</v>
      </c>
      <c r="E1203" s="85">
        <f>STATS1003B!E1204/1000</f>
        <v>6526.8738400000002</v>
      </c>
      <c r="F1203" s="85">
        <f>STATS1003B!F1204/1000</f>
        <v>6526.8738400000002</v>
      </c>
      <c r="G1203" s="85">
        <f>STATS1003B!G1204/1000</f>
        <v>0</v>
      </c>
      <c r="H1203" s="85">
        <f>STATS1003B!H1204/1000</f>
        <v>6526.8738400000002</v>
      </c>
      <c r="I1203" s="85">
        <f>STATS1003B!I1204/1000</f>
        <v>0</v>
      </c>
      <c r="J1203" s="85">
        <f>STATS1003B!J1204/1000</f>
        <v>6526.8738400000002</v>
      </c>
      <c r="K1203" s="85">
        <f>STATS1003B!K1204/1000</f>
        <v>0</v>
      </c>
      <c r="L1203" s="85">
        <f>STATS1003B!L1204/1000</f>
        <v>0</v>
      </c>
      <c r="M1203" s="85">
        <f>STATS1003B!M1204/1000</f>
        <v>6526.8738400000002</v>
      </c>
      <c r="N1203" s="85">
        <f>STATS1003B!N1204/1000</f>
        <v>0</v>
      </c>
      <c r="O1203" s="85">
        <f>STATS1003B!O1204/1000</f>
        <v>0</v>
      </c>
      <c r="P1203" s="85">
        <f>STATS1003B!P1204/1000</f>
        <v>0</v>
      </c>
      <c r="Q1203" s="85">
        <f>STATS1003B!Q1204/1000</f>
        <v>6526.8738400000002</v>
      </c>
      <c r="R1203" s="85">
        <f>STATS1003B!R1204/1000</f>
        <v>0</v>
      </c>
      <c r="S1203" s="85">
        <f>STATS1003B!S1204/1000</f>
        <v>0</v>
      </c>
      <c r="T1203" s="85">
        <f>STATS1003B!T1204/1000</f>
        <v>0</v>
      </c>
      <c r="U1203" s="85">
        <f>STATS1003B!U1204/1000</f>
        <v>0</v>
      </c>
      <c r="V1203" s="85">
        <f>STATS1003B!V1204/1000</f>
        <v>6526.8738400000002</v>
      </c>
      <c r="W1203" s="85">
        <f>STATS1003B!W1204/1000</f>
        <v>0</v>
      </c>
      <c r="X1203" s="85">
        <f>STATS1003B!X1204/1000</f>
        <v>6526.8738400000002</v>
      </c>
      <c r="Y1203" s="85">
        <f>STATS1003B!Y1204/1000</f>
        <v>0</v>
      </c>
      <c r="Z1203" s="85">
        <f>STATS1003B!Z1204/1000</f>
        <v>0</v>
      </c>
      <c r="AA1203" s="69">
        <f>STATS1003B!AA1204/1000</f>
        <v>6526.8738400000002</v>
      </c>
      <c r="AB1203" s="69">
        <f>STATS1003B!AB1204/1000</f>
        <v>0</v>
      </c>
    </row>
    <row r="1204" spans="1:28" hidden="1" x14ac:dyDescent="0.3">
      <c r="A1204" s="117"/>
      <c r="C1204" s="68" t="s">
        <v>535</v>
      </c>
      <c r="D1204" s="87" t="s">
        <v>60</v>
      </c>
      <c r="E1204" s="85">
        <f>STATS1003B!E1205/1000</f>
        <v>4241.2569999999996</v>
      </c>
      <c r="F1204" s="85">
        <f>STATS1003B!F1205/1000</f>
        <v>4241.2569999999996</v>
      </c>
      <c r="G1204" s="85">
        <f>STATS1003B!G1205/1000</f>
        <v>0</v>
      </c>
      <c r="H1204" s="85">
        <f>STATS1003B!H1205/1000</f>
        <v>4241.2569999999996</v>
      </c>
      <c r="I1204" s="85">
        <f>STATS1003B!I1205/1000</f>
        <v>0</v>
      </c>
      <c r="J1204" s="85">
        <f>STATS1003B!J1205/1000</f>
        <v>4241.2569999999996</v>
      </c>
      <c r="K1204" s="85">
        <f>STATS1003B!K1205/1000</f>
        <v>0</v>
      </c>
      <c r="L1204" s="85">
        <f>STATS1003B!L1205/1000</f>
        <v>0</v>
      </c>
      <c r="M1204" s="85">
        <f>STATS1003B!M1205/1000</f>
        <v>4241.2569999999996</v>
      </c>
      <c r="N1204" s="85">
        <f>STATS1003B!N1205/1000</f>
        <v>0</v>
      </c>
      <c r="O1204" s="85">
        <f>STATS1003B!O1205/1000</f>
        <v>0</v>
      </c>
      <c r="P1204" s="85">
        <f>STATS1003B!P1205/1000</f>
        <v>0</v>
      </c>
      <c r="Q1204" s="85">
        <f>STATS1003B!Q1205/1000</f>
        <v>4241.2569999999996</v>
      </c>
      <c r="R1204" s="85">
        <f>STATS1003B!R1205/1000</f>
        <v>0</v>
      </c>
      <c r="S1204" s="85">
        <f>STATS1003B!S1205/1000</f>
        <v>0</v>
      </c>
      <c r="T1204" s="85">
        <f>STATS1003B!T1205/1000</f>
        <v>0</v>
      </c>
      <c r="U1204" s="85">
        <f>STATS1003B!U1205/1000</f>
        <v>0</v>
      </c>
      <c r="V1204" s="85">
        <f>STATS1003B!V1205/1000</f>
        <v>4241.2569999999996</v>
      </c>
      <c r="W1204" s="85">
        <f>STATS1003B!W1205/1000</f>
        <v>0</v>
      </c>
      <c r="X1204" s="85">
        <f>STATS1003B!X1205/1000</f>
        <v>4241.2569999999996</v>
      </c>
      <c r="Y1204" s="85">
        <f>STATS1003B!Y1205/1000</f>
        <v>0</v>
      </c>
      <c r="Z1204" s="85">
        <f>STATS1003B!Z1205/1000</f>
        <v>0</v>
      </c>
      <c r="AA1204" s="69">
        <f>STATS1003B!AA1205/1000</f>
        <v>4241.2569999999996</v>
      </c>
      <c r="AB1204" s="69">
        <f>STATS1003B!AB1205/1000</f>
        <v>0</v>
      </c>
    </row>
    <row r="1205" spans="1:28" hidden="1" x14ac:dyDescent="0.3">
      <c r="A1205" s="117"/>
      <c r="C1205" s="71" t="s">
        <v>535</v>
      </c>
      <c r="D1205" s="88" t="s">
        <v>73</v>
      </c>
      <c r="E1205" s="85">
        <f>STATS1003B!E1206/1000</f>
        <v>5527.7558399999998</v>
      </c>
      <c r="F1205" s="85">
        <f>STATS1003B!F1206/1000</f>
        <v>5527.7558399999998</v>
      </c>
      <c r="G1205" s="85">
        <f>STATS1003B!G1206/1000</f>
        <v>0</v>
      </c>
      <c r="H1205" s="85">
        <f>STATS1003B!H1206/1000</f>
        <v>5527.7558399999998</v>
      </c>
      <c r="I1205" s="85">
        <f>STATS1003B!I1206/1000</f>
        <v>0</v>
      </c>
      <c r="J1205" s="85">
        <f>STATS1003B!J1206/1000</f>
        <v>5527.7558399999998</v>
      </c>
      <c r="K1205" s="85">
        <f>STATS1003B!K1206/1000</f>
        <v>0</v>
      </c>
      <c r="L1205" s="85">
        <f>STATS1003B!L1206/1000</f>
        <v>0</v>
      </c>
      <c r="M1205" s="85">
        <f>STATS1003B!M1206/1000</f>
        <v>5527.7558399999998</v>
      </c>
      <c r="N1205" s="85">
        <f>STATS1003B!N1206/1000</f>
        <v>0</v>
      </c>
      <c r="O1205" s="85">
        <f>STATS1003B!O1206/1000</f>
        <v>0</v>
      </c>
      <c r="P1205" s="85">
        <f>STATS1003B!P1206/1000</f>
        <v>0</v>
      </c>
      <c r="Q1205" s="85">
        <f>STATS1003B!Q1206/1000</f>
        <v>5527.7558399999998</v>
      </c>
      <c r="R1205" s="85">
        <f>STATS1003B!R1206/1000</f>
        <v>0</v>
      </c>
      <c r="S1205" s="85">
        <f>STATS1003B!S1206/1000</f>
        <v>0</v>
      </c>
      <c r="T1205" s="85">
        <f>STATS1003B!T1206/1000</f>
        <v>0</v>
      </c>
      <c r="U1205" s="85">
        <f>STATS1003B!U1206/1000</f>
        <v>0</v>
      </c>
      <c r="V1205" s="85">
        <f>STATS1003B!V1206/1000</f>
        <v>5527.7558399999998</v>
      </c>
      <c r="W1205" s="85">
        <f>STATS1003B!W1206/1000</f>
        <v>0</v>
      </c>
      <c r="X1205" s="85">
        <f>STATS1003B!X1206/1000</f>
        <v>5527.7558399999998</v>
      </c>
      <c r="Y1205" s="85">
        <f>STATS1003B!Y1206/1000</f>
        <v>0</v>
      </c>
      <c r="Z1205" s="85">
        <f>STATS1003B!Z1206/1000</f>
        <v>0</v>
      </c>
      <c r="AA1205" s="69">
        <f>STATS1003B!AA1206/1000</f>
        <v>5527.7558399999998</v>
      </c>
      <c r="AB1205" s="69">
        <f>STATS1003B!AB1206/1000</f>
        <v>0</v>
      </c>
    </row>
    <row r="1206" spans="1:28" hidden="1" x14ac:dyDescent="0.3">
      <c r="A1206" s="117"/>
      <c r="C1206" s="71" t="s">
        <v>535</v>
      </c>
      <c r="D1206" s="88" t="s">
        <v>61</v>
      </c>
      <c r="E1206" s="85">
        <f>STATS1003B!E1207/1000</f>
        <v>4448</v>
      </c>
      <c r="F1206" s="85">
        <f>STATS1003B!F1207/1000</f>
        <v>4448</v>
      </c>
      <c r="G1206" s="85">
        <f>STATS1003B!G1207/1000</f>
        <v>0</v>
      </c>
      <c r="H1206" s="85">
        <f>STATS1003B!H1207/1000</f>
        <v>4448</v>
      </c>
      <c r="I1206" s="85">
        <f>STATS1003B!I1207/1000</f>
        <v>0</v>
      </c>
      <c r="J1206" s="85">
        <f>STATS1003B!J1207/1000</f>
        <v>4448</v>
      </c>
      <c r="K1206" s="85">
        <f>STATS1003B!K1207/1000</f>
        <v>0</v>
      </c>
      <c r="L1206" s="85">
        <f>STATS1003B!L1207/1000</f>
        <v>0</v>
      </c>
      <c r="M1206" s="85">
        <f>STATS1003B!M1207/1000</f>
        <v>4448</v>
      </c>
      <c r="N1206" s="85">
        <f>STATS1003B!N1207/1000</f>
        <v>0</v>
      </c>
      <c r="O1206" s="85">
        <f>STATS1003B!O1207/1000</f>
        <v>0</v>
      </c>
      <c r="P1206" s="85">
        <f>STATS1003B!P1207/1000</f>
        <v>0</v>
      </c>
      <c r="Q1206" s="85">
        <f>STATS1003B!Q1207/1000</f>
        <v>4448</v>
      </c>
      <c r="R1206" s="85">
        <f>STATS1003B!R1207/1000</f>
        <v>0</v>
      </c>
      <c r="S1206" s="85">
        <f>STATS1003B!S1207/1000</f>
        <v>0</v>
      </c>
      <c r="T1206" s="85">
        <f>STATS1003B!T1207/1000</f>
        <v>0</v>
      </c>
      <c r="U1206" s="85">
        <f>STATS1003B!U1207/1000</f>
        <v>0</v>
      </c>
      <c r="V1206" s="85">
        <f>STATS1003B!V1207/1000</f>
        <v>4448</v>
      </c>
      <c r="W1206" s="85">
        <f>STATS1003B!W1207/1000</f>
        <v>0</v>
      </c>
      <c r="X1206" s="85">
        <f>STATS1003B!X1207/1000</f>
        <v>4448</v>
      </c>
      <c r="Y1206" s="85">
        <f>STATS1003B!Y1207/1000</f>
        <v>0</v>
      </c>
      <c r="Z1206" s="85">
        <f>STATS1003B!Z1207/1000</f>
        <v>0</v>
      </c>
      <c r="AA1206" s="69">
        <f>STATS1003B!AA1207/1000</f>
        <v>4448</v>
      </c>
      <c r="AB1206" s="69">
        <f>STATS1003B!AB1207/1000</f>
        <v>0</v>
      </c>
    </row>
    <row r="1207" spans="1:28" hidden="1" x14ac:dyDescent="0.3">
      <c r="A1207" s="117"/>
      <c r="C1207" s="95" t="s">
        <v>933</v>
      </c>
      <c r="D1207" s="89" t="s">
        <v>1072</v>
      </c>
      <c r="E1207" s="85">
        <f>STATS1003B!E1208/1000</f>
        <v>3544</v>
      </c>
      <c r="F1207" s="85">
        <f>STATS1003B!F1208/1000</f>
        <v>3544</v>
      </c>
      <c r="G1207" s="85">
        <f>STATS1003B!G1208/1000</f>
        <v>0</v>
      </c>
      <c r="H1207" s="85">
        <f>STATS1003B!H1208/1000</f>
        <v>3544</v>
      </c>
      <c r="I1207" s="85">
        <f>STATS1003B!I1208/1000</f>
        <v>0</v>
      </c>
      <c r="J1207" s="85">
        <f>STATS1003B!J1208/1000</f>
        <v>3544</v>
      </c>
      <c r="K1207" s="85">
        <f>STATS1003B!K1208/1000</f>
        <v>0</v>
      </c>
      <c r="L1207" s="85">
        <f>STATS1003B!L1208/1000</f>
        <v>0</v>
      </c>
      <c r="M1207" s="85">
        <f>STATS1003B!M1208/1000</f>
        <v>3544</v>
      </c>
      <c r="N1207" s="85">
        <f>STATS1003B!N1208/1000</f>
        <v>0</v>
      </c>
      <c r="O1207" s="85">
        <f>STATS1003B!O1208/1000</f>
        <v>0</v>
      </c>
      <c r="P1207" s="85">
        <f>STATS1003B!P1208/1000</f>
        <v>0</v>
      </c>
      <c r="Q1207" s="85">
        <f>STATS1003B!Q1208/1000</f>
        <v>0</v>
      </c>
      <c r="R1207" s="85">
        <f>STATS1003B!R1208/1000</f>
        <v>0</v>
      </c>
      <c r="S1207" s="85">
        <f>STATS1003B!S1208/1000</f>
        <v>0</v>
      </c>
      <c r="T1207" s="85">
        <f>STATS1003B!T1208/1000</f>
        <v>0</v>
      </c>
      <c r="U1207" s="85">
        <f>STATS1003B!U1208/1000</f>
        <v>0</v>
      </c>
      <c r="V1207" s="85">
        <f>STATS1003B!V1208/1000</f>
        <v>3544</v>
      </c>
      <c r="W1207" s="85">
        <f>STATS1003B!W1208/1000</f>
        <v>0</v>
      </c>
      <c r="X1207" s="85">
        <f>STATS1003B!X1208/1000</f>
        <v>3544</v>
      </c>
      <c r="Y1207" s="85">
        <f>STATS1003B!Y1208/1000</f>
        <v>0</v>
      </c>
      <c r="Z1207" s="85">
        <f>STATS1003B!Z1208/1000</f>
        <v>0</v>
      </c>
      <c r="AA1207" s="69">
        <f>STATS1003B!AA1208/1000</f>
        <v>3544</v>
      </c>
      <c r="AB1207" s="69">
        <f>STATS1003B!AB1208/1000</f>
        <v>0</v>
      </c>
    </row>
    <row r="1208" spans="1:28" hidden="1" x14ac:dyDescent="0.3">
      <c r="A1208" s="117"/>
      <c r="C1208" s="71" t="s">
        <v>1173</v>
      </c>
      <c r="D1208" s="89" t="s">
        <v>1126</v>
      </c>
      <c r="E1208" s="85">
        <f>STATS1003B!E1209/1000</f>
        <v>6850.1305499999999</v>
      </c>
      <c r="F1208" s="85">
        <f>STATS1003B!F1209/1000</f>
        <v>6850.1305499999999</v>
      </c>
      <c r="G1208" s="85">
        <f>STATS1003B!G1209/1000</f>
        <v>0</v>
      </c>
      <c r="H1208" s="85">
        <f>STATS1003B!H1209/1000</f>
        <v>6850.1305499999999</v>
      </c>
      <c r="I1208" s="85">
        <f>STATS1003B!I1209/1000</f>
        <v>0</v>
      </c>
      <c r="J1208" s="85">
        <f>STATS1003B!J1209/1000</f>
        <v>6850.1305499999999</v>
      </c>
      <c r="K1208" s="85">
        <f>STATS1003B!K1209/1000</f>
        <v>0</v>
      </c>
      <c r="L1208" s="85">
        <f>STATS1003B!L1209/1000</f>
        <v>0</v>
      </c>
      <c r="M1208" s="85">
        <f>STATS1003B!M1209/1000</f>
        <v>6850.1305499999999</v>
      </c>
      <c r="N1208" s="85">
        <f>STATS1003B!N1209/1000</f>
        <v>0</v>
      </c>
      <c r="O1208" s="85">
        <f>STATS1003B!O1209/1000</f>
        <v>0</v>
      </c>
      <c r="P1208" s="85">
        <f>STATS1003B!P1209/1000</f>
        <v>0</v>
      </c>
      <c r="Q1208" s="85">
        <f>STATS1003B!Q1209/1000</f>
        <v>0</v>
      </c>
      <c r="R1208" s="85">
        <f>STATS1003B!R1209/1000</f>
        <v>0</v>
      </c>
      <c r="S1208" s="85">
        <f>STATS1003B!S1209/1000</f>
        <v>0</v>
      </c>
      <c r="T1208" s="85">
        <f>STATS1003B!T1209/1000</f>
        <v>0</v>
      </c>
      <c r="U1208" s="85">
        <f>STATS1003B!U1209/1000</f>
        <v>0</v>
      </c>
      <c r="V1208" s="85">
        <f>STATS1003B!V1209/1000</f>
        <v>6850.1305499999999</v>
      </c>
      <c r="W1208" s="85">
        <f>STATS1003B!W1209/1000</f>
        <v>0</v>
      </c>
      <c r="X1208" s="85">
        <f>STATS1003B!X1209/1000</f>
        <v>6850.1305499999999</v>
      </c>
      <c r="Y1208" s="85">
        <f>STATS1003B!Y1209/1000</f>
        <v>0</v>
      </c>
      <c r="Z1208" s="85">
        <f>STATS1003B!Z1209/1000</f>
        <v>0</v>
      </c>
      <c r="AA1208" s="69">
        <f>STATS1003B!AA1209/1000</f>
        <v>6850.1305499999999</v>
      </c>
      <c r="AB1208" s="69">
        <f>STATS1003B!AB1209/1000</f>
        <v>0</v>
      </c>
    </row>
    <row r="1209" spans="1:28" hidden="1" x14ac:dyDescent="0.3">
      <c r="A1209" s="117"/>
      <c r="C1209" s="71" t="s">
        <v>1245</v>
      </c>
      <c r="D1209" s="89" t="s">
        <v>1225</v>
      </c>
      <c r="E1209" s="85">
        <f>STATS1003B!E1210/1000</f>
        <v>5394.5307999999995</v>
      </c>
      <c r="F1209" s="85">
        <f>STATS1003B!F1210/1000</f>
        <v>0</v>
      </c>
      <c r="G1209" s="85">
        <f>STATS1003B!G1210/1000</f>
        <v>5394.5307999999995</v>
      </c>
      <c r="H1209" s="85">
        <f>STATS1003B!H1210/1000</f>
        <v>5394.5307999999995</v>
      </c>
      <c r="I1209" s="85">
        <f>STATS1003B!I1210/1000</f>
        <v>0</v>
      </c>
      <c r="J1209" s="85">
        <f>STATS1003B!J1210/1000</f>
        <v>0</v>
      </c>
      <c r="K1209" s="85">
        <f>STATS1003B!K1210/1000</f>
        <v>0</v>
      </c>
      <c r="L1209" s="85">
        <f>STATS1003B!L1210/1000</f>
        <v>0</v>
      </c>
      <c r="M1209" s="85">
        <f>STATS1003B!M1210/1000</f>
        <v>5394.5307999999995</v>
      </c>
      <c r="N1209" s="85">
        <f>STATS1003B!N1210/1000</f>
        <v>0</v>
      </c>
      <c r="O1209" s="85">
        <f>STATS1003B!O1210/1000</f>
        <v>0</v>
      </c>
      <c r="P1209" s="85">
        <f>STATS1003B!P1210/1000</f>
        <v>0</v>
      </c>
      <c r="Q1209" s="85">
        <f>STATS1003B!Q1210/1000</f>
        <v>0</v>
      </c>
      <c r="R1209" s="85">
        <f>STATS1003B!R1210/1000</f>
        <v>0</v>
      </c>
      <c r="S1209" s="85">
        <f>STATS1003B!S1210/1000</f>
        <v>0</v>
      </c>
      <c r="T1209" s="85">
        <f>STATS1003B!T1210/1000</f>
        <v>0</v>
      </c>
      <c r="U1209" s="85">
        <f>STATS1003B!U1210/1000</f>
        <v>0</v>
      </c>
      <c r="V1209" s="85">
        <f>STATS1003B!V1210/1000</f>
        <v>5394.5307999999995</v>
      </c>
      <c r="W1209" s="85">
        <f>STATS1003B!W1210/1000</f>
        <v>0</v>
      </c>
      <c r="X1209" s="85">
        <f>STATS1003B!X1210/1000</f>
        <v>5394.5307999999995</v>
      </c>
      <c r="Y1209" s="85">
        <f>STATS1003B!Y1210/1000</f>
        <v>0</v>
      </c>
      <c r="Z1209" s="85">
        <f>STATS1003B!Z1210/1000</f>
        <v>0</v>
      </c>
      <c r="AA1209" s="69">
        <f>STATS1003B!AA1210/1000</f>
        <v>5394.5307999999995</v>
      </c>
      <c r="AB1209" s="69">
        <f>STATS1003B!AB1210/1000</f>
        <v>0</v>
      </c>
    </row>
    <row r="1210" spans="1:28" hidden="1" x14ac:dyDescent="0.3">
      <c r="A1210" s="117"/>
      <c r="C1210" s="68" t="s">
        <v>577</v>
      </c>
      <c r="E1210" s="85">
        <f>STATS1003B!E1211/1000</f>
        <v>1089.33439</v>
      </c>
      <c r="F1210" s="85">
        <f>STATS1003B!F1211/1000</f>
        <v>1089.33439</v>
      </c>
      <c r="G1210" s="85">
        <f>STATS1003B!G1211/1000</f>
        <v>0</v>
      </c>
      <c r="H1210" s="85">
        <f>STATS1003B!H1211/1000</f>
        <v>1089.33439</v>
      </c>
      <c r="I1210" s="85">
        <f>STATS1003B!I1211/1000</f>
        <v>0</v>
      </c>
      <c r="J1210" s="85">
        <f>STATS1003B!J1211/1000</f>
        <v>1089.33439</v>
      </c>
      <c r="K1210" s="85">
        <f>STATS1003B!K1211/1000</f>
        <v>0</v>
      </c>
      <c r="L1210" s="85">
        <f>STATS1003B!L1211/1000</f>
        <v>0</v>
      </c>
      <c r="M1210" s="85">
        <f>STATS1003B!M1211/1000</f>
        <v>1089.33439</v>
      </c>
      <c r="N1210" s="85">
        <f>STATS1003B!N1211/1000</f>
        <v>0</v>
      </c>
      <c r="O1210" s="85">
        <f>STATS1003B!O1211/1000</f>
        <v>0</v>
      </c>
      <c r="P1210" s="85">
        <f>STATS1003B!P1211/1000</f>
        <v>0</v>
      </c>
      <c r="Q1210" s="85">
        <f>STATS1003B!Q1211/1000</f>
        <v>1089.33439</v>
      </c>
      <c r="R1210" s="85">
        <f>STATS1003B!R1211/1000</f>
        <v>0</v>
      </c>
      <c r="S1210" s="85">
        <f>STATS1003B!S1211/1000</f>
        <v>0</v>
      </c>
      <c r="T1210" s="85">
        <f>STATS1003B!T1211/1000</f>
        <v>0</v>
      </c>
      <c r="U1210" s="85">
        <f>STATS1003B!U1211/1000</f>
        <v>0</v>
      </c>
      <c r="V1210" s="85">
        <f>STATS1003B!V1211/1000</f>
        <v>1089.33439</v>
      </c>
      <c r="W1210" s="85">
        <f>STATS1003B!W1211/1000</f>
        <v>0</v>
      </c>
      <c r="X1210" s="85">
        <f>STATS1003B!X1211/1000</f>
        <v>1089.33439</v>
      </c>
      <c r="Y1210" s="85">
        <f>STATS1003B!Y1211/1000</f>
        <v>0</v>
      </c>
      <c r="Z1210" s="85">
        <f>STATS1003B!Z1211/1000</f>
        <v>0</v>
      </c>
      <c r="AA1210" s="69">
        <f>STATS1003B!AA1211/1000</f>
        <v>1089.33439</v>
      </c>
      <c r="AB1210" s="69">
        <f>STATS1003B!AB1211/1000</f>
        <v>0</v>
      </c>
    </row>
    <row r="1211" spans="1:28" hidden="1" x14ac:dyDescent="0.3">
      <c r="A1211" s="117"/>
      <c r="C1211" s="68" t="s">
        <v>677</v>
      </c>
      <c r="E1211" s="85">
        <f>STATS1003B!E1212/1000</f>
        <v>626.45000000000005</v>
      </c>
      <c r="F1211" s="85">
        <f>STATS1003B!F1212/1000</f>
        <v>626.45000000000005</v>
      </c>
      <c r="G1211" s="85">
        <f>STATS1003B!G1212/1000</f>
        <v>0</v>
      </c>
      <c r="H1211" s="85">
        <f>STATS1003B!H1212/1000</f>
        <v>626.45000000000005</v>
      </c>
      <c r="I1211" s="85">
        <f>STATS1003B!I1212/1000</f>
        <v>0</v>
      </c>
      <c r="J1211" s="85">
        <f>STATS1003B!J1212/1000</f>
        <v>626.45000000000005</v>
      </c>
      <c r="K1211" s="85">
        <f>STATS1003B!K1212/1000</f>
        <v>0</v>
      </c>
      <c r="L1211" s="85">
        <f>STATS1003B!L1212/1000</f>
        <v>0</v>
      </c>
      <c r="M1211" s="85">
        <f>STATS1003B!M1212/1000</f>
        <v>626.45000000000005</v>
      </c>
      <c r="N1211" s="85">
        <f>STATS1003B!N1212/1000</f>
        <v>0</v>
      </c>
      <c r="O1211" s="85">
        <f>STATS1003B!O1212/1000</f>
        <v>0</v>
      </c>
      <c r="P1211" s="85">
        <f>STATS1003B!P1212/1000</f>
        <v>0</v>
      </c>
      <c r="Q1211" s="85">
        <f>STATS1003B!Q1212/1000</f>
        <v>626.45000000000005</v>
      </c>
      <c r="R1211" s="85">
        <f>STATS1003B!R1212/1000</f>
        <v>0</v>
      </c>
      <c r="S1211" s="85">
        <f>STATS1003B!S1212/1000</f>
        <v>0</v>
      </c>
      <c r="T1211" s="85">
        <f>STATS1003B!T1212/1000</f>
        <v>0</v>
      </c>
      <c r="U1211" s="85">
        <f>STATS1003B!U1212/1000</f>
        <v>0</v>
      </c>
      <c r="V1211" s="85">
        <f>STATS1003B!V1212/1000</f>
        <v>626.45000000000005</v>
      </c>
      <c r="W1211" s="85">
        <f>STATS1003B!W1212/1000</f>
        <v>0</v>
      </c>
      <c r="X1211" s="85">
        <f>STATS1003B!X1212/1000</f>
        <v>626.45000000000005</v>
      </c>
      <c r="Y1211" s="85">
        <f>STATS1003B!Y1212/1000</f>
        <v>0</v>
      </c>
      <c r="Z1211" s="85">
        <f>STATS1003B!Z1212/1000</f>
        <v>0</v>
      </c>
      <c r="AA1211" s="69">
        <f>STATS1003B!AA1212/1000</f>
        <v>626.45000000000005</v>
      </c>
      <c r="AB1211" s="69">
        <f>STATS1003B!AB1212/1000</f>
        <v>0</v>
      </c>
    </row>
    <row r="1212" spans="1:28" hidden="1" x14ac:dyDescent="0.3">
      <c r="A1212" s="117"/>
      <c r="C1212" s="68" t="s">
        <v>678</v>
      </c>
      <c r="E1212" s="85">
        <f>STATS1003B!E1213/1000</f>
        <v>1654.06025</v>
      </c>
      <c r="F1212" s="85">
        <f>STATS1003B!F1213/1000</f>
        <v>1654.06025</v>
      </c>
      <c r="G1212" s="85">
        <f>STATS1003B!G1213/1000</f>
        <v>0</v>
      </c>
      <c r="H1212" s="85">
        <f>STATS1003B!H1213/1000</f>
        <v>1654.06025</v>
      </c>
      <c r="I1212" s="85">
        <f>STATS1003B!I1213/1000</f>
        <v>0</v>
      </c>
      <c r="J1212" s="85">
        <f>STATS1003B!J1213/1000</f>
        <v>1654.06025</v>
      </c>
      <c r="K1212" s="85">
        <f>STATS1003B!K1213/1000</f>
        <v>0</v>
      </c>
      <c r="L1212" s="85">
        <f>STATS1003B!L1213/1000</f>
        <v>0</v>
      </c>
      <c r="M1212" s="85">
        <f>STATS1003B!M1213/1000</f>
        <v>1654.06025</v>
      </c>
      <c r="N1212" s="85">
        <f>STATS1003B!N1213/1000</f>
        <v>0</v>
      </c>
      <c r="O1212" s="85">
        <f>STATS1003B!O1213/1000</f>
        <v>0</v>
      </c>
      <c r="P1212" s="85">
        <f>STATS1003B!P1213/1000</f>
        <v>0</v>
      </c>
      <c r="Q1212" s="85">
        <f>STATS1003B!Q1213/1000</f>
        <v>1654.06025</v>
      </c>
      <c r="R1212" s="85">
        <f>STATS1003B!R1213/1000</f>
        <v>0</v>
      </c>
      <c r="S1212" s="85">
        <f>STATS1003B!S1213/1000</f>
        <v>0</v>
      </c>
      <c r="T1212" s="85">
        <f>STATS1003B!T1213/1000</f>
        <v>0</v>
      </c>
      <c r="U1212" s="85">
        <f>STATS1003B!U1213/1000</f>
        <v>0</v>
      </c>
      <c r="V1212" s="85">
        <f>STATS1003B!V1213/1000</f>
        <v>1654.06025</v>
      </c>
      <c r="W1212" s="85">
        <f>STATS1003B!W1213/1000</f>
        <v>0</v>
      </c>
      <c r="X1212" s="85">
        <f>STATS1003B!X1213/1000</f>
        <v>1654.06025</v>
      </c>
      <c r="Y1212" s="85">
        <f>STATS1003B!Y1213/1000</f>
        <v>0</v>
      </c>
      <c r="Z1212" s="85">
        <f>STATS1003B!Z1213/1000</f>
        <v>0</v>
      </c>
      <c r="AA1212" s="69">
        <f>STATS1003B!AA1213/1000</f>
        <v>1654.06025</v>
      </c>
      <c r="AB1212" s="69">
        <f>STATS1003B!AB1213/1000</f>
        <v>0</v>
      </c>
    </row>
    <row r="1213" spans="1:28" hidden="1" x14ac:dyDescent="0.3">
      <c r="A1213" s="117"/>
      <c r="E1213" s="86" t="s">
        <v>29</v>
      </c>
      <c r="F1213" s="86" t="s">
        <v>29</v>
      </c>
      <c r="G1213" s="86" t="s">
        <v>29</v>
      </c>
      <c r="H1213" s="86" t="s">
        <v>29</v>
      </c>
      <c r="I1213" s="86" t="s">
        <v>29</v>
      </c>
      <c r="J1213" s="86" t="s">
        <v>29</v>
      </c>
      <c r="K1213" s="86" t="s">
        <v>29</v>
      </c>
      <c r="L1213" s="86" t="s">
        <v>29</v>
      </c>
      <c r="M1213" s="86" t="s">
        <v>29</v>
      </c>
      <c r="N1213" s="86" t="s">
        <v>29</v>
      </c>
      <c r="O1213" s="86" t="s">
        <v>29</v>
      </c>
      <c r="P1213" s="86" t="s">
        <v>29</v>
      </c>
      <c r="Q1213" s="86" t="s">
        <v>29</v>
      </c>
      <c r="R1213" s="86" t="s">
        <v>29</v>
      </c>
      <c r="S1213" s="86" t="s">
        <v>29</v>
      </c>
      <c r="T1213" s="86" t="s">
        <v>29</v>
      </c>
      <c r="U1213" s="86" t="s">
        <v>29</v>
      </c>
      <c r="V1213" s="86" t="s">
        <v>29</v>
      </c>
      <c r="W1213" s="86" t="s">
        <v>29</v>
      </c>
      <c r="X1213" s="86" t="s">
        <v>29</v>
      </c>
      <c r="Y1213" s="86" t="s">
        <v>29</v>
      </c>
      <c r="Z1213" s="86" t="s">
        <v>29</v>
      </c>
      <c r="AA1213" s="115" t="s">
        <v>29</v>
      </c>
      <c r="AB1213" s="115" t="s">
        <v>29</v>
      </c>
    </row>
    <row r="1214" spans="1:28" x14ac:dyDescent="0.3">
      <c r="A1214" s="116">
        <v>56</v>
      </c>
      <c r="B1214" s="68" t="s">
        <v>674</v>
      </c>
      <c r="E1214" s="85">
        <f>158554435.69/1000</f>
        <v>158554.43568999998</v>
      </c>
      <c r="F1214" s="85">
        <f t="shared" ref="F1214:Q1214" si="149">SUM(F1196:F1213)</f>
        <v>48658.462439999996</v>
      </c>
      <c r="G1214" s="85">
        <f t="shared" si="149"/>
        <v>5394.5307999999995</v>
      </c>
      <c r="H1214" s="85">
        <f>152126056.24/1000</f>
        <v>152126.05624000001</v>
      </c>
      <c r="I1214" s="85">
        <f t="shared" si="149"/>
        <v>0</v>
      </c>
      <c r="J1214" s="85">
        <f t="shared" si="149"/>
        <v>48658.462439999996</v>
      </c>
      <c r="K1214" s="85">
        <f t="shared" si="149"/>
        <v>6428.3794500000004</v>
      </c>
      <c r="L1214" s="85">
        <f t="shared" si="149"/>
        <v>0</v>
      </c>
      <c r="M1214" s="85">
        <f t="shared" si="149"/>
        <v>54052.993240000003</v>
      </c>
      <c r="N1214" s="85">
        <f t="shared" si="149"/>
        <v>6428.3794500000004</v>
      </c>
      <c r="O1214" s="85">
        <f t="shared" si="149"/>
        <v>0</v>
      </c>
      <c r="P1214" s="85">
        <f>6428379/1000</f>
        <v>6428.3789999999999</v>
      </c>
      <c r="Q1214" s="85">
        <f t="shared" si="149"/>
        <v>38264.331889999994</v>
      </c>
      <c r="R1214" s="86"/>
      <c r="S1214" s="86"/>
      <c r="T1214" s="85">
        <f t="shared" ref="T1214:Y1214" si="150">SUM(T1196:T1213)</f>
        <v>0</v>
      </c>
      <c r="U1214" s="85">
        <f t="shared" si="150"/>
        <v>6428.3794500000004</v>
      </c>
      <c r="V1214" s="85">
        <f t="shared" si="150"/>
        <v>60481.372689999997</v>
      </c>
      <c r="W1214" s="85">
        <f t="shared" si="150"/>
        <v>0</v>
      </c>
      <c r="X1214" s="85">
        <f>+H1214+P1214</f>
        <v>158554.43523999999</v>
      </c>
      <c r="Y1214" s="85">
        <f t="shared" si="150"/>
        <v>0</v>
      </c>
      <c r="Z1214" s="85">
        <f>+E1214-X1214</f>
        <v>4.4999999227002263E-4</v>
      </c>
      <c r="AA1214" s="69">
        <f>SUM(AA1196:AA1213)</f>
        <v>60481.372689999997</v>
      </c>
      <c r="AB1214" s="69">
        <f>SUM(AB1196:AB1213)</f>
        <v>0</v>
      </c>
    </row>
    <row r="1215" spans="1:28" hidden="1" x14ac:dyDescent="0.3">
      <c r="A1215" s="117"/>
      <c r="E1215" s="86" t="s">
        <v>29</v>
      </c>
      <c r="F1215" s="86" t="s">
        <v>29</v>
      </c>
      <c r="G1215" s="86" t="s">
        <v>29</v>
      </c>
      <c r="H1215" s="86" t="s">
        <v>29</v>
      </c>
      <c r="I1215" s="86" t="s">
        <v>29</v>
      </c>
      <c r="J1215" s="86" t="s">
        <v>29</v>
      </c>
      <c r="K1215" s="86" t="s">
        <v>29</v>
      </c>
      <c r="L1215" s="86" t="s">
        <v>29</v>
      </c>
      <c r="M1215" s="86" t="s">
        <v>29</v>
      </c>
      <c r="N1215" s="86" t="s">
        <v>29</v>
      </c>
      <c r="O1215" s="86" t="s">
        <v>29</v>
      </c>
      <c r="P1215" s="86" t="s">
        <v>29</v>
      </c>
      <c r="Q1215" s="86" t="s">
        <v>29</v>
      </c>
      <c r="R1215" s="86" t="s">
        <v>29</v>
      </c>
      <c r="S1215" s="86" t="s">
        <v>29</v>
      </c>
      <c r="T1215" s="86" t="s">
        <v>29</v>
      </c>
      <c r="U1215" s="86" t="s">
        <v>29</v>
      </c>
      <c r="V1215" s="86" t="s">
        <v>29</v>
      </c>
      <c r="W1215" s="86" t="s">
        <v>29</v>
      </c>
      <c r="X1215" s="85" t="e">
        <f t="shared" ref="X1215:X1277" si="151">+H1215+P1215</f>
        <v>#VALUE!</v>
      </c>
      <c r="Y1215" s="86" t="s">
        <v>29</v>
      </c>
      <c r="Z1215" s="86" t="s">
        <v>29</v>
      </c>
      <c r="AA1215" s="115" t="s">
        <v>29</v>
      </c>
      <c r="AB1215" s="115" t="s">
        <v>29</v>
      </c>
    </row>
    <row r="1216" spans="1:28" hidden="1" x14ac:dyDescent="0.3">
      <c r="A1216" s="105"/>
      <c r="E1216" s="84"/>
      <c r="F1216" s="84"/>
      <c r="G1216" s="84"/>
      <c r="H1216" s="84"/>
      <c r="I1216" s="84"/>
      <c r="J1216" s="84"/>
      <c r="K1216" s="84"/>
      <c r="L1216" s="84"/>
      <c r="M1216" s="84"/>
      <c r="N1216" s="84"/>
      <c r="O1216" s="84"/>
      <c r="P1216" s="84"/>
      <c r="Q1216" s="84"/>
      <c r="R1216" s="86"/>
      <c r="S1216" s="86"/>
      <c r="T1216" s="86"/>
      <c r="U1216" s="86"/>
      <c r="V1216" s="86"/>
      <c r="W1216" s="86"/>
      <c r="X1216" s="85">
        <f t="shared" si="151"/>
        <v>0</v>
      </c>
      <c r="Y1216" s="86"/>
      <c r="Z1216" s="86"/>
    </row>
    <row r="1217" spans="1:28" hidden="1" x14ac:dyDescent="0.3">
      <c r="A1217" s="117"/>
      <c r="C1217" s="68" t="s">
        <v>680</v>
      </c>
      <c r="D1217" s="87" t="s">
        <v>166</v>
      </c>
      <c r="E1217" s="85">
        <f>STATS1003B!E1218/1000</f>
        <v>1265</v>
      </c>
      <c r="F1217" s="85">
        <f>STATS1003B!F1218/1000</f>
        <v>1265</v>
      </c>
      <c r="G1217" s="85">
        <f>STATS1003B!G1218/1000</f>
        <v>0</v>
      </c>
      <c r="H1217" s="85">
        <f>STATS1003B!H1218/1000</f>
        <v>1265</v>
      </c>
      <c r="I1217" s="85">
        <f>STATS1003B!I1218/1000</f>
        <v>0</v>
      </c>
      <c r="J1217" s="85">
        <f>STATS1003B!J1218/1000</f>
        <v>1265</v>
      </c>
      <c r="K1217" s="85">
        <f>STATS1003B!K1218/1000</f>
        <v>0</v>
      </c>
      <c r="L1217" s="85">
        <f>STATS1003B!L1218/1000</f>
        <v>0</v>
      </c>
      <c r="M1217" s="85">
        <f>STATS1003B!M1218/1000</f>
        <v>1265</v>
      </c>
      <c r="N1217" s="85">
        <f>STATS1003B!N1218/1000</f>
        <v>0</v>
      </c>
      <c r="O1217" s="85">
        <f>STATS1003B!O1218/1000</f>
        <v>0</v>
      </c>
      <c r="P1217" s="85">
        <f>STATS1003B!P1218/1000</f>
        <v>0</v>
      </c>
      <c r="Q1217" s="85">
        <f>STATS1003B!Q1218/1000</f>
        <v>1265</v>
      </c>
      <c r="R1217" s="85">
        <f>STATS1003B!R1218/1000</f>
        <v>0</v>
      </c>
      <c r="S1217" s="85">
        <f>STATS1003B!S1218/1000</f>
        <v>0</v>
      </c>
      <c r="T1217" s="85">
        <f>STATS1003B!T1218/1000</f>
        <v>0</v>
      </c>
      <c r="U1217" s="85">
        <f>STATS1003B!U1218/1000</f>
        <v>0</v>
      </c>
      <c r="V1217" s="85">
        <f>STATS1003B!V1218/1000</f>
        <v>1265</v>
      </c>
      <c r="W1217" s="85">
        <f>STATS1003B!W1218/1000</f>
        <v>0</v>
      </c>
      <c r="X1217" s="85">
        <f t="shared" si="151"/>
        <v>1265</v>
      </c>
      <c r="Y1217" s="85">
        <f>STATS1003B!Y1218/1000</f>
        <v>0</v>
      </c>
      <c r="Z1217" s="85">
        <f>STATS1003B!Z1218/1000</f>
        <v>0</v>
      </c>
      <c r="AA1217" s="69">
        <f>STATS1003B!AA1218/1000</f>
        <v>1265</v>
      </c>
      <c r="AB1217" s="69">
        <f>STATS1003B!AB1218/1000</f>
        <v>0</v>
      </c>
    </row>
    <row r="1218" spans="1:28" hidden="1" x14ac:dyDescent="0.3">
      <c r="A1218" s="117"/>
      <c r="C1218" s="68" t="s">
        <v>535</v>
      </c>
      <c r="D1218" s="87" t="s">
        <v>68</v>
      </c>
      <c r="E1218" s="85">
        <f>STATS1003B!E1219/1000</f>
        <v>2382.11859</v>
      </c>
      <c r="F1218" s="85">
        <f>STATS1003B!F1219/1000</f>
        <v>1936</v>
      </c>
      <c r="G1218" s="85">
        <f>STATS1003B!G1219/1000</f>
        <v>0</v>
      </c>
      <c r="H1218" s="85">
        <f>STATS1003B!H1219/1000</f>
        <v>1936</v>
      </c>
      <c r="I1218" s="85">
        <f>STATS1003B!I1219/1000</f>
        <v>0</v>
      </c>
      <c r="J1218" s="85">
        <f>STATS1003B!J1219/1000</f>
        <v>1936</v>
      </c>
      <c r="K1218" s="85">
        <f>STATS1003B!K1219/1000</f>
        <v>446.11858999999998</v>
      </c>
      <c r="L1218" s="85">
        <f>STATS1003B!L1219/1000</f>
        <v>0</v>
      </c>
      <c r="M1218" s="85">
        <f>STATS1003B!M1219/1000</f>
        <v>1936</v>
      </c>
      <c r="N1218" s="85">
        <f>STATS1003B!N1219/1000</f>
        <v>446.11859000000004</v>
      </c>
      <c r="O1218" s="85">
        <f>STATS1003B!O1219/1000</f>
        <v>0</v>
      </c>
      <c r="P1218" s="85">
        <f>STATS1003B!P1219/1000</f>
        <v>446.11859000000004</v>
      </c>
      <c r="Q1218" s="85">
        <f>STATS1003B!Q1219/1000</f>
        <v>1935.9999999999998</v>
      </c>
      <c r="R1218" s="85">
        <f>STATS1003B!R1219/1000</f>
        <v>0</v>
      </c>
      <c r="S1218" s="85">
        <f>STATS1003B!S1219/1000</f>
        <v>0</v>
      </c>
      <c r="T1218" s="85">
        <f>STATS1003B!T1219/1000</f>
        <v>0</v>
      </c>
      <c r="U1218" s="85">
        <f>STATS1003B!U1219/1000</f>
        <v>446.11859000000004</v>
      </c>
      <c r="V1218" s="85">
        <f>STATS1003B!V1219/1000</f>
        <v>2382.11859</v>
      </c>
      <c r="W1218" s="85">
        <f>STATS1003B!W1219/1000</f>
        <v>0</v>
      </c>
      <c r="X1218" s="85">
        <f t="shared" si="151"/>
        <v>2382.11859</v>
      </c>
      <c r="Y1218" s="85">
        <f>STATS1003B!Y1219/1000</f>
        <v>0</v>
      </c>
      <c r="Z1218" s="85">
        <f>STATS1003B!Z1219/1000</f>
        <v>0</v>
      </c>
      <c r="AA1218" s="69">
        <f>STATS1003B!AA1219/1000</f>
        <v>2382.11859</v>
      </c>
      <c r="AB1218" s="69">
        <f>STATS1003B!AB1219/1000</f>
        <v>0</v>
      </c>
    </row>
    <row r="1219" spans="1:28" hidden="1" x14ac:dyDescent="0.3">
      <c r="A1219" s="117"/>
      <c r="C1219" s="68" t="s">
        <v>539</v>
      </c>
      <c r="D1219" s="87" t="s">
        <v>68</v>
      </c>
      <c r="E1219" s="85">
        <f>STATS1003B!E1220/1000</f>
        <v>395.68049999999999</v>
      </c>
      <c r="F1219" s="85">
        <f>STATS1003B!F1220/1000</f>
        <v>0</v>
      </c>
      <c r="G1219" s="85">
        <f>STATS1003B!G1220/1000</f>
        <v>0</v>
      </c>
      <c r="H1219" s="85">
        <f>STATS1003B!H1220/1000</f>
        <v>0</v>
      </c>
      <c r="I1219" s="85">
        <f>STATS1003B!I1220/1000</f>
        <v>0</v>
      </c>
      <c r="J1219" s="85">
        <f>STATS1003B!J1220/1000</f>
        <v>0</v>
      </c>
      <c r="K1219" s="85">
        <f>STATS1003B!K1220/1000</f>
        <v>395.68049999999999</v>
      </c>
      <c r="L1219" s="85">
        <f>STATS1003B!L1220/1000</f>
        <v>0</v>
      </c>
      <c r="M1219" s="85">
        <f>STATS1003B!M1220/1000</f>
        <v>0</v>
      </c>
      <c r="N1219" s="85">
        <f>STATS1003B!N1220/1000</f>
        <v>395.68049999999999</v>
      </c>
      <c r="O1219" s="85">
        <f>STATS1003B!O1220/1000</f>
        <v>0</v>
      </c>
      <c r="P1219" s="85">
        <f>STATS1003B!P1220/1000</f>
        <v>395.68049999999999</v>
      </c>
      <c r="Q1219" s="85">
        <f>STATS1003B!Q1220/1000</f>
        <v>0</v>
      </c>
      <c r="R1219" s="85">
        <f>STATS1003B!R1220/1000</f>
        <v>0</v>
      </c>
      <c r="S1219" s="85">
        <f>STATS1003B!S1220/1000</f>
        <v>0</v>
      </c>
      <c r="T1219" s="85">
        <f>STATS1003B!T1220/1000</f>
        <v>0</v>
      </c>
      <c r="U1219" s="85">
        <f>STATS1003B!U1220/1000</f>
        <v>395.68049999999999</v>
      </c>
      <c r="V1219" s="85">
        <f>STATS1003B!V1220/1000</f>
        <v>395.68049999999999</v>
      </c>
      <c r="W1219" s="85">
        <f>STATS1003B!W1220/1000</f>
        <v>0</v>
      </c>
      <c r="X1219" s="85">
        <f t="shared" si="151"/>
        <v>395.68049999999999</v>
      </c>
      <c r="Y1219" s="85">
        <f>STATS1003B!Y1220/1000</f>
        <v>0</v>
      </c>
      <c r="Z1219" s="85">
        <f>STATS1003B!Z1220/1000</f>
        <v>0</v>
      </c>
      <c r="AA1219" s="69">
        <f>STATS1003B!AA1220/1000</f>
        <v>395.68049999999999</v>
      </c>
      <c r="AB1219" s="69">
        <f>STATS1003B!AB1220/1000</f>
        <v>0</v>
      </c>
    </row>
    <row r="1220" spans="1:28" hidden="1" x14ac:dyDescent="0.3">
      <c r="A1220" s="117"/>
      <c r="C1220" s="68" t="s">
        <v>557</v>
      </c>
      <c r="D1220" s="87" t="s">
        <v>68</v>
      </c>
      <c r="E1220" s="85">
        <f>STATS1003B!E1221/1000</f>
        <v>655.70257000000026</v>
      </c>
      <c r="F1220" s="85">
        <f>STATS1003B!F1221/1000</f>
        <v>594.05898999999999</v>
      </c>
      <c r="G1220" s="85">
        <f>STATS1003B!G1221/1000</f>
        <v>0</v>
      </c>
      <c r="H1220" s="85">
        <f>STATS1003B!H1221/1000</f>
        <v>594.05898999999999</v>
      </c>
      <c r="I1220" s="85">
        <f>STATS1003B!I1221/1000</f>
        <v>0</v>
      </c>
      <c r="J1220" s="85">
        <f>STATS1003B!J1221/1000</f>
        <v>594.05898999999999</v>
      </c>
      <c r="K1220" s="85">
        <f>STATS1003B!K1221/1000</f>
        <v>61.64358</v>
      </c>
      <c r="L1220" s="85">
        <f>STATS1003B!L1221/1000</f>
        <v>0</v>
      </c>
      <c r="M1220" s="85">
        <f>STATS1003B!M1221/1000</f>
        <v>594.05898999999999</v>
      </c>
      <c r="N1220" s="85">
        <f>STATS1003B!N1221/1000</f>
        <v>61.64358</v>
      </c>
      <c r="O1220" s="85">
        <f>STATS1003B!O1221/1000</f>
        <v>0</v>
      </c>
      <c r="P1220" s="85">
        <f>STATS1003B!P1221/1000</f>
        <v>61.64358</v>
      </c>
      <c r="Q1220" s="85">
        <f>STATS1003B!Q1221/1000</f>
        <v>594.05899000000034</v>
      </c>
      <c r="R1220" s="85">
        <f>STATS1003B!R1221/1000</f>
        <v>0</v>
      </c>
      <c r="S1220" s="85">
        <f>STATS1003B!S1221/1000</f>
        <v>0</v>
      </c>
      <c r="T1220" s="85">
        <f>STATS1003B!T1221/1000</f>
        <v>0</v>
      </c>
      <c r="U1220" s="85">
        <f>STATS1003B!U1221/1000</f>
        <v>61.64358</v>
      </c>
      <c r="V1220" s="85">
        <f>STATS1003B!V1221/1000</f>
        <v>655.70256999999992</v>
      </c>
      <c r="W1220" s="85">
        <f>STATS1003B!W1221/1000</f>
        <v>0</v>
      </c>
      <c r="X1220" s="85">
        <f t="shared" si="151"/>
        <v>655.70257000000004</v>
      </c>
      <c r="Y1220" s="85">
        <f>STATS1003B!Y1221/1000</f>
        <v>0</v>
      </c>
      <c r="Z1220" s="85">
        <f>STATS1003B!Z1221/1000</f>
        <v>0</v>
      </c>
      <c r="AA1220" s="69">
        <f>STATS1003B!AA1221/1000</f>
        <v>655.70256999999992</v>
      </c>
      <c r="AB1220" s="69">
        <f>STATS1003B!AB1221/1000</f>
        <v>0</v>
      </c>
    </row>
    <row r="1221" spans="1:28" hidden="1" x14ac:dyDescent="0.3">
      <c r="A1221" s="117"/>
      <c r="C1221" s="68" t="s">
        <v>545</v>
      </c>
      <c r="D1221" s="87" t="s">
        <v>54</v>
      </c>
      <c r="E1221" s="85">
        <f>STATS1003B!E1222/1000</f>
        <v>1767.77</v>
      </c>
      <c r="F1221" s="85">
        <f>STATS1003B!F1222/1000</f>
        <v>0</v>
      </c>
      <c r="G1221" s="85">
        <f>STATS1003B!G1222/1000</f>
        <v>0</v>
      </c>
      <c r="H1221" s="85">
        <f>STATS1003B!H1222/1000</f>
        <v>0</v>
      </c>
      <c r="I1221" s="85">
        <f>STATS1003B!I1222/1000</f>
        <v>0</v>
      </c>
      <c r="J1221" s="85">
        <f>STATS1003B!J1222/1000</f>
        <v>0</v>
      </c>
      <c r="K1221" s="85">
        <f>STATS1003B!K1222/1000</f>
        <v>1767.77</v>
      </c>
      <c r="L1221" s="85">
        <f>STATS1003B!L1222/1000</f>
        <v>0</v>
      </c>
      <c r="M1221" s="85">
        <f>STATS1003B!M1222/1000</f>
        <v>0</v>
      </c>
      <c r="N1221" s="85">
        <f>STATS1003B!N1222/1000</f>
        <v>1767.77</v>
      </c>
      <c r="O1221" s="85">
        <f>STATS1003B!O1222/1000</f>
        <v>0</v>
      </c>
      <c r="P1221" s="85">
        <f>STATS1003B!P1222/1000</f>
        <v>1767.77</v>
      </c>
      <c r="Q1221" s="85">
        <f>STATS1003B!Q1222/1000</f>
        <v>0</v>
      </c>
      <c r="R1221" s="85">
        <f>STATS1003B!R1222/1000</f>
        <v>0</v>
      </c>
      <c r="S1221" s="85">
        <f>STATS1003B!S1222/1000</f>
        <v>0</v>
      </c>
      <c r="T1221" s="85">
        <f>STATS1003B!T1222/1000</f>
        <v>0</v>
      </c>
      <c r="U1221" s="85">
        <f>STATS1003B!U1222/1000</f>
        <v>1767.77</v>
      </c>
      <c r="V1221" s="85">
        <f>STATS1003B!V1222/1000</f>
        <v>1767.77</v>
      </c>
      <c r="W1221" s="85">
        <f>STATS1003B!W1222/1000</f>
        <v>0</v>
      </c>
      <c r="X1221" s="85">
        <f t="shared" si="151"/>
        <v>1767.77</v>
      </c>
      <c r="Y1221" s="85">
        <f>STATS1003B!Y1222/1000</f>
        <v>0</v>
      </c>
      <c r="Z1221" s="85">
        <f>STATS1003B!Z1222/1000</f>
        <v>0</v>
      </c>
      <c r="AA1221" s="69">
        <f>STATS1003B!AA1222/1000</f>
        <v>1767.77</v>
      </c>
      <c r="AB1221" s="69">
        <f>STATS1003B!AB1222/1000</f>
        <v>0</v>
      </c>
    </row>
    <row r="1222" spans="1:28" hidden="1" x14ac:dyDescent="0.3">
      <c r="A1222" s="117"/>
      <c r="C1222" s="68" t="s">
        <v>535</v>
      </c>
      <c r="D1222" s="87" t="s">
        <v>54</v>
      </c>
      <c r="E1222" s="85">
        <f>STATS1003B!E1223/1000</f>
        <v>684</v>
      </c>
      <c r="F1222" s="85">
        <f>STATS1003B!F1223/1000</f>
        <v>684</v>
      </c>
      <c r="G1222" s="85">
        <f>STATS1003B!G1223/1000</f>
        <v>0</v>
      </c>
      <c r="H1222" s="85">
        <f>STATS1003B!H1223/1000</f>
        <v>684</v>
      </c>
      <c r="I1222" s="85">
        <f>STATS1003B!I1223/1000</f>
        <v>0</v>
      </c>
      <c r="J1222" s="85">
        <f>STATS1003B!J1223/1000</f>
        <v>684</v>
      </c>
      <c r="K1222" s="85">
        <f>STATS1003B!K1223/1000</f>
        <v>0</v>
      </c>
      <c r="L1222" s="85">
        <f>STATS1003B!L1223/1000</f>
        <v>0</v>
      </c>
      <c r="M1222" s="85">
        <f>STATS1003B!M1223/1000</f>
        <v>684</v>
      </c>
      <c r="N1222" s="85">
        <f>STATS1003B!N1223/1000</f>
        <v>0</v>
      </c>
      <c r="O1222" s="85">
        <f>STATS1003B!O1223/1000</f>
        <v>0</v>
      </c>
      <c r="P1222" s="85">
        <f>STATS1003B!P1223/1000</f>
        <v>0</v>
      </c>
      <c r="Q1222" s="85">
        <f>STATS1003B!Q1223/1000</f>
        <v>684</v>
      </c>
      <c r="R1222" s="85">
        <f>STATS1003B!R1223/1000</f>
        <v>0</v>
      </c>
      <c r="S1222" s="85">
        <f>STATS1003B!S1223/1000</f>
        <v>0</v>
      </c>
      <c r="T1222" s="85">
        <f>STATS1003B!T1223/1000</f>
        <v>0</v>
      </c>
      <c r="U1222" s="85">
        <f>STATS1003B!U1223/1000</f>
        <v>0</v>
      </c>
      <c r="V1222" s="85">
        <f>STATS1003B!V1223/1000</f>
        <v>684</v>
      </c>
      <c r="W1222" s="85">
        <f>STATS1003B!W1223/1000</f>
        <v>0</v>
      </c>
      <c r="X1222" s="85">
        <f t="shared" si="151"/>
        <v>684</v>
      </c>
      <c r="Y1222" s="85">
        <f>STATS1003B!Y1223/1000</f>
        <v>0</v>
      </c>
      <c r="Z1222" s="85">
        <f>STATS1003B!Z1223/1000</f>
        <v>0</v>
      </c>
      <c r="AA1222" s="69">
        <f>STATS1003B!AA1223/1000</f>
        <v>684</v>
      </c>
      <c r="AB1222" s="69">
        <f>STATS1003B!AB1223/1000</f>
        <v>0</v>
      </c>
    </row>
    <row r="1223" spans="1:28" hidden="1" x14ac:dyDescent="0.3">
      <c r="A1223" s="117"/>
      <c r="C1223" s="68" t="s">
        <v>535</v>
      </c>
      <c r="D1223" s="87" t="s">
        <v>85</v>
      </c>
      <c r="E1223" s="85">
        <f>STATS1003B!E1224/1000</f>
        <v>2545.94</v>
      </c>
      <c r="F1223" s="85">
        <f>STATS1003B!F1224/1000</f>
        <v>2545.94</v>
      </c>
      <c r="G1223" s="85">
        <f>STATS1003B!G1224/1000</f>
        <v>0</v>
      </c>
      <c r="H1223" s="85">
        <f>STATS1003B!H1224/1000</f>
        <v>2545.94</v>
      </c>
      <c r="I1223" s="85">
        <f>STATS1003B!I1224/1000</f>
        <v>0</v>
      </c>
      <c r="J1223" s="85">
        <f>STATS1003B!J1224/1000</f>
        <v>2545.94</v>
      </c>
      <c r="K1223" s="85">
        <f>STATS1003B!K1224/1000</f>
        <v>0</v>
      </c>
      <c r="L1223" s="85">
        <f>STATS1003B!L1224/1000</f>
        <v>0</v>
      </c>
      <c r="M1223" s="85">
        <f>STATS1003B!M1224/1000</f>
        <v>2545.94</v>
      </c>
      <c r="N1223" s="85">
        <f>STATS1003B!N1224/1000</f>
        <v>0</v>
      </c>
      <c r="O1223" s="85">
        <f>STATS1003B!O1224/1000</f>
        <v>0</v>
      </c>
      <c r="P1223" s="85">
        <f>STATS1003B!P1224/1000</f>
        <v>0</v>
      </c>
      <c r="Q1223" s="85">
        <f>STATS1003B!Q1224/1000</f>
        <v>2545.94</v>
      </c>
      <c r="R1223" s="85">
        <f>STATS1003B!R1224/1000</f>
        <v>0</v>
      </c>
      <c r="S1223" s="85">
        <f>STATS1003B!S1224/1000</f>
        <v>0</v>
      </c>
      <c r="T1223" s="85">
        <f>STATS1003B!T1224/1000</f>
        <v>0</v>
      </c>
      <c r="U1223" s="85">
        <f>STATS1003B!U1224/1000</f>
        <v>0</v>
      </c>
      <c r="V1223" s="85">
        <f>STATS1003B!V1224/1000</f>
        <v>2545.94</v>
      </c>
      <c r="W1223" s="85">
        <f>STATS1003B!W1224/1000</f>
        <v>0</v>
      </c>
      <c r="X1223" s="85">
        <f t="shared" si="151"/>
        <v>2545.94</v>
      </c>
      <c r="Y1223" s="85">
        <f>STATS1003B!Y1224/1000</f>
        <v>0</v>
      </c>
      <c r="Z1223" s="85">
        <f>STATS1003B!Z1224/1000</f>
        <v>0</v>
      </c>
      <c r="AA1223" s="69">
        <f>STATS1003B!AA1224/1000</f>
        <v>2545.94</v>
      </c>
      <c r="AB1223" s="69">
        <f>STATS1003B!AB1224/1000</f>
        <v>0</v>
      </c>
    </row>
    <row r="1224" spans="1:28" hidden="1" x14ac:dyDescent="0.3">
      <c r="A1224" s="117"/>
      <c r="C1224" s="68" t="s">
        <v>681</v>
      </c>
      <c r="D1224" s="87" t="s">
        <v>85</v>
      </c>
      <c r="E1224" s="85">
        <f>STATS1003B!E1225/1000</f>
        <v>1185</v>
      </c>
      <c r="F1224" s="85">
        <f>STATS1003B!F1225/1000</f>
        <v>1185</v>
      </c>
      <c r="G1224" s="85">
        <f>STATS1003B!G1225/1000</f>
        <v>0</v>
      </c>
      <c r="H1224" s="85">
        <f>STATS1003B!H1225/1000</f>
        <v>1185</v>
      </c>
      <c r="I1224" s="85">
        <f>STATS1003B!I1225/1000</f>
        <v>0</v>
      </c>
      <c r="J1224" s="85">
        <f>STATS1003B!J1225/1000</f>
        <v>1185</v>
      </c>
      <c r="K1224" s="85">
        <f>STATS1003B!K1225/1000</f>
        <v>0</v>
      </c>
      <c r="L1224" s="85">
        <f>STATS1003B!L1225/1000</f>
        <v>0</v>
      </c>
      <c r="M1224" s="85">
        <f>STATS1003B!M1225/1000</f>
        <v>1185</v>
      </c>
      <c r="N1224" s="85">
        <f>STATS1003B!N1225/1000</f>
        <v>0</v>
      </c>
      <c r="O1224" s="85">
        <f>STATS1003B!O1225/1000</f>
        <v>0</v>
      </c>
      <c r="P1224" s="85">
        <f>STATS1003B!P1225/1000</f>
        <v>0</v>
      </c>
      <c r="Q1224" s="85">
        <f>STATS1003B!Q1225/1000</f>
        <v>1185</v>
      </c>
      <c r="R1224" s="85">
        <f>STATS1003B!R1225/1000</f>
        <v>0</v>
      </c>
      <c r="S1224" s="85">
        <f>STATS1003B!S1225/1000</f>
        <v>0</v>
      </c>
      <c r="T1224" s="85">
        <f>STATS1003B!T1225/1000</f>
        <v>0</v>
      </c>
      <c r="U1224" s="85">
        <f>STATS1003B!U1225/1000</f>
        <v>0</v>
      </c>
      <c r="V1224" s="85">
        <f>STATS1003B!V1225/1000</f>
        <v>1185</v>
      </c>
      <c r="W1224" s="85">
        <f>STATS1003B!W1225/1000</f>
        <v>0</v>
      </c>
      <c r="X1224" s="85">
        <f t="shared" si="151"/>
        <v>1185</v>
      </c>
      <c r="Y1224" s="85">
        <f>STATS1003B!Y1225/1000</f>
        <v>0</v>
      </c>
      <c r="Z1224" s="85">
        <f>STATS1003B!Z1225/1000</f>
        <v>0</v>
      </c>
      <c r="AA1224" s="69">
        <f>STATS1003B!AA1225/1000</f>
        <v>1185</v>
      </c>
      <c r="AB1224" s="69">
        <f>STATS1003B!AB1225/1000</f>
        <v>0</v>
      </c>
    </row>
    <row r="1225" spans="1:28" hidden="1" x14ac:dyDescent="0.3">
      <c r="A1225" s="117"/>
      <c r="C1225" s="68" t="s">
        <v>557</v>
      </c>
      <c r="D1225" s="87" t="s">
        <v>85</v>
      </c>
      <c r="E1225" s="85">
        <f>STATS1003B!E1226/1000</f>
        <v>2249</v>
      </c>
      <c r="F1225" s="85">
        <f>STATS1003B!F1226/1000</f>
        <v>2249</v>
      </c>
      <c r="G1225" s="85">
        <f>STATS1003B!G1226/1000</f>
        <v>0</v>
      </c>
      <c r="H1225" s="85">
        <f>STATS1003B!H1226/1000</f>
        <v>2249</v>
      </c>
      <c r="I1225" s="85">
        <f>STATS1003B!I1226/1000</f>
        <v>0</v>
      </c>
      <c r="J1225" s="85">
        <f>STATS1003B!J1226/1000</f>
        <v>2249</v>
      </c>
      <c r="K1225" s="85">
        <f>STATS1003B!K1226/1000</f>
        <v>0</v>
      </c>
      <c r="L1225" s="85">
        <f>STATS1003B!L1226/1000</f>
        <v>0</v>
      </c>
      <c r="M1225" s="85">
        <f>STATS1003B!M1226/1000</f>
        <v>2249</v>
      </c>
      <c r="N1225" s="85">
        <f>STATS1003B!N1226/1000</f>
        <v>0</v>
      </c>
      <c r="O1225" s="85">
        <f>STATS1003B!O1226/1000</f>
        <v>0</v>
      </c>
      <c r="P1225" s="85">
        <f>STATS1003B!P1226/1000</f>
        <v>0</v>
      </c>
      <c r="Q1225" s="85">
        <f>STATS1003B!Q1226/1000</f>
        <v>2249</v>
      </c>
      <c r="R1225" s="85">
        <f>STATS1003B!R1226/1000</f>
        <v>0</v>
      </c>
      <c r="S1225" s="85">
        <f>STATS1003B!S1226/1000</f>
        <v>0</v>
      </c>
      <c r="T1225" s="85">
        <f>STATS1003B!T1226/1000</f>
        <v>0</v>
      </c>
      <c r="U1225" s="85">
        <f>STATS1003B!U1226/1000</f>
        <v>0</v>
      </c>
      <c r="V1225" s="85">
        <f>STATS1003B!V1226/1000</f>
        <v>2249</v>
      </c>
      <c r="W1225" s="85">
        <f>STATS1003B!W1226/1000</f>
        <v>0</v>
      </c>
      <c r="X1225" s="85">
        <f t="shared" si="151"/>
        <v>2249</v>
      </c>
      <c r="Y1225" s="85">
        <f>STATS1003B!Y1226/1000</f>
        <v>0</v>
      </c>
      <c r="Z1225" s="85">
        <f>STATS1003B!Z1226/1000</f>
        <v>0</v>
      </c>
      <c r="AA1225" s="69">
        <f>STATS1003B!AA1226/1000</f>
        <v>2249</v>
      </c>
      <c r="AB1225" s="69">
        <f>STATS1003B!AB1226/1000</f>
        <v>0</v>
      </c>
    </row>
    <row r="1226" spans="1:28" hidden="1" x14ac:dyDescent="0.3">
      <c r="A1226" s="117"/>
      <c r="C1226" s="68" t="s">
        <v>682</v>
      </c>
      <c r="D1226" s="87" t="s">
        <v>128</v>
      </c>
      <c r="E1226" s="85">
        <f>STATS1003B!E1227/1000</f>
        <v>0</v>
      </c>
      <c r="F1226" s="85">
        <f>STATS1003B!F1227/1000</f>
        <v>0</v>
      </c>
      <c r="G1226" s="85">
        <f>STATS1003B!G1227/1000</f>
        <v>0</v>
      </c>
      <c r="H1226" s="85">
        <f>STATS1003B!H1227/1000</f>
        <v>0</v>
      </c>
      <c r="I1226" s="85">
        <f>STATS1003B!I1227/1000</f>
        <v>0</v>
      </c>
      <c r="J1226" s="85">
        <f>STATS1003B!J1227/1000</f>
        <v>0</v>
      </c>
      <c r="K1226" s="85">
        <f>STATS1003B!K1227/1000</f>
        <v>0</v>
      </c>
      <c r="L1226" s="85">
        <f>STATS1003B!L1227/1000</f>
        <v>0</v>
      </c>
      <c r="M1226" s="85">
        <f>STATS1003B!M1227/1000</f>
        <v>0</v>
      </c>
      <c r="N1226" s="85">
        <f>STATS1003B!N1227/1000</f>
        <v>0</v>
      </c>
      <c r="O1226" s="85">
        <f>STATS1003B!O1227/1000</f>
        <v>0</v>
      </c>
      <c r="P1226" s="85">
        <f>STATS1003B!P1227/1000</f>
        <v>0</v>
      </c>
      <c r="Q1226" s="85">
        <f>STATS1003B!Q1227/1000</f>
        <v>0</v>
      </c>
      <c r="R1226" s="85">
        <f>STATS1003B!R1227/1000</f>
        <v>0</v>
      </c>
      <c r="S1226" s="85">
        <f>STATS1003B!S1227/1000</f>
        <v>0</v>
      </c>
      <c r="T1226" s="85">
        <f>STATS1003B!T1227/1000</f>
        <v>0</v>
      </c>
      <c r="U1226" s="85">
        <f>STATS1003B!U1227/1000</f>
        <v>0</v>
      </c>
      <c r="V1226" s="85">
        <f>STATS1003B!V1227/1000</f>
        <v>0</v>
      </c>
      <c r="W1226" s="85">
        <f>STATS1003B!W1227/1000</f>
        <v>0</v>
      </c>
      <c r="X1226" s="85">
        <f t="shared" si="151"/>
        <v>0</v>
      </c>
      <c r="Y1226" s="85">
        <f>STATS1003B!Y1227/1000</f>
        <v>0</v>
      </c>
      <c r="Z1226" s="85">
        <f>STATS1003B!Z1227/1000</f>
        <v>0</v>
      </c>
      <c r="AA1226" s="69">
        <f>STATS1003B!AA1227/1000</f>
        <v>0</v>
      </c>
      <c r="AB1226" s="69">
        <f>STATS1003B!AB1227/1000</f>
        <v>0</v>
      </c>
    </row>
    <row r="1227" spans="1:28" hidden="1" x14ac:dyDescent="0.3">
      <c r="A1227" s="117"/>
      <c r="C1227" s="68" t="s">
        <v>535</v>
      </c>
      <c r="D1227" s="87" t="s">
        <v>88</v>
      </c>
      <c r="E1227" s="85">
        <f>STATS1003B!E1228/1000</f>
        <v>1854.932</v>
      </c>
      <c r="F1227" s="85">
        <f>STATS1003B!F1228/1000</f>
        <v>1854.932</v>
      </c>
      <c r="G1227" s="85">
        <f>STATS1003B!G1228/1000</f>
        <v>0</v>
      </c>
      <c r="H1227" s="85">
        <f>STATS1003B!H1228/1000</f>
        <v>1854.932</v>
      </c>
      <c r="I1227" s="85">
        <f>STATS1003B!I1228/1000</f>
        <v>0</v>
      </c>
      <c r="J1227" s="85">
        <f>STATS1003B!J1228/1000</f>
        <v>1854.932</v>
      </c>
      <c r="K1227" s="85">
        <f>STATS1003B!K1228/1000</f>
        <v>0</v>
      </c>
      <c r="L1227" s="85">
        <f>STATS1003B!L1228/1000</f>
        <v>0</v>
      </c>
      <c r="M1227" s="85">
        <f>STATS1003B!M1228/1000</f>
        <v>1854.932</v>
      </c>
      <c r="N1227" s="85">
        <f>STATS1003B!N1228/1000</f>
        <v>0</v>
      </c>
      <c r="O1227" s="85">
        <f>STATS1003B!O1228/1000</f>
        <v>0</v>
      </c>
      <c r="P1227" s="85">
        <f>STATS1003B!P1228/1000</f>
        <v>0</v>
      </c>
      <c r="Q1227" s="85">
        <f>STATS1003B!Q1228/1000</f>
        <v>1854.932</v>
      </c>
      <c r="R1227" s="85">
        <f>STATS1003B!R1228/1000</f>
        <v>0</v>
      </c>
      <c r="S1227" s="85">
        <f>STATS1003B!S1228/1000</f>
        <v>0</v>
      </c>
      <c r="T1227" s="85">
        <f>STATS1003B!T1228/1000</f>
        <v>0</v>
      </c>
      <c r="U1227" s="85">
        <f>STATS1003B!U1228/1000</f>
        <v>0</v>
      </c>
      <c r="V1227" s="85">
        <f>STATS1003B!V1228/1000</f>
        <v>1854.932</v>
      </c>
      <c r="W1227" s="85">
        <f>STATS1003B!W1228/1000</f>
        <v>0</v>
      </c>
      <c r="X1227" s="85">
        <f t="shared" si="151"/>
        <v>1854.932</v>
      </c>
      <c r="Y1227" s="85">
        <f>STATS1003B!Y1228/1000</f>
        <v>0</v>
      </c>
      <c r="Z1227" s="85">
        <f>STATS1003B!Z1228/1000</f>
        <v>0</v>
      </c>
      <c r="AA1227" s="69">
        <f>STATS1003B!AA1228/1000</f>
        <v>1854.932</v>
      </c>
      <c r="AB1227" s="69">
        <f>STATS1003B!AB1228/1000</f>
        <v>0</v>
      </c>
    </row>
    <row r="1228" spans="1:28" hidden="1" x14ac:dyDescent="0.3">
      <c r="A1228" s="117"/>
      <c r="C1228" s="68" t="s">
        <v>683</v>
      </c>
      <c r="D1228" s="87" t="s">
        <v>88</v>
      </c>
      <c r="E1228" s="85">
        <f>STATS1003B!E1229/1000</f>
        <v>250</v>
      </c>
      <c r="F1228" s="85">
        <f>STATS1003B!F1229/1000</f>
        <v>250</v>
      </c>
      <c r="G1228" s="85">
        <f>STATS1003B!G1229/1000</f>
        <v>0</v>
      </c>
      <c r="H1228" s="85">
        <f>STATS1003B!H1229/1000</f>
        <v>250</v>
      </c>
      <c r="I1228" s="85">
        <f>STATS1003B!I1229/1000</f>
        <v>0</v>
      </c>
      <c r="J1228" s="85">
        <f>STATS1003B!J1229/1000</f>
        <v>250</v>
      </c>
      <c r="K1228" s="85">
        <f>STATS1003B!K1229/1000</f>
        <v>0</v>
      </c>
      <c r="L1228" s="85">
        <f>STATS1003B!L1229/1000</f>
        <v>0</v>
      </c>
      <c r="M1228" s="85">
        <f>STATS1003B!M1229/1000</f>
        <v>250</v>
      </c>
      <c r="N1228" s="85">
        <f>STATS1003B!N1229/1000</f>
        <v>0</v>
      </c>
      <c r="O1228" s="85">
        <f>STATS1003B!O1229/1000</f>
        <v>0</v>
      </c>
      <c r="P1228" s="85">
        <f>STATS1003B!P1229/1000</f>
        <v>0</v>
      </c>
      <c r="Q1228" s="85">
        <f>STATS1003B!Q1229/1000</f>
        <v>250</v>
      </c>
      <c r="R1228" s="85">
        <f>STATS1003B!R1229/1000</f>
        <v>0</v>
      </c>
      <c r="S1228" s="85">
        <f>STATS1003B!S1229/1000</f>
        <v>0</v>
      </c>
      <c r="T1228" s="85">
        <f>STATS1003B!T1229/1000</f>
        <v>0</v>
      </c>
      <c r="U1228" s="85">
        <f>STATS1003B!U1229/1000</f>
        <v>0</v>
      </c>
      <c r="V1228" s="85">
        <f>STATS1003B!V1229/1000</f>
        <v>250</v>
      </c>
      <c r="W1228" s="85">
        <f>STATS1003B!W1229/1000</f>
        <v>0</v>
      </c>
      <c r="X1228" s="85">
        <f t="shared" si="151"/>
        <v>250</v>
      </c>
      <c r="Y1228" s="85">
        <f>STATS1003B!Y1229/1000</f>
        <v>0</v>
      </c>
      <c r="Z1228" s="85">
        <f>STATS1003B!Z1229/1000</f>
        <v>0</v>
      </c>
      <c r="AA1228" s="69">
        <f>STATS1003B!AA1229/1000</f>
        <v>250</v>
      </c>
      <c r="AB1228" s="69">
        <f>STATS1003B!AB1229/1000</f>
        <v>0</v>
      </c>
    </row>
    <row r="1229" spans="1:28" hidden="1" x14ac:dyDescent="0.3">
      <c r="A1229" s="117"/>
      <c r="C1229" s="68" t="s">
        <v>535</v>
      </c>
      <c r="D1229" s="87" t="s">
        <v>108</v>
      </c>
      <c r="E1229" s="85">
        <f>STATS1003B!E1230/1000</f>
        <v>2000</v>
      </c>
      <c r="F1229" s="85">
        <f>STATS1003B!F1230/1000</f>
        <v>2000</v>
      </c>
      <c r="G1229" s="85">
        <f>STATS1003B!G1230/1000</f>
        <v>0</v>
      </c>
      <c r="H1229" s="85">
        <f>STATS1003B!H1230/1000</f>
        <v>2000</v>
      </c>
      <c r="I1229" s="85">
        <f>STATS1003B!I1230/1000</f>
        <v>0</v>
      </c>
      <c r="J1229" s="85">
        <f>STATS1003B!J1230/1000</f>
        <v>2000</v>
      </c>
      <c r="K1229" s="85">
        <f>STATS1003B!K1230/1000</f>
        <v>0</v>
      </c>
      <c r="L1229" s="85">
        <f>STATS1003B!L1230/1000</f>
        <v>0</v>
      </c>
      <c r="M1229" s="85">
        <f>STATS1003B!M1230/1000</f>
        <v>2000</v>
      </c>
      <c r="N1229" s="85">
        <f>STATS1003B!N1230/1000</f>
        <v>0</v>
      </c>
      <c r="O1229" s="85">
        <f>STATS1003B!O1230/1000</f>
        <v>0</v>
      </c>
      <c r="P1229" s="85">
        <f>STATS1003B!P1230/1000</f>
        <v>0</v>
      </c>
      <c r="Q1229" s="85">
        <f>STATS1003B!Q1230/1000</f>
        <v>2000</v>
      </c>
      <c r="R1229" s="85">
        <f>STATS1003B!R1230/1000</f>
        <v>0</v>
      </c>
      <c r="S1229" s="85">
        <f>STATS1003B!S1230/1000</f>
        <v>0</v>
      </c>
      <c r="T1229" s="85">
        <f>STATS1003B!T1230/1000</f>
        <v>0</v>
      </c>
      <c r="U1229" s="85">
        <f>STATS1003B!U1230/1000</f>
        <v>0</v>
      </c>
      <c r="V1229" s="85">
        <f>STATS1003B!V1230/1000</f>
        <v>2000</v>
      </c>
      <c r="W1229" s="85">
        <f>STATS1003B!W1230/1000</f>
        <v>0</v>
      </c>
      <c r="X1229" s="85">
        <f t="shared" si="151"/>
        <v>2000</v>
      </c>
      <c r="Y1229" s="85">
        <f>STATS1003B!Y1230/1000</f>
        <v>0</v>
      </c>
      <c r="Z1229" s="85">
        <f>STATS1003B!Z1230/1000</f>
        <v>0</v>
      </c>
      <c r="AA1229" s="69">
        <f>STATS1003B!AA1230/1000</f>
        <v>2000</v>
      </c>
      <c r="AB1229" s="69">
        <f>STATS1003B!AB1230/1000</f>
        <v>0</v>
      </c>
    </row>
    <row r="1230" spans="1:28" hidden="1" x14ac:dyDescent="0.3">
      <c r="A1230" s="117"/>
      <c r="C1230" s="68" t="s">
        <v>535</v>
      </c>
      <c r="D1230" s="87" t="s">
        <v>58</v>
      </c>
      <c r="E1230" s="85">
        <f>STATS1003B!E1231/1000</f>
        <v>1853.6</v>
      </c>
      <c r="F1230" s="85">
        <f>STATS1003B!F1231/1000</f>
        <v>1853.6</v>
      </c>
      <c r="G1230" s="85">
        <f>STATS1003B!G1231/1000</f>
        <v>0</v>
      </c>
      <c r="H1230" s="85">
        <f>STATS1003B!H1231/1000</f>
        <v>1853.6</v>
      </c>
      <c r="I1230" s="85">
        <f>STATS1003B!I1231/1000</f>
        <v>0</v>
      </c>
      <c r="J1230" s="85">
        <f>STATS1003B!J1231/1000</f>
        <v>1853.6</v>
      </c>
      <c r="K1230" s="85">
        <f>STATS1003B!K1231/1000</f>
        <v>0</v>
      </c>
      <c r="L1230" s="85">
        <f>STATS1003B!L1231/1000</f>
        <v>0</v>
      </c>
      <c r="M1230" s="85">
        <f>STATS1003B!M1231/1000</f>
        <v>1853.6</v>
      </c>
      <c r="N1230" s="85">
        <f>STATS1003B!N1231/1000</f>
        <v>0</v>
      </c>
      <c r="O1230" s="85">
        <f>STATS1003B!O1231/1000</f>
        <v>0</v>
      </c>
      <c r="P1230" s="85">
        <f>STATS1003B!P1231/1000</f>
        <v>0</v>
      </c>
      <c r="Q1230" s="85">
        <f>STATS1003B!Q1231/1000</f>
        <v>1853.6</v>
      </c>
      <c r="R1230" s="85">
        <f>STATS1003B!R1231/1000</f>
        <v>0</v>
      </c>
      <c r="S1230" s="85">
        <f>STATS1003B!S1231/1000</f>
        <v>0</v>
      </c>
      <c r="T1230" s="85">
        <f>STATS1003B!T1231/1000</f>
        <v>0</v>
      </c>
      <c r="U1230" s="85">
        <f>STATS1003B!U1231/1000</f>
        <v>0</v>
      </c>
      <c r="V1230" s="85">
        <f>STATS1003B!V1231/1000</f>
        <v>1853.6</v>
      </c>
      <c r="W1230" s="85">
        <f>STATS1003B!W1231/1000</f>
        <v>0</v>
      </c>
      <c r="X1230" s="85">
        <f t="shared" si="151"/>
        <v>1853.6</v>
      </c>
      <c r="Y1230" s="85">
        <f>STATS1003B!Y1231/1000</f>
        <v>0</v>
      </c>
      <c r="Z1230" s="85">
        <f>STATS1003B!Z1231/1000</f>
        <v>0</v>
      </c>
      <c r="AA1230" s="69">
        <f>STATS1003B!AA1231/1000</f>
        <v>1853.6</v>
      </c>
      <c r="AB1230" s="69">
        <f>STATS1003B!AB1231/1000</f>
        <v>0</v>
      </c>
    </row>
    <row r="1231" spans="1:28" hidden="1" x14ac:dyDescent="0.3">
      <c r="A1231" s="117"/>
      <c r="C1231" s="68" t="s">
        <v>535</v>
      </c>
      <c r="D1231" s="87" t="s">
        <v>60</v>
      </c>
      <c r="E1231" s="85">
        <f>STATS1003B!E1232/1000</f>
        <v>8884.1491900000001</v>
      </c>
      <c r="F1231" s="85">
        <f>STATS1003B!F1232/1000</f>
        <v>8884.1491900000001</v>
      </c>
      <c r="G1231" s="85">
        <f>STATS1003B!G1232/1000</f>
        <v>0</v>
      </c>
      <c r="H1231" s="85">
        <f>STATS1003B!H1232/1000</f>
        <v>8884.1491900000001</v>
      </c>
      <c r="I1231" s="85">
        <f>STATS1003B!I1232/1000</f>
        <v>0</v>
      </c>
      <c r="J1231" s="85">
        <f>STATS1003B!J1232/1000</f>
        <v>8884.1491900000001</v>
      </c>
      <c r="K1231" s="85">
        <f>STATS1003B!K1232/1000</f>
        <v>0</v>
      </c>
      <c r="L1231" s="85">
        <f>STATS1003B!L1232/1000</f>
        <v>0</v>
      </c>
      <c r="M1231" s="85">
        <f>STATS1003B!M1232/1000</f>
        <v>8884.1491900000001</v>
      </c>
      <c r="N1231" s="85">
        <f>STATS1003B!N1232/1000</f>
        <v>0</v>
      </c>
      <c r="O1231" s="85">
        <f>STATS1003B!O1232/1000</f>
        <v>0</v>
      </c>
      <c r="P1231" s="85">
        <f>STATS1003B!P1232/1000</f>
        <v>0</v>
      </c>
      <c r="Q1231" s="85">
        <f>STATS1003B!Q1232/1000</f>
        <v>8884.1491900000001</v>
      </c>
      <c r="R1231" s="85">
        <f>STATS1003B!R1232/1000</f>
        <v>0</v>
      </c>
      <c r="S1231" s="85">
        <f>STATS1003B!S1232/1000</f>
        <v>0</v>
      </c>
      <c r="T1231" s="85">
        <f>STATS1003B!T1232/1000</f>
        <v>0</v>
      </c>
      <c r="U1231" s="85">
        <f>STATS1003B!U1232/1000</f>
        <v>0</v>
      </c>
      <c r="V1231" s="85">
        <f>STATS1003B!V1232/1000</f>
        <v>8884.1491900000001</v>
      </c>
      <c r="W1231" s="85">
        <f>STATS1003B!W1232/1000</f>
        <v>0</v>
      </c>
      <c r="X1231" s="85">
        <f t="shared" si="151"/>
        <v>8884.1491900000001</v>
      </c>
      <c r="Y1231" s="85">
        <f>STATS1003B!Y1232/1000</f>
        <v>0</v>
      </c>
      <c r="Z1231" s="85">
        <f>STATS1003B!Z1232/1000</f>
        <v>0</v>
      </c>
      <c r="AA1231" s="69">
        <f>STATS1003B!AA1232/1000</f>
        <v>8884.1491900000001</v>
      </c>
      <c r="AB1231" s="69">
        <f>STATS1003B!AB1232/1000</f>
        <v>0</v>
      </c>
    </row>
    <row r="1232" spans="1:28" hidden="1" x14ac:dyDescent="0.3">
      <c r="A1232" s="117"/>
      <c r="C1232" s="71" t="s">
        <v>684</v>
      </c>
      <c r="D1232" s="87" t="s">
        <v>60</v>
      </c>
      <c r="E1232" s="85">
        <f>STATS1003B!E1233/1000</f>
        <v>149.65492999999998</v>
      </c>
      <c r="F1232" s="85">
        <f>STATS1003B!F1233/1000</f>
        <v>149.65492999999998</v>
      </c>
      <c r="G1232" s="85">
        <f>STATS1003B!G1233/1000</f>
        <v>0</v>
      </c>
      <c r="H1232" s="85">
        <f>STATS1003B!H1233/1000</f>
        <v>149.65492999999998</v>
      </c>
      <c r="I1232" s="85">
        <f>STATS1003B!I1233/1000</f>
        <v>0</v>
      </c>
      <c r="J1232" s="85">
        <f>STATS1003B!J1233/1000</f>
        <v>149.65492999999998</v>
      </c>
      <c r="K1232" s="85">
        <f>STATS1003B!K1233/1000</f>
        <v>0</v>
      </c>
      <c r="L1232" s="85">
        <f>STATS1003B!L1233/1000</f>
        <v>0</v>
      </c>
      <c r="M1232" s="85">
        <f>STATS1003B!M1233/1000</f>
        <v>149.65492999999998</v>
      </c>
      <c r="N1232" s="85">
        <f>STATS1003B!N1233/1000</f>
        <v>0</v>
      </c>
      <c r="O1232" s="85">
        <f>STATS1003B!O1233/1000</f>
        <v>0</v>
      </c>
      <c r="P1232" s="85">
        <f>STATS1003B!P1233/1000</f>
        <v>0</v>
      </c>
      <c r="Q1232" s="85">
        <f>STATS1003B!Q1233/1000</f>
        <v>149.65492999999998</v>
      </c>
      <c r="R1232" s="85">
        <f>STATS1003B!R1233/1000</f>
        <v>0</v>
      </c>
      <c r="S1232" s="85">
        <f>STATS1003B!S1233/1000</f>
        <v>0</v>
      </c>
      <c r="T1232" s="85">
        <f>STATS1003B!T1233/1000</f>
        <v>0</v>
      </c>
      <c r="U1232" s="85">
        <f>STATS1003B!U1233/1000</f>
        <v>0</v>
      </c>
      <c r="V1232" s="85">
        <f>STATS1003B!V1233/1000</f>
        <v>149.65492999999998</v>
      </c>
      <c r="W1232" s="85">
        <f>STATS1003B!W1233/1000</f>
        <v>0</v>
      </c>
      <c r="X1232" s="85">
        <f t="shared" si="151"/>
        <v>149.65492999999998</v>
      </c>
      <c r="Y1232" s="85">
        <f>STATS1003B!Y1233/1000</f>
        <v>0</v>
      </c>
      <c r="Z1232" s="85">
        <f>STATS1003B!Z1233/1000</f>
        <v>0</v>
      </c>
      <c r="AA1232" s="69">
        <f>STATS1003B!AA1233/1000</f>
        <v>149.65492999999998</v>
      </c>
      <c r="AB1232" s="69">
        <f>STATS1003B!AB1233/1000</f>
        <v>0</v>
      </c>
    </row>
    <row r="1233" spans="1:28" hidden="1" x14ac:dyDescent="0.3">
      <c r="A1233" s="117"/>
      <c r="C1233" s="68" t="s">
        <v>535</v>
      </c>
      <c r="D1233" s="87" t="s">
        <v>73</v>
      </c>
      <c r="E1233" s="85">
        <f>STATS1003B!E1234/1000</f>
        <v>9357.004429999999</v>
      </c>
      <c r="F1233" s="85">
        <f>STATS1003B!F1234/1000</f>
        <v>9357.004429999999</v>
      </c>
      <c r="G1233" s="85">
        <f>STATS1003B!G1234/1000</f>
        <v>0</v>
      </c>
      <c r="H1233" s="85">
        <f>STATS1003B!H1234/1000</f>
        <v>9357.004429999999</v>
      </c>
      <c r="I1233" s="85">
        <f>STATS1003B!I1234/1000</f>
        <v>0</v>
      </c>
      <c r="J1233" s="85">
        <f>STATS1003B!J1234/1000</f>
        <v>9357.004429999999</v>
      </c>
      <c r="K1233" s="85">
        <f>STATS1003B!K1234/1000</f>
        <v>0</v>
      </c>
      <c r="L1233" s="85">
        <f>STATS1003B!L1234/1000</f>
        <v>0</v>
      </c>
      <c r="M1233" s="85">
        <f>STATS1003B!M1234/1000</f>
        <v>9357.004429999999</v>
      </c>
      <c r="N1233" s="85">
        <f>STATS1003B!N1234/1000</f>
        <v>0</v>
      </c>
      <c r="O1233" s="85">
        <f>STATS1003B!O1234/1000</f>
        <v>0</v>
      </c>
      <c r="P1233" s="85">
        <f>STATS1003B!P1234/1000</f>
        <v>0</v>
      </c>
      <c r="Q1233" s="85">
        <f>STATS1003B!Q1234/1000</f>
        <v>9357.004429999999</v>
      </c>
      <c r="R1233" s="85">
        <f>STATS1003B!R1234/1000</f>
        <v>0</v>
      </c>
      <c r="S1233" s="85">
        <f>STATS1003B!S1234/1000</f>
        <v>0</v>
      </c>
      <c r="T1233" s="85">
        <f>STATS1003B!T1234/1000</f>
        <v>0</v>
      </c>
      <c r="U1233" s="85">
        <f>STATS1003B!U1234/1000</f>
        <v>0</v>
      </c>
      <c r="V1233" s="85">
        <f>STATS1003B!V1234/1000</f>
        <v>9357.004429999999</v>
      </c>
      <c r="W1233" s="85">
        <f>STATS1003B!W1234/1000</f>
        <v>0</v>
      </c>
      <c r="X1233" s="85">
        <f t="shared" si="151"/>
        <v>9357.004429999999</v>
      </c>
      <c r="Y1233" s="85">
        <f>STATS1003B!Y1234/1000</f>
        <v>0</v>
      </c>
      <c r="Z1233" s="85">
        <f>STATS1003B!Z1234/1000</f>
        <v>0</v>
      </c>
      <c r="AA1233" s="69">
        <f>STATS1003B!AA1234/1000</f>
        <v>9357.004429999999</v>
      </c>
      <c r="AB1233" s="69">
        <f>STATS1003B!AB1234/1000</f>
        <v>0</v>
      </c>
    </row>
    <row r="1234" spans="1:28" hidden="1" x14ac:dyDescent="0.3">
      <c r="A1234" s="117"/>
      <c r="C1234" s="68" t="s">
        <v>535</v>
      </c>
      <c r="D1234" s="87" t="s">
        <v>61</v>
      </c>
      <c r="E1234" s="85">
        <f>STATS1003B!E1235/1000</f>
        <v>8497.03701</v>
      </c>
      <c r="F1234" s="85">
        <f>STATS1003B!F1235/1000</f>
        <v>7890.9913999999999</v>
      </c>
      <c r="G1234" s="85">
        <f>STATS1003B!G1235/1000</f>
        <v>0</v>
      </c>
      <c r="H1234" s="85">
        <f>STATS1003B!H1235/1000</f>
        <v>7890.9913999999999</v>
      </c>
      <c r="I1234" s="85">
        <f>STATS1003B!I1235/1000</f>
        <v>0</v>
      </c>
      <c r="J1234" s="85">
        <f>STATS1003B!J1235/1000</f>
        <v>7890.9913999999999</v>
      </c>
      <c r="K1234" s="85">
        <f>STATS1003B!K1235/1000</f>
        <v>0</v>
      </c>
      <c r="L1234" s="85">
        <f>STATS1003B!L1235/1000</f>
        <v>0</v>
      </c>
      <c r="M1234" s="85">
        <f>STATS1003B!M1235/1000</f>
        <v>7890.9913999999999</v>
      </c>
      <c r="N1234" s="85">
        <f>STATS1003B!N1235/1000</f>
        <v>0</v>
      </c>
      <c r="O1234" s="85">
        <f>STATS1003B!O1235/1000</f>
        <v>0</v>
      </c>
      <c r="P1234" s="85">
        <f>STATS1003B!P1235/1000</f>
        <v>0</v>
      </c>
      <c r="Q1234" s="85">
        <f>STATS1003B!Q1235/1000</f>
        <v>8497.03701</v>
      </c>
      <c r="R1234" s="85">
        <f>STATS1003B!R1235/1000</f>
        <v>0</v>
      </c>
      <c r="S1234" s="85">
        <f>STATS1003B!S1235/1000</f>
        <v>0</v>
      </c>
      <c r="T1234" s="85">
        <f>STATS1003B!T1235/1000</f>
        <v>606.04561000000001</v>
      </c>
      <c r="U1234" s="85">
        <f>STATS1003B!U1235/1000</f>
        <v>606.04561000000001</v>
      </c>
      <c r="V1234" s="85">
        <f>STATS1003B!V1235/1000</f>
        <v>7890.9913999999999</v>
      </c>
      <c r="W1234" s="85">
        <f>STATS1003B!W1235/1000</f>
        <v>606.04561000000035</v>
      </c>
      <c r="X1234" s="85">
        <f t="shared" si="151"/>
        <v>7890.9913999999999</v>
      </c>
      <c r="Y1234" s="85">
        <f>STATS1003B!Y1235/1000</f>
        <v>0</v>
      </c>
      <c r="Z1234" s="85">
        <f>STATS1003B!Z1235/1000</f>
        <v>606.04561000000035</v>
      </c>
      <c r="AA1234" s="69">
        <f>STATS1003B!AA1235/1000</f>
        <v>8497.03701</v>
      </c>
      <c r="AB1234" s="69">
        <f>STATS1003B!AB1235/1000</f>
        <v>0</v>
      </c>
    </row>
    <row r="1235" spans="1:28" hidden="1" x14ac:dyDescent="0.3">
      <c r="A1235" s="117"/>
      <c r="C1235" s="68" t="s">
        <v>1156</v>
      </c>
      <c r="D1235" s="90" t="s">
        <v>1126</v>
      </c>
      <c r="E1235" s="85">
        <f>STATS1003B!E1236/1000</f>
        <v>836.48076000000003</v>
      </c>
      <c r="F1235" s="85">
        <f>STATS1003B!F1236/1000</f>
        <v>836.48076000000003</v>
      </c>
      <c r="G1235" s="85">
        <f>STATS1003B!G1236/1000</f>
        <v>0</v>
      </c>
      <c r="H1235" s="85">
        <f>STATS1003B!H1236/1000</f>
        <v>836.48076000000003</v>
      </c>
      <c r="I1235" s="85">
        <f>STATS1003B!I1236/1000</f>
        <v>0</v>
      </c>
      <c r="J1235" s="85">
        <f>STATS1003B!J1236/1000</f>
        <v>836.48076000000003</v>
      </c>
      <c r="K1235" s="85">
        <f>STATS1003B!K1236/1000</f>
        <v>0</v>
      </c>
      <c r="L1235" s="85">
        <f>STATS1003B!L1236/1000</f>
        <v>0</v>
      </c>
      <c r="M1235" s="85">
        <f>STATS1003B!M1236/1000</f>
        <v>836.48076000000003</v>
      </c>
      <c r="N1235" s="85">
        <f>STATS1003B!N1236/1000</f>
        <v>0</v>
      </c>
      <c r="O1235" s="85">
        <f>STATS1003B!O1236/1000</f>
        <v>0</v>
      </c>
      <c r="P1235" s="85">
        <f>STATS1003B!P1236/1000</f>
        <v>0</v>
      </c>
      <c r="Q1235" s="85">
        <f>STATS1003B!Q1236/1000</f>
        <v>0</v>
      </c>
      <c r="R1235" s="85">
        <f>STATS1003B!R1236/1000</f>
        <v>0</v>
      </c>
      <c r="S1235" s="85">
        <f>STATS1003B!S1236/1000</f>
        <v>0</v>
      </c>
      <c r="T1235" s="85">
        <f>STATS1003B!T1236/1000</f>
        <v>0</v>
      </c>
      <c r="U1235" s="85">
        <f>STATS1003B!U1236/1000</f>
        <v>0</v>
      </c>
      <c r="V1235" s="85">
        <f>STATS1003B!V1236/1000</f>
        <v>0</v>
      </c>
      <c r="W1235" s="85">
        <f>STATS1003B!W1236/1000</f>
        <v>0</v>
      </c>
      <c r="X1235" s="85">
        <f t="shared" si="151"/>
        <v>836.48076000000003</v>
      </c>
      <c r="Y1235" s="85">
        <f>STATS1003B!Y1236/1000</f>
        <v>0</v>
      </c>
      <c r="Z1235" s="85">
        <f>STATS1003B!Z1236/1000</f>
        <v>0</v>
      </c>
      <c r="AA1235" s="69">
        <f>STATS1003B!AA1236/1000</f>
        <v>836.48076000000003</v>
      </c>
      <c r="AB1235" s="69">
        <f>STATS1003B!AB1236/1000</f>
        <v>0</v>
      </c>
    </row>
    <row r="1236" spans="1:28" hidden="1" x14ac:dyDescent="0.3">
      <c r="A1236" s="117"/>
      <c r="C1236" s="68" t="s">
        <v>898</v>
      </c>
      <c r="D1236" s="90" t="s">
        <v>1126</v>
      </c>
      <c r="E1236" s="85">
        <f>STATS1003B!E1237/1000</f>
        <v>599.47973000000002</v>
      </c>
      <c r="F1236" s="85">
        <f>STATS1003B!F1237/1000</f>
        <v>0</v>
      </c>
      <c r="G1236" s="85">
        <f>STATS1003B!G1237/1000</f>
        <v>0</v>
      </c>
      <c r="H1236" s="85">
        <f>STATS1003B!H1237/1000</f>
        <v>0</v>
      </c>
      <c r="I1236" s="85">
        <f>STATS1003B!I1237/1000</f>
        <v>0</v>
      </c>
      <c r="J1236" s="85">
        <f>STATS1003B!J1237/1000</f>
        <v>0</v>
      </c>
      <c r="K1236" s="85">
        <f>STATS1003B!K1237/1000</f>
        <v>0</v>
      </c>
      <c r="L1236" s="85">
        <f>STATS1003B!L1237/1000</f>
        <v>0</v>
      </c>
      <c r="M1236" s="85">
        <f>STATS1003B!M1237/1000</f>
        <v>0</v>
      </c>
      <c r="N1236" s="85">
        <f>STATS1003B!N1237/1000</f>
        <v>599.47973000000002</v>
      </c>
      <c r="O1236" s="85">
        <f>STATS1003B!O1237/1000</f>
        <v>0</v>
      </c>
      <c r="P1236" s="85">
        <f>STATS1003B!P1237/1000</f>
        <v>599.47973000000002</v>
      </c>
      <c r="Q1236" s="85">
        <f>STATS1003B!Q1237/1000</f>
        <v>0</v>
      </c>
      <c r="R1236" s="85">
        <f>STATS1003B!R1237/1000</f>
        <v>0</v>
      </c>
      <c r="S1236" s="85">
        <f>STATS1003B!S1237/1000</f>
        <v>0</v>
      </c>
      <c r="T1236" s="85">
        <f>STATS1003B!T1237/1000</f>
        <v>0</v>
      </c>
      <c r="U1236" s="85">
        <f>STATS1003B!U1237/1000</f>
        <v>599.47973000000002</v>
      </c>
      <c r="V1236" s="85">
        <f>STATS1003B!V1237/1000</f>
        <v>0</v>
      </c>
      <c r="W1236" s="85">
        <f>STATS1003B!W1237/1000</f>
        <v>0</v>
      </c>
      <c r="X1236" s="85">
        <f t="shared" si="151"/>
        <v>599.47973000000002</v>
      </c>
      <c r="Y1236" s="85">
        <f>STATS1003B!Y1237/1000</f>
        <v>0</v>
      </c>
      <c r="Z1236" s="85">
        <f>STATS1003B!Z1237/1000</f>
        <v>0</v>
      </c>
      <c r="AA1236" s="69">
        <f>STATS1003B!AA1237/1000</f>
        <v>599.47973000000002</v>
      </c>
      <c r="AB1236" s="69">
        <f>STATS1003B!AB1237/1000</f>
        <v>0</v>
      </c>
    </row>
    <row r="1237" spans="1:28" hidden="1" x14ac:dyDescent="0.3">
      <c r="A1237" s="117"/>
      <c r="C1237" s="68" t="s">
        <v>1062</v>
      </c>
      <c r="D1237" s="87"/>
      <c r="E1237" s="85">
        <f>STATS1003B!E1238/1000</f>
        <v>475</v>
      </c>
      <c r="F1237" s="85">
        <f>STATS1003B!F1238/1000</f>
        <v>475</v>
      </c>
      <c r="G1237" s="85">
        <f>STATS1003B!G1238/1000</f>
        <v>0</v>
      </c>
      <c r="H1237" s="85">
        <f>STATS1003B!H1238/1000</f>
        <v>475</v>
      </c>
      <c r="I1237" s="85">
        <f>STATS1003B!I1238/1000</f>
        <v>0</v>
      </c>
      <c r="J1237" s="85">
        <f>STATS1003B!J1238/1000</f>
        <v>0</v>
      </c>
      <c r="K1237" s="85">
        <f>STATS1003B!K1238/1000</f>
        <v>0</v>
      </c>
      <c r="L1237" s="85">
        <f>STATS1003B!L1238/1000</f>
        <v>0</v>
      </c>
      <c r="M1237" s="85">
        <f>STATS1003B!M1238/1000</f>
        <v>475</v>
      </c>
      <c r="N1237" s="85">
        <f>STATS1003B!N1238/1000</f>
        <v>0</v>
      </c>
      <c r="O1237" s="85">
        <f>STATS1003B!O1238/1000</f>
        <v>0</v>
      </c>
      <c r="P1237" s="85">
        <f>STATS1003B!P1238/1000</f>
        <v>0</v>
      </c>
      <c r="Q1237" s="85">
        <f>STATS1003B!Q1238/1000</f>
        <v>0</v>
      </c>
      <c r="R1237" s="85">
        <f>STATS1003B!R1238/1000</f>
        <v>0</v>
      </c>
      <c r="S1237" s="85">
        <f>STATS1003B!S1238/1000</f>
        <v>0</v>
      </c>
      <c r="T1237" s="85">
        <f>STATS1003B!T1238/1000</f>
        <v>0</v>
      </c>
      <c r="U1237" s="85">
        <f>STATS1003B!U1238/1000</f>
        <v>0</v>
      </c>
      <c r="V1237" s="85">
        <f>STATS1003B!V1238/1000</f>
        <v>475</v>
      </c>
      <c r="W1237" s="85">
        <f>STATS1003B!W1238/1000</f>
        <v>0</v>
      </c>
      <c r="X1237" s="85">
        <f t="shared" si="151"/>
        <v>475</v>
      </c>
      <c r="Y1237" s="85">
        <f>STATS1003B!Y1238/1000</f>
        <v>0</v>
      </c>
      <c r="Z1237" s="85">
        <f>STATS1003B!Z1238/1000</f>
        <v>0</v>
      </c>
      <c r="AA1237" s="69">
        <f>STATS1003B!AA1238/1000</f>
        <v>475</v>
      </c>
      <c r="AB1237" s="69">
        <f>STATS1003B!AB1238/1000</f>
        <v>0</v>
      </c>
    </row>
    <row r="1238" spans="1:28" hidden="1" x14ac:dyDescent="0.3">
      <c r="A1238" s="117"/>
      <c r="C1238" s="68" t="s">
        <v>1155</v>
      </c>
      <c r="D1238" s="90" t="s">
        <v>1126</v>
      </c>
      <c r="E1238" s="85">
        <f>STATS1003B!E1239/1000</f>
        <v>248.08826000000002</v>
      </c>
      <c r="F1238" s="85">
        <f>STATS1003B!F1239/1000</f>
        <v>248.08826000000002</v>
      </c>
      <c r="G1238" s="85">
        <f>STATS1003B!G1239/1000</f>
        <v>0</v>
      </c>
      <c r="H1238" s="85">
        <f>STATS1003B!H1239/1000</f>
        <v>248.08826000000002</v>
      </c>
      <c r="I1238" s="85">
        <f>STATS1003B!I1239/1000</f>
        <v>0</v>
      </c>
      <c r="J1238" s="85">
        <f>STATS1003B!J1239/1000</f>
        <v>0</v>
      </c>
      <c r="K1238" s="85">
        <f>STATS1003B!K1239/1000</f>
        <v>0</v>
      </c>
      <c r="L1238" s="85">
        <f>STATS1003B!L1239/1000</f>
        <v>0</v>
      </c>
      <c r="M1238" s="85">
        <f>STATS1003B!M1239/1000</f>
        <v>248.08826000000002</v>
      </c>
      <c r="N1238" s="85">
        <f>STATS1003B!N1239/1000</f>
        <v>0</v>
      </c>
      <c r="O1238" s="85">
        <f>STATS1003B!O1239/1000</f>
        <v>0</v>
      </c>
      <c r="P1238" s="85">
        <f>STATS1003B!P1239/1000</f>
        <v>0</v>
      </c>
      <c r="Q1238" s="85">
        <f>STATS1003B!Q1239/1000</f>
        <v>0</v>
      </c>
      <c r="R1238" s="85">
        <f>STATS1003B!R1239/1000</f>
        <v>0</v>
      </c>
      <c r="S1238" s="85">
        <f>STATS1003B!S1239/1000</f>
        <v>0</v>
      </c>
      <c r="T1238" s="85">
        <f>STATS1003B!T1239/1000</f>
        <v>0</v>
      </c>
      <c r="U1238" s="85">
        <f>STATS1003B!U1239/1000</f>
        <v>0</v>
      </c>
      <c r="V1238" s="85">
        <f>STATS1003B!V1239/1000</f>
        <v>248.08826000000002</v>
      </c>
      <c r="W1238" s="85">
        <f>STATS1003B!W1239/1000</f>
        <v>0</v>
      </c>
      <c r="X1238" s="85">
        <f t="shared" si="151"/>
        <v>248.08826000000002</v>
      </c>
      <c r="Y1238" s="85">
        <f>STATS1003B!Y1239/1000</f>
        <v>0</v>
      </c>
      <c r="Z1238" s="85">
        <f>STATS1003B!Z1239/1000</f>
        <v>0</v>
      </c>
      <c r="AA1238" s="69">
        <f>STATS1003B!AA1239/1000</f>
        <v>248.08826000000002</v>
      </c>
      <c r="AB1238" s="69">
        <f>STATS1003B!AB1239/1000</f>
        <v>0</v>
      </c>
    </row>
    <row r="1239" spans="1:28" hidden="1" x14ac:dyDescent="0.3">
      <c r="A1239" s="117"/>
      <c r="C1239" s="93" t="s">
        <v>1205</v>
      </c>
      <c r="D1239" s="90" t="s">
        <v>1126</v>
      </c>
      <c r="E1239" s="85">
        <f>STATS1003B!E1240/1000</f>
        <v>281.34780999999998</v>
      </c>
      <c r="F1239" s="85">
        <f>STATS1003B!F1240/1000</f>
        <v>277.25680999999997</v>
      </c>
      <c r="G1239" s="85">
        <f>STATS1003B!G1240/1000</f>
        <v>0</v>
      </c>
      <c r="H1239" s="85">
        <f>STATS1003B!H1240/1000</f>
        <v>277.25680999999997</v>
      </c>
      <c r="I1239" s="85">
        <f>STATS1003B!I1240/1000</f>
        <v>0</v>
      </c>
      <c r="J1239" s="85">
        <f>STATS1003B!J1240/1000</f>
        <v>0</v>
      </c>
      <c r="K1239" s="85">
        <f>STATS1003B!K1240/1000</f>
        <v>0</v>
      </c>
      <c r="L1239" s="85">
        <f>STATS1003B!L1240/1000</f>
        <v>0</v>
      </c>
      <c r="M1239" s="85">
        <f>STATS1003B!M1240/1000</f>
        <v>277.25680999999997</v>
      </c>
      <c r="N1239" s="85">
        <f>STATS1003B!N1240/1000</f>
        <v>4.0910000000000002</v>
      </c>
      <c r="O1239" s="85">
        <f>STATS1003B!O1240/1000</f>
        <v>0</v>
      </c>
      <c r="P1239" s="85">
        <f>STATS1003B!P1240/1000</f>
        <v>4.0910000000000002</v>
      </c>
      <c r="Q1239" s="85">
        <f>STATS1003B!Q1240/1000</f>
        <v>0</v>
      </c>
      <c r="R1239" s="85">
        <f>STATS1003B!R1240/1000</f>
        <v>0</v>
      </c>
      <c r="S1239" s="85">
        <f>STATS1003B!S1240/1000</f>
        <v>0</v>
      </c>
      <c r="T1239" s="85">
        <f>STATS1003B!T1240/1000</f>
        <v>0</v>
      </c>
      <c r="U1239" s="85">
        <f>STATS1003B!U1240/1000</f>
        <v>4.0910000000000002</v>
      </c>
      <c r="V1239" s="85">
        <f>STATS1003B!V1240/1000</f>
        <v>281.34780999999998</v>
      </c>
      <c r="W1239" s="85">
        <f>STATS1003B!W1240/1000</f>
        <v>0</v>
      </c>
      <c r="X1239" s="85">
        <f t="shared" si="151"/>
        <v>281.34780999999998</v>
      </c>
      <c r="Y1239" s="85">
        <f>STATS1003B!Y1240/1000</f>
        <v>0</v>
      </c>
      <c r="Z1239" s="85">
        <f>STATS1003B!Z1240/1000</f>
        <v>0</v>
      </c>
      <c r="AA1239" s="69">
        <f>STATS1003B!AA1240/1000</f>
        <v>281.34780999999998</v>
      </c>
      <c r="AB1239" s="69">
        <f>STATS1003B!AB1240/1000</f>
        <v>0</v>
      </c>
    </row>
    <row r="1240" spans="1:28" hidden="1" x14ac:dyDescent="0.3">
      <c r="A1240" s="117"/>
      <c r="C1240" s="68" t="s">
        <v>1173</v>
      </c>
      <c r="D1240" s="90" t="s">
        <v>1126</v>
      </c>
      <c r="E1240" s="85">
        <f>STATS1003B!E1241/1000</f>
        <v>6870.3457400000007</v>
      </c>
      <c r="F1240" s="85">
        <f>STATS1003B!F1241/1000</f>
        <v>6870.3457400000007</v>
      </c>
      <c r="G1240" s="85">
        <f>STATS1003B!G1241/1000</f>
        <v>0</v>
      </c>
      <c r="H1240" s="85">
        <f>STATS1003B!H1241/1000</f>
        <v>6870.3457400000007</v>
      </c>
      <c r="I1240" s="85">
        <f>STATS1003B!I1241/1000</f>
        <v>0</v>
      </c>
      <c r="J1240" s="85">
        <f>STATS1003B!J1241/1000</f>
        <v>0</v>
      </c>
      <c r="K1240" s="85">
        <f>STATS1003B!K1241/1000</f>
        <v>0</v>
      </c>
      <c r="L1240" s="85">
        <f>STATS1003B!L1241/1000</f>
        <v>0</v>
      </c>
      <c r="M1240" s="85">
        <f>STATS1003B!M1241/1000</f>
        <v>6870.3457400000007</v>
      </c>
      <c r="N1240" s="85">
        <f>STATS1003B!N1241/1000</f>
        <v>0</v>
      </c>
      <c r="O1240" s="85">
        <f>STATS1003B!O1241/1000</f>
        <v>0</v>
      </c>
      <c r="P1240" s="85">
        <f>STATS1003B!P1241/1000</f>
        <v>0</v>
      </c>
      <c r="Q1240" s="85">
        <f>STATS1003B!Q1241/1000</f>
        <v>0</v>
      </c>
      <c r="R1240" s="85">
        <f>STATS1003B!R1241/1000</f>
        <v>0</v>
      </c>
      <c r="S1240" s="85">
        <f>STATS1003B!S1241/1000</f>
        <v>0</v>
      </c>
      <c r="T1240" s="85">
        <f>STATS1003B!T1241/1000</f>
        <v>0</v>
      </c>
      <c r="U1240" s="85">
        <f>STATS1003B!U1241/1000</f>
        <v>0</v>
      </c>
      <c r="V1240" s="85">
        <f>STATS1003B!V1241/1000</f>
        <v>6870.3457400000007</v>
      </c>
      <c r="W1240" s="85">
        <f>STATS1003B!W1241/1000</f>
        <v>0</v>
      </c>
      <c r="X1240" s="85">
        <f t="shared" si="151"/>
        <v>6870.3457400000007</v>
      </c>
      <c r="Y1240" s="85">
        <f>STATS1003B!Y1241/1000</f>
        <v>0</v>
      </c>
      <c r="Z1240" s="85">
        <f>STATS1003B!Z1241/1000</f>
        <v>0</v>
      </c>
      <c r="AA1240" s="69">
        <f>STATS1003B!AA1241/1000</f>
        <v>6870.3457400000007</v>
      </c>
      <c r="AB1240" s="69">
        <f>STATS1003B!AB1241/1000</f>
        <v>0</v>
      </c>
    </row>
    <row r="1241" spans="1:28" hidden="1" x14ac:dyDescent="0.3">
      <c r="A1241" s="117"/>
      <c r="C1241" s="68" t="s">
        <v>1080</v>
      </c>
      <c r="D1241" s="90" t="s">
        <v>1072</v>
      </c>
      <c r="E1241" s="85">
        <f>STATS1003B!E1242/1000</f>
        <v>6916.4997300000005</v>
      </c>
      <c r="F1241" s="85">
        <f>STATS1003B!F1242/1000</f>
        <v>6916.4997300000005</v>
      </c>
      <c r="G1241" s="85">
        <f>STATS1003B!G1242/1000</f>
        <v>0</v>
      </c>
      <c r="H1241" s="85">
        <f>STATS1003B!H1242/1000</f>
        <v>6916.4997300000005</v>
      </c>
      <c r="I1241" s="85">
        <f>STATS1003B!I1242/1000</f>
        <v>0</v>
      </c>
      <c r="J1241" s="85">
        <f>STATS1003B!J1242/1000</f>
        <v>0</v>
      </c>
      <c r="K1241" s="85">
        <f>STATS1003B!K1242/1000</f>
        <v>0</v>
      </c>
      <c r="L1241" s="85">
        <f>STATS1003B!L1242/1000</f>
        <v>0</v>
      </c>
      <c r="M1241" s="85">
        <f>STATS1003B!M1242/1000</f>
        <v>6916.4997300000005</v>
      </c>
      <c r="N1241" s="85">
        <f>STATS1003B!N1242/1000</f>
        <v>0</v>
      </c>
      <c r="O1241" s="85">
        <f>STATS1003B!O1242/1000</f>
        <v>0</v>
      </c>
      <c r="P1241" s="85">
        <f>STATS1003B!P1242/1000</f>
        <v>0</v>
      </c>
      <c r="Q1241" s="85">
        <f>STATS1003B!Q1242/1000</f>
        <v>0</v>
      </c>
      <c r="R1241" s="85">
        <f>STATS1003B!R1242/1000</f>
        <v>0</v>
      </c>
      <c r="S1241" s="85">
        <f>STATS1003B!S1242/1000</f>
        <v>0</v>
      </c>
      <c r="T1241" s="85">
        <f>STATS1003B!T1242/1000</f>
        <v>0</v>
      </c>
      <c r="U1241" s="85">
        <f>STATS1003B!U1242/1000</f>
        <v>0</v>
      </c>
      <c r="V1241" s="85">
        <f>STATS1003B!V1242/1000</f>
        <v>0</v>
      </c>
      <c r="W1241" s="85">
        <f>STATS1003B!W1242/1000</f>
        <v>0</v>
      </c>
      <c r="X1241" s="85">
        <f t="shared" si="151"/>
        <v>6916.4997300000005</v>
      </c>
      <c r="Y1241" s="85">
        <f>STATS1003B!Y1242/1000</f>
        <v>0</v>
      </c>
      <c r="Z1241" s="85">
        <f>STATS1003B!Z1242/1000</f>
        <v>0</v>
      </c>
      <c r="AA1241" s="69">
        <f>STATS1003B!AA1242/1000</f>
        <v>6916.4997300000005</v>
      </c>
      <c r="AB1241" s="69">
        <f>STATS1003B!AB1242/1000</f>
        <v>0</v>
      </c>
    </row>
    <row r="1242" spans="1:28" hidden="1" x14ac:dyDescent="0.3">
      <c r="A1242" s="117"/>
      <c r="C1242" s="68" t="s">
        <v>678</v>
      </c>
      <c r="E1242" s="85">
        <f>STATS1003B!E1243/1000</f>
        <v>4341.7813200000001</v>
      </c>
      <c r="F1242" s="85">
        <f>STATS1003B!F1243/1000</f>
        <v>4341.7813200000001</v>
      </c>
      <c r="G1242" s="85">
        <f>STATS1003B!G1243/1000</f>
        <v>0</v>
      </c>
      <c r="H1242" s="85">
        <f>STATS1003B!H1243/1000</f>
        <v>4341.7813200000001</v>
      </c>
      <c r="I1242" s="85">
        <f>STATS1003B!I1243/1000</f>
        <v>0</v>
      </c>
      <c r="J1242" s="85">
        <f>STATS1003B!J1243/1000</f>
        <v>4341.7813200000001</v>
      </c>
      <c r="K1242" s="85">
        <f>STATS1003B!K1243/1000</f>
        <v>0</v>
      </c>
      <c r="L1242" s="85">
        <f>STATS1003B!L1243/1000</f>
        <v>0</v>
      </c>
      <c r="M1242" s="85">
        <f>STATS1003B!M1243/1000</f>
        <v>4341.7813200000001</v>
      </c>
      <c r="N1242" s="85">
        <f>STATS1003B!N1243/1000</f>
        <v>0</v>
      </c>
      <c r="O1242" s="85">
        <f>STATS1003B!O1243/1000</f>
        <v>0</v>
      </c>
      <c r="P1242" s="85">
        <f>STATS1003B!P1243/1000</f>
        <v>0</v>
      </c>
      <c r="Q1242" s="85">
        <f>STATS1003B!Q1243/1000</f>
        <v>4341.7813200000001</v>
      </c>
      <c r="R1242" s="85">
        <f>STATS1003B!R1243/1000</f>
        <v>0</v>
      </c>
      <c r="S1242" s="85">
        <f>STATS1003B!S1243/1000</f>
        <v>0</v>
      </c>
      <c r="T1242" s="85">
        <f>STATS1003B!T1243/1000</f>
        <v>0</v>
      </c>
      <c r="U1242" s="85">
        <f>STATS1003B!U1243/1000</f>
        <v>0</v>
      </c>
      <c r="V1242" s="85">
        <f>STATS1003B!V1243/1000</f>
        <v>4341.7813200000001</v>
      </c>
      <c r="W1242" s="85">
        <f>STATS1003B!W1243/1000</f>
        <v>0</v>
      </c>
      <c r="X1242" s="85">
        <f t="shared" si="151"/>
        <v>4341.7813200000001</v>
      </c>
      <c r="Y1242" s="85">
        <f>STATS1003B!Y1243/1000</f>
        <v>0</v>
      </c>
      <c r="Z1242" s="85">
        <f>STATS1003B!Z1243/1000</f>
        <v>0</v>
      </c>
      <c r="AA1242" s="69">
        <f>STATS1003B!AA1243/1000</f>
        <v>4341.7813200000001</v>
      </c>
      <c r="AB1242" s="69">
        <f>STATS1003B!AB1243/1000</f>
        <v>0</v>
      </c>
    </row>
    <row r="1243" spans="1:28" hidden="1" x14ac:dyDescent="0.3">
      <c r="A1243" s="117"/>
      <c r="E1243" s="86" t="s">
        <v>29</v>
      </c>
      <c r="F1243" s="86" t="s">
        <v>29</v>
      </c>
      <c r="G1243" s="86" t="s">
        <v>29</v>
      </c>
      <c r="H1243" s="86" t="s">
        <v>29</v>
      </c>
      <c r="I1243" s="86" t="s">
        <v>29</v>
      </c>
      <c r="J1243" s="86" t="s">
        <v>29</v>
      </c>
      <c r="K1243" s="86" t="s">
        <v>29</v>
      </c>
      <c r="L1243" s="86" t="s">
        <v>29</v>
      </c>
      <c r="M1243" s="86" t="s">
        <v>29</v>
      </c>
      <c r="N1243" s="86" t="s">
        <v>29</v>
      </c>
      <c r="O1243" s="86" t="s">
        <v>29</v>
      </c>
      <c r="P1243" s="86" t="s">
        <v>29</v>
      </c>
      <c r="Q1243" s="86" t="s">
        <v>29</v>
      </c>
      <c r="R1243" s="86" t="s">
        <v>29</v>
      </c>
      <c r="S1243" s="86" t="s">
        <v>29</v>
      </c>
      <c r="T1243" s="86" t="s">
        <v>29</v>
      </c>
      <c r="U1243" s="86" t="s">
        <v>29</v>
      </c>
      <c r="V1243" s="86" t="s">
        <v>29</v>
      </c>
      <c r="W1243" s="86" t="s">
        <v>29</v>
      </c>
      <c r="X1243" s="85" t="e">
        <f t="shared" si="151"/>
        <v>#VALUE!</v>
      </c>
      <c r="Y1243" s="86" t="s">
        <v>29</v>
      </c>
      <c r="Z1243" s="86" t="s">
        <v>29</v>
      </c>
      <c r="AA1243" s="115" t="s">
        <v>29</v>
      </c>
      <c r="AB1243" s="115" t="s">
        <v>29</v>
      </c>
    </row>
    <row r="1244" spans="1:28" x14ac:dyDescent="0.3">
      <c r="A1244" s="116">
        <v>57</v>
      </c>
      <c r="B1244" s="68" t="s">
        <v>679</v>
      </c>
      <c r="E1244" s="85">
        <f>144679000.78/1000</f>
        <v>144679.00078</v>
      </c>
      <c r="F1244" s="85">
        <f t="shared" ref="F1244:Q1244" si="152">SUM(F1217:F1243)</f>
        <v>62664.783559999996</v>
      </c>
      <c r="G1244" s="85">
        <f t="shared" si="152"/>
        <v>0</v>
      </c>
      <c r="H1244" s="85">
        <f>140798171.77/1000</f>
        <v>140798.17177000002</v>
      </c>
      <c r="I1244" s="85">
        <f t="shared" si="152"/>
        <v>0</v>
      </c>
      <c r="J1244" s="85">
        <f t="shared" si="152"/>
        <v>47877.59302</v>
      </c>
      <c r="K1244" s="85">
        <f t="shared" si="152"/>
        <v>2671.2126699999999</v>
      </c>
      <c r="L1244" s="85">
        <f t="shared" si="152"/>
        <v>0</v>
      </c>
      <c r="M1244" s="85">
        <f t="shared" si="152"/>
        <v>62664.783559999996</v>
      </c>
      <c r="N1244" s="85">
        <f t="shared" si="152"/>
        <v>3274.7833999999998</v>
      </c>
      <c r="O1244" s="85">
        <f t="shared" si="152"/>
        <v>0</v>
      </c>
      <c r="P1244" s="85">
        <f>3274783/1000</f>
        <v>3274.7829999999999</v>
      </c>
      <c r="Q1244" s="85">
        <f t="shared" si="152"/>
        <v>47647.157870000003</v>
      </c>
      <c r="R1244" s="86"/>
      <c r="S1244" s="86"/>
      <c r="T1244" s="85">
        <f t="shared" ref="T1244:Y1244" si="153">SUM(T1217:T1243)</f>
        <v>606.04561000000001</v>
      </c>
      <c r="U1244" s="85">
        <f t="shared" si="153"/>
        <v>3880.8290099999999</v>
      </c>
      <c r="V1244" s="85">
        <f t="shared" si="153"/>
        <v>57587.106739999996</v>
      </c>
      <c r="W1244" s="85">
        <f t="shared" si="153"/>
        <v>606.04561000000035</v>
      </c>
      <c r="X1244" s="85">
        <f>+H1244+P1244</f>
        <v>144072.95477000001</v>
      </c>
      <c r="Y1244" s="85">
        <f t="shared" si="153"/>
        <v>0</v>
      </c>
      <c r="Z1244" s="85">
        <f t="shared" ref="Z1244:Z1307" si="154">+E1244-X1244</f>
        <v>606.04600999999093</v>
      </c>
      <c r="AA1244" s="69">
        <f>SUM(AA1217:AA1243)</f>
        <v>66545.612569999998</v>
      </c>
      <c r="AB1244" s="69">
        <f>SUM(AB1217:AB1243)</f>
        <v>0</v>
      </c>
    </row>
    <row r="1245" spans="1:28" hidden="1" x14ac:dyDescent="0.3">
      <c r="A1245" s="117"/>
      <c r="E1245" s="86" t="s">
        <v>29</v>
      </c>
      <c r="F1245" s="86" t="s">
        <v>29</v>
      </c>
      <c r="G1245" s="86" t="s">
        <v>29</v>
      </c>
      <c r="H1245" s="86" t="s">
        <v>29</v>
      </c>
      <c r="I1245" s="86" t="s">
        <v>29</v>
      </c>
      <c r="J1245" s="86" t="s">
        <v>29</v>
      </c>
      <c r="K1245" s="86" t="s">
        <v>29</v>
      </c>
      <c r="L1245" s="86" t="s">
        <v>29</v>
      </c>
      <c r="M1245" s="86" t="s">
        <v>29</v>
      </c>
      <c r="N1245" s="86" t="s">
        <v>29</v>
      </c>
      <c r="O1245" s="86" t="s">
        <v>29</v>
      </c>
      <c r="P1245" s="86" t="s">
        <v>29</v>
      </c>
      <c r="Q1245" s="86" t="s">
        <v>29</v>
      </c>
      <c r="R1245" s="86" t="s">
        <v>29</v>
      </c>
      <c r="S1245" s="86" t="s">
        <v>29</v>
      </c>
      <c r="T1245" s="86" t="s">
        <v>29</v>
      </c>
      <c r="U1245" s="86" t="s">
        <v>29</v>
      </c>
      <c r="V1245" s="86" t="s">
        <v>29</v>
      </c>
      <c r="W1245" s="86" t="s">
        <v>29</v>
      </c>
      <c r="X1245" s="85" t="e">
        <f t="shared" si="151"/>
        <v>#VALUE!</v>
      </c>
      <c r="Y1245" s="86" t="s">
        <v>29</v>
      </c>
      <c r="Z1245" s="85" t="e">
        <f t="shared" si="154"/>
        <v>#VALUE!</v>
      </c>
      <c r="AA1245" s="115" t="s">
        <v>29</v>
      </c>
      <c r="AB1245" s="115" t="s">
        <v>29</v>
      </c>
    </row>
    <row r="1246" spans="1:28" hidden="1" x14ac:dyDescent="0.3">
      <c r="A1246" s="105"/>
      <c r="E1246" s="84"/>
      <c r="F1246" s="84"/>
      <c r="G1246" s="84"/>
      <c r="H1246" s="84"/>
      <c r="I1246" s="84"/>
      <c r="J1246" s="84"/>
      <c r="K1246" s="84"/>
      <c r="L1246" s="84"/>
      <c r="M1246" s="84"/>
      <c r="N1246" s="84"/>
      <c r="O1246" s="84"/>
      <c r="P1246" s="84"/>
      <c r="Q1246" s="84"/>
      <c r="R1246" s="86"/>
      <c r="S1246" s="86"/>
      <c r="T1246" s="86"/>
      <c r="U1246" s="86"/>
      <c r="V1246" s="86"/>
      <c r="W1246" s="86"/>
      <c r="X1246" s="85">
        <f t="shared" si="151"/>
        <v>0</v>
      </c>
      <c r="Y1246" s="86"/>
      <c r="Z1246" s="85">
        <f t="shared" si="154"/>
        <v>0</v>
      </c>
    </row>
    <row r="1247" spans="1:28" hidden="1" x14ac:dyDescent="0.3">
      <c r="A1247" s="117"/>
      <c r="C1247" s="68" t="s">
        <v>539</v>
      </c>
      <c r="D1247" s="87" t="s">
        <v>68</v>
      </c>
      <c r="E1247" s="85">
        <f>STATS1003B!E1248/1000</f>
        <v>1575.80124</v>
      </c>
      <c r="F1247" s="85">
        <f>STATS1003B!F1248/1000</f>
        <v>0</v>
      </c>
      <c r="G1247" s="85">
        <f>STATS1003B!G1248/1000</f>
        <v>0</v>
      </c>
      <c r="H1247" s="85">
        <f>STATS1003B!H1248/1000</f>
        <v>0</v>
      </c>
      <c r="I1247" s="85">
        <f>STATS1003B!I1248/1000</f>
        <v>0</v>
      </c>
      <c r="J1247" s="85">
        <f>STATS1003B!J1248/1000</f>
        <v>0</v>
      </c>
      <c r="K1247" s="85">
        <f>STATS1003B!K1248/1000</f>
        <v>1575.80124</v>
      </c>
      <c r="L1247" s="85">
        <f>STATS1003B!L1248/1000</f>
        <v>0</v>
      </c>
      <c r="M1247" s="85">
        <f>STATS1003B!M1248/1000</f>
        <v>0</v>
      </c>
      <c r="N1247" s="85">
        <f>STATS1003B!N1248/1000</f>
        <v>1575.80124</v>
      </c>
      <c r="O1247" s="85">
        <f>STATS1003B!O1248/1000</f>
        <v>0</v>
      </c>
      <c r="P1247" s="85">
        <f>STATS1003B!P1248/1000</f>
        <v>1575.80124</v>
      </c>
      <c r="Q1247" s="85">
        <f>STATS1003B!Q1248/1000</f>
        <v>0</v>
      </c>
      <c r="R1247" s="85">
        <f>STATS1003B!R1248/1000</f>
        <v>0</v>
      </c>
      <c r="S1247" s="85">
        <f>STATS1003B!S1248/1000</f>
        <v>0</v>
      </c>
      <c r="T1247" s="85">
        <f>STATS1003B!T1248/1000</f>
        <v>0</v>
      </c>
      <c r="U1247" s="85">
        <f>STATS1003B!U1248/1000</f>
        <v>1575.80124</v>
      </c>
      <c r="V1247" s="85">
        <f>STATS1003B!V1248/1000</f>
        <v>1575.80124</v>
      </c>
      <c r="W1247" s="85">
        <f>STATS1003B!W1248/1000</f>
        <v>0</v>
      </c>
      <c r="X1247" s="85">
        <f t="shared" si="151"/>
        <v>1575.80124</v>
      </c>
      <c r="Y1247" s="85">
        <f>STATS1003B!Y1248/1000</f>
        <v>0</v>
      </c>
      <c r="Z1247" s="85">
        <f t="shared" si="154"/>
        <v>0</v>
      </c>
      <c r="AA1247" s="69">
        <f>STATS1003B!AA1248/1000</f>
        <v>1575.80124</v>
      </c>
      <c r="AB1247" s="69">
        <f>STATS1003B!AB1248/1000</f>
        <v>0</v>
      </c>
    </row>
    <row r="1248" spans="1:28" hidden="1" x14ac:dyDescent="0.3">
      <c r="A1248" s="117"/>
      <c r="C1248" s="68" t="s">
        <v>535</v>
      </c>
      <c r="D1248" s="87" t="s">
        <v>68</v>
      </c>
      <c r="E1248" s="85">
        <f>STATS1003B!E1249/1000</f>
        <v>52.572229999999983</v>
      </c>
      <c r="F1248" s="85">
        <f>STATS1003B!F1249/1000</f>
        <v>0</v>
      </c>
      <c r="G1248" s="85">
        <f>STATS1003B!G1249/1000</f>
        <v>0</v>
      </c>
      <c r="H1248" s="85">
        <f>STATS1003B!H1249/1000</f>
        <v>0</v>
      </c>
      <c r="I1248" s="85">
        <f>STATS1003B!I1249/1000</f>
        <v>0</v>
      </c>
      <c r="J1248" s="85">
        <f>STATS1003B!J1249/1000</f>
        <v>0</v>
      </c>
      <c r="K1248" s="85">
        <f>STATS1003B!K1249/1000</f>
        <v>52.572230000000005</v>
      </c>
      <c r="L1248" s="85">
        <f>STATS1003B!L1249/1000</f>
        <v>0</v>
      </c>
      <c r="M1248" s="85">
        <f>STATS1003B!M1249/1000</f>
        <v>0</v>
      </c>
      <c r="N1248" s="85">
        <f>STATS1003B!N1249/1000</f>
        <v>52.572230000000005</v>
      </c>
      <c r="O1248" s="85">
        <f>STATS1003B!O1249/1000</f>
        <v>0</v>
      </c>
      <c r="P1248" s="85">
        <f>STATS1003B!P1249/1000</f>
        <v>52.572230000000005</v>
      </c>
      <c r="Q1248" s="85">
        <f>STATS1003B!Q1249/1000</f>
        <v>0</v>
      </c>
      <c r="R1248" s="85">
        <f>STATS1003B!R1249/1000</f>
        <v>0</v>
      </c>
      <c r="S1248" s="85">
        <f>STATS1003B!S1249/1000</f>
        <v>0</v>
      </c>
      <c r="T1248" s="85">
        <f>STATS1003B!T1249/1000</f>
        <v>0</v>
      </c>
      <c r="U1248" s="85">
        <f>STATS1003B!U1249/1000</f>
        <v>52.572230000000005</v>
      </c>
      <c r="V1248" s="85">
        <f>STATS1003B!V1249/1000</f>
        <v>52.572230000000005</v>
      </c>
      <c r="W1248" s="85">
        <f>STATS1003B!W1249/1000</f>
        <v>0</v>
      </c>
      <c r="X1248" s="85">
        <f t="shared" si="151"/>
        <v>52.572230000000005</v>
      </c>
      <c r="Y1248" s="85">
        <f>STATS1003B!Y1249/1000</f>
        <v>0</v>
      </c>
      <c r="Z1248" s="85">
        <f t="shared" si="154"/>
        <v>0</v>
      </c>
      <c r="AA1248" s="69">
        <f>STATS1003B!AA1249/1000</f>
        <v>52.572230000000005</v>
      </c>
      <c r="AB1248" s="69">
        <f>STATS1003B!AB1249/1000</f>
        <v>0</v>
      </c>
    </row>
    <row r="1249" spans="1:28" hidden="1" x14ac:dyDescent="0.3">
      <c r="A1249" s="117"/>
      <c r="C1249" s="68" t="s">
        <v>686</v>
      </c>
      <c r="D1249" s="87" t="s">
        <v>68</v>
      </c>
      <c r="E1249" s="85">
        <f>STATS1003B!E1250/1000</f>
        <v>3854.78811</v>
      </c>
      <c r="F1249" s="85">
        <f>STATS1003B!F1250/1000</f>
        <v>3854.78811</v>
      </c>
      <c r="G1249" s="85">
        <f>STATS1003B!G1250/1000</f>
        <v>0</v>
      </c>
      <c r="H1249" s="85">
        <f>STATS1003B!H1250/1000</f>
        <v>3854.78811</v>
      </c>
      <c r="I1249" s="85">
        <f>STATS1003B!I1250/1000</f>
        <v>0</v>
      </c>
      <c r="J1249" s="85">
        <f>STATS1003B!J1250/1000</f>
        <v>3854.78811</v>
      </c>
      <c r="K1249" s="85">
        <f>STATS1003B!K1250/1000</f>
        <v>0</v>
      </c>
      <c r="L1249" s="85">
        <f>STATS1003B!L1250/1000</f>
        <v>0</v>
      </c>
      <c r="M1249" s="85">
        <f>STATS1003B!M1250/1000</f>
        <v>3854.78811</v>
      </c>
      <c r="N1249" s="85">
        <f>STATS1003B!N1250/1000</f>
        <v>0</v>
      </c>
      <c r="O1249" s="85">
        <f>STATS1003B!O1250/1000</f>
        <v>0</v>
      </c>
      <c r="P1249" s="85">
        <f>STATS1003B!P1250/1000</f>
        <v>0</v>
      </c>
      <c r="Q1249" s="85">
        <f>STATS1003B!Q1250/1000</f>
        <v>3854.78811</v>
      </c>
      <c r="R1249" s="85">
        <f>STATS1003B!R1250/1000</f>
        <v>0</v>
      </c>
      <c r="S1249" s="85">
        <f>STATS1003B!S1250/1000</f>
        <v>0</v>
      </c>
      <c r="T1249" s="85">
        <f>STATS1003B!T1250/1000</f>
        <v>0</v>
      </c>
      <c r="U1249" s="85">
        <f>STATS1003B!U1250/1000</f>
        <v>0</v>
      </c>
      <c r="V1249" s="85">
        <f>STATS1003B!V1250/1000</f>
        <v>3854.78811</v>
      </c>
      <c r="W1249" s="85">
        <f>STATS1003B!W1250/1000</f>
        <v>0</v>
      </c>
      <c r="X1249" s="85">
        <f t="shared" si="151"/>
        <v>3854.78811</v>
      </c>
      <c r="Y1249" s="85">
        <f>STATS1003B!Y1250/1000</f>
        <v>0</v>
      </c>
      <c r="Z1249" s="85">
        <f t="shared" si="154"/>
        <v>0</v>
      </c>
      <c r="AA1249" s="69">
        <f>STATS1003B!AA1250/1000</f>
        <v>3854.78811</v>
      </c>
      <c r="AB1249" s="69">
        <f>STATS1003B!AB1250/1000</f>
        <v>0</v>
      </c>
    </row>
    <row r="1250" spans="1:28" hidden="1" x14ac:dyDescent="0.3">
      <c r="A1250" s="117"/>
      <c r="C1250" s="68" t="s">
        <v>604</v>
      </c>
      <c r="D1250" s="87" t="s">
        <v>68</v>
      </c>
      <c r="E1250" s="85">
        <f>STATS1003B!E1251/1000</f>
        <v>340</v>
      </c>
      <c r="F1250" s="85">
        <f>STATS1003B!F1251/1000</f>
        <v>340</v>
      </c>
      <c r="G1250" s="85">
        <f>STATS1003B!G1251/1000</f>
        <v>0</v>
      </c>
      <c r="H1250" s="85">
        <f>STATS1003B!H1251/1000</f>
        <v>340</v>
      </c>
      <c r="I1250" s="85">
        <f>STATS1003B!I1251/1000</f>
        <v>0</v>
      </c>
      <c r="J1250" s="85">
        <f>STATS1003B!J1251/1000</f>
        <v>340</v>
      </c>
      <c r="K1250" s="85">
        <f>STATS1003B!K1251/1000</f>
        <v>0</v>
      </c>
      <c r="L1250" s="85">
        <f>STATS1003B!L1251/1000</f>
        <v>0</v>
      </c>
      <c r="M1250" s="85">
        <f>STATS1003B!M1251/1000</f>
        <v>340</v>
      </c>
      <c r="N1250" s="85">
        <f>STATS1003B!N1251/1000</f>
        <v>0</v>
      </c>
      <c r="O1250" s="85">
        <f>STATS1003B!O1251/1000</f>
        <v>0</v>
      </c>
      <c r="P1250" s="85">
        <f>STATS1003B!P1251/1000</f>
        <v>0</v>
      </c>
      <c r="Q1250" s="85">
        <f>STATS1003B!Q1251/1000</f>
        <v>340</v>
      </c>
      <c r="R1250" s="85">
        <f>STATS1003B!R1251/1000</f>
        <v>0</v>
      </c>
      <c r="S1250" s="85">
        <f>STATS1003B!S1251/1000</f>
        <v>0</v>
      </c>
      <c r="T1250" s="85">
        <f>STATS1003B!T1251/1000</f>
        <v>0</v>
      </c>
      <c r="U1250" s="85">
        <f>STATS1003B!U1251/1000</f>
        <v>0</v>
      </c>
      <c r="V1250" s="85">
        <f>STATS1003B!V1251/1000</f>
        <v>340</v>
      </c>
      <c r="W1250" s="85">
        <f>STATS1003B!W1251/1000</f>
        <v>0</v>
      </c>
      <c r="X1250" s="85">
        <f t="shared" si="151"/>
        <v>340</v>
      </c>
      <c r="Y1250" s="85">
        <f>STATS1003B!Y1251/1000</f>
        <v>0</v>
      </c>
      <c r="Z1250" s="85">
        <f t="shared" si="154"/>
        <v>0</v>
      </c>
      <c r="AA1250" s="69">
        <f>STATS1003B!AA1251/1000</f>
        <v>340</v>
      </c>
      <c r="AB1250" s="69">
        <f>STATS1003B!AB1251/1000</f>
        <v>0</v>
      </c>
    </row>
    <row r="1251" spans="1:28" hidden="1" x14ac:dyDescent="0.3">
      <c r="A1251" s="117"/>
      <c r="C1251" s="68" t="s">
        <v>535</v>
      </c>
      <c r="D1251" s="87" t="s">
        <v>54</v>
      </c>
      <c r="E1251" s="85">
        <f>STATS1003B!E1252/1000</f>
        <v>285</v>
      </c>
      <c r="F1251" s="85">
        <f>STATS1003B!F1252/1000</f>
        <v>285</v>
      </c>
      <c r="G1251" s="85">
        <f>STATS1003B!G1252/1000</f>
        <v>0</v>
      </c>
      <c r="H1251" s="85">
        <f>STATS1003B!H1252/1000</f>
        <v>285</v>
      </c>
      <c r="I1251" s="85">
        <f>STATS1003B!I1252/1000</f>
        <v>0</v>
      </c>
      <c r="J1251" s="85">
        <f>STATS1003B!J1252/1000</f>
        <v>285</v>
      </c>
      <c r="K1251" s="85">
        <f>STATS1003B!K1252/1000</f>
        <v>0</v>
      </c>
      <c r="L1251" s="85">
        <f>STATS1003B!L1252/1000</f>
        <v>0</v>
      </c>
      <c r="M1251" s="85">
        <f>STATS1003B!M1252/1000</f>
        <v>285</v>
      </c>
      <c r="N1251" s="85">
        <f>STATS1003B!N1252/1000</f>
        <v>0</v>
      </c>
      <c r="O1251" s="85">
        <f>STATS1003B!O1252/1000</f>
        <v>0</v>
      </c>
      <c r="P1251" s="85">
        <f>STATS1003B!P1252/1000</f>
        <v>0</v>
      </c>
      <c r="Q1251" s="85">
        <f>STATS1003B!Q1252/1000</f>
        <v>285</v>
      </c>
      <c r="R1251" s="85">
        <f>STATS1003B!R1252/1000</f>
        <v>0</v>
      </c>
      <c r="S1251" s="85">
        <f>STATS1003B!S1252/1000</f>
        <v>0</v>
      </c>
      <c r="T1251" s="85">
        <f>STATS1003B!T1252/1000</f>
        <v>0</v>
      </c>
      <c r="U1251" s="85">
        <f>STATS1003B!U1252/1000</f>
        <v>0</v>
      </c>
      <c r="V1251" s="85">
        <f>STATS1003B!V1252/1000</f>
        <v>285</v>
      </c>
      <c r="W1251" s="85">
        <f>STATS1003B!W1252/1000</f>
        <v>0</v>
      </c>
      <c r="X1251" s="85">
        <f t="shared" si="151"/>
        <v>285</v>
      </c>
      <c r="Y1251" s="85">
        <f>STATS1003B!Y1252/1000</f>
        <v>0</v>
      </c>
      <c r="Z1251" s="85">
        <f t="shared" si="154"/>
        <v>0</v>
      </c>
      <c r="AA1251" s="69">
        <f>STATS1003B!AA1252/1000</f>
        <v>285</v>
      </c>
      <c r="AB1251" s="69">
        <f>STATS1003B!AB1252/1000</f>
        <v>0</v>
      </c>
    </row>
    <row r="1252" spans="1:28" hidden="1" x14ac:dyDescent="0.3">
      <c r="A1252" s="117"/>
      <c r="C1252" s="68" t="s">
        <v>545</v>
      </c>
      <c r="D1252" s="87" t="s">
        <v>54</v>
      </c>
      <c r="E1252" s="85">
        <f>STATS1003B!E1253/1000</f>
        <v>2306.1060000000002</v>
      </c>
      <c r="F1252" s="85">
        <f>STATS1003B!F1253/1000</f>
        <v>0</v>
      </c>
      <c r="G1252" s="85">
        <f>STATS1003B!G1253/1000</f>
        <v>0</v>
      </c>
      <c r="H1252" s="85">
        <f>STATS1003B!H1253/1000</f>
        <v>0</v>
      </c>
      <c r="I1252" s="85">
        <f>STATS1003B!I1253/1000</f>
        <v>0</v>
      </c>
      <c r="J1252" s="85">
        <f>STATS1003B!J1253/1000</f>
        <v>0</v>
      </c>
      <c r="K1252" s="85">
        <f>STATS1003B!K1253/1000</f>
        <v>2306.1060000000002</v>
      </c>
      <c r="L1252" s="85">
        <f>STATS1003B!L1253/1000</f>
        <v>0</v>
      </c>
      <c r="M1252" s="85">
        <f>STATS1003B!M1253/1000</f>
        <v>0</v>
      </c>
      <c r="N1252" s="85">
        <f>STATS1003B!N1253/1000</f>
        <v>2306.1060000000002</v>
      </c>
      <c r="O1252" s="85">
        <f>STATS1003B!O1253/1000</f>
        <v>0</v>
      </c>
      <c r="P1252" s="85">
        <f>STATS1003B!P1253/1000</f>
        <v>2306.1060000000002</v>
      </c>
      <c r="Q1252" s="85">
        <f>STATS1003B!Q1253/1000</f>
        <v>0</v>
      </c>
      <c r="R1252" s="85">
        <f>STATS1003B!R1253/1000</f>
        <v>0</v>
      </c>
      <c r="S1252" s="85">
        <f>STATS1003B!S1253/1000</f>
        <v>0</v>
      </c>
      <c r="T1252" s="85">
        <f>STATS1003B!T1253/1000</f>
        <v>0</v>
      </c>
      <c r="U1252" s="85">
        <f>STATS1003B!U1253/1000</f>
        <v>2306.1060000000002</v>
      </c>
      <c r="V1252" s="85">
        <f>STATS1003B!V1253/1000</f>
        <v>2306.1060000000002</v>
      </c>
      <c r="W1252" s="85">
        <f>STATS1003B!W1253/1000</f>
        <v>0</v>
      </c>
      <c r="X1252" s="85">
        <f t="shared" si="151"/>
        <v>2306.1060000000002</v>
      </c>
      <c r="Y1252" s="85">
        <f>STATS1003B!Y1253/1000</f>
        <v>0</v>
      </c>
      <c r="Z1252" s="85">
        <f t="shared" si="154"/>
        <v>0</v>
      </c>
      <c r="AA1252" s="69">
        <f>STATS1003B!AA1253/1000</f>
        <v>2306.1060000000002</v>
      </c>
      <c r="AB1252" s="69">
        <f>STATS1003B!AB1253/1000</f>
        <v>0</v>
      </c>
    </row>
    <row r="1253" spans="1:28" hidden="1" x14ac:dyDescent="0.3">
      <c r="A1253" s="117"/>
      <c r="C1253" s="68" t="s">
        <v>655</v>
      </c>
      <c r="D1253" s="87" t="s">
        <v>54</v>
      </c>
      <c r="E1253" s="85">
        <f>STATS1003B!E1254/1000</f>
        <v>955.34561999999994</v>
      </c>
      <c r="F1253" s="85">
        <f>STATS1003B!F1254/1000</f>
        <v>0</v>
      </c>
      <c r="G1253" s="85">
        <f>STATS1003B!G1254/1000</f>
        <v>0</v>
      </c>
      <c r="H1253" s="85">
        <f>STATS1003B!H1254/1000</f>
        <v>0</v>
      </c>
      <c r="I1253" s="85">
        <f>STATS1003B!I1254/1000</f>
        <v>0</v>
      </c>
      <c r="J1253" s="85">
        <f>STATS1003B!J1254/1000</f>
        <v>0</v>
      </c>
      <c r="K1253" s="85">
        <f>STATS1003B!K1254/1000</f>
        <v>955.34561999999994</v>
      </c>
      <c r="L1253" s="85">
        <f>STATS1003B!L1254/1000</f>
        <v>0</v>
      </c>
      <c r="M1253" s="85">
        <f>STATS1003B!M1254/1000</f>
        <v>0</v>
      </c>
      <c r="N1253" s="85">
        <f>STATS1003B!N1254/1000</f>
        <v>955.34561999999994</v>
      </c>
      <c r="O1253" s="85">
        <f>STATS1003B!O1254/1000</f>
        <v>0</v>
      </c>
      <c r="P1253" s="85">
        <f>STATS1003B!P1254/1000</f>
        <v>955.34561999999994</v>
      </c>
      <c r="Q1253" s="85">
        <f>STATS1003B!Q1254/1000</f>
        <v>0</v>
      </c>
      <c r="R1253" s="85">
        <f>STATS1003B!R1254/1000</f>
        <v>0</v>
      </c>
      <c r="S1253" s="85">
        <f>STATS1003B!S1254/1000</f>
        <v>0</v>
      </c>
      <c r="T1253" s="85">
        <f>STATS1003B!T1254/1000</f>
        <v>0</v>
      </c>
      <c r="U1253" s="85">
        <f>STATS1003B!U1254/1000</f>
        <v>955.34561999999994</v>
      </c>
      <c r="V1253" s="85">
        <f>STATS1003B!V1254/1000</f>
        <v>955.34561999999994</v>
      </c>
      <c r="W1253" s="85">
        <f>STATS1003B!W1254/1000</f>
        <v>0</v>
      </c>
      <c r="X1253" s="85">
        <f t="shared" si="151"/>
        <v>955.34561999999994</v>
      </c>
      <c r="Y1253" s="85">
        <f>STATS1003B!Y1254/1000</f>
        <v>0</v>
      </c>
      <c r="Z1253" s="85">
        <f t="shared" si="154"/>
        <v>0</v>
      </c>
      <c r="AA1253" s="69">
        <f>STATS1003B!AA1254/1000</f>
        <v>955.34561999999994</v>
      </c>
      <c r="AB1253" s="69">
        <f>STATS1003B!AB1254/1000</f>
        <v>0</v>
      </c>
    </row>
    <row r="1254" spans="1:28" hidden="1" x14ac:dyDescent="0.3">
      <c r="A1254" s="117"/>
      <c r="C1254" s="68" t="s">
        <v>687</v>
      </c>
      <c r="D1254" s="87" t="s">
        <v>85</v>
      </c>
      <c r="E1254" s="85">
        <f>STATS1003B!E1255/1000</f>
        <v>100</v>
      </c>
      <c r="F1254" s="85">
        <f>STATS1003B!F1255/1000</f>
        <v>100</v>
      </c>
      <c r="G1254" s="85">
        <f>STATS1003B!G1255/1000</f>
        <v>0</v>
      </c>
      <c r="H1254" s="85">
        <f>STATS1003B!H1255/1000</f>
        <v>100</v>
      </c>
      <c r="I1254" s="85">
        <f>STATS1003B!I1255/1000</f>
        <v>0</v>
      </c>
      <c r="J1254" s="85">
        <f>STATS1003B!J1255/1000</f>
        <v>100</v>
      </c>
      <c r="K1254" s="85">
        <f>STATS1003B!K1255/1000</f>
        <v>0</v>
      </c>
      <c r="L1254" s="85">
        <f>STATS1003B!L1255/1000</f>
        <v>0</v>
      </c>
      <c r="M1254" s="85">
        <f>STATS1003B!M1255/1000</f>
        <v>100</v>
      </c>
      <c r="N1254" s="85">
        <f>STATS1003B!N1255/1000</f>
        <v>0</v>
      </c>
      <c r="O1254" s="85">
        <f>STATS1003B!O1255/1000</f>
        <v>0</v>
      </c>
      <c r="P1254" s="85">
        <f>STATS1003B!P1255/1000</f>
        <v>0</v>
      </c>
      <c r="Q1254" s="85">
        <f>STATS1003B!Q1255/1000</f>
        <v>100</v>
      </c>
      <c r="R1254" s="85">
        <f>STATS1003B!R1255/1000</f>
        <v>0</v>
      </c>
      <c r="S1254" s="85">
        <f>STATS1003B!S1255/1000</f>
        <v>0</v>
      </c>
      <c r="T1254" s="85">
        <f>STATS1003B!T1255/1000</f>
        <v>0</v>
      </c>
      <c r="U1254" s="85">
        <f>STATS1003B!U1255/1000</f>
        <v>0</v>
      </c>
      <c r="V1254" s="85">
        <f>STATS1003B!V1255/1000</f>
        <v>100</v>
      </c>
      <c r="W1254" s="85">
        <f>STATS1003B!W1255/1000</f>
        <v>0</v>
      </c>
      <c r="X1254" s="85">
        <f t="shared" si="151"/>
        <v>100</v>
      </c>
      <c r="Y1254" s="85">
        <f>STATS1003B!Y1255/1000</f>
        <v>0</v>
      </c>
      <c r="Z1254" s="85">
        <f t="shared" si="154"/>
        <v>0</v>
      </c>
      <c r="AA1254" s="69">
        <f>STATS1003B!AA1255/1000</f>
        <v>100</v>
      </c>
      <c r="AB1254" s="69">
        <f>STATS1003B!AB1255/1000</f>
        <v>0</v>
      </c>
    </row>
    <row r="1255" spans="1:28" hidden="1" x14ac:dyDescent="0.3">
      <c r="A1255" s="117"/>
      <c r="B1255" s="68" t="s">
        <v>688</v>
      </c>
      <c r="E1255" s="85">
        <f>STATS1003B!E1256/1000</f>
        <v>400</v>
      </c>
      <c r="F1255" s="85">
        <f>STATS1003B!F1256/1000</f>
        <v>400</v>
      </c>
      <c r="G1255" s="85">
        <f>STATS1003B!G1256/1000</f>
        <v>0</v>
      </c>
      <c r="H1255" s="85">
        <f>STATS1003B!H1256/1000</f>
        <v>400</v>
      </c>
      <c r="I1255" s="85">
        <f>STATS1003B!I1256/1000</f>
        <v>0</v>
      </c>
      <c r="J1255" s="85">
        <f>STATS1003B!J1256/1000</f>
        <v>400</v>
      </c>
      <c r="K1255" s="85">
        <f>STATS1003B!K1256/1000</f>
        <v>0</v>
      </c>
      <c r="L1255" s="85">
        <f>STATS1003B!L1256/1000</f>
        <v>0</v>
      </c>
      <c r="M1255" s="85">
        <f>STATS1003B!M1256/1000</f>
        <v>400</v>
      </c>
      <c r="N1255" s="85">
        <f>STATS1003B!N1256/1000</f>
        <v>0</v>
      </c>
      <c r="O1255" s="85">
        <f>STATS1003B!O1256/1000</f>
        <v>0</v>
      </c>
      <c r="P1255" s="85">
        <f>STATS1003B!P1256/1000</f>
        <v>0</v>
      </c>
      <c r="Q1255" s="85">
        <f>STATS1003B!Q1256/1000</f>
        <v>400</v>
      </c>
      <c r="R1255" s="85">
        <f>STATS1003B!R1256/1000</f>
        <v>0</v>
      </c>
      <c r="S1255" s="85">
        <f>STATS1003B!S1256/1000</f>
        <v>0</v>
      </c>
      <c r="T1255" s="85">
        <f>STATS1003B!T1256/1000</f>
        <v>0</v>
      </c>
      <c r="U1255" s="85">
        <f>STATS1003B!U1256/1000</f>
        <v>0</v>
      </c>
      <c r="V1255" s="85">
        <f>STATS1003B!V1256/1000</f>
        <v>400</v>
      </c>
      <c r="W1255" s="85">
        <f>STATS1003B!W1256/1000</f>
        <v>0</v>
      </c>
      <c r="X1255" s="85">
        <f t="shared" si="151"/>
        <v>400</v>
      </c>
      <c r="Y1255" s="85">
        <f>STATS1003B!Y1256/1000</f>
        <v>0</v>
      </c>
      <c r="Z1255" s="85">
        <f t="shared" si="154"/>
        <v>0</v>
      </c>
      <c r="AA1255" s="69">
        <f>STATS1003B!AA1256/1000</f>
        <v>400</v>
      </c>
      <c r="AB1255" s="69">
        <f>STATS1003B!AB1256/1000</f>
        <v>0</v>
      </c>
    </row>
    <row r="1256" spans="1:28" hidden="1" x14ac:dyDescent="0.3">
      <c r="A1256" s="117"/>
      <c r="B1256" s="68" t="s">
        <v>688</v>
      </c>
      <c r="E1256" s="85">
        <f>STATS1003B!E1257/1000</f>
        <v>0</v>
      </c>
      <c r="F1256" s="85">
        <f>STATS1003B!F1257/1000</f>
        <v>0</v>
      </c>
      <c r="G1256" s="85">
        <f>STATS1003B!G1257/1000</f>
        <v>0</v>
      </c>
      <c r="H1256" s="85">
        <f>STATS1003B!H1257/1000</f>
        <v>0</v>
      </c>
      <c r="I1256" s="85">
        <f>STATS1003B!I1257/1000</f>
        <v>0</v>
      </c>
      <c r="J1256" s="85">
        <f>STATS1003B!J1257/1000</f>
        <v>0</v>
      </c>
      <c r="K1256" s="85">
        <f>STATS1003B!K1257/1000</f>
        <v>0</v>
      </c>
      <c r="L1256" s="85">
        <f>STATS1003B!L1257/1000</f>
        <v>0</v>
      </c>
      <c r="M1256" s="85">
        <f>STATS1003B!M1257/1000</f>
        <v>0</v>
      </c>
      <c r="N1256" s="85">
        <f>STATS1003B!N1257/1000</f>
        <v>0</v>
      </c>
      <c r="O1256" s="85">
        <f>STATS1003B!O1257/1000</f>
        <v>0</v>
      </c>
      <c r="P1256" s="85">
        <f>STATS1003B!P1257/1000</f>
        <v>0</v>
      </c>
      <c r="Q1256" s="85">
        <f>STATS1003B!Q1257/1000</f>
        <v>0</v>
      </c>
      <c r="R1256" s="85">
        <f>STATS1003B!R1257/1000</f>
        <v>0</v>
      </c>
      <c r="S1256" s="85">
        <f>STATS1003B!S1257/1000</f>
        <v>0</v>
      </c>
      <c r="T1256" s="85">
        <f>STATS1003B!T1257/1000</f>
        <v>0</v>
      </c>
      <c r="U1256" s="85">
        <f>STATS1003B!U1257/1000</f>
        <v>0</v>
      </c>
      <c r="V1256" s="85">
        <f>STATS1003B!V1257/1000</f>
        <v>0</v>
      </c>
      <c r="W1256" s="85">
        <f>STATS1003B!W1257/1000</f>
        <v>0</v>
      </c>
      <c r="X1256" s="85">
        <f t="shared" si="151"/>
        <v>0</v>
      </c>
      <c r="Y1256" s="85">
        <f>STATS1003B!Y1257/1000</f>
        <v>0</v>
      </c>
      <c r="Z1256" s="85">
        <f t="shared" si="154"/>
        <v>0</v>
      </c>
      <c r="AA1256" s="69">
        <f>STATS1003B!AA1257/1000</f>
        <v>0</v>
      </c>
      <c r="AB1256" s="69">
        <f>STATS1003B!AB1257/1000</f>
        <v>0</v>
      </c>
    </row>
    <row r="1257" spans="1:28" hidden="1" x14ac:dyDescent="0.3">
      <c r="A1257" s="117"/>
      <c r="C1257" s="68" t="s">
        <v>535</v>
      </c>
      <c r="D1257" s="87" t="s">
        <v>88</v>
      </c>
      <c r="E1257" s="85">
        <f>STATS1003B!E1258/1000</f>
        <v>3036.3992899999998</v>
      </c>
      <c r="F1257" s="85">
        <f>STATS1003B!F1258/1000</f>
        <v>3036.3992899999998</v>
      </c>
      <c r="G1257" s="85">
        <f>STATS1003B!G1258/1000</f>
        <v>0</v>
      </c>
      <c r="H1257" s="85">
        <f>STATS1003B!H1258/1000</f>
        <v>3036.3992899999998</v>
      </c>
      <c r="I1257" s="85">
        <f>STATS1003B!I1258/1000</f>
        <v>0</v>
      </c>
      <c r="J1257" s="85">
        <f>STATS1003B!J1258/1000</f>
        <v>3036.3992899999998</v>
      </c>
      <c r="K1257" s="85">
        <f>STATS1003B!K1258/1000</f>
        <v>0</v>
      </c>
      <c r="L1257" s="85">
        <f>STATS1003B!L1258/1000</f>
        <v>0</v>
      </c>
      <c r="M1257" s="85">
        <f>STATS1003B!M1258/1000</f>
        <v>3036.3992899999998</v>
      </c>
      <c r="N1257" s="85">
        <f>STATS1003B!N1258/1000</f>
        <v>0</v>
      </c>
      <c r="O1257" s="85">
        <f>STATS1003B!O1258/1000</f>
        <v>0</v>
      </c>
      <c r="P1257" s="85">
        <f>STATS1003B!P1258/1000</f>
        <v>0</v>
      </c>
      <c r="Q1257" s="85">
        <f>STATS1003B!Q1258/1000</f>
        <v>3036.3992899999998</v>
      </c>
      <c r="R1257" s="85">
        <f>STATS1003B!R1258/1000</f>
        <v>0</v>
      </c>
      <c r="S1257" s="85">
        <f>STATS1003B!S1258/1000</f>
        <v>0</v>
      </c>
      <c r="T1257" s="85">
        <f>STATS1003B!T1258/1000</f>
        <v>0</v>
      </c>
      <c r="U1257" s="85">
        <f>STATS1003B!U1258/1000</f>
        <v>0</v>
      </c>
      <c r="V1257" s="85">
        <f>STATS1003B!V1258/1000</f>
        <v>3036.3992899999998</v>
      </c>
      <c r="W1257" s="85">
        <f>STATS1003B!W1258/1000</f>
        <v>0</v>
      </c>
      <c r="X1257" s="85">
        <f t="shared" si="151"/>
        <v>3036.3992899999998</v>
      </c>
      <c r="Y1257" s="85">
        <f>STATS1003B!Y1258/1000</f>
        <v>0</v>
      </c>
      <c r="Z1257" s="85">
        <f t="shared" si="154"/>
        <v>0</v>
      </c>
      <c r="AA1257" s="69">
        <f>STATS1003B!AA1258/1000</f>
        <v>3036.3992899999998</v>
      </c>
      <c r="AB1257" s="69">
        <f>STATS1003B!AB1258/1000</f>
        <v>0</v>
      </c>
    </row>
    <row r="1258" spans="1:28" hidden="1" x14ac:dyDescent="0.3">
      <c r="A1258" s="117"/>
      <c r="B1258" s="68" t="s">
        <v>642</v>
      </c>
      <c r="C1258" s="68" t="s">
        <v>535</v>
      </c>
      <c r="D1258" s="87" t="s">
        <v>108</v>
      </c>
      <c r="E1258" s="85">
        <f>STATS1003B!E1259/1000</f>
        <v>1517.4739999999999</v>
      </c>
      <c r="F1258" s="85">
        <f>STATS1003B!F1259/1000</f>
        <v>1517.4739999999999</v>
      </c>
      <c r="G1258" s="85">
        <f>STATS1003B!G1259/1000</f>
        <v>0</v>
      </c>
      <c r="H1258" s="85">
        <f>STATS1003B!H1259/1000</f>
        <v>1517.4739999999999</v>
      </c>
      <c r="I1258" s="85">
        <f>STATS1003B!I1259/1000</f>
        <v>0</v>
      </c>
      <c r="J1258" s="85">
        <f>STATS1003B!J1259/1000</f>
        <v>1517.4739999999999</v>
      </c>
      <c r="K1258" s="85">
        <f>STATS1003B!K1259/1000</f>
        <v>0</v>
      </c>
      <c r="L1258" s="85">
        <f>STATS1003B!L1259/1000</f>
        <v>0</v>
      </c>
      <c r="M1258" s="85">
        <f>STATS1003B!M1259/1000</f>
        <v>1517.4739999999999</v>
      </c>
      <c r="N1258" s="85">
        <f>STATS1003B!N1259/1000</f>
        <v>0</v>
      </c>
      <c r="O1258" s="85">
        <f>STATS1003B!O1259/1000</f>
        <v>0</v>
      </c>
      <c r="P1258" s="85">
        <f>STATS1003B!P1259/1000</f>
        <v>0</v>
      </c>
      <c r="Q1258" s="85">
        <f>STATS1003B!Q1259/1000</f>
        <v>1517.4739999999999</v>
      </c>
      <c r="R1258" s="85">
        <f>STATS1003B!R1259/1000</f>
        <v>0</v>
      </c>
      <c r="S1258" s="85">
        <f>STATS1003B!S1259/1000</f>
        <v>0</v>
      </c>
      <c r="T1258" s="85">
        <f>STATS1003B!T1259/1000</f>
        <v>0</v>
      </c>
      <c r="U1258" s="85">
        <f>STATS1003B!U1259/1000</f>
        <v>0</v>
      </c>
      <c r="V1258" s="85">
        <f>STATS1003B!V1259/1000</f>
        <v>1517.4739999999999</v>
      </c>
      <c r="W1258" s="85">
        <f>STATS1003B!W1259/1000</f>
        <v>0</v>
      </c>
      <c r="X1258" s="85">
        <f t="shared" si="151"/>
        <v>1517.4739999999999</v>
      </c>
      <c r="Y1258" s="85">
        <f>STATS1003B!Y1259/1000</f>
        <v>0</v>
      </c>
      <c r="Z1258" s="85">
        <f t="shared" si="154"/>
        <v>0</v>
      </c>
      <c r="AA1258" s="69">
        <f>STATS1003B!AA1259/1000</f>
        <v>1517.4739999999999</v>
      </c>
      <c r="AB1258" s="69">
        <f>STATS1003B!AB1259/1000</f>
        <v>0</v>
      </c>
    </row>
    <row r="1259" spans="1:28" hidden="1" x14ac:dyDescent="0.3">
      <c r="A1259" s="117"/>
      <c r="C1259" s="68" t="s">
        <v>535</v>
      </c>
      <c r="D1259" s="87" t="s">
        <v>108</v>
      </c>
      <c r="E1259" s="85">
        <f>STATS1003B!E1260/1000</f>
        <v>10685.838689999999</v>
      </c>
      <c r="F1259" s="85">
        <f>STATS1003B!F1260/1000</f>
        <v>10685.838689999999</v>
      </c>
      <c r="G1259" s="85">
        <f>STATS1003B!G1260/1000</f>
        <v>0</v>
      </c>
      <c r="H1259" s="85">
        <f>STATS1003B!H1260/1000</f>
        <v>10685.838689999999</v>
      </c>
      <c r="I1259" s="85">
        <f>STATS1003B!I1260/1000</f>
        <v>0</v>
      </c>
      <c r="J1259" s="85">
        <f>STATS1003B!J1260/1000</f>
        <v>10685.838689999999</v>
      </c>
      <c r="K1259" s="85">
        <f>STATS1003B!K1260/1000</f>
        <v>0</v>
      </c>
      <c r="L1259" s="85">
        <f>STATS1003B!L1260/1000</f>
        <v>0</v>
      </c>
      <c r="M1259" s="85">
        <f>STATS1003B!M1260/1000</f>
        <v>10685.838689999999</v>
      </c>
      <c r="N1259" s="85">
        <f>STATS1003B!N1260/1000</f>
        <v>0</v>
      </c>
      <c r="O1259" s="85">
        <f>STATS1003B!O1260/1000</f>
        <v>0</v>
      </c>
      <c r="P1259" s="85">
        <f>STATS1003B!P1260/1000</f>
        <v>0</v>
      </c>
      <c r="Q1259" s="85">
        <f>STATS1003B!Q1260/1000</f>
        <v>10685.838689999999</v>
      </c>
      <c r="R1259" s="85">
        <f>STATS1003B!R1260/1000</f>
        <v>0</v>
      </c>
      <c r="S1259" s="85">
        <f>STATS1003B!S1260/1000</f>
        <v>0</v>
      </c>
      <c r="T1259" s="85">
        <f>STATS1003B!T1260/1000</f>
        <v>0</v>
      </c>
      <c r="U1259" s="85">
        <f>STATS1003B!U1260/1000</f>
        <v>0</v>
      </c>
      <c r="V1259" s="85">
        <f>STATS1003B!V1260/1000</f>
        <v>10685.838689999999</v>
      </c>
      <c r="W1259" s="85">
        <f>STATS1003B!W1260/1000</f>
        <v>0</v>
      </c>
      <c r="X1259" s="85">
        <f t="shared" si="151"/>
        <v>10685.838689999999</v>
      </c>
      <c r="Y1259" s="85">
        <f>STATS1003B!Y1260/1000</f>
        <v>0</v>
      </c>
      <c r="Z1259" s="85">
        <f t="shared" si="154"/>
        <v>0</v>
      </c>
      <c r="AA1259" s="69">
        <f>STATS1003B!AA1260/1000</f>
        <v>10685.838689999999</v>
      </c>
      <c r="AB1259" s="69">
        <f>STATS1003B!AB1260/1000</f>
        <v>0</v>
      </c>
    </row>
    <row r="1260" spans="1:28" hidden="1" x14ac:dyDescent="0.3">
      <c r="A1260" s="117"/>
      <c r="C1260" s="68" t="s">
        <v>535</v>
      </c>
      <c r="D1260" s="87" t="s">
        <v>58</v>
      </c>
      <c r="E1260" s="85">
        <f>STATS1003B!E1261/1000</f>
        <v>6684.8990000000003</v>
      </c>
      <c r="F1260" s="85">
        <f>STATS1003B!F1261/1000</f>
        <v>6684.8990000000003</v>
      </c>
      <c r="G1260" s="85">
        <f>STATS1003B!G1261/1000</f>
        <v>0</v>
      </c>
      <c r="H1260" s="85">
        <f>STATS1003B!H1261/1000</f>
        <v>6684.8990000000003</v>
      </c>
      <c r="I1260" s="85">
        <f>STATS1003B!I1261/1000</f>
        <v>0</v>
      </c>
      <c r="J1260" s="85">
        <f>STATS1003B!J1261/1000</f>
        <v>6684.8990000000003</v>
      </c>
      <c r="K1260" s="85">
        <f>STATS1003B!K1261/1000</f>
        <v>0</v>
      </c>
      <c r="L1260" s="85">
        <f>STATS1003B!L1261/1000</f>
        <v>0</v>
      </c>
      <c r="M1260" s="85">
        <f>STATS1003B!M1261/1000</f>
        <v>6684.8990000000003</v>
      </c>
      <c r="N1260" s="85">
        <f>STATS1003B!N1261/1000</f>
        <v>0</v>
      </c>
      <c r="O1260" s="85">
        <f>STATS1003B!O1261/1000</f>
        <v>0</v>
      </c>
      <c r="P1260" s="85">
        <f>STATS1003B!P1261/1000</f>
        <v>0</v>
      </c>
      <c r="Q1260" s="85">
        <f>STATS1003B!Q1261/1000</f>
        <v>6684.8990000000003</v>
      </c>
      <c r="R1260" s="85">
        <f>STATS1003B!R1261/1000</f>
        <v>0</v>
      </c>
      <c r="S1260" s="85">
        <f>STATS1003B!S1261/1000</f>
        <v>0</v>
      </c>
      <c r="T1260" s="85">
        <f>STATS1003B!T1261/1000</f>
        <v>0</v>
      </c>
      <c r="U1260" s="85">
        <f>STATS1003B!U1261/1000</f>
        <v>0</v>
      </c>
      <c r="V1260" s="85">
        <f>STATS1003B!V1261/1000</f>
        <v>6684.8990000000003</v>
      </c>
      <c r="W1260" s="85">
        <f>STATS1003B!W1261/1000</f>
        <v>0</v>
      </c>
      <c r="X1260" s="85">
        <f t="shared" si="151"/>
        <v>6684.8990000000003</v>
      </c>
      <c r="Y1260" s="85">
        <f>STATS1003B!Y1261/1000</f>
        <v>0</v>
      </c>
      <c r="Z1260" s="85">
        <f t="shared" si="154"/>
        <v>0</v>
      </c>
      <c r="AA1260" s="69">
        <f>STATS1003B!AA1261/1000</f>
        <v>6684.8990000000003</v>
      </c>
      <c r="AB1260" s="69">
        <f>STATS1003B!AB1261/1000</f>
        <v>0</v>
      </c>
    </row>
    <row r="1261" spans="1:28" hidden="1" x14ac:dyDescent="0.3">
      <c r="A1261" s="117"/>
      <c r="C1261" s="68" t="s">
        <v>535</v>
      </c>
      <c r="D1261" s="87" t="s">
        <v>60</v>
      </c>
      <c r="E1261" s="85">
        <f>STATS1003B!E1262/1000</f>
        <v>746.75</v>
      </c>
      <c r="F1261" s="85">
        <f>STATS1003B!F1262/1000</f>
        <v>746.75</v>
      </c>
      <c r="G1261" s="85">
        <f>STATS1003B!G1262/1000</f>
        <v>0</v>
      </c>
      <c r="H1261" s="85">
        <f>STATS1003B!H1262/1000</f>
        <v>746.75</v>
      </c>
      <c r="I1261" s="85">
        <f>STATS1003B!I1262/1000</f>
        <v>0</v>
      </c>
      <c r="J1261" s="85">
        <f>STATS1003B!J1262/1000</f>
        <v>746.75</v>
      </c>
      <c r="K1261" s="85">
        <f>STATS1003B!K1262/1000</f>
        <v>0</v>
      </c>
      <c r="L1261" s="85">
        <f>STATS1003B!L1262/1000</f>
        <v>0</v>
      </c>
      <c r="M1261" s="85">
        <f>STATS1003B!M1262/1000</f>
        <v>746.75</v>
      </c>
      <c r="N1261" s="85">
        <f>STATS1003B!N1262/1000</f>
        <v>0</v>
      </c>
      <c r="O1261" s="85">
        <f>STATS1003B!O1262/1000</f>
        <v>0</v>
      </c>
      <c r="P1261" s="85">
        <f>STATS1003B!P1262/1000</f>
        <v>0</v>
      </c>
      <c r="Q1261" s="85">
        <f>STATS1003B!Q1262/1000</f>
        <v>746.75</v>
      </c>
      <c r="R1261" s="85">
        <f>STATS1003B!R1262/1000</f>
        <v>0</v>
      </c>
      <c r="S1261" s="85">
        <f>STATS1003B!S1262/1000</f>
        <v>0</v>
      </c>
      <c r="T1261" s="85">
        <f>STATS1003B!T1262/1000</f>
        <v>0</v>
      </c>
      <c r="U1261" s="85">
        <f>STATS1003B!U1262/1000</f>
        <v>0</v>
      </c>
      <c r="V1261" s="85">
        <f>STATS1003B!V1262/1000</f>
        <v>746.75</v>
      </c>
      <c r="W1261" s="85">
        <f>STATS1003B!W1262/1000</f>
        <v>0</v>
      </c>
      <c r="X1261" s="85">
        <f t="shared" si="151"/>
        <v>746.75</v>
      </c>
      <c r="Y1261" s="85">
        <f>STATS1003B!Y1262/1000</f>
        <v>0</v>
      </c>
      <c r="Z1261" s="85">
        <f t="shared" si="154"/>
        <v>0</v>
      </c>
      <c r="AA1261" s="69">
        <f>STATS1003B!AA1262/1000</f>
        <v>746.75</v>
      </c>
      <c r="AB1261" s="69">
        <f>STATS1003B!AB1262/1000</f>
        <v>0</v>
      </c>
    </row>
    <row r="1262" spans="1:28" hidden="1" x14ac:dyDescent="0.3">
      <c r="A1262" s="117"/>
      <c r="C1262" s="71" t="s">
        <v>689</v>
      </c>
      <c r="D1262" s="88" t="s">
        <v>194</v>
      </c>
      <c r="E1262" s="85">
        <f>STATS1003B!E1263/1000</f>
        <v>283.52193</v>
      </c>
      <c r="F1262" s="85">
        <f>STATS1003B!F1263/1000</f>
        <v>283.52193</v>
      </c>
      <c r="G1262" s="85">
        <f>STATS1003B!G1263/1000</f>
        <v>0</v>
      </c>
      <c r="H1262" s="85">
        <f>STATS1003B!H1263/1000</f>
        <v>283.52193</v>
      </c>
      <c r="I1262" s="85">
        <f>STATS1003B!I1263/1000</f>
        <v>0</v>
      </c>
      <c r="J1262" s="85">
        <f>STATS1003B!J1263/1000</f>
        <v>283.52193</v>
      </c>
      <c r="K1262" s="85">
        <f>STATS1003B!K1263/1000</f>
        <v>0</v>
      </c>
      <c r="L1262" s="85">
        <f>STATS1003B!L1263/1000</f>
        <v>0</v>
      </c>
      <c r="M1262" s="85">
        <f>STATS1003B!M1263/1000</f>
        <v>283.52193</v>
      </c>
      <c r="N1262" s="85">
        <f>STATS1003B!N1263/1000</f>
        <v>0</v>
      </c>
      <c r="O1262" s="85">
        <f>STATS1003B!O1263/1000</f>
        <v>0</v>
      </c>
      <c r="P1262" s="85">
        <f>STATS1003B!P1263/1000</f>
        <v>0</v>
      </c>
      <c r="Q1262" s="85">
        <f>STATS1003B!Q1263/1000</f>
        <v>283.52193</v>
      </c>
      <c r="R1262" s="85">
        <f>STATS1003B!R1263/1000</f>
        <v>0</v>
      </c>
      <c r="S1262" s="85">
        <f>STATS1003B!S1263/1000</f>
        <v>0</v>
      </c>
      <c r="T1262" s="85">
        <f>STATS1003B!T1263/1000</f>
        <v>0</v>
      </c>
      <c r="U1262" s="85">
        <f>STATS1003B!U1263/1000</f>
        <v>0</v>
      </c>
      <c r="V1262" s="85">
        <f>STATS1003B!V1263/1000</f>
        <v>283.52193</v>
      </c>
      <c r="W1262" s="85">
        <f>STATS1003B!W1263/1000</f>
        <v>0</v>
      </c>
      <c r="X1262" s="85">
        <f t="shared" si="151"/>
        <v>283.52193</v>
      </c>
      <c r="Y1262" s="85">
        <f>STATS1003B!Y1263/1000</f>
        <v>0</v>
      </c>
      <c r="Z1262" s="85">
        <f t="shared" si="154"/>
        <v>0</v>
      </c>
      <c r="AA1262" s="69">
        <f>STATS1003B!AA1263/1000</f>
        <v>283.52193</v>
      </c>
      <c r="AB1262" s="69">
        <f>STATS1003B!AB1263/1000</f>
        <v>0</v>
      </c>
    </row>
    <row r="1263" spans="1:28" hidden="1" x14ac:dyDescent="0.3">
      <c r="A1263" s="117"/>
      <c r="C1263" s="68" t="s">
        <v>535</v>
      </c>
      <c r="D1263" s="87" t="s">
        <v>73</v>
      </c>
      <c r="E1263" s="85">
        <f>STATS1003B!E1264/1000</f>
        <v>799</v>
      </c>
      <c r="F1263" s="85">
        <f>STATS1003B!F1264/1000</f>
        <v>799</v>
      </c>
      <c r="G1263" s="85">
        <f>STATS1003B!G1264/1000</f>
        <v>0</v>
      </c>
      <c r="H1263" s="85">
        <f>STATS1003B!H1264/1000</f>
        <v>799</v>
      </c>
      <c r="I1263" s="85">
        <f>STATS1003B!I1264/1000</f>
        <v>0</v>
      </c>
      <c r="J1263" s="85">
        <f>STATS1003B!J1264/1000</f>
        <v>799</v>
      </c>
      <c r="K1263" s="85">
        <f>STATS1003B!K1264/1000</f>
        <v>0</v>
      </c>
      <c r="L1263" s="85">
        <f>STATS1003B!L1264/1000</f>
        <v>0</v>
      </c>
      <c r="M1263" s="85">
        <f>STATS1003B!M1264/1000</f>
        <v>799</v>
      </c>
      <c r="N1263" s="85">
        <f>STATS1003B!N1264/1000</f>
        <v>0</v>
      </c>
      <c r="O1263" s="85">
        <f>STATS1003B!O1264/1000</f>
        <v>0</v>
      </c>
      <c r="P1263" s="85">
        <f>STATS1003B!P1264/1000</f>
        <v>0</v>
      </c>
      <c r="Q1263" s="85">
        <f>STATS1003B!Q1264/1000</f>
        <v>799</v>
      </c>
      <c r="R1263" s="85">
        <f>STATS1003B!R1264/1000</f>
        <v>0</v>
      </c>
      <c r="S1263" s="85">
        <f>STATS1003B!S1264/1000</f>
        <v>0</v>
      </c>
      <c r="T1263" s="85">
        <f>STATS1003B!T1264/1000</f>
        <v>0</v>
      </c>
      <c r="U1263" s="85">
        <f>STATS1003B!U1264/1000</f>
        <v>0</v>
      </c>
      <c r="V1263" s="85">
        <f>STATS1003B!V1264/1000</f>
        <v>799</v>
      </c>
      <c r="W1263" s="85">
        <f>STATS1003B!W1264/1000</f>
        <v>0</v>
      </c>
      <c r="X1263" s="85">
        <f t="shared" si="151"/>
        <v>799</v>
      </c>
      <c r="Y1263" s="85">
        <f>STATS1003B!Y1264/1000</f>
        <v>0</v>
      </c>
      <c r="Z1263" s="85">
        <f t="shared" si="154"/>
        <v>0</v>
      </c>
      <c r="AA1263" s="69">
        <f>STATS1003B!AA1264/1000</f>
        <v>799</v>
      </c>
      <c r="AB1263" s="69">
        <f>STATS1003B!AB1264/1000</f>
        <v>0</v>
      </c>
    </row>
    <row r="1264" spans="1:28" hidden="1" x14ac:dyDescent="0.3">
      <c r="A1264" s="117"/>
      <c r="C1264" s="71" t="s">
        <v>690</v>
      </c>
      <c r="D1264" s="88" t="s">
        <v>73</v>
      </c>
      <c r="E1264" s="85">
        <f>STATS1003B!E1265/1000</f>
        <v>272.22500000000002</v>
      </c>
      <c r="F1264" s="85">
        <f>STATS1003B!F1265/1000</f>
        <v>272.22500000000002</v>
      </c>
      <c r="G1264" s="85">
        <f>STATS1003B!G1265/1000</f>
        <v>0</v>
      </c>
      <c r="H1264" s="85">
        <f>STATS1003B!H1265/1000</f>
        <v>272.22500000000002</v>
      </c>
      <c r="I1264" s="85">
        <f>STATS1003B!I1265/1000</f>
        <v>0</v>
      </c>
      <c r="J1264" s="85">
        <f>STATS1003B!J1265/1000</f>
        <v>272.22500000000002</v>
      </c>
      <c r="K1264" s="85">
        <f>STATS1003B!K1265/1000</f>
        <v>0</v>
      </c>
      <c r="L1264" s="85">
        <f>STATS1003B!L1265/1000</f>
        <v>0</v>
      </c>
      <c r="M1264" s="85">
        <f>STATS1003B!M1265/1000</f>
        <v>272.22500000000002</v>
      </c>
      <c r="N1264" s="85">
        <f>STATS1003B!N1265/1000</f>
        <v>0</v>
      </c>
      <c r="O1264" s="85">
        <f>STATS1003B!O1265/1000</f>
        <v>0</v>
      </c>
      <c r="P1264" s="85">
        <f>STATS1003B!P1265/1000</f>
        <v>0</v>
      </c>
      <c r="Q1264" s="85">
        <f>STATS1003B!Q1265/1000</f>
        <v>272.22500000000002</v>
      </c>
      <c r="R1264" s="85">
        <f>STATS1003B!R1265/1000</f>
        <v>0</v>
      </c>
      <c r="S1264" s="85">
        <f>STATS1003B!S1265/1000</f>
        <v>0</v>
      </c>
      <c r="T1264" s="85">
        <f>STATS1003B!T1265/1000</f>
        <v>0</v>
      </c>
      <c r="U1264" s="85">
        <f>STATS1003B!U1265/1000</f>
        <v>0</v>
      </c>
      <c r="V1264" s="85">
        <f>STATS1003B!V1265/1000</f>
        <v>272.22500000000002</v>
      </c>
      <c r="W1264" s="85">
        <f>STATS1003B!W1265/1000</f>
        <v>0</v>
      </c>
      <c r="X1264" s="85">
        <f t="shared" si="151"/>
        <v>272.22500000000002</v>
      </c>
      <c r="Y1264" s="85">
        <f>STATS1003B!Y1265/1000</f>
        <v>0</v>
      </c>
      <c r="Z1264" s="85">
        <f t="shared" si="154"/>
        <v>0</v>
      </c>
      <c r="AA1264" s="69">
        <f>STATS1003B!AA1265/1000</f>
        <v>272.22500000000002</v>
      </c>
      <c r="AB1264" s="69">
        <f>STATS1003B!AB1265/1000</f>
        <v>0</v>
      </c>
    </row>
    <row r="1265" spans="1:28" hidden="1" x14ac:dyDescent="0.3">
      <c r="A1265" s="117"/>
      <c r="C1265" s="71" t="s">
        <v>691</v>
      </c>
      <c r="D1265" s="88" t="s">
        <v>73</v>
      </c>
      <c r="E1265" s="85">
        <f>STATS1003B!E1266/1000</f>
        <v>443.56567000000001</v>
      </c>
      <c r="F1265" s="85">
        <f>STATS1003B!F1266/1000</f>
        <v>443.56567000000001</v>
      </c>
      <c r="G1265" s="85">
        <f>STATS1003B!G1266/1000</f>
        <v>0</v>
      </c>
      <c r="H1265" s="85">
        <f>STATS1003B!H1266/1000</f>
        <v>443.56567000000001</v>
      </c>
      <c r="I1265" s="85">
        <f>STATS1003B!I1266/1000</f>
        <v>0</v>
      </c>
      <c r="J1265" s="85">
        <f>STATS1003B!J1266/1000</f>
        <v>443.56567000000001</v>
      </c>
      <c r="K1265" s="85">
        <f>STATS1003B!K1266/1000</f>
        <v>0</v>
      </c>
      <c r="L1265" s="85">
        <f>STATS1003B!L1266/1000</f>
        <v>0</v>
      </c>
      <c r="M1265" s="85">
        <f>STATS1003B!M1266/1000</f>
        <v>443.56567000000001</v>
      </c>
      <c r="N1265" s="85">
        <f>STATS1003B!N1266/1000</f>
        <v>0</v>
      </c>
      <c r="O1265" s="85">
        <f>STATS1003B!O1266/1000</f>
        <v>0</v>
      </c>
      <c r="P1265" s="85">
        <f>STATS1003B!P1266/1000</f>
        <v>0</v>
      </c>
      <c r="Q1265" s="85">
        <f>STATS1003B!Q1266/1000</f>
        <v>443.56567000000001</v>
      </c>
      <c r="R1265" s="85">
        <f>STATS1003B!R1266/1000</f>
        <v>0</v>
      </c>
      <c r="S1265" s="85">
        <f>STATS1003B!S1266/1000</f>
        <v>0</v>
      </c>
      <c r="T1265" s="85">
        <f>STATS1003B!T1266/1000</f>
        <v>0</v>
      </c>
      <c r="U1265" s="85">
        <f>STATS1003B!U1266/1000</f>
        <v>0</v>
      </c>
      <c r="V1265" s="85">
        <f>STATS1003B!V1266/1000</f>
        <v>443.56567000000001</v>
      </c>
      <c r="W1265" s="85">
        <f>STATS1003B!W1266/1000</f>
        <v>0</v>
      </c>
      <c r="X1265" s="85">
        <f t="shared" si="151"/>
        <v>443.56567000000001</v>
      </c>
      <c r="Y1265" s="85">
        <f>STATS1003B!Y1266/1000</f>
        <v>0</v>
      </c>
      <c r="Z1265" s="85">
        <f t="shared" si="154"/>
        <v>0</v>
      </c>
      <c r="AA1265" s="69">
        <f>STATS1003B!AA1266/1000</f>
        <v>443.56567000000001</v>
      </c>
      <c r="AB1265" s="69">
        <f>STATS1003B!AB1266/1000</f>
        <v>0</v>
      </c>
    </row>
    <row r="1266" spans="1:28" hidden="1" x14ac:dyDescent="0.3">
      <c r="A1266" s="117"/>
      <c r="C1266" s="68" t="s">
        <v>535</v>
      </c>
      <c r="D1266" s="87" t="s">
        <v>61</v>
      </c>
      <c r="E1266" s="85">
        <f>STATS1003B!E1267/1000</f>
        <v>2239.8599199999999</v>
      </c>
      <c r="F1266" s="85">
        <f>STATS1003B!F1267/1000</f>
        <v>2239.8599199999999</v>
      </c>
      <c r="G1266" s="85">
        <f>STATS1003B!G1267/1000</f>
        <v>0</v>
      </c>
      <c r="H1266" s="85">
        <f>STATS1003B!H1267/1000</f>
        <v>2239.8599199999999</v>
      </c>
      <c r="I1266" s="85">
        <f>STATS1003B!I1267/1000</f>
        <v>0</v>
      </c>
      <c r="J1266" s="85">
        <f>STATS1003B!J1267/1000</f>
        <v>2239.8599199999999</v>
      </c>
      <c r="K1266" s="85">
        <f>STATS1003B!K1267/1000</f>
        <v>0</v>
      </c>
      <c r="L1266" s="85">
        <f>STATS1003B!L1267/1000</f>
        <v>0</v>
      </c>
      <c r="M1266" s="85">
        <f>STATS1003B!M1267/1000</f>
        <v>2239.8599199999999</v>
      </c>
      <c r="N1266" s="85">
        <f>STATS1003B!N1267/1000</f>
        <v>0</v>
      </c>
      <c r="O1266" s="85">
        <f>STATS1003B!O1267/1000</f>
        <v>0</v>
      </c>
      <c r="P1266" s="85">
        <f>STATS1003B!P1267/1000</f>
        <v>0</v>
      </c>
      <c r="Q1266" s="85">
        <f>STATS1003B!Q1267/1000</f>
        <v>2239.8599199999999</v>
      </c>
      <c r="R1266" s="85">
        <f>STATS1003B!R1267/1000</f>
        <v>0</v>
      </c>
      <c r="S1266" s="85">
        <f>STATS1003B!S1267/1000</f>
        <v>0</v>
      </c>
      <c r="T1266" s="85">
        <f>STATS1003B!T1267/1000</f>
        <v>0</v>
      </c>
      <c r="U1266" s="85">
        <f>STATS1003B!U1267/1000</f>
        <v>0</v>
      </c>
      <c r="V1266" s="85">
        <f>STATS1003B!V1267/1000</f>
        <v>2239.8599199999999</v>
      </c>
      <c r="W1266" s="85">
        <f>STATS1003B!W1267/1000</f>
        <v>0</v>
      </c>
      <c r="X1266" s="85">
        <f t="shared" si="151"/>
        <v>2239.8599199999999</v>
      </c>
      <c r="Y1266" s="85">
        <f>STATS1003B!Y1267/1000</f>
        <v>0</v>
      </c>
      <c r="Z1266" s="85">
        <f t="shared" si="154"/>
        <v>0</v>
      </c>
      <c r="AA1266" s="69">
        <f>STATS1003B!AA1267/1000</f>
        <v>2239.8599199999999</v>
      </c>
      <c r="AB1266" s="69">
        <f>STATS1003B!AB1267/1000</f>
        <v>0</v>
      </c>
    </row>
    <row r="1267" spans="1:28" hidden="1" x14ac:dyDescent="0.3">
      <c r="A1267" s="117"/>
      <c r="C1267" s="68" t="s">
        <v>621</v>
      </c>
      <c r="D1267" s="87" t="s">
        <v>61</v>
      </c>
      <c r="E1267" s="85">
        <f>STATS1003B!E1268/1000</f>
        <v>634.59322999999995</v>
      </c>
      <c r="F1267" s="85">
        <f>STATS1003B!F1268/1000</f>
        <v>634.59322999999995</v>
      </c>
      <c r="G1267" s="85">
        <f>STATS1003B!G1268/1000</f>
        <v>0</v>
      </c>
      <c r="H1267" s="85">
        <f>STATS1003B!H1268/1000</f>
        <v>634.59322999999995</v>
      </c>
      <c r="I1267" s="85">
        <f>STATS1003B!I1268/1000</f>
        <v>0</v>
      </c>
      <c r="J1267" s="85">
        <f>STATS1003B!J1268/1000</f>
        <v>634.59322999999995</v>
      </c>
      <c r="K1267" s="85">
        <f>STATS1003B!K1268/1000</f>
        <v>0</v>
      </c>
      <c r="L1267" s="85">
        <f>STATS1003B!L1268/1000</f>
        <v>0</v>
      </c>
      <c r="M1267" s="85">
        <f>STATS1003B!M1268/1000</f>
        <v>634.59322999999995</v>
      </c>
      <c r="N1267" s="85">
        <f>STATS1003B!N1268/1000</f>
        <v>0</v>
      </c>
      <c r="O1267" s="85">
        <f>STATS1003B!O1268/1000</f>
        <v>0</v>
      </c>
      <c r="P1267" s="85">
        <f>STATS1003B!P1268/1000</f>
        <v>0</v>
      </c>
      <c r="Q1267" s="85">
        <f>STATS1003B!Q1268/1000</f>
        <v>634.59322999999995</v>
      </c>
      <c r="R1267" s="85">
        <f>STATS1003B!R1268/1000</f>
        <v>0</v>
      </c>
      <c r="S1267" s="85">
        <f>STATS1003B!S1268/1000</f>
        <v>0</v>
      </c>
      <c r="T1267" s="85">
        <f>STATS1003B!T1268/1000</f>
        <v>0</v>
      </c>
      <c r="U1267" s="85">
        <f>STATS1003B!U1268/1000</f>
        <v>0</v>
      </c>
      <c r="V1267" s="85">
        <f>STATS1003B!V1268/1000</f>
        <v>634.59322999999995</v>
      </c>
      <c r="W1267" s="85">
        <f>STATS1003B!W1268/1000</f>
        <v>0</v>
      </c>
      <c r="X1267" s="85">
        <f t="shared" si="151"/>
        <v>634.59322999999995</v>
      </c>
      <c r="Y1267" s="85">
        <f>STATS1003B!Y1268/1000</f>
        <v>0</v>
      </c>
      <c r="Z1267" s="85">
        <f t="shared" si="154"/>
        <v>0</v>
      </c>
      <c r="AA1267" s="69">
        <f>STATS1003B!AA1268/1000</f>
        <v>634.59322999999995</v>
      </c>
      <c r="AB1267" s="69">
        <f>STATS1003B!AB1268/1000</f>
        <v>0</v>
      </c>
    </row>
    <row r="1268" spans="1:28" hidden="1" x14ac:dyDescent="0.3">
      <c r="A1268" s="117"/>
      <c r="C1268" s="71" t="s">
        <v>692</v>
      </c>
      <c r="D1268" s="87" t="s">
        <v>61</v>
      </c>
      <c r="E1268" s="85">
        <f>STATS1003B!E1269/1000</f>
        <v>3161.98542</v>
      </c>
      <c r="F1268" s="85">
        <f>STATS1003B!F1269/1000</f>
        <v>3161.98542</v>
      </c>
      <c r="G1268" s="85">
        <f>STATS1003B!G1269/1000</f>
        <v>0</v>
      </c>
      <c r="H1268" s="85">
        <f>STATS1003B!H1269/1000</f>
        <v>3161.98542</v>
      </c>
      <c r="I1268" s="85">
        <f>STATS1003B!I1269/1000</f>
        <v>0</v>
      </c>
      <c r="J1268" s="85">
        <f>STATS1003B!J1269/1000</f>
        <v>3161.98542</v>
      </c>
      <c r="K1268" s="85">
        <f>STATS1003B!K1269/1000</f>
        <v>0</v>
      </c>
      <c r="L1268" s="85">
        <f>STATS1003B!L1269/1000</f>
        <v>0</v>
      </c>
      <c r="M1268" s="85">
        <f>STATS1003B!M1269/1000</f>
        <v>3161.98542</v>
      </c>
      <c r="N1268" s="85">
        <f>STATS1003B!N1269/1000</f>
        <v>0</v>
      </c>
      <c r="O1268" s="85">
        <f>STATS1003B!O1269/1000</f>
        <v>0</v>
      </c>
      <c r="P1268" s="85">
        <f>STATS1003B!P1269/1000</f>
        <v>0</v>
      </c>
      <c r="Q1268" s="85">
        <f>STATS1003B!Q1269/1000</f>
        <v>3161.98542</v>
      </c>
      <c r="R1268" s="85">
        <f>STATS1003B!R1269/1000</f>
        <v>0</v>
      </c>
      <c r="S1268" s="85">
        <f>STATS1003B!S1269/1000</f>
        <v>0</v>
      </c>
      <c r="T1268" s="85">
        <f>STATS1003B!T1269/1000</f>
        <v>0</v>
      </c>
      <c r="U1268" s="85">
        <f>STATS1003B!U1269/1000</f>
        <v>0</v>
      </c>
      <c r="V1268" s="85">
        <f>STATS1003B!V1269/1000</f>
        <v>3161.98542</v>
      </c>
      <c r="W1268" s="85">
        <f>STATS1003B!W1269/1000</f>
        <v>0</v>
      </c>
      <c r="X1268" s="85">
        <f t="shared" si="151"/>
        <v>3161.98542</v>
      </c>
      <c r="Y1268" s="85">
        <f>STATS1003B!Y1269/1000</f>
        <v>0</v>
      </c>
      <c r="Z1268" s="85">
        <f t="shared" si="154"/>
        <v>0</v>
      </c>
      <c r="AA1268" s="69">
        <f>STATS1003B!AA1269/1000</f>
        <v>3161.98542</v>
      </c>
      <c r="AB1268" s="69">
        <f>STATS1003B!AB1269/1000</f>
        <v>0</v>
      </c>
    </row>
    <row r="1269" spans="1:28" hidden="1" x14ac:dyDescent="0.3">
      <c r="A1269" s="117"/>
      <c r="C1269" s="71" t="s">
        <v>693</v>
      </c>
      <c r="D1269" s="87" t="s">
        <v>61</v>
      </c>
      <c r="E1269" s="85">
        <f>STATS1003B!E1270/1000</f>
        <v>1433.5264999999999</v>
      </c>
      <c r="F1269" s="85">
        <f>STATS1003B!F1270/1000</f>
        <v>1433.5264999999999</v>
      </c>
      <c r="G1269" s="85">
        <f>STATS1003B!G1270/1000</f>
        <v>0</v>
      </c>
      <c r="H1269" s="85">
        <f>STATS1003B!H1270/1000</f>
        <v>1433.5264999999999</v>
      </c>
      <c r="I1269" s="85">
        <f>STATS1003B!I1270/1000</f>
        <v>0</v>
      </c>
      <c r="J1269" s="85">
        <f>STATS1003B!J1270/1000</f>
        <v>1433.5264999999999</v>
      </c>
      <c r="K1269" s="85">
        <f>STATS1003B!K1270/1000</f>
        <v>0</v>
      </c>
      <c r="L1269" s="85">
        <f>STATS1003B!L1270/1000</f>
        <v>0</v>
      </c>
      <c r="M1269" s="85">
        <f>STATS1003B!M1270/1000</f>
        <v>1433.5264999999999</v>
      </c>
      <c r="N1269" s="85">
        <f>STATS1003B!N1270/1000</f>
        <v>0</v>
      </c>
      <c r="O1269" s="85">
        <f>STATS1003B!O1270/1000</f>
        <v>0</v>
      </c>
      <c r="P1269" s="85">
        <f>STATS1003B!P1270/1000</f>
        <v>0</v>
      </c>
      <c r="Q1269" s="85">
        <f>STATS1003B!Q1270/1000</f>
        <v>1433.5264999999999</v>
      </c>
      <c r="R1269" s="85">
        <f>STATS1003B!R1270/1000</f>
        <v>0</v>
      </c>
      <c r="S1269" s="85">
        <f>STATS1003B!S1270/1000</f>
        <v>0</v>
      </c>
      <c r="T1269" s="85">
        <f>STATS1003B!T1270/1000</f>
        <v>0</v>
      </c>
      <c r="U1269" s="85">
        <f>STATS1003B!U1270/1000</f>
        <v>0</v>
      </c>
      <c r="V1269" s="85">
        <f>STATS1003B!V1270/1000</f>
        <v>1433.5264999999999</v>
      </c>
      <c r="W1269" s="85">
        <f>STATS1003B!W1270/1000</f>
        <v>0</v>
      </c>
      <c r="X1269" s="85">
        <f t="shared" si="151"/>
        <v>1433.5264999999999</v>
      </c>
      <c r="Y1269" s="85">
        <f>STATS1003B!Y1270/1000</f>
        <v>0</v>
      </c>
      <c r="Z1269" s="85">
        <f t="shared" si="154"/>
        <v>0</v>
      </c>
      <c r="AA1269" s="69">
        <f>STATS1003B!AA1270/1000</f>
        <v>1433.5264999999999</v>
      </c>
      <c r="AB1269" s="69">
        <f>STATS1003B!AB1270/1000</f>
        <v>0</v>
      </c>
    </row>
    <row r="1270" spans="1:28" hidden="1" x14ac:dyDescent="0.3">
      <c r="A1270" s="117"/>
      <c r="C1270" s="95" t="s">
        <v>1081</v>
      </c>
      <c r="D1270" s="90" t="s">
        <v>1072</v>
      </c>
      <c r="E1270" s="85">
        <f>STATS1003B!E1271/1000</f>
        <v>3018.3636099999999</v>
      </c>
      <c r="F1270" s="85">
        <f>STATS1003B!F1271/1000</f>
        <v>3018.3636099999999</v>
      </c>
      <c r="G1270" s="85">
        <f>STATS1003B!G1271/1000</f>
        <v>0</v>
      </c>
      <c r="H1270" s="85">
        <f>STATS1003B!H1271/1000</f>
        <v>3018.3636099999999</v>
      </c>
      <c r="I1270" s="85">
        <f>STATS1003B!I1271/1000</f>
        <v>0</v>
      </c>
      <c r="J1270" s="85">
        <f>STATS1003B!J1271/1000</f>
        <v>0</v>
      </c>
      <c r="K1270" s="85">
        <f>STATS1003B!K1271/1000</f>
        <v>0</v>
      </c>
      <c r="L1270" s="85">
        <f>STATS1003B!L1271/1000</f>
        <v>0</v>
      </c>
      <c r="M1270" s="85">
        <f>STATS1003B!M1271/1000</f>
        <v>3018.3636099999999</v>
      </c>
      <c r="N1270" s="85">
        <f>STATS1003B!N1271/1000</f>
        <v>0</v>
      </c>
      <c r="O1270" s="85">
        <f>STATS1003B!O1271/1000</f>
        <v>0</v>
      </c>
      <c r="P1270" s="85">
        <f>STATS1003B!P1271/1000</f>
        <v>0</v>
      </c>
      <c r="Q1270" s="85">
        <f>STATS1003B!Q1271/1000</f>
        <v>0</v>
      </c>
      <c r="R1270" s="85">
        <f>STATS1003B!R1271/1000</f>
        <v>0</v>
      </c>
      <c r="S1270" s="85">
        <f>STATS1003B!S1271/1000</f>
        <v>0</v>
      </c>
      <c r="T1270" s="85">
        <f>STATS1003B!T1271/1000</f>
        <v>0</v>
      </c>
      <c r="U1270" s="85">
        <f>STATS1003B!U1271/1000</f>
        <v>0</v>
      </c>
      <c r="V1270" s="85">
        <f>STATS1003B!V1271/1000</f>
        <v>3018.3636099999999</v>
      </c>
      <c r="W1270" s="85">
        <f>STATS1003B!W1271/1000</f>
        <v>0</v>
      </c>
      <c r="X1270" s="85">
        <f t="shared" si="151"/>
        <v>3018.3636099999999</v>
      </c>
      <c r="Y1270" s="85">
        <f>STATS1003B!Y1271/1000</f>
        <v>0</v>
      </c>
      <c r="Z1270" s="85">
        <f t="shared" si="154"/>
        <v>0</v>
      </c>
      <c r="AA1270" s="69">
        <f>STATS1003B!AA1271/1000</f>
        <v>3018.3636099999999</v>
      </c>
      <c r="AB1270" s="69">
        <f>STATS1003B!AB1271/1000</f>
        <v>0</v>
      </c>
    </row>
    <row r="1271" spans="1:28" hidden="1" x14ac:dyDescent="0.3">
      <c r="A1271" s="117"/>
      <c r="C1271" s="68" t="s">
        <v>569</v>
      </c>
      <c r="E1271" s="85">
        <f>STATS1003B!E1272/1000</f>
        <v>1183.806</v>
      </c>
      <c r="F1271" s="85">
        <f>STATS1003B!F1272/1000</f>
        <v>1183.806</v>
      </c>
      <c r="G1271" s="85">
        <f>STATS1003B!G1272/1000</f>
        <v>0</v>
      </c>
      <c r="H1271" s="85">
        <f>STATS1003B!H1272/1000</f>
        <v>1183.806</v>
      </c>
      <c r="I1271" s="85">
        <f>STATS1003B!I1272/1000</f>
        <v>0</v>
      </c>
      <c r="J1271" s="85">
        <f>STATS1003B!J1272/1000</f>
        <v>1183.806</v>
      </c>
      <c r="K1271" s="85">
        <f>STATS1003B!K1272/1000</f>
        <v>0</v>
      </c>
      <c r="L1271" s="85">
        <f>STATS1003B!L1272/1000</f>
        <v>0</v>
      </c>
      <c r="M1271" s="85">
        <f>STATS1003B!M1272/1000</f>
        <v>1183.806</v>
      </c>
      <c r="N1271" s="85">
        <f>STATS1003B!N1272/1000</f>
        <v>0</v>
      </c>
      <c r="O1271" s="85">
        <f>STATS1003B!O1272/1000</f>
        <v>0</v>
      </c>
      <c r="P1271" s="85">
        <f>STATS1003B!P1272/1000</f>
        <v>0</v>
      </c>
      <c r="Q1271" s="85">
        <f>STATS1003B!Q1272/1000</f>
        <v>1183.806</v>
      </c>
      <c r="R1271" s="85">
        <f>STATS1003B!R1272/1000</f>
        <v>0</v>
      </c>
      <c r="S1271" s="85">
        <f>STATS1003B!S1272/1000</f>
        <v>0</v>
      </c>
      <c r="T1271" s="85">
        <f>STATS1003B!T1272/1000</f>
        <v>0</v>
      </c>
      <c r="U1271" s="85">
        <f>STATS1003B!U1272/1000</f>
        <v>0</v>
      </c>
      <c r="V1271" s="85">
        <f>STATS1003B!V1272/1000</f>
        <v>1183.806</v>
      </c>
      <c r="W1271" s="85">
        <f>STATS1003B!W1272/1000</f>
        <v>0</v>
      </c>
      <c r="X1271" s="85">
        <f t="shared" si="151"/>
        <v>1183.806</v>
      </c>
      <c r="Y1271" s="85">
        <f>STATS1003B!Y1272/1000</f>
        <v>0</v>
      </c>
      <c r="Z1271" s="85">
        <f t="shared" si="154"/>
        <v>0</v>
      </c>
      <c r="AA1271" s="69">
        <f>STATS1003B!AA1272/1000</f>
        <v>1183.806</v>
      </c>
      <c r="AB1271" s="69">
        <f>STATS1003B!AB1272/1000</f>
        <v>0</v>
      </c>
    </row>
    <row r="1272" spans="1:28" hidden="1" x14ac:dyDescent="0.3">
      <c r="A1272" s="117"/>
      <c r="C1272" s="68" t="s">
        <v>694</v>
      </c>
      <c r="E1272" s="85">
        <f>STATS1003B!E1273/1000</f>
        <v>400</v>
      </c>
      <c r="F1272" s="85">
        <f>STATS1003B!F1273/1000</f>
        <v>400</v>
      </c>
      <c r="G1272" s="85">
        <f>STATS1003B!G1273/1000</f>
        <v>0</v>
      </c>
      <c r="H1272" s="85">
        <f>STATS1003B!H1273/1000</f>
        <v>400</v>
      </c>
      <c r="I1272" s="85">
        <f>STATS1003B!I1273/1000</f>
        <v>0</v>
      </c>
      <c r="J1272" s="85">
        <f>STATS1003B!J1273/1000</f>
        <v>400</v>
      </c>
      <c r="K1272" s="85">
        <f>STATS1003B!K1273/1000</f>
        <v>0</v>
      </c>
      <c r="L1272" s="85">
        <f>STATS1003B!L1273/1000</f>
        <v>0</v>
      </c>
      <c r="M1272" s="85">
        <f>STATS1003B!M1273/1000</f>
        <v>400</v>
      </c>
      <c r="N1272" s="85">
        <f>STATS1003B!N1273/1000</f>
        <v>0</v>
      </c>
      <c r="O1272" s="85">
        <f>STATS1003B!O1273/1000</f>
        <v>0</v>
      </c>
      <c r="P1272" s="85">
        <f>STATS1003B!P1273/1000</f>
        <v>0</v>
      </c>
      <c r="Q1272" s="85">
        <f>STATS1003B!Q1273/1000</f>
        <v>400</v>
      </c>
      <c r="R1272" s="85">
        <f>STATS1003B!R1273/1000</f>
        <v>0</v>
      </c>
      <c r="S1272" s="85">
        <f>STATS1003B!S1273/1000</f>
        <v>0</v>
      </c>
      <c r="T1272" s="85">
        <f>STATS1003B!T1273/1000</f>
        <v>0</v>
      </c>
      <c r="U1272" s="85">
        <f>STATS1003B!U1273/1000</f>
        <v>0</v>
      </c>
      <c r="V1272" s="85">
        <f>STATS1003B!V1273/1000</f>
        <v>400</v>
      </c>
      <c r="W1272" s="85">
        <f>STATS1003B!W1273/1000</f>
        <v>0</v>
      </c>
      <c r="X1272" s="85">
        <f t="shared" si="151"/>
        <v>400</v>
      </c>
      <c r="Y1272" s="85">
        <f>STATS1003B!Y1273/1000</f>
        <v>0</v>
      </c>
      <c r="Z1272" s="85">
        <f t="shared" si="154"/>
        <v>0</v>
      </c>
      <c r="AA1272" s="69">
        <f>STATS1003B!AA1273/1000</f>
        <v>400</v>
      </c>
      <c r="AB1272" s="69">
        <f>STATS1003B!AB1273/1000</f>
        <v>0</v>
      </c>
    </row>
    <row r="1273" spans="1:28" hidden="1" x14ac:dyDescent="0.3">
      <c r="A1273" s="117"/>
      <c r="C1273" s="68" t="s">
        <v>1216</v>
      </c>
      <c r="D1273" s="91" t="s">
        <v>1126</v>
      </c>
      <c r="E1273" s="85">
        <f>STATS1003B!E1274/1000</f>
        <v>56.434330000000003</v>
      </c>
      <c r="F1273" s="85">
        <f>STATS1003B!F1274/1000</f>
        <v>56.434330000000003</v>
      </c>
      <c r="G1273" s="85">
        <f>STATS1003B!G1274/1000</f>
        <v>0</v>
      </c>
      <c r="H1273" s="85">
        <f>STATS1003B!H1274/1000</f>
        <v>56.434330000000003</v>
      </c>
      <c r="I1273" s="85">
        <f>STATS1003B!I1274/1000</f>
        <v>0</v>
      </c>
      <c r="J1273" s="85">
        <f>STATS1003B!J1274/1000</f>
        <v>56.434330000000003</v>
      </c>
      <c r="K1273" s="85">
        <f>STATS1003B!K1274/1000</f>
        <v>0</v>
      </c>
      <c r="L1273" s="85">
        <f>STATS1003B!L1274/1000</f>
        <v>0</v>
      </c>
      <c r="M1273" s="85">
        <f>STATS1003B!M1274/1000</f>
        <v>56.434330000000003</v>
      </c>
      <c r="N1273" s="85">
        <f>STATS1003B!N1274/1000</f>
        <v>0</v>
      </c>
      <c r="O1273" s="85">
        <f>STATS1003B!O1274/1000</f>
        <v>0</v>
      </c>
      <c r="P1273" s="85">
        <f>STATS1003B!P1274/1000</f>
        <v>0</v>
      </c>
      <c r="Q1273" s="85">
        <f>STATS1003B!Q1274/1000</f>
        <v>56.434330000000003</v>
      </c>
      <c r="R1273" s="85">
        <f>STATS1003B!R1274/1000</f>
        <v>0</v>
      </c>
      <c r="S1273" s="85">
        <f>STATS1003B!S1274/1000</f>
        <v>0</v>
      </c>
      <c r="T1273" s="85">
        <f>STATS1003B!T1274/1000</f>
        <v>0</v>
      </c>
      <c r="U1273" s="85">
        <f>STATS1003B!U1274/1000</f>
        <v>0</v>
      </c>
      <c r="V1273" s="85">
        <f>STATS1003B!V1274/1000</f>
        <v>56.434330000000003</v>
      </c>
      <c r="W1273" s="85">
        <f>STATS1003B!W1274/1000</f>
        <v>0</v>
      </c>
      <c r="X1273" s="85">
        <f t="shared" si="151"/>
        <v>56.434330000000003</v>
      </c>
      <c r="Y1273" s="85">
        <f>STATS1003B!Y1274/1000</f>
        <v>0</v>
      </c>
      <c r="Z1273" s="85">
        <f t="shared" si="154"/>
        <v>0</v>
      </c>
      <c r="AA1273" s="69">
        <f>STATS1003B!AA1274/1000</f>
        <v>56.434330000000003</v>
      </c>
      <c r="AB1273" s="69">
        <f>STATS1003B!AB1274/1000</f>
        <v>0</v>
      </c>
    </row>
    <row r="1274" spans="1:28" hidden="1" x14ac:dyDescent="0.3">
      <c r="A1274" s="117"/>
      <c r="C1274" s="68" t="s">
        <v>929</v>
      </c>
      <c r="E1274" s="85">
        <f>STATS1003B!E1275/1000</f>
        <v>489</v>
      </c>
      <c r="F1274" s="85">
        <f>STATS1003B!F1275/1000</f>
        <v>489</v>
      </c>
      <c r="G1274" s="85">
        <f>STATS1003B!G1275/1000</f>
        <v>0</v>
      </c>
      <c r="H1274" s="85">
        <f>STATS1003B!H1275/1000</f>
        <v>489</v>
      </c>
      <c r="I1274" s="85">
        <f>STATS1003B!I1275/1000</f>
        <v>0</v>
      </c>
      <c r="J1274" s="85">
        <f>STATS1003B!J1275/1000</f>
        <v>0</v>
      </c>
      <c r="K1274" s="85">
        <f>STATS1003B!K1275/1000</f>
        <v>0</v>
      </c>
      <c r="L1274" s="85">
        <f>STATS1003B!L1275/1000</f>
        <v>0</v>
      </c>
      <c r="M1274" s="85">
        <f>STATS1003B!M1275/1000</f>
        <v>489</v>
      </c>
      <c r="N1274" s="85">
        <f>STATS1003B!N1275/1000</f>
        <v>0</v>
      </c>
      <c r="O1274" s="85">
        <f>STATS1003B!O1275/1000</f>
        <v>0</v>
      </c>
      <c r="P1274" s="85">
        <f>STATS1003B!P1275/1000</f>
        <v>0</v>
      </c>
      <c r="Q1274" s="85">
        <f>STATS1003B!Q1275/1000</f>
        <v>0</v>
      </c>
      <c r="R1274" s="85">
        <f>STATS1003B!R1275/1000</f>
        <v>0</v>
      </c>
      <c r="S1274" s="85">
        <f>STATS1003B!S1275/1000</f>
        <v>0</v>
      </c>
      <c r="T1274" s="85">
        <f>STATS1003B!T1275/1000</f>
        <v>0</v>
      </c>
      <c r="U1274" s="85">
        <f>STATS1003B!U1275/1000</f>
        <v>0</v>
      </c>
      <c r="V1274" s="85">
        <f>STATS1003B!V1275/1000</f>
        <v>0</v>
      </c>
      <c r="W1274" s="85">
        <f>STATS1003B!W1275/1000</f>
        <v>0</v>
      </c>
      <c r="X1274" s="85">
        <f t="shared" si="151"/>
        <v>489</v>
      </c>
      <c r="Y1274" s="85">
        <f>STATS1003B!Y1275/1000</f>
        <v>0</v>
      </c>
      <c r="Z1274" s="85">
        <f t="shared" si="154"/>
        <v>0</v>
      </c>
      <c r="AA1274" s="69">
        <f>STATS1003B!AA1275/1000</f>
        <v>489</v>
      </c>
      <c r="AB1274" s="69">
        <f>STATS1003B!AB1275/1000</f>
        <v>0</v>
      </c>
    </row>
    <row r="1275" spans="1:28" hidden="1" x14ac:dyDescent="0.3">
      <c r="A1275" s="117"/>
      <c r="C1275" s="68" t="s">
        <v>1258</v>
      </c>
      <c r="D1275" s="91" t="s">
        <v>1126</v>
      </c>
      <c r="E1275" s="85">
        <f>STATS1003B!E1276/1000</f>
        <v>508</v>
      </c>
      <c r="F1275" s="85">
        <f>STATS1003B!F1276/1000</f>
        <v>508</v>
      </c>
      <c r="G1275" s="85">
        <f>STATS1003B!G1276/1000</f>
        <v>0</v>
      </c>
      <c r="H1275" s="85">
        <f>STATS1003B!H1276/1000</f>
        <v>508</v>
      </c>
      <c r="I1275" s="85">
        <f>STATS1003B!I1276/1000</f>
        <v>0</v>
      </c>
      <c r="J1275" s="85">
        <f>STATS1003B!J1276/1000</f>
        <v>0</v>
      </c>
      <c r="K1275" s="85">
        <f>STATS1003B!K1276/1000</f>
        <v>0</v>
      </c>
      <c r="L1275" s="85">
        <f>STATS1003B!L1276/1000</f>
        <v>0</v>
      </c>
      <c r="M1275" s="85">
        <f>STATS1003B!M1276/1000</f>
        <v>508</v>
      </c>
      <c r="N1275" s="85">
        <f>STATS1003B!N1276/1000</f>
        <v>0</v>
      </c>
      <c r="O1275" s="85">
        <f>STATS1003B!O1276/1000</f>
        <v>0</v>
      </c>
      <c r="P1275" s="85">
        <f>STATS1003B!P1276/1000</f>
        <v>0</v>
      </c>
      <c r="Q1275" s="85">
        <f>STATS1003B!Q1276/1000</f>
        <v>0</v>
      </c>
      <c r="R1275" s="85">
        <f>STATS1003B!R1276/1000</f>
        <v>0</v>
      </c>
      <c r="S1275" s="85">
        <f>STATS1003B!S1276/1000</f>
        <v>0</v>
      </c>
      <c r="T1275" s="85">
        <f>STATS1003B!T1276/1000</f>
        <v>0</v>
      </c>
      <c r="U1275" s="85">
        <f>STATS1003B!U1276/1000</f>
        <v>0</v>
      </c>
      <c r="V1275" s="85">
        <f>STATS1003B!V1276/1000</f>
        <v>0</v>
      </c>
      <c r="W1275" s="85">
        <f>STATS1003B!W1276/1000</f>
        <v>0</v>
      </c>
      <c r="X1275" s="85">
        <f t="shared" si="151"/>
        <v>508</v>
      </c>
      <c r="Y1275" s="85">
        <f>STATS1003B!Y1276/1000</f>
        <v>0</v>
      </c>
      <c r="Z1275" s="85">
        <f t="shared" si="154"/>
        <v>0</v>
      </c>
      <c r="AA1275" s="69">
        <f>STATS1003B!AA1276/1000</f>
        <v>508</v>
      </c>
      <c r="AB1275" s="69">
        <f>STATS1003B!AB1276/1000</f>
        <v>0</v>
      </c>
    </row>
    <row r="1276" spans="1:28" hidden="1" x14ac:dyDescent="0.3">
      <c r="A1276" s="117"/>
      <c r="C1276" s="68" t="s">
        <v>1259</v>
      </c>
      <c r="D1276" s="91" t="s">
        <v>1225</v>
      </c>
      <c r="E1276" s="85">
        <f>STATS1003B!E1277/1000</f>
        <v>2196.4178900000002</v>
      </c>
      <c r="F1276" s="85">
        <f>STATS1003B!F1277/1000</f>
        <v>0</v>
      </c>
      <c r="G1276" s="85">
        <f>STATS1003B!G1277/1000</f>
        <v>2196.4178900000002</v>
      </c>
      <c r="H1276" s="85">
        <f>STATS1003B!H1277/1000</f>
        <v>2196.4178900000002</v>
      </c>
      <c r="I1276" s="85">
        <f>STATS1003B!I1277/1000</f>
        <v>0</v>
      </c>
      <c r="J1276" s="85">
        <f>STATS1003B!J1277/1000</f>
        <v>0</v>
      </c>
      <c r="K1276" s="85">
        <f>STATS1003B!K1277/1000</f>
        <v>0</v>
      </c>
      <c r="L1276" s="85">
        <f>STATS1003B!L1277/1000</f>
        <v>0</v>
      </c>
      <c r="M1276" s="85">
        <f>STATS1003B!M1277/1000</f>
        <v>2196.4178900000002</v>
      </c>
      <c r="N1276" s="85">
        <f>STATS1003B!N1277/1000</f>
        <v>0</v>
      </c>
      <c r="O1276" s="85">
        <f>STATS1003B!O1277/1000</f>
        <v>0</v>
      </c>
      <c r="P1276" s="85">
        <f>STATS1003B!P1277/1000</f>
        <v>0</v>
      </c>
      <c r="Q1276" s="85">
        <f>STATS1003B!Q1277/1000</f>
        <v>0</v>
      </c>
      <c r="R1276" s="85">
        <f>STATS1003B!R1277/1000</f>
        <v>0</v>
      </c>
      <c r="S1276" s="85">
        <f>STATS1003B!S1277/1000</f>
        <v>0</v>
      </c>
      <c r="T1276" s="85">
        <f>STATS1003B!T1277/1000</f>
        <v>0</v>
      </c>
      <c r="U1276" s="85">
        <f>STATS1003B!U1277/1000</f>
        <v>0</v>
      </c>
      <c r="V1276" s="85">
        <f>STATS1003B!V1277/1000</f>
        <v>0</v>
      </c>
      <c r="W1276" s="85">
        <f>STATS1003B!W1277/1000</f>
        <v>0</v>
      </c>
      <c r="X1276" s="85">
        <f t="shared" si="151"/>
        <v>2196.4178900000002</v>
      </c>
      <c r="Y1276" s="85">
        <f>STATS1003B!Y1277/1000</f>
        <v>0</v>
      </c>
      <c r="Z1276" s="85">
        <f t="shared" si="154"/>
        <v>0</v>
      </c>
      <c r="AA1276" s="69">
        <f>STATS1003B!AA1277/1000</f>
        <v>2196.4178900000002</v>
      </c>
      <c r="AB1276" s="69">
        <f>STATS1003B!AB1277/1000</f>
        <v>0</v>
      </c>
    </row>
    <row r="1277" spans="1:28" hidden="1" x14ac:dyDescent="0.3">
      <c r="A1277" s="117"/>
      <c r="C1277" s="68" t="s">
        <v>1240</v>
      </c>
      <c r="D1277" s="91" t="s">
        <v>1225</v>
      </c>
      <c r="E1277" s="85">
        <f>STATS1003B!E1278/1000</f>
        <v>1424.39409</v>
      </c>
      <c r="F1277" s="85">
        <f>STATS1003B!F1278/1000</f>
        <v>1424.39409</v>
      </c>
      <c r="G1277" s="85">
        <f>STATS1003B!G1278/1000</f>
        <v>0</v>
      </c>
      <c r="H1277" s="85">
        <f>STATS1003B!H1278/1000</f>
        <v>1424.39409</v>
      </c>
      <c r="I1277" s="85">
        <f>STATS1003B!I1278/1000</f>
        <v>0</v>
      </c>
      <c r="J1277" s="85">
        <f>STATS1003B!J1278/1000</f>
        <v>0</v>
      </c>
      <c r="K1277" s="85">
        <f>STATS1003B!K1278/1000</f>
        <v>0</v>
      </c>
      <c r="L1277" s="85">
        <f>STATS1003B!L1278/1000</f>
        <v>0</v>
      </c>
      <c r="M1277" s="85">
        <f>STATS1003B!M1278/1000</f>
        <v>1424.39409</v>
      </c>
      <c r="N1277" s="85">
        <f>STATS1003B!N1278/1000</f>
        <v>0</v>
      </c>
      <c r="O1277" s="85">
        <f>STATS1003B!O1278/1000</f>
        <v>0</v>
      </c>
      <c r="P1277" s="85">
        <f>STATS1003B!P1278/1000</f>
        <v>0</v>
      </c>
      <c r="Q1277" s="85">
        <f>STATS1003B!Q1278/1000</f>
        <v>0</v>
      </c>
      <c r="R1277" s="85">
        <f>STATS1003B!R1278/1000</f>
        <v>0</v>
      </c>
      <c r="S1277" s="85">
        <f>STATS1003B!S1278/1000</f>
        <v>0</v>
      </c>
      <c r="T1277" s="85">
        <f>STATS1003B!T1278/1000</f>
        <v>0</v>
      </c>
      <c r="U1277" s="85">
        <f>STATS1003B!U1278/1000</f>
        <v>0</v>
      </c>
      <c r="V1277" s="85">
        <f>STATS1003B!V1278/1000</f>
        <v>0</v>
      </c>
      <c r="W1277" s="85">
        <f>STATS1003B!W1278/1000</f>
        <v>0</v>
      </c>
      <c r="X1277" s="85">
        <f t="shared" si="151"/>
        <v>1424.39409</v>
      </c>
      <c r="Y1277" s="85">
        <f>STATS1003B!Y1278/1000</f>
        <v>0</v>
      </c>
      <c r="Z1277" s="85">
        <f t="shared" si="154"/>
        <v>0</v>
      </c>
      <c r="AA1277" s="69">
        <f>STATS1003B!AA1278/1000</f>
        <v>1424.39409</v>
      </c>
      <c r="AB1277" s="69">
        <f>STATS1003B!AB1278/1000</f>
        <v>0</v>
      </c>
    </row>
    <row r="1278" spans="1:28" hidden="1" x14ac:dyDescent="0.3">
      <c r="A1278" s="117"/>
      <c r="C1278" s="98" t="s">
        <v>1206</v>
      </c>
      <c r="D1278" s="91" t="s">
        <v>1126</v>
      </c>
      <c r="E1278" s="85">
        <f>STATS1003B!E1279/1000</f>
        <v>486.21085999999997</v>
      </c>
      <c r="F1278" s="85">
        <f>STATS1003B!F1279/1000</f>
        <v>486.21085999999997</v>
      </c>
      <c r="G1278" s="85">
        <f>STATS1003B!G1279/1000</f>
        <v>0</v>
      </c>
      <c r="H1278" s="85">
        <f>STATS1003B!H1279/1000</f>
        <v>486.21085999999997</v>
      </c>
      <c r="I1278" s="85">
        <f>STATS1003B!I1279/1000</f>
        <v>0</v>
      </c>
      <c r="J1278" s="85">
        <f>STATS1003B!J1279/1000</f>
        <v>0</v>
      </c>
      <c r="K1278" s="85">
        <f>STATS1003B!K1279/1000</f>
        <v>0</v>
      </c>
      <c r="L1278" s="85">
        <f>STATS1003B!L1279/1000</f>
        <v>0</v>
      </c>
      <c r="M1278" s="85">
        <f>STATS1003B!M1279/1000</f>
        <v>486.21085999999997</v>
      </c>
      <c r="N1278" s="85">
        <f>STATS1003B!N1279/1000</f>
        <v>0</v>
      </c>
      <c r="O1278" s="85">
        <f>STATS1003B!O1279/1000</f>
        <v>0</v>
      </c>
      <c r="P1278" s="85">
        <f>STATS1003B!P1279/1000</f>
        <v>0</v>
      </c>
      <c r="Q1278" s="85">
        <f>STATS1003B!Q1279/1000</f>
        <v>0</v>
      </c>
      <c r="R1278" s="85">
        <f>STATS1003B!R1279/1000</f>
        <v>0</v>
      </c>
      <c r="S1278" s="85">
        <f>STATS1003B!S1279/1000</f>
        <v>0</v>
      </c>
      <c r="T1278" s="85">
        <f>STATS1003B!T1279/1000</f>
        <v>0</v>
      </c>
      <c r="U1278" s="85">
        <f>STATS1003B!U1279/1000</f>
        <v>0</v>
      </c>
      <c r="V1278" s="85">
        <f>STATS1003B!V1279/1000</f>
        <v>0</v>
      </c>
      <c r="W1278" s="85">
        <f>STATS1003B!W1279/1000</f>
        <v>0</v>
      </c>
      <c r="X1278" s="85">
        <f t="shared" ref="X1278:X1341" si="155">+H1278+P1278</f>
        <v>486.21085999999997</v>
      </c>
      <c r="Y1278" s="85">
        <f>STATS1003B!Y1279/1000</f>
        <v>0</v>
      </c>
      <c r="Z1278" s="85">
        <f t="shared" si="154"/>
        <v>0</v>
      </c>
      <c r="AA1278" s="69">
        <f>STATS1003B!AA1279/1000</f>
        <v>486.21085999999997</v>
      </c>
      <c r="AB1278" s="69">
        <f>STATS1003B!AB1279/1000</f>
        <v>0</v>
      </c>
    </row>
    <row r="1279" spans="1:28" hidden="1" x14ac:dyDescent="0.3">
      <c r="A1279" s="117"/>
      <c r="C1279" s="68" t="s">
        <v>678</v>
      </c>
      <c r="D1279" s="99"/>
      <c r="E1279" s="85">
        <f>STATS1003B!E1280/1000</f>
        <v>6332.9068799999995</v>
      </c>
      <c r="F1279" s="85">
        <f>STATS1003B!F1280/1000</f>
        <v>6332.9068799999995</v>
      </c>
      <c r="G1279" s="85">
        <f>STATS1003B!G1280/1000</f>
        <v>0</v>
      </c>
      <c r="H1279" s="85">
        <f>STATS1003B!H1280/1000</f>
        <v>6332.9068799999995</v>
      </c>
      <c r="I1279" s="85">
        <f>STATS1003B!I1280/1000</f>
        <v>0</v>
      </c>
      <c r="J1279" s="85">
        <f>STATS1003B!J1280/1000</f>
        <v>6332.9068799999995</v>
      </c>
      <c r="K1279" s="85">
        <f>STATS1003B!K1280/1000</f>
        <v>0</v>
      </c>
      <c r="L1279" s="85">
        <f>STATS1003B!L1280/1000</f>
        <v>0</v>
      </c>
      <c r="M1279" s="85">
        <f>STATS1003B!M1280/1000</f>
        <v>6332.9068799999995</v>
      </c>
      <c r="N1279" s="85">
        <f>STATS1003B!N1280/1000</f>
        <v>0</v>
      </c>
      <c r="O1279" s="85">
        <f>STATS1003B!O1280/1000</f>
        <v>0</v>
      </c>
      <c r="P1279" s="85">
        <f>STATS1003B!P1280/1000</f>
        <v>0</v>
      </c>
      <c r="Q1279" s="85">
        <f>STATS1003B!Q1280/1000</f>
        <v>6332.9068799999995</v>
      </c>
      <c r="R1279" s="85">
        <f>STATS1003B!R1280/1000</f>
        <v>0</v>
      </c>
      <c r="S1279" s="85">
        <f>STATS1003B!S1280/1000</f>
        <v>0</v>
      </c>
      <c r="T1279" s="85">
        <f>STATS1003B!T1280/1000</f>
        <v>0</v>
      </c>
      <c r="U1279" s="85">
        <f>STATS1003B!U1280/1000</f>
        <v>0</v>
      </c>
      <c r="V1279" s="85">
        <f>STATS1003B!V1280/1000</f>
        <v>6332.9068799999995</v>
      </c>
      <c r="W1279" s="85">
        <f>STATS1003B!W1280/1000</f>
        <v>0</v>
      </c>
      <c r="X1279" s="85">
        <f t="shared" si="155"/>
        <v>6332.9068799999995</v>
      </c>
      <c r="Y1279" s="85">
        <f>STATS1003B!Y1280/1000</f>
        <v>0</v>
      </c>
      <c r="Z1279" s="85">
        <f t="shared" si="154"/>
        <v>0</v>
      </c>
      <c r="AA1279" s="69">
        <f>STATS1003B!AA1280/1000</f>
        <v>6332.9068799999995</v>
      </c>
      <c r="AB1279" s="69">
        <f>STATS1003B!AB1280/1000</f>
        <v>0</v>
      </c>
    </row>
    <row r="1280" spans="1:28" hidden="1" x14ac:dyDescent="0.3">
      <c r="A1280" s="117"/>
      <c r="E1280" s="86" t="s">
        <v>29</v>
      </c>
      <c r="F1280" s="86" t="s">
        <v>29</v>
      </c>
      <c r="G1280" s="86" t="s">
        <v>29</v>
      </c>
      <c r="H1280" s="86" t="s">
        <v>29</v>
      </c>
      <c r="I1280" s="86" t="s">
        <v>29</v>
      </c>
      <c r="J1280" s="86" t="s">
        <v>29</v>
      </c>
      <c r="K1280" s="86" t="s">
        <v>29</v>
      </c>
      <c r="L1280" s="86" t="s">
        <v>29</v>
      </c>
      <c r="M1280" s="86" t="s">
        <v>29</v>
      </c>
      <c r="N1280" s="86" t="s">
        <v>29</v>
      </c>
      <c r="O1280" s="86" t="s">
        <v>29</v>
      </c>
      <c r="P1280" s="86" t="s">
        <v>29</v>
      </c>
      <c r="Q1280" s="86" t="s">
        <v>29</v>
      </c>
      <c r="R1280" s="86" t="s">
        <v>29</v>
      </c>
      <c r="S1280" s="86" t="s">
        <v>29</v>
      </c>
      <c r="T1280" s="86" t="s">
        <v>29</v>
      </c>
      <c r="U1280" s="86" t="s">
        <v>29</v>
      </c>
      <c r="V1280" s="86" t="s">
        <v>29</v>
      </c>
      <c r="W1280" s="86" t="s">
        <v>29</v>
      </c>
      <c r="X1280" s="85" t="e">
        <f t="shared" si="155"/>
        <v>#VALUE!</v>
      </c>
      <c r="Y1280" s="86" t="s">
        <v>29</v>
      </c>
      <c r="Z1280" s="85" t="e">
        <f t="shared" si="154"/>
        <v>#VALUE!</v>
      </c>
      <c r="AA1280" s="115" t="s">
        <v>29</v>
      </c>
      <c r="AB1280" s="115" t="s">
        <v>29</v>
      </c>
    </row>
    <row r="1281" spans="1:28" x14ac:dyDescent="0.3">
      <c r="A1281" s="116">
        <v>58</v>
      </c>
      <c r="B1281" s="68" t="s">
        <v>685</v>
      </c>
      <c r="E1281" s="85">
        <f>146557410.21/1000</f>
        <v>146557.41021</v>
      </c>
      <c r="F1281" s="85">
        <f t="shared" ref="F1281:Q1281" si="156">SUM(F1247:F1280)</f>
        <v>50818.542529999992</v>
      </c>
      <c r="G1281" s="85">
        <f t="shared" si="156"/>
        <v>2196.4178900000002</v>
      </c>
      <c r="H1281" s="85">
        <f>141667585.12/1000</f>
        <v>141667.58512</v>
      </c>
      <c r="I1281" s="85">
        <f t="shared" si="156"/>
        <v>0</v>
      </c>
      <c r="J1281" s="85">
        <f t="shared" si="156"/>
        <v>44892.57396999999</v>
      </c>
      <c r="K1281" s="85">
        <f t="shared" si="156"/>
        <v>4889.8250900000003</v>
      </c>
      <c r="L1281" s="85">
        <f t="shared" si="156"/>
        <v>0</v>
      </c>
      <c r="M1281" s="85">
        <f t="shared" si="156"/>
        <v>53014.960419999989</v>
      </c>
      <c r="N1281" s="85">
        <f t="shared" si="156"/>
        <v>4889.8250900000003</v>
      </c>
      <c r="O1281" s="85">
        <f t="shared" si="156"/>
        <v>0</v>
      </c>
      <c r="P1281" s="85">
        <f>4889825/1000</f>
        <v>4889.8249999999998</v>
      </c>
      <c r="Q1281" s="85">
        <f t="shared" si="156"/>
        <v>44892.57396999999</v>
      </c>
      <c r="R1281" s="86"/>
      <c r="S1281" s="86"/>
      <c r="T1281" s="85">
        <f t="shared" ref="T1281:Y1281" si="157">SUM(T1247:T1280)</f>
        <v>0</v>
      </c>
      <c r="U1281" s="85">
        <f t="shared" si="157"/>
        <v>4889.8250900000003</v>
      </c>
      <c r="V1281" s="85">
        <f t="shared" si="157"/>
        <v>52800.762669999996</v>
      </c>
      <c r="W1281" s="85">
        <f t="shared" si="157"/>
        <v>0</v>
      </c>
      <c r="X1281" s="85">
        <f>+H1281+P1281</f>
        <v>146557.41012000002</v>
      </c>
      <c r="Y1281" s="85">
        <f t="shared" si="157"/>
        <v>0</v>
      </c>
      <c r="Z1281" s="85">
        <f t="shared" si="154"/>
        <v>8.9999986812472343E-5</v>
      </c>
      <c r="AA1281" s="69">
        <f>SUM(AA1247:AA1280)</f>
        <v>57904.785509999994</v>
      </c>
      <c r="AB1281" s="69">
        <f>SUM(AB1247:AB1280)</f>
        <v>0</v>
      </c>
    </row>
    <row r="1282" spans="1:28" hidden="1" x14ac:dyDescent="0.3">
      <c r="A1282" s="117"/>
      <c r="E1282" s="86" t="s">
        <v>29</v>
      </c>
      <c r="F1282" s="86" t="s">
        <v>29</v>
      </c>
      <c r="G1282" s="86" t="s">
        <v>29</v>
      </c>
      <c r="H1282" s="86" t="s">
        <v>29</v>
      </c>
      <c r="I1282" s="86" t="s">
        <v>29</v>
      </c>
      <c r="J1282" s="86" t="s">
        <v>29</v>
      </c>
      <c r="K1282" s="86" t="s">
        <v>29</v>
      </c>
      <c r="L1282" s="86" t="s">
        <v>29</v>
      </c>
      <c r="M1282" s="86" t="s">
        <v>29</v>
      </c>
      <c r="N1282" s="86" t="s">
        <v>29</v>
      </c>
      <c r="O1282" s="86" t="s">
        <v>29</v>
      </c>
      <c r="P1282" s="86" t="s">
        <v>29</v>
      </c>
      <c r="Q1282" s="86" t="s">
        <v>29</v>
      </c>
      <c r="R1282" s="86" t="s">
        <v>29</v>
      </c>
      <c r="S1282" s="86" t="s">
        <v>29</v>
      </c>
      <c r="T1282" s="86" t="s">
        <v>29</v>
      </c>
      <c r="U1282" s="86" t="s">
        <v>29</v>
      </c>
      <c r="V1282" s="86" t="s">
        <v>29</v>
      </c>
      <c r="W1282" s="86" t="s">
        <v>29</v>
      </c>
      <c r="X1282" s="85" t="e">
        <f t="shared" si="155"/>
        <v>#VALUE!</v>
      </c>
      <c r="Y1282" s="86" t="s">
        <v>29</v>
      </c>
      <c r="Z1282" s="85" t="e">
        <f t="shared" si="154"/>
        <v>#VALUE!</v>
      </c>
      <c r="AA1282" s="115" t="s">
        <v>29</v>
      </c>
      <c r="AB1282" s="115" t="s">
        <v>29</v>
      </c>
    </row>
    <row r="1283" spans="1:28" hidden="1" x14ac:dyDescent="0.3">
      <c r="A1283" s="105"/>
      <c r="E1283" s="84"/>
      <c r="F1283" s="84"/>
      <c r="G1283" s="84"/>
      <c r="H1283" s="84"/>
      <c r="I1283" s="84"/>
      <c r="J1283" s="84"/>
      <c r="K1283" s="84"/>
      <c r="L1283" s="84"/>
      <c r="M1283" s="84"/>
      <c r="N1283" s="84"/>
      <c r="O1283" s="84"/>
      <c r="P1283" s="84"/>
      <c r="Q1283" s="84"/>
      <c r="R1283" s="86"/>
      <c r="S1283" s="86"/>
      <c r="T1283" s="86"/>
      <c r="U1283" s="86"/>
      <c r="V1283" s="86"/>
      <c r="W1283" s="86"/>
      <c r="X1283" s="85">
        <f t="shared" si="155"/>
        <v>0</v>
      </c>
      <c r="Y1283" s="86"/>
      <c r="Z1283" s="85">
        <f t="shared" si="154"/>
        <v>0</v>
      </c>
    </row>
    <row r="1284" spans="1:28" hidden="1" x14ac:dyDescent="0.3">
      <c r="A1284" s="117"/>
      <c r="C1284" s="68" t="s">
        <v>539</v>
      </c>
      <c r="D1284" s="87" t="s">
        <v>68</v>
      </c>
      <c r="E1284" s="85">
        <f>STATS1003B!E1285/1000</f>
        <v>12810.063249999997</v>
      </c>
      <c r="F1284" s="85">
        <f>STATS1003B!F1285/1000</f>
        <v>0</v>
      </c>
      <c r="G1284" s="85">
        <f>STATS1003B!G1285/1000</f>
        <v>0</v>
      </c>
      <c r="H1284" s="85">
        <f>STATS1003B!H1285/1000</f>
        <v>0</v>
      </c>
      <c r="I1284" s="85">
        <f>STATS1003B!I1285/1000</f>
        <v>0</v>
      </c>
      <c r="J1284" s="85">
        <f>STATS1003B!J1285/1000</f>
        <v>0</v>
      </c>
      <c r="K1284" s="85">
        <f>STATS1003B!K1285/1000</f>
        <v>12810.063249999997</v>
      </c>
      <c r="L1284" s="85">
        <f>STATS1003B!L1285/1000</f>
        <v>0</v>
      </c>
      <c r="M1284" s="85">
        <f>STATS1003B!M1285/1000</f>
        <v>0</v>
      </c>
      <c r="N1284" s="85">
        <f>STATS1003B!N1285/1000</f>
        <v>12810.063249999999</v>
      </c>
      <c r="O1284" s="85">
        <f>STATS1003B!O1285/1000</f>
        <v>0</v>
      </c>
      <c r="P1284" s="85">
        <f>STATS1003B!P1285/1000</f>
        <v>12810.063249999999</v>
      </c>
      <c r="Q1284" s="85">
        <f>STATS1003B!Q1285/1000</f>
        <v>0</v>
      </c>
      <c r="R1284" s="85">
        <f>STATS1003B!R1285/1000</f>
        <v>0</v>
      </c>
      <c r="S1284" s="85">
        <f>STATS1003B!S1285/1000</f>
        <v>0</v>
      </c>
      <c r="T1284" s="85">
        <f>STATS1003B!T1285/1000</f>
        <v>0</v>
      </c>
      <c r="U1284" s="85">
        <f>STATS1003B!U1285/1000</f>
        <v>12810.063249999999</v>
      </c>
      <c r="V1284" s="85">
        <f>STATS1003B!V1285/1000</f>
        <v>12810.063249999999</v>
      </c>
      <c r="W1284" s="85">
        <f>STATS1003B!W1285/1000</f>
        <v>0</v>
      </c>
      <c r="X1284" s="85">
        <f t="shared" si="155"/>
        <v>12810.063249999999</v>
      </c>
      <c r="Y1284" s="85">
        <f>STATS1003B!Y1285/1000</f>
        <v>0</v>
      </c>
      <c r="Z1284" s="85">
        <f t="shared" si="154"/>
        <v>0</v>
      </c>
      <c r="AA1284" s="69">
        <f>STATS1003B!AA1285/1000</f>
        <v>12810.063249999999</v>
      </c>
      <c r="AB1284" s="69">
        <f>STATS1003B!AB1285/1000</f>
        <v>0</v>
      </c>
    </row>
    <row r="1285" spans="1:28" hidden="1" x14ac:dyDescent="0.3">
      <c r="A1285" s="117"/>
      <c r="C1285" s="68" t="s">
        <v>535</v>
      </c>
      <c r="D1285" s="87" t="s">
        <v>68</v>
      </c>
      <c r="E1285" s="85">
        <f>STATS1003B!E1286/1000</f>
        <v>1448.75</v>
      </c>
      <c r="F1285" s="85">
        <f>STATS1003B!F1286/1000</f>
        <v>910.32299999999998</v>
      </c>
      <c r="G1285" s="85">
        <f>STATS1003B!G1286/1000</f>
        <v>0</v>
      </c>
      <c r="H1285" s="85">
        <f>STATS1003B!H1286/1000</f>
        <v>910.32299999999998</v>
      </c>
      <c r="I1285" s="85">
        <f>STATS1003B!I1286/1000</f>
        <v>0</v>
      </c>
      <c r="J1285" s="85">
        <f>STATS1003B!J1286/1000</f>
        <v>910.32299999999998</v>
      </c>
      <c r="K1285" s="85">
        <f>STATS1003B!K1286/1000</f>
        <v>538.42700000000002</v>
      </c>
      <c r="L1285" s="85">
        <f>STATS1003B!L1286/1000</f>
        <v>0</v>
      </c>
      <c r="M1285" s="85">
        <f>STATS1003B!M1286/1000</f>
        <v>910.32299999999998</v>
      </c>
      <c r="N1285" s="85">
        <f>STATS1003B!N1286/1000</f>
        <v>538.42700000000002</v>
      </c>
      <c r="O1285" s="85">
        <f>STATS1003B!O1286/1000</f>
        <v>0</v>
      </c>
      <c r="P1285" s="85">
        <f>STATS1003B!P1286/1000</f>
        <v>538.42700000000002</v>
      </c>
      <c r="Q1285" s="85">
        <f>STATS1003B!Q1286/1000</f>
        <v>910.32299999999998</v>
      </c>
      <c r="R1285" s="85">
        <f>STATS1003B!R1286/1000</f>
        <v>0</v>
      </c>
      <c r="S1285" s="85">
        <f>STATS1003B!S1286/1000</f>
        <v>0</v>
      </c>
      <c r="T1285" s="85">
        <f>STATS1003B!T1286/1000</f>
        <v>0</v>
      </c>
      <c r="U1285" s="85">
        <f>STATS1003B!U1286/1000</f>
        <v>538.42700000000002</v>
      </c>
      <c r="V1285" s="85">
        <f>STATS1003B!V1286/1000</f>
        <v>1448.75</v>
      </c>
      <c r="W1285" s="85">
        <f>STATS1003B!W1286/1000</f>
        <v>0</v>
      </c>
      <c r="X1285" s="85">
        <f t="shared" si="155"/>
        <v>1448.75</v>
      </c>
      <c r="Y1285" s="85">
        <f>STATS1003B!Y1286/1000</f>
        <v>0</v>
      </c>
      <c r="Z1285" s="85">
        <f t="shared" si="154"/>
        <v>0</v>
      </c>
      <c r="AA1285" s="69">
        <f>STATS1003B!AA1286/1000</f>
        <v>1448.75</v>
      </c>
      <c r="AB1285" s="69">
        <f>STATS1003B!AB1286/1000</f>
        <v>0</v>
      </c>
    </row>
    <row r="1286" spans="1:28" hidden="1" x14ac:dyDescent="0.3">
      <c r="A1286" s="117"/>
      <c r="C1286" s="68" t="s">
        <v>535</v>
      </c>
      <c r="D1286" s="87" t="s">
        <v>54</v>
      </c>
      <c r="E1286" s="85">
        <f>STATS1003B!E1287/1000</f>
        <v>627</v>
      </c>
      <c r="F1286" s="85">
        <f>STATS1003B!F1287/1000</f>
        <v>467.17700000000002</v>
      </c>
      <c r="G1286" s="85">
        <f>STATS1003B!G1287/1000</f>
        <v>0</v>
      </c>
      <c r="H1286" s="85">
        <f>STATS1003B!H1287/1000</f>
        <v>467.17700000000002</v>
      </c>
      <c r="I1286" s="85">
        <f>STATS1003B!I1287/1000</f>
        <v>0</v>
      </c>
      <c r="J1286" s="85">
        <f>STATS1003B!J1287/1000</f>
        <v>467.17700000000002</v>
      </c>
      <c r="K1286" s="85">
        <f>STATS1003B!K1287/1000</f>
        <v>159.82300000000001</v>
      </c>
      <c r="L1286" s="85">
        <f>STATS1003B!L1287/1000</f>
        <v>0</v>
      </c>
      <c r="M1286" s="85">
        <f>STATS1003B!M1287/1000</f>
        <v>467.17700000000002</v>
      </c>
      <c r="N1286" s="85">
        <f>STATS1003B!N1287/1000</f>
        <v>159.82300000000001</v>
      </c>
      <c r="O1286" s="85">
        <f>STATS1003B!O1287/1000</f>
        <v>0</v>
      </c>
      <c r="P1286" s="85">
        <f>STATS1003B!P1287/1000</f>
        <v>159.82300000000001</v>
      </c>
      <c r="Q1286" s="85">
        <f>STATS1003B!Q1287/1000</f>
        <v>467.17700000000002</v>
      </c>
      <c r="R1286" s="85">
        <f>STATS1003B!R1287/1000</f>
        <v>0</v>
      </c>
      <c r="S1286" s="85">
        <f>STATS1003B!S1287/1000</f>
        <v>0</v>
      </c>
      <c r="T1286" s="85">
        <f>STATS1003B!T1287/1000</f>
        <v>0</v>
      </c>
      <c r="U1286" s="85">
        <f>STATS1003B!U1287/1000</f>
        <v>159.82300000000001</v>
      </c>
      <c r="V1286" s="85">
        <f>STATS1003B!V1287/1000</f>
        <v>627</v>
      </c>
      <c r="W1286" s="85">
        <f>STATS1003B!W1287/1000</f>
        <v>0</v>
      </c>
      <c r="X1286" s="85">
        <f t="shared" si="155"/>
        <v>627</v>
      </c>
      <c r="Y1286" s="85">
        <f>STATS1003B!Y1287/1000</f>
        <v>0</v>
      </c>
      <c r="Z1286" s="85">
        <f t="shared" si="154"/>
        <v>0</v>
      </c>
      <c r="AA1286" s="69">
        <f>STATS1003B!AA1287/1000</f>
        <v>627</v>
      </c>
      <c r="AB1286" s="69">
        <f>STATS1003B!AB1287/1000</f>
        <v>0</v>
      </c>
    </row>
    <row r="1287" spans="1:28" hidden="1" x14ac:dyDescent="0.3">
      <c r="A1287" s="117"/>
      <c r="C1287" s="68" t="s">
        <v>696</v>
      </c>
      <c r="D1287" s="87" t="s">
        <v>54</v>
      </c>
      <c r="E1287" s="85">
        <f>STATS1003B!E1288/1000</f>
        <v>285</v>
      </c>
      <c r="F1287" s="85">
        <f>STATS1003B!F1288/1000</f>
        <v>285</v>
      </c>
      <c r="G1287" s="85">
        <f>STATS1003B!G1288/1000</f>
        <v>0</v>
      </c>
      <c r="H1287" s="85">
        <f>STATS1003B!H1288/1000</f>
        <v>285</v>
      </c>
      <c r="I1287" s="85">
        <f>STATS1003B!I1288/1000</f>
        <v>0</v>
      </c>
      <c r="J1287" s="85">
        <f>STATS1003B!J1288/1000</f>
        <v>285</v>
      </c>
      <c r="K1287" s="85">
        <f>STATS1003B!K1288/1000</f>
        <v>0</v>
      </c>
      <c r="L1287" s="85">
        <f>STATS1003B!L1288/1000</f>
        <v>0</v>
      </c>
      <c r="M1287" s="85">
        <f>STATS1003B!M1288/1000</f>
        <v>285</v>
      </c>
      <c r="N1287" s="85">
        <f>STATS1003B!N1288/1000</f>
        <v>0</v>
      </c>
      <c r="O1287" s="85">
        <f>STATS1003B!O1288/1000</f>
        <v>0</v>
      </c>
      <c r="P1287" s="85">
        <f>STATS1003B!P1288/1000</f>
        <v>0</v>
      </c>
      <c r="Q1287" s="85">
        <f>STATS1003B!Q1288/1000</f>
        <v>285</v>
      </c>
      <c r="R1287" s="85">
        <f>STATS1003B!R1288/1000</f>
        <v>0</v>
      </c>
      <c r="S1287" s="85">
        <f>STATS1003B!S1288/1000</f>
        <v>0</v>
      </c>
      <c r="T1287" s="85">
        <f>STATS1003B!T1288/1000</f>
        <v>0</v>
      </c>
      <c r="U1287" s="85">
        <f>STATS1003B!U1288/1000</f>
        <v>0</v>
      </c>
      <c r="V1287" s="85">
        <f>STATS1003B!V1288/1000</f>
        <v>285</v>
      </c>
      <c r="W1287" s="85">
        <f>STATS1003B!W1288/1000</f>
        <v>0</v>
      </c>
      <c r="X1287" s="85">
        <f t="shared" si="155"/>
        <v>285</v>
      </c>
      <c r="Y1287" s="85">
        <f>STATS1003B!Y1288/1000</f>
        <v>0</v>
      </c>
      <c r="Z1287" s="85">
        <f t="shared" si="154"/>
        <v>0</v>
      </c>
      <c r="AA1287" s="69">
        <f>STATS1003B!AA1288/1000</f>
        <v>285</v>
      </c>
      <c r="AB1287" s="69">
        <f>STATS1003B!AB1288/1000</f>
        <v>0</v>
      </c>
    </row>
    <row r="1288" spans="1:28" hidden="1" x14ac:dyDescent="0.3">
      <c r="A1288" s="117"/>
      <c r="C1288" s="68" t="s">
        <v>545</v>
      </c>
      <c r="D1288" s="87" t="s">
        <v>54</v>
      </c>
      <c r="E1288" s="85">
        <f>STATS1003B!E1289/1000</f>
        <v>1953.989</v>
      </c>
      <c r="F1288" s="85">
        <f>STATS1003B!F1289/1000</f>
        <v>0</v>
      </c>
      <c r="G1288" s="85">
        <f>STATS1003B!G1289/1000</f>
        <v>0</v>
      </c>
      <c r="H1288" s="85">
        <f>STATS1003B!H1289/1000</f>
        <v>0</v>
      </c>
      <c r="I1288" s="85">
        <f>STATS1003B!I1289/1000</f>
        <v>0</v>
      </c>
      <c r="J1288" s="85">
        <f>STATS1003B!J1289/1000</f>
        <v>0</v>
      </c>
      <c r="K1288" s="85">
        <f>STATS1003B!K1289/1000</f>
        <v>1953.989</v>
      </c>
      <c r="L1288" s="85">
        <f>STATS1003B!L1289/1000</f>
        <v>0</v>
      </c>
      <c r="M1288" s="85">
        <f>STATS1003B!M1289/1000</f>
        <v>0</v>
      </c>
      <c r="N1288" s="85">
        <f>STATS1003B!N1289/1000</f>
        <v>1953.989</v>
      </c>
      <c r="O1288" s="85">
        <f>STATS1003B!O1289/1000</f>
        <v>0</v>
      </c>
      <c r="P1288" s="85">
        <f>STATS1003B!P1289/1000</f>
        <v>1953.989</v>
      </c>
      <c r="Q1288" s="85">
        <f>STATS1003B!Q1289/1000</f>
        <v>0</v>
      </c>
      <c r="R1288" s="85">
        <f>STATS1003B!R1289/1000</f>
        <v>0</v>
      </c>
      <c r="S1288" s="85">
        <f>STATS1003B!S1289/1000</f>
        <v>0</v>
      </c>
      <c r="T1288" s="85">
        <f>STATS1003B!T1289/1000</f>
        <v>0</v>
      </c>
      <c r="U1288" s="85">
        <f>STATS1003B!U1289/1000</f>
        <v>1953.989</v>
      </c>
      <c r="V1288" s="85">
        <f>STATS1003B!V1289/1000</f>
        <v>1953.989</v>
      </c>
      <c r="W1288" s="85">
        <f>STATS1003B!W1289/1000</f>
        <v>0</v>
      </c>
      <c r="X1288" s="85">
        <f t="shared" si="155"/>
        <v>1953.989</v>
      </c>
      <c r="Y1288" s="85">
        <f>STATS1003B!Y1289/1000</f>
        <v>0</v>
      </c>
      <c r="Z1288" s="85">
        <f t="shared" si="154"/>
        <v>0</v>
      </c>
      <c r="AA1288" s="69">
        <f>STATS1003B!AA1289/1000</f>
        <v>1953.989</v>
      </c>
      <c r="AB1288" s="69">
        <f>STATS1003B!AB1289/1000</f>
        <v>0</v>
      </c>
    </row>
    <row r="1289" spans="1:28" hidden="1" x14ac:dyDescent="0.3">
      <c r="A1289" s="117"/>
      <c r="C1289" s="68" t="s">
        <v>655</v>
      </c>
      <c r="D1289" s="87" t="s">
        <v>54</v>
      </c>
      <c r="E1289" s="85">
        <f>STATS1003B!E1290/1000</f>
        <v>955.34561999999994</v>
      </c>
      <c r="F1289" s="85">
        <f>STATS1003B!F1290/1000</f>
        <v>0</v>
      </c>
      <c r="G1289" s="85">
        <f>STATS1003B!G1290/1000</f>
        <v>0</v>
      </c>
      <c r="H1289" s="85">
        <f>STATS1003B!H1290/1000</f>
        <v>0</v>
      </c>
      <c r="I1289" s="85">
        <f>STATS1003B!I1290/1000</f>
        <v>0</v>
      </c>
      <c r="J1289" s="85">
        <f>STATS1003B!J1290/1000</f>
        <v>0</v>
      </c>
      <c r="K1289" s="85">
        <f>STATS1003B!K1290/1000</f>
        <v>955.34561999999994</v>
      </c>
      <c r="L1289" s="85">
        <f>STATS1003B!L1290/1000</f>
        <v>0</v>
      </c>
      <c r="M1289" s="85">
        <f>STATS1003B!M1290/1000</f>
        <v>0</v>
      </c>
      <c r="N1289" s="85">
        <f>STATS1003B!N1290/1000</f>
        <v>955.34561999999994</v>
      </c>
      <c r="O1289" s="85">
        <f>STATS1003B!O1290/1000</f>
        <v>0</v>
      </c>
      <c r="P1289" s="85">
        <f>STATS1003B!P1290/1000</f>
        <v>955.34561999999994</v>
      </c>
      <c r="Q1289" s="85">
        <f>STATS1003B!Q1290/1000</f>
        <v>0</v>
      </c>
      <c r="R1289" s="85">
        <f>STATS1003B!R1290/1000</f>
        <v>0</v>
      </c>
      <c r="S1289" s="85">
        <f>STATS1003B!S1290/1000</f>
        <v>0</v>
      </c>
      <c r="T1289" s="85">
        <f>STATS1003B!T1290/1000</f>
        <v>0</v>
      </c>
      <c r="U1289" s="85">
        <f>STATS1003B!U1290/1000</f>
        <v>955.34561999999994</v>
      </c>
      <c r="V1289" s="85">
        <f>STATS1003B!V1290/1000</f>
        <v>955.34561999999994</v>
      </c>
      <c r="W1289" s="85">
        <f>STATS1003B!W1290/1000</f>
        <v>0</v>
      </c>
      <c r="X1289" s="85">
        <f t="shared" si="155"/>
        <v>955.34561999999994</v>
      </c>
      <c r="Y1289" s="85">
        <f>STATS1003B!Y1290/1000</f>
        <v>0</v>
      </c>
      <c r="Z1289" s="85">
        <f t="shared" si="154"/>
        <v>0</v>
      </c>
      <c r="AA1289" s="69">
        <f>STATS1003B!AA1290/1000</f>
        <v>955.34561999999994</v>
      </c>
      <c r="AB1289" s="69">
        <f>STATS1003B!AB1290/1000</f>
        <v>0</v>
      </c>
    </row>
    <row r="1290" spans="1:28" hidden="1" x14ac:dyDescent="0.3">
      <c r="A1290" s="117"/>
      <c r="C1290" s="68" t="s">
        <v>535</v>
      </c>
      <c r="D1290" s="87" t="s">
        <v>85</v>
      </c>
      <c r="E1290" s="85">
        <f>STATS1003B!E1291/1000</f>
        <v>1186.2000500000001</v>
      </c>
      <c r="F1290" s="85">
        <f>STATS1003B!F1291/1000</f>
        <v>1057.6659999999999</v>
      </c>
      <c r="G1290" s="85">
        <f>STATS1003B!G1291/1000</f>
        <v>0</v>
      </c>
      <c r="H1290" s="85">
        <f>STATS1003B!H1291/1000</f>
        <v>1057.6659999999999</v>
      </c>
      <c r="I1290" s="85">
        <f>STATS1003B!I1291/1000</f>
        <v>0</v>
      </c>
      <c r="J1290" s="85">
        <f>STATS1003B!J1291/1000</f>
        <v>1057.6659999999999</v>
      </c>
      <c r="K1290" s="85">
        <f>STATS1003B!K1291/1000</f>
        <v>128.53405000000001</v>
      </c>
      <c r="L1290" s="85">
        <f>STATS1003B!L1291/1000</f>
        <v>0</v>
      </c>
      <c r="M1290" s="85">
        <f>STATS1003B!M1291/1000</f>
        <v>1057.6659999999999</v>
      </c>
      <c r="N1290" s="85">
        <f>STATS1003B!N1291/1000</f>
        <v>128.53405000000001</v>
      </c>
      <c r="O1290" s="85">
        <f>STATS1003B!O1291/1000</f>
        <v>0</v>
      </c>
      <c r="P1290" s="85">
        <f>STATS1003B!P1291/1000</f>
        <v>128.53405000000001</v>
      </c>
      <c r="Q1290" s="85">
        <f>STATS1003B!Q1291/1000</f>
        <v>1057.6659999999999</v>
      </c>
      <c r="R1290" s="85">
        <f>STATS1003B!R1291/1000</f>
        <v>0</v>
      </c>
      <c r="S1290" s="85">
        <f>STATS1003B!S1291/1000</f>
        <v>0</v>
      </c>
      <c r="T1290" s="85">
        <f>STATS1003B!T1291/1000</f>
        <v>0</v>
      </c>
      <c r="U1290" s="85">
        <f>STATS1003B!U1291/1000</f>
        <v>128.53405000000001</v>
      </c>
      <c r="V1290" s="85">
        <f>STATS1003B!V1291/1000</f>
        <v>1186.2000500000001</v>
      </c>
      <c r="W1290" s="85">
        <f>STATS1003B!W1291/1000</f>
        <v>0</v>
      </c>
      <c r="X1290" s="85">
        <f t="shared" si="155"/>
        <v>1186.2000499999999</v>
      </c>
      <c r="Y1290" s="85">
        <f>STATS1003B!Y1291/1000</f>
        <v>0</v>
      </c>
      <c r="Z1290" s="85">
        <f t="shared" si="154"/>
        <v>0</v>
      </c>
      <c r="AA1290" s="69">
        <f>STATS1003B!AA1291/1000</f>
        <v>1186.2000500000001</v>
      </c>
      <c r="AB1290" s="69">
        <f>STATS1003B!AB1291/1000</f>
        <v>0</v>
      </c>
    </row>
    <row r="1291" spans="1:28" hidden="1" x14ac:dyDescent="0.3">
      <c r="A1291" s="117"/>
      <c r="C1291" s="68" t="s">
        <v>667</v>
      </c>
      <c r="D1291" s="87" t="s">
        <v>85</v>
      </c>
      <c r="E1291" s="85">
        <f>STATS1003B!E1292/1000</f>
        <v>80</v>
      </c>
      <c r="F1291" s="85">
        <f>STATS1003B!F1292/1000</f>
        <v>80</v>
      </c>
      <c r="G1291" s="85">
        <f>STATS1003B!G1292/1000</f>
        <v>0</v>
      </c>
      <c r="H1291" s="85">
        <f>STATS1003B!H1292/1000</f>
        <v>80</v>
      </c>
      <c r="I1291" s="85">
        <f>STATS1003B!I1292/1000</f>
        <v>0</v>
      </c>
      <c r="J1291" s="85">
        <f>STATS1003B!J1292/1000</f>
        <v>80</v>
      </c>
      <c r="K1291" s="85">
        <f>STATS1003B!K1292/1000</f>
        <v>0</v>
      </c>
      <c r="L1291" s="85">
        <f>STATS1003B!L1292/1000</f>
        <v>0</v>
      </c>
      <c r="M1291" s="85">
        <f>STATS1003B!M1292/1000</f>
        <v>80</v>
      </c>
      <c r="N1291" s="85">
        <f>STATS1003B!N1292/1000</f>
        <v>0</v>
      </c>
      <c r="O1291" s="85">
        <f>STATS1003B!O1292/1000</f>
        <v>0</v>
      </c>
      <c r="P1291" s="85">
        <f>STATS1003B!P1292/1000</f>
        <v>0</v>
      </c>
      <c r="Q1291" s="85">
        <f>STATS1003B!Q1292/1000</f>
        <v>80</v>
      </c>
      <c r="R1291" s="85">
        <f>STATS1003B!R1292/1000</f>
        <v>0</v>
      </c>
      <c r="S1291" s="85">
        <f>STATS1003B!S1292/1000</f>
        <v>0</v>
      </c>
      <c r="T1291" s="85">
        <f>STATS1003B!T1292/1000</f>
        <v>0</v>
      </c>
      <c r="U1291" s="85">
        <f>STATS1003B!U1292/1000</f>
        <v>0</v>
      </c>
      <c r="V1291" s="85">
        <f>STATS1003B!V1292/1000</f>
        <v>80</v>
      </c>
      <c r="W1291" s="85">
        <f>STATS1003B!W1292/1000</f>
        <v>0</v>
      </c>
      <c r="X1291" s="85">
        <f t="shared" si="155"/>
        <v>80</v>
      </c>
      <c r="Y1291" s="85">
        <f>STATS1003B!Y1292/1000</f>
        <v>0</v>
      </c>
      <c r="Z1291" s="85">
        <f t="shared" si="154"/>
        <v>0</v>
      </c>
      <c r="AA1291" s="69">
        <f>STATS1003B!AA1292/1000</f>
        <v>80</v>
      </c>
      <c r="AB1291" s="69">
        <f>STATS1003B!AB1292/1000</f>
        <v>0</v>
      </c>
    </row>
    <row r="1292" spans="1:28" hidden="1" x14ac:dyDescent="0.3">
      <c r="A1292" s="117"/>
      <c r="C1292" s="68" t="s">
        <v>697</v>
      </c>
      <c r="D1292" s="87" t="s">
        <v>85</v>
      </c>
      <c r="E1292" s="85">
        <f>STATS1003B!E1293/1000</f>
        <v>277.60000000000002</v>
      </c>
      <c r="F1292" s="85">
        <f>STATS1003B!F1293/1000</f>
        <v>0</v>
      </c>
      <c r="G1292" s="85">
        <f>STATS1003B!G1293/1000</f>
        <v>0</v>
      </c>
      <c r="H1292" s="85">
        <f>STATS1003B!H1293/1000</f>
        <v>0</v>
      </c>
      <c r="I1292" s="85">
        <f>STATS1003B!I1293/1000</f>
        <v>0</v>
      </c>
      <c r="J1292" s="85">
        <f>STATS1003B!J1293/1000</f>
        <v>0</v>
      </c>
      <c r="K1292" s="85">
        <f>STATS1003B!K1293/1000</f>
        <v>0</v>
      </c>
      <c r="L1292" s="85">
        <f>STATS1003B!L1293/1000</f>
        <v>0</v>
      </c>
      <c r="M1292" s="85">
        <f>STATS1003B!M1293/1000</f>
        <v>0</v>
      </c>
      <c r="N1292" s="85">
        <f>STATS1003B!N1293/1000</f>
        <v>0</v>
      </c>
      <c r="O1292" s="85">
        <f>STATS1003B!O1293/1000</f>
        <v>0</v>
      </c>
      <c r="P1292" s="85">
        <f>STATS1003B!P1293/1000</f>
        <v>0</v>
      </c>
      <c r="Q1292" s="85">
        <f>STATS1003B!Q1293/1000</f>
        <v>277.60000000000002</v>
      </c>
      <c r="R1292" s="85">
        <f>STATS1003B!R1293/1000</f>
        <v>0</v>
      </c>
      <c r="S1292" s="85">
        <f>STATS1003B!S1293/1000</f>
        <v>0</v>
      </c>
      <c r="T1292" s="85">
        <f>STATS1003B!T1293/1000</f>
        <v>0</v>
      </c>
      <c r="U1292" s="85">
        <f>STATS1003B!U1293/1000</f>
        <v>0</v>
      </c>
      <c r="V1292" s="85">
        <f>STATS1003B!V1293/1000</f>
        <v>0</v>
      </c>
      <c r="W1292" s="85">
        <f>STATS1003B!W1293/1000</f>
        <v>277.60000000000002</v>
      </c>
      <c r="X1292" s="85">
        <f t="shared" si="155"/>
        <v>0</v>
      </c>
      <c r="Y1292" s="85">
        <f>STATS1003B!Y1293/1000</f>
        <v>0</v>
      </c>
      <c r="Z1292" s="85">
        <f t="shared" si="154"/>
        <v>277.60000000000002</v>
      </c>
      <c r="AA1292" s="69">
        <f>STATS1003B!AA1293/1000</f>
        <v>0</v>
      </c>
      <c r="AB1292" s="69">
        <f>STATS1003B!AB1293/1000</f>
        <v>277.60000000000002</v>
      </c>
    </row>
    <row r="1293" spans="1:28" hidden="1" x14ac:dyDescent="0.3">
      <c r="A1293" s="117"/>
      <c r="C1293" s="68" t="s">
        <v>698</v>
      </c>
      <c r="D1293" s="87" t="s">
        <v>128</v>
      </c>
      <c r="E1293" s="85">
        <f>STATS1003B!E1294/1000</f>
        <v>1600</v>
      </c>
      <c r="F1293" s="85">
        <f>STATS1003B!F1294/1000</f>
        <v>1600</v>
      </c>
      <c r="G1293" s="85">
        <f>STATS1003B!G1294/1000</f>
        <v>0</v>
      </c>
      <c r="H1293" s="85">
        <f>STATS1003B!H1294/1000</f>
        <v>1600</v>
      </c>
      <c r="I1293" s="85">
        <f>STATS1003B!I1294/1000</f>
        <v>0</v>
      </c>
      <c r="J1293" s="85">
        <f>STATS1003B!J1294/1000</f>
        <v>1600</v>
      </c>
      <c r="K1293" s="85">
        <f>STATS1003B!K1294/1000</f>
        <v>0</v>
      </c>
      <c r="L1293" s="85">
        <f>STATS1003B!L1294/1000</f>
        <v>0</v>
      </c>
      <c r="M1293" s="85">
        <f>STATS1003B!M1294/1000</f>
        <v>1600</v>
      </c>
      <c r="N1293" s="85">
        <f>STATS1003B!N1294/1000</f>
        <v>0</v>
      </c>
      <c r="O1293" s="85">
        <f>STATS1003B!O1294/1000</f>
        <v>0</v>
      </c>
      <c r="P1293" s="85">
        <f>STATS1003B!P1294/1000</f>
        <v>0</v>
      </c>
      <c r="Q1293" s="85">
        <f>STATS1003B!Q1294/1000</f>
        <v>1600</v>
      </c>
      <c r="R1293" s="85">
        <f>STATS1003B!R1294/1000</f>
        <v>0</v>
      </c>
      <c r="S1293" s="85">
        <f>STATS1003B!S1294/1000</f>
        <v>0</v>
      </c>
      <c r="T1293" s="85">
        <f>STATS1003B!T1294/1000</f>
        <v>0</v>
      </c>
      <c r="U1293" s="85">
        <f>STATS1003B!U1294/1000</f>
        <v>0</v>
      </c>
      <c r="V1293" s="85">
        <f>STATS1003B!V1294/1000</f>
        <v>1600</v>
      </c>
      <c r="W1293" s="85">
        <f>STATS1003B!W1294/1000</f>
        <v>0</v>
      </c>
      <c r="X1293" s="85">
        <f t="shared" si="155"/>
        <v>1600</v>
      </c>
      <c r="Y1293" s="85">
        <f>STATS1003B!Y1294/1000</f>
        <v>0</v>
      </c>
      <c r="Z1293" s="85">
        <f t="shared" si="154"/>
        <v>0</v>
      </c>
      <c r="AA1293" s="69">
        <f>STATS1003B!AA1294/1000</f>
        <v>1600</v>
      </c>
      <c r="AB1293" s="69">
        <f>STATS1003B!AB1294/1000</f>
        <v>0</v>
      </c>
    </row>
    <row r="1294" spans="1:28" hidden="1" x14ac:dyDescent="0.3">
      <c r="A1294" s="117"/>
      <c r="C1294" s="68" t="s">
        <v>699</v>
      </c>
      <c r="D1294" s="87" t="s">
        <v>128</v>
      </c>
      <c r="E1294" s="85">
        <f>STATS1003B!E1295/1000</f>
        <v>800</v>
      </c>
      <c r="F1294" s="85">
        <f>STATS1003B!F1295/1000</f>
        <v>800</v>
      </c>
      <c r="G1294" s="85">
        <f>STATS1003B!G1295/1000</f>
        <v>0</v>
      </c>
      <c r="H1294" s="85">
        <f>STATS1003B!H1295/1000</f>
        <v>800</v>
      </c>
      <c r="I1294" s="85">
        <f>STATS1003B!I1295/1000</f>
        <v>0</v>
      </c>
      <c r="J1294" s="85">
        <f>STATS1003B!J1295/1000</f>
        <v>800</v>
      </c>
      <c r="K1294" s="85">
        <f>STATS1003B!K1295/1000</f>
        <v>0</v>
      </c>
      <c r="L1294" s="85">
        <f>STATS1003B!L1295/1000</f>
        <v>0</v>
      </c>
      <c r="M1294" s="85">
        <f>STATS1003B!M1295/1000</f>
        <v>800</v>
      </c>
      <c r="N1294" s="85">
        <f>STATS1003B!N1295/1000</f>
        <v>0</v>
      </c>
      <c r="O1294" s="85">
        <f>STATS1003B!O1295/1000</f>
        <v>0</v>
      </c>
      <c r="P1294" s="85">
        <f>STATS1003B!P1295/1000</f>
        <v>0</v>
      </c>
      <c r="Q1294" s="85">
        <f>STATS1003B!Q1295/1000</f>
        <v>800</v>
      </c>
      <c r="R1294" s="85">
        <f>STATS1003B!R1295/1000</f>
        <v>0</v>
      </c>
      <c r="S1294" s="85">
        <f>STATS1003B!S1295/1000</f>
        <v>0</v>
      </c>
      <c r="T1294" s="85">
        <f>STATS1003B!T1295/1000</f>
        <v>0</v>
      </c>
      <c r="U1294" s="85">
        <f>STATS1003B!U1295/1000</f>
        <v>0</v>
      </c>
      <c r="V1294" s="85">
        <f>STATS1003B!V1295/1000</f>
        <v>800</v>
      </c>
      <c r="W1294" s="85">
        <f>STATS1003B!W1295/1000</f>
        <v>0</v>
      </c>
      <c r="X1294" s="85">
        <f t="shared" si="155"/>
        <v>800</v>
      </c>
      <c r="Y1294" s="85">
        <f>STATS1003B!Y1295/1000</f>
        <v>0</v>
      </c>
      <c r="Z1294" s="85">
        <f t="shared" si="154"/>
        <v>0</v>
      </c>
      <c r="AA1294" s="69">
        <f>STATS1003B!AA1295/1000</f>
        <v>800</v>
      </c>
      <c r="AB1294" s="69">
        <f>STATS1003B!AB1295/1000</f>
        <v>0</v>
      </c>
    </row>
    <row r="1295" spans="1:28" hidden="1" x14ac:dyDescent="0.3">
      <c r="A1295" s="117"/>
      <c r="C1295" s="68" t="s">
        <v>535</v>
      </c>
      <c r="D1295" s="87" t="s">
        <v>128</v>
      </c>
      <c r="E1295" s="85">
        <f>STATS1003B!E1296/1000</f>
        <v>859.5</v>
      </c>
      <c r="F1295" s="85">
        <f>STATS1003B!F1296/1000</f>
        <v>859.5</v>
      </c>
      <c r="G1295" s="85">
        <f>STATS1003B!G1296/1000</f>
        <v>0</v>
      </c>
      <c r="H1295" s="85">
        <f>STATS1003B!H1296/1000</f>
        <v>859.5</v>
      </c>
      <c r="I1295" s="85">
        <f>STATS1003B!I1296/1000</f>
        <v>0</v>
      </c>
      <c r="J1295" s="85">
        <f>STATS1003B!J1296/1000</f>
        <v>859.5</v>
      </c>
      <c r="K1295" s="85">
        <f>STATS1003B!K1296/1000</f>
        <v>0</v>
      </c>
      <c r="L1295" s="85">
        <f>STATS1003B!L1296/1000</f>
        <v>0</v>
      </c>
      <c r="M1295" s="85">
        <f>STATS1003B!M1296/1000</f>
        <v>859.5</v>
      </c>
      <c r="N1295" s="85">
        <f>STATS1003B!N1296/1000</f>
        <v>0</v>
      </c>
      <c r="O1295" s="85">
        <f>STATS1003B!O1296/1000</f>
        <v>0</v>
      </c>
      <c r="P1295" s="85">
        <f>STATS1003B!P1296/1000</f>
        <v>0</v>
      </c>
      <c r="Q1295" s="85">
        <f>STATS1003B!Q1296/1000</f>
        <v>859.5</v>
      </c>
      <c r="R1295" s="85">
        <f>STATS1003B!R1296/1000</f>
        <v>0</v>
      </c>
      <c r="S1295" s="85">
        <f>STATS1003B!S1296/1000</f>
        <v>0</v>
      </c>
      <c r="T1295" s="85">
        <f>STATS1003B!T1296/1000</f>
        <v>0</v>
      </c>
      <c r="U1295" s="85">
        <f>STATS1003B!U1296/1000</f>
        <v>0</v>
      </c>
      <c r="V1295" s="85">
        <f>STATS1003B!V1296/1000</f>
        <v>859.5</v>
      </c>
      <c r="W1295" s="85">
        <f>STATS1003B!W1296/1000</f>
        <v>0</v>
      </c>
      <c r="X1295" s="85">
        <f t="shared" si="155"/>
        <v>859.5</v>
      </c>
      <c r="Y1295" s="85">
        <f>STATS1003B!Y1296/1000</f>
        <v>0</v>
      </c>
      <c r="Z1295" s="85">
        <f t="shared" si="154"/>
        <v>0</v>
      </c>
      <c r="AA1295" s="69">
        <f>STATS1003B!AA1296/1000</f>
        <v>859.5</v>
      </c>
      <c r="AB1295" s="69">
        <f>STATS1003B!AB1296/1000</f>
        <v>0</v>
      </c>
    </row>
    <row r="1296" spans="1:28" hidden="1" x14ac:dyDescent="0.3">
      <c r="A1296" s="117"/>
      <c r="C1296" s="68" t="s">
        <v>535</v>
      </c>
      <c r="D1296" s="87" t="s">
        <v>88</v>
      </c>
      <c r="E1296" s="85">
        <f>STATS1003B!E1297/1000</f>
        <v>7044.4797199999994</v>
      </c>
      <c r="F1296" s="85">
        <f>STATS1003B!F1297/1000</f>
        <v>7044.4797199999994</v>
      </c>
      <c r="G1296" s="85">
        <f>STATS1003B!G1297/1000</f>
        <v>0</v>
      </c>
      <c r="H1296" s="85">
        <f>STATS1003B!H1297/1000</f>
        <v>7044.4797199999994</v>
      </c>
      <c r="I1296" s="85">
        <f>STATS1003B!I1297/1000</f>
        <v>0</v>
      </c>
      <c r="J1296" s="85">
        <f>STATS1003B!J1297/1000</f>
        <v>7044.4797199999994</v>
      </c>
      <c r="K1296" s="85">
        <f>STATS1003B!K1297/1000</f>
        <v>0</v>
      </c>
      <c r="L1296" s="85">
        <f>STATS1003B!L1297/1000</f>
        <v>0</v>
      </c>
      <c r="M1296" s="85">
        <f>STATS1003B!M1297/1000</f>
        <v>7044.4797199999994</v>
      </c>
      <c r="N1296" s="85">
        <f>STATS1003B!N1297/1000</f>
        <v>0</v>
      </c>
      <c r="O1296" s="85">
        <f>STATS1003B!O1297/1000</f>
        <v>0</v>
      </c>
      <c r="P1296" s="85">
        <f>STATS1003B!P1297/1000</f>
        <v>0</v>
      </c>
      <c r="Q1296" s="85">
        <f>STATS1003B!Q1297/1000</f>
        <v>7044.4797199999994</v>
      </c>
      <c r="R1296" s="85">
        <f>STATS1003B!R1297/1000</f>
        <v>0</v>
      </c>
      <c r="S1296" s="85">
        <f>STATS1003B!S1297/1000</f>
        <v>0</v>
      </c>
      <c r="T1296" s="85">
        <f>STATS1003B!T1297/1000</f>
        <v>0</v>
      </c>
      <c r="U1296" s="85">
        <f>STATS1003B!U1297/1000</f>
        <v>0</v>
      </c>
      <c r="V1296" s="85">
        <f>STATS1003B!V1297/1000</f>
        <v>7044.4797199999994</v>
      </c>
      <c r="W1296" s="85">
        <f>STATS1003B!W1297/1000</f>
        <v>0</v>
      </c>
      <c r="X1296" s="85">
        <f t="shared" si="155"/>
        <v>7044.4797199999994</v>
      </c>
      <c r="Y1296" s="85">
        <f>STATS1003B!Y1297/1000</f>
        <v>0</v>
      </c>
      <c r="Z1296" s="85">
        <f t="shared" si="154"/>
        <v>0</v>
      </c>
      <c r="AA1296" s="69">
        <f>STATS1003B!AA1297/1000</f>
        <v>7044.4797199999994</v>
      </c>
      <c r="AB1296" s="69">
        <f>STATS1003B!AB1297/1000</f>
        <v>0</v>
      </c>
    </row>
    <row r="1297" spans="1:28" hidden="1" x14ac:dyDescent="0.3">
      <c r="A1297" s="117"/>
      <c r="C1297" s="68" t="s">
        <v>535</v>
      </c>
      <c r="D1297" s="87" t="s">
        <v>108</v>
      </c>
      <c r="E1297" s="85">
        <f>STATS1003B!E1298/1000</f>
        <v>1543.038</v>
      </c>
      <c r="F1297" s="85">
        <f>STATS1003B!F1298/1000</f>
        <v>1543.038</v>
      </c>
      <c r="G1297" s="85">
        <f>STATS1003B!G1298/1000</f>
        <v>0</v>
      </c>
      <c r="H1297" s="85">
        <f>STATS1003B!H1298/1000</f>
        <v>1543.038</v>
      </c>
      <c r="I1297" s="85">
        <f>STATS1003B!I1298/1000</f>
        <v>0</v>
      </c>
      <c r="J1297" s="85">
        <f>STATS1003B!J1298/1000</f>
        <v>1543.038</v>
      </c>
      <c r="K1297" s="85">
        <f>STATS1003B!K1298/1000</f>
        <v>0</v>
      </c>
      <c r="L1297" s="85">
        <f>STATS1003B!L1298/1000</f>
        <v>0</v>
      </c>
      <c r="M1297" s="85">
        <f>STATS1003B!M1298/1000</f>
        <v>1543.038</v>
      </c>
      <c r="N1297" s="85">
        <f>STATS1003B!N1298/1000</f>
        <v>0</v>
      </c>
      <c r="O1297" s="85">
        <f>STATS1003B!O1298/1000</f>
        <v>0</v>
      </c>
      <c r="P1297" s="85">
        <f>STATS1003B!P1298/1000</f>
        <v>0</v>
      </c>
      <c r="Q1297" s="85">
        <f>STATS1003B!Q1298/1000</f>
        <v>1543.038</v>
      </c>
      <c r="R1297" s="85">
        <f>STATS1003B!R1298/1000</f>
        <v>0</v>
      </c>
      <c r="S1297" s="85">
        <f>STATS1003B!S1298/1000</f>
        <v>0</v>
      </c>
      <c r="T1297" s="85">
        <f>STATS1003B!T1298/1000</f>
        <v>0</v>
      </c>
      <c r="U1297" s="85">
        <f>STATS1003B!U1298/1000</f>
        <v>0</v>
      </c>
      <c r="V1297" s="85">
        <f>STATS1003B!V1298/1000</f>
        <v>1543.038</v>
      </c>
      <c r="W1297" s="85">
        <f>STATS1003B!W1298/1000</f>
        <v>0</v>
      </c>
      <c r="X1297" s="85">
        <f t="shared" si="155"/>
        <v>1543.038</v>
      </c>
      <c r="Y1297" s="85">
        <f>STATS1003B!Y1298/1000</f>
        <v>0</v>
      </c>
      <c r="Z1297" s="85">
        <f t="shared" si="154"/>
        <v>0</v>
      </c>
      <c r="AA1297" s="69">
        <f>STATS1003B!AA1298/1000</f>
        <v>1543.038</v>
      </c>
      <c r="AB1297" s="69">
        <f>STATS1003B!AB1298/1000</f>
        <v>0</v>
      </c>
    </row>
    <row r="1298" spans="1:28" hidden="1" x14ac:dyDescent="0.3">
      <c r="A1298" s="117"/>
      <c r="C1298" s="68" t="s">
        <v>535</v>
      </c>
      <c r="D1298" s="87" t="s">
        <v>58</v>
      </c>
      <c r="E1298" s="85">
        <f>STATS1003B!E1299/1000</f>
        <v>8321.86</v>
      </c>
      <c r="F1298" s="85">
        <f>STATS1003B!F1299/1000</f>
        <v>6832.48</v>
      </c>
      <c r="G1298" s="85">
        <f>STATS1003B!G1299/1000</f>
        <v>0</v>
      </c>
      <c r="H1298" s="85">
        <f>STATS1003B!H1299/1000</f>
        <v>6832.48</v>
      </c>
      <c r="I1298" s="85">
        <f>STATS1003B!I1299/1000</f>
        <v>1489.38</v>
      </c>
      <c r="J1298" s="85">
        <f>STATS1003B!J1299/1000</f>
        <v>8321.86</v>
      </c>
      <c r="K1298" s="85">
        <f>STATS1003B!K1299/1000</f>
        <v>0</v>
      </c>
      <c r="L1298" s="85">
        <f>STATS1003B!L1299/1000</f>
        <v>1489.38</v>
      </c>
      <c r="M1298" s="85">
        <f>STATS1003B!M1299/1000</f>
        <v>8321.86</v>
      </c>
      <c r="N1298" s="85">
        <f>STATS1003B!N1299/1000</f>
        <v>0</v>
      </c>
      <c r="O1298" s="85">
        <f>STATS1003B!O1299/1000</f>
        <v>0</v>
      </c>
      <c r="P1298" s="85">
        <f>STATS1003B!P1299/1000</f>
        <v>0</v>
      </c>
      <c r="Q1298" s="85">
        <f>STATS1003B!Q1299/1000</f>
        <v>8321.86</v>
      </c>
      <c r="R1298" s="85">
        <f>STATS1003B!R1299/1000</f>
        <v>0</v>
      </c>
      <c r="S1298" s="85">
        <f>STATS1003B!S1299/1000</f>
        <v>0</v>
      </c>
      <c r="T1298" s="85">
        <f>STATS1003B!T1299/1000</f>
        <v>0</v>
      </c>
      <c r="U1298" s="85">
        <f>STATS1003B!U1299/1000</f>
        <v>0</v>
      </c>
      <c r="V1298" s="85">
        <f>STATS1003B!V1299/1000</f>
        <v>6832.48</v>
      </c>
      <c r="W1298" s="85">
        <f>STATS1003B!W1299/1000</f>
        <v>1489.38</v>
      </c>
      <c r="X1298" s="85">
        <f t="shared" si="155"/>
        <v>6832.48</v>
      </c>
      <c r="Y1298" s="85">
        <f>STATS1003B!Y1299/1000</f>
        <v>0</v>
      </c>
      <c r="Z1298" s="85">
        <f t="shared" si="154"/>
        <v>1489.380000000001</v>
      </c>
      <c r="AA1298" s="69">
        <f>STATS1003B!AA1299/1000</f>
        <v>8321.86</v>
      </c>
      <c r="AB1298" s="69">
        <f>STATS1003B!AB1299/1000</f>
        <v>0</v>
      </c>
    </row>
    <row r="1299" spans="1:28" hidden="1" x14ac:dyDescent="0.3">
      <c r="A1299" s="117"/>
      <c r="C1299" s="68" t="s">
        <v>535</v>
      </c>
      <c r="D1299" s="87" t="s">
        <v>60</v>
      </c>
      <c r="E1299" s="85">
        <f>STATS1003B!E1300/1000</f>
        <v>1296.45</v>
      </c>
      <c r="F1299" s="85">
        <f>STATS1003B!F1300/1000</f>
        <v>1296.45</v>
      </c>
      <c r="G1299" s="85">
        <f>STATS1003B!G1300/1000</f>
        <v>0</v>
      </c>
      <c r="H1299" s="85">
        <f>STATS1003B!H1300/1000</f>
        <v>1296.45</v>
      </c>
      <c r="I1299" s="85">
        <f>STATS1003B!I1300/1000</f>
        <v>0</v>
      </c>
      <c r="J1299" s="85">
        <f>STATS1003B!J1300/1000</f>
        <v>1296.45</v>
      </c>
      <c r="K1299" s="85">
        <f>STATS1003B!K1300/1000</f>
        <v>0</v>
      </c>
      <c r="L1299" s="85">
        <f>STATS1003B!L1300/1000</f>
        <v>0</v>
      </c>
      <c r="M1299" s="85">
        <f>STATS1003B!M1300/1000</f>
        <v>1296.45</v>
      </c>
      <c r="N1299" s="85">
        <f>STATS1003B!N1300/1000</f>
        <v>0</v>
      </c>
      <c r="O1299" s="85">
        <f>STATS1003B!O1300/1000</f>
        <v>0</v>
      </c>
      <c r="P1299" s="85">
        <f>STATS1003B!P1300/1000</f>
        <v>0</v>
      </c>
      <c r="Q1299" s="85">
        <f>STATS1003B!Q1300/1000</f>
        <v>1296.45</v>
      </c>
      <c r="R1299" s="85">
        <f>STATS1003B!R1300/1000</f>
        <v>0</v>
      </c>
      <c r="S1299" s="85">
        <f>STATS1003B!S1300/1000</f>
        <v>0</v>
      </c>
      <c r="T1299" s="85">
        <f>STATS1003B!T1300/1000</f>
        <v>0</v>
      </c>
      <c r="U1299" s="85">
        <f>STATS1003B!U1300/1000</f>
        <v>0</v>
      </c>
      <c r="V1299" s="85">
        <f>STATS1003B!V1300/1000</f>
        <v>1296.45</v>
      </c>
      <c r="W1299" s="85">
        <f>STATS1003B!W1300/1000</f>
        <v>0</v>
      </c>
      <c r="X1299" s="85">
        <f t="shared" si="155"/>
        <v>1296.45</v>
      </c>
      <c r="Y1299" s="85">
        <f>STATS1003B!Y1300/1000</f>
        <v>0</v>
      </c>
      <c r="Z1299" s="85">
        <f t="shared" si="154"/>
        <v>0</v>
      </c>
      <c r="AA1299" s="69">
        <f>STATS1003B!AA1300/1000</f>
        <v>1296.45</v>
      </c>
      <c r="AB1299" s="69">
        <f>STATS1003B!AB1300/1000</f>
        <v>0</v>
      </c>
    </row>
    <row r="1300" spans="1:28" hidden="1" x14ac:dyDescent="0.3">
      <c r="A1300" s="117"/>
      <c r="C1300" s="68" t="s">
        <v>535</v>
      </c>
      <c r="D1300" s="87" t="s">
        <v>73</v>
      </c>
      <c r="E1300" s="85">
        <f>STATS1003B!E1301/1000</f>
        <v>1284.73</v>
      </c>
      <c r="F1300" s="85">
        <f>STATS1003B!F1301/1000</f>
        <v>1284.73</v>
      </c>
      <c r="G1300" s="85">
        <f>STATS1003B!G1301/1000</f>
        <v>0</v>
      </c>
      <c r="H1300" s="85">
        <f>STATS1003B!H1301/1000</f>
        <v>1284.73</v>
      </c>
      <c r="I1300" s="85">
        <f>STATS1003B!I1301/1000</f>
        <v>0</v>
      </c>
      <c r="J1300" s="85">
        <f>STATS1003B!J1301/1000</f>
        <v>1284.73</v>
      </c>
      <c r="K1300" s="85">
        <f>STATS1003B!K1301/1000</f>
        <v>0</v>
      </c>
      <c r="L1300" s="85">
        <f>STATS1003B!L1301/1000</f>
        <v>0</v>
      </c>
      <c r="M1300" s="85">
        <f>STATS1003B!M1301/1000</f>
        <v>1284.73</v>
      </c>
      <c r="N1300" s="85">
        <f>STATS1003B!N1301/1000</f>
        <v>0</v>
      </c>
      <c r="O1300" s="85">
        <f>STATS1003B!O1301/1000</f>
        <v>0</v>
      </c>
      <c r="P1300" s="85">
        <f>STATS1003B!P1301/1000</f>
        <v>0</v>
      </c>
      <c r="Q1300" s="85">
        <f>STATS1003B!Q1301/1000</f>
        <v>1284.73</v>
      </c>
      <c r="R1300" s="85">
        <f>STATS1003B!R1301/1000</f>
        <v>0</v>
      </c>
      <c r="S1300" s="85">
        <f>STATS1003B!S1301/1000</f>
        <v>0</v>
      </c>
      <c r="T1300" s="85">
        <f>STATS1003B!T1301/1000</f>
        <v>0</v>
      </c>
      <c r="U1300" s="85">
        <f>STATS1003B!U1301/1000</f>
        <v>0</v>
      </c>
      <c r="V1300" s="85">
        <f>STATS1003B!V1301/1000</f>
        <v>1284.73</v>
      </c>
      <c r="W1300" s="85">
        <f>STATS1003B!W1301/1000</f>
        <v>0</v>
      </c>
      <c r="X1300" s="85">
        <f t="shared" si="155"/>
        <v>1284.73</v>
      </c>
      <c r="Y1300" s="85">
        <f>STATS1003B!Y1301/1000</f>
        <v>0</v>
      </c>
      <c r="Z1300" s="85">
        <f t="shared" si="154"/>
        <v>0</v>
      </c>
      <c r="AA1300" s="69">
        <f>STATS1003B!AA1301/1000</f>
        <v>1284.73</v>
      </c>
      <c r="AB1300" s="69">
        <f>STATS1003B!AB1301/1000</f>
        <v>0</v>
      </c>
    </row>
    <row r="1301" spans="1:28" hidden="1" x14ac:dyDescent="0.3">
      <c r="A1301" s="117"/>
      <c r="C1301" s="68" t="s">
        <v>535</v>
      </c>
      <c r="D1301" s="87" t="s">
        <v>61</v>
      </c>
      <c r="E1301" s="85">
        <f>STATS1003B!E1302/1000</f>
        <v>900</v>
      </c>
      <c r="F1301" s="85">
        <f>STATS1003B!F1302/1000</f>
        <v>900</v>
      </c>
      <c r="G1301" s="85">
        <f>STATS1003B!G1302/1000</f>
        <v>0</v>
      </c>
      <c r="H1301" s="85">
        <f>STATS1003B!H1302/1000</f>
        <v>900</v>
      </c>
      <c r="I1301" s="85">
        <f>STATS1003B!I1302/1000</f>
        <v>0</v>
      </c>
      <c r="J1301" s="85">
        <f>STATS1003B!J1302/1000</f>
        <v>900</v>
      </c>
      <c r="K1301" s="85">
        <f>STATS1003B!K1302/1000</f>
        <v>0</v>
      </c>
      <c r="L1301" s="85">
        <f>STATS1003B!L1302/1000</f>
        <v>0</v>
      </c>
      <c r="M1301" s="85">
        <f>STATS1003B!M1302/1000</f>
        <v>900</v>
      </c>
      <c r="N1301" s="85">
        <f>STATS1003B!N1302/1000</f>
        <v>0</v>
      </c>
      <c r="O1301" s="85">
        <f>STATS1003B!O1302/1000</f>
        <v>0</v>
      </c>
      <c r="P1301" s="85">
        <f>STATS1003B!P1302/1000</f>
        <v>0</v>
      </c>
      <c r="Q1301" s="85">
        <f>STATS1003B!Q1302/1000</f>
        <v>900</v>
      </c>
      <c r="R1301" s="85">
        <f>STATS1003B!R1302/1000</f>
        <v>0</v>
      </c>
      <c r="S1301" s="85">
        <f>STATS1003B!S1302/1000</f>
        <v>0</v>
      </c>
      <c r="T1301" s="85">
        <f>STATS1003B!T1302/1000</f>
        <v>0</v>
      </c>
      <c r="U1301" s="85">
        <f>STATS1003B!U1302/1000</f>
        <v>0</v>
      </c>
      <c r="V1301" s="85">
        <f>STATS1003B!V1302/1000</f>
        <v>900</v>
      </c>
      <c r="W1301" s="85">
        <f>STATS1003B!W1302/1000</f>
        <v>0</v>
      </c>
      <c r="X1301" s="85">
        <f t="shared" si="155"/>
        <v>900</v>
      </c>
      <c r="Y1301" s="85">
        <f>STATS1003B!Y1302/1000</f>
        <v>0</v>
      </c>
      <c r="Z1301" s="85">
        <f t="shared" si="154"/>
        <v>0</v>
      </c>
      <c r="AA1301" s="69">
        <f>STATS1003B!AA1302/1000</f>
        <v>900</v>
      </c>
      <c r="AB1301" s="69">
        <f>STATS1003B!AB1302/1000</f>
        <v>0</v>
      </c>
    </row>
    <row r="1302" spans="1:28" hidden="1" x14ac:dyDescent="0.3">
      <c r="A1302" s="117"/>
      <c r="C1302" s="68" t="s">
        <v>929</v>
      </c>
      <c r="D1302" s="90" t="s">
        <v>1072</v>
      </c>
      <c r="E1302" s="85">
        <f>STATS1003B!E1303/1000</f>
        <v>2988.3620000000001</v>
      </c>
      <c r="F1302" s="85">
        <f>STATS1003B!F1303/1000</f>
        <v>2988.3620000000001</v>
      </c>
      <c r="G1302" s="85">
        <f>STATS1003B!G1303/1000</f>
        <v>0</v>
      </c>
      <c r="H1302" s="85">
        <f>STATS1003B!H1303/1000</f>
        <v>2988.3620000000001</v>
      </c>
      <c r="I1302" s="85">
        <f>STATS1003B!I1303/1000</f>
        <v>0</v>
      </c>
      <c r="J1302" s="85">
        <f>STATS1003B!J1303/1000</f>
        <v>0</v>
      </c>
      <c r="K1302" s="85">
        <f>STATS1003B!K1303/1000</f>
        <v>0</v>
      </c>
      <c r="L1302" s="85">
        <f>STATS1003B!L1303/1000</f>
        <v>0</v>
      </c>
      <c r="M1302" s="85">
        <f>STATS1003B!M1303/1000</f>
        <v>2988.3620000000001</v>
      </c>
      <c r="N1302" s="85">
        <f>STATS1003B!N1303/1000</f>
        <v>0</v>
      </c>
      <c r="O1302" s="85">
        <f>STATS1003B!O1303/1000</f>
        <v>0</v>
      </c>
      <c r="P1302" s="85">
        <f>STATS1003B!P1303/1000</f>
        <v>0</v>
      </c>
      <c r="Q1302" s="85">
        <f>STATS1003B!Q1303/1000</f>
        <v>0</v>
      </c>
      <c r="R1302" s="85">
        <f>STATS1003B!R1303/1000</f>
        <v>0</v>
      </c>
      <c r="S1302" s="85">
        <f>STATS1003B!S1303/1000</f>
        <v>0</v>
      </c>
      <c r="T1302" s="85">
        <f>STATS1003B!T1303/1000</f>
        <v>0</v>
      </c>
      <c r="U1302" s="85">
        <f>STATS1003B!U1303/1000</f>
        <v>0</v>
      </c>
      <c r="V1302" s="85">
        <f>STATS1003B!V1303/1000</f>
        <v>2988.3620000000001</v>
      </c>
      <c r="W1302" s="85">
        <f>STATS1003B!W1303/1000</f>
        <v>0</v>
      </c>
      <c r="X1302" s="85">
        <f t="shared" si="155"/>
        <v>2988.3620000000001</v>
      </c>
      <c r="Y1302" s="85">
        <f>STATS1003B!Y1303/1000</f>
        <v>0</v>
      </c>
      <c r="Z1302" s="85">
        <f t="shared" si="154"/>
        <v>0</v>
      </c>
      <c r="AA1302" s="69">
        <f>STATS1003B!AA1303/1000</f>
        <v>2988.3620000000001</v>
      </c>
      <c r="AB1302" s="69">
        <f>STATS1003B!AB1303/1000</f>
        <v>0</v>
      </c>
    </row>
    <row r="1303" spans="1:28" hidden="1" x14ac:dyDescent="0.3">
      <c r="A1303" s="117"/>
      <c r="C1303" s="68" t="s">
        <v>569</v>
      </c>
      <c r="E1303" s="85">
        <f>STATS1003B!E1304/1000</f>
        <v>1704.53</v>
      </c>
      <c r="F1303" s="85">
        <f>STATS1003B!F1304/1000</f>
        <v>1704.53</v>
      </c>
      <c r="G1303" s="85">
        <f>STATS1003B!G1304/1000</f>
        <v>0</v>
      </c>
      <c r="H1303" s="85">
        <f>STATS1003B!H1304/1000</f>
        <v>1704.53</v>
      </c>
      <c r="I1303" s="85">
        <f>STATS1003B!I1304/1000</f>
        <v>0</v>
      </c>
      <c r="J1303" s="85">
        <f>STATS1003B!J1304/1000</f>
        <v>1704.53</v>
      </c>
      <c r="K1303" s="85">
        <f>STATS1003B!K1304/1000</f>
        <v>0</v>
      </c>
      <c r="L1303" s="85">
        <f>STATS1003B!L1304/1000</f>
        <v>0</v>
      </c>
      <c r="M1303" s="85">
        <f>STATS1003B!M1304/1000</f>
        <v>1704.53</v>
      </c>
      <c r="N1303" s="85">
        <f>STATS1003B!N1304/1000</f>
        <v>0</v>
      </c>
      <c r="O1303" s="85">
        <f>STATS1003B!O1304/1000</f>
        <v>0</v>
      </c>
      <c r="P1303" s="85">
        <f>STATS1003B!P1304/1000</f>
        <v>0</v>
      </c>
      <c r="Q1303" s="85">
        <f>STATS1003B!Q1304/1000</f>
        <v>1704.53</v>
      </c>
      <c r="R1303" s="85">
        <f>STATS1003B!R1304/1000</f>
        <v>0</v>
      </c>
      <c r="S1303" s="85">
        <f>STATS1003B!S1304/1000</f>
        <v>0</v>
      </c>
      <c r="T1303" s="85">
        <f>STATS1003B!T1304/1000</f>
        <v>0</v>
      </c>
      <c r="U1303" s="85">
        <f>STATS1003B!U1304/1000</f>
        <v>0</v>
      </c>
      <c r="V1303" s="85">
        <f>STATS1003B!V1304/1000</f>
        <v>1704.53</v>
      </c>
      <c r="W1303" s="85">
        <f>STATS1003B!W1304/1000</f>
        <v>0</v>
      </c>
      <c r="X1303" s="85">
        <f t="shared" si="155"/>
        <v>1704.53</v>
      </c>
      <c r="Y1303" s="85">
        <f>STATS1003B!Y1304/1000</f>
        <v>0</v>
      </c>
      <c r="Z1303" s="85">
        <f t="shared" si="154"/>
        <v>0</v>
      </c>
      <c r="AA1303" s="69">
        <f>STATS1003B!AA1304/1000</f>
        <v>1704.53</v>
      </c>
      <c r="AB1303" s="69">
        <f>STATS1003B!AB1304/1000</f>
        <v>0</v>
      </c>
    </row>
    <row r="1304" spans="1:28" hidden="1" x14ac:dyDescent="0.3">
      <c r="A1304" s="117"/>
      <c r="C1304" s="68" t="s">
        <v>700</v>
      </c>
      <c r="E1304" s="85">
        <f>STATS1003B!E1305/1000</f>
        <v>274.97762</v>
      </c>
      <c r="F1304" s="85">
        <f>STATS1003B!F1305/1000</f>
        <v>225.63897</v>
      </c>
      <c r="G1304" s="85">
        <f>STATS1003B!G1305/1000</f>
        <v>0</v>
      </c>
      <c r="H1304" s="85">
        <f>STATS1003B!H1305/1000</f>
        <v>225.63897</v>
      </c>
      <c r="I1304" s="85">
        <f>STATS1003B!I1305/1000</f>
        <v>0</v>
      </c>
      <c r="J1304" s="85">
        <f>STATS1003B!J1305/1000</f>
        <v>225.63897</v>
      </c>
      <c r="K1304" s="85">
        <f>STATS1003B!K1305/1000</f>
        <v>49.338650000000001</v>
      </c>
      <c r="L1304" s="85">
        <f>STATS1003B!L1305/1000</f>
        <v>0</v>
      </c>
      <c r="M1304" s="85">
        <f>STATS1003B!M1305/1000</f>
        <v>225.63897</v>
      </c>
      <c r="N1304" s="85">
        <f>STATS1003B!N1305/1000</f>
        <v>49.338650000000001</v>
      </c>
      <c r="O1304" s="85">
        <f>STATS1003B!O1305/1000</f>
        <v>0</v>
      </c>
      <c r="P1304" s="85">
        <f>STATS1003B!P1305/1000</f>
        <v>49.338650000000001</v>
      </c>
      <c r="Q1304" s="85">
        <f>STATS1003B!Q1305/1000</f>
        <v>225.63897</v>
      </c>
      <c r="R1304" s="85">
        <f>STATS1003B!R1305/1000</f>
        <v>0</v>
      </c>
      <c r="S1304" s="85">
        <f>STATS1003B!S1305/1000</f>
        <v>0</v>
      </c>
      <c r="T1304" s="85">
        <f>STATS1003B!T1305/1000</f>
        <v>0</v>
      </c>
      <c r="U1304" s="85">
        <f>STATS1003B!U1305/1000</f>
        <v>49.338650000000001</v>
      </c>
      <c r="V1304" s="85">
        <f>STATS1003B!V1305/1000</f>
        <v>274.97762</v>
      </c>
      <c r="W1304" s="85">
        <f>STATS1003B!W1305/1000</f>
        <v>0</v>
      </c>
      <c r="X1304" s="85">
        <f t="shared" si="155"/>
        <v>274.97762</v>
      </c>
      <c r="Y1304" s="85">
        <f>STATS1003B!Y1305/1000</f>
        <v>0</v>
      </c>
      <c r="Z1304" s="85">
        <f t="shared" si="154"/>
        <v>0</v>
      </c>
      <c r="AA1304" s="69">
        <f>STATS1003B!AA1305/1000</f>
        <v>274.97762</v>
      </c>
      <c r="AB1304" s="69">
        <f>STATS1003B!AB1305/1000</f>
        <v>0</v>
      </c>
    </row>
    <row r="1305" spans="1:28" hidden="1" x14ac:dyDescent="0.3">
      <c r="A1305" s="117"/>
      <c r="C1305" s="68" t="s">
        <v>701</v>
      </c>
      <c r="E1305" s="85">
        <f>STATS1003B!E1306/1000</f>
        <v>0</v>
      </c>
      <c r="F1305" s="85">
        <f>STATS1003B!F1306/1000</f>
        <v>0</v>
      </c>
      <c r="G1305" s="85">
        <f>STATS1003B!G1306/1000</f>
        <v>0</v>
      </c>
      <c r="H1305" s="85">
        <f>STATS1003B!H1306/1000</f>
        <v>0</v>
      </c>
      <c r="I1305" s="85">
        <f>STATS1003B!I1306/1000</f>
        <v>0</v>
      </c>
      <c r="J1305" s="85">
        <f>STATS1003B!J1306/1000</f>
        <v>0</v>
      </c>
      <c r="K1305" s="85">
        <f>STATS1003B!K1306/1000</f>
        <v>0</v>
      </c>
      <c r="L1305" s="85">
        <f>STATS1003B!L1306/1000</f>
        <v>0</v>
      </c>
      <c r="M1305" s="85">
        <f>STATS1003B!M1306/1000</f>
        <v>0</v>
      </c>
      <c r="N1305" s="85">
        <f>STATS1003B!N1306/1000</f>
        <v>0</v>
      </c>
      <c r="O1305" s="85">
        <f>STATS1003B!O1306/1000</f>
        <v>0</v>
      </c>
      <c r="P1305" s="85">
        <f>STATS1003B!P1306/1000</f>
        <v>0</v>
      </c>
      <c r="Q1305" s="85">
        <f>STATS1003B!Q1306/1000</f>
        <v>0</v>
      </c>
      <c r="R1305" s="85">
        <f>STATS1003B!R1306/1000</f>
        <v>0</v>
      </c>
      <c r="S1305" s="85">
        <f>STATS1003B!S1306/1000</f>
        <v>0</v>
      </c>
      <c r="T1305" s="85">
        <f>STATS1003B!T1306/1000</f>
        <v>0</v>
      </c>
      <c r="U1305" s="85">
        <f>STATS1003B!U1306/1000</f>
        <v>0</v>
      </c>
      <c r="V1305" s="85">
        <f>STATS1003B!V1306/1000</f>
        <v>0</v>
      </c>
      <c r="W1305" s="85">
        <f>STATS1003B!W1306/1000</f>
        <v>0</v>
      </c>
      <c r="X1305" s="85">
        <f t="shared" si="155"/>
        <v>0</v>
      </c>
      <c r="Y1305" s="85">
        <f>STATS1003B!Y1306/1000</f>
        <v>0</v>
      </c>
      <c r="Z1305" s="85">
        <f t="shared" si="154"/>
        <v>0</v>
      </c>
      <c r="AA1305" s="69">
        <f>STATS1003B!AA1306/1000</f>
        <v>0</v>
      </c>
      <c r="AB1305" s="69">
        <f>STATS1003B!AB1306/1000</f>
        <v>0</v>
      </c>
    </row>
    <row r="1306" spans="1:28" hidden="1" x14ac:dyDescent="0.3">
      <c r="A1306" s="117"/>
      <c r="C1306" s="68" t="s">
        <v>702</v>
      </c>
      <c r="E1306" s="85">
        <f>STATS1003B!E1307/1000</f>
        <v>87.63</v>
      </c>
      <c r="F1306" s="85">
        <f>STATS1003B!F1307/1000</f>
        <v>0</v>
      </c>
      <c r="G1306" s="85">
        <f>STATS1003B!G1307/1000</f>
        <v>0</v>
      </c>
      <c r="H1306" s="85">
        <f>STATS1003B!H1307/1000</f>
        <v>0</v>
      </c>
      <c r="I1306" s="85">
        <f>STATS1003B!I1307/1000</f>
        <v>0</v>
      </c>
      <c r="J1306" s="85">
        <f>STATS1003B!J1307/1000</f>
        <v>0</v>
      </c>
      <c r="K1306" s="85">
        <f>STATS1003B!K1307/1000</f>
        <v>87.63</v>
      </c>
      <c r="L1306" s="85">
        <f>STATS1003B!L1307/1000</f>
        <v>0</v>
      </c>
      <c r="M1306" s="85">
        <f>STATS1003B!M1307/1000</f>
        <v>0</v>
      </c>
      <c r="N1306" s="85">
        <f>STATS1003B!N1307/1000</f>
        <v>87.63</v>
      </c>
      <c r="O1306" s="85">
        <f>STATS1003B!O1307/1000</f>
        <v>0</v>
      </c>
      <c r="P1306" s="85">
        <f>STATS1003B!P1307/1000</f>
        <v>87.63</v>
      </c>
      <c r="Q1306" s="85">
        <f>STATS1003B!Q1307/1000</f>
        <v>0</v>
      </c>
      <c r="R1306" s="85">
        <f>STATS1003B!R1307/1000</f>
        <v>0</v>
      </c>
      <c r="S1306" s="85">
        <f>STATS1003B!S1307/1000</f>
        <v>0</v>
      </c>
      <c r="T1306" s="85">
        <f>STATS1003B!T1307/1000</f>
        <v>0</v>
      </c>
      <c r="U1306" s="85">
        <f>STATS1003B!U1307/1000</f>
        <v>87.63</v>
      </c>
      <c r="V1306" s="85">
        <f>STATS1003B!V1307/1000</f>
        <v>87.63</v>
      </c>
      <c r="W1306" s="85">
        <f>STATS1003B!W1307/1000</f>
        <v>0</v>
      </c>
      <c r="X1306" s="85">
        <f t="shared" si="155"/>
        <v>87.63</v>
      </c>
      <c r="Y1306" s="85">
        <f>STATS1003B!Y1307/1000</f>
        <v>0</v>
      </c>
      <c r="Z1306" s="85">
        <f t="shared" si="154"/>
        <v>0</v>
      </c>
      <c r="AA1306" s="69">
        <f>STATS1003B!AA1307/1000</f>
        <v>87.63</v>
      </c>
      <c r="AB1306" s="69">
        <f>STATS1003B!AB1307/1000</f>
        <v>0</v>
      </c>
    </row>
    <row r="1307" spans="1:28" hidden="1" x14ac:dyDescent="0.3">
      <c r="A1307" s="117"/>
      <c r="C1307" s="68" t="s">
        <v>678</v>
      </c>
      <c r="E1307" s="85">
        <f>STATS1003B!E1308/1000</f>
        <v>7500</v>
      </c>
      <c r="F1307" s="85">
        <f>STATS1003B!F1308/1000</f>
        <v>7500</v>
      </c>
      <c r="G1307" s="85">
        <f>STATS1003B!G1308/1000</f>
        <v>0</v>
      </c>
      <c r="H1307" s="85">
        <f>STATS1003B!H1308/1000</f>
        <v>7500</v>
      </c>
      <c r="I1307" s="85">
        <f>STATS1003B!I1308/1000</f>
        <v>0</v>
      </c>
      <c r="J1307" s="85">
        <f>STATS1003B!J1308/1000</f>
        <v>7500</v>
      </c>
      <c r="K1307" s="85">
        <f>STATS1003B!K1308/1000</f>
        <v>0</v>
      </c>
      <c r="L1307" s="85">
        <f>STATS1003B!L1308/1000</f>
        <v>0</v>
      </c>
      <c r="M1307" s="85">
        <f>STATS1003B!M1308/1000</f>
        <v>7500</v>
      </c>
      <c r="N1307" s="85">
        <f>STATS1003B!N1308/1000</f>
        <v>0</v>
      </c>
      <c r="O1307" s="85">
        <f>STATS1003B!O1308/1000</f>
        <v>0</v>
      </c>
      <c r="P1307" s="85">
        <f>STATS1003B!P1308/1000</f>
        <v>0</v>
      </c>
      <c r="Q1307" s="85">
        <f>STATS1003B!Q1308/1000</f>
        <v>7500</v>
      </c>
      <c r="R1307" s="85">
        <f>STATS1003B!R1308/1000</f>
        <v>0</v>
      </c>
      <c r="S1307" s="85">
        <f>STATS1003B!S1308/1000</f>
        <v>0</v>
      </c>
      <c r="T1307" s="85">
        <f>STATS1003B!T1308/1000</f>
        <v>0</v>
      </c>
      <c r="U1307" s="85">
        <f>STATS1003B!U1308/1000</f>
        <v>0</v>
      </c>
      <c r="V1307" s="85">
        <f>STATS1003B!V1308/1000</f>
        <v>7500</v>
      </c>
      <c r="W1307" s="85">
        <f>STATS1003B!W1308/1000</f>
        <v>0</v>
      </c>
      <c r="X1307" s="85">
        <f t="shared" si="155"/>
        <v>7500</v>
      </c>
      <c r="Y1307" s="85">
        <f>STATS1003B!Y1308/1000</f>
        <v>0</v>
      </c>
      <c r="Z1307" s="85">
        <f t="shared" si="154"/>
        <v>0</v>
      </c>
      <c r="AA1307" s="69">
        <f>STATS1003B!AA1308/1000</f>
        <v>7500</v>
      </c>
      <c r="AB1307" s="69">
        <f>STATS1003B!AB1308/1000</f>
        <v>0</v>
      </c>
    </row>
    <row r="1308" spans="1:28" hidden="1" x14ac:dyDescent="0.3">
      <c r="A1308" s="117"/>
      <c r="E1308" s="86" t="s">
        <v>29</v>
      </c>
      <c r="F1308" s="86" t="s">
        <v>29</v>
      </c>
      <c r="G1308" s="86" t="s">
        <v>29</v>
      </c>
      <c r="H1308" s="86" t="s">
        <v>29</v>
      </c>
      <c r="I1308" s="86" t="s">
        <v>29</v>
      </c>
      <c r="J1308" s="86" t="s">
        <v>29</v>
      </c>
      <c r="K1308" s="86" t="s">
        <v>29</v>
      </c>
      <c r="L1308" s="86" t="s">
        <v>29</v>
      </c>
      <c r="M1308" s="86" t="s">
        <v>29</v>
      </c>
      <c r="N1308" s="86" t="s">
        <v>29</v>
      </c>
      <c r="O1308" s="86" t="s">
        <v>29</v>
      </c>
      <c r="P1308" s="86" t="s">
        <v>29</v>
      </c>
      <c r="Q1308" s="86" t="s">
        <v>29</v>
      </c>
      <c r="R1308" s="86" t="s">
        <v>29</v>
      </c>
      <c r="S1308" s="86" t="s">
        <v>29</v>
      </c>
      <c r="T1308" s="86" t="s">
        <v>29</v>
      </c>
      <c r="U1308" s="86" t="s">
        <v>29</v>
      </c>
      <c r="V1308" s="86" t="s">
        <v>29</v>
      </c>
      <c r="W1308" s="86" t="s">
        <v>29</v>
      </c>
      <c r="X1308" s="85" t="e">
        <f t="shared" si="155"/>
        <v>#VALUE!</v>
      </c>
      <c r="Y1308" s="86" t="s">
        <v>29</v>
      </c>
      <c r="Z1308" s="85" t="e">
        <f t="shared" ref="Z1308:Z1371" si="158">+E1308-X1308</f>
        <v>#VALUE!</v>
      </c>
      <c r="AA1308" s="115" t="s">
        <v>29</v>
      </c>
      <c r="AB1308" s="115" t="s">
        <v>29</v>
      </c>
    </row>
    <row r="1309" spans="1:28" x14ac:dyDescent="0.3">
      <c r="A1309" s="116">
        <v>59</v>
      </c>
      <c r="B1309" s="68" t="s">
        <v>695</v>
      </c>
      <c r="E1309" s="85">
        <f>130598632.22/1000</f>
        <v>130598.63222</v>
      </c>
      <c r="F1309" s="85">
        <f t="shared" ref="F1309:Q1309" si="159">SUM(F1284:F1308)</f>
        <v>37379.374689999997</v>
      </c>
      <c r="G1309" s="85">
        <f t="shared" si="159"/>
        <v>0</v>
      </c>
      <c r="H1309" s="85">
        <f>112148501.65/1000</f>
        <v>112148.50165000001</v>
      </c>
      <c r="I1309" s="85">
        <f t="shared" si="159"/>
        <v>1489.38</v>
      </c>
      <c r="J1309" s="85">
        <f t="shared" si="159"/>
        <v>35880.392690000001</v>
      </c>
      <c r="K1309" s="85">
        <f t="shared" si="159"/>
        <v>16683.150569999998</v>
      </c>
      <c r="L1309" s="85">
        <f t="shared" si="159"/>
        <v>1489.38</v>
      </c>
      <c r="M1309" s="85">
        <f t="shared" si="159"/>
        <v>38868.754690000002</v>
      </c>
      <c r="N1309" s="85">
        <f t="shared" si="159"/>
        <v>16683.150569999998</v>
      </c>
      <c r="O1309" s="85">
        <f t="shared" si="159"/>
        <v>0</v>
      </c>
      <c r="P1309" s="85">
        <f>16683150/1000</f>
        <v>16683.150000000001</v>
      </c>
      <c r="Q1309" s="85">
        <f t="shared" si="159"/>
        <v>36157.992689999999</v>
      </c>
      <c r="R1309" s="86"/>
      <c r="S1309" s="86"/>
      <c r="T1309" s="85">
        <f t="shared" ref="T1309:Y1309" si="160">SUM(T1284:T1308)</f>
        <v>0</v>
      </c>
      <c r="U1309" s="85">
        <f t="shared" si="160"/>
        <v>16683.150569999998</v>
      </c>
      <c r="V1309" s="85">
        <f t="shared" si="160"/>
        <v>54062.525259999995</v>
      </c>
      <c r="W1309" s="85">
        <f t="shared" si="160"/>
        <v>1766.98</v>
      </c>
      <c r="X1309" s="85">
        <f t="shared" si="155"/>
        <v>128831.65165000001</v>
      </c>
      <c r="Y1309" s="85">
        <f t="shared" si="160"/>
        <v>0</v>
      </c>
      <c r="Z1309" s="85">
        <f t="shared" si="158"/>
        <v>1766.9805699999852</v>
      </c>
      <c r="AA1309" s="69">
        <f>SUM(AA1284:AA1308)</f>
        <v>55551.90526</v>
      </c>
      <c r="AB1309" s="69">
        <f>SUM(AB1284:AB1308)</f>
        <v>277.60000000000002</v>
      </c>
    </row>
    <row r="1310" spans="1:28" hidden="1" x14ac:dyDescent="0.3">
      <c r="A1310" s="117"/>
      <c r="E1310" s="86" t="s">
        <v>29</v>
      </c>
      <c r="F1310" s="86" t="s">
        <v>29</v>
      </c>
      <c r="G1310" s="86" t="s">
        <v>29</v>
      </c>
      <c r="H1310" s="86" t="s">
        <v>29</v>
      </c>
      <c r="I1310" s="86" t="s">
        <v>29</v>
      </c>
      <c r="J1310" s="86" t="s">
        <v>29</v>
      </c>
      <c r="K1310" s="86" t="s">
        <v>29</v>
      </c>
      <c r="L1310" s="86" t="s">
        <v>29</v>
      </c>
      <c r="M1310" s="86" t="s">
        <v>29</v>
      </c>
      <c r="N1310" s="86" t="s">
        <v>29</v>
      </c>
      <c r="O1310" s="86" t="s">
        <v>29</v>
      </c>
      <c r="P1310" s="86" t="s">
        <v>29</v>
      </c>
      <c r="Q1310" s="86" t="s">
        <v>29</v>
      </c>
      <c r="R1310" s="86" t="s">
        <v>29</v>
      </c>
      <c r="S1310" s="86" t="s">
        <v>29</v>
      </c>
      <c r="T1310" s="86" t="s">
        <v>29</v>
      </c>
      <c r="U1310" s="86" t="s">
        <v>29</v>
      </c>
      <c r="V1310" s="86" t="s">
        <v>29</v>
      </c>
      <c r="W1310" s="86" t="s">
        <v>29</v>
      </c>
      <c r="X1310" s="85" t="e">
        <f t="shared" si="155"/>
        <v>#VALUE!</v>
      </c>
      <c r="Y1310" s="86" t="s">
        <v>29</v>
      </c>
      <c r="Z1310" s="85" t="e">
        <f t="shared" si="158"/>
        <v>#VALUE!</v>
      </c>
      <c r="AA1310" s="115" t="s">
        <v>29</v>
      </c>
      <c r="AB1310" s="115" t="s">
        <v>29</v>
      </c>
    </row>
    <row r="1311" spans="1:28" hidden="1" x14ac:dyDescent="0.3">
      <c r="A1311" s="105"/>
      <c r="E1311" s="84"/>
      <c r="F1311" s="84"/>
      <c r="G1311" s="84"/>
      <c r="H1311" s="84"/>
      <c r="I1311" s="84"/>
      <c r="J1311" s="84"/>
      <c r="K1311" s="84"/>
      <c r="L1311" s="84"/>
      <c r="M1311" s="84"/>
      <c r="N1311" s="84"/>
      <c r="O1311" s="84"/>
      <c r="P1311" s="84"/>
      <c r="Q1311" s="84"/>
      <c r="R1311" s="86"/>
      <c r="S1311" s="86"/>
      <c r="T1311" s="86"/>
      <c r="U1311" s="86"/>
      <c r="V1311" s="86"/>
      <c r="W1311" s="86"/>
      <c r="X1311" s="85">
        <f t="shared" si="155"/>
        <v>0</v>
      </c>
      <c r="Y1311" s="86"/>
      <c r="Z1311" s="85">
        <f t="shared" si="158"/>
        <v>0</v>
      </c>
    </row>
    <row r="1312" spans="1:28" hidden="1" x14ac:dyDescent="0.3">
      <c r="A1312" s="117"/>
      <c r="C1312" s="68" t="s">
        <v>539</v>
      </c>
      <c r="D1312" s="87" t="s">
        <v>68</v>
      </c>
      <c r="E1312" s="85">
        <f>STATS1003B!E1313/1000</f>
        <v>982.8125</v>
      </c>
      <c r="F1312" s="85">
        <f>STATS1003B!F1313/1000</f>
        <v>0</v>
      </c>
      <c r="G1312" s="85">
        <f>STATS1003B!G1313/1000</f>
        <v>0</v>
      </c>
      <c r="H1312" s="85">
        <f>STATS1003B!H1313/1000</f>
        <v>0</v>
      </c>
      <c r="I1312" s="85">
        <f>STATS1003B!I1313/1000</f>
        <v>0</v>
      </c>
      <c r="J1312" s="85">
        <f>STATS1003B!J1313/1000</f>
        <v>0</v>
      </c>
      <c r="K1312" s="85">
        <f>STATS1003B!K1313/1000</f>
        <v>982.8125</v>
      </c>
      <c r="L1312" s="85">
        <f>STATS1003B!L1313/1000</f>
        <v>0</v>
      </c>
      <c r="M1312" s="85">
        <f>STATS1003B!M1313/1000</f>
        <v>0</v>
      </c>
      <c r="N1312" s="85">
        <f>STATS1003B!N1313/1000</f>
        <v>982.8125</v>
      </c>
      <c r="O1312" s="85">
        <f>STATS1003B!O1313/1000</f>
        <v>0</v>
      </c>
      <c r="P1312" s="85">
        <f>STATS1003B!P1313/1000</f>
        <v>982.8125</v>
      </c>
      <c r="Q1312" s="85">
        <f>STATS1003B!Q1313/1000</f>
        <v>0</v>
      </c>
      <c r="R1312" s="85">
        <f>STATS1003B!R1313/1000</f>
        <v>0</v>
      </c>
      <c r="S1312" s="85">
        <f>STATS1003B!S1313/1000</f>
        <v>0</v>
      </c>
      <c r="T1312" s="85">
        <f>STATS1003B!T1313/1000</f>
        <v>0</v>
      </c>
      <c r="U1312" s="85">
        <f>STATS1003B!U1313/1000</f>
        <v>982.8125</v>
      </c>
      <c r="V1312" s="85">
        <f>STATS1003B!V1313/1000</f>
        <v>982.8125</v>
      </c>
      <c r="W1312" s="85">
        <f>STATS1003B!W1313/1000</f>
        <v>0</v>
      </c>
      <c r="X1312" s="85">
        <f t="shared" si="155"/>
        <v>982.8125</v>
      </c>
      <c r="Y1312" s="85">
        <f>STATS1003B!Y1313/1000</f>
        <v>0</v>
      </c>
      <c r="Z1312" s="85">
        <f t="shared" si="158"/>
        <v>0</v>
      </c>
      <c r="AA1312" s="69">
        <f>STATS1003B!AA1313/1000</f>
        <v>982.8125</v>
      </c>
      <c r="AB1312" s="69">
        <f>STATS1003B!AB1313/1000</f>
        <v>0</v>
      </c>
    </row>
    <row r="1313" spans="1:28" hidden="1" x14ac:dyDescent="0.3">
      <c r="A1313" s="117"/>
      <c r="C1313" s="68" t="s">
        <v>704</v>
      </c>
      <c r="D1313" s="87" t="s">
        <v>68</v>
      </c>
      <c r="E1313" s="85">
        <f>STATS1003B!E1314/1000</f>
        <v>2550</v>
      </c>
      <c r="F1313" s="85">
        <f>STATS1003B!F1314/1000</f>
        <v>2550</v>
      </c>
      <c r="G1313" s="85">
        <f>STATS1003B!G1314/1000</f>
        <v>0</v>
      </c>
      <c r="H1313" s="85">
        <f>STATS1003B!H1314/1000</f>
        <v>2550</v>
      </c>
      <c r="I1313" s="85">
        <f>STATS1003B!I1314/1000</f>
        <v>0</v>
      </c>
      <c r="J1313" s="85">
        <f>STATS1003B!J1314/1000</f>
        <v>2550</v>
      </c>
      <c r="K1313" s="85">
        <f>STATS1003B!K1314/1000</f>
        <v>0</v>
      </c>
      <c r="L1313" s="85">
        <f>STATS1003B!L1314/1000</f>
        <v>0</v>
      </c>
      <c r="M1313" s="85">
        <f>STATS1003B!M1314/1000</f>
        <v>2550</v>
      </c>
      <c r="N1313" s="85">
        <f>STATS1003B!N1314/1000</f>
        <v>0</v>
      </c>
      <c r="O1313" s="85">
        <f>STATS1003B!O1314/1000</f>
        <v>0</v>
      </c>
      <c r="P1313" s="85">
        <f>STATS1003B!P1314/1000</f>
        <v>0</v>
      </c>
      <c r="Q1313" s="85">
        <f>STATS1003B!Q1314/1000</f>
        <v>2550</v>
      </c>
      <c r="R1313" s="85">
        <f>STATS1003B!R1314/1000</f>
        <v>0</v>
      </c>
      <c r="S1313" s="85">
        <f>STATS1003B!S1314/1000</f>
        <v>0</v>
      </c>
      <c r="T1313" s="85">
        <f>STATS1003B!T1314/1000</f>
        <v>0</v>
      </c>
      <c r="U1313" s="85">
        <f>STATS1003B!U1314/1000</f>
        <v>0</v>
      </c>
      <c r="V1313" s="85">
        <f>STATS1003B!V1314/1000</f>
        <v>2550</v>
      </c>
      <c r="W1313" s="85">
        <f>STATS1003B!W1314/1000</f>
        <v>0</v>
      </c>
      <c r="X1313" s="85">
        <f t="shared" si="155"/>
        <v>2550</v>
      </c>
      <c r="Y1313" s="85">
        <f>STATS1003B!Y1314/1000</f>
        <v>0</v>
      </c>
      <c r="Z1313" s="85">
        <f t="shared" si="158"/>
        <v>0</v>
      </c>
      <c r="AA1313" s="69">
        <f>STATS1003B!AA1314/1000</f>
        <v>2550</v>
      </c>
      <c r="AB1313" s="69">
        <f>STATS1003B!AB1314/1000</f>
        <v>0</v>
      </c>
    </row>
    <row r="1314" spans="1:28" hidden="1" x14ac:dyDescent="0.3">
      <c r="A1314" s="117"/>
      <c r="C1314" s="68" t="s">
        <v>535</v>
      </c>
      <c r="D1314" s="87" t="s">
        <v>54</v>
      </c>
      <c r="E1314" s="85">
        <f>STATS1003B!E1315/1000</f>
        <v>911.05</v>
      </c>
      <c r="F1314" s="85">
        <f>STATS1003B!F1315/1000</f>
        <v>911.05</v>
      </c>
      <c r="G1314" s="85">
        <f>STATS1003B!G1315/1000</f>
        <v>0</v>
      </c>
      <c r="H1314" s="85">
        <f>STATS1003B!H1315/1000</f>
        <v>911.05</v>
      </c>
      <c r="I1314" s="85">
        <f>STATS1003B!I1315/1000</f>
        <v>0</v>
      </c>
      <c r="J1314" s="85">
        <f>STATS1003B!J1315/1000</f>
        <v>911.05</v>
      </c>
      <c r="K1314" s="85">
        <f>STATS1003B!K1315/1000</f>
        <v>0</v>
      </c>
      <c r="L1314" s="85">
        <f>STATS1003B!L1315/1000</f>
        <v>0</v>
      </c>
      <c r="M1314" s="85">
        <f>STATS1003B!M1315/1000</f>
        <v>911.05</v>
      </c>
      <c r="N1314" s="85">
        <f>STATS1003B!N1315/1000</f>
        <v>0</v>
      </c>
      <c r="O1314" s="85">
        <f>STATS1003B!O1315/1000</f>
        <v>0</v>
      </c>
      <c r="P1314" s="85">
        <f>STATS1003B!P1315/1000</f>
        <v>0</v>
      </c>
      <c r="Q1314" s="85">
        <f>STATS1003B!Q1315/1000</f>
        <v>911.05</v>
      </c>
      <c r="R1314" s="85">
        <f>STATS1003B!R1315/1000</f>
        <v>0</v>
      </c>
      <c r="S1314" s="85">
        <f>STATS1003B!S1315/1000</f>
        <v>0</v>
      </c>
      <c r="T1314" s="85">
        <f>STATS1003B!T1315/1000</f>
        <v>0</v>
      </c>
      <c r="U1314" s="85">
        <f>STATS1003B!U1315/1000</f>
        <v>0</v>
      </c>
      <c r="V1314" s="85">
        <f>STATS1003B!V1315/1000</f>
        <v>911.05</v>
      </c>
      <c r="W1314" s="85">
        <f>STATS1003B!W1315/1000</f>
        <v>0</v>
      </c>
      <c r="X1314" s="85">
        <f t="shared" si="155"/>
        <v>911.05</v>
      </c>
      <c r="Y1314" s="85">
        <f>STATS1003B!Y1315/1000</f>
        <v>0</v>
      </c>
      <c r="Z1314" s="85">
        <f t="shared" si="158"/>
        <v>0</v>
      </c>
      <c r="AA1314" s="69">
        <f>STATS1003B!AA1315/1000</f>
        <v>911.05</v>
      </c>
      <c r="AB1314" s="69">
        <f>STATS1003B!AB1315/1000</f>
        <v>0</v>
      </c>
    </row>
    <row r="1315" spans="1:28" hidden="1" x14ac:dyDescent="0.3">
      <c r="A1315" s="117"/>
      <c r="C1315" s="68" t="s">
        <v>704</v>
      </c>
      <c r="D1315" s="87" t="s">
        <v>54</v>
      </c>
      <c r="E1315" s="85">
        <f>STATS1003B!E1316/1000</f>
        <v>5985</v>
      </c>
      <c r="F1315" s="85">
        <f>STATS1003B!F1316/1000</f>
        <v>5985</v>
      </c>
      <c r="G1315" s="85">
        <f>STATS1003B!G1316/1000</f>
        <v>0</v>
      </c>
      <c r="H1315" s="85">
        <f>STATS1003B!H1316/1000</f>
        <v>5985</v>
      </c>
      <c r="I1315" s="85">
        <f>STATS1003B!I1316/1000</f>
        <v>0</v>
      </c>
      <c r="J1315" s="85">
        <f>STATS1003B!J1316/1000</f>
        <v>5985</v>
      </c>
      <c r="K1315" s="85">
        <f>STATS1003B!K1316/1000</f>
        <v>0</v>
      </c>
      <c r="L1315" s="85">
        <f>STATS1003B!L1316/1000</f>
        <v>0</v>
      </c>
      <c r="M1315" s="85">
        <f>STATS1003B!M1316/1000</f>
        <v>5985</v>
      </c>
      <c r="N1315" s="85">
        <f>STATS1003B!N1316/1000</f>
        <v>0</v>
      </c>
      <c r="O1315" s="85">
        <f>STATS1003B!O1316/1000</f>
        <v>0</v>
      </c>
      <c r="P1315" s="85">
        <f>STATS1003B!P1316/1000</f>
        <v>0</v>
      </c>
      <c r="Q1315" s="85">
        <f>STATS1003B!Q1316/1000</f>
        <v>5985</v>
      </c>
      <c r="R1315" s="85">
        <f>STATS1003B!R1316/1000</f>
        <v>0</v>
      </c>
      <c r="S1315" s="85">
        <f>STATS1003B!S1316/1000</f>
        <v>0</v>
      </c>
      <c r="T1315" s="85">
        <f>STATS1003B!T1316/1000</f>
        <v>0</v>
      </c>
      <c r="U1315" s="85">
        <f>STATS1003B!U1316/1000</f>
        <v>0</v>
      </c>
      <c r="V1315" s="85">
        <f>STATS1003B!V1316/1000</f>
        <v>5985</v>
      </c>
      <c r="W1315" s="85">
        <f>STATS1003B!W1316/1000</f>
        <v>0</v>
      </c>
      <c r="X1315" s="85">
        <f t="shared" si="155"/>
        <v>5985</v>
      </c>
      <c r="Y1315" s="85">
        <f>STATS1003B!Y1316/1000</f>
        <v>0</v>
      </c>
      <c r="Z1315" s="85">
        <f t="shared" si="158"/>
        <v>0</v>
      </c>
      <c r="AA1315" s="69">
        <f>STATS1003B!AA1316/1000</f>
        <v>5985</v>
      </c>
      <c r="AB1315" s="69">
        <f>STATS1003B!AB1316/1000</f>
        <v>0</v>
      </c>
    </row>
    <row r="1316" spans="1:28" hidden="1" x14ac:dyDescent="0.3">
      <c r="A1316" s="117"/>
      <c r="C1316" s="68" t="s">
        <v>696</v>
      </c>
      <c r="D1316" s="87" t="s">
        <v>54</v>
      </c>
      <c r="E1316" s="85">
        <f>STATS1003B!E1317/1000</f>
        <v>190</v>
      </c>
      <c r="F1316" s="85">
        <f>STATS1003B!F1317/1000</f>
        <v>190</v>
      </c>
      <c r="G1316" s="85">
        <f>STATS1003B!G1317/1000</f>
        <v>0</v>
      </c>
      <c r="H1316" s="85">
        <f>STATS1003B!H1317/1000</f>
        <v>190</v>
      </c>
      <c r="I1316" s="85">
        <f>STATS1003B!I1317/1000</f>
        <v>0</v>
      </c>
      <c r="J1316" s="85">
        <f>STATS1003B!J1317/1000</f>
        <v>190</v>
      </c>
      <c r="K1316" s="85">
        <f>STATS1003B!K1317/1000</f>
        <v>0</v>
      </c>
      <c r="L1316" s="85">
        <f>STATS1003B!L1317/1000</f>
        <v>0</v>
      </c>
      <c r="M1316" s="85">
        <f>STATS1003B!M1317/1000</f>
        <v>190</v>
      </c>
      <c r="N1316" s="85">
        <f>STATS1003B!N1317/1000</f>
        <v>0</v>
      </c>
      <c r="O1316" s="85">
        <f>STATS1003B!O1317/1000</f>
        <v>0</v>
      </c>
      <c r="P1316" s="85">
        <f>STATS1003B!P1317/1000</f>
        <v>0</v>
      </c>
      <c r="Q1316" s="85">
        <f>STATS1003B!Q1317/1000</f>
        <v>190</v>
      </c>
      <c r="R1316" s="85">
        <f>STATS1003B!R1317/1000</f>
        <v>0</v>
      </c>
      <c r="S1316" s="85">
        <f>STATS1003B!S1317/1000</f>
        <v>0</v>
      </c>
      <c r="T1316" s="85">
        <f>STATS1003B!T1317/1000</f>
        <v>0</v>
      </c>
      <c r="U1316" s="85">
        <f>STATS1003B!U1317/1000</f>
        <v>0</v>
      </c>
      <c r="V1316" s="85">
        <f>STATS1003B!V1317/1000</f>
        <v>190</v>
      </c>
      <c r="W1316" s="85">
        <f>STATS1003B!W1317/1000</f>
        <v>0</v>
      </c>
      <c r="X1316" s="85">
        <f t="shared" si="155"/>
        <v>190</v>
      </c>
      <c r="Y1316" s="85">
        <f>STATS1003B!Y1317/1000</f>
        <v>0</v>
      </c>
      <c r="Z1316" s="85">
        <f t="shared" si="158"/>
        <v>0</v>
      </c>
      <c r="AA1316" s="69">
        <f>STATS1003B!AA1317/1000</f>
        <v>190</v>
      </c>
      <c r="AB1316" s="69">
        <f>STATS1003B!AB1317/1000</f>
        <v>0</v>
      </c>
    </row>
    <row r="1317" spans="1:28" hidden="1" x14ac:dyDescent="0.3">
      <c r="A1317" s="117"/>
      <c r="C1317" s="68" t="s">
        <v>655</v>
      </c>
      <c r="D1317" s="87" t="s">
        <v>54</v>
      </c>
      <c r="E1317" s="85">
        <f>STATS1003B!E1318/1000</f>
        <v>955.34561999999994</v>
      </c>
      <c r="F1317" s="85">
        <f>STATS1003B!F1318/1000</f>
        <v>0</v>
      </c>
      <c r="G1317" s="85">
        <f>STATS1003B!G1318/1000</f>
        <v>0</v>
      </c>
      <c r="H1317" s="85">
        <f>STATS1003B!H1318/1000</f>
        <v>0</v>
      </c>
      <c r="I1317" s="85">
        <f>STATS1003B!I1318/1000</f>
        <v>0</v>
      </c>
      <c r="J1317" s="85">
        <f>STATS1003B!J1318/1000</f>
        <v>0</v>
      </c>
      <c r="K1317" s="85">
        <f>STATS1003B!K1318/1000</f>
        <v>955.34561999999994</v>
      </c>
      <c r="L1317" s="85">
        <f>STATS1003B!L1318/1000</f>
        <v>0</v>
      </c>
      <c r="M1317" s="85">
        <f>STATS1003B!M1318/1000</f>
        <v>0</v>
      </c>
      <c r="N1317" s="85">
        <f>STATS1003B!N1318/1000</f>
        <v>955.34561999999994</v>
      </c>
      <c r="O1317" s="85">
        <f>STATS1003B!O1318/1000</f>
        <v>0</v>
      </c>
      <c r="P1317" s="85">
        <f>STATS1003B!P1318/1000</f>
        <v>955.34561999999994</v>
      </c>
      <c r="Q1317" s="85">
        <f>STATS1003B!Q1318/1000</f>
        <v>0</v>
      </c>
      <c r="R1317" s="85">
        <f>STATS1003B!R1318/1000</f>
        <v>0</v>
      </c>
      <c r="S1317" s="85">
        <f>STATS1003B!S1318/1000</f>
        <v>0</v>
      </c>
      <c r="T1317" s="85">
        <f>STATS1003B!T1318/1000</f>
        <v>0</v>
      </c>
      <c r="U1317" s="85">
        <f>STATS1003B!U1318/1000</f>
        <v>955.34561999999994</v>
      </c>
      <c r="V1317" s="85">
        <f>STATS1003B!V1318/1000</f>
        <v>955.34561999999994</v>
      </c>
      <c r="W1317" s="85">
        <f>STATS1003B!W1318/1000</f>
        <v>0</v>
      </c>
      <c r="X1317" s="85">
        <f t="shared" si="155"/>
        <v>955.34561999999994</v>
      </c>
      <c r="Y1317" s="85">
        <f>STATS1003B!Y1318/1000</f>
        <v>0</v>
      </c>
      <c r="Z1317" s="85">
        <f t="shared" si="158"/>
        <v>0</v>
      </c>
      <c r="AA1317" s="69">
        <f>STATS1003B!AA1318/1000</f>
        <v>955.34561999999994</v>
      </c>
      <c r="AB1317" s="69">
        <f>STATS1003B!AB1318/1000</f>
        <v>0</v>
      </c>
    </row>
    <row r="1318" spans="1:28" hidden="1" x14ac:dyDescent="0.3">
      <c r="A1318" s="117"/>
      <c r="C1318" s="68" t="s">
        <v>545</v>
      </c>
      <c r="D1318" s="87" t="s">
        <v>54</v>
      </c>
      <c r="E1318" s="85">
        <f>STATS1003B!E1319/1000</f>
        <v>1953.989</v>
      </c>
      <c r="F1318" s="85">
        <f>STATS1003B!F1319/1000</f>
        <v>0</v>
      </c>
      <c r="G1318" s="85">
        <f>STATS1003B!G1319/1000</f>
        <v>0</v>
      </c>
      <c r="H1318" s="85">
        <f>STATS1003B!H1319/1000</f>
        <v>0</v>
      </c>
      <c r="I1318" s="85">
        <f>STATS1003B!I1319/1000</f>
        <v>0</v>
      </c>
      <c r="J1318" s="85">
        <f>STATS1003B!J1319/1000</f>
        <v>0</v>
      </c>
      <c r="K1318" s="85">
        <f>STATS1003B!K1319/1000</f>
        <v>1953.989</v>
      </c>
      <c r="L1318" s="85">
        <f>STATS1003B!L1319/1000</f>
        <v>0</v>
      </c>
      <c r="M1318" s="85">
        <f>STATS1003B!M1319/1000</f>
        <v>0</v>
      </c>
      <c r="N1318" s="85">
        <f>STATS1003B!N1319/1000</f>
        <v>1953.989</v>
      </c>
      <c r="O1318" s="85">
        <f>STATS1003B!O1319/1000</f>
        <v>0</v>
      </c>
      <c r="P1318" s="85">
        <f>STATS1003B!P1319/1000</f>
        <v>1953.989</v>
      </c>
      <c r="Q1318" s="85">
        <f>STATS1003B!Q1319/1000</f>
        <v>0</v>
      </c>
      <c r="R1318" s="85">
        <f>STATS1003B!R1319/1000</f>
        <v>0</v>
      </c>
      <c r="S1318" s="85">
        <f>STATS1003B!S1319/1000</f>
        <v>0</v>
      </c>
      <c r="T1318" s="85">
        <f>STATS1003B!T1319/1000</f>
        <v>0</v>
      </c>
      <c r="U1318" s="85">
        <f>STATS1003B!U1319/1000</f>
        <v>1953.989</v>
      </c>
      <c r="V1318" s="85">
        <f>STATS1003B!V1319/1000</f>
        <v>1953.989</v>
      </c>
      <c r="W1318" s="85">
        <f>STATS1003B!W1319/1000</f>
        <v>0</v>
      </c>
      <c r="X1318" s="85">
        <f t="shared" si="155"/>
        <v>1953.989</v>
      </c>
      <c r="Y1318" s="85">
        <f>STATS1003B!Y1319/1000</f>
        <v>0</v>
      </c>
      <c r="Z1318" s="85">
        <f t="shared" si="158"/>
        <v>0</v>
      </c>
      <c r="AA1318" s="69">
        <f>STATS1003B!AA1319/1000</f>
        <v>1953.989</v>
      </c>
      <c r="AB1318" s="69">
        <f>STATS1003B!AB1319/1000</f>
        <v>0</v>
      </c>
    </row>
    <row r="1319" spans="1:28" hidden="1" x14ac:dyDescent="0.3">
      <c r="A1319" s="117"/>
      <c r="C1319" s="68" t="s">
        <v>535</v>
      </c>
      <c r="D1319" s="87" t="s">
        <v>85</v>
      </c>
      <c r="E1319" s="85">
        <f>STATS1003B!E1320/1000</f>
        <v>4962.6000000000004</v>
      </c>
      <c r="F1319" s="85">
        <f>STATS1003B!F1320/1000</f>
        <v>4962.6000000000004</v>
      </c>
      <c r="G1319" s="85">
        <f>STATS1003B!G1320/1000</f>
        <v>0</v>
      </c>
      <c r="H1319" s="85">
        <f>STATS1003B!H1320/1000</f>
        <v>4962.6000000000004</v>
      </c>
      <c r="I1319" s="85">
        <f>STATS1003B!I1320/1000</f>
        <v>0</v>
      </c>
      <c r="J1319" s="85">
        <f>STATS1003B!J1320/1000</f>
        <v>4962.6000000000004</v>
      </c>
      <c r="K1319" s="85">
        <f>STATS1003B!K1320/1000</f>
        <v>0</v>
      </c>
      <c r="L1319" s="85">
        <f>STATS1003B!L1320/1000</f>
        <v>0</v>
      </c>
      <c r="M1319" s="85">
        <f>STATS1003B!M1320/1000</f>
        <v>4962.6000000000004</v>
      </c>
      <c r="N1319" s="85">
        <f>STATS1003B!N1320/1000</f>
        <v>0</v>
      </c>
      <c r="O1319" s="85">
        <f>STATS1003B!O1320/1000</f>
        <v>0</v>
      </c>
      <c r="P1319" s="85">
        <f>STATS1003B!P1320/1000</f>
        <v>0</v>
      </c>
      <c r="Q1319" s="85">
        <f>STATS1003B!Q1320/1000</f>
        <v>4962.6000000000004</v>
      </c>
      <c r="R1319" s="85">
        <f>STATS1003B!R1320/1000</f>
        <v>0</v>
      </c>
      <c r="S1319" s="85">
        <f>STATS1003B!S1320/1000</f>
        <v>0</v>
      </c>
      <c r="T1319" s="85">
        <f>STATS1003B!T1320/1000</f>
        <v>0</v>
      </c>
      <c r="U1319" s="85">
        <f>STATS1003B!U1320/1000</f>
        <v>0</v>
      </c>
      <c r="V1319" s="85">
        <f>STATS1003B!V1320/1000</f>
        <v>4962.6000000000004</v>
      </c>
      <c r="W1319" s="85">
        <f>STATS1003B!W1320/1000</f>
        <v>0</v>
      </c>
      <c r="X1319" s="85">
        <f t="shared" si="155"/>
        <v>4962.6000000000004</v>
      </c>
      <c r="Y1319" s="85">
        <f>STATS1003B!Y1320/1000</f>
        <v>0</v>
      </c>
      <c r="Z1319" s="85">
        <f t="shared" si="158"/>
        <v>0</v>
      </c>
      <c r="AA1319" s="69">
        <f>STATS1003B!AA1320/1000</f>
        <v>4962.6000000000004</v>
      </c>
      <c r="AB1319" s="69">
        <f>STATS1003B!AB1320/1000</f>
        <v>0</v>
      </c>
    </row>
    <row r="1320" spans="1:28" hidden="1" x14ac:dyDescent="0.3">
      <c r="A1320" s="117"/>
      <c r="C1320" s="68" t="s">
        <v>650</v>
      </c>
      <c r="D1320" s="87" t="s">
        <v>85</v>
      </c>
      <c r="E1320" s="85">
        <f>STATS1003B!E1321/1000</f>
        <v>160</v>
      </c>
      <c r="F1320" s="85">
        <f>STATS1003B!F1321/1000</f>
        <v>160</v>
      </c>
      <c r="G1320" s="85">
        <f>STATS1003B!G1321/1000</f>
        <v>0</v>
      </c>
      <c r="H1320" s="85">
        <f>STATS1003B!H1321/1000</f>
        <v>160</v>
      </c>
      <c r="I1320" s="85">
        <f>STATS1003B!I1321/1000</f>
        <v>0</v>
      </c>
      <c r="J1320" s="85">
        <f>STATS1003B!J1321/1000</f>
        <v>160</v>
      </c>
      <c r="K1320" s="85">
        <f>STATS1003B!K1321/1000</f>
        <v>0</v>
      </c>
      <c r="L1320" s="85">
        <f>STATS1003B!L1321/1000</f>
        <v>0</v>
      </c>
      <c r="M1320" s="85">
        <f>STATS1003B!M1321/1000</f>
        <v>160</v>
      </c>
      <c r="N1320" s="85">
        <f>STATS1003B!N1321/1000</f>
        <v>0</v>
      </c>
      <c r="O1320" s="85">
        <f>STATS1003B!O1321/1000</f>
        <v>0</v>
      </c>
      <c r="P1320" s="85">
        <f>STATS1003B!P1321/1000</f>
        <v>0</v>
      </c>
      <c r="Q1320" s="85">
        <f>STATS1003B!Q1321/1000</f>
        <v>160</v>
      </c>
      <c r="R1320" s="85">
        <f>STATS1003B!R1321/1000</f>
        <v>0</v>
      </c>
      <c r="S1320" s="85">
        <f>STATS1003B!S1321/1000</f>
        <v>0</v>
      </c>
      <c r="T1320" s="85">
        <f>STATS1003B!T1321/1000</f>
        <v>0</v>
      </c>
      <c r="U1320" s="85">
        <f>STATS1003B!U1321/1000</f>
        <v>0</v>
      </c>
      <c r="V1320" s="85">
        <f>STATS1003B!V1321/1000</f>
        <v>160</v>
      </c>
      <c r="W1320" s="85">
        <f>STATS1003B!W1321/1000</f>
        <v>0</v>
      </c>
      <c r="X1320" s="85">
        <f t="shared" si="155"/>
        <v>160</v>
      </c>
      <c r="Y1320" s="85">
        <f>STATS1003B!Y1321/1000</f>
        <v>0</v>
      </c>
      <c r="Z1320" s="85">
        <f t="shared" si="158"/>
        <v>0</v>
      </c>
      <c r="AA1320" s="69">
        <f>STATS1003B!AA1321/1000</f>
        <v>160</v>
      </c>
      <c r="AB1320" s="69">
        <f>STATS1003B!AB1321/1000</f>
        <v>0</v>
      </c>
    </row>
    <row r="1321" spans="1:28" hidden="1" x14ac:dyDescent="0.3">
      <c r="A1321" s="117"/>
      <c r="C1321" s="68" t="s">
        <v>697</v>
      </c>
      <c r="D1321" s="87" t="s">
        <v>85</v>
      </c>
      <c r="E1321" s="85">
        <f>STATS1003B!E1322/1000</f>
        <v>14</v>
      </c>
      <c r="F1321" s="85">
        <f>STATS1003B!F1322/1000</f>
        <v>14</v>
      </c>
      <c r="G1321" s="85">
        <f>STATS1003B!G1322/1000</f>
        <v>0</v>
      </c>
      <c r="H1321" s="85">
        <f>STATS1003B!H1322/1000</f>
        <v>14</v>
      </c>
      <c r="I1321" s="85">
        <f>STATS1003B!I1322/1000</f>
        <v>0</v>
      </c>
      <c r="J1321" s="85">
        <f>STATS1003B!J1322/1000</f>
        <v>14</v>
      </c>
      <c r="K1321" s="85">
        <f>STATS1003B!K1322/1000</f>
        <v>0</v>
      </c>
      <c r="L1321" s="85">
        <f>STATS1003B!L1322/1000</f>
        <v>0</v>
      </c>
      <c r="M1321" s="85">
        <f>STATS1003B!M1322/1000</f>
        <v>14</v>
      </c>
      <c r="N1321" s="85">
        <f>STATS1003B!N1322/1000</f>
        <v>0</v>
      </c>
      <c r="O1321" s="85">
        <f>STATS1003B!O1322/1000</f>
        <v>0</v>
      </c>
      <c r="P1321" s="85">
        <f>STATS1003B!P1322/1000</f>
        <v>0</v>
      </c>
      <c r="Q1321" s="85">
        <f>STATS1003B!Q1322/1000</f>
        <v>14</v>
      </c>
      <c r="R1321" s="85">
        <f>STATS1003B!R1322/1000</f>
        <v>0</v>
      </c>
      <c r="S1321" s="85">
        <f>STATS1003B!S1322/1000</f>
        <v>0</v>
      </c>
      <c r="T1321" s="85">
        <f>STATS1003B!T1322/1000</f>
        <v>0</v>
      </c>
      <c r="U1321" s="85">
        <f>STATS1003B!U1322/1000</f>
        <v>0</v>
      </c>
      <c r="V1321" s="85">
        <f>STATS1003B!V1322/1000</f>
        <v>14</v>
      </c>
      <c r="W1321" s="85">
        <f>STATS1003B!W1322/1000</f>
        <v>0</v>
      </c>
      <c r="X1321" s="85">
        <f t="shared" si="155"/>
        <v>14</v>
      </c>
      <c r="Y1321" s="85">
        <f>STATS1003B!Y1322/1000</f>
        <v>0</v>
      </c>
      <c r="Z1321" s="85">
        <f t="shared" si="158"/>
        <v>0</v>
      </c>
      <c r="AA1321" s="69">
        <f>STATS1003B!AA1322/1000</f>
        <v>14</v>
      </c>
      <c r="AB1321" s="69">
        <f>STATS1003B!AB1322/1000</f>
        <v>0</v>
      </c>
    </row>
    <row r="1322" spans="1:28" hidden="1" x14ac:dyDescent="0.3">
      <c r="A1322" s="117"/>
      <c r="C1322" s="68" t="s">
        <v>535</v>
      </c>
      <c r="D1322" s="87" t="s">
        <v>88</v>
      </c>
      <c r="E1322" s="85">
        <f>STATS1003B!E1323/1000</f>
        <v>4000</v>
      </c>
      <c r="F1322" s="85">
        <f>STATS1003B!F1323/1000</f>
        <v>4000</v>
      </c>
      <c r="G1322" s="85">
        <f>STATS1003B!G1323/1000</f>
        <v>0</v>
      </c>
      <c r="H1322" s="85">
        <f>STATS1003B!H1323/1000</f>
        <v>4000</v>
      </c>
      <c r="I1322" s="85">
        <f>STATS1003B!I1323/1000</f>
        <v>0</v>
      </c>
      <c r="J1322" s="85">
        <f>STATS1003B!J1323/1000</f>
        <v>4000</v>
      </c>
      <c r="K1322" s="85">
        <f>STATS1003B!K1323/1000</f>
        <v>0</v>
      </c>
      <c r="L1322" s="85">
        <f>STATS1003B!L1323/1000</f>
        <v>0</v>
      </c>
      <c r="M1322" s="85">
        <f>STATS1003B!M1323/1000</f>
        <v>4000</v>
      </c>
      <c r="N1322" s="85">
        <f>STATS1003B!N1323/1000</f>
        <v>0</v>
      </c>
      <c r="O1322" s="85">
        <f>STATS1003B!O1323/1000</f>
        <v>0</v>
      </c>
      <c r="P1322" s="85">
        <f>STATS1003B!P1323/1000</f>
        <v>0</v>
      </c>
      <c r="Q1322" s="85">
        <f>STATS1003B!Q1323/1000</f>
        <v>4000</v>
      </c>
      <c r="R1322" s="85">
        <f>STATS1003B!R1323/1000</f>
        <v>0</v>
      </c>
      <c r="S1322" s="85">
        <f>STATS1003B!S1323/1000</f>
        <v>0</v>
      </c>
      <c r="T1322" s="85">
        <f>STATS1003B!T1323/1000</f>
        <v>0</v>
      </c>
      <c r="U1322" s="85">
        <f>STATS1003B!U1323/1000</f>
        <v>0</v>
      </c>
      <c r="V1322" s="85">
        <f>STATS1003B!V1323/1000</f>
        <v>4000</v>
      </c>
      <c r="W1322" s="85">
        <f>STATS1003B!W1323/1000</f>
        <v>0</v>
      </c>
      <c r="X1322" s="85">
        <f t="shared" si="155"/>
        <v>4000</v>
      </c>
      <c r="Y1322" s="85">
        <f>STATS1003B!Y1323/1000</f>
        <v>0</v>
      </c>
      <c r="Z1322" s="85">
        <f t="shared" si="158"/>
        <v>0</v>
      </c>
      <c r="AA1322" s="69">
        <f>STATS1003B!AA1323/1000</f>
        <v>4000</v>
      </c>
      <c r="AB1322" s="69">
        <f>STATS1003B!AB1323/1000</f>
        <v>0</v>
      </c>
    </row>
    <row r="1323" spans="1:28" hidden="1" x14ac:dyDescent="0.3">
      <c r="A1323" s="117"/>
      <c r="C1323" s="68" t="s">
        <v>705</v>
      </c>
      <c r="D1323" s="87" t="s">
        <v>88</v>
      </c>
      <c r="E1323" s="85">
        <f>STATS1003B!E1324/1000</f>
        <v>969.38800000000003</v>
      </c>
      <c r="F1323" s="85">
        <f>STATS1003B!F1324/1000</f>
        <v>969.38800000000003</v>
      </c>
      <c r="G1323" s="85">
        <f>STATS1003B!G1324/1000</f>
        <v>0</v>
      </c>
      <c r="H1323" s="85">
        <f>STATS1003B!H1324/1000</f>
        <v>969.38800000000003</v>
      </c>
      <c r="I1323" s="85">
        <f>STATS1003B!I1324/1000</f>
        <v>0</v>
      </c>
      <c r="J1323" s="85">
        <f>STATS1003B!J1324/1000</f>
        <v>969.38800000000003</v>
      </c>
      <c r="K1323" s="85">
        <f>STATS1003B!K1324/1000</f>
        <v>0</v>
      </c>
      <c r="L1323" s="85">
        <f>STATS1003B!L1324/1000</f>
        <v>0</v>
      </c>
      <c r="M1323" s="85">
        <f>STATS1003B!M1324/1000</f>
        <v>969.38800000000003</v>
      </c>
      <c r="N1323" s="85">
        <f>STATS1003B!N1324/1000</f>
        <v>0</v>
      </c>
      <c r="O1323" s="85">
        <f>STATS1003B!O1324/1000</f>
        <v>0</v>
      </c>
      <c r="P1323" s="85">
        <f>STATS1003B!P1324/1000</f>
        <v>0</v>
      </c>
      <c r="Q1323" s="85">
        <f>STATS1003B!Q1324/1000</f>
        <v>969.38800000000003</v>
      </c>
      <c r="R1323" s="85">
        <f>STATS1003B!R1324/1000</f>
        <v>0</v>
      </c>
      <c r="S1323" s="85">
        <f>STATS1003B!S1324/1000</f>
        <v>0</v>
      </c>
      <c r="T1323" s="85">
        <f>STATS1003B!T1324/1000</f>
        <v>0</v>
      </c>
      <c r="U1323" s="85">
        <f>STATS1003B!U1324/1000</f>
        <v>0</v>
      </c>
      <c r="V1323" s="85">
        <f>STATS1003B!V1324/1000</f>
        <v>969.38800000000003</v>
      </c>
      <c r="W1323" s="85">
        <f>STATS1003B!W1324/1000</f>
        <v>0</v>
      </c>
      <c r="X1323" s="85">
        <f t="shared" si="155"/>
        <v>969.38800000000003</v>
      </c>
      <c r="Y1323" s="85">
        <f>STATS1003B!Y1324/1000</f>
        <v>0</v>
      </c>
      <c r="Z1323" s="85">
        <f t="shared" si="158"/>
        <v>0</v>
      </c>
      <c r="AA1323" s="69">
        <f>STATS1003B!AA1324/1000</f>
        <v>969.38800000000003</v>
      </c>
      <c r="AB1323" s="69">
        <f>STATS1003B!AB1324/1000</f>
        <v>0</v>
      </c>
    </row>
    <row r="1324" spans="1:28" hidden="1" x14ac:dyDescent="0.3">
      <c r="A1324" s="117"/>
      <c r="C1324" s="68" t="s">
        <v>535</v>
      </c>
      <c r="D1324" s="87" t="s">
        <v>108</v>
      </c>
      <c r="E1324" s="85">
        <f>STATS1003B!E1325/1000</f>
        <v>1384.694</v>
      </c>
      <c r="F1324" s="85">
        <f>STATS1003B!F1325/1000</f>
        <v>1384.694</v>
      </c>
      <c r="G1324" s="85">
        <f>STATS1003B!G1325/1000</f>
        <v>0</v>
      </c>
      <c r="H1324" s="85">
        <f>STATS1003B!H1325/1000</f>
        <v>1384.694</v>
      </c>
      <c r="I1324" s="85">
        <f>STATS1003B!I1325/1000</f>
        <v>0</v>
      </c>
      <c r="J1324" s="85">
        <f>STATS1003B!J1325/1000</f>
        <v>1384.694</v>
      </c>
      <c r="K1324" s="85">
        <f>STATS1003B!K1325/1000</f>
        <v>0</v>
      </c>
      <c r="L1324" s="85">
        <f>STATS1003B!L1325/1000</f>
        <v>0</v>
      </c>
      <c r="M1324" s="85">
        <f>STATS1003B!M1325/1000</f>
        <v>1384.694</v>
      </c>
      <c r="N1324" s="85">
        <f>STATS1003B!N1325/1000</f>
        <v>0</v>
      </c>
      <c r="O1324" s="85">
        <f>STATS1003B!O1325/1000</f>
        <v>0</v>
      </c>
      <c r="P1324" s="85">
        <f>STATS1003B!P1325/1000</f>
        <v>0</v>
      </c>
      <c r="Q1324" s="85">
        <f>STATS1003B!Q1325/1000</f>
        <v>1384.694</v>
      </c>
      <c r="R1324" s="85">
        <f>STATS1003B!R1325/1000</f>
        <v>0</v>
      </c>
      <c r="S1324" s="85">
        <f>STATS1003B!S1325/1000</f>
        <v>0</v>
      </c>
      <c r="T1324" s="85">
        <f>STATS1003B!T1325/1000</f>
        <v>0</v>
      </c>
      <c r="U1324" s="85">
        <f>STATS1003B!U1325/1000</f>
        <v>0</v>
      </c>
      <c r="V1324" s="85">
        <f>STATS1003B!V1325/1000</f>
        <v>1384.694</v>
      </c>
      <c r="W1324" s="85">
        <f>STATS1003B!W1325/1000</f>
        <v>0</v>
      </c>
      <c r="X1324" s="85">
        <f t="shared" si="155"/>
        <v>1384.694</v>
      </c>
      <c r="Y1324" s="85">
        <f>STATS1003B!Y1325/1000</f>
        <v>0</v>
      </c>
      <c r="Z1324" s="85">
        <f t="shared" si="158"/>
        <v>0</v>
      </c>
      <c r="AA1324" s="69">
        <f>STATS1003B!AA1325/1000</f>
        <v>1384.694</v>
      </c>
      <c r="AB1324" s="69">
        <f>STATS1003B!AB1325/1000</f>
        <v>0</v>
      </c>
    </row>
    <row r="1325" spans="1:28" hidden="1" x14ac:dyDescent="0.3">
      <c r="A1325" s="117"/>
      <c r="C1325" s="68" t="s">
        <v>535</v>
      </c>
      <c r="D1325" s="87" t="s">
        <v>58</v>
      </c>
      <c r="E1325" s="85">
        <f>STATS1003B!E1326/1000</f>
        <v>2080.9430000000002</v>
      </c>
      <c r="F1325" s="85">
        <f>STATS1003B!F1326/1000</f>
        <v>2080.9430000000002</v>
      </c>
      <c r="G1325" s="85">
        <f>STATS1003B!G1326/1000</f>
        <v>0</v>
      </c>
      <c r="H1325" s="85">
        <f>STATS1003B!H1326/1000</f>
        <v>2080.9430000000002</v>
      </c>
      <c r="I1325" s="85">
        <f>STATS1003B!I1326/1000</f>
        <v>0</v>
      </c>
      <c r="J1325" s="85">
        <f>STATS1003B!J1326/1000</f>
        <v>2080.9430000000002</v>
      </c>
      <c r="K1325" s="85">
        <f>STATS1003B!K1326/1000</f>
        <v>0</v>
      </c>
      <c r="L1325" s="85">
        <f>STATS1003B!L1326/1000</f>
        <v>0</v>
      </c>
      <c r="M1325" s="85">
        <f>STATS1003B!M1326/1000</f>
        <v>2080.9430000000002</v>
      </c>
      <c r="N1325" s="85">
        <f>STATS1003B!N1326/1000</f>
        <v>0</v>
      </c>
      <c r="O1325" s="85">
        <f>STATS1003B!O1326/1000</f>
        <v>0</v>
      </c>
      <c r="P1325" s="85">
        <f>STATS1003B!P1326/1000</f>
        <v>0</v>
      </c>
      <c r="Q1325" s="85">
        <f>STATS1003B!Q1326/1000</f>
        <v>2080.9430000000002</v>
      </c>
      <c r="R1325" s="85">
        <f>STATS1003B!R1326/1000</f>
        <v>0</v>
      </c>
      <c r="S1325" s="85">
        <f>STATS1003B!S1326/1000</f>
        <v>0</v>
      </c>
      <c r="T1325" s="85">
        <f>STATS1003B!T1326/1000</f>
        <v>0</v>
      </c>
      <c r="U1325" s="85">
        <f>STATS1003B!U1326/1000</f>
        <v>0</v>
      </c>
      <c r="V1325" s="85">
        <f>STATS1003B!V1326/1000</f>
        <v>2080.9430000000002</v>
      </c>
      <c r="W1325" s="85">
        <f>STATS1003B!W1326/1000</f>
        <v>0</v>
      </c>
      <c r="X1325" s="85">
        <f t="shared" si="155"/>
        <v>2080.9430000000002</v>
      </c>
      <c r="Y1325" s="85">
        <f>STATS1003B!Y1326/1000</f>
        <v>0</v>
      </c>
      <c r="Z1325" s="85">
        <f t="shared" si="158"/>
        <v>0</v>
      </c>
      <c r="AA1325" s="69">
        <f>STATS1003B!AA1326/1000</f>
        <v>2080.9430000000002</v>
      </c>
      <c r="AB1325" s="69">
        <f>STATS1003B!AB1326/1000</f>
        <v>0</v>
      </c>
    </row>
    <row r="1326" spans="1:28" hidden="1" x14ac:dyDescent="0.3">
      <c r="A1326" s="117"/>
      <c r="C1326" s="68" t="s">
        <v>706</v>
      </c>
      <c r="D1326" s="87" t="s">
        <v>58</v>
      </c>
      <c r="E1326" s="85">
        <f>STATS1003B!E1327/1000</f>
        <v>1140.569</v>
      </c>
      <c r="F1326" s="85">
        <f>STATS1003B!F1327/1000</f>
        <v>1140.569</v>
      </c>
      <c r="G1326" s="85">
        <f>STATS1003B!G1327/1000</f>
        <v>0</v>
      </c>
      <c r="H1326" s="85">
        <f>STATS1003B!H1327/1000</f>
        <v>1140.569</v>
      </c>
      <c r="I1326" s="85">
        <f>STATS1003B!I1327/1000</f>
        <v>0</v>
      </c>
      <c r="J1326" s="85">
        <f>STATS1003B!J1327/1000</f>
        <v>1140.569</v>
      </c>
      <c r="K1326" s="85">
        <f>STATS1003B!K1327/1000</f>
        <v>0</v>
      </c>
      <c r="L1326" s="85">
        <f>STATS1003B!L1327/1000</f>
        <v>0</v>
      </c>
      <c r="M1326" s="85">
        <f>STATS1003B!M1327/1000</f>
        <v>1140.569</v>
      </c>
      <c r="N1326" s="85">
        <f>STATS1003B!N1327/1000</f>
        <v>0</v>
      </c>
      <c r="O1326" s="85">
        <f>STATS1003B!O1327/1000</f>
        <v>0</v>
      </c>
      <c r="P1326" s="85">
        <f>STATS1003B!P1327/1000</f>
        <v>0</v>
      </c>
      <c r="Q1326" s="85">
        <f>STATS1003B!Q1327/1000</f>
        <v>1140.569</v>
      </c>
      <c r="R1326" s="85">
        <f>STATS1003B!R1327/1000</f>
        <v>0</v>
      </c>
      <c r="S1326" s="85">
        <f>STATS1003B!S1327/1000</f>
        <v>0</v>
      </c>
      <c r="T1326" s="85">
        <f>STATS1003B!T1327/1000</f>
        <v>0</v>
      </c>
      <c r="U1326" s="85">
        <f>STATS1003B!U1327/1000</f>
        <v>0</v>
      </c>
      <c r="V1326" s="85">
        <f>STATS1003B!V1327/1000</f>
        <v>1140.569</v>
      </c>
      <c r="W1326" s="85">
        <f>STATS1003B!W1327/1000</f>
        <v>0</v>
      </c>
      <c r="X1326" s="85">
        <f t="shared" si="155"/>
        <v>1140.569</v>
      </c>
      <c r="Y1326" s="85">
        <f>STATS1003B!Y1327/1000</f>
        <v>0</v>
      </c>
      <c r="Z1326" s="85">
        <f t="shared" si="158"/>
        <v>0</v>
      </c>
      <c r="AA1326" s="69">
        <f>STATS1003B!AA1327/1000</f>
        <v>1140.569</v>
      </c>
      <c r="AB1326" s="69">
        <f>STATS1003B!AB1327/1000</f>
        <v>0</v>
      </c>
    </row>
    <row r="1327" spans="1:28" hidden="1" x14ac:dyDescent="0.3">
      <c r="A1327" s="117"/>
      <c r="C1327" s="68" t="s">
        <v>535</v>
      </c>
      <c r="D1327" s="88" t="s">
        <v>60</v>
      </c>
      <c r="E1327" s="85">
        <f>STATS1003B!E1328/1000</f>
        <v>5799.6419999999998</v>
      </c>
      <c r="F1327" s="85">
        <f>STATS1003B!F1328/1000</f>
        <v>5799.6419999999998</v>
      </c>
      <c r="G1327" s="85">
        <f>STATS1003B!G1328/1000</f>
        <v>0</v>
      </c>
      <c r="H1327" s="85">
        <f>STATS1003B!H1328/1000</f>
        <v>5799.6419999999998</v>
      </c>
      <c r="I1327" s="85">
        <f>STATS1003B!I1328/1000</f>
        <v>0</v>
      </c>
      <c r="J1327" s="85">
        <f>STATS1003B!J1328/1000</f>
        <v>5799.6419999999998</v>
      </c>
      <c r="K1327" s="85">
        <f>STATS1003B!K1328/1000</f>
        <v>0</v>
      </c>
      <c r="L1327" s="85">
        <f>STATS1003B!L1328/1000</f>
        <v>0</v>
      </c>
      <c r="M1327" s="85">
        <f>STATS1003B!M1328/1000</f>
        <v>5799.6419999999998</v>
      </c>
      <c r="N1327" s="85">
        <f>STATS1003B!N1328/1000</f>
        <v>0</v>
      </c>
      <c r="O1327" s="85">
        <f>STATS1003B!O1328/1000</f>
        <v>0</v>
      </c>
      <c r="P1327" s="85">
        <f>STATS1003B!P1328/1000</f>
        <v>0</v>
      </c>
      <c r="Q1327" s="85">
        <f>STATS1003B!Q1328/1000</f>
        <v>5799.6419999999998</v>
      </c>
      <c r="R1327" s="85">
        <f>STATS1003B!R1328/1000</f>
        <v>0</v>
      </c>
      <c r="S1327" s="85">
        <f>STATS1003B!S1328/1000</f>
        <v>0</v>
      </c>
      <c r="T1327" s="85">
        <f>STATS1003B!T1328/1000</f>
        <v>0</v>
      </c>
      <c r="U1327" s="85">
        <f>STATS1003B!U1328/1000</f>
        <v>0</v>
      </c>
      <c r="V1327" s="85">
        <f>STATS1003B!V1328/1000</f>
        <v>5799.6419999999998</v>
      </c>
      <c r="W1327" s="85">
        <f>STATS1003B!W1328/1000</f>
        <v>0</v>
      </c>
      <c r="X1327" s="85">
        <f t="shared" si="155"/>
        <v>5799.6419999999998</v>
      </c>
      <c r="Y1327" s="85">
        <f>STATS1003B!Y1328/1000</f>
        <v>0</v>
      </c>
      <c r="Z1327" s="85">
        <f t="shared" si="158"/>
        <v>0</v>
      </c>
      <c r="AA1327" s="69">
        <f>STATS1003B!AA1328/1000</f>
        <v>5799.6419999999998</v>
      </c>
      <c r="AB1327" s="69">
        <f>STATS1003B!AB1328/1000</f>
        <v>0</v>
      </c>
    </row>
    <row r="1328" spans="1:28" hidden="1" x14ac:dyDescent="0.3">
      <c r="A1328" s="117"/>
      <c r="C1328" s="71" t="s">
        <v>535</v>
      </c>
      <c r="D1328" s="88" t="s">
        <v>73</v>
      </c>
      <c r="E1328" s="85">
        <f>STATS1003B!E1329/1000</f>
        <v>6352</v>
      </c>
      <c r="F1328" s="85">
        <f>STATS1003B!F1329/1000</f>
        <v>6352</v>
      </c>
      <c r="G1328" s="85">
        <f>STATS1003B!G1329/1000</f>
        <v>0</v>
      </c>
      <c r="H1328" s="85">
        <f>STATS1003B!H1329/1000</f>
        <v>6352</v>
      </c>
      <c r="I1328" s="85">
        <f>STATS1003B!I1329/1000</f>
        <v>0</v>
      </c>
      <c r="J1328" s="85">
        <f>STATS1003B!J1329/1000</f>
        <v>6352</v>
      </c>
      <c r="K1328" s="85">
        <f>STATS1003B!K1329/1000</f>
        <v>0</v>
      </c>
      <c r="L1328" s="85">
        <f>STATS1003B!L1329/1000</f>
        <v>0</v>
      </c>
      <c r="M1328" s="85">
        <f>STATS1003B!M1329/1000</f>
        <v>6352</v>
      </c>
      <c r="N1328" s="85">
        <f>STATS1003B!N1329/1000</f>
        <v>0</v>
      </c>
      <c r="O1328" s="85">
        <f>STATS1003B!O1329/1000</f>
        <v>0</v>
      </c>
      <c r="P1328" s="85">
        <f>STATS1003B!P1329/1000</f>
        <v>0</v>
      </c>
      <c r="Q1328" s="85">
        <f>STATS1003B!Q1329/1000</f>
        <v>6352</v>
      </c>
      <c r="R1328" s="85">
        <f>STATS1003B!R1329/1000</f>
        <v>0</v>
      </c>
      <c r="S1328" s="85">
        <f>STATS1003B!S1329/1000</f>
        <v>0</v>
      </c>
      <c r="T1328" s="85">
        <f>STATS1003B!T1329/1000</f>
        <v>0</v>
      </c>
      <c r="U1328" s="85">
        <f>STATS1003B!U1329/1000</f>
        <v>0</v>
      </c>
      <c r="V1328" s="85">
        <f>STATS1003B!V1329/1000</f>
        <v>6352</v>
      </c>
      <c r="W1328" s="85">
        <f>STATS1003B!W1329/1000</f>
        <v>0</v>
      </c>
      <c r="X1328" s="85">
        <f t="shared" si="155"/>
        <v>6352</v>
      </c>
      <c r="Y1328" s="85">
        <f>STATS1003B!Y1329/1000</f>
        <v>0</v>
      </c>
      <c r="Z1328" s="85">
        <f t="shared" si="158"/>
        <v>0</v>
      </c>
      <c r="AA1328" s="69">
        <f>STATS1003B!AA1329/1000</f>
        <v>6352</v>
      </c>
      <c r="AB1328" s="69">
        <f>STATS1003B!AB1329/1000</f>
        <v>0</v>
      </c>
    </row>
    <row r="1329" spans="1:28" hidden="1" x14ac:dyDescent="0.3">
      <c r="A1329" s="117"/>
      <c r="C1329" s="71" t="s">
        <v>535</v>
      </c>
      <c r="D1329" s="88" t="s">
        <v>61</v>
      </c>
      <c r="E1329" s="85">
        <f>STATS1003B!E1330/1000</f>
        <v>3923.5998100000002</v>
      </c>
      <c r="F1329" s="85">
        <f>STATS1003B!F1330/1000</f>
        <v>3836</v>
      </c>
      <c r="G1329" s="85">
        <f>STATS1003B!G1330/1000</f>
        <v>0</v>
      </c>
      <c r="H1329" s="85">
        <f>STATS1003B!H1330/1000</f>
        <v>3836</v>
      </c>
      <c r="I1329" s="85">
        <f>STATS1003B!I1330/1000</f>
        <v>0</v>
      </c>
      <c r="J1329" s="85">
        <f>STATS1003B!J1330/1000</f>
        <v>3836</v>
      </c>
      <c r="K1329" s="85">
        <f>STATS1003B!K1330/1000</f>
        <v>0</v>
      </c>
      <c r="L1329" s="85">
        <f>STATS1003B!L1330/1000</f>
        <v>0</v>
      </c>
      <c r="M1329" s="85">
        <f>STATS1003B!M1330/1000</f>
        <v>3836</v>
      </c>
      <c r="N1329" s="85">
        <f>STATS1003B!N1330/1000</f>
        <v>0</v>
      </c>
      <c r="O1329" s="85">
        <f>STATS1003B!O1330/1000</f>
        <v>0</v>
      </c>
      <c r="P1329" s="85">
        <f>STATS1003B!P1330/1000</f>
        <v>0</v>
      </c>
      <c r="Q1329" s="85">
        <f>STATS1003B!Q1330/1000</f>
        <v>3923.5998100000002</v>
      </c>
      <c r="R1329" s="85">
        <f>STATS1003B!R1330/1000</f>
        <v>0</v>
      </c>
      <c r="S1329" s="85">
        <f>STATS1003B!S1330/1000</f>
        <v>0</v>
      </c>
      <c r="T1329" s="85">
        <f>STATS1003B!T1330/1000</f>
        <v>87.599809999999991</v>
      </c>
      <c r="U1329" s="85">
        <f>STATS1003B!U1330/1000</f>
        <v>87.599809999999991</v>
      </c>
      <c r="V1329" s="85">
        <f>STATS1003B!V1330/1000</f>
        <v>3836</v>
      </c>
      <c r="W1329" s="85">
        <f>STATS1003B!W1330/1000</f>
        <v>87.599810000000062</v>
      </c>
      <c r="X1329" s="85">
        <f t="shared" si="155"/>
        <v>3836</v>
      </c>
      <c r="Y1329" s="85">
        <f>STATS1003B!Y1330/1000</f>
        <v>0</v>
      </c>
      <c r="Z1329" s="85">
        <f t="shared" si="158"/>
        <v>87.599810000000161</v>
      </c>
      <c r="AA1329" s="69">
        <f>STATS1003B!AA1330/1000</f>
        <v>3923.5998100000002</v>
      </c>
      <c r="AB1329" s="69">
        <f>STATS1003B!AB1330/1000</f>
        <v>0</v>
      </c>
    </row>
    <row r="1330" spans="1:28" hidden="1" x14ac:dyDescent="0.3">
      <c r="A1330" s="117"/>
      <c r="C1330" s="95" t="s">
        <v>1072</v>
      </c>
      <c r="D1330" s="88"/>
      <c r="E1330" s="85">
        <f>STATS1003B!E1331/1000</f>
        <v>3074</v>
      </c>
      <c r="F1330" s="85">
        <f>STATS1003B!F1331/1000</f>
        <v>3074</v>
      </c>
      <c r="G1330" s="85">
        <f>STATS1003B!G1331/1000</f>
        <v>0</v>
      </c>
      <c r="H1330" s="85">
        <f>STATS1003B!H1331/1000</f>
        <v>3074</v>
      </c>
      <c r="I1330" s="85">
        <f>STATS1003B!I1331/1000</f>
        <v>0</v>
      </c>
      <c r="J1330" s="85">
        <f>STATS1003B!J1331/1000</f>
        <v>0</v>
      </c>
      <c r="K1330" s="85">
        <f>STATS1003B!K1331/1000</f>
        <v>0</v>
      </c>
      <c r="L1330" s="85">
        <f>STATS1003B!L1331/1000</f>
        <v>0</v>
      </c>
      <c r="M1330" s="85">
        <f>STATS1003B!M1331/1000</f>
        <v>3074</v>
      </c>
      <c r="N1330" s="85">
        <f>STATS1003B!N1331/1000</f>
        <v>0</v>
      </c>
      <c r="O1330" s="85">
        <f>STATS1003B!O1331/1000</f>
        <v>0</v>
      </c>
      <c r="P1330" s="85">
        <f>STATS1003B!P1331/1000</f>
        <v>0</v>
      </c>
      <c r="Q1330" s="85">
        <f>STATS1003B!Q1331/1000</f>
        <v>0</v>
      </c>
      <c r="R1330" s="85">
        <f>STATS1003B!R1331/1000</f>
        <v>0</v>
      </c>
      <c r="S1330" s="85">
        <f>STATS1003B!S1331/1000</f>
        <v>0</v>
      </c>
      <c r="T1330" s="85">
        <f>STATS1003B!T1331/1000</f>
        <v>0</v>
      </c>
      <c r="U1330" s="85">
        <f>STATS1003B!U1331/1000</f>
        <v>0</v>
      </c>
      <c r="V1330" s="85">
        <f>STATS1003B!V1331/1000</f>
        <v>0</v>
      </c>
      <c r="W1330" s="85">
        <f>STATS1003B!W1331/1000</f>
        <v>0</v>
      </c>
      <c r="X1330" s="85">
        <f t="shared" si="155"/>
        <v>3074</v>
      </c>
      <c r="Y1330" s="85">
        <f>STATS1003B!Y1331/1000</f>
        <v>0</v>
      </c>
      <c r="Z1330" s="85">
        <f t="shared" si="158"/>
        <v>0</v>
      </c>
      <c r="AA1330" s="69">
        <f>STATS1003B!AA1331/1000</f>
        <v>3074</v>
      </c>
      <c r="AB1330" s="69">
        <f>STATS1003B!AB1331/1000</f>
        <v>0</v>
      </c>
    </row>
    <row r="1331" spans="1:28" hidden="1" x14ac:dyDescent="0.3">
      <c r="A1331" s="117"/>
      <c r="C1331" s="71" t="s">
        <v>1173</v>
      </c>
      <c r="D1331" s="89" t="s">
        <v>1126</v>
      </c>
      <c r="E1331" s="85">
        <f>STATS1003B!E1332/1000</f>
        <v>5126</v>
      </c>
      <c r="F1331" s="85">
        <f>STATS1003B!F1332/1000</f>
        <v>5126</v>
      </c>
      <c r="G1331" s="85">
        <f>STATS1003B!G1332/1000</f>
        <v>0</v>
      </c>
      <c r="H1331" s="85">
        <f>STATS1003B!H1332/1000</f>
        <v>5126</v>
      </c>
      <c r="I1331" s="85">
        <f>STATS1003B!I1332/1000</f>
        <v>0</v>
      </c>
      <c r="J1331" s="85">
        <f>STATS1003B!J1332/1000</f>
        <v>0</v>
      </c>
      <c r="K1331" s="85">
        <f>STATS1003B!K1332/1000</f>
        <v>0</v>
      </c>
      <c r="L1331" s="85">
        <f>STATS1003B!L1332/1000</f>
        <v>0</v>
      </c>
      <c r="M1331" s="85">
        <f>STATS1003B!M1332/1000</f>
        <v>5126</v>
      </c>
      <c r="N1331" s="85">
        <f>STATS1003B!N1332/1000</f>
        <v>0</v>
      </c>
      <c r="O1331" s="85">
        <f>STATS1003B!O1332/1000</f>
        <v>0</v>
      </c>
      <c r="P1331" s="85">
        <f>STATS1003B!P1332/1000</f>
        <v>0</v>
      </c>
      <c r="Q1331" s="85">
        <f>STATS1003B!Q1332/1000</f>
        <v>0</v>
      </c>
      <c r="R1331" s="85">
        <f>STATS1003B!R1332/1000</f>
        <v>0</v>
      </c>
      <c r="S1331" s="85">
        <f>STATS1003B!S1332/1000</f>
        <v>0</v>
      </c>
      <c r="T1331" s="85">
        <f>STATS1003B!T1332/1000</f>
        <v>0</v>
      </c>
      <c r="U1331" s="85">
        <f>STATS1003B!U1332/1000</f>
        <v>0</v>
      </c>
      <c r="V1331" s="85">
        <f>STATS1003B!V1332/1000</f>
        <v>0</v>
      </c>
      <c r="W1331" s="85">
        <f>STATS1003B!W1332/1000</f>
        <v>0</v>
      </c>
      <c r="X1331" s="85">
        <f t="shared" si="155"/>
        <v>5126</v>
      </c>
      <c r="Y1331" s="85">
        <f>STATS1003B!Y1332/1000</f>
        <v>0</v>
      </c>
      <c r="Z1331" s="85">
        <f t="shared" si="158"/>
        <v>0</v>
      </c>
      <c r="AA1331" s="69">
        <f>STATS1003B!AA1332/1000</f>
        <v>5126</v>
      </c>
      <c r="AB1331" s="69">
        <f>STATS1003B!AB1332/1000</f>
        <v>0</v>
      </c>
    </row>
    <row r="1332" spans="1:28" hidden="1" x14ac:dyDescent="0.3">
      <c r="A1332" s="117"/>
      <c r="C1332" s="71" t="s">
        <v>1245</v>
      </c>
      <c r="D1332" s="89" t="s">
        <v>1225</v>
      </c>
      <c r="E1332" s="85">
        <f>STATS1003B!E1333/1000</f>
        <v>2385.72127</v>
      </c>
      <c r="F1332" s="85">
        <f>STATS1003B!F1333/1000</f>
        <v>2385.72127</v>
      </c>
      <c r="G1332" s="85">
        <f>STATS1003B!G1333/1000</f>
        <v>0</v>
      </c>
      <c r="H1332" s="85">
        <f>STATS1003B!H1333/1000</f>
        <v>2385.72127</v>
      </c>
      <c r="I1332" s="85">
        <f>STATS1003B!I1333/1000</f>
        <v>0</v>
      </c>
      <c r="J1332" s="85">
        <f>STATS1003B!J1333/1000</f>
        <v>0</v>
      </c>
      <c r="K1332" s="85">
        <f>STATS1003B!K1333/1000</f>
        <v>0</v>
      </c>
      <c r="L1332" s="85">
        <f>STATS1003B!L1333/1000</f>
        <v>0</v>
      </c>
      <c r="M1332" s="85">
        <f>STATS1003B!M1333/1000</f>
        <v>2385.72127</v>
      </c>
      <c r="N1332" s="85">
        <f>STATS1003B!N1333/1000</f>
        <v>0</v>
      </c>
      <c r="O1332" s="85">
        <f>STATS1003B!O1333/1000</f>
        <v>0</v>
      </c>
      <c r="P1332" s="85">
        <f>STATS1003B!P1333/1000</f>
        <v>0</v>
      </c>
      <c r="Q1332" s="85">
        <f>STATS1003B!Q1333/1000</f>
        <v>0</v>
      </c>
      <c r="R1332" s="85">
        <f>STATS1003B!R1333/1000</f>
        <v>0</v>
      </c>
      <c r="S1332" s="85">
        <f>STATS1003B!S1333/1000</f>
        <v>0</v>
      </c>
      <c r="T1332" s="85">
        <f>STATS1003B!T1333/1000</f>
        <v>0</v>
      </c>
      <c r="U1332" s="85">
        <f>STATS1003B!U1333/1000</f>
        <v>0</v>
      </c>
      <c r="V1332" s="85">
        <f>STATS1003B!V1333/1000</f>
        <v>0</v>
      </c>
      <c r="W1332" s="85">
        <f>STATS1003B!W1333/1000</f>
        <v>0</v>
      </c>
      <c r="X1332" s="85">
        <f t="shared" si="155"/>
        <v>2385.72127</v>
      </c>
      <c r="Y1332" s="85">
        <f>STATS1003B!Y1333/1000</f>
        <v>0</v>
      </c>
      <c r="Z1332" s="85">
        <f t="shared" si="158"/>
        <v>0</v>
      </c>
      <c r="AA1332" s="69">
        <f>STATS1003B!AA1333/1000</f>
        <v>2385.72127</v>
      </c>
      <c r="AB1332" s="69">
        <f>STATS1003B!AB1333/1000</f>
        <v>0</v>
      </c>
    </row>
    <row r="1333" spans="1:28" hidden="1" x14ac:dyDescent="0.3">
      <c r="A1333" s="117"/>
      <c r="C1333" s="68" t="s">
        <v>577</v>
      </c>
      <c r="E1333" s="85">
        <f>STATS1003B!E1334/1000</f>
        <v>4005.0149999999999</v>
      </c>
      <c r="F1333" s="85">
        <f>STATS1003B!F1334/1000</f>
        <v>4005.0149999999999</v>
      </c>
      <c r="G1333" s="85">
        <f>STATS1003B!G1334/1000</f>
        <v>0</v>
      </c>
      <c r="H1333" s="85">
        <f>STATS1003B!H1334/1000</f>
        <v>4005.0149999999999</v>
      </c>
      <c r="I1333" s="85">
        <f>STATS1003B!I1334/1000</f>
        <v>0</v>
      </c>
      <c r="J1333" s="85">
        <f>STATS1003B!J1334/1000</f>
        <v>4005.0149999999999</v>
      </c>
      <c r="K1333" s="85">
        <f>STATS1003B!K1334/1000</f>
        <v>0</v>
      </c>
      <c r="L1333" s="85">
        <f>STATS1003B!L1334/1000</f>
        <v>0</v>
      </c>
      <c r="M1333" s="85">
        <f>STATS1003B!M1334/1000</f>
        <v>4005.0149999999999</v>
      </c>
      <c r="N1333" s="85">
        <f>STATS1003B!N1334/1000</f>
        <v>0</v>
      </c>
      <c r="O1333" s="85">
        <f>STATS1003B!O1334/1000</f>
        <v>0</v>
      </c>
      <c r="P1333" s="85">
        <f>STATS1003B!P1334/1000</f>
        <v>0</v>
      </c>
      <c r="Q1333" s="85">
        <f>STATS1003B!Q1334/1000</f>
        <v>4005.0149999999999</v>
      </c>
      <c r="R1333" s="85">
        <f>STATS1003B!R1334/1000</f>
        <v>0</v>
      </c>
      <c r="S1333" s="85">
        <f>STATS1003B!S1334/1000</f>
        <v>0</v>
      </c>
      <c r="T1333" s="85">
        <f>STATS1003B!T1334/1000</f>
        <v>0</v>
      </c>
      <c r="U1333" s="85">
        <f>STATS1003B!U1334/1000</f>
        <v>0</v>
      </c>
      <c r="V1333" s="85">
        <f>STATS1003B!V1334/1000</f>
        <v>4005.0149999999999</v>
      </c>
      <c r="W1333" s="85">
        <f>STATS1003B!W1334/1000</f>
        <v>0</v>
      </c>
      <c r="X1333" s="85">
        <f t="shared" si="155"/>
        <v>4005.0149999999999</v>
      </c>
      <c r="Y1333" s="85">
        <f>STATS1003B!Y1334/1000</f>
        <v>0</v>
      </c>
      <c r="Z1333" s="85">
        <f t="shared" si="158"/>
        <v>0</v>
      </c>
      <c r="AA1333" s="69">
        <f>STATS1003B!AA1334/1000</f>
        <v>4005.0149999999999</v>
      </c>
      <c r="AB1333" s="69">
        <f>STATS1003B!AB1334/1000</f>
        <v>0</v>
      </c>
    </row>
    <row r="1334" spans="1:28" hidden="1" x14ac:dyDescent="0.3">
      <c r="A1334" s="117"/>
      <c r="C1334" s="68" t="s">
        <v>707</v>
      </c>
      <c r="E1334" s="85">
        <f>STATS1003B!E1335/1000</f>
        <v>600</v>
      </c>
      <c r="F1334" s="85">
        <f>STATS1003B!F1335/1000</f>
        <v>600</v>
      </c>
      <c r="G1334" s="85">
        <f>STATS1003B!G1335/1000</f>
        <v>0</v>
      </c>
      <c r="H1334" s="85">
        <f>STATS1003B!H1335/1000</f>
        <v>600</v>
      </c>
      <c r="I1334" s="85">
        <f>STATS1003B!I1335/1000</f>
        <v>0</v>
      </c>
      <c r="J1334" s="85">
        <f>STATS1003B!J1335/1000</f>
        <v>600</v>
      </c>
      <c r="K1334" s="85">
        <f>STATS1003B!K1335/1000</f>
        <v>0</v>
      </c>
      <c r="L1334" s="85">
        <f>STATS1003B!L1335/1000</f>
        <v>0</v>
      </c>
      <c r="M1334" s="85">
        <f>STATS1003B!M1335/1000</f>
        <v>600</v>
      </c>
      <c r="N1334" s="85">
        <f>STATS1003B!N1335/1000</f>
        <v>0</v>
      </c>
      <c r="O1334" s="85">
        <f>STATS1003B!O1335/1000</f>
        <v>0</v>
      </c>
      <c r="P1334" s="85">
        <f>STATS1003B!P1335/1000</f>
        <v>0</v>
      </c>
      <c r="Q1334" s="85">
        <f>STATS1003B!Q1335/1000</f>
        <v>600</v>
      </c>
      <c r="R1334" s="85">
        <f>STATS1003B!R1335/1000</f>
        <v>0</v>
      </c>
      <c r="S1334" s="85">
        <f>STATS1003B!S1335/1000</f>
        <v>0</v>
      </c>
      <c r="T1334" s="85">
        <f>STATS1003B!T1335/1000</f>
        <v>0</v>
      </c>
      <c r="U1334" s="85">
        <f>STATS1003B!U1335/1000</f>
        <v>0</v>
      </c>
      <c r="V1334" s="85">
        <f>STATS1003B!V1335/1000</f>
        <v>600</v>
      </c>
      <c r="W1334" s="85">
        <f>STATS1003B!W1335/1000</f>
        <v>0</v>
      </c>
      <c r="X1334" s="85">
        <f t="shared" si="155"/>
        <v>600</v>
      </c>
      <c r="Y1334" s="85">
        <f>STATS1003B!Y1335/1000</f>
        <v>0</v>
      </c>
      <c r="Z1334" s="85">
        <f t="shared" si="158"/>
        <v>0</v>
      </c>
      <c r="AA1334" s="69">
        <f>STATS1003B!AA1335/1000</f>
        <v>600</v>
      </c>
      <c r="AB1334" s="69">
        <f>STATS1003B!AB1335/1000</f>
        <v>0</v>
      </c>
    </row>
    <row r="1335" spans="1:28" hidden="1" x14ac:dyDescent="0.3">
      <c r="A1335" s="117"/>
      <c r="C1335" s="68" t="s">
        <v>708</v>
      </c>
      <c r="E1335" s="85">
        <f>STATS1003B!E1336/1000</f>
        <v>1050</v>
      </c>
      <c r="F1335" s="85">
        <f>STATS1003B!F1336/1000</f>
        <v>1050</v>
      </c>
      <c r="G1335" s="85">
        <f>STATS1003B!G1336/1000</f>
        <v>0</v>
      </c>
      <c r="H1335" s="85">
        <f>STATS1003B!H1336/1000</f>
        <v>1050</v>
      </c>
      <c r="I1335" s="85">
        <f>STATS1003B!I1336/1000</f>
        <v>0</v>
      </c>
      <c r="J1335" s="85">
        <f>STATS1003B!J1336/1000</f>
        <v>1050</v>
      </c>
      <c r="K1335" s="85">
        <f>STATS1003B!K1336/1000</f>
        <v>0</v>
      </c>
      <c r="L1335" s="85">
        <f>STATS1003B!L1336/1000</f>
        <v>0</v>
      </c>
      <c r="M1335" s="85">
        <f>STATS1003B!M1336/1000</f>
        <v>1050</v>
      </c>
      <c r="N1335" s="85">
        <f>STATS1003B!N1336/1000</f>
        <v>0</v>
      </c>
      <c r="O1335" s="85">
        <f>STATS1003B!O1336/1000</f>
        <v>0</v>
      </c>
      <c r="P1335" s="85">
        <f>STATS1003B!P1336/1000</f>
        <v>0</v>
      </c>
      <c r="Q1335" s="85">
        <f>STATS1003B!Q1336/1000</f>
        <v>1050</v>
      </c>
      <c r="R1335" s="85">
        <f>STATS1003B!R1336/1000</f>
        <v>0</v>
      </c>
      <c r="S1335" s="85">
        <f>STATS1003B!S1336/1000</f>
        <v>0</v>
      </c>
      <c r="T1335" s="85">
        <f>STATS1003B!T1336/1000</f>
        <v>0</v>
      </c>
      <c r="U1335" s="85">
        <f>STATS1003B!U1336/1000</f>
        <v>0</v>
      </c>
      <c r="V1335" s="85">
        <f>STATS1003B!V1336/1000</f>
        <v>1050</v>
      </c>
      <c r="W1335" s="85">
        <f>STATS1003B!W1336/1000</f>
        <v>0</v>
      </c>
      <c r="X1335" s="85">
        <f t="shared" si="155"/>
        <v>1050</v>
      </c>
      <c r="Y1335" s="85">
        <f>STATS1003B!Y1336/1000</f>
        <v>0</v>
      </c>
      <c r="Z1335" s="85">
        <f t="shared" si="158"/>
        <v>0</v>
      </c>
      <c r="AA1335" s="69">
        <f>STATS1003B!AA1336/1000</f>
        <v>1050</v>
      </c>
      <c r="AB1335" s="69">
        <f>STATS1003B!AB1336/1000</f>
        <v>0</v>
      </c>
    </row>
    <row r="1336" spans="1:28" hidden="1" x14ac:dyDescent="0.3">
      <c r="A1336" s="117"/>
      <c r="B1336" s="87" t="s">
        <v>709</v>
      </c>
      <c r="C1336" s="68" t="s">
        <v>710</v>
      </c>
      <c r="E1336" s="85">
        <f>STATS1003B!E1337/1000</f>
        <v>2000</v>
      </c>
      <c r="F1336" s="85">
        <f>STATS1003B!F1337/1000</f>
        <v>2000</v>
      </c>
      <c r="G1336" s="85">
        <f>STATS1003B!G1337/1000</f>
        <v>0</v>
      </c>
      <c r="H1336" s="85">
        <f>STATS1003B!H1337/1000</f>
        <v>2000</v>
      </c>
      <c r="I1336" s="85">
        <f>STATS1003B!I1337/1000</f>
        <v>0</v>
      </c>
      <c r="J1336" s="85">
        <f>STATS1003B!J1337/1000</f>
        <v>2000</v>
      </c>
      <c r="K1336" s="85">
        <f>STATS1003B!K1337/1000</f>
        <v>0</v>
      </c>
      <c r="L1336" s="85">
        <f>STATS1003B!L1337/1000</f>
        <v>0</v>
      </c>
      <c r="M1336" s="85">
        <f>STATS1003B!M1337/1000</f>
        <v>2000</v>
      </c>
      <c r="N1336" s="85">
        <f>STATS1003B!N1337/1000</f>
        <v>0</v>
      </c>
      <c r="O1336" s="85">
        <f>STATS1003B!O1337/1000</f>
        <v>0</v>
      </c>
      <c r="P1336" s="85">
        <f>STATS1003B!P1337/1000</f>
        <v>0</v>
      </c>
      <c r="Q1336" s="85">
        <f>STATS1003B!Q1337/1000</f>
        <v>2000</v>
      </c>
      <c r="R1336" s="85">
        <f>STATS1003B!R1337/1000</f>
        <v>0</v>
      </c>
      <c r="S1336" s="85">
        <f>STATS1003B!S1337/1000</f>
        <v>0</v>
      </c>
      <c r="T1336" s="85">
        <f>STATS1003B!T1337/1000</f>
        <v>0</v>
      </c>
      <c r="U1336" s="85">
        <f>STATS1003B!U1337/1000</f>
        <v>0</v>
      </c>
      <c r="V1336" s="85">
        <f>STATS1003B!V1337/1000</f>
        <v>2000</v>
      </c>
      <c r="W1336" s="85">
        <f>STATS1003B!W1337/1000</f>
        <v>0</v>
      </c>
      <c r="X1336" s="85">
        <f t="shared" si="155"/>
        <v>2000</v>
      </c>
      <c r="Y1336" s="85">
        <f>STATS1003B!Y1337/1000</f>
        <v>0</v>
      </c>
      <c r="Z1336" s="85">
        <f t="shared" si="158"/>
        <v>0</v>
      </c>
      <c r="AA1336" s="69">
        <f>STATS1003B!AA1337/1000</f>
        <v>2000</v>
      </c>
      <c r="AB1336" s="69">
        <f>STATS1003B!AB1337/1000</f>
        <v>0</v>
      </c>
    </row>
    <row r="1337" spans="1:28" hidden="1" x14ac:dyDescent="0.3">
      <c r="A1337" s="117"/>
      <c r="C1337" s="68" t="s">
        <v>678</v>
      </c>
      <c r="E1337" s="85">
        <f>STATS1003B!E1338/1000</f>
        <v>5000</v>
      </c>
      <c r="F1337" s="85">
        <f>STATS1003B!F1338/1000</f>
        <v>5000</v>
      </c>
      <c r="G1337" s="85">
        <f>STATS1003B!G1338/1000</f>
        <v>0</v>
      </c>
      <c r="H1337" s="85">
        <f>STATS1003B!H1338/1000</f>
        <v>5000</v>
      </c>
      <c r="I1337" s="85">
        <f>STATS1003B!I1338/1000</f>
        <v>0</v>
      </c>
      <c r="J1337" s="85">
        <f>STATS1003B!J1338/1000</f>
        <v>5000</v>
      </c>
      <c r="K1337" s="85">
        <f>STATS1003B!K1338/1000</f>
        <v>0</v>
      </c>
      <c r="L1337" s="85">
        <f>STATS1003B!L1338/1000</f>
        <v>0</v>
      </c>
      <c r="M1337" s="85">
        <f>STATS1003B!M1338/1000</f>
        <v>5000</v>
      </c>
      <c r="N1337" s="85">
        <f>STATS1003B!N1338/1000</f>
        <v>0</v>
      </c>
      <c r="O1337" s="85">
        <f>STATS1003B!O1338/1000</f>
        <v>0</v>
      </c>
      <c r="P1337" s="85">
        <f>STATS1003B!P1338/1000</f>
        <v>0</v>
      </c>
      <c r="Q1337" s="85">
        <f>STATS1003B!Q1338/1000</f>
        <v>5000</v>
      </c>
      <c r="R1337" s="85">
        <f>STATS1003B!R1338/1000</f>
        <v>0</v>
      </c>
      <c r="S1337" s="85">
        <f>STATS1003B!S1338/1000</f>
        <v>0</v>
      </c>
      <c r="T1337" s="85">
        <f>STATS1003B!T1338/1000</f>
        <v>0</v>
      </c>
      <c r="U1337" s="85">
        <f>STATS1003B!U1338/1000</f>
        <v>0</v>
      </c>
      <c r="V1337" s="85">
        <f>STATS1003B!V1338/1000</f>
        <v>5000</v>
      </c>
      <c r="W1337" s="85">
        <f>STATS1003B!W1338/1000</f>
        <v>0</v>
      </c>
      <c r="X1337" s="85">
        <f t="shared" si="155"/>
        <v>5000</v>
      </c>
      <c r="Y1337" s="85">
        <f>STATS1003B!Y1338/1000</f>
        <v>0</v>
      </c>
      <c r="Z1337" s="85">
        <f t="shared" si="158"/>
        <v>0</v>
      </c>
      <c r="AA1337" s="69">
        <f>STATS1003B!AA1338/1000</f>
        <v>5000</v>
      </c>
      <c r="AB1337" s="69">
        <f>STATS1003B!AB1338/1000</f>
        <v>0</v>
      </c>
    </row>
    <row r="1338" spans="1:28" hidden="1" x14ac:dyDescent="0.3">
      <c r="A1338" s="117"/>
      <c r="E1338" s="86" t="s">
        <v>29</v>
      </c>
      <c r="F1338" s="86" t="s">
        <v>29</v>
      </c>
      <c r="G1338" s="86" t="s">
        <v>29</v>
      </c>
      <c r="H1338" s="86" t="s">
        <v>29</v>
      </c>
      <c r="I1338" s="86" t="s">
        <v>29</v>
      </c>
      <c r="J1338" s="86" t="s">
        <v>29</v>
      </c>
      <c r="K1338" s="86" t="s">
        <v>29</v>
      </c>
      <c r="L1338" s="86" t="s">
        <v>29</v>
      </c>
      <c r="M1338" s="86" t="s">
        <v>29</v>
      </c>
      <c r="N1338" s="86" t="s">
        <v>29</v>
      </c>
      <c r="O1338" s="86" t="s">
        <v>29</v>
      </c>
      <c r="P1338" s="86" t="s">
        <v>29</v>
      </c>
      <c r="Q1338" s="86" t="s">
        <v>29</v>
      </c>
      <c r="R1338" s="86" t="s">
        <v>29</v>
      </c>
      <c r="S1338" s="86" t="s">
        <v>29</v>
      </c>
      <c r="T1338" s="86" t="s">
        <v>29</v>
      </c>
      <c r="U1338" s="86" t="s">
        <v>29</v>
      </c>
      <c r="V1338" s="86" t="s">
        <v>29</v>
      </c>
      <c r="W1338" s="86" t="s">
        <v>29</v>
      </c>
      <c r="X1338" s="85" t="e">
        <f t="shared" si="155"/>
        <v>#VALUE!</v>
      </c>
      <c r="Y1338" s="86" t="s">
        <v>29</v>
      </c>
      <c r="Z1338" s="85" t="e">
        <f t="shared" si="158"/>
        <v>#VALUE!</v>
      </c>
      <c r="AA1338" s="115" t="s">
        <v>29</v>
      </c>
      <c r="AB1338" s="115" t="s">
        <v>29</v>
      </c>
    </row>
    <row r="1339" spans="1:28" x14ac:dyDescent="0.3">
      <c r="A1339" s="125">
        <v>60</v>
      </c>
      <c r="B1339" s="68" t="s">
        <v>703</v>
      </c>
      <c r="E1339" s="85">
        <f>158285649.2/1000</f>
        <v>158285.64919999999</v>
      </c>
      <c r="F1339" s="85">
        <f t="shared" ref="F1339:Q1339" si="161">SUM(F1312:F1338)</f>
        <v>63576.62227</v>
      </c>
      <c r="G1339" s="85">
        <f t="shared" si="161"/>
        <v>0</v>
      </c>
      <c r="H1339" s="85">
        <f>154305902.27/1000</f>
        <v>154305.90227000002</v>
      </c>
      <c r="I1339" s="85">
        <f t="shared" si="161"/>
        <v>0</v>
      </c>
      <c r="J1339" s="85">
        <f t="shared" si="161"/>
        <v>52990.900999999998</v>
      </c>
      <c r="K1339" s="85">
        <f t="shared" si="161"/>
        <v>3892.1471200000001</v>
      </c>
      <c r="L1339" s="85">
        <f t="shared" si="161"/>
        <v>0</v>
      </c>
      <c r="M1339" s="85">
        <f t="shared" si="161"/>
        <v>63576.62227</v>
      </c>
      <c r="N1339" s="85">
        <f t="shared" si="161"/>
        <v>3892.1471200000001</v>
      </c>
      <c r="O1339" s="85">
        <f t="shared" si="161"/>
        <v>0</v>
      </c>
      <c r="P1339" s="85">
        <f>3892147/1000</f>
        <v>3892.1469999999999</v>
      </c>
      <c r="Q1339" s="85">
        <f t="shared" si="161"/>
        <v>53078.500809999998</v>
      </c>
      <c r="R1339" s="86"/>
      <c r="S1339" s="86"/>
      <c r="T1339" s="85">
        <f t="shared" ref="T1339:Y1339" si="162">SUM(T1312:T1338)</f>
        <v>87.599809999999991</v>
      </c>
      <c r="U1339" s="85">
        <f t="shared" si="162"/>
        <v>3979.7469300000002</v>
      </c>
      <c r="V1339" s="85">
        <f t="shared" si="162"/>
        <v>56883.048119999992</v>
      </c>
      <c r="W1339" s="85">
        <f t="shared" si="162"/>
        <v>87.599810000000062</v>
      </c>
      <c r="X1339" s="85">
        <f t="shared" si="155"/>
        <v>158198.04927000002</v>
      </c>
      <c r="Y1339" s="85">
        <f t="shared" si="162"/>
        <v>0</v>
      </c>
      <c r="Z1339" s="85">
        <f t="shared" si="158"/>
        <v>87.599929999967571</v>
      </c>
      <c r="AA1339" s="69">
        <f>SUM(AA1312:AA1338)</f>
        <v>67556.369199999986</v>
      </c>
      <c r="AB1339" s="69">
        <f>SUM(AB1312:AB1338)</f>
        <v>0</v>
      </c>
    </row>
    <row r="1340" spans="1:28" hidden="1" x14ac:dyDescent="0.3">
      <c r="A1340" s="117"/>
      <c r="E1340" s="86" t="s">
        <v>29</v>
      </c>
      <c r="F1340" s="86" t="s">
        <v>29</v>
      </c>
      <c r="G1340" s="86" t="s">
        <v>29</v>
      </c>
      <c r="H1340" s="86" t="s">
        <v>29</v>
      </c>
      <c r="I1340" s="86" t="s">
        <v>29</v>
      </c>
      <c r="J1340" s="86" t="s">
        <v>29</v>
      </c>
      <c r="K1340" s="86" t="s">
        <v>29</v>
      </c>
      <c r="L1340" s="86" t="s">
        <v>29</v>
      </c>
      <c r="M1340" s="86" t="s">
        <v>29</v>
      </c>
      <c r="N1340" s="86" t="s">
        <v>29</v>
      </c>
      <c r="O1340" s="86" t="s">
        <v>29</v>
      </c>
      <c r="P1340" s="86" t="s">
        <v>29</v>
      </c>
      <c r="Q1340" s="86" t="s">
        <v>29</v>
      </c>
      <c r="R1340" s="86" t="s">
        <v>29</v>
      </c>
      <c r="S1340" s="86" t="s">
        <v>29</v>
      </c>
      <c r="T1340" s="86" t="s">
        <v>29</v>
      </c>
      <c r="U1340" s="86" t="s">
        <v>29</v>
      </c>
      <c r="V1340" s="86" t="s">
        <v>29</v>
      </c>
      <c r="W1340" s="86" t="s">
        <v>29</v>
      </c>
      <c r="X1340" s="85" t="e">
        <f t="shared" si="155"/>
        <v>#VALUE!</v>
      </c>
      <c r="Y1340" s="86" t="s">
        <v>29</v>
      </c>
      <c r="Z1340" s="85" t="e">
        <f t="shared" si="158"/>
        <v>#VALUE!</v>
      </c>
      <c r="AA1340" s="115" t="s">
        <v>29</v>
      </c>
      <c r="AB1340" s="115" t="s">
        <v>29</v>
      </c>
    </row>
    <row r="1341" spans="1:28" hidden="1" x14ac:dyDescent="0.3">
      <c r="A1341" s="105"/>
      <c r="E1341" s="84"/>
      <c r="F1341" s="84"/>
      <c r="G1341" s="84"/>
      <c r="H1341" s="84"/>
      <c r="I1341" s="84"/>
      <c r="J1341" s="84"/>
      <c r="K1341" s="84"/>
      <c r="L1341" s="84"/>
      <c r="M1341" s="84"/>
      <c r="N1341" s="84"/>
      <c r="O1341" s="84"/>
      <c r="P1341" s="84"/>
      <c r="Q1341" s="84"/>
      <c r="R1341" s="86"/>
      <c r="S1341" s="86"/>
      <c r="T1341" s="86"/>
      <c r="U1341" s="86"/>
      <c r="V1341" s="86"/>
      <c r="W1341" s="86"/>
      <c r="X1341" s="85">
        <f t="shared" si="155"/>
        <v>0</v>
      </c>
      <c r="Y1341" s="86"/>
      <c r="Z1341" s="85">
        <f t="shared" si="158"/>
        <v>0</v>
      </c>
    </row>
    <row r="1342" spans="1:28" hidden="1" x14ac:dyDescent="0.3">
      <c r="A1342" s="117"/>
      <c r="C1342" s="68" t="s">
        <v>535</v>
      </c>
      <c r="D1342" s="87" t="s">
        <v>68</v>
      </c>
      <c r="E1342" s="85">
        <f>STATS1003B!E1343/1000</f>
        <v>776.33708000000001</v>
      </c>
      <c r="F1342" s="85">
        <f>STATS1003B!F1343/1000</f>
        <v>776.33708000000001</v>
      </c>
      <c r="G1342" s="85">
        <f>STATS1003B!G1343/1000</f>
        <v>0</v>
      </c>
      <c r="H1342" s="85">
        <f>STATS1003B!H1343/1000</f>
        <v>776.33708000000001</v>
      </c>
      <c r="I1342" s="85">
        <f>STATS1003B!I1343/1000</f>
        <v>0</v>
      </c>
      <c r="J1342" s="85">
        <f>STATS1003B!J1343/1000</f>
        <v>776.33708000000001</v>
      </c>
      <c r="K1342" s="85">
        <f>STATS1003B!K1343/1000</f>
        <v>0</v>
      </c>
      <c r="L1342" s="85">
        <f>STATS1003B!L1343/1000</f>
        <v>0</v>
      </c>
      <c r="M1342" s="85">
        <f>STATS1003B!M1343/1000</f>
        <v>776.33708000000001</v>
      </c>
      <c r="N1342" s="85">
        <f>STATS1003B!N1343/1000</f>
        <v>0</v>
      </c>
      <c r="O1342" s="85">
        <f>STATS1003B!O1343/1000</f>
        <v>0</v>
      </c>
      <c r="P1342" s="85">
        <f>STATS1003B!P1343/1000</f>
        <v>0</v>
      </c>
      <c r="Q1342" s="85">
        <f>STATS1003B!Q1343/1000</f>
        <v>776.33708000000001</v>
      </c>
      <c r="R1342" s="85">
        <f>STATS1003B!R1343/1000</f>
        <v>0</v>
      </c>
      <c r="S1342" s="85">
        <f>STATS1003B!S1343/1000</f>
        <v>0</v>
      </c>
      <c r="T1342" s="85">
        <f>STATS1003B!T1343/1000</f>
        <v>0</v>
      </c>
      <c r="U1342" s="85">
        <f>STATS1003B!U1343/1000</f>
        <v>0</v>
      </c>
      <c r="V1342" s="85">
        <f>STATS1003B!V1343/1000</f>
        <v>776.33708000000001</v>
      </c>
      <c r="W1342" s="85">
        <f>STATS1003B!W1343/1000</f>
        <v>0</v>
      </c>
      <c r="X1342" s="85">
        <f t="shared" ref="X1342:X1405" si="163">+H1342+P1342</f>
        <v>776.33708000000001</v>
      </c>
      <c r="Y1342" s="85">
        <f>STATS1003B!Y1343/1000</f>
        <v>0</v>
      </c>
      <c r="Z1342" s="85">
        <f t="shared" si="158"/>
        <v>0</v>
      </c>
      <c r="AA1342" s="69">
        <f>STATS1003B!AA1343/1000</f>
        <v>776.33708000000001</v>
      </c>
      <c r="AB1342" s="69">
        <f>STATS1003B!AB1343/1000</f>
        <v>0</v>
      </c>
    </row>
    <row r="1343" spans="1:28" hidden="1" x14ac:dyDescent="0.3">
      <c r="A1343" s="117"/>
      <c r="C1343" s="68" t="s">
        <v>712</v>
      </c>
      <c r="D1343" s="87" t="s">
        <v>68</v>
      </c>
      <c r="E1343" s="85">
        <f>STATS1003B!E1344/1000</f>
        <v>745.34811999999999</v>
      </c>
      <c r="F1343" s="85">
        <f>STATS1003B!F1344/1000</f>
        <v>597.78966000000003</v>
      </c>
      <c r="G1343" s="85">
        <f>STATS1003B!G1344/1000</f>
        <v>0</v>
      </c>
      <c r="H1343" s="85">
        <f>STATS1003B!H1344/1000</f>
        <v>597.78966000000003</v>
      </c>
      <c r="I1343" s="85">
        <f>STATS1003B!I1344/1000</f>
        <v>0</v>
      </c>
      <c r="J1343" s="85">
        <f>STATS1003B!J1344/1000</f>
        <v>597.78966000000003</v>
      </c>
      <c r="K1343" s="85">
        <f>STATS1003B!K1344/1000</f>
        <v>147.55846000000003</v>
      </c>
      <c r="L1343" s="85">
        <f>STATS1003B!L1344/1000</f>
        <v>0</v>
      </c>
      <c r="M1343" s="85">
        <f>STATS1003B!M1344/1000</f>
        <v>597.78966000000003</v>
      </c>
      <c r="N1343" s="85">
        <f>STATS1003B!N1344/1000</f>
        <v>147.55846</v>
      </c>
      <c r="O1343" s="85">
        <f>STATS1003B!O1344/1000</f>
        <v>0</v>
      </c>
      <c r="P1343" s="85">
        <f>STATS1003B!P1344/1000</f>
        <v>147.55846</v>
      </c>
      <c r="Q1343" s="85">
        <f>STATS1003B!Q1344/1000</f>
        <v>597.78966000000003</v>
      </c>
      <c r="R1343" s="85">
        <f>STATS1003B!R1344/1000</f>
        <v>0</v>
      </c>
      <c r="S1343" s="85">
        <f>STATS1003B!S1344/1000</f>
        <v>0</v>
      </c>
      <c r="T1343" s="85">
        <f>STATS1003B!T1344/1000</f>
        <v>0</v>
      </c>
      <c r="U1343" s="85">
        <f>STATS1003B!U1344/1000</f>
        <v>147.55846</v>
      </c>
      <c r="V1343" s="85">
        <f>STATS1003B!V1344/1000</f>
        <v>745.34811999999999</v>
      </c>
      <c r="W1343" s="85">
        <f>STATS1003B!W1344/1000</f>
        <v>0</v>
      </c>
      <c r="X1343" s="85">
        <f t="shared" si="163"/>
        <v>745.34811999999999</v>
      </c>
      <c r="Y1343" s="85">
        <f>STATS1003B!Y1344/1000</f>
        <v>0</v>
      </c>
      <c r="Z1343" s="85">
        <f t="shared" si="158"/>
        <v>0</v>
      </c>
      <c r="AA1343" s="69">
        <f>STATS1003B!AA1344/1000</f>
        <v>745.34811999999999</v>
      </c>
      <c r="AB1343" s="69">
        <f>STATS1003B!AB1344/1000</f>
        <v>0</v>
      </c>
    </row>
    <row r="1344" spans="1:28" hidden="1" x14ac:dyDescent="0.3">
      <c r="A1344" s="117"/>
      <c r="C1344" s="68" t="s">
        <v>539</v>
      </c>
      <c r="D1344" s="87" t="s">
        <v>68</v>
      </c>
      <c r="E1344" s="85">
        <f>STATS1003B!E1345/1000</f>
        <v>3027.1309999999999</v>
      </c>
      <c r="F1344" s="85">
        <f>STATS1003B!F1345/1000</f>
        <v>0</v>
      </c>
      <c r="G1344" s="85">
        <f>STATS1003B!G1345/1000</f>
        <v>0</v>
      </c>
      <c r="H1344" s="85">
        <f>STATS1003B!H1345/1000</f>
        <v>0</v>
      </c>
      <c r="I1344" s="85">
        <f>STATS1003B!I1345/1000</f>
        <v>0</v>
      </c>
      <c r="J1344" s="85">
        <f>STATS1003B!J1345/1000</f>
        <v>0</v>
      </c>
      <c r="K1344" s="85">
        <f>STATS1003B!K1345/1000</f>
        <v>3027.1309999999999</v>
      </c>
      <c r="L1344" s="85">
        <f>STATS1003B!L1345/1000</f>
        <v>0</v>
      </c>
      <c r="M1344" s="85">
        <f>STATS1003B!M1345/1000</f>
        <v>0</v>
      </c>
      <c r="N1344" s="85">
        <f>STATS1003B!N1345/1000</f>
        <v>3027.1309999999999</v>
      </c>
      <c r="O1344" s="85">
        <f>STATS1003B!O1345/1000</f>
        <v>0</v>
      </c>
      <c r="P1344" s="85">
        <f>STATS1003B!P1345/1000</f>
        <v>3027.1309999999999</v>
      </c>
      <c r="Q1344" s="85">
        <f>STATS1003B!Q1345/1000</f>
        <v>0</v>
      </c>
      <c r="R1344" s="85">
        <f>STATS1003B!R1345/1000</f>
        <v>0</v>
      </c>
      <c r="S1344" s="85">
        <f>STATS1003B!S1345/1000</f>
        <v>0</v>
      </c>
      <c r="T1344" s="85">
        <f>STATS1003B!T1345/1000</f>
        <v>0</v>
      </c>
      <c r="U1344" s="85">
        <f>STATS1003B!U1345/1000</f>
        <v>3027.1309999999999</v>
      </c>
      <c r="V1344" s="85">
        <f>STATS1003B!V1345/1000</f>
        <v>3027.1309999999999</v>
      </c>
      <c r="W1344" s="85">
        <f>STATS1003B!W1345/1000</f>
        <v>0</v>
      </c>
      <c r="X1344" s="85">
        <f t="shared" si="163"/>
        <v>3027.1309999999999</v>
      </c>
      <c r="Y1344" s="85">
        <f>STATS1003B!Y1345/1000</f>
        <v>0</v>
      </c>
      <c r="Z1344" s="85">
        <f t="shared" si="158"/>
        <v>0</v>
      </c>
      <c r="AA1344" s="69">
        <f>STATS1003B!AA1345/1000</f>
        <v>3027.1309999999999</v>
      </c>
      <c r="AB1344" s="69">
        <f>STATS1003B!AB1345/1000</f>
        <v>0</v>
      </c>
    </row>
    <row r="1345" spans="1:28" hidden="1" x14ac:dyDescent="0.3">
      <c r="A1345" s="117"/>
      <c r="C1345" s="68" t="s">
        <v>535</v>
      </c>
      <c r="D1345" s="87" t="s">
        <v>54</v>
      </c>
      <c r="E1345" s="85">
        <f>STATS1003B!E1346/1000</f>
        <v>797.05</v>
      </c>
      <c r="F1345" s="85">
        <f>STATS1003B!F1346/1000</f>
        <v>797.05</v>
      </c>
      <c r="G1345" s="85">
        <f>STATS1003B!G1346/1000</f>
        <v>0</v>
      </c>
      <c r="H1345" s="85">
        <f>STATS1003B!H1346/1000</f>
        <v>797.05</v>
      </c>
      <c r="I1345" s="85">
        <f>STATS1003B!I1346/1000</f>
        <v>0</v>
      </c>
      <c r="J1345" s="85">
        <f>STATS1003B!J1346/1000</f>
        <v>797.05</v>
      </c>
      <c r="K1345" s="85">
        <f>STATS1003B!K1346/1000</f>
        <v>0</v>
      </c>
      <c r="L1345" s="85">
        <f>STATS1003B!L1346/1000</f>
        <v>0</v>
      </c>
      <c r="M1345" s="85">
        <f>STATS1003B!M1346/1000</f>
        <v>797.05</v>
      </c>
      <c r="N1345" s="85">
        <f>STATS1003B!N1346/1000</f>
        <v>0</v>
      </c>
      <c r="O1345" s="85">
        <f>STATS1003B!O1346/1000</f>
        <v>0</v>
      </c>
      <c r="P1345" s="85">
        <f>STATS1003B!P1346/1000</f>
        <v>0</v>
      </c>
      <c r="Q1345" s="85">
        <f>STATS1003B!Q1346/1000</f>
        <v>797.05</v>
      </c>
      <c r="R1345" s="85">
        <f>STATS1003B!R1346/1000</f>
        <v>0</v>
      </c>
      <c r="S1345" s="85">
        <f>STATS1003B!S1346/1000</f>
        <v>0</v>
      </c>
      <c r="T1345" s="85">
        <f>STATS1003B!T1346/1000</f>
        <v>0</v>
      </c>
      <c r="U1345" s="85">
        <f>STATS1003B!U1346/1000</f>
        <v>0</v>
      </c>
      <c r="V1345" s="85">
        <f>STATS1003B!V1346/1000</f>
        <v>797.05</v>
      </c>
      <c r="W1345" s="85">
        <f>STATS1003B!W1346/1000</f>
        <v>0</v>
      </c>
      <c r="X1345" s="85">
        <f t="shared" si="163"/>
        <v>797.05</v>
      </c>
      <c r="Y1345" s="85">
        <f>STATS1003B!Y1346/1000</f>
        <v>0</v>
      </c>
      <c r="Z1345" s="85">
        <f t="shared" si="158"/>
        <v>0</v>
      </c>
      <c r="AA1345" s="69">
        <f>STATS1003B!AA1346/1000</f>
        <v>797.05</v>
      </c>
      <c r="AB1345" s="69">
        <f>STATS1003B!AB1346/1000</f>
        <v>0</v>
      </c>
    </row>
    <row r="1346" spans="1:28" hidden="1" x14ac:dyDescent="0.3">
      <c r="A1346" s="117"/>
      <c r="C1346" s="68" t="s">
        <v>545</v>
      </c>
      <c r="D1346" s="87" t="s">
        <v>54</v>
      </c>
      <c r="E1346" s="85">
        <f>STATS1003B!E1347/1000</f>
        <v>1767.77</v>
      </c>
      <c r="F1346" s="85">
        <f>STATS1003B!F1347/1000</f>
        <v>0</v>
      </c>
      <c r="G1346" s="85">
        <f>STATS1003B!G1347/1000</f>
        <v>0</v>
      </c>
      <c r="H1346" s="85">
        <f>STATS1003B!H1347/1000</f>
        <v>0</v>
      </c>
      <c r="I1346" s="85">
        <f>STATS1003B!I1347/1000</f>
        <v>0</v>
      </c>
      <c r="J1346" s="85">
        <f>STATS1003B!J1347/1000</f>
        <v>0</v>
      </c>
      <c r="K1346" s="85">
        <f>STATS1003B!K1347/1000</f>
        <v>1767.77</v>
      </c>
      <c r="L1346" s="85">
        <f>STATS1003B!L1347/1000</f>
        <v>0</v>
      </c>
      <c r="M1346" s="85">
        <f>STATS1003B!M1347/1000</f>
        <v>0</v>
      </c>
      <c r="N1346" s="85">
        <f>STATS1003B!N1347/1000</f>
        <v>1767.77</v>
      </c>
      <c r="O1346" s="85">
        <f>STATS1003B!O1347/1000</f>
        <v>0</v>
      </c>
      <c r="P1346" s="85">
        <f>STATS1003B!P1347/1000</f>
        <v>1767.77</v>
      </c>
      <c r="Q1346" s="85">
        <f>STATS1003B!Q1347/1000</f>
        <v>0</v>
      </c>
      <c r="R1346" s="85">
        <f>STATS1003B!R1347/1000</f>
        <v>0</v>
      </c>
      <c r="S1346" s="85">
        <f>STATS1003B!S1347/1000</f>
        <v>0</v>
      </c>
      <c r="T1346" s="85">
        <f>STATS1003B!T1347/1000</f>
        <v>0</v>
      </c>
      <c r="U1346" s="85">
        <f>STATS1003B!U1347/1000</f>
        <v>1767.77</v>
      </c>
      <c r="V1346" s="85">
        <f>STATS1003B!V1347/1000</f>
        <v>1767.77</v>
      </c>
      <c r="W1346" s="85">
        <f>STATS1003B!W1347/1000</f>
        <v>0</v>
      </c>
      <c r="X1346" s="85">
        <f t="shared" si="163"/>
        <v>1767.77</v>
      </c>
      <c r="Y1346" s="85">
        <f>STATS1003B!Y1347/1000</f>
        <v>0</v>
      </c>
      <c r="Z1346" s="85">
        <f t="shared" si="158"/>
        <v>0</v>
      </c>
      <c r="AA1346" s="69">
        <f>STATS1003B!AA1347/1000</f>
        <v>1767.77</v>
      </c>
      <c r="AB1346" s="69">
        <f>STATS1003B!AB1347/1000</f>
        <v>0</v>
      </c>
    </row>
    <row r="1347" spans="1:28" hidden="1" x14ac:dyDescent="0.3">
      <c r="A1347" s="117"/>
      <c r="C1347" s="68" t="s">
        <v>557</v>
      </c>
      <c r="D1347" s="87" t="s">
        <v>54</v>
      </c>
      <c r="E1347" s="85">
        <f>STATS1003B!E1348/1000</f>
        <v>3130.45</v>
      </c>
      <c r="F1347" s="85">
        <f>STATS1003B!F1348/1000</f>
        <v>3130.45</v>
      </c>
      <c r="G1347" s="85">
        <f>STATS1003B!G1348/1000</f>
        <v>0</v>
      </c>
      <c r="H1347" s="85">
        <f>STATS1003B!H1348/1000</f>
        <v>3130.45</v>
      </c>
      <c r="I1347" s="85">
        <f>STATS1003B!I1348/1000</f>
        <v>0</v>
      </c>
      <c r="J1347" s="85">
        <f>STATS1003B!J1348/1000</f>
        <v>3130.45</v>
      </c>
      <c r="K1347" s="85">
        <f>STATS1003B!K1348/1000</f>
        <v>0</v>
      </c>
      <c r="L1347" s="85">
        <f>STATS1003B!L1348/1000</f>
        <v>0</v>
      </c>
      <c r="M1347" s="85">
        <f>STATS1003B!M1348/1000</f>
        <v>3130.45</v>
      </c>
      <c r="N1347" s="85">
        <f>STATS1003B!N1348/1000</f>
        <v>0</v>
      </c>
      <c r="O1347" s="85">
        <f>STATS1003B!O1348/1000</f>
        <v>0</v>
      </c>
      <c r="P1347" s="85">
        <f>STATS1003B!P1348/1000</f>
        <v>0</v>
      </c>
      <c r="Q1347" s="85">
        <f>STATS1003B!Q1348/1000</f>
        <v>3130.45</v>
      </c>
      <c r="R1347" s="85">
        <f>STATS1003B!R1348/1000</f>
        <v>0</v>
      </c>
      <c r="S1347" s="85">
        <f>STATS1003B!S1348/1000</f>
        <v>0</v>
      </c>
      <c r="T1347" s="85">
        <f>STATS1003B!T1348/1000</f>
        <v>0</v>
      </c>
      <c r="U1347" s="85">
        <f>STATS1003B!U1348/1000</f>
        <v>0</v>
      </c>
      <c r="V1347" s="85">
        <f>STATS1003B!V1348/1000</f>
        <v>3130.45</v>
      </c>
      <c r="W1347" s="85">
        <f>STATS1003B!W1348/1000</f>
        <v>0</v>
      </c>
      <c r="X1347" s="85">
        <f t="shared" si="163"/>
        <v>3130.45</v>
      </c>
      <c r="Y1347" s="85">
        <f>STATS1003B!Y1348/1000</f>
        <v>0</v>
      </c>
      <c r="Z1347" s="85">
        <f t="shared" si="158"/>
        <v>0</v>
      </c>
      <c r="AA1347" s="69">
        <f>STATS1003B!AA1348/1000</f>
        <v>3130.45</v>
      </c>
      <c r="AB1347" s="69">
        <f>STATS1003B!AB1348/1000</f>
        <v>0</v>
      </c>
    </row>
    <row r="1348" spans="1:28" hidden="1" x14ac:dyDescent="0.3">
      <c r="A1348" s="117"/>
      <c r="C1348" s="68" t="s">
        <v>704</v>
      </c>
      <c r="D1348" s="87" t="s">
        <v>54</v>
      </c>
      <c r="E1348" s="85">
        <f>STATS1003B!E1349/1000</f>
        <v>1500</v>
      </c>
      <c r="F1348" s="85">
        <f>STATS1003B!F1349/1000</f>
        <v>1500</v>
      </c>
      <c r="G1348" s="85">
        <f>STATS1003B!G1349/1000</f>
        <v>0</v>
      </c>
      <c r="H1348" s="85">
        <f>STATS1003B!H1349/1000</f>
        <v>1500</v>
      </c>
      <c r="I1348" s="85">
        <f>STATS1003B!I1349/1000</f>
        <v>0</v>
      </c>
      <c r="J1348" s="85">
        <f>STATS1003B!J1349/1000</f>
        <v>1500</v>
      </c>
      <c r="K1348" s="85">
        <f>STATS1003B!K1349/1000</f>
        <v>0</v>
      </c>
      <c r="L1348" s="85">
        <f>STATS1003B!L1349/1000</f>
        <v>0</v>
      </c>
      <c r="M1348" s="85">
        <f>STATS1003B!M1349/1000</f>
        <v>1500</v>
      </c>
      <c r="N1348" s="85">
        <f>STATS1003B!N1349/1000</f>
        <v>0</v>
      </c>
      <c r="O1348" s="85">
        <f>STATS1003B!O1349/1000</f>
        <v>0</v>
      </c>
      <c r="P1348" s="85">
        <f>STATS1003B!P1349/1000</f>
        <v>0</v>
      </c>
      <c r="Q1348" s="85">
        <f>STATS1003B!Q1349/1000</f>
        <v>1500</v>
      </c>
      <c r="R1348" s="85">
        <f>STATS1003B!R1349/1000</f>
        <v>0</v>
      </c>
      <c r="S1348" s="85">
        <f>STATS1003B!S1349/1000</f>
        <v>0</v>
      </c>
      <c r="T1348" s="85">
        <f>STATS1003B!T1349/1000</f>
        <v>0</v>
      </c>
      <c r="U1348" s="85">
        <f>STATS1003B!U1349/1000</f>
        <v>0</v>
      </c>
      <c r="V1348" s="85">
        <f>STATS1003B!V1349/1000</f>
        <v>1500</v>
      </c>
      <c r="W1348" s="85">
        <f>STATS1003B!W1349/1000</f>
        <v>0</v>
      </c>
      <c r="X1348" s="85">
        <f t="shared" si="163"/>
        <v>1500</v>
      </c>
      <c r="Y1348" s="85">
        <f>STATS1003B!Y1349/1000</f>
        <v>0</v>
      </c>
      <c r="Z1348" s="85">
        <f t="shared" si="158"/>
        <v>0</v>
      </c>
      <c r="AA1348" s="69">
        <f>STATS1003B!AA1349/1000</f>
        <v>1500</v>
      </c>
      <c r="AB1348" s="69">
        <f>STATS1003B!AB1349/1000</f>
        <v>0</v>
      </c>
    </row>
    <row r="1349" spans="1:28" hidden="1" x14ac:dyDescent="0.3">
      <c r="A1349" s="117"/>
      <c r="C1349" s="68" t="s">
        <v>713</v>
      </c>
      <c r="D1349" s="87" t="s">
        <v>54</v>
      </c>
      <c r="E1349" s="85">
        <f>STATS1003B!E1350/1000</f>
        <v>3028.6</v>
      </c>
      <c r="F1349" s="85">
        <f>STATS1003B!F1350/1000</f>
        <v>3028.6</v>
      </c>
      <c r="G1349" s="85">
        <f>STATS1003B!G1350/1000</f>
        <v>0</v>
      </c>
      <c r="H1349" s="85">
        <f>STATS1003B!H1350/1000</f>
        <v>3028.6</v>
      </c>
      <c r="I1349" s="85">
        <f>STATS1003B!I1350/1000</f>
        <v>0</v>
      </c>
      <c r="J1349" s="85">
        <f>STATS1003B!J1350/1000</f>
        <v>3028.6</v>
      </c>
      <c r="K1349" s="85">
        <f>STATS1003B!K1350/1000</f>
        <v>0</v>
      </c>
      <c r="L1349" s="85">
        <f>STATS1003B!L1350/1000</f>
        <v>0</v>
      </c>
      <c r="M1349" s="85">
        <f>STATS1003B!M1350/1000</f>
        <v>3028.6</v>
      </c>
      <c r="N1349" s="85">
        <f>STATS1003B!N1350/1000</f>
        <v>0</v>
      </c>
      <c r="O1349" s="85">
        <f>STATS1003B!O1350/1000</f>
        <v>0</v>
      </c>
      <c r="P1349" s="85">
        <f>STATS1003B!P1350/1000</f>
        <v>0</v>
      </c>
      <c r="Q1349" s="85">
        <f>STATS1003B!Q1350/1000</f>
        <v>3028.6</v>
      </c>
      <c r="R1349" s="85">
        <f>STATS1003B!R1350/1000</f>
        <v>0</v>
      </c>
      <c r="S1349" s="85">
        <f>STATS1003B!S1350/1000</f>
        <v>0</v>
      </c>
      <c r="T1349" s="85">
        <f>STATS1003B!T1350/1000</f>
        <v>0</v>
      </c>
      <c r="U1349" s="85">
        <f>STATS1003B!U1350/1000</f>
        <v>0</v>
      </c>
      <c r="V1349" s="85">
        <f>STATS1003B!V1350/1000</f>
        <v>3028.6</v>
      </c>
      <c r="W1349" s="85">
        <f>STATS1003B!W1350/1000</f>
        <v>0</v>
      </c>
      <c r="X1349" s="85">
        <f t="shared" si="163"/>
        <v>3028.6</v>
      </c>
      <c r="Y1349" s="85">
        <f>STATS1003B!Y1350/1000</f>
        <v>0</v>
      </c>
      <c r="Z1349" s="85">
        <f t="shared" si="158"/>
        <v>0</v>
      </c>
      <c r="AA1349" s="69">
        <f>STATS1003B!AA1350/1000</f>
        <v>3028.6</v>
      </c>
      <c r="AB1349" s="69">
        <f>STATS1003B!AB1350/1000</f>
        <v>0</v>
      </c>
    </row>
    <row r="1350" spans="1:28" hidden="1" x14ac:dyDescent="0.3">
      <c r="A1350" s="117"/>
      <c r="C1350" s="68" t="s">
        <v>696</v>
      </c>
      <c r="D1350" s="87" t="s">
        <v>54</v>
      </c>
      <c r="E1350" s="85">
        <f>STATS1003B!E1351/1000</f>
        <v>237.5</v>
      </c>
      <c r="F1350" s="85">
        <f>STATS1003B!F1351/1000</f>
        <v>228.73699999999999</v>
      </c>
      <c r="G1350" s="85">
        <f>STATS1003B!G1351/1000</f>
        <v>0</v>
      </c>
      <c r="H1350" s="85">
        <f>STATS1003B!H1351/1000</f>
        <v>228.73699999999999</v>
      </c>
      <c r="I1350" s="85">
        <f>STATS1003B!I1351/1000</f>
        <v>0</v>
      </c>
      <c r="J1350" s="85">
        <f>STATS1003B!J1351/1000</f>
        <v>228.73699999999999</v>
      </c>
      <c r="K1350" s="85">
        <f>STATS1003B!K1351/1000</f>
        <v>0</v>
      </c>
      <c r="L1350" s="85">
        <f>STATS1003B!L1351/1000</f>
        <v>0</v>
      </c>
      <c r="M1350" s="85">
        <f>STATS1003B!M1351/1000</f>
        <v>228.73699999999999</v>
      </c>
      <c r="N1350" s="85">
        <f>STATS1003B!N1351/1000</f>
        <v>0</v>
      </c>
      <c r="O1350" s="85">
        <f>STATS1003B!O1351/1000</f>
        <v>0</v>
      </c>
      <c r="P1350" s="85">
        <f>STATS1003B!P1351/1000</f>
        <v>0</v>
      </c>
      <c r="Q1350" s="85">
        <f>STATS1003B!Q1351/1000</f>
        <v>237.5</v>
      </c>
      <c r="R1350" s="85">
        <f>STATS1003B!R1351/1000</f>
        <v>0</v>
      </c>
      <c r="S1350" s="85">
        <f>STATS1003B!S1351/1000</f>
        <v>0</v>
      </c>
      <c r="T1350" s="85">
        <f>STATS1003B!T1351/1000</f>
        <v>0</v>
      </c>
      <c r="U1350" s="85">
        <f>STATS1003B!U1351/1000</f>
        <v>0</v>
      </c>
      <c r="V1350" s="85">
        <f>STATS1003B!V1351/1000</f>
        <v>228.73699999999999</v>
      </c>
      <c r="W1350" s="85">
        <f>STATS1003B!W1351/1000</f>
        <v>8.7629999999999999</v>
      </c>
      <c r="X1350" s="85">
        <f t="shared" si="163"/>
        <v>228.73699999999999</v>
      </c>
      <c r="Y1350" s="85">
        <f>STATS1003B!Y1351/1000</f>
        <v>0</v>
      </c>
      <c r="Z1350" s="85">
        <f t="shared" si="158"/>
        <v>8.7630000000000052</v>
      </c>
      <c r="AA1350" s="69">
        <f>STATS1003B!AA1351/1000</f>
        <v>228.73699999999999</v>
      </c>
      <c r="AB1350" s="69">
        <f>STATS1003B!AB1351/1000</f>
        <v>8.7629999999999999</v>
      </c>
    </row>
    <row r="1351" spans="1:28" hidden="1" x14ac:dyDescent="0.3">
      <c r="A1351" s="117"/>
      <c r="C1351" s="68" t="s">
        <v>714</v>
      </c>
      <c r="D1351" s="87" t="s">
        <v>85</v>
      </c>
      <c r="E1351" s="85">
        <f>STATS1003B!E1352/1000</f>
        <v>2400</v>
      </c>
      <c r="F1351" s="85">
        <f>STATS1003B!F1352/1000</f>
        <v>2138.377</v>
      </c>
      <c r="G1351" s="85">
        <f>STATS1003B!G1352/1000</f>
        <v>0</v>
      </c>
      <c r="H1351" s="85">
        <f>STATS1003B!H1352/1000</f>
        <v>2138.377</v>
      </c>
      <c r="I1351" s="85">
        <f>STATS1003B!I1352/1000</f>
        <v>0</v>
      </c>
      <c r="J1351" s="85">
        <f>STATS1003B!J1352/1000</f>
        <v>2138.377</v>
      </c>
      <c r="K1351" s="85">
        <f>STATS1003B!K1352/1000</f>
        <v>0</v>
      </c>
      <c r="L1351" s="85">
        <f>STATS1003B!L1352/1000</f>
        <v>0</v>
      </c>
      <c r="M1351" s="85">
        <f>STATS1003B!M1352/1000</f>
        <v>2138.377</v>
      </c>
      <c r="N1351" s="85">
        <f>STATS1003B!N1352/1000</f>
        <v>0</v>
      </c>
      <c r="O1351" s="85">
        <f>STATS1003B!O1352/1000</f>
        <v>0</v>
      </c>
      <c r="P1351" s="85">
        <f>STATS1003B!P1352/1000</f>
        <v>0</v>
      </c>
      <c r="Q1351" s="85">
        <f>STATS1003B!Q1352/1000</f>
        <v>2400</v>
      </c>
      <c r="R1351" s="85">
        <f>STATS1003B!R1352/1000</f>
        <v>0</v>
      </c>
      <c r="S1351" s="85">
        <f>STATS1003B!S1352/1000</f>
        <v>0</v>
      </c>
      <c r="T1351" s="85">
        <f>STATS1003B!T1352/1000</f>
        <v>0</v>
      </c>
      <c r="U1351" s="85">
        <f>STATS1003B!U1352/1000</f>
        <v>0</v>
      </c>
      <c r="V1351" s="85">
        <f>STATS1003B!V1352/1000</f>
        <v>2138.377</v>
      </c>
      <c r="W1351" s="85">
        <f>STATS1003B!W1352/1000</f>
        <v>261.62299999999999</v>
      </c>
      <c r="X1351" s="85">
        <f t="shared" si="163"/>
        <v>2138.377</v>
      </c>
      <c r="Y1351" s="85">
        <f>STATS1003B!Y1352/1000</f>
        <v>0</v>
      </c>
      <c r="Z1351" s="85">
        <f t="shared" si="158"/>
        <v>261.62300000000005</v>
      </c>
      <c r="AA1351" s="69">
        <f>STATS1003B!AA1352/1000</f>
        <v>2138.377</v>
      </c>
      <c r="AB1351" s="69">
        <f>STATS1003B!AB1352/1000</f>
        <v>261.62299999999999</v>
      </c>
    </row>
    <row r="1352" spans="1:28" hidden="1" x14ac:dyDescent="0.3">
      <c r="A1352" s="117"/>
      <c r="C1352" s="68" t="s">
        <v>671</v>
      </c>
      <c r="D1352" s="87" t="s">
        <v>85</v>
      </c>
      <c r="E1352" s="85">
        <f>STATS1003B!E1353/1000</f>
        <v>42</v>
      </c>
      <c r="F1352" s="85">
        <f>STATS1003B!F1353/1000</f>
        <v>0</v>
      </c>
      <c r="G1352" s="85">
        <f>STATS1003B!G1353/1000</f>
        <v>0</v>
      </c>
      <c r="H1352" s="85">
        <f>STATS1003B!H1353/1000</f>
        <v>0</v>
      </c>
      <c r="I1352" s="85">
        <f>STATS1003B!I1353/1000</f>
        <v>0</v>
      </c>
      <c r="J1352" s="85">
        <f>STATS1003B!J1353/1000</f>
        <v>0</v>
      </c>
      <c r="K1352" s="85">
        <f>STATS1003B!K1353/1000</f>
        <v>0</v>
      </c>
      <c r="L1352" s="85">
        <f>STATS1003B!L1353/1000</f>
        <v>0</v>
      </c>
      <c r="M1352" s="85">
        <f>STATS1003B!M1353/1000</f>
        <v>0</v>
      </c>
      <c r="N1352" s="85">
        <f>STATS1003B!N1353/1000</f>
        <v>0</v>
      </c>
      <c r="O1352" s="85">
        <f>STATS1003B!O1353/1000</f>
        <v>0</v>
      </c>
      <c r="P1352" s="85">
        <f>STATS1003B!P1353/1000</f>
        <v>0</v>
      </c>
      <c r="Q1352" s="85">
        <f>STATS1003B!Q1353/1000</f>
        <v>42</v>
      </c>
      <c r="R1352" s="85">
        <f>STATS1003B!R1353/1000</f>
        <v>0</v>
      </c>
      <c r="S1352" s="85">
        <f>STATS1003B!S1353/1000</f>
        <v>0</v>
      </c>
      <c r="T1352" s="85">
        <f>STATS1003B!T1353/1000</f>
        <v>0</v>
      </c>
      <c r="U1352" s="85">
        <f>STATS1003B!U1353/1000</f>
        <v>0</v>
      </c>
      <c r="V1352" s="85">
        <f>STATS1003B!V1353/1000</f>
        <v>0</v>
      </c>
      <c r="W1352" s="85">
        <f>STATS1003B!W1353/1000</f>
        <v>42</v>
      </c>
      <c r="X1352" s="85">
        <f t="shared" si="163"/>
        <v>0</v>
      </c>
      <c r="Y1352" s="85">
        <f>STATS1003B!Y1353/1000</f>
        <v>0</v>
      </c>
      <c r="Z1352" s="85">
        <f t="shared" si="158"/>
        <v>42</v>
      </c>
      <c r="AA1352" s="69">
        <f>STATS1003B!AA1353/1000</f>
        <v>0</v>
      </c>
      <c r="AB1352" s="69">
        <f>STATS1003B!AB1353/1000</f>
        <v>42</v>
      </c>
    </row>
    <row r="1353" spans="1:28" hidden="1" x14ac:dyDescent="0.3">
      <c r="A1353" s="117"/>
      <c r="C1353" s="68" t="s">
        <v>535</v>
      </c>
      <c r="D1353" s="87" t="s">
        <v>88</v>
      </c>
      <c r="E1353" s="85">
        <f>STATS1003B!E1354/1000</f>
        <v>4135.5083700000005</v>
      </c>
      <c r="F1353" s="85">
        <f>STATS1003B!F1354/1000</f>
        <v>4135.5083700000005</v>
      </c>
      <c r="G1353" s="85">
        <f>STATS1003B!G1354/1000</f>
        <v>0</v>
      </c>
      <c r="H1353" s="85">
        <f>STATS1003B!H1354/1000</f>
        <v>4135.5083700000005</v>
      </c>
      <c r="I1353" s="85">
        <f>STATS1003B!I1354/1000</f>
        <v>0</v>
      </c>
      <c r="J1353" s="85">
        <f>STATS1003B!J1354/1000</f>
        <v>4135.5083700000005</v>
      </c>
      <c r="K1353" s="85">
        <f>STATS1003B!K1354/1000</f>
        <v>0</v>
      </c>
      <c r="L1353" s="85">
        <f>STATS1003B!L1354/1000</f>
        <v>0</v>
      </c>
      <c r="M1353" s="85">
        <f>STATS1003B!M1354/1000</f>
        <v>4135.5083700000005</v>
      </c>
      <c r="N1353" s="85">
        <f>STATS1003B!N1354/1000</f>
        <v>0</v>
      </c>
      <c r="O1353" s="85">
        <f>STATS1003B!O1354/1000</f>
        <v>0</v>
      </c>
      <c r="P1353" s="85">
        <f>STATS1003B!P1354/1000</f>
        <v>0</v>
      </c>
      <c r="Q1353" s="85">
        <f>STATS1003B!Q1354/1000</f>
        <v>4135.5083700000005</v>
      </c>
      <c r="R1353" s="85">
        <f>STATS1003B!R1354/1000</f>
        <v>0</v>
      </c>
      <c r="S1353" s="85">
        <f>STATS1003B!S1354/1000</f>
        <v>0</v>
      </c>
      <c r="T1353" s="85">
        <f>STATS1003B!T1354/1000</f>
        <v>0</v>
      </c>
      <c r="U1353" s="85">
        <f>STATS1003B!U1354/1000</f>
        <v>0</v>
      </c>
      <c r="V1353" s="85">
        <f>STATS1003B!V1354/1000</f>
        <v>4135.5083700000005</v>
      </c>
      <c r="W1353" s="85">
        <f>STATS1003B!W1354/1000</f>
        <v>0</v>
      </c>
      <c r="X1353" s="85">
        <f t="shared" si="163"/>
        <v>4135.5083700000005</v>
      </c>
      <c r="Y1353" s="85">
        <f>STATS1003B!Y1354/1000</f>
        <v>0</v>
      </c>
      <c r="Z1353" s="85">
        <f t="shared" si="158"/>
        <v>0</v>
      </c>
      <c r="AA1353" s="69">
        <f>STATS1003B!AA1354/1000</f>
        <v>4135.5083700000005</v>
      </c>
      <c r="AB1353" s="69">
        <f>STATS1003B!AB1354/1000</f>
        <v>0</v>
      </c>
    </row>
    <row r="1354" spans="1:28" hidden="1" x14ac:dyDescent="0.3">
      <c r="A1354" s="117"/>
      <c r="C1354" s="68" t="s">
        <v>715</v>
      </c>
      <c r="D1354" s="87" t="s">
        <v>108</v>
      </c>
      <c r="E1354" s="85">
        <f>STATS1003B!E1355/1000</f>
        <v>2208.0883100000001</v>
      </c>
      <c r="F1354" s="85">
        <f>STATS1003B!F1355/1000</f>
        <v>2208.0883100000001</v>
      </c>
      <c r="G1354" s="85">
        <f>STATS1003B!G1355/1000</f>
        <v>0</v>
      </c>
      <c r="H1354" s="85">
        <f>STATS1003B!H1355/1000</f>
        <v>2208.0883100000001</v>
      </c>
      <c r="I1354" s="85">
        <f>STATS1003B!I1355/1000</f>
        <v>0</v>
      </c>
      <c r="J1354" s="85">
        <f>STATS1003B!J1355/1000</f>
        <v>2208.0883100000001</v>
      </c>
      <c r="K1354" s="85">
        <f>STATS1003B!K1355/1000</f>
        <v>0</v>
      </c>
      <c r="L1354" s="85">
        <f>STATS1003B!L1355/1000</f>
        <v>0</v>
      </c>
      <c r="M1354" s="85">
        <f>STATS1003B!M1355/1000</f>
        <v>2208.0883100000001</v>
      </c>
      <c r="N1354" s="85">
        <f>STATS1003B!N1355/1000</f>
        <v>0</v>
      </c>
      <c r="O1354" s="85">
        <f>STATS1003B!O1355/1000</f>
        <v>0</v>
      </c>
      <c r="P1354" s="85">
        <f>STATS1003B!P1355/1000</f>
        <v>0</v>
      </c>
      <c r="Q1354" s="85">
        <f>STATS1003B!Q1355/1000</f>
        <v>2208.0883100000001</v>
      </c>
      <c r="R1354" s="85">
        <f>STATS1003B!R1355/1000</f>
        <v>0</v>
      </c>
      <c r="S1354" s="85">
        <f>STATS1003B!S1355/1000</f>
        <v>0</v>
      </c>
      <c r="T1354" s="85">
        <f>STATS1003B!T1355/1000</f>
        <v>0</v>
      </c>
      <c r="U1354" s="85">
        <f>STATS1003B!U1355/1000</f>
        <v>0</v>
      </c>
      <c r="V1354" s="85">
        <f>STATS1003B!V1355/1000</f>
        <v>2208.0883100000001</v>
      </c>
      <c r="W1354" s="85">
        <f>STATS1003B!W1355/1000</f>
        <v>0</v>
      </c>
      <c r="X1354" s="85">
        <f t="shared" si="163"/>
        <v>2208.0883100000001</v>
      </c>
      <c r="Y1354" s="85">
        <f>STATS1003B!Y1355/1000</f>
        <v>0</v>
      </c>
      <c r="Z1354" s="85">
        <f t="shared" si="158"/>
        <v>0</v>
      </c>
      <c r="AA1354" s="69">
        <f>STATS1003B!AA1355/1000</f>
        <v>2208.0883100000001</v>
      </c>
      <c r="AB1354" s="69">
        <f>STATS1003B!AB1355/1000</f>
        <v>0</v>
      </c>
    </row>
    <row r="1355" spans="1:28" hidden="1" x14ac:dyDescent="0.3">
      <c r="A1355" s="117"/>
      <c r="C1355" s="68" t="s">
        <v>715</v>
      </c>
      <c r="D1355" s="87" t="s">
        <v>58</v>
      </c>
      <c r="E1355" s="85">
        <f>STATS1003B!E1356/1000</f>
        <v>1944.431</v>
      </c>
      <c r="F1355" s="85">
        <f>STATS1003B!F1356/1000</f>
        <v>1944.431</v>
      </c>
      <c r="G1355" s="85">
        <f>STATS1003B!G1356/1000</f>
        <v>0</v>
      </c>
      <c r="H1355" s="85">
        <f>STATS1003B!H1356/1000</f>
        <v>1944.431</v>
      </c>
      <c r="I1355" s="85">
        <f>STATS1003B!I1356/1000</f>
        <v>0</v>
      </c>
      <c r="J1355" s="85">
        <f>STATS1003B!J1356/1000</f>
        <v>1944.431</v>
      </c>
      <c r="K1355" s="85">
        <f>STATS1003B!K1356/1000</f>
        <v>0</v>
      </c>
      <c r="L1355" s="85">
        <f>STATS1003B!L1356/1000</f>
        <v>0</v>
      </c>
      <c r="M1355" s="85">
        <f>STATS1003B!M1356/1000</f>
        <v>1944.431</v>
      </c>
      <c r="N1355" s="85">
        <f>STATS1003B!N1356/1000</f>
        <v>0</v>
      </c>
      <c r="O1355" s="85">
        <f>STATS1003B!O1356/1000</f>
        <v>0</v>
      </c>
      <c r="P1355" s="85">
        <f>STATS1003B!P1356/1000</f>
        <v>0</v>
      </c>
      <c r="Q1355" s="85">
        <f>STATS1003B!Q1356/1000</f>
        <v>1944.431</v>
      </c>
      <c r="R1355" s="85">
        <f>STATS1003B!R1356/1000</f>
        <v>0</v>
      </c>
      <c r="S1355" s="85">
        <f>STATS1003B!S1356/1000</f>
        <v>0</v>
      </c>
      <c r="T1355" s="85">
        <f>STATS1003B!T1356/1000</f>
        <v>0</v>
      </c>
      <c r="U1355" s="85">
        <f>STATS1003B!U1356/1000</f>
        <v>0</v>
      </c>
      <c r="V1355" s="85">
        <f>STATS1003B!V1356/1000</f>
        <v>1944.431</v>
      </c>
      <c r="W1355" s="85">
        <f>STATS1003B!W1356/1000</f>
        <v>0</v>
      </c>
      <c r="X1355" s="85">
        <f t="shared" si="163"/>
        <v>1944.431</v>
      </c>
      <c r="Y1355" s="85">
        <f>STATS1003B!Y1356/1000</f>
        <v>0</v>
      </c>
      <c r="Z1355" s="85">
        <f t="shared" si="158"/>
        <v>0</v>
      </c>
      <c r="AA1355" s="69">
        <f>STATS1003B!AA1356/1000</f>
        <v>1944.431</v>
      </c>
      <c r="AB1355" s="69">
        <f>STATS1003B!AB1356/1000</f>
        <v>0</v>
      </c>
    </row>
    <row r="1356" spans="1:28" hidden="1" x14ac:dyDescent="0.3">
      <c r="A1356" s="117"/>
      <c r="C1356" s="68" t="s">
        <v>535</v>
      </c>
      <c r="D1356" s="87" t="s">
        <v>58</v>
      </c>
      <c r="E1356" s="85">
        <f>STATS1003B!E1357/1000</f>
        <v>6615.8820199999991</v>
      </c>
      <c r="F1356" s="85">
        <f>STATS1003B!F1357/1000</f>
        <v>6615.8820199999991</v>
      </c>
      <c r="G1356" s="85">
        <f>STATS1003B!G1357/1000</f>
        <v>0</v>
      </c>
      <c r="H1356" s="85">
        <f>STATS1003B!H1357/1000</f>
        <v>6615.8820199999991</v>
      </c>
      <c r="I1356" s="85">
        <f>STATS1003B!I1357/1000</f>
        <v>0</v>
      </c>
      <c r="J1356" s="85">
        <f>STATS1003B!J1357/1000</f>
        <v>6615.8820199999991</v>
      </c>
      <c r="K1356" s="85">
        <f>STATS1003B!K1357/1000</f>
        <v>0</v>
      </c>
      <c r="L1356" s="85">
        <f>STATS1003B!L1357/1000</f>
        <v>0</v>
      </c>
      <c r="M1356" s="85">
        <f>STATS1003B!M1357/1000</f>
        <v>6615.8820199999991</v>
      </c>
      <c r="N1356" s="85">
        <f>STATS1003B!N1357/1000</f>
        <v>0</v>
      </c>
      <c r="O1356" s="85">
        <f>STATS1003B!O1357/1000</f>
        <v>0</v>
      </c>
      <c r="P1356" s="85">
        <f>STATS1003B!P1357/1000</f>
        <v>0</v>
      </c>
      <c r="Q1356" s="85">
        <f>STATS1003B!Q1357/1000</f>
        <v>6615.8820199999991</v>
      </c>
      <c r="R1356" s="85">
        <f>STATS1003B!R1357/1000</f>
        <v>0</v>
      </c>
      <c r="S1356" s="85">
        <f>STATS1003B!S1357/1000</f>
        <v>0</v>
      </c>
      <c r="T1356" s="85">
        <f>STATS1003B!T1357/1000</f>
        <v>0</v>
      </c>
      <c r="U1356" s="85">
        <f>STATS1003B!U1357/1000</f>
        <v>0</v>
      </c>
      <c r="V1356" s="85">
        <f>STATS1003B!V1357/1000</f>
        <v>6615.8820199999991</v>
      </c>
      <c r="W1356" s="85">
        <f>STATS1003B!W1357/1000</f>
        <v>0</v>
      </c>
      <c r="X1356" s="85">
        <f t="shared" si="163"/>
        <v>6615.8820199999991</v>
      </c>
      <c r="Y1356" s="85">
        <f>STATS1003B!Y1357/1000</f>
        <v>0</v>
      </c>
      <c r="Z1356" s="85">
        <f t="shared" si="158"/>
        <v>0</v>
      </c>
      <c r="AA1356" s="69">
        <f>STATS1003B!AA1357/1000</f>
        <v>6615.8820199999991</v>
      </c>
      <c r="AB1356" s="69">
        <f>STATS1003B!AB1357/1000</f>
        <v>0</v>
      </c>
    </row>
    <row r="1357" spans="1:28" hidden="1" x14ac:dyDescent="0.3">
      <c r="A1357" s="117"/>
      <c r="C1357" s="68" t="s">
        <v>535</v>
      </c>
      <c r="D1357" s="87" t="s">
        <v>60</v>
      </c>
      <c r="E1357" s="85">
        <f>STATS1003B!E1358/1000</f>
        <v>4722.8402300000007</v>
      </c>
      <c r="F1357" s="85">
        <f>STATS1003B!F1358/1000</f>
        <v>4722.8402300000007</v>
      </c>
      <c r="G1357" s="85">
        <f>STATS1003B!G1358/1000</f>
        <v>0</v>
      </c>
      <c r="H1357" s="85">
        <f>STATS1003B!H1358/1000</f>
        <v>4722.8402300000007</v>
      </c>
      <c r="I1357" s="85">
        <f>STATS1003B!I1358/1000</f>
        <v>0</v>
      </c>
      <c r="J1357" s="85">
        <f>STATS1003B!J1358/1000</f>
        <v>4722.8402300000007</v>
      </c>
      <c r="K1357" s="85">
        <f>STATS1003B!K1358/1000</f>
        <v>0</v>
      </c>
      <c r="L1357" s="85">
        <f>STATS1003B!L1358/1000</f>
        <v>0</v>
      </c>
      <c r="M1357" s="85">
        <f>STATS1003B!M1358/1000</f>
        <v>4722.8402300000007</v>
      </c>
      <c r="N1357" s="85">
        <f>STATS1003B!N1358/1000</f>
        <v>0</v>
      </c>
      <c r="O1357" s="85">
        <f>STATS1003B!O1358/1000</f>
        <v>0</v>
      </c>
      <c r="P1357" s="85">
        <f>STATS1003B!P1358/1000</f>
        <v>0</v>
      </c>
      <c r="Q1357" s="85">
        <f>STATS1003B!Q1358/1000</f>
        <v>4722.8402300000007</v>
      </c>
      <c r="R1357" s="85">
        <f>STATS1003B!R1358/1000</f>
        <v>0</v>
      </c>
      <c r="S1357" s="85">
        <f>STATS1003B!S1358/1000</f>
        <v>0</v>
      </c>
      <c r="T1357" s="85">
        <f>STATS1003B!T1358/1000</f>
        <v>0</v>
      </c>
      <c r="U1357" s="85">
        <f>STATS1003B!U1358/1000</f>
        <v>0</v>
      </c>
      <c r="V1357" s="85">
        <f>STATS1003B!V1358/1000</f>
        <v>4722.8402300000007</v>
      </c>
      <c r="W1357" s="85">
        <f>STATS1003B!W1358/1000</f>
        <v>0</v>
      </c>
      <c r="X1357" s="85">
        <f t="shared" si="163"/>
        <v>4722.8402300000007</v>
      </c>
      <c r="Y1357" s="85">
        <f>STATS1003B!Y1358/1000</f>
        <v>0</v>
      </c>
      <c r="Z1357" s="85">
        <f t="shared" si="158"/>
        <v>0</v>
      </c>
      <c r="AA1357" s="69">
        <f>STATS1003B!AA1358/1000</f>
        <v>4722.8402300000007</v>
      </c>
      <c r="AB1357" s="69">
        <f>STATS1003B!AB1358/1000</f>
        <v>0</v>
      </c>
    </row>
    <row r="1358" spans="1:28" hidden="1" x14ac:dyDescent="0.3">
      <c r="A1358" s="117"/>
      <c r="C1358" s="68" t="s">
        <v>716</v>
      </c>
      <c r="D1358" s="88" t="s">
        <v>60</v>
      </c>
      <c r="E1358" s="85">
        <f>STATS1003B!E1359/1000</f>
        <v>212.17500000000001</v>
      </c>
      <c r="F1358" s="85">
        <f>STATS1003B!F1359/1000</f>
        <v>212.17500000000001</v>
      </c>
      <c r="G1358" s="85">
        <f>STATS1003B!G1359/1000</f>
        <v>0</v>
      </c>
      <c r="H1358" s="85">
        <f>STATS1003B!H1359/1000</f>
        <v>212.17500000000001</v>
      </c>
      <c r="I1358" s="85">
        <f>STATS1003B!I1359/1000</f>
        <v>0</v>
      </c>
      <c r="J1358" s="85">
        <f>STATS1003B!J1359/1000</f>
        <v>212.17500000000001</v>
      </c>
      <c r="K1358" s="85">
        <f>STATS1003B!K1359/1000</f>
        <v>0</v>
      </c>
      <c r="L1358" s="85">
        <f>STATS1003B!L1359/1000</f>
        <v>0</v>
      </c>
      <c r="M1358" s="85">
        <f>STATS1003B!M1359/1000</f>
        <v>212.17500000000001</v>
      </c>
      <c r="N1358" s="85">
        <f>STATS1003B!N1359/1000</f>
        <v>0</v>
      </c>
      <c r="O1358" s="85">
        <f>STATS1003B!O1359/1000</f>
        <v>0</v>
      </c>
      <c r="P1358" s="85">
        <f>STATS1003B!P1359/1000</f>
        <v>0</v>
      </c>
      <c r="Q1358" s="85">
        <f>STATS1003B!Q1359/1000</f>
        <v>212.17500000000001</v>
      </c>
      <c r="R1358" s="85">
        <f>STATS1003B!R1359/1000</f>
        <v>0</v>
      </c>
      <c r="S1358" s="85">
        <f>STATS1003B!S1359/1000</f>
        <v>0</v>
      </c>
      <c r="T1358" s="85">
        <f>STATS1003B!T1359/1000</f>
        <v>0</v>
      </c>
      <c r="U1358" s="85">
        <f>STATS1003B!U1359/1000</f>
        <v>0</v>
      </c>
      <c r="V1358" s="85">
        <f>STATS1003B!V1359/1000</f>
        <v>212.17500000000001</v>
      </c>
      <c r="W1358" s="85">
        <f>STATS1003B!W1359/1000</f>
        <v>0</v>
      </c>
      <c r="X1358" s="85">
        <f t="shared" si="163"/>
        <v>212.17500000000001</v>
      </c>
      <c r="Y1358" s="85">
        <f>STATS1003B!Y1359/1000</f>
        <v>0</v>
      </c>
      <c r="Z1358" s="85">
        <f t="shared" si="158"/>
        <v>0</v>
      </c>
      <c r="AA1358" s="69">
        <f>STATS1003B!AA1359/1000</f>
        <v>212.17500000000001</v>
      </c>
      <c r="AB1358" s="69">
        <f>STATS1003B!AB1359/1000</f>
        <v>0</v>
      </c>
    </row>
    <row r="1359" spans="1:28" hidden="1" x14ac:dyDescent="0.3">
      <c r="A1359" s="117"/>
      <c r="C1359" s="68" t="s">
        <v>535</v>
      </c>
      <c r="D1359" s="88" t="s">
        <v>73</v>
      </c>
      <c r="E1359" s="85">
        <f>STATS1003B!E1360/1000</f>
        <v>4471.3280000000004</v>
      </c>
      <c r="F1359" s="85">
        <f>STATS1003B!F1360/1000</f>
        <v>4471.3280000000004</v>
      </c>
      <c r="G1359" s="85">
        <f>STATS1003B!G1360/1000</f>
        <v>0</v>
      </c>
      <c r="H1359" s="85">
        <f>STATS1003B!H1360/1000</f>
        <v>4471.3280000000004</v>
      </c>
      <c r="I1359" s="85">
        <f>STATS1003B!I1360/1000</f>
        <v>0</v>
      </c>
      <c r="J1359" s="85">
        <f>STATS1003B!J1360/1000</f>
        <v>4471.3280000000004</v>
      </c>
      <c r="K1359" s="85">
        <f>STATS1003B!K1360/1000</f>
        <v>0</v>
      </c>
      <c r="L1359" s="85">
        <f>STATS1003B!L1360/1000</f>
        <v>0</v>
      </c>
      <c r="M1359" s="85">
        <f>STATS1003B!M1360/1000</f>
        <v>4471.3280000000004</v>
      </c>
      <c r="N1359" s="85">
        <f>STATS1003B!N1360/1000</f>
        <v>0</v>
      </c>
      <c r="O1359" s="85">
        <f>STATS1003B!O1360/1000</f>
        <v>0</v>
      </c>
      <c r="P1359" s="85">
        <f>STATS1003B!P1360/1000</f>
        <v>0</v>
      </c>
      <c r="Q1359" s="85">
        <f>STATS1003B!Q1360/1000</f>
        <v>4471.3280000000004</v>
      </c>
      <c r="R1359" s="85">
        <f>STATS1003B!R1360/1000</f>
        <v>0</v>
      </c>
      <c r="S1359" s="85">
        <f>STATS1003B!S1360/1000</f>
        <v>0</v>
      </c>
      <c r="T1359" s="85">
        <f>STATS1003B!T1360/1000</f>
        <v>0</v>
      </c>
      <c r="U1359" s="85">
        <f>STATS1003B!U1360/1000</f>
        <v>0</v>
      </c>
      <c r="V1359" s="85">
        <f>STATS1003B!V1360/1000</f>
        <v>4471.3280000000004</v>
      </c>
      <c r="W1359" s="85">
        <f>STATS1003B!W1360/1000</f>
        <v>0</v>
      </c>
      <c r="X1359" s="85">
        <f t="shared" si="163"/>
        <v>4471.3280000000004</v>
      </c>
      <c r="Y1359" s="85">
        <f>STATS1003B!Y1360/1000</f>
        <v>0</v>
      </c>
      <c r="Z1359" s="85">
        <f t="shared" si="158"/>
        <v>0</v>
      </c>
      <c r="AA1359" s="69">
        <f>STATS1003B!AA1360/1000</f>
        <v>4471.3280000000004</v>
      </c>
      <c r="AB1359" s="69">
        <f>STATS1003B!AB1360/1000</f>
        <v>0</v>
      </c>
    </row>
    <row r="1360" spans="1:28" hidden="1" x14ac:dyDescent="0.3">
      <c r="A1360" s="117"/>
      <c r="C1360" s="68" t="s">
        <v>535</v>
      </c>
      <c r="D1360" s="88" t="s">
        <v>61</v>
      </c>
      <c r="E1360" s="85">
        <f>STATS1003B!E1361/1000</f>
        <v>3552.71677</v>
      </c>
      <c r="F1360" s="85">
        <f>STATS1003B!F1361/1000</f>
        <v>3552.71677</v>
      </c>
      <c r="G1360" s="85">
        <f>STATS1003B!G1361/1000</f>
        <v>0</v>
      </c>
      <c r="H1360" s="85">
        <f>STATS1003B!H1361/1000</f>
        <v>3552.71677</v>
      </c>
      <c r="I1360" s="85">
        <f>STATS1003B!I1361/1000</f>
        <v>0</v>
      </c>
      <c r="J1360" s="85">
        <f>STATS1003B!J1361/1000</f>
        <v>3552.71677</v>
      </c>
      <c r="K1360" s="85">
        <f>STATS1003B!K1361/1000</f>
        <v>0</v>
      </c>
      <c r="L1360" s="85">
        <f>STATS1003B!L1361/1000</f>
        <v>0</v>
      </c>
      <c r="M1360" s="85">
        <f>STATS1003B!M1361/1000</f>
        <v>3552.71677</v>
      </c>
      <c r="N1360" s="85">
        <f>STATS1003B!N1361/1000</f>
        <v>0</v>
      </c>
      <c r="O1360" s="85">
        <f>STATS1003B!O1361/1000</f>
        <v>0</v>
      </c>
      <c r="P1360" s="85">
        <f>STATS1003B!P1361/1000</f>
        <v>0</v>
      </c>
      <c r="Q1360" s="85">
        <f>STATS1003B!Q1361/1000</f>
        <v>3552.71677</v>
      </c>
      <c r="R1360" s="85">
        <f>STATS1003B!R1361/1000</f>
        <v>0</v>
      </c>
      <c r="S1360" s="85">
        <f>STATS1003B!S1361/1000</f>
        <v>0</v>
      </c>
      <c r="T1360" s="85">
        <f>STATS1003B!T1361/1000</f>
        <v>0</v>
      </c>
      <c r="U1360" s="85">
        <f>STATS1003B!U1361/1000</f>
        <v>0</v>
      </c>
      <c r="V1360" s="85">
        <f>STATS1003B!V1361/1000</f>
        <v>3552.71677</v>
      </c>
      <c r="W1360" s="85">
        <f>STATS1003B!W1361/1000</f>
        <v>0</v>
      </c>
      <c r="X1360" s="85">
        <f t="shared" si="163"/>
        <v>3552.71677</v>
      </c>
      <c r="Y1360" s="85">
        <f>STATS1003B!Y1361/1000</f>
        <v>0</v>
      </c>
      <c r="Z1360" s="85">
        <f t="shared" si="158"/>
        <v>0</v>
      </c>
      <c r="AA1360" s="69">
        <f>STATS1003B!AA1361/1000</f>
        <v>3552.71677</v>
      </c>
      <c r="AB1360" s="69">
        <f>STATS1003B!AB1361/1000</f>
        <v>0</v>
      </c>
    </row>
    <row r="1361" spans="1:28" hidden="1" x14ac:dyDescent="0.3">
      <c r="A1361" s="117"/>
      <c r="C1361" s="68" t="s">
        <v>1178</v>
      </c>
      <c r="D1361" s="89" t="s">
        <v>1126</v>
      </c>
      <c r="E1361" s="85">
        <f>STATS1003B!E1362/1000</f>
        <v>500</v>
      </c>
      <c r="F1361" s="85">
        <f>STATS1003B!F1362/1000</f>
        <v>500</v>
      </c>
      <c r="G1361" s="85">
        <f>STATS1003B!G1362/1000</f>
        <v>0</v>
      </c>
      <c r="H1361" s="85">
        <f>STATS1003B!H1362/1000</f>
        <v>500</v>
      </c>
      <c r="I1361" s="85">
        <f>STATS1003B!I1362/1000</f>
        <v>0</v>
      </c>
      <c r="J1361" s="85">
        <f>STATS1003B!J1362/1000</f>
        <v>500</v>
      </c>
      <c r="K1361" s="85">
        <f>STATS1003B!K1362/1000</f>
        <v>0</v>
      </c>
      <c r="L1361" s="85">
        <f>STATS1003B!L1362/1000</f>
        <v>0</v>
      </c>
      <c r="M1361" s="85">
        <f>STATS1003B!M1362/1000</f>
        <v>500</v>
      </c>
      <c r="N1361" s="85">
        <f>STATS1003B!N1362/1000</f>
        <v>0</v>
      </c>
      <c r="O1361" s="85">
        <f>STATS1003B!O1362/1000</f>
        <v>0</v>
      </c>
      <c r="P1361" s="85">
        <f>STATS1003B!P1362/1000</f>
        <v>0</v>
      </c>
      <c r="Q1361" s="85">
        <f>STATS1003B!Q1362/1000</f>
        <v>0</v>
      </c>
      <c r="R1361" s="85">
        <f>STATS1003B!R1362/1000</f>
        <v>0</v>
      </c>
      <c r="S1361" s="85">
        <f>STATS1003B!S1362/1000</f>
        <v>0</v>
      </c>
      <c r="T1361" s="85">
        <f>STATS1003B!T1362/1000</f>
        <v>0</v>
      </c>
      <c r="U1361" s="85">
        <f>STATS1003B!U1362/1000</f>
        <v>0</v>
      </c>
      <c r="V1361" s="85">
        <f>STATS1003B!V1362/1000</f>
        <v>500</v>
      </c>
      <c r="W1361" s="85">
        <f>STATS1003B!W1362/1000</f>
        <v>0</v>
      </c>
      <c r="X1361" s="85">
        <f t="shared" si="163"/>
        <v>500</v>
      </c>
      <c r="Y1361" s="85">
        <f>STATS1003B!Y1362/1000</f>
        <v>0</v>
      </c>
      <c r="Z1361" s="85">
        <f t="shared" si="158"/>
        <v>0</v>
      </c>
      <c r="AA1361" s="69">
        <f>STATS1003B!AA1362/1000</f>
        <v>500</v>
      </c>
      <c r="AB1361" s="69">
        <f>STATS1003B!AB1362/1000</f>
        <v>0</v>
      </c>
    </row>
    <row r="1362" spans="1:28" hidden="1" x14ac:dyDescent="0.3">
      <c r="A1362" s="117"/>
      <c r="C1362" s="68" t="s">
        <v>1180</v>
      </c>
      <c r="D1362" s="89" t="s">
        <v>1126</v>
      </c>
      <c r="E1362" s="85">
        <f>STATS1003B!E1363/1000</f>
        <v>283.38198999999997</v>
      </c>
      <c r="F1362" s="85">
        <f>STATS1003B!F1363/1000</f>
        <v>283.38198999999997</v>
      </c>
      <c r="G1362" s="85">
        <f>STATS1003B!G1363/1000</f>
        <v>0</v>
      </c>
      <c r="H1362" s="85">
        <f>STATS1003B!H1363/1000</f>
        <v>283.38198999999997</v>
      </c>
      <c r="I1362" s="85">
        <f>STATS1003B!I1363/1000</f>
        <v>0</v>
      </c>
      <c r="J1362" s="85">
        <f>STATS1003B!J1363/1000</f>
        <v>283.38198999999997</v>
      </c>
      <c r="K1362" s="85">
        <f>STATS1003B!K1363/1000</f>
        <v>0</v>
      </c>
      <c r="L1362" s="85">
        <f>STATS1003B!L1363/1000</f>
        <v>0</v>
      </c>
      <c r="M1362" s="85">
        <f>STATS1003B!M1363/1000</f>
        <v>283.38198999999997</v>
      </c>
      <c r="N1362" s="85">
        <f>STATS1003B!N1363/1000</f>
        <v>0</v>
      </c>
      <c r="O1362" s="85">
        <f>STATS1003B!O1363/1000</f>
        <v>0</v>
      </c>
      <c r="P1362" s="85">
        <f>STATS1003B!P1363/1000</f>
        <v>0</v>
      </c>
      <c r="Q1362" s="85">
        <f>STATS1003B!Q1363/1000</f>
        <v>0</v>
      </c>
      <c r="R1362" s="85">
        <f>STATS1003B!R1363/1000</f>
        <v>0</v>
      </c>
      <c r="S1362" s="85">
        <f>STATS1003B!S1363/1000</f>
        <v>0</v>
      </c>
      <c r="T1362" s="85">
        <f>STATS1003B!T1363/1000</f>
        <v>0</v>
      </c>
      <c r="U1362" s="85">
        <f>STATS1003B!U1363/1000</f>
        <v>0</v>
      </c>
      <c r="V1362" s="85">
        <f>STATS1003B!V1363/1000</f>
        <v>283.38198999999997</v>
      </c>
      <c r="W1362" s="85">
        <f>STATS1003B!W1363/1000</f>
        <v>0</v>
      </c>
      <c r="X1362" s="85">
        <f t="shared" si="163"/>
        <v>283.38198999999997</v>
      </c>
      <c r="Y1362" s="85">
        <f>STATS1003B!Y1363/1000</f>
        <v>0</v>
      </c>
      <c r="Z1362" s="85">
        <f t="shared" si="158"/>
        <v>0</v>
      </c>
      <c r="AA1362" s="69">
        <f>STATS1003B!AA1363/1000</f>
        <v>283.38198999999997</v>
      </c>
      <c r="AB1362" s="69">
        <f>STATS1003B!AB1363/1000</f>
        <v>0</v>
      </c>
    </row>
    <row r="1363" spans="1:28" hidden="1" x14ac:dyDescent="0.3">
      <c r="A1363" s="117"/>
      <c r="C1363" s="68" t="s">
        <v>933</v>
      </c>
      <c r="D1363" s="89" t="s">
        <v>1072</v>
      </c>
      <c r="E1363" s="85">
        <f>STATS1003B!E1364/1000</f>
        <v>982.35659999999996</v>
      </c>
      <c r="F1363" s="85">
        <f>STATS1003B!F1364/1000</f>
        <v>982.35659999999996</v>
      </c>
      <c r="G1363" s="85">
        <f>STATS1003B!G1364/1000</f>
        <v>0</v>
      </c>
      <c r="H1363" s="85">
        <f>STATS1003B!H1364/1000</f>
        <v>982.35659999999996</v>
      </c>
      <c r="I1363" s="85">
        <f>STATS1003B!I1364/1000</f>
        <v>0</v>
      </c>
      <c r="J1363" s="85">
        <f>STATS1003B!J1364/1000</f>
        <v>982.35659999999996</v>
      </c>
      <c r="K1363" s="85">
        <f>STATS1003B!K1364/1000</f>
        <v>0</v>
      </c>
      <c r="L1363" s="85">
        <f>STATS1003B!L1364/1000</f>
        <v>0</v>
      </c>
      <c r="M1363" s="85">
        <f>STATS1003B!M1364/1000</f>
        <v>982.35659999999996</v>
      </c>
      <c r="N1363" s="85">
        <f>STATS1003B!N1364/1000</f>
        <v>0</v>
      </c>
      <c r="O1363" s="85">
        <f>STATS1003B!O1364/1000</f>
        <v>0</v>
      </c>
      <c r="P1363" s="85">
        <f>STATS1003B!P1364/1000</f>
        <v>0</v>
      </c>
      <c r="Q1363" s="85">
        <f>STATS1003B!Q1364/1000</f>
        <v>0</v>
      </c>
      <c r="R1363" s="85">
        <f>STATS1003B!R1364/1000</f>
        <v>0</v>
      </c>
      <c r="S1363" s="85">
        <f>STATS1003B!S1364/1000</f>
        <v>0</v>
      </c>
      <c r="T1363" s="85">
        <f>STATS1003B!T1364/1000</f>
        <v>0</v>
      </c>
      <c r="U1363" s="85">
        <f>STATS1003B!U1364/1000</f>
        <v>0</v>
      </c>
      <c r="V1363" s="85">
        <f>STATS1003B!V1364/1000</f>
        <v>982.35659999999996</v>
      </c>
      <c r="W1363" s="85">
        <f>STATS1003B!W1364/1000</f>
        <v>0</v>
      </c>
      <c r="X1363" s="85">
        <f t="shared" si="163"/>
        <v>982.35659999999996</v>
      </c>
      <c r="Y1363" s="85">
        <f>STATS1003B!Y1364/1000</f>
        <v>0</v>
      </c>
      <c r="Z1363" s="85">
        <f t="shared" si="158"/>
        <v>0</v>
      </c>
      <c r="AA1363" s="69">
        <f>STATS1003B!AA1364/1000</f>
        <v>982.35659999999996</v>
      </c>
      <c r="AB1363" s="69">
        <f>STATS1003B!AB1364/1000</f>
        <v>0</v>
      </c>
    </row>
    <row r="1364" spans="1:28" hidden="1" x14ac:dyDescent="0.3">
      <c r="A1364" s="117"/>
      <c r="C1364" s="68" t="s">
        <v>1177</v>
      </c>
      <c r="D1364" s="89" t="s">
        <v>1126</v>
      </c>
      <c r="E1364" s="85">
        <f>STATS1003B!E1365/1000</f>
        <v>1000</v>
      </c>
      <c r="F1364" s="85">
        <f>STATS1003B!F1365/1000</f>
        <v>1000</v>
      </c>
      <c r="G1364" s="85">
        <f>STATS1003B!G1365/1000</f>
        <v>0</v>
      </c>
      <c r="H1364" s="85">
        <f>STATS1003B!H1365/1000</f>
        <v>1000</v>
      </c>
      <c r="I1364" s="85">
        <f>STATS1003B!I1365/1000</f>
        <v>0</v>
      </c>
      <c r="J1364" s="85">
        <f>STATS1003B!J1365/1000</f>
        <v>1000</v>
      </c>
      <c r="K1364" s="85">
        <f>STATS1003B!K1365/1000</f>
        <v>0</v>
      </c>
      <c r="L1364" s="85">
        <f>STATS1003B!L1365/1000</f>
        <v>0</v>
      </c>
      <c r="M1364" s="85">
        <f>STATS1003B!M1365/1000</f>
        <v>1000</v>
      </c>
      <c r="N1364" s="85">
        <f>STATS1003B!N1365/1000</f>
        <v>0</v>
      </c>
      <c r="O1364" s="85">
        <f>STATS1003B!O1365/1000</f>
        <v>0</v>
      </c>
      <c r="P1364" s="85">
        <f>STATS1003B!P1365/1000</f>
        <v>0</v>
      </c>
      <c r="Q1364" s="85">
        <f>STATS1003B!Q1365/1000</f>
        <v>0</v>
      </c>
      <c r="R1364" s="85">
        <f>STATS1003B!R1365/1000</f>
        <v>0</v>
      </c>
      <c r="S1364" s="85">
        <f>STATS1003B!S1365/1000</f>
        <v>0</v>
      </c>
      <c r="T1364" s="85">
        <f>STATS1003B!T1365/1000</f>
        <v>0</v>
      </c>
      <c r="U1364" s="85">
        <f>STATS1003B!U1365/1000</f>
        <v>0</v>
      </c>
      <c r="V1364" s="85">
        <f>STATS1003B!V1365/1000</f>
        <v>1000</v>
      </c>
      <c r="W1364" s="85">
        <f>STATS1003B!W1365/1000</f>
        <v>0</v>
      </c>
      <c r="X1364" s="85">
        <f t="shared" si="163"/>
        <v>1000</v>
      </c>
      <c r="Y1364" s="85">
        <f>STATS1003B!Y1365/1000</f>
        <v>0</v>
      </c>
      <c r="Z1364" s="85">
        <f t="shared" si="158"/>
        <v>0</v>
      </c>
      <c r="AA1364" s="69">
        <f>STATS1003B!AA1365/1000</f>
        <v>1000</v>
      </c>
      <c r="AB1364" s="69">
        <f>STATS1003B!AB1365/1000</f>
        <v>0</v>
      </c>
    </row>
    <row r="1365" spans="1:28" hidden="1" x14ac:dyDescent="0.3">
      <c r="A1365" s="117"/>
      <c r="C1365" s="68" t="s">
        <v>1252</v>
      </c>
      <c r="D1365" s="89" t="s">
        <v>1225</v>
      </c>
      <c r="E1365" s="85">
        <f>STATS1003B!E1366/1000</f>
        <v>500</v>
      </c>
      <c r="F1365" s="85">
        <f>STATS1003B!F1366/1000</f>
        <v>500</v>
      </c>
      <c r="G1365" s="85">
        <f>STATS1003B!G1366/1000</f>
        <v>0</v>
      </c>
      <c r="H1365" s="85">
        <f>STATS1003B!H1366/1000</f>
        <v>500</v>
      </c>
      <c r="I1365" s="85">
        <f>STATS1003B!I1366/1000</f>
        <v>0</v>
      </c>
      <c r="J1365" s="85">
        <f>STATS1003B!J1366/1000</f>
        <v>500</v>
      </c>
      <c r="K1365" s="85">
        <f>STATS1003B!K1366/1000</f>
        <v>0</v>
      </c>
      <c r="L1365" s="85">
        <f>STATS1003B!L1366/1000</f>
        <v>0</v>
      </c>
      <c r="M1365" s="85">
        <f>STATS1003B!M1366/1000</f>
        <v>500</v>
      </c>
      <c r="N1365" s="85">
        <f>STATS1003B!N1366/1000</f>
        <v>0</v>
      </c>
      <c r="O1365" s="85">
        <f>STATS1003B!O1366/1000</f>
        <v>0</v>
      </c>
      <c r="P1365" s="85">
        <f>STATS1003B!P1366/1000</f>
        <v>0</v>
      </c>
      <c r="Q1365" s="85">
        <f>STATS1003B!Q1366/1000</f>
        <v>0</v>
      </c>
      <c r="R1365" s="85">
        <f>STATS1003B!R1366/1000</f>
        <v>0</v>
      </c>
      <c r="S1365" s="85">
        <f>STATS1003B!S1366/1000</f>
        <v>0</v>
      </c>
      <c r="T1365" s="85">
        <f>STATS1003B!T1366/1000</f>
        <v>0</v>
      </c>
      <c r="U1365" s="85">
        <f>STATS1003B!U1366/1000</f>
        <v>0</v>
      </c>
      <c r="V1365" s="85">
        <f>STATS1003B!V1366/1000</f>
        <v>500</v>
      </c>
      <c r="W1365" s="85">
        <f>STATS1003B!W1366/1000</f>
        <v>0</v>
      </c>
      <c r="X1365" s="85">
        <f t="shared" si="163"/>
        <v>500</v>
      </c>
      <c r="Y1365" s="85">
        <f>STATS1003B!Y1366/1000</f>
        <v>0</v>
      </c>
      <c r="Z1365" s="85">
        <f t="shared" si="158"/>
        <v>0</v>
      </c>
      <c r="AA1365" s="69">
        <f>STATS1003B!AA1366/1000</f>
        <v>500</v>
      </c>
      <c r="AB1365" s="69">
        <f>STATS1003B!AB1366/1000</f>
        <v>0</v>
      </c>
    </row>
    <row r="1366" spans="1:28" hidden="1" x14ac:dyDescent="0.3">
      <c r="A1366" s="117"/>
      <c r="C1366" s="68" t="s">
        <v>577</v>
      </c>
      <c r="E1366" s="85">
        <f>STATS1003B!E1367/1000</f>
        <v>8916.5998299999992</v>
      </c>
      <c r="F1366" s="85">
        <f>STATS1003B!F1367/1000</f>
        <v>8916.5998299999992</v>
      </c>
      <c r="G1366" s="85">
        <f>STATS1003B!G1367/1000</f>
        <v>0</v>
      </c>
      <c r="H1366" s="85">
        <f>STATS1003B!H1367/1000</f>
        <v>8916.5998299999992</v>
      </c>
      <c r="I1366" s="85">
        <f>STATS1003B!I1367/1000</f>
        <v>0</v>
      </c>
      <c r="J1366" s="85">
        <f>STATS1003B!J1367/1000</f>
        <v>8916.5998299999992</v>
      </c>
      <c r="K1366" s="85">
        <f>STATS1003B!K1367/1000</f>
        <v>0</v>
      </c>
      <c r="L1366" s="85">
        <f>STATS1003B!L1367/1000</f>
        <v>0</v>
      </c>
      <c r="M1366" s="85">
        <f>STATS1003B!M1367/1000</f>
        <v>8916.5998299999992</v>
      </c>
      <c r="N1366" s="85">
        <f>STATS1003B!N1367/1000</f>
        <v>0</v>
      </c>
      <c r="O1366" s="85">
        <f>STATS1003B!O1367/1000</f>
        <v>0</v>
      </c>
      <c r="P1366" s="85">
        <f>STATS1003B!P1367/1000</f>
        <v>0</v>
      </c>
      <c r="Q1366" s="85">
        <f>STATS1003B!Q1367/1000</f>
        <v>8916.5998299999992</v>
      </c>
      <c r="R1366" s="85">
        <f>STATS1003B!R1367/1000</f>
        <v>0</v>
      </c>
      <c r="S1366" s="85">
        <f>STATS1003B!S1367/1000</f>
        <v>0</v>
      </c>
      <c r="T1366" s="85">
        <f>STATS1003B!T1367/1000</f>
        <v>0</v>
      </c>
      <c r="U1366" s="85">
        <f>STATS1003B!U1367/1000</f>
        <v>0</v>
      </c>
      <c r="V1366" s="85">
        <f>STATS1003B!V1367/1000</f>
        <v>8916.5998299999992</v>
      </c>
      <c r="W1366" s="85">
        <f>STATS1003B!W1367/1000</f>
        <v>0</v>
      </c>
      <c r="X1366" s="85">
        <f t="shared" si="163"/>
        <v>8916.5998299999992</v>
      </c>
      <c r="Y1366" s="85">
        <f>STATS1003B!Y1367/1000</f>
        <v>0</v>
      </c>
      <c r="Z1366" s="85">
        <f t="shared" si="158"/>
        <v>0</v>
      </c>
      <c r="AA1366" s="69">
        <f>STATS1003B!AA1367/1000</f>
        <v>8916.5998299999992</v>
      </c>
      <c r="AB1366" s="69">
        <f>STATS1003B!AB1367/1000</f>
        <v>0</v>
      </c>
    </row>
    <row r="1367" spans="1:28" hidden="1" x14ac:dyDescent="0.3">
      <c r="A1367" s="117"/>
      <c r="C1367" s="68" t="s">
        <v>550</v>
      </c>
      <c r="E1367" s="85">
        <f>STATS1003B!E1368/1000</f>
        <v>497.399</v>
      </c>
      <c r="F1367" s="85">
        <f>STATS1003B!F1368/1000</f>
        <v>497.399</v>
      </c>
      <c r="G1367" s="85">
        <f>STATS1003B!G1368/1000</f>
        <v>0</v>
      </c>
      <c r="H1367" s="85">
        <f>STATS1003B!H1368/1000</f>
        <v>497.399</v>
      </c>
      <c r="I1367" s="85">
        <f>STATS1003B!I1368/1000</f>
        <v>0</v>
      </c>
      <c r="J1367" s="85">
        <f>STATS1003B!J1368/1000</f>
        <v>497.399</v>
      </c>
      <c r="K1367" s="85">
        <f>STATS1003B!K1368/1000</f>
        <v>0</v>
      </c>
      <c r="L1367" s="85">
        <f>STATS1003B!L1368/1000</f>
        <v>0</v>
      </c>
      <c r="M1367" s="85">
        <f>STATS1003B!M1368/1000</f>
        <v>497.399</v>
      </c>
      <c r="N1367" s="85">
        <f>STATS1003B!N1368/1000</f>
        <v>0</v>
      </c>
      <c r="O1367" s="85">
        <f>STATS1003B!O1368/1000</f>
        <v>0</v>
      </c>
      <c r="P1367" s="85">
        <f>STATS1003B!P1368/1000</f>
        <v>0</v>
      </c>
      <c r="Q1367" s="85">
        <f>STATS1003B!Q1368/1000</f>
        <v>497.399</v>
      </c>
      <c r="R1367" s="85">
        <f>STATS1003B!R1368/1000</f>
        <v>0</v>
      </c>
      <c r="S1367" s="85">
        <f>STATS1003B!S1368/1000</f>
        <v>0</v>
      </c>
      <c r="T1367" s="85">
        <f>STATS1003B!T1368/1000</f>
        <v>0</v>
      </c>
      <c r="U1367" s="85">
        <f>STATS1003B!U1368/1000</f>
        <v>0</v>
      </c>
      <c r="V1367" s="85">
        <f>STATS1003B!V1368/1000</f>
        <v>497.399</v>
      </c>
      <c r="W1367" s="85">
        <f>STATS1003B!W1368/1000</f>
        <v>0</v>
      </c>
      <c r="X1367" s="85">
        <f t="shared" si="163"/>
        <v>497.399</v>
      </c>
      <c r="Y1367" s="85">
        <f>STATS1003B!Y1368/1000</f>
        <v>0</v>
      </c>
      <c r="Z1367" s="85">
        <f t="shared" si="158"/>
        <v>0</v>
      </c>
      <c r="AA1367" s="69">
        <f>STATS1003B!AA1368/1000</f>
        <v>497.399</v>
      </c>
      <c r="AB1367" s="69">
        <f>STATS1003B!AB1368/1000</f>
        <v>0</v>
      </c>
    </row>
    <row r="1368" spans="1:28" hidden="1" x14ac:dyDescent="0.3">
      <c r="A1368" s="117"/>
      <c r="C1368" s="68" t="s">
        <v>569</v>
      </c>
      <c r="E1368" s="85">
        <f>STATS1003B!E1369/1000</f>
        <v>813.51099999999997</v>
      </c>
      <c r="F1368" s="85">
        <f>STATS1003B!F1369/1000</f>
        <v>813.51099999999997</v>
      </c>
      <c r="G1368" s="85">
        <f>STATS1003B!G1369/1000</f>
        <v>0</v>
      </c>
      <c r="H1368" s="85">
        <f>STATS1003B!H1369/1000</f>
        <v>813.51099999999997</v>
      </c>
      <c r="I1368" s="85">
        <f>STATS1003B!I1369/1000</f>
        <v>0</v>
      </c>
      <c r="J1368" s="85">
        <f>STATS1003B!J1369/1000</f>
        <v>813.51099999999997</v>
      </c>
      <c r="K1368" s="85">
        <f>STATS1003B!K1369/1000</f>
        <v>0</v>
      </c>
      <c r="L1368" s="85">
        <f>STATS1003B!L1369/1000</f>
        <v>0</v>
      </c>
      <c r="M1368" s="85">
        <f>STATS1003B!M1369/1000</f>
        <v>813.51099999999997</v>
      </c>
      <c r="N1368" s="85">
        <f>STATS1003B!N1369/1000</f>
        <v>0</v>
      </c>
      <c r="O1368" s="85">
        <f>STATS1003B!O1369/1000</f>
        <v>0</v>
      </c>
      <c r="P1368" s="85">
        <f>STATS1003B!P1369/1000</f>
        <v>0</v>
      </c>
      <c r="Q1368" s="85">
        <f>STATS1003B!Q1369/1000</f>
        <v>813.51099999999997</v>
      </c>
      <c r="R1368" s="85">
        <f>STATS1003B!R1369/1000</f>
        <v>0</v>
      </c>
      <c r="S1368" s="85">
        <f>STATS1003B!S1369/1000</f>
        <v>0</v>
      </c>
      <c r="T1368" s="85">
        <f>STATS1003B!T1369/1000</f>
        <v>0</v>
      </c>
      <c r="U1368" s="85">
        <f>STATS1003B!U1369/1000</f>
        <v>0</v>
      </c>
      <c r="V1368" s="85">
        <f>STATS1003B!V1369/1000</f>
        <v>813.51099999999997</v>
      </c>
      <c r="W1368" s="85">
        <f>STATS1003B!W1369/1000</f>
        <v>0</v>
      </c>
      <c r="X1368" s="85">
        <f t="shared" si="163"/>
        <v>813.51099999999997</v>
      </c>
      <c r="Y1368" s="85">
        <f>STATS1003B!Y1369/1000</f>
        <v>0</v>
      </c>
      <c r="Z1368" s="85">
        <f t="shared" si="158"/>
        <v>0</v>
      </c>
      <c r="AA1368" s="69">
        <f>STATS1003B!AA1369/1000</f>
        <v>813.51099999999997</v>
      </c>
      <c r="AB1368" s="69">
        <f>STATS1003B!AB1369/1000</f>
        <v>0</v>
      </c>
    </row>
    <row r="1369" spans="1:28" hidden="1" x14ac:dyDescent="0.3">
      <c r="A1369" s="117"/>
      <c r="C1369" s="68" t="s">
        <v>717</v>
      </c>
      <c r="E1369" s="85">
        <f>STATS1003B!E1370/1000</f>
        <v>300</v>
      </c>
      <c r="F1369" s="85">
        <f>STATS1003B!F1370/1000</f>
        <v>300</v>
      </c>
      <c r="G1369" s="85">
        <f>STATS1003B!G1370/1000</f>
        <v>0</v>
      </c>
      <c r="H1369" s="85">
        <f>STATS1003B!H1370/1000</f>
        <v>300</v>
      </c>
      <c r="I1369" s="85">
        <f>STATS1003B!I1370/1000</f>
        <v>0</v>
      </c>
      <c r="J1369" s="85">
        <f>STATS1003B!J1370/1000</f>
        <v>300</v>
      </c>
      <c r="K1369" s="85">
        <f>STATS1003B!K1370/1000</f>
        <v>0</v>
      </c>
      <c r="L1369" s="85">
        <f>STATS1003B!L1370/1000</f>
        <v>0</v>
      </c>
      <c r="M1369" s="85">
        <f>STATS1003B!M1370/1000</f>
        <v>300</v>
      </c>
      <c r="N1369" s="85">
        <f>STATS1003B!N1370/1000</f>
        <v>0</v>
      </c>
      <c r="O1369" s="85">
        <f>STATS1003B!O1370/1000</f>
        <v>0</v>
      </c>
      <c r="P1369" s="85">
        <f>STATS1003B!P1370/1000</f>
        <v>0</v>
      </c>
      <c r="Q1369" s="85">
        <f>STATS1003B!Q1370/1000</f>
        <v>300</v>
      </c>
      <c r="R1369" s="85">
        <f>STATS1003B!R1370/1000</f>
        <v>0</v>
      </c>
      <c r="S1369" s="85">
        <f>STATS1003B!S1370/1000</f>
        <v>0</v>
      </c>
      <c r="T1369" s="85">
        <f>STATS1003B!T1370/1000</f>
        <v>0</v>
      </c>
      <c r="U1369" s="85">
        <f>STATS1003B!U1370/1000</f>
        <v>0</v>
      </c>
      <c r="V1369" s="85">
        <f>STATS1003B!V1370/1000</f>
        <v>300</v>
      </c>
      <c r="W1369" s="85">
        <f>STATS1003B!W1370/1000</f>
        <v>0</v>
      </c>
      <c r="X1369" s="85">
        <f t="shared" si="163"/>
        <v>300</v>
      </c>
      <c r="Y1369" s="85">
        <f>STATS1003B!Y1370/1000</f>
        <v>0</v>
      </c>
      <c r="Z1369" s="85">
        <f t="shared" si="158"/>
        <v>0</v>
      </c>
      <c r="AA1369" s="69">
        <f>STATS1003B!AA1370/1000</f>
        <v>300</v>
      </c>
      <c r="AB1369" s="69">
        <f>STATS1003B!AB1370/1000</f>
        <v>0</v>
      </c>
    </row>
    <row r="1370" spans="1:28" hidden="1" x14ac:dyDescent="0.3">
      <c r="A1370" s="117"/>
      <c r="C1370" s="68" t="s">
        <v>718</v>
      </c>
      <c r="E1370" s="85">
        <f>STATS1003B!E1371/1000</f>
        <v>500</v>
      </c>
      <c r="F1370" s="85">
        <f>STATS1003B!F1371/1000</f>
        <v>497.43599999999998</v>
      </c>
      <c r="G1370" s="85">
        <f>STATS1003B!G1371/1000</f>
        <v>0</v>
      </c>
      <c r="H1370" s="85">
        <f>STATS1003B!H1371/1000</f>
        <v>497.43599999999998</v>
      </c>
      <c r="I1370" s="85">
        <f>STATS1003B!I1371/1000</f>
        <v>0</v>
      </c>
      <c r="J1370" s="85">
        <f>STATS1003B!J1371/1000</f>
        <v>497.43599999999998</v>
      </c>
      <c r="K1370" s="85">
        <f>STATS1003B!K1371/1000</f>
        <v>0</v>
      </c>
      <c r="L1370" s="85">
        <f>STATS1003B!L1371/1000</f>
        <v>0</v>
      </c>
      <c r="M1370" s="85">
        <f>STATS1003B!M1371/1000</f>
        <v>497.43599999999998</v>
      </c>
      <c r="N1370" s="85">
        <f>STATS1003B!N1371/1000</f>
        <v>0</v>
      </c>
      <c r="O1370" s="85">
        <f>STATS1003B!O1371/1000</f>
        <v>0</v>
      </c>
      <c r="P1370" s="85">
        <f>STATS1003B!P1371/1000</f>
        <v>0</v>
      </c>
      <c r="Q1370" s="85">
        <f>STATS1003B!Q1371/1000</f>
        <v>500</v>
      </c>
      <c r="R1370" s="85">
        <f>STATS1003B!R1371/1000</f>
        <v>0</v>
      </c>
      <c r="S1370" s="85">
        <f>STATS1003B!S1371/1000</f>
        <v>0</v>
      </c>
      <c r="T1370" s="85">
        <f>STATS1003B!T1371/1000</f>
        <v>0</v>
      </c>
      <c r="U1370" s="85">
        <f>STATS1003B!U1371/1000</f>
        <v>0</v>
      </c>
      <c r="V1370" s="85">
        <f>STATS1003B!V1371/1000</f>
        <v>497.43599999999998</v>
      </c>
      <c r="W1370" s="85">
        <f>STATS1003B!W1371/1000</f>
        <v>2.5640000000000001</v>
      </c>
      <c r="X1370" s="85">
        <f t="shared" si="163"/>
        <v>497.43599999999998</v>
      </c>
      <c r="Y1370" s="85">
        <f>STATS1003B!Y1371/1000</f>
        <v>0</v>
      </c>
      <c r="Z1370" s="85">
        <f t="shared" si="158"/>
        <v>2.5640000000000214</v>
      </c>
      <c r="AA1370" s="69">
        <f>STATS1003B!AA1371/1000</f>
        <v>497.43599999999998</v>
      </c>
      <c r="AB1370" s="69">
        <f>STATS1003B!AB1371/1000</f>
        <v>2.5640000000000001</v>
      </c>
    </row>
    <row r="1371" spans="1:28" hidden="1" x14ac:dyDescent="0.3">
      <c r="A1371" s="117"/>
      <c r="C1371" s="68" t="s">
        <v>702</v>
      </c>
      <c r="E1371" s="85">
        <f>STATS1003B!E1372/1000</f>
        <v>300</v>
      </c>
      <c r="F1371" s="85">
        <f>STATS1003B!F1372/1000</f>
        <v>0</v>
      </c>
      <c r="G1371" s="85">
        <f>STATS1003B!G1372/1000</f>
        <v>0</v>
      </c>
      <c r="H1371" s="85">
        <f>STATS1003B!H1372/1000</f>
        <v>0</v>
      </c>
      <c r="I1371" s="85">
        <f>STATS1003B!I1372/1000</f>
        <v>0</v>
      </c>
      <c r="J1371" s="85">
        <f>STATS1003B!J1372/1000</f>
        <v>0</v>
      </c>
      <c r="K1371" s="85">
        <f>STATS1003B!K1372/1000</f>
        <v>300</v>
      </c>
      <c r="L1371" s="85">
        <f>STATS1003B!L1372/1000</f>
        <v>0</v>
      </c>
      <c r="M1371" s="85">
        <f>STATS1003B!M1372/1000</f>
        <v>0</v>
      </c>
      <c r="N1371" s="85">
        <f>STATS1003B!N1372/1000</f>
        <v>300</v>
      </c>
      <c r="O1371" s="85">
        <f>STATS1003B!O1372/1000</f>
        <v>0</v>
      </c>
      <c r="P1371" s="85">
        <f>STATS1003B!P1372/1000</f>
        <v>300</v>
      </c>
      <c r="Q1371" s="85">
        <f>STATS1003B!Q1372/1000</f>
        <v>0</v>
      </c>
      <c r="R1371" s="85">
        <f>STATS1003B!R1372/1000</f>
        <v>0</v>
      </c>
      <c r="S1371" s="85">
        <f>STATS1003B!S1372/1000</f>
        <v>0</v>
      </c>
      <c r="T1371" s="85">
        <f>STATS1003B!T1372/1000</f>
        <v>0</v>
      </c>
      <c r="U1371" s="85">
        <f>STATS1003B!U1372/1000</f>
        <v>300</v>
      </c>
      <c r="V1371" s="85">
        <f>STATS1003B!V1372/1000</f>
        <v>300</v>
      </c>
      <c r="W1371" s="85">
        <f>STATS1003B!W1372/1000</f>
        <v>0</v>
      </c>
      <c r="X1371" s="85">
        <f t="shared" si="163"/>
        <v>300</v>
      </c>
      <c r="Y1371" s="85">
        <f>STATS1003B!Y1372/1000</f>
        <v>0</v>
      </c>
      <c r="Z1371" s="85">
        <f t="shared" si="158"/>
        <v>0</v>
      </c>
      <c r="AA1371" s="69">
        <f>STATS1003B!AA1372/1000</f>
        <v>300</v>
      </c>
      <c r="AB1371" s="69">
        <f>STATS1003B!AB1372/1000</f>
        <v>0</v>
      </c>
    </row>
    <row r="1372" spans="1:28" hidden="1" x14ac:dyDescent="0.3">
      <c r="A1372" s="117"/>
      <c r="C1372" s="68" t="s">
        <v>551</v>
      </c>
      <c r="E1372" s="85">
        <f>STATS1003B!E1373/1000</f>
        <v>387.14815000000004</v>
      </c>
      <c r="F1372" s="85">
        <f>STATS1003B!F1373/1000</f>
        <v>387.14815000000004</v>
      </c>
      <c r="G1372" s="85">
        <f>STATS1003B!G1373/1000</f>
        <v>0</v>
      </c>
      <c r="H1372" s="85">
        <f>STATS1003B!H1373/1000</f>
        <v>387.14815000000004</v>
      </c>
      <c r="I1372" s="85">
        <f>STATS1003B!I1373/1000</f>
        <v>0</v>
      </c>
      <c r="J1372" s="85">
        <f>STATS1003B!J1373/1000</f>
        <v>387.14815000000004</v>
      </c>
      <c r="K1372" s="85">
        <f>STATS1003B!K1373/1000</f>
        <v>0</v>
      </c>
      <c r="L1372" s="85">
        <f>STATS1003B!L1373/1000</f>
        <v>0</v>
      </c>
      <c r="M1372" s="85">
        <f>STATS1003B!M1373/1000</f>
        <v>387.14815000000004</v>
      </c>
      <c r="N1372" s="85">
        <f>STATS1003B!N1373/1000</f>
        <v>0</v>
      </c>
      <c r="O1372" s="85">
        <f>STATS1003B!O1373/1000</f>
        <v>0</v>
      </c>
      <c r="P1372" s="85">
        <f>STATS1003B!P1373/1000</f>
        <v>0</v>
      </c>
      <c r="Q1372" s="85">
        <f>STATS1003B!Q1373/1000</f>
        <v>387.14815000000004</v>
      </c>
      <c r="R1372" s="85">
        <f>STATS1003B!R1373/1000</f>
        <v>0</v>
      </c>
      <c r="S1372" s="85">
        <f>STATS1003B!S1373/1000</f>
        <v>0</v>
      </c>
      <c r="T1372" s="85">
        <f>STATS1003B!T1373/1000</f>
        <v>0</v>
      </c>
      <c r="U1372" s="85">
        <f>STATS1003B!U1373/1000</f>
        <v>0</v>
      </c>
      <c r="V1372" s="85">
        <f>STATS1003B!V1373/1000</f>
        <v>387.14815000000004</v>
      </c>
      <c r="W1372" s="85">
        <f>STATS1003B!W1373/1000</f>
        <v>0</v>
      </c>
      <c r="X1372" s="85">
        <f t="shared" si="163"/>
        <v>387.14815000000004</v>
      </c>
      <c r="Y1372" s="85">
        <f>STATS1003B!Y1373/1000</f>
        <v>0</v>
      </c>
      <c r="Z1372" s="85">
        <f t="shared" ref="Z1372:Z1435" si="164">+E1372-X1372</f>
        <v>0</v>
      </c>
      <c r="AA1372" s="69">
        <f>STATS1003B!AA1373/1000</f>
        <v>387.14815000000004</v>
      </c>
      <c r="AB1372" s="69">
        <f>STATS1003B!AB1373/1000</f>
        <v>0</v>
      </c>
    </row>
    <row r="1373" spans="1:28" hidden="1" x14ac:dyDescent="0.3">
      <c r="A1373" s="117"/>
      <c r="C1373" s="68" t="s">
        <v>678</v>
      </c>
      <c r="E1373" s="85">
        <f>STATS1003B!E1374/1000</f>
        <v>5000</v>
      </c>
      <c r="F1373" s="85">
        <f>STATS1003B!F1374/1000</f>
        <v>5000</v>
      </c>
      <c r="G1373" s="85">
        <f>STATS1003B!G1374/1000</f>
        <v>0</v>
      </c>
      <c r="H1373" s="85">
        <f>STATS1003B!H1374/1000</f>
        <v>5000</v>
      </c>
      <c r="I1373" s="85">
        <f>STATS1003B!I1374/1000</f>
        <v>0</v>
      </c>
      <c r="J1373" s="85">
        <f>STATS1003B!J1374/1000</f>
        <v>5000</v>
      </c>
      <c r="K1373" s="85">
        <f>STATS1003B!K1374/1000</f>
        <v>0</v>
      </c>
      <c r="L1373" s="85">
        <f>STATS1003B!L1374/1000</f>
        <v>0</v>
      </c>
      <c r="M1373" s="85">
        <f>STATS1003B!M1374/1000</f>
        <v>5000</v>
      </c>
      <c r="N1373" s="85">
        <f>STATS1003B!N1374/1000</f>
        <v>0</v>
      </c>
      <c r="O1373" s="85">
        <f>STATS1003B!O1374/1000</f>
        <v>0</v>
      </c>
      <c r="P1373" s="85">
        <f>STATS1003B!P1374/1000</f>
        <v>0</v>
      </c>
      <c r="Q1373" s="85">
        <f>STATS1003B!Q1374/1000</f>
        <v>5000</v>
      </c>
      <c r="R1373" s="85">
        <f>STATS1003B!R1374/1000</f>
        <v>0</v>
      </c>
      <c r="S1373" s="85">
        <f>STATS1003B!S1374/1000</f>
        <v>0</v>
      </c>
      <c r="T1373" s="85">
        <f>STATS1003B!T1374/1000</f>
        <v>0</v>
      </c>
      <c r="U1373" s="85">
        <f>STATS1003B!U1374/1000</f>
        <v>0</v>
      </c>
      <c r="V1373" s="85">
        <f>STATS1003B!V1374/1000</f>
        <v>5000</v>
      </c>
      <c r="W1373" s="85">
        <f>STATS1003B!W1374/1000</f>
        <v>0</v>
      </c>
      <c r="X1373" s="85">
        <f t="shared" si="163"/>
        <v>5000</v>
      </c>
      <c r="Y1373" s="85">
        <f>STATS1003B!Y1374/1000</f>
        <v>0</v>
      </c>
      <c r="Z1373" s="85">
        <f t="shared" si="164"/>
        <v>0</v>
      </c>
      <c r="AA1373" s="69">
        <f>STATS1003B!AA1374/1000</f>
        <v>5000</v>
      </c>
      <c r="AB1373" s="69">
        <f>STATS1003B!AB1374/1000</f>
        <v>0</v>
      </c>
    </row>
    <row r="1374" spans="1:28" hidden="1" x14ac:dyDescent="0.3">
      <c r="A1374" s="117"/>
      <c r="E1374" s="86" t="s">
        <v>29</v>
      </c>
      <c r="F1374" s="86" t="s">
        <v>29</v>
      </c>
      <c r="G1374" s="86" t="s">
        <v>29</v>
      </c>
      <c r="H1374" s="86" t="s">
        <v>29</v>
      </c>
      <c r="I1374" s="86" t="s">
        <v>29</v>
      </c>
      <c r="J1374" s="86" t="s">
        <v>29</v>
      </c>
      <c r="K1374" s="86" t="s">
        <v>29</v>
      </c>
      <c r="L1374" s="86" t="s">
        <v>29</v>
      </c>
      <c r="M1374" s="86" t="s">
        <v>29</v>
      </c>
      <c r="N1374" s="86" t="s">
        <v>29</v>
      </c>
      <c r="O1374" s="86" t="s">
        <v>29</v>
      </c>
      <c r="P1374" s="86" t="s">
        <v>29</v>
      </c>
      <c r="Q1374" s="86" t="s">
        <v>29</v>
      </c>
      <c r="R1374" s="86" t="s">
        <v>29</v>
      </c>
      <c r="S1374" s="86" t="s">
        <v>29</v>
      </c>
      <c r="T1374" s="86" t="s">
        <v>29</v>
      </c>
      <c r="U1374" s="86" t="s">
        <v>29</v>
      </c>
      <c r="V1374" s="86" t="s">
        <v>29</v>
      </c>
      <c r="W1374" s="86" t="s">
        <v>29</v>
      </c>
      <c r="X1374" s="85" t="e">
        <f t="shared" si="163"/>
        <v>#VALUE!</v>
      </c>
      <c r="Y1374" s="86" t="s">
        <v>29</v>
      </c>
      <c r="Z1374" s="85" t="e">
        <f t="shared" si="164"/>
        <v>#VALUE!</v>
      </c>
      <c r="AA1374" s="115" t="s">
        <v>29</v>
      </c>
      <c r="AB1374" s="115" t="s">
        <v>29</v>
      </c>
    </row>
    <row r="1375" spans="1:28" x14ac:dyDescent="0.3">
      <c r="A1375" s="116">
        <v>61</v>
      </c>
      <c r="B1375" s="68" t="s">
        <v>711</v>
      </c>
      <c r="E1375" s="85">
        <f>129406350.78/1000</f>
        <v>129406.35078000001</v>
      </c>
      <c r="F1375" s="85">
        <f t="shared" ref="F1375:Q1375" si="165">SUM(F1342:F1374)</f>
        <v>59738.143009999993</v>
      </c>
      <c r="G1375" s="85">
        <f t="shared" si="165"/>
        <v>0</v>
      </c>
      <c r="H1375" s="85">
        <f>123848941.32/1000</f>
        <v>123848.94132</v>
      </c>
      <c r="I1375" s="85">
        <f t="shared" si="165"/>
        <v>0</v>
      </c>
      <c r="J1375" s="85">
        <f t="shared" si="165"/>
        <v>59738.143009999993</v>
      </c>
      <c r="K1375" s="85">
        <f t="shared" si="165"/>
        <v>5242.45946</v>
      </c>
      <c r="L1375" s="85">
        <f t="shared" si="165"/>
        <v>0</v>
      </c>
      <c r="M1375" s="85">
        <f t="shared" si="165"/>
        <v>59738.143009999993</v>
      </c>
      <c r="N1375" s="85">
        <f t="shared" si="165"/>
        <v>5242.45946</v>
      </c>
      <c r="O1375" s="85">
        <f t="shared" si="165"/>
        <v>0</v>
      </c>
      <c r="P1375" s="85">
        <f>5242459/1000</f>
        <v>5242.4589999999998</v>
      </c>
      <c r="Q1375" s="85">
        <f t="shared" si="165"/>
        <v>56787.354419999996</v>
      </c>
      <c r="R1375" s="86"/>
      <c r="S1375" s="86"/>
      <c r="T1375" s="85">
        <f t="shared" ref="T1375:Y1375" si="166">SUM(T1342:T1374)</f>
        <v>0</v>
      </c>
      <c r="U1375" s="85">
        <f t="shared" si="166"/>
        <v>5242.45946</v>
      </c>
      <c r="V1375" s="85">
        <f t="shared" si="166"/>
        <v>64980.602469999998</v>
      </c>
      <c r="W1375" s="85">
        <f t="shared" si="166"/>
        <v>314.95</v>
      </c>
      <c r="X1375" s="85">
        <f>+H1375+P1375</f>
        <v>129091.40032</v>
      </c>
      <c r="Y1375" s="85">
        <f t="shared" si="166"/>
        <v>0</v>
      </c>
      <c r="Z1375" s="85">
        <f t="shared" si="164"/>
        <v>314.9504600000073</v>
      </c>
      <c r="AA1375" s="69">
        <f>SUM(AA1342:AA1374)</f>
        <v>64980.602469999998</v>
      </c>
      <c r="AB1375" s="69">
        <f>SUM(AB1342:AB1374)</f>
        <v>314.95</v>
      </c>
    </row>
    <row r="1376" spans="1:28" hidden="1" x14ac:dyDescent="0.3">
      <c r="A1376" s="117"/>
      <c r="E1376" s="86" t="s">
        <v>29</v>
      </c>
      <c r="F1376" s="86" t="s">
        <v>29</v>
      </c>
      <c r="G1376" s="86" t="s">
        <v>29</v>
      </c>
      <c r="H1376" s="86" t="s">
        <v>29</v>
      </c>
      <c r="I1376" s="86" t="s">
        <v>29</v>
      </c>
      <c r="J1376" s="86" t="s">
        <v>29</v>
      </c>
      <c r="K1376" s="86" t="s">
        <v>29</v>
      </c>
      <c r="L1376" s="86" t="s">
        <v>29</v>
      </c>
      <c r="M1376" s="86" t="s">
        <v>29</v>
      </c>
      <c r="N1376" s="86" t="s">
        <v>29</v>
      </c>
      <c r="O1376" s="86" t="s">
        <v>29</v>
      </c>
      <c r="P1376" s="86" t="s">
        <v>29</v>
      </c>
      <c r="Q1376" s="86" t="s">
        <v>29</v>
      </c>
      <c r="R1376" s="86" t="s">
        <v>29</v>
      </c>
      <c r="S1376" s="86" t="s">
        <v>29</v>
      </c>
      <c r="T1376" s="86" t="s">
        <v>29</v>
      </c>
      <c r="U1376" s="86" t="s">
        <v>29</v>
      </c>
      <c r="V1376" s="86" t="s">
        <v>29</v>
      </c>
      <c r="W1376" s="86" t="s">
        <v>29</v>
      </c>
      <c r="X1376" s="85" t="e">
        <f t="shared" si="163"/>
        <v>#VALUE!</v>
      </c>
      <c r="Y1376" s="86" t="s">
        <v>29</v>
      </c>
      <c r="Z1376" s="85" t="e">
        <f t="shared" si="164"/>
        <v>#VALUE!</v>
      </c>
      <c r="AA1376" s="115" t="s">
        <v>29</v>
      </c>
      <c r="AB1376" s="115" t="s">
        <v>29</v>
      </c>
    </row>
    <row r="1377" spans="1:28" hidden="1" x14ac:dyDescent="0.3">
      <c r="A1377" s="105"/>
      <c r="E1377" s="84"/>
      <c r="F1377" s="84"/>
      <c r="G1377" s="84"/>
      <c r="H1377" s="84"/>
      <c r="I1377" s="84"/>
      <c r="J1377" s="84"/>
      <c r="K1377" s="84"/>
      <c r="L1377" s="84"/>
      <c r="M1377" s="84"/>
      <c r="N1377" s="84"/>
      <c r="O1377" s="84"/>
      <c r="P1377" s="84"/>
      <c r="Q1377" s="84"/>
      <c r="R1377" s="86"/>
      <c r="S1377" s="86"/>
      <c r="T1377" s="86"/>
      <c r="U1377" s="86"/>
      <c r="V1377" s="86"/>
      <c r="W1377" s="86"/>
      <c r="X1377" s="85">
        <f t="shared" si="163"/>
        <v>0</v>
      </c>
      <c r="Y1377" s="86"/>
      <c r="Z1377" s="85">
        <f t="shared" si="164"/>
        <v>0</v>
      </c>
    </row>
    <row r="1378" spans="1:28" hidden="1" x14ac:dyDescent="0.3">
      <c r="A1378" s="117"/>
      <c r="C1378" s="68" t="s">
        <v>720</v>
      </c>
      <c r="D1378" s="87" t="s">
        <v>78</v>
      </c>
      <c r="E1378" s="85">
        <f>STATS1003B!E1379/1000</f>
        <v>242.54361999999998</v>
      </c>
      <c r="F1378" s="85">
        <f>STATS1003B!F1379/1000</f>
        <v>84.6</v>
      </c>
      <c r="G1378" s="85">
        <f>STATS1003B!G1379/1000</f>
        <v>0</v>
      </c>
      <c r="H1378" s="85">
        <f>STATS1003B!H1379/1000</f>
        <v>84.6</v>
      </c>
      <c r="I1378" s="85">
        <f>STATS1003B!I1379/1000</f>
        <v>0</v>
      </c>
      <c r="J1378" s="85">
        <f>STATS1003B!J1379/1000</f>
        <v>84.6</v>
      </c>
      <c r="K1378" s="85">
        <f>STATS1003B!K1379/1000</f>
        <v>157.94361999999998</v>
      </c>
      <c r="L1378" s="85">
        <f>STATS1003B!L1379/1000</f>
        <v>0</v>
      </c>
      <c r="M1378" s="85">
        <f>STATS1003B!M1379/1000</f>
        <v>84.6</v>
      </c>
      <c r="N1378" s="85">
        <f>STATS1003B!N1379/1000</f>
        <v>157.94361999999998</v>
      </c>
      <c r="O1378" s="85">
        <f>STATS1003B!O1379/1000</f>
        <v>0</v>
      </c>
      <c r="P1378" s="85">
        <f>STATS1003B!P1379/1000</f>
        <v>157.94361999999998</v>
      </c>
      <c r="Q1378" s="85">
        <f>STATS1003B!Q1379/1000</f>
        <v>84.599999999999966</v>
      </c>
      <c r="R1378" s="85">
        <f>STATS1003B!R1379/1000</f>
        <v>0</v>
      </c>
      <c r="S1378" s="85">
        <f>STATS1003B!S1379/1000</f>
        <v>0</v>
      </c>
      <c r="T1378" s="85">
        <f>STATS1003B!T1379/1000</f>
        <v>0</v>
      </c>
      <c r="U1378" s="85">
        <f>STATS1003B!U1379/1000</f>
        <v>157.94361999999998</v>
      </c>
      <c r="V1378" s="85">
        <f>STATS1003B!V1379/1000</f>
        <v>242.54362</v>
      </c>
      <c r="W1378" s="85">
        <f>STATS1003B!W1379/1000</f>
        <v>0</v>
      </c>
      <c r="X1378" s="85">
        <f t="shared" si="163"/>
        <v>242.54361999999998</v>
      </c>
      <c r="Y1378" s="85">
        <f>STATS1003B!Y1379/1000</f>
        <v>0</v>
      </c>
      <c r="Z1378" s="85">
        <f t="shared" si="164"/>
        <v>0</v>
      </c>
      <c r="AA1378" s="69">
        <f>STATS1003B!AA1379/1000</f>
        <v>242.54362</v>
      </c>
      <c r="AB1378" s="69">
        <f>STATS1003B!AB1379/1000</f>
        <v>0</v>
      </c>
    </row>
    <row r="1379" spans="1:28" hidden="1" x14ac:dyDescent="0.3">
      <c r="A1379" s="117"/>
      <c r="C1379" s="68" t="s">
        <v>535</v>
      </c>
      <c r="D1379" s="87" t="s">
        <v>68</v>
      </c>
      <c r="E1379" s="85">
        <f>STATS1003B!E1380/1000</f>
        <v>743.09152999999981</v>
      </c>
      <c r="F1379" s="85">
        <f>STATS1003B!F1380/1000</f>
        <v>596.39244999999994</v>
      </c>
      <c r="G1379" s="85">
        <f>STATS1003B!G1380/1000</f>
        <v>0</v>
      </c>
      <c r="H1379" s="85">
        <f>STATS1003B!H1380/1000</f>
        <v>596.39244999999994</v>
      </c>
      <c r="I1379" s="85">
        <f>STATS1003B!I1380/1000</f>
        <v>0</v>
      </c>
      <c r="J1379" s="85">
        <f>STATS1003B!J1380/1000</f>
        <v>596.39244999999994</v>
      </c>
      <c r="K1379" s="85">
        <f>STATS1003B!K1380/1000</f>
        <v>146.69907999999998</v>
      </c>
      <c r="L1379" s="85">
        <f>STATS1003B!L1380/1000</f>
        <v>0</v>
      </c>
      <c r="M1379" s="85">
        <f>STATS1003B!M1380/1000</f>
        <v>596.39244999999994</v>
      </c>
      <c r="N1379" s="85">
        <f>STATS1003B!N1380/1000</f>
        <v>146.69907999999998</v>
      </c>
      <c r="O1379" s="85">
        <f>STATS1003B!O1380/1000</f>
        <v>0</v>
      </c>
      <c r="P1379" s="85">
        <f>STATS1003B!P1380/1000</f>
        <v>146.69907999999998</v>
      </c>
      <c r="Q1379" s="85">
        <f>STATS1003B!Q1380/1000</f>
        <v>596.39244999999983</v>
      </c>
      <c r="R1379" s="85">
        <f>STATS1003B!R1380/1000</f>
        <v>0</v>
      </c>
      <c r="S1379" s="85">
        <f>STATS1003B!S1380/1000</f>
        <v>0</v>
      </c>
      <c r="T1379" s="85">
        <f>STATS1003B!T1380/1000</f>
        <v>0</v>
      </c>
      <c r="U1379" s="85">
        <f>STATS1003B!U1380/1000</f>
        <v>146.69907999999998</v>
      </c>
      <c r="V1379" s="85">
        <f>STATS1003B!V1380/1000</f>
        <v>743.09152999999992</v>
      </c>
      <c r="W1379" s="85">
        <f>STATS1003B!W1380/1000</f>
        <v>0</v>
      </c>
      <c r="X1379" s="85">
        <f t="shared" si="163"/>
        <v>743.09152999999992</v>
      </c>
      <c r="Y1379" s="85">
        <f>STATS1003B!Y1380/1000</f>
        <v>0</v>
      </c>
      <c r="Z1379" s="85">
        <f t="shared" si="164"/>
        <v>0</v>
      </c>
      <c r="AA1379" s="69">
        <f>STATS1003B!AA1380/1000</f>
        <v>743.09152999999992</v>
      </c>
      <c r="AB1379" s="69">
        <f>STATS1003B!AB1380/1000</f>
        <v>0</v>
      </c>
    </row>
    <row r="1380" spans="1:28" hidden="1" x14ac:dyDescent="0.3">
      <c r="A1380" s="117"/>
      <c r="C1380" s="68" t="s">
        <v>539</v>
      </c>
      <c r="D1380" s="87" t="s">
        <v>68</v>
      </c>
      <c r="E1380" s="85">
        <f>STATS1003B!E1381/1000</f>
        <v>4456.424</v>
      </c>
      <c r="F1380" s="85">
        <f>STATS1003B!F1381/1000</f>
        <v>0</v>
      </c>
      <c r="G1380" s="85">
        <f>STATS1003B!G1381/1000</f>
        <v>0</v>
      </c>
      <c r="H1380" s="85">
        <f>STATS1003B!H1381/1000</f>
        <v>0</v>
      </c>
      <c r="I1380" s="85">
        <f>STATS1003B!I1381/1000</f>
        <v>0</v>
      </c>
      <c r="J1380" s="85">
        <f>STATS1003B!J1381/1000</f>
        <v>0</v>
      </c>
      <c r="K1380" s="85">
        <f>STATS1003B!K1381/1000</f>
        <v>4456.424</v>
      </c>
      <c r="L1380" s="85">
        <f>STATS1003B!L1381/1000</f>
        <v>0</v>
      </c>
      <c r="M1380" s="85">
        <f>STATS1003B!M1381/1000</f>
        <v>0</v>
      </c>
      <c r="N1380" s="85">
        <f>STATS1003B!N1381/1000</f>
        <v>4456.424</v>
      </c>
      <c r="O1380" s="85">
        <f>STATS1003B!O1381/1000</f>
        <v>0</v>
      </c>
      <c r="P1380" s="85">
        <f>STATS1003B!P1381/1000</f>
        <v>4456.424</v>
      </c>
      <c r="Q1380" s="85">
        <f>STATS1003B!Q1381/1000</f>
        <v>0</v>
      </c>
      <c r="R1380" s="85">
        <f>STATS1003B!R1381/1000</f>
        <v>0</v>
      </c>
      <c r="S1380" s="85">
        <f>STATS1003B!S1381/1000</f>
        <v>0</v>
      </c>
      <c r="T1380" s="85">
        <f>STATS1003B!T1381/1000</f>
        <v>0</v>
      </c>
      <c r="U1380" s="85">
        <f>STATS1003B!U1381/1000</f>
        <v>4456.424</v>
      </c>
      <c r="V1380" s="85">
        <f>STATS1003B!V1381/1000</f>
        <v>4456.424</v>
      </c>
      <c r="W1380" s="85">
        <f>STATS1003B!W1381/1000</f>
        <v>0</v>
      </c>
      <c r="X1380" s="85">
        <f t="shared" si="163"/>
        <v>4456.424</v>
      </c>
      <c r="Y1380" s="85">
        <f>STATS1003B!Y1381/1000</f>
        <v>0</v>
      </c>
      <c r="Z1380" s="85">
        <f t="shared" si="164"/>
        <v>0</v>
      </c>
      <c r="AA1380" s="69">
        <f>STATS1003B!AA1381/1000</f>
        <v>4456.424</v>
      </c>
      <c r="AB1380" s="69">
        <f>STATS1003B!AB1381/1000</f>
        <v>0</v>
      </c>
    </row>
    <row r="1381" spans="1:28" hidden="1" x14ac:dyDescent="0.3">
      <c r="A1381" s="117"/>
      <c r="C1381" s="68" t="s">
        <v>557</v>
      </c>
      <c r="D1381" s="87" t="s">
        <v>68</v>
      </c>
      <c r="E1381" s="85">
        <f>STATS1003B!E1382/1000</f>
        <v>2057.8486000000003</v>
      </c>
      <c r="F1381" s="85">
        <f>STATS1003B!F1382/1000</f>
        <v>1932.0930000000001</v>
      </c>
      <c r="G1381" s="85">
        <f>STATS1003B!G1382/1000</f>
        <v>0</v>
      </c>
      <c r="H1381" s="85">
        <f>STATS1003B!H1382/1000</f>
        <v>1932.0930000000001</v>
      </c>
      <c r="I1381" s="85">
        <f>STATS1003B!I1382/1000</f>
        <v>0</v>
      </c>
      <c r="J1381" s="85">
        <f>STATS1003B!J1382/1000</f>
        <v>1932.0930000000001</v>
      </c>
      <c r="K1381" s="85">
        <f>STATS1003B!K1382/1000</f>
        <v>125.7556</v>
      </c>
      <c r="L1381" s="85">
        <f>STATS1003B!L1382/1000</f>
        <v>0</v>
      </c>
      <c r="M1381" s="85">
        <f>STATS1003B!M1382/1000</f>
        <v>1932.0930000000001</v>
      </c>
      <c r="N1381" s="85">
        <f>STATS1003B!N1382/1000</f>
        <v>125.7556</v>
      </c>
      <c r="O1381" s="85">
        <f>STATS1003B!O1382/1000</f>
        <v>0</v>
      </c>
      <c r="P1381" s="85">
        <f>STATS1003B!P1382/1000</f>
        <v>125.7556</v>
      </c>
      <c r="Q1381" s="85">
        <f>STATS1003B!Q1382/1000</f>
        <v>1932.0930000000001</v>
      </c>
      <c r="R1381" s="85">
        <f>STATS1003B!R1382/1000</f>
        <v>0</v>
      </c>
      <c r="S1381" s="85">
        <f>STATS1003B!S1382/1000</f>
        <v>0</v>
      </c>
      <c r="T1381" s="85">
        <f>STATS1003B!T1382/1000</f>
        <v>0</v>
      </c>
      <c r="U1381" s="85">
        <f>STATS1003B!U1382/1000</f>
        <v>125.7556</v>
      </c>
      <c r="V1381" s="85">
        <f>STATS1003B!V1382/1000</f>
        <v>2057.8486000000003</v>
      </c>
      <c r="W1381" s="85">
        <f>STATS1003B!W1382/1000</f>
        <v>0</v>
      </c>
      <c r="X1381" s="85">
        <f t="shared" si="163"/>
        <v>2057.8486000000003</v>
      </c>
      <c r="Y1381" s="85">
        <f>STATS1003B!Y1382/1000</f>
        <v>0</v>
      </c>
      <c r="Z1381" s="85">
        <f t="shared" si="164"/>
        <v>0</v>
      </c>
      <c r="AA1381" s="69">
        <f>STATS1003B!AA1382/1000</f>
        <v>2057.8486000000003</v>
      </c>
      <c r="AB1381" s="69">
        <f>STATS1003B!AB1382/1000</f>
        <v>0</v>
      </c>
    </row>
    <row r="1382" spans="1:28" hidden="1" x14ac:dyDescent="0.3">
      <c r="A1382" s="117"/>
      <c r="C1382" s="68" t="s">
        <v>535</v>
      </c>
      <c r="D1382" s="87" t="s">
        <v>54</v>
      </c>
      <c r="E1382" s="85">
        <f>STATS1003B!E1383/1000</f>
        <v>570</v>
      </c>
      <c r="F1382" s="85">
        <f>STATS1003B!F1383/1000</f>
        <v>570</v>
      </c>
      <c r="G1382" s="85">
        <f>STATS1003B!G1383/1000</f>
        <v>0</v>
      </c>
      <c r="H1382" s="85">
        <f>STATS1003B!H1383/1000</f>
        <v>570</v>
      </c>
      <c r="I1382" s="85">
        <f>STATS1003B!I1383/1000</f>
        <v>0</v>
      </c>
      <c r="J1382" s="85">
        <f>STATS1003B!J1383/1000</f>
        <v>570</v>
      </c>
      <c r="K1382" s="85">
        <f>STATS1003B!K1383/1000</f>
        <v>0</v>
      </c>
      <c r="L1382" s="85">
        <f>STATS1003B!L1383/1000</f>
        <v>0</v>
      </c>
      <c r="M1382" s="85">
        <f>STATS1003B!M1383/1000</f>
        <v>570</v>
      </c>
      <c r="N1382" s="85">
        <f>STATS1003B!N1383/1000</f>
        <v>0</v>
      </c>
      <c r="O1382" s="85">
        <f>STATS1003B!O1383/1000</f>
        <v>0</v>
      </c>
      <c r="P1382" s="85">
        <f>STATS1003B!P1383/1000</f>
        <v>0</v>
      </c>
      <c r="Q1382" s="85">
        <f>STATS1003B!Q1383/1000</f>
        <v>570</v>
      </c>
      <c r="R1382" s="85">
        <f>STATS1003B!R1383/1000</f>
        <v>0</v>
      </c>
      <c r="S1382" s="85">
        <f>STATS1003B!S1383/1000</f>
        <v>0</v>
      </c>
      <c r="T1382" s="85">
        <f>STATS1003B!T1383/1000</f>
        <v>0</v>
      </c>
      <c r="U1382" s="85">
        <f>STATS1003B!U1383/1000</f>
        <v>0</v>
      </c>
      <c r="V1382" s="85">
        <f>STATS1003B!V1383/1000</f>
        <v>570</v>
      </c>
      <c r="W1382" s="85">
        <f>STATS1003B!W1383/1000</f>
        <v>0</v>
      </c>
      <c r="X1382" s="85">
        <f t="shared" si="163"/>
        <v>570</v>
      </c>
      <c r="Y1382" s="85">
        <f>STATS1003B!Y1383/1000</f>
        <v>0</v>
      </c>
      <c r="Z1382" s="85">
        <f t="shared" si="164"/>
        <v>0</v>
      </c>
      <c r="AA1382" s="69">
        <f>STATS1003B!AA1383/1000</f>
        <v>570</v>
      </c>
      <c r="AB1382" s="69">
        <f>STATS1003B!AB1383/1000</f>
        <v>0</v>
      </c>
    </row>
    <row r="1383" spans="1:28" hidden="1" x14ac:dyDescent="0.3">
      <c r="A1383" s="117"/>
      <c r="C1383" s="68" t="s">
        <v>545</v>
      </c>
      <c r="D1383" s="87" t="s">
        <v>54</v>
      </c>
      <c r="E1383" s="85">
        <f>STATS1003B!E1384/1000</f>
        <v>1767.77</v>
      </c>
      <c r="F1383" s="85">
        <f>STATS1003B!F1384/1000</f>
        <v>0</v>
      </c>
      <c r="G1383" s="85">
        <f>STATS1003B!G1384/1000</f>
        <v>0</v>
      </c>
      <c r="H1383" s="85">
        <f>STATS1003B!H1384/1000</f>
        <v>0</v>
      </c>
      <c r="I1383" s="85">
        <f>STATS1003B!I1384/1000</f>
        <v>0</v>
      </c>
      <c r="J1383" s="85">
        <f>STATS1003B!J1384/1000</f>
        <v>0</v>
      </c>
      <c r="K1383" s="85">
        <f>STATS1003B!K1384/1000</f>
        <v>1767.77</v>
      </c>
      <c r="L1383" s="85">
        <f>STATS1003B!L1384/1000</f>
        <v>0</v>
      </c>
      <c r="M1383" s="85">
        <f>STATS1003B!M1384/1000</f>
        <v>0</v>
      </c>
      <c r="N1383" s="85">
        <f>STATS1003B!N1384/1000</f>
        <v>1767.77</v>
      </c>
      <c r="O1383" s="85">
        <f>STATS1003B!O1384/1000</f>
        <v>0</v>
      </c>
      <c r="P1383" s="85">
        <f>STATS1003B!P1384/1000</f>
        <v>1767.77</v>
      </c>
      <c r="Q1383" s="85">
        <f>STATS1003B!Q1384/1000</f>
        <v>0</v>
      </c>
      <c r="R1383" s="85">
        <f>STATS1003B!R1384/1000</f>
        <v>0</v>
      </c>
      <c r="S1383" s="85">
        <f>STATS1003B!S1384/1000</f>
        <v>0</v>
      </c>
      <c r="T1383" s="85">
        <f>STATS1003B!T1384/1000</f>
        <v>0</v>
      </c>
      <c r="U1383" s="85">
        <f>STATS1003B!U1384/1000</f>
        <v>1767.77</v>
      </c>
      <c r="V1383" s="85">
        <f>STATS1003B!V1384/1000</f>
        <v>1767.77</v>
      </c>
      <c r="W1383" s="85">
        <f>STATS1003B!W1384/1000</f>
        <v>0</v>
      </c>
      <c r="X1383" s="85">
        <f t="shared" si="163"/>
        <v>1767.77</v>
      </c>
      <c r="Y1383" s="85">
        <f>STATS1003B!Y1384/1000</f>
        <v>0</v>
      </c>
      <c r="Z1383" s="85">
        <f t="shared" si="164"/>
        <v>0</v>
      </c>
      <c r="AA1383" s="69">
        <f>STATS1003B!AA1384/1000</f>
        <v>1767.77</v>
      </c>
      <c r="AB1383" s="69">
        <f>STATS1003B!AB1384/1000</f>
        <v>0</v>
      </c>
    </row>
    <row r="1384" spans="1:28" hidden="1" x14ac:dyDescent="0.3">
      <c r="A1384" s="117"/>
      <c r="C1384" s="68" t="s">
        <v>535</v>
      </c>
      <c r="D1384" s="87" t="s">
        <v>85</v>
      </c>
      <c r="E1384" s="85">
        <f>STATS1003B!E1385/1000</f>
        <v>2000</v>
      </c>
      <c r="F1384" s="85">
        <f>STATS1003B!F1385/1000</f>
        <v>2000</v>
      </c>
      <c r="G1384" s="85">
        <f>STATS1003B!G1385/1000</f>
        <v>0</v>
      </c>
      <c r="H1384" s="85">
        <f>STATS1003B!H1385/1000</f>
        <v>2000</v>
      </c>
      <c r="I1384" s="85">
        <f>STATS1003B!I1385/1000</f>
        <v>0</v>
      </c>
      <c r="J1384" s="85">
        <f>STATS1003B!J1385/1000</f>
        <v>2000</v>
      </c>
      <c r="K1384" s="85">
        <f>STATS1003B!K1385/1000</f>
        <v>0</v>
      </c>
      <c r="L1384" s="85">
        <f>STATS1003B!L1385/1000</f>
        <v>0</v>
      </c>
      <c r="M1384" s="85">
        <f>STATS1003B!M1385/1000</f>
        <v>2000</v>
      </c>
      <c r="N1384" s="85">
        <f>STATS1003B!N1385/1000</f>
        <v>0</v>
      </c>
      <c r="O1384" s="85">
        <f>STATS1003B!O1385/1000</f>
        <v>0</v>
      </c>
      <c r="P1384" s="85">
        <f>STATS1003B!P1385/1000</f>
        <v>0</v>
      </c>
      <c r="Q1384" s="85">
        <f>STATS1003B!Q1385/1000</f>
        <v>2000</v>
      </c>
      <c r="R1384" s="85">
        <f>STATS1003B!R1385/1000</f>
        <v>0</v>
      </c>
      <c r="S1384" s="85">
        <f>STATS1003B!S1385/1000</f>
        <v>0</v>
      </c>
      <c r="T1384" s="85">
        <f>STATS1003B!T1385/1000</f>
        <v>0</v>
      </c>
      <c r="U1384" s="85">
        <f>STATS1003B!U1385/1000</f>
        <v>0</v>
      </c>
      <c r="V1384" s="85">
        <f>STATS1003B!V1385/1000</f>
        <v>2000</v>
      </c>
      <c r="W1384" s="85">
        <f>STATS1003B!W1385/1000</f>
        <v>0</v>
      </c>
      <c r="X1384" s="85">
        <f t="shared" si="163"/>
        <v>2000</v>
      </c>
      <c r="Y1384" s="85">
        <f>STATS1003B!Y1385/1000</f>
        <v>0</v>
      </c>
      <c r="Z1384" s="85">
        <f t="shared" si="164"/>
        <v>0</v>
      </c>
      <c r="AA1384" s="69">
        <f>STATS1003B!AA1385/1000</f>
        <v>2000</v>
      </c>
      <c r="AB1384" s="69">
        <f>STATS1003B!AB1385/1000</f>
        <v>0</v>
      </c>
    </row>
    <row r="1385" spans="1:28" hidden="1" x14ac:dyDescent="0.3">
      <c r="A1385" s="117"/>
      <c r="C1385" s="68" t="s">
        <v>557</v>
      </c>
      <c r="D1385" s="87" t="s">
        <v>85</v>
      </c>
      <c r="E1385" s="85">
        <f>STATS1003B!E1386/1000</f>
        <v>2000</v>
      </c>
      <c r="F1385" s="85">
        <f>STATS1003B!F1386/1000</f>
        <v>2000</v>
      </c>
      <c r="G1385" s="85">
        <f>STATS1003B!G1386/1000</f>
        <v>0</v>
      </c>
      <c r="H1385" s="85">
        <f>STATS1003B!H1386/1000</f>
        <v>2000</v>
      </c>
      <c r="I1385" s="85">
        <f>STATS1003B!I1386/1000</f>
        <v>0</v>
      </c>
      <c r="J1385" s="85">
        <f>STATS1003B!J1386/1000</f>
        <v>2000</v>
      </c>
      <c r="K1385" s="85">
        <f>STATS1003B!K1386/1000</f>
        <v>0</v>
      </c>
      <c r="L1385" s="85">
        <f>STATS1003B!L1386/1000</f>
        <v>0</v>
      </c>
      <c r="M1385" s="85">
        <f>STATS1003B!M1386/1000</f>
        <v>2000</v>
      </c>
      <c r="N1385" s="85">
        <f>STATS1003B!N1386/1000</f>
        <v>0</v>
      </c>
      <c r="O1385" s="85">
        <f>STATS1003B!O1386/1000</f>
        <v>0</v>
      </c>
      <c r="P1385" s="85">
        <f>STATS1003B!P1386/1000</f>
        <v>0</v>
      </c>
      <c r="Q1385" s="85">
        <f>STATS1003B!Q1386/1000</f>
        <v>2000</v>
      </c>
      <c r="R1385" s="85">
        <f>STATS1003B!R1386/1000</f>
        <v>0</v>
      </c>
      <c r="S1385" s="85">
        <f>STATS1003B!S1386/1000</f>
        <v>0</v>
      </c>
      <c r="T1385" s="85">
        <f>STATS1003B!T1386/1000</f>
        <v>0</v>
      </c>
      <c r="U1385" s="85">
        <f>STATS1003B!U1386/1000</f>
        <v>0</v>
      </c>
      <c r="V1385" s="85">
        <f>STATS1003B!V1386/1000</f>
        <v>2000</v>
      </c>
      <c r="W1385" s="85">
        <f>STATS1003B!W1386/1000</f>
        <v>0</v>
      </c>
      <c r="X1385" s="85">
        <f t="shared" si="163"/>
        <v>2000</v>
      </c>
      <c r="Y1385" s="85">
        <f>STATS1003B!Y1386/1000</f>
        <v>0</v>
      </c>
      <c r="Z1385" s="85">
        <f t="shared" si="164"/>
        <v>0</v>
      </c>
      <c r="AA1385" s="69">
        <f>STATS1003B!AA1386/1000</f>
        <v>2000</v>
      </c>
      <c r="AB1385" s="69">
        <f>STATS1003B!AB1386/1000</f>
        <v>0</v>
      </c>
    </row>
    <row r="1386" spans="1:28" hidden="1" x14ac:dyDescent="0.3">
      <c r="A1386" s="117"/>
      <c r="C1386" s="68" t="s">
        <v>566</v>
      </c>
      <c r="D1386" s="87" t="s">
        <v>128</v>
      </c>
      <c r="E1386" s="85">
        <f>STATS1003B!E1387/1000</f>
        <v>786</v>
      </c>
      <c r="F1386" s="85">
        <f>STATS1003B!F1387/1000</f>
        <v>786</v>
      </c>
      <c r="G1386" s="85">
        <f>STATS1003B!G1387/1000</f>
        <v>0</v>
      </c>
      <c r="H1386" s="85">
        <f>STATS1003B!H1387/1000</f>
        <v>786</v>
      </c>
      <c r="I1386" s="85">
        <f>STATS1003B!I1387/1000</f>
        <v>0</v>
      </c>
      <c r="J1386" s="85">
        <f>STATS1003B!J1387/1000</f>
        <v>786</v>
      </c>
      <c r="K1386" s="85">
        <f>STATS1003B!K1387/1000</f>
        <v>0</v>
      </c>
      <c r="L1386" s="85">
        <f>STATS1003B!L1387/1000</f>
        <v>0</v>
      </c>
      <c r="M1386" s="85">
        <f>STATS1003B!M1387/1000</f>
        <v>786</v>
      </c>
      <c r="N1386" s="85">
        <f>STATS1003B!N1387/1000</f>
        <v>0</v>
      </c>
      <c r="O1386" s="85">
        <f>STATS1003B!O1387/1000</f>
        <v>0</v>
      </c>
      <c r="P1386" s="85">
        <f>STATS1003B!P1387/1000</f>
        <v>0</v>
      </c>
      <c r="Q1386" s="85">
        <f>STATS1003B!Q1387/1000</f>
        <v>786</v>
      </c>
      <c r="R1386" s="85">
        <f>STATS1003B!R1387/1000</f>
        <v>0</v>
      </c>
      <c r="S1386" s="85">
        <f>STATS1003B!S1387/1000</f>
        <v>0</v>
      </c>
      <c r="T1386" s="85">
        <f>STATS1003B!T1387/1000</f>
        <v>0</v>
      </c>
      <c r="U1386" s="85">
        <f>STATS1003B!U1387/1000</f>
        <v>0</v>
      </c>
      <c r="V1386" s="85">
        <f>STATS1003B!V1387/1000</f>
        <v>786</v>
      </c>
      <c r="W1386" s="85">
        <f>STATS1003B!W1387/1000</f>
        <v>0</v>
      </c>
      <c r="X1386" s="85">
        <f t="shared" si="163"/>
        <v>786</v>
      </c>
      <c r="Y1386" s="85">
        <f>STATS1003B!Y1387/1000</f>
        <v>0</v>
      </c>
      <c r="Z1386" s="85">
        <f t="shared" si="164"/>
        <v>0</v>
      </c>
      <c r="AA1386" s="69">
        <f>STATS1003B!AA1387/1000</f>
        <v>786</v>
      </c>
      <c r="AB1386" s="69">
        <f>STATS1003B!AB1387/1000</f>
        <v>0</v>
      </c>
    </row>
    <row r="1387" spans="1:28" hidden="1" x14ac:dyDescent="0.3">
      <c r="A1387" s="117"/>
      <c r="C1387" s="68" t="s">
        <v>535</v>
      </c>
      <c r="D1387" s="87" t="s">
        <v>88</v>
      </c>
      <c r="E1387" s="85">
        <f>STATS1003B!E1388/1000</f>
        <v>1694.1410000000001</v>
      </c>
      <c r="F1387" s="85">
        <f>STATS1003B!F1388/1000</f>
        <v>1694.1410000000001</v>
      </c>
      <c r="G1387" s="85">
        <f>STATS1003B!G1388/1000</f>
        <v>0</v>
      </c>
      <c r="H1387" s="85">
        <f>STATS1003B!H1388/1000</f>
        <v>1694.1410000000001</v>
      </c>
      <c r="I1387" s="85">
        <f>STATS1003B!I1388/1000</f>
        <v>0</v>
      </c>
      <c r="J1387" s="85">
        <f>STATS1003B!J1388/1000</f>
        <v>1694.1410000000001</v>
      </c>
      <c r="K1387" s="85">
        <f>STATS1003B!K1388/1000</f>
        <v>0</v>
      </c>
      <c r="L1387" s="85">
        <f>STATS1003B!L1388/1000</f>
        <v>0</v>
      </c>
      <c r="M1387" s="85">
        <f>STATS1003B!M1388/1000</f>
        <v>1694.1410000000001</v>
      </c>
      <c r="N1387" s="85">
        <f>STATS1003B!N1388/1000</f>
        <v>0</v>
      </c>
      <c r="O1387" s="85">
        <f>STATS1003B!O1388/1000</f>
        <v>0</v>
      </c>
      <c r="P1387" s="85">
        <f>STATS1003B!P1388/1000</f>
        <v>0</v>
      </c>
      <c r="Q1387" s="85">
        <f>STATS1003B!Q1388/1000</f>
        <v>1694.1410000000001</v>
      </c>
      <c r="R1387" s="85">
        <f>STATS1003B!R1388/1000</f>
        <v>0</v>
      </c>
      <c r="S1387" s="85">
        <f>STATS1003B!S1388/1000</f>
        <v>0</v>
      </c>
      <c r="T1387" s="85">
        <f>STATS1003B!T1388/1000</f>
        <v>0</v>
      </c>
      <c r="U1387" s="85">
        <f>STATS1003B!U1388/1000</f>
        <v>0</v>
      </c>
      <c r="V1387" s="85">
        <f>STATS1003B!V1388/1000</f>
        <v>1694.1410000000001</v>
      </c>
      <c r="W1387" s="85">
        <f>STATS1003B!W1388/1000</f>
        <v>0</v>
      </c>
      <c r="X1387" s="85">
        <f t="shared" si="163"/>
        <v>1694.1410000000001</v>
      </c>
      <c r="Y1387" s="85">
        <f>STATS1003B!Y1388/1000</f>
        <v>0</v>
      </c>
      <c r="Z1387" s="85">
        <f t="shared" si="164"/>
        <v>0</v>
      </c>
      <c r="AA1387" s="69">
        <f>STATS1003B!AA1388/1000</f>
        <v>1694.1410000000001</v>
      </c>
      <c r="AB1387" s="69">
        <f>STATS1003B!AB1388/1000</f>
        <v>0</v>
      </c>
    </row>
    <row r="1388" spans="1:28" hidden="1" x14ac:dyDescent="0.3">
      <c r="A1388" s="117"/>
      <c r="C1388" s="68" t="s">
        <v>535</v>
      </c>
      <c r="D1388" s="87" t="s">
        <v>58</v>
      </c>
      <c r="E1388" s="85">
        <f>STATS1003B!E1389/1000</f>
        <v>4311.6510499999995</v>
      </c>
      <c r="F1388" s="85">
        <f>STATS1003B!F1389/1000</f>
        <v>4311.6510499999995</v>
      </c>
      <c r="G1388" s="85">
        <f>STATS1003B!G1389/1000</f>
        <v>0</v>
      </c>
      <c r="H1388" s="85">
        <f>STATS1003B!H1389/1000</f>
        <v>4311.6510499999995</v>
      </c>
      <c r="I1388" s="85">
        <f>STATS1003B!I1389/1000</f>
        <v>0</v>
      </c>
      <c r="J1388" s="85">
        <f>STATS1003B!J1389/1000</f>
        <v>4311.6510499999995</v>
      </c>
      <c r="K1388" s="85">
        <f>STATS1003B!K1389/1000</f>
        <v>0</v>
      </c>
      <c r="L1388" s="85">
        <f>STATS1003B!L1389/1000</f>
        <v>0</v>
      </c>
      <c r="M1388" s="85">
        <f>STATS1003B!M1389/1000</f>
        <v>4311.6510499999995</v>
      </c>
      <c r="N1388" s="85">
        <f>STATS1003B!N1389/1000</f>
        <v>0</v>
      </c>
      <c r="O1388" s="85">
        <f>STATS1003B!O1389/1000</f>
        <v>0</v>
      </c>
      <c r="P1388" s="85">
        <f>STATS1003B!P1389/1000</f>
        <v>0</v>
      </c>
      <c r="Q1388" s="85">
        <f>STATS1003B!Q1389/1000</f>
        <v>4311.6510499999995</v>
      </c>
      <c r="R1388" s="85">
        <f>STATS1003B!R1389/1000</f>
        <v>0</v>
      </c>
      <c r="S1388" s="85">
        <f>STATS1003B!S1389/1000</f>
        <v>0</v>
      </c>
      <c r="T1388" s="85">
        <f>STATS1003B!T1389/1000</f>
        <v>0</v>
      </c>
      <c r="U1388" s="85">
        <f>STATS1003B!U1389/1000</f>
        <v>0</v>
      </c>
      <c r="V1388" s="85">
        <f>STATS1003B!V1389/1000</f>
        <v>4311.6510499999995</v>
      </c>
      <c r="W1388" s="85">
        <f>STATS1003B!W1389/1000</f>
        <v>0</v>
      </c>
      <c r="X1388" s="85">
        <f t="shared" si="163"/>
        <v>4311.6510499999995</v>
      </c>
      <c r="Y1388" s="85">
        <f>STATS1003B!Y1389/1000</f>
        <v>0</v>
      </c>
      <c r="Z1388" s="85">
        <f t="shared" si="164"/>
        <v>0</v>
      </c>
      <c r="AA1388" s="69">
        <f>STATS1003B!AA1389/1000</f>
        <v>4311.6510499999995</v>
      </c>
      <c r="AB1388" s="69">
        <f>STATS1003B!AB1389/1000</f>
        <v>0</v>
      </c>
    </row>
    <row r="1389" spans="1:28" hidden="1" x14ac:dyDescent="0.3">
      <c r="A1389" s="117"/>
      <c r="C1389" s="68" t="s">
        <v>721</v>
      </c>
      <c r="D1389" s="88" t="s">
        <v>60</v>
      </c>
      <c r="E1389" s="85">
        <f>STATS1003B!E1390/1000</f>
        <v>4300</v>
      </c>
      <c r="F1389" s="85">
        <f>STATS1003B!F1390/1000</f>
        <v>4300</v>
      </c>
      <c r="G1389" s="85">
        <f>STATS1003B!G1390/1000</f>
        <v>0</v>
      </c>
      <c r="H1389" s="85">
        <f>STATS1003B!H1390/1000</f>
        <v>4300</v>
      </c>
      <c r="I1389" s="85">
        <f>STATS1003B!I1390/1000</f>
        <v>0</v>
      </c>
      <c r="J1389" s="85">
        <f>STATS1003B!J1390/1000</f>
        <v>4300</v>
      </c>
      <c r="K1389" s="85">
        <f>STATS1003B!K1390/1000</f>
        <v>0</v>
      </c>
      <c r="L1389" s="85">
        <f>STATS1003B!L1390/1000</f>
        <v>0</v>
      </c>
      <c r="M1389" s="85">
        <f>STATS1003B!M1390/1000</f>
        <v>4300</v>
      </c>
      <c r="N1389" s="85">
        <f>STATS1003B!N1390/1000</f>
        <v>0</v>
      </c>
      <c r="O1389" s="85">
        <f>STATS1003B!O1390/1000</f>
        <v>0</v>
      </c>
      <c r="P1389" s="85">
        <f>STATS1003B!P1390/1000</f>
        <v>0</v>
      </c>
      <c r="Q1389" s="85">
        <f>STATS1003B!Q1390/1000</f>
        <v>4300</v>
      </c>
      <c r="R1389" s="85">
        <f>STATS1003B!R1390/1000</f>
        <v>0</v>
      </c>
      <c r="S1389" s="85">
        <f>STATS1003B!S1390/1000</f>
        <v>0</v>
      </c>
      <c r="T1389" s="85">
        <f>STATS1003B!T1390/1000</f>
        <v>0</v>
      </c>
      <c r="U1389" s="85">
        <f>STATS1003B!U1390/1000</f>
        <v>0</v>
      </c>
      <c r="V1389" s="85">
        <f>STATS1003B!V1390/1000</f>
        <v>4300</v>
      </c>
      <c r="W1389" s="85">
        <f>STATS1003B!W1390/1000</f>
        <v>0</v>
      </c>
      <c r="X1389" s="85">
        <f t="shared" si="163"/>
        <v>4300</v>
      </c>
      <c r="Y1389" s="85">
        <f>STATS1003B!Y1390/1000</f>
        <v>0</v>
      </c>
      <c r="Z1389" s="85">
        <f t="shared" si="164"/>
        <v>0</v>
      </c>
      <c r="AA1389" s="69">
        <f>STATS1003B!AA1390/1000</f>
        <v>4300</v>
      </c>
      <c r="AB1389" s="69">
        <f>STATS1003B!AB1390/1000</f>
        <v>0</v>
      </c>
    </row>
    <row r="1390" spans="1:28" hidden="1" x14ac:dyDescent="0.3">
      <c r="A1390" s="117"/>
      <c r="C1390" s="68" t="s">
        <v>535</v>
      </c>
      <c r="D1390" s="88" t="s">
        <v>60</v>
      </c>
      <c r="E1390" s="85">
        <f>STATS1003B!E1391/1000</f>
        <v>2113.15</v>
      </c>
      <c r="F1390" s="85">
        <f>STATS1003B!F1391/1000</f>
        <v>2113.15</v>
      </c>
      <c r="G1390" s="85">
        <f>STATS1003B!G1391/1000</f>
        <v>0</v>
      </c>
      <c r="H1390" s="85">
        <f>STATS1003B!H1391/1000</f>
        <v>2113.15</v>
      </c>
      <c r="I1390" s="85">
        <f>STATS1003B!I1391/1000</f>
        <v>0</v>
      </c>
      <c r="J1390" s="85">
        <f>STATS1003B!J1391/1000</f>
        <v>2113.15</v>
      </c>
      <c r="K1390" s="85">
        <f>STATS1003B!K1391/1000</f>
        <v>0</v>
      </c>
      <c r="L1390" s="85">
        <f>STATS1003B!L1391/1000</f>
        <v>0</v>
      </c>
      <c r="M1390" s="85">
        <f>STATS1003B!M1391/1000</f>
        <v>2113.15</v>
      </c>
      <c r="N1390" s="85">
        <f>STATS1003B!N1391/1000</f>
        <v>0</v>
      </c>
      <c r="O1390" s="85">
        <f>STATS1003B!O1391/1000</f>
        <v>0</v>
      </c>
      <c r="P1390" s="85">
        <f>STATS1003B!P1391/1000</f>
        <v>0</v>
      </c>
      <c r="Q1390" s="85">
        <f>STATS1003B!Q1391/1000</f>
        <v>2113.15</v>
      </c>
      <c r="R1390" s="85">
        <f>STATS1003B!R1391/1000</f>
        <v>0</v>
      </c>
      <c r="S1390" s="85">
        <f>STATS1003B!S1391/1000</f>
        <v>0</v>
      </c>
      <c r="T1390" s="85">
        <f>STATS1003B!T1391/1000</f>
        <v>0</v>
      </c>
      <c r="U1390" s="85">
        <f>STATS1003B!U1391/1000</f>
        <v>0</v>
      </c>
      <c r="V1390" s="85">
        <f>STATS1003B!V1391/1000</f>
        <v>2113.15</v>
      </c>
      <c r="W1390" s="85">
        <f>STATS1003B!W1391/1000</f>
        <v>0</v>
      </c>
      <c r="X1390" s="85">
        <f t="shared" si="163"/>
        <v>2113.15</v>
      </c>
      <c r="Y1390" s="85">
        <f>STATS1003B!Y1391/1000</f>
        <v>0</v>
      </c>
      <c r="Z1390" s="85">
        <f t="shared" si="164"/>
        <v>0</v>
      </c>
      <c r="AA1390" s="69">
        <f>STATS1003B!AA1391/1000</f>
        <v>2113.15</v>
      </c>
      <c r="AB1390" s="69">
        <f>STATS1003B!AB1391/1000</f>
        <v>0</v>
      </c>
    </row>
    <row r="1391" spans="1:28" hidden="1" x14ac:dyDescent="0.3">
      <c r="A1391" s="117"/>
      <c r="C1391" s="68" t="s">
        <v>535</v>
      </c>
      <c r="D1391" s="88" t="s">
        <v>73</v>
      </c>
      <c r="E1391" s="85">
        <f>STATS1003B!E1392/1000</f>
        <v>1887.7744</v>
      </c>
      <c r="F1391" s="85">
        <f>STATS1003B!F1392/1000</f>
        <v>1887.7744</v>
      </c>
      <c r="G1391" s="85">
        <f>STATS1003B!G1392/1000</f>
        <v>0</v>
      </c>
      <c r="H1391" s="85">
        <f>STATS1003B!H1392/1000</f>
        <v>1887.7744</v>
      </c>
      <c r="I1391" s="85">
        <f>STATS1003B!I1392/1000</f>
        <v>0</v>
      </c>
      <c r="J1391" s="85">
        <f>STATS1003B!J1392/1000</f>
        <v>1887.7744</v>
      </c>
      <c r="K1391" s="85">
        <f>STATS1003B!K1392/1000</f>
        <v>0</v>
      </c>
      <c r="L1391" s="85">
        <f>STATS1003B!L1392/1000</f>
        <v>0</v>
      </c>
      <c r="M1391" s="85">
        <f>STATS1003B!M1392/1000</f>
        <v>1887.7744</v>
      </c>
      <c r="N1391" s="85">
        <f>STATS1003B!N1392/1000</f>
        <v>0</v>
      </c>
      <c r="O1391" s="85">
        <f>STATS1003B!O1392/1000</f>
        <v>0</v>
      </c>
      <c r="P1391" s="85">
        <f>STATS1003B!P1392/1000</f>
        <v>0</v>
      </c>
      <c r="Q1391" s="85">
        <f>STATS1003B!Q1392/1000</f>
        <v>1887.7744</v>
      </c>
      <c r="R1391" s="85">
        <f>STATS1003B!R1392/1000</f>
        <v>0</v>
      </c>
      <c r="S1391" s="85">
        <f>STATS1003B!S1392/1000</f>
        <v>0</v>
      </c>
      <c r="T1391" s="85">
        <f>STATS1003B!T1392/1000</f>
        <v>0</v>
      </c>
      <c r="U1391" s="85">
        <f>STATS1003B!U1392/1000</f>
        <v>0</v>
      </c>
      <c r="V1391" s="85">
        <f>STATS1003B!V1392/1000</f>
        <v>1887.7744</v>
      </c>
      <c r="W1391" s="85">
        <f>STATS1003B!W1392/1000</f>
        <v>0</v>
      </c>
      <c r="X1391" s="85">
        <f t="shared" si="163"/>
        <v>1887.7744</v>
      </c>
      <c r="Y1391" s="85">
        <f>STATS1003B!Y1392/1000</f>
        <v>0</v>
      </c>
      <c r="Z1391" s="85">
        <f t="shared" si="164"/>
        <v>0</v>
      </c>
      <c r="AA1391" s="69">
        <f>STATS1003B!AA1392/1000</f>
        <v>1887.7744</v>
      </c>
      <c r="AB1391" s="69">
        <f>STATS1003B!AB1392/1000</f>
        <v>0</v>
      </c>
    </row>
    <row r="1392" spans="1:28" hidden="1" x14ac:dyDescent="0.3">
      <c r="A1392" s="117"/>
      <c r="C1392" s="71" t="s">
        <v>721</v>
      </c>
      <c r="D1392" s="88" t="s">
        <v>73</v>
      </c>
      <c r="E1392" s="85">
        <f>STATS1003B!E1393/1000</f>
        <v>4750</v>
      </c>
      <c r="F1392" s="85">
        <f>STATS1003B!F1393/1000</f>
        <v>4750</v>
      </c>
      <c r="G1392" s="85">
        <f>STATS1003B!G1393/1000</f>
        <v>0</v>
      </c>
      <c r="H1392" s="85">
        <f>STATS1003B!H1393/1000</f>
        <v>4750</v>
      </c>
      <c r="I1392" s="85">
        <f>STATS1003B!I1393/1000</f>
        <v>0</v>
      </c>
      <c r="J1392" s="85">
        <f>STATS1003B!J1393/1000</f>
        <v>4750</v>
      </c>
      <c r="K1392" s="85">
        <f>STATS1003B!K1393/1000</f>
        <v>0</v>
      </c>
      <c r="L1392" s="85">
        <f>STATS1003B!L1393/1000</f>
        <v>0</v>
      </c>
      <c r="M1392" s="85">
        <f>STATS1003B!M1393/1000</f>
        <v>4750</v>
      </c>
      <c r="N1392" s="85">
        <f>STATS1003B!N1393/1000</f>
        <v>0</v>
      </c>
      <c r="O1392" s="85">
        <f>STATS1003B!O1393/1000</f>
        <v>0</v>
      </c>
      <c r="P1392" s="85">
        <f>STATS1003B!P1393/1000</f>
        <v>0</v>
      </c>
      <c r="Q1392" s="85">
        <f>STATS1003B!Q1393/1000</f>
        <v>4750</v>
      </c>
      <c r="R1392" s="85">
        <f>STATS1003B!R1393/1000</f>
        <v>0</v>
      </c>
      <c r="S1392" s="85">
        <f>STATS1003B!S1393/1000</f>
        <v>0</v>
      </c>
      <c r="T1392" s="85">
        <f>STATS1003B!T1393/1000</f>
        <v>0</v>
      </c>
      <c r="U1392" s="85">
        <f>STATS1003B!U1393/1000</f>
        <v>0</v>
      </c>
      <c r="V1392" s="85">
        <f>STATS1003B!V1393/1000</f>
        <v>4750</v>
      </c>
      <c r="W1392" s="85">
        <f>STATS1003B!W1393/1000</f>
        <v>0</v>
      </c>
      <c r="X1392" s="85">
        <f t="shared" si="163"/>
        <v>4750</v>
      </c>
      <c r="Y1392" s="85">
        <f>STATS1003B!Y1393/1000</f>
        <v>0</v>
      </c>
      <c r="Z1392" s="85">
        <f t="shared" si="164"/>
        <v>0</v>
      </c>
      <c r="AA1392" s="69">
        <f>STATS1003B!AA1393/1000</f>
        <v>4750</v>
      </c>
      <c r="AB1392" s="69">
        <f>STATS1003B!AB1393/1000</f>
        <v>0</v>
      </c>
    </row>
    <row r="1393" spans="1:28" hidden="1" x14ac:dyDescent="0.3">
      <c r="A1393" s="117"/>
      <c r="C1393" s="71" t="s">
        <v>535</v>
      </c>
      <c r="D1393" s="88" t="s">
        <v>61</v>
      </c>
      <c r="E1393" s="85">
        <f>STATS1003B!E1394/1000</f>
        <v>2438</v>
      </c>
      <c r="F1393" s="85">
        <f>STATS1003B!F1394/1000</f>
        <v>2438</v>
      </c>
      <c r="G1393" s="85">
        <f>STATS1003B!G1394/1000</f>
        <v>0</v>
      </c>
      <c r="H1393" s="85">
        <f>STATS1003B!H1394/1000</f>
        <v>2438</v>
      </c>
      <c r="I1393" s="85">
        <f>STATS1003B!I1394/1000</f>
        <v>0</v>
      </c>
      <c r="J1393" s="85">
        <f>STATS1003B!J1394/1000</f>
        <v>2438</v>
      </c>
      <c r="K1393" s="85">
        <f>STATS1003B!K1394/1000</f>
        <v>0</v>
      </c>
      <c r="L1393" s="85">
        <f>STATS1003B!L1394/1000</f>
        <v>0</v>
      </c>
      <c r="M1393" s="85">
        <f>STATS1003B!M1394/1000</f>
        <v>2438</v>
      </c>
      <c r="N1393" s="85">
        <f>STATS1003B!N1394/1000</f>
        <v>0</v>
      </c>
      <c r="O1393" s="85">
        <f>STATS1003B!O1394/1000</f>
        <v>0</v>
      </c>
      <c r="P1393" s="85">
        <f>STATS1003B!P1394/1000</f>
        <v>0</v>
      </c>
      <c r="Q1393" s="85">
        <f>STATS1003B!Q1394/1000</f>
        <v>2438</v>
      </c>
      <c r="R1393" s="85">
        <f>STATS1003B!R1394/1000</f>
        <v>0</v>
      </c>
      <c r="S1393" s="85">
        <f>STATS1003B!S1394/1000</f>
        <v>0</v>
      </c>
      <c r="T1393" s="85">
        <f>STATS1003B!T1394/1000</f>
        <v>0</v>
      </c>
      <c r="U1393" s="85">
        <f>STATS1003B!U1394/1000</f>
        <v>0</v>
      </c>
      <c r="V1393" s="85">
        <f>STATS1003B!V1394/1000</f>
        <v>2438</v>
      </c>
      <c r="W1393" s="85">
        <f>STATS1003B!W1394/1000</f>
        <v>0</v>
      </c>
      <c r="X1393" s="85">
        <f t="shared" si="163"/>
        <v>2438</v>
      </c>
      <c r="Y1393" s="85">
        <f>STATS1003B!Y1394/1000</f>
        <v>0</v>
      </c>
      <c r="Z1393" s="85">
        <f t="shared" si="164"/>
        <v>0</v>
      </c>
      <c r="AA1393" s="69">
        <f>STATS1003B!AA1394/1000</f>
        <v>2438</v>
      </c>
      <c r="AB1393" s="69">
        <f>STATS1003B!AB1394/1000</f>
        <v>0</v>
      </c>
    </row>
    <row r="1394" spans="1:28" hidden="1" x14ac:dyDescent="0.3">
      <c r="A1394" s="117"/>
      <c r="C1394" s="71" t="s">
        <v>1140</v>
      </c>
      <c r="D1394" s="89" t="s">
        <v>1126</v>
      </c>
      <c r="E1394" s="85">
        <f>STATS1003B!E1395/1000</f>
        <v>500</v>
      </c>
      <c r="F1394" s="85">
        <f>STATS1003B!F1395/1000</f>
        <v>500</v>
      </c>
      <c r="G1394" s="85">
        <f>STATS1003B!G1395/1000</f>
        <v>0</v>
      </c>
      <c r="H1394" s="85">
        <f>STATS1003B!H1395/1000</f>
        <v>500</v>
      </c>
      <c r="I1394" s="85">
        <f>STATS1003B!I1395/1000</f>
        <v>0</v>
      </c>
      <c r="J1394" s="85">
        <f>STATS1003B!J1395/1000</f>
        <v>500</v>
      </c>
      <c r="K1394" s="85">
        <f>STATS1003B!K1395/1000</f>
        <v>0</v>
      </c>
      <c r="L1394" s="85">
        <f>STATS1003B!L1395/1000</f>
        <v>0</v>
      </c>
      <c r="M1394" s="85">
        <f>STATS1003B!M1395/1000</f>
        <v>500</v>
      </c>
      <c r="N1394" s="85">
        <f>STATS1003B!N1395/1000</f>
        <v>0</v>
      </c>
      <c r="O1394" s="85">
        <f>STATS1003B!O1395/1000</f>
        <v>0</v>
      </c>
      <c r="P1394" s="85">
        <f>STATS1003B!P1395/1000</f>
        <v>0</v>
      </c>
      <c r="Q1394" s="85">
        <f>STATS1003B!Q1395/1000</f>
        <v>500</v>
      </c>
      <c r="R1394" s="85">
        <f>STATS1003B!R1395/1000</f>
        <v>0</v>
      </c>
      <c r="S1394" s="85">
        <f>STATS1003B!S1395/1000</f>
        <v>0</v>
      </c>
      <c r="T1394" s="85">
        <f>STATS1003B!T1395/1000</f>
        <v>0</v>
      </c>
      <c r="U1394" s="85">
        <f>STATS1003B!U1395/1000</f>
        <v>0</v>
      </c>
      <c r="V1394" s="85">
        <f>STATS1003B!V1395/1000</f>
        <v>500</v>
      </c>
      <c r="W1394" s="85">
        <f>STATS1003B!W1395/1000</f>
        <v>0</v>
      </c>
      <c r="X1394" s="85">
        <f t="shared" si="163"/>
        <v>500</v>
      </c>
      <c r="Y1394" s="85">
        <f>STATS1003B!Y1395/1000</f>
        <v>0</v>
      </c>
      <c r="Z1394" s="85">
        <f t="shared" si="164"/>
        <v>0</v>
      </c>
      <c r="AA1394" s="69">
        <f>STATS1003B!AA1395/1000</f>
        <v>500</v>
      </c>
      <c r="AB1394" s="69">
        <f>STATS1003B!AB1395/1000</f>
        <v>0</v>
      </c>
    </row>
    <row r="1395" spans="1:28" hidden="1" x14ac:dyDescent="0.3">
      <c r="A1395" s="117"/>
      <c r="C1395" s="71" t="s">
        <v>933</v>
      </c>
      <c r="D1395" s="89" t="s">
        <v>1072</v>
      </c>
      <c r="E1395" s="85">
        <f>STATS1003B!E1396/1000</f>
        <v>1172</v>
      </c>
      <c r="F1395" s="85">
        <f>STATS1003B!F1396/1000</f>
        <v>1172</v>
      </c>
      <c r="G1395" s="85">
        <f>STATS1003B!G1396/1000</f>
        <v>0</v>
      </c>
      <c r="H1395" s="85">
        <f>STATS1003B!H1396/1000</f>
        <v>1172</v>
      </c>
      <c r="I1395" s="85">
        <f>STATS1003B!I1396/1000</f>
        <v>0</v>
      </c>
      <c r="J1395" s="85">
        <f>STATS1003B!J1396/1000</f>
        <v>1172</v>
      </c>
      <c r="K1395" s="85">
        <f>STATS1003B!K1396/1000</f>
        <v>0</v>
      </c>
      <c r="L1395" s="85">
        <f>STATS1003B!L1396/1000</f>
        <v>0</v>
      </c>
      <c r="M1395" s="85">
        <f>STATS1003B!M1396/1000</f>
        <v>1172</v>
      </c>
      <c r="N1395" s="85">
        <f>STATS1003B!N1396/1000</f>
        <v>0</v>
      </c>
      <c r="O1395" s="85">
        <f>STATS1003B!O1396/1000</f>
        <v>0</v>
      </c>
      <c r="P1395" s="85">
        <f>STATS1003B!P1396/1000</f>
        <v>0</v>
      </c>
      <c r="Q1395" s="85">
        <f>STATS1003B!Q1396/1000</f>
        <v>0</v>
      </c>
      <c r="R1395" s="85">
        <f>STATS1003B!R1396/1000</f>
        <v>0</v>
      </c>
      <c r="S1395" s="85">
        <f>STATS1003B!S1396/1000</f>
        <v>0</v>
      </c>
      <c r="T1395" s="85">
        <f>STATS1003B!T1396/1000</f>
        <v>0</v>
      </c>
      <c r="U1395" s="85">
        <f>STATS1003B!U1396/1000</f>
        <v>0</v>
      </c>
      <c r="V1395" s="85">
        <f>STATS1003B!V1396/1000</f>
        <v>1172</v>
      </c>
      <c r="W1395" s="85">
        <f>STATS1003B!W1396/1000</f>
        <v>0</v>
      </c>
      <c r="X1395" s="85">
        <f t="shared" si="163"/>
        <v>1172</v>
      </c>
      <c r="Y1395" s="85">
        <f>STATS1003B!Y1396/1000</f>
        <v>0</v>
      </c>
      <c r="Z1395" s="85">
        <f t="shared" si="164"/>
        <v>0</v>
      </c>
      <c r="AA1395" s="69">
        <f>STATS1003B!AA1396/1000</f>
        <v>1172</v>
      </c>
      <c r="AB1395" s="69">
        <f>STATS1003B!AB1396/1000</f>
        <v>0</v>
      </c>
    </row>
    <row r="1396" spans="1:28" hidden="1" x14ac:dyDescent="0.3">
      <c r="A1396" s="117"/>
      <c r="C1396" s="71" t="s">
        <v>1203</v>
      </c>
      <c r="D1396" s="89" t="s">
        <v>1126</v>
      </c>
      <c r="E1396" s="85">
        <f>STATS1003B!E1397/1000</f>
        <v>1000</v>
      </c>
      <c r="F1396" s="85">
        <f>STATS1003B!F1397/1000</f>
        <v>1000</v>
      </c>
      <c r="G1396" s="85">
        <f>STATS1003B!G1397/1000</f>
        <v>0</v>
      </c>
      <c r="H1396" s="85">
        <f>STATS1003B!H1397/1000</f>
        <v>1000</v>
      </c>
      <c r="I1396" s="85">
        <f>STATS1003B!I1397/1000</f>
        <v>0</v>
      </c>
      <c r="J1396" s="85">
        <f>STATS1003B!J1397/1000</f>
        <v>0</v>
      </c>
      <c r="K1396" s="85">
        <f>STATS1003B!K1397/1000</f>
        <v>0</v>
      </c>
      <c r="L1396" s="85">
        <f>STATS1003B!L1397/1000</f>
        <v>0</v>
      </c>
      <c r="M1396" s="85">
        <f>STATS1003B!M1397/1000</f>
        <v>1000</v>
      </c>
      <c r="N1396" s="85">
        <f>STATS1003B!N1397/1000</f>
        <v>0</v>
      </c>
      <c r="O1396" s="85">
        <f>STATS1003B!O1397/1000</f>
        <v>0</v>
      </c>
      <c r="P1396" s="85">
        <f>STATS1003B!P1397/1000</f>
        <v>0</v>
      </c>
      <c r="Q1396" s="85">
        <f>STATS1003B!Q1397/1000</f>
        <v>0</v>
      </c>
      <c r="R1396" s="85">
        <f>STATS1003B!R1397/1000</f>
        <v>0</v>
      </c>
      <c r="S1396" s="85">
        <f>STATS1003B!S1397/1000</f>
        <v>0</v>
      </c>
      <c r="T1396" s="85">
        <f>STATS1003B!T1397/1000</f>
        <v>0</v>
      </c>
      <c r="U1396" s="85">
        <f>STATS1003B!U1397/1000</f>
        <v>0</v>
      </c>
      <c r="V1396" s="85">
        <f>STATS1003B!V1397/1000</f>
        <v>0</v>
      </c>
      <c r="W1396" s="85">
        <f>STATS1003B!W1397/1000</f>
        <v>0</v>
      </c>
      <c r="X1396" s="85">
        <f t="shared" si="163"/>
        <v>1000</v>
      </c>
      <c r="Y1396" s="85">
        <f>STATS1003B!Y1397/1000</f>
        <v>0</v>
      </c>
      <c r="Z1396" s="85">
        <f t="shared" si="164"/>
        <v>0</v>
      </c>
      <c r="AA1396" s="69">
        <f>STATS1003B!AA1397/1000</f>
        <v>1000</v>
      </c>
      <c r="AB1396" s="69">
        <f>STATS1003B!AB1397/1000</f>
        <v>0</v>
      </c>
    </row>
    <row r="1397" spans="1:28" hidden="1" x14ac:dyDescent="0.3">
      <c r="A1397" s="117"/>
      <c r="C1397" s="68" t="s">
        <v>550</v>
      </c>
      <c r="E1397" s="85">
        <f>STATS1003B!E1398/1000</f>
        <v>742.29499999999996</v>
      </c>
      <c r="F1397" s="85">
        <f>STATS1003B!F1398/1000</f>
        <v>742.29499999999996</v>
      </c>
      <c r="G1397" s="85">
        <f>STATS1003B!G1398/1000</f>
        <v>0</v>
      </c>
      <c r="H1397" s="85">
        <f>STATS1003B!H1398/1000</f>
        <v>742.29499999999996</v>
      </c>
      <c r="I1397" s="85">
        <f>STATS1003B!I1398/1000</f>
        <v>0</v>
      </c>
      <c r="J1397" s="85">
        <f>STATS1003B!J1398/1000</f>
        <v>742.29499999999996</v>
      </c>
      <c r="K1397" s="85">
        <f>STATS1003B!K1398/1000</f>
        <v>0</v>
      </c>
      <c r="L1397" s="85">
        <f>STATS1003B!L1398/1000</f>
        <v>0</v>
      </c>
      <c r="M1397" s="85">
        <f>STATS1003B!M1398/1000</f>
        <v>742.29499999999996</v>
      </c>
      <c r="N1397" s="85">
        <f>STATS1003B!N1398/1000</f>
        <v>0</v>
      </c>
      <c r="O1397" s="85">
        <f>STATS1003B!O1398/1000</f>
        <v>0</v>
      </c>
      <c r="P1397" s="85">
        <f>STATS1003B!P1398/1000</f>
        <v>0</v>
      </c>
      <c r="Q1397" s="85">
        <f>STATS1003B!Q1398/1000</f>
        <v>742.29499999999996</v>
      </c>
      <c r="R1397" s="85">
        <f>STATS1003B!R1398/1000</f>
        <v>0</v>
      </c>
      <c r="S1397" s="85">
        <f>STATS1003B!S1398/1000</f>
        <v>0</v>
      </c>
      <c r="T1397" s="85">
        <f>STATS1003B!T1398/1000</f>
        <v>0</v>
      </c>
      <c r="U1397" s="85">
        <f>STATS1003B!U1398/1000</f>
        <v>0</v>
      </c>
      <c r="V1397" s="85">
        <f>STATS1003B!V1398/1000</f>
        <v>742.29499999999996</v>
      </c>
      <c r="W1397" s="85">
        <f>STATS1003B!W1398/1000</f>
        <v>0</v>
      </c>
      <c r="X1397" s="85">
        <f t="shared" si="163"/>
        <v>742.29499999999996</v>
      </c>
      <c r="Y1397" s="85">
        <f>STATS1003B!Y1398/1000</f>
        <v>0</v>
      </c>
      <c r="Z1397" s="85">
        <f t="shared" si="164"/>
        <v>0</v>
      </c>
      <c r="AA1397" s="69">
        <f>STATS1003B!AA1398/1000</f>
        <v>742.29499999999996</v>
      </c>
      <c r="AB1397" s="69">
        <f>STATS1003B!AB1398/1000</f>
        <v>0</v>
      </c>
    </row>
    <row r="1398" spans="1:28" hidden="1" x14ac:dyDescent="0.3">
      <c r="A1398" s="117"/>
      <c r="C1398" s="68" t="s">
        <v>702</v>
      </c>
      <c r="E1398" s="85">
        <f>STATS1003B!E1399/1000</f>
        <v>300</v>
      </c>
      <c r="F1398" s="85">
        <f>STATS1003B!F1399/1000</f>
        <v>0</v>
      </c>
      <c r="G1398" s="85">
        <f>STATS1003B!G1399/1000</f>
        <v>0</v>
      </c>
      <c r="H1398" s="85">
        <f>STATS1003B!H1399/1000</f>
        <v>0</v>
      </c>
      <c r="I1398" s="85">
        <f>STATS1003B!I1399/1000</f>
        <v>0</v>
      </c>
      <c r="J1398" s="85">
        <f>STATS1003B!J1399/1000</f>
        <v>0</v>
      </c>
      <c r="K1398" s="85">
        <f>STATS1003B!K1399/1000</f>
        <v>300</v>
      </c>
      <c r="L1398" s="85">
        <f>STATS1003B!L1399/1000</f>
        <v>0</v>
      </c>
      <c r="M1398" s="85">
        <f>STATS1003B!M1399/1000</f>
        <v>0</v>
      </c>
      <c r="N1398" s="85">
        <f>STATS1003B!N1399/1000</f>
        <v>300</v>
      </c>
      <c r="O1398" s="85">
        <f>STATS1003B!O1399/1000</f>
        <v>0</v>
      </c>
      <c r="P1398" s="85">
        <f>STATS1003B!P1399/1000</f>
        <v>300</v>
      </c>
      <c r="Q1398" s="85">
        <f>STATS1003B!Q1399/1000</f>
        <v>0</v>
      </c>
      <c r="R1398" s="85">
        <f>STATS1003B!R1399/1000</f>
        <v>0</v>
      </c>
      <c r="S1398" s="85">
        <f>STATS1003B!S1399/1000</f>
        <v>0</v>
      </c>
      <c r="T1398" s="85">
        <f>STATS1003B!T1399/1000</f>
        <v>0</v>
      </c>
      <c r="U1398" s="85">
        <f>STATS1003B!U1399/1000</f>
        <v>300</v>
      </c>
      <c r="V1398" s="85">
        <f>STATS1003B!V1399/1000</f>
        <v>300</v>
      </c>
      <c r="W1398" s="85">
        <f>STATS1003B!W1399/1000</f>
        <v>0</v>
      </c>
      <c r="X1398" s="85">
        <f t="shared" si="163"/>
        <v>300</v>
      </c>
      <c r="Y1398" s="85">
        <f>STATS1003B!Y1399/1000</f>
        <v>0</v>
      </c>
      <c r="Z1398" s="85">
        <f t="shared" si="164"/>
        <v>0</v>
      </c>
      <c r="AA1398" s="69">
        <f>STATS1003B!AA1399/1000</f>
        <v>300</v>
      </c>
      <c r="AB1398" s="69">
        <f>STATS1003B!AB1399/1000</f>
        <v>0</v>
      </c>
    </row>
    <row r="1399" spans="1:28" hidden="1" x14ac:dyDescent="0.3">
      <c r="A1399" s="117"/>
      <c r="C1399" s="68" t="s">
        <v>592</v>
      </c>
      <c r="E1399" s="85">
        <f>STATS1003B!E1400/1000</f>
        <v>213.06200000000004</v>
      </c>
      <c r="F1399" s="85">
        <f>STATS1003B!F1400/1000</f>
        <v>213.06200000000001</v>
      </c>
      <c r="G1399" s="85">
        <f>STATS1003B!G1400/1000</f>
        <v>0</v>
      </c>
      <c r="H1399" s="85">
        <f>STATS1003B!H1400/1000</f>
        <v>213.06200000000001</v>
      </c>
      <c r="I1399" s="85">
        <f>STATS1003B!I1400/1000</f>
        <v>0</v>
      </c>
      <c r="J1399" s="85">
        <f>STATS1003B!J1400/1000</f>
        <v>213.06200000000001</v>
      </c>
      <c r="K1399" s="85">
        <f>STATS1003B!K1400/1000</f>
        <v>0</v>
      </c>
      <c r="L1399" s="85">
        <f>STATS1003B!L1400/1000</f>
        <v>0</v>
      </c>
      <c r="M1399" s="85">
        <f>STATS1003B!M1400/1000</f>
        <v>213.06200000000001</v>
      </c>
      <c r="N1399" s="85">
        <f>STATS1003B!N1400/1000</f>
        <v>0</v>
      </c>
      <c r="O1399" s="85">
        <f>STATS1003B!O1400/1000</f>
        <v>0</v>
      </c>
      <c r="P1399" s="85">
        <f>STATS1003B!P1400/1000</f>
        <v>0</v>
      </c>
      <c r="Q1399" s="85">
        <f>STATS1003B!Q1400/1000</f>
        <v>213.06200000000004</v>
      </c>
      <c r="R1399" s="85">
        <f>STATS1003B!R1400/1000</f>
        <v>0</v>
      </c>
      <c r="S1399" s="85">
        <f>STATS1003B!S1400/1000</f>
        <v>0</v>
      </c>
      <c r="T1399" s="85">
        <f>STATS1003B!T1400/1000</f>
        <v>0</v>
      </c>
      <c r="U1399" s="85">
        <f>STATS1003B!U1400/1000</f>
        <v>0</v>
      </c>
      <c r="V1399" s="85">
        <f>STATS1003B!V1400/1000</f>
        <v>213.06200000000001</v>
      </c>
      <c r="W1399" s="85">
        <f>STATS1003B!W1400/1000</f>
        <v>0</v>
      </c>
      <c r="X1399" s="85">
        <f t="shared" si="163"/>
        <v>213.06200000000001</v>
      </c>
      <c r="Y1399" s="85">
        <f>STATS1003B!Y1400/1000</f>
        <v>0</v>
      </c>
      <c r="Z1399" s="85">
        <f t="shared" si="164"/>
        <v>0</v>
      </c>
      <c r="AA1399" s="69">
        <f>STATS1003B!AA1400/1000</f>
        <v>213.06200000000001</v>
      </c>
      <c r="AB1399" s="69">
        <f>STATS1003B!AB1400/1000</f>
        <v>0</v>
      </c>
    </row>
    <row r="1400" spans="1:28" hidden="1" x14ac:dyDescent="0.3">
      <c r="A1400" s="117"/>
      <c r="C1400" s="68" t="s">
        <v>678</v>
      </c>
      <c r="E1400" s="85">
        <f>STATS1003B!E1401/1000</f>
        <v>7181.1092500000004</v>
      </c>
      <c r="F1400" s="85">
        <f>STATS1003B!F1401/1000</f>
        <v>7181.1092500000004</v>
      </c>
      <c r="G1400" s="85">
        <f>STATS1003B!G1401/1000</f>
        <v>0</v>
      </c>
      <c r="H1400" s="85">
        <f>STATS1003B!H1401/1000</f>
        <v>7181.1092500000004</v>
      </c>
      <c r="I1400" s="85">
        <f>STATS1003B!I1401/1000</f>
        <v>0</v>
      </c>
      <c r="J1400" s="85">
        <f>STATS1003B!J1401/1000</f>
        <v>7181.1092500000004</v>
      </c>
      <c r="K1400" s="85">
        <f>STATS1003B!K1401/1000</f>
        <v>0</v>
      </c>
      <c r="L1400" s="85">
        <f>STATS1003B!L1401/1000</f>
        <v>0</v>
      </c>
      <c r="M1400" s="85">
        <f>STATS1003B!M1401/1000</f>
        <v>7181.1092500000004</v>
      </c>
      <c r="N1400" s="85">
        <f>STATS1003B!N1401/1000</f>
        <v>0</v>
      </c>
      <c r="O1400" s="85">
        <f>STATS1003B!O1401/1000</f>
        <v>0</v>
      </c>
      <c r="P1400" s="85">
        <f>STATS1003B!P1401/1000</f>
        <v>0</v>
      </c>
      <c r="Q1400" s="85">
        <f>STATS1003B!Q1401/1000</f>
        <v>7181.1092500000004</v>
      </c>
      <c r="R1400" s="85">
        <f>STATS1003B!R1401/1000</f>
        <v>0</v>
      </c>
      <c r="S1400" s="85">
        <f>STATS1003B!S1401/1000</f>
        <v>0</v>
      </c>
      <c r="T1400" s="85">
        <f>STATS1003B!T1401/1000</f>
        <v>0</v>
      </c>
      <c r="U1400" s="85">
        <f>STATS1003B!U1401/1000</f>
        <v>0</v>
      </c>
      <c r="V1400" s="85">
        <f>STATS1003B!V1401/1000</f>
        <v>7181.1092500000004</v>
      </c>
      <c r="W1400" s="85">
        <f>STATS1003B!W1401/1000</f>
        <v>0</v>
      </c>
      <c r="X1400" s="85">
        <f t="shared" si="163"/>
        <v>7181.1092500000004</v>
      </c>
      <c r="Y1400" s="85">
        <f>STATS1003B!Y1401/1000</f>
        <v>0</v>
      </c>
      <c r="Z1400" s="85">
        <f t="shared" si="164"/>
        <v>0</v>
      </c>
      <c r="AA1400" s="69">
        <f>STATS1003B!AA1401/1000</f>
        <v>7181.1092500000004</v>
      </c>
      <c r="AB1400" s="69">
        <f>STATS1003B!AB1401/1000</f>
        <v>0</v>
      </c>
    </row>
    <row r="1401" spans="1:28" hidden="1" x14ac:dyDescent="0.3">
      <c r="A1401" s="117"/>
      <c r="E1401" s="86" t="s">
        <v>29</v>
      </c>
      <c r="F1401" s="86" t="s">
        <v>29</v>
      </c>
      <c r="G1401" s="86" t="s">
        <v>29</v>
      </c>
      <c r="H1401" s="86" t="s">
        <v>29</v>
      </c>
      <c r="I1401" s="86" t="s">
        <v>29</v>
      </c>
      <c r="J1401" s="86" t="s">
        <v>29</v>
      </c>
      <c r="K1401" s="86" t="s">
        <v>29</v>
      </c>
      <c r="L1401" s="86" t="s">
        <v>29</v>
      </c>
      <c r="M1401" s="86" t="s">
        <v>29</v>
      </c>
      <c r="N1401" s="86" t="s">
        <v>29</v>
      </c>
      <c r="O1401" s="86" t="s">
        <v>29</v>
      </c>
      <c r="P1401" s="86" t="s">
        <v>29</v>
      </c>
      <c r="Q1401" s="86" t="s">
        <v>29</v>
      </c>
      <c r="R1401" s="86" t="s">
        <v>29</v>
      </c>
      <c r="S1401" s="86" t="s">
        <v>29</v>
      </c>
      <c r="T1401" s="86" t="s">
        <v>29</v>
      </c>
      <c r="U1401" s="86" t="s">
        <v>29</v>
      </c>
      <c r="V1401" s="86" t="s">
        <v>29</v>
      </c>
      <c r="W1401" s="86" t="s">
        <v>29</v>
      </c>
      <c r="X1401" s="85" t="e">
        <f t="shared" si="163"/>
        <v>#VALUE!</v>
      </c>
      <c r="Y1401" s="86" t="s">
        <v>29</v>
      </c>
      <c r="Z1401" s="85" t="e">
        <f t="shared" si="164"/>
        <v>#VALUE!</v>
      </c>
      <c r="AA1401" s="115" t="s">
        <v>29</v>
      </c>
      <c r="AB1401" s="115" t="s">
        <v>29</v>
      </c>
    </row>
    <row r="1402" spans="1:28" x14ac:dyDescent="0.3">
      <c r="A1402" s="116">
        <v>62</v>
      </c>
      <c r="B1402" s="68" t="s">
        <v>719</v>
      </c>
      <c r="E1402" s="85">
        <f>106775992.6/1000</f>
        <v>106775.9926</v>
      </c>
      <c r="F1402" s="85">
        <f t="shared" ref="F1402:Q1402" si="167">SUM(F1378:F1401)</f>
        <v>40272.268149999996</v>
      </c>
      <c r="G1402" s="85">
        <f t="shared" si="167"/>
        <v>0</v>
      </c>
      <c r="H1402" s="85">
        <f>99821400.3/1000</f>
        <v>99821.400299999994</v>
      </c>
      <c r="I1402" s="85">
        <f t="shared" si="167"/>
        <v>0</v>
      </c>
      <c r="J1402" s="85">
        <f t="shared" si="167"/>
        <v>39272.268149999996</v>
      </c>
      <c r="K1402" s="85">
        <f t="shared" si="167"/>
        <v>6954.5923000000003</v>
      </c>
      <c r="L1402" s="85">
        <f t="shared" si="167"/>
        <v>0</v>
      </c>
      <c r="M1402" s="85">
        <f t="shared" si="167"/>
        <v>40272.268149999996</v>
      </c>
      <c r="N1402" s="85">
        <f t="shared" si="167"/>
        <v>6954.5923000000003</v>
      </c>
      <c r="O1402" s="85">
        <f t="shared" si="167"/>
        <v>0</v>
      </c>
      <c r="P1402" s="85">
        <f>6954592/1000</f>
        <v>6954.5919999999996</v>
      </c>
      <c r="Q1402" s="85">
        <f t="shared" si="167"/>
        <v>38100.268149999996</v>
      </c>
      <c r="R1402" s="86"/>
      <c r="S1402" s="86"/>
      <c r="T1402" s="85">
        <f t="shared" ref="T1402:Y1402" si="168">SUM(T1378:T1401)</f>
        <v>0</v>
      </c>
      <c r="U1402" s="85">
        <f t="shared" si="168"/>
        <v>6954.5923000000003</v>
      </c>
      <c r="V1402" s="85">
        <f t="shared" si="168"/>
        <v>46226.860449999993</v>
      </c>
      <c r="W1402" s="85">
        <f t="shared" si="168"/>
        <v>0</v>
      </c>
      <c r="X1402" s="85">
        <f t="shared" si="163"/>
        <v>106775.9923</v>
      </c>
      <c r="Y1402" s="85">
        <f t="shared" si="168"/>
        <v>0</v>
      </c>
      <c r="Z1402" s="85">
        <f t="shared" si="164"/>
        <v>2.9999999969732016E-4</v>
      </c>
      <c r="AA1402" s="69">
        <f>SUM(AA1378:AA1401)</f>
        <v>47226.860449999993</v>
      </c>
      <c r="AB1402" s="69">
        <f>SUM(AB1378:AB1401)</f>
        <v>0</v>
      </c>
    </row>
    <row r="1403" spans="1:28" hidden="1" x14ac:dyDescent="0.3">
      <c r="A1403" s="117"/>
      <c r="E1403" s="86" t="s">
        <v>29</v>
      </c>
      <c r="F1403" s="86" t="s">
        <v>29</v>
      </c>
      <c r="G1403" s="86" t="s">
        <v>29</v>
      </c>
      <c r="H1403" s="86" t="s">
        <v>29</v>
      </c>
      <c r="I1403" s="86" t="s">
        <v>29</v>
      </c>
      <c r="J1403" s="86" t="s">
        <v>29</v>
      </c>
      <c r="K1403" s="86" t="s">
        <v>29</v>
      </c>
      <c r="L1403" s="86" t="s">
        <v>29</v>
      </c>
      <c r="M1403" s="86" t="s">
        <v>29</v>
      </c>
      <c r="N1403" s="86" t="s">
        <v>29</v>
      </c>
      <c r="O1403" s="86" t="s">
        <v>29</v>
      </c>
      <c r="P1403" s="86" t="s">
        <v>29</v>
      </c>
      <c r="Q1403" s="86" t="s">
        <v>29</v>
      </c>
      <c r="R1403" s="86" t="s">
        <v>29</v>
      </c>
      <c r="S1403" s="86" t="s">
        <v>29</v>
      </c>
      <c r="T1403" s="86" t="s">
        <v>29</v>
      </c>
      <c r="U1403" s="86" t="s">
        <v>29</v>
      </c>
      <c r="V1403" s="86" t="s">
        <v>29</v>
      </c>
      <c r="W1403" s="86" t="s">
        <v>29</v>
      </c>
      <c r="X1403" s="85" t="e">
        <f t="shared" si="163"/>
        <v>#VALUE!</v>
      </c>
      <c r="Y1403" s="86" t="s">
        <v>29</v>
      </c>
      <c r="Z1403" s="85" t="e">
        <f t="shared" si="164"/>
        <v>#VALUE!</v>
      </c>
      <c r="AA1403" s="115" t="s">
        <v>29</v>
      </c>
      <c r="AB1403" s="115" t="s">
        <v>29</v>
      </c>
    </row>
    <row r="1404" spans="1:28" hidden="1" x14ac:dyDescent="0.3">
      <c r="A1404" s="105"/>
      <c r="E1404" s="84"/>
      <c r="F1404" s="84"/>
      <c r="G1404" s="84"/>
      <c r="H1404" s="84"/>
      <c r="I1404" s="84"/>
      <c r="J1404" s="84"/>
      <c r="K1404" s="84"/>
      <c r="L1404" s="84"/>
      <c r="M1404" s="84"/>
      <c r="N1404" s="84"/>
      <c r="O1404" s="84"/>
      <c r="P1404" s="84"/>
      <c r="Q1404" s="84"/>
      <c r="R1404" s="86"/>
      <c r="S1404" s="86"/>
      <c r="T1404" s="86"/>
      <c r="U1404" s="86"/>
      <c r="V1404" s="86"/>
      <c r="W1404" s="86"/>
      <c r="X1404" s="85">
        <f t="shared" si="163"/>
        <v>0</v>
      </c>
      <c r="Y1404" s="86"/>
      <c r="Z1404" s="85">
        <f t="shared" si="164"/>
        <v>0</v>
      </c>
    </row>
    <row r="1405" spans="1:28" hidden="1" x14ac:dyDescent="0.3">
      <c r="A1405" s="117"/>
      <c r="C1405" s="68" t="s">
        <v>535</v>
      </c>
      <c r="D1405" s="87" t="s">
        <v>68</v>
      </c>
      <c r="E1405" s="85">
        <f>STATS1003B!E1406/1000</f>
        <v>1382.348</v>
      </c>
      <c r="F1405" s="85">
        <f>STATS1003B!F1406/1000</f>
        <v>1382.348</v>
      </c>
      <c r="G1405" s="85">
        <f>STATS1003B!G1406/1000</f>
        <v>0</v>
      </c>
      <c r="H1405" s="85">
        <f>STATS1003B!H1406/1000</f>
        <v>1382.348</v>
      </c>
      <c r="I1405" s="85">
        <f>STATS1003B!I1406/1000</f>
        <v>0</v>
      </c>
      <c r="J1405" s="85">
        <f>STATS1003B!J1406/1000</f>
        <v>1382.348</v>
      </c>
      <c r="K1405" s="85">
        <f>STATS1003B!K1406/1000</f>
        <v>0</v>
      </c>
      <c r="L1405" s="85">
        <f>STATS1003B!L1406/1000</f>
        <v>0</v>
      </c>
      <c r="M1405" s="85">
        <f>STATS1003B!M1406/1000</f>
        <v>1382.348</v>
      </c>
      <c r="N1405" s="85">
        <f>STATS1003B!N1406/1000</f>
        <v>0</v>
      </c>
      <c r="O1405" s="85">
        <f>STATS1003B!O1406/1000</f>
        <v>0</v>
      </c>
      <c r="P1405" s="85">
        <f>STATS1003B!P1406/1000</f>
        <v>0</v>
      </c>
      <c r="Q1405" s="85">
        <f>STATS1003B!Q1406/1000</f>
        <v>1382.348</v>
      </c>
      <c r="R1405" s="85">
        <f>STATS1003B!R1406/1000</f>
        <v>0</v>
      </c>
      <c r="S1405" s="85">
        <f>STATS1003B!S1406/1000</f>
        <v>0</v>
      </c>
      <c r="T1405" s="85">
        <f>STATS1003B!T1406/1000</f>
        <v>0</v>
      </c>
      <c r="U1405" s="85">
        <f>STATS1003B!U1406/1000</f>
        <v>0</v>
      </c>
      <c r="V1405" s="85">
        <f>STATS1003B!V1406/1000</f>
        <v>1382.348</v>
      </c>
      <c r="W1405" s="85">
        <f>STATS1003B!W1406/1000</f>
        <v>0</v>
      </c>
      <c r="X1405" s="85">
        <f t="shared" si="163"/>
        <v>1382.348</v>
      </c>
      <c r="Y1405" s="85">
        <f>STATS1003B!Y1406/1000</f>
        <v>0</v>
      </c>
      <c r="Z1405" s="85">
        <f t="shared" si="164"/>
        <v>0</v>
      </c>
      <c r="AA1405" s="69">
        <f>STATS1003B!AA1406/1000</f>
        <v>1382.348</v>
      </c>
      <c r="AB1405" s="69">
        <f>STATS1003B!AB1406/1000</f>
        <v>0</v>
      </c>
    </row>
    <row r="1406" spans="1:28" hidden="1" x14ac:dyDescent="0.3">
      <c r="A1406" s="117"/>
      <c r="C1406" s="68" t="s">
        <v>723</v>
      </c>
      <c r="D1406" s="87" t="s">
        <v>68</v>
      </c>
      <c r="E1406" s="85">
        <f>STATS1003B!E1407/1000</f>
        <v>146.33799999999999</v>
      </c>
      <c r="F1406" s="85">
        <f>STATS1003B!F1407/1000</f>
        <v>146.33799999999999</v>
      </c>
      <c r="G1406" s="85">
        <f>STATS1003B!G1407/1000</f>
        <v>0</v>
      </c>
      <c r="H1406" s="85">
        <f>STATS1003B!H1407/1000</f>
        <v>146.33799999999999</v>
      </c>
      <c r="I1406" s="85">
        <f>STATS1003B!I1407/1000</f>
        <v>0</v>
      </c>
      <c r="J1406" s="85">
        <f>STATS1003B!J1407/1000</f>
        <v>146.33799999999999</v>
      </c>
      <c r="K1406" s="85">
        <f>STATS1003B!K1407/1000</f>
        <v>0</v>
      </c>
      <c r="L1406" s="85">
        <f>STATS1003B!L1407/1000</f>
        <v>0</v>
      </c>
      <c r="M1406" s="85">
        <f>STATS1003B!M1407/1000</f>
        <v>146.33799999999999</v>
      </c>
      <c r="N1406" s="85">
        <f>STATS1003B!N1407/1000</f>
        <v>0</v>
      </c>
      <c r="O1406" s="85">
        <f>STATS1003B!O1407/1000</f>
        <v>0</v>
      </c>
      <c r="P1406" s="85">
        <f>STATS1003B!P1407/1000</f>
        <v>0</v>
      </c>
      <c r="Q1406" s="85">
        <f>STATS1003B!Q1407/1000</f>
        <v>146.33799999999999</v>
      </c>
      <c r="R1406" s="85">
        <f>STATS1003B!R1407/1000</f>
        <v>0</v>
      </c>
      <c r="S1406" s="85">
        <f>STATS1003B!S1407/1000</f>
        <v>0</v>
      </c>
      <c r="T1406" s="85">
        <f>STATS1003B!T1407/1000</f>
        <v>0</v>
      </c>
      <c r="U1406" s="85">
        <f>STATS1003B!U1407/1000</f>
        <v>0</v>
      </c>
      <c r="V1406" s="85">
        <f>STATS1003B!V1407/1000</f>
        <v>146.33799999999999</v>
      </c>
      <c r="W1406" s="85">
        <f>STATS1003B!W1407/1000</f>
        <v>0</v>
      </c>
      <c r="X1406" s="85">
        <f t="shared" ref="X1406:X1469" si="169">+H1406+P1406</f>
        <v>146.33799999999999</v>
      </c>
      <c r="Y1406" s="85">
        <f>STATS1003B!Y1407/1000</f>
        <v>0</v>
      </c>
      <c r="Z1406" s="85">
        <f t="shared" si="164"/>
        <v>0</v>
      </c>
      <c r="AA1406" s="69">
        <f>STATS1003B!AA1407/1000</f>
        <v>146.33799999999999</v>
      </c>
      <c r="AB1406" s="69">
        <f>STATS1003B!AB1407/1000</f>
        <v>0</v>
      </c>
    </row>
    <row r="1407" spans="1:28" hidden="1" x14ac:dyDescent="0.3">
      <c r="A1407" s="117"/>
      <c r="C1407" s="68" t="s">
        <v>539</v>
      </c>
      <c r="D1407" s="87" t="s">
        <v>68</v>
      </c>
      <c r="E1407" s="85">
        <f>STATS1003B!E1408/1000</f>
        <v>3574.547</v>
      </c>
      <c r="F1407" s="85">
        <f>STATS1003B!F1408/1000</f>
        <v>0</v>
      </c>
      <c r="G1407" s="85">
        <f>STATS1003B!G1408/1000</f>
        <v>0</v>
      </c>
      <c r="H1407" s="85">
        <f>STATS1003B!H1408/1000</f>
        <v>0</v>
      </c>
      <c r="I1407" s="85">
        <f>STATS1003B!I1408/1000</f>
        <v>0</v>
      </c>
      <c r="J1407" s="85">
        <f>STATS1003B!J1408/1000</f>
        <v>0</v>
      </c>
      <c r="K1407" s="85">
        <f>STATS1003B!K1408/1000</f>
        <v>3574.547</v>
      </c>
      <c r="L1407" s="85">
        <f>STATS1003B!L1408/1000</f>
        <v>0</v>
      </c>
      <c r="M1407" s="85">
        <f>STATS1003B!M1408/1000</f>
        <v>0</v>
      </c>
      <c r="N1407" s="85">
        <f>STATS1003B!N1408/1000</f>
        <v>3574.547</v>
      </c>
      <c r="O1407" s="85">
        <f>STATS1003B!O1408/1000</f>
        <v>0</v>
      </c>
      <c r="P1407" s="85">
        <f>STATS1003B!P1408/1000</f>
        <v>3574.547</v>
      </c>
      <c r="Q1407" s="85">
        <f>STATS1003B!Q1408/1000</f>
        <v>0</v>
      </c>
      <c r="R1407" s="85">
        <f>STATS1003B!R1408/1000</f>
        <v>0</v>
      </c>
      <c r="S1407" s="85">
        <f>STATS1003B!S1408/1000</f>
        <v>0</v>
      </c>
      <c r="T1407" s="85">
        <f>STATS1003B!T1408/1000</f>
        <v>0</v>
      </c>
      <c r="U1407" s="85">
        <f>STATS1003B!U1408/1000</f>
        <v>3574.547</v>
      </c>
      <c r="V1407" s="85">
        <f>STATS1003B!V1408/1000</f>
        <v>3574.547</v>
      </c>
      <c r="W1407" s="85">
        <f>STATS1003B!W1408/1000</f>
        <v>0</v>
      </c>
      <c r="X1407" s="85">
        <f t="shared" si="169"/>
        <v>3574.547</v>
      </c>
      <c r="Y1407" s="85">
        <f>STATS1003B!Y1408/1000</f>
        <v>0</v>
      </c>
      <c r="Z1407" s="85">
        <f t="shared" si="164"/>
        <v>0</v>
      </c>
      <c r="AA1407" s="69">
        <f>STATS1003B!AA1408/1000</f>
        <v>3574.547</v>
      </c>
      <c r="AB1407" s="69">
        <f>STATS1003B!AB1408/1000</f>
        <v>0</v>
      </c>
    </row>
    <row r="1408" spans="1:28" hidden="1" x14ac:dyDescent="0.3">
      <c r="A1408" s="117"/>
      <c r="C1408" s="68" t="s">
        <v>724</v>
      </c>
      <c r="D1408" s="87" t="s">
        <v>54</v>
      </c>
      <c r="E1408" s="85">
        <f>STATS1003B!E1409/1000</f>
        <v>190</v>
      </c>
      <c r="F1408" s="85">
        <f>STATS1003B!F1409/1000</f>
        <v>190</v>
      </c>
      <c r="G1408" s="85">
        <f>STATS1003B!G1409/1000</f>
        <v>0</v>
      </c>
      <c r="H1408" s="85">
        <f>STATS1003B!H1409/1000</f>
        <v>190</v>
      </c>
      <c r="I1408" s="85">
        <f>STATS1003B!I1409/1000</f>
        <v>0</v>
      </c>
      <c r="J1408" s="85">
        <f>STATS1003B!J1409/1000</f>
        <v>190</v>
      </c>
      <c r="K1408" s="85">
        <f>STATS1003B!K1409/1000</f>
        <v>0</v>
      </c>
      <c r="L1408" s="85">
        <f>STATS1003B!L1409/1000</f>
        <v>0</v>
      </c>
      <c r="M1408" s="85">
        <f>STATS1003B!M1409/1000</f>
        <v>190</v>
      </c>
      <c r="N1408" s="85">
        <f>STATS1003B!N1409/1000</f>
        <v>0</v>
      </c>
      <c r="O1408" s="85">
        <f>STATS1003B!O1409/1000</f>
        <v>0</v>
      </c>
      <c r="P1408" s="85">
        <f>STATS1003B!P1409/1000</f>
        <v>0</v>
      </c>
      <c r="Q1408" s="85">
        <f>STATS1003B!Q1409/1000</f>
        <v>190</v>
      </c>
      <c r="R1408" s="85">
        <f>STATS1003B!R1409/1000</f>
        <v>0</v>
      </c>
      <c r="S1408" s="85">
        <f>STATS1003B!S1409/1000</f>
        <v>0</v>
      </c>
      <c r="T1408" s="85">
        <f>STATS1003B!T1409/1000</f>
        <v>0</v>
      </c>
      <c r="U1408" s="85">
        <f>STATS1003B!U1409/1000</f>
        <v>0</v>
      </c>
      <c r="V1408" s="85">
        <f>STATS1003B!V1409/1000</f>
        <v>190</v>
      </c>
      <c r="W1408" s="85">
        <f>STATS1003B!W1409/1000</f>
        <v>0</v>
      </c>
      <c r="X1408" s="85">
        <f t="shared" si="169"/>
        <v>190</v>
      </c>
      <c r="Y1408" s="85">
        <f>STATS1003B!Y1409/1000</f>
        <v>0</v>
      </c>
      <c r="Z1408" s="85">
        <f t="shared" si="164"/>
        <v>0</v>
      </c>
      <c r="AA1408" s="69">
        <f>STATS1003B!AA1409/1000</f>
        <v>190</v>
      </c>
      <c r="AB1408" s="69">
        <f>STATS1003B!AB1409/1000</f>
        <v>0</v>
      </c>
    </row>
    <row r="1409" spans="1:28" hidden="1" x14ac:dyDescent="0.3">
      <c r="A1409" s="117"/>
      <c r="C1409" s="68" t="s">
        <v>545</v>
      </c>
      <c r="D1409" s="87" t="s">
        <v>54</v>
      </c>
      <c r="E1409" s="85">
        <f>STATS1003B!E1410/1000</f>
        <v>1953.989</v>
      </c>
      <c r="F1409" s="85">
        <f>STATS1003B!F1410/1000</f>
        <v>0</v>
      </c>
      <c r="G1409" s="85">
        <f>STATS1003B!G1410/1000</f>
        <v>0</v>
      </c>
      <c r="H1409" s="85">
        <f>STATS1003B!H1410/1000</f>
        <v>0</v>
      </c>
      <c r="I1409" s="85">
        <f>STATS1003B!I1410/1000</f>
        <v>0</v>
      </c>
      <c r="J1409" s="85">
        <f>STATS1003B!J1410/1000</f>
        <v>0</v>
      </c>
      <c r="K1409" s="85">
        <f>STATS1003B!K1410/1000</f>
        <v>1953.989</v>
      </c>
      <c r="L1409" s="85">
        <f>STATS1003B!L1410/1000</f>
        <v>0</v>
      </c>
      <c r="M1409" s="85">
        <f>STATS1003B!M1410/1000</f>
        <v>0</v>
      </c>
      <c r="N1409" s="85">
        <f>STATS1003B!N1410/1000</f>
        <v>1953.989</v>
      </c>
      <c r="O1409" s="85">
        <f>STATS1003B!O1410/1000</f>
        <v>0</v>
      </c>
      <c r="P1409" s="85">
        <f>STATS1003B!P1410/1000</f>
        <v>1953.989</v>
      </c>
      <c r="Q1409" s="85">
        <f>STATS1003B!Q1410/1000</f>
        <v>0</v>
      </c>
      <c r="R1409" s="85">
        <f>STATS1003B!R1410/1000</f>
        <v>0</v>
      </c>
      <c r="S1409" s="85">
        <f>STATS1003B!S1410/1000</f>
        <v>0</v>
      </c>
      <c r="T1409" s="85">
        <f>STATS1003B!T1410/1000</f>
        <v>0</v>
      </c>
      <c r="U1409" s="85">
        <f>STATS1003B!U1410/1000</f>
        <v>1953.989</v>
      </c>
      <c r="V1409" s="85">
        <f>STATS1003B!V1410/1000</f>
        <v>1953.989</v>
      </c>
      <c r="W1409" s="85">
        <f>STATS1003B!W1410/1000</f>
        <v>0</v>
      </c>
      <c r="X1409" s="85">
        <f t="shared" si="169"/>
        <v>1953.989</v>
      </c>
      <c r="Y1409" s="85">
        <f>STATS1003B!Y1410/1000</f>
        <v>0</v>
      </c>
      <c r="Z1409" s="85">
        <f t="shared" si="164"/>
        <v>0</v>
      </c>
      <c r="AA1409" s="69">
        <f>STATS1003B!AA1410/1000</f>
        <v>1953.989</v>
      </c>
      <c r="AB1409" s="69">
        <f>STATS1003B!AB1410/1000</f>
        <v>0</v>
      </c>
    </row>
    <row r="1410" spans="1:28" hidden="1" x14ac:dyDescent="0.3">
      <c r="A1410" s="117"/>
      <c r="C1410" s="68" t="s">
        <v>725</v>
      </c>
      <c r="D1410" s="87" t="s">
        <v>54</v>
      </c>
      <c r="E1410" s="85">
        <f>STATS1003B!E1411/1000</f>
        <v>955.34561999999994</v>
      </c>
      <c r="F1410" s="85">
        <f>STATS1003B!F1411/1000</f>
        <v>0</v>
      </c>
      <c r="G1410" s="85">
        <f>STATS1003B!G1411/1000</f>
        <v>0</v>
      </c>
      <c r="H1410" s="85">
        <f>STATS1003B!H1411/1000</f>
        <v>0</v>
      </c>
      <c r="I1410" s="85">
        <f>STATS1003B!I1411/1000</f>
        <v>0</v>
      </c>
      <c r="J1410" s="85">
        <f>STATS1003B!J1411/1000</f>
        <v>0</v>
      </c>
      <c r="K1410" s="85">
        <f>STATS1003B!K1411/1000</f>
        <v>955.34561999999994</v>
      </c>
      <c r="L1410" s="85">
        <f>STATS1003B!L1411/1000</f>
        <v>0</v>
      </c>
      <c r="M1410" s="85">
        <f>STATS1003B!M1411/1000</f>
        <v>0</v>
      </c>
      <c r="N1410" s="85">
        <f>STATS1003B!N1411/1000</f>
        <v>955.34561999999994</v>
      </c>
      <c r="O1410" s="85">
        <f>STATS1003B!O1411/1000</f>
        <v>0</v>
      </c>
      <c r="P1410" s="85">
        <f>STATS1003B!P1411/1000</f>
        <v>955.34561999999994</v>
      </c>
      <c r="Q1410" s="85">
        <f>STATS1003B!Q1411/1000</f>
        <v>0</v>
      </c>
      <c r="R1410" s="85">
        <f>STATS1003B!R1411/1000</f>
        <v>0</v>
      </c>
      <c r="S1410" s="85">
        <f>STATS1003B!S1411/1000</f>
        <v>0</v>
      </c>
      <c r="T1410" s="85">
        <f>STATS1003B!T1411/1000</f>
        <v>0</v>
      </c>
      <c r="U1410" s="85">
        <f>STATS1003B!U1411/1000</f>
        <v>955.34561999999994</v>
      </c>
      <c r="V1410" s="85">
        <f>STATS1003B!V1411/1000</f>
        <v>955.34561999999994</v>
      </c>
      <c r="W1410" s="85">
        <f>STATS1003B!W1411/1000</f>
        <v>0</v>
      </c>
      <c r="X1410" s="85">
        <f t="shared" si="169"/>
        <v>955.34561999999994</v>
      </c>
      <c r="Y1410" s="85">
        <f>STATS1003B!Y1411/1000</f>
        <v>0</v>
      </c>
      <c r="Z1410" s="85">
        <f t="shared" si="164"/>
        <v>0</v>
      </c>
      <c r="AA1410" s="69">
        <f>STATS1003B!AA1411/1000</f>
        <v>955.34561999999994</v>
      </c>
      <c r="AB1410" s="69">
        <f>STATS1003B!AB1411/1000</f>
        <v>0</v>
      </c>
    </row>
    <row r="1411" spans="1:28" hidden="1" x14ac:dyDescent="0.3">
      <c r="A1411" s="117"/>
      <c r="C1411" s="68" t="s">
        <v>535</v>
      </c>
      <c r="D1411" s="87" t="s">
        <v>85</v>
      </c>
      <c r="E1411" s="85">
        <f>STATS1003B!E1412/1000</f>
        <v>2555</v>
      </c>
      <c r="F1411" s="85">
        <f>STATS1003B!F1412/1000</f>
        <v>2555</v>
      </c>
      <c r="G1411" s="85">
        <f>STATS1003B!G1412/1000</f>
        <v>0</v>
      </c>
      <c r="H1411" s="85">
        <f>STATS1003B!H1412/1000</f>
        <v>2555</v>
      </c>
      <c r="I1411" s="85">
        <f>STATS1003B!I1412/1000</f>
        <v>0</v>
      </c>
      <c r="J1411" s="85">
        <f>STATS1003B!J1412/1000</f>
        <v>2555</v>
      </c>
      <c r="K1411" s="85">
        <f>STATS1003B!K1412/1000</f>
        <v>0</v>
      </c>
      <c r="L1411" s="85">
        <f>STATS1003B!L1412/1000</f>
        <v>0</v>
      </c>
      <c r="M1411" s="85">
        <f>STATS1003B!M1412/1000</f>
        <v>2555</v>
      </c>
      <c r="N1411" s="85">
        <f>STATS1003B!N1412/1000</f>
        <v>0</v>
      </c>
      <c r="O1411" s="85">
        <f>STATS1003B!O1412/1000</f>
        <v>0</v>
      </c>
      <c r="P1411" s="85">
        <f>STATS1003B!P1412/1000</f>
        <v>0</v>
      </c>
      <c r="Q1411" s="85">
        <f>STATS1003B!Q1412/1000</f>
        <v>2555</v>
      </c>
      <c r="R1411" s="85">
        <f>STATS1003B!R1412/1000</f>
        <v>0</v>
      </c>
      <c r="S1411" s="85">
        <f>STATS1003B!S1412/1000</f>
        <v>0</v>
      </c>
      <c r="T1411" s="85">
        <f>STATS1003B!T1412/1000</f>
        <v>0</v>
      </c>
      <c r="U1411" s="85">
        <f>STATS1003B!U1412/1000</f>
        <v>0</v>
      </c>
      <c r="V1411" s="85">
        <f>STATS1003B!V1412/1000</f>
        <v>2555</v>
      </c>
      <c r="W1411" s="85">
        <f>STATS1003B!W1412/1000</f>
        <v>0</v>
      </c>
      <c r="X1411" s="85">
        <f t="shared" si="169"/>
        <v>2555</v>
      </c>
      <c r="Y1411" s="85">
        <f>STATS1003B!Y1412/1000</f>
        <v>0</v>
      </c>
      <c r="Z1411" s="85">
        <f t="shared" si="164"/>
        <v>0</v>
      </c>
      <c r="AA1411" s="69">
        <f>STATS1003B!AA1412/1000</f>
        <v>2555</v>
      </c>
      <c r="AB1411" s="69">
        <f>STATS1003B!AB1412/1000</f>
        <v>0</v>
      </c>
    </row>
    <row r="1412" spans="1:28" hidden="1" x14ac:dyDescent="0.3">
      <c r="A1412" s="117"/>
      <c r="C1412" s="68" t="s">
        <v>557</v>
      </c>
      <c r="D1412" s="87" t="s">
        <v>85</v>
      </c>
      <c r="E1412" s="85">
        <f>STATS1003B!E1413/1000</f>
        <v>2721.36148</v>
      </c>
      <c r="F1412" s="85">
        <f>STATS1003B!F1413/1000</f>
        <v>2721.36148</v>
      </c>
      <c r="G1412" s="85">
        <f>STATS1003B!G1413/1000</f>
        <v>0</v>
      </c>
      <c r="H1412" s="85">
        <f>STATS1003B!H1413/1000</f>
        <v>2721.36148</v>
      </c>
      <c r="I1412" s="85">
        <f>STATS1003B!I1413/1000</f>
        <v>0</v>
      </c>
      <c r="J1412" s="85">
        <f>STATS1003B!J1413/1000</f>
        <v>2721.36148</v>
      </c>
      <c r="K1412" s="85">
        <f>STATS1003B!K1413/1000</f>
        <v>0</v>
      </c>
      <c r="L1412" s="85">
        <f>STATS1003B!L1413/1000</f>
        <v>0</v>
      </c>
      <c r="M1412" s="85">
        <f>STATS1003B!M1413/1000</f>
        <v>2721.36148</v>
      </c>
      <c r="N1412" s="85">
        <f>STATS1003B!N1413/1000</f>
        <v>0</v>
      </c>
      <c r="O1412" s="85">
        <f>STATS1003B!O1413/1000</f>
        <v>0</v>
      </c>
      <c r="P1412" s="85">
        <f>STATS1003B!P1413/1000</f>
        <v>0</v>
      </c>
      <c r="Q1412" s="85">
        <f>STATS1003B!Q1413/1000</f>
        <v>2721.36148</v>
      </c>
      <c r="R1412" s="85">
        <f>STATS1003B!R1413/1000</f>
        <v>0</v>
      </c>
      <c r="S1412" s="85">
        <f>STATS1003B!S1413/1000</f>
        <v>0</v>
      </c>
      <c r="T1412" s="85">
        <f>STATS1003B!T1413/1000</f>
        <v>0</v>
      </c>
      <c r="U1412" s="85">
        <f>STATS1003B!U1413/1000</f>
        <v>0</v>
      </c>
      <c r="V1412" s="85">
        <f>STATS1003B!V1413/1000</f>
        <v>2721.36148</v>
      </c>
      <c r="W1412" s="85">
        <f>STATS1003B!W1413/1000</f>
        <v>0</v>
      </c>
      <c r="X1412" s="85">
        <f t="shared" si="169"/>
        <v>2721.36148</v>
      </c>
      <c r="Y1412" s="85">
        <f>STATS1003B!Y1413/1000</f>
        <v>0</v>
      </c>
      <c r="Z1412" s="85">
        <f t="shared" si="164"/>
        <v>0</v>
      </c>
      <c r="AA1412" s="69">
        <f>STATS1003B!AA1413/1000</f>
        <v>2721.36148</v>
      </c>
      <c r="AB1412" s="69">
        <f>STATS1003B!AB1413/1000</f>
        <v>0</v>
      </c>
    </row>
    <row r="1413" spans="1:28" hidden="1" x14ac:dyDescent="0.3">
      <c r="A1413" s="117"/>
      <c r="C1413" s="68" t="s">
        <v>726</v>
      </c>
      <c r="D1413" s="87" t="s">
        <v>85</v>
      </c>
      <c r="E1413" s="85">
        <f>STATS1003B!E1414/1000</f>
        <v>80</v>
      </c>
      <c r="F1413" s="85">
        <f>STATS1003B!F1414/1000</f>
        <v>80</v>
      </c>
      <c r="G1413" s="85">
        <f>STATS1003B!G1414/1000</f>
        <v>0</v>
      </c>
      <c r="H1413" s="85">
        <f>STATS1003B!H1414/1000</f>
        <v>80</v>
      </c>
      <c r="I1413" s="85">
        <f>STATS1003B!I1414/1000</f>
        <v>0</v>
      </c>
      <c r="J1413" s="85">
        <f>STATS1003B!J1414/1000</f>
        <v>80</v>
      </c>
      <c r="K1413" s="85">
        <f>STATS1003B!K1414/1000</f>
        <v>0</v>
      </c>
      <c r="L1413" s="85">
        <f>STATS1003B!L1414/1000</f>
        <v>0</v>
      </c>
      <c r="M1413" s="85">
        <f>STATS1003B!M1414/1000</f>
        <v>80</v>
      </c>
      <c r="N1413" s="85">
        <f>STATS1003B!N1414/1000</f>
        <v>0</v>
      </c>
      <c r="O1413" s="85">
        <f>STATS1003B!O1414/1000</f>
        <v>0</v>
      </c>
      <c r="P1413" s="85">
        <f>STATS1003B!P1414/1000</f>
        <v>0</v>
      </c>
      <c r="Q1413" s="85">
        <f>STATS1003B!Q1414/1000</f>
        <v>80</v>
      </c>
      <c r="R1413" s="85">
        <f>STATS1003B!R1414/1000</f>
        <v>0</v>
      </c>
      <c r="S1413" s="85">
        <f>STATS1003B!S1414/1000</f>
        <v>0</v>
      </c>
      <c r="T1413" s="85">
        <f>STATS1003B!T1414/1000</f>
        <v>0</v>
      </c>
      <c r="U1413" s="85">
        <f>STATS1003B!U1414/1000</f>
        <v>0</v>
      </c>
      <c r="V1413" s="85">
        <f>STATS1003B!V1414/1000</f>
        <v>80</v>
      </c>
      <c r="W1413" s="85">
        <f>STATS1003B!W1414/1000</f>
        <v>0</v>
      </c>
      <c r="X1413" s="85">
        <f t="shared" si="169"/>
        <v>80</v>
      </c>
      <c r="Y1413" s="85">
        <f>STATS1003B!Y1414/1000</f>
        <v>0</v>
      </c>
      <c r="Z1413" s="85">
        <f t="shared" si="164"/>
        <v>0</v>
      </c>
      <c r="AA1413" s="69">
        <f>STATS1003B!AA1414/1000</f>
        <v>80</v>
      </c>
      <c r="AB1413" s="69">
        <f>STATS1003B!AB1414/1000</f>
        <v>0</v>
      </c>
    </row>
    <row r="1414" spans="1:28" hidden="1" x14ac:dyDescent="0.3">
      <c r="A1414" s="117"/>
      <c r="C1414" s="68" t="s">
        <v>727</v>
      </c>
      <c r="D1414" s="87" t="s">
        <v>85</v>
      </c>
      <c r="E1414" s="85">
        <f>STATS1003B!E1415/1000</f>
        <v>186.55</v>
      </c>
      <c r="F1414" s="85">
        <f>STATS1003B!F1415/1000</f>
        <v>186.55</v>
      </c>
      <c r="G1414" s="85">
        <f>STATS1003B!G1415/1000</f>
        <v>0</v>
      </c>
      <c r="H1414" s="85">
        <f>STATS1003B!H1415/1000</f>
        <v>186.55</v>
      </c>
      <c r="I1414" s="85">
        <f>STATS1003B!I1415/1000</f>
        <v>0</v>
      </c>
      <c r="J1414" s="85">
        <f>STATS1003B!J1415/1000</f>
        <v>186.55</v>
      </c>
      <c r="K1414" s="85">
        <f>STATS1003B!K1415/1000</f>
        <v>0</v>
      </c>
      <c r="L1414" s="85">
        <f>STATS1003B!L1415/1000</f>
        <v>0</v>
      </c>
      <c r="M1414" s="85">
        <f>STATS1003B!M1415/1000</f>
        <v>186.55</v>
      </c>
      <c r="N1414" s="85">
        <f>STATS1003B!N1415/1000</f>
        <v>0</v>
      </c>
      <c r="O1414" s="85">
        <f>STATS1003B!O1415/1000</f>
        <v>0</v>
      </c>
      <c r="P1414" s="85">
        <f>STATS1003B!P1415/1000</f>
        <v>0</v>
      </c>
      <c r="Q1414" s="85">
        <f>STATS1003B!Q1415/1000</f>
        <v>186.55</v>
      </c>
      <c r="R1414" s="85">
        <f>STATS1003B!R1415/1000</f>
        <v>0</v>
      </c>
      <c r="S1414" s="85">
        <f>STATS1003B!S1415/1000</f>
        <v>0</v>
      </c>
      <c r="T1414" s="85">
        <f>STATS1003B!T1415/1000</f>
        <v>0</v>
      </c>
      <c r="U1414" s="85">
        <f>STATS1003B!U1415/1000</f>
        <v>0</v>
      </c>
      <c r="V1414" s="85">
        <f>STATS1003B!V1415/1000</f>
        <v>186.55</v>
      </c>
      <c r="W1414" s="85">
        <f>STATS1003B!W1415/1000</f>
        <v>0</v>
      </c>
      <c r="X1414" s="85">
        <f t="shared" si="169"/>
        <v>186.55</v>
      </c>
      <c r="Y1414" s="85">
        <f>STATS1003B!Y1415/1000</f>
        <v>0</v>
      </c>
      <c r="Z1414" s="85">
        <f t="shared" si="164"/>
        <v>0</v>
      </c>
      <c r="AA1414" s="69">
        <f>STATS1003B!AA1415/1000</f>
        <v>186.55</v>
      </c>
      <c r="AB1414" s="69">
        <f>STATS1003B!AB1415/1000</f>
        <v>0</v>
      </c>
    </row>
    <row r="1415" spans="1:28" hidden="1" x14ac:dyDescent="0.3">
      <c r="A1415" s="117"/>
      <c r="C1415" s="68" t="s">
        <v>671</v>
      </c>
      <c r="D1415" s="87" t="s">
        <v>85</v>
      </c>
      <c r="E1415" s="85">
        <f>STATS1003B!E1416/1000</f>
        <v>0</v>
      </c>
      <c r="F1415" s="85">
        <f>STATS1003B!F1416/1000</f>
        <v>0</v>
      </c>
      <c r="G1415" s="85">
        <f>STATS1003B!G1416/1000</f>
        <v>0</v>
      </c>
      <c r="H1415" s="85">
        <f>STATS1003B!H1416/1000</f>
        <v>0</v>
      </c>
      <c r="I1415" s="85">
        <f>STATS1003B!I1416/1000</f>
        <v>0</v>
      </c>
      <c r="J1415" s="85">
        <f>STATS1003B!J1416/1000</f>
        <v>0</v>
      </c>
      <c r="K1415" s="85">
        <f>STATS1003B!K1416/1000</f>
        <v>0</v>
      </c>
      <c r="L1415" s="85">
        <f>STATS1003B!L1416/1000</f>
        <v>0</v>
      </c>
      <c r="M1415" s="85">
        <f>STATS1003B!M1416/1000</f>
        <v>0</v>
      </c>
      <c r="N1415" s="85">
        <f>STATS1003B!N1416/1000</f>
        <v>0</v>
      </c>
      <c r="O1415" s="85">
        <f>STATS1003B!O1416/1000</f>
        <v>0</v>
      </c>
      <c r="P1415" s="85">
        <f>STATS1003B!P1416/1000</f>
        <v>0</v>
      </c>
      <c r="Q1415" s="85">
        <f>STATS1003B!Q1416/1000</f>
        <v>0</v>
      </c>
      <c r="R1415" s="85">
        <f>STATS1003B!R1416/1000</f>
        <v>0</v>
      </c>
      <c r="S1415" s="85">
        <f>STATS1003B!S1416/1000</f>
        <v>0</v>
      </c>
      <c r="T1415" s="85">
        <f>STATS1003B!T1416/1000</f>
        <v>0</v>
      </c>
      <c r="U1415" s="85">
        <f>STATS1003B!U1416/1000</f>
        <v>0</v>
      </c>
      <c r="V1415" s="85">
        <f>STATS1003B!V1416/1000</f>
        <v>0</v>
      </c>
      <c r="W1415" s="85">
        <f>STATS1003B!W1416/1000</f>
        <v>0</v>
      </c>
      <c r="X1415" s="85">
        <f t="shared" si="169"/>
        <v>0</v>
      </c>
      <c r="Y1415" s="85">
        <f>STATS1003B!Y1416/1000</f>
        <v>0</v>
      </c>
      <c r="Z1415" s="85">
        <f t="shared" si="164"/>
        <v>0</v>
      </c>
      <c r="AA1415" s="69">
        <f>STATS1003B!AA1416/1000</f>
        <v>0</v>
      </c>
      <c r="AB1415" s="69">
        <f>STATS1003B!AB1416/1000</f>
        <v>0</v>
      </c>
    </row>
    <row r="1416" spans="1:28" hidden="1" x14ac:dyDescent="0.3">
      <c r="A1416" s="117"/>
      <c r="C1416" s="68" t="s">
        <v>535</v>
      </c>
      <c r="D1416" s="87" t="s">
        <v>128</v>
      </c>
      <c r="E1416" s="85">
        <f>STATS1003B!E1417/1000</f>
        <v>1845</v>
      </c>
      <c r="F1416" s="85">
        <f>STATS1003B!F1417/1000</f>
        <v>1845</v>
      </c>
      <c r="G1416" s="85">
        <f>STATS1003B!G1417/1000</f>
        <v>0</v>
      </c>
      <c r="H1416" s="85">
        <f>STATS1003B!H1417/1000</f>
        <v>1845</v>
      </c>
      <c r="I1416" s="85">
        <f>STATS1003B!I1417/1000</f>
        <v>0</v>
      </c>
      <c r="J1416" s="85">
        <f>STATS1003B!J1417/1000</f>
        <v>1845</v>
      </c>
      <c r="K1416" s="85">
        <f>STATS1003B!K1417/1000</f>
        <v>0</v>
      </c>
      <c r="L1416" s="85">
        <f>STATS1003B!L1417/1000</f>
        <v>0</v>
      </c>
      <c r="M1416" s="85">
        <f>STATS1003B!M1417/1000</f>
        <v>1845</v>
      </c>
      <c r="N1416" s="85">
        <f>STATS1003B!N1417/1000</f>
        <v>0</v>
      </c>
      <c r="O1416" s="85">
        <f>STATS1003B!O1417/1000</f>
        <v>0</v>
      </c>
      <c r="P1416" s="85">
        <f>STATS1003B!P1417/1000</f>
        <v>0</v>
      </c>
      <c r="Q1416" s="85">
        <f>STATS1003B!Q1417/1000</f>
        <v>1845</v>
      </c>
      <c r="R1416" s="85">
        <f>STATS1003B!R1417/1000</f>
        <v>0</v>
      </c>
      <c r="S1416" s="85">
        <f>STATS1003B!S1417/1000</f>
        <v>0</v>
      </c>
      <c r="T1416" s="85">
        <f>STATS1003B!T1417/1000</f>
        <v>0</v>
      </c>
      <c r="U1416" s="85">
        <f>STATS1003B!U1417/1000</f>
        <v>0</v>
      </c>
      <c r="V1416" s="85">
        <f>STATS1003B!V1417/1000</f>
        <v>1845</v>
      </c>
      <c r="W1416" s="85">
        <f>STATS1003B!W1417/1000</f>
        <v>0</v>
      </c>
      <c r="X1416" s="85">
        <f t="shared" si="169"/>
        <v>1845</v>
      </c>
      <c r="Y1416" s="85">
        <f>STATS1003B!Y1417/1000</f>
        <v>0</v>
      </c>
      <c r="Z1416" s="85">
        <f t="shared" si="164"/>
        <v>0</v>
      </c>
      <c r="AA1416" s="69">
        <f>STATS1003B!AA1417/1000</f>
        <v>1845</v>
      </c>
      <c r="AB1416" s="69">
        <f>STATS1003B!AB1417/1000</f>
        <v>0</v>
      </c>
    </row>
    <row r="1417" spans="1:28" hidden="1" x14ac:dyDescent="0.3">
      <c r="A1417" s="117"/>
      <c r="C1417" s="68" t="s">
        <v>535</v>
      </c>
      <c r="D1417" s="87" t="s">
        <v>88</v>
      </c>
      <c r="E1417" s="85">
        <f>STATS1003B!E1418/1000</f>
        <v>5079.89192</v>
      </c>
      <c r="F1417" s="85">
        <f>STATS1003B!F1418/1000</f>
        <v>5079.89192</v>
      </c>
      <c r="G1417" s="85">
        <f>STATS1003B!G1418/1000</f>
        <v>0</v>
      </c>
      <c r="H1417" s="85">
        <f>STATS1003B!H1418/1000</f>
        <v>5079.89192</v>
      </c>
      <c r="I1417" s="85">
        <f>STATS1003B!I1418/1000</f>
        <v>0</v>
      </c>
      <c r="J1417" s="85">
        <f>STATS1003B!J1418/1000</f>
        <v>5079.89192</v>
      </c>
      <c r="K1417" s="85">
        <f>STATS1003B!K1418/1000</f>
        <v>0</v>
      </c>
      <c r="L1417" s="85">
        <f>STATS1003B!L1418/1000</f>
        <v>0</v>
      </c>
      <c r="M1417" s="85">
        <f>STATS1003B!M1418/1000</f>
        <v>5079.89192</v>
      </c>
      <c r="N1417" s="85">
        <f>STATS1003B!N1418/1000</f>
        <v>0</v>
      </c>
      <c r="O1417" s="85">
        <f>STATS1003B!O1418/1000</f>
        <v>0</v>
      </c>
      <c r="P1417" s="85">
        <f>STATS1003B!P1418/1000</f>
        <v>0</v>
      </c>
      <c r="Q1417" s="85">
        <f>STATS1003B!Q1418/1000</f>
        <v>5079.89192</v>
      </c>
      <c r="R1417" s="85">
        <f>STATS1003B!R1418/1000</f>
        <v>0</v>
      </c>
      <c r="S1417" s="85">
        <f>STATS1003B!S1418/1000</f>
        <v>0</v>
      </c>
      <c r="T1417" s="85">
        <f>STATS1003B!T1418/1000</f>
        <v>0</v>
      </c>
      <c r="U1417" s="85">
        <f>STATS1003B!U1418/1000</f>
        <v>0</v>
      </c>
      <c r="V1417" s="85">
        <f>STATS1003B!V1418/1000</f>
        <v>5079.89192</v>
      </c>
      <c r="W1417" s="85">
        <f>STATS1003B!W1418/1000</f>
        <v>0</v>
      </c>
      <c r="X1417" s="85">
        <f t="shared" si="169"/>
        <v>5079.89192</v>
      </c>
      <c r="Y1417" s="85">
        <f>STATS1003B!Y1418/1000</f>
        <v>0</v>
      </c>
      <c r="Z1417" s="85">
        <f t="shared" si="164"/>
        <v>0</v>
      </c>
      <c r="AA1417" s="69">
        <f>STATS1003B!AA1418/1000</f>
        <v>5079.89192</v>
      </c>
      <c r="AB1417" s="69">
        <f>STATS1003B!AB1418/1000</f>
        <v>0</v>
      </c>
    </row>
    <row r="1418" spans="1:28" hidden="1" x14ac:dyDescent="0.3">
      <c r="A1418" s="117"/>
      <c r="C1418" s="68" t="s">
        <v>535</v>
      </c>
      <c r="D1418" s="87" t="s">
        <v>108</v>
      </c>
      <c r="E1418" s="85">
        <f>STATS1003B!E1419/1000</f>
        <v>2000</v>
      </c>
      <c r="F1418" s="85">
        <f>STATS1003B!F1419/1000</f>
        <v>2000</v>
      </c>
      <c r="G1418" s="85">
        <f>STATS1003B!G1419/1000</f>
        <v>0</v>
      </c>
      <c r="H1418" s="85">
        <f>STATS1003B!H1419/1000</f>
        <v>2000</v>
      </c>
      <c r="I1418" s="85">
        <f>STATS1003B!I1419/1000</f>
        <v>0</v>
      </c>
      <c r="J1418" s="85">
        <f>STATS1003B!J1419/1000</f>
        <v>2000</v>
      </c>
      <c r="K1418" s="85">
        <f>STATS1003B!K1419/1000</f>
        <v>0</v>
      </c>
      <c r="L1418" s="85">
        <f>STATS1003B!L1419/1000</f>
        <v>0</v>
      </c>
      <c r="M1418" s="85">
        <f>STATS1003B!M1419/1000</f>
        <v>2000</v>
      </c>
      <c r="N1418" s="85">
        <f>STATS1003B!N1419/1000</f>
        <v>0</v>
      </c>
      <c r="O1418" s="85">
        <f>STATS1003B!O1419/1000</f>
        <v>0</v>
      </c>
      <c r="P1418" s="85">
        <f>STATS1003B!P1419/1000</f>
        <v>0</v>
      </c>
      <c r="Q1418" s="85">
        <f>STATS1003B!Q1419/1000</f>
        <v>2000</v>
      </c>
      <c r="R1418" s="85">
        <f>STATS1003B!R1419/1000</f>
        <v>0</v>
      </c>
      <c r="S1418" s="85">
        <f>STATS1003B!S1419/1000</f>
        <v>0</v>
      </c>
      <c r="T1418" s="85">
        <f>STATS1003B!T1419/1000</f>
        <v>0</v>
      </c>
      <c r="U1418" s="85">
        <f>STATS1003B!U1419/1000</f>
        <v>0</v>
      </c>
      <c r="V1418" s="85">
        <f>STATS1003B!V1419/1000</f>
        <v>2000</v>
      </c>
      <c r="W1418" s="85">
        <f>STATS1003B!W1419/1000</f>
        <v>0</v>
      </c>
      <c r="X1418" s="85">
        <f t="shared" si="169"/>
        <v>2000</v>
      </c>
      <c r="Y1418" s="85">
        <f>STATS1003B!Y1419/1000</f>
        <v>0</v>
      </c>
      <c r="Z1418" s="85">
        <f t="shared" si="164"/>
        <v>0</v>
      </c>
      <c r="AA1418" s="69">
        <f>STATS1003B!AA1419/1000</f>
        <v>2000</v>
      </c>
      <c r="AB1418" s="69">
        <f>STATS1003B!AB1419/1000</f>
        <v>0</v>
      </c>
    </row>
    <row r="1419" spans="1:28" hidden="1" x14ac:dyDescent="0.3">
      <c r="A1419" s="117"/>
      <c r="C1419" s="68" t="s">
        <v>728</v>
      </c>
      <c r="D1419" s="87" t="s">
        <v>108</v>
      </c>
      <c r="E1419" s="85">
        <f>STATS1003B!E1420/1000</f>
        <v>800</v>
      </c>
      <c r="F1419" s="85">
        <f>STATS1003B!F1420/1000</f>
        <v>800</v>
      </c>
      <c r="G1419" s="85">
        <f>STATS1003B!G1420/1000</f>
        <v>0</v>
      </c>
      <c r="H1419" s="85">
        <f>STATS1003B!H1420/1000</f>
        <v>800</v>
      </c>
      <c r="I1419" s="85">
        <f>STATS1003B!I1420/1000</f>
        <v>0</v>
      </c>
      <c r="J1419" s="85">
        <f>STATS1003B!J1420/1000</f>
        <v>800</v>
      </c>
      <c r="K1419" s="85">
        <f>STATS1003B!K1420/1000</f>
        <v>0</v>
      </c>
      <c r="L1419" s="85">
        <f>STATS1003B!L1420/1000</f>
        <v>0</v>
      </c>
      <c r="M1419" s="85">
        <f>STATS1003B!M1420/1000</f>
        <v>800</v>
      </c>
      <c r="N1419" s="85">
        <f>STATS1003B!N1420/1000</f>
        <v>0</v>
      </c>
      <c r="O1419" s="85">
        <f>STATS1003B!O1420/1000</f>
        <v>0</v>
      </c>
      <c r="P1419" s="85">
        <f>STATS1003B!P1420/1000</f>
        <v>0</v>
      </c>
      <c r="Q1419" s="85">
        <f>STATS1003B!Q1420/1000</f>
        <v>800</v>
      </c>
      <c r="R1419" s="85">
        <f>STATS1003B!R1420/1000</f>
        <v>0</v>
      </c>
      <c r="S1419" s="85">
        <f>STATS1003B!S1420/1000</f>
        <v>0</v>
      </c>
      <c r="T1419" s="85">
        <f>STATS1003B!T1420/1000</f>
        <v>0</v>
      </c>
      <c r="U1419" s="85">
        <f>STATS1003B!U1420/1000</f>
        <v>0</v>
      </c>
      <c r="V1419" s="85">
        <f>STATS1003B!V1420/1000</f>
        <v>800</v>
      </c>
      <c r="W1419" s="85">
        <f>STATS1003B!W1420/1000</f>
        <v>0</v>
      </c>
      <c r="X1419" s="85">
        <f t="shared" si="169"/>
        <v>800</v>
      </c>
      <c r="Y1419" s="85">
        <f>STATS1003B!Y1420/1000</f>
        <v>0</v>
      </c>
      <c r="Z1419" s="85">
        <f t="shared" si="164"/>
        <v>0</v>
      </c>
      <c r="AA1419" s="69">
        <f>STATS1003B!AA1420/1000</f>
        <v>800</v>
      </c>
      <c r="AB1419" s="69">
        <f>STATS1003B!AB1420/1000</f>
        <v>0</v>
      </c>
    </row>
    <row r="1420" spans="1:28" hidden="1" x14ac:dyDescent="0.3">
      <c r="A1420" s="117"/>
      <c r="C1420" s="68" t="s">
        <v>729</v>
      </c>
      <c r="D1420" s="87" t="s">
        <v>108</v>
      </c>
      <c r="E1420" s="85">
        <f>STATS1003B!E1421/1000</f>
        <v>3800</v>
      </c>
      <c r="F1420" s="85">
        <f>STATS1003B!F1421/1000</f>
        <v>3800</v>
      </c>
      <c r="G1420" s="85">
        <f>STATS1003B!G1421/1000</f>
        <v>0</v>
      </c>
      <c r="H1420" s="85">
        <f>STATS1003B!H1421/1000</f>
        <v>3800</v>
      </c>
      <c r="I1420" s="85">
        <f>STATS1003B!I1421/1000</f>
        <v>0</v>
      </c>
      <c r="J1420" s="85">
        <f>STATS1003B!J1421/1000</f>
        <v>3800</v>
      </c>
      <c r="K1420" s="85">
        <f>STATS1003B!K1421/1000</f>
        <v>0</v>
      </c>
      <c r="L1420" s="85">
        <f>STATS1003B!L1421/1000</f>
        <v>0</v>
      </c>
      <c r="M1420" s="85">
        <f>STATS1003B!M1421/1000</f>
        <v>3800</v>
      </c>
      <c r="N1420" s="85">
        <f>STATS1003B!N1421/1000</f>
        <v>0</v>
      </c>
      <c r="O1420" s="85">
        <f>STATS1003B!O1421/1000</f>
        <v>0</v>
      </c>
      <c r="P1420" s="85">
        <f>STATS1003B!P1421/1000</f>
        <v>0</v>
      </c>
      <c r="Q1420" s="85">
        <f>STATS1003B!Q1421/1000</f>
        <v>3800</v>
      </c>
      <c r="R1420" s="85">
        <f>STATS1003B!R1421/1000</f>
        <v>0</v>
      </c>
      <c r="S1420" s="85">
        <f>STATS1003B!S1421/1000</f>
        <v>0</v>
      </c>
      <c r="T1420" s="85">
        <f>STATS1003B!T1421/1000</f>
        <v>0</v>
      </c>
      <c r="U1420" s="85">
        <f>STATS1003B!U1421/1000</f>
        <v>0</v>
      </c>
      <c r="V1420" s="85">
        <f>STATS1003B!V1421/1000</f>
        <v>3800</v>
      </c>
      <c r="W1420" s="85">
        <f>STATS1003B!W1421/1000</f>
        <v>0</v>
      </c>
      <c r="X1420" s="85">
        <f t="shared" si="169"/>
        <v>3800</v>
      </c>
      <c r="Y1420" s="85">
        <f>STATS1003B!Y1421/1000</f>
        <v>0</v>
      </c>
      <c r="Z1420" s="85">
        <f t="shared" si="164"/>
        <v>0</v>
      </c>
      <c r="AA1420" s="69">
        <f>STATS1003B!AA1421/1000</f>
        <v>3800</v>
      </c>
      <c r="AB1420" s="69">
        <f>STATS1003B!AB1421/1000</f>
        <v>0</v>
      </c>
    </row>
    <row r="1421" spans="1:28" hidden="1" x14ac:dyDescent="0.3">
      <c r="A1421" s="117"/>
      <c r="C1421" s="68" t="s">
        <v>535</v>
      </c>
      <c r="D1421" s="88" t="s">
        <v>60</v>
      </c>
      <c r="E1421" s="85">
        <f>STATS1003B!E1422/1000</f>
        <v>5448.9489999999996</v>
      </c>
      <c r="F1421" s="85">
        <f>STATS1003B!F1422/1000</f>
        <v>5448.9489999999996</v>
      </c>
      <c r="G1421" s="85">
        <f>STATS1003B!G1422/1000</f>
        <v>0</v>
      </c>
      <c r="H1421" s="85">
        <f>STATS1003B!H1422/1000</f>
        <v>5448.9489999999996</v>
      </c>
      <c r="I1421" s="85">
        <f>STATS1003B!I1422/1000</f>
        <v>0</v>
      </c>
      <c r="J1421" s="85">
        <f>STATS1003B!J1422/1000</f>
        <v>5448.9489999999996</v>
      </c>
      <c r="K1421" s="85">
        <f>STATS1003B!K1422/1000</f>
        <v>0</v>
      </c>
      <c r="L1421" s="85">
        <f>STATS1003B!L1422/1000</f>
        <v>0</v>
      </c>
      <c r="M1421" s="85">
        <f>STATS1003B!M1422/1000</f>
        <v>5448.9489999999996</v>
      </c>
      <c r="N1421" s="85">
        <f>STATS1003B!N1422/1000</f>
        <v>0</v>
      </c>
      <c r="O1421" s="85">
        <f>STATS1003B!O1422/1000</f>
        <v>0</v>
      </c>
      <c r="P1421" s="85">
        <f>STATS1003B!P1422/1000</f>
        <v>0</v>
      </c>
      <c r="Q1421" s="85">
        <f>STATS1003B!Q1422/1000</f>
        <v>5448.9489999999996</v>
      </c>
      <c r="R1421" s="85">
        <f>STATS1003B!R1422/1000</f>
        <v>0</v>
      </c>
      <c r="S1421" s="85">
        <f>STATS1003B!S1422/1000</f>
        <v>0</v>
      </c>
      <c r="T1421" s="85">
        <f>STATS1003B!T1422/1000</f>
        <v>0</v>
      </c>
      <c r="U1421" s="85">
        <f>STATS1003B!U1422/1000</f>
        <v>0</v>
      </c>
      <c r="V1421" s="85">
        <f>STATS1003B!V1422/1000</f>
        <v>5448.9489999999996</v>
      </c>
      <c r="W1421" s="85">
        <f>STATS1003B!W1422/1000</f>
        <v>0</v>
      </c>
      <c r="X1421" s="85">
        <f t="shared" si="169"/>
        <v>5448.9489999999996</v>
      </c>
      <c r="Y1421" s="85">
        <f>STATS1003B!Y1422/1000</f>
        <v>0</v>
      </c>
      <c r="Z1421" s="85">
        <f t="shared" si="164"/>
        <v>0</v>
      </c>
      <c r="AA1421" s="69">
        <f>STATS1003B!AA1422/1000</f>
        <v>5448.9489999999996</v>
      </c>
      <c r="AB1421" s="69">
        <f>STATS1003B!AB1422/1000</f>
        <v>0</v>
      </c>
    </row>
    <row r="1422" spans="1:28" hidden="1" x14ac:dyDescent="0.3">
      <c r="A1422" s="117"/>
      <c r="C1422" s="68" t="s">
        <v>730</v>
      </c>
      <c r="D1422" s="88" t="s">
        <v>194</v>
      </c>
      <c r="E1422" s="85">
        <f>STATS1003B!E1423/1000</f>
        <v>751.37214000000006</v>
      </c>
      <c r="F1422" s="85">
        <f>STATS1003B!F1423/1000</f>
        <v>751.37214000000006</v>
      </c>
      <c r="G1422" s="85">
        <f>STATS1003B!G1423/1000</f>
        <v>0</v>
      </c>
      <c r="H1422" s="85">
        <f>STATS1003B!H1423/1000</f>
        <v>751.37214000000006</v>
      </c>
      <c r="I1422" s="85">
        <f>STATS1003B!I1423/1000</f>
        <v>0</v>
      </c>
      <c r="J1422" s="85">
        <f>STATS1003B!J1423/1000</f>
        <v>751.37214000000006</v>
      </c>
      <c r="K1422" s="85">
        <f>STATS1003B!K1423/1000</f>
        <v>0</v>
      </c>
      <c r="L1422" s="85">
        <f>STATS1003B!L1423/1000</f>
        <v>0</v>
      </c>
      <c r="M1422" s="85">
        <f>STATS1003B!M1423/1000</f>
        <v>751.37214000000006</v>
      </c>
      <c r="N1422" s="85">
        <f>STATS1003B!N1423/1000</f>
        <v>0</v>
      </c>
      <c r="O1422" s="85">
        <f>STATS1003B!O1423/1000</f>
        <v>0</v>
      </c>
      <c r="P1422" s="85">
        <f>STATS1003B!P1423/1000</f>
        <v>0</v>
      </c>
      <c r="Q1422" s="85">
        <f>STATS1003B!Q1423/1000</f>
        <v>751.37214000000006</v>
      </c>
      <c r="R1422" s="85">
        <f>STATS1003B!R1423/1000</f>
        <v>0</v>
      </c>
      <c r="S1422" s="85">
        <f>STATS1003B!S1423/1000</f>
        <v>0</v>
      </c>
      <c r="T1422" s="85">
        <f>STATS1003B!T1423/1000</f>
        <v>0</v>
      </c>
      <c r="U1422" s="85">
        <f>STATS1003B!U1423/1000</f>
        <v>0</v>
      </c>
      <c r="V1422" s="85">
        <f>STATS1003B!V1423/1000</f>
        <v>751.37214000000006</v>
      </c>
      <c r="W1422" s="85">
        <f>STATS1003B!W1423/1000</f>
        <v>0</v>
      </c>
      <c r="X1422" s="85">
        <f t="shared" si="169"/>
        <v>751.37214000000006</v>
      </c>
      <c r="Y1422" s="85">
        <f>STATS1003B!Y1423/1000</f>
        <v>0</v>
      </c>
      <c r="Z1422" s="85">
        <f t="shared" si="164"/>
        <v>0</v>
      </c>
      <c r="AA1422" s="69">
        <f>STATS1003B!AA1423/1000</f>
        <v>751.37214000000006</v>
      </c>
      <c r="AB1422" s="69">
        <f>STATS1003B!AB1423/1000</f>
        <v>0</v>
      </c>
    </row>
    <row r="1423" spans="1:28" hidden="1" x14ac:dyDescent="0.3">
      <c r="A1423" s="117"/>
      <c r="C1423" s="68" t="s">
        <v>535</v>
      </c>
      <c r="D1423" s="88" t="s">
        <v>73</v>
      </c>
      <c r="E1423" s="85">
        <f>STATS1003B!E1424/1000</f>
        <v>5644.6472599999997</v>
      </c>
      <c r="F1423" s="85">
        <f>STATS1003B!F1424/1000</f>
        <v>5644.6472599999997</v>
      </c>
      <c r="G1423" s="85">
        <f>STATS1003B!G1424/1000</f>
        <v>0</v>
      </c>
      <c r="H1423" s="85">
        <f>STATS1003B!H1424/1000</f>
        <v>5644.6472599999997</v>
      </c>
      <c r="I1423" s="85">
        <f>STATS1003B!I1424/1000</f>
        <v>0</v>
      </c>
      <c r="J1423" s="85">
        <f>STATS1003B!J1424/1000</f>
        <v>5644.6472599999997</v>
      </c>
      <c r="K1423" s="85">
        <f>STATS1003B!K1424/1000</f>
        <v>0</v>
      </c>
      <c r="L1423" s="85">
        <f>STATS1003B!L1424/1000</f>
        <v>0</v>
      </c>
      <c r="M1423" s="85">
        <f>STATS1003B!M1424/1000</f>
        <v>5644.6472599999997</v>
      </c>
      <c r="N1423" s="85">
        <f>STATS1003B!N1424/1000</f>
        <v>0</v>
      </c>
      <c r="O1423" s="85">
        <f>STATS1003B!O1424/1000</f>
        <v>0</v>
      </c>
      <c r="P1423" s="85">
        <f>STATS1003B!P1424/1000</f>
        <v>0</v>
      </c>
      <c r="Q1423" s="85">
        <f>STATS1003B!Q1424/1000</f>
        <v>5644.6472599999997</v>
      </c>
      <c r="R1423" s="85">
        <f>STATS1003B!R1424/1000</f>
        <v>0</v>
      </c>
      <c r="S1423" s="85">
        <f>STATS1003B!S1424/1000</f>
        <v>0</v>
      </c>
      <c r="T1423" s="85">
        <f>STATS1003B!T1424/1000</f>
        <v>0</v>
      </c>
      <c r="U1423" s="85">
        <f>STATS1003B!U1424/1000</f>
        <v>0</v>
      </c>
      <c r="V1423" s="85">
        <f>STATS1003B!V1424/1000</f>
        <v>5644.6472599999997</v>
      </c>
      <c r="W1423" s="85">
        <f>STATS1003B!W1424/1000</f>
        <v>0</v>
      </c>
      <c r="X1423" s="85">
        <f t="shared" si="169"/>
        <v>5644.6472599999997</v>
      </c>
      <c r="Y1423" s="85">
        <f>STATS1003B!Y1424/1000</f>
        <v>0</v>
      </c>
      <c r="Z1423" s="85">
        <f t="shared" si="164"/>
        <v>0</v>
      </c>
      <c r="AA1423" s="69">
        <f>STATS1003B!AA1424/1000</f>
        <v>5644.6472599999997</v>
      </c>
      <c r="AB1423" s="69">
        <f>STATS1003B!AB1424/1000</f>
        <v>0</v>
      </c>
    </row>
    <row r="1424" spans="1:28" hidden="1" x14ac:dyDescent="0.3">
      <c r="A1424" s="117"/>
      <c r="C1424" s="71" t="s">
        <v>621</v>
      </c>
      <c r="D1424" s="88" t="s">
        <v>73</v>
      </c>
      <c r="E1424" s="85">
        <f>STATS1003B!E1425/1000</f>
        <v>2299.712</v>
      </c>
      <c r="F1424" s="85">
        <f>STATS1003B!F1425/1000</f>
        <v>2299.712</v>
      </c>
      <c r="G1424" s="85">
        <f>STATS1003B!G1425/1000</f>
        <v>0</v>
      </c>
      <c r="H1424" s="85">
        <f>STATS1003B!H1425/1000</f>
        <v>2299.712</v>
      </c>
      <c r="I1424" s="85">
        <f>STATS1003B!I1425/1000</f>
        <v>0</v>
      </c>
      <c r="J1424" s="85">
        <f>STATS1003B!J1425/1000</f>
        <v>2299.712</v>
      </c>
      <c r="K1424" s="85">
        <f>STATS1003B!K1425/1000</f>
        <v>0</v>
      </c>
      <c r="L1424" s="85">
        <f>STATS1003B!L1425/1000</f>
        <v>0</v>
      </c>
      <c r="M1424" s="85">
        <f>STATS1003B!M1425/1000</f>
        <v>2299.712</v>
      </c>
      <c r="N1424" s="85">
        <f>STATS1003B!N1425/1000</f>
        <v>0</v>
      </c>
      <c r="O1424" s="85">
        <f>STATS1003B!O1425/1000</f>
        <v>0</v>
      </c>
      <c r="P1424" s="85">
        <f>STATS1003B!P1425/1000</f>
        <v>0</v>
      </c>
      <c r="Q1424" s="85">
        <f>STATS1003B!Q1425/1000</f>
        <v>2299.712</v>
      </c>
      <c r="R1424" s="85">
        <f>STATS1003B!R1425/1000</f>
        <v>0</v>
      </c>
      <c r="S1424" s="85">
        <f>STATS1003B!S1425/1000</f>
        <v>0</v>
      </c>
      <c r="T1424" s="85">
        <f>STATS1003B!T1425/1000</f>
        <v>0</v>
      </c>
      <c r="U1424" s="85">
        <f>STATS1003B!U1425/1000</f>
        <v>0</v>
      </c>
      <c r="V1424" s="85">
        <f>STATS1003B!V1425/1000</f>
        <v>2299.712</v>
      </c>
      <c r="W1424" s="85">
        <f>STATS1003B!W1425/1000</f>
        <v>0</v>
      </c>
      <c r="X1424" s="85">
        <f t="shared" si="169"/>
        <v>2299.712</v>
      </c>
      <c r="Y1424" s="85">
        <f>STATS1003B!Y1425/1000</f>
        <v>0</v>
      </c>
      <c r="Z1424" s="85">
        <f t="shared" si="164"/>
        <v>0</v>
      </c>
      <c r="AA1424" s="69">
        <f>STATS1003B!AA1425/1000</f>
        <v>2299.712</v>
      </c>
      <c r="AB1424" s="69">
        <f>STATS1003B!AB1425/1000</f>
        <v>0</v>
      </c>
    </row>
    <row r="1425" spans="1:28" hidden="1" x14ac:dyDescent="0.3">
      <c r="A1425" s="117"/>
      <c r="C1425" s="71" t="s">
        <v>535</v>
      </c>
      <c r="D1425" s="88" t="s">
        <v>61</v>
      </c>
      <c r="E1425" s="85">
        <f>STATS1003B!E1426/1000</f>
        <v>9393.0918399999991</v>
      </c>
      <c r="F1425" s="85">
        <f>STATS1003B!F1426/1000</f>
        <v>9393.0918399999991</v>
      </c>
      <c r="G1425" s="85">
        <f>STATS1003B!G1426/1000</f>
        <v>0</v>
      </c>
      <c r="H1425" s="85">
        <f>STATS1003B!H1426/1000</f>
        <v>9393.0918399999991</v>
      </c>
      <c r="I1425" s="85">
        <f>STATS1003B!I1426/1000</f>
        <v>0</v>
      </c>
      <c r="J1425" s="85">
        <f>STATS1003B!J1426/1000</f>
        <v>9393.0918399999991</v>
      </c>
      <c r="K1425" s="85">
        <f>STATS1003B!K1426/1000</f>
        <v>0</v>
      </c>
      <c r="L1425" s="85">
        <f>STATS1003B!L1426/1000</f>
        <v>0</v>
      </c>
      <c r="M1425" s="85">
        <f>STATS1003B!M1426/1000</f>
        <v>9393.0918399999991</v>
      </c>
      <c r="N1425" s="85">
        <f>STATS1003B!N1426/1000</f>
        <v>0</v>
      </c>
      <c r="O1425" s="85">
        <f>STATS1003B!O1426/1000</f>
        <v>0</v>
      </c>
      <c r="P1425" s="85">
        <f>STATS1003B!P1426/1000</f>
        <v>0</v>
      </c>
      <c r="Q1425" s="85">
        <f>STATS1003B!Q1426/1000</f>
        <v>9393.0918399999991</v>
      </c>
      <c r="R1425" s="85">
        <f>STATS1003B!R1426/1000</f>
        <v>0</v>
      </c>
      <c r="S1425" s="85">
        <f>STATS1003B!S1426/1000</f>
        <v>0</v>
      </c>
      <c r="T1425" s="85">
        <f>STATS1003B!T1426/1000</f>
        <v>0</v>
      </c>
      <c r="U1425" s="85">
        <f>STATS1003B!U1426/1000</f>
        <v>0</v>
      </c>
      <c r="V1425" s="85">
        <f>STATS1003B!V1426/1000</f>
        <v>9393.0918399999991</v>
      </c>
      <c r="W1425" s="85">
        <f>STATS1003B!W1426/1000</f>
        <v>0</v>
      </c>
      <c r="X1425" s="85">
        <f t="shared" si="169"/>
        <v>9393.0918399999991</v>
      </c>
      <c r="Y1425" s="85">
        <f>STATS1003B!Y1426/1000</f>
        <v>0</v>
      </c>
      <c r="Z1425" s="85">
        <f t="shared" si="164"/>
        <v>0</v>
      </c>
      <c r="AA1425" s="69">
        <f>STATS1003B!AA1426/1000</f>
        <v>9393.0918399999991</v>
      </c>
      <c r="AB1425" s="69">
        <f>STATS1003B!AB1426/1000</f>
        <v>0</v>
      </c>
    </row>
    <row r="1426" spans="1:28" hidden="1" x14ac:dyDescent="0.3">
      <c r="A1426" s="117"/>
      <c r="C1426" s="71" t="s">
        <v>621</v>
      </c>
      <c r="D1426" s="88" t="s">
        <v>61</v>
      </c>
      <c r="E1426" s="85">
        <f>STATS1003B!E1427/1000</f>
        <v>1444.90717</v>
      </c>
      <c r="F1426" s="85">
        <f>STATS1003B!F1427/1000</f>
        <v>1444.90717</v>
      </c>
      <c r="G1426" s="85">
        <f>STATS1003B!G1427/1000</f>
        <v>0</v>
      </c>
      <c r="H1426" s="85">
        <f>STATS1003B!H1427/1000</f>
        <v>1444.90717</v>
      </c>
      <c r="I1426" s="85">
        <f>STATS1003B!I1427/1000</f>
        <v>0</v>
      </c>
      <c r="J1426" s="85">
        <f>STATS1003B!J1427/1000</f>
        <v>1444.90717</v>
      </c>
      <c r="K1426" s="85">
        <f>STATS1003B!K1427/1000</f>
        <v>0</v>
      </c>
      <c r="L1426" s="85">
        <f>STATS1003B!L1427/1000</f>
        <v>0</v>
      </c>
      <c r="M1426" s="85">
        <f>STATS1003B!M1427/1000</f>
        <v>1444.90717</v>
      </c>
      <c r="N1426" s="85">
        <f>STATS1003B!N1427/1000</f>
        <v>0</v>
      </c>
      <c r="O1426" s="85">
        <f>STATS1003B!O1427/1000</f>
        <v>0</v>
      </c>
      <c r="P1426" s="85">
        <f>STATS1003B!P1427/1000</f>
        <v>0</v>
      </c>
      <c r="Q1426" s="85">
        <f>STATS1003B!Q1427/1000</f>
        <v>1444.90717</v>
      </c>
      <c r="R1426" s="85">
        <f>STATS1003B!R1427/1000</f>
        <v>0</v>
      </c>
      <c r="S1426" s="85">
        <f>STATS1003B!S1427/1000</f>
        <v>0</v>
      </c>
      <c r="T1426" s="85">
        <f>STATS1003B!T1427/1000</f>
        <v>0</v>
      </c>
      <c r="U1426" s="85">
        <f>STATS1003B!U1427/1000</f>
        <v>0</v>
      </c>
      <c r="V1426" s="85">
        <f>STATS1003B!V1427/1000</f>
        <v>1444.90717</v>
      </c>
      <c r="W1426" s="85">
        <f>STATS1003B!W1427/1000</f>
        <v>0</v>
      </c>
      <c r="X1426" s="85">
        <f t="shared" si="169"/>
        <v>1444.90717</v>
      </c>
      <c r="Y1426" s="85">
        <f>STATS1003B!Y1427/1000</f>
        <v>0</v>
      </c>
      <c r="Z1426" s="85">
        <f t="shared" si="164"/>
        <v>0</v>
      </c>
      <c r="AA1426" s="69">
        <f>STATS1003B!AA1427/1000</f>
        <v>1444.90717</v>
      </c>
      <c r="AB1426" s="69">
        <f>STATS1003B!AB1427/1000</f>
        <v>0</v>
      </c>
    </row>
    <row r="1427" spans="1:28" hidden="1" x14ac:dyDescent="0.3">
      <c r="A1427" s="117"/>
      <c r="C1427" s="71" t="s">
        <v>929</v>
      </c>
      <c r="D1427" s="89" t="s">
        <v>1072</v>
      </c>
      <c r="E1427" s="85">
        <f>STATS1003B!E1428/1000</f>
        <v>3957.6431000000002</v>
      </c>
      <c r="F1427" s="85">
        <f>STATS1003B!F1428/1000</f>
        <v>3957.6431000000002</v>
      </c>
      <c r="G1427" s="85">
        <f>STATS1003B!G1428/1000</f>
        <v>0</v>
      </c>
      <c r="H1427" s="85">
        <f>STATS1003B!H1428/1000</f>
        <v>3957.6431000000002</v>
      </c>
      <c r="I1427" s="85">
        <f>STATS1003B!I1428/1000</f>
        <v>0</v>
      </c>
      <c r="J1427" s="85">
        <f>STATS1003B!J1428/1000</f>
        <v>0</v>
      </c>
      <c r="K1427" s="85">
        <f>STATS1003B!K1428/1000</f>
        <v>0</v>
      </c>
      <c r="L1427" s="85">
        <f>STATS1003B!L1428/1000</f>
        <v>0</v>
      </c>
      <c r="M1427" s="85">
        <f>STATS1003B!M1428/1000</f>
        <v>3957.6431000000002</v>
      </c>
      <c r="N1427" s="85">
        <f>STATS1003B!N1428/1000</f>
        <v>0</v>
      </c>
      <c r="O1427" s="85">
        <f>STATS1003B!O1428/1000</f>
        <v>0</v>
      </c>
      <c r="P1427" s="85">
        <f>STATS1003B!P1428/1000</f>
        <v>0</v>
      </c>
      <c r="Q1427" s="85">
        <f>STATS1003B!Q1428/1000</f>
        <v>0</v>
      </c>
      <c r="R1427" s="85">
        <f>STATS1003B!R1428/1000</f>
        <v>0</v>
      </c>
      <c r="S1427" s="85">
        <f>STATS1003B!S1428/1000</f>
        <v>0</v>
      </c>
      <c r="T1427" s="85">
        <f>STATS1003B!T1428/1000</f>
        <v>0</v>
      </c>
      <c r="U1427" s="85">
        <f>STATS1003B!U1428/1000</f>
        <v>0</v>
      </c>
      <c r="V1427" s="85">
        <f>STATS1003B!V1428/1000</f>
        <v>3957.6431000000002</v>
      </c>
      <c r="W1427" s="85">
        <f>STATS1003B!W1428/1000</f>
        <v>0</v>
      </c>
      <c r="X1427" s="85">
        <f t="shared" si="169"/>
        <v>3957.6431000000002</v>
      </c>
      <c r="Y1427" s="85">
        <f>STATS1003B!Y1428/1000</f>
        <v>0</v>
      </c>
      <c r="Z1427" s="85">
        <f t="shared" si="164"/>
        <v>0</v>
      </c>
      <c r="AA1427" s="69">
        <f>STATS1003B!AA1428/1000</f>
        <v>3957.6431000000002</v>
      </c>
      <c r="AB1427" s="69">
        <f>STATS1003B!AB1428/1000</f>
        <v>0</v>
      </c>
    </row>
    <row r="1428" spans="1:28" hidden="1" x14ac:dyDescent="0.3">
      <c r="A1428" s="117"/>
      <c r="C1428" s="71" t="s">
        <v>1203</v>
      </c>
      <c r="D1428" s="89" t="s">
        <v>1126</v>
      </c>
      <c r="E1428" s="85">
        <f>STATS1003B!E1429/1000</f>
        <v>8747.5142800000012</v>
      </c>
      <c r="F1428" s="85">
        <f>STATS1003B!F1429/1000</f>
        <v>8747.5142800000012</v>
      </c>
      <c r="G1428" s="85">
        <f>STATS1003B!G1429/1000</f>
        <v>0</v>
      </c>
      <c r="H1428" s="85">
        <f>STATS1003B!H1429/1000</f>
        <v>8747.5142800000012</v>
      </c>
      <c r="I1428" s="85">
        <f>STATS1003B!I1429/1000</f>
        <v>0</v>
      </c>
      <c r="J1428" s="85">
        <f>STATS1003B!J1429/1000</f>
        <v>0</v>
      </c>
      <c r="K1428" s="85">
        <f>STATS1003B!K1429/1000</f>
        <v>0</v>
      </c>
      <c r="L1428" s="85">
        <f>STATS1003B!L1429/1000</f>
        <v>0</v>
      </c>
      <c r="M1428" s="85">
        <f>STATS1003B!M1429/1000</f>
        <v>8747.5142800000012</v>
      </c>
      <c r="N1428" s="85">
        <f>STATS1003B!N1429/1000</f>
        <v>0</v>
      </c>
      <c r="O1428" s="85">
        <f>STATS1003B!O1429/1000</f>
        <v>0</v>
      </c>
      <c r="P1428" s="85">
        <f>STATS1003B!P1429/1000</f>
        <v>0</v>
      </c>
      <c r="Q1428" s="85">
        <f>STATS1003B!Q1429/1000</f>
        <v>0</v>
      </c>
      <c r="R1428" s="85">
        <f>STATS1003B!R1429/1000</f>
        <v>0</v>
      </c>
      <c r="S1428" s="85">
        <f>STATS1003B!S1429/1000</f>
        <v>0</v>
      </c>
      <c r="T1428" s="85">
        <f>STATS1003B!T1429/1000</f>
        <v>0</v>
      </c>
      <c r="U1428" s="85">
        <f>STATS1003B!U1429/1000</f>
        <v>0</v>
      </c>
      <c r="V1428" s="85">
        <f>STATS1003B!V1429/1000</f>
        <v>8747.5142800000012</v>
      </c>
      <c r="W1428" s="85">
        <f>STATS1003B!W1429/1000</f>
        <v>0</v>
      </c>
      <c r="X1428" s="85">
        <f t="shared" si="169"/>
        <v>8747.5142800000012</v>
      </c>
      <c r="Y1428" s="85">
        <f>STATS1003B!Y1429/1000</f>
        <v>0</v>
      </c>
      <c r="Z1428" s="85">
        <f t="shared" si="164"/>
        <v>0</v>
      </c>
      <c r="AA1428" s="69">
        <f>STATS1003B!AA1429/1000</f>
        <v>8747.5142800000012</v>
      </c>
      <c r="AB1428" s="69">
        <f>STATS1003B!AB1429/1000</f>
        <v>0</v>
      </c>
    </row>
    <row r="1429" spans="1:28" hidden="1" x14ac:dyDescent="0.3">
      <c r="A1429" s="117"/>
      <c r="C1429" s="68" t="s">
        <v>577</v>
      </c>
      <c r="E1429" s="85">
        <f>STATS1003B!E1430/1000</f>
        <v>39.02711</v>
      </c>
      <c r="F1429" s="85">
        <f>STATS1003B!F1430/1000</f>
        <v>0</v>
      </c>
      <c r="G1429" s="85">
        <f>STATS1003B!G1430/1000</f>
        <v>0</v>
      </c>
      <c r="H1429" s="85">
        <f>STATS1003B!H1430/1000</f>
        <v>0</v>
      </c>
      <c r="I1429" s="85">
        <f>STATS1003B!I1430/1000</f>
        <v>0</v>
      </c>
      <c r="J1429" s="85">
        <f>STATS1003B!J1430/1000</f>
        <v>0</v>
      </c>
      <c r="K1429" s="85">
        <f>STATS1003B!K1430/1000</f>
        <v>39.02711</v>
      </c>
      <c r="L1429" s="85">
        <f>STATS1003B!L1430/1000</f>
        <v>0</v>
      </c>
      <c r="M1429" s="85">
        <f>STATS1003B!M1430/1000</f>
        <v>0</v>
      </c>
      <c r="N1429" s="85">
        <f>STATS1003B!N1430/1000</f>
        <v>39.02711</v>
      </c>
      <c r="O1429" s="85">
        <f>STATS1003B!O1430/1000</f>
        <v>0</v>
      </c>
      <c r="P1429" s="85">
        <f>STATS1003B!P1430/1000</f>
        <v>39.02711</v>
      </c>
      <c r="Q1429" s="85">
        <f>STATS1003B!Q1430/1000</f>
        <v>0</v>
      </c>
      <c r="R1429" s="85">
        <f>STATS1003B!R1430/1000</f>
        <v>0</v>
      </c>
      <c r="S1429" s="85">
        <f>STATS1003B!S1430/1000</f>
        <v>0</v>
      </c>
      <c r="T1429" s="85">
        <f>STATS1003B!T1430/1000</f>
        <v>0</v>
      </c>
      <c r="U1429" s="85">
        <f>STATS1003B!U1430/1000</f>
        <v>39.02711</v>
      </c>
      <c r="V1429" s="85">
        <f>STATS1003B!V1430/1000</f>
        <v>39.02711</v>
      </c>
      <c r="W1429" s="85">
        <f>STATS1003B!W1430/1000</f>
        <v>0</v>
      </c>
      <c r="X1429" s="85">
        <f t="shared" si="169"/>
        <v>39.02711</v>
      </c>
      <c r="Y1429" s="85">
        <f>STATS1003B!Y1430/1000</f>
        <v>0</v>
      </c>
      <c r="Z1429" s="85">
        <f t="shared" si="164"/>
        <v>0</v>
      </c>
      <c r="AA1429" s="69">
        <f>STATS1003B!AA1430/1000</f>
        <v>39.02711</v>
      </c>
      <c r="AB1429" s="69">
        <f>STATS1003B!AB1430/1000</f>
        <v>0</v>
      </c>
    </row>
    <row r="1430" spans="1:28" hidden="1" x14ac:dyDescent="0.3">
      <c r="A1430" s="117"/>
      <c r="C1430" s="68" t="s">
        <v>592</v>
      </c>
      <c r="E1430" s="85">
        <f>STATS1003B!E1431/1000</f>
        <v>2244.0192499999998</v>
      </c>
      <c r="F1430" s="85">
        <f>STATS1003B!F1431/1000</f>
        <v>2241.9070000000002</v>
      </c>
      <c r="G1430" s="85">
        <f>STATS1003B!G1431/1000</f>
        <v>0</v>
      </c>
      <c r="H1430" s="85">
        <f>STATS1003B!H1431/1000</f>
        <v>2241.9070000000002</v>
      </c>
      <c r="I1430" s="85">
        <f>STATS1003B!I1431/1000</f>
        <v>0</v>
      </c>
      <c r="J1430" s="85">
        <f>STATS1003B!J1431/1000</f>
        <v>2241.9070000000002</v>
      </c>
      <c r="K1430" s="85">
        <f>STATS1003B!K1431/1000</f>
        <v>2.11225</v>
      </c>
      <c r="L1430" s="85">
        <f>STATS1003B!L1431/1000</f>
        <v>0</v>
      </c>
      <c r="M1430" s="85">
        <f>STATS1003B!M1431/1000</f>
        <v>2241.9070000000002</v>
      </c>
      <c r="N1430" s="85">
        <f>STATS1003B!N1431/1000</f>
        <v>2.11225</v>
      </c>
      <c r="O1430" s="85">
        <f>STATS1003B!O1431/1000</f>
        <v>0</v>
      </c>
      <c r="P1430" s="85">
        <f>STATS1003B!P1431/1000</f>
        <v>2.11225</v>
      </c>
      <c r="Q1430" s="85">
        <f>STATS1003B!Q1431/1000</f>
        <v>2241.9070000000002</v>
      </c>
      <c r="R1430" s="85">
        <f>STATS1003B!R1431/1000</f>
        <v>0</v>
      </c>
      <c r="S1430" s="85">
        <f>STATS1003B!S1431/1000</f>
        <v>0</v>
      </c>
      <c r="T1430" s="85">
        <f>STATS1003B!T1431/1000</f>
        <v>0</v>
      </c>
      <c r="U1430" s="85">
        <f>STATS1003B!U1431/1000</f>
        <v>2.11225</v>
      </c>
      <c r="V1430" s="85">
        <f>STATS1003B!V1431/1000</f>
        <v>2244.0192499999998</v>
      </c>
      <c r="W1430" s="85">
        <f>STATS1003B!W1431/1000</f>
        <v>0</v>
      </c>
      <c r="X1430" s="85">
        <f t="shared" si="169"/>
        <v>2244.0192500000003</v>
      </c>
      <c r="Y1430" s="85">
        <f>STATS1003B!Y1431/1000</f>
        <v>0</v>
      </c>
      <c r="Z1430" s="85">
        <f t="shared" si="164"/>
        <v>0</v>
      </c>
      <c r="AA1430" s="69">
        <f>STATS1003B!AA1431/1000</f>
        <v>2244.0192499999998</v>
      </c>
      <c r="AB1430" s="69">
        <f>STATS1003B!AB1431/1000</f>
        <v>0</v>
      </c>
    </row>
    <row r="1431" spans="1:28" hidden="1" x14ac:dyDescent="0.3">
      <c r="A1431" s="117"/>
      <c r="C1431" s="68" t="s">
        <v>678</v>
      </c>
      <c r="E1431" s="85">
        <f>STATS1003B!E1432/1000</f>
        <v>9781.0543100000014</v>
      </c>
      <c r="F1431" s="85">
        <f>STATS1003B!F1432/1000</f>
        <v>7920.6910900000003</v>
      </c>
      <c r="G1431" s="85">
        <f>STATS1003B!G1432/1000</f>
        <v>0</v>
      </c>
      <c r="H1431" s="85">
        <f>STATS1003B!H1432/1000</f>
        <v>7920.6910900000003</v>
      </c>
      <c r="I1431" s="85">
        <f>STATS1003B!I1432/1000</f>
        <v>1860.36322</v>
      </c>
      <c r="J1431" s="85">
        <f>STATS1003B!J1432/1000</f>
        <v>9781.0543100000014</v>
      </c>
      <c r="K1431" s="85">
        <f>STATS1003B!K1432/1000</f>
        <v>0</v>
      </c>
      <c r="L1431" s="85">
        <f>STATS1003B!L1432/1000</f>
        <v>1860.36322</v>
      </c>
      <c r="M1431" s="85">
        <f>STATS1003B!M1432/1000</f>
        <v>9781.0543100000014</v>
      </c>
      <c r="N1431" s="85">
        <f>STATS1003B!N1432/1000</f>
        <v>0</v>
      </c>
      <c r="O1431" s="85">
        <f>STATS1003B!O1432/1000</f>
        <v>0</v>
      </c>
      <c r="P1431" s="85">
        <f>STATS1003B!P1432/1000</f>
        <v>0</v>
      </c>
      <c r="Q1431" s="85">
        <f>STATS1003B!Q1432/1000</f>
        <v>9781.0543100000014</v>
      </c>
      <c r="R1431" s="85">
        <f>STATS1003B!R1432/1000</f>
        <v>0</v>
      </c>
      <c r="S1431" s="85">
        <f>STATS1003B!S1432/1000</f>
        <v>0</v>
      </c>
      <c r="T1431" s="85">
        <f>STATS1003B!T1432/1000</f>
        <v>0</v>
      </c>
      <c r="U1431" s="85">
        <f>STATS1003B!U1432/1000</f>
        <v>0</v>
      </c>
      <c r="V1431" s="85">
        <f>STATS1003B!V1432/1000</f>
        <v>7920.6910900000003</v>
      </c>
      <c r="W1431" s="85">
        <f>STATS1003B!W1432/1000</f>
        <v>1860.3632200000006</v>
      </c>
      <c r="X1431" s="85">
        <f t="shared" si="169"/>
        <v>7920.6910900000003</v>
      </c>
      <c r="Y1431" s="85">
        <f>STATS1003B!Y1432/1000</f>
        <v>0</v>
      </c>
      <c r="Z1431" s="85">
        <f t="shared" si="164"/>
        <v>1860.3632200000011</v>
      </c>
      <c r="AA1431" s="69">
        <f>STATS1003B!AA1432/1000</f>
        <v>9781.0543100000014</v>
      </c>
      <c r="AB1431" s="69">
        <f>STATS1003B!AB1432/1000</f>
        <v>0</v>
      </c>
    </row>
    <row r="1432" spans="1:28" hidden="1" x14ac:dyDescent="0.3">
      <c r="A1432" s="117"/>
      <c r="E1432" s="86" t="s">
        <v>29</v>
      </c>
      <c r="F1432" s="86" t="s">
        <v>29</v>
      </c>
      <c r="G1432" s="86" t="s">
        <v>29</v>
      </c>
      <c r="H1432" s="86" t="s">
        <v>29</v>
      </c>
      <c r="I1432" s="86" t="s">
        <v>29</v>
      </c>
      <c r="J1432" s="86" t="s">
        <v>29</v>
      </c>
      <c r="K1432" s="86" t="s">
        <v>29</v>
      </c>
      <c r="L1432" s="86" t="s">
        <v>29</v>
      </c>
      <c r="M1432" s="86" t="s">
        <v>29</v>
      </c>
      <c r="N1432" s="86" t="s">
        <v>29</v>
      </c>
      <c r="O1432" s="86" t="s">
        <v>29</v>
      </c>
      <c r="P1432" s="86" t="s">
        <v>29</v>
      </c>
      <c r="Q1432" s="86" t="s">
        <v>29</v>
      </c>
      <c r="R1432" s="86" t="s">
        <v>29</v>
      </c>
      <c r="S1432" s="86" t="s">
        <v>29</v>
      </c>
      <c r="T1432" s="86" t="s">
        <v>29</v>
      </c>
      <c r="U1432" s="86" t="s">
        <v>29</v>
      </c>
      <c r="V1432" s="86" t="s">
        <v>29</v>
      </c>
      <c r="W1432" s="86" t="s">
        <v>29</v>
      </c>
      <c r="X1432" s="85" t="e">
        <f t="shared" si="169"/>
        <v>#VALUE!</v>
      </c>
      <c r="Y1432" s="86" t="s">
        <v>29</v>
      </c>
      <c r="Z1432" s="85" t="e">
        <f t="shared" si="164"/>
        <v>#VALUE!</v>
      </c>
      <c r="AA1432" s="115" t="s">
        <v>29</v>
      </c>
      <c r="AB1432" s="115" t="s">
        <v>29</v>
      </c>
    </row>
    <row r="1433" spans="1:28" x14ac:dyDescent="0.3">
      <c r="A1433" s="116">
        <v>63</v>
      </c>
      <c r="B1433" s="68" t="s">
        <v>722</v>
      </c>
      <c r="E1433" s="85">
        <f>206807428.5/1000</f>
        <v>206807.42850000001</v>
      </c>
      <c r="F1433" s="85">
        <f t="shared" ref="F1433:Q1433" si="170">SUM(F1405:F1432)</f>
        <v>68636.924280000007</v>
      </c>
      <c r="G1433" s="85">
        <f t="shared" si="170"/>
        <v>0</v>
      </c>
      <c r="H1433" s="85">
        <f>198422044.3/1000</f>
        <v>198422.04430000001</v>
      </c>
      <c r="I1433" s="85">
        <f t="shared" si="170"/>
        <v>1860.36322</v>
      </c>
      <c r="J1433" s="85">
        <f t="shared" si="170"/>
        <v>57792.130119999994</v>
      </c>
      <c r="K1433" s="85">
        <f t="shared" si="170"/>
        <v>6525.0209800000002</v>
      </c>
      <c r="L1433" s="85">
        <f t="shared" si="170"/>
        <v>1860.36322</v>
      </c>
      <c r="M1433" s="85">
        <f t="shared" si="170"/>
        <v>70497.287500000006</v>
      </c>
      <c r="N1433" s="85">
        <f t="shared" si="170"/>
        <v>6525.0209800000002</v>
      </c>
      <c r="O1433" s="85">
        <f t="shared" si="170"/>
        <v>0</v>
      </c>
      <c r="P1433" s="85">
        <f>6525020/1000</f>
        <v>6525.02</v>
      </c>
      <c r="Q1433" s="85">
        <f t="shared" si="170"/>
        <v>57792.130119999994</v>
      </c>
      <c r="R1433" s="86"/>
      <c r="S1433" s="86"/>
      <c r="T1433" s="85">
        <f t="shared" ref="T1433:Y1433" si="171">SUM(T1405:T1432)</f>
        <v>0</v>
      </c>
      <c r="U1433" s="85">
        <f t="shared" si="171"/>
        <v>6525.0209800000002</v>
      </c>
      <c r="V1433" s="85">
        <f t="shared" si="171"/>
        <v>75161.945260000008</v>
      </c>
      <c r="W1433" s="85">
        <f t="shared" si="171"/>
        <v>1860.3632200000006</v>
      </c>
      <c r="X1433" s="85">
        <f>+H1433+P1433</f>
        <v>204947.0643</v>
      </c>
      <c r="Y1433" s="85">
        <f t="shared" si="171"/>
        <v>0</v>
      </c>
      <c r="Z1433" s="85">
        <f t="shared" si="164"/>
        <v>1860.3642000000109</v>
      </c>
      <c r="AA1433" s="69">
        <f>SUM(AA1405:AA1432)</f>
        <v>77022.308480000007</v>
      </c>
      <c r="AB1433" s="69">
        <f>SUM(AB1405:AB1432)</f>
        <v>0</v>
      </c>
    </row>
    <row r="1434" spans="1:28" hidden="1" x14ac:dyDescent="0.3">
      <c r="A1434" s="117"/>
      <c r="E1434" s="86" t="s">
        <v>29</v>
      </c>
      <c r="F1434" s="86" t="s">
        <v>29</v>
      </c>
      <c r="G1434" s="86" t="s">
        <v>29</v>
      </c>
      <c r="H1434" s="86" t="s">
        <v>29</v>
      </c>
      <c r="I1434" s="86" t="s">
        <v>29</v>
      </c>
      <c r="J1434" s="86" t="s">
        <v>29</v>
      </c>
      <c r="K1434" s="86" t="s">
        <v>29</v>
      </c>
      <c r="L1434" s="86" t="s">
        <v>29</v>
      </c>
      <c r="M1434" s="86" t="s">
        <v>29</v>
      </c>
      <c r="N1434" s="86" t="s">
        <v>29</v>
      </c>
      <c r="O1434" s="86" t="s">
        <v>29</v>
      </c>
      <c r="P1434" s="86" t="s">
        <v>29</v>
      </c>
      <c r="Q1434" s="86" t="s">
        <v>29</v>
      </c>
      <c r="R1434" s="86" t="s">
        <v>29</v>
      </c>
      <c r="S1434" s="86" t="s">
        <v>29</v>
      </c>
      <c r="T1434" s="86" t="s">
        <v>29</v>
      </c>
      <c r="U1434" s="86" t="s">
        <v>29</v>
      </c>
      <c r="V1434" s="86" t="s">
        <v>29</v>
      </c>
      <c r="W1434" s="86" t="s">
        <v>29</v>
      </c>
      <c r="X1434" s="85" t="e">
        <f t="shared" si="169"/>
        <v>#VALUE!</v>
      </c>
      <c r="Y1434" s="86" t="s">
        <v>29</v>
      </c>
      <c r="Z1434" s="85" t="e">
        <f t="shared" si="164"/>
        <v>#VALUE!</v>
      </c>
      <c r="AA1434" s="115" t="s">
        <v>29</v>
      </c>
      <c r="AB1434" s="115" t="s">
        <v>29</v>
      </c>
    </row>
    <row r="1435" spans="1:28" hidden="1" x14ac:dyDescent="0.3">
      <c r="A1435" s="105"/>
      <c r="E1435" s="84"/>
      <c r="F1435" s="84"/>
      <c r="G1435" s="84"/>
      <c r="H1435" s="84"/>
      <c r="I1435" s="84"/>
      <c r="J1435" s="84"/>
      <c r="K1435" s="84"/>
      <c r="L1435" s="84"/>
      <c r="M1435" s="84"/>
      <c r="N1435" s="84"/>
      <c r="O1435" s="84"/>
      <c r="P1435" s="84"/>
      <c r="Q1435" s="84"/>
      <c r="R1435" s="86"/>
      <c r="S1435" s="86"/>
      <c r="T1435" s="86"/>
      <c r="U1435" s="86"/>
      <c r="V1435" s="86"/>
      <c r="W1435" s="86"/>
      <c r="X1435" s="85">
        <f t="shared" si="169"/>
        <v>0</v>
      </c>
      <c r="Y1435" s="86"/>
      <c r="Z1435" s="85">
        <f t="shared" si="164"/>
        <v>0</v>
      </c>
    </row>
    <row r="1436" spans="1:28" hidden="1" x14ac:dyDescent="0.3">
      <c r="A1436" s="117"/>
      <c r="C1436" s="68" t="s">
        <v>535</v>
      </c>
      <c r="D1436" s="87" t="s">
        <v>78</v>
      </c>
      <c r="E1436" s="85">
        <f>STATS1003B!E1437/1000</f>
        <v>1322.8562299999999</v>
      </c>
      <c r="F1436" s="85">
        <f>STATS1003B!F1437/1000</f>
        <v>785.8</v>
      </c>
      <c r="G1436" s="85">
        <f>STATS1003B!G1437/1000</f>
        <v>0</v>
      </c>
      <c r="H1436" s="85">
        <f>STATS1003B!H1437/1000</f>
        <v>785.8</v>
      </c>
      <c r="I1436" s="85">
        <f>STATS1003B!I1437/1000</f>
        <v>0</v>
      </c>
      <c r="J1436" s="85">
        <f>STATS1003B!J1437/1000</f>
        <v>785.8</v>
      </c>
      <c r="K1436" s="85">
        <f>STATS1003B!K1437/1000</f>
        <v>537.05623000000003</v>
      </c>
      <c r="L1436" s="85">
        <f>STATS1003B!L1437/1000</f>
        <v>0</v>
      </c>
      <c r="M1436" s="85">
        <f>STATS1003B!M1437/1000</f>
        <v>785.8</v>
      </c>
      <c r="N1436" s="85">
        <f>STATS1003B!N1437/1000</f>
        <v>537.05623000000003</v>
      </c>
      <c r="O1436" s="85">
        <f>STATS1003B!O1437/1000</f>
        <v>0</v>
      </c>
      <c r="P1436" s="85">
        <f>STATS1003B!P1437/1000</f>
        <v>537.05623000000003</v>
      </c>
      <c r="Q1436" s="85">
        <f>STATS1003B!Q1437/1000</f>
        <v>785.8</v>
      </c>
      <c r="R1436" s="85">
        <f>STATS1003B!R1437/1000</f>
        <v>0</v>
      </c>
      <c r="S1436" s="85">
        <f>STATS1003B!S1437/1000</f>
        <v>0</v>
      </c>
      <c r="T1436" s="85">
        <f>STATS1003B!T1437/1000</f>
        <v>0</v>
      </c>
      <c r="U1436" s="85">
        <f>STATS1003B!U1437/1000</f>
        <v>537.05623000000003</v>
      </c>
      <c r="V1436" s="85">
        <f>STATS1003B!V1437/1000</f>
        <v>1322.8562299999999</v>
      </c>
      <c r="W1436" s="85">
        <f>STATS1003B!W1437/1000</f>
        <v>0</v>
      </c>
      <c r="X1436" s="85">
        <f t="shared" si="169"/>
        <v>1322.8562299999999</v>
      </c>
      <c r="Y1436" s="85">
        <f>STATS1003B!Y1437/1000</f>
        <v>0</v>
      </c>
      <c r="Z1436" s="85">
        <f t="shared" ref="Z1436:Z1499" si="172">+E1436-X1436</f>
        <v>0</v>
      </c>
      <c r="AA1436" s="69">
        <f>STATS1003B!AA1437/1000</f>
        <v>1322.8562299999999</v>
      </c>
      <c r="AB1436" s="69">
        <f>STATS1003B!AB1437/1000</f>
        <v>0</v>
      </c>
    </row>
    <row r="1437" spans="1:28" hidden="1" x14ac:dyDescent="0.3">
      <c r="A1437" s="117"/>
      <c r="C1437" s="68" t="s">
        <v>604</v>
      </c>
      <c r="D1437" s="87" t="s">
        <v>68</v>
      </c>
      <c r="E1437" s="85">
        <f>STATS1003B!E1438/1000</f>
        <v>850</v>
      </c>
      <c r="F1437" s="85">
        <f>STATS1003B!F1438/1000</f>
        <v>850</v>
      </c>
      <c r="G1437" s="85">
        <f>STATS1003B!G1438/1000</f>
        <v>0</v>
      </c>
      <c r="H1437" s="85">
        <f>STATS1003B!H1438/1000</f>
        <v>850</v>
      </c>
      <c r="I1437" s="85">
        <f>STATS1003B!I1438/1000</f>
        <v>0</v>
      </c>
      <c r="J1437" s="85">
        <f>STATS1003B!J1438/1000</f>
        <v>850</v>
      </c>
      <c r="K1437" s="85">
        <f>STATS1003B!K1438/1000</f>
        <v>0</v>
      </c>
      <c r="L1437" s="85">
        <f>STATS1003B!L1438/1000</f>
        <v>0</v>
      </c>
      <c r="M1437" s="85">
        <f>STATS1003B!M1438/1000</f>
        <v>850</v>
      </c>
      <c r="N1437" s="85">
        <f>STATS1003B!N1438/1000</f>
        <v>0</v>
      </c>
      <c r="O1437" s="85">
        <f>STATS1003B!O1438/1000</f>
        <v>0</v>
      </c>
      <c r="P1437" s="85">
        <f>STATS1003B!P1438/1000</f>
        <v>0</v>
      </c>
      <c r="Q1437" s="85">
        <f>STATS1003B!Q1438/1000</f>
        <v>850</v>
      </c>
      <c r="R1437" s="85">
        <f>STATS1003B!R1438/1000</f>
        <v>0</v>
      </c>
      <c r="S1437" s="85">
        <f>STATS1003B!S1438/1000</f>
        <v>0</v>
      </c>
      <c r="T1437" s="85">
        <f>STATS1003B!T1438/1000</f>
        <v>0</v>
      </c>
      <c r="U1437" s="85">
        <f>STATS1003B!U1438/1000</f>
        <v>0</v>
      </c>
      <c r="V1437" s="85">
        <f>STATS1003B!V1438/1000</f>
        <v>850</v>
      </c>
      <c r="W1437" s="85">
        <f>STATS1003B!W1438/1000</f>
        <v>0</v>
      </c>
      <c r="X1437" s="85">
        <f t="shared" si="169"/>
        <v>850</v>
      </c>
      <c r="Y1437" s="85">
        <f>STATS1003B!Y1438/1000</f>
        <v>0</v>
      </c>
      <c r="Z1437" s="85">
        <f t="shared" si="172"/>
        <v>0</v>
      </c>
      <c r="AA1437" s="69">
        <f>STATS1003B!AA1438/1000</f>
        <v>850</v>
      </c>
      <c r="AB1437" s="69">
        <f>STATS1003B!AB1438/1000</f>
        <v>0</v>
      </c>
    </row>
    <row r="1438" spans="1:28" hidden="1" x14ac:dyDescent="0.3">
      <c r="A1438" s="117"/>
      <c r="C1438" s="68" t="s">
        <v>604</v>
      </c>
      <c r="D1438" s="87" t="s">
        <v>68</v>
      </c>
      <c r="E1438" s="85">
        <f>STATS1003B!E1439/1000</f>
        <v>317.41619000000003</v>
      </c>
      <c r="F1438" s="85">
        <f>STATS1003B!F1439/1000</f>
        <v>239.6</v>
      </c>
      <c r="G1438" s="85">
        <f>STATS1003B!G1439/1000</f>
        <v>0</v>
      </c>
      <c r="H1438" s="85">
        <f>STATS1003B!H1439/1000</f>
        <v>239.6</v>
      </c>
      <c r="I1438" s="85">
        <f>STATS1003B!I1439/1000</f>
        <v>0</v>
      </c>
      <c r="J1438" s="85">
        <f>STATS1003B!J1439/1000</f>
        <v>239.6</v>
      </c>
      <c r="K1438" s="85">
        <f>STATS1003B!K1439/1000</f>
        <v>77.816190000000006</v>
      </c>
      <c r="L1438" s="85">
        <f>STATS1003B!L1439/1000</f>
        <v>0</v>
      </c>
      <c r="M1438" s="85">
        <f>STATS1003B!M1439/1000</f>
        <v>239.6</v>
      </c>
      <c r="N1438" s="85">
        <f>STATS1003B!N1439/1000</f>
        <v>77.816190000000006</v>
      </c>
      <c r="O1438" s="85">
        <f>STATS1003B!O1439/1000</f>
        <v>0</v>
      </c>
      <c r="P1438" s="85">
        <f>STATS1003B!P1439/1000</f>
        <v>77.816190000000006</v>
      </c>
      <c r="Q1438" s="85">
        <f>STATS1003B!Q1439/1000</f>
        <v>239.6</v>
      </c>
      <c r="R1438" s="85">
        <f>STATS1003B!R1439/1000</f>
        <v>0</v>
      </c>
      <c r="S1438" s="85">
        <f>STATS1003B!S1439/1000</f>
        <v>0</v>
      </c>
      <c r="T1438" s="85">
        <f>STATS1003B!T1439/1000</f>
        <v>0</v>
      </c>
      <c r="U1438" s="85">
        <f>STATS1003B!U1439/1000</f>
        <v>77.816190000000006</v>
      </c>
      <c r="V1438" s="85">
        <f>STATS1003B!V1439/1000</f>
        <v>317.41619000000003</v>
      </c>
      <c r="W1438" s="85">
        <f>STATS1003B!W1439/1000</f>
        <v>0</v>
      </c>
      <c r="X1438" s="85">
        <f t="shared" si="169"/>
        <v>317.41619000000003</v>
      </c>
      <c r="Y1438" s="85">
        <f>STATS1003B!Y1439/1000</f>
        <v>0</v>
      </c>
      <c r="Z1438" s="85">
        <f t="shared" si="172"/>
        <v>0</v>
      </c>
      <c r="AA1438" s="69">
        <f>STATS1003B!AA1439/1000</f>
        <v>317.41619000000003</v>
      </c>
      <c r="AB1438" s="69">
        <f>STATS1003B!AB1439/1000</f>
        <v>0</v>
      </c>
    </row>
    <row r="1439" spans="1:28" hidden="1" x14ac:dyDescent="0.3">
      <c r="A1439" s="117"/>
      <c r="C1439" s="68" t="s">
        <v>732</v>
      </c>
      <c r="D1439" s="87" t="s">
        <v>68</v>
      </c>
      <c r="E1439" s="85">
        <f>STATS1003B!E1440/1000</f>
        <v>1700</v>
      </c>
      <c r="F1439" s="85">
        <f>STATS1003B!F1440/1000</f>
        <v>1700</v>
      </c>
      <c r="G1439" s="85">
        <f>STATS1003B!G1440/1000</f>
        <v>0</v>
      </c>
      <c r="H1439" s="85">
        <f>STATS1003B!H1440/1000</f>
        <v>1700</v>
      </c>
      <c r="I1439" s="85">
        <f>STATS1003B!I1440/1000</f>
        <v>0</v>
      </c>
      <c r="J1439" s="85">
        <f>STATS1003B!J1440/1000</f>
        <v>1700</v>
      </c>
      <c r="K1439" s="85">
        <f>STATS1003B!K1440/1000</f>
        <v>0</v>
      </c>
      <c r="L1439" s="85">
        <f>STATS1003B!L1440/1000</f>
        <v>0</v>
      </c>
      <c r="M1439" s="85">
        <f>STATS1003B!M1440/1000</f>
        <v>1700</v>
      </c>
      <c r="N1439" s="85">
        <f>STATS1003B!N1440/1000</f>
        <v>0</v>
      </c>
      <c r="O1439" s="85">
        <f>STATS1003B!O1440/1000</f>
        <v>0</v>
      </c>
      <c r="P1439" s="85">
        <f>STATS1003B!P1440/1000</f>
        <v>0</v>
      </c>
      <c r="Q1439" s="85">
        <f>STATS1003B!Q1440/1000</f>
        <v>1700</v>
      </c>
      <c r="R1439" s="85">
        <f>STATS1003B!R1440/1000</f>
        <v>0</v>
      </c>
      <c r="S1439" s="85">
        <f>STATS1003B!S1440/1000</f>
        <v>0</v>
      </c>
      <c r="T1439" s="85">
        <f>STATS1003B!T1440/1000</f>
        <v>0</v>
      </c>
      <c r="U1439" s="85">
        <f>STATS1003B!U1440/1000</f>
        <v>0</v>
      </c>
      <c r="V1439" s="85">
        <f>STATS1003B!V1440/1000</f>
        <v>1700</v>
      </c>
      <c r="W1439" s="85">
        <f>STATS1003B!W1440/1000</f>
        <v>0</v>
      </c>
      <c r="X1439" s="85">
        <f t="shared" si="169"/>
        <v>1700</v>
      </c>
      <c r="Y1439" s="85">
        <f>STATS1003B!Y1440/1000</f>
        <v>0</v>
      </c>
      <c r="Z1439" s="85">
        <f t="shared" si="172"/>
        <v>0</v>
      </c>
      <c r="AA1439" s="69">
        <f>STATS1003B!AA1440/1000</f>
        <v>1700</v>
      </c>
      <c r="AB1439" s="69">
        <f>STATS1003B!AB1440/1000</f>
        <v>0</v>
      </c>
    </row>
    <row r="1440" spans="1:28" hidden="1" x14ac:dyDescent="0.3">
      <c r="A1440" s="117"/>
      <c r="C1440" s="68" t="s">
        <v>686</v>
      </c>
      <c r="D1440" s="87" t="s">
        <v>68</v>
      </c>
      <c r="E1440" s="85">
        <f>STATS1003B!E1441/1000</f>
        <v>116.87</v>
      </c>
      <c r="F1440" s="85">
        <f>STATS1003B!F1441/1000</f>
        <v>116.87</v>
      </c>
      <c r="G1440" s="85">
        <f>STATS1003B!G1441/1000</f>
        <v>0</v>
      </c>
      <c r="H1440" s="85">
        <f>STATS1003B!H1441/1000</f>
        <v>116.87</v>
      </c>
      <c r="I1440" s="85">
        <f>STATS1003B!I1441/1000</f>
        <v>0</v>
      </c>
      <c r="J1440" s="85">
        <f>STATS1003B!J1441/1000</f>
        <v>116.87</v>
      </c>
      <c r="K1440" s="85">
        <f>STATS1003B!K1441/1000</f>
        <v>0</v>
      </c>
      <c r="L1440" s="85">
        <f>STATS1003B!L1441/1000</f>
        <v>0</v>
      </c>
      <c r="M1440" s="85">
        <f>STATS1003B!M1441/1000</f>
        <v>116.87</v>
      </c>
      <c r="N1440" s="85">
        <f>STATS1003B!N1441/1000</f>
        <v>0</v>
      </c>
      <c r="O1440" s="85">
        <f>STATS1003B!O1441/1000</f>
        <v>0</v>
      </c>
      <c r="P1440" s="85">
        <f>STATS1003B!P1441/1000</f>
        <v>0</v>
      </c>
      <c r="Q1440" s="85">
        <f>STATS1003B!Q1441/1000</f>
        <v>116.87</v>
      </c>
      <c r="R1440" s="85">
        <f>STATS1003B!R1441/1000</f>
        <v>0</v>
      </c>
      <c r="S1440" s="85">
        <f>STATS1003B!S1441/1000</f>
        <v>0</v>
      </c>
      <c r="T1440" s="85">
        <f>STATS1003B!T1441/1000</f>
        <v>0</v>
      </c>
      <c r="U1440" s="85">
        <f>STATS1003B!U1441/1000</f>
        <v>0</v>
      </c>
      <c r="V1440" s="85">
        <f>STATS1003B!V1441/1000</f>
        <v>116.87</v>
      </c>
      <c r="W1440" s="85">
        <f>STATS1003B!W1441/1000</f>
        <v>0</v>
      </c>
      <c r="X1440" s="85">
        <f t="shared" si="169"/>
        <v>116.87</v>
      </c>
      <c r="Y1440" s="85">
        <f>STATS1003B!Y1441/1000</f>
        <v>0</v>
      </c>
      <c r="Z1440" s="85">
        <f t="shared" si="172"/>
        <v>0</v>
      </c>
      <c r="AA1440" s="69">
        <f>STATS1003B!AA1441/1000</f>
        <v>116.87</v>
      </c>
      <c r="AB1440" s="69">
        <f>STATS1003B!AB1441/1000</f>
        <v>0</v>
      </c>
    </row>
    <row r="1441" spans="1:28" hidden="1" x14ac:dyDescent="0.3">
      <c r="A1441" s="117"/>
      <c r="C1441" s="68" t="s">
        <v>535</v>
      </c>
      <c r="D1441" s="87" t="s">
        <v>54</v>
      </c>
      <c r="E1441" s="85">
        <f>STATS1003B!E1442/1000</f>
        <v>513</v>
      </c>
      <c r="F1441" s="85">
        <f>STATS1003B!F1442/1000</f>
        <v>513</v>
      </c>
      <c r="G1441" s="85">
        <f>STATS1003B!G1442/1000</f>
        <v>0</v>
      </c>
      <c r="H1441" s="85">
        <f>STATS1003B!H1442/1000</f>
        <v>513</v>
      </c>
      <c r="I1441" s="85">
        <f>STATS1003B!I1442/1000</f>
        <v>0</v>
      </c>
      <c r="J1441" s="85">
        <f>STATS1003B!J1442/1000</f>
        <v>513</v>
      </c>
      <c r="K1441" s="85">
        <f>STATS1003B!K1442/1000</f>
        <v>0</v>
      </c>
      <c r="L1441" s="85">
        <f>STATS1003B!L1442/1000</f>
        <v>0</v>
      </c>
      <c r="M1441" s="85">
        <f>STATS1003B!M1442/1000</f>
        <v>513</v>
      </c>
      <c r="N1441" s="85">
        <f>STATS1003B!N1442/1000</f>
        <v>0</v>
      </c>
      <c r="O1441" s="85">
        <f>STATS1003B!O1442/1000</f>
        <v>0</v>
      </c>
      <c r="P1441" s="85">
        <f>STATS1003B!P1442/1000</f>
        <v>0</v>
      </c>
      <c r="Q1441" s="85">
        <f>STATS1003B!Q1442/1000</f>
        <v>513</v>
      </c>
      <c r="R1441" s="85">
        <f>STATS1003B!R1442/1000</f>
        <v>0</v>
      </c>
      <c r="S1441" s="85">
        <f>STATS1003B!S1442/1000</f>
        <v>0</v>
      </c>
      <c r="T1441" s="85">
        <f>STATS1003B!T1442/1000</f>
        <v>0</v>
      </c>
      <c r="U1441" s="85">
        <f>STATS1003B!U1442/1000</f>
        <v>0</v>
      </c>
      <c r="V1441" s="85">
        <f>STATS1003B!V1442/1000</f>
        <v>513</v>
      </c>
      <c r="W1441" s="85">
        <f>STATS1003B!W1442/1000</f>
        <v>0</v>
      </c>
      <c r="X1441" s="85">
        <f t="shared" si="169"/>
        <v>513</v>
      </c>
      <c r="Y1441" s="85">
        <f>STATS1003B!Y1442/1000</f>
        <v>0</v>
      </c>
      <c r="Z1441" s="85">
        <f t="shared" si="172"/>
        <v>0</v>
      </c>
      <c r="AA1441" s="69">
        <f>STATS1003B!AA1442/1000</f>
        <v>513</v>
      </c>
      <c r="AB1441" s="69">
        <f>STATS1003B!AB1442/1000</f>
        <v>0</v>
      </c>
    </row>
    <row r="1442" spans="1:28" hidden="1" x14ac:dyDescent="0.3">
      <c r="A1442" s="117"/>
      <c r="C1442" s="68" t="s">
        <v>604</v>
      </c>
      <c r="D1442" s="87" t="s">
        <v>54</v>
      </c>
      <c r="E1442" s="85">
        <f>STATS1003B!E1443/1000</f>
        <v>285</v>
      </c>
      <c r="F1442" s="85">
        <f>STATS1003B!F1443/1000</f>
        <v>285</v>
      </c>
      <c r="G1442" s="85">
        <f>STATS1003B!G1443/1000</f>
        <v>0</v>
      </c>
      <c r="H1442" s="85">
        <f>STATS1003B!H1443/1000</f>
        <v>285</v>
      </c>
      <c r="I1442" s="85">
        <f>STATS1003B!I1443/1000</f>
        <v>0</v>
      </c>
      <c r="J1442" s="85">
        <f>STATS1003B!J1443/1000</f>
        <v>285</v>
      </c>
      <c r="K1442" s="85">
        <f>STATS1003B!K1443/1000</f>
        <v>0</v>
      </c>
      <c r="L1442" s="85">
        <f>STATS1003B!L1443/1000</f>
        <v>0</v>
      </c>
      <c r="M1442" s="85">
        <f>STATS1003B!M1443/1000</f>
        <v>285</v>
      </c>
      <c r="N1442" s="85">
        <f>STATS1003B!N1443/1000</f>
        <v>0</v>
      </c>
      <c r="O1442" s="85">
        <f>STATS1003B!O1443/1000</f>
        <v>0</v>
      </c>
      <c r="P1442" s="85">
        <f>STATS1003B!P1443/1000</f>
        <v>0</v>
      </c>
      <c r="Q1442" s="85">
        <f>STATS1003B!Q1443/1000</f>
        <v>285</v>
      </c>
      <c r="R1442" s="85">
        <f>STATS1003B!R1443/1000</f>
        <v>0</v>
      </c>
      <c r="S1442" s="85">
        <f>STATS1003B!S1443/1000</f>
        <v>0</v>
      </c>
      <c r="T1442" s="85">
        <f>STATS1003B!T1443/1000</f>
        <v>0</v>
      </c>
      <c r="U1442" s="85">
        <f>STATS1003B!U1443/1000</f>
        <v>0</v>
      </c>
      <c r="V1442" s="85">
        <f>STATS1003B!V1443/1000</f>
        <v>285</v>
      </c>
      <c r="W1442" s="85">
        <f>STATS1003B!W1443/1000</f>
        <v>0</v>
      </c>
      <c r="X1442" s="85">
        <f t="shared" si="169"/>
        <v>285</v>
      </c>
      <c r="Y1442" s="85">
        <f>STATS1003B!Y1443/1000</f>
        <v>0</v>
      </c>
      <c r="Z1442" s="85">
        <f t="shared" si="172"/>
        <v>0</v>
      </c>
      <c r="AA1442" s="69">
        <f>STATS1003B!AA1443/1000</f>
        <v>285</v>
      </c>
      <c r="AB1442" s="69">
        <f>STATS1003B!AB1443/1000</f>
        <v>0</v>
      </c>
    </row>
    <row r="1443" spans="1:28" hidden="1" x14ac:dyDescent="0.3">
      <c r="A1443" s="117"/>
      <c r="C1443" s="68" t="s">
        <v>733</v>
      </c>
      <c r="D1443" s="87" t="s">
        <v>54</v>
      </c>
      <c r="E1443" s="85">
        <f>STATS1003B!E1444/1000</f>
        <v>1608.61</v>
      </c>
      <c r="F1443" s="85">
        <f>STATS1003B!F1444/1000</f>
        <v>1608.61</v>
      </c>
      <c r="G1443" s="85">
        <f>STATS1003B!G1444/1000</f>
        <v>0</v>
      </c>
      <c r="H1443" s="85">
        <f>STATS1003B!H1444/1000</f>
        <v>1608.61</v>
      </c>
      <c r="I1443" s="85">
        <f>STATS1003B!I1444/1000</f>
        <v>0</v>
      </c>
      <c r="J1443" s="85">
        <f>STATS1003B!J1444/1000</f>
        <v>1608.61</v>
      </c>
      <c r="K1443" s="85">
        <f>STATS1003B!K1444/1000</f>
        <v>0</v>
      </c>
      <c r="L1443" s="85">
        <f>STATS1003B!L1444/1000</f>
        <v>0</v>
      </c>
      <c r="M1443" s="85">
        <f>STATS1003B!M1444/1000</f>
        <v>1608.61</v>
      </c>
      <c r="N1443" s="85">
        <f>STATS1003B!N1444/1000</f>
        <v>0</v>
      </c>
      <c r="O1443" s="85">
        <f>STATS1003B!O1444/1000</f>
        <v>0</v>
      </c>
      <c r="P1443" s="85">
        <f>STATS1003B!P1444/1000</f>
        <v>0</v>
      </c>
      <c r="Q1443" s="85">
        <f>STATS1003B!Q1444/1000</f>
        <v>1608.61</v>
      </c>
      <c r="R1443" s="85">
        <f>STATS1003B!R1444/1000</f>
        <v>0</v>
      </c>
      <c r="S1443" s="85">
        <f>STATS1003B!S1444/1000</f>
        <v>0</v>
      </c>
      <c r="T1443" s="85">
        <f>STATS1003B!T1444/1000</f>
        <v>0</v>
      </c>
      <c r="U1443" s="85">
        <f>STATS1003B!U1444/1000</f>
        <v>0</v>
      </c>
      <c r="V1443" s="85">
        <f>STATS1003B!V1444/1000</f>
        <v>1608.61</v>
      </c>
      <c r="W1443" s="85">
        <f>STATS1003B!W1444/1000</f>
        <v>0</v>
      </c>
      <c r="X1443" s="85">
        <f t="shared" si="169"/>
        <v>1608.61</v>
      </c>
      <c r="Y1443" s="85">
        <f>STATS1003B!Y1444/1000</f>
        <v>0</v>
      </c>
      <c r="Z1443" s="85">
        <f t="shared" si="172"/>
        <v>0</v>
      </c>
      <c r="AA1443" s="69">
        <f>STATS1003B!AA1444/1000</f>
        <v>1608.61</v>
      </c>
      <c r="AB1443" s="69">
        <f>STATS1003B!AB1444/1000</f>
        <v>0</v>
      </c>
    </row>
    <row r="1444" spans="1:28" hidden="1" x14ac:dyDescent="0.3">
      <c r="A1444" s="117"/>
      <c r="C1444" s="68" t="s">
        <v>733</v>
      </c>
      <c r="D1444" s="87" t="s">
        <v>54</v>
      </c>
      <c r="E1444" s="85">
        <f>STATS1003B!E1445/1000</f>
        <v>0</v>
      </c>
      <c r="F1444" s="85">
        <f>STATS1003B!F1445/1000</f>
        <v>0</v>
      </c>
      <c r="G1444" s="85">
        <f>STATS1003B!G1445/1000</f>
        <v>0</v>
      </c>
      <c r="H1444" s="85">
        <f>STATS1003B!H1445/1000</f>
        <v>0</v>
      </c>
      <c r="I1444" s="85">
        <f>STATS1003B!I1445/1000</f>
        <v>0</v>
      </c>
      <c r="J1444" s="85">
        <f>STATS1003B!J1445/1000</f>
        <v>0</v>
      </c>
      <c r="K1444" s="85">
        <f>STATS1003B!K1445/1000</f>
        <v>0</v>
      </c>
      <c r="L1444" s="85">
        <f>STATS1003B!L1445/1000</f>
        <v>0</v>
      </c>
      <c r="M1444" s="85">
        <f>STATS1003B!M1445/1000</f>
        <v>0</v>
      </c>
      <c r="N1444" s="85">
        <f>STATS1003B!N1445/1000</f>
        <v>0</v>
      </c>
      <c r="O1444" s="85">
        <f>STATS1003B!O1445/1000</f>
        <v>0</v>
      </c>
      <c r="P1444" s="85">
        <f>STATS1003B!P1445/1000</f>
        <v>0</v>
      </c>
      <c r="Q1444" s="85">
        <f>STATS1003B!Q1445/1000</f>
        <v>0</v>
      </c>
      <c r="R1444" s="85">
        <f>STATS1003B!R1445/1000</f>
        <v>0</v>
      </c>
      <c r="S1444" s="85">
        <f>STATS1003B!S1445/1000</f>
        <v>0</v>
      </c>
      <c r="T1444" s="85">
        <f>STATS1003B!T1445/1000</f>
        <v>0</v>
      </c>
      <c r="U1444" s="85">
        <f>STATS1003B!U1445/1000</f>
        <v>0</v>
      </c>
      <c r="V1444" s="85">
        <f>STATS1003B!V1445/1000</f>
        <v>0</v>
      </c>
      <c r="W1444" s="85">
        <f>STATS1003B!W1445/1000</f>
        <v>0</v>
      </c>
      <c r="X1444" s="85">
        <f t="shared" si="169"/>
        <v>0</v>
      </c>
      <c r="Y1444" s="85">
        <f>STATS1003B!Y1445/1000</f>
        <v>0</v>
      </c>
      <c r="Z1444" s="85">
        <f t="shared" si="172"/>
        <v>0</v>
      </c>
      <c r="AA1444" s="69">
        <f>STATS1003B!AA1445/1000</f>
        <v>0</v>
      </c>
      <c r="AB1444" s="69">
        <f>STATS1003B!AB1445/1000</f>
        <v>0</v>
      </c>
    </row>
    <row r="1445" spans="1:28" hidden="1" x14ac:dyDescent="0.3">
      <c r="A1445" s="117"/>
      <c r="C1445" s="68" t="s">
        <v>545</v>
      </c>
      <c r="D1445" s="87" t="s">
        <v>54</v>
      </c>
      <c r="E1445" s="85">
        <f>STATS1003B!E1446/1000</f>
        <v>1953.989</v>
      </c>
      <c r="F1445" s="85">
        <f>STATS1003B!F1446/1000</f>
        <v>0</v>
      </c>
      <c r="G1445" s="85">
        <f>STATS1003B!G1446/1000</f>
        <v>0</v>
      </c>
      <c r="H1445" s="85">
        <f>STATS1003B!H1446/1000</f>
        <v>0</v>
      </c>
      <c r="I1445" s="85">
        <f>STATS1003B!I1446/1000</f>
        <v>0</v>
      </c>
      <c r="J1445" s="85">
        <f>STATS1003B!J1446/1000</f>
        <v>0</v>
      </c>
      <c r="K1445" s="85">
        <f>STATS1003B!K1446/1000</f>
        <v>1953.989</v>
      </c>
      <c r="L1445" s="85">
        <f>STATS1003B!L1446/1000</f>
        <v>0</v>
      </c>
      <c r="M1445" s="85">
        <f>STATS1003B!M1446/1000</f>
        <v>0</v>
      </c>
      <c r="N1445" s="85">
        <f>STATS1003B!N1446/1000</f>
        <v>1953.989</v>
      </c>
      <c r="O1445" s="85">
        <f>STATS1003B!O1446/1000</f>
        <v>0</v>
      </c>
      <c r="P1445" s="85">
        <f>STATS1003B!P1446/1000</f>
        <v>1953.989</v>
      </c>
      <c r="Q1445" s="85">
        <f>STATS1003B!Q1446/1000</f>
        <v>0</v>
      </c>
      <c r="R1445" s="85">
        <f>STATS1003B!R1446/1000</f>
        <v>0</v>
      </c>
      <c r="S1445" s="85">
        <f>STATS1003B!S1446/1000</f>
        <v>0</v>
      </c>
      <c r="T1445" s="85">
        <f>STATS1003B!T1446/1000</f>
        <v>0</v>
      </c>
      <c r="U1445" s="85">
        <f>STATS1003B!U1446/1000</f>
        <v>1953.989</v>
      </c>
      <c r="V1445" s="85">
        <f>STATS1003B!V1446/1000</f>
        <v>1953.989</v>
      </c>
      <c r="W1445" s="85">
        <f>STATS1003B!W1446/1000</f>
        <v>0</v>
      </c>
      <c r="X1445" s="85">
        <f t="shared" si="169"/>
        <v>1953.989</v>
      </c>
      <c r="Y1445" s="85">
        <f>STATS1003B!Y1446/1000</f>
        <v>0</v>
      </c>
      <c r="Z1445" s="85">
        <f t="shared" si="172"/>
        <v>0</v>
      </c>
      <c r="AA1445" s="69">
        <f>STATS1003B!AA1446/1000</f>
        <v>1953.989</v>
      </c>
      <c r="AB1445" s="69">
        <f>STATS1003B!AB1446/1000</f>
        <v>0</v>
      </c>
    </row>
    <row r="1446" spans="1:28" hidden="1" x14ac:dyDescent="0.3">
      <c r="A1446" s="117"/>
      <c r="C1446" s="68" t="s">
        <v>612</v>
      </c>
      <c r="D1446" s="87" t="s">
        <v>85</v>
      </c>
      <c r="E1446" s="85">
        <f>STATS1003B!E1447/1000</f>
        <v>125.68300000000001</v>
      </c>
      <c r="F1446" s="85">
        <f>STATS1003B!F1447/1000</f>
        <v>125.68300000000001</v>
      </c>
      <c r="G1446" s="85">
        <f>STATS1003B!G1447/1000</f>
        <v>0</v>
      </c>
      <c r="H1446" s="85">
        <f>STATS1003B!H1447/1000</f>
        <v>125.68300000000001</v>
      </c>
      <c r="I1446" s="85">
        <f>STATS1003B!I1447/1000</f>
        <v>0</v>
      </c>
      <c r="J1446" s="85">
        <f>STATS1003B!J1447/1000</f>
        <v>125.68300000000001</v>
      </c>
      <c r="K1446" s="85">
        <f>STATS1003B!K1447/1000</f>
        <v>0</v>
      </c>
      <c r="L1446" s="85">
        <f>STATS1003B!L1447/1000</f>
        <v>0</v>
      </c>
      <c r="M1446" s="85">
        <f>STATS1003B!M1447/1000</f>
        <v>125.68300000000001</v>
      </c>
      <c r="N1446" s="85">
        <f>STATS1003B!N1447/1000</f>
        <v>0</v>
      </c>
      <c r="O1446" s="85">
        <f>STATS1003B!O1447/1000</f>
        <v>0</v>
      </c>
      <c r="P1446" s="85">
        <f>STATS1003B!P1447/1000</f>
        <v>0</v>
      </c>
      <c r="Q1446" s="85">
        <f>STATS1003B!Q1447/1000</f>
        <v>125.68300000000001</v>
      </c>
      <c r="R1446" s="85">
        <f>STATS1003B!R1447/1000</f>
        <v>0</v>
      </c>
      <c r="S1446" s="85">
        <f>STATS1003B!S1447/1000</f>
        <v>0</v>
      </c>
      <c r="T1446" s="85">
        <f>STATS1003B!T1447/1000</f>
        <v>0</v>
      </c>
      <c r="U1446" s="85">
        <f>STATS1003B!U1447/1000</f>
        <v>0</v>
      </c>
      <c r="V1446" s="85">
        <f>STATS1003B!V1447/1000</f>
        <v>125.68300000000001</v>
      </c>
      <c r="W1446" s="85">
        <f>STATS1003B!W1447/1000</f>
        <v>0</v>
      </c>
      <c r="X1446" s="85">
        <f t="shared" si="169"/>
        <v>125.68300000000001</v>
      </c>
      <c r="Y1446" s="85">
        <f>STATS1003B!Y1447/1000</f>
        <v>0</v>
      </c>
      <c r="Z1446" s="85">
        <f t="shared" si="172"/>
        <v>0</v>
      </c>
      <c r="AA1446" s="69">
        <f>STATS1003B!AA1447/1000</f>
        <v>125.68300000000001</v>
      </c>
      <c r="AB1446" s="69">
        <f>STATS1003B!AB1447/1000</f>
        <v>0</v>
      </c>
    </row>
    <row r="1447" spans="1:28" hidden="1" x14ac:dyDescent="0.3">
      <c r="A1447" s="117"/>
      <c r="C1447" s="68" t="s">
        <v>667</v>
      </c>
      <c r="D1447" s="87" t="s">
        <v>85</v>
      </c>
      <c r="E1447" s="85">
        <f>STATS1003B!E1448/1000</f>
        <v>340</v>
      </c>
      <c r="F1447" s="85">
        <f>STATS1003B!F1448/1000</f>
        <v>340</v>
      </c>
      <c r="G1447" s="85">
        <f>STATS1003B!G1448/1000</f>
        <v>0</v>
      </c>
      <c r="H1447" s="85">
        <f>STATS1003B!H1448/1000</f>
        <v>340</v>
      </c>
      <c r="I1447" s="85">
        <f>STATS1003B!I1448/1000</f>
        <v>0</v>
      </c>
      <c r="J1447" s="85">
        <f>STATS1003B!J1448/1000</f>
        <v>340</v>
      </c>
      <c r="K1447" s="85">
        <f>STATS1003B!K1448/1000</f>
        <v>0</v>
      </c>
      <c r="L1447" s="85">
        <f>STATS1003B!L1448/1000</f>
        <v>0</v>
      </c>
      <c r="M1447" s="85">
        <f>STATS1003B!M1448/1000</f>
        <v>340</v>
      </c>
      <c r="N1447" s="85">
        <f>STATS1003B!N1448/1000</f>
        <v>0</v>
      </c>
      <c r="O1447" s="85">
        <f>STATS1003B!O1448/1000</f>
        <v>0</v>
      </c>
      <c r="P1447" s="85">
        <f>STATS1003B!P1448/1000</f>
        <v>0</v>
      </c>
      <c r="Q1447" s="85">
        <f>STATS1003B!Q1448/1000</f>
        <v>340</v>
      </c>
      <c r="R1447" s="85">
        <f>STATS1003B!R1448/1000</f>
        <v>0</v>
      </c>
      <c r="S1447" s="85">
        <f>STATS1003B!S1448/1000</f>
        <v>0</v>
      </c>
      <c r="T1447" s="85">
        <f>STATS1003B!T1448/1000</f>
        <v>0</v>
      </c>
      <c r="U1447" s="85">
        <f>STATS1003B!U1448/1000</f>
        <v>0</v>
      </c>
      <c r="V1447" s="85">
        <f>STATS1003B!V1448/1000</f>
        <v>340</v>
      </c>
      <c r="W1447" s="85">
        <f>STATS1003B!W1448/1000</f>
        <v>0</v>
      </c>
      <c r="X1447" s="85">
        <f t="shared" si="169"/>
        <v>340</v>
      </c>
      <c r="Y1447" s="85">
        <f>STATS1003B!Y1448/1000</f>
        <v>0</v>
      </c>
      <c r="Z1447" s="85">
        <f t="shared" si="172"/>
        <v>0</v>
      </c>
      <c r="AA1447" s="69">
        <f>STATS1003B!AA1448/1000</f>
        <v>340</v>
      </c>
      <c r="AB1447" s="69">
        <f>STATS1003B!AB1448/1000</f>
        <v>0</v>
      </c>
    </row>
    <row r="1448" spans="1:28" hidden="1" x14ac:dyDescent="0.3">
      <c r="A1448" s="117"/>
      <c r="C1448" s="68" t="s">
        <v>734</v>
      </c>
      <c r="D1448" s="87" t="s">
        <v>85</v>
      </c>
      <c r="E1448" s="85">
        <f>STATS1003B!E1449/1000</f>
        <v>1599.0139999999999</v>
      </c>
      <c r="F1448" s="85">
        <f>STATS1003B!F1449/1000</f>
        <v>1599.0139999999999</v>
      </c>
      <c r="G1448" s="85">
        <f>STATS1003B!G1449/1000</f>
        <v>0</v>
      </c>
      <c r="H1448" s="85">
        <f>STATS1003B!H1449/1000</f>
        <v>1599.0139999999999</v>
      </c>
      <c r="I1448" s="85">
        <f>STATS1003B!I1449/1000</f>
        <v>0</v>
      </c>
      <c r="J1448" s="85">
        <f>STATS1003B!J1449/1000</f>
        <v>1599.0139999999999</v>
      </c>
      <c r="K1448" s="85">
        <f>STATS1003B!K1449/1000</f>
        <v>0</v>
      </c>
      <c r="L1448" s="85">
        <f>STATS1003B!L1449/1000</f>
        <v>0</v>
      </c>
      <c r="M1448" s="85">
        <f>STATS1003B!M1449/1000</f>
        <v>1599.0139999999999</v>
      </c>
      <c r="N1448" s="85">
        <f>STATS1003B!N1449/1000</f>
        <v>0</v>
      </c>
      <c r="O1448" s="85">
        <f>STATS1003B!O1449/1000</f>
        <v>0</v>
      </c>
      <c r="P1448" s="85">
        <f>STATS1003B!P1449/1000</f>
        <v>0</v>
      </c>
      <c r="Q1448" s="85">
        <f>STATS1003B!Q1449/1000</f>
        <v>1599.0139999999999</v>
      </c>
      <c r="R1448" s="85">
        <f>STATS1003B!R1449/1000</f>
        <v>0</v>
      </c>
      <c r="S1448" s="85">
        <f>STATS1003B!S1449/1000</f>
        <v>0</v>
      </c>
      <c r="T1448" s="85">
        <f>STATS1003B!T1449/1000</f>
        <v>0</v>
      </c>
      <c r="U1448" s="85">
        <f>STATS1003B!U1449/1000</f>
        <v>0</v>
      </c>
      <c r="V1448" s="85">
        <f>STATS1003B!V1449/1000</f>
        <v>1599.0139999999999</v>
      </c>
      <c r="W1448" s="85">
        <f>STATS1003B!W1449/1000</f>
        <v>0</v>
      </c>
      <c r="X1448" s="85">
        <f t="shared" si="169"/>
        <v>1599.0139999999999</v>
      </c>
      <c r="Y1448" s="85">
        <f>STATS1003B!Y1449/1000</f>
        <v>0</v>
      </c>
      <c r="Z1448" s="85">
        <f t="shared" si="172"/>
        <v>0</v>
      </c>
      <c r="AA1448" s="69">
        <f>STATS1003B!AA1449/1000</f>
        <v>1599.0139999999999</v>
      </c>
      <c r="AB1448" s="69">
        <f>STATS1003B!AB1449/1000</f>
        <v>0</v>
      </c>
    </row>
    <row r="1449" spans="1:28" hidden="1" x14ac:dyDescent="0.3">
      <c r="A1449" s="117"/>
      <c r="C1449" s="68" t="s">
        <v>535</v>
      </c>
      <c r="D1449" s="87" t="s">
        <v>128</v>
      </c>
      <c r="E1449" s="85">
        <f>STATS1003B!E1450/1000</f>
        <v>3480.0120000000002</v>
      </c>
      <c r="F1449" s="85">
        <f>STATS1003B!F1450/1000</f>
        <v>3480.0120000000002</v>
      </c>
      <c r="G1449" s="85">
        <f>STATS1003B!G1450/1000</f>
        <v>0</v>
      </c>
      <c r="H1449" s="85">
        <f>STATS1003B!H1450/1000</f>
        <v>3480.0120000000002</v>
      </c>
      <c r="I1449" s="85">
        <f>STATS1003B!I1450/1000</f>
        <v>0</v>
      </c>
      <c r="J1449" s="85">
        <f>STATS1003B!J1450/1000</f>
        <v>3480.0120000000002</v>
      </c>
      <c r="K1449" s="85">
        <f>STATS1003B!K1450/1000</f>
        <v>0</v>
      </c>
      <c r="L1449" s="85">
        <f>STATS1003B!L1450/1000</f>
        <v>0</v>
      </c>
      <c r="M1449" s="85">
        <f>STATS1003B!M1450/1000</f>
        <v>3480.0120000000002</v>
      </c>
      <c r="N1449" s="85">
        <f>STATS1003B!N1450/1000</f>
        <v>0</v>
      </c>
      <c r="O1449" s="85">
        <f>STATS1003B!O1450/1000</f>
        <v>0</v>
      </c>
      <c r="P1449" s="85">
        <f>STATS1003B!P1450/1000</f>
        <v>0</v>
      </c>
      <c r="Q1449" s="85">
        <f>STATS1003B!Q1450/1000</f>
        <v>3480.0120000000002</v>
      </c>
      <c r="R1449" s="85">
        <f>STATS1003B!R1450/1000</f>
        <v>0</v>
      </c>
      <c r="S1449" s="85">
        <f>STATS1003B!S1450/1000</f>
        <v>0</v>
      </c>
      <c r="T1449" s="85">
        <f>STATS1003B!T1450/1000</f>
        <v>0</v>
      </c>
      <c r="U1449" s="85">
        <f>STATS1003B!U1450/1000</f>
        <v>0</v>
      </c>
      <c r="V1449" s="85">
        <f>STATS1003B!V1450/1000</f>
        <v>3480.0120000000002</v>
      </c>
      <c r="W1449" s="85">
        <f>STATS1003B!W1450/1000</f>
        <v>0</v>
      </c>
      <c r="X1449" s="85">
        <f t="shared" si="169"/>
        <v>3480.0120000000002</v>
      </c>
      <c r="Y1449" s="85">
        <f>STATS1003B!Y1450/1000</f>
        <v>0</v>
      </c>
      <c r="Z1449" s="85">
        <f t="shared" si="172"/>
        <v>0</v>
      </c>
      <c r="AA1449" s="69">
        <f>STATS1003B!AA1450/1000</f>
        <v>3480.0120000000002</v>
      </c>
      <c r="AB1449" s="69">
        <f>STATS1003B!AB1450/1000</f>
        <v>0</v>
      </c>
    </row>
    <row r="1450" spans="1:28" hidden="1" x14ac:dyDescent="0.3">
      <c r="A1450" s="117"/>
      <c r="C1450" s="68" t="s">
        <v>535</v>
      </c>
      <c r="D1450" s="87" t="s">
        <v>88</v>
      </c>
      <c r="E1450" s="85">
        <f>STATS1003B!E1451/1000</f>
        <v>1512.63168</v>
      </c>
      <c r="F1450" s="85">
        <f>STATS1003B!F1451/1000</f>
        <v>1512.6316800000002</v>
      </c>
      <c r="G1450" s="85">
        <f>STATS1003B!G1451/1000</f>
        <v>0</v>
      </c>
      <c r="H1450" s="85">
        <f>STATS1003B!H1451/1000</f>
        <v>1512.6316800000002</v>
      </c>
      <c r="I1450" s="85">
        <f>STATS1003B!I1451/1000</f>
        <v>0</v>
      </c>
      <c r="J1450" s="85">
        <f>STATS1003B!J1451/1000</f>
        <v>1512.6316800000002</v>
      </c>
      <c r="K1450" s="85">
        <f>STATS1003B!K1451/1000</f>
        <v>0</v>
      </c>
      <c r="L1450" s="85">
        <f>STATS1003B!L1451/1000</f>
        <v>0</v>
      </c>
      <c r="M1450" s="85">
        <f>STATS1003B!M1451/1000</f>
        <v>1512.6316800000002</v>
      </c>
      <c r="N1450" s="85">
        <f>STATS1003B!N1451/1000</f>
        <v>0</v>
      </c>
      <c r="O1450" s="85">
        <f>STATS1003B!O1451/1000</f>
        <v>0</v>
      </c>
      <c r="P1450" s="85">
        <f>STATS1003B!P1451/1000</f>
        <v>0</v>
      </c>
      <c r="Q1450" s="85">
        <f>STATS1003B!Q1451/1000</f>
        <v>1512.63168</v>
      </c>
      <c r="R1450" s="85">
        <f>STATS1003B!R1451/1000</f>
        <v>0</v>
      </c>
      <c r="S1450" s="85">
        <f>STATS1003B!S1451/1000</f>
        <v>0</v>
      </c>
      <c r="T1450" s="85">
        <f>STATS1003B!T1451/1000</f>
        <v>0</v>
      </c>
      <c r="U1450" s="85">
        <f>STATS1003B!U1451/1000</f>
        <v>0</v>
      </c>
      <c r="V1450" s="85">
        <f>STATS1003B!V1451/1000</f>
        <v>1512.6316800000002</v>
      </c>
      <c r="W1450" s="85">
        <f>STATS1003B!W1451/1000</f>
        <v>0</v>
      </c>
      <c r="X1450" s="85">
        <f t="shared" si="169"/>
        <v>1512.6316800000002</v>
      </c>
      <c r="Y1450" s="85">
        <f>STATS1003B!Y1451/1000</f>
        <v>0</v>
      </c>
      <c r="Z1450" s="85">
        <f t="shared" si="172"/>
        <v>0</v>
      </c>
      <c r="AA1450" s="69">
        <f>STATS1003B!AA1451/1000</f>
        <v>1512.6316800000002</v>
      </c>
      <c r="AB1450" s="69">
        <f>STATS1003B!AB1451/1000</f>
        <v>0</v>
      </c>
    </row>
    <row r="1451" spans="1:28" hidden="1" x14ac:dyDescent="0.3">
      <c r="A1451" s="117"/>
      <c r="B1451" s="68" t="s">
        <v>642</v>
      </c>
      <c r="C1451" s="68" t="s">
        <v>535</v>
      </c>
      <c r="D1451" s="87" t="s">
        <v>108</v>
      </c>
      <c r="E1451" s="85">
        <f>STATS1003B!E1452/1000</f>
        <v>1039.2265500000001</v>
      </c>
      <c r="F1451" s="85">
        <f>STATS1003B!F1452/1000</f>
        <v>1039.2265500000001</v>
      </c>
      <c r="G1451" s="85">
        <f>STATS1003B!G1452/1000</f>
        <v>0</v>
      </c>
      <c r="H1451" s="85">
        <f>STATS1003B!H1452/1000</f>
        <v>1039.2265500000001</v>
      </c>
      <c r="I1451" s="85">
        <f>STATS1003B!I1452/1000</f>
        <v>0</v>
      </c>
      <c r="J1451" s="85">
        <f>STATS1003B!J1452/1000</f>
        <v>1039.2265500000001</v>
      </c>
      <c r="K1451" s="85">
        <f>STATS1003B!K1452/1000</f>
        <v>0</v>
      </c>
      <c r="L1451" s="85">
        <f>STATS1003B!L1452/1000</f>
        <v>0</v>
      </c>
      <c r="M1451" s="85">
        <f>STATS1003B!M1452/1000</f>
        <v>1039.2265500000001</v>
      </c>
      <c r="N1451" s="85">
        <f>STATS1003B!N1452/1000</f>
        <v>0</v>
      </c>
      <c r="O1451" s="85">
        <f>STATS1003B!O1452/1000</f>
        <v>0</v>
      </c>
      <c r="P1451" s="85">
        <f>STATS1003B!P1452/1000</f>
        <v>0</v>
      </c>
      <c r="Q1451" s="85">
        <f>STATS1003B!Q1452/1000</f>
        <v>1039.2265500000001</v>
      </c>
      <c r="R1451" s="85">
        <f>STATS1003B!R1452/1000</f>
        <v>0</v>
      </c>
      <c r="S1451" s="85">
        <f>STATS1003B!S1452/1000</f>
        <v>0</v>
      </c>
      <c r="T1451" s="85">
        <f>STATS1003B!T1452/1000</f>
        <v>0</v>
      </c>
      <c r="U1451" s="85">
        <f>STATS1003B!U1452/1000</f>
        <v>0</v>
      </c>
      <c r="V1451" s="85">
        <f>STATS1003B!V1452/1000</f>
        <v>1039.2265500000001</v>
      </c>
      <c r="W1451" s="85">
        <f>STATS1003B!W1452/1000</f>
        <v>0</v>
      </c>
      <c r="X1451" s="85">
        <f t="shared" si="169"/>
        <v>1039.2265500000001</v>
      </c>
      <c r="Y1451" s="85">
        <f>STATS1003B!Y1452/1000</f>
        <v>0</v>
      </c>
      <c r="Z1451" s="85">
        <f t="shared" si="172"/>
        <v>0</v>
      </c>
      <c r="AA1451" s="69">
        <f>STATS1003B!AA1452/1000</f>
        <v>1039.2265500000001</v>
      </c>
      <c r="AB1451" s="69">
        <f>STATS1003B!AB1452/1000</f>
        <v>0</v>
      </c>
    </row>
    <row r="1452" spans="1:28" hidden="1" x14ac:dyDescent="0.3">
      <c r="A1452" s="117"/>
      <c r="C1452" s="68" t="s">
        <v>535</v>
      </c>
      <c r="D1452" s="87" t="s">
        <v>58</v>
      </c>
      <c r="E1452" s="85">
        <f>STATS1003B!E1453/1000</f>
        <v>1659.191</v>
      </c>
      <c r="F1452" s="85">
        <f>STATS1003B!F1453/1000</f>
        <v>1659.191</v>
      </c>
      <c r="G1452" s="85">
        <f>STATS1003B!G1453/1000</f>
        <v>0</v>
      </c>
      <c r="H1452" s="85">
        <f>STATS1003B!H1453/1000</f>
        <v>1659.191</v>
      </c>
      <c r="I1452" s="85">
        <f>STATS1003B!I1453/1000</f>
        <v>0</v>
      </c>
      <c r="J1452" s="85">
        <f>STATS1003B!J1453/1000</f>
        <v>1659.191</v>
      </c>
      <c r="K1452" s="85">
        <f>STATS1003B!K1453/1000</f>
        <v>0</v>
      </c>
      <c r="L1452" s="85">
        <f>STATS1003B!L1453/1000</f>
        <v>0</v>
      </c>
      <c r="M1452" s="85">
        <f>STATS1003B!M1453/1000</f>
        <v>1659.191</v>
      </c>
      <c r="N1452" s="85">
        <f>STATS1003B!N1453/1000</f>
        <v>0</v>
      </c>
      <c r="O1452" s="85">
        <f>STATS1003B!O1453/1000</f>
        <v>0</v>
      </c>
      <c r="P1452" s="85">
        <f>STATS1003B!P1453/1000</f>
        <v>0</v>
      </c>
      <c r="Q1452" s="85">
        <f>STATS1003B!Q1453/1000</f>
        <v>1659.191</v>
      </c>
      <c r="R1452" s="85">
        <f>STATS1003B!R1453/1000</f>
        <v>0</v>
      </c>
      <c r="S1452" s="85">
        <f>STATS1003B!S1453/1000</f>
        <v>0</v>
      </c>
      <c r="T1452" s="85">
        <f>STATS1003B!T1453/1000</f>
        <v>0</v>
      </c>
      <c r="U1452" s="85">
        <f>STATS1003B!U1453/1000</f>
        <v>0</v>
      </c>
      <c r="V1452" s="85">
        <f>STATS1003B!V1453/1000</f>
        <v>1659.191</v>
      </c>
      <c r="W1452" s="85">
        <f>STATS1003B!W1453/1000</f>
        <v>0</v>
      </c>
      <c r="X1452" s="85">
        <f t="shared" si="169"/>
        <v>1659.191</v>
      </c>
      <c r="Y1452" s="85">
        <f>STATS1003B!Y1453/1000</f>
        <v>0</v>
      </c>
      <c r="Z1452" s="85">
        <f t="shared" si="172"/>
        <v>0</v>
      </c>
      <c r="AA1452" s="69">
        <f>STATS1003B!AA1453/1000</f>
        <v>1659.191</v>
      </c>
      <c r="AB1452" s="69">
        <f>STATS1003B!AB1453/1000</f>
        <v>0</v>
      </c>
    </row>
    <row r="1453" spans="1:28" hidden="1" x14ac:dyDescent="0.3">
      <c r="A1453" s="117"/>
      <c r="C1453" s="68" t="s">
        <v>735</v>
      </c>
      <c r="D1453" s="88" t="s">
        <v>60</v>
      </c>
      <c r="E1453" s="85">
        <f>STATS1003B!E1454/1000</f>
        <v>1461.24422</v>
      </c>
      <c r="F1453" s="85">
        <f>STATS1003B!F1454/1000</f>
        <v>1461.24422</v>
      </c>
      <c r="G1453" s="85">
        <f>STATS1003B!G1454/1000</f>
        <v>0</v>
      </c>
      <c r="H1453" s="85">
        <f>STATS1003B!H1454/1000</f>
        <v>1461.24422</v>
      </c>
      <c r="I1453" s="85">
        <f>STATS1003B!I1454/1000</f>
        <v>0</v>
      </c>
      <c r="J1453" s="85">
        <f>STATS1003B!J1454/1000</f>
        <v>1461.24422</v>
      </c>
      <c r="K1453" s="85">
        <f>STATS1003B!K1454/1000</f>
        <v>0</v>
      </c>
      <c r="L1453" s="85">
        <f>STATS1003B!L1454/1000</f>
        <v>0</v>
      </c>
      <c r="M1453" s="85">
        <f>STATS1003B!M1454/1000</f>
        <v>1461.24422</v>
      </c>
      <c r="N1453" s="85">
        <f>STATS1003B!N1454/1000</f>
        <v>0</v>
      </c>
      <c r="O1453" s="85">
        <f>STATS1003B!O1454/1000</f>
        <v>0</v>
      </c>
      <c r="P1453" s="85">
        <f>STATS1003B!P1454/1000</f>
        <v>0</v>
      </c>
      <c r="Q1453" s="85">
        <f>STATS1003B!Q1454/1000</f>
        <v>1461.24422</v>
      </c>
      <c r="R1453" s="85">
        <f>STATS1003B!R1454/1000</f>
        <v>0</v>
      </c>
      <c r="S1453" s="85">
        <f>STATS1003B!S1454/1000</f>
        <v>0</v>
      </c>
      <c r="T1453" s="85">
        <f>STATS1003B!T1454/1000</f>
        <v>0</v>
      </c>
      <c r="U1453" s="85">
        <f>STATS1003B!U1454/1000</f>
        <v>0</v>
      </c>
      <c r="V1453" s="85">
        <f>STATS1003B!V1454/1000</f>
        <v>1461.24422</v>
      </c>
      <c r="W1453" s="85">
        <f>STATS1003B!W1454/1000</f>
        <v>0</v>
      </c>
      <c r="X1453" s="85">
        <f t="shared" si="169"/>
        <v>1461.24422</v>
      </c>
      <c r="Y1453" s="85">
        <f>STATS1003B!Y1454/1000</f>
        <v>0</v>
      </c>
      <c r="Z1453" s="85">
        <f t="shared" si="172"/>
        <v>0</v>
      </c>
      <c r="AA1453" s="69">
        <f>STATS1003B!AA1454/1000</f>
        <v>1461.24422</v>
      </c>
      <c r="AB1453" s="69">
        <f>STATS1003B!AB1454/1000</f>
        <v>0</v>
      </c>
    </row>
    <row r="1454" spans="1:28" hidden="1" x14ac:dyDescent="0.3">
      <c r="A1454" s="117"/>
      <c r="C1454" s="68" t="s">
        <v>535</v>
      </c>
      <c r="D1454" s="88" t="s">
        <v>60</v>
      </c>
      <c r="E1454" s="85">
        <f>STATS1003B!E1455/1000</f>
        <v>1441.2860000000001</v>
      </c>
      <c r="F1454" s="85">
        <f>STATS1003B!F1455/1000</f>
        <v>1441.2860000000001</v>
      </c>
      <c r="G1454" s="85">
        <f>STATS1003B!G1455/1000</f>
        <v>0</v>
      </c>
      <c r="H1454" s="85">
        <f>STATS1003B!H1455/1000</f>
        <v>1441.2860000000001</v>
      </c>
      <c r="I1454" s="85">
        <f>STATS1003B!I1455/1000</f>
        <v>0</v>
      </c>
      <c r="J1454" s="85">
        <f>STATS1003B!J1455/1000</f>
        <v>1441.2860000000001</v>
      </c>
      <c r="K1454" s="85">
        <f>STATS1003B!K1455/1000</f>
        <v>0</v>
      </c>
      <c r="L1454" s="85">
        <f>STATS1003B!L1455/1000</f>
        <v>0</v>
      </c>
      <c r="M1454" s="85">
        <f>STATS1003B!M1455/1000</f>
        <v>1441.2860000000001</v>
      </c>
      <c r="N1454" s="85">
        <f>STATS1003B!N1455/1000</f>
        <v>0</v>
      </c>
      <c r="O1454" s="85">
        <f>STATS1003B!O1455/1000</f>
        <v>0</v>
      </c>
      <c r="P1454" s="85">
        <f>STATS1003B!P1455/1000</f>
        <v>0</v>
      </c>
      <c r="Q1454" s="85">
        <f>STATS1003B!Q1455/1000</f>
        <v>1441.2860000000001</v>
      </c>
      <c r="R1454" s="85">
        <f>STATS1003B!R1455/1000</f>
        <v>0</v>
      </c>
      <c r="S1454" s="85">
        <f>STATS1003B!S1455/1000</f>
        <v>0</v>
      </c>
      <c r="T1454" s="85">
        <f>STATS1003B!T1455/1000</f>
        <v>0</v>
      </c>
      <c r="U1454" s="85">
        <f>STATS1003B!U1455/1000</f>
        <v>0</v>
      </c>
      <c r="V1454" s="85">
        <f>STATS1003B!V1455/1000</f>
        <v>1441.2860000000001</v>
      </c>
      <c r="W1454" s="85">
        <f>STATS1003B!W1455/1000</f>
        <v>0</v>
      </c>
      <c r="X1454" s="85">
        <f t="shared" si="169"/>
        <v>1441.2860000000001</v>
      </c>
      <c r="Y1454" s="85">
        <f>STATS1003B!Y1455/1000</f>
        <v>0</v>
      </c>
      <c r="Z1454" s="85">
        <f t="shared" si="172"/>
        <v>0</v>
      </c>
      <c r="AA1454" s="69">
        <f>STATS1003B!AA1455/1000</f>
        <v>1441.2860000000001</v>
      </c>
      <c r="AB1454" s="69">
        <f>STATS1003B!AB1455/1000</f>
        <v>0</v>
      </c>
    </row>
    <row r="1455" spans="1:28" hidden="1" x14ac:dyDescent="0.3">
      <c r="A1455" s="117"/>
      <c r="C1455" s="71" t="s">
        <v>736</v>
      </c>
      <c r="D1455" s="88" t="s">
        <v>60</v>
      </c>
      <c r="E1455" s="85">
        <f>STATS1003B!E1456/1000</f>
        <v>5000</v>
      </c>
      <c r="F1455" s="85">
        <f>STATS1003B!F1456/1000</f>
        <v>5000</v>
      </c>
      <c r="G1455" s="85">
        <f>STATS1003B!G1456/1000</f>
        <v>0</v>
      </c>
      <c r="H1455" s="85">
        <f>STATS1003B!H1456/1000</f>
        <v>5000</v>
      </c>
      <c r="I1455" s="85">
        <f>STATS1003B!I1456/1000</f>
        <v>0</v>
      </c>
      <c r="J1455" s="85">
        <f>STATS1003B!J1456/1000</f>
        <v>5000</v>
      </c>
      <c r="K1455" s="85">
        <f>STATS1003B!K1456/1000</f>
        <v>0</v>
      </c>
      <c r="L1455" s="85">
        <f>STATS1003B!L1456/1000</f>
        <v>0</v>
      </c>
      <c r="M1455" s="85">
        <f>STATS1003B!M1456/1000</f>
        <v>5000</v>
      </c>
      <c r="N1455" s="85">
        <f>STATS1003B!N1456/1000</f>
        <v>0</v>
      </c>
      <c r="O1455" s="85">
        <f>STATS1003B!O1456/1000</f>
        <v>0</v>
      </c>
      <c r="P1455" s="85">
        <f>STATS1003B!P1456/1000</f>
        <v>0</v>
      </c>
      <c r="Q1455" s="85">
        <f>STATS1003B!Q1456/1000</f>
        <v>5000</v>
      </c>
      <c r="R1455" s="85">
        <f>STATS1003B!R1456/1000</f>
        <v>0</v>
      </c>
      <c r="S1455" s="85">
        <f>STATS1003B!S1456/1000</f>
        <v>0</v>
      </c>
      <c r="T1455" s="85">
        <f>STATS1003B!T1456/1000</f>
        <v>0</v>
      </c>
      <c r="U1455" s="85">
        <f>STATS1003B!U1456/1000</f>
        <v>0</v>
      </c>
      <c r="V1455" s="85">
        <f>STATS1003B!V1456/1000</f>
        <v>5000</v>
      </c>
      <c r="W1455" s="85">
        <f>STATS1003B!W1456/1000</f>
        <v>0</v>
      </c>
      <c r="X1455" s="85">
        <f t="shared" si="169"/>
        <v>5000</v>
      </c>
      <c r="Y1455" s="85">
        <f>STATS1003B!Y1456/1000</f>
        <v>0</v>
      </c>
      <c r="Z1455" s="85">
        <f t="shared" si="172"/>
        <v>0</v>
      </c>
      <c r="AA1455" s="69">
        <f>STATS1003B!AA1456/1000</f>
        <v>5000</v>
      </c>
      <c r="AB1455" s="69">
        <f>STATS1003B!AB1456/1000</f>
        <v>0</v>
      </c>
    </row>
    <row r="1456" spans="1:28" hidden="1" x14ac:dyDescent="0.3">
      <c r="A1456" s="117"/>
      <c r="C1456" s="68" t="s">
        <v>535</v>
      </c>
      <c r="D1456" s="88" t="s">
        <v>73</v>
      </c>
      <c r="E1456" s="85">
        <f>STATS1003B!E1457/1000</f>
        <v>945</v>
      </c>
      <c r="F1456" s="85">
        <f>STATS1003B!F1457/1000</f>
        <v>945</v>
      </c>
      <c r="G1456" s="85">
        <f>STATS1003B!G1457/1000</f>
        <v>0</v>
      </c>
      <c r="H1456" s="85">
        <f>STATS1003B!H1457/1000</f>
        <v>945</v>
      </c>
      <c r="I1456" s="85">
        <f>STATS1003B!I1457/1000</f>
        <v>0</v>
      </c>
      <c r="J1456" s="85">
        <f>STATS1003B!J1457/1000</f>
        <v>945</v>
      </c>
      <c r="K1456" s="85">
        <f>STATS1003B!K1457/1000</f>
        <v>0</v>
      </c>
      <c r="L1456" s="85">
        <f>STATS1003B!L1457/1000</f>
        <v>0</v>
      </c>
      <c r="M1456" s="85">
        <f>STATS1003B!M1457/1000</f>
        <v>945</v>
      </c>
      <c r="N1456" s="85">
        <f>STATS1003B!N1457/1000</f>
        <v>0</v>
      </c>
      <c r="O1456" s="85">
        <f>STATS1003B!O1457/1000</f>
        <v>0</v>
      </c>
      <c r="P1456" s="85">
        <f>STATS1003B!P1457/1000</f>
        <v>0</v>
      </c>
      <c r="Q1456" s="85">
        <f>STATS1003B!Q1457/1000</f>
        <v>945</v>
      </c>
      <c r="R1456" s="85">
        <f>STATS1003B!R1457/1000</f>
        <v>0</v>
      </c>
      <c r="S1456" s="85">
        <f>STATS1003B!S1457/1000</f>
        <v>0</v>
      </c>
      <c r="T1456" s="85">
        <f>STATS1003B!T1457/1000</f>
        <v>0</v>
      </c>
      <c r="U1456" s="85">
        <f>STATS1003B!U1457/1000</f>
        <v>0</v>
      </c>
      <c r="V1456" s="85">
        <f>STATS1003B!V1457/1000</f>
        <v>945</v>
      </c>
      <c r="W1456" s="85">
        <f>STATS1003B!W1457/1000</f>
        <v>0</v>
      </c>
      <c r="X1456" s="85">
        <f t="shared" si="169"/>
        <v>945</v>
      </c>
      <c r="Y1456" s="85">
        <f>STATS1003B!Y1457/1000</f>
        <v>0</v>
      </c>
      <c r="Z1456" s="85">
        <f t="shared" si="172"/>
        <v>0</v>
      </c>
      <c r="AA1456" s="69">
        <f>STATS1003B!AA1457/1000</f>
        <v>945</v>
      </c>
      <c r="AB1456" s="69">
        <f>STATS1003B!AB1457/1000</f>
        <v>0</v>
      </c>
    </row>
    <row r="1457" spans="1:28" hidden="1" x14ac:dyDescent="0.3">
      <c r="A1457" s="117"/>
      <c r="C1457" s="71" t="s">
        <v>737</v>
      </c>
      <c r="D1457" s="88" t="s">
        <v>73</v>
      </c>
      <c r="E1457" s="85">
        <f>STATS1003B!E1458/1000</f>
        <v>1260.7750000000001</v>
      </c>
      <c r="F1457" s="85">
        <f>STATS1003B!F1458/1000</f>
        <v>1260.7750000000001</v>
      </c>
      <c r="G1457" s="85">
        <f>STATS1003B!G1458/1000</f>
        <v>0</v>
      </c>
      <c r="H1457" s="85">
        <f>STATS1003B!H1458/1000</f>
        <v>1260.7750000000001</v>
      </c>
      <c r="I1457" s="85">
        <f>STATS1003B!I1458/1000</f>
        <v>0</v>
      </c>
      <c r="J1457" s="85">
        <f>STATS1003B!J1458/1000</f>
        <v>1260.7750000000001</v>
      </c>
      <c r="K1457" s="85">
        <f>STATS1003B!K1458/1000</f>
        <v>0</v>
      </c>
      <c r="L1457" s="85">
        <f>STATS1003B!L1458/1000</f>
        <v>0</v>
      </c>
      <c r="M1457" s="85">
        <f>STATS1003B!M1458/1000</f>
        <v>1260.7750000000001</v>
      </c>
      <c r="N1457" s="85">
        <f>STATS1003B!N1458/1000</f>
        <v>0</v>
      </c>
      <c r="O1457" s="85">
        <f>STATS1003B!O1458/1000</f>
        <v>0</v>
      </c>
      <c r="P1457" s="85">
        <f>STATS1003B!P1458/1000</f>
        <v>0</v>
      </c>
      <c r="Q1457" s="85">
        <f>STATS1003B!Q1458/1000</f>
        <v>1260.7750000000001</v>
      </c>
      <c r="R1457" s="85">
        <f>STATS1003B!R1458/1000</f>
        <v>0</v>
      </c>
      <c r="S1457" s="85">
        <f>STATS1003B!S1458/1000</f>
        <v>0</v>
      </c>
      <c r="T1457" s="85">
        <f>STATS1003B!T1458/1000</f>
        <v>0</v>
      </c>
      <c r="U1457" s="85">
        <f>STATS1003B!U1458/1000</f>
        <v>0</v>
      </c>
      <c r="V1457" s="85">
        <f>STATS1003B!V1458/1000</f>
        <v>1260.7750000000001</v>
      </c>
      <c r="W1457" s="85">
        <f>STATS1003B!W1458/1000</f>
        <v>0</v>
      </c>
      <c r="X1457" s="85">
        <f t="shared" si="169"/>
        <v>1260.7750000000001</v>
      </c>
      <c r="Y1457" s="85">
        <f>STATS1003B!Y1458/1000</f>
        <v>0</v>
      </c>
      <c r="Z1457" s="85">
        <f t="shared" si="172"/>
        <v>0</v>
      </c>
      <c r="AA1457" s="69">
        <f>STATS1003B!AA1458/1000</f>
        <v>1260.7750000000001</v>
      </c>
      <c r="AB1457" s="69">
        <f>STATS1003B!AB1458/1000</f>
        <v>0</v>
      </c>
    </row>
    <row r="1458" spans="1:28" hidden="1" x14ac:dyDescent="0.3">
      <c r="A1458" s="117"/>
      <c r="C1458" s="95" t="s">
        <v>1141</v>
      </c>
      <c r="D1458" s="89" t="s">
        <v>1126</v>
      </c>
      <c r="E1458" s="85">
        <f>STATS1003B!E1459/1000</f>
        <v>98.861919999999998</v>
      </c>
      <c r="F1458" s="85">
        <f>STATS1003B!F1459/1000</f>
        <v>98.861919999999998</v>
      </c>
      <c r="G1458" s="85">
        <f>STATS1003B!G1459/1000</f>
        <v>0</v>
      </c>
      <c r="H1458" s="85">
        <f>STATS1003B!H1459/1000</f>
        <v>98.861919999999998</v>
      </c>
      <c r="I1458" s="85">
        <f>STATS1003B!I1459/1000</f>
        <v>0</v>
      </c>
      <c r="J1458" s="85">
        <f>STATS1003B!J1459/1000</f>
        <v>98.861919999999998</v>
      </c>
      <c r="K1458" s="85">
        <f>STATS1003B!K1459/1000</f>
        <v>0</v>
      </c>
      <c r="L1458" s="85">
        <f>STATS1003B!L1459/1000</f>
        <v>0</v>
      </c>
      <c r="M1458" s="85">
        <f>STATS1003B!M1459/1000</f>
        <v>98.861919999999998</v>
      </c>
      <c r="N1458" s="85">
        <f>STATS1003B!N1459/1000</f>
        <v>0</v>
      </c>
      <c r="O1458" s="85">
        <f>STATS1003B!O1459/1000</f>
        <v>0</v>
      </c>
      <c r="P1458" s="85">
        <f>STATS1003B!P1459/1000</f>
        <v>0</v>
      </c>
      <c r="Q1458" s="85">
        <f>STATS1003B!Q1459/1000</f>
        <v>0</v>
      </c>
      <c r="R1458" s="85">
        <f>STATS1003B!R1459/1000</f>
        <v>0</v>
      </c>
      <c r="S1458" s="85">
        <f>STATS1003B!S1459/1000</f>
        <v>0</v>
      </c>
      <c r="T1458" s="85">
        <f>STATS1003B!T1459/1000</f>
        <v>0</v>
      </c>
      <c r="U1458" s="85">
        <f>STATS1003B!U1459/1000</f>
        <v>0</v>
      </c>
      <c r="V1458" s="85">
        <f>STATS1003B!V1459/1000</f>
        <v>98.861919999999998</v>
      </c>
      <c r="W1458" s="85">
        <f>STATS1003B!W1459/1000</f>
        <v>0</v>
      </c>
      <c r="X1458" s="85">
        <f t="shared" si="169"/>
        <v>98.861919999999998</v>
      </c>
      <c r="Y1458" s="85">
        <f>STATS1003B!Y1459/1000</f>
        <v>0</v>
      </c>
      <c r="Z1458" s="85">
        <f t="shared" si="172"/>
        <v>0</v>
      </c>
      <c r="AA1458" s="69">
        <f>STATS1003B!AA1459/1000</f>
        <v>98.861919999999998</v>
      </c>
      <c r="AB1458" s="69">
        <f>STATS1003B!AB1459/1000</f>
        <v>0</v>
      </c>
    </row>
    <row r="1459" spans="1:28" hidden="1" x14ac:dyDescent="0.3">
      <c r="A1459" s="117"/>
      <c r="C1459" s="71" t="s">
        <v>1159</v>
      </c>
      <c r="D1459" s="89" t="s">
        <v>1126</v>
      </c>
      <c r="E1459" s="85">
        <f>STATS1003B!E1460/1000</f>
        <v>1000</v>
      </c>
      <c r="F1459" s="85">
        <f>STATS1003B!F1460/1000</f>
        <v>1000</v>
      </c>
      <c r="G1459" s="85">
        <f>STATS1003B!G1460/1000</f>
        <v>0</v>
      </c>
      <c r="H1459" s="85">
        <f>STATS1003B!H1460/1000</f>
        <v>1000</v>
      </c>
      <c r="I1459" s="85">
        <f>STATS1003B!I1460/1000</f>
        <v>0</v>
      </c>
      <c r="J1459" s="85">
        <f>STATS1003B!J1460/1000</f>
        <v>1000</v>
      </c>
      <c r="K1459" s="85">
        <f>STATS1003B!K1460/1000</f>
        <v>0</v>
      </c>
      <c r="L1459" s="85">
        <f>STATS1003B!L1460/1000</f>
        <v>0</v>
      </c>
      <c r="M1459" s="85">
        <f>STATS1003B!M1460/1000</f>
        <v>1000</v>
      </c>
      <c r="N1459" s="85">
        <f>STATS1003B!N1460/1000</f>
        <v>0</v>
      </c>
      <c r="O1459" s="85">
        <f>STATS1003B!O1460/1000</f>
        <v>0</v>
      </c>
      <c r="P1459" s="85">
        <f>STATS1003B!P1460/1000</f>
        <v>0</v>
      </c>
      <c r="Q1459" s="85">
        <f>STATS1003B!Q1460/1000</f>
        <v>0</v>
      </c>
      <c r="R1459" s="85">
        <f>STATS1003B!R1460/1000</f>
        <v>0</v>
      </c>
      <c r="S1459" s="85">
        <f>STATS1003B!S1460/1000</f>
        <v>0</v>
      </c>
      <c r="T1459" s="85">
        <f>STATS1003B!T1460/1000</f>
        <v>0</v>
      </c>
      <c r="U1459" s="85">
        <f>STATS1003B!U1460/1000</f>
        <v>0</v>
      </c>
      <c r="V1459" s="85">
        <f>STATS1003B!V1460/1000</f>
        <v>1000</v>
      </c>
      <c r="W1459" s="85">
        <f>STATS1003B!W1460/1000</f>
        <v>0</v>
      </c>
      <c r="X1459" s="85">
        <f t="shared" si="169"/>
        <v>1000</v>
      </c>
      <c r="Y1459" s="85">
        <f>STATS1003B!Y1460/1000</f>
        <v>0</v>
      </c>
      <c r="Z1459" s="85">
        <f t="shared" si="172"/>
        <v>0</v>
      </c>
      <c r="AA1459" s="69">
        <f>STATS1003B!AA1460/1000</f>
        <v>1000</v>
      </c>
      <c r="AB1459" s="69">
        <f>STATS1003B!AB1460/1000</f>
        <v>0</v>
      </c>
    </row>
    <row r="1460" spans="1:28" hidden="1" x14ac:dyDescent="0.3">
      <c r="A1460" s="117"/>
      <c r="C1460" s="68" t="s">
        <v>535</v>
      </c>
      <c r="D1460" s="88" t="s">
        <v>61</v>
      </c>
      <c r="E1460" s="85">
        <f>STATS1003B!E1461/1000</f>
        <v>1692.7279900000001</v>
      </c>
      <c r="F1460" s="85">
        <f>STATS1003B!F1461/1000</f>
        <v>1692.7279900000001</v>
      </c>
      <c r="G1460" s="85">
        <f>STATS1003B!G1461/1000</f>
        <v>0</v>
      </c>
      <c r="H1460" s="85">
        <f>STATS1003B!H1461/1000</f>
        <v>1692.7279900000001</v>
      </c>
      <c r="I1460" s="85">
        <f>STATS1003B!I1461/1000</f>
        <v>0</v>
      </c>
      <c r="J1460" s="85">
        <f>STATS1003B!J1461/1000</f>
        <v>1692.7279900000001</v>
      </c>
      <c r="K1460" s="85">
        <f>STATS1003B!K1461/1000</f>
        <v>0</v>
      </c>
      <c r="L1460" s="85">
        <f>STATS1003B!L1461/1000</f>
        <v>0</v>
      </c>
      <c r="M1460" s="85">
        <f>STATS1003B!M1461/1000</f>
        <v>1692.7279900000001</v>
      </c>
      <c r="N1460" s="85">
        <f>STATS1003B!N1461/1000</f>
        <v>0</v>
      </c>
      <c r="O1460" s="85">
        <f>STATS1003B!O1461/1000</f>
        <v>0</v>
      </c>
      <c r="P1460" s="85">
        <f>STATS1003B!P1461/1000</f>
        <v>0</v>
      </c>
      <c r="Q1460" s="85">
        <f>STATS1003B!Q1461/1000</f>
        <v>1692.7279900000001</v>
      </c>
      <c r="R1460" s="85">
        <f>STATS1003B!R1461/1000</f>
        <v>0</v>
      </c>
      <c r="S1460" s="85">
        <f>STATS1003B!S1461/1000</f>
        <v>0</v>
      </c>
      <c r="T1460" s="85">
        <f>STATS1003B!T1461/1000</f>
        <v>0</v>
      </c>
      <c r="U1460" s="85">
        <f>STATS1003B!U1461/1000</f>
        <v>0</v>
      </c>
      <c r="V1460" s="85">
        <f>STATS1003B!V1461/1000</f>
        <v>1692.7279900000001</v>
      </c>
      <c r="W1460" s="85">
        <f>STATS1003B!W1461/1000</f>
        <v>0</v>
      </c>
      <c r="X1460" s="85">
        <f t="shared" si="169"/>
        <v>1692.7279900000001</v>
      </c>
      <c r="Y1460" s="85">
        <f>STATS1003B!Y1461/1000</f>
        <v>0</v>
      </c>
      <c r="Z1460" s="85">
        <f t="shared" si="172"/>
        <v>0</v>
      </c>
      <c r="AA1460" s="69">
        <f>STATS1003B!AA1461/1000</f>
        <v>1692.7279900000001</v>
      </c>
      <c r="AB1460" s="69">
        <f>STATS1003B!AB1461/1000</f>
        <v>0</v>
      </c>
    </row>
    <row r="1461" spans="1:28" hidden="1" x14ac:dyDescent="0.3">
      <c r="A1461" s="117"/>
      <c r="C1461" s="71" t="s">
        <v>738</v>
      </c>
      <c r="D1461" s="88" t="s">
        <v>61</v>
      </c>
      <c r="E1461" s="85">
        <f>STATS1003B!E1462/1000</f>
        <v>2448.1098900000002</v>
      </c>
      <c r="F1461" s="85">
        <f>STATS1003B!F1462/1000</f>
        <v>2448.1098900000002</v>
      </c>
      <c r="G1461" s="85">
        <f>STATS1003B!G1462/1000</f>
        <v>0</v>
      </c>
      <c r="H1461" s="85">
        <f>STATS1003B!H1462/1000</f>
        <v>2448.1098900000002</v>
      </c>
      <c r="I1461" s="85">
        <f>STATS1003B!I1462/1000</f>
        <v>0</v>
      </c>
      <c r="J1461" s="85">
        <f>STATS1003B!J1462/1000</f>
        <v>2448.1098900000002</v>
      </c>
      <c r="K1461" s="85">
        <f>STATS1003B!K1462/1000</f>
        <v>0</v>
      </c>
      <c r="L1461" s="85">
        <f>STATS1003B!L1462/1000</f>
        <v>0</v>
      </c>
      <c r="M1461" s="85">
        <f>STATS1003B!M1462/1000</f>
        <v>2448.1098900000002</v>
      </c>
      <c r="N1461" s="85">
        <f>STATS1003B!N1462/1000</f>
        <v>0</v>
      </c>
      <c r="O1461" s="85">
        <f>STATS1003B!O1462/1000</f>
        <v>0</v>
      </c>
      <c r="P1461" s="85">
        <f>STATS1003B!P1462/1000</f>
        <v>0</v>
      </c>
      <c r="Q1461" s="85">
        <f>STATS1003B!Q1462/1000</f>
        <v>2448.1098900000002</v>
      </c>
      <c r="R1461" s="85">
        <f>STATS1003B!R1462/1000</f>
        <v>0</v>
      </c>
      <c r="S1461" s="85">
        <f>STATS1003B!S1462/1000</f>
        <v>0</v>
      </c>
      <c r="T1461" s="85">
        <f>STATS1003B!T1462/1000</f>
        <v>0</v>
      </c>
      <c r="U1461" s="85">
        <f>STATS1003B!U1462/1000</f>
        <v>0</v>
      </c>
      <c r="V1461" s="85">
        <f>STATS1003B!V1462/1000</f>
        <v>2448.1098900000002</v>
      </c>
      <c r="W1461" s="85">
        <f>STATS1003B!W1462/1000</f>
        <v>0</v>
      </c>
      <c r="X1461" s="85">
        <f t="shared" si="169"/>
        <v>2448.1098900000002</v>
      </c>
      <c r="Y1461" s="85">
        <f>STATS1003B!Y1462/1000</f>
        <v>0</v>
      </c>
      <c r="Z1461" s="85">
        <f t="shared" si="172"/>
        <v>0</v>
      </c>
      <c r="AA1461" s="69">
        <f>STATS1003B!AA1462/1000</f>
        <v>2448.1098900000002</v>
      </c>
      <c r="AB1461" s="69">
        <f>STATS1003B!AB1462/1000</f>
        <v>0</v>
      </c>
    </row>
    <row r="1462" spans="1:28" hidden="1" x14ac:dyDescent="0.3">
      <c r="A1462" s="117"/>
      <c r="C1462" s="68" t="s">
        <v>739</v>
      </c>
      <c r="E1462" s="85">
        <f>STATS1003B!E1463/1000</f>
        <v>567.82500000000005</v>
      </c>
      <c r="F1462" s="85">
        <f>STATS1003B!F1463/1000</f>
        <v>567.82500000000005</v>
      </c>
      <c r="G1462" s="85">
        <f>STATS1003B!G1463/1000</f>
        <v>0</v>
      </c>
      <c r="H1462" s="85">
        <f>STATS1003B!H1463/1000</f>
        <v>567.82500000000005</v>
      </c>
      <c r="I1462" s="85">
        <f>STATS1003B!I1463/1000</f>
        <v>0</v>
      </c>
      <c r="J1462" s="85">
        <f>STATS1003B!J1463/1000</f>
        <v>567.82500000000005</v>
      </c>
      <c r="K1462" s="85">
        <f>STATS1003B!K1463/1000</f>
        <v>0</v>
      </c>
      <c r="L1462" s="85">
        <f>STATS1003B!L1463/1000</f>
        <v>0</v>
      </c>
      <c r="M1462" s="85">
        <f>STATS1003B!M1463/1000</f>
        <v>567.82500000000005</v>
      </c>
      <c r="N1462" s="85">
        <f>STATS1003B!N1463/1000</f>
        <v>0</v>
      </c>
      <c r="O1462" s="85">
        <f>STATS1003B!O1463/1000</f>
        <v>0</v>
      </c>
      <c r="P1462" s="85">
        <f>STATS1003B!P1463/1000</f>
        <v>0</v>
      </c>
      <c r="Q1462" s="85">
        <f>STATS1003B!Q1463/1000</f>
        <v>567.82500000000005</v>
      </c>
      <c r="R1462" s="85">
        <f>STATS1003B!R1463/1000</f>
        <v>0</v>
      </c>
      <c r="S1462" s="85">
        <f>STATS1003B!S1463/1000</f>
        <v>0</v>
      </c>
      <c r="T1462" s="85">
        <f>STATS1003B!T1463/1000</f>
        <v>0</v>
      </c>
      <c r="U1462" s="85">
        <f>STATS1003B!U1463/1000</f>
        <v>0</v>
      </c>
      <c r="V1462" s="85">
        <f>STATS1003B!V1463/1000</f>
        <v>567.82500000000005</v>
      </c>
      <c r="W1462" s="85">
        <f>STATS1003B!W1463/1000</f>
        <v>0</v>
      </c>
      <c r="X1462" s="85">
        <f t="shared" si="169"/>
        <v>567.82500000000005</v>
      </c>
      <c r="Y1462" s="85">
        <f>STATS1003B!Y1463/1000</f>
        <v>0</v>
      </c>
      <c r="Z1462" s="85">
        <f t="shared" si="172"/>
        <v>0</v>
      </c>
      <c r="AA1462" s="69">
        <f>STATS1003B!AA1463/1000</f>
        <v>567.82500000000005</v>
      </c>
      <c r="AB1462" s="69">
        <f>STATS1003B!AB1463/1000</f>
        <v>0</v>
      </c>
    </row>
    <row r="1463" spans="1:28" hidden="1" x14ac:dyDescent="0.3">
      <c r="A1463" s="117"/>
      <c r="C1463" s="68" t="s">
        <v>739</v>
      </c>
      <c r="E1463" s="85">
        <f>STATS1003B!E1464/1000</f>
        <v>1202.204</v>
      </c>
      <c r="F1463" s="85">
        <f>STATS1003B!F1464/1000</f>
        <v>1202.204</v>
      </c>
      <c r="G1463" s="85">
        <f>STATS1003B!G1464/1000</f>
        <v>0</v>
      </c>
      <c r="H1463" s="85">
        <f>STATS1003B!H1464/1000</f>
        <v>1202.204</v>
      </c>
      <c r="I1463" s="85">
        <f>STATS1003B!I1464/1000</f>
        <v>0</v>
      </c>
      <c r="J1463" s="85">
        <f>STATS1003B!J1464/1000</f>
        <v>1202.204</v>
      </c>
      <c r="K1463" s="85">
        <f>STATS1003B!K1464/1000</f>
        <v>0</v>
      </c>
      <c r="L1463" s="85">
        <f>STATS1003B!L1464/1000</f>
        <v>0</v>
      </c>
      <c r="M1463" s="85">
        <f>STATS1003B!M1464/1000</f>
        <v>1202.204</v>
      </c>
      <c r="N1463" s="85">
        <f>STATS1003B!N1464/1000</f>
        <v>0</v>
      </c>
      <c r="O1463" s="85">
        <f>STATS1003B!O1464/1000</f>
        <v>0</v>
      </c>
      <c r="P1463" s="85">
        <f>STATS1003B!P1464/1000</f>
        <v>0</v>
      </c>
      <c r="Q1463" s="85">
        <f>STATS1003B!Q1464/1000</f>
        <v>1202.204</v>
      </c>
      <c r="R1463" s="85">
        <f>STATS1003B!R1464/1000</f>
        <v>0</v>
      </c>
      <c r="S1463" s="85">
        <f>STATS1003B!S1464/1000</f>
        <v>0</v>
      </c>
      <c r="T1463" s="85">
        <f>STATS1003B!T1464/1000</f>
        <v>0</v>
      </c>
      <c r="U1463" s="85">
        <f>STATS1003B!U1464/1000</f>
        <v>0</v>
      </c>
      <c r="V1463" s="85">
        <f>STATS1003B!V1464/1000</f>
        <v>1202.204</v>
      </c>
      <c r="W1463" s="85">
        <f>STATS1003B!W1464/1000</f>
        <v>0</v>
      </c>
      <c r="X1463" s="85">
        <f t="shared" si="169"/>
        <v>1202.204</v>
      </c>
      <c r="Y1463" s="85">
        <f>STATS1003B!Y1464/1000</f>
        <v>0</v>
      </c>
      <c r="Z1463" s="85">
        <f t="shared" si="172"/>
        <v>0</v>
      </c>
      <c r="AA1463" s="69">
        <f>STATS1003B!AA1464/1000</f>
        <v>1202.204</v>
      </c>
      <c r="AB1463" s="69">
        <f>STATS1003B!AB1464/1000</f>
        <v>0</v>
      </c>
    </row>
    <row r="1464" spans="1:28" hidden="1" x14ac:dyDescent="0.3">
      <c r="A1464" s="117"/>
      <c r="C1464" s="68" t="s">
        <v>1116</v>
      </c>
      <c r="D1464" s="91" t="s">
        <v>1126</v>
      </c>
      <c r="E1464" s="85">
        <f>STATS1003B!E1465/1000</f>
        <v>845.24639999999999</v>
      </c>
      <c r="F1464" s="85">
        <f>STATS1003B!F1465/1000</f>
        <v>845.24639999999999</v>
      </c>
      <c r="G1464" s="85">
        <f>STATS1003B!G1465/1000</f>
        <v>0</v>
      </c>
      <c r="H1464" s="85">
        <f>STATS1003B!H1465/1000</f>
        <v>845.24639999999999</v>
      </c>
      <c r="I1464" s="85">
        <f>STATS1003B!I1465/1000</f>
        <v>0</v>
      </c>
      <c r="J1464" s="85">
        <f>STATS1003B!J1465/1000</f>
        <v>845.24639999999999</v>
      </c>
      <c r="K1464" s="85">
        <f>STATS1003B!K1465/1000</f>
        <v>0</v>
      </c>
      <c r="L1464" s="85">
        <f>STATS1003B!L1465/1000</f>
        <v>0</v>
      </c>
      <c r="M1464" s="85">
        <f>STATS1003B!M1465/1000</f>
        <v>845.24639999999999</v>
      </c>
      <c r="N1464" s="85">
        <f>STATS1003B!N1465/1000</f>
        <v>0</v>
      </c>
      <c r="O1464" s="85">
        <f>STATS1003B!O1465/1000</f>
        <v>0</v>
      </c>
      <c r="P1464" s="85">
        <f>STATS1003B!P1465/1000</f>
        <v>0</v>
      </c>
      <c r="Q1464" s="85">
        <f>STATS1003B!Q1465/1000</f>
        <v>0</v>
      </c>
      <c r="R1464" s="85">
        <f>STATS1003B!R1465/1000</f>
        <v>0</v>
      </c>
      <c r="S1464" s="85">
        <f>STATS1003B!S1465/1000</f>
        <v>0</v>
      </c>
      <c r="T1464" s="85">
        <f>STATS1003B!T1465/1000</f>
        <v>0</v>
      </c>
      <c r="U1464" s="85">
        <f>STATS1003B!U1465/1000</f>
        <v>0</v>
      </c>
      <c r="V1464" s="85">
        <f>STATS1003B!V1465/1000</f>
        <v>845.24639999999999</v>
      </c>
      <c r="W1464" s="85">
        <f>STATS1003B!W1465/1000</f>
        <v>0</v>
      </c>
      <c r="X1464" s="85">
        <f t="shared" si="169"/>
        <v>845.24639999999999</v>
      </c>
      <c r="Y1464" s="85">
        <f>STATS1003B!Y1465/1000</f>
        <v>0</v>
      </c>
      <c r="Z1464" s="85">
        <f t="shared" si="172"/>
        <v>0</v>
      </c>
      <c r="AA1464" s="69">
        <f>STATS1003B!AA1465/1000</f>
        <v>845.24639999999999</v>
      </c>
      <c r="AB1464" s="69">
        <f>STATS1003B!AB1465/1000</f>
        <v>0</v>
      </c>
    </row>
    <row r="1465" spans="1:28" hidden="1" x14ac:dyDescent="0.3">
      <c r="A1465" s="117"/>
      <c r="C1465" s="68" t="s">
        <v>933</v>
      </c>
      <c r="D1465" s="91" t="s">
        <v>1072</v>
      </c>
      <c r="E1465" s="85">
        <f>STATS1003B!E1466/1000</f>
        <v>1290.89861</v>
      </c>
      <c r="F1465" s="85">
        <f>STATS1003B!F1466/1000</f>
        <v>1290.89861</v>
      </c>
      <c r="G1465" s="85">
        <f>STATS1003B!G1466/1000</f>
        <v>0</v>
      </c>
      <c r="H1465" s="85">
        <f>STATS1003B!H1466/1000</f>
        <v>1290.89861</v>
      </c>
      <c r="I1465" s="85">
        <f>STATS1003B!I1466/1000</f>
        <v>0</v>
      </c>
      <c r="J1465" s="85">
        <f>STATS1003B!J1466/1000</f>
        <v>1290.89861</v>
      </c>
      <c r="K1465" s="85">
        <f>STATS1003B!K1466/1000</f>
        <v>0</v>
      </c>
      <c r="L1465" s="85">
        <f>STATS1003B!L1466/1000</f>
        <v>0</v>
      </c>
      <c r="M1465" s="85">
        <f>STATS1003B!M1466/1000</f>
        <v>1290.89861</v>
      </c>
      <c r="N1465" s="85">
        <f>STATS1003B!N1466/1000</f>
        <v>0</v>
      </c>
      <c r="O1465" s="85">
        <f>STATS1003B!O1466/1000</f>
        <v>0</v>
      </c>
      <c r="P1465" s="85">
        <f>STATS1003B!P1466/1000</f>
        <v>0</v>
      </c>
      <c r="Q1465" s="85">
        <f>STATS1003B!Q1466/1000</f>
        <v>0</v>
      </c>
      <c r="R1465" s="85">
        <f>STATS1003B!R1466/1000</f>
        <v>0</v>
      </c>
      <c r="S1465" s="85">
        <f>STATS1003B!S1466/1000</f>
        <v>0</v>
      </c>
      <c r="T1465" s="85">
        <f>STATS1003B!T1466/1000</f>
        <v>0</v>
      </c>
      <c r="U1465" s="85">
        <f>STATS1003B!U1466/1000</f>
        <v>0</v>
      </c>
      <c r="V1465" s="85">
        <f>STATS1003B!V1466/1000</f>
        <v>1290.89861</v>
      </c>
      <c r="W1465" s="85">
        <f>STATS1003B!W1466/1000</f>
        <v>0</v>
      </c>
      <c r="X1465" s="85">
        <f t="shared" si="169"/>
        <v>1290.89861</v>
      </c>
      <c r="Y1465" s="85">
        <f>STATS1003B!Y1466/1000</f>
        <v>0</v>
      </c>
      <c r="Z1465" s="85">
        <f t="shared" si="172"/>
        <v>0</v>
      </c>
      <c r="AA1465" s="69">
        <f>STATS1003B!AA1466/1000</f>
        <v>1290.89861</v>
      </c>
      <c r="AB1465" s="69">
        <f>STATS1003B!AB1466/1000</f>
        <v>0</v>
      </c>
    </row>
    <row r="1466" spans="1:28" hidden="1" x14ac:dyDescent="0.3">
      <c r="A1466" s="117"/>
      <c r="C1466" s="68" t="s">
        <v>1219</v>
      </c>
      <c r="D1466" s="91" t="s">
        <v>1229</v>
      </c>
      <c r="E1466" s="85">
        <f>STATS1003B!E1467/1000</f>
        <v>1613.9065499999999</v>
      </c>
      <c r="F1466" s="85">
        <f>STATS1003B!F1467/1000</f>
        <v>1613.9065499999999</v>
      </c>
      <c r="G1466" s="85">
        <f>STATS1003B!G1467/1000</f>
        <v>0</v>
      </c>
      <c r="H1466" s="85">
        <f>STATS1003B!H1467/1000</f>
        <v>1613.9065499999999</v>
      </c>
      <c r="I1466" s="85">
        <f>STATS1003B!I1467/1000</f>
        <v>0</v>
      </c>
      <c r="J1466" s="85">
        <f>STATS1003B!J1467/1000</f>
        <v>0</v>
      </c>
      <c r="K1466" s="85">
        <f>STATS1003B!K1467/1000</f>
        <v>0</v>
      </c>
      <c r="L1466" s="85">
        <f>STATS1003B!L1467/1000</f>
        <v>0</v>
      </c>
      <c r="M1466" s="85">
        <f>STATS1003B!M1467/1000</f>
        <v>1613.9065499999999</v>
      </c>
      <c r="N1466" s="85">
        <f>STATS1003B!N1467/1000</f>
        <v>0</v>
      </c>
      <c r="O1466" s="85">
        <f>STATS1003B!O1467/1000</f>
        <v>0</v>
      </c>
      <c r="P1466" s="85">
        <f>STATS1003B!P1467/1000</f>
        <v>0</v>
      </c>
      <c r="Q1466" s="85">
        <f>STATS1003B!Q1467/1000</f>
        <v>0</v>
      </c>
      <c r="R1466" s="85">
        <f>STATS1003B!R1467/1000</f>
        <v>0</v>
      </c>
      <c r="S1466" s="85">
        <f>STATS1003B!S1467/1000</f>
        <v>0</v>
      </c>
      <c r="T1466" s="85">
        <f>STATS1003B!T1467/1000</f>
        <v>0</v>
      </c>
      <c r="U1466" s="85">
        <f>STATS1003B!U1467/1000</f>
        <v>0</v>
      </c>
      <c r="V1466" s="85">
        <f>STATS1003B!V1467/1000</f>
        <v>1613.9065499999999</v>
      </c>
      <c r="W1466" s="85">
        <f>STATS1003B!W1467/1000</f>
        <v>0</v>
      </c>
      <c r="X1466" s="85">
        <f t="shared" si="169"/>
        <v>1613.9065499999999</v>
      </c>
      <c r="Y1466" s="85">
        <f>STATS1003B!Y1467/1000</f>
        <v>0</v>
      </c>
      <c r="Z1466" s="85">
        <f t="shared" si="172"/>
        <v>0</v>
      </c>
      <c r="AA1466" s="69">
        <f>STATS1003B!AA1467/1000</f>
        <v>1613.9065499999999</v>
      </c>
      <c r="AB1466" s="69">
        <f>STATS1003B!AB1467/1000</f>
        <v>0</v>
      </c>
    </row>
    <row r="1467" spans="1:28" hidden="1" x14ac:dyDescent="0.3">
      <c r="A1467" s="117"/>
      <c r="C1467" s="98" t="s">
        <v>1226</v>
      </c>
      <c r="D1467" s="91" t="s">
        <v>1225</v>
      </c>
      <c r="E1467" s="85">
        <f>STATS1003B!E1468/1000</f>
        <v>2000</v>
      </c>
      <c r="F1467" s="85">
        <f>STATS1003B!F1468/1000</f>
        <v>2000</v>
      </c>
      <c r="G1467" s="85">
        <f>STATS1003B!G1468/1000</f>
        <v>0</v>
      </c>
      <c r="H1467" s="85">
        <f>STATS1003B!H1468/1000</f>
        <v>2000</v>
      </c>
      <c r="I1467" s="85">
        <f>STATS1003B!I1468/1000</f>
        <v>0</v>
      </c>
      <c r="J1467" s="85">
        <f>STATS1003B!J1468/1000</f>
        <v>0</v>
      </c>
      <c r="K1467" s="85">
        <f>STATS1003B!K1468/1000</f>
        <v>0</v>
      </c>
      <c r="L1467" s="85">
        <f>STATS1003B!L1468/1000</f>
        <v>0</v>
      </c>
      <c r="M1467" s="85">
        <f>STATS1003B!M1468/1000</f>
        <v>2000</v>
      </c>
      <c r="N1467" s="85">
        <f>STATS1003B!N1468/1000</f>
        <v>0</v>
      </c>
      <c r="O1467" s="85">
        <f>STATS1003B!O1468/1000</f>
        <v>0</v>
      </c>
      <c r="P1467" s="85">
        <f>STATS1003B!P1468/1000</f>
        <v>0</v>
      </c>
      <c r="Q1467" s="85">
        <f>STATS1003B!Q1468/1000</f>
        <v>0</v>
      </c>
      <c r="R1467" s="85">
        <f>STATS1003B!R1468/1000</f>
        <v>0</v>
      </c>
      <c r="S1467" s="85">
        <f>STATS1003B!S1468/1000</f>
        <v>0</v>
      </c>
      <c r="T1467" s="85">
        <f>STATS1003B!T1468/1000</f>
        <v>0</v>
      </c>
      <c r="U1467" s="85">
        <f>STATS1003B!U1468/1000</f>
        <v>0</v>
      </c>
      <c r="V1467" s="85">
        <f>STATS1003B!V1468/1000</f>
        <v>0</v>
      </c>
      <c r="W1467" s="85">
        <f>STATS1003B!W1468/1000</f>
        <v>0</v>
      </c>
      <c r="X1467" s="85">
        <f t="shared" si="169"/>
        <v>2000</v>
      </c>
      <c r="Y1467" s="85">
        <f>STATS1003B!Y1468/1000</f>
        <v>0</v>
      </c>
      <c r="Z1467" s="85">
        <f t="shared" si="172"/>
        <v>0</v>
      </c>
      <c r="AA1467" s="69">
        <f>STATS1003B!AA1468/1000</f>
        <v>2000</v>
      </c>
      <c r="AB1467" s="69">
        <f>STATS1003B!AB1468/1000</f>
        <v>0</v>
      </c>
    </row>
    <row r="1468" spans="1:28" hidden="1" x14ac:dyDescent="0.3">
      <c r="A1468" s="117"/>
      <c r="C1468" s="68" t="s">
        <v>1245</v>
      </c>
      <c r="D1468" s="91" t="s">
        <v>1225</v>
      </c>
      <c r="E1468" s="85">
        <f>STATS1003B!E1469/1000</f>
        <v>7485.27016</v>
      </c>
      <c r="F1468" s="85">
        <f>STATS1003B!F1469/1000</f>
        <v>7485.27016</v>
      </c>
      <c r="G1468" s="85">
        <f>STATS1003B!G1469/1000</f>
        <v>0</v>
      </c>
      <c r="H1468" s="85">
        <f>STATS1003B!H1469/1000</f>
        <v>7485.27016</v>
      </c>
      <c r="I1468" s="85">
        <f>STATS1003B!I1469/1000</f>
        <v>0</v>
      </c>
      <c r="J1468" s="85">
        <f>STATS1003B!J1469/1000</f>
        <v>0</v>
      </c>
      <c r="K1468" s="85">
        <f>STATS1003B!K1469/1000</f>
        <v>0</v>
      </c>
      <c r="L1468" s="85">
        <f>STATS1003B!L1469/1000</f>
        <v>0</v>
      </c>
      <c r="M1468" s="85">
        <f>STATS1003B!M1469/1000</f>
        <v>7485.27016</v>
      </c>
      <c r="N1468" s="85">
        <f>STATS1003B!N1469/1000</f>
        <v>0</v>
      </c>
      <c r="O1468" s="85">
        <f>STATS1003B!O1469/1000</f>
        <v>0</v>
      </c>
      <c r="P1468" s="85">
        <f>STATS1003B!P1469/1000</f>
        <v>0</v>
      </c>
      <c r="Q1468" s="85">
        <f>STATS1003B!Q1469/1000</f>
        <v>0</v>
      </c>
      <c r="R1468" s="85">
        <f>STATS1003B!R1469/1000</f>
        <v>0</v>
      </c>
      <c r="S1468" s="85">
        <f>STATS1003B!S1469/1000</f>
        <v>0</v>
      </c>
      <c r="T1468" s="85">
        <f>STATS1003B!T1469/1000</f>
        <v>0</v>
      </c>
      <c r="U1468" s="85">
        <f>STATS1003B!U1469/1000</f>
        <v>0</v>
      </c>
      <c r="V1468" s="85">
        <f>STATS1003B!V1469/1000</f>
        <v>0</v>
      </c>
      <c r="W1468" s="85">
        <f>STATS1003B!W1469/1000</f>
        <v>0</v>
      </c>
      <c r="X1468" s="85">
        <f t="shared" si="169"/>
        <v>7485.27016</v>
      </c>
      <c r="Y1468" s="85">
        <f>STATS1003B!Y1469/1000</f>
        <v>0</v>
      </c>
      <c r="Z1468" s="85">
        <f t="shared" si="172"/>
        <v>0</v>
      </c>
      <c r="AA1468" s="69">
        <f>STATS1003B!AA1469/1000</f>
        <v>7485.27016</v>
      </c>
      <c r="AB1468" s="69">
        <f>STATS1003B!AB1469/1000</f>
        <v>0</v>
      </c>
    </row>
    <row r="1469" spans="1:28" hidden="1" x14ac:dyDescent="0.3">
      <c r="A1469" s="117"/>
      <c r="C1469" s="68" t="s">
        <v>678</v>
      </c>
      <c r="E1469" s="85">
        <f>STATS1003B!E1470/1000</f>
        <v>4741.7132300000003</v>
      </c>
      <c r="F1469" s="85">
        <f>STATS1003B!F1470/1000</f>
        <v>4741.7132300000003</v>
      </c>
      <c r="G1469" s="85">
        <f>STATS1003B!G1470/1000</f>
        <v>0</v>
      </c>
      <c r="H1469" s="85">
        <f>STATS1003B!H1470/1000</f>
        <v>4741.7132300000003</v>
      </c>
      <c r="I1469" s="85">
        <f>STATS1003B!I1470/1000</f>
        <v>0</v>
      </c>
      <c r="J1469" s="85">
        <f>STATS1003B!J1470/1000</f>
        <v>4741.7132300000003</v>
      </c>
      <c r="K1469" s="85">
        <f>STATS1003B!K1470/1000</f>
        <v>0</v>
      </c>
      <c r="L1469" s="85">
        <f>STATS1003B!L1470/1000</f>
        <v>0</v>
      </c>
      <c r="M1469" s="85">
        <f>STATS1003B!M1470/1000</f>
        <v>4741.7132300000003</v>
      </c>
      <c r="N1469" s="85">
        <f>STATS1003B!N1470/1000</f>
        <v>0</v>
      </c>
      <c r="O1469" s="85">
        <f>STATS1003B!O1470/1000</f>
        <v>0</v>
      </c>
      <c r="P1469" s="85">
        <f>STATS1003B!P1470/1000</f>
        <v>0</v>
      </c>
      <c r="Q1469" s="85">
        <f>STATS1003B!Q1470/1000</f>
        <v>4741.7132300000003</v>
      </c>
      <c r="R1469" s="85">
        <f>STATS1003B!R1470/1000</f>
        <v>0</v>
      </c>
      <c r="S1469" s="85">
        <f>STATS1003B!S1470/1000</f>
        <v>0</v>
      </c>
      <c r="T1469" s="85">
        <f>STATS1003B!T1470/1000</f>
        <v>0</v>
      </c>
      <c r="U1469" s="85">
        <f>STATS1003B!U1470/1000</f>
        <v>0</v>
      </c>
      <c r="V1469" s="85">
        <f>STATS1003B!V1470/1000</f>
        <v>4741.7132300000003</v>
      </c>
      <c r="W1469" s="85">
        <f>STATS1003B!W1470/1000</f>
        <v>0</v>
      </c>
      <c r="X1469" s="85">
        <f t="shared" si="169"/>
        <v>4741.7132300000003</v>
      </c>
      <c r="Y1469" s="85">
        <f>STATS1003B!Y1470/1000</f>
        <v>0</v>
      </c>
      <c r="Z1469" s="85">
        <f t="shared" si="172"/>
        <v>0</v>
      </c>
      <c r="AA1469" s="69">
        <f>STATS1003B!AA1470/1000</f>
        <v>4741.7132300000003</v>
      </c>
      <c r="AB1469" s="69">
        <f>STATS1003B!AB1470/1000</f>
        <v>0</v>
      </c>
    </row>
    <row r="1470" spans="1:28" hidden="1" x14ac:dyDescent="0.3">
      <c r="A1470" s="117"/>
      <c r="E1470" s="86" t="s">
        <v>29</v>
      </c>
      <c r="F1470" s="86" t="s">
        <v>29</v>
      </c>
      <c r="G1470" s="86" t="s">
        <v>29</v>
      </c>
      <c r="H1470" s="86" t="s">
        <v>29</v>
      </c>
      <c r="I1470" s="86" t="s">
        <v>29</v>
      </c>
      <c r="J1470" s="86" t="s">
        <v>29</v>
      </c>
      <c r="K1470" s="86" t="s">
        <v>29</v>
      </c>
      <c r="L1470" s="86" t="s">
        <v>29</v>
      </c>
      <c r="M1470" s="86" t="s">
        <v>29</v>
      </c>
      <c r="N1470" s="86" t="s">
        <v>29</v>
      </c>
      <c r="O1470" s="86" t="s">
        <v>29</v>
      </c>
      <c r="P1470" s="86" t="s">
        <v>29</v>
      </c>
      <c r="Q1470" s="86" t="s">
        <v>29</v>
      </c>
      <c r="R1470" s="86" t="s">
        <v>29</v>
      </c>
      <c r="S1470" s="86" t="s">
        <v>29</v>
      </c>
      <c r="T1470" s="86" t="s">
        <v>29</v>
      </c>
      <c r="U1470" s="86" t="s">
        <v>29</v>
      </c>
      <c r="V1470" s="86" t="s">
        <v>29</v>
      </c>
      <c r="W1470" s="86" t="s">
        <v>29</v>
      </c>
      <c r="X1470" s="85" t="e">
        <f t="shared" ref="X1470:X1533" si="173">+H1470+P1470</f>
        <v>#VALUE!</v>
      </c>
      <c r="Y1470" s="86" t="s">
        <v>29</v>
      </c>
      <c r="Z1470" s="85" t="e">
        <f t="shared" si="172"/>
        <v>#VALUE!</v>
      </c>
      <c r="AA1470" s="115" t="s">
        <v>29</v>
      </c>
      <c r="AB1470" s="115" t="s">
        <v>29</v>
      </c>
    </row>
    <row r="1471" spans="1:28" x14ac:dyDescent="0.3">
      <c r="A1471" s="116">
        <v>64</v>
      </c>
      <c r="B1471" s="68" t="s">
        <v>731</v>
      </c>
      <c r="E1471" s="85">
        <f>144540986.5/1000</f>
        <v>144540.9865</v>
      </c>
      <c r="F1471" s="85">
        <f t="shared" ref="F1471:Q1471" si="174">SUM(F1436:F1470)</f>
        <v>50949.707200000004</v>
      </c>
      <c r="G1471" s="85">
        <f t="shared" si="174"/>
        <v>0</v>
      </c>
      <c r="H1471" s="85">
        <f>141972125.08/1000</f>
        <v>141972.12508000003</v>
      </c>
      <c r="I1471" s="85">
        <f t="shared" si="174"/>
        <v>0</v>
      </c>
      <c r="J1471" s="85">
        <f t="shared" si="174"/>
        <v>39850.530490000005</v>
      </c>
      <c r="K1471" s="85">
        <f t="shared" si="174"/>
        <v>2568.8614200000002</v>
      </c>
      <c r="L1471" s="85">
        <f t="shared" si="174"/>
        <v>0</v>
      </c>
      <c r="M1471" s="85">
        <f t="shared" si="174"/>
        <v>50949.707200000004</v>
      </c>
      <c r="N1471" s="85">
        <f t="shared" si="174"/>
        <v>2568.8614200000002</v>
      </c>
      <c r="O1471" s="85">
        <f t="shared" si="174"/>
        <v>0</v>
      </c>
      <c r="P1471" s="85">
        <f>2568891/1000</f>
        <v>2568.8910000000001</v>
      </c>
      <c r="Q1471" s="85">
        <f t="shared" si="174"/>
        <v>36615.523560000001</v>
      </c>
      <c r="R1471" s="86"/>
      <c r="S1471" s="86"/>
      <c r="T1471" s="85">
        <f t="shared" ref="T1471:Y1471" si="175">SUM(T1436:T1470)</f>
        <v>0</v>
      </c>
      <c r="U1471" s="85">
        <f t="shared" si="175"/>
        <v>2568.8614200000002</v>
      </c>
      <c r="V1471" s="85">
        <f t="shared" si="175"/>
        <v>44033.298459999991</v>
      </c>
      <c r="W1471" s="85">
        <f t="shared" si="175"/>
        <v>0</v>
      </c>
      <c r="X1471" s="85">
        <f>+H1471+P1471</f>
        <v>144541.01608000003</v>
      </c>
      <c r="Y1471" s="85">
        <f t="shared" si="175"/>
        <v>0</v>
      </c>
      <c r="Z1471" s="85">
        <f>+X1471-E1471</f>
        <v>2.9580000031273812E-2</v>
      </c>
      <c r="AA1471" s="69">
        <f>SUM(AA1436:AA1470)</f>
        <v>53518.568619999991</v>
      </c>
      <c r="AB1471" s="69">
        <f>SUM(AB1436:AB1470)</f>
        <v>0</v>
      </c>
    </row>
    <row r="1472" spans="1:28" hidden="1" x14ac:dyDescent="0.3">
      <c r="A1472" s="117"/>
      <c r="E1472" s="86" t="s">
        <v>29</v>
      </c>
      <c r="F1472" s="86" t="s">
        <v>29</v>
      </c>
      <c r="G1472" s="86" t="s">
        <v>29</v>
      </c>
      <c r="H1472" s="86" t="s">
        <v>29</v>
      </c>
      <c r="I1472" s="86" t="s">
        <v>29</v>
      </c>
      <c r="J1472" s="86" t="s">
        <v>29</v>
      </c>
      <c r="K1472" s="86" t="s">
        <v>29</v>
      </c>
      <c r="L1472" s="86" t="s">
        <v>29</v>
      </c>
      <c r="M1472" s="86" t="s">
        <v>29</v>
      </c>
      <c r="N1472" s="86" t="s">
        <v>29</v>
      </c>
      <c r="O1472" s="86" t="s">
        <v>29</v>
      </c>
      <c r="P1472" s="86" t="s">
        <v>29</v>
      </c>
      <c r="Q1472" s="86" t="s">
        <v>29</v>
      </c>
      <c r="R1472" s="86" t="s">
        <v>29</v>
      </c>
      <c r="S1472" s="86" t="s">
        <v>29</v>
      </c>
      <c r="T1472" s="86" t="s">
        <v>29</v>
      </c>
      <c r="U1472" s="86" t="s">
        <v>29</v>
      </c>
      <c r="V1472" s="86" t="s">
        <v>29</v>
      </c>
      <c r="W1472" s="86" t="s">
        <v>29</v>
      </c>
      <c r="X1472" s="85" t="e">
        <f t="shared" si="173"/>
        <v>#VALUE!</v>
      </c>
      <c r="Y1472" s="86" t="s">
        <v>29</v>
      </c>
      <c r="Z1472" s="85" t="e">
        <f t="shared" si="172"/>
        <v>#VALUE!</v>
      </c>
      <c r="AA1472" s="115" t="s">
        <v>29</v>
      </c>
      <c r="AB1472" s="115" t="s">
        <v>29</v>
      </c>
    </row>
    <row r="1473" spans="1:28" hidden="1" x14ac:dyDescent="0.3">
      <c r="A1473" s="105"/>
      <c r="E1473" s="84"/>
      <c r="F1473" s="84"/>
      <c r="G1473" s="84"/>
      <c r="H1473" s="84"/>
      <c r="I1473" s="84"/>
      <c r="J1473" s="84"/>
      <c r="K1473" s="84"/>
      <c r="L1473" s="84"/>
      <c r="M1473" s="84"/>
      <c r="N1473" s="84"/>
      <c r="O1473" s="84"/>
      <c r="P1473" s="84"/>
      <c r="Q1473" s="84"/>
      <c r="R1473" s="86"/>
      <c r="S1473" s="86"/>
      <c r="T1473" s="86"/>
      <c r="U1473" s="86"/>
      <c r="V1473" s="86"/>
      <c r="W1473" s="86"/>
      <c r="X1473" s="85">
        <f t="shared" si="173"/>
        <v>0</v>
      </c>
      <c r="Y1473" s="86"/>
      <c r="Z1473" s="85">
        <f t="shared" si="172"/>
        <v>0</v>
      </c>
    </row>
    <row r="1474" spans="1:28" hidden="1" x14ac:dyDescent="0.3">
      <c r="A1474" s="117"/>
      <c r="C1474" s="68" t="s">
        <v>535</v>
      </c>
      <c r="D1474" s="87" t="s">
        <v>68</v>
      </c>
      <c r="E1474" s="85">
        <f>STATS1003B!E1475/1000</f>
        <v>1447.37781</v>
      </c>
      <c r="F1474" s="85">
        <f>STATS1003B!F1475/1000</f>
        <v>998.4</v>
      </c>
      <c r="G1474" s="85">
        <f>STATS1003B!G1475/1000</f>
        <v>0</v>
      </c>
      <c r="H1474" s="85">
        <f>STATS1003B!H1475/1000</f>
        <v>998.4</v>
      </c>
      <c r="I1474" s="85">
        <f>STATS1003B!I1475/1000</f>
        <v>0</v>
      </c>
      <c r="J1474" s="85">
        <f>STATS1003B!J1475/1000</f>
        <v>998.4</v>
      </c>
      <c r="K1474" s="85">
        <f>STATS1003B!K1475/1000</f>
        <v>448.97780999999998</v>
      </c>
      <c r="L1474" s="85">
        <f>STATS1003B!L1475/1000</f>
        <v>0</v>
      </c>
      <c r="M1474" s="85">
        <f>STATS1003B!M1475/1000</f>
        <v>998.4</v>
      </c>
      <c r="N1474" s="85">
        <f>STATS1003B!N1475/1000</f>
        <v>448.97780999999998</v>
      </c>
      <c r="O1474" s="85">
        <f>STATS1003B!O1475/1000</f>
        <v>0</v>
      </c>
      <c r="P1474" s="85">
        <f>STATS1003B!P1475/1000</f>
        <v>448.97780999999998</v>
      </c>
      <c r="Q1474" s="85">
        <f>STATS1003B!Q1475/1000</f>
        <v>998.4</v>
      </c>
      <c r="R1474" s="85">
        <f>STATS1003B!R1475/1000</f>
        <v>0</v>
      </c>
      <c r="S1474" s="85">
        <f>STATS1003B!S1475/1000</f>
        <v>0</v>
      </c>
      <c r="T1474" s="85">
        <f>STATS1003B!T1475/1000</f>
        <v>0</v>
      </c>
      <c r="U1474" s="85">
        <f>STATS1003B!U1475/1000</f>
        <v>448.97780999999998</v>
      </c>
      <c r="V1474" s="85">
        <f>STATS1003B!V1475/1000</f>
        <v>1447.37781</v>
      </c>
      <c r="W1474" s="85">
        <f>STATS1003B!W1475/1000</f>
        <v>0</v>
      </c>
      <c r="X1474" s="85">
        <f t="shared" si="173"/>
        <v>1447.37781</v>
      </c>
      <c r="Y1474" s="85">
        <f>STATS1003B!Y1475/1000</f>
        <v>0</v>
      </c>
      <c r="Z1474" s="85">
        <f t="shared" si="172"/>
        <v>0</v>
      </c>
      <c r="AA1474" s="69">
        <f>STATS1003B!AA1475/1000</f>
        <v>1447.37781</v>
      </c>
      <c r="AB1474" s="69">
        <f>STATS1003B!AB1475/1000</f>
        <v>0</v>
      </c>
    </row>
    <row r="1475" spans="1:28" hidden="1" x14ac:dyDescent="0.3">
      <c r="A1475" s="117"/>
      <c r="C1475" s="68" t="s">
        <v>704</v>
      </c>
      <c r="D1475" s="87" t="s">
        <v>68</v>
      </c>
      <c r="E1475" s="85">
        <f>STATS1003B!E1476/1000</f>
        <v>5100</v>
      </c>
      <c r="F1475" s="85">
        <f>STATS1003B!F1476/1000</f>
        <v>3280.0190200000002</v>
      </c>
      <c r="G1475" s="85">
        <f>STATS1003B!G1476/1000</f>
        <v>0</v>
      </c>
      <c r="H1475" s="85">
        <f>STATS1003B!H1476/1000</f>
        <v>3280.0190200000002</v>
      </c>
      <c r="I1475" s="85">
        <f>STATS1003B!I1476/1000</f>
        <v>0</v>
      </c>
      <c r="J1475" s="85">
        <f>STATS1003B!J1476/1000</f>
        <v>3280.0190200000002</v>
      </c>
      <c r="K1475" s="85">
        <f>STATS1003B!K1476/1000</f>
        <v>1804.24252</v>
      </c>
      <c r="L1475" s="85">
        <f>STATS1003B!L1476/1000</f>
        <v>0</v>
      </c>
      <c r="M1475" s="85">
        <f>STATS1003B!M1476/1000</f>
        <v>3280.0190200000002</v>
      </c>
      <c r="N1475" s="85">
        <f>STATS1003B!N1476/1000</f>
        <v>1804.24252</v>
      </c>
      <c r="O1475" s="85">
        <f>STATS1003B!O1476/1000</f>
        <v>0</v>
      </c>
      <c r="P1475" s="85">
        <f>STATS1003B!P1476/1000</f>
        <v>1804.24252</v>
      </c>
      <c r="Q1475" s="85">
        <f>STATS1003B!Q1476/1000</f>
        <v>3295.7574799999998</v>
      </c>
      <c r="R1475" s="85">
        <f>STATS1003B!R1476/1000</f>
        <v>0</v>
      </c>
      <c r="S1475" s="85">
        <f>STATS1003B!S1476/1000</f>
        <v>0</v>
      </c>
      <c r="T1475" s="85">
        <f>STATS1003B!T1476/1000</f>
        <v>0</v>
      </c>
      <c r="U1475" s="85">
        <f>STATS1003B!U1476/1000</f>
        <v>1804.24252</v>
      </c>
      <c r="V1475" s="85">
        <f>STATS1003B!V1476/1000</f>
        <v>5084.2615400000004</v>
      </c>
      <c r="W1475" s="85">
        <f>STATS1003B!W1476/1000</f>
        <v>15.738459999999963</v>
      </c>
      <c r="X1475" s="85">
        <f t="shared" si="173"/>
        <v>5084.2615400000004</v>
      </c>
      <c r="Y1475" s="85">
        <f>STATS1003B!Y1476/1000</f>
        <v>0</v>
      </c>
      <c r="Z1475" s="85">
        <f t="shared" si="172"/>
        <v>15.738459999999577</v>
      </c>
      <c r="AA1475" s="69">
        <f>STATS1003B!AA1476/1000</f>
        <v>5084.2615400000004</v>
      </c>
      <c r="AB1475" s="69">
        <f>STATS1003B!AB1476/1000</f>
        <v>15.738459999999963</v>
      </c>
    </row>
    <row r="1476" spans="1:28" hidden="1" x14ac:dyDescent="0.3">
      <c r="A1476" s="117"/>
      <c r="C1476" s="68" t="s">
        <v>535</v>
      </c>
      <c r="D1476" s="87" t="s">
        <v>54</v>
      </c>
      <c r="E1476" s="85">
        <f>STATS1003B!E1477/1000</f>
        <v>197.6</v>
      </c>
      <c r="F1476" s="85">
        <f>STATS1003B!F1477/1000</f>
        <v>197.6</v>
      </c>
      <c r="G1476" s="85">
        <f>STATS1003B!G1477/1000</f>
        <v>0</v>
      </c>
      <c r="H1476" s="85">
        <f>STATS1003B!H1477/1000</f>
        <v>197.6</v>
      </c>
      <c r="I1476" s="85">
        <f>STATS1003B!I1477/1000</f>
        <v>0</v>
      </c>
      <c r="J1476" s="85">
        <f>STATS1003B!J1477/1000</f>
        <v>197.6</v>
      </c>
      <c r="K1476" s="85">
        <f>STATS1003B!K1477/1000</f>
        <v>0</v>
      </c>
      <c r="L1476" s="85">
        <f>STATS1003B!L1477/1000</f>
        <v>0</v>
      </c>
      <c r="M1476" s="85">
        <f>STATS1003B!M1477/1000</f>
        <v>197.6</v>
      </c>
      <c r="N1476" s="85">
        <f>STATS1003B!N1477/1000</f>
        <v>0</v>
      </c>
      <c r="O1476" s="85">
        <f>STATS1003B!O1477/1000</f>
        <v>0</v>
      </c>
      <c r="P1476" s="85">
        <f>STATS1003B!P1477/1000</f>
        <v>0</v>
      </c>
      <c r="Q1476" s="85">
        <f>STATS1003B!Q1477/1000</f>
        <v>197.6</v>
      </c>
      <c r="R1476" s="85">
        <f>STATS1003B!R1477/1000</f>
        <v>0</v>
      </c>
      <c r="S1476" s="85">
        <f>STATS1003B!S1477/1000</f>
        <v>0</v>
      </c>
      <c r="T1476" s="85">
        <f>STATS1003B!T1477/1000</f>
        <v>0</v>
      </c>
      <c r="U1476" s="85">
        <f>STATS1003B!U1477/1000</f>
        <v>0</v>
      </c>
      <c r="V1476" s="85">
        <f>STATS1003B!V1477/1000</f>
        <v>197.6</v>
      </c>
      <c r="W1476" s="85">
        <f>STATS1003B!W1477/1000</f>
        <v>0</v>
      </c>
      <c r="X1476" s="85">
        <f t="shared" si="173"/>
        <v>197.6</v>
      </c>
      <c r="Y1476" s="85">
        <f>STATS1003B!Y1477/1000</f>
        <v>0</v>
      </c>
      <c r="Z1476" s="85">
        <f t="shared" si="172"/>
        <v>0</v>
      </c>
      <c r="AA1476" s="69">
        <f>STATS1003B!AA1477/1000</f>
        <v>197.6</v>
      </c>
      <c r="AB1476" s="69">
        <f>STATS1003B!AB1477/1000</f>
        <v>0</v>
      </c>
    </row>
    <row r="1477" spans="1:28" hidden="1" x14ac:dyDescent="0.3">
      <c r="A1477" s="117"/>
      <c r="C1477" s="68" t="s">
        <v>603</v>
      </c>
      <c r="D1477" s="87" t="s">
        <v>54</v>
      </c>
      <c r="E1477" s="85">
        <f>STATS1003B!E1478/1000</f>
        <v>950</v>
      </c>
      <c r="F1477" s="85">
        <f>STATS1003B!F1478/1000</f>
        <v>856.53499999999997</v>
      </c>
      <c r="G1477" s="85">
        <f>STATS1003B!G1478/1000</f>
        <v>0</v>
      </c>
      <c r="H1477" s="85">
        <f>STATS1003B!H1478/1000</f>
        <v>856.53499999999997</v>
      </c>
      <c r="I1477" s="85">
        <f>STATS1003B!I1478/1000</f>
        <v>0</v>
      </c>
      <c r="J1477" s="85">
        <f>STATS1003B!J1478/1000</f>
        <v>856.53499999999997</v>
      </c>
      <c r="K1477" s="85">
        <f>STATS1003B!K1478/1000</f>
        <v>0</v>
      </c>
      <c r="L1477" s="85">
        <f>STATS1003B!L1478/1000</f>
        <v>0</v>
      </c>
      <c r="M1477" s="85">
        <f>STATS1003B!M1478/1000</f>
        <v>856.53499999999997</v>
      </c>
      <c r="N1477" s="85">
        <f>STATS1003B!N1478/1000</f>
        <v>0</v>
      </c>
      <c r="O1477" s="85">
        <f>STATS1003B!O1478/1000</f>
        <v>0</v>
      </c>
      <c r="P1477" s="85">
        <f>STATS1003B!P1478/1000</f>
        <v>0</v>
      </c>
      <c r="Q1477" s="85">
        <f>STATS1003B!Q1478/1000</f>
        <v>950</v>
      </c>
      <c r="R1477" s="85">
        <f>STATS1003B!R1478/1000</f>
        <v>0</v>
      </c>
      <c r="S1477" s="85">
        <f>STATS1003B!S1478/1000</f>
        <v>0</v>
      </c>
      <c r="T1477" s="85">
        <f>STATS1003B!T1478/1000</f>
        <v>0</v>
      </c>
      <c r="U1477" s="85">
        <f>STATS1003B!U1478/1000</f>
        <v>0</v>
      </c>
      <c r="V1477" s="85">
        <f>STATS1003B!V1478/1000</f>
        <v>856.53499999999997</v>
      </c>
      <c r="W1477" s="85">
        <f>STATS1003B!W1478/1000</f>
        <v>93.465000000000003</v>
      </c>
      <c r="X1477" s="85">
        <f t="shared" si="173"/>
        <v>856.53499999999997</v>
      </c>
      <c r="Y1477" s="85">
        <f>STATS1003B!Y1478/1000</f>
        <v>0</v>
      </c>
      <c r="Z1477" s="85">
        <f t="shared" si="172"/>
        <v>93.465000000000032</v>
      </c>
      <c r="AA1477" s="69">
        <f>STATS1003B!AA1478/1000</f>
        <v>856.53499999999997</v>
      </c>
      <c r="AB1477" s="69">
        <f>STATS1003B!AB1478/1000</f>
        <v>93.465000000000003</v>
      </c>
    </row>
    <row r="1478" spans="1:28" hidden="1" x14ac:dyDescent="0.3">
      <c r="A1478" s="117"/>
      <c r="C1478" s="68" t="s">
        <v>540</v>
      </c>
      <c r="D1478" s="87" t="s">
        <v>54</v>
      </c>
      <c r="E1478" s="85">
        <f>STATS1003B!E1479/1000</f>
        <v>570.94100000000003</v>
      </c>
      <c r="F1478" s="85">
        <f>STATS1003B!F1479/1000</f>
        <v>0</v>
      </c>
      <c r="G1478" s="85">
        <f>STATS1003B!G1479/1000</f>
        <v>0</v>
      </c>
      <c r="H1478" s="85">
        <f>STATS1003B!H1479/1000</f>
        <v>0</v>
      </c>
      <c r="I1478" s="85">
        <f>STATS1003B!I1479/1000</f>
        <v>0</v>
      </c>
      <c r="J1478" s="85">
        <f>STATS1003B!J1479/1000</f>
        <v>0</v>
      </c>
      <c r="K1478" s="85">
        <f>STATS1003B!K1479/1000</f>
        <v>570.94100000000003</v>
      </c>
      <c r="L1478" s="85">
        <f>STATS1003B!L1479/1000</f>
        <v>0</v>
      </c>
      <c r="M1478" s="85">
        <f>STATS1003B!M1479/1000</f>
        <v>0</v>
      </c>
      <c r="N1478" s="85">
        <f>STATS1003B!N1479/1000</f>
        <v>570.94100000000003</v>
      </c>
      <c r="O1478" s="85">
        <f>STATS1003B!O1479/1000</f>
        <v>0</v>
      </c>
      <c r="P1478" s="85">
        <f>STATS1003B!P1479/1000</f>
        <v>570.94100000000003</v>
      </c>
      <c r="Q1478" s="85">
        <f>STATS1003B!Q1479/1000</f>
        <v>0</v>
      </c>
      <c r="R1478" s="85">
        <f>STATS1003B!R1479/1000</f>
        <v>0</v>
      </c>
      <c r="S1478" s="85">
        <f>STATS1003B!S1479/1000</f>
        <v>0</v>
      </c>
      <c r="T1478" s="85">
        <f>STATS1003B!T1479/1000</f>
        <v>0</v>
      </c>
      <c r="U1478" s="85">
        <f>STATS1003B!U1479/1000</f>
        <v>570.94100000000003</v>
      </c>
      <c r="V1478" s="85">
        <f>STATS1003B!V1479/1000</f>
        <v>570.94100000000003</v>
      </c>
      <c r="W1478" s="85">
        <f>STATS1003B!W1479/1000</f>
        <v>0</v>
      </c>
      <c r="X1478" s="85">
        <f t="shared" si="173"/>
        <v>570.94100000000003</v>
      </c>
      <c r="Y1478" s="85">
        <f>STATS1003B!Y1479/1000</f>
        <v>0</v>
      </c>
      <c r="Z1478" s="85">
        <f t="shared" si="172"/>
        <v>0</v>
      </c>
      <c r="AA1478" s="69">
        <f>STATS1003B!AA1479/1000</f>
        <v>570.94100000000003</v>
      </c>
      <c r="AB1478" s="69">
        <f>STATS1003B!AB1479/1000</f>
        <v>0</v>
      </c>
    </row>
    <row r="1479" spans="1:28" hidden="1" x14ac:dyDescent="0.3">
      <c r="A1479" s="117"/>
      <c r="C1479" s="68" t="s">
        <v>535</v>
      </c>
      <c r="D1479" s="87" t="s">
        <v>85</v>
      </c>
      <c r="E1479" s="85">
        <f>STATS1003B!E1480/1000</f>
        <v>1672.597</v>
      </c>
      <c r="F1479" s="85">
        <f>STATS1003B!F1480/1000</f>
        <v>1672.597</v>
      </c>
      <c r="G1479" s="85">
        <f>STATS1003B!G1480/1000</f>
        <v>0</v>
      </c>
      <c r="H1479" s="85">
        <f>STATS1003B!H1480/1000</f>
        <v>1672.597</v>
      </c>
      <c r="I1479" s="85">
        <f>STATS1003B!I1480/1000</f>
        <v>0</v>
      </c>
      <c r="J1479" s="85">
        <f>STATS1003B!J1480/1000</f>
        <v>1672.597</v>
      </c>
      <c r="K1479" s="85">
        <f>STATS1003B!K1480/1000</f>
        <v>0</v>
      </c>
      <c r="L1479" s="85">
        <f>STATS1003B!L1480/1000</f>
        <v>0</v>
      </c>
      <c r="M1479" s="85">
        <f>STATS1003B!M1480/1000</f>
        <v>1672.597</v>
      </c>
      <c r="N1479" s="85">
        <f>STATS1003B!N1480/1000</f>
        <v>0</v>
      </c>
      <c r="O1479" s="85">
        <f>STATS1003B!O1480/1000</f>
        <v>0</v>
      </c>
      <c r="P1479" s="85">
        <f>STATS1003B!P1480/1000</f>
        <v>0</v>
      </c>
      <c r="Q1479" s="85">
        <f>STATS1003B!Q1480/1000</f>
        <v>1672.597</v>
      </c>
      <c r="R1479" s="85">
        <f>STATS1003B!R1480/1000</f>
        <v>0</v>
      </c>
      <c r="S1479" s="85">
        <f>STATS1003B!S1480/1000</f>
        <v>0</v>
      </c>
      <c r="T1479" s="85">
        <f>STATS1003B!T1480/1000</f>
        <v>0</v>
      </c>
      <c r="U1479" s="85">
        <f>STATS1003B!U1480/1000</f>
        <v>0</v>
      </c>
      <c r="V1479" s="85">
        <f>STATS1003B!V1480/1000</f>
        <v>1672.597</v>
      </c>
      <c r="W1479" s="85">
        <f>STATS1003B!W1480/1000</f>
        <v>0</v>
      </c>
      <c r="X1479" s="85">
        <f t="shared" si="173"/>
        <v>1672.597</v>
      </c>
      <c r="Y1479" s="85">
        <f>STATS1003B!Y1480/1000</f>
        <v>0</v>
      </c>
      <c r="Z1479" s="85">
        <f t="shared" si="172"/>
        <v>0</v>
      </c>
      <c r="AA1479" s="69">
        <f>STATS1003B!AA1480/1000</f>
        <v>1672.597</v>
      </c>
      <c r="AB1479" s="69">
        <f>STATS1003B!AB1480/1000</f>
        <v>0</v>
      </c>
    </row>
    <row r="1480" spans="1:28" hidden="1" x14ac:dyDescent="0.3">
      <c r="A1480" s="117"/>
      <c r="C1480" s="68" t="s">
        <v>667</v>
      </c>
      <c r="D1480" s="87" t="s">
        <v>85</v>
      </c>
      <c r="E1480" s="85">
        <f>STATS1003B!E1481/1000</f>
        <v>120</v>
      </c>
      <c r="F1480" s="85">
        <f>STATS1003B!F1481/1000</f>
        <v>120</v>
      </c>
      <c r="G1480" s="85">
        <f>STATS1003B!G1481/1000</f>
        <v>0</v>
      </c>
      <c r="H1480" s="85">
        <f>STATS1003B!H1481/1000</f>
        <v>120</v>
      </c>
      <c r="I1480" s="85">
        <f>STATS1003B!I1481/1000</f>
        <v>0</v>
      </c>
      <c r="J1480" s="85">
        <f>STATS1003B!J1481/1000</f>
        <v>120</v>
      </c>
      <c r="K1480" s="85">
        <f>STATS1003B!K1481/1000</f>
        <v>0</v>
      </c>
      <c r="L1480" s="85">
        <f>STATS1003B!L1481/1000</f>
        <v>0</v>
      </c>
      <c r="M1480" s="85">
        <f>STATS1003B!M1481/1000</f>
        <v>120</v>
      </c>
      <c r="N1480" s="85">
        <f>STATS1003B!N1481/1000</f>
        <v>0</v>
      </c>
      <c r="O1480" s="85">
        <f>STATS1003B!O1481/1000</f>
        <v>0</v>
      </c>
      <c r="P1480" s="85">
        <f>STATS1003B!P1481/1000</f>
        <v>0</v>
      </c>
      <c r="Q1480" s="85">
        <f>STATS1003B!Q1481/1000</f>
        <v>120</v>
      </c>
      <c r="R1480" s="85">
        <f>STATS1003B!R1481/1000</f>
        <v>0</v>
      </c>
      <c r="S1480" s="85">
        <f>STATS1003B!S1481/1000</f>
        <v>0</v>
      </c>
      <c r="T1480" s="85">
        <f>STATS1003B!T1481/1000</f>
        <v>0</v>
      </c>
      <c r="U1480" s="85">
        <f>STATS1003B!U1481/1000</f>
        <v>0</v>
      </c>
      <c r="V1480" s="85">
        <f>STATS1003B!V1481/1000</f>
        <v>120</v>
      </c>
      <c r="W1480" s="85">
        <f>STATS1003B!W1481/1000</f>
        <v>0</v>
      </c>
      <c r="X1480" s="85">
        <f t="shared" si="173"/>
        <v>120</v>
      </c>
      <c r="Y1480" s="85">
        <f>STATS1003B!Y1481/1000</f>
        <v>0</v>
      </c>
      <c r="Z1480" s="85">
        <f t="shared" si="172"/>
        <v>0</v>
      </c>
      <c r="AA1480" s="69">
        <f>STATS1003B!AA1481/1000</f>
        <v>120</v>
      </c>
      <c r="AB1480" s="69">
        <f>STATS1003B!AB1481/1000</f>
        <v>0</v>
      </c>
    </row>
    <row r="1481" spans="1:28" hidden="1" x14ac:dyDescent="0.3">
      <c r="A1481" s="117"/>
      <c r="C1481" s="68" t="s">
        <v>535</v>
      </c>
      <c r="D1481" s="87" t="s">
        <v>128</v>
      </c>
      <c r="E1481" s="85">
        <f>STATS1003B!E1482/1000</f>
        <v>3084.9026600000002</v>
      </c>
      <c r="F1481" s="85">
        <f>STATS1003B!F1482/1000</f>
        <v>3084.9026600000002</v>
      </c>
      <c r="G1481" s="85">
        <f>STATS1003B!G1482/1000</f>
        <v>0</v>
      </c>
      <c r="H1481" s="85">
        <f>STATS1003B!H1482/1000</f>
        <v>3084.9026600000002</v>
      </c>
      <c r="I1481" s="85">
        <f>STATS1003B!I1482/1000</f>
        <v>0</v>
      </c>
      <c r="J1481" s="85">
        <f>STATS1003B!J1482/1000</f>
        <v>3084.9026600000002</v>
      </c>
      <c r="K1481" s="85">
        <f>STATS1003B!K1482/1000</f>
        <v>0</v>
      </c>
      <c r="L1481" s="85">
        <f>STATS1003B!L1482/1000</f>
        <v>0</v>
      </c>
      <c r="M1481" s="85">
        <f>STATS1003B!M1482/1000</f>
        <v>3084.9026600000002</v>
      </c>
      <c r="N1481" s="85">
        <f>STATS1003B!N1482/1000</f>
        <v>0</v>
      </c>
      <c r="O1481" s="85">
        <f>STATS1003B!O1482/1000</f>
        <v>0</v>
      </c>
      <c r="P1481" s="85">
        <f>STATS1003B!P1482/1000</f>
        <v>0</v>
      </c>
      <c r="Q1481" s="85">
        <f>STATS1003B!Q1482/1000</f>
        <v>3084.9026600000002</v>
      </c>
      <c r="R1481" s="85">
        <f>STATS1003B!R1482/1000</f>
        <v>0</v>
      </c>
      <c r="S1481" s="85">
        <f>STATS1003B!S1482/1000</f>
        <v>0</v>
      </c>
      <c r="T1481" s="85">
        <f>STATS1003B!T1482/1000</f>
        <v>0</v>
      </c>
      <c r="U1481" s="85">
        <f>STATS1003B!U1482/1000</f>
        <v>0</v>
      </c>
      <c r="V1481" s="85">
        <f>STATS1003B!V1482/1000</f>
        <v>3084.9026600000002</v>
      </c>
      <c r="W1481" s="85">
        <f>STATS1003B!W1482/1000</f>
        <v>0</v>
      </c>
      <c r="X1481" s="85">
        <f t="shared" si="173"/>
        <v>3084.9026600000002</v>
      </c>
      <c r="Y1481" s="85">
        <f>STATS1003B!Y1482/1000</f>
        <v>0</v>
      </c>
      <c r="Z1481" s="85">
        <f t="shared" si="172"/>
        <v>0</v>
      </c>
      <c r="AA1481" s="69">
        <f>STATS1003B!AA1482/1000</f>
        <v>3084.9026600000002</v>
      </c>
      <c r="AB1481" s="69">
        <f>STATS1003B!AB1482/1000</f>
        <v>0</v>
      </c>
    </row>
    <row r="1482" spans="1:28" hidden="1" x14ac:dyDescent="0.3">
      <c r="A1482" s="117"/>
      <c r="C1482" s="68" t="s">
        <v>741</v>
      </c>
      <c r="D1482" s="87" t="s">
        <v>128</v>
      </c>
      <c r="E1482" s="85">
        <f>STATS1003B!E1483/1000</f>
        <v>716</v>
      </c>
      <c r="F1482" s="85">
        <f>STATS1003B!F1483/1000</f>
        <v>716</v>
      </c>
      <c r="G1482" s="85">
        <f>STATS1003B!G1483/1000</f>
        <v>0</v>
      </c>
      <c r="H1482" s="85">
        <f>STATS1003B!H1483/1000</f>
        <v>716</v>
      </c>
      <c r="I1482" s="85">
        <f>STATS1003B!I1483/1000</f>
        <v>0</v>
      </c>
      <c r="J1482" s="85">
        <f>STATS1003B!J1483/1000</f>
        <v>716</v>
      </c>
      <c r="K1482" s="85">
        <f>STATS1003B!K1483/1000</f>
        <v>0</v>
      </c>
      <c r="L1482" s="85">
        <f>STATS1003B!L1483/1000</f>
        <v>0</v>
      </c>
      <c r="M1482" s="85">
        <f>STATS1003B!M1483/1000</f>
        <v>716</v>
      </c>
      <c r="N1482" s="85">
        <f>STATS1003B!N1483/1000</f>
        <v>0</v>
      </c>
      <c r="O1482" s="85">
        <f>STATS1003B!O1483/1000</f>
        <v>0</v>
      </c>
      <c r="P1482" s="85">
        <f>STATS1003B!P1483/1000</f>
        <v>0</v>
      </c>
      <c r="Q1482" s="85">
        <f>STATS1003B!Q1483/1000</f>
        <v>716</v>
      </c>
      <c r="R1482" s="85">
        <f>STATS1003B!R1483/1000</f>
        <v>0</v>
      </c>
      <c r="S1482" s="85">
        <f>STATS1003B!S1483/1000</f>
        <v>0</v>
      </c>
      <c r="T1482" s="85">
        <f>STATS1003B!T1483/1000</f>
        <v>0</v>
      </c>
      <c r="U1482" s="85">
        <f>STATS1003B!U1483/1000</f>
        <v>0</v>
      </c>
      <c r="V1482" s="85">
        <f>STATS1003B!V1483/1000</f>
        <v>716</v>
      </c>
      <c r="W1482" s="85">
        <f>STATS1003B!W1483/1000</f>
        <v>0</v>
      </c>
      <c r="X1482" s="85">
        <f t="shared" si="173"/>
        <v>716</v>
      </c>
      <c r="Y1482" s="85">
        <f>STATS1003B!Y1483/1000</f>
        <v>0</v>
      </c>
      <c r="Z1482" s="85">
        <f t="shared" si="172"/>
        <v>0</v>
      </c>
      <c r="AA1482" s="69">
        <f>STATS1003B!AA1483/1000</f>
        <v>716</v>
      </c>
      <c r="AB1482" s="69">
        <f>STATS1003B!AB1483/1000</f>
        <v>0</v>
      </c>
    </row>
    <row r="1483" spans="1:28" hidden="1" x14ac:dyDescent="0.3">
      <c r="A1483" s="117"/>
      <c r="C1483" s="68" t="s">
        <v>535</v>
      </c>
      <c r="D1483" s="87" t="s">
        <v>88</v>
      </c>
      <c r="E1483" s="85">
        <f>STATS1003B!E1484/1000</f>
        <v>5901.2789700000003</v>
      </c>
      <c r="F1483" s="85">
        <f>STATS1003B!F1484/1000</f>
        <v>5901.2789699999994</v>
      </c>
      <c r="G1483" s="85">
        <f>STATS1003B!G1484/1000</f>
        <v>0</v>
      </c>
      <c r="H1483" s="85">
        <f>STATS1003B!H1484/1000</f>
        <v>5901.2789699999994</v>
      </c>
      <c r="I1483" s="85">
        <f>STATS1003B!I1484/1000</f>
        <v>0</v>
      </c>
      <c r="J1483" s="85">
        <f>STATS1003B!J1484/1000</f>
        <v>5901.2789699999994</v>
      </c>
      <c r="K1483" s="85">
        <f>STATS1003B!K1484/1000</f>
        <v>0</v>
      </c>
      <c r="L1483" s="85">
        <f>STATS1003B!L1484/1000</f>
        <v>0</v>
      </c>
      <c r="M1483" s="85">
        <f>STATS1003B!M1484/1000</f>
        <v>5901.2789699999994</v>
      </c>
      <c r="N1483" s="85">
        <f>STATS1003B!N1484/1000</f>
        <v>0</v>
      </c>
      <c r="O1483" s="85">
        <f>STATS1003B!O1484/1000</f>
        <v>0</v>
      </c>
      <c r="P1483" s="85">
        <f>STATS1003B!P1484/1000</f>
        <v>0</v>
      </c>
      <c r="Q1483" s="85">
        <f>STATS1003B!Q1484/1000</f>
        <v>5901.2789700000003</v>
      </c>
      <c r="R1483" s="85">
        <f>STATS1003B!R1484/1000</f>
        <v>0</v>
      </c>
      <c r="S1483" s="85">
        <f>STATS1003B!S1484/1000</f>
        <v>0</v>
      </c>
      <c r="T1483" s="85">
        <f>STATS1003B!T1484/1000</f>
        <v>0</v>
      </c>
      <c r="U1483" s="85">
        <f>STATS1003B!U1484/1000</f>
        <v>0</v>
      </c>
      <c r="V1483" s="85">
        <f>STATS1003B!V1484/1000</f>
        <v>5901.2789699999994</v>
      </c>
      <c r="W1483" s="85">
        <f>STATS1003B!W1484/1000</f>
        <v>0</v>
      </c>
      <c r="X1483" s="85">
        <f t="shared" si="173"/>
        <v>5901.2789699999994</v>
      </c>
      <c r="Y1483" s="85">
        <f>STATS1003B!Y1484/1000</f>
        <v>0</v>
      </c>
      <c r="Z1483" s="85">
        <f t="shared" si="172"/>
        <v>0</v>
      </c>
      <c r="AA1483" s="69">
        <f>STATS1003B!AA1484/1000</f>
        <v>5901.2789699999994</v>
      </c>
      <c r="AB1483" s="69">
        <f>STATS1003B!AB1484/1000</f>
        <v>0</v>
      </c>
    </row>
    <row r="1484" spans="1:28" hidden="1" x14ac:dyDescent="0.3">
      <c r="A1484" s="117"/>
      <c r="C1484" s="68" t="s">
        <v>603</v>
      </c>
      <c r="D1484" s="87" t="s">
        <v>108</v>
      </c>
      <c r="E1484" s="85">
        <f>STATS1003B!E1485/1000</f>
        <v>93.465000000000003</v>
      </c>
      <c r="F1484" s="85">
        <f>STATS1003B!F1485/1000</f>
        <v>93.465000000000003</v>
      </c>
      <c r="G1484" s="85">
        <f>STATS1003B!G1485/1000</f>
        <v>0</v>
      </c>
      <c r="H1484" s="85">
        <f>STATS1003B!H1485/1000</f>
        <v>93.465000000000003</v>
      </c>
      <c r="I1484" s="85">
        <f>STATS1003B!I1485/1000</f>
        <v>0</v>
      </c>
      <c r="J1484" s="85">
        <f>STATS1003B!J1485/1000</f>
        <v>93.465000000000003</v>
      </c>
      <c r="K1484" s="85">
        <f>STATS1003B!K1485/1000</f>
        <v>0</v>
      </c>
      <c r="L1484" s="85">
        <f>STATS1003B!L1485/1000</f>
        <v>0</v>
      </c>
      <c r="M1484" s="85">
        <f>STATS1003B!M1485/1000</f>
        <v>93.465000000000003</v>
      </c>
      <c r="N1484" s="85">
        <f>STATS1003B!N1485/1000</f>
        <v>0</v>
      </c>
      <c r="O1484" s="85">
        <f>STATS1003B!O1485/1000</f>
        <v>0</v>
      </c>
      <c r="P1484" s="85">
        <f>STATS1003B!P1485/1000</f>
        <v>0</v>
      </c>
      <c r="Q1484" s="85">
        <f>STATS1003B!Q1485/1000</f>
        <v>93.465000000000003</v>
      </c>
      <c r="R1484" s="85">
        <f>STATS1003B!R1485/1000</f>
        <v>0</v>
      </c>
      <c r="S1484" s="85">
        <f>STATS1003B!S1485/1000</f>
        <v>0</v>
      </c>
      <c r="T1484" s="85">
        <f>STATS1003B!T1485/1000</f>
        <v>0</v>
      </c>
      <c r="U1484" s="85">
        <f>STATS1003B!U1485/1000</f>
        <v>0</v>
      </c>
      <c r="V1484" s="85">
        <f>STATS1003B!V1485/1000</f>
        <v>93.465000000000003</v>
      </c>
      <c r="W1484" s="85">
        <f>STATS1003B!W1485/1000</f>
        <v>0</v>
      </c>
      <c r="X1484" s="85">
        <f t="shared" si="173"/>
        <v>93.465000000000003</v>
      </c>
      <c r="Y1484" s="85">
        <f>STATS1003B!Y1485/1000</f>
        <v>0</v>
      </c>
      <c r="Z1484" s="85">
        <f t="shared" si="172"/>
        <v>0</v>
      </c>
      <c r="AA1484" s="69">
        <f>STATS1003B!AA1485/1000</f>
        <v>93.465000000000003</v>
      </c>
      <c r="AB1484" s="69">
        <f>STATS1003B!AB1485/1000</f>
        <v>0</v>
      </c>
    </row>
    <row r="1485" spans="1:28" hidden="1" x14ac:dyDescent="0.3">
      <c r="A1485" s="117"/>
      <c r="C1485" s="68" t="s">
        <v>535</v>
      </c>
      <c r="D1485" s="87" t="s">
        <v>58</v>
      </c>
      <c r="E1485" s="85">
        <f>STATS1003B!E1486/1000</f>
        <v>3548.386</v>
      </c>
      <c r="F1485" s="85">
        <f>STATS1003B!F1486/1000</f>
        <v>3548.386</v>
      </c>
      <c r="G1485" s="85">
        <f>STATS1003B!G1486/1000</f>
        <v>0</v>
      </c>
      <c r="H1485" s="85">
        <f>STATS1003B!H1486/1000</f>
        <v>3548.386</v>
      </c>
      <c r="I1485" s="85">
        <f>STATS1003B!I1486/1000</f>
        <v>0</v>
      </c>
      <c r="J1485" s="85">
        <f>STATS1003B!J1486/1000</f>
        <v>3548.386</v>
      </c>
      <c r="K1485" s="85">
        <f>STATS1003B!K1486/1000</f>
        <v>0</v>
      </c>
      <c r="L1485" s="85">
        <f>STATS1003B!L1486/1000</f>
        <v>0</v>
      </c>
      <c r="M1485" s="85">
        <f>STATS1003B!M1486/1000</f>
        <v>3548.386</v>
      </c>
      <c r="N1485" s="85">
        <f>STATS1003B!N1486/1000</f>
        <v>0</v>
      </c>
      <c r="O1485" s="85">
        <f>STATS1003B!O1486/1000</f>
        <v>0</v>
      </c>
      <c r="P1485" s="85">
        <f>STATS1003B!P1486/1000</f>
        <v>0</v>
      </c>
      <c r="Q1485" s="85">
        <f>STATS1003B!Q1486/1000</f>
        <v>3548.386</v>
      </c>
      <c r="R1485" s="85">
        <f>STATS1003B!R1486/1000</f>
        <v>0</v>
      </c>
      <c r="S1485" s="85">
        <f>STATS1003B!S1486/1000</f>
        <v>0</v>
      </c>
      <c r="T1485" s="85">
        <f>STATS1003B!T1486/1000</f>
        <v>0</v>
      </c>
      <c r="U1485" s="85">
        <f>STATS1003B!U1486/1000</f>
        <v>0</v>
      </c>
      <c r="V1485" s="85">
        <f>STATS1003B!V1486/1000</f>
        <v>3548.386</v>
      </c>
      <c r="W1485" s="85">
        <f>STATS1003B!W1486/1000</f>
        <v>0</v>
      </c>
      <c r="X1485" s="85">
        <f t="shared" si="173"/>
        <v>3548.386</v>
      </c>
      <c r="Y1485" s="85">
        <f>STATS1003B!Y1486/1000</f>
        <v>0</v>
      </c>
      <c r="Z1485" s="85">
        <f t="shared" si="172"/>
        <v>0</v>
      </c>
      <c r="AA1485" s="69">
        <f>STATS1003B!AA1486/1000</f>
        <v>3548.386</v>
      </c>
      <c r="AB1485" s="69">
        <f>STATS1003B!AB1486/1000</f>
        <v>0</v>
      </c>
    </row>
    <row r="1486" spans="1:28" hidden="1" x14ac:dyDescent="0.3">
      <c r="A1486" s="117"/>
      <c r="C1486" s="71" t="s">
        <v>742</v>
      </c>
      <c r="D1486" s="87" t="s">
        <v>58</v>
      </c>
      <c r="E1486" s="85">
        <f>STATS1003B!E1487/1000</f>
        <v>150</v>
      </c>
      <c r="F1486" s="85">
        <f>STATS1003B!F1487/1000</f>
        <v>150</v>
      </c>
      <c r="G1486" s="85">
        <f>STATS1003B!G1487/1000</f>
        <v>0</v>
      </c>
      <c r="H1486" s="85">
        <f>STATS1003B!H1487/1000</f>
        <v>150</v>
      </c>
      <c r="I1486" s="85">
        <f>STATS1003B!I1487/1000</f>
        <v>0</v>
      </c>
      <c r="J1486" s="85">
        <f>STATS1003B!J1487/1000</f>
        <v>150</v>
      </c>
      <c r="K1486" s="85">
        <f>STATS1003B!K1487/1000</f>
        <v>0</v>
      </c>
      <c r="L1486" s="85">
        <f>STATS1003B!L1487/1000</f>
        <v>0</v>
      </c>
      <c r="M1486" s="85">
        <f>STATS1003B!M1487/1000</f>
        <v>150</v>
      </c>
      <c r="N1486" s="85">
        <f>STATS1003B!N1487/1000</f>
        <v>0</v>
      </c>
      <c r="O1486" s="85">
        <f>STATS1003B!O1487/1000</f>
        <v>0</v>
      </c>
      <c r="P1486" s="85">
        <f>STATS1003B!P1487/1000</f>
        <v>0</v>
      </c>
      <c r="Q1486" s="85">
        <f>STATS1003B!Q1487/1000</f>
        <v>150</v>
      </c>
      <c r="R1486" s="85">
        <f>STATS1003B!R1487/1000</f>
        <v>0</v>
      </c>
      <c r="S1486" s="85">
        <f>STATS1003B!S1487/1000</f>
        <v>0</v>
      </c>
      <c r="T1486" s="85">
        <f>STATS1003B!T1487/1000</f>
        <v>0</v>
      </c>
      <c r="U1486" s="85">
        <f>STATS1003B!U1487/1000</f>
        <v>0</v>
      </c>
      <c r="V1486" s="85">
        <f>STATS1003B!V1487/1000</f>
        <v>150</v>
      </c>
      <c r="W1486" s="85">
        <f>STATS1003B!W1487/1000</f>
        <v>0</v>
      </c>
      <c r="X1486" s="85">
        <f t="shared" si="173"/>
        <v>150</v>
      </c>
      <c r="Y1486" s="85">
        <f>STATS1003B!Y1487/1000</f>
        <v>0</v>
      </c>
      <c r="Z1486" s="85">
        <f t="shared" si="172"/>
        <v>0</v>
      </c>
      <c r="AA1486" s="69">
        <f>STATS1003B!AA1487/1000</f>
        <v>150</v>
      </c>
      <c r="AB1486" s="69">
        <f>STATS1003B!AB1487/1000</f>
        <v>0</v>
      </c>
    </row>
    <row r="1487" spans="1:28" hidden="1" x14ac:dyDescent="0.3">
      <c r="A1487" s="117"/>
      <c r="C1487" s="68" t="s">
        <v>743</v>
      </c>
      <c r="D1487" s="87" t="s">
        <v>60</v>
      </c>
      <c r="E1487" s="85">
        <f>STATS1003B!E1488/1000</f>
        <v>878</v>
      </c>
      <c r="F1487" s="85">
        <f>STATS1003B!F1488/1000</f>
        <v>878</v>
      </c>
      <c r="G1487" s="85">
        <f>STATS1003B!G1488/1000</f>
        <v>0</v>
      </c>
      <c r="H1487" s="85">
        <f>STATS1003B!H1488/1000</f>
        <v>878</v>
      </c>
      <c r="I1487" s="85">
        <f>STATS1003B!I1488/1000</f>
        <v>0</v>
      </c>
      <c r="J1487" s="85">
        <f>STATS1003B!J1488/1000</f>
        <v>878</v>
      </c>
      <c r="K1487" s="85">
        <f>STATS1003B!K1488/1000</f>
        <v>0</v>
      </c>
      <c r="L1487" s="85">
        <f>STATS1003B!L1488/1000</f>
        <v>0</v>
      </c>
      <c r="M1487" s="85">
        <f>STATS1003B!M1488/1000</f>
        <v>878</v>
      </c>
      <c r="N1487" s="85">
        <f>STATS1003B!N1488/1000</f>
        <v>0</v>
      </c>
      <c r="O1487" s="85">
        <f>STATS1003B!O1488/1000</f>
        <v>0</v>
      </c>
      <c r="P1487" s="85">
        <f>STATS1003B!P1488/1000</f>
        <v>0</v>
      </c>
      <c r="Q1487" s="85">
        <f>STATS1003B!Q1488/1000</f>
        <v>878</v>
      </c>
      <c r="R1487" s="85">
        <f>STATS1003B!R1488/1000</f>
        <v>0</v>
      </c>
      <c r="S1487" s="85">
        <f>STATS1003B!S1488/1000</f>
        <v>0</v>
      </c>
      <c r="T1487" s="85">
        <f>STATS1003B!T1488/1000</f>
        <v>0</v>
      </c>
      <c r="U1487" s="85">
        <f>STATS1003B!U1488/1000</f>
        <v>0</v>
      </c>
      <c r="V1487" s="85">
        <f>STATS1003B!V1488/1000</f>
        <v>878</v>
      </c>
      <c r="W1487" s="85">
        <f>STATS1003B!W1488/1000</f>
        <v>0</v>
      </c>
      <c r="X1487" s="85">
        <f t="shared" si="173"/>
        <v>878</v>
      </c>
      <c r="Y1487" s="85">
        <f>STATS1003B!Y1488/1000</f>
        <v>0</v>
      </c>
      <c r="Z1487" s="85">
        <f t="shared" si="172"/>
        <v>0</v>
      </c>
      <c r="AA1487" s="69">
        <f>STATS1003B!AA1488/1000</f>
        <v>878</v>
      </c>
      <c r="AB1487" s="69">
        <f>STATS1003B!AB1488/1000</f>
        <v>0</v>
      </c>
    </row>
    <row r="1488" spans="1:28" hidden="1" x14ac:dyDescent="0.3">
      <c r="A1488" s="117"/>
      <c r="C1488" s="68" t="s">
        <v>743</v>
      </c>
      <c r="D1488" s="87" t="s">
        <v>73</v>
      </c>
      <c r="E1488" s="85">
        <f>STATS1003B!E1489/1000</f>
        <v>3416.6410000000001</v>
      </c>
      <c r="F1488" s="85">
        <f>STATS1003B!F1489/1000</f>
        <v>3416.6410000000001</v>
      </c>
      <c r="G1488" s="85">
        <f>STATS1003B!G1489/1000</f>
        <v>0</v>
      </c>
      <c r="H1488" s="85">
        <f>STATS1003B!H1489/1000</f>
        <v>3416.6410000000001</v>
      </c>
      <c r="I1488" s="85">
        <f>STATS1003B!I1489/1000</f>
        <v>0</v>
      </c>
      <c r="J1488" s="85">
        <f>STATS1003B!J1489/1000</f>
        <v>3416.6410000000001</v>
      </c>
      <c r="K1488" s="85">
        <f>STATS1003B!K1489/1000</f>
        <v>0</v>
      </c>
      <c r="L1488" s="85">
        <f>STATS1003B!L1489/1000</f>
        <v>0</v>
      </c>
      <c r="M1488" s="85">
        <f>STATS1003B!M1489/1000</f>
        <v>3416.6410000000001</v>
      </c>
      <c r="N1488" s="85">
        <f>STATS1003B!N1489/1000</f>
        <v>0</v>
      </c>
      <c r="O1488" s="85">
        <f>STATS1003B!O1489/1000</f>
        <v>0</v>
      </c>
      <c r="P1488" s="85">
        <f>STATS1003B!P1489/1000</f>
        <v>0</v>
      </c>
      <c r="Q1488" s="85">
        <f>STATS1003B!Q1489/1000</f>
        <v>3416.6410000000001</v>
      </c>
      <c r="R1488" s="85">
        <f>STATS1003B!R1489/1000</f>
        <v>0</v>
      </c>
      <c r="S1488" s="85">
        <f>STATS1003B!S1489/1000</f>
        <v>0</v>
      </c>
      <c r="T1488" s="85">
        <f>STATS1003B!T1489/1000</f>
        <v>0</v>
      </c>
      <c r="U1488" s="85">
        <f>STATS1003B!U1489/1000</f>
        <v>0</v>
      </c>
      <c r="V1488" s="85">
        <f>STATS1003B!V1489/1000</f>
        <v>3416.6410000000001</v>
      </c>
      <c r="W1488" s="85">
        <f>STATS1003B!W1489/1000</f>
        <v>0</v>
      </c>
      <c r="X1488" s="85">
        <f t="shared" si="173"/>
        <v>3416.6410000000001</v>
      </c>
      <c r="Y1488" s="85">
        <f>STATS1003B!Y1489/1000</f>
        <v>0</v>
      </c>
      <c r="Z1488" s="85">
        <f t="shared" si="172"/>
        <v>0</v>
      </c>
      <c r="AA1488" s="69">
        <f>STATS1003B!AA1489/1000</f>
        <v>3416.6410000000001</v>
      </c>
      <c r="AB1488" s="69">
        <f>STATS1003B!AB1489/1000</f>
        <v>0</v>
      </c>
    </row>
    <row r="1489" spans="1:28" hidden="1" x14ac:dyDescent="0.3">
      <c r="A1489" s="117"/>
      <c r="C1489" s="68" t="s">
        <v>743</v>
      </c>
      <c r="D1489" s="87" t="s">
        <v>61</v>
      </c>
      <c r="E1489" s="85">
        <f>STATS1003B!E1490/1000</f>
        <v>719</v>
      </c>
      <c r="F1489" s="85">
        <f>STATS1003B!F1490/1000</f>
        <v>719</v>
      </c>
      <c r="G1489" s="85">
        <f>STATS1003B!G1490/1000</f>
        <v>0</v>
      </c>
      <c r="H1489" s="85">
        <f>STATS1003B!H1490/1000</f>
        <v>719</v>
      </c>
      <c r="I1489" s="85">
        <f>STATS1003B!I1490/1000</f>
        <v>0</v>
      </c>
      <c r="J1489" s="85">
        <f>STATS1003B!J1490/1000</f>
        <v>719</v>
      </c>
      <c r="K1489" s="85">
        <f>STATS1003B!K1490/1000</f>
        <v>0</v>
      </c>
      <c r="L1489" s="85">
        <f>STATS1003B!L1490/1000</f>
        <v>0</v>
      </c>
      <c r="M1489" s="85">
        <f>STATS1003B!M1490/1000</f>
        <v>719</v>
      </c>
      <c r="N1489" s="85">
        <f>STATS1003B!N1490/1000</f>
        <v>0</v>
      </c>
      <c r="O1489" s="85">
        <f>STATS1003B!O1490/1000</f>
        <v>0</v>
      </c>
      <c r="P1489" s="85">
        <f>STATS1003B!P1490/1000</f>
        <v>0</v>
      </c>
      <c r="Q1489" s="85">
        <f>STATS1003B!Q1490/1000</f>
        <v>719</v>
      </c>
      <c r="R1489" s="85">
        <f>STATS1003B!R1490/1000</f>
        <v>0</v>
      </c>
      <c r="S1489" s="85">
        <f>STATS1003B!S1490/1000</f>
        <v>0</v>
      </c>
      <c r="T1489" s="85">
        <f>STATS1003B!T1490/1000</f>
        <v>0</v>
      </c>
      <c r="U1489" s="85">
        <f>STATS1003B!U1490/1000</f>
        <v>0</v>
      </c>
      <c r="V1489" s="85">
        <f>STATS1003B!V1490/1000</f>
        <v>719</v>
      </c>
      <c r="W1489" s="85">
        <f>STATS1003B!W1490/1000</f>
        <v>0</v>
      </c>
      <c r="X1489" s="85">
        <f t="shared" si="173"/>
        <v>719</v>
      </c>
      <c r="Y1489" s="85">
        <f>STATS1003B!Y1490/1000</f>
        <v>0</v>
      </c>
      <c r="Z1489" s="85">
        <f t="shared" si="172"/>
        <v>0</v>
      </c>
      <c r="AA1489" s="69">
        <f>STATS1003B!AA1490/1000</f>
        <v>719</v>
      </c>
      <c r="AB1489" s="69">
        <f>STATS1003B!AB1490/1000</f>
        <v>0</v>
      </c>
    </row>
    <row r="1490" spans="1:28" hidden="1" x14ac:dyDescent="0.3">
      <c r="A1490" s="117"/>
      <c r="C1490" s="68" t="s">
        <v>933</v>
      </c>
      <c r="D1490" s="90" t="s">
        <v>1072</v>
      </c>
      <c r="E1490" s="85">
        <f>STATS1003B!E1491/1000</f>
        <v>1718</v>
      </c>
      <c r="F1490" s="85">
        <f>STATS1003B!F1491/1000</f>
        <v>1718</v>
      </c>
      <c r="G1490" s="85">
        <f>STATS1003B!G1491/1000</f>
        <v>0</v>
      </c>
      <c r="H1490" s="85">
        <f>STATS1003B!H1491/1000</f>
        <v>1718</v>
      </c>
      <c r="I1490" s="85">
        <f>STATS1003B!I1491/1000</f>
        <v>0</v>
      </c>
      <c r="J1490" s="85">
        <f>STATS1003B!J1491/1000</f>
        <v>1718</v>
      </c>
      <c r="K1490" s="85">
        <f>STATS1003B!K1491/1000</f>
        <v>0</v>
      </c>
      <c r="L1490" s="85">
        <f>STATS1003B!L1491/1000</f>
        <v>0</v>
      </c>
      <c r="M1490" s="85">
        <f>STATS1003B!M1491/1000</f>
        <v>1718</v>
      </c>
      <c r="N1490" s="85">
        <f>STATS1003B!N1491/1000</f>
        <v>0</v>
      </c>
      <c r="O1490" s="85">
        <f>STATS1003B!O1491/1000</f>
        <v>0</v>
      </c>
      <c r="P1490" s="85">
        <f>STATS1003B!P1491/1000</f>
        <v>0</v>
      </c>
      <c r="Q1490" s="85">
        <f>STATS1003B!Q1491/1000</f>
        <v>1718</v>
      </c>
      <c r="R1490" s="85">
        <f>STATS1003B!R1491/1000</f>
        <v>0</v>
      </c>
      <c r="S1490" s="85">
        <f>STATS1003B!S1491/1000</f>
        <v>0</v>
      </c>
      <c r="T1490" s="85">
        <f>STATS1003B!T1491/1000</f>
        <v>0</v>
      </c>
      <c r="U1490" s="85">
        <f>STATS1003B!U1491/1000</f>
        <v>0</v>
      </c>
      <c r="V1490" s="85">
        <f>STATS1003B!V1491/1000</f>
        <v>1718</v>
      </c>
      <c r="W1490" s="85">
        <f>STATS1003B!W1491/1000</f>
        <v>0</v>
      </c>
      <c r="X1490" s="85">
        <f t="shared" si="173"/>
        <v>1718</v>
      </c>
      <c r="Y1490" s="85">
        <f>STATS1003B!Y1491/1000</f>
        <v>0</v>
      </c>
      <c r="Z1490" s="85">
        <f t="shared" si="172"/>
        <v>0</v>
      </c>
      <c r="AA1490" s="69">
        <f>STATS1003B!AA1491/1000</f>
        <v>1718</v>
      </c>
      <c r="AB1490" s="69">
        <f>STATS1003B!AB1491/1000</f>
        <v>0</v>
      </c>
    </row>
    <row r="1491" spans="1:28" hidden="1" x14ac:dyDescent="0.3">
      <c r="A1491" s="117"/>
      <c r="C1491" s="68" t="s">
        <v>1203</v>
      </c>
      <c r="D1491" s="90" t="s">
        <v>1126</v>
      </c>
      <c r="E1491" s="85">
        <f>STATS1003B!E1492/1000</f>
        <v>1424.5440100000001</v>
      </c>
      <c r="F1491" s="85">
        <f>STATS1003B!F1492/1000</f>
        <v>1424.5440100000001</v>
      </c>
      <c r="G1491" s="85">
        <f>STATS1003B!G1492/1000</f>
        <v>0</v>
      </c>
      <c r="H1491" s="85">
        <f>STATS1003B!H1492/1000</f>
        <v>1424.5440100000001</v>
      </c>
      <c r="I1491" s="85">
        <f>STATS1003B!I1492/1000</f>
        <v>0</v>
      </c>
      <c r="J1491" s="85">
        <f>STATS1003B!J1492/1000</f>
        <v>1424.5440100000001</v>
      </c>
      <c r="K1491" s="85">
        <f>STATS1003B!K1492/1000</f>
        <v>0</v>
      </c>
      <c r="L1491" s="85">
        <f>STATS1003B!L1492/1000</f>
        <v>0</v>
      </c>
      <c r="M1491" s="85">
        <f>STATS1003B!M1492/1000</f>
        <v>1424.5440100000001</v>
      </c>
      <c r="N1491" s="85">
        <f>STATS1003B!N1492/1000</f>
        <v>0</v>
      </c>
      <c r="O1491" s="85">
        <f>STATS1003B!O1492/1000</f>
        <v>0</v>
      </c>
      <c r="P1491" s="85">
        <f>STATS1003B!P1492/1000</f>
        <v>0</v>
      </c>
      <c r="Q1491" s="85">
        <f>STATS1003B!Q1492/1000</f>
        <v>1424.5440100000001</v>
      </c>
      <c r="R1491" s="85">
        <f>STATS1003B!R1492/1000</f>
        <v>0</v>
      </c>
      <c r="S1491" s="85">
        <f>STATS1003B!S1492/1000</f>
        <v>0</v>
      </c>
      <c r="T1491" s="85">
        <f>STATS1003B!T1492/1000</f>
        <v>0</v>
      </c>
      <c r="U1491" s="85">
        <f>STATS1003B!U1492/1000</f>
        <v>0</v>
      </c>
      <c r="V1491" s="85">
        <f>STATS1003B!V1492/1000</f>
        <v>1424.5440100000001</v>
      </c>
      <c r="W1491" s="85">
        <f>STATS1003B!W1492/1000</f>
        <v>0</v>
      </c>
      <c r="X1491" s="85">
        <f t="shared" si="173"/>
        <v>1424.5440100000001</v>
      </c>
      <c r="Y1491" s="85">
        <f>STATS1003B!Y1492/1000</f>
        <v>0</v>
      </c>
      <c r="Z1491" s="85">
        <f t="shared" si="172"/>
        <v>0</v>
      </c>
      <c r="AA1491" s="69">
        <f>STATS1003B!AA1492/1000</f>
        <v>1424.5440100000001</v>
      </c>
      <c r="AB1491" s="69">
        <f>STATS1003B!AB1492/1000</f>
        <v>0</v>
      </c>
    </row>
    <row r="1492" spans="1:28" hidden="1" x14ac:dyDescent="0.3">
      <c r="A1492" s="117"/>
      <c r="C1492" s="68" t="s">
        <v>598</v>
      </c>
      <c r="E1492" s="85">
        <f>STATS1003B!E1493/1000</f>
        <v>792.76857999999993</v>
      </c>
      <c r="F1492" s="85">
        <f>STATS1003B!F1493/1000</f>
        <v>792.76857999999993</v>
      </c>
      <c r="G1492" s="85">
        <f>STATS1003B!G1493/1000</f>
        <v>0</v>
      </c>
      <c r="H1492" s="85">
        <f>STATS1003B!H1493/1000</f>
        <v>792.76857999999993</v>
      </c>
      <c r="I1492" s="85">
        <f>STATS1003B!I1493/1000</f>
        <v>0</v>
      </c>
      <c r="J1492" s="85">
        <f>STATS1003B!J1493/1000</f>
        <v>792.76857999999993</v>
      </c>
      <c r="K1492" s="85">
        <f>STATS1003B!K1493/1000</f>
        <v>0</v>
      </c>
      <c r="L1492" s="85">
        <f>STATS1003B!L1493/1000</f>
        <v>0</v>
      </c>
      <c r="M1492" s="85">
        <f>STATS1003B!M1493/1000</f>
        <v>792.76857999999993</v>
      </c>
      <c r="N1492" s="85">
        <f>STATS1003B!N1493/1000</f>
        <v>0</v>
      </c>
      <c r="O1492" s="85">
        <f>STATS1003B!O1493/1000</f>
        <v>0</v>
      </c>
      <c r="P1492" s="85">
        <f>STATS1003B!P1493/1000</f>
        <v>0</v>
      </c>
      <c r="Q1492" s="85">
        <f>STATS1003B!Q1493/1000</f>
        <v>792.76857999999993</v>
      </c>
      <c r="R1492" s="85">
        <f>STATS1003B!R1493/1000</f>
        <v>0</v>
      </c>
      <c r="S1492" s="85">
        <f>STATS1003B!S1493/1000</f>
        <v>0</v>
      </c>
      <c r="T1492" s="85">
        <f>STATS1003B!T1493/1000</f>
        <v>0</v>
      </c>
      <c r="U1492" s="85">
        <f>STATS1003B!U1493/1000</f>
        <v>0</v>
      </c>
      <c r="V1492" s="85">
        <f>STATS1003B!V1493/1000</f>
        <v>792.76857999999993</v>
      </c>
      <c r="W1492" s="85">
        <f>STATS1003B!W1493/1000</f>
        <v>0</v>
      </c>
      <c r="X1492" s="85">
        <f t="shared" si="173"/>
        <v>792.76857999999993</v>
      </c>
      <c r="Y1492" s="85">
        <f>STATS1003B!Y1493/1000</f>
        <v>0</v>
      </c>
      <c r="Z1492" s="85">
        <f t="shared" si="172"/>
        <v>0</v>
      </c>
      <c r="AA1492" s="69">
        <f>STATS1003B!AA1493/1000</f>
        <v>792.76857999999993</v>
      </c>
      <c r="AB1492" s="69">
        <f>STATS1003B!AB1493/1000</f>
        <v>0</v>
      </c>
    </row>
    <row r="1493" spans="1:28" hidden="1" x14ac:dyDescent="0.3">
      <c r="A1493" s="117"/>
      <c r="C1493" s="68" t="s">
        <v>569</v>
      </c>
      <c r="E1493" s="85">
        <f>STATS1003B!E1494/1000</f>
        <v>424</v>
      </c>
      <c r="F1493" s="85">
        <f>STATS1003B!F1494/1000</f>
        <v>424</v>
      </c>
      <c r="G1493" s="85">
        <f>STATS1003B!G1494/1000</f>
        <v>0</v>
      </c>
      <c r="H1493" s="85">
        <f>STATS1003B!H1494/1000</f>
        <v>424</v>
      </c>
      <c r="I1493" s="85">
        <f>STATS1003B!I1494/1000</f>
        <v>0</v>
      </c>
      <c r="J1493" s="85">
        <f>STATS1003B!J1494/1000</f>
        <v>424</v>
      </c>
      <c r="K1493" s="85">
        <f>STATS1003B!K1494/1000</f>
        <v>0</v>
      </c>
      <c r="L1493" s="85">
        <f>STATS1003B!L1494/1000</f>
        <v>0</v>
      </c>
      <c r="M1493" s="85">
        <f>STATS1003B!M1494/1000</f>
        <v>424</v>
      </c>
      <c r="N1493" s="85">
        <f>STATS1003B!N1494/1000</f>
        <v>0</v>
      </c>
      <c r="O1493" s="85">
        <f>STATS1003B!O1494/1000</f>
        <v>0</v>
      </c>
      <c r="P1493" s="85">
        <f>STATS1003B!P1494/1000</f>
        <v>0</v>
      </c>
      <c r="Q1493" s="85">
        <f>STATS1003B!Q1494/1000</f>
        <v>424</v>
      </c>
      <c r="R1493" s="85">
        <f>STATS1003B!R1494/1000</f>
        <v>0</v>
      </c>
      <c r="S1493" s="85">
        <f>STATS1003B!S1494/1000</f>
        <v>0</v>
      </c>
      <c r="T1493" s="85">
        <f>STATS1003B!T1494/1000</f>
        <v>0</v>
      </c>
      <c r="U1493" s="85">
        <f>STATS1003B!U1494/1000</f>
        <v>0</v>
      </c>
      <c r="V1493" s="85">
        <f>STATS1003B!V1494/1000</f>
        <v>424</v>
      </c>
      <c r="W1493" s="85">
        <f>STATS1003B!W1494/1000</f>
        <v>0</v>
      </c>
      <c r="X1493" s="85">
        <f t="shared" si="173"/>
        <v>424</v>
      </c>
      <c r="Y1493" s="85">
        <f>STATS1003B!Y1494/1000</f>
        <v>0</v>
      </c>
      <c r="Z1493" s="85">
        <f t="shared" si="172"/>
        <v>0</v>
      </c>
      <c r="AA1493" s="69">
        <f>STATS1003B!AA1494/1000</f>
        <v>424</v>
      </c>
      <c r="AB1493" s="69">
        <f>STATS1003B!AB1494/1000</f>
        <v>0</v>
      </c>
    </row>
    <row r="1494" spans="1:28" hidden="1" x14ac:dyDescent="0.3">
      <c r="A1494" s="117"/>
      <c r="C1494" s="68" t="s">
        <v>702</v>
      </c>
      <c r="E1494" s="85">
        <f>STATS1003B!E1495/1000</f>
        <v>300</v>
      </c>
      <c r="F1494" s="85">
        <f>STATS1003B!F1495/1000</f>
        <v>0</v>
      </c>
      <c r="G1494" s="85">
        <f>STATS1003B!G1495/1000</f>
        <v>0</v>
      </c>
      <c r="H1494" s="85">
        <f>STATS1003B!H1495/1000</f>
        <v>0</v>
      </c>
      <c r="I1494" s="85">
        <f>STATS1003B!I1495/1000</f>
        <v>0</v>
      </c>
      <c r="J1494" s="85">
        <f>STATS1003B!J1495/1000</f>
        <v>0</v>
      </c>
      <c r="K1494" s="85">
        <f>STATS1003B!K1495/1000</f>
        <v>300</v>
      </c>
      <c r="L1494" s="85">
        <f>STATS1003B!L1495/1000</f>
        <v>0</v>
      </c>
      <c r="M1494" s="85">
        <f>STATS1003B!M1495/1000</f>
        <v>0</v>
      </c>
      <c r="N1494" s="85">
        <f>STATS1003B!N1495/1000</f>
        <v>300</v>
      </c>
      <c r="O1494" s="85">
        <f>STATS1003B!O1495/1000</f>
        <v>0</v>
      </c>
      <c r="P1494" s="85">
        <f>STATS1003B!P1495/1000</f>
        <v>300</v>
      </c>
      <c r="Q1494" s="85">
        <f>STATS1003B!Q1495/1000</f>
        <v>0</v>
      </c>
      <c r="R1494" s="85">
        <f>STATS1003B!R1495/1000</f>
        <v>0</v>
      </c>
      <c r="S1494" s="85">
        <f>STATS1003B!S1495/1000</f>
        <v>0</v>
      </c>
      <c r="T1494" s="85">
        <f>STATS1003B!T1495/1000</f>
        <v>0</v>
      </c>
      <c r="U1494" s="85">
        <f>STATS1003B!U1495/1000</f>
        <v>300</v>
      </c>
      <c r="V1494" s="85">
        <f>STATS1003B!V1495/1000</f>
        <v>300</v>
      </c>
      <c r="W1494" s="85">
        <f>STATS1003B!W1495/1000</f>
        <v>0</v>
      </c>
      <c r="X1494" s="85">
        <f t="shared" si="173"/>
        <v>300</v>
      </c>
      <c r="Y1494" s="85">
        <f>STATS1003B!Y1495/1000</f>
        <v>0</v>
      </c>
      <c r="Z1494" s="85">
        <f t="shared" si="172"/>
        <v>0</v>
      </c>
      <c r="AA1494" s="69">
        <f>STATS1003B!AA1495/1000</f>
        <v>300</v>
      </c>
      <c r="AB1494" s="69">
        <f>STATS1003B!AB1495/1000</f>
        <v>0</v>
      </c>
    </row>
    <row r="1495" spans="1:28" hidden="1" x14ac:dyDescent="0.3">
      <c r="A1495" s="117"/>
      <c r="C1495" s="68" t="s">
        <v>678</v>
      </c>
      <c r="E1495" s="85">
        <f>STATS1003B!E1496/1000</f>
        <v>2500</v>
      </c>
      <c r="F1495" s="85">
        <f>STATS1003B!F1496/1000</f>
        <v>2500</v>
      </c>
      <c r="G1495" s="85">
        <f>STATS1003B!G1496/1000</f>
        <v>0</v>
      </c>
      <c r="H1495" s="85">
        <f>STATS1003B!H1496/1000</f>
        <v>2500</v>
      </c>
      <c r="I1495" s="85">
        <f>STATS1003B!I1496/1000</f>
        <v>0</v>
      </c>
      <c r="J1495" s="85">
        <f>STATS1003B!J1496/1000</f>
        <v>2500</v>
      </c>
      <c r="K1495" s="85">
        <f>STATS1003B!K1496/1000</f>
        <v>0</v>
      </c>
      <c r="L1495" s="85">
        <f>STATS1003B!L1496/1000</f>
        <v>0</v>
      </c>
      <c r="M1495" s="85">
        <f>STATS1003B!M1496/1000</f>
        <v>2500</v>
      </c>
      <c r="N1495" s="85">
        <f>STATS1003B!N1496/1000</f>
        <v>0</v>
      </c>
      <c r="O1495" s="85">
        <f>STATS1003B!O1496/1000</f>
        <v>0</v>
      </c>
      <c r="P1495" s="85">
        <f>STATS1003B!P1496/1000</f>
        <v>0</v>
      </c>
      <c r="Q1495" s="85">
        <f>STATS1003B!Q1496/1000</f>
        <v>2500</v>
      </c>
      <c r="R1495" s="85">
        <f>STATS1003B!R1496/1000</f>
        <v>0</v>
      </c>
      <c r="S1495" s="85">
        <f>STATS1003B!S1496/1000</f>
        <v>0</v>
      </c>
      <c r="T1495" s="85">
        <f>STATS1003B!T1496/1000</f>
        <v>0</v>
      </c>
      <c r="U1495" s="85">
        <f>STATS1003B!U1496/1000</f>
        <v>0</v>
      </c>
      <c r="V1495" s="85">
        <f>STATS1003B!V1496/1000</f>
        <v>2500</v>
      </c>
      <c r="W1495" s="85">
        <f>STATS1003B!W1496/1000</f>
        <v>0</v>
      </c>
      <c r="X1495" s="85">
        <f t="shared" si="173"/>
        <v>2500</v>
      </c>
      <c r="Y1495" s="85">
        <f>STATS1003B!Y1496/1000</f>
        <v>0</v>
      </c>
      <c r="Z1495" s="85">
        <f t="shared" si="172"/>
        <v>0</v>
      </c>
      <c r="AA1495" s="69">
        <f>STATS1003B!AA1496/1000</f>
        <v>2500</v>
      </c>
      <c r="AB1495" s="69">
        <f>STATS1003B!AB1496/1000</f>
        <v>0</v>
      </c>
    </row>
    <row r="1496" spans="1:28" hidden="1" x14ac:dyDescent="0.3">
      <c r="A1496" s="117"/>
      <c r="E1496" s="86" t="s">
        <v>29</v>
      </c>
      <c r="F1496" s="86" t="s">
        <v>29</v>
      </c>
      <c r="G1496" s="86" t="s">
        <v>29</v>
      </c>
      <c r="H1496" s="86" t="s">
        <v>29</v>
      </c>
      <c r="I1496" s="86" t="s">
        <v>29</v>
      </c>
      <c r="J1496" s="86" t="s">
        <v>29</v>
      </c>
      <c r="K1496" s="86" t="s">
        <v>29</v>
      </c>
      <c r="L1496" s="86" t="s">
        <v>29</v>
      </c>
      <c r="M1496" s="86" t="s">
        <v>29</v>
      </c>
      <c r="N1496" s="86" t="s">
        <v>29</v>
      </c>
      <c r="O1496" s="86" t="s">
        <v>29</v>
      </c>
      <c r="P1496" s="86" t="s">
        <v>29</v>
      </c>
      <c r="Q1496" s="86" t="s">
        <v>29</v>
      </c>
      <c r="R1496" s="86" t="s">
        <v>29</v>
      </c>
      <c r="S1496" s="86" t="s">
        <v>29</v>
      </c>
      <c r="T1496" s="86" t="s">
        <v>29</v>
      </c>
      <c r="U1496" s="86" t="s">
        <v>29</v>
      </c>
      <c r="V1496" s="86" t="s">
        <v>29</v>
      </c>
      <c r="W1496" s="86" t="s">
        <v>29</v>
      </c>
      <c r="X1496" s="85" t="e">
        <f t="shared" si="173"/>
        <v>#VALUE!</v>
      </c>
      <c r="Y1496" s="86" t="s">
        <v>29</v>
      </c>
      <c r="Z1496" s="85" t="e">
        <f t="shared" si="172"/>
        <v>#VALUE!</v>
      </c>
      <c r="AA1496" s="115" t="s">
        <v>29</v>
      </c>
      <c r="AB1496" s="115" t="s">
        <v>29</v>
      </c>
    </row>
    <row r="1497" spans="1:28" x14ac:dyDescent="0.3">
      <c r="A1497" s="116">
        <v>65</v>
      </c>
      <c r="B1497" s="68" t="s">
        <v>740</v>
      </c>
      <c r="E1497" s="85">
        <f>54024224.78/1000</f>
        <v>54024.224780000004</v>
      </c>
      <c r="F1497" s="85">
        <f t="shared" ref="F1497:Q1497" si="176">SUM(F1474:F1496)</f>
        <v>32492.13724</v>
      </c>
      <c r="G1497" s="85">
        <f>SUM(G1474:G1495)</f>
        <v>0</v>
      </c>
      <c r="H1497" s="85">
        <f>50790859.99/1000</f>
        <v>50790.859990000004</v>
      </c>
      <c r="I1497" s="85">
        <f t="shared" si="176"/>
        <v>0</v>
      </c>
      <c r="J1497" s="85">
        <f t="shared" si="176"/>
        <v>32492.13724</v>
      </c>
      <c r="K1497" s="85">
        <f t="shared" si="176"/>
        <v>3124.1613299999999</v>
      </c>
      <c r="L1497" s="85">
        <f t="shared" si="176"/>
        <v>0</v>
      </c>
      <c r="M1497" s="85">
        <f t="shared" si="176"/>
        <v>32492.13724</v>
      </c>
      <c r="N1497" s="85">
        <f t="shared" si="176"/>
        <v>3124.1613299999999</v>
      </c>
      <c r="O1497" s="85"/>
      <c r="P1497" s="85">
        <f>3124161/1000</f>
        <v>3124.1610000000001</v>
      </c>
      <c r="Q1497" s="85">
        <f t="shared" si="176"/>
        <v>32601.340700000001</v>
      </c>
      <c r="R1497" s="86"/>
      <c r="S1497" s="86"/>
      <c r="T1497" s="85">
        <f t="shared" ref="T1497:Y1497" si="177">SUM(T1474:T1496)</f>
        <v>0</v>
      </c>
      <c r="U1497" s="85">
        <f t="shared" si="177"/>
        <v>3124.1613299999999</v>
      </c>
      <c r="V1497" s="85">
        <f t="shared" si="177"/>
        <v>35616.298569999999</v>
      </c>
      <c r="W1497" s="85">
        <f t="shared" si="177"/>
        <v>109.20345999999996</v>
      </c>
      <c r="X1497" s="85">
        <f t="shared" si="173"/>
        <v>53915.020990000005</v>
      </c>
      <c r="Y1497" s="85">
        <f t="shared" si="177"/>
        <v>0</v>
      </c>
      <c r="Z1497" s="85">
        <f t="shared" si="172"/>
        <v>109.20378999999957</v>
      </c>
      <c r="AA1497" s="69">
        <f>SUM(AA1474:AA1496)</f>
        <v>35616.298569999999</v>
      </c>
      <c r="AB1497" s="69">
        <f>SUM(AB1474:AB1496)</f>
        <v>109.20345999999996</v>
      </c>
    </row>
    <row r="1498" spans="1:28" hidden="1" x14ac:dyDescent="0.3">
      <c r="A1498" s="117"/>
      <c r="E1498" s="86" t="s">
        <v>29</v>
      </c>
      <c r="F1498" s="86" t="s">
        <v>29</v>
      </c>
      <c r="G1498" s="86" t="s">
        <v>29</v>
      </c>
      <c r="H1498" s="86" t="s">
        <v>29</v>
      </c>
      <c r="I1498" s="86" t="s">
        <v>29</v>
      </c>
      <c r="J1498" s="86" t="s">
        <v>29</v>
      </c>
      <c r="K1498" s="86" t="s">
        <v>29</v>
      </c>
      <c r="L1498" s="86" t="s">
        <v>29</v>
      </c>
      <c r="M1498" s="86" t="s">
        <v>29</v>
      </c>
      <c r="N1498" s="86" t="s">
        <v>29</v>
      </c>
      <c r="O1498" s="86" t="s">
        <v>29</v>
      </c>
      <c r="P1498" s="86" t="s">
        <v>29</v>
      </c>
      <c r="Q1498" s="86" t="s">
        <v>29</v>
      </c>
      <c r="R1498" s="86" t="s">
        <v>29</v>
      </c>
      <c r="S1498" s="86" t="s">
        <v>29</v>
      </c>
      <c r="T1498" s="86" t="s">
        <v>29</v>
      </c>
      <c r="U1498" s="86" t="s">
        <v>29</v>
      </c>
      <c r="V1498" s="86" t="s">
        <v>29</v>
      </c>
      <c r="W1498" s="86" t="s">
        <v>29</v>
      </c>
      <c r="X1498" s="85" t="e">
        <f t="shared" si="173"/>
        <v>#VALUE!</v>
      </c>
      <c r="Y1498" s="86" t="s">
        <v>29</v>
      </c>
      <c r="Z1498" s="85" t="e">
        <f t="shared" si="172"/>
        <v>#VALUE!</v>
      </c>
      <c r="AA1498" s="115" t="s">
        <v>29</v>
      </c>
      <c r="AB1498" s="115" t="s">
        <v>29</v>
      </c>
    </row>
    <row r="1499" spans="1:28" hidden="1" x14ac:dyDescent="0.3">
      <c r="A1499" s="117"/>
      <c r="E1499" s="84"/>
      <c r="F1499" s="84"/>
      <c r="G1499" s="84"/>
      <c r="H1499" s="84"/>
      <c r="I1499" s="84"/>
      <c r="J1499" s="84"/>
      <c r="K1499" s="84"/>
      <c r="L1499" s="84"/>
      <c r="M1499" s="84"/>
      <c r="N1499" s="84"/>
      <c r="O1499" s="84"/>
      <c r="P1499" s="84"/>
      <c r="Q1499" s="84"/>
      <c r="R1499" s="86"/>
      <c r="S1499" s="86"/>
      <c r="T1499" s="86"/>
      <c r="U1499" s="86"/>
      <c r="V1499" s="86"/>
      <c r="W1499" s="86"/>
      <c r="X1499" s="85">
        <f t="shared" si="173"/>
        <v>0</v>
      </c>
      <c r="Y1499" s="86"/>
      <c r="Z1499" s="85">
        <f t="shared" si="172"/>
        <v>0</v>
      </c>
    </row>
    <row r="1500" spans="1:28" x14ac:dyDescent="0.3">
      <c r="A1500" s="117"/>
      <c r="C1500" s="68" t="s">
        <v>744</v>
      </c>
      <c r="D1500" s="87" t="s">
        <v>54</v>
      </c>
      <c r="E1500" s="85">
        <f>95000/1000</f>
        <v>95</v>
      </c>
      <c r="F1500" s="85">
        <f>STATS1003B!F1501/1000</f>
        <v>95</v>
      </c>
      <c r="G1500" s="85">
        <f>STATS1003B!G1501/1000</f>
        <v>0</v>
      </c>
      <c r="H1500" s="85">
        <f>STATS1003B!H1501/1000</f>
        <v>95</v>
      </c>
      <c r="I1500" s="85">
        <f>STATS1003B!I1501/1000</f>
        <v>0</v>
      </c>
      <c r="J1500" s="85">
        <f>STATS1003B!J1501/1000</f>
        <v>95</v>
      </c>
      <c r="K1500" s="85">
        <f>STATS1003B!K1501/1000</f>
        <v>0</v>
      </c>
      <c r="L1500" s="85">
        <f>STATS1003B!L1501/1000</f>
        <v>0</v>
      </c>
      <c r="M1500" s="85">
        <f>STATS1003B!M1501/1000</f>
        <v>95</v>
      </c>
      <c r="N1500" s="85">
        <f>STATS1003B!N1501/1000</f>
        <v>0</v>
      </c>
      <c r="O1500" s="85">
        <f>STATS1003B!O1501/1000</f>
        <v>0</v>
      </c>
      <c r="P1500" s="85">
        <f>STATS1003B!P1501/1000</f>
        <v>0</v>
      </c>
      <c r="Q1500" s="85">
        <f>STATS1003B!Q1501/1000</f>
        <v>95</v>
      </c>
      <c r="R1500" s="85">
        <f>STATS1003B!R1501/1000</f>
        <v>0</v>
      </c>
      <c r="S1500" s="85">
        <f>STATS1003B!S1501/1000</f>
        <v>0</v>
      </c>
      <c r="T1500" s="85">
        <f>STATS1003B!T1501/1000</f>
        <v>0</v>
      </c>
      <c r="U1500" s="85">
        <f>STATS1003B!U1501/1000</f>
        <v>0</v>
      </c>
      <c r="V1500" s="85">
        <f>STATS1003B!V1501/1000</f>
        <v>95</v>
      </c>
      <c r="W1500" s="85">
        <f>STATS1003B!W1501/1000</f>
        <v>0</v>
      </c>
      <c r="X1500" s="85">
        <f t="shared" si="173"/>
        <v>95</v>
      </c>
      <c r="Y1500" s="85">
        <f>STATS1003B!Y1501/1000</f>
        <v>0</v>
      </c>
      <c r="Z1500" s="85">
        <f t="shared" ref="Z1500:Z1539" si="178">+E1500-X1500</f>
        <v>0</v>
      </c>
      <c r="AA1500" s="69">
        <f>STATS1003B!AA1501/1000</f>
        <v>95</v>
      </c>
      <c r="AB1500" s="69">
        <f>STATS1003B!AB1501/1000</f>
        <v>0</v>
      </c>
    </row>
    <row r="1501" spans="1:28" hidden="1" x14ac:dyDescent="0.3">
      <c r="A1501" s="117"/>
      <c r="E1501" s="86" t="s">
        <v>29</v>
      </c>
      <c r="F1501" s="86" t="s">
        <v>29</v>
      </c>
      <c r="G1501" s="86" t="s">
        <v>29</v>
      </c>
      <c r="H1501" s="86" t="s">
        <v>29</v>
      </c>
      <c r="I1501" s="86" t="s">
        <v>29</v>
      </c>
      <c r="J1501" s="86" t="s">
        <v>29</v>
      </c>
      <c r="K1501" s="86" t="s">
        <v>29</v>
      </c>
      <c r="L1501" s="86" t="s">
        <v>29</v>
      </c>
      <c r="M1501" s="86" t="s">
        <v>29</v>
      </c>
      <c r="N1501" s="86" t="s">
        <v>29</v>
      </c>
      <c r="O1501" s="86" t="s">
        <v>29</v>
      </c>
      <c r="P1501" s="86" t="s">
        <v>29</v>
      </c>
      <c r="Q1501" s="86" t="s">
        <v>29</v>
      </c>
      <c r="R1501" s="86" t="s">
        <v>29</v>
      </c>
      <c r="S1501" s="86" t="s">
        <v>29</v>
      </c>
      <c r="T1501" s="86" t="s">
        <v>29</v>
      </c>
      <c r="U1501" s="86" t="s">
        <v>29</v>
      </c>
      <c r="V1501" s="86" t="s">
        <v>29</v>
      </c>
      <c r="W1501" s="86" t="s">
        <v>29</v>
      </c>
      <c r="X1501" s="85" t="e">
        <f t="shared" si="173"/>
        <v>#VALUE!</v>
      </c>
      <c r="Y1501" s="86" t="s">
        <v>29</v>
      </c>
      <c r="Z1501" s="85" t="e">
        <f t="shared" si="178"/>
        <v>#VALUE!</v>
      </c>
      <c r="AA1501" s="115" t="s">
        <v>29</v>
      </c>
      <c r="AB1501" s="115" t="s">
        <v>29</v>
      </c>
    </row>
    <row r="1502" spans="1:28" hidden="1" x14ac:dyDescent="0.3">
      <c r="A1502" s="117"/>
      <c r="E1502" s="84"/>
      <c r="F1502" s="84"/>
      <c r="G1502" s="84"/>
      <c r="H1502" s="84"/>
      <c r="I1502" s="84"/>
      <c r="J1502" s="84"/>
      <c r="K1502" s="84"/>
      <c r="L1502" s="84"/>
      <c r="M1502" s="84"/>
      <c r="N1502" s="84"/>
      <c r="O1502" s="84"/>
      <c r="P1502" s="84"/>
      <c r="Q1502" s="84"/>
      <c r="R1502" s="86"/>
      <c r="S1502" s="86"/>
      <c r="T1502" s="86"/>
      <c r="U1502" s="86"/>
      <c r="V1502" s="86"/>
      <c r="W1502" s="86"/>
      <c r="X1502" s="85">
        <f t="shared" si="173"/>
        <v>0</v>
      </c>
      <c r="Y1502" s="86"/>
      <c r="Z1502" s="85">
        <f t="shared" si="178"/>
        <v>0</v>
      </c>
    </row>
    <row r="1503" spans="1:28" x14ac:dyDescent="0.3">
      <c r="A1503" s="117"/>
      <c r="C1503" s="68" t="s">
        <v>746</v>
      </c>
      <c r="D1503" s="87" t="s">
        <v>54</v>
      </c>
      <c r="E1503" s="85">
        <f>285000/1000</f>
        <v>285</v>
      </c>
      <c r="F1503" s="85">
        <f>STATS1003B!F1504/1000</f>
        <v>285</v>
      </c>
      <c r="G1503" s="85">
        <f>STATS1003B!G1504/1000</f>
        <v>0</v>
      </c>
      <c r="H1503" s="85">
        <f>STATS1003B!H1504/1000</f>
        <v>285</v>
      </c>
      <c r="I1503" s="85">
        <f>STATS1003B!I1504/1000</f>
        <v>0</v>
      </c>
      <c r="J1503" s="85">
        <f>STATS1003B!J1504/1000</f>
        <v>285</v>
      </c>
      <c r="K1503" s="85">
        <f>STATS1003B!K1504/1000</f>
        <v>0</v>
      </c>
      <c r="L1503" s="85">
        <f>STATS1003B!L1504/1000</f>
        <v>0</v>
      </c>
      <c r="M1503" s="85">
        <f>STATS1003B!M1504/1000</f>
        <v>285</v>
      </c>
      <c r="N1503" s="85">
        <f>STATS1003B!N1504/1000</f>
        <v>0</v>
      </c>
      <c r="O1503" s="85">
        <f>STATS1003B!O1504/1000</f>
        <v>0</v>
      </c>
      <c r="P1503" s="85">
        <f>STATS1003B!P1504/1000</f>
        <v>0</v>
      </c>
      <c r="Q1503" s="85">
        <f>STATS1003B!Q1504/1000</f>
        <v>285</v>
      </c>
      <c r="R1503" s="85">
        <f>STATS1003B!R1504/1000</f>
        <v>0</v>
      </c>
      <c r="S1503" s="85">
        <f>STATS1003B!S1504/1000</f>
        <v>0</v>
      </c>
      <c r="T1503" s="85">
        <f>STATS1003B!T1504/1000</f>
        <v>0</v>
      </c>
      <c r="U1503" s="85">
        <f>STATS1003B!U1504/1000</f>
        <v>0</v>
      </c>
      <c r="V1503" s="85">
        <f>STATS1003B!V1504/1000</f>
        <v>285</v>
      </c>
      <c r="W1503" s="85">
        <f>STATS1003B!W1504/1000</f>
        <v>0</v>
      </c>
      <c r="X1503" s="85">
        <f t="shared" si="173"/>
        <v>285</v>
      </c>
      <c r="Y1503" s="85">
        <f>STATS1003B!Y1504/1000</f>
        <v>0</v>
      </c>
      <c r="Z1503" s="85">
        <f t="shared" si="178"/>
        <v>0</v>
      </c>
      <c r="AA1503" s="69">
        <f>STATS1003B!AA1504/1000</f>
        <v>285</v>
      </c>
      <c r="AB1503" s="69">
        <f>STATS1003B!AB1504/1000</f>
        <v>0</v>
      </c>
    </row>
    <row r="1504" spans="1:28" hidden="1" x14ac:dyDescent="0.3">
      <c r="A1504" s="117"/>
      <c r="E1504" s="86" t="s">
        <v>29</v>
      </c>
      <c r="F1504" s="86" t="s">
        <v>29</v>
      </c>
      <c r="G1504" s="86" t="s">
        <v>29</v>
      </c>
      <c r="H1504" s="86" t="s">
        <v>29</v>
      </c>
      <c r="I1504" s="86" t="s">
        <v>29</v>
      </c>
      <c r="J1504" s="86" t="s">
        <v>29</v>
      </c>
      <c r="K1504" s="86" t="s">
        <v>29</v>
      </c>
      <c r="L1504" s="86" t="s">
        <v>29</v>
      </c>
      <c r="M1504" s="86" t="s">
        <v>29</v>
      </c>
      <c r="N1504" s="86" t="s">
        <v>29</v>
      </c>
      <c r="O1504" s="86" t="s">
        <v>29</v>
      </c>
      <c r="P1504" s="86" t="s">
        <v>29</v>
      </c>
      <c r="Q1504" s="86" t="s">
        <v>29</v>
      </c>
      <c r="R1504" s="86" t="s">
        <v>29</v>
      </c>
      <c r="S1504" s="86" t="s">
        <v>29</v>
      </c>
      <c r="T1504" s="86" t="s">
        <v>29</v>
      </c>
      <c r="U1504" s="86" t="s">
        <v>29</v>
      </c>
      <c r="V1504" s="86" t="s">
        <v>29</v>
      </c>
      <c r="W1504" s="86" t="s">
        <v>29</v>
      </c>
      <c r="X1504" s="85" t="e">
        <f t="shared" si="173"/>
        <v>#VALUE!</v>
      </c>
      <c r="Y1504" s="86" t="s">
        <v>29</v>
      </c>
      <c r="Z1504" s="85" t="e">
        <f t="shared" si="178"/>
        <v>#VALUE!</v>
      </c>
      <c r="AA1504" s="115" t="s">
        <v>29</v>
      </c>
      <c r="AB1504" s="115" t="s">
        <v>29</v>
      </c>
    </row>
    <row r="1505" spans="1:28" hidden="1" x14ac:dyDescent="0.3">
      <c r="A1505" s="117"/>
      <c r="E1505" s="84"/>
      <c r="F1505" s="84"/>
      <c r="G1505" s="84"/>
      <c r="H1505" s="84"/>
      <c r="I1505" s="84"/>
      <c r="J1505" s="84"/>
      <c r="K1505" s="84"/>
      <c r="L1505" s="84"/>
      <c r="M1505" s="84"/>
      <c r="N1505" s="84"/>
      <c r="O1505" s="84"/>
      <c r="P1505" s="84"/>
      <c r="Q1505" s="84"/>
      <c r="R1505" s="86"/>
      <c r="S1505" s="86"/>
      <c r="T1505" s="86"/>
      <c r="U1505" s="86"/>
      <c r="V1505" s="86"/>
      <c r="W1505" s="86"/>
      <c r="X1505" s="85">
        <f t="shared" si="173"/>
        <v>0</v>
      </c>
      <c r="Y1505" s="86"/>
      <c r="Z1505" s="85">
        <f t="shared" si="178"/>
        <v>0</v>
      </c>
    </row>
    <row r="1506" spans="1:28" x14ac:dyDescent="0.3">
      <c r="A1506" s="117"/>
      <c r="C1506" s="68" t="s">
        <v>747</v>
      </c>
      <c r="D1506" s="87" t="s">
        <v>54</v>
      </c>
      <c r="E1506" s="85">
        <f>237500/1000</f>
        <v>237.5</v>
      </c>
      <c r="F1506" s="85">
        <f>STATS1003B!F1507/1000</f>
        <v>237.5</v>
      </c>
      <c r="G1506" s="85">
        <f>STATS1003B!G1507/1000</f>
        <v>0</v>
      </c>
      <c r="H1506" s="85">
        <f>STATS1003B!H1507/1000</f>
        <v>237.5</v>
      </c>
      <c r="I1506" s="85">
        <f>STATS1003B!I1507/1000</f>
        <v>0</v>
      </c>
      <c r="J1506" s="85">
        <f>STATS1003B!J1507/1000</f>
        <v>237.5</v>
      </c>
      <c r="K1506" s="85">
        <f>STATS1003B!K1507/1000</f>
        <v>0</v>
      </c>
      <c r="L1506" s="85">
        <f>STATS1003B!L1507/1000</f>
        <v>0</v>
      </c>
      <c r="M1506" s="85">
        <f>STATS1003B!M1507/1000</f>
        <v>237.5</v>
      </c>
      <c r="N1506" s="85">
        <f>STATS1003B!N1507/1000</f>
        <v>0</v>
      </c>
      <c r="O1506" s="85">
        <f>STATS1003B!O1507/1000</f>
        <v>0</v>
      </c>
      <c r="P1506" s="85">
        <f>STATS1003B!P1507/1000</f>
        <v>0</v>
      </c>
      <c r="Q1506" s="85">
        <f>STATS1003B!Q1507/1000</f>
        <v>237.5</v>
      </c>
      <c r="R1506" s="85">
        <f>STATS1003B!R1507/1000</f>
        <v>0</v>
      </c>
      <c r="S1506" s="85">
        <f>STATS1003B!S1507/1000</f>
        <v>0</v>
      </c>
      <c r="T1506" s="85">
        <f>STATS1003B!T1507/1000</f>
        <v>0</v>
      </c>
      <c r="U1506" s="85">
        <f>STATS1003B!U1507/1000</f>
        <v>0</v>
      </c>
      <c r="V1506" s="85">
        <f>STATS1003B!V1507/1000</f>
        <v>237.5</v>
      </c>
      <c r="W1506" s="85">
        <f>STATS1003B!W1507/1000</f>
        <v>0</v>
      </c>
      <c r="X1506" s="85">
        <f t="shared" si="173"/>
        <v>237.5</v>
      </c>
      <c r="Y1506" s="85">
        <f>STATS1003B!Y1507/1000</f>
        <v>0</v>
      </c>
      <c r="Z1506" s="85">
        <f t="shared" si="178"/>
        <v>0</v>
      </c>
      <c r="AA1506" s="69">
        <f>STATS1003B!AA1507/1000</f>
        <v>237.5</v>
      </c>
      <c r="AB1506" s="69">
        <f>STATS1003B!AB1507/1000</f>
        <v>0</v>
      </c>
    </row>
    <row r="1507" spans="1:28" hidden="1" x14ac:dyDescent="0.3">
      <c r="A1507" s="117"/>
      <c r="E1507" s="86" t="s">
        <v>29</v>
      </c>
      <c r="F1507" s="86" t="s">
        <v>29</v>
      </c>
      <c r="G1507" s="86" t="s">
        <v>29</v>
      </c>
      <c r="H1507" s="86" t="s">
        <v>29</v>
      </c>
      <c r="I1507" s="86" t="s">
        <v>29</v>
      </c>
      <c r="J1507" s="86" t="s">
        <v>29</v>
      </c>
      <c r="K1507" s="86" t="s">
        <v>29</v>
      </c>
      <c r="L1507" s="86" t="s">
        <v>29</v>
      </c>
      <c r="M1507" s="86" t="s">
        <v>29</v>
      </c>
      <c r="N1507" s="86" t="s">
        <v>29</v>
      </c>
      <c r="O1507" s="86" t="s">
        <v>29</v>
      </c>
      <c r="P1507" s="86" t="s">
        <v>29</v>
      </c>
      <c r="Q1507" s="86" t="s">
        <v>29</v>
      </c>
      <c r="R1507" s="86" t="s">
        <v>29</v>
      </c>
      <c r="S1507" s="86" t="s">
        <v>29</v>
      </c>
      <c r="T1507" s="86" t="s">
        <v>29</v>
      </c>
      <c r="U1507" s="86" t="s">
        <v>29</v>
      </c>
      <c r="V1507" s="86" t="s">
        <v>29</v>
      </c>
      <c r="W1507" s="86" t="s">
        <v>29</v>
      </c>
      <c r="X1507" s="85" t="e">
        <f t="shared" si="173"/>
        <v>#VALUE!</v>
      </c>
      <c r="Y1507" s="86" t="s">
        <v>29</v>
      </c>
      <c r="Z1507" s="85" t="e">
        <f t="shared" si="178"/>
        <v>#VALUE!</v>
      </c>
      <c r="AA1507" s="115" t="s">
        <v>29</v>
      </c>
      <c r="AB1507" s="115" t="s">
        <v>29</v>
      </c>
    </row>
    <row r="1508" spans="1:28" hidden="1" x14ac:dyDescent="0.3">
      <c r="A1508" s="117"/>
      <c r="E1508" s="84"/>
      <c r="F1508" s="84"/>
      <c r="G1508" s="84"/>
      <c r="H1508" s="84"/>
      <c r="I1508" s="84"/>
      <c r="J1508" s="84"/>
      <c r="K1508" s="84"/>
      <c r="L1508" s="84"/>
      <c r="M1508" s="84"/>
      <c r="N1508" s="84"/>
      <c r="O1508" s="84"/>
      <c r="P1508" s="84"/>
      <c r="Q1508" s="84"/>
      <c r="R1508" s="86"/>
      <c r="S1508" s="86"/>
      <c r="T1508" s="86"/>
      <c r="U1508" s="86"/>
      <c r="V1508" s="86"/>
      <c r="W1508" s="86"/>
      <c r="X1508" s="85">
        <f t="shared" si="173"/>
        <v>0</v>
      </c>
      <c r="Y1508" s="86"/>
      <c r="Z1508" s="85">
        <f t="shared" si="178"/>
        <v>0</v>
      </c>
    </row>
    <row r="1509" spans="1:28" x14ac:dyDescent="0.3">
      <c r="A1509" s="117"/>
      <c r="C1509" s="68" t="s">
        <v>748</v>
      </c>
      <c r="D1509" s="87" t="s">
        <v>54</v>
      </c>
      <c r="E1509" s="85">
        <f>285000/1000</f>
        <v>285</v>
      </c>
      <c r="F1509" s="85">
        <f>STATS1003B!F1510/1000</f>
        <v>285</v>
      </c>
      <c r="G1509" s="85">
        <f>STATS1003B!G1510/1000</f>
        <v>0</v>
      </c>
      <c r="H1509" s="85">
        <f>STATS1003B!H1510/1000</f>
        <v>285</v>
      </c>
      <c r="I1509" s="85">
        <f>STATS1003B!I1510/1000</f>
        <v>0</v>
      </c>
      <c r="J1509" s="85">
        <f>STATS1003B!J1510/1000</f>
        <v>285</v>
      </c>
      <c r="K1509" s="85">
        <f>STATS1003B!K1510/1000</f>
        <v>0</v>
      </c>
      <c r="L1509" s="85">
        <f>STATS1003B!L1510/1000</f>
        <v>0</v>
      </c>
      <c r="M1509" s="85">
        <f>STATS1003B!M1510/1000</f>
        <v>285</v>
      </c>
      <c r="N1509" s="85">
        <f>STATS1003B!N1510/1000</f>
        <v>0</v>
      </c>
      <c r="O1509" s="85">
        <f>STATS1003B!O1510/1000</f>
        <v>0</v>
      </c>
      <c r="P1509" s="85">
        <f>STATS1003B!P1510/1000</f>
        <v>0</v>
      </c>
      <c r="Q1509" s="85">
        <f>STATS1003B!Q1510/1000</f>
        <v>285</v>
      </c>
      <c r="R1509" s="85">
        <f>STATS1003B!R1510/1000</f>
        <v>0</v>
      </c>
      <c r="S1509" s="85">
        <f>STATS1003B!S1510/1000</f>
        <v>0</v>
      </c>
      <c r="T1509" s="85">
        <f>STATS1003B!T1510/1000</f>
        <v>0</v>
      </c>
      <c r="U1509" s="85">
        <f>STATS1003B!U1510/1000</f>
        <v>0</v>
      </c>
      <c r="V1509" s="85">
        <f>STATS1003B!V1510/1000</f>
        <v>285</v>
      </c>
      <c r="W1509" s="85">
        <f>STATS1003B!W1510/1000</f>
        <v>0</v>
      </c>
      <c r="X1509" s="85">
        <f t="shared" si="173"/>
        <v>285</v>
      </c>
      <c r="Y1509" s="85">
        <f>STATS1003B!Y1510/1000</f>
        <v>0</v>
      </c>
      <c r="Z1509" s="85">
        <f t="shared" si="178"/>
        <v>0</v>
      </c>
      <c r="AA1509" s="69">
        <f>STATS1003B!AA1510/1000</f>
        <v>285</v>
      </c>
      <c r="AB1509" s="69">
        <f>STATS1003B!AB1510/1000</f>
        <v>0</v>
      </c>
    </row>
    <row r="1510" spans="1:28" hidden="1" x14ac:dyDescent="0.3">
      <c r="A1510" s="117"/>
      <c r="E1510" s="86" t="s">
        <v>29</v>
      </c>
      <c r="F1510" s="86" t="s">
        <v>29</v>
      </c>
      <c r="G1510" s="86" t="s">
        <v>29</v>
      </c>
      <c r="H1510" s="86" t="s">
        <v>29</v>
      </c>
      <c r="I1510" s="86" t="s">
        <v>29</v>
      </c>
      <c r="J1510" s="86" t="s">
        <v>29</v>
      </c>
      <c r="K1510" s="86" t="s">
        <v>29</v>
      </c>
      <c r="L1510" s="86" t="s">
        <v>29</v>
      </c>
      <c r="M1510" s="86" t="s">
        <v>29</v>
      </c>
      <c r="N1510" s="86" t="s">
        <v>29</v>
      </c>
      <c r="O1510" s="86" t="s">
        <v>29</v>
      </c>
      <c r="P1510" s="86" t="s">
        <v>29</v>
      </c>
      <c r="Q1510" s="86" t="s">
        <v>29</v>
      </c>
      <c r="R1510" s="86" t="s">
        <v>29</v>
      </c>
      <c r="S1510" s="86" t="s">
        <v>29</v>
      </c>
      <c r="T1510" s="86" t="s">
        <v>29</v>
      </c>
      <c r="U1510" s="86" t="s">
        <v>29</v>
      </c>
      <c r="V1510" s="86" t="s">
        <v>29</v>
      </c>
      <c r="W1510" s="86" t="s">
        <v>29</v>
      </c>
      <c r="X1510" s="85" t="e">
        <f t="shared" si="173"/>
        <v>#VALUE!</v>
      </c>
      <c r="Y1510" s="86" t="s">
        <v>29</v>
      </c>
      <c r="Z1510" s="85" t="e">
        <f t="shared" si="178"/>
        <v>#VALUE!</v>
      </c>
      <c r="AA1510" s="115" t="s">
        <v>29</v>
      </c>
      <c r="AB1510" s="115" t="s">
        <v>29</v>
      </c>
    </row>
    <row r="1511" spans="1:28" hidden="1" x14ac:dyDescent="0.3">
      <c r="A1511" s="117"/>
      <c r="E1511" s="84"/>
      <c r="F1511" s="84"/>
      <c r="G1511" s="84"/>
      <c r="H1511" s="84"/>
      <c r="I1511" s="84"/>
      <c r="J1511" s="84"/>
      <c r="K1511" s="84"/>
      <c r="L1511" s="84"/>
      <c r="M1511" s="84"/>
      <c r="N1511" s="84"/>
      <c r="O1511" s="84"/>
      <c r="P1511" s="84"/>
      <c r="Q1511" s="84"/>
      <c r="R1511" s="86"/>
      <c r="S1511" s="86"/>
      <c r="T1511" s="86"/>
      <c r="U1511" s="86"/>
      <c r="V1511" s="86"/>
      <c r="W1511" s="86"/>
      <c r="X1511" s="85">
        <f t="shared" si="173"/>
        <v>0</v>
      </c>
      <c r="Y1511" s="86"/>
      <c r="Z1511" s="85">
        <f t="shared" si="178"/>
        <v>0</v>
      </c>
    </row>
    <row r="1512" spans="1:28" x14ac:dyDescent="0.3">
      <c r="A1512" s="117"/>
      <c r="C1512" s="68" t="s">
        <v>749</v>
      </c>
      <c r="D1512" s="87" t="s">
        <v>54</v>
      </c>
      <c r="E1512" s="85">
        <f>475000/1000</f>
        <v>475</v>
      </c>
      <c r="F1512" s="85">
        <f>STATS1003B!F1513/1000</f>
        <v>475</v>
      </c>
      <c r="G1512" s="85">
        <f>STATS1003B!G1513/1000</f>
        <v>0</v>
      </c>
      <c r="H1512" s="85">
        <f>STATS1003B!H1513/1000</f>
        <v>475</v>
      </c>
      <c r="I1512" s="85">
        <f>STATS1003B!I1513/1000</f>
        <v>0</v>
      </c>
      <c r="J1512" s="85">
        <f>STATS1003B!J1513/1000</f>
        <v>475</v>
      </c>
      <c r="K1512" s="85">
        <f>STATS1003B!K1513/1000</f>
        <v>0</v>
      </c>
      <c r="L1512" s="85">
        <f>STATS1003B!L1513/1000</f>
        <v>0</v>
      </c>
      <c r="M1512" s="85">
        <f>STATS1003B!M1513/1000</f>
        <v>475</v>
      </c>
      <c r="N1512" s="85">
        <f>STATS1003B!N1513/1000</f>
        <v>0</v>
      </c>
      <c r="O1512" s="85">
        <f>STATS1003B!O1513/1000</f>
        <v>0</v>
      </c>
      <c r="P1512" s="85">
        <f>STATS1003B!P1513/1000</f>
        <v>0</v>
      </c>
      <c r="Q1512" s="85">
        <f>STATS1003B!Q1513/1000</f>
        <v>475</v>
      </c>
      <c r="R1512" s="85">
        <f>STATS1003B!R1513/1000</f>
        <v>0</v>
      </c>
      <c r="S1512" s="85">
        <f>STATS1003B!S1513/1000</f>
        <v>0</v>
      </c>
      <c r="T1512" s="85">
        <f>STATS1003B!T1513/1000</f>
        <v>0</v>
      </c>
      <c r="U1512" s="85">
        <f>STATS1003B!U1513/1000</f>
        <v>0</v>
      </c>
      <c r="V1512" s="85">
        <f>STATS1003B!V1513/1000</f>
        <v>475</v>
      </c>
      <c r="W1512" s="85">
        <f>STATS1003B!W1513/1000</f>
        <v>0</v>
      </c>
      <c r="X1512" s="85">
        <f t="shared" si="173"/>
        <v>475</v>
      </c>
      <c r="Y1512" s="85">
        <f>STATS1003B!Y1513/1000</f>
        <v>0</v>
      </c>
      <c r="Z1512" s="85">
        <f t="shared" si="178"/>
        <v>0</v>
      </c>
      <c r="AA1512" s="69">
        <f>STATS1003B!AA1513/1000</f>
        <v>475</v>
      </c>
      <c r="AB1512" s="69">
        <f>STATS1003B!AB1513/1000</f>
        <v>0</v>
      </c>
    </row>
    <row r="1513" spans="1:28" hidden="1" x14ac:dyDescent="0.3">
      <c r="A1513" s="117"/>
      <c r="E1513" s="86" t="s">
        <v>29</v>
      </c>
      <c r="F1513" s="86" t="s">
        <v>29</v>
      </c>
      <c r="G1513" s="86" t="s">
        <v>29</v>
      </c>
      <c r="H1513" s="86" t="s">
        <v>29</v>
      </c>
      <c r="I1513" s="86" t="s">
        <v>29</v>
      </c>
      <c r="J1513" s="86" t="s">
        <v>29</v>
      </c>
      <c r="K1513" s="86" t="s">
        <v>29</v>
      </c>
      <c r="L1513" s="86" t="s">
        <v>29</v>
      </c>
      <c r="M1513" s="86" t="s">
        <v>29</v>
      </c>
      <c r="N1513" s="86" t="s">
        <v>29</v>
      </c>
      <c r="O1513" s="86" t="s">
        <v>29</v>
      </c>
      <c r="P1513" s="86" t="s">
        <v>29</v>
      </c>
      <c r="Q1513" s="86" t="s">
        <v>29</v>
      </c>
      <c r="R1513" s="86" t="s">
        <v>29</v>
      </c>
      <c r="S1513" s="86" t="s">
        <v>29</v>
      </c>
      <c r="T1513" s="86" t="s">
        <v>29</v>
      </c>
      <c r="U1513" s="86" t="s">
        <v>29</v>
      </c>
      <c r="V1513" s="86" t="s">
        <v>29</v>
      </c>
      <c r="W1513" s="86" t="s">
        <v>29</v>
      </c>
      <c r="X1513" s="85" t="e">
        <f t="shared" si="173"/>
        <v>#VALUE!</v>
      </c>
      <c r="Y1513" s="86" t="s">
        <v>29</v>
      </c>
      <c r="Z1513" s="85" t="e">
        <f t="shared" si="178"/>
        <v>#VALUE!</v>
      </c>
      <c r="AA1513" s="115" t="s">
        <v>29</v>
      </c>
      <c r="AB1513" s="115" t="s">
        <v>29</v>
      </c>
    </row>
    <row r="1514" spans="1:28" hidden="1" x14ac:dyDescent="0.3">
      <c r="A1514" s="117"/>
      <c r="E1514" s="84"/>
      <c r="F1514" s="84"/>
      <c r="G1514" s="84"/>
      <c r="H1514" s="84"/>
      <c r="I1514" s="84"/>
      <c r="J1514" s="84"/>
      <c r="K1514" s="84"/>
      <c r="L1514" s="84"/>
      <c r="M1514" s="84"/>
      <c r="N1514" s="84"/>
      <c r="O1514" s="84"/>
      <c r="P1514" s="84"/>
      <c r="Q1514" s="84"/>
      <c r="R1514" s="86"/>
      <c r="S1514" s="86"/>
      <c r="T1514" s="86"/>
      <c r="U1514" s="86"/>
      <c r="V1514" s="86"/>
      <c r="W1514" s="86"/>
      <c r="X1514" s="85">
        <f t="shared" si="173"/>
        <v>0</v>
      </c>
      <c r="Y1514" s="86"/>
      <c r="Z1514" s="85">
        <f t="shared" si="178"/>
        <v>0</v>
      </c>
    </row>
    <row r="1515" spans="1:28" x14ac:dyDescent="0.3">
      <c r="A1515" s="117"/>
      <c r="C1515" s="68" t="s">
        <v>750</v>
      </c>
      <c r="D1515" s="87" t="s">
        <v>54</v>
      </c>
      <c r="E1515" s="85">
        <f>190000/1000</f>
        <v>190</v>
      </c>
      <c r="F1515" s="85">
        <f>STATS1003B!F1516/1000</f>
        <v>190</v>
      </c>
      <c r="G1515" s="85">
        <f>STATS1003B!G1516/1000</f>
        <v>0</v>
      </c>
      <c r="H1515" s="85">
        <f>STATS1003B!H1516/1000</f>
        <v>190</v>
      </c>
      <c r="I1515" s="85">
        <f>STATS1003B!I1516/1000</f>
        <v>0</v>
      </c>
      <c r="J1515" s="85">
        <f>STATS1003B!J1516/1000</f>
        <v>190</v>
      </c>
      <c r="K1515" s="85">
        <f>STATS1003B!K1516/1000</f>
        <v>0</v>
      </c>
      <c r="L1515" s="85">
        <f>STATS1003B!L1516/1000</f>
        <v>0</v>
      </c>
      <c r="M1515" s="85">
        <f>STATS1003B!M1516/1000</f>
        <v>190</v>
      </c>
      <c r="N1515" s="85">
        <f>STATS1003B!N1516/1000</f>
        <v>0</v>
      </c>
      <c r="O1515" s="85">
        <f>STATS1003B!O1516/1000</f>
        <v>0</v>
      </c>
      <c r="P1515" s="85">
        <f>STATS1003B!P1516/1000</f>
        <v>0</v>
      </c>
      <c r="Q1515" s="85">
        <f>STATS1003B!Q1516/1000</f>
        <v>190</v>
      </c>
      <c r="R1515" s="85">
        <f>STATS1003B!R1516/1000</f>
        <v>0</v>
      </c>
      <c r="S1515" s="85">
        <f>STATS1003B!S1516/1000</f>
        <v>0</v>
      </c>
      <c r="T1515" s="85">
        <f>STATS1003B!T1516/1000</f>
        <v>0</v>
      </c>
      <c r="U1515" s="85">
        <f>STATS1003B!U1516/1000</f>
        <v>0</v>
      </c>
      <c r="V1515" s="85">
        <f>STATS1003B!V1516/1000</f>
        <v>190</v>
      </c>
      <c r="W1515" s="85">
        <f>STATS1003B!W1516/1000</f>
        <v>0</v>
      </c>
      <c r="X1515" s="85">
        <f t="shared" si="173"/>
        <v>190</v>
      </c>
      <c r="Y1515" s="85">
        <f>STATS1003B!Y1516/1000</f>
        <v>0</v>
      </c>
      <c r="Z1515" s="85">
        <f t="shared" si="178"/>
        <v>0</v>
      </c>
      <c r="AA1515" s="69">
        <f>STATS1003B!AA1516/1000</f>
        <v>190</v>
      </c>
      <c r="AB1515" s="69">
        <f>STATS1003B!AB1516/1000</f>
        <v>0</v>
      </c>
    </row>
    <row r="1516" spans="1:28" hidden="1" x14ac:dyDescent="0.3">
      <c r="A1516" s="117"/>
      <c r="E1516" s="86" t="s">
        <v>29</v>
      </c>
      <c r="F1516" s="86" t="s">
        <v>29</v>
      </c>
      <c r="G1516" s="86" t="s">
        <v>29</v>
      </c>
      <c r="H1516" s="86" t="s">
        <v>29</v>
      </c>
      <c r="I1516" s="86" t="s">
        <v>29</v>
      </c>
      <c r="J1516" s="86" t="s">
        <v>29</v>
      </c>
      <c r="K1516" s="86" t="s">
        <v>29</v>
      </c>
      <c r="L1516" s="86" t="s">
        <v>29</v>
      </c>
      <c r="M1516" s="86" t="s">
        <v>29</v>
      </c>
      <c r="N1516" s="86" t="s">
        <v>29</v>
      </c>
      <c r="O1516" s="86" t="s">
        <v>29</v>
      </c>
      <c r="P1516" s="86" t="s">
        <v>29</v>
      </c>
      <c r="Q1516" s="86" t="s">
        <v>29</v>
      </c>
      <c r="R1516" s="86" t="s">
        <v>29</v>
      </c>
      <c r="S1516" s="86" t="s">
        <v>29</v>
      </c>
      <c r="T1516" s="86" t="s">
        <v>29</v>
      </c>
      <c r="U1516" s="86" t="s">
        <v>29</v>
      </c>
      <c r="V1516" s="86" t="s">
        <v>29</v>
      </c>
      <c r="W1516" s="86" t="s">
        <v>29</v>
      </c>
      <c r="X1516" s="85" t="e">
        <f t="shared" si="173"/>
        <v>#VALUE!</v>
      </c>
      <c r="Y1516" s="86" t="s">
        <v>29</v>
      </c>
      <c r="Z1516" s="85" t="e">
        <f t="shared" si="178"/>
        <v>#VALUE!</v>
      </c>
      <c r="AA1516" s="115" t="s">
        <v>29</v>
      </c>
      <c r="AB1516" s="115" t="s">
        <v>29</v>
      </c>
    </row>
    <row r="1517" spans="1:28" hidden="1" x14ac:dyDescent="0.3">
      <c r="A1517" s="117"/>
      <c r="E1517" s="84"/>
      <c r="F1517" s="84"/>
      <c r="G1517" s="84"/>
      <c r="H1517" s="84"/>
      <c r="I1517" s="84"/>
      <c r="J1517" s="84"/>
      <c r="K1517" s="84"/>
      <c r="L1517" s="84"/>
      <c r="M1517" s="84"/>
      <c r="N1517" s="84"/>
      <c r="O1517" s="84"/>
      <c r="P1517" s="84"/>
      <c r="Q1517" s="84"/>
      <c r="R1517" s="86"/>
      <c r="S1517" s="86"/>
      <c r="T1517" s="86"/>
      <c r="U1517" s="86"/>
      <c r="V1517" s="86"/>
      <c r="W1517" s="86"/>
      <c r="X1517" s="85">
        <f t="shared" si="173"/>
        <v>0</v>
      </c>
      <c r="Y1517" s="86"/>
      <c r="Z1517" s="85">
        <f t="shared" si="178"/>
        <v>0</v>
      </c>
    </row>
    <row r="1518" spans="1:28" x14ac:dyDescent="0.3">
      <c r="A1518" s="117"/>
      <c r="C1518" s="68" t="s">
        <v>751</v>
      </c>
      <c r="D1518" s="87" t="s">
        <v>54</v>
      </c>
      <c r="E1518" s="85">
        <f>190000/1000</f>
        <v>190</v>
      </c>
      <c r="F1518" s="85">
        <f>STATS1003B!F1519/1000</f>
        <v>190</v>
      </c>
      <c r="G1518" s="85">
        <f>STATS1003B!G1519/1000</f>
        <v>0</v>
      </c>
      <c r="H1518" s="85">
        <f>STATS1003B!H1519/1000</f>
        <v>190</v>
      </c>
      <c r="I1518" s="85">
        <f>STATS1003B!I1519/1000</f>
        <v>0</v>
      </c>
      <c r="J1518" s="85">
        <f>STATS1003B!J1519/1000</f>
        <v>190</v>
      </c>
      <c r="K1518" s="85">
        <f>STATS1003B!K1519/1000</f>
        <v>0</v>
      </c>
      <c r="L1518" s="85">
        <f>STATS1003B!L1519/1000</f>
        <v>0</v>
      </c>
      <c r="M1518" s="85">
        <f>STATS1003B!M1519/1000</f>
        <v>190</v>
      </c>
      <c r="N1518" s="85">
        <f>STATS1003B!N1519/1000</f>
        <v>0</v>
      </c>
      <c r="O1518" s="85">
        <f>STATS1003B!O1519/1000</f>
        <v>0</v>
      </c>
      <c r="P1518" s="85">
        <f>STATS1003B!P1519/1000</f>
        <v>0</v>
      </c>
      <c r="Q1518" s="85">
        <f>STATS1003B!Q1519/1000</f>
        <v>190</v>
      </c>
      <c r="R1518" s="85">
        <f>STATS1003B!R1519/1000</f>
        <v>0</v>
      </c>
      <c r="S1518" s="85">
        <f>STATS1003B!S1519/1000</f>
        <v>0</v>
      </c>
      <c r="T1518" s="85">
        <f>STATS1003B!T1519/1000</f>
        <v>0</v>
      </c>
      <c r="U1518" s="85">
        <f>STATS1003B!U1519/1000</f>
        <v>0</v>
      </c>
      <c r="V1518" s="85">
        <f>STATS1003B!V1519/1000</f>
        <v>190</v>
      </c>
      <c r="W1518" s="85">
        <f>STATS1003B!W1519/1000</f>
        <v>0</v>
      </c>
      <c r="X1518" s="85">
        <f t="shared" si="173"/>
        <v>190</v>
      </c>
      <c r="Y1518" s="85">
        <f>STATS1003B!Y1519/1000</f>
        <v>0</v>
      </c>
      <c r="Z1518" s="85">
        <f t="shared" si="178"/>
        <v>0</v>
      </c>
      <c r="AA1518" s="69">
        <f>STATS1003B!AA1519/1000</f>
        <v>190</v>
      </c>
      <c r="AB1518" s="69">
        <f>STATS1003B!AB1519/1000</f>
        <v>0</v>
      </c>
    </row>
    <row r="1519" spans="1:28" hidden="1" x14ac:dyDescent="0.3">
      <c r="A1519" s="117"/>
      <c r="E1519" s="86" t="s">
        <v>29</v>
      </c>
      <c r="F1519" s="86" t="s">
        <v>29</v>
      </c>
      <c r="G1519" s="86" t="s">
        <v>29</v>
      </c>
      <c r="H1519" s="86" t="s">
        <v>29</v>
      </c>
      <c r="I1519" s="86" t="s">
        <v>29</v>
      </c>
      <c r="J1519" s="86" t="s">
        <v>29</v>
      </c>
      <c r="K1519" s="86" t="s">
        <v>29</v>
      </c>
      <c r="L1519" s="86" t="s">
        <v>29</v>
      </c>
      <c r="M1519" s="86" t="s">
        <v>29</v>
      </c>
      <c r="N1519" s="86" t="s">
        <v>29</v>
      </c>
      <c r="O1519" s="86" t="s">
        <v>29</v>
      </c>
      <c r="P1519" s="86" t="s">
        <v>29</v>
      </c>
      <c r="Q1519" s="86" t="s">
        <v>29</v>
      </c>
      <c r="R1519" s="86" t="s">
        <v>29</v>
      </c>
      <c r="S1519" s="86" t="s">
        <v>29</v>
      </c>
      <c r="T1519" s="86" t="s">
        <v>29</v>
      </c>
      <c r="U1519" s="86" t="s">
        <v>29</v>
      </c>
      <c r="V1519" s="86" t="s">
        <v>29</v>
      </c>
      <c r="W1519" s="86" t="s">
        <v>29</v>
      </c>
      <c r="X1519" s="85" t="e">
        <f t="shared" si="173"/>
        <v>#VALUE!</v>
      </c>
      <c r="Y1519" s="86" t="s">
        <v>29</v>
      </c>
      <c r="Z1519" s="85" t="e">
        <f t="shared" si="178"/>
        <v>#VALUE!</v>
      </c>
      <c r="AA1519" s="115" t="s">
        <v>29</v>
      </c>
      <c r="AB1519" s="115" t="s">
        <v>29</v>
      </c>
    </row>
    <row r="1520" spans="1:28" hidden="1" x14ac:dyDescent="0.3">
      <c r="A1520" s="117"/>
      <c r="E1520" s="84"/>
      <c r="F1520" s="84"/>
      <c r="G1520" s="84"/>
      <c r="H1520" s="84"/>
      <c r="I1520" s="84"/>
      <c r="J1520" s="84"/>
      <c r="K1520" s="84"/>
      <c r="L1520" s="84"/>
      <c r="M1520" s="84"/>
      <c r="N1520" s="84"/>
      <c r="O1520" s="84"/>
      <c r="P1520" s="84"/>
      <c r="Q1520" s="84"/>
      <c r="R1520" s="86"/>
      <c r="S1520" s="86"/>
      <c r="T1520" s="86"/>
      <c r="U1520" s="86"/>
      <c r="V1520" s="86"/>
      <c r="W1520" s="86"/>
      <c r="X1520" s="85">
        <f t="shared" si="173"/>
        <v>0</v>
      </c>
      <c r="Y1520" s="86"/>
      <c r="Z1520" s="85">
        <f t="shared" si="178"/>
        <v>0</v>
      </c>
    </row>
    <row r="1521" spans="1:28" x14ac:dyDescent="0.3">
      <c r="A1521" s="117"/>
      <c r="C1521" s="68" t="s">
        <v>752</v>
      </c>
      <c r="D1521" s="87" t="s">
        <v>54</v>
      </c>
      <c r="E1521" s="85">
        <f>138000/1000</f>
        <v>138</v>
      </c>
      <c r="F1521" s="85">
        <f>STATS1003B!F1522/1000</f>
        <v>137.75</v>
      </c>
      <c r="G1521" s="85">
        <f>STATS1003B!G1522/1000</f>
        <v>0</v>
      </c>
      <c r="H1521" s="85">
        <f>STATS1003B!H1522/1000</f>
        <v>137.75</v>
      </c>
      <c r="I1521" s="85">
        <f>STATS1003B!I1522/1000</f>
        <v>0</v>
      </c>
      <c r="J1521" s="85">
        <f>STATS1003B!J1522/1000</f>
        <v>137.75</v>
      </c>
      <c r="K1521" s="85">
        <f>STATS1003B!K1522/1000</f>
        <v>0</v>
      </c>
      <c r="L1521" s="85">
        <f>STATS1003B!L1522/1000</f>
        <v>0</v>
      </c>
      <c r="M1521" s="85">
        <f>STATS1003B!M1522/1000</f>
        <v>137.75</v>
      </c>
      <c r="N1521" s="85">
        <f>STATS1003B!N1522/1000</f>
        <v>0</v>
      </c>
      <c r="O1521" s="85">
        <f>STATS1003B!O1522/1000</f>
        <v>0</v>
      </c>
      <c r="P1521" s="85">
        <f>STATS1003B!P1522/1000</f>
        <v>0</v>
      </c>
      <c r="Q1521" s="85">
        <f>STATS1003B!Q1522/1000</f>
        <v>137.75</v>
      </c>
      <c r="R1521" s="85">
        <f>STATS1003B!R1522/1000</f>
        <v>0</v>
      </c>
      <c r="S1521" s="85">
        <f>STATS1003B!S1522/1000</f>
        <v>0</v>
      </c>
      <c r="T1521" s="85">
        <f>STATS1003B!T1522/1000</f>
        <v>0</v>
      </c>
      <c r="U1521" s="85">
        <f>STATS1003B!U1522/1000</f>
        <v>0</v>
      </c>
      <c r="V1521" s="85">
        <f>STATS1003B!V1522/1000</f>
        <v>137.75</v>
      </c>
      <c r="W1521" s="85">
        <f>STATS1003B!W1522/1000</f>
        <v>0</v>
      </c>
      <c r="X1521" s="85">
        <f t="shared" si="173"/>
        <v>137.75</v>
      </c>
      <c r="Y1521" s="85">
        <f>STATS1003B!Y1522/1000</f>
        <v>0</v>
      </c>
      <c r="Z1521" s="85">
        <f t="shared" si="178"/>
        <v>0.25</v>
      </c>
      <c r="AA1521" s="69">
        <f>STATS1003B!AA1522/1000</f>
        <v>137.75</v>
      </c>
      <c r="AB1521" s="69">
        <f>STATS1003B!AB1522/1000</f>
        <v>0</v>
      </c>
    </row>
    <row r="1522" spans="1:28" hidden="1" x14ac:dyDescent="0.3">
      <c r="A1522" s="117"/>
      <c r="E1522" s="86" t="s">
        <v>29</v>
      </c>
      <c r="F1522" s="86" t="s">
        <v>29</v>
      </c>
      <c r="G1522" s="86" t="s">
        <v>29</v>
      </c>
      <c r="H1522" s="86" t="s">
        <v>29</v>
      </c>
      <c r="I1522" s="86" t="s">
        <v>29</v>
      </c>
      <c r="J1522" s="86" t="s">
        <v>29</v>
      </c>
      <c r="K1522" s="86" t="s">
        <v>29</v>
      </c>
      <c r="L1522" s="86" t="s">
        <v>29</v>
      </c>
      <c r="M1522" s="86" t="s">
        <v>29</v>
      </c>
      <c r="N1522" s="86" t="s">
        <v>29</v>
      </c>
      <c r="O1522" s="86" t="s">
        <v>29</v>
      </c>
      <c r="P1522" s="86" t="s">
        <v>29</v>
      </c>
      <c r="Q1522" s="86" t="s">
        <v>29</v>
      </c>
      <c r="R1522" s="86" t="s">
        <v>29</v>
      </c>
      <c r="S1522" s="86" t="s">
        <v>29</v>
      </c>
      <c r="T1522" s="86" t="s">
        <v>29</v>
      </c>
      <c r="U1522" s="86" t="s">
        <v>29</v>
      </c>
      <c r="V1522" s="86" t="s">
        <v>29</v>
      </c>
      <c r="W1522" s="86" t="s">
        <v>29</v>
      </c>
      <c r="X1522" s="85" t="e">
        <f t="shared" si="173"/>
        <v>#VALUE!</v>
      </c>
      <c r="Y1522" s="86" t="s">
        <v>29</v>
      </c>
      <c r="Z1522" s="85" t="e">
        <f t="shared" si="178"/>
        <v>#VALUE!</v>
      </c>
      <c r="AA1522" s="115" t="s">
        <v>29</v>
      </c>
      <c r="AB1522" s="115" t="s">
        <v>29</v>
      </c>
    </row>
    <row r="1523" spans="1:28" hidden="1" x14ac:dyDescent="0.3">
      <c r="A1523" s="117"/>
      <c r="E1523" s="84"/>
      <c r="F1523" s="84"/>
      <c r="G1523" s="84"/>
      <c r="H1523" s="84"/>
      <c r="I1523" s="84"/>
      <c r="J1523" s="84"/>
      <c r="K1523" s="84"/>
      <c r="L1523" s="84"/>
      <c r="M1523" s="84"/>
      <c r="N1523" s="84"/>
      <c r="O1523" s="84"/>
      <c r="P1523" s="84"/>
      <c r="Q1523" s="84"/>
      <c r="R1523" s="86"/>
      <c r="S1523" s="86"/>
      <c r="T1523" s="86"/>
      <c r="U1523" s="86"/>
      <c r="V1523" s="86"/>
      <c r="W1523" s="86"/>
      <c r="X1523" s="85">
        <f t="shared" si="173"/>
        <v>0</v>
      </c>
      <c r="Y1523" s="86"/>
      <c r="Z1523" s="85">
        <f t="shared" si="178"/>
        <v>0</v>
      </c>
    </row>
    <row r="1524" spans="1:28" x14ac:dyDescent="0.3">
      <c r="A1524" s="117"/>
      <c r="C1524" s="68" t="s">
        <v>753</v>
      </c>
      <c r="D1524" s="87" t="s">
        <v>54</v>
      </c>
      <c r="E1524" s="85">
        <f>190000/1000</f>
        <v>190</v>
      </c>
      <c r="F1524" s="85">
        <f>STATS1003B!F1525/1000</f>
        <v>190</v>
      </c>
      <c r="G1524" s="85">
        <f>STATS1003B!G1525/1000</f>
        <v>0</v>
      </c>
      <c r="H1524" s="85">
        <f>STATS1003B!H1525/1000</f>
        <v>190</v>
      </c>
      <c r="I1524" s="85">
        <f>STATS1003B!I1525/1000</f>
        <v>0</v>
      </c>
      <c r="J1524" s="85">
        <f>STATS1003B!J1525/1000</f>
        <v>190</v>
      </c>
      <c r="K1524" s="85">
        <f>STATS1003B!K1525/1000</f>
        <v>0</v>
      </c>
      <c r="L1524" s="85">
        <f>STATS1003B!L1525/1000</f>
        <v>0</v>
      </c>
      <c r="M1524" s="85">
        <f>STATS1003B!M1525/1000</f>
        <v>190</v>
      </c>
      <c r="N1524" s="85">
        <f>STATS1003B!N1525/1000</f>
        <v>0</v>
      </c>
      <c r="O1524" s="85">
        <f>STATS1003B!O1525/1000</f>
        <v>0</v>
      </c>
      <c r="P1524" s="85">
        <f>STATS1003B!P1525/1000</f>
        <v>0</v>
      </c>
      <c r="Q1524" s="85">
        <f>STATS1003B!Q1525/1000</f>
        <v>190</v>
      </c>
      <c r="R1524" s="85">
        <f>STATS1003B!R1525/1000</f>
        <v>0</v>
      </c>
      <c r="S1524" s="85">
        <f>STATS1003B!S1525/1000</f>
        <v>0</v>
      </c>
      <c r="T1524" s="85">
        <f>STATS1003B!T1525/1000</f>
        <v>0</v>
      </c>
      <c r="U1524" s="85">
        <f>STATS1003B!U1525/1000</f>
        <v>0</v>
      </c>
      <c r="V1524" s="85">
        <f>STATS1003B!V1525/1000</f>
        <v>190</v>
      </c>
      <c r="W1524" s="85">
        <f>STATS1003B!W1525/1000</f>
        <v>0</v>
      </c>
      <c r="X1524" s="85">
        <f t="shared" si="173"/>
        <v>190</v>
      </c>
      <c r="Y1524" s="85">
        <f>STATS1003B!Y1525/1000</f>
        <v>0</v>
      </c>
      <c r="Z1524" s="85">
        <f t="shared" si="178"/>
        <v>0</v>
      </c>
      <c r="AA1524" s="69">
        <f>STATS1003B!AA1525/1000</f>
        <v>190</v>
      </c>
      <c r="AB1524" s="69">
        <f>STATS1003B!AB1525/1000</f>
        <v>0</v>
      </c>
    </row>
    <row r="1525" spans="1:28" hidden="1" x14ac:dyDescent="0.3">
      <c r="A1525" s="117"/>
      <c r="E1525" s="86" t="s">
        <v>29</v>
      </c>
      <c r="F1525" s="86" t="s">
        <v>29</v>
      </c>
      <c r="G1525" s="86" t="s">
        <v>29</v>
      </c>
      <c r="H1525" s="86" t="s">
        <v>29</v>
      </c>
      <c r="I1525" s="86" t="s">
        <v>29</v>
      </c>
      <c r="J1525" s="86" t="s">
        <v>29</v>
      </c>
      <c r="K1525" s="86" t="s">
        <v>29</v>
      </c>
      <c r="L1525" s="86" t="s">
        <v>29</v>
      </c>
      <c r="M1525" s="86" t="s">
        <v>29</v>
      </c>
      <c r="N1525" s="86" t="s">
        <v>29</v>
      </c>
      <c r="O1525" s="86" t="s">
        <v>29</v>
      </c>
      <c r="P1525" s="86" t="s">
        <v>29</v>
      </c>
      <c r="Q1525" s="86" t="s">
        <v>29</v>
      </c>
      <c r="R1525" s="86" t="s">
        <v>29</v>
      </c>
      <c r="S1525" s="86" t="s">
        <v>29</v>
      </c>
      <c r="T1525" s="86" t="s">
        <v>29</v>
      </c>
      <c r="U1525" s="86" t="s">
        <v>29</v>
      </c>
      <c r="V1525" s="86" t="s">
        <v>29</v>
      </c>
      <c r="W1525" s="86" t="s">
        <v>29</v>
      </c>
      <c r="X1525" s="85" t="e">
        <f t="shared" si="173"/>
        <v>#VALUE!</v>
      </c>
      <c r="Y1525" s="86" t="s">
        <v>29</v>
      </c>
      <c r="Z1525" s="85" t="e">
        <f t="shared" si="178"/>
        <v>#VALUE!</v>
      </c>
      <c r="AA1525" s="115" t="s">
        <v>29</v>
      </c>
      <c r="AB1525" s="115" t="s">
        <v>29</v>
      </c>
    </row>
    <row r="1526" spans="1:28" hidden="1" x14ac:dyDescent="0.3">
      <c r="A1526" s="117"/>
      <c r="E1526" s="84"/>
      <c r="F1526" s="84"/>
      <c r="G1526" s="84"/>
      <c r="H1526" s="84"/>
      <c r="I1526" s="84"/>
      <c r="J1526" s="84"/>
      <c r="K1526" s="84"/>
      <c r="L1526" s="84"/>
      <c r="M1526" s="84"/>
      <c r="N1526" s="84"/>
      <c r="O1526" s="84"/>
      <c r="P1526" s="84"/>
      <c r="Q1526" s="84"/>
      <c r="R1526" s="86"/>
      <c r="S1526" s="86"/>
      <c r="T1526" s="86"/>
      <c r="U1526" s="86"/>
      <c r="V1526" s="86"/>
      <c r="W1526" s="86"/>
      <c r="X1526" s="85">
        <f t="shared" si="173"/>
        <v>0</v>
      </c>
      <c r="Y1526" s="86"/>
      <c r="Z1526" s="85">
        <f t="shared" si="178"/>
        <v>0</v>
      </c>
    </row>
    <row r="1527" spans="1:28" x14ac:dyDescent="0.3">
      <c r="A1527" s="117"/>
      <c r="C1527" s="68" t="s">
        <v>754</v>
      </c>
      <c r="D1527" s="87" t="s">
        <v>54</v>
      </c>
      <c r="E1527" s="85">
        <f>95000/1000</f>
        <v>95</v>
      </c>
      <c r="F1527" s="85">
        <f>STATS1003B!F1528/1000</f>
        <v>95</v>
      </c>
      <c r="G1527" s="85">
        <f>STATS1003B!G1528/1000</f>
        <v>0</v>
      </c>
      <c r="H1527" s="85">
        <f>STATS1003B!H1528/1000</f>
        <v>95</v>
      </c>
      <c r="I1527" s="85">
        <f>STATS1003B!I1528/1000</f>
        <v>0</v>
      </c>
      <c r="J1527" s="85">
        <f>STATS1003B!J1528/1000</f>
        <v>95</v>
      </c>
      <c r="K1527" s="85">
        <f>STATS1003B!K1528/1000</f>
        <v>0</v>
      </c>
      <c r="L1527" s="85">
        <f>STATS1003B!L1528/1000</f>
        <v>0</v>
      </c>
      <c r="M1527" s="85">
        <f>STATS1003B!M1528/1000</f>
        <v>95</v>
      </c>
      <c r="N1527" s="85">
        <f>STATS1003B!N1528/1000</f>
        <v>0</v>
      </c>
      <c r="O1527" s="85">
        <f>STATS1003B!O1528/1000</f>
        <v>0</v>
      </c>
      <c r="P1527" s="85">
        <f>STATS1003B!P1528/1000</f>
        <v>0</v>
      </c>
      <c r="Q1527" s="85">
        <f>STATS1003B!Q1528/1000</f>
        <v>95</v>
      </c>
      <c r="R1527" s="85">
        <f>STATS1003B!R1528/1000</f>
        <v>0</v>
      </c>
      <c r="S1527" s="85">
        <f>STATS1003B!S1528/1000</f>
        <v>0</v>
      </c>
      <c r="T1527" s="85">
        <f>STATS1003B!T1528/1000</f>
        <v>0</v>
      </c>
      <c r="U1527" s="85">
        <f>STATS1003B!U1528/1000</f>
        <v>0</v>
      </c>
      <c r="V1527" s="85">
        <f>STATS1003B!V1528/1000</f>
        <v>95</v>
      </c>
      <c r="W1527" s="85">
        <f>STATS1003B!W1528/1000</f>
        <v>0</v>
      </c>
      <c r="X1527" s="85">
        <f t="shared" si="173"/>
        <v>95</v>
      </c>
      <c r="Y1527" s="85">
        <f>STATS1003B!Y1528/1000</f>
        <v>0</v>
      </c>
      <c r="Z1527" s="85">
        <f t="shared" si="178"/>
        <v>0</v>
      </c>
      <c r="AA1527" s="69">
        <f>STATS1003B!AA1528/1000</f>
        <v>95</v>
      </c>
      <c r="AB1527" s="69">
        <f>STATS1003B!AB1528/1000</f>
        <v>0</v>
      </c>
    </row>
    <row r="1528" spans="1:28" hidden="1" x14ac:dyDescent="0.3">
      <c r="A1528" s="117"/>
      <c r="E1528" s="86" t="s">
        <v>29</v>
      </c>
      <c r="F1528" s="86" t="s">
        <v>29</v>
      </c>
      <c r="G1528" s="86" t="s">
        <v>29</v>
      </c>
      <c r="H1528" s="86" t="s">
        <v>29</v>
      </c>
      <c r="I1528" s="86" t="s">
        <v>29</v>
      </c>
      <c r="J1528" s="86" t="s">
        <v>29</v>
      </c>
      <c r="K1528" s="86" t="s">
        <v>29</v>
      </c>
      <c r="L1528" s="86" t="s">
        <v>29</v>
      </c>
      <c r="M1528" s="86" t="s">
        <v>29</v>
      </c>
      <c r="N1528" s="86" t="s">
        <v>29</v>
      </c>
      <c r="O1528" s="86" t="s">
        <v>29</v>
      </c>
      <c r="P1528" s="86" t="s">
        <v>29</v>
      </c>
      <c r="Q1528" s="86" t="s">
        <v>29</v>
      </c>
      <c r="R1528" s="86" t="s">
        <v>29</v>
      </c>
      <c r="S1528" s="86" t="s">
        <v>29</v>
      </c>
      <c r="T1528" s="86" t="s">
        <v>29</v>
      </c>
      <c r="U1528" s="86" t="s">
        <v>29</v>
      </c>
      <c r="V1528" s="86" t="s">
        <v>29</v>
      </c>
      <c r="W1528" s="86" t="s">
        <v>29</v>
      </c>
      <c r="X1528" s="85" t="e">
        <f t="shared" si="173"/>
        <v>#VALUE!</v>
      </c>
      <c r="Y1528" s="86" t="s">
        <v>29</v>
      </c>
      <c r="Z1528" s="85" t="e">
        <f t="shared" si="178"/>
        <v>#VALUE!</v>
      </c>
      <c r="AA1528" s="115" t="s">
        <v>29</v>
      </c>
      <c r="AB1528" s="115" t="s">
        <v>29</v>
      </c>
    </row>
    <row r="1529" spans="1:28" hidden="1" x14ac:dyDescent="0.3">
      <c r="A1529" s="117"/>
      <c r="E1529" s="84"/>
      <c r="F1529" s="84"/>
      <c r="G1529" s="84"/>
      <c r="H1529" s="84"/>
      <c r="I1529" s="84"/>
      <c r="J1529" s="84"/>
      <c r="K1529" s="84"/>
      <c r="L1529" s="84"/>
      <c r="M1529" s="84"/>
      <c r="N1529" s="84"/>
      <c r="O1529" s="84"/>
      <c r="P1529" s="84"/>
      <c r="Q1529" s="84"/>
      <c r="R1529" s="86"/>
      <c r="S1529" s="86"/>
      <c r="T1529" s="86"/>
      <c r="U1529" s="86"/>
      <c r="V1529" s="86"/>
      <c r="W1529" s="86"/>
      <c r="X1529" s="85">
        <f t="shared" si="173"/>
        <v>0</v>
      </c>
      <c r="Y1529" s="86"/>
      <c r="Z1529" s="85">
        <f t="shared" si="178"/>
        <v>0</v>
      </c>
    </row>
    <row r="1530" spans="1:28" x14ac:dyDescent="0.3">
      <c r="A1530" s="117"/>
      <c r="C1530" s="68" t="s">
        <v>755</v>
      </c>
      <c r="D1530" s="87" t="s">
        <v>54</v>
      </c>
      <c r="E1530" s="85">
        <f>190000/1000</f>
        <v>190</v>
      </c>
      <c r="F1530" s="85">
        <f>STATS1003B!F1531/1000</f>
        <v>190</v>
      </c>
      <c r="G1530" s="85">
        <f>STATS1003B!G1531/1000</f>
        <v>0</v>
      </c>
      <c r="H1530" s="85">
        <f>STATS1003B!H1531/1000</f>
        <v>190</v>
      </c>
      <c r="I1530" s="85">
        <f>STATS1003B!I1531/1000</f>
        <v>0</v>
      </c>
      <c r="J1530" s="85">
        <f>STATS1003B!J1531/1000</f>
        <v>190</v>
      </c>
      <c r="K1530" s="85">
        <f>STATS1003B!K1531/1000</f>
        <v>0</v>
      </c>
      <c r="L1530" s="85">
        <f>STATS1003B!L1531/1000</f>
        <v>0</v>
      </c>
      <c r="M1530" s="85">
        <f>STATS1003B!M1531/1000</f>
        <v>190</v>
      </c>
      <c r="N1530" s="85">
        <f>STATS1003B!N1531/1000</f>
        <v>0</v>
      </c>
      <c r="O1530" s="85">
        <f>STATS1003B!O1531/1000</f>
        <v>0</v>
      </c>
      <c r="P1530" s="85">
        <f>STATS1003B!P1531/1000</f>
        <v>0</v>
      </c>
      <c r="Q1530" s="85">
        <f>STATS1003B!Q1531/1000</f>
        <v>190</v>
      </c>
      <c r="R1530" s="85">
        <f>STATS1003B!R1531/1000</f>
        <v>0</v>
      </c>
      <c r="S1530" s="85">
        <f>STATS1003B!S1531/1000</f>
        <v>0</v>
      </c>
      <c r="T1530" s="85">
        <f>STATS1003B!T1531/1000</f>
        <v>0</v>
      </c>
      <c r="U1530" s="85">
        <f>STATS1003B!U1531/1000</f>
        <v>0</v>
      </c>
      <c r="V1530" s="85">
        <f>STATS1003B!V1531/1000</f>
        <v>190</v>
      </c>
      <c r="W1530" s="85">
        <f>STATS1003B!W1531/1000</f>
        <v>0</v>
      </c>
      <c r="X1530" s="85">
        <f t="shared" si="173"/>
        <v>190</v>
      </c>
      <c r="Y1530" s="85">
        <f>STATS1003B!Y1531/1000</f>
        <v>0</v>
      </c>
      <c r="Z1530" s="85">
        <f t="shared" si="178"/>
        <v>0</v>
      </c>
      <c r="AA1530" s="69">
        <f>STATS1003B!AA1531/1000</f>
        <v>190</v>
      </c>
      <c r="AB1530" s="69">
        <f>STATS1003B!AB1531/1000</f>
        <v>0</v>
      </c>
    </row>
    <row r="1531" spans="1:28" hidden="1" x14ac:dyDescent="0.3">
      <c r="A1531" s="117"/>
      <c r="E1531" s="86" t="s">
        <v>29</v>
      </c>
      <c r="F1531" s="86" t="s">
        <v>29</v>
      </c>
      <c r="G1531" s="86" t="s">
        <v>29</v>
      </c>
      <c r="H1531" s="86" t="s">
        <v>29</v>
      </c>
      <c r="I1531" s="86" t="s">
        <v>29</v>
      </c>
      <c r="J1531" s="86" t="s">
        <v>29</v>
      </c>
      <c r="K1531" s="86" t="s">
        <v>29</v>
      </c>
      <c r="L1531" s="86" t="s">
        <v>29</v>
      </c>
      <c r="M1531" s="86" t="s">
        <v>29</v>
      </c>
      <c r="N1531" s="86" t="s">
        <v>29</v>
      </c>
      <c r="O1531" s="86" t="s">
        <v>29</v>
      </c>
      <c r="P1531" s="86" t="s">
        <v>29</v>
      </c>
      <c r="Q1531" s="86" t="s">
        <v>29</v>
      </c>
      <c r="R1531" s="86" t="s">
        <v>29</v>
      </c>
      <c r="S1531" s="86" t="s">
        <v>29</v>
      </c>
      <c r="T1531" s="86" t="s">
        <v>29</v>
      </c>
      <c r="U1531" s="86" t="s">
        <v>29</v>
      </c>
      <c r="V1531" s="86" t="s">
        <v>29</v>
      </c>
      <c r="W1531" s="86" t="s">
        <v>29</v>
      </c>
      <c r="X1531" s="85" t="e">
        <f t="shared" si="173"/>
        <v>#VALUE!</v>
      </c>
      <c r="Y1531" s="86" t="s">
        <v>29</v>
      </c>
      <c r="Z1531" s="85" t="e">
        <f t="shared" si="178"/>
        <v>#VALUE!</v>
      </c>
      <c r="AA1531" s="115" t="s">
        <v>29</v>
      </c>
      <c r="AB1531" s="115" t="s">
        <v>29</v>
      </c>
    </row>
    <row r="1532" spans="1:28" hidden="1" x14ac:dyDescent="0.3">
      <c r="A1532" s="117"/>
      <c r="E1532" s="84"/>
      <c r="F1532" s="84"/>
      <c r="G1532" s="84"/>
      <c r="H1532" s="84"/>
      <c r="I1532" s="84"/>
      <c r="J1532" s="84"/>
      <c r="K1532" s="84"/>
      <c r="L1532" s="84"/>
      <c r="M1532" s="84"/>
      <c r="N1532" s="84"/>
      <c r="O1532" s="84"/>
      <c r="P1532" s="84"/>
      <c r="Q1532" s="84"/>
      <c r="R1532" s="86"/>
      <c r="S1532" s="86"/>
      <c r="T1532" s="86"/>
      <c r="U1532" s="86"/>
      <c r="V1532" s="86"/>
      <c r="W1532" s="86"/>
      <c r="X1532" s="85">
        <f t="shared" si="173"/>
        <v>0</v>
      </c>
      <c r="Y1532" s="86"/>
      <c r="Z1532" s="85">
        <f t="shared" si="178"/>
        <v>0</v>
      </c>
    </row>
    <row r="1533" spans="1:28" x14ac:dyDescent="0.3">
      <c r="A1533" s="117"/>
      <c r="C1533" s="68" t="s">
        <v>756</v>
      </c>
      <c r="D1533" s="87" t="s">
        <v>54</v>
      </c>
      <c r="E1533" s="85">
        <f>95000/1000</f>
        <v>95</v>
      </c>
      <c r="F1533" s="85">
        <f>STATS1003B!F1534/1000</f>
        <v>95</v>
      </c>
      <c r="G1533" s="85">
        <f>STATS1003B!G1534/1000</f>
        <v>0</v>
      </c>
      <c r="H1533" s="85">
        <f>STATS1003B!H1534/1000</f>
        <v>95</v>
      </c>
      <c r="I1533" s="85">
        <f>STATS1003B!I1534/1000</f>
        <v>0</v>
      </c>
      <c r="J1533" s="85">
        <f>STATS1003B!J1534/1000</f>
        <v>95</v>
      </c>
      <c r="K1533" s="85">
        <f>STATS1003B!K1534/1000</f>
        <v>0</v>
      </c>
      <c r="L1533" s="85">
        <f>STATS1003B!L1534/1000</f>
        <v>0</v>
      </c>
      <c r="M1533" s="85">
        <f>STATS1003B!M1534/1000</f>
        <v>95</v>
      </c>
      <c r="N1533" s="85">
        <f>STATS1003B!N1534/1000</f>
        <v>0</v>
      </c>
      <c r="O1533" s="85">
        <f>STATS1003B!O1534/1000</f>
        <v>0</v>
      </c>
      <c r="P1533" s="85">
        <f>STATS1003B!P1534/1000</f>
        <v>0</v>
      </c>
      <c r="Q1533" s="85">
        <f>STATS1003B!Q1534/1000</f>
        <v>95</v>
      </c>
      <c r="R1533" s="85">
        <f>STATS1003B!R1534/1000</f>
        <v>0</v>
      </c>
      <c r="S1533" s="85">
        <f>STATS1003B!S1534/1000</f>
        <v>0</v>
      </c>
      <c r="T1533" s="85">
        <f>STATS1003B!T1534/1000</f>
        <v>0</v>
      </c>
      <c r="U1533" s="85">
        <f>STATS1003B!U1534/1000</f>
        <v>0</v>
      </c>
      <c r="V1533" s="85">
        <f>STATS1003B!V1534/1000</f>
        <v>95</v>
      </c>
      <c r="W1533" s="85">
        <f>STATS1003B!W1534/1000</f>
        <v>0</v>
      </c>
      <c r="X1533" s="85">
        <f t="shared" si="173"/>
        <v>95</v>
      </c>
      <c r="Y1533" s="85">
        <f>STATS1003B!Y1534/1000</f>
        <v>0</v>
      </c>
      <c r="Z1533" s="85">
        <f t="shared" si="178"/>
        <v>0</v>
      </c>
      <c r="AA1533" s="69">
        <f>STATS1003B!AA1534/1000</f>
        <v>95</v>
      </c>
      <c r="AB1533" s="69">
        <f>STATS1003B!AB1534/1000</f>
        <v>0</v>
      </c>
    </row>
    <row r="1534" spans="1:28" hidden="1" x14ac:dyDescent="0.3">
      <c r="A1534" s="117"/>
      <c r="E1534" s="86" t="s">
        <v>29</v>
      </c>
      <c r="F1534" s="86" t="s">
        <v>29</v>
      </c>
      <c r="G1534" s="86" t="s">
        <v>29</v>
      </c>
      <c r="H1534" s="86" t="s">
        <v>29</v>
      </c>
      <c r="I1534" s="86" t="s">
        <v>29</v>
      </c>
      <c r="J1534" s="86" t="s">
        <v>29</v>
      </c>
      <c r="K1534" s="86" t="s">
        <v>29</v>
      </c>
      <c r="L1534" s="86" t="s">
        <v>29</v>
      </c>
      <c r="M1534" s="86" t="s">
        <v>29</v>
      </c>
      <c r="N1534" s="86" t="s">
        <v>29</v>
      </c>
      <c r="O1534" s="86" t="s">
        <v>29</v>
      </c>
      <c r="P1534" s="86" t="s">
        <v>29</v>
      </c>
      <c r="Q1534" s="86" t="s">
        <v>29</v>
      </c>
      <c r="R1534" s="86" t="s">
        <v>29</v>
      </c>
      <c r="S1534" s="86" t="s">
        <v>29</v>
      </c>
      <c r="T1534" s="86" t="s">
        <v>29</v>
      </c>
      <c r="U1534" s="86" t="s">
        <v>29</v>
      </c>
      <c r="V1534" s="86" t="s">
        <v>29</v>
      </c>
      <c r="W1534" s="86" t="s">
        <v>29</v>
      </c>
      <c r="X1534" s="85" t="e">
        <f t="shared" ref="X1534:X1539" si="179">+H1534+P1534</f>
        <v>#VALUE!</v>
      </c>
      <c r="Y1534" s="86" t="s">
        <v>29</v>
      </c>
      <c r="Z1534" s="85" t="e">
        <f t="shared" si="178"/>
        <v>#VALUE!</v>
      </c>
      <c r="AA1534" s="115" t="s">
        <v>29</v>
      </c>
      <c r="AB1534" s="115" t="s">
        <v>29</v>
      </c>
    </row>
    <row r="1535" spans="1:28" hidden="1" x14ac:dyDescent="0.3">
      <c r="A1535" s="117"/>
      <c r="E1535" s="84"/>
      <c r="F1535" s="84"/>
      <c r="G1535" s="84"/>
      <c r="H1535" s="84"/>
      <c r="I1535" s="84"/>
      <c r="J1535" s="84"/>
      <c r="K1535" s="84"/>
      <c r="L1535" s="84"/>
      <c r="M1535" s="84"/>
      <c r="N1535" s="84"/>
      <c r="O1535" s="84"/>
      <c r="P1535" s="84"/>
      <c r="Q1535" s="84"/>
      <c r="R1535" s="86"/>
      <c r="S1535" s="86"/>
      <c r="T1535" s="86"/>
      <c r="U1535" s="86"/>
      <c r="V1535" s="86"/>
      <c r="W1535" s="86"/>
      <c r="X1535" s="85">
        <f t="shared" si="179"/>
        <v>0</v>
      </c>
      <c r="Y1535" s="86"/>
      <c r="Z1535" s="85">
        <f t="shared" si="178"/>
        <v>0</v>
      </c>
    </row>
    <row r="1536" spans="1:28" x14ac:dyDescent="0.3">
      <c r="A1536" s="117"/>
      <c r="C1536" s="68" t="s">
        <v>757</v>
      </c>
      <c r="D1536" s="87" t="s">
        <v>54</v>
      </c>
      <c r="E1536" s="85">
        <f>475000/1000</f>
        <v>475</v>
      </c>
      <c r="F1536" s="85">
        <f>STATS1003B!F1537/1000</f>
        <v>475</v>
      </c>
      <c r="G1536" s="85">
        <f>STATS1003B!G1537/1000</f>
        <v>0</v>
      </c>
      <c r="H1536" s="85">
        <f>STATS1003B!H1537/1000</f>
        <v>475</v>
      </c>
      <c r="I1536" s="85">
        <f>STATS1003B!I1537/1000</f>
        <v>0</v>
      </c>
      <c r="J1536" s="85">
        <f>STATS1003B!J1537/1000</f>
        <v>475</v>
      </c>
      <c r="K1536" s="85">
        <f>STATS1003B!K1537/1000</f>
        <v>0</v>
      </c>
      <c r="L1536" s="85">
        <f>STATS1003B!L1537/1000</f>
        <v>0</v>
      </c>
      <c r="M1536" s="85">
        <f>STATS1003B!M1537/1000</f>
        <v>475</v>
      </c>
      <c r="N1536" s="85">
        <f>STATS1003B!N1537/1000</f>
        <v>0</v>
      </c>
      <c r="O1536" s="85">
        <f>STATS1003B!O1537/1000</f>
        <v>0</v>
      </c>
      <c r="P1536" s="85">
        <f>STATS1003B!P1537/1000</f>
        <v>0</v>
      </c>
      <c r="Q1536" s="85">
        <f>STATS1003B!Q1537/1000</f>
        <v>475</v>
      </c>
      <c r="R1536" s="85">
        <f>STATS1003B!R1537/1000</f>
        <v>0</v>
      </c>
      <c r="S1536" s="85">
        <f>STATS1003B!S1537/1000</f>
        <v>0</v>
      </c>
      <c r="T1536" s="85">
        <f>STATS1003B!T1537/1000</f>
        <v>0</v>
      </c>
      <c r="U1536" s="85">
        <f>STATS1003B!U1537/1000</f>
        <v>0</v>
      </c>
      <c r="V1536" s="85">
        <f>STATS1003B!V1537/1000</f>
        <v>475</v>
      </c>
      <c r="W1536" s="85">
        <f>STATS1003B!W1537/1000</f>
        <v>0</v>
      </c>
      <c r="X1536" s="85">
        <f t="shared" si="179"/>
        <v>475</v>
      </c>
      <c r="Y1536" s="85">
        <f>STATS1003B!Y1537/1000</f>
        <v>0</v>
      </c>
      <c r="Z1536" s="85">
        <f t="shared" si="178"/>
        <v>0</v>
      </c>
      <c r="AA1536" s="69">
        <f>STATS1003B!AA1537/1000</f>
        <v>475</v>
      </c>
      <c r="AB1536" s="69">
        <f>STATS1003B!AB1537/1000</f>
        <v>0</v>
      </c>
    </row>
    <row r="1537" spans="1:28" hidden="1" x14ac:dyDescent="0.3">
      <c r="A1537" s="117"/>
      <c r="E1537" s="86" t="s">
        <v>29</v>
      </c>
      <c r="F1537" s="86" t="s">
        <v>29</v>
      </c>
      <c r="G1537" s="86" t="s">
        <v>29</v>
      </c>
      <c r="H1537" s="86" t="s">
        <v>29</v>
      </c>
      <c r="I1537" s="86" t="s">
        <v>29</v>
      </c>
      <c r="J1537" s="86" t="s">
        <v>29</v>
      </c>
      <c r="K1537" s="86" t="s">
        <v>29</v>
      </c>
      <c r="L1537" s="86" t="s">
        <v>29</v>
      </c>
      <c r="M1537" s="86" t="s">
        <v>29</v>
      </c>
      <c r="N1537" s="86" t="s">
        <v>29</v>
      </c>
      <c r="O1537" s="86" t="s">
        <v>29</v>
      </c>
      <c r="P1537" s="86" t="s">
        <v>29</v>
      </c>
      <c r="Q1537" s="86" t="s">
        <v>29</v>
      </c>
      <c r="R1537" s="86" t="s">
        <v>29</v>
      </c>
      <c r="S1537" s="86" t="s">
        <v>29</v>
      </c>
      <c r="T1537" s="86" t="s">
        <v>29</v>
      </c>
      <c r="U1537" s="86" t="s">
        <v>29</v>
      </c>
      <c r="V1537" s="86" t="s">
        <v>29</v>
      </c>
      <c r="W1537" s="86" t="s">
        <v>29</v>
      </c>
      <c r="X1537" s="85" t="e">
        <f t="shared" si="179"/>
        <v>#VALUE!</v>
      </c>
      <c r="Y1537" s="86" t="s">
        <v>29</v>
      </c>
      <c r="Z1537" s="85" t="e">
        <f t="shared" si="178"/>
        <v>#VALUE!</v>
      </c>
      <c r="AA1537" s="115" t="s">
        <v>29</v>
      </c>
      <c r="AB1537" s="115" t="s">
        <v>29</v>
      </c>
    </row>
    <row r="1538" spans="1:28" hidden="1" x14ac:dyDescent="0.3">
      <c r="A1538" s="117"/>
      <c r="E1538" s="84"/>
      <c r="F1538" s="84"/>
      <c r="G1538" s="84"/>
      <c r="H1538" s="84"/>
      <c r="I1538" s="84"/>
      <c r="J1538" s="84"/>
      <c r="K1538" s="84"/>
      <c r="L1538" s="84"/>
      <c r="M1538" s="84"/>
      <c r="N1538" s="84"/>
      <c r="O1538" s="84"/>
      <c r="P1538" s="84"/>
      <c r="Q1538" s="84"/>
      <c r="R1538" s="86"/>
      <c r="S1538" s="86"/>
      <c r="T1538" s="86"/>
      <c r="U1538" s="86"/>
      <c r="V1538" s="86"/>
      <c r="W1538" s="86"/>
      <c r="X1538" s="85">
        <f t="shared" si="179"/>
        <v>0</v>
      </c>
      <c r="Y1538" s="86"/>
      <c r="Z1538" s="85">
        <f t="shared" si="178"/>
        <v>0</v>
      </c>
    </row>
    <row r="1539" spans="1:28" x14ac:dyDescent="0.3">
      <c r="A1539" s="117"/>
      <c r="C1539" s="68" t="s">
        <v>758</v>
      </c>
      <c r="D1539" s="87" t="s">
        <v>54</v>
      </c>
      <c r="E1539" s="85">
        <f>STATS1003B!E1540/1000</f>
        <v>285</v>
      </c>
      <c r="F1539" s="85">
        <f>STATS1003B!F1540/1000</f>
        <v>285</v>
      </c>
      <c r="G1539" s="85">
        <f>STATS1003B!G1540/1000</f>
        <v>0</v>
      </c>
      <c r="H1539" s="85">
        <f>STATS1003B!H1540/1000</f>
        <v>285</v>
      </c>
      <c r="I1539" s="85">
        <f>STATS1003B!I1540/1000</f>
        <v>0</v>
      </c>
      <c r="J1539" s="85">
        <f>STATS1003B!J1540/1000</f>
        <v>285</v>
      </c>
      <c r="K1539" s="85">
        <f>STATS1003B!K1540/1000</f>
        <v>0</v>
      </c>
      <c r="L1539" s="85">
        <f>STATS1003B!L1540/1000</f>
        <v>0</v>
      </c>
      <c r="M1539" s="85">
        <f>STATS1003B!M1540/1000</f>
        <v>285</v>
      </c>
      <c r="N1539" s="85">
        <f>STATS1003B!N1540/1000</f>
        <v>0</v>
      </c>
      <c r="O1539" s="85">
        <f>STATS1003B!O1540/1000</f>
        <v>0</v>
      </c>
      <c r="P1539" s="85">
        <f>STATS1003B!P1540/1000</f>
        <v>0</v>
      </c>
      <c r="Q1539" s="85">
        <f>STATS1003B!Q1540/1000</f>
        <v>285</v>
      </c>
      <c r="R1539" s="85">
        <f>STATS1003B!R1540/1000</f>
        <v>0</v>
      </c>
      <c r="S1539" s="85">
        <f>STATS1003B!S1540/1000</f>
        <v>0</v>
      </c>
      <c r="T1539" s="85">
        <f>STATS1003B!T1540/1000</f>
        <v>0</v>
      </c>
      <c r="U1539" s="85">
        <f>STATS1003B!U1540/1000</f>
        <v>0</v>
      </c>
      <c r="V1539" s="85">
        <f>STATS1003B!V1540/1000</f>
        <v>285</v>
      </c>
      <c r="W1539" s="85">
        <f>STATS1003B!W1540/1000</f>
        <v>0</v>
      </c>
      <c r="X1539" s="85">
        <f t="shared" si="179"/>
        <v>285</v>
      </c>
      <c r="Y1539" s="85">
        <f>STATS1003B!Y1540/1000</f>
        <v>0</v>
      </c>
      <c r="Z1539" s="85">
        <f t="shared" si="178"/>
        <v>0</v>
      </c>
      <c r="AA1539" s="69">
        <f>STATS1003B!AA1540/1000</f>
        <v>285</v>
      </c>
      <c r="AB1539" s="69">
        <f>STATS1003B!AB1540/1000</f>
        <v>0</v>
      </c>
    </row>
    <row r="1540" spans="1:28" hidden="1" x14ac:dyDescent="0.3">
      <c r="A1540" s="117"/>
      <c r="E1540" s="86" t="s">
        <v>29</v>
      </c>
      <c r="F1540" s="86" t="s">
        <v>29</v>
      </c>
      <c r="G1540" s="86" t="s">
        <v>29</v>
      </c>
      <c r="H1540" s="86" t="s">
        <v>29</v>
      </c>
      <c r="I1540" s="86" t="s">
        <v>29</v>
      </c>
      <c r="J1540" s="86" t="s">
        <v>29</v>
      </c>
      <c r="K1540" s="86" t="s">
        <v>29</v>
      </c>
      <c r="L1540" s="86" t="s">
        <v>29</v>
      </c>
      <c r="M1540" s="86" t="s">
        <v>29</v>
      </c>
      <c r="N1540" s="86" t="s">
        <v>29</v>
      </c>
      <c r="O1540" s="86" t="s">
        <v>29</v>
      </c>
      <c r="P1540" s="86" t="s">
        <v>29</v>
      </c>
      <c r="Q1540" s="86" t="s">
        <v>29</v>
      </c>
      <c r="R1540" s="86" t="s">
        <v>29</v>
      </c>
      <c r="S1540" s="86" t="s">
        <v>29</v>
      </c>
      <c r="T1540" s="86" t="s">
        <v>29</v>
      </c>
      <c r="U1540" s="86" t="s">
        <v>29</v>
      </c>
      <c r="V1540" s="86" t="s">
        <v>29</v>
      </c>
      <c r="W1540" s="86" t="s">
        <v>29</v>
      </c>
      <c r="X1540" s="86" t="s">
        <v>29</v>
      </c>
      <c r="Y1540" s="86" t="s">
        <v>29</v>
      </c>
      <c r="Z1540" s="86" t="s">
        <v>29</v>
      </c>
      <c r="AA1540" s="115" t="s">
        <v>29</v>
      </c>
      <c r="AB1540" s="115" t="s">
        <v>29</v>
      </c>
    </row>
    <row r="1541" spans="1:28" hidden="1" x14ac:dyDescent="0.3">
      <c r="A1541" s="117"/>
      <c r="E1541" s="85">
        <f t="shared" ref="E1541:AB1541" si="180">SUM(E1500:E1539)</f>
        <v>3225.5</v>
      </c>
      <c r="F1541" s="85">
        <f t="shared" si="180"/>
        <v>3225.25</v>
      </c>
      <c r="G1541" s="85"/>
      <c r="H1541" s="85">
        <f t="shared" si="180"/>
        <v>3225.25</v>
      </c>
      <c r="I1541" s="85">
        <f t="shared" si="180"/>
        <v>0</v>
      </c>
      <c r="J1541" s="85">
        <f t="shared" si="180"/>
        <v>3225.25</v>
      </c>
      <c r="K1541" s="85">
        <f t="shared" si="180"/>
        <v>0</v>
      </c>
      <c r="L1541" s="85">
        <f t="shared" si="180"/>
        <v>0</v>
      </c>
      <c r="M1541" s="85">
        <f t="shared" si="180"/>
        <v>3225.25</v>
      </c>
      <c r="N1541" s="85">
        <f t="shared" si="180"/>
        <v>0</v>
      </c>
      <c r="O1541" s="85">
        <f t="shared" si="180"/>
        <v>0</v>
      </c>
      <c r="P1541" s="85">
        <f t="shared" si="180"/>
        <v>0</v>
      </c>
      <c r="Q1541" s="85">
        <f t="shared" si="180"/>
        <v>3225.25</v>
      </c>
      <c r="R1541" s="85">
        <f t="shared" si="180"/>
        <v>0</v>
      </c>
      <c r="S1541" s="85">
        <f t="shared" si="180"/>
        <v>0</v>
      </c>
      <c r="T1541" s="85">
        <f t="shared" si="180"/>
        <v>0</v>
      </c>
      <c r="U1541" s="85">
        <f t="shared" si="180"/>
        <v>0</v>
      </c>
      <c r="V1541" s="85">
        <f t="shared" si="180"/>
        <v>3225.25</v>
      </c>
      <c r="W1541" s="85">
        <f t="shared" si="180"/>
        <v>0</v>
      </c>
      <c r="X1541" s="85" t="e">
        <f t="shared" si="180"/>
        <v>#VALUE!</v>
      </c>
      <c r="Y1541" s="85">
        <f t="shared" si="180"/>
        <v>0</v>
      </c>
      <c r="Z1541" s="85" t="e">
        <f t="shared" si="180"/>
        <v>#VALUE!</v>
      </c>
      <c r="AA1541" s="69">
        <f t="shared" si="180"/>
        <v>3225.25</v>
      </c>
      <c r="AB1541" s="69">
        <f t="shared" si="180"/>
        <v>0</v>
      </c>
    </row>
    <row r="1542" spans="1:28" x14ac:dyDescent="0.3">
      <c r="A1542" s="117"/>
      <c r="E1542" s="86"/>
      <c r="F1542" s="86" t="s">
        <v>29</v>
      </c>
      <c r="G1542" s="86" t="s">
        <v>29</v>
      </c>
      <c r="H1542" s="86"/>
      <c r="I1542" s="86"/>
      <c r="J1542" s="86"/>
      <c r="K1542" s="86"/>
      <c r="L1542" s="86"/>
      <c r="M1542" s="86"/>
      <c r="N1542" s="86"/>
      <c r="O1542" s="86"/>
      <c r="P1542" s="86"/>
      <c r="Q1542" s="86"/>
      <c r="R1542" s="86"/>
      <c r="S1542" s="86"/>
      <c r="T1542" s="86"/>
      <c r="U1542" s="86"/>
      <c r="V1542" s="86"/>
      <c r="W1542" s="86"/>
      <c r="X1542" s="86"/>
      <c r="Y1542" s="86"/>
      <c r="Z1542" s="86"/>
      <c r="AA1542" s="115" t="s">
        <v>29</v>
      </c>
      <c r="AB1542" s="115" t="s">
        <v>29</v>
      </c>
    </row>
    <row r="1543" spans="1:28" s="106" customFormat="1" x14ac:dyDescent="0.3">
      <c r="A1543" s="104"/>
      <c r="B1543" s="7" t="s">
        <v>759</v>
      </c>
      <c r="C1543" s="7" t="s">
        <v>3</v>
      </c>
      <c r="D1543" s="8"/>
      <c r="E1543" s="82">
        <f t="shared" ref="E1543:AB1543" si="181">E1214+E1244+E1281+E1309+E1339+E1375+E1402+E1433+E1471+E1497+E1541</f>
        <v>1383455.6112599999</v>
      </c>
      <c r="F1543" s="82">
        <f t="shared" si="181"/>
        <v>518412.21536999999</v>
      </c>
      <c r="G1543" s="82">
        <f t="shared" si="181"/>
        <v>7590.9486899999993</v>
      </c>
      <c r="H1543" s="82">
        <f t="shared" si="181"/>
        <v>1319126.8380400001</v>
      </c>
      <c r="I1543" s="82">
        <f t="shared" si="181"/>
        <v>3349.7432200000003</v>
      </c>
      <c r="J1543" s="82">
        <f t="shared" si="181"/>
        <v>462670.38212999998</v>
      </c>
      <c r="K1543" s="82">
        <f t="shared" si="181"/>
        <v>58979.810389999999</v>
      </c>
      <c r="L1543" s="82">
        <f t="shared" si="181"/>
        <v>3349.7432200000003</v>
      </c>
      <c r="M1543" s="82">
        <f t="shared" si="181"/>
        <v>529352.90728000004</v>
      </c>
      <c r="N1543" s="82">
        <f t="shared" si="181"/>
        <v>59583.381120000005</v>
      </c>
      <c r="O1543" s="82">
        <f t="shared" si="181"/>
        <v>0</v>
      </c>
      <c r="P1543" s="82">
        <f t="shared" si="181"/>
        <v>59583.406999999999</v>
      </c>
      <c r="Q1543" s="82">
        <f t="shared" si="181"/>
        <v>445162.42417999997</v>
      </c>
      <c r="R1543" s="82">
        <f t="shared" si="181"/>
        <v>0</v>
      </c>
      <c r="S1543" s="82">
        <f t="shared" si="181"/>
        <v>0</v>
      </c>
      <c r="T1543" s="82">
        <f t="shared" si="181"/>
        <v>693.64542000000006</v>
      </c>
      <c r="U1543" s="82">
        <f t="shared" si="181"/>
        <v>60277.026540000006</v>
      </c>
      <c r="V1543" s="82">
        <f t="shared" si="181"/>
        <v>551059.07068999996</v>
      </c>
      <c r="W1543" s="82">
        <f t="shared" si="181"/>
        <v>4745.1421000000009</v>
      </c>
      <c r="X1543" s="82">
        <f>+X1214+X1244+X1281+X1309+X1339+X1375+X1402+X1433+X1471+X1497+X1500+X1503+X1506+X1509+X1512+X1515+X1518+X1521+X1524+X1527+X1530+X1533+X1536+X1539</f>
        <v>1378710.2450400002</v>
      </c>
      <c r="Y1543" s="82">
        <f t="shared" si="181"/>
        <v>0</v>
      </c>
      <c r="Z1543" s="82">
        <f>+Z1214+Z1244+Z1281+Z1309+Z1339+Z1375+Z1402+Z1433+Z1471+Z1497+Z1500+Z1503+Z1506+Z1509+Z1512+Z1515+Z1518+Z1521+Z1524+Z1527+Z1530+Z1533+Z1536+Z1539</f>
        <v>4745.4253799999715</v>
      </c>
      <c r="AA1543" s="9">
        <f t="shared" si="181"/>
        <v>589629.93381999992</v>
      </c>
      <c r="AB1543" s="9">
        <f t="shared" si="181"/>
        <v>701.7534599999999</v>
      </c>
    </row>
    <row r="1544" spans="1:28" x14ac:dyDescent="0.3">
      <c r="A1544" s="117"/>
      <c r="E1544" s="86"/>
      <c r="F1544" s="86"/>
      <c r="G1544" s="86"/>
      <c r="H1544" s="86"/>
      <c r="I1544" s="86"/>
      <c r="J1544" s="86"/>
      <c r="K1544" s="86"/>
      <c r="L1544" s="86"/>
      <c r="M1544" s="86"/>
      <c r="N1544" s="86"/>
      <c r="O1544" s="86"/>
      <c r="P1544" s="86"/>
      <c r="Q1544" s="86"/>
      <c r="R1544" s="86"/>
      <c r="S1544" s="86"/>
      <c r="T1544" s="86"/>
      <c r="U1544" s="86"/>
      <c r="V1544" s="86"/>
      <c r="W1544" s="86"/>
      <c r="X1544" s="86"/>
      <c r="Y1544" s="86"/>
      <c r="Z1544" s="86"/>
      <c r="AA1544" s="115" t="s">
        <v>114</v>
      </c>
      <c r="AB1544" s="115" t="s">
        <v>114</v>
      </c>
    </row>
    <row r="1545" spans="1:28" x14ac:dyDescent="0.3">
      <c r="A1545" s="117"/>
      <c r="B1545" s="68" t="s">
        <v>293</v>
      </c>
      <c r="E1545" s="84"/>
      <c r="F1545" s="84"/>
      <c r="G1545" s="84"/>
      <c r="H1545" s="84"/>
      <c r="I1545" s="84"/>
      <c r="J1545" s="84"/>
      <c r="K1545" s="84"/>
      <c r="L1545" s="84"/>
      <c r="M1545" s="84"/>
      <c r="N1545" s="84"/>
      <c r="O1545" s="84"/>
      <c r="P1545" s="84"/>
      <c r="Q1545" s="84"/>
      <c r="R1545" s="84"/>
      <c r="S1545" s="84"/>
      <c r="T1545" s="84"/>
      <c r="U1545" s="84"/>
      <c r="V1545" s="84"/>
      <c r="W1545" s="84"/>
      <c r="X1545" s="84"/>
      <c r="Y1545" s="84"/>
      <c r="Z1545" s="84"/>
    </row>
    <row r="1546" spans="1:28" hidden="1" x14ac:dyDescent="0.3">
      <c r="A1546" s="117"/>
      <c r="C1546" s="68"/>
      <c r="E1546" s="84"/>
      <c r="F1546" s="84"/>
      <c r="G1546" s="84"/>
      <c r="H1546" s="84"/>
      <c r="I1546" s="84"/>
      <c r="J1546" s="84"/>
      <c r="K1546" s="84"/>
      <c r="L1546" s="84"/>
      <c r="M1546" s="84"/>
      <c r="N1546" s="84"/>
      <c r="O1546" s="84"/>
      <c r="P1546" s="84"/>
      <c r="Q1546" s="84"/>
      <c r="R1546" s="84"/>
      <c r="S1546" s="84"/>
      <c r="T1546" s="84"/>
      <c r="U1546" s="84"/>
      <c r="V1546" s="84"/>
      <c r="W1546" s="84"/>
      <c r="X1546" s="84"/>
      <c r="Y1546" s="84"/>
      <c r="Z1546" s="84"/>
    </row>
    <row r="1547" spans="1:28" hidden="1" x14ac:dyDescent="0.3">
      <c r="A1547" s="105"/>
      <c r="E1547" s="84"/>
      <c r="F1547" s="84"/>
      <c r="G1547" s="84"/>
      <c r="H1547" s="84"/>
      <c r="I1547" s="84"/>
      <c r="J1547" s="84"/>
      <c r="K1547" s="84"/>
      <c r="L1547" s="84"/>
      <c r="M1547" s="84"/>
      <c r="N1547" s="84"/>
      <c r="O1547" s="84"/>
      <c r="P1547" s="84"/>
      <c r="Q1547" s="84"/>
      <c r="R1547" s="84"/>
      <c r="S1547" s="84"/>
      <c r="T1547" s="84"/>
      <c r="U1547" s="84"/>
      <c r="V1547" s="84"/>
      <c r="W1547" s="84"/>
      <c r="X1547" s="84"/>
      <c r="Y1547" s="84"/>
      <c r="Z1547" s="84"/>
    </row>
    <row r="1548" spans="1:28" hidden="1" x14ac:dyDescent="0.3">
      <c r="A1548" s="117"/>
      <c r="C1548" s="68" t="s">
        <v>295</v>
      </c>
      <c r="D1548" s="87" t="s">
        <v>296</v>
      </c>
      <c r="E1548" s="85">
        <f>STATS1003B!E1551/1000</f>
        <v>190</v>
      </c>
      <c r="F1548" s="85">
        <f>STATS1003B!F1551/1000</f>
        <v>190</v>
      </c>
      <c r="G1548" s="85">
        <f>STATS1003B!G1551/1000</f>
        <v>0</v>
      </c>
      <c r="H1548" s="85">
        <f>STATS1003B!H1551/1000</f>
        <v>190</v>
      </c>
      <c r="I1548" s="85">
        <f>STATS1003B!I1551/1000</f>
        <v>0</v>
      </c>
      <c r="J1548" s="85">
        <f>STATS1003B!J1551/1000</f>
        <v>0</v>
      </c>
      <c r="K1548" s="85">
        <f>STATS1003B!K1551/1000</f>
        <v>0</v>
      </c>
      <c r="L1548" s="85">
        <f>STATS1003B!L1551/1000</f>
        <v>0</v>
      </c>
      <c r="M1548" s="85">
        <f>STATS1003B!M1551/1000</f>
        <v>190</v>
      </c>
      <c r="N1548" s="85">
        <f>STATS1003B!N1551/1000</f>
        <v>0</v>
      </c>
      <c r="O1548" s="85">
        <f>STATS1003B!O1551/1000</f>
        <v>0</v>
      </c>
      <c r="P1548" s="85">
        <f>STATS1003B!P1551/1000</f>
        <v>0</v>
      </c>
      <c r="Q1548" s="85">
        <f>STATS1003B!Q1551/1000</f>
        <v>0</v>
      </c>
      <c r="R1548" s="85">
        <f>STATS1003B!R1551/1000</f>
        <v>0</v>
      </c>
      <c r="S1548" s="85">
        <f>STATS1003B!S1551/1000</f>
        <v>0</v>
      </c>
      <c r="T1548" s="85">
        <f>STATS1003B!T1551/1000</f>
        <v>0</v>
      </c>
      <c r="U1548" s="85">
        <f>STATS1003B!U1551/1000</f>
        <v>0</v>
      </c>
      <c r="V1548" s="85">
        <f>STATS1003B!V1551/1000</f>
        <v>190</v>
      </c>
      <c r="W1548" s="85">
        <f>STATS1003B!W1551/1000</f>
        <v>0</v>
      </c>
      <c r="X1548" s="85">
        <f>STATS1003B!X1551/1000</f>
        <v>190</v>
      </c>
      <c r="Y1548" s="85">
        <f>STATS1003B!Y1551/1000</f>
        <v>0</v>
      </c>
      <c r="Z1548" s="85">
        <f>STATS1003B!Z1551/1000</f>
        <v>0</v>
      </c>
      <c r="AA1548" s="69">
        <f>STATS1003B!AA1551/1000</f>
        <v>190</v>
      </c>
      <c r="AB1548" s="69">
        <f>STATS1003B!AB1551/1000</f>
        <v>0</v>
      </c>
    </row>
    <row r="1549" spans="1:28" hidden="1" x14ac:dyDescent="0.3">
      <c r="A1549" s="117"/>
      <c r="C1549" s="68" t="s">
        <v>297</v>
      </c>
      <c r="D1549" s="88" t="s">
        <v>78</v>
      </c>
      <c r="E1549" s="85">
        <f>STATS1003B!E1552/1000</f>
        <v>894.32985999999994</v>
      </c>
      <c r="F1549" s="85">
        <f>STATS1003B!F1552/1000</f>
        <v>445.822</v>
      </c>
      <c r="G1549" s="85">
        <f>STATS1003B!G1552/1000</f>
        <v>0</v>
      </c>
      <c r="H1549" s="85">
        <f>STATS1003B!H1552/1000</f>
        <v>445.822</v>
      </c>
      <c r="I1549" s="85">
        <f>STATS1003B!I1552/1000</f>
        <v>0</v>
      </c>
      <c r="J1549" s="85">
        <f>STATS1003B!J1552/1000</f>
        <v>0</v>
      </c>
      <c r="K1549" s="85">
        <f>STATS1003B!K1552/1000</f>
        <v>0</v>
      </c>
      <c r="L1549" s="85">
        <f>STATS1003B!L1552/1000</f>
        <v>0</v>
      </c>
      <c r="M1549" s="85">
        <f>STATS1003B!M1552/1000</f>
        <v>445.822</v>
      </c>
      <c r="N1549" s="85">
        <f>STATS1003B!N1552/1000</f>
        <v>448.50785999999999</v>
      </c>
      <c r="O1549" s="85">
        <f>STATS1003B!O1552/1000</f>
        <v>0</v>
      </c>
      <c r="P1549" s="85">
        <f>STATS1003B!P1552/1000</f>
        <v>448.50785999999999</v>
      </c>
      <c r="Q1549" s="85">
        <f>STATS1003B!Q1552/1000</f>
        <v>0</v>
      </c>
      <c r="R1549" s="85">
        <f>STATS1003B!R1552/1000</f>
        <v>0</v>
      </c>
      <c r="S1549" s="85">
        <f>STATS1003B!S1552/1000</f>
        <v>0</v>
      </c>
      <c r="T1549" s="85">
        <f>STATS1003B!T1552/1000</f>
        <v>0</v>
      </c>
      <c r="U1549" s="85">
        <f>STATS1003B!U1552/1000</f>
        <v>448.50785999999999</v>
      </c>
      <c r="V1549" s="85">
        <f>STATS1003B!V1552/1000</f>
        <v>894.32985999999994</v>
      </c>
      <c r="W1549" s="85">
        <f>STATS1003B!W1552/1000</f>
        <v>0</v>
      </c>
      <c r="X1549" s="85">
        <f>STATS1003B!X1552/1000</f>
        <v>894.32985999999994</v>
      </c>
      <c r="Y1549" s="85">
        <f>STATS1003B!Y1552/1000</f>
        <v>0</v>
      </c>
      <c r="Z1549" s="85">
        <f>STATS1003B!Z1552/1000</f>
        <v>0</v>
      </c>
      <c r="AA1549" s="69">
        <f>STATS1003B!AA1552/1000</f>
        <v>894.32985999999994</v>
      </c>
      <c r="AB1549" s="69">
        <f>STATS1003B!AB1552/1000</f>
        <v>0</v>
      </c>
    </row>
    <row r="1550" spans="1:28" hidden="1" x14ac:dyDescent="0.3">
      <c r="A1550" s="117"/>
      <c r="C1550" s="68" t="s">
        <v>298</v>
      </c>
      <c r="D1550" s="87" t="s">
        <v>78</v>
      </c>
      <c r="E1550" s="85">
        <f>STATS1003B!E1553/1000</f>
        <v>127</v>
      </c>
      <c r="F1550" s="85">
        <f>STATS1003B!F1553/1000</f>
        <v>127</v>
      </c>
      <c r="G1550" s="85">
        <f>STATS1003B!G1553/1000</f>
        <v>0</v>
      </c>
      <c r="H1550" s="85">
        <f>STATS1003B!H1553/1000</f>
        <v>127</v>
      </c>
      <c r="I1550" s="85">
        <f>STATS1003B!I1553/1000</f>
        <v>0</v>
      </c>
      <c r="J1550" s="85">
        <f>STATS1003B!J1553/1000</f>
        <v>0</v>
      </c>
      <c r="K1550" s="85">
        <f>STATS1003B!K1553/1000</f>
        <v>0</v>
      </c>
      <c r="L1550" s="85">
        <f>STATS1003B!L1553/1000</f>
        <v>0</v>
      </c>
      <c r="M1550" s="85">
        <f>STATS1003B!M1553/1000</f>
        <v>127</v>
      </c>
      <c r="N1550" s="85">
        <f>STATS1003B!N1553/1000</f>
        <v>0</v>
      </c>
      <c r="O1550" s="85">
        <f>STATS1003B!O1553/1000</f>
        <v>0</v>
      </c>
      <c r="P1550" s="85">
        <f>STATS1003B!P1553/1000</f>
        <v>0</v>
      </c>
      <c r="Q1550" s="85">
        <f>STATS1003B!Q1553/1000</f>
        <v>0</v>
      </c>
      <c r="R1550" s="85">
        <f>STATS1003B!R1553/1000</f>
        <v>0</v>
      </c>
      <c r="S1550" s="85">
        <f>STATS1003B!S1553/1000</f>
        <v>0</v>
      </c>
      <c r="T1550" s="85">
        <f>STATS1003B!T1553/1000</f>
        <v>0</v>
      </c>
      <c r="U1550" s="85">
        <f>STATS1003B!U1553/1000</f>
        <v>0</v>
      </c>
      <c r="V1550" s="85">
        <f>STATS1003B!V1553/1000</f>
        <v>127</v>
      </c>
      <c r="W1550" s="85">
        <f>STATS1003B!W1553/1000</f>
        <v>0</v>
      </c>
      <c r="X1550" s="85">
        <f>STATS1003B!X1553/1000</f>
        <v>127</v>
      </c>
      <c r="Y1550" s="85">
        <f>STATS1003B!Y1553/1000</f>
        <v>0</v>
      </c>
      <c r="Z1550" s="85">
        <f>STATS1003B!Z1553/1000</f>
        <v>0</v>
      </c>
      <c r="AA1550" s="69">
        <f>STATS1003B!AA1553/1000</f>
        <v>127</v>
      </c>
      <c r="AB1550" s="69">
        <f>STATS1003B!AB1553/1000</f>
        <v>0</v>
      </c>
    </row>
    <row r="1551" spans="1:28" hidden="1" x14ac:dyDescent="0.3">
      <c r="A1551" s="117"/>
      <c r="C1551" s="68" t="s">
        <v>1082</v>
      </c>
      <c r="D1551" s="90" t="s">
        <v>1072</v>
      </c>
      <c r="E1551" s="85">
        <f>STATS1003B!E1554/1000</f>
        <v>277.99897999999996</v>
      </c>
      <c r="F1551" s="85">
        <f>STATS1003B!F1554/1000</f>
        <v>0</v>
      </c>
      <c r="G1551" s="85">
        <f>STATS1003B!G1554/1000</f>
        <v>0</v>
      </c>
      <c r="H1551" s="85">
        <f>STATS1003B!H1554/1000</f>
        <v>0</v>
      </c>
      <c r="I1551" s="85">
        <f>STATS1003B!I1554/1000</f>
        <v>0</v>
      </c>
      <c r="J1551" s="85">
        <f>STATS1003B!J1554/1000</f>
        <v>0</v>
      </c>
      <c r="K1551" s="85">
        <f>STATS1003B!K1554/1000</f>
        <v>0</v>
      </c>
      <c r="L1551" s="85">
        <f>STATS1003B!L1554/1000</f>
        <v>0</v>
      </c>
      <c r="M1551" s="85">
        <f>STATS1003B!M1554/1000</f>
        <v>0</v>
      </c>
      <c r="N1551" s="85">
        <f>STATS1003B!N1554/1000</f>
        <v>277.99897999999996</v>
      </c>
      <c r="O1551" s="85">
        <f>STATS1003B!O1554/1000</f>
        <v>0</v>
      </c>
      <c r="P1551" s="85">
        <f>STATS1003B!P1554/1000</f>
        <v>277.99897999999996</v>
      </c>
      <c r="Q1551" s="85">
        <f>STATS1003B!Q1554/1000</f>
        <v>0</v>
      </c>
      <c r="R1551" s="85">
        <f>STATS1003B!R1554/1000</f>
        <v>0</v>
      </c>
      <c r="S1551" s="85">
        <f>STATS1003B!S1554/1000</f>
        <v>0</v>
      </c>
      <c r="T1551" s="85">
        <f>STATS1003B!T1554/1000</f>
        <v>0</v>
      </c>
      <c r="U1551" s="85">
        <f>STATS1003B!U1554/1000</f>
        <v>277.99897999999996</v>
      </c>
      <c r="V1551" s="85">
        <f>STATS1003B!V1554/1000</f>
        <v>277.99897999999996</v>
      </c>
      <c r="W1551" s="85">
        <f>STATS1003B!W1554/1000</f>
        <v>0</v>
      </c>
      <c r="X1551" s="85">
        <f>STATS1003B!X1554/1000</f>
        <v>277.99897999999996</v>
      </c>
      <c r="Y1551" s="85">
        <f>STATS1003B!Y1554/1000</f>
        <v>0</v>
      </c>
      <c r="Z1551" s="85">
        <f>STATS1003B!Z1554/1000</f>
        <v>0</v>
      </c>
      <c r="AA1551" s="69">
        <f>STATS1003B!AA1554/1000</f>
        <v>277.99897999999996</v>
      </c>
      <c r="AB1551" s="69">
        <f>STATS1003B!AB1554/1000</f>
        <v>0</v>
      </c>
    </row>
    <row r="1552" spans="1:28" hidden="1" x14ac:dyDescent="0.3">
      <c r="A1552" s="117"/>
      <c r="C1552" s="68" t="s">
        <v>57</v>
      </c>
      <c r="D1552" s="87" t="s">
        <v>152</v>
      </c>
      <c r="E1552" s="85">
        <f>STATS1003B!E1555/1000</f>
        <v>3848.94886</v>
      </c>
      <c r="F1552" s="85">
        <f>STATS1003B!F1555/1000</f>
        <v>3301.9520000000002</v>
      </c>
      <c r="G1552" s="85">
        <f>STATS1003B!G1555/1000</f>
        <v>0</v>
      </c>
      <c r="H1552" s="85">
        <f>STATS1003B!H1555/1000</f>
        <v>3301.9520000000002</v>
      </c>
      <c r="I1552" s="85">
        <f>STATS1003B!I1555/1000</f>
        <v>0</v>
      </c>
      <c r="J1552" s="85">
        <f>STATS1003B!J1555/1000</f>
        <v>0</v>
      </c>
      <c r="K1552" s="85">
        <f>STATS1003B!K1555/1000</f>
        <v>0</v>
      </c>
      <c r="L1552" s="85">
        <f>STATS1003B!L1555/1000</f>
        <v>0</v>
      </c>
      <c r="M1552" s="85">
        <f>STATS1003B!M1555/1000</f>
        <v>3301.9520000000002</v>
      </c>
      <c r="N1552" s="85">
        <f>STATS1003B!N1555/1000</f>
        <v>546.99685999999997</v>
      </c>
      <c r="O1552" s="85">
        <f>STATS1003B!O1555/1000</f>
        <v>0</v>
      </c>
      <c r="P1552" s="85">
        <f>STATS1003B!P1555/1000</f>
        <v>546.99685999999997</v>
      </c>
      <c r="Q1552" s="85">
        <f>STATS1003B!Q1555/1000</f>
        <v>0</v>
      </c>
      <c r="R1552" s="85">
        <f>STATS1003B!R1555/1000</f>
        <v>0</v>
      </c>
      <c r="S1552" s="85">
        <f>STATS1003B!S1555/1000</f>
        <v>0</v>
      </c>
      <c r="T1552" s="85">
        <f>STATS1003B!T1555/1000</f>
        <v>0</v>
      </c>
      <c r="U1552" s="85">
        <f>STATS1003B!U1555/1000</f>
        <v>546.99685999999997</v>
      </c>
      <c r="V1552" s="85">
        <f>STATS1003B!V1555/1000</f>
        <v>3848.94886</v>
      </c>
      <c r="W1552" s="85">
        <f>STATS1003B!W1555/1000</f>
        <v>0</v>
      </c>
      <c r="X1552" s="85">
        <f>STATS1003B!X1555/1000</f>
        <v>3848.94886</v>
      </c>
      <c r="Y1552" s="85">
        <f>STATS1003B!Y1555/1000</f>
        <v>0</v>
      </c>
      <c r="Z1552" s="85">
        <f>STATS1003B!Z1555/1000</f>
        <v>0</v>
      </c>
      <c r="AA1552" s="69">
        <f>STATS1003B!AA1555/1000</f>
        <v>3848.94886</v>
      </c>
      <c r="AB1552" s="69">
        <f>STATS1003B!AB1555/1000</f>
        <v>0</v>
      </c>
    </row>
    <row r="1553" spans="1:28" hidden="1" x14ac:dyDescent="0.3">
      <c r="A1553" s="117"/>
      <c r="C1553" s="68" t="s">
        <v>53</v>
      </c>
      <c r="D1553" s="87" t="s">
        <v>68</v>
      </c>
      <c r="E1553" s="85">
        <f>STATS1003B!E1556/1000</f>
        <v>1953.989</v>
      </c>
      <c r="F1553" s="85">
        <f>STATS1003B!F1556/1000</f>
        <v>0</v>
      </c>
      <c r="G1553" s="85">
        <f>STATS1003B!G1556/1000</f>
        <v>0</v>
      </c>
      <c r="H1553" s="85">
        <f>STATS1003B!H1556/1000</f>
        <v>0</v>
      </c>
      <c r="I1553" s="85">
        <f>STATS1003B!I1556/1000</f>
        <v>0</v>
      </c>
      <c r="J1553" s="85">
        <f>STATS1003B!J1556/1000</f>
        <v>0</v>
      </c>
      <c r="K1553" s="85">
        <f>STATS1003B!K1556/1000</f>
        <v>0</v>
      </c>
      <c r="L1553" s="85">
        <f>STATS1003B!L1556/1000</f>
        <v>0</v>
      </c>
      <c r="M1553" s="85">
        <f>STATS1003B!M1556/1000</f>
        <v>0</v>
      </c>
      <c r="N1553" s="85">
        <f>STATS1003B!N1556/1000</f>
        <v>1953.989</v>
      </c>
      <c r="O1553" s="85">
        <f>STATS1003B!O1556/1000</f>
        <v>0</v>
      </c>
      <c r="P1553" s="85">
        <f>STATS1003B!P1556/1000</f>
        <v>1953.989</v>
      </c>
      <c r="Q1553" s="85">
        <f>STATS1003B!Q1556/1000</f>
        <v>0</v>
      </c>
      <c r="R1553" s="85">
        <f>STATS1003B!R1556/1000</f>
        <v>0</v>
      </c>
      <c r="S1553" s="85">
        <f>STATS1003B!S1556/1000</f>
        <v>0</v>
      </c>
      <c r="T1553" s="85">
        <f>STATS1003B!T1556/1000</f>
        <v>0</v>
      </c>
      <c r="U1553" s="85">
        <f>STATS1003B!U1556/1000</f>
        <v>1953.989</v>
      </c>
      <c r="V1553" s="85">
        <f>STATS1003B!V1556/1000</f>
        <v>1953.989</v>
      </c>
      <c r="W1553" s="85">
        <f>STATS1003B!W1556/1000</f>
        <v>0</v>
      </c>
      <c r="X1553" s="85">
        <f>STATS1003B!X1556/1000</f>
        <v>1953.989</v>
      </c>
      <c r="Y1553" s="85">
        <f>STATS1003B!Y1556/1000</f>
        <v>0</v>
      </c>
      <c r="Z1553" s="85">
        <f>STATS1003B!Z1556/1000</f>
        <v>0</v>
      </c>
      <c r="AA1553" s="69">
        <f>STATS1003B!AA1556/1000</f>
        <v>1953.989</v>
      </c>
      <c r="AB1553" s="69">
        <f>STATS1003B!AB1556/1000</f>
        <v>0</v>
      </c>
    </row>
    <row r="1554" spans="1:28" hidden="1" x14ac:dyDescent="0.3">
      <c r="A1554" s="117"/>
      <c r="C1554" s="68" t="s">
        <v>69</v>
      </c>
      <c r="D1554" s="87" t="s">
        <v>54</v>
      </c>
      <c r="E1554" s="85">
        <f>STATS1003B!E1557/1000</f>
        <v>955.34561999999994</v>
      </c>
      <c r="F1554" s="85">
        <f>STATS1003B!F1557/1000</f>
        <v>0</v>
      </c>
      <c r="G1554" s="85">
        <f>STATS1003B!G1557/1000</f>
        <v>0</v>
      </c>
      <c r="H1554" s="85">
        <f>STATS1003B!H1557/1000</f>
        <v>0</v>
      </c>
      <c r="I1554" s="85">
        <f>STATS1003B!I1557/1000</f>
        <v>0</v>
      </c>
      <c r="J1554" s="85">
        <f>STATS1003B!J1557/1000</f>
        <v>0</v>
      </c>
      <c r="K1554" s="85">
        <f>STATS1003B!K1557/1000</f>
        <v>0</v>
      </c>
      <c r="L1554" s="85">
        <f>STATS1003B!L1557/1000</f>
        <v>0</v>
      </c>
      <c r="M1554" s="85">
        <f>STATS1003B!M1557/1000</f>
        <v>0</v>
      </c>
      <c r="N1554" s="85">
        <f>STATS1003B!N1557/1000</f>
        <v>955.34561999999994</v>
      </c>
      <c r="O1554" s="85">
        <f>STATS1003B!O1557/1000</f>
        <v>0</v>
      </c>
      <c r="P1554" s="85">
        <f>STATS1003B!P1557/1000</f>
        <v>955.34561999999994</v>
      </c>
      <c r="Q1554" s="85">
        <f>STATS1003B!Q1557/1000</f>
        <v>0</v>
      </c>
      <c r="R1554" s="85">
        <f>STATS1003B!R1557/1000</f>
        <v>0</v>
      </c>
      <c r="S1554" s="85">
        <f>STATS1003B!S1557/1000</f>
        <v>0</v>
      </c>
      <c r="T1554" s="85">
        <f>STATS1003B!T1557/1000</f>
        <v>0</v>
      </c>
      <c r="U1554" s="85">
        <f>STATS1003B!U1557/1000</f>
        <v>955.34561999999994</v>
      </c>
      <c r="V1554" s="85">
        <f>STATS1003B!V1557/1000</f>
        <v>955.34561999999994</v>
      </c>
      <c r="W1554" s="85">
        <f>STATS1003B!W1557/1000</f>
        <v>0</v>
      </c>
      <c r="X1554" s="85">
        <f>STATS1003B!X1557/1000</f>
        <v>955.34561999999994</v>
      </c>
      <c r="Y1554" s="85">
        <f>STATS1003B!Y1557/1000</f>
        <v>0</v>
      </c>
      <c r="Z1554" s="85">
        <f>STATS1003B!Z1557/1000</f>
        <v>0</v>
      </c>
      <c r="AA1554" s="69">
        <f>STATS1003B!AA1557/1000</f>
        <v>955.34561999999994</v>
      </c>
      <c r="AB1554" s="69">
        <f>STATS1003B!AB1557/1000</f>
        <v>0</v>
      </c>
    </row>
    <row r="1555" spans="1:28" hidden="1" x14ac:dyDescent="0.3">
      <c r="A1555" s="117"/>
      <c r="C1555" s="68" t="s">
        <v>299</v>
      </c>
      <c r="D1555" s="87" t="s">
        <v>54</v>
      </c>
      <c r="E1555" s="85">
        <f>STATS1003B!E1558/1000</f>
        <v>1900</v>
      </c>
      <c r="F1555" s="85">
        <f>STATS1003B!F1558/1000</f>
        <v>1900</v>
      </c>
      <c r="G1555" s="85">
        <f>STATS1003B!G1558/1000</f>
        <v>0</v>
      </c>
      <c r="H1555" s="85">
        <f>STATS1003B!H1558/1000</f>
        <v>1900</v>
      </c>
      <c r="I1555" s="85">
        <f>STATS1003B!I1558/1000</f>
        <v>0</v>
      </c>
      <c r="J1555" s="85">
        <f>STATS1003B!J1558/1000</f>
        <v>0</v>
      </c>
      <c r="K1555" s="85">
        <f>STATS1003B!K1558/1000</f>
        <v>0</v>
      </c>
      <c r="L1555" s="85">
        <f>STATS1003B!L1558/1000</f>
        <v>0</v>
      </c>
      <c r="M1555" s="85">
        <f>STATS1003B!M1558/1000</f>
        <v>1900</v>
      </c>
      <c r="N1555" s="85">
        <f>STATS1003B!N1558/1000</f>
        <v>0</v>
      </c>
      <c r="O1555" s="85">
        <f>STATS1003B!O1558/1000</f>
        <v>0</v>
      </c>
      <c r="P1555" s="85">
        <f>STATS1003B!P1558/1000</f>
        <v>0</v>
      </c>
      <c r="Q1555" s="85">
        <f>STATS1003B!Q1558/1000</f>
        <v>0</v>
      </c>
      <c r="R1555" s="85">
        <f>STATS1003B!R1558/1000</f>
        <v>0</v>
      </c>
      <c r="S1555" s="85">
        <f>STATS1003B!S1558/1000</f>
        <v>0</v>
      </c>
      <c r="T1555" s="85">
        <f>STATS1003B!T1558/1000</f>
        <v>0</v>
      </c>
      <c r="U1555" s="85">
        <f>STATS1003B!U1558/1000</f>
        <v>0</v>
      </c>
      <c r="V1555" s="85">
        <f>STATS1003B!V1558/1000</f>
        <v>1900</v>
      </c>
      <c r="W1555" s="85">
        <f>STATS1003B!W1558/1000</f>
        <v>0</v>
      </c>
      <c r="X1555" s="85">
        <f>STATS1003B!X1558/1000</f>
        <v>1900</v>
      </c>
      <c r="Y1555" s="85">
        <f>STATS1003B!Y1558/1000</f>
        <v>0</v>
      </c>
      <c r="Z1555" s="85">
        <f>STATS1003B!Z1558/1000</f>
        <v>0</v>
      </c>
      <c r="AA1555" s="69">
        <f>STATS1003B!AA1558/1000</f>
        <v>1900</v>
      </c>
      <c r="AB1555" s="69">
        <f>STATS1003B!AB1558/1000</f>
        <v>0</v>
      </c>
    </row>
    <row r="1556" spans="1:28" hidden="1" x14ac:dyDescent="0.3">
      <c r="A1556" s="117"/>
      <c r="C1556" s="68" t="s">
        <v>300</v>
      </c>
      <c r="D1556" s="87" t="s">
        <v>54</v>
      </c>
      <c r="E1556" s="85">
        <f>STATS1003B!E1559/1000</f>
        <v>570</v>
      </c>
      <c r="F1556" s="85">
        <f>STATS1003B!F1559/1000</f>
        <v>570</v>
      </c>
      <c r="G1556" s="85">
        <f>STATS1003B!G1559/1000</f>
        <v>0</v>
      </c>
      <c r="H1556" s="85">
        <f>STATS1003B!H1559/1000</f>
        <v>570</v>
      </c>
      <c r="I1556" s="85">
        <f>STATS1003B!I1559/1000</f>
        <v>0</v>
      </c>
      <c r="J1556" s="85">
        <f>STATS1003B!J1559/1000</f>
        <v>0</v>
      </c>
      <c r="K1556" s="85">
        <f>STATS1003B!K1559/1000</f>
        <v>0</v>
      </c>
      <c r="L1556" s="85">
        <f>STATS1003B!L1559/1000</f>
        <v>0</v>
      </c>
      <c r="M1556" s="85">
        <f>STATS1003B!M1559/1000</f>
        <v>570</v>
      </c>
      <c r="N1556" s="85">
        <f>STATS1003B!N1559/1000</f>
        <v>0</v>
      </c>
      <c r="O1556" s="85">
        <f>STATS1003B!O1559/1000</f>
        <v>0</v>
      </c>
      <c r="P1556" s="85">
        <f>STATS1003B!P1559/1000</f>
        <v>0</v>
      </c>
      <c r="Q1556" s="85">
        <f>STATS1003B!Q1559/1000</f>
        <v>0</v>
      </c>
      <c r="R1556" s="85">
        <f>STATS1003B!R1559/1000</f>
        <v>0</v>
      </c>
      <c r="S1556" s="85">
        <f>STATS1003B!S1559/1000</f>
        <v>0</v>
      </c>
      <c r="T1556" s="85">
        <f>STATS1003B!T1559/1000</f>
        <v>0</v>
      </c>
      <c r="U1556" s="85">
        <f>STATS1003B!U1559/1000</f>
        <v>0</v>
      </c>
      <c r="V1556" s="85">
        <f>STATS1003B!V1559/1000</f>
        <v>570</v>
      </c>
      <c r="W1556" s="85">
        <f>STATS1003B!W1559/1000</f>
        <v>0</v>
      </c>
      <c r="X1556" s="85">
        <f>STATS1003B!X1559/1000</f>
        <v>570</v>
      </c>
      <c r="Y1556" s="85">
        <f>STATS1003B!Y1559/1000</f>
        <v>0</v>
      </c>
      <c r="Z1556" s="85">
        <f>STATS1003B!Z1559/1000</f>
        <v>0</v>
      </c>
      <c r="AA1556" s="69">
        <f>STATS1003B!AA1559/1000</f>
        <v>570</v>
      </c>
      <c r="AB1556" s="69">
        <f>STATS1003B!AB1559/1000</f>
        <v>0</v>
      </c>
    </row>
    <row r="1557" spans="1:28" hidden="1" x14ac:dyDescent="0.3">
      <c r="A1557" s="117"/>
      <c r="C1557" s="68" t="s">
        <v>301</v>
      </c>
      <c r="D1557" s="87" t="s">
        <v>234</v>
      </c>
      <c r="E1557" s="85">
        <f>STATS1003B!E1560/1000</f>
        <v>799.5</v>
      </c>
      <c r="F1557" s="85">
        <f>STATS1003B!F1560/1000</f>
        <v>765.24699999999996</v>
      </c>
      <c r="G1557" s="85">
        <f>STATS1003B!G1560/1000</f>
        <v>0</v>
      </c>
      <c r="H1557" s="85">
        <f>STATS1003B!H1560/1000</f>
        <v>765.24699999999996</v>
      </c>
      <c r="I1557" s="85">
        <f>STATS1003B!I1560/1000</f>
        <v>0</v>
      </c>
      <c r="J1557" s="85">
        <f>STATS1003B!J1560/1000</f>
        <v>0</v>
      </c>
      <c r="K1557" s="85">
        <f>STATS1003B!K1560/1000</f>
        <v>0</v>
      </c>
      <c r="L1557" s="85">
        <f>STATS1003B!L1560/1000</f>
        <v>0</v>
      </c>
      <c r="M1557" s="85">
        <f>STATS1003B!M1560/1000</f>
        <v>765.24699999999996</v>
      </c>
      <c r="N1557" s="85">
        <f>STATS1003B!N1560/1000</f>
        <v>0</v>
      </c>
      <c r="O1557" s="85">
        <f>STATS1003B!O1560/1000</f>
        <v>0</v>
      </c>
      <c r="P1557" s="85">
        <f>STATS1003B!P1560/1000</f>
        <v>0</v>
      </c>
      <c r="Q1557" s="85">
        <f>STATS1003B!Q1560/1000</f>
        <v>0</v>
      </c>
      <c r="R1557" s="85">
        <f>STATS1003B!R1560/1000</f>
        <v>0</v>
      </c>
      <c r="S1557" s="85">
        <f>STATS1003B!S1560/1000</f>
        <v>0</v>
      </c>
      <c r="T1557" s="85">
        <f>STATS1003B!T1560/1000</f>
        <v>0</v>
      </c>
      <c r="U1557" s="85">
        <f>STATS1003B!U1560/1000</f>
        <v>0</v>
      </c>
      <c r="V1557" s="85">
        <f>STATS1003B!V1560/1000</f>
        <v>765.24699999999996</v>
      </c>
      <c r="W1557" s="85">
        <f>STATS1003B!W1560/1000</f>
        <v>34.253</v>
      </c>
      <c r="X1557" s="85">
        <f>STATS1003B!X1560/1000</f>
        <v>765.24699999999996</v>
      </c>
      <c r="Y1557" s="85">
        <f>STATS1003B!Y1560/1000</f>
        <v>0</v>
      </c>
      <c r="Z1557" s="85">
        <f>STATS1003B!Z1560/1000</f>
        <v>34.253</v>
      </c>
      <c r="AA1557" s="69">
        <f>STATS1003B!AA1560/1000</f>
        <v>765.24699999999996</v>
      </c>
      <c r="AB1557" s="69">
        <f>STATS1003B!AB1560/1000</f>
        <v>34.253</v>
      </c>
    </row>
    <row r="1558" spans="1:28" hidden="1" x14ac:dyDescent="0.3">
      <c r="A1558" s="117"/>
      <c r="C1558" s="68" t="s">
        <v>302</v>
      </c>
      <c r="D1558" s="87" t="s">
        <v>85</v>
      </c>
      <c r="E1558" s="85">
        <f>STATS1003B!E1561/1000</f>
        <v>120</v>
      </c>
      <c r="F1558" s="85">
        <f>STATS1003B!F1561/1000</f>
        <v>120</v>
      </c>
      <c r="G1558" s="85">
        <f>STATS1003B!G1561/1000</f>
        <v>0</v>
      </c>
      <c r="H1558" s="85">
        <f>STATS1003B!H1561/1000</f>
        <v>120</v>
      </c>
      <c r="I1558" s="85">
        <f>STATS1003B!I1561/1000</f>
        <v>0</v>
      </c>
      <c r="J1558" s="85">
        <f>STATS1003B!J1561/1000</f>
        <v>0</v>
      </c>
      <c r="K1558" s="85">
        <f>STATS1003B!K1561/1000</f>
        <v>0</v>
      </c>
      <c r="L1558" s="85">
        <f>STATS1003B!L1561/1000</f>
        <v>0</v>
      </c>
      <c r="M1558" s="85">
        <f>STATS1003B!M1561/1000</f>
        <v>120</v>
      </c>
      <c r="N1558" s="85">
        <f>STATS1003B!N1561/1000</f>
        <v>0</v>
      </c>
      <c r="O1558" s="85">
        <f>STATS1003B!O1561/1000</f>
        <v>0</v>
      </c>
      <c r="P1558" s="85">
        <f>STATS1003B!P1561/1000</f>
        <v>0</v>
      </c>
      <c r="Q1558" s="85">
        <f>STATS1003B!Q1561/1000</f>
        <v>0</v>
      </c>
      <c r="R1558" s="85">
        <f>STATS1003B!R1561/1000</f>
        <v>0</v>
      </c>
      <c r="S1558" s="85">
        <f>STATS1003B!S1561/1000</f>
        <v>0</v>
      </c>
      <c r="T1558" s="85">
        <f>STATS1003B!T1561/1000</f>
        <v>0</v>
      </c>
      <c r="U1558" s="85">
        <f>STATS1003B!U1561/1000</f>
        <v>0</v>
      </c>
      <c r="V1558" s="85">
        <f>STATS1003B!V1561/1000</f>
        <v>120</v>
      </c>
      <c r="W1558" s="85">
        <f>STATS1003B!W1561/1000</f>
        <v>0</v>
      </c>
      <c r="X1558" s="85">
        <f>STATS1003B!X1561/1000</f>
        <v>120</v>
      </c>
      <c r="Y1558" s="85">
        <f>STATS1003B!Y1561/1000</f>
        <v>0</v>
      </c>
      <c r="Z1558" s="85">
        <f>STATS1003B!Z1561/1000</f>
        <v>0</v>
      </c>
      <c r="AA1558" s="69">
        <f>STATS1003B!AA1561/1000</f>
        <v>120</v>
      </c>
      <c r="AB1558" s="69">
        <f>STATS1003B!AB1561/1000</f>
        <v>0</v>
      </c>
    </row>
    <row r="1559" spans="1:28" hidden="1" x14ac:dyDescent="0.3">
      <c r="A1559" s="117"/>
      <c r="C1559" s="68" t="s">
        <v>55</v>
      </c>
      <c r="D1559" s="87" t="s">
        <v>88</v>
      </c>
      <c r="E1559" s="85">
        <f>STATS1003B!E1562/1000</f>
        <v>822.67200000000003</v>
      </c>
      <c r="F1559" s="85">
        <f>STATS1003B!F1562/1000</f>
        <v>0</v>
      </c>
      <c r="G1559" s="85">
        <f>STATS1003B!G1562/1000</f>
        <v>0</v>
      </c>
      <c r="H1559" s="85">
        <f>STATS1003B!H1562/1000</f>
        <v>0</v>
      </c>
      <c r="I1559" s="85">
        <f>STATS1003B!I1562/1000</f>
        <v>0</v>
      </c>
      <c r="J1559" s="85">
        <f>STATS1003B!J1562/1000</f>
        <v>0</v>
      </c>
      <c r="K1559" s="85">
        <f>STATS1003B!K1562/1000</f>
        <v>0</v>
      </c>
      <c r="L1559" s="85">
        <f>STATS1003B!L1562/1000</f>
        <v>0</v>
      </c>
      <c r="M1559" s="85">
        <f>STATS1003B!M1562/1000</f>
        <v>0</v>
      </c>
      <c r="N1559" s="85">
        <f>STATS1003B!N1562/1000</f>
        <v>822.67200000000003</v>
      </c>
      <c r="O1559" s="85">
        <f>STATS1003B!O1562/1000</f>
        <v>0</v>
      </c>
      <c r="P1559" s="85">
        <f>STATS1003B!P1562/1000</f>
        <v>822.67200000000003</v>
      </c>
      <c r="Q1559" s="85">
        <f>STATS1003B!Q1562/1000</f>
        <v>0</v>
      </c>
      <c r="R1559" s="85">
        <f>STATS1003B!R1562/1000</f>
        <v>0</v>
      </c>
      <c r="S1559" s="85">
        <f>STATS1003B!S1562/1000</f>
        <v>0</v>
      </c>
      <c r="T1559" s="85">
        <f>STATS1003B!T1562/1000</f>
        <v>0</v>
      </c>
      <c r="U1559" s="85">
        <f>STATS1003B!U1562/1000</f>
        <v>822.67200000000003</v>
      </c>
      <c r="V1559" s="85">
        <f>STATS1003B!V1562/1000</f>
        <v>822.67200000000003</v>
      </c>
      <c r="W1559" s="85">
        <f>STATS1003B!W1562/1000</f>
        <v>0</v>
      </c>
      <c r="X1559" s="85">
        <f>STATS1003B!X1562/1000</f>
        <v>822.67200000000003</v>
      </c>
      <c r="Y1559" s="85">
        <f>STATS1003B!Y1562/1000</f>
        <v>0</v>
      </c>
      <c r="Z1559" s="85">
        <f>STATS1003B!Z1562/1000</f>
        <v>0</v>
      </c>
      <c r="AA1559" s="69">
        <f>STATS1003B!AA1562/1000</f>
        <v>822.67200000000003</v>
      </c>
      <c r="AB1559" s="69">
        <f>STATS1003B!AB1562/1000</f>
        <v>0</v>
      </c>
    </row>
    <row r="1560" spans="1:28" hidden="1" x14ac:dyDescent="0.3">
      <c r="A1560" s="117"/>
      <c r="C1560" s="68" t="s">
        <v>153</v>
      </c>
      <c r="D1560" s="87" t="s">
        <v>88</v>
      </c>
      <c r="E1560" s="85">
        <f>STATS1003B!E1563/1000</f>
        <v>187.69264000000001</v>
      </c>
      <c r="F1560" s="85">
        <f>STATS1003B!F1563/1000</f>
        <v>187.69264000000001</v>
      </c>
      <c r="G1560" s="85">
        <f>STATS1003B!G1563/1000</f>
        <v>0</v>
      </c>
      <c r="H1560" s="85">
        <f>STATS1003B!H1563/1000</f>
        <v>187.69264000000001</v>
      </c>
      <c r="I1560" s="85">
        <f>STATS1003B!I1563/1000</f>
        <v>0</v>
      </c>
      <c r="J1560" s="85">
        <f>STATS1003B!J1563/1000</f>
        <v>0</v>
      </c>
      <c r="K1560" s="85">
        <f>STATS1003B!K1563/1000</f>
        <v>0</v>
      </c>
      <c r="L1560" s="85">
        <f>STATS1003B!L1563/1000</f>
        <v>0</v>
      </c>
      <c r="M1560" s="85">
        <f>STATS1003B!M1563/1000</f>
        <v>187.69264000000001</v>
      </c>
      <c r="N1560" s="85">
        <f>STATS1003B!N1563/1000</f>
        <v>0</v>
      </c>
      <c r="O1560" s="85">
        <f>STATS1003B!O1563/1000</f>
        <v>0</v>
      </c>
      <c r="P1560" s="85">
        <f>STATS1003B!P1563/1000</f>
        <v>0</v>
      </c>
      <c r="Q1560" s="85">
        <f>STATS1003B!Q1563/1000</f>
        <v>0</v>
      </c>
      <c r="R1560" s="85">
        <f>STATS1003B!R1563/1000</f>
        <v>0</v>
      </c>
      <c r="S1560" s="85">
        <f>STATS1003B!S1563/1000</f>
        <v>0</v>
      </c>
      <c r="T1560" s="85">
        <f>STATS1003B!T1563/1000</f>
        <v>0</v>
      </c>
      <c r="U1560" s="85">
        <f>STATS1003B!U1563/1000</f>
        <v>0</v>
      </c>
      <c r="V1560" s="85">
        <f>STATS1003B!V1563/1000</f>
        <v>187.69264000000001</v>
      </c>
      <c r="W1560" s="85">
        <f>STATS1003B!W1563/1000</f>
        <v>0</v>
      </c>
      <c r="X1560" s="85">
        <f>STATS1003B!X1563/1000</f>
        <v>187.69264000000001</v>
      </c>
      <c r="Y1560" s="85">
        <f>STATS1003B!Y1563/1000</f>
        <v>0</v>
      </c>
      <c r="Z1560" s="85">
        <f>STATS1003B!Z1563/1000</f>
        <v>0</v>
      </c>
      <c r="AA1560" s="69">
        <f>STATS1003B!AA1563/1000</f>
        <v>187.69264000000001</v>
      </c>
      <c r="AB1560" s="69">
        <f>STATS1003B!AB1563/1000</f>
        <v>0</v>
      </c>
    </row>
    <row r="1561" spans="1:28" hidden="1" x14ac:dyDescent="0.3">
      <c r="A1561" s="117"/>
      <c r="C1561" s="68" t="s">
        <v>1137</v>
      </c>
      <c r="D1561" s="87" t="s">
        <v>58</v>
      </c>
      <c r="E1561" s="85">
        <f>STATS1003B!E1564/1000</f>
        <v>1050</v>
      </c>
      <c r="F1561" s="85">
        <f>STATS1003B!F1564/1000</f>
        <v>1050</v>
      </c>
      <c r="G1561" s="85">
        <f>STATS1003B!G1564/1000</f>
        <v>0</v>
      </c>
      <c r="H1561" s="85">
        <f>STATS1003B!H1564/1000</f>
        <v>1050</v>
      </c>
      <c r="I1561" s="85">
        <f>STATS1003B!I1564/1000</f>
        <v>0</v>
      </c>
      <c r="J1561" s="85">
        <f>STATS1003B!J1564/1000</f>
        <v>0</v>
      </c>
      <c r="K1561" s="85">
        <f>STATS1003B!K1564/1000</f>
        <v>0</v>
      </c>
      <c r="L1561" s="85">
        <f>STATS1003B!L1564/1000</f>
        <v>0</v>
      </c>
      <c r="M1561" s="85">
        <f>STATS1003B!M1564/1000</f>
        <v>1050</v>
      </c>
      <c r="N1561" s="85">
        <f>STATS1003B!N1564/1000</f>
        <v>0</v>
      </c>
      <c r="O1561" s="85">
        <f>STATS1003B!O1564/1000</f>
        <v>0</v>
      </c>
      <c r="P1561" s="85">
        <f>STATS1003B!P1564/1000</f>
        <v>0</v>
      </c>
      <c r="Q1561" s="85">
        <f>STATS1003B!Q1564/1000</f>
        <v>0</v>
      </c>
      <c r="R1561" s="85">
        <f>STATS1003B!R1564/1000</f>
        <v>0</v>
      </c>
      <c r="S1561" s="85">
        <f>STATS1003B!S1564/1000</f>
        <v>0</v>
      </c>
      <c r="T1561" s="85">
        <f>STATS1003B!T1564/1000</f>
        <v>0</v>
      </c>
      <c r="U1561" s="85">
        <f>STATS1003B!U1564/1000</f>
        <v>0</v>
      </c>
      <c r="V1561" s="85">
        <f>STATS1003B!V1564/1000</f>
        <v>1050</v>
      </c>
      <c r="W1561" s="85">
        <f>STATS1003B!W1564/1000</f>
        <v>0</v>
      </c>
      <c r="X1561" s="85">
        <f>STATS1003B!X1564/1000</f>
        <v>1050</v>
      </c>
      <c r="Y1561" s="85">
        <f>STATS1003B!Y1564/1000</f>
        <v>0</v>
      </c>
      <c r="Z1561" s="85">
        <f>STATS1003B!Z1564/1000</f>
        <v>0</v>
      </c>
      <c r="AA1561" s="69">
        <f>STATS1003B!AA1564/1000</f>
        <v>1050</v>
      </c>
      <c r="AB1561" s="69">
        <f>STATS1003B!AB1564/1000</f>
        <v>0</v>
      </c>
    </row>
    <row r="1562" spans="1:28" hidden="1" x14ac:dyDescent="0.3">
      <c r="A1562" s="117"/>
      <c r="C1562" s="71" t="s">
        <v>109</v>
      </c>
      <c r="D1562" s="88" t="s">
        <v>60</v>
      </c>
      <c r="E1562" s="85">
        <f>STATS1003B!E1565/1000</f>
        <v>2500</v>
      </c>
      <c r="F1562" s="85">
        <f>STATS1003B!F1565/1000</f>
        <v>2500</v>
      </c>
      <c r="G1562" s="85">
        <f>STATS1003B!G1565/1000</f>
        <v>0</v>
      </c>
      <c r="H1562" s="85">
        <f>STATS1003B!H1565/1000</f>
        <v>2500</v>
      </c>
      <c r="I1562" s="85">
        <f>STATS1003B!I1565/1000</f>
        <v>0</v>
      </c>
      <c r="J1562" s="85">
        <f>STATS1003B!J1565/1000</f>
        <v>0</v>
      </c>
      <c r="K1562" s="85">
        <f>STATS1003B!K1565/1000</f>
        <v>0</v>
      </c>
      <c r="L1562" s="85">
        <f>STATS1003B!L1565/1000</f>
        <v>0</v>
      </c>
      <c r="M1562" s="85">
        <f>STATS1003B!M1565/1000</f>
        <v>2500</v>
      </c>
      <c r="N1562" s="85">
        <f>STATS1003B!N1565/1000</f>
        <v>0</v>
      </c>
      <c r="O1562" s="85">
        <f>STATS1003B!O1565/1000</f>
        <v>0</v>
      </c>
      <c r="P1562" s="85">
        <f>STATS1003B!P1565/1000</f>
        <v>0</v>
      </c>
      <c r="Q1562" s="85">
        <f>STATS1003B!Q1565/1000</f>
        <v>0</v>
      </c>
      <c r="R1562" s="85">
        <f>STATS1003B!R1565/1000</f>
        <v>0</v>
      </c>
      <c r="S1562" s="85">
        <f>STATS1003B!S1565/1000</f>
        <v>0</v>
      </c>
      <c r="T1562" s="85">
        <f>STATS1003B!T1565/1000</f>
        <v>0</v>
      </c>
      <c r="U1562" s="85">
        <f>STATS1003B!U1565/1000</f>
        <v>0</v>
      </c>
      <c r="V1562" s="85">
        <f>STATS1003B!V1565/1000</f>
        <v>2500</v>
      </c>
      <c r="W1562" s="85">
        <f>STATS1003B!W1565/1000</f>
        <v>0</v>
      </c>
      <c r="X1562" s="85">
        <f>STATS1003B!X1565/1000</f>
        <v>2500</v>
      </c>
      <c r="Y1562" s="85">
        <f>STATS1003B!Y1565/1000</f>
        <v>0</v>
      </c>
      <c r="Z1562" s="85">
        <f>STATS1003B!Z1565/1000</f>
        <v>0</v>
      </c>
      <c r="AA1562" s="69">
        <f>STATS1003B!AA1565/1000</f>
        <v>2500</v>
      </c>
      <c r="AB1562" s="69">
        <f>STATS1003B!AB1565/1000</f>
        <v>0</v>
      </c>
    </row>
    <row r="1563" spans="1:28" hidden="1" x14ac:dyDescent="0.3">
      <c r="A1563" s="117"/>
      <c r="C1563" s="68" t="s">
        <v>122</v>
      </c>
      <c r="E1563" s="85">
        <f>STATS1003B!E1566/1000</f>
        <v>228.46299999999999</v>
      </c>
      <c r="F1563" s="85">
        <f>STATS1003B!F1566/1000</f>
        <v>228.46299999999999</v>
      </c>
      <c r="G1563" s="85">
        <f>STATS1003B!G1566/1000</f>
        <v>0</v>
      </c>
      <c r="H1563" s="85">
        <f>STATS1003B!H1566/1000</f>
        <v>228.46299999999999</v>
      </c>
      <c r="I1563" s="85">
        <f>STATS1003B!I1566/1000</f>
        <v>0</v>
      </c>
      <c r="J1563" s="85">
        <f>STATS1003B!J1566/1000</f>
        <v>0</v>
      </c>
      <c r="K1563" s="85">
        <f>STATS1003B!K1566/1000</f>
        <v>0</v>
      </c>
      <c r="L1563" s="85">
        <f>STATS1003B!L1566/1000</f>
        <v>0</v>
      </c>
      <c r="M1563" s="85">
        <f>STATS1003B!M1566/1000</f>
        <v>228.46299999999999</v>
      </c>
      <c r="N1563" s="85">
        <f>STATS1003B!N1566/1000</f>
        <v>0</v>
      </c>
      <c r="O1563" s="85">
        <f>STATS1003B!O1566/1000</f>
        <v>0</v>
      </c>
      <c r="P1563" s="85">
        <f>STATS1003B!P1566/1000</f>
        <v>0</v>
      </c>
      <c r="Q1563" s="85">
        <f>STATS1003B!Q1566/1000</f>
        <v>0</v>
      </c>
      <c r="R1563" s="85">
        <f>STATS1003B!R1566/1000</f>
        <v>0</v>
      </c>
      <c r="S1563" s="85">
        <f>STATS1003B!S1566/1000</f>
        <v>0</v>
      </c>
      <c r="T1563" s="85">
        <f>STATS1003B!T1566/1000</f>
        <v>0</v>
      </c>
      <c r="U1563" s="85">
        <f>STATS1003B!U1566/1000</f>
        <v>0</v>
      </c>
      <c r="V1563" s="85">
        <f>STATS1003B!V1566/1000</f>
        <v>228.46299999999999</v>
      </c>
      <c r="W1563" s="85">
        <f>STATS1003B!W1566/1000</f>
        <v>0</v>
      </c>
      <c r="X1563" s="85">
        <f>STATS1003B!X1566/1000</f>
        <v>228.46299999999999</v>
      </c>
      <c r="Y1563" s="85">
        <f>STATS1003B!Y1566/1000</f>
        <v>0</v>
      </c>
      <c r="Z1563" s="85">
        <f>STATS1003B!Z1566/1000</f>
        <v>0</v>
      </c>
      <c r="AA1563" s="69">
        <f>STATS1003B!AA1566/1000</f>
        <v>228.46299999999999</v>
      </c>
      <c r="AB1563" s="69">
        <f>STATS1003B!AB1566/1000</f>
        <v>0</v>
      </c>
    </row>
    <row r="1564" spans="1:28" hidden="1" x14ac:dyDescent="0.3">
      <c r="A1564" s="117"/>
      <c r="C1564" s="68" t="s">
        <v>930</v>
      </c>
      <c r="E1564" s="85">
        <f>STATS1003B!E1567/1000</f>
        <v>1218.4912400000001</v>
      </c>
      <c r="F1564" s="85">
        <f>STATS1003B!F1567/1000</f>
        <v>1218.4912400000001</v>
      </c>
      <c r="G1564" s="85">
        <f>STATS1003B!G1567/1000</f>
        <v>0</v>
      </c>
      <c r="H1564" s="85">
        <f>STATS1003B!H1567/1000</f>
        <v>1218.4912400000001</v>
      </c>
      <c r="I1564" s="85">
        <f>STATS1003B!I1567/1000</f>
        <v>0</v>
      </c>
      <c r="J1564" s="85">
        <f>STATS1003B!J1567/1000</f>
        <v>0</v>
      </c>
      <c r="K1564" s="85">
        <f>STATS1003B!K1567/1000</f>
        <v>0</v>
      </c>
      <c r="L1564" s="85">
        <f>STATS1003B!L1567/1000</f>
        <v>0</v>
      </c>
      <c r="M1564" s="85">
        <f>STATS1003B!M1567/1000</f>
        <v>1218.4912400000001</v>
      </c>
      <c r="N1564" s="85">
        <f>STATS1003B!N1567/1000</f>
        <v>0</v>
      </c>
      <c r="O1564" s="85">
        <f>STATS1003B!O1567/1000</f>
        <v>0</v>
      </c>
      <c r="P1564" s="85">
        <f>STATS1003B!P1567/1000</f>
        <v>0</v>
      </c>
      <c r="Q1564" s="85">
        <f>STATS1003B!Q1567/1000</f>
        <v>0</v>
      </c>
      <c r="R1564" s="85">
        <f>STATS1003B!R1567/1000</f>
        <v>0</v>
      </c>
      <c r="S1564" s="85">
        <f>STATS1003B!S1567/1000</f>
        <v>0</v>
      </c>
      <c r="T1564" s="85">
        <f>STATS1003B!T1567/1000</f>
        <v>0</v>
      </c>
      <c r="U1564" s="85">
        <f>STATS1003B!U1567/1000</f>
        <v>0</v>
      </c>
      <c r="V1564" s="85">
        <f>STATS1003B!V1567/1000</f>
        <v>1218.4912400000001</v>
      </c>
      <c r="W1564" s="85">
        <f>STATS1003B!W1567/1000</f>
        <v>0</v>
      </c>
      <c r="X1564" s="85">
        <f>STATS1003B!X1567/1000</f>
        <v>1218.4912400000001</v>
      </c>
      <c r="Y1564" s="85">
        <f>STATS1003B!Y1567/1000</f>
        <v>0</v>
      </c>
      <c r="Z1564" s="85">
        <f>STATS1003B!Z1567/1000</f>
        <v>0</v>
      </c>
      <c r="AA1564" s="69">
        <f>STATS1003B!AA1567/1000</f>
        <v>1218.4912400000001</v>
      </c>
      <c r="AB1564" s="69">
        <f>STATS1003B!AB1567/1000</f>
        <v>0</v>
      </c>
    </row>
    <row r="1565" spans="1:28" hidden="1" x14ac:dyDescent="0.3">
      <c r="A1565" s="117"/>
      <c r="C1565" s="68" t="s">
        <v>1158</v>
      </c>
      <c r="D1565" s="91" t="s">
        <v>1126</v>
      </c>
      <c r="E1565" s="85">
        <f>STATS1003B!E1568/1000</f>
        <v>225</v>
      </c>
      <c r="F1565" s="85">
        <f>STATS1003B!F1568/1000</f>
        <v>225</v>
      </c>
      <c r="G1565" s="85">
        <f>STATS1003B!G1568/1000</f>
        <v>0</v>
      </c>
      <c r="H1565" s="85">
        <f>STATS1003B!H1568/1000</f>
        <v>225</v>
      </c>
      <c r="I1565" s="85">
        <f>STATS1003B!I1568/1000</f>
        <v>0</v>
      </c>
      <c r="J1565" s="85">
        <f>STATS1003B!J1568/1000</f>
        <v>0</v>
      </c>
      <c r="K1565" s="85">
        <f>STATS1003B!K1568/1000</f>
        <v>0</v>
      </c>
      <c r="L1565" s="85">
        <f>STATS1003B!L1568/1000</f>
        <v>0</v>
      </c>
      <c r="M1565" s="85">
        <f>STATS1003B!M1568/1000</f>
        <v>225</v>
      </c>
      <c r="N1565" s="85">
        <f>STATS1003B!N1568/1000</f>
        <v>0</v>
      </c>
      <c r="O1565" s="85">
        <f>STATS1003B!O1568/1000</f>
        <v>0</v>
      </c>
      <c r="P1565" s="85">
        <f>STATS1003B!P1568/1000</f>
        <v>0</v>
      </c>
      <c r="Q1565" s="85">
        <f>STATS1003B!Q1568/1000</f>
        <v>0</v>
      </c>
      <c r="R1565" s="85">
        <f>STATS1003B!R1568/1000</f>
        <v>0</v>
      </c>
      <c r="S1565" s="85">
        <f>STATS1003B!S1568/1000</f>
        <v>0</v>
      </c>
      <c r="T1565" s="85">
        <f>STATS1003B!T1568/1000</f>
        <v>0</v>
      </c>
      <c r="U1565" s="85">
        <f>STATS1003B!U1568/1000</f>
        <v>0</v>
      </c>
      <c r="V1565" s="85">
        <f>STATS1003B!V1568/1000</f>
        <v>225</v>
      </c>
      <c r="W1565" s="85">
        <f>STATS1003B!W1568/1000</f>
        <v>0</v>
      </c>
      <c r="X1565" s="85">
        <f>STATS1003B!X1568/1000</f>
        <v>225</v>
      </c>
      <c r="Y1565" s="85">
        <f>STATS1003B!Y1568/1000</f>
        <v>0</v>
      </c>
      <c r="Z1565" s="85">
        <f>STATS1003B!Z1568/1000</f>
        <v>0</v>
      </c>
      <c r="AA1565" s="69">
        <f>STATS1003B!AA1568/1000</f>
        <v>225</v>
      </c>
      <c r="AB1565" s="69">
        <f>STATS1003B!AB1568/1000</f>
        <v>0</v>
      </c>
    </row>
    <row r="1566" spans="1:28" hidden="1" x14ac:dyDescent="0.3">
      <c r="A1566" s="117"/>
      <c r="C1566" s="68" t="s">
        <v>57</v>
      </c>
      <c r="D1566" s="91" t="s">
        <v>61</v>
      </c>
      <c r="E1566" s="85">
        <f>STATS1003B!E1569/1000</f>
        <v>1561</v>
      </c>
      <c r="F1566" s="85">
        <f>STATS1003B!F1569/1000</f>
        <v>1561</v>
      </c>
      <c r="G1566" s="85">
        <f>STATS1003B!G1569/1000</f>
        <v>0</v>
      </c>
      <c r="H1566" s="85">
        <f>STATS1003B!H1569/1000</f>
        <v>1561</v>
      </c>
      <c r="I1566" s="85">
        <f>STATS1003B!I1569/1000</f>
        <v>0</v>
      </c>
      <c r="J1566" s="85">
        <f>STATS1003B!J1569/1000</f>
        <v>0</v>
      </c>
      <c r="K1566" s="85">
        <f>STATS1003B!K1569/1000</f>
        <v>0</v>
      </c>
      <c r="L1566" s="85">
        <f>STATS1003B!L1569/1000</f>
        <v>0</v>
      </c>
      <c r="M1566" s="85">
        <f>STATS1003B!M1569/1000</f>
        <v>1561</v>
      </c>
      <c r="N1566" s="85">
        <f>STATS1003B!N1569/1000</f>
        <v>0</v>
      </c>
      <c r="O1566" s="85">
        <f>STATS1003B!O1569/1000</f>
        <v>0</v>
      </c>
      <c r="P1566" s="85">
        <f>STATS1003B!P1569/1000</f>
        <v>0</v>
      </c>
      <c r="Q1566" s="85">
        <f>STATS1003B!Q1569/1000</f>
        <v>0</v>
      </c>
      <c r="R1566" s="85">
        <f>STATS1003B!R1569/1000</f>
        <v>0</v>
      </c>
      <c r="S1566" s="85">
        <f>STATS1003B!S1569/1000</f>
        <v>0</v>
      </c>
      <c r="T1566" s="85">
        <f>STATS1003B!T1569/1000</f>
        <v>0</v>
      </c>
      <c r="U1566" s="85">
        <f>STATS1003B!U1569/1000</f>
        <v>0</v>
      </c>
      <c r="V1566" s="85">
        <f>STATS1003B!V1569/1000</f>
        <v>1561</v>
      </c>
      <c r="W1566" s="85">
        <f>STATS1003B!W1569/1000</f>
        <v>0</v>
      </c>
      <c r="X1566" s="85">
        <f>STATS1003B!X1569/1000</f>
        <v>1561</v>
      </c>
      <c r="Y1566" s="85">
        <f>STATS1003B!Y1569/1000</f>
        <v>0</v>
      </c>
      <c r="Z1566" s="85">
        <f>STATS1003B!Z1569/1000</f>
        <v>0</v>
      </c>
      <c r="AA1566" s="69">
        <f>STATS1003B!AA1569/1000</f>
        <v>1561</v>
      </c>
      <c r="AB1566" s="69">
        <f>STATS1003B!AB1569/1000</f>
        <v>0</v>
      </c>
    </row>
    <row r="1567" spans="1:28" hidden="1" x14ac:dyDescent="0.3">
      <c r="A1567" s="117"/>
      <c r="E1567" s="86" t="s">
        <v>29</v>
      </c>
      <c r="F1567" s="86" t="s">
        <v>29</v>
      </c>
      <c r="G1567" s="86" t="s">
        <v>29</v>
      </c>
      <c r="H1567" s="86" t="s">
        <v>29</v>
      </c>
      <c r="I1567" s="86" t="s">
        <v>29</v>
      </c>
      <c r="J1567" s="86" t="s">
        <v>29</v>
      </c>
      <c r="K1567" s="86" t="s">
        <v>29</v>
      </c>
      <c r="L1567" s="86" t="s">
        <v>29</v>
      </c>
      <c r="M1567" s="86" t="s">
        <v>29</v>
      </c>
      <c r="N1567" s="86" t="s">
        <v>29</v>
      </c>
      <c r="O1567" s="86" t="s">
        <v>29</v>
      </c>
      <c r="P1567" s="86" t="s">
        <v>29</v>
      </c>
      <c r="Q1567" s="86" t="s">
        <v>29</v>
      </c>
      <c r="R1567" s="86" t="s">
        <v>29</v>
      </c>
      <c r="S1567" s="86" t="s">
        <v>29</v>
      </c>
      <c r="T1567" s="86" t="s">
        <v>29</v>
      </c>
      <c r="U1567" s="86" t="s">
        <v>29</v>
      </c>
      <c r="V1567" s="86" t="s">
        <v>29</v>
      </c>
      <c r="W1567" s="86" t="s">
        <v>29</v>
      </c>
      <c r="X1567" s="86" t="s">
        <v>29</v>
      </c>
      <c r="Y1567" s="86" t="s">
        <v>29</v>
      </c>
      <c r="Z1567" s="86" t="s">
        <v>29</v>
      </c>
      <c r="AA1567" s="115" t="s">
        <v>29</v>
      </c>
      <c r="AB1567" s="115" t="s">
        <v>29</v>
      </c>
    </row>
    <row r="1568" spans="1:28" x14ac:dyDescent="0.3">
      <c r="A1568" s="116">
        <v>66</v>
      </c>
      <c r="B1568" s="68" t="s">
        <v>294</v>
      </c>
      <c r="E1568" s="85">
        <f>73290971.32/1000</f>
        <v>73290.971319999997</v>
      </c>
      <c r="F1568" s="85">
        <f t="shared" ref="F1568:AB1568" si="182">SUM(F1548:F1566)</f>
        <v>14390.667880000001</v>
      </c>
      <c r="G1568" s="85">
        <f t="shared" si="182"/>
        <v>0</v>
      </c>
      <c r="H1568" s="85">
        <f>68251208/1000</f>
        <v>68251.207999999999</v>
      </c>
      <c r="I1568" s="85">
        <f t="shared" si="182"/>
        <v>0</v>
      </c>
      <c r="J1568" s="85">
        <f t="shared" si="182"/>
        <v>0</v>
      </c>
      <c r="K1568" s="85">
        <f t="shared" si="182"/>
        <v>0</v>
      </c>
      <c r="L1568" s="85">
        <f t="shared" si="182"/>
        <v>0</v>
      </c>
      <c r="M1568" s="85">
        <f t="shared" si="182"/>
        <v>14390.667880000001</v>
      </c>
      <c r="N1568" s="85">
        <f t="shared" si="182"/>
        <v>5005.5103199999994</v>
      </c>
      <c r="O1568" s="85">
        <f t="shared" si="182"/>
        <v>0</v>
      </c>
      <c r="P1568" s="85">
        <f>5005510/1000</f>
        <v>5005.51</v>
      </c>
      <c r="Q1568" s="85">
        <f t="shared" si="182"/>
        <v>0</v>
      </c>
      <c r="R1568" s="85">
        <f t="shared" si="182"/>
        <v>0</v>
      </c>
      <c r="S1568" s="85">
        <f t="shared" si="182"/>
        <v>0</v>
      </c>
      <c r="T1568" s="85">
        <f t="shared" si="182"/>
        <v>0</v>
      </c>
      <c r="U1568" s="85">
        <f t="shared" si="182"/>
        <v>5005.5103199999994</v>
      </c>
      <c r="V1568" s="85">
        <f t="shared" si="182"/>
        <v>19396.178199999998</v>
      </c>
      <c r="W1568" s="85">
        <f t="shared" si="182"/>
        <v>34.253</v>
      </c>
      <c r="X1568" s="85">
        <f>+H1568+P1568</f>
        <v>73256.717999999993</v>
      </c>
      <c r="Y1568" s="85">
        <f t="shared" si="182"/>
        <v>0</v>
      </c>
      <c r="Z1568" s="85">
        <f t="shared" si="182"/>
        <v>34.253</v>
      </c>
      <c r="AA1568" s="69">
        <f t="shared" si="182"/>
        <v>19396.178199999998</v>
      </c>
      <c r="AB1568" s="69">
        <f t="shared" si="182"/>
        <v>34.253</v>
      </c>
    </row>
    <row r="1569" spans="1:28" hidden="1" x14ac:dyDescent="0.3">
      <c r="A1569" s="117"/>
      <c r="E1569" s="86" t="s">
        <v>29</v>
      </c>
      <c r="F1569" s="86" t="s">
        <v>29</v>
      </c>
      <c r="G1569" s="86" t="s">
        <v>29</v>
      </c>
      <c r="H1569" s="86" t="s">
        <v>29</v>
      </c>
      <c r="I1569" s="86" t="s">
        <v>29</v>
      </c>
      <c r="J1569" s="86" t="s">
        <v>29</v>
      </c>
      <c r="K1569" s="86" t="s">
        <v>29</v>
      </c>
      <c r="L1569" s="86" t="s">
        <v>29</v>
      </c>
      <c r="M1569" s="86" t="s">
        <v>29</v>
      </c>
      <c r="N1569" s="86" t="s">
        <v>29</v>
      </c>
      <c r="O1569" s="86" t="s">
        <v>29</v>
      </c>
      <c r="P1569" s="86" t="s">
        <v>29</v>
      </c>
      <c r="Q1569" s="86" t="s">
        <v>29</v>
      </c>
      <c r="R1569" s="86" t="s">
        <v>29</v>
      </c>
      <c r="S1569" s="86" t="s">
        <v>29</v>
      </c>
      <c r="T1569" s="86" t="s">
        <v>29</v>
      </c>
      <c r="U1569" s="86" t="s">
        <v>29</v>
      </c>
      <c r="V1569" s="86" t="s">
        <v>29</v>
      </c>
      <c r="W1569" s="86" t="s">
        <v>29</v>
      </c>
      <c r="X1569" s="86" t="s">
        <v>29</v>
      </c>
      <c r="Y1569" s="86" t="s">
        <v>29</v>
      </c>
      <c r="Z1569" s="86" t="s">
        <v>29</v>
      </c>
      <c r="AA1569" s="115" t="s">
        <v>29</v>
      </c>
      <c r="AB1569" s="115" t="s">
        <v>29</v>
      </c>
    </row>
    <row r="1570" spans="1:28" hidden="1" x14ac:dyDescent="0.3">
      <c r="A1570" s="105"/>
      <c r="D1570" s="87" t="s">
        <v>304</v>
      </c>
      <c r="E1570" s="84"/>
      <c r="F1570" s="84"/>
      <c r="G1570" s="84"/>
      <c r="H1570" s="84"/>
      <c r="I1570" s="84"/>
      <c r="J1570" s="84"/>
      <c r="K1570" s="84"/>
      <c r="L1570" s="84"/>
      <c r="M1570" s="84"/>
      <c r="N1570" s="84"/>
      <c r="O1570" s="84"/>
      <c r="P1570" s="84"/>
      <c r="Q1570" s="84"/>
      <c r="R1570" s="84"/>
      <c r="S1570" s="84"/>
      <c r="T1570" s="84"/>
      <c r="U1570" s="84"/>
      <c r="V1570" s="84"/>
      <c r="W1570" s="84"/>
      <c r="X1570" s="84"/>
      <c r="Y1570" s="84"/>
      <c r="Z1570" s="84"/>
    </row>
    <row r="1571" spans="1:28" hidden="1" x14ac:dyDescent="0.3">
      <c r="A1571" s="117"/>
      <c r="C1571" s="68" t="s">
        <v>305</v>
      </c>
      <c r="D1571" s="71" t="s">
        <v>52</v>
      </c>
      <c r="E1571" s="85">
        <f>STATS1003B!E1574/1000</f>
        <v>16277.62996</v>
      </c>
      <c r="F1571" s="85">
        <f>STATS1003B!F1574/1000</f>
        <v>15424.535179999999</v>
      </c>
      <c r="G1571" s="85">
        <f>STATS1003B!G1574/1000</f>
        <v>0</v>
      </c>
      <c r="H1571" s="85">
        <f>STATS1003B!H1574/1000</f>
        <v>15424.535179999999</v>
      </c>
      <c r="I1571" s="85">
        <f>STATS1003B!I1574/1000</f>
        <v>0</v>
      </c>
      <c r="J1571" s="85">
        <f>STATS1003B!J1574/1000</f>
        <v>0</v>
      </c>
      <c r="K1571" s="85">
        <f>STATS1003B!K1574/1000</f>
        <v>0</v>
      </c>
      <c r="L1571" s="85">
        <f>STATS1003B!L1574/1000</f>
        <v>0</v>
      </c>
      <c r="M1571" s="85">
        <f>STATS1003B!M1574/1000</f>
        <v>15424.535179999999</v>
      </c>
      <c r="N1571" s="85">
        <f>STATS1003B!N1574/1000</f>
        <v>853.09478000000001</v>
      </c>
      <c r="O1571" s="85">
        <f>STATS1003B!O1574/1000</f>
        <v>0</v>
      </c>
      <c r="P1571" s="85">
        <f>STATS1003B!P1574/1000</f>
        <v>853.09478000000001</v>
      </c>
      <c r="Q1571" s="85">
        <f>STATS1003B!Q1574/1000</f>
        <v>0</v>
      </c>
      <c r="R1571" s="85">
        <f>STATS1003B!R1574/1000</f>
        <v>0</v>
      </c>
      <c r="S1571" s="85">
        <f>STATS1003B!S1574/1000</f>
        <v>0</v>
      </c>
      <c r="T1571" s="85">
        <f>STATS1003B!T1574/1000</f>
        <v>0</v>
      </c>
      <c r="U1571" s="85">
        <f>STATS1003B!U1574/1000</f>
        <v>853.09478000000001</v>
      </c>
      <c r="V1571" s="85">
        <f>STATS1003B!V1574/1000</f>
        <v>16277.629959999998</v>
      </c>
      <c r="W1571" s="85">
        <f>STATS1003B!W1574/1000</f>
        <v>0</v>
      </c>
      <c r="X1571" s="85">
        <f>STATS1003B!X1574/1000</f>
        <v>16277.629959999998</v>
      </c>
      <c r="Y1571" s="85">
        <f>STATS1003B!Y1574/1000</f>
        <v>0</v>
      </c>
      <c r="Z1571" s="85">
        <f>STATS1003B!Z1574/1000</f>
        <v>0</v>
      </c>
      <c r="AA1571" s="69">
        <f>STATS1003B!AA1574/1000</f>
        <v>16277.629959999998</v>
      </c>
      <c r="AB1571" s="69">
        <f>STATS1003B!AB1574/1000</f>
        <v>0</v>
      </c>
    </row>
    <row r="1572" spans="1:28" hidden="1" x14ac:dyDescent="0.3">
      <c r="A1572" s="117"/>
      <c r="C1572" s="68" t="s">
        <v>172</v>
      </c>
      <c r="D1572" s="87" t="s">
        <v>166</v>
      </c>
      <c r="E1572" s="85">
        <f>STATS1003B!E1575/1000</f>
        <v>663.83900000000006</v>
      </c>
      <c r="F1572" s="85">
        <f>STATS1003B!F1575/1000</f>
        <v>663.83900000000006</v>
      </c>
      <c r="G1572" s="85">
        <f>STATS1003B!G1575/1000</f>
        <v>0</v>
      </c>
      <c r="H1572" s="85">
        <f>STATS1003B!H1575/1000</f>
        <v>663.83900000000006</v>
      </c>
      <c r="I1572" s="85">
        <f>STATS1003B!I1575/1000</f>
        <v>0</v>
      </c>
      <c r="J1572" s="85">
        <f>STATS1003B!J1575/1000</f>
        <v>0</v>
      </c>
      <c r="K1572" s="85">
        <f>STATS1003B!K1575/1000</f>
        <v>0</v>
      </c>
      <c r="L1572" s="85">
        <f>STATS1003B!L1575/1000</f>
        <v>0</v>
      </c>
      <c r="M1572" s="85">
        <f>STATS1003B!M1575/1000</f>
        <v>663.83900000000006</v>
      </c>
      <c r="N1572" s="85">
        <f>STATS1003B!N1575/1000</f>
        <v>0</v>
      </c>
      <c r="O1572" s="85">
        <f>STATS1003B!O1575/1000</f>
        <v>0</v>
      </c>
      <c r="P1572" s="85">
        <f>STATS1003B!P1575/1000</f>
        <v>0</v>
      </c>
      <c r="Q1572" s="85">
        <f>STATS1003B!Q1575/1000</f>
        <v>0</v>
      </c>
      <c r="R1572" s="85">
        <f>STATS1003B!R1575/1000</f>
        <v>0</v>
      </c>
      <c r="S1572" s="85">
        <f>STATS1003B!S1575/1000</f>
        <v>0</v>
      </c>
      <c r="T1572" s="85">
        <f>STATS1003B!T1575/1000</f>
        <v>0</v>
      </c>
      <c r="U1572" s="85">
        <f>STATS1003B!U1575/1000</f>
        <v>0</v>
      </c>
      <c r="V1572" s="85">
        <f>STATS1003B!V1575/1000</f>
        <v>663.83900000000006</v>
      </c>
      <c r="W1572" s="85">
        <f>STATS1003B!W1575/1000</f>
        <v>0</v>
      </c>
      <c r="X1572" s="85">
        <f>STATS1003B!X1575/1000</f>
        <v>663.83900000000006</v>
      </c>
      <c r="Y1572" s="85">
        <f>STATS1003B!Y1575/1000</f>
        <v>0</v>
      </c>
      <c r="Z1572" s="85">
        <f>STATS1003B!Z1575/1000</f>
        <v>0</v>
      </c>
      <c r="AA1572" s="69">
        <f>STATS1003B!AA1575/1000</f>
        <v>663.83900000000006</v>
      </c>
      <c r="AB1572" s="69">
        <f>STATS1003B!AB1575/1000</f>
        <v>0</v>
      </c>
    </row>
    <row r="1573" spans="1:28" hidden="1" x14ac:dyDescent="0.3">
      <c r="A1573" s="117"/>
      <c r="C1573" s="68" t="s">
        <v>295</v>
      </c>
      <c r="D1573" s="87" t="s">
        <v>306</v>
      </c>
      <c r="E1573" s="85">
        <f>STATS1003B!E1576/1000</f>
        <v>60</v>
      </c>
      <c r="F1573" s="85">
        <f>STATS1003B!F1576/1000</f>
        <v>0</v>
      </c>
      <c r="G1573" s="85">
        <f>STATS1003B!G1576/1000</f>
        <v>0</v>
      </c>
      <c r="H1573" s="85">
        <f>STATS1003B!H1576/1000</f>
        <v>0</v>
      </c>
      <c r="I1573" s="85">
        <f>STATS1003B!I1576/1000</f>
        <v>0</v>
      </c>
      <c r="J1573" s="85">
        <f>STATS1003B!J1576/1000</f>
        <v>0</v>
      </c>
      <c r="K1573" s="85">
        <f>STATS1003B!K1576/1000</f>
        <v>0</v>
      </c>
      <c r="L1573" s="85">
        <f>STATS1003B!L1576/1000</f>
        <v>0</v>
      </c>
      <c r="M1573" s="85">
        <f>STATS1003B!M1576/1000</f>
        <v>0</v>
      </c>
      <c r="N1573" s="85">
        <f>STATS1003B!N1576/1000</f>
        <v>0</v>
      </c>
      <c r="O1573" s="85">
        <f>STATS1003B!O1576/1000</f>
        <v>0</v>
      </c>
      <c r="P1573" s="85">
        <f>STATS1003B!P1576/1000</f>
        <v>0</v>
      </c>
      <c r="Q1573" s="85">
        <f>STATS1003B!Q1576/1000</f>
        <v>0</v>
      </c>
      <c r="R1573" s="85">
        <f>STATS1003B!R1576/1000</f>
        <v>0</v>
      </c>
      <c r="S1573" s="85">
        <f>STATS1003B!S1576/1000</f>
        <v>0</v>
      </c>
      <c r="T1573" s="85">
        <f>STATS1003B!T1576/1000</f>
        <v>0</v>
      </c>
      <c r="U1573" s="85">
        <f>STATS1003B!U1576/1000</f>
        <v>0</v>
      </c>
      <c r="V1573" s="85">
        <f>STATS1003B!V1576/1000</f>
        <v>0</v>
      </c>
      <c r="W1573" s="85">
        <f>STATS1003B!W1576/1000</f>
        <v>60</v>
      </c>
      <c r="X1573" s="85">
        <f>STATS1003B!X1576/1000</f>
        <v>0</v>
      </c>
      <c r="Y1573" s="85">
        <f>STATS1003B!Y1576/1000</f>
        <v>0</v>
      </c>
      <c r="Z1573" s="85">
        <f>STATS1003B!Z1576/1000</f>
        <v>60</v>
      </c>
      <c r="AA1573" s="69">
        <f>STATS1003B!AA1576/1000</f>
        <v>0</v>
      </c>
      <c r="AB1573" s="69">
        <f>STATS1003B!AB1576/1000</f>
        <v>60</v>
      </c>
    </row>
    <row r="1574" spans="1:28" hidden="1" x14ac:dyDescent="0.3">
      <c r="A1574" s="117"/>
      <c r="C1574" s="68" t="s">
        <v>53</v>
      </c>
      <c r="D1574" s="87" t="s">
        <v>54</v>
      </c>
      <c r="E1574" s="85">
        <f>STATS1003B!E1577/1000</f>
        <v>1767.77</v>
      </c>
      <c r="F1574" s="85">
        <f>STATS1003B!F1577/1000</f>
        <v>0</v>
      </c>
      <c r="G1574" s="85">
        <f>STATS1003B!G1577/1000</f>
        <v>0</v>
      </c>
      <c r="H1574" s="85">
        <f>STATS1003B!H1577/1000</f>
        <v>0</v>
      </c>
      <c r="I1574" s="85">
        <f>STATS1003B!I1577/1000</f>
        <v>0</v>
      </c>
      <c r="J1574" s="85">
        <f>STATS1003B!J1577/1000</f>
        <v>0</v>
      </c>
      <c r="K1574" s="85">
        <f>STATS1003B!K1577/1000</f>
        <v>0</v>
      </c>
      <c r="L1574" s="85">
        <f>STATS1003B!L1577/1000</f>
        <v>0</v>
      </c>
      <c r="M1574" s="85">
        <f>STATS1003B!M1577/1000</f>
        <v>0</v>
      </c>
      <c r="N1574" s="85">
        <f>STATS1003B!N1577/1000</f>
        <v>1767.77</v>
      </c>
      <c r="O1574" s="85">
        <f>STATS1003B!O1577/1000</f>
        <v>0</v>
      </c>
      <c r="P1574" s="85">
        <f>STATS1003B!P1577/1000</f>
        <v>1767.77</v>
      </c>
      <c r="Q1574" s="85">
        <f>STATS1003B!Q1577/1000</f>
        <v>0</v>
      </c>
      <c r="R1574" s="85">
        <f>STATS1003B!R1577/1000</f>
        <v>0</v>
      </c>
      <c r="S1574" s="85">
        <f>STATS1003B!S1577/1000</f>
        <v>0</v>
      </c>
      <c r="T1574" s="85">
        <f>STATS1003B!T1577/1000</f>
        <v>0</v>
      </c>
      <c r="U1574" s="85">
        <f>STATS1003B!U1577/1000</f>
        <v>1767.77</v>
      </c>
      <c r="V1574" s="85">
        <f>STATS1003B!V1577/1000</f>
        <v>1767.77</v>
      </c>
      <c r="W1574" s="85">
        <f>STATS1003B!W1577/1000</f>
        <v>0</v>
      </c>
      <c r="X1574" s="85">
        <f>STATS1003B!X1577/1000</f>
        <v>1767.77</v>
      </c>
      <c r="Y1574" s="85">
        <f>STATS1003B!Y1577/1000</f>
        <v>0</v>
      </c>
      <c r="Z1574" s="85">
        <f>STATS1003B!Z1577/1000</f>
        <v>0</v>
      </c>
      <c r="AA1574" s="69">
        <f>STATS1003B!AA1577/1000</f>
        <v>1767.77</v>
      </c>
      <c r="AB1574" s="69">
        <f>STATS1003B!AB1577/1000</f>
        <v>0</v>
      </c>
    </row>
    <row r="1575" spans="1:28" hidden="1" x14ac:dyDescent="0.3">
      <c r="A1575" s="117"/>
      <c r="C1575" s="68" t="s">
        <v>307</v>
      </c>
      <c r="D1575" s="87" t="s">
        <v>308</v>
      </c>
      <c r="E1575" s="85">
        <f>STATS1003B!E1578/1000</f>
        <v>1750</v>
      </c>
      <c r="F1575" s="85">
        <f>STATS1003B!F1578/1000</f>
        <v>1750</v>
      </c>
      <c r="G1575" s="85">
        <f>STATS1003B!G1578/1000</f>
        <v>0</v>
      </c>
      <c r="H1575" s="85">
        <f>STATS1003B!H1578/1000</f>
        <v>1750</v>
      </c>
      <c r="I1575" s="85">
        <f>STATS1003B!I1578/1000</f>
        <v>0</v>
      </c>
      <c r="J1575" s="85">
        <f>STATS1003B!J1578/1000</f>
        <v>0</v>
      </c>
      <c r="K1575" s="85">
        <f>STATS1003B!K1578/1000</f>
        <v>0</v>
      </c>
      <c r="L1575" s="85">
        <f>STATS1003B!L1578/1000</f>
        <v>0</v>
      </c>
      <c r="M1575" s="85">
        <f>STATS1003B!M1578/1000</f>
        <v>1750</v>
      </c>
      <c r="N1575" s="85">
        <f>STATS1003B!N1578/1000</f>
        <v>0</v>
      </c>
      <c r="O1575" s="85">
        <f>STATS1003B!O1578/1000</f>
        <v>0</v>
      </c>
      <c r="P1575" s="85">
        <f>STATS1003B!P1578/1000</f>
        <v>0</v>
      </c>
      <c r="Q1575" s="85">
        <f>STATS1003B!Q1578/1000</f>
        <v>0</v>
      </c>
      <c r="R1575" s="85">
        <f>STATS1003B!R1578/1000</f>
        <v>0</v>
      </c>
      <c r="S1575" s="85">
        <f>STATS1003B!S1578/1000</f>
        <v>0</v>
      </c>
      <c r="T1575" s="85">
        <f>STATS1003B!T1578/1000</f>
        <v>0</v>
      </c>
      <c r="U1575" s="85">
        <f>STATS1003B!U1578/1000</f>
        <v>0</v>
      </c>
      <c r="V1575" s="85">
        <f>STATS1003B!V1578/1000</f>
        <v>1750</v>
      </c>
      <c r="W1575" s="85">
        <f>STATS1003B!W1578/1000</f>
        <v>0</v>
      </c>
      <c r="X1575" s="85">
        <f>STATS1003B!X1578/1000</f>
        <v>1750</v>
      </c>
      <c r="Y1575" s="85">
        <f>STATS1003B!Y1578/1000</f>
        <v>0</v>
      </c>
      <c r="Z1575" s="85">
        <f>STATS1003B!Z1578/1000</f>
        <v>0</v>
      </c>
      <c r="AA1575" s="69">
        <f>STATS1003B!AA1578/1000</f>
        <v>1750</v>
      </c>
      <c r="AB1575" s="69">
        <f>STATS1003B!AB1578/1000</f>
        <v>0</v>
      </c>
    </row>
    <row r="1576" spans="1:28" hidden="1" x14ac:dyDescent="0.3">
      <c r="A1576" s="117"/>
      <c r="C1576" s="68" t="s">
        <v>300</v>
      </c>
      <c r="D1576" s="87" t="s">
        <v>234</v>
      </c>
      <c r="E1576" s="85">
        <f>STATS1003B!E1579/1000</f>
        <v>605</v>
      </c>
      <c r="F1576" s="85">
        <f>STATS1003B!F1579/1000</f>
        <v>605</v>
      </c>
      <c r="G1576" s="85">
        <f>STATS1003B!G1579/1000</f>
        <v>0</v>
      </c>
      <c r="H1576" s="85">
        <f>STATS1003B!H1579/1000</f>
        <v>605</v>
      </c>
      <c r="I1576" s="85">
        <f>STATS1003B!I1579/1000</f>
        <v>0</v>
      </c>
      <c r="J1576" s="85">
        <f>STATS1003B!J1579/1000</f>
        <v>0</v>
      </c>
      <c r="K1576" s="85">
        <f>STATS1003B!K1579/1000</f>
        <v>0</v>
      </c>
      <c r="L1576" s="85">
        <f>STATS1003B!L1579/1000</f>
        <v>0</v>
      </c>
      <c r="M1576" s="85">
        <f>STATS1003B!M1579/1000</f>
        <v>605</v>
      </c>
      <c r="N1576" s="85">
        <f>STATS1003B!N1579/1000</f>
        <v>0</v>
      </c>
      <c r="O1576" s="85">
        <f>STATS1003B!O1579/1000</f>
        <v>0</v>
      </c>
      <c r="P1576" s="85">
        <f>STATS1003B!P1579/1000</f>
        <v>0</v>
      </c>
      <c r="Q1576" s="85">
        <f>STATS1003B!Q1579/1000</f>
        <v>0</v>
      </c>
      <c r="R1576" s="85">
        <f>STATS1003B!R1579/1000</f>
        <v>0</v>
      </c>
      <c r="S1576" s="85">
        <f>STATS1003B!S1579/1000</f>
        <v>0</v>
      </c>
      <c r="T1576" s="85">
        <f>STATS1003B!T1579/1000</f>
        <v>0</v>
      </c>
      <c r="U1576" s="85">
        <f>STATS1003B!U1579/1000</f>
        <v>0</v>
      </c>
      <c r="V1576" s="85">
        <f>STATS1003B!V1579/1000</f>
        <v>605</v>
      </c>
      <c r="W1576" s="85">
        <f>STATS1003B!W1579/1000</f>
        <v>0</v>
      </c>
      <c r="X1576" s="85">
        <f>STATS1003B!X1579/1000</f>
        <v>605</v>
      </c>
      <c r="Y1576" s="85">
        <f>STATS1003B!Y1579/1000</f>
        <v>0</v>
      </c>
      <c r="Z1576" s="85">
        <f>STATS1003B!Z1579/1000</f>
        <v>0</v>
      </c>
      <c r="AA1576" s="69">
        <f>STATS1003B!AA1579/1000</f>
        <v>605</v>
      </c>
      <c r="AB1576" s="69">
        <f>STATS1003B!AB1579/1000</f>
        <v>0</v>
      </c>
    </row>
    <row r="1577" spans="1:28" hidden="1" x14ac:dyDescent="0.3">
      <c r="A1577" s="117"/>
      <c r="C1577" s="68" t="s">
        <v>106</v>
      </c>
      <c r="D1577" s="87" t="s">
        <v>234</v>
      </c>
      <c r="E1577" s="85">
        <f>STATS1003B!E1580/1000</f>
        <v>307.5</v>
      </c>
      <c r="F1577" s="85">
        <f>STATS1003B!F1580/1000</f>
        <v>219.04</v>
      </c>
      <c r="G1577" s="85">
        <f>STATS1003B!G1580/1000</f>
        <v>0</v>
      </c>
      <c r="H1577" s="85">
        <f>STATS1003B!H1580/1000</f>
        <v>219.04</v>
      </c>
      <c r="I1577" s="85">
        <f>STATS1003B!I1580/1000</f>
        <v>0</v>
      </c>
      <c r="J1577" s="85">
        <f>STATS1003B!J1580/1000</f>
        <v>0</v>
      </c>
      <c r="K1577" s="85">
        <f>STATS1003B!K1580/1000</f>
        <v>0</v>
      </c>
      <c r="L1577" s="85">
        <f>STATS1003B!L1580/1000</f>
        <v>0</v>
      </c>
      <c r="M1577" s="85">
        <f>STATS1003B!M1580/1000</f>
        <v>219.04</v>
      </c>
      <c r="N1577" s="85">
        <f>STATS1003B!N1580/1000</f>
        <v>0</v>
      </c>
      <c r="O1577" s="85">
        <f>STATS1003B!O1580/1000</f>
        <v>0</v>
      </c>
      <c r="P1577" s="85">
        <f>STATS1003B!P1580/1000</f>
        <v>0</v>
      </c>
      <c r="Q1577" s="85">
        <f>STATS1003B!Q1580/1000</f>
        <v>0</v>
      </c>
      <c r="R1577" s="85">
        <f>STATS1003B!R1580/1000</f>
        <v>0</v>
      </c>
      <c r="S1577" s="85">
        <f>STATS1003B!S1580/1000</f>
        <v>0</v>
      </c>
      <c r="T1577" s="85">
        <f>STATS1003B!T1580/1000</f>
        <v>0</v>
      </c>
      <c r="U1577" s="85">
        <f>STATS1003B!U1580/1000</f>
        <v>0</v>
      </c>
      <c r="V1577" s="85">
        <f>STATS1003B!V1580/1000</f>
        <v>219.04</v>
      </c>
      <c r="W1577" s="85">
        <f>STATS1003B!W1580/1000</f>
        <v>88.46</v>
      </c>
      <c r="X1577" s="85">
        <f>STATS1003B!X1580/1000</f>
        <v>219.04</v>
      </c>
      <c r="Y1577" s="85">
        <f>STATS1003B!Y1580/1000</f>
        <v>0</v>
      </c>
      <c r="Z1577" s="85">
        <f>STATS1003B!Z1580/1000</f>
        <v>88.46</v>
      </c>
      <c r="AA1577" s="69">
        <f>STATS1003B!AA1580/1000</f>
        <v>219.04</v>
      </c>
      <c r="AB1577" s="69">
        <f>STATS1003B!AB1580/1000</f>
        <v>88.46</v>
      </c>
    </row>
    <row r="1578" spans="1:28" hidden="1" x14ac:dyDescent="0.3">
      <c r="A1578" s="117"/>
      <c r="C1578" s="68" t="s">
        <v>309</v>
      </c>
      <c r="D1578" s="87" t="s">
        <v>234</v>
      </c>
      <c r="E1578" s="85">
        <f>STATS1003B!E1581/1000</f>
        <v>2700</v>
      </c>
      <c r="F1578" s="85">
        <f>STATS1003B!F1581/1000</f>
        <v>2700</v>
      </c>
      <c r="G1578" s="85">
        <f>STATS1003B!G1581/1000</f>
        <v>0</v>
      </c>
      <c r="H1578" s="85">
        <f>STATS1003B!H1581/1000</f>
        <v>2700</v>
      </c>
      <c r="I1578" s="85">
        <f>STATS1003B!I1581/1000</f>
        <v>0</v>
      </c>
      <c r="J1578" s="85">
        <f>STATS1003B!J1581/1000</f>
        <v>0</v>
      </c>
      <c r="K1578" s="85">
        <f>STATS1003B!K1581/1000</f>
        <v>0</v>
      </c>
      <c r="L1578" s="85">
        <f>STATS1003B!L1581/1000</f>
        <v>0</v>
      </c>
      <c r="M1578" s="85">
        <f>STATS1003B!M1581/1000</f>
        <v>2700</v>
      </c>
      <c r="N1578" s="85">
        <f>STATS1003B!N1581/1000</f>
        <v>0</v>
      </c>
      <c r="O1578" s="85">
        <f>STATS1003B!O1581/1000</f>
        <v>0</v>
      </c>
      <c r="P1578" s="85">
        <f>STATS1003B!P1581/1000</f>
        <v>0</v>
      </c>
      <c r="Q1578" s="85">
        <f>STATS1003B!Q1581/1000</f>
        <v>0</v>
      </c>
      <c r="R1578" s="85">
        <f>STATS1003B!R1581/1000</f>
        <v>0</v>
      </c>
      <c r="S1578" s="85">
        <f>STATS1003B!S1581/1000</f>
        <v>0</v>
      </c>
      <c r="T1578" s="85">
        <f>STATS1003B!T1581/1000</f>
        <v>0</v>
      </c>
      <c r="U1578" s="85">
        <f>STATS1003B!U1581/1000</f>
        <v>0</v>
      </c>
      <c r="V1578" s="85">
        <f>STATS1003B!V1581/1000</f>
        <v>2700</v>
      </c>
      <c r="W1578" s="85">
        <f>STATS1003B!W1581/1000</f>
        <v>0</v>
      </c>
      <c r="X1578" s="85">
        <f>STATS1003B!X1581/1000</f>
        <v>2700</v>
      </c>
      <c r="Y1578" s="85">
        <f>STATS1003B!Y1581/1000</f>
        <v>0</v>
      </c>
      <c r="Z1578" s="85">
        <f>STATS1003B!Z1581/1000</f>
        <v>0</v>
      </c>
      <c r="AA1578" s="69">
        <f>STATS1003B!AA1581/1000</f>
        <v>2700</v>
      </c>
      <c r="AB1578" s="69">
        <f>STATS1003B!AB1581/1000</f>
        <v>0</v>
      </c>
    </row>
    <row r="1579" spans="1:28" hidden="1" x14ac:dyDescent="0.3">
      <c r="A1579" s="117"/>
      <c r="C1579" s="68" t="s">
        <v>302</v>
      </c>
      <c r="D1579" s="87" t="s">
        <v>85</v>
      </c>
      <c r="E1579" s="85">
        <f>STATS1003B!E1582/1000</f>
        <v>200</v>
      </c>
      <c r="F1579" s="85">
        <f>STATS1003B!F1582/1000</f>
        <v>200</v>
      </c>
      <c r="G1579" s="85">
        <f>STATS1003B!G1582/1000</f>
        <v>0</v>
      </c>
      <c r="H1579" s="85">
        <f>STATS1003B!H1582/1000</f>
        <v>200</v>
      </c>
      <c r="I1579" s="85">
        <f>STATS1003B!I1582/1000</f>
        <v>0</v>
      </c>
      <c r="J1579" s="85">
        <f>STATS1003B!J1582/1000</f>
        <v>0</v>
      </c>
      <c r="K1579" s="85">
        <f>STATS1003B!K1582/1000</f>
        <v>0</v>
      </c>
      <c r="L1579" s="85">
        <f>STATS1003B!L1582/1000</f>
        <v>0</v>
      </c>
      <c r="M1579" s="85">
        <f>STATS1003B!M1582/1000</f>
        <v>200</v>
      </c>
      <c r="N1579" s="85">
        <f>STATS1003B!N1582/1000</f>
        <v>0</v>
      </c>
      <c r="O1579" s="85">
        <f>STATS1003B!O1582/1000</f>
        <v>0</v>
      </c>
      <c r="P1579" s="85">
        <f>STATS1003B!P1582/1000</f>
        <v>0</v>
      </c>
      <c r="Q1579" s="85">
        <f>STATS1003B!Q1582/1000</f>
        <v>0</v>
      </c>
      <c r="R1579" s="85">
        <f>STATS1003B!R1582/1000</f>
        <v>0</v>
      </c>
      <c r="S1579" s="85">
        <f>STATS1003B!S1582/1000</f>
        <v>0</v>
      </c>
      <c r="T1579" s="85">
        <f>STATS1003B!T1582/1000</f>
        <v>0</v>
      </c>
      <c r="U1579" s="85">
        <f>STATS1003B!U1582/1000</f>
        <v>0</v>
      </c>
      <c r="V1579" s="85">
        <f>STATS1003B!V1582/1000</f>
        <v>200</v>
      </c>
      <c r="W1579" s="85">
        <f>STATS1003B!W1582/1000</f>
        <v>0</v>
      </c>
      <c r="X1579" s="85">
        <f>STATS1003B!X1582/1000</f>
        <v>200</v>
      </c>
      <c r="Y1579" s="85">
        <f>STATS1003B!Y1582/1000</f>
        <v>0</v>
      </c>
      <c r="Z1579" s="85">
        <f>STATS1003B!Z1582/1000</f>
        <v>0</v>
      </c>
      <c r="AA1579" s="69">
        <f>STATS1003B!AA1582/1000</f>
        <v>200</v>
      </c>
      <c r="AB1579" s="69">
        <f>STATS1003B!AB1582/1000</f>
        <v>0</v>
      </c>
    </row>
    <row r="1580" spans="1:28" hidden="1" x14ac:dyDescent="0.3">
      <c r="A1580" s="117"/>
      <c r="C1580" s="68" t="s">
        <v>55</v>
      </c>
      <c r="D1580" s="87" t="s">
        <v>88</v>
      </c>
      <c r="E1580" s="85">
        <f>STATS1003B!E1583/1000</f>
        <v>812.32349999999997</v>
      </c>
      <c r="F1580" s="85">
        <f>STATS1003B!F1583/1000</f>
        <v>0</v>
      </c>
      <c r="G1580" s="85">
        <f>STATS1003B!G1583/1000</f>
        <v>0</v>
      </c>
      <c r="H1580" s="85">
        <f>STATS1003B!H1583/1000</f>
        <v>0</v>
      </c>
      <c r="I1580" s="85">
        <f>STATS1003B!I1583/1000</f>
        <v>0</v>
      </c>
      <c r="J1580" s="85">
        <f>STATS1003B!J1583/1000</f>
        <v>0</v>
      </c>
      <c r="K1580" s="85">
        <f>STATS1003B!K1583/1000</f>
        <v>0</v>
      </c>
      <c r="L1580" s="85">
        <f>STATS1003B!L1583/1000</f>
        <v>0</v>
      </c>
      <c r="M1580" s="85">
        <f>STATS1003B!M1583/1000</f>
        <v>0</v>
      </c>
      <c r="N1580" s="85">
        <f>STATS1003B!N1583/1000</f>
        <v>812.32349999999997</v>
      </c>
      <c r="O1580" s="85">
        <f>STATS1003B!O1583/1000</f>
        <v>0</v>
      </c>
      <c r="P1580" s="85">
        <f>STATS1003B!P1583/1000</f>
        <v>812.32349999999997</v>
      </c>
      <c r="Q1580" s="85">
        <f>STATS1003B!Q1583/1000</f>
        <v>0</v>
      </c>
      <c r="R1580" s="85">
        <f>STATS1003B!R1583/1000</f>
        <v>0</v>
      </c>
      <c r="S1580" s="85">
        <f>STATS1003B!S1583/1000</f>
        <v>0</v>
      </c>
      <c r="T1580" s="85">
        <f>STATS1003B!T1583/1000</f>
        <v>0</v>
      </c>
      <c r="U1580" s="85">
        <f>STATS1003B!U1583/1000</f>
        <v>812.32349999999997</v>
      </c>
      <c r="V1580" s="85">
        <f>STATS1003B!V1583/1000</f>
        <v>812.32349999999997</v>
      </c>
      <c r="W1580" s="85">
        <f>STATS1003B!W1583/1000</f>
        <v>0</v>
      </c>
      <c r="X1580" s="85">
        <f>STATS1003B!X1583/1000</f>
        <v>812.32349999999997</v>
      </c>
      <c r="Y1580" s="85">
        <f>STATS1003B!Y1583/1000</f>
        <v>0</v>
      </c>
      <c r="Z1580" s="85">
        <f>STATS1003B!Z1583/1000</f>
        <v>0</v>
      </c>
      <c r="AA1580" s="69">
        <f>STATS1003B!AA1583/1000</f>
        <v>812.32349999999997</v>
      </c>
      <c r="AB1580" s="69">
        <f>STATS1003B!AB1583/1000</f>
        <v>0</v>
      </c>
    </row>
    <row r="1581" spans="1:28" hidden="1" x14ac:dyDescent="0.3">
      <c r="A1581" s="117"/>
      <c r="C1581" s="68" t="s">
        <v>57</v>
      </c>
      <c r="D1581" s="87" t="s">
        <v>58</v>
      </c>
      <c r="E1581" s="85">
        <f>STATS1003B!E1584/1000</f>
        <v>8148</v>
      </c>
      <c r="F1581" s="85">
        <f>STATS1003B!F1584/1000</f>
        <v>8148</v>
      </c>
      <c r="G1581" s="85">
        <f>STATS1003B!G1584/1000</f>
        <v>0</v>
      </c>
      <c r="H1581" s="85">
        <f>STATS1003B!H1584/1000</f>
        <v>8148</v>
      </c>
      <c r="I1581" s="85">
        <f>STATS1003B!I1584/1000</f>
        <v>0</v>
      </c>
      <c r="J1581" s="85">
        <f>STATS1003B!J1584/1000</f>
        <v>0</v>
      </c>
      <c r="K1581" s="85">
        <f>STATS1003B!K1584/1000</f>
        <v>0</v>
      </c>
      <c r="L1581" s="85">
        <f>STATS1003B!L1584/1000</f>
        <v>0</v>
      </c>
      <c r="M1581" s="85">
        <f>STATS1003B!M1584/1000</f>
        <v>8148</v>
      </c>
      <c r="N1581" s="85">
        <f>STATS1003B!N1584/1000</f>
        <v>0</v>
      </c>
      <c r="O1581" s="85">
        <f>STATS1003B!O1584/1000</f>
        <v>0</v>
      </c>
      <c r="P1581" s="85">
        <f>STATS1003B!P1584/1000</f>
        <v>0</v>
      </c>
      <c r="Q1581" s="85">
        <f>STATS1003B!Q1584/1000</f>
        <v>0</v>
      </c>
      <c r="R1581" s="85">
        <f>STATS1003B!R1584/1000</f>
        <v>0</v>
      </c>
      <c r="S1581" s="85">
        <f>STATS1003B!S1584/1000</f>
        <v>0</v>
      </c>
      <c r="T1581" s="85">
        <f>STATS1003B!T1584/1000</f>
        <v>0</v>
      </c>
      <c r="U1581" s="85">
        <f>STATS1003B!U1584/1000</f>
        <v>0</v>
      </c>
      <c r="V1581" s="85">
        <f>STATS1003B!V1584/1000</f>
        <v>8148</v>
      </c>
      <c r="W1581" s="85">
        <f>STATS1003B!W1584/1000</f>
        <v>0</v>
      </c>
      <c r="X1581" s="85">
        <f>STATS1003B!X1584/1000</f>
        <v>8148</v>
      </c>
      <c r="Y1581" s="85">
        <f>STATS1003B!Y1584/1000</f>
        <v>0</v>
      </c>
      <c r="Z1581" s="85">
        <f>STATS1003B!Z1584/1000</f>
        <v>0</v>
      </c>
      <c r="AA1581" s="69">
        <f>STATS1003B!AA1584/1000</f>
        <v>8148</v>
      </c>
      <c r="AB1581" s="69">
        <f>STATS1003B!AB1584/1000</f>
        <v>0</v>
      </c>
    </row>
    <row r="1582" spans="1:28" hidden="1" x14ac:dyDescent="0.3">
      <c r="A1582" s="117"/>
      <c r="C1582" s="71" t="s">
        <v>310</v>
      </c>
      <c r="D1582" s="88" t="s">
        <v>58</v>
      </c>
      <c r="E1582" s="85">
        <f>STATS1003B!E1585/1000</f>
        <v>500</v>
      </c>
      <c r="F1582" s="85">
        <f>STATS1003B!F1585/1000</f>
        <v>500</v>
      </c>
      <c r="G1582" s="85">
        <f>STATS1003B!G1585/1000</f>
        <v>0</v>
      </c>
      <c r="H1582" s="85">
        <f>STATS1003B!H1585/1000</f>
        <v>500</v>
      </c>
      <c r="I1582" s="85">
        <f>STATS1003B!I1585/1000</f>
        <v>0</v>
      </c>
      <c r="J1582" s="85">
        <f>STATS1003B!J1585/1000</f>
        <v>0</v>
      </c>
      <c r="K1582" s="85">
        <f>STATS1003B!K1585/1000</f>
        <v>0</v>
      </c>
      <c r="L1582" s="85">
        <f>STATS1003B!L1585/1000</f>
        <v>0</v>
      </c>
      <c r="M1582" s="85">
        <f>STATS1003B!M1585/1000</f>
        <v>500</v>
      </c>
      <c r="N1582" s="85">
        <f>STATS1003B!N1585/1000</f>
        <v>0</v>
      </c>
      <c r="O1582" s="85">
        <f>STATS1003B!O1585/1000</f>
        <v>0</v>
      </c>
      <c r="P1582" s="85">
        <f>STATS1003B!P1585/1000</f>
        <v>0</v>
      </c>
      <c r="Q1582" s="85">
        <f>STATS1003B!Q1585/1000</f>
        <v>0</v>
      </c>
      <c r="R1582" s="85">
        <f>STATS1003B!R1585/1000</f>
        <v>0</v>
      </c>
      <c r="S1582" s="85">
        <f>STATS1003B!S1585/1000</f>
        <v>0</v>
      </c>
      <c r="T1582" s="85">
        <f>STATS1003B!T1585/1000</f>
        <v>0</v>
      </c>
      <c r="U1582" s="85">
        <f>STATS1003B!U1585/1000</f>
        <v>0</v>
      </c>
      <c r="V1582" s="85">
        <f>STATS1003B!V1585/1000</f>
        <v>500</v>
      </c>
      <c r="W1582" s="85">
        <f>STATS1003B!W1585/1000</f>
        <v>0</v>
      </c>
      <c r="X1582" s="85">
        <f>STATS1003B!X1585/1000</f>
        <v>500</v>
      </c>
      <c r="Y1582" s="85">
        <f>STATS1003B!Y1585/1000</f>
        <v>0</v>
      </c>
      <c r="Z1582" s="85">
        <f>STATS1003B!Z1585/1000</f>
        <v>0</v>
      </c>
      <c r="AA1582" s="69">
        <f>STATS1003B!AA1585/1000</f>
        <v>500</v>
      </c>
      <c r="AB1582" s="69">
        <f>STATS1003B!AB1585/1000</f>
        <v>0</v>
      </c>
    </row>
    <row r="1583" spans="1:28" hidden="1" x14ac:dyDescent="0.3">
      <c r="A1583" s="117"/>
      <c r="C1583" s="71" t="s">
        <v>311</v>
      </c>
      <c r="D1583" s="88" t="s">
        <v>60</v>
      </c>
      <c r="E1583" s="85">
        <f>STATS1003B!E1586/1000</f>
        <v>400</v>
      </c>
      <c r="F1583" s="85">
        <f>STATS1003B!F1586/1000</f>
        <v>400</v>
      </c>
      <c r="G1583" s="85">
        <f>STATS1003B!G1586/1000</f>
        <v>0</v>
      </c>
      <c r="H1583" s="85">
        <f>STATS1003B!H1586/1000</f>
        <v>400</v>
      </c>
      <c r="I1583" s="85">
        <f>STATS1003B!I1586/1000</f>
        <v>0</v>
      </c>
      <c r="J1583" s="85">
        <f>STATS1003B!J1586/1000</f>
        <v>0</v>
      </c>
      <c r="K1583" s="85">
        <f>STATS1003B!K1586/1000</f>
        <v>0</v>
      </c>
      <c r="L1583" s="85">
        <f>STATS1003B!L1586/1000</f>
        <v>0</v>
      </c>
      <c r="M1583" s="85">
        <f>STATS1003B!M1586/1000</f>
        <v>400</v>
      </c>
      <c r="N1583" s="85">
        <f>STATS1003B!N1586/1000</f>
        <v>0</v>
      </c>
      <c r="O1583" s="85">
        <f>STATS1003B!O1586/1000</f>
        <v>0</v>
      </c>
      <c r="P1583" s="85">
        <f>STATS1003B!P1586/1000</f>
        <v>0</v>
      </c>
      <c r="Q1583" s="85">
        <f>STATS1003B!Q1586/1000</f>
        <v>0</v>
      </c>
      <c r="R1583" s="85">
        <f>STATS1003B!R1586/1000</f>
        <v>0</v>
      </c>
      <c r="S1583" s="85">
        <f>STATS1003B!S1586/1000</f>
        <v>0</v>
      </c>
      <c r="T1583" s="85">
        <f>STATS1003B!T1586/1000</f>
        <v>0</v>
      </c>
      <c r="U1583" s="85">
        <f>STATS1003B!U1586/1000</f>
        <v>0</v>
      </c>
      <c r="V1583" s="85">
        <f>STATS1003B!V1586/1000</f>
        <v>400</v>
      </c>
      <c r="W1583" s="85">
        <f>STATS1003B!W1586/1000</f>
        <v>0</v>
      </c>
      <c r="X1583" s="85">
        <f>STATS1003B!X1586/1000</f>
        <v>400</v>
      </c>
      <c r="Y1583" s="85">
        <f>STATS1003B!Y1586/1000</f>
        <v>0</v>
      </c>
      <c r="Z1583" s="85">
        <f>STATS1003B!Z1586/1000</f>
        <v>0</v>
      </c>
      <c r="AA1583" s="69">
        <f>STATS1003B!AA1586/1000</f>
        <v>400</v>
      </c>
      <c r="AB1583" s="69">
        <f>STATS1003B!AB1586/1000</f>
        <v>0</v>
      </c>
    </row>
    <row r="1584" spans="1:28" hidden="1" x14ac:dyDescent="0.3">
      <c r="A1584" s="117"/>
      <c r="C1584" s="71" t="s">
        <v>109</v>
      </c>
      <c r="D1584" s="88" t="s">
        <v>60</v>
      </c>
      <c r="E1584" s="85">
        <f>STATS1003B!E1587/1000</f>
        <v>2500</v>
      </c>
      <c r="F1584" s="85">
        <f>STATS1003B!F1587/1000</f>
        <v>2500</v>
      </c>
      <c r="G1584" s="85">
        <f>STATS1003B!G1587/1000</f>
        <v>0</v>
      </c>
      <c r="H1584" s="85">
        <f>STATS1003B!H1587/1000</f>
        <v>2500</v>
      </c>
      <c r="I1584" s="85">
        <f>STATS1003B!I1587/1000</f>
        <v>0</v>
      </c>
      <c r="J1584" s="85">
        <f>STATS1003B!J1587/1000</f>
        <v>0</v>
      </c>
      <c r="K1584" s="85">
        <f>STATS1003B!K1587/1000</f>
        <v>0</v>
      </c>
      <c r="L1584" s="85">
        <f>STATS1003B!L1587/1000</f>
        <v>0</v>
      </c>
      <c r="M1584" s="85">
        <f>STATS1003B!M1587/1000</f>
        <v>2500</v>
      </c>
      <c r="N1584" s="85">
        <f>STATS1003B!N1587/1000</f>
        <v>0</v>
      </c>
      <c r="O1584" s="85">
        <f>STATS1003B!O1587/1000</f>
        <v>0</v>
      </c>
      <c r="P1584" s="85">
        <f>STATS1003B!P1587/1000</f>
        <v>0</v>
      </c>
      <c r="Q1584" s="85">
        <f>STATS1003B!Q1587/1000</f>
        <v>0</v>
      </c>
      <c r="R1584" s="85">
        <f>STATS1003B!R1587/1000</f>
        <v>0</v>
      </c>
      <c r="S1584" s="85">
        <f>STATS1003B!S1587/1000</f>
        <v>0</v>
      </c>
      <c r="T1584" s="85">
        <f>STATS1003B!T1587/1000</f>
        <v>0</v>
      </c>
      <c r="U1584" s="85">
        <f>STATS1003B!U1587/1000</f>
        <v>0</v>
      </c>
      <c r="V1584" s="85">
        <f>STATS1003B!V1587/1000</f>
        <v>2500</v>
      </c>
      <c r="W1584" s="85">
        <f>STATS1003B!W1587/1000</f>
        <v>0</v>
      </c>
      <c r="X1584" s="85">
        <f>STATS1003B!X1587/1000</f>
        <v>2500</v>
      </c>
      <c r="Y1584" s="85">
        <f>STATS1003B!Y1587/1000</f>
        <v>0</v>
      </c>
      <c r="Z1584" s="85">
        <f>STATS1003B!Z1587/1000</f>
        <v>0</v>
      </c>
      <c r="AA1584" s="69">
        <f>STATS1003B!AA1587/1000</f>
        <v>2500</v>
      </c>
      <c r="AB1584" s="69">
        <f>STATS1003B!AB1587/1000</f>
        <v>0</v>
      </c>
    </row>
    <row r="1585" spans="1:28" hidden="1" x14ac:dyDescent="0.3">
      <c r="A1585" s="117"/>
      <c r="C1585" s="68" t="s">
        <v>57</v>
      </c>
      <c r="D1585" s="87" t="s">
        <v>60</v>
      </c>
      <c r="E1585" s="85">
        <f>STATS1003B!E1588/1000</f>
        <v>3023</v>
      </c>
      <c r="F1585" s="85">
        <f>STATS1003B!F1588/1000</f>
        <v>3023</v>
      </c>
      <c r="G1585" s="85">
        <f>STATS1003B!G1588/1000</f>
        <v>0</v>
      </c>
      <c r="H1585" s="85">
        <f>STATS1003B!H1588/1000</f>
        <v>3023</v>
      </c>
      <c r="I1585" s="85">
        <f>STATS1003B!I1588/1000</f>
        <v>0</v>
      </c>
      <c r="J1585" s="85">
        <f>STATS1003B!J1588/1000</f>
        <v>0</v>
      </c>
      <c r="K1585" s="85">
        <f>STATS1003B!K1588/1000</f>
        <v>0</v>
      </c>
      <c r="L1585" s="85">
        <f>STATS1003B!L1588/1000</f>
        <v>0</v>
      </c>
      <c r="M1585" s="85">
        <f>STATS1003B!M1588/1000</f>
        <v>3023</v>
      </c>
      <c r="N1585" s="85">
        <f>STATS1003B!N1588/1000</f>
        <v>0</v>
      </c>
      <c r="O1585" s="85">
        <f>STATS1003B!O1588/1000</f>
        <v>0</v>
      </c>
      <c r="P1585" s="85">
        <f>STATS1003B!P1588/1000</f>
        <v>0</v>
      </c>
      <c r="Q1585" s="85">
        <f>STATS1003B!Q1588/1000</f>
        <v>0</v>
      </c>
      <c r="R1585" s="85">
        <f>STATS1003B!R1588/1000</f>
        <v>0</v>
      </c>
      <c r="S1585" s="85">
        <f>STATS1003B!S1588/1000</f>
        <v>0</v>
      </c>
      <c r="T1585" s="85">
        <f>STATS1003B!T1588/1000</f>
        <v>0</v>
      </c>
      <c r="U1585" s="85">
        <f>STATS1003B!U1588/1000</f>
        <v>0</v>
      </c>
      <c r="V1585" s="85">
        <f>STATS1003B!V1588/1000</f>
        <v>3023</v>
      </c>
      <c r="W1585" s="85">
        <f>STATS1003B!W1588/1000</f>
        <v>0</v>
      </c>
      <c r="X1585" s="85">
        <f>STATS1003B!X1588/1000</f>
        <v>3023</v>
      </c>
      <c r="Y1585" s="85">
        <f>STATS1003B!Y1588/1000</f>
        <v>0</v>
      </c>
      <c r="Z1585" s="85">
        <f>STATS1003B!Z1588/1000</f>
        <v>0</v>
      </c>
      <c r="AA1585" s="69">
        <f>STATS1003B!AA1588/1000</f>
        <v>3023</v>
      </c>
      <c r="AB1585" s="69">
        <f>STATS1003B!AB1588/1000</f>
        <v>0</v>
      </c>
    </row>
    <row r="1586" spans="1:28" hidden="1" x14ac:dyDescent="0.3">
      <c r="A1586" s="117"/>
      <c r="C1586" s="68" t="s">
        <v>57</v>
      </c>
      <c r="D1586" s="87" t="s">
        <v>73</v>
      </c>
      <c r="E1586" s="85">
        <f>STATS1003B!E1589/1000</f>
        <v>912.01900000000001</v>
      </c>
      <c r="F1586" s="85">
        <f>STATS1003B!F1589/1000</f>
        <v>912.01900000000001</v>
      </c>
      <c r="G1586" s="85">
        <f>STATS1003B!G1589/1000</f>
        <v>0</v>
      </c>
      <c r="H1586" s="85">
        <f>STATS1003B!H1589/1000</f>
        <v>912.01900000000001</v>
      </c>
      <c r="I1586" s="85">
        <f>STATS1003B!I1589/1000</f>
        <v>0</v>
      </c>
      <c r="J1586" s="85">
        <f>STATS1003B!J1589/1000</f>
        <v>0</v>
      </c>
      <c r="K1586" s="85">
        <f>STATS1003B!K1589/1000</f>
        <v>0</v>
      </c>
      <c r="L1586" s="85">
        <f>STATS1003B!L1589/1000</f>
        <v>0</v>
      </c>
      <c r="M1586" s="85">
        <f>STATS1003B!M1589/1000</f>
        <v>912.01900000000001</v>
      </c>
      <c r="N1586" s="85">
        <f>STATS1003B!N1589/1000</f>
        <v>0</v>
      </c>
      <c r="O1586" s="85">
        <f>STATS1003B!O1589/1000</f>
        <v>0</v>
      </c>
      <c r="P1586" s="85">
        <f>STATS1003B!P1589/1000</f>
        <v>0</v>
      </c>
      <c r="Q1586" s="85">
        <f>STATS1003B!Q1589/1000</f>
        <v>0</v>
      </c>
      <c r="R1586" s="85">
        <f>STATS1003B!R1589/1000</f>
        <v>0</v>
      </c>
      <c r="S1586" s="85">
        <f>STATS1003B!S1589/1000</f>
        <v>0</v>
      </c>
      <c r="T1586" s="85">
        <f>STATS1003B!T1589/1000</f>
        <v>0</v>
      </c>
      <c r="U1586" s="85">
        <f>STATS1003B!U1589/1000</f>
        <v>0</v>
      </c>
      <c r="V1586" s="85">
        <f>STATS1003B!V1589/1000</f>
        <v>912.01900000000001</v>
      </c>
      <c r="W1586" s="85">
        <f>STATS1003B!W1589/1000</f>
        <v>0</v>
      </c>
      <c r="X1586" s="85">
        <f>STATS1003B!X1589/1000</f>
        <v>912.01900000000001</v>
      </c>
      <c r="Y1586" s="85">
        <f>STATS1003B!Y1589/1000</f>
        <v>0</v>
      </c>
      <c r="Z1586" s="85">
        <f>STATS1003B!Z1589/1000</f>
        <v>0</v>
      </c>
      <c r="AA1586" s="69">
        <f>STATS1003B!AA1589/1000</f>
        <v>912.01900000000001</v>
      </c>
      <c r="AB1586" s="69">
        <f>STATS1003B!AB1589/1000</f>
        <v>0</v>
      </c>
    </row>
    <row r="1587" spans="1:28" hidden="1" x14ac:dyDescent="0.3">
      <c r="A1587" s="117"/>
      <c r="C1587" s="68" t="s">
        <v>930</v>
      </c>
      <c r="D1587" s="87"/>
      <c r="E1587" s="85">
        <f>STATS1003B!E1590/1000</f>
        <v>2129.8342200000002</v>
      </c>
      <c r="F1587" s="85">
        <f>STATS1003B!F1590/1000</f>
        <v>2129.8342200000002</v>
      </c>
      <c r="G1587" s="85">
        <f>STATS1003B!G1590/1000</f>
        <v>0</v>
      </c>
      <c r="H1587" s="85">
        <f>STATS1003B!H1590/1000</f>
        <v>2129.8342200000002</v>
      </c>
      <c r="I1587" s="85">
        <f>STATS1003B!I1590/1000</f>
        <v>0</v>
      </c>
      <c r="J1587" s="85">
        <f>STATS1003B!J1590/1000</f>
        <v>0</v>
      </c>
      <c r="K1587" s="85">
        <f>STATS1003B!K1590/1000</f>
        <v>0</v>
      </c>
      <c r="L1587" s="85">
        <f>STATS1003B!L1590/1000</f>
        <v>0</v>
      </c>
      <c r="M1587" s="85">
        <f>STATS1003B!M1590/1000</f>
        <v>2129.8342200000002</v>
      </c>
      <c r="N1587" s="85">
        <f>STATS1003B!N1590/1000</f>
        <v>0</v>
      </c>
      <c r="O1587" s="85">
        <f>STATS1003B!O1590/1000</f>
        <v>0</v>
      </c>
      <c r="P1587" s="85">
        <f>STATS1003B!P1590/1000</f>
        <v>0</v>
      </c>
      <c r="Q1587" s="85">
        <f>STATS1003B!Q1590/1000</f>
        <v>0</v>
      </c>
      <c r="R1587" s="85">
        <f>STATS1003B!R1590/1000</f>
        <v>0</v>
      </c>
      <c r="S1587" s="85">
        <f>STATS1003B!S1590/1000</f>
        <v>0</v>
      </c>
      <c r="T1587" s="85">
        <f>STATS1003B!T1590/1000</f>
        <v>0</v>
      </c>
      <c r="U1587" s="85">
        <f>STATS1003B!U1590/1000</f>
        <v>0</v>
      </c>
      <c r="V1587" s="85">
        <f>STATS1003B!V1590/1000</f>
        <v>2129.8342200000002</v>
      </c>
      <c r="W1587" s="85">
        <f>STATS1003B!W1590/1000</f>
        <v>0</v>
      </c>
      <c r="X1587" s="85">
        <f>STATS1003B!X1590/1000</f>
        <v>2129.8342200000002</v>
      </c>
      <c r="Y1587" s="85">
        <f>STATS1003B!Y1590/1000</f>
        <v>0</v>
      </c>
      <c r="Z1587" s="85">
        <f>STATS1003B!Z1590/1000</f>
        <v>0</v>
      </c>
      <c r="AA1587" s="69">
        <f>STATS1003B!AA1590/1000</f>
        <v>2129.8342200000002</v>
      </c>
      <c r="AB1587" s="69">
        <f>STATS1003B!AB1590/1000</f>
        <v>0</v>
      </c>
    </row>
    <row r="1588" spans="1:28" hidden="1" x14ac:dyDescent="0.3">
      <c r="A1588" s="117"/>
      <c r="C1588" s="68" t="s">
        <v>1188</v>
      </c>
      <c r="D1588" s="90" t="s">
        <v>1126</v>
      </c>
      <c r="E1588" s="85">
        <f>STATS1003B!E1591/1000</f>
        <v>250</v>
      </c>
      <c r="F1588" s="85">
        <f>STATS1003B!F1591/1000</f>
        <v>250</v>
      </c>
      <c r="G1588" s="85">
        <f>STATS1003B!G1591/1000</f>
        <v>0</v>
      </c>
      <c r="H1588" s="85">
        <f>STATS1003B!H1591/1000</f>
        <v>250</v>
      </c>
      <c r="I1588" s="85">
        <f>STATS1003B!I1591/1000</f>
        <v>0</v>
      </c>
      <c r="J1588" s="85">
        <f>STATS1003B!J1591/1000</f>
        <v>0</v>
      </c>
      <c r="K1588" s="85">
        <f>STATS1003B!K1591/1000</f>
        <v>0</v>
      </c>
      <c r="L1588" s="85">
        <f>STATS1003B!L1591/1000</f>
        <v>0</v>
      </c>
      <c r="M1588" s="85">
        <f>STATS1003B!M1591/1000</f>
        <v>250</v>
      </c>
      <c r="N1588" s="85">
        <f>STATS1003B!N1591/1000</f>
        <v>0</v>
      </c>
      <c r="O1588" s="85">
        <f>STATS1003B!O1591/1000</f>
        <v>0</v>
      </c>
      <c r="P1588" s="85">
        <f>STATS1003B!P1591/1000</f>
        <v>0</v>
      </c>
      <c r="Q1588" s="85">
        <f>STATS1003B!Q1591/1000</f>
        <v>0</v>
      </c>
      <c r="R1588" s="85">
        <f>STATS1003B!R1591/1000</f>
        <v>0</v>
      </c>
      <c r="S1588" s="85">
        <f>STATS1003B!S1591/1000</f>
        <v>0</v>
      </c>
      <c r="T1588" s="85">
        <f>STATS1003B!T1591/1000</f>
        <v>0</v>
      </c>
      <c r="U1588" s="85">
        <f>STATS1003B!U1591/1000</f>
        <v>0</v>
      </c>
      <c r="V1588" s="85">
        <f>STATS1003B!V1591/1000</f>
        <v>250</v>
      </c>
      <c r="W1588" s="85">
        <f>STATS1003B!W1591/1000</f>
        <v>0</v>
      </c>
      <c r="X1588" s="85">
        <f>STATS1003B!X1591/1000</f>
        <v>250</v>
      </c>
      <c r="Y1588" s="85">
        <f>STATS1003B!Y1591/1000</f>
        <v>0</v>
      </c>
      <c r="Z1588" s="85">
        <f>STATS1003B!Z1591/1000</f>
        <v>0</v>
      </c>
      <c r="AA1588" s="69">
        <f>STATS1003B!AA1591/1000</f>
        <v>250</v>
      </c>
      <c r="AB1588" s="69">
        <f>STATS1003B!AB1591/1000</f>
        <v>0</v>
      </c>
    </row>
    <row r="1589" spans="1:28" hidden="1" x14ac:dyDescent="0.3">
      <c r="A1589" s="117"/>
      <c r="C1589" s="68" t="s">
        <v>1262</v>
      </c>
      <c r="D1589" s="90" t="s">
        <v>1225</v>
      </c>
      <c r="E1589" s="85">
        <f>STATS1003B!E1592/1000</f>
        <v>330</v>
      </c>
      <c r="F1589" s="85">
        <f>STATS1003B!F1592/1000</f>
        <v>0</v>
      </c>
      <c r="G1589" s="85">
        <f>STATS1003B!G1592/1000</f>
        <v>330</v>
      </c>
      <c r="H1589" s="85">
        <f>STATS1003B!H1592/1000</f>
        <v>330</v>
      </c>
      <c r="I1589" s="85">
        <f>STATS1003B!I1592/1000</f>
        <v>0</v>
      </c>
      <c r="J1589" s="85">
        <f>STATS1003B!J1592/1000</f>
        <v>0</v>
      </c>
      <c r="K1589" s="85">
        <f>STATS1003B!K1592/1000</f>
        <v>0</v>
      </c>
      <c r="L1589" s="85">
        <f>STATS1003B!L1592/1000</f>
        <v>0</v>
      </c>
      <c r="M1589" s="85">
        <f>STATS1003B!M1592/1000</f>
        <v>330</v>
      </c>
      <c r="N1589" s="85">
        <f>STATS1003B!N1592/1000</f>
        <v>0</v>
      </c>
      <c r="O1589" s="85">
        <f>STATS1003B!O1592/1000</f>
        <v>0</v>
      </c>
      <c r="P1589" s="85">
        <f>STATS1003B!P1592/1000</f>
        <v>0</v>
      </c>
      <c r="Q1589" s="85">
        <f>STATS1003B!Q1592/1000</f>
        <v>0</v>
      </c>
      <c r="R1589" s="85">
        <f>STATS1003B!R1592/1000</f>
        <v>0</v>
      </c>
      <c r="S1589" s="85">
        <f>STATS1003B!S1592/1000</f>
        <v>0</v>
      </c>
      <c r="T1589" s="85">
        <f>STATS1003B!T1592/1000</f>
        <v>0</v>
      </c>
      <c r="U1589" s="85">
        <f>STATS1003B!U1592/1000</f>
        <v>0</v>
      </c>
      <c r="V1589" s="85">
        <f>STATS1003B!V1592/1000</f>
        <v>0</v>
      </c>
      <c r="W1589" s="85">
        <f>STATS1003B!W1592/1000</f>
        <v>0</v>
      </c>
      <c r="X1589" s="85">
        <f>STATS1003B!X1592/1000</f>
        <v>330</v>
      </c>
      <c r="Y1589" s="85">
        <f>STATS1003B!Y1592/1000</f>
        <v>0</v>
      </c>
      <c r="Z1589" s="85">
        <f>STATS1003B!Z1592/1000</f>
        <v>0</v>
      </c>
      <c r="AA1589" s="69">
        <f>STATS1003B!AA1592/1000</f>
        <v>330</v>
      </c>
      <c r="AB1589" s="69">
        <f>STATS1003B!AB1592/1000</f>
        <v>0</v>
      </c>
    </row>
    <row r="1590" spans="1:28" hidden="1" x14ac:dyDescent="0.3">
      <c r="A1590" s="117"/>
      <c r="C1590" s="68" t="s">
        <v>57</v>
      </c>
      <c r="D1590" s="90" t="s">
        <v>61</v>
      </c>
      <c r="E1590" s="85">
        <f>STATS1003B!E1593/1000</f>
        <v>794</v>
      </c>
      <c r="F1590" s="85">
        <f>STATS1003B!F1593/1000</f>
        <v>794</v>
      </c>
      <c r="G1590" s="85">
        <f>STATS1003B!G1593/1000</f>
        <v>0</v>
      </c>
      <c r="H1590" s="85">
        <f>STATS1003B!H1593/1000</f>
        <v>794</v>
      </c>
      <c r="I1590" s="85">
        <f>STATS1003B!I1593/1000</f>
        <v>0</v>
      </c>
      <c r="J1590" s="85">
        <f>STATS1003B!J1593/1000</f>
        <v>0</v>
      </c>
      <c r="K1590" s="85">
        <f>STATS1003B!K1593/1000</f>
        <v>0</v>
      </c>
      <c r="L1590" s="85">
        <f>STATS1003B!L1593/1000</f>
        <v>0</v>
      </c>
      <c r="M1590" s="85">
        <f>STATS1003B!M1593/1000</f>
        <v>794</v>
      </c>
      <c r="N1590" s="85">
        <f>STATS1003B!N1593/1000</f>
        <v>0</v>
      </c>
      <c r="O1590" s="85">
        <f>STATS1003B!O1593/1000</f>
        <v>0</v>
      </c>
      <c r="P1590" s="85">
        <f>STATS1003B!P1593/1000</f>
        <v>0</v>
      </c>
      <c r="Q1590" s="85">
        <f>STATS1003B!Q1593/1000</f>
        <v>0</v>
      </c>
      <c r="R1590" s="85">
        <f>STATS1003B!R1593/1000</f>
        <v>0</v>
      </c>
      <c r="S1590" s="85">
        <f>STATS1003B!S1593/1000</f>
        <v>0</v>
      </c>
      <c r="T1590" s="85">
        <f>STATS1003B!T1593/1000</f>
        <v>0</v>
      </c>
      <c r="U1590" s="85">
        <f>STATS1003B!U1593/1000</f>
        <v>0</v>
      </c>
      <c r="V1590" s="85">
        <f>STATS1003B!V1593/1000</f>
        <v>794</v>
      </c>
      <c r="W1590" s="85">
        <f>STATS1003B!W1593/1000</f>
        <v>0</v>
      </c>
      <c r="X1590" s="85">
        <f>STATS1003B!X1593/1000</f>
        <v>794</v>
      </c>
      <c r="Y1590" s="85">
        <f>STATS1003B!Y1593/1000</f>
        <v>0</v>
      </c>
      <c r="Z1590" s="85">
        <f>STATS1003B!Z1593/1000</f>
        <v>0</v>
      </c>
      <c r="AA1590" s="69">
        <f>STATS1003B!AA1593/1000</f>
        <v>794</v>
      </c>
      <c r="AB1590" s="69">
        <f>STATS1003B!AB1593/1000</f>
        <v>0</v>
      </c>
    </row>
    <row r="1591" spans="1:28" hidden="1" x14ac:dyDescent="0.3">
      <c r="A1591" s="117"/>
      <c r="E1591" s="86" t="s">
        <v>29</v>
      </c>
      <c r="F1591" s="86" t="s">
        <v>29</v>
      </c>
      <c r="G1591" s="86" t="s">
        <v>29</v>
      </c>
      <c r="H1591" s="86" t="s">
        <v>29</v>
      </c>
      <c r="I1591" s="86" t="s">
        <v>29</v>
      </c>
      <c r="J1591" s="86" t="s">
        <v>29</v>
      </c>
      <c r="K1591" s="86" t="s">
        <v>29</v>
      </c>
      <c r="L1591" s="86" t="s">
        <v>29</v>
      </c>
      <c r="M1591" s="86" t="s">
        <v>29</v>
      </c>
      <c r="N1591" s="86" t="s">
        <v>29</v>
      </c>
      <c r="O1591" s="86" t="s">
        <v>29</v>
      </c>
      <c r="P1591" s="86" t="s">
        <v>29</v>
      </c>
      <c r="Q1591" s="86" t="s">
        <v>29</v>
      </c>
      <c r="R1591" s="86" t="s">
        <v>29</v>
      </c>
      <c r="S1591" s="86" t="s">
        <v>29</v>
      </c>
      <c r="T1591" s="86" t="s">
        <v>29</v>
      </c>
      <c r="U1591" s="86" t="s">
        <v>29</v>
      </c>
      <c r="V1591" s="86" t="s">
        <v>29</v>
      </c>
      <c r="W1591" s="86" t="s">
        <v>29</v>
      </c>
      <c r="X1591" s="86" t="s">
        <v>29</v>
      </c>
      <c r="Y1591" s="86" t="s">
        <v>29</v>
      </c>
      <c r="Z1591" s="86" t="s">
        <v>29</v>
      </c>
      <c r="AA1591" s="115" t="s">
        <v>29</v>
      </c>
      <c r="AB1591" s="115" t="s">
        <v>29</v>
      </c>
    </row>
    <row r="1592" spans="1:28" x14ac:dyDescent="0.3">
      <c r="A1592" s="116">
        <v>67</v>
      </c>
      <c r="B1592" s="68" t="s">
        <v>303</v>
      </c>
      <c r="E1592" s="85">
        <f>161624968.31/1000</f>
        <v>161624.96831</v>
      </c>
      <c r="F1592" s="85">
        <f t="shared" ref="F1592:AB1592" si="183">SUM(F1571:F1590)</f>
        <v>40219.267399999997</v>
      </c>
      <c r="G1592" s="85">
        <f t="shared" si="183"/>
        <v>330</v>
      </c>
      <c r="H1592" s="85">
        <f>158043320.03/1000</f>
        <v>158043.32003</v>
      </c>
      <c r="I1592" s="85">
        <f t="shared" si="183"/>
        <v>0</v>
      </c>
      <c r="J1592" s="85">
        <f t="shared" si="183"/>
        <v>0</v>
      </c>
      <c r="K1592" s="85">
        <f t="shared" si="183"/>
        <v>0</v>
      </c>
      <c r="L1592" s="85">
        <f t="shared" si="183"/>
        <v>0</v>
      </c>
      <c r="M1592" s="85">
        <f t="shared" si="183"/>
        <v>40549.267399999997</v>
      </c>
      <c r="N1592" s="85">
        <f t="shared" si="183"/>
        <v>3433.1882799999998</v>
      </c>
      <c r="O1592" s="85">
        <f t="shared" si="183"/>
        <v>0</v>
      </c>
      <c r="P1592" s="85">
        <f>3433188/1000</f>
        <v>3433.1880000000001</v>
      </c>
      <c r="Q1592" s="85">
        <f t="shared" si="183"/>
        <v>0</v>
      </c>
      <c r="R1592" s="85">
        <f t="shared" si="183"/>
        <v>0</v>
      </c>
      <c r="S1592" s="85">
        <f t="shared" si="183"/>
        <v>0</v>
      </c>
      <c r="T1592" s="85">
        <f t="shared" si="183"/>
        <v>0</v>
      </c>
      <c r="U1592" s="85">
        <f t="shared" si="183"/>
        <v>3433.1882799999998</v>
      </c>
      <c r="V1592" s="85">
        <f t="shared" si="183"/>
        <v>43652.455679999992</v>
      </c>
      <c r="W1592" s="85">
        <f t="shared" si="183"/>
        <v>148.45999999999998</v>
      </c>
      <c r="X1592" s="85">
        <f t="shared" ref="X1592:X1655" si="184">+H1592+P1592</f>
        <v>161476.50803</v>
      </c>
      <c r="Y1592" s="85">
        <f t="shared" si="183"/>
        <v>0</v>
      </c>
      <c r="Z1592" s="85">
        <f t="shared" si="183"/>
        <v>148.45999999999998</v>
      </c>
      <c r="AA1592" s="69">
        <f t="shared" si="183"/>
        <v>43982.455679999992</v>
      </c>
      <c r="AB1592" s="69">
        <f t="shared" si="183"/>
        <v>148.45999999999998</v>
      </c>
    </row>
    <row r="1593" spans="1:28" hidden="1" x14ac:dyDescent="0.3">
      <c r="A1593" s="117"/>
      <c r="E1593" s="86" t="s">
        <v>29</v>
      </c>
      <c r="F1593" s="86" t="s">
        <v>29</v>
      </c>
      <c r="G1593" s="86" t="s">
        <v>29</v>
      </c>
      <c r="H1593" s="86" t="s">
        <v>29</v>
      </c>
      <c r="I1593" s="86" t="s">
        <v>29</v>
      </c>
      <c r="J1593" s="86" t="s">
        <v>29</v>
      </c>
      <c r="K1593" s="86" t="s">
        <v>29</v>
      </c>
      <c r="L1593" s="86" t="s">
        <v>29</v>
      </c>
      <c r="M1593" s="86" t="s">
        <v>29</v>
      </c>
      <c r="N1593" s="86" t="s">
        <v>29</v>
      </c>
      <c r="O1593" s="86" t="s">
        <v>29</v>
      </c>
      <c r="P1593" s="86" t="s">
        <v>29</v>
      </c>
      <c r="Q1593" s="86" t="s">
        <v>29</v>
      </c>
      <c r="R1593" s="86" t="s">
        <v>29</v>
      </c>
      <c r="S1593" s="86" t="s">
        <v>29</v>
      </c>
      <c r="T1593" s="86" t="s">
        <v>29</v>
      </c>
      <c r="U1593" s="86" t="s">
        <v>29</v>
      </c>
      <c r="V1593" s="86" t="s">
        <v>29</v>
      </c>
      <c r="W1593" s="86" t="s">
        <v>29</v>
      </c>
      <c r="X1593" s="85" t="e">
        <f t="shared" si="184"/>
        <v>#VALUE!</v>
      </c>
      <c r="Y1593" s="86" t="s">
        <v>29</v>
      </c>
      <c r="Z1593" s="86" t="s">
        <v>29</v>
      </c>
      <c r="AA1593" s="115" t="s">
        <v>29</v>
      </c>
      <c r="AB1593" s="115" t="s">
        <v>29</v>
      </c>
    </row>
    <row r="1594" spans="1:28" hidden="1" x14ac:dyDescent="0.3">
      <c r="A1594" s="105"/>
      <c r="E1594" s="84"/>
      <c r="F1594" s="84"/>
      <c r="G1594" s="84"/>
      <c r="H1594" s="84"/>
      <c r="I1594" s="84"/>
      <c r="J1594" s="84"/>
      <c r="K1594" s="84"/>
      <c r="L1594" s="84"/>
      <c r="M1594" s="84"/>
      <c r="N1594" s="84"/>
      <c r="O1594" s="84"/>
      <c r="P1594" s="84"/>
      <c r="Q1594" s="84"/>
      <c r="R1594" s="84"/>
      <c r="S1594" s="84"/>
      <c r="T1594" s="84"/>
      <c r="U1594" s="84"/>
      <c r="V1594" s="84"/>
      <c r="W1594" s="84"/>
      <c r="X1594" s="85">
        <f t="shared" si="184"/>
        <v>0</v>
      </c>
      <c r="Y1594" s="84"/>
      <c r="Z1594" s="84"/>
    </row>
    <row r="1595" spans="1:28" hidden="1" x14ac:dyDescent="0.3">
      <c r="A1595" s="117"/>
      <c r="D1595" s="87" t="s">
        <v>79</v>
      </c>
      <c r="E1595" s="84"/>
      <c r="F1595" s="84"/>
      <c r="G1595" s="84"/>
      <c r="H1595" s="84"/>
      <c r="I1595" s="84"/>
      <c r="J1595" s="84"/>
      <c r="K1595" s="84"/>
      <c r="L1595" s="84"/>
      <c r="M1595" s="84"/>
      <c r="N1595" s="84"/>
      <c r="O1595" s="84"/>
      <c r="P1595" s="84"/>
      <c r="Q1595" s="84"/>
      <c r="R1595" s="84"/>
      <c r="S1595" s="84"/>
      <c r="T1595" s="84"/>
      <c r="U1595" s="84"/>
      <c r="V1595" s="84"/>
      <c r="W1595" s="84"/>
      <c r="X1595" s="85">
        <f t="shared" si="184"/>
        <v>0</v>
      </c>
      <c r="Y1595" s="84"/>
      <c r="Z1595" s="84"/>
    </row>
    <row r="1596" spans="1:28" hidden="1" x14ac:dyDescent="0.3">
      <c r="A1596" s="117"/>
      <c r="C1596" s="68" t="s">
        <v>313</v>
      </c>
      <c r="D1596" s="71" t="s">
        <v>314</v>
      </c>
      <c r="E1596" s="85">
        <f>STATS1003B!E1599/1000</f>
        <v>18444.555510000002</v>
      </c>
      <c r="F1596" s="85">
        <f>STATS1003B!F1599/1000</f>
        <v>17305.50589</v>
      </c>
      <c r="G1596" s="85">
        <f>STATS1003B!G1599/1000</f>
        <v>0</v>
      </c>
      <c r="H1596" s="85">
        <f>STATS1003B!H1599/1000</f>
        <v>17305.50589</v>
      </c>
      <c r="I1596" s="85">
        <f>STATS1003B!I1599/1000</f>
        <v>0</v>
      </c>
      <c r="J1596" s="85">
        <f>STATS1003B!J1599/1000</f>
        <v>0</v>
      </c>
      <c r="K1596" s="85">
        <f>STATS1003B!K1599/1000</f>
        <v>0</v>
      </c>
      <c r="L1596" s="85">
        <f>STATS1003B!L1599/1000</f>
        <v>0</v>
      </c>
      <c r="M1596" s="85">
        <f>STATS1003B!M1599/1000</f>
        <v>17305.50589</v>
      </c>
      <c r="N1596" s="85">
        <f>STATS1003B!N1599/1000</f>
        <v>1139.04962</v>
      </c>
      <c r="O1596" s="85">
        <f>STATS1003B!O1599/1000</f>
        <v>0</v>
      </c>
      <c r="P1596" s="85">
        <f>STATS1003B!P1599/1000</f>
        <v>1139.04962</v>
      </c>
      <c r="Q1596" s="85">
        <f>STATS1003B!Q1599/1000</f>
        <v>0</v>
      </c>
      <c r="R1596" s="85">
        <f>STATS1003B!R1599/1000</f>
        <v>0</v>
      </c>
      <c r="S1596" s="85">
        <f>STATS1003B!S1599/1000</f>
        <v>0</v>
      </c>
      <c r="T1596" s="85">
        <f>STATS1003B!T1599/1000</f>
        <v>0</v>
      </c>
      <c r="U1596" s="85">
        <f>STATS1003B!U1599/1000</f>
        <v>1139.04962</v>
      </c>
      <c r="V1596" s="85">
        <f>STATS1003B!V1599/1000</f>
        <v>18444.555510000002</v>
      </c>
      <c r="W1596" s="85">
        <f>STATS1003B!W1599/1000</f>
        <v>0</v>
      </c>
      <c r="X1596" s="85">
        <f t="shared" si="184"/>
        <v>18444.555510000002</v>
      </c>
      <c r="Y1596" s="85">
        <f>STATS1003B!Y1599/1000</f>
        <v>0</v>
      </c>
      <c r="Z1596" s="85">
        <f>STATS1003B!Z1599/1000</f>
        <v>0</v>
      </c>
      <c r="AA1596" s="69">
        <f>STATS1003B!AA1599/1000</f>
        <v>18444.555510000002</v>
      </c>
      <c r="AB1596" s="69">
        <f>STATS1003B!AB1599/1000</f>
        <v>0</v>
      </c>
    </row>
    <row r="1597" spans="1:28" hidden="1" x14ac:dyDescent="0.3">
      <c r="A1597" s="117"/>
      <c r="C1597" s="68" t="s">
        <v>53</v>
      </c>
      <c r="D1597" s="87" t="s">
        <v>54</v>
      </c>
      <c r="E1597" s="85">
        <f>STATS1003B!E1600/1000</f>
        <v>1953.989</v>
      </c>
      <c r="F1597" s="85">
        <f>STATS1003B!F1600/1000</f>
        <v>0</v>
      </c>
      <c r="G1597" s="85">
        <f>STATS1003B!G1600/1000</f>
        <v>0</v>
      </c>
      <c r="H1597" s="85">
        <f>STATS1003B!H1600/1000</f>
        <v>0</v>
      </c>
      <c r="I1597" s="85">
        <f>STATS1003B!I1600/1000</f>
        <v>0</v>
      </c>
      <c r="J1597" s="85">
        <f>STATS1003B!J1600/1000</f>
        <v>0</v>
      </c>
      <c r="K1597" s="85">
        <f>STATS1003B!K1600/1000</f>
        <v>0</v>
      </c>
      <c r="L1597" s="85">
        <f>STATS1003B!L1600/1000</f>
        <v>0</v>
      </c>
      <c r="M1597" s="85">
        <f>STATS1003B!M1600/1000</f>
        <v>0</v>
      </c>
      <c r="N1597" s="85">
        <f>STATS1003B!N1600/1000</f>
        <v>1953.989</v>
      </c>
      <c r="O1597" s="85">
        <f>STATS1003B!O1600/1000</f>
        <v>0</v>
      </c>
      <c r="P1597" s="85">
        <f>STATS1003B!P1600/1000</f>
        <v>1953.989</v>
      </c>
      <c r="Q1597" s="85">
        <f>STATS1003B!Q1600/1000</f>
        <v>0</v>
      </c>
      <c r="R1597" s="85">
        <f>STATS1003B!R1600/1000</f>
        <v>0</v>
      </c>
      <c r="S1597" s="85">
        <f>STATS1003B!S1600/1000</f>
        <v>0</v>
      </c>
      <c r="T1597" s="85">
        <f>STATS1003B!T1600/1000</f>
        <v>0</v>
      </c>
      <c r="U1597" s="85">
        <f>STATS1003B!U1600/1000</f>
        <v>1953.989</v>
      </c>
      <c r="V1597" s="85">
        <f>STATS1003B!V1600/1000</f>
        <v>1953.989</v>
      </c>
      <c r="W1597" s="85">
        <f>STATS1003B!W1600/1000</f>
        <v>0</v>
      </c>
      <c r="X1597" s="85">
        <f t="shared" si="184"/>
        <v>1953.989</v>
      </c>
      <c r="Y1597" s="85">
        <f>STATS1003B!Y1600/1000</f>
        <v>0</v>
      </c>
      <c r="Z1597" s="85">
        <f>STATS1003B!Z1600/1000</f>
        <v>0</v>
      </c>
      <c r="AA1597" s="69">
        <f>STATS1003B!AA1600/1000</f>
        <v>1953.989</v>
      </c>
      <c r="AB1597" s="69">
        <f>STATS1003B!AB1600/1000</f>
        <v>0</v>
      </c>
    </row>
    <row r="1598" spans="1:28" hidden="1" x14ac:dyDescent="0.3">
      <c r="A1598" s="117"/>
      <c r="C1598" s="68" t="s">
        <v>315</v>
      </c>
      <c r="D1598" s="87" t="s">
        <v>54</v>
      </c>
      <c r="E1598" s="85">
        <f>STATS1003B!E1601/1000</f>
        <v>2255.88</v>
      </c>
      <c r="F1598" s="85">
        <f>STATS1003B!F1601/1000</f>
        <v>2255.88</v>
      </c>
      <c r="G1598" s="85">
        <f>STATS1003B!G1601/1000</f>
        <v>0</v>
      </c>
      <c r="H1598" s="85">
        <f>STATS1003B!H1601/1000</f>
        <v>2255.88</v>
      </c>
      <c r="I1598" s="85">
        <f>STATS1003B!I1601/1000</f>
        <v>0</v>
      </c>
      <c r="J1598" s="85">
        <f>STATS1003B!J1601/1000</f>
        <v>0</v>
      </c>
      <c r="K1598" s="85">
        <f>STATS1003B!K1601/1000</f>
        <v>0</v>
      </c>
      <c r="L1598" s="85">
        <f>STATS1003B!L1601/1000</f>
        <v>0</v>
      </c>
      <c r="M1598" s="85">
        <f>STATS1003B!M1601/1000</f>
        <v>2255.88</v>
      </c>
      <c r="N1598" s="85">
        <f>STATS1003B!N1601/1000</f>
        <v>0</v>
      </c>
      <c r="O1598" s="85">
        <f>STATS1003B!O1601/1000</f>
        <v>0</v>
      </c>
      <c r="P1598" s="85">
        <f>STATS1003B!P1601/1000</f>
        <v>0</v>
      </c>
      <c r="Q1598" s="85">
        <f>STATS1003B!Q1601/1000</f>
        <v>0</v>
      </c>
      <c r="R1598" s="85">
        <f>STATS1003B!R1601/1000</f>
        <v>0</v>
      </c>
      <c r="S1598" s="85">
        <f>STATS1003B!S1601/1000</f>
        <v>0</v>
      </c>
      <c r="T1598" s="85">
        <f>STATS1003B!T1601/1000</f>
        <v>0</v>
      </c>
      <c r="U1598" s="85">
        <f>STATS1003B!U1601/1000</f>
        <v>0</v>
      </c>
      <c r="V1598" s="85">
        <f>STATS1003B!V1601/1000</f>
        <v>2255.88</v>
      </c>
      <c r="W1598" s="85">
        <f>STATS1003B!W1601/1000</f>
        <v>0</v>
      </c>
      <c r="X1598" s="85">
        <f t="shared" si="184"/>
        <v>2255.88</v>
      </c>
      <c r="Y1598" s="85">
        <f>STATS1003B!Y1601/1000</f>
        <v>0</v>
      </c>
      <c r="Z1598" s="85">
        <f>STATS1003B!Z1601/1000</f>
        <v>0</v>
      </c>
      <c r="AA1598" s="69">
        <f>STATS1003B!AA1601/1000</f>
        <v>2255.88</v>
      </c>
      <c r="AB1598" s="69">
        <f>STATS1003B!AB1601/1000</f>
        <v>0</v>
      </c>
    </row>
    <row r="1599" spans="1:28" hidden="1" x14ac:dyDescent="0.3">
      <c r="A1599" s="117"/>
      <c r="C1599" s="68" t="s">
        <v>316</v>
      </c>
      <c r="D1599" s="87" t="s">
        <v>234</v>
      </c>
      <c r="E1599" s="85">
        <f>STATS1003B!E1602/1000</f>
        <v>721.4</v>
      </c>
      <c r="F1599" s="85">
        <f>STATS1003B!F1602/1000</f>
        <v>685.41372999999999</v>
      </c>
      <c r="G1599" s="85">
        <f>STATS1003B!G1602/1000</f>
        <v>0</v>
      </c>
      <c r="H1599" s="85">
        <f>STATS1003B!H1602/1000</f>
        <v>685.41372999999999</v>
      </c>
      <c r="I1599" s="85">
        <f>STATS1003B!I1602/1000</f>
        <v>0</v>
      </c>
      <c r="J1599" s="85">
        <f>STATS1003B!J1602/1000</f>
        <v>0</v>
      </c>
      <c r="K1599" s="85">
        <f>STATS1003B!K1602/1000</f>
        <v>0</v>
      </c>
      <c r="L1599" s="85">
        <f>STATS1003B!L1602/1000</f>
        <v>0</v>
      </c>
      <c r="M1599" s="85">
        <f>STATS1003B!M1602/1000</f>
        <v>685.41372999999999</v>
      </c>
      <c r="N1599" s="85">
        <f>STATS1003B!N1602/1000</f>
        <v>0</v>
      </c>
      <c r="O1599" s="85">
        <f>STATS1003B!O1602/1000</f>
        <v>0</v>
      </c>
      <c r="P1599" s="85">
        <f>STATS1003B!P1602/1000</f>
        <v>0</v>
      </c>
      <c r="Q1599" s="85">
        <f>STATS1003B!Q1602/1000</f>
        <v>0</v>
      </c>
      <c r="R1599" s="85">
        <f>STATS1003B!R1602/1000</f>
        <v>0</v>
      </c>
      <c r="S1599" s="85">
        <f>STATS1003B!S1602/1000</f>
        <v>0</v>
      </c>
      <c r="T1599" s="85">
        <f>STATS1003B!T1602/1000</f>
        <v>0</v>
      </c>
      <c r="U1599" s="85">
        <f>STATS1003B!U1602/1000</f>
        <v>0</v>
      </c>
      <c r="V1599" s="85">
        <f>STATS1003B!V1602/1000</f>
        <v>685.41372999999999</v>
      </c>
      <c r="W1599" s="85">
        <f>STATS1003B!W1602/1000</f>
        <v>35.986270000000019</v>
      </c>
      <c r="X1599" s="85">
        <f t="shared" si="184"/>
        <v>685.41372999999999</v>
      </c>
      <c r="Y1599" s="85">
        <f>STATS1003B!Y1602/1000</f>
        <v>0</v>
      </c>
      <c r="Z1599" s="85">
        <f>STATS1003B!Z1602/1000</f>
        <v>35.986270000000019</v>
      </c>
      <c r="AA1599" s="69">
        <f>STATS1003B!AA1602/1000</f>
        <v>685.41372999999999</v>
      </c>
      <c r="AB1599" s="69">
        <f>STATS1003B!AB1602/1000</f>
        <v>35.986270000000019</v>
      </c>
    </row>
    <row r="1600" spans="1:28" hidden="1" x14ac:dyDescent="0.3">
      <c r="A1600" s="117"/>
      <c r="C1600" s="68" t="s">
        <v>300</v>
      </c>
      <c r="D1600" s="87" t="s">
        <v>85</v>
      </c>
      <c r="E1600" s="85">
        <f>STATS1003B!E1603/1000</f>
        <v>160</v>
      </c>
      <c r="F1600" s="85">
        <f>STATS1003B!F1603/1000</f>
        <v>160</v>
      </c>
      <c r="G1600" s="85">
        <f>STATS1003B!G1603/1000</f>
        <v>0</v>
      </c>
      <c r="H1600" s="85">
        <f>STATS1003B!H1603/1000</f>
        <v>160</v>
      </c>
      <c r="I1600" s="85">
        <f>STATS1003B!I1603/1000</f>
        <v>0</v>
      </c>
      <c r="J1600" s="85">
        <f>STATS1003B!J1603/1000</f>
        <v>0</v>
      </c>
      <c r="K1600" s="85">
        <f>STATS1003B!K1603/1000</f>
        <v>0</v>
      </c>
      <c r="L1600" s="85">
        <f>STATS1003B!L1603/1000</f>
        <v>0</v>
      </c>
      <c r="M1600" s="85">
        <f>STATS1003B!M1603/1000</f>
        <v>160</v>
      </c>
      <c r="N1600" s="85">
        <f>STATS1003B!N1603/1000</f>
        <v>0</v>
      </c>
      <c r="O1600" s="85">
        <f>STATS1003B!O1603/1000</f>
        <v>0</v>
      </c>
      <c r="P1600" s="85">
        <f>STATS1003B!P1603/1000</f>
        <v>0</v>
      </c>
      <c r="Q1600" s="85">
        <f>STATS1003B!Q1603/1000</f>
        <v>0</v>
      </c>
      <c r="R1600" s="85">
        <f>STATS1003B!R1603/1000</f>
        <v>0</v>
      </c>
      <c r="S1600" s="85">
        <f>STATS1003B!S1603/1000</f>
        <v>0</v>
      </c>
      <c r="T1600" s="85">
        <f>STATS1003B!T1603/1000</f>
        <v>0</v>
      </c>
      <c r="U1600" s="85">
        <f>STATS1003B!U1603/1000</f>
        <v>0</v>
      </c>
      <c r="V1600" s="85">
        <f>STATS1003B!V1603/1000</f>
        <v>160</v>
      </c>
      <c r="W1600" s="85">
        <f>STATS1003B!W1603/1000</f>
        <v>0</v>
      </c>
      <c r="X1600" s="85">
        <f t="shared" si="184"/>
        <v>160</v>
      </c>
      <c r="Y1600" s="85">
        <f>STATS1003B!Y1603/1000</f>
        <v>0</v>
      </c>
      <c r="Z1600" s="85">
        <f>STATS1003B!Z1603/1000</f>
        <v>0</v>
      </c>
      <c r="AA1600" s="69">
        <f>STATS1003B!AA1603/1000</f>
        <v>160</v>
      </c>
      <c r="AB1600" s="69">
        <f>STATS1003B!AB1603/1000</f>
        <v>0</v>
      </c>
    </row>
    <row r="1601" spans="1:28" hidden="1" x14ac:dyDescent="0.3">
      <c r="A1601" s="117"/>
      <c r="C1601" s="68" t="s">
        <v>317</v>
      </c>
      <c r="D1601" s="87" t="s">
        <v>85</v>
      </c>
      <c r="E1601" s="85">
        <f>STATS1003B!E1604/1000</f>
        <v>4340.9930000000004</v>
      </c>
      <c r="F1601" s="85">
        <f>STATS1003B!F1604/1000</f>
        <v>4340.9930000000004</v>
      </c>
      <c r="G1601" s="85">
        <f>STATS1003B!G1604/1000</f>
        <v>0</v>
      </c>
      <c r="H1601" s="85">
        <f>STATS1003B!H1604/1000</f>
        <v>4340.9930000000004</v>
      </c>
      <c r="I1601" s="85">
        <f>STATS1003B!I1604/1000</f>
        <v>0</v>
      </c>
      <c r="J1601" s="85">
        <f>STATS1003B!J1604/1000</f>
        <v>0</v>
      </c>
      <c r="K1601" s="85">
        <f>STATS1003B!K1604/1000</f>
        <v>0</v>
      </c>
      <c r="L1601" s="85">
        <f>STATS1003B!L1604/1000</f>
        <v>0</v>
      </c>
      <c r="M1601" s="85">
        <f>STATS1003B!M1604/1000</f>
        <v>4340.9930000000004</v>
      </c>
      <c r="N1601" s="85">
        <f>STATS1003B!N1604/1000</f>
        <v>0</v>
      </c>
      <c r="O1601" s="85">
        <f>STATS1003B!O1604/1000</f>
        <v>0</v>
      </c>
      <c r="P1601" s="85">
        <f>STATS1003B!P1604/1000</f>
        <v>0</v>
      </c>
      <c r="Q1601" s="85">
        <f>STATS1003B!Q1604/1000</f>
        <v>0</v>
      </c>
      <c r="R1601" s="85">
        <f>STATS1003B!R1604/1000</f>
        <v>0</v>
      </c>
      <c r="S1601" s="85">
        <f>STATS1003B!S1604/1000</f>
        <v>0</v>
      </c>
      <c r="T1601" s="85">
        <f>STATS1003B!T1604/1000</f>
        <v>0</v>
      </c>
      <c r="U1601" s="85">
        <f>STATS1003B!U1604/1000</f>
        <v>0</v>
      </c>
      <c r="V1601" s="85">
        <f>STATS1003B!V1604/1000</f>
        <v>4340.9930000000004</v>
      </c>
      <c r="W1601" s="85">
        <f>STATS1003B!W1604/1000</f>
        <v>0</v>
      </c>
      <c r="X1601" s="85">
        <f t="shared" si="184"/>
        <v>4340.9930000000004</v>
      </c>
      <c r="Y1601" s="85">
        <f>STATS1003B!Y1604/1000</f>
        <v>0</v>
      </c>
      <c r="Z1601" s="85">
        <f>STATS1003B!Z1604/1000</f>
        <v>0</v>
      </c>
      <c r="AA1601" s="69">
        <f>STATS1003B!AA1604/1000</f>
        <v>4340.9930000000004</v>
      </c>
      <c r="AB1601" s="69">
        <f>STATS1003B!AB1604/1000</f>
        <v>0</v>
      </c>
    </row>
    <row r="1602" spans="1:28" hidden="1" x14ac:dyDescent="0.3">
      <c r="A1602" s="117"/>
      <c r="C1602" s="68" t="s">
        <v>302</v>
      </c>
      <c r="D1602" s="87" t="s">
        <v>85</v>
      </c>
      <c r="E1602" s="85">
        <f>STATS1003B!E1605/1000</f>
        <v>320</v>
      </c>
      <c r="F1602" s="85">
        <f>STATS1003B!F1605/1000</f>
        <v>320</v>
      </c>
      <c r="G1602" s="85">
        <f>STATS1003B!G1605/1000</f>
        <v>0</v>
      </c>
      <c r="H1602" s="85">
        <f>STATS1003B!H1605/1000</f>
        <v>320</v>
      </c>
      <c r="I1602" s="85">
        <f>STATS1003B!I1605/1000</f>
        <v>0</v>
      </c>
      <c r="J1602" s="85">
        <f>STATS1003B!J1605/1000</f>
        <v>0</v>
      </c>
      <c r="K1602" s="85">
        <f>STATS1003B!K1605/1000</f>
        <v>0</v>
      </c>
      <c r="L1602" s="85">
        <f>STATS1003B!L1605/1000</f>
        <v>0</v>
      </c>
      <c r="M1602" s="85">
        <f>STATS1003B!M1605/1000</f>
        <v>320</v>
      </c>
      <c r="N1602" s="85">
        <f>STATS1003B!N1605/1000</f>
        <v>0</v>
      </c>
      <c r="O1602" s="85">
        <f>STATS1003B!O1605/1000</f>
        <v>0</v>
      </c>
      <c r="P1602" s="85">
        <f>STATS1003B!P1605/1000</f>
        <v>0</v>
      </c>
      <c r="Q1602" s="85">
        <f>STATS1003B!Q1605/1000</f>
        <v>0</v>
      </c>
      <c r="R1602" s="85">
        <f>STATS1003B!R1605/1000</f>
        <v>0</v>
      </c>
      <c r="S1602" s="85">
        <f>STATS1003B!S1605/1000</f>
        <v>0</v>
      </c>
      <c r="T1602" s="85">
        <f>STATS1003B!T1605/1000</f>
        <v>0</v>
      </c>
      <c r="U1602" s="85">
        <f>STATS1003B!U1605/1000</f>
        <v>0</v>
      </c>
      <c r="V1602" s="85">
        <f>STATS1003B!V1605/1000</f>
        <v>320</v>
      </c>
      <c r="W1602" s="85">
        <f>STATS1003B!W1605/1000</f>
        <v>0</v>
      </c>
      <c r="X1602" s="85">
        <f t="shared" si="184"/>
        <v>320</v>
      </c>
      <c r="Y1602" s="85">
        <f>STATS1003B!Y1605/1000</f>
        <v>0</v>
      </c>
      <c r="Z1602" s="85">
        <f>STATS1003B!Z1605/1000</f>
        <v>0</v>
      </c>
      <c r="AA1602" s="69">
        <f>STATS1003B!AA1605/1000</f>
        <v>320</v>
      </c>
      <c r="AB1602" s="69">
        <f>STATS1003B!AB1605/1000</f>
        <v>0</v>
      </c>
    </row>
    <row r="1603" spans="1:28" hidden="1" x14ac:dyDescent="0.3">
      <c r="A1603" s="117"/>
      <c r="C1603" s="68" t="s">
        <v>318</v>
      </c>
      <c r="D1603" s="87" t="s">
        <v>85</v>
      </c>
      <c r="E1603" s="85">
        <f>STATS1003B!E1606/1000</f>
        <v>6331.0860000000002</v>
      </c>
      <c r="F1603" s="85">
        <f>STATS1003B!F1606/1000</f>
        <v>6331.0860000000002</v>
      </c>
      <c r="G1603" s="85">
        <f>STATS1003B!G1606/1000</f>
        <v>0</v>
      </c>
      <c r="H1603" s="85">
        <f>STATS1003B!H1606/1000</f>
        <v>6331.0860000000002</v>
      </c>
      <c r="I1603" s="85">
        <f>STATS1003B!I1606/1000</f>
        <v>0</v>
      </c>
      <c r="J1603" s="85">
        <f>STATS1003B!J1606/1000</f>
        <v>0</v>
      </c>
      <c r="K1603" s="85">
        <f>STATS1003B!K1606/1000</f>
        <v>0</v>
      </c>
      <c r="L1603" s="85">
        <f>STATS1003B!L1606/1000</f>
        <v>0</v>
      </c>
      <c r="M1603" s="85">
        <f>STATS1003B!M1606/1000</f>
        <v>6331.0860000000002</v>
      </c>
      <c r="N1603" s="85">
        <f>STATS1003B!N1606/1000</f>
        <v>0</v>
      </c>
      <c r="O1603" s="85">
        <f>STATS1003B!O1606/1000</f>
        <v>0</v>
      </c>
      <c r="P1603" s="85">
        <f>STATS1003B!P1606/1000</f>
        <v>0</v>
      </c>
      <c r="Q1603" s="85">
        <f>STATS1003B!Q1606/1000</f>
        <v>0</v>
      </c>
      <c r="R1603" s="85">
        <f>STATS1003B!R1606/1000</f>
        <v>0</v>
      </c>
      <c r="S1603" s="85">
        <f>STATS1003B!S1606/1000</f>
        <v>0</v>
      </c>
      <c r="T1603" s="85">
        <f>STATS1003B!T1606/1000</f>
        <v>0</v>
      </c>
      <c r="U1603" s="85">
        <f>STATS1003B!U1606/1000</f>
        <v>0</v>
      </c>
      <c r="V1603" s="85">
        <f>STATS1003B!V1606/1000</f>
        <v>6331.0860000000002</v>
      </c>
      <c r="W1603" s="85">
        <f>STATS1003B!W1606/1000</f>
        <v>0</v>
      </c>
      <c r="X1603" s="85">
        <f t="shared" si="184"/>
        <v>6331.0860000000002</v>
      </c>
      <c r="Y1603" s="85">
        <f>STATS1003B!Y1606/1000</f>
        <v>0</v>
      </c>
      <c r="Z1603" s="85">
        <f>STATS1003B!Z1606/1000</f>
        <v>0</v>
      </c>
      <c r="AA1603" s="69">
        <f>STATS1003B!AA1606/1000</f>
        <v>6331.0860000000002</v>
      </c>
      <c r="AB1603" s="69">
        <f>STATS1003B!AB1606/1000</f>
        <v>0</v>
      </c>
    </row>
    <row r="1604" spans="1:28" hidden="1" x14ac:dyDescent="0.3">
      <c r="A1604" s="117"/>
      <c r="C1604" s="68" t="s">
        <v>319</v>
      </c>
      <c r="E1604" s="85">
        <f>STATS1003B!E1607/1000</f>
        <v>0</v>
      </c>
      <c r="F1604" s="85">
        <f>STATS1003B!F1607/1000</f>
        <v>0</v>
      </c>
      <c r="G1604" s="85">
        <f>STATS1003B!G1607/1000</f>
        <v>0</v>
      </c>
      <c r="H1604" s="85">
        <f>STATS1003B!H1607/1000</f>
        <v>0</v>
      </c>
      <c r="I1604" s="85">
        <f>STATS1003B!I1607/1000</f>
        <v>0</v>
      </c>
      <c r="J1604" s="85">
        <f>STATS1003B!J1607/1000</f>
        <v>0</v>
      </c>
      <c r="K1604" s="85">
        <f>STATS1003B!K1607/1000</f>
        <v>0</v>
      </c>
      <c r="L1604" s="85">
        <f>STATS1003B!L1607/1000</f>
        <v>0</v>
      </c>
      <c r="M1604" s="85">
        <f>STATS1003B!M1607/1000</f>
        <v>0</v>
      </c>
      <c r="N1604" s="85">
        <f>STATS1003B!N1607/1000</f>
        <v>0</v>
      </c>
      <c r="O1604" s="85">
        <f>STATS1003B!O1607/1000</f>
        <v>0</v>
      </c>
      <c r="P1604" s="85">
        <f>STATS1003B!P1607/1000</f>
        <v>0</v>
      </c>
      <c r="Q1604" s="85">
        <f>STATS1003B!Q1607/1000</f>
        <v>0</v>
      </c>
      <c r="R1604" s="85">
        <f>STATS1003B!R1607/1000</f>
        <v>0</v>
      </c>
      <c r="S1604" s="85">
        <f>STATS1003B!S1607/1000</f>
        <v>0</v>
      </c>
      <c r="T1604" s="85">
        <f>STATS1003B!T1607/1000</f>
        <v>0</v>
      </c>
      <c r="U1604" s="85">
        <f>STATS1003B!U1607/1000</f>
        <v>0</v>
      </c>
      <c r="V1604" s="85">
        <f>STATS1003B!V1607/1000</f>
        <v>0</v>
      </c>
      <c r="W1604" s="85">
        <f>STATS1003B!W1607/1000</f>
        <v>0</v>
      </c>
      <c r="X1604" s="85">
        <f t="shared" si="184"/>
        <v>0</v>
      </c>
      <c r="Y1604" s="85">
        <f>STATS1003B!Y1607/1000</f>
        <v>0</v>
      </c>
      <c r="Z1604" s="85">
        <f>STATS1003B!Z1607/1000</f>
        <v>0</v>
      </c>
      <c r="AA1604" s="69">
        <f>STATS1003B!AA1607/1000</f>
        <v>0</v>
      </c>
      <c r="AB1604" s="69">
        <f>STATS1003B!AB1607/1000</f>
        <v>0</v>
      </c>
    </row>
    <row r="1605" spans="1:28" hidden="1" x14ac:dyDescent="0.3">
      <c r="A1605" s="117"/>
      <c r="C1605" s="71" t="s">
        <v>109</v>
      </c>
      <c r="D1605" s="88" t="s">
        <v>60</v>
      </c>
      <c r="E1605" s="85">
        <f>STATS1003B!E1608/1000</f>
        <v>6977.3729999999996</v>
      </c>
      <c r="F1605" s="85">
        <f>STATS1003B!F1608/1000</f>
        <v>6977.3729999999996</v>
      </c>
      <c r="G1605" s="85">
        <f>STATS1003B!G1608/1000</f>
        <v>0</v>
      </c>
      <c r="H1605" s="85">
        <f>STATS1003B!H1608/1000</f>
        <v>6977.3729999999996</v>
      </c>
      <c r="I1605" s="85">
        <f>STATS1003B!I1608/1000</f>
        <v>0</v>
      </c>
      <c r="J1605" s="85">
        <f>STATS1003B!J1608/1000</f>
        <v>0</v>
      </c>
      <c r="K1605" s="85">
        <f>STATS1003B!K1608/1000</f>
        <v>0</v>
      </c>
      <c r="L1605" s="85">
        <f>STATS1003B!L1608/1000</f>
        <v>0</v>
      </c>
      <c r="M1605" s="85">
        <f>STATS1003B!M1608/1000</f>
        <v>6977.3729999999996</v>
      </c>
      <c r="N1605" s="85">
        <f>STATS1003B!N1608/1000</f>
        <v>0</v>
      </c>
      <c r="O1605" s="85">
        <f>STATS1003B!O1608/1000</f>
        <v>0</v>
      </c>
      <c r="P1605" s="85">
        <f>STATS1003B!P1608/1000</f>
        <v>0</v>
      </c>
      <c r="Q1605" s="85">
        <f>STATS1003B!Q1608/1000</f>
        <v>0</v>
      </c>
      <c r="R1605" s="85">
        <f>STATS1003B!R1608/1000</f>
        <v>0</v>
      </c>
      <c r="S1605" s="85">
        <f>STATS1003B!S1608/1000</f>
        <v>0</v>
      </c>
      <c r="T1605" s="85">
        <f>STATS1003B!T1608/1000</f>
        <v>0</v>
      </c>
      <c r="U1605" s="85">
        <f>STATS1003B!U1608/1000</f>
        <v>0</v>
      </c>
      <c r="V1605" s="85">
        <f>STATS1003B!V1608/1000</f>
        <v>6977.3729999999996</v>
      </c>
      <c r="W1605" s="85">
        <f>STATS1003B!W1608/1000</f>
        <v>0</v>
      </c>
      <c r="X1605" s="85">
        <f t="shared" si="184"/>
        <v>6977.3729999999996</v>
      </c>
      <c r="Y1605" s="85">
        <f>STATS1003B!Y1608/1000</f>
        <v>0</v>
      </c>
      <c r="Z1605" s="85">
        <f>STATS1003B!Z1608/1000</f>
        <v>0</v>
      </c>
      <c r="AA1605" s="69">
        <f>STATS1003B!AA1608/1000</f>
        <v>6977.3729999999996</v>
      </c>
      <c r="AB1605" s="69">
        <f>STATS1003B!AB1608/1000</f>
        <v>0</v>
      </c>
    </row>
    <row r="1606" spans="1:28" hidden="1" x14ac:dyDescent="0.3">
      <c r="A1606" s="117"/>
      <c r="C1606" s="71" t="s">
        <v>57</v>
      </c>
      <c r="D1606" s="88" t="s">
        <v>60</v>
      </c>
      <c r="E1606" s="85">
        <f>STATS1003B!E1609/1000</f>
        <v>2642.7510000000002</v>
      </c>
      <c r="F1606" s="85">
        <f>STATS1003B!F1609/1000</f>
        <v>2642.7510000000002</v>
      </c>
      <c r="G1606" s="85">
        <f>STATS1003B!G1609/1000</f>
        <v>0</v>
      </c>
      <c r="H1606" s="85">
        <f>STATS1003B!H1609/1000</f>
        <v>2642.7510000000002</v>
      </c>
      <c r="I1606" s="85">
        <f>STATS1003B!I1609/1000</f>
        <v>0</v>
      </c>
      <c r="J1606" s="85">
        <f>STATS1003B!J1609/1000</f>
        <v>0</v>
      </c>
      <c r="K1606" s="85">
        <f>STATS1003B!K1609/1000</f>
        <v>0</v>
      </c>
      <c r="L1606" s="85">
        <f>STATS1003B!L1609/1000</f>
        <v>0</v>
      </c>
      <c r="M1606" s="85">
        <f>STATS1003B!M1609/1000</f>
        <v>2642.7510000000002</v>
      </c>
      <c r="N1606" s="85">
        <f>STATS1003B!N1609/1000</f>
        <v>0</v>
      </c>
      <c r="O1606" s="85">
        <f>STATS1003B!O1609/1000</f>
        <v>0</v>
      </c>
      <c r="P1606" s="85">
        <f>STATS1003B!P1609/1000</f>
        <v>0</v>
      </c>
      <c r="Q1606" s="85">
        <f>STATS1003B!Q1609/1000</f>
        <v>0</v>
      </c>
      <c r="R1606" s="85">
        <f>STATS1003B!R1609/1000</f>
        <v>0</v>
      </c>
      <c r="S1606" s="85">
        <f>STATS1003B!S1609/1000</f>
        <v>0</v>
      </c>
      <c r="T1606" s="85">
        <f>STATS1003B!T1609/1000</f>
        <v>0</v>
      </c>
      <c r="U1606" s="85">
        <f>STATS1003B!U1609/1000</f>
        <v>0</v>
      </c>
      <c r="V1606" s="85">
        <f>STATS1003B!V1609/1000</f>
        <v>2642.7510000000002</v>
      </c>
      <c r="W1606" s="85">
        <f>STATS1003B!W1609/1000</f>
        <v>0</v>
      </c>
      <c r="X1606" s="85">
        <f t="shared" si="184"/>
        <v>2642.7510000000002</v>
      </c>
      <c r="Y1606" s="85">
        <f>STATS1003B!Y1609/1000</f>
        <v>0</v>
      </c>
      <c r="Z1606" s="85">
        <f>STATS1003B!Z1609/1000</f>
        <v>0</v>
      </c>
      <c r="AA1606" s="69">
        <f>STATS1003B!AA1609/1000</f>
        <v>2642.7510000000002</v>
      </c>
      <c r="AB1606" s="69">
        <f>STATS1003B!AB1609/1000</f>
        <v>0</v>
      </c>
    </row>
    <row r="1607" spans="1:28" hidden="1" x14ac:dyDescent="0.3">
      <c r="A1607" s="117"/>
      <c r="C1607" s="71" t="s">
        <v>320</v>
      </c>
      <c r="D1607" s="88" t="s">
        <v>60</v>
      </c>
      <c r="E1607" s="85">
        <f>STATS1003B!E1610/1000</f>
        <v>379.84699999999998</v>
      </c>
      <c r="F1607" s="85">
        <f>STATS1003B!F1610/1000</f>
        <v>379.84699999999998</v>
      </c>
      <c r="G1607" s="85">
        <f>STATS1003B!G1610/1000</f>
        <v>0</v>
      </c>
      <c r="H1607" s="85">
        <f>STATS1003B!H1610/1000</f>
        <v>379.84699999999998</v>
      </c>
      <c r="I1607" s="85">
        <f>STATS1003B!I1610/1000</f>
        <v>379.84699999999998</v>
      </c>
      <c r="J1607" s="85">
        <f>STATS1003B!J1610/1000</f>
        <v>379.84699999999998</v>
      </c>
      <c r="K1607" s="85">
        <f>STATS1003B!K1610/1000</f>
        <v>0</v>
      </c>
      <c r="L1607" s="85">
        <f>STATS1003B!L1610/1000</f>
        <v>0</v>
      </c>
      <c r="M1607" s="85">
        <f>STATS1003B!M1610/1000</f>
        <v>379.84699999999998</v>
      </c>
      <c r="N1607" s="85">
        <f>STATS1003B!N1610/1000</f>
        <v>0</v>
      </c>
      <c r="O1607" s="85">
        <f>STATS1003B!O1610/1000</f>
        <v>0</v>
      </c>
      <c r="P1607" s="85">
        <f>STATS1003B!P1610/1000</f>
        <v>0</v>
      </c>
      <c r="Q1607" s="85">
        <f>STATS1003B!Q1610/1000</f>
        <v>0</v>
      </c>
      <c r="R1607" s="85">
        <f>STATS1003B!R1610/1000</f>
        <v>0</v>
      </c>
      <c r="S1607" s="85">
        <f>STATS1003B!S1610/1000</f>
        <v>0</v>
      </c>
      <c r="T1607" s="85">
        <f>STATS1003B!T1610/1000</f>
        <v>0</v>
      </c>
      <c r="U1607" s="85">
        <f>STATS1003B!U1610/1000</f>
        <v>0</v>
      </c>
      <c r="V1607" s="85">
        <f>STATS1003B!V1610/1000</f>
        <v>379.84699999999998</v>
      </c>
      <c r="W1607" s="85">
        <f>STATS1003B!W1610/1000</f>
        <v>0</v>
      </c>
      <c r="X1607" s="85">
        <f t="shared" si="184"/>
        <v>379.84699999999998</v>
      </c>
      <c r="Y1607" s="85">
        <f>STATS1003B!Y1610/1000</f>
        <v>0</v>
      </c>
      <c r="Z1607" s="85">
        <f>STATS1003B!Z1610/1000</f>
        <v>0</v>
      </c>
      <c r="AA1607" s="69">
        <f>STATS1003B!AA1610/1000</f>
        <v>379.84699999999998</v>
      </c>
      <c r="AB1607" s="69">
        <f>STATS1003B!AB1610/1000</f>
        <v>0</v>
      </c>
    </row>
    <row r="1608" spans="1:28" hidden="1" x14ac:dyDescent="0.3">
      <c r="A1608" s="117"/>
      <c r="C1608" s="71" t="s">
        <v>57</v>
      </c>
      <c r="D1608" s="88" t="s">
        <v>73</v>
      </c>
      <c r="E1608" s="85">
        <f>STATS1003B!E1611/1000</f>
        <v>3857</v>
      </c>
      <c r="F1608" s="85">
        <f>STATS1003B!F1611/1000</f>
        <v>3857</v>
      </c>
      <c r="G1608" s="85">
        <f>STATS1003B!G1611/1000</f>
        <v>0</v>
      </c>
      <c r="H1608" s="85">
        <f>STATS1003B!H1611/1000</f>
        <v>3857</v>
      </c>
      <c r="I1608" s="85">
        <f>STATS1003B!I1611/1000</f>
        <v>0</v>
      </c>
      <c r="J1608" s="85">
        <f>STATS1003B!J1611/1000</f>
        <v>0</v>
      </c>
      <c r="K1608" s="85">
        <f>STATS1003B!K1611/1000</f>
        <v>0</v>
      </c>
      <c r="L1608" s="85">
        <f>STATS1003B!L1611/1000</f>
        <v>0</v>
      </c>
      <c r="M1608" s="85">
        <f>STATS1003B!M1611/1000</f>
        <v>3857</v>
      </c>
      <c r="N1608" s="85">
        <f>STATS1003B!N1611/1000</f>
        <v>0</v>
      </c>
      <c r="O1608" s="85">
        <f>STATS1003B!O1611/1000</f>
        <v>0</v>
      </c>
      <c r="P1608" s="85">
        <f>STATS1003B!P1611/1000</f>
        <v>0</v>
      </c>
      <c r="Q1608" s="85">
        <f>STATS1003B!Q1611/1000</f>
        <v>0</v>
      </c>
      <c r="R1608" s="85">
        <f>STATS1003B!R1611/1000</f>
        <v>0</v>
      </c>
      <c r="S1608" s="85">
        <f>STATS1003B!S1611/1000</f>
        <v>0</v>
      </c>
      <c r="T1608" s="85">
        <f>STATS1003B!T1611/1000</f>
        <v>0</v>
      </c>
      <c r="U1608" s="85">
        <f>STATS1003B!U1611/1000</f>
        <v>0</v>
      </c>
      <c r="V1608" s="85">
        <f>STATS1003B!V1611/1000</f>
        <v>3857</v>
      </c>
      <c r="W1608" s="85">
        <f>STATS1003B!W1611/1000</f>
        <v>0</v>
      </c>
      <c r="X1608" s="85">
        <f t="shared" si="184"/>
        <v>3857</v>
      </c>
      <c r="Y1608" s="85">
        <f>STATS1003B!Y1611/1000</f>
        <v>0</v>
      </c>
      <c r="Z1608" s="85">
        <f>STATS1003B!Z1611/1000</f>
        <v>0</v>
      </c>
      <c r="AA1608" s="69">
        <f>STATS1003B!AA1611/1000</f>
        <v>3857</v>
      </c>
      <c r="AB1608" s="69">
        <f>STATS1003B!AB1611/1000</f>
        <v>0</v>
      </c>
    </row>
    <row r="1609" spans="1:28" hidden="1" x14ac:dyDescent="0.3">
      <c r="A1609" s="117"/>
      <c r="C1609" s="71" t="s">
        <v>95</v>
      </c>
      <c r="D1609" s="88" t="s">
        <v>73</v>
      </c>
      <c r="E1609" s="85">
        <f>STATS1003B!E1612/1000</f>
        <v>272.40364</v>
      </c>
      <c r="F1609" s="85">
        <f>STATS1003B!F1612/1000</f>
        <v>272.40364</v>
      </c>
      <c r="G1609" s="85">
        <f>STATS1003B!G1612/1000</f>
        <v>0</v>
      </c>
      <c r="H1609" s="85">
        <f>STATS1003B!H1612/1000</f>
        <v>272.40364</v>
      </c>
      <c r="I1609" s="85">
        <f>STATS1003B!I1612/1000</f>
        <v>0</v>
      </c>
      <c r="J1609" s="85">
        <f>STATS1003B!J1612/1000</f>
        <v>0</v>
      </c>
      <c r="K1609" s="85">
        <f>STATS1003B!K1612/1000</f>
        <v>0</v>
      </c>
      <c r="L1609" s="85">
        <f>STATS1003B!L1612/1000</f>
        <v>0</v>
      </c>
      <c r="M1609" s="85">
        <f>STATS1003B!M1612/1000</f>
        <v>272.40364</v>
      </c>
      <c r="N1609" s="85">
        <f>STATS1003B!N1612/1000</f>
        <v>0</v>
      </c>
      <c r="O1609" s="85">
        <f>STATS1003B!O1612/1000</f>
        <v>0</v>
      </c>
      <c r="P1609" s="85">
        <f>STATS1003B!P1612/1000</f>
        <v>0</v>
      </c>
      <c r="Q1609" s="85">
        <f>STATS1003B!Q1612/1000</f>
        <v>0</v>
      </c>
      <c r="R1609" s="85">
        <f>STATS1003B!R1612/1000</f>
        <v>0</v>
      </c>
      <c r="S1609" s="85">
        <f>STATS1003B!S1612/1000</f>
        <v>0</v>
      </c>
      <c r="T1609" s="85">
        <f>STATS1003B!T1612/1000</f>
        <v>0</v>
      </c>
      <c r="U1609" s="85">
        <f>STATS1003B!U1612/1000</f>
        <v>0</v>
      </c>
      <c r="V1609" s="85">
        <f>STATS1003B!V1612/1000</f>
        <v>272.40364</v>
      </c>
      <c r="W1609" s="85">
        <f>STATS1003B!W1612/1000</f>
        <v>0</v>
      </c>
      <c r="X1609" s="85">
        <f t="shared" si="184"/>
        <v>272.40364</v>
      </c>
      <c r="Y1609" s="85">
        <f>STATS1003B!Y1612/1000</f>
        <v>0</v>
      </c>
      <c r="Z1609" s="85">
        <f>STATS1003B!Z1612/1000</f>
        <v>0</v>
      </c>
      <c r="AA1609" s="69">
        <f>STATS1003B!AA1612/1000</f>
        <v>272.40364</v>
      </c>
      <c r="AB1609" s="69">
        <f>STATS1003B!AB1612/1000</f>
        <v>0</v>
      </c>
    </row>
    <row r="1610" spans="1:28" hidden="1" x14ac:dyDescent="0.3">
      <c r="A1610" s="117"/>
      <c r="C1610" s="71" t="s">
        <v>57</v>
      </c>
      <c r="D1610" s="89" t="s">
        <v>61</v>
      </c>
      <c r="E1610" s="85">
        <f>STATS1003B!E1613/1000</f>
        <v>2377.40931</v>
      </c>
      <c r="F1610" s="85">
        <f>STATS1003B!F1613/1000</f>
        <v>2377.40931</v>
      </c>
      <c r="G1610" s="85">
        <f>STATS1003B!G1613/1000</f>
        <v>0</v>
      </c>
      <c r="H1610" s="85">
        <f>STATS1003B!H1613/1000</f>
        <v>2377.40931</v>
      </c>
      <c r="I1610" s="85">
        <f>STATS1003B!I1613/1000</f>
        <v>0</v>
      </c>
      <c r="J1610" s="85">
        <f>STATS1003B!J1613/1000</f>
        <v>0</v>
      </c>
      <c r="K1610" s="85">
        <f>STATS1003B!K1613/1000</f>
        <v>0</v>
      </c>
      <c r="L1610" s="85">
        <f>STATS1003B!L1613/1000</f>
        <v>0</v>
      </c>
      <c r="M1610" s="85">
        <f>STATS1003B!M1613/1000</f>
        <v>2377.40931</v>
      </c>
      <c r="N1610" s="85">
        <f>STATS1003B!N1613/1000</f>
        <v>0</v>
      </c>
      <c r="O1610" s="85">
        <f>STATS1003B!O1613/1000</f>
        <v>0</v>
      </c>
      <c r="P1610" s="85">
        <f>STATS1003B!P1613/1000</f>
        <v>0</v>
      </c>
      <c r="Q1610" s="85">
        <f>STATS1003B!Q1613/1000</f>
        <v>0</v>
      </c>
      <c r="R1610" s="85">
        <f>STATS1003B!R1613/1000</f>
        <v>0</v>
      </c>
      <c r="S1610" s="85">
        <f>STATS1003B!S1613/1000</f>
        <v>0</v>
      </c>
      <c r="T1610" s="85">
        <f>STATS1003B!T1613/1000</f>
        <v>0</v>
      </c>
      <c r="U1610" s="85">
        <f>STATS1003B!U1613/1000</f>
        <v>0</v>
      </c>
      <c r="V1610" s="85">
        <f>STATS1003B!V1613/1000</f>
        <v>2377.40931</v>
      </c>
      <c r="W1610" s="85">
        <f>STATS1003B!W1613/1000</f>
        <v>0</v>
      </c>
      <c r="X1610" s="85">
        <f t="shared" si="184"/>
        <v>2377.40931</v>
      </c>
      <c r="Y1610" s="85">
        <f>STATS1003B!Y1613/1000</f>
        <v>0</v>
      </c>
      <c r="Z1610" s="85">
        <f>STATS1003B!Z1613/1000</f>
        <v>0</v>
      </c>
      <c r="AA1610" s="69">
        <f>STATS1003B!AA1613/1000</f>
        <v>2377.40931</v>
      </c>
      <c r="AB1610" s="69">
        <f>STATS1003B!AB1613/1000</f>
        <v>0</v>
      </c>
    </row>
    <row r="1611" spans="1:28" hidden="1" x14ac:dyDescent="0.3">
      <c r="A1611" s="117"/>
      <c r="C1611" s="71" t="s">
        <v>1248</v>
      </c>
      <c r="D1611" s="89" t="s">
        <v>1225</v>
      </c>
      <c r="E1611" s="85">
        <f>STATS1003B!E1614/1000</f>
        <v>710.13427999999999</v>
      </c>
      <c r="F1611" s="85">
        <f>STATS1003B!F1614/1000</f>
        <v>710.13427999999999</v>
      </c>
      <c r="G1611" s="85">
        <f>STATS1003B!G1614/1000</f>
        <v>0</v>
      </c>
      <c r="H1611" s="85">
        <f>STATS1003B!H1614/1000</f>
        <v>710.13427999999999</v>
      </c>
      <c r="I1611" s="85">
        <f>STATS1003B!I1614/1000</f>
        <v>0</v>
      </c>
      <c r="J1611" s="85">
        <f>STATS1003B!J1614/1000</f>
        <v>0</v>
      </c>
      <c r="K1611" s="85">
        <f>STATS1003B!K1614/1000</f>
        <v>0</v>
      </c>
      <c r="L1611" s="85">
        <f>STATS1003B!L1614/1000</f>
        <v>0</v>
      </c>
      <c r="M1611" s="85">
        <f>STATS1003B!M1614/1000</f>
        <v>710.13427999999999</v>
      </c>
      <c r="N1611" s="85">
        <f>STATS1003B!N1614/1000</f>
        <v>0</v>
      </c>
      <c r="O1611" s="85">
        <f>STATS1003B!O1614/1000</f>
        <v>0</v>
      </c>
      <c r="P1611" s="85">
        <f>STATS1003B!P1614/1000</f>
        <v>0</v>
      </c>
      <c r="Q1611" s="85">
        <f>STATS1003B!Q1614/1000</f>
        <v>0</v>
      </c>
      <c r="R1611" s="85">
        <f>STATS1003B!R1614/1000</f>
        <v>0</v>
      </c>
      <c r="S1611" s="85">
        <f>STATS1003B!S1614/1000</f>
        <v>0</v>
      </c>
      <c r="T1611" s="85">
        <f>STATS1003B!T1614/1000</f>
        <v>0</v>
      </c>
      <c r="U1611" s="85">
        <f>STATS1003B!U1614/1000</f>
        <v>0</v>
      </c>
      <c r="V1611" s="85">
        <f>STATS1003B!V1614/1000</f>
        <v>710.13427999999999</v>
      </c>
      <c r="W1611" s="85">
        <f>STATS1003B!W1614/1000</f>
        <v>0</v>
      </c>
      <c r="X1611" s="85">
        <f t="shared" si="184"/>
        <v>710.13427999999999</v>
      </c>
      <c r="Y1611" s="85">
        <f>STATS1003B!Y1614/1000</f>
        <v>0</v>
      </c>
      <c r="Z1611" s="85">
        <f>STATS1003B!Z1614/1000</f>
        <v>0</v>
      </c>
      <c r="AA1611" s="69">
        <f>STATS1003B!AA1614/1000</f>
        <v>710.13427999999999</v>
      </c>
      <c r="AB1611" s="69">
        <f>STATS1003B!AB1614/1000</f>
        <v>0</v>
      </c>
    </row>
    <row r="1612" spans="1:28" hidden="1" x14ac:dyDescent="0.3">
      <c r="A1612" s="117"/>
      <c r="C1612" s="71" t="s">
        <v>1138</v>
      </c>
      <c r="D1612" s="89" t="s">
        <v>1126</v>
      </c>
      <c r="E1612" s="85">
        <f>STATS1003B!E1615/1000</f>
        <v>3350.6888900000004</v>
      </c>
      <c r="F1612" s="85">
        <f>STATS1003B!F1615/1000</f>
        <v>3350.6888900000004</v>
      </c>
      <c r="G1612" s="85">
        <f>STATS1003B!G1615/1000</f>
        <v>0</v>
      </c>
      <c r="H1612" s="85">
        <f>STATS1003B!H1615/1000</f>
        <v>3350.6888900000004</v>
      </c>
      <c r="I1612" s="85">
        <f>STATS1003B!I1615/1000</f>
        <v>0</v>
      </c>
      <c r="J1612" s="85">
        <f>STATS1003B!J1615/1000</f>
        <v>0</v>
      </c>
      <c r="K1612" s="85">
        <f>STATS1003B!K1615/1000</f>
        <v>0</v>
      </c>
      <c r="L1612" s="85">
        <f>STATS1003B!L1615/1000</f>
        <v>0</v>
      </c>
      <c r="M1612" s="85">
        <f>STATS1003B!M1615/1000</f>
        <v>3350.6888900000004</v>
      </c>
      <c r="N1612" s="85">
        <f>STATS1003B!N1615/1000</f>
        <v>0</v>
      </c>
      <c r="O1612" s="85">
        <f>STATS1003B!O1615/1000</f>
        <v>0</v>
      </c>
      <c r="P1612" s="85">
        <f>STATS1003B!P1615/1000</f>
        <v>0</v>
      </c>
      <c r="Q1612" s="85">
        <f>STATS1003B!Q1615/1000</f>
        <v>0</v>
      </c>
      <c r="R1612" s="85">
        <f>STATS1003B!R1615/1000</f>
        <v>0</v>
      </c>
      <c r="S1612" s="85">
        <f>STATS1003B!S1615/1000</f>
        <v>0</v>
      </c>
      <c r="T1612" s="85">
        <f>STATS1003B!T1615/1000</f>
        <v>0</v>
      </c>
      <c r="U1612" s="85">
        <f>STATS1003B!U1615/1000</f>
        <v>0</v>
      </c>
      <c r="V1612" s="85">
        <f>STATS1003B!V1615/1000</f>
        <v>3350.6888900000004</v>
      </c>
      <c r="W1612" s="85">
        <f>STATS1003B!W1615/1000</f>
        <v>0</v>
      </c>
      <c r="X1612" s="85">
        <f t="shared" si="184"/>
        <v>3350.6888900000004</v>
      </c>
      <c r="Y1612" s="85">
        <f>STATS1003B!Y1615/1000</f>
        <v>0</v>
      </c>
      <c r="Z1612" s="85">
        <f>STATS1003B!Z1615/1000</f>
        <v>0</v>
      </c>
      <c r="AA1612" s="69">
        <f>STATS1003B!AA1615/1000</f>
        <v>3350.6888900000004</v>
      </c>
      <c r="AB1612" s="69">
        <f>STATS1003B!AB1615/1000</f>
        <v>0</v>
      </c>
    </row>
    <row r="1613" spans="1:28" hidden="1" x14ac:dyDescent="0.3">
      <c r="A1613" s="117"/>
      <c r="C1613" s="71" t="s">
        <v>930</v>
      </c>
      <c r="D1613" s="89" t="s">
        <v>1072</v>
      </c>
      <c r="E1613" s="85">
        <f>STATS1003B!E1616/1000</f>
        <v>1897</v>
      </c>
      <c r="F1613" s="85">
        <f>STATS1003B!F1616/1000</f>
        <v>1897</v>
      </c>
      <c r="G1613" s="85">
        <f>STATS1003B!G1616/1000</f>
        <v>0</v>
      </c>
      <c r="H1613" s="85">
        <f>STATS1003B!H1616/1000</f>
        <v>1897</v>
      </c>
      <c r="I1613" s="85">
        <f>STATS1003B!I1616/1000</f>
        <v>0</v>
      </c>
      <c r="J1613" s="85">
        <f>STATS1003B!J1616/1000</f>
        <v>0</v>
      </c>
      <c r="K1613" s="85">
        <f>STATS1003B!K1616/1000</f>
        <v>0</v>
      </c>
      <c r="L1613" s="85">
        <f>STATS1003B!L1616/1000</f>
        <v>0</v>
      </c>
      <c r="M1613" s="85">
        <f>STATS1003B!M1616/1000</f>
        <v>1897</v>
      </c>
      <c r="N1613" s="85">
        <f>STATS1003B!N1616/1000</f>
        <v>0</v>
      </c>
      <c r="O1613" s="85">
        <f>STATS1003B!O1616/1000</f>
        <v>0</v>
      </c>
      <c r="P1613" s="85">
        <f>STATS1003B!P1616/1000</f>
        <v>0</v>
      </c>
      <c r="Q1613" s="85">
        <f>STATS1003B!Q1616/1000</f>
        <v>0</v>
      </c>
      <c r="R1613" s="85">
        <f>STATS1003B!R1616/1000</f>
        <v>0</v>
      </c>
      <c r="S1613" s="85">
        <f>STATS1003B!S1616/1000</f>
        <v>0</v>
      </c>
      <c r="T1613" s="85">
        <f>STATS1003B!T1616/1000</f>
        <v>0</v>
      </c>
      <c r="U1613" s="85">
        <f>STATS1003B!U1616/1000</f>
        <v>0</v>
      </c>
      <c r="V1613" s="85">
        <f>STATS1003B!V1616/1000</f>
        <v>1897</v>
      </c>
      <c r="W1613" s="85">
        <f>STATS1003B!W1616/1000</f>
        <v>0</v>
      </c>
      <c r="X1613" s="85">
        <f t="shared" si="184"/>
        <v>1897</v>
      </c>
      <c r="Y1613" s="85">
        <f>STATS1003B!Y1616/1000</f>
        <v>0</v>
      </c>
      <c r="Z1613" s="85">
        <f>STATS1003B!Z1616/1000</f>
        <v>0</v>
      </c>
      <c r="AA1613" s="69">
        <f>STATS1003B!AA1616/1000</f>
        <v>1897</v>
      </c>
      <c r="AB1613" s="69">
        <f>STATS1003B!AB1616/1000</f>
        <v>0</v>
      </c>
    </row>
    <row r="1614" spans="1:28" hidden="1" x14ac:dyDescent="0.3">
      <c r="A1614" s="117"/>
      <c r="C1614" s="71" t="s">
        <v>1241</v>
      </c>
      <c r="D1614" s="89" t="s">
        <v>1225</v>
      </c>
      <c r="E1614" s="85">
        <f>STATS1003B!E1617/1000</f>
        <v>400</v>
      </c>
      <c r="F1614" s="85">
        <f>STATS1003B!F1617/1000</f>
        <v>400</v>
      </c>
      <c r="G1614" s="85">
        <f>STATS1003B!G1617/1000</f>
        <v>0</v>
      </c>
      <c r="H1614" s="85">
        <f>STATS1003B!H1617/1000</f>
        <v>400</v>
      </c>
      <c r="I1614" s="85">
        <f>STATS1003B!I1617/1000</f>
        <v>0</v>
      </c>
      <c r="J1614" s="85">
        <f>STATS1003B!J1617/1000</f>
        <v>0</v>
      </c>
      <c r="K1614" s="85">
        <f>STATS1003B!K1617/1000</f>
        <v>0</v>
      </c>
      <c r="L1614" s="85">
        <f>STATS1003B!L1617/1000</f>
        <v>0</v>
      </c>
      <c r="M1614" s="85">
        <f>STATS1003B!M1617/1000</f>
        <v>400</v>
      </c>
      <c r="N1614" s="85">
        <f>STATS1003B!N1617/1000</f>
        <v>0</v>
      </c>
      <c r="O1614" s="85">
        <f>STATS1003B!O1617/1000</f>
        <v>0</v>
      </c>
      <c r="P1614" s="85">
        <f>STATS1003B!P1617/1000</f>
        <v>0</v>
      </c>
      <c r="Q1614" s="85">
        <f>STATS1003B!Q1617/1000</f>
        <v>0</v>
      </c>
      <c r="R1614" s="85">
        <f>STATS1003B!R1617/1000</f>
        <v>0</v>
      </c>
      <c r="S1614" s="85">
        <f>STATS1003B!S1617/1000</f>
        <v>0</v>
      </c>
      <c r="T1614" s="85">
        <f>STATS1003B!T1617/1000</f>
        <v>0</v>
      </c>
      <c r="U1614" s="85">
        <f>STATS1003B!U1617/1000</f>
        <v>0</v>
      </c>
      <c r="V1614" s="85">
        <f>STATS1003B!V1617/1000</f>
        <v>400</v>
      </c>
      <c r="W1614" s="85">
        <f>STATS1003B!W1617/1000</f>
        <v>0</v>
      </c>
      <c r="X1614" s="85">
        <f t="shared" si="184"/>
        <v>400</v>
      </c>
      <c r="Y1614" s="85">
        <f>STATS1003B!Y1617/1000</f>
        <v>0</v>
      </c>
      <c r="Z1614" s="85">
        <f>STATS1003B!Z1617/1000</f>
        <v>0</v>
      </c>
      <c r="AA1614" s="69">
        <f>STATS1003B!AA1617/1000</f>
        <v>400</v>
      </c>
      <c r="AB1614" s="69">
        <f>STATS1003B!AB1617/1000</f>
        <v>0</v>
      </c>
    </row>
    <row r="1615" spans="1:28" hidden="1" x14ac:dyDescent="0.3">
      <c r="A1615" s="117"/>
      <c r="C1615" s="100" t="s">
        <v>1256</v>
      </c>
      <c r="D1615" s="89" t="s">
        <v>1225</v>
      </c>
      <c r="E1615" s="85">
        <f>STATS1003B!E1618/1000</f>
        <v>500</v>
      </c>
      <c r="F1615" s="85">
        <f>STATS1003B!F1618/1000</f>
        <v>0</v>
      </c>
      <c r="G1615" s="85">
        <f>STATS1003B!G1618/1000</f>
        <v>500</v>
      </c>
      <c r="H1615" s="85">
        <f>STATS1003B!H1618/1000</f>
        <v>500</v>
      </c>
      <c r="I1615" s="85">
        <f>STATS1003B!I1618/1000</f>
        <v>0</v>
      </c>
      <c r="J1615" s="85">
        <f>STATS1003B!J1618/1000</f>
        <v>0</v>
      </c>
      <c r="K1615" s="85">
        <f>STATS1003B!K1618/1000</f>
        <v>0</v>
      </c>
      <c r="L1615" s="85">
        <f>STATS1003B!L1618/1000</f>
        <v>0</v>
      </c>
      <c r="M1615" s="85">
        <f>STATS1003B!M1618/1000</f>
        <v>500</v>
      </c>
      <c r="N1615" s="85">
        <f>STATS1003B!N1618/1000</f>
        <v>0</v>
      </c>
      <c r="O1615" s="85">
        <f>STATS1003B!O1618/1000</f>
        <v>0</v>
      </c>
      <c r="P1615" s="85">
        <f>STATS1003B!P1618/1000</f>
        <v>0</v>
      </c>
      <c r="Q1615" s="85">
        <f>STATS1003B!Q1618/1000</f>
        <v>0</v>
      </c>
      <c r="R1615" s="85">
        <f>STATS1003B!R1618/1000</f>
        <v>0</v>
      </c>
      <c r="S1615" s="85">
        <f>STATS1003B!S1618/1000</f>
        <v>0</v>
      </c>
      <c r="T1615" s="85">
        <f>STATS1003B!T1618/1000</f>
        <v>0</v>
      </c>
      <c r="U1615" s="85">
        <f>STATS1003B!U1618/1000</f>
        <v>0</v>
      </c>
      <c r="V1615" s="85">
        <f>STATS1003B!V1618/1000</f>
        <v>0</v>
      </c>
      <c r="W1615" s="85">
        <f>STATS1003B!W1618/1000</f>
        <v>0</v>
      </c>
      <c r="X1615" s="85">
        <f t="shared" si="184"/>
        <v>500</v>
      </c>
      <c r="Y1615" s="85">
        <f>STATS1003B!Y1618/1000</f>
        <v>0</v>
      </c>
      <c r="Z1615" s="85">
        <f>STATS1003B!Z1618/1000</f>
        <v>0</v>
      </c>
      <c r="AA1615" s="69">
        <f>STATS1003B!AA1618/1000</f>
        <v>500</v>
      </c>
      <c r="AB1615" s="69">
        <f>STATS1003B!AB1618/1000</f>
        <v>0</v>
      </c>
    </row>
    <row r="1616" spans="1:28" hidden="1" x14ac:dyDescent="0.3">
      <c r="A1616" s="117"/>
      <c r="C1616" s="68" t="s">
        <v>321</v>
      </c>
      <c r="E1616" s="85">
        <f>STATS1003B!E1619/1000</f>
        <v>2308.5700000000002</v>
      </c>
      <c r="F1616" s="85">
        <f>STATS1003B!F1619/1000</f>
        <v>2308.5700000000002</v>
      </c>
      <c r="G1616" s="85">
        <f>STATS1003B!G1619/1000</f>
        <v>0</v>
      </c>
      <c r="H1616" s="85">
        <f>STATS1003B!H1619/1000</f>
        <v>2308.5700000000002</v>
      </c>
      <c r="I1616" s="85">
        <f>STATS1003B!I1619/1000</f>
        <v>0</v>
      </c>
      <c r="J1616" s="85">
        <f>STATS1003B!J1619/1000</f>
        <v>0</v>
      </c>
      <c r="K1616" s="85">
        <f>STATS1003B!K1619/1000</f>
        <v>0</v>
      </c>
      <c r="L1616" s="85">
        <f>STATS1003B!L1619/1000</f>
        <v>0</v>
      </c>
      <c r="M1616" s="85">
        <f>STATS1003B!M1619/1000</f>
        <v>2308.5700000000002</v>
      </c>
      <c r="N1616" s="85">
        <f>STATS1003B!N1619/1000</f>
        <v>0</v>
      </c>
      <c r="O1616" s="85">
        <f>STATS1003B!O1619/1000</f>
        <v>0</v>
      </c>
      <c r="P1616" s="85">
        <f>STATS1003B!P1619/1000</f>
        <v>0</v>
      </c>
      <c r="Q1616" s="85">
        <f>STATS1003B!Q1619/1000</f>
        <v>0</v>
      </c>
      <c r="R1616" s="85">
        <f>STATS1003B!R1619/1000</f>
        <v>0</v>
      </c>
      <c r="S1616" s="85">
        <f>STATS1003B!S1619/1000</f>
        <v>0</v>
      </c>
      <c r="T1616" s="85">
        <f>STATS1003B!T1619/1000</f>
        <v>0</v>
      </c>
      <c r="U1616" s="85">
        <f>STATS1003B!U1619/1000</f>
        <v>0</v>
      </c>
      <c r="V1616" s="85">
        <f>STATS1003B!V1619/1000</f>
        <v>2308.5700000000002</v>
      </c>
      <c r="W1616" s="85">
        <f>STATS1003B!W1619/1000</f>
        <v>0</v>
      </c>
      <c r="X1616" s="85">
        <f t="shared" si="184"/>
        <v>2308.5700000000002</v>
      </c>
      <c r="Y1616" s="85">
        <f>STATS1003B!Y1619/1000</f>
        <v>0</v>
      </c>
      <c r="Z1616" s="85">
        <f>STATS1003B!Z1619/1000</f>
        <v>0</v>
      </c>
      <c r="AA1616" s="69">
        <f>STATS1003B!AA1619/1000</f>
        <v>2308.5700000000002</v>
      </c>
      <c r="AB1616" s="69">
        <f>STATS1003B!AB1619/1000</f>
        <v>0</v>
      </c>
    </row>
    <row r="1617" spans="1:28" hidden="1" x14ac:dyDescent="0.3">
      <c r="A1617" s="117"/>
      <c r="E1617" s="86" t="s">
        <v>29</v>
      </c>
      <c r="F1617" s="86" t="s">
        <v>29</v>
      </c>
      <c r="G1617" s="86" t="s">
        <v>29</v>
      </c>
      <c r="H1617" s="86" t="s">
        <v>29</v>
      </c>
      <c r="I1617" s="86" t="s">
        <v>29</v>
      </c>
      <c r="J1617" s="86" t="s">
        <v>29</v>
      </c>
      <c r="K1617" s="86" t="s">
        <v>29</v>
      </c>
      <c r="L1617" s="86" t="s">
        <v>29</v>
      </c>
      <c r="M1617" s="86" t="s">
        <v>29</v>
      </c>
      <c r="N1617" s="86" t="s">
        <v>29</v>
      </c>
      <c r="O1617" s="86" t="s">
        <v>29</v>
      </c>
      <c r="P1617" s="86" t="s">
        <v>29</v>
      </c>
      <c r="Q1617" s="86" t="s">
        <v>29</v>
      </c>
      <c r="R1617" s="86" t="s">
        <v>29</v>
      </c>
      <c r="S1617" s="86" t="s">
        <v>29</v>
      </c>
      <c r="T1617" s="86" t="s">
        <v>29</v>
      </c>
      <c r="U1617" s="86" t="s">
        <v>29</v>
      </c>
      <c r="V1617" s="86" t="s">
        <v>29</v>
      </c>
      <c r="W1617" s="86" t="s">
        <v>29</v>
      </c>
      <c r="X1617" s="85" t="e">
        <f t="shared" si="184"/>
        <v>#VALUE!</v>
      </c>
      <c r="Y1617" s="86" t="s">
        <v>29</v>
      </c>
      <c r="Z1617" s="86" t="s">
        <v>29</v>
      </c>
      <c r="AA1617" s="115" t="s">
        <v>29</v>
      </c>
      <c r="AB1617" s="115" t="s">
        <v>29</v>
      </c>
    </row>
    <row r="1618" spans="1:28" x14ac:dyDescent="0.3">
      <c r="A1618" s="116">
        <v>68</v>
      </c>
      <c r="B1618" s="68" t="s">
        <v>312</v>
      </c>
      <c r="E1618" s="85">
        <f>215625724.85/1000</f>
        <v>215625.72485</v>
      </c>
      <c r="F1618" s="85">
        <f t="shared" ref="F1618:AB1618" si="185">SUM(F1596:F1616)</f>
        <v>56572.055739999996</v>
      </c>
      <c r="G1618" s="85">
        <f t="shared" si="185"/>
        <v>500</v>
      </c>
      <c r="H1618" s="85">
        <f>212496699.96/1000</f>
        <v>212496.69996</v>
      </c>
      <c r="I1618" s="85">
        <f t="shared" si="185"/>
        <v>379.84699999999998</v>
      </c>
      <c r="J1618" s="85">
        <f t="shared" si="185"/>
        <v>379.84699999999998</v>
      </c>
      <c r="K1618" s="85">
        <f t="shared" si="185"/>
        <v>0</v>
      </c>
      <c r="L1618" s="85">
        <f t="shared" si="185"/>
        <v>0</v>
      </c>
      <c r="M1618" s="85">
        <f t="shared" si="185"/>
        <v>57072.055739999996</v>
      </c>
      <c r="N1618" s="85">
        <f t="shared" si="185"/>
        <v>3093.0386200000003</v>
      </c>
      <c r="O1618" s="85">
        <f t="shared" si="185"/>
        <v>0</v>
      </c>
      <c r="P1618" s="85">
        <f>3093038/1000</f>
        <v>3093.038</v>
      </c>
      <c r="Q1618" s="85">
        <f t="shared" si="185"/>
        <v>0</v>
      </c>
      <c r="R1618" s="85">
        <f t="shared" si="185"/>
        <v>0</v>
      </c>
      <c r="S1618" s="85">
        <f t="shared" si="185"/>
        <v>0</v>
      </c>
      <c r="T1618" s="85">
        <f t="shared" si="185"/>
        <v>0</v>
      </c>
      <c r="U1618" s="85">
        <f t="shared" si="185"/>
        <v>3093.0386200000003</v>
      </c>
      <c r="V1618" s="85">
        <f t="shared" si="185"/>
        <v>59665.094360000003</v>
      </c>
      <c r="W1618" s="85">
        <f t="shared" si="185"/>
        <v>35.986270000000019</v>
      </c>
      <c r="X1618" s="85">
        <f>+H1618+P1618</f>
        <v>215589.73796</v>
      </c>
      <c r="Y1618" s="85">
        <f t="shared" si="185"/>
        <v>0</v>
      </c>
      <c r="Z1618" s="85">
        <f>+E1618-X1618</f>
        <v>35.98689000000013</v>
      </c>
      <c r="AA1618" s="69">
        <f t="shared" si="185"/>
        <v>60165.094360000003</v>
      </c>
      <c r="AB1618" s="69">
        <f t="shared" si="185"/>
        <v>35.986270000000019</v>
      </c>
    </row>
    <row r="1619" spans="1:28" hidden="1" x14ac:dyDescent="0.3">
      <c r="A1619" s="117"/>
      <c r="E1619" s="86" t="s">
        <v>29</v>
      </c>
      <c r="F1619" s="86" t="s">
        <v>29</v>
      </c>
      <c r="G1619" s="86" t="s">
        <v>29</v>
      </c>
      <c r="H1619" s="86" t="s">
        <v>29</v>
      </c>
      <c r="I1619" s="86" t="s">
        <v>29</v>
      </c>
      <c r="J1619" s="86" t="s">
        <v>29</v>
      </c>
      <c r="K1619" s="86" t="s">
        <v>29</v>
      </c>
      <c r="L1619" s="86" t="s">
        <v>29</v>
      </c>
      <c r="M1619" s="86" t="s">
        <v>29</v>
      </c>
      <c r="N1619" s="86" t="s">
        <v>29</v>
      </c>
      <c r="O1619" s="86" t="s">
        <v>29</v>
      </c>
      <c r="P1619" s="86" t="s">
        <v>29</v>
      </c>
      <c r="Q1619" s="86" t="s">
        <v>29</v>
      </c>
      <c r="R1619" s="86" t="s">
        <v>29</v>
      </c>
      <c r="S1619" s="86" t="s">
        <v>29</v>
      </c>
      <c r="T1619" s="86" t="s">
        <v>29</v>
      </c>
      <c r="U1619" s="86" t="s">
        <v>29</v>
      </c>
      <c r="V1619" s="86" t="s">
        <v>29</v>
      </c>
      <c r="W1619" s="86" t="s">
        <v>29</v>
      </c>
      <c r="X1619" s="85" t="e">
        <f t="shared" si="184"/>
        <v>#VALUE!</v>
      </c>
      <c r="Y1619" s="86" t="s">
        <v>29</v>
      </c>
      <c r="Z1619" s="86" t="s">
        <v>29</v>
      </c>
      <c r="AA1619" s="115" t="s">
        <v>29</v>
      </c>
      <c r="AB1619" s="115" t="s">
        <v>29</v>
      </c>
    </row>
    <row r="1620" spans="1:28" hidden="1" x14ac:dyDescent="0.3">
      <c r="A1620" s="105"/>
      <c r="E1620" s="84"/>
      <c r="F1620" s="84"/>
      <c r="G1620" s="84"/>
      <c r="H1620" s="84"/>
      <c r="I1620" s="84"/>
      <c r="J1620" s="84"/>
      <c r="K1620" s="84"/>
      <c r="L1620" s="84"/>
      <c r="M1620" s="84"/>
      <c r="N1620" s="84"/>
      <c r="O1620" s="84"/>
      <c r="P1620" s="84"/>
      <c r="Q1620" s="84"/>
      <c r="R1620" s="84"/>
      <c r="S1620" s="84"/>
      <c r="T1620" s="84"/>
      <c r="U1620" s="84"/>
      <c r="V1620" s="84"/>
      <c r="W1620" s="84"/>
      <c r="X1620" s="85">
        <f t="shared" si="184"/>
        <v>0</v>
      </c>
      <c r="Y1620" s="84"/>
      <c r="Z1620" s="84"/>
    </row>
    <row r="1621" spans="1:28" hidden="1" x14ac:dyDescent="0.3">
      <c r="A1621" s="117"/>
      <c r="C1621" s="68" t="s">
        <v>323</v>
      </c>
      <c r="D1621" s="87" t="s">
        <v>68</v>
      </c>
      <c r="E1621" s="85">
        <f>STATS1003B!E1624/1000</f>
        <v>700</v>
      </c>
      <c r="F1621" s="85">
        <f>STATS1003B!F1624/1000</f>
        <v>700</v>
      </c>
      <c r="G1621" s="85">
        <f>STATS1003B!G1624/1000</f>
        <v>0</v>
      </c>
      <c r="H1621" s="85">
        <f>STATS1003B!H1624/1000</f>
        <v>700</v>
      </c>
      <c r="I1621" s="85">
        <f>STATS1003B!I1624/1000</f>
        <v>0</v>
      </c>
      <c r="J1621" s="85">
        <f>STATS1003B!J1624/1000</f>
        <v>0</v>
      </c>
      <c r="K1621" s="85">
        <f>STATS1003B!K1624/1000</f>
        <v>0</v>
      </c>
      <c r="L1621" s="85">
        <f>STATS1003B!L1624/1000</f>
        <v>0</v>
      </c>
      <c r="M1621" s="85">
        <f>STATS1003B!M1624/1000</f>
        <v>700</v>
      </c>
      <c r="N1621" s="85">
        <f>STATS1003B!N1624/1000</f>
        <v>0</v>
      </c>
      <c r="O1621" s="85">
        <f>STATS1003B!O1624/1000</f>
        <v>0</v>
      </c>
      <c r="P1621" s="85">
        <f>STATS1003B!P1624/1000</f>
        <v>0</v>
      </c>
      <c r="Q1621" s="85">
        <f>STATS1003B!Q1624/1000</f>
        <v>0</v>
      </c>
      <c r="R1621" s="85">
        <f>STATS1003B!R1624/1000</f>
        <v>0</v>
      </c>
      <c r="S1621" s="85">
        <f>STATS1003B!S1624/1000</f>
        <v>0</v>
      </c>
      <c r="T1621" s="85">
        <f>STATS1003B!T1624/1000</f>
        <v>0</v>
      </c>
      <c r="U1621" s="85">
        <f>STATS1003B!U1624/1000</f>
        <v>0</v>
      </c>
      <c r="V1621" s="85">
        <f>STATS1003B!V1624/1000</f>
        <v>700</v>
      </c>
      <c r="W1621" s="85">
        <f>STATS1003B!W1624/1000</f>
        <v>0</v>
      </c>
      <c r="X1621" s="85">
        <f t="shared" si="184"/>
        <v>700</v>
      </c>
      <c r="Y1621" s="85">
        <f>STATS1003B!Y1624/1000</f>
        <v>0</v>
      </c>
      <c r="Z1621" s="85">
        <f>STATS1003B!Z1624/1000</f>
        <v>0</v>
      </c>
      <c r="AA1621" s="69">
        <f>STATS1003B!AA1624/1000</f>
        <v>700</v>
      </c>
      <c r="AB1621" s="69">
        <f>STATS1003B!AB1624/1000</f>
        <v>0</v>
      </c>
    </row>
    <row r="1622" spans="1:28" hidden="1" x14ac:dyDescent="0.3">
      <c r="A1622" s="117"/>
      <c r="C1622" s="68" t="s">
        <v>324</v>
      </c>
      <c r="D1622" s="87" t="s">
        <v>68</v>
      </c>
      <c r="E1622" s="85">
        <f>STATS1003B!E1625/1000</f>
        <v>40</v>
      </c>
      <c r="F1622" s="85">
        <f>STATS1003B!F1625/1000</f>
        <v>40</v>
      </c>
      <c r="G1622" s="85">
        <f>STATS1003B!G1625/1000</f>
        <v>0</v>
      </c>
      <c r="H1622" s="85">
        <f>STATS1003B!H1625/1000</f>
        <v>40</v>
      </c>
      <c r="I1622" s="85">
        <f>STATS1003B!I1625/1000</f>
        <v>0</v>
      </c>
      <c r="J1622" s="85">
        <f>STATS1003B!J1625/1000</f>
        <v>0</v>
      </c>
      <c r="K1622" s="85">
        <f>STATS1003B!K1625/1000</f>
        <v>0</v>
      </c>
      <c r="L1622" s="85">
        <f>STATS1003B!L1625/1000</f>
        <v>0</v>
      </c>
      <c r="M1622" s="85">
        <f>STATS1003B!M1625/1000</f>
        <v>40</v>
      </c>
      <c r="N1622" s="85">
        <f>STATS1003B!N1625/1000</f>
        <v>0</v>
      </c>
      <c r="O1622" s="85">
        <f>STATS1003B!O1625/1000</f>
        <v>0</v>
      </c>
      <c r="P1622" s="85">
        <f>STATS1003B!P1625/1000</f>
        <v>0</v>
      </c>
      <c r="Q1622" s="85">
        <f>STATS1003B!Q1625/1000</f>
        <v>0</v>
      </c>
      <c r="R1622" s="85">
        <f>STATS1003B!R1625/1000</f>
        <v>0</v>
      </c>
      <c r="S1622" s="85">
        <f>STATS1003B!S1625/1000</f>
        <v>0</v>
      </c>
      <c r="T1622" s="85">
        <f>STATS1003B!T1625/1000</f>
        <v>0</v>
      </c>
      <c r="U1622" s="85">
        <f>STATS1003B!U1625/1000</f>
        <v>0</v>
      </c>
      <c r="V1622" s="85">
        <f>STATS1003B!V1625/1000</f>
        <v>40</v>
      </c>
      <c r="W1622" s="85">
        <f>STATS1003B!W1625/1000</f>
        <v>0</v>
      </c>
      <c r="X1622" s="85">
        <f t="shared" si="184"/>
        <v>40</v>
      </c>
      <c r="Y1622" s="85">
        <f>STATS1003B!Y1625/1000</f>
        <v>0</v>
      </c>
      <c r="Z1622" s="85">
        <f>STATS1003B!Z1625/1000</f>
        <v>0</v>
      </c>
      <c r="AA1622" s="69">
        <f>STATS1003B!AA1625/1000</f>
        <v>40</v>
      </c>
      <c r="AB1622" s="69">
        <f>STATS1003B!AB1625/1000</f>
        <v>0</v>
      </c>
    </row>
    <row r="1623" spans="1:28" hidden="1" x14ac:dyDescent="0.3">
      <c r="A1623" s="117"/>
      <c r="C1623" s="68" t="s">
        <v>174</v>
      </c>
      <c r="D1623" s="87" t="s">
        <v>325</v>
      </c>
      <c r="E1623" s="85">
        <f>STATS1003B!E1626/1000</f>
        <v>4274.7310199999993</v>
      </c>
      <c r="F1623" s="85">
        <f>STATS1003B!F1626/1000</f>
        <v>4026.4380000000001</v>
      </c>
      <c r="G1623" s="85">
        <f>STATS1003B!G1626/1000</f>
        <v>0</v>
      </c>
      <c r="H1623" s="85">
        <f>STATS1003B!H1626/1000</f>
        <v>4026.4380000000001</v>
      </c>
      <c r="I1623" s="85">
        <f>STATS1003B!I1626/1000</f>
        <v>0</v>
      </c>
      <c r="J1623" s="85">
        <f>STATS1003B!J1626/1000</f>
        <v>0</v>
      </c>
      <c r="K1623" s="85">
        <f>STATS1003B!K1626/1000</f>
        <v>0</v>
      </c>
      <c r="L1623" s="85">
        <f>STATS1003B!L1626/1000</f>
        <v>0</v>
      </c>
      <c r="M1623" s="85">
        <f>STATS1003B!M1626/1000</f>
        <v>4026.4380000000001</v>
      </c>
      <c r="N1623" s="85">
        <f>STATS1003B!N1626/1000</f>
        <v>248.29301999999998</v>
      </c>
      <c r="O1623" s="85">
        <f>STATS1003B!O1626/1000</f>
        <v>0</v>
      </c>
      <c r="P1623" s="85">
        <f>STATS1003B!P1626/1000</f>
        <v>248.29301999999998</v>
      </c>
      <c r="Q1623" s="85">
        <f>STATS1003B!Q1626/1000</f>
        <v>0</v>
      </c>
      <c r="R1623" s="85">
        <f>STATS1003B!R1626/1000</f>
        <v>0</v>
      </c>
      <c r="S1623" s="85">
        <f>STATS1003B!S1626/1000</f>
        <v>0</v>
      </c>
      <c r="T1623" s="85">
        <f>STATS1003B!T1626/1000</f>
        <v>0</v>
      </c>
      <c r="U1623" s="85">
        <f>STATS1003B!U1626/1000</f>
        <v>248.29301999999998</v>
      </c>
      <c r="V1623" s="85">
        <f>STATS1003B!V1626/1000</f>
        <v>4274.7310199999993</v>
      </c>
      <c r="W1623" s="85">
        <f>STATS1003B!W1626/1000</f>
        <v>0</v>
      </c>
      <c r="X1623" s="85">
        <f t="shared" si="184"/>
        <v>4274.7310200000002</v>
      </c>
      <c r="Y1623" s="85">
        <f>STATS1003B!Y1626/1000</f>
        <v>0</v>
      </c>
      <c r="Z1623" s="85">
        <f>STATS1003B!Z1626/1000</f>
        <v>0</v>
      </c>
      <c r="AA1623" s="69">
        <f>STATS1003B!AA1626/1000</f>
        <v>4274.7310199999993</v>
      </c>
      <c r="AB1623" s="69">
        <f>STATS1003B!AB1626/1000</f>
        <v>0</v>
      </c>
    </row>
    <row r="1624" spans="1:28" hidden="1" x14ac:dyDescent="0.3">
      <c r="A1624" s="117"/>
      <c r="C1624" s="68" t="s">
        <v>326</v>
      </c>
      <c r="D1624" s="87" t="s">
        <v>68</v>
      </c>
      <c r="E1624" s="85">
        <f>STATS1003B!E1627/1000</f>
        <v>7744.63</v>
      </c>
      <c r="F1624" s="85">
        <f>STATS1003B!F1627/1000</f>
        <v>7473.5679500000006</v>
      </c>
      <c r="G1624" s="85">
        <f>STATS1003B!G1627/1000</f>
        <v>0</v>
      </c>
      <c r="H1624" s="85">
        <f>STATS1003B!H1627/1000</f>
        <v>7473.5679500000006</v>
      </c>
      <c r="I1624" s="85">
        <f>STATS1003B!I1627/1000</f>
        <v>0</v>
      </c>
      <c r="J1624" s="85">
        <f>STATS1003B!J1627/1000</f>
        <v>0</v>
      </c>
      <c r="K1624" s="85">
        <f>STATS1003B!K1627/1000</f>
        <v>0</v>
      </c>
      <c r="L1624" s="85">
        <f>STATS1003B!L1627/1000</f>
        <v>0</v>
      </c>
      <c r="M1624" s="85">
        <f>STATS1003B!M1627/1000</f>
        <v>7473.5679500000006</v>
      </c>
      <c r="N1624" s="85">
        <f>STATS1003B!N1627/1000</f>
        <v>0</v>
      </c>
      <c r="O1624" s="85">
        <f>STATS1003B!O1627/1000</f>
        <v>0</v>
      </c>
      <c r="P1624" s="85">
        <f>STATS1003B!P1627/1000</f>
        <v>0</v>
      </c>
      <c r="Q1624" s="85">
        <f>STATS1003B!Q1627/1000</f>
        <v>0</v>
      </c>
      <c r="R1624" s="85">
        <f>STATS1003B!R1627/1000</f>
        <v>0</v>
      </c>
      <c r="S1624" s="85">
        <f>STATS1003B!S1627/1000</f>
        <v>0</v>
      </c>
      <c r="T1624" s="85">
        <f>STATS1003B!T1627/1000</f>
        <v>0</v>
      </c>
      <c r="U1624" s="85">
        <f>STATS1003B!U1627/1000</f>
        <v>0</v>
      </c>
      <c r="V1624" s="85">
        <f>STATS1003B!V1627/1000</f>
        <v>7473.5679500000006</v>
      </c>
      <c r="W1624" s="85">
        <f>STATS1003B!W1627/1000</f>
        <v>271.06204999999983</v>
      </c>
      <c r="X1624" s="85">
        <f t="shared" si="184"/>
        <v>7473.5679500000006</v>
      </c>
      <c r="Y1624" s="85">
        <f>STATS1003B!Y1627/1000</f>
        <v>0</v>
      </c>
      <c r="Z1624" s="85">
        <f>STATS1003B!Z1627/1000</f>
        <v>271.06204999999983</v>
      </c>
      <c r="AA1624" s="69">
        <f>STATS1003B!AA1627/1000</f>
        <v>7473.5679500000006</v>
      </c>
      <c r="AB1624" s="69">
        <f>STATS1003B!AB1627/1000</f>
        <v>271.06204999999983</v>
      </c>
    </row>
    <row r="1625" spans="1:28" hidden="1" x14ac:dyDescent="0.3">
      <c r="A1625" s="117"/>
      <c r="C1625" s="68" t="s">
        <v>53</v>
      </c>
      <c r="D1625" s="87" t="s">
        <v>54</v>
      </c>
      <c r="E1625" s="85">
        <f>STATS1003B!E1628/1000</f>
        <v>1953.989</v>
      </c>
      <c r="F1625" s="85">
        <f>STATS1003B!F1628/1000</f>
        <v>0</v>
      </c>
      <c r="G1625" s="85">
        <f>STATS1003B!G1628/1000</f>
        <v>0</v>
      </c>
      <c r="H1625" s="85">
        <f>STATS1003B!H1628/1000</f>
        <v>0</v>
      </c>
      <c r="I1625" s="85">
        <f>STATS1003B!I1628/1000</f>
        <v>0</v>
      </c>
      <c r="J1625" s="85">
        <f>STATS1003B!J1628/1000</f>
        <v>0</v>
      </c>
      <c r="K1625" s="85">
        <f>STATS1003B!K1628/1000</f>
        <v>0</v>
      </c>
      <c r="L1625" s="85">
        <f>STATS1003B!L1628/1000</f>
        <v>0</v>
      </c>
      <c r="M1625" s="85">
        <f>STATS1003B!M1628/1000</f>
        <v>0</v>
      </c>
      <c r="N1625" s="85">
        <f>STATS1003B!N1628/1000</f>
        <v>1953.989</v>
      </c>
      <c r="O1625" s="85">
        <f>STATS1003B!O1628/1000</f>
        <v>0</v>
      </c>
      <c r="P1625" s="85">
        <f>STATS1003B!P1628/1000</f>
        <v>1953.989</v>
      </c>
      <c r="Q1625" s="85">
        <f>STATS1003B!Q1628/1000</f>
        <v>0</v>
      </c>
      <c r="R1625" s="85">
        <f>STATS1003B!R1628/1000</f>
        <v>0</v>
      </c>
      <c r="S1625" s="85">
        <f>STATS1003B!S1628/1000</f>
        <v>0</v>
      </c>
      <c r="T1625" s="85">
        <f>STATS1003B!T1628/1000</f>
        <v>0</v>
      </c>
      <c r="U1625" s="85">
        <f>STATS1003B!U1628/1000</f>
        <v>1953.989</v>
      </c>
      <c r="V1625" s="85">
        <f>STATS1003B!V1628/1000</f>
        <v>1953.989</v>
      </c>
      <c r="W1625" s="85">
        <f>STATS1003B!W1628/1000</f>
        <v>0</v>
      </c>
      <c r="X1625" s="85">
        <f t="shared" si="184"/>
        <v>1953.989</v>
      </c>
      <c r="Y1625" s="85">
        <f>STATS1003B!Y1628/1000</f>
        <v>0</v>
      </c>
      <c r="Z1625" s="85">
        <f>STATS1003B!Z1628/1000</f>
        <v>0</v>
      </c>
      <c r="AA1625" s="69">
        <f>STATS1003B!AA1628/1000</f>
        <v>1953.989</v>
      </c>
      <c r="AB1625" s="69">
        <f>STATS1003B!AB1628/1000</f>
        <v>0</v>
      </c>
    </row>
    <row r="1626" spans="1:28" hidden="1" x14ac:dyDescent="0.3">
      <c r="A1626" s="117"/>
      <c r="C1626" s="68" t="s">
        <v>326</v>
      </c>
      <c r="D1626" s="87" t="s">
        <v>234</v>
      </c>
      <c r="E1626" s="85">
        <f>STATS1003B!E1629/1000</f>
        <v>419.6</v>
      </c>
      <c r="F1626" s="85">
        <f>STATS1003B!F1629/1000</f>
        <v>229.6</v>
      </c>
      <c r="G1626" s="85">
        <f>STATS1003B!G1629/1000</f>
        <v>0</v>
      </c>
      <c r="H1626" s="85">
        <f>STATS1003B!H1629/1000</f>
        <v>229.6</v>
      </c>
      <c r="I1626" s="85">
        <f>STATS1003B!I1629/1000</f>
        <v>0</v>
      </c>
      <c r="J1626" s="85">
        <f>STATS1003B!J1629/1000</f>
        <v>0</v>
      </c>
      <c r="K1626" s="85">
        <f>STATS1003B!K1629/1000</f>
        <v>0</v>
      </c>
      <c r="L1626" s="85">
        <f>STATS1003B!L1629/1000</f>
        <v>0</v>
      </c>
      <c r="M1626" s="85">
        <f>STATS1003B!M1629/1000</f>
        <v>229.6</v>
      </c>
      <c r="N1626" s="85">
        <f>STATS1003B!N1629/1000</f>
        <v>0</v>
      </c>
      <c r="O1626" s="85">
        <f>STATS1003B!O1629/1000</f>
        <v>0</v>
      </c>
      <c r="P1626" s="85">
        <f>STATS1003B!P1629/1000</f>
        <v>0</v>
      </c>
      <c r="Q1626" s="85">
        <f>STATS1003B!Q1629/1000</f>
        <v>0</v>
      </c>
      <c r="R1626" s="85">
        <f>STATS1003B!R1629/1000</f>
        <v>0</v>
      </c>
      <c r="S1626" s="85">
        <f>STATS1003B!S1629/1000</f>
        <v>0</v>
      </c>
      <c r="T1626" s="85">
        <f>STATS1003B!T1629/1000</f>
        <v>0</v>
      </c>
      <c r="U1626" s="85">
        <f>STATS1003B!U1629/1000</f>
        <v>0</v>
      </c>
      <c r="V1626" s="85">
        <f>STATS1003B!V1629/1000</f>
        <v>229.6</v>
      </c>
      <c r="W1626" s="85">
        <f>STATS1003B!W1629/1000</f>
        <v>190</v>
      </c>
      <c r="X1626" s="85">
        <f t="shared" si="184"/>
        <v>229.6</v>
      </c>
      <c r="Y1626" s="85">
        <f>STATS1003B!Y1629/1000</f>
        <v>0</v>
      </c>
      <c r="Z1626" s="85">
        <f>STATS1003B!Z1629/1000</f>
        <v>190</v>
      </c>
      <c r="AA1626" s="69">
        <f>STATS1003B!AA1629/1000</f>
        <v>229.6</v>
      </c>
      <c r="AB1626" s="69">
        <f>STATS1003B!AB1629/1000</f>
        <v>190</v>
      </c>
    </row>
    <row r="1627" spans="1:28" hidden="1" x14ac:dyDescent="0.3">
      <c r="A1627" s="117"/>
      <c r="C1627" s="68" t="s">
        <v>300</v>
      </c>
      <c r="D1627" s="87" t="s">
        <v>85</v>
      </c>
      <c r="E1627" s="85">
        <f>STATS1003B!E1630/1000</f>
        <v>80</v>
      </c>
      <c r="F1627" s="85">
        <f>STATS1003B!F1630/1000</f>
        <v>0</v>
      </c>
      <c r="G1627" s="85">
        <f>STATS1003B!G1630/1000</f>
        <v>0</v>
      </c>
      <c r="H1627" s="85">
        <f>STATS1003B!H1630/1000</f>
        <v>0</v>
      </c>
      <c r="I1627" s="85">
        <f>STATS1003B!I1630/1000</f>
        <v>0</v>
      </c>
      <c r="J1627" s="85">
        <f>STATS1003B!J1630/1000</f>
        <v>0</v>
      </c>
      <c r="K1627" s="85">
        <f>STATS1003B!K1630/1000</f>
        <v>0</v>
      </c>
      <c r="L1627" s="85">
        <f>STATS1003B!L1630/1000</f>
        <v>0</v>
      </c>
      <c r="M1627" s="85">
        <f>STATS1003B!M1630/1000</f>
        <v>0</v>
      </c>
      <c r="N1627" s="85">
        <f>STATS1003B!N1630/1000</f>
        <v>0</v>
      </c>
      <c r="O1627" s="85">
        <f>STATS1003B!O1630/1000</f>
        <v>0</v>
      </c>
      <c r="P1627" s="85">
        <f>STATS1003B!P1630/1000</f>
        <v>0</v>
      </c>
      <c r="Q1627" s="85">
        <f>STATS1003B!Q1630/1000</f>
        <v>0</v>
      </c>
      <c r="R1627" s="85">
        <f>STATS1003B!R1630/1000</f>
        <v>0</v>
      </c>
      <c r="S1627" s="85">
        <f>STATS1003B!S1630/1000</f>
        <v>0</v>
      </c>
      <c r="T1627" s="85">
        <f>STATS1003B!T1630/1000</f>
        <v>0</v>
      </c>
      <c r="U1627" s="85">
        <f>STATS1003B!U1630/1000</f>
        <v>0</v>
      </c>
      <c r="V1627" s="85">
        <f>STATS1003B!V1630/1000</f>
        <v>0</v>
      </c>
      <c r="W1627" s="85">
        <f>STATS1003B!W1630/1000</f>
        <v>80</v>
      </c>
      <c r="X1627" s="85">
        <f t="shared" si="184"/>
        <v>0</v>
      </c>
      <c r="Y1627" s="85">
        <f>STATS1003B!Y1630/1000</f>
        <v>0</v>
      </c>
      <c r="Z1627" s="85">
        <f>STATS1003B!Z1630/1000</f>
        <v>80</v>
      </c>
      <c r="AA1627" s="69">
        <f>STATS1003B!AA1630/1000</f>
        <v>0</v>
      </c>
      <c r="AB1627" s="69">
        <f>STATS1003B!AB1630/1000</f>
        <v>80</v>
      </c>
    </row>
    <row r="1628" spans="1:28" hidden="1" x14ac:dyDescent="0.3">
      <c r="A1628" s="117"/>
      <c r="C1628" s="68" t="s">
        <v>302</v>
      </c>
      <c r="D1628" s="87" t="s">
        <v>85</v>
      </c>
      <c r="E1628" s="85">
        <f>STATS1003B!E1631/1000</f>
        <v>200</v>
      </c>
      <c r="F1628" s="85">
        <f>STATS1003B!F1631/1000</f>
        <v>0</v>
      </c>
      <c r="G1628" s="85">
        <f>STATS1003B!G1631/1000</f>
        <v>0</v>
      </c>
      <c r="H1628" s="85">
        <f>STATS1003B!H1631/1000</f>
        <v>0</v>
      </c>
      <c r="I1628" s="85">
        <f>STATS1003B!I1631/1000</f>
        <v>0</v>
      </c>
      <c r="J1628" s="85">
        <f>STATS1003B!J1631/1000</f>
        <v>0</v>
      </c>
      <c r="K1628" s="85">
        <f>STATS1003B!K1631/1000</f>
        <v>0</v>
      </c>
      <c r="L1628" s="85">
        <f>STATS1003B!L1631/1000</f>
        <v>0</v>
      </c>
      <c r="M1628" s="85">
        <f>STATS1003B!M1631/1000</f>
        <v>0</v>
      </c>
      <c r="N1628" s="85">
        <f>STATS1003B!N1631/1000</f>
        <v>0</v>
      </c>
      <c r="O1628" s="85">
        <f>STATS1003B!O1631/1000</f>
        <v>0</v>
      </c>
      <c r="P1628" s="85">
        <f>STATS1003B!P1631/1000</f>
        <v>0</v>
      </c>
      <c r="Q1628" s="85">
        <f>STATS1003B!Q1631/1000</f>
        <v>0</v>
      </c>
      <c r="R1628" s="85">
        <f>STATS1003B!R1631/1000</f>
        <v>0</v>
      </c>
      <c r="S1628" s="85">
        <f>STATS1003B!S1631/1000</f>
        <v>0</v>
      </c>
      <c r="T1628" s="85">
        <f>STATS1003B!T1631/1000</f>
        <v>0</v>
      </c>
      <c r="U1628" s="85">
        <f>STATS1003B!U1631/1000</f>
        <v>0</v>
      </c>
      <c r="V1628" s="85">
        <f>STATS1003B!V1631/1000</f>
        <v>0</v>
      </c>
      <c r="W1628" s="85">
        <f>STATS1003B!W1631/1000</f>
        <v>200</v>
      </c>
      <c r="X1628" s="85">
        <f t="shared" si="184"/>
        <v>0</v>
      </c>
      <c r="Y1628" s="85">
        <f>STATS1003B!Y1631/1000</f>
        <v>0</v>
      </c>
      <c r="Z1628" s="85">
        <f>STATS1003B!Z1631/1000</f>
        <v>200</v>
      </c>
      <c r="AA1628" s="69">
        <f>STATS1003B!AA1631/1000</f>
        <v>0</v>
      </c>
      <c r="AB1628" s="69">
        <f>STATS1003B!AB1631/1000</f>
        <v>200</v>
      </c>
    </row>
    <row r="1629" spans="1:28" hidden="1" x14ac:dyDescent="0.3">
      <c r="A1629" s="117"/>
      <c r="C1629" s="71" t="s">
        <v>109</v>
      </c>
      <c r="D1629" s="88" t="s">
        <v>60</v>
      </c>
      <c r="E1629" s="85">
        <f>STATS1003B!E1632/1000</f>
        <v>2500</v>
      </c>
      <c r="F1629" s="85">
        <f>STATS1003B!F1632/1000</f>
        <v>2500</v>
      </c>
      <c r="G1629" s="85">
        <f>STATS1003B!G1632/1000</f>
        <v>0</v>
      </c>
      <c r="H1629" s="85">
        <f>STATS1003B!H1632/1000</f>
        <v>2500</v>
      </c>
      <c r="I1629" s="85">
        <f>STATS1003B!I1632/1000</f>
        <v>0</v>
      </c>
      <c r="J1629" s="85">
        <f>STATS1003B!J1632/1000</f>
        <v>0</v>
      </c>
      <c r="K1629" s="85">
        <f>STATS1003B!K1632/1000</f>
        <v>0</v>
      </c>
      <c r="L1629" s="85">
        <f>STATS1003B!L1632/1000</f>
        <v>0</v>
      </c>
      <c r="M1629" s="85">
        <f>STATS1003B!M1632/1000</f>
        <v>2500</v>
      </c>
      <c r="N1629" s="85">
        <f>STATS1003B!N1632/1000</f>
        <v>0</v>
      </c>
      <c r="O1629" s="85">
        <f>STATS1003B!O1632/1000</f>
        <v>0</v>
      </c>
      <c r="P1629" s="85">
        <f>STATS1003B!P1632/1000</f>
        <v>0</v>
      </c>
      <c r="Q1629" s="85">
        <f>STATS1003B!Q1632/1000</f>
        <v>0</v>
      </c>
      <c r="R1629" s="85">
        <f>STATS1003B!R1632/1000</f>
        <v>0</v>
      </c>
      <c r="S1629" s="85">
        <f>STATS1003B!S1632/1000</f>
        <v>0</v>
      </c>
      <c r="T1629" s="85">
        <f>STATS1003B!T1632/1000</f>
        <v>0</v>
      </c>
      <c r="U1629" s="85">
        <f>STATS1003B!U1632/1000</f>
        <v>0</v>
      </c>
      <c r="V1629" s="85">
        <f>STATS1003B!V1632/1000</f>
        <v>2500</v>
      </c>
      <c r="W1629" s="85">
        <f>STATS1003B!W1632/1000</f>
        <v>0</v>
      </c>
      <c r="X1629" s="85">
        <f t="shared" si="184"/>
        <v>2500</v>
      </c>
      <c r="Y1629" s="85">
        <f>STATS1003B!Y1632/1000</f>
        <v>0</v>
      </c>
      <c r="Z1629" s="85">
        <f>STATS1003B!Z1632/1000</f>
        <v>0</v>
      </c>
      <c r="AA1629" s="69">
        <f>STATS1003B!AA1632/1000</f>
        <v>2500</v>
      </c>
      <c r="AB1629" s="69">
        <f>STATS1003B!AB1632/1000</f>
        <v>0</v>
      </c>
    </row>
    <row r="1630" spans="1:28" hidden="1" x14ac:dyDescent="0.3">
      <c r="A1630" s="117"/>
      <c r="C1630" s="71" t="s">
        <v>57</v>
      </c>
      <c r="D1630" s="88" t="s">
        <v>60</v>
      </c>
      <c r="E1630" s="85">
        <f>STATS1003B!E1633/1000</f>
        <v>2404</v>
      </c>
      <c r="F1630" s="85">
        <f>STATS1003B!F1633/1000</f>
        <v>2404</v>
      </c>
      <c r="G1630" s="85">
        <f>STATS1003B!G1633/1000</f>
        <v>0</v>
      </c>
      <c r="H1630" s="85">
        <f>STATS1003B!H1633/1000</f>
        <v>2404</v>
      </c>
      <c r="I1630" s="85">
        <f>STATS1003B!I1633/1000</f>
        <v>0</v>
      </c>
      <c r="J1630" s="85">
        <f>STATS1003B!J1633/1000</f>
        <v>0</v>
      </c>
      <c r="K1630" s="85">
        <f>STATS1003B!K1633/1000</f>
        <v>0</v>
      </c>
      <c r="L1630" s="85">
        <f>STATS1003B!L1633/1000</f>
        <v>0</v>
      </c>
      <c r="M1630" s="85">
        <f>STATS1003B!M1633/1000</f>
        <v>2404</v>
      </c>
      <c r="N1630" s="85">
        <f>STATS1003B!N1633/1000</f>
        <v>0</v>
      </c>
      <c r="O1630" s="85">
        <f>STATS1003B!O1633/1000</f>
        <v>0</v>
      </c>
      <c r="P1630" s="85">
        <f>STATS1003B!P1633/1000</f>
        <v>0</v>
      </c>
      <c r="Q1630" s="85">
        <f>STATS1003B!Q1633/1000</f>
        <v>0</v>
      </c>
      <c r="R1630" s="85">
        <f>STATS1003B!R1633/1000</f>
        <v>0</v>
      </c>
      <c r="S1630" s="85">
        <f>STATS1003B!S1633/1000</f>
        <v>0</v>
      </c>
      <c r="T1630" s="85">
        <f>STATS1003B!T1633/1000</f>
        <v>0</v>
      </c>
      <c r="U1630" s="85">
        <f>STATS1003B!U1633/1000</f>
        <v>0</v>
      </c>
      <c r="V1630" s="85">
        <f>STATS1003B!V1633/1000</f>
        <v>2404</v>
      </c>
      <c r="W1630" s="85">
        <f>STATS1003B!W1633/1000</f>
        <v>0</v>
      </c>
      <c r="X1630" s="85">
        <f t="shared" si="184"/>
        <v>2404</v>
      </c>
      <c r="Y1630" s="85">
        <f>STATS1003B!Y1633/1000</f>
        <v>0</v>
      </c>
      <c r="Z1630" s="85">
        <f>STATS1003B!Z1633/1000</f>
        <v>0</v>
      </c>
      <c r="AA1630" s="69">
        <f>STATS1003B!AA1633/1000</f>
        <v>2404</v>
      </c>
      <c r="AB1630" s="69">
        <f>STATS1003B!AB1633/1000</f>
        <v>0</v>
      </c>
    </row>
    <row r="1631" spans="1:28" hidden="1" x14ac:dyDescent="0.3">
      <c r="A1631" s="117"/>
      <c r="C1631" s="71" t="s">
        <v>327</v>
      </c>
      <c r="D1631" s="88" t="s">
        <v>194</v>
      </c>
      <c r="E1631" s="85">
        <f>STATS1003B!E1634/1000</f>
        <v>7377.6465600000001</v>
      </c>
      <c r="F1631" s="85">
        <f>STATS1003B!F1634/1000</f>
        <v>7377.6465600000001</v>
      </c>
      <c r="G1631" s="85">
        <f>STATS1003B!G1634/1000</f>
        <v>0</v>
      </c>
      <c r="H1631" s="85">
        <f>STATS1003B!H1634/1000</f>
        <v>7377.6465600000001</v>
      </c>
      <c r="I1631" s="85">
        <f>STATS1003B!I1634/1000</f>
        <v>0</v>
      </c>
      <c r="J1631" s="85">
        <f>STATS1003B!J1634/1000</f>
        <v>0</v>
      </c>
      <c r="K1631" s="85">
        <f>STATS1003B!K1634/1000</f>
        <v>0</v>
      </c>
      <c r="L1631" s="85">
        <f>STATS1003B!L1634/1000</f>
        <v>0</v>
      </c>
      <c r="M1631" s="85">
        <f>STATS1003B!M1634/1000</f>
        <v>7377.6465600000001</v>
      </c>
      <c r="N1631" s="85">
        <f>STATS1003B!N1634/1000</f>
        <v>0</v>
      </c>
      <c r="O1631" s="85">
        <f>STATS1003B!O1634/1000</f>
        <v>0</v>
      </c>
      <c r="P1631" s="85">
        <f>STATS1003B!P1634/1000</f>
        <v>0</v>
      </c>
      <c r="Q1631" s="85">
        <f>STATS1003B!Q1634/1000</f>
        <v>0</v>
      </c>
      <c r="R1631" s="85">
        <f>STATS1003B!R1634/1000</f>
        <v>0</v>
      </c>
      <c r="S1631" s="85">
        <f>STATS1003B!S1634/1000</f>
        <v>0</v>
      </c>
      <c r="T1631" s="85">
        <f>STATS1003B!T1634/1000</f>
        <v>0</v>
      </c>
      <c r="U1631" s="85">
        <f>STATS1003B!U1634/1000</f>
        <v>0</v>
      </c>
      <c r="V1631" s="85">
        <f>STATS1003B!V1634/1000</f>
        <v>7377.6465600000001</v>
      </c>
      <c r="W1631" s="85">
        <f>STATS1003B!W1634/1000</f>
        <v>0</v>
      </c>
      <c r="X1631" s="85">
        <f t="shared" si="184"/>
        <v>7377.6465600000001</v>
      </c>
      <c r="Y1631" s="85">
        <f>STATS1003B!Y1634/1000</f>
        <v>0</v>
      </c>
      <c r="Z1631" s="85">
        <f>STATS1003B!Z1634/1000</f>
        <v>0</v>
      </c>
      <c r="AA1631" s="69">
        <f>STATS1003B!AA1634/1000</f>
        <v>7377.6465600000001</v>
      </c>
      <c r="AB1631" s="69">
        <f>STATS1003B!AB1634/1000</f>
        <v>0</v>
      </c>
    </row>
    <row r="1632" spans="1:28" hidden="1" x14ac:dyDescent="0.3">
      <c r="A1632" s="117"/>
      <c r="C1632" s="71" t="s">
        <v>1223</v>
      </c>
      <c r="D1632" s="89" t="s">
        <v>1126</v>
      </c>
      <c r="E1632" s="85">
        <f>STATS1003B!E1635/1000</f>
        <v>800</v>
      </c>
      <c r="F1632" s="85">
        <f>STATS1003B!F1635/1000</f>
        <v>800</v>
      </c>
      <c r="G1632" s="85">
        <f>STATS1003B!G1635/1000</f>
        <v>0</v>
      </c>
      <c r="H1632" s="85">
        <f>STATS1003B!H1635/1000</f>
        <v>800</v>
      </c>
      <c r="I1632" s="85">
        <f>STATS1003B!I1635/1000</f>
        <v>0</v>
      </c>
      <c r="J1632" s="85">
        <f>STATS1003B!J1635/1000</f>
        <v>0</v>
      </c>
      <c r="K1632" s="85">
        <f>STATS1003B!K1635/1000</f>
        <v>0</v>
      </c>
      <c r="L1632" s="85">
        <f>STATS1003B!L1635/1000</f>
        <v>0</v>
      </c>
      <c r="M1632" s="85">
        <f>STATS1003B!M1635/1000</f>
        <v>800</v>
      </c>
      <c r="N1632" s="85">
        <f>STATS1003B!N1635/1000</f>
        <v>0</v>
      </c>
      <c r="O1632" s="85">
        <f>STATS1003B!O1635/1000</f>
        <v>0</v>
      </c>
      <c r="P1632" s="85">
        <f>STATS1003B!P1635/1000</f>
        <v>0</v>
      </c>
      <c r="Q1632" s="85">
        <f>STATS1003B!Q1635/1000</f>
        <v>0</v>
      </c>
      <c r="R1632" s="85">
        <f>STATS1003B!R1635/1000</f>
        <v>0</v>
      </c>
      <c r="S1632" s="85">
        <f>STATS1003B!S1635/1000</f>
        <v>0</v>
      </c>
      <c r="T1632" s="85">
        <f>STATS1003B!T1635/1000</f>
        <v>0</v>
      </c>
      <c r="U1632" s="85">
        <f>STATS1003B!U1635/1000</f>
        <v>0</v>
      </c>
      <c r="V1632" s="85">
        <f>STATS1003B!V1635/1000</f>
        <v>800</v>
      </c>
      <c r="W1632" s="85">
        <f>STATS1003B!W1635/1000</f>
        <v>0</v>
      </c>
      <c r="X1632" s="85">
        <f t="shared" si="184"/>
        <v>800</v>
      </c>
      <c r="Y1632" s="85">
        <f>STATS1003B!Y1635/1000</f>
        <v>0</v>
      </c>
      <c r="Z1632" s="85">
        <f>STATS1003B!Z1635/1000</f>
        <v>0</v>
      </c>
      <c r="AA1632" s="69">
        <f>STATS1003B!AA1635/1000</f>
        <v>800</v>
      </c>
      <c r="AB1632" s="69">
        <f>STATS1003B!AB1635/1000</f>
        <v>0</v>
      </c>
    </row>
    <row r="1633" spans="1:28" hidden="1" x14ac:dyDescent="0.3">
      <c r="A1633" s="117"/>
      <c r="C1633" s="68" t="s">
        <v>122</v>
      </c>
      <c r="E1633" s="85">
        <f>STATS1003B!E1636/1000</f>
        <v>1015.3869999999999</v>
      </c>
      <c r="F1633" s="85">
        <f>STATS1003B!F1636/1000</f>
        <v>1015.3869999999999</v>
      </c>
      <c r="G1633" s="85">
        <f>STATS1003B!G1636/1000</f>
        <v>0</v>
      </c>
      <c r="H1633" s="85">
        <f>STATS1003B!H1636/1000</f>
        <v>1015.3869999999999</v>
      </c>
      <c r="I1633" s="85">
        <f>STATS1003B!I1636/1000</f>
        <v>0</v>
      </c>
      <c r="J1633" s="85">
        <f>STATS1003B!J1636/1000</f>
        <v>0</v>
      </c>
      <c r="K1633" s="85">
        <f>STATS1003B!K1636/1000</f>
        <v>0</v>
      </c>
      <c r="L1633" s="85">
        <f>STATS1003B!L1636/1000</f>
        <v>0</v>
      </c>
      <c r="M1633" s="85">
        <f>STATS1003B!M1636/1000</f>
        <v>1015.3869999999999</v>
      </c>
      <c r="N1633" s="85">
        <f>STATS1003B!N1636/1000</f>
        <v>0</v>
      </c>
      <c r="O1633" s="85">
        <f>STATS1003B!O1636/1000</f>
        <v>0</v>
      </c>
      <c r="P1633" s="85">
        <f>STATS1003B!P1636/1000</f>
        <v>0</v>
      </c>
      <c r="Q1633" s="85">
        <f>STATS1003B!Q1636/1000</f>
        <v>0</v>
      </c>
      <c r="R1633" s="85">
        <f>STATS1003B!R1636/1000</f>
        <v>0</v>
      </c>
      <c r="S1633" s="85">
        <f>STATS1003B!S1636/1000</f>
        <v>0</v>
      </c>
      <c r="T1633" s="85">
        <f>STATS1003B!T1636/1000</f>
        <v>0</v>
      </c>
      <c r="U1633" s="85">
        <f>STATS1003B!U1636/1000</f>
        <v>0</v>
      </c>
      <c r="V1633" s="85">
        <f>STATS1003B!V1636/1000</f>
        <v>1015.3869999999999</v>
      </c>
      <c r="W1633" s="85">
        <f>STATS1003B!W1636/1000</f>
        <v>0</v>
      </c>
      <c r="X1633" s="85">
        <f t="shared" si="184"/>
        <v>1015.3869999999999</v>
      </c>
      <c r="Y1633" s="85">
        <f>STATS1003B!Y1636/1000</f>
        <v>0</v>
      </c>
      <c r="Z1633" s="85">
        <f>STATS1003B!Z1636/1000</f>
        <v>0</v>
      </c>
      <c r="AA1633" s="69">
        <f>STATS1003B!AA1636/1000</f>
        <v>1015.3869999999999</v>
      </c>
      <c r="AB1633" s="69">
        <f>STATS1003B!AB1636/1000</f>
        <v>0</v>
      </c>
    </row>
    <row r="1634" spans="1:28" hidden="1" x14ac:dyDescent="0.3">
      <c r="A1634" s="117"/>
      <c r="C1634" s="68" t="s">
        <v>1063</v>
      </c>
      <c r="D1634" s="91" t="s">
        <v>1072</v>
      </c>
      <c r="E1634" s="85">
        <f>STATS1003B!E1637/1000</f>
        <v>1116.84322</v>
      </c>
      <c r="F1634" s="85">
        <f>STATS1003B!F1637/1000</f>
        <v>1116.84322</v>
      </c>
      <c r="G1634" s="85">
        <f>STATS1003B!G1637/1000</f>
        <v>0</v>
      </c>
      <c r="H1634" s="85">
        <f>STATS1003B!H1637/1000</f>
        <v>1116.84322</v>
      </c>
      <c r="I1634" s="85">
        <f>STATS1003B!I1637/1000</f>
        <v>0</v>
      </c>
      <c r="J1634" s="85">
        <f>STATS1003B!J1637/1000</f>
        <v>0</v>
      </c>
      <c r="K1634" s="85">
        <f>STATS1003B!K1637/1000</f>
        <v>0</v>
      </c>
      <c r="L1634" s="85">
        <f>STATS1003B!L1637/1000</f>
        <v>0</v>
      </c>
      <c r="M1634" s="85">
        <f>STATS1003B!M1637/1000</f>
        <v>1116.84322</v>
      </c>
      <c r="N1634" s="85">
        <f>STATS1003B!N1637/1000</f>
        <v>0</v>
      </c>
      <c r="O1634" s="85">
        <f>STATS1003B!O1637/1000</f>
        <v>0</v>
      </c>
      <c r="P1634" s="85">
        <f>STATS1003B!P1637/1000</f>
        <v>0</v>
      </c>
      <c r="Q1634" s="85">
        <f>STATS1003B!Q1637/1000</f>
        <v>0</v>
      </c>
      <c r="R1634" s="85">
        <f>STATS1003B!R1637/1000</f>
        <v>0</v>
      </c>
      <c r="S1634" s="85">
        <f>STATS1003B!S1637/1000</f>
        <v>0</v>
      </c>
      <c r="T1634" s="85">
        <f>STATS1003B!T1637/1000</f>
        <v>0</v>
      </c>
      <c r="U1634" s="85">
        <f>STATS1003B!U1637/1000</f>
        <v>0</v>
      </c>
      <c r="V1634" s="85">
        <f>STATS1003B!V1637/1000</f>
        <v>1116.84322</v>
      </c>
      <c r="W1634" s="85">
        <f>STATS1003B!W1637/1000</f>
        <v>0</v>
      </c>
      <c r="X1634" s="85">
        <f t="shared" si="184"/>
        <v>1116.84322</v>
      </c>
      <c r="Y1634" s="85">
        <f>STATS1003B!Y1637/1000</f>
        <v>0</v>
      </c>
      <c r="Z1634" s="85">
        <f>STATS1003B!Z1637/1000</f>
        <v>0</v>
      </c>
      <c r="AA1634" s="69">
        <f>STATS1003B!AA1637/1000</f>
        <v>1116.84322</v>
      </c>
      <c r="AB1634" s="69">
        <f>STATS1003B!AB1637/1000</f>
        <v>0</v>
      </c>
    </row>
    <row r="1635" spans="1:28" hidden="1" x14ac:dyDescent="0.3">
      <c r="A1635" s="117"/>
      <c r="C1635" s="68" t="s">
        <v>1095</v>
      </c>
      <c r="D1635" s="91" t="s">
        <v>1072</v>
      </c>
      <c r="E1635" s="85">
        <f>STATS1003B!E1638/1000</f>
        <v>1272</v>
      </c>
      <c r="F1635" s="85">
        <f>STATS1003B!F1638/1000</f>
        <v>1272</v>
      </c>
      <c r="G1635" s="85">
        <f>STATS1003B!G1638/1000</f>
        <v>0</v>
      </c>
      <c r="H1635" s="85">
        <f>STATS1003B!H1638/1000</f>
        <v>1272</v>
      </c>
      <c r="I1635" s="85">
        <f>STATS1003B!I1638/1000</f>
        <v>0</v>
      </c>
      <c r="J1635" s="85">
        <f>STATS1003B!J1638/1000</f>
        <v>0</v>
      </c>
      <c r="K1635" s="85">
        <f>STATS1003B!K1638/1000</f>
        <v>0</v>
      </c>
      <c r="L1635" s="85">
        <f>STATS1003B!L1638/1000</f>
        <v>0</v>
      </c>
      <c r="M1635" s="85">
        <f>STATS1003B!M1638/1000</f>
        <v>1272</v>
      </c>
      <c r="N1635" s="85">
        <f>STATS1003B!N1638/1000</f>
        <v>0</v>
      </c>
      <c r="O1635" s="85">
        <f>STATS1003B!O1638/1000</f>
        <v>0</v>
      </c>
      <c r="P1635" s="85">
        <f>STATS1003B!P1638/1000</f>
        <v>0</v>
      </c>
      <c r="Q1635" s="85">
        <f>STATS1003B!Q1638/1000</f>
        <v>0</v>
      </c>
      <c r="R1635" s="85">
        <f>STATS1003B!R1638/1000</f>
        <v>0</v>
      </c>
      <c r="S1635" s="85">
        <f>STATS1003B!S1638/1000</f>
        <v>0</v>
      </c>
      <c r="T1635" s="85">
        <f>STATS1003B!T1638/1000</f>
        <v>0</v>
      </c>
      <c r="U1635" s="85">
        <f>STATS1003B!U1638/1000</f>
        <v>0</v>
      </c>
      <c r="V1635" s="85">
        <f>STATS1003B!V1638/1000</f>
        <v>1272</v>
      </c>
      <c r="W1635" s="85">
        <f>STATS1003B!W1638/1000</f>
        <v>0</v>
      </c>
      <c r="X1635" s="85">
        <f t="shared" si="184"/>
        <v>1272</v>
      </c>
      <c r="Y1635" s="85">
        <f>STATS1003B!Y1638/1000</f>
        <v>0</v>
      </c>
      <c r="Z1635" s="85">
        <f>STATS1003B!Z1638/1000</f>
        <v>0</v>
      </c>
      <c r="AA1635" s="69">
        <f>STATS1003B!AA1638/1000</f>
        <v>1272</v>
      </c>
      <c r="AB1635" s="69">
        <f>STATS1003B!AB1638/1000</f>
        <v>0</v>
      </c>
    </row>
    <row r="1636" spans="1:28" hidden="1" x14ac:dyDescent="0.3">
      <c r="A1636" s="117"/>
      <c r="C1636" s="68" t="s">
        <v>1239</v>
      </c>
      <c r="D1636" s="91" t="s">
        <v>1225</v>
      </c>
      <c r="E1636" s="85">
        <f>STATS1003B!E1639/1000</f>
        <v>1200</v>
      </c>
      <c r="F1636" s="85">
        <f>STATS1003B!F1639/1000</f>
        <v>1200</v>
      </c>
      <c r="G1636" s="85">
        <f>STATS1003B!G1639/1000</f>
        <v>0</v>
      </c>
      <c r="H1636" s="85">
        <f>STATS1003B!H1639/1000</f>
        <v>1200</v>
      </c>
      <c r="I1636" s="85">
        <f>STATS1003B!I1639/1000</f>
        <v>0</v>
      </c>
      <c r="J1636" s="85">
        <f>STATS1003B!J1639/1000</f>
        <v>0</v>
      </c>
      <c r="K1636" s="85">
        <f>STATS1003B!K1639/1000</f>
        <v>0</v>
      </c>
      <c r="L1636" s="85">
        <f>STATS1003B!L1639/1000</f>
        <v>0</v>
      </c>
      <c r="M1636" s="85">
        <f>STATS1003B!M1639/1000</f>
        <v>1200</v>
      </c>
      <c r="N1636" s="85">
        <f>STATS1003B!N1639/1000</f>
        <v>0</v>
      </c>
      <c r="O1636" s="85">
        <f>STATS1003B!O1639/1000</f>
        <v>0</v>
      </c>
      <c r="P1636" s="85">
        <f>STATS1003B!P1639/1000</f>
        <v>0</v>
      </c>
      <c r="Q1636" s="85">
        <f>STATS1003B!Q1639/1000</f>
        <v>0</v>
      </c>
      <c r="R1636" s="85">
        <f>STATS1003B!R1639/1000</f>
        <v>0</v>
      </c>
      <c r="S1636" s="85">
        <f>STATS1003B!S1639/1000</f>
        <v>0</v>
      </c>
      <c r="T1636" s="85">
        <f>STATS1003B!T1639/1000</f>
        <v>0</v>
      </c>
      <c r="U1636" s="85">
        <f>STATS1003B!U1639/1000</f>
        <v>0</v>
      </c>
      <c r="V1636" s="85">
        <f>STATS1003B!V1639/1000</f>
        <v>0</v>
      </c>
      <c r="W1636" s="85">
        <f>STATS1003B!W1639/1000</f>
        <v>0</v>
      </c>
      <c r="X1636" s="85">
        <f t="shared" si="184"/>
        <v>1200</v>
      </c>
      <c r="Y1636" s="85">
        <f>STATS1003B!Y1639/1000</f>
        <v>0</v>
      </c>
      <c r="Z1636" s="85">
        <f>STATS1003B!Z1639/1000</f>
        <v>0</v>
      </c>
      <c r="AA1636" s="69">
        <f>STATS1003B!AA1639/1000</f>
        <v>1200</v>
      </c>
      <c r="AB1636" s="69">
        <f>STATS1003B!AB1639/1000</f>
        <v>0</v>
      </c>
    </row>
    <row r="1637" spans="1:28" hidden="1" x14ac:dyDescent="0.3">
      <c r="A1637" s="117"/>
      <c r="C1637" s="71" t="s">
        <v>57</v>
      </c>
      <c r="D1637" s="89" t="s">
        <v>61</v>
      </c>
      <c r="E1637" s="85">
        <f>STATS1003B!E1640/1000</f>
        <v>3450.7885099999999</v>
      </c>
      <c r="F1637" s="85">
        <f>STATS1003B!F1640/1000</f>
        <v>3402</v>
      </c>
      <c r="G1637" s="85">
        <f>STATS1003B!G1640/1000</f>
        <v>0</v>
      </c>
      <c r="H1637" s="85">
        <f>STATS1003B!H1640/1000</f>
        <v>3402</v>
      </c>
      <c r="I1637" s="85">
        <f>STATS1003B!I1640/1000</f>
        <v>3054.1669999999999</v>
      </c>
      <c r="J1637" s="85">
        <f>STATS1003B!J1640/1000</f>
        <v>0</v>
      </c>
      <c r="K1637" s="85">
        <f>STATS1003B!K1640/1000</f>
        <v>0</v>
      </c>
      <c r="L1637" s="85">
        <f>STATS1003B!L1640/1000</f>
        <v>0</v>
      </c>
      <c r="M1637" s="85">
        <f>STATS1003B!M1640/1000</f>
        <v>3402</v>
      </c>
      <c r="N1637" s="85">
        <f>STATS1003B!N1640/1000</f>
        <v>0</v>
      </c>
      <c r="O1637" s="85">
        <f>STATS1003B!O1640/1000</f>
        <v>0</v>
      </c>
      <c r="P1637" s="85">
        <f>STATS1003B!P1640/1000</f>
        <v>0</v>
      </c>
      <c r="Q1637" s="85">
        <f>STATS1003B!Q1640/1000</f>
        <v>48.788510000000002</v>
      </c>
      <c r="R1637" s="85">
        <f>STATS1003B!R1640/1000</f>
        <v>0</v>
      </c>
      <c r="S1637" s="85">
        <f>STATS1003B!S1640/1000</f>
        <v>0</v>
      </c>
      <c r="T1637" s="85">
        <f>STATS1003B!T1640/1000</f>
        <v>48.788510000000002</v>
      </c>
      <c r="U1637" s="85">
        <f>STATS1003B!U1640/1000</f>
        <v>48.788510000000002</v>
      </c>
      <c r="V1637" s="85">
        <f>STATS1003B!V1640/1000</f>
        <v>3402</v>
      </c>
      <c r="W1637" s="85">
        <f>STATS1003B!W1640/1000</f>
        <v>48.788509999999775</v>
      </c>
      <c r="X1637" s="85">
        <f t="shared" si="184"/>
        <v>3402</v>
      </c>
      <c r="Y1637" s="85">
        <f>STATS1003B!Y1640/1000</f>
        <v>0</v>
      </c>
      <c r="Z1637" s="85">
        <f>STATS1003B!Z1640/1000</f>
        <v>48.788509999999775</v>
      </c>
      <c r="AA1637" s="69">
        <f>STATS1003B!AA1640/1000</f>
        <v>3450.7885099999999</v>
      </c>
      <c r="AB1637" s="69">
        <f>STATS1003B!AB1640/1000</f>
        <v>0</v>
      </c>
    </row>
    <row r="1638" spans="1:28" hidden="1" x14ac:dyDescent="0.3">
      <c r="A1638" s="117"/>
      <c r="E1638" s="86" t="s">
        <v>29</v>
      </c>
      <c r="F1638" s="86" t="s">
        <v>29</v>
      </c>
      <c r="G1638" s="86" t="s">
        <v>29</v>
      </c>
      <c r="H1638" s="86" t="s">
        <v>29</v>
      </c>
      <c r="I1638" s="86" t="s">
        <v>29</v>
      </c>
      <c r="J1638" s="86" t="s">
        <v>29</v>
      </c>
      <c r="K1638" s="86" t="s">
        <v>29</v>
      </c>
      <c r="L1638" s="86" t="s">
        <v>29</v>
      </c>
      <c r="M1638" s="86" t="s">
        <v>29</v>
      </c>
      <c r="N1638" s="86" t="s">
        <v>29</v>
      </c>
      <c r="O1638" s="86" t="s">
        <v>29</v>
      </c>
      <c r="P1638" s="86" t="s">
        <v>29</v>
      </c>
      <c r="Q1638" s="86" t="s">
        <v>29</v>
      </c>
      <c r="R1638" s="86" t="s">
        <v>29</v>
      </c>
      <c r="S1638" s="86" t="s">
        <v>29</v>
      </c>
      <c r="T1638" s="86" t="s">
        <v>29</v>
      </c>
      <c r="U1638" s="86" t="s">
        <v>29</v>
      </c>
      <c r="V1638" s="86" t="s">
        <v>29</v>
      </c>
      <c r="W1638" s="86" t="s">
        <v>29</v>
      </c>
      <c r="X1638" s="85" t="e">
        <f t="shared" si="184"/>
        <v>#VALUE!</v>
      </c>
      <c r="Y1638" s="86" t="s">
        <v>29</v>
      </c>
      <c r="Z1638" s="86" t="s">
        <v>29</v>
      </c>
      <c r="AA1638" s="115" t="s">
        <v>29</v>
      </c>
      <c r="AB1638" s="115" t="s">
        <v>29</v>
      </c>
    </row>
    <row r="1639" spans="1:28" x14ac:dyDescent="0.3">
      <c r="A1639" s="116">
        <v>69</v>
      </c>
      <c r="B1639" s="68" t="s">
        <v>322</v>
      </c>
      <c r="E1639" s="85">
        <f>128943516.64/1000</f>
        <v>128943.51664</v>
      </c>
      <c r="F1639" s="85">
        <f t="shared" ref="F1639:AB1639" si="186">SUM(F1621:F1637)</f>
        <v>33557.482730000003</v>
      </c>
      <c r="G1639" s="85">
        <f t="shared" si="186"/>
        <v>0</v>
      </c>
      <c r="H1639" s="85">
        <f>125951384.06/1000</f>
        <v>125951.38406</v>
      </c>
      <c r="I1639" s="85">
        <f t="shared" si="186"/>
        <v>3054.1669999999999</v>
      </c>
      <c r="J1639" s="85">
        <f t="shared" si="186"/>
        <v>0</v>
      </c>
      <c r="K1639" s="85">
        <f t="shared" si="186"/>
        <v>0</v>
      </c>
      <c r="L1639" s="85">
        <f t="shared" si="186"/>
        <v>0</v>
      </c>
      <c r="M1639" s="85">
        <f t="shared" si="186"/>
        <v>33557.482730000003</v>
      </c>
      <c r="N1639" s="85">
        <f t="shared" si="186"/>
        <v>2202.2820200000001</v>
      </c>
      <c r="O1639" s="85">
        <f t="shared" si="186"/>
        <v>0</v>
      </c>
      <c r="P1639" s="85">
        <f>2202282/1000</f>
        <v>2202.2820000000002</v>
      </c>
      <c r="Q1639" s="85">
        <f t="shared" si="186"/>
        <v>48.788510000000002</v>
      </c>
      <c r="R1639" s="85">
        <f t="shared" si="186"/>
        <v>0</v>
      </c>
      <c r="S1639" s="85">
        <f t="shared" si="186"/>
        <v>0</v>
      </c>
      <c r="T1639" s="85">
        <f t="shared" si="186"/>
        <v>48.788510000000002</v>
      </c>
      <c r="U1639" s="85">
        <f t="shared" si="186"/>
        <v>2251.07053</v>
      </c>
      <c r="V1639" s="85">
        <f t="shared" si="186"/>
        <v>34559.764750000002</v>
      </c>
      <c r="W1639" s="85">
        <f t="shared" si="186"/>
        <v>789.85055999999952</v>
      </c>
      <c r="X1639" s="85">
        <f>+H1639+P1639</f>
        <v>128153.66606</v>
      </c>
      <c r="Y1639" s="85">
        <f t="shared" si="186"/>
        <v>0</v>
      </c>
      <c r="Z1639" s="85">
        <f>+E1639-X1639</f>
        <v>789.85057999999844</v>
      </c>
      <c r="AA1639" s="69">
        <f t="shared" si="186"/>
        <v>35808.553260000001</v>
      </c>
      <c r="AB1639" s="69">
        <f t="shared" si="186"/>
        <v>741.06204999999977</v>
      </c>
    </row>
    <row r="1640" spans="1:28" hidden="1" x14ac:dyDescent="0.3">
      <c r="A1640" s="117"/>
      <c r="E1640" s="86" t="s">
        <v>29</v>
      </c>
      <c r="F1640" s="86" t="s">
        <v>29</v>
      </c>
      <c r="G1640" s="86" t="s">
        <v>29</v>
      </c>
      <c r="H1640" s="86" t="s">
        <v>29</v>
      </c>
      <c r="I1640" s="86" t="s">
        <v>29</v>
      </c>
      <c r="J1640" s="86" t="s">
        <v>29</v>
      </c>
      <c r="K1640" s="86" t="s">
        <v>29</v>
      </c>
      <c r="L1640" s="86" t="s">
        <v>29</v>
      </c>
      <c r="M1640" s="86" t="s">
        <v>29</v>
      </c>
      <c r="N1640" s="86" t="s">
        <v>29</v>
      </c>
      <c r="O1640" s="86" t="s">
        <v>29</v>
      </c>
      <c r="P1640" s="86" t="s">
        <v>29</v>
      </c>
      <c r="Q1640" s="86" t="s">
        <v>29</v>
      </c>
      <c r="R1640" s="86" t="s">
        <v>29</v>
      </c>
      <c r="S1640" s="86" t="s">
        <v>29</v>
      </c>
      <c r="T1640" s="86" t="s">
        <v>29</v>
      </c>
      <c r="U1640" s="86" t="s">
        <v>29</v>
      </c>
      <c r="V1640" s="86" t="s">
        <v>29</v>
      </c>
      <c r="W1640" s="86" t="s">
        <v>29</v>
      </c>
      <c r="X1640" s="85" t="e">
        <f t="shared" si="184"/>
        <v>#VALUE!</v>
      </c>
      <c r="Y1640" s="86" t="s">
        <v>29</v>
      </c>
      <c r="Z1640" s="86" t="s">
        <v>29</v>
      </c>
      <c r="AA1640" s="115" t="s">
        <v>29</v>
      </c>
      <c r="AB1640" s="115" t="s">
        <v>29</v>
      </c>
    </row>
    <row r="1641" spans="1:28" hidden="1" x14ac:dyDescent="0.3">
      <c r="A1641" s="105"/>
      <c r="E1641" s="84"/>
      <c r="F1641" s="84"/>
      <c r="G1641" s="84"/>
      <c r="H1641" s="84"/>
      <c r="I1641" s="84"/>
      <c r="J1641" s="84"/>
      <c r="K1641" s="84"/>
      <c r="L1641" s="84"/>
      <c r="M1641" s="84"/>
      <c r="N1641" s="84"/>
      <c r="O1641" s="84"/>
      <c r="P1641" s="84"/>
      <c r="Q1641" s="84"/>
      <c r="R1641" s="84"/>
      <c r="S1641" s="84"/>
      <c r="T1641" s="84"/>
      <c r="U1641" s="84"/>
      <c r="V1641" s="84"/>
      <c r="W1641" s="84"/>
      <c r="X1641" s="85">
        <f t="shared" si="184"/>
        <v>0</v>
      </c>
      <c r="Y1641" s="84"/>
      <c r="Z1641" s="84"/>
    </row>
    <row r="1642" spans="1:28" hidden="1" x14ac:dyDescent="0.3">
      <c r="A1642" s="117"/>
      <c r="C1642" s="68" t="s">
        <v>329</v>
      </c>
      <c r="D1642" s="87" t="s">
        <v>68</v>
      </c>
      <c r="E1642" s="85">
        <f>STATS1003B!E1645/1000</f>
        <v>0</v>
      </c>
      <c r="F1642" s="85">
        <f>STATS1003B!F1645/1000</f>
        <v>0</v>
      </c>
      <c r="G1642" s="85">
        <f>STATS1003B!G1645/1000</f>
        <v>0</v>
      </c>
      <c r="H1642" s="85">
        <f>STATS1003B!H1645/1000</f>
        <v>0</v>
      </c>
      <c r="I1642" s="85">
        <f>STATS1003B!I1645/1000</f>
        <v>0</v>
      </c>
      <c r="J1642" s="85">
        <f>STATS1003B!J1645/1000</f>
        <v>0</v>
      </c>
      <c r="K1642" s="85">
        <f>STATS1003B!K1645/1000</f>
        <v>0</v>
      </c>
      <c r="L1642" s="85">
        <f>STATS1003B!L1645/1000</f>
        <v>0</v>
      </c>
      <c r="M1642" s="85">
        <f>STATS1003B!M1645/1000</f>
        <v>0</v>
      </c>
      <c r="N1642" s="85">
        <f>STATS1003B!N1645/1000</f>
        <v>0</v>
      </c>
      <c r="O1642" s="85">
        <f>STATS1003B!O1645/1000</f>
        <v>0</v>
      </c>
      <c r="P1642" s="85">
        <f>STATS1003B!P1645/1000</f>
        <v>0</v>
      </c>
      <c r="Q1642" s="85">
        <f>STATS1003B!Q1645/1000</f>
        <v>0</v>
      </c>
      <c r="R1642" s="85">
        <f>STATS1003B!R1645/1000</f>
        <v>0</v>
      </c>
      <c r="S1642" s="85">
        <f>STATS1003B!S1645/1000</f>
        <v>0</v>
      </c>
      <c r="T1642" s="85">
        <f>STATS1003B!T1645/1000</f>
        <v>0</v>
      </c>
      <c r="U1642" s="85">
        <f>STATS1003B!U1645/1000</f>
        <v>0</v>
      </c>
      <c r="V1642" s="85">
        <f>STATS1003B!V1645/1000</f>
        <v>0</v>
      </c>
      <c r="W1642" s="85">
        <f>STATS1003B!W1645/1000</f>
        <v>0</v>
      </c>
      <c r="X1642" s="85">
        <f t="shared" si="184"/>
        <v>0</v>
      </c>
      <c r="Y1642" s="85">
        <f>STATS1003B!Y1645/1000</f>
        <v>0</v>
      </c>
      <c r="Z1642" s="85">
        <f>STATS1003B!Z1645/1000</f>
        <v>0</v>
      </c>
      <c r="AA1642" s="69">
        <f>STATS1003B!AA1645/1000</f>
        <v>0</v>
      </c>
      <c r="AB1642" s="69">
        <f>STATS1003B!AB1645/1000</f>
        <v>0</v>
      </c>
    </row>
    <row r="1643" spans="1:28" hidden="1" x14ac:dyDescent="0.3">
      <c r="A1643" s="117"/>
      <c r="C1643" s="68" t="s">
        <v>330</v>
      </c>
      <c r="D1643" s="87" t="s">
        <v>234</v>
      </c>
      <c r="E1643" s="85">
        <f>STATS1003B!E1646/1000</f>
        <v>14339.6</v>
      </c>
      <c r="F1643" s="85">
        <f>STATS1003B!F1646/1000</f>
        <v>14313.752109999999</v>
      </c>
      <c r="G1643" s="85">
        <f>STATS1003B!G1646/1000</f>
        <v>0</v>
      </c>
      <c r="H1643" s="85">
        <f>STATS1003B!H1646/1000</f>
        <v>14313.752109999999</v>
      </c>
      <c r="I1643" s="85">
        <f>STATS1003B!I1646/1000</f>
        <v>0</v>
      </c>
      <c r="J1643" s="85">
        <f>STATS1003B!J1646/1000</f>
        <v>0</v>
      </c>
      <c r="K1643" s="85">
        <f>STATS1003B!K1646/1000</f>
        <v>0</v>
      </c>
      <c r="L1643" s="85">
        <f>STATS1003B!L1646/1000</f>
        <v>0</v>
      </c>
      <c r="M1643" s="85">
        <f>STATS1003B!M1646/1000</f>
        <v>14313.752109999999</v>
      </c>
      <c r="N1643" s="85">
        <f>STATS1003B!N1646/1000</f>
        <v>0</v>
      </c>
      <c r="O1643" s="85">
        <f>STATS1003B!O1646/1000</f>
        <v>0</v>
      </c>
      <c r="P1643" s="85">
        <f>STATS1003B!P1646/1000</f>
        <v>0</v>
      </c>
      <c r="Q1643" s="85">
        <f>STATS1003B!Q1646/1000</f>
        <v>0</v>
      </c>
      <c r="R1643" s="85">
        <f>STATS1003B!R1646/1000</f>
        <v>0</v>
      </c>
      <c r="S1643" s="85">
        <f>STATS1003B!S1646/1000</f>
        <v>0</v>
      </c>
      <c r="T1643" s="85">
        <f>STATS1003B!T1646/1000</f>
        <v>0</v>
      </c>
      <c r="U1643" s="85">
        <f>STATS1003B!U1646/1000</f>
        <v>0</v>
      </c>
      <c r="V1643" s="85">
        <f>STATS1003B!V1646/1000</f>
        <v>14313.752109999999</v>
      </c>
      <c r="W1643" s="85">
        <f>STATS1003B!W1646/1000</f>
        <v>25.847890000000596</v>
      </c>
      <c r="X1643" s="85">
        <f t="shared" si="184"/>
        <v>14313.752109999999</v>
      </c>
      <c r="Y1643" s="85">
        <f>STATS1003B!Y1646/1000</f>
        <v>0</v>
      </c>
      <c r="Z1643" s="85">
        <f>STATS1003B!Z1646/1000</f>
        <v>25.847890000000596</v>
      </c>
      <c r="AA1643" s="69">
        <f>STATS1003B!AA1646/1000</f>
        <v>14313.752109999999</v>
      </c>
      <c r="AB1643" s="69">
        <f>STATS1003B!AB1646/1000</f>
        <v>25.847890000000596</v>
      </c>
    </row>
    <row r="1644" spans="1:28" hidden="1" x14ac:dyDescent="0.3">
      <c r="A1644" s="117"/>
      <c r="C1644" s="68" t="s">
        <v>57</v>
      </c>
      <c r="D1644" s="87" t="s">
        <v>105</v>
      </c>
      <c r="E1644" s="85">
        <f>STATS1003B!E1647/1000</f>
        <v>3210.8209999999999</v>
      </c>
      <c r="F1644" s="85">
        <f>STATS1003B!F1647/1000</f>
        <v>3210.8209999999999</v>
      </c>
      <c r="G1644" s="85">
        <f>STATS1003B!G1647/1000</f>
        <v>0</v>
      </c>
      <c r="H1644" s="85">
        <f>STATS1003B!H1647/1000</f>
        <v>3210.8209999999999</v>
      </c>
      <c r="I1644" s="85">
        <f>STATS1003B!I1647/1000</f>
        <v>0</v>
      </c>
      <c r="J1644" s="85">
        <f>STATS1003B!J1647/1000</f>
        <v>0</v>
      </c>
      <c r="K1644" s="85">
        <f>STATS1003B!K1647/1000</f>
        <v>0</v>
      </c>
      <c r="L1644" s="85">
        <f>STATS1003B!L1647/1000</f>
        <v>0</v>
      </c>
      <c r="M1644" s="85">
        <f>STATS1003B!M1647/1000</f>
        <v>3210.8209999999999</v>
      </c>
      <c r="N1644" s="85">
        <f>STATS1003B!N1647/1000</f>
        <v>0</v>
      </c>
      <c r="O1644" s="85">
        <f>STATS1003B!O1647/1000</f>
        <v>0</v>
      </c>
      <c r="P1644" s="85">
        <f>STATS1003B!P1647/1000</f>
        <v>0</v>
      </c>
      <c r="Q1644" s="85">
        <f>STATS1003B!Q1647/1000</f>
        <v>0</v>
      </c>
      <c r="R1644" s="85">
        <f>STATS1003B!R1647/1000</f>
        <v>0</v>
      </c>
      <c r="S1644" s="85">
        <f>STATS1003B!S1647/1000</f>
        <v>0</v>
      </c>
      <c r="T1644" s="85">
        <f>STATS1003B!T1647/1000</f>
        <v>0</v>
      </c>
      <c r="U1644" s="85">
        <f>STATS1003B!U1647/1000</f>
        <v>0</v>
      </c>
      <c r="V1644" s="85">
        <f>STATS1003B!V1647/1000</f>
        <v>3210.8209999999999</v>
      </c>
      <c r="W1644" s="85">
        <f>STATS1003B!W1647/1000</f>
        <v>0</v>
      </c>
      <c r="X1644" s="85">
        <f t="shared" si="184"/>
        <v>3210.8209999999999</v>
      </c>
      <c r="Y1644" s="85">
        <f>STATS1003B!Y1647/1000</f>
        <v>0</v>
      </c>
      <c r="Z1644" s="85">
        <f>STATS1003B!Z1647/1000</f>
        <v>0</v>
      </c>
      <c r="AA1644" s="69">
        <f>STATS1003B!AA1647/1000</f>
        <v>3210.8209999999999</v>
      </c>
      <c r="AB1644" s="69">
        <f>STATS1003B!AB1647/1000</f>
        <v>0</v>
      </c>
    </row>
    <row r="1645" spans="1:28" hidden="1" x14ac:dyDescent="0.3">
      <c r="A1645" s="117"/>
      <c r="C1645" s="68" t="s">
        <v>192</v>
      </c>
      <c r="D1645" s="87" t="s">
        <v>128</v>
      </c>
      <c r="E1645" s="85">
        <f>STATS1003B!E1648/1000</f>
        <v>955.34561999999994</v>
      </c>
      <c r="F1645" s="85">
        <f>STATS1003B!F1648/1000</f>
        <v>0</v>
      </c>
      <c r="G1645" s="85">
        <f>STATS1003B!G1648/1000</f>
        <v>0</v>
      </c>
      <c r="H1645" s="85">
        <f>STATS1003B!H1648/1000</f>
        <v>0</v>
      </c>
      <c r="I1645" s="85">
        <f>STATS1003B!I1648/1000</f>
        <v>0</v>
      </c>
      <c r="J1645" s="85">
        <f>STATS1003B!J1648/1000</f>
        <v>0</v>
      </c>
      <c r="K1645" s="85">
        <f>STATS1003B!K1648/1000</f>
        <v>0</v>
      </c>
      <c r="L1645" s="85">
        <f>STATS1003B!L1648/1000</f>
        <v>0</v>
      </c>
      <c r="M1645" s="85">
        <f>STATS1003B!M1648/1000</f>
        <v>0</v>
      </c>
      <c r="N1645" s="85">
        <f>STATS1003B!N1648/1000</f>
        <v>955.34561999999994</v>
      </c>
      <c r="O1645" s="85">
        <f>STATS1003B!O1648/1000</f>
        <v>0</v>
      </c>
      <c r="P1645" s="85">
        <f>STATS1003B!P1648/1000</f>
        <v>955.34561999999994</v>
      </c>
      <c r="Q1645" s="85">
        <f>STATS1003B!Q1648/1000</f>
        <v>0</v>
      </c>
      <c r="R1645" s="85">
        <f>STATS1003B!R1648/1000</f>
        <v>0</v>
      </c>
      <c r="S1645" s="85">
        <f>STATS1003B!S1648/1000</f>
        <v>0</v>
      </c>
      <c r="T1645" s="85">
        <f>STATS1003B!T1648/1000</f>
        <v>0</v>
      </c>
      <c r="U1645" s="85">
        <f>STATS1003B!U1648/1000</f>
        <v>955.34561999999994</v>
      </c>
      <c r="V1645" s="85">
        <f>STATS1003B!V1648/1000</f>
        <v>955.34561999999994</v>
      </c>
      <c r="W1645" s="85">
        <f>STATS1003B!W1648/1000</f>
        <v>0</v>
      </c>
      <c r="X1645" s="85">
        <f t="shared" si="184"/>
        <v>955.34561999999994</v>
      </c>
      <c r="Y1645" s="85">
        <f>STATS1003B!Y1648/1000</f>
        <v>0</v>
      </c>
      <c r="Z1645" s="85">
        <f>STATS1003B!Z1648/1000</f>
        <v>0</v>
      </c>
      <c r="AA1645" s="69">
        <f>STATS1003B!AA1648/1000</f>
        <v>955.34561999999994</v>
      </c>
      <c r="AB1645" s="69">
        <f>STATS1003B!AB1648/1000</f>
        <v>0</v>
      </c>
    </row>
    <row r="1646" spans="1:28" hidden="1" x14ac:dyDescent="0.3">
      <c r="A1646" s="117"/>
      <c r="C1646" s="68" t="s">
        <v>331</v>
      </c>
      <c r="D1646" s="87" t="s">
        <v>85</v>
      </c>
      <c r="E1646" s="85">
        <f>STATS1003B!E1649/1000</f>
        <v>1550.885</v>
      </c>
      <c r="F1646" s="85">
        <f>STATS1003B!F1649/1000</f>
        <v>1550.885</v>
      </c>
      <c r="G1646" s="85">
        <f>STATS1003B!G1649/1000</f>
        <v>0</v>
      </c>
      <c r="H1646" s="85">
        <f>STATS1003B!H1649/1000</f>
        <v>1550.885</v>
      </c>
      <c r="I1646" s="85">
        <f>STATS1003B!I1649/1000</f>
        <v>0</v>
      </c>
      <c r="J1646" s="85">
        <f>STATS1003B!J1649/1000</f>
        <v>0</v>
      </c>
      <c r="K1646" s="85">
        <f>STATS1003B!K1649/1000</f>
        <v>0</v>
      </c>
      <c r="L1646" s="85">
        <f>STATS1003B!L1649/1000</f>
        <v>0</v>
      </c>
      <c r="M1646" s="85">
        <f>STATS1003B!M1649/1000</f>
        <v>1550.885</v>
      </c>
      <c r="N1646" s="85">
        <f>STATS1003B!N1649/1000</f>
        <v>0</v>
      </c>
      <c r="O1646" s="85">
        <f>STATS1003B!O1649/1000</f>
        <v>0</v>
      </c>
      <c r="P1646" s="85">
        <f>STATS1003B!P1649/1000</f>
        <v>0</v>
      </c>
      <c r="Q1646" s="85">
        <f>STATS1003B!Q1649/1000</f>
        <v>0</v>
      </c>
      <c r="R1646" s="85">
        <f>STATS1003B!R1649/1000</f>
        <v>0</v>
      </c>
      <c r="S1646" s="85">
        <f>STATS1003B!S1649/1000</f>
        <v>0</v>
      </c>
      <c r="T1646" s="85">
        <f>STATS1003B!T1649/1000</f>
        <v>0</v>
      </c>
      <c r="U1646" s="85">
        <f>STATS1003B!U1649/1000</f>
        <v>0</v>
      </c>
      <c r="V1646" s="85">
        <f>STATS1003B!V1649/1000</f>
        <v>1550.885</v>
      </c>
      <c r="W1646" s="85">
        <f>STATS1003B!W1649/1000</f>
        <v>0</v>
      </c>
      <c r="X1646" s="85">
        <f t="shared" si="184"/>
        <v>1550.885</v>
      </c>
      <c r="Y1646" s="85">
        <f>STATS1003B!Y1649/1000</f>
        <v>0</v>
      </c>
      <c r="Z1646" s="85">
        <f>STATS1003B!Z1649/1000</f>
        <v>0</v>
      </c>
      <c r="AA1646" s="69">
        <f>STATS1003B!AA1649/1000</f>
        <v>1550.885</v>
      </c>
      <c r="AB1646" s="69">
        <f>STATS1003B!AB1649/1000</f>
        <v>0</v>
      </c>
    </row>
    <row r="1647" spans="1:28" hidden="1" x14ac:dyDescent="0.3">
      <c r="A1647" s="117"/>
      <c r="C1647" s="68" t="s">
        <v>318</v>
      </c>
      <c r="D1647" s="87" t="s">
        <v>85</v>
      </c>
      <c r="E1647" s="85">
        <f>STATS1003B!E1650/1000</f>
        <v>4428.2060000000001</v>
      </c>
      <c r="F1647" s="85">
        <f>STATS1003B!F1650/1000</f>
        <v>4258.1239999999998</v>
      </c>
      <c r="G1647" s="85">
        <f>STATS1003B!G1650/1000</f>
        <v>0</v>
      </c>
      <c r="H1647" s="85">
        <f>STATS1003B!H1650/1000</f>
        <v>4258.1239999999998</v>
      </c>
      <c r="I1647" s="85">
        <f>STATS1003B!I1650/1000</f>
        <v>0</v>
      </c>
      <c r="J1647" s="85">
        <f>STATS1003B!J1650/1000</f>
        <v>0</v>
      </c>
      <c r="K1647" s="85">
        <f>STATS1003B!K1650/1000</f>
        <v>0</v>
      </c>
      <c r="L1647" s="85">
        <f>STATS1003B!L1650/1000</f>
        <v>0</v>
      </c>
      <c r="M1647" s="85">
        <f>STATS1003B!M1650/1000</f>
        <v>4258.1239999999998</v>
      </c>
      <c r="N1647" s="85">
        <f>STATS1003B!N1650/1000</f>
        <v>0</v>
      </c>
      <c r="O1647" s="85">
        <f>STATS1003B!O1650/1000</f>
        <v>0</v>
      </c>
      <c r="P1647" s="85">
        <f>STATS1003B!P1650/1000</f>
        <v>0</v>
      </c>
      <c r="Q1647" s="85">
        <f>STATS1003B!Q1650/1000</f>
        <v>0</v>
      </c>
      <c r="R1647" s="85">
        <f>STATS1003B!R1650/1000</f>
        <v>0</v>
      </c>
      <c r="S1647" s="85">
        <f>STATS1003B!S1650/1000</f>
        <v>0</v>
      </c>
      <c r="T1647" s="85">
        <f>STATS1003B!T1650/1000</f>
        <v>0</v>
      </c>
      <c r="U1647" s="85">
        <f>STATS1003B!U1650/1000</f>
        <v>0</v>
      </c>
      <c r="V1647" s="85">
        <f>STATS1003B!V1650/1000</f>
        <v>4258.1239999999998</v>
      </c>
      <c r="W1647" s="85">
        <f>STATS1003B!W1650/1000</f>
        <v>170.08199999999999</v>
      </c>
      <c r="X1647" s="85">
        <f t="shared" si="184"/>
        <v>4258.1239999999998</v>
      </c>
      <c r="Y1647" s="85">
        <f>STATS1003B!Y1650/1000</f>
        <v>0</v>
      </c>
      <c r="Z1647" s="85">
        <f>STATS1003B!Z1650/1000</f>
        <v>170.08199999999999</v>
      </c>
      <c r="AA1647" s="69">
        <f>STATS1003B!AA1650/1000</f>
        <v>4258.1239999999998</v>
      </c>
      <c r="AB1647" s="69">
        <f>STATS1003B!AB1650/1000</f>
        <v>170.08199999999999</v>
      </c>
    </row>
    <row r="1648" spans="1:28" hidden="1" x14ac:dyDescent="0.3">
      <c r="A1648" s="117"/>
      <c r="C1648" s="68" t="s">
        <v>332</v>
      </c>
      <c r="E1648" s="85">
        <f>STATS1003B!E1651/1000</f>
        <v>0</v>
      </c>
      <c r="F1648" s="85">
        <f>STATS1003B!F1651/1000</f>
        <v>0</v>
      </c>
      <c r="G1648" s="85">
        <f>STATS1003B!G1651/1000</f>
        <v>0</v>
      </c>
      <c r="H1648" s="85">
        <f>STATS1003B!H1651/1000</f>
        <v>0</v>
      </c>
      <c r="I1648" s="85">
        <f>STATS1003B!I1651/1000</f>
        <v>0</v>
      </c>
      <c r="J1648" s="85">
        <f>STATS1003B!J1651/1000</f>
        <v>0</v>
      </c>
      <c r="K1648" s="85">
        <f>STATS1003B!K1651/1000</f>
        <v>0</v>
      </c>
      <c r="L1648" s="85">
        <f>STATS1003B!L1651/1000</f>
        <v>0</v>
      </c>
      <c r="M1648" s="85">
        <f>STATS1003B!M1651/1000</f>
        <v>0</v>
      </c>
      <c r="N1648" s="85">
        <f>STATS1003B!N1651/1000</f>
        <v>0</v>
      </c>
      <c r="O1648" s="85">
        <f>STATS1003B!O1651/1000</f>
        <v>0</v>
      </c>
      <c r="P1648" s="85">
        <f>STATS1003B!P1651/1000</f>
        <v>0</v>
      </c>
      <c r="Q1648" s="85">
        <f>STATS1003B!Q1651/1000</f>
        <v>0</v>
      </c>
      <c r="R1648" s="85">
        <f>STATS1003B!R1651/1000</f>
        <v>0</v>
      </c>
      <c r="S1648" s="85">
        <f>STATS1003B!S1651/1000</f>
        <v>0</v>
      </c>
      <c r="T1648" s="85">
        <f>STATS1003B!T1651/1000</f>
        <v>0</v>
      </c>
      <c r="U1648" s="85">
        <f>STATS1003B!U1651/1000</f>
        <v>0</v>
      </c>
      <c r="V1648" s="85">
        <f>STATS1003B!V1651/1000</f>
        <v>0</v>
      </c>
      <c r="W1648" s="85">
        <f>STATS1003B!W1651/1000</f>
        <v>0</v>
      </c>
      <c r="X1648" s="85">
        <f t="shared" si="184"/>
        <v>0</v>
      </c>
      <c r="Y1648" s="85">
        <f>STATS1003B!Y1651/1000</f>
        <v>0</v>
      </c>
      <c r="Z1648" s="85">
        <f>STATS1003B!Z1651/1000</f>
        <v>0</v>
      </c>
      <c r="AA1648" s="69">
        <f>STATS1003B!AA1651/1000</f>
        <v>0</v>
      </c>
      <c r="AB1648" s="69">
        <f>STATS1003B!AB1651/1000</f>
        <v>0</v>
      </c>
    </row>
    <row r="1649" spans="1:28" hidden="1" x14ac:dyDescent="0.3">
      <c r="A1649" s="117"/>
      <c r="C1649" s="68" t="s">
        <v>333</v>
      </c>
      <c r="D1649" s="87" t="s">
        <v>58</v>
      </c>
      <c r="E1649" s="85">
        <f>STATS1003B!E1652/1000</f>
        <v>700</v>
      </c>
      <c r="F1649" s="85">
        <f>STATS1003B!F1652/1000</f>
        <v>700</v>
      </c>
      <c r="G1649" s="85">
        <f>STATS1003B!G1652/1000</f>
        <v>0</v>
      </c>
      <c r="H1649" s="85">
        <f>STATS1003B!H1652/1000</f>
        <v>700</v>
      </c>
      <c r="I1649" s="85">
        <f>STATS1003B!I1652/1000</f>
        <v>0</v>
      </c>
      <c r="J1649" s="85">
        <f>STATS1003B!J1652/1000</f>
        <v>0</v>
      </c>
      <c r="K1649" s="85">
        <f>STATS1003B!K1652/1000</f>
        <v>0</v>
      </c>
      <c r="L1649" s="85">
        <f>STATS1003B!L1652/1000</f>
        <v>0</v>
      </c>
      <c r="M1649" s="85">
        <f>STATS1003B!M1652/1000</f>
        <v>700</v>
      </c>
      <c r="N1649" s="85">
        <f>STATS1003B!N1652/1000</f>
        <v>0</v>
      </c>
      <c r="O1649" s="85">
        <f>STATS1003B!O1652/1000</f>
        <v>0</v>
      </c>
      <c r="P1649" s="85">
        <f>STATS1003B!P1652/1000</f>
        <v>0</v>
      </c>
      <c r="Q1649" s="85">
        <f>STATS1003B!Q1652/1000</f>
        <v>0</v>
      </c>
      <c r="R1649" s="85">
        <f>STATS1003B!R1652/1000</f>
        <v>0</v>
      </c>
      <c r="S1649" s="85">
        <f>STATS1003B!S1652/1000</f>
        <v>0</v>
      </c>
      <c r="T1649" s="85">
        <f>STATS1003B!T1652/1000</f>
        <v>0</v>
      </c>
      <c r="U1649" s="85">
        <f>STATS1003B!U1652/1000</f>
        <v>0</v>
      </c>
      <c r="V1649" s="85">
        <f>STATS1003B!V1652/1000</f>
        <v>700</v>
      </c>
      <c r="W1649" s="85">
        <f>STATS1003B!W1652/1000</f>
        <v>0</v>
      </c>
      <c r="X1649" s="85">
        <f t="shared" si="184"/>
        <v>700</v>
      </c>
      <c r="Y1649" s="85">
        <f>STATS1003B!Y1652/1000</f>
        <v>0</v>
      </c>
      <c r="Z1649" s="85">
        <f>STATS1003B!Z1652/1000</f>
        <v>0</v>
      </c>
      <c r="AA1649" s="69">
        <f>STATS1003B!AA1652/1000</f>
        <v>700</v>
      </c>
      <c r="AB1649" s="69">
        <f>STATS1003B!AB1652/1000</f>
        <v>0</v>
      </c>
    </row>
    <row r="1650" spans="1:28" hidden="1" x14ac:dyDescent="0.3">
      <c r="A1650" s="117"/>
      <c r="C1650" s="71" t="s">
        <v>109</v>
      </c>
      <c r="D1650" s="88" t="s">
        <v>60</v>
      </c>
      <c r="E1650" s="85">
        <f>STATS1003B!E1653/1000</f>
        <v>2500</v>
      </c>
      <c r="F1650" s="85">
        <f>STATS1003B!F1653/1000</f>
        <v>2500</v>
      </c>
      <c r="G1650" s="85">
        <f>STATS1003B!G1653/1000</f>
        <v>0</v>
      </c>
      <c r="H1650" s="85">
        <f>STATS1003B!H1653/1000</f>
        <v>2500</v>
      </c>
      <c r="I1650" s="85">
        <f>STATS1003B!I1653/1000</f>
        <v>0</v>
      </c>
      <c r="J1650" s="85">
        <f>STATS1003B!J1653/1000</f>
        <v>0</v>
      </c>
      <c r="K1650" s="85">
        <f>STATS1003B!K1653/1000</f>
        <v>0</v>
      </c>
      <c r="L1650" s="85">
        <f>STATS1003B!L1653/1000</f>
        <v>0</v>
      </c>
      <c r="M1650" s="85">
        <f>STATS1003B!M1653/1000</f>
        <v>2500</v>
      </c>
      <c r="N1650" s="85">
        <f>STATS1003B!N1653/1000</f>
        <v>0</v>
      </c>
      <c r="O1650" s="85">
        <f>STATS1003B!O1653/1000</f>
        <v>0</v>
      </c>
      <c r="P1650" s="85">
        <f>STATS1003B!P1653/1000</f>
        <v>0</v>
      </c>
      <c r="Q1650" s="85">
        <f>STATS1003B!Q1653/1000</f>
        <v>0</v>
      </c>
      <c r="R1650" s="85">
        <f>STATS1003B!R1653/1000</f>
        <v>0</v>
      </c>
      <c r="S1650" s="85">
        <f>STATS1003B!S1653/1000</f>
        <v>0</v>
      </c>
      <c r="T1650" s="85">
        <f>STATS1003B!T1653/1000</f>
        <v>0</v>
      </c>
      <c r="U1650" s="85">
        <f>STATS1003B!U1653/1000</f>
        <v>0</v>
      </c>
      <c r="V1650" s="85">
        <f>STATS1003B!V1653/1000</f>
        <v>2500</v>
      </c>
      <c r="W1650" s="85">
        <f>STATS1003B!W1653/1000</f>
        <v>0</v>
      </c>
      <c r="X1650" s="85">
        <f t="shared" si="184"/>
        <v>2500</v>
      </c>
      <c r="Y1650" s="85">
        <f>STATS1003B!Y1653/1000</f>
        <v>0</v>
      </c>
      <c r="Z1650" s="85">
        <f>STATS1003B!Z1653/1000</f>
        <v>0</v>
      </c>
      <c r="AA1650" s="69">
        <f>STATS1003B!AA1653/1000</f>
        <v>2500</v>
      </c>
      <c r="AB1650" s="69">
        <f>STATS1003B!AB1653/1000</f>
        <v>0</v>
      </c>
    </row>
    <row r="1651" spans="1:28" hidden="1" x14ac:dyDescent="0.3">
      <c r="A1651" s="117"/>
      <c r="C1651" s="71" t="s">
        <v>57</v>
      </c>
      <c r="D1651" s="88" t="s">
        <v>60</v>
      </c>
      <c r="E1651" s="85">
        <f>STATS1003B!E1654/1000</f>
        <v>1098</v>
      </c>
      <c r="F1651" s="85">
        <f>STATS1003B!F1654/1000</f>
        <v>1098</v>
      </c>
      <c r="G1651" s="85">
        <f>STATS1003B!G1654/1000</f>
        <v>0</v>
      </c>
      <c r="H1651" s="85">
        <f>STATS1003B!H1654/1000</f>
        <v>1098</v>
      </c>
      <c r="I1651" s="85">
        <f>STATS1003B!I1654/1000</f>
        <v>0</v>
      </c>
      <c r="J1651" s="85">
        <f>STATS1003B!J1654/1000</f>
        <v>0</v>
      </c>
      <c r="K1651" s="85">
        <f>STATS1003B!K1654/1000</f>
        <v>0</v>
      </c>
      <c r="L1651" s="85">
        <f>STATS1003B!L1654/1000</f>
        <v>0</v>
      </c>
      <c r="M1651" s="85">
        <f>STATS1003B!M1654/1000</f>
        <v>1098</v>
      </c>
      <c r="N1651" s="85">
        <f>STATS1003B!N1654/1000</f>
        <v>0</v>
      </c>
      <c r="O1651" s="85">
        <f>STATS1003B!O1654/1000</f>
        <v>0</v>
      </c>
      <c r="P1651" s="85">
        <f>STATS1003B!P1654/1000</f>
        <v>0</v>
      </c>
      <c r="Q1651" s="85">
        <f>STATS1003B!Q1654/1000</f>
        <v>0</v>
      </c>
      <c r="R1651" s="85">
        <f>STATS1003B!R1654/1000</f>
        <v>0</v>
      </c>
      <c r="S1651" s="85">
        <f>STATS1003B!S1654/1000</f>
        <v>0</v>
      </c>
      <c r="T1651" s="85">
        <f>STATS1003B!T1654/1000</f>
        <v>0</v>
      </c>
      <c r="U1651" s="85">
        <f>STATS1003B!U1654/1000</f>
        <v>0</v>
      </c>
      <c r="V1651" s="85">
        <f>STATS1003B!V1654/1000</f>
        <v>1098</v>
      </c>
      <c r="W1651" s="85">
        <f>STATS1003B!W1654/1000</f>
        <v>0</v>
      </c>
      <c r="X1651" s="85">
        <f t="shared" si="184"/>
        <v>1098</v>
      </c>
      <c r="Y1651" s="85">
        <f>STATS1003B!Y1654/1000</f>
        <v>0</v>
      </c>
      <c r="Z1651" s="85">
        <f>STATS1003B!Z1654/1000</f>
        <v>0</v>
      </c>
      <c r="AA1651" s="69">
        <f>STATS1003B!AA1654/1000</f>
        <v>1098</v>
      </c>
      <c r="AB1651" s="69">
        <f>STATS1003B!AB1654/1000</f>
        <v>0</v>
      </c>
    </row>
    <row r="1652" spans="1:28" hidden="1" x14ac:dyDescent="0.3">
      <c r="A1652" s="117"/>
      <c r="C1652" s="71" t="s">
        <v>57</v>
      </c>
      <c r="D1652" s="88" t="s">
        <v>73</v>
      </c>
      <c r="E1652" s="85">
        <f>STATS1003B!E1655/1000</f>
        <v>4098</v>
      </c>
      <c r="F1652" s="85">
        <f>STATS1003B!F1655/1000</f>
        <v>4098</v>
      </c>
      <c r="G1652" s="85">
        <f>STATS1003B!G1655/1000</f>
        <v>0</v>
      </c>
      <c r="H1652" s="85">
        <f>STATS1003B!H1655/1000</f>
        <v>4098</v>
      </c>
      <c r="I1652" s="85">
        <f>STATS1003B!I1655/1000</f>
        <v>0</v>
      </c>
      <c r="J1652" s="85">
        <f>STATS1003B!J1655/1000</f>
        <v>0</v>
      </c>
      <c r="K1652" s="85">
        <f>STATS1003B!K1655/1000</f>
        <v>0</v>
      </c>
      <c r="L1652" s="85">
        <f>STATS1003B!L1655/1000</f>
        <v>0</v>
      </c>
      <c r="M1652" s="85">
        <f>STATS1003B!M1655/1000</f>
        <v>4098</v>
      </c>
      <c r="N1652" s="85">
        <f>STATS1003B!N1655/1000</f>
        <v>0</v>
      </c>
      <c r="O1652" s="85">
        <f>STATS1003B!O1655/1000</f>
        <v>0</v>
      </c>
      <c r="P1652" s="85">
        <f>STATS1003B!P1655/1000</f>
        <v>0</v>
      </c>
      <c r="Q1652" s="85">
        <f>STATS1003B!Q1655/1000</f>
        <v>0</v>
      </c>
      <c r="R1652" s="85">
        <f>STATS1003B!R1655/1000</f>
        <v>0</v>
      </c>
      <c r="S1652" s="85">
        <f>STATS1003B!S1655/1000</f>
        <v>0</v>
      </c>
      <c r="T1652" s="85">
        <f>STATS1003B!T1655/1000</f>
        <v>0</v>
      </c>
      <c r="U1652" s="85">
        <f>STATS1003B!U1655/1000</f>
        <v>0</v>
      </c>
      <c r="V1652" s="85">
        <f>STATS1003B!V1655/1000</f>
        <v>4098</v>
      </c>
      <c r="W1652" s="85">
        <f>STATS1003B!W1655/1000</f>
        <v>0</v>
      </c>
      <c r="X1652" s="85">
        <f t="shared" si="184"/>
        <v>4098</v>
      </c>
      <c r="Y1652" s="85">
        <f>STATS1003B!Y1655/1000</f>
        <v>0</v>
      </c>
      <c r="Z1652" s="85">
        <f>STATS1003B!Z1655/1000</f>
        <v>0</v>
      </c>
      <c r="AA1652" s="69">
        <f>STATS1003B!AA1655/1000</f>
        <v>4098</v>
      </c>
      <c r="AB1652" s="69">
        <f>STATS1003B!AB1655/1000</f>
        <v>0</v>
      </c>
    </row>
    <row r="1653" spans="1:28" hidden="1" x14ac:dyDescent="0.3">
      <c r="A1653" s="117"/>
      <c r="C1653" s="68" t="s">
        <v>122</v>
      </c>
      <c r="E1653" s="85">
        <f>STATS1003B!E1656/1000</f>
        <v>977.77499999999998</v>
      </c>
      <c r="F1653" s="85">
        <f>STATS1003B!F1656/1000</f>
        <v>977.77499999999998</v>
      </c>
      <c r="G1653" s="85">
        <f>STATS1003B!G1656/1000</f>
        <v>0</v>
      </c>
      <c r="H1653" s="85">
        <f>STATS1003B!H1656/1000</f>
        <v>977.77499999999998</v>
      </c>
      <c r="I1653" s="85">
        <f>STATS1003B!I1656/1000</f>
        <v>0</v>
      </c>
      <c r="J1653" s="85">
        <f>STATS1003B!J1656/1000</f>
        <v>0</v>
      </c>
      <c r="K1653" s="85">
        <f>STATS1003B!K1656/1000</f>
        <v>0</v>
      </c>
      <c r="L1653" s="85">
        <f>STATS1003B!L1656/1000</f>
        <v>0</v>
      </c>
      <c r="M1653" s="85">
        <f>STATS1003B!M1656/1000</f>
        <v>977.77499999999998</v>
      </c>
      <c r="N1653" s="85">
        <f>STATS1003B!N1656/1000</f>
        <v>0</v>
      </c>
      <c r="O1653" s="85">
        <f>STATS1003B!O1656/1000</f>
        <v>0</v>
      </c>
      <c r="P1653" s="85">
        <f>STATS1003B!P1656/1000</f>
        <v>0</v>
      </c>
      <c r="Q1653" s="85">
        <f>STATS1003B!Q1656/1000</f>
        <v>0</v>
      </c>
      <c r="R1653" s="85">
        <f>STATS1003B!R1656/1000</f>
        <v>0</v>
      </c>
      <c r="S1653" s="85">
        <f>STATS1003B!S1656/1000</f>
        <v>0</v>
      </c>
      <c r="T1653" s="85">
        <f>STATS1003B!T1656/1000</f>
        <v>0</v>
      </c>
      <c r="U1653" s="85">
        <f>STATS1003B!U1656/1000</f>
        <v>0</v>
      </c>
      <c r="V1653" s="85">
        <f>STATS1003B!V1656/1000</f>
        <v>977.77499999999998</v>
      </c>
      <c r="W1653" s="85">
        <f>STATS1003B!W1656/1000</f>
        <v>0</v>
      </c>
      <c r="X1653" s="85">
        <f t="shared" si="184"/>
        <v>977.77499999999998</v>
      </c>
      <c r="Y1653" s="85">
        <f>STATS1003B!Y1656/1000</f>
        <v>0</v>
      </c>
      <c r="Z1653" s="85">
        <f>STATS1003B!Z1656/1000</f>
        <v>0</v>
      </c>
      <c r="AA1653" s="69">
        <f>STATS1003B!AA1656/1000</f>
        <v>977.77499999999998</v>
      </c>
      <c r="AB1653" s="69">
        <f>STATS1003B!AB1656/1000</f>
        <v>0</v>
      </c>
    </row>
    <row r="1654" spans="1:28" hidden="1" x14ac:dyDescent="0.3">
      <c r="A1654" s="117"/>
      <c r="C1654" s="68" t="s">
        <v>1183</v>
      </c>
      <c r="D1654" s="91" t="s">
        <v>1126</v>
      </c>
      <c r="E1654" s="85">
        <f>STATS1003B!E1657/1000</f>
        <v>2539.0013799999997</v>
      </c>
      <c r="F1654" s="85">
        <f>STATS1003B!F1657/1000</f>
        <v>2539.0013799999997</v>
      </c>
      <c r="G1654" s="85">
        <f>STATS1003B!G1657/1000</f>
        <v>0</v>
      </c>
      <c r="H1654" s="85">
        <f>STATS1003B!H1657/1000</f>
        <v>2539.0013799999997</v>
      </c>
      <c r="I1654" s="85">
        <f>STATS1003B!I1657/1000</f>
        <v>0</v>
      </c>
      <c r="J1654" s="85">
        <f>STATS1003B!J1657/1000</f>
        <v>0</v>
      </c>
      <c r="K1654" s="85">
        <f>STATS1003B!K1657/1000</f>
        <v>0</v>
      </c>
      <c r="L1654" s="85">
        <f>STATS1003B!L1657/1000</f>
        <v>0</v>
      </c>
      <c r="M1654" s="85">
        <f>STATS1003B!M1657/1000</f>
        <v>2539.0013799999997</v>
      </c>
      <c r="N1654" s="85">
        <f>STATS1003B!N1657/1000</f>
        <v>0</v>
      </c>
      <c r="O1654" s="85">
        <f>STATS1003B!O1657/1000</f>
        <v>0</v>
      </c>
      <c r="P1654" s="85">
        <f>STATS1003B!P1657/1000</f>
        <v>0</v>
      </c>
      <c r="Q1654" s="85">
        <f>STATS1003B!Q1657/1000</f>
        <v>0</v>
      </c>
      <c r="R1654" s="85">
        <f>STATS1003B!R1657/1000</f>
        <v>0</v>
      </c>
      <c r="S1654" s="85">
        <f>STATS1003B!S1657/1000</f>
        <v>0</v>
      </c>
      <c r="T1654" s="85">
        <f>STATS1003B!T1657/1000</f>
        <v>0</v>
      </c>
      <c r="U1654" s="85">
        <f>STATS1003B!U1657/1000</f>
        <v>0</v>
      </c>
      <c r="V1654" s="85">
        <f>STATS1003B!V1657/1000</f>
        <v>2539.0013799999997</v>
      </c>
      <c r="W1654" s="85">
        <f>STATS1003B!W1657/1000</f>
        <v>0</v>
      </c>
      <c r="X1654" s="85">
        <f t="shared" si="184"/>
        <v>2539.0013799999997</v>
      </c>
      <c r="Y1654" s="85">
        <f>STATS1003B!Y1657/1000</f>
        <v>0</v>
      </c>
      <c r="Z1654" s="85">
        <f>STATS1003B!Z1657/1000</f>
        <v>0</v>
      </c>
      <c r="AA1654" s="69">
        <f>STATS1003B!AA1657/1000</f>
        <v>2539.0013799999997</v>
      </c>
      <c r="AB1654" s="69">
        <f>STATS1003B!AB1657/1000</f>
        <v>0</v>
      </c>
    </row>
    <row r="1655" spans="1:28" hidden="1" x14ac:dyDescent="0.3">
      <c r="A1655" s="117"/>
      <c r="C1655" s="68" t="s">
        <v>1200</v>
      </c>
      <c r="D1655" s="91" t="s">
        <v>1126</v>
      </c>
      <c r="E1655" s="85">
        <f>STATS1003B!E1658/1000</f>
        <v>333.18081999999998</v>
      </c>
      <c r="F1655" s="85">
        <f>STATS1003B!F1658/1000</f>
        <v>333.18081999999998</v>
      </c>
      <c r="G1655" s="85">
        <f>STATS1003B!G1658/1000</f>
        <v>0</v>
      </c>
      <c r="H1655" s="85">
        <f>STATS1003B!H1658/1000</f>
        <v>333.18081999999998</v>
      </c>
      <c r="I1655" s="85">
        <f>STATS1003B!I1658/1000</f>
        <v>0</v>
      </c>
      <c r="J1655" s="85">
        <f>STATS1003B!J1658/1000</f>
        <v>0</v>
      </c>
      <c r="K1655" s="85">
        <f>STATS1003B!K1658/1000</f>
        <v>0</v>
      </c>
      <c r="L1655" s="85">
        <f>STATS1003B!L1658/1000</f>
        <v>0</v>
      </c>
      <c r="M1655" s="85">
        <f>STATS1003B!M1658/1000</f>
        <v>333.18081999999998</v>
      </c>
      <c r="N1655" s="85">
        <f>STATS1003B!N1658/1000</f>
        <v>0</v>
      </c>
      <c r="O1655" s="85">
        <f>STATS1003B!O1658/1000</f>
        <v>0</v>
      </c>
      <c r="P1655" s="85">
        <f>STATS1003B!P1658/1000</f>
        <v>0</v>
      </c>
      <c r="Q1655" s="85">
        <f>STATS1003B!Q1658/1000</f>
        <v>0</v>
      </c>
      <c r="R1655" s="85">
        <f>STATS1003B!R1658/1000</f>
        <v>0</v>
      </c>
      <c r="S1655" s="85">
        <f>STATS1003B!S1658/1000</f>
        <v>0</v>
      </c>
      <c r="T1655" s="85">
        <f>STATS1003B!T1658/1000</f>
        <v>0</v>
      </c>
      <c r="U1655" s="85">
        <f>STATS1003B!U1658/1000</f>
        <v>0</v>
      </c>
      <c r="V1655" s="85">
        <f>STATS1003B!V1658/1000</f>
        <v>333.18081999999998</v>
      </c>
      <c r="W1655" s="85">
        <f>STATS1003B!W1658/1000</f>
        <v>0</v>
      </c>
      <c r="X1655" s="85">
        <f t="shared" si="184"/>
        <v>333.18081999999998</v>
      </c>
      <c r="Y1655" s="85">
        <f>STATS1003B!Y1658/1000</f>
        <v>0</v>
      </c>
      <c r="Z1655" s="85">
        <f>STATS1003B!Z1658/1000</f>
        <v>0</v>
      </c>
      <c r="AA1655" s="69">
        <f>STATS1003B!AA1658/1000</f>
        <v>333.18081999999998</v>
      </c>
      <c r="AB1655" s="69">
        <f>STATS1003B!AB1658/1000</f>
        <v>0</v>
      </c>
    </row>
    <row r="1656" spans="1:28" hidden="1" x14ac:dyDescent="0.3">
      <c r="A1656" s="117"/>
      <c r="C1656" s="68" t="s">
        <v>1222</v>
      </c>
      <c r="D1656" s="91" t="s">
        <v>1126</v>
      </c>
      <c r="E1656" s="85">
        <f>STATS1003B!E1659/1000</f>
        <v>288.36964</v>
      </c>
      <c r="F1656" s="85">
        <f>STATS1003B!F1659/1000</f>
        <v>288.36964</v>
      </c>
      <c r="G1656" s="85">
        <f>STATS1003B!G1659/1000</f>
        <v>0</v>
      </c>
      <c r="H1656" s="85">
        <f>STATS1003B!H1659/1000</f>
        <v>288.36964</v>
      </c>
      <c r="I1656" s="85">
        <f>STATS1003B!I1659/1000</f>
        <v>0</v>
      </c>
      <c r="J1656" s="85">
        <f>STATS1003B!J1659/1000</f>
        <v>0</v>
      </c>
      <c r="K1656" s="85">
        <f>STATS1003B!K1659/1000</f>
        <v>0</v>
      </c>
      <c r="L1656" s="85">
        <f>STATS1003B!L1659/1000</f>
        <v>0</v>
      </c>
      <c r="M1656" s="85">
        <f>STATS1003B!M1659/1000</f>
        <v>288.36964</v>
      </c>
      <c r="N1656" s="85">
        <f>STATS1003B!N1659/1000</f>
        <v>0</v>
      </c>
      <c r="O1656" s="85">
        <f>STATS1003B!O1659/1000</f>
        <v>0</v>
      </c>
      <c r="P1656" s="85">
        <f>STATS1003B!P1659/1000</f>
        <v>0</v>
      </c>
      <c r="Q1656" s="85">
        <f>STATS1003B!Q1659/1000</f>
        <v>0</v>
      </c>
      <c r="R1656" s="85">
        <f>STATS1003B!R1659/1000</f>
        <v>0</v>
      </c>
      <c r="S1656" s="85">
        <f>STATS1003B!S1659/1000</f>
        <v>0</v>
      </c>
      <c r="T1656" s="85">
        <f>STATS1003B!T1659/1000</f>
        <v>0</v>
      </c>
      <c r="U1656" s="85">
        <f>STATS1003B!U1659/1000</f>
        <v>0</v>
      </c>
      <c r="V1656" s="85">
        <f>STATS1003B!V1659/1000</f>
        <v>288.36964</v>
      </c>
      <c r="W1656" s="85">
        <f>STATS1003B!W1659/1000</f>
        <v>0</v>
      </c>
      <c r="X1656" s="85">
        <f t="shared" ref="X1656:X1719" si="187">+H1656+P1656</f>
        <v>288.36964</v>
      </c>
      <c r="Y1656" s="85">
        <f>STATS1003B!Y1659/1000</f>
        <v>0</v>
      </c>
      <c r="Z1656" s="85">
        <f>STATS1003B!Z1659/1000</f>
        <v>0</v>
      </c>
      <c r="AA1656" s="69">
        <f>STATS1003B!AA1659/1000</f>
        <v>288.36964</v>
      </c>
      <c r="AB1656" s="69">
        <f>STATS1003B!AB1659/1000</f>
        <v>0</v>
      </c>
    </row>
    <row r="1657" spans="1:28" hidden="1" x14ac:dyDescent="0.3">
      <c r="A1657" s="117"/>
      <c r="C1657" s="71" t="s">
        <v>57</v>
      </c>
      <c r="D1657" s="89" t="s">
        <v>61</v>
      </c>
      <c r="E1657" s="85">
        <f>STATS1003B!E1660/1000</f>
        <v>4645.9120000000003</v>
      </c>
      <c r="F1657" s="85">
        <f>STATS1003B!F1660/1000</f>
        <v>1591.7449999999999</v>
      </c>
      <c r="G1657" s="85">
        <f>STATS1003B!G1660/1000</f>
        <v>0</v>
      </c>
      <c r="H1657" s="85">
        <f>STATS1003B!H1660/1000</f>
        <v>1591.7449999999999</v>
      </c>
      <c r="I1657" s="85">
        <f>STATS1003B!I1660/1000</f>
        <v>0</v>
      </c>
      <c r="J1657" s="85">
        <f>STATS1003B!J1660/1000</f>
        <v>0</v>
      </c>
      <c r="K1657" s="85">
        <f>STATS1003B!K1660/1000</f>
        <v>0</v>
      </c>
      <c r="L1657" s="85">
        <f>STATS1003B!L1660/1000</f>
        <v>0</v>
      </c>
      <c r="M1657" s="85">
        <f>STATS1003B!M1660/1000</f>
        <v>1591.7449999999999</v>
      </c>
      <c r="N1657" s="85">
        <f>STATS1003B!N1660/1000</f>
        <v>0</v>
      </c>
      <c r="O1657" s="85">
        <f>STATS1003B!O1660/1000</f>
        <v>0</v>
      </c>
      <c r="P1657" s="85">
        <f>STATS1003B!P1660/1000</f>
        <v>0</v>
      </c>
      <c r="Q1657" s="85">
        <f>STATS1003B!Q1660/1000</f>
        <v>0</v>
      </c>
      <c r="R1657" s="85">
        <f>STATS1003B!R1660/1000</f>
        <v>0</v>
      </c>
      <c r="S1657" s="85">
        <f>STATS1003B!S1660/1000</f>
        <v>0</v>
      </c>
      <c r="T1657" s="85">
        <f>STATS1003B!T1660/1000</f>
        <v>0</v>
      </c>
      <c r="U1657" s="85">
        <f>STATS1003B!U1660/1000</f>
        <v>0</v>
      </c>
      <c r="V1657" s="85">
        <f>STATS1003B!V1660/1000</f>
        <v>1591.7449999999999</v>
      </c>
      <c r="W1657" s="85">
        <f>STATS1003B!W1660/1000</f>
        <v>3054.1669999999999</v>
      </c>
      <c r="X1657" s="85">
        <f t="shared" si="187"/>
        <v>1591.7449999999999</v>
      </c>
      <c r="Y1657" s="85">
        <f>STATS1003B!Y1660/1000</f>
        <v>0</v>
      </c>
      <c r="Z1657" s="85">
        <f>STATS1003B!Z1660/1000</f>
        <v>3054.1669999999999</v>
      </c>
      <c r="AA1657" s="69">
        <f>STATS1003B!AA1660/1000</f>
        <v>1591.7449999999999</v>
      </c>
      <c r="AB1657" s="69">
        <f>STATS1003B!AB1660/1000</f>
        <v>3054.1669999999999</v>
      </c>
    </row>
    <row r="1658" spans="1:28" hidden="1" x14ac:dyDescent="0.3">
      <c r="A1658" s="117"/>
      <c r="E1658" s="86" t="s">
        <v>29</v>
      </c>
      <c r="F1658" s="86" t="s">
        <v>29</v>
      </c>
      <c r="G1658" s="86" t="s">
        <v>29</v>
      </c>
      <c r="H1658" s="86" t="s">
        <v>29</v>
      </c>
      <c r="I1658" s="86" t="s">
        <v>29</v>
      </c>
      <c r="J1658" s="86" t="s">
        <v>29</v>
      </c>
      <c r="K1658" s="86" t="s">
        <v>29</v>
      </c>
      <c r="L1658" s="86" t="s">
        <v>29</v>
      </c>
      <c r="M1658" s="86" t="s">
        <v>29</v>
      </c>
      <c r="N1658" s="86" t="s">
        <v>29</v>
      </c>
      <c r="O1658" s="86" t="s">
        <v>29</v>
      </c>
      <c r="P1658" s="86" t="s">
        <v>29</v>
      </c>
      <c r="Q1658" s="86" t="s">
        <v>29</v>
      </c>
      <c r="R1658" s="86" t="s">
        <v>29</v>
      </c>
      <c r="S1658" s="86" t="s">
        <v>29</v>
      </c>
      <c r="T1658" s="86" t="s">
        <v>29</v>
      </c>
      <c r="U1658" s="86" t="s">
        <v>29</v>
      </c>
      <c r="V1658" s="86" t="s">
        <v>29</v>
      </c>
      <c r="W1658" s="86" t="s">
        <v>29</v>
      </c>
      <c r="X1658" s="85" t="e">
        <f t="shared" si="187"/>
        <v>#VALUE!</v>
      </c>
      <c r="Y1658" s="86" t="s">
        <v>29</v>
      </c>
      <c r="Z1658" s="86" t="s">
        <v>29</v>
      </c>
      <c r="AA1658" s="115" t="s">
        <v>29</v>
      </c>
      <c r="AB1658" s="115" t="s">
        <v>29</v>
      </c>
    </row>
    <row r="1659" spans="1:28" x14ac:dyDescent="0.3">
      <c r="A1659" s="116">
        <v>70</v>
      </c>
      <c r="B1659" s="68" t="s">
        <v>328</v>
      </c>
      <c r="E1659" s="85">
        <f>111839689.09/1000</f>
        <v>111839.68909</v>
      </c>
      <c r="F1659" s="85">
        <f t="shared" ref="F1659:AB1659" si="188">SUM(F1642:F1657)</f>
        <v>37459.65395</v>
      </c>
      <c r="G1659" s="85">
        <f t="shared" si="188"/>
        <v>0</v>
      </c>
      <c r="H1659" s="85">
        <f>107634246.58/1000</f>
        <v>107634.24657999999</v>
      </c>
      <c r="I1659" s="85">
        <f t="shared" si="188"/>
        <v>0</v>
      </c>
      <c r="J1659" s="85">
        <f t="shared" si="188"/>
        <v>0</v>
      </c>
      <c r="K1659" s="85">
        <f t="shared" si="188"/>
        <v>0</v>
      </c>
      <c r="L1659" s="85">
        <f t="shared" si="188"/>
        <v>0</v>
      </c>
      <c r="M1659" s="85">
        <f t="shared" si="188"/>
        <v>37459.65395</v>
      </c>
      <c r="N1659" s="85">
        <f t="shared" si="188"/>
        <v>955.34561999999994</v>
      </c>
      <c r="O1659" s="85">
        <f t="shared" si="188"/>
        <v>0</v>
      </c>
      <c r="P1659" s="85">
        <f>955345/1000</f>
        <v>955.34500000000003</v>
      </c>
      <c r="Q1659" s="85">
        <f t="shared" si="188"/>
        <v>0</v>
      </c>
      <c r="R1659" s="85">
        <f t="shared" si="188"/>
        <v>0</v>
      </c>
      <c r="S1659" s="85">
        <f t="shared" si="188"/>
        <v>0</v>
      </c>
      <c r="T1659" s="85">
        <f t="shared" si="188"/>
        <v>0</v>
      </c>
      <c r="U1659" s="85">
        <f t="shared" si="188"/>
        <v>955.34561999999994</v>
      </c>
      <c r="V1659" s="85">
        <f t="shared" si="188"/>
        <v>38414.99957</v>
      </c>
      <c r="W1659" s="85">
        <f t="shared" si="188"/>
        <v>3250.0968900000007</v>
      </c>
      <c r="X1659" s="85">
        <f t="shared" si="187"/>
        <v>108589.59157999999</v>
      </c>
      <c r="Y1659" s="85">
        <f t="shared" si="188"/>
        <v>0</v>
      </c>
      <c r="Z1659" s="85">
        <f t="shared" si="188"/>
        <v>3250.0968900000007</v>
      </c>
      <c r="AA1659" s="69">
        <f t="shared" si="188"/>
        <v>38414.99957</v>
      </c>
      <c r="AB1659" s="69">
        <f t="shared" si="188"/>
        <v>3250.0968900000007</v>
      </c>
    </row>
    <row r="1660" spans="1:28" hidden="1" x14ac:dyDescent="0.3">
      <c r="A1660" s="117"/>
      <c r="E1660" s="86" t="s">
        <v>29</v>
      </c>
      <c r="F1660" s="86" t="s">
        <v>29</v>
      </c>
      <c r="G1660" s="86" t="s">
        <v>29</v>
      </c>
      <c r="H1660" s="86" t="s">
        <v>29</v>
      </c>
      <c r="I1660" s="86" t="s">
        <v>29</v>
      </c>
      <c r="J1660" s="86" t="s">
        <v>29</v>
      </c>
      <c r="K1660" s="86" t="s">
        <v>29</v>
      </c>
      <c r="L1660" s="86" t="s">
        <v>29</v>
      </c>
      <c r="M1660" s="86" t="s">
        <v>29</v>
      </c>
      <c r="N1660" s="86" t="s">
        <v>29</v>
      </c>
      <c r="O1660" s="86" t="s">
        <v>29</v>
      </c>
      <c r="P1660" s="86" t="s">
        <v>29</v>
      </c>
      <c r="Q1660" s="86" t="s">
        <v>29</v>
      </c>
      <c r="R1660" s="86" t="s">
        <v>29</v>
      </c>
      <c r="S1660" s="86" t="s">
        <v>29</v>
      </c>
      <c r="T1660" s="86" t="s">
        <v>29</v>
      </c>
      <c r="U1660" s="86" t="s">
        <v>29</v>
      </c>
      <c r="V1660" s="86" t="s">
        <v>29</v>
      </c>
      <c r="W1660" s="86" t="s">
        <v>29</v>
      </c>
      <c r="X1660" s="85" t="e">
        <f t="shared" si="187"/>
        <v>#VALUE!</v>
      </c>
      <c r="Y1660" s="86" t="s">
        <v>29</v>
      </c>
      <c r="Z1660" s="86" t="s">
        <v>29</v>
      </c>
      <c r="AA1660" s="115" t="s">
        <v>29</v>
      </c>
      <c r="AB1660" s="115" t="s">
        <v>29</v>
      </c>
    </row>
    <row r="1661" spans="1:28" hidden="1" x14ac:dyDescent="0.3">
      <c r="A1661" s="105"/>
      <c r="E1661" s="84"/>
      <c r="F1661" s="84"/>
      <c r="G1661" s="84"/>
      <c r="H1661" s="84"/>
      <c r="I1661" s="84"/>
      <c r="J1661" s="84"/>
      <c r="K1661" s="84"/>
      <c r="L1661" s="84"/>
      <c r="M1661" s="84"/>
      <c r="N1661" s="84"/>
      <c r="O1661" s="84"/>
      <c r="P1661" s="84"/>
      <c r="Q1661" s="84"/>
      <c r="R1661" s="84"/>
      <c r="S1661" s="84"/>
      <c r="T1661" s="84"/>
      <c r="U1661" s="84"/>
      <c r="V1661" s="84"/>
      <c r="W1661" s="84"/>
      <c r="X1661" s="85">
        <f t="shared" si="187"/>
        <v>0</v>
      </c>
      <c r="Y1661" s="84"/>
      <c r="Z1661" s="84"/>
    </row>
    <row r="1662" spans="1:28" hidden="1" x14ac:dyDescent="0.3">
      <c r="A1662" s="117"/>
      <c r="C1662" s="68" t="s">
        <v>53</v>
      </c>
      <c r="D1662" s="87" t="s">
        <v>68</v>
      </c>
      <c r="E1662" s="85">
        <f>STATS1003B!E1665/1000</f>
        <v>1767.77</v>
      </c>
      <c r="F1662" s="85">
        <f>STATS1003B!F1665/1000</f>
        <v>0</v>
      </c>
      <c r="G1662" s="85">
        <f>STATS1003B!G1665/1000</f>
        <v>0</v>
      </c>
      <c r="H1662" s="85">
        <f>STATS1003B!H1665/1000</f>
        <v>0</v>
      </c>
      <c r="I1662" s="85">
        <f>STATS1003B!I1665/1000</f>
        <v>0</v>
      </c>
      <c r="J1662" s="85">
        <f>STATS1003B!J1665/1000</f>
        <v>0</v>
      </c>
      <c r="K1662" s="85">
        <f>STATS1003B!K1665/1000</f>
        <v>0</v>
      </c>
      <c r="L1662" s="85">
        <f>STATS1003B!L1665/1000</f>
        <v>0</v>
      </c>
      <c r="M1662" s="85">
        <f>STATS1003B!M1665/1000</f>
        <v>0</v>
      </c>
      <c r="N1662" s="85">
        <f>STATS1003B!N1665/1000</f>
        <v>1767.77</v>
      </c>
      <c r="O1662" s="85">
        <f>STATS1003B!O1665/1000</f>
        <v>0</v>
      </c>
      <c r="P1662" s="85">
        <f>STATS1003B!P1665/1000</f>
        <v>1767.77</v>
      </c>
      <c r="Q1662" s="85">
        <f>STATS1003B!Q1665/1000</f>
        <v>0</v>
      </c>
      <c r="R1662" s="85">
        <f>STATS1003B!R1665/1000</f>
        <v>0</v>
      </c>
      <c r="S1662" s="85">
        <f>STATS1003B!S1665/1000</f>
        <v>0</v>
      </c>
      <c r="T1662" s="85">
        <f>STATS1003B!T1665/1000</f>
        <v>0</v>
      </c>
      <c r="U1662" s="85">
        <f>STATS1003B!U1665/1000</f>
        <v>1767.77</v>
      </c>
      <c r="V1662" s="85">
        <f>STATS1003B!V1665/1000</f>
        <v>1767.77</v>
      </c>
      <c r="W1662" s="85">
        <f>STATS1003B!W1665/1000</f>
        <v>0</v>
      </c>
      <c r="X1662" s="85">
        <f t="shared" si="187"/>
        <v>1767.77</v>
      </c>
      <c r="Y1662" s="85">
        <f>STATS1003B!Y1665/1000</f>
        <v>0</v>
      </c>
      <c r="Z1662" s="85">
        <f>STATS1003B!Z1665/1000</f>
        <v>0</v>
      </c>
      <c r="AA1662" s="69">
        <f>STATS1003B!AA1665/1000</f>
        <v>1767.77</v>
      </c>
      <c r="AB1662" s="69">
        <f>STATS1003B!AB1665/1000</f>
        <v>0</v>
      </c>
    </row>
    <row r="1663" spans="1:28" hidden="1" x14ac:dyDescent="0.3">
      <c r="A1663" s="117"/>
      <c r="C1663" s="68" t="s">
        <v>57</v>
      </c>
      <c r="D1663" s="87" t="s">
        <v>335</v>
      </c>
      <c r="E1663" s="85">
        <f>STATS1003B!E1666/1000</f>
        <v>11818.84108</v>
      </c>
      <c r="F1663" s="85">
        <f>STATS1003B!F1666/1000</f>
        <v>11818.84108</v>
      </c>
      <c r="G1663" s="85">
        <f>STATS1003B!G1666/1000</f>
        <v>0</v>
      </c>
      <c r="H1663" s="85">
        <f>STATS1003B!H1666/1000</f>
        <v>11818.84108</v>
      </c>
      <c r="I1663" s="85">
        <f>STATS1003B!I1666/1000</f>
        <v>0</v>
      </c>
      <c r="J1663" s="85">
        <f>STATS1003B!J1666/1000</f>
        <v>0</v>
      </c>
      <c r="K1663" s="85">
        <f>STATS1003B!K1666/1000</f>
        <v>0</v>
      </c>
      <c r="L1663" s="85">
        <f>STATS1003B!L1666/1000</f>
        <v>0</v>
      </c>
      <c r="M1663" s="85">
        <f>STATS1003B!M1666/1000</f>
        <v>11818.84108</v>
      </c>
      <c r="N1663" s="85">
        <f>STATS1003B!N1666/1000</f>
        <v>0</v>
      </c>
      <c r="O1663" s="85">
        <f>STATS1003B!O1666/1000</f>
        <v>0</v>
      </c>
      <c r="P1663" s="85">
        <f>STATS1003B!P1666/1000</f>
        <v>0</v>
      </c>
      <c r="Q1663" s="85">
        <f>STATS1003B!Q1666/1000</f>
        <v>0</v>
      </c>
      <c r="R1663" s="85">
        <f>STATS1003B!R1666/1000</f>
        <v>0</v>
      </c>
      <c r="S1663" s="85">
        <f>STATS1003B!S1666/1000</f>
        <v>0</v>
      </c>
      <c r="T1663" s="85">
        <f>STATS1003B!T1666/1000</f>
        <v>0</v>
      </c>
      <c r="U1663" s="85">
        <f>STATS1003B!U1666/1000</f>
        <v>0</v>
      </c>
      <c r="V1663" s="85">
        <f>STATS1003B!V1666/1000</f>
        <v>11818.84108</v>
      </c>
      <c r="W1663" s="85">
        <f>STATS1003B!W1666/1000</f>
        <v>0</v>
      </c>
      <c r="X1663" s="85">
        <f t="shared" si="187"/>
        <v>11818.84108</v>
      </c>
      <c r="Y1663" s="85">
        <f>STATS1003B!Y1666/1000</f>
        <v>0</v>
      </c>
      <c r="Z1663" s="85">
        <f>STATS1003B!Z1666/1000</f>
        <v>0</v>
      </c>
      <c r="AA1663" s="69">
        <f>STATS1003B!AA1666/1000</f>
        <v>11818.84108</v>
      </c>
      <c r="AB1663" s="69">
        <f>STATS1003B!AB1666/1000</f>
        <v>0</v>
      </c>
    </row>
    <row r="1664" spans="1:28" hidden="1" x14ac:dyDescent="0.3">
      <c r="A1664" s="117"/>
      <c r="C1664" s="68" t="s">
        <v>336</v>
      </c>
      <c r="D1664" s="87" t="s">
        <v>108</v>
      </c>
      <c r="E1664" s="85">
        <f>STATS1003B!E1667/1000</f>
        <v>500</v>
      </c>
      <c r="F1664" s="85">
        <f>STATS1003B!F1667/1000</f>
        <v>500</v>
      </c>
      <c r="G1664" s="85">
        <f>STATS1003B!G1667/1000</f>
        <v>0</v>
      </c>
      <c r="H1664" s="85">
        <f>STATS1003B!H1667/1000</f>
        <v>500</v>
      </c>
      <c r="I1664" s="85">
        <f>STATS1003B!I1667/1000</f>
        <v>0</v>
      </c>
      <c r="J1664" s="85">
        <f>STATS1003B!J1667/1000</f>
        <v>0</v>
      </c>
      <c r="K1664" s="85">
        <f>STATS1003B!K1667/1000</f>
        <v>0</v>
      </c>
      <c r="L1664" s="85">
        <f>STATS1003B!L1667/1000</f>
        <v>0</v>
      </c>
      <c r="M1664" s="85">
        <f>STATS1003B!M1667/1000</f>
        <v>500</v>
      </c>
      <c r="N1664" s="85">
        <f>STATS1003B!N1667/1000</f>
        <v>0</v>
      </c>
      <c r="O1664" s="85">
        <f>STATS1003B!O1667/1000</f>
        <v>0</v>
      </c>
      <c r="P1664" s="85">
        <f>STATS1003B!P1667/1000</f>
        <v>0</v>
      </c>
      <c r="Q1664" s="85">
        <f>STATS1003B!Q1667/1000</f>
        <v>0</v>
      </c>
      <c r="R1664" s="85">
        <f>STATS1003B!R1667/1000</f>
        <v>0</v>
      </c>
      <c r="S1664" s="85">
        <f>STATS1003B!S1667/1000</f>
        <v>0</v>
      </c>
      <c r="T1664" s="85">
        <f>STATS1003B!T1667/1000</f>
        <v>0</v>
      </c>
      <c r="U1664" s="85">
        <f>STATS1003B!U1667/1000</f>
        <v>0</v>
      </c>
      <c r="V1664" s="85">
        <f>STATS1003B!V1667/1000</f>
        <v>500</v>
      </c>
      <c r="W1664" s="85">
        <f>STATS1003B!W1667/1000</f>
        <v>0</v>
      </c>
      <c r="X1664" s="85">
        <f t="shared" si="187"/>
        <v>500</v>
      </c>
      <c r="Y1664" s="85">
        <f>STATS1003B!Y1667/1000</f>
        <v>0</v>
      </c>
      <c r="Z1664" s="85">
        <f>STATS1003B!Z1667/1000</f>
        <v>0</v>
      </c>
      <c r="AA1664" s="69">
        <f>STATS1003B!AA1667/1000</f>
        <v>500</v>
      </c>
      <c r="AB1664" s="69">
        <f>STATS1003B!AB1667/1000</f>
        <v>0</v>
      </c>
    </row>
    <row r="1665" spans="1:28" hidden="1" x14ac:dyDescent="0.3">
      <c r="A1665" s="117"/>
      <c r="C1665" s="68" t="s">
        <v>337</v>
      </c>
      <c r="D1665" s="87" t="s">
        <v>108</v>
      </c>
      <c r="E1665" s="85">
        <f>STATS1003B!E1668/1000</f>
        <v>277.26150000000001</v>
      </c>
      <c r="F1665" s="85">
        <f>STATS1003B!F1668/1000</f>
        <v>277.26150000000001</v>
      </c>
      <c r="G1665" s="85">
        <f>STATS1003B!G1668/1000</f>
        <v>0</v>
      </c>
      <c r="H1665" s="85">
        <f>STATS1003B!H1668/1000</f>
        <v>277.26150000000001</v>
      </c>
      <c r="I1665" s="85">
        <f>STATS1003B!I1668/1000</f>
        <v>0</v>
      </c>
      <c r="J1665" s="85">
        <f>STATS1003B!J1668/1000</f>
        <v>0</v>
      </c>
      <c r="K1665" s="85">
        <f>STATS1003B!K1668/1000</f>
        <v>0</v>
      </c>
      <c r="L1665" s="85">
        <f>STATS1003B!L1668/1000</f>
        <v>0</v>
      </c>
      <c r="M1665" s="85">
        <f>STATS1003B!M1668/1000</f>
        <v>277.26150000000001</v>
      </c>
      <c r="N1665" s="85">
        <f>STATS1003B!N1668/1000</f>
        <v>0</v>
      </c>
      <c r="O1665" s="85">
        <f>STATS1003B!O1668/1000</f>
        <v>0</v>
      </c>
      <c r="P1665" s="85">
        <f>STATS1003B!P1668/1000</f>
        <v>0</v>
      </c>
      <c r="Q1665" s="85">
        <f>STATS1003B!Q1668/1000</f>
        <v>0</v>
      </c>
      <c r="R1665" s="85">
        <f>STATS1003B!R1668/1000</f>
        <v>0</v>
      </c>
      <c r="S1665" s="85">
        <f>STATS1003B!S1668/1000</f>
        <v>0</v>
      </c>
      <c r="T1665" s="85">
        <f>STATS1003B!T1668/1000</f>
        <v>0</v>
      </c>
      <c r="U1665" s="85">
        <f>STATS1003B!U1668/1000</f>
        <v>0</v>
      </c>
      <c r="V1665" s="85">
        <f>STATS1003B!V1668/1000</f>
        <v>277.26150000000001</v>
      </c>
      <c r="W1665" s="85">
        <f>STATS1003B!W1668/1000</f>
        <v>0</v>
      </c>
      <c r="X1665" s="85">
        <f t="shared" si="187"/>
        <v>277.26150000000001</v>
      </c>
      <c r="Y1665" s="85">
        <f>STATS1003B!Y1668/1000</f>
        <v>0</v>
      </c>
      <c r="Z1665" s="85">
        <f>STATS1003B!Z1668/1000</f>
        <v>0</v>
      </c>
      <c r="AA1665" s="69">
        <f>STATS1003B!AA1668/1000</f>
        <v>277.26150000000001</v>
      </c>
      <c r="AB1665" s="69">
        <f>STATS1003B!AB1668/1000</f>
        <v>0</v>
      </c>
    </row>
    <row r="1666" spans="1:28" hidden="1" x14ac:dyDescent="0.3">
      <c r="A1666" s="117"/>
      <c r="C1666" s="68" t="s">
        <v>57</v>
      </c>
      <c r="D1666" s="87" t="s">
        <v>58</v>
      </c>
      <c r="E1666" s="85">
        <f>STATS1003B!E1669/1000</f>
        <v>8498.1550000000007</v>
      </c>
      <c r="F1666" s="85">
        <f>STATS1003B!F1669/1000</f>
        <v>8498.1550000000007</v>
      </c>
      <c r="G1666" s="85">
        <f>STATS1003B!G1669/1000</f>
        <v>0</v>
      </c>
      <c r="H1666" s="85">
        <f>STATS1003B!H1669/1000</f>
        <v>8498.1550000000007</v>
      </c>
      <c r="I1666" s="85">
        <f>STATS1003B!I1669/1000</f>
        <v>0</v>
      </c>
      <c r="J1666" s="85">
        <f>STATS1003B!J1669/1000</f>
        <v>0</v>
      </c>
      <c r="K1666" s="85">
        <f>STATS1003B!K1669/1000</f>
        <v>0</v>
      </c>
      <c r="L1666" s="85">
        <f>STATS1003B!L1669/1000</f>
        <v>0</v>
      </c>
      <c r="M1666" s="85">
        <f>STATS1003B!M1669/1000</f>
        <v>8498.1550000000007</v>
      </c>
      <c r="N1666" s="85">
        <f>STATS1003B!N1669/1000</f>
        <v>0</v>
      </c>
      <c r="O1666" s="85">
        <f>STATS1003B!O1669/1000</f>
        <v>0</v>
      </c>
      <c r="P1666" s="85">
        <f>STATS1003B!P1669/1000</f>
        <v>0</v>
      </c>
      <c r="Q1666" s="85">
        <f>STATS1003B!Q1669/1000</f>
        <v>0</v>
      </c>
      <c r="R1666" s="85">
        <f>STATS1003B!R1669/1000</f>
        <v>0</v>
      </c>
      <c r="S1666" s="85">
        <f>STATS1003B!S1669/1000</f>
        <v>0</v>
      </c>
      <c r="T1666" s="85">
        <f>STATS1003B!T1669/1000</f>
        <v>0</v>
      </c>
      <c r="U1666" s="85">
        <f>STATS1003B!U1669/1000</f>
        <v>0</v>
      </c>
      <c r="V1666" s="85">
        <f>STATS1003B!V1669/1000</f>
        <v>8498.1550000000007</v>
      </c>
      <c r="W1666" s="85">
        <f>STATS1003B!W1669/1000</f>
        <v>0</v>
      </c>
      <c r="X1666" s="85">
        <f t="shared" si="187"/>
        <v>8498.1550000000007</v>
      </c>
      <c r="Y1666" s="85">
        <f>STATS1003B!Y1669/1000</f>
        <v>0</v>
      </c>
      <c r="Z1666" s="85">
        <f>STATS1003B!Z1669/1000</f>
        <v>0</v>
      </c>
      <c r="AA1666" s="69">
        <f>STATS1003B!AA1669/1000</f>
        <v>8498.1550000000007</v>
      </c>
      <c r="AB1666" s="69">
        <f>STATS1003B!AB1669/1000</f>
        <v>0</v>
      </c>
    </row>
    <row r="1667" spans="1:28" hidden="1" x14ac:dyDescent="0.3">
      <c r="A1667" s="117"/>
      <c r="C1667" s="68" t="s">
        <v>57</v>
      </c>
      <c r="D1667" s="87" t="s">
        <v>60</v>
      </c>
      <c r="E1667" s="85">
        <f>STATS1003B!E1670/1000</f>
        <v>5563.875</v>
      </c>
      <c r="F1667" s="85">
        <f>STATS1003B!F1670/1000</f>
        <v>5563.875</v>
      </c>
      <c r="G1667" s="85">
        <f>STATS1003B!G1670/1000</f>
        <v>0</v>
      </c>
      <c r="H1667" s="85">
        <f>STATS1003B!H1670/1000</f>
        <v>5563.875</v>
      </c>
      <c r="I1667" s="85">
        <f>STATS1003B!I1670/1000</f>
        <v>0</v>
      </c>
      <c r="J1667" s="85">
        <f>STATS1003B!J1670/1000</f>
        <v>0</v>
      </c>
      <c r="K1667" s="85">
        <f>STATS1003B!K1670/1000</f>
        <v>0</v>
      </c>
      <c r="L1667" s="85">
        <f>STATS1003B!L1670/1000</f>
        <v>0</v>
      </c>
      <c r="M1667" s="85">
        <f>STATS1003B!M1670/1000</f>
        <v>5563.875</v>
      </c>
      <c r="N1667" s="85">
        <f>STATS1003B!N1670/1000</f>
        <v>0</v>
      </c>
      <c r="O1667" s="85">
        <f>STATS1003B!O1670/1000</f>
        <v>0</v>
      </c>
      <c r="P1667" s="85">
        <f>STATS1003B!P1670/1000</f>
        <v>0</v>
      </c>
      <c r="Q1667" s="85">
        <f>STATS1003B!Q1670/1000</f>
        <v>0</v>
      </c>
      <c r="R1667" s="85">
        <f>STATS1003B!R1670/1000</f>
        <v>0</v>
      </c>
      <c r="S1667" s="85">
        <f>STATS1003B!S1670/1000</f>
        <v>0</v>
      </c>
      <c r="T1667" s="85">
        <f>STATS1003B!T1670/1000</f>
        <v>0</v>
      </c>
      <c r="U1667" s="85">
        <f>STATS1003B!U1670/1000</f>
        <v>0</v>
      </c>
      <c r="V1667" s="85">
        <f>STATS1003B!V1670/1000</f>
        <v>5563.875</v>
      </c>
      <c r="W1667" s="85">
        <f>STATS1003B!W1670/1000</f>
        <v>0</v>
      </c>
      <c r="X1667" s="85">
        <f t="shared" si="187"/>
        <v>5563.875</v>
      </c>
      <c r="Y1667" s="85">
        <f>STATS1003B!Y1670/1000</f>
        <v>0</v>
      </c>
      <c r="Z1667" s="85">
        <f>STATS1003B!Z1670/1000</f>
        <v>0</v>
      </c>
      <c r="AA1667" s="69">
        <f>STATS1003B!AA1670/1000</f>
        <v>5563.875</v>
      </c>
      <c r="AB1667" s="69">
        <f>STATS1003B!AB1670/1000</f>
        <v>0</v>
      </c>
    </row>
    <row r="1668" spans="1:28" hidden="1" x14ac:dyDescent="0.3">
      <c r="A1668" s="117"/>
      <c r="C1668" s="71" t="s">
        <v>109</v>
      </c>
      <c r="D1668" s="88" t="s">
        <v>60</v>
      </c>
      <c r="E1668" s="85">
        <f>STATS1003B!E1671/1000</f>
        <v>4605.2440500000002</v>
      </c>
      <c r="F1668" s="85">
        <f>STATS1003B!F1671/1000</f>
        <v>4605.2440500000002</v>
      </c>
      <c r="G1668" s="85">
        <f>STATS1003B!G1671/1000</f>
        <v>0</v>
      </c>
      <c r="H1668" s="85">
        <f>STATS1003B!H1671/1000</f>
        <v>4605.2440500000002</v>
      </c>
      <c r="I1668" s="85">
        <f>STATS1003B!I1671/1000</f>
        <v>0</v>
      </c>
      <c r="J1668" s="85">
        <f>STATS1003B!J1671/1000</f>
        <v>0</v>
      </c>
      <c r="K1668" s="85">
        <f>STATS1003B!K1671/1000</f>
        <v>0</v>
      </c>
      <c r="L1668" s="85">
        <f>STATS1003B!L1671/1000</f>
        <v>0</v>
      </c>
      <c r="M1668" s="85">
        <f>STATS1003B!M1671/1000</f>
        <v>4605.2440500000002</v>
      </c>
      <c r="N1668" s="85">
        <f>STATS1003B!N1671/1000</f>
        <v>0</v>
      </c>
      <c r="O1668" s="85">
        <f>STATS1003B!O1671/1000</f>
        <v>0</v>
      </c>
      <c r="P1668" s="85">
        <f>STATS1003B!P1671/1000</f>
        <v>0</v>
      </c>
      <c r="Q1668" s="85">
        <f>STATS1003B!Q1671/1000</f>
        <v>0</v>
      </c>
      <c r="R1668" s="85">
        <f>STATS1003B!R1671/1000</f>
        <v>0</v>
      </c>
      <c r="S1668" s="85">
        <f>STATS1003B!S1671/1000</f>
        <v>0</v>
      </c>
      <c r="T1668" s="85">
        <f>STATS1003B!T1671/1000</f>
        <v>0</v>
      </c>
      <c r="U1668" s="85">
        <f>STATS1003B!U1671/1000</f>
        <v>0</v>
      </c>
      <c r="V1668" s="85">
        <f>STATS1003B!V1671/1000</f>
        <v>4605.2440500000002</v>
      </c>
      <c r="W1668" s="85">
        <f>STATS1003B!W1671/1000</f>
        <v>0</v>
      </c>
      <c r="X1668" s="85">
        <f t="shared" si="187"/>
        <v>4605.2440500000002</v>
      </c>
      <c r="Y1668" s="85">
        <f>STATS1003B!Y1671/1000</f>
        <v>0</v>
      </c>
      <c r="Z1668" s="85">
        <f>STATS1003B!Z1671/1000</f>
        <v>0</v>
      </c>
      <c r="AA1668" s="69">
        <f>STATS1003B!AA1671/1000</f>
        <v>4605.2440500000002</v>
      </c>
      <c r="AB1668" s="69">
        <f>STATS1003B!AB1671/1000</f>
        <v>0</v>
      </c>
    </row>
    <row r="1669" spans="1:28" hidden="1" x14ac:dyDescent="0.3">
      <c r="A1669" s="117"/>
      <c r="C1669" s="68" t="s">
        <v>57</v>
      </c>
      <c r="D1669" s="87" t="s">
        <v>73</v>
      </c>
      <c r="E1669" s="85">
        <f>STATS1003B!E1672/1000</f>
        <v>3293.0340000000001</v>
      </c>
      <c r="F1669" s="85">
        <f>STATS1003B!F1672/1000</f>
        <v>3293.0340000000001</v>
      </c>
      <c r="G1669" s="85">
        <f>STATS1003B!G1672/1000</f>
        <v>0</v>
      </c>
      <c r="H1669" s="85">
        <f>STATS1003B!H1672/1000</f>
        <v>3293.0340000000001</v>
      </c>
      <c r="I1669" s="85">
        <f>STATS1003B!I1672/1000</f>
        <v>0</v>
      </c>
      <c r="J1669" s="85">
        <f>STATS1003B!J1672/1000</f>
        <v>0</v>
      </c>
      <c r="K1669" s="85">
        <f>STATS1003B!K1672/1000</f>
        <v>0</v>
      </c>
      <c r="L1669" s="85">
        <f>STATS1003B!L1672/1000</f>
        <v>0</v>
      </c>
      <c r="M1669" s="85">
        <f>STATS1003B!M1672/1000</f>
        <v>3293.0340000000001</v>
      </c>
      <c r="N1669" s="85">
        <f>STATS1003B!N1672/1000</f>
        <v>0</v>
      </c>
      <c r="O1669" s="85">
        <f>STATS1003B!O1672/1000</f>
        <v>0</v>
      </c>
      <c r="P1669" s="85">
        <f>STATS1003B!P1672/1000</f>
        <v>0</v>
      </c>
      <c r="Q1669" s="85">
        <f>STATS1003B!Q1672/1000</f>
        <v>0</v>
      </c>
      <c r="R1669" s="85">
        <f>STATS1003B!R1672/1000</f>
        <v>0</v>
      </c>
      <c r="S1669" s="85">
        <f>STATS1003B!S1672/1000</f>
        <v>0</v>
      </c>
      <c r="T1669" s="85">
        <f>STATS1003B!T1672/1000</f>
        <v>0</v>
      </c>
      <c r="U1669" s="85">
        <f>STATS1003B!U1672/1000</f>
        <v>0</v>
      </c>
      <c r="V1669" s="85">
        <f>STATS1003B!V1672/1000</f>
        <v>3293.0340000000001</v>
      </c>
      <c r="W1669" s="85">
        <f>STATS1003B!W1672/1000</f>
        <v>0</v>
      </c>
      <c r="X1669" s="85">
        <f t="shared" si="187"/>
        <v>3293.0340000000001</v>
      </c>
      <c r="Y1669" s="85">
        <f>STATS1003B!Y1672/1000</f>
        <v>0</v>
      </c>
      <c r="Z1669" s="85">
        <f>STATS1003B!Z1672/1000</f>
        <v>0</v>
      </c>
      <c r="AA1669" s="69">
        <f>STATS1003B!AA1672/1000</f>
        <v>3293.0340000000001</v>
      </c>
      <c r="AB1669" s="69">
        <f>STATS1003B!AB1672/1000</f>
        <v>0</v>
      </c>
    </row>
    <row r="1670" spans="1:28" hidden="1" x14ac:dyDescent="0.3">
      <c r="A1670" s="117"/>
      <c r="C1670" s="68" t="s">
        <v>57</v>
      </c>
      <c r="D1670" s="90" t="s">
        <v>61</v>
      </c>
      <c r="E1670" s="85">
        <f>STATS1003B!E1673/1000</f>
        <v>750</v>
      </c>
      <c r="F1670" s="85">
        <f>STATS1003B!F1673/1000</f>
        <v>750</v>
      </c>
      <c r="G1670" s="85">
        <f>STATS1003B!G1673/1000</f>
        <v>0</v>
      </c>
      <c r="H1670" s="85">
        <f>STATS1003B!H1673/1000</f>
        <v>750</v>
      </c>
      <c r="I1670" s="85">
        <f>STATS1003B!I1673/1000</f>
        <v>0</v>
      </c>
      <c r="J1670" s="85">
        <f>STATS1003B!J1673/1000</f>
        <v>0</v>
      </c>
      <c r="K1670" s="85">
        <f>STATS1003B!K1673/1000</f>
        <v>0</v>
      </c>
      <c r="L1670" s="85">
        <f>STATS1003B!L1673/1000</f>
        <v>0</v>
      </c>
      <c r="M1670" s="85">
        <f>STATS1003B!M1673/1000</f>
        <v>750</v>
      </c>
      <c r="N1670" s="85">
        <f>STATS1003B!N1673/1000</f>
        <v>0</v>
      </c>
      <c r="O1670" s="85">
        <f>STATS1003B!O1673/1000</f>
        <v>0</v>
      </c>
      <c r="P1670" s="85">
        <f>STATS1003B!P1673/1000</f>
        <v>0</v>
      </c>
      <c r="Q1670" s="85">
        <f>STATS1003B!Q1673/1000</f>
        <v>0</v>
      </c>
      <c r="R1670" s="85">
        <f>STATS1003B!R1673/1000</f>
        <v>0</v>
      </c>
      <c r="S1670" s="85">
        <f>STATS1003B!S1673/1000</f>
        <v>0</v>
      </c>
      <c r="T1670" s="85">
        <f>STATS1003B!T1673/1000</f>
        <v>0</v>
      </c>
      <c r="U1670" s="85">
        <f>STATS1003B!U1673/1000</f>
        <v>0</v>
      </c>
      <c r="V1670" s="85">
        <f>STATS1003B!V1673/1000</f>
        <v>750</v>
      </c>
      <c r="W1670" s="85">
        <f>STATS1003B!W1673/1000</f>
        <v>0</v>
      </c>
      <c r="X1670" s="85">
        <f t="shared" si="187"/>
        <v>750</v>
      </c>
      <c r="Y1670" s="85">
        <f>STATS1003B!Y1673/1000</f>
        <v>0</v>
      </c>
      <c r="Z1670" s="85">
        <f>STATS1003B!Z1673/1000</f>
        <v>0</v>
      </c>
      <c r="AA1670" s="69">
        <f>STATS1003B!AA1673/1000</f>
        <v>750</v>
      </c>
      <c r="AB1670" s="69">
        <f>STATS1003B!AB1673/1000</f>
        <v>0</v>
      </c>
    </row>
    <row r="1671" spans="1:28" hidden="1" x14ac:dyDescent="0.3">
      <c r="A1671" s="117"/>
      <c r="C1671" s="68" t="s">
        <v>1165</v>
      </c>
      <c r="D1671" s="90" t="s">
        <v>1126</v>
      </c>
      <c r="E1671" s="85">
        <f>STATS1003B!E1674/1000</f>
        <v>300</v>
      </c>
      <c r="F1671" s="85">
        <f>STATS1003B!F1674/1000</f>
        <v>300</v>
      </c>
      <c r="G1671" s="85">
        <f>STATS1003B!G1674/1000</f>
        <v>0</v>
      </c>
      <c r="H1671" s="85">
        <f>STATS1003B!H1674/1000</f>
        <v>300</v>
      </c>
      <c r="I1671" s="85">
        <f>STATS1003B!I1674/1000</f>
        <v>0</v>
      </c>
      <c r="J1671" s="85">
        <f>STATS1003B!J1674/1000</f>
        <v>0</v>
      </c>
      <c r="K1671" s="85">
        <f>STATS1003B!K1674/1000</f>
        <v>0</v>
      </c>
      <c r="L1671" s="85">
        <f>STATS1003B!L1674/1000</f>
        <v>0</v>
      </c>
      <c r="M1671" s="85">
        <f>STATS1003B!M1674/1000</f>
        <v>300</v>
      </c>
      <c r="N1671" s="85">
        <f>STATS1003B!N1674/1000</f>
        <v>0</v>
      </c>
      <c r="O1671" s="85">
        <f>STATS1003B!O1674/1000</f>
        <v>0</v>
      </c>
      <c r="P1671" s="85">
        <f>STATS1003B!P1674/1000</f>
        <v>0</v>
      </c>
      <c r="Q1671" s="85">
        <f>STATS1003B!Q1674/1000</f>
        <v>0</v>
      </c>
      <c r="R1671" s="85">
        <f>STATS1003B!R1674/1000</f>
        <v>0</v>
      </c>
      <c r="S1671" s="85">
        <f>STATS1003B!S1674/1000</f>
        <v>0</v>
      </c>
      <c r="T1671" s="85">
        <f>STATS1003B!T1674/1000</f>
        <v>0</v>
      </c>
      <c r="U1671" s="85">
        <f>STATS1003B!U1674/1000</f>
        <v>0</v>
      </c>
      <c r="V1671" s="85">
        <f>STATS1003B!V1674/1000</f>
        <v>300</v>
      </c>
      <c r="W1671" s="85">
        <f>STATS1003B!W1674/1000</f>
        <v>0</v>
      </c>
      <c r="X1671" s="85">
        <f t="shared" si="187"/>
        <v>300</v>
      </c>
      <c r="Y1671" s="85">
        <f>STATS1003B!Y1674/1000</f>
        <v>0</v>
      </c>
      <c r="Z1671" s="85">
        <f>STATS1003B!Z1674/1000</f>
        <v>0</v>
      </c>
      <c r="AA1671" s="69">
        <f>STATS1003B!AA1674/1000</f>
        <v>300</v>
      </c>
      <c r="AB1671" s="69">
        <f>STATS1003B!AB1674/1000</f>
        <v>0</v>
      </c>
    </row>
    <row r="1672" spans="1:28" hidden="1" x14ac:dyDescent="0.3">
      <c r="A1672" s="117"/>
      <c r="C1672" s="68" t="s">
        <v>930</v>
      </c>
      <c r="D1672" s="90" t="s">
        <v>1072</v>
      </c>
      <c r="E1672" s="85">
        <f>STATS1003B!E1675/1000</f>
        <v>4444.9385400000001</v>
      </c>
      <c r="F1672" s="85">
        <f>STATS1003B!F1675/1000</f>
        <v>4444.9385380000003</v>
      </c>
      <c r="G1672" s="85">
        <f>STATS1003B!G1675/1000</f>
        <v>0</v>
      </c>
      <c r="H1672" s="85">
        <f>STATS1003B!H1675/1000</f>
        <v>4444.9385380000003</v>
      </c>
      <c r="I1672" s="85">
        <f>STATS1003B!I1675/1000</f>
        <v>0</v>
      </c>
      <c r="J1672" s="85">
        <f>STATS1003B!J1675/1000</f>
        <v>0</v>
      </c>
      <c r="K1672" s="85">
        <f>STATS1003B!K1675/1000</f>
        <v>0</v>
      </c>
      <c r="L1672" s="85">
        <f>STATS1003B!L1675/1000</f>
        <v>0</v>
      </c>
      <c r="M1672" s="85">
        <f>STATS1003B!M1675/1000</f>
        <v>4444.9385380000003</v>
      </c>
      <c r="N1672" s="85">
        <f>STATS1003B!N1675/1000</f>
        <v>0</v>
      </c>
      <c r="O1672" s="85">
        <f>STATS1003B!O1675/1000</f>
        <v>0</v>
      </c>
      <c r="P1672" s="85">
        <f>STATS1003B!P1675/1000</f>
        <v>0</v>
      </c>
      <c r="Q1672" s="85">
        <f>STATS1003B!Q1675/1000</f>
        <v>0</v>
      </c>
      <c r="R1672" s="85">
        <f>STATS1003B!R1675/1000</f>
        <v>0</v>
      </c>
      <c r="S1672" s="85">
        <f>STATS1003B!S1675/1000</f>
        <v>0</v>
      </c>
      <c r="T1672" s="85">
        <f>STATS1003B!T1675/1000</f>
        <v>0</v>
      </c>
      <c r="U1672" s="85">
        <f>STATS1003B!U1675/1000</f>
        <v>0</v>
      </c>
      <c r="V1672" s="85">
        <f>STATS1003B!V1675/1000</f>
        <v>4444.9385380000003</v>
      </c>
      <c r="W1672" s="85">
        <f>STATS1003B!W1675/1000</f>
        <v>1.9999993965029718E-6</v>
      </c>
      <c r="X1672" s="85">
        <f t="shared" si="187"/>
        <v>4444.9385380000003</v>
      </c>
      <c r="Y1672" s="85">
        <f>STATS1003B!Y1675/1000</f>
        <v>0</v>
      </c>
      <c r="Z1672" s="85">
        <f>STATS1003B!Z1675/1000</f>
        <v>1.9999993965029718E-6</v>
      </c>
      <c r="AA1672" s="69">
        <f>STATS1003B!AA1675/1000</f>
        <v>4444.9385380000003</v>
      </c>
      <c r="AB1672" s="69">
        <f>STATS1003B!AB1675/1000</f>
        <v>1.9999993965029718E-6</v>
      </c>
    </row>
    <row r="1673" spans="1:28" hidden="1" x14ac:dyDescent="0.3">
      <c r="A1673" s="117"/>
      <c r="C1673" s="68" t="s">
        <v>1194</v>
      </c>
      <c r="D1673" s="90" t="s">
        <v>1126</v>
      </c>
      <c r="E1673" s="85">
        <f>STATS1003B!E1676/1000</f>
        <v>1040.2108800000001</v>
      </c>
      <c r="F1673" s="85">
        <f>STATS1003B!F1676/1000</f>
        <v>1040.2108800000001</v>
      </c>
      <c r="G1673" s="85">
        <f>STATS1003B!G1676/1000</f>
        <v>0</v>
      </c>
      <c r="H1673" s="85">
        <f>STATS1003B!H1676/1000</f>
        <v>1040.2108800000001</v>
      </c>
      <c r="I1673" s="85">
        <f>STATS1003B!I1676/1000</f>
        <v>0</v>
      </c>
      <c r="J1673" s="85">
        <f>STATS1003B!J1676/1000</f>
        <v>0</v>
      </c>
      <c r="K1673" s="85">
        <f>STATS1003B!K1676/1000</f>
        <v>0</v>
      </c>
      <c r="L1673" s="85">
        <f>STATS1003B!L1676/1000</f>
        <v>0</v>
      </c>
      <c r="M1673" s="85">
        <f>STATS1003B!M1676/1000</f>
        <v>1040.2108800000001</v>
      </c>
      <c r="N1673" s="85">
        <f>STATS1003B!N1676/1000</f>
        <v>0</v>
      </c>
      <c r="O1673" s="85">
        <f>STATS1003B!O1676/1000</f>
        <v>0</v>
      </c>
      <c r="P1673" s="85">
        <f>STATS1003B!P1676/1000</f>
        <v>0</v>
      </c>
      <c r="Q1673" s="85">
        <f>STATS1003B!Q1676/1000</f>
        <v>0</v>
      </c>
      <c r="R1673" s="85">
        <f>STATS1003B!R1676/1000</f>
        <v>0</v>
      </c>
      <c r="S1673" s="85">
        <f>STATS1003B!S1676/1000</f>
        <v>0</v>
      </c>
      <c r="T1673" s="85">
        <f>STATS1003B!T1676/1000</f>
        <v>0</v>
      </c>
      <c r="U1673" s="85">
        <f>STATS1003B!U1676/1000</f>
        <v>0</v>
      </c>
      <c r="V1673" s="85">
        <f>STATS1003B!V1676/1000</f>
        <v>1040.2108800000001</v>
      </c>
      <c r="W1673" s="85">
        <f>STATS1003B!W1676/1000</f>
        <v>0</v>
      </c>
      <c r="X1673" s="85">
        <f t="shared" si="187"/>
        <v>1040.2108800000001</v>
      </c>
      <c r="Y1673" s="85">
        <f>STATS1003B!Y1676/1000</f>
        <v>0</v>
      </c>
      <c r="Z1673" s="85">
        <f>STATS1003B!Z1676/1000</f>
        <v>0</v>
      </c>
      <c r="AA1673" s="69">
        <f>STATS1003B!AA1676/1000</f>
        <v>1040.2108800000001</v>
      </c>
      <c r="AB1673" s="69">
        <f>STATS1003B!AB1676/1000</f>
        <v>0</v>
      </c>
    </row>
    <row r="1674" spans="1:28" hidden="1" x14ac:dyDescent="0.3">
      <c r="A1674" s="117"/>
      <c r="C1674" s="68" t="s">
        <v>1227</v>
      </c>
      <c r="D1674" s="91" t="s">
        <v>1225</v>
      </c>
      <c r="E1674" s="85">
        <f>STATS1003B!E1677/1000</f>
        <v>2124.0136600000001</v>
      </c>
      <c r="F1674" s="85">
        <f>STATS1003B!F1677/1000</f>
        <v>324.01365999999996</v>
      </c>
      <c r="G1674" s="85">
        <f>STATS1003B!G1677/1000</f>
        <v>1800</v>
      </c>
      <c r="H1674" s="85">
        <f>STATS1003B!H1677/1000</f>
        <v>2124.0136600000001</v>
      </c>
      <c r="I1674" s="85">
        <f>STATS1003B!I1677/1000</f>
        <v>0</v>
      </c>
      <c r="J1674" s="85">
        <f>STATS1003B!J1677/1000</f>
        <v>0</v>
      </c>
      <c r="K1674" s="85">
        <f>STATS1003B!K1677/1000</f>
        <v>0</v>
      </c>
      <c r="L1674" s="85">
        <f>STATS1003B!L1677/1000</f>
        <v>0</v>
      </c>
      <c r="M1674" s="85">
        <f>STATS1003B!M1677/1000</f>
        <v>2124.0136600000001</v>
      </c>
      <c r="N1674" s="85">
        <f>STATS1003B!N1677/1000</f>
        <v>0</v>
      </c>
      <c r="O1674" s="85">
        <f>STATS1003B!O1677/1000</f>
        <v>0</v>
      </c>
      <c r="P1674" s="85">
        <f>STATS1003B!P1677/1000</f>
        <v>0</v>
      </c>
      <c r="Q1674" s="85">
        <f>STATS1003B!Q1677/1000</f>
        <v>0</v>
      </c>
      <c r="R1674" s="85">
        <f>STATS1003B!R1677/1000</f>
        <v>0</v>
      </c>
      <c r="S1674" s="85">
        <f>STATS1003B!S1677/1000</f>
        <v>0</v>
      </c>
      <c r="T1674" s="85">
        <f>STATS1003B!T1677/1000</f>
        <v>0</v>
      </c>
      <c r="U1674" s="85">
        <f>STATS1003B!U1677/1000</f>
        <v>0</v>
      </c>
      <c r="V1674" s="85">
        <f>STATS1003B!V1677/1000</f>
        <v>2124.0136600000001</v>
      </c>
      <c r="W1674" s="85">
        <f>STATS1003B!W1677/1000</f>
        <v>0</v>
      </c>
      <c r="X1674" s="85">
        <f t="shared" si="187"/>
        <v>2124.0136600000001</v>
      </c>
      <c r="Y1674" s="85">
        <f>STATS1003B!Y1677/1000</f>
        <v>0</v>
      </c>
      <c r="Z1674" s="85">
        <f>STATS1003B!Z1677/1000</f>
        <v>0</v>
      </c>
      <c r="AA1674" s="69">
        <f>STATS1003B!AA1677/1000</f>
        <v>2124.0136600000001</v>
      </c>
      <c r="AB1674" s="69">
        <f>STATS1003B!AB1677/1000</f>
        <v>0</v>
      </c>
    </row>
    <row r="1675" spans="1:28" hidden="1" x14ac:dyDescent="0.3">
      <c r="A1675" s="117"/>
      <c r="C1675" s="68" t="s">
        <v>338</v>
      </c>
      <c r="D1675" s="90" t="s">
        <v>61</v>
      </c>
      <c r="E1675" s="85">
        <f>STATS1003B!E1678/1000</f>
        <v>500</v>
      </c>
      <c r="F1675" s="85">
        <f>STATS1003B!F1678/1000</f>
        <v>500</v>
      </c>
      <c r="G1675" s="85">
        <f>STATS1003B!G1678/1000</f>
        <v>0</v>
      </c>
      <c r="H1675" s="85">
        <f>STATS1003B!H1678/1000</f>
        <v>500</v>
      </c>
      <c r="I1675" s="85">
        <f>STATS1003B!I1678/1000</f>
        <v>500</v>
      </c>
      <c r="J1675" s="85">
        <f>STATS1003B!J1678/1000</f>
        <v>500</v>
      </c>
      <c r="K1675" s="85">
        <f>STATS1003B!K1678/1000</f>
        <v>0</v>
      </c>
      <c r="L1675" s="85">
        <f>STATS1003B!L1678/1000</f>
        <v>0</v>
      </c>
      <c r="M1675" s="85">
        <f>STATS1003B!M1678/1000</f>
        <v>500</v>
      </c>
      <c r="N1675" s="85">
        <f>STATS1003B!N1678/1000</f>
        <v>0</v>
      </c>
      <c r="O1675" s="85">
        <f>STATS1003B!O1678/1000</f>
        <v>0</v>
      </c>
      <c r="P1675" s="85">
        <f>STATS1003B!P1678/1000</f>
        <v>0</v>
      </c>
      <c r="Q1675" s="85">
        <f>STATS1003B!Q1678/1000</f>
        <v>0</v>
      </c>
      <c r="R1675" s="85">
        <f>STATS1003B!R1678/1000</f>
        <v>0</v>
      </c>
      <c r="S1675" s="85">
        <f>STATS1003B!S1678/1000</f>
        <v>0</v>
      </c>
      <c r="T1675" s="85">
        <f>STATS1003B!T1678/1000</f>
        <v>0</v>
      </c>
      <c r="U1675" s="85">
        <f>STATS1003B!U1678/1000</f>
        <v>0</v>
      </c>
      <c r="V1675" s="85">
        <f>STATS1003B!V1678/1000</f>
        <v>500</v>
      </c>
      <c r="W1675" s="85">
        <f>STATS1003B!W1678/1000</f>
        <v>0</v>
      </c>
      <c r="X1675" s="85">
        <f t="shared" si="187"/>
        <v>500</v>
      </c>
      <c r="Y1675" s="85">
        <f>STATS1003B!Y1678/1000</f>
        <v>0</v>
      </c>
      <c r="Z1675" s="85">
        <f>STATS1003B!Z1678/1000</f>
        <v>0</v>
      </c>
      <c r="AA1675" s="69">
        <f>STATS1003B!AA1678/1000</f>
        <v>500</v>
      </c>
      <c r="AB1675" s="69">
        <f>STATS1003B!AB1678/1000</f>
        <v>0</v>
      </c>
    </row>
    <row r="1676" spans="1:28" hidden="1" x14ac:dyDescent="0.3">
      <c r="A1676" s="117"/>
      <c r="C1676" s="68" t="s">
        <v>507</v>
      </c>
      <c r="D1676" s="90"/>
      <c r="E1676" s="85">
        <f>STATS1003B!E1679/1000</f>
        <v>2626.0839900000001</v>
      </c>
      <c r="F1676" s="85">
        <f>STATS1003B!F1679/1000</f>
        <v>2626.0839900000001</v>
      </c>
      <c r="G1676" s="85">
        <f>STATS1003B!G1679/1000</f>
        <v>0</v>
      </c>
      <c r="H1676" s="85">
        <f>STATS1003B!H1679/1000</f>
        <v>2626.0839900000001</v>
      </c>
      <c r="I1676" s="85">
        <f>STATS1003B!I1679/1000</f>
        <v>500</v>
      </c>
      <c r="J1676" s="85">
        <f>STATS1003B!J1679/1000</f>
        <v>500</v>
      </c>
      <c r="K1676" s="85">
        <f>STATS1003B!K1679/1000</f>
        <v>0</v>
      </c>
      <c r="L1676" s="85">
        <f>STATS1003B!L1679/1000</f>
        <v>0</v>
      </c>
      <c r="M1676" s="85">
        <f>STATS1003B!M1679/1000</f>
        <v>2626.0839900000001</v>
      </c>
      <c r="N1676" s="85">
        <f>STATS1003B!N1679/1000</f>
        <v>0</v>
      </c>
      <c r="O1676" s="85">
        <f>STATS1003B!O1679/1000</f>
        <v>0</v>
      </c>
      <c r="P1676" s="85">
        <f>STATS1003B!P1679/1000</f>
        <v>0</v>
      </c>
      <c r="Q1676" s="85">
        <f>STATS1003B!Q1679/1000</f>
        <v>0</v>
      </c>
      <c r="R1676" s="85">
        <f>STATS1003B!R1679/1000</f>
        <v>0</v>
      </c>
      <c r="S1676" s="85">
        <f>STATS1003B!S1679/1000</f>
        <v>0</v>
      </c>
      <c r="T1676" s="85">
        <f>STATS1003B!T1679/1000</f>
        <v>0</v>
      </c>
      <c r="U1676" s="85">
        <f>STATS1003B!U1679/1000</f>
        <v>0</v>
      </c>
      <c r="V1676" s="85">
        <f>STATS1003B!V1679/1000</f>
        <v>2626.0839900000001</v>
      </c>
      <c r="W1676" s="85">
        <f>STATS1003B!W1679/1000</f>
        <v>0</v>
      </c>
      <c r="X1676" s="85">
        <f t="shared" si="187"/>
        <v>2626.0839900000001</v>
      </c>
      <c r="Y1676" s="85">
        <f>STATS1003B!Y1679/1000</f>
        <v>0</v>
      </c>
      <c r="Z1676" s="85">
        <f>STATS1003B!Z1679/1000</f>
        <v>0</v>
      </c>
      <c r="AA1676" s="69">
        <f>STATS1003B!AA1679/1000</f>
        <v>2626.0839900000001</v>
      </c>
      <c r="AB1676" s="69">
        <f>STATS1003B!AB1679/1000</f>
        <v>0</v>
      </c>
    </row>
    <row r="1677" spans="1:28" hidden="1" x14ac:dyDescent="0.3">
      <c r="A1677" s="117"/>
      <c r="E1677" s="86" t="s">
        <v>29</v>
      </c>
      <c r="F1677" s="86" t="s">
        <v>29</v>
      </c>
      <c r="G1677" s="86" t="s">
        <v>29</v>
      </c>
      <c r="H1677" s="86" t="s">
        <v>29</v>
      </c>
      <c r="I1677" s="86" t="s">
        <v>29</v>
      </c>
      <c r="J1677" s="86" t="s">
        <v>29</v>
      </c>
      <c r="K1677" s="86" t="s">
        <v>29</v>
      </c>
      <c r="L1677" s="86" t="s">
        <v>29</v>
      </c>
      <c r="M1677" s="86" t="s">
        <v>29</v>
      </c>
      <c r="N1677" s="86" t="s">
        <v>29</v>
      </c>
      <c r="O1677" s="86" t="s">
        <v>29</v>
      </c>
      <c r="P1677" s="86" t="s">
        <v>29</v>
      </c>
      <c r="Q1677" s="86" t="s">
        <v>29</v>
      </c>
      <c r="R1677" s="86" t="s">
        <v>29</v>
      </c>
      <c r="S1677" s="86" t="s">
        <v>29</v>
      </c>
      <c r="T1677" s="86" t="s">
        <v>29</v>
      </c>
      <c r="U1677" s="86" t="s">
        <v>29</v>
      </c>
      <c r="V1677" s="86" t="s">
        <v>29</v>
      </c>
      <c r="W1677" s="86" t="s">
        <v>29</v>
      </c>
      <c r="X1677" s="85" t="e">
        <f t="shared" si="187"/>
        <v>#VALUE!</v>
      </c>
      <c r="Y1677" s="86" t="s">
        <v>29</v>
      </c>
      <c r="Z1677" s="86" t="s">
        <v>29</v>
      </c>
      <c r="AA1677" s="115" t="s">
        <v>29</v>
      </c>
      <c r="AB1677" s="115" t="s">
        <v>29</v>
      </c>
    </row>
    <row r="1678" spans="1:28" x14ac:dyDescent="0.3">
      <c r="A1678" s="116">
        <v>71</v>
      </c>
      <c r="B1678" s="68" t="s">
        <v>334</v>
      </c>
      <c r="E1678" s="85">
        <f>124614716.23/1000</f>
        <v>124614.71623000001</v>
      </c>
      <c r="F1678" s="85">
        <f t="shared" ref="F1678:AB1678" si="189">SUM(F1662:F1676)</f>
        <v>44541.657698000003</v>
      </c>
      <c r="G1678" s="85">
        <f t="shared" si="189"/>
        <v>1800</v>
      </c>
      <c r="H1678" s="85">
        <f>122846946.23/1000</f>
        <v>122846.94623</v>
      </c>
      <c r="I1678" s="85">
        <f t="shared" si="189"/>
        <v>1000</v>
      </c>
      <c r="J1678" s="85">
        <f t="shared" si="189"/>
        <v>1000</v>
      </c>
      <c r="K1678" s="85">
        <f t="shared" si="189"/>
        <v>0</v>
      </c>
      <c r="L1678" s="85">
        <f t="shared" si="189"/>
        <v>0</v>
      </c>
      <c r="M1678" s="85">
        <f t="shared" si="189"/>
        <v>46341.657698000003</v>
      </c>
      <c r="N1678" s="85">
        <f t="shared" si="189"/>
        <v>1767.77</v>
      </c>
      <c r="O1678" s="85">
        <f t="shared" si="189"/>
        <v>0</v>
      </c>
      <c r="P1678" s="85">
        <f>1767770/1000</f>
        <v>1767.77</v>
      </c>
      <c r="Q1678" s="85">
        <f t="shared" si="189"/>
        <v>0</v>
      </c>
      <c r="R1678" s="85">
        <f t="shared" si="189"/>
        <v>0</v>
      </c>
      <c r="S1678" s="85">
        <f t="shared" si="189"/>
        <v>0</v>
      </c>
      <c r="T1678" s="85">
        <f t="shared" si="189"/>
        <v>0</v>
      </c>
      <c r="U1678" s="85">
        <f t="shared" si="189"/>
        <v>1767.77</v>
      </c>
      <c r="V1678" s="85">
        <f t="shared" si="189"/>
        <v>48109.427698</v>
      </c>
      <c r="W1678" s="85">
        <f t="shared" si="189"/>
        <v>1.9999993965029718E-6</v>
      </c>
      <c r="X1678" s="85">
        <f>+H1678+P1678</f>
        <v>124614.71623000001</v>
      </c>
      <c r="Y1678" s="85">
        <f t="shared" si="189"/>
        <v>0</v>
      </c>
      <c r="Z1678" s="85">
        <f>+E1678-X1678</f>
        <v>0</v>
      </c>
      <c r="AA1678" s="69">
        <f t="shared" si="189"/>
        <v>48109.427698</v>
      </c>
      <c r="AB1678" s="69">
        <f t="shared" si="189"/>
        <v>1.9999993965029718E-6</v>
      </c>
    </row>
    <row r="1679" spans="1:28" hidden="1" x14ac:dyDescent="0.3">
      <c r="A1679" s="117"/>
      <c r="E1679" s="86" t="s">
        <v>29</v>
      </c>
      <c r="F1679" s="86" t="s">
        <v>29</v>
      </c>
      <c r="G1679" s="86" t="s">
        <v>29</v>
      </c>
      <c r="H1679" s="86" t="s">
        <v>29</v>
      </c>
      <c r="I1679" s="86" t="s">
        <v>29</v>
      </c>
      <c r="J1679" s="86" t="s">
        <v>29</v>
      </c>
      <c r="K1679" s="86" t="s">
        <v>29</v>
      </c>
      <c r="L1679" s="86" t="s">
        <v>29</v>
      </c>
      <c r="M1679" s="86" t="s">
        <v>29</v>
      </c>
      <c r="N1679" s="86" t="s">
        <v>29</v>
      </c>
      <c r="O1679" s="86" t="s">
        <v>29</v>
      </c>
      <c r="P1679" s="86" t="s">
        <v>29</v>
      </c>
      <c r="Q1679" s="86" t="s">
        <v>29</v>
      </c>
      <c r="R1679" s="86" t="s">
        <v>29</v>
      </c>
      <c r="S1679" s="86" t="s">
        <v>29</v>
      </c>
      <c r="T1679" s="86" t="s">
        <v>29</v>
      </c>
      <c r="U1679" s="86" t="s">
        <v>29</v>
      </c>
      <c r="V1679" s="86" t="s">
        <v>29</v>
      </c>
      <c r="W1679" s="86" t="s">
        <v>29</v>
      </c>
      <c r="X1679" s="85" t="e">
        <f t="shared" si="187"/>
        <v>#VALUE!</v>
      </c>
      <c r="Y1679" s="86" t="s">
        <v>29</v>
      </c>
      <c r="Z1679" s="86" t="s">
        <v>29</v>
      </c>
      <c r="AA1679" s="115" t="s">
        <v>29</v>
      </c>
      <c r="AB1679" s="115" t="s">
        <v>29</v>
      </c>
    </row>
    <row r="1680" spans="1:28" hidden="1" x14ac:dyDescent="0.3">
      <c r="A1680" s="105"/>
      <c r="E1680" s="84"/>
      <c r="F1680" s="84"/>
      <c r="G1680" s="84"/>
      <c r="H1680" s="84"/>
      <c r="I1680" s="84"/>
      <c r="J1680" s="84"/>
      <c r="K1680" s="84"/>
      <c r="L1680" s="84"/>
      <c r="M1680" s="84"/>
      <c r="N1680" s="84"/>
      <c r="O1680" s="84"/>
      <c r="P1680" s="84"/>
      <c r="Q1680" s="84"/>
      <c r="R1680" s="84"/>
      <c r="S1680" s="84"/>
      <c r="T1680" s="84"/>
      <c r="U1680" s="84"/>
      <c r="V1680" s="84"/>
      <c r="W1680" s="84"/>
      <c r="X1680" s="85">
        <f t="shared" si="187"/>
        <v>0</v>
      </c>
      <c r="Y1680" s="84"/>
      <c r="Z1680" s="84"/>
    </row>
    <row r="1681" spans="1:28" hidden="1" x14ac:dyDescent="0.3">
      <c r="A1681" s="117"/>
      <c r="C1681" s="68" t="s">
        <v>57</v>
      </c>
      <c r="D1681" s="87" t="s">
        <v>340</v>
      </c>
      <c r="E1681" s="85">
        <f>STATS1003B!E1684/1000</f>
        <v>10504.91784</v>
      </c>
      <c r="F1681" s="85">
        <f>STATS1003B!F1684/1000</f>
        <v>10500</v>
      </c>
      <c r="G1681" s="85">
        <f>STATS1003B!G1684/1000</f>
        <v>0</v>
      </c>
      <c r="H1681" s="85">
        <f>STATS1003B!H1684/1000</f>
        <v>10500</v>
      </c>
      <c r="I1681" s="85">
        <f>STATS1003B!I1684/1000</f>
        <v>0</v>
      </c>
      <c r="J1681" s="85">
        <f>STATS1003B!J1684/1000</f>
        <v>0</v>
      </c>
      <c r="K1681" s="85">
        <f>STATS1003B!K1684/1000</f>
        <v>0</v>
      </c>
      <c r="L1681" s="85">
        <f>STATS1003B!L1684/1000</f>
        <v>0</v>
      </c>
      <c r="M1681" s="85">
        <f>STATS1003B!M1684/1000</f>
        <v>10500</v>
      </c>
      <c r="N1681" s="85">
        <f>STATS1003B!N1684/1000</f>
        <v>4.91784</v>
      </c>
      <c r="O1681" s="85">
        <f>STATS1003B!O1684/1000</f>
        <v>0</v>
      </c>
      <c r="P1681" s="85">
        <f>STATS1003B!P1684/1000</f>
        <v>4.91784</v>
      </c>
      <c r="Q1681" s="85">
        <f>STATS1003B!Q1684/1000</f>
        <v>0</v>
      </c>
      <c r="R1681" s="85">
        <f>STATS1003B!R1684/1000</f>
        <v>0</v>
      </c>
      <c r="S1681" s="85">
        <f>STATS1003B!S1684/1000</f>
        <v>0</v>
      </c>
      <c r="T1681" s="85">
        <f>STATS1003B!T1684/1000</f>
        <v>0</v>
      </c>
      <c r="U1681" s="85">
        <f>STATS1003B!U1684/1000</f>
        <v>4.91784</v>
      </c>
      <c r="V1681" s="85">
        <f>STATS1003B!V1684/1000</f>
        <v>10504.91784</v>
      </c>
      <c r="W1681" s="85">
        <f>STATS1003B!W1684/1000</f>
        <v>0</v>
      </c>
      <c r="X1681" s="85">
        <f t="shared" si="187"/>
        <v>10504.91784</v>
      </c>
      <c r="Y1681" s="85">
        <f>STATS1003B!Y1684/1000</f>
        <v>0</v>
      </c>
      <c r="Z1681" s="85">
        <f>STATS1003B!Z1684/1000</f>
        <v>0</v>
      </c>
      <c r="AA1681" s="69">
        <f>STATS1003B!AA1684/1000</f>
        <v>10504.91784</v>
      </c>
      <c r="AB1681" s="69">
        <f>STATS1003B!AB1684/1000</f>
        <v>0</v>
      </c>
    </row>
    <row r="1682" spans="1:28" hidden="1" x14ac:dyDescent="0.3">
      <c r="A1682" s="117"/>
      <c r="C1682" s="68" t="s">
        <v>53</v>
      </c>
      <c r="D1682" s="87" t="s">
        <v>54</v>
      </c>
      <c r="E1682" s="85">
        <f>STATS1003B!E1685/1000</f>
        <v>1953.989</v>
      </c>
      <c r="F1682" s="85">
        <f>STATS1003B!F1685/1000</f>
        <v>0</v>
      </c>
      <c r="G1682" s="85">
        <f>STATS1003B!G1685/1000</f>
        <v>0</v>
      </c>
      <c r="H1682" s="85">
        <f>STATS1003B!H1685/1000</f>
        <v>0</v>
      </c>
      <c r="I1682" s="85">
        <f>STATS1003B!I1685/1000</f>
        <v>0</v>
      </c>
      <c r="J1682" s="85">
        <f>STATS1003B!J1685/1000</f>
        <v>0</v>
      </c>
      <c r="K1682" s="85">
        <f>STATS1003B!K1685/1000</f>
        <v>0</v>
      </c>
      <c r="L1682" s="85">
        <f>STATS1003B!L1685/1000</f>
        <v>0</v>
      </c>
      <c r="M1682" s="85">
        <f>STATS1003B!M1685/1000</f>
        <v>0</v>
      </c>
      <c r="N1682" s="85">
        <f>STATS1003B!N1685/1000</f>
        <v>1953.989</v>
      </c>
      <c r="O1682" s="85">
        <f>STATS1003B!O1685/1000</f>
        <v>0</v>
      </c>
      <c r="P1682" s="85">
        <f>STATS1003B!P1685/1000</f>
        <v>1953.989</v>
      </c>
      <c r="Q1682" s="85">
        <f>STATS1003B!Q1685/1000</f>
        <v>0</v>
      </c>
      <c r="R1682" s="85">
        <f>STATS1003B!R1685/1000</f>
        <v>0</v>
      </c>
      <c r="S1682" s="85">
        <f>STATS1003B!S1685/1000</f>
        <v>0</v>
      </c>
      <c r="T1682" s="85">
        <f>STATS1003B!T1685/1000</f>
        <v>0</v>
      </c>
      <c r="U1682" s="85">
        <f>STATS1003B!U1685/1000</f>
        <v>1953.989</v>
      </c>
      <c r="V1682" s="85">
        <f>STATS1003B!V1685/1000</f>
        <v>1953.989</v>
      </c>
      <c r="W1682" s="85">
        <f>STATS1003B!W1685/1000</f>
        <v>0</v>
      </c>
      <c r="X1682" s="85">
        <f t="shared" si="187"/>
        <v>1953.989</v>
      </c>
      <c r="Y1682" s="85">
        <f>STATS1003B!Y1685/1000</f>
        <v>0</v>
      </c>
      <c r="Z1682" s="85">
        <f>STATS1003B!Z1685/1000</f>
        <v>0</v>
      </c>
      <c r="AA1682" s="69">
        <f>STATS1003B!AA1685/1000</f>
        <v>1953.989</v>
      </c>
      <c r="AB1682" s="69">
        <f>STATS1003B!AB1685/1000</f>
        <v>0</v>
      </c>
    </row>
    <row r="1683" spans="1:28" hidden="1" x14ac:dyDescent="0.3">
      <c r="A1683" s="117"/>
      <c r="C1683" s="68" t="s">
        <v>330</v>
      </c>
      <c r="D1683" s="87" t="s">
        <v>54</v>
      </c>
      <c r="E1683" s="85">
        <f>STATS1003B!E1686/1000</f>
        <v>0</v>
      </c>
      <c r="F1683" s="85">
        <f>STATS1003B!F1686/1000</f>
        <v>0</v>
      </c>
      <c r="G1683" s="85">
        <f>STATS1003B!G1686/1000</f>
        <v>0</v>
      </c>
      <c r="H1683" s="85">
        <f>STATS1003B!H1686/1000</f>
        <v>0</v>
      </c>
      <c r="I1683" s="85">
        <f>STATS1003B!I1686/1000</f>
        <v>0</v>
      </c>
      <c r="J1683" s="85">
        <f>STATS1003B!J1686/1000</f>
        <v>0</v>
      </c>
      <c r="K1683" s="85">
        <f>STATS1003B!K1686/1000</f>
        <v>0</v>
      </c>
      <c r="L1683" s="85">
        <f>STATS1003B!L1686/1000</f>
        <v>0</v>
      </c>
      <c r="M1683" s="85">
        <f>STATS1003B!M1686/1000</f>
        <v>0</v>
      </c>
      <c r="N1683" s="85">
        <f>STATS1003B!N1686/1000</f>
        <v>0</v>
      </c>
      <c r="O1683" s="85">
        <f>STATS1003B!O1686/1000</f>
        <v>0</v>
      </c>
      <c r="P1683" s="85">
        <f>STATS1003B!P1686/1000</f>
        <v>0</v>
      </c>
      <c r="Q1683" s="85">
        <f>STATS1003B!Q1686/1000</f>
        <v>0</v>
      </c>
      <c r="R1683" s="85">
        <f>STATS1003B!R1686/1000</f>
        <v>0</v>
      </c>
      <c r="S1683" s="85">
        <f>STATS1003B!S1686/1000</f>
        <v>0</v>
      </c>
      <c r="T1683" s="85">
        <f>STATS1003B!T1686/1000</f>
        <v>0</v>
      </c>
      <c r="U1683" s="85">
        <f>STATS1003B!U1686/1000</f>
        <v>0</v>
      </c>
      <c r="V1683" s="85">
        <f>STATS1003B!V1686/1000</f>
        <v>0</v>
      </c>
      <c r="W1683" s="85">
        <f>STATS1003B!W1686/1000</f>
        <v>0</v>
      </c>
      <c r="X1683" s="85">
        <f t="shared" si="187"/>
        <v>0</v>
      </c>
      <c r="Y1683" s="85">
        <f>STATS1003B!Y1686/1000</f>
        <v>0</v>
      </c>
      <c r="Z1683" s="85">
        <f>STATS1003B!Z1686/1000</f>
        <v>0</v>
      </c>
      <c r="AA1683" s="69">
        <f>STATS1003B!AA1686/1000</f>
        <v>0</v>
      </c>
      <c r="AB1683" s="69">
        <f>STATS1003B!AB1686/1000</f>
        <v>0</v>
      </c>
    </row>
    <row r="1684" spans="1:28" hidden="1" x14ac:dyDescent="0.3">
      <c r="A1684" s="117" t="s">
        <v>1107</v>
      </c>
      <c r="C1684" s="68" t="s">
        <v>55</v>
      </c>
      <c r="D1684" s="87" t="s">
        <v>88</v>
      </c>
      <c r="E1684" s="85">
        <f>STATS1003B!E1687/1000</f>
        <v>688.14</v>
      </c>
      <c r="F1684" s="85">
        <f>STATS1003B!F1687/1000</f>
        <v>0</v>
      </c>
      <c r="G1684" s="85">
        <f>STATS1003B!G1687/1000</f>
        <v>0</v>
      </c>
      <c r="H1684" s="85">
        <f>STATS1003B!H1687/1000</f>
        <v>0</v>
      </c>
      <c r="I1684" s="85">
        <f>STATS1003B!I1687/1000</f>
        <v>0</v>
      </c>
      <c r="J1684" s="85">
        <f>STATS1003B!J1687/1000</f>
        <v>0</v>
      </c>
      <c r="K1684" s="85">
        <f>STATS1003B!K1687/1000</f>
        <v>0</v>
      </c>
      <c r="L1684" s="85">
        <f>STATS1003B!L1687/1000</f>
        <v>0</v>
      </c>
      <c r="M1684" s="85">
        <f>STATS1003B!M1687/1000</f>
        <v>0</v>
      </c>
      <c r="N1684" s="85">
        <f>STATS1003B!N1687/1000</f>
        <v>688.14</v>
      </c>
      <c r="O1684" s="85">
        <f>STATS1003B!O1687/1000</f>
        <v>0</v>
      </c>
      <c r="P1684" s="85">
        <f>STATS1003B!P1687/1000</f>
        <v>688.14</v>
      </c>
      <c r="Q1684" s="85">
        <f>STATS1003B!Q1687/1000</f>
        <v>0</v>
      </c>
      <c r="R1684" s="85">
        <f>STATS1003B!R1687/1000</f>
        <v>0</v>
      </c>
      <c r="S1684" s="85">
        <f>STATS1003B!S1687/1000</f>
        <v>0</v>
      </c>
      <c r="T1684" s="85">
        <f>STATS1003B!T1687/1000</f>
        <v>0</v>
      </c>
      <c r="U1684" s="85">
        <f>STATS1003B!U1687/1000</f>
        <v>688.14</v>
      </c>
      <c r="V1684" s="85">
        <f>STATS1003B!V1687/1000</f>
        <v>688.14</v>
      </c>
      <c r="W1684" s="85">
        <f>STATS1003B!W1687/1000</f>
        <v>0</v>
      </c>
      <c r="X1684" s="85">
        <f t="shared" si="187"/>
        <v>688.14</v>
      </c>
      <c r="Y1684" s="85">
        <f>STATS1003B!Y1687/1000</f>
        <v>0</v>
      </c>
      <c r="Z1684" s="85">
        <f>STATS1003B!Z1687/1000</f>
        <v>0</v>
      </c>
      <c r="AA1684" s="69">
        <f>STATS1003B!AA1687/1000</f>
        <v>688.14</v>
      </c>
      <c r="AB1684" s="69">
        <f>STATS1003B!AB1687/1000</f>
        <v>0</v>
      </c>
    </row>
    <row r="1685" spans="1:28" hidden="1" x14ac:dyDescent="0.3">
      <c r="A1685" s="117"/>
      <c r="C1685" s="68" t="s">
        <v>341</v>
      </c>
      <c r="D1685" s="87" t="s">
        <v>88</v>
      </c>
      <c r="E1685" s="85">
        <f>STATS1003B!E1688/1000</f>
        <v>4465.2441600000002</v>
      </c>
      <c r="F1685" s="85">
        <f>STATS1003B!F1688/1000</f>
        <v>4465.2441600000002</v>
      </c>
      <c r="G1685" s="85">
        <f>STATS1003B!G1688/1000</f>
        <v>0</v>
      </c>
      <c r="H1685" s="85">
        <f>STATS1003B!H1688/1000</f>
        <v>4465.2441600000002</v>
      </c>
      <c r="I1685" s="85">
        <f>STATS1003B!I1688/1000</f>
        <v>0</v>
      </c>
      <c r="J1685" s="85">
        <f>STATS1003B!J1688/1000</f>
        <v>0</v>
      </c>
      <c r="K1685" s="85">
        <f>STATS1003B!K1688/1000</f>
        <v>0</v>
      </c>
      <c r="L1685" s="85">
        <f>STATS1003B!L1688/1000</f>
        <v>0</v>
      </c>
      <c r="M1685" s="85">
        <f>STATS1003B!M1688/1000</f>
        <v>4465.2441600000002</v>
      </c>
      <c r="N1685" s="85">
        <f>STATS1003B!N1688/1000</f>
        <v>0</v>
      </c>
      <c r="O1685" s="85">
        <f>STATS1003B!O1688/1000</f>
        <v>0</v>
      </c>
      <c r="P1685" s="85">
        <f>STATS1003B!P1688/1000</f>
        <v>0</v>
      </c>
      <c r="Q1685" s="85">
        <f>STATS1003B!Q1688/1000</f>
        <v>0</v>
      </c>
      <c r="R1685" s="85">
        <f>STATS1003B!R1688/1000</f>
        <v>0</v>
      </c>
      <c r="S1685" s="85">
        <f>STATS1003B!S1688/1000</f>
        <v>0</v>
      </c>
      <c r="T1685" s="85">
        <f>STATS1003B!T1688/1000</f>
        <v>0</v>
      </c>
      <c r="U1685" s="85">
        <f>STATS1003B!U1688/1000</f>
        <v>0</v>
      </c>
      <c r="V1685" s="85">
        <f>STATS1003B!V1688/1000</f>
        <v>4465.2441600000002</v>
      </c>
      <c r="W1685" s="85">
        <f>STATS1003B!W1688/1000</f>
        <v>0</v>
      </c>
      <c r="X1685" s="85">
        <f t="shared" si="187"/>
        <v>4465.2441600000002</v>
      </c>
      <c r="Y1685" s="85">
        <f>STATS1003B!Y1688/1000</f>
        <v>0</v>
      </c>
      <c r="Z1685" s="85">
        <f>STATS1003B!Z1688/1000</f>
        <v>0</v>
      </c>
      <c r="AA1685" s="69">
        <f>STATS1003B!AA1688/1000</f>
        <v>4465.2441600000002</v>
      </c>
      <c r="AB1685" s="69">
        <f>STATS1003B!AB1688/1000</f>
        <v>0</v>
      </c>
    </row>
    <row r="1686" spans="1:28" hidden="1" x14ac:dyDescent="0.3">
      <c r="A1686" s="117"/>
      <c r="C1686" s="68" t="s">
        <v>57</v>
      </c>
      <c r="D1686" s="87" t="s">
        <v>58</v>
      </c>
      <c r="E1686" s="85">
        <f>STATS1003B!E1689/1000</f>
        <v>5372.4920599999996</v>
      </c>
      <c r="F1686" s="85">
        <f>STATS1003B!F1689/1000</f>
        <v>5372.4920599999996</v>
      </c>
      <c r="G1686" s="85">
        <f>STATS1003B!G1689/1000</f>
        <v>0</v>
      </c>
      <c r="H1686" s="85">
        <f>STATS1003B!H1689/1000</f>
        <v>5372.4920599999996</v>
      </c>
      <c r="I1686" s="85">
        <f>STATS1003B!I1689/1000</f>
        <v>0</v>
      </c>
      <c r="J1686" s="85">
        <f>STATS1003B!J1689/1000</f>
        <v>0</v>
      </c>
      <c r="K1686" s="85">
        <f>STATS1003B!K1689/1000</f>
        <v>0</v>
      </c>
      <c r="L1686" s="85">
        <f>STATS1003B!L1689/1000</f>
        <v>0</v>
      </c>
      <c r="M1686" s="85">
        <f>STATS1003B!M1689/1000</f>
        <v>5372.4920599999996</v>
      </c>
      <c r="N1686" s="85">
        <f>STATS1003B!N1689/1000</f>
        <v>0</v>
      </c>
      <c r="O1686" s="85">
        <f>STATS1003B!O1689/1000</f>
        <v>0</v>
      </c>
      <c r="P1686" s="85">
        <f>STATS1003B!P1689/1000</f>
        <v>0</v>
      </c>
      <c r="Q1686" s="85">
        <f>STATS1003B!Q1689/1000</f>
        <v>0</v>
      </c>
      <c r="R1686" s="85">
        <f>STATS1003B!R1689/1000</f>
        <v>0</v>
      </c>
      <c r="S1686" s="85">
        <f>STATS1003B!S1689/1000</f>
        <v>0</v>
      </c>
      <c r="T1686" s="85">
        <f>STATS1003B!T1689/1000</f>
        <v>0</v>
      </c>
      <c r="U1686" s="85">
        <f>STATS1003B!U1689/1000</f>
        <v>0</v>
      </c>
      <c r="V1686" s="85">
        <f>STATS1003B!V1689/1000</f>
        <v>5372.4920599999996</v>
      </c>
      <c r="W1686" s="85">
        <f>STATS1003B!W1689/1000</f>
        <v>0</v>
      </c>
      <c r="X1686" s="85">
        <f t="shared" si="187"/>
        <v>5372.4920599999996</v>
      </c>
      <c r="Y1686" s="85">
        <f>STATS1003B!Y1689/1000</f>
        <v>0</v>
      </c>
      <c r="Z1686" s="85">
        <f>STATS1003B!Z1689/1000</f>
        <v>0</v>
      </c>
      <c r="AA1686" s="69">
        <f>STATS1003B!AA1689/1000</f>
        <v>5372.4920599999996</v>
      </c>
      <c r="AB1686" s="69">
        <f>STATS1003B!AB1689/1000</f>
        <v>0</v>
      </c>
    </row>
    <row r="1687" spans="1:28" hidden="1" x14ac:dyDescent="0.3">
      <c r="A1687" s="117"/>
      <c r="C1687" s="68" t="s">
        <v>57</v>
      </c>
      <c r="D1687" s="87" t="s">
        <v>60</v>
      </c>
      <c r="E1687" s="85">
        <f>STATS1003B!E1690/1000</f>
        <v>4347.3649999999998</v>
      </c>
      <c r="F1687" s="85">
        <f>STATS1003B!F1690/1000</f>
        <v>4347.3649999999998</v>
      </c>
      <c r="G1687" s="85">
        <f>STATS1003B!G1690/1000</f>
        <v>0</v>
      </c>
      <c r="H1687" s="85">
        <f>STATS1003B!H1690/1000</f>
        <v>4347.3649999999998</v>
      </c>
      <c r="I1687" s="85">
        <f>STATS1003B!I1690/1000</f>
        <v>0</v>
      </c>
      <c r="J1687" s="85">
        <f>STATS1003B!J1690/1000</f>
        <v>0</v>
      </c>
      <c r="K1687" s="85">
        <f>STATS1003B!K1690/1000</f>
        <v>0</v>
      </c>
      <c r="L1687" s="85">
        <f>STATS1003B!L1690/1000</f>
        <v>0</v>
      </c>
      <c r="M1687" s="85">
        <f>STATS1003B!M1690/1000</f>
        <v>4347.3649999999998</v>
      </c>
      <c r="N1687" s="85">
        <f>STATS1003B!N1690/1000</f>
        <v>0</v>
      </c>
      <c r="O1687" s="85">
        <f>STATS1003B!O1690/1000</f>
        <v>0</v>
      </c>
      <c r="P1687" s="85">
        <f>STATS1003B!P1690/1000</f>
        <v>0</v>
      </c>
      <c r="Q1687" s="85">
        <f>STATS1003B!Q1690/1000</f>
        <v>0</v>
      </c>
      <c r="R1687" s="85">
        <f>STATS1003B!R1690/1000</f>
        <v>0</v>
      </c>
      <c r="S1687" s="85">
        <f>STATS1003B!S1690/1000</f>
        <v>0</v>
      </c>
      <c r="T1687" s="85">
        <f>STATS1003B!T1690/1000</f>
        <v>0</v>
      </c>
      <c r="U1687" s="85">
        <f>STATS1003B!U1690/1000</f>
        <v>0</v>
      </c>
      <c r="V1687" s="85">
        <f>STATS1003B!V1690/1000</f>
        <v>4347.3649999999998</v>
      </c>
      <c r="W1687" s="85">
        <f>STATS1003B!W1690/1000</f>
        <v>0</v>
      </c>
      <c r="X1687" s="85">
        <f t="shared" si="187"/>
        <v>4347.3649999999998</v>
      </c>
      <c r="Y1687" s="85">
        <f>STATS1003B!Y1690/1000</f>
        <v>0</v>
      </c>
      <c r="Z1687" s="85">
        <f>STATS1003B!Z1690/1000</f>
        <v>0</v>
      </c>
      <c r="AA1687" s="69">
        <f>STATS1003B!AA1690/1000</f>
        <v>4347.3649999999998</v>
      </c>
      <c r="AB1687" s="69">
        <f>STATS1003B!AB1690/1000</f>
        <v>0</v>
      </c>
    </row>
    <row r="1688" spans="1:28" hidden="1" x14ac:dyDescent="0.3">
      <c r="A1688" s="117"/>
      <c r="C1688" s="68" t="s">
        <v>57</v>
      </c>
      <c r="D1688" s="87" t="s">
        <v>73</v>
      </c>
      <c r="E1688" s="85">
        <f>STATS1003B!E1691/1000</f>
        <v>1141</v>
      </c>
      <c r="F1688" s="85">
        <f>STATS1003B!F1691/1000</f>
        <v>1141</v>
      </c>
      <c r="G1688" s="85">
        <f>STATS1003B!G1691/1000</f>
        <v>0</v>
      </c>
      <c r="H1688" s="85">
        <f>STATS1003B!H1691/1000</f>
        <v>1141</v>
      </c>
      <c r="I1688" s="85">
        <f>STATS1003B!I1691/1000</f>
        <v>0</v>
      </c>
      <c r="J1688" s="85">
        <f>STATS1003B!J1691/1000</f>
        <v>0</v>
      </c>
      <c r="K1688" s="85">
        <f>STATS1003B!K1691/1000</f>
        <v>0</v>
      </c>
      <c r="L1688" s="85">
        <f>STATS1003B!L1691/1000</f>
        <v>0</v>
      </c>
      <c r="M1688" s="85">
        <f>STATS1003B!M1691/1000</f>
        <v>1141</v>
      </c>
      <c r="N1688" s="85">
        <f>STATS1003B!N1691/1000</f>
        <v>0</v>
      </c>
      <c r="O1688" s="85">
        <f>STATS1003B!O1691/1000</f>
        <v>0</v>
      </c>
      <c r="P1688" s="85">
        <f>STATS1003B!P1691/1000</f>
        <v>0</v>
      </c>
      <c r="Q1688" s="85">
        <f>STATS1003B!Q1691/1000</f>
        <v>0</v>
      </c>
      <c r="R1688" s="85">
        <f>STATS1003B!R1691/1000</f>
        <v>0</v>
      </c>
      <c r="S1688" s="85">
        <f>STATS1003B!S1691/1000</f>
        <v>0</v>
      </c>
      <c r="T1688" s="85">
        <f>STATS1003B!T1691/1000</f>
        <v>0</v>
      </c>
      <c r="U1688" s="85">
        <f>STATS1003B!U1691/1000</f>
        <v>0</v>
      </c>
      <c r="V1688" s="85">
        <f>STATS1003B!V1691/1000</f>
        <v>1141</v>
      </c>
      <c r="W1688" s="85">
        <f>STATS1003B!W1691/1000</f>
        <v>0</v>
      </c>
      <c r="X1688" s="85">
        <f t="shared" si="187"/>
        <v>1141</v>
      </c>
      <c r="Y1688" s="85">
        <f>STATS1003B!Y1691/1000</f>
        <v>0</v>
      </c>
      <c r="Z1688" s="85">
        <f>STATS1003B!Z1691/1000</f>
        <v>0</v>
      </c>
      <c r="AA1688" s="69">
        <f>STATS1003B!AA1691/1000</f>
        <v>1141</v>
      </c>
      <c r="AB1688" s="69">
        <f>STATS1003B!AB1691/1000</f>
        <v>0</v>
      </c>
    </row>
    <row r="1689" spans="1:28" hidden="1" x14ac:dyDescent="0.3">
      <c r="A1689" s="117"/>
      <c r="C1689" s="71" t="s">
        <v>109</v>
      </c>
      <c r="D1689" s="88" t="s">
        <v>60</v>
      </c>
      <c r="E1689" s="85">
        <f>STATS1003B!E1692/1000</f>
        <v>5000</v>
      </c>
      <c r="F1689" s="85">
        <f>STATS1003B!F1692/1000</f>
        <v>5000</v>
      </c>
      <c r="G1689" s="85">
        <f>STATS1003B!G1692/1000</f>
        <v>0</v>
      </c>
      <c r="H1689" s="85">
        <f>STATS1003B!H1692/1000</f>
        <v>5000</v>
      </c>
      <c r="I1689" s="85">
        <f>STATS1003B!I1692/1000</f>
        <v>0</v>
      </c>
      <c r="J1689" s="85">
        <f>STATS1003B!J1692/1000</f>
        <v>0</v>
      </c>
      <c r="K1689" s="85">
        <f>STATS1003B!K1692/1000</f>
        <v>0</v>
      </c>
      <c r="L1689" s="85">
        <f>STATS1003B!L1692/1000</f>
        <v>0</v>
      </c>
      <c r="M1689" s="85">
        <f>STATS1003B!M1692/1000</f>
        <v>5000</v>
      </c>
      <c r="N1689" s="85">
        <f>STATS1003B!N1692/1000</f>
        <v>0</v>
      </c>
      <c r="O1689" s="85">
        <f>STATS1003B!O1692/1000</f>
        <v>0</v>
      </c>
      <c r="P1689" s="85">
        <f>STATS1003B!P1692/1000</f>
        <v>0</v>
      </c>
      <c r="Q1689" s="85">
        <f>STATS1003B!Q1692/1000</f>
        <v>0</v>
      </c>
      <c r="R1689" s="85">
        <f>STATS1003B!R1692/1000</f>
        <v>0</v>
      </c>
      <c r="S1689" s="85">
        <f>STATS1003B!S1692/1000</f>
        <v>0</v>
      </c>
      <c r="T1689" s="85">
        <f>STATS1003B!T1692/1000</f>
        <v>0</v>
      </c>
      <c r="U1689" s="85">
        <f>STATS1003B!U1692/1000</f>
        <v>0</v>
      </c>
      <c r="V1689" s="85">
        <f>STATS1003B!V1692/1000</f>
        <v>5000</v>
      </c>
      <c r="W1689" s="85">
        <f>STATS1003B!W1692/1000</f>
        <v>0</v>
      </c>
      <c r="X1689" s="85">
        <f t="shared" si="187"/>
        <v>5000</v>
      </c>
      <c r="Y1689" s="85">
        <f>STATS1003B!Y1692/1000</f>
        <v>0</v>
      </c>
      <c r="Z1689" s="85">
        <f>STATS1003B!Z1692/1000</f>
        <v>0</v>
      </c>
      <c r="AA1689" s="69">
        <f>STATS1003B!AA1692/1000</f>
        <v>5000</v>
      </c>
      <c r="AB1689" s="69">
        <f>STATS1003B!AB1692/1000</f>
        <v>0</v>
      </c>
    </row>
    <row r="1690" spans="1:28" hidden="1" x14ac:dyDescent="0.3">
      <c r="A1690" s="117"/>
      <c r="C1690" s="68" t="s">
        <v>342</v>
      </c>
      <c r="D1690" s="90" t="s">
        <v>194</v>
      </c>
      <c r="E1690" s="85">
        <f>STATS1003B!E1693/1000</f>
        <v>2921.9171200000001</v>
      </c>
      <c r="F1690" s="85">
        <f>STATS1003B!F1693/1000</f>
        <v>2921.9171200000001</v>
      </c>
      <c r="G1690" s="85">
        <f>STATS1003B!G1693/1000</f>
        <v>0</v>
      </c>
      <c r="H1690" s="85">
        <f>STATS1003B!H1693/1000</f>
        <v>2921.9171200000001</v>
      </c>
      <c r="I1690" s="85">
        <f>STATS1003B!I1693/1000</f>
        <v>0</v>
      </c>
      <c r="J1690" s="85">
        <f>STATS1003B!J1693/1000</f>
        <v>0</v>
      </c>
      <c r="K1690" s="85">
        <f>STATS1003B!K1693/1000</f>
        <v>0</v>
      </c>
      <c r="L1690" s="85">
        <f>STATS1003B!L1693/1000</f>
        <v>0</v>
      </c>
      <c r="M1690" s="85">
        <f>STATS1003B!M1693/1000</f>
        <v>2921.9171200000001</v>
      </c>
      <c r="N1690" s="85">
        <f>STATS1003B!N1693/1000</f>
        <v>0</v>
      </c>
      <c r="O1690" s="85">
        <f>STATS1003B!O1693/1000</f>
        <v>0</v>
      </c>
      <c r="P1690" s="85">
        <f>STATS1003B!P1693/1000</f>
        <v>0</v>
      </c>
      <c r="Q1690" s="85">
        <f>STATS1003B!Q1693/1000</f>
        <v>0</v>
      </c>
      <c r="R1690" s="85">
        <f>STATS1003B!R1693/1000</f>
        <v>0</v>
      </c>
      <c r="S1690" s="85">
        <f>STATS1003B!S1693/1000</f>
        <v>0</v>
      </c>
      <c r="T1690" s="85">
        <f>STATS1003B!T1693/1000</f>
        <v>0</v>
      </c>
      <c r="U1690" s="85">
        <f>STATS1003B!U1693/1000</f>
        <v>0</v>
      </c>
      <c r="V1690" s="85">
        <f>STATS1003B!V1693/1000</f>
        <v>2921.9171200000001</v>
      </c>
      <c r="W1690" s="85">
        <f>STATS1003B!W1693/1000</f>
        <v>0</v>
      </c>
      <c r="X1690" s="85">
        <f t="shared" si="187"/>
        <v>2921.9171200000001</v>
      </c>
      <c r="Y1690" s="85">
        <f>STATS1003B!Y1693/1000</f>
        <v>0</v>
      </c>
      <c r="Z1690" s="85">
        <f>STATS1003B!Z1693/1000</f>
        <v>0</v>
      </c>
      <c r="AA1690" s="69">
        <f>STATS1003B!AA1693/1000</f>
        <v>2921.9171200000001</v>
      </c>
      <c r="AB1690" s="69">
        <f>STATS1003B!AB1693/1000</f>
        <v>0</v>
      </c>
    </row>
    <row r="1691" spans="1:28" hidden="1" x14ac:dyDescent="0.3">
      <c r="A1691" s="117"/>
      <c r="C1691" s="68" t="s">
        <v>1166</v>
      </c>
      <c r="D1691" s="90" t="s">
        <v>1126</v>
      </c>
      <c r="E1691" s="85">
        <f>STATS1003B!E1694/1000</f>
        <v>300</v>
      </c>
      <c r="F1691" s="85">
        <f>STATS1003B!F1694/1000</f>
        <v>300</v>
      </c>
      <c r="G1691" s="85">
        <f>STATS1003B!G1694/1000</f>
        <v>0</v>
      </c>
      <c r="H1691" s="85">
        <f>STATS1003B!H1694/1000</f>
        <v>300</v>
      </c>
      <c r="I1691" s="85">
        <f>STATS1003B!I1694/1000</f>
        <v>0</v>
      </c>
      <c r="J1691" s="85">
        <f>STATS1003B!J1694/1000</f>
        <v>0</v>
      </c>
      <c r="K1691" s="85">
        <f>STATS1003B!K1694/1000</f>
        <v>0</v>
      </c>
      <c r="L1691" s="85">
        <f>STATS1003B!L1694/1000</f>
        <v>0</v>
      </c>
      <c r="M1691" s="85">
        <f>STATS1003B!M1694/1000</f>
        <v>300</v>
      </c>
      <c r="N1691" s="85">
        <f>STATS1003B!N1694/1000</f>
        <v>0</v>
      </c>
      <c r="O1691" s="85">
        <f>STATS1003B!O1694/1000</f>
        <v>0</v>
      </c>
      <c r="P1691" s="85">
        <f>STATS1003B!P1694/1000</f>
        <v>0</v>
      </c>
      <c r="Q1691" s="85">
        <f>STATS1003B!Q1694/1000</f>
        <v>0</v>
      </c>
      <c r="R1691" s="85">
        <f>STATS1003B!R1694/1000</f>
        <v>0</v>
      </c>
      <c r="S1691" s="85">
        <f>STATS1003B!S1694/1000</f>
        <v>0</v>
      </c>
      <c r="T1691" s="85">
        <f>STATS1003B!T1694/1000</f>
        <v>0</v>
      </c>
      <c r="U1691" s="85">
        <f>STATS1003B!U1694/1000</f>
        <v>0</v>
      </c>
      <c r="V1691" s="85">
        <f>STATS1003B!V1694/1000</f>
        <v>300</v>
      </c>
      <c r="W1691" s="85">
        <f>STATS1003B!W1694/1000</f>
        <v>0</v>
      </c>
      <c r="X1691" s="85">
        <f t="shared" si="187"/>
        <v>300</v>
      </c>
      <c r="Y1691" s="85">
        <f>STATS1003B!Y1694/1000</f>
        <v>0</v>
      </c>
      <c r="Z1691" s="85">
        <f>STATS1003B!Z1694/1000</f>
        <v>0</v>
      </c>
      <c r="AA1691" s="69">
        <f>STATS1003B!AA1694/1000</f>
        <v>300</v>
      </c>
      <c r="AB1691" s="69">
        <f>STATS1003B!AB1694/1000</f>
        <v>0</v>
      </c>
    </row>
    <row r="1692" spans="1:28" hidden="1" x14ac:dyDescent="0.3">
      <c r="A1692" s="117"/>
      <c r="C1692" s="68" t="s">
        <v>1157</v>
      </c>
      <c r="D1692" s="90" t="s">
        <v>1126</v>
      </c>
      <c r="E1692" s="85">
        <f>STATS1003B!E1695/1000</f>
        <v>750</v>
      </c>
      <c r="F1692" s="85">
        <f>STATS1003B!F1695/1000</f>
        <v>750</v>
      </c>
      <c r="G1692" s="85">
        <f>STATS1003B!G1695/1000</f>
        <v>0</v>
      </c>
      <c r="H1692" s="85">
        <f>STATS1003B!H1695/1000</f>
        <v>750</v>
      </c>
      <c r="I1692" s="85">
        <f>STATS1003B!I1695/1000</f>
        <v>0</v>
      </c>
      <c r="J1692" s="85">
        <f>STATS1003B!J1695/1000</f>
        <v>0</v>
      </c>
      <c r="K1692" s="85">
        <f>STATS1003B!K1695/1000</f>
        <v>0</v>
      </c>
      <c r="L1692" s="85">
        <f>STATS1003B!L1695/1000</f>
        <v>0</v>
      </c>
      <c r="M1692" s="85">
        <f>STATS1003B!M1695/1000</f>
        <v>750</v>
      </c>
      <c r="N1692" s="85">
        <f>STATS1003B!N1695/1000</f>
        <v>0</v>
      </c>
      <c r="O1692" s="85">
        <f>STATS1003B!O1695/1000</f>
        <v>0</v>
      </c>
      <c r="P1692" s="85">
        <f>STATS1003B!P1695/1000</f>
        <v>0</v>
      </c>
      <c r="Q1692" s="85">
        <f>STATS1003B!Q1695/1000</f>
        <v>0</v>
      </c>
      <c r="R1692" s="85">
        <f>STATS1003B!R1695/1000</f>
        <v>0</v>
      </c>
      <c r="S1692" s="85">
        <f>STATS1003B!S1695/1000</f>
        <v>0</v>
      </c>
      <c r="T1692" s="85">
        <f>STATS1003B!T1695/1000</f>
        <v>0</v>
      </c>
      <c r="U1692" s="85">
        <f>STATS1003B!U1695/1000</f>
        <v>0</v>
      </c>
      <c r="V1692" s="85">
        <f>STATS1003B!V1695/1000</f>
        <v>750</v>
      </c>
      <c r="W1692" s="85">
        <f>STATS1003B!W1695/1000</f>
        <v>0</v>
      </c>
      <c r="X1692" s="85">
        <f t="shared" si="187"/>
        <v>750</v>
      </c>
      <c r="Y1692" s="85">
        <f>STATS1003B!Y1695/1000</f>
        <v>0</v>
      </c>
      <c r="Z1692" s="85">
        <f>STATS1003B!Z1695/1000</f>
        <v>0</v>
      </c>
      <c r="AA1692" s="69">
        <f>STATS1003B!AA1695/1000</f>
        <v>750</v>
      </c>
      <c r="AB1692" s="69">
        <f>STATS1003B!AB1695/1000</f>
        <v>0</v>
      </c>
    </row>
    <row r="1693" spans="1:28" hidden="1" x14ac:dyDescent="0.3">
      <c r="A1693" s="117"/>
      <c r="C1693" s="68" t="s">
        <v>1167</v>
      </c>
      <c r="D1693" s="90" t="s">
        <v>1126</v>
      </c>
      <c r="E1693" s="85">
        <f>STATS1003B!E1696/1000</f>
        <v>200</v>
      </c>
      <c r="F1693" s="85">
        <f>STATS1003B!F1696/1000</f>
        <v>200</v>
      </c>
      <c r="G1693" s="85">
        <f>STATS1003B!G1696/1000</f>
        <v>0</v>
      </c>
      <c r="H1693" s="85">
        <f>STATS1003B!H1696/1000</f>
        <v>200</v>
      </c>
      <c r="I1693" s="85">
        <f>STATS1003B!I1696/1000</f>
        <v>0</v>
      </c>
      <c r="J1693" s="85">
        <f>STATS1003B!J1696/1000</f>
        <v>0</v>
      </c>
      <c r="K1693" s="85">
        <f>STATS1003B!K1696/1000</f>
        <v>0</v>
      </c>
      <c r="L1693" s="85">
        <f>STATS1003B!L1696/1000</f>
        <v>0</v>
      </c>
      <c r="M1693" s="85">
        <f>STATS1003B!M1696/1000</f>
        <v>200</v>
      </c>
      <c r="N1693" s="85">
        <f>STATS1003B!N1696/1000</f>
        <v>0</v>
      </c>
      <c r="O1693" s="85">
        <f>STATS1003B!O1696/1000</f>
        <v>0</v>
      </c>
      <c r="P1693" s="85">
        <f>STATS1003B!P1696/1000</f>
        <v>0</v>
      </c>
      <c r="Q1693" s="85">
        <f>STATS1003B!Q1696/1000</f>
        <v>0</v>
      </c>
      <c r="R1693" s="85">
        <f>STATS1003B!R1696/1000</f>
        <v>0</v>
      </c>
      <c r="S1693" s="85">
        <f>STATS1003B!S1696/1000</f>
        <v>0</v>
      </c>
      <c r="T1693" s="85">
        <f>STATS1003B!T1696/1000</f>
        <v>0</v>
      </c>
      <c r="U1693" s="85">
        <f>STATS1003B!U1696/1000</f>
        <v>0</v>
      </c>
      <c r="V1693" s="85">
        <f>STATS1003B!V1696/1000</f>
        <v>200</v>
      </c>
      <c r="W1693" s="85">
        <f>STATS1003B!W1696/1000</f>
        <v>0</v>
      </c>
      <c r="X1693" s="85">
        <f t="shared" si="187"/>
        <v>200</v>
      </c>
      <c r="Y1693" s="85">
        <f>STATS1003B!Y1696/1000</f>
        <v>0</v>
      </c>
      <c r="Z1693" s="85">
        <f>STATS1003B!Z1696/1000</f>
        <v>0</v>
      </c>
      <c r="AA1693" s="69">
        <f>STATS1003B!AA1696/1000</f>
        <v>200</v>
      </c>
      <c r="AB1693" s="69">
        <f>STATS1003B!AB1696/1000</f>
        <v>0</v>
      </c>
    </row>
    <row r="1694" spans="1:28" hidden="1" x14ac:dyDescent="0.3">
      <c r="A1694" s="117"/>
      <c r="C1694" s="68" t="s">
        <v>930</v>
      </c>
      <c r="D1694" s="90" t="s">
        <v>1072</v>
      </c>
      <c r="E1694" s="85">
        <f>STATS1003B!E1697/1000</f>
        <v>3755</v>
      </c>
      <c r="F1694" s="85">
        <f>STATS1003B!F1697/1000</f>
        <v>3755</v>
      </c>
      <c r="G1694" s="85">
        <f>STATS1003B!G1697/1000</f>
        <v>0</v>
      </c>
      <c r="H1694" s="85">
        <f>STATS1003B!H1697/1000</f>
        <v>3755</v>
      </c>
      <c r="I1694" s="85">
        <f>STATS1003B!I1697/1000</f>
        <v>0</v>
      </c>
      <c r="J1694" s="85">
        <f>STATS1003B!J1697/1000</f>
        <v>0</v>
      </c>
      <c r="K1694" s="85">
        <f>STATS1003B!K1697/1000</f>
        <v>0</v>
      </c>
      <c r="L1694" s="85">
        <f>STATS1003B!L1697/1000</f>
        <v>0</v>
      </c>
      <c r="M1694" s="85">
        <f>STATS1003B!M1697/1000</f>
        <v>3755</v>
      </c>
      <c r="N1694" s="85">
        <f>STATS1003B!N1697/1000</f>
        <v>0</v>
      </c>
      <c r="O1694" s="85">
        <f>STATS1003B!O1697/1000</f>
        <v>0</v>
      </c>
      <c r="P1694" s="85">
        <f>STATS1003B!P1697/1000</f>
        <v>0</v>
      </c>
      <c r="Q1694" s="85">
        <f>STATS1003B!Q1697/1000</f>
        <v>0</v>
      </c>
      <c r="R1694" s="85">
        <f>STATS1003B!R1697/1000</f>
        <v>0</v>
      </c>
      <c r="S1694" s="85">
        <f>STATS1003B!S1697/1000</f>
        <v>0</v>
      </c>
      <c r="T1694" s="85">
        <f>STATS1003B!T1697/1000</f>
        <v>0</v>
      </c>
      <c r="U1694" s="85">
        <f>STATS1003B!U1697/1000</f>
        <v>0</v>
      </c>
      <c r="V1694" s="85">
        <f>STATS1003B!V1697/1000</f>
        <v>3755</v>
      </c>
      <c r="W1694" s="85">
        <f>STATS1003B!W1697/1000</f>
        <v>0</v>
      </c>
      <c r="X1694" s="85">
        <f t="shared" si="187"/>
        <v>3755</v>
      </c>
      <c r="Y1694" s="85">
        <f>STATS1003B!Y1697/1000</f>
        <v>0</v>
      </c>
      <c r="Z1694" s="85">
        <f>STATS1003B!Z1697/1000</f>
        <v>0</v>
      </c>
      <c r="AA1694" s="69">
        <f>STATS1003B!AA1697/1000</f>
        <v>3755</v>
      </c>
      <c r="AB1694" s="69">
        <f>STATS1003B!AB1697/1000</f>
        <v>0</v>
      </c>
    </row>
    <row r="1695" spans="1:28" hidden="1" x14ac:dyDescent="0.3">
      <c r="A1695" s="117"/>
      <c r="C1695" s="68" t="s">
        <v>924</v>
      </c>
      <c r="D1695" s="90" t="s">
        <v>61</v>
      </c>
      <c r="E1695" s="85">
        <f>STATS1003B!E1698/1000</f>
        <v>1135.4025200000001</v>
      </c>
      <c r="F1695" s="85">
        <f>STATS1003B!F1698/1000</f>
        <v>1110.5959700000001</v>
      </c>
      <c r="G1695" s="85">
        <f>STATS1003B!G1698/1000</f>
        <v>0</v>
      </c>
      <c r="H1695" s="85">
        <f>STATS1003B!H1698/1000</f>
        <v>1110.5959700000001</v>
      </c>
      <c r="I1695" s="85">
        <f>STATS1003B!I1698/1000</f>
        <v>0</v>
      </c>
      <c r="J1695" s="85">
        <f>STATS1003B!J1698/1000</f>
        <v>0</v>
      </c>
      <c r="K1695" s="85">
        <f>STATS1003B!K1698/1000</f>
        <v>0</v>
      </c>
      <c r="L1695" s="85">
        <f>STATS1003B!L1698/1000</f>
        <v>0</v>
      </c>
      <c r="M1695" s="85">
        <f>STATS1003B!M1698/1000</f>
        <v>1110.5959700000001</v>
      </c>
      <c r="N1695" s="85">
        <f>STATS1003B!N1698/1000</f>
        <v>23.3794</v>
      </c>
      <c r="O1695" s="85">
        <f>STATS1003B!O1698/1000</f>
        <v>0</v>
      </c>
      <c r="P1695" s="85">
        <f>STATS1003B!P1698/1000</f>
        <v>23.3794</v>
      </c>
      <c r="Q1695" s="85">
        <f>STATS1003B!Q1698/1000</f>
        <v>24.806549999999998</v>
      </c>
      <c r="R1695" s="85">
        <f>STATS1003B!R1698/1000</f>
        <v>0</v>
      </c>
      <c r="S1695" s="85">
        <f>STATS1003B!S1698/1000</f>
        <v>0</v>
      </c>
      <c r="T1695" s="85">
        <f>STATS1003B!T1698/1000</f>
        <v>1.4271500000000001</v>
      </c>
      <c r="U1695" s="85">
        <f>STATS1003B!U1698/1000</f>
        <v>24.806550000000001</v>
      </c>
      <c r="V1695" s="85">
        <f>STATS1003B!V1698/1000</f>
        <v>1133.9753699999999</v>
      </c>
      <c r="W1695" s="85">
        <f>STATS1003B!W1698/1000</f>
        <v>1.4271500000001398</v>
      </c>
      <c r="X1695" s="85">
        <f t="shared" si="187"/>
        <v>1133.9753700000001</v>
      </c>
      <c r="Y1695" s="85">
        <f>STATS1003B!Y1698/1000</f>
        <v>0</v>
      </c>
      <c r="Z1695" s="85">
        <f>STATS1003B!Z1698/1000</f>
        <v>1.4271500000001398</v>
      </c>
      <c r="AA1695" s="69">
        <f>STATS1003B!AA1698/1000</f>
        <v>1135.4025200000001</v>
      </c>
      <c r="AB1695" s="69">
        <f>STATS1003B!AB1698/1000</f>
        <v>0</v>
      </c>
    </row>
    <row r="1696" spans="1:28" hidden="1" x14ac:dyDescent="0.3">
      <c r="A1696" s="117"/>
      <c r="E1696" s="86" t="s">
        <v>29</v>
      </c>
      <c r="F1696" s="86" t="s">
        <v>29</v>
      </c>
      <c r="G1696" s="86" t="s">
        <v>29</v>
      </c>
      <c r="H1696" s="86" t="s">
        <v>29</v>
      </c>
      <c r="I1696" s="86" t="s">
        <v>29</v>
      </c>
      <c r="J1696" s="86" t="s">
        <v>29</v>
      </c>
      <c r="K1696" s="86" t="s">
        <v>29</v>
      </c>
      <c r="L1696" s="86" t="s">
        <v>29</v>
      </c>
      <c r="M1696" s="86" t="s">
        <v>29</v>
      </c>
      <c r="N1696" s="86" t="s">
        <v>29</v>
      </c>
      <c r="O1696" s="86" t="s">
        <v>29</v>
      </c>
      <c r="P1696" s="86" t="s">
        <v>29</v>
      </c>
      <c r="Q1696" s="86" t="s">
        <v>29</v>
      </c>
      <c r="R1696" s="86" t="s">
        <v>29</v>
      </c>
      <c r="S1696" s="86" t="s">
        <v>29</v>
      </c>
      <c r="T1696" s="86" t="s">
        <v>29</v>
      </c>
      <c r="U1696" s="86" t="s">
        <v>29</v>
      </c>
      <c r="V1696" s="86" t="s">
        <v>29</v>
      </c>
      <c r="W1696" s="86" t="s">
        <v>29</v>
      </c>
      <c r="X1696" s="85" t="e">
        <f t="shared" si="187"/>
        <v>#VALUE!</v>
      </c>
      <c r="Y1696" s="86" t="s">
        <v>29</v>
      </c>
      <c r="Z1696" s="86" t="s">
        <v>29</v>
      </c>
      <c r="AA1696" s="115" t="s">
        <v>29</v>
      </c>
      <c r="AB1696" s="115" t="s">
        <v>29</v>
      </c>
    </row>
    <row r="1697" spans="1:28" x14ac:dyDescent="0.3">
      <c r="A1697" s="116">
        <v>72</v>
      </c>
      <c r="B1697" s="68" t="s">
        <v>339</v>
      </c>
      <c r="E1697" s="85">
        <f>77991264.53/1000</f>
        <v>77991.26453</v>
      </c>
      <c r="F1697" s="85">
        <f t="shared" ref="F1697:AB1697" si="190">SUM(F1681:F1695)</f>
        <v>39863.614309999997</v>
      </c>
      <c r="G1697" s="85">
        <f t="shared" si="190"/>
        <v>0</v>
      </c>
      <c r="H1697" s="85">
        <f>75319411.14/1000</f>
        <v>75319.411139999997</v>
      </c>
      <c r="I1697" s="85">
        <f t="shared" si="190"/>
        <v>0</v>
      </c>
      <c r="J1697" s="85">
        <f t="shared" si="190"/>
        <v>0</v>
      </c>
      <c r="K1697" s="85">
        <f t="shared" si="190"/>
        <v>0</v>
      </c>
      <c r="L1697" s="85">
        <f t="shared" si="190"/>
        <v>0</v>
      </c>
      <c r="M1697" s="85">
        <f t="shared" si="190"/>
        <v>39863.614309999997</v>
      </c>
      <c r="N1697" s="85">
        <f t="shared" si="190"/>
        <v>2670.4262399999998</v>
      </c>
      <c r="O1697" s="85">
        <f t="shared" si="190"/>
        <v>0</v>
      </c>
      <c r="P1697" s="85">
        <f>2670426/1000</f>
        <v>2670.4259999999999</v>
      </c>
      <c r="Q1697" s="85">
        <f t="shared" si="190"/>
        <v>24.806549999999998</v>
      </c>
      <c r="R1697" s="85">
        <f t="shared" si="190"/>
        <v>0</v>
      </c>
      <c r="S1697" s="85">
        <f t="shared" si="190"/>
        <v>0</v>
      </c>
      <c r="T1697" s="85">
        <f t="shared" si="190"/>
        <v>1.4271500000000001</v>
      </c>
      <c r="U1697" s="85">
        <f t="shared" si="190"/>
        <v>2671.8533899999998</v>
      </c>
      <c r="V1697" s="85">
        <f t="shared" si="190"/>
        <v>42534.040549999998</v>
      </c>
      <c r="W1697" s="85">
        <f t="shared" si="190"/>
        <v>1.4271500000001398</v>
      </c>
      <c r="X1697" s="85">
        <f>+H1697+P1697</f>
        <v>77989.837140000003</v>
      </c>
      <c r="Y1697" s="85">
        <f t="shared" si="190"/>
        <v>0</v>
      </c>
      <c r="Z1697" s="85">
        <f>+E1697-X1697</f>
        <v>1.4273899999971036</v>
      </c>
      <c r="AA1697" s="69">
        <f t="shared" si="190"/>
        <v>42535.467700000001</v>
      </c>
      <c r="AB1697" s="69">
        <f t="shared" si="190"/>
        <v>0</v>
      </c>
    </row>
    <row r="1698" spans="1:28" hidden="1" x14ac:dyDescent="0.3">
      <c r="A1698" s="117"/>
      <c r="E1698" s="86" t="s">
        <v>29</v>
      </c>
      <c r="F1698" s="86" t="s">
        <v>29</v>
      </c>
      <c r="G1698" s="86" t="s">
        <v>29</v>
      </c>
      <c r="H1698" s="86" t="s">
        <v>29</v>
      </c>
      <c r="I1698" s="86" t="s">
        <v>29</v>
      </c>
      <c r="J1698" s="86" t="s">
        <v>29</v>
      </c>
      <c r="K1698" s="86" t="s">
        <v>29</v>
      </c>
      <c r="L1698" s="86" t="s">
        <v>29</v>
      </c>
      <c r="M1698" s="86" t="s">
        <v>29</v>
      </c>
      <c r="N1698" s="86" t="s">
        <v>29</v>
      </c>
      <c r="O1698" s="86" t="s">
        <v>29</v>
      </c>
      <c r="P1698" s="86" t="s">
        <v>29</v>
      </c>
      <c r="Q1698" s="86" t="s">
        <v>29</v>
      </c>
      <c r="R1698" s="86" t="s">
        <v>29</v>
      </c>
      <c r="S1698" s="86" t="s">
        <v>29</v>
      </c>
      <c r="T1698" s="86" t="s">
        <v>29</v>
      </c>
      <c r="U1698" s="86" t="s">
        <v>29</v>
      </c>
      <c r="V1698" s="86" t="s">
        <v>29</v>
      </c>
      <c r="W1698" s="86" t="s">
        <v>29</v>
      </c>
      <c r="X1698" s="85" t="e">
        <f t="shared" si="187"/>
        <v>#VALUE!</v>
      </c>
      <c r="Y1698" s="86" t="s">
        <v>29</v>
      </c>
      <c r="Z1698" s="86" t="s">
        <v>29</v>
      </c>
      <c r="AA1698" s="115" t="s">
        <v>29</v>
      </c>
      <c r="AB1698" s="115" t="s">
        <v>29</v>
      </c>
    </row>
    <row r="1699" spans="1:28" hidden="1" x14ac:dyDescent="0.3">
      <c r="A1699" s="105"/>
      <c r="E1699" s="84"/>
      <c r="F1699" s="84"/>
      <c r="G1699" s="84"/>
      <c r="H1699" s="84"/>
      <c r="I1699" s="84"/>
      <c r="J1699" s="84"/>
      <c r="K1699" s="84"/>
      <c r="L1699" s="84"/>
      <c r="M1699" s="84"/>
      <c r="N1699" s="84"/>
      <c r="O1699" s="84"/>
      <c r="P1699" s="84"/>
      <c r="Q1699" s="84"/>
      <c r="R1699" s="84"/>
      <c r="S1699" s="84"/>
      <c r="T1699" s="84"/>
      <c r="U1699" s="84"/>
      <c r="V1699" s="84"/>
      <c r="W1699" s="84"/>
      <c r="X1699" s="85">
        <f t="shared" si="187"/>
        <v>0</v>
      </c>
      <c r="Y1699" s="84"/>
      <c r="Z1699" s="84"/>
    </row>
    <row r="1700" spans="1:28" hidden="1" x14ac:dyDescent="0.3">
      <c r="A1700" s="117"/>
      <c r="C1700" s="68" t="s">
        <v>344</v>
      </c>
      <c r="D1700" s="87" t="s">
        <v>166</v>
      </c>
      <c r="E1700" s="85">
        <f>STATS1003B!E1703/1000</f>
        <v>5173.6499999999996</v>
      </c>
      <c r="F1700" s="85">
        <f>STATS1003B!F1703/1000</f>
        <v>5173.6499999999996</v>
      </c>
      <c r="G1700" s="85">
        <f>STATS1003B!G1703/1000</f>
        <v>0</v>
      </c>
      <c r="H1700" s="85">
        <f>STATS1003B!H1703/1000</f>
        <v>5173.6499999999996</v>
      </c>
      <c r="I1700" s="85">
        <f>STATS1003B!I1703/1000</f>
        <v>0</v>
      </c>
      <c r="J1700" s="85">
        <f>STATS1003B!J1703/1000</f>
        <v>0</v>
      </c>
      <c r="K1700" s="85">
        <f>STATS1003B!K1703/1000</f>
        <v>0</v>
      </c>
      <c r="L1700" s="85">
        <f>STATS1003B!L1703/1000</f>
        <v>0</v>
      </c>
      <c r="M1700" s="85">
        <f>STATS1003B!M1703/1000</f>
        <v>5173.6499999999996</v>
      </c>
      <c r="N1700" s="85">
        <f>STATS1003B!N1703/1000</f>
        <v>0</v>
      </c>
      <c r="O1700" s="85">
        <f>STATS1003B!O1703/1000</f>
        <v>0</v>
      </c>
      <c r="P1700" s="85">
        <f>STATS1003B!P1703/1000</f>
        <v>0</v>
      </c>
      <c r="Q1700" s="85">
        <f>STATS1003B!Q1703/1000</f>
        <v>0</v>
      </c>
      <c r="R1700" s="85">
        <f>STATS1003B!R1703/1000</f>
        <v>0</v>
      </c>
      <c r="S1700" s="85">
        <f>STATS1003B!S1703/1000</f>
        <v>0</v>
      </c>
      <c r="T1700" s="85">
        <f>STATS1003B!T1703/1000</f>
        <v>0</v>
      </c>
      <c r="U1700" s="85">
        <f>STATS1003B!U1703/1000</f>
        <v>0</v>
      </c>
      <c r="V1700" s="85">
        <f>STATS1003B!V1703/1000</f>
        <v>5173.6499999999996</v>
      </c>
      <c r="W1700" s="85">
        <f>STATS1003B!W1703/1000</f>
        <v>0</v>
      </c>
      <c r="X1700" s="85">
        <f t="shared" si="187"/>
        <v>5173.6499999999996</v>
      </c>
      <c r="Y1700" s="85">
        <f>STATS1003B!Y1703/1000</f>
        <v>0</v>
      </c>
      <c r="Z1700" s="85">
        <f>STATS1003B!Z1703/1000</f>
        <v>0</v>
      </c>
      <c r="AA1700" s="69">
        <f>STATS1003B!AA1703/1000</f>
        <v>5173.6499999999996</v>
      </c>
      <c r="AB1700" s="69">
        <f>STATS1003B!AB1703/1000</f>
        <v>0</v>
      </c>
    </row>
    <row r="1701" spans="1:28" hidden="1" x14ac:dyDescent="0.3">
      <c r="A1701" s="117"/>
      <c r="C1701" s="68" t="s">
        <v>57</v>
      </c>
      <c r="D1701" s="87" t="s">
        <v>68</v>
      </c>
      <c r="E1701" s="85">
        <f>STATS1003B!E1704/1000</f>
        <v>490.59611999999998</v>
      </c>
      <c r="F1701" s="85">
        <f>STATS1003B!F1704/1000</f>
        <v>0</v>
      </c>
      <c r="G1701" s="85">
        <f>STATS1003B!G1704/1000</f>
        <v>0</v>
      </c>
      <c r="H1701" s="85">
        <f>STATS1003B!H1704/1000</f>
        <v>0</v>
      </c>
      <c r="I1701" s="85">
        <f>STATS1003B!I1704/1000</f>
        <v>0</v>
      </c>
      <c r="J1701" s="85">
        <f>STATS1003B!J1704/1000</f>
        <v>0</v>
      </c>
      <c r="K1701" s="85">
        <f>STATS1003B!K1704/1000</f>
        <v>0</v>
      </c>
      <c r="L1701" s="85">
        <f>STATS1003B!L1704/1000</f>
        <v>0</v>
      </c>
      <c r="M1701" s="85">
        <f>STATS1003B!M1704/1000</f>
        <v>0</v>
      </c>
      <c r="N1701" s="85">
        <f>STATS1003B!N1704/1000</f>
        <v>490.59611999999998</v>
      </c>
      <c r="O1701" s="85">
        <f>STATS1003B!O1704/1000</f>
        <v>0</v>
      </c>
      <c r="P1701" s="85">
        <f>STATS1003B!P1704/1000</f>
        <v>490.59611999999998</v>
      </c>
      <c r="Q1701" s="85">
        <f>STATS1003B!Q1704/1000</f>
        <v>0</v>
      </c>
      <c r="R1701" s="85">
        <f>STATS1003B!R1704/1000</f>
        <v>0</v>
      </c>
      <c r="S1701" s="85">
        <f>STATS1003B!S1704/1000</f>
        <v>0</v>
      </c>
      <c r="T1701" s="85">
        <f>STATS1003B!T1704/1000</f>
        <v>0</v>
      </c>
      <c r="U1701" s="85">
        <f>STATS1003B!U1704/1000</f>
        <v>490.59611999999998</v>
      </c>
      <c r="V1701" s="85">
        <f>STATS1003B!V1704/1000</f>
        <v>490.59611999999998</v>
      </c>
      <c r="W1701" s="85">
        <f>STATS1003B!W1704/1000</f>
        <v>0</v>
      </c>
      <c r="X1701" s="85">
        <f t="shared" si="187"/>
        <v>490.59611999999998</v>
      </c>
      <c r="Y1701" s="85">
        <f>STATS1003B!Y1704/1000</f>
        <v>0</v>
      </c>
      <c r="Z1701" s="85">
        <f>STATS1003B!Z1704/1000</f>
        <v>0</v>
      </c>
      <c r="AA1701" s="69">
        <f>STATS1003B!AA1704/1000</f>
        <v>490.59611999999998</v>
      </c>
      <c r="AB1701" s="69">
        <f>STATS1003B!AB1704/1000</f>
        <v>0</v>
      </c>
    </row>
    <row r="1702" spans="1:28" hidden="1" x14ac:dyDescent="0.3">
      <c r="A1702" s="117"/>
      <c r="C1702" s="68" t="s">
        <v>53</v>
      </c>
      <c r="D1702" s="87" t="s">
        <v>54</v>
      </c>
      <c r="E1702" s="85">
        <f>STATS1003B!E1705/1000</f>
        <v>570.94100000000003</v>
      </c>
      <c r="F1702" s="85">
        <f>STATS1003B!F1705/1000</f>
        <v>0</v>
      </c>
      <c r="G1702" s="85">
        <f>STATS1003B!G1705/1000</f>
        <v>0</v>
      </c>
      <c r="H1702" s="85">
        <f>STATS1003B!H1705/1000</f>
        <v>0</v>
      </c>
      <c r="I1702" s="85">
        <f>STATS1003B!I1705/1000</f>
        <v>0</v>
      </c>
      <c r="J1702" s="85">
        <f>STATS1003B!J1705/1000</f>
        <v>0</v>
      </c>
      <c r="K1702" s="85">
        <f>STATS1003B!K1705/1000</f>
        <v>0</v>
      </c>
      <c r="L1702" s="85">
        <f>STATS1003B!L1705/1000</f>
        <v>0</v>
      </c>
      <c r="M1702" s="85">
        <f>STATS1003B!M1705/1000</f>
        <v>0</v>
      </c>
      <c r="N1702" s="85">
        <f>STATS1003B!N1705/1000</f>
        <v>570.94100000000003</v>
      </c>
      <c r="O1702" s="85">
        <f>STATS1003B!O1705/1000</f>
        <v>0</v>
      </c>
      <c r="P1702" s="85">
        <f>STATS1003B!P1705/1000</f>
        <v>570.94100000000003</v>
      </c>
      <c r="Q1702" s="85">
        <f>STATS1003B!Q1705/1000</f>
        <v>0</v>
      </c>
      <c r="R1702" s="85">
        <f>STATS1003B!R1705/1000</f>
        <v>0</v>
      </c>
      <c r="S1702" s="85">
        <f>STATS1003B!S1705/1000</f>
        <v>0</v>
      </c>
      <c r="T1702" s="85">
        <f>STATS1003B!T1705/1000</f>
        <v>0</v>
      </c>
      <c r="U1702" s="85">
        <f>STATS1003B!U1705/1000</f>
        <v>570.94100000000003</v>
      </c>
      <c r="V1702" s="85">
        <f>STATS1003B!V1705/1000</f>
        <v>570.94100000000003</v>
      </c>
      <c r="W1702" s="85">
        <f>STATS1003B!W1705/1000</f>
        <v>0</v>
      </c>
      <c r="X1702" s="85">
        <f t="shared" si="187"/>
        <v>570.94100000000003</v>
      </c>
      <c r="Y1702" s="85">
        <f>STATS1003B!Y1705/1000</f>
        <v>0</v>
      </c>
      <c r="Z1702" s="85">
        <f>STATS1003B!Z1705/1000</f>
        <v>0</v>
      </c>
      <c r="AA1702" s="69">
        <f>STATS1003B!AA1705/1000</f>
        <v>570.94100000000003</v>
      </c>
      <c r="AB1702" s="69">
        <f>STATS1003B!AB1705/1000</f>
        <v>0</v>
      </c>
    </row>
    <row r="1703" spans="1:28" hidden="1" x14ac:dyDescent="0.3">
      <c r="A1703" s="117"/>
      <c r="C1703" s="68" t="s">
        <v>345</v>
      </c>
      <c r="D1703" s="87" t="s">
        <v>54</v>
      </c>
      <c r="E1703" s="85">
        <f>STATS1003B!E1706/1000</f>
        <v>104</v>
      </c>
      <c r="F1703" s="85">
        <f>STATS1003B!F1706/1000</f>
        <v>104</v>
      </c>
      <c r="G1703" s="85">
        <f>STATS1003B!G1706/1000</f>
        <v>0</v>
      </c>
      <c r="H1703" s="85">
        <f>STATS1003B!H1706/1000</f>
        <v>104</v>
      </c>
      <c r="I1703" s="85">
        <f>STATS1003B!I1706/1000</f>
        <v>0</v>
      </c>
      <c r="J1703" s="85">
        <f>STATS1003B!J1706/1000</f>
        <v>0</v>
      </c>
      <c r="K1703" s="85">
        <f>STATS1003B!K1706/1000</f>
        <v>0</v>
      </c>
      <c r="L1703" s="85">
        <f>STATS1003B!L1706/1000</f>
        <v>0</v>
      </c>
      <c r="M1703" s="85">
        <f>STATS1003B!M1706/1000</f>
        <v>104</v>
      </c>
      <c r="N1703" s="85">
        <f>STATS1003B!N1706/1000</f>
        <v>0</v>
      </c>
      <c r="O1703" s="85">
        <f>STATS1003B!O1706/1000</f>
        <v>0</v>
      </c>
      <c r="P1703" s="85">
        <f>STATS1003B!P1706/1000</f>
        <v>0</v>
      </c>
      <c r="Q1703" s="85">
        <f>STATS1003B!Q1706/1000</f>
        <v>0</v>
      </c>
      <c r="R1703" s="85">
        <f>STATS1003B!R1706/1000</f>
        <v>0</v>
      </c>
      <c r="S1703" s="85">
        <f>STATS1003B!S1706/1000</f>
        <v>0</v>
      </c>
      <c r="T1703" s="85">
        <f>STATS1003B!T1706/1000</f>
        <v>0</v>
      </c>
      <c r="U1703" s="85">
        <f>STATS1003B!U1706/1000</f>
        <v>0</v>
      </c>
      <c r="V1703" s="85">
        <f>STATS1003B!V1706/1000</f>
        <v>104</v>
      </c>
      <c r="W1703" s="85">
        <f>STATS1003B!W1706/1000</f>
        <v>0</v>
      </c>
      <c r="X1703" s="85">
        <f t="shared" si="187"/>
        <v>104</v>
      </c>
      <c r="Y1703" s="85">
        <f>STATS1003B!Y1706/1000</f>
        <v>0</v>
      </c>
      <c r="Z1703" s="85">
        <f>STATS1003B!Z1706/1000</f>
        <v>0</v>
      </c>
      <c r="AA1703" s="69">
        <f>STATS1003B!AA1706/1000</f>
        <v>104</v>
      </c>
      <c r="AB1703" s="69">
        <f>STATS1003B!AB1706/1000</f>
        <v>0</v>
      </c>
    </row>
    <row r="1704" spans="1:28" hidden="1" x14ac:dyDescent="0.3">
      <c r="A1704" s="117"/>
      <c r="C1704" s="68" t="s">
        <v>57</v>
      </c>
      <c r="D1704" s="87" t="s">
        <v>85</v>
      </c>
      <c r="E1704" s="85">
        <f>STATS1003B!E1707/1000</f>
        <v>450</v>
      </c>
      <c r="F1704" s="85">
        <f>STATS1003B!F1707/1000</f>
        <v>450</v>
      </c>
      <c r="G1704" s="85">
        <f>STATS1003B!G1707/1000</f>
        <v>0</v>
      </c>
      <c r="H1704" s="85">
        <f>STATS1003B!H1707/1000</f>
        <v>450</v>
      </c>
      <c r="I1704" s="85">
        <f>STATS1003B!I1707/1000</f>
        <v>0</v>
      </c>
      <c r="J1704" s="85">
        <f>STATS1003B!J1707/1000</f>
        <v>0</v>
      </c>
      <c r="K1704" s="85">
        <f>STATS1003B!K1707/1000</f>
        <v>0</v>
      </c>
      <c r="L1704" s="85">
        <f>STATS1003B!L1707/1000</f>
        <v>0</v>
      </c>
      <c r="M1704" s="85">
        <f>STATS1003B!M1707/1000</f>
        <v>450</v>
      </c>
      <c r="N1704" s="85">
        <f>STATS1003B!N1707/1000</f>
        <v>0</v>
      </c>
      <c r="O1704" s="85">
        <f>STATS1003B!O1707/1000</f>
        <v>0</v>
      </c>
      <c r="P1704" s="85">
        <f>STATS1003B!P1707/1000</f>
        <v>0</v>
      </c>
      <c r="Q1704" s="85">
        <f>STATS1003B!Q1707/1000</f>
        <v>0</v>
      </c>
      <c r="R1704" s="85">
        <f>STATS1003B!R1707/1000</f>
        <v>0</v>
      </c>
      <c r="S1704" s="85">
        <f>STATS1003B!S1707/1000</f>
        <v>0</v>
      </c>
      <c r="T1704" s="85">
        <f>STATS1003B!T1707/1000</f>
        <v>0</v>
      </c>
      <c r="U1704" s="85">
        <f>STATS1003B!U1707/1000</f>
        <v>0</v>
      </c>
      <c r="V1704" s="85">
        <f>STATS1003B!V1707/1000</f>
        <v>450</v>
      </c>
      <c r="W1704" s="85">
        <f>STATS1003B!W1707/1000</f>
        <v>0</v>
      </c>
      <c r="X1704" s="85">
        <f t="shared" si="187"/>
        <v>450</v>
      </c>
      <c r="Y1704" s="85">
        <f>STATS1003B!Y1707/1000</f>
        <v>0</v>
      </c>
      <c r="Z1704" s="85">
        <f>STATS1003B!Z1707/1000</f>
        <v>0</v>
      </c>
      <c r="AA1704" s="69">
        <f>STATS1003B!AA1707/1000</f>
        <v>450</v>
      </c>
      <c r="AB1704" s="69">
        <f>STATS1003B!AB1707/1000</f>
        <v>0</v>
      </c>
    </row>
    <row r="1705" spans="1:28" hidden="1" x14ac:dyDescent="0.3">
      <c r="A1705" s="117"/>
      <c r="C1705" s="68" t="s">
        <v>346</v>
      </c>
      <c r="D1705" s="87" t="s">
        <v>85</v>
      </c>
      <c r="E1705" s="85">
        <f>STATS1003B!E1708/1000</f>
        <v>102.4</v>
      </c>
      <c r="F1705" s="85">
        <f>STATS1003B!F1708/1000</f>
        <v>102.4</v>
      </c>
      <c r="G1705" s="85">
        <f>STATS1003B!G1708/1000</f>
        <v>0</v>
      </c>
      <c r="H1705" s="85">
        <f>STATS1003B!H1708/1000</f>
        <v>102.4</v>
      </c>
      <c r="I1705" s="85">
        <f>STATS1003B!I1708/1000</f>
        <v>0</v>
      </c>
      <c r="J1705" s="85">
        <f>STATS1003B!J1708/1000</f>
        <v>0</v>
      </c>
      <c r="K1705" s="85">
        <f>STATS1003B!K1708/1000</f>
        <v>0</v>
      </c>
      <c r="L1705" s="85">
        <f>STATS1003B!L1708/1000</f>
        <v>0</v>
      </c>
      <c r="M1705" s="85">
        <f>STATS1003B!M1708/1000</f>
        <v>102.4</v>
      </c>
      <c r="N1705" s="85">
        <f>STATS1003B!N1708/1000</f>
        <v>0</v>
      </c>
      <c r="O1705" s="85">
        <f>STATS1003B!O1708/1000</f>
        <v>0</v>
      </c>
      <c r="P1705" s="85">
        <f>STATS1003B!P1708/1000</f>
        <v>0</v>
      </c>
      <c r="Q1705" s="85">
        <f>STATS1003B!Q1708/1000</f>
        <v>0</v>
      </c>
      <c r="R1705" s="85">
        <f>STATS1003B!R1708/1000</f>
        <v>0</v>
      </c>
      <c r="S1705" s="85">
        <f>STATS1003B!S1708/1000</f>
        <v>0</v>
      </c>
      <c r="T1705" s="85">
        <f>STATS1003B!T1708/1000</f>
        <v>0</v>
      </c>
      <c r="U1705" s="85">
        <f>STATS1003B!U1708/1000</f>
        <v>0</v>
      </c>
      <c r="V1705" s="85">
        <f>STATS1003B!V1708/1000</f>
        <v>102.4</v>
      </c>
      <c r="W1705" s="85">
        <f>STATS1003B!W1708/1000</f>
        <v>0</v>
      </c>
      <c r="X1705" s="85">
        <f t="shared" si="187"/>
        <v>102.4</v>
      </c>
      <c r="Y1705" s="85">
        <f>STATS1003B!Y1708/1000</f>
        <v>0</v>
      </c>
      <c r="Z1705" s="85">
        <f>STATS1003B!Z1708/1000</f>
        <v>0</v>
      </c>
      <c r="AA1705" s="69">
        <f>STATS1003B!AA1708/1000</f>
        <v>102.4</v>
      </c>
      <c r="AB1705" s="69">
        <f>STATS1003B!AB1708/1000</f>
        <v>0</v>
      </c>
    </row>
    <row r="1706" spans="1:28" hidden="1" x14ac:dyDescent="0.3">
      <c r="A1706" s="117"/>
      <c r="C1706" s="68" t="s">
        <v>57</v>
      </c>
      <c r="D1706" s="87" t="s">
        <v>60</v>
      </c>
      <c r="E1706" s="85">
        <f>STATS1003B!E1709/1000</f>
        <v>2244.2869999999998</v>
      </c>
      <c r="F1706" s="85">
        <f>STATS1003B!F1709/1000</f>
        <v>2244.2869999999998</v>
      </c>
      <c r="G1706" s="85">
        <f>STATS1003B!G1709/1000</f>
        <v>0</v>
      </c>
      <c r="H1706" s="85">
        <f>STATS1003B!H1709/1000</f>
        <v>2244.2869999999998</v>
      </c>
      <c r="I1706" s="85">
        <f>STATS1003B!I1709/1000</f>
        <v>0</v>
      </c>
      <c r="J1706" s="85">
        <f>STATS1003B!J1709/1000</f>
        <v>0</v>
      </c>
      <c r="K1706" s="85">
        <f>STATS1003B!K1709/1000</f>
        <v>0</v>
      </c>
      <c r="L1706" s="85">
        <f>STATS1003B!L1709/1000</f>
        <v>0</v>
      </c>
      <c r="M1706" s="85">
        <f>STATS1003B!M1709/1000</f>
        <v>2244.2869999999998</v>
      </c>
      <c r="N1706" s="85">
        <f>STATS1003B!N1709/1000</f>
        <v>0</v>
      </c>
      <c r="O1706" s="85">
        <f>STATS1003B!O1709/1000</f>
        <v>0</v>
      </c>
      <c r="P1706" s="85">
        <f>STATS1003B!P1709/1000</f>
        <v>0</v>
      </c>
      <c r="Q1706" s="85">
        <f>STATS1003B!Q1709/1000</f>
        <v>0</v>
      </c>
      <c r="R1706" s="85">
        <f>STATS1003B!R1709/1000</f>
        <v>0</v>
      </c>
      <c r="S1706" s="85">
        <f>STATS1003B!S1709/1000</f>
        <v>0</v>
      </c>
      <c r="T1706" s="85">
        <f>STATS1003B!T1709/1000</f>
        <v>0</v>
      </c>
      <c r="U1706" s="85">
        <f>STATS1003B!U1709/1000</f>
        <v>0</v>
      </c>
      <c r="V1706" s="85">
        <f>STATS1003B!V1709/1000</f>
        <v>2244.2869999999998</v>
      </c>
      <c r="W1706" s="85">
        <f>STATS1003B!W1709/1000</f>
        <v>0</v>
      </c>
      <c r="X1706" s="85">
        <f t="shared" si="187"/>
        <v>2244.2869999999998</v>
      </c>
      <c r="Y1706" s="85">
        <f>STATS1003B!Y1709/1000</f>
        <v>0</v>
      </c>
      <c r="Z1706" s="85">
        <f>STATS1003B!Z1709/1000</f>
        <v>0</v>
      </c>
      <c r="AA1706" s="69">
        <f>STATS1003B!AA1709/1000</f>
        <v>2244.2869999999998</v>
      </c>
      <c r="AB1706" s="69">
        <f>STATS1003B!AB1709/1000</f>
        <v>0</v>
      </c>
    </row>
    <row r="1707" spans="1:28" hidden="1" x14ac:dyDescent="0.3">
      <c r="A1707" s="117"/>
      <c r="C1707" s="68" t="s">
        <v>57</v>
      </c>
      <c r="D1707" s="90" t="s">
        <v>61</v>
      </c>
      <c r="E1707" s="85">
        <f>STATS1003B!E1710/1000</f>
        <v>250</v>
      </c>
      <c r="F1707" s="85">
        <f>STATS1003B!F1710/1000</f>
        <v>250</v>
      </c>
      <c r="G1707" s="85">
        <f>STATS1003B!G1710/1000</f>
        <v>0</v>
      </c>
      <c r="H1707" s="85">
        <f>STATS1003B!H1710/1000</f>
        <v>250</v>
      </c>
      <c r="I1707" s="85">
        <f>STATS1003B!I1710/1000</f>
        <v>0</v>
      </c>
      <c r="J1707" s="85">
        <f>STATS1003B!J1710/1000</f>
        <v>0</v>
      </c>
      <c r="K1707" s="85">
        <f>STATS1003B!K1710/1000</f>
        <v>0</v>
      </c>
      <c r="L1707" s="85">
        <f>STATS1003B!L1710/1000</f>
        <v>0</v>
      </c>
      <c r="M1707" s="85">
        <f>STATS1003B!M1710/1000</f>
        <v>250</v>
      </c>
      <c r="N1707" s="85">
        <f>STATS1003B!N1710/1000</f>
        <v>0</v>
      </c>
      <c r="O1707" s="85">
        <f>STATS1003B!O1710/1000</f>
        <v>0</v>
      </c>
      <c r="P1707" s="85">
        <f>STATS1003B!P1710/1000</f>
        <v>0</v>
      </c>
      <c r="Q1707" s="85">
        <f>STATS1003B!Q1710/1000</f>
        <v>0</v>
      </c>
      <c r="R1707" s="85">
        <f>STATS1003B!R1710/1000</f>
        <v>0</v>
      </c>
      <c r="S1707" s="85">
        <f>STATS1003B!S1710/1000</f>
        <v>0</v>
      </c>
      <c r="T1707" s="85">
        <f>STATS1003B!T1710/1000</f>
        <v>0</v>
      </c>
      <c r="U1707" s="85">
        <f>STATS1003B!U1710/1000</f>
        <v>0</v>
      </c>
      <c r="V1707" s="85">
        <f>STATS1003B!V1710/1000</f>
        <v>250</v>
      </c>
      <c r="W1707" s="85">
        <f>STATS1003B!W1710/1000</f>
        <v>0</v>
      </c>
      <c r="X1707" s="85">
        <f t="shared" si="187"/>
        <v>250</v>
      </c>
      <c r="Y1707" s="85">
        <f>STATS1003B!Y1710/1000</f>
        <v>0</v>
      </c>
      <c r="Z1707" s="85">
        <f>STATS1003B!Z1710/1000</f>
        <v>0</v>
      </c>
      <c r="AA1707" s="69">
        <f>STATS1003B!AA1710/1000</f>
        <v>250</v>
      </c>
      <c r="AB1707" s="69">
        <f>STATS1003B!AB1710/1000</f>
        <v>0</v>
      </c>
    </row>
    <row r="1708" spans="1:28" hidden="1" x14ac:dyDescent="0.3">
      <c r="A1708" s="117"/>
      <c r="E1708" s="86" t="s">
        <v>29</v>
      </c>
      <c r="F1708" s="86" t="s">
        <v>29</v>
      </c>
      <c r="G1708" s="86" t="s">
        <v>29</v>
      </c>
      <c r="H1708" s="86" t="s">
        <v>29</v>
      </c>
      <c r="I1708" s="86" t="s">
        <v>29</v>
      </c>
      <c r="J1708" s="86" t="s">
        <v>29</v>
      </c>
      <c r="K1708" s="86" t="s">
        <v>29</v>
      </c>
      <c r="L1708" s="86" t="s">
        <v>29</v>
      </c>
      <c r="M1708" s="86" t="s">
        <v>29</v>
      </c>
      <c r="N1708" s="86" t="s">
        <v>29</v>
      </c>
      <c r="O1708" s="86" t="s">
        <v>29</v>
      </c>
      <c r="P1708" s="86" t="s">
        <v>29</v>
      </c>
      <c r="Q1708" s="86" t="s">
        <v>29</v>
      </c>
      <c r="R1708" s="86" t="s">
        <v>29</v>
      </c>
      <c r="S1708" s="86" t="s">
        <v>29</v>
      </c>
      <c r="T1708" s="86" t="s">
        <v>29</v>
      </c>
      <c r="U1708" s="86" t="s">
        <v>29</v>
      </c>
      <c r="V1708" s="86" t="s">
        <v>29</v>
      </c>
      <c r="W1708" s="86" t="s">
        <v>29</v>
      </c>
      <c r="X1708" s="85" t="e">
        <f t="shared" si="187"/>
        <v>#VALUE!</v>
      </c>
      <c r="Y1708" s="86" t="s">
        <v>29</v>
      </c>
      <c r="Z1708" s="86" t="s">
        <v>29</v>
      </c>
      <c r="AA1708" s="115" t="s">
        <v>29</v>
      </c>
      <c r="AB1708" s="115" t="s">
        <v>29</v>
      </c>
    </row>
    <row r="1709" spans="1:28" x14ac:dyDescent="0.3">
      <c r="A1709" s="116">
        <v>73</v>
      </c>
      <c r="B1709" s="68" t="s">
        <v>343</v>
      </c>
      <c r="E1709" s="85">
        <f>44818995.01/1000</f>
        <v>44818.995009999999</v>
      </c>
      <c r="F1709" s="85">
        <f t="shared" ref="F1709:AB1709" si="191">SUM(F1700:F1707)</f>
        <v>8324.3369999999995</v>
      </c>
      <c r="G1709" s="85">
        <f t="shared" si="191"/>
        <v>0</v>
      </c>
      <c r="H1709" s="85">
        <f>43757457.89/1000</f>
        <v>43757.457889999998</v>
      </c>
      <c r="I1709" s="85">
        <f t="shared" si="191"/>
        <v>0</v>
      </c>
      <c r="J1709" s="85">
        <f t="shared" si="191"/>
        <v>0</v>
      </c>
      <c r="K1709" s="85">
        <f t="shared" si="191"/>
        <v>0</v>
      </c>
      <c r="L1709" s="85">
        <f t="shared" si="191"/>
        <v>0</v>
      </c>
      <c r="M1709" s="85">
        <f t="shared" si="191"/>
        <v>8324.3369999999995</v>
      </c>
      <c r="N1709" s="85">
        <f t="shared" si="191"/>
        <v>1061.53712</v>
      </c>
      <c r="O1709" s="85">
        <f t="shared" si="191"/>
        <v>0</v>
      </c>
      <c r="P1709" s="85">
        <f>1061537/1000</f>
        <v>1061.537</v>
      </c>
      <c r="Q1709" s="85">
        <f t="shared" si="191"/>
        <v>0</v>
      </c>
      <c r="R1709" s="85">
        <f t="shared" si="191"/>
        <v>0</v>
      </c>
      <c r="S1709" s="85">
        <f t="shared" si="191"/>
        <v>0</v>
      </c>
      <c r="T1709" s="85">
        <f t="shared" si="191"/>
        <v>0</v>
      </c>
      <c r="U1709" s="85">
        <f t="shared" si="191"/>
        <v>1061.53712</v>
      </c>
      <c r="V1709" s="85">
        <f t="shared" si="191"/>
        <v>9385.8741199999986</v>
      </c>
      <c r="W1709" s="85">
        <f t="shared" si="191"/>
        <v>0</v>
      </c>
      <c r="X1709" s="85">
        <f t="shared" si="187"/>
        <v>44818.994889999994</v>
      </c>
      <c r="Y1709" s="85">
        <f t="shared" si="191"/>
        <v>0</v>
      </c>
      <c r="Z1709" s="85">
        <f t="shared" si="191"/>
        <v>0</v>
      </c>
      <c r="AA1709" s="69">
        <f t="shared" si="191"/>
        <v>9385.8741199999986</v>
      </c>
      <c r="AB1709" s="69">
        <f t="shared" si="191"/>
        <v>0</v>
      </c>
    </row>
    <row r="1710" spans="1:28" hidden="1" x14ac:dyDescent="0.3">
      <c r="A1710" s="117"/>
      <c r="E1710" s="86" t="s">
        <v>29</v>
      </c>
      <c r="F1710" s="86" t="s">
        <v>29</v>
      </c>
      <c r="G1710" s="86" t="s">
        <v>29</v>
      </c>
      <c r="H1710" s="86" t="s">
        <v>29</v>
      </c>
      <c r="I1710" s="86" t="s">
        <v>29</v>
      </c>
      <c r="J1710" s="86" t="s">
        <v>29</v>
      </c>
      <c r="K1710" s="86" t="s">
        <v>29</v>
      </c>
      <c r="L1710" s="86" t="s">
        <v>29</v>
      </c>
      <c r="M1710" s="86" t="s">
        <v>29</v>
      </c>
      <c r="N1710" s="86" t="s">
        <v>29</v>
      </c>
      <c r="O1710" s="86" t="s">
        <v>29</v>
      </c>
      <c r="P1710" s="86" t="s">
        <v>29</v>
      </c>
      <c r="Q1710" s="86" t="s">
        <v>29</v>
      </c>
      <c r="R1710" s="86" t="s">
        <v>29</v>
      </c>
      <c r="S1710" s="86" t="s">
        <v>29</v>
      </c>
      <c r="T1710" s="86" t="s">
        <v>29</v>
      </c>
      <c r="U1710" s="86" t="s">
        <v>29</v>
      </c>
      <c r="V1710" s="86" t="s">
        <v>29</v>
      </c>
      <c r="W1710" s="86" t="s">
        <v>29</v>
      </c>
      <c r="X1710" s="85" t="e">
        <f t="shared" si="187"/>
        <v>#VALUE!</v>
      </c>
      <c r="Y1710" s="86" t="s">
        <v>29</v>
      </c>
      <c r="Z1710" s="86" t="s">
        <v>29</v>
      </c>
      <c r="AA1710" s="115" t="s">
        <v>29</v>
      </c>
      <c r="AB1710" s="115" t="s">
        <v>29</v>
      </c>
    </row>
    <row r="1711" spans="1:28" hidden="1" x14ac:dyDescent="0.3">
      <c r="A1711" s="105"/>
      <c r="E1711" s="84"/>
      <c r="F1711" s="84"/>
      <c r="G1711" s="84"/>
      <c r="H1711" s="84"/>
      <c r="I1711" s="84"/>
      <c r="J1711" s="84"/>
      <c r="K1711" s="84"/>
      <c r="L1711" s="84"/>
      <c r="M1711" s="84"/>
      <c r="N1711" s="84"/>
      <c r="O1711" s="84"/>
      <c r="P1711" s="84"/>
      <c r="Q1711" s="84"/>
      <c r="R1711" s="84"/>
      <c r="S1711" s="84"/>
      <c r="T1711" s="84"/>
      <c r="U1711" s="84"/>
      <c r="V1711" s="84"/>
      <c r="W1711" s="84"/>
      <c r="X1711" s="85">
        <f t="shared" si="187"/>
        <v>0</v>
      </c>
      <c r="Y1711" s="84"/>
      <c r="Z1711" s="84"/>
    </row>
    <row r="1712" spans="1:28" hidden="1" x14ac:dyDescent="0.3">
      <c r="A1712" s="117"/>
      <c r="C1712" s="68" t="s">
        <v>348</v>
      </c>
      <c r="D1712" s="87" t="s">
        <v>166</v>
      </c>
      <c r="E1712" s="85">
        <f>STATS1003B!E1715/1000</f>
        <v>1924</v>
      </c>
      <c r="F1712" s="85">
        <f>STATS1003B!F1715/1000</f>
        <v>1924</v>
      </c>
      <c r="G1712" s="85">
        <f>STATS1003B!G1715/1000</f>
        <v>0</v>
      </c>
      <c r="H1712" s="85">
        <f>STATS1003B!H1715/1000</f>
        <v>1924</v>
      </c>
      <c r="I1712" s="85">
        <f>STATS1003B!I1715/1000</f>
        <v>0</v>
      </c>
      <c r="J1712" s="85">
        <f>STATS1003B!J1715/1000</f>
        <v>0</v>
      </c>
      <c r="K1712" s="85">
        <f>STATS1003B!K1715/1000</f>
        <v>0</v>
      </c>
      <c r="L1712" s="85">
        <f>STATS1003B!L1715/1000</f>
        <v>0</v>
      </c>
      <c r="M1712" s="85">
        <f>STATS1003B!M1715/1000</f>
        <v>1924</v>
      </c>
      <c r="N1712" s="85">
        <f>STATS1003B!N1715/1000</f>
        <v>0</v>
      </c>
      <c r="O1712" s="85">
        <f>STATS1003B!O1715/1000</f>
        <v>0</v>
      </c>
      <c r="P1712" s="85">
        <f>STATS1003B!P1715/1000</f>
        <v>0</v>
      </c>
      <c r="Q1712" s="85">
        <f>STATS1003B!Q1715/1000</f>
        <v>0</v>
      </c>
      <c r="R1712" s="85">
        <f>STATS1003B!R1715/1000</f>
        <v>0</v>
      </c>
      <c r="S1712" s="85">
        <f>STATS1003B!S1715/1000</f>
        <v>0</v>
      </c>
      <c r="T1712" s="85">
        <f>STATS1003B!T1715/1000</f>
        <v>0</v>
      </c>
      <c r="U1712" s="85">
        <f>STATS1003B!U1715/1000</f>
        <v>0</v>
      </c>
      <c r="V1712" s="85">
        <f>STATS1003B!V1715/1000</f>
        <v>1924</v>
      </c>
      <c r="W1712" s="85">
        <f>STATS1003B!W1715/1000</f>
        <v>0</v>
      </c>
      <c r="X1712" s="85">
        <f t="shared" si="187"/>
        <v>1924</v>
      </c>
      <c r="Y1712" s="85">
        <f>STATS1003B!Y1715/1000</f>
        <v>0</v>
      </c>
      <c r="Z1712" s="85">
        <f>STATS1003B!Z1715/1000</f>
        <v>0</v>
      </c>
      <c r="AA1712" s="69">
        <f>STATS1003B!AA1715/1000</f>
        <v>1924</v>
      </c>
      <c r="AB1712" s="69">
        <f>STATS1003B!AB1715/1000</f>
        <v>0</v>
      </c>
    </row>
    <row r="1713" spans="1:28" hidden="1" x14ac:dyDescent="0.3">
      <c r="A1713" s="117"/>
      <c r="C1713" s="68" t="s">
        <v>57</v>
      </c>
      <c r="D1713" s="87" t="s">
        <v>68</v>
      </c>
      <c r="E1713" s="85">
        <f>STATS1003B!E1716/1000</f>
        <v>548.63834999999995</v>
      </c>
      <c r="F1713" s="85">
        <f>STATS1003B!F1716/1000</f>
        <v>329.83300000000003</v>
      </c>
      <c r="G1713" s="85">
        <f>STATS1003B!G1716/1000</f>
        <v>0</v>
      </c>
      <c r="H1713" s="85">
        <f>STATS1003B!H1716/1000</f>
        <v>329.83300000000003</v>
      </c>
      <c r="I1713" s="85">
        <f>STATS1003B!I1716/1000</f>
        <v>0</v>
      </c>
      <c r="J1713" s="85">
        <f>STATS1003B!J1716/1000</f>
        <v>0</v>
      </c>
      <c r="K1713" s="85">
        <f>STATS1003B!K1716/1000</f>
        <v>0</v>
      </c>
      <c r="L1713" s="85">
        <f>STATS1003B!L1716/1000</f>
        <v>0</v>
      </c>
      <c r="M1713" s="85">
        <f>STATS1003B!M1716/1000</f>
        <v>329.83300000000003</v>
      </c>
      <c r="N1713" s="85">
        <f>STATS1003B!N1716/1000</f>
        <v>218.80535</v>
      </c>
      <c r="O1713" s="85">
        <f>STATS1003B!O1716/1000</f>
        <v>0</v>
      </c>
      <c r="P1713" s="85">
        <f>STATS1003B!P1716/1000</f>
        <v>218.80535</v>
      </c>
      <c r="Q1713" s="85">
        <f>STATS1003B!Q1716/1000</f>
        <v>0</v>
      </c>
      <c r="R1713" s="85">
        <f>STATS1003B!R1716/1000</f>
        <v>0</v>
      </c>
      <c r="S1713" s="85">
        <f>STATS1003B!S1716/1000</f>
        <v>0</v>
      </c>
      <c r="T1713" s="85">
        <f>STATS1003B!T1716/1000</f>
        <v>0</v>
      </c>
      <c r="U1713" s="85">
        <f>STATS1003B!U1716/1000</f>
        <v>218.80535</v>
      </c>
      <c r="V1713" s="85">
        <f>STATS1003B!V1716/1000</f>
        <v>548.63834999999995</v>
      </c>
      <c r="W1713" s="85">
        <f>STATS1003B!W1716/1000</f>
        <v>0</v>
      </c>
      <c r="X1713" s="85">
        <f t="shared" si="187"/>
        <v>548.63835000000006</v>
      </c>
      <c r="Y1713" s="85">
        <f>STATS1003B!Y1716/1000</f>
        <v>0</v>
      </c>
      <c r="Z1713" s="85">
        <f>STATS1003B!Z1716/1000</f>
        <v>0</v>
      </c>
      <c r="AA1713" s="69">
        <f>STATS1003B!AA1716/1000</f>
        <v>548.63834999999995</v>
      </c>
      <c r="AB1713" s="69">
        <f>STATS1003B!AB1716/1000</f>
        <v>0</v>
      </c>
    </row>
    <row r="1714" spans="1:28" hidden="1" x14ac:dyDescent="0.3">
      <c r="A1714" s="117"/>
      <c r="C1714" s="68" t="s">
        <v>53</v>
      </c>
      <c r="D1714" s="87" t="s">
        <v>68</v>
      </c>
      <c r="E1714" s="85">
        <f>STATS1003B!E1717/1000</f>
        <v>570.94100000000003</v>
      </c>
      <c r="F1714" s="85">
        <f>STATS1003B!F1717/1000</f>
        <v>0</v>
      </c>
      <c r="G1714" s="85">
        <f>STATS1003B!G1717/1000</f>
        <v>0</v>
      </c>
      <c r="H1714" s="85">
        <f>STATS1003B!H1717/1000</f>
        <v>0</v>
      </c>
      <c r="I1714" s="85">
        <f>STATS1003B!I1717/1000</f>
        <v>0</v>
      </c>
      <c r="J1714" s="85">
        <f>STATS1003B!J1717/1000</f>
        <v>0</v>
      </c>
      <c r="K1714" s="85">
        <f>STATS1003B!K1717/1000</f>
        <v>0</v>
      </c>
      <c r="L1714" s="85">
        <f>STATS1003B!L1717/1000</f>
        <v>0</v>
      </c>
      <c r="M1714" s="85">
        <f>STATS1003B!M1717/1000</f>
        <v>0</v>
      </c>
      <c r="N1714" s="85">
        <f>STATS1003B!N1717/1000</f>
        <v>570.94100000000003</v>
      </c>
      <c r="O1714" s="85">
        <f>STATS1003B!O1717/1000</f>
        <v>0</v>
      </c>
      <c r="P1714" s="85">
        <f>STATS1003B!P1717/1000</f>
        <v>570.94100000000003</v>
      </c>
      <c r="Q1714" s="85">
        <f>STATS1003B!Q1717/1000</f>
        <v>0</v>
      </c>
      <c r="R1714" s="85">
        <f>STATS1003B!R1717/1000</f>
        <v>0</v>
      </c>
      <c r="S1714" s="85">
        <f>STATS1003B!S1717/1000</f>
        <v>0</v>
      </c>
      <c r="T1714" s="85">
        <f>STATS1003B!T1717/1000</f>
        <v>0</v>
      </c>
      <c r="U1714" s="85">
        <f>STATS1003B!U1717/1000</f>
        <v>570.94100000000003</v>
      </c>
      <c r="V1714" s="85">
        <f>STATS1003B!V1717/1000</f>
        <v>570.94100000000003</v>
      </c>
      <c r="W1714" s="85">
        <f>STATS1003B!W1717/1000</f>
        <v>0</v>
      </c>
      <c r="X1714" s="85">
        <f t="shared" si="187"/>
        <v>570.94100000000003</v>
      </c>
      <c r="Y1714" s="85">
        <f>STATS1003B!Y1717/1000</f>
        <v>0</v>
      </c>
      <c r="Z1714" s="85">
        <f>STATS1003B!Z1717/1000</f>
        <v>0</v>
      </c>
      <c r="AA1714" s="69">
        <f>STATS1003B!AA1717/1000</f>
        <v>570.94100000000003</v>
      </c>
      <c r="AB1714" s="69">
        <f>STATS1003B!AB1717/1000</f>
        <v>0</v>
      </c>
    </row>
    <row r="1715" spans="1:28" hidden="1" x14ac:dyDescent="0.3">
      <c r="A1715" s="117"/>
      <c r="C1715" s="68" t="s">
        <v>57</v>
      </c>
      <c r="D1715" s="87" t="s">
        <v>60</v>
      </c>
      <c r="E1715" s="85">
        <f>STATS1003B!E1718/1000</f>
        <v>6401.1009999999997</v>
      </c>
      <c r="F1715" s="85">
        <f>STATS1003B!F1718/1000</f>
        <v>6401.1009999999997</v>
      </c>
      <c r="G1715" s="85">
        <f>STATS1003B!G1718/1000</f>
        <v>0</v>
      </c>
      <c r="H1715" s="85">
        <f>STATS1003B!H1718/1000</f>
        <v>6401.1009999999997</v>
      </c>
      <c r="I1715" s="85">
        <f>STATS1003B!I1718/1000</f>
        <v>0</v>
      </c>
      <c r="J1715" s="85">
        <f>STATS1003B!J1718/1000</f>
        <v>0</v>
      </c>
      <c r="K1715" s="85">
        <f>STATS1003B!K1718/1000</f>
        <v>0</v>
      </c>
      <c r="L1715" s="85">
        <f>STATS1003B!L1718/1000</f>
        <v>0</v>
      </c>
      <c r="M1715" s="85">
        <f>STATS1003B!M1718/1000</f>
        <v>6401.1009999999997</v>
      </c>
      <c r="N1715" s="85">
        <f>STATS1003B!N1718/1000</f>
        <v>0</v>
      </c>
      <c r="O1715" s="85">
        <f>STATS1003B!O1718/1000</f>
        <v>0</v>
      </c>
      <c r="P1715" s="85">
        <f>STATS1003B!P1718/1000</f>
        <v>0</v>
      </c>
      <c r="Q1715" s="85">
        <f>STATS1003B!Q1718/1000</f>
        <v>0</v>
      </c>
      <c r="R1715" s="85">
        <f>STATS1003B!R1718/1000</f>
        <v>0</v>
      </c>
      <c r="S1715" s="85">
        <f>STATS1003B!S1718/1000</f>
        <v>0</v>
      </c>
      <c r="T1715" s="85">
        <f>STATS1003B!T1718/1000</f>
        <v>0</v>
      </c>
      <c r="U1715" s="85">
        <f>STATS1003B!U1718/1000</f>
        <v>0</v>
      </c>
      <c r="V1715" s="85">
        <f>STATS1003B!V1718/1000</f>
        <v>6401.1009999999997</v>
      </c>
      <c r="W1715" s="85">
        <f>STATS1003B!W1718/1000</f>
        <v>0</v>
      </c>
      <c r="X1715" s="85">
        <f t="shared" si="187"/>
        <v>6401.1009999999997</v>
      </c>
      <c r="Y1715" s="85">
        <f>STATS1003B!Y1718/1000</f>
        <v>0</v>
      </c>
      <c r="Z1715" s="85">
        <f>STATS1003B!Z1718/1000</f>
        <v>0</v>
      </c>
      <c r="AA1715" s="69">
        <f>STATS1003B!AA1718/1000</f>
        <v>6401.1009999999997</v>
      </c>
      <c r="AB1715" s="69">
        <f>STATS1003B!AB1718/1000</f>
        <v>0</v>
      </c>
    </row>
    <row r="1716" spans="1:28" hidden="1" x14ac:dyDescent="0.3">
      <c r="A1716" s="117"/>
      <c r="C1716" s="68" t="s">
        <v>924</v>
      </c>
      <c r="D1716" s="87"/>
      <c r="E1716" s="85">
        <f>STATS1003B!E1719/1000</f>
        <v>281.63</v>
      </c>
      <c r="F1716" s="85">
        <f>STATS1003B!F1719/1000</f>
        <v>281.63</v>
      </c>
      <c r="G1716" s="85">
        <f>STATS1003B!G1719/1000</f>
        <v>0</v>
      </c>
      <c r="H1716" s="85">
        <f>STATS1003B!H1719/1000</f>
        <v>281.63</v>
      </c>
      <c r="I1716" s="85">
        <f>STATS1003B!I1719/1000</f>
        <v>0</v>
      </c>
      <c r="J1716" s="85">
        <f>STATS1003B!J1719/1000</f>
        <v>0</v>
      </c>
      <c r="K1716" s="85">
        <f>STATS1003B!K1719/1000</f>
        <v>0</v>
      </c>
      <c r="L1716" s="85">
        <f>STATS1003B!L1719/1000</f>
        <v>0</v>
      </c>
      <c r="M1716" s="85">
        <f>STATS1003B!M1719/1000</f>
        <v>281.63</v>
      </c>
      <c r="N1716" s="85">
        <f>STATS1003B!N1719/1000</f>
        <v>0</v>
      </c>
      <c r="O1716" s="85">
        <f>STATS1003B!O1719/1000</f>
        <v>0</v>
      </c>
      <c r="P1716" s="85">
        <f>STATS1003B!P1719/1000</f>
        <v>0</v>
      </c>
      <c r="Q1716" s="85">
        <f>STATS1003B!Q1719/1000</f>
        <v>0</v>
      </c>
      <c r="R1716" s="85">
        <f>STATS1003B!R1719/1000</f>
        <v>0</v>
      </c>
      <c r="S1716" s="85">
        <f>STATS1003B!S1719/1000</f>
        <v>0</v>
      </c>
      <c r="T1716" s="85">
        <f>STATS1003B!T1719/1000</f>
        <v>0</v>
      </c>
      <c r="U1716" s="85">
        <f>STATS1003B!U1719/1000</f>
        <v>0</v>
      </c>
      <c r="V1716" s="85">
        <f>STATS1003B!V1719/1000</f>
        <v>281.63</v>
      </c>
      <c r="W1716" s="85">
        <f>STATS1003B!W1719/1000</f>
        <v>0</v>
      </c>
      <c r="X1716" s="85">
        <f t="shared" si="187"/>
        <v>281.63</v>
      </c>
      <c r="Y1716" s="85">
        <f>STATS1003B!Y1719/1000</f>
        <v>0</v>
      </c>
      <c r="Z1716" s="85">
        <f>STATS1003B!Z1719/1000</f>
        <v>0</v>
      </c>
      <c r="AA1716" s="69">
        <f>STATS1003B!AA1719/1000</f>
        <v>281.63</v>
      </c>
      <c r="AB1716" s="69">
        <f>STATS1003B!AB1719/1000</f>
        <v>0</v>
      </c>
    </row>
    <row r="1717" spans="1:28" hidden="1" x14ac:dyDescent="0.3">
      <c r="A1717" s="117"/>
      <c r="C1717" s="68" t="s">
        <v>930</v>
      </c>
      <c r="D1717" s="90" t="s">
        <v>1072</v>
      </c>
      <c r="E1717" s="85">
        <f>STATS1003B!E1720/1000</f>
        <v>764.12492000000009</v>
      </c>
      <c r="F1717" s="85">
        <f>STATS1003B!F1720/1000</f>
        <v>764.12492000000009</v>
      </c>
      <c r="G1717" s="85">
        <f>STATS1003B!G1720/1000</f>
        <v>0</v>
      </c>
      <c r="H1717" s="85">
        <f>STATS1003B!H1720/1000</f>
        <v>764.12492000000009</v>
      </c>
      <c r="I1717" s="85">
        <f>STATS1003B!I1720/1000</f>
        <v>0</v>
      </c>
      <c r="J1717" s="85">
        <f>STATS1003B!J1720/1000</f>
        <v>0</v>
      </c>
      <c r="K1717" s="85">
        <f>STATS1003B!K1720/1000</f>
        <v>0</v>
      </c>
      <c r="L1717" s="85">
        <f>STATS1003B!L1720/1000</f>
        <v>0</v>
      </c>
      <c r="M1717" s="85">
        <f>STATS1003B!M1720/1000</f>
        <v>764.12492000000009</v>
      </c>
      <c r="N1717" s="85">
        <f>STATS1003B!N1720/1000</f>
        <v>0</v>
      </c>
      <c r="O1717" s="85">
        <f>STATS1003B!O1720/1000</f>
        <v>0</v>
      </c>
      <c r="P1717" s="85">
        <f>STATS1003B!P1720/1000</f>
        <v>0</v>
      </c>
      <c r="Q1717" s="85">
        <f>STATS1003B!Q1720/1000</f>
        <v>0</v>
      </c>
      <c r="R1717" s="85">
        <f>STATS1003B!R1720/1000</f>
        <v>0</v>
      </c>
      <c r="S1717" s="85">
        <f>STATS1003B!S1720/1000</f>
        <v>0</v>
      </c>
      <c r="T1717" s="85">
        <f>STATS1003B!T1720/1000</f>
        <v>0</v>
      </c>
      <c r="U1717" s="85">
        <f>STATS1003B!U1720/1000</f>
        <v>0</v>
      </c>
      <c r="V1717" s="85">
        <f>STATS1003B!V1720/1000</f>
        <v>764.12492000000009</v>
      </c>
      <c r="W1717" s="85">
        <f>STATS1003B!W1720/1000</f>
        <v>0</v>
      </c>
      <c r="X1717" s="85">
        <f t="shared" si="187"/>
        <v>764.12492000000009</v>
      </c>
      <c r="Y1717" s="85">
        <f>STATS1003B!Y1720/1000</f>
        <v>0</v>
      </c>
      <c r="Z1717" s="85">
        <f>STATS1003B!Z1720/1000</f>
        <v>0</v>
      </c>
      <c r="AA1717" s="69">
        <f>STATS1003B!AA1720/1000</f>
        <v>764.12492000000009</v>
      </c>
      <c r="AB1717" s="69">
        <f>STATS1003B!AB1720/1000</f>
        <v>0</v>
      </c>
    </row>
    <row r="1718" spans="1:28" hidden="1" x14ac:dyDescent="0.3">
      <c r="A1718" s="117"/>
      <c r="C1718" s="68" t="s">
        <v>57</v>
      </c>
      <c r="D1718" s="90" t="s">
        <v>61</v>
      </c>
      <c r="E1718" s="85">
        <f>STATS1003B!E1721/1000</f>
        <v>281.63</v>
      </c>
      <c r="F1718" s="85">
        <f>STATS1003B!F1721/1000</f>
        <v>281.63</v>
      </c>
      <c r="G1718" s="85">
        <f>STATS1003B!G1721/1000</f>
        <v>0</v>
      </c>
      <c r="H1718" s="85">
        <f>STATS1003B!H1721/1000</f>
        <v>281.63</v>
      </c>
      <c r="I1718" s="85">
        <f>STATS1003B!I1721/1000</f>
        <v>0</v>
      </c>
      <c r="J1718" s="85">
        <f>STATS1003B!J1721/1000</f>
        <v>0</v>
      </c>
      <c r="K1718" s="85">
        <f>STATS1003B!K1721/1000</f>
        <v>0</v>
      </c>
      <c r="L1718" s="85">
        <f>STATS1003B!L1721/1000</f>
        <v>0</v>
      </c>
      <c r="M1718" s="85">
        <f>STATS1003B!M1721/1000</f>
        <v>281.63</v>
      </c>
      <c r="N1718" s="85">
        <f>STATS1003B!N1721/1000</f>
        <v>0</v>
      </c>
      <c r="O1718" s="85">
        <f>STATS1003B!O1721/1000</f>
        <v>0</v>
      </c>
      <c r="P1718" s="85">
        <f>STATS1003B!P1721/1000</f>
        <v>0</v>
      </c>
      <c r="Q1718" s="85">
        <f>STATS1003B!Q1721/1000</f>
        <v>0</v>
      </c>
      <c r="R1718" s="85">
        <f>STATS1003B!R1721/1000</f>
        <v>0</v>
      </c>
      <c r="S1718" s="85">
        <f>STATS1003B!S1721/1000</f>
        <v>0</v>
      </c>
      <c r="T1718" s="85">
        <f>STATS1003B!T1721/1000</f>
        <v>0</v>
      </c>
      <c r="U1718" s="85">
        <f>STATS1003B!U1721/1000</f>
        <v>0</v>
      </c>
      <c r="V1718" s="85">
        <f>STATS1003B!V1721/1000</f>
        <v>281.63</v>
      </c>
      <c r="W1718" s="85">
        <f>STATS1003B!W1721/1000</f>
        <v>0</v>
      </c>
      <c r="X1718" s="85">
        <f t="shared" si="187"/>
        <v>281.63</v>
      </c>
      <c r="Y1718" s="85">
        <f>STATS1003B!Y1721/1000</f>
        <v>0</v>
      </c>
      <c r="Z1718" s="85">
        <f>STATS1003B!Z1721/1000</f>
        <v>0</v>
      </c>
      <c r="AA1718" s="69">
        <f>STATS1003B!AA1721/1000</f>
        <v>281.63</v>
      </c>
      <c r="AB1718" s="69">
        <f>STATS1003B!AB1721/1000</f>
        <v>0</v>
      </c>
    </row>
    <row r="1719" spans="1:28" hidden="1" x14ac:dyDescent="0.3">
      <c r="A1719" s="117"/>
      <c r="C1719" s="69"/>
      <c r="E1719" s="86" t="s">
        <v>29</v>
      </c>
      <c r="F1719" s="86" t="s">
        <v>29</v>
      </c>
      <c r="G1719" s="86" t="s">
        <v>29</v>
      </c>
      <c r="H1719" s="86" t="s">
        <v>29</v>
      </c>
      <c r="I1719" s="86" t="s">
        <v>29</v>
      </c>
      <c r="J1719" s="86" t="s">
        <v>29</v>
      </c>
      <c r="K1719" s="86" t="s">
        <v>29</v>
      </c>
      <c r="L1719" s="86" t="s">
        <v>29</v>
      </c>
      <c r="M1719" s="86" t="s">
        <v>29</v>
      </c>
      <c r="N1719" s="86" t="s">
        <v>29</v>
      </c>
      <c r="O1719" s="86" t="s">
        <v>29</v>
      </c>
      <c r="P1719" s="86" t="s">
        <v>29</v>
      </c>
      <c r="Q1719" s="86" t="s">
        <v>29</v>
      </c>
      <c r="R1719" s="86" t="s">
        <v>29</v>
      </c>
      <c r="S1719" s="86" t="s">
        <v>29</v>
      </c>
      <c r="T1719" s="86" t="s">
        <v>29</v>
      </c>
      <c r="U1719" s="86" t="s">
        <v>29</v>
      </c>
      <c r="V1719" s="86" t="s">
        <v>29</v>
      </c>
      <c r="W1719" s="86" t="s">
        <v>29</v>
      </c>
      <c r="X1719" s="85" t="e">
        <f t="shared" si="187"/>
        <v>#VALUE!</v>
      </c>
      <c r="Y1719" s="86" t="s">
        <v>29</v>
      </c>
      <c r="Z1719" s="86" t="s">
        <v>29</v>
      </c>
      <c r="AA1719" s="115" t="s">
        <v>29</v>
      </c>
      <c r="AB1719" s="115" t="s">
        <v>29</v>
      </c>
    </row>
    <row r="1720" spans="1:28" x14ac:dyDescent="0.3">
      <c r="A1720" s="116">
        <v>74</v>
      </c>
      <c r="B1720" s="68" t="s">
        <v>347</v>
      </c>
      <c r="E1720" s="85">
        <f>22422023.42/1000</f>
        <v>22422.023420000001</v>
      </c>
      <c r="F1720" s="85">
        <f t="shared" ref="F1720:AB1720" si="192">SUM(F1712:F1718)</f>
        <v>9982.3189199999979</v>
      </c>
      <c r="G1720" s="85">
        <f t="shared" si="192"/>
        <v>0</v>
      </c>
      <c r="H1720" s="85">
        <f>21632277.07/1000</f>
        <v>21632.27707</v>
      </c>
      <c r="I1720" s="85">
        <f t="shared" si="192"/>
        <v>0</v>
      </c>
      <c r="J1720" s="85">
        <f t="shared" si="192"/>
        <v>0</v>
      </c>
      <c r="K1720" s="85">
        <f t="shared" si="192"/>
        <v>0</v>
      </c>
      <c r="L1720" s="85">
        <f t="shared" si="192"/>
        <v>0</v>
      </c>
      <c r="M1720" s="85">
        <f t="shared" si="192"/>
        <v>9982.3189199999979</v>
      </c>
      <c r="N1720" s="85">
        <f t="shared" si="192"/>
        <v>789.74635000000001</v>
      </c>
      <c r="O1720" s="85">
        <f t="shared" si="192"/>
        <v>0</v>
      </c>
      <c r="P1720" s="85">
        <f>789746/1000</f>
        <v>789.74599999999998</v>
      </c>
      <c r="Q1720" s="85">
        <f t="shared" si="192"/>
        <v>0</v>
      </c>
      <c r="R1720" s="85">
        <f t="shared" si="192"/>
        <v>0</v>
      </c>
      <c r="S1720" s="85">
        <f t="shared" si="192"/>
        <v>0</v>
      </c>
      <c r="T1720" s="85">
        <f t="shared" si="192"/>
        <v>0</v>
      </c>
      <c r="U1720" s="85">
        <f t="shared" si="192"/>
        <v>789.74635000000001</v>
      </c>
      <c r="V1720" s="85">
        <f t="shared" si="192"/>
        <v>10772.065269999997</v>
      </c>
      <c r="W1720" s="85">
        <f t="shared" si="192"/>
        <v>0</v>
      </c>
      <c r="X1720" s="85">
        <f t="shared" ref="X1720:X1737" si="193">+H1720+P1720</f>
        <v>22422.023069999999</v>
      </c>
      <c r="Y1720" s="85">
        <f t="shared" si="192"/>
        <v>0</v>
      </c>
      <c r="Z1720" s="85">
        <f t="shared" si="192"/>
        <v>0</v>
      </c>
      <c r="AA1720" s="69">
        <f t="shared" si="192"/>
        <v>10772.065269999997</v>
      </c>
      <c r="AB1720" s="69">
        <f t="shared" si="192"/>
        <v>0</v>
      </c>
    </row>
    <row r="1721" spans="1:28" hidden="1" x14ac:dyDescent="0.3">
      <c r="A1721" s="117"/>
      <c r="E1721" s="86" t="s">
        <v>29</v>
      </c>
      <c r="F1721" s="86" t="s">
        <v>29</v>
      </c>
      <c r="G1721" s="86" t="s">
        <v>29</v>
      </c>
      <c r="H1721" s="86" t="s">
        <v>29</v>
      </c>
      <c r="I1721" s="86" t="s">
        <v>29</v>
      </c>
      <c r="J1721" s="86" t="s">
        <v>29</v>
      </c>
      <c r="K1721" s="86" t="s">
        <v>29</v>
      </c>
      <c r="L1721" s="86" t="s">
        <v>29</v>
      </c>
      <c r="M1721" s="86" t="s">
        <v>29</v>
      </c>
      <c r="N1721" s="86" t="s">
        <v>29</v>
      </c>
      <c r="O1721" s="86" t="s">
        <v>29</v>
      </c>
      <c r="P1721" s="86" t="s">
        <v>29</v>
      </c>
      <c r="Q1721" s="86" t="s">
        <v>29</v>
      </c>
      <c r="R1721" s="86" t="s">
        <v>29</v>
      </c>
      <c r="S1721" s="86" t="s">
        <v>29</v>
      </c>
      <c r="T1721" s="86" t="s">
        <v>29</v>
      </c>
      <c r="U1721" s="86" t="s">
        <v>29</v>
      </c>
      <c r="V1721" s="86" t="s">
        <v>29</v>
      </c>
      <c r="W1721" s="86" t="s">
        <v>29</v>
      </c>
      <c r="X1721" s="85" t="e">
        <f t="shared" si="193"/>
        <v>#VALUE!</v>
      </c>
      <c r="Y1721" s="86" t="s">
        <v>29</v>
      </c>
      <c r="Z1721" s="86" t="s">
        <v>29</v>
      </c>
      <c r="AA1721" s="115" t="s">
        <v>29</v>
      </c>
      <c r="AB1721" s="115" t="s">
        <v>29</v>
      </c>
    </row>
    <row r="1722" spans="1:28" hidden="1" x14ac:dyDescent="0.3">
      <c r="A1722" s="105"/>
      <c r="E1722" s="84"/>
      <c r="F1722" s="84"/>
      <c r="G1722" s="84"/>
      <c r="H1722" s="84"/>
      <c r="I1722" s="84"/>
      <c r="J1722" s="84"/>
      <c r="K1722" s="84"/>
      <c r="L1722" s="84"/>
      <c r="M1722" s="84"/>
      <c r="N1722" s="84"/>
      <c r="O1722" s="84"/>
      <c r="P1722" s="84"/>
      <c r="Q1722" s="84"/>
      <c r="R1722" s="84"/>
      <c r="S1722" s="84"/>
      <c r="T1722" s="84"/>
      <c r="U1722" s="84"/>
      <c r="V1722" s="84"/>
      <c r="W1722" s="84"/>
      <c r="X1722" s="85">
        <f t="shared" si="193"/>
        <v>0</v>
      </c>
      <c r="Y1722" s="84"/>
      <c r="Z1722" s="84"/>
    </row>
    <row r="1723" spans="1:28" hidden="1" x14ac:dyDescent="0.3">
      <c r="A1723" s="117"/>
      <c r="C1723" s="68" t="s">
        <v>57</v>
      </c>
      <c r="D1723" s="87" t="s">
        <v>68</v>
      </c>
      <c r="E1723" s="85">
        <f>STATS1003B!E1726/1000</f>
        <v>323.23899999999998</v>
      </c>
      <c r="F1723" s="85">
        <f>STATS1003B!F1726/1000</f>
        <v>323.23899999999998</v>
      </c>
      <c r="G1723" s="85">
        <f>STATS1003B!G1726/1000</f>
        <v>0</v>
      </c>
      <c r="H1723" s="85">
        <f>STATS1003B!H1726/1000</f>
        <v>323.23899999999998</v>
      </c>
      <c r="I1723" s="85">
        <f>STATS1003B!I1726/1000</f>
        <v>0</v>
      </c>
      <c r="J1723" s="85">
        <f>STATS1003B!J1726/1000</f>
        <v>0</v>
      </c>
      <c r="K1723" s="85">
        <f>STATS1003B!K1726/1000</f>
        <v>0</v>
      </c>
      <c r="L1723" s="85">
        <f>STATS1003B!L1726/1000</f>
        <v>0</v>
      </c>
      <c r="M1723" s="85">
        <f>STATS1003B!M1726/1000</f>
        <v>323.23899999999998</v>
      </c>
      <c r="N1723" s="85">
        <f>STATS1003B!N1726/1000</f>
        <v>0</v>
      </c>
      <c r="O1723" s="85">
        <f>STATS1003B!O1726/1000</f>
        <v>0</v>
      </c>
      <c r="P1723" s="85">
        <f>STATS1003B!P1726/1000</f>
        <v>0</v>
      </c>
      <c r="Q1723" s="85">
        <f>STATS1003B!Q1726/1000</f>
        <v>0</v>
      </c>
      <c r="R1723" s="85">
        <f>STATS1003B!R1726/1000</f>
        <v>0</v>
      </c>
      <c r="S1723" s="85">
        <f>STATS1003B!S1726/1000</f>
        <v>0</v>
      </c>
      <c r="T1723" s="85">
        <f>STATS1003B!T1726/1000</f>
        <v>0</v>
      </c>
      <c r="U1723" s="85">
        <f>STATS1003B!U1726/1000</f>
        <v>0</v>
      </c>
      <c r="V1723" s="85">
        <f>STATS1003B!V1726/1000</f>
        <v>323.23899999999998</v>
      </c>
      <c r="W1723" s="85">
        <f>STATS1003B!W1726/1000</f>
        <v>0</v>
      </c>
      <c r="X1723" s="85">
        <f t="shared" si="193"/>
        <v>323.23899999999998</v>
      </c>
      <c r="Y1723" s="85">
        <f>STATS1003B!Y1726/1000</f>
        <v>0</v>
      </c>
      <c r="Z1723" s="85">
        <f>STATS1003B!Z1726/1000</f>
        <v>0</v>
      </c>
      <c r="AA1723" s="69">
        <f>STATS1003B!AA1726/1000</f>
        <v>323.23899999999998</v>
      </c>
      <c r="AB1723" s="69">
        <f>STATS1003B!AB1726/1000</f>
        <v>0</v>
      </c>
    </row>
    <row r="1724" spans="1:28" hidden="1" x14ac:dyDescent="0.3">
      <c r="A1724" s="117"/>
      <c r="C1724" s="68" t="s">
        <v>53</v>
      </c>
      <c r="D1724" s="87" t="s">
        <v>68</v>
      </c>
      <c r="E1724" s="85">
        <f>STATS1003B!E1727/1000</f>
        <v>570.94100000000003</v>
      </c>
      <c r="F1724" s="85">
        <f>STATS1003B!F1727/1000</f>
        <v>0</v>
      </c>
      <c r="G1724" s="85">
        <f>STATS1003B!G1727/1000</f>
        <v>0</v>
      </c>
      <c r="H1724" s="85">
        <f>STATS1003B!H1727/1000</f>
        <v>0</v>
      </c>
      <c r="I1724" s="85">
        <f>STATS1003B!I1727/1000</f>
        <v>0</v>
      </c>
      <c r="J1724" s="85">
        <f>STATS1003B!J1727/1000</f>
        <v>0</v>
      </c>
      <c r="K1724" s="85">
        <f>STATS1003B!K1727/1000</f>
        <v>0</v>
      </c>
      <c r="L1724" s="85">
        <f>STATS1003B!L1727/1000</f>
        <v>0</v>
      </c>
      <c r="M1724" s="85">
        <f>STATS1003B!M1727/1000</f>
        <v>0</v>
      </c>
      <c r="N1724" s="85">
        <f>STATS1003B!N1727/1000</f>
        <v>570.94100000000003</v>
      </c>
      <c r="O1724" s="85">
        <f>STATS1003B!O1727/1000</f>
        <v>0</v>
      </c>
      <c r="P1724" s="85">
        <f>STATS1003B!P1727/1000</f>
        <v>570.94100000000003</v>
      </c>
      <c r="Q1724" s="85">
        <f>STATS1003B!Q1727/1000</f>
        <v>0</v>
      </c>
      <c r="R1724" s="85">
        <f>STATS1003B!R1727/1000</f>
        <v>0</v>
      </c>
      <c r="S1724" s="85">
        <f>STATS1003B!S1727/1000</f>
        <v>0</v>
      </c>
      <c r="T1724" s="85">
        <f>STATS1003B!T1727/1000</f>
        <v>0</v>
      </c>
      <c r="U1724" s="85">
        <f>STATS1003B!U1727/1000</f>
        <v>570.94100000000003</v>
      </c>
      <c r="V1724" s="85">
        <f>STATS1003B!V1727/1000</f>
        <v>570.94100000000003</v>
      </c>
      <c r="W1724" s="85">
        <f>STATS1003B!W1727/1000</f>
        <v>0</v>
      </c>
      <c r="X1724" s="85">
        <f t="shared" si="193"/>
        <v>570.94100000000003</v>
      </c>
      <c r="Y1724" s="85">
        <f>STATS1003B!Y1727/1000</f>
        <v>0</v>
      </c>
      <c r="Z1724" s="85">
        <f>STATS1003B!Z1727/1000</f>
        <v>0</v>
      </c>
      <c r="AA1724" s="69">
        <f>STATS1003B!AA1727/1000</f>
        <v>570.94100000000003</v>
      </c>
      <c r="AB1724" s="69">
        <f>STATS1003B!AB1727/1000</f>
        <v>0</v>
      </c>
    </row>
    <row r="1725" spans="1:28" hidden="1" x14ac:dyDescent="0.3">
      <c r="A1725" s="117"/>
      <c r="C1725" s="68" t="s">
        <v>350</v>
      </c>
      <c r="D1725" s="87" t="s">
        <v>234</v>
      </c>
      <c r="E1725" s="85">
        <f>STATS1003B!E1728/1000</f>
        <v>3989.3530000000001</v>
      </c>
      <c r="F1725" s="85">
        <f>STATS1003B!F1728/1000</f>
        <v>3989.3530000000001</v>
      </c>
      <c r="G1725" s="85">
        <f>STATS1003B!G1728/1000</f>
        <v>0</v>
      </c>
      <c r="H1725" s="85">
        <f>STATS1003B!H1728/1000</f>
        <v>3989.3530000000001</v>
      </c>
      <c r="I1725" s="85">
        <f>STATS1003B!I1728/1000</f>
        <v>0</v>
      </c>
      <c r="J1725" s="85">
        <f>STATS1003B!J1728/1000</f>
        <v>0</v>
      </c>
      <c r="K1725" s="85">
        <f>STATS1003B!K1728/1000</f>
        <v>0</v>
      </c>
      <c r="L1725" s="85">
        <f>STATS1003B!L1728/1000</f>
        <v>0</v>
      </c>
      <c r="M1725" s="85">
        <f>STATS1003B!M1728/1000</f>
        <v>3989.3530000000001</v>
      </c>
      <c r="N1725" s="85">
        <f>STATS1003B!N1728/1000</f>
        <v>0</v>
      </c>
      <c r="O1725" s="85">
        <f>STATS1003B!O1728/1000</f>
        <v>0</v>
      </c>
      <c r="P1725" s="85">
        <f>STATS1003B!P1728/1000</f>
        <v>0</v>
      </c>
      <c r="Q1725" s="85">
        <f>STATS1003B!Q1728/1000</f>
        <v>0</v>
      </c>
      <c r="R1725" s="85">
        <f>STATS1003B!R1728/1000</f>
        <v>0</v>
      </c>
      <c r="S1725" s="85">
        <f>STATS1003B!S1728/1000</f>
        <v>0</v>
      </c>
      <c r="T1725" s="85">
        <f>STATS1003B!T1728/1000</f>
        <v>0</v>
      </c>
      <c r="U1725" s="85">
        <f>STATS1003B!U1728/1000</f>
        <v>0</v>
      </c>
      <c r="V1725" s="85">
        <f>STATS1003B!V1728/1000</f>
        <v>3989.3530000000001</v>
      </c>
      <c r="W1725" s="85">
        <f>STATS1003B!W1728/1000</f>
        <v>0</v>
      </c>
      <c r="X1725" s="85">
        <f t="shared" si="193"/>
        <v>3989.3530000000001</v>
      </c>
      <c r="Y1725" s="85">
        <f>STATS1003B!Y1728/1000</f>
        <v>0</v>
      </c>
      <c r="Z1725" s="85">
        <f>STATS1003B!Z1728/1000</f>
        <v>0</v>
      </c>
      <c r="AA1725" s="69">
        <f>STATS1003B!AA1728/1000</f>
        <v>3989.3530000000001</v>
      </c>
      <c r="AB1725" s="69">
        <f>STATS1003B!AB1728/1000</f>
        <v>0</v>
      </c>
    </row>
    <row r="1726" spans="1:28" hidden="1" x14ac:dyDescent="0.3">
      <c r="A1726" s="117"/>
      <c r="C1726" s="68" t="s">
        <v>57</v>
      </c>
      <c r="D1726" s="87" t="s">
        <v>54</v>
      </c>
      <c r="E1726" s="85">
        <f>STATS1003B!E1729/1000</f>
        <v>137.47800000000001</v>
      </c>
      <c r="F1726" s="85">
        <f>STATS1003B!F1729/1000</f>
        <v>137.47800000000001</v>
      </c>
      <c r="G1726" s="85">
        <f>STATS1003B!G1729/1000</f>
        <v>0</v>
      </c>
      <c r="H1726" s="85">
        <f>STATS1003B!H1729/1000</f>
        <v>137.47800000000001</v>
      </c>
      <c r="I1726" s="85">
        <f>STATS1003B!I1729/1000</f>
        <v>0</v>
      </c>
      <c r="J1726" s="85">
        <f>STATS1003B!J1729/1000</f>
        <v>0</v>
      </c>
      <c r="K1726" s="85">
        <f>STATS1003B!K1729/1000</f>
        <v>0</v>
      </c>
      <c r="L1726" s="85">
        <f>STATS1003B!L1729/1000</f>
        <v>0</v>
      </c>
      <c r="M1726" s="85">
        <f>STATS1003B!M1729/1000</f>
        <v>137.47800000000001</v>
      </c>
      <c r="N1726" s="85">
        <f>STATS1003B!N1729/1000</f>
        <v>0</v>
      </c>
      <c r="O1726" s="85">
        <f>STATS1003B!O1729/1000</f>
        <v>0</v>
      </c>
      <c r="P1726" s="85">
        <f>STATS1003B!P1729/1000</f>
        <v>0</v>
      </c>
      <c r="Q1726" s="85">
        <f>STATS1003B!Q1729/1000</f>
        <v>0</v>
      </c>
      <c r="R1726" s="85">
        <f>STATS1003B!R1729/1000</f>
        <v>0</v>
      </c>
      <c r="S1726" s="85">
        <f>STATS1003B!S1729/1000</f>
        <v>0</v>
      </c>
      <c r="T1726" s="85">
        <f>STATS1003B!T1729/1000</f>
        <v>0</v>
      </c>
      <c r="U1726" s="85">
        <f>STATS1003B!U1729/1000</f>
        <v>0</v>
      </c>
      <c r="V1726" s="85">
        <f>STATS1003B!V1729/1000</f>
        <v>137.47800000000001</v>
      </c>
      <c r="W1726" s="85">
        <f>STATS1003B!W1729/1000</f>
        <v>0</v>
      </c>
      <c r="X1726" s="85">
        <f t="shared" si="193"/>
        <v>137.47800000000001</v>
      </c>
      <c r="Y1726" s="85">
        <f>STATS1003B!Y1729/1000</f>
        <v>0</v>
      </c>
      <c r="Z1726" s="85">
        <f>STATS1003B!Z1729/1000</f>
        <v>0</v>
      </c>
      <c r="AA1726" s="69">
        <f>STATS1003B!AA1729/1000</f>
        <v>137.47800000000001</v>
      </c>
      <c r="AB1726" s="69">
        <f>STATS1003B!AB1729/1000</f>
        <v>0</v>
      </c>
    </row>
    <row r="1727" spans="1:28" hidden="1" x14ac:dyDescent="0.3">
      <c r="A1727" s="117"/>
      <c r="C1727" s="68" t="s">
        <v>351</v>
      </c>
      <c r="D1727" s="87" t="s">
        <v>234</v>
      </c>
      <c r="E1727" s="85">
        <f>STATS1003B!E1730/1000</f>
        <v>232</v>
      </c>
      <c r="F1727" s="85">
        <f>STATS1003B!F1730/1000</f>
        <v>232</v>
      </c>
      <c r="G1727" s="85">
        <f>STATS1003B!G1730/1000</f>
        <v>0</v>
      </c>
      <c r="H1727" s="85">
        <f>STATS1003B!H1730/1000</f>
        <v>232</v>
      </c>
      <c r="I1727" s="85">
        <f>STATS1003B!I1730/1000</f>
        <v>0</v>
      </c>
      <c r="J1727" s="85">
        <f>STATS1003B!J1730/1000</f>
        <v>0</v>
      </c>
      <c r="K1727" s="85">
        <f>STATS1003B!K1730/1000</f>
        <v>0</v>
      </c>
      <c r="L1727" s="85">
        <f>STATS1003B!L1730/1000</f>
        <v>0</v>
      </c>
      <c r="M1727" s="85">
        <f>STATS1003B!M1730/1000</f>
        <v>232</v>
      </c>
      <c r="N1727" s="85">
        <f>STATS1003B!N1730/1000</f>
        <v>0</v>
      </c>
      <c r="O1727" s="85">
        <f>STATS1003B!O1730/1000</f>
        <v>0</v>
      </c>
      <c r="P1727" s="85">
        <f>STATS1003B!P1730/1000</f>
        <v>0</v>
      </c>
      <c r="Q1727" s="85">
        <f>STATS1003B!Q1730/1000</f>
        <v>0</v>
      </c>
      <c r="R1727" s="85">
        <f>STATS1003B!R1730/1000</f>
        <v>0</v>
      </c>
      <c r="S1727" s="85">
        <f>STATS1003B!S1730/1000</f>
        <v>0</v>
      </c>
      <c r="T1727" s="85">
        <f>STATS1003B!T1730/1000</f>
        <v>0</v>
      </c>
      <c r="U1727" s="85">
        <f>STATS1003B!U1730/1000</f>
        <v>0</v>
      </c>
      <c r="V1727" s="85">
        <f>STATS1003B!V1730/1000</f>
        <v>232</v>
      </c>
      <c r="W1727" s="85">
        <f>STATS1003B!W1730/1000</f>
        <v>0</v>
      </c>
      <c r="X1727" s="85">
        <f t="shared" si="193"/>
        <v>232</v>
      </c>
      <c r="Y1727" s="85">
        <f>STATS1003B!Y1730/1000</f>
        <v>0</v>
      </c>
      <c r="Z1727" s="85">
        <f>STATS1003B!Z1730/1000</f>
        <v>0</v>
      </c>
      <c r="AA1727" s="69">
        <f>STATS1003B!AA1730/1000</f>
        <v>232</v>
      </c>
      <c r="AB1727" s="69">
        <f>STATS1003B!AB1730/1000</f>
        <v>0</v>
      </c>
    </row>
    <row r="1728" spans="1:28" hidden="1" x14ac:dyDescent="0.3">
      <c r="A1728" s="117"/>
      <c r="C1728" s="68" t="s">
        <v>57</v>
      </c>
      <c r="D1728" s="87" t="s">
        <v>85</v>
      </c>
      <c r="E1728" s="85">
        <f>STATS1003B!E1731/1000</f>
        <v>900</v>
      </c>
      <c r="F1728" s="85">
        <f>STATS1003B!F1731/1000</f>
        <v>900</v>
      </c>
      <c r="G1728" s="85">
        <f>STATS1003B!G1731/1000</f>
        <v>0</v>
      </c>
      <c r="H1728" s="85">
        <f>STATS1003B!H1731/1000</f>
        <v>900</v>
      </c>
      <c r="I1728" s="85">
        <f>STATS1003B!I1731/1000</f>
        <v>0</v>
      </c>
      <c r="J1728" s="85">
        <f>STATS1003B!J1731/1000</f>
        <v>0</v>
      </c>
      <c r="K1728" s="85">
        <f>STATS1003B!K1731/1000</f>
        <v>0</v>
      </c>
      <c r="L1728" s="85">
        <f>STATS1003B!L1731/1000</f>
        <v>0</v>
      </c>
      <c r="M1728" s="85">
        <f>STATS1003B!M1731/1000</f>
        <v>900</v>
      </c>
      <c r="N1728" s="85">
        <f>STATS1003B!N1731/1000</f>
        <v>0</v>
      </c>
      <c r="O1728" s="85">
        <f>STATS1003B!O1731/1000</f>
        <v>0</v>
      </c>
      <c r="P1728" s="85">
        <f>STATS1003B!P1731/1000</f>
        <v>0</v>
      </c>
      <c r="Q1728" s="85">
        <f>STATS1003B!Q1731/1000</f>
        <v>0</v>
      </c>
      <c r="R1728" s="85">
        <f>STATS1003B!R1731/1000</f>
        <v>0</v>
      </c>
      <c r="S1728" s="85">
        <f>STATS1003B!S1731/1000</f>
        <v>0</v>
      </c>
      <c r="T1728" s="85">
        <f>STATS1003B!T1731/1000</f>
        <v>0</v>
      </c>
      <c r="U1728" s="85">
        <f>STATS1003B!U1731/1000</f>
        <v>0</v>
      </c>
      <c r="V1728" s="85">
        <f>STATS1003B!V1731/1000</f>
        <v>900</v>
      </c>
      <c r="W1728" s="85">
        <f>STATS1003B!W1731/1000</f>
        <v>0</v>
      </c>
      <c r="X1728" s="85">
        <f t="shared" si="193"/>
        <v>900</v>
      </c>
      <c r="Y1728" s="85">
        <f>STATS1003B!Y1731/1000</f>
        <v>0</v>
      </c>
      <c r="Z1728" s="85">
        <f>STATS1003B!Z1731/1000</f>
        <v>0</v>
      </c>
      <c r="AA1728" s="69">
        <f>STATS1003B!AA1731/1000</f>
        <v>900</v>
      </c>
      <c r="AB1728" s="69">
        <f>STATS1003B!AB1731/1000</f>
        <v>0</v>
      </c>
    </row>
    <row r="1729" spans="1:28" hidden="1" x14ac:dyDescent="0.3">
      <c r="A1729" s="117"/>
      <c r="C1729" s="68" t="s">
        <v>302</v>
      </c>
      <c r="D1729" s="87" t="s">
        <v>85</v>
      </c>
      <c r="E1729" s="85">
        <f>STATS1003B!E1732/1000</f>
        <v>160</v>
      </c>
      <c r="F1729" s="85">
        <f>STATS1003B!F1732/1000</f>
        <v>160</v>
      </c>
      <c r="G1729" s="85">
        <f>STATS1003B!G1732/1000</f>
        <v>0</v>
      </c>
      <c r="H1729" s="85">
        <f>STATS1003B!H1732/1000</f>
        <v>160</v>
      </c>
      <c r="I1729" s="85">
        <f>STATS1003B!I1732/1000</f>
        <v>0</v>
      </c>
      <c r="J1729" s="85">
        <f>STATS1003B!J1732/1000</f>
        <v>0</v>
      </c>
      <c r="K1729" s="85">
        <f>STATS1003B!K1732/1000</f>
        <v>0</v>
      </c>
      <c r="L1729" s="85">
        <f>STATS1003B!L1732/1000</f>
        <v>0</v>
      </c>
      <c r="M1729" s="85">
        <f>STATS1003B!M1732/1000</f>
        <v>160</v>
      </c>
      <c r="N1729" s="85">
        <f>STATS1003B!N1732/1000</f>
        <v>0</v>
      </c>
      <c r="O1729" s="85">
        <f>STATS1003B!O1732/1000</f>
        <v>0</v>
      </c>
      <c r="P1729" s="85">
        <f>STATS1003B!P1732/1000</f>
        <v>0</v>
      </c>
      <c r="Q1729" s="85">
        <f>STATS1003B!Q1732/1000</f>
        <v>0</v>
      </c>
      <c r="R1729" s="85">
        <f>STATS1003B!R1732/1000</f>
        <v>0</v>
      </c>
      <c r="S1729" s="85">
        <f>STATS1003B!S1732/1000</f>
        <v>0</v>
      </c>
      <c r="T1729" s="85">
        <f>STATS1003B!T1732/1000</f>
        <v>0</v>
      </c>
      <c r="U1729" s="85">
        <f>STATS1003B!U1732/1000</f>
        <v>0</v>
      </c>
      <c r="V1729" s="85">
        <f>STATS1003B!V1732/1000</f>
        <v>160</v>
      </c>
      <c r="W1729" s="85">
        <f>STATS1003B!W1732/1000</f>
        <v>0</v>
      </c>
      <c r="X1729" s="85">
        <f t="shared" si="193"/>
        <v>160</v>
      </c>
      <c r="Y1729" s="85">
        <f>STATS1003B!Y1732/1000</f>
        <v>0</v>
      </c>
      <c r="Z1729" s="85">
        <f>STATS1003B!Z1732/1000</f>
        <v>0</v>
      </c>
      <c r="AA1729" s="69">
        <f>STATS1003B!AA1732/1000</f>
        <v>160</v>
      </c>
      <c r="AB1729" s="69">
        <f>STATS1003B!AB1732/1000</f>
        <v>0</v>
      </c>
    </row>
    <row r="1730" spans="1:28" hidden="1" x14ac:dyDescent="0.3">
      <c r="A1730" s="117"/>
      <c r="C1730" s="68" t="s">
        <v>57</v>
      </c>
      <c r="D1730" s="87" t="s">
        <v>128</v>
      </c>
      <c r="E1730" s="85">
        <f>STATS1003B!E1733/1000</f>
        <v>594</v>
      </c>
      <c r="F1730" s="85">
        <f>STATS1003B!F1733/1000</f>
        <v>594</v>
      </c>
      <c r="G1730" s="85">
        <f>STATS1003B!G1733/1000</f>
        <v>0</v>
      </c>
      <c r="H1730" s="85">
        <f>STATS1003B!H1733/1000</f>
        <v>594</v>
      </c>
      <c r="I1730" s="85">
        <f>STATS1003B!I1733/1000</f>
        <v>0</v>
      </c>
      <c r="J1730" s="85">
        <f>STATS1003B!J1733/1000</f>
        <v>0</v>
      </c>
      <c r="K1730" s="85">
        <f>STATS1003B!K1733/1000</f>
        <v>0</v>
      </c>
      <c r="L1730" s="85">
        <f>STATS1003B!L1733/1000</f>
        <v>0</v>
      </c>
      <c r="M1730" s="85">
        <f>STATS1003B!M1733/1000</f>
        <v>594</v>
      </c>
      <c r="N1730" s="85">
        <f>STATS1003B!N1733/1000</f>
        <v>0</v>
      </c>
      <c r="O1730" s="85">
        <f>STATS1003B!O1733/1000</f>
        <v>0</v>
      </c>
      <c r="P1730" s="85">
        <f>STATS1003B!P1733/1000</f>
        <v>0</v>
      </c>
      <c r="Q1730" s="85">
        <f>STATS1003B!Q1733/1000</f>
        <v>0</v>
      </c>
      <c r="R1730" s="85">
        <f>STATS1003B!R1733/1000</f>
        <v>0</v>
      </c>
      <c r="S1730" s="85">
        <f>STATS1003B!S1733/1000</f>
        <v>0</v>
      </c>
      <c r="T1730" s="85">
        <f>STATS1003B!T1733/1000</f>
        <v>0</v>
      </c>
      <c r="U1730" s="85">
        <f>STATS1003B!U1733/1000</f>
        <v>0</v>
      </c>
      <c r="V1730" s="85">
        <f>STATS1003B!V1733/1000</f>
        <v>594</v>
      </c>
      <c r="W1730" s="85">
        <f>STATS1003B!W1733/1000</f>
        <v>0</v>
      </c>
      <c r="X1730" s="85">
        <f t="shared" si="193"/>
        <v>594</v>
      </c>
      <c r="Y1730" s="85">
        <f>STATS1003B!Y1733/1000</f>
        <v>0</v>
      </c>
      <c r="Z1730" s="85">
        <f>STATS1003B!Z1733/1000</f>
        <v>0</v>
      </c>
      <c r="AA1730" s="69">
        <f>STATS1003B!AA1733/1000</f>
        <v>594</v>
      </c>
      <c r="AB1730" s="69">
        <f>STATS1003B!AB1733/1000</f>
        <v>0</v>
      </c>
    </row>
    <row r="1731" spans="1:28" hidden="1" x14ac:dyDescent="0.3">
      <c r="A1731" s="117"/>
      <c r="C1731" s="68" t="s">
        <v>57</v>
      </c>
      <c r="D1731" s="87" t="s">
        <v>60</v>
      </c>
      <c r="E1731" s="85">
        <f>STATS1003B!E1734/1000</f>
        <v>777.16399999999999</v>
      </c>
      <c r="F1731" s="85">
        <f>STATS1003B!F1734/1000</f>
        <v>777.16399999999999</v>
      </c>
      <c r="G1731" s="85">
        <f>STATS1003B!G1734/1000</f>
        <v>0</v>
      </c>
      <c r="H1731" s="85">
        <f>STATS1003B!H1734/1000</f>
        <v>777.16399999999999</v>
      </c>
      <c r="I1731" s="85">
        <f>STATS1003B!I1734/1000</f>
        <v>0</v>
      </c>
      <c r="J1731" s="85">
        <f>STATS1003B!J1734/1000</f>
        <v>0</v>
      </c>
      <c r="K1731" s="85">
        <f>STATS1003B!K1734/1000</f>
        <v>0</v>
      </c>
      <c r="L1731" s="85">
        <f>STATS1003B!L1734/1000</f>
        <v>0</v>
      </c>
      <c r="M1731" s="85">
        <f>STATS1003B!M1734/1000</f>
        <v>777.16399999999999</v>
      </c>
      <c r="N1731" s="85">
        <f>STATS1003B!N1734/1000</f>
        <v>0</v>
      </c>
      <c r="O1731" s="85">
        <f>STATS1003B!O1734/1000</f>
        <v>0</v>
      </c>
      <c r="P1731" s="85">
        <f>STATS1003B!P1734/1000</f>
        <v>0</v>
      </c>
      <c r="Q1731" s="85">
        <f>STATS1003B!Q1734/1000</f>
        <v>0</v>
      </c>
      <c r="R1731" s="85">
        <f>STATS1003B!R1734/1000</f>
        <v>0</v>
      </c>
      <c r="S1731" s="85">
        <f>STATS1003B!S1734/1000</f>
        <v>0</v>
      </c>
      <c r="T1731" s="85">
        <f>STATS1003B!T1734/1000</f>
        <v>0</v>
      </c>
      <c r="U1731" s="85">
        <f>STATS1003B!U1734/1000</f>
        <v>0</v>
      </c>
      <c r="V1731" s="85">
        <f>STATS1003B!V1734/1000</f>
        <v>777.16399999999999</v>
      </c>
      <c r="W1731" s="85">
        <f>STATS1003B!W1734/1000</f>
        <v>0</v>
      </c>
      <c r="X1731" s="85">
        <f t="shared" si="193"/>
        <v>777.16399999999999</v>
      </c>
      <c r="Y1731" s="85">
        <f>STATS1003B!Y1734/1000</f>
        <v>0</v>
      </c>
      <c r="Z1731" s="85">
        <f>STATS1003B!Z1734/1000</f>
        <v>0</v>
      </c>
      <c r="AA1731" s="69">
        <f>STATS1003B!AA1734/1000</f>
        <v>777.16399999999999</v>
      </c>
      <c r="AB1731" s="69">
        <f>STATS1003B!AB1734/1000</f>
        <v>0</v>
      </c>
    </row>
    <row r="1732" spans="1:28" hidden="1" x14ac:dyDescent="0.3">
      <c r="A1732" s="117"/>
      <c r="C1732" s="68" t="s">
        <v>57</v>
      </c>
      <c r="D1732" s="87" t="s">
        <v>73</v>
      </c>
      <c r="E1732" s="85">
        <f>STATS1003B!E1735/1000</f>
        <v>1326</v>
      </c>
      <c r="F1732" s="85">
        <f>STATS1003B!F1735/1000</f>
        <v>1326</v>
      </c>
      <c r="G1732" s="85">
        <f>STATS1003B!G1735/1000</f>
        <v>0</v>
      </c>
      <c r="H1732" s="85">
        <f>STATS1003B!H1735/1000</f>
        <v>1326</v>
      </c>
      <c r="I1732" s="85">
        <f>STATS1003B!I1735/1000</f>
        <v>0</v>
      </c>
      <c r="J1732" s="85">
        <f>STATS1003B!J1735/1000</f>
        <v>0</v>
      </c>
      <c r="K1732" s="85">
        <f>STATS1003B!K1735/1000</f>
        <v>0</v>
      </c>
      <c r="L1732" s="85">
        <f>STATS1003B!L1735/1000</f>
        <v>0</v>
      </c>
      <c r="M1732" s="85">
        <f>STATS1003B!M1735/1000</f>
        <v>1326</v>
      </c>
      <c r="N1732" s="85">
        <f>STATS1003B!N1735/1000</f>
        <v>0</v>
      </c>
      <c r="O1732" s="85">
        <f>STATS1003B!O1735/1000</f>
        <v>0</v>
      </c>
      <c r="P1732" s="85">
        <f>STATS1003B!P1735/1000</f>
        <v>0</v>
      </c>
      <c r="Q1732" s="85">
        <f>STATS1003B!Q1735/1000</f>
        <v>0</v>
      </c>
      <c r="R1732" s="85">
        <f>STATS1003B!R1735/1000</f>
        <v>0</v>
      </c>
      <c r="S1732" s="85">
        <f>STATS1003B!S1735/1000</f>
        <v>0</v>
      </c>
      <c r="T1732" s="85">
        <f>STATS1003B!T1735/1000</f>
        <v>0</v>
      </c>
      <c r="U1732" s="85">
        <f>STATS1003B!U1735/1000</f>
        <v>0</v>
      </c>
      <c r="V1732" s="85">
        <f>STATS1003B!V1735/1000</f>
        <v>1326</v>
      </c>
      <c r="W1732" s="85">
        <f>STATS1003B!W1735/1000</f>
        <v>0</v>
      </c>
      <c r="X1732" s="85">
        <f t="shared" si="193"/>
        <v>1326</v>
      </c>
      <c r="Y1732" s="85">
        <f>STATS1003B!Y1735/1000</f>
        <v>0</v>
      </c>
      <c r="Z1732" s="85">
        <f>STATS1003B!Z1735/1000</f>
        <v>0</v>
      </c>
      <c r="AA1732" s="69">
        <f>STATS1003B!AA1735/1000</f>
        <v>1326</v>
      </c>
      <c r="AB1732" s="69">
        <f>STATS1003B!AB1735/1000</f>
        <v>0</v>
      </c>
    </row>
    <row r="1733" spans="1:28" hidden="1" x14ac:dyDescent="0.3">
      <c r="A1733" s="117"/>
      <c r="C1733" s="68" t="s">
        <v>925</v>
      </c>
      <c r="D1733" s="87"/>
      <c r="E1733" s="85">
        <f>STATS1003B!E1736/1000</f>
        <v>494.67884000000004</v>
      </c>
      <c r="F1733" s="85">
        <f>STATS1003B!F1736/1000</f>
        <v>494.67884000000004</v>
      </c>
      <c r="G1733" s="85">
        <f>STATS1003B!G1736/1000</f>
        <v>0</v>
      </c>
      <c r="H1733" s="85">
        <f>STATS1003B!H1736/1000</f>
        <v>494.67884000000004</v>
      </c>
      <c r="I1733" s="85">
        <f>STATS1003B!I1736/1000</f>
        <v>0</v>
      </c>
      <c r="J1733" s="85">
        <f>STATS1003B!J1736/1000</f>
        <v>0</v>
      </c>
      <c r="K1733" s="85">
        <f>STATS1003B!K1736/1000</f>
        <v>0</v>
      </c>
      <c r="L1733" s="85">
        <f>STATS1003B!L1736/1000</f>
        <v>0</v>
      </c>
      <c r="M1733" s="85">
        <f>STATS1003B!M1736/1000</f>
        <v>494.67884000000004</v>
      </c>
      <c r="N1733" s="85">
        <f>STATS1003B!N1736/1000</f>
        <v>0</v>
      </c>
      <c r="O1733" s="85">
        <f>STATS1003B!O1736/1000</f>
        <v>0</v>
      </c>
      <c r="P1733" s="85">
        <f>STATS1003B!P1736/1000</f>
        <v>0</v>
      </c>
      <c r="Q1733" s="85">
        <f>STATS1003B!Q1736/1000</f>
        <v>0</v>
      </c>
      <c r="R1733" s="85">
        <f>STATS1003B!R1736/1000</f>
        <v>0</v>
      </c>
      <c r="S1733" s="85">
        <f>STATS1003B!S1736/1000</f>
        <v>0</v>
      </c>
      <c r="T1733" s="85">
        <f>STATS1003B!T1736/1000</f>
        <v>0</v>
      </c>
      <c r="U1733" s="85">
        <f>STATS1003B!U1736/1000</f>
        <v>0</v>
      </c>
      <c r="V1733" s="85">
        <f>STATS1003B!V1736/1000</f>
        <v>494.67884000000004</v>
      </c>
      <c r="W1733" s="85">
        <f>STATS1003B!W1736/1000</f>
        <v>0</v>
      </c>
      <c r="X1733" s="85">
        <f t="shared" si="193"/>
        <v>494.67884000000004</v>
      </c>
      <c r="Y1733" s="85">
        <f>STATS1003B!Y1736/1000</f>
        <v>0</v>
      </c>
      <c r="Z1733" s="85">
        <f>STATS1003B!Z1736/1000</f>
        <v>0</v>
      </c>
      <c r="AA1733" s="69">
        <f>STATS1003B!AA1736/1000</f>
        <v>494.67884000000004</v>
      </c>
      <c r="AB1733" s="69">
        <f>STATS1003B!AB1736/1000</f>
        <v>0</v>
      </c>
    </row>
    <row r="1734" spans="1:28" hidden="1" x14ac:dyDescent="0.3">
      <c r="A1734" s="117"/>
      <c r="C1734" s="68" t="s">
        <v>930</v>
      </c>
      <c r="D1734" s="90" t="s">
        <v>1072</v>
      </c>
      <c r="E1734" s="85">
        <f>STATS1003B!E1737/1000</f>
        <v>556.19592</v>
      </c>
      <c r="F1734" s="85">
        <f>STATS1003B!F1737/1000</f>
        <v>556.19592</v>
      </c>
      <c r="G1734" s="85">
        <f>STATS1003B!G1737/1000</f>
        <v>0</v>
      </c>
      <c r="H1734" s="85">
        <f>STATS1003B!H1737/1000</f>
        <v>556.19592</v>
      </c>
      <c r="I1734" s="85">
        <f>STATS1003B!I1737/1000</f>
        <v>0</v>
      </c>
      <c r="J1734" s="85">
        <f>STATS1003B!J1737/1000</f>
        <v>0</v>
      </c>
      <c r="K1734" s="85">
        <f>STATS1003B!K1737/1000</f>
        <v>0</v>
      </c>
      <c r="L1734" s="85">
        <f>STATS1003B!L1737/1000</f>
        <v>0</v>
      </c>
      <c r="M1734" s="85">
        <f>STATS1003B!M1737/1000</f>
        <v>556.19592</v>
      </c>
      <c r="N1734" s="85">
        <f>STATS1003B!N1737/1000</f>
        <v>0</v>
      </c>
      <c r="O1734" s="85">
        <f>STATS1003B!O1737/1000</f>
        <v>0</v>
      </c>
      <c r="P1734" s="85">
        <f>STATS1003B!P1737/1000</f>
        <v>0</v>
      </c>
      <c r="Q1734" s="85">
        <f>STATS1003B!Q1737/1000</f>
        <v>0</v>
      </c>
      <c r="R1734" s="85">
        <f>STATS1003B!R1737/1000</f>
        <v>0</v>
      </c>
      <c r="S1734" s="85">
        <f>STATS1003B!S1737/1000</f>
        <v>0</v>
      </c>
      <c r="T1734" s="85">
        <f>STATS1003B!T1737/1000</f>
        <v>0</v>
      </c>
      <c r="U1734" s="85">
        <f>STATS1003B!U1737/1000</f>
        <v>0</v>
      </c>
      <c r="V1734" s="85">
        <f>STATS1003B!V1737/1000</f>
        <v>556.19592</v>
      </c>
      <c r="W1734" s="85">
        <f>STATS1003B!W1737/1000</f>
        <v>0</v>
      </c>
      <c r="X1734" s="85">
        <f t="shared" si="193"/>
        <v>556.19592</v>
      </c>
      <c r="Y1734" s="85">
        <f>STATS1003B!Y1737/1000</f>
        <v>0</v>
      </c>
      <c r="Z1734" s="85">
        <f>STATS1003B!Z1737/1000</f>
        <v>0</v>
      </c>
      <c r="AA1734" s="69">
        <f>STATS1003B!AA1737/1000</f>
        <v>556.19592</v>
      </c>
      <c r="AB1734" s="69">
        <f>STATS1003B!AB1737/1000</f>
        <v>0</v>
      </c>
    </row>
    <row r="1735" spans="1:28" hidden="1" x14ac:dyDescent="0.3">
      <c r="A1735" s="117"/>
      <c r="C1735" s="68" t="s">
        <v>57</v>
      </c>
      <c r="D1735" s="90" t="s">
        <v>61</v>
      </c>
      <c r="E1735" s="85">
        <f>STATS1003B!E1738/1000</f>
        <v>644.65904</v>
      </c>
      <c r="F1735" s="85">
        <f>STATS1003B!F1738/1000</f>
        <v>639.17200000000003</v>
      </c>
      <c r="G1735" s="85">
        <f>STATS1003B!G1738/1000</f>
        <v>0</v>
      </c>
      <c r="H1735" s="85">
        <f>STATS1003B!H1738/1000</f>
        <v>639.17200000000003</v>
      </c>
      <c r="I1735" s="85">
        <f>STATS1003B!I1738/1000</f>
        <v>639.17200000000003</v>
      </c>
      <c r="J1735" s="85">
        <f>STATS1003B!J1738/1000</f>
        <v>0</v>
      </c>
      <c r="K1735" s="85">
        <f>STATS1003B!K1738/1000</f>
        <v>0</v>
      </c>
      <c r="L1735" s="85">
        <f>STATS1003B!L1738/1000</f>
        <v>0</v>
      </c>
      <c r="M1735" s="85">
        <f>STATS1003B!M1738/1000</f>
        <v>639.17200000000003</v>
      </c>
      <c r="N1735" s="85">
        <f>STATS1003B!N1738/1000</f>
        <v>0</v>
      </c>
      <c r="O1735" s="85">
        <f>STATS1003B!O1738/1000</f>
        <v>0</v>
      </c>
      <c r="P1735" s="85">
        <f>STATS1003B!P1738/1000</f>
        <v>0</v>
      </c>
      <c r="Q1735" s="85">
        <f>STATS1003B!Q1738/1000</f>
        <v>5.4870400000000004</v>
      </c>
      <c r="R1735" s="85">
        <f>STATS1003B!R1738/1000</f>
        <v>0</v>
      </c>
      <c r="S1735" s="85">
        <f>STATS1003B!S1738/1000</f>
        <v>0</v>
      </c>
      <c r="T1735" s="85">
        <f>STATS1003B!T1738/1000</f>
        <v>5.4870400000000004</v>
      </c>
      <c r="U1735" s="85">
        <f>STATS1003B!U1738/1000</f>
        <v>5.4870400000000004</v>
      </c>
      <c r="V1735" s="85">
        <f>STATS1003B!V1738/1000</f>
        <v>639.17200000000003</v>
      </c>
      <c r="W1735" s="85">
        <f>STATS1003B!W1738/1000</f>
        <v>5.4870400000000377</v>
      </c>
      <c r="X1735" s="85">
        <f t="shared" si="193"/>
        <v>639.17200000000003</v>
      </c>
      <c r="Y1735" s="85">
        <f>STATS1003B!Y1738/1000</f>
        <v>0</v>
      </c>
      <c r="Z1735" s="85">
        <f>STATS1003B!Z1738/1000</f>
        <v>5.4870400000000377</v>
      </c>
      <c r="AA1735" s="69">
        <f>STATS1003B!AA1738/1000</f>
        <v>644.65904</v>
      </c>
      <c r="AB1735" s="69">
        <f>STATS1003B!AB1738/1000</f>
        <v>0</v>
      </c>
    </row>
    <row r="1736" spans="1:28" hidden="1" x14ac:dyDescent="0.3">
      <c r="A1736" s="117"/>
      <c r="E1736" s="86" t="s">
        <v>29</v>
      </c>
      <c r="F1736" s="86" t="s">
        <v>29</v>
      </c>
      <c r="G1736" s="86" t="s">
        <v>29</v>
      </c>
      <c r="H1736" s="86" t="s">
        <v>29</v>
      </c>
      <c r="I1736" s="86" t="s">
        <v>29</v>
      </c>
      <c r="J1736" s="86" t="s">
        <v>29</v>
      </c>
      <c r="K1736" s="86" t="s">
        <v>29</v>
      </c>
      <c r="L1736" s="86" t="s">
        <v>29</v>
      </c>
      <c r="M1736" s="86" t="s">
        <v>29</v>
      </c>
      <c r="N1736" s="86" t="s">
        <v>29</v>
      </c>
      <c r="O1736" s="86" t="s">
        <v>29</v>
      </c>
      <c r="P1736" s="86" t="s">
        <v>29</v>
      </c>
      <c r="Q1736" s="86" t="s">
        <v>29</v>
      </c>
      <c r="R1736" s="86" t="s">
        <v>29</v>
      </c>
      <c r="S1736" s="86" t="s">
        <v>29</v>
      </c>
      <c r="T1736" s="86" t="s">
        <v>29</v>
      </c>
      <c r="U1736" s="86" t="s">
        <v>29</v>
      </c>
      <c r="V1736" s="86" t="s">
        <v>29</v>
      </c>
      <c r="W1736" s="86" t="s">
        <v>29</v>
      </c>
      <c r="X1736" s="85" t="e">
        <f t="shared" si="193"/>
        <v>#VALUE!</v>
      </c>
      <c r="Y1736" s="86" t="s">
        <v>29</v>
      </c>
      <c r="Z1736" s="86" t="s">
        <v>29</v>
      </c>
      <c r="AA1736" s="115" t="s">
        <v>29</v>
      </c>
      <c r="AB1736" s="115" t="s">
        <v>29</v>
      </c>
    </row>
    <row r="1737" spans="1:28" x14ac:dyDescent="0.3">
      <c r="A1737" s="116">
        <v>75</v>
      </c>
      <c r="B1737" s="68" t="s">
        <v>349</v>
      </c>
      <c r="E1737" s="85">
        <f>21269298.67/1000</f>
        <v>21269.29867</v>
      </c>
      <c r="F1737" s="85">
        <f t="shared" ref="F1737:AB1737" si="194">SUM(F1723:F1735)</f>
        <v>10129.280760000001</v>
      </c>
      <c r="G1737" s="85">
        <f t="shared" si="194"/>
        <v>0</v>
      </c>
      <c r="H1737" s="85">
        <f>20692870.63/1000</f>
        <v>20692.870629999998</v>
      </c>
      <c r="I1737" s="85">
        <f t="shared" si="194"/>
        <v>639.17200000000003</v>
      </c>
      <c r="J1737" s="85">
        <f t="shared" si="194"/>
        <v>0</v>
      </c>
      <c r="K1737" s="85">
        <f t="shared" si="194"/>
        <v>0</v>
      </c>
      <c r="L1737" s="85">
        <f t="shared" si="194"/>
        <v>0</v>
      </c>
      <c r="M1737" s="85">
        <f t="shared" si="194"/>
        <v>10129.280760000001</v>
      </c>
      <c r="N1737" s="85">
        <f t="shared" si="194"/>
        <v>570.94100000000003</v>
      </c>
      <c r="O1737" s="85">
        <f t="shared" si="194"/>
        <v>0</v>
      </c>
      <c r="P1737" s="85">
        <f>570941/1000</f>
        <v>570.94100000000003</v>
      </c>
      <c r="Q1737" s="85">
        <f t="shared" si="194"/>
        <v>5.4870400000000004</v>
      </c>
      <c r="R1737" s="85">
        <f t="shared" si="194"/>
        <v>0</v>
      </c>
      <c r="S1737" s="85">
        <f t="shared" si="194"/>
        <v>0</v>
      </c>
      <c r="T1737" s="85">
        <f t="shared" si="194"/>
        <v>5.4870400000000004</v>
      </c>
      <c r="U1737" s="85">
        <f t="shared" si="194"/>
        <v>576.42804000000001</v>
      </c>
      <c r="V1737" s="85">
        <f t="shared" si="194"/>
        <v>10700.22176</v>
      </c>
      <c r="W1737" s="85">
        <f t="shared" si="194"/>
        <v>5.4870400000000377</v>
      </c>
      <c r="X1737" s="85">
        <f t="shared" si="193"/>
        <v>21263.811629999997</v>
      </c>
      <c r="Y1737" s="85">
        <f t="shared" si="194"/>
        <v>0</v>
      </c>
      <c r="Z1737" s="85">
        <f t="shared" si="194"/>
        <v>5.4870400000000377</v>
      </c>
      <c r="AA1737" s="69">
        <f t="shared" si="194"/>
        <v>10705.7088</v>
      </c>
      <c r="AB1737" s="69">
        <f t="shared" si="194"/>
        <v>0</v>
      </c>
    </row>
    <row r="1738" spans="1:28" x14ac:dyDescent="0.3">
      <c r="A1738" s="117"/>
      <c r="E1738" s="86"/>
      <c r="F1738" s="86"/>
      <c r="G1738" s="86"/>
      <c r="H1738" s="86"/>
      <c r="I1738" s="86"/>
      <c r="J1738" s="86"/>
      <c r="K1738" s="86"/>
      <c r="L1738" s="86"/>
      <c r="M1738" s="86"/>
      <c r="N1738" s="86"/>
      <c r="O1738" s="86"/>
      <c r="P1738" s="86"/>
      <c r="Q1738" s="86"/>
      <c r="R1738" s="86"/>
      <c r="S1738" s="86"/>
      <c r="T1738" s="86"/>
      <c r="U1738" s="86"/>
      <c r="V1738" s="86"/>
      <c r="W1738" s="86"/>
      <c r="X1738" s="86"/>
      <c r="Y1738" s="86"/>
      <c r="Z1738" s="86"/>
      <c r="AA1738" s="115" t="s">
        <v>29</v>
      </c>
      <c r="AB1738" s="115" t="s">
        <v>29</v>
      </c>
    </row>
    <row r="1739" spans="1:28" s="106" customFormat="1" x14ac:dyDescent="0.3">
      <c r="A1739" s="104"/>
      <c r="B1739" s="8"/>
      <c r="C1739" s="7" t="s">
        <v>3</v>
      </c>
      <c r="D1739" s="8"/>
      <c r="E1739" s="82">
        <f t="shared" ref="E1739:AB1739" si="195">E1737+E1720+E1709+E1697+E1678+E1659+E1639+E1618+E1592+E1568</f>
        <v>982441.16807000001</v>
      </c>
      <c r="F1739" s="82">
        <f t="shared" si="195"/>
        <v>295040.336388</v>
      </c>
      <c r="G1739" s="82">
        <f t="shared" si="195"/>
        <v>2630</v>
      </c>
      <c r="H1739" s="82">
        <f t="shared" si="195"/>
        <v>956625.82158999995</v>
      </c>
      <c r="I1739" s="82">
        <f t="shared" si="195"/>
        <v>5073.1859999999997</v>
      </c>
      <c r="J1739" s="82">
        <f t="shared" si="195"/>
        <v>1379.847</v>
      </c>
      <c r="K1739" s="82">
        <f t="shared" si="195"/>
        <v>0</v>
      </c>
      <c r="L1739" s="82">
        <f t="shared" si="195"/>
        <v>0</v>
      </c>
      <c r="M1739" s="82">
        <f t="shared" si="195"/>
        <v>297670.336388</v>
      </c>
      <c r="N1739" s="82">
        <f t="shared" si="195"/>
        <v>21549.78557</v>
      </c>
      <c r="O1739" s="82">
        <f t="shared" si="195"/>
        <v>0</v>
      </c>
      <c r="P1739" s="82">
        <f t="shared" si="195"/>
        <v>21549.783000000003</v>
      </c>
      <c r="Q1739" s="82">
        <f t="shared" si="195"/>
        <v>79.082099999999997</v>
      </c>
      <c r="R1739" s="82">
        <f t="shared" si="195"/>
        <v>0</v>
      </c>
      <c r="S1739" s="82">
        <f t="shared" si="195"/>
        <v>0</v>
      </c>
      <c r="T1739" s="82">
        <f t="shared" si="195"/>
        <v>55.7027</v>
      </c>
      <c r="U1739" s="82">
        <f t="shared" si="195"/>
        <v>21605.488269999994</v>
      </c>
      <c r="V1739" s="82">
        <f t="shared" si="195"/>
        <v>317190.12195800006</v>
      </c>
      <c r="W1739" s="82">
        <f t="shared" si="195"/>
        <v>4265.560911999999</v>
      </c>
      <c r="X1739" s="82">
        <f t="shared" si="195"/>
        <v>978175.60459000012</v>
      </c>
      <c r="Y1739" s="82">
        <f t="shared" si="195"/>
        <v>0</v>
      </c>
      <c r="Z1739" s="82">
        <f t="shared" si="195"/>
        <v>4265.5617899999961</v>
      </c>
      <c r="AA1739" s="9">
        <f t="shared" si="195"/>
        <v>319275.82465800003</v>
      </c>
      <c r="AB1739" s="9">
        <f t="shared" si="195"/>
        <v>4209.8582119999992</v>
      </c>
    </row>
    <row r="1740" spans="1:28" x14ac:dyDescent="0.3">
      <c r="A1740" s="117"/>
      <c r="E1740" s="86"/>
      <c r="F1740" s="86"/>
      <c r="G1740" s="86"/>
      <c r="H1740" s="86"/>
      <c r="I1740" s="86"/>
      <c r="J1740" s="86"/>
      <c r="K1740" s="86"/>
      <c r="L1740" s="86"/>
      <c r="M1740" s="86"/>
      <c r="N1740" s="86"/>
      <c r="O1740" s="86"/>
      <c r="P1740" s="86"/>
      <c r="Q1740" s="86"/>
      <c r="R1740" s="86"/>
      <c r="S1740" s="86"/>
      <c r="T1740" s="86"/>
      <c r="U1740" s="86"/>
      <c r="V1740" s="86"/>
      <c r="W1740" s="86"/>
      <c r="X1740" s="86"/>
      <c r="Y1740" s="86"/>
      <c r="Z1740" s="86"/>
      <c r="AA1740" s="115" t="s">
        <v>114</v>
      </c>
      <c r="AB1740" s="115" t="s">
        <v>114</v>
      </c>
    </row>
    <row r="1741" spans="1:28" x14ac:dyDescent="0.3">
      <c r="A1741" s="117"/>
      <c r="E1741" s="86"/>
      <c r="F1741" s="86"/>
      <c r="G1741" s="86"/>
      <c r="H1741" s="86"/>
      <c r="I1741" s="86"/>
      <c r="J1741" s="86"/>
      <c r="K1741" s="86"/>
      <c r="L1741" s="86"/>
      <c r="M1741" s="86"/>
      <c r="N1741" s="86"/>
      <c r="O1741" s="86"/>
      <c r="P1741" s="86"/>
      <c r="Q1741" s="86"/>
      <c r="R1741" s="86"/>
      <c r="S1741" s="86"/>
      <c r="T1741" s="86"/>
      <c r="U1741" s="86"/>
      <c r="V1741" s="86"/>
      <c r="W1741" s="86"/>
      <c r="X1741" s="86"/>
      <c r="Y1741" s="86"/>
      <c r="Z1741" s="86"/>
    </row>
    <row r="1742" spans="1:28" x14ac:dyDescent="0.3">
      <c r="A1742" s="117"/>
      <c r="B1742" s="68" t="s">
        <v>760</v>
      </c>
      <c r="E1742" s="84"/>
      <c r="F1742" s="84"/>
      <c r="G1742" s="84"/>
      <c r="H1742" s="84"/>
      <c r="I1742" s="84"/>
      <c r="J1742" s="84"/>
      <c r="K1742" s="84"/>
      <c r="L1742" s="84"/>
      <c r="M1742" s="84"/>
      <c r="N1742" s="84"/>
      <c r="O1742" s="84"/>
      <c r="P1742" s="84"/>
      <c r="Q1742" s="84"/>
      <c r="R1742" s="86"/>
      <c r="S1742" s="86"/>
      <c r="T1742" s="86"/>
      <c r="U1742" s="86"/>
      <c r="V1742" s="86"/>
      <c r="W1742" s="86"/>
      <c r="X1742" s="86"/>
      <c r="Y1742" s="86"/>
      <c r="Z1742" s="86"/>
    </row>
    <row r="1743" spans="1:28" hidden="1" x14ac:dyDescent="0.3">
      <c r="A1743" s="117"/>
      <c r="B1743" s="68"/>
      <c r="E1743" s="84"/>
      <c r="F1743" s="84"/>
      <c r="G1743" s="84"/>
      <c r="H1743" s="84"/>
      <c r="I1743" s="84"/>
      <c r="J1743" s="84"/>
      <c r="K1743" s="84"/>
      <c r="L1743" s="84"/>
      <c r="M1743" s="84"/>
      <c r="N1743" s="84"/>
      <c r="O1743" s="84"/>
      <c r="P1743" s="84"/>
      <c r="Q1743" s="84"/>
      <c r="R1743" s="86"/>
      <c r="S1743" s="86"/>
      <c r="T1743" s="86"/>
      <c r="U1743" s="86"/>
      <c r="V1743" s="86"/>
      <c r="W1743" s="86"/>
      <c r="X1743" s="86"/>
      <c r="Y1743" s="86"/>
      <c r="Z1743" s="86"/>
    </row>
    <row r="1744" spans="1:28" hidden="1" x14ac:dyDescent="0.3">
      <c r="A1744" s="105"/>
      <c r="E1744" s="84"/>
      <c r="F1744" s="84"/>
      <c r="G1744" s="84"/>
      <c r="H1744" s="84"/>
      <c r="I1744" s="84"/>
      <c r="J1744" s="84"/>
      <c r="K1744" s="84"/>
      <c r="L1744" s="84"/>
      <c r="M1744" s="84"/>
      <c r="N1744" s="84"/>
      <c r="O1744" s="84"/>
      <c r="P1744" s="84"/>
      <c r="Q1744" s="84"/>
      <c r="R1744" s="86"/>
      <c r="S1744" s="86"/>
      <c r="T1744" s="86"/>
      <c r="U1744" s="86"/>
      <c r="V1744" s="86"/>
      <c r="W1744" s="86"/>
      <c r="X1744" s="86"/>
      <c r="Y1744" s="86"/>
      <c r="Z1744" s="86"/>
    </row>
    <row r="1745" spans="1:28" hidden="1" x14ac:dyDescent="0.3">
      <c r="A1745" s="117"/>
      <c r="C1745" s="68" t="s">
        <v>535</v>
      </c>
      <c r="D1745" s="87" t="s">
        <v>68</v>
      </c>
      <c r="E1745" s="85">
        <f>STATS1003B!E1749/1000</f>
        <v>219.27060999999998</v>
      </c>
      <c r="F1745" s="85">
        <f>STATS1003B!F1749/1000</f>
        <v>103.895</v>
      </c>
      <c r="G1745" s="85">
        <f>STATS1003B!G1749/1000</f>
        <v>0</v>
      </c>
      <c r="H1745" s="85">
        <f>STATS1003B!H1749/1000</f>
        <v>103.895</v>
      </c>
      <c r="I1745" s="85">
        <f>STATS1003B!I1749/1000</f>
        <v>0</v>
      </c>
      <c r="J1745" s="85">
        <f>STATS1003B!J1749/1000</f>
        <v>103.895</v>
      </c>
      <c r="K1745" s="85">
        <f>STATS1003B!K1749/1000</f>
        <v>115.37560999999999</v>
      </c>
      <c r="L1745" s="85">
        <f>STATS1003B!L1749/1000</f>
        <v>0</v>
      </c>
      <c r="M1745" s="85">
        <f>STATS1003B!M1749/1000</f>
        <v>103.895</v>
      </c>
      <c r="N1745" s="85">
        <f>STATS1003B!N1749/1000</f>
        <v>115.37560999999999</v>
      </c>
      <c r="O1745" s="85">
        <f>STATS1003B!O1749/1000</f>
        <v>0</v>
      </c>
      <c r="P1745" s="85">
        <f>STATS1003B!P1749/1000</f>
        <v>115.37560999999999</v>
      </c>
      <c r="Q1745" s="85">
        <f>STATS1003B!Q1749/1000</f>
        <v>103.89499999999998</v>
      </c>
      <c r="R1745" s="85">
        <f>STATS1003B!R1749/1000</f>
        <v>0</v>
      </c>
      <c r="S1745" s="85">
        <f>STATS1003B!S1749/1000</f>
        <v>0</v>
      </c>
      <c r="T1745" s="85">
        <f>STATS1003B!T1749/1000</f>
        <v>0</v>
      </c>
      <c r="U1745" s="85">
        <f>STATS1003B!U1749/1000</f>
        <v>115.37560999999999</v>
      </c>
      <c r="V1745" s="85">
        <f>STATS1003B!V1749/1000</f>
        <v>0</v>
      </c>
      <c r="W1745" s="85">
        <f>STATS1003B!W1749/1000</f>
        <v>0</v>
      </c>
      <c r="X1745" s="85">
        <f>STATS1003B!X1749/1000</f>
        <v>219.27060999999998</v>
      </c>
      <c r="Y1745" s="85">
        <f>STATS1003B!Y1749/1000</f>
        <v>0</v>
      </c>
      <c r="Z1745" s="85">
        <f>STATS1003B!Z1749/1000</f>
        <v>0</v>
      </c>
      <c r="AA1745" s="69">
        <f>STATS1003B!AA1749/1000</f>
        <v>219.27060999999998</v>
      </c>
      <c r="AB1745" s="69">
        <f>STATS1003B!AB1749/1000</f>
        <v>0</v>
      </c>
    </row>
    <row r="1746" spans="1:28" hidden="1" x14ac:dyDescent="0.3">
      <c r="A1746" s="117"/>
      <c r="C1746" s="68" t="s">
        <v>539</v>
      </c>
      <c r="D1746" s="87" t="s">
        <v>68</v>
      </c>
      <c r="E1746" s="85">
        <f>STATS1003B!E1750/1000</f>
        <v>759.62135999999998</v>
      </c>
      <c r="F1746" s="85">
        <f>STATS1003B!F1750/1000</f>
        <v>0</v>
      </c>
      <c r="G1746" s="85">
        <f>STATS1003B!G1750/1000</f>
        <v>0</v>
      </c>
      <c r="H1746" s="85">
        <f>STATS1003B!H1750/1000</f>
        <v>0</v>
      </c>
      <c r="I1746" s="85">
        <f>STATS1003B!I1750/1000</f>
        <v>0</v>
      </c>
      <c r="J1746" s="85">
        <f>STATS1003B!J1750/1000</f>
        <v>0</v>
      </c>
      <c r="K1746" s="85">
        <f>STATS1003B!K1750/1000</f>
        <v>759.62135999999998</v>
      </c>
      <c r="L1746" s="85">
        <f>STATS1003B!L1750/1000</f>
        <v>0</v>
      </c>
      <c r="M1746" s="85">
        <f>STATS1003B!M1750/1000</f>
        <v>0</v>
      </c>
      <c r="N1746" s="85">
        <f>STATS1003B!N1750/1000</f>
        <v>759.62135999999998</v>
      </c>
      <c r="O1746" s="85">
        <f>STATS1003B!O1750/1000</f>
        <v>0</v>
      </c>
      <c r="P1746" s="85">
        <f>STATS1003B!P1750/1000</f>
        <v>759.62135999999998</v>
      </c>
      <c r="Q1746" s="85">
        <f>STATS1003B!Q1750/1000</f>
        <v>0</v>
      </c>
      <c r="R1746" s="85">
        <f>STATS1003B!R1750/1000</f>
        <v>0</v>
      </c>
      <c r="S1746" s="85">
        <f>STATS1003B!S1750/1000</f>
        <v>0</v>
      </c>
      <c r="T1746" s="85">
        <f>STATS1003B!T1750/1000</f>
        <v>0</v>
      </c>
      <c r="U1746" s="85">
        <f>STATS1003B!U1750/1000</f>
        <v>759.62135999999998</v>
      </c>
      <c r="V1746" s="85">
        <f>STATS1003B!V1750/1000</f>
        <v>0</v>
      </c>
      <c r="W1746" s="85">
        <f>STATS1003B!W1750/1000</f>
        <v>0</v>
      </c>
      <c r="X1746" s="85">
        <f>STATS1003B!X1750/1000</f>
        <v>759.62135999999998</v>
      </c>
      <c r="Y1746" s="85">
        <f>STATS1003B!Y1750/1000</f>
        <v>0</v>
      </c>
      <c r="Z1746" s="85">
        <f>STATS1003B!Z1750/1000</f>
        <v>0</v>
      </c>
      <c r="AA1746" s="69">
        <f>STATS1003B!AA1750/1000</f>
        <v>759.62135999999998</v>
      </c>
      <c r="AB1746" s="69">
        <f>STATS1003B!AB1750/1000</f>
        <v>0</v>
      </c>
    </row>
    <row r="1747" spans="1:28" hidden="1" x14ac:dyDescent="0.3">
      <c r="A1747" s="117"/>
      <c r="C1747" s="68" t="s">
        <v>535</v>
      </c>
      <c r="D1747" s="87" t="s">
        <v>54</v>
      </c>
      <c r="E1747" s="85">
        <f>STATS1003B!E1751/1000</f>
        <v>838.82899999999995</v>
      </c>
      <c r="F1747" s="85">
        <f>STATS1003B!F1751/1000</f>
        <v>838.82899999999995</v>
      </c>
      <c r="G1747" s="85">
        <f>STATS1003B!G1751/1000</f>
        <v>0</v>
      </c>
      <c r="H1747" s="85">
        <f>STATS1003B!H1751/1000</f>
        <v>838.82899999999995</v>
      </c>
      <c r="I1747" s="85">
        <f>STATS1003B!I1751/1000</f>
        <v>0</v>
      </c>
      <c r="J1747" s="85">
        <f>STATS1003B!J1751/1000</f>
        <v>838.82899999999995</v>
      </c>
      <c r="K1747" s="85">
        <f>STATS1003B!K1751/1000</f>
        <v>0</v>
      </c>
      <c r="L1747" s="85">
        <f>STATS1003B!L1751/1000</f>
        <v>0</v>
      </c>
      <c r="M1747" s="85">
        <f>STATS1003B!M1751/1000</f>
        <v>838.82899999999995</v>
      </c>
      <c r="N1747" s="85">
        <f>STATS1003B!N1751/1000</f>
        <v>0</v>
      </c>
      <c r="O1747" s="85">
        <f>STATS1003B!O1751/1000</f>
        <v>0</v>
      </c>
      <c r="P1747" s="85">
        <f>STATS1003B!P1751/1000</f>
        <v>0</v>
      </c>
      <c r="Q1747" s="85">
        <f>STATS1003B!Q1751/1000</f>
        <v>838.82899999999995</v>
      </c>
      <c r="R1747" s="85">
        <f>STATS1003B!R1751/1000</f>
        <v>0</v>
      </c>
      <c r="S1747" s="85">
        <f>STATS1003B!S1751/1000</f>
        <v>0</v>
      </c>
      <c r="T1747" s="85">
        <f>STATS1003B!T1751/1000</f>
        <v>0</v>
      </c>
      <c r="U1747" s="85">
        <f>STATS1003B!U1751/1000</f>
        <v>0</v>
      </c>
      <c r="V1747" s="85">
        <f>STATS1003B!V1751/1000</f>
        <v>0</v>
      </c>
      <c r="W1747" s="85">
        <f>STATS1003B!W1751/1000</f>
        <v>0</v>
      </c>
      <c r="X1747" s="85">
        <f>STATS1003B!X1751/1000</f>
        <v>838.82899999999995</v>
      </c>
      <c r="Y1747" s="85">
        <f>STATS1003B!Y1751/1000</f>
        <v>0</v>
      </c>
      <c r="Z1747" s="85">
        <f>STATS1003B!Z1751/1000</f>
        <v>0</v>
      </c>
      <c r="AA1747" s="69">
        <f>STATS1003B!AA1751/1000</f>
        <v>838.82899999999995</v>
      </c>
      <c r="AB1747" s="69">
        <f>STATS1003B!AB1751/1000</f>
        <v>0</v>
      </c>
    </row>
    <row r="1748" spans="1:28" hidden="1" x14ac:dyDescent="0.3">
      <c r="A1748" s="117"/>
      <c r="C1748" s="68" t="s">
        <v>545</v>
      </c>
      <c r="D1748" s="87" t="s">
        <v>54</v>
      </c>
      <c r="E1748" s="85">
        <f>STATS1003B!E1752/1000</f>
        <v>1953.989</v>
      </c>
      <c r="F1748" s="85">
        <f>STATS1003B!F1752/1000</f>
        <v>0</v>
      </c>
      <c r="G1748" s="85">
        <f>STATS1003B!G1752/1000</f>
        <v>0</v>
      </c>
      <c r="H1748" s="85">
        <f>STATS1003B!H1752/1000</f>
        <v>0</v>
      </c>
      <c r="I1748" s="85">
        <f>STATS1003B!I1752/1000</f>
        <v>0</v>
      </c>
      <c r="J1748" s="85">
        <f>STATS1003B!J1752/1000</f>
        <v>0</v>
      </c>
      <c r="K1748" s="85">
        <f>STATS1003B!K1752/1000</f>
        <v>1953.989</v>
      </c>
      <c r="L1748" s="85">
        <f>STATS1003B!L1752/1000</f>
        <v>0</v>
      </c>
      <c r="M1748" s="85">
        <f>STATS1003B!M1752/1000</f>
        <v>0</v>
      </c>
      <c r="N1748" s="85">
        <f>STATS1003B!N1752/1000</f>
        <v>1953.989</v>
      </c>
      <c r="O1748" s="85">
        <f>STATS1003B!O1752/1000</f>
        <v>0</v>
      </c>
      <c r="P1748" s="85">
        <f>STATS1003B!P1752/1000</f>
        <v>1953.989</v>
      </c>
      <c r="Q1748" s="85">
        <f>STATS1003B!Q1752/1000</f>
        <v>0</v>
      </c>
      <c r="R1748" s="85">
        <f>STATS1003B!R1752/1000</f>
        <v>0</v>
      </c>
      <c r="S1748" s="85">
        <f>STATS1003B!S1752/1000</f>
        <v>0</v>
      </c>
      <c r="T1748" s="85">
        <f>STATS1003B!T1752/1000</f>
        <v>0</v>
      </c>
      <c r="U1748" s="85">
        <f>STATS1003B!U1752/1000</f>
        <v>1953.989</v>
      </c>
      <c r="V1748" s="85">
        <f>STATS1003B!V1752/1000</f>
        <v>0</v>
      </c>
      <c r="W1748" s="85">
        <f>STATS1003B!W1752/1000</f>
        <v>0</v>
      </c>
      <c r="X1748" s="85">
        <f>STATS1003B!X1752/1000</f>
        <v>1953.989</v>
      </c>
      <c r="Y1748" s="85">
        <f>STATS1003B!Y1752/1000</f>
        <v>0</v>
      </c>
      <c r="Z1748" s="85">
        <f>STATS1003B!Z1752/1000</f>
        <v>0</v>
      </c>
      <c r="AA1748" s="69">
        <f>STATS1003B!AA1752/1000</f>
        <v>1953.989</v>
      </c>
      <c r="AB1748" s="69">
        <f>STATS1003B!AB1752/1000</f>
        <v>0</v>
      </c>
    </row>
    <row r="1749" spans="1:28" hidden="1" x14ac:dyDescent="0.3">
      <c r="A1749" s="117"/>
      <c r="C1749" s="68" t="s">
        <v>535</v>
      </c>
      <c r="D1749" s="87" t="s">
        <v>85</v>
      </c>
      <c r="E1749" s="85">
        <f>STATS1003B!E1753/1000</f>
        <v>2540.3890000000001</v>
      </c>
      <c r="F1749" s="85">
        <f>STATS1003B!F1753/1000</f>
        <v>2540.3890000000001</v>
      </c>
      <c r="G1749" s="85">
        <f>STATS1003B!G1753/1000</f>
        <v>0</v>
      </c>
      <c r="H1749" s="85">
        <f>STATS1003B!H1753/1000</f>
        <v>2540.3890000000001</v>
      </c>
      <c r="I1749" s="85">
        <f>STATS1003B!I1753/1000</f>
        <v>0</v>
      </c>
      <c r="J1749" s="85">
        <f>STATS1003B!J1753/1000</f>
        <v>2540.3890000000001</v>
      </c>
      <c r="K1749" s="85">
        <f>STATS1003B!K1753/1000</f>
        <v>0</v>
      </c>
      <c r="L1749" s="85">
        <f>STATS1003B!L1753/1000</f>
        <v>0</v>
      </c>
      <c r="M1749" s="85">
        <f>STATS1003B!M1753/1000</f>
        <v>2540.3890000000001</v>
      </c>
      <c r="N1749" s="85">
        <f>STATS1003B!N1753/1000</f>
        <v>0</v>
      </c>
      <c r="O1749" s="85">
        <f>STATS1003B!O1753/1000</f>
        <v>0</v>
      </c>
      <c r="P1749" s="85">
        <f>STATS1003B!P1753/1000</f>
        <v>0</v>
      </c>
      <c r="Q1749" s="85">
        <f>STATS1003B!Q1753/1000</f>
        <v>2540.3890000000001</v>
      </c>
      <c r="R1749" s="85">
        <f>STATS1003B!R1753/1000</f>
        <v>0</v>
      </c>
      <c r="S1749" s="85">
        <f>STATS1003B!S1753/1000</f>
        <v>0</v>
      </c>
      <c r="T1749" s="85">
        <f>STATS1003B!T1753/1000</f>
        <v>0</v>
      </c>
      <c r="U1749" s="85">
        <f>STATS1003B!U1753/1000</f>
        <v>0</v>
      </c>
      <c r="V1749" s="85">
        <f>STATS1003B!V1753/1000</f>
        <v>0</v>
      </c>
      <c r="W1749" s="85">
        <f>STATS1003B!W1753/1000</f>
        <v>0</v>
      </c>
      <c r="X1749" s="85">
        <f>STATS1003B!X1753/1000</f>
        <v>2540.3890000000001</v>
      </c>
      <c r="Y1749" s="85">
        <f>STATS1003B!Y1753/1000</f>
        <v>0</v>
      </c>
      <c r="Z1749" s="85">
        <f>STATS1003B!Z1753/1000</f>
        <v>0</v>
      </c>
      <c r="AA1749" s="69">
        <f>STATS1003B!AA1753/1000</f>
        <v>2540.3890000000001</v>
      </c>
      <c r="AB1749" s="69">
        <f>STATS1003B!AB1753/1000</f>
        <v>0</v>
      </c>
    </row>
    <row r="1750" spans="1:28" hidden="1" x14ac:dyDescent="0.3">
      <c r="A1750" s="117"/>
      <c r="C1750" s="68" t="s">
        <v>535</v>
      </c>
      <c r="D1750" s="87" t="s">
        <v>128</v>
      </c>
      <c r="E1750" s="85">
        <f>STATS1003B!E1754/1000</f>
        <v>1200</v>
      </c>
      <c r="F1750" s="85">
        <f>STATS1003B!F1754/1000</f>
        <v>1200</v>
      </c>
      <c r="G1750" s="85">
        <f>STATS1003B!G1754/1000</f>
        <v>0</v>
      </c>
      <c r="H1750" s="85">
        <f>STATS1003B!H1754/1000</f>
        <v>1200</v>
      </c>
      <c r="I1750" s="85">
        <f>STATS1003B!I1754/1000</f>
        <v>0</v>
      </c>
      <c r="J1750" s="85">
        <f>STATS1003B!J1754/1000</f>
        <v>1200</v>
      </c>
      <c r="K1750" s="85">
        <f>STATS1003B!K1754/1000</f>
        <v>0</v>
      </c>
      <c r="L1750" s="85">
        <f>STATS1003B!L1754/1000</f>
        <v>0</v>
      </c>
      <c r="M1750" s="85">
        <f>STATS1003B!M1754/1000</f>
        <v>1200</v>
      </c>
      <c r="N1750" s="85">
        <f>STATS1003B!N1754/1000</f>
        <v>0</v>
      </c>
      <c r="O1750" s="85">
        <f>STATS1003B!O1754/1000</f>
        <v>0</v>
      </c>
      <c r="P1750" s="85">
        <f>STATS1003B!P1754/1000</f>
        <v>0</v>
      </c>
      <c r="Q1750" s="85">
        <f>STATS1003B!Q1754/1000</f>
        <v>1200</v>
      </c>
      <c r="R1750" s="85">
        <f>STATS1003B!R1754/1000</f>
        <v>0</v>
      </c>
      <c r="S1750" s="85">
        <f>STATS1003B!S1754/1000</f>
        <v>0</v>
      </c>
      <c r="T1750" s="85">
        <f>STATS1003B!T1754/1000</f>
        <v>0</v>
      </c>
      <c r="U1750" s="85">
        <f>STATS1003B!U1754/1000</f>
        <v>0</v>
      </c>
      <c r="V1750" s="85">
        <f>STATS1003B!V1754/1000</f>
        <v>0</v>
      </c>
      <c r="W1750" s="85">
        <f>STATS1003B!W1754/1000</f>
        <v>0</v>
      </c>
      <c r="X1750" s="85">
        <f>STATS1003B!X1754/1000</f>
        <v>1200</v>
      </c>
      <c r="Y1750" s="85">
        <f>STATS1003B!Y1754/1000</f>
        <v>0</v>
      </c>
      <c r="Z1750" s="85">
        <f>STATS1003B!Z1754/1000</f>
        <v>0</v>
      </c>
      <c r="AA1750" s="69">
        <f>STATS1003B!AA1754/1000</f>
        <v>1200</v>
      </c>
      <c r="AB1750" s="69">
        <f>STATS1003B!AB1754/1000</f>
        <v>0</v>
      </c>
    </row>
    <row r="1751" spans="1:28" hidden="1" x14ac:dyDescent="0.3">
      <c r="A1751" s="117"/>
      <c r="C1751" s="68" t="s">
        <v>535</v>
      </c>
      <c r="D1751" s="87" t="s">
        <v>60</v>
      </c>
      <c r="E1751" s="85">
        <f>STATS1003B!E1755/1000</f>
        <v>2334.0659999999998</v>
      </c>
      <c r="F1751" s="85">
        <f>STATS1003B!F1755/1000</f>
        <v>2334.0659999999998</v>
      </c>
      <c r="G1751" s="85">
        <f>STATS1003B!G1755/1000</f>
        <v>0</v>
      </c>
      <c r="H1751" s="85">
        <f>STATS1003B!H1755/1000</f>
        <v>2334.0659999999998</v>
      </c>
      <c r="I1751" s="85">
        <f>STATS1003B!I1755/1000</f>
        <v>0</v>
      </c>
      <c r="J1751" s="85">
        <f>STATS1003B!J1755/1000</f>
        <v>2334.0659999999998</v>
      </c>
      <c r="K1751" s="85">
        <f>STATS1003B!K1755/1000</f>
        <v>0</v>
      </c>
      <c r="L1751" s="85">
        <f>STATS1003B!L1755/1000</f>
        <v>0</v>
      </c>
      <c r="M1751" s="85">
        <f>STATS1003B!M1755/1000</f>
        <v>2334.0659999999998</v>
      </c>
      <c r="N1751" s="85">
        <f>STATS1003B!N1755/1000</f>
        <v>0</v>
      </c>
      <c r="O1751" s="85">
        <f>STATS1003B!O1755/1000</f>
        <v>0</v>
      </c>
      <c r="P1751" s="85">
        <f>STATS1003B!P1755/1000</f>
        <v>0</v>
      </c>
      <c r="Q1751" s="85">
        <f>STATS1003B!Q1755/1000</f>
        <v>2334.0659999999998</v>
      </c>
      <c r="R1751" s="85">
        <f>STATS1003B!R1755/1000</f>
        <v>0</v>
      </c>
      <c r="S1751" s="85">
        <f>STATS1003B!S1755/1000</f>
        <v>0</v>
      </c>
      <c r="T1751" s="85">
        <f>STATS1003B!T1755/1000</f>
        <v>0</v>
      </c>
      <c r="U1751" s="85">
        <f>STATS1003B!U1755/1000</f>
        <v>0</v>
      </c>
      <c r="V1751" s="85">
        <f>STATS1003B!V1755/1000</f>
        <v>0</v>
      </c>
      <c r="W1751" s="85">
        <f>STATS1003B!W1755/1000</f>
        <v>0</v>
      </c>
      <c r="X1751" s="85">
        <f>STATS1003B!X1755/1000</f>
        <v>2334.0659999999998</v>
      </c>
      <c r="Y1751" s="85">
        <f>STATS1003B!Y1755/1000</f>
        <v>0</v>
      </c>
      <c r="Z1751" s="85">
        <f>STATS1003B!Z1755/1000</f>
        <v>0</v>
      </c>
      <c r="AA1751" s="69">
        <f>STATS1003B!AA1755/1000</f>
        <v>2334.0659999999998</v>
      </c>
      <c r="AB1751" s="69">
        <f>STATS1003B!AB1755/1000</f>
        <v>0</v>
      </c>
    </row>
    <row r="1752" spans="1:28" hidden="1" x14ac:dyDescent="0.3">
      <c r="A1752" s="117"/>
      <c r="C1752" s="71" t="s">
        <v>535</v>
      </c>
      <c r="D1752" s="88" t="s">
        <v>73</v>
      </c>
      <c r="E1752" s="85">
        <f>STATS1003B!E1756/1000</f>
        <v>1579.0152399999999</v>
      </c>
      <c r="F1752" s="85">
        <f>STATS1003B!F1756/1000</f>
        <v>1579.0152399999999</v>
      </c>
      <c r="G1752" s="85">
        <f>STATS1003B!G1756/1000</f>
        <v>0</v>
      </c>
      <c r="H1752" s="85">
        <f>STATS1003B!H1756/1000</f>
        <v>1579.0152399999999</v>
      </c>
      <c r="I1752" s="85">
        <f>STATS1003B!I1756/1000</f>
        <v>0</v>
      </c>
      <c r="J1752" s="85">
        <f>STATS1003B!J1756/1000</f>
        <v>1579.0152399999999</v>
      </c>
      <c r="K1752" s="85">
        <f>STATS1003B!K1756/1000</f>
        <v>0</v>
      </c>
      <c r="L1752" s="85">
        <f>STATS1003B!L1756/1000</f>
        <v>0</v>
      </c>
      <c r="M1752" s="85">
        <f>STATS1003B!M1756/1000</f>
        <v>1579.0152399999999</v>
      </c>
      <c r="N1752" s="85">
        <f>STATS1003B!N1756/1000</f>
        <v>0</v>
      </c>
      <c r="O1752" s="85">
        <f>STATS1003B!O1756/1000</f>
        <v>0</v>
      </c>
      <c r="P1752" s="85">
        <f>STATS1003B!P1756/1000</f>
        <v>0</v>
      </c>
      <c r="Q1752" s="85">
        <f>STATS1003B!Q1756/1000</f>
        <v>1579.0152399999999</v>
      </c>
      <c r="R1752" s="85">
        <f>STATS1003B!R1756/1000</f>
        <v>0</v>
      </c>
      <c r="S1752" s="85">
        <f>STATS1003B!S1756/1000</f>
        <v>0</v>
      </c>
      <c r="T1752" s="85">
        <f>STATS1003B!T1756/1000</f>
        <v>0</v>
      </c>
      <c r="U1752" s="85">
        <f>STATS1003B!U1756/1000</f>
        <v>0</v>
      </c>
      <c r="V1752" s="85">
        <f>STATS1003B!V1756/1000</f>
        <v>0</v>
      </c>
      <c r="W1752" s="85">
        <f>STATS1003B!W1756/1000</f>
        <v>0</v>
      </c>
      <c r="X1752" s="85">
        <f>STATS1003B!X1756/1000</f>
        <v>1579.0152399999999</v>
      </c>
      <c r="Y1752" s="85">
        <f>STATS1003B!Y1756/1000</f>
        <v>0</v>
      </c>
      <c r="Z1752" s="85">
        <f>STATS1003B!Z1756/1000</f>
        <v>0</v>
      </c>
      <c r="AA1752" s="69">
        <f>STATS1003B!AA1756/1000</f>
        <v>1579.0152399999999</v>
      </c>
      <c r="AB1752" s="69">
        <f>STATS1003B!AB1756/1000</f>
        <v>0</v>
      </c>
    </row>
    <row r="1753" spans="1:28" hidden="1" x14ac:dyDescent="0.3">
      <c r="A1753" s="117"/>
      <c r="B1753" s="71" t="s">
        <v>762</v>
      </c>
      <c r="C1753" s="71" t="s">
        <v>535</v>
      </c>
      <c r="D1753" s="88" t="s">
        <v>61</v>
      </c>
      <c r="E1753" s="85">
        <f>STATS1003B!E1757/1000</f>
        <v>1357.2180000000001</v>
      </c>
      <c r="F1753" s="85">
        <f>STATS1003B!F1757/1000</f>
        <v>1357.2180000000001</v>
      </c>
      <c r="G1753" s="85">
        <f>STATS1003B!G1757/1000</f>
        <v>0</v>
      </c>
      <c r="H1753" s="85">
        <f>STATS1003B!H1757/1000</f>
        <v>1357.2180000000001</v>
      </c>
      <c r="I1753" s="85">
        <f>STATS1003B!I1757/1000</f>
        <v>0</v>
      </c>
      <c r="J1753" s="85">
        <f>STATS1003B!J1757/1000</f>
        <v>1357.2180000000001</v>
      </c>
      <c r="K1753" s="85">
        <f>STATS1003B!K1757/1000</f>
        <v>0</v>
      </c>
      <c r="L1753" s="85">
        <f>STATS1003B!L1757/1000</f>
        <v>0</v>
      </c>
      <c r="M1753" s="85">
        <f>STATS1003B!M1757/1000</f>
        <v>1357.2180000000001</v>
      </c>
      <c r="N1753" s="85">
        <f>STATS1003B!N1757/1000</f>
        <v>0</v>
      </c>
      <c r="O1753" s="85">
        <f>STATS1003B!O1757/1000</f>
        <v>0</v>
      </c>
      <c r="P1753" s="85">
        <f>STATS1003B!P1757/1000</f>
        <v>0</v>
      </c>
      <c r="Q1753" s="85">
        <f>STATS1003B!Q1757/1000</f>
        <v>1357.2180000000001</v>
      </c>
      <c r="R1753" s="85">
        <f>STATS1003B!R1757/1000</f>
        <v>0</v>
      </c>
      <c r="S1753" s="85">
        <f>STATS1003B!S1757/1000</f>
        <v>0</v>
      </c>
      <c r="T1753" s="85">
        <f>STATS1003B!T1757/1000</f>
        <v>0</v>
      </c>
      <c r="U1753" s="85">
        <f>STATS1003B!U1757/1000</f>
        <v>0</v>
      </c>
      <c r="V1753" s="85">
        <f>STATS1003B!V1757/1000</f>
        <v>0</v>
      </c>
      <c r="W1753" s="85">
        <f>STATS1003B!W1757/1000</f>
        <v>0</v>
      </c>
      <c r="X1753" s="85">
        <f>STATS1003B!X1757/1000</f>
        <v>1357.2180000000001</v>
      </c>
      <c r="Y1753" s="85">
        <f>STATS1003B!Y1757/1000</f>
        <v>0</v>
      </c>
      <c r="Z1753" s="85">
        <f>STATS1003B!Z1757/1000</f>
        <v>0</v>
      </c>
      <c r="AA1753" s="69">
        <f>STATS1003B!AA1757/1000</f>
        <v>1357.2180000000001</v>
      </c>
      <c r="AB1753" s="69">
        <f>STATS1003B!AB1757/1000</f>
        <v>0</v>
      </c>
    </row>
    <row r="1754" spans="1:28" hidden="1" x14ac:dyDescent="0.3">
      <c r="A1754" s="117"/>
      <c r="B1754" s="71"/>
      <c r="C1754" s="71" t="s">
        <v>1120</v>
      </c>
      <c r="D1754" s="89" t="s">
        <v>1072</v>
      </c>
      <c r="E1754" s="85">
        <f>STATS1003B!E1758/1000</f>
        <v>70</v>
      </c>
      <c r="F1754" s="85">
        <f>STATS1003B!F1758/1000</f>
        <v>70</v>
      </c>
      <c r="G1754" s="85">
        <f>STATS1003B!G1758/1000</f>
        <v>0</v>
      </c>
      <c r="H1754" s="85">
        <f>STATS1003B!H1758/1000</f>
        <v>70</v>
      </c>
      <c r="I1754" s="85">
        <f>STATS1003B!I1758/1000</f>
        <v>0</v>
      </c>
      <c r="J1754" s="85">
        <f>STATS1003B!J1758/1000</f>
        <v>70</v>
      </c>
      <c r="K1754" s="85">
        <f>STATS1003B!K1758/1000</f>
        <v>0</v>
      </c>
      <c r="L1754" s="85">
        <f>STATS1003B!L1758/1000</f>
        <v>0</v>
      </c>
      <c r="M1754" s="85">
        <f>STATS1003B!M1758/1000</f>
        <v>70</v>
      </c>
      <c r="N1754" s="85">
        <f>STATS1003B!N1758/1000</f>
        <v>0</v>
      </c>
      <c r="O1754" s="85">
        <f>STATS1003B!O1758/1000</f>
        <v>0</v>
      </c>
      <c r="P1754" s="85">
        <f>STATS1003B!P1758/1000</f>
        <v>0</v>
      </c>
      <c r="Q1754" s="85">
        <f>STATS1003B!Q1758/1000</f>
        <v>70</v>
      </c>
      <c r="R1754" s="85">
        <f>STATS1003B!R1758/1000</f>
        <v>0</v>
      </c>
      <c r="S1754" s="85">
        <f>STATS1003B!S1758/1000</f>
        <v>0</v>
      </c>
      <c r="T1754" s="85">
        <f>STATS1003B!T1758/1000</f>
        <v>0</v>
      </c>
      <c r="U1754" s="85">
        <f>STATS1003B!U1758/1000</f>
        <v>0</v>
      </c>
      <c r="V1754" s="85">
        <f>STATS1003B!V1758/1000</f>
        <v>0</v>
      </c>
      <c r="W1754" s="85">
        <f>STATS1003B!W1758/1000</f>
        <v>0</v>
      </c>
      <c r="X1754" s="85">
        <f>STATS1003B!X1758/1000</f>
        <v>70</v>
      </c>
      <c r="Y1754" s="85">
        <f>STATS1003B!Y1758/1000</f>
        <v>0</v>
      </c>
      <c r="Z1754" s="85">
        <f>STATS1003B!Z1758/1000</f>
        <v>0</v>
      </c>
      <c r="AA1754" s="69">
        <f>STATS1003B!AA1758/1000</f>
        <v>70</v>
      </c>
      <c r="AB1754" s="69">
        <f>STATS1003B!AB1758/1000</f>
        <v>0</v>
      </c>
    </row>
    <row r="1755" spans="1:28" hidden="1" x14ac:dyDescent="0.3">
      <c r="A1755" s="117"/>
      <c r="B1755" s="71"/>
      <c r="C1755" s="71" t="s">
        <v>933</v>
      </c>
      <c r="D1755" s="89" t="s">
        <v>1072</v>
      </c>
      <c r="E1755" s="85">
        <f>STATS1003B!E1759/1000</f>
        <v>1139</v>
      </c>
      <c r="F1755" s="85">
        <f>STATS1003B!F1759/1000</f>
        <v>1139</v>
      </c>
      <c r="G1755" s="85">
        <f>STATS1003B!G1759/1000</f>
        <v>0</v>
      </c>
      <c r="H1755" s="85">
        <f>STATS1003B!H1759/1000</f>
        <v>1139</v>
      </c>
      <c r="I1755" s="85">
        <f>STATS1003B!I1759/1000</f>
        <v>0</v>
      </c>
      <c r="J1755" s="85">
        <f>STATS1003B!J1759/1000</f>
        <v>1139</v>
      </c>
      <c r="K1755" s="85">
        <f>STATS1003B!K1759/1000</f>
        <v>0</v>
      </c>
      <c r="L1755" s="85">
        <f>STATS1003B!L1759/1000</f>
        <v>0</v>
      </c>
      <c r="M1755" s="85">
        <f>STATS1003B!M1759/1000</f>
        <v>1139</v>
      </c>
      <c r="N1755" s="85">
        <f>STATS1003B!N1759/1000</f>
        <v>0</v>
      </c>
      <c r="O1755" s="85">
        <f>STATS1003B!O1759/1000</f>
        <v>0</v>
      </c>
      <c r="P1755" s="85">
        <f>STATS1003B!P1759/1000</f>
        <v>0</v>
      </c>
      <c r="Q1755" s="85">
        <f>STATS1003B!Q1759/1000</f>
        <v>0</v>
      </c>
      <c r="R1755" s="85">
        <f>STATS1003B!R1759/1000</f>
        <v>0</v>
      </c>
      <c r="S1755" s="85">
        <f>STATS1003B!S1759/1000</f>
        <v>0</v>
      </c>
      <c r="T1755" s="85">
        <f>STATS1003B!T1759/1000</f>
        <v>0</v>
      </c>
      <c r="U1755" s="85">
        <f>STATS1003B!U1759/1000</f>
        <v>0</v>
      </c>
      <c r="V1755" s="85">
        <f>STATS1003B!V1759/1000</f>
        <v>0</v>
      </c>
      <c r="W1755" s="85">
        <f>STATS1003B!W1759/1000</f>
        <v>0</v>
      </c>
      <c r="X1755" s="85">
        <f>STATS1003B!X1759/1000</f>
        <v>1139</v>
      </c>
      <c r="Y1755" s="85">
        <f>STATS1003B!Y1759/1000</f>
        <v>0</v>
      </c>
      <c r="Z1755" s="85">
        <f>STATS1003B!Z1759/1000</f>
        <v>0</v>
      </c>
      <c r="AA1755" s="69">
        <f>STATS1003B!AA1759/1000</f>
        <v>1139</v>
      </c>
      <c r="AB1755" s="69">
        <f>STATS1003B!AB1759/1000</f>
        <v>0</v>
      </c>
    </row>
    <row r="1756" spans="1:28" hidden="1" x14ac:dyDescent="0.3">
      <c r="A1756" s="117"/>
      <c r="C1756" s="68" t="s">
        <v>592</v>
      </c>
      <c r="E1756" s="85">
        <f>STATS1003B!E1760/1000</f>
        <v>373.18334999999996</v>
      </c>
      <c r="F1756" s="85">
        <f>STATS1003B!F1760/1000</f>
        <v>373.18334999999996</v>
      </c>
      <c r="G1756" s="85">
        <f>STATS1003B!G1760/1000</f>
        <v>0</v>
      </c>
      <c r="H1756" s="85">
        <f>STATS1003B!H1760/1000</f>
        <v>373.18334999999996</v>
      </c>
      <c r="I1756" s="85">
        <f>STATS1003B!I1760/1000</f>
        <v>0</v>
      </c>
      <c r="J1756" s="85">
        <f>STATS1003B!J1760/1000</f>
        <v>373.18334999999996</v>
      </c>
      <c r="K1756" s="85">
        <f>STATS1003B!K1760/1000</f>
        <v>0</v>
      </c>
      <c r="L1756" s="85">
        <f>STATS1003B!L1760/1000</f>
        <v>0</v>
      </c>
      <c r="M1756" s="85">
        <f>STATS1003B!M1760/1000</f>
        <v>373.18334999999996</v>
      </c>
      <c r="N1756" s="85">
        <f>STATS1003B!N1760/1000</f>
        <v>0</v>
      </c>
      <c r="O1756" s="85">
        <f>STATS1003B!O1760/1000</f>
        <v>0</v>
      </c>
      <c r="P1756" s="85">
        <f>STATS1003B!P1760/1000</f>
        <v>0</v>
      </c>
      <c r="Q1756" s="85">
        <f>STATS1003B!Q1760/1000</f>
        <v>373.18334999999996</v>
      </c>
      <c r="R1756" s="85">
        <f>STATS1003B!R1760/1000</f>
        <v>0</v>
      </c>
      <c r="S1756" s="85">
        <f>STATS1003B!S1760/1000</f>
        <v>0</v>
      </c>
      <c r="T1756" s="85">
        <f>STATS1003B!T1760/1000</f>
        <v>0</v>
      </c>
      <c r="U1756" s="85">
        <f>STATS1003B!U1760/1000</f>
        <v>0</v>
      </c>
      <c r="V1756" s="85">
        <f>STATS1003B!V1760/1000</f>
        <v>0</v>
      </c>
      <c r="W1756" s="85">
        <f>STATS1003B!W1760/1000</f>
        <v>0</v>
      </c>
      <c r="X1756" s="85">
        <f>STATS1003B!X1760/1000</f>
        <v>373.18334999999996</v>
      </c>
      <c r="Y1756" s="85">
        <f>STATS1003B!Y1760/1000</f>
        <v>0</v>
      </c>
      <c r="Z1756" s="85">
        <f>STATS1003B!Z1760/1000</f>
        <v>0</v>
      </c>
      <c r="AA1756" s="69">
        <f>STATS1003B!AA1760/1000</f>
        <v>373.18334999999996</v>
      </c>
      <c r="AB1756" s="69">
        <f>STATS1003B!AB1760/1000</f>
        <v>0</v>
      </c>
    </row>
    <row r="1757" spans="1:28" hidden="1" x14ac:dyDescent="0.3">
      <c r="A1757" s="117"/>
      <c r="E1757" s="86" t="s">
        <v>29</v>
      </c>
      <c r="F1757" s="86" t="s">
        <v>29</v>
      </c>
      <c r="G1757" s="86" t="s">
        <v>29</v>
      </c>
      <c r="H1757" s="86" t="s">
        <v>29</v>
      </c>
      <c r="I1757" s="86" t="s">
        <v>29</v>
      </c>
      <c r="J1757" s="86" t="s">
        <v>29</v>
      </c>
      <c r="K1757" s="86" t="s">
        <v>29</v>
      </c>
      <c r="L1757" s="86" t="s">
        <v>29</v>
      </c>
      <c r="M1757" s="86" t="s">
        <v>29</v>
      </c>
      <c r="N1757" s="86" t="s">
        <v>29</v>
      </c>
      <c r="O1757" s="86" t="s">
        <v>29</v>
      </c>
      <c r="P1757" s="86" t="s">
        <v>29</v>
      </c>
      <c r="Q1757" s="86" t="s">
        <v>29</v>
      </c>
      <c r="R1757" s="86"/>
      <c r="S1757" s="86"/>
      <c r="T1757" s="86"/>
      <c r="U1757" s="86" t="s">
        <v>29</v>
      </c>
      <c r="V1757" s="86" t="s">
        <v>29</v>
      </c>
      <c r="W1757" s="86" t="s">
        <v>29</v>
      </c>
      <c r="X1757" s="86"/>
      <c r="Y1757" s="86" t="s">
        <v>29</v>
      </c>
      <c r="Z1757" s="86"/>
      <c r="AA1757" s="115"/>
      <c r="AB1757" s="115"/>
    </row>
    <row r="1758" spans="1:28" x14ac:dyDescent="0.3">
      <c r="A1758" s="116">
        <v>76</v>
      </c>
      <c r="B1758" s="68" t="s">
        <v>761</v>
      </c>
      <c r="E1758" s="85">
        <f>88693185.77/1000</f>
        <v>88693.185769999996</v>
      </c>
      <c r="F1758" s="85">
        <f t="shared" ref="F1758:Q1758" si="196">SUM(F1745:F1757)</f>
        <v>11535.595590000001</v>
      </c>
      <c r="G1758" s="85">
        <f t="shared" si="196"/>
        <v>0</v>
      </c>
      <c r="H1758" s="85">
        <f>85864199.8/1000</f>
        <v>85864.199800000002</v>
      </c>
      <c r="I1758" s="85">
        <f t="shared" si="196"/>
        <v>0</v>
      </c>
      <c r="J1758" s="85">
        <f t="shared" si="196"/>
        <v>11535.595590000001</v>
      </c>
      <c r="K1758" s="85">
        <f t="shared" si="196"/>
        <v>2828.9859699999997</v>
      </c>
      <c r="L1758" s="85">
        <f t="shared" si="196"/>
        <v>0</v>
      </c>
      <c r="M1758" s="85">
        <f t="shared" si="196"/>
        <v>11535.595590000001</v>
      </c>
      <c r="N1758" s="85">
        <f t="shared" si="196"/>
        <v>2828.9859699999997</v>
      </c>
      <c r="O1758" s="85">
        <f t="shared" si="196"/>
        <v>0</v>
      </c>
      <c r="P1758" s="85">
        <f>2828985/1000</f>
        <v>2828.9850000000001</v>
      </c>
      <c r="Q1758" s="85">
        <f t="shared" si="196"/>
        <v>10396.595590000001</v>
      </c>
      <c r="R1758" s="86"/>
      <c r="S1758" s="86"/>
      <c r="T1758" s="85">
        <f>SUM(T1745:T1757)</f>
        <v>0</v>
      </c>
      <c r="U1758" s="85">
        <f>SUM(U1745:U1757)</f>
        <v>2828.9859699999997</v>
      </c>
      <c r="V1758" s="85">
        <f>SUM(V1745:V1757)</f>
        <v>0</v>
      </c>
      <c r="W1758" s="85">
        <f>SUM(W1745:W1757)</f>
        <v>0</v>
      </c>
      <c r="X1758" s="85">
        <f t="shared" ref="X1758:X1821" si="197">+H1758+P1758</f>
        <v>88693.184800000003</v>
      </c>
      <c r="Y1758" s="84"/>
      <c r="Z1758" s="85">
        <f>+E1758-X1758</f>
        <v>9.6999999368563294E-4</v>
      </c>
      <c r="AA1758" s="69">
        <f>SUM(AA1745:AA1756)</f>
        <v>14364.581560000001</v>
      </c>
      <c r="AB1758" s="69">
        <f>+G1758-Z1758</f>
        <v>-9.6999999368563294E-4</v>
      </c>
    </row>
    <row r="1759" spans="1:28" hidden="1" x14ac:dyDescent="0.3">
      <c r="A1759" s="117"/>
      <c r="E1759" s="86" t="s">
        <v>29</v>
      </c>
      <c r="F1759" s="86" t="s">
        <v>29</v>
      </c>
      <c r="G1759" s="86" t="s">
        <v>29</v>
      </c>
      <c r="H1759" s="86" t="s">
        <v>29</v>
      </c>
      <c r="I1759" s="86" t="s">
        <v>29</v>
      </c>
      <c r="J1759" s="86" t="s">
        <v>29</v>
      </c>
      <c r="K1759" s="86" t="s">
        <v>29</v>
      </c>
      <c r="L1759" s="86" t="s">
        <v>29</v>
      </c>
      <c r="M1759" s="86" t="s">
        <v>29</v>
      </c>
      <c r="N1759" s="86" t="s">
        <v>29</v>
      </c>
      <c r="O1759" s="86" t="s">
        <v>29</v>
      </c>
      <c r="P1759" s="86" t="s">
        <v>29</v>
      </c>
      <c r="Q1759" s="86" t="s">
        <v>29</v>
      </c>
      <c r="R1759" s="86"/>
      <c r="S1759" s="86"/>
      <c r="T1759" s="86"/>
      <c r="U1759" s="86" t="s">
        <v>29</v>
      </c>
      <c r="V1759" s="86" t="s">
        <v>29</v>
      </c>
      <c r="W1759" s="86" t="s">
        <v>29</v>
      </c>
      <c r="X1759" s="85" t="e">
        <f t="shared" si="197"/>
        <v>#VALUE!</v>
      </c>
      <c r="Y1759" s="86" t="s">
        <v>29</v>
      </c>
      <c r="Z1759" s="86"/>
      <c r="AA1759" s="115" t="s">
        <v>29</v>
      </c>
      <c r="AB1759" s="115" t="s">
        <v>29</v>
      </c>
    </row>
    <row r="1760" spans="1:28" hidden="1" x14ac:dyDescent="0.3">
      <c r="A1760" s="105"/>
      <c r="E1760" s="84"/>
      <c r="F1760" s="84"/>
      <c r="G1760" s="84"/>
      <c r="H1760" s="84"/>
      <c r="I1760" s="84"/>
      <c r="J1760" s="84"/>
      <c r="K1760" s="84"/>
      <c r="L1760" s="84"/>
      <c r="M1760" s="84"/>
      <c r="N1760" s="84"/>
      <c r="O1760" s="84"/>
      <c r="P1760" s="84"/>
      <c r="Q1760" s="84"/>
      <c r="R1760" s="86"/>
      <c r="S1760" s="86"/>
      <c r="T1760" s="86"/>
      <c r="U1760" s="86"/>
      <c r="V1760" s="86"/>
      <c r="W1760" s="86"/>
      <c r="X1760" s="85">
        <f t="shared" si="197"/>
        <v>0</v>
      </c>
      <c r="Y1760" s="86"/>
      <c r="Z1760" s="97"/>
      <c r="AA1760" s="118"/>
    </row>
    <row r="1761" spans="1:28" hidden="1" x14ac:dyDescent="0.3">
      <c r="A1761" s="117"/>
      <c r="C1761" s="68" t="s">
        <v>535</v>
      </c>
      <c r="D1761" s="87" t="s">
        <v>68</v>
      </c>
      <c r="E1761" s="85">
        <f>STATS1003B!E1765/1000</f>
        <v>1155.3854099999999</v>
      </c>
      <c r="F1761" s="85">
        <f>STATS1003B!F1765/1000</f>
        <v>542.54399999999998</v>
      </c>
      <c r="G1761" s="85">
        <f>STATS1003B!G1765/1000</f>
        <v>0</v>
      </c>
      <c r="H1761" s="85">
        <f>STATS1003B!H1765/1000</f>
        <v>542.54399999999998</v>
      </c>
      <c r="I1761" s="85">
        <f>STATS1003B!I1765/1000</f>
        <v>0</v>
      </c>
      <c r="J1761" s="85">
        <f>STATS1003B!J1765/1000</f>
        <v>542.54399999999998</v>
      </c>
      <c r="K1761" s="85">
        <f>STATS1003B!K1765/1000</f>
        <v>612.84141</v>
      </c>
      <c r="L1761" s="85">
        <f>STATS1003B!L1765/1000</f>
        <v>0</v>
      </c>
      <c r="M1761" s="85">
        <f>STATS1003B!M1765/1000</f>
        <v>542.54399999999998</v>
      </c>
      <c r="N1761" s="85">
        <f>STATS1003B!N1765/1000</f>
        <v>612.84141</v>
      </c>
      <c r="O1761" s="85">
        <f>STATS1003B!O1765/1000</f>
        <v>0</v>
      </c>
      <c r="P1761" s="85">
        <f>STATS1003B!P1765/1000</f>
        <v>612.84141</v>
      </c>
      <c r="Q1761" s="85">
        <f>STATS1003B!Q1765/1000</f>
        <v>542.54399999999987</v>
      </c>
      <c r="R1761" s="85">
        <f>STATS1003B!R1765/1000</f>
        <v>0</v>
      </c>
      <c r="S1761" s="85">
        <f>STATS1003B!S1765/1000</f>
        <v>0</v>
      </c>
      <c r="T1761" s="85">
        <f>STATS1003B!T1765/1000</f>
        <v>0</v>
      </c>
      <c r="U1761" s="85">
        <f>STATS1003B!U1765/1000</f>
        <v>612.84141</v>
      </c>
      <c r="V1761" s="85">
        <f>STATS1003B!V1765/1000</f>
        <v>0</v>
      </c>
      <c r="W1761" s="85">
        <f>STATS1003B!W1765/1000</f>
        <v>0</v>
      </c>
      <c r="X1761" s="85">
        <f t="shared" si="197"/>
        <v>1155.3854099999999</v>
      </c>
      <c r="Y1761" s="85">
        <f>STATS1003B!Y1765/1000</f>
        <v>0</v>
      </c>
      <c r="Z1761" s="85">
        <f>STATS1003B!Z1765/1000</f>
        <v>0</v>
      </c>
      <c r="AA1761" s="69">
        <f>STATS1003B!AA1765/1000</f>
        <v>1155.3854100000001</v>
      </c>
      <c r="AB1761" s="69">
        <f>STATS1003B!AB1765/1000</f>
        <v>0</v>
      </c>
    </row>
    <row r="1762" spans="1:28" hidden="1" x14ac:dyDescent="0.3">
      <c r="A1762" s="117"/>
      <c r="C1762" s="68" t="s">
        <v>539</v>
      </c>
      <c r="D1762" s="87" t="s">
        <v>68</v>
      </c>
      <c r="E1762" s="85">
        <f>STATS1003B!E1766/1000</f>
        <v>314.5</v>
      </c>
      <c r="F1762" s="85">
        <f>STATS1003B!F1766/1000</f>
        <v>0</v>
      </c>
      <c r="G1762" s="85">
        <f>STATS1003B!G1766/1000</f>
        <v>0</v>
      </c>
      <c r="H1762" s="85">
        <f>STATS1003B!H1766/1000</f>
        <v>0</v>
      </c>
      <c r="I1762" s="85">
        <f>STATS1003B!I1766/1000</f>
        <v>0</v>
      </c>
      <c r="J1762" s="85">
        <f>STATS1003B!J1766/1000</f>
        <v>0</v>
      </c>
      <c r="K1762" s="85">
        <f>STATS1003B!K1766/1000</f>
        <v>314.5</v>
      </c>
      <c r="L1762" s="85">
        <f>STATS1003B!L1766/1000</f>
        <v>0</v>
      </c>
      <c r="M1762" s="85">
        <f>STATS1003B!M1766/1000</f>
        <v>0</v>
      </c>
      <c r="N1762" s="85">
        <f>STATS1003B!N1766/1000</f>
        <v>314.5</v>
      </c>
      <c r="O1762" s="85">
        <f>STATS1003B!O1766/1000</f>
        <v>0</v>
      </c>
      <c r="P1762" s="85">
        <f>STATS1003B!P1766/1000</f>
        <v>314.5</v>
      </c>
      <c r="Q1762" s="85">
        <f>STATS1003B!Q1766/1000</f>
        <v>0</v>
      </c>
      <c r="R1762" s="85">
        <f>STATS1003B!R1766/1000</f>
        <v>0</v>
      </c>
      <c r="S1762" s="85">
        <f>STATS1003B!S1766/1000</f>
        <v>0</v>
      </c>
      <c r="T1762" s="85">
        <f>STATS1003B!T1766/1000</f>
        <v>0</v>
      </c>
      <c r="U1762" s="85">
        <f>STATS1003B!U1766/1000</f>
        <v>314.5</v>
      </c>
      <c r="V1762" s="85">
        <f>STATS1003B!V1766/1000</f>
        <v>0</v>
      </c>
      <c r="W1762" s="85">
        <f>STATS1003B!W1766/1000</f>
        <v>0</v>
      </c>
      <c r="X1762" s="85">
        <f t="shared" si="197"/>
        <v>314.5</v>
      </c>
      <c r="Y1762" s="85">
        <f>STATS1003B!Y1766/1000</f>
        <v>0</v>
      </c>
      <c r="Z1762" s="85">
        <f>STATS1003B!Z1766/1000</f>
        <v>0</v>
      </c>
      <c r="AA1762" s="69">
        <f>STATS1003B!AA1766/1000</f>
        <v>314.5</v>
      </c>
      <c r="AB1762" s="69">
        <f>STATS1003B!AB1766/1000</f>
        <v>0</v>
      </c>
    </row>
    <row r="1763" spans="1:28" hidden="1" x14ac:dyDescent="0.3">
      <c r="A1763" s="117"/>
      <c r="C1763" s="68" t="s">
        <v>535</v>
      </c>
      <c r="D1763" s="87" t="s">
        <v>54</v>
      </c>
      <c r="E1763" s="85">
        <f>STATS1003B!E1767/1000</f>
        <v>408.5</v>
      </c>
      <c r="F1763" s="85">
        <f>STATS1003B!F1767/1000</f>
        <v>408.5</v>
      </c>
      <c r="G1763" s="85">
        <f>STATS1003B!G1767/1000</f>
        <v>0</v>
      </c>
      <c r="H1763" s="85">
        <f>STATS1003B!H1767/1000</f>
        <v>408.5</v>
      </c>
      <c r="I1763" s="85">
        <f>STATS1003B!I1767/1000</f>
        <v>0</v>
      </c>
      <c r="J1763" s="85">
        <f>STATS1003B!J1767/1000</f>
        <v>408.5</v>
      </c>
      <c r="K1763" s="85">
        <f>STATS1003B!K1767/1000</f>
        <v>0</v>
      </c>
      <c r="L1763" s="85">
        <f>STATS1003B!L1767/1000</f>
        <v>0</v>
      </c>
      <c r="M1763" s="85">
        <f>STATS1003B!M1767/1000</f>
        <v>408.5</v>
      </c>
      <c r="N1763" s="85">
        <f>STATS1003B!N1767/1000</f>
        <v>0</v>
      </c>
      <c r="O1763" s="85">
        <f>STATS1003B!O1767/1000</f>
        <v>0</v>
      </c>
      <c r="P1763" s="85">
        <f>STATS1003B!P1767/1000</f>
        <v>0</v>
      </c>
      <c r="Q1763" s="85">
        <f>STATS1003B!Q1767/1000</f>
        <v>408.5</v>
      </c>
      <c r="R1763" s="85">
        <f>STATS1003B!R1767/1000</f>
        <v>0</v>
      </c>
      <c r="S1763" s="85">
        <f>STATS1003B!S1767/1000</f>
        <v>0</v>
      </c>
      <c r="T1763" s="85">
        <f>STATS1003B!T1767/1000</f>
        <v>0</v>
      </c>
      <c r="U1763" s="85">
        <f>STATS1003B!U1767/1000</f>
        <v>0</v>
      </c>
      <c r="V1763" s="85">
        <f>STATS1003B!V1767/1000</f>
        <v>0</v>
      </c>
      <c r="W1763" s="85">
        <f>STATS1003B!W1767/1000</f>
        <v>0</v>
      </c>
      <c r="X1763" s="85">
        <f t="shared" si="197"/>
        <v>408.5</v>
      </c>
      <c r="Y1763" s="85">
        <f>STATS1003B!Y1767/1000</f>
        <v>0</v>
      </c>
      <c r="Z1763" s="85">
        <f>STATS1003B!Z1767/1000</f>
        <v>0</v>
      </c>
      <c r="AA1763" s="69">
        <f>STATS1003B!AA1767/1000</f>
        <v>408.5</v>
      </c>
      <c r="AB1763" s="69">
        <f>STATS1003B!AB1767/1000</f>
        <v>0</v>
      </c>
    </row>
    <row r="1764" spans="1:28" hidden="1" x14ac:dyDescent="0.3">
      <c r="A1764" s="117"/>
      <c r="C1764" s="68" t="s">
        <v>545</v>
      </c>
      <c r="D1764" s="87" t="s">
        <v>54</v>
      </c>
      <c r="E1764" s="85">
        <f>STATS1003B!E1768/1000</f>
        <v>1953.989</v>
      </c>
      <c r="F1764" s="85">
        <f>STATS1003B!F1768/1000</f>
        <v>0</v>
      </c>
      <c r="G1764" s="85">
        <f>STATS1003B!G1768/1000</f>
        <v>0</v>
      </c>
      <c r="H1764" s="85">
        <f>STATS1003B!H1768/1000</f>
        <v>0</v>
      </c>
      <c r="I1764" s="85">
        <f>STATS1003B!I1768/1000</f>
        <v>0</v>
      </c>
      <c r="J1764" s="85">
        <f>STATS1003B!J1768/1000</f>
        <v>0</v>
      </c>
      <c r="K1764" s="85">
        <f>STATS1003B!K1768/1000</f>
        <v>1953.989</v>
      </c>
      <c r="L1764" s="85">
        <f>STATS1003B!L1768/1000</f>
        <v>0</v>
      </c>
      <c r="M1764" s="85">
        <f>STATS1003B!M1768/1000</f>
        <v>0</v>
      </c>
      <c r="N1764" s="85">
        <f>STATS1003B!N1768/1000</f>
        <v>1953.989</v>
      </c>
      <c r="O1764" s="85">
        <f>STATS1003B!O1768/1000</f>
        <v>0</v>
      </c>
      <c r="P1764" s="85">
        <f>STATS1003B!P1768/1000</f>
        <v>1953.989</v>
      </c>
      <c r="Q1764" s="85">
        <f>STATS1003B!Q1768/1000</f>
        <v>0</v>
      </c>
      <c r="R1764" s="85">
        <f>STATS1003B!R1768/1000</f>
        <v>0</v>
      </c>
      <c r="S1764" s="85">
        <f>STATS1003B!S1768/1000</f>
        <v>0</v>
      </c>
      <c r="T1764" s="85">
        <f>STATS1003B!T1768/1000</f>
        <v>0</v>
      </c>
      <c r="U1764" s="85">
        <f>STATS1003B!U1768/1000</f>
        <v>1953.989</v>
      </c>
      <c r="V1764" s="85">
        <f>STATS1003B!V1768/1000</f>
        <v>0</v>
      </c>
      <c r="W1764" s="85">
        <f>STATS1003B!W1768/1000</f>
        <v>0</v>
      </c>
      <c r="X1764" s="85">
        <f t="shared" si="197"/>
        <v>1953.989</v>
      </c>
      <c r="Y1764" s="85">
        <f>STATS1003B!Y1768/1000</f>
        <v>0</v>
      </c>
      <c r="Z1764" s="85">
        <f>STATS1003B!Z1768/1000</f>
        <v>0</v>
      </c>
      <c r="AA1764" s="69">
        <f>STATS1003B!AA1768/1000</f>
        <v>1953.989</v>
      </c>
      <c r="AB1764" s="69">
        <f>STATS1003B!AB1768/1000</f>
        <v>0</v>
      </c>
    </row>
    <row r="1765" spans="1:28" hidden="1" x14ac:dyDescent="0.3">
      <c r="A1765" s="117"/>
      <c r="C1765" s="68" t="s">
        <v>535</v>
      </c>
      <c r="D1765" s="87" t="s">
        <v>85</v>
      </c>
      <c r="E1765" s="85">
        <f>STATS1003B!E1769/1000</f>
        <v>716.35299999999995</v>
      </c>
      <c r="F1765" s="85">
        <f>STATS1003B!F1769/1000</f>
        <v>716.35299999999995</v>
      </c>
      <c r="G1765" s="85">
        <f>STATS1003B!G1769/1000</f>
        <v>0</v>
      </c>
      <c r="H1765" s="85">
        <f>STATS1003B!H1769/1000</f>
        <v>716.35299999999995</v>
      </c>
      <c r="I1765" s="85">
        <f>STATS1003B!I1769/1000</f>
        <v>0</v>
      </c>
      <c r="J1765" s="85">
        <f>STATS1003B!J1769/1000</f>
        <v>716.35299999999995</v>
      </c>
      <c r="K1765" s="85">
        <f>STATS1003B!K1769/1000</f>
        <v>0</v>
      </c>
      <c r="L1765" s="85">
        <f>STATS1003B!L1769/1000</f>
        <v>0</v>
      </c>
      <c r="M1765" s="85">
        <f>STATS1003B!M1769/1000</f>
        <v>716.35299999999995</v>
      </c>
      <c r="N1765" s="85">
        <f>STATS1003B!N1769/1000</f>
        <v>0</v>
      </c>
      <c r="O1765" s="85">
        <f>STATS1003B!O1769/1000</f>
        <v>0</v>
      </c>
      <c r="P1765" s="85">
        <f>STATS1003B!P1769/1000</f>
        <v>0</v>
      </c>
      <c r="Q1765" s="85">
        <f>STATS1003B!Q1769/1000</f>
        <v>716.35299999999995</v>
      </c>
      <c r="R1765" s="85">
        <f>STATS1003B!R1769/1000</f>
        <v>0</v>
      </c>
      <c r="S1765" s="85">
        <f>STATS1003B!S1769/1000</f>
        <v>0</v>
      </c>
      <c r="T1765" s="85">
        <f>STATS1003B!T1769/1000</f>
        <v>0</v>
      </c>
      <c r="U1765" s="85">
        <f>STATS1003B!U1769/1000</f>
        <v>0</v>
      </c>
      <c r="V1765" s="85">
        <f>STATS1003B!V1769/1000</f>
        <v>0</v>
      </c>
      <c r="W1765" s="85">
        <f>STATS1003B!W1769/1000</f>
        <v>0</v>
      </c>
      <c r="X1765" s="85">
        <f t="shared" si="197"/>
        <v>716.35299999999995</v>
      </c>
      <c r="Y1765" s="85">
        <f>STATS1003B!Y1769/1000</f>
        <v>0</v>
      </c>
      <c r="Z1765" s="85">
        <f>STATS1003B!Z1769/1000</f>
        <v>0</v>
      </c>
      <c r="AA1765" s="69">
        <f>STATS1003B!AA1769/1000</f>
        <v>716.35299999999995</v>
      </c>
      <c r="AB1765" s="69">
        <f>STATS1003B!AB1769/1000</f>
        <v>0</v>
      </c>
    </row>
    <row r="1766" spans="1:28" hidden="1" x14ac:dyDescent="0.3">
      <c r="A1766" s="117"/>
      <c r="E1766" s="86" t="s">
        <v>29</v>
      </c>
      <c r="F1766" s="86" t="s">
        <v>29</v>
      </c>
      <c r="G1766" s="86" t="s">
        <v>29</v>
      </c>
      <c r="H1766" s="86" t="s">
        <v>29</v>
      </c>
      <c r="I1766" s="86" t="s">
        <v>29</v>
      </c>
      <c r="J1766" s="86" t="s">
        <v>29</v>
      </c>
      <c r="K1766" s="86" t="s">
        <v>29</v>
      </c>
      <c r="L1766" s="86" t="s">
        <v>29</v>
      </c>
      <c r="M1766" s="86" t="s">
        <v>29</v>
      </c>
      <c r="N1766" s="86" t="s">
        <v>29</v>
      </c>
      <c r="O1766" s="86" t="s">
        <v>29</v>
      </c>
      <c r="P1766" s="86" t="s">
        <v>29</v>
      </c>
      <c r="Q1766" s="86" t="s">
        <v>29</v>
      </c>
      <c r="R1766" s="86"/>
      <c r="S1766" s="86"/>
      <c r="T1766" s="86"/>
      <c r="U1766" s="86" t="s">
        <v>29</v>
      </c>
      <c r="V1766" s="86" t="s">
        <v>29</v>
      </c>
      <c r="W1766" s="86" t="s">
        <v>29</v>
      </c>
      <c r="X1766" s="85" t="e">
        <f t="shared" si="197"/>
        <v>#VALUE!</v>
      </c>
      <c r="Y1766" s="86" t="s">
        <v>29</v>
      </c>
      <c r="Z1766" s="86"/>
      <c r="AA1766" s="115"/>
      <c r="AB1766" s="115"/>
    </row>
    <row r="1767" spans="1:28" x14ac:dyDescent="0.3">
      <c r="A1767" s="116">
        <v>77</v>
      </c>
      <c r="B1767" s="68" t="s">
        <v>763</v>
      </c>
      <c r="E1767" s="85">
        <f>43878810.2/1000</f>
        <v>43878.8102</v>
      </c>
      <c r="F1767" s="85">
        <f t="shared" ref="F1767:Q1767" si="198">SUM(F1761:F1766)</f>
        <v>1667.3969999999999</v>
      </c>
      <c r="G1767" s="85">
        <f t="shared" si="198"/>
        <v>0</v>
      </c>
      <c r="H1767" s="85">
        <f>40997479.79/1000</f>
        <v>40997.479789999998</v>
      </c>
      <c r="I1767" s="85">
        <f t="shared" si="198"/>
        <v>0</v>
      </c>
      <c r="J1767" s="85">
        <f t="shared" si="198"/>
        <v>1667.3969999999999</v>
      </c>
      <c r="K1767" s="85">
        <f t="shared" si="198"/>
        <v>2881.33041</v>
      </c>
      <c r="L1767" s="85">
        <f t="shared" si="198"/>
        <v>0</v>
      </c>
      <c r="M1767" s="85">
        <f t="shared" si="198"/>
        <v>1667.3969999999999</v>
      </c>
      <c r="N1767" s="85">
        <f t="shared" si="198"/>
        <v>2881.33041</v>
      </c>
      <c r="O1767" s="85">
        <f t="shared" si="198"/>
        <v>0</v>
      </c>
      <c r="P1767" s="85">
        <f>2881330/1000</f>
        <v>2881.33</v>
      </c>
      <c r="Q1767" s="85">
        <f t="shared" si="198"/>
        <v>1667.3969999999999</v>
      </c>
      <c r="R1767" s="86"/>
      <c r="S1767" s="86"/>
      <c r="T1767" s="85">
        <f>SUM(T1761:T1766)</f>
        <v>0</v>
      </c>
      <c r="U1767" s="85">
        <f>SUM(U1761:U1766)</f>
        <v>2881.33041</v>
      </c>
      <c r="V1767" s="85">
        <f>SUM(V1761:V1766)</f>
        <v>0</v>
      </c>
      <c r="W1767" s="85">
        <f>SUM(W1761:W1766)</f>
        <v>0</v>
      </c>
      <c r="X1767" s="85">
        <f t="shared" si="197"/>
        <v>43878.809789999999</v>
      </c>
      <c r="Y1767" s="84"/>
      <c r="Z1767" s="85">
        <f t="shared" ref="Z1767:Z1830" si="199">+E1767-X1767</f>
        <v>4.1000000055646524E-4</v>
      </c>
      <c r="AA1767" s="69">
        <f>SUM(AA1761:AA1765)</f>
        <v>4548.7274100000004</v>
      </c>
      <c r="AB1767" s="69">
        <f>+G1767-Z1767</f>
        <v>-4.1000000055646524E-4</v>
      </c>
    </row>
    <row r="1768" spans="1:28" hidden="1" x14ac:dyDescent="0.3">
      <c r="A1768" s="117"/>
      <c r="E1768" s="86" t="s">
        <v>29</v>
      </c>
      <c r="F1768" s="86" t="s">
        <v>29</v>
      </c>
      <c r="G1768" s="86" t="s">
        <v>29</v>
      </c>
      <c r="H1768" s="86" t="s">
        <v>29</v>
      </c>
      <c r="I1768" s="86" t="s">
        <v>29</v>
      </c>
      <c r="J1768" s="86" t="s">
        <v>29</v>
      </c>
      <c r="K1768" s="86" t="s">
        <v>29</v>
      </c>
      <c r="L1768" s="86" t="s">
        <v>29</v>
      </c>
      <c r="M1768" s="86" t="s">
        <v>29</v>
      </c>
      <c r="N1768" s="86" t="s">
        <v>29</v>
      </c>
      <c r="O1768" s="86" t="s">
        <v>29</v>
      </c>
      <c r="P1768" s="86" t="s">
        <v>29</v>
      </c>
      <c r="Q1768" s="86" t="s">
        <v>29</v>
      </c>
      <c r="R1768" s="86"/>
      <c r="S1768" s="86"/>
      <c r="T1768" s="86"/>
      <c r="U1768" s="86" t="s">
        <v>29</v>
      </c>
      <c r="V1768" s="86" t="s">
        <v>29</v>
      </c>
      <c r="W1768" s="86" t="s">
        <v>29</v>
      </c>
      <c r="X1768" s="85" t="e">
        <f t="shared" si="197"/>
        <v>#VALUE!</v>
      </c>
      <c r="Y1768" s="86" t="s">
        <v>29</v>
      </c>
      <c r="Z1768" s="85" t="e">
        <f t="shared" si="199"/>
        <v>#VALUE!</v>
      </c>
      <c r="AA1768" s="115"/>
      <c r="AB1768" s="115"/>
    </row>
    <row r="1769" spans="1:28" hidden="1" x14ac:dyDescent="0.3">
      <c r="A1769" s="105"/>
      <c r="E1769" s="84"/>
      <c r="F1769" s="84"/>
      <c r="G1769" s="84"/>
      <c r="H1769" s="84"/>
      <c r="I1769" s="84"/>
      <c r="J1769" s="84"/>
      <c r="K1769" s="84"/>
      <c r="L1769" s="84"/>
      <c r="M1769" s="84"/>
      <c r="N1769" s="84"/>
      <c r="O1769" s="84"/>
      <c r="P1769" s="84"/>
      <c r="Q1769" s="84"/>
      <c r="R1769" s="86"/>
      <c r="S1769" s="86"/>
      <c r="T1769" s="86"/>
      <c r="U1769" s="92"/>
      <c r="V1769" s="86"/>
      <c r="W1769" s="86"/>
      <c r="X1769" s="85">
        <f t="shared" si="197"/>
        <v>0</v>
      </c>
      <c r="Y1769" s="86"/>
      <c r="Z1769" s="85">
        <f t="shared" si="199"/>
        <v>0</v>
      </c>
      <c r="AA1769" s="118"/>
    </row>
    <row r="1770" spans="1:28" hidden="1" x14ac:dyDescent="0.3">
      <c r="A1770" s="117"/>
      <c r="C1770" s="68" t="s">
        <v>539</v>
      </c>
      <c r="D1770" s="87" t="s">
        <v>68</v>
      </c>
      <c r="E1770" s="85">
        <f>STATS1003B!E1774/1000</f>
        <v>391.67975000000001</v>
      </c>
      <c r="F1770" s="85">
        <f>STATS1003B!F1774/1000</f>
        <v>0</v>
      </c>
      <c r="G1770" s="85">
        <f>STATS1003B!G1774/1000</f>
        <v>0</v>
      </c>
      <c r="H1770" s="85">
        <f>STATS1003B!H1774/1000</f>
        <v>0</v>
      </c>
      <c r="I1770" s="85">
        <f>STATS1003B!I1774/1000</f>
        <v>0</v>
      </c>
      <c r="J1770" s="85">
        <f>STATS1003B!J1774/1000</f>
        <v>0</v>
      </c>
      <c r="K1770" s="85">
        <f>STATS1003B!K1774/1000</f>
        <v>391.67975000000001</v>
      </c>
      <c r="L1770" s="85">
        <f>STATS1003B!L1774/1000</f>
        <v>0</v>
      </c>
      <c r="M1770" s="85">
        <f>STATS1003B!M1774/1000</f>
        <v>0</v>
      </c>
      <c r="N1770" s="85">
        <f>STATS1003B!N1774/1000</f>
        <v>391.67975000000001</v>
      </c>
      <c r="O1770" s="85">
        <f>STATS1003B!O1774/1000</f>
        <v>0</v>
      </c>
      <c r="P1770" s="85">
        <f>STATS1003B!P1774/1000</f>
        <v>391.67975000000001</v>
      </c>
      <c r="Q1770" s="85">
        <f>STATS1003B!Q1774/1000</f>
        <v>0</v>
      </c>
      <c r="R1770" s="85">
        <f>STATS1003B!R1774/1000</f>
        <v>0</v>
      </c>
      <c r="S1770" s="85">
        <f>STATS1003B!S1774/1000</f>
        <v>0</v>
      </c>
      <c r="T1770" s="85">
        <f>STATS1003B!T1774/1000</f>
        <v>0</v>
      </c>
      <c r="U1770" s="85">
        <f>STATS1003B!U1774/1000</f>
        <v>391.67975000000001</v>
      </c>
      <c r="V1770" s="85">
        <f>STATS1003B!V1774/1000</f>
        <v>0</v>
      </c>
      <c r="W1770" s="85">
        <f>STATS1003B!W1774/1000</f>
        <v>0</v>
      </c>
      <c r="X1770" s="85">
        <f t="shared" si="197"/>
        <v>391.67975000000001</v>
      </c>
      <c r="Y1770" s="85">
        <f>STATS1003B!Y1774/1000</f>
        <v>0</v>
      </c>
      <c r="Z1770" s="85">
        <f t="shared" si="199"/>
        <v>0</v>
      </c>
      <c r="AA1770" s="69">
        <f>STATS1003B!AA1774/1000</f>
        <v>391.67975000000001</v>
      </c>
      <c r="AB1770" s="69">
        <f>STATS1003B!AB1774/1000</f>
        <v>0</v>
      </c>
    </row>
    <row r="1771" spans="1:28" hidden="1" x14ac:dyDescent="0.3">
      <c r="A1771" s="117"/>
      <c r="C1771" s="68" t="s">
        <v>535</v>
      </c>
      <c r="D1771" s="87" t="s">
        <v>68</v>
      </c>
      <c r="E1771" s="85">
        <f>STATS1003B!E1775/1000</f>
        <v>1717</v>
      </c>
      <c r="F1771" s="85">
        <f>STATS1003B!F1775/1000</f>
        <v>596.23</v>
      </c>
      <c r="G1771" s="85">
        <f>STATS1003B!G1775/1000</f>
        <v>0</v>
      </c>
      <c r="H1771" s="85">
        <f>STATS1003B!H1775/1000</f>
        <v>596.23</v>
      </c>
      <c r="I1771" s="85">
        <f>STATS1003B!I1775/1000</f>
        <v>0</v>
      </c>
      <c r="J1771" s="85">
        <f>STATS1003B!J1775/1000</f>
        <v>596.23</v>
      </c>
      <c r="K1771" s="85">
        <f>STATS1003B!K1775/1000</f>
        <v>1120.77</v>
      </c>
      <c r="L1771" s="85">
        <f>STATS1003B!L1775/1000</f>
        <v>0</v>
      </c>
      <c r="M1771" s="85">
        <f>STATS1003B!M1775/1000</f>
        <v>596.23</v>
      </c>
      <c r="N1771" s="85">
        <f>STATS1003B!N1775/1000</f>
        <v>1120.77</v>
      </c>
      <c r="O1771" s="85">
        <f>STATS1003B!O1775/1000</f>
        <v>0</v>
      </c>
      <c r="P1771" s="85">
        <f>STATS1003B!P1775/1000</f>
        <v>1120.77</v>
      </c>
      <c r="Q1771" s="85">
        <f>STATS1003B!Q1775/1000</f>
        <v>596.23</v>
      </c>
      <c r="R1771" s="85">
        <f>STATS1003B!R1775/1000</f>
        <v>0</v>
      </c>
      <c r="S1771" s="85">
        <f>STATS1003B!S1775/1000</f>
        <v>0</v>
      </c>
      <c r="T1771" s="85">
        <f>STATS1003B!T1775/1000</f>
        <v>0</v>
      </c>
      <c r="U1771" s="85">
        <f>STATS1003B!U1775/1000</f>
        <v>1120.77</v>
      </c>
      <c r="V1771" s="85">
        <f>STATS1003B!V1775/1000</f>
        <v>0</v>
      </c>
      <c r="W1771" s="85">
        <f>STATS1003B!W1775/1000</f>
        <v>0</v>
      </c>
      <c r="X1771" s="85">
        <f t="shared" si="197"/>
        <v>1717</v>
      </c>
      <c r="Y1771" s="85">
        <f>STATS1003B!Y1775/1000</f>
        <v>0</v>
      </c>
      <c r="Z1771" s="85">
        <f t="shared" si="199"/>
        <v>0</v>
      </c>
      <c r="AA1771" s="69">
        <f>STATS1003B!AA1775/1000</f>
        <v>1717</v>
      </c>
      <c r="AB1771" s="69">
        <f>STATS1003B!AB1775/1000</f>
        <v>0</v>
      </c>
    </row>
    <row r="1772" spans="1:28" hidden="1" x14ac:dyDescent="0.3">
      <c r="A1772" s="117"/>
      <c r="C1772" s="68" t="s">
        <v>545</v>
      </c>
      <c r="D1772" s="87" t="s">
        <v>54</v>
      </c>
      <c r="E1772" s="85">
        <f>STATS1003B!E1776/1000</f>
        <v>1767.77</v>
      </c>
      <c r="F1772" s="85">
        <f>STATS1003B!F1776/1000</f>
        <v>0</v>
      </c>
      <c r="G1772" s="85">
        <f>STATS1003B!G1776/1000</f>
        <v>0</v>
      </c>
      <c r="H1772" s="85">
        <f>STATS1003B!H1776/1000</f>
        <v>0</v>
      </c>
      <c r="I1772" s="85">
        <f>STATS1003B!I1776/1000</f>
        <v>0</v>
      </c>
      <c r="J1772" s="85">
        <f>STATS1003B!J1776/1000</f>
        <v>0</v>
      </c>
      <c r="K1772" s="85">
        <f>STATS1003B!K1776/1000</f>
        <v>1767.77</v>
      </c>
      <c r="L1772" s="85">
        <f>STATS1003B!L1776/1000</f>
        <v>0</v>
      </c>
      <c r="M1772" s="85">
        <f>STATS1003B!M1776/1000</f>
        <v>0</v>
      </c>
      <c r="N1772" s="85">
        <f>STATS1003B!N1776/1000</f>
        <v>1767.77</v>
      </c>
      <c r="O1772" s="85">
        <f>STATS1003B!O1776/1000</f>
        <v>0</v>
      </c>
      <c r="P1772" s="85">
        <f>STATS1003B!P1776/1000</f>
        <v>1767.77</v>
      </c>
      <c r="Q1772" s="85">
        <f>STATS1003B!Q1776/1000</f>
        <v>0</v>
      </c>
      <c r="R1772" s="85">
        <f>STATS1003B!R1776/1000</f>
        <v>0</v>
      </c>
      <c r="S1772" s="85">
        <f>STATS1003B!S1776/1000</f>
        <v>0</v>
      </c>
      <c r="T1772" s="85">
        <f>STATS1003B!T1776/1000</f>
        <v>0</v>
      </c>
      <c r="U1772" s="85">
        <f>STATS1003B!U1776/1000</f>
        <v>1767.77</v>
      </c>
      <c r="V1772" s="85">
        <f>STATS1003B!V1776/1000</f>
        <v>0</v>
      </c>
      <c r="W1772" s="85">
        <f>STATS1003B!W1776/1000</f>
        <v>0</v>
      </c>
      <c r="X1772" s="85">
        <f t="shared" si="197"/>
        <v>1767.77</v>
      </c>
      <c r="Y1772" s="85">
        <f>STATS1003B!Y1776/1000</f>
        <v>0</v>
      </c>
      <c r="Z1772" s="85">
        <f t="shared" si="199"/>
        <v>0</v>
      </c>
      <c r="AA1772" s="69">
        <f>STATS1003B!AA1776/1000</f>
        <v>1767.77</v>
      </c>
      <c r="AB1772" s="69">
        <f>STATS1003B!AB1776/1000</f>
        <v>0</v>
      </c>
    </row>
    <row r="1773" spans="1:28" hidden="1" x14ac:dyDescent="0.3">
      <c r="A1773" s="117"/>
      <c r="C1773" s="68" t="s">
        <v>535</v>
      </c>
      <c r="D1773" s="87" t="s">
        <v>54</v>
      </c>
      <c r="E1773" s="85">
        <f>STATS1003B!E1777/1000</f>
        <v>1245.45</v>
      </c>
      <c r="F1773" s="85">
        <f>STATS1003B!F1777/1000</f>
        <v>1245.45</v>
      </c>
      <c r="G1773" s="85">
        <f>STATS1003B!G1777/1000</f>
        <v>0</v>
      </c>
      <c r="H1773" s="85">
        <f>STATS1003B!H1777/1000</f>
        <v>1245.45</v>
      </c>
      <c r="I1773" s="85">
        <f>STATS1003B!I1777/1000</f>
        <v>0</v>
      </c>
      <c r="J1773" s="85">
        <f>STATS1003B!J1777/1000</f>
        <v>1245.45</v>
      </c>
      <c r="K1773" s="85">
        <f>STATS1003B!K1777/1000</f>
        <v>0</v>
      </c>
      <c r="L1773" s="85">
        <f>STATS1003B!L1777/1000</f>
        <v>0</v>
      </c>
      <c r="M1773" s="85">
        <f>STATS1003B!M1777/1000</f>
        <v>1245.45</v>
      </c>
      <c r="N1773" s="85">
        <f>STATS1003B!N1777/1000</f>
        <v>0</v>
      </c>
      <c r="O1773" s="85">
        <f>STATS1003B!O1777/1000</f>
        <v>0</v>
      </c>
      <c r="P1773" s="85">
        <f>STATS1003B!P1777/1000</f>
        <v>0</v>
      </c>
      <c r="Q1773" s="85">
        <f>STATS1003B!Q1777/1000</f>
        <v>1245.45</v>
      </c>
      <c r="R1773" s="85">
        <f>STATS1003B!R1777/1000</f>
        <v>0</v>
      </c>
      <c r="S1773" s="85">
        <f>STATS1003B!S1777/1000</f>
        <v>0</v>
      </c>
      <c r="T1773" s="85">
        <f>STATS1003B!T1777/1000</f>
        <v>0</v>
      </c>
      <c r="U1773" s="85">
        <f>STATS1003B!U1777/1000</f>
        <v>0</v>
      </c>
      <c r="V1773" s="85">
        <f>STATS1003B!V1777/1000</f>
        <v>0</v>
      </c>
      <c r="W1773" s="85">
        <f>STATS1003B!W1777/1000</f>
        <v>0</v>
      </c>
      <c r="X1773" s="85">
        <f t="shared" si="197"/>
        <v>1245.45</v>
      </c>
      <c r="Y1773" s="85">
        <f>STATS1003B!Y1777/1000</f>
        <v>0</v>
      </c>
      <c r="Z1773" s="85">
        <f t="shared" si="199"/>
        <v>0</v>
      </c>
      <c r="AA1773" s="69">
        <f>STATS1003B!AA1777/1000</f>
        <v>1245.45</v>
      </c>
      <c r="AB1773" s="69">
        <f>STATS1003B!AB1777/1000</f>
        <v>0</v>
      </c>
    </row>
    <row r="1774" spans="1:28" hidden="1" x14ac:dyDescent="0.3">
      <c r="A1774" s="117"/>
      <c r="C1774" s="68" t="s">
        <v>535</v>
      </c>
      <c r="D1774" s="87" t="s">
        <v>85</v>
      </c>
      <c r="E1774" s="85">
        <f>STATS1003B!E1778/1000</f>
        <v>2267.1</v>
      </c>
      <c r="F1774" s="85">
        <f>STATS1003B!F1778/1000</f>
        <v>2267.1</v>
      </c>
      <c r="G1774" s="85">
        <f>STATS1003B!G1778/1000</f>
        <v>0</v>
      </c>
      <c r="H1774" s="85">
        <f>STATS1003B!H1778/1000</f>
        <v>2267.1</v>
      </c>
      <c r="I1774" s="85">
        <f>STATS1003B!I1778/1000</f>
        <v>0</v>
      </c>
      <c r="J1774" s="85">
        <f>STATS1003B!J1778/1000</f>
        <v>2267.1</v>
      </c>
      <c r="K1774" s="85">
        <f>STATS1003B!K1778/1000</f>
        <v>0</v>
      </c>
      <c r="L1774" s="85">
        <f>STATS1003B!L1778/1000</f>
        <v>0</v>
      </c>
      <c r="M1774" s="85">
        <f>STATS1003B!M1778/1000</f>
        <v>2267.1</v>
      </c>
      <c r="N1774" s="85">
        <f>STATS1003B!N1778/1000</f>
        <v>0</v>
      </c>
      <c r="O1774" s="85">
        <f>STATS1003B!O1778/1000</f>
        <v>0</v>
      </c>
      <c r="P1774" s="85">
        <f>STATS1003B!P1778/1000</f>
        <v>0</v>
      </c>
      <c r="Q1774" s="85">
        <f>STATS1003B!Q1778/1000</f>
        <v>2267.1</v>
      </c>
      <c r="R1774" s="85">
        <f>STATS1003B!R1778/1000</f>
        <v>0</v>
      </c>
      <c r="S1774" s="85">
        <f>STATS1003B!S1778/1000</f>
        <v>0</v>
      </c>
      <c r="T1774" s="85">
        <f>STATS1003B!T1778/1000</f>
        <v>0</v>
      </c>
      <c r="U1774" s="85">
        <f>STATS1003B!U1778/1000</f>
        <v>0</v>
      </c>
      <c r="V1774" s="85">
        <f>STATS1003B!V1778/1000</f>
        <v>0</v>
      </c>
      <c r="W1774" s="85">
        <f>STATS1003B!W1778/1000</f>
        <v>0</v>
      </c>
      <c r="X1774" s="85">
        <f t="shared" si="197"/>
        <v>2267.1</v>
      </c>
      <c r="Y1774" s="85">
        <f>STATS1003B!Y1778/1000</f>
        <v>0</v>
      </c>
      <c r="Z1774" s="85">
        <f t="shared" si="199"/>
        <v>0</v>
      </c>
      <c r="AA1774" s="69">
        <f>STATS1003B!AA1778/1000</f>
        <v>2267.1</v>
      </c>
      <c r="AB1774" s="69">
        <f>STATS1003B!AB1778/1000</f>
        <v>0</v>
      </c>
    </row>
    <row r="1775" spans="1:28" hidden="1" x14ac:dyDescent="0.3">
      <c r="A1775" s="117"/>
      <c r="C1775" s="68" t="s">
        <v>535</v>
      </c>
      <c r="D1775" s="87" t="s">
        <v>128</v>
      </c>
      <c r="E1775" s="85">
        <f>STATS1003B!E1779/1000</f>
        <v>869.94500000000005</v>
      </c>
      <c r="F1775" s="85">
        <f>STATS1003B!F1779/1000</f>
        <v>869.94500000000005</v>
      </c>
      <c r="G1775" s="85">
        <f>STATS1003B!G1779/1000</f>
        <v>0</v>
      </c>
      <c r="H1775" s="85">
        <f>STATS1003B!H1779/1000</f>
        <v>869.94500000000005</v>
      </c>
      <c r="I1775" s="85">
        <f>STATS1003B!I1779/1000</f>
        <v>0</v>
      </c>
      <c r="J1775" s="85">
        <f>STATS1003B!J1779/1000</f>
        <v>869.94500000000005</v>
      </c>
      <c r="K1775" s="85">
        <f>STATS1003B!K1779/1000</f>
        <v>0</v>
      </c>
      <c r="L1775" s="85">
        <f>STATS1003B!L1779/1000</f>
        <v>0</v>
      </c>
      <c r="M1775" s="85">
        <f>STATS1003B!M1779/1000</f>
        <v>869.94500000000005</v>
      </c>
      <c r="N1775" s="85">
        <f>STATS1003B!N1779/1000</f>
        <v>0</v>
      </c>
      <c r="O1775" s="85">
        <f>STATS1003B!O1779/1000</f>
        <v>0</v>
      </c>
      <c r="P1775" s="85">
        <f>STATS1003B!P1779/1000</f>
        <v>0</v>
      </c>
      <c r="Q1775" s="85">
        <f>STATS1003B!Q1779/1000</f>
        <v>869.94500000000005</v>
      </c>
      <c r="R1775" s="85">
        <f>STATS1003B!R1779/1000</f>
        <v>0</v>
      </c>
      <c r="S1775" s="85">
        <f>STATS1003B!S1779/1000</f>
        <v>0</v>
      </c>
      <c r="T1775" s="85">
        <f>STATS1003B!T1779/1000</f>
        <v>0</v>
      </c>
      <c r="U1775" s="85">
        <f>STATS1003B!U1779/1000</f>
        <v>0</v>
      </c>
      <c r="V1775" s="85">
        <f>STATS1003B!V1779/1000</f>
        <v>0</v>
      </c>
      <c r="W1775" s="85">
        <f>STATS1003B!W1779/1000</f>
        <v>0</v>
      </c>
      <c r="X1775" s="85">
        <f t="shared" si="197"/>
        <v>869.94500000000005</v>
      </c>
      <c r="Y1775" s="85">
        <f>STATS1003B!Y1779/1000</f>
        <v>0</v>
      </c>
      <c r="Z1775" s="85">
        <f t="shared" si="199"/>
        <v>0</v>
      </c>
      <c r="AA1775" s="69">
        <f>STATS1003B!AA1779/1000</f>
        <v>869.94500000000005</v>
      </c>
      <c r="AB1775" s="69">
        <f>STATS1003B!AB1779/1000</f>
        <v>0</v>
      </c>
    </row>
    <row r="1776" spans="1:28" hidden="1" x14ac:dyDescent="0.3">
      <c r="A1776" s="117"/>
      <c r="C1776" s="68" t="s">
        <v>535</v>
      </c>
      <c r="D1776" s="87" t="s">
        <v>88</v>
      </c>
      <c r="E1776" s="85">
        <f>STATS1003B!E1780/1000</f>
        <v>2715.2953499999999</v>
      </c>
      <c r="F1776" s="85">
        <f>STATS1003B!F1780/1000</f>
        <v>2715.2953499999999</v>
      </c>
      <c r="G1776" s="85">
        <f>STATS1003B!G1780/1000</f>
        <v>0</v>
      </c>
      <c r="H1776" s="85">
        <f>STATS1003B!H1780/1000</f>
        <v>2715.2953499999999</v>
      </c>
      <c r="I1776" s="85">
        <f>STATS1003B!I1780/1000</f>
        <v>0</v>
      </c>
      <c r="J1776" s="85">
        <f>STATS1003B!J1780/1000</f>
        <v>2715.2953499999999</v>
      </c>
      <c r="K1776" s="85">
        <f>STATS1003B!K1780/1000</f>
        <v>0</v>
      </c>
      <c r="L1776" s="85">
        <f>STATS1003B!L1780/1000</f>
        <v>0</v>
      </c>
      <c r="M1776" s="85">
        <f>STATS1003B!M1780/1000</f>
        <v>2715.2953499999999</v>
      </c>
      <c r="N1776" s="85">
        <f>STATS1003B!N1780/1000</f>
        <v>0</v>
      </c>
      <c r="O1776" s="85">
        <f>STATS1003B!O1780/1000</f>
        <v>0</v>
      </c>
      <c r="P1776" s="85">
        <f>STATS1003B!P1780/1000</f>
        <v>0</v>
      </c>
      <c r="Q1776" s="85">
        <f>STATS1003B!Q1780/1000</f>
        <v>2715.2953499999999</v>
      </c>
      <c r="R1776" s="85">
        <f>STATS1003B!R1780/1000</f>
        <v>0</v>
      </c>
      <c r="S1776" s="85">
        <f>STATS1003B!S1780/1000</f>
        <v>0</v>
      </c>
      <c r="T1776" s="85">
        <f>STATS1003B!T1780/1000</f>
        <v>0</v>
      </c>
      <c r="U1776" s="85">
        <f>STATS1003B!U1780/1000</f>
        <v>0</v>
      </c>
      <c r="V1776" s="85">
        <f>STATS1003B!V1780/1000</f>
        <v>0</v>
      </c>
      <c r="W1776" s="85">
        <f>STATS1003B!W1780/1000</f>
        <v>0</v>
      </c>
      <c r="X1776" s="85">
        <f t="shared" si="197"/>
        <v>2715.2953499999999</v>
      </c>
      <c r="Y1776" s="85">
        <f>STATS1003B!Y1780/1000</f>
        <v>0</v>
      </c>
      <c r="Z1776" s="85">
        <f t="shared" si="199"/>
        <v>0</v>
      </c>
      <c r="AA1776" s="69">
        <f>STATS1003B!AA1780/1000</f>
        <v>2715.2953499999999</v>
      </c>
      <c r="AB1776" s="69">
        <f>STATS1003B!AB1780/1000</f>
        <v>0</v>
      </c>
    </row>
    <row r="1777" spans="1:28" hidden="1" x14ac:dyDescent="0.3">
      <c r="A1777" s="117"/>
      <c r="C1777" s="68" t="s">
        <v>535</v>
      </c>
      <c r="D1777" s="87" t="s">
        <v>58</v>
      </c>
      <c r="E1777" s="85">
        <f>STATS1003B!E1781/1000</f>
        <v>2013</v>
      </c>
      <c r="F1777" s="85">
        <f>STATS1003B!F1781/1000</f>
        <v>0</v>
      </c>
      <c r="G1777" s="85">
        <f>STATS1003B!G1781/1000</f>
        <v>0</v>
      </c>
      <c r="H1777" s="85">
        <f>STATS1003B!H1781/1000</f>
        <v>0</v>
      </c>
      <c r="I1777" s="85">
        <f>STATS1003B!I1781/1000</f>
        <v>2013</v>
      </c>
      <c r="J1777" s="85">
        <f>STATS1003B!J1781/1000</f>
        <v>2013</v>
      </c>
      <c r="K1777" s="85">
        <f>STATS1003B!K1781/1000</f>
        <v>0</v>
      </c>
      <c r="L1777" s="85">
        <f>STATS1003B!L1781/1000</f>
        <v>2013</v>
      </c>
      <c r="M1777" s="85">
        <f>STATS1003B!M1781/1000</f>
        <v>2013</v>
      </c>
      <c r="N1777" s="85">
        <f>STATS1003B!N1781/1000</f>
        <v>0</v>
      </c>
      <c r="O1777" s="85">
        <f>STATS1003B!O1781/1000</f>
        <v>0</v>
      </c>
      <c r="P1777" s="85">
        <f>STATS1003B!P1781/1000</f>
        <v>0</v>
      </c>
      <c r="Q1777" s="85">
        <f>STATS1003B!Q1781/1000</f>
        <v>2013</v>
      </c>
      <c r="R1777" s="85">
        <f>STATS1003B!R1781/1000</f>
        <v>0</v>
      </c>
      <c r="S1777" s="85">
        <f>STATS1003B!S1781/1000</f>
        <v>0</v>
      </c>
      <c r="T1777" s="85">
        <f>STATS1003B!T1781/1000</f>
        <v>0</v>
      </c>
      <c r="U1777" s="85">
        <f>STATS1003B!U1781/1000</f>
        <v>0</v>
      </c>
      <c r="V1777" s="85">
        <f>STATS1003B!V1781/1000</f>
        <v>0</v>
      </c>
      <c r="W1777" s="85">
        <f>STATS1003B!W1781/1000</f>
        <v>0</v>
      </c>
      <c r="X1777" s="85">
        <f t="shared" si="197"/>
        <v>0</v>
      </c>
      <c r="Y1777" s="85">
        <f>STATS1003B!Y1781/1000</f>
        <v>0</v>
      </c>
      <c r="Z1777" s="85">
        <f t="shared" si="199"/>
        <v>2013</v>
      </c>
      <c r="AA1777" s="69">
        <f>STATS1003B!AA1781/1000</f>
        <v>2013</v>
      </c>
      <c r="AB1777" s="69">
        <f>STATS1003B!AB1781/1000</f>
        <v>0</v>
      </c>
    </row>
    <row r="1778" spans="1:28" hidden="1" x14ac:dyDescent="0.3">
      <c r="A1778" s="117"/>
      <c r="C1778" s="71" t="s">
        <v>621</v>
      </c>
      <c r="D1778" s="88" t="s">
        <v>73</v>
      </c>
      <c r="E1778" s="85">
        <f>STATS1003B!E1782/1000</f>
        <v>773.72199999999998</v>
      </c>
      <c r="F1778" s="85">
        <f>STATS1003B!F1782/1000</f>
        <v>773.72199999999998</v>
      </c>
      <c r="G1778" s="85">
        <f>STATS1003B!G1782/1000</f>
        <v>0</v>
      </c>
      <c r="H1778" s="85">
        <f>STATS1003B!H1782/1000</f>
        <v>773.72199999999998</v>
      </c>
      <c r="I1778" s="85">
        <f>STATS1003B!I1782/1000</f>
        <v>0</v>
      </c>
      <c r="J1778" s="85">
        <f>STATS1003B!J1782/1000</f>
        <v>773.72199999999998</v>
      </c>
      <c r="K1778" s="85">
        <f>STATS1003B!K1782/1000</f>
        <v>0</v>
      </c>
      <c r="L1778" s="85">
        <f>STATS1003B!L1782/1000</f>
        <v>0</v>
      </c>
      <c r="M1778" s="85">
        <f>STATS1003B!M1782/1000</f>
        <v>773.72199999999998</v>
      </c>
      <c r="N1778" s="85">
        <f>STATS1003B!N1782/1000</f>
        <v>0</v>
      </c>
      <c r="O1778" s="85">
        <f>STATS1003B!O1782/1000</f>
        <v>0</v>
      </c>
      <c r="P1778" s="85">
        <f>STATS1003B!P1782/1000</f>
        <v>0</v>
      </c>
      <c r="Q1778" s="85">
        <f>STATS1003B!Q1782/1000</f>
        <v>773.72199999999998</v>
      </c>
      <c r="R1778" s="85">
        <f>STATS1003B!R1782/1000</f>
        <v>0</v>
      </c>
      <c r="S1778" s="85">
        <f>STATS1003B!S1782/1000</f>
        <v>0</v>
      </c>
      <c r="T1778" s="85">
        <f>STATS1003B!T1782/1000</f>
        <v>0</v>
      </c>
      <c r="U1778" s="85">
        <f>STATS1003B!U1782/1000</f>
        <v>0</v>
      </c>
      <c r="V1778" s="85">
        <f>STATS1003B!V1782/1000</f>
        <v>0</v>
      </c>
      <c r="W1778" s="85">
        <f>STATS1003B!W1782/1000</f>
        <v>0</v>
      </c>
      <c r="X1778" s="85">
        <f t="shared" si="197"/>
        <v>773.72199999999998</v>
      </c>
      <c r="Y1778" s="85">
        <f>STATS1003B!Y1782/1000</f>
        <v>0</v>
      </c>
      <c r="Z1778" s="85">
        <f t="shared" si="199"/>
        <v>0</v>
      </c>
      <c r="AA1778" s="69">
        <f>STATS1003B!AA1782/1000</f>
        <v>773.72199999999998</v>
      </c>
      <c r="AB1778" s="69">
        <f>STATS1003B!AB1782/1000</f>
        <v>0</v>
      </c>
    </row>
    <row r="1779" spans="1:28" hidden="1" x14ac:dyDescent="0.3">
      <c r="A1779" s="117"/>
      <c r="C1779" s="68" t="s">
        <v>535</v>
      </c>
      <c r="D1779" s="87" t="s">
        <v>61</v>
      </c>
      <c r="E1779" s="85">
        <f>STATS1003B!E1783/1000</f>
        <v>780</v>
      </c>
      <c r="F1779" s="85">
        <f>STATS1003B!F1783/1000</f>
        <v>780</v>
      </c>
      <c r="G1779" s="85">
        <f>STATS1003B!G1783/1000</f>
        <v>0</v>
      </c>
      <c r="H1779" s="85">
        <f>STATS1003B!H1783/1000</f>
        <v>780</v>
      </c>
      <c r="I1779" s="85">
        <f>STATS1003B!I1783/1000</f>
        <v>0</v>
      </c>
      <c r="J1779" s="85">
        <f>STATS1003B!J1783/1000</f>
        <v>780</v>
      </c>
      <c r="K1779" s="85">
        <f>STATS1003B!K1783/1000</f>
        <v>0</v>
      </c>
      <c r="L1779" s="85">
        <f>STATS1003B!L1783/1000</f>
        <v>0</v>
      </c>
      <c r="M1779" s="85">
        <f>STATS1003B!M1783/1000</f>
        <v>780</v>
      </c>
      <c r="N1779" s="85">
        <f>STATS1003B!N1783/1000</f>
        <v>0</v>
      </c>
      <c r="O1779" s="85">
        <f>STATS1003B!O1783/1000</f>
        <v>0</v>
      </c>
      <c r="P1779" s="85">
        <f>STATS1003B!P1783/1000</f>
        <v>0</v>
      </c>
      <c r="Q1779" s="85">
        <f>STATS1003B!Q1783/1000</f>
        <v>780</v>
      </c>
      <c r="R1779" s="85">
        <f>STATS1003B!R1783/1000</f>
        <v>0</v>
      </c>
      <c r="S1779" s="85">
        <f>STATS1003B!S1783/1000</f>
        <v>0</v>
      </c>
      <c r="T1779" s="85">
        <f>STATS1003B!T1783/1000</f>
        <v>0</v>
      </c>
      <c r="U1779" s="85">
        <f>STATS1003B!U1783/1000</f>
        <v>0</v>
      </c>
      <c r="V1779" s="85">
        <f>STATS1003B!V1783/1000</f>
        <v>0</v>
      </c>
      <c r="W1779" s="85">
        <f>STATS1003B!W1783/1000</f>
        <v>0</v>
      </c>
      <c r="X1779" s="85">
        <f t="shared" si="197"/>
        <v>780</v>
      </c>
      <c r="Y1779" s="85">
        <f>STATS1003B!Y1783/1000</f>
        <v>0</v>
      </c>
      <c r="Z1779" s="85">
        <f t="shared" si="199"/>
        <v>0</v>
      </c>
      <c r="AA1779" s="69">
        <f>STATS1003B!AA1783/1000</f>
        <v>780</v>
      </c>
      <c r="AB1779" s="69">
        <f>STATS1003B!AB1783/1000</f>
        <v>0</v>
      </c>
    </row>
    <row r="1780" spans="1:28" hidden="1" x14ac:dyDescent="0.3">
      <c r="A1780" s="117"/>
      <c r="C1780" s="68" t="s">
        <v>1119</v>
      </c>
      <c r="D1780" s="90" t="s">
        <v>1072</v>
      </c>
      <c r="E1780" s="85">
        <f>STATS1003B!E1784/1000</f>
        <v>70</v>
      </c>
      <c r="F1780" s="85">
        <f>STATS1003B!F1784/1000</f>
        <v>70</v>
      </c>
      <c r="G1780" s="85">
        <f>STATS1003B!G1784/1000</f>
        <v>0</v>
      </c>
      <c r="H1780" s="85">
        <f>STATS1003B!H1784/1000</f>
        <v>70</v>
      </c>
      <c r="I1780" s="85">
        <f>STATS1003B!I1784/1000</f>
        <v>0</v>
      </c>
      <c r="J1780" s="85">
        <f>STATS1003B!J1784/1000</f>
        <v>70</v>
      </c>
      <c r="K1780" s="85">
        <f>STATS1003B!K1784/1000</f>
        <v>0</v>
      </c>
      <c r="L1780" s="85">
        <f>STATS1003B!L1784/1000</f>
        <v>0</v>
      </c>
      <c r="M1780" s="85">
        <f>STATS1003B!M1784/1000</f>
        <v>70</v>
      </c>
      <c r="N1780" s="85">
        <f>STATS1003B!N1784/1000</f>
        <v>0</v>
      </c>
      <c r="O1780" s="85">
        <f>STATS1003B!O1784/1000</f>
        <v>0</v>
      </c>
      <c r="P1780" s="85">
        <f>STATS1003B!P1784/1000</f>
        <v>0</v>
      </c>
      <c r="Q1780" s="85">
        <f>STATS1003B!Q1784/1000</f>
        <v>70</v>
      </c>
      <c r="R1780" s="85">
        <f>STATS1003B!R1784/1000</f>
        <v>0</v>
      </c>
      <c r="S1780" s="85">
        <f>STATS1003B!S1784/1000</f>
        <v>0</v>
      </c>
      <c r="T1780" s="85">
        <f>STATS1003B!T1784/1000</f>
        <v>0</v>
      </c>
      <c r="U1780" s="85">
        <f>STATS1003B!U1784/1000</f>
        <v>0</v>
      </c>
      <c r="V1780" s="85">
        <f>STATS1003B!V1784/1000</f>
        <v>0</v>
      </c>
      <c r="W1780" s="85">
        <f>STATS1003B!W1784/1000</f>
        <v>0</v>
      </c>
      <c r="X1780" s="85">
        <f t="shared" si="197"/>
        <v>70</v>
      </c>
      <c r="Y1780" s="85">
        <f>STATS1003B!Y1784/1000</f>
        <v>0</v>
      </c>
      <c r="Z1780" s="85">
        <f t="shared" si="199"/>
        <v>0</v>
      </c>
      <c r="AA1780" s="69">
        <f>STATS1003B!AA1784/1000</f>
        <v>70</v>
      </c>
      <c r="AB1780" s="69">
        <f>STATS1003B!AB1784/1000</f>
        <v>0</v>
      </c>
    </row>
    <row r="1781" spans="1:28" hidden="1" x14ac:dyDescent="0.3">
      <c r="A1781" s="117"/>
      <c r="C1781" s="68" t="s">
        <v>592</v>
      </c>
      <c r="E1781" s="85">
        <f>STATS1003B!E1785/1000</f>
        <v>468.99086</v>
      </c>
      <c r="F1781" s="85">
        <f>STATS1003B!F1785/1000</f>
        <v>288.36200000000002</v>
      </c>
      <c r="G1781" s="85">
        <f>STATS1003B!G1785/1000</f>
        <v>0</v>
      </c>
      <c r="H1781" s="85">
        <f>STATS1003B!H1785/1000</f>
        <v>288.36200000000002</v>
      </c>
      <c r="I1781" s="85">
        <f>STATS1003B!I1785/1000</f>
        <v>0</v>
      </c>
      <c r="J1781" s="85">
        <f>STATS1003B!J1785/1000</f>
        <v>288.36200000000002</v>
      </c>
      <c r="K1781" s="85">
        <f>STATS1003B!K1785/1000</f>
        <v>180.62885999999997</v>
      </c>
      <c r="L1781" s="85">
        <f>STATS1003B!L1785/1000</f>
        <v>0</v>
      </c>
      <c r="M1781" s="85">
        <f>STATS1003B!M1785/1000</f>
        <v>288.36200000000002</v>
      </c>
      <c r="N1781" s="85">
        <f>STATS1003B!N1785/1000</f>
        <v>180.62885999999997</v>
      </c>
      <c r="O1781" s="85">
        <f>STATS1003B!O1785/1000</f>
        <v>0</v>
      </c>
      <c r="P1781" s="85">
        <f>STATS1003B!P1785/1000</f>
        <v>180.62885999999997</v>
      </c>
      <c r="Q1781" s="85">
        <f>STATS1003B!Q1785/1000</f>
        <v>288.36200000000002</v>
      </c>
      <c r="R1781" s="85">
        <f>STATS1003B!R1785/1000</f>
        <v>0</v>
      </c>
      <c r="S1781" s="85">
        <f>STATS1003B!S1785/1000</f>
        <v>0</v>
      </c>
      <c r="T1781" s="85">
        <f>STATS1003B!T1785/1000</f>
        <v>0</v>
      </c>
      <c r="U1781" s="85">
        <f>STATS1003B!U1785/1000</f>
        <v>180.62885999999997</v>
      </c>
      <c r="V1781" s="85">
        <f>STATS1003B!V1785/1000</f>
        <v>0</v>
      </c>
      <c r="W1781" s="85">
        <f>STATS1003B!W1785/1000</f>
        <v>0</v>
      </c>
      <c r="X1781" s="85">
        <f t="shared" si="197"/>
        <v>468.99086</v>
      </c>
      <c r="Y1781" s="85">
        <f>STATS1003B!Y1785/1000</f>
        <v>0</v>
      </c>
      <c r="Z1781" s="85">
        <f t="shared" si="199"/>
        <v>0</v>
      </c>
      <c r="AA1781" s="69">
        <f>STATS1003B!AA1785/1000</f>
        <v>468.99086</v>
      </c>
      <c r="AB1781" s="69">
        <f>STATS1003B!AB1785/1000</f>
        <v>0</v>
      </c>
    </row>
    <row r="1782" spans="1:28" hidden="1" x14ac:dyDescent="0.3">
      <c r="A1782" s="117"/>
      <c r="C1782" s="68" t="s">
        <v>606</v>
      </c>
      <c r="E1782" s="85">
        <f>STATS1003B!E1786/1000</f>
        <v>2500</v>
      </c>
      <c r="F1782" s="85">
        <f>STATS1003B!F1786/1000</f>
        <v>2500</v>
      </c>
      <c r="G1782" s="85">
        <f>STATS1003B!G1786/1000</f>
        <v>0</v>
      </c>
      <c r="H1782" s="85">
        <f>STATS1003B!H1786/1000</f>
        <v>2500</v>
      </c>
      <c r="I1782" s="85">
        <f>STATS1003B!I1786/1000</f>
        <v>0</v>
      </c>
      <c r="J1782" s="85">
        <f>STATS1003B!J1786/1000</f>
        <v>2500</v>
      </c>
      <c r="K1782" s="85">
        <f>STATS1003B!K1786/1000</f>
        <v>0</v>
      </c>
      <c r="L1782" s="85">
        <f>STATS1003B!L1786/1000</f>
        <v>0</v>
      </c>
      <c r="M1782" s="85">
        <f>STATS1003B!M1786/1000</f>
        <v>2500</v>
      </c>
      <c r="N1782" s="85">
        <f>STATS1003B!N1786/1000</f>
        <v>0</v>
      </c>
      <c r="O1782" s="85">
        <f>STATS1003B!O1786/1000</f>
        <v>0</v>
      </c>
      <c r="P1782" s="85">
        <f>STATS1003B!P1786/1000</f>
        <v>0</v>
      </c>
      <c r="Q1782" s="85">
        <f>STATS1003B!Q1786/1000</f>
        <v>2500</v>
      </c>
      <c r="R1782" s="85">
        <f>STATS1003B!R1786/1000</f>
        <v>0</v>
      </c>
      <c r="S1782" s="85">
        <f>STATS1003B!S1786/1000</f>
        <v>0</v>
      </c>
      <c r="T1782" s="85">
        <f>STATS1003B!T1786/1000</f>
        <v>0</v>
      </c>
      <c r="U1782" s="85">
        <f>STATS1003B!U1786/1000</f>
        <v>0</v>
      </c>
      <c r="V1782" s="85">
        <f>STATS1003B!V1786/1000</f>
        <v>0</v>
      </c>
      <c r="W1782" s="85">
        <f>STATS1003B!W1786/1000</f>
        <v>0</v>
      </c>
      <c r="X1782" s="85">
        <f t="shared" si="197"/>
        <v>2500</v>
      </c>
      <c r="Y1782" s="85">
        <f>STATS1003B!Y1786/1000</f>
        <v>0</v>
      </c>
      <c r="Z1782" s="85">
        <f t="shared" si="199"/>
        <v>0</v>
      </c>
      <c r="AA1782" s="69">
        <f>STATS1003B!AA1786/1000</f>
        <v>2500</v>
      </c>
      <c r="AB1782" s="69">
        <f>STATS1003B!AB1786/1000</f>
        <v>0</v>
      </c>
    </row>
    <row r="1783" spans="1:28" hidden="1" x14ac:dyDescent="0.3">
      <c r="A1783" s="117"/>
      <c r="E1783" s="86" t="s">
        <v>29</v>
      </c>
      <c r="F1783" s="86" t="s">
        <v>29</v>
      </c>
      <c r="G1783" s="86" t="s">
        <v>29</v>
      </c>
      <c r="H1783" s="86" t="s">
        <v>29</v>
      </c>
      <c r="I1783" s="86" t="s">
        <v>29</v>
      </c>
      <c r="J1783" s="86" t="s">
        <v>29</v>
      </c>
      <c r="K1783" s="86" t="s">
        <v>29</v>
      </c>
      <c r="L1783" s="86" t="s">
        <v>29</v>
      </c>
      <c r="M1783" s="86" t="s">
        <v>29</v>
      </c>
      <c r="N1783" s="86" t="s">
        <v>29</v>
      </c>
      <c r="O1783" s="86" t="s">
        <v>29</v>
      </c>
      <c r="P1783" s="86" t="s">
        <v>29</v>
      </c>
      <c r="Q1783" s="86" t="s">
        <v>29</v>
      </c>
      <c r="R1783" s="86"/>
      <c r="S1783" s="86"/>
      <c r="T1783" s="86"/>
      <c r="U1783" s="86" t="s">
        <v>29</v>
      </c>
      <c r="V1783" s="86" t="s">
        <v>29</v>
      </c>
      <c r="W1783" s="86" t="s">
        <v>29</v>
      </c>
      <c r="X1783" s="85" t="e">
        <f t="shared" si="197"/>
        <v>#VALUE!</v>
      </c>
      <c r="Y1783" s="86" t="s">
        <v>29</v>
      </c>
      <c r="Z1783" s="85" t="e">
        <f t="shared" si="199"/>
        <v>#VALUE!</v>
      </c>
      <c r="AA1783" s="115"/>
      <c r="AB1783" s="115"/>
    </row>
    <row r="1784" spans="1:28" x14ac:dyDescent="0.3">
      <c r="A1784" s="116">
        <v>78</v>
      </c>
      <c r="B1784" s="68" t="s">
        <v>764</v>
      </c>
      <c r="E1784" s="85">
        <f>47245910.6/1000</f>
        <v>47245.910600000003</v>
      </c>
      <c r="F1784" s="85">
        <f t="shared" ref="F1784:Q1784" si="200">SUM(F1770:F1783)</f>
        <v>12106.104349999998</v>
      </c>
      <c r="G1784" s="85">
        <f t="shared" si="200"/>
        <v>0</v>
      </c>
      <c r="H1784" s="85">
        <f>41772061.99/1000</f>
        <v>41772.061990000002</v>
      </c>
      <c r="I1784" s="85">
        <f t="shared" si="200"/>
        <v>2013</v>
      </c>
      <c r="J1784" s="85">
        <f t="shared" si="200"/>
        <v>14119.104349999998</v>
      </c>
      <c r="K1784" s="85">
        <f t="shared" si="200"/>
        <v>3460.84861</v>
      </c>
      <c r="L1784" s="85">
        <f t="shared" si="200"/>
        <v>2013</v>
      </c>
      <c r="M1784" s="85">
        <f t="shared" si="200"/>
        <v>14119.104349999998</v>
      </c>
      <c r="N1784" s="85">
        <f t="shared" si="200"/>
        <v>3460.84861</v>
      </c>
      <c r="O1784" s="85">
        <f t="shared" si="200"/>
        <v>0</v>
      </c>
      <c r="P1784" s="85">
        <f>3460848/1000</f>
        <v>3460.848</v>
      </c>
      <c r="Q1784" s="85">
        <f t="shared" si="200"/>
        <v>14119.104349999998</v>
      </c>
      <c r="R1784" s="86"/>
      <c r="S1784" s="86"/>
      <c r="T1784" s="85">
        <f t="shared" ref="T1784:Y1784" si="201">SUM(T1770:T1783)</f>
        <v>0</v>
      </c>
      <c r="U1784" s="85">
        <f t="shared" si="201"/>
        <v>3460.84861</v>
      </c>
      <c r="V1784" s="85">
        <f t="shared" si="201"/>
        <v>0</v>
      </c>
      <c r="W1784" s="85">
        <f t="shared" si="201"/>
        <v>0</v>
      </c>
      <c r="X1784" s="85">
        <f t="shared" si="197"/>
        <v>45232.90999</v>
      </c>
      <c r="Y1784" s="85">
        <f t="shared" si="201"/>
        <v>0</v>
      </c>
      <c r="Z1784" s="85">
        <f t="shared" si="199"/>
        <v>2013.0006100000028</v>
      </c>
      <c r="AA1784" s="69">
        <f>SUM(AA1770:AA1783)</f>
        <v>17579.952960000002</v>
      </c>
      <c r="AB1784" s="69">
        <f>SUM(AB1770:AB1783)</f>
        <v>0</v>
      </c>
    </row>
    <row r="1785" spans="1:28" hidden="1" x14ac:dyDescent="0.3">
      <c r="A1785" s="117"/>
      <c r="E1785" s="86" t="s">
        <v>29</v>
      </c>
      <c r="F1785" s="86" t="s">
        <v>29</v>
      </c>
      <c r="G1785" s="86" t="s">
        <v>29</v>
      </c>
      <c r="H1785" s="86" t="s">
        <v>29</v>
      </c>
      <c r="I1785" s="86" t="s">
        <v>29</v>
      </c>
      <c r="J1785" s="86" t="s">
        <v>29</v>
      </c>
      <c r="K1785" s="86" t="s">
        <v>29</v>
      </c>
      <c r="L1785" s="86" t="s">
        <v>29</v>
      </c>
      <c r="M1785" s="86" t="s">
        <v>29</v>
      </c>
      <c r="N1785" s="86" t="s">
        <v>29</v>
      </c>
      <c r="O1785" s="86" t="s">
        <v>29</v>
      </c>
      <c r="P1785" s="86" t="s">
        <v>29</v>
      </c>
      <c r="Q1785" s="86" t="s">
        <v>29</v>
      </c>
      <c r="R1785" s="86"/>
      <c r="S1785" s="86"/>
      <c r="T1785" s="86"/>
      <c r="U1785" s="86" t="s">
        <v>29</v>
      </c>
      <c r="V1785" s="86" t="s">
        <v>29</v>
      </c>
      <c r="W1785" s="86" t="s">
        <v>29</v>
      </c>
      <c r="X1785" s="85" t="e">
        <f t="shared" si="197"/>
        <v>#VALUE!</v>
      </c>
      <c r="Y1785" s="86" t="s">
        <v>29</v>
      </c>
      <c r="Z1785" s="85" t="e">
        <f t="shared" si="199"/>
        <v>#VALUE!</v>
      </c>
      <c r="AA1785" s="115"/>
      <c r="AB1785" s="115"/>
    </row>
    <row r="1786" spans="1:28" hidden="1" x14ac:dyDescent="0.3">
      <c r="A1786" s="105"/>
      <c r="E1786" s="84"/>
      <c r="F1786" s="84"/>
      <c r="G1786" s="84"/>
      <c r="H1786" s="84"/>
      <c r="I1786" s="84"/>
      <c r="J1786" s="84"/>
      <c r="K1786" s="84"/>
      <c r="L1786" s="84"/>
      <c r="M1786" s="84"/>
      <c r="N1786" s="84"/>
      <c r="O1786" s="84"/>
      <c r="P1786" s="84"/>
      <c r="Q1786" s="84"/>
      <c r="R1786" s="86"/>
      <c r="S1786" s="86"/>
      <c r="T1786" s="86"/>
      <c r="U1786" s="86"/>
      <c r="V1786" s="86"/>
      <c r="W1786" s="86"/>
      <c r="X1786" s="85">
        <f t="shared" si="197"/>
        <v>0</v>
      </c>
      <c r="Y1786" s="86"/>
      <c r="Z1786" s="85">
        <f t="shared" si="199"/>
        <v>0</v>
      </c>
    </row>
    <row r="1787" spans="1:28" hidden="1" x14ac:dyDescent="0.3">
      <c r="A1787" s="117"/>
      <c r="C1787" s="68" t="s">
        <v>535</v>
      </c>
      <c r="D1787" s="87" t="s">
        <v>68</v>
      </c>
      <c r="E1787" s="85">
        <f>STATS1003B!E1791/1000</f>
        <v>1336.1883</v>
      </c>
      <c r="F1787" s="85">
        <f>STATS1003B!F1791/1000</f>
        <v>0</v>
      </c>
      <c r="G1787" s="85">
        <f>STATS1003B!G1791/1000</f>
        <v>0</v>
      </c>
      <c r="H1787" s="85">
        <f>STATS1003B!H1791/1000</f>
        <v>0</v>
      </c>
      <c r="I1787" s="85">
        <f>STATS1003B!I1791/1000</f>
        <v>0</v>
      </c>
      <c r="J1787" s="85">
        <f>STATS1003B!J1791/1000</f>
        <v>0</v>
      </c>
      <c r="K1787" s="85">
        <f>STATS1003B!K1791/1000</f>
        <v>1336.1883</v>
      </c>
      <c r="L1787" s="85">
        <f>STATS1003B!L1791/1000</f>
        <v>0</v>
      </c>
      <c r="M1787" s="85">
        <f>STATS1003B!M1791/1000</f>
        <v>0</v>
      </c>
      <c r="N1787" s="85">
        <f>STATS1003B!N1791/1000</f>
        <v>1336.1883</v>
      </c>
      <c r="O1787" s="85">
        <f>STATS1003B!O1791/1000</f>
        <v>0</v>
      </c>
      <c r="P1787" s="85">
        <f>STATS1003B!P1791/1000</f>
        <v>1336.1883</v>
      </c>
      <c r="Q1787" s="85">
        <f>STATS1003B!Q1791/1000</f>
        <v>0</v>
      </c>
      <c r="R1787" s="85">
        <f>STATS1003B!R1791/1000</f>
        <v>0</v>
      </c>
      <c r="S1787" s="85">
        <f>STATS1003B!S1791/1000</f>
        <v>0</v>
      </c>
      <c r="T1787" s="85">
        <f>STATS1003B!T1791/1000</f>
        <v>0</v>
      </c>
      <c r="U1787" s="85">
        <f>STATS1003B!U1791/1000</f>
        <v>1336.1883</v>
      </c>
      <c r="V1787" s="85">
        <f>STATS1003B!V1791/1000</f>
        <v>0</v>
      </c>
      <c r="W1787" s="85">
        <f>STATS1003B!W1791/1000</f>
        <v>0</v>
      </c>
      <c r="X1787" s="85">
        <f t="shared" si="197"/>
        <v>1336.1883</v>
      </c>
      <c r="Y1787" s="85">
        <f>STATS1003B!Y1791/1000</f>
        <v>0</v>
      </c>
      <c r="Z1787" s="85">
        <f t="shared" si="199"/>
        <v>0</v>
      </c>
      <c r="AA1787" s="69">
        <f>STATS1003B!AA1791/1000</f>
        <v>1336.1883</v>
      </c>
      <c r="AB1787" s="69">
        <f>STATS1003B!AB1791/1000</f>
        <v>0</v>
      </c>
    </row>
    <row r="1788" spans="1:28" hidden="1" x14ac:dyDescent="0.3">
      <c r="A1788" s="117"/>
      <c r="C1788" s="68" t="s">
        <v>535</v>
      </c>
      <c r="D1788" s="87" t="s">
        <v>54</v>
      </c>
      <c r="E1788" s="85">
        <f>STATS1003B!E1792/1000</f>
        <v>870.83</v>
      </c>
      <c r="F1788" s="85">
        <f>STATS1003B!F1792/1000</f>
        <v>870.83</v>
      </c>
      <c r="G1788" s="85">
        <f>STATS1003B!G1792/1000</f>
        <v>0</v>
      </c>
      <c r="H1788" s="85">
        <f>STATS1003B!H1792/1000</f>
        <v>870.83</v>
      </c>
      <c r="I1788" s="85">
        <f>STATS1003B!I1792/1000</f>
        <v>0</v>
      </c>
      <c r="J1788" s="85">
        <f>STATS1003B!J1792/1000</f>
        <v>870.83</v>
      </c>
      <c r="K1788" s="85">
        <f>STATS1003B!K1792/1000</f>
        <v>0</v>
      </c>
      <c r="L1788" s="85">
        <f>STATS1003B!L1792/1000</f>
        <v>0</v>
      </c>
      <c r="M1788" s="85">
        <f>STATS1003B!M1792/1000</f>
        <v>870.83</v>
      </c>
      <c r="N1788" s="85">
        <f>STATS1003B!N1792/1000</f>
        <v>0</v>
      </c>
      <c r="O1788" s="85">
        <f>STATS1003B!O1792/1000</f>
        <v>0</v>
      </c>
      <c r="P1788" s="85">
        <f>STATS1003B!P1792/1000</f>
        <v>0</v>
      </c>
      <c r="Q1788" s="85">
        <f>STATS1003B!Q1792/1000</f>
        <v>870.83</v>
      </c>
      <c r="R1788" s="85">
        <f>STATS1003B!R1792/1000</f>
        <v>0</v>
      </c>
      <c r="S1788" s="85">
        <f>STATS1003B!S1792/1000</f>
        <v>0</v>
      </c>
      <c r="T1788" s="85">
        <f>STATS1003B!T1792/1000</f>
        <v>0</v>
      </c>
      <c r="U1788" s="85">
        <f>STATS1003B!U1792/1000</f>
        <v>0</v>
      </c>
      <c r="V1788" s="85">
        <f>STATS1003B!V1792/1000</f>
        <v>0</v>
      </c>
      <c r="W1788" s="85">
        <f>STATS1003B!W1792/1000</f>
        <v>0</v>
      </c>
      <c r="X1788" s="85">
        <f t="shared" si="197"/>
        <v>870.83</v>
      </c>
      <c r="Y1788" s="85">
        <f>STATS1003B!Y1792/1000</f>
        <v>0</v>
      </c>
      <c r="Z1788" s="85">
        <f t="shared" si="199"/>
        <v>0</v>
      </c>
      <c r="AA1788" s="69">
        <f>STATS1003B!AA1792/1000</f>
        <v>870.83</v>
      </c>
      <c r="AB1788" s="69">
        <f>STATS1003B!AB1792/1000</f>
        <v>0</v>
      </c>
    </row>
    <row r="1789" spans="1:28" hidden="1" x14ac:dyDescent="0.3">
      <c r="A1789" s="117"/>
      <c r="C1789" s="68" t="s">
        <v>545</v>
      </c>
      <c r="D1789" s="87" t="s">
        <v>54</v>
      </c>
      <c r="E1789" s="85">
        <f>STATS1003B!E1793/1000</f>
        <v>1767.77</v>
      </c>
      <c r="F1789" s="85">
        <f>STATS1003B!F1793/1000</f>
        <v>0</v>
      </c>
      <c r="G1789" s="85">
        <f>STATS1003B!G1793/1000</f>
        <v>0</v>
      </c>
      <c r="H1789" s="85">
        <f>STATS1003B!H1793/1000</f>
        <v>0</v>
      </c>
      <c r="I1789" s="85">
        <f>STATS1003B!I1793/1000</f>
        <v>0</v>
      </c>
      <c r="J1789" s="85">
        <f>STATS1003B!J1793/1000</f>
        <v>0</v>
      </c>
      <c r="K1789" s="85">
        <f>STATS1003B!K1793/1000</f>
        <v>1767.77</v>
      </c>
      <c r="L1789" s="85">
        <f>STATS1003B!L1793/1000</f>
        <v>0</v>
      </c>
      <c r="M1789" s="85">
        <f>STATS1003B!M1793/1000</f>
        <v>0</v>
      </c>
      <c r="N1789" s="85">
        <f>STATS1003B!N1793/1000</f>
        <v>1767.77</v>
      </c>
      <c r="O1789" s="85">
        <f>STATS1003B!O1793/1000</f>
        <v>0</v>
      </c>
      <c r="P1789" s="85">
        <f>STATS1003B!P1793/1000</f>
        <v>1767.77</v>
      </c>
      <c r="Q1789" s="85">
        <f>STATS1003B!Q1793/1000</f>
        <v>0</v>
      </c>
      <c r="R1789" s="85">
        <f>STATS1003B!R1793/1000</f>
        <v>0</v>
      </c>
      <c r="S1789" s="85">
        <f>STATS1003B!S1793/1000</f>
        <v>0</v>
      </c>
      <c r="T1789" s="85">
        <f>STATS1003B!T1793/1000</f>
        <v>0</v>
      </c>
      <c r="U1789" s="85">
        <f>STATS1003B!U1793/1000</f>
        <v>1767.77</v>
      </c>
      <c r="V1789" s="85">
        <f>STATS1003B!V1793/1000</f>
        <v>0</v>
      </c>
      <c r="W1789" s="85">
        <f>STATS1003B!W1793/1000</f>
        <v>0</v>
      </c>
      <c r="X1789" s="85">
        <f t="shared" si="197"/>
        <v>1767.77</v>
      </c>
      <c r="Y1789" s="85">
        <f>STATS1003B!Y1793/1000</f>
        <v>0</v>
      </c>
      <c r="Z1789" s="85">
        <f t="shared" si="199"/>
        <v>0</v>
      </c>
      <c r="AA1789" s="69">
        <f>STATS1003B!AA1793/1000</f>
        <v>1767.77</v>
      </c>
      <c r="AB1789" s="69">
        <f>STATS1003B!AB1793/1000</f>
        <v>0</v>
      </c>
    </row>
    <row r="1790" spans="1:28" hidden="1" x14ac:dyDescent="0.3">
      <c r="A1790" s="117"/>
      <c r="C1790" s="68" t="s">
        <v>535</v>
      </c>
      <c r="D1790" s="87" t="s">
        <v>85</v>
      </c>
      <c r="E1790" s="85">
        <f>STATS1003B!E1794/1000</f>
        <v>1597.04</v>
      </c>
      <c r="F1790" s="85">
        <f>STATS1003B!F1794/1000</f>
        <v>1597.04</v>
      </c>
      <c r="G1790" s="85">
        <f>STATS1003B!G1794/1000</f>
        <v>0</v>
      </c>
      <c r="H1790" s="85">
        <f>STATS1003B!H1794/1000</f>
        <v>1597.04</v>
      </c>
      <c r="I1790" s="85">
        <f>STATS1003B!I1794/1000</f>
        <v>0</v>
      </c>
      <c r="J1790" s="85">
        <f>STATS1003B!J1794/1000</f>
        <v>1597.04</v>
      </c>
      <c r="K1790" s="85">
        <f>STATS1003B!K1794/1000</f>
        <v>0</v>
      </c>
      <c r="L1790" s="85">
        <f>STATS1003B!L1794/1000</f>
        <v>0</v>
      </c>
      <c r="M1790" s="85">
        <f>STATS1003B!M1794/1000</f>
        <v>1597.04</v>
      </c>
      <c r="N1790" s="85">
        <f>STATS1003B!N1794/1000</f>
        <v>0</v>
      </c>
      <c r="O1790" s="85">
        <f>STATS1003B!O1794/1000</f>
        <v>0</v>
      </c>
      <c r="P1790" s="85">
        <f>STATS1003B!P1794/1000</f>
        <v>0</v>
      </c>
      <c r="Q1790" s="85">
        <f>STATS1003B!Q1794/1000</f>
        <v>1597.04</v>
      </c>
      <c r="R1790" s="85">
        <f>STATS1003B!R1794/1000</f>
        <v>0</v>
      </c>
      <c r="S1790" s="85">
        <f>STATS1003B!S1794/1000</f>
        <v>0</v>
      </c>
      <c r="T1790" s="85">
        <f>STATS1003B!T1794/1000</f>
        <v>0</v>
      </c>
      <c r="U1790" s="85">
        <f>STATS1003B!U1794/1000</f>
        <v>0</v>
      </c>
      <c r="V1790" s="85">
        <f>STATS1003B!V1794/1000</f>
        <v>0</v>
      </c>
      <c r="W1790" s="85">
        <f>STATS1003B!W1794/1000</f>
        <v>0</v>
      </c>
      <c r="X1790" s="85">
        <f t="shared" si="197"/>
        <v>1597.04</v>
      </c>
      <c r="Y1790" s="85">
        <f>STATS1003B!Y1794/1000</f>
        <v>0</v>
      </c>
      <c r="Z1790" s="85">
        <f t="shared" si="199"/>
        <v>0</v>
      </c>
      <c r="AA1790" s="69">
        <f>STATS1003B!AA1794/1000</f>
        <v>1597.04</v>
      </c>
      <c r="AB1790" s="69">
        <f>STATS1003B!AB1794/1000</f>
        <v>0</v>
      </c>
    </row>
    <row r="1791" spans="1:28" hidden="1" x14ac:dyDescent="0.3">
      <c r="A1791" s="117"/>
      <c r="C1791" s="68" t="s">
        <v>766</v>
      </c>
      <c r="D1791" s="87" t="s">
        <v>85</v>
      </c>
      <c r="E1791" s="85">
        <f>STATS1003B!E1795/1000</f>
        <v>800</v>
      </c>
      <c r="F1791" s="85">
        <f>STATS1003B!F1795/1000</f>
        <v>800</v>
      </c>
      <c r="G1791" s="85">
        <f>STATS1003B!G1795/1000</f>
        <v>0</v>
      </c>
      <c r="H1791" s="85">
        <f>STATS1003B!H1795/1000</f>
        <v>800</v>
      </c>
      <c r="I1791" s="85">
        <f>STATS1003B!I1795/1000</f>
        <v>0</v>
      </c>
      <c r="J1791" s="85">
        <f>STATS1003B!J1795/1000</f>
        <v>800</v>
      </c>
      <c r="K1791" s="85">
        <f>STATS1003B!K1795/1000</f>
        <v>0</v>
      </c>
      <c r="L1791" s="85">
        <f>STATS1003B!L1795/1000</f>
        <v>0</v>
      </c>
      <c r="M1791" s="85">
        <f>STATS1003B!M1795/1000</f>
        <v>800</v>
      </c>
      <c r="N1791" s="85">
        <f>STATS1003B!N1795/1000</f>
        <v>0</v>
      </c>
      <c r="O1791" s="85">
        <f>STATS1003B!O1795/1000</f>
        <v>0</v>
      </c>
      <c r="P1791" s="85">
        <f>STATS1003B!P1795/1000</f>
        <v>0</v>
      </c>
      <c r="Q1791" s="85">
        <f>STATS1003B!Q1795/1000</f>
        <v>800</v>
      </c>
      <c r="R1791" s="85">
        <f>STATS1003B!R1795/1000</f>
        <v>0</v>
      </c>
      <c r="S1791" s="85">
        <f>STATS1003B!S1795/1000</f>
        <v>0</v>
      </c>
      <c r="T1791" s="85">
        <f>STATS1003B!T1795/1000</f>
        <v>0</v>
      </c>
      <c r="U1791" s="85">
        <f>STATS1003B!U1795/1000</f>
        <v>0</v>
      </c>
      <c r="V1791" s="85">
        <f>STATS1003B!V1795/1000</f>
        <v>0</v>
      </c>
      <c r="W1791" s="85">
        <f>STATS1003B!W1795/1000</f>
        <v>0</v>
      </c>
      <c r="X1791" s="85">
        <f t="shared" si="197"/>
        <v>800</v>
      </c>
      <c r="Y1791" s="85">
        <f>STATS1003B!Y1795/1000</f>
        <v>0</v>
      </c>
      <c r="Z1791" s="85">
        <f t="shared" si="199"/>
        <v>0</v>
      </c>
      <c r="AA1791" s="69">
        <f>STATS1003B!AA1795/1000</f>
        <v>800</v>
      </c>
      <c r="AB1791" s="69">
        <f>STATS1003B!AB1795/1000</f>
        <v>0</v>
      </c>
    </row>
    <row r="1792" spans="1:28" hidden="1" x14ac:dyDescent="0.3">
      <c r="A1792" s="117"/>
      <c r="C1792" s="68" t="s">
        <v>535</v>
      </c>
      <c r="D1792" s="87" t="s">
        <v>128</v>
      </c>
      <c r="E1792" s="85">
        <f>STATS1003B!E1796/1000</f>
        <v>1200</v>
      </c>
      <c r="F1792" s="85">
        <f>STATS1003B!F1796/1000</f>
        <v>1200</v>
      </c>
      <c r="G1792" s="85">
        <f>STATS1003B!G1796/1000</f>
        <v>0</v>
      </c>
      <c r="H1792" s="85">
        <f>STATS1003B!H1796/1000</f>
        <v>1200</v>
      </c>
      <c r="I1792" s="85">
        <f>STATS1003B!I1796/1000</f>
        <v>0</v>
      </c>
      <c r="J1792" s="85">
        <f>STATS1003B!J1796/1000</f>
        <v>1200</v>
      </c>
      <c r="K1792" s="85">
        <f>STATS1003B!K1796/1000</f>
        <v>0</v>
      </c>
      <c r="L1792" s="85">
        <f>STATS1003B!L1796/1000</f>
        <v>0</v>
      </c>
      <c r="M1792" s="85">
        <f>STATS1003B!M1796/1000</f>
        <v>1200</v>
      </c>
      <c r="N1792" s="85">
        <f>STATS1003B!N1796/1000</f>
        <v>0</v>
      </c>
      <c r="O1792" s="85">
        <f>STATS1003B!O1796/1000</f>
        <v>0</v>
      </c>
      <c r="P1792" s="85">
        <f>STATS1003B!P1796/1000</f>
        <v>0</v>
      </c>
      <c r="Q1792" s="85">
        <f>STATS1003B!Q1796/1000</f>
        <v>1200</v>
      </c>
      <c r="R1792" s="85">
        <f>STATS1003B!R1796/1000</f>
        <v>0</v>
      </c>
      <c r="S1792" s="85">
        <f>STATS1003B!S1796/1000</f>
        <v>0</v>
      </c>
      <c r="T1792" s="85">
        <f>STATS1003B!T1796/1000</f>
        <v>0</v>
      </c>
      <c r="U1792" s="85">
        <f>STATS1003B!U1796/1000</f>
        <v>0</v>
      </c>
      <c r="V1792" s="85">
        <f>STATS1003B!V1796/1000</f>
        <v>0</v>
      </c>
      <c r="W1792" s="85">
        <f>STATS1003B!W1796/1000</f>
        <v>0</v>
      </c>
      <c r="X1792" s="85">
        <f t="shared" si="197"/>
        <v>1200</v>
      </c>
      <c r="Y1792" s="85">
        <f>STATS1003B!Y1796/1000</f>
        <v>0</v>
      </c>
      <c r="Z1792" s="85">
        <f t="shared" si="199"/>
        <v>0</v>
      </c>
      <c r="AA1792" s="69">
        <f>STATS1003B!AA1796/1000</f>
        <v>1200</v>
      </c>
      <c r="AB1792" s="69">
        <f>STATS1003B!AB1796/1000</f>
        <v>0</v>
      </c>
    </row>
    <row r="1793" spans="1:28" hidden="1" x14ac:dyDescent="0.3">
      <c r="A1793" s="117"/>
      <c r="C1793" s="68" t="s">
        <v>535</v>
      </c>
      <c r="D1793" s="88" t="s">
        <v>60</v>
      </c>
      <c r="E1793" s="85">
        <f>STATS1003B!E1797/1000</f>
        <v>1922</v>
      </c>
      <c r="F1793" s="85">
        <f>STATS1003B!F1797/1000</f>
        <v>1922</v>
      </c>
      <c r="G1793" s="85">
        <f>STATS1003B!G1797/1000</f>
        <v>0</v>
      </c>
      <c r="H1793" s="85">
        <f>STATS1003B!H1797/1000</f>
        <v>1922</v>
      </c>
      <c r="I1793" s="85">
        <f>STATS1003B!I1797/1000</f>
        <v>0</v>
      </c>
      <c r="J1793" s="85">
        <f>STATS1003B!J1797/1000</f>
        <v>1922</v>
      </c>
      <c r="K1793" s="85">
        <f>STATS1003B!K1797/1000</f>
        <v>0</v>
      </c>
      <c r="L1793" s="85">
        <f>STATS1003B!L1797/1000</f>
        <v>0</v>
      </c>
      <c r="M1793" s="85">
        <f>STATS1003B!M1797/1000</f>
        <v>1922</v>
      </c>
      <c r="N1793" s="85">
        <f>STATS1003B!N1797/1000</f>
        <v>0</v>
      </c>
      <c r="O1793" s="85">
        <f>STATS1003B!O1797/1000</f>
        <v>0</v>
      </c>
      <c r="P1793" s="85">
        <f>STATS1003B!P1797/1000</f>
        <v>0</v>
      </c>
      <c r="Q1793" s="85">
        <f>STATS1003B!Q1797/1000</f>
        <v>1922</v>
      </c>
      <c r="R1793" s="85">
        <f>STATS1003B!R1797/1000</f>
        <v>0</v>
      </c>
      <c r="S1793" s="85">
        <f>STATS1003B!S1797/1000</f>
        <v>0</v>
      </c>
      <c r="T1793" s="85">
        <f>STATS1003B!T1797/1000</f>
        <v>0</v>
      </c>
      <c r="U1793" s="85">
        <f>STATS1003B!U1797/1000</f>
        <v>0</v>
      </c>
      <c r="V1793" s="85">
        <f>STATS1003B!V1797/1000</f>
        <v>0</v>
      </c>
      <c r="W1793" s="85">
        <f>STATS1003B!W1797/1000</f>
        <v>0</v>
      </c>
      <c r="X1793" s="85">
        <f t="shared" si="197"/>
        <v>1922</v>
      </c>
      <c r="Y1793" s="85">
        <f>STATS1003B!Y1797/1000</f>
        <v>0</v>
      </c>
      <c r="Z1793" s="85">
        <f t="shared" si="199"/>
        <v>0</v>
      </c>
      <c r="AA1793" s="69">
        <f>STATS1003B!AA1797/1000</f>
        <v>1922</v>
      </c>
      <c r="AB1793" s="69">
        <f>STATS1003B!AB1797/1000</f>
        <v>0</v>
      </c>
    </row>
    <row r="1794" spans="1:28" hidden="1" x14ac:dyDescent="0.3">
      <c r="A1794" s="117"/>
      <c r="C1794" s="71" t="s">
        <v>535</v>
      </c>
      <c r="D1794" s="88" t="s">
        <v>73</v>
      </c>
      <c r="E1794" s="85">
        <f>STATS1003B!E1798/1000</f>
        <v>612.20000000000005</v>
      </c>
      <c r="F1794" s="85">
        <f>STATS1003B!F1798/1000</f>
        <v>612.20000000000005</v>
      </c>
      <c r="G1794" s="85">
        <f>STATS1003B!G1798/1000</f>
        <v>0</v>
      </c>
      <c r="H1794" s="85">
        <f>STATS1003B!H1798/1000</f>
        <v>612.20000000000005</v>
      </c>
      <c r="I1794" s="85">
        <f>STATS1003B!I1798/1000</f>
        <v>0</v>
      </c>
      <c r="J1794" s="85">
        <f>STATS1003B!J1798/1000</f>
        <v>612.20000000000005</v>
      </c>
      <c r="K1794" s="85">
        <f>STATS1003B!K1798/1000</f>
        <v>0</v>
      </c>
      <c r="L1794" s="85">
        <f>STATS1003B!L1798/1000</f>
        <v>0</v>
      </c>
      <c r="M1794" s="85">
        <f>STATS1003B!M1798/1000</f>
        <v>612.20000000000005</v>
      </c>
      <c r="N1794" s="85">
        <f>STATS1003B!N1798/1000</f>
        <v>0</v>
      </c>
      <c r="O1794" s="85">
        <f>STATS1003B!O1798/1000</f>
        <v>0</v>
      </c>
      <c r="P1794" s="85">
        <f>STATS1003B!P1798/1000</f>
        <v>0</v>
      </c>
      <c r="Q1794" s="85">
        <f>STATS1003B!Q1798/1000</f>
        <v>612.20000000000005</v>
      </c>
      <c r="R1794" s="85">
        <f>STATS1003B!R1798/1000</f>
        <v>0</v>
      </c>
      <c r="S1794" s="85">
        <f>STATS1003B!S1798/1000</f>
        <v>0</v>
      </c>
      <c r="T1794" s="85">
        <f>STATS1003B!T1798/1000</f>
        <v>0</v>
      </c>
      <c r="U1794" s="85">
        <f>STATS1003B!U1798/1000</f>
        <v>0</v>
      </c>
      <c r="V1794" s="85">
        <f>STATS1003B!V1798/1000</f>
        <v>0</v>
      </c>
      <c r="W1794" s="85">
        <f>STATS1003B!W1798/1000</f>
        <v>0</v>
      </c>
      <c r="X1794" s="85">
        <f t="shared" si="197"/>
        <v>612.20000000000005</v>
      </c>
      <c r="Y1794" s="85">
        <f>STATS1003B!Y1798/1000</f>
        <v>0</v>
      </c>
      <c r="Z1794" s="85">
        <f t="shared" si="199"/>
        <v>0</v>
      </c>
      <c r="AA1794" s="69">
        <f>STATS1003B!AA1798/1000</f>
        <v>612.20000000000005</v>
      </c>
      <c r="AB1794" s="69">
        <f>STATS1003B!AB1798/1000</f>
        <v>0</v>
      </c>
    </row>
    <row r="1795" spans="1:28" hidden="1" x14ac:dyDescent="0.3">
      <c r="A1795" s="117"/>
      <c r="C1795" s="71" t="s">
        <v>535</v>
      </c>
      <c r="D1795" s="88" t="s">
        <v>61</v>
      </c>
      <c r="E1795" s="85">
        <f>STATS1003B!E1799/1000</f>
        <v>452.79212000000001</v>
      </c>
      <c r="F1795" s="85">
        <f>STATS1003B!F1799/1000</f>
        <v>452.79212000000001</v>
      </c>
      <c r="G1795" s="85">
        <f>STATS1003B!G1799/1000</f>
        <v>0</v>
      </c>
      <c r="H1795" s="85">
        <f>STATS1003B!H1799/1000</f>
        <v>452.79212000000001</v>
      </c>
      <c r="I1795" s="85">
        <f>STATS1003B!I1799/1000</f>
        <v>0</v>
      </c>
      <c r="J1795" s="85">
        <f>STATS1003B!J1799/1000</f>
        <v>452.79212000000001</v>
      </c>
      <c r="K1795" s="85">
        <f>STATS1003B!K1799/1000</f>
        <v>0</v>
      </c>
      <c r="L1795" s="85">
        <f>STATS1003B!L1799/1000</f>
        <v>0</v>
      </c>
      <c r="M1795" s="85">
        <f>STATS1003B!M1799/1000</f>
        <v>452.79212000000001</v>
      </c>
      <c r="N1795" s="85">
        <f>STATS1003B!N1799/1000</f>
        <v>0</v>
      </c>
      <c r="O1795" s="85">
        <f>STATS1003B!O1799/1000</f>
        <v>0</v>
      </c>
      <c r="P1795" s="85">
        <f>STATS1003B!P1799/1000</f>
        <v>0</v>
      </c>
      <c r="Q1795" s="85">
        <f>STATS1003B!Q1799/1000</f>
        <v>452.79212000000001</v>
      </c>
      <c r="R1795" s="85">
        <f>STATS1003B!R1799/1000</f>
        <v>0</v>
      </c>
      <c r="S1795" s="85">
        <f>STATS1003B!S1799/1000</f>
        <v>0</v>
      </c>
      <c r="T1795" s="85">
        <f>STATS1003B!T1799/1000</f>
        <v>0</v>
      </c>
      <c r="U1795" s="85">
        <f>STATS1003B!U1799/1000</f>
        <v>0</v>
      </c>
      <c r="V1795" s="85">
        <f>STATS1003B!V1799/1000</f>
        <v>0</v>
      </c>
      <c r="W1795" s="85">
        <f>STATS1003B!W1799/1000</f>
        <v>0</v>
      </c>
      <c r="X1795" s="85">
        <f t="shared" si="197"/>
        <v>452.79212000000001</v>
      </c>
      <c r="Y1795" s="85">
        <f>STATS1003B!Y1799/1000</f>
        <v>0</v>
      </c>
      <c r="Z1795" s="85">
        <f t="shared" si="199"/>
        <v>0</v>
      </c>
      <c r="AA1795" s="69">
        <f>STATS1003B!AA1799/1000</f>
        <v>452.79212000000001</v>
      </c>
      <c r="AB1795" s="69">
        <f>STATS1003B!AB1799/1000</f>
        <v>0</v>
      </c>
    </row>
    <row r="1796" spans="1:28" hidden="1" x14ac:dyDescent="0.3">
      <c r="A1796" s="117"/>
      <c r="C1796" s="71" t="s">
        <v>933</v>
      </c>
      <c r="D1796" s="89" t="s">
        <v>1072</v>
      </c>
      <c r="E1796" s="85">
        <f>STATS1003B!E1800/1000</f>
        <v>506</v>
      </c>
      <c r="F1796" s="85">
        <f>STATS1003B!F1800/1000</f>
        <v>506</v>
      </c>
      <c r="G1796" s="85">
        <f>STATS1003B!G1800/1000</f>
        <v>0</v>
      </c>
      <c r="H1796" s="85">
        <f>STATS1003B!H1800/1000</f>
        <v>506</v>
      </c>
      <c r="I1796" s="85">
        <f>STATS1003B!I1800/1000</f>
        <v>0</v>
      </c>
      <c r="J1796" s="85">
        <f>STATS1003B!J1800/1000</f>
        <v>506</v>
      </c>
      <c r="K1796" s="85">
        <f>STATS1003B!K1800/1000</f>
        <v>0</v>
      </c>
      <c r="L1796" s="85">
        <f>STATS1003B!L1800/1000</f>
        <v>0</v>
      </c>
      <c r="M1796" s="85">
        <f>STATS1003B!M1800/1000</f>
        <v>506</v>
      </c>
      <c r="N1796" s="85">
        <f>STATS1003B!N1800/1000</f>
        <v>0</v>
      </c>
      <c r="O1796" s="85">
        <f>STATS1003B!O1800/1000</f>
        <v>0</v>
      </c>
      <c r="P1796" s="85">
        <f>STATS1003B!P1800/1000</f>
        <v>0</v>
      </c>
      <c r="Q1796" s="85">
        <f>STATS1003B!Q1800/1000</f>
        <v>506</v>
      </c>
      <c r="R1796" s="85">
        <f>STATS1003B!R1800/1000</f>
        <v>0</v>
      </c>
      <c r="S1796" s="85">
        <f>STATS1003B!S1800/1000</f>
        <v>0</v>
      </c>
      <c r="T1796" s="85">
        <f>STATS1003B!T1800/1000</f>
        <v>0</v>
      </c>
      <c r="U1796" s="85">
        <f>STATS1003B!U1800/1000</f>
        <v>0</v>
      </c>
      <c r="V1796" s="85">
        <f>STATS1003B!V1800/1000</f>
        <v>0</v>
      </c>
      <c r="W1796" s="85">
        <f>STATS1003B!W1800/1000</f>
        <v>0</v>
      </c>
      <c r="X1796" s="85">
        <f t="shared" si="197"/>
        <v>506</v>
      </c>
      <c r="Y1796" s="85">
        <f>STATS1003B!Y1800/1000</f>
        <v>0</v>
      </c>
      <c r="Z1796" s="85">
        <f t="shared" si="199"/>
        <v>0</v>
      </c>
      <c r="AA1796" s="69">
        <f>STATS1003B!AA1800/1000</f>
        <v>506</v>
      </c>
      <c r="AB1796" s="69">
        <f>STATS1003B!AB1800/1000</f>
        <v>0</v>
      </c>
    </row>
    <row r="1797" spans="1:28" hidden="1" x14ac:dyDescent="0.3">
      <c r="A1797" s="117"/>
      <c r="C1797" s="71" t="s">
        <v>1116</v>
      </c>
      <c r="D1797" s="89" t="s">
        <v>1126</v>
      </c>
      <c r="E1797" s="85">
        <f>STATS1003B!E1801/1000</f>
        <v>1545.4146599999999</v>
      </c>
      <c r="F1797" s="85">
        <f>STATS1003B!F1801/1000</f>
        <v>1545.4146599999999</v>
      </c>
      <c r="G1797" s="85">
        <f>STATS1003B!G1801/1000</f>
        <v>0</v>
      </c>
      <c r="H1797" s="85">
        <f>STATS1003B!H1801/1000</f>
        <v>1545.4146599999999</v>
      </c>
      <c r="I1797" s="85">
        <f>STATS1003B!I1801/1000</f>
        <v>0</v>
      </c>
      <c r="J1797" s="85">
        <f>STATS1003B!J1801/1000</f>
        <v>1545.4146599999999</v>
      </c>
      <c r="K1797" s="85">
        <f>STATS1003B!K1801/1000</f>
        <v>0</v>
      </c>
      <c r="L1797" s="85">
        <f>STATS1003B!L1801/1000</f>
        <v>0</v>
      </c>
      <c r="M1797" s="85">
        <f>STATS1003B!M1801/1000</f>
        <v>1545.4146599999999</v>
      </c>
      <c r="N1797" s="85">
        <f>STATS1003B!N1801/1000</f>
        <v>0</v>
      </c>
      <c r="O1797" s="85">
        <f>STATS1003B!O1801/1000</f>
        <v>0</v>
      </c>
      <c r="P1797" s="85">
        <f>STATS1003B!P1801/1000</f>
        <v>0</v>
      </c>
      <c r="Q1797" s="85">
        <f>STATS1003B!Q1801/1000</f>
        <v>1545.4146599999999</v>
      </c>
      <c r="R1797" s="85">
        <f>STATS1003B!R1801/1000</f>
        <v>0</v>
      </c>
      <c r="S1797" s="85">
        <f>STATS1003B!S1801/1000</f>
        <v>0</v>
      </c>
      <c r="T1797" s="85">
        <f>STATS1003B!T1801/1000</f>
        <v>0</v>
      </c>
      <c r="U1797" s="85">
        <f>STATS1003B!U1801/1000</f>
        <v>0</v>
      </c>
      <c r="V1797" s="85">
        <f>STATS1003B!V1801/1000</f>
        <v>0</v>
      </c>
      <c r="W1797" s="85">
        <f>STATS1003B!W1801/1000</f>
        <v>0</v>
      </c>
      <c r="X1797" s="85">
        <f t="shared" si="197"/>
        <v>1545.4146599999999</v>
      </c>
      <c r="Y1797" s="85">
        <f>STATS1003B!Y1801/1000</f>
        <v>0</v>
      </c>
      <c r="Z1797" s="85">
        <f t="shared" si="199"/>
        <v>0</v>
      </c>
      <c r="AA1797" s="69">
        <f>STATS1003B!AA1801/1000</f>
        <v>1545.4146599999999</v>
      </c>
      <c r="AB1797" s="69">
        <f>STATS1003B!AB1801/1000</f>
        <v>0</v>
      </c>
    </row>
    <row r="1798" spans="1:28" hidden="1" x14ac:dyDescent="0.3">
      <c r="A1798" s="117"/>
      <c r="C1798" s="68" t="s">
        <v>598</v>
      </c>
      <c r="E1798" s="85">
        <f>STATS1003B!E1802/1000</f>
        <v>305.28403000000003</v>
      </c>
      <c r="F1798" s="85">
        <f>STATS1003B!F1802/1000</f>
        <v>305.28403000000003</v>
      </c>
      <c r="G1798" s="85">
        <f>STATS1003B!G1802/1000</f>
        <v>0</v>
      </c>
      <c r="H1798" s="85">
        <f>STATS1003B!H1802/1000</f>
        <v>305.28403000000003</v>
      </c>
      <c r="I1798" s="85">
        <f>STATS1003B!I1802/1000</f>
        <v>0</v>
      </c>
      <c r="J1798" s="85">
        <f>STATS1003B!J1802/1000</f>
        <v>305.28403000000003</v>
      </c>
      <c r="K1798" s="85">
        <f>STATS1003B!K1802/1000</f>
        <v>0</v>
      </c>
      <c r="L1798" s="85">
        <f>STATS1003B!L1802/1000</f>
        <v>0</v>
      </c>
      <c r="M1798" s="85">
        <f>STATS1003B!M1802/1000</f>
        <v>305.28403000000003</v>
      </c>
      <c r="N1798" s="85">
        <f>STATS1003B!N1802/1000</f>
        <v>0</v>
      </c>
      <c r="O1798" s="85">
        <f>STATS1003B!O1802/1000</f>
        <v>0</v>
      </c>
      <c r="P1798" s="85">
        <f>STATS1003B!P1802/1000</f>
        <v>0</v>
      </c>
      <c r="Q1798" s="85">
        <f>STATS1003B!Q1802/1000</f>
        <v>305.28403000000003</v>
      </c>
      <c r="R1798" s="85">
        <f>STATS1003B!R1802/1000</f>
        <v>0</v>
      </c>
      <c r="S1798" s="85">
        <f>STATS1003B!S1802/1000</f>
        <v>0</v>
      </c>
      <c r="T1798" s="85">
        <f>STATS1003B!T1802/1000</f>
        <v>0</v>
      </c>
      <c r="U1798" s="85">
        <f>STATS1003B!U1802/1000</f>
        <v>0</v>
      </c>
      <c r="V1798" s="85">
        <f>STATS1003B!V1802/1000</f>
        <v>0</v>
      </c>
      <c r="W1798" s="85">
        <f>STATS1003B!W1802/1000</f>
        <v>0</v>
      </c>
      <c r="X1798" s="85">
        <f t="shared" si="197"/>
        <v>305.28403000000003</v>
      </c>
      <c r="Y1798" s="85">
        <f>STATS1003B!Y1802/1000</f>
        <v>0</v>
      </c>
      <c r="Z1798" s="85">
        <f t="shared" si="199"/>
        <v>0</v>
      </c>
      <c r="AA1798" s="69">
        <f>STATS1003B!AA1802/1000</f>
        <v>305.28403000000003</v>
      </c>
      <c r="AB1798" s="69">
        <f>STATS1003B!AB1802/1000</f>
        <v>0</v>
      </c>
    </row>
    <row r="1799" spans="1:28" hidden="1" x14ac:dyDescent="0.3">
      <c r="A1799" s="117"/>
      <c r="C1799" s="68" t="s">
        <v>550</v>
      </c>
      <c r="E1799" s="85">
        <f>STATS1003B!E1803/1000</f>
        <v>296.25</v>
      </c>
      <c r="F1799" s="85">
        <f>STATS1003B!F1803/1000</f>
        <v>296.25</v>
      </c>
      <c r="G1799" s="85">
        <f>STATS1003B!G1803/1000</f>
        <v>0</v>
      </c>
      <c r="H1799" s="85">
        <f>STATS1003B!H1803/1000</f>
        <v>296.25</v>
      </c>
      <c r="I1799" s="85">
        <f>STATS1003B!I1803/1000</f>
        <v>0</v>
      </c>
      <c r="J1799" s="85">
        <f>STATS1003B!J1803/1000</f>
        <v>296.25</v>
      </c>
      <c r="K1799" s="85">
        <f>STATS1003B!K1803/1000</f>
        <v>0</v>
      </c>
      <c r="L1799" s="85">
        <f>STATS1003B!L1803/1000</f>
        <v>0</v>
      </c>
      <c r="M1799" s="85">
        <f>STATS1003B!M1803/1000</f>
        <v>296.25</v>
      </c>
      <c r="N1799" s="85">
        <f>STATS1003B!N1803/1000</f>
        <v>0</v>
      </c>
      <c r="O1799" s="85">
        <f>STATS1003B!O1803/1000</f>
        <v>0</v>
      </c>
      <c r="P1799" s="85">
        <f>STATS1003B!P1803/1000</f>
        <v>0</v>
      </c>
      <c r="Q1799" s="85">
        <f>STATS1003B!Q1803/1000</f>
        <v>296.25</v>
      </c>
      <c r="R1799" s="85">
        <f>STATS1003B!R1803/1000</f>
        <v>0</v>
      </c>
      <c r="S1799" s="85">
        <f>STATS1003B!S1803/1000</f>
        <v>0</v>
      </c>
      <c r="T1799" s="85">
        <f>STATS1003B!T1803/1000</f>
        <v>0</v>
      </c>
      <c r="U1799" s="85">
        <f>STATS1003B!U1803/1000</f>
        <v>0</v>
      </c>
      <c r="V1799" s="85">
        <f>STATS1003B!V1803/1000</f>
        <v>0</v>
      </c>
      <c r="W1799" s="85">
        <f>STATS1003B!W1803/1000</f>
        <v>0</v>
      </c>
      <c r="X1799" s="85">
        <f t="shared" si="197"/>
        <v>296.25</v>
      </c>
      <c r="Y1799" s="85">
        <f>STATS1003B!Y1803/1000</f>
        <v>0</v>
      </c>
      <c r="Z1799" s="85">
        <f t="shared" si="199"/>
        <v>0</v>
      </c>
      <c r="AA1799" s="69">
        <f>STATS1003B!AA1803/1000</f>
        <v>296.25</v>
      </c>
      <c r="AB1799" s="69">
        <f>STATS1003B!AB1803/1000</f>
        <v>0</v>
      </c>
    </row>
    <row r="1800" spans="1:28" hidden="1" x14ac:dyDescent="0.3">
      <c r="A1800" s="117"/>
      <c r="C1800" s="68" t="s">
        <v>606</v>
      </c>
      <c r="E1800" s="85">
        <f>STATS1003B!E1804/1000</f>
        <v>2500</v>
      </c>
      <c r="F1800" s="85">
        <f>STATS1003B!F1804/1000</f>
        <v>2500</v>
      </c>
      <c r="G1800" s="85">
        <f>STATS1003B!G1804/1000</f>
        <v>0</v>
      </c>
      <c r="H1800" s="85">
        <f>STATS1003B!H1804/1000</f>
        <v>2500</v>
      </c>
      <c r="I1800" s="85">
        <f>STATS1003B!I1804/1000</f>
        <v>0</v>
      </c>
      <c r="J1800" s="85">
        <f>STATS1003B!J1804/1000</f>
        <v>2500</v>
      </c>
      <c r="K1800" s="85">
        <f>STATS1003B!K1804/1000</f>
        <v>0</v>
      </c>
      <c r="L1800" s="85">
        <f>STATS1003B!L1804/1000</f>
        <v>0</v>
      </c>
      <c r="M1800" s="85">
        <f>STATS1003B!M1804/1000</f>
        <v>2500</v>
      </c>
      <c r="N1800" s="85">
        <f>STATS1003B!N1804/1000</f>
        <v>0</v>
      </c>
      <c r="O1800" s="85">
        <f>STATS1003B!O1804/1000</f>
        <v>0</v>
      </c>
      <c r="P1800" s="85">
        <f>STATS1003B!P1804/1000</f>
        <v>0</v>
      </c>
      <c r="Q1800" s="85">
        <f>STATS1003B!Q1804/1000</f>
        <v>2500</v>
      </c>
      <c r="R1800" s="85">
        <f>STATS1003B!R1804/1000</f>
        <v>0</v>
      </c>
      <c r="S1800" s="85">
        <f>STATS1003B!S1804/1000</f>
        <v>0</v>
      </c>
      <c r="T1800" s="85">
        <f>STATS1003B!T1804/1000</f>
        <v>0</v>
      </c>
      <c r="U1800" s="85">
        <f>STATS1003B!U1804/1000</f>
        <v>0</v>
      </c>
      <c r="V1800" s="85">
        <f>STATS1003B!V1804/1000</f>
        <v>0</v>
      </c>
      <c r="W1800" s="85">
        <f>STATS1003B!W1804/1000</f>
        <v>0</v>
      </c>
      <c r="X1800" s="85">
        <f t="shared" si="197"/>
        <v>2500</v>
      </c>
      <c r="Y1800" s="85">
        <f>STATS1003B!Y1804/1000</f>
        <v>0</v>
      </c>
      <c r="Z1800" s="85">
        <f t="shared" si="199"/>
        <v>0</v>
      </c>
      <c r="AA1800" s="69">
        <f>STATS1003B!AA1804/1000</f>
        <v>2500</v>
      </c>
      <c r="AB1800" s="69">
        <f>STATS1003B!AB1804/1000</f>
        <v>0</v>
      </c>
    </row>
    <row r="1801" spans="1:28" hidden="1" x14ac:dyDescent="0.3">
      <c r="A1801" s="117"/>
      <c r="E1801" s="86" t="s">
        <v>29</v>
      </c>
      <c r="F1801" s="86" t="s">
        <v>29</v>
      </c>
      <c r="G1801" s="86" t="s">
        <v>29</v>
      </c>
      <c r="H1801" s="86" t="s">
        <v>29</v>
      </c>
      <c r="I1801" s="86" t="s">
        <v>29</v>
      </c>
      <c r="J1801" s="86" t="s">
        <v>29</v>
      </c>
      <c r="K1801" s="86" t="s">
        <v>29</v>
      </c>
      <c r="L1801" s="86" t="s">
        <v>29</v>
      </c>
      <c r="M1801" s="86" t="s">
        <v>29</v>
      </c>
      <c r="N1801" s="86" t="s">
        <v>29</v>
      </c>
      <c r="O1801" s="86" t="s">
        <v>29</v>
      </c>
      <c r="P1801" s="86" t="s">
        <v>29</v>
      </c>
      <c r="Q1801" s="86" t="s">
        <v>29</v>
      </c>
      <c r="R1801" s="86"/>
      <c r="S1801" s="86"/>
      <c r="T1801" s="86"/>
      <c r="U1801" s="86" t="s">
        <v>29</v>
      </c>
      <c r="V1801" s="86"/>
      <c r="W1801" s="86"/>
      <c r="X1801" s="85" t="e">
        <f t="shared" si="197"/>
        <v>#VALUE!</v>
      </c>
      <c r="Y1801" s="86"/>
      <c r="Z1801" s="85" t="e">
        <f t="shared" si="199"/>
        <v>#VALUE!</v>
      </c>
      <c r="AA1801" s="115" t="s">
        <v>29</v>
      </c>
      <c r="AB1801" s="115" t="s">
        <v>29</v>
      </c>
    </row>
    <row r="1802" spans="1:28" x14ac:dyDescent="0.3">
      <c r="A1802" s="116">
        <v>79</v>
      </c>
      <c r="B1802" s="68" t="s">
        <v>765</v>
      </c>
      <c r="E1802" s="85">
        <f>44026760.48/1000</f>
        <v>44026.760479999997</v>
      </c>
      <c r="F1802" s="85">
        <f t="shared" ref="F1802:Q1802" si="202">SUM(F1787:F1801)</f>
        <v>12607.810810000001</v>
      </c>
      <c r="G1802" s="85">
        <f t="shared" si="202"/>
        <v>0</v>
      </c>
      <c r="H1802" s="85">
        <f>40922802.18/1000</f>
        <v>40922.802179999999</v>
      </c>
      <c r="I1802" s="85">
        <f t="shared" si="202"/>
        <v>0</v>
      </c>
      <c r="J1802" s="85">
        <f t="shared" si="202"/>
        <v>12607.810810000001</v>
      </c>
      <c r="K1802" s="85">
        <f t="shared" si="202"/>
        <v>3103.9583000000002</v>
      </c>
      <c r="L1802" s="85">
        <f t="shared" si="202"/>
        <v>0</v>
      </c>
      <c r="M1802" s="85">
        <f t="shared" si="202"/>
        <v>12607.810810000001</v>
      </c>
      <c r="N1802" s="85">
        <f t="shared" si="202"/>
        <v>3103.9583000000002</v>
      </c>
      <c r="O1802" s="85">
        <f t="shared" si="202"/>
        <v>0</v>
      </c>
      <c r="P1802" s="85">
        <f>3103958/1000</f>
        <v>3103.9580000000001</v>
      </c>
      <c r="Q1802" s="85">
        <f t="shared" si="202"/>
        <v>12607.810810000001</v>
      </c>
      <c r="R1802" s="86"/>
      <c r="S1802" s="86"/>
      <c r="T1802" s="92">
        <v>0</v>
      </c>
      <c r="U1802" s="85">
        <f>SUM(U1787:U1801)</f>
        <v>3103.9583000000002</v>
      </c>
      <c r="V1802" s="85">
        <f>SUM(V1787:V1801)</f>
        <v>0</v>
      </c>
      <c r="W1802" s="85">
        <f>SUM(W1787:W1801)</f>
        <v>0</v>
      </c>
      <c r="X1802" s="85">
        <f t="shared" si="197"/>
        <v>44026.760179999997</v>
      </c>
      <c r="Y1802" s="85">
        <f>SUM(Y1787:Y1801)</f>
        <v>0</v>
      </c>
      <c r="Z1802" s="85">
        <f t="shared" si="199"/>
        <v>2.9999999969732016E-4</v>
      </c>
      <c r="AA1802" s="69">
        <f>SUM(AA1787:AA1801)</f>
        <v>15711.769110000003</v>
      </c>
      <c r="AB1802" s="69">
        <f>SUM(AB1787:AB1801)</f>
        <v>0</v>
      </c>
    </row>
    <row r="1803" spans="1:28" hidden="1" x14ac:dyDescent="0.3">
      <c r="A1803" s="117"/>
      <c r="E1803" s="86" t="s">
        <v>29</v>
      </c>
      <c r="F1803" s="86" t="s">
        <v>29</v>
      </c>
      <c r="G1803" s="86" t="s">
        <v>29</v>
      </c>
      <c r="H1803" s="86" t="s">
        <v>29</v>
      </c>
      <c r="I1803" s="86" t="s">
        <v>29</v>
      </c>
      <c r="J1803" s="86" t="s">
        <v>29</v>
      </c>
      <c r="K1803" s="86" t="s">
        <v>29</v>
      </c>
      <c r="L1803" s="86" t="s">
        <v>29</v>
      </c>
      <c r="M1803" s="86" t="s">
        <v>29</v>
      </c>
      <c r="N1803" s="86" t="s">
        <v>29</v>
      </c>
      <c r="O1803" s="86" t="s">
        <v>29</v>
      </c>
      <c r="P1803" s="86" t="s">
        <v>29</v>
      </c>
      <c r="Q1803" s="86" t="s">
        <v>29</v>
      </c>
      <c r="R1803" s="86"/>
      <c r="S1803" s="86"/>
      <c r="T1803" s="86"/>
      <c r="U1803" s="86" t="s">
        <v>29</v>
      </c>
      <c r="V1803" s="86" t="s">
        <v>29</v>
      </c>
      <c r="W1803" s="86" t="s">
        <v>29</v>
      </c>
      <c r="X1803" s="85" t="e">
        <f t="shared" si="197"/>
        <v>#VALUE!</v>
      </c>
      <c r="Y1803" s="86"/>
      <c r="Z1803" s="85" t="e">
        <f t="shared" si="199"/>
        <v>#VALUE!</v>
      </c>
      <c r="AA1803" s="115" t="s">
        <v>29</v>
      </c>
      <c r="AB1803" s="115" t="s">
        <v>29</v>
      </c>
    </row>
    <row r="1804" spans="1:28" hidden="1" x14ac:dyDescent="0.3">
      <c r="A1804" s="105"/>
      <c r="E1804" s="84"/>
      <c r="F1804" s="84"/>
      <c r="G1804" s="84"/>
      <c r="H1804" s="84"/>
      <c r="I1804" s="84"/>
      <c r="J1804" s="84"/>
      <c r="K1804" s="84"/>
      <c r="L1804" s="84"/>
      <c r="M1804" s="84"/>
      <c r="N1804" s="84"/>
      <c r="O1804" s="84"/>
      <c r="P1804" s="84"/>
      <c r="Q1804" s="84"/>
      <c r="R1804" s="86"/>
      <c r="S1804" s="86"/>
      <c r="T1804" s="86"/>
      <c r="U1804" s="86"/>
      <c r="V1804" s="86"/>
      <c r="W1804" s="86"/>
      <c r="X1804" s="85">
        <f t="shared" si="197"/>
        <v>0</v>
      </c>
      <c r="Y1804" s="86"/>
      <c r="Z1804" s="85">
        <f t="shared" si="199"/>
        <v>0</v>
      </c>
    </row>
    <row r="1805" spans="1:28" hidden="1" x14ac:dyDescent="0.3">
      <c r="A1805" s="117"/>
      <c r="C1805" s="68" t="s">
        <v>535</v>
      </c>
      <c r="D1805" s="87" t="s">
        <v>68</v>
      </c>
      <c r="E1805" s="85">
        <f>STATS1003B!E1809/1000</f>
        <v>48.317999999999998</v>
      </c>
      <c r="F1805" s="85">
        <f>STATS1003B!F1809/1000</f>
        <v>0</v>
      </c>
      <c r="G1805" s="85">
        <f>STATS1003B!G1809/1000</f>
        <v>0</v>
      </c>
      <c r="H1805" s="85">
        <f>STATS1003B!H1809/1000</f>
        <v>0</v>
      </c>
      <c r="I1805" s="85">
        <f>STATS1003B!I1809/1000</f>
        <v>0</v>
      </c>
      <c r="J1805" s="85">
        <f>STATS1003B!J1809/1000</f>
        <v>0</v>
      </c>
      <c r="K1805" s="85">
        <f>STATS1003B!K1809/1000</f>
        <v>48.317999999999998</v>
      </c>
      <c r="L1805" s="85">
        <f>STATS1003B!L1809/1000</f>
        <v>0</v>
      </c>
      <c r="M1805" s="85">
        <f>STATS1003B!M1809/1000</f>
        <v>0</v>
      </c>
      <c r="N1805" s="85">
        <f>STATS1003B!N1809/1000</f>
        <v>48.317999999999998</v>
      </c>
      <c r="O1805" s="85">
        <f>STATS1003B!O1809/1000</f>
        <v>0</v>
      </c>
      <c r="P1805" s="85">
        <f>STATS1003B!P1809/1000</f>
        <v>48.317999999999998</v>
      </c>
      <c r="Q1805" s="85">
        <f>STATS1003B!Q1809/1000</f>
        <v>0</v>
      </c>
      <c r="R1805" s="85">
        <f>STATS1003B!R1809/1000</f>
        <v>0</v>
      </c>
      <c r="S1805" s="85">
        <f>STATS1003B!S1809/1000</f>
        <v>0</v>
      </c>
      <c r="T1805" s="85">
        <f>STATS1003B!T1809/1000</f>
        <v>0</v>
      </c>
      <c r="U1805" s="85">
        <f>STATS1003B!U1809/1000</f>
        <v>48.317999999999998</v>
      </c>
      <c r="V1805" s="85">
        <f>STATS1003B!V1809/1000</f>
        <v>0</v>
      </c>
      <c r="W1805" s="85">
        <f>STATS1003B!W1809/1000</f>
        <v>0</v>
      </c>
      <c r="X1805" s="85">
        <f t="shared" si="197"/>
        <v>48.317999999999998</v>
      </c>
      <c r="Y1805" s="85">
        <f>STATS1003B!Y1809/1000</f>
        <v>0</v>
      </c>
      <c r="Z1805" s="85">
        <f t="shared" si="199"/>
        <v>0</v>
      </c>
      <c r="AA1805" s="69">
        <f>STATS1003B!AA1809/1000</f>
        <v>48.317999999999998</v>
      </c>
      <c r="AB1805" s="69">
        <f>STATS1003B!AB1809/1000</f>
        <v>0</v>
      </c>
    </row>
    <row r="1806" spans="1:28" hidden="1" x14ac:dyDescent="0.3">
      <c r="A1806" s="117"/>
      <c r="C1806" s="68" t="s">
        <v>539</v>
      </c>
      <c r="D1806" s="87" t="s">
        <v>68</v>
      </c>
      <c r="E1806" s="85">
        <f>STATS1003B!E1810/1000</f>
        <v>1224.7453500000001</v>
      </c>
      <c r="F1806" s="85">
        <f>STATS1003B!F1810/1000</f>
        <v>0</v>
      </c>
      <c r="G1806" s="85">
        <f>STATS1003B!G1810/1000</f>
        <v>0</v>
      </c>
      <c r="H1806" s="85">
        <f>STATS1003B!H1810/1000</f>
        <v>0</v>
      </c>
      <c r="I1806" s="85">
        <f>STATS1003B!I1810/1000</f>
        <v>0</v>
      </c>
      <c r="J1806" s="85">
        <f>STATS1003B!J1810/1000</f>
        <v>0</v>
      </c>
      <c r="K1806" s="85">
        <f>STATS1003B!K1810/1000</f>
        <v>1224.7453500000001</v>
      </c>
      <c r="L1806" s="85">
        <f>STATS1003B!L1810/1000</f>
        <v>0</v>
      </c>
      <c r="M1806" s="85">
        <f>STATS1003B!M1810/1000</f>
        <v>0</v>
      </c>
      <c r="N1806" s="85">
        <f>STATS1003B!N1810/1000</f>
        <v>1224.7453500000001</v>
      </c>
      <c r="O1806" s="85">
        <f>STATS1003B!O1810/1000</f>
        <v>0</v>
      </c>
      <c r="P1806" s="85">
        <f>STATS1003B!P1810/1000</f>
        <v>1224.7453500000001</v>
      </c>
      <c r="Q1806" s="85">
        <f>STATS1003B!Q1810/1000</f>
        <v>0</v>
      </c>
      <c r="R1806" s="85">
        <f>STATS1003B!R1810/1000</f>
        <v>0</v>
      </c>
      <c r="S1806" s="85">
        <f>STATS1003B!S1810/1000</f>
        <v>0</v>
      </c>
      <c r="T1806" s="85">
        <f>STATS1003B!T1810/1000</f>
        <v>0</v>
      </c>
      <c r="U1806" s="85">
        <f>STATS1003B!U1810/1000</f>
        <v>1224.7453500000001</v>
      </c>
      <c r="V1806" s="85">
        <f>STATS1003B!V1810/1000</f>
        <v>0</v>
      </c>
      <c r="W1806" s="85">
        <f>STATS1003B!W1810/1000</f>
        <v>0</v>
      </c>
      <c r="X1806" s="85">
        <f t="shared" si="197"/>
        <v>1224.7453500000001</v>
      </c>
      <c r="Y1806" s="85">
        <f>STATS1003B!Y1810/1000</f>
        <v>0</v>
      </c>
      <c r="Z1806" s="85">
        <f t="shared" si="199"/>
        <v>0</v>
      </c>
      <c r="AA1806" s="69">
        <f>STATS1003B!AA1810/1000</f>
        <v>1224.7453500000001</v>
      </c>
      <c r="AB1806" s="69">
        <f>STATS1003B!AB1810/1000</f>
        <v>0</v>
      </c>
    </row>
    <row r="1807" spans="1:28" hidden="1" x14ac:dyDescent="0.3">
      <c r="A1807" s="117"/>
      <c r="C1807" s="68" t="s">
        <v>545</v>
      </c>
      <c r="D1807" s="87" t="s">
        <v>54</v>
      </c>
      <c r="E1807" s="85">
        <f>STATS1003B!E1811/1000</f>
        <v>1953.989</v>
      </c>
      <c r="F1807" s="85">
        <f>STATS1003B!F1811/1000</f>
        <v>0</v>
      </c>
      <c r="G1807" s="85">
        <f>STATS1003B!G1811/1000</f>
        <v>0</v>
      </c>
      <c r="H1807" s="85">
        <f>STATS1003B!H1811/1000</f>
        <v>0</v>
      </c>
      <c r="I1807" s="85">
        <f>STATS1003B!I1811/1000</f>
        <v>0</v>
      </c>
      <c r="J1807" s="85">
        <f>STATS1003B!J1811/1000</f>
        <v>0</v>
      </c>
      <c r="K1807" s="85">
        <f>STATS1003B!K1811/1000</f>
        <v>1953.989</v>
      </c>
      <c r="L1807" s="85">
        <f>STATS1003B!L1811/1000</f>
        <v>0</v>
      </c>
      <c r="M1807" s="85">
        <f>STATS1003B!M1811/1000</f>
        <v>0</v>
      </c>
      <c r="N1807" s="85">
        <f>STATS1003B!N1811/1000</f>
        <v>1953.989</v>
      </c>
      <c r="O1807" s="85">
        <f>STATS1003B!O1811/1000</f>
        <v>0</v>
      </c>
      <c r="P1807" s="85">
        <f>STATS1003B!P1811/1000</f>
        <v>1953.989</v>
      </c>
      <c r="Q1807" s="85">
        <f>STATS1003B!Q1811/1000</f>
        <v>0</v>
      </c>
      <c r="R1807" s="85">
        <f>STATS1003B!R1811/1000</f>
        <v>0</v>
      </c>
      <c r="S1807" s="85">
        <f>STATS1003B!S1811/1000</f>
        <v>0</v>
      </c>
      <c r="T1807" s="85">
        <f>STATS1003B!T1811/1000</f>
        <v>0</v>
      </c>
      <c r="U1807" s="85">
        <f>STATS1003B!U1811/1000</f>
        <v>1953.989</v>
      </c>
      <c r="V1807" s="85">
        <f>STATS1003B!V1811/1000</f>
        <v>0</v>
      </c>
      <c r="W1807" s="85">
        <f>STATS1003B!W1811/1000</f>
        <v>0</v>
      </c>
      <c r="X1807" s="85">
        <f t="shared" si="197"/>
        <v>1953.989</v>
      </c>
      <c r="Y1807" s="85">
        <f>STATS1003B!Y1811/1000</f>
        <v>0</v>
      </c>
      <c r="Z1807" s="85">
        <f t="shared" si="199"/>
        <v>0</v>
      </c>
      <c r="AA1807" s="69">
        <f>STATS1003B!AA1811/1000</f>
        <v>1953.989</v>
      </c>
      <c r="AB1807" s="69">
        <f>STATS1003B!AB1811/1000</f>
        <v>0</v>
      </c>
    </row>
    <row r="1808" spans="1:28" hidden="1" x14ac:dyDescent="0.3">
      <c r="A1808" s="117"/>
      <c r="C1808" s="68" t="s">
        <v>535</v>
      </c>
      <c r="D1808" s="87" t="s">
        <v>85</v>
      </c>
      <c r="E1808" s="85">
        <f>STATS1003B!E1812/1000</f>
        <v>2000</v>
      </c>
      <c r="F1808" s="85">
        <f>STATS1003B!F1812/1000</f>
        <v>2000</v>
      </c>
      <c r="G1808" s="85">
        <f>STATS1003B!G1812/1000</f>
        <v>0</v>
      </c>
      <c r="H1808" s="85">
        <f>STATS1003B!H1812/1000</f>
        <v>2000</v>
      </c>
      <c r="I1808" s="85">
        <f>STATS1003B!I1812/1000</f>
        <v>0</v>
      </c>
      <c r="J1808" s="85">
        <f>STATS1003B!J1812/1000</f>
        <v>2000</v>
      </c>
      <c r="K1808" s="85">
        <f>STATS1003B!K1812/1000</f>
        <v>0</v>
      </c>
      <c r="L1808" s="85">
        <f>STATS1003B!L1812/1000</f>
        <v>0</v>
      </c>
      <c r="M1808" s="85">
        <f>STATS1003B!M1812/1000</f>
        <v>2000</v>
      </c>
      <c r="N1808" s="85">
        <f>STATS1003B!N1812/1000</f>
        <v>0</v>
      </c>
      <c r="O1808" s="85">
        <f>STATS1003B!O1812/1000</f>
        <v>0</v>
      </c>
      <c r="P1808" s="85">
        <f>STATS1003B!P1812/1000</f>
        <v>0</v>
      </c>
      <c r="Q1808" s="85">
        <f>STATS1003B!Q1812/1000</f>
        <v>2000</v>
      </c>
      <c r="R1808" s="85">
        <f>STATS1003B!R1812/1000</f>
        <v>0</v>
      </c>
      <c r="S1808" s="85">
        <f>STATS1003B!S1812/1000</f>
        <v>0</v>
      </c>
      <c r="T1808" s="85">
        <f>STATS1003B!T1812/1000</f>
        <v>0</v>
      </c>
      <c r="U1808" s="85">
        <f>STATS1003B!U1812/1000</f>
        <v>0</v>
      </c>
      <c r="V1808" s="85">
        <f>STATS1003B!V1812/1000</f>
        <v>0</v>
      </c>
      <c r="W1808" s="85">
        <f>STATS1003B!W1812/1000</f>
        <v>0</v>
      </c>
      <c r="X1808" s="85">
        <f t="shared" si="197"/>
        <v>2000</v>
      </c>
      <c r="Y1808" s="85">
        <f>STATS1003B!Y1812/1000</f>
        <v>0</v>
      </c>
      <c r="Z1808" s="85">
        <f t="shared" si="199"/>
        <v>0</v>
      </c>
      <c r="AA1808" s="69">
        <f>STATS1003B!AA1812/1000</f>
        <v>2000</v>
      </c>
      <c r="AB1808" s="69">
        <f>STATS1003B!AB1812/1000</f>
        <v>0</v>
      </c>
    </row>
    <row r="1809" spans="1:28" hidden="1" x14ac:dyDescent="0.3">
      <c r="A1809" s="117"/>
      <c r="C1809" s="68" t="s">
        <v>603</v>
      </c>
      <c r="D1809" s="87" t="s">
        <v>85</v>
      </c>
      <c r="E1809" s="85">
        <f>STATS1003B!E1813/1000</f>
        <v>80</v>
      </c>
      <c r="F1809" s="85">
        <f>STATS1003B!F1813/1000</f>
        <v>80</v>
      </c>
      <c r="G1809" s="85">
        <f>STATS1003B!G1813/1000</f>
        <v>0</v>
      </c>
      <c r="H1809" s="85">
        <f>STATS1003B!H1813/1000</f>
        <v>80</v>
      </c>
      <c r="I1809" s="85">
        <f>STATS1003B!I1813/1000</f>
        <v>0</v>
      </c>
      <c r="J1809" s="85">
        <f>STATS1003B!J1813/1000</f>
        <v>80</v>
      </c>
      <c r="K1809" s="85">
        <f>STATS1003B!K1813/1000</f>
        <v>0</v>
      </c>
      <c r="L1809" s="85">
        <f>STATS1003B!L1813/1000</f>
        <v>0</v>
      </c>
      <c r="M1809" s="85">
        <f>STATS1003B!M1813/1000</f>
        <v>80</v>
      </c>
      <c r="N1809" s="85">
        <f>STATS1003B!N1813/1000</f>
        <v>0</v>
      </c>
      <c r="O1809" s="85">
        <f>STATS1003B!O1813/1000</f>
        <v>0</v>
      </c>
      <c r="P1809" s="85">
        <f>STATS1003B!P1813/1000</f>
        <v>0</v>
      </c>
      <c r="Q1809" s="85">
        <f>STATS1003B!Q1813/1000</f>
        <v>80</v>
      </c>
      <c r="R1809" s="85">
        <f>STATS1003B!R1813/1000</f>
        <v>0</v>
      </c>
      <c r="S1809" s="85">
        <f>STATS1003B!S1813/1000</f>
        <v>0</v>
      </c>
      <c r="T1809" s="85">
        <f>STATS1003B!T1813/1000</f>
        <v>0</v>
      </c>
      <c r="U1809" s="85">
        <f>STATS1003B!U1813/1000</f>
        <v>0</v>
      </c>
      <c r="V1809" s="85">
        <f>STATS1003B!V1813/1000</f>
        <v>0</v>
      </c>
      <c r="W1809" s="85">
        <f>STATS1003B!W1813/1000</f>
        <v>0</v>
      </c>
      <c r="X1809" s="85">
        <f t="shared" si="197"/>
        <v>80</v>
      </c>
      <c r="Y1809" s="85">
        <f>STATS1003B!Y1813/1000</f>
        <v>0</v>
      </c>
      <c r="Z1809" s="85">
        <f t="shared" si="199"/>
        <v>0</v>
      </c>
      <c r="AA1809" s="69">
        <f>STATS1003B!AA1813/1000</f>
        <v>80</v>
      </c>
      <c r="AB1809" s="69">
        <f>STATS1003B!AB1813/1000</f>
        <v>0</v>
      </c>
    </row>
    <row r="1810" spans="1:28" hidden="1" x14ac:dyDescent="0.3">
      <c r="A1810" s="117"/>
      <c r="C1810" s="68" t="s">
        <v>535</v>
      </c>
      <c r="D1810" s="87" t="s">
        <v>128</v>
      </c>
      <c r="E1810" s="85">
        <f>STATS1003B!E1814/1000</f>
        <v>2400</v>
      </c>
      <c r="F1810" s="85">
        <f>STATS1003B!F1814/1000</f>
        <v>2400</v>
      </c>
      <c r="G1810" s="85">
        <f>STATS1003B!G1814/1000</f>
        <v>0</v>
      </c>
      <c r="H1810" s="85">
        <f>STATS1003B!H1814/1000</f>
        <v>2400</v>
      </c>
      <c r="I1810" s="85">
        <f>STATS1003B!I1814/1000</f>
        <v>0</v>
      </c>
      <c r="J1810" s="85">
        <f>STATS1003B!J1814/1000</f>
        <v>2400</v>
      </c>
      <c r="K1810" s="85">
        <f>STATS1003B!K1814/1000</f>
        <v>0</v>
      </c>
      <c r="L1810" s="85">
        <f>STATS1003B!L1814/1000</f>
        <v>0</v>
      </c>
      <c r="M1810" s="85">
        <f>STATS1003B!M1814/1000</f>
        <v>2400</v>
      </c>
      <c r="N1810" s="85">
        <f>STATS1003B!N1814/1000</f>
        <v>0</v>
      </c>
      <c r="O1810" s="85">
        <f>STATS1003B!O1814/1000</f>
        <v>0</v>
      </c>
      <c r="P1810" s="85">
        <f>STATS1003B!P1814/1000</f>
        <v>0</v>
      </c>
      <c r="Q1810" s="85">
        <f>STATS1003B!Q1814/1000</f>
        <v>2400</v>
      </c>
      <c r="R1810" s="85">
        <f>STATS1003B!R1814/1000</f>
        <v>0</v>
      </c>
      <c r="S1810" s="85">
        <f>STATS1003B!S1814/1000</f>
        <v>0</v>
      </c>
      <c r="T1810" s="85">
        <f>STATS1003B!T1814/1000</f>
        <v>0</v>
      </c>
      <c r="U1810" s="85">
        <f>STATS1003B!U1814/1000</f>
        <v>0</v>
      </c>
      <c r="V1810" s="85">
        <f>STATS1003B!V1814/1000</f>
        <v>0</v>
      </c>
      <c r="W1810" s="85">
        <f>STATS1003B!W1814/1000</f>
        <v>0</v>
      </c>
      <c r="X1810" s="85">
        <f t="shared" si="197"/>
        <v>2400</v>
      </c>
      <c r="Y1810" s="85">
        <f>STATS1003B!Y1814/1000</f>
        <v>0</v>
      </c>
      <c r="Z1810" s="85">
        <f t="shared" si="199"/>
        <v>0</v>
      </c>
      <c r="AA1810" s="69">
        <f>STATS1003B!AA1814/1000</f>
        <v>2400</v>
      </c>
      <c r="AB1810" s="69">
        <f>STATS1003B!AB1814/1000</f>
        <v>0</v>
      </c>
    </row>
    <row r="1811" spans="1:28" hidden="1" x14ac:dyDescent="0.3">
      <c r="A1811" s="117"/>
      <c r="C1811" s="68" t="s">
        <v>535</v>
      </c>
      <c r="D1811" s="87" t="s">
        <v>108</v>
      </c>
      <c r="E1811" s="85">
        <f>STATS1003B!E1815/1000</f>
        <v>5540.8475099999996</v>
      </c>
      <c r="F1811" s="85">
        <f>STATS1003B!F1815/1000</f>
        <v>5540.8475099999996</v>
      </c>
      <c r="G1811" s="85">
        <f>STATS1003B!G1815/1000</f>
        <v>0</v>
      </c>
      <c r="H1811" s="85">
        <f>STATS1003B!H1815/1000</f>
        <v>5540.8475099999996</v>
      </c>
      <c r="I1811" s="85">
        <f>STATS1003B!I1815/1000</f>
        <v>0</v>
      </c>
      <c r="J1811" s="85">
        <f>STATS1003B!J1815/1000</f>
        <v>5540.8475099999996</v>
      </c>
      <c r="K1811" s="85">
        <f>STATS1003B!K1815/1000</f>
        <v>0</v>
      </c>
      <c r="L1811" s="85">
        <f>STATS1003B!L1815/1000</f>
        <v>0</v>
      </c>
      <c r="M1811" s="85">
        <f>STATS1003B!M1815/1000</f>
        <v>5540.8475099999996</v>
      </c>
      <c r="N1811" s="85">
        <f>STATS1003B!N1815/1000</f>
        <v>0</v>
      </c>
      <c r="O1811" s="85">
        <f>STATS1003B!O1815/1000</f>
        <v>0</v>
      </c>
      <c r="P1811" s="85">
        <f>STATS1003B!P1815/1000</f>
        <v>0</v>
      </c>
      <c r="Q1811" s="85">
        <f>STATS1003B!Q1815/1000</f>
        <v>5540.8475099999996</v>
      </c>
      <c r="R1811" s="85">
        <f>STATS1003B!R1815/1000</f>
        <v>0</v>
      </c>
      <c r="S1811" s="85">
        <f>STATS1003B!S1815/1000</f>
        <v>0</v>
      </c>
      <c r="T1811" s="85">
        <f>STATS1003B!T1815/1000</f>
        <v>0</v>
      </c>
      <c r="U1811" s="85">
        <f>STATS1003B!U1815/1000</f>
        <v>0</v>
      </c>
      <c r="V1811" s="85">
        <f>STATS1003B!V1815/1000</f>
        <v>0</v>
      </c>
      <c r="W1811" s="85">
        <f>STATS1003B!W1815/1000</f>
        <v>0</v>
      </c>
      <c r="X1811" s="85">
        <f t="shared" si="197"/>
        <v>5540.8475099999996</v>
      </c>
      <c r="Y1811" s="85">
        <f>STATS1003B!Y1815/1000</f>
        <v>0</v>
      </c>
      <c r="Z1811" s="85">
        <f t="shared" si="199"/>
        <v>0</v>
      </c>
      <c r="AA1811" s="69">
        <f>STATS1003B!AA1815/1000</f>
        <v>5540.8475099999996</v>
      </c>
      <c r="AB1811" s="69">
        <f>STATS1003B!AB1815/1000</f>
        <v>0</v>
      </c>
    </row>
    <row r="1812" spans="1:28" hidden="1" x14ac:dyDescent="0.3">
      <c r="A1812" s="117"/>
      <c r="C1812" s="68" t="s">
        <v>535</v>
      </c>
      <c r="D1812" s="87" t="s">
        <v>58</v>
      </c>
      <c r="E1812" s="85">
        <f>STATS1003B!E1816/1000</f>
        <v>2116.018</v>
      </c>
      <c r="F1812" s="85">
        <f>STATS1003B!F1816/1000</f>
        <v>2116.018</v>
      </c>
      <c r="G1812" s="85">
        <f>STATS1003B!G1816/1000</f>
        <v>0</v>
      </c>
      <c r="H1812" s="85">
        <f>STATS1003B!H1816/1000</f>
        <v>2116.018</v>
      </c>
      <c r="I1812" s="85">
        <f>STATS1003B!I1816/1000</f>
        <v>0</v>
      </c>
      <c r="J1812" s="85">
        <f>STATS1003B!J1816/1000</f>
        <v>2116.018</v>
      </c>
      <c r="K1812" s="85">
        <f>STATS1003B!K1816/1000</f>
        <v>0</v>
      </c>
      <c r="L1812" s="85">
        <f>STATS1003B!L1816/1000</f>
        <v>0</v>
      </c>
      <c r="M1812" s="85">
        <f>STATS1003B!M1816/1000</f>
        <v>2116.018</v>
      </c>
      <c r="N1812" s="85">
        <f>STATS1003B!N1816/1000</f>
        <v>0</v>
      </c>
      <c r="O1812" s="85">
        <f>STATS1003B!O1816/1000</f>
        <v>0</v>
      </c>
      <c r="P1812" s="85">
        <f>STATS1003B!P1816/1000</f>
        <v>0</v>
      </c>
      <c r="Q1812" s="85">
        <f>STATS1003B!Q1816/1000</f>
        <v>2116.018</v>
      </c>
      <c r="R1812" s="85">
        <f>STATS1003B!R1816/1000</f>
        <v>0</v>
      </c>
      <c r="S1812" s="85">
        <f>STATS1003B!S1816/1000</f>
        <v>0</v>
      </c>
      <c r="T1812" s="85">
        <f>STATS1003B!T1816/1000</f>
        <v>0</v>
      </c>
      <c r="U1812" s="85">
        <f>STATS1003B!U1816/1000</f>
        <v>0</v>
      </c>
      <c r="V1812" s="85">
        <f>STATS1003B!V1816/1000</f>
        <v>0</v>
      </c>
      <c r="W1812" s="85">
        <f>STATS1003B!W1816/1000</f>
        <v>0</v>
      </c>
      <c r="X1812" s="85">
        <f t="shared" si="197"/>
        <v>2116.018</v>
      </c>
      <c r="Y1812" s="85">
        <f>STATS1003B!Y1816/1000</f>
        <v>0</v>
      </c>
      <c r="Z1812" s="85">
        <f t="shared" si="199"/>
        <v>0</v>
      </c>
      <c r="AA1812" s="69">
        <f>STATS1003B!AA1816/1000</f>
        <v>2116.018</v>
      </c>
      <c r="AB1812" s="69">
        <f>STATS1003B!AB1816/1000</f>
        <v>0</v>
      </c>
    </row>
    <row r="1813" spans="1:28" hidden="1" x14ac:dyDescent="0.3">
      <c r="A1813" s="117"/>
      <c r="C1813" s="68" t="s">
        <v>535</v>
      </c>
      <c r="D1813" s="87" t="s">
        <v>60</v>
      </c>
      <c r="E1813" s="85">
        <f>STATS1003B!E1817/1000</f>
        <v>615</v>
      </c>
      <c r="F1813" s="85">
        <f>STATS1003B!F1817/1000</f>
        <v>615</v>
      </c>
      <c r="G1813" s="85">
        <f>STATS1003B!G1817/1000</f>
        <v>0</v>
      </c>
      <c r="H1813" s="85">
        <f>STATS1003B!H1817/1000</f>
        <v>615</v>
      </c>
      <c r="I1813" s="85">
        <f>STATS1003B!I1817/1000</f>
        <v>0</v>
      </c>
      <c r="J1813" s="85">
        <f>STATS1003B!J1817/1000</f>
        <v>615</v>
      </c>
      <c r="K1813" s="85">
        <f>STATS1003B!K1817/1000</f>
        <v>0</v>
      </c>
      <c r="L1813" s="85">
        <f>STATS1003B!L1817/1000</f>
        <v>0</v>
      </c>
      <c r="M1813" s="85">
        <f>STATS1003B!M1817/1000</f>
        <v>615</v>
      </c>
      <c r="N1813" s="85">
        <f>STATS1003B!N1817/1000</f>
        <v>0</v>
      </c>
      <c r="O1813" s="85">
        <f>STATS1003B!O1817/1000</f>
        <v>0</v>
      </c>
      <c r="P1813" s="85">
        <f>STATS1003B!P1817/1000</f>
        <v>0</v>
      </c>
      <c r="Q1813" s="85">
        <f>STATS1003B!Q1817/1000</f>
        <v>615</v>
      </c>
      <c r="R1813" s="85">
        <f>STATS1003B!R1817/1000</f>
        <v>0</v>
      </c>
      <c r="S1813" s="85">
        <f>STATS1003B!S1817/1000</f>
        <v>0</v>
      </c>
      <c r="T1813" s="85">
        <f>STATS1003B!T1817/1000</f>
        <v>0</v>
      </c>
      <c r="U1813" s="85">
        <f>STATS1003B!U1817/1000</f>
        <v>0</v>
      </c>
      <c r="V1813" s="85">
        <f>STATS1003B!V1817/1000</f>
        <v>0</v>
      </c>
      <c r="W1813" s="85">
        <f>STATS1003B!W1817/1000</f>
        <v>0</v>
      </c>
      <c r="X1813" s="85">
        <f t="shared" si="197"/>
        <v>615</v>
      </c>
      <c r="Y1813" s="85">
        <f>STATS1003B!Y1817/1000</f>
        <v>0</v>
      </c>
      <c r="Z1813" s="85">
        <f t="shared" si="199"/>
        <v>0</v>
      </c>
      <c r="AA1813" s="69">
        <f>STATS1003B!AA1817/1000</f>
        <v>615</v>
      </c>
      <c r="AB1813" s="69">
        <f>STATS1003B!AB1817/1000</f>
        <v>0</v>
      </c>
    </row>
    <row r="1814" spans="1:28" hidden="1" x14ac:dyDescent="0.3">
      <c r="A1814" s="117"/>
      <c r="C1814" s="71" t="s">
        <v>535</v>
      </c>
      <c r="D1814" s="88" t="s">
        <v>73</v>
      </c>
      <c r="E1814" s="85">
        <f>STATS1003B!E1818/1000</f>
        <v>1478.4449999999999</v>
      </c>
      <c r="F1814" s="85">
        <f>STATS1003B!F1818/1000</f>
        <v>1478.4449999999999</v>
      </c>
      <c r="G1814" s="85">
        <f>STATS1003B!G1818/1000</f>
        <v>0</v>
      </c>
      <c r="H1814" s="85">
        <f>STATS1003B!H1818/1000</f>
        <v>1478.4449999999999</v>
      </c>
      <c r="I1814" s="85">
        <f>STATS1003B!I1818/1000</f>
        <v>0</v>
      </c>
      <c r="J1814" s="85">
        <f>STATS1003B!J1818/1000</f>
        <v>1478.4449999999999</v>
      </c>
      <c r="K1814" s="85">
        <f>STATS1003B!K1818/1000</f>
        <v>0</v>
      </c>
      <c r="L1814" s="85">
        <f>STATS1003B!L1818/1000</f>
        <v>0</v>
      </c>
      <c r="M1814" s="85">
        <f>STATS1003B!M1818/1000</f>
        <v>1478.4449999999999</v>
      </c>
      <c r="N1814" s="85">
        <f>STATS1003B!N1818/1000</f>
        <v>0</v>
      </c>
      <c r="O1814" s="85">
        <f>STATS1003B!O1818/1000</f>
        <v>0</v>
      </c>
      <c r="P1814" s="85">
        <f>STATS1003B!P1818/1000</f>
        <v>0</v>
      </c>
      <c r="Q1814" s="85">
        <f>STATS1003B!Q1818/1000</f>
        <v>1478.4449999999999</v>
      </c>
      <c r="R1814" s="85">
        <f>STATS1003B!R1818/1000</f>
        <v>0</v>
      </c>
      <c r="S1814" s="85">
        <f>STATS1003B!S1818/1000</f>
        <v>0</v>
      </c>
      <c r="T1814" s="85">
        <f>STATS1003B!T1818/1000</f>
        <v>0</v>
      </c>
      <c r="U1814" s="85">
        <f>STATS1003B!U1818/1000</f>
        <v>0</v>
      </c>
      <c r="V1814" s="85">
        <f>STATS1003B!V1818/1000</f>
        <v>0</v>
      </c>
      <c r="W1814" s="85">
        <f>STATS1003B!W1818/1000</f>
        <v>0</v>
      </c>
      <c r="X1814" s="85">
        <f t="shared" si="197"/>
        <v>1478.4449999999999</v>
      </c>
      <c r="Y1814" s="85">
        <f>STATS1003B!Y1818/1000</f>
        <v>0</v>
      </c>
      <c r="Z1814" s="85">
        <f t="shared" si="199"/>
        <v>0</v>
      </c>
      <c r="AA1814" s="69">
        <f>STATS1003B!AA1818/1000</f>
        <v>1478.4449999999999</v>
      </c>
      <c r="AB1814" s="69">
        <f>STATS1003B!AB1818/1000</f>
        <v>0</v>
      </c>
    </row>
    <row r="1815" spans="1:28" hidden="1" x14ac:dyDescent="0.3">
      <c r="A1815" s="117"/>
      <c r="C1815" s="71" t="s">
        <v>535</v>
      </c>
      <c r="D1815" s="88" t="s">
        <v>61</v>
      </c>
      <c r="E1815" s="85">
        <f>STATS1003B!E1819/1000</f>
        <v>1477.1061800000002</v>
      </c>
      <c r="F1815" s="85">
        <f>STATS1003B!F1819/1000</f>
        <v>1477.1061800000002</v>
      </c>
      <c r="G1815" s="85">
        <f>STATS1003B!G1819/1000</f>
        <v>0</v>
      </c>
      <c r="H1815" s="85">
        <f>STATS1003B!H1819/1000</f>
        <v>1477.1061800000002</v>
      </c>
      <c r="I1815" s="85">
        <f>STATS1003B!I1819/1000</f>
        <v>0</v>
      </c>
      <c r="J1815" s="85">
        <f>STATS1003B!J1819/1000</f>
        <v>1477.1061800000002</v>
      </c>
      <c r="K1815" s="85">
        <f>STATS1003B!K1819/1000</f>
        <v>0</v>
      </c>
      <c r="L1815" s="85">
        <f>STATS1003B!L1819/1000</f>
        <v>0</v>
      </c>
      <c r="M1815" s="85">
        <f>STATS1003B!M1819/1000</f>
        <v>1477.1061800000002</v>
      </c>
      <c r="N1815" s="85">
        <f>STATS1003B!N1819/1000</f>
        <v>0</v>
      </c>
      <c r="O1815" s="85">
        <f>STATS1003B!O1819/1000</f>
        <v>0</v>
      </c>
      <c r="P1815" s="85">
        <f>STATS1003B!P1819/1000</f>
        <v>0</v>
      </c>
      <c r="Q1815" s="85">
        <f>STATS1003B!Q1819/1000</f>
        <v>1477.1061800000002</v>
      </c>
      <c r="R1815" s="85">
        <f>STATS1003B!R1819/1000</f>
        <v>0</v>
      </c>
      <c r="S1815" s="85">
        <f>STATS1003B!S1819/1000</f>
        <v>0</v>
      </c>
      <c r="T1815" s="85">
        <f>STATS1003B!T1819/1000</f>
        <v>0</v>
      </c>
      <c r="U1815" s="85">
        <f>STATS1003B!U1819/1000</f>
        <v>0</v>
      </c>
      <c r="V1815" s="85">
        <f>STATS1003B!V1819/1000</f>
        <v>0</v>
      </c>
      <c r="W1815" s="85">
        <f>STATS1003B!W1819/1000</f>
        <v>0</v>
      </c>
      <c r="X1815" s="85">
        <f t="shared" si="197"/>
        <v>1477.1061800000002</v>
      </c>
      <c r="Y1815" s="85">
        <f>STATS1003B!Y1819/1000</f>
        <v>0</v>
      </c>
      <c r="Z1815" s="85">
        <f t="shared" si="199"/>
        <v>0</v>
      </c>
      <c r="AA1815" s="69">
        <f>STATS1003B!AA1819/1000</f>
        <v>1477.1061800000002</v>
      </c>
      <c r="AB1815" s="69">
        <f>STATS1003B!AB1819/1000</f>
        <v>0</v>
      </c>
    </row>
    <row r="1816" spans="1:28" hidden="1" x14ac:dyDescent="0.3">
      <c r="A1816" s="117"/>
      <c r="C1816" s="71" t="s">
        <v>933</v>
      </c>
      <c r="D1816" s="89" t="s">
        <v>1072</v>
      </c>
      <c r="E1816" s="85">
        <f>STATS1003B!E1820/1000</f>
        <v>1274</v>
      </c>
      <c r="F1816" s="85">
        <f>STATS1003B!F1820/1000</f>
        <v>1274</v>
      </c>
      <c r="G1816" s="85">
        <f>STATS1003B!G1820/1000</f>
        <v>0</v>
      </c>
      <c r="H1816" s="85">
        <f>STATS1003B!H1820/1000</f>
        <v>1274</v>
      </c>
      <c r="I1816" s="85">
        <f>STATS1003B!I1820/1000</f>
        <v>0</v>
      </c>
      <c r="J1816" s="85">
        <f>STATS1003B!J1820/1000</f>
        <v>0</v>
      </c>
      <c r="K1816" s="85">
        <f>STATS1003B!K1820/1000</f>
        <v>0</v>
      </c>
      <c r="L1816" s="85">
        <f>STATS1003B!L1820/1000</f>
        <v>0</v>
      </c>
      <c r="M1816" s="85">
        <f>STATS1003B!M1820/1000</f>
        <v>1274</v>
      </c>
      <c r="N1816" s="85">
        <f>STATS1003B!N1820/1000</f>
        <v>0</v>
      </c>
      <c r="O1816" s="85">
        <f>STATS1003B!O1820/1000</f>
        <v>0</v>
      </c>
      <c r="P1816" s="85">
        <f>STATS1003B!P1820/1000</f>
        <v>0</v>
      </c>
      <c r="Q1816" s="85">
        <f>STATS1003B!Q1820/1000</f>
        <v>0</v>
      </c>
      <c r="R1816" s="85">
        <f>STATS1003B!R1820/1000</f>
        <v>0</v>
      </c>
      <c r="S1816" s="85">
        <f>STATS1003B!S1820/1000</f>
        <v>0</v>
      </c>
      <c r="T1816" s="85">
        <f>STATS1003B!T1820/1000</f>
        <v>0</v>
      </c>
      <c r="U1816" s="85">
        <f>STATS1003B!U1820/1000</f>
        <v>0</v>
      </c>
      <c r="V1816" s="85">
        <f>STATS1003B!V1820/1000</f>
        <v>0</v>
      </c>
      <c r="W1816" s="85">
        <f>STATS1003B!W1820/1000</f>
        <v>0</v>
      </c>
      <c r="X1816" s="85">
        <f t="shared" si="197"/>
        <v>1274</v>
      </c>
      <c r="Y1816" s="85">
        <f>STATS1003B!Y1820/1000</f>
        <v>0</v>
      </c>
      <c r="Z1816" s="85">
        <f t="shared" si="199"/>
        <v>0</v>
      </c>
      <c r="AA1816" s="69">
        <f>STATS1003B!AA1820/1000</f>
        <v>1274</v>
      </c>
      <c r="AB1816" s="69">
        <f>STATS1003B!AB1820/1000</f>
        <v>0</v>
      </c>
    </row>
    <row r="1817" spans="1:28" hidden="1" x14ac:dyDescent="0.3">
      <c r="A1817" s="117"/>
      <c r="C1817" s="68" t="s">
        <v>551</v>
      </c>
      <c r="E1817" s="85">
        <f>STATS1003B!E1821/1000</f>
        <v>3106.63789</v>
      </c>
      <c r="F1817" s="85">
        <f>STATS1003B!F1821/1000</f>
        <v>3106.63789</v>
      </c>
      <c r="G1817" s="85">
        <f>STATS1003B!G1821/1000</f>
        <v>0</v>
      </c>
      <c r="H1817" s="85">
        <f>STATS1003B!H1821/1000</f>
        <v>3106.63789</v>
      </c>
      <c r="I1817" s="85">
        <f>STATS1003B!I1821/1000</f>
        <v>0</v>
      </c>
      <c r="J1817" s="85">
        <f>STATS1003B!J1821/1000</f>
        <v>3106.63789</v>
      </c>
      <c r="K1817" s="85">
        <f>STATS1003B!K1821/1000</f>
        <v>0</v>
      </c>
      <c r="L1817" s="85">
        <f>STATS1003B!L1821/1000</f>
        <v>0</v>
      </c>
      <c r="M1817" s="85">
        <f>STATS1003B!M1821/1000</f>
        <v>3106.63789</v>
      </c>
      <c r="N1817" s="85">
        <f>STATS1003B!N1821/1000</f>
        <v>0</v>
      </c>
      <c r="O1817" s="85">
        <f>STATS1003B!O1821/1000</f>
        <v>0</v>
      </c>
      <c r="P1817" s="85">
        <f>STATS1003B!P1821/1000</f>
        <v>0</v>
      </c>
      <c r="Q1817" s="85">
        <f>STATS1003B!Q1821/1000</f>
        <v>3106.63789</v>
      </c>
      <c r="R1817" s="85">
        <f>STATS1003B!R1821/1000</f>
        <v>0</v>
      </c>
      <c r="S1817" s="85">
        <f>STATS1003B!S1821/1000</f>
        <v>0</v>
      </c>
      <c r="T1817" s="85">
        <f>STATS1003B!T1821/1000</f>
        <v>0</v>
      </c>
      <c r="U1817" s="85">
        <f>STATS1003B!U1821/1000</f>
        <v>0</v>
      </c>
      <c r="V1817" s="85">
        <f>STATS1003B!V1821/1000</f>
        <v>0</v>
      </c>
      <c r="W1817" s="85">
        <f>STATS1003B!W1821/1000</f>
        <v>0</v>
      </c>
      <c r="X1817" s="85">
        <f t="shared" si="197"/>
        <v>3106.63789</v>
      </c>
      <c r="Y1817" s="85">
        <f>STATS1003B!Y1821/1000</f>
        <v>0</v>
      </c>
      <c r="Z1817" s="85">
        <f t="shared" si="199"/>
        <v>0</v>
      </c>
      <c r="AA1817" s="69">
        <f>STATS1003B!AA1821/1000</f>
        <v>3106.63789</v>
      </c>
      <c r="AB1817" s="69">
        <f>STATS1003B!AB1821/1000</f>
        <v>0</v>
      </c>
    </row>
    <row r="1818" spans="1:28" hidden="1" x14ac:dyDescent="0.3">
      <c r="A1818" s="117"/>
      <c r="C1818" s="68" t="s">
        <v>606</v>
      </c>
      <c r="E1818" s="85">
        <f>STATS1003B!E1822/1000</f>
        <v>8302.3900400000002</v>
      </c>
      <c r="F1818" s="85">
        <f>STATS1003B!F1822/1000</f>
        <v>5000</v>
      </c>
      <c r="G1818" s="85">
        <f>STATS1003B!G1822/1000</f>
        <v>0</v>
      </c>
      <c r="H1818" s="85">
        <f>STATS1003B!H1822/1000</f>
        <v>5000</v>
      </c>
      <c r="I1818" s="85">
        <f>STATS1003B!I1822/1000</f>
        <v>3302.3900400000002</v>
      </c>
      <c r="J1818" s="85">
        <f>STATS1003B!J1822/1000</f>
        <v>8302.3900400000002</v>
      </c>
      <c r="K1818" s="85">
        <f>STATS1003B!K1822/1000</f>
        <v>0</v>
      </c>
      <c r="L1818" s="85">
        <f>STATS1003B!L1822/1000</f>
        <v>3302.3900400000002</v>
      </c>
      <c r="M1818" s="85">
        <f>STATS1003B!M1822/1000</f>
        <v>8302.3900400000002</v>
      </c>
      <c r="N1818" s="85">
        <f>STATS1003B!N1822/1000</f>
        <v>0</v>
      </c>
      <c r="O1818" s="85">
        <f>STATS1003B!O1822/1000</f>
        <v>0</v>
      </c>
      <c r="P1818" s="85">
        <f>STATS1003B!P1822/1000</f>
        <v>0</v>
      </c>
      <c r="Q1818" s="85">
        <f>STATS1003B!Q1822/1000</f>
        <v>8302.3900400000002</v>
      </c>
      <c r="R1818" s="85">
        <f>STATS1003B!R1822/1000</f>
        <v>0</v>
      </c>
      <c r="S1818" s="85">
        <f>STATS1003B!S1822/1000</f>
        <v>0</v>
      </c>
      <c r="T1818" s="85">
        <f>STATS1003B!T1822/1000</f>
        <v>0</v>
      </c>
      <c r="U1818" s="85">
        <f>STATS1003B!U1822/1000</f>
        <v>0</v>
      </c>
      <c r="V1818" s="85">
        <f>STATS1003B!V1822/1000</f>
        <v>0</v>
      </c>
      <c r="W1818" s="85">
        <f>STATS1003B!W1822/1000</f>
        <v>0</v>
      </c>
      <c r="X1818" s="85">
        <f t="shared" si="197"/>
        <v>5000</v>
      </c>
      <c r="Y1818" s="85">
        <f>STATS1003B!Y1822/1000</f>
        <v>0</v>
      </c>
      <c r="Z1818" s="85">
        <f t="shared" si="199"/>
        <v>3302.3900400000002</v>
      </c>
      <c r="AA1818" s="69">
        <f>STATS1003B!AA1822/1000</f>
        <v>8302.3900400000002</v>
      </c>
      <c r="AB1818" s="69">
        <f>STATS1003B!AB1822/1000</f>
        <v>0</v>
      </c>
    </row>
    <row r="1819" spans="1:28" hidden="1" x14ac:dyDescent="0.3">
      <c r="A1819" s="117"/>
      <c r="E1819" s="86" t="s">
        <v>29</v>
      </c>
      <c r="F1819" s="86" t="s">
        <v>29</v>
      </c>
      <c r="G1819" s="86" t="s">
        <v>29</v>
      </c>
      <c r="H1819" s="86" t="s">
        <v>29</v>
      </c>
      <c r="I1819" s="86" t="s">
        <v>29</v>
      </c>
      <c r="J1819" s="86" t="s">
        <v>29</v>
      </c>
      <c r="K1819" s="86" t="s">
        <v>29</v>
      </c>
      <c r="L1819" s="86" t="s">
        <v>29</v>
      </c>
      <c r="M1819" s="86" t="s">
        <v>29</v>
      </c>
      <c r="N1819" s="86" t="s">
        <v>29</v>
      </c>
      <c r="O1819" s="86" t="s">
        <v>29</v>
      </c>
      <c r="P1819" s="86" t="s">
        <v>29</v>
      </c>
      <c r="Q1819" s="86" t="s">
        <v>29</v>
      </c>
      <c r="R1819" s="86"/>
      <c r="S1819" s="86"/>
      <c r="T1819" s="86"/>
      <c r="U1819" s="86"/>
      <c r="V1819" s="86"/>
      <c r="W1819" s="86"/>
      <c r="X1819" s="85" t="e">
        <f t="shared" si="197"/>
        <v>#VALUE!</v>
      </c>
      <c r="Y1819" s="86"/>
      <c r="Z1819" s="85" t="e">
        <f t="shared" si="199"/>
        <v>#VALUE!</v>
      </c>
      <c r="AA1819" s="115" t="s">
        <v>29</v>
      </c>
      <c r="AB1819" s="115" t="s">
        <v>29</v>
      </c>
    </row>
    <row r="1820" spans="1:28" x14ac:dyDescent="0.3">
      <c r="A1820" s="116">
        <v>80</v>
      </c>
      <c r="B1820" s="68" t="s">
        <v>767</v>
      </c>
      <c r="E1820" s="85">
        <f>117067832.32/1000</f>
        <v>117067.83231999999</v>
      </c>
      <c r="F1820" s="85">
        <f t="shared" ref="F1820:Q1820" si="203">SUM(F1805:F1819)</f>
        <v>25088.054579999996</v>
      </c>
      <c r="G1820" s="85">
        <f t="shared" si="203"/>
        <v>0</v>
      </c>
      <c r="H1820" s="85">
        <f>110538389.93/1000</f>
        <v>110538.38993</v>
      </c>
      <c r="I1820" s="85">
        <f t="shared" si="203"/>
        <v>3302.3900400000002</v>
      </c>
      <c r="J1820" s="85">
        <f t="shared" si="203"/>
        <v>27116.444620000002</v>
      </c>
      <c r="K1820" s="85">
        <f t="shared" si="203"/>
        <v>3227.0523499999999</v>
      </c>
      <c r="L1820" s="85">
        <f t="shared" si="203"/>
        <v>3302.3900400000002</v>
      </c>
      <c r="M1820" s="85">
        <f t="shared" si="203"/>
        <v>28390.444619999995</v>
      </c>
      <c r="N1820" s="85">
        <f t="shared" si="203"/>
        <v>3227.0523499999999</v>
      </c>
      <c r="O1820" s="85">
        <f t="shared" si="203"/>
        <v>0</v>
      </c>
      <c r="P1820" s="85">
        <f>3227052/1000</f>
        <v>3227.0520000000001</v>
      </c>
      <c r="Q1820" s="85">
        <f t="shared" si="203"/>
        <v>27116.444620000002</v>
      </c>
      <c r="R1820" s="86"/>
      <c r="S1820" s="86"/>
      <c r="T1820" s="85">
        <f t="shared" ref="T1820:Y1820" si="204">SUM(T1805:T1819)</f>
        <v>0</v>
      </c>
      <c r="U1820" s="85">
        <f t="shared" si="204"/>
        <v>3227.0523499999999</v>
      </c>
      <c r="V1820" s="85">
        <f t="shared" si="204"/>
        <v>0</v>
      </c>
      <c r="W1820" s="85">
        <f t="shared" si="204"/>
        <v>0</v>
      </c>
      <c r="X1820" s="85">
        <f t="shared" si="197"/>
        <v>113765.44193</v>
      </c>
      <c r="Y1820" s="85">
        <f t="shared" si="204"/>
        <v>0</v>
      </c>
      <c r="Z1820" s="85">
        <f t="shared" si="199"/>
        <v>3302.3903899999859</v>
      </c>
      <c r="AA1820" s="69">
        <f>SUM(AA1805:AA1819)</f>
        <v>31617.49697</v>
      </c>
      <c r="AB1820" s="69">
        <f>SUM(AB1805:AB1819)</f>
        <v>0</v>
      </c>
    </row>
    <row r="1821" spans="1:28" hidden="1" x14ac:dyDescent="0.3">
      <c r="A1821" s="117"/>
      <c r="E1821" s="86" t="s">
        <v>29</v>
      </c>
      <c r="F1821" s="86" t="s">
        <v>29</v>
      </c>
      <c r="G1821" s="86" t="s">
        <v>29</v>
      </c>
      <c r="H1821" s="86" t="s">
        <v>29</v>
      </c>
      <c r="I1821" s="86" t="s">
        <v>29</v>
      </c>
      <c r="J1821" s="86" t="s">
        <v>29</v>
      </c>
      <c r="K1821" s="86" t="s">
        <v>29</v>
      </c>
      <c r="L1821" s="86" t="s">
        <v>29</v>
      </c>
      <c r="M1821" s="86" t="s">
        <v>29</v>
      </c>
      <c r="N1821" s="86" t="s">
        <v>29</v>
      </c>
      <c r="O1821" s="86" t="s">
        <v>29</v>
      </c>
      <c r="P1821" s="86" t="s">
        <v>29</v>
      </c>
      <c r="Q1821" s="86" t="s">
        <v>29</v>
      </c>
      <c r="R1821" s="86"/>
      <c r="S1821" s="86"/>
      <c r="T1821" s="86"/>
      <c r="U1821" s="86"/>
      <c r="V1821" s="86"/>
      <c r="W1821" s="86"/>
      <c r="X1821" s="85" t="e">
        <f t="shared" si="197"/>
        <v>#VALUE!</v>
      </c>
      <c r="Y1821" s="86"/>
      <c r="Z1821" s="85" t="e">
        <f t="shared" si="199"/>
        <v>#VALUE!</v>
      </c>
      <c r="AA1821" s="115" t="s">
        <v>29</v>
      </c>
      <c r="AB1821" s="115" t="s">
        <v>29</v>
      </c>
    </row>
    <row r="1822" spans="1:28" hidden="1" x14ac:dyDescent="0.3">
      <c r="A1822" s="105"/>
      <c r="E1822" s="84"/>
      <c r="F1822" s="84"/>
      <c r="G1822" s="84"/>
      <c r="H1822" s="84"/>
      <c r="I1822" s="84"/>
      <c r="J1822" s="84"/>
      <c r="K1822" s="84"/>
      <c r="L1822" s="84"/>
      <c r="M1822" s="84"/>
      <c r="N1822" s="84"/>
      <c r="O1822" s="84"/>
      <c r="P1822" s="84"/>
      <c r="Q1822" s="84"/>
      <c r="R1822" s="86"/>
      <c r="S1822" s="86"/>
      <c r="T1822" s="86"/>
      <c r="U1822" s="86"/>
      <c r="V1822" s="86"/>
      <c r="W1822" s="86"/>
      <c r="X1822" s="85">
        <f t="shared" ref="X1822:X1885" si="205">+H1822+P1822</f>
        <v>0</v>
      </c>
      <c r="Y1822" s="86"/>
      <c r="Z1822" s="85">
        <f t="shared" si="199"/>
        <v>0</v>
      </c>
    </row>
    <row r="1823" spans="1:28" hidden="1" x14ac:dyDescent="0.3">
      <c r="A1823" s="117"/>
      <c r="C1823" s="68" t="s">
        <v>769</v>
      </c>
      <c r="D1823" s="87" t="s">
        <v>166</v>
      </c>
      <c r="E1823" s="85">
        <f>STATS1003B!E1827/1000</f>
        <v>3163</v>
      </c>
      <c r="F1823" s="85">
        <f>STATS1003B!F1827/1000</f>
        <v>3163</v>
      </c>
      <c r="G1823" s="85">
        <f>STATS1003B!G1827/1000</f>
        <v>0</v>
      </c>
      <c r="H1823" s="85">
        <f>STATS1003B!H1827/1000</f>
        <v>3163</v>
      </c>
      <c r="I1823" s="85">
        <f>STATS1003B!I1827/1000</f>
        <v>0</v>
      </c>
      <c r="J1823" s="85">
        <f>STATS1003B!J1827/1000</f>
        <v>3163</v>
      </c>
      <c r="K1823" s="85">
        <f>STATS1003B!K1827/1000</f>
        <v>0</v>
      </c>
      <c r="L1823" s="85">
        <f>STATS1003B!L1827/1000</f>
        <v>0</v>
      </c>
      <c r="M1823" s="85">
        <f>STATS1003B!M1827/1000</f>
        <v>3163</v>
      </c>
      <c r="N1823" s="85">
        <f>STATS1003B!N1827/1000</f>
        <v>0</v>
      </c>
      <c r="O1823" s="85">
        <f>STATS1003B!O1827/1000</f>
        <v>0</v>
      </c>
      <c r="P1823" s="85">
        <f>STATS1003B!P1827/1000</f>
        <v>0</v>
      </c>
      <c r="Q1823" s="85">
        <f>STATS1003B!Q1827/1000</f>
        <v>3163</v>
      </c>
      <c r="R1823" s="85">
        <f>STATS1003B!R1827/1000</f>
        <v>0</v>
      </c>
      <c r="S1823" s="85">
        <f>STATS1003B!S1827/1000</f>
        <v>0</v>
      </c>
      <c r="T1823" s="85">
        <f>STATS1003B!T1827/1000</f>
        <v>0</v>
      </c>
      <c r="U1823" s="85">
        <f>STATS1003B!U1827/1000</f>
        <v>0</v>
      </c>
      <c r="V1823" s="85">
        <f>STATS1003B!V1827/1000</f>
        <v>0</v>
      </c>
      <c r="W1823" s="85">
        <f>STATS1003B!W1827/1000</f>
        <v>0</v>
      </c>
      <c r="X1823" s="85">
        <f t="shared" si="205"/>
        <v>3163</v>
      </c>
      <c r="Y1823" s="85">
        <f>STATS1003B!Y1827/1000</f>
        <v>0</v>
      </c>
      <c r="Z1823" s="85">
        <f t="shared" si="199"/>
        <v>0</v>
      </c>
      <c r="AA1823" s="69">
        <f>STATS1003B!AA1827/1000</f>
        <v>3163</v>
      </c>
      <c r="AB1823" s="69">
        <f>STATS1003B!AB1827/1000</f>
        <v>0</v>
      </c>
    </row>
    <row r="1824" spans="1:28" hidden="1" x14ac:dyDescent="0.3">
      <c r="A1824" s="117"/>
      <c r="C1824" s="68" t="s">
        <v>535</v>
      </c>
      <c r="D1824" s="87" t="s">
        <v>68</v>
      </c>
      <c r="E1824" s="85">
        <f>STATS1003B!E1828/1000</f>
        <v>5735</v>
      </c>
      <c r="F1824" s="85">
        <f>STATS1003B!F1828/1000</f>
        <v>5735</v>
      </c>
      <c r="G1824" s="85">
        <f>STATS1003B!G1828/1000</f>
        <v>0</v>
      </c>
      <c r="H1824" s="85">
        <f>STATS1003B!H1828/1000</f>
        <v>5735</v>
      </c>
      <c r="I1824" s="85">
        <f>STATS1003B!I1828/1000</f>
        <v>0</v>
      </c>
      <c r="J1824" s="85">
        <f>STATS1003B!J1828/1000</f>
        <v>5735</v>
      </c>
      <c r="K1824" s="85">
        <f>STATS1003B!K1828/1000</f>
        <v>0</v>
      </c>
      <c r="L1824" s="85">
        <f>STATS1003B!L1828/1000</f>
        <v>0</v>
      </c>
      <c r="M1824" s="85">
        <f>STATS1003B!M1828/1000</f>
        <v>5735</v>
      </c>
      <c r="N1824" s="85">
        <f>STATS1003B!N1828/1000</f>
        <v>0</v>
      </c>
      <c r="O1824" s="85">
        <f>STATS1003B!O1828/1000</f>
        <v>0</v>
      </c>
      <c r="P1824" s="85">
        <f>STATS1003B!P1828/1000</f>
        <v>0</v>
      </c>
      <c r="Q1824" s="85">
        <f>STATS1003B!Q1828/1000</f>
        <v>5735</v>
      </c>
      <c r="R1824" s="85">
        <f>STATS1003B!R1828/1000</f>
        <v>0</v>
      </c>
      <c r="S1824" s="85">
        <f>STATS1003B!S1828/1000</f>
        <v>0</v>
      </c>
      <c r="T1824" s="85">
        <f>STATS1003B!T1828/1000</f>
        <v>0</v>
      </c>
      <c r="U1824" s="85">
        <f>STATS1003B!U1828/1000</f>
        <v>0</v>
      </c>
      <c r="V1824" s="85">
        <f>STATS1003B!V1828/1000</f>
        <v>0</v>
      </c>
      <c r="W1824" s="85">
        <f>STATS1003B!W1828/1000</f>
        <v>0</v>
      </c>
      <c r="X1824" s="85">
        <f t="shared" si="205"/>
        <v>5735</v>
      </c>
      <c r="Y1824" s="85">
        <f>STATS1003B!Y1828/1000</f>
        <v>0</v>
      </c>
      <c r="Z1824" s="85">
        <f t="shared" si="199"/>
        <v>0</v>
      </c>
      <c r="AA1824" s="69">
        <f>STATS1003B!AA1828/1000</f>
        <v>5735</v>
      </c>
      <c r="AB1824" s="69">
        <f>STATS1003B!AB1828/1000</f>
        <v>0</v>
      </c>
    </row>
    <row r="1825" spans="1:28" hidden="1" x14ac:dyDescent="0.3">
      <c r="A1825" s="117"/>
      <c r="C1825" s="68" t="s">
        <v>535</v>
      </c>
      <c r="D1825" s="87" t="s">
        <v>54</v>
      </c>
      <c r="E1825" s="85">
        <f>STATS1003B!E1829/1000</f>
        <v>1049.44175</v>
      </c>
      <c r="F1825" s="85">
        <f>STATS1003B!F1829/1000</f>
        <v>1049.44175</v>
      </c>
      <c r="G1825" s="85">
        <f>STATS1003B!G1829/1000</f>
        <v>0</v>
      </c>
      <c r="H1825" s="85">
        <f>STATS1003B!H1829/1000</f>
        <v>1049.44175</v>
      </c>
      <c r="I1825" s="85">
        <f>STATS1003B!I1829/1000</f>
        <v>0</v>
      </c>
      <c r="J1825" s="85">
        <f>STATS1003B!J1829/1000</f>
        <v>1049.44175</v>
      </c>
      <c r="K1825" s="85">
        <f>STATS1003B!K1829/1000</f>
        <v>0</v>
      </c>
      <c r="L1825" s="85">
        <f>STATS1003B!L1829/1000</f>
        <v>0</v>
      </c>
      <c r="M1825" s="85">
        <f>STATS1003B!M1829/1000</f>
        <v>1049.44175</v>
      </c>
      <c r="N1825" s="85">
        <f>STATS1003B!N1829/1000</f>
        <v>0</v>
      </c>
      <c r="O1825" s="85">
        <f>STATS1003B!O1829/1000</f>
        <v>0</v>
      </c>
      <c r="P1825" s="85">
        <f>STATS1003B!P1829/1000</f>
        <v>0</v>
      </c>
      <c r="Q1825" s="85">
        <f>STATS1003B!Q1829/1000</f>
        <v>1049.44175</v>
      </c>
      <c r="R1825" s="85">
        <f>STATS1003B!R1829/1000</f>
        <v>0</v>
      </c>
      <c r="S1825" s="85">
        <f>STATS1003B!S1829/1000</f>
        <v>0</v>
      </c>
      <c r="T1825" s="85">
        <f>STATS1003B!T1829/1000</f>
        <v>0</v>
      </c>
      <c r="U1825" s="85">
        <f>STATS1003B!U1829/1000</f>
        <v>0</v>
      </c>
      <c r="V1825" s="85">
        <f>STATS1003B!V1829/1000</f>
        <v>0</v>
      </c>
      <c r="W1825" s="85">
        <f>STATS1003B!W1829/1000</f>
        <v>0</v>
      </c>
      <c r="X1825" s="85">
        <f t="shared" si="205"/>
        <v>1049.44175</v>
      </c>
      <c r="Y1825" s="85">
        <f>STATS1003B!Y1829/1000</f>
        <v>0</v>
      </c>
      <c r="Z1825" s="85">
        <f t="shared" si="199"/>
        <v>0</v>
      </c>
      <c r="AA1825" s="69">
        <f>STATS1003B!AA1829/1000</f>
        <v>1049.44175</v>
      </c>
      <c r="AB1825" s="69">
        <f>STATS1003B!AB1829/1000</f>
        <v>0</v>
      </c>
    </row>
    <row r="1826" spans="1:28" hidden="1" x14ac:dyDescent="0.3">
      <c r="A1826" s="117"/>
      <c r="C1826" s="68" t="s">
        <v>545</v>
      </c>
      <c r="D1826" s="87" t="s">
        <v>54</v>
      </c>
      <c r="E1826" s="85">
        <f>STATS1003B!E1830/1000</f>
        <v>1953.989</v>
      </c>
      <c r="F1826" s="85">
        <f>STATS1003B!F1830/1000</f>
        <v>0</v>
      </c>
      <c r="G1826" s="85">
        <f>STATS1003B!G1830/1000</f>
        <v>0</v>
      </c>
      <c r="H1826" s="85">
        <f>STATS1003B!H1830/1000</f>
        <v>0</v>
      </c>
      <c r="I1826" s="85">
        <f>STATS1003B!I1830/1000</f>
        <v>0</v>
      </c>
      <c r="J1826" s="85">
        <f>STATS1003B!J1830/1000</f>
        <v>0</v>
      </c>
      <c r="K1826" s="85">
        <f>STATS1003B!K1830/1000</f>
        <v>1953.989</v>
      </c>
      <c r="L1826" s="85">
        <f>STATS1003B!L1830/1000</f>
        <v>0</v>
      </c>
      <c r="M1826" s="85">
        <f>STATS1003B!M1830/1000</f>
        <v>0</v>
      </c>
      <c r="N1826" s="85">
        <f>STATS1003B!N1830/1000</f>
        <v>1953.989</v>
      </c>
      <c r="O1826" s="85">
        <f>STATS1003B!O1830/1000</f>
        <v>0</v>
      </c>
      <c r="P1826" s="85">
        <f>STATS1003B!P1830/1000</f>
        <v>1953.989</v>
      </c>
      <c r="Q1826" s="85">
        <f>STATS1003B!Q1830/1000</f>
        <v>0</v>
      </c>
      <c r="R1826" s="85">
        <f>STATS1003B!R1830/1000</f>
        <v>0</v>
      </c>
      <c r="S1826" s="85">
        <f>STATS1003B!S1830/1000</f>
        <v>0</v>
      </c>
      <c r="T1826" s="85">
        <f>STATS1003B!T1830/1000</f>
        <v>0</v>
      </c>
      <c r="U1826" s="85">
        <f>STATS1003B!U1830/1000</f>
        <v>1953.989</v>
      </c>
      <c r="V1826" s="85">
        <f>STATS1003B!V1830/1000</f>
        <v>0</v>
      </c>
      <c r="W1826" s="85">
        <f>STATS1003B!W1830/1000</f>
        <v>0</v>
      </c>
      <c r="X1826" s="85">
        <f t="shared" si="205"/>
        <v>1953.989</v>
      </c>
      <c r="Y1826" s="85">
        <f>STATS1003B!Y1830/1000</f>
        <v>0</v>
      </c>
      <c r="Z1826" s="85">
        <f t="shared" si="199"/>
        <v>0</v>
      </c>
      <c r="AA1826" s="69">
        <f>STATS1003B!AA1830/1000</f>
        <v>1953.989</v>
      </c>
      <c r="AB1826" s="69">
        <f>STATS1003B!AB1830/1000</f>
        <v>0</v>
      </c>
    </row>
    <row r="1827" spans="1:28" hidden="1" x14ac:dyDescent="0.3">
      <c r="A1827" s="117"/>
      <c r="C1827" s="68" t="s">
        <v>535</v>
      </c>
      <c r="D1827" s="87" t="s">
        <v>85</v>
      </c>
      <c r="E1827" s="85">
        <f>STATS1003B!E1831/1000</f>
        <v>2000</v>
      </c>
      <c r="F1827" s="85">
        <f>STATS1003B!F1831/1000</f>
        <v>2000</v>
      </c>
      <c r="G1827" s="85">
        <f>STATS1003B!G1831/1000</f>
        <v>0</v>
      </c>
      <c r="H1827" s="85">
        <f>STATS1003B!H1831/1000</f>
        <v>2000</v>
      </c>
      <c r="I1827" s="85">
        <f>STATS1003B!I1831/1000</f>
        <v>0</v>
      </c>
      <c r="J1827" s="85">
        <f>STATS1003B!J1831/1000</f>
        <v>2000</v>
      </c>
      <c r="K1827" s="85">
        <f>STATS1003B!K1831/1000</f>
        <v>0</v>
      </c>
      <c r="L1827" s="85">
        <f>STATS1003B!L1831/1000</f>
        <v>0</v>
      </c>
      <c r="M1827" s="85">
        <f>STATS1003B!M1831/1000</f>
        <v>2000</v>
      </c>
      <c r="N1827" s="85">
        <f>STATS1003B!N1831/1000</f>
        <v>0</v>
      </c>
      <c r="O1827" s="85">
        <f>STATS1003B!O1831/1000</f>
        <v>0</v>
      </c>
      <c r="P1827" s="85">
        <f>STATS1003B!P1831/1000</f>
        <v>0</v>
      </c>
      <c r="Q1827" s="85">
        <f>STATS1003B!Q1831/1000</f>
        <v>2000</v>
      </c>
      <c r="R1827" s="85">
        <f>STATS1003B!R1831/1000</f>
        <v>0</v>
      </c>
      <c r="S1827" s="85">
        <f>STATS1003B!S1831/1000</f>
        <v>0</v>
      </c>
      <c r="T1827" s="85">
        <f>STATS1003B!T1831/1000</f>
        <v>0</v>
      </c>
      <c r="U1827" s="85">
        <f>STATS1003B!U1831/1000</f>
        <v>0</v>
      </c>
      <c r="V1827" s="85">
        <f>STATS1003B!V1831/1000</f>
        <v>0</v>
      </c>
      <c r="W1827" s="85">
        <f>STATS1003B!W1831/1000</f>
        <v>0</v>
      </c>
      <c r="X1827" s="85">
        <f t="shared" si="205"/>
        <v>2000</v>
      </c>
      <c r="Y1827" s="85">
        <f>STATS1003B!Y1831/1000</f>
        <v>0</v>
      </c>
      <c r="Z1827" s="85">
        <f t="shared" si="199"/>
        <v>0</v>
      </c>
      <c r="AA1827" s="69">
        <f>STATS1003B!AA1831/1000</f>
        <v>2000</v>
      </c>
      <c r="AB1827" s="69">
        <f>STATS1003B!AB1831/1000</f>
        <v>0</v>
      </c>
    </row>
    <row r="1828" spans="1:28" hidden="1" x14ac:dyDescent="0.3">
      <c r="A1828" s="117"/>
      <c r="C1828" s="68" t="s">
        <v>770</v>
      </c>
      <c r="D1828" s="87" t="s">
        <v>85</v>
      </c>
      <c r="E1828" s="85">
        <f>STATS1003B!E1832/1000</f>
        <v>1000</v>
      </c>
      <c r="F1828" s="85">
        <f>STATS1003B!F1832/1000</f>
        <v>1000</v>
      </c>
      <c r="G1828" s="85">
        <f>STATS1003B!G1832/1000</f>
        <v>0</v>
      </c>
      <c r="H1828" s="85">
        <f>STATS1003B!H1832/1000</f>
        <v>1000</v>
      </c>
      <c r="I1828" s="85">
        <f>STATS1003B!I1832/1000</f>
        <v>0</v>
      </c>
      <c r="J1828" s="85">
        <f>STATS1003B!J1832/1000</f>
        <v>1000</v>
      </c>
      <c r="K1828" s="85">
        <f>STATS1003B!K1832/1000</f>
        <v>0</v>
      </c>
      <c r="L1828" s="85">
        <f>STATS1003B!L1832/1000</f>
        <v>0</v>
      </c>
      <c r="M1828" s="85">
        <f>STATS1003B!M1832/1000</f>
        <v>1000</v>
      </c>
      <c r="N1828" s="85">
        <f>STATS1003B!N1832/1000</f>
        <v>0</v>
      </c>
      <c r="O1828" s="85">
        <f>STATS1003B!O1832/1000</f>
        <v>0</v>
      </c>
      <c r="P1828" s="85">
        <f>STATS1003B!P1832/1000</f>
        <v>0</v>
      </c>
      <c r="Q1828" s="85">
        <f>STATS1003B!Q1832/1000</f>
        <v>1000</v>
      </c>
      <c r="R1828" s="85">
        <f>STATS1003B!R1832/1000</f>
        <v>0</v>
      </c>
      <c r="S1828" s="85">
        <f>STATS1003B!S1832/1000</f>
        <v>0</v>
      </c>
      <c r="T1828" s="85">
        <f>STATS1003B!T1832/1000</f>
        <v>0</v>
      </c>
      <c r="U1828" s="85">
        <f>STATS1003B!U1832/1000</f>
        <v>0</v>
      </c>
      <c r="V1828" s="85">
        <f>STATS1003B!V1832/1000</f>
        <v>0</v>
      </c>
      <c r="W1828" s="85">
        <f>STATS1003B!W1832/1000</f>
        <v>0</v>
      </c>
      <c r="X1828" s="85">
        <f t="shared" si="205"/>
        <v>1000</v>
      </c>
      <c r="Y1828" s="85">
        <f>STATS1003B!Y1832/1000</f>
        <v>0</v>
      </c>
      <c r="Z1828" s="85">
        <f t="shared" si="199"/>
        <v>0</v>
      </c>
      <c r="AA1828" s="69">
        <f>STATS1003B!AA1832/1000</f>
        <v>1000</v>
      </c>
      <c r="AB1828" s="69">
        <f>STATS1003B!AB1832/1000</f>
        <v>0</v>
      </c>
    </row>
    <row r="1829" spans="1:28" hidden="1" x14ac:dyDescent="0.3">
      <c r="A1829" s="117"/>
      <c r="C1829" s="68" t="s">
        <v>771</v>
      </c>
      <c r="D1829" s="87" t="s">
        <v>85</v>
      </c>
      <c r="E1829" s="85">
        <f>STATS1003B!E1833/1000</f>
        <v>800</v>
      </c>
      <c r="F1829" s="85">
        <f>STATS1003B!F1833/1000</f>
        <v>800</v>
      </c>
      <c r="G1829" s="85">
        <f>STATS1003B!G1833/1000</f>
        <v>0</v>
      </c>
      <c r="H1829" s="85">
        <f>STATS1003B!H1833/1000</f>
        <v>800</v>
      </c>
      <c r="I1829" s="85">
        <f>STATS1003B!I1833/1000</f>
        <v>0</v>
      </c>
      <c r="J1829" s="85">
        <f>STATS1003B!J1833/1000</f>
        <v>800</v>
      </c>
      <c r="K1829" s="85">
        <f>STATS1003B!K1833/1000</f>
        <v>0</v>
      </c>
      <c r="L1829" s="85">
        <f>STATS1003B!L1833/1000</f>
        <v>0</v>
      </c>
      <c r="M1829" s="85">
        <f>STATS1003B!M1833/1000</f>
        <v>800</v>
      </c>
      <c r="N1829" s="85">
        <f>STATS1003B!N1833/1000</f>
        <v>0</v>
      </c>
      <c r="O1829" s="85">
        <f>STATS1003B!O1833/1000</f>
        <v>0</v>
      </c>
      <c r="P1829" s="85">
        <f>STATS1003B!P1833/1000</f>
        <v>0</v>
      </c>
      <c r="Q1829" s="85">
        <f>STATS1003B!Q1833/1000</f>
        <v>800</v>
      </c>
      <c r="R1829" s="85">
        <f>STATS1003B!R1833/1000</f>
        <v>0</v>
      </c>
      <c r="S1829" s="85">
        <f>STATS1003B!S1833/1000</f>
        <v>0</v>
      </c>
      <c r="T1829" s="85">
        <f>STATS1003B!T1833/1000</f>
        <v>0</v>
      </c>
      <c r="U1829" s="85">
        <f>STATS1003B!U1833/1000</f>
        <v>0</v>
      </c>
      <c r="V1829" s="85">
        <f>STATS1003B!V1833/1000</f>
        <v>0</v>
      </c>
      <c r="W1829" s="85">
        <f>STATS1003B!W1833/1000</f>
        <v>0</v>
      </c>
      <c r="X1829" s="85">
        <f t="shared" si="205"/>
        <v>800</v>
      </c>
      <c r="Y1829" s="85">
        <f>STATS1003B!Y1833/1000</f>
        <v>0</v>
      </c>
      <c r="Z1829" s="85">
        <f t="shared" si="199"/>
        <v>0</v>
      </c>
      <c r="AA1829" s="69">
        <f>STATS1003B!AA1833/1000</f>
        <v>800</v>
      </c>
      <c r="AB1829" s="69">
        <f>STATS1003B!AB1833/1000</f>
        <v>0</v>
      </c>
    </row>
    <row r="1830" spans="1:28" hidden="1" x14ac:dyDescent="0.3">
      <c r="A1830" s="117"/>
      <c r="C1830" s="68" t="s">
        <v>535</v>
      </c>
      <c r="D1830" s="87" t="s">
        <v>88</v>
      </c>
      <c r="E1830" s="85">
        <f>STATS1003B!E1834/1000</f>
        <v>2851.8</v>
      </c>
      <c r="F1830" s="85">
        <f>STATS1003B!F1834/1000</f>
        <v>2851.8</v>
      </c>
      <c r="G1830" s="85">
        <f>STATS1003B!G1834/1000</f>
        <v>0</v>
      </c>
      <c r="H1830" s="85">
        <f>STATS1003B!H1834/1000</f>
        <v>2851.8</v>
      </c>
      <c r="I1830" s="85">
        <f>STATS1003B!I1834/1000</f>
        <v>0</v>
      </c>
      <c r="J1830" s="85">
        <f>STATS1003B!J1834/1000</f>
        <v>2851.8</v>
      </c>
      <c r="K1830" s="85">
        <f>STATS1003B!K1834/1000</f>
        <v>0</v>
      </c>
      <c r="L1830" s="85">
        <f>STATS1003B!L1834/1000</f>
        <v>0</v>
      </c>
      <c r="M1830" s="85">
        <f>STATS1003B!M1834/1000</f>
        <v>2851.8</v>
      </c>
      <c r="N1830" s="85">
        <f>STATS1003B!N1834/1000</f>
        <v>0</v>
      </c>
      <c r="O1830" s="85">
        <f>STATS1003B!O1834/1000</f>
        <v>0</v>
      </c>
      <c r="P1830" s="85">
        <f>STATS1003B!P1834/1000</f>
        <v>0</v>
      </c>
      <c r="Q1830" s="85">
        <f>STATS1003B!Q1834/1000</f>
        <v>2851.8</v>
      </c>
      <c r="R1830" s="85">
        <f>STATS1003B!R1834/1000</f>
        <v>0</v>
      </c>
      <c r="S1830" s="85">
        <f>STATS1003B!S1834/1000</f>
        <v>0</v>
      </c>
      <c r="T1830" s="85">
        <f>STATS1003B!T1834/1000</f>
        <v>0</v>
      </c>
      <c r="U1830" s="85">
        <f>STATS1003B!U1834/1000</f>
        <v>0</v>
      </c>
      <c r="V1830" s="85">
        <f>STATS1003B!V1834/1000</f>
        <v>0</v>
      </c>
      <c r="W1830" s="85">
        <f>STATS1003B!W1834/1000</f>
        <v>0</v>
      </c>
      <c r="X1830" s="85">
        <f t="shared" si="205"/>
        <v>2851.8</v>
      </c>
      <c r="Y1830" s="85">
        <f>STATS1003B!Y1834/1000</f>
        <v>0</v>
      </c>
      <c r="Z1830" s="85">
        <f t="shared" si="199"/>
        <v>0</v>
      </c>
      <c r="AA1830" s="69">
        <f>STATS1003B!AA1834/1000</f>
        <v>2851.8</v>
      </c>
      <c r="AB1830" s="69">
        <f>STATS1003B!AB1834/1000</f>
        <v>0</v>
      </c>
    </row>
    <row r="1831" spans="1:28" hidden="1" x14ac:dyDescent="0.3">
      <c r="A1831" s="117"/>
      <c r="C1831" s="68" t="s">
        <v>535</v>
      </c>
      <c r="D1831" s="87" t="s">
        <v>58</v>
      </c>
      <c r="E1831" s="85">
        <f>STATS1003B!E1835/1000</f>
        <v>2183.8850000000002</v>
      </c>
      <c r="F1831" s="85">
        <f>STATS1003B!F1835/1000</f>
        <v>2183.8850000000002</v>
      </c>
      <c r="G1831" s="85">
        <f>STATS1003B!G1835/1000</f>
        <v>0</v>
      </c>
      <c r="H1831" s="85">
        <f>STATS1003B!H1835/1000</f>
        <v>2183.8850000000002</v>
      </c>
      <c r="I1831" s="85">
        <f>STATS1003B!I1835/1000</f>
        <v>0</v>
      </c>
      <c r="J1831" s="85">
        <f>STATS1003B!J1835/1000</f>
        <v>2183.8850000000002</v>
      </c>
      <c r="K1831" s="85">
        <f>STATS1003B!K1835/1000</f>
        <v>0</v>
      </c>
      <c r="L1831" s="85">
        <f>STATS1003B!L1835/1000</f>
        <v>0</v>
      </c>
      <c r="M1831" s="85">
        <f>STATS1003B!M1835/1000</f>
        <v>2183.8850000000002</v>
      </c>
      <c r="N1831" s="85">
        <f>STATS1003B!N1835/1000</f>
        <v>0</v>
      </c>
      <c r="O1831" s="85">
        <f>STATS1003B!O1835/1000</f>
        <v>0</v>
      </c>
      <c r="P1831" s="85">
        <f>STATS1003B!P1835/1000</f>
        <v>0</v>
      </c>
      <c r="Q1831" s="85">
        <f>STATS1003B!Q1835/1000</f>
        <v>2183.8850000000002</v>
      </c>
      <c r="R1831" s="85">
        <f>STATS1003B!R1835/1000</f>
        <v>0</v>
      </c>
      <c r="S1831" s="85">
        <f>STATS1003B!S1835/1000</f>
        <v>0</v>
      </c>
      <c r="T1831" s="85">
        <f>STATS1003B!T1835/1000</f>
        <v>0</v>
      </c>
      <c r="U1831" s="85">
        <f>STATS1003B!U1835/1000</f>
        <v>0</v>
      </c>
      <c r="V1831" s="85">
        <f>STATS1003B!V1835/1000</f>
        <v>0</v>
      </c>
      <c r="W1831" s="85">
        <f>STATS1003B!W1835/1000</f>
        <v>0</v>
      </c>
      <c r="X1831" s="85">
        <f t="shared" si="205"/>
        <v>2183.8850000000002</v>
      </c>
      <c r="Y1831" s="85">
        <f>STATS1003B!Y1835/1000</f>
        <v>0</v>
      </c>
      <c r="Z1831" s="85">
        <f t="shared" ref="Z1831:Z1894" si="206">+E1831-X1831</f>
        <v>0</v>
      </c>
      <c r="AA1831" s="69">
        <f>STATS1003B!AA1835/1000</f>
        <v>2183.8850000000002</v>
      </c>
      <c r="AB1831" s="69">
        <f>STATS1003B!AB1835/1000</f>
        <v>0</v>
      </c>
    </row>
    <row r="1832" spans="1:28" hidden="1" x14ac:dyDescent="0.3">
      <c r="A1832" s="117"/>
      <c r="C1832" s="68" t="s">
        <v>535</v>
      </c>
      <c r="D1832" s="88" t="s">
        <v>60</v>
      </c>
      <c r="E1832" s="85">
        <f>STATS1003B!E1836/1000</f>
        <v>3363.54</v>
      </c>
      <c r="F1832" s="85">
        <f>STATS1003B!F1836/1000</f>
        <v>3363.54</v>
      </c>
      <c r="G1832" s="85">
        <f>STATS1003B!G1836/1000</f>
        <v>0</v>
      </c>
      <c r="H1832" s="85">
        <f>STATS1003B!H1836/1000</f>
        <v>3363.54</v>
      </c>
      <c r="I1832" s="85">
        <f>STATS1003B!I1836/1000</f>
        <v>0</v>
      </c>
      <c r="J1832" s="85">
        <f>STATS1003B!J1836/1000</f>
        <v>3363.54</v>
      </c>
      <c r="K1832" s="85">
        <f>STATS1003B!K1836/1000</f>
        <v>0</v>
      </c>
      <c r="L1832" s="85">
        <f>STATS1003B!L1836/1000</f>
        <v>0</v>
      </c>
      <c r="M1832" s="85">
        <f>STATS1003B!M1836/1000</f>
        <v>3363.54</v>
      </c>
      <c r="N1832" s="85">
        <f>STATS1003B!N1836/1000</f>
        <v>0</v>
      </c>
      <c r="O1832" s="85">
        <f>STATS1003B!O1836/1000</f>
        <v>0</v>
      </c>
      <c r="P1832" s="85">
        <f>STATS1003B!P1836/1000</f>
        <v>0</v>
      </c>
      <c r="Q1832" s="85">
        <f>STATS1003B!Q1836/1000</f>
        <v>3363.54</v>
      </c>
      <c r="R1832" s="85">
        <f>STATS1003B!R1836/1000</f>
        <v>0</v>
      </c>
      <c r="S1832" s="85">
        <f>STATS1003B!S1836/1000</f>
        <v>0</v>
      </c>
      <c r="T1832" s="85">
        <f>STATS1003B!T1836/1000</f>
        <v>0</v>
      </c>
      <c r="U1832" s="85">
        <f>STATS1003B!U1836/1000</f>
        <v>0</v>
      </c>
      <c r="V1832" s="85">
        <f>STATS1003B!V1836/1000</f>
        <v>0</v>
      </c>
      <c r="W1832" s="85">
        <f>STATS1003B!W1836/1000</f>
        <v>0</v>
      </c>
      <c r="X1832" s="85">
        <f t="shared" si="205"/>
        <v>3363.54</v>
      </c>
      <c r="Y1832" s="85">
        <f>STATS1003B!Y1836/1000</f>
        <v>0</v>
      </c>
      <c r="Z1832" s="85">
        <f t="shared" si="206"/>
        <v>0</v>
      </c>
      <c r="AA1832" s="69">
        <f>STATS1003B!AA1836/1000</f>
        <v>3363.54</v>
      </c>
      <c r="AB1832" s="69">
        <f>STATS1003B!AB1836/1000</f>
        <v>0</v>
      </c>
    </row>
    <row r="1833" spans="1:28" hidden="1" x14ac:dyDescent="0.3">
      <c r="A1833" s="117"/>
      <c r="C1833" s="71" t="s">
        <v>661</v>
      </c>
      <c r="D1833" s="88" t="s">
        <v>772</v>
      </c>
      <c r="E1833" s="85">
        <f>STATS1003B!E1837/1000</f>
        <v>579</v>
      </c>
      <c r="F1833" s="85">
        <f>STATS1003B!F1837/1000</f>
        <v>579</v>
      </c>
      <c r="G1833" s="85">
        <f>STATS1003B!G1837/1000</f>
        <v>0</v>
      </c>
      <c r="H1833" s="85">
        <f>STATS1003B!H1837/1000</f>
        <v>579</v>
      </c>
      <c r="I1833" s="85">
        <f>STATS1003B!I1837/1000</f>
        <v>0</v>
      </c>
      <c r="J1833" s="85">
        <f>STATS1003B!J1837/1000</f>
        <v>579</v>
      </c>
      <c r="K1833" s="85">
        <f>STATS1003B!K1837/1000</f>
        <v>0</v>
      </c>
      <c r="L1833" s="85">
        <f>STATS1003B!L1837/1000</f>
        <v>0</v>
      </c>
      <c r="M1833" s="85">
        <f>STATS1003B!M1837/1000</f>
        <v>579</v>
      </c>
      <c r="N1833" s="85">
        <f>STATS1003B!N1837/1000</f>
        <v>0</v>
      </c>
      <c r="O1833" s="85">
        <f>STATS1003B!O1837/1000</f>
        <v>0</v>
      </c>
      <c r="P1833" s="85">
        <f>STATS1003B!P1837/1000</f>
        <v>0</v>
      </c>
      <c r="Q1833" s="85">
        <f>STATS1003B!Q1837/1000</f>
        <v>579</v>
      </c>
      <c r="R1833" s="85">
        <f>STATS1003B!R1837/1000</f>
        <v>0</v>
      </c>
      <c r="S1833" s="85">
        <f>STATS1003B!S1837/1000</f>
        <v>0</v>
      </c>
      <c r="T1833" s="85">
        <f>STATS1003B!T1837/1000</f>
        <v>0</v>
      </c>
      <c r="U1833" s="85">
        <f>STATS1003B!U1837/1000</f>
        <v>0</v>
      </c>
      <c r="V1833" s="85">
        <f>STATS1003B!V1837/1000</f>
        <v>0</v>
      </c>
      <c r="W1833" s="85">
        <f>STATS1003B!W1837/1000</f>
        <v>0</v>
      </c>
      <c r="X1833" s="85">
        <f t="shared" si="205"/>
        <v>579</v>
      </c>
      <c r="Y1833" s="85">
        <f>STATS1003B!Y1837/1000</f>
        <v>0</v>
      </c>
      <c r="Z1833" s="85">
        <f t="shared" si="206"/>
        <v>0</v>
      </c>
      <c r="AA1833" s="69">
        <f>STATS1003B!AA1837/1000</f>
        <v>579</v>
      </c>
      <c r="AB1833" s="69">
        <f>STATS1003B!AB1837/1000</f>
        <v>0</v>
      </c>
    </row>
    <row r="1834" spans="1:28" hidden="1" x14ac:dyDescent="0.3">
      <c r="A1834" s="117"/>
      <c r="C1834" s="68" t="s">
        <v>535</v>
      </c>
      <c r="D1834" s="88" t="s">
        <v>73</v>
      </c>
      <c r="E1834" s="85">
        <f>STATS1003B!E1838/1000</f>
        <v>7754.7677000000003</v>
      </c>
      <c r="F1834" s="85">
        <f>STATS1003B!F1838/1000</f>
        <v>7754.7677000000003</v>
      </c>
      <c r="G1834" s="85">
        <f>STATS1003B!G1838/1000</f>
        <v>0</v>
      </c>
      <c r="H1834" s="85">
        <f>STATS1003B!H1838/1000</f>
        <v>7754.7677000000003</v>
      </c>
      <c r="I1834" s="85">
        <f>STATS1003B!I1838/1000</f>
        <v>0</v>
      </c>
      <c r="J1834" s="85">
        <f>STATS1003B!J1838/1000</f>
        <v>7754.7677000000003</v>
      </c>
      <c r="K1834" s="85">
        <f>STATS1003B!K1838/1000</f>
        <v>0</v>
      </c>
      <c r="L1834" s="85">
        <f>STATS1003B!L1838/1000</f>
        <v>0</v>
      </c>
      <c r="M1834" s="85">
        <f>STATS1003B!M1838/1000</f>
        <v>7754.7677000000003</v>
      </c>
      <c r="N1834" s="85">
        <f>STATS1003B!N1838/1000</f>
        <v>0</v>
      </c>
      <c r="O1834" s="85">
        <f>STATS1003B!O1838/1000</f>
        <v>0</v>
      </c>
      <c r="P1834" s="85">
        <f>STATS1003B!P1838/1000</f>
        <v>0</v>
      </c>
      <c r="Q1834" s="85">
        <f>STATS1003B!Q1838/1000</f>
        <v>7754.7677000000003</v>
      </c>
      <c r="R1834" s="85">
        <f>STATS1003B!R1838/1000</f>
        <v>0</v>
      </c>
      <c r="S1834" s="85">
        <f>STATS1003B!S1838/1000</f>
        <v>0</v>
      </c>
      <c r="T1834" s="85">
        <f>STATS1003B!T1838/1000</f>
        <v>0</v>
      </c>
      <c r="U1834" s="85">
        <f>STATS1003B!U1838/1000</f>
        <v>0</v>
      </c>
      <c r="V1834" s="85">
        <f>STATS1003B!V1838/1000</f>
        <v>0</v>
      </c>
      <c r="W1834" s="85">
        <f>STATS1003B!W1838/1000</f>
        <v>0</v>
      </c>
      <c r="X1834" s="85">
        <f t="shared" si="205"/>
        <v>7754.7677000000003</v>
      </c>
      <c r="Y1834" s="85">
        <f>STATS1003B!Y1838/1000</f>
        <v>0</v>
      </c>
      <c r="Z1834" s="85">
        <f t="shared" si="206"/>
        <v>0</v>
      </c>
      <c r="AA1834" s="69">
        <f>STATS1003B!AA1838/1000</f>
        <v>7754.7677000000003</v>
      </c>
      <c r="AB1834" s="69">
        <f>STATS1003B!AB1838/1000</f>
        <v>0</v>
      </c>
    </row>
    <row r="1835" spans="1:28" hidden="1" x14ac:dyDescent="0.3">
      <c r="A1835" s="117"/>
      <c r="B1835" s="71" t="s">
        <v>762</v>
      </c>
      <c r="C1835" s="68" t="s">
        <v>535</v>
      </c>
      <c r="D1835" s="88" t="s">
        <v>61</v>
      </c>
      <c r="E1835" s="85">
        <f>STATS1003B!E1839/1000</f>
        <v>1355.346</v>
      </c>
      <c r="F1835" s="85">
        <f>STATS1003B!F1839/1000</f>
        <v>1355.346</v>
      </c>
      <c r="G1835" s="85">
        <f>STATS1003B!G1839/1000</f>
        <v>0</v>
      </c>
      <c r="H1835" s="85">
        <f>STATS1003B!H1839/1000</f>
        <v>1355.346</v>
      </c>
      <c r="I1835" s="85">
        <f>STATS1003B!I1839/1000</f>
        <v>0</v>
      </c>
      <c r="J1835" s="85">
        <f>STATS1003B!J1839/1000</f>
        <v>1355.346</v>
      </c>
      <c r="K1835" s="85">
        <f>STATS1003B!K1839/1000</f>
        <v>0</v>
      </c>
      <c r="L1835" s="85">
        <f>STATS1003B!L1839/1000</f>
        <v>0</v>
      </c>
      <c r="M1835" s="85">
        <f>STATS1003B!M1839/1000</f>
        <v>1355.346</v>
      </c>
      <c r="N1835" s="85">
        <f>STATS1003B!N1839/1000</f>
        <v>0</v>
      </c>
      <c r="O1835" s="85">
        <f>STATS1003B!O1839/1000</f>
        <v>0</v>
      </c>
      <c r="P1835" s="85">
        <f>STATS1003B!P1839/1000</f>
        <v>0</v>
      </c>
      <c r="Q1835" s="85">
        <f>STATS1003B!Q1839/1000</f>
        <v>1355.346</v>
      </c>
      <c r="R1835" s="85">
        <f>STATS1003B!R1839/1000</f>
        <v>0</v>
      </c>
      <c r="S1835" s="85">
        <f>STATS1003B!S1839/1000</f>
        <v>0</v>
      </c>
      <c r="T1835" s="85">
        <f>STATS1003B!T1839/1000</f>
        <v>0</v>
      </c>
      <c r="U1835" s="85">
        <f>STATS1003B!U1839/1000</f>
        <v>0</v>
      </c>
      <c r="V1835" s="85">
        <f>STATS1003B!V1839/1000</f>
        <v>0</v>
      </c>
      <c r="W1835" s="85">
        <f>STATS1003B!W1839/1000</f>
        <v>0</v>
      </c>
      <c r="X1835" s="85">
        <f t="shared" si="205"/>
        <v>1355.346</v>
      </c>
      <c r="Y1835" s="85">
        <f>STATS1003B!Y1839/1000</f>
        <v>0</v>
      </c>
      <c r="Z1835" s="85">
        <f t="shared" si="206"/>
        <v>0</v>
      </c>
      <c r="AA1835" s="69">
        <f>STATS1003B!AA1839/1000</f>
        <v>1355.346</v>
      </c>
      <c r="AB1835" s="69">
        <f>STATS1003B!AB1839/1000</f>
        <v>0</v>
      </c>
    </row>
    <row r="1836" spans="1:28" hidden="1" x14ac:dyDescent="0.3">
      <c r="A1836" s="117"/>
      <c r="B1836" s="71"/>
      <c r="C1836" s="93" t="s">
        <v>933</v>
      </c>
      <c r="D1836" s="88"/>
      <c r="E1836" s="85">
        <f>STATS1003B!E1840/1000</f>
        <v>1772</v>
      </c>
      <c r="F1836" s="85">
        <f>STATS1003B!F1840/1000</f>
        <v>1772</v>
      </c>
      <c r="G1836" s="85">
        <f>STATS1003B!G1840/1000</f>
        <v>0</v>
      </c>
      <c r="H1836" s="85">
        <f>STATS1003B!H1840/1000</f>
        <v>1772</v>
      </c>
      <c r="I1836" s="85">
        <f>STATS1003B!I1840/1000</f>
        <v>0</v>
      </c>
      <c r="J1836" s="85">
        <f>STATS1003B!J1840/1000</f>
        <v>0</v>
      </c>
      <c r="K1836" s="85">
        <f>STATS1003B!K1840/1000</f>
        <v>0</v>
      </c>
      <c r="L1836" s="85">
        <f>STATS1003B!L1840/1000</f>
        <v>0</v>
      </c>
      <c r="M1836" s="85">
        <f>STATS1003B!M1840/1000</f>
        <v>1772</v>
      </c>
      <c r="N1836" s="85">
        <f>STATS1003B!N1840/1000</f>
        <v>0</v>
      </c>
      <c r="O1836" s="85">
        <f>STATS1003B!O1840/1000</f>
        <v>0</v>
      </c>
      <c r="P1836" s="85">
        <f>STATS1003B!P1840/1000</f>
        <v>0</v>
      </c>
      <c r="Q1836" s="85">
        <f>STATS1003B!Q1840/1000</f>
        <v>0</v>
      </c>
      <c r="R1836" s="85">
        <f>STATS1003B!R1840/1000</f>
        <v>0</v>
      </c>
      <c r="S1836" s="85">
        <f>STATS1003B!S1840/1000</f>
        <v>0</v>
      </c>
      <c r="T1836" s="85">
        <f>STATS1003B!T1840/1000</f>
        <v>0</v>
      </c>
      <c r="U1836" s="85">
        <f>STATS1003B!U1840/1000</f>
        <v>0</v>
      </c>
      <c r="V1836" s="85">
        <f>STATS1003B!V1840/1000</f>
        <v>0</v>
      </c>
      <c r="W1836" s="85">
        <f>STATS1003B!W1840/1000</f>
        <v>0</v>
      </c>
      <c r="X1836" s="85">
        <f t="shared" si="205"/>
        <v>1772</v>
      </c>
      <c r="Y1836" s="85">
        <f>STATS1003B!Y1840/1000</f>
        <v>0</v>
      </c>
      <c r="Z1836" s="85">
        <f t="shared" si="206"/>
        <v>0</v>
      </c>
      <c r="AA1836" s="69">
        <f>STATS1003B!AA1840/1000</f>
        <v>1772</v>
      </c>
      <c r="AB1836" s="69">
        <f>STATS1003B!AB1840/1000</f>
        <v>0</v>
      </c>
    </row>
    <row r="1837" spans="1:28" hidden="1" x14ac:dyDescent="0.3">
      <c r="A1837" s="117"/>
      <c r="B1837" s="71"/>
      <c r="C1837" s="68" t="s">
        <v>1173</v>
      </c>
      <c r="D1837" s="89" t="s">
        <v>1126</v>
      </c>
      <c r="E1837" s="85">
        <f>STATS1003B!E1841/1000</f>
        <v>1206.12907</v>
      </c>
      <c r="F1837" s="85">
        <f>STATS1003B!F1841/1000</f>
        <v>1206.12907</v>
      </c>
      <c r="G1837" s="85">
        <f>STATS1003B!G1841/1000</f>
        <v>0</v>
      </c>
      <c r="H1837" s="85">
        <f>STATS1003B!H1841/1000</f>
        <v>1206.12907</v>
      </c>
      <c r="I1837" s="85">
        <f>STATS1003B!I1841/1000</f>
        <v>0</v>
      </c>
      <c r="J1837" s="85">
        <f>STATS1003B!J1841/1000</f>
        <v>0</v>
      </c>
      <c r="K1837" s="85">
        <f>STATS1003B!K1841/1000</f>
        <v>0</v>
      </c>
      <c r="L1837" s="85">
        <f>STATS1003B!L1841/1000</f>
        <v>0</v>
      </c>
      <c r="M1837" s="85">
        <f>STATS1003B!M1841/1000</f>
        <v>1206.12907</v>
      </c>
      <c r="N1837" s="85">
        <f>STATS1003B!N1841/1000</f>
        <v>0</v>
      </c>
      <c r="O1837" s="85">
        <f>STATS1003B!O1841/1000</f>
        <v>0</v>
      </c>
      <c r="P1837" s="85">
        <f>STATS1003B!P1841/1000</f>
        <v>0</v>
      </c>
      <c r="Q1837" s="85">
        <f>STATS1003B!Q1841/1000</f>
        <v>0</v>
      </c>
      <c r="R1837" s="85">
        <f>STATS1003B!R1841/1000</f>
        <v>0</v>
      </c>
      <c r="S1837" s="85">
        <f>STATS1003B!S1841/1000</f>
        <v>0</v>
      </c>
      <c r="T1837" s="85">
        <f>STATS1003B!T1841/1000</f>
        <v>0</v>
      </c>
      <c r="U1837" s="85">
        <f>STATS1003B!U1841/1000</f>
        <v>0</v>
      </c>
      <c r="V1837" s="85">
        <f>STATS1003B!V1841/1000</f>
        <v>0</v>
      </c>
      <c r="W1837" s="85">
        <f>STATS1003B!W1841/1000</f>
        <v>0</v>
      </c>
      <c r="X1837" s="85">
        <f t="shared" si="205"/>
        <v>1206.12907</v>
      </c>
      <c r="Y1837" s="85">
        <f>STATS1003B!Y1841/1000</f>
        <v>0</v>
      </c>
      <c r="Z1837" s="85">
        <f t="shared" si="206"/>
        <v>0</v>
      </c>
      <c r="AA1837" s="69">
        <f>STATS1003B!AA1841/1000</f>
        <v>1206.12907</v>
      </c>
      <c r="AB1837" s="69">
        <f>STATS1003B!AB1841/1000</f>
        <v>0</v>
      </c>
    </row>
    <row r="1838" spans="1:28" hidden="1" x14ac:dyDescent="0.3">
      <c r="A1838" s="117"/>
      <c r="B1838" s="71"/>
      <c r="C1838" s="68" t="s">
        <v>1243</v>
      </c>
      <c r="D1838" s="89" t="s">
        <v>1225</v>
      </c>
      <c r="E1838" s="85">
        <f>STATS1003B!E1842/1000</f>
        <v>100</v>
      </c>
      <c r="F1838" s="85">
        <f>STATS1003B!F1842/1000</f>
        <v>100</v>
      </c>
      <c r="G1838" s="85">
        <f>STATS1003B!G1842/1000</f>
        <v>0</v>
      </c>
      <c r="H1838" s="85">
        <f>STATS1003B!H1842/1000</f>
        <v>100</v>
      </c>
      <c r="I1838" s="85">
        <f>STATS1003B!I1842/1000</f>
        <v>0</v>
      </c>
      <c r="J1838" s="85">
        <f>STATS1003B!J1842/1000</f>
        <v>0</v>
      </c>
      <c r="K1838" s="85">
        <f>STATS1003B!K1842/1000</f>
        <v>0</v>
      </c>
      <c r="L1838" s="85">
        <f>STATS1003B!L1842/1000</f>
        <v>0</v>
      </c>
      <c r="M1838" s="85">
        <f>STATS1003B!M1842/1000</f>
        <v>100</v>
      </c>
      <c r="N1838" s="85">
        <f>STATS1003B!N1842/1000</f>
        <v>0</v>
      </c>
      <c r="O1838" s="85">
        <f>STATS1003B!O1842/1000</f>
        <v>0</v>
      </c>
      <c r="P1838" s="85">
        <f>STATS1003B!P1842/1000</f>
        <v>0</v>
      </c>
      <c r="Q1838" s="85">
        <f>STATS1003B!Q1842/1000</f>
        <v>0</v>
      </c>
      <c r="R1838" s="85">
        <f>STATS1003B!R1842/1000</f>
        <v>0</v>
      </c>
      <c r="S1838" s="85">
        <f>STATS1003B!S1842/1000</f>
        <v>0</v>
      </c>
      <c r="T1838" s="85">
        <f>STATS1003B!T1842/1000</f>
        <v>0</v>
      </c>
      <c r="U1838" s="85">
        <f>STATS1003B!U1842/1000</f>
        <v>0</v>
      </c>
      <c r="V1838" s="85">
        <f>STATS1003B!V1842/1000</f>
        <v>0</v>
      </c>
      <c r="W1838" s="85">
        <f>STATS1003B!W1842/1000</f>
        <v>0</v>
      </c>
      <c r="X1838" s="85">
        <f t="shared" si="205"/>
        <v>100</v>
      </c>
      <c r="Y1838" s="85">
        <f>STATS1003B!Y1842/1000</f>
        <v>0</v>
      </c>
      <c r="Z1838" s="85">
        <f t="shared" si="206"/>
        <v>0</v>
      </c>
      <c r="AA1838" s="69">
        <f>STATS1003B!AA1842/1000</f>
        <v>100</v>
      </c>
      <c r="AB1838" s="69">
        <f>STATS1003B!AB1842/1000</f>
        <v>0</v>
      </c>
    </row>
    <row r="1839" spans="1:28" hidden="1" x14ac:dyDescent="0.3">
      <c r="A1839" s="117"/>
      <c r="C1839" s="68" t="s">
        <v>550</v>
      </c>
      <c r="E1839" s="85">
        <f>STATS1003B!E1843/1000</f>
        <v>721.39499999999998</v>
      </c>
      <c r="F1839" s="85">
        <f>STATS1003B!F1843/1000</f>
        <v>721.39499999999998</v>
      </c>
      <c r="G1839" s="85">
        <f>STATS1003B!G1843/1000</f>
        <v>0</v>
      </c>
      <c r="H1839" s="85">
        <f>STATS1003B!H1843/1000</f>
        <v>721.39499999999998</v>
      </c>
      <c r="I1839" s="85">
        <f>STATS1003B!I1843/1000</f>
        <v>0</v>
      </c>
      <c r="J1839" s="85">
        <f>STATS1003B!J1843/1000</f>
        <v>721.39499999999998</v>
      </c>
      <c r="K1839" s="85">
        <f>STATS1003B!K1843/1000</f>
        <v>0</v>
      </c>
      <c r="L1839" s="85">
        <f>STATS1003B!L1843/1000</f>
        <v>0</v>
      </c>
      <c r="M1839" s="85">
        <f>STATS1003B!M1843/1000</f>
        <v>721.39499999999998</v>
      </c>
      <c r="N1839" s="85">
        <f>STATS1003B!N1843/1000</f>
        <v>0</v>
      </c>
      <c r="O1839" s="85">
        <f>STATS1003B!O1843/1000</f>
        <v>0</v>
      </c>
      <c r="P1839" s="85">
        <f>STATS1003B!P1843/1000</f>
        <v>0</v>
      </c>
      <c r="Q1839" s="85">
        <f>STATS1003B!Q1843/1000</f>
        <v>721.39499999999998</v>
      </c>
      <c r="R1839" s="85">
        <f>STATS1003B!R1843/1000</f>
        <v>0</v>
      </c>
      <c r="S1839" s="85">
        <f>STATS1003B!S1843/1000</f>
        <v>0</v>
      </c>
      <c r="T1839" s="85">
        <f>STATS1003B!T1843/1000</f>
        <v>0</v>
      </c>
      <c r="U1839" s="85">
        <f>STATS1003B!U1843/1000</f>
        <v>0</v>
      </c>
      <c r="V1839" s="85">
        <f>STATS1003B!V1843/1000</f>
        <v>0</v>
      </c>
      <c r="W1839" s="85">
        <f>STATS1003B!W1843/1000</f>
        <v>0</v>
      </c>
      <c r="X1839" s="85">
        <f t="shared" si="205"/>
        <v>721.39499999999998</v>
      </c>
      <c r="Y1839" s="85">
        <f>STATS1003B!Y1843/1000</f>
        <v>0</v>
      </c>
      <c r="Z1839" s="85">
        <f t="shared" si="206"/>
        <v>0</v>
      </c>
      <c r="AA1839" s="69">
        <f>STATS1003B!AA1843/1000</f>
        <v>721.39499999999998</v>
      </c>
      <c r="AB1839" s="69">
        <f>STATS1003B!AB1843/1000</f>
        <v>0</v>
      </c>
    </row>
    <row r="1840" spans="1:28" hidden="1" x14ac:dyDescent="0.3">
      <c r="A1840" s="117"/>
      <c r="C1840" s="68" t="s">
        <v>592</v>
      </c>
      <c r="E1840" s="85">
        <f>STATS1003B!E1844/1000</f>
        <v>1807.8457900000001</v>
      </c>
      <c r="F1840" s="85">
        <f>STATS1003B!F1844/1000</f>
        <v>1473.9941199999998</v>
      </c>
      <c r="G1840" s="85">
        <f>STATS1003B!G1844/1000</f>
        <v>0</v>
      </c>
      <c r="H1840" s="85">
        <f>STATS1003B!H1844/1000</f>
        <v>1473.9941199999998</v>
      </c>
      <c r="I1840" s="85">
        <f>STATS1003B!I1844/1000</f>
        <v>0</v>
      </c>
      <c r="J1840" s="85">
        <f>STATS1003B!J1844/1000</f>
        <v>1473.9941199999998</v>
      </c>
      <c r="K1840" s="85">
        <f>STATS1003B!K1844/1000</f>
        <v>333.85166999999996</v>
      </c>
      <c r="L1840" s="85">
        <f>STATS1003B!L1844/1000</f>
        <v>0</v>
      </c>
      <c r="M1840" s="85">
        <f>STATS1003B!M1844/1000</f>
        <v>1473.9941199999998</v>
      </c>
      <c r="N1840" s="85">
        <f>STATS1003B!N1844/1000</f>
        <v>333.85166999999996</v>
      </c>
      <c r="O1840" s="85">
        <f>STATS1003B!O1844/1000</f>
        <v>0</v>
      </c>
      <c r="P1840" s="85">
        <f>STATS1003B!P1844/1000</f>
        <v>333.85166999999996</v>
      </c>
      <c r="Q1840" s="85">
        <f>STATS1003B!Q1844/1000</f>
        <v>1473.9941200000001</v>
      </c>
      <c r="R1840" s="85">
        <f>STATS1003B!R1844/1000</f>
        <v>0</v>
      </c>
      <c r="S1840" s="85">
        <f>STATS1003B!S1844/1000</f>
        <v>0</v>
      </c>
      <c r="T1840" s="85">
        <f>STATS1003B!T1844/1000</f>
        <v>0</v>
      </c>
      <c r="U1840" s="85">
        <f>STATS1003B!U1844/1000</f>
        <v>333.85166999999996</v>
      </c>
      <c r="V1840" s="85">
        <f>STATS1003B!V1844/1000</f>
        <v>0</v>
      </c>
      <c r="W1840" s="85">
        <f>STATS1003B!W1844/1000</f>
        <v>0</v>
      </c>
      <c r="X1840" s="85">
        <f t="shared" si="205"/>
        <v>1807.8457899999999</v>
      </c>
      <c r="Y1840" s="85">
        <f>STATS1003B!Y1844/1000</f>
        <v>0</v>
      </c>
      <c r="Z1840" s="85">
        <f t="shared" si="206"/>
        <v>0</v>
      </c>
      <c r="AA1840" s="69">
        <f>STATS1003B!AA1844/1000</f>
        <v>1807.8457899999999</v>
      </c>
      <c r="AB1840" s="69">
        <f>STATS1003B!AB1844/1000</f>
        <v>0</v>
      </c>
    </row>
    <row r="1841" spans="1:28" hidden="1" x14ac:dyDescent="0.3">
      <c r="A1841" s="117"/>
      <c r="C1841" s="68" t="s">
        <v>606</v>
      </c>
      <c r="E1841" s="85">
        <f>STATS1003B!E1845/1000</f>
        <v>5886.9363899999998</v>
      </c>
      <c r="F1841" s="85">
        <f>STATS1003B!F1845/1000</f>
        <v>5886.9363899999998</v>
      </c>
      <c r="G1841" s="85">
        <f>STATS1003B!G1845/1000</f>
        <v>0</v>
      </c>
      <c r="H1841" s="85">
        <f>STATS1003B!H1845/1000</f>
        <v>5886.9363899999998</v>
      </c>
      <c r="I1841" s="85">
        <f>STATS1003B!I1845/1000</f>
        <v>0</v>
      </c>
      <c r="J1841" s="85">
        <f>STATS1003B!J1845/1000</f>
        <v>5886.9363899999998</v>
      </c>
      <c r="K1841" s="85">
        <f>STATS1003B!K1845/1000</f>
        <v>0</v>
      </c>
      <c r="L1841" s="85">
        <f>STATS1003B!L1845/1000</f>
        <v>0</v>
      </c>
      <c r="M1841" s="85">
        <f>STATS1003B!M1845/1000</f>
        <v>5886.9363899999998</v>
      </c>
      <c r="N1841" s="85">
        <f>STATS1003B!N1845/1000</f>
        <v>0</v>
      </c>
      <c r="O1841" s="85">
        <f>STATS1003B!O1845/1000</f>
        <v>0</v>
      </c>
      <c r="P1841" s="85">
        <f>STATS1003B!P1845/1000</f>
        <v>0</v>
      </c>
      <c r="Q1841" s="85">
        <f>STATS1003B!Q1845/1000</f>
        <v>5886.9363899999998</v>
      </c>
      <c r="R1841" s="85">
        <f>STATS1003B!R1845/1000</f>
        <v>0</v>
      </c>
      <c r="S1841" s="85">
        <f>STATS1003B!S1845/1000</f>
        <v>0</v>
      </c>
      <c r="T1841" s="85">
        <f>STATS1003B!T1845/1000</f>
        <v>0</v>
      </c>
      <c r="U1841" s="85">
        <f>STATS1003B!U1845/1000</f>
        <v>0</v>
      </c>
      <c r="V1841" s="85">
        <f>STATS1003B!V1845/1000</f>
        <v>0</v>
      </c>
      <c r="W1841" s="85">
        <f>STATS1003B!W1845/1000</f>
        <v>0</v>
      </c>
      <c r="X1841" s="85">
        <f t="shared" si="205"/>
        <v>5886.9363899999998</v>
      </c>
      <c r="Y1841" s="85">
        <f>STATS1003B!Y1845/1000</f>
        <v>0</v>
      </c>
      <c r="Z1841" s="85">
        <f t="shared" si="206"/>
        <v>0</v>
      </c>
      <c r="AA1841" s="69">
        <f>STATS1003B!AA1845/1000</f>
        <v>5886.9363899999998</v>
      </c>
      <c r="AB1841" s="69">
        <f>STATS1003B!AB1845/1000</f>
        <v>0</v>
      </c>
    </row>
    <row r="1842" spans="1:28" hidden="1" x14ac:dyDescent="0.3">
      <c r="A1842" s="117"/>
      <c r="E1842" s="86" t="s">
        <v>29</v>
      </c>
      <c r="F1842" s="86" t="s">
        <v>29</v>
      </c>
      <c r="G1842" s="86" t="s">
        <v>29</v>
      </c>
      <c r="H1842" s="86" t="s">
        <v>29</v>
      </c>
      <c r="I1842" s="86" t="s">
        <v>29</v>
      </c>
      <c r="J1842" s="86" t="s">
        <v>29</v>
      </c>
      <c r="K1842" s="86" t="s">
        <v>29</v>
      </c>
      <c r="L1842" s="86" t="s">
        <v>29</v>
      </c>
      <c r="M1842" s="86" t="s">
        <v>29</v>
      </c>
      <c r="N1842" s="86" t="s">
        <v>29</v>
      </c>
      <c r="O1842" s="86" t="s">
        <v>29</v>
      </c>
      <c r="P1842" s="86" t="s">
        <v>29</v>
      </c>
      <c r="Q1842" s="86" t="s">
        <v>29</v>
      </c>
      <c r="R1842" s="86"/>
      <c r="S1842" s="86"/>
      <c r="T1842" s="86"/>
      <c r="U1842" s="86"/>
      <c r="V1842" s="86"/>
      <c r="W1842" s="86"/>
      <c r="X1842" s="85" t="e">
        <f t="shared" si="205"/>
        <v>#VALUE!</v>
      </c>
      <c r="Y1842" s="86"/>
      <c r="Z1842" s="85" t="e">
        <f t="shared" si="206"/>
        <v>#VALUE!</v>
      </c>
      <c r="AA1842" s="115"/>
      <c r="AB1842" s="115" t="s">
        <v>29</v>
      </c>
    </row>
    <row r="1843" spans="1:28" x14ac:dyDescent="0.3">
      <c r="A1843" s="116">
        <v>81</v>
      </c>
      <c r="B1843" s="68" t="s">
        <v>768</v>
      </c>
      <c r="E1843" s="85">
        <f>82367629.85/1000</f>
        <v>82367.629849999998</v>
      </c>
      <c r="F1843" s="85">
        <f t="shared" ref="F1843:Q1843" si="207">SUM(F1823:F1842)</f>
        <v>42996.235030000011</v>
      </c>
      <c r="G1843" s="85">
        <f t="shared" si="207"/>
        <v>0</v>
      </c>
      <c r="H1843" s="85">
        <f>80079789.18/1000</f>
        <v>80079.789180000007</v>
      </c>
      <c r="I1843" s="85">
        <f t="shared" si="207"/>
        <v>0</v>
      </c>
      <c r="J1843" s="85">
        <f t="shared" si="207"/>
        <v>39918.105960000008</v>
      </c>
      <c r="K1843" s="85">
        <f t="shared" si="207"/>
        <v>2287.84067</v>
      </c>
      <c r="L1843" s="85">
        <f t="shared" si="207"/>
        <v>0</v>
      </c>
      <c r="M1843" s="85">
        <f t="shared" si="207"/>
        <v>42996.235030000011</v>
      </c>
      <c r="N1843" s="85">
        <f t="shared" si="207"/>
        <v>2287.84067</v>
      </c>
      <c r="O1843" s="85">
        <f t="shared" si="207"/>
        <v>0</v>
      </c>
      <c r="P1843" s="85">
        <f>2287840/1000</f>
        <v>2287.84</v>
      </c>
      <c r="Q1843" s="85">
        <f t="shared" si="207"/>
        <v>39918.105960000008</v>
      </c>
      <c r="R1843" s="86"/>
      <c r="S1843" s="86"/>
      <c r="T1843" s="85">
        <f t="shared" ref="T1843:Y1843" si="208">SUM(T1823:T1842)</f>
        <v>0</v>
      </c>
      <c r="U1843" s="85">
        <f t="shared" si="208"/>
        <v>2287.84067</v>
      </c>
      <c r="V1843" s="85">
        <f t="shared" si="208"/>
        <v>0</v>
      </c>
      <c r="W1843" s="85">
        <f t="shared" si="208"/>
        <v>0</v>
      </c>
      <c r="X1843" s="85">
        <f t="shared" si="205"/>
        <v>82367.629180000004</v>
      </c>
      <c r="Y1843" s="85">
        <f t="shared" si="208"/>
        <v>0</v>
      </c>
      <c r="Z1843" s="85">
        <f>+E1843-X1843</f>
        <v>6.6999999398831278E-4</v>
      </c>
      <c r="AA1843" s="69">
        <f>SUM(AA1823:AA1842)</f>
        <v>45284.075700000001</v>
      </c>
      <c r="AB1843" s="69">
        <f>SUM(AB1823:AB1842)</f>
        <v>0</v>
      </c>
    </row>
    <row r="1844" spans="1:28" hidden="1" x14ac:dyDescent="0.3">
      <c r="A1844" s="117"/>
      <c r="E1844" s="86" t="s">
        <v>29</v>
      </c>
      <c r="F1844" s="86" t="s">
        <v>29</v>
      </c>
      <c r="G1844" s="86" t="s">
        <v>29</v>
      </c>
      <c r="H1844" s="86" t="s">
        <v>29</v>
      </c>
      <c r="I1844" s="86" t="s">
        <v>29</v>
      </c>
      <c r="J1844" s="86" t="s">
        <v>29</v>
      </c>
      <c r="K1844" s="86" t="s">
        <v>29</v>
      </c>
      <c r="L1844" s="86" t="s">
        <v>29</v>
      </c>
      <c r="M1844" s="86" t="s">
        <v>29</v>
      </c>
      <c r="N1844" s="86" t="s">
        <v>29</v>
      </c>
      <c r="O1844" s="86" t="s">
        <v>29</v>
      </c>
      <c r="P1844" s="86" t="s">
        <v>29</v>
      </c>
      <c r="Q1844" s="86" t="s">
        <v>29</v>
      </c>
      <c r="R1844" s="86"/>
      <c r="S1844" s="86"/>
      <c r="T1844" s="86"/>
      <c r="U1844" s="86"/>
      <c r="V1844" s="86"/>
      <c r="W1844" s="86"/>
      <c r="X1844" s="85" t="e">
        <f t="shared" si="205"/>
        <v>#VALUE!</v>
      </c>
      <c r="Y1844" s="86"/>
      <c r="Z1844" s="85" t="e">
        <f t="shared" si="206"/>
        <v>#VALUE!</v>
      </c>
      <c r="AA1844" s="115" t="s">
        <v>29</v>
      </c>
      <c r="AB1844" s="115" t="s">
        <v>29</v>
      </c>
    </row>
    <row r="1845" spans="1:28" hidden="1" x14ac:dyDescent="0.3">
      <c r="A1845" s="105"/>
      <c r="E1845" s="84"/>
      <c r="F1845" s="84"/>
      <c r="G1845" s="84"/>
      <c r="H1845" s="84"/>
      <c r="I1845" s="84"/>
      <c r="J1845" s="84"/>
      <c r="K1845" s="84"/>
      <c r="L1845" s="84"/>
      <c r="M1845" s="84"/>
      <c r="N1845" s="84"/>
      <c r="O1845" s="84"/>
      <c r="P1845" s="84"/>
      <c r="Q1845" s="84"/>
      <c r="R1845" s="86"/>
      <c r="S1845" s="86"/>
      <c r="T1845" s="86"/>
      <c r="U1845" s="86"/>
      <c r="V1845" s="86"/>
      <c r="W1845" s="86"/>
      <c r="X1845" s="85">
        <f t="shared" si="205"/>
        <v>0</v>
      </c>
      <c r="Y1845" s="86"/>
      <c r="Z1845" s="85">
        <f t="shared" si="206"/>
        <v>0</v>
      </c>
    </row>
    <row r="1846" spans="1:28" hidden="1" x14ac:dyDescent="0.3">
      <c r="A1846" s="117"/>
      <c r="C1846" s="68" t="s">
        <v>774</v>
      </c>
      <c r="D1846" s="87" t="s">
        <v>166</v>
      </c>
      <c r="E1846" s="85">
        <f>STATS1003B!E1850/1000</f>
        <v>401.625</v>
      </c>
      <c r="F1846" s="85">
        <f>STATS1003B!F1850/1000</f>
        <v>401.625</v>
      </c>
      <c r="G1846" s="85">
        <f>STATS1003B!G1850/1000</f>
        <v>0</v>
      </c>
      <c r="H1846" s="85">
        <f>STATS1003B!H1850/1000</f>
        <v>401.625</v>
      </c>
      <c r="I1846" s="85">
        <f>STATS1003B!I1850/1000</f>
        <v>0</v>
      </c>
      <c r="J1846" s="85">
        <f>STATS1003B!J1850/1000</f>
        <v>401.625</v>
      </c>
      <c r="K1846" s="85">
        <f>STATS1003B!K1850/1000</f>
        <v>0</v>
      </c>
      <c r="L1846" s="85">
        <f>STATS1003B!L1850/1000</f>
        <v>0</v>
      </c>
      <c r="M1846" s="85">
        <f>STATS1003B!M1850/1000</f>
        <v>401.625</v>
      </c>
      <c r="N1846" s="85">
        <f>STATS1003B!N1850/1000</f>
        <v>0</v>
      </c>
      <c r="O1846" s="85">
        <f>STATS1003B!O1850/1000</f>
        <v>0</v>
      </c>
      <c r="P1846" s="85">
        <f>STATS1003B!P1850/1000</f>
        <v>0</v>
      </c>
      <c r="Q1846" s="85">
        <f>STATS1003B!Q1850/1000</f>
        <v>401.625</v>
      </c>
      <c r="R1846" s="85">
        <f>STATS1003B!R1850/1000</f>
        <v>0</v>
      </c>
      <c r="S1846" s="85">
        <f>STATS1003B!S1850/1000</f>
        <v>0</v>
      </c>
      <c r="T1846" s="85">
        <f>STATS1003B!T1850/1000</f>
        <v>0</v>
      </c>
      <c r="U1846" s="85">
        <f>STATS1003B!U1850/1000</f>
        <v>0</v>
      </c>
      <c r="V1846" s="85">
        <f>STATS1003B!V1850/1000</f>
        <v>0</v>
      </c>
      <c r="W1846" s="85">
        <f>STATS1003B!W1850/1000</f>
        <v>0</v>
      </c>
      <c r="X1846" s="85">
        <f t="shared" si="205"/>
        <v>401.625</v>
      </c>
      <c r="Y1846" s="85">
        <f>STATS1003B!Y1850/1000</f>
        <v>0</v>
      </c>
      <c r="Z1846" s="85">
        <f t="shared" si="206"/>
        <v>0</v>
      </c>
      <c r="AA1846" s="69">
        <f>STATS1003B!AA1850/1000</f>
        <v>401.625</v>
      </c>
      <c r="AB1846" s="69">
        <f>STATS1003B!AB1850/1000</f>
        <v>0</v>
      </c>
    </row>
    <row r="1847" spans="1:28" hidden="1" x14ac:dyDescent="0.3">
      <c r="A1847" s="117"/>
      <c r="C1847" s="68" t="s">
        <v>775</v>
      </c>
      <c r="D1847" s="87" t="s">
        <v>166</v>
      </c>
      <c r="E1847" s="85">
        <f>STATS1003B!E1851/1000</f>
        <v>388.86399999999998</v>
      </c>
      <c r="F1847" s="85">
        <f>STATS1003B!F1851/1000</f>
        <v>388.86399999999998</v>
      </c>
      <c r="G1847" s="85">
        <f>STATS1003B!G1851/1000</f>
        <v>0</v>
      </c>
      <c r="H1847" s="85">
        <f>STATS1003B!H1851/1000</f>
        <v>388.86399999999998</v>
      </c>
      <c r="I1847" s="85">
        <f>STATS1003B!I1851/1000</f>
        <v>0</v>
      </c>
      <c r="J1847" s="85">
        <f>STATS1003B!J1851/1000</f>
        <v>388.86399999999998</v>
      </c>
      <c r="K1847" s="85">
        <f>STATS1003B!K1851/1000</f>
        <v>0</v>
      </c>
      <c r="L1847" s="85">
        <f>STATS1003B!L1851/1000</f>
        <v>0</v>
      </c>
      <c r="M1847" s="85">
        <f>STATS1003B!M1851/1000</f>
        <v>388.86399999999998</v>
      </c>
      <c r="N1847" s="85">
        <f>STATS1003B!N1851/1000</f>
        <v>0</v>
      </c>
      <c r="O1847" s="85">
        <f>STATS1003B!O1851/1000</f>
        <v>0</v>
      </c>
      <c r="P1847" s="85">
        <f>STATS1003B!P1851/1000</f>
        <v>0</v>
      </c>
      <c r="Q1847" s="85">
        <f>STATS1003B!Q1851/1000</f>
        <v>388.86399999999998</v>
      </c>
      <c r="R1847" s="85">
        <f>STATS1003B!R1851/1000</f>
        <v>0</v>
      </c>
      <c r="S1847" s="85">
        <f>STATS1003B!S1851/1000</f>
        <v>0</v>
      </c>
      <c r="T1847" s="85">
        <f>STATS1003B!T1851/1000</f>
        <v>0</v>
      </c>
      <c r="U1847" s="85">
        <f>STATS1003B!U1851/1000</f>
        <v>0</v>
      </c>
      <c r="V1847" s="85">
        <f>STATS1003B!V1851/1000</f>
        <v>0</v>
      </c>
      <c r="W1847" s="85">
        <f>STATS1003B!W1851/1000</f>
        <v>0</v>
      </c>
      <c r="X1847" s="85">
        <f t="shared" si="205"/>
        <v>388.86399999999998</v>
      </c>
      <c r="Y1847" s="85">
        <f>STATS1003B!Y1851/1000</f>
        <v>0</v>
      </c>
      <c r="Z1847" s="85">
        <f t="shared" si="206"/>
        <v>0</v>
      </c>
      <c r="AA1847" s="69">
        <f>STATS1003B!AA1851/1000</f>
        <v>388.86399999999998</v>
      </c>
      <c r="AB1847" s="69">
        <f>STATS1003B!AB1851/1000</f>
        <v>0</v>
      </c>
    </row>
    <row r="1848" spans="1:28" hidden="1" x14ac:dyDescent="0.3">
      <c r="A1848" s="117"/>
      <c r="C1848" s="68" t="s">
        <v>776</v>
      </c>
      <c r="D1848" s="87" t="s">
        <v>166</v>
      </c>
      <c r="E1848" s="85">
        <f>STATS1003B!E1852/1000</f>
        <v>450.5</v>
      </c>
      <c r="F1848" s="85">
        <f>STATS1003B!F1852/1000</f>
        <v>450.5</v>
      </c>
      <c r="G1848" s="85">
        <f>STATS1003B!G1852/1000</f>
        <v>0</v>
      </c>
      <c r="H1848" s="85">
        <f>STATS1003B!H1852/1000</f>
        <v>450.5</v>
      </c>
      <c r="I1848" s="85">
        <f>STATS1003B!I1852/1000</f>
        <v>0</v>
      </c>
      <c r="J1848" s="85">
        <f>STATS1003B!J1852/1000</f>
        <v>450.5</v>
      </c>
      <c r="K1848" s="85">
        <f>STATS1003B!K1852/1000</f>
        <v>0</v>
      </c>
      <c r="L1848" s="85">
        <f>STATS1003B!L1852/1000</f>
        <v>0</v>
      </c>
      <c r="M1848" s="85">
        <f>STATS1003B!M1852/1000</f>
        <v>450.5</v>
      </c>
      <c r="N1848" s="85">
        <f>STATS1003B!N1852/1000</f>
        <v>0</v>
      </c>
      <c r="O1848" s="85">
        <f>STATS1003B!O1852/1000</f>
        <v>0</v>
      </c>
      <c r="P1848" s="85">
        <f>STATS1003B!P1852/1000</f>
        <v>0</v>
      </c>
      <c r="Q1848" s="85">
        <f>STATS1003B!Q1852/1000</f>
        <v>450.5</v>
      </c>
      <c r="R1848" s="85">
        <f>STATS1003B!R1852/1000</f>
        <v>0</v>
      </c>
      <c r="S1848" s="85">
        <f>STATS1003B!S1852/1000</f>
        <v>0</v>
      </c>
      <c r="T1848" s="85">
        <f>STATS1003B!T1852/1000</f>
        <v>0</v>
      </c>
      <c r="U1848" s="85">
        <f>STATS1003B!U1852/1000</f>
        <v>0</v>
      </c>
      <c r="V1848" s="85">
        <f>STATS1003B!V1852/1000</f>
        <v>0</v>
      </c>
      <c r="W1848" s="85">
        <f>STATS1003B!W1852/1000</f>
        <v>0</v>
      </c>
      <c r="X1848" s="85">
        <f t="shared" si="205"/>
        <v>450.5</v>
      </c>
      <c r="Y1848" s="85">
        <f>STATS1003B!Y1852/1000</f>
        <v>0</v>
      </c>
      <c r="Z1848" s="85">
        <f t="shared" si="206"/>
        <v>0</v>
      </c>
      <c r="AA1848" s="69">
        <f>STATS1003B!AA1852/1000</f>
        <v>450.5</v>
      </c>
      <c r="AB1848" s="69">
        <f>STATS1003B!AB1852/1000</f>
        <v>0</v>
      </c>
    </row>
    <row r="1849" spans="1:28" hidden="1" x14ac:dyDescent="0.3">
      <c r="A1849" s="117"/>
      <c r="C1849" s="68" t="s">
        <v>777</v>
      </c>
      <c r="D1849" s="87" t="s">
        <v>78</v>
      </c>
      <c r="E1849" s="85">
        <f>STATS1003B!E1853/1000</f>
        <v>1973.0609999999999</v>
      </c>
      <c r="F1849" s="85">
        <f>STATS1003B!F1853/1000</f>
        <v>1973.0609999999999</v>
      </c>
      <c r="G1849" s="85">
        <f>STATS1003B!G1853/1000</f>
        <v>0</v>
      </c>
      <c r="H1849" s="85">
        <f>STATS1003B!H1853/1000</f>
        <v>1973.0609999999999</v>
      </c>
      <c r="I1849" s="85">
        <f>STATS1003B!I1853/1000</f>
        <v>0</v>
      </c>
      <c r="J1849" s="85">
        <f>STATS1003B!J1853/1000</f>
        <v>1973.0609999999999</v>
      </c>
      <c r="K1849" s="85">
        <f>STATS1003B!K1853/1000</f>
        <v>0</v>
      </c>
      <c r="L1849" s="85">
        <f>STATS1003B!L1853/1000</f>
        <v>0</v>
      </c>
      <c r="M1849" s="85">
        <f>STATS1003B!M1853/1000</f>
        <v>1973.0609999999999</v>
      </c>
      <c r="N1849" s="85">
        <f>STATS1003B!N1853/1000</f>
        <v>0</v>
      </c>
      <c r="O1849" s="85">
        <f>STATS1003B!O1853/1000</f>
        <v>0</v>
      </c>
      <c r="P1849" s="85">
        <f>STATS1003B!P1853/1000</f>
        <v>0</v>
      </c>
      <c r="Q1849" s="85">
        <f>STATS1003B!Q1853/1000</f>
        <v>1973.0609999999999</v>
      </c>
      <c r="R1849" s="85">
        <f>STATS1003B!R1853/1000</f>
        <v>0</v>
      </c>
      <c r="S1849" s="85">
        <f>STATS1003B!S1853/1000</f>
        <v>0</v>
      </c>
      <c r="T1849" s="85">
        <f>STATS1003B!T1853/1000</f>
        <v>0</v>
      </c>
      <c r="U1849" s="85">
        <f>STATS1003B!U1853/1000</f>
        <v>0</v>
      </c>
      <c r="V1849" s="85">
        <f>STATS1003B!V1853/1000</f>
        <v>0</v>
      </c>
      <c r="W1849" s="85">
        <f>STATS1003B!W1853/1000</f>
        <v>0</v>
      </c>
      <c r="X1849" s="85">
        <f t="shared" si="205"/>
        <v>1973.0609999999999</v>
      </c>
      <c r="Y1849" s="85">
        <f>STATS1003B!Y1853/1000</f>
        <v>0</v>
      </c>
      <c r="Z1849" s="85">
        <f t="shared" si="206"/>
        <v>0</v>
      </c>
      <c r="AA1849" s="69">
        <f>STATS1003B!AA1853/1000</f>
        <v>1973.0609999999999</v>
      </c>
      <c r="AB1849" s="69">
        <f>STATS1003B!AB1853/1000</f>
        <v>0</v>
      </c>
    </row>
    <row r="1850" spans="1:28" hidden="1" x14ac:dyDescent="0.3">
      <c r="A1850" s="117"/>
      <c r="C1850" s="68" t="s">
        <v>535</v>
      </c>
      <c r="D1850" s="87" t="s">
        <v>68</v>
      </c>
      <c r="E1850" s="85">
        <f>STATS1003B!E1854/1000</f>
        <v>3540.5880000000002</v>
      </c>
      <c r="F1850" s="85">
        <f>STATS1003B!F1854/1000</f>
        <v>1337.27</v>
      </c>
      <c r="G1850" s="85">
        <f>STATS1003B!G1854/1000</f>
        <v>0</v>
      </c>
      <c r="H1850" s="85">
        <f>STATS1003B!H1854/1000</f>
        <v>1337.27</v>
      </c>
      <c r="I1850" s="85">
        <f>STATS1003B!I1854/1000</f>
        <v>0</v>
      </c>
      <c r="J1850" s="85">
        <f>STATS1003B!J1854/1000</f>
        <v>1337.27</v>
      </c>
      <c r="K1850" s="85">
        <f>STATS1003B!K1854/1000</f>
        <v>2203.3180000000002</v>
      </c>
      <c r="L1850" s="85">
        <f>STATS1003B!L1854/1000</f>
        <v>0</v>
      </c>
      <c r="M1850" s="85">
        <f>STATS1003B!M1854/1000</f>
        <v>1337.27</v>
      </c>
      <c r="N1850" s="85">
        <f>STATS1003B!N1854/1000</f>
        <v>2203.3180000000002</v>
      </c>
      <c r="O1850" s="85">
        <f>STATS1003B!O1854/1000</f>
        <v>0</v>
      </c>
      <c r="P1850" s="85">
        <f>STATS1003B!P1854/1000</f>
        <v>2203.3180000000002</v>
      </c>
      <c r="Q1850" s="85">
        <f>STATS1003B!Q1854/1000</f>
        <v>1337.27</v>
      </c>
      <c r="R1850" s="85">
        <f>STATS1003B!R1854/1000</f>
        <v>0</v>
      </c>
      <c r="S1850" s="85">
        <f>STATS1003B!S1854/1000</f>
        <v>0</v>
      </c>
      <c r="T1850" s="85">
        <f>STATS1003B!T1854/1000</f>
        <v>0</v>
      </c>
      <c r="U1850" s="85">
        <f>STATS1003B!U1854/1000</f>
        <v>2203.3180000000002</v>
      </c>
      <c r="V1850" s="85">
        <f>STATS1003B!V1854/1000</f>
        <v>0</v>
      </c>
      <c r="W1850" s="85">
        <f>STATS1003B!W1854/1000</f>
        <v>0</v>
      </c>
      <c r="X1850" s="85">
        <f t="shared" si="205"/>
        <v>3540.5880000000002</v>
      </c>
      <c r="Y1850" s="85">
        <f>STATS1003B!Y1854/1000</f>
        <v>0</v>
      </c>
      <c r="Z1850" s="85">
        <f t="shared" si="206"/>
        <v>0</v>
      </c>
      <c r="AA1850" s="69">
        <f>STATS1003B!AA1854/1000</f>
        <v>3540.5880000000002</v>
      </c>
      <c r="AB1850" s="69">
        <f>STATS1003B!AB1854/1000</f>
        <v>0</v>
      </c>
    </row>
    <row r="1851" spans="1:28" hidden="1" x14ac:dyDescent="0.3">
      <c r="A1851" s="117"/>
      <c r="C1851" s="68" t="s">
        <v>539</v>
      </c>
      <c r="D1851" s="87" t="s">
        <v>68</v>
      </c>
      <c r="E1851" s="85">
        <f>STATS1003B!E1855/1000</f>
        <v>2672.5347000000002</v>
      </c>
      <c r="F1851" s="85">
        <f>STATS1003B!F1855/1000</f>
        <v>0</v>
      </c>
      <c r="G1851" s="85">
        <f>STATS1003B!G1855/1000</f>
        <v>0</v>
      </c>
      <c r="H1851" s="85">
        <f>STATS1003B!H1855/1000</f>
        <v>0</v>
      </c>
      <c r="I1851" s="85">
        <f>STATS1003B!I1855/1000</f>
        <v>0</v>
      </c>
      <c r="J1851" s="85">
        <f>STATS1003B!J1855/1000</f>
        <v>0</v>
      </c>
      <c r="K1851" s="85">
        <f>STATS1003B!K1855/1000</f>
        <v>2672.5347000000002</v>
      </c>
      <c r="L1851" s="85">
        <f>STATS1003B!L1855/1000</f>
        <v>0</v>
      </c>
      <c r="M1851" s="85">
        <f>STATS1003B!M1855/1000</f>
        <v>0</v>
      </c>
      <c r="N1851" s="85">
        <f>STATS1003B!N1855/1000</f>
        <v>2672.5347000000002</v>
      </c>
      <c r="O1851" s="85">
        <f>STATS1003B!O1855/1000</f>
        <v>0</v>
      </c>
      <c r="P1851" s="85">
        <f>STATS1003B!P1855/1000</f>
        <v>2672.5347000000002</v>
      </c>
      <c r="Q1851" s="85">
        <f>STATS1003B!Q1855/1000</f>
        <v>0</v>
      </c>
      <c r="R1851" s="85">
        <f>STATS1003B!R1855/1000</f>
        <v>0</v>
      </c>
      <c r="S1851" s="85">
        <f>STATS1003B!S1855/1000</f>
        <v>0</v>
      </c>
      <c r="T1851" s="85">
        <f>STATS1003B!T1855/1000</f>
        <v>0</v>
      </c>
      <c r="U1851" s="85">
        <f>STATS1003B!U1855/1000</f>
        <v>2672.5347000000002</v>
      </c>
      <c r="V1851" s="85">
        <f>STATS1003B!V1855/1000</f>
        <v>0</v>
      </c>
      <c r="W1851" s="85">
        <f>STATS1003B!W1855/1000</f>
        <v>0</v>
      </c>
      <c r="X1851" s="85">
        <f t="shared" si="205"/>
        <v>2672.5347000000002</v>
      </c>
      <c r="Y1851" s="85">
        <f>STATS1003B!Y1855/1000</f>
        <v>0</v>
      </c>
      <c r="Z1851" s="85">
        <f t="shared" si="206"/>
        <v>0</v>
      </c>
      <c r="AA1851" s="69">
        <f>STATS1003B!AA1855/1000</f>
        <v>2672.5347000000002</v>
      </c>
      <c r="AB1851" s="69">
        <f>STATS1003B!AB1855/1000</f>
        <v>0</v>
      </c>
    </row>
    <row r="1852" spans="1:28" hidden="1" x14ac:dyDescent="0.3">
      <c r="A1852" s="117"/>
      <c r="C1852" s="68" t="s">
        <v>545</v>
      </c>
      <c r="D1852" s="87" t="s">
        <v>54</v>
      </c>
      <c r="E1852" s="85">
        <f>STATS1003B!E1856/1000</f>
        <v>1767.77</v>
      </c>
      <c r="F1852" s="85">
        <f>STATS1003B!F1856/1000</f>
        <v>0</v>
      </c>
      <c r="G1852" s="85">
        <f>STATS1003B!G1856/1000</f>
        <v>0</v>
      </c>
      <c r="H1852" s="85">
        <f>STATS1003B!H1856/1000</f>
        <v>0</v>
      </c>
      <c r="I1852" s="85">
        <f>STATS1003B!I1856/1000</f>
        <v>0</v>
      </c>
      <c r="J1852" s="85">
        <f>STATS1003B!J1856/1000</f>
        <v>0</v>
      </c>
      <c r="K1852" s="85">
        <f>STATS1003B!K1856/1000</f>
        <v>1767.77</v>
      </c>
      <c r="L1852" s="85">
        <f>STATS1003B!L1856/1000</f>
        <v>0</v>
      </c>
      <c r="M1852" s="85">
        <f>STATS1003B!M1856/1000</f>
        <v>0</v>
      </c>
      <c r="N1852" s="85">
        <f>STATS1003B!N1856/1000</f>
        <v>1767.77</v>
      </c>
      <c r="O1852" s="85">
        <f>STATS1003B!O1856/1000</f>
        <v>0</v>
      </c>
      <c r="P1852" s="85">
        <f>STATS1003B!P1856/1000</f>
        <v>1767.77</v>
      </c>
      <c r="Q1852" s="85">
        <f>STATS1003B!Q1856/1000</f>
        <v>0</v>
      </c>
      <c r="R1852" s="85">
        <f>STATS1003B!R1856/1000</f>
        <v>0</v>
      </c>
      <c r="S1852" s="85">
        <f>STATS1003B!S1856/1000</f>
        <v>0</v>
      </c>
      <c r="T1852" s="85">
        <f>STATS1003B!T1856/1000</f>
        <v>0</v>
      </c>
      <c r="U1852" s="85">
        <f>STATS1003B!U1856/1000</f>
        <v>1767.77</v>
      </c>
      <c r="V1852" s="85">
        <f>STATS1003B!V1856/1000</f>
        <v>0</v>
      </c>
      <c r="W1852" s="85">
        <f>STATS1003B!W1856/1000</f>
        <v>0</v>
      </c>
      <c r="X1852" s="85">
        <f t="shared" si="205"/>
        <v>1767.77</v>
      </c>
      <c r="Y1852" s="85">
        <f>STATS1003B!Y1856/1000</f>
        <v>0</v>
      </c>
      <c r="Z1852" s="85">
        <f t="shared" si="206"/>
        <v>0</v>
      </c>
      <c r="AA1852" s="69">
        <f>STATS1003B!AA1856/1000</f>
        <v>1767.77</v>
      </c>
      <c r="AB1852" s="69">
        <f>STATS1003B!AB1856/1000</f>
        <v>0</v>
      </c>
    </row>
    <row r="1853" spans="1:28" hidden="1" x14ac:dyDescent="0.3">
      <c r="A1853" s="117"/>
      <c r="C1853" s="68" t="s">
        <v>778</v>
      </c>
      <c r="D1853" s="87" t="s">
        <v>54</v>
      </c>
      <c r="E1853" s="85">
        <f>STATS1003B!E1857/1000</f>
        <v>1900</v>
      </c>
      <c r="F1853" s="85">
        <f>STATS1003B!F1857/1000</f>
        <v>1900</v>
      </c>
      <c r="G1853" s="85">
        <f>STATS1003B!G1857/1000</f>
        <v>0</v>
      </c>
      <c r="H1853" s="85">
        <f>STATS1003B!H1857/1000</f>
        <v>1900</v>
      </c>
      <c r="I1853" s="85">
        <f>STATS1003B!I1857/1000</f>
        <v>0</v>
      </c>
      <c r="J1853" s="85">
        <f>STATS1003B!J1857/1000</f>
        <v>1900</v>
      </c>
      <c r="K1853" s="85">
        <f>STATS1003B!K1857/1000</f>
        <v>0</v>
      </c>
      <c r="L1853" s="85">
        <f>STATS1003B!L1857/1000</f>
        <v>0</v>
      </c>
      <c r="M1853" s="85">
        <f>STATS1003B!M1857/1000</f>
        <v>1900</v>
      </c>
      <c r="N1853" s="85">
        <f>STATS1003B!N1857/1000</f>
        <v>0</v>
      </c>
      <c r="O1853" s="85">
        <f>STATS1003B!O1857/1000</f>
        <v>0</v>
      </c>
      <c r="P1853" s="85">
        <f>STATS1003B!P1857/1000</f>
        <v>0</v>
      </c>
      <c r="Q1853" s="85">
        <f>STATS1003B!Q1857/1000</f>
        <v>1900</v>
      </c>
      <c r="R1853" s="85">
        <f>STATS1003B!R1857/1000</f>
        <v>0</v>
      </c>
      <c r="S1853" s="85">
        <f>STATS1003B!S1857/1000</f>
        <v>0</v>
      </c>
      <c r="T1853" s="85">
        <f>STATS1003B!T1857/1000</f>
        <v>0</v>
      </c>
      <c r="U1853" s="85">
        <f>STATS1003B!U1857/1000</f>
        <v>0</v>
      </c>
      <c r="V1853" s="85">
        <f>STATS1003B!V1857/1000</f>
        <v>0</v>
      </c>
      <c r="W1853" s="85">
        <f>STATS1003B!W1857/1000</f>
        <v>0</v>
      </c>
      <c r="X1853" s="85">
        <f t="shared" si="205"/>
        <v>1900</v>
      </c>
      <c r="Y1853" s="85">
        <f>STATS1003B!Y1857/1000</f>
        <v>0</v>
      </c>
      <c r="Z1853" s="85">
        <f t="shared" si="206"/>
        <v>0</v>
      </c>
      <c r="AA1853" s="69">
        <f>STATS1003B!AA1857/1000</f>
        <v>1900</v>
      </c>
      <c r="AB1853" s="69">
        <f>STATS1003B!AB1857/1000</f>
        <v>0</v>
      </c>
    </row>
    <row r="1854" spans="1:28" hidden="1" x14ac:dyDescent="0.3">
      <c r="A1854" s="117"/>
      <c r="C1854" s="68" t="s">
        <v>535</v>
      </c>
      <c r="D1854" s="87" t="s">
        <v>85</v>
      </c>
      <c r="E1854" s="85">
        <f>STATS1003B!E1858/1000</f>
        <v>1859.41</v>
      </c>
      <c r="F1854" s="85">
        <f>STATS1003B!F1858/1000</f>
        <v>1859.41</v>
      </c>
      <c r="G1854" s="85">
        <f>STATS1003B!G1858/1000</f>
        <v>0</v>
      </c>
      <c r="H1854" s="85">
        <f>STATS1003B!H1858/1000</f>
        <v>1859.41</v>
      </c>
      <c r="I1854" s="85">
        <f>STATS1003B!I1858/1000</f>
        <v>0</v>
      </c>
      <c r="J1854" s="85">
        <f>STATS1003B!J1858/1000</f>
        <v>1859.41</v>
      </c>
      <c r="K1854" s="85">
        <f>STATS1003B!K1858/1000</f>
        <v>0</v>
      </c>
      <c r="L1854" s="85">
        <f>STATS1003B!L1858/1000</f>
        <v>0</v>
      </c>
      <c r="M1854" s="85">
        <f>STATS1003B!M1858/1000</f>
        <v>1859.41</v>
      </c>
      <c r="N1854" s="85">
        <f>STATS1003B!N1858/1000</f>
        <v>0</v>
      </c>
      <c r="O1854" s="85">
        <f>STATS1003B!O1858/1000</f>
        <v>0</v>
      </c>
      <c r="P1854" s="85">
        <f>STATS1003B!P1858/1000</f>
        <v>0</v>
      </c>
      <c r="Q1854" s="85">
        <f>STATS1003B!Q1858/1000</f>
        <v>1859.41</v>
      </c>
      <c r="R1854" s="85">
        <f>STATS1003B!R1858/1000</f>
        <v>0</v>
      </c>
      <c r="S1854" s="85">
        <f>STATS1003B!S1858/1000</f>
        <v>0</v>
      </c>
      <c r="T1854" s="85">
        <f>STATS1003B!T1858/1000</f>
        <v>0</v>
      </c>
      <c r="U1854" s="85">
        <f>STATS1003B!U1858/1000</f>
        <v>0</v>
      </c>
      <c r="V1854" s="85">
        <f>STATS1003B!V1858/1000</f>
        <v>0</v>
      </c>
      <c r="W1854" s="85">
        <f>STATS1003B!W1858/1000</f>
        <v>0</v>
      </c>
      <c r="X1854" s="85">
        <f t="shared" si="205"/>
        <v>1859.41</v>
      </c>
      <c r="Y1854" s="85">
        <f>STATS1003B!Y1858/1000</f>
        <v>0</v>
      </c>
      <c r="Z1854" s="85">
        <f t="shared" si="206"/>
        <v>0</v>
      </c>
      <c r="AA1854" s="69">
        <f>STATS1003B!AA1858/1000</f>
        <v>1859.41</v>
      </c>
      <c r="AB1854" s="69">
        <f>STATS1003B!AB1858/1000</f>
        <v>0</v>
      </c>
    </row>
    <row r="1855" spans="1:28" hidden="1" x14ac:dyDescent="0.3">
      <c r="A1855" s="117"/>
      <c r="C1855" s="68" t="s">
        <v>535</v>
      </c>
      <c r="D1855" s="87" t="s">
        <v>88</v>
      </c>
      <c r="E1855" s="85">
        <f>STATS1003B!E1859/1000</f>
        <v>1624.0928200000001</v>
      </c>
      <c r="F1855" s="85">
        <f>STATS1003B!F1859/1000</f>
        <v>1624.0928200000001</v>
      </c>
      <c r="G1855" s="85">
        <f>STATS1003B!G1859/1000</f>
        <v>0</v>
      </c>
      <c r="H1855" s="85">
        <f>STATS1003B!H1859/1000</f>
        <v>1624.0928200000001</v>
      </c>
      <c r="I1855" s="85">
        <f>STATS1003B!I1859/1000</f>
        <v>0</v>
      </c>
      <c r="J1855" s="85">
        <f>STATS1003B!J1859/1000</f>
        <v>1624.0928200000001</v>
      </c>
      <c r="K1855" s="85">
        <f>STATS1003B!K1859/1000</f>
        <v>0</v>
      </c>
      <c r="L1855" s="85">
        <f>STATS1003B!L1859/1000</f>
        <v>0</v>
      </c>
      <c r="M1855" s="85">
        <f>STATS1003B!M1859/1000</f>
        <v>1624.0928200000001</v>
      </c>
      <c r="N1855" s="85">
        <f>STATS1003B!N1859/1000</f>
        <v>0</v>
      </c>
      <c r="O1855" s="85">
        <f>STATS1003B!O1859/1000</f>
        <v>0</v>
      </c>
      <c r="P1855" s="85">
        <f>STATS1003B!P1859/1000</f>
        <v>0</v>
      </c>
      <c r="Q1855" s="85">
        <f>STATS1003B!Q1859/1000</f>
        <v>1624.0928200000001</v>
      </c>
      <c r="R1855" s="85">
        <f>STATS1003B!R1859/1000</f>
        <v>0</v>
      </c>
      <c r="S1855" s="85">
        <f>STATS1003B!S1859/1000</f>
        <v>0</v>
      </c>
      <c r="T1855" s="85">
        <f>STATS1003B!T1859/1000</f>
        <v>0</v>
      </c>
      <c r="U1855" s="85">
        <f>STATS1003B!U1859/1000</f>
        <v>0</v>
      </c>
      <c r="V1855" s="85">
        <f>STATS1003B!V1859/1000</f>
        <v>0</v>
      </c>
      <c r="W1855" s="85">
        <f>STATS1003B!W1859/1000</f>
        <v>0</v>
      </c>
      <c r="X1855" s="85">
        <f t="shared" si="205"/>
        <v>1624.0928200000001</v>
      </c>
      <c r="Y1855" s="85">
        <f>STATS1003B!Y1859/1000</f>
        <v>0</v>
      </c>
      <c r="Z1855" s="85">
        <f t="shared" si="206"/>
        <v>0</v>
      </c>
      <c r="AA1855" s="69">
        <f>STATS1003B!AA1859/1000</f>
        <v>1624.0928200000001</v>
      </c>
      <c r="AB1855" s="69">
        <f>STATS1003B!AB1859/1000</f>
        <v>0</v>
      </c>
    </row>
    <row r="1856" spans="1:28" hidden="1" x14ac:dyDescent="0.3">
      <c r="A1856" s="117"/>
      <c r="C1856" s="68" t="s">
        <v>535</v>
      </c>
      <c r="D1856" s="87" t="s">
        <v>58</v>
      </c>
      <c r="E1856" s="85">
        <f>STATS1003B!E1860/1000</f>
        <v>1886.4</v>
      </c>
      <c r="F1856" s="85">
        <f>STATS1003B!F1860/1000</f>
        <v>1886.4</v>
      </c>
      <c r="G1856" s="85">
        <f>STATS1003B!G1860/1000</f>
        <v>0</v>
      </c>
      <c r="H1856" s="85">
        <f>STATS1003B!H1860/1000</f>
        <v>1886.4</v>
      </c>
      <c r="I1856" s="85">
        <f>STATS1003B!I1860/1000</f>
        <v>0</v>
      </c>
      <c r="J1856" s="85">
        <f>STATS1003B!J1860/1000</f>
        <v>1886.4</v>
      </c>
      <c r="K1856" s="85">
        <f>STATS1003B!K1860/1000</f>
        <v>0</v>
      </c>
      <c r="L1856" s="85">
        <f>STATS1003B!L1860/1000</f>
        <v>0</v>
      </c>
      <c r="M1856" s="85">
        <f>STATS1003B!M1860/1000</f>
        <v>1886.4</v>
      </c>
      <c r="N1856" s="85">
        <f>STATS1003B!N1860/1000</f>
        <v>0</v>
      </c>
      <c r="O1856" s="85">
        <f>STATS1003B!O1860/1000</f>
        <v>0</v>
      </c>
      <c r="P1856" s="85">
        <f>STATS1003B!P1860/1000</f>
        <v>0</v>
      </c>
      <c r="Q1856" s="85">
        <f>STATS1003B!Q1860/1000</f>
        <v>1886.4</v>
      </c>
      <c r="R1856" s="85">
        <f>STATS1003B!R1860/1000</f>
        <v>0</v>
      </c>
      <c r="S1856" s="85">
        <f>STATS1003B!S1860/1000</f>
        <v>0</v>
      </c>
      <c r="T1856" s="85">
        <f>STATS1003B!T1860/1000</f>
        <v>0</v>
      </c>
      <c r="U1856" s="85">
        <f>STATS1003B!U1860/1000</f>
        <v>0</v>
      </c>
      <c r="V1856" s="85">
        <f>STATS1003B!V1860/1000</f>
        <v>0</v>
      </c>
      <c r="W1856" s="85">
        <f>STATS1003B!W1860/1000</f>
        <v>0</v>
      </c>
      <c r="X1856" s="85">
        <f t="shared" si="205"/>
        <v>1886.4</v>
      </c>
      <c r="Y1856" s="85">
        <f>STATS1003B!Y1860/1000</f>
        <v>0</v>
      </c>
      <c r="Z1856" s="85">
        <f t="shared" si="206"/>
        <v>0</v>
      </c>
      <c r="AA1856" s="69">
        <f>STATS1003B!AA1860/1000</f>
        <v>1886.4</v>
      </c>
      <c r="AB1856" s="69">
        <f>STATS1003B!AB1860/1000</f>
        <v>0</v>
      </c>
    </row>
    <row r="1857" spans="1:28" hidden="1" x14ac:dyDescent="0.3">
      <c r="A1857" s="117"/>
      <c r="C1857" s="68" t="s">
        <v>535</v>
      </c>
      <c r="D1857" s="87" t="s">
        <v>60</v>
      </c>
      <c r="E1857" s="85">
        <f>STATS1003B!E1861/1000</f>
        <v>6485.0910000000003</v>
      </c>
      <c r="F1857" s="85">
        <f>STATS1003B!F1861/1000</f>
        <v>6485.0910000000003</v>
      </c>
      <c r="G1857" s="85">
        <f>STATS1003B!G1861/1000</f>
        <v>0</v>
      </c>
      <c r="H1857" s="85">
        <f>STATS1003B!H1861/1000</f>
        <v>6485.0910000000003</v>
      </c>
      <c r="I1857" s="85">
        <f>STATS1003B!I1861/1000</f>
        <v>0</v>
      </c>
      <c r="J1857" s="85">
        <f>STATS1003B!J1861/1000</f>
        <v>6485.0910000000003</v>
      </c>
      <c r="K1857" s="85">
        <f>STATS1003B!K1861/1000</f>
        <v>0</v>
      </c>
      <c r="L1857" s="85">
        <f>STATS1003B!L1861/1000</f>
        <v>0</v>
      </c>
      <c r="M1857" s="85">
        <f>STATS1003B!M1861/1000</f>
        <v>6485.0910000000003</v>
      </c>
      <c r="N1857" s="85">
        <f>STATS1003B!N1861/1000</f>
        <v>0</v>
      </c>
      <c r="O1857" s="85">
        <f>STATS1003B!O1861/1000</f>
        <v>0</v>
      </c>
      <c r="P1857" s="85">
        <f>STATS1003B!P1861/1000</f>
        <v>0</v>
      </c>
      <c r="Q1857" s="85">
        <f>STATS1003B!Q1861/1000</f>
        <v>6485.0910000000003</v>
      </c>
      <c r="R1857" s="85">
        <f>STATS1003B!R1861/1000</f>
        <v>0</v>
      </c>
      <c r="S1857" s="85">
        <f>STATS1003B!S1861/1000</f>
        <v>0</v>
      </c>
      <c r="T1857" s="85">
        <f>STATS1003B!T1861/1000</f>
        <v>0</v>
      </c>
      <c r="U1857" s="85">
        <f>STATS1003B!U1861/1000</f>
        <v>0</v>
      </c>
      <c r="V1857" s="85">
        <f>STATS1003B!V1861/1000</f>
        <v>0</v>
      </c>
      <c r="W1857" s="85">
        <f>STATS1003B!W1861/1000</f>
        <v>0</v>
      </c>
      <c r="X1857" s="85">
        <f t="shared" si="205"/>
        <v>6485.0910000000003</v>
      </c>
      <c r="Y1857" s="85">
        <f>STATS1003B!Y1861/1000</f>
        <v>0</v>
      </c>
      <c r="Z1857" s="85">
        <f t="shared" si="206"/>
        <v>0</v>
      </c>
      <c r="AA1857" s="69">
        <f>STATS1003B!AA1861/1000</f>
        <v>6485.0910000000003</v>
      </c>
      <c r="AB1857" s="69">
        <f>STATS1003B!AB1861/1000</f>
        <v>0</v>
      </c>
    </row>
    <row r="1858" spans="1:28" hidden="1" x14ac:dyDescent="0.3">
      <c r="A1858" s="117"/>
      <c r="C1858" s="71" t="s">
        <v>535</v>
      </c>
      <c r="D1858" s="88" t="s">
        <v>73</v>
      </c>
      <c r="E1858" s="85">
        <f>STATS1003B!E1862/1000</f>
        <v>9207.3799999999992</v>
      </c>
      <c r="F1858" s="85">
        <f>STATS1003B!F1862/1000</f>
        <v>9207.3799999999992</v>
      </c>
      <c r="G1858" s="85">
        <f>STATS1003B!G1862/1000</f>
        <v>0</v>
      </c>
      <c r="H1858" s="85">
        <f>STATS1003B!H1862/1000</f>
        <v>9207.3799999999992</v>
      </c>
      <c r="I1858" s="85">
        <f>STATS1003B!I1862/1000</f>
        <v>0</v>
      </c>
      <c r="J1858" s="85">
        <f>STATS1003B!J1862/1000</f>
        <v>9207.3799999999992</v>
      </c>
      <c r="K1858" s="85">
        <f>STATS1003B!K1862/1000</f>
        <v>0</v>
      </c>
      <c r="L1858" s="85">
        <f>STATS1003B!L1862/1000</f>
        <v>0</v>
      </c>
      <c r="M1858" s="85">
        <f>STATS1003B!M1862/1000</f>
        <v>9207.3799999999992</v>
      </c>
      <c r="N1858" s="85">
        <f>STATS1003B!N1862/1000</f>
        <v>0</v>
      </c>
      <c r="O1858" s="85">
        <f>STATS1003B!O1862/1000</f>
        <v>0</v>
      </c>
      <c r="P1858" s="85">
        <f>STATS1003B!P1862/1000</f>
        <v>0</v>
      </c>
      <c r="Q1858" s="85">
        <f>STATS1003B!Q1862/1000</f>
        <v>9207.3799999999992</v>
      </c>
      <c r="R1858" s="85">
        <f>STATS1003B!R1862/1000</f>
        <v>0</v>
      </c>
      <c r="S1858" s="85">
        <f>STATS1003B!S1862/1000</f>
        <v>0</v>
      </c>
      <c r="T1858" s="85">
        <f>STATS1003B!T1862/1000</f>
        <v>0</v>
      </c>
      <c r="U1858" s="85">
        <f>STATS1003B!U1862/1000</f>
        <v>0</v>
      </c>
      <c r="V1858" s="85">
        <f>STATS1003B!V1862/1000</f>
        <v>0</v>
      </c>
      <c r="W1858" s="85">
        <f>STATS1003B!W1862/1000</f>
        <v>0</v>
      </c>
      <c r="X1858" s="85">
        <f t="shared" si="205"/>
        <v>9207.3799999999992</v>
      </c>
      <c r="Y1858" s="85">
        <f>STATS1003B!Y1862/1000</f>
        <v>0</v>
      </c>
      <c r="Z1858" s="85">
        <f t="shared" si="206"/>
        <v>0</v>
      </c>
      <c r="AA1858" s="69">
        <f>STATS1003B!AA1862/1000</f>
        <v>9207.3799999999992</v>
      </c>
      <c r="AB1858" s="69">
        <f>STATS1003B!AB1862/1000</f>
        <v>0</v>
      </c>
    </row>
    <row r="1859" spans="1:28" hidden="1" x14ac:dyDescent="0.3">
      <c r="A1859" s="117"/>
      <c r="C1859" s="71" t="s">
        <v>535</v>
      </c>
      <c r="D1859" s="88" t="s">
        <v>61</v>
      </c>
      <c r="E1859" s="85">
        <f>STATS1003B!E1863/1000</f>
        <v>9191</v>
      </c>
      <c r="F1859" s="85">
        <f>STATS1003B!F1863/1000</f>
        <v>9191</v>
      </c>
      <c r="G1859" s="85">
        <f>STATS1003B!G1863/1000</f>
        <v>0</v>
      </c>
      <c r="H1859" s="85">
        <f>STATS1003B!H1863/1000</f>
        <v>9191</v>
      </c>
      <c r="I1859" s="85">
        <f>STATS1003B!I1863/1000</f>
        <v>0</v>
      </c>
      <c r="J1859" s="85">
        <f>STATS1003B!J1863/1000</f>
        <v>9191</v>
      </c>
      <c r="K1859" s="85">
        <f>STATS1003B!K1863/1000</f>
        <v>0</v>
      </c>
      <c r="L1859" s="85">
        <f>STATS1003B!L1863/1000</f>
        <v>0</v>
      </c>
      <c r="M1859" s="85">
        <f>STATS1003B!M1863/1000</f>
        <v>9191</v>
      </c>
      <c r="N1859" s="85">
        <f>STATS1003B!N1863/1000</f>
        <v>0</v>
      </c>
      <c r="O1859" s="85">
        <f>STATS1003B!O1863/1000</f>
        <v>0</v>
      </c>
      <c r="P1859" s="85">
        <f>STATS1003B!P1863/1000</f>
        <v>0</v>
      </c>
      <c r="Q1859" s="85">
        <f>STATS1003B!Q1863/1000</f>
        <v>9191</v>
      </c>
      <c r="R1859" s="85">
        <f>STATS1003B!R1863/1000</f>
        <v>0</v>
      </c>
      <c r="S1859" s="85">
        <f>STATS1003B!S1863/1000</f>
        <v>0</v>
      </c>
      <c r="T1859" s="85">
        <f>STATS1003B!T1863/1000</f>
        <v>0</v>
      </c>
      <c r="U1859" s="85">
        <f>STATS1003B!U1863/1000</f>
        <v>0</v>
      </c>
      <c r="V1859" s="85">
        <f>STATS1003B!V1863/1000</f>
        <v>0</v>
      </c>
      <c r="W1859" s="85">
        <f>STATS1003B!W1863/1000</f>
        <v>0</v>
      </c>
      <c r="X1859" s="85">
        <f t="shared" si="205"/>
        <v>9191</v>
      </c>
      <c r="Y1859" s="85">
        <f>STATS1003B!Y1863/1000</f>
        <v>0</v>
      </c>
      <c r="Z1859" s="85">
        <f t="shared" si="206"/>
        <v>0</v>
      </c>
      <c r="AA1859" s="69">
        <f>STATS1003B!AA1863/1000</f>
        <v>9191</v>
      </c>
      <c r="AB1859" s="69">
        <f>STATS1003B!AB1863/1000</f>
        <v>0</v>
      </c>
    </row>
    <row r="1860" spans="1:28" hidden="1" x14ac:dyDescent="0.3">
      <c r="A1860" s="117"/>
      <c r="C1860" s="71" t="s">
        <v>933</v>
      </c>
      <c r="D1860" s="89" t="s">
        <v>1072</v>
      </c>
      <c r="E1860" s="85">
        <f>STATS1003B!E1864/1000</f>
        <v>6912.1541799999995</v>
      </c>
      <c r="F1860" s="85">
        <f>STATS1003B!F1864/1000</f>
        <v>6912.1541799999995</v>
      </c>
      <c r="G1860" s="85">
        <f>STATS1003B!G1864/1000</f>
        <v>0</v>
      </c>
      <c r="H1860" s="85">
        <f>STATS1003B!H1864/1000</f>
        <v>6912.1541799999995</v>
      </c>
      <c r="I1860" s="85">
        <f>STATS1003B!I1864/1000</f>
        <v>0</v>
      </c>
      <c r="J1860" s="85">
        <f>STATS1003B!J1864/1000</f>
        <v>0</v>
      </c>
      <c r="K1860" s="85">
        <f>STATS1003B!K1864/1000</f>
        <v>0</v>
      </c>
      <c r="L1860" s="85">
        <f>STATS1003B!L1864/1000</f>
        <v>0</v>
      </c>
      <c r="M1860" s="85">
        <f>STATS1003B!M1864/1000</f>
        <v>6912.1541799999995</v>
      </c>
      <c r="N1860" s="85">
        <f>STATS1003B!N1864/1000</f>
        <v>0</v>
      </c>
      <c r="O1860" s="85">
        <f>STATS1003B!O1864/1000</f>
        <v>0</v>
      </c>
      <c r="P1860" s="85">
        <f>STATS1003B!P1864/1000</f>
        <v>0</v>
      </c>
      <c r="Q1860" s="85">
        <f>STATS1003B!Q1864/1000</f>
        <v>0</v>
      </c>
      <c r="R1860" s="85">
        <f>STATS1003B!R1864/1000</f>
        <v>0</v>
      </c>
      <c r="S1860" s="85">
        <f>STATS1003B!S1864/1000</f>
        <v>0</v>
      </c>
      <c r="T1860" s="85">
        <f>STATS1003B!T1864/1000</f>
        <v>0</v>
      </c>
      <c r="U1860" s="85">
        <f>STATS1003B!U1864/1000</f>
        <v>0</v>
      </c>
      <c r="V1860" s="85">
        <f>STATS1003B!V1864/1000</f>
        <v>0</v>
      </c>
      <c r="W1860" s="85">
        <f>STATS1003B!W1864/1000</f>
        <v>0</v>
      </c>
      <c r="X1860" s="85">
        <f t="shared" si="205"/>
        <v>6912.1541799999995</v>
      </c>
      <c r="Y1860" s="85">
        <f>STATS1003B!Y1864/1000</f>
        <v>0</v>
      </c>
      <c r="Z1860" s="85">
        <f t="shared" si="206"/>
        <v>0</v>
      </c>
      <c r="AA1860" s="69">
        <f>STATS1003B!AA1864/1000</f>
        <v>6912.1541799999995</v>
      </c>
      <c r="AB1860" s="69">
        <f>STATS1003B!AB1864/1000</f>
        <v>0</v>
      </c>
    </row>
    <row r="1861" spans="1:28" hidden="1" x14ac:dyDescent="0.3">
      <c r="A1861" s="117"/>
      <c r="C1861" s="71" t="s">
        <v>1173</v>
      </c>
      <c r="D1861" s="89" t="s">
        <v>1126</v>
      </c>
      <c r="E1861" s="85">
        <f>STATS1003B!E1865/1000</f>
        <v>12568.668079999999</v>
      </c>
      <c r="F1861" s="85">
        <f>STATS1003B!F1865/1000</f>
        <v>12568.668079999999</v>
      </c>
      <c r="G1861" s="85">
        <f>STATS1003B!G1865/1000</f>
        <v>0</v>
      </c>
      <c r="H1861" s="85">
        <f>STATS1003B!H1865/1000</f>
        <v>12568.668079999999</v>
      </c>
      <c r="I1861" s="85">
        <f>STATS1003B!I1865/1000</f>
        <v>0</v>
      </c>
      <c r="J1861" s="85">
        <f>STATS1003B!J1865/1000</f>
        <v>0</v>
      </c>
      <c r="K1861" s="85">
        <f>STATS1003B!K1865/1000</f>
        <v>0</v>
      </c>
      <c r="L1861" s="85">
        <f>STATS1003B!L1865/1000</f>
        <v>0</v>
      </c>
      <c r="M1861" s="85">
        <f>STATS1003B!M1865/1000</f>
        <v>12568.668079999999</v>
      </c>
      <c r="N1861" s="85">
        <f>STATS1003B!N1865/1000</f>
        <v>0</v>
      </c>
      <c r="O1861" s="85">
        <f>STATS1003B!O1865/1000</f>
        <v>0</v>
      </c>
      <c r="P1861" s="85">
        <f>STATS1003B!P1865/1000</f>
        <v>0</v>
      </c>
      <c r="Q1861" s="85">
        <f>STATS1003B!Q1865/1000</f>
        <v>0</v>
      </c>
      <c r="R1861" s="85">
        <f>STATS1003B!R1865/1000</f>
        <v>0</v>
      </c>
      <c r="S1861" s="85">
        <f>STATS1003B!S1865/1000</f>
        <v>0</v>
      </c>
      <c r="T1861" s="85">
        <f>STATS1003B!T1865/1000</f>
        <v>0</v>
      </c>
      <c r="U1861" s="85">
        <f>STATS1003B!U1865/1000</f>
        <v>0</v>
      </c>
      <c r="V1861" s="85">
        <f>STATS1003B!V1865/1000</f>
        <v>0</v>
      </c>
      <c r="W1861" s="85">
        <f>STATS1003B!W1865/1000</f>
        <v>0</v>
      </c>
      <c r="X1861" s="85">
        <f t="shared" si="205"/>
        <v>12568.668079999999</v>
      </c>
      <c r="Y1861" s="85">
        <f>STATS1003B!Y1865/1000</f>
        <v>0</v>
      </c>
      <c r="Z1861" s="85">
        <f t="shared" si="206"/>
        <v>0</v>
      </c>
      <c r="AA1861" s="69">
        <f>STATS1003B!AA1865/1000</f>
        <v>12568.668079999999</v>
      </c>
      <c r="AB1861" s="69">
        <f>STATS1003B!AB1865/1000</f>
        <v>0</v>
      </c>
    </row>
    <row r="1862" spans="1:28" hidden="1" x14ac:dyDescent="0.3">
      <c r="A1862" s="117"/>
      <c r="C1862" s="71" t="s">
        <v>1245</v>
      </c>
      <c r="D1862" s="89" t="s">
        <v>1225</v>
      </c>
      <c r="E1862" s="85">
        <f>STATS1003B!E1866/1000</f>
        <v>20788.013859999999</v>
      </c>
      <c r="F1862" s="85">
        <f>STATS1003B!F1866/1000</f>
        <v>8630.5394800000013</v>
      </c>
      <c r="G1862" s="85">
        <f>STATS1003B!G1866/1000</f>
        <v>12157.474380000001</v>
      </c>
      <c r="H1862" s="85">
        <f>STATS1003B!H1866/1000</f>
        <v>20788.013859999999</v>
      </c>
      <c r="I1862" s="85">
        <f>STATS1003B!I1866/1000</f>
        <v>0</v>
      </c>
      <c r="J1862" s="85">
        <f>STATS1003B!J1866/1000</f>
        <v>0</v>
      </c>
      <c r="K1862" s="85">
        <f>STATS1003B!K1866/1000</f>
        <v>0</v>
      </c>
      <c r="L1862" s="85">
        <f>STATS1003B!L1866/1000</f>
        <v>0</v>
      </c>
      <c r="M1862" s="85">
        <f>STATS1003B!M1866/1000</f>
        <v>20788.013859999999</v>
      </c>
      <c r="N1862" s="85">
        <f>STATS1003B!N1866/1000</f>
        <v>0</v>
      </c>
      <c r="O1862" s="85">
        <f>STATS1003B!O1866/1000</f>
        <v>0</v>
      </c>
      <c r="P1862" s="85">
        <f>STATS1003B!P1866/1000</f>
        <v>0</v>
      </c>
      <c r="Q1862" s="85">
        <f>STATS1003B!Q1866/1000</f>
        <v>0</v>
      </c>
      <c r="R1862" s="85">
        <f>STATS1003B!R1866/1000</f>
        <v>0</v>
      </c>
      <c r="S1862" s="85">
        <f>STATS1003B!S1866/1000</f>
        <v>0</v>
      </c>
      <c r="T1862" s="85">
        <f>STATS1003B!T1866/1000</f>
        <v>0</v>
      </c>
      <c r="U1862" s="85">
        <f>STATS1003B!U1866/1000</f>
        <v>0</v>
      </c>
      <c r="V1862" s="85">
        <f>STATS1003B!V1866/1000</f>
        <v>0</v>
      </c>
      <c r="W1862" s="85">
        <f>STATS1003B!W1866/1000</f>
        <v>0</v>
      </c>
      <c r="X1862" s="85">
        <f t="shared" si="205"/>
        <v>20788.013859999999</v>
      </c>
      <c r="Y1862" s="85">
        <f>STATS1003B!Y1866/1000</f>
        <v>0</v>
      </c>
      <c r="Z1862" s="85">
        <f t="shared" si="206"/>
        <v>0</v>
      </c>
      <c r="AA1862" s="69">
        <f>STATS1003B!AA1866/1000</f>
        <v>20788.013859999999</v>
      </c>
      <c r="AB1862" s="69">
        <f>STATS1003B!AB1866/1000</f>
        <v>0</v>
      </c>
    </row>
    <row r="1863" spans="1:28" hidden="1" x14ac:dyDescent="0.3">
      <c r="A1863" s="117"/>
      <c r="C1863" s="68" t="s">
        <v>606</v>
      </c>
      <c r="E1863" s="85">
        <f>STATS1003B!E1867/1000</f>
        <v>3799.8701000000001</v>
      </c>
      <c r="F1863" s="85">
        <f>STATS1003B!F1867/1000</f>
        <v>2500</v>
      </c>
      <c r="G1863" s="85">
        <f>STATS1003B!G1867/1000</f>
        <v>0</v>
      </c>
      <c r="H1863" s="85">
        <f>STATS1003B!H1867/1000</f>
        <v>2500</v>
      </c>
      <c r="I1863" s="85">
        <f>STATS1003B!I1867/1000</f>
        <v>1299.8701000000001</v>
      </c>
      <c r="J1863" s="85">
        <f>STATS1003B!J1867/1000</f>
        <v>3799.8701000000001</v>
      </c>
      <c r="K1863" s="85">
        <f>STATS1003B!K1867/1000</f>
        <v>0</v>
      </c>
      <c r="L1863" s="85">
        <f>STATS1003B!L1867/1000</f>
        <v>1299.8701000000001</v>
      </c>
      <c r="M1863" s="85">
        <f>STATS1003B!M1867/1000</f>
        <v>3799.8701000000001</v>
      </c>
      <c r="N1863" s="85">
        <f>STATS1003B!N1867/1000</f>
        <v>0</v>
      </c>
      <c r="O1863" s="85">
        <f>STATS1003B!O1867/1000</f>
        <v>0</v>
      </c>
      <c r="P1863" s="85">
        <f>STATS1003B!P1867/1000</f>
        <v>0</v>
      </c>
      <c r="Q1863" s="85">
        <f>STATS1003B!Q1867/1000</f>
        <v>3799.8701000000001</v>
      </c>
      <c r="R1863" s="85">
        <f>STATS1003B!R1867/1000</f>
        <v>0</v>
      </c>
      <c r="S1863" s="85">
        <f>STATS1003B!S1867/1000</f>
        <v>0</v>
      </c>
      <c r="T1863" s="85">
        <f>STATS1003B!T1867/1000</f>
        <v>0</v>
      </c>
      <c r="U1863" s="85">
        <f>STATS1003B!U1867/1000</f>
        <v>0</v>
      </c>
      <c r="V1863" s="85">
        <f>STATS1003B!V1867/1000</f>
        <v>0</v>
      </c>
      <c r="W1863" s="85">
        <f>STATS1003B!W1867/1000</f>
        <v>0</v>
      </c>
      <c r="X1863" s="85">
        <f t="shared" si="205"/>
        <v>2500</v>
      </c>
      <c r="Y1863" s="85">
        <f>STATS1003B!Y1867/1000</f>
        <v>0</v>
      </c>
      <c r="Z1863" s="85">
        <f t="shared" si="206"/>
        <v>1299.8701000000001</v>
      </c>
      <c r="AA1863" s="69">
        <f>STATS1003B!AA1867/1000</f>
        <v>3799.8701000000001</v>
      </c>
      <c r="AB1863" s="69">
        <f>STATS1003B!AB1867/1000</f>
        <v>0</v>
      </c>
    </row>
    <row r="1864" spans="1:28" hidden="1" x14ac:dyDescent="0.3">
      <c r="A1864" s="117"/>
      <c r="E1864" s="86" t="s">
        <v>29</v>
      </c>
      <c r="F1864" s="86" t="s">
        <v>29</v>
      </c>
      <c r="G1864" s="86" t="s">
        <v>29</v>
      </c>
      <c r="H1864" s="86" t="s">
        <v>29</v>
      </c>
      <c r="I1864" s="86" t="s">
        <v>29</v>
      </c>
      <c r="J1864" s="86" t="s">
        <v>29</v>
      </c>
      <c r="K1864" s="86" t="s">
        <v>29</v>
      </c>
      <c r="L1864" s="86" t="s">
        <v>29</v>
      </c>
      <c r="M1864" s="86" t="s">
        <v>29</v>
      </c>
      <c r="N1864" s="86" t="s">
        <v>29</v>
      </c>
      <c r="O1864" s="86" t="s">
        <v>29</v>
      </c>
      <c r="P1864" s="86" t="s">
        <v>29</v>
      </c>
      <c r="Q1864" s="86" t="s">
        <v>29</v>
      </c>
      <c r="R1864" s="86"/>
      <c r="S1864" s="86"/>
      <c r="T1864" s="86"/>
      <c r="U1864" s="86"/>
      <c r="V1864" s="86"/>
      <c r="W1864" s="86"/>
      <c r="X1864" s="85" t="e">
        <f t="shared" si="205"/>
        <v>#VALUE!</v>
      </c>
      <c r="Y1864" s="86"/>
      <c r="Z1864" s="85" t="e">
        <f t="shared" si="206"/>
        <v>#VALUE!</v>
      </c>
      <c r="AA1864" s="115" t="s">
        <v>29</v>
      </c>
      <c r="AB1864" s="115" t="s">
        <v>29</v>
      </c>
    </row>
    <row r="1865" spans="1:28" x14ac:dyDescent="0.3">
      <c r="A1865" s="116">
        <v>82</v>
      </c>
      <c r="B1865" s="68" t="s">
        <v>773</v>
      </c>
      <c r="E1865" s="85">
        <f>114400798.75/1000</f>
        <v>114400.79875</v>
      </c>
      <c r="F1865" s="85">
        <f t="shared" ref="F1865:Q1865" si="209">SUM(F1846:F1864)</f>
        <v>67316.055560000008</v>
      </c>
      <c r="G1865" s="85">
        <f t="shared" si="209"/>
        <v>12157.474380000001</v>
      </c>
      <c r="H1865" s="85">
        <f>106457305.95/1000</f>
        <v>106457.30595000001</v>
      </c>
      <c r="I1865" s="85">
        <f t="shared" si="209"/>
        <v>1299.8701000000001</v>
      </c>
      <c r="J1865" s="85">
        <f t="shared" si="209"/>
        <v>40504.563920000001</v>
      </c>
      <c r="K1865" s="85">
        <f t="shared" si="209"/>
        <v>6643.6226999999999</v>
      </c>
      <c r="L1865" s="85">
        <f t="shared" si="209"/>
        <v>1299.8701000000001</v>
      </c>
      <c r="M1865" s="85">
        <f t="shared" si="209"/>
        <v>80773.400040000008</v>
      </c>
      <c r="N1865" s="85">
        <f t="shared" si="209"/>
        <v>6643.6226999999999</v>
      </c>
      <c r="O1865" s="85">
        <f t="shared" si="209"/>
        <v>0</v>
      </c>
      <c r="P1865" s="85">
        <f>6643622/1000</f>
        <v>6643.6220000000003</v>
      </c>
      <c r="Q1865" s="85">
        <f t="shared" si="209"/>
        <v>40504.563920000001</v>
      </c>
      <c r="R1865" s="86"/>
      <c r="S1865" s="86"/>
      <c r="T1865" s="85">
        <f t="shared" ref="T1865:Y1865" si="210">SUM(T1846:T1864)</f>
        <v>0</v>
      </c>
      <c r="U1865" s="85">
        <f t="shared" si="210"/>
        <v>6643.6226999999999</v>
      </c>
      <c r="V1865" s="85">
        <f t="shared" si="210"/>
        <v>0</v>
      </c>
      <c r="W1865" s="85">
        <f t="shared" si="210"/>
        <v>0</v>
      </c>
      <c r="X1865" s="85">
        <f t="shared" si="205"/>
        <v>113100.92795000001</v>
      </c>
      <c r="Y1865" s="85">
        <f t="shared" si="210"/>
        <v>0</v>
      </c>
      <c r="Z1865" s="85">
        <f t="shared" si="206"/>
        <v>1299.8707999999897</v>
      </c>
      <c r="AA1865" s="69">
        <f>SUM(AA1846:AA1864)</f>
        <v>87417.022739999986</v>
      </c>
      <c r="AB1865" s="69">
        <f>SUM(AB1846:AB1864)</f>
        <v>0</v>
      </c>
    </row>
    <row r="1866" spans="1:28" hidden="1" x14ac:dyDescent="0.3">
      <c r="A1866" s="117"/>
      <c r="E1866" s="86" t="s">
        <v>29</v>
      </c>
      <c r="F1866" s="86" t="s">
        <v>29</v>
      </c>
      <c r="G1866" s="86" t="s">
        <v>29</v>
      </c>
      <c r="H1866" s="86" t="s">
        <v>29</v>
      </c>
      <c r="I1866" s="86" t="s">
        <v>29</v>
      </c>
      <c r="J1866" s="86" t="s">
        <v>29</v>
      </c>
      <c r="K1866" s="86" t="s">
        <v>29</v>
      </c>
      <c r="L1866" s="86" t="s">
        <v>29</v>
      </c>
      <c r="M1866" s="86" t="s">
        <v>29</v>
      </c>
      <c r="N1866" s="86" t="s">
        <v>29</v>
      </c>
      <c r="O1866" s="86" t="s">
        <v>29</v>
      </c>
      <c r="P1866" s="86" t="s">
        <v>29</v>
      </c>
      <c r="Q1866" s="86" t="s">
        <v>29</v>
      </c>
      <c r="R1866" s="86"/>
      <c r="S1866" s="86"/>
      <c r="T1866" s="86"/>
      <c r="U1866" s="86"/>
      <c r="V1866" s="86"/>
      <c r="W1866" s="86"/>
      <c r="X1866" s="85" t="e">
        <f t="shared" si="205"/>
        <v>#VALUE!</v>
      </c>
      <c r="Y1866" s="86"/>
      <c r="Z1866" s="85" t="e">
        <f t="shared" si="206"/>
        <v>#VALUE!</v>
      </c>
      <c r="AA1866" s="115" t="s">
        <v>29</v>
      </c>
      <c r="AB1866" s="115" t="s">
        <v>29</v>
      </c>
    </row>
    <row r="1867" spans="1:28" hidden="1" x14ac:dyDescent="0.3">
      <c r="A1867" s="105"/>
      <c r="E1867" s="84"/>
      <c r="F1867" s="84"/>
      <c r="G1867" s="84"/>
      <c r="H1867" s="84"/>
      <c r="I1867" s="84"/>
      <c r="J1867" s="84"/>
      <c r="K1867" s="84"/>
      <c r="L1867" s="84"/>
      <c r="M1867" s="84"/>
      <c r="N1867" s="84"/>
      <c r="O1867" s="84"/>
      <c r="P1867" s="84"/>
      <c r="Q1867" s="84"/>
      <c r="R1867" s="86"/>
      <c r="S1867" s="86"/>
      <c r="T1867" s="86"/>
      <c r="U1867" s="86"/>
      <c r="V1867" s="86"/>
      <c r="W1867" s="86"/>
      <c r="X1867" s="85">
        <f t="shared" si="205"/>
        <v>0</v>
      </c>
      <c r="Y1867" s="86"/>
      <c r="Z1867" s="85">
        <f t="shared" si="206"/>
        <v>0</v>
      </c>
    </row>
    <row r="1868" spans="1:28" hidden="1" x14ac:dyDescent="0.3">
      <c r="A1868" s="117"/>
      <c r="C1868" s="68" t="s">
        <v>780</v>
      </c>
      <c r="D1868" s="87" t="s">
        <v>166</v>
      </c>
      <c r="E1868" s="85">
        <f>STATS1003B!E1872/1000</f>
        <v>778.19600000000003</v>
      </c>
      <c r="F1868" s="85">
        <f>STATS1003B!F1872/1000</f>
        <v>778.19600000000003</v>
      </c>
      <c r="G1868" s="85">
        <f>STATS1003B!G1872/1000</f>
        <v>0</v>
      </c>
      <c r="H1868" s="85">
        <f>STATS1003B!H1872/1000</f>
        <v>778.19600000000003</v>
      </c>
      <c r="I1868" s="85">
        <f>STATS1003B!I1872/1000</f>
        <v>0</v>
      </c>
      <c r="J1868" s="85">
        <f>STATS1003B!J1872/1000</f>
        <v>778.19600000000003</v>
      </c>
      <c r="K1868" s="85">
        <f>STATS1003B!K1872/1000</f>
        <v>0</v>
      </c>
      <c r="L1868" s="85">
        <f>STATS1003B!L1872/1000</f>
        <v>0</v>
      </c>
      <c r="M1868" s="85">
        <f>STATS1003B!M1872/1000</f>
        <v>778.19600000000003</v>
      </c>
      <c r="N1868" s="85">
        <f>STATS1003B!N1872/1000</f>
        <v>0</v>
      </c>
      <c r="O1868" s="85">
        <f>STATS1003B!O1872/1000</f>
        <v>0</v>
      </c>
      <c r="P1868" s="85">
        <f>STATS1003B!P1872/1000</f>
        <v>0</v>
      </c>
      <c r="Q1868" s="85">
        <f>STATS1003B!Q1872/1000</f>
        <v>778.19600000000003</v>
      </c>
      <c r="R1868" s="85">
        <f>STATS1003B!R1872/1000</f>
        <v>0</v>
      </c>
      <c r="S1868" s="85">
        <f>STATS1003B!S1872/1000</f>
        <v>0</v>
      </c>
      <c r="T1868" s="85">
        <f>STATS1003B!T1872/1000</f>
        <v>0</v>
      </c>
      <c r="U1868" s="85">
        <f>STATS1003B!U1872/1000</f>
        <v>0</v>
      </c>
      <c r="V1868" s="85">
        <f>STATS1003B!V1872/1000</f>
        <v>0</v>
      </c>
      <c r="W1868" s="85">
        <f>STATS1003B!W1872/1000</f>
        <v>0</v>
      </c>
      <c r="X1868" s="85">
        <f t="shared" si="205"/>
        <v>778.19600000000003</v>
      </c>
      <c r="Y1868" s="85">
        <f>STATS1003B!Y1872/1000</f>
        <v>0</v>
      </c>
      <c r="Z1868" s="85">
        <f t="shared" si="206"/>
        <v>0</v>
      </c>
      <c r="AA1868" s="69">
        <f>STATS1003B!AA1872/1000</f>
        <v>778.19600000000003</v>
      </c>
      <c r="AB1868" s="69">
        <f>STATS1003B!AB1872/1000</f>
        <v>0</v>
      </c>
    </row>
    <row r="1869" spans="1:28" hidden="1" x14ac:dyDescent="0.3">
      <c r="A1869" s="117"/>
      <c r="C1869" s="68" t="s">
        <v>781</v>
      </c>
      <c r="D1869" s="87" t="s">
        <v>166</v>
      </c>
      <c r="E1869" s="85">
        <f>STATS1003B!E1873/1000</f>
        <v>550</v>
      </c>
      <c r="F1869" s="85">
        <f>STATS1003B!F1873/1000</f>
        <v>550</v>
      </c>
      <c r="G1869" s="85">
        <f>STATS1003B!G1873/1000</f>
        <v>0</v>
      </c>
      <c r="H1869" s="85">
        <f>STATS1003B!H1873/1000</f>
        <v>550</v>
      </c>
      <c r="I1869" s="85">
        <f>STATS1003B!I1873/1000</f>
        <v>0</v>
      </c>
      <c r="J1869" s="85">
        <f>STATS1003B!J1873/1000</f>
        <v>550</v>
      </c>
      <c r="K1869" s="85">
        <f>STATS1003B!K1873/1000</f>
        <v>0</v>
      </c>
      <c r="L1869" s="85">
        <f>STATS1003B!L1873/1000</f>
        <v>0</v>
      </c>
      <c r="M1869" s="85">
        <f>STATS1003B!M1873/1000</f>
        <v>550</v>
      </c>
      <c r="N1869" s="85">
        <f>STATS1003B!N1873/1000</f>
        <v>0</v>
      </c>
      <c r="O1869" s="85">
        <f>STATS1003B!O1873/1000</f>
        <v>0</v>
      </c>
      <c r="P1869" s="85">
        <f>STATS1003B!P1873/1000</f>
        <v>0</v>
      </c>
      <c r="Q1869" s="85">
        <f>STATS1003B!Q1873/1000</f>
        <v>550</v>
      </c>
      <c r="R1869" s="85">
        <f>STATS1003B!R1873/1000</f>
        <v>0</v>
      </c>
      <c r="S1869" s="85">
        <f>STATS1003B!S1873/1000</f>
        <v>0</v>
      </c>
      <c r="T1869" s="85">
        <f>STATS1003B!T1873/1000</f>
        <v>0</v>
      </c>
      <c r="U1869" s="85">
        <f>STATS1003B!U1873/1000</f>
        <v>0</v>
      </c>
      <c r="V1869" s="85">
        <f>STATS1003B!V1873/1000</f>
        <v>0</v>
      </c>
      <c r="W1869" s="85">
        <f>STATS1003B!W1873/1000</f>
        <v>0</v>
      </c>
      <c r="X1869" s="85">
        <f t="shared" si="205"/>
        <v>550</v>
      </c>
      <c r="Y1869" s="85">
        <f>STATS1003B!Y1873/1000</f>
        <v>0</v>
      </c>
      <c r="Z1869" s="85">
        <f t="shared" si="206"/>
        <v>0</v>
      </c>
      <c r="AA1869" s="69">
        <f>STATS1003B!AA1873/1000</f>
        <v>550</v>
      </c>
      <c r="AB1869" s="69">
        <f>STATS1003B!AB1873/1000</f>
        <v>0</v>
      </c>
    </row>
    <row r="1870" spans="1:28" hidden="1" x14ac:dyDescent="0.3">
      <c r="A1870" s="117"/>
      <c r="C1870" s="68" t="s">
        <v>782</v>
      </c>
      <c r="D1870" s="87" t="s">
        <v>166</v>
      </c>
      <c r="E1870" s="85">
        <f>STATS1003B!E1874/1000</f>
        <v>7417.3023600000006</v>
      </c>
      <c r="F1870" s="85">
        <f>STATS1003B!F1874/1000</f>
        <v>7404.7259999999997</v>
      </c>
      <c r="G1870" s="85">
        <f>STATS1003B!G1874/1000</f>
        <v>0</v>
      </c>
      <c r="H1870" s="85">
        <f>STATS1003B!H1874/1000</f>
        <v>7404.7259999999997</v>
      </c>
      <c r="I1870" s="85">
        <f>STATS1003B!I1874/1000</f>
        <v>0</v>
      </c>
      <c r="J1870" s="85">
        <f>STATS1003B!J1874/1000</f>
        <v>7404.7259999999997</v>
      </c>
      <c r="K1870" s="85">
        <f>STATS1003B!K1874/1000</f>
        <v>12.576360000000015</v>
      </c>
      <c r="L1870" s="85">
        <f>STATS1003B!L1874/1000</f>
        <v>0</v>
      </c>
      <c r="M1870" s="85">
        <f>STATS1003B!M1874/1000</f>
        <v>7404.7259999999997</v>
      </c>
      <c r="N1870" s="85">
        <f>STATS1003B!N1874/1000</f>
        <v>12.576360000000001</v>
      </c>
      <c r="O1870" s="85">
        <f>STATS1003B!O1874/1000</f>
        <v>0</v>
      </c>
      <c r="P1870" s="85">
        <f>STATS1003B!P1874/1000</f>
        <v>12.576360000000001</v>
      </c>
      <c r="Q1870" s="85">
        <f>STATS1003B!Q1874/1000</f>
        <v>7404.7259999999997</v>
      </c>
      <c r="R1870" s="85">
        <f>STATS1003B!R1874/1000</f>
        <v>0</v>
      </c>
      <c r="S1870" s="85">
        <f>STATS1003B!S1874/1000</f>
        <v>0</v>
      </c>
      <c r="T1870" s="85">
        <f>STATS1003B!T1874/1000</f>
        <v>0</v>
      </c>
      <c r="U1870" s="85">
        <f>STATS1003B!U1874/1000</f>
        <v>12.576360000000001</v>
      </c>
      <c r="V1870" s="85">
        <f>STATS1003B!V1874/1000</f>
        <v>0</v>
      </c>
      <c r="W1870" s="85">
        <f>STATS1003B!W1874/1000</f>
        <v>0</v>
      </c>
      <c r="X1870" s="85">
        <f t="shared" si="205"/>
        <v>7417.3023599999997</v>
      </c>
      <c r="Y1870" s="85">
        <f>STATS1003B!Y1874/1000</f>
        <v>0</v>
      </c>
      <c r="Z1870" s="85">
        <f t="shared" si="206"/>
        <v>0</v>
      </c>
      <c r="AA1870" s="69">
        <f>STATS1003B!AA1874/1000</f>
        <v>7417.3023600000006</v>
      </c>
      <c r="AB1870" s="69">
        <f>STATS1003B!AB1874/1000</f>
        <v>0</v>
      </c>
    </row>
    <row r="1871" spans="1:28" hidden="1" x14ac:dyDescent="0.3">
      <c r="A1871" s="117"/>
      <c r="C1871" s="68" t="s">
        <v>535</v>
      </c>
      <c r="D1871" s="87" t="s">
        <v>68</v>
      </c>
      <c r="E1871" s="85">
        <f>STATS1003B!E1875/1000</f>
        <v>2660</v>
      </c>
      <c r="F1871" s="85">
        <f>STATS1003B!F1875/1000</f>
        <v>1102.7588999999998</v>
      </c>
      <c r="G1871" s="85">
        <f>STATS1003B!G1875/1000</f>
        <v>0</v>
      </c>
      <c r="H1871" s="85">
        <f>STATS1003B!H1875/1000</f>
        <v>1102.7588999999998</v>
      </c>
      <c r="I1871" s="85">
        <f>STATS1003B!I1875/1000</f>
        <v>0</v>
      </c>
      <c r="J1871" s="85">
        <f>STATS1003B!J1875/1000</f>
        <v>1102.7588999999998</v>
      </c>
      <c r="K1871" s="85">
        <f>STATS1003B!K1875/1000</f>
        <v>1557.2411000000002</v>
      </c>
      <c r="L1871" s="85">
        <f>STATS1003B!L1875/1000</f>
        <v>0</v>
      </c>
      <c r="M1871" s="85">
        <f>STATS1003B!M1875/1000</f>
        <v>1102.7588999999998</v>
      </c>
      <c r="N1871" s="85">
        <f>STATS1003B!N1875/1000</f>
        <v>1557.2411000000002</v>
      </c>
      <c r="O1871" s="85">
        <f>STATS1003B!O1875/1000</f>
        <v>0</v>
      </c>
      <c r="P1871" s="85">
        <f>STATS1003B!P1875/1000</f>
        <v>1557.2411000000002</v>
      </c>
      <c r="Q1871" s="85">
        <f>STATS1003B!Q1875/1000</f>
        <v>1102.7588999999998</v>
      </c>
      <c r="R1871" s="85">
        <f>STATS1003B!R1875/1000</f>
        <v>0</v>
      </c>
      <c r="S1871" s="85">
        <f>STATS1003B!S1875/1000</f>
        <v>0</v>
      </c>
      <c r="T1871" s="85">
        <f>STATS1003B!T1875/1000</f>
        <v>0</v>
      </c>
      <c r="U1871" s="85">
        <f>STATS1003B!U1875/1000</f>
        <v>1557.2411000000002</v>
      </c>
      <c r="V1871" s="85">
        <f>STATS1003B!V1875/1000</f>
        <v>0</v>
      </c>
      <c r="W1871" s="85">
        <f>STATS1003B!W1875/1000</f>
        <v>0</v>
      </c>
      <c r="X1871" s="85">
        <f t="shared" si="205"/>
        <v>2660</v>
      </c>
      <c r="Y1871" s="85">
        <f>STATS1003B!Y1875/1000</f>
        <v>0</v>
      </c>
      <c r="Z1871" s="85">
        <f t="shared" si="206"/>
        <v>0</v>
      </c>
      <c r="AA1871" s="69">
        <f>STATS1003B!AA1875/1000</f>
        <v>2660</v>
      </c>
      <c r="AB1871" s="69">
        <f>STATS1003B!AB1875/1000</f>
        <v>0</v>
      </c>
    </row>
    <row r="1872" spans="1:28" hidden="1" x14ac:dyDescent="0.3">
      <c r="A1872" s="117"/>
      <c r="C1872" s="68" t="s">
        <v>539</v>
      </c>
      <c r="D1872" s="87" t="s">
        <v>68</v>
      </c>
      <c r="E1872" s="85">
        <f>STATS1003B!E1876/1000</f>
        <v>429.54700000000003</v>
      </c>
      <c r="F1872" s="85">
        <f>STATS1003B!F1876/1000</f>
        <v>0</v>
      </c>
      <c r="G1872" s="85">
        <f>STATS1003B!G1876/1000</f>
        <v>0</v>
      </c>
      <c r="H1872" s="85">
        <f>STATS1003B!H1876/1000</f>
        <v>0</v>
      </c>
      <c r="I1872" s="85">
        <f>STATS1003B!I1876/1000</f>
        <v>0</v>
      </c>
      <c r="J1872" s="85">
        <f>STATS1003B!J1876/1000</f>
        <v>0</v>
      </c>
      <c r="K1872" s="85">
        <f>STATS1003B!K1876/1000</f>
        <v>429.54700000000003</v>
      </c>
      <c r="L1872" s="85">
        <f>STATS1003B!L1876/1000</f>
        <v>0</v>
      </c>
      <c r="M1872" s="85">
        <f>STATS1003B!M1876/1000</f>
        <v>0</v>
      </c>
      <c r="N1872" s="85">
        <f>STATS1003B!N1876/1000</f>
        <v>429.54700000000003</v>
      </c>
      <c r="O1872" s="85">
        <f>STATS1003B!O1876/1000</f>
        <v>0</v>
      </c>
      <c r="P1872" s="85">
        <f>STATS1003B!P1876/1000</f>
        <v>429.54700000000003</v>
      </c>
      <c r="Q1872" s="85">
        <f>STATS1003B!Q1876/1000</f>
        <v>0</v>
      </c>
      <c r="R1872" s="85">
        <f>STATS1003B!R1876/1000</f>
        <v>0</v>
      </c>
      <c r="S1872" s="85">
        <f>STATS1003B!S1876/1000</f>
        <v>0</v>
      </c>
      <c r="T1872" s="85">
        <f>STATS1003B!T1876/1000</f>
        <v>0</v>
      </c>
      <c r="U1872" s="85">
        <f>STATS1003B!U1876/1000</f>
        <v>429.54700000000003</v>
      </c>
      <c r="V1872" s="85">
        <f>STATS1003B!V1876/1000</f>
        <v>0</v>
      </c>
      <c r="W1872" s="85">
        <f>STATS1003B!W1876/1000</f>
        <v>0</v>
      </c>
      <c r="X1872" s="85">
        <f t="shared" si="205"/>
        <v>429.54700000000003</v>
      </c>
      <c r="Y1872" s="85">
        <f>STATS1003B!Y1876/1000</f>
        <v>0</v>
      </c>
      <c r="Z1872" s="85">
        <f t="shared" si="206"/>
        <v>0</v>
      </c>
      <c r="AA1872" s="69">
        <f>STATS1003B!AA1876/1000</f>
        <v>429.54700000000003</v>
      </c>
      <c r="AB1872" s="69">
        <f>STATS1003B!AB1876/1000</f>
        <v>0</v>
      </c>
    </row>
    <row r="1873" spans="1:28" hidden="1" x14ac:dyDescent="0.3">
      <c r="A1873" s="117"/>
      <c r="C1873" s="68" t="s">
        <v>535</v>
      </c>
      <c r="D1873" s="87" t="s">
        <v>54</v>
      </c>
      <c r="E1873" s="85">
        <f>STATS1003B!E1877/1000</f>
        <v>1547.8420000000001</v>
      </c>
      <c r="F1873" s="85">
        <f>STATS1003B!F1877/1000</f>
        <v>1547.8420000000001</v>
      </c>
      <c r="G1873" s="85">
        <f>STATS1003B!G1877/1000</f>
        <v>0</v>
      </c>
      <c r="H1873" s="85">
        <f>STATS1003B!H1877/1000</f>
        <v>1547.8420000000001</v>
      </c>
      <c r="I1873" s="85">
        <f>STATS1003B!I1877/1000</f>
        <v>0</v>
      </c>
      <c r="J1873" s="85">
        <f>STATS1003B!J1877/1000</f>
        <v>1547.8420000000001</v>
      </c>
      <c r="K1873" s="85">
        <f>STATS1003B!K1877/1000</f>
        <v>0</v>
      </c>
      <c r="L1873" s="85">
        <f>STATS1003B!L1877/1000</f>
        <v>0</v>
      </c>
      <c r="M1873" s="85">
        <f>STATS1003B!M1877/1000</f>
        <v>1547.8420000000001</v>
      </c>
      <c r="N1873" s="85">
        <f>STATS1003B!N1877/1000</f>
        <v>0</v>
      </c>
      <c r="O1873" s="85">
        <f>STATS1003B!O1877/1000</f>
        <v>0</v>
      </c>
      <c r="P1873" s="85">
        <f>STATS1003B!P1877/1000</f>
        <v>0</v>
      </c>
      <c r="Q1873" s="85">
        <f>STATS1003B!Q1877/1000</f>
        <v>1547.8420000000001</v>
      </c>
      <c r="R1873" s="85">
        <f>STATS1003B!R1877/1000</f>
        <v>0</v>
      </c>
      <c r="S1873" s="85">
        <f>STATS1003B!S1877/1000</f>
        <v>0</v>
      </c>
      <c r="T1873" s="85">
        <f>STATS1003B!T1877/1000</f>
        <v>0</v>
      </c>
      <c r="U1873" s="85">
        <f>STATS1003B!U1877/1000</f>
        <v>0</v>
      </c>
      <c r="V1873" s="85">
        <f>STATS1003B!V1877/1000</f>
        <v>0</v>
      </c>
      <c r="W1873" s="85">
        <f>STATS1003B!W1877/1000</f>
        <v>0</v>
      </c>
      <c r="X1873" s="85">
        <f t="shared" si="205"/>
        <v>1547.8420000000001</v>
      </c>
      <c r="Y1873" s="85">
        <f>STATS1003B!Y1877/1000</f>
        <v>0</v>
      </c>
      <c r="Z1873" s="85">
        <f t="shared" si="206"/>
        <v>0</v>
      </c>
      <c r="AA1873" s="69">
        <f>STATS1003B!AA1877/1000</f>
        <v>1547.8420000000001</v>
      </c>
      <c r="AB1873" s="69">
        <f>STATS1003B!AB1877/1000</f>
        <v>0</v>
      </c>
    </row>
    <row r="1874" spans="1:28" hidden="1" x14ac:dyDescent="0.3">
      <c r="A1874" s="117"/>
      <c r="C1874" s="68" t="s">
        <v>545</v>
      </c>
      <c r="D1874" s="87" t="s">
        <v>54</v>
      </c>
      <c r="E1874" s="85">
        <f>STATS1003B!E1878/1000</f>
        <v>1767.77</v>
      </c>
      <c r="F1874" s="85">
        <f>STATS1003B!F1878/1000</f>
        <v>0</v>
      </c>
      <c r="G1874" s="85">
        <f>STATS1003B!G1878/1000</f>
        <v>0</v>
      </c>
      <c r="H1874" s="85">
        <f>STATS1003B!H1878/1000</f>
        <v>0</v>
      </c>
      <c r="I1874" s="85">
        <f>STATS1003B!I1878/1000</f>
        <v>0</v>
      </c>
      <c r="J1874" s="85">
        <f>STATS1003B!J1878/1000</f>
        <v>0</v>
      </c>
      <c r="K1874" s="85">
        <f>STATS1003B!K1878/1000</f>
        <v>1767.77</v>
      </c>
      <c r="L1874" s="85">
        <f>STATS1003B!L1878/1000</f>
        <v>0</v>
      </c>
      <c r="M1874" s="85">
        <f>STATS1003B!M1878/1000</f>
        <v>0</v>
      </c>
      <c r="N1874" s="85">
        <f>STATS1003B!N1878/1000</f>
        <v>1767.77</v>
      </c>
      <c r="O1874" s="85">
        <f>STATS1003B!O1878/1000</f>
        <v>0</v>
      </c>
      <c r="P1874" s="85">
        <f>STATS1003B!P1878/1000</f>
        <v>1767.77</v>
      </c>
      <c r="Q1874" s="85">
        <f>STATS1003B!Q1878/1000</f>
        <v>0</v>
      </c>
      <c r="R1874" s="85">
        <f>STATS1003B!R1878/1000</f>
        <v>0</v>
      </c>
      <c r="S1874" s="85">
        <f>STATS1003B!S1878/1000</f>
        <v>0</v>
      </c>
      <c r="T1874" s="85">
        <f>STATS1003B!T1878/1000</f>
        <v>0</v>
      </c>
      <c r="U1874" s="85">
        <f>STATS1003B!U1878/1000</f>
        <v>1767.77</v>
      </c>
      <c r="V1874" s="85">
        <f>STATS1003B!V1878/1000</f>
        <v>0</v>
      </c>
      <c r="W1874" s="85">
        <f>STATS1003B!W1878/1000</f>
        <v>0</v>
      </c>
      <c r="X1874" s="85">
        <f t="shared" si="205"/>
        <v>1767.77</v>
      </c>
      <c r="Y1874" s="85">
        <f>STATS1003B!Y1878/1000</f>
        <v>0</v>
      </c>
      <c r="Z1874" s="85">
        <f t="shared" si="206"/>
        <v>0</v>
      </c>
      <c r="AA1874" s="69">
        <f>STATS1003B!AA1878/1000</f>
        <v>1767.77</v>
      </c>
      <c r="AB1874" s="69">
        <f>STATS1003B!AB1878/1000</f>
        <v>0</v>
      </c>
    </row>
    <row r="1875" spans="1:28" hidden="1" x14ac:dyDescent="0.3">
      <c r="A1875" s="117"/>
      <c r="C1875" s="68" t="s">
        <v>535</v>
      </c>
      <c r="D1875" s="87" t="s">
        <v>85</v>
      </c>
      <c r="E1875" s="85">
        <f>STATS1003B!E1879/1000</f>
        <v>4045.0160000000001</v>
      </c>
      <c r="F1875" s="85">
        <f>STATS1003B!F1879/1000</f>
        <v>4045.0160000000001</v>
      </c>
      <c r="G1875" s="85">
        <f>STATS1003B!G1879/1000</f>
        <v>0</v>
      </c>
      <c r="H1875" s="85">
        <f>STATS1003B!H1879/1000</f>
        <v>4045.0160000000001</v>
      </c>
      <c r="I1875" s="85">
        <f>STATS1003B!I1879/1000</f>
        <v>0</v>
      </c>
      <c r="J1875" s="85">
        <f>STATS1003B!J1879/1000</f>
        <v>4045.0160000000001</v>
      </c>
      <c r="K1875" s="85">
        <f>STATS1003B!K1879/1000</f>
        <v>0</v>
      </c>
      <c r="L1875" s="85">
        <f>STATS1003B!L1879/1000</f>
        <v>0</v>
      </c>
      <c r="M1875" s="85">
        <f>STATS1003B!M1879/1000</f>
        <v>4045.0160000000001</v>
      </c>
      <c r="N1875" s="85">
        <f>STATS1003B!N1879/1000</f>
        <v>0</v>
      </c>
      <c r="O1875" s="85">
        <f>STATS1003B!O1879/1000</f>
        <v>0</v>
      </c>
      <c r="P1875" s="85">
        <f>STATS1003B!P1879/1000</f>
        <v>0</v>
      </c>
      <c r="Q1875" s="85">
        <f>STATS1003B!Q1879/1000</f>
        <v>4045.0160000000001</v>
      </c>
      <c r="R1875" s="85">
        <f>STATS1003B!R1879/1000</f>
        <v>0</v>
      </c>
      <c r="S1875" s="85">
        <f>STATS1003B!S1879/1000</f>
        <v>0</v>
      </c>
      <c r="T1875" s="85">
        <f>STATS1003B!T1879/1000</f>
        <v>0</v>
      </c>
      <c r="U1875" s="85">
        <f>STATS1003B!U1879/1000</f>
        <v>0</v>
      </c>
      <c r="V1875" s="85">
        <f>STATS1003B!V1879/1000</f>
        <v>0</v>
      </c>
      <c r="W1875" s="85">
        <f>STATS1003B!W1879/1000</f>
        <v>0</v>
      </c>
      <c r="X1875" s="85">
        <f t="shared" si="205"/>
        <v>4045.0160000000001</v>
      </c>
      <c r="Y1875" s="85">
        <f>STATS1003B!Y1879/1000</f>
        <v>0</v>
      </c>
      <c r="Z1875" s="85">
        <f t="shared" si="206"/>
        <v>0</v>
      </c>
      <c r="AA1875" s="69">
        <f>STATS1003B!AA1879/1000</f>
        <v>4045.0160000000001</v>
      </c>
      <c r="AB1875" s="69">
        <f>STATS1003B!AB1879/1000</f>
        <v>0</v>
      </c>
    </row>
    <row r="1876" spans="1:28" hidden="1" x14ac:dyDescent="0.3">
      <c r="A1876" s="117"/>
      <c r="C1876" s="68" t="s">
        <v>783</v>
      </c>
      <c r="D1876" s="87" t="s">
        <v>85</v>
      </c>
      <c r="E1876" s="85">
        <f>STATS1003B!E1880/1000</f>
        <v>2874.71884</v>
      </c>
      <c r="F1876" s="85">
        <f>STATS1003B!F1880/1000</f>
        <v>2874.71884</v>
      </c>
      <c r="G1876" s="85">
        <f>STATS1003B!G1880/1000</f>
        <v>0</v>
      </c>
      <c r="H1876" s="85">
        <f>STATS1003B!H1880/1000</f>
        <v>2874.71884</v>
      </c>
      <c r="I1876" s="85">
        <f>STATS1003B!I1880/1000</f>
        <v>0</v>
      </c>
      <c r="J1876" s="85">
        <f>STATS1003B!J1880/1000</f>
        <v>2874.71884</v>
      </c>
      <c r="K1876" s="85">
        <f>STATS1003B!K1880/1000</f>
        <v>0</v>
      </c>
      <c r="L1876" s="85">
        <f>STATS1003B!L1880/1000</f>
        <v>0</v>
      </c>
      <c r="M1876" s="85">
        <f>STATS1003B!M1880/1000</f>
        <v>2874.71884</v>
      </c>
      <c r="N1876" s="85">
        <f>STATS1003B!N1880/1000</f>
        <v>0</v>
      </c>
      <c r="O1876" s="85">
        <f>STATS1003B!O1880/1000</f>
        <v>0</v>
      </c>
      <c r="P1876" s="85">
        <f>STATS1003B!P1880/1000</f>
        <v>0</v>
      </c>
      <c r="Q1876" s="85">
        <f>STATS1003B!Q1880/1000</f>
        <v>2874.71884</v>
      </c>
      <c r="R1876" s="85">
        <f>STATS1003B!R1880/1000</f>
        <v>0</v>
      </c>
      <c r="S1876" s="85">
        <f>STATS1003B!S1880/1000</f>
        <v>0</v>
      </c>
      <c r="T1876" s="85">
        <f>STATS1003B!T1880/1000</f>
        <v>0</v>
      </c>
      <c r="U1876" s="85">
        <f>STATS1003B!U1880/1000</f>
        <v>0</v>
      </c>
      <c r="V1876" s="85">
        <f>STATS1003B!V1880/1000</f>
        <v>0</v>
      </c>
      <c r="W1876" s="85">
        <f>STATS1003B!W1880/1000</f>
        <v>0</v>
      </c>
      <c r="X1876" s="85">
        <f t="shared" si="205"/>
        <v>2874.71884</v>
      </c>
      <c r="Y1876" s="85">
        <f>STATS1003B!Y1880/1000</f>
        <v>0</v>
      </c>
      <c r="Z1876" s="85">
        <f t="shared" si="206"/>
        <v>0</v>
      </c>
      <c r="AA1876" s="69">
        <f>STATS1003B!AA1880/1000</f>
        <v>2874.71884</v>
      </c>
      <c r="AB1876" s="69">
        <f>STATS1003B!AB1880/1000</f>
        <v>0</v>
      </c>
    </row>
    <row r="1877" spans="1:28" hidden="1" x14ac:dyDescent="0.3">
      <c r="A1877" s="117"/>
      <c r="C1877" s="68" t="s">
        <v>603</v>
      </c>
      <c r="D1877" s="87" t="s">
        <v>85</v>
      </c>
      <c r="E1877" s="85">
        <f>STATS1003B!E1881/1000</f>
        <v>160</v>
      </c>
      <c r="F1877" s="85">
        <f>STATS1003B!F1881/1000</f>
        <v>160</v>
      </c>
      <c r="G1877" s="85">
        <f>STATS1003B!G1881/1000</f>
        <v>0</v>
      </c>
      <c r="H1877" s="85">
        <f>STATS1003B!H1881/1000</f>
        <v>160</v>
      </c>
      <c r="I1877" s="85">
        <f>STATS1003B!I1881/1000</f>
        <v>0</v>
      </c>
      <c r="J1877" s="85">
        <f>STATS1003B!J1881/1000</f>
        <v>160</v>
      </c>
      <c r="K1877" s="85">
        <f>STATS1003B!K1881/1000</f>
        <v>0</v>
      </c>
      <c r="L1877" s="85">
        <f>STATS1003B!L1881/1000</f>
        <v>0</v>
      </c>
      <c r="M1877" s="85">
        <f>STATS1003B!M1881/1000</f>
        <v>160</v>
      </c>
      <c r="N1877" s="85">
        <f>STATS1003B!N1881/1000</f>
        <v>0</v>
      </c>
      <c r="O1877" s="85">
        <f>STATS1003B!O1881/1000</f>
        <v>0</v>
      </c>
      <c r="P1877" s="85">
        <f>STATS1003B!P1881/1000</f>
        <v>0</v>
      </c>
      <c r="Q1877" s="85">
        <f>STATS1003B!Q1881/1000</f>
        <v>160</v>
      </c>
      <c r="R1877" s="85">
        <f>STATS1003B!R1881/1000</f>
        <v>0</v>
      </c>
      <c r="S1877" s="85">
        <f>STATS1003B!S1881/1000</f>
        <v>0</v>
      </c>
      <c r="T1877" s="85">
        <f>STATS1003B!T1881/1000</f>
        <v>0</v>
      </c>
      <c r="U1877" s="85">
        <f>STATS1003B!U1881/1000</f>
        <v>0</v>
      </c>
      <c r="V1877" s="85">
        <f>STATS1003B!V1881/1000</f>
        <v>0</v>
      </c>
      <c r="W1877" s="85">
        <f>STATS1003B!W1881/1000</f>
        <v>0</v>
      </c>
      <c r="X1877" s="85">
        <f t="shared" si="205"/>
        <v>160</v>
      </c>
      <c r="Y1877" s="85">
        <f>STATS1003B!Y1881/1000</f>
        <v>0</v>
      </c>
      <c r="Z1877" s="85">
        <f t="shared" si="206"/>
        <v>0</v>
      </c>
      <c r="AA1877" s="69">
        <f>STATS1003B!AA1881/1000</f>
        <v>160</v>
      </c>
      <c r="AB1877" s="69">
        <f>STATS1003B!AB1881/1000</f>
        <v>0</v>
      </c>
    </row>
    <row r="1878" spans="1:28" hidden="1" x14ac:dyDescent="0.3">
      <c r="A1878" s="117"/>
      <c r="C1878" s="68" t="s">
        <v>667</v>
      </c>
      <c r="D1878" s="87" t="s">
        <v>85</v>
      </c>
      <c r="E1878" s="85">
        <f>STATS1003B!E1882/1000</f>
        <v>120</v>
      </c>
      <c r="F1878" s="85">
        <f>STATS1003B!F1882/1000</f>
        <v>120</v>
      </c>
      <c r="G1878" s="85">
        <f>STATS1003B!G1882/1000</f>
        <v>0</v>
      </c>
      <c r="H1878" s="85">
        <f>STATS1003B!H1882/1000</f>
        <v>120</v>
      </c>
      <c r="I1878" s="85">
        <f>STATS1003B!I1882/1000</f>
        <v>0</v>
      </c>
      <c r="J1878" s="85">
        <f>STATS1003B!J1882/1000</f>
        <v>120</v>
      </c>
      <c r="K1878" s="85">
        <f>STATS1003B!K1882/1000</f>
        <v>0</v>
      </c>
      <c r="L1878" s="85">
        <f>STATS1003B!L1882/1000</f>
        <v>0</v>
      </c>
      <c r="M1878" s="85">
        <f>STATS1003B!M1882/1000</f>
        <v>120</v>
      </c>
      <c r="N1878" s="85">
        <f>STATS1003B!N1882/1000</f>
        <v>0</v>
      </c>
      <c r="O1878" s="85">
        <f>STATS1003B!O1882/1000</f>
        <v>0</v>
      </c>
      <c r="P1878" s="85">
        <f>STATS1003B!P1882/1000</f>
        <v>0</v>
      </c>
      <c r="Q1878" s="85">
        <f>STATS1003B!Q1882/1000</f>
        <v>120</v>
      </c>
      <c r="R1878" s="85">
        <f>STATS1003B!R1882/1000</f>
        <v>0</v>
      </c>
      <c r="S1878" s="85">
        <f>STATS1003B!S1882/1000</f>
        <v>0</v>
      </c>
      <c r="T1878" s="85">
        <f>STATS1003B!T1882/1000</f>
        <v>0</v>
      </c>
      <c r="U1878" s="85">
        <f>STATS1003B!U1882/1000</f>
        <v>0</v>
      </c>
      <c r="V1878" s="85">
        <f>STATS1003B!V1882/1000</f>
        <v>0</v>
      </c>
      <c r="W1878" s="85">
        <f>STATS1003B!W1882/1000</f>
        <v>0</v>
      </c>
      <c r="X1878" s="85">
        <f t="shared" si="205"/>
        <v>120</v>
      </c>
      <c r="Y1878" s="85">
        <f>STATS1003B!Y1882/1000</f>
        <v>0</v>
      </c>
      <c r="Z1878" s="85">
        <f t="shared" si="206"/>
        <v>0</v>
      </c>
      <c r="AA1878" s="69">
        <f>STATS1003B!AA1882/1000</f>
        <v>120</v>
      </c>
      <c r="AB1878" s="69">
        <f>STATS1003B!AB1882/1000</f>
        <v>0</v>
      </c>
    </row>
    <row r="1879" spans="1:28" hidden="1" x14ac:dyDescent="0.3">
      <c r="A1879" s="117"/>
      <c r="C1879" s="68" t="s">
        <v>671</v>
      </c>
      <c r="D1879" s="87" t="s">
        <v>85</v>
      </c>
      <c r="E1879" s="85">
        <f>STATS1003B!E1883/1000</f>
        <v>240</v>
      </c>
      <c r="F1879" s="85">
        <f>STATS1003B!F1883/1000</f>
        <v>240</v>
      </c>
      <c r="G1879" s="85">
        <f>STATS1003B!G1883/1000</f>
        <v>0</v>
      </c>
      <c r="H1879" s="85">
        <f>STATS1003B!H1883/1000</f>
        <v>240</v>
      </c>
      <c r="I1879" s="85">
        <f>STATS1003B!I1883/1000</f>
        <v>0</v>
      </c>
      <c r="J1879" s="85">
        <f>STATS1003B!J1883/1000</f>
        <v>240</v>
      </c>
      <c r="K1879" s="85">
        <f>STATS1003B!K1883/1000</f>
        <v>0</v>
      </c>
      <c r="L1879" s="85">
        <f>STATS1003B!L1883/1000</f>
        <v>0</v>
      </c>
      <c r="M1879" s="85">
        <f>STATS1003B!M1883/1000</f>
        <v>240</v>
      </c>
      <c r="N1879" s="85">
        <f>STATS1003B!N1883/1000</f>
        <v>0</v>
      </c>
      <c r="O1879" s="85">
        <f>STATS1003B!O1883/1000</f>
        <v>0</v>
      </c>
      <c r="P1879" s="85">
        <f>STATS1003B!P1883/1000</f>
        <v>0</v>
      </c>
      <c r="Q1879" s="85">
        <f>STATS1003B!Q1883/1000</f>
        <v>240</v>
      </c>
      <c r="R1879" s="85">
        <f>STATS1003B!R1883/1000</f>
        <v>0</v>
      </c>
      <c r="S1879" s="85">
        <f>STATS1003B!S1883/1000</f>
        <v>0</v>
      </c>
      <c r="T1879" s="85">
        <f>STATS1003B!T1883/1000</f>
        <v>0</v>
      </c>
      <c r="U1879" s="85">
        <f>STATS1003B!U1883/1000</f>
        <v>0</v>
      </c>
      <c r="V1879" s="85">
        <f>STATS1003B!V1883/1000</f>
        <v>0</v>
      </c>
      <c r="W1879" s="85">
        <f>STATS1003B!W1883/1000</f>
        <v>0</v>
      </c>
      <c r="X1879" s="85">
        <f t="shared" si="205"/>
        <v>240</v>
      </c>
      <c r="Y1879" s="85">
        <f>STATS1003B!Y1883/1000</f>
        <v>0</v>
      </c>
      <c r="Z1879" s="85">
        <f t="shared" si="206"/>
        <v>0</v>
      </c>
      <c r="AA1879" s="69">
        <f>STATS1003B!AA1883/1000</f>
        <v>240</v>
      </c>
      <c r="AB1879" s="69">
        <f>STATS1003B!AB1883/1000</f>
        <v>0</v>
      </c>
    </row>
    <row r="1880" spans="1:28" hidden="1" x14ac:dyDescent="0.3">
      <c r="A1880" s="117"/>
      <c r="C1880" s="68" t="s">
        <v>535</v>
      </c>
      <c r="D1880" s="87" t="s">
        <v>128</v>
      </c>
      <c r="E1880" s="85">
        <f>STATS1003B!E1884/1000</f>
        <v>524.24199999999996</v>
      </c>
      <c r="F1880" s="85">
        <f>STATS1003B!F1884/1000</f>
        <v>524.24199999999996</v>
      </c>
      <c r="G1880" s="85">
        <f>STATS1003B!G1884/1000</f>
        <v>0</v>
      </c>
      <c r="H1880" s="85">
        <f>STATS1003B!H1884/1000</f>
        <v>524.24199999999996</v>
      </c>
      <c r="I1880" s="85">
        <f>STATS1003B!I1884/1000</f>
        <v>0</v>
      </c>
      <c r="J1880" s="85">
        <f>STATS1003B!J1884/1000</f>
        <v>524.24199999999996</v>
      </c>
      <c r="K1880" s="85">
        <f>STATS1003B!K1884/1000</f>
        <v>0</v>
      </c>
      <c r="L1880" s="85">
        <f>STATS1003B!L1884/1000</f>
        <v>0</v>
      </c>
      <c r="M1880" s="85">
        <f>STATS1003B!M1884/1000</f>
        <v>524.24199999999996</v>
      </c>
      <c r="N1880" s="85">
        <f>STATS1003B!N1884/1000</f>
        <v>0</v>
      </c>
      <c r="O1880" s="85">
        <f>STATS1003B!O1884/1000</f>
        <v>0</v>
      </c>
      <c r="P1880" s="85">
        <f>STATS1003B!P1884/1000</f>
        <v>0</v>
      </c>
      <c r="Q1880" s="85">
        <f>STATS1003B!Q1884/1000</f>
        <v>524.24199999999996</v>
      </c>
      <c r="R1880" s="85">
        <f>STATS1003B!R1884/1000</f>
        <v>0</v>
      </c>
      <c r="S1880" s="85">
        <f>STATS1003B!S1884/1000</f>
        <v>0</v>
      </c>
      <c r="T1880" s="85">
        <f>STATS1003B!T1884/1000</f>
        <v>0</v>
      </c>
      <c r="U1880" s="85">
        <f>STATS1003B!U1884/1000</f>
        <v>0</v>
      </c>
      <c r="V1880" s="85">
        <f>STATS1003B!V1884/1000</f>
        <v>0</v>
      </c>
      <c r="W1880" s="85">
        <f>STATS1003B!W1884/1000</f>
        <v>0</v>
      </c>
      <c r="X1880" s="85">
        <f t="shared" si="205"/>
        <v>524.24199999999996</v>
      </c>
      <c r="Y1880" s="85">
        <f>STATS1003B!Y1884/1000</f>
        <v>0</v>
      </c>
      <c r="Z1880" s="85">
        <f t="shared" si="206"/>
        <v>0</v>
      </c>
      <c r="AA1880" s="69">
        <f>STATS1003B!AA1884/1000</f>
        <v>524.24199999999996</v>
      </c>
      <c r="AB1880" s="69">
        <f>STATS1003B!AB1884/1000</f>
        <v>0</v>
      </c>
    </row>
    <row r="1881" spans="1:28" hidden="1" x14ac:dyDescent="0.3">
      <c r="A1881" s="117"/>
      <c r="C1881" s="68" t="s">
        <v>784</v>
      </c>
      <c r="D1881" s="87" t="s">
        <v>128</v>
      </c>
      <c r="E1881" s="85">
        <f>STATS1003B!E1885/1000</f>
        <v>1100</v>
      </c>
      <c r="F1881" s="85">
        <f>STATS1003B!F1885/1000</f>
        <v>1100</v>
      </c>
      <c r="G1881" s="85">
        <f>STATS1003B!G1885/1000</f>
        <v>0</v>
      </c>
      <c r="H1881" s="85">
        <f>STATS1003B!H1885/1000</f>
        <v>1100</v>
      </c>
      <c r="I1881" s="85">
        <f>STATS1003B!I1885/1000</f>
        <v>0</v>
      </c>
      <c r="J1881" s="85">
        <f>STATS1003B!J1885/1000</f>
        <v>1100</v>
      </c>
      <c r="K1881" s="85">
        <f>STATS1003B!K1885/1000</f>
        <v>0</v>
      </c>
      <c r="L1881" s="85">
        <f>STATS1003B!L1885/1000</f>
        <v>0</v>
      </c>
      <c r="M1881" s="85">
        <f>STATS1003B!M1885/1000</f>
        <v>1100</v>
      </c>
      <c r="N1881" s="85">
        <f>STATS1003B!N1885/1000</f>
        <v>0</v>
      </c>
      <c r="O1881" s="85">
        <f>STATS1003B!O1885/1000</f>
        <v>0</v>
      </c>
      <c r="P1881" s="85">
        <f>STATS1003B!P1885/1000</f>
        <v>0</v>
      </c>
      <c r="Q1881" s="85">
        <f>STATS1003B!Q1885/1000</f>
        <v>1100</v>
      </c>
      <c r="R1881" s="85">
        <f>STATS1003B!R1885/1000</f>
        <v>0</v>
      </c>
      <c r="S1881" s="85">
        <f>STATS1003B!S1885/1000</f>
        <v>0</v>
      </c>
      <c r="T1881" s="85">
        <f>STATS1003B!T1885/1000</f>
        <v>0</v>
      </c>
      <c r="U1881" s="85">
        <f>STATS1003B!U1885/1000</f>
        <v>0</v>
      </c>
      <c r="V1881" s="85">
        <f>STATS1003B!V1885/1000</f>
        <v>0</v>
      </c>
      <c r="W1881" s="85">
        <f>STATS1003B!W1885/1000</f>
        <v>0</v>
      </c>
      <c r="X1881" s="85">
        <f t="shared" si="205"/>
        <v>1100</v>
      </c>
      <c r="Y1881" s="85">
        <f>STATS1003B!Y1885/1000</f>
        <v>0</v>
      </c>
      <c r="Z1881" s="85">
        <f t="shared" si="206"/>
        <v>0</v>
      </c>
      <c r="AA1881" s="69">
        <f>STATS1003B!AA1885/1000</f>
        <v>1100</v>
      </c>
      <c r="AB1881" s="69">
        <f>STATS1003B!AB1885/1000</f>
        <v>0</v>
      </c>
    </row>
    <row r="1882" spans="1:28" hidden="1" x14ac:dyDescent="0.3">
      <c r="A1882" s="117"/>
      <c r="C1882" s="68" t="s">
        <v>535</v>
      </c>
      <c r="D1882" s="87" t="s">
        <v>128</v>
      </c>
      <c r="E1882" s="85">
        <f>STATS1003B!E1886/1000</f>
        <v>1012.491</v>
      </c>
      <c r="F1882" s="85">
        <f>STATS1003B!F1886/1000</f>
        <v>1012.491</v>
      </c>
      <c r="G1882" s="85">
        <f>STATS1003B!G1886/1000</f>
        <v>0</v>
      </c>
      <c r="H1882" s="85">
        <f>STATS1003B!H1886/1000</f>
        <v>1012.491</v>
      </c>
      <c r="I1882" s="85">
        <f>STATS1003B!I1886/1000</f>
        <v>0</v>
      </c>
      <c r="J1882" s="85">
        <f>STATS1003B!J1886/1000</f>
        <v>1012.491</v>
      </c>
      <c r="K1882" s="85">
        <f>STATS1003B!K1886/1000</f>
        <v>0</v>
      </c>
      <c r="L1882" s="85">
        <f>STATS1003B!L1886/1000</f>
        <v>0</v>
      </c>
      <c r="M1882" s="85">
        <f>STATS1003B!M1886/1000</f>
        <v>1012.491</v>
      </c>
      <c r="N1882" s="85">
        <f>STATS1003B!N1886/1000</f>
        <v>0</v>
      </c>
      <c r="O1882" s="85">
        <f>STATS1003B!O1886/1000</f>
        <v>0</v>
      </c>
      <c r="P1882" s="85">
        <f>STATS1003B!P1886/1000</f>
        <v>0</v>
      </c>
      <c r="Q1882" s="85">
        <f>STATS1003B!Q1886/1000</f>
        <v>1012.491</v>
      </c>
      <c r="R1882" s="85">
        <f>STATS1003B!R1886/1000</f>
        <v>0</v>
      </c>
      <c r="S1882" s="85">
        <f>STATS1003B!S1886/1000</f>
        <v>0</v>
      </c>
      <c r="T1882" s="85">
        <f>STATS1003B!T1886/1000</f>
        <v>0</v>
      </c>
      <c r="U1882" s="85">
        <f>STATS1003B!U1886/1000</f>
        <v>0</v>
      </c>
      <c r="V1882" s="85">
        <f>STATS1003B!V1886/1000</f>
        <v>0</v>
      </c>
      <c r="W1882" s="85">
        <f>STATS1003B!W1886/1000</f>
        <v>0</v>
      </c>
      <c r="X1882" s="85">
        <f t="shared" si="205"/>
        <v>1012.491</v>
      </c>
      <c r="Y1882" s="85">
        <f>STATS1003B!Y1886/1000</f>
        <v>0</v>
      </c>
      <c r="Z1882" s="85">
        <f t="shared" si="206"/>
        <v>0</v>
      </c>
      <c r="AA1882" s="69">
        <f>STATS1003B!AA1886/1000</f>
        <v>1012.491</v>
      </c>
      <c r="AB1882" s="69">
        <f>STATS1003B!AB1886/1000</f>
        <v>0</v>
      </c>
    </row>
    <row r="1883" spans="1:28" hidden="1" x14ac:dyDescent="0.3">
      <c r="A1883" s="117"/>
      <c r="C1883" s="68" t="s">
        <v>535</v>
      </c>
      <c r="D1883" s="87" t="s">
        <v>88</v>
      </c>
      <c r="E1883" s="85">
        <f>STATS1003B!E1887/1000</f>
        <v>5074.9549999999999</v>
      </c>
      <c r="F1883" s="85">
        <f>STATS1003B!F1887/1000</f>
        <v>5074.9549999999999</v>
      </c>
      <c r="G1883" s="85">
        <f>STATS1003B!G1887/1000</f>
        <v>0</v>
      </c>
      <c r="H1883" s="85">
        <f>STATS1003B!H1887/1000</f>
        <v>5074.9549999999999</v>
      </c>
      <c r="I1883" s="85">
        <f>STATS1003B!I1887/1000</f>
        <v>0</v>
      </c>
      <c r="J1883" s="85">
        <f>STATS1003B!J1887/1000</f>
        <v>5074.9549999999999</v>
      </c>
      <c r="K1883" s="85">
        <f>STATS1003B!K1887/1000</f>
        <v>0</v>
      </c>
      <c r="L1883" s="85">
        <f>STATS1003B!L1887/1000</f>
        <v>0</v>
      </c>
      <c r="M1883" s="85">
        <f>STATS1003B!M1887/1000</f>
        <v>5074.9549999999999</v>
      </c>
      <c r="N1883" s="85">
        <f>STATS1003B!N1887/1000</f>
        <v>0</v>
      </c>
      <c r="O1883" s="85">
        <f>STATS1003B!O1887/1000</f>
        <v>0</v>
      </c>
      <c r="P1883" s="85">
        <f>STATS1003B!P1887/1000</f>
        <v>0</v>
      </c>
      <c r="Q1883" s="85">
        <f>STATS1003B!Q1887/1000</f>
        <v>5074.9549999999999</v>
      </c>
      <c r="R1883" s="85">
        <f>STATS1003B!R1887/1000</f>
        <v>0</v>
      </c>
      <c r="S1883" s="85">
        <f>STATS1003B!S1887/1000</f>
        <v>0</v>
      </c>
      <c r="T1883" s="85">
        <f>STATS1003B!T1887/1000</f>
        <v>0</v>
      </c>
      <c r="U1883" s="85">
        <f>STATS1003B!U1887/1000</f>
        <v>0</v>
      </c>
      <c r="V1883" s="85">
        <f>STATS1003B!V1887/1000</f>
        <v>0</v>
      </c>
      <c r="W1883" s="85">
        <f>STATS1003B!W1887/1000</f>
        <v>0</v>
      </c>
      <c r="X1883" s="85">
        <f t="shared" si="205"/>
        <v>5074.9549999999999</v>
      </c>
      <c r="Y1883" s="85">
        <f>STATS1003B!Y1887/1000</f>
        <v>0</v>
      </c>
      <c r="Z1883" s="85">
        <f t="shared" si="206"/>
        <v>0</v>
      </c>
      <c r="AA1883" s="69">
        <f>STATS1003B!AA1887/1000</f>
        <v>5074.9549999999999</v>
      </c>
      <c r="AB1883" s="69">
        <f>STATS1003B!AB1887/1000</f>
        <v>0</v>
      </c>
    </row>
    <row r="1884" spans="1:28" hidden="1" x14ac:dyDescent="0.3">
      <c r="A1884" s="117"/>
      <c r="C1884" s="68" t="s">
        <v>535</v>
      </c>
      <c r="D1884" s="87" t="s">
        <v>58</v>
      </c>
      <c r="E1884" s="85">
        <f>STATS1003B!E1888/1000</f>
        <v>9561.7260000000006</v>
      </c>
      <c r="F1884" s="85">
        <f>STATS1003B!F1888/1000</f>
        <v>9561.7260000000006</v>
      </c>
      <c r="G1884" s="85">
        <f>STATS1003B!G1888/1000</f>
        <v>0</v>
      </c>
      <c r="H1884" s="85">
        <f>STATS1003B!H1888/1000</f>
        <v>9561.7260000000006</v>
      </c>
      <c r="I1884" s="85">
        <f>STATS1003B!I1888/1000</f>
        <v>0</v>
      </c>
      <c r="J1884" s="85">
        <f>STATS1003B!J1888/1000</f>
        <v>9561.7260000000006</v>
      </c>
      <c r="K1884" s="85">
        <f>STATS1003B!K1888/1000</f>
        <v>0</v>
      </c>
      <c r="L1884" s="85">
        <f>STATS1003B!L1888/1000</f>
        <v>0</v>
      </c>
      <c r="M1884" s="85">
        <f>STATS1003B!M1888/1000</f>
        <v>9561.7260000000006</v>
      </c>
      <c r="N1884" s="85">
        <f>STATS1003B!N1888/1000</f>
        <v>0</v>
      </c>
      <c r="O1884" s="85">
        <f>STATS1003B!O1888/1000</f>
        <v>0</v>
      </c>
      <c r="P1884" s="85">
        <f>STATS1003B!P1888/1000</f>
        <v>0</v>
      </c>
      <c r="Q1884" s="85">
        <f>STATS1003B!Q1888/1000</f>
        <v>9561.7260000000006</v>
      </c>
      <c r="R1884" s="85">
        <f>STATS1003B!R1888/1000</f>
        <v>0</v>
      </c>
      <c r="S1884" s="85">
        <f>STATS1003B!S1888/1000</f>
        <v>0</v>
      </c>
      <c r="T1884" s="85">
        <f>STATS1003B!T1888/1000</f>
        <v>0</v>
      </c>
      <c r="U1884" s="85">
        <f>STATS1003B!U1888/1000</f>
        <v>0</v>
      </c>
      <c r="V1884" s="85">
        <f>STATS1003B!V1888/1000</f>
        <v>0</v>
      </c>
      <c r="W1884" s="85">
        <f>STATS1003B!W1888/1000</f>
        <v>0</v>
      </c>
      <c r="X1884" s="85">
        <f t="shared" si="205"/>
        <v>9561.7260000000006</v>
      </c>
      <c r="Y1884" s="85">
        <f>STATS1003B!Y1888/1000</f>
        <v>0</v>
      </c>
      <c r="Z1884" s="85">
        <f t="shared" si="206"/>
        <v>0</v>
      </c>
      <c r="AA1884" s="69">
        <f>STATS1003B!AA1888/1000</f>
        <v>9561.7260000000006</v>
      </c>
      <c r="AB1884" s="69">
        <f>STATS1003B!AB1888/1000</f>
        <v>0</v>
      </c>
    </row>
    <row r="1885" spans="1:28" hidden="1" x14ac:dyDescent="0.3">
      <c r="A1885" s="117"/>
      <c r="C1885" s="68" t="s">
        <v>535</v>
      </c>
      <c r="D1885" s="87" t="s">
        <v>60</v>
      </c>
      <c r="E1885" s="85">
        <f>STATS1003B!E1889/1000</f>
        <v>8196.7822099999994</v>
      </c>
      <c r="F1885" s="85">
        <f>STATS1003B!F1889/1000</f>
        <v>8196.7822099999994</v>
      </c>
      <c r="G1885" s="85">
        <f>STATS1003B!G1889/1000</f>
        <v>0</v>
      </c>
      <c r="H1885" s="85">
        <f>STATS1003B!H1889/1000</f>
        <v>8196.7822099999994</v>
      </c>
      <c r="I1885" s="85">
        <f>STATS1003B!I1889/1000</f>
        <v>0</v>
      </c>
      <c r="J1885" s="85">
        <f>STATS1003B!J1889/1000</f>
        <v>8196.7822099999994</v>
      </c>
      <c r="K1885" s="85">
        <f>STATS1003B!K1889/1000</f>
        <v>0</v>
      </c>
      <c r="L1885" s="85">
        <f>STATS1003B!L1889/1000</f>
        <v>0</v>
      </c>
      <c r="M1885" s="85">
        <f>STATS1003B!M1889/1000</f>
        <v>8196.7822099999994</v>
      </c>
      <c r="N1885" s="85">
        <f>STATS1003B!N1889/1000</f>
        <v>0</v>
      </c>
      <c r="O1885" s="85">
        <f>STATS1003B!O1889/1000</f>
        <v>0</v>
      </c>
      <c r="P1885" s="85">
        <f>STATS1003B!P1889/1000</f>
        <v>0</v>
      </c>
      <c r="Q1885" s="85">
        <f>STATS1003B!Q1889/1000</f>
        <v>8196.7822099999994</v>
      </c>
      <c r="R1885" s="85">
        <f>STATS1003B!R1889/1000</f>
        <v>0</v>
      </c>
      <c r="S1885" s="85">
        <f>STATS1003B!S1889/1000</f>
        <v>0</v>
      </c>
      <c r="T1885" s="85">
        <f>STATS1003B!T1889/1000</f>
        <v>0</v>
      </c>
      <c r="U1885" s="85">
        <f>STATS1003B!U1889/1000</f>
        <v>0</v>
      </c>
      <c r="V1885" s="85">
        <f>STATS1003B!V1889/1000</f>
        <v>0</v>
      </c>
      <c r="W1885" s="85">
        <f>STATS1003B!W1889/1000</f>
        <v>0</v>
      </c>
      <c r="X1885" s="85">
        <f t="shared" si="205"/>
        <v>8196.7822099999994</v>
      </c>
      <c r="Y1885" s="85">
        <f>STATS1003B!Y1889/1000</f>
        <v>0</v>
      </c>
      <c r="Z1885" s="85">
        <f t="shared" si="206"/>
        <v>0</v>
      </c>
      <c r="AA1885" s="69">
        <f>STATS1003B!AA1889/1000</f>
        <v>8196.7822099999994</v>
      </c>
      <c r="AB1885" s="69">
        <f>STATS1003B!AB1889/1000</f>
        <v>0</v>
      </c>
    </row>
    <row r="1886" spans="1:28" hidden="1" x14ac:dyDescent="0.3">
      <c r="A1886" s="117"/>
      <c r="C1886" s="68" t="s">
        <v>1182</v>
      </c>
      <c r="D1886" s="90" t="s">
        <v>1126</v>
      </c>
      <c r="E1886" s="85">
        <f>STATS1003B!E1890/1000</f>
        <v>500</v>
      </c>
      <c r="F1886" s="85">
        <f>STATS1003B!F1890/1000</f>
        <v>500</v>
      </c>
      <c r="G1886" s="85">
        <f>STATS1003B!G1890/1000</f>
        <v>0</v>
      </c>
      <c r="H1886" s="85">
        <f>STATS1003B!H1890/1000</f>
        <v>500</v>
      </c>
      <c r="I1886" s="85">
        <f>STATS1003B!I1890/1000</f>
        <v>0</v>
      </c>
      <c r="J1886" s="85">
        <f>STATS1003B!J1890/1000</f>
        <v>500</v>
      </c>
      <c r="K1886" s="85">
        <f>STATS1003B!K1890/1000</f>
        <v>0</v>
      </c>
      <c r="L1886" s="85">
        <f>STATS1003B!L1890/1000</f>
        <v>0</v>
      </c>
      <c r="M1886" s="85">
        <f>STATS1003B!M1890/1000</f>
        <v>500</v>
      </c>
      <c r="N1886" s="85">
        <f>STATS1003B!N1890/1000</f>
        <v>0</v>
      </c>
      <c r="O1886" s="85">
        <f>STATS1003B!O1890/1000</f>
        <v>0</v>
      </c>
      <c r="P1886" s="85">
        <f>STATS1003B!P1890/1000</f>
        <v>0</v>
      </c>
      <c r="Q1886" s="85">
        <f>STATS1003B!Q1890/1000</f>
        <v>0</v>
      </c>
      <c r="R1886" s="85">
        <f>STATS1003B!R1890/1000</f>
        <v>0</v>
      </c>
      <c r="S1886" s="85">
        <f>STATS1003B!S1890/1000</f>
        <v>0</v>
      </c>
      <c r="T1886" s="85">
        <f>STATS1003B!T1890/1000</f>
        <v>0</v>
      </c>
      <c r="U1886" s="85">
        <f>STATS1003B!U1890/1000</f>
        <v>0</v>
      </c>
      <c r="V1886" s="85">
        <f>STATS1003B!V1890/1000</f>
        <v>0</v>
      </c>
      <c r="W1886" s="85">
        <f>STATS1003B!W1890/1000</f>
        <v>0</v>
      </c>
      <c r="X1886" s="85">
        <f t="shared" ref="X1886:X1949" si="211">+H1886+P1886</f>
        <v>500</v>
      </c>
      <c r="Y1886" s="85">
        <f>STATS1003B!Y1890/1000</f>
        <v>0</v>
      </c>
      <c r="Z1886" s="85">
        <f t="shared" si="206"/>
        <v>0</v>
      </c>
      <c r="AA1886" s="69">
        <f>STATS1003B!AA1890/1000</f>
        <v>500</v>
      </c>
      <c r="AB1886" s="69">
        <f>STATS1003B!AB1890/1000</f>
        <v>0</v>
      </c>
    </row>
    <row r="1887" spans="1:28" hidden="1" x14ac:dyDescent="0.3">
      <c r="A1887" s="117"/>
      <c r="C1887" s="68" t="s">
        <v>1173</v>
      </c>
      <c r="D1887" s="90" t="s">
        <v>1126</v>
      </c>
      <c r="E1887" s="85">
        <f>STATS1003B!E1891/1000</f>
        <v>30872.020490000003</v>
      </c>
      <c r="F1887" s="85">
        <f>STATS1003B!F1891/1000</f>
        <v>30872.020490000003</v>
      </c>
      <c r="G1887" s="85">
        <f>STATS1003B!G1891/1000</f>
        <v>0</v>
      </c>
      <c r="H1887" s="85">
        <f>STATS1003B!H1891/1000</f>
        <v>30872.020490000003</v>
      </c>
      <c r="I1887" s="85">
        <f>STATS1003B!I1891/1000</f>
        <v>0</v>
      </c>
      <c r="J1887" s="85">
        <f>STATS1003B!J1891/1000</f>
        <v>30872.020490000003</v>
      </c>
      <c r="K1887" s="85">
        <f>STATS1003B!K1891/1000</f>
        <v>0</v>
      </c>
      <c r="L1887" s="85">
        <f>STATS1003B!L1891/1000</f>
        <v>0</v>
      </c>
      <c r="M1887" s="85">
        <f>STATS1003B!M1891/1000</f>
        <v>30872.020490000003</v>
      </c>
      <c r="N1887" s="85">
        <f>STATS1003B!N1891/1000</f>
        <v>0</v>
      </c>
      <c r="O1887" s="85">
        <f>STATS1003B!O1891/1000</f>
        <v>0</v>
      </c>
      <c r="P1887" s="85">
        <f>STATS1003B!P1891/1000</f>
        <v>0</v>
      </c>
      <c r="Q1887" s="85">
        <f>STATS1003B!Q1891/1000</f>
        <v>0</v>
      </c>
      <c r="R1887" s="85">
        <f>STATS1003B!R1891/1000</f>
        <v>0</v>
      </c>
      <c r="S1887" s="85">
        <f>STATS1003B!S1891/1000</f>
        <v>0</v>
      </c>
      <c r="T1887" s="85">
        <f>STATS1003B!T1891/1000</f>
        <v>0</v>
      </c>
      <c r="U1887" s="85">
        <f>STATS1003B!U1891/1000</f>
        <v>0</v>
      </c>
      <c r="V1887" s="85">
        <f>STATS1003B!V1891/1000</f>
        <v>0</v>
      </c>
      <c r="W1887" s="85">
        <f>STATS1003B!W1891/1000</f>
        <v>0</v>
      </c>
      <c r="X1887" s="85">
        <f t="shared" si="211"/>
        <v>30872.020490000003</v>
      </c>
      <c r="Y1887" s="85">
        <f>STATS1003B!Y1891/1000</f>
        <v>0</v>
      </c>
      <c r="Z1887" s="85">
        <f t="shared" si="206"/>
        <v>0</v>
      </c>
      <c r="AA1887" s="69">
        <f>STATS1003B!AA1891/1000</f>
        <v>30872.020490000003</v>
      </c>
      <c r="AB1887" s="69">
        <f>STATS1003B!AB1891/1000</f>
        <v>0</v>
      </c>
    </row>
    <row r="1888" spans="1:28" hidden="1" x14ac:dyDescent="0.3">
      <c r="A1888" s="117"/>
      <c r="C1888" s="68" t="s">
        <v>1245</v>
      </c>
      <c r="D1888" s="90" t="s">
        <v>1225</v>
      </c>
      <c r="E1888" s="85">
        <f>STATS1003B!E1892/1000</f>
        <v>10217.873850000002</v>
      </c>
      <c r="F1888" s="85">
        <f>STATS1003B!F1892/1000</f>
        <v>0</v>
      </c>
      <c r="G1888" s="85">
        <f>STATS1003B!G1892/1000</f>
        <v>10217.87385</v>
      </c>
      <c r="H1888" s="85">
        <f>STATS1003B!H1892/1000</f>
        <v>10217.87385</v>
      </c>
      <c r="I1888" s="85">
        <f>STATS1003B!I1892/1000</f>
        <v>0</v>
      </c>
      <c r="J1888" s="85">
        <f>STATS1003B!J1892/1000</f>
        <v>10217.87385</v>
      </c>
      <c r="K1888" s="85">
        <f>STATS1003B!K1892/1000</f>
        <v>0</v>
      </c>
      <c r="L1888" s="85">
        <f>STATS1003B!L1892/1000</f>
        <v>0</v>
      </c>
      <c r="M1888" s="85">
        <f>STATS1003B!M1892/1000</f>
        <v>10217.87385</v>
      </c>
      <c r="N1888" s="85">
        <f>STATS1003B!N1892/1000</f>
        <v>0</v>
      </c>
      <c r="O1888" s="85">
        <f>STATS1003B!O1892/1000</f>
        <v>0</v>
      </c>
      <c r="P1888" s="85">
        <f>STATS1003B!P1892/1000</f>
        <v>0</v>
      </c>
      <c r="Q1888" s="85">
        <f>STATS1003B!Q1892/1000</f>
        <v>0</v>
      </c>
      <c r="R1888" s="85">
        <f>STATS1003B!R1892/1000</f>
        <v>0</v>
      </c>
      <c r="S1888" s="85">
        <f>STATS1003B!S1892/1000</f>
        <v>0</v>
      </c>
      <c r="T1888" s="85">
        <f>STATS1003B!T1892/1000</f>
        <v>0</v>
      </c>
      <c r="U1888" s="85">
        <f>STATS1003B!U1892/1000</f>
        <v>0</v>
      </c>
      <c r="V1888" s="85">
        <f>STATS1003B!V1892/1000</f>
        <v>0</v>
      </c>
      <c r="W1888" s="85">
        <f>STATS1003B!W1892/1000</f>
        <v>0</v>
      </c>
      <c r="X1888" s="85">
        <f t="shared" si="211"/>
        <v>10217.87385</v>
      </c>
      <c r="Y1888" s="85">
        <f>STATS1003B!Y1892/1000</f>
        <v>0</v>
      </c>
      <c r="Z1888" s="85">
        <f t="shared" si="206"/>
        <v>0</v>
      </c>
      <c r="AA1888" s="69">
        <f>STATS1003B!AA1892/1000</f>
        <v>10217.87385</v>
      </c>
      <c r="AB1888" s="69">
        <f>STATS1003B!AB1892/1000</f>
        <v>0</v>
      </c>
    </row>
    <row r="1889" spans="1:28" hidden="1" x14ac:dyDescent="0.3">
      <c r="A1889" s="117"/>
      <c r="C1889" s="68" t="s">
        <v>785</v>
      </c>
      <c r="D1889" s="87" t="s">
        <v>60</v>
      </c>
      <c r="E1889" s="85">
        <f>STATS1003B!E1893/1000</f>
        <v>1000</v>
      </c>
      <c r="F1889" s="85">
        <f>STATS1003B!F1893/1000</f>
        <v>1000</v>
      </c>
      <c r="G1889" s="85">
        <f>STATS1003B!G1893/1000</f>
        <v>0</v>
      </c>
      <c r="H1889" s="85">
        <f>STATS1003B!H1893/1000</f>
        <v>1000</v>
      </c>
      <c r="I1889" s="85">
        <f>STATS1003B!I1893/1000</f>
        <v>0</v>
      </c>
      <c r="J1889" s="85">
        <f>STATS1003B!J1893/1000</f>
        <v>1000</v>
      </c>
      <c r="K1889" s="85">
        <f>STATS1003B!K1893/1000</f>
        <v>0</v>
      </c>
      <c r="L1889" s="85">
        <f>STATS1003B!L1893/1000</f>
        <v>0</v>
      </c>
      <c r="M1889" s="85">
        <f>STATS1003B!M1893/1000</f>
        <v>1000</v>
      </c>
      <c r="N1889" s="85">
        <f>STATS1003B!N1893/1000</f>
        <v>0</v>
      </c>
      <c r="O1889" s="85">
        <f>STATS1003B!O1893/1000</f>
        <v>0</v>
      </c>
      <c r="P1889" s="85">
        <f>STATS1003B!P1893/1000</f>
        <v>0</v>
      </c>
      <c r="Q1889" s="85">
        <f>STATS1003B!Q1893/1000</f>
        <v>1000</v>
      </c>
      <c r="R1889" s="85">
        <f>STATS1003B!R1893/1000</f>
        <v>0</v>
      </c>
      <c r="S1889" s="85">
        <f>STATS1003B!S1893/1000</f>
        <v>0</v>
      </c>
      <c r="T1889" s="85">
        <f>STATS1003B!T1893/1000</f>
        <v>0</v>
      </c>
      <c r="U1889" s="85">
        <f>STATS1003B!U1893/1000</f>
        <v>0</v>
      </c>
      <c r="V1889" s="85">
        <f>STATS1003B!V1893/1000</f>
        <v>0</v>
      </c>
      <c r="W1889" s="85">
        <f>STATS1003B!W1893/1000</f>
        <v>0</v>
      </c>
      <c r="X1889" s="85">
        <f t="shared" si="211"/>
        <v>1000</v>
      </c>
      <c r="Y1889" s="85">
        <f>STATS1003B!Y1893/1000</f>
        <v>0</v>
      </c>
      <c r="Z1889" s="85">
        <f t="shared" si="206"/>
        <v>0</v>
      </c>
      <c r="AA1889" s="69">
        <f>STATS1003B!AA1893/1000</f>
        <v>1000</v>
      </c>
      <c r="AB1889" s="69">
        <f>STATS1003B!AB1893/1000</f>
        <v>0</v>
      </c>
    </row>
    <row r="1890" spans="1:28" hidden="1" x14ac:dyDescent="0.3">
      <c r="A1890" s="117"/>
      <c r="C1890" s="68" t="s">
        <v>535</v>
      </c>
      <c r="D1890" s="88" t="s">
        <v>73</v>
      </c>
      <c r="E1890" s="85">
        <f>STATS1003B!E1894/1000</f>
        <v>8480.7080000000005</v>
      </c>
      <c r="F1890" s="85">
        <f>STATS1003B!F1894/1000</f>
        <v>8480.7080000000005</v>
      </c>
      <c r="G1890" s="85">
        <f>STATS1003B!G1894/1000</f>
        <v>0</v>
      </c>
      <c r="H1890" s="85">
        <f>STATS1003B!H1894/1000</f>
        <v>8480.7080000000005</v>
      </c>
      <c r="I1890" s="85">
        <f>STATS1003B!I1894/1000</f>
        <v>0</v>
      </c>
      <c r="J1890" s="85">
        <f>STATS1003B!J1894/1000</f>
        <v>8480.7080000000005</v>
      </c>
      <c r="K1890" s="85">
        <f>STATS1003B!K1894/1000</f>
        <v>0</v>
      </c>
      <c r="L1890" s="85">
        <f>STATS1003B!L1894/1000</f>
        <v>0</v>
      </c>
      <c r="M1890" s="85">
        <f>STATS1003B!M1894/1000</f>
        <v>8480.7080000000005</v>
      </c>
      <c r="N1890" s="85">
        <f>STATS1003B!N1894/1000</f>
        <v>0</v>
      </c>
      <c r="O1890" s="85">
        <f>STATS1003B!O1894/1000</f>
        <v>0</v>
      </c>
      <c r="P1890" s="85">
        <f>STATS1003B!P1894/1000</f>
        <v>0</v>
      </c>
      <c r="Q1890" s="85">
        <f>STATS1003B!Q1894/1000</f>
        <v>8480.7080000000005</v>
      </c>
      <c r="R1890" s="85">
        <f>STATS1003B!R1894/1000</f>
        <v>0</v>
      </c>
      <c r="S1890" s="85">
        <f>STATS1003B!S1894/1000</f>
        <v>0</v>
      </c>
      <c r="T1890" s="85">
        <f>STATS1003B!T1894/1000</f>
        <v>0</v>
      </c>
      <c r="U1890" s="85">
        <f>STATS1003B!U1894/1000</f>
        <v>0</v>
      </c>
      <c r="V1890" s="85">
        <f>STATS1003B!V1894/1000</f>
        <v>0</v>
      </c>
      <c r="W1890" s="85">
        <f>STATS1003B!W1894/1000</f>
        <v>0</v>
      </c>
      <c r="X1890" s="85">
        <f t="shared" si="211"/>
        <v>8480.7080000000005</v>
      </c>
      <c r="Y1890" s="85">
        <f>STATS1003B!Y1894/1000</f>
        <v>0</v>
      </c>
      <c r="Z1890" s="85">
        <f t="shared" si="206"/>
        <v>0</v>
      </c>
      <c r="AA1890" s="69">
        <f>STATS1003B!AA1894/1000</f>
        <v>8480.7080000000005</v>
      </c>
      <c r="AB1890" s="69">
        <f>STATS1003B!AB1894/1000</f>
        <v>0</v>
      </c>
    </row>
    <row r="1891" spans="1:28" hidden="1" x14ac:dyDescent="0.3">
      <c r="A1891" s="117"/>
      <c r="C1891" s="68" t="s">
        <v>535</v>
      </c>
      <c r="D1891" s="88" t="s">
        <v>61</v>
      </c>
      <c r="E1891" s="85">
        <f>STATS1003B!E1895/1000</f>
        <v>8027.6912700000003</v>
      </c>
      <c r="F1891" s="85">
        <f>STATS1003B!F1895/1000</f>
        <v>7861.6587399999999</v>
      </c>
      <c r="G1891" s="85">
        <f>STATS1003B!G1895/1000</f>
        <v>0</v>
      </c>
      <c r="H1891" s="85">
        <f>STATS1003B!H1895/1000</f>
        <v>7861.6587399999999</v>
      </c>
      <c r="I1891" s="85">
        <f>STATS1003B!I1895/1000</f>
        <v>0</v>
      </c>
      <c r="J1891" s="85">
        <f>STATS1003B!J1895/1000</f>
        <v>7861.6587399999999</v>
      </c>
      <c r="K1891" s="85">
        <f>STATS1003B!K1895/1000</f>
        <v>0</v>
      </c>
      <c r="L1891" s="85">
        <f>STATS1003B!L1895/1000</f>
        <v>0</v>
      </c>
      <c r="M1891" s="85">
        <f>STATS1003B!M1895/1000</f>
        <v>7861.6587399999999</v>
      </c>
      <c r="N1891" s="85">
        <f>STATS1003B!N1895/1000</f>
        <v>0</v>
      </c>
      <c r="O1891" s="85">
        <f>STATS1003B!O1895/1000</f>
        <v>0</v>
      </c>
      <c r="P1891" s="85">
        <f>STATS1003B!P1895/1000</f>
        <v>0</v>
      </c>
      <c r="Q1891" s="85">
        <f>STATS1003B!Q1895/1000</f>
        <v>8027.6912700000003</v>
      </c>
      <c r="R1891" s="85">
        <f>STATS1003B!R1895/1000</f>
        <v>0</v>
      </c>
      <c r="S1891" s="85">
        <f>STATS1003B!S1895/1000</f>
        <v>0</v>
      </c>
      <c r="T1891" s="85">
        <f>STATS1003B!T1895/1000</f>
        <v>166.03253000000001</v>
      </c>
      <c r="U1891" s="85">
        <f>STATS1003B!U1895/1000</f>
        <v>166.03253000000001</v>
      </c>
      <c r="V1891" s="85">
        <f>STATS1003B!V1895/1000</f>
        <v>0</v>
      </c>
      <c r="W1891" s="85">
        <f>STATS1003B!W1895/1000</f>
        <v>0</v>
      </c>
      <c r="X1891" s="85">
        <f t="shared" si="211"/>
        <v>7861.6587399999999</v>
      </c>
      <c r="Y1891" s="85">
        <f>STATS1003B!Y1895/1000</f>
        <v>0</v>
      </c>
      <c r="Z1891" s="85">
        <f t="shared" si="206"/>
        <v>166.03253000000041</v>
      </c>
      <c r="AA1891" s="69">
        <f>STATS1003B!AA1895/1000</f>
        <v>8027.6912700000003</v>
      </c>
      <c r="AB1891" s="69">
        <f>STATS1003B!AB1895/1000</f>
        <v>0</v>
      </c>
    </row>
    <row r="1892" spans="1:28" hidden="1" x14ac:dyDescent="0.3">
      <c r="A1892" s="117"/>
      <c r="C1892" s="68" t="s">
        <v>702</v>
      </c>
      <c r="E1892" s="85">
        <f>STATS1003B!E1896/1000</f>
        <v>273</v>
      </c>
      <c r="F1892" s="85">
        <f>STATS1003B!F1896/1000</f>
        <v>0</v>
      </c>
      <c r="G1892" s="85">
        <f>STATS1003B!G1896/1000</f>
        <v>0</v>
      </c>
      <c r="H1892" s="85">
        <f>STATS1003B!H1896/1000</f>
        <v>0</v>
      </c>
      <c r="I1892" s="85">
        <f>STATS1003B!I1896/1000</f>
        <v>0</v>
      </c>
      <c r="J1892" s="85">
        <f>STATS1003B!J1896/1000</f>
        <v>0</v>
      </c>
      <c r="K1892" s="85">
        <f>STATS1003B!K1896/1000</f>
        <v>273</v>
      </c>
      <c r="L1892" s="85">
        <f>STATS1003B!L1896/1000</f>
        <v>0</v>
      </c>
      <c r="M1892" s="85">
        <f>STATS1003B!M1896/1000</f>
        <v>0</v>
      </c>
      <c r="N1892" s="85">
        <f>STATS1003B!N1896/1000</f>
        <v>273</v>
      </c>
      <c r="O1892" s="85">
        <f>STATS1003B!O1896/1000</f>
        <v>0</v>
      </c>
      <c r="P1892" s="85">
        <f>STATS1003B!P1896/1000</f>
        <v>273</v>
      </c>
      <c r="Q1892" s="85">
        <f>STATS1003B!Q1896/1000</f>
        <v>0</v>
      </c>
      <c r="R1892" s="85">
        <f>STATS1003B!R1896/1000</f>
        <v>0</v>
      </c>
      <c r="S1892" s="85">
        <f>STATS1003B!S1896/1000</f>
        <v>0</v>
      </c>
      <c r="T1892" s="85">
        <f>STATS1003B!T1896/1000</f>
        <v>0</v>
      </c>
      <c r="U1892" s="85">
        <f>STATS1003B!U1896/1000</f>
        <v>273</v>
      </c>
      <c r="V1892" s="85">
        <f>STATS1003B!V1896/1000</f>
        <v>0</v>
      </c>
      <c r="W1892" s="85">
        <f>STATS1003B!W1896/1000</f>
        <v>0</v>
      </c>
      <c r="X1892" s="85">
        <f t="shared" si="211"/>
        <v>273</v>
      </c>
      <c r="Y1892" s="85">
        <f>STATS1003B!Y1896/1000</f>
        <v>0</v>
      </c>
      <c r="Z1892" s="85">
        <f t="shared" si="206"/>
        <v>0</v>
      </c>
      <c r="AA1892" s="69">
        <f>STATS1003B!AA1896/1000</f>
        <v>273</v>
      </c>
      <c r="AB1892" s="69">
        <f>STATS1003B!AB1896/1000</f>
        <v>0</v>
      </c>
    </row>
    <row r="1893" spans="1:28" hidden="1" x14ac:dyDescent="0.3">
      <c r="A1893" s="117"/>
      <c r="C1893" s="68" t="s">
        <v>592</v>
      </c>
      <c r="E1893" s="85">
        <f>STATS1003B!E1897/1000</f>
        <v>1999.99766</v>
      </c>
      <c r="F1893" s="85">
        <f>STATS1003B!F1897/1000</f>
        <v>1948.1426600000002</v>
      </c>
      <c r="G1893" s="85">
        <f>STATS1003B!G1897/1000</f>
        <v>0</v>
      </c>
      <c r="H1893" s="85">
        <f>STATS1003B!H1897/1000</f>
        <v>1948.1426600000002</v>
      </c>
      <c r="I1893" s="85">
        <f>STATS1003B!I1897/1000</f>
        <v>0</v>
      </c>
      <c r="J1893" s="85">
        <f>STATS1003B!J1897/1000</f>
        <v>1948.1426600000002</v>
      </c>
      <c r="K1893" s="85">
        <f>STATS1003B!K1897/1000</f>
        <v>51.854999999999997</v>
      </c>
      <c r="L1893" s="85">
        <f>STATS1003B!L1897/1000</f>
        <v>0</v>
      </c>
      <c r="M1893" s="85">
        <f>STATS1003B!M1897/1000</f>
        <v>1948.1426600000002</v>
      </c>
      <c r="N1893" s="85">
        <f>STATS1003B!N1897/1000</f>
        <v>51.854999999999997</v>
      </c>
      <c r="O1893" s="85">
        <f>STATS1003B!O1897/1000</f>
        <v>0</v>
      </c>
      <c r="P1893" s="85">
        <f>STATS1003B!P1897/1000</f>
        <v>51.854999999999997</v>
      </c>
      <c r="Q1893" s="85">
        <f>STATS1003B!Q1897/1000</f>
        <v>1948.14266</v>
      </c>
      <c r="R1893" s="85">
        <f>STATS1003B!R1897/1000</f>
        <v>0</v>
      </c>
      <c r="S1893" s="85">
        <f>STATS1003B!S1897/1000</f>
        <v>0</v>
      </c>
      <c r="T1893" s="85">
        <f>STATS1003B!T1897/1000</f>
        <v>0</v>
      </c>
      <c r="U1893" s="85">
        <f>STATS1003B!U1897/1000</f>
        <v>51.854999999999997</v>
      </c>
      <c r="V1893" s="85">
        <f>STATS1003B!V1897/1000</f>
        <v>0</v>
      </c>
      <c r="W1893" s="85">
        <f>STATS1003B!W1897/1000</f>
        <v>0</v>
      </c>
      <c r="X1893" s="85">
        <f t="shared" si="211"/>
        <v>1999.9976600000002</v>
      </c>
      <c r="Y1893" s="85">
        <f>STATS1003B!Y1897/1000</f>
        <v>0</v>
      </c>
      <c r="Z1893" s="85">
        <f t="shared" si="206"/>
        <v>0</v>
      </c>
      <c r="AA1893" s="69">
        <f>STATS1003B!AA1897/1000</f>
        <v>1999.9976600000002</v>
      </c>
      <c r="AB1893" s="69">
        <f>STATS1003B!AB1897/1000</f>
        <v>0</v>
      </c>
    </row>
    <row r="1894" spans="1:28" hidden="1" x14ac:dyDescent="0.3">
      <c r="A1894" s="117"/>
      <c r="C1894" s="68" t="s">
        <v>598</v>
      </c>
      <c r="E1894" s="85">
        <f>STATS1003B!E1898/1000</f>
        <v>217.21299999999999</v>
      </c>
      <c r="F1894" s="85">
        <f>STATS1003B!F1898/1000</f>
        <v>217.21299999999999</v>
      </c>
      <c r="G1894" s="85">
        <f>STATS1003B!G1898/1000</f>
        <v>0</v>
      </c>
      <c r="H1894" s="85">
        <f>STATS1003B!H1898/1000</f>
        <v>217.21299999999999</v>
      </c>
      <c r="I1894" s="85">
        <f>STATS1003B!I1898/1000</f>
        <v>0</v>
      </c>
      <c r="J1894" s="85">
        <f>STATS1003B!J1898/1000</f>
        <v>217.21299999999999</v>
      </c>
      <c r="K1894" s="85">
        <f>STATS1003B!K1898/1000</f>
        <v>0</v>
      </c>
      <c r="L1894" s="85">
        <f>STATS1003B!L1898/1000</f>
        <v>0</v>
      </c>
      <c r="M1894" s="85">
        <f>STATS1003B!M1898/1000</f>
        <v>217.21299999999999</v>
      </c>
      <c r="N1894" s="85">
        <f>STATS1003B!N1898/1000</f>
        <v>0</v>
      </c>
      <c r="O1894" s="85">
        <f>STATS1003B!O1898/1000</f>
        <v>0</v>
      </c>
      <c r="P1894" s="85">
        <f>STATS1003B!P1898/1000</f>
        <v>0</v>
      </c>
      <c r="Q1894" s="85">
        <f>STATS1003B!Q1898/1000</f>
        <v>217.21299999999999</v>
      </c>
      <c r="R1894" s="85">
        <f>STATS1003B!R1898/1000</f>
        <v>0</v>
      </c>
      <c r="S1894" s="85">
        <f>STATS1003B!S1898/1000</f>
        <v>0</v>
      </c>
      <c r="T1894" s="85">
        <f>STATS1003B!T1898/1000</f>
        <v>0</v>
      </c>
      <c r="U1894" s="85">
        <f>STATS1003B!U1898/1000</f>
        <v>0</v>
      </c>
      <c r="V1894" s="85">
        <f>STATS1003B!V1898/1000</f>
        <v>0</v>
      </c>
      <c r="W1894" s="85">
        <f>STATS1003B!W1898/1000</f>
        <v>0</v>
      </c>
      <c r="X1894" s="85">
        <f t="shared" si="211"/>
        <v>217.21299999999999</v>
      </c>
      <c r="Y1894" s="85">
        <f>STATS1003B!Y1898/1000</f>
        <v>0</v>
      </c>
      <c r="Z1894" s="85">
        <f t="shared" si="206"/>
        <v>0</v>
      </c>
      <c r="AA1894" s="69">
        <f>STATS1003B!AA1898/1000</f>
        <v>217.21299999999999</v>
      </c>
      <c r="AB1894" s="69">
        <f>STATS1003B!AB1898/1000</f>
        <v>0</v>
      </c>
    </row>
    <row r="1895" spans="1:28" hidden="1" x14ac:dyDescent="0.3">
      <c r="A1895" s="117"/>
      <c r="C1895" s="68" t="s">
        <v>1083</v>
      </c>
      <c r="E1895" s="85">
        <f>STATS1003B!E1899/1000</f>
        <v>12886.418089999999</v>
      </c>
      <c r="F1895" s="85">
        <f>STATS1003B!F1899/1000</f>
        <v>12886.418089999999</v>
      </c>
      <c r="G1895" s="85">
        <f>STATS1003B!G1899/1000</f>
        <v>0</v>
      </c>
      <c r="H1895" s="85">
        <f>STATS1003B!H1899/1000</f>
        <v>12886.418089999999</v>
      </c>
      <c r="I1895" s="85">
        <f>STATS1003B!I1899/1000</f>
        <v>0</v>
      </c>
      <c r="J1895" s="85">
        <f>STATS1003B!J1899/1000</f>
        <v>0</v>
      </c>
      <c r="K1895" s="85">
        <f>STATS1003B!K1899/1000</f>
        <v>0</v>
      </c>
      <c r="L1895" s="85">
        <f>STATS1003B!L1899/1000</f>
        <v>0</v>
      </c>
      <c r="M1895" s="85">
        <f>STATS1003B!M1899/1000</f>
        <v>12886.418089999999</v>
      </c>
      <c r="N1895" s="85">
        <f>STATS1003B!N1899/1000</f>
        <v>0</v>
      </c>
      <c r="O1895" s="85">
        <f>STATS1003B!O1899/1000</f>
        <v>0</v>
      </c>
      <c r="P1895" s="85">
        <f>STATS1003B!P1899/1000</f>
        <v>0</v>
      </c>
      <c r="Q1895" s="85">
        <f>STATS1003B!Q1899/1000</f>
        <v>0</v>
      </c>
      <c r="R1895" s="85">
        <f>STATS1003B!R1899/1000</f>
        <v>0</v>
      </c>
      <c r="S1895" s="85">
        <f>STATS1003B!S1899/1000</f>
        <v>0</v>
      </c>
      <c r="T1895" s="85">
        <f>STATS1003B!T1899/1000</f>
        <v>0</v>
      </c>
      <c r="U1895" s="85">
        <f>STATS1003B!U1899/1000</f>
        <v>0</v>
      </c>
      <c r="V1895" s="85">
        <f>STATS1003B!V1899/1000</f>
        <v>0</v>
      </c>
      <c r="W1895" s="85">
        <f>STATS1003B!W1899/1000</f>
        <v>0</v>
      </c>
      <c r="X1895" s="85">
        <f t="shared" si="211"/>
        <v>12886.418089999999</v>
      </c>
      <c r="Y1895" s="85">
        <f>STATS1003B!Y1899/1000</f>
        <v>0</v>
      </c>
      <c r="Z1895" s="85">
        <f t="shared" ref="Z1895:Z1958" si="212">+E1895-X1895</f>
        <v>0</v>
      </c>
      <c r="AA1895" s="69">
        <f>STATS1003B!AA1899/1000</f>
        <v>12886.418089999999</v>
      </c>
      <c r="AB1895" s="69">
        <f>STATS1003B!AB1899/1000</f>
        <v>0</v>
      </c>
    </row>
    <row r="1896" spans="1:28" hidden="1" x14ac:dyDescent="0.3">
      <c r="A1896" s="117"/>
      <c r="C1896" s="68" t="s">
        <v>1074</v>
      </c>
      <c r="D1896" s="91" t="s">
        <v>1072</v>
      </c>
      <c r="E1896" s="85">
        <f>STATS1003B!E1900/1000</f>
        <v>6162.5879999999997</v>
      </c>
      <c r="F1896" s="85">
        <f>STATS1003B!F1900/1000</f>
        <v>6162.5879999999997</v>
      </c>
      <c r="G1896" s="85">
        <f>STATS1003B!G1900/1000</f>
        <v>0</v>
      </c>
      <c r="H1896" s="85">
        <f>STATS1003B!H1900/1000</f>
        <v>6162.5879999999997</v>
      </c>
      <c r="I1896" s="85">
        <f>STATS1003B!I1900/1000</f>
        <v>0</v>
      </c>
      <c r="J1896" s="85">
        <f>STATS1003B!J1900/1000</f>
        <v>0</v>
      </c>
      <c r="K1896" s="85">
        <f>STATS1003B!K1900/1000</f>
        <v>0</v>
      </c>
      <c r="L1896" s="85">
        <f>STATS1003B!L1900/1000</f>
        <v>0</v>
      </c>
      <c r="M1896" s="85">
        <f>STATS1003B!M1900/1000</f>
        <v>6162.5879999999997</v>
      </c>
      <c r="N1896" s="85">
        <f>STATS1003B!N1900/1000</f>
        <v>0</v>
      </c>
      <c r="O1896" s="85">
        <f>STATS1003B!O1900/1000</f>
        <v>0</v>
      </c>
      <c r="P1896" s="85">
        <f>STATS1003B!P1900/1000</f>
        <v>0</v>
      </c>
      <c r="Q1896" s="85">
        <f>STATS1003B!Q1900/1000</f>
        <v>0</v>
      </c>
      <c r="R1896" s="85">
        <f>STATS1003B!R1900/1000</f>
        <v>0</v>
      </c>
      <c r="S1896" s="85">
        <f>STATS1003B!S1900/1000</f>
        <v>0</v>
      </c>
      <c r="T1896" s="85">
        <f>STATS1003B!T1900/1000</f>
        <v>0</v>
      </c>
      <c r="U1896" s="85">
        <f>STATS1003B!U1900/1000</f>
        <v>0</v>
      </c>
      <c r="V1896" s="85">
        <f>STATS1003B!V1900/1000</f>
        <v>0</v>
      </c>
      <c r="W1896" s="85">
        <f>STATS1003B!W1900/1000</f>
        <v>0</v>
      </c>
      <c r="X1896" s="85">
        <f t="shared" si="211"/>
        <v>6162.5879999999997</v>
      </c>
      <c r="Y1896" s="85">
        <f>STATS1003B!Y1900/1000</f>
        <v>0</v>
      </c>
      <c r="Z1896" s="85">
        <f t="shared" si="212"/>
        <v>0</v>
      </c>
      <c r="AA1896" s="69">
        <f>STATS1003B!AA1900/1000</f>
        <v>6162.5879999999997</v>
      </c>
      <c r="AB1896" s="69">
        <f>STATS1003B!AB1900/1000</f>
        <v>0</v>
      </c>
    </row>
    <row r="1897" spans="1:28" hidden="1" x14ac:dyDescent="0.3">
      <c r="A1897" s="117"/>
      <c r="C1897" s="68" t="s">
        <v>606</v>
      </c>
      <c r="E1897" s="85">
        <f>STATS1003B!E1901/1000</f>
        <v>5338.4664599999996</v>
      </c>
      <c r="F1897" s="85">
        <f>STATS1003B!F1901/1000</f>
        <v>4240.70507</v>
      </c>
      <c r="G1897" s="85">
        <f>STATS1003B!G1901/1000</f>
        <v>0</v>
      </c>
      <c r="H1897" s="85">
        <f>STATS1003B!H1901/1000</f>
        <v>4240.70507</v>
      </c>
      <c r="I1897" s="85">
        <f>STATS1003B!I1901/1000</f>
        <v>1097.7613899999997</v>
      </c>
      <c r="J1897" s="85">
        <f>STATS1003B!J1901/1000</f>
        <v>5338.4664599999996</v>
      </c>
      <c r="K1897" s="85">
        <f>STATS1003B!K1901/1000</f>
        <v>0</v>
      </c>
      <c r="L1897" s="85">
        <f>STATS1003B!L1901/1000</f>
        <v>1097.7613899999999</v>
      </c>
      <c r="M1897" s="85">
        <f>STATS1003B!M1901/1000</f>
        <v>5338.4664599999996</v>
      </c>
      <c r="N1897" s="85">
        <f>STATS1003B!N1901/1000</f>
        <v>0</v>
      </c>
      <c r="O1897" s="85">
        <f>STATS1003B!O1901/1000</f>
        <v>0</v>
      </c>
      <c r="P1897" s="85">
        <f>STATS1003B!P1901/1000</f>
        <v>0</v>
      </c>
      <c r="Q1897" s="85">
        <f>STATS1003B!Q1901/1000</f>
        <v>5338.4664599999996</v>
      </c>
      <c r="R1897" s="85">
        <f>STATS1003B!R1901/1000</f>
        <v>0</v>
      </c>
      <c r="S1897" s="85">
        <f>STATS1003B!S1901/1000</f>
        <v>0</v>
      </c>
      <c r="T1897" s="85">
        <f>STATS1003B!T1901/1000</f>
        <v>0</v>
      </c>
      <c r="U1897" s="85">
        <f>STATS1003B!U1901/1000</f>
        <v>0</v>
      </c>
      <c r="V1897" s="85">
        <f>STATS1003B!V1901/1000</f>
        <v>0</v>
      </c>
      <c r="W1897" s="85">
        <f>STATS1003B!W1901/1000</f>
        <v>0</v>
      </c>
      <c r="X1897" s="85">
        <f t="shared" si="211"/>
        <v>4240.70507</v>
      </c>
      <c r="Y1897" s="85">
        <f>STATS1003B!Y1901/1000</f>
        <v>0</v>
      </c>
      <c r="Z1897" s="85">
        <f t="shared" si="212"/>
        <v>1097.7613899999997</v>
      </c>
      <c r="AA1897" s="69">
        <f>STATS1003B!AA1901/1000</f>
        <v>5338.4664599999996</v>
      </c>
      <c r="AB1897" s="69">
        <f>STATS1003B!AB1901/1000</f>
        <v>0</v>
      </c>
    </row>
    <row r="1898" spans="1:28" hidden="1" x14ac:dyDescent="0.3">
      <c r="A1898" s="117"/>
      <c r="E1898" s="86" t="s">
        <v>29</v>
      </c>
      <c r="F1898" s="86" t="s">
        <v>29</v>
      </c>
      <c r="G1898" s="86" t="s">
        <v>29</v>
      </c>
      <c r="H1898" s="86" t="s">
        <v>29</v>
      </c>
      <c r="I1898" s="86" t="s">
        <v>29</v>
      </c>
      <c r="J1898" s="86" t="s">
        <v>29</v>
      </c>
      <c r="K1898" s="86" t="s">
        <v>29</v>
      </c>
      <c r="L1898" s="86" t="s">
        <v>29</v>
      </c>
      <c r="M1898" s="86" t="s">
        <v>29</v>
      </c>
      <c r="N1898" s="86" t="s">
        <v>29</v>
      </c>
      <c r="O1898" s="86" t="s">
        <v>29</v>
      </c>
      <c r="P1898" s="86" t="s">
        <v>29</v>
      </c>
      <c r="Q1898" s="86" t="s">
        <v>29</v>
      </c>
      <c r="R1898" s="86"/>
      <c r="S1898" s="86"/>
      <c r="T1898" s="86"/>
      <c r="U1898" s="86"/>
      <c r="V1898" s="86"/>
      <c r="W1898" s="86"/>
      <c r="X1898" s="85" t="e">
        <f t="shared" si="211"/>
        <v>#VALUE!</v>
      </c>
      <c r="Y1898" s="86"/>
      <c r="Z1898" s="85" t="e">
        <f t="shared" si="212"/>
        <v>#VALUE!</v>
      </c>
      <c r="AA1898" s="115" t="s">
        <v>29</v>
      </c>
      <c r="AB1898" s="115" t="s">
        <v>29</v>
      </c>
    </row>
    <row r="1899" spans="1:28" x14ac:dyDescent="0.3">
      <c r="A1899" s="116">
        <v>83</v>
      </c>
      <c r="B1899" s="68" t="s">
        <v>779</v>
      </c>
      <c r="E1899" s="85">
        <f>210068406.51/1000</f>
        <v>210068.40651</v>
      </c>
      <c r="F1899" s="85">
        <f t="shared" ref="F1899:Q1899" si="213">SUM(F1868:F1898)</f>
        <v>118462.90800000001</v>
      </c>
      <c r="G1899" s="85">
        <f t="shared" si="213"/>
        <v>10217.87385</v>
      </c>
      <c r="H1899" s="85">
        <f>204712623.13/1000</f>
        <v>204712.62312999999</v>
      </c>
      <c r="I1899" s="85">
        <f t="shared" si="213"/>
        <v>1097.7613899999997</v>
      </c>
      <c r="J1899" s="85">
        <f t="shared" si="213"/>
        <v>110729.53715</v>
      </c>
      <c r="K1899" s="85">
        <f t="shared" si="213"/>
        <v>4091.9894600000002</v>
      </c>
      <c r="L1899" s="85">
        <f t="shared" si="213"/>
        <v>1097.7613899999999</v>
      </c>
      <c r="M1899" s="85">
        <f t="shared" si="213"/>
        <v>129778.54324000001</v>
      </c>
      <c r="N1899" s="85">
        <f t="shared" si="213"/>
        <v>4091.9894600000002</v>
      </c>
      <c r="O1899" s="85">
        <f t="shared" si="213"/>
        <v>0</v>
      </c>
      <c r="P1899" s="85">
        <f>4091989/1000</f>
        <v>4091.989</v>
      </c>
      <c r="Q1899" s="85">
        <f t="shared" si="213"/>
        <v>69305.675340000002</v>
      </c>
      <c r="R1899" s="86"/>
      <c r="S1899" s="86"/>
      <c r="T1899" s="85">
        <f t="shared" ref="T1899:Y1899" si="214">SUM(T1868:T1898)</f>
        <v>166.03253000000001</v>
      </c>
      <c r="U1899" s="85">
        <f t="shared" si="214"/>
        <v>4258.0219899999993</v>
      </c>
      <c r="V1899" s="85">
        <f t="shared" si="214"/>
        <v>0</v>
      </c>
      <c r="W1899" s="85">
        <f t="shared" si="214"/>
        <v>0</v>
      </c>
      <c r="X1899" s="85">
        <f t="shared" si="211"/>
        <v>208804.61212999999</v>
      </c>
      <c r="Y1899" s="85">
        <f t="shared" si="214"/>
        <v>0</v>
      </c>
      <c r="Z1899" s="85">
        <f t="shared" si="212"/>
        <v>1263.7943800000066</v>
      </c>
      <c r="AA1899" s="69">
        <f>SUM(AA1868:AA1898)</f>
        <v>134036.56523000001</v>
      </c>
      <c r="AB1899" s="69">
        <f>SUM(AB1868:AB1898)</f>
        <v>0</v>
      </c>
    </row>
    <row r="1900" spans="1:28" hidden="1" x14ac:dyDescent="0.3">
      <c r="A1900" s="117"/>
      <c r="E1900" s="86" t="s">
        <v>29</v>
      </c>
      <c r="F1900" s="86" t="s">
        <v>29</v>
      </c>
      <c r="G1900" s="86" t="s">
        <v>29</v>
      </c>
      <c r="H1900" s="86" t="s">
        <v>29</v>
      </c>
      <c r="I1900" s="86" t="s">
        <v>29</v>
      </c>
      <c r="J1900" s="86" t="s">
        <v>29</v>
      </c>
      <c r="K1900" s="86" t="s">
        <v>29</v>
      </c>
      <c r="L1900" s="86" t="s">
        <v>29</v>
      </c>
      <c r="M1900" s="86" t="s">
        <v>29</v>
      </c>
      <c r="N1900" s="86" t="s">
        <v>29</v>
      </c>
      <c r="O1900" s="86" t="s">
        <v>29</v>
      </c>
      <c r="P1900" s="86" t="s">
        <v>29</v>
      </c>
      <c r="Q1900" s="86" t="s">
        <v>29</v>
      </c>
      <c r="R1900" s="86"/>
      <c r="S1900" s="86"/>
      <c r="T1900" s="86"/>
      <c r="U1900" s="86"/>
      <c r="V1900" s="86"/>
      <c r="W1900" s="86"/>
      <c r="X1900" s="85" t="e">
        <f t="shared" si="211"/>
        <v>#VALUE!</v>
      </c>
      <c r="Y1900" s="86"/>
      <c r="Z1900" s="85" t="e">
        <f t="shared" si="212"/>
        <v>#VALUE!</v>
      </c>
      <c r="AA1900" s="115" t="s">
        <v>29</v>
      </c>
      <c r="AB1900" s="115" t="s">
        <v>29</v>
      </c>
    </row>
    <row r="1901" spans="1:28" hidden="1" x14ac:dyDescent="0.3">
      <c r="A1901" s="105"/>
      <c r="E1901" s="84"/>
      <c r="F1901" s="84"/>
      <c r="G1901" s="84"/>
      <c r="H1901" s="84"/>
      <c r="I1901" s="84"/>
      <c r="J1901" s="84"/>
      <c r="K1901" s="84"/>
      <c r="L1901" s="84"/>
      <c r="M1901" s="84"/>
      <c r="N1901" s="84"/>
      <c r="O1901" s="84"/>
      <c r="P1901" s="84"/>
      <c r="Q1901" s="84"/>
      <c r="R1901" s="86"/>
      <c r="S1901" s="86"/>
      <c r="T1901" s="86"/>
      <c r="U1901" s="86"/>
      <c r="V1901" s="86"/>
      <c r="W1901" s="86"/>
      <c r="X1901" s="85">
        <f t="shared" si="211"/>
        <v>0</v>
      </c>
      <c r="Y1901" s="86"/>
      <c r="Z1901" s="85">
        <f t="shared" si="212"/>
        <v>0</v>
      </c>
    </row>
    <row r="1902" spans="1:28" hidden="1" x14ac:dyDescent="0.3">
      <c r="A1902" s="117"/>
      <c r="C1902" s="68" t="s">
        <v>787</v>
      </c>
      <c r="D1902" s="87" t="s">
        <v>150</v>
      </c>
      <c r="E1902" s="85">
        <f>STATS1003B!E1906/1000</f>
        <v>8851</v>
      </c>
      <c r="F1902" s="85">
        <f>STATS1003B!F1906/1000</f>
        <v>8851</v>
      </c>
      <c r="G1902" s="85">
        <f>STATS1003B!G1906/1000</f>
        <v>0</v>
      </c>
      <c r="H1902" s="85">
        <f>STATS1003B!H1906/1000</f>
        <v>8851</v>
      </c>
      <c r="I1902" s="85">
        <f>STATS1003B!I1906/1000</f>
        <v>0</v>
      </c>
      <c r="J1902" s="85">
        <f>STATS1003B!J1906/1000</f>
        <v>8851</v>
      </c>
      <c r="K1902" s="85">
        <f>STATS1003B!K1906/1000</f>
        <v>0</v>
      </c>
      <c r="L1902" s="85">
        <f>STATS1003B!L1906/1000</f>
        <v>0</v>
      </c>
      <c r="M1902" s="85">
        <f>STATS1003B!M1906/1000</f>
        <v>8851</v>
      </c>
      <c r="N1902" s="85">
        <f>STATS1003B!N1906/1000</f>
        <v>0</v>
      </c>
      <c r="O1902" s="85">
        <f>STATS1003B!O1906/1000</f>
        <v>0</v>
      </c>
      <c r="P1902" s="85">
        <f>STATS1003B!P1906/1000</f>
        <v>0</v>
      </c>
      <c r="Q1902" s="85">
        <f>STATS1003B!Q1906/1000</f>
        <v>8851</v>
      </c>
      <c r="R1902" s="85">
        <f>STATS1003B!R1906/1000</f>
        <v>0</v>
      </c>
      <c r="S1902" s="85">
        <f>STATS1003B!S1906/1000</f>
        <v>0</v>
      </c>
      <c r="T1902" s="85">
        <f>STATS1003B!T1906/1000</f>
        <v>0</v>
      </c>
      <c r="U1902" s="85">
        <f>STATS1003B!U1906/1000</f>
        <v>0</v>
      </c>
      <c r="V1902" s="85">
        <f>STATS1003B!V1906/1000</f>
        <v>0</v>
      </c>
      <c r="W1902" s="85">
        <f>STATS1003B!W1906/1000</f>
        <v>0</v>
      </c>
      <c r="X1902" s="85">
        <f t="shared" si="211"/>
        <v>8851</v>
      </c>
      <c r="Y1902" s="85">
        <f>STATS1003B!Y1906/1000</f>
        <v>0</v>
      </c>
      <c r="Z1902" s="85">
        <f t="shared" si="212"/>
        <v>0</v>
      </c>
      <c r="AA1902" s="69">
        <f>STATS1003B!AA1906/1000</f>
        <v>8851</v>
      </c>
      <c r="AB1902" s="69">
        <f>STATS1003B!AB1906/1000</f>
        <v>0</v>
      </c>
    </row>
    <row r="1903" spans="1:28" hidden="1" x14ac:dyDescent="0.3">
      <c r="A1903" s="117"/>
      <c r="C1903" s="68" t="s">
        <v>777</v>
      </c>
      <c r="D1903" s="87" t="s">
        <v>78</v>
      </c>
      <c r="E1903" s="85">
        <f>STATS1003B!E1907/1000</f>
        <v>5074.0987500000001</v>
      </c>
      <c r="F1903" s="85">
        <f>STATS1003B!F1907/1000</f>
        <v>5074.0987500000001</v>
      </c>
      <c r="G1903" s="85">
        <f>STATS1003B!G1907/1000</f>
        <v>0</v>
      </c>
      <c r="H1903" s="85">
        <f>STATS1003B!H1907/1000</f>
        <v>5074.0987500000001</v>
      </c>
      <c r="I1903" s="85">
        <f>STATS1003B!I1907/1000</f>
        <v>0</v>
      </c>
      <c r="J1903" s="85">
        <f>STATS1003B!J1907/1000</f>
        <v>5074.0987500000001</v>
      </c>
      <c r="K1903" s="85">
        <f>STATS1003B!K1907/1000</f>
        <v>0</v>
      </c>
      <c r="L1903" s="85">
        <f>STATS1003B!L1907/1000</f>
        <v>0</v>
      </c>
      <c r="M1903" s="85">
        <f>STATS1003B!M1907/1000</f>
        <v>5074.0987500000001</v>
      </c>
      <c r="N1903" s="85">
        <f>STATS1003B!N1907/1000</f>
        <v>0</v>
      </c>
      <c r="O1903" s="85">
        <f>STATS1003B!O1907/1000</f>
        <v>0</v>
      </c>
      <c r="P1903" s="85">
        <f>STATS1003B!P1907/1000</f>
        <v>0</v>
      </c>
      <c r="Q1903" s="85">
        <f>STATS1003B!Q1907/1000</f>
        <v>5074.0987500000001</v>
      </c>
      <c r="R1903" s="85">
        <f>STATS1003B!R1907/1000</f>
        <v>0</v>
      </c>
      <c r="S1903" s="85">
        <f>STATS1003B!S1907/1000</f>
        <v>0</v>
      </c>
      <c r="T1903" s="85">
        <f>STATS1003B!T1907/1000</f>
        <v>0</v>
      </c>
      <c r="U1903" s="85">
        <f>STATS1003B!U1907/1000</f>
        <v>0</v>
      </c>
      <c r="V1903" s="85">
        <f>STATS1003B!V1907/1000</f>
        <v>0</v>
      </c>
      <c r="W1903" s="85">
        <f>STATS1003B!W1907/1000</f>
        <v>0</v>
      </c>
      <c r="X1903" s="85">
        <f t="shared" si="211"/>
        <v>5074.0987500000001</v>
      </c>
      <c r="Y1903" s="85">
        <f>STATS1003B!Y1907/1000</f>
        <v>0</v>
      </c>
      <c r="Z1903" s="85">
        <f t="shared" si="212"/>
        <v>0</v>
      </c>
      <c r="AA1903" s="69">
        <f>STATS1003B!AA1907/1000</f>
        <v>5074.0987500000001</v>
      </c>
      <c r="AB1903" s="69">
        <f>STATS1003B!AB1907/1000</f>
        <v>0</v>
      </c>
    </row>
    <row r="1904" spans="1:28" hidden="1" x14ac:dyDescent="0.3">
      <c r="A1904" s="117"/>
      <c r="C1904" s="68" t="s">
        <v>535</v>
      </c>
      <c r="D1904" s="87" t="s">
        <v>68</v>
      </c>
      <c r="E1904" s="85">
        <f>STATS1003B!E1908/1000</f>
        <v>18516.84852</v>
      </c>
      <c r="F1904" s="85">
        <f>STATS1003B!F1908/1000</f>
        <v>5792.1814100000001</v>
      </c>
      <c r="G1904" s="85">
        <f>STATS1003B!G1908/1000</f>
        <v>0</v>
      </c>
      <c r="H1904" s="85">
        <f>STATS1003B!H1908/1000</f>
        <v>5792.1814100000001</v>
      </c>
      <c r="I1904" s="85">
        <f>STATS1003B!I1908/1000</f>
        <v>0</v>
      </c>
      <c r="J1904" s="85">
        <f>STATS1003B!J1908/1000</f>
        <v>5792.1814100000001</v>
      </c>
      <c r="K1904" s="85">
        <f>STATS1003B!K1908/1000</f>
        <v>12724.667109999999</v>
      </c>
      <c r="L1904" s="85">
        <f>STATS1003B!L1908/1000</f>
        <v>0</v>
      </c>
      <c r="M1904" s="85">
        <f>STATS1003B!M1908/1000</f>
        <v>5792.1814100000001</v>
      </c>
      <c r="N1904" s="85">
        <f>STATS1003B!N1908/1000</f>
        <v>12724.667109999999</v>
      </c>
      <c r="O1904" s="85">
        <f>STATS1003B!O1908/1000</f>
        <v>0</v>
      </c>
      <c r="P1904" s="85">
        <f>STATS1003B!P1908/1000</f>
        <v>12724.667109999999</v>
      </c>
      <c r="Q1904" s="85">
        <f>STATS1003B!Q1908/1000</f>
        <v>5792.1814100000001</v>
      </c>
      <c r="R1904" s="85">
        <f>STATS1003B!R1908/1000</f>
        <v>0</v>
      </c>
      <c r="S1904" s="85">
        <f>STATS1003B!S1908/1000</f>
        <v>0</v>
      </c>
      <c r="T1904" s="85">
        <f>STATS1003B!T1908/1000</f>
        <v>0</v>
      </c>
      <c r="U1904" s="85">
        <f>STATS1003B!U1908/1000</f>
        <v>12724.667109999999</v>
      </c>
      <c r="V1904" s="85">
        <f>STATS1003B!V1908/1000</f>
        <v>0</v>
      </c>
      <c r="W1904" s="85">
        <f>STATS1003B!W1908/1000</f>
        <v>0</v>
      </c>
      <c r="X1904" s="85">
        <f t="shared" si="211"/>
        <v>18516.84852</v>
      </c>
      <c r="Y1904" s="85">
        <f>STATS1003B!Y1908/1000</f>
        <v>0</v>
      </c>
      <c r="Z1904" s="85">
        <f t="shared" si="212"/>
        <v>0</v>
      </c>
      <c r="AA1904" s="69">
        <f>STATS1003B!AA1908/1000</f>
        <v>18516.84852</v>
      </c>
      <c r="AB1904" s="69">
        <f>STATS1003B!AB1908/1000</f>
        <v>0</v>
      </c>
    </row>
    <row r="1905" spans="1:28" hidden="1" x14ac:dyDescent="0.3">
      <c r="A1905" s="117"/>
      <c r="C1905" s="68" t="s">
        <v>539</v>
      </c>
      <c r="D1905" s="87" t="s">
        <v>68</v>
      </c>
      <c r="E1905" s="85">
        <f>STATS1003B!E1909/1000</f>
        <v>1105.7925</v>
      </c>
      <c r="F1905" s="85">
        <f>STATS1003B!F1909/1000</f>
        <v>0</v>
      </c>
      <c r="G1905" s="85">
        <f>STATS1003B!G1909/1000</f>
        <v>0</v>
      </c>
      <c r="H1905" s="85">
        <f>STATS1003B!H1909/1000</f>
        <v>0</v>
      </c>
      <c r="I1905" s="85">
        <f>STATS1003B!I1909/1000</f>
        <v>0</v>
      </c>
      <c r="J1905" s="85">
        <f>STATS1003B!J1909/1000</f>
        <v>0</v>
      </c>
      <c r="K1905" s="85">
        <f>STATS1003B!K1909/1000</f>
        <v>1105.7925</v>
      </c>
      <c r="L1905" s="85">
        <f>STATS1003B!L1909/1000</f>
        <v>0</v>
      </c>
      <c r="M1905" s="85">
        <f>STATS1003B!M1909/1000</f>
        <v>0</v>
      </c>
      <c r="N1905" s="85">
        <f>STATS1003B!N1909/1000</f>
        <v>1105.7925</v>
      </c>
      <c r="O1905" s="85">
        <f>STATS1003B!O1909/1000</f>
        <v>0</v>
      </c>
      <c r="P1905" s="85">
        <f>STATS1003B!P1909/1000</f>
        <v>1105.7925</v>
      </c>
      <c r="Q1905" s="85">
        <f>STATS1003B!Q1909/1000</f>
        <v>0</v>
      </c>
      <c r="R1905" s="85">
        <f>STATS1003B!R1909/1000</f>
        <v>0</v>
      </c>
      <c r="S1905" s="85">
        <f>STATS1003B!S1909/1000</f>
        <v>0</v>
      </c>
      <c r="T1905" s="85">
        <f>STATS1003B!T1909/1000</f>
        <v>0</v>
      </c>
      <c r="U1905" s="85">
        <f>STATS1003B!U1909/1000</f>
        <v>1105.7925</v>
      </c>
      <c r="V1905" s="85">
        <f>STATS1003B!V1909/1000</f>
        <v>0</v>
      </c>
      <c r="W1905" s="85">
        <f>STATS1003B!W1909/1000</f>
        <v>0</v>
      </c>
      <c r="X1905" s="85">
        <f t="shared" si="211"/>
        <v>1105.7925</v>
      </c>
      <c r="Y1905" s="85">
        <f>STATS1003B!Y1909/1000</f>
        <v>0</v>
      </c>
      <c r="Z1905" s="85">
        <f t="shared" si="212"/>
        <v>0</v>
      </c>
      <c r="AA1905" s="69">
        <f>STATS1003B!AA1909/1000</f>
        <v>1105.7925</v>
      </c>
      <c r="AB1905" s="69">
        <f>STATS1003B!AB1909/1000</f>
        <v>0</v>
      </c>
    </row>
    <row r="1906" spans="1:28" hidden="1" x14ac:dyDescent="0.3">
      <c r="A1906" s="117"/>
      <c r="C1906" s="68" t="s">
        <v>535</v>
      </c>
      <c r="D1906" s="87" t="s">
        <v>54</v>
      </c>
      <c r="E1906" s="85">
        <f>STATS1003B!E1910/1000</f>
        <v>2034.636</v>
      </c>
      <c r="F1906" s="85">
        <f>STATS1003B!F1910/1000</f>
        <v>2034.636</v>
      </c>
      <c r="G1906" s="85">
        <f>STATS1003B!G1910/1000</f>
        <v>0</v>
      </c>
      <c r="H1906" s="85">
        <f>STATS1003B!H1910/1000</f>
        <v>2034.636</v>
      </c>
      <c r="I1906" s="85">
        <f>STATS1003B!I1910/1000</f>
        <v>0</v>
      </c>
      <c r="J1906" s="85">
        <f>STATS1003B!J1910/1000</f>
        <v>2034.636</v>
      </c>
      <c r="K1906" s="85">
        <f>STATS1003B!K1910/1000</f>
        <v>0</v>
      </c>
      <c r="L1906" s="85">
        <f>STATS1003B!L1910/1000</f>
        <v>0</v>
      </c>
      <c r="M1906" s="85">
        <f>STATS1003B!M1910/1000</f>
        <v>2034.636</v>
      </c>
      <c r="N1906" s="85">
        <f>STATS1003B!N1910/1000</f>
        <v>0</v>
      </c>
      <c r="O1906" s="85">
        <f>STATS1003B!O1910/1000</f>
        <v>0</v>
      </c>
      <c r="P1906" s="85">
        <f>STATS1003B!P1910/1000</f>
        <v>0</v>
      </c>
      <c r="Q1906" s="85">
        <f>STATS1003B!Q1910/1000</f>
        <v>2034.636</v>
      </c>
      <c r="R1906" s="85">
        <f>STATS1003B!R1910/1000</f>
        <v>0</v>
      </c>
      <c r="S1906" s="85">
        <f>STATS1003B!S1910/1000</f>
        <v>0</v>
      </c>
      <c r="T1906" s="85">
        <f>STATS1003B!T1910/1000</f>
        <v>0</v>
      </c>
      <c r="U1906" s="85">
        <f>STATS1003B!U1910/1000</f>
        <v>0</v>
      </c>
      <c r="V1906" s="85">
        <f>STATS1003B!V1910/1000</f>
        <v>0</v>
      </c>
      <c r="W1906" s="85">
        <f>STATS1003B!W1910/1000</f>
        <v>0</v>
      </c>
      <c r="X1906" s="85">
        <f t="shared" si="211"/>
        <v>2034.636</v>
      </c>
      <c r="Y1906" s="85">
        <f>STATS1003B!Y1910/1000</f>
        <v>0</v>
      </c>
      <c r="Z1906" s="85">
        <f t="shared" si="212"/>
        <v>0</v>
      </c>
      <c r="AA1906" s="69">
        <f>STATS1003B!AA1910/1000</f>
        <v>2034.636</v>
      </c>
      <c r="AB1906" s="69">
        <f>STATS1003B!AB1910/1000</f>
        <v>0</v>
      </c>
    </row>
    <row r="1907" spans="1:28" hidden="1" x14ac:dyDescent="0.3">
      <c r="A1907" s="117"/>
      <c r="C1907" s="68" t="s">
        <v>545</v>
      </c>
      <c r="D1907" s="87" t="s">
        <v>54</v>
      </c>
      <c r="E1907" s="85">
        <f>STATS1003B!E1911/1000</f>
        <v>1767.77</v>
      </c>
      <c r="F1907" s="85">
        <f>STATS1003B!F1911/1000</f>
        <v>0</v>
      </c>
      <c r="G1907" s="85">
        <f>STATS1003B!G1911/1000</f>
        <v>0</v>
      </c>
      <c r="H1907" s="85">
        <f>STATS1003B!H1911/1000</f>
        <v>0</v>
      </c>
      <c r="I1907" s="85">
        <f>STATS1003B!I1911/1000</f>
        <v>0</v>
      </c>
      <c r="J1907" s="85">
        <f>STATS1003B!J1911/1000</f>
        <v>0</v>
      </c>
      <c r="K1907" s="85">
        <f>STATS1003B!K1911/1000</f>
        <v>1767.77</v>
      </c>
      <c r="L1907" s="85">
        <f>STATS1003B!L1911/1000</f>
        <v>0</v>
      </c>
      <c r="M1907" s="85">
        <f>STATS1003B!M1911/1000</f>
        <v>0</v>
      </c>
      <c r="N1907" s="85">
        <f>STATS1003B!N1911/1000</f>
        <v>1767.77</v>
      </c>
      <c r="O1907" s="85">
        <f>STATS1003B!O1911/1000</f>
        <v>0</v>
      </c>
      <c r="P1907" s="85">
        <f>STATS1003B!P1911/1000</f>
        <v>1767.77</v>
      </c>
      <c r="Q1907" s="85">
        <f>STATS1003B!Q1911/1000</f>
        <v>0</v>
      </c>
      <c r="R1907" s="85">
        <f>STATS1003B!R1911/1000</f>
        <v>0</v>
      </c>
      <c r="S1907" s="85">
        <f>STATS1003B!S1911/1000</f>
        <v>0</v>
      </c>
      <c r="T1907" s="85">
        <f>STATS1003B!T1911/1000</f>
        <v>0</v>
      </c>
      <c r="U1907" s="85">
        <f>STATS1003B!U1911/1000</f>
        <v>1767.77</v>
      </c>
      <c r="V1907" s="85">
        <f>STATS1003B!V1911/1000</f>
        <v>0</v>
      </c>
      <c r="W1907" s="85">
        <f>STATS1003B!W1911/1000</f>
        <v>0</v>
      </c>
      <c r="X1907" s="85">
        <f t="shared" si="211"/>
        <v>1767.77</v>
      </c>
      <c r="Y1907" s="85">
        <f>STATS1003B!Y1911/1000</f>
        <v>0</v>
      </c>
      <c r="Z1907" s="85">
        <f t="shared" si="212"/>
        <v>0</v>
      </c>
      <c r="AA1907" s="69">
        <f>STATS1003B!AA1911/1000</f>
        <v>1767.77</v>
      </c>
      <c r="AB1907" s="69">
        <f>STATS1003B!AB1911/1000</f>
        <v>0</v>
      </c>
    </row>
    <row r="1908" spans="1:28" hidden="1" x14ac:dyDescent="0.3">
      <c r="A1908" s="117"/>
      <c r="C1908" s="68" t="s">
        <v>535</v>
      </c>
      <c r="D1908" s="87" t="s">
        <v>85</v>
      </c>
      <c r="E1908" s="85">
        <f>STATS1003B!E1912/1000</f>
        <v>5841.9</v>
      </c>
      <c r="F1908" s="85">
        <f>STATS1003B!F1912/1000</f>
        <v>5841.9</v>
      </c>
      <c r="G1908" s="85">
        <f>STATS1003B!G1912/1000</f>
        <v>0</v>
      </c>
      <c r="H1908" s="85">
        <f>STATS1003B!H1912/1000</f>
        <v>5841.9</v>
      </c>
      <c r="I1908" s="85">
        <f>STATS1003B!I1912/1000</f>
        <v>0</v>
      </c>
      <c r="J1908" s="85">
        <f>STATS1003B!J1912/1000</f>
        <v>5841.9</v>
      </c>
      <c r="K1908" s="85">
        <f>STATS1003B!K1912/1000</f>
        <v>0</v>
      </c>
      <c r="L1908" s="85">
        <f>STATS1003B!L1912/1000</f>
        <v>0</v>
      </c>
      <c r="M1908" s="85">
        <f>STATS1003B!M1912/1000</f>
        <v>5841.9</v>
      </c>
      <c r="N1908" s="85">
        <f>STATS1003B!N1912/1000</f>
        <v>0</v>
      </c>
      <c r="O1908" s="85">
        <f>STATS1003B!O1912/1000</f>
        <v>0</v>
      </c>
      <c r="P1908" s="85">
        <f>STATS1003B!P1912/1000</f>
        <v>0</v>
      </c>
      <c r="Q1908" s="85">
        <f>STATS1003B!Q1912/1000</f>
        <v>5841.9</v>
      </c>
      <c r="R1908" s="85">
        <f>STATS1003B!R1912/1000</f>
        <v>0</v>
      </c>
      <c r="S1908" s="85">
        <f>STATS1003B!S1912/1000</f>
        <v>0</v>
      </c>
      <c r="T1908" s="85">
        <f>STATS1003B!T1912/1000</f>
        <v>0</v>
      </c>
      <c r="U1908" s="85">
        <f>STATS1003B!U1912/1000</f>
        <v>0</v>
      </c>
      <c r="V1908" s="85">
        <f>STATS1003B!V1912/1000</f>
        <v>0</v>
      </c>
      <c r="W1908" s="85">
        <f>STATS1003B!W1912/1000</f>
        <v>0</v>
      </c>
      <c r="X1908" s="85">
        <f t="shared" si="211"/>
        <v>5841.9</v>
      </c>
      <c r="Y1908" s="85">
        <f>STATS1003B!Y1912/1000</f>
        <v>0</v>
      </c>
      <c r="Z1908" s="85">
        <f t="shared" si="212"/>
        <v>0</v>
      </c>
      <c r="AA1908" s="69">
        <f>STATS1003B!AA1912/1000</f>
        <v>5841.9</v>
      </c>
      <c r="AB1908" s="69">
        <f>STATS1003B!AB1912/1000</f>
        <v>0</v>
      </c>
    </row>
    <row r="1909" spans="1:28" hidden="1" x14ac:dyDescent="0.3">
      <c r="A1909" s="117"/>
      <c r="C1909" s="68" t="s">
        <v>603</v>
      </c>
      <c r="D1909" s="87" t="s">
        <v>85</v>
      </c>
      <c r="E1909" s="85">
        <f>STATS1003B!E1913/1000</f>
        <v>0</v>
      </c>
      <c r="F1909" s="85">
        <f>STATS1003B!F1913/1000</f>
        <v>0</v>
      </c>
      <c r="G1909" s="85">
        <f>STATS1003B!G1913/1000</f>
        <v>0</v>
      </c>
      <c r="H1909" s="85">
        <f>STATS1003B!H1913/1000</f>
        <v>0</v>
      </c>
      <c r="I1909" s="85">
        <f>STATS1003B!I1913/1000</f>
        <v>0</v>
      </c>
      <c r="J1909" s="85">
        <f>STATS1003B!J1913/1000</f>
        <v>0</v>
      </c>
      <c r="K1909" s="85">
        <f>STATS1003B!K1913/1000</f>
        <v>0</v>
      </c>
      <c r="L1909" s="85">
        <f>STATS1003B!L1913/1000</f>
        <v>0</v>
      </c>
      <c r="M1909" s="85">
        <f>STATS1003B!M1913/1000</f>
        <v>0</v>
      </c>
      <c r="N1909" s="85">
        <f>STATS1003B!N1913/1000</f>
        <v>0</v>
      </c>
      <c r="O1909" s="85">
        <f>STATS1003B!O1913/1000</f>
        <v>0</v>
      </c>
      <c r="P1909" s="85">
        <f>STATS1003B!P1913/1000</f>
        <v>0</v>
      </c>
      <c r="Q1909" s="85">
        <f>STATS1003B!Q1913/1000</f>
        <v>0</v>
      </c>
      <c r="R1909" s="85">
        <f>STATS1003B!R1913/1000</f>
        <v>0</v>
      </c>
      <c r="S1909" s="85">
        <f>STATS1003B!S1913/1000</f>
        <v>0</v>
      </c>
      <c r="T1909" s="85">
        <f>STATS1003B!T1913/1000</f>
        <v>0</v>
      </c>
      <c r="U1909" s="85">
        <f>STATS1003B!U1913/1000</f>
        <v>0</v>
      </c>
      <c r="V1909" s="85">
        <f>STATS1003B!V1913/1000</f>
        <v>0</v>
      </c>
      <c r="W1909" s="85">
        <f>STATS1003B!W1913/1000</f>
        <v>0</v>
      </c>
      <c r="X1909" s="85">
        <f t="shared" si="211"/>
        <v>0</v>
      </c>
      <c r="Y1909" s="85">
        <f>STATS1003B!Y1913/1000</f>
        <v>0</v>
      </c>
      <c r="Z1909" s="85">
        <f t="shared" si="212"/>
        <v>0</v>
      </c>
      <c r="AA1909" s="69">
        <f>STATS1003B!AA1913/1000</f>
        <v>0</v>
      </c>
      <c r="AB1909" s="69">
        <f>STATS1003B!AB1913/1000</f>
        <v>0</v>
      </c>
    </row>
    <row r="1910" spans="1:28" hidden="1" x14ac:dyDescent="0.3">
      <c r="A1910" s="117"/>
      <c r="C1910" s="68" t="s">
        <v>1224</v>
      </c>
      <c r="D1910" s="90" t="s">
        <v>1126</v>
      </c>
      <c r="E1910" s="85">
        <f>STATS1003B!E1914/1000</f>
        <v>2386.9214300000003</v>
      </c>
      <c r="F1910" s="85">
        <f>STATS1003B!F1914/1000</f>
        <v>2386.9214300000003</v>
      </c>
      <c r="G1910" s="85">
        <f>STATS1003B!G1914/1000</f>
        <v>0</v>
      </c>
      <c r="H1910" s="85">
        <f>STATS1003B!H1914/1000</f>
        <v>2386.9214300000003</v>
      </c>
      <c r="I1910" s="85">
        <f>STATS1003B!I1914/1000</f>
        <v>0</v>
      </c>
      <c r="J1910" s="85">
        <f>STATS1003B!J1914/1000</f>
        <v>2386.9214300000003</v>
      </c>
      <c r="K1910" s="85">
        <f>STATS1003B!K1914/1000</f>
        <v>0</v>
      </c>
      <c r="L1910" s="85">
        <f>STATS1003B!L1914/1000</f>
        <v>0</v>
      </c>
      <c r="M1910" s="85">
        <f>STATS1003B!M1914/1000</f>
        <v>2386.9214300000003</v>
      </c>
      <c r="N1910" s="85">
        <f>STATS1003B!N1914/1000</f>
        <v>0</v>
      </c>
      <c r="O1910" s="85">
        <f>STATS1003B!O1914/1000</f>
        <v>0</v>
      </c>
      <c r="P1910" s="85">
        <f>STATS1003B!P1914/1000</f>
        <v>0</v>
      </c>
      <c r="Q1910" s="85">
        <f>STATS1003B!Q1914/1000</f>
        <v>0</v>
      </c>
      <c r="R1910" s="85">
        <f>STATS1003B!R1914/1000</f>
        <v>0</v>
      </c>
      <c r="S1910" s="85">
        <f>STATS1003B!S1914/1000</f>
        <v>0</v>
      </c>
      <c r="T1910" s="85">
        <f>STATS1003B!T1914/1000</f>
        <v>0</v>
      </c>
      <c r="U1910" s="85">
        <f>STATS1003B!U1914/1000</f>
        <v>0</v>
      </c>
      <c r="V1910" s="85">
        <f>STATS1003B!V1914/1000</f>
        <v>0</v>
      </c>
      <c r="W1910" s="85">
        <f>STATS1003B!W1914/1000</f>
        <v>0</v>
      </c>
      <c r="X1910" s="85">
        <f t="shared" si="211"/>
        <v>2386.9214300000003</v>
      </c>
      <c r="Y1910" s="85">
        <f>STATS1003B!Y1914/1000</f>
        <v>0</v>
      </c>
      <c r="Z1910" s="85">
        <f t="shared" si="212"/>
        <v>0</v>
      </c>
      <c r="AA1910" s="69">
        <f>STATS1003B!AA1914/1000</f>
        <v>2386.9214300000003</v>
      </c>
      <c r="AB1910" s="69">
        <f>STATS1003B!AB1914/1000</f>
        <v>0</v>
      </c>
    </row>
    <row r="1911" spans="1:28" hidden="1" x14ac:dyDescent="0.3">
      <c r="A1911" s="117"/>
      <c r="C1911" s="68" t="s">
        <v>1173</v>
      </c>
      <c r="D1911" s="90" t="s">
        <v>1126</v>
      </c>
      <c r="E1911" s="85">
        <f>STATS1003B!E1915/1000</f>
        <v>8139.4835499999999</v>
      </c>
      <c r="F1911" s="85">
        <f>STATS1003B!F1915/1000</f>
        <v>8139.4835499999999</v>
      </c>
      <c r="G1911" s="85">
        <f>STATS1003B!G1915/1000</f>
        <v>0</v>
      </c>
      <c r="H1911" s="85">
        <f>STATS1003B!H1915/1000</f>
        <v>8139.4835499999999</v>
      </c>
      <c r="I1911" s="85">
        <f>STATS1003B!I1915/1000</f>
        <v>0</v>
      </c>
      <c r="J1911" s="85">
        <f>STATS1003B!J1915/1000</f>
        <v>8139.4835499999999</v>
      </c>
      <c r="K1911" s="85">
        <f>STATS1003B!K1915/1000</f>
        <v>0</v>
      </c>
      <c r="L1911" s="85">
        <f>STATS1003B!L1915/1000</f>
        <v>0</v>
      </c>
      <c r="M1911" s="85">
        <f>STATS1003B!M1915/1000</f>
        <v>8139.4835499999999</v>
      </c>
      <c r="N1911" s="85">
        <f>STATS1003B!N1915/1000</f>
        <v>0</v>
      </c>
      <c r="O1911" s="85">
        <f>STATS1003B!O1915/1000</f>
        <v>0</v>
      </c>
      <c r="P1911" s="85">
        <f>STATS1003B!P1915/1000</f>
        <v>0</v>
      </c>
      <c r="Q1911" s="85">
        <f>STATS1003B!Q1915/1000</f>
        <v>0</v>
      </c>
      <c r="R1911" s="85">
        <f>STATS1003B!R1915/1000</f>
        <v>0</v>
      </c>
      <c r="S1911" s="85">
        <f>STATS1003B!S1915/1000</f>
        <v>0</v>
      </c>
      <c r="T1911" s="85">
        <f>STATS1003B!T1915/1000</f>
        <v>0</v>
      </c>
      <c r="U1911" s="85">
        <f>STATS1003B!U1915/1000</f>
        <v>0</v>
      </c>
      <c r="V1911" s="85">
        <f>STATS1003B!V1915/1000</f>
        <v>0</v>
      </c>
      <c r="W1911" s="85">
        <f>STATS1003B!W1915/1000</f>
        <v>0</v>
      </c>
      <c r="X1911" s="85">
        <f t="shared" si="211"/>
        <v>8139.4835499999999</v>
      </c>
      <c r="Y1911" s="85">
        <f>STATS1003B!Y1915/1000</f>
        <v>0</v>
      </c>
      <c r="Z1911" s="85">
        <f t="shared" si="212"/>
        <v>0</v>
      </c>
      <c r="AA1911" s="69">
        <f>STATS1003B!AA1915/1000</f>
        <v>8139.4835499999999</v>
      </c>
      <c r="AB1911" s="69">
        <f>STATS1003B!AB1915/1000</f>
        <v>0</v>
      </c>
    </row>
    <row r="1912" spans="1:28" hidden="1" x14ac:dyDescent="0.3">
      <c r="A1912" s="117"/>
      <c r="C1912" s="68" t="s">
        <v>1245</v>
      </c>
      <c r="D1912" s="90" t="s">
        <v>1225</v>
      </c>
      <c r="E1912" s="85">
        <f>STATS1003B!E1916/1000</f>
        <v>11165.974699999999</v>
      </c>
      <c r="F1912" s="85">
        <f>STATS1003B!F1916/1000</f>
        <v>0</v>
      </c>
      <c r="G1912" s="85">
        <f>STATS1003B!G1916/1000</f>
        <v>11165.974699999999</v>
      </c>
      <c r="H1912" s="85">
        <f>STATS1003B!H1916/1000</f>
        <v>11165.974699999999</v>
      </c>
      <c r="I1912" s="85">
        <f>STATS1003B!I1916/1000</f>
        <v>0</v>
      </c>
      <c r="J1912" s="85">
        <f>STATS1003B!J1916/1000</f>
        <v>0</v>
      </c>
      <c r="K1912" s="85">
        <f>STATS1003B!K1916/1000</f>
        <v>0</v>
      </c>
      <c r="L1912" s="85">
        <f>STATS1003B!L1916/1000</f>
        <v>0</v>
      </c>
      <c r="M1912" s="85">
        <f>STATS1003B!M1916/1000</f>
        <v>11165.974699999999</v>
      </c>
      <c r="N1912" s="85">
        <f>STATS1003B!N1916/1000</f>
        <v>0</v>
      </c>
      <c r="O1912" s="85">
        <f>STATS1003B!O1916/1000</f>
        <v>0</v>
      </c>
      <c r="P1912" s="85">
        <f>STATS1003B!P1916/1000</f>
        <v>0</v>
      </c>
      <c r="Q1912" s="85">
        <f>STATS1003B!Q1916/1000</f>
        <v>0</v>
      </c>
      <c r="R1912" s="85">
        <f>STATS1003B!R1916/1000</f>
        <v>0</v>
      </c>
      <c r="S1912" s="85">
        <f>STATS1003B!S1916/1000</f>
        <v>0</v>
      </c>
      <c r="T1912" s="85">
        <f>STATS1003B!T1916/1000</f>
        <v>0</v>
      </c>
      <c r="U1912" s="85">
        <f>STATS1003B!U1916/1000</f>
        <v>0</v>
      </c>
      <c r="V1912" s="85">
        <f>STATS1003B!V1916/1000</f>
        <v>0</v>
      </c>
      <c r="W1912" s="85">
        <f>STATS1003B!W1916/1000</f>
        <v>0</v>
      </c>
      <c r="X1912" s="85">
        <f t="shared" si="211"/>
        <v>11165.974699999999</v>
      </c>
      <c r="Y1912" s="85">
        <f>STATS1003B!Y1916/1000</f>
        <v>0</v>
      </c>
      <c r="Z1912" s="85">
        <f t="shared" si="212"/>
        <v>0</v>
      </c>
      <c r="AA1912" s="69">
        <f>STATS1003B!AA1916/1000</f>
        <v>11165.974699999999</v>
      </c>
      <c r="AB1912" s="69">
        <f>STATS1003B!AB1916/1000</f>
        <v>0</v>
      </c>
    </row>
    <row r="1913" spans="1:28" hidden="1" x14ac:dyDescent="0.3">
      <c r="A1913" s="117"/>
      <c r="C1913" s="68" t="s">
        <v>535</v>
      </c>
      <c r="D1913" s="87" t="s">
        <v>128</v>
      </c>
      <c r="E1913" s="85">
        <f>STATS1003B!E1917/1000</f>
        <v>2000</v>
      </c>
      <c r="F1913" s="85">
        <f>STATS1003B!F1917/1000</f>
        <v>2000</v>
      </c>
      <c r="G1913" s="85">
        <f>STATS1003B!G1917/1000</f>
        <v>0</v>
      </c>
      <c r="H1913" s="85">
        <f>STATS1003B!H1917/1000</f>
        <v>2000</v>
      </c>
      <c r="I1913" s="85">
        <f>STATS1003B!I1917/1000</f>
        <v>0</v>
      </c>
      <c r="J1913" s="85">
        <f>STATS1003B!J1917/1000</f>
        <v>2000</v>
      </c>
      <c r="K1913" s="85">
        <f>STATS1003B!K1917/1000</f>
        <v>0</v>
      </c>
      <c r="L1913" s="85">
        <f>STATS1003B!L1917/1000</f>
        <v>0</v>
      </c>
      <c r="M1913" s="85">
        <f>STATS1003B!M1917/1000</f>
        <v>2000</v>
      </c>
      <c r="N1913" s="85">
        <f>STATS1003B!N1917/1000</f>
        <v>0</v>
      </c>
      <c r="O1913" s="85">
        <f>STATS1003B!O1917/1000</f>
        <v>0</v>
      </c>
      <c r="P1913" s="85">
        <f>STATS1003B!P1917/1000</f>
        <v>0</v>
      </c>
      <c r="Q1913" s="85">
        <f>STATS1003B!Q1917/1000</f>
        <v>2000</v>
      </c>
      <c r="R1913" s="85">
        <f>STATS1003B!R1917/1000</f>
        <v>0</v>
      </c>
      <c r="S1913" s="85">
        <f>STATS1003B!S1917/1000</f>
        <v>0</v>
      </c>
      <c r="T1913" s="85">
        <f>STATS1003B!T1917/1000</f>
        <v>0</v>
      </c>
      <c r="U1913" s="85">
        <f>STATS1003B!U1917/1000</f>
        <v>0</v>
      </c>
      <c r="V1913" s="85">
        <f>STATS1003B!V1917/1000</f>
        <v>0</v>
      </c>
      <c r="W1913" s="85">
        <f>STATS1003B!W1917/1000</f>
        <v>0</v>
      </c>
      <c r="X1913" s="85">
        <f t="shared" si="211"/>
        <v>2000</v>
      </c>
      <c r="Y1913" s="85">
        <f>STATS1003B!Y1917/1000</f>
        <v>0</v>
      </c>
      <c r="Z1913" s="85">
        <f t="shared" si="212"/>
        <v>0</v>
      </c>
      <c r="AA1913" s="69">
        <f>STATS1003B!AA1917/1000</f>
        <v>2000</v>
      </c>
      <c r="AB1913" s="69">
        <f>STATS1003B!AB1917/1000</f>
        <v>0</v>
      </c>
    </row>
    <row r="1914" spans="1:28" hidden="1" x14ac:dyDescent="0.3">
      <c r="A1914" s="117"/>
      <c r="C1914" s="68" t="s">
        <v>535</v>
      </c>
      <c r="D1914" s="87" t="s">
        <v>88</v>
      </c>
      <c r="E1914" s="85">
        <f>STATS1003B!E1918/1000</f>
        <v>2281.8389999999999</v>
      </c>
      <c r="F1914" s="85">
        <f>STATS1003B!F1918/1000</f>
        <v>2281.8389999999999</v>
      </c>
      <c r="G1914" s="85">
        <f>STATS1003B!G1918/1000</f>
        <v>0</v>
      </c>
      <c r="H1914" s="85">
        <f>STATS1003B!H1918/1000</f>
        <v>2281.8389999999999</v>
      </c>
      <c r="I1914" s="85">
        <f>STATS1003B!I1918/1000</f>
        <v>0</v>
      </c>
      <c r="J1914" s="85">
        <f>STATS1003B!J1918/1000</f>
        <v>2281.8389999999999</v>
      </c>
      <c r="K1914" s="85">
        <f>STATS1003B!K1918/1000</f>
        <v>0</v>
      </c>
      <c r="L1914" s="85">
        <f>STATS1003B!L1918/1000</f>
        <v>0</v>
      </c>
      <c r="M1914" s="85">
        <f>STATS1003B!M1918/1000</f>
        <v>2281.8389999999999</v>
      </c>
      <c r="N1914" s="85">
        <f>STATS1003B!N1918/1000</f>
        <v>0</v>
      </c>
      <c r="O1914" s="85">
        <f>STATS1003B!O1918/1000</f>
        <v>0</v>
      </c>
      <c r="P1914" s="85">
        <f>STATS1003B!P1918/1000</f>
        <v>0</v>
      </c>
      <c r="Q1914" s="85">
        <f>STATS1003B!Q1918/1000</f>
        <v>2281.8389999999999</v>
      </c>
      <c r="R1914" s="85">
        <f>STATS1003B!R1918/1000</f>
        <v>0</v>
      </c>
      <c r="S1914" s="85">
        <f>STATS1003B!S1918/1000</f>
        <v>0</v>
      </c>
      <c r="T1914" s="85">
        <f>STATS1003B!T1918/1000</f>
        <v>0</v>
      </c>
      <c r="U1914" s="85">
        <f>STATS1003B!U1918/1000</f>
        <v>0</v>
      </c>
      <c r="V1914" s="85">
        <f>STATS1003B!V1918/1000</f>
        <v>0</v>
      </c>
      <c r="W1914" s="85">
        <f>STATS1003B!W1918/1000</f>
        <v>0</v>
      </c>
      <c r="X1914" s="85">
        <f t="shared" si="211"/>
        <v>2281.8389999999999</v>
      </c>
      <c r="Y1914" s="85">
        <f>STATS1003B!Y1918/1000</f>
        <v>0</v>
      </c>
      <c r="Z1914" s="85">
        <f t="shared" si="212"/>
        <v>0</v>
      </c>
      <c r="AA1914" s="69">
        <f>STATS1003B!AA1918/1000</f>
        <v>2281.8389999999999</v>
      </c>
      <c r="AB1914" s="69">
        <f>STATS1003B!AB1918/1000</f>
        <v>0</v>
      </c>
    </row>
    <row r="1915" spans="1:28" hidden="1" x14ac:dyDescent="0.3">
      <c r="A1915" s="117"/>
      <c r="C1915" s="68" t="s">
        <v>535</v>
      </c>
      <c r="D1915" s="87" t="s">
        <v>58</v>
      </c>
      <c r="E1915" s="85">
        <f>STATS1003B!E1919/1000</f>
        <v>358.15778999999998</v>
      </c>
      <c r="F1915" s="85">
        <f>STATS1003B!F1919/1000</f>
        <v>358.15778999999998</v>
      </c>
      <c r="G1915" s="85">
        <f>STATS1003B!G1919/1000</f>
        <v>0</v>
      </c>
      <c r="H1915" s="85">
        <f>STATS1003B!H1919/1000</f>
        <v>358.15778999999998</v>
      </c>
      <c r="I1915" s="85">
        <f>STATS1003B!I1919/1000</f>
        <v>0</v>
      </c>
      <c r="J1915" s="85">
        <f>STATS1003B!J1919/1000</f>
        <v>358.15778999999998</v>
      </c>
      <c r="K1915" s="85">
        <f>STATS1003B!K1919/1000</f>
        <v>0</v>
      </c>
      <c r="L1915" s="85">
        <f>STATS1003B!L1919/1000</f>
        <v>0</v>
      </c>
      <c r="M1915" s="85">
        <f>STATS1003B!M1919/1000</f>
        <v>358.15778999999998</v>
      </c>
      <c r="N1915" s="85">
        <f>STATS1003B!N1919/1000</f>
        <v>0</v>
      </c>
      <c r="O1915" s="85">
        <f>STATS1003B!O1919/1000</f>
        <v>0</v>
      </c>
      <c r="P1915" s="85">
        <f>STATS1003B!P1919/1000</f>
        <v>0</v>
      </c>
      <c r="Q1915" s="85">
        <f>STATS1003B!Q1919/1000</f>
        <v>358.15778999999998</v>
      </c>
      <c r="R1915" s="85">
        <f>STATS1003B!R1919/1000</f>
        <v>0</v>
      </c>
      <c r="S1915" s="85">
        <f>STATS1003B!S1919/1000</f>
        <v>0</v>
      </c>
      <c r="T1915" s="85">
        <f>STATS1003B!T1919/1000</f>
        <v>0</v>
      </c>
      <c r="U1915" s="85">
        <f>STATS1003B!U1919/1000</f>
        <v>0</v>
      </c>
      <c r="V1915" s="85">
        <f>STATS1003B!V1919/1000</f>
        <v>0</v>
      </c>
      <c r="W1915" s="85">
        <f>STATS1003B!W1919/1000</f>
        <v>0</v>
      </c>
      <c r="X1915" s="85">
        <f t="shared" si="211"/>
        <v>358.15778999999998</v>
      </c>
      <c r="Y1915" s="85">
        <f>STATS1003B!Y1919/1000</f>
        <v>0</v>
      </c>
      <c r="Z1915" s="85">
        <f t="shared" si="212"/>
        <v>0</v>
      </c>
      <c r="AA1915" s="69">
        <f>STATS1003B!AA1919/1000</f>
        <v>358.15778999999998</v>
      </c>
      <c r="AB1915" s="69">
        <f>STATS1003B!AB1919/1000</f>
        <v>0</v>
      </c>
    </row>
    <row r="1916" spans="1:28" hidden="1" x14ac:dyDescent="0.3">
      <c r="A1916" s="117"/>
      <c r="C1916" s="68" t="s">
        <v>535</v>
      </c>
      <c r="D1916" s="87" t="s">
        <v>60</v>
      </c>
      <c r="E1916" s="85">
        <f>STATS1003B!E1920/1000</f>
        <v>10021.915000000001</v>
      </c>
      <c r="F1916" s="85">
        <f>STATS1003B!F1920/1000</f>
        <v>10021.915000000001</v>
      </c>
      <c r="G1916" s="85">
        <f>STATS1003B!G1920/1000</f>
        <v>0</v>
      </c>
      <c r="H1916" s="85">
        <f>STATS1003B!H1920/1000</f>
        <v>10021.915000000001</v>
      </c>
      <c r="I1916" s="85">
        <f>STATS1003B!I1920/1000</f>
        <v>0</v>
      </c>
      <c r="J1916" s="85">
        <f>STATS1003B!J1920/1000</f>
        <v>10021.915000000001</v>
      </c>
      <c r="K1916" s="85">
        <f>STATS1003B!K1920/1000</f>
        <v>0</v>
      </c>
      <c r="L1916" s="85">
        <f>STATS1003B!L1920/1000</f>
        <v>0</v>
      </c>
      <c r="M1916" s="85">
        <f>STATS1003B!M1920/1000</f>
        <v>10021.915000000001</v>
      </c>
      <c r="N1916" s="85">
        <f>STATS1003B!N1920/1000</f>
        <v>0</v>
      </c>
      <c r="O1916" s="85">
        <f>STATS1003B!O1920/1000</f>
        <v>0</v>
      </c>
      <c r="P1916" s="85">
        <f>STATS1003B!P1920/1000</f>
        <v>0</v>
      </c>
      <c r="Q1916" s="85">
        <f>STATS1003B!Q1920/1000</f>
        <v>10021.915000000001</v>
      </c>
      <c r="R1916" s="85">
        <f>STATS1003B!R1920/1000</f>
        <v>0</v>
      </c>
      <c r="S1916" s="85">
        <f>STATS1003B!S1920/1000</f>
        <v>0</v>
      </c>
      <c r="T1916" s="85">
        <f>STATS1003B!T1920/1000</f>
        <v>0</v>
      </c>
      <c r="U1916" s="85">
        <f>STATS1003B!U1920/1000</f>
        <v>0</v>
      </c>
      <c r="V1916" s="85">
        <f>STATS1003B!V1920/1000</f>
        <v>0</v>
      </c>
      <c r="W1916" s="85">
        <f>STATS1003B!W1920/1000</f>
        <v>0</v>
      </c>
      <c r="X1916" s="85">
        <f t="shared" si="211"/>
        <v>10021.915000000001</v>
      </c>
      <c r="Y1916" s="85">
        <f>STATS1003B!Y1920/1000</f>
        <v>0</v>
      </c>
      <c r="Z1916" s="85">
        <f t="shared" si="212"/>
        <v>0</v>
      </c>
      <c r="AA1916" s="69">
        <f>STATS1003B!AA1920/1000</f>
        <v>10021.915000000001</v>
      </c>
      <c r="AB1916" s="69">
        <f>STATS1003B!AB1920/1000</f>
        <v>0</v>
      </c>
    </row>
    <row r="1917" spans="1:28" hidden="1" x14ac:dyDescent="0.3">
      <c r="A1917" s="117"/>
      <c r="C1917" s="68" t="s">
        <v>535</v>
      </c>
      <c r="D1917" s="87" t="s">
        <v>73</v>
      </c>
      <c r="E1917" s="85">
        <f>STATS1003B!E1921/1000</f>
        <v>6739</v>
      </c>
      <c r="F1917" s="85">
        <f>STATS1003B!F1921/1000</f>
        <v>6739</v>
      </c>
      <c r="G1917" s="85">
        <f>STATS1003B!G1921/1000</f>
        <v>0</v>
      </c>
      <c r="H1917" s="85">
        <f>STATS1003B!H1921/1000</f>
        <v>6739</v>
      </c>
      <c r="I1917" s="85">
        <f>STATS1003B!I1921/1000</f>
        <v>0</v>
      </c>
      <c r="J1917" s="85">
        <f>STATS1003B!J1921/1000</f>
        <v>6739</v>
      </c>
      <c r="K1917" s="85">
        <f>STATS1003B!K1921/1000</f>
        <v>0</v>
      </c>
      <c r="L1917" s="85">
        <f>STATS1003B!L1921/1000</f>
        <v>0</v>
      </c>
      <c r="M1917" s="85">
        <f>STATS1003B!M1921/1000</f>
        <v>6739</v>
      </c>
      <c r="N1917" s="85">
        <f>STATS1003B!N1921/1000</f>
        <v>0</v>
      </c>
      <c r="O1917" s="85">
        <f>STATS1003B!O1921/1000</f>
        <v>0</v>
      </c>
      <c r="P1917" s="85">
        <f>STATS1003B!P1921/1000</f>
        <v>0</v>
      </c>
      <c r="Q1917" s="85">
        <f>STATS1003B!Q1921/1000</f>
        <v>6739</v>
      </c>
      <c r="R1917" s="85">
        <f>STATS1003B!R1921/1000</f>
        <v>0</v>
      </c>
      <c r="S1917" s="85">
        <f>STATS1003B!S1921/1000</f>
        <v>0</v>
      </c>
      <c r="T1917" s="85">
        <f>STATS1003B!T1921/1000</f>
        <v>0</v>
      </c>
      <c r="U1917" s="85">
        <f>STATS1003B!U1921/1000</f>
        <v>0</v>
      </c>
      <c r="V1917" s="85">
        <f>STATS1003B!V1921/1000</f>
        <v>0</v>
      </c>
      <c r="W1917" s="85">
        <f>STATS1003B!W1921/1000</f>
        <v>0</v>
      </c>
      <c r="X1917" s="85">
        <f t="shared" si="211"/>
        <v>6739</v>
      </c>
      <c r="Y1917" s="85">
        <f>STATS1003B!Y1921/1000</f>
        <v>0</v>
      </c>
      <c r="Z1917" s="85">
        <f t="shared" si="212"/>
        <v>0</v>
      </c>
      <c r="AA1917" s="69">
        <f>STATS1003B!AA1921/1000</f>
        <v>6739</v>
      </c>
      <c r="AB1917" s="69">
        <f>STATS1003B!AB1921/1000</f>
        <v>0</v>
      </c>
    </row>
    <row r="1918" spans="1:28" hidden="1" x14ac:dyDescent="0.3">
      <c r="A1918" s="117"/>
      <c r="C1918" s="68" t="s">
        <v>535</v>
      </c>
      <c r="D1918" s="87" t="s">
        <v>61</v>
      </c>
      <c r="E1918" s="85">
        <f>STATS1003B!E1922/1000</f>
        <v>8072</v>
      </c>
      <c r="F1918" s="85">
        <f>STATS1003B!F1922/1000</f>
        <v>8072</v>
      </c>
      <c r="G1918" s="85">
        <f>STATS1003B!G1922/1000</f>
        <v>0</v>
      </c>
      <c r="H1918" s="85">
        <f>STATS1003B!H1922/1000</f>
        <v>8072</v>
      </c>
      <c r="I1918" s="85">
        <f>STATS1003B!I1922/1000</f>
        <v>0</v>
      </c>
      <c r="J1918" s="85">
        <f>STATS1003B!J1922/1000</f>
        <v>8072</v>
      </c>
      <c r="K1918" s="85">
        <f>STATS1003B!K1922/1000</f>
        <v>0</v>
      </c>
      <c r="L1918" s="85">
        <f>STATS1003B!L1922/1000</f>
        <v>0</v>
      </c>
      <c r="M1918" s="85">
        <f>STATS1003B!M1922/1000</f>
        <v>8072</v>
      </c>
      <c r="N1918" s="85">
        <f>STATS1003B!N1922/1000</f>
        <v>0</v>
      </c>
      <c r="O1918" s="85">
        <f>STATS1003B!O1922/1000</f>
        <v>0</v>
      </c>
      <c r="P1918" s="85">
        <f>STATS1003B!P1922/1000</f>
        <v>0</v>
      </c>
      <c r="Q1918" s="85">
        <f>STATS1003B!Q1922/1000</f>
        <v>8072</v>
      </c>
      <c r="R1918" s="85">
        <f>STATS1003B!R1922/1000</f>
        <v>0</v>
      </c>
      <c r="S1918" s="85">
        <f>STATS1003B!S1922/1000</f>
        <v>0</v>
      </c>
      <c r="T1918" s="85">
        <f>STATS1003B!T1922/1000</f>
        <v>0</v>
      </c>
      <c r="U1918" s="85">
        <f>STATS1003B!U1922/1000</f>
        <v>0</v>
      </c>
      <c r="V1918" s="85">
        <f>STATS1003B!V1922/1000</f>
        <v>0</v>
      </c>
      <c r="W1918" s="85">
        <f>STATS1003B!W1922/1000</f>
        <v>0</v>
      </c>
      <c r="X1918" s="85">
        <f t="shared" si="211"/>
        <v>8072</v>
      </c>
      <c r="Y1918" s="85">
        <f>STATS1003B!Y1922/1000</f>
        <v>0</v>
      </c>
      <c r="Z1918" s="85">
        <f t="shared" si="212"/>
        <v>0</v>
      </c>
      <c r="AA1918" s="69">
        <f>STATS1003B!AA1922/1000</f>
        <v>8072</v>
      </c>
      <c r="AB1918" s="69">
        <f>STATS1003B!AB1922/1000</f>
        <v>0</v>
      </c>
    </row>
    <row r="1919" spans="1:28" hidden="1" x14ac:dyDescent="0.3">
      <c r="A1919" s="117"/>
      <c r="C1919" s="68" t="s">
        <v>550</v>
      </c>
      <c r="E1919" s="85">
        <f>STATS1003B!E1923/1000</f>
        <v>85.766000000000005</v>
      </c>
      <c r="F1919" s="85">
        <f>STATS1003B!F1923/1000</f>
        <v>85.766000000000005</v>
      </c>
      <c r="G1919" s="85">
        <f>STATS1003B!G1923/1000</f>
        <v>0</v>
      </c>
      <c r="H1919" s="85">
        <f>STATS1003B!H1923/1000</f>
        <v>85.766000000000005</v>
      </c>
      <c r="I1919" s="85">
        <f>STATS1003B!I1923/1000</f>
        <v>0</v>
      </c>
      <c r="J1919" s="85">
        <f>STATS1003B!J1923/1000</f>
        <v>85.766000000000005</v>
      </c>
      <c r="K1919" s="85">
        <f>STATS1003B!K1923/1000</f>
        <v>0</v>
      </c>
      <c r="L1919" s="85">
        <f>STATS1003B!L1923/1000</f>
        <v>0</v>
      </c>
      <c r="M1919" s="85">
        <f>STATS1003B!M1923/1000</f>
        <v>85.766000000000005</v>
      </c>
      <c r="N1919" s="85">
        <f>STATS1003B!N1923/1000</f>
        <v>0</v>
      </c>
      <c r="O1919" s="85">
        <f>STATS1003B!O1923/1000</f>
        <v>0</v>
      </c>
      <c r="P1919" s="85">
        <f>STATS1003B!P1923/1000</f>
        <v>0</v>
      </c>
      <c r="Q1919" s="85">
        <f>STATS1003B!Q1923/1000</f>
        <v>85.766000000000005</v>
      </c>
      <c r="R1919" s="85">
        <f>STATS1003B!R1923/1000</f>
        <v>0</v>
      </c>
      <c r="S1919" s="85">
        <f>STATS1003B!S1923/1000</f>
        <v>0</v>
      </c>
      <c r="T1919" s="85">
        <f>STATS1003B!T1923/1000</f>
        <v>0</v>
      </c>
      <c r="U1919" s="85">
        <f>STATS1003B!U1923/1000</f>
        <v>0</v>
      </c>
      <c r="V1919" s="85">
        <f>STATS1003B!V1923/1000</f>
        <v>0</v>
      </c>
      <c r="W1919" s="85">
        <f>STATS1003B!W1923/1000</f>
        <v>0</v>
      </c>
      <c r="X1919" s="85">
        <f t="shared" si="211"/>
        <v>85.766000000000005</v>
      </c>
      <c r="Y1919" s="85">
        <f>STATS1003B!Y1923/1000</f>
        <v>0</v>
      </c>
      <c r="Z1919" s="85">
        <f t="shared" si="212"/>
        <v>0</v>
      </c>
      <c r="AA1919" s="69">
        <f>STATS1003B!AA1923/1000</f>
        <v>85.766000000000005</v>
      </c>
      <c r="AB1919" s="69">
        <f>STATS1003B!AB1923/1000</f>
        <v>0</v>
      </c>
    </row>
    <row r="1920" spans="1:28" hidden="1" x14ac:dyDescent="0.3">
      <c r="A1920" s="117"/>
      <c r="C1920" s="68" t="s">
        <v>606</v>
      </c>
      <c r="E1920" s="85">
        <f>STATS1003B!E1924/1000</f>
        <v>2500</v>
      </c>
      <c r="F1920" s="85">
        <f>STATS1003B!F1924/1000</f>
        <v>2500</v>
      </c>
      <c r="G1920" s="85">
        <f>STATS1003B!G1924/1000</f>
        <v>0</v>
      </c>
      <c r="H1920" s="85">
        <f>STATS1003B!H1924/1000</f>
        <v>2500</v>
      </c>
      <c r="I1920" s="85">
        <f>STATS1003B!I1924/1000</f>
        <v>0</v>
      </c>
      <c r="J1920" s="85">
        <f>STATS1003B!J1924/1000</f>
        <v>2500</v>
      </c>
      <c r="K1920" s="85">
        <f>STATS1003B!K1924/1000</f>
        <v>0</v>
      </c>
      <c r="L1920" s="85">
        <f>STATS1003B!L1924/1000</f>
        <v>0</v>
      </c>
      <c r="M1920" s="85">
        <f>STATS1003B!M1924/1000</f>
        <v>2500</v>
      </c>
      <c r="N1920" s="85">
        <f>STATS1003B!N1924/1000</f>
        <v>0</v>
      </c>
      <c r="O1920" s="85">
        <f>STATS1003B!O1924/1000</f>
        <v>0</v>
      </c>
      <c r="P1920" s="85">
        <f>STATS1003B!P1924/1000</f>
        <v>0</v>
      </c>
      <c r="Q1920" s="85">
        <f>STATS1003B!Q1924/1000</f>
        <v>2500</v>
      </c>
      <c r="R1920" s="85">
        <f>STATS1003B!R1924/1000</f>
        <v>0</v>
      </c>
      <c r="S1920" s="85">
        <f>STATS1003B!S1924/1000</f>
        <v>0</v>
      </c>
      <c r="T1920" s="85">
        <f>STATS1003B!T1924/1000</f>
        <v>0</v>
      </c>
      <c r="U1920" s="85">
        <f>STATS1003B!U1924/1000</f>
        <v>0</v>
      </c>
      <c r="V1920" s="85">
        <f>STATS1003B!V1924/1000</f>
        <v>0</v>
      </c>
      <c r="W1920" s="85">
        <f>STATS1003B!W1924/1000</f>
        <v>0</v>
      </c>
      <c r="X1920" s="85">
        <f t="shared" si="211"/>
        <v>2500</v>
      </c>
      <c r="Y1920" s="85">
        <f>STATS1003B!Y1924/1000</f>
        <v>0</v>
      </c>
      <c r="Z1920" s="85">
        <f t="shared" si="212"/>
        <v>0</v>
      </c>
      <c r="AA1920" s="69">
        <f>STATS1003B!AA1924/1000</f>
        <v>2500</v>
      </c>
      <c r="AB1920" s="69">
        <f>STATS1003B!AB1924/1000</f>
        <v>0</v>
      </c>
    </row>
    <row r="1921" spans="1:28" hidden="1" x14ac:dyDescent="0.3">
      <c r="A1921" s="117"/>
      <c r="E1921" s="86" t="s">
        <v>29</v>
      </c>
      <c r="F1921" s="86" t="s">
        <v>29</v>
      </c>
      <c r="G1921" s="86" t="s">
        <v>29</v>
      </c>
      <c r="H1921" s="86" t="s">
        <v>29</v>
      </c>
      <c r="I1921" s="86" t="s">
        <v>29</v>
      </c>
      <c r="J1921" s="86" t="s">
        <v>29</v>
      </c>
      <c r="K1921" s="86" t="s">
        <v>29</v>
      </c>
      <c r="L1921" s="86" t="s">
        <v>29</v>
      </c>
      <c r="M1921" s="86" t="s">
        <v>29</v>
      </c>
      <c r="N1921" s="86" t="s">
        <v>29</v>
      </c>
      <c r="O1921" s="86" t="s">
        <v>29</v>
      </c>
      <c r="P1921" s="86" t="s">
        <v>29</v>
      </c>
      <c r="Q1921" s="86" t="s">
        <v>29</v>
      </c>
      <c r="R1921" s="86"/>
      <c r="S1921" s="86"/>
      <c r="T1921" s="86"/>
      <c r="U1921" s="86" t="s">
        <v>29</v>
      </c>
      <c r="V1921" s="86"/>
      <c r="W1921" s="86"/>
      <c r="X1921" s="85" t="e">
        <f t="shared" si="211"/>
        <v>#VALUE!</v>
      </c>
      <c r="Y1921" s="86"/>
      <c r="Z1921" s="85" t="e">
        <f t="shared" si="212"/>
        <v>#VALUE!</v>
      </c>
      <c r="AA1921" s="115" t="s">
        <v>29</v>
      </c>
      <c r="AB1921" s="115" t="s">
        <v>29</v>
      </c>
    </row>
    <row r="1922" spans="1:28" x14ac:dyDescent="0.3">
      <c r="A1922" s="117">
        <v>84</v>
      </c>
      <c r="B1922" s="68" t="s">
        <v>786</v>
      </c>
      <c r="E1922" s="85">
        <f>280214196.17/1000</f>
        <v>280214.19617000001</v>
      </c>
      <c r="F1922" s="85">
        <f t="shared" ref="F1922:Q1922" si="215">SUM(F1902:F1921)</f>
        <v>70178.898929999996</v>
      </c>
      <c r="G1922" s="85">
        <f t="shared" si="215"/>
        <v>11165.974699999999</v>
      </c>
      <c r="H1922" s="85">
        <f>264615966.56/1000</f>
        <v>264615.96656000003</v>
      </c>
      <c r="I1922" s="85">
        <f t="shared" si="215"/>
        <v>0</v>
      </c>
      <c r="J1922" s="85">
        <f t="shared" si="215"/>
        <v>70178.898929999996</v>
      </c>
      <c r="K1922" s="85">
        <f t="shared" si="215"/>
        <v>15598.229609999999</v>
      </c>
      <c r="L1922" s="85">
        <f t="shared" si="215"/>
        <v>0</v>
      </c>
      <c r="M1922" s="85">
        <f t="shared" si="215"/>
        <v>81344.873630000002</v>
      </c>
      <c r="N1922" s="85">
        <f t="shared" si="215"/>
        <v>15598.229609999999</v>
      </c>
      <c r="O1922" s="85">
        <f t="shared" si="215"/>
        <v>0</v>
      </c>
      <c r="P1922" s="85">
        <f>15598229/1000</f>
        <v>15598.228999999999</v>
      </c>
      <c r="Q1922" s="85">
        <f t="shared" si="215"/>
        <v>59652.493950000004</v>
      </c>
      <c r="R1922" s="86"/>
      <c r="S1922" s="86"/>
      <c r="T1922" s="85">
        <f t="shared" ref="T1922:Y1922" si="216">SUM(T1902:T1921)</f>
        <v>0</v>
      </c>
      <c r="U1922" s="85">
        <f t="shared" si="216"/>
        <v>15598.229609999999</v>
      </c>
      <c r="V1922" s="85">
        <f t="shared" si="216"/>
        <v>0</v>
      </c>
      <c r="W1922" s="85">
        <f t="shared" si="216"/>
        <v>0</v>
      </c>
      <c r="X1922" s="85">
        <f>+H1922+P1922</f>
        <v>280214.19556000002</v>
      </c>
      <c r="Y1922" s="85">
        <f t="shared" si="216"/>
        <v>0</v>
      </c>
      <c r="Z1922" s="85">
        <f t="shared" si="212"/>
        <v>6.0999998822808266E-4</v>
      </c>
      <c r="AA1922" s="69">
        <f>SUM(AA1902:AA1921)</f>
        <v>96943.103239999997</v>
      </c>
      <c r="AB1922" s="69">
        <f>SUM(AB1902:AB1921)</f>
        <v>0</v>
      </c>
    </row>
    <row r="1923" spans="1:28" hidden="1" x14ac:dyDescent="0.3">
      <c r="A1923" s="117"/>
      <c r="E1923" s="86" t="s">
        <v>29</v>
      </c>
      <c r="F1923" s="86" t="s">
        <v>29</v>
      </c>
      <c r="G1923" s="86" t="s">
        <v>29</v>
      </c>
      <c r="H1923" s="86" t="s">
        <v>29</v>
      </c>
      <c r="I1923" s="86" t="s">
        <v>29</v>
      </c>
      <c r="J1923" s="86" t="s">
        <v>29</v>
      </c>
      <c r="K1923" s="86" t="s">
        <v>29</v>
      </c>
      <c r="L1923" s="86" t="s">
        <v>29</v>
      </c>
      <c r="M1923" s="86" t="s">
        <v>29</v>
      </c>
      <c r="N1923" s="86" t="s">
        <v>29</v>
      </c>
      <c r="O1923" s="86" t="s">
        <v>29</v>
      </c>
      <c r="P1923" s="86" t="s">
        <v>29</v>
      </c>
      <c r="Q1923" s="86" t="s">
        <v>29</v>
      </c>
      <c r="R1923" s="86"/>
      <c r="S1923" s="86"/>
      <c r="T1923" s="86"/>
      <c r="U1923" s="86" t="s">
        <v>29</v>
      </c>
      <c r="V1923" s="86"/>
      <c r="W1923" s="86"/>
      <c r="X1923" s="85" t="e">
        <f t="shared" si="211"/>
        <v>#VALUE!</v>
      </c>
      <c r="Y1923" s="86"/>
      <c r="Z1923" s="85" t="e">
        <f t="shared" si="212"/>
        <v>#VALUE!</v>
      </c>
      <c r="AA1923" s="115" t="s">
        <v>29</v>
      </c>
      <c r="AB1923" s="115" t="s">
        <v>29</v>
      </c>
    </row>
    <row r="1924" spans="1:28" hidden="1" x14ac:dyDescent="0.3">
      <c r="A1924" s="105"/>
      <c r="E1924" s="84"/>
      <c r="F1924" s="84"/>
      <c r="G1924" s="84"/>
      <c r="H1924" s="84"/>
      <c r="I1924" s="84"/>
      <c r="J1924" s="84"/>
      <c r="K1924" s="84"/>
      <c r="L1924" s="84"/>
      <c r="M1924" s="84"/>
      <c r="N1924" s="84"/>
      <c r="O1924" s="84"/>
      <c r="P1924" s="84"/>
      <c r="Q1924" s="84"/>
      <c r="R1924" s="86"/>
      <c r="S1924" s="86"/>
      <c r="T1924" s="86"/>
      <c r="U1924" s="86"/>
      <c r="V1924" s="86"/>
      <c r="W1924" s="86"/>
      <c r="X1924" s="85">
        <f t="shared" si="211"/>
        <v>0</v>
      </c>
      <c r="Y1924" s="86"/>
      <c r="Z1924" s="85">
        <f t="shared" si="212"/>
        <v>0</v>
      </c>
    </row>
    <row r="1925" spans="1:28" hidden="1" x14ac:dyDescent="0.3">
      <c r="A1925" s="117"/>
      <c r="C1925" s="68" t="s">
        <v>535</v>
      </c>
      <c r="D1925" s="87" t="s">
        <v>150</v>
      </c>
      <c r="E1925" s="85">
        <f>STATS1003B!E1929/1000</f>
        <v>9493.8161999999993</v>
      </c>
      <c r="F1925" s="85">
        <f>STATS1003B!F1929/1000</f>
        <v>8323.8746900000006</v>
      </c>
      <c r="G1925" s="85">
        <f>STATS1003B!G1929/1000</f>
        <v>0</v>
      </c>
      <c r="H1925" s="85">
        <f>STATS1003B!H1929/1000</f>
        <v>8323.8746900000006</v>
      </c>
      <c r="I1925" s="85">
        <f>STATS1003B!I1929/1000</f>
        <v>0</v>
      </c>
      <c r="J1925" s="85">
        <f>STATS1003B!J1929/1000</f>
        <v>8323.8746900000006</v>
      </c>
      <c r="K1925" s="85">
        <f>STATS1003B!K1929/1000</f>
        <v>1169.9415100000001</v>
      </c>
      <c r="L1925" s="85">
        <f>STATS1003B!L1929/1000</f>
        <v>0</v>
      </c>
      <c r="M1925" s="85">
        <f>STATS1003B!M1929/1000</f>
        <v>8323.8746900000006</v>
      </c>
      <c r="N1925" s="85">
        <f>STATS1003B!N1929/1000</f>
        <v>1169.9415100000001</v>
      </c>
      <c r="O1925" s="85">
        <f>STATS1003B!O1929/1000</f>
        <v>0</v>
      </c>
      <c r="P1925" s="85">
        <f>STATS1003B!P1929/1000</f>
        <v>1169.9415100000001</v>
      </c>
      <c r="Q1925" s="85">
        <f>STATS1003B!Q1929/1000</f>
        <v>8323.8746899999987</v>
      </c>
      <c r="R1925" s="85">
        <f>STATS1003B!R1929/1000</f>
        <v>0</v>
      </c>
      <c r="S1925" s="85">
        <f>STATS1003B!S1929/1000</f>
        <v>0</v>
      </c>
      <c r="T1925" s="85">
        <f>STATS1003B!T1929/1000</f>
        <v>0</v>
      </c>
      <c r="U1925" s="85">
        <f>STATS1003B!U1929/1000</f>
        <v>1169.9415100000001</v>
      </c>
      <c r="V1925" s="85">
        <f>STATS1003B!V1929/1000</f>
        <v>0</v>
      </c>
      <c r="W1925" s="85">
        <f>STATS1003B!W1929/1000</f>
        <v>0</v>
      </c>
      <c r="X1925" s="85">
        <f t="shared" si="211"/>
        <v>9493.8162000000011</v>
      </c>
      <c r="Y1925" s="85">
        <f>STATS1003B!Y1929/1000</f>
        <v>0</v>
      </c>
      <c r="Z1925" s="85">
        <f t="shared" si="212"/>
        <v>0</v>
      </c>
      <c r="AA1925" s="69">
        <f>STATS1003B!AA1929/1000</f>
        <v>9493.8162000000011</v>
      </c>
      <c r="AB1925" s="69">
        <f>STATS1003B!AB1929/1000</f>
        <v>0</v>
      </c>
    </row>
    <row r="1926" spans="1:28" hidden="1" x14ac:dyDescent="0.3">
      <c r="A1926" s="117"/>
      <c r="C1926" s="68" t="s">
        <v>789</v>
      </c>
      <c r="D1926" s="87" t="s">
        <v>150</v>
      </c>
      <c r="E1926" s="85">
        <f>STATS1003B!E1930/1000</f>
        <v>5895</v>
      </c>
      <c r="F1926" s="85">
        <f>STATS1003B!F1930/1000</f>
        <v>5895</v>
      </c>
      <c r="G1926" s="85">
        <f>STATS1003B!G1930/1000</f>
        <v>0</v>
      </c>
      <c r="H1926" s="85">
        <f>STATS1003B!H1930/1000</f>
        <v>5895</v>
      </c>
      <c r="I1926" s="85">
        <f>STATS1003B!I1930/1000</f>
        <v>0</v>
      </c>
      <c r="J1926" s="85">
        <f>STATS1003B!J1930/1000</f>
        <v>5895</v>
      </c>
      <c r="K1926" s="85">
        <f>STATS1003B!K1930/1000</f>
        <v>0</v>
      </c>
      <c r="L1926" s="85">
        <f>STATS1003B!L1930/1000</f>
        <v>0</v>
      </c>
      <c r="M1926" s="85">
        <f>STATS1003B!M1930/1000</f>
        <v>5895</v>
      </c>
      <c r="N1926" s="85">
        <f>STATS1003B!N1930/1000</f>
        <v>0</v>
      </c>
      <c r="O1926" s="85">
        <f>STATS1003B!O1930/1000</f>
        <v>0</v>
      </c>
      <c r="P1926" s="85">
        <f>STATS1003B!P1930/1000</f>
        <v>0</v>
      </c>
      <c r="Q1926" s="85">
        <f>STATS1003B!Q1930/1000</f>
        <v>5895</v>
      </c>
      <c r="R1926" s="85">
        <f>STATS1003B!R1930/1000</f>
        <v>0</v>
      </c>
      <c r="S1926" s="85">
        <f>STATS1003B!S1930/1000</f>
        <v>0</v>
      </c>
      <c r="T1926" s="85">
        <f>STATS1003B!T1930/1000</f>
        <v>0</v>
      </c>
      <c r="U1926" s="85">
        <f>STATS1003B!U1930/1000</f>
        <v>0</v>
      </c>
      <c r="V1926" s="85">
        <f>STATS1003B!V1930/1000</f>
        <v>0</v>
      </c>
      <c r="W1926" s="85">
        <f>STATS1003B!W1930/1000</f>
        <v>0</v>
      </c>
      <c r="X1926" s="85">
        <f t="shared" si="211"/>
        <v>5895</v>
      </c>
      <c r="Y1926" s="85">
        <f>STATS1003B!Y1930/1000</f>
        <v>0</v>
      </c>
      <c r="Z1926" s="85">
        <f t="shared" si="212"/>
        <v>0</v>
      </c>
      <c r="AA1926" s="69">
        <f>STATS1003B!AA1930/1000</f>
        <v>5895</v>
      </c>
      <c r="AB1926" s="69">
        <f>STATS1003B!AB1930/1000</f>
        <v>0</v>
      </c>
    </row>
    <row r="1927" spans="1:28" hidden="1" x14ac:dyDescent="0.3">
      <c r="A1927" s="117"/>
      <c r="C1927" s="68" t="s">
        <v>790</v>
      </c>
      <c r="D1927" s="87" t="s">
        <v>166</v>
      </c>
      <c r="E1927" s="85">
        <f>STATS1003B!E1931/1000</f>
        <v>4651</v>
      </c>
      <c r="F1927" s="85">
        <f>STATS1003B!F1931/1000</f>
        <v>4651</v>
      </c>
      <c r="G1927" s="85">
        <f>STATS1003B!G1931/1000</f>
        <v>0</v>
      </c>
      <c r="H1927" s="85">
        <f>STATS1003B!H1931/1000</f>
        <v>4651</v>
      </c>
      <c r="I1927" s="85">
        <f>STATS1003B!I1931/1000</f>
        <v>0</v>
      </c>
      <c r="J1927" s="85">
        <f>STATS1003B!J1931/1000</f>
        <v>4651</v>
      </c>
      <c r="K1927" s="85">
        <f>STATS1003B!K1931/1000</f>
        <v>0</v>
      </c>
      <c r="L1927" s="85">
        <f>STATS1003B!L1931/1000</f>
        <v>0</v>
      </c>
      <c r="M1927" s="85">
        <f>STATS1003B!M1931/1000</f>
        <v>4651</v>
      </c>
      <c r="N1927" s="85">
        <f>STATS1003B!N1931/1000</f>
        <v>0</v>
      </c>
      <c r="O1927" s="85">
        <f>STATS1003B!O1931/1000</f>
        <v>0</v>
      </c>
      <c r="P1927" s="85">
        <f>STATS1003B!P1931/1000</f>
        <v>0</v>
      </c>
      <c r="Q1927" s="85">
        <f>STATS1003B!Q1931/1000</f>
        <v>4651</v>
      </c>
      <c r="R1927" s="85">
        <f>STATS1003B!R1931/1000</f>
        <v>0</v>
      </c>
      <c r="S1927" s="85">
        <f>STATS1003B!S1931/1000</f>
        <v>0</v>
      </c>
      <c r="T1927" s="85">
        <f>STATS1003B!T1931/1000</f>
        <v>0</v>
      </c>
      <c r="U1927" s="85">
        <f>STATS1003B!U1931/1000</f>
        <v>0</v>
      </c>
      <c r="V1927" s="85">
        <f>STATS1003B!V1931/1000</f>
        <v>0</v>
      </c>
      <c r="W1927" s="85">
        <f>STATS1003B!W1931/1000</f>
        <v>0</v>
      </c>
      <c r="X1927" s="85">
        <f t="shared" si="211"/>
        <v>4651</v>
      </c>
      <c r="Y1927" s="85">
        <f>STATS1003B!Y1931/1000</f>
        <v>0</v>
      </c>
      <c r="Z1927" s="85">
        <f t="shared" si="212"/>
        <v>0</v>
      </c>
      <c r="AA1927" s="69">
        <f>STATS1003B!AA1931/1000</f>
        <v>4651</v>
      </c>
      <c r="AB1927" s="69">
        <f>STATS1003B!AB1931/1000</f>
        <v>0</v>
      </c>
    </row>
    <row r="1928" spans="1:28" hidden="1" x14ac:dyDescent="0.3">
      <c r="A1928" s="117"/>
      <c r="C1928" s="68" t="s">
        <v>791</v>
      </c>
      <c r="D1928" s="87" t="s">
        <v>166</v>
      </c>
      <c r="E1928" s="85">
        <f>STATS1003B!E1932/1000</f>
        <v>4195.6875499999996</v>
      </c>
      <c r="F1928" s="85">
        <f>STATS1003B!F1932/1000</f>
        <v>4195.6875499999996</v>
      </c>
      <c r="G1928" s="85">
        <f>STATS1003B!G1932/1000</f>
        <v>0</v>
      </c>
      <c r="H1928" s="85">
        <f>STATS1003B!H1932/1000</f>
        <v>4195.6875499999996</v>
      </c>
      <c r="I1928" s="85">
        <f>STATS1003B!I1932/1000</f>
        <v>0</v>
      </c>
      <c r="J1928" s="85">
        <f>STATS1003B!J1932/1000</f>
        <v>4195.6875499999996</v>
      </c>
      <c r="K1928" s="85">
        <f>STATS1003B!K1932/1000</f>
        <v>0</v>
      </c>
      <c r="L1928" s="85">
        <f>STATS1003B!L1932/1000</f>
        <v>0</v>
      </c>
      <c r="M1928" s="85">
        <f>STATS1003B!M1932/1000</f>
        <v>4195.6875499999996</v>
      </c>
      <c r="N1928" s="85">
        <f>STATS1003B!N1932/1000</f>
        <v>0</v>
      </c>
      <c r="O1928" s="85">
        <f>STATS1003B!O1932/1000</f>
        <v>0</v>
      </c>
      <c r="P1928" s="85">
        <f>STATS1003B!P1932/1000</f>
        <v>0</v>
      </c>
      <c r="Q1928" s="85">
        <f>STATS1003B!Q1932/1000</f>
        <v>4195.6875499999996</v>
      </c>
      <c r="R1928" s="85">
        <f>STATS1003B!R1932/1000</f>
        <v>0</v>
      </c>
      <c r="S1928" s="85">
        <f>STATS1003B!S1932/1000</f>
        <v>0</v>
      </c>
      <c r="T1928" s="85">
        <f>STATS1003B!T1932/1000</f>
        <v>0</v>
      </c>
      <c r="U1928" s="85">
        <f>STATS1003B!U1932/1000</f>
        <v>0</v>
      </c>
      <c r="V1928" s="85">
        <f>STATS1003B!V1932/1000</f>
        <v>0</v>
      </c>
      <c r="W1928" s="85">
        <f>STATS1003B!W1932/1000</f>
        <v>0</v>
      </c>
      <c r="X1928" s="85">
        <f t="shared" si="211"/>
        <v>4195.6875499999996</v>
      </c>
      <c r="Y1928" s="85">
        <f>STATS1003B!Y1932/1000</f>
        <v>0</v>
      </c>
      <c r="Z1928" s="85">
        <f t="shared" si="212"/>
        <v>0</v>
      </c>
      <c r="AA1928" s="69">
        <f>STATS1003B!AA1932/1000</f>
        <v>4195.6875499999996</v>
      </c>
      <c r="AB1928" s="69">
        <f>STATS1003B!AB1932/1000</f>
        <v>0</v>
      </c>
    </row>
    <row r="1929" spans="1:28" hidden="1" x14ac:dyDescent="0.3">
      <c r="A1929" s="117"/>
      <c r="C1929" s="68" t="s">
        <v>792</v>
      </c>
      <c r="D1929" s="87" t="s">
        <v>166</v>
      </c>
      <c r="E1929" s="85">
        <f>STATS1003B!E1933/1000</f>
        <v>1969.7159999999999</v>
      </c>
      <c r="F1929" s="85">
        <f>STATS1003B!F1933/1000</f>
        <v>1969.7159999999999</v>
      </c>
      <c r="G1929" s="85">
        <f>STATS1003B!G1933/1000</f>
        <v>0</v>
      </c>
      <c r="H1929" s="85">
        <f>STATS1003B!H1933/1000</f>
        <v>1969.7159999999999</v>
      </c>
      <c r="I1929" s="85">
        <f>STATS1003B!I1933/1000</f>
        <v>0</v>
      </c>
      <c r="J1929" s="85">
        <f>STATS1003B!J1933/1000</f>
        <v>1969.7159999999999</v>
      </c>
      <c r="K1929" s="85">
        <f>STATS1003B!K1933/1000</f>
        <v>0</v>
      </c>
      <c r="L1929" s="85">
        <f>STATS1003B!L1933/1000</f>
        <v>0</v>
      </c>
      <c r="M1929" s="85">
        <f>STATS1003B!M1933/1000</f>
        <v>1969.7159999999999</v>
      </c>
      <c r="N1929" s="85">
        <f>STATS1003B!N1933/1000</f>
        <v>0</v>
      </c>
      <c r="O1929" s="85">
        <f>STATS1003B!O1933/1000</f>
        <v>0</v>
      </c>
      <c r="P1929" s="85">
        <f>STATS1003B!P1933/1000</f>
        <v>0</v>
      </c>
      <c r="Q1929" s="85">
        <f>STATS1003B!Q1933/1000</f>
        <v>1969.7159999999999</v>
      </c>
      <c r="R1929" s="85">
        <f>STATS1003B!R1933/1000</f>
        <v>0</v>
      </c>
      <c r="S1929" s="85">
        <f>STATS1003B!S1933/1000</f>
        <v>0</v>
      </c>
      <c r="T1929" s="85">
        <f>STATS1003B!T1933/1000</f>
        <v>0</v>
      </c>
      <c r="U1929" s="85">
        <f>STATS1003B!U1933/1000</f>
        <v>0</v>
      </c>
      <c r="V1929" s="85">
        <f>STATS1003B!V1933/1000</f>
        <v>0</v>
      </c>
      <c r="W1929" s="85">
        <f>STATS1003B!W1933/1000</f>
        <v>0</v>
      </c>
      <c r="X1929" s="85">
        <f t="shared" si="211"/>
        <v>1969.7159999999999</v>
      </c>
      <c r="Y1929" s="85">
        <f>STATS1003B!Y1933/1000</f>
        <v>0</v>
      </c>
      <c r="Z1929" s="85">
        <f t="shared" si="212"/>
        <v>0</v>
      </c>
      <c r="AA1929" s="69">
        <f>STATS1003B!AA1933/1000</f>
        <v>1969.7159999999999</v>
      </c>
      <c r="AB1929" s="69">
        <f>STATS1003B!AB1933/1000</f>
        <v>0</v>
      </c>
    </row>
    <row r="1930" spans="1:28" hidden="1" x14ac:dyDescent="0.3">
      <c r="A1930" s="117"/>
      <c r="C1930" s="68" t="s">
        <v>777</v>
      </c>
      <c r="D1930" s="87" t="s">
        <v>78</v>
      </c>
      <c r="E1930" s="85">
        <f>STATS1003B!E1934/1000</f>
        <v>752.32100000000003</v>
      </c>
      <c r="F1930" s="85">
        <f>STATS1003B!F1934/1000</f>
        <v>752.32100000000003</v>
      </c>
      <c r="G1930" s="85">
        <f>STATS1003B!G1934/1000</f>
        <v>0</v>
      </c>
      <c r="H1930" s="85">
        <f>STATS1003B!H1934/1000</f>
        <v>752.32100000000003</v>
      </c>
      <c r="I1930" s="85">
        <f>STATS1003B!I1934/1000</f>
        <v>0</v>
      </c>
      <c r="J1930" s="85">
        <f>STATS1003B!J1934/1000</f>
        <v>752.32100000000003</v>
      </c>
      <c r="K1930" s="85">
        <f>STATS1003B!K1934/1000</f>
        <v>0</v>
      </c>
      <c r="L1930" s="85">
        <f>STATS1003B!L1934/1000</f>
        <v>0</v>
      </c>
      <c r="M1930" s="85">
        <f>STATS1003B!M1934/1000</f>
        <v>752.32100000000003</v>
      </c>
      <c r="N1930" s="85">
        <f>STATS1003B!N1934/1000</f>
        <v>0</v>
      </c>
      <c r="O1930" s="85">
        <f>STATS1003B!O1934/1000</f>
        <v>0</v>
      </c>
      <c r="P1930" s="85">
        <f>STATS1003B!P1934/1000</f>
        <v>0</v>
      </c>
      <c r="Q1930" s="85">
        <f>STATS1003B!Q1934/1000</f>
        <v>752.32100000000003</v>
      </c>
      <c r="R1930" s="85">
        <f>STATS1003B!R1934/1000</f>
        <v>0</v>
      </c>
      <c r="S1930" s="85">
        <f>STATS1003B!S1934/1000</f>
        <v>0</v>
      </c>
      <c r="T1930" s="85">
        <f>STATS1003B!T1934/1000</f>
        <v>0</v>
      </c>
      <c r="U1930" s="85">
        <f>STATS1003B!U1934/1000</f>
        <v>0</v>
      </c>
      <c r="V1930" s="85">
        <f>STATS1003B!V1934/1000</f>
        <v>0</v>
      </c>
      <c r="W1930" s="85">
        <f>STATS1003B!W1934/1000</f>
        <v>0</v>
      </c>
      <c r="X1930" s="85">
        <f t="shared" si="211"/>
        <v>752.32100000000003</v>
      </c>
      <c r="Y1930" s="85">
        <f>STATS1003B!Y1934/1000</f>
        <v>0</v>
      </c>
      <c r="Z1930" s="85">
        <f t="shared" si="212"/>
        <v>0</v>
      </c>
      <c r="AA1930" s="69">
        <f>STATS1003B!AA1934/1000</f>
        <v>752.32100000000003</v>
      </c>
      <c r="AB1930" s="69">
        <f>STATS1003B!AB1934/1000</f>
        <v>0</v>
      </c>
    </row>
    <row r="1931" spans="1:28" hidden="1" x14ac:dyDescent="0.3">
      <c r="A1931" s="117"/>
      <c r="C1931" s="68" t="s">
        <v>793</v>
      </c>
      <c r="D1931" s="87" t="s">
        <v>78</v>
      </c>
      <c r="E1931" s="85">
        <f>STATS1003B!E1935/1000</f>
        <v>2295.8792999999996</v>
      </c>
      <c r="F1931" s="85">
        <f>STATS1003B!F1935/1000</f>
        <v>1644.2449999999999</v>
      </c>
      <c r="G1931" s="85">
        <f>STATS1003B!G1935/1000</f>
        <v>0</v>
      </c>
      <c r="H1931" s="85">
        <f>STATS1003B!H1935/1000</f>
        <v>1644.2449999999999</v>
      </c>
      <c r="I1931" s="85">
        <f>STATS1003B!I1935/1000</f>
        <v>0</v>
      </c>
      <c r="J1931" s="85">
        <f>STATS1003B!J1935/1000</f>
        <v>1644.2449999999999</v>
      </c>
      <c r="K1931" s="85">
        <f>STATS1003B!K1935/1000</f>
        <v>651.63430000000005</v>
      </c>
      <c r="L1931" s="85">
        <f>STATS1003B!L1935/1000</f>
        <v>0</v>
      </c>
      <c r="M1931" s="85">
        <f>STATS1003B!M1935/1000</f>
        <v>1644.2449999999999</v>
      </c>
      <c r="N1931" s="85">
        <f>STATS1003B!N1935/1000</f>
        <v>651.63430000000005</v>
      </c>
      <c r="O1931" s="85">
        <f>STATS1003B!O1935/1000</f>
        <v>0</v>
      </c>
      <c r="P1931" s="85">
        <f>STATS1003B!P1935/1000</f>
        <v>651.63430000000005</v>
      </c>
      <c r="Q1931" s="85">
        <f>STATS1003B!Q1935/1000</f>
        <v>1644.2449999999997</v>
      </c>
      <c r="R1931" s="85">
        <f>STATS1003B!R1935/1000</f>
        <v>0</v>
      </c>
      <c r="S1931" s="85">
        <f>STATS1003B!S1935/1000</f>
        <v>0</v>
      </c>
      <c r="T1931" s="85">
        <f>STATS1003B!T1935/1000</f>
        <v>0</v>
      </c>
      <c r="U1931" s="85">
        <f>STATS1003B!U1935/1000</f>
        <v>651.63430000000005</v>
      </c>
      <c r="V1931" s="85">
        <f>STATS1003B!V1935/1000</f>
        <v>0</v>
      </c>
      <c r="W1931" s="85">
        <f>STATS1003B!W1935/1000</f>
        <v>0</v>
      </c>
      <c r="X1931" s="85">
        <f t="shared" si="211"/>
        <v>2295.8793000000001</v>
      </c>
      <c r="Y1931" s="85">
        <f>STATS1003B!Y1935/1000</f>
        <v>0</v>
      </c>
      <c r="Z1931" s="85">
        <f t="shared" si="212"/>
        <v>0</v>
      </c>
      <c r="AA1931" s="69">
        <f>STATS1003B!AA1935/1000</f>
        <v>2295.8792999999996</v>
      </c>
      <c r="AB1931" s="69">
        <f>STATS1003B!AB1935/1000</f>
        <v>0</v>
      </c>
    </row>
    <row r="1932" spans="1:28" hidden="1" x14ac:dyDescent="0.3">
      <c r="A1932" s="117"/>
      <c r="C1932" s="68" t="s">
        <v>535</v>
      </c>
      <c r="D1932" s="87" t="s">
        <v>68</v>
      </c>
      <c r="E1932" s="85">
        <f>STATS1003B!E1936/1000</f>
        <v>2576.2080599999999</v>
      </c>
      <c r="F1932" s="85">
        <f>STATS1003B!F1936/1000</f>
        <v>429.03070000000002</v>
      </c>
      <c r="G1932" s="85">
        <f>STATS1003B!G1936/1000</f>
        <v>0</v>
      </c>
      <c r="H1932" s="85">
        <f>STATS1003B!H1936/1000</f>
        <v>429.03070000000002</v>
      </c>
      <c r="I1932" s="85">
        <f>STATS1003B!I1936/1000</f>
        <v>0</v>
      </c>
      <c r="J1932" s="85">
        <f>STATS1003B!J1936/1000</f>
        <v>429.03070000000002</v>
      </c>
      <c r="K1932" s="85">
        <f>STATS1003B!K1936/1000</f>
        <v>2147.1773599999997</v>
      </c>
      <c r="L1932" s="85">
        <f>STATS1003B!L1936/1000</f>
        <v>0</v>
      </c>
      <c r="M1932" s="85">
        <f>STATS1003B!M1936/1000</f>
        <v>429.03070000000002</v>
      </c>
      <c r="N1932" s="85">
        <f>STATS1003B!N1936/1000</f>
        <v>2147.1773599999997</v>
      </c>
      <c r="O1932" s="85">
        <f>STATS1003B!O1936/1000</f>
        <v>0</v>
      </c>
      <c r="P1932" s="85">
        <f>STATS1003B!P1936/1000</f>
        <v>2147.1773599999997</v>
      </c>
      <c r="Q1932" s="85">
        <f>STATS1003B!Q1936/1000</f>
        <v>429.03070000000019</v>
      </c>
      <c r="R1932" s="85">
        <f>STATS1003B!R1936/1000</f>
        <v>0</v>
      </c>
      <c r="S1932" s="85">
        <f>STATS1003B!S1936/1000</f>
        <v>0</v>
      </c>
      <c r="T1932" s="85">
        <f>STATS1003B!T1936/1000</f>
        <v>0</v>
      </c>
      <c r="U1932" s="85">
        <f>STATS1003B!U1936/1000</f>
        <v>2147.1773599999997</v>
      </c>
      <c r="V1932" s="85">
        <f>STATS1003B!V1936/1000</f>
        <v>0</v>
      </c>
      <c r="W1932" s="85">
        <f>STATS1003B!W1936/1000</f>
        <v>0</v>
      </c>
      <c r="X1932" s="85">
        <f t="shared" si="211"/>
        <v>2576.2080599999999</v>
      </c>
      <c r="Y1932" s="85">
        <f>STATS1003B!Y1936/1000</f>
        <v>0</v>
      </c>
      <c r="Z1932" s="85">
        <f t="shared" si="212"/>
        <v>0</v>
      </c>
      <c r="AA1932" s="69">
        <f>STATS1003B!AA1936/1000</f>
        <v>2576.2080599999999</v>
      </c>
      <c r="AB1932" s="69">
        <f>STATS1003B!AB1936/1000</f>
        <v>0</v>
      </c>
    </row>
    <row r="1933" spans="1:28" hidden="1" x14ac:dyDescent="0.3">
      <c r="A1933" s="117"/>
      <c r="C1933" s="68" t="s">
        <v>539</v>
      </c>
      <c r="D1933" s="87" t="s">
        <v>68</v>
      </c>
      <c r="E1933" s="85">
        <f>STATS1003B!E1937/1000</f>
        <v>571.58981000000006</v>
      </c>
      <c r="F1933" s="85">
        <f>STATS1003B!F1937/1000</f>
        <v>0</v>
      </c>
      <c r="G1933" s="85">
        <f>STATS1003B!G1937/1000</f>
        <v>0</v>
      </c>
      <c r="H1933" s="85">
        <f>STATS1003B!H1937/1000</f>
        <v>0</v>
      </c>
      <c r="I1933" s="85">
        <f>STATS1003B!I1937/1000</f>
        <v>0</v>
      </c>
      <c r="J1933" s="85">
        <f>STATS1003B!J1937/1000</f>
        <v>0</v>
      </c>
      <c r="K1933" s="85">
        <f>STATS1003B!K1937/1000</f>
        <v>571.58981000000006</v>
      </c>
      <c r="L1933" s="85">
        <f>STATS1003B!L1937/1000</f>
        <v>0</v>
      </c>
      <c r="M1933" s="85">
        <f>STATS1003B!M1937/1000</f>
        <v>0</v>
      </c>
      <c r="N1933" s="85">
        <f>STATS1003B!N1937/1000</f>
        <v>571.58981000000006</v>
      </c>
      <c r="O1933" s="85">
        <f>STATS1003B!O1937/1000</f>
        <v>0</v>
      </c>
      <c r="P1933" s="85">
        <f>STATS1003B!P1937/1000</f>
        <v>571.58981000000006</v>
      </c>
      <c r="Q1933" s="85">
        <f>STATS1003B!Q1937/1000</f>
        <v>0</v>
      </c>
      <c r="R1933" s="85">
        <f>STATS1003B!R1937/1000</f>
        <v>0</v>
      </c>
      <c r="S1933" s="85">
        <f>STATS1003B!S1937/1000</f>
        <v>0</v>
      </c>
      <c r="T1933" s="85">
        <f>STATS1003B!T1937/1000</f>
        <v>0</v>
      </c>
      <c r="U1933" s="85">
        <f>STATS1003B!U1937/1000</f>
        <v>571.58981000000006</v>
      </c>
      <c r="V1933" s="85">
        <f>STATS1003B!V1937/1000</f>
        <v>0</v>
      </c>
      <c r="W1933" s="85">
        <f>STATS1003B!W1937/1000</f>
        <v>0</v>
      </c>
      <c r="X1933" s="85">
        <f t="shared" si="211"/>
        <v>571.58981000000006</v>
      </c>
      <c r="Y1933" s="85">
        <f>STATS1003B!Y1937/1000</f>
        <v>0</v>
      </c>
      <c r="Z1933" s="85">
        <f t="shared" si="212"/>
        <v>0</v>
      </c>
      <c r="AA1933" s="69">
        <f>STATS1003B!AA1937/1000</f>
        <v>571.58981000000006</v>
      </c>
      <c r="AB1933" s="69">
        <f>STATS1003B!AB1937/1000</f>
        <v>0</v>
      </c>
    </row>
    <row r="1934" spans="1:28" hidden="1" x14ac:dyDescent="0.3">
      <c r="A1934" s="117"/>
      <c r="C1934" s="68" t="s">
        <v>545</v>
      </c>
      <c r="D1934" s="87" t="s">
        <v>54</v>
      </c>
      <c r="E1934" s="85">
        <f>STATS1003B!E1938/1000</f>
        <v>1767.77</v>
      </c>
      <c r="F1934" s="85">
        <f>STATS1003B!F1938/1000</f>
        <v>0</v>
      </c>
      <c r="G1934" s="85">
        <f>STATS1003B!G1938/1000</f>
        <v>0</v>
      </c>
      <c r="H1934" s="85">
        <f>STATS1003B!H1938/1000</f>
        <v>0</v>
      </c>
      <c r="I1934" s="85">
        <f>STATS1003B!I1938/1000</f>
        <v>0</v>
      </c>
      <c r="J1934" s="85">
        <f>STATS1003B!J1938/1000</f>
        <v>0</v>
      </c>
      <c r="K1934" s="85">
        <f>STATS1003B!K1938/1000</f>
        <v>1767.77</v>
      </c>
      <c r="L1934" s="85">
        <f>STATS1003B!L1938/1000</f>
        <v>0</v>
      </c>
      <c r="M1934" s="85">
        <f>STATS1003B!M1938/1000</f>
        <v>0</v>
      </c>
      <c r="N1934" s="85">
        <f>STATS1003B!N1938/1000</f>
        <v>1767.77</v>
      </c>
      <c r="O1934" s="85">
        <f>STATS1003B!O1938/1000</f>
        <v>0</v>
      </c>
      <c r="P1934" s="85">
        <f>STATS1003B!P1938/1000</f>
        <v>1767.77</v>
      </c>
      <c r="Q1934" s="85">
        <f>STATS1003B!Q1938/1000</f>
        <v>0</v>
      </c>
      <c r="R1934" s="85">
        <f>STATS1003B!R1938/1000</f>
        <v>0</v>
      </c>
      <c r="S1934" s="85">
        <f>STATS1003B!S1938/1000</f>
        <v>0</v>
      </c>
      <c r="T1934" s="85">
        <f>STATS1003B!T1938/1000</f>
        <v>0</v>
      </c>
      <c r="U1934" s="85">
        <f>STATS1003B!U1938/1000</f>
        <v>1767.77</v>
      </c>
      <c r="V1934" s="85">
        <f>STATS1003B!V1938/1000</f>
        <v>0</v>
      </c>
      <c r="W1934" s="85">
        <f>STATS1003B!W1938/1000</f>
        <v>0</v>
      </c>
      <c r="X1934" s="85">
        <f t="shared" si="211"/>
        <v>1767.77</v>
      </c>
      <c r="Y1934" s="85">
        <f>STATS1003B!Y1938/1000</f>
        <v>0</v>
      </c>
      <c r="Z1934" s="85">
        <f t="shared" si="212"/>
        <v>0</v>
      </c>
      <c r="AA1934" s="69">
        <f>STATS1003B!AA1938/1000</f>
        <v>1767.77</v>
      </c>
      <c r="AB1934" s="69">
        <f>STATS1003B!AB1938/1000</f>
        <v>0</v>
      </c>
    </row>
    <row r="1935" spans="1:28" hidden="1" x14ac:dyDescent="0.3">
      <c r="A1935" s="117"/>
      <c r="C1935" s="68" t="s">
        <v>794</v>
      </c>
      <c r="D1935" s="87" t="s">
        <v>54</v>
      </c>
      <c r="E1935" s="85">
        <f>STATS1003B!E1939/1000</f>
        <v>690.09758999999985</v>
      </c>
      <c r="F1935" s="85">
        <f>STATS1003B!F1939/1000</f>
        <v>690.09758999999997</v>
      </c>
      <c r="G1935" s="85">
        <f>STATS1003B!G1939/1000</f>
        <v>0</v>
      </c>
      <c r="H1935" s="85">
        <f>STATS1003B!H1939/1000</f>
        <v>690.09758999999997</v>
      </c>
      <c r="I1935" s="85">
        <f>STATS1003B!I1939/1000</f>
        <v>0</v>
      </c>
      <c r="J1935" s="85">
        <f>STATS1003B!J1939/1000</f>
        <v>690.09758999999997</v>
      </c>
      <c r="K1935" s="85">
        <f>STATS1003B!K1939/1000</f>
        <v>0</v>
      </c>
      <c r="L1935" s="85">
        <f>STATS1003B!L1939/1000</f>
        <v>0</v>
      </c>
      <c r="M1935" s="85">
        <f>STATS1003B!M1939/1000</f>
        <v>690.09758999999997</v>
      </c>
      <c r="N1935" s="85">
        <f>STATS1003B!N1939/1000</f>
        <v>0</v>
      </c>
      <c r="O1935" s="85">
        <f>STATS1003B!O1939/1000</f>
        <v>0</v>
      </c>
      <c r="P1935" s="85">
        <f>STATS1003B!P1939/1000</f>
        <v>0</v>
      </c>
      <c r="Q1935" s="85">
        <f>STATS1003B!Q1939/1000</f>
        <v>690.09758999999985</v>
      </c>
      <c r="R1935" s="85">
        <f>STATS1003B!R1939/1000</f>
        <v>0</v>
      </c>
      <c r="S1935" s="85">
        <f>STATS1003B!S1939/1000</f>
        <v>0</v>
      </c>
      <c r="T1935" s="85">
        <f>STATS1003B!T1939/1000</f>
        <v>0</v>
      </c>
      <c r="U1935" s="85">
        <f>STATS1003B!U1939/1000</f>
        <v>0</v>
      </c>
      <c r="V1935" s="85">
        <f>STATS1003B!V1939/1000</f>
        <v>0</v>
      </c>
      <c r="W1935" s="85">
        <f>STATS1003B!W1939/1000</f>
        <v>0</v>
      </c>
      <c r="X1935" s="85">
        <f t="shared" si="211"/>
        <v>690.09758999999997</v>
      </c>
      <c r="Y1935" s="85">
        <f>STATS1003B!Y1939/1000</f>
        <v>0</v>
      </c>
      <c r="Z1935" s="85">
        <f t="shared" si="212"/>
        <v>0</v>
      </c>
      <c r="AA1935" s="69">
        <f>STATS1003B!AA1939/1000</f>
        <v>690.09758999999997</v>
      </c>
      <c r="AB1935" s="69">
        <f>STATS1003B!AB1939/1000</f>
        <v>0</v>
      </c>
    </row>
    <row r="1936" spans="1:28" hidden="1" x14ac:dyDescent="0.3">
      <c r="A1936" s="117"/>
      <c r="C1936" s="68" t="s">
        <v>535</v>
      </c>
      <c r="D1936" s="87" t="s">
        <v>85</v>
      </c>
      <c r="E1936" s="85">
        <f>STATS1003B!E1940/1000</f>
        <v>5967</v>
      </c>
      <c r="F1936" s="85">
        <f>STATS1003B!F1940/1000</f>
        <v>5967</v>
      </c>
      <c r="G1936" s="85">
        <f>STATS1003B!G1940/1000</f>
        <v>0</v>
      </c>
      <c r="H1936" s="85">
        <f>STATS1003B!H1940/1000</f>
        <v>5967</v>
      </c>
      <c r="I1936" s="85">
        <f>STATS1003B!I1940/1000</f>
        <v>0</v>
      </c>
      <c r="J1936" s="85">
        <f>STATS1003B!J1940/1000</f>
        <v>5967</v>
      </c>
      <c r="K1936" s="85">
        <f>STATS1003B!K1940/1000</f>
        <v>0</v>
      </c>
      <c r="L1936" s="85">
        <f>STATS1003B!L1940/1000</f>
        <v>0</v>
      </c>
      <c r="M1936" s="85">
        <f>STATS1003B!M1940/1000</f>
        <v>5967</v>
      </c>
      <c r="N1936" s="85">
        <f>STATS1003B!N1940/1000</f>
        <v>0</v>
      </c>
      <c r="O1936" s="85">
        <f>STATS1003B!O1940/1000</f>
        <v>0</v>
      </c>
      <c r="P1936" s="85">
        <f>STATS1003B!P1940/1000</f>
        <v>0</v>
      </c>
      <c r="Q1936" s="85">
        <f>STATS1003B!Q1940/1000</f>
        <v>5967</v>
      </c>
      <c r="R1936" s="85">
        <f>STATS1003B!R1940/1000</f>
        <v>0</v>
      </c>
      <c r="S1936" s="85">
        <f>STATS1003B!S1940/1000</f>
        <v>0</v>
      </c>
      <c r="T1936" s="85">
        <f>STATS1003B!T1940/1000</f>
        <v>0</v>
      </c>
      <c r="U1936" s="85">
        <f>STATS1003B!U1940/1000</f>
        <v>0</v>
      </c>
      <c r="V1936" s="85">
        <f>STATS1003B!V1940/1000</f>
        <v>0</v>
      </c>
      <c r="W1936" s="85">
        <f>STATS1003B!W1940/1000</f>
        <v>0</v>
      </c>
      <c r="X1936" s="85">
        <f t="shared" si="211"/>
        <v>5967</v>
      </c>
      <c r="Y1936" s="85">
        <f>STATS1003B!Y1940/1000</f>
        <v>0</v>
      </c>
      <c r="Z1936" s="85">
        <f t="shared" si="212"/>
        <v>0</v>
      </c>
      <c r="AA1936" s="69">
        <f>STATS1003B!AA1940/1000</f>
        <v>5967</v>
      </c>
      <c r="AB1936" s="69">
        <f>STATS1003B!AB1940/1000</f>
        <v>0</v>
      </c>
    </row>
    <row r="1937" spans="1:28" hidden="1" x14ac:dyDescent="0.3">
      <c r="A1937" s="117"/>
      <c r="C1937" s="68" t="s">
        <v>795</v>
      </c>
      <c r="D1937" s="87" t="s">
        <v>85</v>
      </c>
      <c r="E1937" s="85">
        <f>STATS1003B!E1941/1000</f>
        <v>504.851</v>
      </c>
      <c r="F1937" s="85">
        <f>STATS1003B!F1941/1000</f>
        <v>504.851</v>
      </c>
      <c r="G1937" s="85">
        <f>STATS1003B!G1941/1000</f>
        <v>0</v>
      </c>
      <c r="H1937" s="85">
        <f>STATS1003B!H1941/1000</f>
        <v>504.851</v>
      </c>
      <c r="I1937" s="85">
        <f>STATS1003B!I1941/1000</f>
        <v>0</v>
      </c>
      <c r="J1937" s="85">
        <f>STATS1003B!J1941/1000</f>
        <v>504.851</v>
      </c>
      <c r="K1937" s="85">
        <f>STATS1003B!K1941/1000</f>
        <v>0</v>
      </c>
      <c r="L1937" s="85">
        <f>STATS1003B!L1941/1000</f>
        <v>0</v>
      </c>
      <c r="M1937" s="85">
        <f>STATS1003B!M1941/1000</f>
        <v>504.851</v>
      </c>
      <c r="N1937" s="85">
        <f>STATS1003B!N1941/1000</f>
        <v>0</v>
      </c>
      <c r="O1937" s="85">
        <f>STATS1003B!O1941/1000</f>
        <v>0</v>
      </c>
      <c r="P1937" s="85">
        <f>STATS1003B!P1941/1000</f>
        <v>0</v>
      </c>
      <c r="Q1937" s="85">
        <f>STATS1003B!Q1941/1000</f>
        <v>504.851</v>
      </c>
      <c r="R1937" s="85">
        <f>STATS1003B!R1941/1000</f>
        <v>0</v>
      </c>
      <c r="S1937" s="85">
        <f>STATS1003B!S1941/1000</f>
        <v>0</v>
      </c>
      <c r="T1937" s="85">
        <f>STATS1003B!T1941/1000</f>
        <v>0</v>
      </c>
      <c r="U1937" s="85">
        <f>STATS1003B!U1941/1000</f>
        <v>0</v>
      </c>
      <c r="V1937" s="85">
        <f>STATS1003B!V1941/1000</f>
        <v>0</v>
      </c>
      <c r="W1937" s="85">
        <f>STATS1003B!W1941/1000</f>
        <v>0</v>
      </c>
      <c r="X1937" s="85">
        <f t="shared" si="211"/>
        <v>504.851</v>
      </c>
      <c r="Y1937" s="85">
        <f>STATS1003B!Y1941/1000</f>
        <v>0</v>
      </c>
      <c r="Z1937" s="85">
        <f t="shared" si="212"/>
        <v>0</v>
      </c>
      <c r="AA1937" s="69">
        <f>STATS1003B!AA1941/1000</f>
        <v>504.851</v>
      </c>
      <c r="AB1937" s="69">
        <f>STATS1003B!AB1941/1000</f>
        <v>0</v>
      </c>
    </row>
    <row r="1938" spans="1:28" hidden="1" x14ac:dyDescent="0.3">
      <c r="A1938" s="117"/>
      <c r="C1938" s="68" t="s">
        <v>535</v>
      </c>
      <c r="D1938" s="87" t="s">
        <v>88</v>
      </c>
      <c r="E1938" s="85">
        <f>STATS1003B!E1942/1000</f>
        <v>6716.451970000001</v>
      </c>
      <c r="F1938" s="85">
        <f>STATS1003B!F1942/1000</f>
        <v>6716.4519700000001</v>
      </c>
      <c r="G1938" s="85">
        <f>STATS1003B!G1942/1000</f>
        <v>0</v>
      </c>
      <c r="H1938" s="85">
        <f>STATS1003B!H1942/1000</f>
        <v>6716.4519700000001</v>
      </c>
      <c r="I1938" s="85">
        <f>STATS1003B!I1942/1000</f>
        <v>0</v>
      </c>
      <c r="J1938" s="85">
        <f>STATS1003B!J1942/1000</f>
        <v>6716.4519700000001</v>
      </c>
      <c r="K1938" s="85">
        <f>STATS1003B!K1942/1000</f>
        <v>0</v>
      </c>
      <c r="L1938" s="85">
        <f>STATS1003B!L1942/1000</f>
        <v>0</v>
      </c>
      <c r="M1938" s="85">
        <f>STATS1003B!M1942/1000</f>
        <v>6716.4519700000001</v>
      </c>
      <c r="N1938" s="85">
        <f>STATS1003B!N1942/1000</f>
        <v>0</v>
      </c>
      <c r="O1938" s="85">
        <f>STATS1003B!O1942/1000</f>
        <v>0</v>
      </c>
      <c r="P1938" s="85">
        <f>STATS1003B!P1942/1000</f>
        <v>0</v>
      </c>
      <c r="Q1938" s="85">
        <f>STATS1003B!Q1942/1000</f>
        <v>6716.451970000001</v>
      </c>
      <c r="R1938" s="85">
        <f>STATS1003B!R1942/1000</f>
        <v>0</v>
      </c>
      <c r="S1938" s="85">
        <f>STATS1003B!S1942/1000</f>
        <v>0</v>
      </c>
      <c r="T1938" s="85">
        <f>STATS1003B!T1942/1000</f>
        <v>0</v>
      </c>
      <c r="U1938" s="85">
        <f>STATS1003B!U1942/1000</f>
        <v>0</v>
      </c>
      <c r="V1938" s="85">
        <f>STATS1003B!V1942/1000</f>
        <v>0</v>
      </c>
      <c r="W1938" s="85">
        <f>STATS1003B!W1942/1000</f>
        <v>0</v>
      </c>
      <c r="X1938" s="85">
        <f t="shared" si="211"/>
        <v>6716.4519700000001</v>
      </c>
      <c r="Y1938" s="85">
        <f>STATS1003B!Y1942/1000</f>
        <v>0</v>
      </c>
      <c r="Z1938" s="85">
        <f t="shared" si="212"/>
        <v>0</v>
      </c>
      <c r="AA1938" s="69">
        <f>STATS1003B!AA1942/1000</f>
        <v>6716.4519700000001</v>
      </c>
      <c r="AB1938" s="69">
        <f>STATS1003B!AB1942/1000</f>
        <v>0</v>
      </c>
    </row>
    <row r="1939" spans="1:28" hidden="1" x14ac:dyDescent="0.3">
      <c r="A1939" s="117"/>
      <c r="C1939" s="68" t="s">
        <v>535</v>
      </c>
      <c r="D1939" s="87" t="s">
        <v>58</v>
      </c>
      <c r="E1939" s="85">
        <f>STATS1003B!E1943/1000</f>
        <v>2500</v>
      </c>
      <c r="F1939" s="85">
        <f>STATS1003B!F1943/1000</f>
        <v>2500</v>
      </c>
      <c r="G1939" s="85">
        <f>STATS1003B!G1943/1000</f>
        <v>0</v>
      </c>
      <c r="H1939" s="85">
        <f>STATS1003B!H1943/1000</f>
        <v>2500</v>
      </c>
      <c r="I1939" s="85">
        <f>STATS1003B!I1943/1000</f>
        <v>0</v>
      </c>
      <c r="J1939" s="85">
        <f>STATS1003B!J1943/1000</f>
        <v>2500</v>
      </c>
      <c r="K1939" s="85">
        <f>STATS1003B!K1943/1000</f>
        <v>0</v>
      </c>
      <c r="L1939" s="85">
        <f>STATS1003B!L1943/1000</f>
        <v>0</v>
      </c>
      <c r="M1939" s="85">
        <f>STATS1003B!M1943/1000</f>
        <v>2500</v>
      </c>
      <c r="N1939" s="85">
        <f>STATS1003B!N1943/1000</f>
        <v>0</v>
      </c>
      <c r="O1939" s="85">
        <f>STATS1003B!O1943/1000</f>
        <v>0</v>
      </c>
      <c r="P1939" s="85">
        <f>STATS1003B!P1943/1000</f>
        <v>0</v>
      </c>
      <c r="Q1939" s="85">
        <f>STATS1003B!Q1943/1000</f>
        <v>2500</v>
      </c>
      <c r="R1939" s="85">
        <f>STATS1003B!R1943/1000</f>
        <v>0</v>
      </c>
      <c r="S1939" s="85">
        <f>STATS1003B!S1943/1000</f>
        <v>0</v>
      </c>
      <c r="T1939" s="85">
        <f>STATS1003B!T1943/1000</f>
        <v>0</v>
      </c>
      <c r="U1939" s="85">
        <f>STATS1003B!U1943/1000</f>
        <v>0</v>
      </c>
      <c r="V1939" s="85">
        <f>STATS1003B!V1943/1000</f>
        <v>0</v>
      </c>
      <c r="W1939" s="85">
        <f>STATS1003B!W1943/1000</f>
        <v>0</v>
      </c>
      <c r="X1939" s="85">
        <f t="shared" si="211"/>
        <v>2500</v>
      </c>
      <c r="Y1939" s="85">
        <f>STATS1003B!Y1943/1000</f>
        <v>0</v>
      </c>
      <c r="Z1939" s="85">
        <f t="shared" si="212"/>
        <v>0</v>
      </c>
      <c r="AA1939" s="69">
        <f>STATS1003B!AA1943/1000</f>
        <v>2500</v>
      </c>
      <c r="AB1939" s="69">
        <f>STATS1003B!AB1943/1000</f>
        <v>0</v>
      </c>
    </row>
    <row r="1940" spans="1:28" hidden="1" x14ac:dyDescent="0.3">
      <c r="A1940" s="117"/>
      <c r="C1940" s="68" t="s">
        <v>535</v>
      </c>
      <c r="D1940" s="88" t="s">
        <v>60</v>
      </c>
      <c r="E1940" s="85">
        <f>STATS1003B!E1944/1000</f>
        <v>10264.619000000001</v>
      </c>
      <c r="F1940" s="85">
        <f>STATS1003B!F1944/1000</f>
        <v>10264.619000000001</v>
      </c>
      <c r="G1940" s="85">
        <f>STATS1003B!G1944/1000</f>
        <v>0</v>
      </c>
      <c r="H1940" s="85">
        <f>STATS1003B!H1944/1000</f>
        <v>10264.619000000001</v>
      </c>
      <c r="I1940" s="85">
        <f>STATS1003B!I1944/1000</f>
        <v>0</v>
      </c>
      <c r="J1940" s="85">
        <f>STATS1003B!J1944/1000</f>
        <v>10264.619000000001</v>
      </c>
      <c r="K1940" s="85">
        <f>STATS1003B!K1944/1000</f>
        <v>0</v>
      </c>
      <c r="L1940" s="85">
        <f>STATS1003B!L1944/1000</f>
        <v>0</v>
      </c>
      <c r="M1940" s="85">
        <f>STATS1003B!M1944/1000</f>
        <v>10264.619000000001</v>
      </c>
      <c r="N1940" s="85">
        <f>STATS1003B!N1944/1000</f>
        <v>0</v>
      </c>
      <c r="O1940" s="85">
        <f>STATS1003B!O1944/1000</f>
        <v>0</v>
      </c>
      <c r="P1940" s="85">
        <f>STATS1003B!P1944/1000</f>
        <v>0</v>
      </c>
      <c r="Q1940" s="85">
        <f>STATS1003B!Q1944/1000</f>
        <v>10264.619000000001</v>
      </c>
      <c r="R1940" s="85">
        <f>STATS1003B!R1944/1000</f>
        <v>0</v>
      </c>
      <c r="S1940" s="85">
        <f>STATS1003B!S1944/1000</f>
        <v>0</v>
      </c>
      <c r="T1940" s="85">
        <f>STATS1003B!T1944/1000</f>
        <v>0</v>
      </c>
      <c r="U1940" s="85">
        <f>STATS1003B!U1944/1000</f>
        <v>0</v>
      </c>
      <c r="V1940" s="85">
        <f>STATS1003B!V1944/1000</f>
        <v>0</v>
      </c>
      <c r="W1940" s="85">
        <f>STATS1003B!W1944/1000</f>
        <v>0</v>
      </c>
      <c r="X1940" s="85">
        <f t="shared" si="211"/>
        <v>10264.619000000001</v>
      </c>
      <c r="Y1940" s="85">
        <f>STATS1003B!Y1944/1000</f>
        <v>0</v>
      </c>
      <c r="Z1940" s="85">
        <f t="shared" si="212"/>
        <v>0</v>
      </c>
      <c r="AA1940" s="69">
        <f>STATS1003B!AA1944/1000</f>
        <v>10264.619000000001</v>
      </c>
      <c r="AB1940" s="69">
        <f>STATS1003B!AB1944/1000</f>
        <v>0</v>
      </c>
    </row>
    <row r="1941" spans="1:28" hidden="1" x14ac:dyDescent="0.3">
      <c r="A1941" s="117"/>
      <c r="C1941" s="68" t="s">
        <v>535</v>
      </c>
      <c r="D1941" s="88" t="s">
        <v>73</v>
      </c>
      <c r="E1941" s="85">
        <f>STATS1003B!E1945/1000</f>
        <v>11036.552220000001</v>
      </c>
      <c r="F1941" s="85">
        <f>STATS1003B!F1945/1000</f>
        <v>11036.552220000001</v>
      </c>
      <c r="G1941" s="85">
        <f>STATS1003B!G1945/1000</f>
        <v>0</v>
      </c>
      <c r="H1941" s="85">
        <f>STATS1003B!H1945/1000</f>
        <v>11036.552220000001</v>
      </c>
      <c r="I1941" s="85">
        <f>STATS1003B!I1945/1000</f>
        <v>0</v>
      </c>
      <c r="J1941" s="85">
        <f>STATS1003B!J1945/1000</f>
        <v>11036.552220000001</v>
      </c>
      <c r="K1941" s="85">
        <f>STATS1003B!K1945/1000</f>
        <v>0</v>
      </c>
      <c r="L1941" s="85">
        <f>STATS1003B!L1945/1000</f>
        <v>0</v>
      </c>
      <c r="M1941" s="85">
        <f>STATS1003B!M1945/1000</f>
        <v>11036.552220000001</v>
      </c>
      <c r="N1941" s="85">
        <f>STATS1003B!N1945/1000</f>
        <v>0</v>
      </c>
      <c r="O1941" s="85">
        <f>STATS1003B!O1945/1000</f>
        <v>0</v>
      </c>
      <c r="P1941" s="85">
        <f>STATS1003B!P1945/1000</f>
        <v>0</v>
      </c>
      <c r="Q1941" s="85">
        <f>STATS1003B!Q1945/1000</f>
        <v>11036.552220000001</v>
      </c>
      <c r="R1941" s="85">
        <f>STATS1003B!R1945/1000</f>
        <v>0</v>
      </c>
      <c r="S1941" s="85">
        <f>STATS1003B!S1945/1000</f>
        <v>0</v>
      </c>
      <c r="T1941" s="85">
        <f>STATS1003B!T1945/1000</f>
        <v>0</v>
      </c>
      <c r="U1941" s="85">
        <f>STATS1003B!U1945/1000</f>
        <v>0</v>
      </c>
      <c r="V1941" s="85">
        <f>STATS1003B!V1945/1000</f>
        <v>0</v>
      </c>
      <c r="W1941" s="85">
        <f>STATS1003B!W1945/1000</f>
        <v>0</v>
      </c>
      <c r="X1941" s="85">
        <f t="shared" si="211"/>
        <v>11036.552220000001</v>
      </c>
      <c r="Y1941" s="85">
        <f>STATS1003B!Y1945/1000</f>
        <v>0</v>
      </c>
      <c r="Z1941" s="85">
        <f t="shared" si="212"/>
        <v>0</v>
      </c>
      <c r="AA1941" s="69">
        <f>STATS1003B!AA1945/1000</f>
        <v>11036.552220000001</v>
      </c>
      <c r="AB1941" s="69">
        <f>STATS1003B!AB1945/1000</f>
        <v>0</v>
      </c>
    </row>
    <row r="1942" spans="1:28" hidden="1" x14ac:dyDescent="0.3">
      <c r="A1942" s="117"/>
      <c r="C1942" s="68" t="s">
        <v>535</v>
      </c>
      <c r="D1942" s="88" t="s">
        <v>61</v>
      </c>
      <c r="E1942" s="85">
        <f>STATS1003B!E1946/1000</f>
        <v>10131.02699</v>
      </c>
      <c r="F1942" s="85">
        <f>STATS1003B!F1946/1000</f>
        <v>10131.02699</v>
      </c>
      <c r="G1942" s="85">
        <f>STATS1003B!G1946/1000</f>
        <v>0</v>
      </c>
      <c r="H1942" s="85">
        <f>STATS1003B!H1946/1000</f>
        <v>10131.02699</v>
      </c>
      <c r="I1942" s="85">
        <f>STATS1003B!I1946/1000</f>
        <v>0</v>
      </c>
      <c r="J1942" s="85">
        <f>STATS1003B!J1946/1000</f>
        <v>10131.02699</v>
      </c>
      <c r="K1942" s="85">
        <f>STATS1003B!K1946/1000</f>
        <v>0</v>
      </c>
      <c r="L1942" s="85">
        <f>STATS1003B!L1946/1000</f>
        <v>0</v>
      </c>
      <c r="M1942" s="85">
        <f>STATS1003B!M1946/1000</f>
        <v>10131.02699</v>
      </c>
      <c r="N1942" s="85">
        <f>STATS1003B!N1946/1000</f>
        <v>0</v>
      </c>
      <c r="O1942" s="85">
        <f>STATS1003B!O1946/1000</f>
        <v>0</v>
      </c>
      <c r="P1942" s="85">
        <f>STATS1003B!P1946/1000</f>
        <v>0</v>
      </c>
      <c r="Q1942" s="85">
        <f>STATS1003B!Q1946/1000</f>
        <v>10131.02699</v>
      </c>
      <c r="R1942" s="85">
        <f>STATS1003B!R1946/1000</f>
        <v>0</v>
      </c>
      <c r="S1942" s="85">
        <f>STATS1003B!S1946/1000</f>
        <v>0</v>
      </c>
      <c r="T1942" s="85">
        <f>STATS1003B!T1946/1000</f>
        <v>0</v>
      </c>
      <c r="U1942" s="85">
        <f>STATS1003B!U1946/1000</f>
        <v>0</v>
      </c>
      <c r="V1942" s="85">
        <f>STATS1003B!V1946/1000</f>
        <v>0</v>
      </c>
      <c r="W1942" s="85">
        <f>STATS1003B!W1946/1000</f>
        <v>0</v>
      </c>
      <c r="X1942" s="85">
        <f t="shared" si="211"/>
        <v>10131.02699</v>
      </c>
      <c r="Y1942" s="85">
        <f>STATS1003B!Y1946/1000</f>
        <v>0</v>
      </c>
      <c r="Z1942" s="85">
        <f t="shared" si="212"/>
        <v>0</v>
      </c>
      <c r="AA1942" s="69">
        <f>STATS1003B!AA1946/1000</f>
        <v>10131.02699</v>
      </c>
      <c r="AB1942" s="69">
        <f>STATS1003B!AB1946/1000</f>
        <v>0</v>
      </c>
    </row>
    <row r="1943" spans="1:28" hidden="1" x14ac:dyDescent="0.3">
      <c r="A1943" s="117"/>
      <c r="C1943" s="68" t="s">
        <v>621</v>
      </c>
      <c r="D1943" s="88" t="s">
        <v>61</v>
      </c>
      <c r="E1943" s="85">
        <f>STATS1003B!E1947/1000</f>
        <v>564</v>
      </c>
      <c r="F1943" s="85">
        <f>STATS1003B!F1947/1000</f>
        <v>564</v>
      </c>
      <c r="G1943" s="85">
        <f>STATS1003B!G1947/1000</f>
        <v>0</v>
      </c>
      <c r="H1943" s="85">
        <f>STATS1003B!H1947/1000</f>
        <v>564</v>
      </c>
      <c r="I1943" s="85">
        <f>STATS1003B!I1947/1000</f>
        <v>0</v>
      </c>
      <c r="J1943" s="85">
        <f>STATS1003B!J1947/1000</f>
        <v>564</v>
      </c>
      <c r="K1943" s="85">
        <f>STATS1003B!K1947/1000</f>
        <v>0</v>
      </c>
      <c r="L1943" s="85">
        <f>STATS1003B!L1947/1000</f>
        <v>0</v>
      </c>
      <c r="M1943" s="85">
        <f>STATS1003B!M1947/1000</f>
        <v>564</v>
      </c>
      <c r="N1943" s="85">
        <f>STATS1003B!N1947/1000</f>
        <v>0</v>
      </c>
      <c r="O1943" s="85">
        <f>STATS1003B!O1947/1000</f>
        <v>0</v>
      </c>
      <c r="P1943" s="85">
        <f>STATS1003B!P1947/1000</f>
        <v>0</v>
      </c>
      <c r="Q1943" s="85">
        <f>STATS1003B!Q1947/1000</f>
        <v>564</v>
      </c>
      <c r="R1943" s="85">
        <f>STATS1003B!R1947/1000</f>
        <v>0</v>
      </c>
      <c r="S1943" s="85">
        <f>STATS1003B!S1947/1000</f>
        <v>0</v>
      </c>
      <c r="T1943" s="85">
        <f>STATS1003B!T1947/1000</f>
        <v>0</v>
      </c>
      <c r="U1943" s="85">
        <f>STATS1003B!U1947/1000</f>
        <v>0</v>
      </c>
      <c r="V1943" s="85">
        <f>STATS1003B!V1947/1000</f>
        <v>0</v>
      </c>
      <c r="W1943" s="85">
        <f>STATS1003B!W1947/1000</f>
        <v>0</v>
      </c>
      <c r="X1943" s="85">
        <f t="shared" si="211"/>
        <v>564</v>
      </c>
      <c r="Y1943" s="85">
        <f>STATS1003B!Y1947/1000</f>
        <v>0</v>
      </c>
      <c r="Z1943" s="85">
        <f t="shared" si="212"/>
        <v>0</v>
      </c>
      <c r="AA1943" s="69">
        <f>STATS1003B!AA1947/1000</f>
        <v>564</v>
      </c>
      <c r="AB1943" s="69">
        <f>STATS1003B!AB1947/1000</f>
        <v>0</v>
      </c>
    </row>
    <row r="1944" spans="1:28" hidden="1" x14ac:dyDescent="0.3">
      <c r="A1944" s="117"/>
      <c r="C1944" s="93" t="s">
        <v>933</v>
      </c>
      <c r="D1944" s="89" t="s">
        <v>1072</v>
      </c>
      <c r="E1944" s="85">
        <f>STATS1003B!E1948/1000</f>
        <v>11497.913629999999</v>
      </c>
      <c r="F1944" s="85">
        <f>STATS1003B!F1948/1000</f>
        <v>11497.913629999999</v>
      </c>
      <c r="G1944" s="85">
        <f>STATS1003B!G1948/1000</f>
        <v>0</v>
      </c>
      <c r="H1944" s="85">
        <f>STATS1003B!H1948/1000</f>
        <v>11497.913629999999</v>
      </c>
      <c r="I1944" s="85">
        <f>STATS1003B!I1948/1000</f>
        <v>0</v>
      </c>
      <c r="J1944" s="85">
        <f>STATS1003B!J1948/1000</f>
        <v>11497.913629999999</v>
      </c>
      <c r="K1944" s="85">
        <f>STATS1003B!K1948/1000</f>
        <v>0</v>
      </c>
      <c r="L1944" s="85">
        <f>STATS1003B!L1948/1000</f>
        <v>0</v>
      </c>
      <c r="M1944" s="85">
        <f>STATS1003B!M1948/1000</f>
        <v>11497.913629999999</v>
      </c>
      <c r="N1944" s="85">
        <f>STATS1003B!N1948/1000</f>
        <v>0</v>
      </c>
      <c r="O1944" s="85">
        <f>STATS1003B!O1948/1000</f>
        <v>0</v>
      </c>
      <c r="P1944" s="85">
        <f>STATS1003B!P1948/1000</f>
        <v>0</v>
      </c>
      <c r="Q1944" s="85">
        <f>STATS1003B!Q1948/1000</f>
        <v>0</v>
      </c>
      <c r="R1944" s="85">
        <f>STATS1003B!R1948/1000</f>
        <v>0</v>
      </c>
      <c r="S1944" s="85">
        <f>STATS1003B!S1948/1000</f>
        <v>0</v>
      </c>
      <c r="T1944" s="85">
        <f>STATS1003B!T1948/1000</f>
        <v>0</v>
      </c>
      <c r="U1944" s="85">
        <f>STATS1003B!U1948/1000</f>
        <v>0</v>
      </c>
      <c r="V1944" s="85">
        <f>STATS1003B!V1948/1000</f>
        <v>0</v>
      </c>
      <c r="W1944" s="85">
        <f>STATS1003B!W1948/1000</f>
        <v>0</v>
      </c>
      <c r="X1944" s="85">
        <f t="shared" si="211"/>
        <v>11497.913629999999</v>
      </c>
      <c r="Y1944" s="85">
        <f>STATS1003B!Y1948/1000</f>
        <v>0</v>
      </c>
      <c r="Z1944" s="85">
        <f t="shared" si="212"/>
        <v>0</v>
      </c>
      <c r="AA1944" s="69">
        <f>STATS1003B!AA1948/1000</f>
        <v>11497.913629999999</v>
      </c>
      <c r="AB1944" s="69">
        <f>STATS1003B!AB1948/1000</f>
        <v>0</v>
      </c>
    </row>
    <row r="1945" spans="1:28" hidden="1" x14ac:dyDescent="0.3">
      <c r="A1945" s="117"/>
      <c r="C1945" s="68" t="s">
        <v>1173</v>
      </c>
      <c r="D1945" s="89" t="s">
        <v>1126</v>
      </c>
      <c r="E1945" s="85">
        <f>STATS1003B!E1949/1000</f>
        <v>5361.8178600000001</v>
      </c>
      <c r="F1945" s="85">
        <f>STATS1003B!F1949/1000</f>
        <v>5361.8178600000001</v>
      </c>
      <c r="G1945" s="85">
        <f>STATS1003B!G1949/1000</f>
        <v>0</v>
      </c>
      <c r="H1945" s="85">
        <f>STATS1003B!H1949/1000</f>
        <v>5361.8178600000001</v>
      </c>
      <c r="I1945" s="85">
        <f>STATS1003B!I1949/1000</f>
        <v>0</v>
      </c>
      <c r="J1945" s="85">
        <f>STATS1003B!J1949/1000</f>
        <v>5361.8178600000001</v>
      </c>
      <c r="K1945" s="85">
        <f>STATS1003B!K1949/1000</f>
        <v>0</v>
      </c>
      <c r="L1945" s="85">
        <f>STATS1003B!L1949/1000</f>
        <v>0</v>
      </c>
      <c r="M1945" s="85">
        <f>STATS1003B!M1949/1000</f>
        <v>5361.8178600000001</v>
      </c>
      <c r="N1945" s="85">
        <f>STATS1003B!N1949/1000</f>
        <v>0</v>
      </c>
      <c r="O1945" s="85">
        <f>STATS1003B!O1949/1000</f>
        <v>0</v>
      </c>
      <c r="P1945" s="85">
        <f>STATS1003B!P1949/1000</f>
        <v>0</v>
      </c>
      <c r="Q1945" s="85">
        <f>STATS1003B!Q1949/1000</f>
        <v>0</v>
      </c>
      <c r="R1945" s="85">
        <f>STATS1003B!R1949/1000</f>
        <v>0</v>
      </c>
      <c r="S1945" s="85">
        <f>STATS1003B!S1949/1000</f>
        <v>0</v>
      </c>
      <c r="T1945" s="85">
        <f>STATS1003B!T1949/1000</f>
        <v>0</v>
      </c>
      <c r="U1945" s="85">
        <f>STATS1003B!U1949/1000</f>
        <v>0</v>
      </c>
      <c r="V1945" s="85">
        <f>STATS1003B!V1949/1000</f>
        <v>0</v>
      </c>
      <c r="W1945" s="85">
        <f>STATS1003B!W1949/1000</f>
        <v>0</v>
      </c>
      <c r="X1945" s="85">
        <f t="shared" si="211"/>
        <v>5361.8178600000001</v>
      </c>
      <c r="Y1945" s="85">
        <f>STATS1003B!Y1949/1000</f>
        <v>0</v>
      </c>
      <c r="Z1945" s="85">
        <f t="shared" si="212"/>
        <v>0</v>
      </c>
      <c r="AA1945" s="69">
        <f>STATS1003B!AA1949/1000</f>
        <v>5361.8178600000001</v>
      </c>
      <c r="AB1945" s="69">
        <f>STATS1003B!AB1949/1000</f>
        <v>0</v>
      </c>
    </row>
    <row r="1946" spans="1:28" hidden="1" x14ac:dyDescent="0.3">
      <c r="A1946" s="117"/>
      <c r="C1946" s="68" t="s">
        <v>1245</v>
      </c>
      <c r="D1946" s="89" t="s">
        <v>1225</v>
      </c>
      <c r="E1946" s="85">
        <f>STATS1003B!E1950/1000</f>
        <v>4958.06898</v>
      </c>
      <c r="F1946" s="85">
        <f>STATS1003B!F1950/1000</f>
        <v>0</v>
      </c>
      <c r="G1946" s="85">
        <f>STATS1003B!G1950/1000</f>
        <v>4958.06898</v>
      </c>
      <c r="H1946" s="85">
        <f>STATS1003B!H1950/1000</f>
        <v>4958.06898</v>
      </c>
      <c r="I1946" s="85">
        <f>STATS1003B!I1950/1000</f>
        <v>0</v>
      </c>
      <c r="J1946" s="85">
        <f>STATS1003B!J1950/1000</f>
        <v>0</v>
      </c>
      <c r="K1946" s="85">
        <f>STATS1003B!K1950/1000</f>
        <v>0</v>
      </c>
      <c r="L1946" s="85">
        <f>STATS1003B!L1950/1000</f>
        <v>0</v>
      </c>
      <c r="M1946" s="85">
        <f>STATS1003B!M1950/1000</f>
        <v>4958.06898</v>
      </c>
      <c r="N1946" s="85">
        <f>STATS1003B!N1950/1000</f>
        <v>0</v>
      </c>
      <c r="O1946" s="85">
        <f>STATS1003B!O1950/1000</f>
        <v>0</v>
      </c>
      <c r="P1946" s="85">
        <f>STATS1003B!P1950/1000</f>
        <v>0</v>
      </c>
      <c r="Q1946" s="85">
        <f>STATS1003B!Q1950/1000</f>
        <v>0</v>
      </c>
      <c r="R1946" s="85">
        <f>STATS1003B!R1950/1000</f>
        <v>0</v>
      </c>
      <c r="S1946" s="85">
        <f>STATS1003B!S1950/1000</f>
        <v>0</v>
      </c>
      <c r="T1946" s="85">
        <f>STATS1003B!T1950/1000</f>
        <v>0</v>
      </c>
      <c r="U1946" s="85">
        <f>STATS1003B!U1950/1000</f>
        <v>0</v>
      </c>
      <c r="V1946" s="85">
        <f>STATS1003B!V1950/1000</f>
        <v>0</v>
      </c>
      <c r="W1946" s="85">
        <f>STATS1003B!W1950/1000</f>
        <v>0</v>
      </c>
      <c r="X1946" s="85">
        <f t="shared" si="211"/>
        <v>4958.06898</v>
      </c>
      <c r="Y1946" s="85">
        <f>STATS1003B!Y1950/1000</f>
        <v>0</v>
      </c>
      <c r="Z1946" s="85">
        <f t="shared" si="212"/>
        <v>0</v>
      </c>
      <c r="AA1946" s="69">
        <f>STATS1003B!AA1950/1000</f>
        <v>4958.06898</v>
      </c>
      <c r="AB1946" s="69">
        <f>STATS1003B!AB1950/1000</f>
        <v>0</v>
      </c>
    </row>
    <row r="1947" spans="1:28" hidden="1" x14ac:dyDescent="0.3">
      <c r="A1947" s="117"/>
      <c r="C1947" s="68" t="s">
        <v>598</v>
      </c>
      <c r="E1947" s="85">
        <f>STATS1003B!E1951/1000</f>
        <v>70.762199999999993</v>
      </c>
      <c r="F1947" s="85">
        <f>STATS1003B!F1951/1000</f>
        <v>70.762199999999993</v>
      </c>
      <c r="G1947" s="85">
        <f>STATS1003B!G1951/1000</f>
        <v>0</v>
      </c>
      <c r="H1947" s="85">
        <f>STATS1003B!H1951/1000</f>
        <v>70.762199999999993</v>
      </c>
      <c r="I1947" s="85">
        <f>STATS1003B!I1951/1000</f>
        <v>0</v>
      </c>
      <c r="J1947" s="85">
        <f>STATS1003B!J1951/1000</f>
        <v>70.762199999999993</v>
      </c>
      <c r="K1947" s="85">
        <f>STATS1003B!K1951/1000</f>
        <v>0</v>
      </c>
      <c r="L1947" s="85">
        <f>STATS1003B!L1951/1000</f>
        <v>0</v>
      </c>
      <c r="M1947" s="85">
        <f>STATS1003B!M1951/1000</f>
        <v>70.762199999999993</v>
      </c>
      <c r="N1947" s="85">
        <f>STATS1003B!N1951/1000</f>
        <v>0</v>
      </c>
      <c r="O1947" s="85">
        <f>STATS1003B!O1951/1000</f>
        <v>0</v>
      </c>
      <c r="P1947" s="85">
        <f>STATS1003B!P1951/1000</f>
        <v>0</v>
      </c>
      <c r="Q1947" s="85">
        <f>STATS1003B!Q1951/1000</f>
        <v>70.762199999999993</v>
      </c>
      <c r="R1947" s="85">
        <f>STATS1003B!R1951/1000</f>
        <v>0</v>
      </c>
      <c r="S1947" s="85">
        <f>STATS1003B!S1951/1000</f>
        <v>0</v>
      </c>
      <c r="T1947" s="85">
        <f>STATS1003B!T1951/1000</f>
        <v>0</v>
      </c>
      <c r="U1947" s="85">
        <f>STATS1003B!U1951/1000</f>
        <v>0</v>
      </c>
      <c r="V1947" s="85">
        <f>STATS1003B!V1951/1000</f>
        <v>0</v>
      </c>
      <c r="W1947" s="85">
        <f>STATS1003B!W1951/1000</f>
        <v>0</v>
      </c>
      <c r="X1947" s="85">
        <f t="shared" si="211"/>
        <v>70.762199999999993</v>
      </c>
      <c r="Y1947" s="85">
        <f>STATS1003B!Y1951/1000</f>
        <v>0</v>
      </c>
      <c r="Z1947" s="85">
        <f t="shared" si="212"/>
        <v>0</v>
      </c>
      <c r="AA1947" s="69">
        <f>STATS1003B!AA1951/1000</f>
        <v>70.762199999999993</v>
      </c>
      <c r="AB1947" s="69">
        <f>STATS1003B!AB1951/1000</f>
        <v>0</v>
      </c>
    </row>
    <row r="1948" spans="1:28" hidden="1" x14ac:dyDescent="0.3">
      <c r="A1948" s="117"/>
      <c r="C1948" s="68" t="s">
        <v>550</v>
      </c>
      <c r="E1948" s="85">
        <f>STATS1003B!E1952/1000</f>
        <v>1338.3810000000001</v>
      </c>
      <c r="F1948" s="85">
        <f>STATS1003B!F1952/1000</f>
        <v>1338.3810000000001</v>
      </c>
      <c r="G1948" s="85">
        <f>STATS1003B!G1952/1000</f>
        <v>0</v>
      </c>
      <c r="H1948" s="85">
        <f>STATS1003B!H1952/1000</f>
        <v>1338.3810000000001</v>
      </c>
      <c r="I1948" s="85">
        <f>STATS1003B!I1952/1000</f>
        <v>0</v>
      </c>
      <c r="J1948" s="85">
        <f>STATS1003B!J1952/1000</f>
        <v>1338.3810000000001</v>
      </c>
      <c r="K1948" s="85">
        <f>STATS1003B!K1952/1000</f>
        <v>0</v>
      </c>
      <c r="L1948" s="85">
        <f>STATS1003B!L1952/1000</f>
        <v>0</v>
      </c>
      <c r="M1948" s="85">
        <f>STATS1003B!M1952/1000</f>
        <v>1338.3810000000001</v>
      </c>
      <c r="N1948" s="85">
        <f>STATS1003B!N1952/1000</f>
        <v>0</v>
      </c>
      <c r="O1948" s="85">
        <f>STATS1003B!O1952/1000</f>
        <v>0</v>
      </c>
      <c r="P1948" s="85">
        <f>STATS1003B!P1952/1000</f>
        <v>0</v>
      </c>
      <c r="Q1948" s="85">
        <f>STATS1003B!Q1952/1000</f>
        <v>1338.3810000000001</v>
      </c>
      <c r="R1948" s="85">
        <f>STATS1003B!R1952/1000</f>
        <v>0</v>
      </c>
      <c r="S1948" s="85">
        <f>STATS1003B!S1952/1000</f>
        <v>0</v>
      </c>
      <c r="T1948" s="85">
        <f>STATS1003B!T1952/1000</f>
        <v>0</v>
      </c>
      <c r="U1948" s="85">
        <f>STATS1003B!U1952/1000</f>
        <v>0</v>
      </c>
      <c r="V1948" s="85">
        <f>STATS1003B!V1952/1000</f>
        <v>0</v>
      </c>
      <c r="W1948" s="85">
        <f>STATS1003B!W1952/1000</f>
        <v>0</v>
      </c>
      <c r="X1948" s="85">
        <f t="shared" si="211"/>
        <v>1338.3810000000001</v>
      </c>
      <c r="Y1948" s="85">
        <f>STATS1003B!Y1952/1000</f>
        <v>0</v>
      </c>
      <c r="Z1948" s="85">
        <f t="shared" si="212"/>
        <v>0</v>
      </c>
      <c r="AA1948" s="69">
        <f>STATS1003B!AA1952/1000</f>
        <v>1338.3810000000001</v>
      </c>
      <c r="AB1948" s="69">
        <f>STATS1003B!AB1952/1000</f>
        <v>0</v>
      </c>
    </row>
    <row r="1949" spans="1:28" hidden="1" x14ac:dyDescent="0.3">
      <c r="A1949" s="117"/>
      <c r="C1949" s="68" t="s">
        <v>606</v>
      </c>
      <c r="E1949" s="85">
        <f>STATS1003B!E1953/1000</f>
        <v>2500</v>
      </c>
      <c r="F1949" s="85">
        <f>STATS1003B!F1953/1000</f>
        <v>2500</v>
      </c>
      <c r="G1949" s="85">
        <f>STATS1003B!G1953/1000</f>
        <v>0</v>
      </c>
      <c r="H1949" s="85">
        <f>STATS1003B!H1953/1000</f>
        <v>2500</v>
      </c>
      <c r="I1949" s="85">
        <f>STATS1003B!I1953/1000</f>
        <v>0</v>
      </c>
      <c r="J1949" s="85">
        <f>STATS1003B!J1953/1000</f>
        <v>2500</v>
      </c>
      <c r="K1949" s="85">
        <f>STATS1003B!K1953/1000</f>
        <v>0</v>
      </c>
      <c r="L1949" s="85">
        <f>STATS1003B!L1953/1000</f>
        <v>0</v>
      </c>
      <c r="M1949" s="85">
        <f>STATS1003B!M1953/1000</f>
        <v>2500</v>
      </c>
      <c r="N1949" s="85">
        <f>STATS1003B!N1953/1000</f>
        <v>0</v>
      </c>
      <c r="O1949" s="85">
        <f>STATS1003B!O1953/1000</f>
        <v>0</v>
      </c>
      <c r="P1949" s="85">
        <f>STATS1003B!P1953/1000</f>
        <v>0</v>
      </c>
      <c r="Q1949" s="85">
        <f>STATS1003B!Q1953/1000</f>
        <v>2500</v>
      </c>
      <c r="R1949" s="85">
        <f>STATS1003B!R1953/1000</f>
        <v>0</v>
      </c>
      <c r="S1949" s="85">
        <f>STATS1003B!S1953/1000</f>
        <v>0</v>
      </c>
      <c r="T1949" s="85">
        <f>STATS1003B!T1953/1000</f>
        <v>0</v>
      </c>
      <c r="U1949" s="85">
        <f>STATS1003B!U1953/1000</f>
        <v>0</v>
      </c>
      <c r="V1949" s="85">
        <f>STATS1003B!V1953/1000</f>
        <v>0</v>
      </c>
      <c r="W1949" s="85">
        <f>STATS1003B!W1953/1000</f>
        <v>0</v>
      </c>
      <c r="X1949" s="85">
        <f t="shared" si="211"/>
        <v>2500</v>
      </c>
      <c r="Y1949" s="85">
        <f>STATS1003B!Y1953/1000</f>
        <v>0</v>
      </c>
      <c r="Z1949" s="85">
        <f t="shared" si="212"/>
        <v>0</v>
      </c>
      <c r="AA1949" s="69">
        <f>STATS1003B!AA1953/1000</f>
        <v>2500</v>
      </c>
      <c r="AB1949" s="69">
        <f>STATS1003B!AB1953/1000</f>
        <v>0</v>
      </c>
    </row>
    <row r="1950" spans="1:28" hidden="1" x14ac:dyDescent="0.3">
      <c r="A1950" s="117"/>
      <c r="E1950" s="86" t="s">
        <v>29</v>
      </c>
      <c r="F1950" s="86" t="s">
        <v>29</v>
      </c>
      <c r="G1950" s="86" t="s">
        <v>29</v>
      </c>
      <c r="H1950" s="86" t="s">
        <v>29</v>
      </c>
      <c r="I1950" s="86" t="s">
        <v>29</v>
      </c>
      <c r="J1950" s="86" t="s">
        <v>29</v>
      </c>
      <c r="K1950" s="86" t="s">
        <v>29</v>
      </c>
      <c r="L1950" s="86" t="s">
        <v>29</v>
      </c>
      <c r="M1950" s="86" t="s">
        <v>29</v>
      </c>
      <c r="N1950" s="86" t="s">
        <v>29</v>
      </c>
      <c r="O1950" s="86" t="s">
        <v>29</v>
      </c>
      <c r="P1950" s="86" t="s">
        <v>29</v>
      </c>
      <c r="Q1950" s="86" t="s">
        <v>29</v>
      </c>
      <c r="R1950" s="86"/>
      <c r="S1950" s="86"/>
      <c r="T1950" s="86"/>
      <c r="U1950" s="86" t="s">
        <v>29</v>
      </c>
      <c r="V1950" s="86"/>
      <c r="W1950" s="86"/>
      <c r="X1950" s="85" t="e">
        <f t="shared" ref="X1950:X1966" si="217">+H1950+P1950</f>
        <v>#VALUE!</v>
      </c>
      <c r="Y1950" s="86"/>
      <c r="Z1950" s="85" t="e">
        <f t="shared" si="212"/>
        <v>#VALUE!</v>
      </c>
      <c r="AA1950" s="115" t="s">
        <v>29</v>
      </c>
      <c r="AB1950" s="115" t="s">
        <v>29</v>
      </c>
    </row>
    <row r="1951" spans="1:28" x14ac:dyDescent="0.3">
      <c r="A1951" s="116">
        <v>85</v>
      </c>
      <c r="B1951" s="68" t="s">
        <v>788</v>
      </c>
      <c r="E1951" s="85">
        <f>247367214.46/1000</f>
        <v>247367.21446000002</v>
      </c>
      <c r="F1951" s="85">
        <f t="shared" ref="F1951:Q1951" si="218">SUM(F1925:F1950)</f>
        <v>97004.348399999988</v>
      </c>
      <c r="G1951" s="85">
        <f t="shared" si="218"/>
        <v>4958.06898</v>
      </c>
      <c r="H1951" s="85">
        <f>241059101.48/1000</f>
        <v>241059.10147999998</v>
      </c>
      <c r="I1951" s="85">
        <f t="shared" si="218"/>
        <v>0</v>
      </c>
      <c r="J1951" s="85">
        <f t="shared" si="218"/>
        <v>97004.348399999988</v>
      </c>
      <c r="K1951" s="85">
        <f t="shared" si="218"/>
        <v>6308.1129799999999</v>
      </c>
      <c r="L1951" s="85">
        <f t="shared" si="218"/>
        <v>0</v>
      </c>
      <c r="M1951" s="85">
        <f t="shared" si="218"/>
        <v>101962.41737999998</v>
      </c>
      <c r="N1951" s="85">
        <f t="shared" si="218"/>
        <v>6308.1129799999999</v>
      </c>
      <c r="O1951" s="85">
        <f t="shared" si="218"/>
        <v>0</v>
      </c>
      <c r="P1951" s="85">
        <f>6308112/1000</f>
        <v>6308.1120000000001</v>
      </c>
      <c r="Q1951" s="85">
        <f t="shared" si="218"/>
        <v>80144.616909999997</v>
      </c>
      <c r="R1951" s="86"/>
      <c r="S1951" s="86"/>
      <c r="T1951" s="85">
        <f t="shared" ref="T1951:Y1951" si="219">SUM(T1925:T1950)</f>
        <v>0</v>
      </c>
      <c r="U1951" s="85">
        <f t="shared" si="219"/>
        <v>6308.1129799999999</v>
      </c>
      <c r="V1951" s="85">
        <f t="shared" si="219"/>
        <v>0</v>
      </c>
      <c r="W1951" s="85">
        <f t="shared" si="219"/>
        <v>0</v>
      </c>
      <c r="X1951" s="85">
        <f>+H1951+P1951</f>
        <v>247367.21347999998</v>
      </c>
      <c r="Y1951" s="85">
        <f t="shared" si="219"/>
        <v>0</v>
      </c>
      <c r="Z1951" s="85">
        <f t="shared" si="212"/>
        <v>9.8000004072673619E-4</v>
      </c>
      <c r="AA1951" s="69">
        <f>SUM(AA1925:AA1950)</f>
        <v>108270.53035999998</v>
      </c>
      <c r="AB1951" s="69">
        <f>SUM(AB1925:AB1950)</f>
        <v>0</v>
      </c>
    </row>
    <row r="1952" spans="1:28" hidden="1" x14ac:dyDescent="0.3">
      <c r="A1952" s="117"/>
      <c r="E1952" s="86" t="s">
        <v>29</v>
      </c>
      <c r="F1952" s="86" t="s">
        <v>29</v>
      </c>
      <c r="G1952" s="86" t="s">
        <v>29</v>
      </c>
      <c r="H1952" s="86" t="s">
        <v>29</v>
      </c>
      <c r="I1952" s="86" t="s">
        <v>29</v>
      </c>
      <c r="J1952" s="86" t="s">
        <v>29</v>
      </c>
      <c r="K1952" s="86" t="s">
        <v>29</v>
      </c>
      <c r="L1952" s="86" t="s">
        <v>29</v>
      </c>
      <c r="M1952" s="86" t="s">
        <v>29</v>
      </c>
      <c r="N1952" s="86" t="s">
        <v>29</v>
      </c>
      <c r="O1952" s="86" t="s">
        <v>29</v>
      </c>
      <c r="P1952" s="86" t="s">
        <v>29</v>
      </c>
      <c r="Q1952" s="86" t="s">
        <v>29</v>
      </c>
      <c r="R1952" s="86"/>
      <c r="S1952" s="86"/>
      <c r="T1952" s="86"/>
      <c r="U1952" s="86" t="s">
        <v>29</v>
      </c>
      <c r="V1952" s="86"/>
      <c r="W1952" s="86"/>
      <c r="X1952" s="85" t="e">
        <f t="shared" si="217"/>
        <v>#VALUE!</v>
      </c>
      <c r="Y1952" s="86"/>
      <c r="Z1952" s="85" t="e">
        <f t="shared" si="212"/>
        <v>#VALUE!</v>
      </c>
      <c r="AA1952" s="115" t="s">
        <v>29</v>
      </c>
      <c r="AB1952" s="115" t="s">
        <v>29</v>
      </c>
    </row>
    <row r="1953" spans="1:28" hidden="1" x14ac:dyDescent="0.3">
      <c r="A1953" s="105"/>
      <c r="E1953" s="84"/>
      <c r="F1953" s="84"/>
      <c r="G1953" s="84"/>
      <c r="H1953" s="84"/>
      <c r="I1953" s="84"/>
      <c r="J1953" s="84"/>
      <c r="K1953" s="84"/>
      <c r="L1953" s="84"/>
      <c r="M1953" s="84"/>
      <c r="N1953" s="84"/>
      <c r="O1953" s="84"/>
      <c r="P1953" s="84"/>
      <c r="Q1953" s="84"/>
      <c r="R1953" s="86"/>
      <c r="S1953" s="86"/>
      <c r="T1953" s="86"/>
      <c r="U1953" s="86"/>
      <c r="V1953" s="86"/>
      <c r="W1953" s="86"/>
      <c r="X1953" s="85">
        <f t="shared" si="217"/>
        <v>0</v>
      </c>
      <c r="Y1953" s="86"/>
      <c r="Z1953" s="85">
        <f t="shared" si="212"/>
        <v>0</v>
      </c>
    </row>
    <row r="1954" spans="1:28" hidden="1" x14ac:dyDescent="0.3">
      <c r="A1954" s="117"/>
      <c r="C1954" s="68" t="s">
        <v>797</v>
      </c>
      <c r="D1954" s="87" t="s">
        <v>166</v>
      </c>
      <c r="E1954" s="85">
        <f>STATS1003B!E1958/1000</f>
        <v>1888.4188700000002</v>
      </c>
      <c r="F1954" s="85">
        <f>STATS1003B!F1958/1000</f>
        <v>1888.4188700000002</v>
      </c>
      <c r="G1954" s="85">
        <f>STATS1003B!G1958/1000</f>
        <v>0</v>
      </c>
      <c r="H1954" s="85">
        <f>STATS1003B!H1958/1000</f>
        <v>1888.4188700000002</v>
      </c>
      <c r="I1954" s="85">
        <f>STATS1003B!I1958/1000</f>
        <v>0</v>
      </c>
      <c r="J1954" s="85">
        <f>STATS1003B!J1958/1000</f>
        <v>1888.4188700000002</v>
      </c>
      <c r="K1954" s="85">
        <f>STATS1003B!K1958/1000</f>
        <v>0</v>
      </c>
      <c r="L1954" s="85">
        <f>STATS1003B!L1958/1000</f>
        <v>0</v>
      </c>
      <c r="M1954" s="85">
        <f>STATS1003B!M1958/1000</f>
        <v>1888.4188700000002</v>
      </c>
      <c r="N1954" s="85">
        <f>STATS1003B!N1958/1000</f>
        <v>0</v>
      </c>
      <c r="O1954" s="85">
        <f>STATS1003B!O1958/1000</f>
        <v>0</v>
      </c>
      <c r="P1954" s="85">
        <f>STATS1003B!P1958/1000</f>
        <v>0</v>
      </c>
      <c r="Q1954" s="85">
        <f>STATS1003B!Q1958/1000</f>
        <v>1888.4188700000002</v>
      </c>
      <c r="R1954" s="85">
        <f>STATS1003B!R1958/1000</f>
        <v>0</v>
      </c>
      <c r="S1954" s="85">
        <f>STATS1003B!S1958/1000</f>
        <v>0</v>
      </c>
      <c r="T1954" s="85">
        <f>STATS1003B!T1958/1000</f>
        <v>0</v>
      </c>
      <c r="U1954" s="85">
        <f>STATS1003B!U1958/1000</f>
        <v>0</v>
      </c>
      <c r="V1954" s="85">
        <f>STATS1003B!V1958/1000</f>
        <v>0</v>
      </c>
      <c r="W1954" s="85">
        <f>STATS1003B!W1958/1000</f>
        <v>0</v>
      </c>
      <c r="X1954" s="85">
        <f t="shared" si="217"/>
        <v>1888.4188700000002</v>
      </c>
      <c r="Y1954" s="85">
        <f>STATS1003B!Y1958/1000</f>
        <v>0</v>
      </c>
      <c r="Z1954" s="85">
        <f t="shared" si="212"/>
        <v>0</v>
      </c>
      <c r="AA1954" s="69">
        <f>STATS1003B!AA1958/1000</f>
        <v>1888.4188700000002</v>
      </c>
      <c r="AB1954" s="69">
        <f>STATS1003B!AB1958/1000</f>
        <v>0</v>
      </c>
    </row>
    <row r="1955" spans="1:28" hidden="1" x14ac:dyDescent="0.3">
      <c r="A1955" s="117"/>
      <c r="C1955" s="68" t="s">
        <v>535</v>
      </c>
      <c r="D1955" s="87" t="s">
        <v>68</v>
      </c>
      <c r="E1955" s="85">
        <f>STATS1003B!E1959/1000</f>
        <v>760.64139999999998</v>
      </c>
      <c r="F1955" s="85">
        <f>STATS1003B!F1959/1000</f>
        <v>0</v>
      </c>
      <c r="G1955" s="85">
        <f>STATS1003B!G1959/1000</f>
        <v>0</v>
      </c>
      <c r="H1955" s="85">
        <f>STATS1003B!H1959/1000</f>
        <v>0</v>
      </c>
      <c r="I1955" s="85">
        <f>STATS1003B!I1959/1000</f>
        <v>0</v>
      </c>
      <c r="J1955" s="85">
        <f>STATS1003B!J1959/1000</f>
        <v>0</v>
      </c>
      <c r="K1955" s="85">
        <f>STATS1003B!K1959/1000</f>
        <v>760.64139999999998</v>
      </c>
      <c r="L1955" s="85">
        <f>STATS1003B!L1959/1000</f>
        <v>0</v>
      </c>
      <c r="M1955" s="85">
        <f>STATS1003B!M1959/1000</f>
        <v>0</v>
      </c>
      <c r="N1955" s="85">
        <f>STATS1003B!N1959/1000</f>
        <v>760.64139999999998</v>
      </c>
      <c r="O1955" s="85">
        <f>STATS1003B!O1959/1000</f>
        <v>0</v>
      </c>
      <c r="P1955" s="85">
        <f>STATS1003B!P1959/1000</f>
        <v>760.64139999999998</v>
      </c>
      <c r="Q1955" s="85">
        <f>STATS1003B!Q1959/1000</f>
        <v>0</v>
      </c>
      <c r="R1955" s="85">
        <f>STATS1003B!R1959/1000</f>
        <v>0</v>
      </c>
      <c r="S1955" s="85">
        <f>STATS1003B!S1959/1000</f>
        <v>0</v>
      </c>
      <c r="T1955" s="85">
        <f>STATS1003B!T1959/1000</f>
        <v>0</v>
      </c>
      <c r="U1955" s="85">
        <f>STATS1003B!U1959/1000</f>
        <v>760.64139999999998</v>
      </c>
      <c r="V1955" s="85">
        <f>STATS1003B!V1959/1000</f>
        <v>0</v>
      </c>
      <c r="W1955" s="85">
        <f>STATS1003B!W1959/1000</f>
        <v>0</v>
      </c>
      <c r="X1955" s="85">
        <f t="shared" si="217"/>
        <v>760.64139999999998</v>
      </c>
      <c r="Y1955" s="85">
        <f>STATS1003B!Y1959/1000</f>
        <v>0</v>
      </c>
      <c r="Z1955" s="85">
        <f t="shared" si="212"/>
        <v>0</v>
      </c>
      <c r="AA1955" s="69">
        <f>STATS1003B!AA1959/1000</f>
        <v>760.64139999999998</v>
      </c>
      <c r="AB1955" s="69">
        <f>STATS1003B!AB1959/1000</f>
        <v>0</v>
      </c>
    </row>
    <row r="1956" spans="1:28" hidden="1" x14ac:dyDescent="0.3">
      <c r="A1956" s="117"/>
      <c r="C1956" s="68" t="s">
        <v>535</v>
      </c>
      <c r="D1956" s="87" t="s">
        <v>54</v>
      </c>
      <c r="E1956" s="85">
        <f>STATS1003B!E1960/1000</f>
        <v>999.4</v>
      </c>
      <c r="F1956" s="85">
        <f>STATS1003B!F1960/1000</f>
        <v>999.4</v>
      </c>
      <c r="G1956" s="85">
        <f>STATS1003B!G1960/1000</f>
        <v>0</v>
      </c>
      <c r="H1956" s="85">
        <f>STATS1003B!H1960/1000</f>
        <v>999.4</v>
      </c>
      <c r="I1956" s="85">
        <f>STATS1003B!I1960/1000</f>
        <v>0</v>
      </c>
      <c r="J1956" s="85">
        <f>STATS1003B!J1960/1000</f>
        <v>999.4</v>
      </c>
      <c r="K1956" s="85">
        <f>STATS1003B!K1960/1000</f>
        <v>0</v>
      </c>
      <c r="L1956" s="85">
        <f>STATS1003B!L1960/1000</f>
        <v>0</v>
      </c>
      <c r="M1956" s="85">
        <f>STATS1003B!M1960/1000</f>
        <v>999.4</v>
      </c>
      <c r="N1956" s="85">
        <f>STATS1003B!N1960/1000</f>
        <v>0</v>
      </c>
      <c r="O1956" s="85">
        <f>STATS1003B!O1960/1000</f>
        <v>0</v>
      </c>
      <c r="P1956" s="85">
        <f>STATS1003B!P1960/1000</f>
        <v>0</v>
      </c>
      <c r="Q1956" s="85">
        <f>STATS1003B!Q1960/1000</f>
        <v>999.4</v>
      </c>
      <c r="R1956" s="85">
        <f>STATS1003B!R1960/1000</f>
        <v>0</v>
      </c>
      <c r="S1956" s="85">
        <f>STATS1003B!S1960/1000</f>
        <v>0</v>
      </c>
      <c r="T1956" s="85">
        <f>STATS1003B!T1960/1000</f>
        <v>0</v>
      </c>
      <c r="U1956" s="85">
        <f>STATS1003B!U1960/1000</f>
        <v>0</v>
      </c>
      <c r="V1956" s="85">
        <f>STATS1003B!V1960/1000</f>
        <v>0</v>
      </c>
      <c r="W1956" s="85">
        <f>STATS1003B!W1960/1000</f>
        <v>0</v>
      </c>
      <c r="X1956" s="85">
        <f t="shared" si="217"/>
        <v>999.4</v>
      </c>
      <c r="Y1956" s="85">
        <f>STATS1003B!Y1960/1000</f>
        <v>0</v>
      </c>
      <c r="Z1956" s="85">
        <f t="shared" si="212"/>
        <v>0</v>
      </c>
      <c r="AA1956" s="69">
        <f>STATS1003B!AA1960/1000</f>
        <v>999.4</v>
      </c>
      <c r="AB1956" s="69">
        <f>STATS1003B!AB1960/1000</f>
        <v>0</v>
      </c>
    </row>
    <row r="1957" spans="1:28" hidden="1" x14ac:dyDescent="0.3">
      <c r="A1957" s="117"/>
      <c r="C1957" s="68" t="s">
        <v>545</v>
      </c>
      <c r="D1957" s="87" t="s">
        <v>54</v>
      </c>
      <c r="E1957" s="85">
        <f>STATS1003B!E1961/1000</f>
        <v>570.94100000000003</v>
      </c>
      <c r="F1957" s="85">
        <f>STATS1003B!F1961/1000</f>
        <v>0</v>
      </c>
      <c r="G1957" s="85">
        <f>STATS1003B!G1961/1000</f>
        <v>0</v>
      </c>
      <c r="H1957" s="85">
        <f>STATS1003B!H1961/1000</f>
        <v>0</v>
      </c>
      <c r="I1957" s="85">
        <f>STATS1003B!I1961/1000</f>
        <v>0</v>
      </c>
      <c r="J1957" s="85">
        <f>STATS1003B!J1961/1000</f>
        <v>0</v>
      </c>
      <c r="K1957" s="85">
        <f>STATS1003B!K1961/1000</f>
        <v>570.94100000000003</v>
      </c>
      <c r="L1957" s="85">
        <f>STATS1003B!L1961/1000</f>
        <v>0</v>
      </c>
      <c r="M1957" s="85">
        <f>STATS1003B!M1961/1000</f>
        <v>0</v>
      </c>
      <c r="N1957" s="85">
        <f>STATS1003B!N1961/1000</f>
        <v>570.94100000000003</v>
      </c>
      <c r="O1957" s="85">
        <f>STATS1003B!O1961/1000</f>
        <v>0</v>
      </c>
      <c r="P1957" s="85">
        <f>STATS1003B!P1961/1000</f>
        <v>570.94100000000003</v>
      </c>
      <c r="Q1957" s="85">
        <f>STATS1003B!Q1961/1000</f>
        <v>0</v>
      </c>
      <c r="R1957" s="85">
        <f>STATS1003B!R1961/1000</f>
        <v>0</v>
      </c>
      <c r="S1957" s="85">
        <f>STATS1003B!S1961/1000</f>
        <v>0</v>
      </c>
      <c r="T1957" s="85">
        <f>STATS1003B!T1961/1000</f>
        <v>0</v>
      </c>
      <c r="U1957" s="85">
        <f>STATS1003B!U1961/1000</f>
        <v>570.94100000000003</v>
      </c>
      <c r="V1957" s="85">
        <f>STATS1003B!V1961/1000</f>
        <v>0</v>
      </c>
      <c r="W1957" s="85">
        <f>STATS1003B!W1961/1000</f>
        <v>0</v>
      </c>
      <c r="X1957" s="85">
        <f t="shared" si="217"/>
        <v>570.94100000000003</v>
      </c>
      <c r="Y1957" s="85">
        <f>STATS1003B!Y1961/1000</f>
        <v>0</v>
      </c>
      <c r="Z1957" s="85">
        <f t="shared" si="212"/>
        <v>0</v>
      </c>
      <c r="AA1957" s="69">
        <f>STATS1003B!AA1961/1000</f>
        <v>570.94100000000003</v>
      </c>
      <c r="AB1957" s="69">
        <f>STATS1003B!AB1961/1000</f>
        <v>0</v>
      </c>
    </row>
    <row r="1958" spans="1:28" hidden="1" x14ac:dyDescent="0.3">
      <c r="A1958" s="117"/>
      <c r="C1958" s="68" t="s">
        <v>535</v>
      </c>
      <c r="D1958" s="87" t="s">
        <v>128</v>
      </c>
      <c r="E1958" s="85">
        <f>STATS1003B!E1962/1000</f>
        <v>701.01800000000003</v>
      </c>
      <c r="F1958" s="85">
        <f>STATS1003B!F1962/1000</f>
        <v>701.01800000000003</v>
      </c>
      <c r="G1958" s="85">
        <f>STATS1003B!G1962/1000</f>
        <v>0</v>
      </c>
      <c r="H1958" s="85">
        <f>STATS1003B!H1962/1000</f>
        <v>701.01800000000003</v>
      </c>
      <c r="I1958" s="85">
        <f>STATS1003B!I1962/1000</f>
        <v>0</v>
      </c>
      <c r="J1958" s="85">
        <f>STATS1003B!J1962/1000</f>
        <v>701.01800000000003</v>
      </c>
      <c r="K1958" s="85">
        <f>STATS1003B!K1962/1000</f>
        <v>0</v>
      </c>
      <c r="L1958" s="85">
        <f>STATS1003B!L1962/1000</f>
        <v>0</v>
      </c>
      <c r="M1958" s="85">
        <f>STATS1003B!M1962/1000</f>
        <v>701.01800000000003</v>
      </c>
      <c r="N1958" s="85">
        <f>STATS1003B!N1962/1000</f>
        <v>0</v>
      </c>
      <c r="O1958" s="85">
        <f>STATS1003B!O1962/1000</f>
        <v>0</v>
      </c>
      <c r="P1958" s="85">
        <f>STATS1003B!P1962/1000</f>
        <v>0</v>
      </c>
      <c r="Q1958" s="85">
        <f>STATS1003B!Q1962/1000</f>
        <v>701.01800000000003</v>
      </c>
      <c r="R1958" s="85">
        <f>STATS1003B!R1962/1000</f>
        <v>0</v>
      </c>
      <c r="S1958" s="85">
        <f>STATS1003B!S1962/1000</f>
        <v>0</v>
      </c>
      <c r="T1958" s="85">
        <f>STATS1003B!T1962/1000</f>
        <v>0</v>
      </c>
      <c r="U1958" s="85">
        <f>STATS1003B!U1962/1000</f>
        <v>0</v>
      </c>
      <c r="V1958" s="85">
        <f>STATS1003B!V1962/1000</f>
        <v>0</v>
      </c>
      <c r="W1958" s="85">
        <f>STATS1003B!W1962/1000</f>
        <v>0</v>
      </c>
      <c r="X1958" s="85">
        <f t="shared" si="217"/>
        <v>701.01800000000003</v>
      </c>
      <c r="Y1958" s="85">
        <f>STATS1003B!Y1962/1000</f>
        <v>0</v>
      </c>
      <c r="Z1958" s="85">
        <f t="shared" si="212"/>
        <v>0</v>
      </c>
      <c r="AA1958" s="69">
        <f>STATS1003B!AA1962/1000</f>
        <v>701.01800000000003</v>
      </c>
      <c r="AB1958" s="69">
        <f>STATS1003B!AB1962/1000</f>
        <v>0</v>
      </c>
    </row>
    <row r="1959" spans="1:28" hidden="1" x14ac:dyDescent="0.3">
      <c r="A1959" s="117"/>
      <c r="C1959" s="68" t="s">
        <v>535</v>
      </c>
      <c r="D1959" s="87" t="s">
        <v>88</v>
      </c>
      <c r="E1959" s="85">
        <f>STATS1003B!E1963/1000</f>
        <v>1251.1590000000001</v>
      </c>
      <c r="F1959" s="85">
        <f>STATS1003B!F1963/1000</f>
        <v>1251.1590000000001</v>
      </c>
      <c r="G1959" s="85">
        <f>STATS1003B!G1963/1000</f>
        <v>0</v>
      </c>
      <c r="H1959" s="85">
        <f>STATS1003B!H1963/1000</f>
        <v>1251.1590000000001</v>
      </c>
      <c r="I1959" s="85">
        <f>STATS1003B!I1963/1000</f>
        <v>0</v>
      </c>
      <c r="J1959" s="85">
        <f>STATS1003B!J1963/1000</f>
        <v>1251.1590000000001</v>
      </c>
      <c r="K1959" s="85">
        <f>STATS1003B!K1963/1000</f>
        <v>0</v>
      </c>
      <c r="L1959" s="85">
        <f>STATS1003B!L1963/1000</f>
        <v>0</v>
      </c>
      <c r="M1959" s="85">
        <f>STATS1003B!M1963/1000</f>
        <v>1251.1590000000001</v>
      </c>
      <c r="N1959" s="85">
        <f>STATS1003B!N1963/1000</f>
        <v>0</v>
      </c>
      <c r="O1959" s="85">
        <f>STATS1003B!O1963/1000</f>
        <v>0</v>
      </c>
      <c r="P1959" s="85">
        <f>STATS1003B!P1963/1000</f>
        <v>0</v>
      </c>
      <c r="Q1959" s="85">
        <f>STATS1003B!Q1963/1000</f>
        <v>1251.1590000000001</v>
      </c>
      <c r="R1959" s="85">
        <f>STATS1003B!R1963/1000</f>
        <v>0</v>
      </c>
      <c r="S1959" s="85">
        <f>STATS1003B!S1963/1000</f>
        <v>0</v>
      </c>
      <c r="T1959" s="85">
        <f>STATS1003B!T1963/1000</f>
        <v>0</v>
      </c>
      <c r="U1959" s="85">
        <f>STATS1003B!U1963/1000</f>
        <v>0</v>
      </c>
      <c r="V1959" s="85">
        <f>STATS1003B!V1963/1000</f>
        <v>0</v>
      </c>
      <c r="W1959" s="85">
        <f>STATS1003B!W1963/1000</f>
        <v>0</v>
      </c>
      <c r="X1959" s="85">
        <f t="shared" si="217"/>
        <v>1251.1590000000001</v>
      </c>
      <c r="Y1959" s="85">
        <f>STATS1003B!Y1963/1000</f>
        <v>0</v>
      </c>
      <c r="Z1959" s="85">
        <f t="shared" ref="Z1959:Z1967" si="220">+E1959-X1959</f>
        <v>0</v>
      </c>
      <c r="AA1959" s="69">
        <f>STATS1003B!AA1963/1000</f>
        <v>1251.1590000000001</v>
      </c>
      <c r="AB1959" s="69">
        <f>STATS1003B!AB1963/1000</f>
        <v>0</v>
      </c>
    </row>
    <row r="1960" spans="1:28" hidden="1" x14ac:dyDescent="0.3">
      <c r="A1960" s="117"/>
      <c r="C1960" s="68" t="s">
        <v>535</v>
      </c>
      <c r="D1960" s="87" t="s">
        <v>108</v>
      </c>
      <c r="E1960" s="85">
        <f>STATS1003B!E1964/1000</f>
        <v>3010.9977799999997</v>
      </c>
      <c r="F1960" s="85">
        <f>STATS1003B!F1964/1000</f>
        <v>3010.9977799999997</v>
      </c>
      <c r="G1960" s="85">
        <f>STATS1003B!G1964/1000</f>
        <v>0</v>
      </c>
      <c r="H1960" s="85">
        <f>STATS1003B!H1964/1000</f>
        <v>3010.9977799999997</v>
      </c>
      <c r="I1960" s="85">
        <f>STATS1003B!I1964/1000</f>
        <v>0</v>
      </c>
      <c r="J1960" s="85">
        <f>STATS1003B!J1964/1000</f>
        <v>3010.9977799999997</v>
      </c>
      <c r="K1960" s="85">
        <f>STATS1003B!K1964/1000</f>
        <v>0</v>
      </c>
      <c r="L1960" s="85">
        <f>STATS1003B!L1964/1000</f>
        <v>0</v>
      </c>
      <c r="M1960" s="85">
        <f>STATS1003B!M1964/1000</f>
        <v>3010.9977799999997</v>
      </c>
      <c r="N1960" s="85">
        <f>STATS1003B!N1964/1000</f>
        <v>0</v>
      </c>
      <c r="O1960" s="85">
        <f>STATS1003B!O1964/1000</f>
        <v>0</v>
      </c>
      <c r="P1960" s="85">
        <f>STATS1003B!P1964/1000</f>
        <v>0</v>
      </c>
      <c r="Q1960" s="85">
        <f>STATS1003B!Q1964/1000</f>
        <v>3010.9977799999997</v>
      </c>
      <c r="R1960" s="85">
        <f>STATS1003B!R1964/1000</f>
        <v>0</v>
      </c>
      <c r="S1960" s="85">
        <f>STATS1003B!S1964/1000</f>
        <v>0</v>
      </c>
      <c r="T1960" s="85">
        <f>STATS1003B!T1964/1000</f>
        <v>0</v>
      </c>
      <c r="U1960" s="85">
        <f>STATS1003B!U1964/1000</f>
        <v>0</v>
      </c>
      <c r="V1960" s="85">
        <f>STATS1003B!V1964/1000</f>
        <v>0</v>
      </c>
      <c r="W1960" s="85">
        <f>STATS1003B!W1964/1000</f>
        <v>0</v>
      </c>
      <c r="X1960" s="85">
        <f t="shared" si="217"/>
        <v>3010.9977799999997</v>
      </c>
      <c r="Y1960" s="85">
        <f>STATS1003B!Y1964/1000</f>
        <v>0</v>
      </c>
      <c r="Z1960" s="85">
        <f t="shared" si="220"/>
        <v>0</v>
      </c>
      <c r="AA1960" s="69">
        <f>STATS1003B!AA1964/1000</f>
        <v>3010.9977799999997</v>
      </c>
      <c r="AB1960" s="69">
        <f>STATS1003B!AB1964/1000</f>
        <v>0</v>
      </c>
    </row>
    <row r="1961" spans="1:28" hidden="1" x14ac:dyDescent="0.3">
      <c r="A1961" s="117"/>
      <c r="C1961" s="68" t="s">
        <v>535</v>
      </c>
      <c r="D1961" s="87" t="s">
        <v>58</v>
      </c>
      <c r="E1961" s="85">
        <f>STATS1003B!E1965/1000</f>
        <v>2500</v>
      </c>
      <c r="F1961" s="85">
        <f>STATS1003B!F1965/1000</f>
        <v>2500</v>
      </c>
      <c r="G1961" s="85">
        <f>STATS1003B!G1965/1000</f>
        <v>0</v>
      </c>
      <c r="H1961" s="85">
        <f>STATS1003B!H1965/1000</f>
        <v>2500</v>
      </c>
      <c r="I1961" s="85">
        <f>STATS1003B!I1965/1000</f>
        <v>0</v>
      </c>
      <c r="J1961" s="85">
        <f>STATS1003B!J1965/1000</f>
        <v>2500</v>
      </c>
      <c r="K1961" s="85">
        <f>STATS1003B!K1965/1000</f>
        <v>0</v>
      </c>
      <c r="L1961" s="85">
        <f>STATS1003B!L1965/1000</f>
        <v>0</v>
      </c>
      <c r="M1961" s="85">
        <f>STATS1003B!M1965/1000</f>
        <v>2500</v>
      </c>
      <c r="N1961" s="85">
        <f>STATS1003B!N1965/1000</f>
        <v>0</v>
      </c>
      <c r="O1961" s="85">
        <f>STATS1003B!O1965/1000</f>
        <v>0</v>
      </c>
      <c r="P1961" s="85">
        <f>STATS1003B!P1965/1000</f>
        <v>0</v>
      </c>
      <c r="Q1961" s="85">
        <f>STATS1003B!Q1965/1000</f>
        <v>2500</v>
      </c>
      <c r="R1961" s="85">
        <f>STATS1003B!R1965/1000</f>
        <v>0</v>
      </c>
      <c r="S1961" s="85">
        <f>STATS1003B!S1965/1000</f>
        <v>0</v>
      </c>
      <c r="T1961" s="85">
        <f>STATS1003B!T1965/1000</f>
        <v>0</v>
      </c>
      <c r="U1961" s="85">
        <f>STATS1003B!U1965/1000</f>
        <v>0</v>
      </c>
      <c r="V1961" s="85">
        <f>STATS1003B!V1965/1000</f>
        <v>0</v>
      </c>
      <c r="W1961" s="85">
        <f>STATS1003B!W1965/1000</f>
        <v>0</v>
      </c>
      <c r="X1961" s="85">
        <f t="shared" si="217"/>
        <v>2500</v>
      </c>
      <c r="Y1961" s="85">
        <f>STATS1003B!Y1965/1000</f>
        <v>0</v>
      </c>
      <c r="Z1961" s="85">
        <f t="shared" si="220"/>
        <v>0</v>
      </c>
      <c r="AA1961" s="69">
        <f>STATS1003B!AA1965/1000</f>
        <v>2500</v>
      </c>
      <c r="AB1961" s="69">
        <f>STATS1003B!AB1965/1000</f>
        <v>0</v>
      </c>
    </row>
    <row r="1962" spans="1:28" hidden="1" x14ac:dyDescent="0.3">
      <c r="A1962" s="117"/>
      <c r="C1962" s="68" t="s">
        <v>535</v>
      </c>
      <c r="D1962" s="87" t="s">
        <v>61</v>
      </c>
      <c r="E1962" s="85">
        <f>STATS1003B!E1966/1000</f>
        <v>493</v>
      </c>
      <c r="F1962" s="85">
        <f>STATS1003B!F1966/1000</f>
        <v>493</v>
      </c>
      <c r="G1962" s="85">
        <f>STATS1003B!G1966/1000</f>
        <v>0</v>
      </c>
      <c r="H1962" s="85">
        <f>STATS1003B!H1966/1000</f>
        <v>493</v>
      </c>
      <c r="I1962" s="85">
        <f>STATS1003B!I1966/1000</f>
        <v>0</v>
      </c>
      <c r="J1962" s="85">
        <f>STATS1003B!J1966/1000</f>
        <v>493</v>
      </c>
      <c r="K1962" s="85">
        <f>STATS1003B!K1966/1000</f>
        <v>0</v>
      </c>
      <c r="L1962" s="85">
        <f>STATS1003B!L1966/1000</f>
        <v>0</v>
      </c>
      <c r="M1962" s="85">
        <f>STATS1003B!M1966/1000</f>
        <v>493</v>
      </c>
      <c r="N1962" s="85">
        <f>STATS1003B!N1966/1000</f>
        <v>0</v>
      </c>
      <c r="O1962" s="85">
        <f>STATS1003B!O1966/1000</f>
        <v>0</v>
      </c>
      <c r="P1962" s="85">
        <f>STATS1003B!P1966/1000</f>
        <v>0</v>
      </c>
      <c r="Q1962" s="85">
        <f>STATS1003B!Q1966/1000</f>
        <v>493</v>
      </c>
      <c r="R1962" s="85">
        <f>STATS1003B!R1966/1000</f>
        <v>0</v>
      </c>
      <c r="S1962" s="85">
        <f>STATS1003B!S1966/1000</f>
        <v>0</v>
      </c>
      <c r="T1962" s="85">
        <f>STATS1003B!T1966/1000</f>
        <v>0</v>
      </c>
      <c r="U1962" s="85">
        <f>STATS1003B!U1966/1000</f>
        <v>0</v>
      </c>
      <c r="V1962" s="85">
        <f>STATS1003B!V1966/1000</f>
        <v>0</v>
      </c>
      <c r="W1962" s="85">
        <f>STATS1003B!W1966/1000</f>
        <v>0</v>
      </c>
      <c r="X1962" s="85">
        <f t="shared" si="217"/>
        <v>493</v>
      </c>
      <c r="Y1962" s="85">
        <f>STATS1003B!Y1966/1000</f>
        <v>0</v>
      </c>
      <c r="Z1962" s="85">
        <f t="shared" si="220"/>
        <v>0</v>
      </c>
      <c r="AA1962" s="69">
        <f>STATS1003B!AA1966/1000</f>
        <v>493</v>
      </c>
      <c r="AB1962" s="69">
        <f>STATS1003B!AB1966/1000</f>
        <v>0</v>
      </c>
    </row>
    <row r="1963" spans="1:28" hidden="1" x14ac:dyDescent="0.3">
      <c r="A1963" s="117"/>
      <c r="C1963" s="68" t="s">
        <v>933</v>
      </c>
      <c r="D1963" s="90" t="s">
        <v>1072</v>
      </c>
      <c r="E1963" s="85">
        <f>STATS1003B!E1967/1000</f>
        <v>635.62</v>
      </c>
      <c r="F1963" s="85">
        <f>STATS1003B!F1967/1000</f>
        <v>635.62</v>
      </c>
      <c r="G1963" s="85">
        <f>STATS1003B!G1967/1000</f>
        <v>0</v>
      </c>
      <c r="H1963" s="85">
        <f>STATS1003B!H1967/1000</f>
        <v>635.62</v>
      </c>
      <c r="I1963" s="85">
        <f>STATS1003B!I1967/1000</f>
        <v>0</v>
      </c>
      <c r="J1963" s="85">
        <f>STATS1003B!J1967/1000</f>
        <v>635.62</v>
      </c>
      <c r="K1963" s="85">
        <f>STATS1003B!K1967/1000</f>
        <v>0</v>
      </c>
      <c r="L1963" s="85">
        <f>STATS1003B!L1967/1000</f>
        <v>0</v>
      </c>
      <c r="M1963" s="85">
        <f>STATS1003B!M1967/1000</f>
        <v>635.62</v>
      </c>
      <c r="N1963" s="85">
        <f>STATS1003B!N1967/1000</f>
        <v>0</v>
      </c>
      <c r="O1963" s="85">
        <f>STATS1003B!O1967/1000</f>
        <v>0</v>
      </c>
      <c r="P1963" s="85">
        <f>STATS1003B!P1967/1000</f>
        <v>0</v>
      </c>
      <c r="Q1963" s="85">
        <f>STATS1003B!Q1967/1000</f>
        <v>635.62</v>
      </c>
      <c r="R1963" s="85">
        <f>STATS1003B!R1967/1000</f>
        <v>0</v>
      </c>
      <c r="S1963" s="85">
        <f>STATS1003B!S1967/1000</f>
        <v>0</v>
      </c>
      <c r="T1963" s="85">
        <f>STATS1003B!T1967/1000</f>
        <v>0</v>
      </c>
      <c r="U1963" s="85">
        <f>STATS1003B!U1967/1000</f>
        <v>0</v>
      </c>
      <c r="V1963" s="85">
        <f>STATS1003B!V1967/1000</f>
        <v>0</v>
      </c>
      <c r="W1963" s="85">
        <f>STATS1003B!W1967/1000</f>
        <v>0</v>
      </c>
      <c r="X1963" s="85">
        <f t="shared" si="217"/>
        <v>635.62</v>
      </c>
      <c r="Y1963" s="85">
        <f>STATS1003B!Y1967/1000</f>
        <v>0</v>
      </c>
      <c r="Z1963" s="85">
        <f t="shared" si="220"/>
        <v>0</v>
      </c>
      <c r="AA1963" s="69">
        <f>STATS1003B!AA1967/1000</f>
        <v>635.62</v>
      </c>
      <c r="AB1963" s="69">
        <f>STATS1003B!AB1967/1000</f>
        <v>0</v>
      </c>
    </row>
    <row r="1964" spans="1:28" hidden="1" x14ac:dyDescent="0.3">
      <c r="A1964" s="117"/>
      <c r="C1964" s="68" t="s">
        <v>598</v>
      </c>
      <c r="E1964" s="85">
        <f>STATS1003B!E1968/1000</f>
        <v>783.24599999999998</v>
      </c>
      <c r="F1964" s="85">
        <f>STATS1003B!F1968/1000</f>
        <v>783.24599999999998</v>
      </c>
      <c r="G1964" s="85">
        <f>STATS1003B!G1968/1000</f>
        <v>0</v>
      </c>
      <c r="H1964" s="85">
        <f>STATS1003B!H1968/1000</f>
        <v>783.24599999999998</v>
      </c>
      <c r="I1964" s="85">
        <f>STATS1003B!I1968/1000</f>
        <v>0</v>
      </c>
      <c r="J1964" s="85">
        <f>STATS1003B!J1968/1000</f>
        <v>783.24599999999998</v>
      </c>
      <c r="K1964" s="85">
        <f>STATS1003B!K1968/1000</f>
        <v>0</v>
      </c>
      <c r="L1964" s="85">
        <f>STATS1003B!L1968/1000</f>
        <v>0</v>
      </c>
      <c r="M1964" s="85">
        <f>STATS1003B!M1968/1000</f>
        <v>783.24599999999998</v>
      </c>
      <c r="N1964" s="85">
        <f>STATS1003B!N1968/1000</f>
        <v>0</v>
      </c>
      <c r="O1964" s="85">
        <f>STATS1003B!O1968/1000</f>
        <v>0</v>
      </c>
      <c r="P1964" s="85">
        <f>STATS1003B!P1968/1000</f>
        <v>0</v>
      </c>
      <c r="Q1964" s="85">
        <f>STATS1003B!Q1968/1000</f>
        <v>783.24599999999998</v>
      </c>
      <c r="R1964" s="85">
        <f>STATS1003B!R1968/1000</f>
        <v>0</v>
      </c>
      <c r="S1964" s="85">
        <f>STATS1003B!S1968/1000</f>
        <v>0</v>
      </c>
      <c r="T1964" s="85">
        <f>STATS1003B!T1968/1000</f>
        <v>0</v>
      </c>
      <c r="U1964" s="85">
        <f>STATS1003B!U1968/1000</f>
        <v>0</v>
      </c>
      <c r="V1964" s="85">
        <f>STATS1003B!V1968/1000</f>
        <v>0</v>
      </c>
      <c r="W1964" s="85">
        <f>STATS1003B!W1968/1000</f>
        <v>0</v>
      </c>
      <c r="X1964" s="85">
        <f t="shared" si="217"/>
        <v>783.24599999999998</v>
      </c>
      <c r="Y1964" s="85">
        <f>STATS1003B!Y1968/1000</f>
        <v>0</v>
      </c>
      <c r="Z1964" s="85">
        <f t="shared" si="220"/>
        <v>0</v>
      </c>
      <c r="AA1964" s="69">
        <f>STATS1003B!AA1968/1000</f>
        <v>783.24599999999998</v>
      </c>
      <c r="AB1964" s="69">
        <f>STATS1003B!AB1968/1000</f>
        <v>0</v>
      </c>
    </row>
    <row r="1965" spans="1:28" hidden="1" x14ac:dyDescent="0.3">
      <c r="A1965" s="117"/>
      <c r="C1965" s="68" t="s">
        <v>606</v>
      </c>
      <c r="E1965" s="85">
        <f>STATS1003B!E1969/1000</f>
        <v>3914.5781499999998</v>
      </c>
      <c r="F1965" s="85">
        <f>STATS1003B!F1969/1000</f>
        <v>3914.5781499999998</v>
      </c>
      <c r="G1965" s="85">
        <f>STATS1003B!G1969/1000</f>
        <v>0</v>
      </c>
      <c r="H1965" s="85">
        <f>STATS1003B!H1969/1000</f>
        <v>3914.5781499999998</v>
      </c>
      <c r="I1965" s="85">
        <f>STATS1003B!I1969/1000</f>
        <v>0</v>
      </c>
      <c r="J1965" s="85">
        <f>STATS1003B!J1969/1000</f>
        <v>3914.5781499999998</v>
      </c>
      <c r="K1965" s="85">
        <f>STATS1003B!K1969/1000</f>
        <v>0</v>
      </c>
      <c r="L1965" s="85">
        <f>STATS1003B!L1969/1000</f>
        <v>0</v>
      </c>
      <c r="M1965" s="85">
        <f>STATS1003B!M1969/1000</f>
        <v>3914.5781499999998</v>
      </c>
      <c r="N1965" s="85">
        <f>STATS1003B!N1969/1000</f>
        <v>0</v>
      </c>
      <c r="O1965" s="85">
        <f>STATS1003B!O1969/1000</f>
        <v>0</v>
      </c>
      <c r="P1965" s="85">
        <f>STATS1003B!P1969/1000</f>
        <v>0</v>
      </c>
      <c r="Q1965" s="85">
        <f>STATS1003B!Q1969/1000</f>
        <v>3914.5781499999998</v>
      </c>
      <c r="R1965" s="85">
        <f>STATS1003B!R1969/1000</f>
        <v>0</v>
      </c>
      <c r="S1965" s="85">
        <f>STATS1003B!S1969/1000</f>
        <v>0</v>
      </c>
      <c r="T1965" s="85">
        <f>STATS1003B!T1969/1000</f>
        <v>0</v>
      </c>
      <c r="U1965" s="85">
        <f>STATS1003B!U1969/1000</f>
        <v>0</v>
      </c>
      <c r="V1965" s="85">
        <f>STATS1003B!V1969/1000</f>
        <v>0</v>
      </c>
      <c r="W1965" s="85">
        <f>STATS1003B!W1969/1000</f>
        <v>0</v>
      </c>
      <c r="X1965" s="85">
        <f t="shared" si="217"/>
        <v>3914.5781499999998</v>
      </c>
      <c r="Y1965" s="85">
        <f>STATS1003B!Y1969/1000</f>
        <v>0</v>
      </c>
      <c r="Z1965" s="85">
        <f t="shared" si="220"/>
        <v>0</v>
      </c>
      <c r="AA1965" s="69">
        <f>STATS1003B!AA1969/1000</f>
        <v>3914.5781499999998</v>
      </c>
      <c r="AB1965" s="69">
        <f>STATS1003B!AB1969/1000</f>
        <v>0</v>
      </c>
    </row>
    <row r="1966" spans="1:28" hidden="1" x14ac:dyDescent="0.3">
      <c r="A1966" s="117"/>
      <c r="E1966" s="86" t="s">
        <v>29</v>
      </c>
      <c r="F1966" s="86" t="s">
        <v>29</v>
      </c>
      <c r="G1966" s="86" t="s">
        <v>29</v>
      </c>
      <c r="H1966" s="86" t="s">
        <v>29</v>
      </c>
      <c r="I1966" s="86" t="s">
        <v>29</v>
      </c>
      <c r="J1966" s="86" t="s">
        <v>29</v>
      </c>
      <c r="K1966" s="86" t="s">
        <v>29</v>
      </c>
      <c r="L1966" s="86" t="s">
        <v>29</v>
      </c>
      <c r="M1966" s="86" t="s">
        <v>29</v>
      </c>
      <c r="N1966" s="86" t="s">
        <v>29</v>
      </c>
      <c r="O1966" s="86" t="s">
        <v>29</v>
      </c>
      <c r="P1966" s="86" t="s">
        <v>29</v>
      </c>
      <c r="Q1966" s="86" t="s">
        <v>29</v>
      </c>
      <c r="R1966" s="86"/>
      <c r="S1966" s="86"/>
      <c r="T1966" s="86"/>
      <c r="U1966" s="86"/>
      <c r="V1966" s="86"/>
      <c r="W1966" s="86"/>
      <c r="X1966" s="85" t="e">
        <f t="shared" si="217"/>
        <v>#VALUE!</v>
      </c>
      <c r="Y1966" s="86"/>
      <c r="Z1966" s="85" t="e">
        <f t="shared" si="220"/>
        <v>#VALUE!</v>
      </c>
      <c r="AA1966" s="115" t="s">
        <v>29</v>
      </c>
      <c r="AB1966" s="115" t="s">
        <v>29</v>
      </c>
    </row>
    <row r="1967" spans="1:28" x14ac:dyDescent="0.3">
      <c r="A1967" s="116">
        <v>86</v>
      </c>
      <c r="B1967" s="68" t="s">
        <v>796</v>
      </c>
      <c r="E1967" s="85">
        <f>47884105.05/1000</f>
        <v>47884.105049999998</v>
      </c>
      <c r="F1967" s="85">
        <f t="shared" ref="F1967:Q1967" si="221">SUM(F1954:F1966)</f>
        <v>16177.4378</v>
      </c>
      <c r="G1967" s="85">
        <f t="shared" si="221"/>
        <v>0</v>
      </c>
      <c r="H1967" s="85">
        <f>46552522.65/1000</f>
        <v>46552.522649999999</v>
      </c>
      <c r="I1967" s="85">
        <f t="shared" si="221"/>
        <v>0</v>
      </c>
      <c r="J1967" s="85">
        <f t="shared" si="221"/>
        <v>16177.4378</v>
      </c>
      <c r="K1967" s="85">
        <f t="shared" si="221"/>
        <v>1331.5824</v>
      </c>
      <c r="L1967" s="85">
        <f t="shared" si="221"/>
        <v>0</v>
      </c>
      <c r="M1967" s="85">
        <f t="shared" si="221"/>
        <v>16177.4378</v>
      </c>
      <c r="N1967" s="85">
        <f t="shared" si="221"/>
        <v>1331.5824</v>
      </c>
      <c r="O1967" s="85">
        <f t="shared" si="221"/>
        <v>0</v>
      </c>
      <c r="P1967" s="85">
        <f>1331582/1000</f>
        <v>1331.5820000000001</v>
      </c>
      <c r="Q1967" s="85">
        <f t="shared" si="221"/>
        <v>16177.4378</v>
      </c>
      <c r="R1967" s="86"/>
      <c r="S1967" s="86"/>
      <c r="T1967" s="85">
        <f t="shared" ref="T1967:Y1967" si="222">SUM(T1954:T1966)</f>
        <v>0</v>
      </c>
      <c r="U1967" s="85">
        <f t="shared" si="222"/>
        <v>1331.5824</v>
      </c>
      <c r="V1967" s="85">
        <f t="shared" si="222"/>
        <v>0</v>
      </c>
      <c r="W1967" s="85">
        <f t="shared" si="222"/>
        <v>0</v>
      </c>
      <c r="X1967" s="85">
        <f>+H1967+P1967</f>
        <v>47884.104650000001</v>
      </c>
      <c r="Y1967" s="85">
        <f t="shared" si="222"/>
        <v>0</v>
      </c>
      <c r="Z1967" s="85">
        <f t="shared" si="220"/>
        <v>3.9999999717110768E-4</v>
      </c>
      <c r="AA1967" s="69">
        <f>SUM(AA1954:AA1966)</f>
        <v>17509.020199999999</v>
      </c>
      <c r="AB1967" s="69">
        <f>SUM(AB1954:AB1966)</f>
        <v>0</v>
      </c>
    </row>
    <row r="1968" spans="1:28" x14ac:dyDescent="0.3">
      <c r="A1968" s="117"/>
      <c r="E1968" s="86"/>
      <c r="F1968" s="86"/>
      <c r="G1968" s="86"/>
      <c r="H1968" s="86"/>
      <c r="I1968" s="86"/>
      <c r="J1968" s="86"/>
      <c r="K1968" s="86"/>
      <c r="L1968" s="86"/>
      <c r="M1968" s="86"/>
      <c r="N1968" s="86"/>
      <c r="O1968" s="86"/>
      <c r="P1968" s="86"/>
      <c r="Q1968" s="86"/>
      <c r="R1968" s="86"/>
      <c r="S1968" s="86"/>
      <c r="T1968" s="86"/>
      <c r="U1968" s="86"/>
      <c r="V1968" s="86"/>
      <c r="W1968" s="86"/>
      <c r="X1968" s="86"/>
      <c r="Y1968" s="86"/>
      <c r="Z1968" s="86"/>
      <c r="AA1968" s="115" t="s">
        <v>29</v>
      </c>
      <c r="AB1968" s="115" t="s">
        <v>29</v>
      </c>
    </row>
    <row r="1969" spans="1:28" s="106" customFormat="1" x14ac:dyDescent="0.3">
      <c r="A1969" s="104"/>
      <c r="B1969" s="7" t="s">
        <v>798</v>
      </c>
      <c r="C1969" s="7" t="s">
        <v>3</v>
      </c>
      <c r="D1969" s="8"/>
      <c r="E1969" s="82">
        <f t="shared" ref="E1969:AB1969" si="223">E1758+E1767+E1784+E1802+E1820+E1843+E1865+E1899+E1922+E1951+E1967</f>
        <v>1323214.8501599999</v>
      </c>
      <c r="F1969" s="82">
        <f t="shared" si="223"/>
        <v>475140.84604999999</v>
      </c>
      <c r="G1969" s="82">
        <f t="shared" si="223"/>
        <v>38499.391910000006</v>
      </c>
      <c r="H1969" s="82">
        <f t="shared" si="223"/>
        <v>1263572.2426399998</v>
      </c>
      <c r="I1969" s="82">
        <f t="shared" si="223"/>
        <v>7713.02153</v>
      </c>
      <c r="J1969" s="82">
        <f t="shared" si="223"/>
        <v>441559.24453000008</v>
      </c>
      <c r="K1969" s="82">
        <f t="shared" si="223"/>
        <v>51763.553460000003</v>
      </c>
      <c r="L1969" s="82">
        <f t="shared" si="223"/>
        <v>7713.02153</v>
      </c>
      <c r="M1969" s="82">
        <f t="shared" si="223"/>
        <v>521353.25949000003</v>
      </c>
      <c r="N1969" s="82">
        <f t="shared" si="223"/>
        <v>51763.553460000003</v>
      </c>
      <c r="O1969" s="82">
        <f t="shared" si="223"/>
        <v>0</v>
      </c>
      <c r="P1969" s="82">
        <f t="shared" si="223"/>
        <v>51763.547000000006</v>
      </c>
      <c r="Q1969" s="82">
        <f t="shared" si="223"/>
        <v>371610.24625000003</v>
      </c>
      <c r="R1969" s="82">
        <f t="shared" si="223"/>
        <v>0</v>
      </c>
      <c r="S1969" s="82">
        <f t="shared" si="223"/>
        <v>0</v>
      </c>
      <c r="T1969" s="82">
        <f t="shared" si="223"/>
        <v>166.03253000000001</v>
      </c>
      <c r="U1969" s="82">
        <f t="shared" si="223"/>
        <v>51929.58599</v>
      </c>
      <c r="V1969" s="82">
        <f t="shared" si="223"/>
        <v>0</v>
      </c>
      <c r="W1969" s="82">
        <f t="shared" si="223"/>
        <v>0</v>
      </c>
      <c r="X1969" s="82">
        <f t="shared" si="223"/>
        <v>1315335.7896400001</v>
      </c>
      <c r="Y1969" s="82">
        <f t="shared" si="223"/>
        <v>0</v>
      </c>
      <c r="Z1969" s="82">
        <f t="shared" si="223"/>
        <v>7879.0605199999991</v>
      </c>
      <c r="AA1969" s="9">
        <f t="shared" si="223"/>
        <v>573282.84548000002</v>
      </c>
      <c r="AB1969" s="9">
        <f t="shared" si="223"/>
        <v>-1.3799999942420982E-3</v>
      </c>
    </row>
    <row r="1970" spans="1:28" x14ac:dyDescent="0.3">
      <c r="A1970" s="117"/>
      <c r="E1970" s="86"/>
      <c r="F1970" s="86"/>
      <c r="G1970" s="86"/>
      <c r="H1970" s="86"/>
      <c r="I1970" s="86"/>
      <c r="J1970" s="86"/>
      <c r="K1970" s="86"/>
      <c r="L1970" s="86"/>
      <c r="M1970" s="86"/>
      <c r="N1970" s="86"/>
      <c r="O1970" s="86"/>
      <c r="P1970" s="86"/>
      <c r="Q1970" s="86"/>
      <c r="R1970" s="86"/>
      <c r="S1970" s="86"/>
      <c r="T1970" s="86"/>
      <c r="U1970" s="86"/>
      <c r="V1970" s="86"/>
      <c r="W1970" s="86"/>
      <c r="X1970" s="86"/>
      <c r="Y1970" s="86"/>
      <c r="Z1970" s="86"/>
      <c r="AA1970" s="115" t="s">
        <v>114</v>
      </c>
      <c r="AB1970" s="115" t="s">
        <v>114</v>
      </c>
    </row>
    <row r="1971" spans="1:28" x14ac:dyDescent="0.3">
      <c r="A1971" s="117"/>
      <c r="E1971" s="86"/>
      <c r="F1971" s="86"/>
      <c r="G1971" s="86"/>
      <c r="H1971" s="86"/>
      <c r="I1971" s="86"/>
      <c r="J1971" s="86"/>
      <c r="K1971" s="86"/>
      <c r="L1971" s="86"/>
      <c r="M1971" s="86"/>
      <c r="N1971" s="86"/>
      <c r="O1971" s="86"/>
      <c r="P1971" s="86"/>
      <c r="Q1971" s="86"/>
      <c r="R1971" s="86"/>
      <c r="S1971" s="86"/>
      <c r="T1971" s="86"/>
      <c r="U1971" s="86"/>
      <c r="V1971" s="86"/>
      <c r="W1971" s="86"/>
      <c r="X1971" s="86"/>
      <c r="Y1971" s="86"/>
      <c r="Z1971" s="97"/>
      <c r="AA1971" s="118"/>
    </row>
    <row r="1972" spans="1:28" x14ac:dyDescent="0.3">
      <c r="A1972" s="117"/>
      <c r="B1972" s="68" t="s">
        <v>353</v>
      </c>
      <c r="E1972" s="84"/>
      <c r="F1972" s="84"/>
      <c r="G1972" s="84"/>
      <c r="H1972" s="84"/>
      <c r="I1972" s="84"/>
      <c r="J1972" s="84"/>
      <c r="K1972" s="84"/>
      <c r="L1972" s="84"/>
      <c r="M1972" s="84"/>
      <c r="N1972" s="84"/>
      <c r="O1972" s="84"/>
      <c r="P1972" s="84"/>
      <c r="Q1972" s="84"/>
      <c r="R1972" s="84"/>
      <c r="S1972" s="84"/>
      <c r="T1972" s="84"/>
      <c r="U1972" s="84"/>
      <c r="V1972" s="84"/>
      <c r="W1972" s="84"/>
      <c r="X1972" s="84"/>
      <c r="Y1972" s="84"/>
      <c r="Z1972" s="84"/>
    </row>
    <row r="1973" spans="1:28" hidden="1" x14ac:dyDescent="0.3">
      <c r="A1973" s="117"/>
      <c r="E1973" s="84"/>
      <c r="F1973" s="84"/>
      <c r="G1973" s="84"/>
      <c r="H1973" s="84"/>
      <c r="I1973" s="84"/>
      <c r="J1973" s="84"/>
      <c r="K1973" s="84"/>
      <c r="L1973" s="84"/>
      <c r="M1973" s="84"/>
      <c r="N1973" s="84"/>
      <c r="O1973" s="84"/>
      <c r="P1973" s="84"/>
      <c r="Q1973" s="84"/>
      <c r="R1973" s="84"/>
      <c r="S1973" s="84"/>
      <c r="T1973" s="84"/>
      <c r="U1973" s="84"/>
      <c r="V1973" s="84"/>
      <c r="W1973" s="84"/>
      <c r="X1973" s="84"/>
      <c r="Y1973" s="84"/>
      <c r="Z1973" s="84"/>
    </row>
    <row r="1974" spans="1:28" hidden="1" x14ac:dyDescent="0.3">
      <c r="A1974" s="105"/>
      <c r="E1974" s="84"/>
      <c r="F1974" s="84"/>
      <c r="G1974" s="84"/>
      <c r="H1974" s="84"/>
      <c r="I1974" s="84"/>
      <c r="J1974" s="84"/>
      <c r="K1974" s="84"/>
      <c r="L1974" s="84"/>
      <c r="M1974" s="84"/>
      <c r="N1974" s="84"/>
      <c r="O1974" s="84"/>
      <c r="P1974" s="84"/>
      <c r="Q1974" s="84"/>
      <c r="R1974" s="84"/>
      <c r="S1974" s="84"/>
      <c r="T1974" s="84"/>
      <c r="U1974" s="84"/>
      <c r="V1974" s="84"/>
      <c r="W1974" s="84"/>
      <c r="X1974" s="84"/>
      <c r="Y1974" s="84"/>
      <c r="Z1974" s="84"/>
    </row>
    <row r="1975" spans="1:28" hidden="1" x14ac:dyDescent="0.3">
      <c r="A1975" s="117"/>
      <c r="C1975" s="68" t="s">
        <v>355</v>
      </c>
      <c r="D1975" s="87" t="s">
        <v>306</v>
      </c>
      <c r="E1975" s="85">
        <f>STATS1003B!E1979/1000</f>
        <v>2320</v>
      </c>
      <c r="F1975" s="85">
        <f>STATS1003B!F1979/1000</f>
        <v>2320</v>
      </c>
      <c r="G1975" s="85">
        <f>STATS1003B!G1979/1000</f>
        <v>0</v>
      </c>
      <c r="H1975" s="85">
        <f>STATS1003B!H1979/1000</f>
        <v>2320</v>
      </c>
      <c r="I1975" s="85">
        <f>STATS1003B!I1979/1000</f>
        <v>0</v>
      </c>
      <c r="J1975" s="85">
        <f>STATS1003B!J1979/1000</f>
        <v>0</v>
      </c>
      <c r="K1975" s="85">
        <f>STATS1003B!K1979/1000</f>
        <v>0</v>
      </c>
      <c r="L1975" s="85">
        <f>STATS1003B!L1979/1000</f>
        <v>0</v>
      </c>
      <c r="M1975" s="85">
        <f>STATS1003B!M1979/1000</f>
        <v>2320</v>
      </c>
      <c r="N1975" s="85">
        <f>STATS1003B!N1979/1000</f>
        <v>0</v>
      </c>
      <c r="O1975" s="85">
        <f>STATS1003B!O1979/1000</f>
        <v>0</v>
      </c>
      <c r="P1975" s="85">
        <f>STATS1003B!P1979/1000</f>
        <v>0</v>
      </c>
      <c r="Q1975" s="85">
        <f>STATS1003B!Q1979/1000</f>
        <v>0</v>
      </c>
      <c r="R1975" s="85">
        <f>STATS1003B!R1979/1000</f>
        <v>0</v>
      </c>
      <c r="S1975" s="85">
        <f>STATS1003B!S1979/1000</f>
        <v>0</v>
      </c>
      <c r="T1975" s="85">
        <f>STATS1003B!T1979/1000</f>
        <v>0</v>
      </c>
      <c r="U1975" s="85">
        <f>STATS1003B!U1979/1000</f>
        <v>0</v>
      </c>
      <c r="V1975" s="85">
        <f>STATS1003B!V1979/1000</f>
        <v>2320</v>
      </c>
      <c r="W1975" s="85">
        <f>STATS1003B!W1979/1000</f>
        <v>0</v>
      </c>
      <c r="X1975" s="85">
        <f>STATS1003B!X1979/1000</f>
        <v>2320</v>
      </c>
      <c r="Y1975" s="85">
        <f>STATS1003B!Y1979/1000</f>
        <v>0</v>
      </c>
      <c r="Z1975" s="85">
        <f>STATS1003B!Z1979/1000</f>
        <v>0</v>
      </c>
      <c r="AA1975" s="69">
        <f>STATS1003B!AA1979/1000</f>
        <v>2320</v>
      </c>
      <c r="AB1975" s="69">
        <f>STATS1003B!AB1979/1000</f>
        <v>0</v>
      </c>
    </row>
    <row r="1976" spans="1:28" hidden="1" x14ac:dyDescent="0.3">
      <c r="A1976" s="117"/>
      <c r="C1976" s="68" t="s">
        <v>57</v>
      </c>
      <c r="D1976" s="87" t="s">
        <v>68</v>
      </c>
      <c r="E1976" s="85">
        <f>STATS1003B!E1980/1000</f>
        <v>1019.15264</v>
      </c>
      <c r="F1976" s="85">
        <f>STATS1003B!F1980/1000</f>
        <v>887.67198999999994</v>
      </c>
      <c r="G1976" s="85">
        <f>STATS1003B!G1980/1000</f>
        <v>0</v>
      </c>
      <c r="H1976" s="85">
        <f>STATS1003B!H1980/1000</f>
        <v>887.67198999999994</v>
      </c>
      <c r="I1976" s="85">
        <f>STATS1003B!I1980/1000</f>
        <v>0</v>
      </c>
      <c r="J1976" s="85">
        <f>STATS1003B!J1980/1000</f>
        <v>0</v>
      </c>
      <c r="K1976" s="85">
        <f>STATS1003B!K1980/1000</f>
        <v>0</v>
      </c>
      <c r="L1976" s="85">
        <f>STATS1003B!L1980/1000</f>
        <v>0</v>
      </c>
      <c r="M1976" s="85">
        <f>STATS1003B!M1980/1000</f>
        <v>887.67198999999994</v>
      </c>
      <c r="N1976" s="85">
        <f>STATS1003B!N1980/1000</f>
        <v>131.48065</v>
      </c>
      <c r="O1976" s="85">
        <f>STATS1003B!O1980/1000</f>
        <v>0</v>
      </c>
      <c r="P1976" s="85">
        <f>STATS1003B!P1980/1000</f>
        <v>131.48065</v>
      </c>
      <c r="Q1976" s="85">
        <f>STATS1003B!Q1980/1000</f>
        <v>0</v>
      </c>
      <c r="R1976" s="85">
        <f>STATS1003B!R1980/1000</f>
        <v>0</v>
      </c>
      <c r="S1976" s="85">
        <f>STATS1003B!S1980/1000</f>
        <v>0</v>
      </c>
      <c r="T1976" s="85">
        <f>STATS1003B!T1980/1000</f>
        <v>0</v>
      </c>
      <c r="U1976" s="85">
        <f>STATS1003B!U1980/1000</f>
        <v>131.48065</v>
      </c>
      <c r="V1976" s="85">
        <f>STATS1003B!V1980/1000</f>
        <v>1019.15264</v>
      </c>
      <c r="W1976" s="85">
        <f>STATS1003B!W1980/1000</f>
        <v>0</v>
      </c>
      <c r="X1976" s="85">
        <f>STATS1003B!X1980/1000</f>
        <v>1019.15264</v>
      </c>
      <c r="Y1976" s="85">
        <f>STATS1003B!Y1980/1000</f>
        <v>0</v>
      </c>
      <c r="Z1976" s="85">
        <f>STATS1003B!Z1980/1000</f>
        <v>0</v>
      </c>
      <c r="AA1976" s="69">
        <f>STATS1003B!AA1980/1000</f>
        <v>1019.15264</v>
      </c>
      <c r="AB1976" s="69">
        <f>STATS1003B!AB1980/1000</f>
        <v>0</v>
      </c>
    </row>
    <row r="1977" spans="1:28" hidden="1" x14ac:dyDescent="0.3">
      <c r="A1977" s="117"/>
      <c r="C1977" s="68" t="s">
        <v>53</v>
      </c>
      <c r="D1977" s="87" t="s">
        <v>68</v>
      </c>
      <c r="E1977" s="85">
        <f>STATS1003B!E1981/1000</f>
        <v>1953.989</v>
      </c>
      <c r="F1977" s="85">
        <f>STATS1003B!F1981/1000</f>
        <v>0</v>
      </c>
      <c r="G1977" s="85">
        <f>STATS1003B!G1981/1000</f>
        <v>0</v>
      </c>
      <c r="H1977" s="85">
        <f>STATS1003B!H1981/1000</f>
        <v>0</v>
      </c>
      <c r="I1977" s="85">
        <f>STATS1003B!I1981/1000</f>
        <v>0</v>
      </c>
      <c r="J1977" s="85">
        <f>STATS1003B!J1981/1000</f>
        <v>0</v>
      </c>
      <c r="K1977" s="85">
        <f>STATS1003B!K1981/1000</f>
        <v>0</v>
      </c>
      <c r="L1977" s="85">
        <f>STATS1003B!L1981/1000</f>
        <v>0</v>
      </c>
      <c r="M1977" s="85">
        <f>STATS1003B!M1981/1000</f>
        <v>0</v>
      </c>
      <c r="N1977" s="85">
        <f>STATS1003B!N1981/1000</f>
        <v>1953.989</v>
      </c>
      <c r="O1977" s="85">
        <f>STATS1003B!O1981/1000</f>
        <v>0</v>
      </c>
      <c r="P1977" s="85">
        <f>STATS1003B!P1981/1000</f>
        <v>1953.989</v>
      </c>
      <c r="Q1977" s="85">
        <f>STATS1003B!Q1981/1000</f>
        <v>0</v>
      </c>
      <c r="R1977" s="85">
        <f>STATS1003B!R1981/1000</f>
        <v>0</v>
      </c>
      <c r="S1977" s="85">
        <f>STATS1003B!S1981/1000</f>
        <v>0</v>
      </c>
      <c r="T1977" s="85">
        <f>STATS1003B!T1981/1000</f>
        <v>0</v>
      </c>
      <c r="U1977" s="85">
        <f>STATS1003B!U1981/1000</f>
        <v>1953.989</v>
      </c>
      <c r="V1977" s="85">
        <f>STATS1003B!V1981/1000</f>
        <v>1953.989</v>
      </c>
      <c r="W1977" s="85">
        <f>STATS1003B!W1981/1000</f>
        <v>0</v>
      </c>
      <c r="X1977" s="85">
        <f>STATS1003B!X1981/1000</f>
        <v>1953.989</v>
      </c>
      <c r="Y1977" s="85">
        <f>STATS1003B!Y1981/1000</f>
        <v>0</v>
      </c>
      <c r="Z1977" s="85">
        <f>STATS1003B!Z1981/1000</f>
        <v>0</v>
      </c>
      <c r="AA1977" s="69">
        <f>STATS1003B!AA1981/1000</f>
        <v>1953.989</v>
      </c>
      <c r="AB1977" s="69">
        <f>STATS1003B!AB1981/1000</f>
        <v>0</v>
      </c>
    </row>
    <row r="1978" spans="1:28" hidden="1" x14ac:dyDescent="0.3">
      <c r="A1978" s="117"/>
      <c r="C1978" s="68" t="s">
        <v>192</v>
      </c>
      <c r="D1978" s="87" t="s">
        <v>54</v>
      </c>
      <c r="E1978" s="85">
        <f>STATS1003B!E1982/1000</f>
        <v>955.34561999999994</v>
      </c>
      <c r="F1978" s="85">
        <f>STATS1003B!F1982/1000</f>
        <v>0</v>
      </c>
      <c r="G1978" s="85">
        <f>STATS1003B!G1982/1000</f>
        <v>0</v>
      </c>
      <c r="H1978" s="85">
        <f>STATS1003B!H1982/1000</f>
        <v>0</v>
      </c>
      <c r="I1978" s="85">
        <f>STATS1003B!I1982/1000</f>
        <v>0</v>
      </c>
      <c r="J1978" s="85">
        <f>STATS1003B!J1982/1000</f>
        <v>0</v>
      </c>
      <c r="K1978" s="85">
        <f>STATS1003B!K1982/1000</f>
        <v>0</v>
      </c>
      <c r="L1978" s="85">
        <f>STATS1003B!L1982/1000</f>
        <v>0</v>
      </c>
      <c r="M1978" s="85">
        <f>STATS1003B!M1982/1000</f>
        <v>0</v>
      </c>
      <c r="N1978" s="85">
        <f>STATS1003B!N1982/1000</f>
        <v>955.34561999999994</v>
      </c>
      <c r="O1978" s="85">
        <f>STATS1003B!O1982/1000</f>
        <v>0</v>
      </c>
      <c r="P1978" s="85">
        <f>STATS1003B!P1982/1000</f>
        <v>955.34561999999994</v>
      </c>
      <c r="Q1978" s="85">
        <f>STATS1003B!Q1982/1000</f>
        <v>0</v>
      </c>
      <c r="R1978" s="85">
        <f>STATS1003B!R1982/1000</f>
        <v>0</v>
      </c>
      <c r="S1978" s="85">
        <f>STATS1003B!S1982/1000</f>
        <v>0</v>
      </c>
      <c r="T1978" s="85">
        <f>STATS1003B!T1982/1000</f>
        <v>0</v>
      </c>
      <c r="U1978" s="85">
        <f>STATS1003B!U1982/1000</f>
        <v>955.34561999999994</v>
      </c>
      <c r="V1978" s="85">
        <f>STATS1003B!V1982/1000</f>
        <v>955.34561999999994</v>
      </c>
      <c r="W1978" s="85">
        <f>STATS1003B!W1982/1000</f>
        <v>0</v>
      </c>
      <c r="X1978" s="85">
        <f>STATS1003B!X1982/1000</f>
        <v>955.34561999999994</v>
      </c>
      <c r="Y1978" s="85">
        <f>STATS1003B!Y1982/1000</f>
        <v>0</v>
      </c>
      <c r="Z1978" s="85">
        <f>STATS1003B!Z1982/1000</f>
        <v>0</v>
      </c>
      <c r="AA1978" s="69">
        <f>STATS1003B!AA1982/1000</f>
        <v>955.34561999999994</v>
      </c>
      <c r="AB1978" s="69">
        <f>STATS1003B!AB1982/1000</f>
        <v>0</v>
      </c>
    </row>
    <row r="1979" spans="1:28" hidden="1" x14ac:dyDescent="0.3">
      <c r="A1979" s="117"/>
      <c r="C1979" s="68" t="s">
        <v>57</v>
      </c>
      <c r="D1979" s="87" t="s">
        <v>85</v>
      </c>
      <c r="E1979" s="85">
        <f>STATS1003B!E1983/1000</f>
        <v>1170</v>
      </c>
      <c r="F1979" s="85">
        <f>STATS1003B!F1983/1000</f>
        <v>1170</v>
      </c>
      <c r="G1979" s="85">
        <f>STATS1003B!G1983/1000</f>
        <v>0</v>
      </c>
      <c r="H1979" s="85">
        <f>STATS1003B!H1983/1000</f>
        <v>1170</v>
      </c>
      <c r="I1979" s="85">
        <f>STATS1003B!I1983/1000</f>
        <v>0</v>
      </c>
      <c r="J1979" s="85">
        <f>STATS1003B!J1983/1000</f>
        <v>0</v>
      </c>
      <c r="K1979" s="85">
        <f>STATS1003B!K1983/1000</f>
        <v>0</v>
      </c>
      <c r="L1979" s="85">
        <f>STATS1003B!L1983/1000</f>
        <v>0</v>
      </c>
      <c r="M1979" s="85">
        <f>STATS1003B!M1983/1000</f>
        <v>1170</v>
      </c>
      <c r="N1979" s="85">
        <f>STATS1003B!N1983/1000</f>
        <v>0</v>
      </c>
      <c r="O1979" s="85">
        <f>STATS1003B!O1983/1000</f>
        <v>0</v>
      </c>
      <c r="P1979" s="85">
        <f>STATS1003B!P1983/1000</f>
        <v>0</v>
      </c>
      <c r="Q1979" s="85">
        <f>STATS1003B!Q1983/1000</f>
        <v>0</v>
      </c>
      <c r="R1979" s="85">
        <f>STATS1003B!R1983/1000</f>
        <v>0</v>
      </c>
      <c r="S1979" s="85">
        <f>STATS1003B!S1983/1000</f>
        <v>0</v>
      </c>
      <c r="T1979" s="85">
        <f>STATS1003B!T1983/1000</f>
        <v>0</v>
      </c>
      <c r="U1979" s="85">
        <f>STATS1003B!U1983/1000</f>
        <v>0</v>
      </c>
      <c r="V1979" s="85">
        <f>STATS1003B!V1983/1000</f>
        <v>1170</v>
      </c>
      <c r="W1979" s="85">
        <f>STATS1003B!W1983/1000</f>
        <v>0</v>
      </c>
      <c r="X1979" s="85">
        <f>STATS1003B!X1983/1000</f>
        <v>1170</v>
      </c>
      <c r="Y1979" s="85">
        <f>STATS1003B!Y1983/1000</f>
        <v>0</v>
      </c>
      <c r="Z1979" s="85">
        <f>STATS1003B!Z1983/1000</f>
        <v>0</v>
      </c>
      <c r="AA1979" s="69">
        <f>STATS1003B!AA1983/1000</f>
        <v>1170</v>
      </c>
      <c r="AB1979" s="69">
        <f>STATS1003B!AB1983/1000</f>
        <v>0</v>
      </c>
    </row>
    <row r="1980" spans="1:28" hidden="1" x14ac:dyDescent="0.3">
      <c r="A1980" s="117"/>
      <c r="C1980" s="68" t="s">
        <v>57</v>
      </c>
      <c r="D1980" s="87" t="s">
        <v>88</v>
      </c>
      <c r="E1980" s="85">
        <f>STATS1003B!E1984/1000</f>
        <v>533.06500000000005</v>
      </c>
      <c r="F1980" s="85">
        <f>STATS1003B!F1984/1000</f>
        <v>533.06500000000005</v>
      </c>
      <c r="G1980" s="85">
        <v>0</v>
      </c>
      <c r="H1980" s="85">
        <f>STATS1003B!H1984/1000</f>
        <v>533.06500000000005</v>
      </c>
      <c r="I1980" s="85">
        <f>STATS1003B!I1984/1000</f>
        <v>0</v>
      </c>
      <c r="J1980" s="85">
        <f>STATS1003B!J1984/1000</f>
        <v>0</v>
      </c>
      <c r="K1980" s="85">
        <f>STATS1003B!K1984/1000</f>
        <v>0</v>
      </c>
      <c r="L1980" s="85">
        <f>STATS1003B!L1984/1000</f>
        <v>0</v>
      </c>
      <c r="M1980" s="85">
        <f>STATS1003B!M1984/1000</f>
        <v>533.06500000000005</v>
      </c>
      <c r="N1980" s="85">
        <f>STATS1003B!N1984/1000</f>
        <v>0</v>
      </c>
      <c r="O1980" s="85">
        <f>STATS1003B!O1984/1000</f>
        <v>0</v>
      </c>
      <c r="P1980" s="85">
        <f>STATS1003B!P1984/1000</f>
        <v>0</v>
      </c>
      <c r="Q1980" s="85">
        <f>STATS1003B!Q1984/1000</f>
        <v>0</v>
      </c>
      <c r="R1980" s="85">
        <f>STATS1003B!R1984/1000</f>
        <v>0</v>
      </c>
      <c r="S1980" s="85">
        <f>STATS1003B!S1984/1000</f>
        <v>0</v>
      </c>
      <c r="T1980" s="85">
        <f>STATS1003B!T1984/1000</f>
        <v>0</v>
      </c>
      <c r="U1980" s="85">
        <f>STATS1003B!U1984/1000</f>
        <v>0</v>
      </c>
      <c r="V1980" s="85">
        <f>STATS1003B!V1984/1000</f>
        <v>533.06500000000005</v>
      </c>
      <c r="W1980" s="85">
        <f>STATS1003B!W1984/1000</f>
        <v>0</v>
      </c>
      <c r="X1980" s="85">
        <f>STATS1003B!X1984/1000</f>
        <v>533.06500000000005</v>
      </c>
      <c r="Y1980" s="85">
        <f>STATS1003B!Y1984/1000</f>
        <v>0</v>
      </c>
      <c r="Z1980" s="85">
        <f>STATS1003B!Z1984/1000</f>
        <v>0</v>
      </c>
      <c r="AA1980" s="69">
        <f>STATS1003B!AA1984/1000</f>
        <v>533.06500000000005</v>
      </c>
      <c r="AB1980" s="69">
        <f>STATS1003B!AB1984/1000</f>
        <v>0</v>
      </c>
    </row>
    <row r="1981" spans="1:28" hidden="1" x14ac:dyDescent="0.3">
      <c r="A1981" s="117"/>
      <c r="C1981" s="68" t="s">
        <v>57</v>
      </c>
      <c r="D1981" s="87" t="s">
        <v>60</v>
      </c>
      <c r="E1981" s="85">
        <f>STATS1003B!E1985/1000</f>
        <v>1902</v>
      </c>
      <c r="F1981" s="85">
        <f>STATS1003B!F1985/1000</f>
        <v>1902</v>
      </c>
      <c r="G1981" s="85">
        <f>STATS1003B!G1985/1000</f>
        <v>0</v>
      </c>
      <c r="H1981" s="85">
        <f>STATS1003B!H1985/1000</f>
        <v>1902</v>
      </c>
      <c r="I1981" s="85">
        <f>STATS1003B!I1985/1000</f>
        <v>0</v>
      </c>
      <c r="J1981" s="85">
        <f>STATS1003B!J1985/1000</f>
        <v>0</v>
      </c>
      <c r="K1981" s="85">
        <f>STATS1003B!K1985/1000</f>
        <v>0</v>
      </c>
      <c r="L1981" s="85">
        <f>STATS1003B!L1985/1000</f>
        <v>0</v>
      </c>
      <c r="M1981" s="85">
        <f>STATS1003B!M1985/1000</f>
        <v>1902</v>
      </c>
      <c r="N1981" s="85">
        <f>STATS1003B!N1985/1000</f>
        <v>0</v>
      </c>
      <c r="O1981" s="85">
        <f>STATS1003B!O1985/1000</f>
        <v>0</v>
      </c>
      <c r="P1981" s="85">
        <f>STATS1003B!P1985/1000</f>
        <v>0</v>
      </c>
      <c r="Q1981" s="85">
        <f>STATS1003B!Q1985/1000</f>
        <v>0</v>
      </c>
      <c r="R1981" s="85">
        <f>STATS1003B!R1985/1000</f>
        <v>0</v>
      </c>
      <c r="S1981" s="85">
        <f>STATS1003B!S1985/1000</f>
        <v>0</v>
      </c>
      <c r="T1981" s="85">
        <f>STATS1003B!T1985/1000</f>
        <v>0</v>
      </c>
      <c r="U1981" s="85">
        <f>STATS1003B!U1985/1000</f>
        <v>0</v>
      </c>
      <c r="V1981" s="85">
        <f>STATS1003B!V1985/1000</f>
        <v>1902</v>
      </c>
      <c r="W1981" s="85">
        <f>STATS1003B!W1985/1000</f>
        <v>0</v>
      </c>
      <c r="X1981" s="85">
        <f>STATS1003B!X1985/1000</f>
        <v>1902</v>
      </c>
      <c r="Y1981" s="85">
        <f>STATS1003B!Y1985/1000</f>
        <v>0</v>
      </c>
      <c r="Z1981" s="85">
        <f>STATS1003B!Z1985/1000</f>
        <v>0</v>
      </c>
      <c r="AA1981" s="69">
        <f>STATS1003B!AA1985/1000</f>
        <v>1902</v>
      </c>
      <c r="AB1981" s="69">
        <f>STATS1003B!AB1985/1000</f>
        <v>0</v>
      </c>
    </row>
    <row r="1982" spans="1:28" hidden="1" x14ac:dyDescent="0.3">
      <c r="A1982" s="117"/>
      <c r="C1982" s="71" t="s">
        <v>109</v>
      </c>
      <c r="D1982" s="88" t="s">
        <v>60</v>
      </c>
      <c r="E1982" s="85">
        <f>STATS1003B!E1986/1000</f>
        <v>4600</v>
      </c>
      <c r="F1982" s="85">
        <f>STATS1003B!F1986/1000</f>
        <v>4600</v>
      </c>
      <c r="G1982" s="85">
        <f>STATS1003B!G1986/1000</f>
        <v>0</v>
      </c>
      <c r="H1982" s="85">
        <f>STATS1003B!H1986/1000</f>
        <v>4600</v>
      </c>
      <c r="I1982" s="85">
        <f>STATS1003B!I1986/1000</f>
        <v>0</v>
      </c>
      <c r="J1982" s="85">
        <f>STATS1003B!J1986/1000</f>
        <v>0</v>
      </c>
      <c r="K1982" s="85">
        <f>STATS1003B!K1986/1000</f>
        <v>0</v>
      </c>
      <c r="L1982" s="85">
        <f>STATS1003B!L1986/1000</f>
        <v>0</v>
      </c>
      <c r="M1982" s="85">
        <f>STATS1003B!M1986/1000</f>
        <v>4600</v>
      </c>
      <c r="N1982" s="85">
        <f>STATS1003B!N1986/1000</f>
        <v>0</v>
      </c>
      <c r="O1982" s="85">
        <f>STATS1003B!O1986/1000</f>
        <v>0</v>
      </c>
      <c r="P1982" s="85">
        <f>STATS1003B!P1986/1000</f>
        <v>0</v>
      </c>
      <c r="Q1982" s="85">
        <f>STATS1003B!Q1986/1000</f>
        <v>0</v>
      </c>
      <c r="R1982" s="85">
        <f>STATS1003B!R1986/1000</f>
        <v>0</v>
      </c>
      <c r="S1982" s="85">
        <f>STATS1003B!S1986/1000</f>
        <v>0</v>
      </c>
      <c r="T1982" s="85">
        <f>STATS1003B!T1986/1000</f>
        <v>0</v>
      </c>
      <c r="U1982" s="85">
        <f>STATS1003B!U1986/1000</f>
        <v>0</v>
      </c>
      <c r="V1982" s="85">
        <f>STATS1003B!V1986/1000</f>
        <v>4600</v>
      </c>
      <c r="W1982" s="85">
        <f>STATS1003B!W1986/1000</f>
        <v>0</v>
      </c>
      <c r="X1982" s="85">
        <f>STATS1003B!X1986/1000</f>
        <v>4600</v>
      </c>
      <c r="Y1982" s="85">
        <f>STATS1003B!Y1986/1000</f>
        <v>0</v>
      </c>
      <c r="Z1982" s="85">
        <f>STATS1003B!Z1986/1000</f>
        <v>0</v>
      </c>
      <c r="AA1982" s="69">
        <f>STATS1003B!AA1986/1000</f>
        <v>4600</v>
      </c>
      <c r="AB1982" s="69">
        <f>STATS1003B!AB1986/1000</f>
        <v>0</v>
      </c>
    </row>
    <row r="1983" spans="1:28" hidden="1" x14ac:dyDescent="0.3">
      <c r="A1983" s="117"/>
      <c r="C1983" s="68" t="s">
        <v>57</v>
      </c>
      <c r="D1983" s="87" t="s">
        <v>73</v>
      </c>
      <c r="E1983" s="85">
        <f>STATS1003B!E1987/1000</f>
        <v>3632.5559700000003</v>
      </c>
      <c r="F1983" s="85">
        <f>STATS1003B!F1987/1000</f>
        <v>3632.5559700000003</v>
      </c>
      <c r="G1983" s="85">
        <f>STATS1003B!G1987/1000</f>
        <v>0</v>
      </c>
      <c r="H1983" s="85">
        <f>STATS1003B!H1987/1000</f>
        <v>3632.5559700000003</v>
      </c>
      <c r="I1983" s="85">
        <f>STATS1003B!I1987/1000</f>
        <v>0</v>
      </c>
      <c r="J1983" s="85">
        <f>STATS1003B!J1987/1000</f>
        <v>0</v>
      </c>
      <c r="K1983" s="85">
        <f>STATS1003B!K1987/1000</f>
        <v>0</v>
      </c>
      <c r="L1983" s="85">
        <f>STATS1003B!L1987/1000</f>
        <v>0</v>
      </c>
      <c r="M1983" s="85">
        <f>STATS1003B!M1987/1000</f>
        <v>3632.5559700000003</v>
      </c>
      <c r="N1983" s="85">
        <f>STATS1003B!N1987/1000</f>
        <v>0</v>
      </c>
      <c r="O1983" s="85">
        <f>STATS1003B!O1987/1000</f>
        <v>0</v>
      </c>
      <c r="P1983" s="85">
        <f>STATS1003B!P1987/1000</f>
        <v>0</v>
      </c>
      <c r="Q1983" s="85">
        <f>STATS1003B!Q1987/1000</f>
        <v>0</v>
      </c>
      <c r="R1983" s="85">
        <f>STATS1003B!R1987/1000</f>
        <v>0</v>
      </c>
      <c r="S1983" s="85">
        <f>STATS1003B!S1987/1000</f>
        <v>0</v>
      </c>
      <c r="T1983" s="85">
        <f>STATS1003B!T1987/1000</f>
        <v>0</v>
      </c>
      <c r="U1983" s="85">
        <f>STATS1003B!U1987/1000</f>
        <v>0</v>
      </c>
      <c r="V1983" s="85">
        <f>STATS1003B!V1987/1000</f>
        <v>3632.5559700000003</v>
      </c>
      <c r="W1983" s="85">
        <f>STATS1003B!W1987/1000</f>
        <v>0</v>
      </c>
      <c r="X1983" s="85">
        <f>STATS1003B!X1987/1000</f>
        <v>3632.5559700000003</v>
      </c>
      <c r="Y1983" s="85">
        <f>STATS1003B!Y1987/1000</f>
        <v>0</v>
      </c>
      <c r="Z1983" s="85">
        <f>STATS1003B!Z1987/1000</f>
        <v>0</v>
      </c>
      <c r="AA1983" s="69">
        <f>STATS1003B!AA1987/1000</f>
        <v>3632.5559700000003</v>
      </c>
      <c r="AB1983" s="69">
        <f>STATS1003B!AB1987/1000</f>
        <v>0</v>
      </c>
    </row>
    <row r="1984" spans="1:28" hidden="1" x14ac:dyDescent="0.3">
      <c r="A1984" s="117"/>
      <c r="C1984" s="68" t="s">
        <v>930</v>
      </c>
      <c r="D1984" s="87"/>
      <c r="E1984" s="85">
        <f>STATS1003B!E1988/1000</f>
        <v>300</v>
      </c>
      <c r="F1984" s="85">
        <f>STATS1003B!F1988/1000</f>
        <v>300</v>
      </c>
      <c r="G1984" s="85">
        <f>STATS1003B!G1988/1000</f>
        <v>0</v>
      </c>
      <c r="H1984" s="85">
        <f>STATS1003B!H1988/1000</f>
        <v>300</v>
      </c>
      <c r="I1984" s="85">
        <f>STATS1003B!I1988/1000</f>
        <v>0</v>
      </c>
      <c r="J1984" s="85">
        <f>STATS1003B!J1988/1000</f>
        <v>0</v>
      </c>
      <c r="K1984" s="85">
        <f>STATS1003B!K1988/1000</f>
        <v>0</v>
      </c>
      <c r="L1984" s="85">
        <f>STATS1003B!L1988/1000</f>
        <v>0</v>
      </c>
      <c r="M1984" s="85">
        <f>STATS1003B!M1988/1000</f>
        <v>300</v>
      </c>
      <c r="N1984" s="85">
        <f>STATS1003B!N1988/1000</f>
        <v>0</v>
      </c>
      <c r="O1984" s="85">
        <f>STATS1003B!O1988/1000</f>
        <v>0</v>
      </c>
      <c r="P1984" s="85">
        <f>STATS1003B!P1988/1000</f>
        <v>0</v>
      </c>
      <c r="Q1984" s="85">
        <f>STATS1003B!Q1988/1000</f>
        <v>0</v>
      </c>
      <c r="R1984" s="85">
        <f>STATS1003B!R1988/1000</f>
        <v>0</v>
      </c>
      <c r="S1984" s="85">
        <f>STATS1003B!S1988/1000</f>
        <v>0</v>
      </c>
      <c r="T1984" s="85">
        <f>STATS1003B!T1988/1000</f>
        <v>0</v>
      </c>
      <c r="U1984" s="85">
        <f>STATS1003B!U1988/1000</f>
        <v>0</v>
      </c>
      <c r="V1984" s="85">
        <f>STATS1003B!V1988/1000</f>
        <v>300</v>
      </c>
      <c r="W1984" s="85">
        <f>STATS1003B!W1988/1000</f>
        <v>0</v>
      </c>
      <c r="X1984" s="85">
        <f>STATS1003B!X1988/1000</f>
        <v>300</v>
      </c>
      <c r="Y1984" s="85">
        <f>STATS1003B!Y1988/1000</f>
        <v>0</v>
      </c>
      <c r="Z1984" s="85">
        <f>STATS1003B!Z1988/1000</f>
        <v>0</v>
      </c>
      <c r="AA1984" s="69">
        <f>STATS1003B!AA1988/1000</f>
        <v>300</v>
      </c>
      <c r="AB1984" s="69">
        <f>STATS1003B!AB1988/1000</f>
        <v>0</v>
      </c>
    </row>
    <row r="1985" spans="1:28" hidden="1" x14ac:dyDescent="0.3">
      <c r="A1985" s="117"/>
      <c r="C1985" s="68" t="s">
        <v>57</v>
      </c>
      <c r="D1985" s="90" t="s">
        <v>61</v>
      </c>
      <c r="E1985" s="85">
        <f>STATS1003B!E1989/1000</f>
        <v>1846.7973999999999</v>
      </c>
      <c r="F1985" s="85">
        <f>STATS1003B!F1989/1000</f>
        <v>1846.7973999999999</v>
      </c>
      <c r="G1985" s="85">
        <f>STATS1003B!G1989/1000</f>
        <v>0</v>
      </c>
      <c r="H1985" s="85">
        <f>STATS1003B!H1989/1000</f>
        <v>1846.7973999999999</v>
      </c>
      <c r="I1985" s="85">
        <f>STATS1003B!I1989/1000</f>
        <v>0</v>
      </c>
      <c r="J1985" s="85">
        <f>STATS1003B!J1989/1000</f>
        <v>0</v>
      </c>
      <c r="K1985" s="85">
        <f>STATS1003B!K1989/1000</f>
        <v>0</v>
      </c>
      <c r="L1985" s="85">
        <f>STATS1003B!L1989/1000</f>
        <v>0</v>
      </c>
      <c r="M1985" s="85">
        <f>STATS1003B!M1989/1000</f>
        <v>1846.7973999999999</v>
      </c>
      <c r="N1985" s="85">
        <f>STATS1003B!N1989/1000</f>
        <v>0</v>
      </c>
      <c r="O1985" s="85">
        <f>STATS1003B!O1989/1000</f>
        <v>0</v>
      </c>
      <c r="P1985" s="85">
        <f>STATS1003B!P1989/1000</f>
        <v>0</v>
      </c>
      <c r="Q1985" s="85">
        <f>STATS1003B!Q1989/1000</f>
        <v>0</v>
      </c>
      <c r="R1985" s="85">
        <f>STATS1003B!R1989/1000</f>
        <v>0</v>
      </c>
      <c r="S1985" s="85">
        <f>STATS1003B!S1989/1000</f>
        <v>0</v>
      </c>
      <c r="T1985" s="85">
        <f>STATS1003B!T1989/1000</f>
        <v>0</v>
      </c>
      <c r="U1985" s="85">
        <f>STATS1003B!U1989/1000</f>
        <v>0</v>
      </c>
      <c r="V1985" s="85">
        <f>STATS1003B!V1989/1000</f>
        <v>1846.7973999999999</v>
      </c>
      <c r="W1985" s="85">
        <f>STATS1003B!W1989/1000</f>
        <v>0</v>
      </c>
      <c r="X1985" s="85">
        <f>STATS1003B!X1989/1000</f>
        <v>1846.7973999999999</v>
      </c>
      <c r="Y1985" s="85">
        <f>STATS1003B!Y1989/1000</f>
        <v>0</v>
      </c>
      <c r="Z1985" s="85">
        <f>STATS1003B!Z1989/1000</f>
        <v>0</v>
      </c>
      <c r="AA1985" s="69">
        <f>STATS1003B!AA1989/1000</f>
        <v>1846.7973999999999</v>
      </c>
      <c r="AB1985" s="69">
        <f>STATS1003B!AB1989/1000</f>
        <v>0</v>
      </c>
    </row>
    <row r="1986" spans="1:28" hidden="1" x14ac:dyDescent="0.3">
      <c r="A1986" s="117"/>
      <c r="E1986" s="86" t="s">
        <v>29</v>
      </c>
      <c r="F1986" s="86" t="s">
        <v>29</v>
      </c>
      <c r="G1986" s="86" t="s">
        <v>29</v>
      </c>
      <c r="H1986" s="86" t="s">
        <v>29</v>
      </c>
      <c r="I1986" s="86" t="s">
        <v>29</v>
      </c>
      <c r="J1986" s="86" t="s">
        <v>29</v>
      </c>
      <c r="K1986" s="86" t="s">
        <v>29</v>
      </c>
      <c r="L1986" s="86" t="s">
        <v>29</v>
      </c>
      <c r="M1986" s="86" t="s">
        <v>29</v>
      </c>
      <c r="N1986" s="86" t="s">
        <v>29</v>
      </c>
      <c r="O1986" s="86" t="s">
        <v>29</v>
      </c>
      <c r="P1986" s="86" t="s">
        <v>29</v>
      </c>
      <c r="Q1986" s="86" t="s">
        <v>29</v>
      </c>
      <c r="R1986" s="86" t="s">
        <v>29</v>
      </c>
      <c r="S1986" s="86" t="s">
        <v>29</v>
      </c>
      <c r="T1986" s="86" t="s">
        <v>29</v>
      </c>
      <c r="U1986" s="86" t="s">
        <v>29</v>
      </c>
      <c r="V1986" s="86" t="s">
        <v>29</v>
      </c>
      <c r="W1986" s="86" t="s">
        <v>29</v>
      </c>
      <c r="X1986" s="86" t="s">
        <v>29</v>
      </c>
      <c r="Y1986" s="86" t="s">
        <v>29</v>
      </c>
      <c r="Z1986" s="86" t="s">
        <v>29</v>
      </c>
      <c r="AA1986" s="115" t="s">
        <v>29</v>
      </c>
      <c r="AB1986" s="115" t="s">
        <v>29</v>
      </c>
    </row>
    <row r="1987" spans="1:28" x14ac:dyDescent="0.3">
      <c r="A1987" s="116">
        <v>87</v>
      </c>
      <c r="B1987" s="68" t="s">
        <v>354</v>
      </c>
      <c r="E1987" s="85">
        <f>50759094.27/1000</f>
        <v>50759.094270000001</v>
      </c>
      <c r="F1987" s="85">
        <f t="shared" ref="F1987:AB1987" si="224">SUM(F1975:F1985)</f>
        <v>17192.090359999998</v>
      </c>
      <c r="G1987" s="85">
        <f t="shared" si="224"/>
        <v>0</v>
      </c>
      <c r="H1987" s="85">
        <f>47718279/1000</f>
        <v>47718.279000000002</v>
      </c>
      <c r="I1987" s="85">
        <f t="shared" si="224"/>
        <v>0</v>
      </c>
      <c r="J1987" s="85">
        <f t="shared" si="224"/>
        <v>0</v>
      </c>
      <c r="K1987" s="85">
        <f t="shared" si="224"/>
        <v>0</v>
      </c>
      <c r="L1987" s="85">
        <f t="shared" si="224"/>
        <v>0</v>
      </c>
      <c r="M1987" s="85">
        <f t="shared" si="224"/>
        <v>17192.090359999998</v>
      </c>
      <c r="N1987" s="85">
        <f t="shared" si="224"/>
        <v>3040.8152700000001</v>
      </c>
      <c r="O1987" s="85">
        <f t="shared" si="224"/>
        <v>0</v>
      </c>
      <c r="P1987" s="85">
        <f>3040815/1000</f>
        <v>3040.8150000000001</v>
      </c>
      <c r="Q1987" s="85">
        <f t="shared" si="224"/>
        <v>0</v>
      </c>
      <c r="R1987" s="85">
        <f t="shared" si="224"/>
        <v>0</v>
      </c>
      <c r="S1987" s="85">
        <f t="shared" si="224"/>
        <v>0</v>
      </c>
      <c r="T1987" s="85">
        <f t="shared" si="224"/>
        <v>0</v>
      </c>
      <c r="U1987" s="85">
        <f t="shared" si="224"/>
        <v>3040.8152700000001</v>
      </c>
      <c r="V1987" s="85">
        <f t="shared" si="224"/>
        <v>20232.905630000001</v>
      </c>
      <c r="W1987" s="85">
        <f t="shared" si="224"/>
        <v>0</v>
      </c>
      <c r="X1987" s="85">
        <f t="shared" ref="X1987:X2050" si="225">+H1987+P1987</f>
        <v>50759.094000000005</v>
      </c>
      <c r="Y1987" s="85">
        <f t="shared" si="224"/>
        <v>0</v>
      </c>
      <c r="Z1987" s="85">
        <f>+E1987-X1987</f>
        <v>2.699999968172051E-4</v>
      </c>
      <c r="AA1987" s="69">
        <f t="shared" si="224"/>
        <v>20232.905630000001</v>
      </c>
      <c r="AB1987" s="69">
        <f t="shared" si="224"/>
        <v>0</v>
      </c>
    </row>
    <row r="1988" spans="1:28" hidden="1" x14ac:dyDescent="0.3">
      <c r="A1988" s="117"/>
      <c r="E1988" s="86" t="s">
        <v>29</v>
      </c>
      <c r="F1988" s="86" t="s">
        <v>29</v>
      </c>
      <c r="G1988" s="86" t="s">
        <v>29</v>
      </c>
      <c r="H1988" s="86" t="s">
        <v>29</v>
      </c>
      <c r="I1988" s="86" t="s">
        <v>29</v>
      </c>
      <c r="J1988" s="86" t="s">
        <v>29</v>
      </c>
      <c r="K1988" s="86" t="s">
        <v>29</v>
      </c>
      <c r="L1988" s="86" t="s">
        <v>29</v>
      </c>
      <c r="M1988" s="86" t="s">
        <v>29</v>
      </c>
      <c r="N1988" s="86" t="s">
        <v>29</v>
      </c>
      <c r="O1988" s="86" t="s">
        <v>29</v>
      </c>
      <c r="P1988" s="86" t="s">
        <v>29</v>
      </c>
      <c r="Q1988" s="86" t="s">
        <v>29</v>
      </c>
      <c r="R1988" s="86" t="s">
        <v>29</v>
      </c>
      <c r="S1988" s="86" t="s">
        <v>29</v>
      </c>
      <c r="T1988" s="86" t="s">
        <v>29</v>
      </c>
      <c r="U1988" s="86" t="s">
        <v>29</v>
      </c>
      <c r="V1988" s="86" t="s">
        <v>29</v>
      </c>
      <c r="W1988" s="86" t="s">
        <v>29</v>
      </c>
      <c r="X1988" s="85" t="e">
        <f t="shared" si="225"/>
        <v>#VALUE!</v>
      </c>
      <c r="Y1988" s="86" t="s">
        <v>29</v>
      </c>
      <c r="Z1988" s="86" t="s">
        <v>29</v>
      </c>
      <c r="AA1988" s="115" t="s">
        <v>29</v>
      </c>
      <c r="AB1988" s="115" t="s">
        <v>29</v>
      </c>
    </row>
    <row r="1989" spans="1:28" hidden="1" x14ac:dyDescent="0.3">
      <c r="A1989" s="105"/>
      <c r="E1989" s="84"/>
      <c r="F1989" s="84"/>
      <c r="G1989" s="84"/>
      <c r="H1989" s="84"/>
      <c r="I1989" s="84"/>
      <c r="J1989" s="84"/>
      <c r="K1989" s="84"/>
      <c r="L1989" s="84"/>
      <c r="M1989" s="84"/>
      <c r="N1989" s="84"/>
      <c r="O1989" s="84"/>
      <c r="P1989" s="84"/>
      <c r="Q1989" s="84"/>
      <c r="R1989" s="84"/>
      <c r="S1989" s="84"/>
      <c r="T1989" s="84"/>
      <c r="U1989" s="84"/>
      <c r="V1989" s="84"/>
      <c r="W1989" s="84"/>
      <c r="X1989" s="85">
        <f t="shared" si="225"/>
        <v>0</v>
      </c>
      <c r="Y1989" s="84"/>
      <c r="Z1989" s="84"/>
    </row>
    <row r="1990" spans="1:28" hidden="1" x14ac:dyDescent="0.3">
      <c r="A1990" s="117"/>
      <c r="C1990" s="68" t="s">
        <v>261</v>
      </c>
      <c r="E1990" s="85">
        <f>STATS1003B!E1994/1000</f>
        <v>1355.4600600000001</v>
      </c>
      <c r="F1990" s="85">
        <f>STATS1003B!F1994/1000</f>
        <v>1355.4600600000001</v>
      </c>
      <c r="G1990" s="85">
        <f>STATS1003B!G1994/1000</f>
        <v>0</v>
      </c>
      <c r="H1990" s="85">
        <f>STATS1003B!H1994/1000</f>
        <v>1355.4600600000001</v>
      </c>
      <c r="I1990" s="85">
        <f>STATS1003B!I1994/1000</f>
        <v>0</v>
      </c>
      <c r="J1990" s="85">
        <f>STATS1003B!J1994/1000</f>
        <v>0</v>
      </c>
      <c r="K1990" s="85">
        <f>STATS1003B!K1994/1000</f>
        <v>0</v>
      </c>
      <c r="L1990" s="85">
        <f>STATS1003B!L1994/1000</f>
        <v>0</v>
      </c>
      <c r="M1990" s="85">
        <f>STATS1003B!M1994/1000</f>
        <v>1355.4600600000001</v>
      </c>
      <c r="N1990" s="85">
        <f>STATS1003B!N1994/1000</f>
        <v>0</v>
      </c>
      <c r="O1990" s="85">
        <f>STATS1003B!O1994/1000</f>
        <v>0</v>
      </c>
      <c r="P1990" s="85">
        <f>STATS1003B!P1994/1000</f>
        <v>0</v>
      </c>
      <c r="Q1990" s="85">
        <f>STATS1003B!Q1994/1000</f>
        <v>0</v>
      </c>
      <c r="R1990" s="85">
        <f>STATS1003B!R1994/1000</f>
        <v>0</v>
      </c>
      <c r="S1990" s="85">
        <f>STATS1003B!S1994/1000</f>
        <v>0</v>
      </c>
      <c r="T1990" s="85">
        <f>STATS1003B!T1994/1000</f>
        <v>0</v>
      </c>
      <c r="U1990" s="85">
        <f>STATS1003B!U1994/1000</f>
        <v>0</v>
      </c>
      <c r="V1990" s="85">
        <f>STATS1003B!V1994/1000</f>
        <v>1355.4600600000001</v>
      </c>
      <c r="W1990" s="85">
        <f>STATS1003B!W1994/1000</f>
        <v>0</v>
      </c>
      <c r="X1990" s="85">
        <f t="shared" si="225"/>
        <v>1355.4600600000001</v>
      </c>
      <c r="Y1990" s="85">
        <f>STATS1003B!Y1994/1000</f>
        <v>0</v>
      </c>
      <c r="Z1990" s="85">
        <f>STATS1003B!Z1994/1000</f>
        <v>0</v>
      </c>
      <c r="AA1990" s="69">
        <f>STATS1003B!AA1994/1000</f>
        <v>1355.4600600000001</v>
      </c>
      <c r="AB1990" s="69">
        <f>STATS1003B!AB1994/1000</f>
        <v>0</v>
      </c>
    </row>
    <row r="1991" spans="1:28" hidden="1" x14ac:dyDescent="0.3">
      <c r="A1991" s="117"/>
      <c r="C1991" s="68" t="s">
        <v>345</v>
      </c>
      <c r="D1991" s="87" t="s">
        <v>247</v>
      </c>
      <c r="E1991" s="85">
        <f>STATS1003B!E1995/1000</f>
        <v>13934.09827</v>
      </c>
      <c r="F1991" s="85">
        <f>STATS1003B!F1995/1000</f>
        <v>13298.21586</v>
      </c>
      <c r="G1991" s="85">
        <f>STATS1003B!G1995/1000</f>
        <v>0</v>
      </c>
      <c r="H1991" s="85">
        <f>STATS1003B!H1995/1000</f>
        <v>13298.21586</v>
      </c>
      <c r="I1991" s="85">
        <f>STATS1003B!I1995/1000</f>
        <v>0</v>
      </c>
      <c r="J1991" s="85">
        <f>STATS1003B!J1995/1000</f>
        <v>0</v>
      </c>
      <c r="K1991" s="85">
        <f>STATS1003B!K1995/1000</f>
        <v>0</v>
      </c>
      <c r="L1991" s="85">
        <f>STATS1003B!L1995/1000</f>
        <v>0</v>
      </c>
      <c r="M1991" s="85">
        <f>STATS1003B!M1995/1000</f>
        <v>13298.21586</v>
      </c>
      <c r="N1991" s="85">
        <f>STATS1003B!N1995/1000</f>
        <v>635.88241000000005</v>
      </c>
      <c r="O1991" s="85">
        <f>STATS1003B!O1995/1000</f>
        <v>0</v>
      </c>
      <c r="P1991" s="85">
        <f>STATS1003B!P1995/1000</f>
        <v>635.88241000000005</v>
      </c>
      <c r="Q1991" s="85">
        <f>STATS1003B!Q1995/1000</f>
        <v>0</v>
      </c>
      <c r="R1991" s="85">
        <f>STATS1003B!R1995/1000</f>
        <v>0</v>
      </c>
      <c r="S1991" s="85">
        <f>STATS1003B!S1995/1000</f>
        <v>0</v>
      </c>
      <c r="T1991" s="85">
        <f>STATS1003B!T1995/1000</f>
        <v>0</v>
      </c>
      <c r="U1991" s="85">
        <f>STATS1003B!U1995/1000</f>
        <v>635.88241000000005</v>
      </c>
      <c r="V1991" s="85">
        <f>STATS1003B!V1995/1000</f>
        <v>13934.09827</v>
      </c>
      <c r="W1991" s="85">
        <f>STATS1003B!W1995/1000</f>
        <v>0</v>
      </c>
      <c r="X1991" s="85">
        <f t="shared" si="225"/>
        <v>13934.09827</v>
      </c>
      <c r="Y1991" s="85">
        <f>STATS1003B!Y1995/1000</f>
        <v>0</v>
      </c>
      <c r="Z1991" s="85">
        <f>STATS1003B!Z1995/1000</f>
        <v>0</v>
      </c>
      <c r="AA1991" s="69">
        <f>STATS1003B!AA1995/1000</f>
        <v>13934.09827</v>
      </c>
      <c r="AB1991" s="69">
        <f>STATS1003B!AB1995/1000</f>
        <v>0</v>
      </c>
    </row>
    <row r="1992" spans="1:28" hidden="1" x14ac:dyDescent="0.3">
      <c r="A1992" s="117"/>
      <c r="C1992" s="68" t="s">
        <v>53</v>
      </c>
      <c r="D1992" s="87" t="s">
        <v>68</v>
      </c>
      <c r="E1992" s="85">
        <f>STATS1003B!E1996/1000</f>
        <v>1953.989</v>
      </c>
      <c r="F1992" s="85">
        <f>STATS1003B!F1996/1000</f>
        <v>0</v>
      </c>
      <c r="G1992" s="85">
        <f>STATS1003B!G1996/1000</f>
        <v>0</v>
      </c>
      <c r="H1992" s="85">
        <f>STATS1003B!H1996/1000</f>
        <v>0</v>
      </c>
      <c r="I1992" s="85">
        <f>STATS1003B!I1996/1000</f>
        <v>0</v>
      </c>
      <c r="J1992" s="85">
        <f>STATS1003B!J1996/1000</f>
        <v>0</v>
      </c>
      <c r="K1992" s="85">
        <f>STATS1003B!K1996/1000</f>
        <v>0</v>
      </c>
      <c r="L1992" s="85">
        <f>STATS1003B!L1996/1000</f>
        <v>0</v>
      </c>
      <c r="M1992" s="85">
        <f>STATS1003B!M1996/1000</f>
        <v>0</v>
      </c>
      <c r="N1992" s="85">
        <f>STATS1003B!N1996/1000</f>
        <v>1953.989</v>
      </c>
      <c r="O1992" s="85">
        <f>STATS1003B!O1996/1000</f>
        <v>0</v>
      </c>
      <c r="P1992" s="85">
        <f>STATS1003B!P1996/1000</f>
        <v>1953.989</v>
      </c>
      <c r="Q1992" s="85">
        <f>STATS1003B!Q1996/1000</f>
        <v>0</v>
      </c>
      <c r="R1992" s="85">
        <f>STATS1003B!R1996/1000</f>
        <v>0</v>
      </c>
      <c r="S1992" s="85">
        <f>STATS1003B!S1996/1000</f>
        <v>0</v>
      </c>
      <c r="T1992" s="85">
        <f>STATS1003B!T1996/1000</f>
        <v>0</v>
      </c>
      <c r="U1992" s="85">
        <f>STATS1003B!U1996/1000</f>
        <v>1953.989</v>
      </c>
      <c r="V1992" s="85">
        <f>STATS1003B!V1996/1000</f>
        <v>1953.989</v>
      </c>
      <c r="W1992" s="85">
        <f>STATS1003B!W1996/1000</f>
        <v>0</v>
      </c>
      <c r="X1992" s="85">
        <f t="shared" si="225"/>
        <v>1953.989</v>
      </c>
      <c r="Y1992" s="85">
        <f>STATS1003B!Y1996/1000</f>
        <v>0</v>
      </c>
      <c r="Z1992" s="85">
        <f>STATS1003B!Z1996/1000</f>
        <v>0</v>
      </c>
      <c r="AA1992" s="69">
        <f>STATS1003B!AA1996/1000</f>
        <v>1953.989</v>
      </c>
      <c r="AB1992" s="69">
        <f>STATS1003B!AB1996/1000</f>
        <v>0</v>
      </c>
    </row>
    <row r="1993" spans="1:28" hidden="1" x14ac:dyDescent="0.3">
      <c r="A1993" s="117"/>
      <c r="C1993" s="68" t="s">
        <v>83</v>
      </c>
      <c r="D1993" s="87" t="s">
        <v>67</v>
      </c>
      <c r="E1993" s="85">
        <f>STATS1003B!E1997/1000</f>
        <v>375.56099999999998</v>
      </c>
      <c r="F1993" s="85">
        <f>STATS1003B!F1997/1000</f>
        <v>375.56099999999998</v>
      </c>
      <c r="G1993" s="85">
        <f>STATS1003B!G1997/1000</f>
        <v>0</v>
      </c>
      <c r="H1993" s="85">
        <f>STATS1003B!H1997/1000</f>
        <v>375.56099999999998</v>
      </c>
      <c r="I1993" s="85">
        <f>STATS1003B!I1997/1000</f>
        <v>0</v>
      </c>
      <c r="J1993" s="85">
        <f>STATS1003B!J1997/1000</f>
        <v>0</v>
      </c>
      <c r="K1993" s="85">
        <f>STATS1003B!K1997/1000</f>
        <v>0</v>
      </c>
      <c r="L1993" s="85">
        <f>STATS1003B!L1997/1000</f>
        <v>0</v>
      </c>
      <c r="M1993" s="85">
        <f>STATS1003B!M1997/1000</f>
        <v>375.56099999999998</v>
      </c>
      <c r="N1993" s="85">
        <f>STATS1003B!N1997/1000</f>
        <v>0</v>
      </c>
      <c r="O1993" s="85">
        <f>STATS1003B!O1997/1000</f>
        <v>0</v>
      </c>
      <c r="P1993" s="85">
        <f>STATS1003B!P1997/1000</f>
        <v>0</v>
      </c>
      <c r="Q1993" s="85">
        <f>STATS1003B!Q1997/1000</f>
        <v>0</v>
      </c>
      <c r="R1993" s="85">
        <f>STATS1003B!R1997/1000</f>
        <v>0</v>
      </c>
      <c r="S1993" s="85">
        <f>STATS1003B!S1997/1000</f>
        <v>0</v>
      </c>
      <c r="T1993" s="85">
        <f>STATS1003B!T1997/1000</f>
        <v>0</v>
      </c>
      <c r="U1993" s="85">
        <f>STATS1003B!U1997/1000</f>
        <v>0</v>
      </c>
      <c r="V1993" s="85">
        <f>STATS1003B!V1997/1000</f>
        <v>375.56099999999998</v>
      </c>
      <c r="W1993" s="85">
        <f>STATS1003B!W1997/1000</f>
        <v>0</v>
      </c>
      <c r="X1993" s="85">
        <f t="shared" si="225"/>
        <v>375.56099999999998</v>
      </c>
      <c r="Y1993" s="85">
        <f>STATS1003B!Y1997/1000</f>
        <v>0</v>
      </c>
      <c r="Z1993" s="85">
        <f>STATS1003B!Z1997/1000</f>
        <v>0</v>
      </c>
      <c r="AA1993" s="69">
        <f>STATS1003B!AA1997/1000</f>
        <v>375.56099999999998</v>
      </c>
      <c r="AB1993" s="69">
        <f>STATS1003B!AB1997/1000</f>
        <v>0</v>
      </c>
    </row>
    <row r="1994" spans="1:28" hidden="1" x14ac:dyDescent="0.3">
      <c r="A1994" s="117"/>
      <c r="C1994" s="68" t="s">
        <v>358</v>
      </c>
      <c r="D1994" s="87" t="s">
        <v>128</v>
      </c>
      <c r="E1994" s="85">
        <f>STATS1003B!E1998/1000</f>
        <v>120</v>
      </c>
      <c r="F1994" s="85">
        <f>STATS1003B!F1998/1000</f>
        <v>120</v>
      </c>
      <c r="G1994" s="85">
        <f>STATS1003B!G1998/1000</f>
        <v>0</v>
      </c>
      <c r="H1994" s="85">
        <f>STATS1003B!H1998/1000</f>
        <v>120</v>
      </c>
      <c r="I1994" s="85">
        <f>STATS1003B!I1998/1000</f>
        <v>0</v>
      </c>
      <c r="J1994" s="85">
        <f>STATS1003B!J1998/1000</f>
        <v>0</v>
      </c>
      <c r="K1994" s="85">
        <f>STATS1003B!K1998/1000</f>
        <v>0</v>
      </c>
      <c r="L1994" s="85">
        <f>STATS1003B!L1998/1000</f>
        <v>0</v>
      </c>
      <c r="M1994" s="85">
        <f>STATS1003B!M1998/1000</f>
        <v>120</v>
      </c>
      <c r="N1994" s="85">
        <f>STATS1003B!N1998/1000</f>
        <v>0</v>
      </c>
      <c r="O1994" s="85">
        <f>STATS1003B!O1998/1000</f>
        <v>0</v>
      </c>
      <c r="P1994" s="85">
        <f>STATS1003B!P1998/1000</f>
        <v>0</v>
      </c>
      <c r="Q1994" s="85">
        <f>STATS1003B!Q1998/1000</f>
        <v>0</v>
      </c>
      <c r="R1994" s="85">
        <f>STATS1003B!R1998/1000</f>
        <v>0</v>
      </c>
      <c r="S1994" s="85">
        <f>STATS1003B!S1998/1000</f>
        <v>0</v>
      </c>
      <c r="T1994" s="85">
        <f>STATS1003B!T1998/1000</f>
        <v>0</v>
      </c>
      <c r="U1994" s="85">
        <f>STATS1003B!U1998/1000</f>
        <v>0</v>
      </c>
      <c r="V1994" s="85">
        <f>STATS1003B!V1998/1000</f>
        <v>120</v>
      </c>
      <c r="W1994" s="85">
        <f>STATS1003B!W1998/1000</f>
        <v>0</v>
      </c>
      <c r="X1994" s="85">
        <f t="shared" si="225"/>
        <v>120</v>
      </c>
      <c r="Y1994" s="85">
        <f>STATS1003B!Y1998/1000</f>
        <v>0</v>
      </c>
      <c r="Z1994" s="85">
        <f>STATS1003B!Z1998/1000</f>
        <v>0</v>
      </c>
      <c r="AA1994" s="69">
        <f>STATS1003B!AA1998/1000</f>
        <v>120</v>
      </c>
      <c r="AB1994" s="69">
        <f>STATS1003B!AB1998/1000</f>
        <v>0</v>
      </c>
    </row>
    <row r="1995" spans="1:28" hidden="1" x14ac:dyDescent="0.3">
      <c r="A1995" s="117"/>
      <c r="C1995" s="68" t="s">
        <v>359</v>
      </c>
      <c r="D1995" s="87" t="s">
        <v>128</v>
      </c>
      <c r="E1995" s="85">
        <f>STATS1003B!E1999/1000</f>
        <v>80</v>
      </c>
      <c r="F1995" s="85">
        <f>STATS1003B!F1999/1000</f>
        <v>0</v>
      </c>
      <c r="G1995" s="85">
        <f>STATS1003B!G1999/1000</f>
        <v>0</v>
      </c>
      <c r="H1995" s="85">
        <f>STATS1003B!H1999/1000</f>
        <v>0</v>
      </c>
      <c r="I1995" s="85">
        <f>STATS1003B!I1999/1000</f>
        <v>0</v>
      </c>
      <c r="J1995" s="85">
        <f>STATS1003B!J1999/1000</f>
        <v>0</v>
      </c>
      <c r="K1995" s="85">
        <f>STATS1003B!K1999/1000</f>
        <v>0</v>
      </c>
      <c r="L1995" s="85">
        <f>STATS1003B!L1999/1000</f>
        <v>0</v>
      </c>
      <c r="M1995" s="85">
        <f>STATS1003B!M1999/1000</f>
        <v>0</v>
      </c>
      <c r="N1995" s="85">
        <f>STATS1003B!N1999/1000</f>
        <v>0</v>
      </c>
      <c r="O1995" s="85">
        <f>STATS1003B!O1999/1000</f>
        <v>0</v>
      </c>
      <c r="P1995" s="85">
        <f>STATS1003B!P1999/1000</f>
        <v>0</v>
      </c>
      <c r="Q1995" s="85">
        <f>STATS1003B!Q1999/1000</f>
        <v>0</v>
      </c>
      <c r="R1995" s="85">
        <f>STATS1003B!R1999/1000</f>
        <v>0</v>
      </c>
      <c r="S1995" s="85">
        <f>STATS1003B!S1999/1000</f>
        <v>0</v>
      </c>
      <c r="T1995" s="85">
        <f>STATS1003B!T1999/1000</f>
        <v>0</v>
      </c>
      <c r="U1995" s="85">
        <f>STATS1003B!U1999/1000</f>
        <v>0</v>
      </c>
      <c r="V1995" s="85">
        <f>STATS1003B!V1999/1000</f>
        <v>0</v>
      </c>
      <c r="W1995" s="85">
        <f>STATS1003B!W1999/1000</f>
        <v>80</v>
      </c>
      <c r="X1995" s="85">
        <f t="shared" si="225"/>
        <v>0</v>
      </c>
      <c r="Y1995" s="85">
        <f>STATS1003B!Y1999/1000</f>
        <v>0</v>
      </c>
      <c r="Z1995" s="85">
        <f>STATS1003B!Z1999/1000</f>
        <v>80</v>
      </c>
      <c r="AA1995" s="69">
        <f>STATS1003B!AA1999/1000</f>
        <v>0</v>
      </c>
      <c r="AB1995" s="69">
        <f>STATS1003B!AB1999/1000</f>
        <v>80</v>
      </c>
    </row>
    <row r="1996" spans="1:28" hidden="1" x14ac:dyDescent="0.3">
      <c r="A1996" s="117"/>
      <c r="C1996" s="68" t="s">
        <v>55</v>
      </c>
      <c r="D1996" s="87" t="s">
        <v>88</v>
      </c>
      <c r="E1996" s="85">
        <f>STATS1003B!E2000/1000</f>
        <v>1576.7551899999999</v>
      </c>
      <c r="F1996" s="85">
        <f>STATS1003B!F2000/1000</f>
        <v>0</v>
      </c>
      <c r="G1996" s="85">
        <f>STATS1003B!G2000/1000</f>
        <v>0</v>
      </c>
      <c r="H1996" s="85">
        <f>STATS1003B!H2000/1000</f>
        <v>0</v>
      </c>
      <c r="I1996" s="85">
        <f>STATS1003B!I2000/1000</f>
        <v>0</v>
      </c>
      <c r="J1996" s="85">
        <f>STATS1003B!J2000/1000</f>
        <v>0</v>
      </c>
      <c r="K1996" s="85">
        <f>STATS1003B!K2000/1000</f>
        <v>0</v>
      </c>
      <c r="L1996" s="85">
        <f>STATS1003B!L2000/1000</f>
        <v>0</v>
      </c>
      <c r="M1996" s="85">
        <f>STATS1003B!M2000/1000</f>
        <v>0</v>
      </c>
      <c r="N1996" s="85">
        <f>STATS1003B!N2000/1000</f>
        <v>1576.7551899999999</v>
      </c>
      <c r="O1996" s="85">
        <f>STATS1003B!O2000/1000</f>
        <v>0</v>
      </c>
      <c r="P1996" s="85">
        <f>STATS1003B!P2000/1000</f>
        <v>1576.7551899999999</v>
      </c>
      <c r="Q1996" s="85">
        <f>STATS1003B!Q2000/1000</f>
        <v>0</v>
      </c>
      <c r="R1996" s="85">
        <f>STATS1003B!R2000/1000</f>
        <v>0</v>
      </c>
      <c r="S1996" s="85">
        <f>STATS1003B!S2000/1000</f>
        <v>0</v>
      </c>
      <c r="T1996" s="85">
        <f>STATS1003B!T2000/1000</f>
        <v>0</v>
      </c>
      <c r="U1996" s="85">
        <f>STATS1003B!U2000/1000</f>
        <v>1576.7551899999999</v>
      </c>
      <c r="V1996" s="85">
        <f>STATS1003B!V2000/1000</f>
        <v>1576.7551899999999</v>
      </c>
      <c r="W1996" s="85">
        <f>STATS1003B!W2000/1000</f>
        <v>0</v>
      </c>
      <c r="X1996" s="85">
        <f t="shared" si="225"/>
        <v>1576.7551899999999</v>
      </c>
      <c r="Y1996" s="85">
        <f>STATS1003B!Y2000/1000</f>
        <v>0</v>
      </c>
      <c r="Z1996" s="85">
        <f>STATS1003B!Z2000/1000</f>
        <v>0</v>
      </c>
      <c r="AA1996" s="69">
        <f>STATS1003B!AA2000/1000</f>
        <v>1576.7551899999999</v>
      </c>
      <c r="AB1996" s="69">
        <f>STATS1003B!AB2000/1000</f>
        <v>0</v>
      </c>
    </row>
    <row r="1997" spans="1:28" hidden="1" x14ac:dyDescent="0.3">
      <c r="A1997" s="117"/>
      <c r="C1997" s="68" t="s">
        <v>360</v>
      </c>
      <c r="D1997" s="87" t="s">
        <v>108</v>
      </c>
      <c r="E1997" s="85">
        <f>STATS1003B!E2001/1000</f>
        <v>550</v>
      </c>
      <c r="F1997" s="85">
        <f>STATS1003B!F2001/1000</f>
        <v>550</v>
      </c>
      <c r="G1997" s="85">
        <f>STATS1003B!G2001/1000</f>
        <v>0</v>
      </c>
      <c r="H1997" s="85">
        <f>STATS1003B!H2001/1000</f>
        <v>550</v>
      </c>
      <c r="I1997" s="85">
        <f>STATS1003B!I2001/1000</f>
        <v>0</v>
      </c>
      <c r="J1997" s="85">
        <f>STATS1003B!J2001/1000</f>
        <v>0</v>
      </c>
      <c r="K1997" s="85">
        <f>STATS1003B!K2001/1000</f>
        <v>0</v>
      </c>
      <c r="L1997" s="85">
        <f>STATS1003B!L2001/1000</f>
        <v>0</v>
      </c>
      <c r="M1997" s="85">
        <f>STATS1003B!M2001/1000</f>
        <v>550</v>
      </c>
      <c r="N1997" s="85">
        <f>STATS1003B!N2001/1000</f>
        <v>0</v>
      </c>
      <c r="O1997" s="85">
        <f>STATS1003B!O2001/1000</f>
        <v>0</v>
      </c>
      <c r="P1997" s="85">
        <f>STATS1003B!P2001/1000</f>
        <v>0</v>
      </c>
      <c r="Q1997" s="85">
        <f>STATS1003B!Q2001/1000</f>
        <v>0</v>
      </c>
      <c r="R1997" s="85">
        <f>STATS1003B!R2001/1000</f>
        <v>0</v>
      </c>
      <c r="S1997" s="85">
        <f>STATS1003B!S2001/1000</f>
        <v>0</v>
      </c>
      <c r="T1997" s="85">
        <f>STATS1003B!T2001/1000</f>
        <v>0</v>
      </c>
      <c r="U1997" s="85">
        <f>STATS1003B!U2001/1000</f>
        <v>0</v>
      </c>
      <c r="V1997" s="85">
        <f>STATS1003B!V2001/1000</f>
        <v>550</v>
      </c>
      <c r="W1997" s="85">
        <f>STATS1003B!W2001/1000</f>
        <v>0</v>
      </c>
      <c r="X1997" s="85">
        <f t="shared" si="225"/>
        <v>550</v>
      </c>
      <c r="Y1997" s="85">
        <f>STATS1003B!Y2001/1000</f>
        <v>0</v>
      </c>
      <c r="Z1997" s="85">
        <f>STATS1003B!Z2001/1000</f>
        <v>0</v>
      </c>
      <c r="AA1997" s="69">
        <f>STATS1003B!AA2001/1000</f>
        <v>550</v>
      </c>
      <c r="AB1997" s="69">
        <f>STATS1003B!AB2001/1000</f>
        <v>0</v>
      </c>
    </row>
    <row r="1998" spans="1:28" hidden="1" x14ac:dyDescent="0.3">
      <c r="A1998" s="117"/>
      <c r="C1998" s="68" t="s">
        <v>57</v>
      </c>
      <c r="D1998" s="87" t="s">
        <v>58</v>
      </c>
      <c r="E1998" s="85">
        <f>STATS1003B!E2002/1000</f>
        <v>3278.34</v>
      </c>
      <c r="F1998" s="85">
        <f>STATS1003B!F2002/1000</f>
        <v>3278.34</v>
      </c>
      <c r="G1998" s="85">
        <f>STATS1003B!G2002/1000</f>
        <v>0</v>
      </c>
      <c r="H1998" s="85">
        <f>STATS1003B!H2002/1000</f>
        <v>3278.34</v>
      </c>
      <c r="I1998" s="85">
        <f>STATS1003B!I2002/1000</f>
        <v>0</v>
      </c>
      <c r="J1998" s="85">
        <f>STATS1003B!J2002/1000</f>
        <v>0</v>
      </c>
      <c r="K1998" s="85">
        <f>STATS1003B!K2002/1000</f>
        <v>0</v>
      </c>
      <c r="L1998" s="85">
        <f>STATS1003B!L2002/1000</f>
        <v>0</v>
      </c>
      <c r="M1998" s="85">
        <f>STATS1003B!M2002/1000</f>
        <v>3278.34</v>
      </c>
      <c r="N1998" s="85">
        <f>STATS1003B!N2002/1000</f>
        <v>0</v>
      </c>
      <c r="O1998" s="85">
        <f>STATS1003B!O2002/1000</f>
        <v>0</v>
      </c>
      <c r="P1998" s="85">
        <f>STATS1003B!P2002/1000</f>
        <v>0</v>
      </c>
      <c r="Q1998" s="85">
        <f>STATS1003B!Q2002/1000</f>
        <v>0</v>
      </c>
      <c r="R1998" s="85">
        <f>STATS1003B!R2002/1000</f>
        <v>0</v>
      </c>
      <c r="S1998" s="85">
        <f>STATS1003B!S2002/1000</f>
        <v>0</v>
      </c>
      <c r="T1998" s="85">
        <f>STATS1003B!T2002/1000</f>
        <v>0</v>
      </c>
      <c r="U1998" s="85">
        <f>STATS1003B!U2002/1000</f>
        <v>0</v>
      </c>
      <c r="V1998" s="85">
        <f>STATS1003B!V2002/1000</f>
        <v>3278.34</v>
      </c>
      <c r="W1998" s="85">
        <f>STATS1003B!W2002/1000</f>
        <v>0</v>
      </c>
      <c r="X1998" s="85">
        <f t="shared" si="225"/>
        <v>3278.34</v>
      </c>
      <c r="Y1998" s="85">
        <f>STATS1003B!Y2002/1000</f>
        <v>0</v>
      </c>
      <c r="Z1998" s="85">
        <f>STATS1003B!Z2002/1000</f>
        <v>0</v>
      </c>
      <c r="AA1998" s="69">
        <f>STATS1003B!AA2002/1000</f>
        <v>3278.34</v>
      </c>
      <c r="AB1998" s="69">
        <f>STATS1003B!AB2002/1000</f>
        <v>0</v>
      </c>
    </row>
    <row r="1999" spans="1:28" hidden="1" x14ac:dyDescent="0.3">
      <c r="A1999" s="117"/>
      <c r="C1999" s="71" t="s">
        <v>109</v>
      </c>
      <c r="D1999" s="88" t="s">
        <v>60</v>
      </c>
      <c r="E1999" s="85">
        <f>STATS1003B!E2003/1000</f>
        <v>7500</v>
      </c>
      <c r="F1999" s="85">
        <f>STATS1003B!F2003/1000</f>
        <v>7500</v>
      </c>
      <c r="G1999" s="85">
        <f>STATS1003B!G2003/1000</f>
        <v>0</v>
      </c>
      <c r="H1999" s="85">
        <f>STATS1003B!H2003/1000</f>
        <v>7500</v>
      </c>
      <c r="I1999" s="85">
        <f>STATS1003B!I2003/1000</f>
        <v>0</v>
      </c>
      <c r="J1999" s="85">
        <f>STATS1003B!J2003/1000</f>
        <v>0</v>
      </c>
      <c r="K1999" s="85">
        <f>STATS1003B!K2003/1000</f>
        <v>0</v>
      </c>
      <c r="L1999" s="85">
        <f>STATS1003B!L2003/1000</f>
        <v>0</v>
      </c>
      <c r="M1999" s="85">
        <f>STATS1003B!M2003/1000</f>
        <v>7500</v>
      </c>
      <c r="N1999" s="85">
        <f>STATS1003B!N2003/1000</f>
        <v>0</v>
      </c>
      <c r="O1999" s="85">
        <f>STATS1003B!O2003/1000</f>
        <v>0</v>
      </c>
      <c r="P1999" s="85">
        <f>STATS1003B!P2003/1000</f>
        <v>0</v>
      </c>
      <c r="Q1999" s="85">
        <f>STATS1003B!Q2003/1000</f>
        <v>0</v>
      </c>
      <c r="R1999" s="85">
        <f>STATS1003B!R2003/1000</f>
        <v>0</v>
      </c>
      <c r="S1999" s="85">
        <f>STATS1003B!S2003/1000</f>
        <v>0</v>
      </c>
      <c r="T1999" s="85">
        <f>STATS1003B!T2003/1000</f>
        <v>0</v>
      </c>
      <c r="U1999" s="85">
        <f>STATS1003B!U2003/1000</f>
        <v>0</v>
      </c>
      <c r="V1999" s="85">
        <f>STATS1003B!V2003/1000</f>
        <v>7500</v>
      </c>
      <c r="W1999" s="85">
        <f>STATS1003B!W2003/1000</f>
        <v>0</v>
      </c>
      <c r="X1999" s="85">
        <f t="shared" si="225"/>
        <v>7500</v>
      </c>
      <c r="Y1999" s="85">
        <f>STATS1003B!Y2003/1000</f>
        <v>0</v>
      </c>
      <c r="Z1999" s="85">
        <f>STATS1003B!Z2003/1000</f>
        <v>0</v>
      </c>
      <c r="AA1999" s="69">
        <f>STATS1003B!AA2003/1000</f>
        <v>7500</v>
      </c>
      <c r="AB1999" s="69">
        <f>STATS1003B!AB2003/1000</f>
        <v>0</v>
      </c>
    </row>
    <row r="2000" spans="1:28" hidden="1" x14ac:dyDescent="0.3">
      <c r="A2000" s="117"/>
      <c r="C2000" s="68" t="s">
        <v>69</v>
      </c>
      <c r="E2000" s="85">
        <f>STATS1003B!E2004/1000</f>
        <v>955.34561999999994</v>
      </c>
      <c r="F2000" s="85">
        <f>STATS1003B!F2004/1000</f>
        <v>0</v>
      </c>
      <c r="G2000" s="85">
        <f>STATS1003B!G2004/1000</f>
        <v>0</v>
      </c>
      <c r="H2000" s="85">
        <f>STATS1003B!H2004/1000</f>
        <v>0</v>
      </c>
      <c r="I2000" s="85">
        <f>STATS1003B!I2004/1000</f>
        <v>0</v>
      </c>
      <c r="J2000" s="85">
        <f>STATS1003B!J2004/1000</f>
        <v>0</v>
      </c>
      <c r="K2000" s="85">
        <f>STATS1003B!K2004/1000</f>
        <v>0</v>
      </c>
      <c r="L2000" s="85">
        <f>STATS1003B!L2004/1000</f>
        <v>0</v>
      </c>
      <c r="M2000" s="85">
        <f>STATS1003B!M2004/1000</f>
        <v>0</v>
      </c>
      <c r="N2000" s="85">
        <f>STATS1003B!N2004/1000</f>
        <v>955.34561999999994</v>
      </c>
      <c r="O2000" s="85">
        <f>STATS1003B!O2004/1000</f>
        <v>0</v>
      </c>
      <c r="P2000" s="85">
        <f>STATS1003B!P2004/1000</f>
        <v>955.34561999999994</v>
      </c>
      <c r="Q2000" s="85">
        <f>STATS1003B!Q2004/1000</f>
        <v>0</v>
      </c>
      <c r="R2000" s="85">
        <f>STATS1003B!R2004/1000</f>
        <v>0</v>
      </c>
      <c r="S2000" s="85">
        <f>STATS1003B!S2004/1000</f>
        <v>0</v>
      </c>
      <c r="T2000" s="85">
        <f>STATS1003B!T2004/1000</f>
        <v>0</v>
      </c>
      <c r="U2000" s="85">
        <f>STATS1003B!U2004/1000</f>
        <v>955.34561999999994</v>
      </c>
      <c r="V2000" s="85">
        <f>STATS1003B!V2004/1000</f>
        <v>955.34561999999994</v>
      </c>
      <c r="W2000" s="85">
        <f>STATS1003B!W2004/1000</f>
        <v>0</v>
      </c>
      <c r="X2000" s="85">
        <f t="shared" si="225"/>
        <v>955.34561999999994</v>
      </c>
      <c r="Y2000" s="85">
        <f>STATS1003B!Y2004/1000</f>
        <v>0</v>
      </c>
      <c r="Z2000" s="85">
        <f>STATS1003B!Z2004/1000</f>
        <v>0</v>
      </c>
      <c r="AA2000" s="69">
        <f>STATS1003B!AA2004/1000</f>
        <v>955.34561999999994</v>
      </c>
      <c r="AB2000" s="69">
        <f>STATS1003B!AB2004/1000</f>
        <v>0</v>
      </c>
    </row>
    <row r="2001" spans="1:28" hidden="1" x14ac:dyDescent="0.3">
      <c r="A2001" s="117"/>
      <c r="C2001" s="68" t="s">
        <v>57</v>
      </c>
      <c r="D2001" s="87" t="s">
        <v>60</v>
      </c>
      <c r="E2001" s="85">
        <f>STATS1003B!E2005/1000</f>
        <v>10000</v>
      </c>
      <c r="F2001" s="85">
        <f>STATS1003B!F2005/1000</f>
        <v>10000</v>
      </c>
      <c r="G2001" s="85">
        <f>STATS1003B!G2005/1000</f>
        <v>0</v>
      </c>
      <c r="H2001" s="85">
        <f>STATS1003B!H2005/1000</f>
        <v>10000</v>
      </c>
      <c r="I2001" s="85">
        <f>STATS1003B!I2005/1000</f>
        <v>0</v>
      </c>
      <c r="J2001" s="85">
        <f>STATS1003B!J2005/1000</f>
        <v>0</v>
      </c>
      <c r="K2001" s="85">
        <f>STATS1003B!K2005/1000</f>
        <v>0</v>
      </c>
      <c r="L2001" s="85">
        <f>STATS1003B!L2005/1000</f>
        <v>0</v>
      </c>
      <c r="M2001" s="85">
        <f>STATS1003B!M2005/1000</f>
        <v>10000</v>
      </c>
      <c r="N2001" s="85">
        <f>STATS1003B!N2005/1000</f>
        <v>0</v>
      </c>
      <c r="O2001" s="85">
        <f>STATS1003B!O2005/1000</f>
        <v>0</v>
      </c>
      <c r="P2001" s="85">
        <f>STATS1003B!P2005/1000</f>
        <v>0</v>
      </c>
      <c r="Q2001" s="85">
        <f>STATS1003B!Q2005/1000</f>
        <v>0</v>
      </c>
      <c r="R2001" s="85">
        <f>STATS1003B!R2005/1000</f>
        <v>0</v>
      </c>
      <c r="S2001" s="85">
        <f>STATS1003B!S2005/1000</f>
        <v>0</v>
      </c>
      <c r="T2001" s="85">
        <f>STATS1003B!T2005/1000</f>
        <v>0</v>
      </c>
      <c r="U2001" s="85">
        <f>STATS1003B!U2005/1000</f>
        <v>0</v>
      </c>
      <c r="V2001" s="85">
        <f>STATS1003B!V2005/1000</f>
        <v>10000</v>
      </c>
      <c r="W2001" s="85">
        <f>STATS1003B!W2005/1000</f>
        <v>0</v>
      </c>
      <c r="X2001" s="85">
        <f t="shared" si="225"/>
        <v>10000</v>
      </c>
      <c r="Y2001" s="85">
        <f>STATS1003B!Y2005/1000</f>
        <v>0</v>
      </c>
      <c r="Z2001" s="85">
        <f>STATS1003B!Z2005/1000</f>
        <v>0</v>
      </c>
      <c r="AA2001" s="69">
        <f>STATS1003B!AA2005/1000</f>
        <v>10000</v>
      </c>
      <c r="AB2001" s="69">
        <f>STATS1003B!AB2005/1000</f>
        <v>0</v>
      </c>
    </row>
    <row r="2002" spans="1:28" hidden="1" x14ac:dyDescent="0.3">
      <c r="A2002" s="117"/>
      <c r="C2002" s="68" t="s">
        <v>57</v>
      </c>
      <c r="D2002" s="87" t="s">
        <v>73</v>
      </c>
      <c r="E2002" s="85">
        <f>STATS1003B!E2006/1000</f>
        <v>15107.577140000001</v>
      </c>
      <c r="F2002" s="85">
        <f>STATS1003B!F2006/1000</f>
        <v>15107.577140000001</v>
      </c>
      <c r="G2002" s="85">
        <f>STATS1003B!G2006/1000</f>
        <v>0</v>
      </c>
      <c r="H2002" s="85">
        <f>STATS1003B!H2006/1000</f>
        <v>15107.577140000001</v>
      </c>
      <c r="I2002" s="85">
        <f>STATS1003B!I2006/1000</f>
        <v>0</v>
      </c>
      <c r="J2002" s="85">
        <f>STATS1003B!J2006/1000</f>
        <v>0</v>
      </c>
      <c r="K2002" s="85">
        <f>STATS1003B!K2006/1000</f>
        <v>0</v>
      </c>
      <c r="L2002" s="85">
        <f>STATS1003B!L2006/1000</f>
        <v>0</v>
      </c>
      <c r="M2002" s="85">
        <f>STATS1003B!M2006/1000</f>
        <v>15107.577140000001</v>
      </c>
      <c r="N2002" s="85">
        <f>STATS1003B!N2006/1000</f>
        <v>0</v>
      </c>
      <c r="O2002" s="85">
        <f>STATS1003B!O2006/1000</f>
        <v>0</v>
      </c>
      <c r="P2002" s="85">
        <f>STATS1003B!P2006/1000</f>
        <v>0</v>
      </c>
      <c r="Q2002" s="85">
        <f>STATS1003B!Q2006/1000</f>
        <v>0</v>
      </c>
      <c r="R2002" s="85">
        <f>STATS1003B!R2006/1000</f>
        <v>0</v>
      </c>
      <c r="S2002" s="85">
        <f>STATS1003B!S2006/1000</f>
        <v>0</v>
      </c>
      <c r="T2002" s="85">
        <f>STATS1003B!T2006/1000</f>
        <v>0</v>
      </c>
      <c r="U2002" s="85">
        <f>STATS1003B!U2006/1000</f>
        <v>0</v>
      </c>
      <c r="V2002" s="85">
        <f>STATS1003B!V2006/1000</f>
        <v>15107.577140000001</v>
      </c>
      <c r="W2002" s="85">
        <f>STATS1003B!W2006/1000</f>
        <v>0</v>
      </c>
      <c r="X2002" s="85">
        <f t="shared" si="225"/>
        <v>15107.577140000001</v>
      </c>
      <c r="Y2002" s="85">
        <f>STATS1003B!Y2006/1000</f>
        <v>0</v>
      </c>
      <c r="Z2002" s="85">
        <f>STATS1003B!Z2006/1000</f>
        <v>0</v>
      </c>
      <c r="AA2002" s="69">
        <f>STATS1003B!AA2006/1000</f>
        <v>15107.577140000001</v>
      </c>
      <c r="AB2002" s="69">
        <f>STATS1003B!AB2006/1000</f>
        <v>0</v>
      </c>
    </row>
    <row r="2003" spans="1:28" hidden="1" x14ac:dyDescent="0.3">
      <c r="A2003" s="117"/>
      <c r="C2003" s="68" t="s">
        <v>1065</v>
      </c>
      <c r="D2003" s="87"/>
      <c r="E2003" s="85">
        <f>STATS1003B!E2007/1000</f>
        <v>700</v>
      </c>
      <c r="F2003" s="85">
        <f>STATS1003B!F2007/1000</f>
        <v>700</v>
      </c>
      <c r="G2003" s="85">
        <f>STATS1003B!G2007/1000</f>
        <v>0</v>
      </c>
      <c r="H2003" s="85">
        <f>STATS1003B!H2007/1000</f>
        <v>700</v>
      </c>
      <c r="I2003" s="85">
        <f>STATS1003B!I2007/1000</f>
        <v>0</v>
      </c>
      <c r="J2003" s="85">
        <f>STATS1003B!J2007/1000</f>
        <v>0</v>
      </c>
      <c r="K2003" s="85">
        <f>STATS1003B!K2007/1000</f>
        <v>0</v>
      </c>
      <c r="L2003" s="85">
        <f>STATS1003B!L2007/1000</f>
        <v>0</v>
      </c>
      <c r="M2003" s="85">
        <f>STATS1003B!M2007/1000</f>
        <v>700</v>
      </c>
      <c r="N2003" s="85">
        <f>STATS1003B!N2007/1000</f>
        <v>0</v>
      </c>
      <c r="O2003" s="85">
        <f>STATS1003B!O2007/1000</f>
        <v>0</v>
      </c>
      <c r="P2003" s="85">
        <f>STATS1003B!P2007/1000</f>
        <v>0</v>
      </c>
      <c r="Q2003" s="85">
        <f>STATS1003B!Q2007/1000</f>
        <v>0</v>
      </c>
      <c r="R2003" s="85">
        <f>STATS1003B!R2007/1000</f>
        <v>0</v>
      </c>
      <c r="S2003" s="85">
        <f>STATS1003B!S2007/1000</f>
        <v>0</v>
      </c>
      <c r="T2003" s="85">
        <f>STATS1003B!T2007/1000</f>
        <v>0</v>
      </c>
      <c r="U2003" s="85">
        <f>STATS1003B!U2007/1000</f>
        <v>0</v>
      </c>
      <c r="V2003" s="85">
        <f>STATS1003B!V2007/1000</f>
        <v>700</v>
      </c>
      <c r="W2003" s="85">
        <f>STATS1003B!W2007/1000</f>
        <v>0</v>
      </c>
      <c r="X2003" s="85">
        <f t="shared" si="225"/>
        <v>700</v>
      </c>
      <c r="Y2003" s="85">
        <f>STATS1003B!Y2007/1000</f>
        <v>0</v>
      </c>
      <c r="Z2003" s="85">
        <f>STATS1003B!Z2007/1000</f>
        <v>0</v>
      </c>
      <c r="AA2003" s="69">
        <f>STATS1003B!AA2007/1000</f>
        <v>700</v>
      </c>
      <c r="AB2003" s="69">
        <f>STATS1003B!AB2007/1000</f>
        <v>0</v>
      </c>
    </row>
    <row r="2004" spans="1:28" hidden="1" x14ac:dyDescent="0.3">
      <c r="A2004" s="117"/>
      <c r="C2004" s="68" t="s">
        <v>924</v>
      </c>
      <c r="D2004" s="87"/>
      <c r="E2004" s="85">
        <f>STATS1003B!E2008/1000</f>
        <v>109.08654</v>
      </c>
      <c r="F2004" s="85">
        <f>STATS1003B!F2008/1000</f>
        <v>0</v>
      </c>
      <c r="G2004" s="85">
        <f>STATS1003B!G2008/1000</f>
        <v>0</v>
      </c>
      <c r="H2004" s="85">
        <f>STATS1003B!H2008/1000</f>
        <v>0</v>
      </c>
      <c r="I2004" s="85">
        <f>STATS1003B!I2008/1000</f>
        <v>0</v>
      </c>
      <c r="J2004" s="85">
        <f>STATS1003B!J2008/1000</f>
        <v>0</v>
      </c>
      <c r="K2004" s="85">
        <f>STATS1003B!K2008/1000</f>
        <v>0</v>
      </c>
      <c r="L2004" s="85">
        <f>STATS1003B!L2008/1000</f>
        <v>0</v>
      </c>
      <c r="M2004" s="85">
        <f>STATS1003B!M2008/1000</f>
        <v>0</v>
      </c>
      <c r="N2004" s="85">
        <f>STATS1003B!N2008/1000</f>
        <v>109.08654</v>
      </c>
      <c r="O2004" s="85">
        <f>STATS1003B!O2008/1000</f>
        <v>0</v>
      </c>
      <c r="P2004" s="85">
        <f>STATS1003B!P2008/1000</f>
        <v>109.08654</v>
      </c>
      <c r="Q2004" s="85">
        <f>STATS1003B!Q2008/1000</f>
        <v>0</v>
      </c>
      <c r="R2004" s="85">
        <f>STATS1003B!R2008/1000</f>
        <v>0</v>
      </c>
      <c r="S2004" s="85">
        <f>STATS1003B!S2008/1000</f>
        <v>0</v>
      </c>
      <c r="T2004" s="85">
        <f>STATS1003B!T2008/1000</f>
        <v>0</v>
      </c>
      <c r="U2004" s="85">
        <f>STATS1003B!U2008/1000</f>
        <v>109.08654</v>
      </c>
      <c r="V2004" s="85">
        <f>STATS1003B!V2008/1000</f>
        <v>0</v>
      </c>
      <c r="W2004" s="85">
        <f>STATS1003B!W2008/1000</f>
        <v>0</v>
      </c>
      <c r="X2004" s="85">
        <f t="shared" si="225"/>
        <v>109.08654</v>
      </c>
      <c r="Y2004" s="85">
        <f>STATS1003B!Y2008/1000</f>
        <v>0</v>
      </c>
      <c r="Z2004" s="85">
        <f>STATS1003B!Z2008/1000</f>
        <v>0</v>
      </c>
      <c r="AA2004" s="69">
        <f>STATS1003B!AA2008/1000</f>
        <v>109.08654</v>
      </c>
      <c r="AB2004" s="69">
        <f>STATS1003B!AB2008/1000</f>
        <v>0</v>
      </c>
    </row>
    <row r="2005" spans="1:28" hidden="1" x14ac:dyDescent="0.3">
      <c r="A2005" s="117"/>
      <c r="C2005" s="68" t="s">
        <v>930</v>
      </c>
      <c r="D2005" s="87"/>
      <c r="E2005" s="85">
        <f>STATS1003B!E2009/1000</f>
        <v>16274</v>
      </c>
      <c r="F2005" s="85">
        <f>STATS1003B!F2009/1000</f>
        <v>16274</v>
      </c>
      <c r="G2005" s="85">
        <f>STATS1003B!G2009/1000</f>
        <v>0</v>
      </c>
      <c r="H2005" s="85">
        <f>STATS1003B!H2009/1000</f>
        <v>16274</v>
      </c>
      <c r="I2005" s="85">
        <f>STATS1003B!I2009/1000</f>
        <v>0</v>
      </c>
      <c r="J2005" s="85">
        <f>STATS1003B!J2009/1000</f>
        <v>0</v>
      </c>
      <c r="K2005" s="85">
        <f>STATS1003B!K2009/1000</f>
        <v>0</v>
      </c>
      <c r="L2005" s="85">
        <f>STATS1003B!L2009/1000</f>
        <v>0</v>
      </c>
      <c r="M2005" s="85">
        <f>STATS1003B!M2009/1000</f>
        <v>16274</v>
      </c>
      <c r="N2005" s="85">
        <f>STATS1003B!N2009/1000</f>
        <v>0</v>
      </c>
      <c r="O2005" s="85">
        <f>STATS1003B!O2009/1000</f>
        <v>0</v>
      </c>
      <c r="P2005" s="85">
        <f>STATS1003B!P2009/1000</f>
        <v>0</v>
      </c>
      <c r="Q2005" s="85">
        <f>STATS1003B!Q2009/1000</f>
        <v>0</v>
      </c>
      <c r="R2005" s="85">
        <f>STATS1003B!R2009/1000</f>
        <v>0</v>
      </c>
      <c r="S2005" s="85">
        <f>STATS1003B!S2009/1000</f>
        <v>0</v>
      </c>
      <c r="T2005" s="85">
        <f>STATS1003B!T2009/1000</f>
        <v>0</v>
      </c>
      <c r="U2005" s="85">
        <f>STATS1003B!U2009/1000</f>
        <v>0</v>
      </c>
      <c r="V2005" s="85">
        <f>STATS1003B!V2009/1000</f>
        <v>0</v>
      </c>
      <c r="W2005" s="85">
        <f>STATS1003B!W2009/1000</f>
        <v>0</v>
      </c>
      <c r="X2005" s="85">
        <f t="shared" si="225"/>
        <v>16274</v>
      </c>
      <c r="Y2005" s="85">
        <f>STATS1003B!Y2009/1000</f>
        <v>0</v>
      </c>
      <c r="Z2005" s="85">
        <f>STATS1003B!Z2009/1000</f>
        <v>0</v>
      </c>
      <c r="AA2005" s="69">
        <f>STATS1003B!AA2009/1000</f>
        <v>16274</v>
      </c>
      <c r="AB2005" s="69">
        <f>STATS1003B!AB2009/1000</f>
        <v>0</v>
      </c>
    </row>
    <row r="2006" spans="1:28" hidden="1" x14ac:dyDescent="0.3">
      <c r="A2006" s="117"/>
      <c r="C2006" s="68" t="s">
        <v>1176</v>
      </c>
      <c r="D2006" s="90" t="s">
        <v>1126</v>
      </c>
      <c r="E2006" s="85">
        <f>STATS1003B!E2010/1000</f>
        <v>18292.896649999999</v>
      </c>
      <c r="F2006" s="85">
        <f>STATS1003B!F2010/1000</f>
        <v>18292.896649999999</v>
      </c>
      <c r="G2006" s="85">
        <f>STATS1003B!G2010/1000</f>
        <v>0</v>
      </c>
      <c r="H2006" s="85">
        <f>STATS1003B!H2010/1000</f>
        <v>18292.896649999999</v>
      </c>
      <c r="I2006" s="85">
        <f>STATS1003B!I2010/1000</f>
        <v>0</v>
      </c>
      <c r="J2006" s="85">
        <f>STATS1003B!J2010/1000</f>
        <v>0</v>
      </c>
      <c r="K2006" s="85">
        <f>STATS1003B!K2010/1000</f>
        <v>0</v>
      </c>
      <c r="L2006" s="85">
        <f>STATS1003B!L2010/1000</f>
        <v>0</v>
      </c>
      <c r="M2006" s="85">
        <f>STATS1003B!M2010/1000</f>
        <v>18292.896649999999</v>
      </c>
      <c r="N2006" s="85">
        <f>STATS1003B!N2010/1000</f>
        <v>0</v>
      </c>
      <c r="O2006" s="85">
        <f>STATS1003B!O2010/1000</f>
        <v>0</v>
      </c>
      <c r="P2006" s="85">
        <f>STATS1003B!P2010/1000</f>
        <v>0</v>
      </c>
      <c r="Q2006" s="85">
        <f>STATS1003B!Q2010/1000</f>
        <v>0</v>
      </c>
      <c r="R2006" s="85">
        <f>STATS1003B!R2010/1000</f>
        <v>0</v>
      </c>
      <c r="S2006" s="85">
        <f>STATS1003B!S2010/1000</f>
        <v>0</v>
      </c>
      <c r="T2006" s="85">
        <f>STATS1003B!T2010/1000</f>
        <v>0</v>
      </c>
      <c r="U2006" s="85">
        <f>STATS1003B!U2010/1000</f>
        <v>0</v>
      </c>
      <c r="V2006" s="85">
        <f>STATS1003B!V2010/1000</f>
        <v>0</v>
      </c>
      <c r="W2006" s="85">
        <f>STATS1003B!W2010/1000</f>
        <v>0</v>
      </c>
      <c r="X2006" s="85">
        <f t="shared" si="225"/>
        <v>18292.896649999999</v>
      </c>
      <c r="Y2006" s="85">
        <f>STATS1003B!Y2010/1000</f>
        <v>0</v>
      </c>
      <c r="Z2006" s="85">
        <f>STATS1003B!Z2010/1000</f>
        <v>0</v>
      </c>
      <c r="AA2006" s="69">
        <f>STATS1003B!AA2010/1000</f>
        <v>18292.896649999999</v>
      </c>
      <c r="AB2006" s="69">
        <f>STATS1003B!AB2010/1000</f>
        <v>0</v>
      </c>
    </row>
    <row r="2007" spans="1:28" hidden="1" x14ac:dyDescent="0.3">
      <c r="A2007" s="117"/>
      <c r="C2007" s="68" t="s">
        <v>1242</v>
      </c>
      <c r="D2007" s="90" t="s">
        <v>1225</v>
      </c>
      <c r="E2007" s="85">
        <f>STATS1003B!E2011/1000</f>
        <v>18788.08856</v>
      </c>
      <c r="F2007" s="85">
        <f>STATS1003B!F2011/1000</f>
        <v>0</v>
      </c>
      <c r="G2007" s="85">
        <f>STATS1003B!G2011/1000</f>
        <v>18788.08856</v>
      </c>
      <c r="H2007" s="85">
        <f>STATS1003B!H2011/1000</f>
        <v>18788.08856</v>
      </c>
      <c r="I2007" s="85">
        <f>STATS1003B!I2011/1000</f>
        <v>0</v>
      </c>
      <c r="J2007" s="85">
        <f>STATS1003B!J2011/1000</f>
        <v>0</v>
      </c>
      <c r="K2007" s="85">
        <f>STATS1003B!K2011/1000</f>
        <v>0</v>
      </c>
      <c r="L2007" s="85">
        <f>STATS1003B!L2011/1000</f>
        <v>0</v>
      </c>
      <c r="M2007" s="85">
        <f>STATS1003B!M2011/1000</f>
        <v>18788.08856</v>
      </c>
      <c r="N2007" s="85">
        <f>STATS1003B!N2011/1000</f>
        <v>0</v>
      </c>
      <c r="O2007" s="85">
        <f>STATS1003B!O2011/1000</f>
        <v>0</v>
      </c>
      <c r="P2007" s="85">
        <f>STATS1003B!P2011/1000</f>
        <v>0</v>
      </c>
      <c r="Q2007" s="85">
        <f>STATS1003B!Q2011/1000</f>
        <v>0</v>
      </c>
      <c r="R2007" s="85">
        <f>STATS1003B!R2011/1000</f>
        <v>0</v>
      </c>
      <c r="S2007" s="85">
        <f>STATS1003B!S2011/1000</f>
        <v>0</v>
      </c>
      <c r="T2007" s="85">
        <f>STATS1003B!T2011/1000</f>
        <v>0</v>
      </c>
      <c r="U2007" s="85">
        <f>STATS1003B!U2011/1000</f>
        <v>0</v>
      </c>
      <c r="V2007" s="85">
        <f>STATS1003B!V2011/1000</f>
        <v>0</v>
      </c>
      <c r="W2007" s="85">
        <f>STATS1003B!W2011/1000</f>
        <v>0</v>
      </c>
      <c r="X2007" s="85">
        <f t="shared" si="225"/>
        <v>18788.08856</v>
      </c>
      <c r="Y2007" s="85">
        <f>STATS1003B!Y2011/1000</f>
        <v>0</v>
      </c>
      <c r="Z2007" s="85">
        <f>STATS1003B!Z2011/1000</f>
        <v>0</v>
      </c>
      <c r="AA2007" s="69">
        <f>STATS1003B!AA2011/1000</f>
        <v>18788.08856</v>
      </c>
      <c r="AB2007" s="69">
        <f>STATS1003B!AB2011/1000</f>
        <v>0</v>
      </c>
    </row>
    <row r="2008" spans="1:28" hidden="1" x14ac:dyDescent="0.3">
      <c r="A2008" s="117"/>
      <c r="C2008" s="68" t="s">
        <v>1237</v>
      </c>
      <c r="D2008" s="90" t="s">
        <v>1225</v>
      </c>
      <c r="E2008" s="85">
        <f>STATS1003B!E2012/1000</f>
        <v>150</v>
      </c>
      <c r="F2008" s="85">
        <f>STATS1003B!F2012/1000</f>
        <v>150</v>
      </c>
      <c r="G2008" s="85">
        <f>STATS1003B!G2012/1000</f>
        <v>0</v>
      </c>
      <c r="H2008" s="85">
        <f>STATS1003B!H2012/1000</f>
        <v>150</v>
      </c>
      <c r="I2008" s="85">
        <f>STATS1003B!I2012/1000</f>
        <v>0</v>
      </c>
      <c r="J2008" s="85">
        <f>STATS1003B!J2012/1000</f>
        <v>0</v>
      </c>
      <c r="K2008" s="85">
        <f>STATS1003B!K2012/1000</f>
        <v>0</v>
      </c>
      <c r="L2008" s="85">
        <f>STATS1003B!L2012/1000</f>
        <v>0</v>
      </c>
      <c r="M2008" s="85">
        <f>STATS1003B!M2012/1000</f>
        <v>150</v>
      </c>
      <c r="N2008" s="85">
        <f>STATS1003B!N2012/1000</f>
        <v>0</v>
      </c>
      <c r="O2008" s="85">
        <f>STATS1003B!O2012/1000</f>
        <v>0</v>
      </c>
      <c r="P2008" s="85">
        <f>STATS1003B!P2012/1000</f>
        <v>0</v>
      </c>
      <c r="Q2008" s="85">
        <f>STATS1003B!Q2012/1000</f>
        <v>0</v>
      </c>
      <c r="R2008" s="85">
        <f>STATS1003B!R2012/1000</f>
        <v>0</v>
      </c>
      <c r="S2008" s="85">
        <f>STATS1003B!S2012/1000</f>
        <v>0</v>
      </c>
      <c r="T2008" s="85">
        <f>STATS1003B!T2012/1000</f>
        <v>0</v>
      </c>
      <c r="U2008" s="85">
        <f>STATS1003B!U2012/1000</f>
        <v>0</v>
      </c>
      <c r="V2008" s="85">
        <f>STATS1003B!V2012/1000</f>
        <v>0</v>
      </c>
      <c r="W2008" s="85">
        <f>STATS1003B!W2012/1000</f>
        <v>0</v>
      </c>
      <c r="X2008" s="85">
        <f t="shared" si="225"/>
        <v>150</v>
      </c>
      <c r="Y2008" s="85">
        <f>STATS1003B!Y2012/1000</f>
        <v>0</v>
      </c>
      <c r="Z2008" s="85">
        <f>STATS1003B!Z2012/1000</f>
        <v>0</v>
      </c>
      <c r="AA2008" s="69">
        <f>STATS1003B!AA2012/1000</f>
        <v>150</v>
      </c>
      <c r="AB2008" s="69">
        <f>STATS1003B!AB2012/1000</f>
        <v>0</v>
      </c>
    </row>
    <row r="2009" spans="1:28" hidden="1" x14ac:dyDescent="0.3">
      <c r="A2009" s="117"/>
      <c r="C2009" s="68" t="s">
        <v>57</v>
      </c>
      <c r="D2009" s="90" t="s">
        <v>61</v>
      </c>
      <c r="E2009" s="85">
        <f>STATS1003B!E2013/1000</f>
        <v>16896.572219999998</v>
      </c>
      <c r="F2009" s="85">
        <f>STATS1003B!F2013/1000</f>
        <v>16863.999989999997</v>
      </c>
      <c r="G2009" s="85">
        <f>STATS1003B!G2013/1000</f>
        <v>0</v>
      </c>
      <c r="H2009" s="85">
        <f>STATS1003B!H2013/1000</f>
        <v>16863.999989999997</v>
      </c>
      <c r="I2009" s="85">
        <f>STATS1003B!I2013/1000</f>
        <v>0</v>
      </c>
      <c r="J2009" s="85">
        <f>STATS1003B!J2013/1000</f>
        <v>0</v>
      </c>
      <c r="K2009" s="85">
        <f>STATS1003B!K2013/1000</f>
        <v>0</v>
      </c>
      <c r="L2009" s="85">
        <f>STATS1003B!L2013/1000</f>
        <v>0</v>
      </c>
      <c r="M2009" s="85">
        <f>STATS1003B!M2013/1000</f>
        <v>16863.999989999997</v>
      </c>
      <c r="N2009" s="85">
        <f>STATS1003B!N2013/1000</f>
        <v>0</v>
      </c>
      <c r="O2009" s="85">
        <f>STATS1003B!O2013/1000</f>
        <v>0</v>
      </c>
      <c r="P2009" s="85">
        <f>STATS1003B!P2013/1000</f>
        <v>0</v>
      </c>
      <c r="Q2009" s="85">
        <f>STATS1003B!Q2013/1000</f>
        <v>32.572229999999998</v>
      </c>
      <c r="R2009" s="85">
        <f>STATS1003B!R2013/1000</f>
        <v>0</v>
      </c>
      <c r="S2009" s="85">
        <f>STATS1003B!S2013/1000</f>
        <v>0</v>
      </c>
      <c r="T2009" s="85">
        <f>STATS1003B!T2013/1000</f>
        <v>32.572229999999998</v>
      </c>
      <c r="U2009" s="85">
        <f>STATS1003B!U2013/1000</f>
        <v>32.572229999999998</v>
      </c>
      <c r="V2009" s="85">
        <f>STATS1003B!V2013/1000</f>
        <v>16863.999989999997</v>
      </c>
      <c r="W2009" s="85">
        <f>STATS1003B!W2013/1000</f>
        <v>32.572230000000445</v>
      </c>
      <c r="X2009" s="85">
        <f t="shared" si="225"/>
        <v>16863.999989999997</v>
      </c>
      <c r="Y2009" s="85">
        <f>STATS1003B!Y2013/1000</f>
        <v>0</v>
      </c>
      <c r="Z2009" s="85">
        <f>STATS1003B!Z2013/1000</f>
        <v>32.572230000000445</v>
      </c>
      <c r="AA2009" s="69">
        <f>STATS1003B!AA2013/1000</f>
        <v>16896.572219999998</v>
      </c>
      <c r="AB2009" s="69">
        <f>STATS1003B!AB2013/1000</f>
        <v>0</v>
      </c>
    </row>
    <row r="2010" spans="1:28" hidden="1" x14ac:dyDescent="0.3">
      <c r="A2010" s="117"/>
      <c r="E2010" s="86" t="s">
        <v>29</v>
      </c>
      <c r="F2010" s="86" t="s">
        <v>29</v>
      </c>
      <c r="G2010" s="86" t="s">
        <v>29</v>
      </c>
      <c r="H2010" s="86" t="s">
        <v>29</v>
      </c>
      <c r="I2010" s="86" t="s">
        <v>29</v>
      </c>
      <c r="J2010" s="86" t="s">
        <v>29</v>
      </c>
      <c r="K2010" s="86" t="s">
        <v>29</v>
      </c>
      <c r="L2010" s="86" t="s">
        <v>29</v>
      </c>
      <c r="M2010" s="86" t="s">
        <v>29</v>
      </c>
      <c r="N2010" s="86" t="s">
        <v>29</v>
      </c>
      <c r="O2010" s="86" t="s">
        <v>29</v>
      </c>
      <c r="P2010" s="86" t="s">
        <v>29</v>
      </c>
      <c r="Q2010" s="86" t="s">
        <v>29</v>
      </c>
      <c r="R2010" s="86" t="s">
        <v>29</v>
      </c>
      <c r="S2010" s="86" t="s">
        <v>29</v>
      </c>
      <c r="T2010" s="86" t="s">
        <v>29</v>
      </c>
      <c r="U2010" s="86" t="s">
        <v>29</v>
      </c>
      <c r="V2010" s="86" t="s">
        <v>29</v>
      </c>
      <c r="W2010" s="86" t="s">
        <v>29</v>
      </c>
      <c r="X2010" s="85" t="e">
        <f t="shared" si="225"/>
        <v>#VALUE!</v>
      </c>
      <c r="Y2010" s="86" t="s">
        <v>29</v>
      </c>
      <c r="Z2010" s="86" t="s">
        <v>29</v>
      </c>
      <c r="AA2010" s="115" t="s">
        <v>29</v>
      </c>
      <c r="AB2010" s="115" t="s">
        <v>29</v>
      </c>
    </row>
    <row r="2011" spans="1:28" x14ac:dyDescent="0.3">
      <c r="A2011" s="116">
        <v>88</v>
      </c>
      <c r="B2011" s="68" t="s">
        <v>357</v>
      </c>
      <c r="E2011" s="85">
        <f>350229502.66/1000</f>
        <v>350229.50266</v>
      </c>
      <c r="F2011" s="85">
        <f t="shared" ref="F2011:AB2011" si="226">SUM(F1990:F2009)</f>
        <v>103866.05069999999</v>
      </c>
      <c r="G2011" s="85">
        <f t="shared" si="226"/>
        <v>18788.08856</v>
      </c>
      <c r="H2011" s="85">
        <f>344885871.68/1000</f>
        <v>344885.87167999998</v>
      </c>
      <c r="I2011" s="85">
        <f t="shared" si="226"/>
        <v>0</v>
      </c>
      <c r="J2011" s="85">
        <f t="shared" si="226"/>
        <v>0</v>
      </c>
      <c r="K2011" s="85">
        <f t="shared" si="226"/>
        <v>0</v>
      </c>
      <c r="L2011" s="85">
        <f t="shared" si="226"/>
        <v>0</v>
      </c>
      <c r="M2011" s="85">
        <f t="shared" si="226"/>
        <v>122654.13926</v>
      </c>
      <c r="N2011" s="85">
        <f t="shared" si="226"/>
        <v>5231.0587599999999</v>
      </c>
      <c r="O2011" s="85">
        <f t="shared" si="226"/>
        <v>0</v>
      </c>
      <c r="P2011" s="85">
        <f>5231058/1000</f>
        <v>5231.058</v>
      </c>
      <c r="Q2011" s="85">
        <f t="shared" si="226"/>
        <v>32.572229999999998</v>
      </c>
      <c r="R2011" s="85">
        <f t="shared" si="226"/>
        <v>0</v>
      </c>
      <c r="S2011" s="85">
        <f t="shared" si="226"/>
        <v>0</v>
      </c>
      <c r="T2011" s="85">
        <f t="shared" si="226"/>
        <v>32.572229999999998</v>
      </c>
      <c r="U2011" s="85">
        <f t="shared" si="226"/>
        <v>5263.6309899999997</v>
      </c>
      <c r="V2011" s="85">
        <f t="shared" si="226"/>
        <v>74271.126270000008</v>
      </c>
      <c r="W2011" s="85">
        <f t="shared" si="226"/>
        <v>112.57223000000045</v>
      </c>
      <c r="X2011" s="85">
        <f>+H2011+P2011</f>
        <v>350116.92968</v>
      </c>
      <c r="Y2011" s="85">
        <f t="shared" si="226"/>
        <v>0</v>
      </c>
      <c r="Z2011" s="85">
        <f t="shared" ref="Z2011:Z2074" si="227">+E2011-X2011</f>
        <v>112.57297999999719</v>
      </c>
      <c r="AA2011" s="69">
        <f t="shared" si="226"/>
        <v>127917.77025</v>
      </c>
      <c r="AB2011" s="69">
        <f t="shared" si="226"/>
        <v>80</v>
      </c>
    </row>
    <row r="2012" spans="1:28" hidden="1" x14ac:dyDescent="0.3">
      <c r="A2012" s="117"/>
      <c r="E2012" s="86" t="s">
        <v>29</v>
      </c>
      <c r="F2012" s="86" t="s">
        <v>29</v>
      </c>
      <c r="G2012" s="86" t="s">
        <v>29</v>
      </c>
      <c r="H2012" s="86" t="s">
        <v>29</v>
      </c>
      <c r="I2012" s="86" t="s">
        <v>29</v>
      </c>
      <c r="J2012" s="86" t="s">
        <v>29</v>
      </c>
      <c r="K2012" s="86" t="s">
        <v>29</v>
      </c>
      <c r="L2012" s="86" t="s">
        <v>29</v>
      </c>
      <c r="M2012" s="86" t="s">
        <v>29</v>
      </c>
      <c r="N2012" s="86" t="s">
        <v>29</v>
      </c>
      <c r="O2012" s="86" t="s">
        <v>29</v>
      </c>
      <c r="P2012" s="86" t="s">
        <v>29</v>
      </c>
      <c r="Q2012" s="86" t="s">
        <v>29</v>
      </c>
      <c r="R2012" s="86" t="s">
        <v>29</v>
      </c>
      <c r="S2012" s="86" t="s">
        <v>29</v>
      </c>
      <c r="T2012" s="86" t="s">
        <v>29</v>
      </c>
      <c r="U2012" s="86" t="s">
        <v>29</v>
      </c>
      <c r="V2012" s="86" t="s">
        <v>29</v>
      </c>
      <c r="W2012" s="86" t="s">
        <v>29</v>
      </c>
      <c r="X2012" s="85" t="e">
        <f t="shared" si="225"/>
        <v>#VALUE!</v>
      </c>
      <c r="Y2012" s="86" t="s">
        <v>29</v>
      </c>
      <c r="Z2012" s="85" t="e">
        <f t="shared" si="227"/>
        <v>#VALUE!</v>
      </c>
      <c r="AA2012" s="115" t="s">
        <v>29</v>
      </c>
      <c r="AB2012" s="115" t="s">
        <v>29</v>
      </c>
    </row>
    <row r="2013" spans="1:28" hidden="1" x14ac:dyDescent="0.3">
      <c r="A2013" s="105"/>
      <c r="E2013" s="84"/>
      <c r="F2013" s="84"/>
      <c r="G2013" s="84"/>
      <c r="H2013" s="84"/>
      <c r="I2013" s="84"/>
      <c r="J2013" s="84"/>
      <c r="K2013" s="84"/>
      <c r="L2013" s="84"/>
      <c r="M2013" s="84"/>
      <c r="N2013" s="84"/>
      <c r="O2013" s="84"/>
      <c r="P2013" s="84"/>
      <c r="Q2013" s="84"/>
      <c r="R2013" s="84"/>
      <c r="S2013" s="84"/>
      <c r="T2013" s="84"/>
      <c r="U2013" s="84"/>
      <c r="V2013" s="84"/>
      <c r="W2013" s="84"/>
      <c r="X2013" s="85">
        <f t="shared" si="225"/>
        <v>0</v>
      </c>
      <c r="Y2013" s="84"/>
      <c r="Z2013" s="85">
        <f t="shared" si="227"/>
        <v>0</v>
      </c>
    </row>
    <row r="2014" spans="1:28" hidden="1" x14ac:dyDescent="0.3">
      <c r="A2014" s="117"/>
      <c r="D2014" s="87" t="s">
        <v>362</v>
      </c>
      <c r="E2014" s="84"/>
      <c r="F2014" s="84"/>
      <c r="G2014" s="84"/>
      <c r="H2014" s="84"/>
      <c r="I2014" s="84"/>
      <c r="J2014" s="84"/>
      <c r="K2014" s="84"/>
      <c r="L2014" s="84"/>
      <c r="M2014" s="84"/>
      <c r="N2014" s="84"/>
      <c r="O2014" s="84"/>
      <c r="P2014" s="84"/>
      <c r="Q2014" s="84"/>
      <c r="R2014" s="84"/>
      <c r="S2014" s="84"/>
      <c r="T2014" s="84"/>
      <c r="U2014" s="84"/>
      <c r="V2014" s="84"/>
      <c r="W2014" s="84"/>
      <c r="X2014" s="85">
        <f t="shared" si="225"/>
        <v>0</v>
      </c>
      <c r="Y2014" s="84"/>
      <c r="Z2014" s="85">
        <f t="shared" si="227"/>
        <v>0</v>
      </c>
    </row>
    <row r="2015" spans="1:28" hidden="1" x14ac:dyDescent="0.3">
      <c r="A2015" s="117"/>
      <c r="C2015" s="68" t="s">
        <v>363</v>
      </c>
      <c r="D2015" s="71" t="s">
        <v>364</v>
      </c>
      <c r="E2015" s="85">
        <f>STATS1003B!E2019/1000</f>
        <v>21392.780350000001</v>
      </c>
      <c r="F2015" s="85">
        <f>STATS1003B!F2019/1000</f>
        <v>21392.780350000001</v>
      </c>
      <c r="G2015" s="85">
        <f>STATS1003B!G2019/1000</f>
        <v>0</v>
      </c>
      <c r="H2015" s="85">
        <f>STATS1003B!H2019/1000</f>
        <v>21392.780350000001</v>
      </c>
      <c r="I2015" s="85">
        <f>STATS1003B!I2019/1000</f>
        <v>0</v>
      </c>
      <c r="J2015" s="85">
        <f>STATS1003B!J2019/1000</f>
        <v>0</v>
      </c>
      <c r="K2015" s="85">
        <f>STATS1003B!K2019/1000</f>
        <v>0</v>
      </c>
      <c r="L2015" s="85">
        <f>STATS1003B!L2019/1000</f>
        <v>0</v>
      </c>
      <c r="M2015" s="85">
        <f>STATS1003B!M2019/1000</f>
        <v>21392.780350000001</v>
      </c>
      <c r="N2015" s="85">
        <f>STATS1003B!N2019/1000</f>
        <v>0</v>
      </c>
      <c r="O2015" s="85">
        <f>STATS1003B!O2019/1000</f>
        <v>0</v>
      </c>
      <c r="P2015" s="85">
        <f>STATS1003B!P2019/1000</f>
        <v>0</v>
      </c>
      <c r="Q2015" s="85">
        <f>STATS1003B!Q2019/1000</f>
        <v>0</v>
      </c>
      <c r="R2015" s="85">
        <f>STATS1003B!R2019/1000</f>
        <v>0</v>
      </c>
      <c r="S2015" s="85">
        <f>STATS1003B!S2019/1000</f>
        <v>0</v>
      </c>
      <c r="T2015" s="85">
        <f>STATS1003B!T2019/1000</f>
        <v>0</v>
      </c>
      <c r="U2015" s="85">
        <f>STATS1003B!U2019/1000</f>
        <v>0</v>
      </c>
      <c r="V2015" s="85">
        <f>STATS1003B!V2019/1000</f>
        <v>21392.780350000001</v>
      </c>
      <c r="W2015" s="85">
        <f>STATS1003B!W2019/1000</f>
        <v>0</v>
      </c>
      <c r="X2015" s="85">
        <f t="shared" si="225"/>
        <v>21392.780350000001</v>
      </c>
      <c r="Y2015" s="85">
        <f>STATS1003B!Y2019/1000</f>
        <v>0</v>
      </c>
      <c r="Z2015" s="85">
        <f t="shared" si="227"/>
        <v>0</v>
      </c>
      <c r="AA2015" s="69">
        <f>STATS1003B!AA2019/1000</f>
        <v>21392.780350000001</v>
      </c>
      <c r="AB2015" s="69">
        <f>STATS1003B!AB2019/1000</f>
        <v>0</v>
      </c>
    </row>
    <row r="2016" spans="1:28" hidden="1" x14ac:dyDescent="0.3">
      <c r="A2016" s="117"/>
      <c r="C2016" s="68" t="s">
        <v>83</v>
      </c>
      <c r="D2016" s="87" t="s">
        <v>67</v>
      </c>
      <c r="E2016" s="85">
        <f>STATS1003B!E2020/1000</f>
        <v>776.96600000000001</v>
      </c>
      <c r="F2016" s="85">
        <f>STATS1003B!F2020/1000</f>
        <v>600.70960000000002</v>
      </c>
      <c r="G2016" s="85">
        <f>STATS1003B!G2020/1000</f>
        <v>0</v>
      </c>
      <c r="H2016" s="85">
        <f>STATS1003B!H2020/1000</f>
        <v>600.70960000000002</v>
      </c>
      <c r="I2016" s="85">
        <f>STATS1003B!I2020/1000</f>
        <v>0</v>
      </c>
      <c r="J2016" s="85">
        <f>STATS1003B!J2020/1000</f>
        <v>0</v>
      </c>
      <c r="K2016" s="85">
        <f>STATS1003B!K2020/1000</f>
        <v>0</v>
      </c>
      <c r="L2016" s="85">
        <f>STATS1003B!L2020/1000</f>
        <v>0</v>
      </c>
      <c r="M2016" s="85">
        <f>STATS1003B!M2020/1000</f>
        <v>600.70960000000002</v>
      </c>
      <c r="N2016" s="85">
        <f>STATS1003B!N2020/1000</f>
        <v>176.25639999999999</v>
      </c>
      <c r="O2016" s="85">
        <f>STATS1003B!O2020/1000</f>
        <v>0</v>
      </c>
      <c r="P2016" s="85">
        <f>STATS1003B!P2020/1000</f>
        <v>176.25639999999999</v>
      </c>
      <c r="Q2016" s="85">
        <f>STATS1003B!Q2020/1000</f>
        <v>0</v>
      </c>
      <c r="R2016" s="85">
        <f>STATS1003B!R2020/1000</f>
        <v>0</v>
      </c>
      <c r="S2016" s="85">
        <f>STATS1003B!S2020/1000</f>
        <v>0</v>
      </c>
      <c r="T2016" s="85">
        <f>STATS1003B!T2020/1000</f>
        <v>0</v>
      </c>
      <c r="U2016" s="85">
        <f>STATS1003B!U2020/1000</f>
        <v>176.25639999999999</v>
      </c>
      <c r="V2016" s="85">
        <f>STATS1003B!V2020/1000</f>
        <v>776.96600000000001</v>
      </c>
      <c r="W2016" s="85">
        <f>STATS1003B!W2020/1000</f>
        <v>0</v>
      </c>
      <c r="X2016" s="85">
        <f t="shared" si="225"/>
        <v>776.96600000000001</v>
      </c>
      <c r="Y2016" s="85">
        <f>STATS1003B!Y2020/1000</f>
        <v>0</v>
      </c>
      <c r="Z2016" s="85">
        <f t="shared" si="227"/>
        <v>0</v>
      </c>
      <c r="AA2016" s="69">
        <f>STATS1003B!AA2020/1000</f>
        <v>776.96600000000001</v>
      </c>
      <c r="AB2016" s="69">
        <f>STATS1003B!AB2020/1000</f>
        <v>0</v>
      </c>
    </row>
    <row r="2017" spans="1:28" hidden="1" x14ac:dyDescent="0.3">
      <c r="A2017" s="117"/>
      <c r="C2017" s="68" t="s">
        <v>192</v>
      </c>
      <c r="D2017" s="87" t="s">
        <v>54</v>
      </c>
      <c r="E2017" s="85">
        <f>STATS1003B!E2021/1000</f>
        <v>955.34561999999994</v>
      </c>
      <c r="F2017" s="85">
        <f>STATS1003B!F2021/1000</f>
        <v>0</v>
      </c>
      <c r="G2017" s="85">
        <f>STATS1003B!G2021/1000</f>
        <v>0</v>
      </c>
      <c r="H2017" s="85">
        <f>STATS1003B!H2021/1000</f>
        <v>0</v>
      </c>
      <c r="I2017" s="85">
        <f>STATS1003B!I2021/1000</f>
        <v>0</v>
      </c>
      <c r="J2017" s="85">
        <f>STATS1003B!J2021/1000</f>
        <v>0</v>
      </c>
      <c r="K2017" s="85">
        <f>STATS1003B!K2021/1000</f>
        <v>0</v>
      </c>
      <c r="L2017" s="85">
        <f>STATS1003B!L2021/1000</f>
        <v>0</v>
      </c>
      <c r="M2017" s="85">
        <f>STATS1003B!M2021/1000</f>
        <v>0</v>
      </c>
      <c r="N2017" s="85">
        <f>STATS1003B!N2021/1000</f>
        <v>955.34561999999994</v>
      </c>
      <c r="O2017" s="85">
        <f>STATS1003B!O2021/1000</f>
        <v>0</v>
      </c>
      <c r="P2017" s="85">
        <f>STATS1003B!P2021/1000</f>
        <v>955.34561999999994</v>
      </c>
      <c r="Q2017" s="85">
        <f>STATS1003B!Q2021/1000</f>
        <v>0</v>
      </c>
      <c r="R2017" s="85">
        <f>STATS1003B!R2021/1000</f>
        <v>0</v>
      </c>
      <c r="S2017" s="85">
        <f>STATS1003B!S2021/1000</f>
        <v>0</v>
      </c>
      <c r="T2017" s="85">
        <f>STATS1003B!T2021/1000</f>
        <v>0</v>
      </c>
      <c r="U2017" s="85">
        <f>STATS1003B!U2021/1000</f>
        <v>955.34561999999994</v>
      </c>
      <c r="V2017" s="85">
        <f>STATS1003B!V2021/1000</f>
        <v>955.34561999999994</v>
      </c>
      <c r="W2017" s="85">
        <f>STATS1003B!W2021/1000</f>
        <v>0</v>
      </c>
      <c r="X2017" s="85">
        <f t="shared" si="225"/>
        <v>955.34561999999994</v>
      </c>
      <c r="Y2017" s="85">
        <f>STATS1003B!Y2021/1000</f>
        <v>0</v>
      </c>
      <c r="Z2017" s="85">
        <f t="shared" si="227"/>
        <v>0</v>
      </c>
      <c r="AA2017" s="69">
        <f>STATS1003B!AA2021/1000</f>
        <v>955.34561999999994</v>
      </c>
      <c r="AB2017" s="69">
        <f>STATS1003B!AB2021/1000</f>
        <v>0</v>
      </c>
    </row>
    <row r="2018" spans="1:28" hidden="1" x14ac:dyDescent="0.3">
      <c r="A2018" s="117"/>
      <c r="C2018" s="68" t="s">
        <v>53</v>
      </c>
      <c r="D2018" s="87" t="s">
        <v>54</v>
      </c>
      <c r="E2018" s="85">
        <f>STATS1003B!E2022/1000</f>
        <v>1953.989</v>
      </c>
      <c r="F2018" s="85">
        <f>STATS1003B!F2022/1000</f>
        <v>0</v>
      </c>
      <c r="G2018" s="85">
        <f>STATS1003B!G2022/1000</f>
        <v>0</v>
      </c>
      <c r="H2018" s="85">
        <f>STATS1003B!H2022/1000</f>
        <v>0</v>
      </c>
      <c r="I2018" s="85">
        <f>STATS1003B!I2022/1000</f>
        <v>0</v>
      </c>
      <c r="J2018" s="85">
        <f>STATS1003B!J2022/1000</f>
        <v>0</v>
      </c>
      <c r="K2018" s="85">
        <f>STATS1003B!K2022/1000</f>
        <v>0</v>
      </c>
      <c r="L2018" s="85">
        <f>STATS1003B!L2022/1000</f>
        <v>0</v>
      </c>
      <c r="M2018" s="85">
        <f>STATS1003B!M2022/1000</f>
        <v>0</v>
      </c>
      <c r="N2018" s="85">
        <f>STATS1003B!N2022/1000</f>
        <v>1953.989</v>
      </c>
      <c r="O2018" s="85">
        <f>STATS1003B!O2022/1000</f>
        <v>0</v>
      </c>
      <c r="P2018" s="85">
        <f>STATS1003B!P2022/1000</f>
        <v>1953.989</v>
      </c>
      <c r="Q2018" s="85">
        <f>STATS1003B!Q2022/1000</f>
        <v>0</v>
      </c>
      <c r="R2018" s="85">
        <f>STATS1003B!R2022/1000</f>
        <v>0</v>
      </c>
      <c r="S2018" s="85">
        <f>STATS1003B!S2022/1000</f>
        <v>0</v>
      </c>
      <c r="T2018" s="85">
        <f>STATS1003B!T2022/1000</f>
        <v>0</v>
      </c>
      <c r="U2018" s="85">
        <f>STATS1003B!U2022/1000</f>
        <v>1953.989</v>
      </c>
      <c r="V2018" s="85">
        <f>STATS1003B!V2022/1000</f>
        <v>1953.989</v>
      </c>
      <c r="W2018" s="85">
        <f>STATS1003B!W2022/1000</f>
        <v>0</v>
      </c>
      <c r="X2018" s="85">
        <f t="shared" si="225"/>
        <v>1953.989</v>
      </c>
      <c r="Y2018" s="85">
        <f>STATS1003B!Y2022/1000</f>
        <v>0</v>
      </c>
      <c r="Z2018" s="85">
        <f t="shared" si="227"/>
        <v>0</v>
      </c>
      <c r="AA2018" s="69">
        <f>STATS1003B!AA2022/1000</f>
        <v>1953.989</v>
      </c>
      <c r="AB2018" s="69">
        <f>STATS1003B!AB2022/1000</f>
        <v>0</v>
      </c>
    </row>
    <row r="2019" spans="1:28" hidden="1" x14ac:dyDescent="0.3">
      <c r="A2019" s="117"/>
      <c r="C2019" s="68" t="s">
        <v>55</v>
      </c>
      <c r="D2019" s="87" t="s">
        <v>54</v>
      </c>
      <c r="E2019" s="85">
        <f>STATS1003B!E2023/1000</f>
        <v>983.66263000000004</v>
      </c>
      <c r="F2019" s="85">
        <f>STATS1003B!F2023/1000</f>
        <v>0</v>
      </c>
      <c r="G2019" s="85">
        <f>STATS1003B!G2023/1000</f>
        <v>0</v>
      </c>
      <c r="H2019" s="85">
        <f>STATS1003B!H2023/1000</f>
        <v>0</v>
      </c>
      <c r="I2019" s="85">
        <f>STATS1003B!I2023/1000</f>
        <v>0</v>
      </c>
      <c r="J2019" s="85">
        <f>STATS1003B!J2023/1000</f>
        <v>0</v>
      </c>
      <c r="K2019" s="85">
        <f>STATS1003B!K2023/1000</f>
        <v>0</v>
      </c>
      <c r="L2019" s="85">
        <f>STATS1003B!L2023/1000</f>
        <v>0</v>
      </c>
      <c r="M2019" s="85">
        <f>STATS1003B!M2023/1000</f>
        <v>0</v>
      </c>
      <c r="N2019" s="85">
        <f>STATS1003B!N2023/1000</f>
        <v>983.66262999999992</v>
      </c>
      <c r="O2019" s="85">
        <f>STATS1003B!O2023/1000</f>
        <v>0</v>
      </c>
      <c r="P2019" s="85">
        <f>STATS1003B!P2023/1000</f>
        <v>983.66262999999992</v>
      </c>
      <c r="Q2019" s="85">
        <f>STATS1003B!Q2023/1000</f>
        <v>0</v>
      </c>
      <c r="R2019" s="85">
        <f>STATS1003B!R2023/1000</f>
        <v>0</v>
      </c>
      <c r="S2019" s="85">
        <f>STATS1003B!S2023/1000</f>
        <v>0</v>
      </c>
      <c r="T2019" s="85">
        <f>STATS1003B!T2023/1000</f>
        <v>0</v>
      </c>
      <c r="U2019" s="85">
        <f>STATS1003B!U2023/1000</f>
        <v>983.66262999999992</v>
      </c>
      <c r="V2019" s="85">
        <f>STATS1003B!V2023/1000</f>
        <v>983.66262999999992</v>
      </c>
      <c r="W2019" s="85">
        <f>STATS1003B!W2023/1000</f>
        <v>0</v>
      </c>
      <c r="X2019" s="85">
        <f t="shared" si="225"/>
        <v>983.66262999999992</v>
      </c>
      <c r="Y2019" s="85">
        <f>STATS1003B!Y2023/1000</f>
        <v>0</v>
      </c>
      <c r="Z2019" s="85">
        <f t="shared" si="227"/>
        <v>0</v>
      </c>
      <c r="AA2019" s="69">
        <f>STATS1003B!AA2023/1000</f>
        <v>983.66262999999992</v>
      </c>
      <c r="AB2019" s="69">
        <f>STATS1003B!AB2023/1000</f>
        <v>0</v>
      </c>
    </row>
    <row r="2020" spans="1:28" hidden="1" x14ac:dyDescent="0.3">
      <c r="A2020" s="117"/>
      <c r="C2020" s="68" t="s">
        <v>365</v>
      </c>
      <c r="D2020" s="87" t="s">
        <v>54</v>
      </c>
      <c r="E2020" s="85">
        <f>STATS1003B!E2024/1000</f>
        <v>351</v>
      </c>
      <c r="F2020" s="85">
        <f>STATS1003B!F2024/1000</f>
        <v>351</v>
      </c>
      <c r="G2020" s="85">
        <f>STATS1003B!G2024/1000</f>
        <v>0</v>
      </c>
      <c r="H2020" s="85">
        <f>STATS1003B!H2024/1000</f>
        <v>351</v>
      </c>
      <c r="I2020" s="85">
        <f>STATS1003B!I2024/1000</f>
        <v>0</v>
      </c>
      <c r="J2020" s="85">
        <f>STATS1003B!J2024/1000</f>
        <v>0</v>
      </c>
      <c r="K2020" s="85">
        <f>STATS1003B!K2024/1000</f>
        <v>0</v>
      </c>
      <c r="L2020" s="85">
        <f>STATS1003B!L2024/1000</f>
        <v>0</v>
      </c>
      <c r="M2020" s="85">
        <f>STATS1003B!M2024/1000</f>
        <v>351</v>
      </c>
      <c r="N2020" s="85">
        <f>STATS1003B!N2024/1000</f>
        <v>0</v>
      </c>
      <c r="O2020" s="85">
        <f>STATS1003B!O2024/1000</f>
        <v>0</v>
      </c>
      <c r="P2020" s="85">
        <f>STATS1003B!P2024/1000</f>
        <v>0</v>
      </c>
      <c r="Q2020" s="85">
        <f>STATS1003B!Q2024/1000</f>
        <v>0</v>
      </c>
      <c r="R2020" s="85">
        <f>STATS1003B!R2024/1000</f>
        <v>0</v>
      </c>
      <c r="S2020" s="85">
        <f>STATS1003B!S2024/1000</f>
        <v>0</v>
      </c>
      <c r="T2020" s="85">
        <f>STATS1003B!T2024/1000</f>
        <v>0</v>
      </c>
      <c r="U2020" s="85">
        <f>STATS1003B!U2024/1000</f>
        <v>0</v>
      </c>
      <c r="V2020" s="85">
        <f>STATS1003B!V2024/1000</f>
        <v>351</v>
      </c>
      <c r="W2020" s="85">
        <f>STATS1003B!W2024/1000</f>
        <v>0</v>
      </c>
      <c r="X2020" s="85">
        <f t="shared" si="225"/>
        <v>351</v>
      </c>
      <c r="Y2020" s="85">
        <f>STATS1003B!Y2024/1000</f>
        <v>0</v>
      </c>
      <c r="Z2020" s="85">
        <f t="shared" si="227"/>
        <v>0</v>
      </c>
      <c r="AA2020" s="69">
        <f>STATS1003B!AA2024/1000</f>
        <v>351</v>
      </c>
      <c r="AB2020" s="69">
        <f>STATS1003B!AB2024/1000</f>
        <v>0</v>
      </c>
    </row>
    <row r="2021" spans="1:28" hidden="1" x14ac:dyDescent="0.3">
      <c r="A2021" s="117"/>
      <c r="C2021" s="68" t="s">
        <v>366</v>
      </c>
      <c r="D2021" s="87" t="s">
        <v>85</v>
      </c>
      <c r="E2021" s="85">
        <f>STATS1003B!E2025/1000</f>
        <v>160</v>
      </c>
      <c r="F2021" s="85">
        <f>STATS1003B!F2025/1000</f>
        <v>160</v>
      </c>
      <c r="G2021" s="85">
        <f>STATS1003B!G2025/1000</f>
        <v>0</v>
      </c>
      <c r="H2021" s="85">
        <f>STATS1003B!H2025/1000</f>
        <v>160</v>
      </c>
      <c r="I2021" s="85">
        <f>STATS1003B!I2025/1000</f>
        <v>0</v>
      </c>
      <c r="J2021" s="85">
        <f>STATS1003B!J2025/1000</f>
        <v>0</v>
      </c>
      <c r="K2021" s="85">
        <f>STATS1003B!K2025/1000</f>
        <v>0</v>
      </c>
      <c r="L2021" s="85">
        <f>STATS1003B!L2025/1000</f>
        <v>0</v>
      </c>
      <c r="M2021" s="85">
        <f>STATS1003B!M2025/1000</f>
        <v>160</v>
      </c>
      <c r="N2021" s="85">
        <f>STATS1003B!N2025/1000</f>
        <v>0</v>
      </c>
      <c r="O2021" s="85">
        <f>STATS1003B!O2025/1000</f>
        <v>0</v>
      </c>
      <c r="P2021" s="85">
        <f>STATS1003B!P2025/1000</f>
        <v>0</v>
      </c>
      <c r="Q2021" s="85">
        <f>STATS1003B!Q2025/1000</f>
        <v>0</v>
      </c>
      <c r="R2021" s="85">
        <f>STATS1003B!R2025/1000</f>
        <v>0</v>
      </c>
      <c r="S2021" s="85">
        <f>STATS1003B!S2025/1000</f>
        <v>0</v>
      </c>
      <c r="T2021" s="85">
        <f>STATS1003B!T2025/1000</f>
        <v>0</v>
      </c>
      <c r="U2021" s="85">
        <f>STATS1003B!U2025/1000</f>
        <v>0</v>
      </c>
      <c r="V2021" s="85">
        <f>STATS1003B!V2025/1000</f>
        <v>160</v>
      </c>
      <c r="W2021" s="85">
        <f>STATS1003B!W2025/1000</f>
        <v>0</v>
      </c>
      <c r="X2021" s="85">
        <f t="shared" si="225"/>
        <v>160</v>
      </c>
      <c r="Y2021" s="85">
        <f>STATS1003B!Y2025/1000</f>
        <v>0</v>
      </c>
      <c r="Z2021" s="85">
        <f t="shared" si="227"/>
        <v>0</v>
      </c>
      <c r="AA2021" s="69">
        <f>STATS1003B!AA2025/1000</f>
        <v>160</v>
      </c>
      <c r="AB2021" s="69">
        <f>STATS1003B!AB2025/1000</f>
        <v>0</v>
      </c>
    </row>
    <row r="2022" spans="1:28" hidden="1" x14ac:dyDescent="0.3">
      <c r="A2022" s="117"/>
      <c r="C2022" s="68" t="s">
        <v>367</v>
      </c>
      <c r="D2022" s="87" t="s">
        <v>128</v>
      </c>
      <c r="E2022" s="85">
        <f>STATS1003B!E2026/1000</f>
        <v>190</v>
      </c>
      <c r="F2022" s="85">
        <f>STATS1003B!F2026/1000</f>
        <v>190</v>
      </c>
      <c r="G2022" s="85">
        <f>STATS1003B!G2026/1000</f>
        <v>0</v>
      </c>
      <c r="H2022" s="85">
        <f>STATS1003B!H2026/1000</f>
        <v>190</v>
      </c>
      <c r="I2022" s="85">
        <f>STATS1003B!I2026/1000</f>
        <v>0</v>
      </c>
      <c r="J2022" s="85">
        <f>STATS1003B!J2026/1000</f>
        <v>0</v>
      </c>
      <c r="K2022" s="85">
        <f>STATS1003B!K2026/1000</f>
        <v>0</v>
      </c>
      <c r="L2022" s="85">
        <f>STATS1003B!L2026/1000</f>
        <v>0</v>
      </c>
      <c r="M2022" s="85">
        <f>STATS1003B!M2026/1000</f>
        <v>190</v>
      </c>
      <c r="N2022" s="85">
        <f>STATS1003B!N2026/1000</f>
        <v>0</v>
      </c>
      <c r="O2022" s="85">
        <f>STATS1003B!O2026/1000</f>
        <v>0</v>
      </c>
      <c r="P2022" s="85">
        <f>STATS1003B!P2026/1000</f>
        <v>0</v>
      </c>
      <c r="Q2022" s="85">
        <f>STATS1003B!Q2026/1000</f>
        <v>0</v>
      </c>
      <c r="R2022" s="85">
        <f>STATS1003B!R2026/1000</f>
        <v>0</v>
      </c>
      <c r="S2022" s="85">
        <f>STATS1003B!S2026/1000</f>
        <v>0</v>
      </c>
      <c r="T2022" s="85">
        <f>STATS1003B!T2026/1000</f>
        <v>0</v>
      </c>
      <c r="U2022" s="85">
        <f>STATS1003B!U2026/1000</f>
        <v>0</v>
      </c>
      <c r="V2022" s="85">
        <f>STATS1003B!V2026/1000</f>
        <v>190</v>
      </c>
      <c r="W2022" s="85">
        <f>STATS1003B!W2026/1000</f>
        <v>0</v>
      </c>
      <c r="X2022" s="85">
        <f t="shared" si="225"/>
        <v>190</v>
      </c>
      <c r="Y2022" s="85">
        <f>STATS1003B!Y2026/1000</f>
        <v>0</v>
      </c>
      <c r="Z2022" s="85">
        <f t="shared" si="227"/>
        <v>0</v>
      </c>
      <c r="AA2022" s="69">
        <f>STATS1003B!AA2026/1000</f>
        <v>190</v>
      </c>
      <c r="AB2022" s="69">
        <f>STATS1003B!AB2026/1000</f>
        <v>0</v>
      </c>
    </row>
    <row r="2023" spans="1:28" hidden="1" x14ac:dyDescent="0.3">
      <c r="A2023" s="117"/>
      <c r="C2023" s="68" t="s">
        <v>355</v>
      </c>
      <c r="D2023" s="87" t="s">
        <v>128</v>
      </c>
      <c r="E2023" s="85">
        <f>STATS1003B!E2027/1000</f>
        <v>1500</v>
      </c>
      <c r="F2023" s="85">
        <f>STATS1003B!F2027/1000</f>
        <v>1500</v>
      </c>
      <c r="G2023" s="85">
        <f>STATS1003B!G2027/1000</f>
        <v>0</v>
      </c>
      <c r="H2023" s="85">
        <f>STATS1003B!H2027/1000</f>
        <v>1500</v>
      </c>
      <c r="I2023" s="85">
        <f>STATS1003B!I2027/1000</f>
        <v>0</v>
      </c>
      <c r="J2023" s="85">
        <f>STATS1003B!J2027/1000</f>
        <v>0</v>
      </c>
      <c r="K2023" s="85">
        <f>STATS1003B!K2027/1000</f>
        <v>0</v>
      </c>
      <c r="L2023" s="85">
        <f>STATS1003B!L2027/1000</f>
        <v>0</v>
      </c>
      <c r="M2023" s="85">
        <f>STATS1003B!M2027/1000</f>
        <v>1500</v>
      </c>
      <c r="N2023" s="85">
        <f>STATS1003B!N2027/1000</f>
        <v>0</v>
      </c>
      <c r="O2023" s="85">
        <f>STATS1003B!O2027/1000</f>
        <v>0</v>
      </c>
      <c r="P2023" s="85">
        <f>STATS1003B!P2027/1000</f>
        <v>0</v>
      </c>
      <c r="Q2023" s="85">
        <f>STATS1003B!Q2027/1000</f>
        <v>0</v>
      </c>
      <c r="R2023" s="85">
        <f>STATS1003B!R2027/1000</f>
        <v>0</v>
      </c>
      <c r="S2023" s="85">
        <f>STATS1003B!S2027/1000</f>
        <v>0</v>
      </c>
      <c r="T2023" s="85">
        <f>STATS1003B!T2027/1000</f>
        <v>0</v>
      </c>
      <c r="U2023" s="85">
        <f>STATS1003B!U2027/1000</f>
        <v>0</v>
      </c>
      <c r="V2023" s="85">
        <f>STATS1003B!V2027/1000</f>
        <v>1500</v>
      </c>
      <c r="W2023" s="85">
        <f>STATS1003B!W2027/1000</f>
        <v>0</v>
      </c>
      <c r="X2023" s="85">
        <f t="shared" si="225"/>
        <v>1500</v>
      </c>
      <c r="Y2023" s="85">
        <f>STATS1003B!Y2027/1000</f>
        <v>0</v>
      </c>
      <c r="Z2023" s="85">
        <f t="shared" si="227"/>
        <v>0</v>
      </c>
      <c r="AA2023" s="69">
        <f>STATS1003B!AA2027/1000</f>
        <v>1500</v>
      </c>
      <c r="AB2023" s="69">
        <f>STATS1003B!AB2027/1000</f>
        <v>0</v>
      </c>
    </row>
    <row r="2024" spans="1:28" hidden="1" x14ac:dyDescent="0.3">
      <c r="A2024" s="117"/>
      <c r="C2024" s="68" t="s">
        <v>57</v>
      </c>
      <c r="D2024" s="87" t="s">
        <v>58</v>
      </c>
      <c r="E2024" s="85">
        <f>STATS1003B!E2028/1000</f>
        <v>1231.6500000000001</v>
      </c>
      <c r="F2024" s="85">
        <f>STATS1003B!F2028/1000</f>
        <v>1231.6500000000001</v>
      </c>
      <c r="G2024" s="85">
        <f>STATS1003B!G2028/1000</f>
        <v>0</v>
      </c>
      <c r="H2024" s="85">
        <f>STATS1003B!H2028/1000</f>
        <v>1231.6500000000001</v>
      </c>
      <c r="I2024" s="85">
        <f>STATS1003B!I2028/1000</f>
        <v>0</v>
      </c>
      <c r="J2024" s="85">
        <f>STATS1003B!J2028/1000</f>
        <v>0</v>
      </c>
      <c r="K2024" s="85">
        <f>STATS1003B!K2028/1000</f>
        <v>0</v>
      </c>
      <c r="L2024" s="85">
        <f>STATS1003B!L2028/1000</f>
        <v>0</v>
      </c>
      <c r="M2024" s="85">
        <f>STATS1003B!M2028/1000</f>
        <v>1231.6500000000001</v>
      </c>
      <c r="N2024" s="85">
        <f>STATS1003B!N2028/1000</f>
        <v>0</v>
      </c>
      <c r="O2024" s="85">
        <f>STATS1003B!O2028/1000</f>
        <v>0</v>
      </c>
      <c r="P2024" s="85">
        <f>STATS1003B!P2028/1000</f>
        <v>0</v>
      </c>
      <c r="Q2024" s="85">
        <f>STATS1003B!Q2028/1000</f>
        <v>0</v>
      </c>
      <c r="R2024" s="85">
        <f>STATS1003B!R2028/1000</f>
        <v>0</v>
      </c>
      <c r="S2024" s="85">
        <f>STATS1003B!S2028/1000</f>
        <v>0</v>
      </c>
      <c r="T2024" s="85">
        <f>STATS1003B!T2028/1000</f>
        <v>0</v>
      </c>
      <c r="U2024" s="85">
        <f>STATS1003B!U2028/1000</f>
        <v>0</v>
      </c>
      <c r="V2024" s="85">
        <f>STATS1003B!V2028/1000</f>
        <v>1231.6500000000001</v>
      </c>
      <c r="W2024" s="85">
        <f>STATS1003B!W2028/1000</f>
        <v>0</v>
      </c>
      <c r="X2024" s="85">
        <f t="shared" si="225"/>
        <v>1231.6500000000001</v>
      </c>
      <c r="Y2024" s="85">
        <f>STATS1003B!Y2028/1000</f>
        <v>0</v>
      </c>
      <c r="Z2024" s="85">
        <f t="shared" si="227"/>
        <v>0</v>
      </c>
      <c r="AA2024" s="69">
        <f>STATS1003B!AA2028/1000</f>
        <v>1231.6500000000001</v>
      </c>
      <c r="AB2024" s="69">
        <f>STATS1003B!AB2028/1000</f>
        <v>0</v>
      </c>
    </row>
    <row r="2025" spans="1:28" hidden="1" x14ac:dyDescent="0.3">
      <c r="A2025" s="117"/>
      <c r="C2025" s="71" t="s">
        <v>109</v>
      </c>
      <c r="D2025" s="88" t="s">
        <v>60</v>
      </c>
      <c r="E2025" s="85">
        <f>STATS1003B!E2029/1000</f>
        <v>1654.5453500000001</v>
      </c>
      <c r="F2025" s="85">
        <f>STATS1003B!F2029/1000</f>
        <v>1654.5453500000001</v>
      </c>
      <c r="G2025" s="85">
        <f>STATS1003B!G2029/1000</f>
        <v>0</v>
      </c>
      <c r="H2025" s="85">
        <f>STATS1003B!H2029/1000</f>
        <v>1654.5453500000001</v>
      </c>
      <c r="I2025" s="85">
        <f>STATS1003B!I2029/1000</f>
        <v>0</v>
      </c>
      <c r="J2025" s="85">
        <f>STATS1003B!J2029/1000</f>
        <v>0</v>
      </c>
      <c r="K2025" s="85">
        <f>STATS1003B!K2029/1000</f>
        <v>0</v>
      </c>
      <c r="L2025" s="85">
        <f>STATS1003B!L2029/1000</f>
        <v>0</v>
      </c>
      <c r="M2025" s="85">
        <f>STATS1003B!M2029/1000</f>
        <v>1654.5453500000001</v>
      </c>
      <c r="N2025" s="85">
        <f>STATS1003B!N2029/1000</f>
        <v>0</v>
      </c>
      <c r="O2025" s="85">
        <f>STATS1003B!O2029/1000</f>
        <v>0</v>
      </c>
      <c r="P2025" s="85">
        <f>STATS1003B!P2029/1000</f>
        <v>0</v>
      </c>
      <c r="Q2025" s="85">
        <f>STATS1003B!Q2029/1000</f>
        <v>0</v>
      </c>
      <c r="R2025" s="85">
        <f>STATS1003B!R2029/1000</f>
        <v>0</v>
      </c>
      <c r="S2025" s="85">
        <f>STATS1003B!S2029/1000</f>
        <v>0</v>
      </c>
      <c r="T2025" s="85">
        <f>STATS1003B!T2029/1000</f>
        <v>0</v>
      </c>
      <c r="U2025" s="85">
        <f>STATS1003B!U2029/1000</f>
        <v>0</v>
      </c>
      <c r="V2025" s="85">
        <f>STATS1003B!V2029/1000</f>
        <v>1654.5453500000001</v>
      </c>
      <c r="W2025" s="85">
        <f>STATS1003B!W2029/1000</f>
        <v>0</v>
      </c>
      <c r="X2025" s="85">
        <f t="shared" si="225"/>
        <v>1654.5453500000001</v>
      </c>
      <c r="Y2025" s="85">
        <f>STATS1003B!Y2029/1000</f>
        <v>0</v>
      </c>
      <c r="Z2025" s="85">
        <f t="shared" si="227"/>
        <v>0</v>
      </c>
      <c r="AA2025" s="69">
        <f>STATS1003B!AA2029/1000</f>
        <v>1654.5453500000001</v>
      </c>
      <c r="AB2025" s="69">
        <f>STATS1003B!AB2029/1000</f>
        <v>0</v>
      </c>
    </row>
    <row r="2026" spans="1:28" hidden="1" x14ac:dyDescent="0.3">
      <c r="A2026" s="117"/>
      <c r="C2026" s="68" t="s">
        <v>368</v>
      </c>
      <c r="D2026" s="87" t="s">
        <v>58</v>
      </c>
      <c r="E2026" s="85">
        <f>STATS1003B!E2030/1000</f>
        <v>2000</v>
      </c>
      <c r="F2026" s="85">
        <f>STATS1003B!F2030/1000</f>
        <v>2000</v>
      </c>
      <c r="G2026" s="85">
        <f>STATS1003B!G2030/1000</f>
        <v>0</v>
      </c>
      <c r="H2026" s="85">
        <f>STATS1003B!H2030/1000</f>
        <v>2000</v>
      </c>
      <c r="I2026" s="85">
        <f>STATS1003B!I2030/1000</f>
        <v>0</v>
      </c>
      <c r="J2026" s="85">
        <f>STATS1003B!J2030/1000</f>
        <v>0</v>
      </c>
      <c r="K2026" s="85">
        <f>STATS1003B!K2030/1000</f>
        <v>0</v>
      </c>
      <c r="L2026" s="85">
        <f>STATS1003B!L2030/1000</f>
        <v>0</v>
      </c>
      <c r="M2026" s="85">
        <f>STATS1003B!M2030/1000</f>
        <v>2000</v>
      </c>
      <c r="N2026" s="85">
        <f>STATS1003B!N2030/1000</f>
        <v>0</v>
      </c>
      <c r="O2026" s="85">
        <f>STATS1003B!O2030/1000</f>
        <v>0</v>
      </c>
      <c r="P2026" s="85">
        <f>STATS1003B!P2030/1000</f>
        <v>0</v>
      </c>
      <c r="Q2026" s="85">
        <f>STATS1003B!Q2030/1000</f>
        <v>0</v>
      </c>
      <c r="R2026" s="85">
        <f>STATS1003B!R2030/1000</f>
        <v>0</v>
      </c>
      <c r="S2026" s="85">
        <f>STATS1003B!S2030/1000</f>
        <v>0</v>
      </c>
      <c r="T2026" s="85">
        <f>STATS1003B!T2030/1000</f>
        <v>0</v>
      </c>
      <c r="U2026" s="85">
        <f>STATS1003B!U2030/1000</f>
        <v>0</v>
      </c>
      <c r="V2026" s="85">
        <f>STATS1003B!V2030/1000</f>
        <v>2000</v>
      </c>
      <c r="W2026" s="85">
        <f>STATS1003B!W2030/1000</f>
        <v>0</v>
      </c>
      <c r="X2026" s="85">
        <f t="shared" si="225"/>
        <v>2000</v>
      </c>
      <c r="Y2026" s="85">
        <f>STATS1003B!Y2030/1000</f>
        <v>0</v>
      </c>
      <c r="Z2026" s="85">
        <f t="shared" si="227"/>
        <v>0</v>
      </c>
      <c r="AA2026" s="69">
        <f>STATS1003B!AA2030/1000</f>
        <v>2000</v>
      </c>
      <c r="AB2026" s="69">
        <f>STATS1003B!AB2030/1000</f>
        <v>0</v>
      </c>
    </row>
    <row r="2027" spans="1:28" hidden="1" x14ac:dyDescent="0.3">
      <c r="A2027" s="117"/>
      <c r="C2027" s="71" t="s">
        <v>57</v>
      </c>
      <c r="D2027" s="87" t="s">
        <v>60</v>
      </c>
      <c r="E2027" s="85">
        <f>STATS1003B!E2031/1000</f>
        <v>6839.2070000000003</v>
      </c>
      <c r="F2027" s="85">
        <f>STATS1003B!F2031/1000</f>
        <v>6839.2070000000003</v>
      </c>
      <c r="G2027" s="85">
        <f>STATS1003B!G2031/1000</f>
        <v>0</v>
      </c>
      <c r="H2027" s="85">
        <f>STATS1003B!H2031/1000</f>
        <v>6839.2070000000003</v>
      </c>
      <c r="I2027" s="85">
        <f>STATS1003B!I2031/1000</f>
        <v>0</v>
      </c>
      <c r="J2027" s="85">
        <f>STATS1003B!J2031/1000</f>
        <v>0</v>
      </c>
      <c r="K2027" s="85">
        <f>STATS1003B!K2031/1000</f>
        <v>0</v>
      </c>
      <c r="L2027" s="85">
        <f>STATS1003B!L2031/1000</f>
        <v>0</v>
      </c>
      <c r="M2027" s="85">
        <f>STATS1003B!M2031/1000</f>
        <v>6839.2070000000003</v>
      </c>
      <c r="N2027" s="85">
        <f>STATS1003B!N2031/1000</f>
        <v>0</v>
      </c>
      <c r="O2027" s="85">
        <f>STATS1003B!O2031/1000</f>
        <v>0</v>
      </c>
      <c r="P2027" s="85">
        <f>STATS1003B!P2031/1000</f>
        <v>0</v>
      </c>
      <c r="Q2027" s="85">
        <f>STATS1003B!Q2031/1000</f>
        <v>0</v>
      </c>
      <c r="R2027" s="85">
        <f>STATS1003B!R2031/1000</f>
        <v>0</v>
      </c>
      <c r="S2027" s="85">
        <f>STATS1003B!S2031/1000</f>
        <v>0</v>
      </c>
      <c r="T2027" s="85">
        <f>STATS1003B!T2031/1000</f>
        <v>0</v>
      </c>
      <c r="U2027" s="85">
        <f>STATS1003B!U2031/1000</f>
        <v>0</v>
      </c>
      <c r="V2027" s="85">
        <f>STATS1003B!V2031/1000</f>
        <v>6839.2070000000003</v>
      </c>
      <c r="W2027" s="85">
        <f>STATS1003B!W2031/1000</f>
        <v>0</v>
      </c>
      <c r="X2027" s="85">
        <f t="shared" si="225"/>
        <v>6839.2070000000003</v>
      </c>
      <c r="Y2027" s="85">
        <f>STATS1003B!Y2031/1000</f>
        <v>0</v>
      </c>
      <c r="Z2027" s="85">
        <f t="shared" si="227"/>
        <v>0</v>
      </c>
      <c r="AA2027" s="69">
        <f>STATS1003B!AA2031/1000</f>
        <v>6839.2070000000003</v>
      </c>
      <c r="AB2027" s="69">
        <f>STATS1003B!AB2031/1000</f>
        <v>0</v>
      </c>
    </row>
    <row r="2028" spans="1:28" hidden="1" x14ac:dyDescent="0.3">
      <c r="A2028" s="117"/>
      <c r="C2028" s="71" t="s">
        <v>57</v>
      </c>
      <c r="D2028" s="87" t="s">
        <v>73</v>
      </c>
      <c r="E2028" s="85">
        <f>STATS1003B!E2032/1000</f>
        <v>21808.905589999998</v>
      </c>
      <c r="F2028" s="85">
        <f>STATS1003B!F2032/1000</f>
        <v>21808.905589999998</v>
      </c>
      <c r="G2028" s="85">
        <f>STATS1003B!G2032/1000</f>
        <v>0</v>
      </c>
      <c r="H2028" s="85">
        <f>STATS1003B!H2032/1000</f>
        <v>21808.905589999998</v>
      </c>
      <c r="I2028" s="85">
        <f>STATS1003B!I2032/1000</f>
        <v>0</v>
      </c>
      <c r="J2028" s="85">
        <f>STATS1003B!J2032/1000</f>
        <v>0</v>
      </c>
      <c r="K2028" s="85">
        <f>STATS1003B!K2032/1000</f>
        <v>0</v>
      </c>
      <c r="L2028" s="85">
        <f>STATS1003B!L2032/1000</f>
        <v>0</v>
      </c>
      <c r="M2028" s="85">
        <f>STATS1003B!M2032/1000</f>
        <v>21808.905589999998</v>
      </c>
      <c r="N2028" s="85">
        <f>STATS1003B!N2032/1000</f>
        <v>0</v>
      </c>
      <c r="O2028" s="85">
        <f>STATS1003B!O2032/1000</f>
        <v>0</v>
      </c>
      <c r="P2028" s="85">
        <f>STATS1003B!P2032/1000</f>
        <v>0</v>
      </c>
      <c r="Q2028" s="85">
        <f>STATS1003B!Q2032/1000</f>
        <v>0</v>
      </c>
      <c r="R2028" s="85">
        <f>STATS1003B!R2032/1000</f>
        <v>0</v>
      </c>
      <c r="S2028" s="85">
        <f>STATS1003B!S2032/1000</f>
        <v>0</v>
      </c>
      <c r="T2028" s="85">
        <f>STATS1003B!T2032/1000</f>
        <v>0</v>
      </c>
      <c r="U2028" s="85">
        <f>STATS1003B!U2032/1000</f>
        <v>0</v>
      </c>
      <c r="V2028" s="85">
        <f>STATS1003B!V2032/1000</f>
        <v>21808.905589999998</v>
      </c>
      <c r="W2028" s="85">
        <f>STATS1003B!W2032/1000</f>
        <v>0</v>
      </c>
      <c r="X2028" s="85">
        <f t="shared" si="225"/>
        <v>21808.905589999998</v>
      </c>
      <c r="Y2028" s="85">
        <f>STATS1003B!Y2032/1000</f>
        <v>0</v>
      </c>
      <c r="Z2028" s="85">
        <f t="shared" si="227"/>
        <v>0</v>
      </c>
      <c r="AA2028" s="69">
        <f>STATS1003B!AA2032/1000</f>
        <v>21808.905589999998</v>
      </c>
      <c r="AB2028" s="69">
        <f>STATS1003B!AB2032/1000</f>
        <v>0</v>
      </c>
    </row>
    <row r="2029" spans="1:28" hidden="1" x14ac:dyDescent="0.3">
      <c r="A2029" s="117"/>
      <c r="C2029" s="68" t="s">
        <v>122</v>
      </c>
      <c r="E2029" s="85">
        <f>STATS1003B!E2033/1000</f>
        <v>2196.1118999999999</v>
      </c>
      <c r="F2029" s="85">
        <f>STATS1003B!F2033/1000</f>
        <v>2196.1118999999999</v>
      </c>
      <c r="G2029" s="85">
        <f>STATS1003B!G2033/1000</f>
        <v>0</v>
      </c>
      <c r="H2029" s="85">
        <f>STATS1003B!H2033/1000</f>
        <v>2196.1118999999999</v>
      </c>
      <c r="I2029" s="85">
        <f>STATS1003B!I2033/1000</f>
        <v>0</v>
      </c>
      <c r="J2029" s="85">
        <f>STATS1003B!J2033/1000</f>
        <v>0</v>
      </c>
      <c r="K2029" s="85">
        <f>STATS1003B!K2033/1000</f>
        <v>0</v>
      </c>
      <c r="L2029" s="85">
        <f>STATS1003B!L2033/1000</f>
        <v>0</v>
      </c>
      <c r="M2029" s="85">
        <f>STATS1003B!M2033/1000</f>
        <v>2196.1118999999999</v>
      </c>
      <c r="N2029" s="85">
        <f>STATS1003B!N2033/1000</f>
        <v>0</v>
      </c>
      <c r="O2029" s="85">
        <f>STATS1003B!O2033/1000</f>
        <v>0</v>
      </c>
      <c r="P2029" s="85">
        <f>STATS1003B!P2033/1000</f>
        <v>0</v>
      </c>
      <c r="Q2029" s="85">
        <f>STATS1003B!Q2033/1000</f>
        <v>0</v>
      </c>
      <c r="R2029" s="85">
        <f>STATS1003B!R2033/1000</f>
        <v>0</v>
      </c>
      <c r="S2029" s="85">
        <f>STATS1003B!S2033/1000</f>
        <v>0</v>
      </c>
      <c r="T2029" s="85">
        <f>STATS1003B!T2033/1000</f>
        <v>0</v>
      </c>
      <c r="U2029" s="85">
        <f>STATS1003B!U2033/1000</f>
        <v>0</v>
      </c>
      <c r="V2029" s="85">
        <f>STATS1003B!V2033/1000</f>
        <v>2196.1118999999999</v>
      </c>
      <c r="W2029" s="85">
        <f>STATS1003B!W2033/1000</f>
        <v>0</v>
      </c>
      <c r="X2029" s="85">
        <f t="shared" si="225"/>
        <v>2196.1118999999999</v>
      </c>
      <c r="Y2029" s="85">
        <f>STATS1003B!Y2033/1000</f>
        <v>0</v>
      </c>
      <c r="Z2029" s="85">
        <f t="shared" si="227"/>
        <v>0</v>
      </c>
      <c r="AA2029" s="69">
        <f>STATS1003B!AA2033/1000</f>
        <v>2196.1118999999999</v>
      </c>
      <c r="AB2029" s="69">
        <f>STATS1003B!AB2033/1000</f>
        <v>0</v>
      </c>
    </row>
    <row r="2030" spans="1:28" hidden="1" x14ac:dyDescent="0.3">
      <c r="A2030" s="117"/>
      <c r="C2030" s="68" t="s">
        <v>1195</v>
      </c>
      <c r="D2030" s="91" t="s">
        <v>1126</v>
      </c>
      <c r="E2030" s="85">
        <f>STATS1003B!E2034/1000</f>
        <v>400</v>
      </c>
      <c r="F2030" s="85">
        <f>STATS1003B!F2034/1000</f>
        <v>400</v>
      </c>
      <c r="G2030" s="85">
        <f>STATS1003B!G2034/1000</f>
        <v>0</v>
      </c>
      <c r="H2030" s="85">
        <f>STATS1003B!H2034/1000</f>
        <v>400</v>
      </c>
      <c r="I2030" s="85">
        <f>STATS1003B!I2034/1000</f>
        <v>0</v>
      </c>
      <c r="J2030" s="85">
        <f>STATS1003B!J2034/1000</f>
        <v>0</v>
      </c>
      <c r="K2030" s="85">
        <f>STATS1003B!K2034/1000</f>
        <v>0</v>
      </c>
      <c r="L2030" s="85">
        <f>STATS1003B!L2034/1000</f>
        <v>0</v>
      </c>
      <c r="M2030" s="85">
        <f>STATS1003B!M2034/1000</f>
        <v>400</v>
      </c>
      <c r="N2030" s="85">
        <f>STATS1003B!N2034/1000</f>
        <v>0</v>
      </c>
      <c r="O2030" s="85">
        <f>STATS1003B!O2034/1000</f>
        <v>0</v>
      </c>
      <c r="P2030" s="85">
        <f>STATS1003B!P2034/1000</f>
        <v>0</v>
      </c>
      <c r="Q2030" s="85">
        <f>STATS1003B!Q2034/1000</f>
        <v>0</v>
      </c>
      <c r="R2030" s="85">
        <f>STATS1003B!R2034/1000</f>
        <v>0</v>
      </c>
      <c r="S2030" s="85">
        <f>STATS1003B!S2034/1000</f>
        <v>0</v>
      </c>
      <c r="T2030" s="85">
        <f>STATS1003B!T2034/1000</f>
        <v>0</v>
      </c>
      <c r="U2030" s="85">
        <f>STATS1003B!U2034/1000</f>
        <v>0</v>
      </c>
      <c r="V2030" s="85">
        <f>STATS1003B!V2034/1000</f>
        <v>400</v>
      </c>
      <c r="W2030" s="85">
        <f>STATS1003B!W2034/1000</f>
        <v>0</v>
      </c>
      <c r="X2030" s="85">
        <f t="shared" si="225"/>
        <v>400</v>
      </c>
      <c r="Y2030" s="85">
        <f>STATS1003B!Y2034/1000</f>
        <v>0</v>
      </c>
      <c r="Z2030" s="85">
        <f t="shared" si="227"/>
        <v>0</v>
      </c>
      <c r="AA2030" s="69">
        <f>STATS1003B!AA2034/1000</f>
        <v>400</v>
      </c>
      <c r="AB2030" s="69">
        <f>STATS1003B!AB2034/1000</f>
        <v>0</v>
      </c>
    </row>
    <row r="2031" spans="1:28" hidden="1" x14ac:dyDescent="0.3">
      <c r="A2031" s="117"/>
      <c r="C2031" s="68" t="s">
        <v>930</v>
      </c>
      <c r="D2031" s="91" t="s">
        <v>1072</v>
      </c>
      <c r="E2031" s="85">
        <f>STATS1003B!E2035/1000</f>
        <v>17437.537</v>
      </c>
      <c r="F2031" s="85">
        <f>STATS1003B!F2035/1000</f>
        <v>17437.537</v>
      </c>
      <c r="G2031" s="85">
        <f>STATS1003B!G2035/1000</f>
        <v>0</v>
      </c>
      <c r="H2031" s="85">
        <f>STATS1003B!H2035/1000</f>
        <v>17437.537</v>
      </c>
      <c r="I2031" s="85">
        <f>STATS1003B!I2035/1000</f>
        <v>0</v>
      </c>
      <c r="J2031" s="85">
        <f>STATS1003B!J2035/1000</f>
        <v>0</v>
      </c>
      <c r="K2031" s="85">
        <f>STATS1003B!K2035/1000</f>
        <v>0</v>
      </c>
      <c r="L2031" s="85">
        <f>STATS1003B!L2035/1000</f>
        <v>0</v>
      </c>
      <c r="M2031" s="85">
        <f>STATS1003B!M2035/1000</f>
        <v>17437.537</v>
      </c>
      <c r="N2031" s="85">
        <f>STATS1003B!N2035/1000</f>
        <v>0</v>
      </c>
      <c r="O2031" s="85">
        <f>STATS1003B!O2035/1000</f>
        <v>0</v>
      </c>
      <c r="P2031" s="85">
        <f>STATS1003B!P2035/1000</f>
        <v>0</v>
      </c>
      <c r="Q2031" s="85">
        <f>STATS1003B!Q2035/1000</f>
        <v>0</v>
      </c>
      <c r="R2031" s="85">
        <f>STATS1003B!R2035/1000</f>
        <v>0</v>
      </c>
      <c r="S2031" s="85">
        <f>STATS1003B!S2035/1000</f>
        <v>0</v>
      </c>
      <c r="T2031" s="85">
        <f>STATS1003B!T2035/1000</f>
        <v>0</v>
      </c>
      <c r="U2031" s="85">
        <f>STATS1003B!U2035/1000</f>
        <v>0</v>
      </c>
      <c r="V2031" s="85">
        <f>STATS1003B!V2035/1000</f>
        <v>17437.537</v>
      </c>
      <c r="W2031" s="85">
        <f>STATS1003B!W2035/1000</f>
        <v>0</v>
      </c>
      <c r="X2031" s="85">
        <f t="shared" si="225"/>
        <v>17437.537</v>
      </c>
      <c r="Y2031" s="85">
        <f>STATS1003B!Y2035/1000</f>
        <v>0</v>
      </c>
      <c r="Z2031" s="85">
        <f t="shared" si="227"/>
        <v>0</v>
      </c>
      <c r="AA2031" s="69">
        <f>STATS1003B!AA2035/1000</f>
        <v>17437.537</v>
      </c>
      <c r="AB2031" s="69">
        <f>STATS1003B!AB2035/1000</f>
        <v>0</v>
      </c>
    </row>
    <row r="2032" spans="1:28" hidden="1" x14ac:dyDescent="0.3">
      <c r="A2032" s="117"/>
      <c r="C2032" s="68" t="s">
        <v>1176</v>
      </c>
      <c r="D2032" s="91" t="s">
        <v>1126</v>
      </c>
      <c r="E2032" s="85">
        <f>STATS1003B!E2036/1000</f>
        <v>17736.008969999999</v>
      </c>
      <c r="F2032" s="85">
        <f>STATS1003B!F2036/1000</f>
        <v>17736.008969999999</v>
      </c>
      <c r="G2032" s="85">
        <f>STATS1003B!G2036/1000</f>
        <v>0</v>
      </c>
      <c r="H2032" s="85">
        <f>STATS1003B!H2036/1000</f>
        <v>17736.008969999999</v>
      </c>
      <c r="I2032" s="85">
        <f>STATS1003B!I2036/1000</f>
        <v>0</v>
      </c>
      <c r="J2032" s="85">
        <f>STATS1003B!J2036/1000</f>
        <v>0</v>
      </c>
      <c r="K2032" s="85">
        <f>STATS1003B!K2036/1000</f>
        <v>0</v>
      </c>
      <c r="L2032" s="85">
        <f>STATS1003B!L2036/1000</f>
        <v>0</v>
      </c>
      <c r="M2032" s="85">
        <f>STATS1003B!M2036/1000</f>
        <v>17736.008969999999</v>
      </c>
      <c r="N2032" s="85">
        <f>STATS1003B!N2036/1000</f>
        <v>0</v>
      </c>
      <c r="O2032" s="85">
        <f>STATS1003B!O2036/1000</f>
        <v>0</v>
      </c>
      <c r="P2032" s="85">
        <f>STATS1003B!P2036/1000</f>
        <v>0</v>
      </c>
      <c r="Q2032" s="85">
        <f>STATS1003B!Q2036/1000</f>
        <v>0</v>
      </c>
      <c r="R2032" s="85">
        <f>STATS1003B!R2036/1000</f>
        <v>0</v>
      </c>
      <c r="S2032" s="85">
        <f>STATS1003B!S2036/1000</f>
        <v>0</v>
      </c>
      <c r="T2032" s="85">
        <f>STATS1003B!T2036/1000</f>
        <v>0</v>
      </c>
      <c r="U2032" s="85">
        <f>STATS1003B!U2036/1000</f>
        <v>0</v>
      </c>
      <c r="V2032" s="85">
        <f>STATS1003B!V2036/1000</f>
        <v>17736.008969999999</v>
      </c>
      <c r="W2032" s="85">
        <f>STATS1003B!W2036/1000</f>
        <v>0</v>
      </c>
      <c r="X2032" s="85">
        <f t="shared" si="225"/>
        <v>17736.008969999999</v>
      </c>
      <c r="Y2032" s="85">
        <f>STATS1003B!Y2036/1000</f>
        <v>0</v>
      </c>
      <c r="Z2032" s="85">
        <f t="shared" si="227"/>
        <v>0</v>
      </c>
      <c r="AA2032" s="69">
        <f>STATS1003B!AA2036/1000</f>
        <v>17736.008969999999</v>
      </c>
      <c r="AB2032" s="69">
        <f>STATS1003B!AB2036/1000</f>
        <v>0</v>
      </c>
    </row>
    <row r="2033" spans="1:28" hidden="1" x14ac:dyDescent="0.3">
      <c r="A2033" s="117"/>
      <c r="C2033" s="68" t="s">
        <v>1242</v>
      </c>
      <c r="D2033" s="91" t="s">
        <v>1225</v>
      </c>
      <c r="E2033" s="85">
        <f>STATS1003B!E2037/1000</f>
        <v>6634.43361</v>
      </c>
      <c r="F2033" s="85">
        <f>STATS1003B!F2037/1000</f>
        <v>0</v>
      </c>
      <c r="G2033" s="85">
        <f>STATS1003B!G2037/1000</f>
        <v>6634.43361</v>
      </c>
      <c r="H2033" s="85">
        <f>STATS1003B!H2037/1000</f>
        <v>6634.43361</v>
      </c>
      <c r="I2033" s="85">
        <f>STATS1003B!I2037/1000</f>
        <v>0</v>
      </c>
      <c r="J2033" s="85">
        <f>STATS1003B!J2037/1000</f>
        <v>0</v>
      </c>
      <c r="K2033" s="85">
        <f>STATS1003B!K2037/1000</f>
        <v>0</v>
      </c>
      <c r="L2033" s="85">
        <f>STATS1003B!L2037/1000</f>
        <v>0</v>
      </c>
      <c r="M2033" s="85">
        <f>STATS1003B!M2037/1000</f>
        <v>6634.43361</v>
      </c>
      <c r="N2033" s="85">
        <f>STATS1003B!N2037/1000</f>
        <v>0</v>
      </c>
      <c r="O2033" s="85">
        <f>STATS1003B!O2037/1000</f>
        <v>0</v>
      </c>
      <c r="P2033" s="85">
        <f>STATS1003B!P2037/1000</f>
        <v>0</v>
      </c>
      <c r="Q2033" s="85">
        <f>STATS1003B!Q2037/1000</f>
        <v>0</v>
      </c>
      <c r="R2033" s="85">
        <f>STATS1003B!R2037/1000</f>
        <v>0</v>
      </c>
      <c r="S2033" s="85">
        <f>STATS1003B!S2037/1000</f>
        <v>0</v>
      </c>
      <c r="T2033" s="85">
        <f>STATS1003B!T2037/1000</f>
        <v>0</v>
      </c>
      <c r="U2033" s="85">
        <f>STATS1003B!U2037/1000</f>
        <v>0</v>
      </c>
      <c r="V2033" s="85">
        <f>STATS1003B!V2037/1000</f>
        <v>0</v>
      </c>
      <c r="W2033" s="85">
        <f>STATS1003B!W2037/1000</f>
        <v>0</v>
      </c>
      <c r="X2033" s="85">
        <f t="shared" si="225"/>
        <v>6634.43361</v>
      </c>
      <c r="Y2033" s="85">
        <f>STATS1003B!Y2037/1000</f>
        <v>0</v>
      </c>
      <c r="Z2033" s="85">
        <f t="shared" si="227"/>
        <v>0</v>
      </c>
      <c r="AA2033" s="69">
        <f>STATS1003B!AA2037/1000</f>
        <v>6634.43361</v>
      </c>
      <c r="AB2033" s="69">
        <f>STATS1003B!AB2037/1000</f>
        <v>0</v>
      </c>
    </row>
    <row r="2034" spans="1:28" hidden="1" x14ac:dyDescent="0.3">
      <c r="A2034" s="117"/>
      <c r="C2034" s="68" t="s">
        <v>1106</v>
      </c>
      <c r="D2034" s="91" t="s">
        <v>1072</v>
      </c>
      <c r="E2034" s="85">
        <f>STATS1003B!E2038/1000</f>
        <v>18120.922509999997</v>
      </c>
      <c r="F2034" s="85">
        <f>STATS1003B!F2038/1000</f>
        <v>18120.922509999997</v>
      </c>
      <c r="G2034" s="85">
        <f>STATS1003B!G2038/1000</f>
        <v>0</v>
      </c>
      <c r="H2034" s="85">
        <f>STATS1003B!H2038/1000</f>
        <v>18120.922509999997</v>
      </c>
      <c r="I2034" s="85">
        <f>STATS1003B!I2038/1000</f>
        <v>0</v>
      </c>
      <c r="J2034" s="85">
        <f>STATS1003B!J2038/1000</f>
        <v>0</v>
      </c>
      <c r="K2034" s="85">
        <f>STATS1003B!K2038/1000</f>
        <v>0</v>
      </c>
      <c r="L2034" s="85">
        <f>STATS1003B!L2038/1000</f>
        <v>0</v>
      </c>
      <c r="M2034" s="85">
        <f>STATS1003B!M2038/1000</f>
        <v>18120.922509999997</v>
      </c>
      <c r="N2034" s="85">
        <f>STATS1003B!N2038/1000</f>
        <v>0</v>
      </c>
      <c r="O2034" s="85">
        <f>STATS1003B!O2038/1000</f>
        <v>0</v>
      </c>
      <c r="P2034" s="85">
        <f>STATS1003B!P2038/1000</f>
        <v>0</v>
      </c>
      <c r="Q2034" s="85">
        <f>STATS1003B!Q2038/1000</f>
        <v>0</v>
      </c>
      <c r="R2034" s="85">
        <f>STATS1003B!R2038/1000</f>
        <v>0</v>
      </c>
      <c r="S2034" s="85">
        <f>STATS1003B!S2038/1000</f>
        <v>0</v>
      </c>
      <c r="T2034" s="85">
        <f>STATS1003B!T2038/1000</f>
        <v>0</v>
      </c>
      <c r="U2034" s="85">
        <f>STATS1003B!U2038/1000</f>
        <v>0</v>
      </c>
      <c r="V2034" s="85">
        <f>STATS1003B!V2038/1000</f>
        <v>18120.922509999997</v>
      </c>
      <c r="W2034" s="85">
        <f>STATS1003B!W2038/1000</f>
        <v>0</v>
      </c>
      <c r="X2034" s="85">
        <f t="shared" si="225"/>
        <v>18120.922509999997</v>
      </c>
      <c r="Y2034" s="85">
        <f>STATS1003B!Y2038/1000</f>
        <v>0</v>
      </c>
      <c r="Z2034" s="85">
        <f t="shared" si="227"/>
        <v>0</v>
      </c>
      <c r="AA2034" s="69">
        <f>STATS1003B!AA2038/1000</f>
        <v>18120.922509999997</v>
      </c>
      <c r="AB2034" s="69">
        <f>STATS1003B!AB2038/1000</f>
        <v>0</v>
      </c>
    </row>
    <row r="2035" spans="1:28" hidden="1" x14ac:dyDescent="0.3">
      <c r="A2035" s="117"/>
      <c r="C2035" s="71" t="s">
        <v>57</v>
      </c>
      <c r="D2035" s="91" t="s">
        <v>61</v>
      </c>
      <c r="E2035" s="85">
        <f>STATS1003B!E2039/1000</f>
        <v>18147.312150000002</v>
      </c>
      <c r="F2035" s="85">
        <f>STATS1003B!F2039/1000</f>
        <v>18077.23128</v>
      </c>
      <c r="G2035" s="85">
        <f>STATS1003B!G2039/1000</f>
        <v>0</v>
      </c>
      <c r="H2035" s="85">
        <f>STATS1003B!H2039/1000</f>
        <v>18077.23128</v>
      </c>
      <c r="I2035" s="85">
        <f>STATS1003B!I2039/1000</f>
        <v>18077.23128</v>
      </c>
      <c r="J2035" s="85">
        <f>STATS1003B!J2039/1000</f>
        <v>18077.23128</v>
      </c>
      <c r="K2035" s="85">
        <f>STATS1003B!K2039/1000</f>
        <v>0</v>
      </c>
      <c r="L2035" s="85">
        <f>STATS1003B!L2039/1000</f>
        <v>0</v>
      </c>
      <c r="M2035" s="85">
        <f>STATS1003B!M2039/1000</f>
        <v>18077.23128</v>
      </c>
      <c r="N2035" s="85">
        <f>STATS1003B!N2039/1000</f>
        <v>0</v>
      </c>
      <c r="O2035" s="85">
        <f>STATS1003B!O2039/1000</f>
        <v>0</v>
      </c>
      <c r="P2035" s="85">
        <f>STATS1003B!P2039/1000</f>
        <v>0</v>
      </c>
      <c r="Q2035" s="85">
        <f>STATS1003B!Q2039/1000</f>
        <v>70.08086999999999</v>
      </c>
      <c r="R2035" s="85">
        <f>STATS1003B!R2039/1000</f>
        <v>0</v>
      </c>
      <c r="S2035" s="85">
        <f>STATS1003B!S2039/1000</f>
        <v>0</v>
      </c>
      <c r="T2035" s="85">
        <f>STATS1003B!T2039/1000</f>
        <v>70.08086999999999</v>
      </c>
      <c r="U2035" s="85">
        <f>STATS1003B!U2039/1000</f>
        <v>70.08086999999999</v>
      </c>
      <c r="V2035" s="85">
        <f>STATS1003B!V2039/1000</f>
        <v>18077.23128</v>
      </c>
      <c r="W2035" s="85">
        <f>STATS1003B!W2039/1000</f>
        <v>70.080870000001042</v>
      </c>
      <c r="X2035" s="85">
        <f t="shared" si="225"/>
        <v>18077.23128</v>
      </c>
      <c r="Y2035" s="85">
        <f>STATS1003B!Y2039/1000</f>
        <v>0</v>
      </c>
      <c r="Z2035" s="85">
        <f t="shared" si="227"/>
        <v>70.080870000001596</v>
      </c>
      <c r="AA2035" s="69">
        <f>STATS1003B!AA2039/1000</f>
        <v>18147.312150000002</v>
      </c>
      <c r="AB2035" s="69">
        <f>STATS1003B!AB2039/1000</f>
        <v>0</v>
      </c>
    </row>
    <row r="2036" spans="1:28" hidden="1" x14ac:dyDescent="0.3">
      <c r="A2036" s="117"/>
      <c r="E2036" s="86" t="s">
        <v>29</v>
      </c>
      <c r="F2036" s="86" t="s">
        <v>29</v>
      </c>
      <c r="G2036" s="86" t="s">
        <v>29</v>
      </c>
      <c r="H2036" s="86" t="s">
        <v>29</v>
      </c>
      <c r="I2036" s="86" t="s">
        <v>29</v>
      </c>
      <c r="J2036" s="86" t="s">
        <v>29</v>
      </c>
      <c r="K2036" s="86" t="s">
        <v>29</v>
      </c>
      <c r="L2036" s="86" t="s">
        <v>29</v>
      </c>
      <c r="M2036" s="86" t="s">
        <v>29</v>
      </c>
      <c r="N2036" s="86" t="s">
        <v>29</v>
      </c>
      <c r="O2036" s="86" t="s">
        <v>29</v>
      </c>
      <c r="P2036" s="86" t="s">
        <v>29</v>
      </c>
      <c r="Q2036" s="86" t="s">
        <v>29</v>
      </c>
      <c r="R2036" s="86" t="s">
        <v>29</v>
      </c>
      <c r="S2036" s="86" t="s">
        <v>29</v>
      </c>
      <c r="T2036" s="86" t="s">
        <v>29</v>
      </c>
      <c r="U2036" s="86" t="s">
        <v>29</v>
      </c>
      <c r="V2036" s="86" t="s">
        <v>29</v>
      </c>
      <c r="W2036" s="86" t="s">
        <v>29</v>
      </c>
      <c r="X2036" s="85" t="e">
        <f t="shared" si="225"/>
        <v>#VALUE!</v>
      </c>
      <c r="Y2036" s="86" t="s">
        <v>29</v>
      </c>
      <c r="Z2036" s="85" t="e">
        <f t="shared" si="227"/>
        <v>#VALUE!</v>
      </c>
      <c r="AA2036" s="115" t="s">
        <v>29</v>
      </c>
      <c r="AB2036" s="115" t="s">
        <v>29</v>
      </c>
    </row>
    <row r="2037" spans="1:28" x14ac:dyDescent="0.3">
      <c r="A2037" s="116">
        <v>89</v>
      </c>
      <c r="B2037" s="68" t="s">
        <v>361</v>
      </c>
      <c r="E2037" s="85">
        <f>322491896.61/1000</f>
        <v>322491.89661</v>
      </c>
      <c r="F2037" s="85">
        <f t="shared" ref="F2037:AB2037" si="228">SUM(F2015:F2035)</f>
        <v>131696.60954999999</v>
      </c>
      <c r="G2037" s="85">
        <f t="shared" si="228"/>
        <v>6634.43361</v>
      </c>
      <c r="H2037" s="85">
        <f>318352562.09/1000</f>
        <v>318352.56208999996</v>
      </c>
      <c r="I2037" s="85">
        <f t="shared" si="228"/>
        <v>18077.23128</v>
      </c>
      <c r="J2037" s="85">
        <f t="shared" si="228"/>
        <v>18077.23128</v>
      </c>
      <c r="K2037" s="85">
        <f t="shared" si="228"/>
        <v>0</v>
      </c>
      <c r="L2037" s="85">
        <f t="shared" si="228"/>
        <v>0</v>
      </c>
      <c r="M2037" s="85">
        <f t="shared" si="228"/>
        <v>138331.04316</v>
      </c>
      <c r="N2037" s="85">
        <f t="shared" si="228"/>
        <v>4069.2536499999997</v>
      </c>
      <c r="O2037" s="85">
        <f t="shared" si="228"/>
        <v>0</v>
      </c>
      <c r="P2037" s="85">
        <f>4069253/1000</f>
        <v>4069.2530000000002</v>
      </c>
      <c r="Q2037" s="85">
        <f t="shared" si="228"/>
        <v>70.08086999999999</v>
      </c>
      <c r="R2037" s="85">
        <f t="shared" si="228"/>
        <v>0</v>
      </c>
      <c r="S2037" s="85">
        <f t="shared" si="228"/>
        <v>0</v>
      </c>
      <c r="T2037" s="85">
        <f t="shared" si="228"/>
        <v>70.08086999999999</v>
      </c>
      <c r="U2037" s="85">
        <f t="shared" si="228"/>
        <v>4139.3345199999994</v>
      </c>
      <c r="V2037" s="85">
        <f t="shared" si="228"/>
        <v>135765.86319999999</v>
      </c>
      <c r="W2037" s="85">
        <f t="shared" si="228"/>
        <v>70.080870000001042</v>
      </c>
      <c r="X2037" s="85">
        <f t="shared" si="225"/>
        <v>322421.81508999999</v>
      </c>
      <c r="Y2037" s="85">
        <f t="shared" si="228"/>
        <v>0</v>
      </c>
      <c r="Z2037" s="85">
        <f t="shared" si="227"/>
        <v>70.081520000007004</v>
      </c>
      <c r="AA2037" s="69">
        <f t="shared" si="228"/>
        <v>142470.37768000001</v>
      </c>
      <c r="AB2037" s="69">
        <f t="shared" si="228"/>
        <v>0</v>
      </c>
    </row>
    <row r="2038" spans="1:28" hidden="1" x14ac:dyDescent="0.3">
      <c r="A2038" s="117"/>
      <c r="E2038" s="86" t="s">
        <v>29</v>
      </c>
      <c r="F2038" s="86" t="s">
        <v>29</v>
      </c>
      <c r="G2038" s="86" t="s">
        <v>29</v>
      </c>
      <c r="H2038" s="86" t="s">
        <v>29</v>
      </c>
      <c r="I2038" s="86" t="s">
        <v>29</v>
      </c>
      <c r="J2038" s="86" t="s">
        <v>29</v>
      </c>
      <c r="K2038" s="86" t="s">
        <v>29</v>
      </c>
      <c r="L2038" s="86" t="s">
        <v>29</v>
      </c>
      <c r="M2038" s="86" t="s">
        <v>29</v>
      </c>
      <c r="N2038" s="86" t="s">
        <v>29</v>
      </c>
      <c r="O2038" s="86" t="s">
        <v>29</v>
      </c>
      <c r="P2038" s="86" t="s">
        <v>29</v>
      </c>
      <c r="Q2038" s="86" t="s">
        <v>29</v>
      </c>
      <c r="R2038" s="86" t="s">
        <v>29</v>
      </c>
      <c r="S2038" s="86" t="s">
        <v>29</v>
      </c>
      <c r="T2038" s="86" t="s">
        <v>29</v>
      </c>
      <c r="U2038" s="86" t="s">
        <v>29</v>
      </c>
      <c r="V2038" s="86" t="s">
        <v>29</v>
      </c>
      <c r="W2038" s="86" t="s">
        <v>29</v>
      </c>
      <c r="X2038" s="85" t="e">
        <f t="shared" si="225"/>
        <v>#VALUE!</v>
      </c>
      <c r="Y2038" s="86" t="s">
        <v>29</v>
      </c>
      <c r="Z2038" s="85" t="e">
        <f t="shared" si="227"/>
        <v>#VALUE!</v>
      </c>
      <c r="AA2038" s="115" t="s">
        <v>29</v>
      </c>
      <c r="AB2038" s="115" t="s">
        <v>29</v>
      </c>
    </row>
    <row r="2039" spans="1:28" hidden="1" x14ac:dyDescent="0.3">
      <c r="A2039" s="105"/>
      <c r="E2039" s="84"/>
      <c r="F2039" s="84"/>
      <c r="G2039" s="84"/>
      <c r="H2039" s="84"/>
      <c r="I2039" s="84"/>
      <c r="J2039" s="84"/>
      <c r="K2039" s="84"/>
      <c r="L2039" s="84"/>
      <c r="M2039" s="84"/>
      <c r="N2039" s="84"/>
      <c r="O2039" s="84"/>
      <c r="P2039" s="84"/>
      <c r="Q2039" s="84"/>
      <c r="R2039" s="84"/>
      <c r="S2039" s="84"/>
      <c r="T2039" s="84"/>
      <c r="U2039" s="84"/>
      <c r="V2039" s="84"/>
      <c r="W2039" s="84"/>
      <c r="X2039" s="85">
        <f t="shared" si="225"/>
        <v>0</v>
      </c>
      <c r="Y2039" s="84"/>
      <c r="Z2039" s="85">
        <f t="shared" si="227"/>
        <v>0</v>
      </c>
    </row>
    <row r="2040" spans="1:28" hidden="1" x14ac:dyDescent="0.3">
      <c r="A2040" s="117"/>
      <c r="D2040" s="87" t="s">
        <v>370</v>
      </c>
      <c r="E2040" s="84"/>
      <c r="F2040" s="84"/>
      <c r="G2040" s="84"/>
      <c r="H2040" s="84"/>
      <c r="I2040" s="84"/>
      <c r="J2040" s="84"/>
      <c r="K2040" s="84"/>
      <c r="L2040" s="84"/>
      <c r="M2040" s="84"/>
      <c r="N2040" s="84"/>
      <c r="O2040" s="84"/>
      <c r="P2040" s="84"/>
      <c r="Q2040" s="84"/>
      <c r="R2040" s="84"/>
      <c r="S2040" s="84"/>
      <c r="T2040" s="84"/>
      <c r="U2040" s="84"/>
      <c r="V2040" s="84"/>
      <c r="W2040" s="84"/>
      <c r="X2040" s="85">
        <f t="shared" si="225"/>
        <v>0</v>
      </c>
      <c r="Y2040" s="84"/>
      <c r="Z2040" s="85">
        <f t="shared" si="227"/>
        <v>0</v>
      </c>
    </row>
    <row r="2041" spans="1:28" hidden="1" x14ac:dyDescent="0.3">
      <c r="A2041" s="117"/>
      <c r="C2041" s="68" t="s">
        <v>51</v>
      </c>
      <c r="D2041" s="71" t="s">
        <v>371</v>
      </c>
      <c r="E2041" s="85">
        <f>STATS1003B!E2045/1000</f>
        <v>18200.518390000001</v>
      </c>
      <c r="F2041" s="85">
        <f>STATS1003B!F2045/1000</f>
        <v>16921.788510000002</v>
      </c>
      <c r="G2041" s="85">
        <f>STATS1003B!G2045/1000</f>
        <v>0</v>
      </c>
      <c r="H2041" s="85">
        <f>STATS1003B!H2045/1000</f>
        <v>16921.788510000002</v>
      </c>
      <c r="I2041" s="85">
        <f>STATS1003B!I2045/1000</f>
        <v>0</v>
      </c>
      <c r="J2041" s="85">
        <f>STATS1003B!J2045/1000</f>
        <v>0</v>
      </c>
      <c r="K2041" s="85">
        <f>STATS1003B!K2045/1000</f>
        <v>0</v>
      </c>
      <c r="L2041" s="85">
        <f>STATS1003B!L2045/1000</f>
        <v>0</v>
      </c>
      <c r="M2041" s="85">
        <f>STATS1003B!M2045/1000</f>
        <v>16921.788510000002</v>
      </c>
      <c r="N2041" s="85">
        <f>STATS1003B!N2045/1000</f>
        <v>1278.7298799999999</v>
      </c>
      <c r="O2041" s="85">
        <f>STATS1003B!O2045/1000</f>
        <v>0</v>
      </c>
      <c r="P2041" s="85">
        <f>STATS1003B!P2045/1000</f>
        <v>1278.7298799999999</v>
      </c>
      <c r="Q2041" s="85">
        <f>STATS1003B!Q2045/1000</f>
        <v>0</v>
      </c>
      <c r="R2041" s="85">
        <f>STATS1003B!R2045/1000</f>
        <v>0</v>
      </c>
      <c r="S2041" s="85">
        <f>STATS1003B!S2045/1000</f>
        <v>0</v>
      </c>
      <c r="T2041" s="85">
        <f>STATS1003B!T2045/1000</f>
        <v>0</v>
      </c>
      <c r="U2041" s="85">
        <f>STATS1003B!U2045/1000</f>
        <v>1278.7298799999999</v>
      </c>
      <c r="V2041" s="85">
        <f>STATS1003B!V2045/1000</f>
        <v>18200.518390000001</v>
      </c>
      <c r="W2041" s="85">
        <f>STATS1003B!W2045/1000</f>
        <v>0</v>
      </c>
      <c r="X2041" s="85">
        <f t="shared" si="225"/>
        <v>18200.518390000001</v>
      </c>
      <c r="Y2041" s="85">
        <f>STATS1003B!Y2045/1000</f>
        <v>0</v>
      </c>
      <c r="Z2041" s="85">
        <f t="shared" si="227"/>
        <v>0</v>
      </c>
      <c r="AA2041" s="69">
        <f>STATS1003B!AA2045/1000</f>
        <v>18200.518390000001</v>
      </c>
      <c r="AB2041" s="69">
        <f>STATS1003B!AB2045/1000</f>
        <v>0</v>
      </c>
    </row>
    <row r="2042" spans="1:28" hidden="1" x14ac:dyDescent="0.3">
      <c r="A2042" s="117"/>
      <c r="C2042" s="68" t="s">
        <v>53</v>
      </c>
      <c r="D2042" s="87" t="s">
        <v>68</v>
      </c>
      <c r="E2042" s="85">
        <f>STATS1003B!E2046/1000</f>
        <v>1767.77</v>
      </c>
      <c r="F2042" s="85">
        <f>STATS1003B!F2046/1000</f>
        <v>0</v>
      </c>
      <c r="G2042" s="85">
        <f>STATS1003B!G2046/1000</f>
        <v>0</v>
      </c>
      <c r="H2042" s="85">
        <f>STATS1003B!H2046/1000</f>
        <v>0</v>
      </c>
      <c r="I2042" s="85">
        <f>STATS1003B!I2046/1000</f>
        <v>0</v>
      </c>
      <c r="J2042" s="85">
        <f>STATS1003B!J2046/1000</f>
        <v>0</v>
      </c>
      <c r="K2042" s="85">
        <f>STATS1003B!K2046/1000</f>
        <v>0</v>
      </c>
      <c r="L2042" s="85">
        <f>STATS1003B!L2046/1000</f>
        <v>0</v>
      </c>
      <c r="M2042" s="85">
        <f>STATS1003B!M2046/1000</f>
        <v>0</v>
      </c>
      <c r="N2042" s="85">
        <f>STATS1003B!N2046/1000</f>
        <v>1767.77</v>
      </c>
      <c r="O2042" s="85">
        <f>STATS1003B!O2046/1000</f>
        <v>0</v>
      </c>
      <c r="P2042" s="85">
        <f>STATS1003B!P2046/1000</f>
        <v>1767.77</v>
      </c>
      <c r="Q2042" s="85">
        <f>STATS1003B!Q2046/1000</f>
        <v>0</v>
      </c>
      <c r="R2042" s="85">
        <f>STATS1003B!R2046/1000</f>
        <v>0</v>
      </c>
      <c r="S2042" s="85">
        <f>STATS1003B!S2046/1000</f>
        <v>0</v>
      </c>
      <c r="T2042" s="85">
        <f>STATS1003B!T2046/1000</f>
        <v>0</v>
      </c>
      <c r="U2042" s="85">
        <f>STATS1003B!U2046/1000</f>
        <v>1767.77</v>
      </c>
      <c r="V2042" s="85">
        <f>STATS1003B!V2046/1000</f>
        <v>1767.77</v>
      </c>
      <c r="W2042" s="85">
        <f>STATS1003B!W2046/1000</f>
        <v>0</v>
      </c>
      <c r="X2042" s="85">
        <f t="shared" si="225"/>
        <v>1767.77</v>
      </c>
      <c r="Y2042" s="85">
        <f>STATS1003B!Y2046/1000</f>
        <v>0</v>
      </c>
      <c r="Z2042" s="85">
        <f t="shared" si="227"/>
        <v>0</v>
      </c>
      <c r="AA2042" s="69">
        <f>STATS1003B!AA2046/1000</f>
        <v>1767.77</v>
      </c>
      <c r="AB2042" s="69">
        <f>STATS1003B!AB2046/1000</f>
        <v>0</v>
      </c>
    </row>
    <row r="2043" spans="1:28" hidden="1" x14ac:dyDescent="0.3">
      <c r="A2043" s="117"/>
      <c r="C2043" s="68" t="s">
        <v>192</v>
      </c>
      <c r="D2043" s="87" t="s">
        <v>54</v>
      </c>
      <c r="E2043" s="85">
        <f>STATS1003B!E2047/1000</f>
        <v>955.34561999999994</v>
      </c>
      <c r="F2043" s="85">
        <f>STATS1003B!F2047/1000</f>
        <v>0</v>
      </c>
      <c r="G2043" s="85">
        <f>STATS1003B!G2047/1000</f>
        <v>0</v>
      </c>
      <c r="H2043" s="85">
        <f>STATS1003B!H2047/1000</f>
        <v>0</v>
      </c>
      <c r="I2043" s="85">
        <f>STATS1003B!I2047/1000</f>
        <v>0</v>
      </c>
      <c r="J2043" s="85">
        <f>STATS1003B!J2047/1000</f>
        <v>0</v>
      </c>
      <c r="K2043" s="85">
        <f>STATS1003B!K2047/1000</f>
        <v>0</v>
      </c>
      <c r="L2043" s="85">
        <f>STATS1003B!L2047/1000</f>
        <v>0</v>
      </c>
      <c r="M2043" s="85">
        <f>STATS1003B!M2047/1000</f>
        <v>0</v>
      </c>
      <c r="N2043" s="85">
        <f>STATS1003B!N2047/1000</f>
        <v>955.34561999999994</v>
      </c>
      <c r="O2043" s="85">
        <f>STATS1003B!O2047/1000</f>
        <v>0</v>
      </c>
      <c r="P2043" s="85">
        <f>STATS1003B!P2047/1000</f>
        <v>955.34561999999994</v>
      </c>
      <c r="Q2043" s="85">
        <f>STATS1003B!Q2047/1000</f>
        <v>0</v>
      </c>
      <c r="R2043" s="85">
        <f>STATS1003B!R2047/1000</f>
        <v>0</v>
      </c>
      <c r="S2043" s="85">
        <f>STATS1003B!S2047/1000</f>
        <v>0</v>
      </c>
      <c r="T2043" s="85">
        <f>STATS1003B!T2047/1000</f>
        <v>0</v>
      </c>
      <c r="U2043" s="85">
        <f>STATS1003B!U2047/1000</f>
        <v>955.34561999999994</v>
      </c>
      <c r="V2043" s="85">
        <f>STATS1003B!V2047/1000</f>
        <v>955.34561999999994</v>
      </c>
      <c r="W2043" s="85">
        <f>STATS1003B!W2047/1000</f>
        <v>0</v>
      </c>
      <c r="X2043" s="85">
        <f t="shared" si="225"/>
        <v>955.34561999999994</v>
      </c>
      <c r="Y2043" s="85">
        <f>STATS1003B!Y2047/1000</f>
        <v>0</v>
      </c>
      <c r="Z2043" s="85">
        <f t="shared" si="227"/>
        <v>0</v>
      </c>
      <c r="AA2043" s="69">
        <f>STATS1003B!AA2047/1000</f>
        <v>955.34561999999994</v>
      </c>
      <c r="AB2043" s="69">
        <f>STATS1003B!AB2047/1000</f>
        <v>0</v>
      </c>
    </row>
    <row r="2044" spans="1:28" hidden="1" x14ac:dyDescent="0.3">
      <c r="A2044" s="117"/>
      <c r="C2044" s="68" t="s">
        <v>372</v>
      </c>
      <c r="D2044" s="87" t="s">
        <v>85</v>
      </c>
      <c r="E2044" s="85">
        <f>STATS1003B!E2048/1000</f>
        <v>4000</v>
      </c>
      <c r="F2044" s="85">
        <f>STATS1003B!F2048/1000</f>
        <v>4000</v>
      </c>
      <c r="G2044" s="85">
        <f>STATS1003B!G2048/1000</f>
        <v>0</v>
      </c>
      <c r="H2044" s="85">
        <f>STATS1003B!H2048/1000</f>
        <v>4000</v>
      </c>
      <c r="I2044" s="85">
        <f>STATS1003B!I2048/1000</f>
        <v>0</v>
      </c>
      <c r="J2044" s="85">
        <f>STATS1003B!J2048/1000</f>
        <v>0</v>
      </c>
      <c r="K2044" s="85">
        <f>STATS1003B!K2048/1000</f>
        <v>0</v>
      </c>
      <c r="L2044" s="85">
        <f>STATS1003B!L2048/1000</f>
        <v>0</v>
      </c>
      <c r="M2044" s="85">
        <f>STATS1003B!M2048/1000</f>
        <v>4000</v>
      </c>
      <c r="N2044" s="85">
        <f>STATS1003B!N2048/1000</f>
        <v>0</v>
      </c>
      <c r="O2044" s="85">
        <f>STATS1003B!O2048/1000</f>
        <v>0</v>
      </c>
      <c r="P2044" s="85">
        <f>STATS1003B!P2048/1000</f>
        <v>0</v>
      </c>
      <c r="Q2044" s="85">
        <f>STATS1003B!Q2048/1000</f>
        <v>0</v>
      </c>
      <c r="R2044" s="85">
        <f>STATS1003B!R2048/1000</f>
        <v>0</v>
      </c>
      <c r="S2044" s="85">
        <f>STATS1003B!S2048/1000</f>
        <v>0</v>
      </c>
      <c r="T2044" s="85">
        <f>STATS1003B!T2048/1000</f>
        <v>0</v>
      </c>
      <c r="U2044" s="85">
        <f>STATS1003B!U2048/1000</f>
        <v>0</v>
      </c>
      <c r="V2044" s="85">
        <f>STATS1003B!V2048/1000</f>
        <v>4000</v>
      </c>
      <c r="W2044" s="85">
        <f>STATS1003B!W2048/1000</f>
        <v>0</v>
      </c>
      <c r="X2044" s="85">
        <f t="shared" si="225"/>
        <v>4000</v>
      </c>
      <c r="Y2044" s="85">
        <f>STATS1003B!Y2048/1000</f>
        <v>0</v>
      </c>
      <c r="Z2044" s="85">
        <f t="shared" si="227"/>
        <v>0</v>
      </c>
      <c r="AA2044" s="69">
        <f>STATS1003B!AA2048/1000</f>
        <v>4000</v>
      </c>
      <c r="AB2044" s="69">
        <f>STATS1003B!AB2048/1000</f>
        <v>0</v>
      </c>
    </row>
    <row r="2045" spans="1:28" hidden="1" x14ac:dyDescent="0.3">
      <c r="A2045" s="117"/>
      <c r="C2045" s="68" t="s">
        <v>57</v>
      </c>
      <c r="D2045" s="87" t="s">
        <v>58</v>
      </c>
      <c r="E2045" s="85">
        <f>STATS1003B!E2049/1000</f>
        <v>3290.826</v>
      </c>
      <c r="F2045" s="85">
        <f>STATS1003B!F2049/1000</f>
        <v>3290.826</v>
      </c>
      <c r="G2045" s="85">
        <f>STATS1003B!G2049/1000</f>
        <v>0</v>
      </c>
      <c r="H2045" s="85">
        <f>STATS1003B!H2049/1000</f>
        <v>3290.826</v>
      </c>
      <c r="I2045" s="85">
        <f>STATS1003B!I2049/1000</f>
        <v>0</v>
      </c>
      <c r="J2045" s="85">
        <f>STATS1003B!J2049/1000</f>
        <v>0</v>
      </c>
      <c r="K2045" s="85">
        <f>STATS1003B!K2049/1000</f>
        <v>0</v>
      </c>
      <c r="L2045" s="85">
        <f>STATS1003B!L2049/1000</f>
        <v>0</v>
      </c>
      <c r="M2045" s="85">
        <f>STATS1003B!M2049/1000</f>
        <v>3290.826</v>
      </c>
      <c r="N2045" s="85">
        <f>STATS1003B!N2049/1000</f>
        <v>0</v>
      </c>
      <c r="O2045" s="85">
        <f>STATS1003B!O2049/1000</f>
        <v>0</v>
      </c>
      <c r="P2045" s="85">
        <f>STATS1003B!P2049/1000</f>
        <v>0</v>
      </c>
      <c r="Q2045" s="85">
        <f>STATS1003B!Q2049/1000</f>
        <v>0</v>
      </c>
      <c r="R2045" s="85">
        <f>STATS1003B!R2049/1000</f>
        <v>0</v>
      </c>
      <c r="S2045" s="85">
        <f>STATS1003B!S2049/1000</f>
        <v>0</v>
      </c>
      <c r="T2045" s="85">
        <f>STATS1003B!T2049/1000</f>
        <v>0</v>
      </c>
      <c r="U2045" s="85">
        <f>STATS1003B!U2049/1000</f>
        <v>0</v>
      </c>
      <c r="V2045" s="85">
        <f>STATS1003B!V2049/1000</f>
        <v>3290.826</v>
      </c>
      <c r="W2045" s="85">
        <f>STATS1003B!W2049/1000</f>
        <v>0</v>
      </c>
      <c r="X2045" s="85">
        <f t="shared" si="225"/>
        <v>3290.826</v>
      </c>
      <c r="Y2045" s="85">
        <f>STATS1003B!Y2049/1000</f>
        <v>0</v>
      </c>
      <c r="Z2045" s="85">
        <f t="shared" si="227"/>
        <v>0</v>
      </c>
      <c r="AA2045" s="69">
        <f>STATS1003B!AA2049/1000</f>
        <v>3290.826</v>
      </c>
      <c r="AB2045" s="69">
        <f>STATS1003B!AB2049/1000</f>
        <v>0</v>
      </c>
    </row>
    <row r="2046" spans="1:28" hidden="1" x14ac:dyDescent="0.3">
      <c r="A2046" s="117"/>
      <c r="C2046" s="68" t="s">
        <v>57</v>
      </c>
      <c r="D2046" s="87" t="s">
        <v>60</v>
      </c>
      <c r="E2046" s="85">
        <f>STATS1003B!E2050/1000</f>
        <v>9092.0895600000003</v>
      </c>
      <c r="F2046" s="85">
        <f>STATS1003B!F2050/1000</f>
        <v>9092.0895600000003</v>
      </c>
      <c r="G2046" s="85">
        <f>STATS1003B!G2050/1000</f>
        <v>0</v>
      </c>
      <c r="H2046" s="85">
        <f>STATS1003B!H2050/1000</f>
        <v>9092.0895600000003</v>
      </c>
      <c r="I2046" s="85">
        <f>STATS1003B!I2050/1000</f>
        <v>0</v>
      </c>
      <c r="J2046" s="85">
        <f>STATS1003B!J2050/1000</f>
        <v>0</v>
      </c>
      <c r="K2046" s="85">
        <f>STATS1003B!K2050/1000</f>
        <v>0</v>
      </c>
      <c r="L2046" s="85">
        <f>STATS1003B!L2050/1000</f>
        <v>0</v>
      </c>
      <c r="M2046" s="85">
        <f>STATS1003B!M2050/1000</f>
        <v>9092.0895600000003</v>
      </c>
      <c r="N2046" s="85">
        <f>STATS1003B!N2050/1000</f>
        <v>0</v>
      </c>
      <c r="O2046" s="85">
        <f>STATS1003B!O2050/1000</f>
        <v>0</v>
      </c>
      <c r="P2046" s="85">
        <f>STATS1003B!P2050/1000</f>
        <v>0</v>
      </c>
      <c r="Q2046" s="85">
        <f>STATS1003B!Q2050/1000</f>
        <v>0</v>
      </c>
      <c r="R2046" s="85">
        <f>STATS1003B!R2050/1000</f>
        <v>0</v>
      </c>
      <c r="S2046" s="85">
        <f>STATS1003B!S2050/1000</f>
        <v>0</v>
      </c>
      <c r="T2046" s="85">
        <f>STATS1003B!T2050/1000</f>
        <v>0</v>
      </c>
      <c r="U2046" s="85">
        <f>STATS1003B!U2050/1000</f>
        <v>0</v>
      </c>
      <c r="V2046" s="85">
        <f>STATS1003B!V2050/1000</f>
        <v>9092.0895600000003</v>
      </c>
      <c r="W2046" s="85">
        <f>STATS1003B!W2050/1000</f>
        <v>0</v>
      </c>
      <c r="X2046" s="85">
        <f t="shared" si="225"/>
        <v>9092.0895600000003</v>
      </c>
      <c r="Y2046" s="85">
        <f>STATS1003B!Y2050/1000</f>
        <v>0</v>
      </c>
      <c r="Z2046" s="85">
        <f t="shared" si="227"/>
        <v>0</v>
      </c>
      <c r="AA2046" s="69">
        <f>STATS1003B!AA2050/1000</f>
        <v>9092.0895600000003</v>
      </c>
      <c r="AB2046" s="69">
        <f>STATS1003B!AB2050/1000</f>
        <v>0</v>
      </c>
    </row>
    <row r="2047" spans="1:28" hidden="1" x14ac:dyDescent="0.3">
      <c r="A2047" s="117"/>
      <c r="C2047" s="71" t="s">
        <v>109</v>
      </c>
      <c r="D2047" s="88" t="s">
        <v>60</v>
      </c>
      <c r="E2047" s="85">
        <f>STATS1003B!E2051/1000</f>
        <v>7500</v>
      </c>
      <c r="F2047" s="85">
        <f>STATS1003B!F2051/1000</f>
        <v>7500</v>
      </c>
      <c r="G2047" s="85">
        <f>STATS1003B!G2051/1000</f>
        <v>0</v>
      </c>
      <c r="H2047" s="85">
        <f>STATS1003B!H2051/1000</f>
        <v>7500</v>
      </c>
      <c r="I2047" s="85">
        <f>STATS1003B!I2051/1000</f>
        <v>0</v>
      </c>
      <c r="J2047" s="85">
        <f>STATS1003B!J2051/1000</f>
        <v>0</v>
      </c>
      <c r="K2047" s="85">
        <f>STATS1003B!K2051/1000</f>
        <v>0</v>
      </c>
      <c r="L2047" s="85">
        <f>STATS1003B!L2051/1000</f>
        <v>0</v>
      </c>
      <c r="M2047" s="85">
        <f>STATS1003B!M2051/1000</f>
        <v>7500</v>
      </c>
      <c r="N2047" s="85">
        <f>STATS1003B!N2051/1000</f>
        <v>0</v>
      </c>
      <c r="O2047" s="85">
        <f>STATS1003B!O2051/1000</f>
        <v>0</v>
      </c>
      <c r="P2047" s="85">
        <f>STATS1003B!P2051/1000</f>
        <v>0</v>
      </c>
      <c r="Q2047" s="85">
        <f>STATS1003B!Q2051/1000</f>
        <v>0</v>
      </c>
      <c r="R2047" s="85">
        <f>STATS1003B!R2051/1000</f>
        <v>0</v>
      </c>
      <c r="S2047" s="85">
        <f>STATS1003B!S2051/1000</f>
        <v>0</v>
      </c>
      <c r="T2047" s="85">
        <f>STATS1003B!T2051/1000</f>
        <v>0</v>
      </c>
      <c r="U2047" s="85">
        <f>STATS1003B!U2051/1000</f>
        <v>0</v>
      </c>
      <c r="V2047" s="85">
        <f>STATS1003B!V2051/1000</f>
        <v>7500</v>
      </c>
      <c r="W2047" s="85">
        <f>STATS1003B!W2051/1000</f>
        <v>0</v>
      </c>
      <c r="X2047" s="85">
        <f t="shared" si="225"/>
        <v>7500</v>
      </c>
      <c r="Y2047" s="85">
        <f>STATS1003B!Y2051/1000</f>
        <v>0</v>
      </c>
      <c r="Z2047" s="85">
        <f t="shared" si="227"/>
        <v>0</v>
      </c>
      <c r="AA2047" s="69">
        <f>STATS1003B!AA2051/1000</f>
        <v>7500</v>
      </c>
      <c r="AB2047" s="69">
        <f>STATS1003B!AB2051/1000</f>
        <v>0</v>
      </c>
    </row>
    <row r="2048" spans="1:28" hidden="1" x14ac:dyDescent="0.3">
      <c r="A2048" s="117"/>
      <c r="C2048" s="71" t="s">
        <v>373</v>
      </c>
      <c r="D2048" s="88" t="s">
        <v>60</v>
      </c>
      <c r="E2048" s="85">
        <f>STATS1003B!E2052/1000</f>
        <v>3200</v>
      </c>
      <c r="F2048" s="85">
        <f>STATS1003B!F2052/1000</f>
        <v>3200</v>
      </c>
      <c r="G2048" s="85">
        <f>STATS1003B!G2052/1000</f>
        <v>0</v>
      </c>
      <c r="H2048" s="85">
        <f>STATS1003B!H2052/1000</f>
        <v>3200</v>
      </c>
      <c r="I2048" s="85">
        <f>STATS1003B!I2052/1000</f>
        <v>0</v>
      </c>
      <c r="J2048" s="85">
        <f>STATS1003B!J2052/1000</f>
        <v>0</v>
      </c>
      <c r="K2048" s="85">
        <f>STATS1003B!K2052/1000</f>
        <v>0</v>
      </c>
      <c r="L2048" s="85">
        <f>STATS1003B!L2052/1000</f>
        <v>0</v>
      </c>
      <c r="M2048" s="85">
        <f>STATS1003B!M2052/1000</f>
        <v>3200</v>
      </c>
      <c r="N2048" s="85">
        <f>STATS1003B!N2052/1000</f>
        <v>0</v>
      </c>
      <c r="O2048" s="85">
        <f>STATS1003B!O2052/1000</f>
        <v>0</v>
      </c>
      <c r="P2048" s="85">
        <f>STATS1003B!P2052/1000</f>
        <v>0</v>
      </c>
      <c r="Q2048" s="85">
        <f>STATS1003B!Q2052/1000</f>
        <v>0</v>
      </c>
      <c r="R2048" s="85">
        <f>STATS1003B!R2052/1000</f>
        <v>0</v>
      </c>
      <c r="S2048" s="85">
        <f>STATS1003B!S2052/1000</f>
        <v>0</v>
      </c>
      <c r="T2048" s="85">
        <f>STATS1003B!T2052/1000</f>
        <v>0</v>
      </c>
      <c r="U2048" s="85">
        <f>STATS1003B!U2052/1000</f>
        <v>0</v>
      </c>
      <c r="V2048" s="85">
        <f>STATS1003B!V2052/1000</f>
        <v>3200</v>
      </c>
      <c r="W2048" s="85">
        <f>STATS1003B!W2052/1000</f>
        <v>0</v>
      </c>
      <c r="X2048" s="85">
        <f t="shared" si="225"/>
        <v>3200</v>
      </c>
      <c r="Y2048" s="85">
        <f>STATS1003B!Y2052/1000</f>
        <v>0</v>
      </c>
      <c r="Z2048" s="85">
        <f t="shared" si="227"/>
        <v>0</v>
      </c>
      <c r="AA2048" s="69">
        <f>STATS1003B!AA2052/1000</f>
        <v>3200</v>
      </c>
      <c r="AB2048" s="69">
        <f>STATS1003B!AB2052/1000</f>
        <v>0</v>
      </c>
    </row>
    <row r="2049" spans="1:28" hidden="1" x14ac:dyDescent="0.3">
      <c r="A2049" s="117"/>
      <c r="C2049" s="68" t="s">
        <v>374</v>
      </c>
      <c r="D2049" s="87" t="s">
        <v>60</v>
      </c>
      <c r="E2049" s="85">
        <f>STATS1003B!E2053/1000</f>
        <v>500</v>
      </c>
      <c r="F2049" s="85">
        <f>STATS1003B!F2053/1000</f>
        <v>500</v>
      </c>
      <c r="G2049" s="85">
        <f>STATS1003B!G2053/1000</f>
        <v>0</v>
      </c>
      <c r="H2049" s="85">
        <f>STATS1003B!H2053/1000</f>
        <v>500</v>
      </c>
      <c r="I2049" s="85">
        <f>STATS1003B!I2053/1000</f>
        <v>0</v>
      </c>
      <c r="J2049" s="85">
        <f>STATS1003B!J2053/1000</f>
        <v>0</v>
      </c>
      <c r="K2049" s="85">
        <f>STATS1003B!K2053/1000</f>
        <v>0</v>
      </c>
      <c r="L2049" s="85">
        <f>STATS1003B!L2053/1000</f>
        <v>0</v>
      </c>
      <c r="M2049" s="85">
        <f>STATS1003B!M2053/1000</f>
        <v>500</v>
      </c>
      <c r="N2049" s="85">
        <f>STATS1003B!N2053/1000</f>
        <v>0</v>
      </c>
      <c r="O2049" s="85">
        <f>STATS1003B!O2053/1000</f>
        <v>0</v>
      </c>
      <c r="P2049" s="85">
        <f>STATS1003B!P2053/1000</f>
        <v>0</v>
      </c>
      <c r="Q2049" s="85">
        <f>STATS1003B!Q2053/1000</f>
        <v>0</v>
      </c>
      <c r="R2049" s="85">
        <f>STATS1003B!R2053/1000</f>
        <v>0</v>
      </c>
      <c r="S2049" s="85">
        <f>STATS1003B!S2053/1000</f>
        <v>0</v>
      </c>
      <c r="T2049" s="85">
        <f>STATS1003B!T2053/1000</f>
        <v>0</v>
      </c>
      <c r="U2049" s="85">
        <f>STATS1003B!U2053/1000</f>
        <v>0</v>
      </c>
      <c r="V2049" s="85">
        <f>STATS1003B!V2053/1000</f>
        <v>500</v>
      </c>
      <c r="W2049" s="85">
        <f>STATS1003B!W2053/1000</f>
        <v>0</v>
      </c>
      <c r="X2049" s="85">
        <f t="shared" si="225"/>
        <v>500</v>
      </c>
      <c r="Y2049" s="85">
        <f>STATS1003B!Y2053/1000</f>
        <v>0</v>
      </c>
      <c r="Z2049" s="85">
        <f t="shared" si="227"/>
        <v>0</v>
      </c>
      <c r="AA2049" s="69">
        <f>STATS1003B!AA2053/1000</f>
        <v>500</v>
      </c>
      <c r="AB2049" s="69">
        <f>STATS1003B!AB2053/1000</f>
        <v>0</v>
      </c>
    </row>
    <row r="2050" spans="1:28" hidden="1" x14ac:dyDescent="0.3">
      <c r="A2050" s="117"/>
      <c r="C2050" s="68" t="s">
        <v>57</v>
      </c>
      <c r="D2050" s="87" t="s">
        <v>73</v>
      </c>
      <c r="E2050" s="85">
        <f>STATS1003B!E2054/1000</f>
        <v>12747.022000000001</v>
      </c>
      <c r="F2050" s="85">
        <f>STATS1003B!F2054/1000</f>
        <v>12747.022000000001</v>
      </c>
      <c r="G2050" s="85">
        <f>STATS1003B!G2054/1000</f>
        <v>0</v>
      </c>
      <c r="H2050" s="85">
        <f>STATS1003B!H2054/1000</f>
        <v>12747.022000000001</v>
      </c>
      <c r="I2050" s="85">
        <f>STATS1003B!I2054/1000</f>
        <v>0</v>
      </c>
      <c r="J2050" s="85">
        <f>STATS1003B!J2054/1000</f>
        <v>0</v>
      </c>
      <c r="K2050" s="85">
        <f>STATS1003B!K2054/1000</f>
        <v>0</v>
      </c>
      <c r="L2050" s="85">
        <f>STATS1003B!L2054/1000</f>
        <v>0</v>
      </c>
      <c r="M2050" s="85">
        <f>STATS1003B!M2054/1000</f>
        <v>12747.022000000001</v>
      </c>
      <c r="N2050" s="85">
        <f>STATS1003B!N2054/1000</f>
        <v>0</v>
      </c>
      <c r="O2050" s="85">
        <f>STATS1003B!O2054/1000</f>
        <v>0</v>
      </c>
      <c r="P2050" s="85">
        <f>STATS1003B!P2054/1000</f>
        <v>0</v>
      </c>
      <c r="Q2050" s="85">
        <f>STATS1003B!Q2054/1000</f>
        <v>0</v>
      </c>
      <c r="R2050" s="85">
        <f>STATS1003B!R2054/1000</f>
        <v>0</v>
      </c>
      <c r="S2050" s="85">
        <f>STATS1003B!S2054/1000</f>
        <v>0</v>
      </c>
      <c r="T2050" s="85">
        <f>STATS1003B!T2054/1000</f>
        <v>0</v>
      </c>
      <c r="U2050" s="85">
        <f>STATS1003B!U2054/1000</f>
        <v>0</v>
      </c>
      <c r="V2050" s="85">
        <f>STATS1003B!V2054/1000</f>
        <v>12747.022000000001</v>
      </c>
      <c r="W2050" s="85">
        <f>STATS1003B!W2054/1000</f>
        <v>0</v>
      </c>
      <c r="X2050" s="85">
        <f t="shared" si="225"/>
        <v>12747.022000000001</v>
      </c>
      <c r="Y2050" s="85">
        <f>STATS1003B!Y2054/1000</f>
        <v>0</v>
      </c>
      <c r="Z2050" s="85">
        <f t="shared" si="227"/>
        <v>0</v>
      </c>
      <c r="AA2050" s="69">
        <f>STATS1003B!AA2054/1000</f>
        <v>12747.022000000001</v>
      </c>
      <c r="AB2050" s="69">
        <f>STATS1003B!AB2054/1000</f>
        <v>0</v>
      </c>
    </row>
    <row r="2051" spans="1:28" hidden="1" x14ac:dyDescent="0.3">
      <c r="A2051" s="117"/>
      <c r="C2051" s="68" t="s">
        <v>62</v>
      </c>
      <c r="E2051" s="85">
        <f>STATS1003B!E2055/1000</f>
        <v>1066.6215</v>
      </c>
      <c r="F2051" s="85">
        <f>STATS1003B!F2055/1000</f>
        <v>1066.6215</v>
      </c>
      <c r="G2051" s="85">
        <f>STATS1003B!G2055/1000</f>
        <v>0</v>
      </c>
      <c r="H2051" s="85">
        <f>STATS1003B!H2055/1000</f>
        <v>1066.6215</v>
      </c>
      <c r="I2051" s="85">
        <f>STATS1003B!I2055/1000</f>
        <v>0</v>
      </c>
      <c r="J2051" s="85">
        <f>STATS1003B!J2055/1000</f>
        <v>0</v>
      </c>
      <c r="K2051" s="85">
        <f>STATS1003B!K2055/1000</f>
        <v>0</v>
      </c>
      <c r="L2051" s="85">
        <f>STATS1003B!L2055/1000</f>
        <v>0</v>
      </c>
      <c r="M2051" s="85">
        <f>STATS1003B!M2055/1000</f>
        <v>1066.6215</v>
      </c>
      <c r="N2051" s="85">
        <f>STATS1003B!N2055/1000</f>
        <v>0</v>
      </c>
      <c r="O2051" s="85">
        <f>STATS1003B!O2055/1000</f>
        <v>0</v>
      </c>
      <c r="P2051" s="85">
        <f>STATS1003B!P2055/1000</f>
        <v>0</v>
      </c>
      <c r="Q2051" s="85">
        <f>STATS1003B!Q2055/1000</f>
        <v>0</v>
      </c>
      <c r="R2051" s="85">
        <f>STATS1003B!R2055/1000</f>
        <v>0</v>
      </c>
      <c r="S2051" s="85">
        <f>STATS1003B!S2055/1000</f>
        <v>0</v>
      </c>
      <c r="T2051" s="85">
        <f>STATS1003B!T2055/1000</f>
        <v>0</v>
      </c>
      <c r="U2051" s="85">
        <f>STATS1003B!U2055/1000</f>
        <v>0</v>
      </c>
      <c r="V2051" s="85">
        <f>STATS1003B!V2055/1000</f>
        <v>1066.6215</v>
      </c>
      <c r="W2051" s="85">
        <f>STATS1003B!W2055/1000</f>
        <v>0</v>
      </c>
      <c r="X2051" s="85">
        <f t="shared" ref="X2051:X2079" si="229">+H2051+P2051</f>
        <v>1066.6215</v>
      </c>
      <c r="Y2051" s="85">
        <f>STATS1003B!Y2055/1000</f>
        <v>0</v>
      </c>
      <c r="Z2051" s="85">
        <f t="shared" si="227"/>
        <v>0</v>
      </c>
      <c r="AA2051" s="69">
        <f>STATS1003B!AA2055/1000</f>
        <v>1066.6215</v>
      </c>
      <c r="AB2051" s="69">
        <f>STATS1003B!AB2055/1000</f>
        <v>0</v>
      </c>
    </row>
    <row r="2052" spans="1:28" hidden="1" x14ac:dyDescent="0.3">
      <c r="A2052" s="117"/>
      <c r="C2052" s="68" t="s">
        <v>924</v>
      </c>
      <c r="E2052" s="85">
        <f>STATS1003B!E2056/1000</f>
        <v>822.25445999999999</v>
      </c>
      <c r="F2052" s="85">
        <f>STATS1003B!F2056/1000</f>
        <v>822.25445999999999</v>
      </c>
      <c r="G2052" s="85">
        <f>STATS1003B!G2056/1000</f>
        <v>0</v>
      </c>
      <c r="H2052" s="85">
        <f>STATS1003B!H2056/1000</f>
        <v>822.25445999999999</v>
      </c>
      <c r="I2052" s="85">
        <f>STATS1003B!I2056/1000</f>
        <v>0</v>
      </c>
      <c r="J2052" s="85">
        <f>STATS1003B!J2056/1000</f>
        <v>0</v>
      </c>
      <c r="K2052" s="85">
        <f>STATS1003B!K2056/1000</f>
        <v>0</v>
      </c>
      <c r="L2052" s="85">
        <f>STATS1003B!L2056/1000</f>
        <v>0</v>
      </c>
      <c r="M2052" s="85">
        <f>STATS1003B!M2056/1000</f>
        <v>822.25445999999999</v>
      </c>
      <c r="N2052" s="85">
        <f>STATS1003B!N2056/1000</f>
        <v>0</v>
      </c>
      <c r="O2052" s="85">
        <f>STATS1003B!O2056/1000</f>
        <v>0</v>
      </c>
      <c r="P2052" s="85">
        <f>STATS1003B!P2056/1000</f>
        <v>0</v>
      </c>
      <c r="Q2052" s="85">
        <f>STATS1003B!Q2056/1000</f>
        <v>0</v>
      </c>
      <c r="R2052" s="85">
        <f>STATS1003B!R2056/1000</f>
        <v>0</v>
      </c>
      <c r="S2052" s="85">
        <f>STATS1003B!S2056/1000</f>
        <v>0</v>
      </c>
      <c r="T2052" s="85">
        <f>STATS1003B!T2056/1000</f>
        <v>0</v>
      </c>
      <c r="U2052" s="85">
        <f>STATS1003B!U2056/1000</f>
        <v>0</v>
      </c>
      <c r="V2052" s="85">
        <f>STATS1003B!V2056/1000</f>
        <v>822.25445999999999</v>
      </c>
      <c r="W2052" s="85">
        <f>STATS1003B!W2056/1000</f>
        <v>0</v>
      </c>
      <c r="X2052" s="85">
        <f t="shared" si="229"/>
        <v>822.25445999999999</v>
      </c>
      <c r="Y2052" s="85">
        <f>STATS1003B!Y2056/1000</f>
        <v>0</v>
      </c>
      <c r="Z2052" s="85">
        <f t="shared" si="227"/>
        <v>0</v>
      </c>
      <c r="AA2052" s="69">
        <f>STATS1003B!AA2056/1000</f>
        <v>822.25445999999999</v>
      </c>
      <c r="AB2052" s="69">
        <f>STATS1003B!AB2056/1000</f>
        <v>0</v>
      </c>
    </row>
    <row r="2053" spans="1:28" hidden="1" x14ac:dyDescent="0.3">
      <c r="A2053" s="117"/>
      <c r="C2053" s="68" t="s">
        <v>930</v>
      </c>
      <c r="D2053" s="91" t="s">
        <v>1072</v>
      </c>
      <c r="E2053" s="85">
        <f>STATS1003B!E2057/1000</f>
        <v>13043.15724</v>
      </c>
      <c r="F2053" s="85">
        <f>STATS1003B!F2057/1000</f>
        <v>13043.15724</v>
      </c>
      <c r="G2053" s="85">
        <f>STATS1003B!G2057/1000</f>
        <v>0</v>
      </c>
      <c r="H2053" s="85">
        <f>STATS1003B!H2057/1000</f>
        <v>13043.15724</v>
      </c>
      <c r="I2053" s="85">
        <f>STATS1003B!I2057/1000</f>
        <v>0</v>
      </c>
      <c r="J2053" s="85">
        <f>STATS1003B!J2057/1000</f>
        <v>0</v>
      </c>
      <c r="K2053" s="85">
        <f>STATS1003B!K2057/1000</f>
        <v>0</v>
      </c>
      <c r="L2053" s="85">
        <f>STATS1003B!L2057/1000</f>
        <v>0</v>
      </c>
      <c r="M2053" s="85">
        <f>STATS1003B!M2057/1000</f>
        <v>13043.15724</v>
      </c>
      <c r="N2053" s="85">
        <f>STATS1003B!N2057/1000</f>
        <v>0</v>
      </c>
      <c r="O2053" s="85">
        <f>STATS1003B!O2057/1000</f>
        <v>0</v>
      </c>
      <c r="P2053" s="85">
        <f>STATS1003B!P2057/1000</f>
        <v>0</v>
      </c>
      <c r="Q2053" s="85">
        <f>STATS1003B!Q2057/1000</f>
        <v>0</v>
      </c>
      <c r="R2053" s="85">
        <f>STATS1003B!R2057/1000</f>
        <v>0</v>
      </c>
      <c r="S2053" s="85">
        <f>STATS1003B!S2057/1000</f>
        <v>0</v>
      </c>
      <c r="T2053" s="85">
        <f>STATS1003B!T2057/1000</f>
        <v>0</v>
      </c>
      <c r="U2053" s="85">
        <f>STATS1003B!U2057/1000</f>
        <v>0</v>
      </c>
      <c r="V2053" s="85">
        <f>STATS1003B!V2057/1000</f>
        <v>13043.15724</v>
      </c>
      <c r="W2053" s="85">
        <f>STATS1003B!W2057/1000</f>
        <v>0</v>
      </c>
      <c r="X2053" s="85">
        <f t="shared" si="229"/>
        <v>13043.15724</v>
      </c>
      <c r="Y2053" s="85">
        <f>STATS1003B!Y2057/1000</f>
        <v>0</v>
      </c>
      <c r="Z2053" s="85">
        <f t="shared" si="227"/>
        <v>0</v>
      </c>
      <c r="AA2053" s="69">
        <f>STATS1003B!AA2057/1000</f>
        <v>13043.15724</v>
      </c>
      <c r="AB2053" s="69">
        <f>STATS1003B!AB2057/1000</f>
        <v>0</v>
      </c>
    </row>
    <row r="2054" spans="1:28" hidden="1" x14ac:dyDescent="0.3">
      <c r="A2054" s="117"/>
      <c r="C2054" s="68" t="s">
        <v>1176</v>
      </c>
      <c r="D2054" s="91" t="s">
        <v>1126</v>
      </c>
      <c r="E2054" s="85">
        <f>STATS1003B!E2058/1000</f>
        <v>13419.612710000001</v>
      </c>
      <c r="F2054" s="85">
        <f>STATS1003B!F2058/1000</f>
        <v>13419.612710000001</v>
      </c>
      <c r="G2054" s="85">
        <f>STATS1003B!G2058/1000</f>
        <v>0</v>
      </c>
      <c r="H2054" s="85">
        <f>STATS1003B!H2058/1000</f>
        <v>13419.612710000001</v>
      </c>
      <c r="I2054" s="85">
        <f>STATS1003B!I2058/1000</f>
        <v>0</v>
      </c>
      <c r="J2054" s="85">
        <f>STATS1003B!J2058/1000</f>
        <v>0</v>
      </c>
      <c r="K2054" s="85">
        <f>STATS1003B!K2058/1000</f>
        <v>0</v>
      </c>
      <c r="L2054" s="85">
        <f>STATS1003B!L2058/1000</f>
        <v>0</v>
      </c>
      <c r="M2054" s="85">
        <f>STATS1003B!M2058/1000</f>
        <v>13419.612710000001</v>
      </c>
      <c r="N2054" s="85">
        <f>STATS1003B!N2058/1000</f>
        <v>0</v>
      </c>
      <c r="O2054" s="85">
        <f>STATS1003B!O2058/1000</f>
        <v>0</v>
      </c>
      <c r="P2054" s="85">
        <f>STATS1003B!P2058/1000</f>
        <v>0</v>
      </c>
      <c r="Q2054" s="85">
        <f>STATS1003B!Q2058/1000</f>
        <v>0</v>
      </c>
      <c r="R2054" s="85">
        <f>STATS1003B!R2058/1000</f>
        <v>0</v>
      </c>
      <c r="S2054" s="85">
        <f>STATS1003B!S2058/1000</f>
        <v>0</v>
      </c>
      <c r="T2054" s="85">
        <f>STATS1003B!T2058/1000</f>
        <v>0</v>
      </c>
      <c r="U2054" s="85">
        <f>STATS1003B!U2058/1000</f>
        <v>0</v>
      </c>
      <c r="V2054" s="85">
        <f>STATS1003B!V2058/1000</f>
        <v>0</v>
      </c>
      <c r="W2054" s="85">
        <f>STATS1003B!W2058/1000</f>
        <v>0</v>
      </c>
      <c r="X2054" s="85">
        <f t="shared" si="229"/>
        <v>13419.612710000001</v>
      </c>
      <c r="Y2054" s="85">
        <f>STATS1003B!Y2058/1000</f>
        <v>0</v>
      </c>
      <c r="Z2054" s="85">
        <f t="shared" si="227"/>
        <v>0</v>
      </c>
      <c r="AA2054" s="69">
        <f>STATS1003B!AA2058/1000</f>
        <v>13419.612710000001</v>
      </c>
      <c r="AB2054" s="69">
        <f>STATS1003B!AB2058/1000</f>
        <v>0</v>
      </c>
    </row>
    <row r="2055" spans="1:28" hidden="1" x14ac:dyDescent="0.3">
      <c r="A2055" s="117"/>
      <c r="C2055" s="68" t="s">
        <v>1242</v>
      </c>
      <c r="D2055" s="91" t="s">
        <v>1225</v>
      </c>
      <c r="E2055" s="85">
        <f>STATS1003B!E2059/1000</f>
        <v>24916.547569999995</v>
      </c>
      <c r="F2055" s="85">
        <f>STATS1003B!F2059/1000</f>
        <v>0</v>
      </c>
      <c r="G2055" s="85">
        <f>STATS1003B!G2059/1000</f>
        <v>24916.547569999995</v>
      </c>
      <c r="H2055" s="85">
        <f>STATS1003B!H2059/1000</f>
        <v>24916.547569999995</v>
      </c>
      <c r="I2055" s="85">
        <f>STATS1003B!I2059/1000</f>
        <v>0</v>
      </c>
      <c r="J2055" s="85">
        <f>STATS1003B!J2059/1000</f>
        <v>0</v>
      </c>
      <c r="K2055" s="85">
        <f>STATS1003B!K2059/1000</f>
        <v>0</v>
      </c>
      <c r="L2055" s="85">
        <f>STATS1003B!L2059/1000</f>
        <v>0</v>
      </c>
      <c r="M2055" s="85">
        <f>STATS1003B!M2059/1000</f>
        <v>24916.547569999995</v>
      </c>
      <c r="N2055" s="85">
        <f>STATS1003B!N2059/1000</f>
        <v>0</v>
      </c>
      <c r="O2055" s="85">
        <f>STATS1003B!O2059/1000</f>
        <v>0</v>
      </c>
      <c r="P2055" s="85">
        <f>STATS1003B!P2059/1000</f>
        <v>0</v>
      </c>
      <c r="Q2055" s="85">
        <f>STATS1003B!Q2059/1000</f>
        <v>0</v>
      </c>
      <c r="R2055" s="85">
        <f>STATS1003B!R2059/1000</f>
        <v>0</v>
      </c>
      <c r="S2055" s="85">
        <f>STATS1003B!S2059/1000</f>
        <v>0</v>
      </c>
      <c r="T2055" s="85">
        <f>STATS1003B!T2059/1000</f>
        <v>0</v>
      </c>
      <c r="U2055" s="85">
        <f>STATS1003B!U2059/1000</f>
        <v>0</v>
      </c>
      <c r="V2055" s="85">
        <f>STATS1003B!V2059/1000</f>
        <v>0</v>
      </c>
      <c r="W2055" s="85">
        <f>STATS1003B!W2059/1000</f>
        <v>0</v>
      </c>
      <c r="X2055" s="85">
        <f t="shared" si="229"/>
        <v>24916.547569999995</v>
      </c>
      <c r="Y2055" s="85">
        <f>STATS1003B!Y2059/1000</f>
        <v>0</v>
      </c>
      <c r="Z2055" s="85">
        <f t="shared" si="227"/>
        <v>0</v>
      </c>
      <c r="AA2055" s="69">
        <f>STATS1003B!AA2059/1000</f>
        <v>24916.547569999995</v>
      </c>
      <c r="AB2055" s="69">
        <f>STATS1003B!AB2059/1000</f>
        <v>0</v>
      </c>
    </row>
    <row r="2056" spans="1:28" hidden="1" x14ac:dyDescent="0.3">
      <c r="A2056" s="117"/>
      <c r="C2056" s="68" t="s">
        <v>1073</v>
      </c>
      <c r="D2056" s="91" t="s">
        <v>1072</v>
      </c>
      <c r="E2056" s="85">
        <f>STATS1003B!E2060/1000</f>
        <v>802.5065699999999</v>
      </c>
      <c r="F2056" s="85">
        <f>STATS1003B!F2060/1000</f>
        <v>802.5065699999999</v>
      </c>
      <c r="G2056" s="85">
        <f>STATS1003B!G2060/1000</f>
        <v>0</v>
      </c>
      <c r="H2056" s="85">
        <f>STATS1003B!H2060/1000</f>
        <v>802.5065699999999</v>
      </c>
      <c r="I2056" s="85">
        <f>STATS1003B!I2060/1000</f>
        <v>0</v>
      </c>
      <c r="J2056" s="85">
        <f>STATS1003B!J2060/1000</f>
        <v>0</v>
      </c>
      <c r="K2056" s="85">
        <f>STATS1003B!K2060/1000</f>
        <v>0</v>
      </c>
      <c r="L2056" s="85">
        <f>STATS1003B!L2060/1000</f>
        <v>0</v>
      </c>
      <c r="M2056" s="85">
        <f>STATS1003B!M2060/1000</f>
        <v>802.5065699999999</v>
      </c>
      <c r="N2056" s="85">
        <f>STATS1003B!N2060/1000</f>
        <v>0</v>
      </c>
      <c r="O2056" s="85">
        <f>STATS1003B!O2060/1000</f>
        <v>0</v>
      </c>
      <c r="P2056" s="85">
        <f>STATS1003B!P2060/1000</f>
        <v>0</v>
      </c>
      <c r="Q2056" s="85">
        <f>STATS1003B!Q2060/1000</f>
        <v>0</v>
      </c>
      <c r="R2056" s="85">
        <f>STATS1003B!R2060/1000</f>
        <v>0</v>
      </c>
      <c r="S2056" s="85">
        <f>STATS1003B!S2060/1000</f>
        <v>0</v>
      </c>
      <c r="T2056" s="85">
        <f>STATS1003B!T2060/1000</f>
        <v>0</v>
      </c>
      <c r="U2056" s="85">
        <f>STATS1003B!U2060/1000</f>
        <v>0</v>
      </c>
      <c r="V2056" s="85">
        <f>STATS1003B!V2060/1000</f>
        <v>802.5065699999999</v>
      </c>
      <c r="W2056" s="85">
        <f>STATS1003B!W2060/1000</f>
        <v>0</v>
      </c>
      <c r="X2056" s="85">
        <f t="shared" si="229"/>
        <v>802.5065699999999</v>
      </c>
      <c r="Y2056" s="85">
        <f>STATS1003B!Y2060/1000</f>
        <v>0</v>
      </c>
      <c r="Z2056" s="85">
        <f t="shared" si="227"/>
        <v>0</v>
      </c>
      <c r="AA2056" s="69">
        <f>STATS1003B!AA2060/1000</f>
        <v>802.5065699999999</v>
      </c>
      <c r="AB2056" s="69">
        <f>STATS1003B!AB2060/1000</f>
        <v>0</v>
      </c>
    </row>
    <row r="2057" spans="1:28" hidden="1" x14ac:dyDescent="0.3">
      <c r="A2057" s="117"/>
      <c r="C2057" s="68" t="s">
        <v>57</v>
      </c>
      <c r="D2057" s="91" t="s">
        <v>61</v>
      </c>
      <c r="E2057" s="85">
        <f>STATS1003B!E2061/1000</f>
        <v>13695.40936</v>
      </c>
      <c r="F2057" s="85">
        <f>STATS1003B!F2061/1000</f>
        <v>13695.40936</v>
      </c>
      <c r="G2057" s="85">
        <f>STATS1003B!G2061/1000</f>
        <v>0</v>
      </c>
      <c r="H2057" s="85">
        <f>STATS1003B!H2061/1000</f>
        <v>13695.40936</v>
      </c>
      <c r="I2057" s="85">
        <f>STATS1003B!I2061/1000</f>
        <v>13695.40936</v>
      </c>
      <c r="J2057" s="85">
        <f>STATS1003B!J2061/1000</f>
        <v>13695.40936</v>
      </c>
      <c r="K2057" s="85">
        <f>STATS1003B!K2061/1000</f>
        <v>0</v>
      </c>
      <c r="L2057" s="85">
        <f>STATS1003B!L2061/1000</f>
        <v>0</v>
      </c>
      <c r="M2057" s="85">
        <f>STATS1003B!M2061/1000</f>
        <v>13695.40936</v>
      </c>
      <c r="N2057" s="85">
        <f>STATS1003B!N2061/1000</f>
        <v>0</v>
      </c>
      <c r="O2057" s="85">
        <f>STATS1003B!O2061/1000</f>
        <v>0</v>
      </c>
      <c r="P2057" s="85">
        <f>STATS1003B!P2061/1000</f>
        <v>0</v>
      </c>
      <c r="Q2057" s="85">
        <f>STATS1003B!Q2061/1000</f>
        <v>0</v>
      </c>
      <c r="R2057" s="85">
        <f>STATS1003B!R2061/1000</f>
        <v>0</v>
      </c>
      <c r="S2057" s="85">
        <f>STATS1003B!S2061/1000</f>
        <v>0</v>
      </c>
      <c r="T2057" s="85">
        <f>STATS1003B!T2061/1000</f>
        <v>0</v>
      </c>
      <c r="U2057" s="85">
        <f>STATS1003B!U2061/1000</f>
        <v>0</v>
      </c>
      <c r="V2057" s="85">
        <f>STATS1003B!V2061/1000</f>
        <v>13695.40936</v>
      </c>
      <c r="W2057" s="85">
        <f>STATS1003B!W2061/1000</f>
        <v>0</v>
      </c>
      <c r="X2057" s="85">
        <f t="shared" si="229"/>
        <v>13695.40936</v>
      </c>
      <c r="Y2057" s="85">
        <f>STATS1003B!Y2061/1000</f>
        <v>0</v>
      </c>
      <c r="Z2057" s="85">
        <f t="shared" si="227"/>
        <v>0</v>
      </c>
      <c r="AA2057" s="69">
        <f>STATS1003B!AA2061/1000</f>
        <v>13695.40936</v>
      </c>
      <c r="AB2057" s="69">
        <f>STATS1003B!AB2061/1000</f>
        <v>0</v>
      </c>
    </row>
    <row r="2058" spans="1:28" hidden="1" x14ac:dyDescent="0.3">
      <c r="A2058" s="117"/>
      <c r="C2058" s="71" t="s">
        <v>375</v>
      </c>
      <c r="E2058" s="86" t="s">
        <v>29</v>
      </c>
      <c r="F2058" s="86" t="s">
        <v>29</v>
      </c>
      <c r="G2058" s="86" t="s">
        <v>29</v>
      </c>
      <c r="H2058" s="86" t="s">
        <v>29</v>
      </c>
      <c r="I2058" s="86" t="s">
        <v>29</v>
      </c>
      <c r="J2058" s="86" t="s">
        <v>29</v>
      </c>
      <c r="K2058" s="86" t="s">
        <v>29</v>
      </c>
      <c r="L2058" s="86" t="s">
        <v>29</v>
      </c>
      <c r="M2058" s="86" t="s">
        <v>29</v>
      </c>
      <c r="N2058" s="86" t="s">
        <v>29</v>
      </c>
      <c r="O2058" s="86" t="s">
        <v>29</v>
      </c>
      <c r="P2058" s="86" t="s">
        <v>29</v>
      </c>
      <c r="Q2058" s="86" t="s">
        <v>29</v>
      </c>
      <c r="R2058" s="86" t="s">
        <v>29</v>
      </c>
      <c r="S2058" s="86" t="s">
        <v>29</v>
      </c>
      <c r="T2058" s="86" t="s">
        <v>29</v>
      </c>
      <c r="U2058" s="86" t="s">
        <v>29</v>
      </c>
      <c r="V2058" s="86" t="s">
        <v>29</v>
      </c>
      <c r="W2058" s="86" t="s">
        <v>29</v>
      </c>
      <c r="X2058" s="85" t="e">
        <f t="shared" si="229"/>
        <v>#VALUE!</v>
      </c>
      <c r="Y2058" s="86" t="s">
        <v>29</v>
      </c>
      <c r="Z2058" s="85" t="e">
        <f t="shared" si="227"/>
        <v>#VALUE!</v>
      </c>
      <c r="AA2058" s="115" t="s">
        <v>29</v>
      </c>
      <c r="AB2058" s="115" t="s">
        <v>29</v>
      </c>
    </row>
    <row r="2059" spans="1:28" x14ac:dyDescent="0.3">
      <c r="A2059" s="116">
        <v>90</v>
      </c>
      <c r="B2059" s="68" t="s">
        <v>369</v>
      </c>
      <c r="E2059" s="85">
        <f>277686536.71/1000</f>
        <v>277686.53670999996</v>
      </c>
      <c r="F2059" s="85">
        <f t="shared" ref="F2059:AB2059" si="230">SUM(F2041:F2057)</f>
        <v>100101.28791000001</v>
      </c>
      <c r="G2059" s="85">
        <f t="shared" si="230"/>
        <v>24916.547569999995</v>
      </c>
      <c r="H2059" s="85">
        <f>273684690.67/1000</f>
        <v>273684.69067000004</v>
      </c>
      <c r="I2059" s="85">
        <f t="shared" si="230"/>
        <v>13695.40936</v>
      </c>
      <c r="J2059" s="85">
        <f t="shared" si="230"/>
        <v>13695.40936</v>
      </c>
      <c r="K2059" s="85">
        <f t="shared" si="230"/>
        <v>0</v>
      </c>
      <c r="L2059" s="85">
        <f t="shared" si="230"/>
        <v>0</v>
      </c>
      <c r="M2059" s="85">
        <f t="shared" si="230"/>
        <v>125017.83548000001</v>
      </c>
      <c r="N2059" s="85">
        <f t="shared" si="230"/>
        <v>4001.8454999999999</v>
      </c>
      <c r="O2059" s="85">
        <f t="shared" si="230"/>
        <v>0</v>
      </c>
      <c r="P2059" s="85">
        <f>4001845/1000</f>
        <v>4001.8449999999998</v>
      </c>
      <c r="Q2059" s="85">
        <f t="shared" si="230"/>
        <v>0</v>
      </c>
      <c r="R2059" s="85">
        <f t="shared" si="230"/>
        <v>0</v>
      </c>
      <c r="S2059" s="85">
        <f t="shared" si="230"/>
        <v>0</v>
      </c>
      <c r="T2059" s="85">
        <f t="shared" si="230"/>
        <v>0</v>
      </c>
      <c r="U2059" s="85">
        <f t="shared" si="230"/>
        <v>4001.8454999999999</v>
      </c>
      <c r="V2059" s="85">
        <f t="shared" si="230"/>
        <v>90683.520700000008</v>
      </c>
      <c r="W2059" s="85">
        <f t="shared" si="230"/>
        <v>0</v>
      </c>
      <c r="X2059" s="85">
        <f t="shared" si="229"/>
        <v>277686.53567000001</v>
      </c>
      <c r="Y2059" s="85">
        <f t="shared" si="230"/>
        <v>0</v>
      </c>
      <c r="Z2059" s="85">
        <f t="shared" si="227"/>
        <v>1.0399999446235597E-3</v>
      </c>
      <c r="AA2059" s="69">
        <f t="shared" si="230"/>
        <v>129019.68098</v>
      </c>
      <c r="AB2059" s="69">
        <f t="shared" si="230"/>
        <v>0</v>
      </c>
    </row>
    <row r="2060" spans="1:28" hidden="1" x14ac:dyDescent="0.3">
      <c r="A2060" s="117"/>
      <c r="E2060" s="86" t="s">
        <v>29</v>
      </c>
      <c r="F2060" s="86" t="s">
        <v>29</v>
      </c>
      <c r="G2060" s="86" t="s">
        <v>29</v>
      </c>
      <c r="H2060" s="86" t="s">
        <v>29</v>
      </c>
      <c r="I2060" s="86" t="s">
        <v>29</v>
      </c>
      <c r="J2060" s="86" t="s">
        <v>29</v>
      </c>
      <c r="K2060" s="86" t="s">
        <v>29</v>
      </c>
      <c r="L2060" s="86" t="s">
        <v>29</v>
      </c>
      <c r="M2060" s="86" t="s">
        <v>29</v>
      </c>
      <c r="N2060" s="86" t="s">
        <v>29</v>
      </c>
      <c r="O2060" s="86" t="s">
        <v>29</v>
      </c>
      <c r="P2060" s="86" t="s">
        <v>29</v>
      </c>
      <c r="Q2060" s="86" t="s">
        <v>29</v>
      </c>
      <c r="R2060" s="86" t="s">
        <v>29</v>
      </c>
      <c r="S2060" s="86" t="s">
        <v>29</v>
      </c>
      <c r="T2060" s="86" t="s">
        <v>29</v>
      </c>
      <c r="U2060" s="86" t="s">
        <v>29</v>
      </c>
      <c r="V2060" s="86" t="s">
        <v>29</v>
      </c>
      <c r="W2060" s="86" t="s">
        <v>29</v>
      </c>
      <c r="X2060" s="85" t="e">
        <f t="shared" si="229"/>
        <v>#VALUE!</v>
      </c>
      <c r="Y2060" s="86" t="s">
        <v>29</v>
      </c>
      <c r="Z2060" s="85" t="e">
        <f t="shared" si="227"/>
        <v>#VALUE!</v>
      </c>
      <c r="AA2060" s="115" t="s">
        <v>29</v>
      </c>
      <c r="AB2060" s="115" t="s">
        <v>29</v>
      </c>
    </row>
    <row r="2061" spans="1:28" hidden="1" x14ac:dyDescent="0.3">
      <c r="A2061" s="105"/>
      <c r="E2061" s="84"/>
      <c r="F2061" s="84"/>
      <c r="G2061" s="84"/>
      <c r="H2061" s="84"/>
      <c r="I2061" s="84"/>
      <c r="J2061" s="84"/>
      <c r="K2061" s="84"/>
      <c r="L2061" s="84"/>
      <c r="M2061" s="84"/>
      <c r="N2061" s="84"/>
      <c r="O2061" s="84"/>
      <c r="P2061" s="84"/>
      <c r="Q2061" s="84"/>
      <c r="R2061" s="84"/>
      <c r="S2061" s="84"/>
      <c r="T2061" s="84"/>
      <c r="U2061" s="84"/>
      <c r="V2061" s="84"/>
      <c r="W2061" s="84"/>
      <c r="X2061" s="85">
        <f t="shared" si="229"/>
        <v>0</v>
      </c>
      <c r="Y2061" s="84"/>
      <c r="Z2061" s="85">
        <f t="shared" si="227"/>
        <v>0</v>
      </c>
    </row>
    <row r="2062" spans="1:28" hidden="1" x14ac:dyDescent="0.3">
      <c r="A2062" s="117"/>
      <c r="C2062" s="68" t="s">
        <v>377</v>
      </c>
      <c r="D2062" s="87" t="s">
        <v>378</v>
      </c>
      <c r="E2062" s="85">
        <f>STATS1003B!E2066/1000</f>
        <v>17621.96573</v>
      </c>
      <c r="F2062" s="85">
        <f>STATS1003B!F2066/1000</f>
        <v>16571.030210000001</v>
      </c>
      <c r="G2062" s="85">
        <f>STATS1003B!G2066/1000</f>
        <v>0</v>
      </c>
      <c r="H2062" s="85">
        <f>STATS1003B!H2066/1000</f>
        <v>16571.030210000001</v>
      </c>
      <c r="I2062" s="85">
        <f>STATS1003B!I2066/1000</f>
        <v>0</v>
      </c>
      <c r="J2062" s="85">
        <f>STATS1003B!J2066/1000</f>
        <v>0</v>
      </c>
      <c r="K2062" s="85">
        <f>STATS1003B!K2066/1000</f>
        <v>0</v>
      </c>
      <c r="L2062" s="85">
        <f>STATS1003B!L2066/1000</f>
        <v>0</v>
      </c>
      <c r="M2062" s="85">
        <f>STATS1003B!M2066/1000</f>
        <v>16571.030210000001</v>
      </c>
      <c r="N2062" s="85">
        <f>STATS1003B!N2066/1000</f>
        <v>1050.93552</v>
      </c>
      <c r="O2062" s="85">
        <f>STATS1003B!O2066/1000</f>
        <v>0</v>
      </c>
      <c r="P2062" s="85">
        <f>STATS1003B!P2066/1000</f>
        <v>1050.93552</v>
      </c>
      <c r="Q2062" s="85">
        <f>STATS1003B!Q2066/1000</f>
        <v>0</v>
      </c>
      <c r="R2062" s="85">
        <f>STATS1003B!R2066/1000</f>
        <v>0</v>
      </c>
      <c r="S2062" s="85">
        <f>STATS1003B!S2066/1000</f>
        <v>0</v>
      </c>
      <c r="T2062" s="85">
        <f>STATS1003B!T2066/1000</f>
        <v>0</v>
      </c>
      <c r="U2062" s="85">
        <f>STATS1003B!U2066/1000</f>
        <v>1050.93552</v>
      </c>
      <c r="V2062" s="85">
        <f>STATS1003B!V2066/1000</f>
        <v>17621.96573</v>
      </c>
      <c r="W2062" s="85">
        <f>STATS1003B!W2066/1000</f>
        <v>0</v>
      </c>
      <c r="X2062" s="85">
        <f t="shared" si="229"/>
        <v>17621.96573</v>
      </c>
      <c r="Y2062" s="85">
        <f>STATS1003B!Y2066/1000</f>
        <v>0</v>
      </c>
      <c r="Z2062" s="85">
        <f t="shared" si="227"/>
        <v>0</v>
      </c>
      <c r="AA2062" s="69">
        <f>STATS1003B!AA2066/1000</f>
        <v>17621.96573</v>
      </c>
      <c r="AB2062" s="69">
        <f>STATS1003B!AB2066/1000</f>
        <v>0</v>
      </c>
    </row>
    <row r="2063" spans="1:28" hidden="1" x14ac:dyDescent="0.3">
      <c r="A2063" s="117"/>
      <c r="D2063" s="87" t="s">
        <v>79</v>
      </c>
      <c r="E2063" s="85">
        <f>STATS1003B!E2067/1000</f>
        <v>0</v>
      </c>
      <c r="F2063" s="85">
        <f>STATS1003B!F2067/1000</f>
        <v>0</v>
      </c>
      <c r="G2063" s="85">
        <f>STATS1003B!G2067/1000</f>
        <v>0</v>
      </c>
      <c r="H2063" s="85">
        <f>STATS1003B!H2067/1000</f>
        <v>0</v>
      </c>
      <c r="I2063" s="85">
        <f>STATS1003B!I2067/1000</f>
        <v>0</v>
      </c>
      <c r="J2063" s="85">
        <f>STATS1003B!J2067/1000</f>
        <v>0</v>
      </c>
      <c r="K2063" s="85">
        <f>STATS1003B!K2067/1000</f>
        <v>0</v>
      </c>
      <c r="L2063" s="85">
        <f>STATS1003B!L2067/1000</f>
        <v>0</v>
      </c>
      <c r="M2063" s="85">
        <f>STATS1003B!M2067/1000</f>
        <v>0</v>
      </c>
      <c r="N2063" s="85">
        <f>STATS1003B!N2067/1000</f>
        <v>0</v>
      </c>
      <c r="O2063" s="85">
        <f>STATS1003B!O2067/1000</f>
        <v>0</v>
      </c>
      <c r="P2063" s="85">
        <f>STATS1003B!P2067/1000</f>
        <v>0</v>
      </c>
      <c r="Q2063" s="85">
        <f>STATS1003B!Q2067/1000</f>
        <v>0</v>
      </c>
      <c r="R2063" s="85">
        <f>STATS1003B!R2067/1000</f>
        <v>0</v>
      </c>
      <c r="S2063" s="85">
        <f>STATS1003B!S2067/1000</f>
        <v>0</v>
      </c>
      <c r="T2063" s="85">
        <f>STATS1003B!T2067/1000</f>
        <v>0</v>
      </c>
      <c r="U2063" s="85">
        <f>STATS1003B!U2067/1000</f>
        <v>0</v>
      </c>
      <c r="V2063" s="85">
        <f>STATS1003B!V2067/1000</f>
        <v>0</v>
      </c>
      <c r="W2063" s="85">
        <f>STATS1003B!W2067/1000</f>
        <v>0</v>
      </c>
      <c r="X2063" s="85">
        <f t="shared" si="229"/>
        <v>0</v>
      </c>
      <c r="Y2063" s="85">
        <f>STATS1003B!Y2067/1000</f>
        <v>0</v>
      </c>
      <c r="Z2063" s="85">
        <f t="shared" si="227"/>
        <v>0</v>
      </c>
      <c r="AA2063" s="69">
        <f>STATS1003B!AA2067/1000</f>
        <v>0</v>
      </c>
      <c r="AB2063" s="69">
        <f>STATS1003B!AB2067/1000</f>
        <v>0</v>
      </c>
    </row>
    <row r="2064" spans="1:28" hidden="1" x14ac:dyDescent="0.3">
      <c r="A2064" s="117"/>
      <c r="C2064" s="68" t="s">
        <v>57</v>
      </c>
      <c r="D2064" s="71" t="s">
        <v>379</v>
      </c>
      <c r="E2064" s="85">
        <f>STATS1003B!E2068/1000</f>
        <v>6508.3455300000005</v>
      </c>
      <c r="F2064" s="85">
        <f>STATS1003B!F2068/1000</f>
        <v>6432.8185999999996</v>
      </c>
      <c r="G2064" s="85">
        <f>STATS1003B!G2068/1000</f>
        <v>0</v>
      </c>
      <c r="H2064" s="85">
        <f>STATS1003B!H2068/1000</f>
        <v>6432.8185999999996</v>
      </c>
      <c r="I2064" s="85">
        <f>STATS1003B!I2068/1000</f>
        <v>0</v>
      </c>
      <c r="J2064" s="85">
        <f>STATS1003B!J2068/1000</f>
        <v>0</v>
      </c>
      <c r="K2064" s="85">
        <f>STATS1003B!K2068/1000</f>
        <v>0</v>
      </c>
      <c r="L2064" s="85">
        <f>STATS1003B!L2068/1000</f>
        <v>0</v>
      </c>
      <c r="M2064" s="85">
        <f>STATS1003B!M2068/1000</f>
        <v>6432.8185999999996</v>
      </c>
      <c r="N2064" s="85">
        <f>STATS1003B!N2068/1000</f>
        <v>75.526929999999993</v>
      </c>
      <c r="O2064" s="85">
        <f>STATS1003B!O2068/1000</f>
        <v>0</v>
      </c>
      <c r="P2064" s="85">
        <f>STATS1003B!P2068/1000</f>
        <v>75.526929999999993</v>
      </c>
      <c r="Q2064" s="85">
        <f>STATS1003B!Q2068/1000</f>
        <v>0</v>
      </c>
      <c r="R2064" s="85">
        <f>STATS1003B!R2068/1000</f>
        <v>0</v>
      </c>
      <c r="S2064" s="85">
        <f>STATS1003B!S2068/1000</f>
        <v>0</v>
      </c>
      <c r="T2064" s="85">
        <f>STATS1003B!T2068/1000</f>
        <v>0</v>
      </c>
      <c r="U2064" s="85">
        <f>STATS1003B!U2068/1000</f>
        <v>75.526929999999993</v>
      </c>
      <c r="V2064" s="85">
        <f>STATS1003B!V2068/1000</f>
        <v>6508.3455299999996</v>
      </c>
      <c r="W2064" s="85">
        <f>STATS1003B!W2068/1000</f>
        <v>0</v>
      </c>
      <c r="X2064" s="85">
        <f t="shared" si="229"/>
        <v>6508.3455299999996</v>
      </c>
      <c r="Y2064" s="85">
        <f>STATS1003B!Y2068/1000</f>
        <v>0</v>
      </c>
      <c r="Z2064" s="85">
        <f t="shared" si="227"/>
        <v>0</v>
      </c>
      <c r="AA2064" s="69">
        <f>STATS1003B!AA2068/1000</f>
        <v>6508.3455299999996</v>
      </c>
      <c r="AB2064" s="69">
        <f>STATS1003B!AB2068/1000</f>
        <v>0</v>
      </c>
    </row>
    <row r="2065" spans="1:28" hidden="1" x14ac:dyDescent="0.3">
      <c r="A2065" s="117"/>
      <c r="C2065" s="68" t="s">
        <v>53</v>
      </c>
      <c r="D2065" s="87" t="s">
        <v>54</v>
      </c>
      <c r="E2065" s="85">
        <f>STATS1003B!E2069/1000</f>
        <v>1767.77</v>
      </c>
      <c r="F2065" s="85">
        <f>STATS1003B!F2069/1000</f>
        <v>0</v>
      </c>
      <c r="G2065" s="85">
        <f>STATS1003B!G2069/1000</f>
        <v>0</v>
      </c>
      <c r="H2065" s="85">
        <f>STATS1003B!H2069/1000</f>
        <v>0</v>
      </c>
      <c r="I2065" s="85">
        <f>STATS1003B!I2069/1000</f>
        <v>0</v>
      </c>
      <c r="J2065" s="85">
        <f>STATS1003B!J2069/1000</f>
        <v>0</v>
      </c>
      <c r="K2065" s="85">
        <f>STATS1003B!K2069/1000</f>
        <v>0</v>
      </c>
      <c r="L2065" s="85">
        <f>STATS1003B!L2069/1000</f>
        <v>0</v>
      </c>
      <c r="M2065" s="85">
        <f>STATS1003B!M2069/1000</f>
        <v>0</v>
      </c>
      <c r="N2065" s="85">
        <f>STATS1003B!N2069/1000</f>
        <v>1767.77</v>
      </c>
      <c r="O2065" s="85">
        <f>STATS1003B!O2069/1000</f>
        <v>0</v>
      </c>
      <c r="P2065" s="85">
        <f>STATS1003B!P2069/1000</f>
        <v>1767.77</v>
      </c>
      <c r="Q2065" s="85">
        <f>STATS1003B!Q2069/1000</f>
        <v>0</v>
      </c>
      <c r="R2065" s="85">
        <f>STATS1003B!R2069/1000</f>
        <v>0</v>
      </c>
      <c r="S2065" s="85">
        <f>STATS1003B!S2069/1000</f>
        <v>0</v>
      </c>
      <c r="T2065" s="85">
        <f>STATS1003B!T2069/1000</f>
        <v>0</v>
      </c>
      <c r="U2065" s="85">
        <f>STATS1003B!U2069/1000</f>
        <v>1767.77</v>
      </c>
      <c r="V2065" s="85">
        <f>STATS1003B!V2069/1000</f>
        <v>1767.77</v>
      </c>
      <c r="W2065" s="85">
        <f>STATS1003B!W2069/1000</f>
        <v>0</v>
      </c>
      <c r="X2065" s="85">
        <f t="shared" si="229"/>
        <v>1767.77</v>
      </c>
      <c r="Y2065" s="85">
        <f>STATS1003B!Y2069/1000</f>
        <v>0</v>
      </c>
      <c r="Z2065" s="85">
        <f t="shared" si="227"/>
        <v>0</v>
      </c>
      <c r="AA2065" s="69">
        <f>STATS1003B!AA2069/1000</f>
        <v>1767.77</v>
      </c>
      <c r="AB2065" s="69">
        <f>STATS1003B!AB2069/1000</f>
        <v>0</v>
      </c>
    </row>
    <row r="2066" spans="1:28" hidden="1" x14ac:dyDescent="0.3">
      <c r="A2066" s="117"/>
      <c r="C2066" s="68" t="s">
        <v>284</v>
      </c>
      <c r="D2066" s="87" t="s">
        <v>54</v>
      </c>
      <c r="E2066" s="85">
        <f>STATS1003B!E2070/1000</f>
        <v>7933.45</v>
      </c>
      <c r="F2066" s="85">
        <f>STATS1003B!F2070/1000</f>
        <v>7933.45</v>
      </c>
      <c r="G2066" s="85">
        <f>STATS1003B!G2070/1000</f>
        <v>0</v>
      </c>
      <c r="H2066" s="85">
        <f>STATS1003B!H2070/1000</f>
        <v>7933.45</v>
      </c>
      <c r="I2066" s="85">
        <f>STATS1003B!I2070/1000</f>
        <v>0</v>
      </c>
      <c r="J2066" s="85">
        <f>STATS1003B!J2070/1000</f>
        <v>0</v>
      </c>
      <c r="K2066" s="85">
        <f>STATS1003B!K2070/1000</f>
        <v>0</v>
      </c>
      <c r="L2066" s="85">
        <f>STATS1003B!L2070/1000</f>
        <v>0</v>
      </c>
      <c r="M2066" s="85">
        <f>STATS1003B!M2070/1000</f>
        <v>7933.45</v>
      </c>
      <c r="N2066" s="85">
        <f>STATS1003B!N2070/1000</f>
        <v>0</v>
      </c>
      <c r="O2066" s="85">
        <f>STATS1003B!O2070/1000</f>
        <v>0</v>
      </c>
      <c r="P2066" s="85">
        <f>STATS1003B!P2070/1000</f>
        <v>0</v>
      </c>
      <c r="Q2066" s="85">
        <f>STATS1003B!Q2070/1000</f>
        <v>0</v>
      </c>
      <c r="R2066" s="85">
        <f>STATS1003B!R2070/1000</f>
        <v>0</v>
      </c>
      <c r="S2066" s="85">
        <f>STATS1003B!S2070/1000</f>
        <v>0</v>
      </c>
      <c r="T2066" s="85">
        <f>STATS1003B!T2070/1000</f>
        <v>0</v>
      </c>
      <c r="U2066" s="85">
        <f>STATS1003B!U2070/1000</f>
        <v>0</v>
      </c>
      <c r="V2066" s="85">
        <f>STATS1003B!V2070/1000</f>
        <v>7933.45</v>
      </c>
      <c r="W2066" s="85">
        <f>STATS1003B!W2070/1000</f>
        <v>0</v>
      </c>
      <c r="X2066" s="85">
        <f t="shared" si="229"/>
        <v>7933.45</v>
      </c>
      <c r="Y2066" s="85">
        <f>STATS1003B!Y2070/1000</f>
        <v>0</v>
      </c>
      <c r="Z2066" s="85">
        <f t="shared" si="227"/>
        <v>0</v>
      </c>
      <c r="AA2066" s="69">
        <f>STATS1003B!AA2070/1000</f>
        <v>7933.45</v>
      </c>
      <c r="AB2066" s="69">
        <f>STATS1003B!AB2070/1000</f>
        <v>0</v>
      </c>
    </row>
    <row r="2067" spans="1:28" hidden="1" x14ac:dyDescent="0.3">
      <c r="A2067" s="117"/>
      <c r="C2067" s="68" t="s">
        <v>55</v>
      </c>
      <c r="D2067" s="87" t="s">
        <v>88</v>
      </c>
      <c r="E2067" s="85">
        <f>STATS1003B!E2071/1000</f>
        <v>1179.375</v>
      </c>
      <c r="F2067" s="85">
        <f>STATS1003B!F2071/1000</f>
        <v>0</v>
      </c>
      <c r="G2067" s="85">
        <f>STATS1003B!G2071/1000</f>
        <v>0</v>
      </c>
      <c r="H2067" s="85">
        <f>STATS1003B!H2071/1000</f>
        <v>0</v>
      </c>
      <c r="I2067" s="85">
        <f>STATS1003B!I2071/1000</f>
        <v>0</v>
      </c>
      <c r="J2067" s="85">
        <f>STATS1003B!J2071/1000</f>
        <v>0</v>
      </c>
      <c r="K2067" s="85">
        <f>STATS1003B!K2071/1000</f>
        <v>0</v>
      </c>
      <c r="L2067" s="85">
        <f>STATS1003B!L2071/1000</f>
        <v>0</v>
      </c>
      <c r="M2067" s="85">
        <f>STATS1003B!M2071/1000</f>
        <v>0</v>
      </c>
      <c r="N2067" s="85">
        <f>STATS1003B!N2071/1000</f>
        <v>1179.375</v>
      </c>
      <c r="O2067" s="85">
        <f>STATS1003B!O2071/1000</f>
        <v>0</v>
      </c>
      <c r="P2067" s="85">
        <f>STATS1003B!P2071/1000</f>
        <v>1179.375</v>
      </c>
      <c r="Q2067" s="85">
        <f>STATS1003B!Q2071/1000</f>
        <v>0</v>
      </c>
      <c r="R2067" s="85">
        <f>STATS1003B!R2071/1000</f>
        <v>0</v>
      </c>
      <c r="S2067" s="85">
        <f>STATS1003B!S2071/1000</f>
        <v>0</v>
      </c>
      <c r="T2067" s="85">
        <f>STATS1003B!T2071/1000</f>
        <v>0</v>
      </c>
      <c r="U2067" s="85">
        <f>STATS1003B!U2071/1000</f>
        <v>1179.375</v>
      </c>
      <c r="V2067" s="85">
        <f>STATS1003B!V2071/1000</f>
        <v>1179.375</v>
      </c>
      <c r="W2067" s="85">
        <f>STATS1003B!W2071/1000</f>
        <v>0</v>
      </c>
      <c r="X2067" s="85">
        <f t="shared" si="229"/>
        <v>1179.375</v>
      </c>
      <c r="Y2067" s="85">
        <f>STATS1003B!Y2071/1000</f>
        <v>0</v>
      </c>
      <c r="Z2067" s="85">
        <f t="shared" si="227"/>
        <v>0</v>
      </c>
      <c r="AA2067" s="69">
        <f>STATS1003B!AA2071/1000</f>
        <v>1179.375</v>
      </c>
      <c r="AB2067" s="69">
        <f>STATS1003B!AB2071/1000</f>
        <v>0</v>
      </c>
    </row>
    <row r="2068" spans="1:28" hidden="1" x14ac:dyDescent="0.3">
      <c r="A2068" s="117"/>
      <c r="C2068" s="68" t="s">
        <v>57</v>
      </c>
      <c r="D2068" s="87" t="s">
        <v>58</v>
      </c>
      <c r="E2068" s="85">
        <f>STATS1003B!E2072/1000</f>
        <v>2881.3539999999998</v>
      </c>
      <c r="F2068" s="85">
        <f>STATS1003B!F2072/1000</f>
        <v>2881.3539999999998</v>
      </c>
      <c r="G2068" s="85">
        <f>STATS1003B!G2072/1000</f>
        <v>0</v>
      </c>
      <c r="H2068" s="85">
        <f>STATS1003B!H2072/1000</f>
        <v>2881.3539999999998</v>
      </c>
      <c r="I2068" s="85">
        <f>STATS1003B!I2072/1000</f>
        <v>0</v>
      </c>
      <c r="J2068" s="85">
        <f>STATS1003B!J2072/1000</f>
        <v>0</v>
      </c>
      <c r="K2068" s="85">
        <f>STATS1003B!K2072/1000</f>
        <v>0</v>
      </c>
      <c r="L2068" s="85">
        <f>STATS1003B!L2072/1000</f>
        <v>0</v>
      </c>
      <c r="M2068" s="85">
        <f>STATS1003B!M2072/1000</f>
        <v>2881.3539999999998</v>
      </c>
      <c r="N2068" s="85">
        <f>STATS1003B!N2072/1000</f>
        <v>0</v>
      </c>
      <c r="O2068" s="85">
        <f>STATS1003B!O2072/1000</f>
        <v>0</v>
      </c>
      <c r="P2068" s="85">
        <f>STATS1003B!P2072/1000</f>
        <v>0</v>
      </c>
      <c r="Q2068" s="85">
        <f>STATS1003B!Q2072/1000</f>
        <v>0</v>
      </c>
      <c r="R2068" s="85">
        <f>STATS1003B!R2072/1000</f>
        <v>0</v>
      </c>
      <c r="S2068" s="85">
        <f>STATS1003B!S2072/1000</f>
        <v>0</v>
      </c>
      <c r="T2068" s="85">
        <f>STATS1003B!T2072/1000</f>
        <v>0</v>
      </c>
      <c r="U2068" s="85">
        <f>STATS1003B!U2072/1000</f>
        <v>0</v>
      </c>
      <c r="V2068" s="85">
        <f>STATS1003B!V2072/1000</f>
        <v>2881.3539999999998</v>
      </c>
      <c r="W2068" s="85">
        <f>STATS1003B!W2072/1000</f>
        <v>0</v>
      </c>
      <c r="X2068" s="85">
        <f t="shared" si="229"/>
        <v>2881.3539999999998</v>
      </c>
      <c r="Y2068" s="85">
        <f>STATS1003B!Y2072/1000</f>
        <v>0</v>
      </c>
      <c r="Z2068" s="85">
        <f t="shared" si="227"/>
        <v>0</v>
      </c>
      <c r="AA2068" s="69">
        <f>STATS1003B!AA2072/1000</f>
        <v>2881.3539999999998</v>
      </c>
      <c r="AB2068" s="69">
        <f>STATS1003B!AB2072/1000</f>
        <v>0</v>
      </c>
    </row>
    <row r="2069" spans="1:28" hidden="1" x14ac:dyDescent="0.3">
      <c r="A2069" s="117"/>
      <c r="C2069" s="68" t="s">
        <v>57</v>
      </c>
      <c r="D2069" s="87" t="s">
        <v>60</v>
      </c>
      <c r="E2069" s="85">
        <f>STATS1003B!E2073/1000</f>
        <v>4459.8909999999996</v>
      </c>
      <c r="F2069" s="85">
        <f>STATS1003B!F2073/1000</f>
        <v>4459.8909999999996</v>
      </c>
      <c r="G2069" s="85">
        <f>STATS1003B!G2073/1000</f>
        <v>0</v>
      </c>
      <c r="H2069" s="85">
        <f>STATS1003B!H2073/1000</f>
        <v>4459.8909999999996</v>
      </c>
      <c r="I2069" s="85">
        <f>STATS1003B!I2073/1000</f>
        <v>0</v>
      </c>
      <c r="J2069" s="85">
        <f>STATS1003B!J2073/1000</f>
        <v>0</v>
      </c>
      <c r="K2069" s="85">
        <f>STATS1003B!K2073/1000</f>
        <v>0</v>
      </c>
      <c r="L2069" s="85">
        <f>STATS1003B!L2073/1000</f>
        <v>0</v>
      </c>
      <c r="M2069" s="85">
        <f>STATS1003B!M2073/1000</f>
        <v>4459.8909999999996</v>
      </c>
      <c r="N2069" s="85">
        <f>STATS1003B!N2073/1000</f>
        <v>0</v>
      </c>
      <c r="O2069" s="85">
        <f>STATS1003B!O2073/1000</f>
        <v>0</v>
      </c>
      <c r="P2069" s="85">
        <f>STATS1003B!P2073/1000</f>
        <v>0</v>
      </c>
      <c r="Q2069" s="85">
        <f>STATS1003B!Q2073/1000</f>
        <v>0</v>
      </c>
      <c r="R2069" s="85">
        <f>STATS1003B!R2073/1000</f>
        <v>0</v>
      </c>
      <c r="S2069" s="85">
        <f>STATS1003B!S2073/1000</f>
        <v>0</v>
      </c>
      <c r="T2069" s="85">
        <f>STATS1003B!T2073/1000</f>
        <v>0</v>
      </c>
      <c r="U2069" s="85">
        <f>STATS1003B!U2073/1000</f>
        <v>0</v>
      </c>
      <c r="V2069" s="85">
        <f>STATS1003B!V2073/1000</f>
        <v>4459.8909999999996</v>
      </c>
      <c r="W2069" s="85">
        <f>STATS1003B!W2073/1000</f>
        <v>0</v>
      </c>
      <c r="X2069" s="85">
        <f t="shared" si="229"/>
        <v>4459.8909999999996</v>
      </c>
      <c r="Y2069" s="85">
        <f>STATS1003B!Y2073/1000</f>
        <v>0</v>
      </c>
      <c r="Z2069" s="85">
        <f t="shared" si="227"/>
        <v>0</v>
      </c>
      <c r="AA2069" s="69">
        <f>STATS1003B!AA2073/1000</f>
        <v>4459.8909999999996</v>
      </c>
      <c r="AB2069" s="69">
        <f>STATS1003B!AB2073/1000</f>
        <v>0</v>
      </c>
    </row>
    <row r="2070" spans="1:28" hidden="1" x14ac:dyDescent="0.3">
      <c r="A2070" s="117"/>
      <c r="C2070" s="68" t="s">
        <v>380</v>
      </c>
      <c r="E2070" s="85">
        <f>STATS1003B!E2074/1000</f>
        <v>1168</v>
      </c>
      <c r="F2070" s="85">
        <f>STATS1003B!F2074/1000</f>
        <v>1168</v>
      </c>
      <c r="G2070" s="85">
        <f>STATS1003B!G2074/1000</f>
        <v>0</v>
      </c>
      <c r="H2070" s="85">
        <f>STATS1003B!H2074/1000</f>
        <v>1168</v>
      </c>
      <c r="I2070" s="85">
        <f>STATS1003B!I2074/1000</f>
        <v>0</v>
      </c>
      <c r="J2070" s="85">
        <f>STATS1003B!J2074/1000</f>
        <v>0</v>
      </c>
      <c r="K2070" s="85">
        <f>STATS1003B!K2074/1000</f>
        <v>0</v>
      </c>
      <c r="L2070" s="85">
        <f>STATS1003B!L2074/1000</f>
        <v>0</v>
      </c>
      <c r="M2070" s="85">
        <f>STATS1003B!M2074/1000</f>
        <v>1168</v>
      </c>
      <c r="N2070" s="85">
        <f>STATS1003B!N2074/1000</f>
        <v>0</v>
      </c>
      <c r="O2070" s="85">
        <f>STATS1003B!O2074/1000</f>
        <v>0</v>
      </c>
      <c r="P2070" s="85">
        <f>STATS1003B!P2074/1000</f>
        <v>0</v>
      </c>
      <c r="Q2070" s="85">
        <f>STATS1003B!Q2074/1000</f>
        <v>0</v>
      </c>
      <c r="R2070" s="85">
        <f>STATS1003B!R2074/1000</f>
        <v>0</v>
      </c>
      <c r="S2070" s="85">
        <f>STATS1003B!S2074/1000</f>
        <v>0</v>
      </c>
      <c r="T2070" s="85">
        <f>STATS1003B!T2074/1000</f>
        <v>0</v>
      </c>
      <c r="U2070" s="85">
        <f>STATS1003B!U2074/1000</f>
        <v>0</v>
      </c>
      <c r="V2070" s="85">
        <f>STATS1003B!V2074/1000</f>
        <v>1168</v>
      </c>
      <c r="W2070" s="85">
        <f>STATS1003B!W2074/1000</f>
        <v>0</v>
      </c>
      <c r="X2070" s="85">
        <f t="shared" si="229"/>
        <v>1168</v>
      </c>
      <c r="Y2070" s="85">
        <f>STATS1003B!Y2074/1000</f>
        <v>0</v>
      </c>
      <c r="Z2070" s="85">
        <f t="shared" si="227"/>
        <v>0</v>
      </c>
      <c r="AA2070" s="69">
        <f>STATS1003B!AA2074/1000</f>
        <v>1168</v>
      </c>
      <c r="AB2070" s="69">
        <f>STATS1003B!AB2074/1000</f>
        <v>0</v>
      </c>
    </row>
    <row r="2071" spans="1:28" hidden="1" x14ac:dyDescent="0.3">
      <c r="A2071" s="117"/>
      <c r="C2071" s="71" t="s">
        <v>109</v>
      </c>
      <c r="D2071" s="88" t="s">
        <v>60</v>
      </c>
      <c r="E2071" s="85">
        <f>STATS1003B!E2075/1000</f>
        <v>2500</v>
      </c>
      <c r="F2071" s="85">
        <f>STATS1003B!F2075/1000</f>
        <v>2500</v>
      </c>
      <c r="G2071" s="85">
        <f>STATS1003B!G2075/1000</f>
        <v>0</v>
      </c>
      <c r="H2071" s="85">
        <f>STATS1003B!H2075/1000</f>
        <v>2500</v>
      </c>
      <c r="I2071" s="85">
        <f>STATS1003B!I2075/1000</f>
        <v>0</v>
      </c>
      <c r="J2071" s="85">
        <f>STATS1003B!J2075/1000</f>
        <v>0</v>
      </c>
      <c r="K2071" s="85">
        <f>STATS1003B!K2075/1000</f>
        <v>0</v>
      </c>
      <c r="L2071" s="85">
        <f>STATS1003B!L2075/1000</f>
        <v>0</v>
      </c>
      <c r="M2071" s="85">
        <f>STATS1003B!M2075/1000</f>
        <v>2500</v>
      </c>
      <c r="N2071" s="85">
        <f>STATS1003B!N2075/1000</f>
        <v>0</v>
      </c>
      <c r="O2071" s="85">
        <f>STATS1003B!O2075/1000</f>
        <v>0</v>
      </c>
      <c r="P2071" s="85">
        <f>STATS1003B!P2075/1000</f>
        <v>0</v>
      </c>
      <c r="Q2071" s="85">
        <f>STATS1003B!Q2075/1000</f>
        <v>0</v>
      </c>
      <c r="R2071" s="85">
        <f>STATS1003B!R2075/1000</f>
        <v>0</v>
      </c>
      <c r="S2071" s="85">
        <f>STATS1003B!S2075/1000</f>
        <v>0</v>
      </c>
      <c r="T2071" s="85">
        <f>STATS1003B!T2075/1000</f>
        <v>0</v>
      </c>
      <c r="U2071" s="85">
        <f>STATS1003B!U2075/1000</f>
        <v>0</v>
      </c>
      <c r="V2071" s="85">
        <f>STATS1003B!V2075/1000</f>
        <v>2500</v>
      </c>
      <c r="W2071" s="85">
        <f>STATS1003B!W2075/1000</f>
        <v>0</v>
      </c>
      <c r="X2071" s="85">
        <f t="shared" si="229"/>
        <v>2500</v>
      </c>
      <c r="Y2071" s="85">
        <f>STATS1003B!Y2075/1000</f>
        <v>0</v>
      </c>
      <c r="Z2071" s="85">
        <f t="shared" si="227"/>
        <v>0</v>
      </c>
      <c r="AA2071" s="69">
        <f>STATS1003B!AA2075/1000</f>
        <v>2500</v>
      </c>
      <c r="AB2071" s="69">
        <f>STATS1003B!AB2075/1000</f>
        <v>0</v>
      </c>
    </row>
    <row r="2072" spans="1:28" hidden="1" x14ac:dyDescent="0.3">
      <c r="A2072" s="117"/>
      <c r="C2072" s="68" t="s">
        <v>381</v>
      </c>
      <c r="D2072" s="87" t="s">
        <v>73</v>
      </c>
      <c r="E2072" s="85">
        <f>STATS1003B!E2076/1000</f>
        <v>10524.961369999999</v>
      </c>
      <c r="F2072" s="85">
        <f>STATS1003B!F2076/1000</f>
        <v>7742.9669999999996</v>
      </c>
      <c r="G2072" s="85">
        <f>STATS1003B!G2076/1000</f>
        <v>0</v>
      </c>
      <c r="H2072" s="85">
        <f>STATS1003B!H2076/1000</f>
        <v>7742.9669999999996</v>
      </c>
      <c r="I2072" s="85">
        <f>STATS1003B!I2076/1000</f>
        <v>0</v>
      </c>
      <c r="J2072" s="85">
        <f>STATS1003B!J2076/1000</f>
        <v>0</v>
      </c>
      <c r="K2072" s="85">
        <f>STATS1003B!K2076/1000</f>
        <v>0</v>
      </c>
      <c r="L2072" s="85">
        <f>STATS1003B!L2076/1000</f>
        <v>0</v>
      </c>
      <c r="M2072" s="85">
        <f>STATS1003B!M2076/1000</f>
        <v>7742.9669999999996</v>
      </c>
      <c r="N2072" s="85">
        <f>STATS1003B!N2076/1000</f>
        <v>0</v>
      </c>
      <c r="O2072" s="85">
        <f>STATS1003B!O2076/1000</f>
        <v>0</v>
      </c>
      <c r="P2072" s="85">
        <f>STATS1003B!P2076/1000</f>
        <v>0</v>
      </c>
      <c r="Q2072" s="85">
        <f>STATS1003B!Q2076/1000</f>
        <v>0</v>
      </c>
      <c r="R2072" s="85">
        <f>STATS1003B!R2076/1000</f>
        <v>0</v>
      </c>
      <c r="S2072" s="85">
        <f>STATS1003B!S2076/1000</f>
        <v>0</v>
      </c>
      <c r="T2072" s="85">
        <f>STATS1003B!T2076/1000</f>
        <v>0</v>
      </c>
      <c r="U2072" s="85">
        <f>STATS1003B!U2076/1000</f>
        <v>0</v>
      </c>
      <c r="V2072" s="85">
        <f>STATS1003B!V2076/1000</f>
        <v>7742.9669999999996</v>
      </c>
      <c r="W2072" s="85">
        <f>STATS1003B!W2076/1000</f>
        <v>2781.994369999999</v>
      </c>
      <c r="X2072" s="85">
        <f t="shared" si="229"/>
        <v>7742.9669999999996</v>
      </c>
      <c r="Y2072" s="85">
        <f>STATS1003B!Y2076/1000</f>
        <v>0</v>
      </c>
      <c r="Z2072" s="85">
        <f t="shared" si="227"/>
        <v>2781.9943699999994</v>
      </c>
      <c r="AA2072" s="69">
        <f>STATS1003B!AA2076/1000</f>
        <v>7742.9669999999996</v>
      </c>
      <c r="AB2072" s="69">
        <f>STATS1003B!AB2076/1000</f>
        <v>2781.994369999999</v>
      </c>
    </row>
    <row r="2073" spans="1:28" hidden="1" x14ac:dyDescent="0.3">
      <c r="A2073" s="117"/>
      <c r="C2073" s="71" t="s">
        <v>382</v>
      </c>
      <c r="D2073" s="87" t="s">
        <v>73</v>
      </c>
      <c r="E2073" s="85">
        <f>STATS1003B!E2077/1000</f>
        <v>10070.736000000001</v>
      </c>
      <c r="F2073" s="85">
        <f>STATS1003B!F2077/1000</f>
        <v>10070.736000000001</v>
      </c>
      <c r="G2073" s="85">
        <f>STATS1003B!G2077/1000</f>
        <v>0</v>
      </c>
      <c r="H2073" s="85">
        <f>STATS1003B!H2077/1000</f>
        <v>10070.736000000001</v>
      </c>
      <c r="I2073" s="85">
        <f>STATS1003B!I2077/1000</f>
        <v>0</v>
      </c>
      <c r="J2073" s="85">
        <f>STATS1003B!J2077/1000</f>
        <v>0</v>
      </c>
      <c r="K2073" s="85">
        <f>STATS1003B!K2077/1000</f>
        <v>0</v>
      </c>
      <c r="L2073" s="85">
        <f>STATS1003B!L2077/1000</f>
        <v>0</v>
      </c>
      <c r="M2073" s="85">
        <f>STATS1003B!M2077/1000</f>
        <v>10070.736000000001</v>
      </c>
      <c r="N2073" s="85">
        <f>STATS1003B!N2077/1000</f>
        <v>0</v>
      </c>
      <c r="O2073" s="85">
        <f>STATS1003B!O2077/1000</f>
        <v>0</v>
      </c>
      <c r="P2073" s="85">
        <f>STATS1003B!P2077/1000</f>
        <v>0</v>
      </c>
      <c r="Q2073" s="85">
        <f>STATS1003B!Q2077/1000</f>
        <v>0</v>
      </c>
      <c r="R2073" s="85">
        <f>STATS1003B!R2077/1000</f>
        <v>0</v>
      </c>
      <c r="S2073" s="85">
        <f>STATS1003B!S2077/1000</f>
        <v>0</v>
      </c>
      <c r="T2073" s="85">
        <f>STATS1003B!T2077/1000</f>
        <v>0</v>
      </c>
      <c r="U2073" s="85">
        <f>STATS1003B!U2077/1000</f>
        <v>0</v>
      </c>
      <c r="V2073" s="85">
        <f>STATS1003B!V2077/1000</f>
        <v>10070.736000000001</v>
      </c>
      <c r="W2073" s="85">
        <f>STATS1003B!W2077/1000</f>
        <v>0</v>
      </c>
      <c r="X2073" s="85">
        <f t="shared" si="229"/>
        <v>10070.736000000001</v>
      </c>
      <c r="Y2073" s="85">
        <f>STATS1003B!Y2077/1000</f>
        <v>0</v>
      </c>
      <c r="Z2073" s="85">
        <f t="shared" si="227"/>
        <v>0</v>
      </c>
      <c r="AA2073" s="69">
        <f>STATS1003B!AA2077/1000</f>
        <v>10070.736000000001</v>
      </c>
      <c r="AB2073" s="69">
        <f>STATS1003B!AB2077/1000</f>
        <v>0</v>
      </c>
    </row>
    <row r="2074" spans="1:28" hidden="1" x14ac:dyDescent="0.3">
      <c r="A2074" s="117"/>
      <c r="C2074" s="71" t="s">
        <v>930</v>
      </c>
      <c r="D2074" s="90" t="s">
        <v>1072</v>
      </c>
      <c r="E2074" s="85">
        <f>STATS1003B!E2078/1000</f>
        <v>2658</v>
      </c>
      <c r="F2074" s="85">
        <f>STATS1003B!F2078/1000</f>
        <v>2658</v>
      </c>
      <c r="G2074" s="85">
        <f>STATS1003B!G2078/1000</f>
        <v>0</v>
      </c>
      <c r="H2074" s="85">
        <f>STATS1003B!H2078/1000</f>
        <v>2658</v>
      </c>
      <c r="I2074" s="85">
        <f>STATS1003B!I2078/1000</f>
        <v>0</v>
      </c>
      <c r="J2074" s="85">
        <f>STATS1003B!J2078/1000</f>
        <v>0</v>
      </c>
      <c r="K2074" s="85">
        <f>STATS1003B!K2078/1000</f>
        <v>0</v>
      </c>
      <c r="L2074" s="85">
        <f>STATS1003B!L2078/1000</f>
        <v>0</v>
      </c>
      <c r="M2074" s="85">
        <f>STATS1003B!M2078/1000</f>
        <v>2658</v>
      </c>
      <c r="N2074" s="85">
        <f>STATS1003B!N2078/1000</f>
        <v>0</v>
      </c>
      <c r="O2074" s="85">
        <f>STATS1003B!O2078/1000</f>
        <v>0</v>
      </c>
      <c r="P2074" s="85">
        <f>STATS1003B!P2078/1000</f>
        <v>0</v>
      </c>
      <c r="Q2074" s="85">
        <f>STATS1003B!Q2078/1000</f>
        <v>0</v>
      </c>
      <c r="R2074" s="85">
        <f>STATS1003B!R2078/1000</f>
        <v>0</v>
      </c>
      <c r="S2074" s="85">
        <f>STATS1003B!S2078/1000</f>
        <v>0</v>
      </c>
      <c r="T2074" s="85">
        <f>STATS1003B!T2078/1000</f>
        <v>0</v>
      </c>
      <c r="U2074" s="85">
        <f>STATS1003B!U2078/1000</f>
        <v>0</v>
      </c>
      <c r="V2074" s="85">
        <f>STATS1003B!V2078/1000</f>
        <v>2658</v>
      </c>
      <c r="W2074" s="85">
        <f>STATS1003B!W2078/1000</f>
        <v>0</v>
      </c>
      <c r="X2074" s="85">
        <f t="shared" si="229"/>
        <v>2658</v>
      </c>
      <c r="Y2074" s="85">
        <f>STATS1003B!Y2078/1000</f>
        <v>0</v>
      </c>
      <c r="Z2074" s="85">
        <f t="shared" si="227"/>
        <v>0</v>
      </c>
      <c r="AA2074" s="69">
        <f>STATS1003B!AA2078/1000</f>
        <v>2658</v>
      </c>
      <c r="AB2074" s="69">
        <f>STATS1003B!AB2078/1000</f>
        <v>0</v>
      </c>
    </row>
    <row r="2075" spans="1:28" hidden="1" x14ac:dyDescent="0.3">
      <c r="A2075" s="117"/>
      <c r="C2075" s="71" t="s">
        <v>1176</v>
      </c>
      <c r="D2075" s="90" t="s">
        <v>1126</v>
      </c>
      <c r="E2075" s="85">
        <f>STATS1003B!E2079/1000</f>
        <v>10085.93139</v>
      </c>
      <c r="F2075" s="85">
        <f>STATS1003B!F2079/1000</f>
        <v>10085.93139</v>
      </c>
      <c r="G2075" s="85">
        <f>STATS1003B!G2079/1000</f>
        <v>0</v>
      </c>
      <c r="H2075" s="85">
        <f>STATS1003B!H2079/1000</f>
        <v>10085.93139</v>
      </c>
      <c r="I2075" s="85">
        <f>STATS1003B!I2079/1000</f>
        <v>0</v>
      </c>
      <c r="J2075" s="85">
        <f>STATS1003B!J2079/1000</f>
        <v>0</v>
      </c>
      <c r="K2075" s="85">
        <f>STATS1003B!K2079/1000</f>
        <v>0</v>
      </c>
      <c r="L2075" s="85">
        <f>STATS1003B!L2079/1000</f>
        <v>0</v>
      </c>
      <c r="M2075" s="85">
        <f>STATS1003B!M2079/1000</f>
        <v>10085.93139</v>
      </c>
      <c r="N2075" s="85">
        <f>STATS1003B!N2079/1000</f>
        <v>0</v>
      </c>
      <c r="O2075" s="85">
        <f>STATS1003B!O2079/1000</f>
        <v>0</v>
      </c>
      <c r="P2075" s="85">
        <f>STATS1003B!P2079/1000</f>
        <v>0</v>
      </c>
      <c r="Q2075" s="85">
        <f>STATS1003B!Q2079/1000</f>
        <v>0</v>
      </c>
      <c r="R2075" s="85">
        <f>STATS1003B!R2079/1000</f>
        <v>0</v>
      </c>
      <c r="S2075" s="85">
        <f>STATS1003B!S2079/1000</f>
        <v>0</v>
      </c>
      <c r="T2075" s="85">
        <f>STATS1003B!T2079/1000</f>
        <v>0</v>
      </c>
      <c r="U2075" s="85">
        <f>STATS1003B!U2079/1000</f>
        <v>0</v>
      </c>
      <c r="V2075" s="85">
        <f>STATS1003B!V2079/1000</f>
        <v>10085.93139</v>
      </c>
      <c r="W2075" s="85">
        <f>STATS1003B!W2079/1000</f>
        <v>0</v>
      </c>
      <c r="X2075" s="85">
        <f t="shared" si="229"/>
        <v>10085.93139</v>
      </c>
      <c r="Y2075" s="85">
        <f>STATS1003B!Y2079/1000</f>
        <v>0</v>
      </c>
      <c r="Z2075" s="85">
        <f>+E2075-X2075</f>
        <v>0</v>
      </c>
      <c r="AA2075" s="69">
        <f>STATS1003B!AA2079/1000</f>
        <v>10085.93139</v>
      </c>
      <c r="AB2075" s="69">
        <f>STATS1003B!AB2079/1000</f>
        <v>0</v>
      </c>
    </row>
    <row r="2076" spans="1:28" hidden="1" x14ac:dyDescent="0.3">
      <c r="A2076" s="117"/>
      <c r="C2076" s="71" t="s">
        <v>1220</v>
      </c>
      <c r="D2076" s="90" t="s">
        <v>1126</v>
      </c>
      <c r="E2076" s="85">
        <f>STATS1003B!E2080/1000</f>
        <v>1000</v>
      </c>
      <c r="F2076" s="85">
        <f>STATS1003B!F2080/1000</f>
        <v>1000</v>
      </c>
      <c r="G2076" s="85">
        <f>STATS1003B!G2080/1000</f>
        <v>0</v>
      </c>
      <c r="H2076" s="85">
        <f>STATS1003B!H2080/1000</f>
        <v>1000</v>
      </c>
      <c r="I2076" s="85">
        <f>STATS1003B!I2080/1000</f>
        <v>0</v>
      </c>
      <c r="J2076" s="85">
        <f>STATS1003B!J2080/1000</f>
        <v>0</v>
      </c>
      <c r="K2076" s="85">
        <f>STATS1003B!K2080/1000</f>
        <v>0</v>
      </c>
      <c r="L2076" s="85">
        <f>STATS1003B!L2080/1000</f>
        <v>0</v>
      </c>
      <c r="M2076" s="85">
        <f>STATS1003B!M2080/1000</f>
        <v>1000</v>
      </c>
      <c r="N2076" s="85">
        <f>STATS1003B!N2080/1000</f>
        <v>0</v>
      </c>
      <c r="O2076" s="85">
        <f>STATS1003B!O2080/1000</f>
        <v>0</v>
      </c>
      <c r="P2076" s="85">
        <f>STATS1003B!P2080/1000</f>
        <v>0</v>
      </c>
      <c r="Q2076" s="85">
        <f>STATS1003B!Q2080/1000</f>
        <v>0</v>
      </c>
      <c r="R2076" s="85">
        <f>STATS1003B!R2080/1000</f>
        <v>0</v>
      </c>
      <c r="S2076" s="85">
        <f>STATS1003B!S2080/1000</f>
        <v>0</v>
      </c>
      <c r="T2076" s="85">
        <f>STATS1003B!T2080/1000</f>
        <v>0</v>
      </c>
      <c r="U2076" s="85">
        <f>STATS1003B!U2080/1000</f>
        <v>0</v>
      </c>
      <c r="V2076" s="85">
        <f>STATS1003B!V2080/1000</f>
        <v>1000</v>
      </c>
      <c r="W2076" s="85">
        <f>STATS1003B!W2080/1000</f>
        <v>0</v>
      </c>
      <c r="X2076" s="85">
        <f t="shared" si="229"/>
        <v>1000</v>
      </c>
      <c r="Y2076" s="85">
        <f>STATS1003B!Y2080/1000</f>
        <v>0</v>
      </c>
      <c r="Z2076" s="85">
        <f>+E2076-X2076</f>
        <v>0</v>
      </c>
      <c r="AA2076" s="69">
        <f>STATS1003B!AA2080/1000</f>
        <v>1000</v>
      </c>
      <c r="AB2076" s="69">
        <f>STATS1003B!AB2080/1000</f>
        <v>0</v>
      </c>
    </row>
    <row r="2077" spans="1:28" hidden="1" x14ac:dyDescent="0.3">
      <c r="A2077" s="117"/>
      <c r="C2077" s="68" t="s">
        <v>57</v>
      </c>
      <c r="D2077" s="90" t="s">
        <v>61</v>
      </c>
      <c r="E2077" s="85">
        <f>STATS1003B!E2081/1000</f>
        <v>4085</v>
      </c>
      <c r="F2077" s="85">
        <f>STATS1003B!F2081/1000</f>
        <v>4085</v>
      </c>
      <c r="G2077" s="85">
        <f>STATS1003B!G2081/1000</f>
        <v>0</v>
      </c>
      <c r="H2077" s="85">
        <f>STATS1003B!H2081/1000</f>
        <v>4085</v>
      </c>
      <c r="I2077" s="85">
        <f>STATS1003B!I2081/1000</f>
        <v>0</v>
      </c>
      <c r="J2077" s="85">
        <f>STATS1003B!J2081/1000</f>
        <v>0</v>
      </c>
      <c r="K2077" s="85">
        <f>STATS1003B!K2081/1000</f>
        <v>0</v>
      </c>
      <c r="L2077" s="85">
        <f>STATS1003B!L2081/1000</f>
        <v>0</v>
      </c>
      <c r="M2077" s="85">
        <f>STATS1003B!M2081/1000</f>
        <v>4085</v>
      </c>
      <c r="N2077" s="85">
        <f>STATS1003B!N2081/1000</f>
        <v>0</v>
      </c>
      <c r="O2077" s="85">
        <f>STATS1003B!O2081/1000</f>
        <v>0</v>
      </c>
      <c r="P2077" s="85">
        <f>STATS1003B!P2081/1000</f>
        <v>0</v>
      </c>
      <c r="Q2077" s="85">
        <f>STATS1003B!Q2081/1000</f>
        <v>0</v>
      </c>
      <c r="R2077" s="85">
        <f>STATS1003B!R2081/1000</f>
        <v>0</v>
      </c>
      <c r="S2077" s="85">
        <f>STATS1003B!S2081/1000</f>
        <v>0</v>
      </c>
      <c r="T2077" s="85">
        <f>STATS1003B!T2081/1000</f>
        <v>0</v>
      </c>
      <c r="U2077" s="85">
        <f>STATS1003B!U2081/1000</f>
        <v>0</v>
      </c>
      <c r="V2077" s="85">
        <f>STATS1003B!V2081/1000</f>
        <v>4085</v>
      </c>
      <c r="W2077" s="85">
        <f>STATS1003B!W2081/1000</f>
        <v>0</v>
      </c>
      <c r="X2077" s="85">
        <f t="shared" si="229"/>
        <v>4085</v>
      </c>
      <c r="Y2077" s="85">
        <f>STATS1003B!Y2081/1000</f>
        <v>0</v>
      </c>
      <c r="Z2077" s="85">
        <f>+E2077-X2077</f>
        <v>0</v>
      </c>
      <c r="AA2077" s="69">
        <f>STATS1003B!AA2081/1000</f>
        <v>4085</v>
      </c>
      <c r="AB2077" s="69">
        <f>STATS1003B!AB2081/1000</f>
        <v>0</v>
      </c>
    </row>
    <row r="2078" spans="1:28" hidden="1" x14ac:dyDescent="0.3">
      <c r="A2078" s="117"/>
      <c r="E2078" s="86" t="s">
        <v>29</v>
      </c>
      <c r="F2078" s="86" t="s">
        <v>29</v>
      </c>
      <c r="G2078" s="86" t="s">
        <v>29</v>
      </c>
      <c r="H2078" s="86" t="s">
        <v>29</v>
      </c>
      <c r="I2078" s="86" t="s">
        <v>29</v>
      </c>
      <c r="J2078" s="86" t="s">
        <v>29</v>
      </c>
      <c r="K2078" s="86" t="s">
        <v>29</v>
      </c>
      <c r="L2078" s="86" t="s">
        <v>29</v>
      </c>
      <c r="M2078" s="86" t="s">
        <v>29</v>
      </c>
      <c r="N2078" s="86" t="s">
        <v>29</v>
      </c>
      <c r="O2078" s="86" t="s">
        <v>29</v>
      </c>
      <c r="P2078" s="86" t="s">
        <v>29</v>
      </c>
      <c r="Q2078" s="86" t="s">
        <v>29</v>
      </c>
      <c r="R2078" s="86" t="s">
        <v>29</v>
      </c>
      <c r="S2078" s="86" t="s">
        <v>29</v>
      </c>
      <c r="T2078" s="86" t="s">
        <v>29</v>
      </c>
      <c r="U2078" s="86" t="s">
        <v>29</v>
      </c>
      <c r="V2078" s="86" t="s">
        <v>29</v>
      </c>
      <c r="W2078" s="86" t="s">
        <v>29</v>
      </c>
      <c r="X2078" s="85" t="e">
        <f t="shared" si="229"/>
        <v>#VALUE!</v>
      </c>
      <c r="Y2078" s="86" t="s">
        <v>29</v>
      </c>
      <c r="Z2078" s="85" t="e">
        <f>+E2078-X2078</f>
        <v>#VALUE!</v>
      </c>
      <c r="AA2078" s="115" t="s">
        <v>29</v>
      </c>
      <c r="AB2078" s="115" t="s">
        <v>29</v>
      </c>
    </row>
    <row r="2079" spans="1:28" x14ac:dyDescent="0.3">
      <c r="A2079" s="116">
        <v>91</v>
      </c>
      <c r="B2079" s="68" t="s">
        <v>376</v>
      </c>
      <c r="E2079" s="85">
        <f>165441212.82/1000</f>
        <v>165441.21281999999</v>
      </c>
      <c r="F2079" s="85">
        <f t="shared" ref="F2079:AB2079" si="231">SUM(F2062:F2077)</f>
        <v>77589.178199999995</v>
      </c>
      <c r="G2079" s="85">
        <f t="shared" si="231"/>
        <v>0</v>
      </c>
      <c r="H2079" s="85">
        <f>158585611/1000</f>
        <v>158585.611</v>
      </c>
      <c r="I2079" s="85">
        <f t="shared" si="231"/>
        <v>0</v>
      </c>
      <c r="J2079" s="85">
        <f t="shared" si="231"/>
        <v>0</v>
      </c>
      <c r="K2079" s="85">
        <f t="shared" si="231"/>
        <v>0</v>
      </c>
      <c r="L2079" s="85">
        <f t="shared" si="231"/>
        <v>0</v>
      </c>
      <c r="M2079" s="85">
        <f t="shared" si="231"/>
        <v>77589.178199999995</v>
      </c>
      <c r="N2079" s="85">
        <f t="shared" si="231"/>
        <v>4073.60745</v>
      </c>
      <c r="O2079" s="85">
        <f t="shared" si="231"/>
        <v>0</v>
      </c>
      <c r="P2079" s="85">
        <f>4073607/1000</f>
        <v>4073.607</v>
      </c>
      <c r="Q2079" s="85">
        <f t="shared" si="231"/>
        <v>0</v>
      </c>
      <c r="R2079" s="85">
        <f t="shared" si="231"/>
        <v>0</v>
      </c>
      <c r="S2079" s="85">
        <f t="shared" si="231"/>
        <v>0</v>
      </c>
      <c r="T2079" s="85">
        <f t="shared" si="231"/>
        <v>0</v>
      </c>
      <c r="U2079" s="85">
        <f t="shared" si="231"/>
        <v>4073.60745</v>
      </c>
      <c r="V2079" s="85">
        <f t="shared" si="231"/>
        <v>81662.785649999991</v>
      </c>
      <c r="W2079" s="85">
        <f t="shared" si="231"/>
        <v>2781.994369999999</v>
      </c>
      <c r="X2079" s="85">
        <f t="shared" si="229"/>
        <v>162659.21799999999</v>
      </c>
      <c r="Y2079" s="85">
        <f t="shared" si="231"/>
        <v>0</v>
      </c>
      <c r="Z2079" s="85">
        <f>+E2079-X2079</f>
        <v>2781.9948199999926</v>
      </c>
      <c r="AA2079" s="69">
        <f t="shared" si="231"/>
        <v>81662.785649999991</v>
      </c>
      <c r="AB2079" s="69">
        <f t="shared" si="231"/>
        <v>2781.994369999999</v>
      </c>
    </row>
    <row r="2080" spans="1:28" x14ac:dyDescent="0.3">
      <c r="A2080" s="117"/>
      <c r="E2080" s="86"/>
      <c r="F2080" s="86"/>
      <c r="G2080" s="86"/>
      <c r="H2080" s="86"/>
      <c r="I2080" s="86"/>
      <c r="J2080" s="86"/>
      <c r="K2080" s="86"/>
      <c r="L2080" s="86"/>
      <c r="M2080" s="86"/>
      <c r="N2080" s="86"/>
      <c r="O2080" s="86"/>
      <c r="P2080" s="86"/>
      <c r="Q2080" s="86"/>
      <c r="R2080" s="86"/>
      <c r="S2080" s="86"/>
      <c r="T2080" s="86"/>
      <c r="U2080" s="86"/>
      <c r="V2080" s="86"/>
      <c r="W2080" s="86"/>
      <c r="X2080" s="86"/>
      <c r="Y2080" s="86"/>
      <c r="Z2080" s="86"/>
      <c r="AA2080" s="115" t="s">
        <v>29</v>
      </c>
      <c r="AB2080" s="115" t="s">
        <v>29</v>
      </c>
    </row>
    <row r="2081" spans="1:28" s="106" customFormat="1" x14ac:dyDescent="0.3">
      <c r="A2081" s="104"/>
      <c r="B2081" s="8"/>
      <c r="C2081" s="7" t="s">
        <v>3</v>
      </c>
      <c r="D2081" s="8"/>
      <c r="E2081" s="82">
        <f t="shared" ref="E2081:AB2081" si="232">E2079+E2059+E2037+E2011+E1987</f>
        <v>1166608.2430699999</v>
      </c>
      <c r="F2081" s="82">
        <f t="shared" si="232"/>
        <v>430445.21671999997</v>
      </c>
      <c r="G2081" s="82">
        <f t="shared" si="232"/>
        <v>50339.069739999992</v>
      </c>
      <c r="H2081" s="82">
        <f t="shared" si="232"/>
        <v>1143227.0144400001</v>
      </c>
      <c r="I2081" s="82">
        <f t="shared" si="232"/>
        <v>31772.640639999998</v>
      </c>
      <c r="J2081" s="82">
        <f t="shared" si="232"/>
        <v>31772.640639999998</v>
      </c>
      <c r="K2081" s="82">
        <f t="shared" si="232"/>
        <v>0</v>
      </c>
      <c r="L2081" s="82">
        <f t="shared" si="232"/>
        <v>0</v>
      </c>
      <c r="M2081" s="82">
        <f t="shared" si="232"/>
        <v>480784.28645999992</v>
      </c>
      <c r="N2081" s="82">
        <f t="shared" si="232"/>
        <v>20416.580629999997</v>
      </c>
      <c r="O2081" s="82">
        <f t="shared" si="232"/>
        <v>0</v>
      </c>
      <c r="P2081" s="82">
        <f t="shared" si="232"/>
        <v>20416.577999999998</v>
      </c>
      <c r="Q2081" s="82">
        <f t="shared" si="232"/>
        <v>102.65309999999999</v>
      </c>
      <c r="R2081" s="82">
        <f t="shared" si="232"/>
        <v>0</v>
      </c>
      <c r="S2081" s="82">
        <f t="shared" si="232"/>
        <v>0</v>
      </c>
      <c r="T2081" s="82">
        <f t="shared" si="232"/>
        <v>102.65309999999999</v>
      </c>
      <c r="U2081" s="82">
        <f t="shared" si="232"/>
        <v>20519.23373</v>
      </c>
      <c r="V2081" s="82">
        <f t="shared" si="232"/>
        <v>402616.20144999999</v>
      </c>
      <c r="W2081" s="82">
        <f t="shared" si="232"/>
        <v>2964.6474700000008</v>
      </c>
      <c r="X2081" s="82">
        <f t="shared" si="232"/>
        <v>1163643.59244</v>
      </c>
      <c r="Y2081" s="82">
        <f t="shared" si="232"/>
        <v>0</v>
      </c>
      <c r="Z2081" s="82">
        <f t="shared" si="232"/>
        <v>2964.6506299999382</v>
      </c>
      <c r="AA2081" s="9">
        <f t="shared" si="232"/>
        <v>501303.52018999995</v>
      </c>
      <c r="AB2081" s="9">
        <f t="shared" si="232"/>
        <v>2861.994369999999</v>
      </c>
    </row>
    <row r="2082" spans="1:28" x14ac:dyDescent="0.3">
      <c r="A2082" s="117"/>
      <c r="E2082" s="86"/>
      <c r="F2082" s="86"/>
      <c r="G2082" s="86"/>
      <c r="H2082" s="86"/>
      <c r="I2082" s="86"/>
      <c r="J2082" s="86"/>
      <c r="K2082" s="86"/>
      <c r="L2082" s="86"/>
      <c r="M2082" s="86"/>
      <c r="N2082" s="86"/>
      <c r="O2082" s="86"/>
      <c r="P2082" s="86"/>
      <c r="Q2082" s="86"/>
      <c r="R2082" s="86"/>
      <c r="S2082" s="86"/>
      <c r="T2082" s="86"/>
      <c r="U2082" s="86"/>
      <c r="V2082" s="86"/>
      <c r="W2082" s="86"/>
      <c r="X2082" s="86"/>
      <c r="Y2082" s="86"/>
      <c r="Z2082" s="86"/>
      <c r="AA2082" s="115" t="s">
        <v>114</v>
      </c>
      <c r="AB2082" s="115" t="s">
        <v>114</v>
      </c>
    </row>
    <row r="2083" spans="1:28" x14ac:dyDescent="0.3">
      <c r="A2083" s="117" t="s">
        <v>375</v>
      </c>
      <c r="B2083" s="68" t="s">
        <v>799</v>
      </c>
      <c r="E2083" s="84"/>
      <c r="F2083" s="84"/>
      <c r="G2083" s="84"/>
      <c r="H2083" s="84"/>
      <c r="I2083" s="84"/>
      <c r="J2083" s="84"/>
      <c r="K2083" s="84"/>
      <c r="L2083" s="84"/>
      <c r="M2083" s="84"/>
      <c r="N2083" s="84"/>
      <c r="O2083" s="84"/>
      <c r="P2083" s="84"/>
      <c r="Q2083" s="84"/>
      <c r="R2083" s="84"/>
      <c r="S2083" s="84"/>
      <c r="T2083" s="84"/>
      <c r="U2083" s="84"/>
      <c r="V2083" s="84"/>
      <c r="W2083" s="84"/>
      <c r="X2083" s="84"/>
      <c r="Y2083" s="84"/>
      <c r="Z2083" s="84"/>
      <c r="AA2083" s="118"/>
    </row>
    <row r="2084" spans="1:28" hidden="1" x14ac:dyDescent="0.3">
      <c r="A2084" s="117"/>
      <c r="B2084" s="68"/>
      <c r="E2084" s="84"/>
      <c r="F2084" s="84"/>
      <c r="G2084" s="84"/>
      <c r="H2084" s="84"/>
      <c r="I2084" s="84"/>
      <c r="J2084" s="84"/>
      <c r="K2084" s="84"/>
      <c r="L2084" s="84"/>
      <c r="M2084" s="84"/>
      <c r="N2084" s="84"/>
      <c r="O2084" s="84"/>
      <c r="P2084" s="84"/>
      <c r="Q2084" s="84"/>
      <c r="R2084" s="84"/>
      <c r="S2084" s="84"/>
      <c r="T2084" s="84"/>
      <c r="U2084" s="84"/>
      <c r="V2084" s="84"/>
      <c r="W2084" s="84"/>
      <c r="X2084" s="84"/>
      <c r="Y2084" s="84"/>
      <c r="Z2084" s="84"/>
    </row>
    <row r="2085" spans="1:28" hidden="1" x14ac:dyDescent="0.3">
      <c r="A2085" s="105"/>
      <c r="E2085" s="84"/>
      <c r="F2085" s="84"/>
      <c r="G2085" s="84"/>
      <c r="H2085" s="84"/>
      <c r="I2085" s="84"/>
      <c r="J2085" s="84"/>
      <c r="K2085" s="84"/>
      <c r="L2085" s="84"/>
      <c r="M2085" s="84"/>
      <c r="N2085" s="84"/>
      <c r="O2085" s="84"/>
      <c r="P2085" s="84"/>
      <c r="Q2085" s="84"/>
      <c r="R2085" s="84"/>
      <c r="S2085" s="84"/>
      <c r="T2085" s="84"/>
      <c r="U2085" s="84"/>
      <c r="V2085" s="84"/>
      <c r="W2085" s="84"/>
      <c r="X2085" s="84"/>
      <c r="Y2085" s="84"/>
      <c r="Z2085" s="84"/>
    </row>
    <row r="2086" spans="1:28" hidden="1" x14ac:dyDescent="0.3">
      <c r="A2086" s="117"/>
      <c r="C2086" s="68" t="s">
        <v>535</v>
      </c>
      <c r="D2086" s="87" t="s">
        <v>68</v>
      </c>
      <c r="E2086" s="85">
        <f>STATS1003B!E2090/1000</f>
        <v>2.4068100000000561</v>
      </c>
      <c r="F2086" s="85">
        <f>STATS1003B!F2090/1000</f>
        <v>0</v>
      </c>
      <c r="G2086" s="85">
        <f>STATS1003B!G2090/1000</f>
        <v>0</v>
      </c>
      <c r="H2086" s="85">
        <f>STATS1003B!H2090/1000</f>
        <v>0</v>
      </c>
      <c r="I2086" s="85">
        <f>STATS1003B!I2090/1000</f>
        <v>0</v>
      </c>
      <c r="J2086" s="85">
        <f>STATS1003B!J2090/1000</f>
        <v>0</v>
      </c>
      <c r="K2086" s="85">
        <f>STATS1003B!K2090/1000</f>
        <v>2.4068100000000006</v>
      </c>
      <c r="L2086" s="85">
        <f>STATS1003B!L2090/1000</f>
        <v>0</v>
      </c>
      <c r="M2086" s="85">
        <f>STATS1003B!M2090/1000</f>
        <v>0</v>
      </c>
      <c r="N2086" s="85">
        <f>STATS1003B!N2090/1000</f>
        <v>2.4068100000000001</v>
      </c>
      <c r="O2086" s="85">
        <f>STATS1003B!O2090/1000</f>
        <v>0</v>
      </c>
      <c r="P2086" s="85">
        <f>STATS1003B!P2090/1000</f>
        <v>2.4068100000000001</v>
      </c>
      <c r="Q2086" s="85">
        <f>STATS1003B!Q2090/1000</f>
        <v>5.5933924159035086E-14</v>
      </c>
      <c r="R2086" s="85">
        <f>STATS1003B!R2090/1000</f>
        <v>0</v>
      </c>
      <c r="S2086" s="85">
        <f>STATS1003B!S2090/1000</f>
        <v>0</v>
      </c>
      <c r="T2086" s="85">
        <f>STATS1003B!T2090/1000</f>
        <v>0</v>
      </c>
      <c r="U2086" s="85">
        <f>STATS1003B!U2090/1000</f>
        <v>2.4068100000000001</v>
      </c>
      <c r="V2086" s="85">
        <f>STATS1003B!V2090/1000</f>
        <v>0</v>
      </c>
      <c r="W2086" s="85">
        <f>STATS1003B!W2090/1000</f>
        <v>0</v>
      </c>
      <c r="X2086" s="85">
        <f>STATS1003B!X2090/1000</f>
        <v>2.4068100000000001</v>
      </c>
      <c r="Y2086" s="85">
        <f>STATS1003B!Y2090/1000</f>
        <v>0</v>
      </c>
      <c r="Z2086" s="85">
        <f>STATS1003B!Z2090/1000</f>
        <v>5.5933924159035086E-14</v>
      </c>
      <c r="AA2086" s="69">
        <f>STATS1003B!AA2090/1000</f>
        <v>2.4068100000000001</v>
      </c>
      <c r="AB2086" s="69">
        <f>STATS1003B!AB2090/1000</f>
        <v>5.5933924159035086E-14</v>
      </c>
    </row>
    <row r="2087" spans="1:28" hidden="1" x14ac:dyDescent="0.3">
      <c r="A2087" s="117"/>
      <c r="C2087" s="68" t="s">
        <v>539</v>
      </c>
      <c r="D2087" s="87" t="s">
        <v>68</v>
      </c>
      <c r="E2087" s="85">
        <f>STATS1003B!E2091/1000</f>
        <v>8.5909399999999998</v>
      </c>
      <c r="F2087" s="85">
        <f>STATS1003B!F2091/1000</f>
        <v>0</v>
      </c>
      <c r="G2087" s="85">
        <f>STATS1003B!G2091/1000</f>
        <v>0</v>
      </c>
      <c r="H2087" s="85">
        <f>STATS1003B!H2091/1000</f>
        <v>0</v>
      </c>
      <c r="I2087" s="85">
        <f>STATS1003B!I2091/1000</f>
        <v>0</v>
      </c>
      <c r="J2087" s="85">
        <f>STATS1003B!J2091/1000</f>
        <v>0</v>
      </c>
      <c r="K2087" s="85">
        <f>STATS1003B!K2091/1000</f>
        <v>8.5909399999999998</v>
      </c>
      <c r="L2087" s="85">
        <f>STATS1003B!L2091/1000</f>
        <v>0</v>
      </c>
      <c r="M2087" s="85">
        <f>STATS1003B!M2091/1000</f>
        <v>0</v>
      </c>
      <c r="N2087" s="85">
        <f>STATS1003B!N2091/1000</f>
        <v>8.5909399999999998</v>
      </c>
      <c r="O2087" s="85">
        <f>STATS1003B!O2091/1000</f>
        <v>0</v>
      </c>
      <c r="P2087" s="85">
        <f>STATS1003B!P2091/1000</f>
        <v>8.5909399999999998</v>
      </c>
      <c r="Q2087" s="85">
        <f>STATS1003B!Q2091/1000</f>
        <v>0</v>
      </c>
      <c r="R2087" s="85">
        <f>STATS1003B!R2091/1000</f>
        <v>0</v>
      </c>
      <c r="S2087" s="85">
        <f>STATS1003B!S2091/1000</f>
        <v>0</v>
      </c>
      <c r="T2087" s="85">
        <f>STATS1003B!T2091/1000</f>
        <v>0</v>
      </c>
      <c r="U2087" s="85">
        <f>STATS1003B!U2091/1000</f>
        <v>8.5909399999999998</v>
      </c>
      <c r="V2087" s="85">
        <f>STATS1003B!V2091/1000</f>
        <v>0</v>
      </c>
      <c r="W2087" s="85">
        <f>STATS1003B!W2091/1000</f>
        <v>0</v>
      </c>
      <c r="X2087" s="85">
        <f>STATS1003B!X2091/1000</f>
        <v>8.5909399999999998</v>
      </c>
      <c r="Y2087" s="85">
        <f>STATS1003B!Y2091/1000</f>
        <v>0</v>
      </c>
      <c r="Z2087" s="85">
        <f>STATS1003B!Z2091/1000</f>
        <v>0</v>
      </c>
      <c r="AA2087" s="69">
        <f>STATS1003B!AA2091/1000</f>
        <v>8.5909399999999998</v>
      </c>
      <c r="AB2087" s="69">
        <f>STATS1003B!AB2091/1000</f>
        <v>0</v>
      </c>
    </row>
    <row r="2088" spans="1:28" hidden="1" x14ac:dyDescent="0.3">
      <c r="A2088" s="117"/>
      <c r="C2088" s="68" t="s">
        <v>535</v>
      </c>
      <c r="D2088" s="87" t="s">
        <v>54</v>
      </c>
      <c r="E2088" s="85">
        <f>STATS1003B!E2092/1000</f>
        <v>423.13200000000001</v>
      </c>
      <c r="F2088" s="85">
        <f>STATS1003B!F2092/1000</f>
        <v>423.13200000000001</v>
      </c>
      <c r="G2088" s="85">
        <f>STATS1003B!G2092/1000</f>
        <v>0</v>
      </c>
      <c r="H2088" s="85">
        <f>STATS1003B!H2092/1000</f>
        <v>423.13200000000001</v>
      </c>
      <c r="I2088" s="85">
        <f>STATS1003B!I2092/1000</f>
        <v>0</v>
      </c>
      <c r="J2088" s="85">
        <f>STATS1003B!J2092/1000</f>
        <v>423.13200000000001</v>
      </c>
      <c r="K2088" s="85">
        <f>STATS1003B!K2092/1000</f>
        <v>0</v>
      </c>
      <c r="L2088" s="85">
        <f>STATS1003B!L2092/1000</f>
        <v>0</v>
      </c>
      <c r="M2088" s="85">
        <f>STATS1003B!M2092/1000</f>
        <v>423.13200000000001</v>
      </c>
      <c r="N2088" s="85">
        <f>STATS1003B!N2092/1000</f>
        <v>0</v>
      </c>
      <c r="O2088" s="85">
        <f>STATS1003B!O2092/1000</f>
        <v>0</v>
      </c>
      <c r="P2088" s="85">
        <f>STATS1003B!P2092/1000</f>
        <v>0</v>
      </c>
      <c r="Q2088" s="85">
        <f>STATS1003B!Q2092/1000</f>
        <v>423.13200000000001</v>
      </c>
      <c r="R2088" s="85">
        <f>STATS1003B!R2092/1000</f>
        <v>0</v>
      </c>
      <c r="S2088" s="85">
        <f>STATS1003B!S2092/1000</f>
        <v>0</v>
      </c>
      <c r="T2088" s="85">
        <f>STATS1003B!T2092/1000</f>
        <v>0</v>
      </c>
      <c r="U2088" s="85">
        <f>STATS1003B!U2092/1000</f>
        <v>0</v>
      </c>
      <c r="V2088" s="85">
        <f>STATS1003B!V2092/1000</f>
        <v>0</v>
      </c>
      <c r="W2088" s="85">
        <f>STATS1003B!W2092/1000</f>
        <v>0</v>
      </c>
      <c r="X2088" s="85">
        <f>STATS1003B!X2092/1000</f>
        <v>423.13200000000001</v>
      </c>
      <c r="Y2088" s="85">
        <f>STATS1003B!Y2092/1000</f>
        <v>0</v>
      </c>
      <c r="Z2088" s="85">
        <f>STATS1003B!Z2092/1000</f>
        <v>0</v>
      </c>
      <c r="AA2088" s="69">
        <f>STATS1003B!AA2092/1000</f>
        <v>423.13200000000001</v>
      </c>
      <c r="AB2088" s="69">
        <f>STATS1003B!AB2092/1000</f>
        <v>0</v>
      </c>
    </row>
    <row r="2089" spans="1:28" hidden="1" x14ac:dyDescent="0.3">
      <c r="A2089" s="117"/>
      <c r="C2089" s="68" t="s">
        <v>545</v>
      </c>
      <c r="D2089" s="87" t="s">
        <v>54</v>
      </c>
      <c r="E2089" s="85">
        <f>STATS1003B!E2093/1000</f>
        <v>1767.77</v>
      </c>
      <c r="F2089" s="85">
        <f>STATS1003B!F2093/1000</f>
        <v>0</v>
      </c>
      <c r="G2089" s="85">
        <f>STATS1003B!G2093/1000</f>
        <v>0</v>
      </c>
      <c r="H2089" s="85">
        <f>STATS1003B!H2093/1000</f>
        <v>0</v>
      </c>
      <c r="I2089" s="85">
        <f>STATS1003B!I2093/1000</f>
        <v>0</v>
      </c>
      <c r="J2089" s="85">
        <f>STATS1003B!J2093/1000</f>
        <v>0</v>
      </c>
      <c r="K2089" s="85">
        <f>STATS1003B!K2093/1000</f>
        <v>1767.77</v>
      </c>
      <c r="L2089" s="85">
        <f>STATS1003B!L2093/1000</f>
        <v>0</v>
      </c>
      <c r="M2089" s="85">
        <f>STATS1003B!M2093/1000</f>
        <v>0</v>
      </c>
      <c r="N2089" s="85">
        <f>STATS1003B!N2093/1000</f>
        <v>1767.77</v>
      </c>
      <c r="O2089" s="85">
        <f>STATS1003B!O2093/1000</f>
        <v>0</v>
      </c>
      <c r="P2089" s="85">
        <f>STATS1003B!P2093/1000</f>
        <v>1767.77</v>
      </c>
      <c r="Q2089" s="85">
        <f>STATS1003B!Q2093/1000</f>
        <v>0</v>
      </c>
      <c r="R2089" s="85">
        <f>STATS1003B!R2093/1000</f>
        <v>0</v>
      </c>
      <c r="S2089" s="85">
        <f>STATS1003B!S2093/1000</f>
        <v>0</v>
      </c>
      <c r="T2089" s="85">
        <f>STATS1003B!T2093/1000</f>
        <v>0</v>
      </c>
      <c r="U2089" s="85">
        <f>STATS1003B!U2093/1000</f>
        <v>1767.77</v>
      </c>
      <c r="V2089" s="85">
        <f>STATS1003B!V2093/1000</f>
        <v>0</v>
      </c>
      <c r="W2089" s="85">
        <f>STATS1003B!W2093/1000</f>
        <v>0</v>
      </c>
      <c r="X2089" s="85">
        <f>STATS1003B!X2093/1000</f>
        <v>1767.77</v>
      </c>
      <c r="Y2089" s="85">
        <f>STATS1003B!Y2093/1000</f>
        <v>0</v>
      </c>
      <c r="Z2089" s="85">
        <f>STATS1003B!Z2093/1000</f>
        <v>0</v>
      </c>
      <c r="AA2089" s="69">
        <f>STATS1003B!AA2093/1000</f>
        <v>1767.77</v>
      </c>
      <c r="AB2089" s="69">
        <f>STATS1003B!AB2093/1000</f>
        <v>0</v>
      </c>
    </row>
    <row r="2090" spans="1:28" hidden="1" x14ac:dyDescent="0.3">
      <c r="A2090" s="117"/>
      <c r="C2090" s="68" t="s">
        <v>557</v>
      </c>
      <c r="D2090" s="87" t="s">
        <v>54</v>
      </c>
      <c r="E2090" s="85">
        <f>STATS1003B!E2094/1000</f>
        <v>1663</v>
      </c>
      <c r="F2090" s="85">
        <f>STATS1003B!F2094/1000</f>
        <v>1663</v>
      </c>
      <c r="G2090" s="85">
        <f>STATS1003B!G2094/1000</f>
        <v>0</v>
      </c>
      <c r="H2090" s="85">
        <f>STATS1003B!H2094/1000</f>
        <v>1663</v>
      </c>
      <c r="I2090" s="85">
        <f>STATS1003B!I2094/1000</f>
        <v>0</v>
      </c>
      <c r="J2090" s="85">
        <f>STATS1003B!J2094/1000</f>
        <v>1663</v>
      </c>
      <c r="K2090" s="85">
        <f>STATS1003B!K2094/1000</f>
        <v>0</v>
      </c>
      <c r="L2090" s="85">
        <f>STATS1003B!L2094/1000</f>
        <v>0</v>
      </c>
      <c r="M2090" s="85">
        <f>STATS1003B!M2094/1000</f>
        <v>1663</v>
      </c>
      <c r="N2090" s="85">
        <f>STATS1003B!N2094/1000</f>
        <v>0</v>
      </c>
      <c r="O2090" s="85">
        <f>STATS1003B!O2094/1000</f>
        <v>0</v>
      </c>
      <c r="P2090" s="85">
        <f>STATS1003B!P2094/1000</f>
        <v>0</v>
      </c>
      <c r="Q2090" s="85">
        <f>STATS1003B!Q2094/1000</f>
        <v>1663</v>
      </c>
      <c r="R2090" s="85">
        <f>STATS1003B!R2094/1000</f>
        <v>0</v>
      </c>
      <c r="S2090" s="85">
        <f>STATS1003B!S2094/1000</f>
        <v>0</v>
      </c>
      <c r="T2090" s="85">
        <f>STATS1003B!T2094/1000</f>
        <v>0</v>
      </c>
      <c r="U2090" s="85">
        <f>STATS1003B!U2094/1000</f>
        <v>0</v>
      </c>
      <c r="V2090" s="85">
        <f>STATS1003B!V2094/1000</f>
        <v>0</v>
      </c>
      <c r="W2090" s="85">
        <f>STATS1003B!W2094/1000</f>
        <v>0</v>
      </c>
      <c r="X2090" s="85">
        <f>STATS1003B!X2094/1000</f>
        <v>1663</v>
      </c>
      <c r="Y2090" s="85">
        <f>STATS1003B!Y2094/1000</f>
        <v>0</v>
      </c>
      <c r="Z2090" s="85">
        <f>STATS1003B!Z2094/1000</f>
        <v>0</v>
      </c>
      <c r="AA2090" s="69">
        <f>STATS1003B!AA2094/1000</f>
        <v>1663</v>
      </c>
      <c r="AB2090" s="69">
        <f>STATS1003B!AB2094/1000</f>
        <v>0</v>
      </c>
    </row>
    <row r="2091" spans="1:28" hidden="1" x14ac:dyDescent="0.3">
      <c r="A2091" s="117"/>
      <c r="C2091" s="68" t="s">
        <v>535</v>
      </c>
      <c r="D2091" s="87" t="s">
        <v>85</v>
      </c>
      <c r="E2091" s="85">
        <f>STATS1003B!E2095/1000</f>
        <v>839.7</v>
      </c>
      <c r="F2091" s="85">
        <f>STATS1003B!F2095/1000</f>
        <v>839.7</v>
      </c>
      <c r="G2091" s="85">
        <f>STATS1003B!G2095/1000</f>
        <v>0</v>
      </c>
      <c r="H2091" s="85">
        <f>STATS1003B!H2095/1000</f>
        <v>839.7</v>
      </c>
      <c r="I2091" s="85">
        <f>STATS1003B!I2095/1000</f>
        <v>0</v>
      </c>
      <c r="J2091" s="85">
        <f>STATS1003B!J2095/1000</f>
        <v>839.7</v>
      </c>
      <c r="K2091" s="85">
        <f>STATS1003B!K2095/1000</f>
        <v>0</v>
      </c>
      <c r="L2091" s="85">
        <f>STATS1003B!L2095/1000</f>
        <v>0</v>
      </c>
      <c r="M2091" s="85">
        <f>STATS1003B!M2095/1000</f>
        <v>839.7</v>
      </c>
      <c r="N2091" s="85">
        <f>STATS1003B!N2095/1000</f>
        <v>0</v>
      </c>
      <c r="O2091" s="85">
        <f>STATS1003B!O2095/1000</f>
        <v>0</v>
      </c>
      <c r="P2091" s="85">
        <f>STATS1003B!P2095/1000</f>
        <v>0</v>
      </c>
      <c r="Q2091" s="85">
        <f>STATS1003B!Q2095/1000</f>
        <v>839.7</v>
      </c>
      <c r="R2091" s="85">
        <f>STATS1003B!R2095/1000</f>
        <v>0</v>
      </c>
      <c r="S2091" s="85">
        <f>STATS1003B!S2095/1000</f>
        <v>0</v>
      </c>
      <c r="T2091" s="85">
        <f>STATS1003B!T2095/1000</f>
        <v>0</v>
      </c>
      <c r="U2091" s="85">
        <f>STATS1003B!U2095/1000</f>
        <v>0</v>
      </c>
      <c r="V2091" s="85">
        <f>STATS1003B!V2095/1000</f>
        <v>0</v>
      </c>
      <c r="W2091" s="85">
        <f>STATS1003B!W2095/1000</f>
        <v>0</v>
      </c>
      <c r="X2091" s="85">
        <f>STATS1003B!X2095/1000</f>
        <v>839.7</v>
      </c>
      <c r="Y2091" s="85">
        <f>STATS1003B!Y2095/1000</f>
        <v>0</v>
      </c>
      <c r="Z2091" s="85">
        <f>STATS1003B!Z2095/1000</f>
        <v>0</v>
      </c>
      <c r="AA2091" s="69">
        <f>STATS1003B!AA2095/1000</f>
        <v>839.7</v>
      </c>
      <c r="AB2091" s="69">
        <f>STATS1003B!AB2095/1000</f>
        <v>0</v>
      </c>
    </row>
    <row r="2092" spans="1:28" hidden="1" x14ac:dyDescent="0.3">
      <c r="A2092" s="117"/>
      <c r="C2092" s="68" t="s">
        <v>535</v>
      </c>
      <c r="D2092" s="87" t="s">
        <v>88</v>
      </c>
      <c r="E2092" s="85">
        <f>STATS1003B!E2096/1000</f>
        <v>900</v>
      </c>
      <c r="F2092" s="85">
        <f>STATS1003B!F2096/1000</f>
        <v>900</v>
      </c>
      <c r="G2092" s="85">
        <f>STATS1003B!G2096/1000</f>
        <v>0</v>
      </c>
      <c r="H2092" s="85">
        <f>STATS1003B!H2096/1000</f>
        <v>900</v>
      </c>
      <c r="I2092" s="85">
        <f>STATS1003B!I2096/1000</f>
        <v>0</v>
      </c>
      <c r="J2092" s="85">
        <f>STATS1003B!J2096/1000</f>
        <v>900</v>
      </c>
      <c r="K2092" s="85">
        <f>STATS1003B!K2096/1000</f>
        <v>0</v>
      </c>
      <c r="L2092" s="85">
        <f>STATS1003B!L2096/1000</f>
        <v>0</v>
      </c>
      <c r="M2092" s="85">
        <f>STATS1003B!M2096/1000</f>
        <v>900</v>
      </c>
      <c r="N2092" s="85">
        <f>STATS1003B!N2096/1000</f>
        <v>0</v>
      </c>
      <c r="O2092" s="85">
        <f>STATS1003B!O2096/1000</f>
        <v>0</v>
      </c>
      <c r="P2092" s="85">
        <f>STATS1003B!P2096/1000</f>
        <v>0</v>
      </c>
      <c r="Q2092" s="85">
        <f>STATS1003B!Q2096/1000</f>
        <v>900</v>
      </c>
      <c r="R2092" s="85">
        <f>STATS1003B!R2096/1000</f>
        <v>0</v>
      </c>
      <c r="S2092" s="85">
        <f>STATS1003B!S2096/1000</f>
        <v>0</v>
      </c>
      <c r="T2092" s="85">
        <f>STATS1003B!T2096/1000</f>
        <v>0</v>
      </c>
      <c r="U2092" s="85">
        <f>STATS1003B!U2096/1000</f>
        <v>0</v>
      </c>
      <c r="V2092" s="85">
        <f>STATS1003B!V2096/1000</f>
        <v>0</v>
      </c>
      <c r="W2092" s="85">
        <f>STATS1003B!W2096/1000</f>
        <v>0</v>
      </c>
      <c r="X2092" s="85">
        <f>STATS1003B!X2096/1000</f>
        <v>900</v>
      </c>
      <c r="Y2092" s="85">
        <f>STATS1003B!Y2096/1000</f>
        <v>0</v>
      </c>
      <c r="Z2092" s="85">
        <f>STATS1003B!Z2096/1000</f>
        <v>0</v>
      </c>
      <c r="AA2092" s="69">
        <f>STATS1003B!AA2096/1000</f>
        <v>900</v>
      </c>
      <c r="AB2092" s="69">
        <f>STATS1003B!AB2096/1000</f>
        <v>0</v>
      </c>
    </row>
    <row r="2093" spans="1:28" hidden="1" x14ac:dyDescent="0.3">
      <c r="A2093" s="117"/>
      <c r="C2093" s="68" t="s">
        <v>535</v>
      </c>
      <c r="D2093" s="87" t="s">
        <v>108</v>
      </c>
      <c r="E2093" s="85">
        <f>STATS1003B!E2097/1000</f>
        <v>4380.6689999999999</v>
      </c>
      <c r="F2093" s="85">
        <f>STATS1003B!F2097/1000</f>
        <v>4380.6689999999999</v>
      </c>
      <c r="G2093" s="85">
        <f>STATS1003B!G2097/1000</f>
        <v>0</v>
      </c>
      <c r="H2093" s="85">
        <f>STATS1003B!H2097/1000</f>
        <v>4380.6689999999999</v>
      </c>
      <c r="I2093" s="85">
        <f>STATS1003B!I2097/1000</f>
        <v>0</v>
      </c>
      <c r="J2093" s="85">
        <f>STATS1003B!J2097/1000</f>
        <v>4380.6689999999999</v>
      </c>
      <c r="K2093" s="85">
        <f>STATS1003B!K2097/1000</f>
        <v>0</v>
      </c>
      <c r="L2093" s="85">
        <f>STATS1003B!L2097/1000</f>
        <v>0</v>
      </c>
      <c r="M2093" s="85">
        <f>STATS1003B!M2097/1000</f>
        <v>4380.6689999999999</v>
      </c>
      <c r="N2093" s="85">
        <f>STATS1003B!N2097/1000</f>
        <v>0</v>
      </c>
      <c r="O2093" s="85">
        <f>STATS1003B!O2097/1000</f>
        <v>0</v>
      </c>
      <c r="P2093" s="85">
        <f>STATS1003B!P2097/1000</f>
        <v>0</v>
      </c>
      <c r="Q2093" s="85">
        <f>STATS1003B!Q2097/1000</f>
        <v>4380.6689999999999</v>
      </c>
      <c r="R2093" s="85">
        <f>STATS1003B!R2097/1000</f>
        <v>0</v>
      </c>
      <c r="S2093" s="85">
        <f>STATS1003B!S2097/1000</f>
        <v>0</v>
      </c>
      <c r="T2093" s="85">
        <f>STATS1003B!T2097/1000</f>
        <v>0</v>
      </c>
      <c r="U2093" s="85">
        <f>STATS1003B!U2097/1000</f>
        <v>0</v>
      </c>
      <c r="V2093" s="85">
        <f>STATS1003B!V2097/1000</f>
        <v>0</v>
      </c>
      <c r="W2093" s="85">
        <f>STATS1003B!W2097/1000</f>
        <v>0</v>
      </c>
      <c r="X2093" s="85">
        <f>STATS1003B!X2097/1000</f>
        <v>4380.6689999999999</v>
      </c>
      <c r="Y2093" s="85">
        <f>STATS1003B!Y2097/1000</f>
        <v>0</v>
      </c>
      <c r="Z2093" s="85">
        <f>STATS1003B!Z2097/1000</f>
        <v>0</v>
      </c>
      <c r="AA2093" s="69">
        <f>STATS1003B!AA2097/1000</f>
        <v>4380.6689999999999</v>
      </c>
      <c r="AB2093" s="69">
        <f>STATS1003B!AB2097/1000</f>
        <v>0</v>
      </c>
    </row>
    <row r="2094" spans="1:28" hidden="1" x14ac:dyDescent="0.3">
      <c r="A2094" s="117"/>
      <c r="C2094" s="68" t="s">
        <v>801</v>
      </c>
      <c r="D2094" s="87" t="s">
        <v>108</v>
      </c>
      <c r="E2094" s="85">
        <f>STATS1003B!E2098/1000</f>
        <v>5882.14</v>
      </c>
      <c r="F2094" s="85">
        <f>STATS1003B!F2098/1000</f>
        <v>5882.14</v>
      </c>
      <c r="G2094" s="85">
        <f>STATS1003B!G2098/1000</f>
        <v>0</v>
      </c>
      <c r="H2094" s="85">
        <f>STATS1003B!H2098/1000</f>
        <v>5882.14</v>
      </c>
      <c r="I2094" s="85">
        <f>STATS1003B!I2098/1000</f>
        <v>0</v>
      </c>
      <c r="J2094" s="85">
        <f>STATS1003B!J2098/1000</f>
        <v>5882.14</v>
      </c>
      <c r="K2094" s="85">
        <f>STATS1003B!K2098/1000</f>
        <v>0</v>
      </c>
      <c r="L2094" s="85">
        <f>STATS1003B!L2098/1000</f>
        <v>0</v>
      </c>
      <c r="M2094" s="85">
        <f>STATS1003B!M2098/1000</f>
        <v>5882.14</v>
      </c>
      <c r="N2094" s="85">
        <f>STATS1003B!N2098/1000</f>
        <v>0</v>
      </c>
      <c r="O2094" s="85">
        <f>STATS1003B!O2098/1000</f>
        <v>0</v>
      </c>
      <c r="P2094" s="85">
        <f>STATS1003B!P2098/1000</f>
        <v>0</v>
      </c>
      <c r="Q2094" s="85">
        <f>STATS1003B!Q2098/1000</f>
        <v>5882.14</v>
      </c>
      <c r="R2094" s="85">
        <f>STATS1003B!R2098/1000</f>
        <v>0</v>
      </c>
      <c r="S2094" s="85">
        <f>STATS1003B!S2098/1000</f>
        <v>0</v>
      </c>
      <c r="T2094" s="85">
        <f>STATS1003B!T2098/1000</f>
        <v>0</v>
      </c>
      <c r="U2094" s="85">
        <f>STATS1003B!U2098/1000</f>
        <v>0</v>
      </c>
      <c r="V2094" s="85">
        <f>STATS1003B!V2098/1000</f>
        <v>0</v>
      </c>
      <c r="W2094" s="85">
        <f>STATS1003B!W2098/1000</f>
        <v>0</v>
      </c>
      <c r="X2094" s="85">
        <f>STATS1003B!X2098/1000</f>
        <v>5882.14</v>
      </c>
      <c r="Y2094" s="85">
        <f>STATS1003B!Y2098/1000</f>
        <v>0</v>
      </c>
      <c r="Z2094" s="85">
        <f>STATS1003B!Z2098/1000</f>
        <v>0</v>
      </c>
      <c r="AA2094" s="69">
        <f>STATS1003B!AA2098/1000</f>
        <v>5882.14</v>
      </c>
      <c r="AB2094" s="69">
        <f>STATS1003B!AB2098/1000</f>
        <v>0</v>
      </c>
    </row>
    <row r="2095" spans="1:28" hidden="1" x14ac:dyDescent="0.3">
      <c r="A2095" s="117"/>
      <c r="C2095" s="68" t="s">
        <v>802</v>
      </c>
      <c r="D2095" s="87" t="s">
        <v>108</v>
      </c>
      <c r="E2095" s="85">
        <f>STATS1003B!E2099/1000</f>
        <v>1700</v>
      </c>
      <c r="F2095" s="85">
        <f>STATS1003B!F2099/1000</f>
        <v>1700</v>
      </c>
      <c r="G2095" s="85">
        <f>STATS1003B!G2099/1000</f>
        <v>0</v>
      </c>
      <c r="H2095" s="85">
        <f>STATS1003B!H2099/1000</f>
        <v>1700</v>
      </c>
      <c r="I2095" s="85">
        <f>STATS1003B!I2099/1000</f>
        <v>0</v>
      </c>
      <c r="J2095" s="85">
        <f>STATS1003B!J2099/1000</f>
        <v>1700</v>
      </c>
      <c r="K2095" s="85">
        <f>STATS1003B!K2099/1000</f>
        <v>0</v>
      </c>
      <c r="L2095" s="85">
        <f>STATS1003B!L2099/1000</f>
        <v>0</v>
      </c>
      <c r="M2095" s="85">
        <f>STATS1003B!M2099/1000</f>
        <v>1700</v>
      </c>
      <c r="N2095" s="85">
        <f>STATS1003B!N2099/1000</f>
        <v>0</v>
      </c>
      <c r="O2095" s="85">
        <f>STATS1003B!O2099/1000</f>
        <v>0</v>
      </c>
      <c r="P2095" s="85">
        <f>STATS1003B!P2099/1000</f>
        <v>0</v>
      </c>
      <c r="Q2095" s="85">
        <f>STATS1003B!Q2099/1000</f>
        <v>1700</v>
      </c>
      <c r="R2095" s="85">
        <f>STATS1003B!R2099/1000</f>
        <v>0</v>
      </c>
      <c r="S2095" s="85">
        <f>STATS1003B!S2099/1000</f>
        <v>0</v>
      </c>
      <c r="T2095" s="85">
        <f>STATS1003B!T2099/1000</f>
        <v>0</v>
      </c>
      <c r="U2095" s="85">
        <f>STATS1003B!U2099/1000</f>
        <v>0</v>
      </c>
      <c r="V2095" s="85">
        <f>STATS1003B!V2099/1000</f>
        <v>0</v>
      </c>
      <c r="W2095" s="85">
        <f>STATS1003B!W2099/1000</f>
        <v>0</v>
      </c>
      <c r="X2095" s="85">
        <f>STATS1003B!X2099/1000</f>
        <v>1700</v>
      </c>
      <c r="Y2095" s="85">
        <f>STATS1003B!Y2099/1000</f>
        <v>0</v>
      </c>
      <c r="Z2095" s="85">
        <f>STATS1003B!Z2099/1000</f>
        <v>0</v>
      </c>
      <c r="AA2095" s="69">
        <f>STATS1003B!AA2099/1000</f>
        <v>1700</v>
      </c>
      <c r="AB2095" s="69">
        <f>STATS1003B!AB2099/1000</f>
        <v>0</v>
      </c>
    </row>
    <row r="2096" spans="1:28" hidden="1" x14ac:dyDescent="0.3">
      <c r="A2096" s="117"/>
      <c r="C2096" s="68" t="s">
        <v>801</v>
      </c>
      <c r="D2096" s="88" t="s">
        <v>58</v>
      </c>
      <c r="E2096" s="85">
        <f>STATS1003B!E2100/1000</f>
        <v>4508.1531100000002</v>
      </c>
      <c r="F2096" s="85">
        <f>STATS1003B!F2100/1000</f>
        <v>4508.1531100000002</v>
      </c>
      <c r="G2096" s="85">
        <f>STATS1003B!G2100/1000</f>
        <v>0</v>
      </c>
      <c r="H2096" s="85">
        <f>STATS1003B!H2100/1000</f>
        <v>4508.1531100000002</v>
      </c>
      <c r="I2096" s="85">
        <f>STATS1003B!I2100/1000</f>
        <v>0</v>
      </c>
      <c r="J2096" s="85">
        <f>STATS1003B!J2100/1000</f>
        <v>4508.1531100000002</v>
      </c>
      <c r="K2096" s="85">
        <f>STATS1003B!K2100/1000</f>
        <v>0</v>
      </c>
      <c r="L2096" s="85">
        <f>STATS1003B!L2100/1000</f>
        <v>0</v>
      </c>
      <c r="M2096" s="85">
        <f>STATS1003B!M2100/1000</f>
        <v>4508.1531100000002</v>
      </c>
      <c r="N2096" s="85">
        <f>STATS1003B!N2100/1000</f>
        <v>0</v>
      </c>
      <c r="O2096" s="85">
        <f>STATS1003B!O2100/1000</f>
        <v>0</v>
      </c>
      <c r="P2096" s="85">
        <f>STATS1003B!P2100/1000</f>
        <v>0</v>
      </c>
      <c r="Q2096" s="85">
        <f>STATS1003B!Q2100/1000</f>
        <v>4508.1531100000002</v>
      </c>
      <c r="R2096" s="85">
        <f>STATS1003B!R2100/1000</f>
        <v>0</v>
      </c>
      <c r="S2096" s="85">
        <f>STATS1003B!S2100/1000</f>
        <v>0</v>
      </c>
      <c r="T2096" s="85">
        <f>STATS1003B!T2100/1000</f>
        <v>0</v>
      </c>
      <c r="U2096" s="85">
        <f>STATS1003B!U2100/1000</f>
        <v>0</v>
      </c>
      <c r="V2096" s="85">
        <f>STATS1003B!V2100/1000</f>
        <v>0</v>
      </c>
      <c r="W2096" s="85">
        <f>STATS1003B!W2100/1000</f>
        <v>0</v>
      </c>
      <c r="X2096" s="85">
        <f>STATS1003B!X2100/1000</f>
        <v>4508.1531100000002</v>
      </c>
      <c r="Y2096" s="85">
        <f>STATS1003B!Y2100/1000</f>
        <v>0</v>
      </c>
      <c r="Z2096" s="85">
        <f>STATS1003B!Z2100/1000</f>
        <v>0</v>
      </c>
      <c r="AA2096" s="69">
        <f>STATS1003B!AA2100/1000</f>
        <v>4508.1531100000002</v>
      </c>
      <c r="AB2096" s="69">
        <f>STATS1003B!AB2100/1000</f>
        <v>0</v>
      </c>
    </row>
    <row r="2097" spans="1:28" hidden="1" x14ac:dyDescent="0.3">
      <c r="A2097" s="117"/>
      <c r="C2097" s="68" t="s">
        <v>1232</v>
      </c>
      <c r="D2097" s="89" t="s">
        <v>1225</v>
      </c>
      <c r="E2097" s="85">
        <f>STATS1003B!E2101/1000</f>
        <v>867.86</v>
      </c>
      <c r="F2097" s="85">
        <f>STATS1003B!F2101/1000</f>
        <v>867.86</v>
      </c>
      <c r="G2097" s="85">
        <f>STATS1003B!G2101/1000</f>
        <v>0</v>
      </c>
      <c r="H2097" s="85">
        <f>STATS1003B!H2101/1000</f>
        <v>867.86</v>
      </c>
      <c r="I2097" s="85">
        <f>STATS1003B!I2101/1000</f>
        <v>0</v>
      </c>
      <c r="J2097" s="85">
        <f>STATS1003B!J2101/1000</f>
        <v>867.86</v>
      </c>
      <c r="K2097" s="85">
        <f>STATS1003B!K2101/1000</f>
        <v>0</v>
      </c>
      <c r="L2097" s="85">
        <f>STATS1003B!L2101/1000</f>
        <v>0</v>
      </c>
      <c r="M2097" s="85">
        <f>STATS1003B!M2101/1000</f>
        <v>867.86</v>
      </c>
      <c r="N2097" s="85">
        <f>STATS1003B!N2101/1000</f>
        <v>0</v>
      </c>
      <c r="O2097" s="85">
        <f>STATS1003B!O2101/1000</f>
        <v>0</v>
      </c>
      <c r="P2097" s="85">
        <f>STATS1003B!P2101/1000</f>
        <v>0</v>
      </c>
      <c r="Q2097" s="85">
        <f>STATS1003B!Q2101/1000</f>
        <v>867.86</v>
      </c>
      <c r="R2097" s="85">
        <f>STATS1003B!R2101/1000</f>
        <v>0</v>
      </c>
      <c r="S2097" s="85">
        <f>STATS1003B!S2101/1000</f>
        <v>0</v>
      </c>
      <c r="T2097" s="85">
        <f>STATS1003B!T2101/1000</f>
        <v>0</v>
      </c>
      <c r="U2097" s="85">
        <f>STATS1003B!U2101/1000</f>
        <v>0</v>
      </c>
      <c r="V2097" s="85">
        <f>STATS1003B!V2101/1000</f>
        <v>0</v>
      </c>
      <c r="W2097" s="85">
        <f>STATS1003B!W2101/1000</f>
        <v>0</v>
      </c>
      <c r="X2097" s="85">
        <f>STATS1003B!X2101/1000</f>
        <v>867.86</v>
      </c>
      <c r="Y2097" s="85">
        <f>STATS1003B!Y2101/1000</f>
        <v>0</v>
      </c>
      <c r="Z2097" s="85">
        <f>STATS1003B!Z2101/1000</f>
        <v>0</v>
      </c>
      <c r="AA2097" s="69">
        <f>STATS1003B!AA2101/1000</f>
        <v>867.86</v>
      </c>
      <c r="AB2097" s="69">
        <f>STATS1003B!AB2101/1000</f>
        <v>0</v>
      </c>
    </row>
    <row r="2098" spans="1:28" hidden="1" x14ac:dyDescent="0.3">
      <c r="A2098" s="117"/>
      <c r="C2098" s="68" t="s">
        <v>535</v>
      </c>
      <c r="D2098" s="87" t="s">
        <v>58</v>
      </c>
      <c r="E2098" s="85">
        <f>STATS1003B!E2102/1000</f>
        <v>12452.04206</v>
      </c>
      <c r="F2098" s="85">
        <f>STATS1003B!F2102/1000</f>
        <v>12452.04206</v>
      </c>
      <c r="G2098" s="85">
        <f>STATS1003B!G2102/1000</f>
        <v>0</v>
      </c>
      <c r="H2098" s="85">
        <f>STATS1003B!H2102/1000</f>
        <v>12452.04206</v>
      </c>
      <c r="I2098" s="85">
        <f>STATS1003B!I2102/1000</f>
        <v>0</v>
      </c>
      <c r="J2098" s="85">
        <f>STATS1003B!J2102/1000</f>
        <v>12452.04206</v>
      </c>
      <c r="K2098" s="85">
        <f>STATS1003B!K2102/1000</f>
        <v>0</v>
      </c>
      <c r="L2098" s="85">
        <f>STATS1003B!L2102/1000</f>
        <v>0</v>
      </c>
      <c r="M2098" s="85">
        <f>STATS1003B!M2102/1000</f>
        <v>12452.04206</v>
      </c>
      <c r="N2098" s="85">
        <f>STATS1003B!N2102/1000</f>
        <v>0</v>
      </c>
      <c r="O2098" s="85">
        <f>STATS1003B!O2102/1000</f>
        <v>0</v>
      </c>
      <c r="P2098" s="85">
        <f>STATS1003B!P2102/1000</f>
        <v>0</v>
      </c>
      <c r="Q2098" s="85">
        <f>STATS1003B!Q2102/1000</f>
        <v>12452.04206</v>
      </c>
      <c r="R2098" s="85">
        <f>STATS1003B!R2102/1000</f>
        <v>0</v>
      </c>
      <c r="S2098" s="85">
        <f>STATS1003B!S2102/1000</f>
        <v>0</v>
      </c>
      <c r="T2098" s="85">
        <f>STATS1003B!T2102/1000</f>
        <v>0</v>
      </c>
      <c r="U2098" s="85">
        <f>STATS1003B!U2102/1000</f>
        <v>0</v>
      </c>
      <c r="V2098" s="85">
        <f>STATS1003B!V2102/1000</f>
        <v>0</v>
      </c>
      <c r="W2098" s="85">
        <f>STATS1003B!W2102/1000</f>
        <v>0</v>
      </c>
      <c r="X2098" s="85">
        <f>STATS1003B!X2102/1000</f>
        <v>12452.04206</v>
      </c>
      <c r="Y2098" s="85">
        <f>STATS1003B!Y2102/1000</f>
        <v>0</v>
      </c>
      <c r="Z2098" s="85">
        <f>STATS1003B!Z2102/1000</f>
        <v>0</v>
      </c>
      <c r="AA2098" s="69">
        <f>STATS1003B!AA2102/1000</f>
        <v>12452.04206</v>
      </c>
      <c r="AB2098" s="69">
        <f>STATS1003B!AB2102/1000</f>
        <v>0</v>
      </c>
    </row>
    <row r="2099" spans="1:28" hidden="1" x14ac:dyDescent="0.3">
      <c r="A2099" s="117"/>
      <c r="C2099" s="68" t="s">
        <v>535</v>
      </c>
      <c r="D2099" s="87" t="s">
        <v>60</v>
      </c>
      <c r="E2099" s="85">
        <f>STATS1003B!E2103/1000</f>
        <v>4225.3269500000006</v>
      </c>
      <c r="F2099" s="85">
        <f>STATS1003B!F2103/1000</f>
        <v>4225.3269500000006</v>
      </c>
      <c r="G2099" s="85">
        <f>STATS1003B!G2103/1000</f>
        <v>0</v>
      </c>
      <c r="H2099" s="85">
        <f>STATS1003B!H2103/1000</f>
        <v>4225.3269500000006</v>
      </c>
      <c r="I2099" s="85">
        <f>STATS1003B!I2103/1000</f>
        <v>0</v>
      </c>
      <c r="J2099" s="85">
        <f>STATS1003B!J2103/1000</f>
        <v>4225.3269500000006</v>
      </c>
      <c r="K2099" s="85">
        <f>STATS1003B!K2103/1000</f>
        <v>0</v>
      </c>
      <c r="L2099" s="85">
        <f>STATS1003B!L2103/1000</f>
        <v>0</v>
      </c>
      <c r="M2099" s="85">
        <f>STATS1003B!M2103/1000</f>
        <v>4225.3269500000006</v>
      </c>
      <c r="N2099" s="85">
        <f>STATS1003B!N2103/1000</f>
        <v>0</v>
      </c>
      <c r="O2099" s="85">
        <f>STATS1003B!O2103/1000</f>
        <v>0</v>
      </c>
      <c r="P2099" s="85">
        <f>STATS1003B!P2103/1000</f>
        <v>0</v>
      </c>
      <c r="Q2099" s="85">
        <f>STATS1003B!Q2103/1000</f>
        <v>4225.3269500000006</v>
      </c>
      <c r="R2099" s="85">
        <f>STATS1003B!R2103/1000</f>
        <v>0</v>
      </c>
      <c r="S2099" s="85">
        <f>STATS1003B!S2103/1000</f>
        <v>0</v>
      </c>
      <c r="T2099" s="85">
        <f>STATS1003B!T2103/1000</f>
        <v>0</v>
      </c>
      <c r="U2099" s="85">
        <f>STATS1003B!U2103/1000</f>
        <v>0</v>
      </c>
      <c r="V2099" s="85">
        <f>STATS1003B!V2103/1000</f>
        <v>0</v>
      </c>
      <c r="W2099" s="85">
        <f>STATS1003B!W2103/1000</f>
        <v>0</v>
      </c>
      <c r="X2099" s="85">
        <f>STATS1003B!X2103/1000</f>
        <v>4225.3269500000006</v>
      </c>
      <c r="Y2099" s="85">
        <f>STATS1003B!Y2103/1000</f>
        <v>0</v>
      </c>
      <c r="Z2099" s="85">
        <f>STATS1003B!Z2103/1000</f>
        <v>0</v>
      </c>
      <c r="AA2099" s="69">
        <f>STATS1003B!AA2103/1000</f>
        <v>4225.3269500000006</v>
      </c>
      <c r="AB2099" s="69">
        <f>STATS1003B!AB2103/1000</f>
        <v>0</v>
      </c>
    </row>
    <row r="2100" spans="1:28" hidden="1" x14ac:dyDescent="0.3">
      <c r="A2100" s="117"/>
      <c r="C2100" s="68" t="s">
        <v>535</v>
      </c>
      <c r="D2100" s="87" t="s">
        <v>73</v>
      </c>
      <c r="E2100" s="85">
        <f>STATS1003B!E2104/1000</f>
        <v>1018</v>
      </c>
      <c r="F2100" s="85">
        <f>STATS1003B!F2104/1000</f>
        <v>1018</v>
      </c>
      <c r="G2100" s="85">
        <f>STATS1003B!G2104/1000</f>
        <v>0</v>
      </c>
      <c r="H2100" s="85">
        <f>STATS1003B!H2104/1000</f>
        <v>1018</v>
      </c>
      <c r="I2100" s="85">
        <f>STATS1003B!I2104/1000</f>
        <v>0</v>
      </c>
      <c r="J2100" s="85">
        <f>STATS1003B!J2104/1000</f>
        <v>1018</v>
      </c>
      <c r="K2100" s="85">
        <f>STATS1003B!K2104/1000</f>
        <v>0</v>
      </c>
      <c r="L2100" s="85">
        <f>STATS1003B!L2104/1000</f>
        <v>0</v>
      </c>
      <c r="M2100" s="85">
        <f>STATS1003B!M2104/1000</f>
        <v>1018</v>
      </c>
      <c r="N2100" s="85">
        <f>STATS1003B!N2104/1000</f>
        <v>0</v>
      </c>
      <c r="O2100" s="85">
        <f>STATS1003B!O2104/1000</f>
        <v>0</v>
      </c>
      <c r="P2100" s="85">
        <f>STATS1003B!P2104/1000</f>
        <v>0</v>
      </c>
      <c r="Q2100" s="85">
        <f>STATS1003B!Q2104/1000</f>
        <v>1018</v>
      </c>
      <c r="R2100" s="85">
        <f>STATS1003B!R2104/1000</f>
        <v>0</v>
      </c>
      <c r="S2100" s="85">
        <f>STATS1003B!S2104/1000</f>
        <v>0</v>
      </c>
      <c r="T2100" s="85">
        <f>STATS1003B!T2104/1000</f>
        <v>0</v>
      </c>
      <c r="U2100" s="85">
        <f>STATS1003B!U2104/1000</f>
        <v>0</v>
      </c>
      <c r="V2100" s="85">
        <f>STATS1003B!V2104/1000</f>
        <v>0</v>
      </c>
      <c r="W2100" s="85">
        <f>STATS1003B!W2104/1000</f>
        <v>0</v>
      </c>
      <c r="X2100" s="85">
        <f>STATS1003B!X2104/1000</f>
        <v>1018</v>
      </c>
      <c r="Y2100" s="85">
        <f>STATS1003B!Y2104/1000</f>
        <v>0</v>
      </c>
      <c r="Z2100" s="85">
        <f>STATS1003B!Z2104/1000</f>
        <v>0</v>
      </c>
      <c r="AA2100" s="69">
        <f>STATS1003B!AA2104/1000</f>
        <v>1018</v>
      </c>
      <c r="AB2100" s="69">
        <f>STATS1003B!AB2104/1000</f>
        <v>0</v>
      </c>
    </row>
    <row r="2101" spans="1:28" hidden="1" x14ac:dyDescent="0.3">
      <c r="A2101" s="117"/>
      <c r="C2101" s="71" t="s">
        <v>621</v>
      </c>
      <c r="D2101" s="88" t="s">
        <v>73</v>
      </c>
      <c r="E2101" s="85">
        <f>STATS1003B!E2105/1000</f>
        <v>1109.73</v>
      </c>
      <c r="F2101" s="85">
        <f>STATS1003B!F2105/1000</f>
        <v>1109.73</v>
      </c>
      <c r="G2101" s="85">
        <f>STATS1003B!G2105/1000</f>
        <v>0</v>
      </c>
      <c r="H2101" s="85">
        <f>STATS1003B!H2105/1000</f>
        <v>1109.73</v>
      </c>
      <c r="I2101" s="85">
        <f>STATS1003B!I2105/1000</f>
        <v>0</v>
      </c>
      <c r="J2101" s="85">
        <f>STATS1003B!J2105/1000</f>
        <v>1109.73</v>
      </c>
      <c r="K2101" s="85">
        <f>STATS1003B!K2105/1000</f>
        <v>0</v>
      </c>
      <c r="L2101" s="85">
        <f>STATS1003B!L2105/1000</f>
        <v>0</v>
      </c>
      <c r="M2101" s="85">
        <f>STATS1003B!M2105/1000</f>
        <v>1109.73</v>
      </c>
      <c r="N2101" s="85">
        <f>STATS1003B!N2105/1000</f>
        <v>0</v>
      </c>
      <c r="O2101" s="85">
        <f>STATS1003B!O2105/1000</f>
        <v>0</v>
      </c>
      <c r="P2101" s="85">
        <f>STATS1003B!P2105/1000</f>
        <v>0</v>
      </c>
      <c r="Q2101" s="85">
        <f>STATS1003B!Q2105/1000</f>
        <v>1109.73</v>
      </c>
      <c r="R2101" s="85">
        <f>STATS1003B!R2105/1000</f>
        <v>0</v>
      </c>
      <c r="S2101" s="85">
        <f>STATS1003B!S2105/1000</f>
        <v>0</v>
      </c>
      <c r="T2101" s="85">
        <f>STATS1003B!T2105/1000</f>
        <v>0</v>
      </c>
      <c r="U2101" s="85">
        <f>STATS1003B!U2105/1000</f>
        <v>0</v>
      </c>
      <c r="V2101" s="85">
        <f>STATS1003B!V2105/1000</f>
        <v>0</v>
      </c>
      <c r="W2101" s="85">
        <f>STATS1003B!W2105/1000</f>
        <v>0</v>
      </c>
      <c r="X2101" s="85">
        <f>STATS1003B!X2105/1000</f>
        <v>1109.73</v>
      </c>
      <c r="Y2101" s="85">
        <f>STATS1003B!Y2105/1000</f>
        <v>0</v>
      </c>
      <c r="Z2101" s="85">
        <f>STATS1003B!Z2105/1000</f>
        <v>0</v>
      </c>
      <c r="AA2101" s="69">
        <f>STATS1003B!AA2105/1000</f>
        <v>1109.73</v>
      </c>
      <c r="AB2101" s="69">
        <f>STATS1003B!AB2105/1000</f>
        <v>0</v>
      </c>
    </row>
    <row r="2102" spans="1:28" hidden="1" x14ac:dyDescent="0.3">
      <c r="A2102" s="117"/>
      <c r="C2102" s="71" t="s">
        <v>1185</v>
      </c>
      <c r="D2102" s="89" t="s">
        <v>1126</v>
      </c>
      <c r="E2102" s="85">
        <f>STATS1003B!E2106/1000</f>
        <v>1570.8945800000001</v>
      </c>
      <c r="F2102" s="85">
        <f>STATS1003B!F2106/1000</f>
        <v>1570.8945800000001</v>
      </c>
      <c r="G2102" s="85">
        <f>STATS1003B!G2106/1000</f>
        <v>0</v>
      </c>
      <c r="H2102" s="85">
        <f>STATS1003B!H2106/1000</f>
        <v>1570.8945800000001</v>
      </c>
      <c r="I2102" s="85">
        <f>STATS1003B!I2106/1000</f>
        <v>0</v>
      </c>
      <c r="J2102" s="85">
        <f>STATS1003B!J2106/1000</f>
        <v>1570.8945800000001</v>
      </c>
      <c r="K2102" s="85">
        <f>STATS1003B!K2106/1000</f>
        <v>0</v>
      </c>
      <c r="L2102" s="85">
        <f>STATS1003B!L2106/1000</f>
        <v>0</v>
      </c>
      <c r="M2102" s="85">
        <f>STATS1003B!M2106/1000</f>
        <v>1570.8945800000001</v>
      </c>
      <c r="N2102" s="85">
        <f>STATS1003B!N2106/1000</f>
        <v>0</v>
      </c>
      <c r="O2102" s="85">
        <f>STATS1003B!O2106/1000</f>
        <v>0</v>
      </c>
      <c r="P2102" s="85">
        <f>STATS1003B!P2106/1000</f>
        <v>0</v>
      </c>
      <c r="Q2102" s="85">
        <f>STATS1003B!Q2106/1000</f>
        <v>1570.8945800000001</v>
      </c>
      <c r="R2102" s="85">
        <f>STATS1003B!R2106/1000</f>
        <v>0</v>
      </c>
      <c r="S2102" s="85">
        <f>STATS1003B!S2106/1000</f>
        <v>0</v>
      </c>
      <c r="T2102" s="85">
        <f>STATS1003B!T2106/1000</f>
        <v>0</v>
      </c>
      <c r="U2102" s="85">
        <f>STATS1003B!U2106/1000</f>
        <v>0</v>
      </c>
      <c r="V2102" s="85">
        <f>STATS1003B!V2106/1000</f>
        <v>0</v>
      </c>
      <c r="W2102" s="85">
        <f>STATS1003B!W2106/1000</f>
        <v>0</v>
      </c>
      <c r="X2102" s="85">
        <f>STATS1003B!X2106/1000</f>
        <v>1570.8945800000001</v>
      </c>
      <c r="Y2102" s="85">
        <f>STATS1003B!Y2106/1000</f>
        <v>0</v>
      </c>
      <c r="Z2102" s="85">
        <f>STATS1003B!Z2106/1000</f>
        <v>0</v>
      </c>
      <c r="AA2102" s="69">
        <f>STATS1003B!AA2106/1000</f>
        <v>1570.8945800000001</v>
      </c>
      <c r="AB2102" s="69">
        <f>STATS1003B!AB2106/1000</f>
        <v>0</v>
      </c>
    </row>
    <row r="2103" spans="1:28" hidden="1" x14ac:dyDescent="0.3">
      <c r="A2103" s="117"/>
      <c r="C2103" s="71" t="s">
        <v>929</v>
      </c>
      <c r="D2103" s="88"/>
      <c r="E2103" s="85">
        <f>STATS1003B!E2107/1000</f>
        <v>2198.2895699999999</v>
      </c>
      <c r="F2103" s="85">
        <f>STATS1003B!F2107/1000</f>
        <v>2198.2895699999999</v>
      </c>
      <c r="G2103" s="85">
        <f>STATS1003B!G2107/1000</f>
        <v>0</v>
      </c>
      <c r="H2103" s="85">
        <f>STATS1003B!H2107/1000</f>
        <v>2198.2895699999999</v>
      </c>
      <c r="I2103" s="85">
        <f>STATS1003B!I2107/1000</f>
        <v>0</v>
      </c>
      <c r="J2103" s="85">
        <f>STATS1003B!J2107/1000</f>
        <v>0</v>
      </c>
      <c r="K2103" s="85">
        <f>STATS1003B!K2107/1000</f>
        <v>0</v>
      </c>
      <c r="L2103" s="85">
        <f>STATS1003B!L2107/1000</f>
        <v>0</v>
      </c>
      <c r="M2103" s="85">
        <f>STATS1003B!M2107/1000</f>
        <v>2198.2895699999999</v>
      </c>
      <c r="N2103" s="85">
        <f>STATS1003B!N2107/1000</f>
        <v>0</v>
      </c>
      <c r="O2103" s="85">
        <f>STATS1003B!O2107/1000</f>
        <v>0</v>
      </c>
      <c r="P2103" s="85">
        <f>STATS1003B!P2107/1000</f>
        <v>0</v>
      </c>
      <c r="Q2103" s="85">
        <f>STATS1003B!Q2107/1000</f>
        <v>0</v>
      </c>
      <c r="R2103" s="85">
        <f>STATS1003B!R2107/1000</f>
        <v>0</v>
      </c>
      <c r="S2103" s="85">
        <f>STATS1003B!S2107/1000</f>
        <v>0</v>
      </c>
      <c r="T2103" s="85">
        <f>STATS1003B!T2107/1000</f>
        <v>0</v>
      </c>
      <c r="U2103" s="85">
        <f>STATS1003B!U2107/1000</f>
        <v>0</v>
      </c>
      <c r="V2103" s="85">
        <f>STATS1003B!V2107/1000</f>
        <v>0</v>
      </c>
      <c r="W2103" s="85">
        <f>STATS1003B!W2107/1000</f>
        <v>0</v>
      </c>
      <c r="X2103" s="85">
        <f>STATS1003B!X2107/1000</f>
        <v>2198.2895699999999</v>
      </c>
      <c r="Y2103" s="85">
        <f>STATS1003B!Y2107/1000</f>
        <v>0</v>
      </c>
      <c r="Z2103" s="85">
        <f>STATS1003B!Z2107/1000</f>
        <v>0</v>
      </c>
      <c r="AA2103" s="69">
        <f>STATS1003B!AA2107/1000</f>
        <v>2198.2895699999999</v>
      </c>
      <c r="AB2103" s="69">
        <f>STATS1003B!AB2107/1000</f>
        <v>0</v>
      </c>
    </row>
    <row r="2104" spans="1:28" hidden="1" x14ac:dyDescent="0.3">
      <c r="A2104" s="117"/>
      <c r="C2104" s="71" t="s">
        <v>1094</v>
      </c>
      <c r="D2104" s="89" t="s">
        <v>1072</v>
      </c>
      <c r="E2104" s="85">
        <f>STATS1003B!E2108/1000</f>
        <v>4819.2068399999998</v>
      </c>
      <c r="F2104" s="85">
        <f>STATS1003B!F2108/1000</f>
        <v>4819.2068399999998</v>
      </c>
      <c r="G2104" s="85">
        <f>STATS1003B!G2108/1000</f>
        <v>0</v>
      </c>
      <c r="H2104" s="85">
        <f>STATS1003B!H2108/1000</f>
        <v>4819.2068399999998</v>
      </c>
      <c r="I2104" s="85">
        <f>STATS1003B!I2108/1000</f>
        <v>0</v>
      </c>
      <c r="J2104" s="85">
        <f>STATS1003B!J2108/1000</f>
        <v>0</v>
      </c>
      <c r="K2104" s="85">
        <f>STATS1003B!K2108/1000</f>
        <v>0</v>
      </c>
      <c r="L2104" s="85">
        <f>STATS1003B!L2108/1000</f>
        <v>0</v>
      </c>
      <c r="M2104" s="85">
        <f>STATS1003B!M2108/1000</f>
        <v>4819.2068399999998</v>
      </c>
      <c r="N2104" s="85">
        <f>STATS1003B!N2108/1000</f>
        <v>0</v>
      </c>
      <c r="O2104" s="85">
        <f>STATS1003B!O2108/1000</f>
        <v>0</v>
      </c>
      <c r="P2104" s="85">
        <f>STATS1003B!P2108/1000</f>
        <v>0</v>
      </c>
      <c r="Q2104" s="85">
        <f>STATS1003B!Q2108/1000</f>
        <v>0</v>
      </c>
      <c r="R2104" s="85">
        <f>STATS1003B!R2108/1000</f>
        <v>0</v>
      </c>
      <c r="S2104" s="85">
        <f>STATS1003B!S2108/1000</f>
        <v>0</v>
      </c>
      <c r="T2104" s="85">
        <f>STATS1003B!T2108/1000</f>
        <v>0</v>
      </c>
      <c r="U2104" s="85">
        <f>STATS1003B!U2108/1000</f>
        <v>0</v>
      </c>
      <c r="V2104" s="85">
        <f>STATS1003B!V2108/1000</f>
        <v>0</v>
      </c>
      <c r="W2104" s="85">
        <f>STATS1003B!W2108/1000</f>
        <v>0</v>
      </c>
      <c r="X2104" s="85">
        <f>STATS1003B!X2108/1000</f>
        <v>4819.2068399999998</v>
      </c>
      <c r="Y2104" s="85">
        <f>STATS1003B!Y2108/1000</f>
        <v>0</v>
      </c>
      <c r="Z2104" s="85">
        <f>STATS1003B!Z2108/1000</f>
        <v>0</v>
      </c>
      <c r="AA2104" s="69">
        <f>STATS1003B!AA2108/1000</f>
        <v>4819.2068399999998</v>
      </c>
      <c r="AB2104" s="69">
        <f>STATS1003B!AB2108/1000</f>
        <v>0</v>
      </c>
    </row>
    <row r="2105" spans="1:28" hidden="1" x14ac:dyDescent="0.3">
      <c r="A2105" s="117"/>
      <c r="C2105" s="68" t="s">
        <v>535</v>
      </c>
      <c r="D2105" s="87" t="s">
        <v>61</v>
      </c>
      <c r="E2105" s="85">
        <f>STATS1003B!E2109/1000</f>
        <v>1240.3716399999998</v>
      </c>
      <c r="F2105" s="85">
        <f>STATS1003B!F2109/1000</f>
        <v>1240.3716399999998</v>
      </c>
      <c r="G2105" s="85">
        <f>STATS1003B!G2109/1000</f>
        <v>0</v>
      </c>
      <c r="H2105" s="85">
        <f>STATS1003B!H2109/1000</f>
        <v>1240.3716399999998</v>
      </c>
      <c r="I2105" s="85">
        <f>STATS1003B!I2109/1000</f>
        <v>0</v>
      </c>
      <c r="J2105" s="85">
        <f>STATS1003B!J2109/1000</f>
        <v>1240.3716399999998</v>
      </c>
      <c r="K2105" s="85">
        <f>STATS1003B!K2109/1000</f>
        <v>0</v>
      </c>
      <c r="L2105" s="85">
        <f>STATS1003B!L2109/1000</f>
        <v>0</v>
      </c>
      <c r="M2105" s="85">
        <f>STATS1003B!M2109/1000</f>
        <v>1240.3716399999998</v>
      </c>
      <c r="N2105" s="85">
        <f>STATS1003B!N2109/1000</f>
        <v>0</v>
      </c>
      <c r="O2105" s="85">
        <f>STATS1003B!O2109/1000</f>
        <v>0</v>
      </c>
      <c r="P2105" s="85">
        <f>STATS1003B!P2109/1000</f>
        <v>0</v>
      </c>
      <c r="Q2105" s="85">
        <f>STATS1003B!Q2109/1000</f>
        <v>1240.3716399999998</v>
      </c>
      <c r="R2105" s="85">
        <f>STATS1003B!R2109/1000</f>
        <v>0</v>
      </c>
      <c r="S2105" s="85">
        <f>STATS1003B!S2109/1000</f>
        <v>0</v>
      </c>
      <c r="T2105" s="85">
        <f>STATS1003B!T2109/1000</f>
        <v>0</v>
      </c>
      <c r="U2105" s="85">
        <f>STATS1003B!U2109/1000</f>
        <v>0</v>
      </c>
      <c r="V2105" s="85">
        <f>STATS1003B!V2109/1000</f>
        <v>0</v>
      </c>
      <c r="W2105" s="85">
        <f>STATS1003B!W2109/1000</f>
        <v>0</v>
      </c>
      <c r="X2105" s="85">
        <f>STATS1003B!X2109/1000</f>
        <v>1240.3716399999998</v>
      </c>
      <c r="Y2105" s="85">
        <f>STATS1003B!Y2109/1000</f>
        <v>0</v>
      </c>
      <c r="Z2105" s="85">
        <f>STATS1003B!Z2109/1000</f>
        <v>0</v>
      </c>
      <c r="AA2105" s="69">
        <f>STATS1003B!AA2109/1000</f>
        <v>1240.3716399999998</v>
      </c>
      <c r="AB2105" s="69">
        <f>STATS1003B!AB2109/1000</f>
        <v>0</v>
      </c>
    </row>
    <row r="2106" spans="1:28" hidden="1" x14ac:dyDescent="0.3">
      <c r="A2106" s="117"/>
      <c r="C2106" s="71" t="s">
        <v>621</v>
      </c>
      <c r="D2106" s="88" t="s">
        <v>61</v>
      </c>
      <c r="E2106" s="85">
        <f>STATS1003B!E2110/1000</f>
        <v>1128.6185499999999</v>
      </c>
      <c r="F2106" s="85">
        <f>STATS1003B!F2110/1000</f>
        <v>1119.10365</v>
      </c>
      <c r="G2106" s="85">
        <f>STATS1003B!G2110/1000</f>
        <v>0</v>
      </c>
      <c r="H2106" s="85">
        <f>STATS1003B!H2110/1000</f>
        <v>1119.10365</v>
      </c>
      <c r="I2106" s="85">
        <f>STATS1003B!I2110/1000</f>
        <v>0</v>
      </c>
      <c r="J2106" s="85">
        <f>STATS1003B!J2110/1000</f>
        <v>1119.10365</v>
      </c>
      <c r="K2106" s="85">
        <f>STATS1003B!K2110/1000</f>
        <v>0</v>
      </c>
      <c r="L2106" s="85">
        <f>STATS1003B!L2110/1000</f>
        <v>0</v>
      </c>
      <c r="M2106" s="85">
        <f>STATS1003B!M2110/1000</f>
        <v>1119.10365</v>
      </c>
      <c r="N2106" s="85">
        <f>STATS1003B!N2110/1000</f>
        <v>0</v>
      </c>
      <c r="O2106" s="85">
        <f>STATS1003B!O2110/1000</f>
        <v>0</v>
      </c>
      <c r="P2106" s="85">
        <f>STATS1003B!P2110/1000</f>
        <v>0</v>
      </c>
      <c r="Q2106" s="85">
        <f>STATS1003B!Q2110/1000</f>
        <v>1128.6185499999999</v>
      </c>
      <c r="R2106" s="85">
        <f>STATS1003B!R2110/1000</f>
        <v>0</v>
      </c>
      <c r="S2106" s="85">
        <f>STATS1003B!S2110/1000</f>
        <v>0</v>
      </c>
      <c r="T2106" s="85">
        <f>STATS1003B!T2110/1000</f>
        <v>9.514899999999999</v>
      </c>
      <c r="U2106" s="85">
        <f>STATS1003B!U2110/1000</f>
        <v>9.514899999999999</v>
      </c>
      <c r="V2106" s="85">
        <f>STATS1003B!V2110/1000</f>
        <v>0</v>
      </c>
      <c r="W2106" s="85">
        <f>STATS1003B!W2110/1000</f>
        <v>0</v>
      </c>
      <c r="X2106" s="85">
        <f>STATS1003B!X2110/1000</f>
        <v>1119.10365</v>
      </c>
      <c r="Y2106" s="85">
        <f>STATS1003B!Y2110/1000</f>
        <v>0</v>
      </c>
      <c r="Z2106" s="85">
        <f>STATS1003B!Z2110/1000</f>
        <v>9.5148999999999067</v>
      </c>
      <c r="AA2106" s="69">
        <f>STATS1003B!AA2110/1000</f>
        <v>1128.6185499999999</v>
      </c>
      <c r="AB2106" s="69">
        <f>STATS1003B!AB2110/1000</f>
        <v>0</v>
      </c>
    </row>
    <row r="2107" spans="1:28" hidden="1" x14ac:dyDescent="0.3">
      <c r="A2107" s="117"/>
      <c r="C2107" s="71" t="s">
        <v>1261</v>
      </c>
      <c r="D2107" s="89" t="s">
        <v>1225</v>
      </c>
      <c r="E2107" s="85">
        <f>STATS1003B!E2111/1000</f>
        <v>3978.8636299999998</v>
      </c>
      <c r="F2107" s="85">
        <f>STATS1003B!F2111/1000</f>
        <v>0</v>
      </c>
      <c r="G2107" s="85">
        <f>STATS1003B!G2111/1000</f>
        <v>3978.8636299999998</v>
      </c>
      <c r="H2107" s="85">
        <f>STATS1003B!H2111/1000</f>
        <v>3978.8636299999998</v>
      </c>
      <c r="I2107" s="85">
        <f>STATS1003B!I2111/1000</f>
        <v>0</v>
      </c>
      <c r="J2107" s="85">
        <f>STATS1003B!J2111/1000</f>
        <v>0</v>
      </c>
      <c r="K2107" s="85">
        <f>STATS1003B!K2111/1000</f>
        <v>0</v>
      </c>
      <c r="L2107" s="85">
        <f>STATS1003B!L2111/1000</f>
        <v>0</v>
      </c>
      <c r="M2107" s="85">
        <f>STATS1003B!M2111/1000</f>
        <v>3978.8636299999998</v>
      </c>
      <c r="N2107" s="85">
        <f>STATS1003B!N2111/1000</f>
        <v>0</v>
      </c>
      <c r="O2107" s="85">
        <f>STATS1003B!O2111/1000</f>
        <v>0</v>
      </c>
      <c r="P2107" s="85">
        <f>STATS1003B!P2111/1000</f>
        <v>0</v>
      </c>
      <c r="Q2107" s="85">
        <f>STATS1003B!Q2111/1000</f>
        <v>0</v>
      </c>
      <c r="R2107" s="85">
        <f>STATS1003B!R2111/1000</f>
        <v>0</v>
      </c>
      <c r="S2107" s="85">
        <f>STATS1003B!S2111/1000</f>
        <v>0</v>
      </c>
      <c r="T2107" s="85">
        <f>STATS1003B!T2111/1000</f>
        <v>0</v>
      </c>
      <c r="U2107" s="85">
        <f>STATS1003B!U2111/1000</f>
        <v>0</v>
      </c>
      <c r="V2107" s="85">
        <f>STATS1003B!V2111/1000</f>
        <v>0</v>
      </c>
      <c r="W2107" s="85">
        <f>STATS1003B!W2111/1000</f>
        <v>0</v>
      </c>
      <c r="X2107" s="85">
        <f>STATS1003B!X2111/1000</f>
        <v>3978.8636299999998</v>
      </c>
      <c r="Y2107" s="85">
        <f>STATS1003B!Y2111/1000</f>
        <v>0</v>
      </c>
      <c r="Z2107" s="85">
        <f>STATS1003B!Z2111/1000</f>
        <v>0</v>
      </c>
      <c r="AA2107" s="69">
        <f>STATS1003B!AA2111/1000</f>
        <v>3978.8636299999998</v>
      </c>
      <c r="AB2107" s="69">
        <f>STATS1003B!AB2111/1000</f>
        <v>0</v>
      </c>
    </row>
    <row r="2108" spans="1:28" hidden="1" x14ac:dyDescent="0.3">
      <c r="A2108" s="117"/>
      <c r="C2108" s="68" t="s">
        <v>598</v>
      </c>
      <c r="E2108" s="85">
        <f>STATS1003B!E2112/1000</f>
        <v>785.13</v>
      </c>
      <c r="F2108" s="85">
        <f>STATS1003B!F2112/1000</f>
        <v>785.13</v>
      </c>
      <c r="G2108" s="85">
        <f>STATS1003B!G2112/1000</f>
        <v>0</v>
      </c>
      <c r="H2108" s="85">
        <f>STATS1003B!H2112/1000</f>
        <v>785.13</v>
      </c>
      <c r="I2108" s="85">
        <f>STATS1003B!I2112/1000</f>
        <v>0</v>
      </c>
      <c r="J2108" s="85">
        <f>STATS1003B!J2112/1000</f>
        <v>785.13</v>
      </c>
      <c r="K2108" s="85">
        <f>STATS1003B!K2112/1000</f>
        <v>0</v>
      </c>
      <c r="L2108" s="85">
        <f>STATS1003B!L2112/1000</f>
        <v>0</v>
      </c>
      <c r="M2108" s="85">
        <f>STATS1003B!M2112/1000</f>
        <v>785.13</v>
      </c>
      <c r="N2108" s="85">
        <f>STATS1003B!N2112/1000</f>
        <v>0</v>
      </c>
      <c r="O2108" s="85">
        <f>STATS1003B!O2112/1000</f>
        <v>0</v>
      </c>
      <c r="P2108" s="85">
        <f>STATS1003B!P2112/1000</f>
        <v>0</v>
      </c>
      <c r="Q2108" s="85">
        <f>STATS1003B!Q2112/1000</f>
        <v>785.13</v>
      </c>
      <c r="R2108" s="85">
        <f>STATS1003B!R2112/1000</f>
        <v>0</v>
      </c>
      <c r="S2108" s="85">
        <f>STATS1003B!S2112/1000</f>
        <v>0</v>
      </c>
      <c r="T2108" s="85">
        <f>STATS1003B!T2112/1000</f>
        <v>0</v>
      </c>
      <c r="U2108" s="85">
        <f>STATS1003B!U2112/1000</f>
        <v>0</v>
      </c>
      <c r="V2108" s="85">
        <f>STATS1003B!V2112/1000</f>
        <v>0</v>
      </c>
      <c r="W2108" s="85">
        <f>STATS1003B!W2112/1000</f>
        <v>0</v>
      </c>
      <c r="X2108" s="85">
        <f>STATS1003B!X2112/1000</f>
        <v>785.13</v>
      </c>
      <c r="Y2108" s="85">
        <f>STATS1003B!Y2112/1000</f>
        <v>0</v>
      </c>
      <c r="Z2108" s="85">
        <f>STATS1003B!Z2112/1000</f>
        <v>0</v>
      </c>
      <c r="AA2108" s="69">
        <f>STATS1003B!AA2112/1000</f>
        <v>785.13</v>
      </c>
      <c r="AB2108" s="69">
        <f>STATS1003B!AB2112/1000</f>
        <v>0</v>
      </c>
    </row>
    <row r="2109" spans="1:28" hidden="1" x14ac:dyDescent="0.3">
      <c r="A2109" s="117"/>
      <c r="C2109" s="68" t="s">
        <v>550</v>
      </c>
      <c r="E2109" s="85">
        <f>STATS1003B!E2113/1000</f>
        <v>105.73699999999999</v>
      </c>
      <c r="F2109" s="85">
        <f>STATS1003B!F2113/1000</f>
        <v>105.73699999999999</v>
      </c>
      <c r="G2109" s="85">
        <f>STATS1003B!G2113/1000</f>
        <v>0</v>
      </c>
      <c r="H2109" s="85">
        <f>STATS1003B!H2113/1000</f>
        <v>105.73699999999999</v>
      </c>
      <c r="I2109" s="85">
        <f>STATS1003B!I2113/1000</f>
        <v>0</v>
      </c>
      <c r="J2109" s="85">
        <f>STATS1003B!J2113/1000</f>
        <v>105.73699999999999</v>
      </c>
      <c r="K2109" s="85">
        <f>STATS1003B!K2113/1000</f>
        <v>0</v>
      </c>
      <c r="L2109" s="85">
        <f>STATS1003B!L2113/1000</f>
        <v>0</v>
      </c>
      <c r="M2109" s="85">
        <f>STATS1003B!M2113/1000</f>
        <v>105.73699999999999</v>
      </c>
      <c r="N2109" s="85">
        <f>STATS1003B!N2113/1000</f>
        <v>0</v>
      </c>
      <c r="O2109" s="85">
        <f>STATS1003B!O2113/1000</f>
        <v>0</v>
      </c>
      <c r="P2109" s="85">
        <f>STATS1003B!P2113/1000</f>
        <v>0</v>
      </c>
      <c r="Q2109" s="85">
        <f>STATS1003B!Q2113/1000</f>
        <v>105.73699999999999</v>
      </c>
      <c r="R2109" s="85">
        <f>STATS1003B!R2113/1000</f>
        <v>0</v>
      </c>
      <c r="S2109" s="85">
        <f>STATS1003B!S2113/1000</f>
        <v>0</v>
      </c>
      <c r="T2109" s="85">
        <f>STATS1003B!T2113/1000</f>
        <v>0</v>
      </c>
      <c r="U2109" s="85">
        <f>STATS1003B!U2113/1000</f>
        <v>0</v>
      </c>
      <c r="V2109" s="85">
        <f>STATS1003B!V2113/1000</f>
        <v>0</v>
      </c>
      <c r="W2109" s="85">
        <f>STATS1003B!W2113/1000</f>
        <v>0</v>
      </c>
      <c r="X2109" s="85">
        <f>STATS1003B!X2113/1000</f>
        <v>105.73699999999999</v>
      </c>
      <c r="Y2109" s="85">
        <f>STATS1003B!Y2113/1000</f>
        <v>0</v>
      </c>
      <c r="Z2109" s="85">
        <f>STATS1003B!Z2113/1000</f>
        <v>0</v>
      </c>
      <c r="AA2109" s="69">
        <f>STATS1003B!AA2113/1000</f>
        <v>105.73699999999999</v>
      </c>
      <c r="AB2109" s="69">
        <f>STATS1003B!AB2113/1000</f>
        <v>0</v>
      </c>
    </row>
    <row r="2110" spans="1:28" hidden="1" x14ac:dyDescent="0.3">
      <c r="A2110" s="117"/>
      <c r="C2110" s="68" t="s">
        <v>606</v>
      </c>
      <c r="E2110" s="85">
        <f>STATS1003B!E2114/1000</f>
        <v>9081.7267799999991</v>
      </c>
      <c r="F2110" s="85">
        <f>STATS1003B!F2114/1000</f>
        <v>9081.7267799999991</v>
      </c>
      <c r="G2110" s="85">
        <f>STATS1003B!G2114/1000</f>
        <v>0</v>
      </c>
      <c r="H2110" s="85">
        <f>STATS1003B!H2114/1000</f>
        <v>9081.7267799999991</v>
      </c>
      <c r="I2110" s="85">
        <f>STATS1003B!I2114/1000</f>
        <v>0</v>
      </c>
      <c r="J2110" s="85">
        <f>STATS1003B!J2114/1000</f>
        <v>9081.7267799999991</v>
      </c>
      <c r="K2110" s="85">
        <f>STATS1003B!K2114/1000</f>
        <v>0</v>
      </c>
      <c r="L2110" s="85">
        <f>STATS1003B!L2114/1000</f>
        <v>0</v>
      </c>
      <c r="M2110" s="85">
        <f>STATS1003B!M2114/1000</f>
        <v>9081.7267799999991</v>
      </c>
      <c r="N2110" s="85">
        <f>STATS1003B!N2114/1000</f>
        <v>0</v>
      </c>
      <c r="O2110" s="85">
        <f>STATS1003B!O2114/1000</f>
        <v>0</v>
      </c>
      <c r="P2110" s="85">
        <f>STATS1003B!P2114/1000</f>
        <v>0</v>
      </c>
      <c r="Q2110" s="85">
        <f>STATS1003B!Q2114/1000</f>
        <v>9081.7267799999991</v>
      </c>
      <c r="R2110" s="85">
        <f>STATS1003B!R2114/1000</f>
        <v>0</v>
      </c>
      <c r="S2110" s="85">
        <f>STATS1003B!S2114/1000</f>
        <v>0</v>
      </c>
      <c r="T2110" s="85">
        <f>STATS1003B!T2114/1000</f>
        <v>0</v>
      </c>
      <c r="U2110" s="85">
        <f>STATS1003B!U2114/1000</f>
        <v>0</v>
      </c>
      <c r="V2110" s="85">
        <f>STATS1003B!V2114/1000</f>
        <v>0</v>
      </c>
      <c r="W2110" s="85">
        <f>STATS1003B!W2114/1000</f>
        <v>0</v>
      </c>
      <c r="X2110" s="85">
        <f>STATS1003B!X2114/1000</f>
        <v>9081.7267799999991</v>
      </c>
      <c r="Y2110" s="85">
        <f>STATS1003B!Y2114/1000</f>
        <v>0</v>
      </c>
      <c r="Z2110" s="85">
        <f>STATS1003B!Z2114/1000</f>
        <v>0</v>
      </c>
      <c r="AA2110" s="69">
        <f>STATS1003B!AA2114/1000</f>
        <v>9081.7267799999991</v>
      </c>
      <c r="AB2110" s="69">
        <f>STATS1003B!AB2114/1000</f>
        <v>0</v>
      </c>
    </row>
    <row r="2111" spans="1:28" hidden="1" x14ac:dyDescent="0.3">
      <c r="A2111" s="117"/>
      <c r="E2111" s="86" t="s">
        <v>29</v>
      </c>
      <c r="F2111" s="86" t="s">
        <v>29</v>
      </c>
      <c r="G2111" s="86" t="s">
        <v>29</v>
      </c>
      <c r="H2111" s="86" t="s">
        <v>29</v>
      </c>
      <c r="I2111" s="86" t="s">
        <v>29</v>
      </c>
      <c r="J2111" s="86" t="s">
        <v>29</v>
      </c>
      <c r="K2111" s="86" t="s">
        <v>29</v>
      </c>
      <c r="L2111" s="86" t="s">
        <v>29</v>
      </c>
      <c r="M2111" s="86" t="s">
        <v>29</v>
      </c>
      <c r="N2111" s="86" t="s">
        <v>29</v>
      </c>
      <c r="O2111" s="86" t="s">
        <v>29</v>
      </c>
      <c r="P2111" s="86" t="s">
        <v>29</v>
      </c>
      <c r="Q2111" s="86" t="s">
        <v>29</v>
      </c>
      <c r="R2111" s="86" t="s">
        <v>29</v>
      </c>
      <c r="S2111" s="86" t="s">
        <v>29</v>
      </c>
      <c r="T2111" s="86" t="s">
        <v>29</v>
      </c>
      <c r="U2111" s="86" t="s">
        <v>29</v>
      </c>
      <c r="V2111" s="86" t="s">
        <v>29</v>
      </c>
      <c r="W2111" s="86" t="s">
        <v>29</v>
      </c>
      <c r="X2111" s="86" t="s">
        <v>29</v>
      </c>
      <c r="Y2111" s="86" t="s">
        <v>29</v>
      </c>
      <c r="Z2111" s="86" t="s">
        <v>29</v>
      </c>
      <c r="AA2111" s="115" t="s">
        <v>29</v>
      </c>
      <c r="AB2111" s="115" t="s">
        <v>29</v>
      </c>
    </row>
    <row r="2112" spans="1:28" x14ac:dyDescent="0.3">
      <c r="A2112" s="116">
        <v>92</v>
      </c>
      <c r="B2112" s="71" t="s">
        <v>800</v>
      </c>
      <c r="E2112" s="85">
        <f>180052811.27/1000</f>
        <v>180052.81127000001</v>
      </c>
      <c r="F2112" s="85">
        <f t="shared" ref="F2112:Q2112" si="233">SUM(F2086:F2111)</f>
        <v>60890.213179999992</v>
      </c>
      <c r="G2112" s="85">
        <f t="shared" si="233"/>
        <v>3978.8636299999998</v>
      </c>
      <c r="H2112" s="85">
        <f>178264528.62/1000</f>
        <v>178264.52862</v>
      </c>
      <c r="I2112" s="85">
        <f t="shared" si="233"/>
        <v>0</v>
      </c>
      <c r="J2112" s="85">
        <f t="shared" si="233"/>
        <v>53872.716769999992</v>
      </c>
      <c r="K2112" s="85">
        <f t="shared" si="233"/>
        <v>1778.76775</v>
      </c>
      <c r="L2112" s="85">
        <f t="shared" si="233"/>
        <v>0</v>
      </c>
      <c r="M2112" s="85">
        <f t="shared" si="233"/>
        <v>64869.076809999991</v>
      </c>
      <c r="N2112" s="85">
        <f t="shared" si="233"/>
        <v>1778.76775</v>
      </c>
      <c r="O2112" s="85">
        <f t="shared" si="233"/>
        <v>0</v>
      </c>
      <c r="P2112" s="85">
        <f>1778767/1000</f>
        <v>1778.7670000000001</v>
      </c>
      <c r="Q2112" s="85">
        <f t="shared" si="233"/>
        <v>53882.231669999994</v>
      </c>
      <c r="R2112" s="84"/>
      <c r="S2112" s="84"/>
      <c r="T2112" s="85">
        <f t="shared" ref="T2112:Y2112" si="234">SUM(T2086:T2111)</f>
        <v>9.514899999999999</v>
      </c>
      <c r="U2112" s="85">
        <f t="shared" si="234"/>
        <v>1788.2826499999999</v>
      </c>
      <c r="V2112" s="85">
        <f t="shared" si="234"/>
        <v>0</v>
      </c>
      <c r="W2112" s="85">
        <f t="shared" si="234"/>
        <v>0</v>
      </c>
      <c r="X2112" s="85">
        <f>+H2112+P2112</f>
        <v>180043.29561999999</v>
      </c>
      <c r="Y2112" s="85">
        <f t="shared" si="234"/>
        <v>0</v>
      </c>
      <c r="Z2112" s="85">
        <f>+E2112-X2112</f>
        <v>9.5156500000157394</v>
      </c>
      <c r="AA2112" s="69">
        <f>SUM(AA2086:AA2111)</f>
        <v>66657.359459999992</v>
      </c>
      <c r="AB2112" s="69">
        <f>SUM(AB2086:AB2111)</f>
        <v>5.5933924159035086E-14</v>
      </c>
    </row>
    <row r="2113" spans="1:28" hidden="1" x14ac:dyDescent="0.3">
      <c r="A2113" s="117"/>
      <c r="E2113" s="86" t="s">
        <v>29</v>
      </c>
      <c r="F2113" s="86" t="s">
        <v>29</v>
      </c>
      <c r="G2113" s="86" t="s">
        <v>29</v>
      </c>
      <c r="H2113" s="86" t="s">
        <v>29</v>
      </c>
      <c r="I2113" s="86" t="s">
        <v>29</v>
      </c>
      <c r="J2113" s="86" t="s">
        <v>29</v>
      </c>
      <c r="K2113" s="86" t="s">
        <v>29</v>
      </c>
      <c r="L2113" s="86" t="s">
        <v>29</v>
      </c>
      <c r="M2113" s="86" t="s">
        <v>29</v>
      </c>
      <c r="N2113" s="86" t="s">
        <v>29</v>
      </c>
      <c r="O2113" s="86" t="s">
        <v>29</v>
      </c>
      <c r="P2113" s="86" t="s">
        <v>29</v>
      </c>
      <c r="Q2113" s="86" t="s">
        <v>29</v>
      </c>
      <c r="R2113" s="86" t="s">
        <v>29</v>
      </c>
      <c r="S2113" s="86" t="s">
        <v>29</v>
      </c>
      <c r="T2113" s="86" t="s">
        <v>29</v>
      </c>
      <c r="U2113" s="86" t="s">
        <v>29</v>
      </c>
      <c r="V2113" s="86" t="s">
        <v>29</v>
      </c>
      <c r="W2113" s="86" t="s">
        <v>29</v>
      </c>
      <c r="X2113" s="85" t="e">
        <f t="shared" ref="X2113:X2175" si="235">+H2113+P2113</f>
        <v>#VALUE!</v>
      </c>
      <c r="Y2113" s="86" t="s">
        <v>29</v>
      </c>
      <c r="Z2113" s="86" t="s">
        <v>29</v>
      </c>
      <c r="AA2113" s="115" t="s">
        <v>29</v>
      </c>
      <c r="AB2113" s="115" t="s">
        <v>29</v>
      </c>
    </row>
    <row r="2114" spans="1:28" hidden="1" x14ac:dyDescent="0.3">
      <c r="A2114" s="105"/>
      <c r="E2114" s="84"/>
      <c r="F2114" s="84"/>
      <c r="G2114" s="84"/>
      <c r="H2114" s="84"/>
      <c r="I2114" s="84"/>
      <c r="J2114" s="84"/>
      <c r="K2114" s="84"/>
      <c r="L2114" s="84"/>
      <c r="M2114" s="84"/>
      <c r="N2114" s="84"/>
      <c r="O2114" s="84"/>
      <c r="P2114" s="84"/>
      <c r="Q2114" s="84"/>
      <c r="R2114" s="84"/>
      <c r="S2114" s="84"/>
      <c r="T2114" s="84"/>
      <c r="U2114" s="84"/>
      <c r="V2114" s="84"/>
      <c r="W2114" s="84"/>
      <c r="X2114" s="85">
        <f t="shared" si="235"/>
        <v>0</v>
      </c>
      <c r="Y2114" s="84"/>
      <c r="Z2114" s="84"/>
    </row>
    <row r="2115" spans="1:28" hidden="1" x14ac:dyDescent="0.3">
      <c r="A2115" s="117"/>
      <c r="C2115" s="68" t="s">
        <v>804</v>
      </c>
      <c r="D2115" s="88" t="s">
        <v>68</v>
      </c>
      <c r="E2115" s="85">
        <f>STATS1003B!E2119/1000</f>
        <v>1181.3</v>
      </c>
      <c r="F2115" s="85">
        <f>STATS1003B!F2119/1000</f>
        <v>1181.3</v>
      </c>
      <c r="G2115" s="85">
        <f>STATS1003B!G2119/1000</f>
        <v>0</v>
      </c>
      <c r="H2115" s="85">
        <f>STATS1003B!H2119/1000</f>
        <v>1181.3</v>
      </c>
      <c r="I2115" s="85">
        <f>STATS1003B!I2119/1000</f>
        <v>0</v>
      </c>
      <c r="J2115" s="85">
        <f>STATS1003B!J2119/1000</f>
        <v>1181.3</v>
      </c>
      <c r="K2115" s="85">
        <f>STATS1003B!K2119/1000</f>
        <v>0</v>
      </c>
      <c r="L2115" s="85">
        <f>STATS1003B!L2119/1000</f>
        <v>0</v>
      </c>
      <c r="M2115" s="85">
        <f>STATS1003B!M2119/1000</f>
        <v>1181.3</v>
      </c>
      <c r="N2115" s="85">
        <f>STATS1003B!N2119/1000</f>
        <v>0</v>
      </c>
      <c r="O2115" s="85">
        <f>STATS1003B!O2119/1000</f>
        <v>0</v>
      </c>
      <c r="P2115" s="85">
        <f>STATS1003B!P2119/1000</f>
        <v>0</v>
      </c>
      <c r="Q2115" s="85">
        <f>STATS1003B!Q2119/1000</f>
        <v>1181.3</v>
      </c>
      <c r="R2115" s="85">
        <f>STATS1003B!R2119/1000</f>
        <v>0</v>
      </c>
      <c r="S2115" s="85">
        <f>STATS1003B!S2119/1000</f>
        <v>0</v>
      </c>
      <c r="T2115" s="85">
        <f>STATS1003B!T2119/1000</f>
        <v>0</v>
      </c>
      <c r="U2115" s="85">
        <f>STATS1003B!U2119/1000</f>
        <v>0</v>
      </c>
      <c r="V2115" s="85">
        <f>STATS1003B!V2119/1000</f>
        <v>0</v>
      </c>
      <c r="W2115" s="85">
        <f>STATS1003B!W2119/1000</f>
        <v>0</v>
      </c>
      <c r="X2115" s="85">
        <f t="shared" si="235"/>
        <v>1181.3</v>
      </c>
      <c r="Y2115" s="85">
        <f>STATS1003B!Y2119/1000</f>
        <v>0</v>
      </c>
      <c r="Z2115" s="85">
        <f>STATS1003B!Z2119/1000</f>
        <v>0</v>
      </c>
      <c r="AA2115" s="69">
        <f>STATS1003B!AA2119/1000</f>
        <v>1181.3</v>
      </c>
      <c r="AB2115" s="69">
        <f>STATS1003B!AB2119/1000</f>
        <v>0</v>
      </c>
    </row>
    <row r="2116" spans="1:28" hidden="1" x14ac:dyDescent="0.3">
      <c r="A2116" s="117"/>
      <c r="C2116" s="68" t="s">
        <v>545</v>
      </c>
      <c r="D2116" s="87" t="s">
        <v>54</v>
      </c>
      <c r="E2116" s="85">
        <f>STATS1003B!E2120/1000</f>
        <v>1953.989</v>
      </c>
      <c r="F2116" s="85">
        <f>STATS1003B!F2120/1000</f>
        <v>0</v>
      </c>
      <c r="G2116" s="85">
        <f>STATS1003B!G2120/1000</f>
        <v>0</v>
      </c>
      <c r="H2116" s="85">
        <f>STATS1003B!H2120/1000</f>
        <v>0</v>
      </c>
      <c r="I2116" s="85">
        <f>STATS1003B!I2120/1000</f>
        <v>0</v>
      </c>
      <c r="J2116" s="85">
        <f>STATS1003B!J2120/1000</f>
        <v>0</v>
      </c>
      <c r="K2116" s="85">
        <f>STATS1003B!K2120/1000</f>
        <v>1953.989</v>
      </c>
      <c r="L2116" s="85">
        <f>STATS1003B!L2120/1000</f>
        <v>0</v>
      </c>
      <c r="M2116" s="85">
        <f>STATS1003B!M2120/1000</f>
        <v>0</v>
      </c>
      <c r="N2116" s="85">
        <f>STATS1003B!N2120/1000</f>
        <v>1953.989</v>
      </c>
      <c r="O2116" s="85">
        <f>STATS1003B!O2120/1000</f>
        <v>0</v>
      </c>
      <c r="P2116" s="85">
        <f>STATS1003B!P2120/1000</f>
        <v>1953.989</v>
      </c>
      <c r="Q2116" s="85">
        <f>STATS1003B!Q2120/1000</f>
        <v>0</v>
      </c>
      <c r="R2116" s="85">
        <f>STATS1003B!R2120/1000</f>
        <v>0</v>
      </c>
      <c r="S2116" s="85">
        <f>STATS1003B!S2120/1000</f>
        <v>0</v>
      </c>
      <c r="T2116" s="85">
        <f>STATS1003B!T2120/1000</f>
        <v>0</v>
      </c>
      <c r="U2116" s="85">
        <f>STATS1003B!U2120/1000</f>
        <v>1953.989</v>
      </c>
      <c r="V2116" s="85">
        <f>STATS1003B!V2120/1000</f>
        <v>0</v>
      </c>
      <c r="W2116" s="85">
        <f>STATS1003B!W2120/1000</f>
        <v>0</v>
      </c>
      <c r="X2116" s="85">
        <f t="shared" si="235"/>
        <v>1953.989</v>
      </c>
      <c r="Y2116" s="85">
        <f>STATS1003B!Y2120/1000</f>
        <v>0</v>
      </c>
      <c r="Z2116" s="85">
        <f>STATS1003B!Z2120/1000</f>
        <v>0</v>
      </c>
      <c r="AA2116" s="69">
        <f>STATS1003B!AA2120/1000</f>
        <v>1953.989</v>
      </c>
      <c r="AB2116" s="69">
        <f>STATS1003B!AB2120/1000</f>
        <v>0</v>
      </c>
    </row>
    <row r="2117" spans="1:28" hidden="1" x14ac:dyDescent="0.3">
      <c r="A2117" s="117"/>
      <c r="C2117" s="68" t="s">
        <v>601</v>
      </c>
      <c r="D2117" s="87" t="s">
        <v>54</v>
      </c>
      <c r="E2117" s="85">
        <f>STATS1003B!E2121/1000</f>
        <v>955.34561999999994</v>
      </c>
      <c r="F2117" s="85">
        <f>STATS1003B!F2121/1000</f>
        <v>0</v>
      </c>
      <c r="G2117" s="85">
        <f>STATS1003B!G2121/1000</f>
        <v>0</v>
      </c>
      <c r="H2117" s="85">
        <f>STATS1003B!H2121/1000</f>
        <v>0</v>
      </c>
      <c r="I2117" s="85">
        <f>STATS1003B!I2121/1000</f>
        <v>0</v>
      </c>
      <c r="J2117" s="85">
        <f>STATS1003B!J2121/1000</f>
        <v>0</v>
      </c>
      <c r="K2117" s="85">
        <f>STATS1003B!K2121/1000</f>
        <v>955.34561999999994</v>
      </c>
      <c r="L2117" s="85">
        <f>STATS1003B!L2121/1000</f>
        <v>0</v>
      </c>
      <c r="M2117" s="85">
        <f>STATS1003B!M2121/1000</f>
        <v>0</v>
      </c>
      <c r="N2117" s="85">
        <f>STATS1003B!N2121/1000</f>
        <v>955.34561999999994</v>
      </c>
      <c r="O2117" s="85">
        <f>STATS1003B!O2121/1000</f>
        <v>0</v>
      </c>
      <c r="P2117" s="85">
        <f>STATS1003B!P2121/1000</f>
        <v>955.34561999999994</v>
      </c>
      <c r="Q2117" s="85">
        <f>STATS1003B!Q2121/1000</f>
        <v>0</v>
      </c>
      <c r="R2117" s="85">
        <f>STATS1003B!R2121/1000</f>
        <v>0</v>
      </c>
      <c r="S2117" s="85">
        <f>STATS1003B!S2121/1000</f>
        <v>0</v>
      </c>
      <c r="T2117" s="85">
        <f>STATS1003B!T2121/1000</f>
        <v>0</v>
      </c>
      <c r="U2117" s="85">
        <f>STATS1003B!U2121/1000</f>
        <v>955.34561999999994</v>
      </c>
      <c r="V2117" s="85">
        <f>STATS1003B!V2121/1000</f>
        <v>0</v>
      </c>
      <c r="W2117" s="85">
        <f>STATS1003B!W2121/1000</f>
        <v>0</v>
      </c>
      <c r="X2117" s="85">
        <f t="shared" si="235"/>
        <v>955.34561999999994</v>
      </c>
      <c r="Y2117" s="85">
        <f>STATS1003B!Y2121/1000</f>
        <v>0</v>
      </c>
      <c r="Z2117" s="85">
        <f>STATS1003B!Z2121/1000</f>
        <v>0</v>
      </c>
      <c r="AA2117" s="69">
        <f>STATS1003B!AA2121/1000</f>
        <v>955.34561999999994</v>
      </c>
      <c r="AB2117" s="69">
        <f>STATS1003B!AB2121/1000</f>
        <v>0</v>
      </c>
    </row>
    <row r="2118" spans="1:28" hidden="1" x14ac:dyDescent="0.3">
      <c r="A2118" s="117"/>
      <c r="C2118" s="68" t="s">
        <v>535</v>
      </c>
      <c r="D2118" s="87" t="s">
        <v>54</v>
      </c>
      <c r="E2118" s="85">
        <f>STATS1003B!E2122/1000</f>
        <v>748.12</v>
      </c>
      <c r="F2118" s="85">
        <f>STATS1003B!F2122/1000</f>
        <v>748.12</v>
      </c>
      <c r="G2118" s="85">
        <f>STATS1003B!G2122/1000</f>
        <v>0</v>
      </c>
      <c r="H2118" s="85">
        <f>STATS1003B!H2122/1000</f>
        <v>748.12</v>
      </c>
      <c r="I2118" s="85">
        <f>STATS1003B!I2122/1000</f>
        <v>0</v>
      </c>
      <c r="J2118" s="85">
        <f>STATS1003B!J2122/1000</f>
        <v>748.12</v>
      </c>
      <c r="K2118" s="85">
        <f>STATS1003B!K2122/1000</f>
        <v>0</v>
      </c>
      <c r="L2118" s="85">
        <f>STATS1003B!L2122/1000</f>
        <v>0</v>
      </c>
      <c r="M2118" s="85">
        <f>STATS1003B!M2122/1000</f>
        <v>748.12</v>
      </c>
      <c r="N2118" s="85">
        <f>STATS1003B!N2122/1000</f>
        <v>0</v>
      </c>
      <c r="O2118" s="85">
        <f>STATS1003B!O2122/1000</f>
        <v>0</v>
      </c>
      <c r="P2118" s="85">
        <f>STATS1003B!P2122/1000</f>
        <v>0</v>
      </c>
      <c r="Q2118" s="85">
        <f>STATS1003B!Q2122/1000</f>
        <v>748.12</v>
      </c>
      <c r="R2118" s="85">
        <f>STATS1003B!R2122/1000</f>
        <v>0</v>
      </c>
      <c r="S2118" s="85">
        <f>STATS1003B!S2122/1000</f>
        <v>0</v>
      </c>
      <c r="T2118" s="85">
        <f>STATS1003B!T2122/1000</f>
        <v>0</v>
      </c>
      <c r="U2118" s="85">
        <f>STATS1003B!U2122/1000</f>
        <v>0</v>
      </c>
      <c r="V2118" s="85">
        <f>STATS1003B!V2122/1000</f>
        <v>0</v>
      </c>
      <c r="W2118" s="85">
        <f>STATS1003B!W2122/1000</f>
        <v>0</v>
      </c>
      <c r="X2118" s="85">
        <f t="shared" si="235"/>
        <v>748.12</v>
      </c>
      <c r="Y2118" s="85">
        <f>STATS1003B!Y2122/1000</f>
        <v>0</v>
      </c>
      <c r="Z2118" s="85">
        <f>STATS1003B!Z2122/1000</f>
        <v>0</v>
      </c>
      <c r="AA2118" s="69">
        <f>STATS1003B!AA2122/1000</f>
        <v>748.12</v>
      </c>
      <c r="AB2118" s="69">
        <f>STATS1003B!AB2122/1000</f>
        <v>0</v>
      </c>
    </row>
    <row r="2119" spans="1:28" hidden="1" x14ac:dyDescent="0.3">
      <c r="A2119" s="117"/>
      <c r="C2119" s="68" t="s">
        <v>557</v>
      </c>
      <c r="D2119" s="87" t="s">
        <v>54</v>
      </c>
      <c r="E2119" s="85">
        <f>STATS1003B!E2123/1000</f>
        <v>3849</v>
      </c>
      <c r="F2119" s="85">
        <f>STATS1003B!F2123/1000</f>
        <v>3849</v>
      </c>
      <c r="G2119" s="85">
        <f>STATS1003B!G2123/1000</f>
        <v>0</v>
      </c>
      <c r="H2119" s="85">
        <f>STATS1003B!H2123/1000</f>
        <v>3849</v>
      </c>
      <c r="I2119" s="85">
        <f>STATS1003B!I2123/1000</f>
        <v>0</v>
      </c>
      <c r="J2119" s="85">
        <f>STATS1003B!J2123/1000</f>
        <v>3849</v>
      </c>
      <c r="K2119" s="85">
        <f>STATS1003B!K2123/1000</f>
        <v>0</v>
      </c>
      <c r="L2119" s="85">
        <f>STATS1003B!L2123/1000</f>
        <v>0</v>
      </c>
      <c r="M2119" s="85">
        <f>STATS1003B!M2123/1000</f>
        <v>3849</v>
      </c>
      <c r="N2119" s="85">
        <f>STATS1003B!N2123/1000</f>
        <v>0</v>
      </c>
      <c r="O2119" s="85">
        <f>STATS1003B!O2123/1000</f>
        <v>0</v>
      </c>
      <c r="P2119" s="85">
        <f>STATS1003B!P2123/1000</f>
        <v>0</v>
      </c>
      <c r="Q2119" s="85">
        <f>STATS1003B!Q2123/1000</f>
        <v>3849</v>
      </c>
      <c r="R2119" s="85">
        <f>STATS1003B!R2123/1000</f>
        <v>0</v>
      </c>
      <c r="S2119" s="85">
        <f>STATS1003B!S2123/1000</f>
        <v>0</v>
      </c>
      <c r="T2119" s="85">
        <f>STATS1003B!T2123/1000</f>
        <v>0</v>
      </c>
      <c r="U2119" s="85">
        <f>STATS1003B!U2123/1000</f>
        <v>0</v>
      </c>
      <c r="V2119" s="85">
        <f>STATS1003B!V2123/1000</f>
        <v>0</v>
      </c>
      <c r="W2119" s="85">
        <f>STATS1003B!W2123/1000</f>
        <v>0</v>
      </c>
      <c r="X2119" s="85">
        <f t="shared" si="235"/>
        <v>3849</v>
      </c>
      <c r="Y2119" s="85">
        <f>STATS1003B!Y2123/1000</f>
        <v>0</v>
      </c>
      <c r="Z2119" s="85">
        <f>STATS1003B!Z2123/1000</f>
        <v>0</v>
      </c>
      <c r="AA2119" s="69">
        <f>STATS1003B!AA2123/1000</f>
        <v>3849</v>
      </c>
      <c r="AB2119" s="69">
        <f>STATS1003B!AB2123/1000</f>
        <v>0</v>
      </c>
    </row>
    <row r="2120" spans="1:28" hidden="1" x14ac:dyDescent="0.3">
      <c r="A2120" s="117"/>
      <c r="C2120" s="68" t="s">
        <v>535</v>
      </c>
      <c r="D2120" s="87" t="s">
        <v>85</v>
      </c>
      <c r="E2120" s="85">
        <f>STATS1003B!E2124/1000</f>
        <v>1436.5519299999999</v>
      </c>
      <c r="F2120" s="85">
        <f>STATS1003B!F2124/1000</f>
        <v>1436.5519299999999</v>
      </c>
      <c r="G2120" s="85">
        <f>STATS1003B!G2124/1000</f>
        <v>0</v>
      </c>
      <c r="H2120" s="85">
        <f>STATS1003B!H2124/1000</f>
        <v>1436.5519299999999</v>
      </c>
      <c r="I2120" s="85">
        <f>STATS1003B!I2124/1000</f>
        <v>0</v>
      </c>
      <c r="J2120" s="85">
        <f>STATS1003B!J2124/1000</f>
        <v>1436.5519299999999</v>
      </c>
      <c r="K2120" s="85">
        <f>STATS1003B!K2124/1000</f>
        <v>0</v>
      </c>
      <c r="L2120" s="85">
        <f>STATS1003B!L2124/1000</f>
        <v>0</v>
      </c>
      <c r="M2120" s="85">
        <f>STATS1003B!M2124/1000</f>
        <v>1436.5519299999999</v>
      </c>
      <c r="N2120" s="85">
        <f>STATS1003B!N2124/1000</f>
        <v>0</v>
      </c>
      <c r="O2120" s="85">
        <f>STATS1003B!O2124/1000</f>
        <v>0</v>
      </c>
      <c r="P2120" s="85">
        <f>STATS1003B!P2124/1000</f>
        <v>0</v>
      </c>
      <c r="Q2120" s="85">
        <f>STATS1003B!Q2124/1000</f>
        <v>1436.5519299999999</v>
      </c>
      <c r="R2120" s="85">
        <f>STATS1003B!R2124/1000</f>
        <v>0</v>
      </c>
      <c r="S2120" s="85">
        <f>STATS1003B!S2124/1000</f>
        <v>0</v>
      </c>
      <c r="T2120" s="85">
        <f>STATS1003B!T2124/1000</f>
        <v>0</v>
      </c>
      <c r="U2120" s="85">
        <f>STATS1003B!U2124/1000</f>
        <v>0</v>
      </c>
      <c r="V2120" s="85">
        <f>STATS1003B!V2124/1000</f>
        <v>0</v>
      </c>
      <c r="W2120" s="85">
        <f>STATS1003B!W2124/1000</f>
        <v>0</v>
      </c>
      <c r="X2120" s="85">
        <f t="shared" si="235"/>
        <v>1436.5519299999999</v>
      </c>
      <c r="Y2120" s="85">
        <f>STATS1003B!Y2124/1000</f>
        <v>0</v>
      </c>
      <c r="Z2120" s="85">
        <f>STATS1003B!Z2124/1000</f>
        <v>0</v>
      </c>
      <c r="AA2120" s="69">
        <f>STATS1003B!AA2124/1000</f>
        <v>1436.5519299999999</v>
      </c>
      <c r="AB2120" s="69">
        <f>STATS1003B!AB2124/1000</f>
        <v>0</v>
      </c>
    </row>
    <row r="2121" spans="1:28" hidden="1" x14ac:dyDescent="0.3">
      <c r="A2121" s="117"/>
      <c r="C2121" s="68" t="s">
        <v>805</v>
      </c>
      <c r="D2121" s="87" t="s">
        <v>85</v>
      </c>
      <c r="E2121" s="85">
        <f>STATS1003B!E2125/1000</f>
        <v>8000</v>
      </c>
      <c r="F2121" s="85">
        <f>STATS1003B!F2125/1000</f>
        <v>7704.9767700000002</v>
      </c>
      <c r="G2121" s="85">
        <f>STATS1003B!G2125/1000</f>
        <v>0</v>
      </c>
      <c r="H2121" s="85">
        <f>STATS1003B!H2125/1000</f>
        <v>7704.9767700000002</v>
      </c>
      <c r="I2121" s="85">
        <f>STATS1003B!I2125/1000</f>
        <v>0</v>
      </c>
      <c r="J2121" s="85">
        <f>STATS1003B!J2125/1000</f>
        <v>7704.9767700000002</v>
      </c>
      <c r="K2121" s="85">
        <f>STATS1003B!K2125/1000</f>
        <v>0</v>
      </c>
      <c r="L2121" s="85">
        <f>STATS1003B!L2125/1000</f>
        <v>0</v>
      </c>
      <c r="M2121" s="85">
        <f>STATS1003B!M2125/1000</f>
        <v>7704.9767700000002</v>
      </c>
      <c r="N2121" s="85">
        <f>STATS1003B!N2125/1000</f>
        <v>0</v>
      </c>
      <c r="O2121" s="85">
        <f>STATS1003B!O2125/1000</f>
        <v>0</v>
      </c>
      <c r="P2121" s="85">
        <f>STATS1003B!P2125/1000</f>
        <v>0</v>
      </c>
      <c r="Q2121" s="85">
        <f>STATS1003B!Q2125/1000</f>
        <v>8000</v>
      </c>
      <c r="R2121" s="85">
        <f>STATS1003B!R2125/1000</f>
        <v>0</v>
      </c>
      <c r="S2121" s="85">
        <f>STATS1003B!S2125/1000</f>
        <v>0</v>
      </c>
      <c r="T2121" s="85">
        <f>STATS1003B!T2125/1000</f>
        <v>0</v>
      </c>
      <c r="U2121" s="85">
        <f>STATS1003B!U2125/1000</f>
        <v>0</v>
      </c>
      <c r="V2121" s="85">
        <f>STATS1003B!V2125/1000</f>
        <v>0</v>
      </c>
      <c r="W2121" s="85">
        <f>STATS1003B!W2125/1000</f>
        <v>0</v>
      </c>
      <c r="X2121" s="85">
        <f t="shared" si="235"/>
        <v>7704.9767700000002</v>
      </c>
      <c r="Y2121" s="85">
        <f>STATS1003B!Y2125/1000</f>
        <v>0</v>
      </c>
      <c r="Z2121" s="85">
        <f>STATS1003B!Z2125/1000</f>
        <v>295.0232299999995</v>
      </c>
      <c r="AA2121" s="69">
        <f>STATS1003B!AA2125/1000</f>
        <v>7704.9767700000002</v>
      </c>
      <c r="AB2121" s="69">
        <f>STATS1003B!AB2125/1000</f>
        <v>295.0232299999995</v>
      </c>
    </row>
    <row r="2122" spans="1:28" hidden="1" x14ac:dyDescent="0.3">
      <c r="A2122" s="117"/>
      <c r="C2122" s="68" t="s">
        <v>535</v>
      </c>
      <c r="D2122" s="87" t="s">
        <v>88</v>
      </c>
      <c r="E2122" s="85">
        <f>STATS1003B!E2126/1000</f>
        <v>6877.6501799999996</v>
      </c>
      <c r="F2122" s="85">
        <f>STATS1003B!F2126/1000</f>
        <v>6877.6501799999996</v>
      </c>
      <c r="G2122" s="85">
        <f>STATS1003B!G2126/1000</f>
        <v>0</v>
      </c>
      <c r="H2122" s="85">
        <f>STATS1003B!H2126/1000</f>
        <v>6877.6501799999996</v>
      </c>
      <c r="I2122" s="85">
        <f>STATS1003B!I2126/1000</f>
        <v>0</v>
      </c>
      <c r="J2122" s="85">
        <f>STATS1003B!J2126/1000</f>
        <v>6877.6501799999996</v>
      </c>
      <c r="K2122" s="85">
        <f>STATS1003B!K2126/1000</f>
        <v>0</v>
      </c>
      <c r="L2122" s="85">
        <f>STATS1003B!L2126/1000</f>
        <v>0</v>
      </c>
      <c r="M2122" s="85">
        <f>STATS1003B!M2126/1000</f>
        <v>6877.6501799999996</v>
      </c>
      <c r="N2122" s="85">
        <f>STATS1003B!N2126/1000</f>
        <v>0</v>
      </c>
      <c r="O2122" s="85">
        <f>STATS1003B!O2126/1000</f>
        <v>0</v>
      </c>
      <c r="P2122" s="85">
        <f>STATS1003B!P2126/1000</f>
        <v>0</v>
      </c>
      <c r="Q2122" s="85">
        <f>STATS1003B!Q2126/1000</f>
        <v>6877.6501799999996</v>
      </c>
      <c r="R2122" s="85">
        <f>STATS1003B!R2126/1000</f>
        <v>0</v>
      </c>
      <c r="S2122" s="85">
        <f>STATS1003B!S2126/1000</f>
        <v>0</v>
      </c>
      <c r="T2122" s="85">
        <f>STATS1003B!T2126/1000</f>
        <v>0</v>
      </c>
      <c r="U2122" s="85">
        <f>STATS1003B!U2126/1000</f>
        <v>0</v>
      </c>
      <c r="V2122" s="85">
        <f>STATS1003B!V2126/1000</f>
        <v>0</v>
      </c>
      <c r="W2122" s="85">
        <f>STATS1003B!W2126/1000</f>
        <v>0</v>
      </c>
      <c r="X2122" s="85">
        <f t="shared" si="235"/>
        <v>6877.6501799999996</v>
      </c>
      <c r="Y2122" s="85">
        <f>STATS1003B!Y2126/1000</f>
        <v>0</v>
      </c>
      <c r="Z2122" s="85">
        <f>STATS1003B!Z2126/1000</f>
        <v>0</v>
      </c>
      <c r="AA2122" s="69">
        <f>STATS1003B!AA2126/1000</f>
        <v>6877.6501799999996</v>
      </c>
      <c r="AB2122" s="69">
        <f>STATS1003B!AB2126/1000</f>
        <v>0</v>
      </c>
    </row>
    <row r="2123" spans="1:28" hidden="1" x14ac:dyDescent="0.3">
      <c r="A2123" s="117"/>
      <c r="C2123" s="68" t="s">
        <v>535</v>
      </c>
      <c r="D2123" s="87" t="s">
        <v>108</v>
      </c>
      <c r="E2123" s="85">
        <f>STATS1003B!E2127/1000</f>
        <v>985.21412999999995</v>
      </c>
      <c r="F2123" s="85">
        <f>STATS1003B!F2127/1000</f>
        <v>985.21412999999995</v>
      </c>
      <c r="G2123" s="85">
        <f>STATS1003B!G2127/1000</f>
        <v>0</v>
      </c>
      <c r="H2123" s="85">
        <f>STATS1003B!H2127/1000</f>
        <v>985.21412999999995</v>
      </c>
      <c r="I2123" s="85">
        <f>STATS1003B!I2127/1000</f>
        <v>0</v>
      </c>
      <c r="J2123" s="85">
        <f>STATS1003B!J2127/1000</f>
        <v>985.21412999999995</v>
      </c>
      <c r="K2123" s="85">
        <f>STATS1003B!K2127/1000</f>
        <v>0</v>
      </c>
      <c r="L2123" s="85">
        <f>STATS1003B!L2127/1000</f>
        <v>0</v>
      </c>
      <c r="M2123" s="85">
        <f>STATS1003B!M2127/1000</f>
        <v>985.21412999999995</v>
      </c>
      <c r="N2123" s="85">
        <f>STATS1003B!N2127/1000</f>
        <v>0</v>
      </c>
      <c r="O2123" s="85">
        <f>STATS1003B!O2127/1000</f>
        <v>0</v>
      </c>
      <c r="P2123" s="85">
        <f>STATS1003B!P2127/1000</f>
        <v>0</v>
      </c>
      <c r="Q2123" s="85">
        <f>STATS1003B!Q2127/1000</f>
        <v>985.21412999999995</v>
      </c>
      <c r="R2123" s="85">
        <f>STATS1003B!R2127/1000</f>
        <v>0</v>
      </c>
      <c r="S2123" s="85">
        <f>STATS1003B!S2127/1000</f>
        <v>0</v>
      </c>
      <c r="T2123" s="85">
        <f>STATS1003B!T2127/1000</f>
        <v>0</v>
      </c>
      <c r="U2123" s="85">
        <f>STATS1003B!U2127/1000</f>
        <v>0</v>
      </c>
      <c r="V2123" s="85">
        <f>STATS1003B!V2127/1000</f>
        <v>0</v>
      </c>
      <c r="W2123" s="85">
        <f>STATS1003B!W2127/1000</f>
        <v>0</v>
      </c>
      <c r="X2123" s="85">
        <f t="shared" si="235"/>
        <v>985.21412999999995</v>
      </c>
      <c r="Y2123" s="85">
        <f>STATS1003B!Y2127/1000</f>
        <v>0</v>
      </c>
      <c r="Z2123" s="85">
        <f>STATS1003B!Z2127/1000</f>
        <v>0</v>
      </c>
      <c r="AA2123" s="69">
        <f>STATS1003B!AA2127/1000</f>
        <v>985.21412999999995</v>
      </c>
      <c r="AB2123" s="69">
        <f>STATS1003B!AB2127/1000</f>
        <v>0</v>
      </c>
    </row>
    <row r="2124" spans="1:28" hidden="1" x14ac:dyDescent="0.3">
      <c r="A2124" s="117"/>
      <c r="B2124" s="68" t="s">
        <v>806</v>
      </c>
      <c r="C2124" s="68" t="s">
        <v>535</v>
      </c>
      <c r="D2124" s="87" t="s">
        <v>108</v>
      </c>
      <c r="E2124" s="85">
        <f>STATS1003B!E2128/1000</f>
        <v>3048.83</v>
      </c>
      <c r="F2124" s="85">
        <f>STATS1003B!F2128/1000</f>
        <v>3048.83</v>
      </c>
      <c r="G2124" s="85">
        <f>STATS1003B!G2128/1000</f>
        <v>0</v>
      </c>
      <c r="H2124" s="85">
        <f>STATS1003B!H2128/1000</f>
        <v>3048.83</v>
      </c>
      <c r="I2124" s="85">
        <f>STATS1003B!I2128/1000</f>
        <v>0</v>
      </c>
      <c r="J2124" s="85">
        <f>STATS1003B!J2128/1000</f>
        <v>3048.83</v>
      </c>
      <c r="K2124" s="85">
        <f>STATS1003B!K2128/1000</f>
        <v>0</v>
      </c>
      <c r="L2124" s="85">
        <f>STATS1003B!L2128/1000</f>
        <v>0</v>
      </c>
      <c r="M2124" s="85">
        <f>STATS1003B!M2128/1000</f>
        <v>3048.83</v>
      </c>
      <c r="N2124" s="85">
        <f>STATS1003B!N2128/1000</f>
        <v>0</v>
      </c>
      <c r="O2124" s="85">
        <f>STATS1003B!O2128/1000</f>
        <v>0</v>
      </c>
      <c r="P2124" s="85">
        <f>STATS1003B!P2128/1000</f>
        <v>0</v>
      </c>
      <c r="Q2124" s="85">
        <f>STATS1003B!Q2128/1000</f>
        <v>3048.83</v>
      </c>
      <c r="R2124" s="85">
        <f>STATS1003B!R2128/1000</f>
        <v>0</v>
      </c>
      <c r="S2124" s="85">
        <f>STATS1003B!S2128/1000</f>
        <v>0</v>
      </c>
      <c r="T2124" s="85">
        <f>STATS1003B!T2128/1000</f>
        <v>0</v>
      </c>
      <c r="U2124" s="85">
        <f>STATS1003B!U2128/1000</f>
        <v>0</v>
      </c>
      <c r="V2124" s="85">
        <f>STATS1003B!V2128/1000</f>
        <v>0</v>
      </c>
      <c r="W2124" s="85">
        <f>STATS1003B!W2128/1000</f>
        <v>0</v>
      </c>
      <c r="X2124" s="85">
        <f t="shared" si="235"/>
        <v>3048.83</v>
      </c>
      <c r="Y2124" s="85">
        <f>STATS1003B!Y2128/1000</f>
        <v>0</v>
      </c>
      <c r="Z2124" s="85">
        <f>STATS1003B!Z2128/1000</f>
        <v>0</v>
      </c>
      <c r="AA2124" s="69">
        <f>STATS1003B!AA2128/1000</f>
        <v>3048.83</v>
      </c>
      <c r="AB2124" s="69">
        <f>STATS1003B!AB2128/1000</f>
        <v>0</v>
      </c>
    </row>
    <row r="2125" spans="1:28" hidden="1" x14ac:dyDescent="0.3">
      <c r="A2125" s="117"/>
      <c r="C2125" s="68" t="s">
        <v>807</v>
      </c>
      <c r="D2125" s="87" t="s">
        <v>108</v>
      </c>
      <c r="E2125" s="85">
        <f>STATS1003B!E2129/1000</f>
        <v>1700</v>
      </c>
      <c r="F2125" s="85">
        <f>STATS1003B!F2129/1000</f>
        <v>1700</v>
      </c>
      <c r="G2125" s="85">
        <f>STATS1003B!G2129/1000</f>
        <v>0</v>
      </c>
      <c r="H2125" s="85">
        <f>STATS1003B!H2129/1000</f>
        <v>1700</v>
      </c>
      <c r="I2125" s="85">
        <f>STATS1003B!I2129/1000</f>
        <v>0</v>
      </c>
      <c r="J2125" s="85">
        <f>STATS1003B!J2129/1000</f>
        <v>1700</v>
      </c>
      <c r="K2125" s="85">
        <f>STATS1003B!K2129/1000</f>
        <v>0</v>
      </c>
      <c r="L2125" s="85">
        <f>STATS1003B!L2129/1000</f>
        <v>0</v>
      </c>
      <c r="M2125" s="85">
        <f>STATS1003B!M2129/1000</f>
        <v>1700</v>
      </c>
      <c r="N2125" s="85">
        <f>STATS1003B!N2129/1000</f>
        <v>0</v>
      </c>
      <c r="O2125" s="85">
        <f>STATS1003B!O2129/1000</f>
        <v>0</v>
      </c>
      <c r="P2125" s="85">
        <f>STATS1003B!P2129/1000</f>
        <v>0</v>
      </c>
      <c r="Q2125" s="85">
        <f>STATS1003B!Q2129/1000</f>
        <v>1700</v>
      </c>
      <c r="R2125" s="85">
        <f>STATS1003B!R2129/1000</f>
        <v>0</v>
      </c>
      <c r="S2125" s="85">
        <f>STATS1003B!S2129/1000</f>
        <v>0</v>
      </c>
      <c r="T2125" s="85">
        <f>STATS1003B!T2129/1000</f>
        <v>0</v>
      </c>
      <c r="U2125" s="85">
        <f>STATS1003B!U2129/1000</f>
        <v>0</v>
      </c>
      <c r="V2125" s="85">
        <f>STATS1003B!V2129/1000</f>
        <v>0</v>
      </c>
      <c r="W2125" s="85">
        <f>STATS1003B!W2129/1000</f>
        <v>0</v>
      </c>
      <c r="X2125" s="85">
        <f t="shared" si="235"/>
        <v>1700</v>
      </c>
      <c r="Y2125" s="85">
        <f>STATS1003B!Y2129/1000</f>
        <v>0</v>
      </c>
      <c r="Z2125" s="85">
        <f>STATS1003B!Z2129/1000</f>
        <v>0</v>
      </c>
      <c r="AA2125" s="69">
        <f>STATS1003B!AA2129/1000</f>
        <v>1700</v>
      </c>
      <c r="AB2125" s="69">
        <f>STATS1003B!AB2129/1000</f>
        <v>0</v>
      </c>
    </row>
    <row r="2126" spans="1:28" hidden="1" x14ac:dyDescent="0.3">
      <c r="A2126" s="117"/>
      <c r="C2126" s="68" t="s">
        <v>535</v>
      </c>
      <c r="D2126" s="87" t="s">
        <v>58</v>
      </c>
      <c r="E2126" s="85">
        <f>STATS1003B!E2130/1000</f>
        <v>13486.430129999999</v>
      </c>
      <c r="F2126" s="85">
        <f>STATS1003B!F2130/1000</f>
        <v>13486.430130000001</v>
      </c>
      <c r="G2126" s="85">
        <f>STATS1003B!G2130/1000</f>
        <v>0</v>
      </c>
      <c r="H2126" s="85">
        <f>STATS1003B!H2130/1000</f>
        <v>13486.430130000001</v>
      </c>
      <c r="I2126" s="85">
        <f>STATS1003B!I2130/1000</f>
        <v>0</v>
      </c>
      <c r="J2126" s="85">
        <f>STATS1003B!J2130/1000</f>
        <v>13486.430130000001</v>
      </c>
      <c r="K2126" s="85">
        <f>STATS1003B!K2130/1000</f>
        <v>0</v>
      </c>
      <c r="L2126" s="85">
        <f>STATS1003B!L2130/1000</f>
        <v>0</v>
      </c>
      <c r="M2126" s="85">
        <f>STATS1003B!M2130/1000</f>
        <v>13486.430130000001</v>
      </c>
      <c r="N2126" s="85">
        <f>STATS1003B!N2130/1000</f>
        <v>0</v>
      </c>
      <c r="O2126" s="85">
        <f>STATS1003B!O2130/1000</f>
        <v>0</v>
      </c>
      <c r="P2126" s="85">
        <f>STATS1003B!P2130/1000</f>
        <v>0</v>
      </c>
      <c r="Q2126" s="85">
        <f>STATS1003B!Q2130/1000</f>
        <v>13486.430129999999</v>
      </c>
      <c r="R2126" s="85">
        <f>STATS1003B!R2130/1000</f>
        <v>0</v>
      </c>
      <c r="S2126" s="85">
        <f>STATS1003B!S2130/1000</f>
        <v>0</v>
      </c>
      <c r="T2126" s="85">
        <f>STATS1003B!T2130/1000</f>
        <v>0</v>
      </c>
      <c r="U2126" s="85">
        <f>STATS1003B!U2130/1000</f>
        <v>0</v>
      </c>
      <c r="V2126" s="85">
        <f>STATS1003B!V2130/1000</f>
        <v>0</v>
      </c>
      <c r="W2126" s="85">
        <f>STATS1003B!W2130/1000</f>
        <v>0</v>
      </c>
      <c r="X2126" s="85">
        <f t="shared" si="235"/>
        <v>13486.430130000001</v>
      </c>
      <c r="Y2126" s="85">
        <f>STATS1003B!Y2130/1000</f>
        <v>0</v>
      </c>
      <c r="Z2126" s="85">
        <f>STATS1003B!Z2130/1000</f>
        <v>0</v>
      </c>
      <c r="AA2126" s="69">
        <f>STATS1003B!AA2130/1000</f>
        <v>13486.430130000001</v>
      </c>
      <c r="AB2126" s="69">
        <f>STATS1003B!AB2130/1000</f>
        <v>0</v>
      </c>
    </row>
    <row r="2127" spans="1:28" hidden="1" x14ac:dyDescent="0.3">
      <c r="A2127" s="117"/>
      <c r="C2127" s="68" t="s">
        <v>535</v>
      </c>
      <c r="D2127" s="87" t="s">
        <v>60</v>
      </c>
      <c r="E2127" s="85">
        <f>STATS1003B!E2131/1000</f>
        <v>13252.31415</v>
      </c>
      <c r="F2127" s="85">
        <f>STATS1003B!F2131/1000</f>
        <v>13252.31415</v>
      </c>
      <c r="G2127" s="85">
        <f>STATS1003B!G2131/1000</f>
        <v>0</v>
      </c>
      <c r="H2127" s="85">
        <f>STATS1003B!H2131/1000</f>
        <v>13252.31415</v>
      </c>
      <c r="I2127" s="85">
        <f>STATS1003B!I2131/1000</f>
        <v>0</v>
      </c>
      <c r="J2127" s="85">
        <f>STATS1003B!J2131/1000</f>
        <v>13252.31415</v>
      </c>
      <c r="K2127" s="85">
        <f>STATS1003B!K2131/1000</f>
        <v>0</v>
      </c>
      <c r="L2127" s="85">
        <f>STATS1003B!L2131/1000</f>
        <v>0</v>
      </c>
      <c r="M2127" s="85">
        <f>STATS1003B!M2131/1000</f>
        <v>13252.31415</v>
      </c>
      <c r="N2127" s="85">
        <f>STATS1003B!N2131/1000</f>
        <v>0</v>
      </c>
      <c r="O2127" s="85">
        <f>STATS1003B!O2131/1000</f>
        <v>0</v>
      </c>
      <c r="P2127" s="85">
        <f>STATS1003B!P2131/1000</f>
        <v>0</v>
      </c>
      <c r="Q2127" s="85">
        <f>STATS1003B!Q2131/1000</f>
        <v>13252.31415</v>
      </c>
      <c r="R2127" s="85">
        <f>STATS1003B!R2131/1000</f>
        <v>0</v>
      </c>
      <c r="S2127" s="85">
        <f>STATS1003B!S2131/1000</f>
        <v>0</v>
      </c>
      <c r="T2127" s="85">
        <f>STATS1003B!T2131/1000</f>
        <v>0</v>
      </c>
      <c r="U2127" s="85">
        <f>STATS1003B!U2131/1000</f>
        <v>0</v>
      </c>
      <c r="V2127" s="85">
        <f>STATS1003B!V2131/1000</f>
        <v>0</v>
      </c>
      <c r="W2127" s="85">
        <f>STATS1003B!W2131/1000</f>
        <v>0</v>
      </c>
      <c r="X2127" s="85">
        <f t="shared" si="235"/>
        <v>13252.31415</v>
      </c>
      <c r="Y2127" s="85">
        <f>STATS1003B!Y2131/1000</f>
        <v>0</v>
      </c>
      <c r="Z2127" s="85">
        <f>STATS1003B!Z2131/1000</f>
        <v>0</v>
      </c>
      <c r="AA2127" s="69">
        <f>STATS1003B!AA2131/1000</f>
        <v>13252.31415</v>
      </c>
      <c r="AB2127" s="69">
        <f>STATS1003B!AB2131/1000</f>
        <v>0</v>
      </c>
    </row>
    <row r="2128" spans="1:28" hidden="1" x14ac:dyDescent="0.3">
      <c r="A2128" s="117"/>
      <c r="C2128" s="71" t="s">
        <v>652</v>
      </c>
      <c r="D2128" s="88" t="s">
        <v>194</v>
      </c>
      <c r="E2128" s="85">
        <f>STATS1003B!E2132/1000</f>
        <v>1527.84727</v>
      </c>
      <c r="F2128" s="85">
        <f>STATS1003B!F2132/1000</f>
        <v>1527.84727</v>
      </c>
      <c r="G2128" s="85">
        <f>STATS1003B!G2132/1000</f>
        <v>0</v>
      </c>
      <c r="H2128" s="85">
        <f>STATS1003B!H2132/1000</f>
        <v>1527.84727</v>
      </c>
      <c r="I2128" s="85">
        <f>STATS1003B!I2132/1000</f>
        <v>0</v>
      </c>
      <c r="J2128" s="85">
        <f>STATS1003B!J2132/1000</f>
        <v>1527.84727</v>
      </c>
      <c r="K2128" s="85">
        <f>STATS1003B!K2132/1000</f>
        <v>0</v>
      </c>
      <c r="L2128" s="85">
        <f>STATS1003B!L2132/1000</f>
        <v>0</v>
      </c>
      <c r="M2128" s="85">
        <f>STATS1003B!M2132/1000</f>
        <v>1527.84727</v>
      </c>
      <c r="N2128" s="85">
        <f>STATS1003B!N2132/1000</f>
        <v>0</v>
      </c>
      <c r="O2128" s="85">
        <f>STATS1003B!O2132/1000</f>
        <v>0</v>
      </c>
      <c r="P2128" s="85">
        <f>STATS1003B!P2132/1000</f>
        <v>0</v>
      </c>
      <c r="Q2128" s="85">
        <f>STATS1003B!Q2132/1000</f>
        <v>1527.84727</v>
      </c>
      <c r="R2128" s="85">
        <f>STATS1003B!R2132/1000</f>
        <v>0</v>
      </c>
      <c r="S2128" s="85">
        <f>STATS1003B!S2132/1000</f>
        <v>0</v>
      </c>
      <c r="T2128" s="85">
        <f>STATS1003B!T2132/1000</f>
        <v>0</v>
      </c>
      <c r="U2128" s="85">
        <f>STATS1003B!U2132/1000</f>
        <v>0</v>
      </c>
      <c r="V2128" s="85">
        <f>STATS1003B!V2132/1000</f>
        <v>0</v>
      </c>
      <c r="W2128" s="85">
        <f>STATS1003B!W2132/1000</f>
        <v>0</v>
      </c>
      <c r="X2128" s="85">
        <f t="shared" si="235"/>
        <v>1527.84727</v>
      </c>
      <c r="Y2128" s="85">
        <f>STATS1003B!Y2132/1000</f>
        <v>0</v>
      </c>
      <c r="Z2128" s="85">
        <f>STATS1003B!Z2132/1000</f>
        <v>0</v>
      </c>
      <c r="AA2128" s="69">
        <f>STATS1003B!AA2132/1000</f>
        <v>1527.84727</v>
      </c>
      <c r="AB2128" s="69">
        <f>STATS1003B!AB2132/1000</f>
        <v>0</v>
      </c>
    </row>
    <row r="2129" spans="1:28" hidden="1" x14ac:dyDescent="0.3">
      <c r="A2129" s="117"/>
      <c r="C2129" s="71" t="s">
        <v>808</v>
      </c>
      <c r="D2129" s="88" t="s">
        <v>194</v>
      </c>
      <c r="E2129" s="85">
        <f>STATS1003B!E2133/1000</f>
        <v>645.14456999999993</v>
      </c>
      <c r="F2129" s="85">
        <f>STATS1003B!F2133/1000</f>
        <v>645.14456999999993</v>
      </c>
      <c r="G2129" s="85">
        <f>STATS1003B!G2133/1000</f>
        <v>0</v>
      </c>
      <c r="H2129" s="85">
        <f>STATS1003B!H2133/1000</f>
        <v>645.14456999999993</v>
      </c>
      <c r="I2129" s="85">
        <f>STATS1003B!I2133/1000</f>
        <v>0</v>
      </c>
      <c r="J2129" s="85">
        <f>STATS1003B!J2133/1000</f>
        <v>645.14456999999993</v>
      </c>
      <c r="K2129" s="85">
        <f>STATS1003B!K2133/1000</f>
        <v>0</v>
      </c>
      <c r="L2129" s="85">
        <f>STATS1003B!L2133/1000</f>
        <v>0</v>
      </c>
      <c r="M2129" s="85">
        <f>STATS1003B!M2133/1000</f>
        <v>645.14456999999993</v>
      </c>
      <c r="N2129" s="85">
        <f>STATS1003B!N2133/1000</f>
        <v>0</v>
      </c>
      <c r="O2129" s="85">
        <f>STATS1003B!O2133/1000</f>
        <v>0</v>
      </c>
      <c r="P2129" s="85">
        <f>STATS1003B!P2133/1000</f>
        <v>0</v>
      </c>
      <c r="Q2129" s="85">
        <f>STATS1003B!Q2133/1000</f>
        <v>645.14456999999993</v>
      </c>
      <c r="R2129" s="85">
        <f>STATS1003B!R2133/1000</f>
        <v>0</v>
      </c>
      <c r="S2129" s="85">
        <f>STATS1003B!S2133/1000</f>
        <v>0</v>
      </c>
      <c r="T2129" s="85">
        <f>STATS1003B!T2133/1000</f>
        <v>0</v>
      </c>
      <c r="U2129" s="85">
        <f>STATS1003B!U2133/1000</f>
        <v>0</v>
      </c>
      <c r="V2129" s="85">
        <f>STATS1003B!V2133/1000</f>
        <v>0</v>
      </c>
      <c r="W2129" s="85">
        <f>STATS1003B!W2133/1000</f>
        <v>0</v>
      </c>
      <c r="X2129" s="85">
        <f t="shared" si="235"/>
        <v>645.14456999999993</v>
      </c>
      <c r="Y2129" s="85">
        <f>STATS1003B!Y2133/1000</f>
        <v>0</v>
      </c>
      <c r="Z2129" s="85">
        <f>STATS1003B!Z2133/1000</f>
        <v>0</v>
      </c>
      <c r="AA2129" s="69">
        <f>STATS1003B!AA2133/1000</f>
        <v>645.14456999999993</v>
      </c>
      <c r="AB2129" s="69">
        <f>STATS1003B!AB2133/1000</f>
        <v>0</v>
      </c>
    </row>
    <row r="2130" spans="1:28" hidden="1" x14ac:dyDescent="0.3">
      <c r="A2130" s="117"/>
      <c r="C2130" s="68" t="s">
        <v>535</v>
      </c>
      <c r="D2130" s="87" t="s">
        <v>73</v>
      </c>
      <c r="E2130" s="85">
        <f>STATS1003B!E2134/1000</f>
        <v>1325.24062</v>
      </c>
      <c r="F2130" s="85">
        <f>STATS1003B!F2134/1000</f>
        <v>1325.24062</v>
      </c>
      <c r="G2130" s="85">
        <f>STATS1003B!G2134/1000</f>
        <v>0</v>
      </c>
      <c r="H2130" s="85">
        <f>STATS1003B!H2134/1000</f>
        <v>1325.24062</v>
      </c>
      <c r="I2130" s="85">
        <f>STATS1003B!I2134/1000</f>
        <v>0</v>
      </c>
      <c r="J2130" s="85">
        <f>STATS1003B!J2134/1000</f>
        <v>1325.24062</v>
      </c>
      <c r="K2130" s="85">
        <f>STATS1003B!K2134/1000</f>
        <v>0</v>
      </c>
      <c r="L2130" s="85">
        <f>STATS1003B!L2134/1000</f>
        <v>0</v>
      </c>
      <c r="M2130" s="85">
        <f>STATS1003B!M2134/1000</f>
        <v>1325.24062</v>
      </c>
      <c r="N2130" s="85">
        <f>STATS1003B!N2134/1000</f>
        <v>0</v>
      </c>
      <c r="O2130" s="85">
        <f>STATS1003B!O2134/1000</f>
        <v>0</v>
      </c>
      <c r="P2130" s="85">
        <f>STATS1003B!P2134/1000</f>
        <v>0</v>
      </c>
      <c r="Q2130" s="85">
        <f>STATS1003B!Q2134/1000</f>
        <v>1325.24062</v>
      </c>
      <c r="R2130" s="85">
        <f>STATS1003B!R2134/1000</f>
        <v>0</v>
      </c>
      <c r="S2130" s="85">
        <f>STATS1003B!S2134/1000</f>
        <v>0</v>
      </c>
      <c r="T2130" s="85">
        <f>STATS1003B!T2134/1000</f>
        <v>0</v>
      </c>
      <c r="U2130" s="85">
        <f>STATS1003B!U2134/1000</f>
        <v>0</v>
      </c>
      <c r="V2130" s="85">
        <f>STATS1003B!V2134/1000</f>
        <v>0</v>
      </c>
      <c r="W2130" s="85">
        <f>STATS1003B!W2134/1000</f>
        <v>0</v>
      </c>
      <c r="X2130" s="85">
        <f t="shared" si="235"/>
        <v>1325.24062</v>
      </c>
      <c r="Y2130" s="85">
        <f>STATS1003B!Y2134/1000</f>
        <v>0</v>
      </c>
      <c r="Z2130" s="85">
        <f>STATS1003B!Z2134/1000</f>
        <v>0</v>
      </c>
      <c r="AA2130" s="69">
        <f>STATS1003B!AA2134/1000</f>
        <v>1325.24062</v>
      </c>
      <c r="AB2130" s="69">
        <f>STATS1003B!AB2134/1000</f>
        <v>0</v>
      </c>
    </row>
    <row r="2131" spans="1:28" hidden="1" x14ac:dyDescent="0.3">
      <c r="A2131" s="117"/>
      <c r="C2131" s="71" t="s">
        <v>621</v>
      </c>
      <c r="D2131" s="88" t="s">
        <v>73</v>
      </c>
      <c r="E2131" s="85">
        <f>STATS1003B!E2135/1000</f>
        <v>6086.5861999999997</v>
      </c>
      <c r="F2131" s="85">
        <f>STATS1003B!F2135/1000</f>
        <v>6086.5861999999997</v>
      </c>
      <c r="G2131" s="85">
        <f>STATS1003B!G2135/1000</f>
        <v>0</v>
      </c>
      <c r="H2131" s="85">
        <f>STATS1003B!H2135/1000</f>
        <v>6086.5861999999997</v>
      </c>
      <c r="I2131" s="85">
        <f>STATS1003B!I2135/1000</f>
        <v>0</v>
      </c>
      <c r="J2131" s="85">
        <f>STATS1003B!J2135/1000</f>
        <v>6086.5861999999997</v>
      </c>
      <c r="K2131" s="85">
        <f>STATS1003B!K2135/1000</f>
        <v>0</v>
      </c>
      <c r="L2131" s="85">
        <f>STATS1003B!L2135/1000</f>
        <v>0</v>
      </c>
      <c r="M2131" s="85">
        <f>STATS1003B!M2135/1000</f>
        <v>6086.5861999999997</v>
      </c>
      <c r="N2131" s="85">
        <f>STATS1003B!N2135/1000</f>
        <v>0</v>
      </c>
      <c r="O2131" s="85">
        <f>STATS1003B!O2135/1000</f>
        <v>0</v>
      </c>
      <c r="P2131" s="85">
        <f>STATS1003B!P2135/1000</f>
        <v>0</v>
      </c>
      <c r="Q2131" s="85">
        <f>STATS1003B!Q2135/1000</f>
        <v>6086.5861999999997</v>
      </c>
      <c r="R2131" s="85">
        <f>STATS1003B!R2135/1000</f>
        <v>0</v>
      </c>
      <c r="S2131" s="85">
        <f>STATS1003B!S2135/1000</f>
        <v>0</v>
      </c>
      <c r="T2131" s="85">
        <f>STATS1003B!T2135/1000</f>
        <v>0</v>
      </c>
      <c r="U2131" s="85">
        <f>STATS1003B!U2135/1000</f>
        <v>0</v>
      </c>
      <c r="V2131" s="85">
        <f>STATS1003B!V2135/1000</f>
        <v>0</v>
      </c>
      <c r="W2131" s="85">
        <f>STATS1003B!W2135/1000</f>
        <v>0</v>
      </c>
      <c r="X2131" s="85">
        <f t="shared" si="235"/>
        <v>6086.5861999999997</v>
      </c>
      <c r="Y2131" s="85">
        <f>STATS1003B!Y2135/1000</f>
        <v>0</v>
      </c>
      <c r="Z2131" s="85">
        <f>STATS1003B!Z2135/1000</f>
        <v>0</v>
      </c>
      <c r="AA2131" s="69">
        <f>STATS1003B!AA2135/1000</f>
        <v>6086.5861999999997</v>
      </c>
      <c r="AB2131" s="69">
        <f>STATS1003B!AB2135/1000</f>
        <v>0</v>
      </c>
    </row>
    <row r="2132" spans="1:28" hidden="1" x14ac:dyDescent="0.3">
      <c r="A2132" s="117"/>
      <c r="C2132" s="68" t="s">
        <v>535</v>
      </c>
      <c r="D2132" s="87" t="s">
        <v>61</v>
      </c>
      <c r="E2132" s="85">
        <f>STATS1003B!E2136/1000</f>
        <v>495.34732000000002</v>
      </c>
      <c r="F2132" s="85">
        <f>STATS1003B!F2136/1000</f>
        <v>495.34732000000002</v>
      </c>
      <c r="G2132" s="85">
        <f>STATS1003B!G2136/1000</f>
        <v>0</v>
      </c>
      <c r="H2132" s="85">
        <f>STATS1003B!H2136/1000</f>
        <v>495.34732000000002</v>
      </c>
      <c r="I2132" s="85">
        <f>STATS1003B!I2136/1000</f>
        <v>0</v>
      </c>
      <c r="J2132" s="85">
        <f>STATS1003B!J2136/1000</f>
        <v>495.34732000000002</v>
      </c>
      <c r="K2132" s="85">
        <f>STATS1003B!K2136/1000</f>
        <v>0</v>
      </c>
      <c r="L2132" s="85">
        <f>STATS1003B!L2136/1000</f>
        <v>0</v>
      </c>
      <c r="M2132" s="85">
        <f>STATS1003B!M2136/1000</f>
        <v>495.34732000000002</v>
      </c>
      <c r="N2132" s="85">
        <f>STATS1003B!N2136/1000</f>
        <v>0</v>
      </c>
      <c r="O2132" s="85">
        <f>STATS1003B!O2136/1000</f>
        <v>0</v>
      </c>
      <c r="P2132" s="85">
        <f>STATS1003B!P2136/1000</f>
        <v>0</v>
      </c>
      <c r="Q2132" s="85">
        <f>STATS1003B!Q2136/1000</f>
        <v>495.34732000000002</v>
      </c>
      <c r="R2132" s="85">
        <f>STATS1003B!R2136/1000</f>
        <v>0</v>
      </c>
      <c r="S2132" s="85">
        <f>STATS1003B!S2136/1000</f>
        <v>0</v>
      </c>
      <c r="T2132" s="85">
        <f>STATS1003B!T2136/1000</f>
        <v>0</v>
      </c>
      <c r="U2132" s="85">
        <f>STATS1003B!U2136/1000</f>
        <v>0</v>
      </c>
      <c r="V2132" s="85">
        <f>STATS1003B!V2136/1000</f>
        <v>0</v>
      </c>
      <c r="W2132" s="85">
        <f>STATS1003B!W2136/1000</f>
        <v>0</v>
      </c>
      <c r="X2132" s="85">
        <f t="shared" si="235"/>
        <v>495.34732000000002</v>
      </c>
      <c r="Y2132" s="85">
        <f>STATS1003B!Y2136/1000</f>
        <v>0</v>
      </c>
      <c r="Z2132" s="85">
        <f>STATS1003B!Z2136/1000</f>
        <v>0</v>
      </c>
      <c r="AA2132" s="69">
        <f>STATS1003B!AA2136/1000</f>
        <v>495.34732000000002</v>
      </c>
      <c r="AB2132" s="69">
        <f>STATS1003B!AB2136/1000</f>
        <v>0</v>
      </c>
    </row>
    <row r="2133" spans="1:28" hidden="1" x14ac:dyDescent="0.3">
      <c r="A2133" s="117"/>
      <c r="C2133" s="93" t="s">
        <v>933</v>
      </c>
      <c r="D2133" s="90" t="s">
        <v>1072</v>
      </c>
      <c r="E2133" s="85">
        <f>STATS1003B!E2137/1000</f>
        <v>1307.8736999999999</v>
      </c>
      <c r="F2133" s="85">
        <f>STATS1003B!F2137/1000</f>
        <v>1307.8736999999999</v>
      </c>
      <c r="G2133" s="85">
        <f>STATS1003B!G2137/1000</f>
        <v>0</v>
      </c>
      <c r="H2133" s="85">
        <f>STATS1003B!H2137/1000</f>
        <v>1307.8736999999999</v>
      </c>
      <c r="I2133" s="85">
        <f>STATS1003B!I2137/1000</f>
        <v>0</v>
      </c>
      <c r="J2133" s="85">
        <f>STATS1003B!J2137/1000</f>
        <v>1307.8736999999999</v>
      </c>
      <c r="K2133" s="85">
        <f>STATS1003B!K2137/1000</f>
        <v>0</v>
      </c>
      <c r="L2133" s="85">
        <f>STATS1003B!L2137/1000</f>
        <v>0</v>
      </c>
      <c r="M2133" s="85">
        <f>STATS1003B!M2137/1000</f>
        <v>1307.8736999999999</v>
      </c>
      <c r="N2133" s="85">
        <f>STATS1003B!N2137/1000</f>
        <v>0</v>
      </c>
      <c r="O2133" s="85">
        <f>STATS1003B!O2137/1000</f>
        <v>0</v>
      </c>
      <c r="P2133" s="85">
        <f>STATS1003B!P2137/1000</f>
        <v>0</v>
      </c>
      <c r="Q2133" s="85">
        <f>STATS1003B!Q2137/1000</f>
        <v>1307.8736999999999</v>
      </c>
      <c r="R2133" s="85">
        <f>STATS1003B!R2137/1000</f>
        <v>0</v>
      </c>
      <c r="S2133" s="85">
        <f>STATS1003B!S2137/1000</f>
        <v>0</v>
      </c>
      <c r="T2133" s="85">
        <f>STATS1003B!T2137/1000</f>
        <v>0</v>
      </c>
      <c r="U2133" s="85">
        <f>STATS1003B!U2137/1000</f>
        <v>0</v>
      </c>
      <c r="V2133" s="85">
        <f>STATS1003B!V2137/1000</f>
        <v>0</v>
      </c>
      <c r="W2133" s="85">
        <f>STATS1003B!W2137/1000</f>
        <v>0</v>
      </c>
      <c r="X2133" s="85">
        <f t="shared" si="235"/>
        <v>1307.8736999999999</v>
      </c>
      <c r="Y2133" s="85">
        <f>STATS1003B!Y2137/1000</f>
        <v>0</v>
      </c>
      <c r="Z2133" s="85">
        <f>STATS1003B!Z2137/1000</f>
        <v>0</v>
      </c>
      <c r="AA2133" s="69">
        <f>STATS1003B!AA2137/1000</f>
        <v>1307.8736999999999</v>
      </c>
      <c r="AB2133" s="69">
        <f>STATS1003B!AB2137/1000</f>
        <v>0</v>
      </c>
    </row>
    <row r="2134" spans="1:28" hidden="1" x14ac:dyDescent="0.3">
      <c r="A2134" s="117"/>
      <c r="C2134" s="93" t="s">
        <v>1133</v>
      </c>
      <c r="D2134" s="90" t="s">
        <v>1126</v>
      </c>
      <c r="E2134" s="85">
        <f>STATS1003B!E2138/1000</f>
        <v>2000</v>
      </c>
      <c r="F2134" s="85">
        <f>STATS1003B!F2138/1000</f>
        <v>2000</v>
      </c>
      <c r="G2134" s="85">
        <f>STATS1003B!G2138/1000</f>
        <v>0</v>
      </c>
      <c r="H2134" s="85">
        <f>STATS1003B!H2138/1000</f>
        <v>2000</v>
      </c>
      <c r="I2134" s="85">
        <f>STATS1003B!I2138/1000</f>
        <v>0</v>
      </c>
      <c r="J2134" s="85">
        <f>STATS1003B!J2138/1000</f>
        <v>2000</v>
      </c>
      <c r="K2134" s="85">
        <f>STATS1003B!K2138/1000</f>
        <v>0</v>
      </c>
      <c r="L2134" s="85">
        <f>STATS1003B!L2138/1000</f>
        <v>0</v>
      </c>
      <c r="M2134" s="85">
        <f>STATS1003B!M2138/1000</f>
        <v>2000</v>
      </c>
      <c r="N2134" s="85">
        <f>STATS1003B!N2138/1000</f>
        <v>0</v>
      </c>
      <c r="O2134" s="85">
        <f>STATS1003B!O2138/1000</f>
        <v>0</v>
      </c>
      <c r="P2134" s="85">
        <f>STATS1003B!P2138/1000</f>
        <v>0</v>
      </c>
      <c r="Q2134" s="85">
        <f>STATS1003B!Q2138/1000</f>
        <v>0</v>
      </c>
      <c r="R2134" s="85">
        <f>STATS1003B!R2138/1000</f>
        <v>0</v>
      </c>
      <c r="S2134" s="85">
        <f>STATS1003B!S2138/1000</f>
        <v>0</v>
      </c>
      <c r="T2134" s="85">
        <f>STATS1003B!T2138/1000</f>
        <v>0</v>
      </c>
      <c r="U2134" s="85">
        <f>STATS1003B!U2138/1000</f>
        <v>0</v>
      </c>
      <c r="V2134" s="85">
        <f>STATS1003B!V2138/1000</f>
        <v>0</v>
      </c>
      <c r="W2134" s="85">
        <f>STATS1003B!W2138/1000</f>
        <v>0</v>
      </c>
      <c r="X2134" s="85">
        <f t="shared" si="235"/>
        <v>2000</v>
      </c>
      <c r="Y2134" s="85">
        <f>STATS1003B!Y2138/1000</f>
        <v>0</v>
      </c>
      <c r="Z2134" s="85">
        <f>STATS1003B!Z2138/1000</f>
        <v>0</v>
      </c>
      <c r="AA2134" s="69">
        <f>STATS1003B!AA2138/1000</f>
        <v>2000</v>
      </c>
      <c r="AB2134" s="69">
        <f>STATS1003B!AB2138/1000</f>
        <v>0</v>
      </c>
    </row>
    <row r="2135" spans="1:28" hidden="1" x14ac:dyDescent="0.3">
      <c r="A2135" s="117"/>
      <c r="C2135" s="68" t="s">
        <v>598</v>
      </c>
      <c r="E2135" s="85">
        <f>STATS1003B!E2139/1000</f>
        <v>874.39056999999991</v>
      </c>
      <c r="F2135" s="85">
        <f>STATS1003B!F2139/1000</f>
        <v>874.39056999999991</v>
      </c>
      <c r="G2135" s="85">
        <f>STATS1003B!G2139/1000</f>
        <v>0</v>
      </c>
      <c r="H2135" s="85">
        <f>STATS1003B!H2139/1000</f>
        <v>874.39056999999991</v>
      </c>
      <c r="I2135" s="85">
        <f>STATS1003B!I2139/1000</f>
        <v>0</v>
      </c>
      <c r="J2135" s="85">
        <f>STATS1003B!J2139/1000</f>
        <v>874.39056999999991</v>
      </c>
      <c r="K2135" s="85">
        <f>STATS1003B!K2139/1000</f>
        <v>0</v>
      </c>
      <c r="L2135" s="85">
        <f>STATS1003B!L2139/1000</f>
        <v>0</v>
      </c>
      <c r="M2135" s="85">
        <f>STATS1003B!M2139/1000</f>
        <v>874.39056999999991</v>
      </c>
      <c r="N2135" s="85">
        <f>STATS1003B!N2139/1000</f>
        <v>0</v>
      </c>
      <c r="O2135" s="85">
        <f>STATS1003B!O2139/1000</f>
        <v>0</v>
      </c>
      <c r="P2135" s="85">
        <f>STATS1003B!P2139/1000</f>
        <v>0</v>
      </c>
      <c r="Q2135" s="85">
        <f>STATS1003B!Q2139/1000</f>
        <v>874.39056999999991</v>
      </c>
      <c r="R2135" s="85">
        <f>STATS1003B!R2139/1000</f>
        <v>0</v>
      </c>
      <c r="S2135" s="85">
        <f>STATS1003B!S2139/1000</f>
        <v>0</v>
      </c>
      <c r="T2135" s="85">
        <f>STATS1003B!T2139/1000</f>
        <v>0</v>
      </c>
      <c r="U2135" s="85">
        <f>STATS1003B!U2139/1000</f>
        <v>0</v>
      </c>
      <c r="V2135" s="85">
        <f>STATS1003B!V2139/1000</f>
        <v>0</v>
      </c>
      <c r="W2135" s="85">
        <f>STATS1003B!W2139/1000</f>
        <v>0</v>
      </c>
      <c r="X2135" s="85">
        <f t="shared" si="235"/>
        <v>874.39056999999991</v>
      </c>
      <c r="Y2135" s="85">
        <f>STATS1003B!Y2139/1000</f>
        <v>0</v>
      </c>
      <c r="Z2135" s="85">
        <f>STATS1003B!Z2139/1000</f>
        <v>0</v>
      </c>
      <c r="AA2135" s="69">
        <f>STATS1003B!AA2139/1000</f>
        <v>874.39056999999991</v>
      </c>
      <c r="AB2135" s="69">
        <f>STATS1003B!AB2139/1000</f>
        <v>0</v>
      </c>
    </row>
    <row r="2136" spans="1:28" hidden="1" x14ac:dyDescent="0.3">
      <c r="A2136" s="117"/>
      <c r="C2136" s="68" t="s">
        <v>606</v>
      </c>
      <c r="E2136" s="85">
        <f>STATS1003B!E2140/1000</f>
        <v>5000</v>
      </c>
      <c r="F2136" s="85">
        <f>STATS1003B!F2140/1000</f>
        <v>5000</v>
      </c>
      <c r="G2136" s="85">
        <f>STATS1003B!G2140/1000</f>
        <v>0</v>
      </c>
      <c r="H2136" s="85">
        <f>STATS1003B!H2140/1000</f>
        <v>5000</v>
      </c>
      <c r="I2136" s="85">
        <f>STATS1003B!I2140/1000</f>
        <v>0</v>
      </c>
      <c r="J2136" s="85">
        <f>STATS1003B!J2140/1000</f>
        <v>5000</v>
      </c>
      <c r="K2136" s="85">
        <f>STATS1003B!K2140/1000</f>
        <v>0</v>
      </c>
      <c r="L2136" s="85">
        <f>STATS1003B!L2140/1000</f>
        <v>0</v>
      </c>
      <c r="M2136" s="85">
        <f>STATS1003B!M2140/1000</f>
        <v>5000</v>
      </c>
      <c r="N2136" s="85">
        <f>STATS1003B!N2140/1000</f>
        <v>0</v>
      </c>
      <c r="O2136" s="85">
        <f>STATS1003B!O2140/1000</f>
        <v>0</v>
      </c>
      <c r="P2136" s="85">
        <f>STATS1003B!P2140/1000</f>
        <v>0</v>
      </c>
      <c r="Q2136" s="85">
        <f>STATS1003B!Q2140/1000</f>
        <v>5000</v>
      </c>
      <c r="R2136" s="85">
        <f>STATS1003B!R2140/1000</f>
        <v>0</v>
      </c>
      <c r="S2136" s="85">
        <f>STATS1003B!S2140/1000</f>
        <v>0</v>
      </c>
      <c r="T2136" s="85">
        <f>STATS1003B!T2140/1000</f>
        <v>0</v>
      </c>
      <c r="U2136" s="85">
        <f>STATS1003B!U2140/1000</f>
        <v>0</v>
      </c>
      <c r="V2136" s="85">
        <f>STATS1003B!V2140/1000</f>
        <v>0</v>
      </c>
      <c r="W2136" s="85">
        <f>STATS1003B!W2140/1000</f>
        <v>0</v>
      </c>
      <c r="X2136" s="85">
        <f t="shared" si="235"/>
        <v>5000</v>
      </c>
      <c r="Y2136" s="85">
        <f>STATS1003B!Y2140/1000</f>
        <v>0</v>
      </c>
      <c r="Z2136" s="85">
        <f>STATS1003B!Z2140/1000</f>
        <v>0</v>
      </c>
      <c r="AA2136" s="69">
        <f>STATS1003B!AA2140/1000</f>
        <v>5000</v>
      </c>
      <c r="AB2136" s="69">
        <f>STATS1003B!AB2140/1000</f>
        <v>0</v>
      </c>
    </row>
    <row r="2137" spans="1:28" hidden="1" x14ac:dyDescent="0.3">
      <c r="A2137" s="117"/>
      <c r="E2137" s="86" t="s">
        <v>29</v>
      </c>
      <c r="F2137" s="86" t="s">
        <v>29</v>
      </c>
      <c r="G2137" s="86" t="s">
        <v>29</v>
      </c>
      <c r="H2137" s="86" t="s">
        <v>29</v>
      </c>
      <c r="I2137" s="86" t="s">
        <v>29</v>
      </c>
      <c r="J2137" s="86" t="s">
        <v>29</v>
      </c>
      <c r="K2137" s="86" t="s">
        <v>29</v>
      </c>
      <c r="L2137" s="86" t="s">
        <v>29</v>
      </c>
      <c r="M2137" s="86" t="s">
        <v>29</v>
      </c>
      <c r="N2137" s="86" t="s">
        <v>29</v>
      </c>
      <c r="O2137" s="86" t="s">
        <v>29</v>
      </c>
      <c r="P2137" s="86" t="s">
        <v>29</v>
      </c>
      <c r="Q2137" s="86" t="s">
        <v>29</v>
      </c>
      <c r="R2137" s="86" t="s">
        <v>29</v>
      </c>
      <c r="S2137" s="86" t="s">
        <v>29</v>
      </c>
      <c r="T2137" s="86" t="s">
        <v>29</v>
      </c>
      <c r="U2137" s="86" t="s">
        <v>29</v>
      </c>
      <c r="V2137" s="86" t="s">
        <v>29</v>
      </c>
      <c r="W2137" s="86" t="s">
        <v>29</v>
      </c>
      <c r="X2137" s="85" t="e">
        <f t="shared" si="235"/>
        <v>#VALUE!</v>
      </c>
      <c r="Y2137" s="86" t="s">
        <v>29</v>
      </c>
      <c r="Z2137" s="86" t="s">
        <v>29</v>
      </c>
      <c r="AA2137" s="115" t="s">
        <v>29</v>
      </c>
      <c r="AB2137" s="115" t="s">
        <v>29</v>
      </c>
    </row>
    <row r="2138" spans="1:28" x14ac:dyDescent="0.3">
      <c r="A2138" s="116">
        <v>93</v>
      </c>
      <c r="B2138" s="68" t="s">
        <v>803</v>
      </c>
      <c r="E2138" s="85">
        <f>178804123.27/1000</f>
        <v>178804.12327000001</v>
      </c>
      <c r="F2138" s="85">
        <f t="shared" ref="F2138:Q2138" si="236">SUM(F2115:F2137)</f>
        <v>73532.817539999989</v>
      </c>
      <c r="G2138" s="85">
        <f t="shared" si="236"/>
        <v>0</v>
      </c>
      <c r="H2138" s="85">
        <f>175599765.42/1000</f>
        <v>175599.76541999998</v>
      </c>
      <c r="I2138" s="85">
        <f t="shared" si="236"/>
        <v>0</v>
      </c>
      <c r="J2138" s="85">
        <f t="shared" si="236"/>
        <v>73532.817539999989</v>
      </c>
      <c r="K2138" s="85">
        <f t="shared" si="236"/>
        <v>2909.3346200000001</v>
      </c>
      <c r="L2138" s="85">
        <f t="shared" si="236"/>
        <v>0</v>
      </c>
      <c r="M2138" s="85">
        <f t="shared" si="236"/>
        <v>73532.817539999989</v>
      </c>
      <c r="N2138" s="85">
        <f t="shared" si="236"/>
        <v>2909.3346200000001</v>
      </c>
      <c r="O2138" s="85">
        <f t="shared" si="236"/>
        <v>0</v>
      </c>
      <c r="P2138" s="85">
        <f>2909334/1000</f>
        <v>2909.3339999999998</v>
      </c>
      <c r="Q2138" s="85">
        <f t="shared" si="236"/>
        <v>71827.840769999995</v>
      </c>
      <c r="R2138" s="84"/>
      <c r="S2138" s="84"/>
      <c r="T2138" s="85">
        <f t="shared" ref="T2138:Y2138" si="237">SUM(T2115:T2137)</f>
        <v>0</v>
      </c>
      <c r="U2138" s="85">
        <f t="shared" si="237"/>
        <v>2909.3346200000001</v>
      </c>
      <c r="V2138" s="85">
        <f t="shared" si="237"/>
        <v>0</v>
      </c>
      <c r="W2138" s="85">
        <f t="shared" si="237"/>
        <v>0</v>
      </c>
      <c r="X2138" s="85">
        <f>+H2138+P2138</f>
        <v>178509.09941999998</v>
      </c>
      <c r="Y2138" s="85">
        <f t="shared" si="237"/>
        <v>0</v>
      </c>
      <c r="Z2138" s="85">
        <f t="shared" ref="Z2138:Z2201" si="238">+E2138-X2138</f>
        <v>295.02385000002687</v>
      </c>
      <c r="AA2138" s="69">
        <f>SUM(AA2115:AA2137)</f>
        <v>76442.152159999998</v>
      </c>
      <c r="AB2138" s="69">
        <f>SUM(AB2115:AB2137)</f>
        <v>295.0232299999995</v>
      </c>
    </row>
    <row r="2139" spans="1:28" hidden="1" x14ac:dyDescent="0.3">
      <c r="A2139" s="117"/>
      <c r="E2139" s="86" t="s">
        <v>29</v>
      </c>
      <c r="F2139" s="86" t="s">
        <v>29</v>
      </c>
      <c r="G2139" s="86" t="s">
        <v>29</v>
      </c>
      <c r="H2139" s="86" t="s">
        <v>29</v>
      </c>
      <c r="I2139" s="86" t="s">
        <v>29</v>
      </c>
      <c r="J2139" s="86" t="s">
        <v>29</v>
      </c>
      <c r="K2139" s="86" t="s">
        <v>29</v>
      </c>
      <c r="L2139" s="86" t="s">
        <v>29</v>
      </c>
      <c r="M2139" s="86" t="s">
        <v>29</v>
      </c>
      <c r="N2139" s="86" t="s">
        <v>29</v>
      </c>
      <c r="O2139" s="86" t="s">
        <v>29</v>
      </c>
      <c r="P2139" s="86" t="s">
        <v>29</v>
      </c>
      <c r="Q2139" s="86" t="s">
        <v>29</v>
      </c>
      <c r="R2139" s="86" t="s">
        <v>29</v>
      </c>
      <c r="S2139" s="86" t="s">
        <v>29</v>
      </c>
      <c r="T2139" s="86" t="s">
        <v>29</v>
      </c>
      <c r="U2139" s="86" t="s">
        <v>29</v>
      </c>
      <c r="V2139" s="86" t="s">
        <v>29</v>
      </c>
      <c r="W2139" s="86" t="s">
        <v>29</v>
      </c>
      <c r="X2139" s="85" t="e">
        <f t="shared" si="235"/>
        <v>#VALUE!</v>
      </c>
      <c r="Y2139" s="86" t="s">
        <v>29</v>
      </c>
      <c r="Z2139" s="85" t="e">
        <f t="shared" si="238"/>
        <v>#VALUE!</v>
      </c>
      <c r="AA2139" s="115" t="s">
        <v>29</v>
      </c>
      <c r="AB2139" s="115" t="s">
        <v>29</v>
      </c>
    </row>
    <row r="2140" spans="1:28" hidden="1" x14ac:dyDescent="0.3">
      <c r="A2140" s="105"/>
      <c r="E2140" s="84"/>
      <c r="F2140" s="84"/>
      <c r="G2140" s="84"/>
      <c r="H2140" s="84"/>
      <c r="I2140" s="84"/>
      <c r="J2140" s="84"/>
      <c r="K2140" s="84"/>
      <c r="L2140" s="84"/>
      <c r="M2140" s="84"/>
      <c r="N2140" s="84"/>
      <c r="O2140" s="84"/>
      <c r="P2140" s="84"/>
      <c r="Q2140" s="84"/>
      <c r="R2140" s="84"/>
      <c r="S2140" s="84"/>
      <c r="T2140" s="84"/>
      <c r="U2140" s="84"/>
      <c r="V2140" s="84"/>
      <c r="W2140" s="84"/>
      <c r="X2140" s="85">
        <f t="shared" si="235"/>
        <v>0</v>
      </c>
      <c r="Y2140" s="84"/>
      <c r="Z2140" s="85">
        <f t="shared" si="238"/>
        <v>0</v>
      </c>
    </row>
    <row r="2141" spans="1:28" hidden="1" x14ac:dyDescent="0.3">
      <c r="A2141" s="117"/>
      <c r="C2141" s="68" t="s">
        <v>810</v>
      </c>
      <c r="D2141" s="87" t="s">
        <v>811</v>
      </c>
      <c r="E2141" s="85">
        <f>STATS1003B!E2145/1000</f>
        <v>1260</v>
      </c>
      <c r="F2141" s="85">
        <f>STATS1003B!F2145/1000</f>
        <v>1260</v>
      </c>
      <c r="G2141" s="85">
        <f>STATS1003B!G2145/1000</f>
        <v>0</v>
      </c>
      <c r="H2141" s="85">
        <f>STATS1003B!H2145/1000</f>
        <v>1260</v>
      </c>
      <c r="I2141" s="85">
        <f>STATS1003B!I2145/1000</f>
        <v>0</v>
      </c>
      <c r="J2141" s="85">
        <f>STATS1003B!J2145/1000</f>
        <v>1260</v>
      </c>
      <c r="K2141" s="85">
        <f>STATS1003B!K2145/1000</f>
        <v>0</v>
      </c>
      <c r="L2141" s="85">
        <f>STATS1003B!L2145/1000</f>
        <v>0</v>
      </c>
      <c r="M2141" s="85">
        <f>STATS1003B!M2145/1000</f>
        <v>1260</v>
      </c>
      <c r="N2141" s="85">
        <f>STATS1003B!N2145/1000</f>
        <v>0</v>
      </c>
      <c r="O2141" s="85">
        <f>STATS1003B!O2145/1000</f>
        <v>0</v>
      </c>
      <c r="P2141" s="85">
        <f>STATS1003B!P2145/1000</f>
        <v>0</v>
      </c>
      <c r="Q2141" s="85">
        <f>STATS1003B!Q2145/1000</f>
        <v>1260</v>
      </c>
      <c r="R2141" s="85">
        <f>STATS1003B!R2145/1000</f>
        <v>0</v>
      </c>
      <c r="S2141" s="85">
        <f>STATS1003B!S2145/1000</f>
        <v>0</v>
      </c>
      <c r="T2141" s="85">
        <f>STATS1003B!T2145/1000</f>
        <v>0</v>
      </c>
      <c r="U2141" s="85">
        <f>STATS1003B!U2145/1000</f>
        <v>0</v>
      </c>
      <c r="V2141" s="85">
        <f>STATS1003B!V2145/1000</f>
        <v>0</v>
      </c>
      <c r="W2141" s="85">
        <f>STATS1003B!W2145/1000</f>
        <v>0</v>
      </c>
      <c r="X2141" s="85">
        <f t="shared" si="235"/>
        <v>1260</v>
      </c>
      <c r="Y2141" s="85">
        <f>STATS1003B!Y2145/1000</f>
        <v>0</v>
      </c>
      <c r="Z2141" s="85">
        <f t="shared" si="238"/>
        <v>0</v>
      </c>
      <c r="AA2141" s="69">
        <f>STATS1003B!AA2145/1000</f>
        <v>1260</v>
      </c>
      <c r="AB2141" s="69">
        <f>STATS1003B!AB2145/1000</f>
        <v>0</v>
      </c>
    </row>
    <row r="2142" spans="1:28" hidden="1" x14ac:dyDescent="0.3">
      <c r="A2142" s="117"/>
      <c r="C2142" s="68" t="s">
        <v>535</v>
      </c>
      <c r="D2142" s="87" t="s">
        <v>68</v>
      </c>
      <c r="E2142" s="85">
        <f>STATS1003B!E2146/1000</f>
        <v>671.28751999999997</v>
      </c>
      <c r="F2142" s="85">
        <f>STATS1003B!F2146/1000</f>
        <v>648.79088999999999</v>
      </c>
      <c r="G2142" s="85">
        <f>STATS1003B!G2146/1000</f>
        <v>0</v>
      </c>
      <c r="H2142" s="85">
        <f>STATS1003B!H2146/1000</f>
        <v>648.79088999999999</v>
      </c>
      <c r="I2142" s="85">
        <f>STATS1003B!I2146/1000</f>
        <v>0</v>
      </c>
      <c r="J2142" s="85">
        <f>STATS1003B!J2146/1000</f>
        <v>648.79088999999999</v>
      </c>
      <c r="K2142" s="85">
        <f>STATS1003B!K2146/1000</f>
        <v>22.49663</v>
      </c>
      <c r="L2142" s="85">
        <f>STATS1003B!L2146/1000</f>
        <v>0</v>
      </c>
      <c r="M2142" s="85">
        <f>STATS1003B!M2146/1000</f>
        <v>648.79088999999999</v>
      </c>
      <c r="N2142" s="85">
        <f>STATS1003B!N2146/1000</f>
        <v>22.49663</v>
      </c>
      <c r="O2142" s="85">
        <f>STATS1003B!O2146/1000</f>
        <v>0</v>
      </c>
      <c r="P2142" s="85">
        <f>STATS1003B!P2146/1000</f>
        <v>22.49663</v>
      </c>
      <c r="Q2142" s="85">
        <f>STATS1003B!Q2146/1000</f>
        <v>648.79088999999999</v>
      </c>
      <c r="R2142" s="85">
        <f>STATS1003B!R2146/1000</f>
        <v>0</v>
      </c>
      <c r="S2142" s="85">
        <f>STATS1003B!S2146/1000</f>
        <v>0</v>
      </c>
      <c r="T2142" s="85">
        <f>STATS1003B!T2146/1000</f>
        <v>0</v>
      </c>
      <c r="U2142" s="85">
        <f>STATS1003B!U2146/1000</f>
        <v>22.49663</v>
      </c>
      <c r="V2142" s="85">
        <f>STATS1003B!V2146/1000</f>
        <v>0</v>
      </c>
      <c r="W2142" s="85">
        <f>STATS1003B!W2146/1000</f>
        <v>0</v>
      </c>
      <c r="X2142" s="85">
        <f t="shared" si="235"/>
        <v>671.28751999999997</v>
      </c>
      <c r="Y2142" s="85">
        <f>STATS1003B!Y2146/1000</f>
        <v>0</v>
      </c>
      <c r="Z2142" s="85">
        <f t="shared" si="238"/>
        <v>0</v>
      </c>
      <c r="AA2142" s="69">
        <f>STATS1003B!AA2146/1000</f>
        <v>671.28751999999997</v>
      </c>
      <c r="AB2142" s="69">
        <f>STATS1003B!AB2146/1000</f>
        <v>0</v>
      </c>
    </row>
    <row r="2143" spans="1:28" hidden="1" x14ac:dyDescent="0.3">
      <c r="A2143" s="117"/>
      <c r="C2143" s="68" t="s">
        <v>535</v>
      </c>
      <c r="D2143" s="87" t="s">
        <v>54</v>
      </c>
      <c r="E2143" s="85">
        <f>STATS1003B!E2147/1000</f>
        <v>982.98</v>
      </c>
      <c r="F2143" s="85">
        <f>STATS1003B!F2147/1000</f>
        <v>982.98</v>
      </c>
      <c r="G2143" s="85">
        <f>STATS1003B!G2147/1000</f>
        <v>0</v>
      </c>
      <c r="H2143" s="85">
        <f>STATS1003B!H2147/1000</f>
        <v>982.98</v>
      </c>
      <c r="I2143" s="85">
        <f>STATS1003B!I2147/1000</f>
        <v>0</v>
      </c>
      <c r="J2143" s="85">
        <f>STATS1003B!J2147/1000</f>
        <v>982.98</v>
      </c>
      <c r="K2143" s="85">
        <f>STATS1003B!K2147/1000</f>
        <v>0</v>
      </c>
      <c r="L2143" s="85">
        <f>STATS1003B!L2147/1000</f>
        <v>0</v>
      </c>
      <c r="M2143" s="85">
        <f>STATS1003B!M2147/1000</f>
        <v>982.98</v>
      </c>
      <c r="N2143" s="85">
        <f>STATS1003B!N2147/1000</f>
        <v>0</v>
      </c>
      <c r="O2143" s="85">
        <f>STATS1003B!O2147/1000</f>
        <v>0</v>
      </c>
      <c r="P2143" s="85">
        <f>STATS1003B!P2147/1000</f>
        <v>0</v>
      </c>
      <c r="Q2143" s="85">
        <f>STATS1003B!Q2147/1000</f>
        <v>982.98</v>
      </c>
      <c r="R2143" s="85">
        <f>STATS1003B!R2147/1000</f>
        <v>0</v>
      </c>
      <c r="S2143" s="85">
        <f>STATS1003B!S2147/1000</f>
        <v>0</v>
      </c>
      <c r="T2143" s="85">
        <f>STATS1003B!T2147/1000</f>
        <v>0</v>
      </c>
      <c r="U2143" s="85">
        <f>STATS1003B!U2147/1000</f>
        <v>0</v>
      </c>
      <c r="V2143" s="85">
        <f>STATS1003B!V2147/1000</f>
        <v>0</v>
      </c>
      <c r="W2143" s="85">
        <f>STATS1003B!W2147/1000</f>
        <v>0</v>
      </c>
      <c r="X2143" s="85">
        <f t="shared" si="235"/>
        <v>982.98</v>
      </c>
      <c r="Y2143" s="85">
        <f>STATS1003B!Y2147/1000</f>
        <v>0</v>
      </c>
      <c r="Z2143" s="85">
        <f t="shared" si="238"/>
        <v>0</v>
      </c>
      <c r="AA2143" s="69">
        <f>STATS1003B!AA2147/1000</f>
        <v>982.98</v>
      </c>
      <c r="AB2143" s="69">
        <f>STATS1003B!AB2147/1000</f>
        <v>0</v>
      </c>
    </row>
    <row r="2144" spans="1:28" hidden="1" x14ac:dyDescent="0.3">
      <c r="A2144" s="117"/>
      <c r="C2144" s="68" t="s">
        <v>545</v>
      </c>
      <c r="D2144" s="87" t="s">
        <v>54</v>
      </c>
      <c r="E2144" s="85">
        <f>STATS1003B!E2148/1000</f>
        <v>1953.989</v>
      </c>
      <c r="F2144" s="85">
        <f>STATS1003B!F2148/1000</f>
        <v>0</v>
      </c>
      <c r="G2144" s="85">
        <f>STATS1003B!G2148/1000</f>
        <v>0</v>
      </c>
      <c r="H2144" s="85">
        <f>STATS1003B!H2148/1000</f>
        <v>0</v>
      </c>
      <c r="I2144" s="85">
        <f>STATS1003B!I2148/1000</f>
        <v>0</v>
      </c>
      <c r="J2144" s="85">
        <f>STATS1003B!J2148/1000</f>
        <v>0</v>
      </c>
      <c r="K2144" s="85">
        <f>STATS1003B!K2148/1000</f>
        <v>1953.989</v>
      </c>
      <c r="L2144" s="85">
        <f>STATS1003B!L2148/1000</f>
        <v>0</v>
      </c>
      <c r="M2144" s="85">
        <f>STATS1003B!M2148/1000</f>
        <v>0</v>
      </c>
      <c r="N2144" s="85">
        <f>STATS1003B!N2148/1000</f>
        <v>1953.989</v>
      </c>
      <c r="O2144" s="85">
        <f>STATS1003B!O2148/1000</f>
        <v>0</v>
      </c>
      <c r="P2144" s="85">
        <f>STATS1003B!P2148/1000</f>
        <v>1953.989</v>
      </c>
      <c r="Q2144" s="85">
        <f>STATS1003B!Q2148/1000</f>
        <v>0</v>
      </c>
      <c r="R2144" s="85">
        <f>STATS1003B!R2148/1000</f>
        <v>0</v>
      </c>
      <c r="S2144" s="85">
        <f>STATS1003B!S2148/1000</f>
        <v>0</v>
      </c>
      <c r="T2144" s="85">
        <f>STATS1003B!T2148/1000</f>
        <v>0</v>
      </c>
      <c r="U2144" s="85">
        <f>STATS1003B!U2148/1000</f>
        <v>1953.989</v>
      </c>
      <c r="V2144" s="85">
        <f>STATS1003B!V2148/1000</f>
        <v>0</v>
      </c>
      <c r="W2144" s="85">
        <f>STATS1003B!W2148/1000</f>
        <v>0</v>
      </c>
      <c r="X2144" s="85">
        <f t="shared" si="235"/>
        <v>1953.989</v>
      </c>
      <c r="Y2144" s="85">
        <f>STATS1003B!Y2148/1000</f>
        <v>0</v>
      </c>
      <c r="Z2144" s="85">
        <f t="shared" si="238"/>
        <v>0</v>
      </c>
      <c r="AA2144" s="69">
        <f>STATS1003B!AA2148/1000</f>
        <v>1953.989</v>
      </c>
      <c r="AB2144" s="69">
        <f>STATS1003B!AB2148/1000</f>
        <v>0</v>
      </c>
    </row>
    <row r="2145" spans="1:28" hidden="1" x14ac:dyDescent="0.3">
      <c r="A2145" s="117"/>
      <c r="C2145" s="68" t="s">
        <v>812</v>
      </c>
      <c r="D2145" s="87" t="s">
        <v>54</v>
      </c>
      <c r="E2145" s="85">
        <f>STATS1003B!E2149/1000</f>
        <v>2137.5</v>
      </c>
      <c r="F2145" s="85">
        <f>STATS1003B!F2149/1000</f>
        <v>2137.5</v>
      </c>
      <c r="G2145" s="85">
        <f>STATS1003B!G2149/1000</f>
        <v>0</v>
      </c>
      <c r="H2145" s="85">
        <f>STATS1003B!H2149/1000</f>
        <v>2137.5</v>
      </c>
      <c r="I2145" s="85">
        <f>STATS1003B!I2149/1000</f>
        <v>0</v>
      </c>
      <c r="J2145" s="85">
        <f>STATS1003B!J2149/1000</f>
        <v>2137.5</v>
      </c>
      <c r="K2145" s="85">
        <f>STATS1003B!K2149/1000</f>
        <v>0</v>
      </c>
      <c r="L2145" s="85">
        <f>STATS1003B!L2149/1000</f>
        <v>0</v>
      </c>
      <c r="M2145" s="85">
        <f>STATS1003B!M2149/1000</f>
        <v>2137.5</v>
      </c>
      <c r="N2145" s="85">
        <f>STATS1003B!N2149/1000</f>
        <v>0</v>
      </c>
      <c r="O2145" s="85">
        <f>STATS1003B!O2149/1000</f>
        <v>0</v>
      </c>
      <c r="P2145" s="85">
        <f>STATS1003B!P2149/1000</f>
        <v>0</v>
      </c>
      <c r="Q2145" s="85">
        <f>STATS1003B!Q2149/1000</f>
        <v>2137.5</v>
      </c>
      <c r="R2145" s="85">
        <f>STATS1003B!R2149/1000</f>
        <v>0</v>
      </c>
      <c r="S2145" s="85">
        <f>STATS1003B!S2149/1000</f>
        <v>0</v>
      </c>
      <c r="T2145" s="85">
        <f>STATS1003B!T2149/1000</f>
        <v>0</v>
      </c>
      <c r="U2145" s="85">
        <f>STATS1003B!U2149/1000</f>
        <v>0</v>
      </c>
      <c r="V2145" s="85">
        <f>STATS1003B!V2149/1000</f>
        <v>0</v>
      </c>
      <c r="W2145" s="85">
        <f>STATS1003B!W2149/1000</f>
        <v>0</v>
      </c>
      <c r="X2145" s="85">
        <f t="shared" si="235"/>
        <v>2137.5</v>
      </c>
      <c r="Y2145" s="85">
        <f>STATS1003B!Y2149/1000</f>
        <v>0</v>
      </c>
      <c r="Z2145" s="85">
        <f t="shared" si="238"/>
        <v>0</v>
      </c>
      <c r="AA2145" s="69">
        <f>STATS1003B!AA2149/1000</f>
        <v>2137.5</v>
      </c>
      <c r="AB2145" s="69">
        <f>STATS1003B!AB2149/1000</f>
        <v>0</v>
      </c>
    </row>
    <row r="2146" spans="1:28" hidden="1" x14ac:dyDescent="0.3">
      <c r="A2146" s="117"/>
      <c r="C2146" s="68" t="s">
        <v>535</v>
      </c>
      <c r="D2146" s="87" t="s">
        <v>85</v>
      </c>
      <c r="E2146" s="85">
        <f>STATS1003B!E2150/1000</f>
        <v>956.27599999999995</v>
      </c>
      <c r="F2146" s="85">
        <f>STATS1003B!F2150/1000</f>
        <v>956.27599999999995</v>
      </c>
      <c r="G2146" s="85">
        <f>STATS1003B!G2150/1000</f>
        <v>0</v>
      </c>
      <c r="H2146" s="85">
        <f>STATS1003B!H2150/1000</f>
        <v>956.27599999999995</v>
      </c>
      <c r="I2146" s="85">
        <f>STATS1003B!I2150/1000</f>
        <v>0</v>
      </c>
      <c r="J2146" s="85">
        <f>STATS1003B!J2150/1000</f>
        <v>956.27599999999995</v>
      </c>
      <c r="K2146" s="85">
        <f>STATS1003B!K2150/1000</f>
        <v>0</v>
      </c>
      <c r="L2146" s="85">
        <f>STATS1003B!L2150/1000</f>
        <v>0</v>
      </c>
      <c r="M2146" s="85">
        <f>STATS1003B!M2150/1000</f>
        <v>956.27599999999995</v>
      </c>
      <c r="N2146" s="85">
        <f>STATS1003B!N2150/1000</f>
        <v>0</v>
      </c>
      <c r="O2146" s="85">
        <f>STATS1003B!O2150/1000</f>
        <v>0</v>
      </c>
      <c r="P2146" s="85">
        <f>STATS1003B!P2150/1000</f>
        <v>0</v>
      </c>
      <c r="Q2146" s="85">
        <f>STATS1003B!Q2150/1000</f>
        <v>956.27599999999995</v>
      </c>
      <c r="R2146" s="85">
        <f>STATS1003B!R2150/1000</f>
        <v>0</v>
      </c>
      <c r="S2146" s="85">
        <f>STATS1003B!S2150/1000</f>
        <v>0</v>
      </c>
      <c r="T2146" s="85">
        <f>STATS1003B!T2150/1000</f>
        <v>0</v>
      </c>
      <c r="U2146" s="85">
        <f>STATS1003B!U2150/1000</f>
        <v>0</v>
      </c>
      <c r="V2146" s="85">
        <f>STATS1003B!V2150/1000</f>
        <v>0</v>
      </c>
      <c r="W2146" s="85">
        <f>STATS1003B!W2150/1000</f>
        <v>0</v>
      </c>
      <c r="X2146" s="85">
        <f t="shared" si="235"/>
        <v>956.27599999999995</v>
      </c>
      <c r="Y2146" s="85">
        <f>STATS1003B!Y2150/1000</f>
        <v>0</v>
      </c>
      <c r="Z2146" s="85">
        <f t="shared" si="238"/>
        <v>0</v>
      </c>
      <c r="AA2146" s="69">
        <f>STATS1003B!AA2150/1000</f>
        <v>956.27599999999995</v>
      </c>
      <c r="AB2146" s="69">
        <f>STATS1003B!AB2150/1000</f>
        <v>0</v>
      </c>
    </row>
    <row r="2147" spans="1:28" hidden="1" x14ac:dyDescent="0.3">
      <c r="A2147" s="117"/>
      <c r="C2147" s="68" t="s">
        <v>813</v>
      </c>
      <c r="D2147" s="87" t="s">
        <v>85</v>
      </c>
      <c r="E2147" s="85">
        <f>STATS1003B!E2151/1000</f>
        <v>800</v>
      </c>
      <c r="F2147" s="85">
        <f>STATS1003B!F2151/1000</f>
        <v>800</v>
      </c>
      <c r="G2147" s="85">
        <f>STATS1003B!G2151/1000</f>
        <v>0</v>
      </c>
      <c r="H2147" s="85">
        <f>STATS1003B!H2151/1000</f>
        <v>800</v>
      </c>
      <c r="I2147" s="85">
        <f>STATS1003B!I2151/1000</f>
        <v>0</v>
      </c>
      <c r="J2147" s="85">
        <f>STATS1003B!J2151/1000</f>
        <v>800</v>
      </c>
      <c r="K2147" s="85">
        <f>STATS1003B!K2151/1000</f>
        <v>0</v>
      </c>
      <c r="L2147" s="85">
        <f>STATS1003B!L2151/1000</f>
        <v>0</v>
      </c>
      <c r="M2147" s="85">
        <f>STATS1003B!M2151/1000</f>
        <v>800</v>
      </c>
      <c r="N2147" s="85">
        <f>STATS1003B!N2151/1000</f>
        <v>0</v>
      </c>
      <c r="O2147" s="85">
        <f>STATS1003B!O2151/1000</f>
        <v>0</v>
      </c>
      <c r="P2147" s="85">
        <f>STATS1003B!P2151/1000</f>
        <v>0</v>
      </c>
      <c r="Q2147" s="85">
        <f>STATS1003B!Q2151/1000</f>
        <v>800</v>
      </c>
      <c r="R2147" s="85">
        <f>STATS1003B!R2151/1000</f>
        <v>0</v>
      </c>
      <c r="S2147" s="85">
        <f>STATS1003B!S2151/1000</f>
        <v>0</v>
      </c>
      <c r="T2147" s="85">
        <f>STATS1003B!T2151/1000</f>
        <v>0</v>
      </c>
      <c r="U2147" s="85">
        <f>STATS1003B!U2151/1000</f>
        <v>0</v>
      </c>
      <c r="V2147" s="85">
        <f>STATS1003B!V2151/1000</f>
        <v>0</v>
      </c>
      <c r="W2147" s="85">
        <f>STATS1003B!W2151/1000</f>
        <v>0</v>
      </c>
      <c r="X2147" s="85">
        <f t="shared" si="235"/>
        <v>800</v>
      </c>
      <c r="Y2147" s="85">
        <f>STATS1003B!Y2151/1000</f>
        <v>0</v>
      </c>
      <c r="Z2147" s="85">
        <f t="shared" si="238"/>
        <v>0</v>
      </c>
      <c r="AA2147" s="69">
        <f>STATS1003B!AA2151/1000</f>
        <v>800</v>
      </c>
      <c r="AB2147" s="69">
        <f>STATS1003B!AB2151/1000</f>
        <v>0</v>
      </c>
    </row>
    <row r="2148" spans="1:28" hidden="1" x14ac:dyDescent="0.3">
      <c r="A2148" s="117"/>
      <c r="C2148" s="68" t="s">
        <v>727</v>
      </c>
      <c r="D2148" s="87" t="s">
        <v>85</v>
      </c>
      <c r="E2148" s="85">
        <f>STATS1003B!E2152/1000</f>
        <v>240</v>
      </c>
      <c r="F2148" s="85">
        <f>STATS1003B!F2152/1000</f>
        <v>240</v>
      </c>
      <c r="G2148" s="85">
        <f>STATS1003B!G2152/1000</f>
        <v>0</v>
      </c>
      <c r="H2148" s="85">
        <f>STATS1003B!H2152/1000</f>
        <v>240</v>
      </c>
      <c r="I2148" s="85">
        <f>STATS1003B!I2152/1000</f>
        <v>0</v>
      </c>
      <c r="J2148" s="85">
        <f>STATS1003B!J2152/1000</f>
        <v>240</v>
      </c>
      <c r="K2148" s="85">
        <f>STATS1003B!K2152/1000</f>
        <v>0</v>
      </c>
      <c r="L2148" s="85">
        <f>STATS1003B!L2152/1000</f>
        <v>0</v>
      </c>
      <c r="M2148" s="85">
        <f>STATS1003B!M2152/1000</f>
        <v>240</v>
      </c>
      <c r="N2148" s="85">
        <f>STATS1003B!N2152/1000</f>
        <v>0</v>
      </c>
      <c r="O2148" s="85">
        <f>STATS1003B!O2152/1000</f>
        <v>0</v>
      </c>
      <c r="P2148" s="85">
        <f>STATS1003B!P2152/1000</f>
        <v>0</v>
      </c>
      <c r="Q2148" s="85">
        <f>STATS1003B!Q2152/1000</f>
        <v>240</v>
      </c>
      <c r="R2148" s="85">
        <f>STATS1003B!R2152/1000</f>
        <v>0</v>
      </c>
      <c r="S2148" s="85">
        <f>STATS1003B!S2152/1000</f>
        <v>0</v>
      </c>
      <c r="T2148" s="85">
        <f>STATS1003B!T2152/1000</f>
        <v>0</v>
      </c>
      <c r="U2148" s="85">
        <f>STATS1003B!U2152/1000</f>
        <v>0</v>
      </c>
      <c r="V2148" s="85">
        <f>STATS1003B!V2152/1000</f>
        <v>0</v>
      </c>
      <c r="W2148" s="85">
        <f>STATS1003B!W2152/1000</f>
        <v>0</v>
      </c>
      <c r="X2148" s="85">
        <f t="shared" si="235"/>
        <v>240</v>
      </c>
      <c r="Y2148" s="85">
        <f>STATS1003B!Y2152/1000</f>
        <v>0</v>
      </c>
      <c r="Z2148" s="85">
        <f t="shared" si="238"/>
        <v>0</v>
      </c>
      <c r="AA2148" s="69">
        <f>STATS1003B!AA2152/1000</f>
        <v>240</v>
      </c>
      <c r="AB2148" s="69">
        <f>STATS1003B!AB2152/1000</f>
        <v>0</v>
      </c>
    </row>
    <row r="2149" spans="1:28" hidden="1" x14ac:dyDescent="0.3">
      <c r="A2149" s="117"/>
      <c r="C2149" s="68" t="s">
        <v>814</v>
      </c>
      <c r="D2149" s="87" t="s">
        <v>85</v>
      </c>
      <c r="E2149" s="85">
        <f>STATS1003B!E2153/1000</f>
        <v>400</v>
      </c>
      <c r="F2149" s="85">
        <f>STATS1003B!F2153/1000</f>
        <v>0</v>
      </c>
      <c r="G2149" s="85">
        <f>STATS1003B!G2153/1000</f>
        <v>0</v>
      </c>
      <c r="H2149" s="85">
        <f>STATS1003B!H2153/1000</f>
        <v>0</v>
      </c>
      <c r="I2149" s="85">
        <f>STATS1003B!I2153/1000</f>
        <v>400</v>
      </c>
      <c r="J2149" s="85">
        <f>STATS1003B!J2153/1000</f>
        <v>400</v>
      </c>
      <c r="K2149" s="85">
        <f>STATS1003B!K2153/1000</f>
        <v>0</v>
      </c>
      <c r="L2149" s="85">
        <f>STATS1003B!L2153/1000</f>
        <v>400</v>
      </c>
      <c r="M2149" s="85">
        <f>STATS1003B!M2153/1000</f>
        <v>400</v>
      </c>
      <c r="N2149" s="85">
        <f>STATS1003B!N2153/1000</f>
        <v>0</v>
      </c>
      <c r="O2149" s="85">
        <f>STATS1003B!O2153/1000</f>
        <v>0</v>
      </c>
      <c r="P2149" s="85">
        <f>STATS1003B!P2153/1000</f>
        <v>0</v>
      </c>
      <c r="Q2149" s="85">
        <f>STATS1003B!Q2153/1000</f>
        <v>400</v>
      </c>
      <c r="R2149" s="85">
        <f>STATS1003B!R2153/1000</f>
        <v>0</v>
      </c>
      <c r="S2149" s="85">
        <f>STATS1003B!S2153/1000</f>
        <v>0</v>
      </c>
      <c r="T2149" s="85">
        <f>STATS1003B!T2153/1000</f>
        <v>0</v>
      </c>
      <c r="U2149" s="85">
        <f>STATS1003B!U2153/1000</f>
        <v>0</v>
      </c>
      <c r="V2149" s="85">
        <f>STATS1003B!V2153/1000</f>
        <v>0</v>
      </c>
      <c r="W2149" s="85">
        <f>STATS1003B!W2153/1000</f>
        <v>0</v>
      </c>
      <c r="X2149" s="85">
        <f t="shared" si="235"/>
        <v>0</v>
      </c>
      <c r="Y2149" s="85">
        <f>STATS1003B!Y2153/1000</f>
        <v>0</v>
      </c>
      <c r="Z2149" s="85">
        <f t="shared" si="238"/>
        <v>400</v>
      </c>
      <c r="AA2149" s="69">
        <f>STATS1003B!AA2153/1000</f>
        <v>400</v>
      </c>
      <c r="AB2149" s="69">
        <f>STATS1003B!AB2153/1000</f>
        <v>0</v>
      </c>
    </row>
    <row r="2150" spans="1:28" hidden="1" x14ac:dyDescent="0.3">
      <c r="A2150" s="117"/>
      <c r="B2150" s="68" t="s">
        <v>546</v>
      </c>
      <c r="C2150" s="68" t="s">
        <v>815</v>
      </c>
      <c r="D2150" s="88" t="s">
        <v>128</v>
      </c>
      <c r="E2150" s="85">
        <f>STATS1003B!E2154/1000</f>
        <v>0</v>
      </c>
      <c r="F2150" s="85">
        <f>STATS1003B!F2154/1000</f>
        <v>0</v>
      </c>
      <c r="G2150" s="85">
        <f>STATS1003B!G2154/1000</f>
        <v>0</v>
      </c>
      <c r="H2150" s="85">
        <f>STATS1003B!H2154/1000</f>
        <v>0</v>
      </c>
      <c r="I2150" s="85">
        <f>STATS1003B!I2154/1000</f>
        <v>0</v>
      </c>
      <c r="J2150" s="85">
        <f>STATS1003B!J2154/1000</f>
        <v>0</v>
      </c>
      <c r="K2150" s="85">
        <f>STATS1003B!K2154/1000</f>
        <v>0</v>
      </c>
      <c r="L2150" s="85">
        <f>STATS1003B!L2154/1000</f>
        <v>0</v>
      </c>
      <c r="M2150" s="85">
        <f>STATS1003B!M2154/1000</f>
        <v>0</v>
      </c>
      <c r="N2150" s="85">
        <f>STATS1003B!N2154/1000</f>
        <v>0</v>
      </c>
      <c r="O2150" s="85">
        <f>STATS1003B!O2154/1000</f>
        <v>0</v>
      </c>
      <c r="P2150" s="85">
        <f>STATS1003B!P2154/1000</f>
        <v>0</v>
      </c>
      <c r="Q2150" s="85">
        <f>STATS1003B!Q2154/1000</f>
        <v>0</v>
      </c>
      <c r="R2150" s="85">
        <f>STATS1003B!R2154/1000</f>
        <v>0</v>
      </c>
      <c r="S2150" s="85">
        <f>STATS1003B!S2154/1000</f>
        <v>0</v>
      </c>
      <c r="T2150" s="85">
        <f>STATS1003B!T2154/1000</f>
        <v>0</v>
      </c>
      <c r="U2150" s="85">
        <f>STATS1003B!U2154/1000</f>
        <v>0</v>
      </c>
      <c r="V2150" s="85">
        <f>STATS1003B!V2154/1000</f>
        <v>0</v>
      </c>
      <c r="W2150" s="85">
        <f>STATS1003B!W2154/1000</f>
        <v>0</v>
      </c>
      <c r="X2150" s="85">
        <f t="shared" si="235"/>
        <v>0</v>
      </c>
      <c r="Y2150" s="85">
        <f>STATS1003B!Y2154/1000</f>
        <v>0</v>
      </c>
      <c r="Z2150" s="85">
        <f t="shared" si="238"/>
        <v>0</v>
      </c>
      <c r="AA2150" s="69">
        <f>STATS1003B!AA2154/1000</f>
        <v>0</v>
      </c>
      <c r="AB2150" s="69">
        <f>STATS1003B!AB2154/1000</f>
        <v>0</v>
      </c>
    </row>
    <row r="2151" spans="1:28" hidden="1" x14ac:dyDescent="0.3">
      <c r="A2151" s="117"/>
      <c r="C2151" s="68" t="s">
        <v>535</v>
      </c>
      <c r="D2151" s="87" t="s">
        <v>88</v>
      </c>
      <c r="E2151" s="85">
        <f>STATS1003B!E2155/1000</f>
        <v>3755.377</v>
      </c>
      <c r="F2151" s="85">
        <f>STATS1003B!F2155/1000</f>
        <v>3755.377</v>
      </c>
      <c r="G2151" s="85">
        <f>STATS1003B!G2155/1000</f>
        <v>0</v>
      </c>
      <c r="H2151" s="85">
        <f>STATS1003B!H2155/1000</f>
        <v>3755.377</v>
      </c>
      <c r="I2151" s="85">
        <f>STATS1003B!I2155/1000</f>
        <v>0</v>
      </c>
      <c r="J2151" s="85">
        <f>STATS1003B!J2155/1000</f>
        <v>3755.377</v>
      </c>
      <c r="K2151" s="85">
        <f>STATS1003B!K2155/1000</f>
        <v>0</v>
      </c>
      <c r="L2151" s="85">
        <f>STATS1003B!L2155/1000</f>
        <v>0</v>
      </c>
      <c r="M2151" s="85">
        <f>STATS1003B!M2155/1000</f>
        <v>3755.377</v>
      </c>
      <c r="N2151" s="85">
        <f>STATS1003B!N2155/1000</f>
        <v>0</v>
      </c>
      <c r="O2151" s="85">
        <f>STATS1003B!O2155/1000</f>
        <v>0</v>
      </c>
      <c r="P2151" s="85">
        <f>STATS1003B!P2155/1000</f>
        <v>0</v>
      </c>
      <c r="Q2151" s="85">
        <f>STATS1003B!Q2155/1000</f>
        <v>3755.377</v>
      </c>
      <c r="R2151" s="85">
        <f>STATS1003B!R2155/1000</f>
        <v>0</v>
      </c>
      <c r="S2151" s="85">
        <f>STATS1003B!S2155/1000</f>
        <v>0</v>
      </c>
      <c r="T2151" s="85">
        <f>STATS1003B!T2155/1000</f>
        <v>0</v>
      </c>
      <c r="U2151" s="85">
        <f>STATS1003B!U2155/1000</f>
        <v>0</v>
      </c>
      <c r="V2151" s="85">
        <f>STATS1003B!V2155/1000</f>
        <v>0</v>
      </c>
      <c r="W2151" s="85">
        <f>STATS1003B!W2155/1000</f>
        <v>0</v>
      </c>
      <c r="X2151" s="85">
        <f t="shared" si="235"/>
        <v>3755.377</v>
      </c>
      <c r="Y2151" s="85">
        <f>STATS1003B!Y2155/1000</f>
        <v>0</v>
      </c>
      <c r="Z2151" s="85">
        <f t="shared" si="238"/>
        <v>0</v>
      </c>
      <c r="AA2151" s="69">
        <f>STATS1003B!AA2155/1000</f>
        <v>3755.377</v>
      </c>
      <c r="AB2151" s="69">
        <f>STATS1003B!AB2155/1000</f>
        <v>0</v>
      </c>
    </row>
    <row r="2152" spans="1:28" hidden="1" x14ac:dyDescent="0.3">
      <c r="A2152" s="117"/>
      <c r="C2152" s="68" t="s">
        <v>535</v>
      </c>
      <c r="D2152" s="87" t="s">
        <v>108</v>
      </c>
      <c r="E2152" s="85">
        <f>STATS1003B!E2156/1000</f>
        <v>2723.989</v>
      </c>
      <c r="F2152" s="85">
        <f>STATS1003B!F2156/1000</f>
        <v>2723.989</v>
      </c>
      <c r="G2152" s="85">
        <f>STATS1003B!G2156/1000</f>
        <v>0</v>
      </c>
      <c r="H2152" s="85">
        <f>STATS1003B!H2156/1000</f>
        <v>2723.989</v>
      </c>
      <c r="I2152" s="85">
        <f>STATS1003B!I2156/1000</f>
        <v>0</v>
      </c>
      <c r="J2152" s="85">
        <f>STATS1003B!J2156/1000</f>
        <v>2723.989</v>
      </c>
      <c r="K2152" s="85">
        <f>STATS1003B!K2156/1000</f>
        <v>0</v>
      </c>
      <c r="L2152" s="85">
        <f>STATS1003B!L2156/1000</f>
        <v>0</v>
      </c>
      <c r="M2152" s="85">
        <f>STATS1003B!M2156/1000</f>
        <v>2723.989</v>
      </c>
      <c r="N2152" s="85">
        <f>STATS1003B!N2156/1000</f>
        <v>0</v>
      </c>
      <c r="O2152" s="85">
        <f>STATS1003B!O2156/1000</f>
        <v>0</v>
      </c>
      <c r="P2152" s="85">
        <f>STATS1003B!P2156/1000</f>
        <v>0</v>
      </c>
      <c r="Q2152" s="85">
        <f>STATS1003B!Q2156/1000</f>
        <v>2723.989</v>
      </c>
      <c r="R2152" s="85">
        <f>STATS1003B!R2156/1000</f>
        <v>0</v>
      </c>
      <c r="S2152" s="85">
        <f>STATS1003B!S2156/1000</f>
        <v>0</v>
      </c>
      <c r="T2152" s="85">
        <f>STATS1003B!T2156/1000</f>
        <v>0</v>
      </c>
      <c r="U2152" s="85">
        <f>STATS1003B!U2156/1000</f>
        <v>0</v>
      </c>
      <c r="V2152" s="85">
        <f>STATS1003B!V2156/1000</f>
        <v>0</v>
      </c>
      <c r="W2152" s="85">
        <f>STATS1003B!W2156/1000</f>
        <v>0</v>
      </c>
      <c r="X2152" s="85">
        <f t="shared" si="235"/>
        <v>2723.989</v>
      </c>
      <c r="Y2152" s="85">
        <f>STATS1003B!Y2156/1000</f>
        <v>0</v>
      </c>
      <c r="Z2152" s="85">
        <f t="shared" si="238"/>
        <v>0</v>
      </c>
      <c r="AA2152" s="69">
        <f>STATS1003B!AA2156/1000</f>
        <v>2723.989</v>
      </c>
      <c r="AB2152" s="69">
        <f>STATS1003B!AB2156/1000</f>
        <v>0</v>
      </c>
    </row>
    <row r="2153" spans="1:28" hidden="1" x14ac:dyDescent="0.3">
      <c r="A2153" s="117"/>
      <c r="C2153" s="68" t="s">
        <v>535</v>
      </c>
      <c r="D2153" s="87" t="s">
        <v>58</v>
      </c>
      <c r="E2153" s="85">
        <f>STATS1003B!E2157/1000</f>
        <v>7187.0029999999997</v>
      </c>
      <c r="F2153" s="85">
        <f>STATS1003B!F2157/1000</f>
        <v>7187.0029999999997</v>
      </c>
      <c r="G2153" s="85">
        <f>STATS1003B!G2157/1000</f>
        <v>0</v>
      </c>
      <c r="H2153" s="85">
        <f>STATS1003B!H2157/1000</f>
        <v>7187.0029999999997</v>
      </c>
      <c r="I2153" s="85">
        <f>STATS1003B!I2157/1000</f>
        <v>0</v>
      </c>
      <c r="J2153" s="85">
        <f>STATS1003B!J2157/1000</f>
        <v>7187.0029999999997</v>
      </c>
      <c r="K2153" s="85">
        <f>STATS1003B!K2157/1000</f>
        <v>0</v>
      </c>
      <c r="L2153" s="85">
        <f>STATS1003B!L2157/1000</f>
        <v>0</v>
      </c>
      <c r="M2153" s="85">
        <f>STATS1003B!M2157/1000</f>
        <v>7187.0029999999997</v>
      </c>
      <c r="N2153" s="85">
        <f>STATS1003B!N2157/1000</f>
        <v>0</v>
      </c>
      <c r="O2153" s="85">
        <f>STATS1003B!O2157/1000</f>
        <v>0</v>
      </c>
      <c r="P2153" s="85">
        <f>STATS1003B!P2157/1000</f>
        <v>0</v>
      </c>
      <c r="Q2153" s="85">
        <f>STATS1003B!Q2157/1000</f>
        <v>7187.0029999999997</v>
      </c>
      <c r="R2153" s="85">
        <f>STATS1003B!R2157/1000</f>
        <v>0</v>
      </c>
      <c r="S2153" s="85">
        <f>STATS1003B!S2157/1000</f>
        <v>0</v>
      </c>
      <c r="T2153" s="85">
        <f>STATS1003B!T2157/1000</f>
        <v>0</v>
      </c>
      <c r="U2153" s="85">
        <f>STATS1003B!U2157/1000</f>
        <v>0</v>
      </c>
      <c r="V2153" s="85">
        <f>STATS1003B!V2157/1000</f>
        <v>0</v>
      </c>
      <c r="W2153" s="85">
        <f>STATS1003B!W2157/1000</f>
        <v>0</v>
      </c>
      <c r="X2153" s="85">
        <f t="shared" si="235"/>
        <v>7187.0029999999997</v>
      </c>
      <c r="Y2153" s="85">
        <f>STATS1003B!Y2157/1000</f>
        <v>0</v>
      </c>
      <c r="Z2153" s="85">
        <f t="shared" si="238"/>
        <v>0</v>
      </c>
      <c r="AA2153" s="69">
        <f>STATS1003B!AA2157/1000</f>
        <v>7187.0029999999997</v>
      </c>
      <c r="AB2153" s="69">
        <f>STATS1003B!AB2157/1000</f>
        <v>0</v>
      </c>
    </row>
    <row r="2154" spans="1:28" hidden="1" x14ac:dyDescent="0.3">
      <c r="A2154" s="117"/>
      <c r="C2154" s="68" t="s">
        <v>535</v>
      </c>
      <c r="D2154" s="87" t="s">
        <v>60</v>
      </c>
      <c r="E2154" s="85">
        <f>STATS1003B!E2158/1000</f>
        <v>6324.0585700000001</v>
      </c>
      <c r="F2154" s="85">
        <f>STATS1003B!F2158/1000</f>
        <v>6324.0585700000001</v>
      </c>
      <c r="G2154" s="85">
        <f>STATS1003B!G2158/1000</f>
        <v>0</v>
      </c>
      <c r="H2154" s="85">
        <f>STATS1003B!H2158/1000</f>
        <v>6324.0585700000001</v>
      </c>
      <c r="I2154" s="85">
        <f>STATS1003B!I2158/1000</f>
        <v>0</v>
      </c>
      <c r="J2154" s="85">
        <f>STATS1003B!J2158/1000</f>
        <v>6324.0585700000001</v>
      </c>
      <c r="K2154" s="85">
        <f>STATS1003B!K2158/1000</f>
        <v>0</v>
      </c>
      <c r="L2154" s="85">
        <f>STATS1003B!L2158/1000</f>
        <v>0</v>
      </c>
      <c r="M2154" s="85">
        <f>STATS1003B!M2158/1000</f>
        <v>6324.0585700000001</v>
      </c>
      <c r="N2154" s="85">
        <f>STATS1003B!N2158/1000</f>
        <v>0</v>
      </c>
      <c r="O2154" s="85">
        <f>STATS1003B!O2158/1000</f>
        <v>0</v>
      </c>
      <c r="P2154" s="85">
        <f>STATS1003B!P2158/1000</f>
        <v>0</v>
      </c>
      <c r="Q2154" s="85">
        <f>STATS1003B!Q2158/1000</f>
        <v>6324.0585700000001</v>
      </c>
      <c r="R2154" s="85">
        <f>STATS1003B!R2158/1000</f>
        <v>0</v>
      </c>
      <c r="S2154" s="85">
        <f>STATS1003B!S2158/1000</f>
        <v>0</v>
      </c>
      <c r="T2154" s="85">
        <f>STATS1003B!T2158/1000</f>
        <v>0</v>
      </c>
      <c r="U2154" s="85">
        <f>STATS1003B!U2158/1000</f>
        <v>0</v>
      </c>
      <c r="V2154" s="85">
        <f>STATS1003B!V2158/1000</f>
        <v>0</v>
      </c>
      <c r="W2154" s="85">
        <f>STATS1003B!W2158/1000</f>
        <v>0</v>
      </c>
      <c r="X2154" s="85">
        <f t="shared" si="235"/>
        <v>6324.0585700000001</v>
      </c>
      <c r="Y2154" s="85">
        <f>STATS1003B!Y2158/1000</f>
        <v>0</v>
      </c>
      <c r="Z2154" s="85">
        <f t="shared" si="238"/>
        <v>0</v>
      </c>
      <c r="AA2154" s="69">
        <f>STATS1003B!AA2158/1000</f>
        <v>6324.0585700000001</v>
      </c>
      <c r="AB2154" s="69">
        <f>STATS1003B!AB2158/1000</f>
        <v>0</v>
      </c>
    </row>
    <row r="2155" spans="1:28" hidden="1" x14ac:dyDescent="0.3">
      <c r="A2155" s="117"/>
      <c r="C2155" s="68" t="s">
        <v>816</v>
      </c>
      <c r="D2155" s="87" t="s">
        <v>60</v>
      </c>
      <c r="E2155" s="85">
        <f>STATS1003B!E2159/1000</f>
        <v>800</v>
      </c>
      <c r="F2155" s="85">
        <f>STATS1003B!F2159/1000</f>
        <v>800</v>
      </c>
      <c r="G2155" s="85">
        <f>STATS1003B!G2159/1000</f>
        <v>0</v>
      </c>
      <c r="H2155" s="85">
        <f>STATS1003B!H2159/1000</f>
        <v>800</v>
      </c>
      <c r="I2155" s="85">
        <f>STATS1003B!I2159/1000</f>
        <v>0</v>
      </c>
      <c r="J2155" s="85">
        <f>STATS1003B!J2159/1000</f>
        <v>800</v>
      </c>
      <c r="K2155" s="85">
        <f>STATS1003B!K2159/1000</f>
        <v>0</v>
      </c>
      <c r="L2155" s="85">
        <f>STATS1003B!L2159/1000</f>
        <v>0</v>
      </c>
      <c r="M2155" s="85">
        <f>STATS1003B!M2159/1000</f>
        <v>800</v>
      </c>
      <c r="N2155" s="85">
        <f>STATS1003B!N2159/1000</f>
        <v>0</v>
      </c>
      <c r="O2155" s="85">
        <f>STATS1003B!O2159/1000</f>
        <v>0</v>
      </c>
      <c r="P2155" s="85">
        <f>STATS1003B!P2159/1000</f>
        <v>0</v>
      </c>
      <c r="Q2155" s="85">
        <f>STATS1003B!Q2159/1000</f>
        <v>800</v>
      </c>
      <c r="R2155" s="85">
        <f>STATS1003B!R2159/1000</f>
        <v>0</v>
      </c>
      <c r="S2155" s="85">
        <f>STATS1003B!S2159/1000</f>
        <v>0</v>
      </c>
      <c r="T2155" s="85">
        <f>STATS1003B!T2159/1000</f>
        <v>0</v>
      </c>
      <c r="U2155" s="85">
        <f>STATS1003B!U2159/1000</f>
        <v>0</v>
      </c>
      <c r="V2155" s="85">
        <f>STATS1003B!V2159/1000</f>
        <v>0</v>
      </c>
      <c r="W2155" s="85">
        <f>STATS1003B!W2159/1000</f>
        <v>0</v>
      </c>
      <c r="X2155" s="85">
        <f t="shared" si="235"/>
        <v>800</v>
      </c>
      <c r="Y2155" s="85">
        <f>STATS1003B!Y2159/1000</f>
        <v>0</v>
      </c>
      <c r="Z2155" s="85">
        <f t="shared" si="238"/>
        <v>0</v>
      </c>
      <c r="AA2155" s="69">
        <f>STATS1003B!AA2159/1000</f>
        <v>800</v>
      </c>
      <c r="AB2155" s="69">
        <f>STATS1003B!AB2159/1000</f>
        <v>0</v>
      </c>
    </row>
    <row r="2156" spans="1:28" hidden="1" x14ac:dyDescent="0.3">
      <c r="A2156" s="117"/>
      <c r="C2156" s="68" t="s">
        <v>535</v>
      </c>
      <c r="D2156" s="87" t="s">
        <v>73</v>
      </c>
      <c r="E2156" s="85">
        <f>STATS1003B!E2160/1000</f>
        <v>3965.3420000000001</v>
      </c>
      <c r="F2156" s="85">
        <f>STATS1003B!F2160/1000</f>
        <v>3965.3420000000001</v>
      </c>
      <c r="G2156" s="85">
        <f>STATS1003B!G2160/1000</f>
        <v>0</v>
      </c>
      <c r="H2156" s="85">
        <f>STATS1003B!H2160/1000</f>
        <v>3965.3420000000001</v>
      </c>
      <c r="I2156" s="85">
        <f>STATS1003B!I2160/1000</f>
        <v>0</v>
      </c>
      <c r="J2156" s="85">
        <f>STATS1003B!J2160/1000</f>
        <v>3965.3420000000001</v>
      </c>
      <c r="K2156" s="85">
        <f>STATS1003B!K2160/1000</f>
        <v>0</v>
      </c>
      <c r="L2156" s="85">
        <f>STATS1003B!L2160/1000</f>
        <v>0</v>
      </c>
      <c r="M2156" s="85">
        <f>STATS1003B!M2160/1000</f>
        <v>3965.3420000000001</v>
      </c>
      <c r="N2156" s="85">
        <f>STATS1003B!N2160/1000</f>
        <v>0</v>
      </c>
      <c r="O2156" s="85">
        <f>STATS1003B!O2160/1000</f>
        <v>0</v>
      </c>
      <c r="P2156" s="85">
        <f>STATS1003B!P2160/1000</f>
        <v>0</v>
      </c>
      <c r="Q2156" s="85">
        <f>STATS1003B!Q2160/1000</f>
        <v>3965.3420000000001</v>
      </c>
      <c r="R2156" s="85">
        <f>STATS1003B!R2160/1000</f>
        <v>0</v>
      </c>
      <c r="S2156" s="85">
        <f>STATS1003B!S2160/1000</f>
        <v>0</v>
      </c>
      <c r="T2156" s="85">
        <f>STATS1003B!T2160/1000</f>
        <v>0</v>
      </c>
      <c r="U2156" s="85">
        <f>STATS1003B!U2160/1000</f>
        <v>0</v>
      </c>
      <c r="V2156" s="85">
        <f>STATS1003B!V2160/1000</f>
        <v>0</v>
      </c>
      <c r="W2156" s="85">
        <f>STATS1003B!W2160/1000</f>
        <v>0</v>
      </c>
      <c r="X2156" s="85">
        <f t="shared" si="235"/>
        <v>3965.3420000000001</v>
      </c>
      <c r="Y2156" s="85">
        <f>STATS1003B!Y2160/1000</f>
        <v>0</v>
      </c>
      <c r="Z2156" s="85">
        <f t="shared" si="238"/>
        <v>0</v>
      </c>
      <c r="AA2156" s="69">
        <f>STATS1003B!AA2160/1000</f>
        <v>3965.3420000000001</v>
      </c>
      <c r="AB2156" s="69">
        <f>STATS1003B!AB2160/1000</f>
        <v>0</v>
      </c>
    </row>
    <row r="2157" spans="1:28" hidden="1" x14ac:dyDescent="0.3">
      <c r="A2157" s="117"/>
      <c r="C2157" s="68" t="s">
        <v>535</v>
      </c>
      <c r="D2157" s="87" t="s">
        <v>61</v>
      </c>
      <c r="E2157" s="85">
        <f>STATS1003B!E2161/1000</f>
        <v>2520.8716800000002</v>
      </c>
      <c r="F2157" s="85">
        <f>STATS1003B!F2161/1000</f>
        <v>2520.8716800000002</v>
      </c>
      <c r="G2157" s="85">
        <f>STATS1003B!G2161/1000</f>
        <v>0</v>
      </c>
      <c r="H2157" s="85">
        <f>STATS1003B!H2161/1000</f>
        <v>2520.8716800000002</v>
      </c>
      <c r="I2157" s="85">
        <f>STATS1003B!I2161/1000</f>
        <v>0</v>
      </c>
      <c r="J2157" s="85">
        <f>STATS1003B!J2161/1000</f>
        <v>2520.8716800000002</v>
      </c>
      <c r="K2157" s="85">
        <f>STATS1003B!K2161/1000</f>
        <v>0</v>
      </c>
      <c r="L2157" s="85">
        <f>STATS1003B!L2161/1000</f>
        <v>0</v>
      </c>
      <c r="M2157" s="85">
        <f>STATS1003B!M2161/1000</f>
        <v>2520.8716800000002</v>
      </c>
      <c r="N2157" s="85">
        <f>STATS1003B!N2161/1000</f>
        <v>0</v>
      </c>
      <c r="O2157" s="85">
        <f>STATS1003B!O2161/1000</f>
        <v>0</v>
      </c>
      <c r="P2157" s="85">
        <f>STATS1003B!P2161/1000</f>
        <v>0</v>
      </c>
      <c r="Q2157" s="85">
        <f>STATS1003B!Q2161/1000</f>
        <v>2520.8716800000002</v>
      </c>
      <c r="R2157" s="85">
        <f>STATS1003B!R2161/1000</f>
        <v>0</v>
      </c>
      <c r="S2157" s="85">
        <f>STATS1003B!S2161/1000</f>
        <v>0</v>
      </c>
      <c r="T2157" s="85">
        <f>STATS1003B!T2161/1000</f>
        <v>0</v>
      </c>
      <c r="U2157" s="85">
        <f>STATS1003B!U2161/1000</f>
        <v>0</v>
      </c>
      <c r="V2157" s="85">
        <f>STATS1003B!V2161/1000</f>
        <v>0</v>
      </c>
      <c r="W2157" s="85">
        <f>STATS1003B!W2161/1000</f>
        <v>0</v>
      </c>
      <c r="X2157" s="85">
        <f t="shared" si="235"/>
        <v>2520.8716800000002</v>
      </c>
      <c r="Y2157" s="85">
        <f>STATS1003B!Y2161/1000</f>
        <v>0</v>
      </c>
      <c r="Z2157" s="85">
        <f t="shared" si="238"/>
        <v>0</v>
      </c>
      <c r="AA2157" s="69">
        <f>STATS1003B!AA2161/1000</f>
        <v>2520.8716800000002</v>
      </c>
      <c r="AB2157" s="69">
        <f>STATS1003B!AB2161/1000</f>
        <v>0</v>
      </c>
    </row>
    <row r="2158" spans="1:28" hidden="1" x14ac:dyDescent="0.3">
      <c r="A2158" s="117"/>
      <c r="C2158" s="68" t="s">
        <v>621</v>
      </c>
      <c r="D2158" s="87" t="s">
        <v>61</v>
      </c>
      <c r="E2158" s="85">
        <f>STATS1003B!E2162/1000</f>
        <v>1503.3329400000002</v>
      </c>
      <c r="F2158" s="85">
        <f>STATS1003B!F2162/1000</f>
        <v>1496.30384</v>
      </c>
      <c r="G2158" s="85">
        <f>STATS1003B!G2162/1000</f>
        <v>0</v>
      </c>
      <c r="H2158" s="85">
        <f>STATS1003B!H2162/1000</f>
        <v>1496.30384</v>
      </c>
      <c r="I2158" s="85">
        <f>STATS1003B!I2162/1000</f>
        <v>0</v>
      </c>
      <c r="J2158" s="85">
        <f>STATS1003B!J2162/1000</f>
        <v>1496.30384</v>
      </c>
      <c r="K2158" s="85">
        <f>STATS1003B!K2162/1000</f>
        <v>0</v>
      </c>
      <c r="L2158" s="85">
        <f>STATS1003B!L2162/1000</f>
        <v>0</v>
      </c>
      <c r="M2158" s="85">
        <f>STATS1003B!M2162/1000</f>
        <v>1496.30384</v>
      </c>
      <c r="N2158" s="85">
        <f>STATS1003B!N2162/1000</f>
        <v>0</v>
      </c>
      <c r="O2158" s="85">
        <f>STATS1003B!O2162/1000</f>
        <v>0</v>
      </c>
      <c r="P2158" s="85">
        <f>STATS1003B!P2162/1000</f>
        <v>0</v>
      </c>
      <c r="Q2158" s="85">
        <f>STATS1003B!Q2162/1000</f>
        <v>1503.3329400000002</v>
      </c>
      <c r="R2158" s="85">
        <f>STATS1003B!R2162/1000</f>
        <v>0</v>
      </c>
      <c r="S2158" s="85">
        <f>STATS1003B!S2162/1000</f>
        <v>0</v>
      </c>
      <c r="T2158" s="85">
        <f>STATS1003B!T2162/1000</f>
        <v>7.0291000000000006</v>
      </c>
      <c r="U2158" s="85">
        <f>STATS1003B!U2162/1000</f>
        <v>7.0291000000000006</v>
      </c>
      <c r="V2158" s="85">
        <f>STATS1003B!V2162/1000</f>
        <v>0</v>
      </c>
      <c r="W2158" s="85">
        <f>STATS1003B!W2162/1000</f>
        <v>0</v>
      </c>
      <c r="X2158" s="85">
        <f t="shared" si="235"/>
        <v>1496.30384</v>
      </c>
      <c r="Y2158" s="85">
        <f>STATS1003B!Y2162/1000</f>
        <v>0</v>
      </c>
      <c r="Z2158" s="85">
        <f t="shared" si="238"/>
        <v>7.0291000000001986</v>
      </c>
      <c r="AA2158" s="69">
        <f>STATS1003B!AA2162/1000</f>
        <v>1503.3329400000002</v>
      </c>
      <c r="AB2158" s="69">
        <f>STATS1003B!AB2162/1000</f>
        <v>0</v>
      </c>
    </row>
    <row r="2159" spans="1:28" hidden="1" x14ac:dyDescent="0.3">
      <c r="A2159" s="117"/>
      <c r="C2159" s="93" t="s">
        <v>933</v>
      </c>
      <c r="D2159" s="90" t="s">
        <v>1072</v>
      </c>
      <c r="E2159" s="85">
        <f>STATS1003B!E2163/1000</f>
        <v>5900.1888200000003</v>
      </c>
      <c r="F2159" s="85">
        <f>STATS1003B!F2163/1000</f>
        <v>5900.1888200000003</v>
      </c>
      <c r="G2159" s="85">
        <f>STATS1003B!G2163/1000</f>
        <v>0</v>
      </c>
      <c r="H2159" s="85">
        <f>STATS1003B!H2163/1000</f>
        <v>5900.1888200000003</v>
      </c>
      <c r="I2159" s="85">
        <f>STATS1003B!I2163/1000</f>
        <v>0</v>
      </c>
      <c r="J2159" s="85">
        <f>STATS1003B!J2163/1000</f>
        <v>5900.1888200000003</v>
      </c>
      <c r="K2159" s="85">
        <f>STATS1003B!K2163/1000</f>
        <v>0</v>
      </c>
      <c r="L2159" s="85">
        <f>STATS1003B!L2163/1000</f>
        <v>0</v>
      </c>
      <c r="M2159" s="85">
        <f>STATS1003B!M2163/1000</f>
        <v>5900.1888200000003</v>
      </c>
      <c r="N2159" s="85">
        <f>STATS1003B!N2163/1000</f>
        <v>0</v>
      </c>
      <c r="O2159" s="85">
        <f>STATS1003B!O2163/1000</f>
        <v>0</v>
      </c>
      <c r="P2159" s="85">
        <f>STATS1003B!P2163/1000</f>
        <v>0</v>
      </c>
      <c r="Q2159" s="85">
        <f>STATS1003B!Q2163/1000</f>
        <v>0</v>
      </c>
      <c r="R2159" s="85">
        <f>STATS1003B!R2163/1000</f>
        <v>0</v>
      </c>
      <c r="S2159" s="85">
        <f>STATS1003B!S2163/1000</f>
        <v>0</v>
      </c>
      <c r="T2159" s="85">
        <f>STATS1003B!T2163/1000</f>
        <v>0</v>
      </c>
      <c r="U2159" s="85">
        <f>STATS1003B!U2163/1000</f>
        <v>0</v>
      </c>
      <c r="V2159" s="85">
        <f>STATS1003B!V2163/1000</f>
        <v>0</v>
      </c>
      <c r="W2159" s="85">
        <f>STATS1003B!W2163/1000</f>
        <v>0</v>
      </c>
      <c r="X2159" s="85">
        <f t="shared" si="235"/>
        <v>5900.1888200000003</v>
      </c>
      <c r="Y2159" s="85">
        <f>STATS1003B!Y2163/1000</f>
        <v>0</v>
      </c>
      <c r="Z2159" s="85">
        <f t="shared" si="238"/>
        <v>0</v>
      </c>
      <c r="AA2159" s="69">
        <f>STATS1003B!AA2163/1000</f>
        <v>5900.1888200000003</v>
      </c>
      <c r="AB2159" s="69">
        <f>STATS1003B!AB2163/1000</f>
        <v>0</v>
      </c>
    </row>
    <row r="2160" spans="1:28" hidden="1" x14ac:dyDescent="0.3">
      <c r="A2160" s="117"/>
      <c r="C2160" s="68" t="s">
        <v>1175</v>
      </c>
      <c r="D2160" s="90" t="s">
        <v>1126</v>
      </c>
      <c r="E2160" s="85">
        <f>STATS1003B!E2164/1000</f>
        <v>1000</v>
      </c>
      <c r="F2160" s="85">
        <f>STATS1003B!F2164/1000</f>
        <v>1000</v>
      </c>
      <c r="G2160" s="85">
        <f>STATS1003B!G2164/1000</f>
        <v>0</v>
      </c>
      <c r="H2160" s="85">
        <f>STATS1003B!H2164/1000</f>
        <v>1000</v>
      </c>
      <c r="I2160" s="85">
        <f>STATS1003B!I2164/1000</f>
        <v>0</v>
      </c>
      <c r="J2160" s="85">
        <f>STATS1003B!J2164/1000</f>
        <v>1000</v>
      </c>
      <c r="K2160" s="85">
        <f>STATS1003B!K2164/1000</f>
        <v>0</v>
      </c>
      <c r="L2160" s="85">
        <f>STATS1003B!L2164/1000</f>
        <v>0</v>
      </c>
      <c r="M2160" s="85">
        <f>STATS1003B!M2164/1000</f>
        <v>1000</v>
      </c>
      <c r="N2160" s="85">
        <f>STATS1003B!N2164/1000</f>
        <v>0</v>
      </c>
      <c r="O2160" s="85">
        <f>STATS1003B!O2164/1000</f>
        <v>0</v>
      </c>
      <c r="P2160" s="85">
        <f>STATS1003B!P2164/1000</f>
        <v>0</v>
      </c>
      <c r="Q2160" s="85">
        <f>STATS1003B!Q2164/1000</f>
        <v>0</v>
      </c>
      <c r="R2160" s="85">
        <f>STATS1003B!R2164/1000</f>
        <v>0</v>
      </c>
      <c r="S2160" s="85">
        <f>STATS1003B!S2164/1000</f>
        <v>0</v>
      </c>
      <c r="T2160" s="85">
        <f>STATS1003B!T2164/1000</f>
        <v>0</v>
      </c>
      <c r="U2160" s="85">
        <f>STATS1003B!U2164/1000</f>
        <v>0</v>
      </c>
      <c r="V2160" s="85">
        <f>STATS1003B!V2164/1000</f>
        <v>0</v>
      </c>
      <c r="W2160" s="85">
        <f>STATS1003B!W2164/1000</f>
        <v>0</v>
      </c>
      <c r="X2160" s="85">
        <f t="shared" si="235"/>
        <v>1000</v>
      </c>
      <c r="Y2160" s="85">
        <f>STATS1003B!Y2164/1000</f>
        <v>0</v>
      </c>
      <c r="Z2160" s="85">
        <f t="shared" si="238"/>
        <v>0</v>
      </c>
      <c r="AA2160" s="69">
        <f>STATS1003B!AA2164/1000</f>
        <v>1000</v>
      </c>
      <c r="AB2160" s="69">
        <f>STATS1003B!AB2164/1000</f>
        <v>0</v>
      </c>
    </row>
    <row r="2161" spans="1:28" hidden="1" x14ac:dyDescent="0.3">
      <c r="A2161" s="117"/>
      <c r="C2161" s="68" t="s">
        <v>1083</v>
      </c>
      <c r="D2161" s="90" t="s">
        <v>1072</v>
      </c>
      <c r="E2161" s="85">
        <f>STATS1003B!E2165/1000</f>
        <v>5224.3249900000001</v>
      </c>
      <c r="F2161" s="85">
        <f>STATS1003B!F2165/1000</f>
        <v>5224.3249900000001</v>
      </c>
      <c r="G2161" s="85">
        <f>STATS1003B!G2165/1000</f>
        <v>0</v>
      </c>
      <c r="H2161" s="85">
        <f>STATS1003B!H2165/1000</f>
        <v>5224.3249900000001</v>
      </c>
      <c r="I2161" s="85">
        <f>STATS1003B!I2165/1000</f>
        <v>0</v>
      </c>
      <c r="J2161" s="85">
        <f>STATS1003B!J2165/1000</f>
        <v>5224.3249900000001</v>
      </c>
      <c r="K2161" s="85">
        <f>STATS1003B!K2165/1000</f>
        <v>0</v>
      </c>
      <c r="L2161" s="85">
        <f>STATS1003B!L2165/1000</f>
        <v>0</v>
      </c>
      <c r="M2161" s="85">
        <f>STATS1003B!M2165/1000</f>
        <v>5224.3249900000001</v>
      </c>
      <c r="N2161" s="85">
        <f>STATS1003B!N2165/1000</f>
        <v>0</v>
      </c>
      <c r="O2161" s="85">
        <f>STATS1003B!O2165/1000</f>
        <v>0</v>
      </c>
      <c r="P2161" s="85">
        <f>STATS1003B!P2165/1000</f>
        <v>0</v>
      </c>
      <c r="Q2161" s="85">
        <f>STATS1003B!Q2165/1000</f>
        <v>0</v>
      </c>
      <c r="R2161" s="85">
        <f>STATS1003B!R2165/1000</f>
        <v>0</v>
      </c>
      <c r="S2161" s="85">
        <f>STATS1003B!S2165/1000</f>
        <v>0</v>
      </c>
      <c r="T2161" s="85">
        <f>STATS1003B!T2165/1000</f>
        <v>0</v>
      </c>
      <c r="U2161" s="85">
        <f>STATS1003B!U2165/1000</f>
        <v>0</v>
      </c>
      <c r="V2161" s="85">
        <f>STATS1003B!V2165/1000</f>
        <v>0</v>
      </c>
      <c r="W2161" s="85">
        <f>STATS1003B!W2165/1000</f>
        <v>0</v>
      </c>
      <c r="X2161" s="85">
        <f t="shared" si="235"/>
        <v>5224.3249900000001</v>
      </c>
      <c r="Y2161" s="85">
        <f>STATS1003B!Y2165/1000</f>
        <v>0</v>
      </c>
      <c r="Z2161" s="85">
        <f t="shared" si="238"/>
        <v>0</v>
      </c>
      <c r="AA2161" s="69">
        <f>STATS1003B!AA2165/1000</f>
        <v>5224.3249900000001</v>
      </c>
      <c r="AB2161" s="69">
        <f>STATS1003B!AB2165/1000</f>
        <v>0</v>
      </c>
    </row>
    <row r="2162" spans="1:28" hidden="1" x14ac:dyDescent="0.3">
      <c r="A2162" s="117"/>
      <c r="C2162" s="68" t="s">
        <v>1189</v>
      </c>
      <c r="D2162" s="90" t="s">
        <v>1126</v>
      </c>
      <c r="E2162" s="85">
        <f>STATS1003B!E2166/1000</f>
        <v>500</v>
      </c>
      <c r="F2162" s="85">
        <f>STATS1003B!F2166/1000</f>
        <v>500</v>
      </c>
      <c r="G2162" s="85">
        <f>STATS1003B!G2166/1000</f>
        <v>0</v>
      </c>
      <c r="H2162" s="85">
        <f>STATS1003B!H2166/1000</f>
        <v>500</v>
      </c>
      <c r="I2162" s="85">
        <f>STATS1003B!I2166/1000</f>
        <v>0</v>
      </c>
      <c r="J2162" s="85">
        <f>STATS1003B!J2166/1000</f>
        <v>0</v>
      </c>
      <c r="K2162" s="85">
        <f>STATS1003B!K2166/1000</f>
        <v>0</v>
      </c>
      <c r="L2162" s="85">
        <f>STATS1003B!L2166/1000</f>
        <v>0</v>
      </c>
      <c r="M2162" s="85">
        <f>STATS1003B!M2166/1000</f>
        <v>500</v>
      </c>
      <c r="N2162" s="85">
        <f>STATS1003B!N2166/1000</f>
        <v>0</v>
      </c>
      <c r="O2162" s="85">
        <f>STATS1003B!O2166/1000</f>
        <v>0</v>
      </c>
      <c r="P2162" s="85">
        <f>STATS1003B!P2166/1000</f>
        <v>0</v>
      </c>
      <c r="Q2162" s="85">
        <f>STATS1003B!Q2166/1000</f>
        <v>0</v>
      </c>
      <c r="R2162" s="85">
        <f>STATS1003B!R2166/1000</f>
        <v>0</v>
      </c>
      <c r="S2162" s="85">
        <f>STATS1003B!S2166/1000</f>
        <v>0</v>
      </c>
      <c r="T2162" s="85">
        <f>STATS1003B!T2166/1000</f>
        <v>0</v>
      </c>
      <c r="U2162" s="85">
        <f>STATS1003B!U2166/1000</f>
        <v>0</v>
      </c>
      <c r="V2162" s="85">
        <f>STATS1003B!V2166/1000</f>
        <v>0</v>
      </c>
      <c r="W2162" s="85">
        <f>STATS1003B!W2166/1000</f>
        <v>0</v>
      </c>
      <c r="X2162" s="85">
        <f t="shared" si="235"/>
        <v>500</v>
      </c>
      <c r="Y2162" s="85">
        <f>STATS1003B!Y2166/1000</f>
        <v>0</v>
      </c>
      <c r="Z2162" s="85">
        <f t="shared" si="238"/>
        <v>0</v>
      </c>
      <c r="AA2162" s="69">
        <f>STATS1003B!AA2166/1000</f>
        <v>500</v>
      </c>
      <c r="AB2162" s="69">
        <f>STATS1003B!AB2166/1000</f>
        <v>0</v>
      </c>
    </row>
    <row r="2163" spans="1:28" hidden="1" x14ac:dyDescent="0.3">
      <c r="A2163" s="117"/>
      <c r="C2163" s="68" t="s">
        <v>1173</v>
      </c>
      <c r="D2163" s="90" t="s">
        <v>1126</v>
      </c>
      <c r="E2163" s="85">
        <f>STATS1003B!E2167/1000</f>
        <v>2177.4904799999999</v>
      </c>
      <c r="F2163" s="85">
        <f>STATS1003B!F2167/1000</f>
        <v>2177.4904799999999</v>
      </c>
      <c r="G2163" s="85">
        <f>STATS1003B!G2167/1000</f>
        <v>0</v>
      </c>
      <c r="H2163" s="85">
        <f>STATS1003B!H2167/1000</f>
        <v>2177.4904799999999</v>
      </c>
      <c r="I2163" s="85">
        <f>STATS1003B!I2167/1000</f>
        <v>0</v>
      </c>
      <c r="J2163" s="85">
        <f>STATS1003B!J2167/1000</f>
        <v>0</v>
      </c>
      <c r="K2163" s="85">
        <f>STATS1003B!K2167/1000</f>
        <v>0</v>
      </c>
      <c r="L2163" s="85">
        <f>STATS1003B!L2167/1000</f>
        <v>0</v>
      </c>
      <c r="M2163" s="85">
        <f>STATS1003B!M2167/1000</f>
        <v>2177.4904799999999</v>
      </c>
      <c r="N2163" s="85">
        <f>STATS1003B!N2167/1000</f>
        <v>0</v>
      </c>
      <c r="O2163" s="85">
        <f>STATS1003B!O2167/1000</f>
        <v>0</v>
      </c>
      <c r="P2163" s="85">
        <f>STATS1003B!P2167/1000</f>
        <v>0</v>
      </c>
      <c r="Q2163" s="85">
        <f>STATS1003B!Q2167/1000</f>
        <v>0</v>
      </c>
      <c r="R2163" s="85">
        <f>STATS1003B!R2167/1000</f>
        <v>0</v>
      </c>
      <c r="S2163" s="85">
        <f>STATS1003B!S2167/1000</f>
        <v>0</v>
      </c>
      <c r="T2163" s="85">
        <f>STATS1003B!T2167/1000</f>
        <v>0</v>
      </c>
      <c r="U2163" s="85">
        <f>STATS1003B!U2167/1000</f>
        <v>0</v>
      </c>
      <c r="V2163" s="85">
        <f>STATS1003B!V2167/1000</f>
        <v>0</v>
      </c>
      <c r="W2163" s="85">
        <f>STATS1003B!W2167/1000</f>
        <v>0</v>
      </c>
      <c r="X2163" s="85">
        <f t="shared" si="235"/>
        <v>2177.4904799999999</v>
      </c>
      <c r="Y2163" s="85">
        <f>STATS1003B!Y2167/1000</f>
        <v>0</v>
      </c>
      <c r="Z2163" s="85">
        <f t="shared" si="238"/>
        <v>0</v>
      </c>
      <c r="AA2163" s="69">
        <f>STATS1003B!AA2167/1000</f>
        <v>2177.4904799999999</v>
      </c>
      <c r="AB2163" s="69">
        <f>STATS1003B!AB2167/1000</f>
        <v>0</v>
      </c>
    </row>
    <row r="2164" spans="1:28" hidden="1" x14ac:dyDescent="0.3">
      <c r="A2164" s="117"/>
      <c r="C2164" s="68" t="s">
        <v>1245</v>
      </c>
      <c r="D2164" s="90" t="s">
        <v>1225</v>
      </c>
      <c r="E2164" s="85">
        <f>STATS1003B!E2168/1000</f>
        <v>6651.5513099999998</v>
      </c>
      <c r="F2164" s="85">
        <f>STATS1003B!F2168/1000</f>
        <v>5777.0572099999999</v>
      </c>
      <c r="G2164" s="85">
        <f>STATS1003B!G2168/1000</f>
        <v>874.4941</v>
      </c>
      <c r="H2164" s="85">
        <f>STATS1003B!H2168/1000</f>
        <v>6651.5513099999998</v>
      </c>
      <c r="I2164" s="85">
        <f>STATS1003B!I2168/1000</f>
        <v>0</v>
      </c>
      <c r="J2164" s="85">
        <f>STATS1003B!J2168/1000</f>
        <v>0</v>
      </c>
      <c r="K2164" s="85">
        <f>STATS1003B!K2168/1000</f>
        <v>0</v>
      </c>
      <c r="L2164" s="85">
        <f>STATS1003B!L2168/1000</f>
        <v>0</v>
      </c>
      <c r="M2164" s="85">
        <f>STATS1003B!M2168/1000</f>
        <v>6651.5513099999998</v>
      </c>
      <c r="N2164" s="85">
        <f>STATS1003B!N2168/1000</f>
        <v>0</v>
      </c>
      <c r="O2164" s="85">
        <f>STATS1003B!O2168/1000</f>
        <v>0</v>
      </c>
      <c r="P2164" s="85">
        <f>STATS1003B!P2168/1000</f>
        <v>0</v>
      </c>
      <c r="Q2164" s="85">
        <f>STATS1003B!Q2168/1000</f>
        <v>0</v>
      </c>
      <c r="R2164" s="85">
        <f>STATS1003B!R2168/1000</f>
        <v>0</v>
      </c>
      <c r="S2164" s="85">
        <f>STATS1003B!S2168/1000</f>
        <v>0</v>
      </c>
      <c r="T2164" s="85">
        <f>STATS1003B!T2168/1000</f>
        <v>0</v>
      </c>
      <c r="U2164" s="85">
        <f>STATS1003B!U2168/1000</f>
        <v>0</v>
      </c>
      <c r="V2164" s="85">
        <f>STATS1003B!V2168/1000</f>
        <v>0</v>
      </c>
      <c r="W2164" s="85">
        <f>STATS1003B!W2168/1000</f>
        <v>0</v>
      </c>
      <c r="X2164" s="85">
        <f t="shared" si="235"/>
        <v>6651.5513099999998</v>
      </c>
      <c r="Y2164" s="85">
        <f>STATS1003B!Y2168/1000</f>
        <v>0</v>
      </c>
      <c r="Z2164" s="85">
        <f t="shared" si="238"/>
        <v>0</v>
      </c>
      <c r="AA2164" s="69">
        <f>STATS1003B!AA2168/1000</f>
        <v>6651.5513099999998</v>
      </c>
      <c r="AB2164" s="69">
        <f>STATS1003B!AB2168/1000</f>
        <v>0</v>
      </c>
    </row>
    <row r="2165" spans="1:28" hidden="1" x14ac:dyDescent="0.3">
      <c r="A2165" s="117"/>
      <c r="C2165" s="68" t="s">
        <v>817</v>
      </c>
      <c r="E2165" s="85">
        <f>STATS1003B!E2169/1000</f>
        <v>192.452</v>
      </c>
      <c r="F2165" s="85">
        <f>STATS1003B!F2169/1000</f>
        <v>192.452</v>
      </c>
      <c r="G2165" s="85">
        <f>STATS1003B!G2169/1000</f>
        <v>0</v>
      </c>
      <c r="H2165" s="85">
        <f>STATS1003B!H2169/1000</f>
        <v>192.452</v>
      </c>
      <c r="I2165" s="85">
        <f>STATS1003B!I2169/1000</f>
        <v>0</v>
      </c>
      <c r="J2165" s="85">
        <f>STATS1003B!J2169/1000</f>
        <v>192.452</v>
      </c>
      <c r="K2165" s="85">
        <f>STATS1003B!K2169/1000</f>
        <v>0</v>
      </c>
      <c r="L2165" s="85">
        <f>STATS1003B!L2169/1000</f>
        <v>0</v>
      </c>
      <c r="M2165" s="85">
        <f>STATS1003B!M2169/1000</f>
        <v>192.452</v>
      </c>
      <c r="N2165" s="85">
        <f>STATS1003B!N2169/1000</f>
        <v>0</v>
      </c>
      <c r="O2165" s="85">
        <f>STATS1003B!O2169/1000</f>
        <v>0</v>
      </c>
      <c r="P2165" s="85">
        <f>STATS1003B!P2169/1000</f>
        <v>0</v>
      </c>
      <c r="Q2165" s="85">
        <f>STATS1003B!Q2169/1000</f>
        <v>192.452</v>
      </c>
      <c r="R2165" s="85">
        <f>STATS1003B!R2169/1000</f>
        <v>0</v>
      </c>
      <c r="S2165" s="85">
        <f>STATS1003B!S2169/1000</f>
        <v>0</v>
      </c>
      <c r="T2165" s="85">
        <f>STATS1003B!T2169/1000</f>
        <v>0</v>
      </c>
      <c r="U2165" s="85">
        <f>STATS1003B!U2169/1000</f>
        <v>0</v>
      </c>
      <c r="V2165" s="85">
        <f>STATS1003B!V2169/1000</f>
        <v>0</v>
      </c>
      <c r="W2165" s="85">
        <f>STATS1003B!W2169/1000</f>
        <v>0</v>
      </c>
      <c r="X2165" s="85">
        <f t="shared" si="235"/>
        <v>192.452</v>
      </c>
      <c r="Y2165" s="85">
        <f>STATS1003B!Y2169/1000</f>
        <v>0</v>
      </c>
      <c r="Z2165" s="85">
        <f t="shared" si="238"/>
        <v>0</v>
      </c>
      <c r="AA2165" s="69">
        <f>STATS1003B!AA2169/1000</f>
        <v>192.452</v>
      </c>
      <c r="AB2165" s="69">
        <f>STATS1003B!AB2169/1000</f>
        <v>0</v>
      </c>
    </row>
    <row r="2166" spans="1:28" hidden="1" x14ac:dyDescent="0.3">
      <c r="A2166" s="117"/>
      <c r="C2166" s="68" t="s">
        <v>569</v>
      </c>
      <c r="E2166" s="85">
        <f>STATS1003B!E2170/1000</f>
        <v>66.746639999999999</v>
      </c>
      <c r="F2166" s="85">
        <f>STATS1003B!F2170/1000</f>
        <v>0</v>
      </c>
      <c r="G2166" s="85">
        <f>STATS1003B!G2170/1000</f>
        <v>0</v>
      </c>
      <c r="H2166" s="85">
        <f>STATS1003B!H2170/1000</f>
        <v>0</v>
      </c>
      <c r="I2166" s="85">
        <f>STATS1003B!I2170/1000</f>
        <v>0</v>
      </c>
      <c r="J2166" s="85">
        <f>STATS1003B!J2170/1000</f>
        <v>0</v>
      </c>
      <c r="K2166" s="85">
        <f>STATS1003B!K2170/1000</f>
        <v>66.746639999999999</v>
      </c>
      <c r="L2166" s="85">
        <f>STATS1003B!L2170/1000</f>
        <v>0</v>
      </c>
      <c r="M2166" s="85">
        <f>STATS1003B!M2170/1000</f>
        <v>0</v>
      </c>
      <c r="N2166" s="85">
        <f>STATS1003B!N2170/1000</f>
        <v>66.746639999999999</v>
      </c>
      <c r="O2166" s="85">
        <f>STATS1003B!O2170/1000</f>
        <v>0</v>
      </c>
      <c r="P2166" s="85">
        <f>STATS1003B!P2170/1000</f>
        <v>66.746639999999999</v>
      </c>
      <c r="Q2166" s="85">
        <f>STATS1003B!Q2170/1000</f>
        <v>0</v>
      </c>
      <c r="R2166" s="85">
        <f>STATS1003B!R2170/1000</f>
        <v>0</v>
      </c>
      <c r="S2166" s="85">
        <f>STATS1003B!S2170/1000</f>
        <v>0</v>
      </c>
      <c r="T2166" s="85">
        <f>STATS1003B!T2170/1000</f>
        <v>0</v>
      </c>
      <c r="U2166" s="85">
        <f>STATS1003B!U2170/1000</f>
        <v>66.746639999999999</v>
      </c>
      <c r="V2166" s="85">
        <f>STATS1003B!V2170/1000</f>
        <v>0</v>
      </c>
      <c r="W2166" s="85">
        <f>STATS1003B!W2170/1000</f>
        <v>0</v>
      </c>
      <c r="X2166" s="85">
        <f t="shared" si="235"/>
        <v>66.746639999999999</v>
      </c>
      <c r="Y2166" s="85">
        <f>STATS1003B!Y2170/1000</f>
        <v>0</v>
      </c>
      <c r="Z2166" s="85">
        <f t="shared" si="238"/>
        <v>0</v>
      </c>
      <c r="AA2166" s="69">
        <f>STATS1003B!AA2170/1000</f>
        <v>66.746639999999999</v>
      </c>
      <c r="AB2166" s="69">
        <f>STATS1003B!AB2170/1000</f>
        <v>0</v>
      </c>
    </row>
    <row r="2167" spans="1:28" hidden="1" x14ac:dyDescent="0.3">
      <c r="A2167" s="117"/>
      <c r="C2167" s="68" t="s">
        <v>813</v>
      </c>
      <c r="E2167" s="85">
        <f>STATS1003B!E2171/1000</f>
        <v>1000</v>
      </c>
      <c r="F2167" s="85">
        <f>STATS1003B!F2171/1000</f>
        <v>1000</v>
      </c>
      <c r="G2167" s="85">
        <f>STATS1003B!G2171/1000</f>
        <v>0</v>
      </c>
      <c r="H2167" s="85">
        <f>STATS1003B!H2171/1000</f>
        <v>1000</v>
      </c>
      <c r="I2167" s="85">
        <f>STATS1003B!I2171/1000</f>
        <v>0</v>
      </c>
      <c r="J2167" s="85">
        <f>STATS1003B!J2171/1000</f>
        <v>1000</v>
      </c>
      <c r="K2167" s="85">
        <f>STATS1003B!K2171/1000</f>
        <v>0</v>
      </c>
      <c r="L2167" s="85">
        <f>STATS1003B!L2171/1000</f>
        <v>0</v>
      </c>
      <c r="M2167" s="85">
        <f>STATS1003B!M2171/1000</f>
        <v>1000</v>
      </c>
      <c r="N2167" s="85">
        <f>STATS1003B!N2171/1000</f>
        <v>0</v>
      </c>
      <c r="O2167" s="85">
        <f>STATS1003B!O2171/1000</f>
        <v>0</v>
      </c>
      <c r="P2167" s="85">
        <f>STATS1003B!P2171/1000</f>
        <v>0</v>
      </c>
      <c r="Q2167" s="85">
        <f>STATS1003B!Q2171/1000</f>
        <v>1000</v>
      </c>
      <c r="R2167" s="85">
        <f>STATS1003B!R2171/1000</f>
        <v>0</v>
      </c>
      <c r="S2167" s="85">
        <f>STATS1003B!S2171/1000</f>
        <v>0</v>
      </c>
      <c r="T2167" s="85">
        <f>STATS1003B!T2171/1000</f>
        <v>0</v>
      </c>
      <c r="U2167" s="85">
        <f>STATS1003B!U2171/1000</f>
        <v>0</v>
      </c>
      <c r="V2167" s="85">
        <f>STATS1003B!V2171/1000</f>
        <v>0</v>
      </c>
      <c r="W2167" s="85">
        <f>STATS1003B!W2171/1000</f>
        <v>0</v>
      </c>
      <c r="X2167" s="85">
        <f t="shared" si="235"/>
        <v>1000</v>
      </c>
      <c r="Y2167" s="85">
        <f>STATS1003B!Y2171/1000</f>
        <v>0</v>
      </c>
      <c r="Z2167" s="85">
        <f t="shared" si="238"/>
        <v>0</v>
      </c>
      <c r="AA2167" s="69">
        <f>STATS1003B!AA2171/1000</f>
        <v>1000</v>
      </c>
      <c r="AB2167" s="69">
        <f>STATS1003B!AB2171/1000</f>
        <v>0</v>
      </c>
    </row>
    <row r="2168" spans="1:28" hidden="1" x14ac:dyDescent="0.3">
      <c r="A2168" s="117"/>
      <c r="C2168" s="68" t="s">
        <v>818</v>
      </c>
      <c r="E2168" s="85">
        <f>STATS1003B!E2172/1000</f>
        <v>937.63162999999997</v>
      </c>
      <c r="F2168" s="85">
        <f>STATS1003B!F2172/1000</f>
        <v>733.96199999999999</v>
      </c>
      <c r="G2168" s="85">
        <f>STATS1003B!G2172/1000</f>
        <v>0</v>
      </c>
      <c r="H2168" s="85">
        <f>STATS1003B!H2172/1000</f>
        <v>733.96199999999999</v>
      </c>
      <c r="I2168" s="85">
        <f>STATS1003B!I2172/1000</f>
        <v>0</v>
      </c>
      <c r="J2168" s="85">
        <f>STATS1003B!J2172/1000</f>
        <v>733.96199999999999</v>
      </c>
      <c r="K2168" s="85">
        <f>STATS1003B!K2172/1000</f>
        <v>203.66963000000001</v>
      </c>
      <c r="L2168" s="85">
        <f>STATS1003B!L2172/1000</f>
        <v>0</v>
      </c>
      <c r="M2168" s="85">
        <f>STATS1003B!M2172/1000</f>
        <v>733.96199999999999</v>
      </c>
      <c r="N2168" s="85">
        <f>STATS1003B!N2172/1000</f>
        <v>203.66963000000001</v>
      </c>
      <c r="O2168" s="85">
        <f>STATS1003B!O2172/1000</f>
        <v>0</v>
      </c>
      <c r="P2168" s="85">
        <f>STATS1003B!P2172/1000</f>
        <v>203.66963000000001</v>
      </c>
      <c r="Q2168" s="85">
        <f>STATS1003B!Q2172/1000</f>
        <v>733.96199999999999</v>
      </c>
      <c r="R2168" s="85">
        <f>STATS1003B!R2172/1000</f>
        <v>0</v>
      </c>
      <c r="S2168" s="85">
        <f>STATS1003B!S2172/1000</f>
        <v>0</v>
      </c>
      <c r="T2168" s="85">
        <f>STATS1003B!T2172/1000</f>
        <v>0</v>
      </c>
      <c r="U2168" s="85">
        <f>STATS1003B!U2172/1000</f>
        <v>203.66963000000001</v>
      </c>
      <c r="V2168" s="85">
        <f>STATS1003B!V2172/1000</f>
        <v>0</v>
      </c>
      <c r="W2168" s="85">
        <f>STATS1003B!W2172/1000</f>
        <v>0</v>
      </c>
      <c r="X2168" s="85">
        <f t="shared" si="235"/>
        <v>937.63162999999997</v>
      </c>
      <c r="Y2168" s="85">
        <f>STATS1003B!Y2172/1000</f>
        <v>0</v>
      </c>
      <c r="Z2168" s="85">
        <f t="shared" si="238"/>
        <v>0</v>
      </c>
      <c r="AA2168" s="69">
        <f>STATS1003B!AA2172/1000</f>
        <v>937.63162999999997</v>
      </c>
      <c r="AB2168" s="69">
        <f>STATS1003B!AB2172/1000</f>
        <v>0</v>
      </c>
    </row>
    <row r="2169" spans="1:28" hidden="1" x14ac:dyDescent="0.3">
      <c r="A2169" s="117"/>
      <c r="C2169" s="68" t="s">
        <v>819</v>
      </c>
      <c r="E2169" s="85">
        <f>STATS1003B!E2173/1000</f>
        <v>618.83900000000006</v>
      </c>
      <c r="F2169" s="85">
        <f>STATS1003B!F2173/1000</f>
        <v>618.83900000000006</v>
      </c>
      <c r="G2169" s="85">
        <f>STATS1003B!G2173/1000</f>
        <v>0</v>
      </c>
      <c r="H2169" s="85">
        <f>STATS1003B!H2173/1000</f>
        <v>618.83900000000006</v>
      </c>
      <c r="I2169" s="85">
        <f>STATS1003B!I2173/1000</f>
        <v>0</v>
      </c>
      <c r="J2169" s="85">
        <f>STATS1003B!J2173/1000</f>
        <v>618.83900000000006</v>
      </c>
      <c r="K2169" s="85">
        <f>STATS1003B!K2173/1000</f>
        <v>0</v>
      </c>
      <c r="L2169" s="85">
        <f>STATS1003B!L2173/1000</f>
        <v>0</v>
      </c>
      <c r="M2169" s="85">
        <f>STATS1003B!M2173/1000</f>
        <v>618.83900000000006</v>
      </c>
      <c r="N2169" s="85">
        <f>STATS1003B!N2173/1000</f>
        <v>0</v>
      </c>
      <c r="O2169" s="85">
        <f>STATS1003B!O2173/1000</f>
        <v>0</v>
      </c>
      <c r="P2169" s="85">
        <f>STATS1003B!P2173/1000</f>
        <v>0</v>
      </c>
      <c r="Q2169" s="85">
        <f>STATS1003B!Q2173/1000</f>
        <v>618.83900000000006</v>
      </c>
      <c r="R2169" s="85">
        <f>STATS1003B!R2173/1000</f>
        <v>0</v>
      </c>
      <c r="S2169" s="85">
        <f>STATS1003B!S2173/1000</f>
        <v>0</v>
      </c>
      <c r="T2169" s="85">
        <f>STATS1003B!T2173/1000</f>
        <v>0</v>
      </c>
      <c r="U2169" s="85">
        <f>STATS1003B!U2173/1000</f>
        <v>0</v>
      </c>
      <c r="V2169" s="85">
        <f>STATS1003B!V2173/1000</f>
        <v>0</v>
      </c>
      <c r="W2169" s="85">
        <f>STATS1003B!W2173/1000</f>
        <v>0</v>
      </c>
      <c r="X2169" s="85">
        <f t="shared" si="235"/>
        <v>618.83900000000006</v>
      </c>
      <c r="Y2169" s="85">
        <f>STATS1003B!Y2173/1000</f>
        <v>0</v>
      </c>
      <c r="Z2169" s="85">
        <f t="shared" si="238"/>
        <v>0</v>
      </c>
      <c r="AA2169" s="69">
        <f>STATS1003B!AA2173/1000</f>
        <v>618.83900000000006</v>
      </c>
      <c r="AB2169" s="69">
        <f>STATS1003B!AB2173/1000</f>
        <v>0</v>
      </c>
    </row>
    <row r="2170" spans="1:28" hidden="1" x14ac:dyDescent="0.3">
      <c r="A2170" s="117"/>
      <c r="C2170" s="68" t="s">
        <v>551</v>
      </c>
      <c r="E2170" s="85">
        <f>STATS1003B!E2174/1000</f>
        <v>6856.64084</v>
      </c>
      <c r="F2170" s="85">
        <f>STATS1003B!F2174/1000</f>
        <v>6856.64084</v>
      </c>
      <c r="G2170" s="85">
        <f>STATS1003B!G2174/1000</f>
        <v>0</v>
      </c>
      <c r="H2170" s="85">
        <f>STATS1003B!H2174/1000</f>
        <v>6856.64084</v>
      </c>
      <c r="I2170" s="85">
        <f>STATS1003B!I2174/1000</f>
        <v>0</v>
      </c>
      <c r="J2170" s="85">
        <f>STATS1003B!J2174/1000</f>
        <v>6856.64084</v>
      </c>
      <c r="K2170" s="85">
        <f>STATS1003B!K2174/1000</f>
        <v>0</v>
      </c>
      <c r="L2170" s="85">
        <f>STATS1003B!L2174/1000</f>
        <v>0</v>
      </c>
      <c r="M2170" s="85">
        <f>STATS1003B!M2174/1000</f>
        <v>6856.64084</v>
      </c>
      <c r="N2170" s="85">
        <f>STATS1003B!N2174/1000</f>
        <v>0</v>
      </c>
      <c r="O2170" s="85">
        <f>STATS1003B!O2174/1000</f>
        <v>0</v>
      </c>
      <c r="P2170" s="85">
        <f>STATS1003B!P2174/1000</f>
        <v>0</v>
      </c>
      <c r="Q2170" s="85">
        <f>STATS1003B!Q2174/1000</f>
        <v>6856.64084</v>
      </c>
      <c r="R2170" s="85">
        <f>STATS1003B!R2174/1000</f>
        <v>0</v>
      </c>
      <c r="S2170" s="85">
        <f>STATS1003B!S2174/1000</f>
        <v>0</v>
      </c>
      <c r="T2170" s="85">
        <f>STATS1003B!T2174/1000</f>
        <v>0</v>
      </c>
      <c r="U2170" s="85">
        <f>STATS1003B!U2174/1000</f>
        <v>0</v>
      </c>
      <c r="V2170" s="85">
        <f>STATS1003B!V2174/1000</f>
        <v>0</v>
      </c>
      <c r="W2170" s="85">
        <f>STATS1003B!W2174/1000</f>
        <v>0</v>
      </c>
      <c r="X2170" s="85">
        <f t="shared" si="235"/>
        <v>6856.64084</v>
      </c>
      <c r="Y2170" s="85">
        <f>STATS1003B!Y2174/1000</f>
        <v>0</v>
      </c>
      <c r="Z2170" s="85">
        <f t="shared" si="238"/>
        <v>0</v>
      </c>
      <c r="AA2170" s="69">
        <f>STATS1003B!AA2174/1000</f>
        <v>6856.64084</v>
      </c>
      <c r="AB2170" s="69">
        <f>STATS1003B!AB2174/1000</f>
        <v>0</v>
      </c>
    </row>
    <row r="2171" spans="1:28" hidden="1" x14ac:dyDescent="0.3">
      <c r="A2171" s="117"/>
      <c r="C2171" s="68" t="s">
        <v>606</v>
      </c>
      <c r="E2171" s="85">
        <f>STATS1003B!E2175/1000</f>
        <v>9044</v>
      </c>
      <c r="F2171" s="85">
        <f>STATS1003B!F2175/1000</f>
        <v>9044</v>
      </c>
      <c r="G2171" s="85">
        <f>STATS1003B!G2175/1000</f>
        <v>0</v>
      </c>
      <c r="H2171" s="85">
        <f>STATS1003B!H2175/1000</f>
        <v>9044</v>
      </c>
      <c r="I2171" s="85">
        <f>STATS1003B!I2175/1000</f>
        <v>0</v>
      </c>
      <c r="J2171" s="85">
        <f>STATS1003B!J2175/1000</f>
        <v>9044</v>
      </c>
      <c r="K2171" s="85">
        <f>STATS1003B!K2175/1000</f>
        <v>0</v>
      </c>
      <c r="L2171" s="85">
        <f>STATS1003B!L2175/1000</f>
        <v>0</v>
      </c>
      <c r="M2171" s="85">
        <f>STATS1003B!M2175/1000</f>
        <v>9044</v>
      </c>
      <c r="N2171" s="85">
        <f>STATS1003B!N2175/1000</f>
        <v>0</v>
      </c>
      <c r="O2171" s="85">
        <f>STATS1003B!O2175/1000</f>
        <v>0</v>
      </c>
      <c r="P2171" s="85">
        <f>STATS1003B!P2175/1000</f>
        <v>0</v>
      </c>
      <c r="Q2171" s="85">
        <f>STATS1003B!Q2175/1000</f>
        <v>9044</v>
      </c>
      <c r="R2171" s="85">
        <f>STATS1003B!R2175/1000</f>
        <v>0</v>
      </c>
      <c r="S2171" s="85">
        <f>STATS1003B!S2175/1000</f>
        <v>0</v>
      </c>
      <c r="T2171" s="85">
        <f>STATS1003B!T2175/1000</f>
        <v>0</v>
      </c>
      <c r="U2171" s="85">
        <f>STATS1003B!U2175/1000</f>
        <v>0</v>
      </c>
      <c r="V2171" s="85">
        <f>STATS1003B!V2175/1000</f>
        <v>0</v>
      </c>
      <c r="W2171" s="85">
        <f>STATS1003B!W2175/1000</f>
        <v>0</v>
      </c>
      <c r="X2171" s="85">
        <f t="shared" si="235"/>
        <v>9044</v>
      </c>
      <c r="Y2171" s="85">
        <f>STATS1003B!Y2175/1000</f>
        <v>0</v>
      </c>
      <c r="Z2171" s="85">
        <f t="shared" si="238"/>
        <v>0</v>
      </c>
      <c r="AA2171" s="69">
        <f>STATS1003B!AA2175/1000</f>
        <v>9044</v>
      </c>
      <c r="AB2171" s="69">
        <f>STATS1003B!AB2175/1000</f>
        <v>0</v>
      </c>
    </row>
    <row r="2172" spans="1:28" hidden="1" x14ac:dyDescent="0.3">
      <c r="A2172" s="117"/>
      <c r="E2172" s="86" t="s">
        <v>29</v>
      </c>
      <c r="F2172" s="86" t="s">
        <v>29</v>
      </c>
      <c r="G2172" s="86" t="s">
        <v>29</v>
      </c>
      <c r="H2172" s="86" t="s">
        <v>29</v>
      </c>
      <c r="I2172" s="86" t="s">
        <v>29</v>
      </c>
      <c r="J2172" s="86" t="s">
        <v>29</v>
      </c>
      <c r="K2172" s="86" t="s">
        <v>29</v>
      </c>
      <c r="L2172" s="86" t="s">
        <v>29</v>
      </c>
      <c r="M2172" s="86" t="s">
        <v>29</v>
      </c>
      <c r="N2172" s="86" t="s">
        <v>29</v>
      </c>
      <c r="O2172" s="86" t="s">
        <v>29</v>
      </c>
      <c r="P2172" s="86" t="s">
        <v>29</v>
      </c>
      <c r="Q2172" s="86" t="s">
        <v>29</v>
      </c>
      <c r="R2172" s="86" t="s">
        <v>29</v>
      </c>
      <c r="S2172" s="86" t="s">
        <v>29</v>
      </c>
      <c r="T2172" s="86" t="s">
        <v>29</v>
      </c>
      <c r="U2172" s="86" t="s">
        <v>29</v>
      </c>
      <c r="V2172" s="86" t="s">
        <v>29</v>
      </c>
      <c r="W2172" s="86" t="s">
        <v>29</v>
      </c>
      <c r="X2172" s="85" t="e">
        <f t="shared" si="235"/>
        <v>#VALUE!</v>
      </c>
      <c r="Y2172" s="86" t="s">
        <v>29</v>
      </c>
      <c r="Z2172" s="85" t="e">
        <f t="shared" si="238"/>
        <v>#VALUE!</v>
      </c>
      <c r="AA2172" s="115" t="s">
        <v>29</v>
      </c>
      <c r="AB2172" s="115" t="s">
        <v>29</v>
      </c>
    </row>
    <row r="2173" spans="1:28" x14ac:dyDescent="0.3">
      <c r="A2173" s="116">
        <v>94</v>
      </c>
      <c r="B2173" s="68" t="s">
        <v>809</v>
      </c>
      <c r="E2173" s="85">
        <f>256996752.29/1000</f>
        <v>256996.75229</v>
      </c>
      <c r="F2173" s="85">
        <f t="shared" ref="F2173:Q2173" si="239">SUM(F2141:F2172)</f>
        <v>74823.447320000007</v>
      </c>
      <c r="G2173" s="85">
        <f t="shared" si="239"/>
        <v>874.4941</v>
      </c>
      <c r="H2173" s="85">
        <f>254342821.29/1000</f>
        <v>254342.82128999999</v>
      </c>
      <c r="I2173" s="85">
        <f t="shared" si="239"/>
        <v>400</v>
      </c>
      <c r="J2173" s="85">
        <f t="shared" si="239"/>
        <v>66768.89963</v>
      </c>
      <c r="K2173" s="85">
        <f t="shared" si="239"/>
        <v>2246.9019000000003</v>
      </c>
      <c r="L2173" s="85">
        <f t="shared" si="239"/>
        <v>400</v>
      </c>
      <c r="M2173" s="85">
        <f t="shared" si="239"/>
        <v>76097.941420000003</v>
      </c>
      <c r="N2173" s="85">
        <f t="shared" si="239"/>
        <v>2246.9019000000003</v>
      </c>
      <c r="O2173" s="85">
        <f t="shared" si="239"/>
        <v>0</v>
      </c>
      <c r="P2173" s="85">
        <f>2246901.9/1000</f>
        <v>2246.9018999999998</v>
      </c>
      <c r="Q2173" s="85">
        <f t="shared" si="239"/>
        <v>54651.414919999996</v>
      </c>
      <c r="R2173" s="84"/>
      <c r="S2173" s="84"/>
      <c r="T2173" s="85">
        <f t="shared" ref="T2173:Y2173" si="240">SUM(T2141:T2172)</f>
        <v>7.0291000000000006</v>
      </c>
      <c r="U2173" s="85">
        <f t="shared" si="240"/>
        <v>2253.931</v>
      </c>
      <c r="V2173" s="85">
        <f t="shared" si="240"/>
        <v>0</v>
      </c>
      <c r="W2173" s="85">
        <f t="shared" si="240"/>
        <v>0</v>
      </c>
      <c r="X2173" s="85">
        <f>+H2173+P2173</f>
        <v>256589.72318999999</v>
      </c>
      <c r="Y2173" s="85">
        <f t="shared" si="240"/>
        <v>0</v>
      </c>
      <c r="Z2173" s="85">
        <f t="shared" si="238"/>
        <v>407.0291000000143</v>
      </c>
      <c r="AA2173" s="69">
        <f>SUM(AA2141:AA2172)</f>
        <v>78351.87242</v>
      </c>
      <c r="AB2173" s="69">
        <f>SUM(AB2141:AB2172)</f>
        <v>0</v>
      </c>
    </row>
    <row r="2174" spans="1:28" hidden="1" x14ac:dyDescent="0.3">
      <c r="A2174" s="117"/>
      <c r="E2174" s="86" t="s">
        <v>29</v>
      </c>
      <c r="F2174" s="86" t="s">
        <v>29</v>
      </c>
      <c r="G2174" s="86" t="s">
        <v>29</v>
      </c>
      <c r="H2174" s="86" t="s">
        <v>29</v>
      </c>
      <c r="I2174" s="86" t="s">
        <v>29</v>
      </c>
      <c r="J2174" s="86" t="s">
        <v>29</v>
      </c>
      <c r="K2174" s="86" t="s">
        <v>29</v>
      </c>
      <c r="L2174" s="86" t="s">
        <v>29</v>
      </c>
      <c r="M2174" s="86" t="s">
        <v>29</v>
      </c>
      <c r="N2174" s="86" t="s">
        <v>29</v>
      </c>
      <c r="O2174" s="86" t="s">
        <v>29</v>
      </c>
      <c r="P2174" s="86" t="s">
        <v>29</v>
      </c>
      <c r="Q2174" s="86" t="s">
        <v>29</v>
      </c>
      <c r="R2174" s="86" t="s">
        <v>29</v>
      </c>
      <c r="S2174" s="86" t="s">
        <v>29</v>
      </c>
      <c r="T2174" s="86" t="s">
        <v>29</v>
      </c>
      <c r="U2174" s="86" t="s">
        <v>29</v>
      </c>
      <c r="V2174" s="86" t="s">
        <v>29</v>
      </c>
      <c r="W2174" s="86" t="s">
        <v>29</v>
      </c>
      <c r="X2174" s="85" t="e">
        <f t="shared" si="235"/>
        <v>#VALUE!</v>
      </c>
      <c r="Y2174" s="86" t="s">
        <v>29</v>
      </c>
      <c r="Z2174" s="85" t="e">
        <f t="shared" si="238"/>
        <v>#VALUE!</v>
      </c>
      <c r="AA2174" s="115" t="s">
        <v>29</v>
      </c>
      <c r="AB2174" s="115" t="s">
        <v>29</v>
      </c>
    </row>
    <row r="2175" spans="1:28" hidden="1" x14ac:dyDescent="0.3">
      <c r="A2175" s="105"/>
      <c r="E2175" s="84"/>
      <c r="F2175" s="84"/>
      <c r="G2175" s="84"/>
      <c r="H2175" s="84"/>
      <c r="I2175" s="84"/>
      <c r="J2175" s="84"/>
      <c r="K2175" s="84"/>
      <c r="L2175" s="84"/>
      <c r="M2175" s="84"/>
      <c r="N2175" s="84"/>
      <c r="O2175" s="84"/>
      <c r="P2175" s="84"/>
      <c r="Q2175" s="84"/>
      <c r="R2175" s="84"/>
      <c r="S2175" s="84"/>
      <c r="T2175" s="84"/>
      <c r="U2175" s="84"/>
      <c r="V2175" s="84"/>
      <c r="W2175" s="84"/>
      <c r="X2175" s="85">
        <f t="shared" si="235"/>
        <v>0</v>
      </c>
      <c r="Y2175" s="84"/>
      <c r="Z2175" s="85">
        <f t="shared" si="238"/>
        <v>0</v>
      </c>
    </row>
    <row r="2176" spans="1:28" hidden="1" x14ac:dyDescent="0.3">
      <c r="A2176" s="117"/>
      <c r="C2176" s="68" t="s">
        <v>535</v>
      </c>
      <c r="D2176" s="87" t="s">
        <v>68</v>
      </c>
      <c r="E2176" s="85">
        <f>STATS1003B!E2180/1000</f>
        <v>190.78498999999999</v>
      </c>
      <c r="F2176" s="85">
        <f>STATS1003B!F2180/1000</f>
        <v>134.95459</v>
      </c>
      <c r="G2176" s="85">
        <f>STATS1003B!G2180/1000</f>
        <v>0</v>
      </c>
      <c r="H2176" s="85">
        <f>STATS1003B!H2180/1000</f>
        <v>134.95459</v>
      </c>
      <c r="I2176" s="85">
        <f>STATS1003B!I2180/1000</f>
        <v>0</v>
      </c>
      <c r="J2176" s="85">
        <f>STATS1003B!J2180/1000</f>
        <v>134.95459</v>
      </c>
      <c r="K2176" s="85">
        <f>STATS1003B!K2180/1000</f>
        <v>55.830400000000004</v>
      </c>
      <c r="L2176" s="85">
        <f>STATS1003B!L2180/1000</f>
        <v>0</v>
      </c>
      <c r="M2176" s="85">
        <f>STATS1003B!M2180/1000</f>
        <v>134.95459</v>
      </c>
      <c r="N2176" s="85">
        <f>STATS1003B!N2180/1000</f>
        <v>55.830400000000004</v>
      </c>
      <c r="O2176" s="85">
        <f>STATS1003B!O2180/1000</f>
        <v>0</v>
      </c>
      <c r="P2176" s="85">
        <f>STATS1003B!P2180/1000</f>
        <v>55.830400000000004</v>
      </c>
      <c r="Q2176" s="85">
        <f>STATS1003B!Q2180/1000</f>
        <v>134.95459</v>
      </c>
      <c r="R2176" s="85">
        <f>STATS1003B!R2180/1000</f>
        <v>0</v>
      </c>
      <c r="S2176" s="85">
        <f>STATS1003B!S2180/1000</f>
        <v>0</v>
      </c>
      <c r="T2176" s="85">
        <f>STATS1003B!T2180/1000</f>
        <v>0</v>
      </c>
      <c r="U2176" s="85">
        <f>STATS1003B!U2180/1000</f>
        <v>55.830400000000004</v>
      </c>
      <c r="V2176" s="85">
        <f>STATS1003B!V2180/1000</f>
        <v>0</v>
      </c>
      <c r="W2176" s="85">
        <f>STATS1003B!W2180/1000</f>
        <v>0</v>
      </c>
      <c r="X2176" s="85">
        <f t="shared" ref="X2176:X2239" si="241">+H2176+P2176</f>
        <v>190.78498999999999</v>
      </c>
      <c r="Y2176" s="85">
        <f>STATS1003B!Y2180/1000</f>
        <v>0</v>
      </c>
      <c r="Z2176" s="85">
        <f t="shared" si="238"/>
        <v>0</v>
      </c>
      <c r="AA2176" s="69">
        <f>STATS1003B!AA2180/1000</f>
        <v>190.78498999999999</v>
      </c>
      <c r="AB2176" s="69">
        <f>STATS1003B!AB2180/1000</f>
        <v>0</v>
      </c>
    </row>
    <row r="2177" spans="1:28" hidden="1" x14ac:dyDescent="0.3">
      <c r="A2177" s="117"/>
      <c r="C2177" s="68" t="s">
        <v>535</v>
      </c>
      <c r="D2177" s="87" t="s">
        <v>54</v>
      </c>
      <c r="E2177" s="85">
        <f>STATS1003B!E2181/1000</f>
        <v>581.20000000000005</v>
      </c>
      <c r="F2177" s="85">
        <f>STATS1003B!F2181/1000</f>
        <v>581.20000000000005</v>
      </c>
      <c r="G2177" s="85">
        <f>STATS1003B!G2181/1000</f>
        <v>0</v>
      </c>
      <c r="H2177" s="85">
        <f>STATS1003B!H2181/1000</f>
        <v>581.20000000000005</v>
      </c>
      <c r="I2177" s="85">
        <f>STATS1003B!I2181/1000</f>
        <v>0</v>
      </c>
      <c r="J2177" s="85">
        <f>STATS1003B!J2181/1000</f>
        <v>581.20000000000005</v>
      </c>
      <c r="K2177" s="85">
        <f>STATS1003B!K2181/1000</f>
        <v>0</v>
      </c>
      <c r="L2177" s="85">
        <f>STATS1003B!L2181/1000</f>
        <v>0</v>
      </c>
      <c r="M2177" s="85">
        <f>STATS1003B!M2181/1000</f>
        <v>581.20000000000005</v>
      </c>
      <c r="N2177" s="85">
        <f>STATS1003B!N2181/1000</f>
        <v>0</v>
      </c>
      <c r="O2177" s="85">
        <f>STATS1003B!O2181/1000</f>
        <v>0</v>
      </c>
      <c r="P2177" s="85">
        <f>STATS1003B!P2181/1000</f>
        <v>0</v>
      </c>
      <c r="Q2177" s="85">
        <f>STATS1003B!Q2181/1000</f>
        <v>581.20000000000005</v>
      </c>
      <c r="R2177" s="85">
        <f>STATS1003B!R2181/1000</f>
        <v>0</v>
      </c>
      <c r="S2177" s="85">
        <f>STATS1003B!S2181/1000</f>
        <v>0</v>
      </c>
      <c r="T2177" s="85">
        <f>STATS1003B!T2181/1000</f>
        <v>0</v>
      </c>
      <c r="U2177" s="85">
        <f>STATS1003B!U2181/1000</f>
        <v>0</v>
      </c>
      <c r="V2177" s="85">
        <f>STATS1003B!V2181/1000</f>
        <v>0</v>
      </c>
      <c r="W2177" s="85">
        <f>STATS1003B!W2181/1000</f>
        <v>0</v>
      </c>
      <c r="X2177" s="85">
        <f t="shared" si="241"/>
        <v>581.20000000000005</v>
      </c>
      <c r="Y2177" s="85">
        <f>STATS1003B!Y2181/1000</f>
        <v>0</v>
      </c>
      <c r="Z2177" s="85">
        <f t="shared" si="238"/>
        <v>0</v>
      </c>
      <c r="AA2177" s="69">
        <f>STATS1003B!AA2181/1000</f>
        <v>581.20000000000005</v>
      </c>
      <c r="AB2177" s="69">
        <f>STATS1003B!AB2181/1000</f>
        <v>0</v>
      </c>
    </row>
    <row r="2178" spans="1:28" hidden="1" x14ac:dyDescent="0.3">
      <c r="A2178" s="117"/>
      <c r="C2178" s="68" t="s">
        <v>821</v>
      </c>
      <c r="D2178" s="87" t="s">
        <v>54</v>
      </c>
      <c r="E2178" s="85">
        <f>STATS1003B!E2182/1000</f>
        <v>1767.77</v>
      </c>
      <c r="F2178" s="85">
        <f>STATS1003B!F2182/1000</f>
        <v>0</v>
      </c>
      <c r="G2178" s="85">
        <f>STATS1003B!G2182/1000</f>
        <v>0</v>
      </c>
      <c r="H2178" s="85">
        <f>STATS1003B!H2182/1000</f>
        <v>0</v>
      </c>
      <c r="I2178" s="85">
        <f>STATS1003B!I2182/1000</f>
        <v>0</v>
      </c>
      <c r="J2178" s="85">
        <f>STATS1003B!J2182/1000</f>
        <v>0</v>
      </c>
      <c r="K2178" s="85">
        <f>STATS1003B!K2182/1000</f>
        <v>1767.77</v>
      </c>
      <c r="L2178" s="85">
        <f>STATS1003B!L2182/1000</f>
        <v>0</v>
      </c>
      <c r="M2178" s="85">
        <f>STATS1003B!M2182/1000</f>
        <v>0</v>
      </c>
      <c r="N2178" s="85">
        <f>STATS1003B!N2182/1000</f>
        <v>1767.77</v>
      </c>
      <c r="O2178" s="85">
        <f>STATS1003B!O2182/1000</f>
        <v>0</v>
      </c>
      <c r="P2178" s="85">
        <f>STATS1003B!P2182/1000</f>
        <v>1767.77</v>
      </c>
      <c r="Q2178" s="85">
        <f>STATS1003B!Q2182/1000</f>
        <v>0</v>
      </c>
      <c r="R2178" s="85">
        <f>STATS1003B!R2182/1000</f>
        <v>0</v>
      </c>
      <c r="S2178" s="85">
        <f>STATS1003B!S2182/1000</f>
        <v>0</v>
      </c>
      <c r="T2178" s="85">
        <f>STATS1003B!T2182/1000</f>
        <v>0</v>
      </c>
      <c r="U2178" s="85">
        <f>STATS1003B!U2182/1000</f>
        <v>1767.77</v>
      </c>
      <c r="V2178" s="85">
        <f>STATS1003B!V2182/1000</f>
        <v>0</v>
      </c>
      <c r="W2178" s="85">
        <f>STATS1003B!W2182/1000</f>
        <v>0</v>
      </c>
      <c r="X2178" s="85">
        <f t="shared" si="241"/>
        <v>1767.77</v>
      </c>
      <c r="Y2178" s="85">
        <f>STATS1003B!Y2182/1000</f>
        <v>0</v>
      </c>
      <c r="Z2178" s="85">
        <f t="shared" si="238"/>
        <v>0</v>
      </c>
      <c r="AA2178" s="69">
        <f>STATS1003B!AA2182/1000</f>
        <v>1767.77</v>
      </c>
      <c r="AB2178" s="69">
        <f>STATS1003B!AB2182/1000</f>
        <v>0</v>
      </c>
    </row>
    <row r="2179" spans="1:28" hidden="1" x14ac:dyDescent="0.3">
      <c r="A2179" s="117"/>
      <c r="C2179" s="68" t="s">
        <v>535</v>
      </c>
      <c r="D2179" s="87" t="s">
        <v>85</v>
      </c>
      <c r="E2179" s="85">
        <f>STATS1003B!E2183/1000</f>
        <v>1010.7</v>
      </c>
      <c r="F2179" s="85">
        <f>STATS1003B!F2183/1000</f>
        <v>1010.7</v>
      </c>
      <c r="G2179" s="85">
        <f>STATS1003B!G2183/1000</f>
        <v>0</v>
      </c>
      <c r="H2179" s="85">
        <f>STATS1003B!H2183/1000</f>
        <v>1010.7</v>
      </c>
      <c r="I2179" s="85">
        <f>STATS1003B!I2183/1000</f>
        <v>0</v>
      </c>
      <c r="J2179" s="85">
        <f>STATS1003B!J2183/1000</f>
        <v>1010.7</v>
      </c>
      <c r="K2179" s="85">
        <f>STATS1003B!K2183/1000</f>
        <v>0</v>
      </c>
      <c r="L2179" s="85">
        <f>STATS1003B!L2183/1000</f>
        <v>0</v>
      </c>
      <c r="M2179" s="85">
        <f>STATS1003B!M2183/1000</f>
        <v>1010.7</v>
      </c>
      <c r="N2179" s="85">
        <f>STATS1003B!N2183/1000</f>
        <v>0</v>
      </c>
      <c r="O2179" s="85">
        <f>STATS1003B!O2183/1000</f>
        <v>0</v>
      </c>
      <c r="P2179" s="85">
        <f>STATS1003B!P2183/1000</f>
        <v>0</v>
      </c>
      <c r="Q2179" s="85">
        <f>STATS1003B!Q2183/1000</f>
        <v>1010.7</v>
      </c>
      <c r="R2179" s="85">
        <f>STATS1003B!R2183/1000</f>
        <v>0</v>
      </c>
      <c r="S2179" s="85">
        <f>STATS1003B!S2183/1000</f>
        <v>0</v>
      </c>
      <c r="T2179" s="85">
        <f>STATS1003B!T2183/1000</f>
        <v>0</v>
      </c>
      <c r="U2179" s="85">
        <f>STATS1003B!U2183/1000</f>
        <v>0</v>
      </c>
      <c r="V2179" s="85">
        <f>STATS1003B!V2183/1000</f>
        <v>0</v>
      </c>
      <c r="W2179" s="85">
        <f>STATS1003B!W2183/1000</f>
        <v>0</v>
      </c>
      <c r="X2179" s="85">
        <f t="shared" si="241"/>
        <v>1010.7</v>
      </c>
      <c r="Y2179" s="85">
        <f>STATS1003B!Y2183/1000</f>
        <v>0</v>
      </c>
      <c r="Z2179" s="85">
        <f t="shared" si="238"/>
        <v>0</v>
      </c>
      <c r="AA2179" s="69">
        <f>STATS1003B!AA2183/1000</f>
        <v>1010.7</v>
      </c>
      <c r="AB2179" s="69">
        <f>STATS1003B!AB2183/1000</f>
        <v>0</v>
      </c>
    </row>
    <row r="2180" spans="1:28" hidden="1" x14ac:dyDescent="0.3">
      <c r="A2180" s="117"/>
      <c r="C2180" s="68" t="s">
        <v>822</v>
      </c>
      <c r="D2180" s="87" t="s">
        <v>85</v>
      </c>
      <c r="E2180" s="85">
        <f>STATS1003B!E2184/1000</f>
        <v>1060</v>
      </c>
      <c r="F2180" s="85">
        <f>STATS1003B!F2184/1000</f>
        <v>1060</v>
      </c>
      <c r="G2180" s="85">
        <f>STATS1003B!G2184/1000</f>
        <v>0</v>
      </c>
      <c r="H2180" s="85">
        <f>STATS1003B!H2184/1000</f>
        <v>1060</v>
      </c>
      <c r="I2180" s="85">
        <f>STATS1003B!I2184/1000</f>
        <v>0</v>
      </c>
      <c r="J2180" s="85">
        <f>STATS1003B!J2184/1000</f>
        <v>1060</v>
      </c>
      <c r="K2180" s="85">
        <f>STATS1003B!K2184/1000</f>
        <v>0</v>
      </c>
      <c r="L2180" s="85">
        <f>STATS1003B!L2184/1000</f>
        <v>0</v>
      </c>
      <c r="M2180" s="85">
        <f>STATS1003B!M2184/1000</f>
        <v>1060</v>
      </c>
      <c r="N2180" s="85">
        <f>STATS1003B!N2184/1000</f>
        <v>0</v>
      </c>
      <c r="O2180" s="85">
        <f>STATS1003B!O2184/1000</f>
        <v>0</v>
      </c>
      <c r="P2180" s="85">
        <f>STATS1003B!P2184/1000</f>
        <v>0</v>
      </c>
      <c r="Q2180" s="85">
        <f>STATS1003B!Q2184/1000</f>
        <v>1060</v>
      </c>
      <c r="R2180" s="85">
        <f>STATS1003B!R2184/1000</f>
        <v>0</v>
      </c>
      <c r="S2180" s="85">
        <f>STATS1003B!S2184/1000</f>
        <v>0</v>
      </c>
      <c r="T2180" s="85">
        <f>STATS1003B!T2184/1000</f>
        <v>0</v>
      </c>
      <c r="U2180" s="85">
        <f>STATS1003B!U2184/1000</f>
        <v>0</v>
      </c>
      <c r="V2180" s="85">
        <f>STATS1003B!V2184/1000</f>
        <v>0</v>
      </c>
      <c r="W2180" s="85">
        <f>STATS1003B!W2184/1000</f>
        <v>0</v>
      </c>
      <c r="X2180" s="85">
        <f t="shared" si="241"/>
        <v>1060</v>
      </c>
      <c r="Y2180" s="85">
        <f>STATS1003B!Y2184/1000</f>
        <v>0</v>
      </c>
      <c r="Z2180" s="85">
        <f t="shared" si="238"/>
        <v>0</v>
      </c>
      <c r="AA2180" s="69">
        <f>STATS1003B!AA2184/1000</f>
        <v>1060</v>
      </c>
      <c r="AB2180" s="69">
        <f>STATS1003B!AB2184/1000</f>
        <v>0</v>
      </c>
    </row>
    <row r="2181" spans="1:28" hidden="1" x14ac:dyDescent="0.3">
      <c r="A2181" s="117"/>
      <c r="C2181" s="68" t="s">
        <v>667</v>
      </c>
      <c r="D2181" s="87" t="s">
        <v>85</v>
      </c>
      <c r="E2181" s="85">
        <f>STATS1003B!E2185/1000</f>
        <v>120</v>
      </c>
      <c r="F2181" s="85">
        <f>STATS1003B!F2185/1000</f>
        <v>120</v>
      </c>
      <c r="G2181" s="85">
        <f>STATS1003B!G2185/1000</f>
        <v>0</v>
      </c>
      <c r="H2181" s="85">
        <f>STATS1003B!H2185/1000</f>
        <v>120</v>
      </c>
      <c r="I2181" s="85">
        <f>STATS1003B!I2185/1000</f>
        <v>0</v>
      </c>
      <c r="J2181" s="85">
        <f>STATS1003B!J2185/1000</f>
        <v>120</v>
      </c>
      <c r="K2181" s="85">
        <f>STATS1003B!K2185/1000</f>
        <v>0</v>
      </c>
      <c r="L2181" s="85">
        <f>STATS1003B!L2185/1000</f>
        <v>0</v>
      </c>
      <c r="M2181" s="85">
        <f>STATS1003B!M2185/1000</f>
        <v>120</v>
      </c>
      <c r="N2181" s="85">
        <f>STATS1003B!N2185/1000</f>
        <v>0</v>
      </c>
      <c r="O2181" s="85">
        <f>STATS1003B!O2185/1000</f>
        <v>0</v>
      </c>
      <c r="P2181" s="85">
        <f>STATS1003B!P2185/1000</f>
        <v>0</v>
      </c>
      <c r="Q2181" s="85">
        <f>STATS1003B!Q2185/1000</f>
        <v>120</v>
      </c>
      <c r="R2181" s="85">
        <f>STATS1003B!R2185/1000</f>
        <v>0</v>
      </c>
      <c r="S2181" s="85">
        <f>STATS1003B!S2185/1000</f>
        <v>0</v>
      </c>
      <c r="T2181" s="85">
        <f>STATS1003B!T2185/1000</f>
        <v>0</v>
      </c>
      <c r="U2181" s="85">
        <f>STATS1003B!U2185/1000</f>
        <v>0</v>
      </c>
      <c r="V2181" s="85">
        <f>STATS1003B!V2185/1000</f>
        <v>0</v>
      </c>
      <c r="W2181" s="85">
        <f>STATS1003B!W2185/1000</f>
        <v>0</v>
      </c>
      <c r="X2181" s="85">
        <f t="shared" si="241"/>
        <v>120</v>
      </c>
      <c r="Y2181" s="85">
        <f>STATS1003B!Y2185/1000</f>
        <v>0</v>
      </c>
      <c r="Z2181" s="85">
        <f t="shared" si="238"/>
        <v>0</v>
      </c>
      <c r="AA2181" s="69">
        <f>STATS1003B!AA2185/1000</f>
        <v>120</v>
      </c>
      <c r="AB2181" s="69">
        <f>STATS1003B!AB2185/1000</f>
        <v>0</v>
      </c>
    </row>
    <row r="2182" spans="1:28" hidden="1" x14ac:dyDescent="0.3">
      <c r="A2182" s="117"/>
      <c r="C2182" s="68" t="s">
        <v>823</v>
      </c>
      <c r="D2182" s="87" t="s">
        <v>128</v>
      </c>
      <c r="E2182" s="85">
        <f>STATS1003B!E2186/1000</f>
        <v>800</v>
      </c>
      <c r="F2182" s="85">
        <f>STATS1003B!F2186/1000</f>
        <v>0</v>
      </c>
      <c r="G2182" s="85">
        <f>STATS1003B!G2186/1000</f>
        <v>0</v>
      </c>
      <c r="H2182" s="85">
        <f>STATS1003B!H2186/1000</f>
        <v>0</v>
      </c>
      <c r="I2182" s="85">
        <f>STATS1003B!I2186/1000</f>
        <v>800</v>
      </c>
      <c r="J2182" s="85">
        <f>STATS1003B!J2186/1000</f>
        <v>800</v>
      </c>
      <c r="K2182" s="85">
        <f>STATS1003B!K2186/1000</f>
        <v>0</v>
      </c>
      <c r="L2182" s="85">
        <f>STATS1003B!L2186/1000</f>
        <v>800</v>
      </c>
      <c r="M2182" s="85">
        <f>STATS1003B!M2186/1000</f>
        <v>800</v>
      </c>
      <c r="N2182" s="85">
        <f>STATS1003B!N2186/1000</f>
        <v>0</v>
      </c>
      <c r="O2182" s="85">
        <f>STATS1003B!O2186/1000</f>
        <v>0</v>
      </c>
      <c r="P2182" s="85">
        <f>STATS1003B!P2186/1000</f>
        <v>0</v>
      </c>
      <c r="Q2182" s="85">
        <f>STATS1003B!Q2186/1000</f>
        <v>800</v>
      </c>
      <c r="R2182" s="85">
        <f>STATS1003B!R2186/1000</f>
        <v>0</v>
      </c>
      <c r="S2182" s="85">
        <f>STATS1003B!S2186/1000</f>
        <v>0</v>
      </c>
      <c r="T2182" s="85">
        <f>STATS1003B!T2186/1000</f>
        <v>0</v>
      </c>
      <c r="U2182" s="85">
        <f>STATS1003B!U2186/1000</f>
        <v>0</v>
      </c>
      <c r="V2182" s="85">
        <f>STATS1003B!V2186/1000</f>
        <v>0</v>
      </c>
      <c r="W2182" s="85">
        <f>STATS1003B!W2186/1000</f>
        <v>0</v>
      </c>
      <c r="X2182" s="85">
        <f t="shared" si="241"/>
        <v>0</v>
      </c>
      <c r="Y2182" s="85">
        <f>STATS1003B!Y2186/1000</f>
        <v>0</v>
      </c>
      <c r="Z2182" s="85">
        <f t="shared" si="238"/>
        <v>800</v>
      </c>
      <c r="AA2182" s="69">
        <f>STATS1003B!AA2186/1000</f>
        <v>800</v>
      </c>
      <c r="AB2182" s="69">
        <f>STATS1003B!AB2186/1000</f>
        <v>0</v>
      </c>
    </row>
    <row r="2183" spans="1:28" hidden="1" x14ac:dyDescent="0.3">
      <c r="A2183" s="117"/>
      <c r="C2183" s="68" t="s">
        <v>535</v>
      </c>
      <c r="D2183" s="87" t="s">
        <v>88</v>
      </c>
      <c r="E2183" s="85">
        <f>STATS1003B!E2187/1000</f>
        <v>1500</v>
      </c>
      <c r="F2183" s="85">
        <f>STATS1003B!F2187/1000</f>
        <v>1500</v>
      </c>
      <c r="G2183" s="85">
        <f>STATS1003B!G2187/1000</f>
        <v>0</v>
      </c>
      <c r="H2183" s="85">
        <f>STATS1003B!H2187/1000</f>
        <v>1500</v>
      </c>
      <c r="I2183" s="85">
        <f>STATS1003B!I2187/1000</f>
        <v>0</v>
      </c>
      <c r="J2183" s="85">
        <f>STATS1003B!J2187/1000</f>
        <v>1500</v>
      </c>
      <c r="K2183" s="85">
        <f>STATS1003B!K2187/1000</f>
        <v>0</v>
      </c>
      <c r="L2183" s="85">
        <f>STATS1003B!L2187/1000</f>
        <v>0</v>
      </c>
      <c r="M2183" s="85">
        <f>STATS1003B!M2187/1000</f>
        <v>1500</v>
      </c>
      <c r="N2183" s="85">
        <f>STATS1003B!N2187/1000</f>
        <v>0</v>
      </c>
      <c r="O2183" s="85">
        <f>STATS1003B!O2187/1000</f>
        <v>0</v>
      </c>
      <c r="P2183" s="85">
        <f>STATS1003B!P2187/1000</f>
        <v>0</v>
      </c>
      <c r="Q2183" s="85">
        <f>STATS1003B!Q2187/1000</f>
        <v>1500</v>
      </c>
      <c r="R2183" s="85">
        <f>STATS1003B!R2187/1000</f>
        <v>0</v>
      </c>
      <c r="S2183" s="85">
        <f>STATS1003B!S2187/1000</f>
        <v>0</v>
      </c>
      <c r="T2183" s="85">
        <f>STATS1003B!T2187/1000</f>
        <v>0</v>
      </c>
      <c r="U2183" s="85">
        <f>STATS1003B!U2187/1000</f>
        <v>0</v>
      </c>
      <c r="V2183" s="85">
        <f>STATS1003B!V2187/1000</f>
        <v>0</v>
      </c>
      <c r="W2183" s="85">
        <f>STATS1003B!W2187/1000</f>
        <v>0</v>
      </c>
      <c r="X2183" s="85">
        <f t="shared" si="241"/>
        <v>1500</v>
      </c>
      <c r="Y2183" s="85">
        <f>STATS1003B!Y2187/1000</f>
        <v>0</v>
      </c>
      <c r="Z2183" s="85">
        <f t="shared" si="238"/>
        <v>0</v>
      </c>
      <c r="AA2183" s="69">
        <f>STATS1003B!AA2187/1000</f>
        <v>1500</v>
      </c>
      <c r="AB2183" s="69">
        <f>STATS1003B!AB2187/1000</f>
        <v>0</v>
      </c>
    </row>
    <row r="2184" spans="1:28" hidden="1" x14ac:dyDescent="0.3">
      <c r="A2184" s="117"/>
      <c r="B2184" s="87" t="s">
        <v>605</v>
      </c>
      <c r="C2184" s="68" t="s">
        <v>535</v>
      </c>
      <c r="D2184" s="87" t="s">
        <v>108</v>
      </c>
      <c r="E2184" s="85">
        <f>STATS1003B!E2188/1000</f>
        <v>2202.5202300000001</v>
      </c>
      <c r="F2184" s="85">
        <f>STATS1003B!F2188/1000</f>
        <v>2202.5202300000001</v>
      </c>
      <c r="G2184" s="85">
        <f>STATS1003B!G2188/1000</f>
        <v>0</v>
      </c>
      <c r="H2184" s="85">
        <f>STATS1003B!H2188/1000</f>
        <v>2202.5202300000001</v>
      </c>
      <c r="I2184" s="85">
        <f>STATS1003B!I2188/1000</f>
        <v>0</v>
      </c>
      <c r="J2184" s="85">
        <f>STATS1003B!J2188/1000</f>
        <v>2202.5202300000001</v>
      </c>
      <c r="K2184" s="85">
        <f>STATS1003B!K2188/1000</f>
        <v>0</v>
      </c>
      <c r="L2184" s="85">
        <f>STATS1003B!L2188/1000</f>
        <v>0</v>
      </c>
      <c r="M2184" s="85">
        <f>STATS1003B!M2188/1000</f>
        <v>2202.5202300000001</v>
      </c>
      <c r="N2184" s="85">
        <f>STATS1003B!N2188/1000</f>
        <v>0</v>
      </c>
      <c r="O2184" s="85">
        <f>STATS1003B!O2188/1000</f>
        <v>0</v>
      </c>
      <c r="P2184" s="85">
        <f>STATS1003B!P2188/1000</f>
        <v>0</v>
      </c>
      <c r="Q2184" s="85">
        <f>STATS1003B!Q2188/1000</f>
        <v>2202.5202300000001</v>
      </c>
      <c r="R2184" s="85">
        <f>STATS1003B!R2188/1000</f>
        <v>0</v>
      </c>
      <c r="S2184" s="85">
        <f>STATS1003B!S2188/1000</f>
        <v>0</v>
      </c>
      <c r="T2184" s="85">
        <f>STATS1003B!T2188/1000</f>
        <v>0</v>
      </c>
      <c r="U2184" s="85">
        <f>STATS1003B!U2188/1000</f>
        <v>0</v>
      </c>
      <c r="V2184" s="85">
        <f>STATS1003B!V2188/1000</f>
        <v>0</v>
      </c>
      <c r="W2184" s="85">
        <f>STATS1003B!W2188/1000</f>
        <v>0</v>
      </c>
      <c r="X2184" s="85">
        <f t="shared" si="241"/>
        <v>2202.5202300000001</v>
      </c>
      <c r="Y2184" s="85">
        <f>STATS1003B!Y2188/1000</f>
        <v>0</v>
      </c>
      <c r="Z2184" s="85">
        <f t="shared" si="238"/>
        <v>0</v>
      </c>
      <c r="AA2184" s="69">
        <f>STATS1003B!AA2188/1000</f>
        <v>2202.5202300000001</v>
      </c>
      <c r="AB2184" s="69">
        <f>STATS1003B!AB2188/1000</f>
        <v>0</v>
      </c>
    </row>
    <row r="2185" spans="1:28" hidden="1" x14ac:dyDescent="0.3">
      <c r="A2185" s="117"/>
      <c r="C2185" s="68" t="s">
        <v>535</v>
      </c>
      <c r="D2185" s="88" t="s">
        <v>60</v>
      </c>
      <c r="E2185" s="85">
        <f>STATS1003B!E2189/1000</f>
        <v>3192.85</v>
      </c>
      <c r="F2185" s="85">
        <f>STATS1003B!F2189/1000</f>
        <v>3192.85</v>
      </c>
      <c r="G2185" s="85">
        <f>STATS1003B!G2189/1000</f>
        <v>0</v>
      </c>
      <c r="H2185" s="85">
        <f>STATS1003B!H2189/1000</f>
        <v>3192.85</v>
      </c>
      <c r="I2185" s="85">
        <f>STATS1003B!I2189/1000</f>
        <v>0</v>
      </c>
      <c r="J2185" s="85">
        <f>STATS1003B!J2189/1000</f>
        <v>3192.85</v>
      </c>
      <c r="K2185" s="85">
        <f>STATS1003B!K2189/1000</f>
        <v>0</v>
      </c>
      <c r="L2185" s="85">
        <f>STATS1003B!L2189/1000</f>
        <v>0</v>
      </c>
      <c r="M2185" s="85">
        <f>STATS1003B!M2189/1000</f>
        <v>3192.85</v>
      </c>
      <c r="N2185" s="85">
        <f>STATS1003B!N2189/1000</f>
        <v>0</v>
      </c>
      <c r="O2185" s="85">
        <f>STATS1003B!O2189/1000</f>
        <v>0</v>
      </c>
      <c r="P2185" s="85">
        <f>STATS1003B!P2189/1000</f>
        <v>0</v>
      </c>
      <c r="Q2185" s="85">
        <f>STATS1003B!Q2189/1000</f>
        <v>3192.85</v>
      </c>
      <c r="R2185" s="85">
        <f>STATS1003B!R2189/1000</f>
        <v>0</v>
      </c>
      <c r="S2185" s="85">
        <f>STATS1003B!S2189/1000</f>
        <v>0</v>
      </c>
      <c r="T2185" s="85">
        <f>STATS1003B!T2189/1000</f>
        <v>0</v>
      </c>
      <c r="U2185" s="85">
        <f>STATS1003B!U2189/1000</f>
        <v>0</v>
      </c>
      <c r="V2185" s="85">
        <f>STATS1003B!V2189/1000</f>
        <v>0</v>
      </c>
      <c r="W2185" s="85">
        <f>STATS1003B!W2189/1000</f>
        <v>0</v>
      </c>
      <c r="X2185" s="85">
        <f t="shared" si="241"/>
        <v>3192.85</v>
      </c>
      <c r="Y2185" s="85">
        <f>STATS1003B!Y2189/1000</f>
        <v>0</v>
      </c>
      <c r="Z2185" s="85">
        <f t="shared" si="238"/>
        <v>0</v>
      </c>
      <c r="AA2185" s="69">
        <f>STATS1003B!AA2189/1000</f>
        <v>3192.85</v>
      </c>
      <c r="AB2185" s="69">
        <f>STATS1003B!AB2189/1000</f>
        <v>0</v>
      </c>
    </row>
    <row r="2186" spans="1:28" hidden="1" x14ac:dyDescent="0.3">
      <c r="A2186" s="117"/>
      <c r="C2186" s="68" t="s">
        <v>535</v>
      </c>
      <c r="D2186" s="88" t="s">
        <v>73</v>
      </c>
      <c r="E2186" s="85">
        <f>STATS1003B!E2190/1000</f>
        <v>1782.7103599999998</v>
      </c>
      <c r="F2186" s="85">
        <f>STATS1003B!F2190/1000</f>
        <v>1782.71036</v>
      </c>
      <c r="G2186" s="85">
        <f>STATS1003B!G2190/1000</f>
        <v>0</v>
      </c>
      <c r="H2186" s="85">
        <f>STATS1003B!H2190/1000</f>
        <v>1782.71036</v>
      </c>
      <c r="I2186" s="85">
        <f>STATS1003B!I2190/1000</f>
        <v>0</v>
      </c>
      <c r="J2186" s="85">
        <f>STATS1003B!J2190/1000</f>
        <v>1782.71036</v>
      </c>
      <c r="K2186" s="85">
        <f>STATS1003B!K2190/1000</f>
        <v>0</v>
      </c>
      <c r="L2186" s="85">
        <f>STATS1003B!L2190/1000</f>
        <v>0</v>
      </c>
      <c r="M2186" s="85">
        <f>STATS1003B!M2190/1000</f>
        <v>1782.71036</v>
      </c>
      <c r="N2186" s="85">
        <f>STATS1003B!N2190/1000</f>
        <v>0</v>
      </c>
      <c r="O2186" s="85">
        <f>STATS1003B!O2190/1000</f>
        <v>0</v>
      </c>
      <c r="P2186" s="85">
        <f>STATS1003B!P2190/1000</f>
        <v>0</v>
      </c>
      <c r="Q2186" s="85">
        <f>STATS1003B!Q2190/1000</f>
        <v>1782.7103599999998</v>
      </c>
      <c r="R2186" s="85">
        <f>STATS1003B!R2190/1000</f>
        <v>0</v>
      </c>
      <c r="S2186" s="85">
        <f>STATS1003B!S2190/1000</f>
        <v>0</v>
      </c>
      <c r="T2186" s="85">
        <f>STATS1003B!T2190/1000</f>
        <v>0</v>
      </c>
      <c r="U2186" s="85">
        <f>STATS1003B!U2190/1000</f>
        <v>0</v>
      </c>
      <c r="V2186" s="85">
        <f>STATS1003B!V2190/1000</f>
        <v>0</v>
      </c>
      <c r="W2186" s="85">
        <f>STATS1003B!W2190/1000</f>
        <v>0</v>
      </c>
      <c r="X2186" s="85">
        <f t="shared" si="241"/>
        <v>1782.71036</v>
      </c>
      <c r="Y2186" s="85">
        <f>STATS1003B!Y2190/1000</f>
        <v>0</v>
      </c>
      <c r="Z2186" s="85">
        <f t="shared" si="238"/>
        <v>0</v>
      </c>
      <c r="AA2186" s="69">
        <f>STATS1003B!AA2190/1000</f>
        <v>1782.71036</v>
      </c>
      <c r="AB2186" s="69">
        <f>STATS1003B!AB2190/1000</f>
        <v>0</v>
      </c>
    </row>
    <row r="2187" spans="1:28" hidden="1" x14ac:dyDescent="0.3">
      <c r="A2187" s="117"/>
      <c r="C2187" s="68" t="s">
        <v>535</v>
      </c>
      <c r="D2187" s="88" t="s">
        <v>61</v>
      </c>
      <c r="E2187" s="85">
        <f>STATS1003B!E2191/1000</f>
        <v>2397</v>
      </c>
      <c r="F2187" s="85">
        <f>STATS1003B!F2191/1000</f>
        <v>2397</v>
      </c>
      <c r="G2187" s="85">
        <f>STATS1003B!G2191/1000</f>
        <v>0</v>
      </c>
      <c r="H2187" s="85">
        <f>STATS1003B!H2191/1000</f>
        <v>2397</v>
      </c>
      <c r="I2187" s="85">
        <f>STATS1003B!I2191/1000</f>
        <v>0</v>
      </c>
      <c r="J2187" s="85">
        <f>STATS1003B!J2191/1000</f>
        <v>2397</v>
      </c>
      <c r="K2187" s="85">
        <f>STATS1003B!K2191/1000</f>
        <v>0</v>
      </c>
      <c r="L2187" s="85">
        <f>STATS1003B!L2191/1000</f>
        <v>0</v>
      </c>
      <c r="M2187" s="85">
        <f>STATS1003B!M2191/1000</f>
        <v>2397</v>
      </c>
      <c r="N2187" s="85">
        <f>STATS1003B!N2191/1000</f>
        <v>0</v>
      </c>
      <c r="O2187" s="85">
        <f>STATS1003B!O2191/1000</f>
        <v>0</v>
      </c>
      <c r="P2187" s="85">
        <f>STATS1003B!P2191/1000</f>
        <v>0</v>
      </c>
      <c r="Q2187" s="85">
        <f>STATS1003B!Q2191/1000</f>
        <v>2397</v>
      </c>
      <c r="R2187" s="85">
        <f>STATS1003B!R2191/1000</f>
        <v>0</v>
      </c>
      <c r="S2187" s="85">
        <f>STATS1003B!S2191/1000</f>
        <v>0</v>
      </c>
      <c r="T2187" s="85">
        <f>STATS1003B!T2191/1000</f>
        <v>0</v>
      </c>
      <c r="U2187" s="85">
        <f>STATS1003B!U2191/1000</f>
        <v>0</v>
      </c>
      <c r="V2187" s="85">
        <f>STATS1003B!V2191/1000</f>
        <v>0</v>
      </c>
      <c r="W2187" s="85">
        <f>STATS1003B!W2191/1000</f>
        <v>0</v>
      </c>
      <c r="X2187" s="85">
        <f t="shared" si="241"/>
        <v>2397</v>
      </c>
      <c r="Y2187" s="85">
        <f>STATS1003B!Y2191/1000</f>
        <v>0</v>
      </c>
      <c r="Z2187" s="85">
        <f t="shared" si="238"/>
        <v>0</v>
      </c>
      <c r="AA2187" s="69">
        <f>STATS1003B!AA2191/1000</f>
        <v>2397</v>
      </c>
      <c r="AB2187" s="69">
        <f>STATS1003B!AB2191/1000</f>
        <v>0</v>
      </c>
    </row>
    <row r="2188" spans="1:28" hidden="1" x14ac:dyDescent="0.3">
      <c r="A2188" s="117"/>
      <c r="C2188" s="68" t="s">
        <v>569</v>
      </c>
      <c r="E2188" s="85">
        <f>STATS1003B!E2192/1000</f>
        <v>965.52157999999997</v>
      </c>
      <c r="F2188" s="85">
        <f>STATS1003B!F2192/1000</f>
        <v>965.52157999999997</v>
      </c>
      <c r="G2188" s="85">
        <f>STATS1003B!G2192/1000</f>
        <v>0</v>
      </c>
      <c r="H2188" s="85">
        <f>STATS1003B!H2192/1000</f>
        <v>965.52157999999997</v>
      </c>
      <c r="I2188" s="85">
        <f>STATS1003B!I2192/1000</f>
        <v>0</v>
      </c>
      <c r="J2188" s="85">
        <f>STATS1003B!J2192/1000</f>
        <v>965.52157999999997</v>
      </c>
      <c r="K2188" s="85">
        <f>STATS1003B!K2192/1000</f>
        <v>0</v>
      </c>
      <c r="L2188" s="85">
        <f>STATS1003B!L2192/1000</f>
        <v>0</v>
      </c>
      <c r="M2188" s="85">
        <f>STATS1003B!M2192/1000</f>
        <v>965.52157999999997</v>
      </c>
      <c r="N2188" s="85">
        <f>STATS1003B!N2192/1000</f>
        <v>0</v>
      </c>
      <c r="O2188" s="85">
        <f>STATS1003B!O2192/1000</f>
        <v>0</v>
      </c>
      <c r="P2188" s="85">
        <f>STATS1003B!P2192/1000</f>
        <v>0</v>
      </c>
      <c r="Q2188" s="85">
        <f>STATS1003B!Q2192/1000</f>
        <v>965.52157999999997</v>
      </c>
      <c r="R2188" s="85">
        <f>STATS1003B!R2192/1000</f>
        <v>0</v>
      </c>
      <c r="S2188" s="85">
        <f>STATS1003B!S2192/1000</f>
        <v>0</v>
      </c>
      <c r="T2188" s="85">
        <f>STATS1003B!T2192/1000</f>
        <v>0</v>
      </c>
      <c r="U2188" s="85">
        <f>STATS1003B!U2192/1000</f>
        <v>0</v>
      </c>
      <c r="V2188" s="85">
        <f>STATS1003B!V2192/1000</f>
        <v>0</v>
      </c>
      <c r="W2188" s="85">
        <f>STATS1003B!W2192/1000</f>
        <v>0</v>
      </c>
      <c r="X2188" s="85">
        <f t="shared" si="241"/>
        <v>965.52157999999997</v>
      </c>
      <c r="Y2188" s="85">
        <f>STATS1003B!Y2192/1000</f>
        <v>0</v>
      </c>
      <c r="Z2188" s="85">
        <f t="shared" si="238"/>
        <v>0</v>
      </c>
      <c r="AA2188" s="69">
        <f>STATS1003B!AA2192/1000</f>
        <v>965.52157999999997</v>
      </c>
      <c r="AB2188" s="69">
        <f>STATS1003B!AB2192/1000</f>
        <v>0</v>
      </c>
    </row>
    <row r="2189" spans="1:28" hidden="1" x14ac:dyDescent="0.3">
      <c r="A2189" s="117"/>
      <c r="C2189" s="68" t="s">
        <v>933</v>
      </c>
      <c r="E2189" s="85">
        <f>STATS1003B!E2193/1000</f>
        <v>1494</v>
      </c>
      <c r="F2189" s="85">
        <f>STATS1003B!F2193/1000</f>
        <v>1494</v>
      </c>
      <c r="G2189" s="85">
        <f>STATS1003B!G2193/1000</f>
        <v>0</v>
      </c>
      <c r="H2189" s="85">
        <f>STATS1003B!H2193/1000</f>
        <v>1494</v>
      </c>
      <c r="I2189" s="85">
        <f>STATS1003B!I2193/1000</f>
        <v>0</v>
      </c>
      <c r="J2189" s="85">
        <f>STATS1003B!J2193/1000</f>
        <v>0</v>
      </c>
      <c r="K2189" s="85">
        <f>STATS1003B!K2193/1000</f>
        <v>0</v>
      </c>
      <c r="L2189" s="85">
        <f>STATS1003B!L2193/1000</f>
        <v>0</v>
      </c>
      <c r="M2189" s="85">
        <f>STATS1003B!M2193/1000</f>
        <v>1494</v>
      </c>
      <c r="N2189" s="85">
        <f>STATS1003B!N2193/1000</f>
        <v>0</v>
      </c>
      <c r="O2189" s="85">
        <f>STATS1003B!O2193/1000</f>
        <v>0</v>
      </c>
      <c r="P2189" s="85">
        <f>STATS1003B!P2193/1000</f>
        <v>0</v>
      </c>
      <c r="Q2189" s="85">
        <f>STATS1003B!Q2193/1000</f>
        <v>0</v>
      </c>
      <c r="R2189" s="85">
        <f>STATS1003B!R2193/1000</f>
        <v>0</v>
      </c>
      <c r="S2189" s="85">
        <f>STATS1003B!S2193/1000</f>
        <v>0</v>
      </c>
      <c r="T2189" s="85">
        <f>STATS1003B!T2193/1000</f>
        <v>0</v>
      </c>
      <c r="U2189" s="85">
        <f>STATS1003B!U2193/1000</f>
        <v>0</v>
      </c>
      <c r="V2189" s="85">
        <f>STATS1003B!V2193/1000</f>
        <v>0</v>
      </c>
      <c r="W2189" s="85">
        <f>STATS1003B!W2193/1000</f>
        <v>0</v>
      </c>
      <c r="X2189" s="85">
        <f t="shared" si="241"/>
        <v>1494</v>
      </c>
      <c r="Y2189" s="85">
        <f>STATS1003B!Y2193/1000</f>
        <v>0</v>
      </c>
      <c r="Z2189" s="85">
        <f t="shared" si="238"/>
        <v>0</v>
      </c>
      <c r="AA2189" s="69">
        <f>STATS1003B!AA2193/1000</f>
        <v>1494</v>
      </c>
      <c r="AB2189" s="69">
        <f>STATS1003B!AB2193/1000</f>
        <v>0</v>
      </c>
    </row>
    <row r="2190" spans="1:28" hidden="1" x14ac:dyDescent="0.3">
      <c r="A2190" s="117"/>
      <c r="C2190" s="68" t="s">
        <v>1173</v>
      </c>
      <c r="D2190" s="91" t="s">
        <v>1126</v>
      </c>
      <c r="E2190" s="85">
        <f>STATS1003B!E2194/1000</f>
        <v>7125.1602000000003</v>
      </c>
      <c r="F2190" s="85">
        <f>STATS1003B!F2194/1000</f>
        <v>7125.1602000000003</v>
      </c>
      <c r="G2190" s="85">
        <f>STATS1003B!G2194/1000</f>
        <v>0</v>
      </c>
      <c r="H2190" s="85">
        <f>STATS1003B!H2194/1000</f>
        <v>7125.1602000000003</v>
      </c>
      <c r="I2190" s="85">
        <f>STATS1003B!I2194/1000</f>
        <v>0</v>
      </c>
      <c r="J2190" s="85">
        <f>STATS1003B!J2194/1000</f>
        <v>0</v>
      </c>
      <c r="K2190" s="85">
        <f>STATS1003B!K2194/1000</f>
        <v>0</v>
      </c>
      <c r="L2190" s="85">
        <f>STATS1003B!L2194/1000</f>
        <v>0</v>
      </c>
      <c r="M2190" s="85">
        <f>STATS1003B!M2194/1000</f>
        <v>7125.1602000000003</v>
      </c>
      <c r="N2190" s="85">
        <f>STATS1003B!N2194/1000</f>
        <v>0</v>
      </c>
      <c r="O2190" s="85">
        <f>STATS1003B!O2194/1000</f>
        <v>0</v>
      </c>
      <c r="P2190" s="85">
        <f>STATS1003B!P2194/1000</f>
        <v>0</v>
      </c>
      <c r="Q2190" s="85">
        <f>STATS1003B!Q2194/1000</f>
        <v>0</v>
      </c>
      <c r="R2190" s="85">
        <f>STATS1003B!R2194/1000</f>
        <v>0</v>
      </c>
      <c r="S2190" s="85">
        <f>STATS1003B!S2194/1000</f>
        <v>0</v>
      </c>
      <c r="T2190" s="85">
        <f>STATS1003B!T2194/1000</f>
        <v>0</v>
      </c>
      <c r="U2190" s="85">
        <f>STATS1003B!U2194/1000</f>
        <v>0</v>
      </c>
      <c r="V2190" s="85">
        <f>STATS1003B!V2194/1000</f>
        <v>0</v>
      </c>
      <c r="W2190" s="85">
        <f>STATS1003B!W2194/1000</f>
        <v>0</v>
      </c>
      <c r="X2190" s="85">
        <f t="shared" si="241"/>
        <v>7125.1602000000003</v>
      </c>
      <c r="Y2190" s="85">
        <f>STATS1003B!Y2194/1000</f>
        <v>0</v>
      </c>
      <c r="Z2190" s="85">
        <f t="shared" si="238"/>
        <v>0</v>
      </c>
      <c r="AA2190" s="69">
        <f>STATS1003B!AA2194/1000</f>
        <v>7125.1602000000003</v>
      </c>
      <c r="AB2190" s="69">
        <f>STATS1003B!AB2194/1000</f>
        <v>0</v>
      </c>
    </row>
    <row r="2191" spans="1:28" hidden="1" x14ac:dyDescent="0.3">
      <c r="A2191" s="117"/>
      <c r="C2191" s="93" t="s">
        <v>1083</v>
      </c>
      <c r="D2191" s="91" t="s">
        <v>1072</v>
      </c>
      <c r="E2191" s="85">
        <f>STATS1003B!E2195/1000</f>
        <v>7285.0219699999998</v>
      </c>
      <c r="F2191" s="85">
        <f>STATS1003B!F2195/1000</f>
        <v>7285.0219699999998</v>
      </c>
      <c r="G2191" s="85">
        <f>STATS1003B!G2195/1000</f>
        <v>0</v>
      </c>
      <c r="H2191" s="85">
        <f>STATS1003B!H2195/1000</f>
        <v>7285.0219699999998</v>
      </c>
      <c r="I2191" s="85">
        <f>STATS1003B!I2195/1000</f>
        <v>0</v>
      </c>
      <c r="J2191" s="85">
        <f>STATS1003B!J2195/1000</f>
        <v>0</v>
      </c>
      <c r="K2191" s="85">
        <f>STATS1003B!K2195/1000</f>
        <v>0</v>
      </c>
      <c r="L2191" s="85">
        <f>STATS1003B!L2195/1000</f>
        <v>0</v>
      </c>
      <c r="M2191" s="85">
        <f>STATS1003B!M2195/1000</f>
        <v>7285.0219699999998</v>
      </c>
      <c r="N2191" s="85">
        <f>STATS1003B!N2195/1000</f>
        <v>0</v>
      </c>
      <c r="O2191" s="85">
        <f>STATS1003B!O2195/1000</f>
        <v>0</v>
      </c>
      <c r="P2191" s="85">
        <f>STATS1003B!P2195/1000</f>
        <v>0</v>
      </c>
      <c r="Q2191" s="85">
        <f>STATS1003B!Q2195/1000</f>
        <v>0</v>
      </c>
      <c r="R2191" s="85">
        <f>STATS1003B!R2195/1000</f>
        <v>0</v>
      </c>
      <c r="S2191" s="85">
        <f>STATS1003B!S2195/1000</f>
        <v>0</v>
      </c>
      <c r="T2191" s="85">
        <f>STATS1003B!T2195/1000</f>
        <v>0</v>
      </c>
      <c r="U2191" s="85">
        <f>STATS1003B!U2195/1000</f>
        <v>0</v>
      </c>
      <c r="V2191" s="85">
        <f>STATS1003B!V2195/1000</f>
        <v>0</v>
      </c>
      <c r="W2191" s="85">
        <f>STATS1003B!W2195/1000</f>
        <v>0</v>
      </c>
      <c r="X2191" s="85">
        <f t="shared" si="241"/>
        <v>7285.0219699999998</v>
      </c>
      <c r="Y2191" s="85">
        <f>STATS1003B!Y2195/1000</f>
        <v>0</v>
      </c>
      <c r="Z2191" s="85">
        <f t="shared" si="238"/>
        <v>0</v>
      </c>
      <c r="AA2191" s="69">
        <f>STATS1003B!AA2195/1000</f>
        <v>7285.0219699999998</v>
      </c>
      <c r="AB2191" s="69">
        <f>STATS1003B!AB2195/1000</f>
        <v>0</v>
      </c>
    </row>
    <row r="2192" spans="1:28" hidden="1" x14ac:dyDescent="0.3">
      <c r="A2192" s="117"/>
      <c r="C2192" s="68" t="s">
        <v>606</v>
      </c>
      <c r="E2192" s="85">
        <f>STATS1003B!E2196/1000</f>
        <v>1598.7449999999999</v>
      </c>
      <c r="F2192" s="85">
        <f>STATS1003B!F2196/1000</f>
        <v>1598.7449999999999</v>
      </c>
      <c r="G2192" s="85">
        <f>STATS1003B!G2196/1000</f>
        <v>0</v>
      </c>
      <c r="H2192" s="85">
        <f>STATS1003B!H2196/1000</f>
        <v>1598.7449999999999</v>
      </c>
      <c r="I2192" s="85">
        <f>STATS1003B!I2196/1000</f>
        <v>0</v>
      </c>
      <c r="J2192" s="85">
        <f>STATS1003B!J2196/1000</f>
        <v>1598.7449999999999</v>
      </c>
      <c r="K2192" s="85">
        <f>STATS1003B!K2196/1000</f>
        <v>0</v>
      </c>
      <c r="L2192" s="85">
        <f>STATS1003B!L2196/1000</f>
        <v>0</v>
      </c>
      <c r="M2192" s="85">
        <f>STATS1003B!M2196/1000</f>
        <v>1598.7449999999999</v>
      </c>
      <c r="N2192" s="85">
        <f>STATS1003B!N2196/1000</f>
        <v>0</v>
      </c>
      <c r="O2192" s="85">
        <f>STATS1003B!O2196/1000</f>
        <v>0</v>
      </c>
      <c r="P2192" s="85">
        <f>STATS1003B!P2196/1000</f>
        <v>0</v>
      </c>
      <c r="Q2192" s="85">
        <f>STATS1003B!Q2196/1000</f>
        <v>1598.7449999999999</v>
      </c>
      <c r="R2192" s="85">
        <f>STATS1003B!R2196/1000</f>
        <v>0</v>
      </c>
      <c r="S2192" s="85">
        <f>STATS1003B!S2196/1000</f>
        <v>0</v>
      </c>
      <c r="T2192" s="85">
        <f>STATS1003B!T2196/1000</f>
        <v>0</v>
      </c>
      <c r="U2192" s="85">
        <f>STATS1003B!U2196/1000</f>
        <v>0</v>
      </c>
      <c r="V2192" s="85">
        <f>STATS1003B!V2196/1000</f>
        <v>0</v>
      </c>
      <c r="W2192" s="85">
        <f>STATS1003B!W2196/1000</f>
        <v>0</v>
      </c>
      <c r="X2192" s="85">
        <f t="shared" si="241"/>
        <v>1598.7449999999999</v>
      </c>
      <c r="Y2192" s="85">
        <f>STATS1003B!Y2196/1000</f>
        <v>0</v>
      </c>
      <c r="Z2192" s="85">
        <f t="shared" si="238"/>
        <v>0</v>
      </c>
      <c r="AA2192" s="69">
        <f>STATS1003B!AA2196/1000</f>
        <v>1598.7449999999999</v>
      </c>
      <c r="AB2192" s="69">
        <f>STATS1003B!AB2196/1000</f>
        <v>0</v>
      </c>
    </row>
    <row r="2193" spans="1:28" hidden="1" x14ac:dyDescent="0.3">
      <c r="A2193" s="117"/>
      <c r="E2193" s="86" t="s">
        <v>29</v>
      </c>
      <c r="F2193" s="86" t="s">
        <v>29</v>
      </c>
      <c r="G2193" s="86" t="s">
        <v>29</v>
      </c>
      <c r="H2193" s="86" t="s">
        <v>29</v>
      </c>
      <c r="I2193" s="86" t="s">
        <v>29</v>
      </c>
      <c r="J2193" s="86" t="s">
        <v>29</v>
      </c>
      <c r="K2193" s="86" t="s">
        <v>29</v>
      </c>
      <c r="L2193" s="86" t="s">
        <v>29</v>
      </c>
      <c r="M2193" s="86" t="s">
        <v>29</v>
      </c>
      <c r="N2193" s="86" t="s">
        <v>29</v>
      </c>
      <c r="O2193" s="86" t="s">
        <v>29</v>
      </c>
      <c r="P2193" s="86" t="s">
        <v>29</v>
      </c>
      <c r="Q2193" s="86" t="s">
        <v>29</v>
      </c>
      <c r="R2193" s="86" t="s">
        <v>29</v>
      </c>
      <c r="S2193" s="86" t="s">
        <v>29</v>
      </c>
      <c r="T2193" s="86" t="s">
        <v>29</v>
      </c>
      <c r="U2193" s="86" t="s">
        <v>29</v>
      </c>
      <c r="V2193" s="86" t="s">
        <v>29</v>
      </c>
      <c r="W2193" s="86" t="s">
        <v>29</v>
      </c>
      <c r="X2193" s="85" t="e">
        <f t="shared" si="241"/>
        <v>#VALUE!</v>
      </c>
      <c r="Y2193" s="86" t="s">
        <v>29</v>
      </c>
      <c r="Z2193" s="85" t="e">
        <f t="shared" si="238"/>
        <v>#VALUE!</v>
      </c>
      <c r="AA2193" s="115" t="s">
        <v>29</v>
      </c>
      <c r="AB2193" s="115" t="s">
        <v>29</v>
      </c>
    </row>
    <row r="2194" spans="1:28" x14ac:dyDescent="0.3">
      <c r="A2194" s="116">
        <v>95</v>
      </c>
      <c r="B2194" s="68" t="s">
        <v>820</v>
      </c>
      <c r="E2194" s="85">
        <f>132957686.1/1000</f>
        <v>132957.68609999999</v>
      </c>
      <c r="F2194" s="85">
        <f t="shared" ref="F2194:Q2194" si="242">SUM(F2176:F2193)</f>
        <v>32450.38393</v>
      </c>
      <c r="G2194" s="85">
        <f t="shared" si="242"/>
        <v>0</v>
      </c>
      <c r="H2194" s="85">
        <f>130334085.7/1000</f>
        <v>130334.0857</v>
      </c>
      <c r="I2194" s="85">
        <f t="shared" si="242"/>
        <v>800</v>
      </c>
      <c r="J2194" s="85">
        <f t="shared" si="242"/>
        <v>17346.20176</v>
      </c>
      <c r="K2194" s="85">
        <f t="shared" si="242"/>
        <v>1823.6004</v>
      </c>
      <c r="L2194" s="85">
        <f t="shared" si="242"/>
        <v>800</v>
      </c>
      <c r="M2194" s="85">
        <f t="shared" si="242"/>
        <v>33250.383930000004</v>
      </c>
      <c r="N2194" s="85">
        <f t="shared" si="242"/>
        <v>1823.6004</v>
      </c>
      <c r="O2194" s="85">
        <f t="shared" si="242"/>
        <v>0</v>
      </c>
      <c r="P2194" s="85">
        <f>1823600/1000</f>
        <v>1823.6</v>
      </c>
      <c r="Q2194" s="85">
        <f t="shared" si="242"/>
        <v>17346.20176</v>
      </c>
      <c r="R2194" s="84"/>
      <c r="S2194" s="84"/>
      <c r="T2194" s="85">
        <f t="shared" ref="T2194:Y2194" si="243">SUM(T2176:T2193)</f>
        <v>0</v>
      </c>
      <c r="U2194" s="85">
        <f t="shared" si="243"/>
        <v>1823.6004</v>
      </c>
      <c r="V2194" s="85">
        <f t="shared" si="243"/>
        <v>0</v>
      </c>
      <c r="W2194" s="85">
        <f t="shared" si="243"/>
        <v>0</v>
      </c>
      <c r="X2194" s="85">
        <f t="shared" si="241"/>
        <v>132157.6857</v>
      </c>
      <c r="Y2194" s="85">
        <f t="shared" si="243"/>
        <v>0</v>
      </c>
      <c r="Z2194" s="85">
        <f t="shared" si="238"/>
        <v>800.0003999999899</v>
      </c>
      <c r="AA2194" s="69">
        <f>SUM(AA2176:AA2193)</f>
        <v>35073.984330000007</v>
      </c>
      <c r="AB2194" s="69">
        <f>SUM(AB2176:AB2193)</f>
        <v>0</v>
      </c>
    </row>
    <row r="2195" spans="1:28" hidden="1" x14ac:dyDescent="0.3">
      <c r="A2195" s="117"/>
      <c r="E2195" s="86" t="s">
        <v>29</v>
      </c>
      <c r="F2195" s="86" t="s">
        <v>29</v>
      </c>
      <c r="G2195" s="86" t="s">
        <v>29</v>
      </c>
      <c r="H2195" s="86" t="s">
        <v>29</v>
      </c>
      <c r="I2195" s="86" t="s">
        <v>29</v>
      </c>
      <c r="J2195" s="86" t="s">
        <v>29</v>
      </c>
      <c r="K2195" s="86" t="s">
        <v>29</v>
      </c>
      <c r="L2195" s="86" t="s">
        <v>29</v>
      </c>
      <c r="M2195" s="86" t="s">
        <v>29</v>
      </c>
      <c r="N2195" s="86" t="s">
        <v>29</v>
      </c>
      <c r="O2195" s="86" t="s">
        <v>29</v>
      </c>
      <c r="P2195" s="86" t="s">
        <v>29</v>
      </c>
      <c r="Q2195" s="86" t="s">
        <v>29</v>
      </c>
      <c r="R2195" s="86" t="s">
        <v>29</v>
      </c>
      <c r="S2195" s="86" t="s">
        <v>29</v>
      </c>
      <c r="T2195" s="86" t="s">
        <v>29</v>
      </c>
      <c r="U2195" s="86" t="s">
        <v>29</v>
      </c>
      <c r="V2195" s="86" t="s">
        <v>29</v>
      </c>
      <c r="W2195" s="86" t="s">
        <v>29</v>
      </c>
      <c r="X2195" s="85" t="e">
        <f t="shared" si="241"/>
        <v>#VALUE!</v>
      </c>
      <c r="Y2195" s="86" t="s">
        <v>29</v>
      </c>
      <c r="Z2195" s="85" t="e">
        <f t="shared" si="238"/>
        <v>#VALUE!</v>
      </c>
      <c r="AA2195" s="115" t="s">
        <v>29</v>
      </c>
      <c r="AB2195" s="115" t="s">
        <v>29</v>
      </c>
    </row>
    <row r="2196" spans="1:28" hidden="1" x14ac:dyDescent="0.3">
      <c r="A2196" s="105"/>
      <c r="E2196" s="84"/>
      <c r="F2196" s="84"/>
      <c r="G2196" s="84"/>
      <c r="H2196" s="84"/>
      <c r="I2196" s="84"/>
      <c r="J2196" s="84"/>
      <c r="K2196" s="84"/>
      <c r="L2196" s="84"/>
      <c r="M2196" s="84"/>
      <c r="N2196" s="84"/>
      <c r="O2196" s="84"/>
      <c r="P2196" s="84"/>
      <c r="Q2196" s="84"/>
      <c r="R2196" s="84"/>
      <c r="S2196" s="84"/>
      <c r="T2196" s="84"/>
      <c r="U2196" s="84"/>
      <c r="V2196" s="84"/>
      <c r="W2196" s="84"/>
      <c r="X2196" s="85">
        <f t="shared" si="241"/>
        <v>0</v>
      </c>
      <c r="Y2196" s="84"/>
      <c r="Z2196" s="85">
        <f t="shared" si="238"/>
        <v>0</v>
      </c>
    </row>
    <row r="2197" spans="1:28" hidden="1" x14ac:dyDescent="0.3">
      <c r="A2197" s="117"/>
      <c r="C2197" s="68" t="s">
        <v>535</v>
      </c>
      <c r="D2197" s="87" t="s">
        <v>68</v>
      </c>
      <c r="E2197" s="85">
        <f>STATS1003B!E2201/1000</f>
        <v>307.44583000000006</v>
      </c>
      <c r="F2197" s="85">
        <f>STATS1003B!F2201/1000</f>
        <v>0</v>
      </c>
      <c r="G2197" s="85">
        <f>STATS1003B!G2201/1000</f>
        <v>0</v>
      </c>
      <c r="H2197" s="85">
        <f>STATS1003B!H2201/1000</f>
        <v>0</v>
      </c>
      <c r="I2197" s="85">
        <f>STATS1003B!I2201/1000</f>
        <v>0</v>
      </c>
      <c r="J2197" s="85">
        <f>STATS1003B!J2201/1000</f>
        <v>0</v>
      </c>
      <c r="K2197" s="85">
        <f>STATS1003B!K2201/1000</f>
        <v>307.44583</v>
      </c>
      <c r="L2197" s="85">
        <f>STATS1003B!L2201/1000</f>
        <v>0</v>
      </c>
      <c r="M2197" s="85">
        <f>STATS1003B!M2201/1000</f>
        <v>0</v>
      </c>
      <c r="N2197" s="85">
        <f>STATS1003B!N2201/1000</f>
        <v>307.44583</v>
      </c>
      <c r="O2197" s="85">
        <f>STATS1003B!O2201/1000</f>
        <v>0</v>
      </c>
      <c r="P2197" s="85">
        <f>STATS1003B!P2201/1000</f>
        <v>307.44583</v>
      </c>
      <c r="Q2197" s="85">
        <f>STATS1003B!Q2201/1000</f>
        <v>0</v>
      </c>
      <c r="R2197" s="85">
        <f>STATS1003B!R2201/1000</f>
        <v>0</v>
      </c>
      <c r="S2197" s="85">
        <f>STATS1003B!S2201/1000</f>
        <v>0</v>
      </c>
      <c r="T2197" s="85">
        <f>STATS1003B!T2201/1000</f>
        <v>0</v>
      </c>
      <c r="U2197" s="85">
        <f>STATS1003B!U2201/1000</f>
        <v>307.44583</v>
      </c>
      <c r="V2197" s="85">
        <f>STATS1003B!V2201/1000</f>
        <v>0</v>
      </c>
      <c r="W2197" s="85">
        <f>STATS1003B!W2201/1000</f>
        <v>0</v>
      </c>
      <c r="X2197" s="85">
        <f t="shared" si="241"/>
        <v>307.44583</v>
      </c>
      <c r="Y2197" s="85">
        <f>STATS1003B!Y2201/1000</f>
        <v>0</v>
      </c>
      <c r="Z2197" s="85">
        <f t="shared" si="238"/>
        <v>0</v>
      </c>
      <c r="AA2197" s="69">
        <f>STATS1003B!AA2201/1000</f>
        <v>307.44583</v>
      </c>
      <c r="AB2197" s="69">
        <f>STATS1003B!AB2201/1000</f>
        <v>0</v>
      </c>
    </row>
    <row r="2198" spans="1:28" hidden="1" x14ac:dyDescent="0.3">
      <c r="A2198" s="117"/>
      <c r="C2198" s="68" t="s">
        <v>539</v>
      </c>
      <c r="D2198" s="87" t="s">
        <v>68</v>
      </c>
      <c r="E2198" s="85">
        <f>STATS1003B!E2202/1000</f>
        <v>505.78290000000004</v>
      </c>
      <c r="F2198" s="85">
        <f>STATS1003B!F2202/1000</f>
        <v>0</v>
      </c>
      <c r="G2198" s="85">
        <f>STATS1003B!G2202/1000</f>
        <v>0</v>
      </c>
      <c r="H2198" s="85">
        <f>STATS1003B!H2202/1000</f>
        <v>0</v>
      </c>
      <c r="I2198" s="85">
        <f>STATS1003B!I2202/1000</f>
        <v>0</v>
      </c>
      <c r="J2198" s="85">
        <f>STATS1003B!J2202/1000</f>
        <v>0</v>
      </c>
      <c r="K2198" s="85">
        <f>STATS1003B!K2202/1000</f>
        <v>505.78290000000004</v>
      </c>
      <c r="L2198" s="85">
        <f>STATS1003B!L2202/1000</f>
        <v>0</v>
      </c>
      <c r="M2198" s="85">
        <f>STATS1003B!M2202/1000</f>
        <v>0</v>
      </c>
      <c r="N2198" s="85">
        <f>STATS1003B!N2202/1000</f>
        <v>505.78290000000004</v>
      </c>
      <c r="O2198" s="85">
        <f>STATS1003B!O2202/1000</f>
        <v>0</v>
      </c>
      <c r="P2198" s="85">
        <f>STATS1003B!P2202/1000</f>
        <v>505.78290000000004</v>
      </c>
      <c r="Q2198" s="85">
        <f>STATS1003B!Q2202/1000</f>
        <v>0</v>
      </c>
      <c r="R2198" s="85">
        <f>STATS1003B!R2202/1000</f>
        <v>0</v>
      </c>
      <c r="S2198" s="85">
        <f>STATS1003B!S2202/1000</f>
        <v>0</v>
      </c>
      <c r="T2198" s="85">
        <f>STATS1003B!T2202/1000</f>
        <v>0</v>
      </c>
      <c r="U2198" s="85">
        <f>STATS1003B!U2202/1000</f>
        <v>505.78290000000004</v>
      </c>
      <c r="V2198" s="85">
        <f>STATS1003B!V2202/1000</f>
        <v>0</v>
      </c>
      <c r="W2198" s="85">
        <f>STATS1003B!W2202/1000</f>
        <v>0</v>
      </c>
      <c r="X2198" s="85">
        <f t="shared" si="241"/>
        <v>505.78290000000004</v>
      </c>
      <c r="Y2198" s="85">
        <f>STATS1003B!Y2202/1000</f>
        <v>0</v>
      </c>
      <c r="Z2198" s="85">
        <f t="shared" si="238"/>
        <v>0</v>
      </c>
      <c r="AA2198" s="69">
        <f>STATS1003B!AA2202/1000</f>
        <v>505.78290000000004</v>
      </c>
      <c r="AB2198" s="69">
        <f>STATS1003B!AB2202/1000</f>
        <v>0</v>
      </c>
    </row>
    <row r="2199" spans="1:28" hidden="1" x14ac:dyDescent="0.3">
      <c r="A2199" s="117"/>
      <c r="C2199" s="68" t="s">
        <v>535</v>
      </c>
      <c r="D2199" s="87" t="s">
        <v>54</v>
      </c>
      <c r="E2199" s="85">
        <f>STATS1003B!E2203/1000</f>
        <v>540</v>
      </c>
      <c r="F2199" s="85">
        <f>STATS1003B!F2203/1000</f>
        <v>540</v>
      </c>
      <c r="G2199" s="85">
        <f>STATS1003B!G2203/1000</f>
        <v>0</v>
      </c>
      <c r="H2199" s="85">
        <f>STATS1003B!H2203/1000</f>
        <v>540</v>
      </c>
      <c r="I2199" s="85">
        <f>STATS1003B!I2203/1000</f>
        <v>0</v>
      </c>
      <c r="J2199" s="85">
        <f>STATS1003B!J2203/1000</f>
        <v>540</v>
      </c>
      <c r="K2199" s="85">
        <f>STATS1003B!K2203/1000</f>
        <v>0</v>
      </c>
      <c r="L2199" s="85">
        <f>STATS1003B!L2203/1000</f>
        <v>0</v>
      </c>
      <c r="M2199" s="85">
        <f>STATS1003B!M2203/1000</f>
        <v>540</v>
      </c>
      <c r="N2199" s="85">
        <f>STATS1003B!N2203/1000</f>
        <v>0</v>
      </c>
      <c r="O2199" s="85">
        <f>STATS1003B!O2203/1000</f>
        <v>0</v>
      </c>
      <c r="P2199" s="85">
        <f>STATS1003B!P2203/1000</f>
        <v>0</v>
      </c>
      <c r="Q2199" s="85">
        <f>STATS1003B!Q2203/1000</f>
        <v>540</v>
      </c>
      <c r="R2199" s="85">
        <f>STATS1003B!R2203/1000</f>
        <v>0</v>
      </c>
      <c r="S2199" s="85">
        <f>STATS1003B!S2203/1000</f>
        <v>0</v>
      </c>
      <c r="T2199" s="85">
        <f>STATS1003B!T2203/1000</f>
        <v>0</v>
      </c>
      <c r="U2199" s="85">
        <f>STATS1003B!U2203/1000</f>
        <v>0</v>
      </c>
      <c r="V2199" s="85">
        <f>STATS1003B!V2203/1000</f>
        <v>0</v>
      </c>
      <c r="W2199" s="85">
        <f>STATS1003B!W2203/1000</f>
        <v>0</v>
      </c>
      <c r="X2199" s="85">
        <f t="shared" si="241"/>
        <v>540</v>
      </c>
      <c r="Y2199" s="85">
        <f>STATS1003B!Y2203/1000</f>
        <v>0</v>
      </c>
      <c r="Z2199" s="85">
        <f t="shared" si="238"/>
        <v>0</v>
      </c>
      <c r="AA2199" s="69">
        <f>STATS1003B!AA2203/1000</f>
        <v>540</v>
      </c>
      <c r="AB2199" s="69">
        <f>STATS1003B!AB2203/1000</f>
        <v>0</v>
      </c>
    </row>
    <row r="2200" spans="1:28" hidden="1" x14ac:dyDescent="0.3">
      <c r="A2200" s="117"/>
      <c r="C2200" s="68" t="s">
        <v>825</v>
      </c>
      <c r="D2200" s="87" t="s">
        <v>54</v>
      </c>
      <c r="E2200" s="85">
        <f>STATS1003B!E2204/1000</f>
        <v>1099.876</v>
      </c>
      <c r="F2200" s="85">
        <f>STATS1003B!F2204/1000</f>
        <v>1099.876</v>
      </c>
      <c r="G2200" s="85">
        <f>STATS1003B!G2204/1000</f>
        <v>0</v>
      </c>
      <c r="H2200" s="85">
        <f>STATS1003B!H2204/1000</f>
        <v>1099.876</v>
      </c>
      <c r="I2200" s="85">
        <f>STATS1003B!I2204/1000</f>
        <v>0</v>
      </c>
      <c r="J2200" s="85">
        <f>STATS1003B!J2204/1000</f>
        <v>1099.876</v>
      </c>
      <c r="K2200" s="85">
        <f>STATS1003B!K2204/1000</f>
        <v>0</v>
      </c>
      <c r="L2200" s="85">
        <f>STATS1003B!L2204/1000</f>
        <v>0</v>
      </c>
      <c r="M2200" s="85">
        <f>STATS1003B!M2204/1000</f>
        <v>1099.876</v>
      </c>
      <c r="N2200" s="85">
        <f>STATS1003B!N2204/1000</f>
        <v>0</v>
      </c>
      <c r="O2200" s="85">
        <f>STATS1003B!O2204/1000</f>
        <v>0</v>
      </c>
      <c r="P2200" s="85">
        <f>STATS1003B!P2204/1000</f>
        <v>0</v>
      </c>
      <c r="Q2200" s="85">
        <f>STATS1003B!Q2204/1000</f>
        <v>1099.876</v>
      </c>
      <c r="R2200" s="85">
        <f>STATS1003B!R2204/1000</f>
        <v>0</v>
      </c>
      <c r="S2200" s="85">
        <f>STATS1003B!S2204/1000</f>
        <v>0</v>
      </c>
      <c r="T2200" s="85">
        <f>STATS1003B!T2204/1000</f>
        <v>0</v>
      </c>
      <c r="U2200" s="85">
        <f>STATS1003B!U2204/1000</f>
        <v>0</v>
      </c>
      <c r="V2200" s="85">
        <f>STATS1003B!V2204/1000</f>
        <v>0</v>
      </c>
      <c r="W2200" s="85">
        <f>STATS1003B!W2204/1000</f>
        <v>0</v>
      </c>
      <c r="X2200" s="85">
        <f t="shared" si="241"/>
        <v>1099.876</v>
      </c>
      <c r="Y2200" s="85">
        <f>STATS1003B!Y2204/1000</f>
        <v>0</v>
      </c>
      <c r="Z2200" s="85">
        <f t="shared" si="238"/>
        <v>0</v>
      </c>
      <c r="AA2200" s="69">
        <f>STATS1003B!AA2204/1000</f>
        <v>1099.876</v>
      </c>
      <c r="AB2200" s="69">
        <f>STATS1003B!AB2204/1000</f>
        <v>0</v>
      </c>
    </row>
    <row r="2201" spans="1:28" hidden="1" x14ac:dyDescent="0.3">
      <c r="A2201" s="117"/>
      <c r="C2201" s="68" t="s">
        <v>825</v>
      </c>
      <c r="D2201" s="87" t="s">
        <v>54</v>
      </c>
      <c r="E2201" s="85">
        <f>STATS1003B!E2205/1000</f>
        <v>168.86</v>
      </c>
      <c r="F2201" s="85">
        <f>STATS1003B!F2205/1000</f>
        <v>168.86</v>
      </c>
      <c r="G2201" s="85">
        <f>STATS1003B!G2205/1000</f>
        <v>0</v>
      </c>
      <c r="H2201" s="85">
        <f>STATS1003B!H2205/1000</f>
        <v>168.86</v>
      </c>
      <c r="I2201" s="85">
        <f>STATS1003B!I2205/1000</f>
        <v>0</v>
      </c>
      <c r="J2201" s="85">
        <f>STATS1003B!J2205/1000</f>
        <v>168.86</v>
      </c>
      <c r="K2201" s="85">
        <f>STATS1003B!K2205/1000</f>
        <v>0</v>
      </c>
      <c r="L2201" s="85">
        <f>STATS1003B!L2205/1000</f>
        <v>0</v>
      </c>
      <c r="M2201" s="85">
        <f>STATS1003B!M2205/1000</f>
        <v>168.86</v>
      </c>
      <c r="N2201" s="85">
        <f>STATS1003B!N2205/1000</f>
        <v>0</v>
      </c>
      <c r="O2201" s="85">
        <f>STATS1003B!O2205/1000</f>
        <v>0</v>
      </c>
      <c r="P2201" s="85">
        <f>STATS1003B!P2205/1000</f>
        <v>0</v>
      </c>
      <c r="Q2201" s="85">
        <f>STATS1003B!Q2205/1000</f>
        <v>168.86</v>
      </c>
      <c r="R2201" s="85">
        <f>STATS1003B!R2205/1000</f>
        <v>0</v>
      </c>
      <c r="S2201" s="85">
        <f>STATS1003B!S2205/1000</f>
        <v>0</v>
      </c>
      <c r="T2201" s="85">
        <f>STATS1003B!T2205/1000</f>
        <v>0</v>
      </c>
      <c r="U2201" s="85">
        <f>STATS1003B!U2205/1000</f>
        <v>0</v>
      </c>
      <c r="V2201" s="85">
        <f>STATS1003B!V2205/1000</f>
        <v>0</v>
      </c>
      <c r="W2201" s="85">
        <f>STATS1003B!W2205/1000</f>
        <v>0</v>
      </c>
      <c r="X2201" s="85">
        <f t="shared" si="241"/>
        <v>168.86</v>
      </c>
      <c r="Y2201" s="85">
        <f>STATS1003B!Y2205/1000</f>
        <v>0</v>
      </c>
      <c r="Z2201" s="85">
        <f t="shared" si="238"/>
        <v>0</v>
      </c>
      <c r="AA2201" s="69">
        <f>STATS1003B!AA2205/1000</f>
        <v>168.86</v>
      </c>
      <c r="AB2201" s="69">
        <f>STATS1003B!AB2205/1000</f>
        <v>0</v>
      </c>
    </row>
    <row r="2202" spans="1:28" hidden="1" x14ac:dyDescent="0.3">
      <c r="A2202" s="117"/>
      <c r="C2202" s="68" t="s">
        <v>545</v>
      </c>
      <c r="D2202" s="87" t="s">
        <v>54</v>
      </c>
      <c r="E2202" s="85">
        <f>STATS1003B!E2206/1000</f>
        <v>1767.77</v>
      </c>
      <c r="F2202" s="85">
        <f>STATS1003B!F2206/1000</f>
        <v>0</v>
      </c>
      <c r="G2202" s="85">
        <f>STATS1003B!G2206/1000</f>
        <v>0</v>
      </c>
      <c r="H2202" s="85">
        <f>STATS1003B!H2206/1000</f>
        <v>0</v>
      </c>
      <c r="I2202" s="85">
        <f>STATS1003B!I2206/1000</f>
        <v>0</v>
      </c>
      <c r="J2202" s="85">
        <f>STATS1003B!J2206/1000</f>
        <v>0</v>
      </c>
      <c r="K2202" s="85">
        <f>STATS1003B!K2206/1000</f>
        <v>1767.77</v>
      </c>
      <c r="L2202" s="85">
        <f>STATS1003B!L2206/1000</f>
        <v>0</v>
      </c>
      <c r="M2202" s="85">
        <f>STATS1003B!M2206/1000</f>
        <v>0</v>
      </c>
      <c r="N2202" s="85">
        <f>STATS1003B!N2206/1000</f>
        <v>1767.77</v>
      </c>
      <c r="O2202" s="85">
        <f>STATS1003B!O2206/1000</f>
        <v>0</v>
      </c>
      <c r="P2202" s="85">
        <f>STATS1003B!P2206/1000</f>
        <v>1767.77</v>
      </c>
      <c r="Q2202" s="85">
        <f>STATS1003B!Q2206/1000</f>
        <v>0</v>
      </c>
      <c r="R2202" s="85">
        <f>STATS1003B!R2206/1000</f>
        <v>0</v>
      </c>
      <c r="S2202" s="85">
        <f>STATS1003B!S2206/1000</f>
        <v>0</v>
      </c>
      <c r="T2202" s="85">
        <f>STATS1003B!T2206/1000</f>
        <v>0</v>
      </c>
      <c r="U2202" s="85">
        <f>STATS1003B!U2206/1000</f>
        <v>1767.77</v>
      </c>
      <c r="V2202" s="85">
        <f>STATS1003B!V2206/1000</f>
        <v>0</v>
      </c>
      <c r="W2202" s="85">
        <f>STATS1003B!W2206/1000</f>
        <v>0</v>
      </c>
      <c r="X2202" s="85">
        <f t="shared" si="241"/>
        <v>1767.77</v>
      </c>
      <c r="Y2202" s="85">
        <f>STATS1003B!Y2206/1000</f>
        <v>0</v>
      </c>
      <c r="Z2202" s="85">
        <f t="shared" ref="Z2202:Z2265" si="244">+E2202-X2202</f>
        <v>0</v>
      </c>
      <c r="AA2202" s="69">
        <f>STATS1003B!AA2206/1000</f>
        <v>1767.77</v>
      </c>
      <c r="AB2202" s="69">
        <f>STATS1003B!AB2206/1000</f>
        <v>0</v>
      </c>
    </row>
    <row r="2203" spans="1:28" hidden="1" x14ac:dyDescent="0.3">
      <c r="A2203" s="117"/>
      <c r="C2203" s="68" t="s">
        <v>535</v>
      </c>
      <c r="D2203" s="87" t="s">
        <v>85</v>
      </c>
      <c r="E2203" s="85">
        <f>STATS1003B!E2207/1000</f>
        <v>1485</v>
      </c>
      <c r="F2203" s="85">
        <f>STATS1003B!F2207/1000</f>
        <v>1485</v>
      </c>
      <c r="G2203" s="85">
        <f>STATS1003B!G2207/1000</f>
        <v>0</v>
      </c>
      <c r="H2203" s="85">
        <f>STATS1003B!H2207/1000</f>
        <v>1485</v>
      </c>
      <c r="I2203" s="85">
        <f>STATS1003B!I2207/1000</f>
        <v>0</v>
      </c>
      <c r="J2203" s="85">
        <f>STATS1003B!J2207/1000</f>
        <v>1485</v>
      </c>
      <c r="K2203" s="85">
        <f>STATS1003B!K2207/1000</f>
        <v>0</v>
      </c>
      <c r="L2203" s="85">
        <f>STATS1003B!L2207/1000</f>
        <v>0</v>
      </c>
      <c r="M2203" s="85">
        <f>STATS1003B!M2207/1000</f>
        <v>1485</v>
      </c>
      <c r="N2203" s="85">
        <f>STATS1003B!N2207/1000</f>
        <v>0</v>
      </c>
      <c r="O2203" s="85">
        <f>STATS1003B!O2207/1000</f>
        <v>0</v>
      </c>
      <c r="P2203" s="85">
        <f>STATS1003B!P2207/1000</f>
        <v>0</v>
      </c>
      <c r="Q2203" s="85">
        <f>STATS1003B!Q2207/1000</f>
        <v>1485</v>
      </c>
      <c r="R2203" s="85">
        <f>STATS1003B!R2207/1000</f>
        <v>0</v>
      </c>
      <c r="S2203" s="85">
        <f>STATS1003B!S2207/1000</f>
        <v>0</v>
      </c>
      <c r="T2203" s="85">
        <f>STATS1003B!T2207/1000</f>
        <v>0</v>
      </c>
      <c r="U2203" s="85">
        <f>STATS1003B!U2207/1000</f>
        <v>0</v>
      </c>
      <c r="V2203" s="85">
        <f>STATS1003B!V2207/1000</f>
        <v>0</v>
      </c>
      <c r="W2203" s="85">
        <f>STATS1003B!W2207/1000</f>
        <v>0</v>
      </c>
      <c r="X2203" s="85">
        <f t="shared" si="241"/>
        <v>1485</v>
      </c>
      <c r="Y2203" s="85">
        <f>STATS1003B!Y2207/1000</f>
        <v>0</v>
      </c>
      <c r="Z2203" s="85">
        <f t="shared" si="244"/>
        <v>0</v>
      </c>
      <c r="AA2203" s="69">
        <f>STATS1003B!AA2207/1000</f>
        <v>1485</v>
      </c>
      <c r="AB2203" s="69">
        <f>STATS1003B!AB2207/1000</f>
        <v>0</v>
      </c>
    </row>
    <row r="2204" spans="1:28" hidden="1" x14ac:dyDescent="0.3">
      <c r="A2204" s="117"/>
      <c r="C2204" s="68" t="s">
        <v>535</v>
      </c>
      <c r="D2204" s="87" t="s">
        <v>128</v>
      </c>
      <c r="E2204" s="85">
        <f>STATS1003B!E2208/1000</f>
        <v>900</v>
      </c>
      <c r="F2204" s="85">
        <f>STATS1003B!F2208/1000</f>
        <v>900</v>
      </c>
      <c r="G2204" s="85">
        <f>STATS1003B!G2208/1000</f>
        <v>0</v>
      </c>
      <c r="H2204" s="85">
        <f>STATS1003B!H2208/1000</f>
        <v>900</v>
      </c>
      <c r="I2204" s="85">
        <f>STATS1003B!I2208/1000</f>
        <v>0</v>
      </c>
      <c r="J2204" s="85">
        <f>STATS1003B!J2208/1000</f>
        <v>900</v>
      </c>
      <c r="K2204" s="85">
        <f>STATS1003B!K2208/1000</f>
        <v>0</v>
      </c>
      <c r="L2204" s="85">
        <f>STATS1003B!L2208/1000</f>
        <v>0</v>
      </c>
      <c r="M2204" s="85">
        <f>STATS1003B!M2208/1000</f>
        <v>900</v>
      </c>
      <c r="N2204" s="85">
        <f>STATS1003B!N2208/1000</f>
        <v>0</v>
      </c>
      <c r="O2204" s="85">
        <f>STATS1003B!O2208/1000</f>
        <v>0</v>
      </c>
      <c r="P2204" s="85">
        <f>STATS1003B!P2208/1000</f>
        <v>0</v>
      </c>
      <c r="Q2204" s="85">
        <f>STATS1003B!Q2208/1000</f>
        <v>900</v>
      </c>
      <c r="R2204" s="85">
        <f>STATS1003B!R2208/1000</f>
        <v>0</v>
      </c>
      <c r="S2204" s="85">
        <f>STATS1003B!S2208/1000</f>
        <v>0</v>
      </c>
      <c r="T2204" s="85">
        <f>STATS1003B!T2208/1000</f>
        <v>0</v>
      </c>
      <c r="U2204" s="85">
        <f>STATS1003B!U2208/1000</f>
        <v>0</v>
      </c>
      <c r="V2204" s="85">
        <f>STATS1003B!V2208/1000</f>
        <v>0</v>
      </c>
      <c r="W2204" s="85">
        <f>STATS1003B!W2208/1000</f>
        <v>0</v>
      </c>
      <c r="X2204" s="85">
        <f t="shared" si="241"/>
        <v>900</v>
      </c>
      <c r="Y2204" s="85">
        <f>STATS1003B!Y2208/1000</f>
        <v>0</v>
      </c>
      <c r="Z2204" s="85">
        <f t="shared" si="244"/>
        <v>0</v>
      </c>
      <c r="AA2204" s="69">
        <f>STATS1003B!AA2208/1000</f>
        <v>900</v>
      </c>
      <c r="AB2204" s="69">
        <f>STATS1003B!AB2208/1000</f>
        <v>0</v>
      </c>
    </row>
    <row r="2205" spans="1:28" hidden="1" x14ac:dyDescent="0.3">
      <c r="A2205" s="117"/>
      <c r="C2205" s="68" t="s">
        <v>535</v>
      </c>
      <c r="D2205" s="87" t="s">
        <v>108</v>
      </c>
      <c r="E2205" s="85">
        <f>STATS1003B!E2209/1000</f>
        <v>3230.6407599999998</v>
      </c>
      <c r="F2205" s="85">
        <f>STATS1003B!F2209/1000</f>
        <v>3230.6407599999998</v>
      </c>
      <c r="G2205" s="85">
        <f>STATS1003B!G2209/1000</f>
        <v>0</v>
      </c>
      <c r="H2205" s="85">
        <f>STATS1003B!H2209/1000</f>
        <v>3230.6407599999998</v>
      </c>
      <c r="I2205" s="85">
        <f>STATS1003B!I2209/1000</f>
        <v>0</v>
      </c>
      <c r="J2205" s="85">
        <f>STATS1003B!J2209/1000</f>
        <v>3230.6407599999998</v>
      </c>
      <c r="K2205" s="85">
        <f>STATS1003B!K2209/1000</f>
        <v>0</v>
      </c>
      <c r="L2205" s="85">
        <f>STATS1003B!L2209/1000</f>
        <v>0</v>
      </c>
      <c r="M2205" s="85">
        <f>STATS1003B!M2209/1000</f>
        <v>3230.6407599999998</v>
      </c>
      <c r="N2205" s="85">
        <f>STATS1003B!N2209/1000</f>
        <v>0</v>
      </c>
      <c r="O2205" s="85">
        <f>STATS1003B!O2209/1000</f>
        <v>0</v>
      </c>
      <c r="P2205" s="85">
        <f>STATS1003B!P2209/1000</f>
        <v>0</v>
      </c>
      <c r="Q2205" s="85">
        <f>STATS1003B!Q2209/1000</f>
        <v>3230.6407599999998</v>
      </c>
      <c r="R2205" s="85">
        <f>STATS1003B!R2209/1000</f>
        <v>0</v>
      </c>
      <c r="S2205" s="85">
        <f>STATS1003B!S2209/1000</f>
        <v>0</v>
      </c>
      <c r="T2205" s="85">
        <f>STATS1003B!T2209/1000</f>
        <v>0</v>
      </c>
      <c r="U2205" s="85">
        <f>STATS1003B!U2209/1000</f>
        <v>0</v>
      </c>
      <c r="V2205" s="85">
        <f>STATS1003B!V2209/1000</f>
        <v>0</v>
      </c>
      <c r="W2205" s="85">
        <f>STATS1003B!W2209/1000</f>
        <v>0</v>
      </c>
      <c r="X2205" s="85">
        <f t="shared" si="241"/>
        <v>3230.6407599999998</v>
      </c>
      <c r="Y2205" s="85">
        <f>STATS1003B!Y2209/1000</f>
        <v>0</v>
      </c>
      <c r="Z2205" s="85">
        <f t="shared" si="244"/>
        <v>0</v>
      </c>
      <c r="AA2205" s="69">
        <f>STATS1003B!AA2209/1000</f>
        <v>3230.6407599999998</v>
      </c>
      <c r="AB2205" s="69">
        <f>STATS1003B!AB2209/1000</f>
        <v>0</v>
      </c>
    </row>
    <row r="2206" spans="1:28" hidden="1" x14ac:dyDescent="0.3">
      <c r="A2206" s="117"/>
      <c r="C2206" s="68" t="s">
        <v>801</v>
      </c>
      <c r="D2206" s="87" t="s">
        <v>108</v>
      </c>
      <c r="E2206" s="85">
        <f>STATS1003B!E2210/1000</f>
        <v>250</v>
      </c>
      <c r="F2206" s="85">
        <f>STATS1003B!F2210/1000</f>
        <v>250</v>
      </c>
      <c r="G2206" s="85">
        <f>STATS1003B!G2210/1000</f>
        <v>0</v>
      </c>
      <c r="H2206" s="85">
        <f>STATS1003B!H2210/1000</f>
        <v>250</v>
      </c>
      <c r="I2206" s="85">
        <f>STATS1003B!I2210/1000</f>
        <v>0</v>
      </c>
      <c r="J2206" s="85">
        <f>STATS1003B!J2210/1000</f>
        <v>250</v>
      </c>
      <c r="K2206" s="85">
        <f>STATS1003B!K2210/1000</f>
        <v>0</v>
      </c>
      <c r="L2206" s="85">
        <f>STATS1003B!L2210/1000</f>
        <v>0</v>
      </c>
      <c r="M2206" s="85">
        <f>STATS1003B!M2210/1000</f>
        <v>250</v>
      </c>
      <c r="N2206" s="85">
        <f>STATS1003B!N2210/1000</f>
        <v>0</v>
      </c>
      <c r="O2206" s="85">
        <f>STATS1003B!O2210/1000</f>
        <v>0</v>
      </c>
      <c r="P2206" s="85">
        <f>STATS1003B!P2210/1000</f>
        <v>0</v>
      </c>
      <c r="Q2206" s="85">
        <f>STATS1003B!Q2210/1000</f>
        <v>250</v>
      </c>
      <c r="R2206" s="85">
        <f>STATS1003B!R2210/1000</f>
        <v>0</v>
      </c>
      <c r="S2206" s="85">
        <f>STATS1003B!S2210/1000</f>
        <v>0</v>
      </c>
      <c r="T2206" s="85">
        <f>STATS1003B!T2210/1000</f>
        <v>0</v>
      </c>
      <c r="U2206" s="85">
        <f>STATS1003B!U2210/1000</f>
        <v>0</v>
      </c>
      <c r="V2206" s="85">
        <f>STATS1003B!V2210/1000</f>
        <v>0</v>
      </c>
      <c r="W2206" s="85">
        <f>STATS1003B!W2210/1000</f>
        <v>0</v>
      </c>
      <c r="X2206" s="85">
        <f t="shared" si="241"/>
        <v>250</v>
      </c>
      <c r="Y2206" s="85">
        <f>STATS1003B!Y2210/1000</f>
        <v>0</v>
      </c>
      <c r="Z2206" s="85">
        <f t="shared" si="244"/>
        <v>0</v>
      </c>
      <c r="AA2206" s="69">
        <f>STATS1003B!AA2210/1000</f>
        <v>250</v>
      </c>
      <c r="AB2206" s="69">
        <f>STATS1003B!AB2210/1000</f>
        <v>0</v>
      </c>
    </row>
    <row r="2207" spans="1:28" hidden="1" x14ac:dyDescent="0.3">
      <c r="A2207" s="117"/>
      <c r="C2207" s="68" t="s">
        <v>535</v>
      </c>
      <c r="D2207" s="87" t="s">
        <v>58</v>
      </c>
      <c r="E2207" s="85">
        <f>STATS1003B!E2211/1000</f>
        <v>4219.3201500000005</v>
      </c>
      <c r="F2207" s="85">
        <f>STATS1003B!F2211/1000</f>
        <v>4219.3201500000005</v>
      </c>
      <c r="G2207" s="85">
        <f>STATS1003B!G2211/1000</f>
        <v>0</v>
      </c>
      <c r="H2207" s="85">
        <f>STATS1003B!H2211/1000</f>
        <v>4219.3201500000005</v>
      </c>
      <c r="I2207" s="85">
        <f>STATS1003B!I2211/1000</f>
        <v>0</v>
      </c>
      <c r="J2207" s="85">
        <f>STATS1003B!J2211/1000</f>
        <v>4219.3201500000005</v>
      </c>
      <c r="K2207" s="85">
        <f>STATS1003B!K2211/1000</f>
        <v>0</v>
      </c>
      <c r="L2207" s="85">
        <f>STATS1003B!L2211/1000</f>
        <v>0</v>
      </c>
      <c r="M2207" s="85">
        <f>STATS1003B!M2211/1000</f>
        <v>4219.3201500000005</v>
      </c>
      <c r="N2207" s="85">
        <f>STATS1003B!N2211/1000</f>
        <v>0</v>
      </c>
      <c r="O2207" s="85">
        <f>STATS1003B!O2211/1000</f>
        <v>0</v>
      </c>
      <c r="P2207" s="85">
        <f>STATS1003B!P2211/1000</f>
        <v>0</v>
      </c>
      <c r="Q2207" s="85">
        <f>STATS1003B!Q2211/1000</f>
        <v>4219.3201500000005</v>
      </c>
      <c r="R2207" s="85">
        <f>STATS1003B!R2211/1000</f>
        <v>0</v>
      </c>
      <c r="S2207" s="85">
        <f>STATS1003B!S2211/1000</f>
        <v>0</v>
      </c>
      <c r="T2207" s="85">
        <f>STATS1003B!T2211/1000</f>
        <v>0</v>
      </c>
      <c r="U2207" s="85">
        <f>STATS1003B!U2211/1000</f>
        <v>0</v>
      </c>
      <c r="V2207" s="85">
        <f>STATS1003B!V2211/1000</f>
        <v>0</v>
      </c>
      <c r="W2207" s="85">
        <f>STATS1003B!W2211/1000</f>
        <v>0</v>
      </c>
      <c r="X2207" s="85">
        <f t="shared" si="241"/>
        <v>4219.3201500000005</v>
      </c>
      <c r="Y2207" s="85">
        <f>STATS1003B!Y2211/1000</f>
        <v>0</v>
      </c>
      <c r="Z2207" s="85">
        <f t="shared" si="244"/>
        <v>0</v>
      </c>
      <c r="AA2207" s="69">
        <f>STATS1003B!AA2211/1000</f>
        <v>4219.3201500000005</v>
      </c>
      <c r="AB2207" s="69">
        <f>STATS1003B!AB2211/1000</f>
        <v>0</v>
      </c>
    </row>
    <row r="2208" spans="1:28" hidden="1" x14ac:dyDescent="0.3">
      <c r="A2208" s="117"/>
      <c r="C2208" s="68" t="s">
        <v>535</v>
      </c>
      <c r="D2208" s="87" t="s">
        <v>60</v>
      </c>
      <c r="E2208" s="85">
        <f>STATS1003B!E2212/1000</f>
        <v>9464.3649999999998</v>
      </c>
      <c r="F2208" s="85">
        <f>STATS1003B!F2212/1000</f>
        <v>9464.3649999999998</v>
      </c>
      <c r="G2208" s="85">
        <f>STATS1003B!G2212/1000</f>
        <v>0</v>
      </c>
      <c r="H2208" s="85">
        <f>STATS1003B!H2212/1000</f>
        <v>9464.3649999999998</v>
      </c>
      <c r="I2208" s="85">
        <f>STATS1003B!I2212/1000</f>
        <v>0</v>
      </c>
      <c r="J2208" s="85">
        <f>STATS1003B!J2212/1000</f>
        <v>9464.3649999999998</v>
      </c>
      <c r="K2208" s="85">
        <f>STATS1003B!K2212/1000</f>
        <v>0</v>
      </c>
      <c r="L2208" s="85">
        <f>STATS1003B!L2212/1000</f>
        <v>0</v>
      </c>
      <c r="M2208" s="85">
        <f>STATS1003B!M2212/1000</f>
        <v>9464.3649999999998</v>
      </c>
      <c r="N2208" s="85">
        <f>STATS1003B!N2212/1000</f>
        <v>0</v>
      </c>
      <c r="O2208" s="85">
        <f>STATS1003B!O2212/1000</f>
        <v>0</v>
      </c>
      <c r="P2208" s="85">
        <f>STATS1003B!P2212/1000</f>
        <v>0</v>
      </c>
      <c r="Q2208" s="85">
        <f>STATS1003B!Q2212/1000</f>
        <v>9464.3649999999998</v>
      </c>
      <c r="R2208" s="85">
        <f>STATS1003B!R2212/1000</f>
        <v>0</v>
      </c>
      <c r="S2208" s="85">
        <f>STATS1003B!S2212/1000</f>
        <v>0</v>
      </c>
      <c r="T2208" s="85">
        <f>STATS1003B!T2212/1000</f>
        <v>0</v>
      </c>
      <c r="U2208" s="85">
        <f>STATS1003B!U2212/1000</f>
        <v>0</v>
      </c>
      <c r="V2208" s="85">
        <f>STATS1003B!V2212/1000</f>
        <v>0</v>
      </c>
      <c r="W2208" s="85">
        <f>STATS1003B!W2212/1000</f>
        <v>0</v>
      </c>
      <c r="X2208" s="85">
        <f t="shared" si="241"/>
        <v>9464.3649999999998</v>
      </c>
      <c r="Y2208" s="85">
        <f>STATS1003B!Y2212/1000</f>
        <v>0</v>
      </c>
      <c r="Z2208" s="85">
        <f t="shared" si="244"/>
        <v>0</v>
      </c>
      <c r="AA2208" s="69">
        <f>STATS1003B!AA2212/1000</f>
        <v>9464.3649999999998</v>
      </c>
      <c r="AB2208" s="69">
        <f>STATS1003B!AB2212/1000</f>
        <v>0</v>
      </c>
    </row>
    <row r="2209" spans="1:28" hidden="1" x14ac:dyDescent="0.3">
      <c r="A2209" s="117"/>
      <c r="C2209" s="68" t="s">
        <v>535</v>
      </c>
      <c r="D2209" s="87" t="s">
        <v>73</v>
      </c>
      <c r="E2209" s="85">
        <f>STATS1003B!E2213/1000</f>
        <v>2499.9009999999998</v>
      </c>
      <c r="F2209" s="85">
        <f>STATS1003B!F2213/1000</f>
        <v>2499.9009999999998</v>
      </c>
      <c r="G2209" s="85">
        <f>STATS1003B!G2213/1000</f>
        <v>0</v>
      </c>
      <c r="H2209" s="85">
        <f>STATS1003B!H2213/1000</f>
        <v>2499.9009999999998</v>
      </c>
      <c r="I2209" s="85">
        <f>STATS1003B!I2213/1000</f>
        <v>0</v>
      </c>
      <c r="J2209" s="85">
        <f>STATS1003B!J2213/1000</f>
        <v>2499.9009999999998</v>
      </c>
      <c r="K2209" s="85">
        <f>STATS1003B!K2213/1000</f>
        <v>0</v>
      </c>
      <c r="L2209" s="85">
        <f>STATS1003B!L2213/1000</f>
        <v>0</v>
      </c>
      <c r="M2209" s="85">
        <f>STATS1003B!M2213/1000</f>
        <v>2499.9009999999998</v>
      </c>
      <c r="N2209" s="85">
        <f>STATS1003B!N2213/1000</f>
        <v>0</v>
      </c>
      <c r="O2209" s="85">
        <f>STATS1003B!O2213/1000</f>
        <v>0</v>
      </c>
      <c r="P2209" s="85">
        <f>STATS1003B!P2213/1000</f>
        <v>0</v>
      </c>
      <c r="Q2209" s="85">
        <f>STATS1003B!Q2213/1000</f>
        <v>2499.9009999999998</v>
      </c>
      <c r="R2209" s="85">
        <f>STATS1003B!R2213/1000</f>
        <v>0</v>
      </c>
      <c r="S2209" s="85">
        <f>STATS1003B!S2213/1000</f>
        <v>0</v>
      </c>
      <c r="T2209" s="85">
        <f>STATS1003B!T2213/1000</f>
        <v>0</v>
      </c>
      <c r="U2209" s="85">
        <f>STATS1003B!U2213/1000</f>
        <v>0</v>
      </c>
      <c r="V2209" s="85">
        <f>STATS1003B!V2213/1000</f>
        <v>0</v>
      </c>
      <c r="W2209" s="85">
        <f>STATS1003B!W2213/1000</f>
        <v>0</v>
      </c>
      <c r="X2209" s="85">
        <f t="shared" si="241"/>
        <v>2499.9009999999998</v>
      </c>
      <c r="Y2209" s="85">
        <f>STATS1003B!Y2213/1000</f>
        <v>0</v>
      </c>
      <c r="Z2209" s="85">
        <f t="shared" si="244"/>
        <v>0</v>
      </c>
      <c r="AA2209" s="69">
        <f>STATS1003B!AA2213/1000</f>
        <v>2499.9009999999998</v>
      </c>
      <c r="AB2209" s="69">
        <f>STATS1003B!AB2213/1000</f>
        <v>0</v>
      </c>
    </row>
    <row r="2210" spans="1:28" hidden="1" x14ac:dyDescent="0.3">
      <c r="A2210" s="117"/>
      <c r="C2210" s="68" t="s">
        <v>535</v>
      </c>
      <c r="D2210" s="87" t="s">
        <v>61</v>
      </c>
      <c r="E2210" s="85">
        <f>STATS1003B!E2214/1000</f>
        <v>2014.6506999999999</v>
      </c>
      <c r="F2210" s="85">
        <f>STATS1003B!F2214/1000</f>
        <v>2000</v>
      </c>
      <c r="G2210" s="85">
        <f>STATS1003B!G2214/1000</f>
        <v>0</v>
      </c>
      <c r="H2210" s="85">
        <f>STATS1003B!H2214/1000</f>
        <v>2000</v>
      </c>
      <c r="I2210" s="85">
        <f>STATS1003B!I2214/1000</f>
        <v>0</v>
      </c>
      <c r="J2210" s="85">
        <f>STATS1003B!J2214/1000</f>
        <v>2000</v>
      </c>
      <c r="K2210" s="85">
        <f>STATS1003B!K2214/1000</f>
        <v>0</v>
      </c>
      <c r="L2210" s="85">
        <f>STATS1003B!L2214/1000</f>
        <v>0</v>
      </c>
      <c r="M2210" s="85">
        <f>STATS1003B!M2214/1000</f>
        <v>2000</v>
      </c>
      <c r="N2210" s="85">
        <f>STATS1003B!N2214/1000</f>
        <v>0</v>
      </c>
      <c r="O2210" s="85">
        <f>STATS1003B!O2214/1000</f>
        <v>0</v>
      </c>
      <c r="P2210" s="85">
        <f>STATS1003B!P2214/1000</f>
        <v>0</v>
      </c>
      <c r="Q2210" s="85">
        <f>STATS1003B!Q2214/1000</f>
        <v>2014.6506999999999</v>
      </c>
      <c r="R2210" s="85">
        <f>STATS1003B!R2214/1000</f>
        <v>0</v>
      </c>
      <c r="S2210" s="85">
        <f>STATS1003B!S2214/1000</f>
        <v>0</v>
      </c>
      <c r="T2210" s="85">
        <f>STATS1003B!T2214/1000</f>
        <v>14.650700000000001</v>
      </c>
      <c r="U2210" s="85">
        <f>STATS1003B!U2214/1000</f>
        <v>14.650700000000001</v>
      </c>
      <c r="V2210" s="85">
        <f>STATS1003B!V2214/1000</f>
        <v>0</v>
      </c>
      <c r="W2210" s="85">
        <f>STATS1003B!W2214/1000</f>
        <v>0</v>
      </c>
      <c r="X2210" s="85">
        <f t="shared" si="241"/>
        <v>2000</v>
      </c>
      <c r="Y2210" s="85">
        <f>STATS1003B!Y2214/1000</f>
        <v>0</v>
      </c>
      <c r="Z2210" s="85">
        <f t="shared" si="244"/>
        <v>14.650699999999915</v>
      </c>
      <c r="AA2210" s="69">
        <f>STATS1003B!AA2214/1000</f>
        <v>2014.6506999999999</v>
      </c>
      <c r="AB2210" s="69">
        <f>STATS1003B!AB2214/1000</f>
        <v>0</v>
      </c>
    </row>
    <row r="2211" spans="1:28" hidden="1" x14ac:dyDescent="0.3">
      <c r="A2211" s="117"/>
      <c r="C2211" s="68" t="s">
        <v>898</v>
      </c>
      <c r="D2211" s="87"/>
      <c r="E2211" s="85">
        <f>STATS1003B!E2215/1000</f>
        <v>20.820689999999999</v>
      </c>
      <c r="F2211" s="85">
        <f>STATS1003B!F2215/1000</f>
        <v>0</v>
      </c>
      <c r="G2211" s="85">
        <f>STATS1003B!G2215/1000</f>
        <v>0</v>
      </c>
      <c r="H2211" s="85">
        <f>STATS1003B!H2215/1000</f>
        <v>0</v>
      </c>
      <c r="I2211" s="85">
        <f>STATS1003B!I2215/1000</f>
        <v>0</v>
      </c>
      <c r="J2211" s="85">
        <f>STATS1003B!J2215/1000</f>
        <v>0</v>
      </c>
      <c r="K2211" s="85">
        <f>STATS1003B!K2215/1000</f>
        <v>0</v>
      </c>
      <c r="L2211" s="85">
        <f>STATS1003B!L2215/1000</f>
        <v>0</v>
      </c>
      <c r="M2211" s="85">
        <f>STATS1003B!M2215/1000</f>
        <v>0</v>
      </c>
      <c r="N2211" s="85">
        <f>STATS1003B!N2215/1000</f>
        <v>20.820689999999999</v>
      </c>
      <c r="O2211" s="85">
        <f>STATS1003B!O2215/1000</f>
        <v>0</v>
      </c>
      <c r="P2211" s="85">
        <f>STATS1003B!P2215/1000</f>
        <v>20.820689999999999</v>
      </c>
      <c r="Q2211" s="85">
        <f>STATS1003B!Q2215/1000</f>
        <v>0</v>
      </c>
      <c r="R2211" s="85">
        <f>STATS1003B!R2215/1000</f>
        <v>0</v>
      </c>
      <c r="S2211" s="85">
        <f>STATS1003B!S2215/1000</f>
        <v>0</v>
      </c>
      <c r="T2211" s="85">
        <f>STATS1003B!T2215/1000</f>
        <v>0</v>
      </c>
      <c r="U2211" s="85">
        <f>STATS1003B!U2215/1000</f>
        <v>20.820689999999999</v>
      </c>
      <c r="V2211" s="85">
        <f>STATS1003B!V2215/1000</f>
        <v>0</v>
      </c>
      <c r="W2211" s="85">
        <f>STATS1003B!W2215/1000</f>
        <v>0</v>
      </c>
      <c r="X2211" s="85">
        <f t="shared" si="241"/>
        <v>20.820689999999999</v>
      </c>
      <c r="Y2211" s="85">
        <f>STATS1003B!Y2215/1000</f>
        <v>0</v>
      </c>
      <c r="Z2211" s="85">
        <f t="shared" si="244"/>
        <v>0</v>
      </c>
      <c r="AA2211" s="69">
        <f>STATS1003B!AA2215/1000</f>
        <v>20.820689999999999</v>
      </c>
      <c r="AB2211" s="69">
        <f>STATS1003B!AB2215/1000</f>
        <v>0</v>
      </c>
    </row>
    <row r="2212" spans="1:28" hidden="1" x14ac:dyDescent="0.3">
      <c r="A2212" s="117"/>
      <c r="C2212" s="68" t="s">
        <v>933</v>
      </c>
      <c r="D2212" s="90" t="s">
        <v>1072</v>
      </c>
      <c r="E2212" s="85">
        <f>STATS1003B!E2216/1000</f>
        <v>2939.2615099999998</v>
      </c>
      <c r="F2212" s="85">
        <f>STATS1003B!F2216/1000</f>
        <v>2939.2615099999998</v>
      </c>
      <c r="G2212" s="85">
        <f>STATS1003B!G2216/1000</f>
        <v>0</v>
      </c>
      <c r="H2212" s="85">
        <f>STATS1003B!H2216/1000</f>
        <v>2939.2615099999998</v>
      </c>
      <c r="I2212" s="85">
        <f>STATS1003B!I2216/1000</f>
        <v>0</v>
      </c>
      <c r="J2212" s="85">
        <f>STATS1003B!J2216/1000</f>
        <v>2939.2615099999998</v>
      </c>
      <c r="K2212" s="85">
        <f>STATS1003B!K2216/1000</f>
        <v>0</v>
      </c>
      <c r="L2212" s="85">
        <f>STATS1003B!L2216/1000</f>
        <v>0</v>
      </c>
      <c r="M2212" s="85">
        <f>STATS1003B!M2216/1000</f>
        <v>2939.2615099999998</v>
      </c>
      <c r="N2212" s="85">
        <f>STATS1003B!N2216/1000</f>
        <v>0</v>
      </c>
      <c r="O2212" s="85">
        <f>STATS1003B!O2216/1000</f>
        <v>0</v>
      </c>
      <c r="P2212" s="85">
        <f>STATS1003B!P2216/1000</f>
        <v>0</v>
      </c>
      <c r="Q2212" s="85">
        <f>STATS1003B!Q2216/1000</f>
        <v>0</v>
      </c>
      <c r="R2212" s="85">
        <f>STATS1003B!R2216/1000</f>
        <v>0</v>
      </c>
      <c r="S2212" s="85">
        <f>STATS1003B!S2216/1000</f>
        <v>0</v>
      </c>
      <c r="T2212" s="85">
        <f>STATS1003B!T2216/1000</f>
        <v>0</v>
      </c>
      <c r="U2212" s="85">
        <f>STATS1003B!U2216/1000</f>
        <v>0</v>
      </c>
      <c r="V2212" s="85">
        <f>STATS1003B!V2216/1000</f>
        <v>0</v>
      </c>
      <c r="W2212" s="85">
        <f>STATS1003B!W2216/1000</f>
        <v>0</v>
      </c>
      <c r="X2212" s="85">
        <f t="shared" si="241"/>
        <v>2939.2615099999998</v>
      </c>
      <c r="Y2212" s="85">
        <f>STATS1003B!Y2216/1000</f>
        <v>0</v>
      </c>
      <c r="Z2212" s="85">
        <f t="shared" si="244"/>
        <v>0</v>
      </c>
      <c r="AA2212" s="69">
        <f>STATS1003B!AA2216/1000</f>
        <v>2939.2615099999998</v>
      </c>
      <c r="AB2212" s="69">
        <f>STATS1003B!AB2216/1000</f>
        <v>0</v>
      </c>
    </row>
    <row r="2213" spans="1:28" hidden="1" x14ac:dyDescent="0.3">
      <c r="A2213" s="117"/>
      <c r="C2213" s="68" t="s">
        <v>1173</v>
      </c>
      <c r="D2213" s="90" t="s">
        <v>1126</v>
      </c>
      <c r="E2213" s="85">
        <f>STATS1003B!E2217/1000</f>
        <v>7367.7393600000005</v>
      </c>
      <c r="F2213" s="85">
        <f>STATS1003B!F2217/1000</f>
        <v>7367.7393600000005</v>
      </c>
      <c r="G2213" s="85">
        <f>STATS1003B!G2217/1000</f>
        <v>0</v>
      </c>
      <c r="H2213" s="85">
        <f>STATS1003B!H2217/1000</f>
        <v>7367.7393600000005</v>
      </c>
      <c r="I2213" s="85">
        <f>STATS1003B!I2217/1000</f>
        <v>0</v>
      </c>
      <c r="J2213" s="85">
        <f>STATS1003B!J2217/1000</f>
        <v>7367.7393600000005</v>
      </c>
      <c r="K2213" s="85">
        <f>STATS1003B!K2217/1000</f>
        <v>0</v>
      </c>
      <c r="L2213" s="85">
        <f>STATS1003B!L2217/1000</f>
        <v>0</v>
      </c>
      <c r="M2213" s="85">
        <f>STATS1003B!M2217/1000</f>
        <v>7367.7393600000005</v>
      </c>
      <c r="N2213" s="85">
        <f>STATS1003B!N2217/1000</f>
        <v>0</v>
      </c>
      <c r="O2213" s="85">
        <f>STATS1003B!O2217/1000</f>
        <v>0</v>
      </c>
      <c r="P2213" s="85">
        <f>STATS1003B!P2217/1000</f>
        <v>0</v>
      </c>
      <c r="Q2213" s="85">
        <f>STATS1003B!Q2217/1000</f>
        <v>0</v>
      </c>
      <c r="R2213" s="85">
        <f>STATS1003B!R2217/1000</f>
        <v>0</v>
      </c>
      <c r="S2213" s="85">
        <f>STATS1003B!S2217/1000</f>
        <v>0</v>
      </c>
      <c r="T2213" s="85">
        <f>STATS1003B!T2217/1000</f>
        <v>0</v>
      </c>
      <c r="U2213" s="85">
        <f>STATS1003B!U2217/1000</f>
        <v>0</v>
      </c>
      <c r="V2213" s="85">
        <f>STATS1003B!V2217/1000</f>
        <v>0</v>
      </c>
      <c r="W2213" s="85">
        <f>STATS1003B!W2217/1000</f>
        <v>0</v>
      </c>
      <c r="X2213" s="85">
        <f t="shared" si="241"/>
        <v>7367.7393600000005</v>
      </c>
      <c r="Y2213" s="85">
        <f>STATS1003B!Y2217/1000</f>
        <v>0</v>
      </c>
      <c r="Z2213" s="85">
        <f t="shared" si="244"/>
        <v>0</v>
      </c>
      <c r="AA2213" s="69">
        <f>STATS1003B!AA2217/1000</f>
        <v>7367.7393600000005</v>
      </c>
      <c r="AB2213" s="69">
        <f>STATS1003B!AB2217/1000</f>
        <v>0</v>
      </c>
    </row>
    <row r="2214" spans="1:28" hidden="1" x14ac:dyDescent="0.3">
      <c r="A2214" s="117"/>
      <c r="C2214" s="71" t="s">
        <v>568</v>
      </c>
      <c r="E2214" s="85">
        <f>STATS1003B!E2218/1000</f>
        <v>873.73964999999998</v>
      </c>
      <c r="F2214" s="85">
        <f>STATS1003B!F2218/1000</f>
        <v>873.73964999999998</v>
      </c>
      <c r="G2214" s="85">
        <f>STATS1003B!G2218/1000</f>
        <v>0</v>
      </c>
      <c r="H2214" s="85">
        <f>STATS1003B!H2218/1000</f>
        <v>873.73964999999998</v>
      </c>
      <c r="I2214" s="85">
        <f>STATS1003B!I2218/1000</f>
        <v>0</v>
      </c>
      <c r="J2214" s="85">
        <f>STATS1003B!J2218/1000</f>
        <v>873.73964999999998</v>
      </c>
      <c r="K2214" s="85">
        <f>STATS1003B!K2218/1000</f>
        <v>0</v>
      </c>
      <c r="L2214" s="85">
        <f>STATS1003B!L2218/1000</f>
        <v>0</v>
      </c>
      <c r="M2214" s="85">
        <f>STATS1003B!M2218/1000</f>
        <v>873.73964999999998</v>
      </c>
      <c r="N2214" s="85">
        <f>STATS1003B!N2218/1000</f>
        <v>0</v>
      </c>
      <c r="O2214" s="85">
        <f>STATS1003B!O2218/1000</f>
        <v>0</v>
      </c>
      <c r="P2214" s="85">
        <f>STATS1003B!P2218/1000</f>
        <v>0</v>
      </c>
      <c r="Q2214" s="85">
        <f>STATS1003B!Q2218/1000</f>
        <v>873.73964999999998</v>
      </c>
      <c r="R2214" s="85">
        <f>STATS1003B!R2218/1000</f>
        <v>0</v>
      </c>
      <c r="S2214" s="85">
        <f>STATS1003B!S2218/1000</f>
        <v>0</v>
      </c>
      <c r="T2214" s="85">
        <f>STATS1003B!T2218/1000</f>
        <v>0</v>
      </c>
      <c r="U2214" s="85">
        <f>STATS1003B!U2218/1000</f>
        <v>0</v>
      </c>
      <c r="V2214" s="85">
        <f>STATS1003B!V2218/1000</f>
        <v>0</v>
      </c>
      <c r="W2214" s="85">
        <f>STATS1003B!W2218/1000</f>
        <v>0</v>
      </c>
      <c r="X2214" s="85">
        <f t="shared" si="241"/>
        <v>873.73964999999998</v>
      </c>
      <c r="Y2214" s="85">
        <f>STATS1003B!Y2218/1000</f>
        <v>0</v>
      </c>
      <c r="Z2214" s="85">
        <f t="shared" si="244"/>
        <v>0</v>
      </c>
      <c r="AA2214" s="69">
        <f>STATS1003B!AA2218/1000</f>
        <v>873.73964999999998</v>
      </c>
      <c r="AB2214" s="69">
        <f>STATS1003B!AB2218/1000</f>
        <v>0</v>
      </c>
    </row>
    <row r="2215" spans="1:28" hidden="1" x14ac:dyDescent="0.3">
      <c r="A2215" s="117"/>
      <c r="C2215" s="68" t="s">
        <v>598</v>
      </c>
      <c r="E2215" s="85">
        <f>STATS1003B!E2219/1000</f>
        <v>631.32029</v>
      </c>
      <c r="F2215" s="85">
        <f>STATS1003B!F2219/1000</f>
        <v>631.32029</v>
      </c>
      <c r="G2215" s="85">
        <f>STATS1003B!G2219/1000</f>
        <v>0</v>
      </c>
      <c r="H2215" s="85">
        <f>STATS1003B!H2219/1000</f>
        <v>631.32029</v>
      </c>
      <c r="I2215" s="85">
        <f>STATS1003B!I2219/1000</f>
        <v>0</v>
      </c>
      <c r="J2215" s="85">
        <f>STATS1003B!J2219/1000</f>
        <v>631.32029</v>
      </c>
      <c r="K2215" s="85">
        <f>STATS1003B!K2219/1000</f>
        <v>0</v>
      </c>
      <c r="L2215" s="85">
        <f>STATS1003B!L2219/1000</f>
        <v>0</v>
      </c>
      <c r="M2215" s="85">
        <f>STATS1003B!M2219/1000</f>
        <v>631.32029</v>
      </c>
      <c r="N2215" s="85">
        <f>STATS1003B!N2219/1000</f>
        <v>0</v>
      </c>
      <c r="O2215" s="85">
        <f>STATS1003B!O2219/1000</f>
        <v>0</v>
      </c>
      <c r="P2215" s="85">
        <f>STATS1003B!P2219/1000</f>
        <v>0</v>
      </c>
      <c r="Q2215" s="85">
        <f>STATS1003B!Q2219/1000</f>
        <v>631.32029</v>
      </c>
      <c r="R2215" s="85">
        <f>STATS1003B!R2219/1000</f>
        <v>0</v>
      </c>
      <c r="S2215" s="85">
        <f>STATS1003B!S2219/1000</f>
        <v>0</v>
      </c>
      <c r="T2215" s="85">
        <f>STATS1003B!T2219/1000</f>
        <v>0</v>
      </c>
      <c r="U2215" s="85">
        <f>STATS1003B!U2219/1000</f>
        <v>0</v>
      </c>
      <c r="V2215" s="85">
        <f>STATS1003B!V2219/1000</f>
        <v>0</v>
      </c>
      <c r="W2215" s="85">
        <f>STATS1003B!W2219/1000</f>
        <v>0</v>
      </c>
      <c r="X2215" s="85">
        <f t="shared" si="241"/>
        <v>631.32029</v>
      </c>
      <c r="Y2215" s="85">
        <f>STATS1003B!Y2219/1000</f>
        <v>0</v>
      </c>
      <c r="Z2215" s="85">
        <f t="shared" si="244"/>
        <v>0</v>
      </c>
      <c r="AA2215" s="69">
        <f>STATS1003B!AA2219/1000</f>
        <v>631.32029</v>
      </c>
      <c r="AB2215" s="69">
        <f>STATS1003B!AB2219/1000</f>
        <v>0</v>
      </c>
    </row>
    <row r="2216" spans="1:28" hidden="1" x14ac:dyDescent="0.3">
      <c r="A2216" s="117"/>
      <c r="C2216" s="68" t="s">
        <v>569</v>
      </c>
      <c r="E2216" s="85">
        <f>STATS1003B!E2220/1000</f>
        <v>1112.873</v>
      </c>
      <c r="F2216" s="85">
        <f>STATS1003B!F2220/1000</f>
        <v>1112.873</v>
      </c>
      <c r="G2216" s="85">
        <f>STATS1003B!G2220/1000</f>
        <v>0</v>
      </c>
      <c r="H2216" s="85">
        <f>STATS1003B!H2220/1000</f>
        <v>1112.873</v>
      </c>
      <c r="I2216" s="85">
        <f>STATS1003B!I2220/1000</f>
        <v>0</v>
      </c>
      <c r="J2216" s="85">
        <f>STATS1003B!J2220/1000</f>
        <v>1112.873</v>
      </c>
      <c r="K2216" s="85">
        <f>STATS1003B!K2220/1000</f>
        <v>0</v>
      </c>
      <c r="L2216" s="85">
        <f>STATS1003B!L2220/1000</f>
        <v>0</v>
      </c>
      <c r="M2216" s="85">
        <f>STATS1003B!M2220/1000</f>
        <v>1112.873</v>
      </c>
      <c r="N2216" s="85">
        <f>STATS1003B!N2220/1000</f>
        <v>0</v>
      </c>
      <c r="O2216" s="85">
        <f>STATS1003B!O2220/1000</f>
        <v>0</v>
      </c>
      <c r="P2216" s="85">
        <f>STATS1003B!P2220/1000</f>
        <v>0</v>
      </c>
      <c r="Q2216" s="85">
        <f>STATS1003B!Q2220/1000</f>
        <v>1112.873</v>
      </c>
      <c r="R2216" s="85">
        <f>STATS1003B!R2220/1000</f>
        <v>0</v>
      </c>
      <c r="S2216" s="85">
        <f>STATS1003B!S2220/1000</f>
        <v>0</v>
      </c>
      <c r="T2216" s="85">
        <f>STATS1003B!T2220/1000</f>
        <v>0</v>
      </c>
      <c r="U2216" s="85">
        <f>STATS1003B!U2220/1000</f>
        <v>0</v>
      </c>
      <c r="V2216" s="85">
        <f>STATS1003B!V2220/1000</f>
        <v>0</v>
      </c>
      <c r="W2216" s="85">
        <f>STATS1003B!W2220/1000</f>
        <v>0</v>
      </c>
      <c r="X2216" s="85">
        <f t="shared" si="241"/>
        <v>1112.873</v>
      </c>
      <c r="Y2216" s="85">
        <f>STATS1003B!Y2220/1000</f>
        <v>0</v>
      </c>
      <c r="Z2216" s="85">
        <f t="shared" si="244"/>
        <v>0</v>
      </c>
      <c r="AA2216" s="69">
        <f>STATS1003B!AA2220/1000</f>
        <v>1112.873</v>
      </c>
      <c r="AB2216" s="69">
        <f>STATS1003B!AB2220/1000</f>
        <v>0</v>
      </c>
    </row>
    <row r="2217" spans="1:28" hidden="1" x14ac:dyDescent="0.3">
      <c r="A2217" s="117"/>
      <c r="B2217" s="87" t="s">
        <v>709</v>
      </c>
      <c r="C2217" s="68" t="s">
        <v>826</v>
      </c>
      <c r="E2217" s="85">
        <f>STATS1003B!E2221/1000</f>
        <v>2400</v>
      </c>
      <c r="F2217" s="85">
        <f>STATS1003B!F2221/1000</f>
        <v>2400</v>
      </c>
      <c r="G2217" s="85">
        <f>STATS1003B!G2221/1000</f>
        <v>0</v>
      </c>
      <c r="H2217" s="85">
        <f>STATS1003B!H2221/1000</f>
        <v>2400</v>
      </c>
      <c r="I2217" s="85">
        <f>STATS1003B!I2221/1000</f>
        <v>0</v>
      </c>
      <c r="J2217" s="85">
        <f>STATS1003B!J2221/1000</f>
        <v>2400</v>
      </c>
      <c r="K2217" s="85">
        <f>STATS1003B!K2221/1000</f>
        <v>0</v>
      </c>
      <c r="L2217" s="85">
        <f>STATS1003B!L2221/1000</f>
        <v>0</v>
      </c>
      <c r="M2217" s="85">
        <f>STATS1003B!M2221/1000</f>
        <v>2400</v>
      </c>
      <c r="N2217" s="85">
        <f>STATS1003B!N2221/1000</f>
        <v>0</v>
      </c>
      <c r="O2217" s="85">
        <f>STATS1003B!O2221/1000</f>
        <v>0</v>
      </c>
      <c r="P2217" s="85">
        <f>STATS1003B!P2221/1000</f>
        <v>0</v>
      </c>
      <c r="Q2217" s="85">
        <f>STATS1003B!Q2221/1000</f>
        <v>2400</v>
      </c>
      <c r="R2217" s="85">
        <f>STATS1003B!R2221/1000</f>
        <v>0</v>
      </c>
      <c r="S2217" s="85">
        <f>STATS1003B!S2221/1000</f>
        <v>0</v>
      </c>
      <c r="T2217" s="85">
        <f>STATS1003B!T2221/1000</f>
        <v>0</v>
      </c>
      <c r="U2217" s="85">
        <f>STATS1003B!U2221/1000</f>
        <v>0</v>
      </c>
      <c r="V2217" s="85">
        <f>STATS1003B!V2221/1000</f>
        <v>0</v>
      </c>
      <c r="W2217" s="85">
        <f>STATS1003B!W2221/1000</f>
        <v>0</v>
      </c>
      <c r="X2217" s="85">
        <f t="shared" si="241"/>
        <v>2400</v>
      </c>
      <c r="Y2217" s="85">
        <f>STATS1003B!Y2221/1000</f>
        <v>0</v>
      </c>
      <c r="Z2217" s="85">
        <f t="shared" si="244"/>
        <v>0</v>
      </c>
      <c r="AA2217" s="69">
        <f>STATS1003B!AA2221/1000</f>
        <v>2400</v>
      </c>
      <c r="AB2217" s="69">
        <f>STATS1003B!AB2221/1000</f>
        <v>0</v>
      </c>
    </row>
    <row r="2218" spans="1:28" hidden="1" x14ac:dyDescent="0.3">
      <c r="A2218" s="117"/>
      <c r="E2218" s="86" t="s">
        <v>29</v>
      </c>
      <c r="F2218" s="86" t="s">
        <v>29</v>
      </c>
      <c r="G2218" s="86" t="s">
        <v>29</v>
      </c>
      <c r="H2218" s="86" t="s">
        <v>29</v>
      </c>
      <c r="I2218" s="86" t="s">
        <v>29</v>
      </c>
      <c r="J2218" s="86" t="s">
        <v>29</v>
      </c>
      <c r="K2218" s="86" t="s">
        <v>29</v>
      </c>
      <c r="L2218" s="86" t="s">
        <v>29</v>
      </c>
      <c r="M2218" s="86" t="s">
        <v>29</v>
      </c>
      <c r="N2218" s="86" t="s">
        <v>29</v>
      </c>
      <c r="O2218" s="86" t="s">
        <v>29</v>
      </c>
      <c r="P2218" s="86" t="s">
        <v>29</v>
      </c>
      <c r="Q2218" s="86" t="s">
        <v>29</v>
      </c>
      <c r="R2218" s="86" t="s">
        <v>29</v>
      </c>
      <c r="S2218" s="86" t="s">
        <v>29</v>
      </c>
      <c r="T2218" s="86" t="s">
        <v>29</v>
      </c>
      <c r="U2218" s="86" t="s">
        <v>29</v>
      </c>
      <c r="V2218" s="86" t="s">
        <v>29</v>
      </c>
      <c r="W2218" s="86" t="s">
        <v>29</v>
      </c>
      <c r="X2218" s="85" t="e">
        <f t="shared" si="241"/>
        <v>#VALUE!</v>
      </c>
      <c r="Y2218" s="86" t="s">
        <v>29</v>
      </c>
      <c r="Z2218" s="85" t="e">
        <f t="shared" si="244"/>
        <v>#VALUE!</v>
      </c>
      <c r="AA2218" s="115" t="s">
        <v>29</v>
      </c>
      <c r="AB2218" s="115" t="s">
        <v>29</v>
      </c>
    </row>
    <row r="2219" spans="1:28" x14ac:dyDescent="0.3">
      <c r="A2219" s="116">
        <v>96</v>
      </c>
      <c r="B2219" s="68" t="s">
        <v>824</v>
      </c>
      <c r="E2219" s="85">
        <f>93810017.92/1000</f>
        <v>93810.017919999998</v>
      </c>
      <c r="F2219" s="85">
        <f t="shared" ref="F2219:Q2219" si="245">SUM(F2197:F2218)</f>
        <v>41182.896720000004</v>
      </c>
      <c r="G2219" s="85">
        <f t="shared" si="245"/>
        <v>0</v>
      </c>
      <c r="H2219" s="85">
        <f>91193547.8/1000</f>
        <v>91193.5478</v>
      </c>
      <c r="I2219" s="85">
        <f t="shared" si="245"/>
        <v>0</v>
      </c>
      <c r="J2219" s="85">
        <f t="shared" si="245"/>
        <v>41182.896720000004</v>
      </c>
      <c r="K2219" s="85">
        <f t="shared" si="245"/>
        <v>2580.9987300000003</v>
      </c>
      <c r="L2219" s="85">
        <f t="shared" si="245"/>
        <v>0</v>
      </c>
      <c r="M2219" s="85">
        <f t="shared" si="245"/>
        <v>41182.896720000004</v>
      </c>
      <c r="N2219" s="85">
        <f t="shared" si="245"/>
        <v>2601.8194200000003</v>
      </c>
      <c r="O2219" s="85">
        <f t="shared" si="245"/>
        <v>0</v>
      </c>
      <c r="P2219" s="85">
        <f>2601819/1000</f>
        <v>2601.819</v>
      </c>
      <c r="Q2219" s="85">
        <f t="shared" si="245"/>
        <v>30890.546549999992</v>
      </c>
      <c r="R2219" s="84"/>
      <c r="S2219" s="84"/>
      <c r="T2219" s="85">
        <f t="shared" ref="T2219:Y2219" si="246">SUM(T2197:T2218)</f>
        <v>14.650700000000001</v>
      </c>
      <c r="U2219" s="85">
        <f t="shared" si="246"/>
        <v>2616.4701200000004</v>
      </c>
      <c r="V2219" s="85">
        <f t="shared" si="246"/>
        <v>0</v>
      </c>
      <c r="W2219" s="85">
        <f t="shared" si="246"/>
        <v>0</v>
      </c>
      <c r="X2219" s="85">
        <f t="shared" si="241"/>
        <v>93795.366800000003</v>
      </c>
      <c r="Y2219" s="85">
        <f t="shared" si="246"/>
        <v>0</v>
      </c>
      <c r="Z2219" s="85">
        <f t="shared" si="244"/>
        <v>14.651119999994989</v>
      </c>
      <c r="AA2219" s="69">
        <f>SUM(AA2197:AA2218)</f>
        <v>43799.36684000001</v>
      </c>
      <c r="AB2219" s="69">
        <f>SUM(AB2197:AB2218)</f>
        <v>0</v>
      </c>
    </row>
    <row r="2220" spans="1:28" hidden="1" x14ac:dyDescent="0.3">
      <c r="A2220" s="117"/>
      <c r="E2220" s="86" t="s">
        <v>29</v>
      </c>
      <c r="F2220" s="86" t="s">
        <v>29</v>
      </c>
      <c r="G2220" s="86" t="s">
        <v>29</v>
      </c>
      <c r="H2220" s="86" t="s">
        <v>29</v>
      </c>
      <c r="I2220" s="86" t="s">
        <v>29</v>
      </c>
      <c r="J2220" s="86" t="s">
        <v>29</v>
      </c>
      <c r="K2220" s="86" t="s">
        <v>29</v>
      </c>
      <c r="L2220" s="86" t="s">
        <v>29</v>
      </c>
      <c r="M2220" s="86" t="s">
        <v>29</v>
      </c>
      <c r="N2220" s="86" t="s">
        <v>29</v>
      </c>
      <c r="O2220" s="86" t="s">
        <v>29</v>
      </c>
      <c r="P2220" s="86" t="s">
        <v>29</v>
      </c>
      <c r="Q2220" s="86" t="s">
        <v>29</v>
      </c>
      <c r="R2220" s="86" t="s">
        <v>29</v>
      </c>
      <c r="S2220" s="86" t="s">
        <v>29</v>
      </c>
      <c r="T2220" s="86" t="s">
        <v>29</v>
      </c>
      <c r="U2220" s="86" t="s">
        <v>29</v>
      </c>
      <c r="V2220" s="86" t="s">
        <v>29</v>
      </c>
      <c r="W2220" s="86" t="s">
        <v>29</v>
      </c>
      <c r="X2220" s="85" t="e">
        <f t="shared" si="241"/>
        <v>#VALUE!</v>
      </c>
      <c r="Y2220" s="86" t="s">
        <v>29</v>
      </c>
      <c r="Z2220" s="85" t="e">
        <f t="shared" si="244"/>
        <v>#VALUE!</v>
      </c>
      <c r="AA2220" s="115" t="s">
        <v>29</v>
      </c>
      <c r="AB2220" s="115" t="s">
        <v>29</v>
      </c>
    </row>
    <row r="2221" spans="1:28" hidden="1" x14ac:dyDescent="0.3">
      <c r="A2221" s="105"/>
      <c r="E2221" s="84"/>
      <c r="F2221" s="84"/>
      <c r="G2221" s="84"/>
      <c r="H2221" s="84"/>
      <c r="I2221" s="84"/>
      <c r="J2221" s="84"/>
      <c r="K2221" s="84"/>
      <c r="L2221" s="84"/>
      <c r="M2221" s="84"/>
      <c r="N2221" s="84"/>
      <c r="O2221" s="84"/>
      <c r="P2221" s="84"/>
      <c r="Q2221" s="84"/>
      <c r="R2221" s="84"/>
      <c r="S2221" s="84"/>
      <c r="T2221" s="84"/>
      <c r="U2221" s="84"/>
      <c r="V2221" s="84"/>
      <c r="W2221" s="84"/>
      <c r="X2221" s="85">
        <f t="shared" si="241"/>
        <v>0</v>
      </c>
      <c r="Y2221" s="84"/>
      <c r="Z2221" s="85">
        <f t="shared" si="244"/>
        <v>0</v>
      </c>
    </row>
    <row r="2222" spans="1:28" hidden="1" x14ac:dyDescent="0.3">
      <c r="A2222" s="117"/>
      <c r="C2222" s="68" t="s">
        <v>539</v>
      </c>
      <c r="D2222" s="87" t="s">
        <v>68</v>
      </c>
      <c r="E2222" s="85">
        <f>STATS1003B!E2226/1000</f>
        <v>10379.099480000001</v>
      </c>
      <c r="F2222" s="85">
        <f>STATS1003B!F2226/1000</f>
        <v>0</v>
      </c>
      <c r="G2222" s="85">
        <f>STATS1003B!G2226/1000</f>
        <v>0</v>
      </c>
      <c r="H2222" s="85">
        <f>STATS1003B!H2226/1000</f>
        <v>0</v>
      </c>
      <c r="I2222" s="85">
        <f>STATS1003B!I2226/1000</f>
        <v>0</v>
      </c>
      <c r="J2222" s="85">
        <f>STATS1003B!J2226/1000</f>
        <v>0</v>
      </c>
      <c r="K2222" s="85">
        <f>STATS1003B!K2226/1000</f>
        <v>10379.099480000001</v>
      </c>
      <c r="L2222" s="85">
        <f>STATS1003B!L2226/1000</f>
        <v>0</v>
      </c>
      <c r="M2222" s="85">
        <f>STATS1003B!M2226/1000</f>
        <v>0</v>
      </c>
      <c r="N2222" s="85">
        <f>STATS1003B!N2226/1000</f>
        <v>10379.099480000001</v>
      </c>
      <c r="O2222" s="85">
        <f>STATS1003B!O2226/1000</f>
        <v>0</v>
      </c>
      <c r="P2222" s="85">
        <f>STATS1003B!P2226/1000</f>
        <v>10379.099480000001</v>
      </c>
      <c r="Q2222" s="85">
        <f>STATS1003B!Q2226/1000</f>
        <v>0</v>
      </c>
      <c r="R2222" s="85">
        <f>STATS1003B!R2226/1000</f>
        <v>0</v>
      </c>
      <c r="S2222" s="85">
        <f>STATS1003B!S2226/1000</f>
        <v>0</v>
      </c>
      <c r="T2222" s="85">
        <f>STATS1003B!T2226/1000</f>
        <v>0</v>
      </c>
      <c r="U2222" s="85">
        <f>STATS1003B!U2226/1000</f>
        <v>10379.099480000001</v>
      </c>
      <c r="V2222" s="85">
        <f>STATS1003B!V2226/1000</f>
        <v>0</v>
      </c>
      <c r="W2222" s="85">
        <f>STATS1003B!W2226/1000</f>
        <v>0</v>
      </c>
      <c r="X2222" s="85">
        <f t="shared" si="241"/>
        <v>10379.099480000001</v>
      </c>
      <c r="Y2222" s="85">
        <f>STATS1003B!Y2226/1000</f>
        <v>0</v>
      </c>
      <c r="Z2222" s="85">
        <f t="shared" si="244"/>
        <v>0</v>
      </c>
      <c r="AA2222" s="69">
        <f>STATS1003B!AA2226/1000</f>
        <v>10379.099480000001</v>
      </c>
      <c r="AB2222" s="69">
        <f>STATS1003B!AB2226/1000</f>
        <v>0</v>
      </c>
    </row>
    <row r="2223" spans="1:28" hidden="1" x14ac:dyDescent="0.3">
      <c r="A2223" s="117"/>
      <c r="C2223" s="68" t="s">
        <v>535</v>
      </c>
      <c r="D2223" s="87" t="s">
        <v>68</v>
      </c>
      <c r="E2223" s="85">
        <f>STATS1003B!E2227/1000</f>
        <v>174.26826</v>
      </c>
      <c r="F2223" s="85">
        <f>STATS1003B!F2227/1000</f>
        <v>0</v>
      </c>
      <c r="G2223" s="85">
        <f>STATS1003B!G2227/1000</f>
        <v>0</v>
      </c>
      <c r="H2223" s="85">
        <f>STATS1003B!H2227/1000</f>
        <v>0</v>
      </c>
      <c r="I2223" s="85">
        <f>STATS1003B!I2227/1000</f>
        <v>0</v>
      </c>
      <c r="J2223" s="85">
        <f>STATS1003B!J2227/1000</f>
        <v>0</v>
      </c>
      <c r="K2223" s="85">
        <f>STATS1003B!K2227/1000</f>
        <v>174.26826</v>
      </c>
      <c r="L2223" s="85">
        <f>STATS1003B!L2227/1000</f>
        <v>0</v>
      </c>
      <c r="M2223" s="85">
        <f>STATS1003B!M2227/1000</f>
        <v>0</v>
      </c>
      <c r="N2223" s="85">
        <f>STATS1003B!N2227/1000</f>
        <v>174.26826</v>
      </c>
      <c r="O2223" s="85">
        <f>STATS1003B!O2227/1000</f>
        <v>0</v>
      </c>
      <c r="P2223" s="85">
        <f>STATS1003B!P2227/1000</f>
        <v>174.26826</v>
      </c>
      <c r="Q2223" s="85">
        <f>STATS1003B!Q2227/1000</f>
        <v>0</v>
      </c>
      <c r="R2223" s="85">
        <f>STATS1003B!R2227/1000</f>
        <v>0</v>
      </c>
      <c r="S2223" s="85">
        <f>STATS1003B!S2227/1000</f>
        <v>0</v>
      </c>
      <c r="T2223" s="85">
        <f>STATS1003B!T2227/1000</f>
        <v>0</v>
      </c>
      <c r="U2223" s="85">
        <f>STATS1003B!U2227/1000</f>
        <v>174.26826</v>
      </c>
      <c r="V2223" s="85">
        <f>STATS1003B!V2227/1000</f>
        <v>0</v>
      </c>
      <c r="W2223" s="85">
        <f>STATS1003B!W2227/1000</f>
        <v>0</v>
      </c>
      <c r="X2223" s="85">
        <f t="shared" si="241"/>
        <v>174.26826</v>
      </c>
      <c r="Y2223" s="85">
        <f>STATS1003B!Y2227/1000</f>
        <v>0</v>
      </c>
      <c r="Z2223" s="85">
        <f t="shared" si="244"/>
        <v>0</v>
      </c>
      <c r="AA2223" s="69">
        <f>STATS1003B!AA2227/1000</f>
        <v>174.26826</v>
      </c>
      <c r="AB2223" s="69">
        <f>STATS1003B!AB2227/1000</f>
        <v>0</v>
      </c>
    </row>
    <row r="2224" spans="1:28" hidden="1" x14ac:dyDescent="0.3">
      <c r="A2224" s="117"/>
      <c r="C2224" s="68" t="s">
        <v>535</v>
      </c>
      <c r="D2224" s="87" t="s">
        <v>54</v>
      </c>
      <c r="E2224" s="85">
        <f>STATS1003B!E2228/1000</f>
        <v>442.7</v>
      </c>
      <c r="F2224" s="85">
        <f>STATS1003B!F2228/1000</f>
        <v>442.7</v>
      </c>
      <c r="G2224" s="85">
        <f>STATS1003B!G2228/1000</f>
        <v>0</v>
      </c>
      <c r="H2224" s="85">
        <f>STATS1003B!H2228/1000</f>
        <v>442.7</v>
      </c>
      <c r="I2224" s="85">
        <f>STATS1003B!I2228/1000</f>
        <v>0</v>
      </c>
      <c r="J2224" s="85">
        <f>STATS1003B!J2228/1000</f>
        <v>442.7</v>
      </c>
      <c r="K2224" s="85">
        <f>STATS1003B!K2228/1000</f>
        <v>0</v>
      </c>
      <c r="L2224" s="85">
        <f>STATS1003B!L2228/1000</f>
        <v>0</v>
      </c>
      <c r="M2224" s="85">
        <f>STATS1003B!M2228/1000</f>
        <v>442.7</v>
      </c>
      <c r="N2224" s="85">
        <f>STATS1003B!N2228/1000</f>
        <v>0</v>
      </c>
      <c r="O2224" s="85">
        <f>STATS1003B!O2228/1000</f>
        <v>0</v>
      </c>
      <c r="P2224" s="85">
        <f>STATS1003B!P2228/1000</f>
        <v>0</v>
      </c>
      <c r="Q2224" s="85">
        <f>STATS1003B!Q2228/1000</f>
        <v>442.7</v>
      </c>
      <c r="R2224" s="85">
        <f>STATS1003B!R2228/1000</f>
        <v>0</v>
      </c>
      <c r="S2224" s="85">
        <f>STATS1003B!S2228/1000</f>
        <v>0</v>
      </c>
      <c r="T2224" s="85">
        <f>STATS1003B!T2228/1000</f>
        <v>0</v>
      </c>
      <c r="U2224" s="85">
        <f>STATS1003B!U2228/1000</f>
        <v>0</v>
      </c>
      <c r="V2224" s="85">
        <f>STATS1003B!V2228/1000</f>
        <v>0</v>
      </c>
      <c r="W2224" s="85">
        <f>STATS1003B!W2228/1000</f>
        <v>0</v>
      </c>
      <c r="X2224" s="85">
        <f t="shared" si="241"/>
        <v>442.7</v>
      </c>
      <c r="Y2224" s="85">
        <f>STATS1003B!Y2228/1000</f>
        <v>0</v>
      </c>
      <c r="Z2224" s="85">
        <f t="shared" si="244"/>
        <v>0</v>
      </c>
      <c r="AA2224" s="69">
        <f>STATS1003B!AA2228/1000</f>
        <v>442.7</v>
      </c>
      <c r="AB2224" s="69">
        <f>STATS1003B!AB2228/1000</f>
        <v>0</v>
      </c>
    </row>
    <row r="2225" spans="1:28" hidden="1" x14ac:dyDescent="0.3">
      <c r="A2225" s="117"/>
      <c r="C2225" s="68" t="s">
        <v>557</v>
      </c>
      <c r="D2225" s="87" t="s">
        <v>54</v>
      </c>
      <c r="E2225" s="85">
        <f>STATS1003B!E2229/1000</f>
        <v>4426.8476000000001</v>
      </c>
      <c r="F2225" s="85">
        <f>STATS1003B!F2229/1000</f>
        <v>4426.8476000000001</v>
      </c>
      <c r="G2225" s="85">
        <f>STATS1003B!G2229/1000</f>
        <v>0</v>
      </c>
      <c r="H2225" s="85">
        <f>STATS1003B!H2229/1000</f>
        <v>4426.8476000000001</v>
      </c>
      <c r="I2225" s="85">
        <f>STATS1003B!I2229/1000</f>
        <v>0</v>
      </c>
      <c r="J2225" s="85">
        <f>STATS1003B!J2229/1000</f>
        <v>4426.8476000000001</v>
      </c>
      <c r="K2225" s="85">
        <f>STATS1003B!K2229/1000</f>
        <v>0</v>
      </c>
      <c r="L2225" s="85">
        <f>STATS1003B!L2229/1000</f>
        <v>0</v>
      </c>
      <c r="M2225" s="85">
        <f>STATS1003B!M2229/1000</f>
        <v>4426.8476000000001</v>
      </c>
      <c r="N2225" s="85">
        <f>STATS1003B!N2229/1000</f>
        <v>0</v>
      </c>
      <c r="O2225" s="85">
        <f>STATS1003B!O2229/1000</f>
        <v>0</v>
      </c>
      <c r="P2225" s="85">
        <f>STATS1003B!P2229/1000</f>
        <v>0</v>
      </c>
      <c r="Q2225" s="85">
        <f>STATS1003B!Q2229/1000</f>
        <v>4426.8476000000001</v>
      </c>
      <c r="R2225" s="85">
        <f>STATS1003B!R2229/1000</f>
        <v>0</v>
      </c>
      <c r="S2225" s="85">
        <f>STATS1003B!S2229/1000</f>
        <v>0</v>
      </c>
      <c r="T2225" s="85">
        <f>STATS1003B!T2229/1000</f>
        <v>0</v>
      </c>
      <c r="U2225" s="85">
        <f>STATS1003B!U2229/1000</f>
        <v>0</v>
      </c>
      <c r="V2225" s="85">
        <f>STATS1003B!V2229/1000</f>
        <v>0</v>
      </c>
      <c r="W2225" s="85">
        <f>STATS1003B!W2229/1000</f>
        <v>0</v>
      </c>
      <c r="X2225" s="85">
        <f t="shared" si="241"/>
        <v>4426.8476000000001</v>
      </c>
      <c r="Y2225" s="85">
        <f>STATS1003B!Y2229/1000</f>
        <v>0</v>
      </c>
      <c r="Z2225" s="85">
        <f t="shared" si="244"/>
        <v>0</v>
      </c>
      <c r="AA2225" s="69">
        <f>STATS1003B!AA2229/1000</f>
        <v>4426.8476000000001</v>
      </c>
      <c r="AB2225" s="69">
        <f>STATS1003B!AB2229/1000</f>
        <v>0</v>
      </c>
    </row>
    <row r="2226" spans="1:28" hidden="1" x14ac:dyDescent="0.3">
      <c r="A2226" s="117"/>
      <c r="C2226" s="68" t="s">
        <v>696</v>
      </c>
      <c r="D2226" s="87" t="s">
        <v>54</v>
      </c>
      <c r="E2226" s="85">
        <f>STATS1003B!E2230/1000</f>
        <v>237.5</v>
      </c>
      <c r="F2226" s="85">
        <f>STATS1003B!F2230/1000</f>
        <v>232.36500000000001</v>
      </c>
      <c r="G2226" s="85">
        <f>STATS1003B!G2230/1000</f>
        <v>0</v>
      </c>
      <c r="H2226" s="85">
        <f>STATS1003B!H2230/1000</f>
        <v>232.36500000000001</v>
      </c>
      <c r="I2226" s="85">
        <f>STATS1003B!I2230/1000</f>
        <v>0</v>
      </c>
      <c r="J2226" s="85">
        <f>STATS1003B!J2230/1000</f>
        <v>232.36500000000001</v>
      </c>
      <c r="K2226" s="85">
        <f>STATS1003B!K2230/1000</f>
        <v>0</v>
      </c>
      <c r="L2226" s="85">
        <f>STATS1003B!L2230/1000</f>
        <v>0</v>
      </c>
      <c r="M2226" s="85">
        <f>STATS1003B!M2230/1000</f>
        <v>232.36500000000001</v>
      </c>
      <c r="N2226" s="85">
        <f>STATS1003B!N2230/1000</f>
        <v>0</v>
      </c>
      <c r="O2226" s="85">
        <f>STATS1003B!O2230/1000</f>
        <v>0</v>
      </c>
      <c r="P2226" s="85">
        <f>STATS1003B!P2230/1000</f>
        <v>0</v>
      </c>
      <c r="Q2226" s="85">
        <f>STATS1003B!Q2230/1000</f>
        <v>237.5</v>
      </c>
      <c r="R2226" s="85">
        <f>STATS1003B!R2230/1000</f>
        <v>0</v>
      </c>
      <c r="S2226" s="85">
        <f>STATS1003B!S2230/1000</f>
        <v>0</v>
      </c>
      <c r="T2226" s="85">
        <f>STATS1003B!T2230/1000</f>
        <v>0</v>
      </c>
      <c r="U2226" s="85">
        <f>STATS1003B!U2230/1000</f>
        <v>0</v>
      </c>
      <c r="V2226" s="85">
        <f>STATS1003B!V2230/1000</f>
        <v>0</v>
      </c>
      <c r="W2226" s="85">
        <f>STATS1003B!W2230/1000</f>
        <v>0</v>
      </c>
      <c r="X2226" s="85">
        <f t="shared" si="241"/>
        <v>232.36500000000001</v>
      </c>
      <c r="Y2226" s="85">
        <f>STATS1003B!Y2230/1000</f>
        <v>0</v>
      </c>
      <c r="Z2226" s="85">
        <f t="shared" si="244"/>
        <v>5.1349999999999909</v>
      </c>
      <c r="AA2226" s="69">
        <f>STATS1003B!AA2230/1000</f>
        <v>232.36500000000001</v>
      </c>
      <c r="AB2226" s="69">
        <f>STATS1003B!AB2230/1000</f>
        <v>5.1349999999999998</v>
      </c>
    </row>
    <row r="2227" spans="1:28" hidden="1" x14ac:dyDescent="0.3">
      <c r="A2227" s="117"/>
      <c r="C2227" s="68" t="s">
        <v>545</v>
      </c>
      <c r="D2227" s="87" t="s">
        <v>54</v>
      </c>
      <c r="E2227" s="85">
        <f>STATS1003B!E2231/1000</f>
        <v>1953.989</v>
      </c>
      <c r="F2227" s="85">
        <f>STATS1003B!F2231/1000</f>
        <v>0</v>
      </c>
      <c r="G2227" s="85">
        <f>STATS1003B!G2231/1000</f>
        <v>0</v>
      </c>
      <c r="H2227" s="85">
        <f>STATS1003B!H2231/1000</f>
        <v>0</v>
      </c>
      <c r="I2227" s="85">
        <f>STATS1003B!I2231/1000</f>
        <v>0</v>
      </c>
      <c r="J2227" s="85">
        <f>STATS1003B!J2231/1000</f>
        <v>0</v>
      </c>
      <c r="K2227" s="85">
        <f>STATS1003B!K2231/1000</f>
        <v>1953.989</v>
      </c>
      <c r="L2227" s="85">
        <f>STATS1003B!L2231/1000</f>
        <v>0</v>
      </c>
      <c r="M2227" s="85">
        <f>STATS1003B!M2231/1000</f>
        <v>0</v>
      </c>
      <c r="N2227" s="85">
        <f>STATS1003B!N2231/1000</f>
        <v>1953.989</v>
      </c>
      <c r="O2227" s="85">
        <f>STATS1003B!O2231/1000</f>
        <v>0</v>
      </c>
      <c r="P2227" s="85">
        <f>STATS1003B!P2231/1000</f>
        <v>1953.989</v>
      </c>
      <c r="Q2227" s="85">
        <f>STATS1003B!Q2231/1000</f>
        <v>0</v>
      </c>
      <c r="R2227" s="85">
        <f>STATS1003B!R2231/1000</f>
        <v>0</v>
      </c>
      <c r="S2227" s="85">
        <f>STATS1003B!S2231/1000</f>
        <v>0</v>
      </c>
      <c r="T2227" s="85">
        <f>STATS1003B!T2231/1000</f>
        <v>0</v>
      </c>
      <c r="U2227" s="85">
        <f>STATS1003B!U2231/1000</f>
        <v>1953.989</v>
      </c>
      <c r="V2227" s="85">
        <f>STATS1003B!V2231/1000</f>
        <v>0</v>
      </c>
      <c r="W2227" s="85">
        <f>STATS1003B!W2231/1000</f>
        <v>0</v>
      </c>
      <c r="X2227" s="85">
        <f t="shared" si="241"/>
        <v>1953.989</v>
      </c>
      <c r="Y2227" s="85">
        <f>STATS1003B!Y2231/1000</f>
        <v>0</v>
      </c>
      <c r="Z2227" s="85">
        <f t="shared" si="244"/>
        <v>0</v>
      </c>
      <c r="AA2227" s="69">
        <f>STATS1003B!AA2231/1000</f>
        <v>1953.989</v>
      </c>
      <c r="AB2227" s="69">
        <f>STATS1003B!AB2231/1000</f>
        <v>0</v>
      </c>
    </row>
    <row r="2228" spans="1:28" hidden="1" x14ac:dyDescent="0.3">
      <c r="A2228" s="117"/>
      <c r="C2228" s="68" t="s">
        <v>535</v>
      </c>
      <c r="D2228" s="87" t="s">
        <v>85</v>
      </c>
      <c r="E2228" s="85">
        <f>STATS1003B!E2232/1000</f>
        <v>954</v>
      </c>
      <c r="F2228" s="85">
        <f>STATS1003B!F2232/1000</f>
        <v>954</v>
      </c>
      <c r="G2228" s="85">
        <f>STATS1003B!G2232/1000</f>
        <v>0</v>
      </c>
      <c r="H2228" s="85">
        <f>STATS1003B!H2232/1000</f>
        <v>954</v>
      </c>
      <c r="I2228" s="85">
        <f>STATS1003B!I2232/1000</f>
        <v>0</v>
      </c>
      <c r="J2228" s="85">
        <f>STATS1003B!J2232/1000</f>
        <v>954</v>
      </c>
      <c r="K2228" s="85">
        <f>STATS1003B!K2232/1000</f>
        <v>0</v>
      </c>
      <c r="L2228" s="85">
        <f>STATS1003B!L2232/1000</f>
        <v>0</v>
      </c>
      <c r="M2228" s="85">
        <f>STATS1003B!M2232/1000</f>
        <v>954</v>
      </c>
      <c r="N2228" s="85">
        <f>STATS1003B!N2232/1000</f>
        <v>0</v>
      </c>
      <c r="O2228" s="85">
        <f>STATS1003B!O2232/1000</f>
        <v>0</v>
      </c>
      <c r="P2228" s="85">
        <f>STATS1003B!P2232/1000</f>
        <v>0</v>
      </c>
      <c r="Q2228" s="85">
        <f>STATS1003B!Q2232/1000</f>
        <v>954</v>
      </c>
      <c r="R2228" s="85">
        <f>STATS1003B!R2232/1000</f>
        <v>0</v>
      </c>
      <c r="S2228" s="85">
        <f>STATS1003B!S2232/1000</f>
        <v>0</v>
      </c>
      <c r="T2228" s="85">
        <f>STATS1003B!T2232/1000</f>
        <v>0</v>
      </c>
      <c r="U2228" s="85">
        <f>STATS1003B!U2232/1000</f>
        <v>0</v>
      </c>
      <c r="V2228" s="85">
        <f>STATS1003B!V2232/1000</f>
        <v>0</v>
      </c>
      <c r="W2228" s="85">
        <f>STATS1003B!W2232/1000</f>
        <v>0</v>
      </c>
      <c r="X2228" s="85">
        <f t="shared" si="241"/>
        <v>954</v>
      </c>
      <c r="Y2228" s="85">
        <f>STATS1003B!Y2232/1000</f>
        <v>0</v>
      </c>
      <c r="Z2228" s="85">
        <f t="shared" si="244"/>
        <v>0</v>
      </c>
      <c r="AA2228" s="69">
        <f>STATS1003B!AA2232/1000</f>
        <v>954</v>
      </c>
      <c r="AB2228" s="69">
        <f>STATS1003B!AB2232/1000</f>
        <v>0</v>
      </c>
    </row>
    <row r="2229" spans="1:28" hidden="1" x14ac:dyDescent="0.3">
      <c r="A2229" s="117"/>
      <c r="C2229" s="68" t="s">
        <v>603</v>
      </c>
      <c r="D2229" s="87" t="s">
        <v>85</v>
      </c>
      <c r="E2229" s="85">
        <f>STATS1003B!E2233/1000</f>
        <v>288</v>
      </c>
      <c r="F2229" s="85">
        <f>STATS1003B!F2233/1000</f>
        <v>288</v>
      </c>
      <c r="G2229" s="85">
        <f>STATS1003B!G2233/1000</f>
        <v>0</v>
      </c>
      <c r="H2229" s="85">
        <f>STATS1003B!H2233/1000</f>
        <v>288</v>
      </c>
      <c r="I2229" s="85">
        <f>STATS1003B!I2233/1000</f>
        <v>0</v>
      </c>
      <c r="J2229" s="85">
        <f>STATS1003B!J2233/1000</f>
        <v>288</v>
      </c>
      <c r="K2229" s="85">
        <f>STATS1003B!K2233/1000</f>
        <v>0</v>
      </c>
      <c r="L2229" s="85">
        <f>STATS1003B!L2233/1000</f>
        <v>0</v>
      </c>
      <c r="M2229" s="85">
        <f>STATS1003B!M2233/1000</f>
        <v>288</v>
      </c>
      <c r="N2229" s="85">
        <f>STATS1003B!N2233/1000</f>
        <v>0</v>
      </c>
      <c r="O2229" s="85">
        <f>STATS1003B!O2233/1000</f>
        <v>0</v>
      </c>
      <c r="P2229" s="85">
        <f>STATS1003B!P2233/1000</f>
        <v>0</v>
      </c>
      <c r="Q2229" s="85">
        <f>STATS1003B!Q2233/1000</f>
        <v>288</v>
      </c>
      <c r="R2229" s="85">
        <f>STATS1003B!R2233/1000</f>
        <v>0</v>
      </c>
      <c r="S2229" s="85">
        <f>STATS1003B!S2233/1000</f>
        <v>0</v>
      </c>
      <c r="T2229" s="85">
        <f>STATS1003B!T2233/1000</f>
        <v>0</v>
      </c>
      <c r="U2229" s="85">
        <f>STATS1003B!U2233/1000</f>
        <v>0</v>
      </c>
      <c r="V2229" s="85">
        <f>STATS1003B!V2233/1000</f>
        <v>0</v>
      </c>
      <c r="W2229" s="85">
        <f>STATS1003B!W2233/1000</f>
        <v>0</v>
      </c>
      <c r="X2229" s="85">
        <f t="shared" si="241"/>
        <v>288</v>
      </c>
      <c r="Y2229" s="85">
        <f>STATS1003B!Y2233/1000</f>
        <v>0</v>
      </c>
      <c r="Z2229" s="85">
        <f t="shared" si="244"/>
        <v>0</v>
      </c>
      <c r="AA2229" s="69">
        <f>STATS1003B!AA2233/1000</f>
        <v>288</v>
      </c>
      <c r="AB2229" s="69">
        <f>STATS1003B!AB2233/1000</f>
        <v>0</v>
      </c>
    </row>
    <row r="2230" spans="1:28" hidden="1" x14ac:dyDescent="0.3">
      <c r="A2230" s="117"/>
      <c r="C2230" s="68" t="s">
        <v>535</v>
      </c>
      <c r="D2230" s="87" t="s">
        <v>128</v>
      </c>
      <c r="E2230" s="85">
        <f>STATS1003B!E2234/1000</f>
        <v>540</v>
      </c>
      <c r="F2230" s="85">
        <f>STATS1003B!F2234/1000</f>
        <v>540</v>
      </c>
      <c r="G2230" s="85">
        <f>STATS1003B!G2234/1000</f>
        <v>0</v>
      </c>
      <c r="H2230" s="85">
        <f>STATS1003B!H2234/1000</f>
        <v>540</v>
      </c>
      <c r="I2230" s="85">
        <f>STATS1003B!I2234/1000</f>
        <v>0</v>
      </c>
      <c r="J2230" s="85">
        <f>STATS1003B!J2234/1000</f>
        <v>540</v>
      </c>
      <c r="K2230" s="85">
        <f>STATS1003B!K2234/1000</f>
        <v>0</v>
      </c>
      <c r="L2230" s="85">
        <f>STATS1003B!L2234/1000</f>
        <v>0</v>
      </c>
      <c r="M2230" s="85">
        <f>STATS1003B!M2234/1000</f>
        <v>540</v>
      </c>
      <c r="N2230" s="85">
        <f>STATS1003B!N2234/1000</f>
        <v>0</v>
      </c>
      <c r="O2230" s="85">
        <f>STATS1003B!O2234/1000</f>
        <v>0</v>
      </c>
      <c r="P2230" s="85">
        <f>STATS1003B!P2234/1000</f>
        <v>0</v>
      </c>
      <c r="Q2230" s="85">
        <f>STATS1003B!Q2234/1000</f>
        <v>540</v>
      </c>
      <c r="R2230" s="85">
        <f>STATS1003B!R2234/1000</f>
        <v>0</v>
      </c>
      <c r="S2230" s="85">
        <f>STATS1003B!S2234/1000</f>
        <v>0</v>
      </c>
      <c r="T2230" s="85">
        <f>STATS1003B!T2234/1000</f>
        <v>0</v>
      </c>
      <c r="U2230" s="85">
        <f>STATS1003B!U2234/1000</f>
        <v>0</v>
      </c>
      <c r="V2230" s="85">
        <f>STATS1003B!V2234/1000</f>
        <v>0</v>
      </c>
      <c r="W2230" s="85">
        <f>STATS1003B!W2234/1000</f>
        <v>0</v>
      </c>
      <c r="X2230" s="85">
        <f t="shared" si="241"/>
        <v>540</v>
      </c>
      <c r="Y2230" s="85">
        <f>STATS1003B!Y2234/1000</f>
        <v>0</v>
      </c>
      <c r="Z2230" s="85">
        <f t="shared" si="244"/>
        <v>0</v>
      </c>
      <c r="AA2230" s="69">
        <f>STATS1003B!AA2234/1000</f>
        <v>540</v>
      </c>
      <c r="AB2230" s="69">
        <f>STATS1003B!AB2234/1000</f>
        <v>0</v>
      </c>
    </row>
    <row r="2231" spans="1:28" hidden="1" x14ac:dyDescent="0.3">
      <c r="A2231" s="117"/>
      <c r="C2231" s="68" t="s">
        <v>535</v>
      </c>
      <c r="D2231" s="87" t="s">
        <v>108</v>
      </c>
      <c r="E2231" s="85">
        <f>STATS1003B!E2235/1000</f>
        <v>5065.3665099999998</v>
      </c>
      <c r="F2231" s="85">
        <f>STATS1003B!F2235/1000</f>
        <v>5065.3665099999998</v>
      </c>
      <c r="G2231" s="85">
        <f>STATS1003B!G2235/1000</f>
        <v>0</v>
      </c>
      <c r="H2231" s="85">
        <f>STATS1003B!H2235/1000</f>
        <v>5065.3665099999998</v>
      </c>
      <c r="I2231" s="85">
        <f>STATS1003B!I2235/1000</f>
        <v>0</v>
      </c>
      <c r="J2231" s="85">
        <f>STATS1003B!J2235/1000</f>
        <v>5065.3665099999998</v>
      </c>
      <c r="K2231" s="85">
        <f>STATS1003B!K2235/1000</f>
        <v>0</v>
      </c>
      <c r="L2231" s="85">
        <f>STATS1003B!L2235/1000</f>
        <v>0</v>
      </c>
      <c r="M2231" s="85">
        <f>STATS1003B!M2235/1000</f>
        <v>5065.3665099999998</v>
      </c>
      <c r="N2231" s="85">
        <f>STATS1003B!N2235/1000</f>
        <v>0</v>
      </c>
      <c r="O2231" s="85">
        <f>STATS1003B!O2235/1000</f>
        <v>0</v>
      </c>
      <c r="P2231" s="85">
        <f>STATS1003B!P2235/1000</f>
        <v>0</v>
      </c>
      <c r="Q2231" s="85">
        <f>STATS1003B!Q2235/1000</f>
        <v>5065.3665099999998</v>
      </c>
      <c r="R2231" s="85">
        <f>STATS1003B!R2235/1000</f>
        <v>0</v>
      </c>
      <c r="S2231" s="85">
        <f>STATS1003B!S2235/1000</f>
        <v>0</v>
      </c>
      <c r="T2231" s="85">
        <f>STATS1003B!T2235/1000</f>
        <v>0</v>
      </c>
      <c r="U2231" s="85">
        <f>STATS1003B!U2235/1000</f>
        <v>0</v>
      </c>
      <c r="V2231" s="85">
        <f>STATS1003B!V2235/1000</f>
        <v>0</v>
      </c>
      <c r="W2231" s="85">
        <f>STATS1003B!W2235/1000</f>
        <v>0</v>
      </c>
      <c r="X2231" s="85">
        <f t="shared" si="241"/>
        <v>5065.3665099999998</v>
      </c>
      <c r="Y2231" s="85">
        <f>STATS1003B!Y2235/1000</f>
        <v>0</v>
      </c>
      <c r="Z2231" s="85">
        <f t="shared" si="244"/>
        <v>0</v>
      </c>
      <c r="AA2231" s="69">
        <f>STATS1003B!AA2235/1000</f>
        <v>5065.3665099999998</v>
      </c>
      <c r="AB2231" s="69">
        <f>STATS1003B!AB2235/1000</f>
        <v>0</v>
      </c>
    </row>
    <row r="2232" spans="1:28" hidden="1" x14ac:dyDescent="0.3">
      <c r="A2232" s="117"/>
      <c r="C2232" s="68" t="s">
        <v>535</v>
      </c>
      <c r="D2232" s="87" t="s">
        <v>58</v>
      </c>
      <c r="E2232" s="85">
        <f>STATS1003B!E2236/1000</f>
        <v>4414.6310000000003</v>
      </c>
      <c r="F2232" s="85">
        <f>STATS1003B!F2236/1000</f>
        <v>4414.6310000000003</v>
      </c>
      <c r="G2232" s="85">
        <f>STATS1003B!G2236/1000</f>
        <v>0</v>
      </c>
      <c r="H2232" s="85">
        <f>STATS1003B!H2236/1000</f>
        <v>4414.6310000000003</v>
      </c>
      <c r="I2232" s="85">
        <f>STATS1003B!I2236/1000</f>
        <v>0</v>
      </c>
      <c r="J2232" s="85">
        <f>STATS1003B!J2236/1000</f>
        <v>4414.6310000000003</v>
      </c>
      <c r="K2232" s="85">
        <f>STATS1003B!K2236/1000</f>
        <v>0</v>
      </c>
      <c r="L2232" s="85">
        <f>STATS1003B!L2236/1000</f>
        <v>0</v>
      </c>
      <c r="M2232" s="85">
        <f>STATS1003B!M2236/1000</f>
        <v>4414.6310000000003</v>
      </c>
      <c r="N2232" s="85">
        <f>STATS1003B!N2236/1000</f>
        <v>0</v>
      </c>
      <c r="O2232" s="85">
        <f>STATS1003B!O2236/1000</f>
        <v>0</v>
      </c>
      <c r="P2232" s="85">
        <f>STATS1003B!P2236/1000</f>
        <v>0</v>
      </c>
      <c r="Q2232" s="85">
        <f>STATS1003B!Q2236/1000</f>
        <v>4414.6310000000003</v>
      </c>
      <c r="R2232" s="85">
        <f>STATS1003B!R2236/1000</f>
        <v>0</v>
      </c>
      <c r="S2232" s="85">
        <f>STATS1003B!S2236/1000</f>
        <v>0</v>
      </c>
      <c r="T2232" s="85">
        <f>STATS1003B!T2236/1000</f>
        <v>0</v>
      </c>
      <c r="U2232" s="85">
        <f>STATS1003B!U2236/1000</f>
        <v>0</v>
      </c>
      <c r="V2232" s="85">
        <f>STATS1003B!V2236/1000</f>
        <v>0</v>
      </c>
      <c r="W2232" s="85">
        <f>STATS1003B!W2236/1000</f>
        <v>0</v>
      </c>
      <c r="X2232" s="85">
        <f t="shared" si="241"/>
        <v>4414.6310000000003</v>
      </c>
      <c r="Y2232" s="85">
        <f>STATS1003B!Y2236/1000</f>
        <v>0</v>
      </c>
      <c r="Z2232" s="85">
        <f t="shared" si="244"/>
        <v>0</v>
      </c>
      <c r="AA2232" s="69">
        <f>STATS1003B!AA2236/1000</f>
        <v>4414.6310000000003</v>
      </c>
      <c r="AB2232" s="69">
        <f>STATS1003B!AB2236/1000</f>
        <v>0</v>
      </c>
    </row>
    <row r="2233" spans="1:28" hidden="1" x14ac:dyDescent="0.3">
      <c r="A2233" s="117"/>
      <c r="C2233" s="68" t="s">
        <v>535</v>
      </c>
      <c r="D2233" s="87" t="s">
        <v>60</v>
      </c>
      <c r="E2233" s="85">
        <f>STATS1003B!E2237/1000</f>
        <v>4463.8140000000003</v>
      </c>
      <c r="F2233" s="85">
        <f>STATS1003B!F2237/1000</f>
        <v>4463.8140000000003</v>
      </c>
      <c r="G2233" s="85">
        <f>STATS1003B!G2237/1000</f>
        <v>0</v>
      </c>
      <c r="H2233" s="85">
        <f>STATS1003B!H2237/1000</f>
        <v>4463.8140000000003</v>
      </c>
      <c r="I2233" s="85">
        <f>STATS1003B!I2237/1000</f>
        <v>0</v>
      </c>
      <c r="J2233" s="85">
        <f>STATS1003B!J2237/1000</f>
        <v>4463.8140000000003</v>
      </c>
      <c r="K2233" s="85">
        <f>STATS1003B!K2237/1000</f>
        <v>0</v>
      </c>
      <c r="L2233" s="85">
        <f>STATS1003B!L2237/1000</f>
        <v>0</v>
      </c>
      <c r="M2233" s="85">
        <f>STATS1003B!M2237/1000</f>
        <v>4463.8140000000003</v>
      </c>
      <c r="N2233" s="85">
        <f>STATS1003B!N2237/1000</f>
        <v>0</v>
      </c>
      <c r="O2233" s="85">
        <f>STATS1003B!O2237/1000</f>
        <v>0</v>
      </c>
      <c r="P2233" s="85">
        <f>STATS1003B!P2237/1000</f>
        <v>0</v>
      </c>
      <c r="Q2233" s="85">
        <f>STATS1003B!Q2237/1000</f>
        <v>4463.8140000000003</v>
      </c>
      <c r="R2233" s="85">
        <f>STATS1003B!R2237/1000</f>
        <v>0</v>
      </c>
      <c r="S2233" s="85">
        <f>STATS1003B!S2237/1000</f>
        <v>0</v>
      </c>
      <c r="T2233" s="85">
        <f>STATS1003B!T2237/1000</f>
        <v>0</v>
      </c>
      <c r="U2233" s="85">
        <f>STATS1003B!U2237/1000</f>
        <v>0</v>
      </c>
      <c r="V2233" s="85">
        <f>STATS1003B!V2237/1000</f>
        <v>0</v>
      </c>
      <c r="W2233" s="85">
        <f>STATS1003B!W2237/1000</f>
        <v>0</v>
      </c>
      <c r="X2233" s="85">
        <f t="shared" si="241"/>
        <v>4463.8140000000003</v>
      </c>
      <c r="Y2233" s="85">
        <f>STATS1003B!Y2237/1000</f>
        <v>0</v>
      </c>
      <c r="Z2233" s="85">
        <f t="shared" si="244"/>
        <v>0</v>
      </c>
      <c r="AA2233" s="69">
        <f>STATS1003B!AA2237/1000</f>
        <v>4463.8140000000003</v>
      </c>
      <c r="AB2233" s="69">
        <f>STATS1003B!AB2237/1000</f>
        <v>0</v>
      </c>
    </row>
    <row r="2234" spans="1:28" hidden="1" x14ac:dyDescent="0.3">
      <c r="A2234" s="117"/>
      <c r="C2234" s="68" t="s">
        <v>535</v>
      </c>
      <c r="D2234" s="87" t="s">
        <v>73</v>
      </c>
      <c r="E2234" s="85">
        <f>STATS1003B!E2238/1000</f>
        <v>752.71299999999997</v>
      </c>
      <c r="F2234" s="85">
        <f>STATS1003B!F2238/1000</f>
        <v>752.71299999999997</v>
      </c>
      <c r="G2234" s="85">
        <f>STATS1003B!G2238/1000</f>
        <v>0</v>
      </c>
      <c r="H2234" s="85">
        <f>STATS1003B!H2238/1000</f>
        <v>752.71299999999997</v>
      </c>
      <c r="I2234" s="85">
        <f>STATS1003B!I2238/1000</f>
        <v>0</v>
      </c>
      <c r="J2234" s="85">
        <f>STATS1003B!J2238/1000</f>
        <v>752.71299999999997</v>
      </c>
      <c r="K2234" s="85">
        <f>STATS1003B!K2238/1000</f>
        <v>0</v>
      </c>
      <c r="L2234" s="85">
        <f>STATS1003B!L2238/1000</f>
        <v>0</v>
      </c>
      <c r="M2234" s="85">
        <f>STATS1003B!M2238/1000</f>
        <v>752.71299999999997</v>
      </c>
      <c r="N2234" s="85">
        <f>STATS1003B!N2238/1000</f>
        <v>0</v>
      </c>
      <c r="O2234" s="85">
        <f>STATS1003B!O2238/1000</f>
        <v>0</v>
      </c>
      <c r="P2234" s="85">
        <f>STATS1003B!P2238/1000</f>
        <v>0</v>
      </c>
      <c r="Q2234" s="85">
        <f>STATS1003B!Q2238/1000</f>
        <v>752.71299999999997</v>
      </c>
      <c r="R2234" s="85">
        <f>STATS1003B!R2238/1000</f>
        <v>0</v>
      </c>
      <c r="S2234" s="85">
        <f>STATS1003B!S2238/1000</f>
        <v>0</v>
      </c>
      <c r="T2234" s="85">
        <f>STATS1003B!T2238/1000</f>
        <v>0</v>
      </c>
      <c r="U2234" s="85">
        <f>STATS1003B!U2238/1000</f>
        <v>0</v>
      </c>
      <c r="V2234" s="85">
        <f>STATS1003B!V2238/1000</f>
        <v>0</v>
      </c>
      <c r="W2234" s="85">
        <f>STATS1003B!W2238/1000</f>
        <v>0</v>
      </c>
      <c r="X2234" s="85">
        <f t="shared" si="241"/>
        <v>752.71299999999997</v>
      </c>
      <c r="Y2234" s="85">
        <f>STATS1003B!Y2238/1000</f>
        <v>0</v>
      </c>
      <c r="Z2234" s="85">
        <f t="shared" si="244"/>
        <v>0</v>
      </c>
      <c r="AA2234" s="69">
        <f>STATS1003B!AA2238/1000</f>
        <v>752.71299999999997</v>
      </c>
      <c r="AB2234" s="69">
        <f>STATS1003B!AB2238/1000</f>
        <v>0</v>
      </c>
    </row>
    <row r="2235" spans="1:28" hidden="1" x14ac:dyDescent="0.3">
      <c r="A2235" s="117"/>
      <c r="B2235" s="71" t="s">
        <v>620</v>
      </c>
      <c r="C2235" s="68" t="s">
        <v>535</v>
      </c>
      <c r="D2235" s="87" t="s">
        <v>61</v>
      </c>
      <c r="E2235" s="85">
        <f>STATS1003B!E2239/1000</f>
        <v>2331.4685499999996</v>
      </c>
      <c r="F2235" s="85">
        <f>STATS1003B!F2239/1000</f>
        <v>2331.4685499999996</v>
      </c>
      <c r="G2235" s="85">
        <f>STATS1003B!G2239/1000</f>
        <v>0</v>
      </c>
      <c r="H2235" s="85">
        <f>STATS1003B!H2239/1000</f>
        <v>2331.4685499999996</v>
      </c>
      <c r="I2235" s="85">
        <f>STATS1003B!I2239/1000</f>
        <v>0</v>
      </c>
      <c r="J2235" s="85">
        <f>STATS1003B!J2239/1000</f>
        <v>2331.4685499999996</v>
      </c>
      <c r="K2235" s="85">
        <f>STATS1003B!K2239/1000</f>
        <v>0</v>
      </c>
      <c r="L2235" s="85">
        <f>STATS1003B!L2239/1000</f>
        <v>0</v>
      </c>
      <c r="M2235" s="85">
        <f>STATS1003B!M2239/1000</f>
        <v>2331.4685499999996</v>
      </c>
      <c r="N2235" s="85">
        <f>STATS1003B!N2239/1000</f>
        <v>0</v>
      </c>
      <c r="O2235" s="85">
        <f>STATS1003B!O2239/1000</f>
        <v>0</v>
      </c>
      <c r="P2235" s="85">
        <f>STATS1003B!P2239/1000</f>
        <v>0</v>
      </c>
      <c r="Q2235" s="85">
        <f>STATS1003B!Q2239/1000</f>
        <v>2331.4685499999996</v>
      </c>
      <c r="R2235" s="85">
        <f>STATS1003B!R2239/1000</f>
        <v>0</v>
      </c>
      <c r="S2235" s="85">
        <f>STATS1003B!S2239/1000</f>
        <v>0</v>
      </c>
      <c r="T2235" s="85">
        <f>STATS1003B!T2239/1000</f>
        <v>0</v>
      </c>
      <c r="U2235" s="85">
        <f>STATS1003B!U2239/1000</f>
        <v>0</v>
      </c>
      <c r="V2235" s="85">
        <f>STATS1003B!V2239/1000</f>
        <v>0</v>
      </c>
      <c r="W2235" s="85">
        <f>STATS1003B!W2239/1000</f>
        <v>0</v>
      </c>
      <c r="X2235" s="85">
        <f t="shared" si="241"/>
        <v>2331.4685499999996</v>
      </c>
      <c r="Y2235" s="85">
        <f>STATS1003B!Y2239/1000</f>
        <v>0</v>
      </c>
      <c r="Z2235" s="85">
        <f t="shared" si="244"/>
        <v>0</v>
      </c>
      <c r="AA2235" s="69">
        <f>STATS1003B!AA2239/1000</f>
        <v>2331.4685499999996</v>
      </c>
      <c r="AB2235" s="69">
        <f>STATS1003B!AB2239/1000</f>
        <v>0</v>
      </c>
    </row>
    <row r="2236" spans="1:28" hidden="1" x14ac:dyDescent="0.3">
      <c r="A2236" s="117"/>
      <c r="B2236" s="71"/>
      <c r="C2236" s="68" t="s">
        <v>933</v>
      </c>
      <c r="D2236" s="90" t="s">
        <v>1126</v>
      </c>
      <c r="E2236" s="85">
        <f>STATS1003B!E2240/1000</f>
        <v>744</v>
      </c>
      <c r="F2236" s="85">
        <f>STATS1003B!F2240/1000</f>
        <v>744</v>
      </c>
      <c r="G2236" s="85">
        <f>STATS1003B!G2240/1000</f>
        <v>0</v>
      </c>
      <c r="H2236" s="85">
        <f>STATS1003B!H2240/1000</f>
        <v>744</v>
      </c>
      <c r="I2236" s="85">
        <f>STATS1003B!I2240/1000</f>
        <v>0</v>
      </c>
      <c r="J2236" s="85">
        <f>STATS1003B!J2240/1000</f>
        <v>744</v>
      </c>
      <c r="K2236" s="85">
        <f>STATS1003B!K2240/1000</f>
        <v>0</v>
      </c>
      <c r="L2236" s="85">
        <f>STATS1003B!L2240/1000</f>
        <v>0</v>
      </c>
      <c r="M2236" s="85">
        <f>STATS1003B!M2240/1000</f>
        <v>744</v>
      </c>
      <c r="N2236" s="85">
        <f>STATS1003B!N2240/1000</f>
        <v>0</v>
      </c>
      <c r="O2236" s="85">
        <f>STATS1003B!O2240/1000</f>
        <v>0</v>
      </c>
      <c r="P2236" s="85">
        <f>STATS1003B!P2240/1000</f>
        <v>0</v>
      </c>
      <c r="Q2236" s="85">
        <f>STATS1003B!Q2240/1000</f>
        <v>0</v>
      </c>
      <c r="R2236" s="85">
        <f>STATS1003B!R2240/1000</f>
        <v>0</v>
      </c>
      <c r="S2236" s="85">
        <f>STATS1003B!S2240/1000</f>
        <v>0</v>
      </c>
      <c r="T2236" s="85">
        <f>STATS1003B!T2240/1000</f>
        <v>0</v>
      </c>
      <c r="U2236" s="85">
        <f>STATS1003B!U2240/1000</f>
        <v>0</v>
      </c>
      <c r="V2236" s="85">
        <f>STATS1003B!V2240/1000</f>
        <v>0</v>
      </c>
      <c r="W2236" s="85">
        <f>STATS1003B!W2240/1000</f>
        <v>0</v>
      </c>
      <c r="X2236" s="85">
        <f t="shared" si="241"/>
        <v>744</v>
      </c>
      <c r="Y2236" s="85">
        <f>STATS1003B!Y2240/1000</f>
        <v>0</v>
      </c>
      <c r="Z2236" s="85">
        <f t="shared" si="244"/>
        <v>0</v>
      </c>
      <c r="AA2236" s="69">
        <f>STATS1003B!AA2240/1000</f>
        <v>744</v>
      </c>
      <c r="AB2236" s="69">
        <f>STATS1003B!AB2240/1000</f>
        <v>0</v>
      </c>
    </row>
    <row r="2237" spans="1:28" hidden="1" x14ac:dyDescent="0.3">
      <c r="A2237" s="117"/>
      <c r="B2237" s="71"/>
      <c r="C2237" s="68" t="s">
        <v>1196</v>
      </c>
      <c r="D2237" s="90" t="s">
        <v>1126</v>
      </c>
      <c r="E2237" s="85">
        <f>STATS1003B!E2241/1000</f>
        <v>1186.4222500000001</v>
      </c>
      <c r="F2237" s="85">
        <f>STATS1003B!F2241/1000</f>
        <v>1186.4222500000001</v>
      </c>
      <c r="G2237" s="85">
        <f>STATS1003B!G2241/1000</f>
        <v>0</v>
      </c>
      <c r="H2237" s="85">
        <f>STATS1003B!H2241/1000</f>
        <v>1186.4222500000001</v>
      </c>
      <c r="I2237" s="85">
        <f>STATS1003B!I2241/1000</f>
        <v>0</v>
      </c>
      <c r="J2237" s="85">
        <f>STATS1003B!J2241/1000</f>
        <v>1186.4222500000001</v>
      </c>
      <c r="K2237" s="85">
        <f>STATS1003B!K2241/1000</f>
        <v>0</v>
      </c>
      <c r="L2237" s="85">
        <f>STATS1003B!L2241/1000</f>
        <v>0</v>
      </c>
      <c r="M2237" s="85">
        <f>STATS1003B!M2241/1000</f>
        <v>1186.4222500000001</v>
      </c>
      <c r="N2237" s="85">
        <f>STATS1003B!N2241/1000</f>
        <v>0</v>
      </c>
      <c r="O2237" s="85">
        <f>STATS1003B!O2241/1000</f>
        <v>0</v>
      </c>
      <c r="P2237" s="85">
        <f>STATS1003B!P2241/1000</f>
        <v>0</v>
      </c>
      <c r="Q2237" s="85">
        <f>STATS1003B!Q2241/1000</f>
        <v>0</v>
      </c>
      <c r="R2237" s="85">
        <f>STATS1003B!R2241/1000</f>
        <v>0</v>
      </c>
      <c r="S2237" s="85">
        <f>STATS1003B!S2241/1000</f>
        <v>0</v>
      </c>
      <c r="T2237" s="85">
        <f>STATS1003B!T2241/1000</f>
        <v>0</v>
      </c>
      <c r="U2237" s="85">
        <f>STATS1003B!U2241/1000</f>
        <v>0</v>
      </c>
      <c r="V2237" s="85">
        <f>STATS1003B!V2241/1000</f>
        <v>0</v>
      </c>
      <c r="W2237" s="85">
        <f>STATS1003B!W2241/1000</f>
        <v>0</v>
      </c>
      <c r="X2237" s="85">
        <f t="shared" si="241"/>
        <v>1186.4222500000001</v>
      </c>
      <c r="Y2237" s="85">
        <f>STATS1003B!Y2241/1000</f>
        <v>0</v>
      </c>
      <c r="Z2237" s="85">
        <f t="shared" si="244"/>
        <v>0</v>
      </c>
      <c r="AA2237" s="69">
        <f>STATS1003B!AA2241/1000</f>
        <v>1186.4222500000001</v>
      </c>
      <c r="AB2237" s="69">
        <f>STATS1003B!AB2241/1000</f>
        <v>0</v>
      </c>
    </row>
    <row r="2238" spans="1:28" hidden="1" x14ac:dyDescent="0.3">
      <c r="A2238" s="105"/>
      <c r="C2238" s="68" t="s">
        <v>1249</v>
      </c>
      <c r="D2238" s="90" t="s">
        <v>1225</v>
      </c>
      <c r="E2238" s="85">
        <f>STATS1003B!E2242/1000</f>
        <v>1372.73019</v>
      </c>
      <c r="F2238" s="85">
        <f>STATS1003B!F2242/1000</f>
        <v>1372.73019</v>
      </c>
      <c r="G2238" s="85">
        <f>STATS1003B!G2242/1000</f>
        <v>0</v>
      </c>
      <c r="H2238" s="85">
        <f>STATS1003B!H2242/1000</f>
        <v>1372.73019</v>
      </c>
      <c r="I2238" s="85">
        <f>STATS1003B!I2242/1000</f>
        <v>0</v>
      </c>
      <c r="J2238" s="85">
        <f>STATS1003B!J2242/1000</f>
        <v>0</v>
      </c>
      <c r="K2238" s="85">
        <f>STATS1003B!K2242/1000</f>
        <v>0</v>
      </c>
      <c r="L2238" s="85">
        <f>STATS1003B!L2242/1000</f>
        <v>0</v>
      </c>
      <c r="M2238" s="85">
        <f>STATS1003B!M2242/1000</f>
        <v>1372.73019</v>
      </c>
      <c r="N2238" s="85">
        <f>STATS1003B!N2242/1000</f>
        <v>0</v>
      </c>
      <c r="O2238" s="85">
        <f>STATS1003B!O2242/1000</f>
        <v>0</v>
      </c>
      <c r="P2238" s="85">
        <f>STATS1003B!P2242/1000</f>
        <v>0</v>
      </c>
      <c r="Q2238" s="85">
        <f>STATS1003B!Q2242/1000</f>
        <v>0</v>
      </c>
      <c r="R2238" s="85">
        <f>STATS1003B!R2242/1000</f>
        <v>0</v>
      </c>
      <c r="S2238" s="85">
        <f>STATS1003B!S2242/1000</f>
        <v>0</v>
      </c>
      <c r="T2238" s="85">
        <f>STATS1003B!T2242/1000</f>
        <v>0</v>
      </c>
      <c r="U2238" s="85">
        <f>STATS1003B!U2242/1000</f>
        <v>0</v>
      </c>
      <c r="V2238" s="85">
        <f>STATS1003B!V2242/1000</f>
        <v>0</v>
      </c>
      <c r="W2238" s="85">
        <f>STATS1003B!W2242/1000</f>
        <v>0</v>
      </c>
      <c r="X2238" s="85">
        <f t="shared" si="241"/>
        <v>1372.73019</v>
      </c>
      <c r="Y2238" s="85">
        <f>STATS1003B!Y2242/1000</f>
        <v>0</v>
      </c>
      <c r="Z2238" s="85">
        <f t="shared" si="244"/>
        <v>0</v>
      </c>
      <c r="AA2238" s="69">
        <f>STATS1003B!AA2242/1000</f>
        <v>1372.73019</v>
      </c>
      <c r="AB2238" s="69">
        <f>STATS1003B!AB2242/1000</f>
        <v>0</v>
      </c>
    </row>
    <row r="2239" spans="1:28" hidden="1" x14ac:dyDescent="0.3">
      <c r="A2239" s="117"/>
      <c r="C2239" s="68" t="s">
        <v>577</v>
      </c>
      <c r="E2239" s="85">
        <f>STATS1003B!E2243/1000</f>
        <v>191.65</v>
      </c>
      <c r="F2239" s="85">
        <f>STATS1003B!F2243/1000</f>
        <v>191.65</v>
      </c>
      <c r="G2239" s="85">
        <f>STATS1003B!G2243/1000</f>
        <v>0</v>
      </c>
      <c r="H2239" s="85">
        <f>STATS1003B!H2243/1000</f>
        <v>191.65</v>
      </c>
      <c r="I2239" s="85">
        <f>STATS1003B!I2243/1000</f>
        <v>0</v>
      </c>
      <c r="J2239" s="85">
        <f>STATS1003B!J2243/1000</f>
        <v>191.65</v>
      </c>
      <c r="K2239" s="85">
        <f>STATS1003B!K2243/1000</f>
        <v>0</v>
      </c>
      <c r="L2239" s="85">
        <f>STATS1003B!L2243/1000</f>
        <v>0</v>
      </c>
      <c r="M2239" s="85">
        <f>STATS1003B!M2243/1000</f>
        <v>191.65</v>
      </c>
      <c r="N2239" s="85">
        <f>STATS1003B!N2243/1000</f>
        <v>0</v>
      </c>
      <c r="O2239" s="85">
        <f>STATS1003B!O2243/1000</f>
        <v>0</v>
      </c>
      <c r="P2239" s="85">
        <f>STATS1003B!P2243/1000</f>
        <v>0</v>
      </c>
      <c r="Q2239" s="85">
        <f>STATS1003B!Q2243/1000</f>
        <v>191.65</v>
      </c>
      <c r="R2239" s="85">
        <f>STATS1003B!R2243/1000</f>
        <v>0</v>
      </c>
      <c r="S2239" s="85">
        <f>STATS1003B!S2243/1000</f>
        <v>0</v>
      </c>
      <c r="T2239" s="85">
        <f>STATS1003B!T2243/1000</f>
        <v>0</v>
      </c>
      <c r="U2239" s="85">
        <f>STATS1003B!U2243/1000</f>
        <v>0</v>
      </c>
      <c r="V2239" s="85">
        <f>STATS1003B!V2243/1000</f>
        <v>0</v>
      </c>
      <c r="W2239" s="85">
        <f>STATS1003B!W2243/1000</f>
        <v>0</v>
      </c>
      <c r="X2239" s="85">
        <f t="shared" si="241"/>
        <v>191.65</v>
      </c>
      <c r="Y2239" s="85">
        <f>STATS1003B!Y2243/1000</f>
        <v>0</v>
      </c>
      <c r="Z2239" s="85">
        <f t="shared" si="244"/>
        <v>0</v>
      </c>
      <c r="AA2239" s="69">
        <f>STATS1003B!AA2243/1000</f>
        <v>191.65</v>
      </c>
      <c r="AB2239" s="69">
        <f>STATS1003B!AB2243/1000</f>
        <v>0</v>
      </c>
    </row>
    <row r="2240" spans="1:28" hidden="1" x14ac:dyDescent="0.3">
      <c r="A2240" s="117"/>
      <c r="C2240" s="68" t="s">
        <v>598</v>
      </c>
      <c r="E2240" s="85">
        <f>STATS1003B!E2244/1000</f>
        <v>177.56</v>
      </c>
      <c r="F2240" s="85">
        <f>STATS1003B!F2244/1000</f>
        <v>177.56</v>
      </c>
      <c r="G2240" s="85">
        <f>STATS1003B!G2244/1000</f>
        <v>0</v>
      </c>
      <c r="H2240" s="85">
        <f>STATS1003B!H2244/1000</f>
        <v>177.56</v>
      </c>
      <c r="I2240" s="85">
        <f>STATS1003B!I2244/1000</f>
        <v>0</v>
      </c>
      <c r="J2240" s="85">
        <f>STATS1003B!J2244/1000</f>
        <v>177.56</v>
      </c>
      <c r="K2240" s="85">
        <f>STATS1003B!K2244/1000</f>
        <v>0</v>
      </c>
      <c r="L2240" s="85">
        <f>STATS1003B!L2244/1000</f>
        <v>0</v>
      </c>
      <c r="M2240" s="85">
        <f>STATS1003B!M2244/1000</f>
        <v>177.56</v>
      </c>
      <c r="N2240" s="85">
        <f>STATS1003B!N2244/1000</f>
        <v>0</v>
      </c>
      <c r="O2240" s="85">
        <f>STATS1003B!O2244/1000</f>
        <v>0</v>
      </c>
      <c r="P2240" s="85">
        <f>STATS1003B!P2244/1000</f>
        <v>0</v>
      </c>
      <c r="Q2240" s="85">
        <f>STATS1003B!Q2244/1000</f>
        <v>177.56</v>
      </c>
      <c r="R2240" s="85">
        <f>STATS1003B!R2244/1000</f>
        <v>0</v>
      </c>
      <c r="S2240" s="85">
        <f>STATS1003B!S2244/1000</f>
        <v>0</v>
      </c>
      <c r="T2240" s="85">
        <f>STATS1003B!T2244/1000</f>
        <v>0</v>
      </c>
      <c r="U2240" s="85">
        <f>STATS1003B!U2244/1000</f>
        <v>0</v>
      </c>
      <c r="V2240" s="85">
        <f>STATS1003B!V2244/1000</f>
        <v>0</v>
      </c>
      <c r="W2240" s="85">
        <f>STATS1003B!W2244/1000</f>
        <v>0</v>
      </c>
      <c r="X2240" s="85">
        <f t="shared" ref="X2240:X2292" si="247">+H2240+P2240</f>
        <v>177.56</v>
      </c>
      <c r="Y2240" s="85">
        <f>STATS1003B!Y2244/1000</f>
        <v>0</v>
      </c>
      <c r="Z2240" s="85">
        <f t="shared" si="244"/>
        <v>0</v>
      </c>
      <c r="AA2240" s="69">
        <f>STATS1003B!AA2244/1000</f>
        <v>177.56</v>
      </c>
      <c r="AB2240" s="69">
        <f>STATS1003B!AB2244/1000</f>
        <v>0</v>
      </c>
    </row>
    <row r="2241" spans="1:28" hidden="1" x14ac:dyDescent="0.3">
      <c r="A2241" s="117"/>
      <c r="C2241" s="68" t="s">
        <v>606</v>
      </c>
      <c r="E2241" s="85">
        <f>STATS1003B!E2245/1000</f>
        <v>7500</v>
      </c>
      <c r="F2241" s="85">
        <f>STATS1003B!F2245/1000</f>
        <v>7500</v>
      </c>
      <c r="G2241" s="85">
        <f>STATS1003B!G2245/1000</f>
        <v>0</v>
      </c>
      <c r="H2241" s="85">
        <f>STATS1003B!H2245/1000</f>
        <v>7500</v>
      </c>
      <c r="I2241" s="85">
        <f>STATS1003B!I2245/1000</f>
        <v>0</v>
      </c>
      <c r="J2241" s="85">
        <f>STATS1003B!J2245/1000</f>
        <v>7500</v>
      </c>
      <c r="K2241" s="85">
        <f>STATS1003B!K2245/1000</f>
        <v>0</v>
      </c>
      <c r="L2241" s="85">
        <f>STATS1003B!L2245/1000</f>
        <v>0</v>
      </c>
      <c r="M2241" s="85">
        <f>STATS1003B!M2245/1000</f>
        <v>7500</v>
      </c>
      <c r="N2241" s="85">
        <f>STATS1003B!N2245/1000</f>
        <v>0</v>
      </c>
      <c r="O2241" s="85">
        <f>STATS1003B!O2245/1000</f>
        <v>0</v>
      </c>
      <c r="P2241" s="85">
        <f>STATS1003B!P2245/1000</f>
        <v>0</v>
      </c>
      <c r="Q2241" s="85">
        <f>STATS1003B!Q2245/1000</f>
        <v>7500</v>
      </c>
      <c r="R2241" s="85">
        <f>STATS1003B!R2245/1000</f>
        <v>0</v>
      </c>
      <c r="S2241" s="85">
        <f>STATS1003B!S2245/1000</f>
        <v>0</v>
      </c>
      <c r="T2241" s="85">
        <f>STATS1003B!T2245/1000</f>
        <v>0</v>
      </c>
      <c r="U2241" s="85">
        <f>STATS1003B!U2245/1000</f>
        <v>0</v>
      </c>
      <c r="V2241" s="85">
        <f>STATS1003B!V2245/1000</f>
        <v>0</v>
      </c>
      <c r="W2241" s="85">
        <f>STATS1003B!W2245/1000</f>
        <v>0</v>
      </c>
      <c r="X2241" s="85">
        <f t="shared" si="247"/>
        <v>7500</v>
      </c>
      <c r="Y2241" s="85">
        <f>STATS1003B!Y2245/1000</f>
        <v>0</v>
      </c>
      <c r="Z2241" s="85">
        <f t="shared" si="244"/>
        <v>0</v>
      </c>
      <c r="AA2241" s="69">
        <f>STATS1003B!AA2245/1000</f>
        <v>7500</v>
      </c>
      <c r="AB2241" s="69">
        <f>STATS1003B!AB2245/1000</f>
        <v>0</v>
      </c>
    </row>
    <row r="2242" spans="1:28" hidden="1" x14ac:dyDescent="0.3">
      <c r="A2242" s="117"/>
      <c r="E2242" s="86" t="s">
        <v>29</v>
      </c>
      <c r="F2242" s="86" t="s">
        <v>29</v>
      </c>
      <c r="G2242" s="86" t="s">
        <v>29</v>
      </c>
      <c r="H2242" s="86" t="s">
        <v>29</v>
      </c>
      <c r="I2242" s="86" t="s">
        <v>29</v>
      </c>
      <c r="J2242" s="86" t="s">
        <v>29</v>
      </c>
      <c r="K2242" s="86" t="s">
        <v>29</v>
      </c>
      <c r="L2242" s="86" t="s">
        <v>29</v>
      </c>
      <c r="M2242" s="86" t="s">
        <v>29</v>
      </c>
      <c r="N2242" s="86" t="s">
        <v>29</v>
      </c>
      <c r="O2242" s="86" t="s">
        <v>29</v>
      </c>
      <c r="P2242" s="86" t="s">
        <v>29</v>
      </c>
      <c r="Q2242" s="86" t="s">
        <v>29</v>
      </c>
      <c r="R2242" s="86" t="s">
        <v>29</v>
      </c>
      <c r="S2242" s="86" t="s">
        <v>29</v>
      </c>
      <c r="T2242" s="86" t="s">
        <v>29</v>
      </c>
      <c r="U2242" s="86" t="s">
        <v>29</v>
      </c>
      <c r="V2242" s="86" t="s">
        <v>29</v>
      </c>
      <c r="W2242" s="86" t="s">
        <v>29</v>
      </c>
      <c r="X2242" s="85" t="e">
        <f t="shared" si="247"/>
        <v>#VALUE!</v>
      </c>
      <c r="Y2242" s="86" t="s">
        <v>29</v>
      </c>
      <c r="Z2242" s="85" t="e">
        <f t="shared" si="244"/>
        <v>#VALUE!</v>
      </c>
      <c r="AA2242" s="115" t="s">
        <v>29</v>
      </c>
      <c r="AB2242" s="115" t="s">
        <v>29</v>
      </c>
    </row>
    <row r="2243" spans="1:28" x14ac:dyDescent="0.3">
      <c r="A2243" s="116">
        <v>97</v>
      </c>
      <c r="B2243" s="68" t="s">
        <v>827</v>
      </c>
      <c r="E2243" s="85">
        <f>77240855.9/1000</f>
        <v>77240.85590000001</v>
      </c>
      <c r="F2243" s="85">
        <f t="shared" ref="F2243:Q2243" si="248">SUM(F2222:F2242)</f>
        <v>35084.268100000001</v>
      </c>
      <c r="G2243" s="85">
        <f t="shared" si="248"/>
        <v>0</v>
      </c>
      <c r="H2243" s="85">
        <f>64728364.16/1000</f>
        <v>64728.364159999997</v>
      </c>
      <c r="I2243" s="85">
        <f t="shared" si="248"/>
        <v>0</v>
      </c>
      <c r="J2243" s="85">
        <f t="shared" si="248"/>
        <v>33711.537910000006</v>
      </c>
      <c r="K2243" s="85">
        <f t="shared" si="248"/>
        <v>12507.356740000001</v>
      </c>
      <c r="L2243" s="85">
        <f t="shared" si="248"/>
        <v>0</v>
      </c>
      <c r="M2243" s="85">
        <f t="shared" si="248"/>
        <v>35084.268100000001</v>
      </c>
      <c r="N2243" s="85">
        <f t="shared" si="248"/>
        <v>12507.356740000001</v>
      </c>
      <c r="O2243" s="85">
        <f t="shared" si="248"/>
        <v>0</v>
      </c>
      <c r="P2243" s="85">
        <f>12507356/1000</f>
        <v>12507.356</v>
      </c>
      <c r="Q2243" s="85">
        <f t="shared" si="248"/>
        <v>31786.250660000002</v>
      </c>
      <c r="R2243" s="84"/>
      <c r="S2243" s="84"/>
      <c r="T2243" s="85">
        <f t="shared" ref="T2243:Y2243" si="249">SUM(T2222:T2242)</f>
        <v>0</v>
      </c>
      <c r="U2243" s="85">
        <f t="shared" si="249"/>
        <v>12507.356740000001</v>
      </c>
      <c r="V2243" s="85">
        <f t="shared" si="249"/>
        <v>0</v>
      </c>
      <c r="W2243" s="85">
        <f t="shared" si="249"/>
        <v>0</v>
      </c>
      <c r="X2243" s="85">
        <f t="shared" si="247"/>
        <v>77235.720159999997</v>
      </c>
      <c r="Y2243" s="85">
        <f t="shared" si="249"/>
        <v>0</v>
      </c>
      <c r="Z2243" s="85">
        <f t="shared" si="244"/>
        <v>5.1357400000124471</v>
      </c>
      <c r="AA2243" s="69">
        <f>SUM(AA2222:AA2242)</f>
        <v>47591.624840000011</v>
      </c>
      <c r="AB2243" s="69">
        <f>SUM(AB2222:AB2242)</f>
        <v>5.1349999999999998</v>
      </c>
    </row>
    <row r="2244" spans="1:28" hidden="1" x14ac:dyDescent="0.3">
      <c r="A2244" s="117"/>
      <c r="E2244" s="86" t="s">
        <v>29</v>
      </c>
      <c r="F2244" s="86" t="s">
        <v>29</v>
      </c>
      <c r="G2244" s="86" t="s">
        <v>29</v>
      </c>
      <c r="H2244" s="86" t="s">
        <v>29</v>
      </c>
      <c r="I2244" s="86" t="s">
        <v>29</v>
      </c>
      <c r="J2244" s="86" t="s">
        <v>29</v>
      </c>
      <c r="K2244" s="86" t="s">
        <v>29</v>
      </c>
      <c r="L2244" s="86" t="s">
        <v>29</v>
      </c>
      <c r="M2244" s="86" t="s">
        <v>29</v>
      </c>
      <c r="N2244" s="86" t="s">
        <v>29</v>
      </c>
      <c r="O2244" s="86" t="s">
        <v>29</v>
      </c>
      <c r="P2244" s="86" t="s">
        <v>29</v>
      </c>
      <c r="Q2244" s="86" t="s">
        <v>29</v>
      </c>
      <c r="R2244" s="86" t="s">
        <v>29</v>
      </c>
      <c r="S2244" s="86" t="s">
        <v>29</v>
      </c>
      <c r="T2244" s="86" t="s">
        <v>29</v>
      </c>
      <c r="U2244" s="86" t="s">
        <v>29</v>
      </c>
      <c r="V2244" s="86" t="s">
        <v>29</v>
      </c>
      <c r="W2244" s="86" t="s">
        <v>29</v>
      </c>
      <c r="X2244" s="85" t="e">
        <f t="shared" si="247"/>
        <v>#VALUE!</v>
      </c>
      <c r="Y2244" s="86" t="s">
        <v>29</v>
      </c>
      <c r="Z2244" s="85" t="e">
        <f t="shared" si="244"/>
        <v>#VALUE!</v>
      </c>
      <c r="AA2244" s="115" t="s">
        <v>29</v>
      </c>
      <c r="AB2244" s="115" t="s">
        <v>29</v>
      </c>
    </row>
    <row r="2245" spans="1:28" hidden="1" x14ac:dyDescent="0.3">
      <c r="A2245" s="105"/>
      <c r="E2245" s="84"/>
      <c r="F2245" s="84"/>
      <c r="G2245" s="84"/>
      <c r="H2245" s="84"/>
      <c r="I2245" s="84"/>
      <c r="J2245" s="84"/>
      <c r="K2245" s="84"/>
      <c r="L2245" s="84"/>
      <c r="M2245" s="84"/>
      <c r="N2245" s="84"/>
      <c r="O2245" s="84"/>
      <c r="P2245" s="84"/>
      <c r="Q2245" s="84"/>
      <c r="R2245" s="84"/>
      <c r="S2245" s="84"/>
      <c r="T2245" s="84"/>
      <c r="U2245" s="84"/>
      <c r="V2245" s="84"/>
      <c r="W2245" s="84"/>
      <c r="X2245" s="85">
        <f t="shared" si="247"/>
        <v>0</v>
      </c>
      <c r="Y2245" s="84"/>
      <c r="Z2245" s="85">
        <f t="shared" si="244"/>
        <v>0</v>
      </c>
    </row>
    <row r="2246" spans="1:28" hidden="1" x14ac:dyDescent="0.3">
      <c r="A2246" s="117"/>
      <c r="C2246" s="68" t="s">
        <v>535</v>
      </c>
      <c r="D2246" s="87" t="s">
        <v>68</v>
      </c>
      <c r="E2246" s="85">
        <f>STATS1003B!E2250/1000</f>
        <v>773.41519999999991</v>
      </c>
      <c r="F2246" s="85">
        <f>STATS1003B!F2250/1000</f>
        <v>232.18600000000001</v>
      </c>
      <c r="G2246" s="85">
        <f>STATS1003B!G2250/1000</f>
        <v>0</v>
      </c>
      <c r="H2246" s="85">
        <f>STATS1003B!H2250/1000</f>
        <v>232.18600000000001</v>
      </c>
      <c r="I2246" s="85">
        <f>STATS1003B!I2250/1000</f>
        <v>0</v>
      </c>
      <c r="J2246" s="85">
        <f>STATS1003B!J2250/1000</f>
        <v>232.18600000000001</v>
      </c>
      <c r="K2246" s="85">
        <f>STATS1003B!K2250/1000</f>
        <v>541.22919999999999</v>
      </c>
      <c r="L2246" s="85">
        <f>STATS1003B!L2250/1000</f>
        <v>0</v>
      </c>
      <c r="M2246" s="85">
        <f>STATS1003B!M2250/1000</f>
        <v>232.18600000000001</v>
      </c>
      <c r="N2246" s="85">
        <f>STATS1003B!N2250/1000</f>
        <v>541.22919999999999</v>
      </c>
      <c r="O2246" s="85">
        <f>STATS1003B!O2250/1000</f>
        <v>0</v>
      </c>
      <c r="P2246" s="85">
        <f>STATS1003B!P2250/1000</f>
        <v>541.22919999999999</v>
      </c>
      <c r="Q2246" s="85">
        <f>STATS1003B!Q2250/1000</f>
        <v>232.18600000000001</v>
      </c>
      <c r="R2246" s="85">
        <f>STATS1003B!R2250/1000</f>
        <v>0</v>
      </c>
      <c r="S2246" s="85">
        <f>STATS1003B!S2250/1000</f>
        <v>0</v>
      </c>
      <c r="T2246" s="85">
        <f>STATS1003B!T2250/1000</f>
        <v>0</v>
      </c>
      <c r="U2246" s="85">
        <f>STATS1003B!U2250/1000</f>
        <v>541.22919999999999</v>
      </c>
      <c r="V2246" s="85">
        <f>STATS1003B!V2250/1000</f>
        <v>0</v>
      </c>
      <c r="W2246" s="85">
        <f>STATS1003B!W2250/1000</f>
        <v>0</v>
      </c>
      <c r="X2246" s="85">
        <f t="shared" si="247"/>
        <v>773.41520000000003</v>
      </c>
      <c r="Y2246" s="85">
        <f>STATS1003B!Y2250/1000</f>
        <v>0</v>
      </c>
      <c r="Z2246" s="85">
        <f t="shared" si="244"/>
        <v>0</v>
      </c>
      <c r="AA2246" s="69">
        <f>STATS1003B!AA2250/1000</f>
        <v>773.41519999999991</v>
      </c>
      <c r="AB2246" s="69">
        <f>STATS1003B!AB2250/1000</f>
        <v>0</v>
      </c>
    </row>
    <row r="2247" spans="1:28" hidden="1" x14ac:dyDescent="0.3">
      <c r="A2247" s="117"/>
      <c r="C2247" s="68" t="s">
        <v>539</v>
      </c>
      <c r="D2247" s="87" t="s">
        <v>68</v>
      </c>
      <c r="E2247" s="85">
        <f>STATS1003B!E2251/1000</f>
        <v>385.35840000000002</v>
      </c>
      <c r="F2247" s="85">
        <f>STATS1003B!F2251/1000</f>
        <v>0</v>
      </c>
      <c r="G2247" s="85">
        <f>STATS1003B!G2251/1000</f>
        <v>0</v>
      </c>
      <c r="H2247" s="85">
        <f>STATS1003B!H2251/1000</f>
        <v>0</v>
      </c>
      <c r="I2247" s="85">
        <f>STATS1003B!I2251/1000</f>
        <v>0</v>
      </c>
      <c r="J2247" s="85">
        <f>STATS1003B!J2251/1000</f>
        <v>0</v>
      </c>
      <c r="K2247" s="85">
        <f>STATS1003B!K2251/1000</f>
        <v>385.35840000000002</v>
      </c>
      <c r="L2247" s="85">
        <f>STATS1003B!L2251/1000</f>
        <v>0</v>
      </c>
      <c r="M2247" s="85">
        <f>STATS1003B!M2251/1000</f>
        <v>0</v>
      </c>
      <c r="N2247" s="85">
        <f>STATS1003B!N2251/1000</f>
        <v>385.35840000000002</v>
      </c>
      <c r="O2247" s="85">
        <f>STATS1003B!O2251/1000</f>
        <v>0</v>
      </c>
      <c r="P2247" s="85">
        <f>STATS1003B!P2251/1000</f>
        <v>385.35840000000002</v>
      </c>
      <c r="Q2247" s="85">
        <f>STATS1003B!Q2251/1000</f>
        <v>0</v>
      </c>
      <c r="R2247" s="85">
        <f>STATS1003B!R2251/1000</f>
        <v>0</v>
      </c>
      <c r="S2247" s="85">
        <f>STATS1003B!S2251/1000</f>
        <v>0</v>
      </c>
      <c r="T2247" s="85">
        <f>STATS1003B!T2251/1000</f>
        <v>0</v>
      </c>
      <c r="U2247" s="85">
        <f>STATS1003B!U2251/1000</f>
        <v>385.35840000000002</v>
      </c>
      <c r="V2247" s="85">
        <f>STATS1003B!V2251/1000</f>
        <v>0</v>
      </c>
      <c r="W2247" s="85">
        <f>STATS1003B!W2251/1000</f>
        <v>0</v>
      </c>
      <c r="X2247" s="85">
        <f t="shared" si="247"/>
        <v>385.35840000000002</v>
      </c>
      <c r="Y2247" s="85">
        <f>STATS1003B!Y2251/1000</f>
        <v>0</v>
      </c>
      <c r="Z2247" s="85">
        <f t="shared" si="244"/>
        <v>0</v>
      </c>
      <c r="AA2247" s="69">
        <f>STATS1003B!AA2251/1000</f>
        <v>385.35840000000002</v>
      </c>
      <c r="AB2247" s="69">
        <f>STATS1003B!AB2251/1000</f>
        <v>0</v>
      </c>
    </row>
    <row r="2248" spans="1:28" hidden="1" x14ac:dyDescent="0.3">
      <c r="A2248" s="117"/>
      <c r="C2248" s="68" t="s">
        <v>535</v>
      </c>
      <c r="D2248" s="87" t="s">
        <v>54</v>
      </c>
      <c r="E2248" s="85">
        <f>STATS1003B!E2252/1000</f>
        <v>199</v>
      </c>
      <c r="F2248" s="85">
        <f>STATS1003B!F2252/1000</f>
        <v>199</v>
      </c>
      <c r="G2248" s="85">
        <f>STATS1003B!G2252/1000</f>
        <v>0</v>
      </c>
      <c r="H2248" s="85">
        <f>STATS1003B!H2252/1000</f>
        <v>199</v>
      </c>
      <c r="I2248" s="85">
        <f>STATS1003B!I2252/1000</f>
        <v>0</v>
      </c>
      <c r="J2248" s="85">
        <f>STATS1003B!J2252/1000</f>
        <v>199</v>
      </c>
      <c r="K2248" s="85">
        <f>STATS1003B!K2252/1000</f>
        <v>0</v>
      </c>
      <c r="L2248" s="85">
        <f>STATS1003B!L2252/1000</f>
        <v>0</v>
      </c>
      <c r="M2248" s="85">
        <f>STATS1003B!M2252/1000</f>
        <v>199</v>
      </c>
      <c r="N2248" s="85">
        <f>STATS1003B!N2252/1000</f>
        <v>0</v>
      </c>
      <c r="O2248" s="85">
        <f>STATS1003B!O2252/1000</f>
        <v>0</v>
      </c>
      <c r="P2248" s="85">
        <f>STATS1003B!P2252/1000</f>
        <v>0</v>
      </c>
      <c r="Q2248" s="85">
        <f>STATS1003B!Q2252/1000</f>
        <v>199</v>
      </c>
      <c r="R2248" s="85">
        <f>STATS1003B!R2252/1000</f>
        <v>0</v>
      </c>
      <c r="S2248" s="85">
        <f>STATS1003B!S2252/1000</f>
        <v>0</v>
      </c>
      <c r="T2248" s="85">
        <f>STATS1003B!T2252/1000</f>
        <v>0</v>
      </c>
      <c r="U2248" s="85">
        <f>STATS1003B!U2252/1000</f>
        <v>0</v>
      </c>
      <c r="V2248" s="85">
        <f>STATS1003B!V2252/1000</f>
        <v>0</v>
      </c>
      <c r="W2248" s="85">
        <f>STATS1003B!W2252/1000</f>
        <v>0</v>
      </c>
      <c r="X2248" s="85">
        <f t="shared" si="247"/>
        <v>199</v>
      </c>
      <c r="Y2248" s="85">
        <f>STATS1003B!Y2252/1000</f>
        <v>0</v>
      </c>
      <c r="Z2248" s="85">
        <f t="shared" si="244"/>
        <v>0</v>
      </c>
      <c r="AA2248" s="69">
        <f>STATS1003B!AA2252/1000</f>
        <v>199</v>
      </c>
      <c r="AB2248" s="69">
        <f>STATS1003B!AB2252/1000</f>
        <v>0</v>
      </c>
    </row>
    <row r="2249" spans="1:28" hidden="1" x14ac:dyDescent="0.3">
      <c r="A2249" s="117"/>
      <c r="C2249" s="68" t="s">
        <v>545</v>
      </c>
      <c r="D2249" s="87" t="s">
        <v>54</v>
      </c>
      <c r="E2249" s="85">
        <f>STATS1003B!E2253/1000</f>
        <v>570.94100000000003</v>
      </c>
      <c r="F2249" s="85">
        <f>STATS1003B!F2253/1000</f>
        <v>0</v>
      </c>
      <c r="G2249" s="85">
        <f>STATS1003B!G2253/1000</f>
        <v>0</v>
      </c>
      <c r="H2249" s="85">
        <f>STATS1003B!H2253/1000</f>
        <v>0</v>
      </c>
      <c r="I2249" s="85">
        <f>STATS1003B!I2253/1000</f>
        <v>0</v>
      </c>
      <c r="J2249" s="85">
        <f>STATS1003B!J2253/1000</f>
        <v>0</v>
      </c>
      <c r="K2249" s="85">
        <f>STATS1003B!K2253/1000</f>
        <v>570.94100000000003</v>
      </c>
      <c r="L2249" s="85">
        <f>STATS1003B!L2253/1000</f>
        <v>0</v>
      </c>
      <c r="M2249" s="85">
        <f>STATS1003B!M2253/1000</f>
        <v>0</v>
      </c>
      <c r="N2249" s="85">
        <f>STATS1003B!N2253/1000</f>
        <v>570.94100000000003</v>
      </c>
      <c r="O2249" s="85">
        <f>STATS1003B!O2253/1000</f>
        <v>0</v>
      </c>
      <c r="P2249" s="85">
        <f>STATS1003B!P2253/1000</f>
        <v>570.94100000000003</v>
      </c>
      <c r="Q2249" s="85">
        <f>STATS1003B!Q2253/1000</f>
        <v>0</v>
      </c>
      <c r="R2249" s="85">
        <f>STATS1003B!R2253/1000</f>
        <v>0</v>
      </c>
      <c r="S2249" s="85">
        <f>STATS1003B!S2253/1000</f>
        <v>0</v>
      </c>
      <c r="T2249" s="85">
        <f>STATS1003B!T2253/1000</f>
        <v>0</v>
      </c>
      <c r="U2249" s="85">
        <f>STATS1003B!U2253/1000</f>
        <v>570.94100000000003</v>
      </c>
      <c r="V2249" s="85">
        <f>STATS1003B!V2253/1000</f>
        <v>0</v>
      </c>
      <c r="W2249" s="85">
        <f>STATS1003B!W2253/1000</f>
        <v>0</v>
      </c>
      <c r="X2249" s="85">
        <f t="shared" si="247"/>
        <v>570.94100000000003</v>
      </c>
      <c r="Y2249" s="85">
        <f>STATS1003B!Y2253/1000</f>
        <v>0</v>
      </c>
      <c r="Z2249" s="85">
        <f t="shared" si="244"/>
        <v>0</v>
      </c>
      <c r="AA2249" s="69">
        <f>STATS1003B!AA2253/1000</f>
        <v>570.94100000000003</v>
      </c>
      <c r="AB2249" s="69">
        <f>STATS1003B!AB2253/1000</f>
        <v>0</v>
      </c>
    </row>
    <row r="2250" spans="1:28" hidden="1" x14ac:dyDescent="0.3">
      <c r="A2250" s="117"/>
      <c r="C2250" s="68" t="s">
        <v>557</v>
      </c>
      <c r="D2250" s="87" t="s">
        <v>54</v>
      </c>
      <c r="E2250" s="85">
        <f>STATS1003B!E2254/1000</f>
        <v>1500</v>
      </c>
      <c r="F2250" s="85">
        <f>STATS1003B!F2254/1000</f>
        <v>1500</v>
      </c>
      <c r="G2250" s="85">
        <f>STATS1003B!G2254/1000</f>
        <v>0</v>
      </c>
      <c r="H2250" s="85">
        <f>STATS1003B!H2254/1000</f>
        <v>1500</v>
      </c>
      <c r="I2250" s="85">
        <f>STATS1003B!I2254/1000</f>
        <v>0</v>
      </c>
      <c r="J2250" s="85">
        <f>STATS1003B!J2254/1000</f>
        <v>1500</v>
      </c>
      <c r="K2250" s="85">
        <f>STATS1003B!K2254/1000</f>
        <v>0</v>
      </c>
      <c r="L2250" s="85">
        <f>STATS1003B!L2254/1000</f>
        <v>0</v>
      </c>
      <c r="M2250" s="85">
        <f>STATS1003B!M2254/1000</f>
        <v>1500</v>
      </c>
      <c r="N2250" s="85">
        <f>STATS1003B!N2254/1000</f>
        <v>0</v>
      </c>
      <c r="O2250" s="85">
        <f>STATS1003B!O2254/1000</f>
        <v>0</v>
      </c>
      <c r="P2250" s="85">
        <f>STATS1003B!P2254/1000</f>
        <v>0</v>
      </c>
      <c r="Q2250" s="85">
        <f>STATS1003B!Q2254/1000</f>
        <v>1500</v>
      </c>
      <c r="R2250" s="85">
        <f>STATS1003B!R2254/1000</f>
        <v>0</v>
      </c>
      <c r="S2250" s="85">
        <f>STATS1003B!S2254/1000</f>
        <v>0</v>
      </c>
      <c r="T2250" s="85">
        <f>STATS1003B!T2254/1000</f>
        <v>0</v>
      </c>
      <c r="U2250" s="85">
        <f>STATS1003B!U2254/1000</f>
        <v>0</v>
      </c>
      <c r="V2250" s="85">
        <f>STATS1003B!V2254/1000</f>
        <v>0</v>
      </c>
      <c r="W2250" s="85">
        <f>STATS1003B!W2254/1000</f>
        <v>0</v>
      </c>
      <c r="X2250" s="85">
        <f t="shared" si="247"/>
        <v>1500</v>
      </c>
      <c r="Y2250" s="85">
        <f>STATS1003B!Y2254/1000</f>
        <v>0</v>
      </c>
      <c r="Z2250" s="85">
        <f t="shared" si="244"/>
        <v>0</v>
      </c>
      <c r="AA2250" s="69">
        <f>STATS1003B!AA2254/1000</f>
        <v>1500</v>
      </c>
      <c r="AB2250" s="69">
        <f>STATS1003B!AB2254/1000</f>
        <v>0</v>
      </c>
    </row>
    <row r="2251" spans="1:28" hidden="1" x14ac:dyDescent="0.3">
      <c r="A2251" s="117"/>
      <c r="C2251" s="68" t="s">
        <v>535</v>
      </c>
      <c r="D2251" s="87" t="s">
        <v>85</v>
      </c>
      <c r="E2251" s="85">
        <f>STATS1003B!E2255/1000</f>
        <v>270</v>
      </c>
      <c r="F2251" s="85">
        <f>STATS1003B!F2255/1000</f>
        <v>270</v>
      </c>
      <c r="G2251" s="85">
        <f>STATS1003B!G2255/1000</f>
        <v>0</v>
      </c>
      <c r="H2251" s="85">
        <f>STATS1003B!H2255/1000</f>
        <v>270</v>
      </c>
      <c r="I2251" s="85">
        <f>STATS1003B!I2255/1000</f>
        <v>0</v>
      </c>
      <c r="J2251" s="85">
        <f>STATS1003B!J2255/1000</f>
        <v>270</v>
      </c>
      <c r="K2251" s="85">
        <f>STATS1003B!K2255/1000</f>
        <v>0</v>
      </c>
      <c r="L2251" s="85">
        <f>STATS1003B!L2255/1000</f>
        <v>0</v>
      </c>
      <c r="M2251" s="85">
        <f>STATS1003B!M2255/1000</f>
        <v>270</v>
      </c>
      <c r="N2251" s="85">
        <f>STATS1003B!N2255/1000</f>
        <v>0</v>
      </c>
      <c r="O2251" s="85">
        <f>STATS1003B!O2255/1000</f>
        <v>0</v>
      </c>
      <c r="P2251" s="85">
        <f>STATS1003B!P2255/1000</f>
        <v>0</v>
      </c>
      <c r="Q2251" s="85">
        <f>STATS1003B!Q2255/1000</f>
        <v>270</v>
      </c>
      <c r="R2251" s="85">
        <f>STATS1003B!R2255/1000</f>
        <v>0</v>
      </c>
      <c r="S2251" s="85">
        <f>STATS1003B!S2255/1000</f>
        <v>0</v>
      </c>
      <c r="T2251" s="85">
        <f>STATS1003B!T2255/1000</f>
        <v>0</v>
      </c>
      <c r="U2251" s="85">
        <f>STATS1003B!U2255/1000</f>
        <v>0</v>
      </c>
      <c r="V2251" s="85">
        <f>STATS1003B!V2255/1000</f>
        <v>0</v>
      </c>
      <c r="W2251" s="85">
        <f>STATS1003B!W2255/1000</f>
        <v>0</v>
      </c>
      <c r="X2251" s="85">
        <f t="shared" si="247"/>
        <v>270</v>
      </c>
      <c r="Y2251" s="85">
        <f>STATS1003B!Y2255/1000</f>
        <v>0</v>
      </c>
      <c r="Z2251" s="85">
        <f t="shared" si="244"/>
        <v>0</v>
      </c>
      <c r="AA2251" s="69">
        <f>STATS1003B!AA2255/1000</f>
        <v>270</v>
      </c>
      <c r="AB2251" s="69">
        <f>STATS1003B!AB2255/1000</f>
        <v>0</v>
      </c>
    </row>
    <row r="2252" spans="1:28" hidden="1" x14ac:dyDescent="0.3">
      <c r="A2252" s="117"/>
      <c r="C2252" s="68" t="s">
        <v>557</v>
      </c>
      <c r="D2252" s="87" t="s">
        <v>85</v>
      </c>
      <c r="E2252" s="85">
        <f>STATS1003B!E2256/1000</f>
        <v>1500</v>
      </c>
      <c r="F2252" s="85">
        <f>STATS1003B!F2256/1000</f>
        <v>1500</v>
      </c>
      <c r="G2252" s="85">
        <f>STATS1003B!G2256/1000</f>
        <v>0</v>
      </c>
      <c r="H2252" s="85">
        <f>STATS1003B!H2256/1000</f>
        <v>1500</v>
      </c>
      <c r="I2252" s="85">
        <f>STATS1003B!I2256/1000</f>
        <v>0</v>
      </c>
      <c r="J2252" s="85">
        <f>STATS1003B!J2256/1000</f>
        <v>1500</v>
      </c>
      <c r="K2252" s="85">
        <f>STATS1003B!K2256/1000</f>
        <v>0</v>
      </c>
      <c r="L2252" s="85">
        <f>STATS1003B!L2256/1000</f>
        <v>0</v>
      </c>
      <c r="M2252" s="85">
        <f>STATS1003B!M2256/1000</f>
        <v>1500</v>
      </c>
      <c r="N2252" s="85">
        <f>STATS1003B!N2256/1000</f>
        <v>0</v>
      </c>
      <c r="O2252" s="85">
        <f>STATS1003B!O2256/1000</f>
        <v>0</v>
      </c>
      <c r="P2252" s="85">
        <f>STATS1003B!P2256/1000</f>
        <v>0</v>
      </c>
      <c r="Q2252" s="85">
        <f>STATS1003B!Q2256/1000</f>
        <v>1500</v>
      </c>
      <c r="R2252" s="85">
        <f>STATS1003B!R2256/1000</f>
        <v>0</v>
      </c>
      <c r="S2252" s="85">
        <f>STATS1003B!S2256/1000</f>
        <v>0</v>
      </c>
      <c r="T2252" s="85">
        <f>STATS1003B!T2256/1000</f>
        <v>0</v>
      </c>
      <c r="U2252" s="85">
        <f>STATS1003B!U2256/1000</f>
        <v>0</v>
      </c>
      <c r="V2252" s="85">
        <f>STATS1003B!V2256/1000</f>
        <v>0</v>
      </c>
      <c r="W2252" s="85">
        <f>STATS1003B!W2256/1000</f>
        <v>0</v>
      </c>
      <c r="X2252" s="85">
        <f t="shared" si="247"/>
        <v>1500</v>
      </c>
      <c r="Y2252" s="85">
        <f>STATS1003B!Y2256/1000</f>
        <v>0</v>
      </c>
      <c r="Z2252" s="85">
        <f t="shared" si="244"/>
        <v>0</v>
      </c>
      <c r="AA2252" s="69">
        <f>STATS1003B!AA2256/1000</f>
        <v>1500</v>
      </c>
      <c r="AB2252" s="69">
        <f>STATS1003B!AB2256/1000</f>
        <v>0</v>
      </c>
    </row>
    <row r="2253" spans="1:28" hidden="1" x14ac:dyDescent="0.3">
      <c r="A2253" s="117"/>
      <c r="C2253" s="68" t="s">
        <v>535</v>
      </c>
      <c r="D2253" s="87" t="s">
        <v>128</v>
      </c>
      <c r="E2253" s="85">
        <f>STATS1003B!E2257/1000</f>
        <v>3683.8377300000002</v>
      </c>
      <c r="F2253" s="85">
        <f>STATS1003B!F2257/1000</f>
        <v>3683.8377300000002</v>
      </c>
      <c r="G2253" s="85">
        <f>STATS1003B!G2257/1000</f>
        <v>0</v>
      </c>
      <c r="H2253" s="85">
        <f>STATS1003B!H2257/1000</f>
        <v>3683.8377300000002</v>
      </c>
      <c r="I2253" s="85">
        <f>STATS1003B!I2257/1000</f>
        <v>0</v>
      </c>
      <c r="J2253" s="85">
        <f>STATS1003B!J2257/1000</f>
        <v>3683.8377300000002</v>
      </c>
      <c r="K2253" s="85">
        <f>STATS1003B!K2257/1000</f>
        <v>0</v>
      </c>
      <c r="L2253" s="85">
        <f>STATS1003B!L2257/1000</f>
        <v>0</v>
      </c>
      <c r="M2253" s="85">
        <f>STATS1003B!M2257/1000</f>
        <v>3683.8377300000002</v>
      </c>
      <c r="N2253" s="85">
        <f>STATS1003B!N2257/1000</f>
        <v>0</v>
      </c>
      <c r="O2253" s="85">
        <f>STATS1003B!O2257/1000</f>
        <v>0</v>
      </c>
      <c r="P2253" s="85">
        <f>STATS1003B!P2257/1000</f>
        <v>0</v>
      </c>
      <c r="Q2253" s="85">
        <f>STATS1003B!Q2257/1000</f>
        <v>3683.8377300000002</v>
      </c>
      <c r="R2253" s="85">
        <f>STATS1003B!R2257/1000</f>
        <v>0</v>
      </c>
      <c r="S2253" s="85">
        <f>STATS1003B!S2257/1000</f>
        <v>0</v>
      </c>
      <c r="T2253" s="85">
        <f>STATS1003B!T2257/1000</f>
        <v>0</v>
      </c>
      <c r="U2253" s="85">
        <f>STATS1003B!U2257/1000</f>
        <v>0</v>
      </c>
      <c r="V2253" s="85">
        <f>STATS1003B!V2257/1000</f>
        <v>0</v>
      </c>
      <c r="W2253" s="85">
        <f>STATS1003B!W2257/1000</f>
        <v>0</v>
      </c>
      <c r="X2253" s="85">
        <f t="shared" si="247"/>
        <v>3683.8377300000002</v>
      </c>
      <c r="Y2253" s="85">
        <f>STATS1003B!Y2257/1000</f>
        <v>0</v>
      </c>
      <c r="Z2253" s="85">
        <f t="shared" si="244"/>
        <v>0</v>
      </c>
      <c r="AA2253" s="69">
        <f>STATS1003B!AA2257/1000</f>
        <v>3683.8377300000002</v>
      </c>
      <c r="AB2253" s="69">
        <f>STATS1003B!AB2257/1000</f>
        <v>0</v>
      </c>
    </row>
    <row r="2254" spans="1:28" hidden="1" x14ac:dyDescent="0.3">
      <c r="A2254" s="117"/>
      <c r="C2254" s="68" t="s">
        <v>542</v>
      </c>
      <c r="D2254" s="87" t="s">
        <v>88</v>
      </c>
      <c r="E2254" s="85">
        <f>STATS1003B!E2258/1000</f>
        <v>6200</v>
      </c>
      <c r="F2254" s="85">
        <f>STATS1003B!F2258/1000</f>
        <v>6200</v>
      </c>
      <c r="G2254" s="85">
        <f>STATS1003B!G2258/1000</f>
        <v>0</v>
      </c>
      <c r="H2254" s="85">
        <f>STATS1003B!H2258/1000</f>
        <v>6200</v>
      </c>
      <c r="I2254" s="85">
        <f>STATS1003B!I2258/1000</f>
        <v>0</v>
      </c>
      <c r="J2254" s="85">
        <f>STATS1003B!J2258/1000</f>
        <v>6200</v>
      </c>
      <c r="K2254" s="85">
        <f>STATS1003B!K2258/1000</f>
        <v>0</v>
      </c>
      <c r="L2254" s="85">
        <f>STATS1003B!L2258/1000</f>
        <v>0</v>
      </c>
      <c r="M2254" s="85">
        <f>STATS1003B!M2258/1000</f>
        <v>6200</v>
      </c>
      <c r="N2254" s="85">
        <f>STATS1003B!N2258/1000</f>
        <v>0</v>
      </c>
      <c r="O2254" s="85">
        <f>STATS1003B!O2258/1000</f>
        <v>0</v>
      </c>
      <c r="P2254" s="85">
        <f>STATS1003B!P2258/1000</f>
        <v>0</v>
      </c>
      <c r="Q2254" s="85">
        <f>STATS1003B!Q2258/1000</f>
        <v>6200</v>
      </c>
      <c r="R2254" s="85">
        <f>STATS1003B!R2258/1000</f>
        <v>0</v>
      </c>
      <c r="S2254" s="85">
        <f>STATS1003B!S2258/1000</f>
        <v>0</v>
      </c>
      <c r="T2254" s="85">
        <f>STATS1003B!T2258/1000</f>
        <v>0</v>
      </c>
      <c r="U2254" s="85">
        <f>STATS1003B!U2258/1000</f>
        <v>0</v>
      </c>
      <c r="V2254" s="85">
        <f>STATS1003B!V2258/1000</f>
        <v>0</v>
      </c>
      <c r="W2254" s="85">
        <f>STATS1003B!W2258/1000</f>
        <v>0</v>
      </c>
      <c r="X2254" s="85">
        <f t="shared" si="247"/>
        <v>6200</v>
      </c>
      <c r="Y2254" s="85">
        <f>STATS1003B!Y2258/1000</f>
        <v>0</v>
      </c>
      <c r="Z2254" s="85">
        <f t="shared" si="244"/>
        <v>0</v>
      </c>
      <c r="AA2254" s="69">
        <f>STATS1003B!AA2258/1000</f>
        <v>6200</v>
      </c>
      <c r="AB2254" s="69">
        <f>STATS1003B!AB2258/1000</f>
        <v>0</v>
      </c>
    </row>
    <row r="2255" spans="1:28" hidden="1" x14ac:dyDescent="0.3">
      <c r="A2255" s="117"/>
      <c r="C2255" s="68" t="s">
        <v>535</v>
      </c>
      <c r="D2255" s="87" t="s">
        <v>108</v>
      </c>
      <c r="E2255" s="85">
        <f>STATS1003B!E2259/1000</f>
        <v>5300.2032300000001</v>
      </c>
      <c r="F2255" s="85">
        <f>STATS1003B!F2259/1000</f>
        <v>5300.2032300000001</v>
      </c>
      <c r="G2255" s="85">
        <f>STATS1003B!G2259/1000</f>
        <v>0</v>
      </c>
      <c r="H2255" s="85">
        <f>STATS1003B!H2259/1000</f>
        <v>5300.2032300000001</v>
      </c>
      <c r="I2255" s="85">
        <f>STATS1003B!I2259/1000</f>
        <v>0</v>
      </c>
      <c r="J2255" s="85">
        <f>STATS1003B!J2259/1000</f>
        <v>5300.2032300000001</v>
      </c>
      <c r="K2255" s="85">
        <f>STATS1003B!K2259/1000</f>
        <v>0</v>
      </c>
      <c r="L2255" s="85">
        <f>STATS1003B!L2259/1000</f>
        <v>0</v>
      </c>
      <c r="M2255" s="85">
        <f>STATS1003B!M2259/1000</f>
        <v>5300.2032300000001</v>
      </c>
      <c r="N2255" s="85">
        <f>STATS1003B!N2259/1000</f>
        <v>0</v>
      </c>
      <c r="O2255" s="85">
        <f>STATS1003B!O2259/1000</f>
        <v>0</v>
      </c>
      <c r="P2255" s="85">
        <f>STATS1003B!P2259/1000</f>
        <v>0</v>
      </c>
      <c r="Q2255" s="85">
        <f>STATS1003B!Q2259/1000</f>
        <v>5300.2032300000001</v>
      </c>
      <c r="R2255" s="85">
        <f>STATS1003B!R2259/1000</f>
        <v>0</v>
      </c>
      <c r="S2255" s="85">
        <f>STATS1003B!S2259/1000</f>
        <v>0</v>
      </c>
      <c r="T2255" s="85">
        <f>STATS1003B!T2259/1000</f>
        <v>0</v>
      </c>
      <c r="U2255" s="85">
        <f>STATS1003B!U2259/1000</f>
        <v>0</v>
      </c>
      <c r="V2255" s="85">
        <f>STATS1003B!V2259/1000</f>
        <v>0</v>
      </c>
      <c r="W2255" s="85">
        <f>STATS1003B!W2259/1000</f>
        <v>0</v>
      </c>
      <c r="X2255" s="85">
        <f t="shared" si="247"/>
        <v>5300.2032300000001</v>
      </c>
      <c r="Y2255" s="85">
        <f>STATS1003B!Y2259/1000</f>
        <v>0</v>
      </c>
      <c r="Z2255" s="85">
        <f t="shared" si="244"/>
        <v>0</v>
      </c>
      <c r="AA2255" s="69">
        <f>STATS1003B!AA2259/1000</f>
        <v>5300.2032300000001</v>
      </c>
      <c r="AB2255" s="69">
        <f>STATS1003B!AB2259/1000</f>
        <v>0</v>
      </c>
    </row>
    <row r="2256" spans="1:28" hidden="1" x14ac:dyDescent="0.3">
      <c r="A2256" s="117"/>
      <c r="C2256" s="68" t="s">
        <v>535</v>
      </c>
      <c r="D2256" s="87" t="s">
        <v>58</v>
      </c>
      <c r="E2256" s="85">
        <f>STATS1003B!E2260/1000</f>
        <v>6296.7626200000004</v>
      </c>
      <c r="F2256" s="85">
        <f>STATS1003B!F2260/1000</f>
        <v>6296.7626200000004</v>
      </c>
      <c r="G2256" s="85">
        <f>STATS1003B!G2260/1000</f>
        <v>0</v>
      </c>
      <c r="H2256" s="85">
        <f>STATS1003B!H2260/1000</f>
        <v>6296.7626200000004</v>
      </c>
      <c r="I2256" s="85">
        <f>STATS1003B!I2260/1000</f>
        <v>0</v>
      </c>
      <c r="J2256" s="85">
        <f>STATS1003B!J2260/1000</f>
        <v>6296.7626200000004</v>
      </c>
      <c r="K2256" s="85">
        <f>STATS1003B!K2260/1000</f>
        <v>0</v>
      </c>
      <c r="L2256" s="85">
        <f>STATS1003B!L2260/1000</f>
        <v>0</v>
      </c>
      <c r="M2256" s="85">
        <f>STATS1003B!M2260/1000</f>
        <v>6296.7626200000004</v>
      </c>
      <c r="N2256" s="85">
        <f>STATS1003B!N2260/1000</f>
        <v>0</v>
      </c>
      <c r="O2256" s="85">
        <f>STATS1003B!O2260/1000</f>
        <v>0</v>
      </c>
      <c r="P2256" s="85">
        <f>STATS1003B!P2260/1000</f>
        <v>0</v>
      </c>
      <c r="Q2256" s="85">
        <f>STATS1003B!Q2260/1000</f>
        <v>6296.7626200000004</v>
      </c>
      <c r="R2256" s="85">
        <f>STATS1003B!R2260/1000</f>
        <v>0</v>
      </c>
      <c r="S2256" s="85">
        <f>STATS1003B!S2260/1000</f>
        <v>0</v>
      </c>
      <c r="T2256" s="85">
        <f>STATS1003B!T2260/1000</f>
        <v>0</v>
      </c>
      <c r="U2256" s="85">
        <f>STATS1003B!U2260/1000</f>
        <v>0</v>
      </c>
      <c r="V2256" s="85">
        <f>STATS1003B!V2260/1000</f>
        <v>0</v>
      </c>
      <c r="W2256" s="85">
        <f>STATS1003B!W2260/1000</f>
        <v>0</v>
      </c>
      <c r="X2256" s="85">
        <f t="shared" si="247"/>
        <v>6296.7626200000004</v>
      </c>
      <c r="Y2256" s="85">
        <f>STATS1003B!Y2260/1000</f>
        <v>0</v>
      </c>
      <c r="Z2256" s="85">
        <f t="shared" si="244"/>
        <v>0</v>
      </c>
      <c r="AA2256" s="69">
        <f>STATS1003B!AA2260/1000</f>
        <v>6296.7626200000004</v>
      </c>
      <c r="AB2256" s="69">
        <f>STATS1003B!AB2260/1000</f>
        <v>0</v>
      </c>
    </row>
    <row r="2257" spans="1:28" hidden="1" x14ac:dyDescent="0.3">
      <c r="A2257" s="117"/>
      <c r="C2257" s="68" t="s">
        <v>535</v>
      </c>
      <c r="D2257" s="87" t="s">
        <v>60</v>
      </c>
      <c r="E2257" s="85">
        <f>STATS1003B!E2261/1000</f>
        <v>13460.145</v>
      </c>
      <c r="F2257" s="85">
        <f>STATS1003B!F2261/1000</f>
        <v>13460.145</v>
      </c>
      <c r="G2257" s="85">
        <f>STATS1003B!G2261/1000</f>
        <v>0</v>
      </c>
      <c r="H2257" s="85">
        <f>STATS1003B!H2261/1000</f>
        <v>13460.145</v>
      </c>
      <c r="I2257" s="85">
        <f>STATS1003B!I2261/1000</f>
        <v>0</v>
      </c>
      <c r="J2257" s="85">
        <f>STATS1003B!J2261/1000</f>
        <v>13460.145</v>
      </c>
      <c r="K2257" s="85">
        <f>STATS1003B!K2261/1000</f>
        <v>0</v>
      </c>
      <c r="L2257" s="85">
        <f>STATS1003B!L2261/1000</f>
        <v>0</v>
      </c>
      <c r="M2257" s="85">
        <f>STATS1003B!M2261/1000</f>
        <v>13460.145</v>
      </c>
      <c r="N2257" s="85">
        <f>STATS1003B!N2261/1000</f>
        <v>0</v>
      </c>
      <c r="O2257" s="85">
        <f>STATS1003B!O2261/1000</f>
        <v>0</v>
      </c>
      <c r="P2257" s="85">
        <f>STATS1003B!P2261/1000</f>
        <v>0</v>
      </c>
      <c r="Q2257" s="85">
        <f>STATS1003B!Q2261/1000</f>
        <v>13460.145</v>
      </c>
      <c r="R2257" s="85">
        <f>STATS1003B!R2261/1000</f>
        <v>0</v>
      </c>
      <c r="S2257" s="85">
        <f>STATS1003B!S2261/1000</f>
        <v>0</v>
      </c>
      <c r="T2257" s="85">
        <f>STATS1003B!T2261/1000</f>
        <v>0</v>
      </c>
      <c r="U2257" s="85">
        <f>STATS1003B!U2261/1000</f>
        <v>0</v>
      </c>
      <c r="V2257" s="85">
        <f>STATS1003B!V2261/1000</f>
        <v>0</v>
      </c>
      <c r="W2257" s="85">
        <f>STATS1003B!W2261/1000</f>
        <v>0</v>
      </c>
      <c r="X2257" s="85">
        <f t="shared" si="247"/>
        <v>13460.145</v>
      </c>
      <c r="Y2257" s="85">
        <f>STATS1003B!Y2261/1000</f>
        <v>0</v>
      </c>
      <c r="Z2257" s="85">
        <f t="shared" si="244"/>
        <v>0</v>
      </c>
      <c r="AA2257" s="69">
        <f>STATS1003B!AA2261/1000</f>
        <v>13460.145</v>
      </c>
      <c r="AB2257" s="69">
        <f>STATS1003B!AB2261/1000</f>
        <v>0</v>
      </c>
    </row>
    <row r="2258" spans="1:28" hidden="1" x14ac:dyDescent="0.3">
      <c r="A2258" s="117"/>
      <c r="C2258" s="71" t="s">
        <v>535</v>
      </c>
      <c r="D2258" s="88" t="s">
        <v>73</v>
      </c>
      <c r="E2258" s="85">
        <f>STATS1003B!E2262/1000</f>
        <v>5000</v>
      </c>
      <c r="F2258" s="85">
        <f>STATS1003B!F2262/1000</f>
        <v>5000</v>
      </c>
      <c r="G2258" s="85">
        <f>STATS1003B!G2262/1000</f>
        <v>0</v>
      </c>
      <c r="H2258" s="85">
        <f>STATS1003B!H2262/1000</f>
        <v>5000</v>
      </c>
      <c r="I2258" s="85">
        <f>STATS1003B!I2262/1000</f>
        <v>0</v>
      </c>
      <c r="J2258" s="85">
        <f>STATS1003B!J2262/1000</f>
        <v>5000</v>
      </c>
      <c r="K2258" s="85">
        <f>STATS1003B!K2262/1000</f>
        <v>0</v>
      </c>
      <c r="L2258" s="85">
        <f>STATS1003B!L2262/1000</f>
        <v>0</v>
      </c>
      <c r="M2258" s="85">
        <f>STATS1003B!M2262/1000</f>
        <v>5000</v>
      </c>
      <c r="N2258" s="85">
        <f>STATS1003B!N2262/1000</f>
        <v>0</v>
      </c>
      <c r="O2258" s="85">
        <f>STATS1003B!O2262/1000</f>
        <v>0</v>
      </c>
      <c r="P2258" s="85">
        <f>STATS1003B!P2262/1000</f>
        <v>0</v>
      </c>
      <c r="Q2258" s="85">
        <f>STATS1003B!Q2262/1000</f>
        <v>5000</v>
      </c>
      <c r="R2258" s="85">
        <f>STATS1003B!R2262/1000</f>
        <v>0</v>
      </c>
      <c r="S2258" s="85">
        <f>STATS1003B!S2262/1000</f>
        <v>0</v>
      </c>
      <c r="T2258" s="85">
        <f>STATS1003B!T2262/1000</f>
        <v>0</v>
      </c>
      <c r="U2258" s="85">
        <f>STATS1003B!U2262/1000</f>
        <v>0</v>
      </c>
      <c r="V2258" s="85">
        <f>STATS1003B!V2262/1000</f>
        <v>0</v>
      </c>
      <c r="W2258" s="85">
        <f>STATS1003B!W2262/1000</f>
        <v>0</v>
      </c>
      <c r="X2258" s="85">
        <f t="shared" si="247"/>
        <v>5000</v>
      </c>
      <c r="Y2258" s="85">
        <f>STATS1003B!Y2262/1000</f>
        <v>0</v>
      </c>
      <c r="Z2258" s="85">
        <f t="shared" si="244"/>
        <v>0</v>
      </c>
      <c r="AA2258" s="69">
        <f>STATS1003B!AA2262/1000</f>
        <v>5000</v>
      </c>
      <c r="AB2258" s="69">
        <f>STATS1003B!AB2262/1000</f>
        <v>0</v>
      </c>
    </row>
    <row r="2259" spans="1:28" hidden="1" x14ac:dyDescent="0.3">
      <c r="A2259" s="117"/>
      <c r="C2259" s="68" t="s">
        <v>550</v>
      </c>
      <c r="E2259" s="85">
        <f>STATS1003B!E2263/1000</f>
        <v>475.50099999999998</v>
      </c>
      <c r="F2259" s="85">
        <f>STATS1003B!F2263/1000</f>
        <v>475.50099999999998</v>
      </c>
      <c r="G2259" s="85">
        <f>STATS1003B!G2263/1000</f>
        <v>0</v>
      </c>
      <c r="H2259" s="85">
        <f>STATS1003B!H2263/1000</f>
        <v>475.50099999999998</v>
      </c>
      <c r="I2259" s="85">
        <f>STATS1003B!I2263/1000</f>
        <v>0</v>
      </c>
      <c r="J2259" s="85">
        <f>STATS1003B!J2263/1000</f>
        <v>475.50099999999998</v>
      </c>
      <c r="K2259" s="85">
        <f>STATS1003B!K2263/1000</f>
        <v>0</v>
      </c>
      <c r="L2259" s="85">
        <f>STATS1003B!L2263/1000</f>
        <v>0</v>
      </c>
      <c r="M2259" s="85">
        <f>STATS1003B!M2263/1000</f>
        <v>475.50099999999998</v>
      </c>
      <c r="N2259" s="85">
        <f>STATS1003B!N2263/1000</f>
        <v>0</v>
      </c>
      <c r="O2259" s="85">
        <f>STATS1003B!O2263/1000</f>
        <v>0</v>
      </c>
      <c r="P2259" s="85">
        <f>STATS1003B!P2263/1000</f>
        <v>0</v>
      </c>
      <c r="Q2259" s="85">
        <f>STATS1003B!Q2263/1000</f>
        <v>475.50099999999998</v>
      </c>
      <c r="R2259" s="85">
        <f>STATS1003B!R2263/1000</f>
        <v>0</v>
      </c>
      <c r="S2259" s="85">
        <f>STATS1003B!S2263/1000</f>
        <v>0</v>
      </c>
      <c r="T2259" s="85">
        <f>STATS1003B!T2263/1000</f>
        <v>0</v>
      </c>
      <c r="U2259" s="85">
        <f>STATS1003B!U2263/1000</f>
        <v>0</v>
      </c>
      <c r="V2259" s="85">
        <f>STATS1003B!V2263/1000</f>
        <v>0</v>
      </c>
      <c r="W2259" s="85">
        <f>STATS1003B!W2263/1000</f>
        <v>0</v>
      </c>
      <c r="X2259" s="85">
        <f t="shared" si="247"/>
        <v>475.50099999999998</v>
      </c>
      <c r="Y2259" s="85">
        <f>STATS1003B!Y2263/1000</f>
        <v>0</v>
      </c>
      <c r="Z2259" s="85">
        <f t="shared" si="244"/>
        <v>0</v>
      </c>
      <c r="AA2259" s="69">
        <f>STATS1003B!AA2263/1000</f>
        <v>475.50099999999998</v>
      </c>
      <c r="AB2259" s="69">
        <f>STATS1003B!AB2263/1000</f>
        <v>0</v>
      </c>
    </row>
    <row r="2260" spans="1:28" hidden="1" x14ac:dyDescent="0.3">
      <c r="A2260" s="117"/>
      <c r="C2260" s="68" t="s">
        <v>606</v>
      </c>
      <c r="E2260" s="85">
        <f>STATS1003B!E2264/1000</f>
        <v>5000</v>
      </c>
      <c r="F2260" s="85">
        <f>STATS1003B!F2264/1000</f>
        <v>5000</v>
      </c>
      <c r="G2260" s="85">
        <f>STATS1003B!G2264/1000</f>
        <v>0</v>
      </c>
      <c r="H2260" s="85">
        <f>STATS1003B!H2264/1000</f>
        <v>5000</v>
      </c>
      <c r="I2260" s="85">
        <f>STATS1003B!I2264/1000</f>
        <v>0</v>
      </c>
      <c r="J2260" s="85">
        <f>STATS1003B!J2264/1000</f>
        <v>5000</v>
      </c>
      <c r="K2260" s="85">
        <f>STATS1003B!K2264/1000</f>
        <v>0</v>
      </c>
      <c r="L2260" s="85">
        <f>STATS1003B!L2264/1000</f>
        <v>0</v>
      </c>
      <c r="M2260" s="85">
        <f>STATS1003B!M2264/1000</f>
        <v>5000</v>
      </c>
      <c r="N2260" s="85">
        <f>STATS1003B!N2264/1000</f>
        <v>0</v>
      </c>
      <c r="O2260" s="85">
        <f>STATS1003B!O2264/1000</f>
        <v>0</v>
      </c>
      <c r="P2260" s="85">
        <f>STATS1003B!P2264/1000</f>
        <v>0</v>
      </c>
      <c r="Q2260" s="85">
        <f>STATS1003B!Q2264/1000</f>
        <v>5000</v>
      </c>
      <c r="R2260" s="85">
        <f>STATS1003B!R2264/1000</f>
        <v>0</v>
      </c>
      <c r="S2260" s="85">
        <f>STATS1003B!S2264/1000</f>
        <v>0</v>
      </c>
      <c r="T2260" s="85">
        <f>STATS1003B!T2264/1000</f>
        <v>0</v>
      </c>
      <c r="U2260" s="85">
        <f>STATS1003B!U2264/1000</f>
        <v>0</v>
      </c>
      <c r="V2260" s="85">
        <f>STATS1003B!V2264/1000</f>
        <v>0</v>
      </c>
      <c r="W2260" s="85">
        <f>STATS1003B!W2264/1000</f>
        <v>0</v>
      </c>
      <c r="X2260" s="85">
        <f t="shared" si="247"/>
        <v>5000</v>
      </c>
      <c r="Y2260" s="85">
        <f>STATS1003B!Y2264/1000</f>
        <v>0</v>
      </c>
      <c r="Z2260" s="85">
        <f t="shared" si="244"/>
        <v>0</v>
      </c>
      <c r="AA2260" s="69">
        <f>STATS1003B!AA2264/1000</f>
        <v>5000</v>
      </c>
      <c r="AB2260" s="69">
        <f>STATS1003B!AB2264/1000</f>
        <v>0</v>
      </c>
    </row>
    <row r="2261" spans="1:28" hidden="1" x14ac:dyDescent="0.3">
      <c r="A2261" s="117"/>
      <c r="E2261" s="86" t="s">
        <v>29</v>
      </c>
      <c r="F2261" s="86" t="s">
        <v>29</v>
      </c>
      <c r="G2261" s="86" t="s">
        <v>29</v>
      </c>
      <c r="H2261" s="86" t="s">
        <v>29</v>
      </c>
      <c r="I2261" s="86" t="s">
        <v>29</v>
      </c>
      <c r="J2261" s="86" t="s">
        <v>29</v>
      </c>
      <c r="K2261" s="86" t="s">
        <v>29</v>
      </c>
      <c r="L2261" s="86" t="s">
        <v>29</v>
      </c>
      <c r="M2261" s="86" t="s">
        <v>29</v>
      </c>
      <c r="N2261" s="86" t="s">
        <v>29</v>
      </c>
      <c r="O2261" s="86" t="s">
        <v>29</v>
      </c>
      <c r="P2261" s="86" t="s">
        <v>29</v>
      </c>
      <c r="Q2261" s="86" t="s">
        <v>29</v>
      </c>
      <c r="R2261" s="86" t="s">
        <v>29</v>
      </c>
      <c r="S2261" s="86" t="s">
        <v>29</v>
      </c>
      <c r="T2261" s="86" t="s">
        <v>29</v>
      </c>
      <c r="U2261" s="86" t="s">
        <v>29</v>
      </c>
      <c r="V2261" s="86" t="s">
        <v>29</v>
      </c>
      <c r="W2261" s="86" t="s">
        <v>29</v>
      </c>
      <c r="X2261" s="85" t="e">
        <f t="shared" si="247"/>
        <v>#VALUE!</v>
      </c>
      <c r="Y2261" s="86" t="s">
        <v>29</v>
      </c>
      <c r="Z2261" s="85" t="e">
        <f t="shared" si="244"/>
        <v>#VALUE!</v>
      </c>
      <c r="AA2261" s="115" t="s">
        <v>29</v>
      </c>
      <c r="AB2261" s="115" t="s">
        <v>29</v>
      </c>
    </row>
    <row r="2262" spans="1:28" x14ac:dyDescent="0.3">
      <c r="A2262" s="116">
        <v>98</v>
      </c>
      <c r="B2262" s="68" t="s">
        <v>828</v>
      </c>
      <c r="E2262" s="85">
        <f>123620103.41/1000</f>
        <v>123620.10341</v>
      </c>
      <c r="F2262" s="85">
        <f t="shared" ref="F2262:Q2262" si="250">SUM(F2246:F2261)</f>
        <v>49117.635579999995</v>
      </c>
      <c r="G2262" s="85">
        <f t="shared" si="250"/>
        <v>0</v>
      </c>
      <c r="H2262" s="85">
        <f>122122574.81/1000</f>
        <v>122122.57481000001</v>
      </c>
      <c r="I2262" s="85">
        <f t="shared" si="250"/>
        <v>0</v>
      </c>
      <c r="J2262" s="85">
        <f t="shared" si="250"/>
        <v>49117.635579999995</v>
      </c>
      <c r="K2262" s="85">
        <f t="shared" si="250"/>
        <v>1497.5286000000001</v>
      </c>
      <c r="L2262" s="85">
        <f t="shared" si="250"/>
        <v>0</v>
      </c>
      <c r="M2262" s="85">
        <f t="shared" si="250"/>
        <v>49117.635579999995</v>
      </c>
      <c r="N2262" s="85">
        <f t="shared" si="250"/>
        <v>1497.5286000000001</v>
      </c>
      <c r="O2262" s="85">
        <f t="shared" si="250"/>
        <v>0</v>
      </c>
      <c r="P2262" s="85">
        <f>1497528/1000</f>
        <v>1497.528</v>
      </c>
      <c r="Q2262" s="85">
        <f t="shared" si="250"/>
        <v>49117.635579999995</v>
      </c>
      <c r="R2262" s="84"/>
      <c r="S2262" s="84"/>
      <c r="T2262" s="85">
        <f t="shared" ref="T2262:Y2262" si="251">SUM(T2246:T2261)</f>
        <v>0</v>
      </c>
      <c r="U2262" s="85">
        <f t="shared" si="251"/>
        <v>1497.5286000000001</v>
      </c>
      <c r="V2262" s="85">
        <f t="shared" si="251"/>
        <v>0</v>
      </c>
      <c r="W2262" s="85">
        <f t="shared" si="251"/>
        <v>0</v>
      </c>
      <c r="X2262" s="85">
        <f t="shared" si="247"/>
        <v>123620.10281000001</v>
      </c>
      <c r="Y2262" s="85">
        <f t="shared" si="251"/>
        <v>0</v>
      </c>
      <c r="Z2262" s="85">
        <f t="shared" si="244"/>
        <v>5.999999848427251E-4</v>
      </c>
      <c r="AA2262" s="69">
        <f>SUM(AA2246:AA2261)</f>
        <v>50615.16418</v>
      </c>
      <c r="AB2262" s="69">
        <f>SUM(AB2246:AB2261)</f>
        <v>0</v>
      </c>
    </row>
    <row r="2263" spans="1:28" hidden="1" x14ac:dyDescent="0.3">
      <c r="A2263" s="117"/>
      <c r="E2263" s="86" t="s">
        <v>29</v>
      </c>
      <c r="F2263" s="86" t="s">
        <v>29</v>
      </c>
      <c r="G2263" s="86" t="s">
        <v>29</v>
      </c>
      <c r="H2263" s="86" t="s">
        <v>29</v>
      </c>
      <c r="I2263" s="86" t="s">
        <v>29</v>
      </c>
      <c r="J2263" s="86" t="s">
        <v>29</v>
      </c>
      <c r="K2263" s="86" t="s">
        <v>29</v>
      </c>
      <c r="L2263" s="86" t="s">
        <v>29</v>
      </c>
      <c r="M2263" s="86" t="s">
        <v>29</v>
      </c>
      <c r="N2263" s="86" t="s">
        <v>29</v>
      </c>
      <c r="O2263" s="86" t="s">
        <v>29</v>
      </c>
      <c r="P2263" s="86" t="s">
        <v>29</v>
      </c>
      <c r="Q2263" s="86" t="s">
        <v>29</v>
      </c>
      <c r="R2263" s="86" t="s">
        <v>29</v>
      </c>
      <c r="S2263" s="86" t="s">
        <v>29</v>
      </c>
      <c r="T2263" s="86" t="s">
        <v>29</v>
      </c>
      <c r="U2263" s="86" t="s">
        <v>29</v>
      </c>
      <c r="V2263" s="86" t="s">
        <v>29</v>
      </c>
      <c r="W2263" s="86" t="s">
        <v>29</v>
      </c>
      <c r="X2263" s="85" t="e">
        <f t="shared" si="247"/>
        <v>#VALUE!</v>
      </c>
      <c r="Y2263" s="86" t="s">
        <v>29</v>
      </c>
      <c r="Z2263" s="85" t="e">
        <f t="shared" si="244"/>
        <v>#VALUE!</v>
      </c>
      <c r="AA2263" s="115" t="s">
        <v>29</v>
      </c>
      <c r="AB2263" s="115" t="s">
        <v>29</v>
      </c>
    </row>
    <row r="2264" spans="1:28" hidden="1" x14ac:dyDescent="0.3">
      <c r="A2264" s="105"/>
      <c r="E2264" s="84"/>
      <c r="F2264" s="84"/>
      <c r="G2264" s="84"/>
      <c r="H2264" s="84"/>
      <c r="I2264" s="84"/>
      <c r="J2264" s="84"/>
      <c r="K2264" s="84"/>
      <c r="L2264" s="84"/>
      <c r="M2264" s="84"/>
      <c r="N2264" s="84"/>
      <c r="O2264" s="84"/>
      <c r="P2264" s="84"/>
      <c r="Q2264" s="84"/>
      <c r="R2264" s="84"/>
      <c r="S2264" s="84"/>
      <c r="T2264" s="84"/>
      <c r="U2264" s="84"/>
      <c r="V2264" s="84"/>
      <c r="W2264" s="84"/>
      <c r="X2264" s="85">
        <f t="shared" si="247"/>
        <v>0</v>
      </c>
      <c r="Y2264" s="84"/>
      <c r="Z2264" s="85">
        <f t="shared" si="244"/>
        <v>0</v>
      </c>
    </row>
    <row r="2265" spans="1:28" hidden="1" x14ac:dyDescent="0.3">
      <c r="A2265" s="117"/>
      <c r="C2265" s="68" t="s">
        <v>535</v>
      </c>
      <c r="D2265" s="87" t="s">
        <v>68</v>
      </c>
      <c r="E2265" s="85">
        <f>STATS1003B!E2269/1000</f>
        <v>980.12721999999997</v>
      </c>
      <c r="F2265" s="85">
        <f>STATS1003B!F2269/1000</f>
        <v>640.52</v>
      </c>
      <c r="G2265" s="85">
        <f>STATS1003B!G2269/1000</f>
        <v>0</v>
      </c>
      <c r="H2265" s="85">
        <f>STATS1003B!H2269/1000</f>
        <v>640.52</v>
      </c>
      <c r="I2265" s="85">
        <f>STATS1003B!I2269/1000</f>
        <v>0</v>
      </c>
      <c r="J2265" s="85">
        <f>STATS1003B!J2269/1000</f>
        <v>640.52</v>
      </c>
      <c r="K2265" s="85">
        <f>STATS1003B!K2269/1000</f>
        <v>339.60721999999998</v>
      </c>
      <c r="L2265" s="85">
        <f>STATS1003B!L2269/1000</f>
        <v>0</v>
      </c>
      <c r="M2265" s="85">
        <f>STATS1003B!M2269/1000</f>
        <v>640.52</v>
      </c>
      <c r="N2265" s="85">
        <f>STATS1003B!N2269/1000</f>
        <v>339.60721999999998</v>
      </c>
      <c r="O2265" s="85">
        <f>STATS1003B!O2269/1000</f>
        <v>0</v>
      </c>
      <c r="P2265" s="85">
        <f>STATS1003B!P2269/1000</f>
        <v>339.60721999999998</v>
      </c>
      <c r="Q2265" s="85">
        <f>STATS1003B!Q2269/1000</f>
        <v>640.52</v>
      </c>
      <c r="R2265" s="85">
        <f>STATS1003B!R2269/1000</f>
        <v>0</v>
      </c>
      <c r="S2265" s="85">
        <f>STATS1003B!S2269/1000</f>
        <v>0</v>
      </c>
      <c r="T2265" s="85">
        <f>STATS1003B!T2269/1000</f>
        <v>0</v>
      </c>
      <c r="U2265" s="85">
        <f>STATS1003B!U2269/1000</f>
        <v>339.60721999999998</v>
      </c>
      <c r="V2265" s="85">
        <f>STATS1003B!V2269/1000</f>
        <v>0</v>
      </c>
      <c r="W2265" s="85">
        <f>STATS1003B!W2269/1000</f>
        <v>0</v>
      </c>
      <c r="X2265" s="85">
        <f t="shared" si="247"/>
        <v>980.12721999999997</v>
      </c>
      <c r="Y2265" s="85">
        <f>STATS1003B!Y2269/1000</f>
        <v>0</v>
      </c>
      <c r="Z2265" s="85">
        <f t="shared" si="244"/>
        <v>0</v>
      </c>
      <c r="AA2265" s="69">
        <f>STATS1003B!AA2269/1000</f>
        <v>980.12721999999997</v>
      </c>
      <c r="AB2265" s="69">
        <f>STATS1003B!AB2269/1000</f>
        <v>0</v>
      </c>
    </row>
    <row r="2266" spans="1:28" hidden="1" x14ac:dyDescent="0.3">
      <c r="A2266" s="117"/>
      <c r="C2266" s="68" t="s">
        <v>535</v>
      </c>
      <c r="D2266" s="87" t="s">
        <v>54</v>
      </c>
      <c r="E2266" s="85">
        <f>STATS1003B!E2270/1000</f>
        <v>1368.5070000000001</v>
      </c>
      <c r="F2266" s="85">
        <f>STATS1003B!F2270/1000</f>
        <v>1368.5070000000001</v>
      </c>
      <c r="G2266" s="85">
        <f>STATS1003B!G2270/1000</f>
        <v>0</v>
      </c>
      <c r="H2266" s="85">
        <f>STATS1003B!H2270/1000</f>
        <v>1368.5070000000001</v>
      </c>
      <c r="I2266" s="85">
        <f>STATS1003B!I2270/1000</f>
        <v>0</v>
      </c>
      <c r="J2266" s="85">
        <f>STATS1003B!J2270/1000</f>
        <v>1368.5070000000001</v>
      </c>
      <c r="K2266" s="85">
        <f>STATS1003B!K2270/1000</f>
        <v>0</v>
      </c>
      <c r="L2266" s="85">
        <f>STATS1003B!L2270/1000</f>
        <v>0</v>
      </c>
      <c r="M2266" s="85">
        <f>STATS1003B!M2270/1000</f>
        <v>1368.5070000000001</v>
      </c>
      <c r="N2266" s="85">
        <f>STATS1003B!N2270/1000</f>
        <v>0</v>
      </c>
      <c r="O2266" s="85">
        <f>STATS1003B!O2270/1000</f>
        <v>0</v>
      </c>
      <c r="P2266" s="85">
        <f>STATS1003B!P2270/1000</f>
        <v>0</v>
      </c>
      <c r="Q2266" s="85">
        <f>STATS1003B!Q2270/1000</f>
        <v>1368.5070000000001</v>
      </c>
      <c r="R2266" s="85">
        <f>STATS1003B!R2270/1000</f>
        <v>0</v>
      </c>
      <c r="S2266" s="85">
        <f>STATS1003B!S2270/1000</f>
        <v>0</v>
      </c>
      <c r="T2266" s="85">
        <f>STATS1003B!T2270/1000</f>
        <v>0</v>
      </c>
      <c r="U2266" s="85">
        <f>STATS1003B!U2270/1000</f>
        <v>0</v>
      </c>
      <c r="V2266" s="85">
        <f>STATS1003B!V2270/1000</f>
        <v>0</v>
      </c>
      <c r="W2266" s="85">
        <f>STATS1003B!W2270/1000</f>
        <v>0</v>
      </c>
      <c r="X2266" s="85">
        <f t="shared" si="247"/>
        <v>1368.5070000000001</v>
      </c>
      <c r="Y2266" s="85">
        <f>STATS1003B!Y2270/1000</f>
        <v>0</v>
      </c>
      <c r="Z2266" s="85">
        <f t="shared" ref="Z2266:Z2292" si="252">+E2266-X2266</f>
        <v>0</v>
      </c>
      <c r="AA2266" s="69">
        <f>STATS1003B!AA2270/1000</f>
        <v>1368.5070000000001</v>
      </c>
      <c r="AB2266" s="69">
        <f>STATS1003B!AB2270/1000</f>
        <v>0</v>
      </c>
    </row>
    <row r="2267" spans="1:28" hidden="1" x14ac:dyDescent="0.3">
      <c r="A2267" s="117"/>
      <c r="C2267" s="68" t="s">
        <v>545</v>
      </c>
      <c r="D2267" s="87" t="s">
        <v>54</v>
      </c>
      <c r="E2267" s="85">
        <f>STATS1003B!E2271/1000</f>
        <v>1953.989</v>
      </c>
      <c r="F2267" s="85">
        <f>STATS1003B!F2271/1000</f>
        <v>0</v>
      </c>
      <c r="G2267" s="85">
        <f>STATS1003B!G2271/1000</f>
        <v>0</v>
      </c>
      <c r="H2267" s="85">
        <f>STATS1003B!H2271/1000</f>
        <v>0</v>
      </c>
      <c r="I2267" s="85">
        <f>STATS1003B!I2271/1000</f>
        <v>0</v>
      </c>
      <c r="J2267" s="85">
        <f>STATS1003B!J2271/1000</f>
        <v>0</v>
      </c>
      <c r="K2267" s="85">
        <f>STATS1003B!K2271/1000</f>
        <v>1953.989</v>
      </c>
      <c r="L2267" s="85">
        <f>STATS1003B!L2271/1000</f>
        <v>0</v>
      </c>
      <c r="M2267" s="85">
        <f>STATS1003B!M2271/1000</f>
        <v>0</v>
      </c>
      <c r="N2267" s="85">
        <f>STATS1003B!N2271/1000</f>
        <v>1953.989</v>
      </c>
      <c r="O2267" s="85">
        <f>STATS1003B!O2271/1000</f>
        <v>0</v>
      </c>
      <c r="P2267" s="85">
        <f>STATS1003B!P2271/1000</f>
        <v>1953.989</v>
      </c>
      <c r="Q2267" s="85">
        <f>STATS1003B!Q2271/1000</f>
        <v>0</v>
      </c>
      <c r="R2267" s="85">
        <f>STATS1003B!R2271/1000</f>
        <v>0</v>
      </c>
      <c r="S2267" s="85">
        <f>STATS1003B!S2271/1000</f>
        <v>0</v>
      </c>
      <c r="T2267" s="85">
        <f>STATS1003B!T2271/1000</f>
        <v>0</v>
      </c>
      <c r="U2267" s="85">
        <f>STATS1003B!U2271/1000</f>
        <v>1953.989</v>
      </c>
      <c r="V2267" s="85">
        <f>STATS1003B!V2271/1000</f>
        <v>0</v>
      </c>
      <c r="W2267" s="85">
        <f>STATS1003B!W2271/1000</f>
        <v>0</v>
      </c>
      <c r="X2267" s="85">
        <f t="shared" si="247"/>
        <v>1953.989</v>
      </c>
      <c r="Y2267" s="85">
        <f>STATS1003B!Y2271/1000</f>
        <v>0</v>
      </c>
      <c r="Z2267" s="85">
        <f t="shared" si="252"/>
        <v>0</v>
      </c>
      <c r="AA2267" s="69">
        <f>STATS1003B!AA2271/1000</f>
        <v>1953.989</v>
      </c>
      <c r="AB2267" s="69">
        <f>STATS1003B!AB2271/1000</f>
        <v>0</v>
      </c>
    </row>
    <row r="2268" spans="1:28" hidden="1" x14ac:dyDescent="0.3">
      <c r="A2268" s="117"/>
      <c r="C2268" s="68" t="s">
        <v>535</v>
      </c>
      <c r="D2268" s="87" t="s">
        <v>85</v>
      </c>
      <c r="E2268" s="85">
        <f>STATS1003B!E2272/1000</f>
        <v>2468.6999999999998</v>
      </c>
      <c r="F2268" s="85">
        <f>STATS1003B!F2272/1000</f>
        <v>2468.6999999999998</v>
      </c>
      <c r="G2268" s="85">
        <f>STATS1003B!G2272/1000</f>
        <v>0</v>
      </c>
      <c r="H2268" s="85">
        <f>STATS1003B!H2272/1000</f>
        <v>2468.6999999999998</v>
      </c>
      <c r="I2268" s="85">
        <f>STATS1003B!I2272/1000</f>
        <v>0</v>
      </c>
      <c r="J2268" s="85">
        <f>STATS1003B!J2272/1000</f>
        <v>2468.6999999999998</v>
      </c>
      <c r="K2268" s="85">
        <f>STATS1003B!K2272/1000</f>
        <v>0</v>
      </c>
      <c r="L2268" s="85">
        <f>STATS1003B!L2272/1000</f>
        <v>0</v>
      </c>
      <c r="M2268" s="85">
        <f>STATS1003B!M2272/1000</f>
        <v>2468.6999999999998</v>
      </c>
      <c r="N2268" s="85">
        <f>STATS1003B!N2272/1000</f>
        <v>0</v>
      </c>
      <c r="O2268" s="85">
        <f>STATS1003B!O2272/1000</f>
        <v>0</v>
      </c>
      <c r="P2268" s="85">
        <f>STATS1003B!P2272/1000</f>
        <v>0</v>
      </c>
      <c r="Q2268" s="85">
        <f>STATS1003B!Q2272/1000</f>
        <v>2468.6999999999998</v>
      </c>
      <c r="R2268" s="85">
        <f>STATS1003B!R2272/1000</f>
        <v>0</v>
      </c>
      <c r="S2268" s="85">
        <f>STATS1003B!S2272/1000</f>
        <v>0</v>
      </c>
      <c r="T2268" s="85">
        <f>STATS1003B!T2272/1000</f>
        <v>0</v>
      </c>
      <c r="U2268" s="85">
        <f>STATS1003B!U2272/1000</f>
        <v>0</v>
      </c>
      <c r="V2268" s="85">
        <f>STATS1003B!V2272/1000</f>
        <v>0</v>
      </c>
      <c r="W2268" s="85">
        <f>STATS1003B!W2272/1000</f>
        <v>0</v>
      </c>
      <c r="X2268" s="85">
        <f t="shared" si="247"/>
        <v>2468.6999999999998</v>
      </c>
      <c r="Y2268" s="85">
        <f>STATS1003B!Y2272/1000</f>
        <v>0</v>
      </c>
      <c r="Z2268" s="85">
        <f t="shared" si="252"/>
        <v>0</v>
      </c>
      <c r="AA2268" s="69">
        <f>STATS1003B!AA2272/1000</f>
        <v>2468.6999999999998</v>
      </c>
      <c r="AB2268" s="69">
        <f>STATS1003B!AB2272/1000</f>
        <v>0</v>
      </c>
    </row>
    <row r="2269" spans="1:28" hidden="1" x14ac:dyDescent="0.3">
      <c r="A2269" s="117"/>
      <c r="C2269" s="68" t="s">
        <v>830</v>
      </c>
      <c r="D2269" s="87" t="s">
        <v>85</v>
      </c>
      <c r="E2269" s="85">
        <f>STATS1003B!E2273/1000</f>
        <v>300</v>
      </c>
      <c r="F2269" s="85">
        <f>STATS1003B!F2273/1000</f>
        <v>300</v>
      </c>
      <c r="G2269" s="85">
        <f>STATS1003B!G2273/1000</f>
        <v>0</v>
      </c>
      <c r="H2269" s="85">
        <f>STATS1003B!H2273/1000</f>
        <v>300</v>
      </c>
      <c r="I2269" s="85">
        <f>STATS1003B!I2273/1000</f>
        <v>0</v>
      </c>
      <c r="J2269" s="85">
        <f>STATS1003B!J2273/1000</f>
        <v>300</v>
      </c>
      <c r="K2269" s="85">
        <f>STATS1003B!K2273/1000</f>
        <v>0</v>
      </c>
      <c r="L2269" s="85">
        <f>STATS1003B!L2273/1000</f>
        <v>0</v>
      </c>
      <c r="M2269" s="85">
        <f>STATS1003B!M2273/1000</f>
        <v>300</v>
      </c>
      <c r="N2269" s="85">
        <f>STATS1003B!N2273/1000</f>
        <v>0</v>
      </c>
      <c r="O2269" s="85">
        <f>STATS1003B!O2273/1000</f>
        <v>0</v>
      </c>
      <c r="P2269" s="85">
        <f>STATS1003B!P2273/1000</f>
        <v>0</v>
      </c>
      <c r="Q2269" s="85">
        <f>STATS1003B!Q2273/1000</f>
        <v>300</v>
      </c>
      <c r="R2269" s="85">
        <f>STATS1003B!R2273/1000</f>
        <v>0</v>
      </c>
      <c r="S2269" s="85">
        <f>STATS1003B!S2273/1000</f>
        <v>0</v>
      </c>
      <c r="T2269" s="85">
        <f>STATS1003B!T2273/1000</f>
        <v>0</v>
      </c>
      <c r="U2269" s="85">
        <f>STATS1003B!U2273/1000</f>
        <v>0</v>
      </c>
      <c r="V2269" s="85">
        <f>STATS1003B!V2273/1000</f>
        <v>0</v>
      </c>
      <c r="W2269" s="85">
        <f>STATS1003B!W2273/1000</f>
        <v>0</v>
      </c>
      <c r="X2269" s="85">
        <f t="shared" si="247"/>
        <v>300</v>
      </c>
      <c r="Y2269" s="85">
        <f>STATS1003B!Y2273/1000</f>
        <v>0</v>
      </c>
      <c r="Z2269" s="85">
        <f t="shared" si="252"/>
        <v>0</v>
      </c>
      <c r="AA2269" s="69">
        <f>STATS1003B!AA2273/1000</f>
        <v>300</v>
      </c>
      <c r="AB2269" s="69">
        <f>STATS1003B!AB2273/1000</f>
        <v>0</v>
      </c>
    </row>
    <row r="2270" spans="1:28" hidden="1" x14ac:dyDescent="0.3">
      <c r="A2270" s="117"/>
      <c r="C2270" s="68" t="s">
        <v>557</v>
      </c>
      <c r="D2270" s="87" t="s">
        <v>85</v>
      </c>
      <c r="E2270" s="85">
        <f>STATS1003B!E2274/1000</f>
        <v>839</v>
      </c>
      <c r="F2270" s="85">
        <f>STATS1003B!F2274/1000</f>
        <v>839</v>
      </c>
      <c r="G2270" s="85">
        <f>STATS1003B!G2274/1000</f>
        <v>0</v>
      </c>
      <c r="H2270" s="85">
        <f>STATS1003B!H2274/1000</f>
        <v>839</v>
      </c>
      <c r="I2270" s="85">
        <f>STATS1003B!I2274/1000</f>
        <v>0</v>
      </c>
      <c r="J2270" s="85">
        <f>STATS1003B!J2274/1000</f>
        <v>839</v>
      </c>
      <c r="K2270" s="85">
        <f>STATS1003B!K2274/1000</f>
        <v>0</v>
      </c>
      <c r="L2270" s="85">
        <f>STATS1003B!L2274/1000</f>
        <v>0</v>
      </c>
      <c r="M2270" s="85">
        <f>STATS1003B!M2274/1000</f>
        <v>839</v>
      </c>
      <c r="N2270" s="85">
        <f>STATS1003B!N2274/1000</f>
        <v>0</v>
      </c>
      <c r="O2270" s="85">
        <f>STATS1003B!O2274/1000</f>
        <v>0</v>
      </c>
      <c r="P2270" s="85">
        <f>STATS1003B!P2274/1000</f>
        <v>0</v>
      </c>
      <c r="Q2270" s="85">
        <f>STATS1003B!Q2274/1000</f>
        <v>839</v>
      </c>
      <c r="R2270" s="85">
        <f>STATS1003B!R2274/1000</f>
        <v>0</v>
      </c>
      <c r="S2270" s="85">
        <f>STATS1003B!S2274/1000</f>
        <v>0</v>
      </c>
      <c r="T2270" s="85">
        <f>STATS1003B!T2274/1000</f>
        <v>0</v>
      </c>
      <c r="U2270" s="85">
        <f>STATS1003B!U2274/1000</f>
        <v>0</v>
      </c>
      <c r="V2270" s="85">
        <f>STATS1003B!V2274/1000</f>
        <v>0</v>
      </c>
      <c r="W2270" s="85">
        <f>STATS1003B!W2274/1000</f>
        <v>0</v>
      </c>
      <c r="X2270" s="85">
        <f t="shared" si="247"/>
        <v>839</v>
      </c>
      <c r="Y2270" s="85">
        <f>STATS1003B!Y2274/1000</f>
        <v>0</v>
      </c>
      <c r="Z2270" s="85">
        <f t="shared" si="252"/>
        <v>0</v>
      </c>
      <c r="AA2270" s="69">
        <f>STATS1003B!AA2274/1000</f>
        <v>839</v>
      </c>
      <c r="AB2270" s="69">
        <f>STATS1003B!AB2274/1000</f>
        <v>0</v>
      </c>
    </row>
    <row r="2271" spans="1:28" hidden="1" x14ac:dyDescent="0.3">
      <c r="A2271" s="117"/>
      <c r="C2271" s="68" t="s">
        <v>831</v>
      </c>
      <c r="D2271" s="87" t="s">
        <v>85</v>
      </c>
      <c r="E2271" s="85">
        <f>STATS1003B!E2275/1000</f>
        <v>3200</v>
      </c>
      <c r="F2271" s="85">
        <f>STATS1003B!F2275/1000</f>
        <v>3200</v>
      </c>
      <c r="G2271" s="85">
        <f>STATS1003B!G2275/1000</f>
        <v>0</v>
      </c>
      <c r="H2271" s="85">
        <f>STATS1003B!H2275/1000</f>
        <v>3200</v>
      </c>
      <c r="I2271" s="85">
        <f>STATS1003B!I2275/1000</f>
        <v>0</v>
      </c>
      <c r="J2271" s="85">
        <f>STATS1003B!J2275/1000</f>
        <v>3200</v>
      </c>
      <c r="K2271" s="85">
        <f>STATS1003B!K2275/1000</f>
        <v>0</v>
      </c>
      <c r="L2271" s="85">
        <f>STATS1003B!L2275/1000</f>
        <v>0</v>
      </c>
      <c r="M2271" s="85">
        <f>STATS1003B!M2275/1000</f>
        <v>3200</v>
      </c>
      <c r="N2271" s="85">
        <f>STATS1003B!N2275/1000</f>
        <v>0</v>
      </c>
      <c r="O2271" s="85">
        <f>STATS1003B!O2275/1000</f>
        <v>0</v>
      </c>
      <c r="P2271" s="85">
        <f>STATS1003B!P2275/1000</f>
        <v>0</v>
      </c>
      <c r="Q2271" s="85">
        <f>STATS1003B!Q2275/1000</f>
        <v>3200</v>
      </c>
      <c r="R2271" s="85">
        <f>STATS1003B!R2275/1000</f>
        <v>0</v>
      </c>
      <c r="S2271" s="85">
        <f>STATS1003B!S2275/1000</f>
        <v>0</v>
      </c>
      <c r="T2271" s="85">
        <f>STATS1003B!T2275/1000</f>
        <v>0</v>
      </c>
      <c r="U2271" s="85">
        <f>STATS1003B!U2275/1000</f>
        <v>0</v>
      </c>
      <c r="V2271" s="85">
        <f>STATS1003B!V2275/1000</f>
        <v>0</v>
      </c>
      <c r="W2271" s="85">
        <f>STATS1003B!W2275/1000</f>
        <v>0</v>
      </c>
      <c r="X2271" s="85">
        <f t="shared" si="247"/>
        <v>3200</v>
      </c>
      <c r="Y2271" s="85">
        <f>STATS1003B!Y2275/1000</f>
        <v>0</v>
      </c>
      <c r="Z2271" s="85">
        <f t="shared" si="252"/>
        <v>0</v>
      </c>
      <c r="AA2271" s="69">
        <f>STATS1003B!AA2275/1000</f>
        <v>3200</v>
      </c>
      <c r="AB2271" s="69">
        <f>STATS1003B!AB2275/1000</f>
        <v>0</v>
      </c>
    </row>
    <row r="2272" spans="1:28" hidden="1" x14ac:dyDescent="0.3">
      <c r="A2272" s="117"/>
      <c r="C2272" s="68" t="s">
        <v>832</v>
      </c>
      <c r="D2272" s="87" t="s">
        <v>85</v>
      </c>
      <c r="E2272" s="85">
        <f>STATS1003B!E2276/1000</f>
        <v>1743.3</v>
      </c>
      <c r="F2272" s="85">
        <f>STATS1003B!F2276/1000</f>
        <v>1743.3</v>
      </c>
      <c r="G2272" s="85">
        <f>STATS1003B!G2276/1000</f>
        <v>0</v>
      </c>
      <c r="H2272" s="85">
        <f>STATS1003B!H2276/1000</f>
        <v>1743.3</v>
      </c>
      <c r="I2272" s="85">
        <f>STATS1003B!I2276/1000</f>
        <v>0</v>
      </c>
      <c r="J2272" s="85">
        <f>STATS1003B!J2276/1000</f>
        <v>1743.3</v>
      </c>
      <c r="K2272" s="85">
        <f>STATS1003B!K2276/1000</f>
        <v>0</v>
      </c>
      <c r="L2272" s="85">
        <f>STATS1003B!L2276/1000</f>
        <v>0</v>
      </c>
      <c r="M2272" s="85">
        <f>STATS1003B!M2276/1000</f>
        <v>1743.3</v>
      </c>
      <c r="N2272" s="85">
        <f>STATS1003B!N2276/1000</f>
        <v>0</v>
      </c>
      <c r="O2272" s="85">
        <f>STATS1003B!O2276/1000</f>
        <v>0</v>
      </c>
      <c r="P2272" s="85">
        <f>STATS1003B!P2276/1000</f>
        <v>0</v>
      </c>
      <c r="Q2272" s="85">
        <f>STATS1003B!Q2276/1000</f>
        <v>1743.3</v>
      </c>
      <c r="R2272" s="85">
        <f>STATS1003B!R2276/1000</f>
        <v>0</v>
      </c>
      <c r="S2272" s="85">
        <f>STATS1003B!S2276/1000</f>
        <v>0</v>
      </c>
      <c r="T2272" s="85">
        <f>STATS1003B!T2276/1000</f>
        <v>0</v>
      </c>
      <c r="U2272" s="85">
        <f>STATS1003B!U2276/1000</f>
        <v>0</v>
      </c>
      <c r="V2272" s="85">
        <f>STATS1003B!V2276/1000</f>
        <v>0</v>
      </c>
      <c r="W2272" s="85">
        <f>STATS1003B!W2276/1000</f>
        <v>0</v>
      </c>
      <c r="X2272" s="85">
        <f t="shared" si="247"/>
        <v>1743.3</v>
      </c>
      <c r="Y2272" s="85">
        <f>STATS1003B!Y2276/1000</f>
        <v>0</v>
      </c>
      <c r="Z2272" s="85">
        <f t="shared" si="252"/>
        <v>0</v>
      </c>
      <c r="AA2272" s="69">
        <f>STATS1003B!AA2276/1000</f>
        <v>1743.3</v>
      </c>
      <c r="AB2272" s="69">
        <f>STATS1003B!AB2276/1000</f>
        <v>0</v>
      </c>
    </row>
    <row r="2273" spans="1:28" hidden="1" x14ac:dyDescent="0.3">
      <c r="A2273" s="117"/>
      <c r="C2273" s="68" t="s">
        <v>535</v>
      </c>
      <c r="D2273" s="87" t="s">
        <v>128</v>
      </c>
      <c r="E2273" s="85">
        <f>STATS1003B!E2277/1000</f>
        <v>1500</v>
      </c>
      <c r="F2273" s="85">
        <f>STATS1003B!F2277/1000</f>
        <v>1500</v>
      </c>
      <c r="G2273" s="85">
        <f>STATS1003B!G2277/1000</f>
        <v>0</v>
      </c>
      <c r="H2273" s="85">
        <f>STATS1003B!H2277/1000</f>
        <v>1500</v>
      </c>
      <c r="I2273" s="85">
        <f>STATS1003B!I2277/1000</f>
        <v>0</v>
      </c>
      <c r="J2273" s="85">
        <f>STATS1003B!J2277/1000</f>
        <v>1500</v>
      </c>
      <c r="K2273" s="85">
        <f>STATS1003B!K2277/1000</f>
        <v>0</v>
      </c>
      <c r="L2273" s="85">
        <f>STATS1003B!L2277/1000</f>
        <v>0</v>
      </c>
      <c r="M2273" s="85">
        <f>STATS1003B!M2277/1000</f>
        <v>1500</v>
      </c>
      <c r="N2273" s="85">
        <f>STATS1003B!N2277/1000</f>
        <v>0</v>
      </c>
      <c r="O2273" s="85">
        <f>STATS1003B!O2277/1000</f>
        <v>0</v>
      </c>
      <c r="P2273" s="85">
        <f>STATS1003B!P2277/1000</f>
        <v>0</v>
      </c>
      <c r="Q2273" s="85">
        <f>STATS1003B!Q2277/1000</f>
        <v>1500</v>
      </c>
      <c r="R2273" s="85">
        <f>STATS1003B!R2277/1000</f>
        <v>0</v>
      </c>
      <c r="S2273" s="85">
        <f>STATS1003B!S2277/1000</f>
        <v>0</v>
      </c>
      <c r="T2273" s="85">
        <f>STATS1003B!T2277/1000</f>
        <v>0</v>
      </c>
      <c r="U2273" s="85">
        <f>STATS1003B!U2277/1000</f>
        <v>0</v>
      </c>
      <c r="V2273" s="85">
        <f>STATS1003B!V2277/1000</f>
        <v>0</v>
      </c>
      <c r="W2273" s="85">
        <f>STATS1003B!W2277/1000</f>
        <v>0</v>
      </c>
      <c r="X2273" s="85">
        <f t="shared" si="247"/>
        <v>1500</v>
      </c>
      <c r="Y2273" s="85">
        <f>STATS1003B!Y2277/1000</f>
        <v>0</v>
      </c>
      <c r="Z2273" s="85">
        <f t="shared" si="252"/>
        <v>0</v>
      </c>
      <c r="AA2273" s="69">
        <f>STATS1003B!AA2277/1000</f>
        <v>1500</v>
      </c>
      <c r="AB2273" s="69">
        <f>STATS1003B!AB2277/1000</f>
        <v>0</v>
      </c>
    </row>
    <row r="2274" spans="1:28" hidden="1" x14ac:dyDescent="0.3">
      <c r="A2274" s="117"/>
      <c r="C2274" s="68" t="s">
        <v>535</v>
      </c>
      <c r="D2274" s="87" t="s">
        <v>88</v>
      </c>
      <c r="E2274" s="85">
        <f>STATS1003B!E2278/1000</f>
        <v>2924.63</v>
      </c>
      <c r="F2274" s="85">
        <f>STATS1003B!F2278/1000</f>
        <v>2924.63</v>
      </c>
      <c r="G2274" s="85">
        <f>STATS1003B!G2278/1000</f>
        <v>0</v>
      </c>
      <c r="H2274" s="85">
        <f>STATS1003B!H2278/1000</f>
        <v>2924.63</v>
      </c>
      <c r="I2274" s="85">
        <f>STATS1003B!I2278/1000</f>
        <v>0</v>
      </c>
      <c r="J2274" s="85">
        <f>STATS1003B!J2278/1000</f>
        <v>2924.63</v>
      </c>
      <c r="K2274" s="85">
        <f>STATS1003B!K2278/1000</f>
        <v>0</v>
      </c>
      <c r="L2274" s="85">
        <f>STATS1003B!L2278/1000</f>
        <v>0</v>
      </c>
      <c r="M2274" s="85">
        <f>STATS1003B!M2278/1000</f>
        <v>2924.63</v>
      </c>
      <c r="N2274" s="85">
        <f>STATS1003B!N2278/1000</f>
        <v>0</v>
      </c>
      <c r="O2274" s="85">
        <f>STATS1003B!O2278/1000</f>
        <v>0</v>
      </c>
      <c r="P2274" s="85">
        <f>STATS1003B!P2278/1000</f>
        <v>0</v>
      </c>
      <c r="Q2274" s="85">
        <f>STATS1003B!Q2278/1000</f>
        <v>2924.63</v>
      </c>
      <c r="R2274" s="85">
        <f>STATS1003B!R2278/1000</f>
        <v>0</v>
      </c>
      <c r="S2274" s="85">
        <f>STATS1003B!S2278/1000</f>
        <v>0</v>
      </c>
      <c r="T2274" s="85">
        <f>STATS1003B!T2278/1000</f>
        <v>0</v>
      </c>
      <c r="U2274" s="85">
        <f>STATS1003B!U2278/1000</f>
        <v>0</v>
      </c>
      <c r="V2274" s="85">
        <f>STATS1003B!V2278/1000</f>
        <v>0</v>
      </c>
      <c r="W2274" s="85">
        <f>STATS1003B!W2278/1000</f>
        <v>0</v>
      </c>
      <c r="X2274" s="85">
        <f t="shared" si="247"/>
        <v>2924.63</v>
      </c>
      <c r="Y2274" s="85">
        <f>STATS1003B!Y2278/1000</f>
        <v>0</v>
      </c>
      <c r="Z2274" s="85">
        <f t="shared" si="252"/>
        <v>0</v>
      </c>
      <c r="AA2274" s="69">
        <f>STATS1003B!AA2278/1000</f>
        <v>2924.63</v>
      </c>
      <c r="AB2274" s="69">
        <f>STATS1003B!AB2278/1000</f>
        <v>0</v>
      </c>
    </row>
    <row r="2275" spans="1:28" hidden="1" x14ac:dyDescent="0.3">
      <c r="A2275" s="117"/>
      <c r="C2275" s="68" t="s">
        <v>535</v>
      </c>
      <c r="D2275" s="87" t="s">
        <v>108</v>
      </c>
      <c r="E2275" s="85">
        <f>STATS1003B!E2279/1000</f>
        <v>3032.9879999999998</v>
      </c>
      <c r="F2275" s="85">
        <f>STATS1003B!F2279/1000</f>
        <v>3032.9879999999998</v>
      </c>
      <c r="G2275" s="85">
        <f>STATS1003B!G2279/1000</f>
        <v>0</v>
      </c>
      <c r="H2275" s="85">
        <f>STATS1003B!H2279/1000</f>
        <v>3032.9879999999998</v>
      </c>
      <c r="I2275" s="85">
        <f>STATS1003B!I2279/1000</f>
        <v>0</v>
      </c>
      <c r="J2275" s="85">
        <f>STATS1003B!J2279/1000</f>
        <v>3032.9879999999998</v>
      </c>
      <c r="K2275" s="85">
        <f>STATS1003B!K2279/1000</f>
        <v>0</v>
      </c>
      <c r="L2275" s="85">
        <f>STATS1003B!L2279/1000</f>
        <v>0</v>
      </c>
      <c r="M2275" s="85">
        <f>STATS1003B!M2279/1000</f>
        <v>3032.9879999999998</v>
      </c>
      <c r="N2275" s="85">
        <f>STATS1003B!N2279/1000</f>
        <v>0</v>
      </c>
      <c r="O2275" s="85">
        <f>STATS1003B!O2279/1000</f>
        <v>0</v>
      </c>
      <c r="P2275" s="85">
        <f>STATS1003B!P2279/1000</f>
        <v>0</v>
      </c>
      <c r="Q2275" s="85">
        <f>STATS1003B!Q2279/1000</f>
        <v>3032.9879999999998</v>
      </c>
      <c r="R2275" s="85">
        <f>STATS1003B!R2279/1000</f>
        <v>0</v>
      </c>
      <c r="S2275" s="85">
        <f>STATS1003B!S2279/1000</f>
        <v>0</v>
      </c>
      <c r="T2275" s="85">
        <f>STATS1003B!T2279/1000</f>
        <v>0</v>
      </c>
      <c r="U2275" s="85">
        <f>STATS1003B!U2279/1000</f>
        <v>0</v>
      </c>
      <c r="V2275" s="85">
        <f>STATS1003B!V2279/1000</f>
        <v>0</v>
      </c>
      <c r="W2275" s="85">
        <f>STATS1003B!W2279/1000</f>
        <v>0</v>
      </c>
      <c r="X2275" s="85">
        <f t="shared" si="247"/>
        <v>3032.9879999999998</v>
      </c>
      <c r="Y2275" s="85">
        <f>STATS1003B!Y2279/1000</f>
        <v>0</v>
      </c>
      <c r="Z2275" s="85">
        <f t="shared" si="252"/>
        <v>0</v>
      </c>
      <c r="AA2275" s="69">
        <f>STATS1003B!AA2279/1000</f>
        <v>3032.9879999999998</v>
      </c>
      <c r="AB2275" s="69">
        <f>STATS1003B!AB2279/1000</f>
        <v>0</v>
      </c>
    </row>
    <row r="2276" spans="1:28" hidden="1" x14ac:dyDescent="0.3">
      <c r="A2276" s="117"/>
      <c r="C2276" s="68" t="s">
        <v>833</v>
      </c>
      <c r="D2276" s="87" t="s">
        <v>108</v>
      </c>
      <c r="E2276" s="85">
        <f>STATS1003B!E2280/1000</f>
        <v>500</v>
      </c>
      <c r="F2276" s="85">
        <f>STATS1003B!F2280/1000</f>
        <v>500</v>
      </c>
      <c r="G2276" s="85">
        <f>STATS1003B!G2280/1000</f>
        <v>0</v>
      </c>
      <c r="H2276" s="85">
        <f>STATS1003B!H2280/1000</f>
        <v>500</v>
      </c>
      <c r="I2276" s="85">
        <f>STATS1003B!I2280/1000</f>
        <v>0</v>
      </c>
      <c r="J2276" s="85">
        <f>STATS1003B!J2280/1000</f>
        <v>500</v>
      </c>
      <c r="K2276" s="85">
        <f>STATS1003B!K2280/1000</f>
        <v>0</v>
      </c>
      <c r="L2276" s="85">
        <f>STATS1003B!L2280/1000</f>
        <v>0</v>
      </c>
      <c r="M2276" s="85">
        <f>STATS1003B!M2280/1000</f>
        <v>500</v>
      </c>
      <c r="N2276" s="85">
        <f>STATS1003B!N2280/1000</f>
        <v>0</v>
      </c>
      <c r="O2276" s="85">
        <f>STATS1003B!O2280/1000</f>
        <v>0</v>
      </c>
      <c r="P2276" s="85">
        <f>STATS1003B!P2280/1000</f>
        <v>0</v>
      </c>
      <c r="Q2276" s="85">
        <f>STATS1003B!Q2280/1000</f>
        <v>500</v>
      </c>
      <c r="R2276" s="85">
        <f>STATS1003B!R2280/1000</f>
        <v>0</v>
      </c>
      <c r="S2276" s="85">
        <f>STATS1003B!S2280/1000</f>
        <v>0</v>
      </c>
      <c r="T2276" s="85">
        <f>STATS1003B!T2280/1000</f>
        <v>0</v>
      </c>
      <c r="U2276" s="85">
        <f>STATS1003B!U2280/1000</f>
        <v>0</v>
      </c>
      <c r="V2276" s="85">
        <f>STATS1003B!V2280/1000</f>
        <v>0</v>
      </c>
      <c r="W2276" s="85">
        <f>STATS1003B!W2280/1000</f>
        <v>0</v>
      </c>
      <c r="X2276" s="85">
        <f t="shared" si="247"/>
        <v>500</v>
      </c>
      <c r="Y2276" s="85">
        <f>STATS1003B!Y2280/1000</f>
        <v>0</v>
      </c>
      <c r="Z2276" s="85">
        <f t="shared" si="252"/>
        <v>0</v>
      </c>
      <c r="AA2276" s="69">
        <f>STATS1003B!AA2280/1000</f>
        <v>500</v>
      </c>
      <c r="AB2276" s="69">
        <f>STATS1003B!AB2280/1000</f>
        <v>0</v>
      </c>
    </row>
    <row r="2277" spans="1:28" hidden="1" x14ac:dyDescent="0.3">
      <c r="A2277" s="117"/>
      <c r="C2277" s="68" t="s">
        <v>535</v>
      </c>
      <c r="D2277" s="87" t="s">
        <v>58</v>
      </c>
      <c r="E2277" s="85">
        <f>STATS1003B!E2281/1000</f>
        <v>3511.2649999999999</v>
      </c>
      <c r="F2277" s="85">
        <f>STATS1003B!F2281/1000</f>
        <v>3511.2649999999999</v>
      </c>
      <c r="G2277" s="85">
        <f>STATS1003B!G2281/1000</f>
        <v>0</v>
      </c>
      <c r="H2277" s="85">
        <f>STATS1003B!H2281/1000</f>
        <v>3511.2649999999999</v>
      </c>
      <c r="I2277" s="85">
        <f>STATS1003B!I2281/1000</f>
        <v>0</v>
      </c>
      <c r="J2277" s="85">
        <f>STATS1003B!J2281/1000</f>
        <v>3511.2649999999999</v>
      </c>
      <c r="K2277" s="85">
        <f>STATS1003B!K2281/1000</f>
        <v>0</v>
      </c>
      <c r="L2277" s="85">
        <f>STATS1003B!L2281/1000</f>
        <v>0</v>
      </c>
      <c r="M2277" s="85">
        <f>STATS1003B!M2281/1000</f>
        <v>3511.2649999999999</v>
      </c>
      <c r="N2277" s="85">
        <f>STATS1003B!N2281/1000</f>
        <v>0</v>
      </c>
      <c r="O2277" s="85">
        <f>STATS1003B!O2281/1000</f>
        <v>0</v>
      </c>
      <c r="P2277" s="85">
        <f>STATS1003B!P2281/1000</f>
        <v>0</v>
      </c>
      <c r="Q2277" s="85">
        <f>STATS1003B!Q2281/1000</f>
        <v>3511.2649999999999</v>
      </c>
      <c r="R2277" s="85">
        <f>STATS1003B!R2281/1000</f>
        <v>0</v>
      </c>
      <c r="S2277" s="85">
        <f>STATS1003B!S2281/1000</f>
        <v>0</v>
      </c>
      <c r="T2277" s="85">
        <f>STATS1003B!T2281/1000</f>
        <v>0</v>
      </c>
      <c r="U2277" s="85">
        <f>STATS1003B!U2281/1000</f>
        <v>0</v>
      </c>
      <c r="V2277" s="85">
        <f>STATS1003B!V2281/1000</f>
        <v>0</v>
      </c>
      <c r="W2277" s="85">
        <f>STATS1003B!W2281/1000</f>
        <v>0</v>
      </c>
      <c r="X2277" s="85">
        <f t="shared" si="247"/>
        <v>3511.2649999999999</v>
      </c>
      <c r="Y2277" s="85">
        <f>STATS1003B!Y2281/1000</f>
        <v>0</v>
      </c>
      <c r="Z2277" s="85">
        <f t="shared" si="252"/>
        <v>0</v>
      </c>
      <c r="AA2277" s="69">
        <f>STATS1003B!AA2281/1000</f>
        <v>3511.2649999999999</v>
      </c>
      <c r="AB2277" s="69">
        <f>STATS1003B!AB2281/1000</f>
        <v>0</v>
      </c>
    </row>
    <row r="2278" spans="1:28" hidden="1" x14ac:dyDescent="0.3">
      <c r="A2278" s="117"/>
      <c r="C2278" s="68" t="s">
        <v>535</v>
      </c>
      <c r="D2278" s="87" t="s">
        <v>60</v>
      </c>
      <c r="E2278" s="85">
        <f>STATS1003B!E2282/1000</f>
        <v>5088.5806700000003</v>
      </c>
      <c r="F2278" s="85">
        <f>STATS1003B!F2282/1000</f>
        <v>5088.5806700000003</v>
      </c>
      <c r="G2278" s="85">
        <f>STATS1003B!G2282/1000</f>
        <v>0</v>
      </c>
      <c r="H2278" s="85">
        <f>STATS1003B!H2282/1000</f>
        <v>5088.5806700000003</v>
      </c>
      <c r="I2278" s="85">
        <f>STATS1003B!I2282/1000</f>
        <v>0</v>
      </c>
      <c r="J2278" s="85">
        <f>STATS1003B!J2282/1000</f>
        <v>5088.5806700000003</v>
      </c>
      <c r="K2278" s="85">
        <f>STATS1003B!K2282/1000</f>
        <v>0</v>
      </c>
      <c r="L2278" s="85">
        <f>STATS1003B!L2282/1000</f>
        <v>0</v>
      </c>
      <c r="M2278" s="85">
        <f>STATS1003B!M2282/1000</f>
        <v>5088.5806700000003</v>
      </c>
      <c r="N2278" s="85">
        <f>STATS1003B!N2282/1000</f>
        <v>0</v>
      </c>
      <c r="O2278" s="85">
        <f>STATS1003B!O2282/1000</f>
        <v>0</v>
      </c>
      <c r="P2278" s="85">
        <f>STATS1003B!P2282/1000</f>
        <v>0</v>
      </c>
      <c r="Q2278" s="85">
        <f>STATS1003B!Q2282/1000</f>
        <v>5088.5806700000003</v>
      </c>
      <c r="R2278" s="85">
        <f>STATS1003B!R2282/1000</f>
        <v>0</v>
      </c>
      <c r="S2278" s="85">
        <f>STATS1003B!S2282/1000</f>
        <v>0</v>
      </c>
      <c r="T2278" s="85">
        <f>STATS1003B!T2282/1000</f>
        <v>0</v>
      </c>
      <c r="U2278" s="85">
        <f>STATS1003B!U2282/1000</f>
        <v>0</v>
      </c>
      <c r="V2278" s="85">
        <f>STATS1003B!V2282/1000</f>
        <v>0</v>
      </c>
      <c r="W2278" s="85">
        <f>STATS1003B!W2282/1000</f>
        <v>0</v>
      </c>
      <c r="X2278" s="85">
        <f t="shared" si="247"/>
        <v>5088.5806700000003</v>
      </c>
      <c r="Y2278" s="85">
        <f>STATS1003B!Y2282/1000</f>
        <v>0</v>
      </c>
      <c r="Z2278" s="85">
        <f t="shared" si="252"/>
        <v>0</v>
      </c>
      <c r="AA2278" s="69">
        <f>STATS1003B!AA2282/1000</f>
        <v>5088.5806700000003</v>
      </c>
      <c r="AB2278" s="69">
        <f>STATS1003B!AB2282/1000</f>
        <v>0</v>
      </c>
    </row>
    <row r="2279" spans="1:28" hidden="1" x14ac:dyDescent="0.3">
      <c r="A2279" s="117"/>
      <c r="C2279" s="68" t="s">
        <v>535</v>
      </c>
      <c r="D2279" s="87" t="s">
        <v>73</v>
      </c>
      <c r="E2279" s="85">
        <f>STATS1003B!E2283/1000</f>
        <v>6616</v>
      </c>
      <c r="F2279" s="85">
        <f>STATS1003B!F2283/1000</f>
        <v>6616</v>
      </c>
      <c r="G2279" s="85">
        <f>STATS1003B!G2283/1000</f>
        <v>0</v>
      </c>
      <c r="H2279" s="85">
        <f>STATS1003B!H2283/1000</f>
        <v>6616</v>
      </c>
      <c r="I2279" s="85">
        <f>STATS1003B!I2283/1000</f>
        <v>0</v>
      </c>
      <c r="J2279" s="85">
        <f>STATS1003B!J2283/1000</f>
        <v>6616</v>
      </c>
      <c r="K2279" s="85">
        <f>STATS1003B!K2283/1000</f>
        <v>0</v>
      </c>
      <c r="L2279" s="85">
        <f>STATS1003B!L2283/1000</f>
        <v>0</v>
      </c>
      <c r="M2279" s="85">
        <f>STATS1003B!M2283/1000</f>
        <v>6616</v>
      </c>
      <c r="N2279" s="85">
        <f>STATS1003B!N2283/1000</f>
        <v>0</v>
      </c>
      <c r="O2279" s="85">
        <f>STATS1003B!O2283/1000</f>
        <v>0</v>
      </c>
      <c r="P2279" s="85">
        <f>STATS1003B!P2283/1000</f>
        <v>0</v>
      </c>
      <c r="Q2279" s="85">
        <f>STATS1003B!Q2283/1000</f>
        <v>6616</v>
      </c>
      <c r="R2279" s="85">
        <f>STATS1003B!R2283/1000</f>
        <v>0</v>
      </c>
      <c r="S2279" s="85">
        <f>STATS1003B!S2283/1000</f>
        <v>0</v>
      </c>
      <c r="T2279" s="85">
        <f>STATS1003B!T2283/1000</f>
        <v>0</v>
      </c>
      <c r="U2279" s="85">
        <f>STATS1003B!U2283/1000</f>
        <v>0</v>
      </c>
      <c r="V2279" s="85">
        <f>STATS1003B!V2283/1000</f>
        <v>0</v>
      </c>
      <c r="W2279" s="85">
        <f>STATS1003B!W2283/1000</f>
        <v>0</v>
      </c>
      <c r="X2279" s="85">
        <f t="shared" si="247"/>
        <v>6616</v>
      </c>
      <c r="Y2279" s="85">
        <f>STATS1003B!Y2283/1000</f>
        <v>0</v>
      </c>
      <c r="Z2279" s="85">
        <f t="shared" si="252"/>
        <v>0</v>
      </c>
      <c r="AA2279" s="69">
        <f>STATS1003B!AA2283/1000</f>
        <v>6616</v>
      </c>
      <c r="AB2279" s="69">
        <f>STATS1003B!AB2283/1000</f>
        <v>0</v>
      </c>
    </row>
    <row r="2280" spans="1:28" hidden="1" x14ac:dyDescent="0.3">
      <c r="A2280" s="117"/>
      <c r="C2280" s="93" t="s">
        <v>898</v>
      </c>
      <c r="D2280" s="90" t="s">
        <v>1072</v>
      </c>
      <c r="E2280" s="85">
        <f>STATS1003B!E2284/1000</f>
        <v>8057.8075199999994</v>
      </c>
      <c r="F2280" s="85">
        <f>STATS1003B!F2284/1000</f>
        <v>8057.8075199999994</v>
      </c>
      <c r="G2280" s="85">
        <f>STATS1003B!G2284/1000</f>
        <v>0</v>
      </c>
      <c r="H2280" s="85">
        <f>STATS1003B!H2284/1000</f>
        <v>8057.8075199999994</v>
      </c>
      <c r="I2280" s="85">
        <f>STATS1003B!I2284/1000</f>
        <v>0</v>
      </c>
      <c r="J2280" s="85">
        <f>STATS1003B!J2284/1000</f>
        <v>8057.8075199999994</v>
      </c>
      <c r="K2280" s="85">
        <f>STATS1003B!K2284/1000</f>
        <v>0</v>
      </c>
      <c r="L2280" s="85">
        <f>STATS1003B!L2284/1000</f>
        <v>0</v>
      </c>
      <c r="M2280" s="85">
        <f>STATS1003B!M2284/1000</f>
        <v>8057.8075199999994</v>
      </c>
      <c r="N2280" s="85">
        <f>STATS1003B!N2284/1000</f>
        <v>0</v>
      </c>
      <c r="O2280" s="85">
        <f>STATS1003B!O2284/1000</f>
        <v>0</v>
      </c>
      <c r="P2280" s="85">
        <f>STATS1003B!P2284/1000</f>
        <v>0</v>
      </c>
      <c r="Q2280" s="85">
        <f>STATS1003B!Q2284/1000</f>
        <v>0</v>
      </c>
      <c r="R2280" s="85">
        <f>STATS1003B!R2284/1000</f>
        <v>0</v>
      </c>
      <c r="S2280" s="85">
        <f>STATS1003B!S2284/1000</f>
        <v>0</v>
      </c>
      <c r="T2280" s="85">
        <f>STATS1003B!T2284/1000</f>
        <v>0</v>
      </c>
      <c r="U2280" s="85">
        <f>STATS1003B!U2284/1000</f>
        <v>0</v>
      </c>
      <c r="V2280" s="85">
        <f>STATS1003B!V2284/1000</f>
        <v>0</v>
      </c>
      <c r="W2280" s="85">
        <f>STATS1003B!W2284/1000</f>
        <v>0</v>
      </c>
      <c r="X2280" s="85">
        <f t="shared" si="247"/>
        <v>8057.8075199999994</v>
      </c>
      <c r="Y2280" s="85">
        <f>STATS1003B!Y2284/1000</f>
        <v>0</v>
      </c>
      <c r="Z2280" s="85">
        <f t="shared" si="252"/>
        <v>0</v>
      </c>
      <c r="AA2280" s="69">
        <f>STATS1003B!AA2284/1000</f>
        <v>8057.8075199999994</v>
      </c>
      <c r="AB2280" s="69">
        <f>STATS1003B!AB2284/1000</f>
        <v>0</v>
      </c>
    </row>
    <row r="2281" spans="1:28" hidden="1" x14ac:dyDescent="0.3">
      <c r="A2281" s="117"/>
      <c r="C2281" s="93" t="s">
        <v>933</v>
      </c>
      <c r="D2281" s="90" t="s">
        <v>1072</v>
      </c>
      <c r="E2281" s="85">
        <f>STATS1003B!E2285/1000</f>
        <v>3296.2596899999999</v>
      </c>
      <c r="F2281" s="85">
        <f>STATS1003B!F2285/1000</f>
        <v>3296.2596899999999</v>
      </c>
      <c r="G2281" s="85">
        <f>STATS1003B!G2285/1000</f>
        <v>0</v>
      </c>
      <c r="H2281" s="85">
        <f>STATS1003B!H2285/1000</f>
        <v>3296.2596899999999</v>
      </c>
      <c r="I2281" s="85">
        <f>STATS1003B!I2285/1000</f>
        <v>0</v>
      </c>
      <c r="J2281" s="85">
        <f>STATS1003B!J2285/1000</f>
        <v>0</v>
      </c>
      <c r="K2281" s="85">
        <f>STATS1003B!K2285/1000</f>
        <v>0</v>
      </c>
      <c r="L2281" s="85">
        <f>STATS1003B!L2285/1000</f>
        <v>0</v>
      </c>
      <c r="M2281" s="85">
        <f>STATS1003B!M2285/1000</f>
        <v>3296.2596899999999</v>
      </c>
      <c r="N2281" s="85">
        <f>STATS1003B!N2285/1000</f>
        <v>0</v>
      </c>
      <c r="O2281" s="85">
        <f>STATS1003B!O2285/1000</f>
        <v>0</v>
      </c>
      <c r="P2281" s="85">
        <f>STATS1003B!P2285/1000</f>
        <v>0</v>
      </c>
      <c r="Q2281" s="85">
        <f>STATS1003B!Q2285/1000</f>
        <v>0</v>
      </c>
      <c r="R2281" s="85">
        <f>STATS1003B!R2285/1000</f>
        <v>0</v>
      </c>
      <c r="S2281" s="85">
        <f>STATS1003B!S2285/1000</f>
        <v>0</v>
      </c>
      <c r="T2281" s="85">
        <f>STATS1003B!T2285/1000</f>
        <v>0</v>
      </c>
      <c r="U2281" s="85">
        <f>STATS1003B!U2285/1000</f>
        <v>0</v>
      </c>
      <c r="V2281" s="85">
        <f>STATS1003B!V2285/1000</f>
        <v>0</v>
      </c>
      <c r="W2281" s="85">
        <f>STATS1003B!W2285/1000</f>
        <v>0</v>
      </c>
      <c r="X2281" s="85">
        <f t="shared" si="247"/>
        <v>3296.2596899999999</v>
      </c>
      <c r="Y2281" s="85">
        <f>STATS1003B!Y2285/1000</f>
        <v>0</v>
      </c>
      <c r="Z2281" s="85">
        <f t="shared" si="252"/>
        <v>0</v>
      </c>
      <c r="AA2281" s="69">
        <f>STATS1003B!AA2285/1000</f>
        <v>3296.2596899999999</v>
      </c>
      <c r="AB2281" s="69">
        <f>STATS1003B!AB2285/1000</f>
        <v>0</v>
      </c>
    </row>
    <row r="2282" spans="1:28" hidden="1" x14ac:dyDescent="0.3">
      <c r="A2282" s="117"/>
      <c r="C2282" s="93" t="s">
        <v>1083</v>
      </c>
      <c r="D2282" s="90" t="s">
        <v>1072</v>
      </c>
      <c r="E2282" s="85">
        <f>STATS1003B!E2286/1000</f>
        <v>2971.9355099999998</v>
      </c>
      <c r="F2282" s="85">
        <f>STATS1003B!F2286/1000</f>
        <v>2971.9355099999998</v>
      </c>
      <c r="G2282" s="85">
        <f>STATS1003B!G2286/1000</f>
        <v>0</v>
      </c>
      <c r="H2282" s="85">
        <f>STATS1003B!H2286/1000</f>
        <v>2971.9355099999998</v>
      </c>
      <c r="I2282" s="85">
        <f>STATS1003B!I2286/1000</f>
        <v>0</v>
      </c>
      <c r="J2282" s="85">
        <f>STATS1003B!J2286/1000</f>
        <v>0</v>
      </c>
      <c r="K2282" s="85">
        <f>STATS1003B!K2286/1000</f>
        <v>0</v>
      </c>
      <c r="L2282" s="85">
        <f>STATS1003B!L2286/1000</f>
        <v>0</v>
      </c>
      <c r="M2282" s="85">
        <f>STATS1003B!M2286/1000</f>
        <v>2971.9355099999998</v>
      </c>
      <c r="N2282" s="85">
        <f>STATS1003B!N2286/1000</f>
        <v>0</v>
      </c>
      <c r="O2282" s="85">
        <f>STATS1003B!O2286/1000</f>
        <v>0</v>
      </c>
      <c r="P2282" s="85">
        <f>STATS1003B!P2286/1000</f>
        <v>0</v>
      </c>
      <c r="Q2282" s="85">
        <f>STATS1003B!Q2286/1000</f>
        <v>0</v>
      </c>
      <c r="R2282" s="85">
        <f>STATS1003B!R2286/1000</f>
        <v>0</v>
      </c>
      <c r="S2282" s="85">
        <f>STATS1003B!S2286/1000</f>
        <v>0</v>
      </c>
      <c r="T2282" s="85">
        <f>STATS1003B!T2286/1000</f>
        <v>0</v>
      </c>
      <c r="U2282" s="85">
        <f>STATS1003B!U2286/1000</f>
        <v>0</v>
      </c>
      <c r="V2282" s="85">
        <f>STATS1003B!V2286/1000</f>
        <v>0</v>
      </c>
      <c r="W2282" s="85">
        <f>STATS1003B!W2286/1000</f>
        <v>0</v>
      </c>
      <c r="X2282" s="85">
        <f t="shared" si="247"/>
        <v>2971.9355099999998</v>
      </c>
      <c r="Y2282" s="85">
        <f>STATS1003B!Y2286/1000</f>
        <v>0</v>
      </c>
      <c r="Z2282" s="85">
        <f t="shared" si="252"/>
        <v>0</v>
      </c>
      <c r="AA2282" s="69">
        <f>STATS1003B!AA2286/1000</f>
        <v>2971.9355099999998</v>
      </c>
      <c r="AB2282" s="69">
        <f>STATS1003B!AB2286/1000</f>
        <v>0</v>
      </c>
    </row>
    <row r="2283" spans="1:28" hidden="1" x14ac:dyDescent="0.3">
      <c r="A2283" s="117"/>
      <c r="C2283" s="68" t="s">
        <v>1203</v>
      </c>
      <c r="D2283" s="90" t="s">
        <v>1126</v>
      </c>
      <c r="E2283" s="85">
        <f>STATS1003B!E2287/1000</f>
        <v>1423.31817</v>
      </c>
      <c r="F2283" s="85">
        <f>STATS1003B!F2287/1000</f>
        <v>1423.31817</v>
      </c>
      <c r="G2283" s="85">
        <f>STATS1003B!G2287/1000</f>
        <v>0</v>
      </c>
      <c r="H2283" s="85">
        <f>STATS1003B!H2287/1000</f>
        <v>1423.31817</v>
      </c>
      <c r="I2283" s="85">
        <f>STATS1003B!I2287/1000</f>
        <v>0</v>
      </c>
      <c r="J2283" s="85">
        <f>STATS1003B!J2287/1000</f>
        <v>0</v>
      </c>
      <c r="K2283" s="85">
        <f>STATS1003B!K2287/1000</f>
        <v>0</v>
      </c>
      <c r="L2283" s="85">
        <f>STATS1003B!L2287/1000</f>
        <v>0</v>
      </c>
      <c r="M2283" s="85">
        <f>STATS1003B!M2287/1000</f>
        <v>1423.31817</v>
      </c>
      <c r="N2283" s="85">
        <f>STATS1003B!N2287/1000</f>
        <v>0</v>
      </c>
      <c r="O2283" s="85">
        <f>STATS1003B!O2287/1000</f>
        <v>0</v>
      </c>
      <c r="P2283" s="85">
        <f>STATS1003B!P2287/1000</f>
        <v>0</v>
      </c>
      <c r="Q2283" s="85">
        <f>STATS1003B!Q2287/1000</f>
        <v>0</v>
      </c>
      <c r="R2283" s="85">
        <f>STATS1003B!R2287/1000</f>
        <v>0</v>
      </c>
      <c r="S2283" s="85">
        <f>STATS1003B!S2287/1000</f>
        <v>0</v>
      </c>
      <c r="T2283" s="85">
        <f>STATS1003B!T2287/1000</f>
        <v>0</v>
      </c>
      <c r="U2283" s="85">
        <f>STATS1003B!U2287/1000</f>
        <v>0</v>
      </c>
      <c r="V2283" s="85">
        <f>STATS1003B!V2287/1000</f>
        <v>0</v>
      </c>
      <c r="W2283" s="85">
        <f>STATS1003B!W2287/1000</f>
        <v>0</v>
      </c>
      <c r="X2283" s="85">
        <f t="shared" si="247"/>
        <v>1423.31817</v>
      </c>
      <c r="Y2283" s="85">
        <f>STATS1003B!Y2287/1000</f>
        <v>0</v>
      </c>
      <c r="Z2283" s="85">
        <f t="shared" si="252"/>
        <v>0</v>
      </c>
      <c r="AA2283" s="69">
        <f>STATS1003B!AA2287/1000</f>
        <v>1423.31817</v>
      </c>
      <c r="AB2283" s="69">
        <f>STATS1003B!AB2287/1000</f>
        <v>0</v>
      </c>
    </row>
    <row r="2284" spans="1:28" hidden="1" x14ac:dyDescent="0.3">
      <c r="A2284" s="117"/>
      <c r="C2284" s="68" t="s">
        <v>1245</v>
      </c>
      <c r="D2284" s="90" t="s">
        <v>1225</v>
      </c>
      <c r="E2284" s="85">
        <f>STATS1003B!E2288/1000</f>
        <v>2557.7867999999999</v>
      </c>
      <c r="F2284" s="85">
        <f>STATS1003B!F2288/1000</f>
        <v>2557.7867999999999</v>
      </c>
      <c r="G2284" s="85">
        <f>STATS1003B!G2288/1000</f>
        <v>0</v>
      </c>
      <c r="H2284" s="85">
        <f>STATS1003B!H2288/1000</f>
        <v>2557.7867999999999</v>
      </c>
      <c r="I2284" s="85">
        <f>STATS1003B!I2288/1000</f>
        <v>0</v>
      </c>
      <c r="J2284" s="85">
        <f>STATS1003B!J2288/1000</f>
        <v>0</v>
      </c>
      <c r="K2284" s="85">
        <f>STATS1003B!K2288/1000</f>
        <v>0</v>
      </c>
      <c r="L2284" s="85">
        <f>STATS1003B!L2288/1000</f>
        <v>0</v>
      </c>
      <c r="M2284" s="85">
        <f>STATS1003B!M2288/1000</f>
        <v>2557.7867999999999</v>
      </c>
      <c r="N2284" s="85">
        <f>STATS1003B!N2288/1000</f>
        <v>0</v>
      </c>
      <c r="O2284" s="85">
        <f>STATS1003B!O2288/1000</f>
        <v>0</v>
      </c>
      <c r="P2284" s="85">
        <f>STATS1003B!P2288/1000</f>
        <v>0</v>
      </c>
      <c r="Q2284" s="85">
        <f>STATS1003B!Q2288/1000</f>
        <v>0</v>
      </c>
      <c r="R2284" s="85">
        <f>STATS1003B!R2288/1000</f>
        <v>0</v>
      </c>
      <c r="S2284" s="85">
        <f>STATS1003B!S2288/1000</f>
        <v>0</v>
      </c>
      <c r="T2284" s="85">
        <f>STATS1003B!T2288/1000</f>
        <v>0</v>
      </c>
      <c r="U2284" s="85">
        <f>STATS1003B!U2288/1000</f>
        <v>0</v>
      </c>
      <c r="V2284" s="85">
        <f>STATS1003B!V2288/1000</f>
        <v>0</v>
      </c>
      <c r="W2284" s="85">
        <f>STATS1003B!W2288/1000</f>
        <v>0</v>
      </c>
      <c r="X2284" s="85">
        <f t="shared" si="247"/>
        <v>2557.7867999999999</v>
      </c>
      <c r="Y2284" s="85">
        <f>STATS1003B!Y2288/1000</f>
        <v>0</v>
      </c>
      <c r="Z2284" s="85">
        <f t="shared" si="252"/>
        <v>0</v>
      </c>
      <c r="AA2284" s="69">
        <f>STATS1003B!AA2288/1000</f>
        <v>2557.7867999999999</v>
      </c>
      <c r="AB2284" s="69">
        <f>STATS1003B!AB2288/1000</f>
        <v>0</v>
      </c>
    </row>
    <row r="2285" spans="1:28" hidden="1" x14ac:dyDescent="0.3">
      <c r="A2285" s="117"/>
      <c r="C2285" s="68" t="s">
        <v>569</v>
      </c>
      <c r="E2285" s="85">
        <f>STATS1003B!E2289/1000</f>
        <v>634.73368000000005</v>
      </c>
      <c r="F2285" s="85">
        <f>STATS1003B!F2289/1000</f>
        <v>634.73368000000005</v>
      </c>
      <c r="G2285" s="85">
        <f>STATS1003B!G2289/1000</f>
        <v>0</v>
      </c>
      <c r="H2285" s="85">
        <f>STATS1003B!H2289/1000</f>
        <v>634.73368000000005</v>
      </c>
      <c r="I2285" s="85">
        <f>STATS1003B!I2289/1000</f>
        <v>0</v>
      </c>
      <c r="J2285" s="85">
        <f>STATS1003B!J2289/1000</f>
        <v>634.73368000000005</v>
      </c>
      <c r="K2285" s="85">
        <f>STATS1003B!K2289/1000</f>
        <v>0</v>
      </c>
      <c r="L2285" s="85">
        <f>STATS1003B!L2289/1000</f>
        <v>0</v>
      </c>
      <c r="M2285" s="85">
        <f>STATS1003B!M2289/1000</f>
        <v>634.73368000000005</v>
      </c>
      <c r="N2285" s="85">
        <f>STATS1003B!N2289/1000</f>
        <v>0</v>
      </c>
      <c r="O2285" s="85">
        <f>STATS1003B!O2289/1000</f>
        <v>0</v>
      </c>
      <c r="P2285" s="85">
        <f>STATS1003B!P2289/1000</f>
        <v>0</v>
      </c>
      <c r="Q2285" s="85">
        <f>STATS1003B!Q2289/1000</f>
        <v>634.73368000000005</v>
      </c>
      <c r="R2285" s="85">
        <f>STATS1003B!R2289/1000</f>
        <v>0</v>
      </c>
      <c r="S2285" s="85">
        <f>STATS1003B!S2289/1000</f>
        <v>0</v>
      </c>
      <c r="T2285" s="85">
        <f>STATS1003B!T2289/1000</f>
        <v>0</v>
      </c>
      <c r="U2285" s="85">
        <f>STATS1003B!U2289/1000</f>
        <v>0</v>
      </c>
      <c r="V2285" s="85">
        <f>STATS1003B!V2289/1000</f>
        <v>0</v>
      </c>
      <c r="W2285" s="85">
        <f>STATS1003B!W2289/1000</f>
        <v>0</v>
      </c>
      <c r="X2285" s="85">
        <f t="shared" si="247"/>
        <v>634.73368000000005</v>
      </c>
      <c r="Y2285" s="85">
        <f>STATS1003B!Y2289/1000</f>
        <v>0</v>
      </c>
      <c r="Z2285" s="85">
        <f t="shared" si="252"/>
        <v>0</v>
      </c>
      <c r="AA2285" s="69">
        <f>STATS1003B!AA2289/1000</f>
        <v>634.73368000000005</v>
      </c>
      <c r="AB2285" s="69">
        <f>STATS1003B!AB2289/1000</f>
        <v>0</v>
      </c>
    </row>
    <row r="2286" spans="1:28" hidden="1" x14ac:dyDescent="0.3">
      <c r="A2286" s="117"/>
      <c r="C2286" s="68" t="s">
        <v>834</v>
      </c>
      <c r="E2286" s="85">
        <f>STATS1003B!E2290/1000</f>
        <v>1918.9849999999999</v>
      </c>
      <c r="F2286" s="85">
        <f>STATS1003B!F2290/1000</f>
        <v>1918.9849999999999</v>
      </c>
      <c r="G2286" s="85">
        <f>STATS1003B!G2290/1000</f>
        <v>0</v>
      </c>
      <c r="H2286" s="85">
        <f>STATS1003B!H2290/1000</f>
        <v>1918.9849999999999</v>
      </c>
      <c r="I2286" s="85">
        <f>STATS1003B!I2290/1000</f>
        <v>0</v>
      </c>
      <c r="J2286" s="85">
        <f>STATS1003B!J2290/1000</f>
        <v>1918.9849999999999</v>
      </c>
      <c r="K2286" s="85">
        <f>STATS1003B!K2290/1000</f>
        <v>0</v>
      </c>
      <c r="L2286" s="85">
        <f>STATS1003B!L2290/1000</f>
        <v>0</v>
      </c>
      <c r="M2286" s="85">
        <f>STATS1003B!M2290/1000</f>
        <v>1918.9849999999999</v>
      </c>
      <c r="N2286" s="85">
        <f>STATS1003B!N2290/1000</f>
        <v>0</v>
      </c>
      <c r="O2286" s="85">
        <f>STATS1003B!O2290/1000</f>
        <v>0</v>
      </c>
      <c r="P2286" s="85">
        <f>STATS1003B!P2290/1000</f>
        <v>0</v>
      </c>
      <c r="Q2286" s="85">
        <f>STATS1003B!Q2290/1000</f>
        <v>1918.9849999999999</v>
      </c>
      <c r="R2286" s="85">
        <f>STATS1003B!R2290/1000</f>
        <v>0</v>
      </c>
      <c r="S2286" s="85">
        <f>STATS1003B!S2290/1000</f>
        <v>0</v>
      </c>
      <c r="T2286" s="85">
        <f>STATS1003B!T2290/1000</f>
        <v>0</v>
      </c>
      <c r="U2286" s="85">
        <f>STATS1003B!U2290/1000</f>
        <v>0</v>
      </c>
      <c r="V2286" s="85">
        <f>STATS1003B!V2290/1000</f>
        <v>0</v>
      </c>
      <c r="W2286" s="85">
        <f>STATS1003B!W2290/1000</f>
        <v>0</v>
      </c>
      <c r="X2286" s="85">
        <f t="shared" si="247"/>
        <v>1918.9849999999999</v>
      </c>
      <c r="Y2286" s="85">
        <f>STATS1003B!Y2290/1000</f>
        <v>0</v>
      </c>
      <c r="Z2286" s="85">
        <f t="shared" si="252"/>
        <v>0</v>
      </c>
      <c r="AA2286" s="69">
        <f>STATS1003B!AA2290/1000</f>
        <v>1918.9849999999999</v>
      </c>
      <c r="AB2286" s="69">
        <f>STATS1003B!AB2290/1000</f>
        <v>0</v>
      </c>
    </row>
    <row r="2287" spans="1:28" hidden="1" x14ac:dyDescent="0.3">
      <c r="A2287" s="117"/>
      <c r="C2287" s="68" t="s">
        <v>835</v>
      </c>
      <c r="E2287" s="85">
        <f>STATS1003B!E2291/1000</f>
        <v>2608.92</v>
      </c>
      <c r="F2287" s="85">
        <f>STATS1003B!F2291/1000</f>
        <v>2608.92</v>
      </c>
      <c r="G2287" s="85">
        <f>STATS1003B!G2291/1000</f>
        <v>0</v>
      </c>
      <c r="H2287" s="85">
        <f>STATS1003B!H2291/1000</f>
        <v>2608.92</v>
      </c>
      <c r="I2287" s="85">
        <f>STATS1003B!I2291/1000</f>
        <v>0</v>
      </c>
      <c r="J2287" s="85">
        <f>STATS1003B!J2291/1000</f>
        <v>2608.92</v>
      </c>
      <c r="K2287" s="85">
        <f>STATS1003B!K2291/1000</f>
        <v>0</v>
      </c>
      <c r="L2287" s="85">
        <f>STATS1003B!L2291/1000</f>
        <v>0</v>
      </c>
      <c r="M2287" s="85">
        <f>STATS1003B!M2291/1000</f>
        <v>2608.92</v>
      </c>
      <c r="N2287" s="85">
        <f>STATS1003B!N2291/1000</f>
        <v>0</v>
      </c>
      <c r="O2287" s="85">
        <f>STATS1003B!O2291/1000</f>
        <v>0</v>
      </c>
      <c r="P2287" s="85">
        <f>STATS1003B!P2291/1000</f>
        <v>0</v>
      </c>
      <c r="Q2287" s="85">
        <f>STATS1003B!Q2291/1000</f>
        <v>2608.92</v>
      </c>
      <c r="R2287" s="85">
        <f>STATS1003B!R2291/1000</f>
        <v>0</v>
      </c>
      <c r="S2287" s="85">
        <f>STATS1003B!S2291/1000</f>
        <v>0</v>
      </c>
      <c r="T2287" s="85">
        <f>STATS1003B!T2291/1000</f>
        <v>0</v>
      </c>
      <c r="U2287" s="85">
        <f>STATS1003B!U2291/1000</f>
        <v>0</v>
      </c>
      <c r="V2287" s="85">
        <f>STATS1003B!V2291/1000</f>
        <v>0</v>
      </c>
      <c r="W2287" s="85">
        <f>STATS1003B!W2291/1000</f>
        <v>0</v>
      </c>
      <c r="X2287" s="85">
        <f t="shared" si="247"/>
        <v>2608.92</v>
      </c>
      <c r="Y2287" s="85">
        <f>STATS1003B!Y2291/1000</f>
        <v>0</v>
      </c>
      <c r="Z2287" s="85">
        <f t="shared" si="252"/>
        <v>0</v>
      </c>
      <c r="AA2287" s="69">
        <f>STATS1003B!AA2291/1000</f>
        <v>2608.92</v>
      </c>
      <c r="AB2287" s="69">
        <f>STATS1003B!AB2291/1000</f>
        <v>0</v>
      </c>
    </row>
    <row r="2288" spans="1:28" hidden="1" x14ac:dyDescent="0.3">
      <c r="A2288" s="117"/>
      <c r="C2288" s="68" t="s">
        <v>836</v>
      </c>
      <c r="E2288" s="85">
        <f>STATS1003B!E2292/1000</f>
        <v>3396.45</v>
      </c>
      <c r="F2288" s="85">
        <f>STATS1003B!F2292/1000</f>
        <v>3396.45</v>
      </c>
      <c r="G2288" s="85">
        <f>STATS1003B!G2292/1000</f>
        <v>0</v>
      </c>
      <c r="H2288" s="85">
        <f>STATS1003B!H2292/1000</f>
        <v>3396.45</v>
      </c>
      <c r="I2288" s="85">
        <f>STATS1003B!I2292/1000</f>
        <v>0</v>
      </c>
      <c r="J2288" s="85">
        <f>STATS1003B!J2292/1000</f>
        <v>3396.45</v>
      </c>
      <c r="K2288" s="85">
        <f>STATS1003B!K2292/1000</f>
        <v>0</v>
      </c>
      <c r="L2288" s="85">
        <f>STATS1003B!L2292/1000</f>
        <v>0</v>
      </c>
      <c r="M2288" s="85">
        <f>STATS1003B!M2292/1000</f>
        <v>3396.45</v>
      </c>
      <c r="N2288" s="85">
        <f>STATS1003B!N2292/1000</f>
        <v>0</v>
      </c>
      <c r="O2288" s="85">
        <f>STATS1003B!O2292/1000</f>
        <v>0</v>
      </c>
      <c r="P2288" s="85">
        <f>STATS1003B!P2292/1000</f>
        <v>0</v>
      </c>
      <c r="Q2288" s="85">
        <f>STATS1003B!Q2292/1000</f>
        <v>3396.45</v>
      </c>
      <c r="R2288" s="85">
        <f>STATS1003B!R2292/1000</f>
        <v>0</v>
      </c>
      <c r="S2288" s="85">
        <f>STATS1003B!S2292/1000</f>
        <v>0</v>
      </c>
      <c r="T2288" s="85">
        <f>STATS1003B!T2292/1000</f>
        <v>0</v>
      </c>
      <c r="U2288" s="85">
        <f>STATS1003B!U2292/1000</f>
        <v>0</v>
      </c>
      <c r="V2288" s="85">
        <f>STATS1003B!V2292/1000</f>
        <v>0</v>
      </c>
      <c r="W2288" s="85">
        <f>STATS1003B!W2292/1000</f>
        <v>0</v>
      </c>
      <c r="X2288" s="85">
        <f t="shared" si="247"/>
        <v>3396.45</v>
      </c>
      <c r="Y2288" s="85">
        <f>STATS1003B!Y2292/1000</f>
        <v>0</v>
      </c>
      <c r="Z2288" s="85">
        <f t="shared" si="252"/>
        <v>0</v>
      </c>
      <c r="AA2288" s="69">
        <f>STATS1003B!AA2292/1000</f>
        <v>3396.45</v>
      </c>
      <c r="AB2288" s="69">
        <f>STATS1003B!AB2292/1000</f>
        <v>0</v>
      </c>
    </row>
    <row r="2289" spans="1:28" hidden="1" x14ac:dyDescent="0.3">
      <c r="A2289" s="117"/>
      <c r="C2289" s="68" t="s">
        <v>551</v>
      </c>
      <c r="E2289" s="85">
        <f>STATS1003B!E2293/1000</f>
        <v>900.24199999999996</v>
      </c>
      <c r="F2289" s="85">
        <f>STATS1003B!F2293/1000</f>
        <v>900.24199999999996</v>
      </c>
      <c r="G2289" s="85">
        <f>STATS1003B!G2293/1000</f>
        <v>0</v>
      </c>
      <c r="H2289" s="85">
        <f>STATS1003B!H2293/1000</f>
        <v>900.24199999999996</v>
      </c>
      <c r="I2289" s="85">
        <f>STATS1003B!I2293/1000</f>
        <v>0</v>
      </c>
      <c r="J2289" s="85">
        <f>STATS1003B!J2293/1000</f>
        <v>900.24199999999996</v>
      </c>
      <c r="K2289" s="85">
        <f>STATS1003B!K2293/1000</f>
        <v>0</v>
      </c>
      <c r="L2289" s="85">
        <f>STATS1003B!L2293/1000</f>
        <v>0</v>
      </c>
      <c r="M2289" s="85">
        <f>STATS1003B!M2293/1000</f>
        <v>900.24199999999996</v>
      </c>
      <c r="N2289" s="85">
        <f>STATS1003B!N2293/1000</f>
        <v>0</v>
      </c>
      <c r="O2289" s="85">
        <f>STATS1003B!O2293/1000</f>
        <v>0</v>
      </c>
      <c r="P2289" s="85">
        <f>STATS1003B!P2293/1000</f>
        <v>0</v>
      </c>
      <c r="Q2289" s="85">
        <f>STATS1003B!Q2293/1000</f>
        <v>900.24199999999996</v>
      </c>
      <c r="R2289" s="85">
        <f>STATS1003B!R2293/1000</f>
        <v>0</v>
      </c>
      <c r="S2289" s="85">
        <f>STATS1003B!S2293/1000</f>
        <v>0</v>
      </c>
      <c r="T2289" s="85">
        <f>STATS1003B!T2293/1000</f>
        <v>0</v>
      </c>
      <c r="U2289" s="85">
        <f>STATS1003B!U2293/1000</f>
        <v>0</v>
      </c>
      <c r="V2289" s="85">
        <f>STATS1003B!V2293/1000</f>
        <v>0</v>
      </c>
      <c r="W2289" s="85">
        <f>STATS1003B!W2293/1000</f>
        <v>0</v>
      </c>
      <c r="X2289" s="85">
        <f t="shared" si="247"/>
        <v>900.24199999999996</v>
      </c>
      <c r="Y2289" s="85">
        <f>STATS1003B!Y2293/1000</f>
        <v>0</v>
      </c>
      <c r="Z2289" s="85">
        <f t="shared" si="252"/>
        <v>0</v>
      </c>
      <c r="AA2289" s="69">
        <f>STATS1003B!AA2293/1000</f>
        <v>900.24199999999996</v>
      </c>
      <c r="AB2289" s="69">
        <f>STATS1003B!AB2293/1000</f>
        <v>0</v>
      </c>
    </row>
    <row r="2290" spans="1:28" hidden="1" x14ac:dyDescent="0.3">
      <c r="A2290" s="117"/>
      <c r="C2290" s="68" t="s">
        <v>606</v>
      </c>
      <c r="E2290" s="85">
        <f>STATS1003B!E2294/1000</f>
        <v>5893.0695500000002</v>
      </c>
      <c r="F2290" s="85">
        <f>STATS1003B!F2294/1000</f>
        <v>3358.9472700000001</v>
      </c>
      <c r="G2290" s="85">
        <f>STATS1003B!G2294/1000</f>
        <v>0</v>
      </c>
      <c r="H2290" s="85">
        <f>STATS1003B!H2294/1000</f>
        <v>3358.9472700000001</v>
      </c>
      <c r="I2290" s="85">
        <f>STATS1003B!I2294/1000</f>
        <v>2534.1222799999996</v>
      </c>
      <c r="J2290" s="85">
        <f>STATS1003B!J2294/1000</f>
        <v>5893.0695500000002</v>
      </c>
      <c r="K2290" s="85">
        <f>STATS1003B!K2294/1000</f>
        <v>0</v>
      </c>
      <c r="L2290" s="85">
        <f>STATS1003B!L2294/1000</f>
        <v>2534.1222799999996</v>
      </c>
      <c r="M2290" s="85">
        <f>STATS1003B!M2294/1000</f>
        <v>5893.0695500000002</v>
      </c>
      <c r="N2290" s="85">
        <f>STATS1003B!N2294/1000</f>
        <v>0</v>
      </c>
      <c r="O2290" s="85">
        <f>STATS1003B!O2294/1000</f>
        <v>0</v>
      </c>
      <c r="P2290" s="85">
        <f>STATS1003B!P2294/1000</f>
        <v>0</v>
      </c>
      <c r="Q2290" s="85">
        <f>STATS1003B!Q2294/1000</f>
        <v>5893.0695500000002</v>
      </c>
      <c r="R2290" s="85">
        <f>STATS1003B!R2294/1000</f>
        <v>0</v>
      </c>
      <c r="S2290" s="85">
        <f>STATS1003B!S2294/1000</f>
        <v>0</v>
      </c>
      <c r="T2290" s="85">
        <f>STATS1003B!T2294/1000</f>
        <v>0</v>
      </c>
      <c r="U2290" s="85">
        <f>STATS1003B!U2294/1000</f>
        <v>0</v>
      </c>
      <c r="V2290" s="85">
        <f>STATS1003B!V2294/1000</f>
        <v>0</v>
      </c>
      <c r="W2290" s="85">
        <f>STATS1003B!W2294/1000</f>
        <v>0</v>
      </c>
      <c r="X2290" s="85">
        <f t="shared" si="247"/>
        <v>3358.9472700000001</v>
      </c>
      <c r="Y2290" s="85">
        <f>STATS1003B!Y2294/1000</f>
        <v>0</v>
      </c>
      <c r="Z2290" s="85">
        <f t="shared" si="252"/>
        <v>2534.12228</v>
      </c>
      <c r="AA2290" s="69">
        <f>STATS1003B!AA2294/1000</f>
        <v>5893.0695500000002</v>
      </c>
      <c r="AB2290" s="69">
        <f>STATS1003B!AB2294/1000</f>
        <v>0</v>
      </c>
    </row>
    <row r="2291" spans="1:28" hidden="1" x14ac:dyDescent="0.3">
      <c r="A2291" s="117"/>
      <c r="E2291" s="86" t="s">
        <v>29</v>
      </c>
      <c r="F2291" s="86" t="s">
        <v>29</v>
      </c>
      <c r="G2291" s="86" t="s">
        <v>29</v>
      </c>
      <c r="H2291" s="86" t="s">
        <v>29</v>
      </c>
      <c r="I2291" s="86" t="s">
        <v>29</v>
      </c>
      <c r="J2291" s="86" t="s">
        <v>29</v>
      </c>
      <c r="K2291" s="86" t="s">
        <v>29</v>
      </c>
      <c r="L2291" s="86" t="s">
        <v>29</v>
      </c>
      <c r="M2291" s="86" t="s">
        <v>29</v>
      </c>
      <c r="N2291" s="86" t="s">
        <v>29</v>
      </c>
      <c r="O2291" s="86" t="s">
        <v>29</v>
      </c>
      <c r="P2291" s="86" t="s">
        <v>29</v>
      </c>
      <c r="Q2291" s="86" t="s">
        <v>29</v>
      </c>
      <c r="R2291" s="86" t="s">
        <v>29</v>
      </c>
      <c r="S2291" s="86" t="s">
        <v>29</v>
      </c>
      <c r="T2291" s="86" t="s">
        <v>29</v>
      </c>
      <c r="U2291" s="86" t="s">
        <v>29</v>
      </c>
      <c r="V2291" s="86" t="s">
        <v>29</v>
      </c>
      <c r="W2291" s="86" t="s">
        <v>29</v>
      </c>
      <c r="X2291" s="85" t="e">
        <f t="shared" si="247"/>
        <v>#VALUE!</v>
      </c>
      <c r="Y2291" s="86" t="s">
        <v>29</v>
      </c>
      <c r="Z2291" s="85" t="e">
        <f t="shared" si="252"/>
        <v>#VALUE!</v>
      </c>
      <c r="AA2291" s="115" t="s">
        <v>29</v>
      </c>
      <c r="AB2291" s="115" t="s">
        <v>29</v>
      </c>
    </row>
    <row r="2292" spans="1:28" x14ac:dyDescent="0.3">
      <c r="A2292" s="116">
        <v>99</v>
      </c>
      <c r="B2292" s="68" t="s">
        <v>829</v>
      </c>
      <c r="E2292" s="85">
        <f>134804419.34/1000</f>
        <v>134804.41933999999</v>
      </c>
      <c r="F2292" s="85">
        <f t="shared" ref="F2292:Q2292" si="253">SUM(F2265:F2291)</f>
        <v>64858.876309999992</v>
      </c>
      <c r="G2292" s="85">
        <f t="shared" si="253"/>
        <v>0</v>
      </c>
      <c r="H2292" s="85">
        <f>129976700.84/1000</f>
        <v>129976.70084</v>
      </c>
      <c r="I2292" s="85">
        <f t="shared" si="253"/>
        <v>2534.1222799999996</v>
      </c>
      <c r="J2292" s="85">
        <f t="shared" si="253"/>
        <v>57143.698419999993</v>
      </c>
      <c r="K2292" s="85">
        <f t="shared" si="253"/>
        <v>2293.5962199999999</v>
      </c>
      <c r="L2292" s="85">
        <f t="shared" si="253"/>
        <v>2534.1222799999996</v>
      </c>
      <c r="M2292" s="85">
        <f t="shared" si="253"/>
        <v>67392.998590000003</v>
      </c>
      <c r="N2292" s="85">
        <f t="shared" si="253"/>
        <v>2293.5962199999999</v>
      </c>
      <c r="O2292" s="85">
        <f t="shared" si="253"/>
        <v>0</v>
      </c>
      <c r="P2292" s="85">
        <f>2293596/1000</f>
        <v>2293.596</v>
      </c>
      <c r="Q2292" s="85">
        <f t="shared" si="253"/>
        <v>49085.890899999991</v>
      </c>
      <c r="R2292" s="84"/>
      <c r="S2292" s="84"/>
      <c r="T2292" s="85">
        <f t="shared" ref="T2292:Y2292" si="254">SUM(T2265:T2291)</f>
        <v>0</v>
      </c>
      <c r="U2292" s="85">
        <f t="shared" si="254"/>
        <v>2293.5962199999999</v>
      </c>
      <c r="V2292" s="85">
        <f t="shared" si="254"/>
        <v>0</v>
      </c>
      <c r="W2292" s="85">
        <f t="shared" si="254"/>
        <v>0</v>
      </c>
      <c r="X2292" s="85">
        <f t="shared" si="247"/>
        <v>132270.29684</v>
      </c>
      <c r="Y2292" s="85">
        <f t="shared" si="254"/>
        <v>0</v>
      </c>
      <c r="Z2292" s="85">
        <f t="shared" si="252"/>
        <v>2534.1224999999977</v>
      </c>
      <c r="AA2292" s="69">
        <f>SUM(AA2265:AA2291)</f>
        <v>69686.594809999995</v>
      </c>
      <c r="AB2292" s="69">
        <f>SUM(AB2265:AB2291)</f>
        <v>0</v>
      </c>
    </row>
    <row r="2293" spans="1:28" x14ac:dyDescent="0.3">
      <c r="A2293" s="117"/>
      <c r="E2293" s="86"/>
      <c r="F2293" s="86"/>
      <c r="G2293" s="86"/>
      <c r="H2293" s="86"/>
      <c r="I2293" s="86"/>
      <c r="J2293" s="86"/>
      <c r="K2293" s="86"/>
      <c r="L2293" s="86"/>
      <c r="M2293" s="86"/>
      <c r="N2293" s="86"/>
      <c r="O2293" s="86"/>
      <c r="P2293" s="86"/>
      <c r="Q2293" s="86"/>
      <c r="R2293" s="86"/>
      <c r="S2293" s="86"/>
      <c r="T2293" s="86"/>
      <c r="U2293" s="86"/>
      <c r="V2293" s="86"/>
      <c r="W2293" s="86"/>
      <c r="X2293" s="86"/>
      <c r="Y2293" s="86"/>
      <c r="Z2293" s="86"/>
      <c r="AA2293" s="115" t="s">
        <v>29</v>
      </c>
      <c r="AB2293" s="115" t="s">
        <v>29</v>
      </c>
    </row>
    <row r="2294" spans="1:28" s="106" customFormat="1" x14ac:dyDescent="0.3">
      <c r="A2294" s="104"/>
      <c r="B2294" s="7" t="s">
        <v>837</v>
      </c>
      <c r="C2294" s="7" t="s">
        <v>3</v>
      </c>
      <c r="D2294" s="8"/>
      <c r="E2294" s="82">
        <f>E2112+E2138+E2173+E2194+E2219+E2243+E2262+E2292</f>
        <v>1178286.7694999999</v>
      </c>
      <c r="F2294" s="82">
        <f t="shared" ref="F2294:Q2294" si="255">F2219+F2243+F2112+F2138+F2173+F2194+F2262+F2292</f>
        <v>431940.53868</v>
      </c>
      <c r="G2294" s="82">
        <f t="shared" si="255"/>
        <v>4853.3577299999997</v>
      </c>
      <c r="H2294" s="82">
        <f t="shared" si="255"/>
        <v>1146562.38864</v>
      </c>
      <c r="I2294" s="82">
        <f t="shared" si="255"/>
        <v>3734.1222799999996</v>
      </c>
      <c r="J2294" s="82">
        <f t="shared" si="255"/>
        <v>392676.40432999999</v>
      </c>
      <c r="K2294" s="82">
        <f t="shared" si="255"/>
        <v>27638.084960000004</v>
      </c>
      <c r="L2294" s="82">
        <f t="shared" si="255"/>
        <v>3734.1222799999996</v>
      </c>
      <c r="M2294" s="82">
        <f t="shared" si="255"/>
        <v>440528.01869000006</v>
      </c>
      <c r="N2294" s="82">
        <f t="shared" si="255"/>
        <v>27658.905650000004</v>
      </c>
      <c r="O2294" s="82">
        <f t="shared" si="255"/>
        <v>0</v>
      </c>
      <c r="P2294" s="82">
        <f t="shared" si="255"/>
        <v>27658.901899999997</v>
      </c>
      <c r="Q2294" s="82">
        <f t="shared" si="255"/>
        <v>358588.01280999993</v>
      </c>
      <c r="R2294" s="83"/>
      <c r="S2294" s="83"/>
      <c r="T2294" s="82">
        <f t="shared" ref="T2294:AB2294" si="256">T2219+T2243+T2112+T2138+T2173+T2194+T2262+T2292</f>
        <v>31.194699999999997</v>
      </c>
      <c r="U2294" s="82">
        <f t="shared" si="256"/>
        <v>27690.100350000004</v>
      </c>
      <c r="V2294" s="82">
        <f t="shared" si="256"/>
        <v>0</v>
      </c>
      <c r="W2294" s="82">
        <f t="shared" si="256"/>
        <v>0</v>
      </c>
      <c r="X2294" s="82">
        <f t="shared" si="256"/>
        <v>1174221.29054</v>
      </c>
      <c r="Y2294" s="82">
        <f t="shared" si="256"/>
        <v>0</v>
      </c>
      <c r="Z2294" s="82">
        <f t="shared" si="256"/>
        <v>4065.4789600000367</v>
      </c>
      <c r="AA2294" s="9">
        <f t="shared" si="256"/>
        <v>468218.11904000002</v>
      </c>
      <c r="AB2294" s="9">
        <f t="shared" si="256"/>
        <v>300.15822999999955</v>
      </c>
    </row>
    <row r="2295" spans="1:28" x14ac:dyDescent="0.3">
      <c r="A2295" s="117"/>
      <c r="E2295" s="86"/>
      <c r="F2295" s="86"/>
      <c r="G2295" s="86"/>
      <c r="H2295" s="86"/>
      <c r="I2295" s="86"/>
      <c r="J2295" s="86"/>
      <c r="K2295" s="86"/>
      <c r="L2295" s="86"/>
      <c r="M2295" s="86"/>
      <c r="N2295" s="86"/>
      <c r="O2295" s="86"/>
      <c r="P2295" s="86"/>
      <c r="Q2295" s="86"/>
      <c r="R2295" s="86"/>
      <c r="S2295" s="86"/>
      <c r="T2295" s="86"/>
      <c r="U2295" s="86"/>
      <c r="V2295" s="86"/>
      <c r="W2295" s="86"/>
      <c r="X2295" s="86"/>
      <c r="Y2295" s="86"/>
      <c r="Z2295" s="86"/>
      <c r="AA2295" s="115" t="s">
        <v>114</v>
      </c>
      <c r="AB2295" s="115" t="s">
        <v>114</v>
      </c>
    </row>
    <row r="2296" spans="1:28" x14ac:dyDescent="0.3">
      <c r="A2296" s="105"/>
      <c r="B2296" s="68" t="s">
        <v>838</v>
      </c>
      <c r="E2296" s="84"/>
      <c r="F2296" s="84"/>
      <c r="G2296" s="84"/>
      <c r="H2296" s="84"/>
      <c r="I2296" s="84"/>
      <c r="J2296" s="84"/>
      <c r="K2296" s="84"/>
      <c r="L2296" s="84"/>
      <c r="M2296" s="84"/>
      <c r="N2296" s="84"/>
      <c r="O2296" s="84"/>
      <c r="P2296" s="84"/>
      <c r="Q2296" s="84"/>
      <c r="R2296" s="84"/>
      <c r="S2296" s="84"/>
      <c r="T2296" s="84"/>
      <c r="U2296" s="84"/>
      <c r="V2296" s="84"/>
      <c r="W2296" s="84"/>
      <c r="X2296" s="84"/>
      <c r="Y2296" s="84"/>
      <c r="Z2296" s="84"/>
    </row>
    <row r="2297" spans="1:28" hidden="1" x14ac:dyDescent="0.3">
      <c r="A2297" s="117"/>
      <c r="B2297" s="68"/>
      <c r="E2297" s="84"/>
      <c r="F2297" s="84"/>
      <c r="G2297" s="84"/>
      <c r="H2297" s="84"/>
      <c r="I2297" s="84"/>
      <c r="J2297" s="84"/>
      <c r="K2297" s="84"/>
      <c r="L2297" s="84"/>
      <c r="M2297" s="84"/>
      <c r="N2297" s="84"/>
      <c r="O2297" s="84"/>
      <c r="P2297" s="84"/>
      <c r="Q2297" s="84"/>
      <c r="R2297" s="84"/>
      <c r="S2297" s="84"/>
      <c r="T2297" s="84"/>
      <c r="U2297" s="84"/>
      <c r="V2297" s="84"/>
      <c r="W2297" s="84"/>
      <c r="X2297" s="84"/>
      <c r="Y2297" s="84"/>
      <c r="Z2297" s="84"/>
    </row>
    <row r="2298" spans="1:28" hidden="1" x14ac:dyDescent="0.3">
      <c r="A2298" s="105"/>
      <c r="E2298" s="84"/>
      <c r="F2298" s="84"/>
      <c r="G2298" s="84"/>
      <c r="H2298" s="84"/>
      <c r="I2298" s="84"/>
      <c r="J2298" s="84"/>
      <c r="K2298" s="84"/>
      <c r="L2298" s="84"/>
      <c r="M2298" s="84"/>
      <c r="N2298" s="84"/>
      <c r="O2298" s="84"/>
      <c r="P2298" s="84"/>
      <c r="Q2298" s="84"/>
      <c r="R2298" s="84"/>
      <c r="S2298" s="84"/>
      <c r="T2298" s="84"/>
      <c r="U2298" s="84"/>
      <c r="V2298" s="84"/>
      <c r="W2298" s="84"/>
      <c r="X2298" s="84"/>
      <c r="Y2298" s="84"/>
      <c r="Z2298" s="84"/>
    </row>
    <row r="2299" spans="1:28" hidden="1" x14ac:dyDescent="0.3">
      <c r="A2299" s="117"/>
      <c r="C2299" s="68" t="s">
        <v>840</v>
      </c>
      <c r="D2299" s="87" t="s">
        <v>166</v>
      </c>
      <c r="E2299" s="85">
        <f>STATS1003B!E2305/1000</f>
        <v>550</v>
      </c>
      <c r="F2299" s="85">
        <f>STATS1003B!F2305/1000</f>
        <v>550</v>
      </c>
      <c r="G2299" s="85">
        <f>STATS1003B!G2305/1000</f>
        <v>0</v>
      </c>
      <c r="H2299" s="85">
        <f>STATS1003B!H2305/1000</f>
        <v>550</v>
      </c>
      <c r="I2299" s="85">
        <f>STATS1003B!I2305/1000</f>
        <v>0</v>
      </c>
      <c r="J2299" s="85">
        <f>STATS1003B!J2305/1000</f>
        <v>550</v>
      </c>
      <c r="K2299" s="85">
        <f>STATS1003B!K2305/1000</f>
        <v>0</v>
      </c>
      <c r="L2299" s="85">
        <f>STATS1003B!L2305/1000</f>
        <v>0</v>
      </c>
      <c r="M2299" s="85">
        <f>STATS1003B!M2305/1000</f>
        <v>550</v>
      </c>
      <c r="N2299" s="85">
        <f>STATS1003B!N2305/1000</f>
        <v>0</v>
      </c>
      <c r="O2299" s="85">
        <f>STATS1003B!O2305/1000</f>
        <v>0</v>
      </c>
      <c r="P2299" s="85">
        <f>STATS1003B!P2305/1000</f>
        <v>0</v>
      </c>
      <c r="Q2299" s="85">
        <f>STATS1003B!Q2305/1000</f>
        <v>550</v>
      </c>
      <c r="R2299" s="85">
        <f>STATS1003B!R2305/1000</f>
        <v>0</v>
      </c>
      <c r="S2299" s="85">
        <f>STATS1003B!S2305/1000</f>
        <v>0</v>
      </c>
      <c r="T2299" s="85">
        <f>STATS1003B!T2305/1000</f>
        <v>0</v>
      </c>
      <c r="U2299" s="85">
        <f>STATS1003B!U2305/1000</f>
        <v>0</v>
      </c>
      <c r="V2299" s="85">
        <f>STATS1003B!V2305/1000</f>
        <v>0</v>
      </c>
      <c r="W2299" s="85">
        <f>STATS1003B!W2305/1000</f>
        <v>0</v>
      </c>
      <c r="X2299" s="85">
        <f>STATS1003B!X2305/1000</f>
        <v>550</v>
      </c>
      <c r="Y2299" s="85">
        <f>STATS1003B!Y2305/1000</f>
        <v>0</v>
      </c>
      <c r="Z2299" s="85">
        <f>STATS1003B!Z2305/1000</f>
        <v>0</v>
      </c>
      <c r="AA2299" s="69">
        <f>STATS1003B!AA2305/1000</f>
        <v>550</v>
      </c>
      <c r="AB2299" s="69">
        <f>STATS1003B!AB2305/1000</f>
        <v>0</v>
      </c>
    </row>
    <row r="2300" spans="1:28" hidden="1" x14ac:dyDescent="0.3">
      <c r="A2300" s="117"/>
      <c r="C2300" s="68" t="s">
        <v>535</v>
      </c>
      <c r="D2300" s="87" t="s">
        <v>54</v>
      </c>
      <c r="E2300" s="85">
        <f>STATS1003B!E2306/1000</f>
        <v>528.20000000000005</v>
      </c>
      <c r="F2300" s="85">
        <f>STATS1003B!F2306/1000</f>
        <v>528.20000000000005</v>
      </c>
      <c r="G2300" s="85">
        <f>STATS1003B!G2306/1000</f>
        <v>0</v>
      </c>
      <c r="H2300" s="85">
        <f>STATS1003B!H2306/1000</f>
        <v>528.20000000000005</v>
      </c>
      <c r="I2300" s="85">
        <f>STATS1003B!I2306/1000</f>
        <v>0</v>
      </c>
      <c r="J2300" s="85">
        <f>STATS1003B!J2306/1000</f>
        <v>528.20000000000005</v>
      </c>
      <c r="K2300" s="85">
        <f>STATS1003B!K2306/1000</f>
        <v>0</v>
      </c>
      <c r="L2300" s="85">
        <f>STATS1003B!L2306/1000</f>
        <v>0</v>
      </c>
      <c r="M2300" s="85">
        <f>STATS1003B!M2306/1000</f>
        <v>528.20000000000005</v>
      </c>
      <c r="N2300" s="85">
        <f>STATS1003B!N2306/1000</f>
        <v>0</v>
      </c>
      <c r="O2300" s="85">
        <f>STATS1003B!O2306/1000</f>
        <v>0</v>
      </c>
      <c r="P2300" s="85">
        <f>STATS1003B!P2306/1000</f>
        <v>0</v>
      </c>
      <c r="Q2300" s="85">
        <f>STATS1003B!Q2306/1000</f>
        <v>528.20000000000005</v>
      </c>
      <c r="R2300" s="85">
        <f>STATS1003B!R2306/1000</f>
        <v>0</v>
      </c>
      <c r="S2300" s="85">
        <f>STATS1003B!S2306/1000</f>
        <v>0</v>
      </c>
      <c r="T2300" s="85">
        <f>STATS1003B!T2306/1000</f>
        <v>0</v>
      </c>
      <c r="U2300" s="85">
        <f>STATS1003B!U2306/1000</f>
        <v>0</v>
      </c>
      <c r="V2300" s="85">
        <f>STATS1003B!V2306/1000</f>
        <v>0</v>
      </c>
      <c r="W2300" s="85">
        <f>STATS1003B!W2306/1000</f>
        <v>0</v>
      </c>
      <c r="X2300" s="85">
        <f>STATS1003B!X2306/1000</f>
        <v>528.20000000000005</v>
      </c>
      <c r="Y2300" s="85">
        <f>STATS1003B!Y2306/1000</f>
        <v>0</v>
      </c>
      <c r="Z2300" s="85">
        <f>STATS1003B!Z2306/1000</f>
        <v>0</v>
      </c>
      <c r="AA2300" s="69">
        <f>STATS1003B!AA2306/1000</f>
        <v>528.20000000000005</v>
      </c>
      <c r="AB2300" s="69">
        <f>STATS1003B!AB2306/1000</f>
        <v>0</v>
      </c>
    </row>
    <row r="2301" spans="1:28" hidden="1" x14ac:dyDescent="0.3">
      <c r="A2301" s="117"/>
      <c r="C2301" s="68" t="s">
        <v>696</v>
      </c>
      <c r="D2301" s="87" t="s">
        <v>54</v>
      </c>
      <c r="E2301" s="85">
        <f>STATS1003B!E2307/1000</f>
        <v>190</v>
      </c>
      <c r="F2301" s="85">
        <f>STATS1003B!F2307/1000</f>
        <v>190</v>
      </c>
      <c r="G2301" s="85">
        <f>STATS1003B!G2307/1000</f>
        <v>0</v>
      </c>
      <c r="H2301" s="85">
        <f>STATS1003B!H2307/1000</f>
        <v>190</v>
      </c>
      <c r="I2301" s="85">
        <f>STATS1003B!I2307/1000</f>
        <v>0</v>
      </c>
      <c r="J2301" s="85">
        <f>STATS1003B!J2307/1000</f>
        <v>190</v>
      </c>
      <c r="K2301" s="85">
        <f>STATS1003B!K2307/1000</f>
        <v>0</v>
      </c>
      <c r="L2301" s="85">
        <f>STATS1003B!L2307/1000</f>
        <v>0</v>
      </c>
      <c r="M2301" s="85">
        <f>STATS1003B!M2307/1000</f>
        <v>190</v>
      </c>
      <c r="N2301" s="85">
        <f>STATS1003B!N2307/1000</f>
        <v>0</v>
      </c>
      <c r="O2301" s="85">
        <f>STATS1003B!O2307/1000</f>
        <v>0</v>
      </c>
      <c r="P2301" s="85">
        <f>STATS1003B!P2307/1000</f>
        <v>0</v>
      </c>
      <c r="Q2301" s="85">
        <f>STATS1003B!Q2307/1000</f>
        <v>190</v>
      </c>
      <c r="R2301" s="85">
        <f>STATS1003B!R2307/1000</f>
        <v>0</v>
      </c>
      <c r="S2301" s="85">
        <f>STATS1003B!S2307/1000</f>
        <v>0</v>
      </c>
      <c r="T2301" s="85">
        <f>STATS1003B!T2307/1000</f>
        <v>0</v>
      </c>
      <c r="U2301" s="85">
        <f>STATS1003B!U2307/1000</f>
        <v>0</v>
      </c>
      <c r="V2301" s="85">
        <f>STATS1003B!V2307/1000</f>
        <v>0</v>
      </c>
      <c r="W2301" s="85">
        <f>STATS1003B!W2307/1000</f>
        <v>0</v>
      </c>
      <c r="X2301" s="85">
        <f>STATS1003B!X2307/1000</f>
        <v>190</v>
      </c>
      <c r="Y2301" s="85">
        <f>STATS1003B!Y2307/1000</f>
        <v>0</v>
      </c>
      <c r="Z2301" s="85">
        <f>STATS1003B!Z2307/1000</f>
        <v>0</v>
      </c>
      <c r="AA2301" s="69">
        <f>STATS1003B!AA2307/1000</f>
        <v>190</v>
      </c>
      <c r="AB2301" s="69">
        <f>STATS1003B!AB2307/1000</f>
        <v>0</v>
      </c>
    </row>
    <row r="2302" spans="1:28" hidden="1" x14ac:dyDescent="0.3">
      <c r="A2302" s="117"/>
      <c r="C2302" s="68" t="s">
        <v>545</v>
      </c>
      <c r="D2302" s="87" t="s">
        <v>54</v>
      </c>
      <c r="E2302" s="85">
        <f>STATS1003B!E2308/1000</f>
        <v>1953.989</v>
      </c>
      <c r="F2302" s="85">
        <f>STATS1003B!F2308/1000</f>
        <v>0</v>
      </c>
      <c r="G2302" s="85">
        <f>STATS1003B!G2308/1000</f>
        <v>0</v>
      </c>
      <c r="H2302" s="85">
        <f>STATS1003B!H2308/1000</f>
        <v>0</v>
      </c>
      <c r="I2302" s="85">
        <f>STATS1003B!I2308/1000</f>
        <v>0</v>
      </c>
      <c r="J2302" s="85">
        <f>STATS1003B!J2308/1000</f>
        <v>0</v>
      </c>
      <c r="K2302" s="85">
        <f>STATS1003B!K2308/1000</f>
        <v>1953.989</v>
      </c>
      <c r="L2302" s="85">
        <f>STATS1003B!L2308/1000</f>
        <v>0</v>
      </c>
      <c r="M2302" s="85">
        <f>STATS1003B!M2308/1000</f>
        <v>0</v>
      </c>
      <c r="N2302" s="85">
        <f>STATS1003B!N2308/1000</f>
        <v>1953.989</v>
      </c>
      <c r="O2302" s="85">
        <f>STATS1003B!O2308/1000</f>
        <v>0</v>
      </c>
      <c r="P2302" s="85">
        <f>STATS1003B!P2308/1000</f>
        <v>1953.989</v>
      </c>
      <c r="Q2302" s="85">
        <f>STATS1003B!Q2308/1000</f>
        <v>0</v>
      </c>
      <c r="R2302" s="85">
        <f>STATS1003B!R2308/1000</f>
        <v>0</v>
      </c>
      <c r="S2302" s="85">
        <f>STATS1003B!S2308/1000</f>
        <v>0</v>
      </c>
      <c r="T2302" s="85">
        <f>STATS1003B!T2308/1000</f>
        <v>0</v>
      </c>
      <c r="U2302" s="85">
        <f>STATS1003B!U2308/1000</f>
        <v>1953.989</v>
      </c>
      <c r="V2302" s="85">
        <f>STATS1003B!V2308/1000</f>
        <v>0</v>
      </c>
      <c r="W2302" s="85">
        <f>STATS1003B!W2308/1000</f>
        <v>0</v>
      </c>
      <c r="X2302" s="85">
        <f>STATS1003B!X2308/1000</f>
        <v>1953.989</v>
      </c>
      <c r="Y2302" s="85">
        <f>STATS1003B!Y2308/1000</f>
        <v>0</v>
      </c>
      <c r="Z2302" s="85">
        <f>STATS1003B!Z2308/1000</f>
        <v>0</v>
      </c>
      <c r="AA2302" s="69">
        <f>STATS1003B!AA2308/1000</f>
        <v>1953.989</v>
      </c>
      <c r="AB2302" s="69">
        <f>STATS1003B!AB2308/1000</f>
        <v>0</v>
      </c>
    </row>
    <row r="2303" spans="1:28" hidden="1" x14ac:dyDescent="0.3">
      <c r="A2303" s="117"/>
      <c r="C2303" s="68" t="s">
        <v>535</v>
      </c>
      <c r="D2303" s="87" t="s">
        <v>85</v>
      </c>
      <c r="E2303" s="85">
        <f>STATS1003B!E2309/1000</f>
        <v>1110.163</v>
      </c>
      <c r="F2303" s="85">
        <f>STATS1003B!F2309/1000</f>
        <v>1110.163</v>
      </c>
      <c r="G2303" s="85">
        <f>STATS1003B!G2309/1000</f>
        <v>0</v>
      </c>
      <c r="H2303" s="85">
        <f>STATS1003B!H2309/1000</f>
        <v>1110.163</v>
      </c>
      <c r="I2303" s="85">
        <f>STATS1003B!I2309/1000</f>
        <v>0</v>
      </c>
      <c r="J2303" s="85">
        <f>STATS1003B!J2309/1000</f>
        <v>1110.163</v>
      </c>
      <c r="K2303" s="85">
        <f>STATS1003B!K2309/1000</f>
        <v>0</v>
      </c>
      <c r="L2303" s="85">
        <f>STATS1003B!L2309/1000</f>
        <v>0</v>
      </c>
      <c r="M2303" s="85">
        <f>STATS1003B!M2309/1000</f>
        <v>1110.163</v>
      </c>
      <c r="N2303" s="85">
        <f>STATS1003B!N2309/1000</f>
        <v>0</v>
      </c>
      <c r="O2303" s="85">
        <f>STATS1003B!O2309/1000</f>
        <v>0</v>
      </c>
      <c r="P2303" s="85">
        <f>STATS1003B!P2309/1000</f>
        <v>0</v>
      </c>
      <c r="Q2303" s="85">
        <f>STATS1003B!Q2309/1000</f>
        <v>1110.163</v>
      </c>
      <c r="R2303" s="85">
        <f>STATS1003B!R2309/1000</f>
        <v>0</v>
      </c>
      <c r="S2303" s="85">
        <f>STATS1003B!S2309/1000</f>
        <v>0</v>
      </c>
      <c r="T2303" s="85">
        <f>STATS1003B!T2309/1000</f>
        <v>0</v>
      </c>
      <c r="U2303" s="85">
        <f>STATS1003B!U2309/1000</f>
        <v>0</v>
      </c>
      <c r="V2303" s="85">
        <f>STATS1003B!V2309/1000</f>
        <v>0</v>
      </c>
      <c r="W2303" s="85">
        <f>STATS1003B!W2309/1000</f>
        <v>0</v>
      </c>
      <c r="X2303" s="85">
        <f>STATS1003B!X2309/1000</f>
        <v>1110.163</v>
      </c>
      <c r="Y2303" s="85">
        <f>STATS1003B!Y2309/1000</f>
        <v>0</v>
      </c>
      <c r="Z2303" s="85">
        <f>STATS1003B!Z2309/1000</f>
        <v>0</v>
      </c>
      <c r="AA2303" s="69">
        <f>STATS1003B!AA2309/1000</f>
        <v>1110.163</v>
      </c>
      <c r="AB2303" s="69">
        <f>STATS1003B!AB2309/1000</f>
        <v>0</v>
      </c>
    </row>
    <row r="2304" spans="1:28" hidden="1" x14ac:dyDescent="0.3">
      <c r="A2304" s="117"/>
      <c r="C2304" s="68" t="s">
        <v>814</v>
      </c>
      <c r="D2304" s="87" t="s">
        <v>85</v>
      </c>
      <c r="E2304" s="85">
        <f>STATS1003B!E2310/1000</f>
        <v>1160</v>
      </c>
      <c r="F2304" s="85">
        <f>STATS1003B!F2310/1000</f>
        <v>1160</v>
      </c>
      <c r="G2304" s="85">
        <f>STATS1003B!G2310/1000</f>
        <v>0</v>
      </c>
      <c r="H2304" s="85">
        <f>STATS1003B!H2310/1000</f>
        <v>1160</v>
      </c>
      <c r="I2304" s="85">
        <f>STATS1003B!I2310/1000</f>
        <v>0</v>
      </c>
      <c r="J2304" s="85">
        <f>STATS1003B!J2310/1000</f>
        <v>1160</v>
      </c>
      <c r="K2304" s="85">
        <f>STATS1003B!K2310/1000</f>
        <v>0</v>
      </c>
      <c r="L2304" s="85">
        <f>STATS1003B!L2310/1000</f>
        <v>0</v>
      </c>
      <c r="M2304" s="85">
        <f>STATS1003B!M2310/1000</f>
        <v>1160</v>
      </c>
      <c r="N2304" s="85">
        <f>STATS1003B!N2310/1000</f>
        <v>0</v>
      </c>
      <c r="O2304" s="85">
        <f>STATS1003B!O2310/1000</f>
        <v>0</v>
      </c>
      <c r="P2304" s="85">
        <f>STATS1003B!P2310/1000</f>
        <v>0</v>
      </c>
      <c r="Q2304" s="85">
        <f>STATS1003B!Q2310/1000</f>
        <v>1160</v>
      </c>
      <c r="R2304" s="85">
        <f>STATS1003B!R2310/1000</f>
        <v>0</v>
      </c>
      <c r="S2304" s="85">
        <f>STATS1003B!S2310/1000</f>
        <v>0</v>
      </c>
      <c r="T2304" s="85">
        <f>STATS1003B!T2310/1000</f>
        <v>0</v>
      </c>
      <c r="U2304" s="85">
        <f>STATS1003B!U2310/1000</f>
        <v>0</v>
      </c>
      <c r="V2304" s="85">
        <f>STATS1003B!V2310/1000</f>
        <v>0</v>
      </c>
      <c r="W2304" s="85">
        <f>STATS1003B!W2310/1000</f>
        <v>0</v>
      </c>
      <c r="X2304" s="85">
        <f>STATS1003B!X2310/1000</f>
        <v>1160</v>
      </c>
      <c r="Y2304" s="85">
        <f>STATS1003B!Y2310/1000</f>
        <v>0</v>
      </c>
      <c r="Z2304" s="85">
        <f>STATS1003B!Z2310/1000</f>
        <v>0</v>
      </c>
      <c r="AA2304" s="69">
        <f>STATS1003B!AA2310/1000</f>
        <v>1160</v>
      </c>
      <c r="AB2304" s="69">
        <f>STATS1003B!AB2310/1000</f>
        <v>0</v>
      </c>
    </row>
    <row r="2305" spans="1:28" hidden="1" x14ac:dyDescent="0.3">
      <c r="A2305" s="117"/>
      <c r="C2305" s="68" t="s">
        <v>535</v>
      </c>
      <c r="D2305" s="87" t="s">
        <v>128</v>
      </c>
      <c r="E2305" s="85">
        <f>STATS1003B!E2311/1000</f>
        <v>1094</v>
      </c>
      <c r="F2305" s="85">
        <f>STATS1003B!F2311/1000</f>
        <v>1094</v>
      </c>
      <c r="G2305" s="85">
        <f>STATS1003B!G2311/1000</f>
        <v>0</v>
      </c>
      <c r="H2305" s="85">
        <f>STATS1003B!H2311/1000</f>
        <v>1094</v>
      </c>
      <c r="I2305" s="85">
        <f>STATS1003B!I2311/1000</f>
        <v>0</v>
      </c>
      <c r="J2305" s="85">
        <f>STATS1003B!J2311/1000</f>
        <v>1094</v>
      </c>
      <c r="K2305" s="85">
        <f>STATS1003B!K2311/1000</f>
        <v>0</v>
      </c>
      <c r="L2305" s="85">
        <f>STATS1003B!L2311/1000</f>
        <v>0</v>
      </c>
      <c r="M2305" s="85">
        <f>STATS1003B!M2311/1000</f>
        <v>1094</v>
      </c>
      <c r="N2305" s="85">
        <f>STATS1003B!N2311/1000</f>
        <v>0</v>
      </c>
      <c r="O2305" s="85">
        <f>STATS1003B!O2311/1000</f>
        <v>0</v>
      </c>
      <c r="P2305" s="85">
        <f>STATS1003B!P2311/1000</f>
        <v>0</v>
      </c>
      <c r="Q2305" s="85">
        <f>STATS1003B!Q2311/1000</f>
        <v>1094</v>
      </c>
      <c r="R2305" s="85">
        <f>STATS1003B!R2311/1000</f>
        <v>0</v>
      </c>
      <c r="S2305" s="85">
        <f>STATS1003B!S2311/1000</f>
        <v>0</v>
      </c>
      <c r="T2305" s="85">
        <f>STATS1003B!T2311/1000</f>
        <v>0</v>
      </c>
      <c r="U2305" s="85">
        <f>STATS1003B!U2311/1000</f>
        <v>0</v>
      </c>
      <c r="V2305" s="85">
        <f>STATS1003B!V2311/1000</f>
        <v>0</v>
      </c>
      <c r="W2305" s="85">
        <f>STATS1003B!W2311/1000</f>
        <v>0</v>
      </c>
      <c r="X2305" s="85">
        <f>STATS1003B!X2311/1000</f>
        <v>1094</v>
      </c>
      <c r="Y2305" s="85">
        <f>STATS1003B!Y2311/1000</f>
        <v>0</v>
      </c>
      <c r="Z2305" s="85">
        <f>STATS1003B!Z2311/1000</f>
        <v>0</v>
      </c>
      <c r="AA2305" s="69">
        <f>STATS1003B!AA2311/1000</f>
        <v>1094</v>
      </c>
      <c r="AB2305" s="69">
        <f>STATS1003B!AB2311/1000</f>
        <v>0</v>
      </c>
    </row>
    <row r="2306" spans="1:28" hidden="1" x14ac:dyDescent="0.3">
      <c r="A2306" s="117"/>
      <c r="C2306" s="68" t="s">
        <v>535</v>
      </c>
      <c r="D2306" s="87" t="s">
        <v>58</v>
      </c>
      <c r="E2306" s="85">
        <f>STATS1003B!E2312/1000</f>
        <v>3590.3020000000001</v>
      </c>
      <c r="F2306" s="85">
        <f>STATS1003B!F2312/1000</f>
        <v>3590.3020000000001</v>
      </c>
      <c r="G2306" s="85">
        <f>STATS1003B!G2312/1000</f>
        <v>0</v>
      </c>
      <c r="H2306" s="85">
        <f>STATS1003B!H2312/1000</f>
        <v>3590.3020000000001</v>
      </c>
      <c r="I2306" s="85">
        <f>STATS1003B!I2312/1000</f>
        <v>0</v>
      </c>
      <c r="J2306" s="85">
        <f>STATS1003B!J2312/1000</f>
        <v>3590.3020000000001</v>
      </c>
      <c r="K2306" s="85">
        <f>STATS1003B!K2312/1000</f>
        <v>0</v>
      </c>
      <c r="L2306" s="85">
        <f>STATS1003B!L2312/1000</f>
        <v>0</v>
      </c>
      <c r="M2306" s="85">
        <f>STATS1003B!M2312/1000</f>
        <v>3590.3020000000001</v>
      </c>
      <c r="N2306" s="85">
        <f>STATS1003B!N2312/1000</f>
        <v>0</v>
      </c>
      <c r="O2306" s="85">
        <f>STATS1003B!O2312/1000</f>
        <v>0</v>
      </c>
      <c r="P2306" s="85">
        <f>STATS1003B!P2312/1000</f>
        <v>0</v>
      </c>
      <c r="Q2306" s="85">
        <f>STATS1003B!Q2312/1000</f>
        <v>3590.3020000000001</v>
      </c>
      <c r="R2306" s="85">
        <f>STATS1003B!R2312/1000</f>
        <v>0</v>
      </c>
      <c r="S2306" s="85">
        <f>STATS1003B!S2312/1000</f>
        <v>0</v>
      </c>
      <c r="T2306" s="85">
        <f>STATS1003B!T2312/1000</f>
        <v>0</v>
      </c>
      <c r="U2306" s="85">
        <f>STATS1003B!U2312/1000</f>
        <v>0</v>
      </c>
      <c r="V2306" s="85">
        <f>STATS1003B!V2312/1000</f>
        <v>0</v>
      </c>
      <c r="W2306" s="85">
        <f>STATS1003B!W2312/1000</f>
        <v>0</v>
      </c>
      <c r="X2306" s="85">
        <f>STATS1003B!X2312/1000</f>
        <v>3590.3020000000001</v>
      </c>
      <c r="Y2306" s="85">
        <f>STATS1003B!Y2312/1000</f>
        <v>0</v>
      </c>
      <c r="Z2306" s="85">
        <f>STATS1003B!Z2312/1000</f>
        <v>0</v>
      </c>
      <c r="AA2306" s="69">
        <f>STATS1003B!AA2312/1000</f>
        <v>3590.3020000000001</v>
      </c>
      <c r="AB2306" s="69">
        <f>STATS1003B!AB2312/1000</f>
        <v>0</v>
      </c>
    </row>
    <row r="2307" spans="1:28" hidden="1" x14ac:dyDescent="0.3">
      <c r="A2307" s="117"/>
      <c r="C2307" s="68" t="s">
        <v>535</v>
      </c>
      <c r="D2307" s="87" t="s">
        <v>60</v>
      </c>
      <c r="E2307" s="85">
        <f>STATS1003B!E2313/1000</f>
        <v>8601.99</v>
      </c>
      <c r="F2307" s="85">
        <f>STATS1003B!F2313/1000</f>
        <v>8601.99</v>
      </c>
      <c r="G2307" s="85">
        <f>STATS1003B!G2313/1000</f>
        <v>0</v>
      </c>
      <c r="H2307" s="85">
        <f>STATS1003B!H2313/1000</f>
        <v>8601.99</v>
      </c>
      <c r="I2307" s="85">
        <f>STATS1003B!I2313/1000</f>
        <v>0</v>
      </c>
      <c r="J2307" s="85">
        <f>STATS1003B!J2313/1000</f>
        <v>8601.99</v>
      </c>
      <c r="K2307" s="85">
        <f>STATS1003B!K2313/1000</f>
        <v>0</v>
      </c>
      <c r="L2307" s="85">
        <f>STATS1003B!L2313/1000</f>
        <v>0</v>
      </c>
      <c r="M2307" s="85">
        <f>STATS1003B!M2313/1000</f>
        <v>8601.99</v>
      </c>
      <c r="N2307" s="85">
        <f>STATS1003B!N2313/1000</f>
        <v>0</v>
      </c>
      <c r="O2307" s="85">
        <f>STATS1003B!O2313/1000</f>
        <v>0</v>
      </c>
      <c r="P2307" s="85">
        <f>STATS1003B!P2313/1000</f>
        <v>0</v>
      </c>
      <c r="Q2307" s="85">
        <f>STATS1003B!Q2313/1000</f>
        <v>8601.99</v>
      </c>
      <c r="R2307" s="85">
        <f>STATS1003B!R2313/1000</f>
        <v>0</v>
      </c>
      <c r="S2307" s="85">
        <f>STATS1003B!S2313/1000</f>
        <v>0</v>
      </c>
      <c r="T2307" s="85">
        <f>STATS1003B!T2313/1000</f>
        <v>0</v>
      </c>
      <c r="U2307" s="85">
        <f>STATS1003B!U2313/1000</f>
        <v>0</v>
      </c>
      <c r="V2307" s="85">
        <f>STATS1003B!V2313/1000</f>
        <v>0</v>
      </c>
      <c r="W2307" s="85">
        <f>STATS1003B!W2313/1000</f>
        <v>0</v>
      </c>
      <c r="X2307" s="85">
        <f>STATS1003B!X2313/1000</f>
        <v>8601.99</v>
      </c>
      <c r="Y2307" s="85">
        <f>STATS1003B!Y2313/1000</f>
        <v>0</v>
      </c>
      <c r="Z2307" s="85">
        <f>STATS1003B!Z2313/1000</f>
        <v>0</v>
      </c>
      <c r="AA2307" s="69">
        <f>STATS1003B!AA2313/1000</f>
        <v>8601.99</v>
      </c>
      <c r="AB2307" s="69">
        <f>STATS1003B!AB2313/1000</f>
        <v>0</v>
      </c>
    </row>
    <row r="2308" spans="1:28" hidden="1" x14ac:dyDescent="0.3">
      <c r="A2308" s="117"/>
      <c r="C2308" s="71" t="s">
        <v>652</v>
      </c>
      <c r="D2308" s="88" t="s">
        <v>194</v>
      </c>
      <c r="E2308" s="85">
        <f>STATS1003B!E2314/1000</f>
        <v>2549.0419999999999</v>
      </c>
      <c r="F2308" s="85">
        <f>STATS1003B!F2314/1000</f>
        <v>2549.0419999999999</v>
      </c>
      <c r="G2308" s="85">
        <f>STATS1003B!G2314/1000</f>
        <v>0</v>
      </c>
      <c r="H2308" s="85">
        <f>STATS1003B!H2314/1000</f>
        <v>2549.0419999999999</v>
      </c>
      <c r="I2308" s="85">
        <f>STATS1003B!I2314/1000</f>
        <v>0</v>
      </c>
      <c r="J2308" s="85">
        <f>STATS1003B!J2314/1000</f>
        <v>2549.0419999999999</v>
      </c>
      <c r="K2308" s="85">
        <f>STATS1003B!K2314/1000</f>
        <v>0</v>
      </c>
      <c r="L2308" s="85">
        <f>STATS1003B!L2314/1000</f>
        <v>0</v>
      </c>
      <c r="M2308" s="85">
        <f>STATS1003B!M2314/1000</f>
        <v>2549.0419999999999</v>
      </c>
      <c r="N2308" s="85">
        <f>STATS1003B!N2314/1000</f>
        <v>0</v>
      </c>
      <c r="O2308" s="85">
        <f>STATS1003B!O2314/1000</f>
        <v>0</v>
      </c>
      <c r="P2308" s="85">
        <f>STATS1003B!P2314/1000</f>
        <v>0</v>
      </c>
      <c r="Q2308" s="85">
        <f>STATS1003B!Q2314/1000</f>
        <v>2549.0419999999999</v>
      </c>
      <c r="R2308" s="85">
        <f>STATS1003B!R2314/1000</f>
        <v>0</v>
      </c>
      <c r="S2308" s="85">
        <f>STATS1003B!S2314/1000</f>
        <v>0</v>
      </c>
      <c r="T2308" s="85">
        <f>STATS1003B!T2314/1000</f>
        <v>0</v>
      </c>
      <c r="U2308" s="85">
        <f>STATS1003B!U2314/1000</f>
        <v>0</v>
      </c>
      <c r="V2308" s="85">
        <f>STATS1003B!V2314/1000</f>
        <v>0</v>
      </c>
      <c r="W2308" s="85">
        <f>STATS1003B!W2314/1000</f>
        <v>0</v>
      </c>
      <c r="X2308" s="85">
        <f>STATS1003B!X2314/1000</f>
        <v>2549.0419999999999</v>
      </c>
      <c r="Y2308" s="85">
        <f>STATS1003B!Y2314/1000</f>
        <v>0</v>
      </c>
      <c r="Z2308" s="85">
        <f>STATS1003B!Z2314/1000</f>
        <v>0</v>
      </c>
      <c r="AA2308" s="69">
        <f>STATS1003B!AA2314/1000</f>
        <v>2549.0419999999999</v>
      </c>
      <c r="AB2308" s="69">
        <f>STATS1003B!AB2314/1000</f>
        <v>0</v>
      </c>
    </row>
    <row r="2309" spans="1:28" hidden="1" x14ac:dyDescent="0.3">
      <c r="A2309" s="117"/>
      <c r="C2309" s="68" t="s">
        <v>535</v>
      </c>
      <c r="D2309" s="87" t="s">
        <v>61</v>
      </c>
      <c r="E2309" s="85">
        <f>STATS1003B!E2315/1000</f>
        <v>409.66309000000001</v>
      </c>
      <c r="F2309" s="85">
        <f>STATS1003B!F2315/1000</f>
        <v>409.66309000000001</v>
      </c>
      <c r="G2309" s="85">
        <f>STATS1003B!G2315/1000</f>
        <v>0</v>
      </c>
      <c r="H2309" s="85">
        <f>STATS1003B!H2315/1000</f>
        <v>409.66309000000001</v>
      </c>
      <c r="I2309" s="85">
        <f>STATS1003B!I2315/1000</f>
        <v>0</v>
      </c>
      <c r="J2309" s="85">
        <f>STATS1003B!J2315/1000</f>
        <v>409.66309000000001</v>
      </c>
      <c r="K2309" s="85">
        <f>STATS1003B!K2315/1000</f>
        <v>0</v>
      </c>
      <c r="L2309" s="85">
        <f>STATS1003B!L2315/1000</f>
        <v>0</v>
      </c>
      <c r="M2309" s="85">
        <f>STATS1003B!M2315/1000</f>
        <v>409.66309000000001</v>
      </c>
      <c r="N2309" s="85">
        <f>STATS1003B!N2315/1000</f>
        <v>0</v>
      </c>
      <c r="O2309" s="85">
        <f>STATS1003B!O2315/1000</f>
        <v>0</v>
      </c>
      <c r="P2309" s="85">
        <f>STATS1003B!P2315/1000</f>
        <v>0</v>
      </c>
      <c r="Q2309" s="85">
        <f>STATS1003B!Q2315/1000</f>
        <v>409.66309000000001</v>
      </c>
      <c r="R2309" s="85">
        <f>STATS1003B!R2315/1000</f>
        <v>0</v>
      </c>
      <c r="S2309" s="85">
        <f>STATS1003B!S2315/1000</f>
        <v>0</v>
      </c>
      <c r="T2309" s="85">
        <f>STATS1003B!T2315/1000</f>
        <v>0</v>
      </c>
      <c r="U2309" s="85">
        <f>STATS1003B!U2315/1000</f>
        <v>0</v>
      </c>
      <c r="V2309" s="85">
        <f>STATS1003B!V2315/1000</f>
        <v>0</v>
      </c>
      <c r="W2309" s="85">
        <f>STATS1003B!W2315/1000</f>
        <v>0</v>
      </c>
      <c r="X2309" s="85">
        <f>STATS1003B!X2315/1000</f>
        <v>409.66309000000001</v>
      </c>
      <c r="Y2309" s="85">
        <f>STATS1003B!Y2315/1000</f>
        <v>0</v>
      </c>
      <c r="Z2309" s="85">
        <f>STATS1003B!Z2315/1000</f>
        <v>0</v>
      </c>
      <c r="AA2309" s="69">
        <f>STATS1003B!AA2315/1000</f>
        <v>409.66309000000001</v>
      </c>
      <c r="AB2309" s="69">
        <f>STATS1003B!AB2315/1000</f>
        <v>0</v>
      </c>
    </row>
    <row r="2310" spans="1:28" hidden="1" x14ac:dyDescent="0.3">
      <c r="A2310" s="117"/>
      <c r="C2310" s="68" t="s">
        <v>550</v>
      </c>
      <c r="E2310" s="85">
        <f>STATS1003B!E2316/1000</f>
        <v>499.57400000000001</v>
      </c>
      <c r="F2310" s="85">
        <f>STATS1003B!F2316/1000</f>
        <v>499.57400000000001</v>
      </c>
      <c r="G2310" s="85">
        <f>STATS1003B!G2316/1000</f>
        <v>0</v>
      </c>
      <c r="H2310" s="85">
        <f>STATS1003B!H2316/1000</f>
        <v>499.57400000000001</v>
      </c>
      <c r="I2310" s="85">
        <f>STATS1003B!I2316/1000</f>
        <v>0</v>
      </c>
      <c r="J2310" s="85">
        <f>STATS1003B!J2316/1000</f>
        <v>499.57400000000001</v>
      </c>
      <c r="K2310" s="85">
        <f>STATS1003B!K2316/1000</f>
        <v>0</v>
      </c>
      <c r="L2310" s="85">
        <f>STATS1003B!L2316/1000</f>
        <v>0</v>
      </c>
      <c r="M2310" s="85">
        <f>STATS1003B!M2316/1000</f>
        <v>499.57400000000001</v>
      </c>
      <c r="N2310" s="85">
        <f>STATS1003B!N2316/1000</f>
        <v>0</v>
      </c>
      <c r="O2310" s="85">
        <f>STATS1003B!O2316/1000</f>
        <v>0</v>
      </c>
      <c r="P2310" s="85">
        <f>STATS1003B!P2316/1000</f>
        <v>0</v>
      </c>
      <c r="Q2310" s="85">
        <f>STATS1003B!Q2316/1000</f>
        <v>499.57400000000001</v>
      </c>
      <c r="R2310" s="85">
        <f>STATS1003B!R2316/1000</f>
        <v>0</v>
      </c>
      <c r="S2310" s="85">
        <f>STATS1003B!S2316/1000</f>
        <v>0</v>
      </c>
      <c r="T2310" s="85">
        <f>STATS1003B!T2316/1000</f>
        <v>0</v>
      </c>
      <c r="U2310" s="85">
        <f>STATS1003B!U2316/1000</f>
        <v>0</v>
      </c>
      <c r="V2310" s="85">
        <f>STATS1003B!V2316/1000</f>
        <v>0</v>
      </c>
      <c r="W2310" s="85">
        <f>STATS1003B!W2316/1000</f>
        <v>0</v>
      </c>
      <c r="X2310" s="85">
        <f>STATS1003B!X2316/1000</f>
        <v>499.57400000000001</v>
      </c>
      <c r="Y2310" s="85">
        <f>STATS1003B!Y2316/1000</f>
        <v>0</v>
      </c>
      <c r="Z2310" s="85">
        <f>STATS1003B!Z2316/1000</f>
        <v>0</v>
      </c>
      <c r="AA2310" s="69">
        <f>STATS1003B!AA2316/1000</f>
        <v>499.57400000000001</v>
      </c>
      <c r="AB2310" s="69">
        <f>STATS1003B!AB2316/1000</f>
        <v>0</v>
      </c>
    </row>
    <row r="2311" spans="1:28" hidden="1" x14ac:dyDescent="0.3">
      <c r="A2311" s="117"/>
      <c r="C2311" s="68" t="s">
        <v>606</v>
      </c>
      <c r="E2311" s="85">
        <f>STATS1003B!E2317/1000</f>
        <v>5000</v>
      </c>
      <c r="F2311" s="85">
        <f>STATS1003B!F2317/1000</f>
        <v>5000</v>
      </c>
      <c r="G2311" s="85">
        <f>STATS1003B!G2317/1000</f>
        <v>0</v>
      </c>
      <c r="H2311" s="85">
        <f>STATS1003B!H2317/1000</f>
        <v>5000</v>
      </c>
      <c r="I2311" s="85">
        <f>STATS1003B!I2317/1000</f>
        <v>0</v>
      </c>
      <c r="J2311" s="85">
        <f>STATS1003B!J2317/1000</f>
        <v>5000</v>
      </c>
      <c r="K2311" s="85">
        <f>STATS1003B!K2317/1000</f>
        <v>0</v>
      </c>
      <c r="L2311" s="85">
        <f>STATS1003B!L2317/1000</f>
        <v>0</v>
      </c>
      <c r="M2311" s="85">
        <f>STATS1003B!M2317/1000</f>
        <v>5000</v>
      </c>
      <c r="N2311" s="85">
        <f>STATS1003B!N2317/1000</f>
        <v>0</v>
      </c>
      <c r="O2311" s="85">
        <f>STATS1003B!O2317/1000</f>
        <v>0</v>
      </c>
      <c r="P2311" s="85">
        <f>STATS1003B!P2317/1000</f>
        <v>0</v>
      </c>
      <c r="Q2311" s="85">
        <f>STATS1003B!Q2317/1000</f>
        <v>5000</v>
      </c>
      <c r="R2311" s="85">
        <f>STATS1003B!R2317/1000</f>
        <v>0</v>
      </c>
      <c r="S2311" s="85">
        <f>STATS1003B!S2317/1000</f>
        <v>0</v>
      </c>
      <c r="T2311" s="85">
        <f>STATS1003B!T2317/1000</f>
        <v>0</v>
      </c>
      <c r="U2311" s="85">
        <f>STATS1003B!U2317/1000</f>
        <v>0</v>
      </c>
      <c r="V2311" s="85">
        <f>STATS1003B!V2317/1000</f>
        <v>0</v>
      </c>
      <c r="W2311" s="85">
        <f>STATS1003B!W2317/1000</f>
        <v>0</v>
      </c>
      <c r="X2311" s="85">
        <f>STATS1003B!X2317/1000</f>
        <v>5000</v>
      </c>
      <c r="Y2311" s="85">
        <f>STATS1003B!Y2317/1000</f>
        <v>0</v>
      </c>
      <c r="Z2311" s="85">
        <f>STATS1003B!Z2317/1000</f>
        <v>0</v>
      </c>
      <c r="AA2311" s="69">
        <f>STATS1003B!AA2317/1000</f>
        <v>5000</v>
      </c>
      <c r="AB2311" s="69">
        <f>STATS1003B!AB2317/1000</f>
        <v>0</v>
      </c>
    </row>
    <row r="2312" spans="1:28" hidden="1" x14ac:dyDescent="0.3">
      <c r="A2312" s="117"/>
      <c r="E2312" s="86" t="s">
        <v>29</v>
      </c>
      <c r="F2312" s="86" t="s">
        <v>29</v>
      </c>
      <c r="G2312" s="86" t="s">
        <v>29</v>
      </c>
      <c r="H2312" s="86" t="s">
        <v>29</v>
      </c>
      <c r="I2312" s="86" t="s">
        <v>29</v>
      </c>
      <c r="J2312" s="86" t="s">
        <v>29</v>
      </c>
      <c r="K2312" s="86" t="s">
        <v>29</v>
      </c>
      <c r="L2312" s="86" t="s">
        <v>29</v>
      </c>
      <c r="M2312" s="86" t="s">
        <v>29</v>
      </c>
      <c r="N2312" s="86" t="s">
        <v>29</v>
      </c>
      <c r="O2312" s="86" t="s">
        <v>29</v>
      </c>
      <c r="P2312" s="86" t="s">
        <v>29</v>
      </c>
      <c r="Q2312" s="86" t="s">
        <v>29</v>
      </c>
      <c r="R2312" s="86" t="s">
        <v>29</v>
      </c>
      <c r="S2312" s="86" t="s">
        <v>29</v>
      </c>
      <c r="T2312" s="86" t="s">
        <v>29</v>
      </c>
      <c r="U2312" s="86" t="s">
        <v>29</v>
      </c>
      <c r="V2312" s="86" t="s">
        <v>29</v>
      </c>
      <c r="W2312" s="86" t="s">
        <v>29</v>
      </c>
      <c r="X2312" s="86" t="s">
        <v>29</v>
      </c>
      <c r="Y2312" s="86" t="s">
        <v>29</v>
      </c>
      <c r="Z2312" s="86" t="s">
        <v>29</v>
      </c>
      <c r="AA2312" s="115" t="s">
        <v>29</v>
      </c>
      <c r="AB2312" s="115" t="s">
        <v>29</v>
      </c>
    </row>
    <row r="2313" spans="1:28" x14ac:dyDescent="0.3">
      <c r="A2313" s="116">
        <v>100</v>
      </c>
      <c r="B2313" s="68" t="s">
        <v>839</v>
      </c>
      <c r="E2313" s="85">
        <f>83308088.3/1000</f>
        <v>83308.088300000003</v>
      </c>
      <c r="F2313" s="85">
        <f t="shared" ref="F2313:Q2313" si="257">SUM(F2299:F2312)</f>
        <v>25282.934090000002</v>
      </c>
      <c r="G2313" s="85">
        <f t="shared" si="257"/>
        <v>0</v>
      </c>
      <c r="H2313" s="85">
        <f>81354099.3/1000</f>
        <v>81354.099300000002</v>
      </c>
      <c r="I2313" s="85">
        <f t="shared" si="257"/>
        <v>0</v>
      </c>
      <c r="J2313" s="85">
        <f t="shared" si="257"/>
        <v>25282.934090000002</v>
      </c>
      <c r="K2313" s="85">
        <f t="shared" si="257"/>
        <v>1953.989</v>
      </c>
      <c r="L2313" s="85">
        <f t="shared" si="257"/>
        <v>0</v>
      </c>
      <c r="M2313" s="85">
        <f t="shared" si="257"/>
        <v>25282.934090000002</v>
      </c>
      <c r="N2313" s="85">
        <f t="shared" si="257"/>
        <v>1953.989</v>
      </c>
      <c r="O2313" s="85">
        <f t="shared" si="257"/>
        <v>0</v>
      </c>
      <c r="P2313" s="85">
        <f>1953989/1000</f>
        <v>1953.989</v>
      </c>
      <c r="Q2313" s="85">
        <f t="shared" si="257"/>
        <v>25282.934090000002</v>
      </c>
      <c r="R2313" s="84"/>
      <c r="S2313" s="84"/>
      <c r="T2313" s="85">
        <f t="shared" ref="T2313:Y2313" si="258">SUM(T2299:T2312)</f>
        <v>0</v>
      </c>
      <c r="U2313" s="85">
        <f t="shared" si="258"/>
        <v>1953.989</v>
      </c>
      <c r="V2313" s="85">
        <f t="shared" si="258"/>
        <v>0</v>
      </c>
      <c r="W2313" s="85">
        <f t="shared" si="258"/>
        <v>0</v>
      </c>
      <c r="X2313" s="85">
        <f>+H2313+P2313</f>
        <v>83308.088300000003</v>
      </c>
      <c r="Y2313" s="85">
        <f t="shared" si="258"/>
        <v>0</v>
      </c>
      <c r="Z2313" s="85">
        <f>+E2313-X2313</f>
        <v>0</v>
      </c>
      <c r="AA2313" s="69">
        <f>SUM(AA2299:AA2312)</f>
        <v>27236.923090000004</v>
      </c>
      <c r="AB2313" s="69">
        <f>SUM(AB2299:AB2312)</f>
        <v>0</v>
      </c>
    </row>
    <row r="2314" spans="1:28" hidden="1" x14ac:dyDescent="0.3">
      <c r="A2314" s="117"/>
      <c r="E2314" s="86" t="s">
        <v>29</v>
      </c>
      <c r="F2314" s="86" t="s">
        <v>29</v>
      </c>
      <c r="G2314" s="86" t="s">
        <v>29</v>
      </c>
      <c r="H2314" s="86" t="s">
        <v>29</v>
      </c>
      <c r="I2314" s="86" t="s">
        <v>29</v>
      </c>
      <c r="J2314" s="86" t="s">
        <v>29</v>
      </c>
      <c r="K2314" s="86" t="s">
        <v>29</v>
      </c>
      <c r="L2314" s="86" t="s">
        <v>29</v>
      </c>
      <c r="M2314" s="86" t="s">
        <v>29</v>
      </c>
      <c r="N2314" s="86" t="s">
        <v>29</v>
      </c>
      <c r="O2314" s="86" t="s">
        <v>29</v>
      </c>
      <c r="P2314" s="86" t="s">
        <v>29</v>
      </c>
      <c r="Q2314" s="86" t="s">
        <v>29</v>
      </c>
      <c r="R2314" s="86" t="s">
        <v>29</v>
      </c>
      <c r="S2314" s="86" t="s">
        <v>29</v>
      </c>
      <c r="T2314" s="86" t="s">
        <v>29</v>
      </c>
      <c r="U2314" s="86" t="s">
        <v>29</v>
      </c>
      <c r="V2314" s="86" t="s">
        <v>29</v>
      </c>
      <c r="W2314" s="86" t="s">
        <v>29</v>
      </c>
      <c r="X2314" s="85" t="e">
        <f t="shared" ref="X2314:X2376" si="259">+H2314+P2314</f>
        <v>#VALUE!</v>
      </c>
      <c r="Y2314" s="86" t="s">
        <v>29</v>
      </c>
      <c r="Z2314" s="86" t="s">
        <v>29</v>
      </c>
      <c r="AA2314" s="115" t="s">
        <v>29</v>
      </c>
      <c r="AB2314" s="115" t="s">
        <v>29</v>
      </c>
    </row>
    <row r="2315" spans="1:28" hidden="1" x14ac:dyDescent="0.3">
      <c r="A2315" s="117"/>
      <c r="E2315" s="86"/>
      <c r="F2315" s="86"/>
      <c r="G2315" s="86"/>
      <c r="H2315" s="86"/>
      <c r="I2315" s="86"/>
      <c r="J2315" s="86"/>
      <c r="K2315" s="86"/>
      <c r="L2315" s="86"/>
      <c r="M2315" s="86"/>
      <c r="N2315" s="86"/>
      <c r="O2315" s="86"/>
      <c r="P2315" s="86"/>
      <c r="Q2315" s="86"/>
      <c r="R2315" s="86"/>
      <c r="S2315" s="86"/>
      <c r="T2315" s="86"/>
      <c r="U2315" s="86"/>
      <c r="V2315" s="86"/>
      <c r="W2315" s="86"/>
      <c r="X2315" s="85">
        <f t="shared" si="259"/>
        <v>0</v>
      </c>
      <c r="Y2315" s="86"/>
      <c r="Z2315" s="86"/>
      <c r="AA2315" s="115"/>
      <c r="AB2315" s="115"/>
    </row>
    <row r="2316" spans="1:28" hidden="1" x14ac:dyDescent="0.3">
      <c r="A2316" s="105"/>
      <c r="E2316" s="86"/>
      <c r="F2316" s="86"/>
      <c r="G2316" s="86"/>
      <c r="H2316" s="86"/>
      <c r="I2316" s="86"/>
      <c r="J2316" s="86"/>
      <c r="K2316" s="86"/>
      <c r="L2316" s="86"/>
      <c r="M2316" s="86"/>
      <c r="N2316" s="86"/>
      <c r="O2316" s="86"/>
      <c r="P2316" s="86"/>
      <c r="Q2316" s="86"/>
      <c r="R2316" s="86"/>
      <c r="S2316" s="86"/>
      <c r="T2316" s="86"/>
      <c r="U2316" s="86"/>
      <c r="V2316" s="86"/>
      <c r="W2316" s="86"/>
      <c r="X2316" s="85">
        <f t="shared" si="259"/>
        <v>0</v>
      </c>
      <c r="Y2316" s="86"/>
      <c r="Z2316" s="86"/>
      <c r="AA2316" s="115"/>
      <c r="AB2316" s="115"/>
    </row>
    <row r="2317" spans="1:28" x14ac:dyDescent="0.3">
      <c r="A2317" s="117"/>
      <c r="B2317" s="6" t="s">
        <v>1281</v>
      </c>
      <c r="D2317" s="91" t="s">
        <v>1126</v>
      </c>
      <c r="E2317" s="85">
        <f>353819/1000</f>
        <v>353.81900000000002</v>
      </c>
      <c r="F2317" s="85">
        <f>STATS1003B!F2323/1000</f>
        <v>353.81981000000002</v>
      </c>
      <c r="G2317" s="85">
        <f>STATS1003B!G2323/1000</f>
        <v>0</v>
      </c>
      <c r="H2317" s="85">
        <f>353819/1000</f>
        <v>353.81900000000002</v>
      </c>
      <c r="I2317" s="85">
        <f>STATS1003B!I2323/1000</f>
        <v>0</v>
      </c>
      <c r="J2317" s="85">
        <f>STATS1003B!J2323/1000</f>
        <v>0</v>
      </c>
      <c r="K2317" s="85">
        <f>STATS1003B!K2323/1000</f>
        <v>0</v>
      </c>
      <c r="L2317" s="85">
        <f>STATS1003B!L2323/1000</f>
        <v>0</v>
      </c>
      <c r="M2317" s="85">
        <f>STATS1003B!M2323/1000</f>
        <v>353.81981000000002</v>
      </c>
      <c r="N2317" s="85">
        <f>STATS1003B!N2323/1000</f>
        <v>0</v>
      </c>
      <c r="O2317" s="85">
        <f>STATS1003B!O2323/1000</f>
        <v>0</v>
      </c>
      <c r="P2317" s="85">
        <v>0</v>
      </c>
      <c r="Q2317" s="85">
        <f>STATS1003B!Q2323/1000</f>
        <v>0</v>
      </c>
      <c r="R2317" s="85">
        <f>STATS1003B!R2323/1000</f>
        <v>0</v>
      </c>
      <c r="S2317" s="85">
        <f>STATS1003B!S2323/1000</f>
        <v>0</v>
      </c>
      <c r="T2317" s="85">
        <f>STATS1003B!T2323/1000</f>
        <v>0</v>
      </c>
      <c r="U2317" s="85">
        <f>STATS1003B!U2323/1000</f>
        <v>0</v>
      </c>
      <c r="V2317" s="85">
        <f>STATS1003B!V2323/1000</f>
        <v>0</v>
      </c>
      <c r="W2317" s="85">
        <f>STATS1003B!W2323/1000</f>
        <v>0</v>
      </c>
      <c r="X2317" s="85">
        <f t="shared" si="259"/>
        <v>353.81900000000002</v>
      </c>
      <c r="Y2317" s="85">
        <f>STATS1003B!Y2323/1000</f>
        <v>0</v>
      </c>
      <c r="Z2317" s="85">
        <f t="shared" ref="Z2317:Z2380" si="260">+E2317-X2317</f>
        <v>0</v>
      </c>
      <c r="AA2317" s="69">
        <f>STATS1003B!AA2323/1000</f>
        <v>353.81981000000002</v>
      </c>
      <c r="AB2317" s="69">
        <f>STATS1003B!AB2323/1000</f>
        <v>0</v>
      </c>
    </row>
    <row r="2318" spans="1:28" hidden="1" x14ac:dyDescent="0.3">
      <c r="A2318" s="117"/>
      <c r="E2318" s="86" t="s">
        <v>29</v>
      </c>
      <c r="F2318" s="86" t="s">
        <v>29</v>
      </c>
      <c r="G2318" s="86" t="s">
        <v>29</v>
      </c>
      <c r="H2318" s="86" t="s">
        <v>29</v>
      </c>
      <c r="I2318" s="86" t="s">
        <v>29</v>
      </c>
      <c r="J2318" s="86" t="s">
        <v>29</v>
      </c>
      <c r="K2318" s="86" t="s">
        <v>29</v>
      </c>
      <c r="L2318" s="86" t="s">
        <v>29</v>
      </c>
      <c r="M2318" s="86" t="s">
        <v>29</v>
      </c>
      <c r="N2318" s="86" t="s">
        <v>29</v>
      </c>
      <c r="O2318" s="86" t="s">
        <v>29</v>
      </c>
      <c r="P2318" s="86" t="s">
        <v>29</v>
      </c>
      <c r="Q2318" s="86" t="s">
        <v>29</v>
      </c>
      <c r="R2318" s="86" t="s">
        <v>29</v>
      </c>
      <c r="S2318" s="86" t="s">
        <v>29</v>
      </c>
      <c r="T2318" s="86" t="s">
        <v>29</v>
      </c>
      <c r="U2318" s="86" t="s">
        <v>29</v>
      </c>
      <c r="V2318" s="86" t="s">
        <v>29</v>
      </c>
      <c r="W2318" s="86" t="s">
        <v>29</v>
      </c>
      <c r="X2318" s="85" t="e">
        <f t="shared" si="259"/>
        <v>#VALUE!</v>
      </c>
      <c r="Y2318" s="86" t="s">
        <v>29</v>
      </c>
      <c r="Z2318" s="85" t="e">
        <f t="shared" si="260"/>
        <v>#VALUE!</v>
      </c>
      <c r="AA2318" s="115" t="s">
        <v>29</v>
      </c>
      <c r="AB2318" s="115" t="s">
        <v>29</v>
      </c>
    </row>
    <row r="2319" spans="1:28" hidden="1" x14ac:dyDescent="0.3">
      <c r="A2319" s="117"/>
      <c r="E2319" s="86"/>
      <c r="F2319" s="86"/>
      <c r="G2319" s="86"/>
      <c r="H2319" s="86"/>
      <c r="I2319" s="86"/>
      <c r="J2319" s="86"/>
      <c r="K2319" s="86"/>
      <c r="L2319" s="86"/>
      <c r="M2319" s="86"/>
      <c r="N2319" s="86"/>
      <c r="O2319" s="86"/>
      <c r="P2319" s="86"/>
      <c r="Q2319" s="86"/>
      <c r="R2319" s="86"/>
      <c r="S2319" s="86"/>
      <c r="T2319" s="86"/>
      <c r="U2319" s="86"/>
      <c r="V2319" s="86"/>
      <c r="W2319" s="86"/>
      <c r="X2319" s="85">
        <f t="shared" si="259"/>
        <v>0</v>
      </c>
      <c r="Y2319" s="86"/>
      <c r="Z2319" s="85">
        <f t="shared" si="260"/>
        <v>0</v>
      </c>
      <c r="AA2319" s="115"/>
      <c r="AB2319" s="115"/>
    </row>
    <row r="2320" spans="1:28" hidden="1" x14ac:dyDescent="0.3">
      <c r="A2320" s="105"/>
      <c r="E2320" s="84"/>
      <c r="F2320" s="84"/>
      <c r="G2320" s="84"/>
      <c r="H2320" s="84"/>
      <c r="I2320" s="84"/>
      <c r="J2320" s="84"/>
      <c r="K2320" s="84"/>
      <c r="L2320" s="84"/>
      <c r="M2320" s="84"/>
      <c r="N2320" s="84"/>
      <c r="O2320" s="84"/>
      <c r="P2320" s="84"/>
      <c r="Q2320" s="84"/>
      <c r="R2320" s="84"/>
      <c r="S2320" s="84"/>
      <c r="T2320" s="84"/>
      <c r="U2320" s="84"/>
      <c r="V2320" s="84"/>
      <c r="W2320" s="84"/>
      <c r="X2320" s="85">
        <f t="shared" si="259"/>
        <v>0</v>
      </c>
      <c r="Y2320" s="84"/>
      <c r="Z2320" s="85">
        <f t="shared" si="260"/>
        <v>0</v>
      </c>
    </row>
    <row r="2321" spans="1:28" hidden="1" x14ac:dyDescent="0.3">
      <c r="A2321" s="117"/>
      <c r="C2321" s="68" t="s">
        <v>535</v>
      </c>
      <c r="D2321" s="101">
        <v>1994</v>
      </c>
      <c r="E2321" s="85">
        <f>STATS1003B!E2327/1000</f>
        <v>8.0148000000000472</v>
      </c>
      <c r="F2321" s="85">
        <f>STATS1003B!F2327/1000</f>
        <v>0</v>
      </c>
      <c r="G2321" s="85">
        <f>STATS1003B!G2327/1000</f>
        <v>0</v>
      </c>
      <c r="H2321" s="85">
        <f>STATS1003B!H2327/1000</f>
        <v>0</v>
      </c>
      <c r="I2321" s="85">
        <f>STATS1003B!I2327/1000</f>
        <v>0</v>
      </c>
      <c r="J2321" s="85">
        <f>STATS1003B!J2327/1000</f>
        <v>0</v>
      </c>
      <c r="K2321" s="85">
        <f>STATS1003B!K2327/1000</f>
        <v>8.014800000000001</v>
      </c>
      <c r="L2321" s="85">
        <f>STATS1003B!L2327/1000</f>
        <v>0</v>
      </c>
      <c r="M2321" s="85">
        <f>STATS1003B!M2327/1000</f>
        <v>0</v>
      </c>
      <c r="N2321" s="85">
        <f>STATS1003B!N2327/1000</f>
        <v>8.014800000000001</v>
      </c>
      <c r="O2321" s="85">
        <f>STATS1003B!O2327/1000</f>
        <v>0</v>
      </c>
      <c r="P2321" s="85">
        <f>STATS1003B!P2327/1000</f>
        <v>8.014800000000001</v>
      </c>
      <c r="Q2321" s="85">
        <f>STATS1003B!Q2327/1000</f>
        <v>4.6384229790419337E-14</v>
      </c>
      <c r="R2321" s="85">
        <f>STATS1003B!R2327/1000</f>
        <v>0</v>
      </c>
      <c r="S2321" s="85">
        <f>STATS1003B!S2327/1000</f>
        <v>0</v>
      </c>
      <c r="T2321" s="85">
        <f>STATS1003B!T2327/1000</f>
        <v>0</v>
      </c>
      <c r="U2321" s="85">
        <f>STATS1003B!U2327/1000</f>
        <v>8.014800000000001</v>
      </c>
      <c r="V2321" s="85">
        <f>STATS1003B!V2327/1000</f>
        <v>0</v>
      </c>
      <c r="W2321" s="85">
        <f>STATS1003B!W2327/1000</f>
        <v>0</v>
      </c>
      <c r="X2321" s="85">
        <f t="shared" si="259"/>
        <v>8.014800000000001</v>
      </c>
      <c r="Y2321" s="85">
        <f>STATS1003B!Y2327/1000</f>
        <v>0</v>
      </c>
      <c r="Z2321" s="85">
        <f t="shared" si="260"/>
        <v>4.6185277824406512E-14</v>
      </c>
      <c r="AA2321" s="69">
        <f>STATS1003B!AA2327/1000</f>
        <v>8.014800000000001</v>
      </c>
      <c r="AB2321" s="69">
        <f>STATS1003B!AB2327/1000</f>
        <v>4.6384229790419337E-14</v>
      </c>
    </row>
    <row r="2322" spans="1:28" hidden="1" x14ac:dyDescent="0.3">
      <c r="A2322" s="117"/>
      <c r="C2322" s="68" t="s">
        <v>535</v>
      </c>
      <c r="D2322" s="101">
        <v>1995</v>
      </c>
      <c r="E2322" s="85">
        <f>STATS1003B!E2328/1000</f>
        <v>606.63499999999999</v>
      </c>
      <c r="F2322" s="85">
        <f>STATS1003B!F2328/1000</f>
        <v>606.63499999999999</v>
      </c>
      <c r="G2322" s="85">
        <f>STATS1003B!G2328/1000</f>
        <v>0</v>
      </c>
      <c r="H2322" s="85">
        <f>STATS1003B!H2328/1000</f>
        <v>606.63499999999999</v>
      </c>
      <c r="I2322" s="85">
        <f>STATS1003B!I2328/1000</f>
        <v>0</v>
      </c>
      <c r="J2322" s="85">
        <f>STATS1003B!J2328/1000</f>
        <v>606.63499999999999</v>
      </c>
      <c r="K2322" s="85">
        <f>STATS1003B!K2328/1000</f>
        <v>0</v>
      </c>
      <c r="L2322" s="85">
        <f>STATS1003B!L2328/1000</f>
        <v>0</v>
      </c>
      <c r="M2322" s="85">
        <f>STATS1003B!M2328/1000</f>
        <v>606.63499999999999</v>
      </c>
      <c r="N2322" s="85">
        <f>STATS1003B!N2328/1000</f>
        <v>0</v>
      </c>
      <c r="O2322" s="85">
        <f>STATS1003B!O2328/1000</f>
        <v>0</v>
      </c>
      <c r="P2322" s="85">
        <f>STATS1003B!P2328/1000</f>
        <v>0</v>
      </c>
      <c r="Q2322" s="85">
        <f>STATS1003B!Q2328/1000</f>
        <v>606.63499999999999</v>
      </c>
      <c r="R2322" s="85">
        <f>STATS1003B!R2328/1000</f>
        <v>0</v>
      </c>
      <c r="S2322" s="85">
        <f>STATS1003B!S2328/1000</f>
        <v>0</v>
      </c>
      <c r="T2322" s="85">
        <f>STATS1003B!T2328/1000</f>
        <v>0</v>
      </c>
      <c r="U2322" s="85">
        <f>STATS1003B!U2328/1000</f>
        <v>0</v>
      </c>
      <c r="V2322" s="85">
        <f>STATS1003B!V2328/1000</f>
        <v>0</v>
      </c>
      <c r="W2322" s="85">
        <f>STATS1003B!W2328/1000</f>
        <v>0</v>
      </c>
      <c r="X2322" s="85">
        <f t="shared" si="259"/>
        <v>606.63499999999999</v>
      </c>
      <c r="Y2322" s="85">
        <f>STATS1003B!Y2328/1000</f>
        <v>0</v>
      </c>
      <c r="Z2322" s="85">
        <f t="shared" si="260"/>
        <v>0</v>
      </c>
      <c r="AA2322" s="69">
        <f>STATS1003B!AA2328/1000</f>
        <v>606.63499999999999</v>
      </c>
      <c r="AB2322" s="69">
        <f>STATS1003B!AB2328/1000</f>
        <v>0</v>
      </c>
    </row>
    <row r="2323" spans="1:28" hidden="1" x14ac:dyDescent="0.3">
      <c r="A2323" s="117"/>
      <c r="C2323" s="68" t="s">
        <v>545</v>
      </c>
      <c r="D2323" s="101">
        <v>1995</v>
      </c>
      <c r="E2323" s="85">
        <f>STATS1003B!E2329/1000</f>
        <v>570.94100000000003</v>
      </c>
      <c r="F2323" s="85">
        <f>STATS1003B!F2329/1000</f>
        <v>0</v>
      </c>
      <c r="G2323" s="85">
        <f>STATS1003B!G2329/1000</f>
        <v>0</v>
      </c>
      <c r="H2323" s="85">
        <f>STATS1003B!H2329/1000</f>
        <v>0</v>
      </c>
      <c r="I2323" s="85">
        <f>STATS1003B!I2329/1000</f>
        <v>0</v>
      </c>
      <c r="J2323" s="85">
        <f>STATS1003B!J2329/1000</f>
        <v>0</v>
      </c>
      <c r="K2323" s="85">
        <f>STATS1003B!K2329/1000</f>
        <v>570.94100000000003</v>
      </c>
      <c r="L2323" s="85">
        <f>STATS1003B!L2329/1000</f>
        <v>0</v>
      </c>
      <c r="M2323" s="85">
        <f>STATS1003B!M2329/1000</f>
        <v>0</v>
      </c>
      <c r="N2323" s="85">
        <f>STATS1003B!N2329/1000</f>
        <v>570.94100000000003</v>
      </c>
      <c r="O2323" s="85">
        <f>STATS1003B!O2329/1000</f>
        <v>0</v>
      </c>
      <c r="P2323" s="85">
        <f>STATS1003B!P2329/1000</f>
        <v>570.94100000000003</v>
      </c>
      <c r="Q2323" s="85">
        <f>STATS1003B!Q2329/1000</f>
        <v>0</v>
      </c>
      <c r="R2323" s="85">
        <f>STATS1003B!R2329/1000</f>
        <v>0</v>
      </c>
      <c r="S2323" s="85">
        <f>STATS1003B!S2329/1000</f>
        <v>0</v>
      </c>
      <c r="T2323" s="85">
        <f>STATS1003B!T2329/1000</f>
        <v>0</v>
      </c>
      <c r="U2323" s="85">
        <f>STATS1003B!U2329/1000</f>
        <v>570.94100000000003</v>
      </c>
      <c r="V2323" s="85">
        <f>STATS1003B!V2329/1000</f>
        <v>0</v>
      </c>
      <c r="W2323" s="85">
        <f>STATS1003B!W2329/1000</f>
        <v>0</v>
      </c>
      <c r="X2323" s="85">
        <f t="shared" si="259"/>
        <v>570.94100000000003</v>
      </c>
      <c r="Y2323" s="85">
        <f>STATS1003B!Y2329/1000</f>
        <v>0</v>
      </c>
      <c r="Z2323" s="85">
        <f t="shared" si="260"/>
        <v>0</v>
      </c>
      <c r="AA2323" s="69">
        <f>STATS1003B!AA2329/1000</f>
        <v>570.94100000000003</v>
      </c>
      <c r="AB2323" s="69">
        <f>STATS1003B!AB2329/1000</f>
        <v>0</v>
      </c>
    </row>
    <row r="2324" spans="1:28" hidden="1" x14ac:dyDescent="0.3">
      <c r="A2324" s="117"/>
      <c r="C2324" s="68" t="s">
        <v>535</v>
      </c>
      <c r="D2324" s="101">
        <v>1996</v>
      </c>
      <c r="E2324" s="85">
        <f>STATS1003B!E2330/1000</f>
        <v>1253.7</v>
      </c>
      <c r="F2324" s="85">
        <f>STATS1003B!F2330/1000</f>
        <v>1253.7</v>
      </c>
      <c r="G2324" s="85">
        <f>STATS1003B!G2330/1000</f>
        <v>0</v>
      </c>
      <c r="H2324" s="85">
        <f>STATS1003B!H2330/1000</f>
        <v>1253.7</v>
      </c>
      <c r="I2324" s="85">
        <f>STATS1003B!I2330/1000</f>
        <v>0</v>
      </c>
      <c r="J2324" s="85">
        <f>STATS1003B!J2330/1000</f>
        <v>1253.7</v>
      </c>
      <c r="K2324" s="85">
        <f>STATS1003B!K2330/1000</f>
        <v>0</v>
      </c>
      <c r="L2324" s="85">
        <f>STATS1003B!L2330/1000</f>
        <v>0</v>
      </c>
      <c r="M2324" s="85">
        <f>STATS1003B!M2330/1000</f>
        <v>1253.7</v>
      </c>
      <c r="N2324" s="85">
        <f>STATS1003B!N2330/1000</f>
        <v>0</v>
      </c>
      <c r="O2324" s="85">
        <f>STATS1003B!O2330/1000</f>
        <v>0</v>
      </c>
      <c r="P2324" s="85">
        <f>STATS1003B!P2330/1000</f>
        <v>0</v>
      </c>
      <c r="Q2324" s="85">
        <f>STATS1003B!Q2330/1000</f>
        <v>1253.7</v>
      </c>
      <c r="R2324" s="85">
        <f>STATS1003B!R2330/1000</f>
        <v>0</v>
      </c>
      <c r="S2324" s="85">
        <f>STATS1003B!S2330/1000</f>
        <v>0</v>
      </c>
      <c r="T2324" s="85">
        <f>STATS1003B!T2330/1000</f>
        <v>0</v>
      </c>
      <c r="U2324" s="85">
        <f>STATS1003B!U2330/1000</f>
        <v>0</v>
      </c>
      <c r="V2324" s="85">
        <f>STATS1003B!V2330/1000</f>
        <v>0</v>
      </c>
      <c r="W2324" s="85">
        <f>STATS1003B!W2330/1000</f>
        <v>0</v>
      </c>
      <c r="X2324" s="85">
        <f t="shared" si="259"/>
        <v>1253.7</v>
      </c>
      <c r="Y2324" s="85">
        <f>STATS1003B!Y2330/1000</f>
        <v>0</v>
      </c>
      <c r="Z2324" s="85">
        <f t="shared" si="260"/>
        <v>0</v>
      </c>
      <c r="AA2324" s="69">
        <f>STATS1003B!AA2330/1000</f>
        <v>1253.7</v>
      </c>
      <c r="AB2324" s="69">
        <f>STATS1003B!AB2330/1000</f>
        <v>0</v>
      </c>
    </row>
    <row r="2325" spans="1:28" hidden="1" x14ac:dyDescent="0.3">
      <c r="A2325" s="117"/>
      <c r="C2325" s="68" t="s">
        <v>557</v>
      </c>
      <c r="D2325" s="101">
        <v>1996</v>
      </c>
      <c r="E2325" s="85">
        <f>STATS1003B!E2331/1000</f>
        <v>1895</v>
      </c>
      <c r="F2325" s="85">
        <f>STATS1003B!F2331/1000</f>
        <v>1895</v>
      </c>
      <c r="G2325" s="85">
        <f>STATS1003B!G2331/1000</f>
        <v>0</v>
      </c>
      <c r="H2325" s="85">
        <f>STATS1003B!H2331/1000</f>
        <v>1895</v>
      </c>
      <c r="I2325" s="85">
        <f>STATS1003B!I2331/1000</f>
        <v>0</v>
      </c>
      <c r="J2325" s="85">
        <f>STATS1003B!J2331/1000</f>
        <v>1895</v>
      </c>
      <c r="K2325" s="85">
        <f>STATS1003B!K2331/1000</f>
        <v>0</v>
      </c>
      <c r="L2325" s="85">
        <f>STATS1003B!L2331/1000</f>
        <v>0</v>
      </c>
      <c r="M2325" s="85">
        <f>STATS1003B!M2331/1000</f>
        <v>1895</v>
      </c>
      <c r="N2325" s="85">
        <f>STATS1003B!N2331/1000</f>
        <v>0</v>
      </c>
      <c r="O2325" s="85">
        <f>STATS1003B!O2331/1000</f>
        <v>0</v>
      </c>
      <c r="P2325" s="85">
        <f>STATS1003B!P2331/1000</f>
        <v>0</v>
      </c>
      <c r="Q2325" s="85">
        <f>STATS1003B!Q2331/1000</f>
        <v>1895</v>
      </c>
      <c r="R2325" s="85">
        <f>STATS1003B!R2331/1000</f>
        <v>0</v>
      </c>
      <c r="S2325" s="85">
        <f>STATS1003B!S2331/1000</f>
        <v>0</v>
      </c>
      <c r="T2325" s="85">
        <f>STATS1003B!T2331/1000</f>
        <v>0</v>
      </c>
      <c r="U2325" s="85">
        <f>STATS1003B!U2331/1000</f>
        <v>0</v>
      </c>
      <c r="V2325" s="85">
        <f>STATS1003B!V2331/1000</f>
        <v>0</v>
      </c>
      <c r="W2325" s="85">
        <f>STATS1003B!W2331/1000</f>
        <v>0</v>
      </c>
      <c r="X2325" s="85">
        <f t="shared" si="259"/>
        <v>1895</v>
      </c>
      <c r="Y2325" s="85">
        <f>STATS1003B!Y2331/1000</f>
        <v>0</v>
      </c>
      <c r="Z2325" s="85">
        <f t="shared" si="260"/>
        <v>0</v>
      </c>
      <c r="AA2325" s="69">
        <f>STATS1003B!AA2331/1000</f>
        <v>1895</v>
      </c>
      <c r="AB2325" s="69">
        <f>STATS1003B!AB2331/1000</f>
        <v>0</v>
      </c>
    </row>
    <row r="2326" spans="1:28" hidden="1" x14ac:dyDescent="0.3">
      <c r="A2326" s="117"/>
      <c r="C2326" s="68" t="s">
        <v>650</v>
      </c>
      <c r="D2326" s="101">
        <v>1996</v>
      </c>
      <c r="E2326" s="85">
        <f>STATS1003B!E2332/1000</f>
        <v>120</v>
      </c>
      <c r="F2326" s="85">
        <f>STATS1003B!F2332/1000</f>
        <v>120</v>
      </c>
      <c r="G2326" s="85">
        <f>STATS1003B!G2332/1000</f>
        <v>0</v>
      </c>
      <c r="H2326" s="85">
        <f>STATS1003B!H2332/1000</f>
        <v>120</v>
      </c>
      <c r="I2326" s="85">
        <f>STATS1003B!I2332/1000</f>
        <v>0</v>
      </c>
      <c r="J2326" s="85">
        <f>STATS1003B!J2332/1000</f>
        <v>120</v>
      </c>
      <c r="K2326" s="85">
        <f>STATS1003B!K2332/1000</f>
        <v>0</v>
      </c>
      <c r="L2326" s="85">
        <f>STATS1003B!L2332/1000</f>
        <v>0</v>
      </c>
      <c r="M2326" s="85">
        <f>STATS1003B!M2332/1000</f>
        <v>120</v>
      </c>
      <c r="N2326" s="85">
        <f>STATS1003B!N2332/1000</f>
        <v>0</v>
      </c>
      <c r="O2326" s="85">
        <f>STATS1003B!O2332/1000</f>
        <v>0</v>
      </c>
      <c r="P2326" s="85">
        <f>STATS1003B!P2332/1000</f>
        <v>0</v>
      </c>
      <c r="Q2326" s="85">
        <f>STATS1003B!Q2332/1000</f>
        <v>120</v>
      </c>
      <c r="R2326" s="85">
        <f>STATS1003B!R2332/1000</f>
        <v>0</v>
      </c>
      <c r="S2326" s="85">
        <f>STATS1003B!S2332/1000</f>
        <v>0</v>
      </c>
      <c r="T2326" s="85">
        <f>STATS1003B!T2332/1000</f>
        <v>0</v>
      </c>
      <c r="U2326" s="85">
        <f>STATS1003B!U2332/1000</f>
        <v>0</v>
      </c>
      <c r="V2326" s="85">
        <f>STATS1003B!V2332/1000</f>
        <v>0</v>
      </c>
      <c r="W2326" s="85">
        <f>STATS1003B!W2332/1000</f>
        <v>0</v>
      </c>
      <c r="X2326" s="85">
        <f t="shared" si="259"/>
        <v>120</v>
      </c>
      <c r="Y2326" s="85">
        <f>STATS1003B!Y2332/1000</f>
        <v>0</v>
      </c>
      <c r="Z2326" s="85">
        <f t="shared" si="260"/>
        <v>0</v>
      </c>
      <c r="AA2326" s="69">
        <f>STATS1003B!AA2332/1000</f>
        <v>120</v>
      </c>
      <c r="AB2326" s="69">
        <f>STATS1003B!AB2332/1000</f>
        <v>0</v>
      </c>
    </row>
    <row r="2327" spans="1:28" hidden="1" x14ac:dyDescent="0.3">
      <c r="A2327" s="117"/>
      <c r="C2327" s="68" t="s">
        <v>671</v>
      </c>
      <c r="D2327" s="101">
        <v>1996</v>
      </c>
      <c r="E2327" s="85">
        <f>STATS1003B!E2333/1000</f>
        <v>42</v>
      </c>
      <c r="F2327" s="85">
        <f>STATS1003B!F2333/1000</f>
        <v>42</v>
      </c>
      <c r="G2327" s="85">
        <f>STATS1003B!G2333/1000</f>
        <v>0</v>
      </c>
      <c r="H2327" s="85">
        <f>STATS1003B!H2333/1000</f>
        <v>42</v>
      </c>
      <c r="I2327" s="85">
        <f>STATS1003B!I2333/1000</f>
        <v>0</v>
      </c>
      <c r="J2327" s="85">
        <f>STATS1003B!J2333/1000</f>
        <v>42</v>
      </c>
      <c r="K2327" s="85">
        <f>STATS1003B!K2333/1000</f>
        <v>0</v>
      </c>
      <c r="L2327" s="85">
        <f>STATS1003B!L2333/1000</f>
        <v>0</v>
      </c>
      <c r="M2327" s="85">
        <f>STATS1003B!M2333/1000</f>
        <v>42</v>
      </c>
      <c r="N2327" s="85">
        <f>STATS1003B!N2333/1000</f>
        <v>0</v>
      </c>
      <c r="O2327" s="85">
        <f>STATS1003B!O2333/1000</f>
        <v>0</v>
      </c>
      <c r="P2327" s="85">
        <f>STATS1003B!P2333/1000</f>
        <v>0</v>
      </c>
      <c r="Q2327" s="85">
        <f>STATS1003B!Q2333/1000</f>
        <v>42</v>
      </c>
      <c r="R2327" s="85">
        <f>STATS1003B!R2333/1000</f>
        <v>0</v>
      </c>
      <c r="S2327" s="85">
        <f>STATS1003B!S2333/1000</f>
        <v>0</v>
      </c>
      <c r="T2327" s="85">
        <f>STATS1003B!T2333/1000</f>
        <v>0</v>
      </c>
      <c r="U2327" s="85">
        <f>STATS1003B!U2333/1000</f>
        <v>0</v>
      </c>
      <c r="V2327" s="85">
        <f>STATS1003B!V2333/1000</f>
        <v>0</v>
      </c>
      <c r="W2327" s="85">
        <f>STATS1003B!W2333/1000</f>
        <v>0</v>
      </c>
      <c r="X2327" s="85">
        <f t="shared" si="259"/>
        <v>42</v>
      </c>
      <c r="Y2327" s="85">
        <f>STATS1003B!Y2333/1000</f>
        <v>0</v>
      </c>
      <c r="Z2327" s="85">
        <f t="shared" si="260"/>
        <v>0</v>
      </c>
      <c r="AA2327" s="69">
        <f>STATS1003B!AA2333/1000</f>
        <v>42</v>
      </c>
      <c r="AB2327" s="69">
        <f>STATS1003B!AB2333/1000</f>
        <v>0</v>
      </c>
    </row>
    <row r="2328" spans="1:28" hidden="1" x14ac:dyDescent="0.3">
      <c r="A2328" s="117"/>
      <c r="C2328" s="68" t="s">
        <v>535</v>
      </c>
      <c r="D2328" s="101">
        <v>1997</v>
      </c>
      <c r="E2328" s="85">
        <f>STATS1003B!E2334/1000</f>
        <v>1672.672</v>
      </c>
      <c r="F2328" s="85">
        <f>STATS1003B!F2334/1000</f>
        <v>1672.672</v>
      </c>
      <c r="G2328" s="85">
        <f>STATS1003B!G2334/1000</f>
        <v>0</v>
      </c>
      <c r="H2328" s="85">
        <f>STATS1003B!H2334/1000</f>
        <v>1672.672</v>
      </c>
      <c r="I2328" s="85">
        <f>STATS1003B!I2334/1000</f>
        <v>0</v>
      </c>
      <c r="J2328" s="85">
        <f>STATS1003B!J2334/1000</f>
        <v>1672.672</v>
      </c>
      <c r="K2328" s="85">
        <f>STATS1003B!K2334/1000</f>
        <v>0</v>
      </c>
      <c r="L2328" s="85">
        <f>STATS1003B!L2334/1000</f>
        <v>0</v>
      </c>
      <c r="M2328" s="85">
        <f>STATS1003B!M2334/1000</f>
        <v>1672.672</v>
      </c>
      <c r="N2328" s="85">
        <f>STATS1003B!N2334/1000</f>
        <v>0</v>
      </c>
      <c r="O2328" s="85">
        <f>STATS1003B!O2334/1000</f>
        <v>0</v>
      </c>
      <c r="P2328" s="85">
        <f>STATS1003B!P2334/1000</f>
        <v>0</v>
      </c>
      <c r="Q2328" s="85">
        <f>STATS1003B!Q2334/1000</f>
        <v>1672.672</v>
      </c>
      <c r="R2328" s="85">
        <f>STATS1003B!R2334/1000</f>
        <v>0</v>
      </c>
      <c r="S2328" s="85">
        <f>STATS1003B!S2334/1000</f>
        <v>0</v>
      </c>
      <c r="T2328" s="85">
        <f>STATS1003B!T2334/1000</f>
        <v>0</v>
      </c>
      <c r="U2328" s="85">
        <f>STATS1003B!U2334/1000</f>
        <v>0</v>
      </c>
      <c r="V2328" s="85">
        <f>STATS1003B!V2334/1000</f>
        <v>0</v>
      </c>
      <c r="W2328" s="85">
        <f>STATS1003B!W2334/1000</f>
        <v>0</v>
      </c>
      <c r="X2328" s="85">
        <f t="shared" si="259"/>
        <v>1672.672</v>
      </c>
      <c r="Y2328" s="85">
        <f>STATS1003B!Y2334/1000</f>
        <v>0</v>
      </c>
      <c r="Z2328" s="85">
        <f t="shared" si="260"/>
        <v>0</v>
      </c>
      <c r="AA2328" s="69">
        <f>STATS1003B!AA2334/1000</f>
        <v>1672.672</v>
      </c>
      <c r="AB2328" s="69">
        <f>STATS1003B!AB2334/1000</f>
        <v>0</v>
      </c>
    </row>
    <row r="2329" spans="1:28" hidden="1" x14ac:dyDescent="0.3">
      <c r="A2329" s="117"/>
      <c r="C2329" s="68" t="s">
        <v>535</v>
      </c>
      <c r="D2329" s="101">
        <v>1998</v>
      </c>
      <c r="E2329" s="85">
        <f>STATS1003B!E2335/1000</f>
        <v>2162.9477499999998</v>
      </c>
      <c r="F2329" s="85">
        <f>STATS1003B!F2335/1000</f>
        <v>2162.9477499999998</v>
      </c>
      <c r="G2329" s="85">
        <f>STATS1003B!G2335/1000</f>
        <v>0</v>
      </c>
      <c r="H2329" s="85">
        <f>STATS1003B!H2335/1000</f>
        <v>2162.9477499999998</v>
      </c>
      <c r="I2329" s="85">
        <f>STATS1003B!I2335/1000</f>
        <v>0</v>
      </c>
      <c r="J2329" s="85">
        <f>STATS1003B!J2335/1000</f>
        <v>2162.9477499999998</v>
      </c>
      <c r="K2329" s="85">
        <f>STATS1003B!K2335/1000</f>
        <v>0</v>
      </c>
      <c r="L2329" s="85">
        <f>STATS1003B!L2335/1000</f>
        <v>0</v>
      </c>
      <c r="M2329" s="85">
        <f>STATS1003B!M2335/1000</f>
        <v>2162.9477499999998</v>
      </c>
      <c r="N2329" s="85">
        <f>STATS1003B!N2335/1000</f>
        <v>0</v>
      </c>
      <c r="O2329" s="85">
        <f>STATS1003B!O2335/1000</f>
        <v>0</v>
      </c>
      <c r="P2329" s="85">
        <f>STATS1003B!P2335/1000</f>
        <v>0</v>
      </c>
      <c r="Q2329" s="85">
        <f>STATS1003B!Q2335/1000</f>
        <v>2162.9477499999998</v>
      </c>
      <c r="R2329" s="85">
        <f>STATS1003B!R2335/1000</f>
        <v>0</v>
      </c>
      <c r="S2329" s="85">
        <f>STATS1003B!S2335/1000</f>
        <v>0</v>
      </c>
      <c r="T2329" s="85">
        <f>STATS1003B!T2335/1000</f>
        <v>0</v>
      </c>
      <c r="U2329" s="85">
        <f>STATS1003B!U2335/1000</f>
        <v>0</v>
      </c>
      <c r="V2329" s="85">
        <f>STATS1003B!V2335/1000</f>
        <v>0</v>
      </c>
      <c r="W2329" s="85">
        <f>STATS1003B!W2335/1000</f>
        <v>0</v>
      </c>
      <c r="X2329" s="85">
        <f t="shared" si="259"/>
        <v>2162.9477499999998</v>
      </c>
      <c r="Y2329" s="85">
        <f>STATS1003B!Y2335/1000</f>
        <v>0</v>
      </c>
      <c r="Z2329" s="85">
        <f t="shared" si="260"/>
        <v>0</v>
      </c>
      <c r="AA2329" s="69">
        <f>STATS1003B!AA2335/1000</f>
        <v>2162.9477499999998</v>
      </c>
      <c r="AB2329" s="69">
        <f>STATS1003B!AB2335/1000</f>
        <v>0</v>
      </c>
    </row>
    <row r="2330" spans="1:28" hidden="1" x14ac:dyDescent="0.3">
      <c r="A2330" s="117"/>
      <c r="C2330" s="68" t="s">
        <v>542</v>
      </c>
      <c r="D2330" s="101">
        <v>1998</v>
      </c>
      <c r="E2330" s="85">
        <f>STATS1003B!E2336/1000</f>
        <v>8008.6078999999991</v>
      </c>
      <c r="F2330" s="85">
        <f>STATS1003B!F2336/1000</f>
        <v>8008.6079</v>
      </c>
      <c r="G2330" s="85">
        <f>STATS1003B!G2336/1000</f>
        <v>0</v>
      </c>
      <c r="H2330" s="85">
        <f>STATS1003B!H2336/1000</f>
        <v>8008.6079</v>
      </c>
      <c r="I2330" s="85">
        <f>STATS1003B!I2336/1000</f>
        <v>0</v>
      </c>
      <c r="J2330" s="85">
        <f>STATS1003B!J2336/1000</f>
        <v>8008.6079</v>
      </c>
      <c r="K2330" s="85">
        <f>STATS1003B!K2336/1000</f>
        <v>0</v>
      </c>
      <c r="L2330" s="85">
        <f>STATS1003B!L2336/1000</f>
        <v>0</v>
      </c>
      <c r="M2330" s="85">
        <f>STATS1003B!M2336/1000</f>
        <v>8008.6079</v>
      </c>
      <c r="N2330" s="85">
        <f>STATS1003B!N2336/1000</f>
        <v>0</v>
      </c>
      <c r="O2330" s="85">
        <f>STATS1003B!O2336/1000</f>
        <v>0</v>
      </c>
      <c r="P2330" s="85">
        <f>STATS1003B!P2336/1000</f>
        <v>0</v>
      </c>
      <c r="Q2330" s="85">
        <f>STATS1003B!Q2336/1000</f>
        <v>8008.6078999999991</v>
      </c>
      <c r="R2330" s="85">
        <f>STATS1003B!R2336/1000</f>
        <v>0</v>
      </c>
      <c r="S2330" s="85">
        <f>STATS1003B!S2336/1000</f>
        <v>0</v>
      </c>
      <c r="T2330" s="85">
        <f>STATS1003B!T2336/1000</f>
        <v>0</v>
      </c>
      <c r="U2330" s="85">
        <f>STATS1003B!U2336/1000</f>
        <v>0</v>
      </c>
      <c r="V2330" s="85">
        <f>STATS1003B!V2336/1000</f>
        <v>0</v>
      </c>
      <c r="W2330" s="85">
        <f>STATS1003B!W2336/1000</f>
        <v>0</v>
      </c>
      <c r="X2330" s="85">
        <f t="shared" si="259"/>
        <v>8008.6079</v>
      </c>
      <c r="Y2330" s="85">
        <f>STATS1003B!Y2336/1000</f>
        <v>0</v>
      </c>
      <c r="Z2330" s="85">
        <f t="shared" si="260"/>
        <v>0</v>
      </c>
      <c r="AA2330" s="69">
        <f>STATS1003B!AA2336/1000</f>
        <v>8008.6079</v>
      </c>
      <c r="AB2330" s="69">
        <f>STATS1003B!AB2336/1000</f>
        <v>0</v>
      </c>
    </row>
    <row r="2331" spans="1:28" hidden="1" x14ac:dyDescent="0.3">
      <c r="A2331" s="117"/>
      <c r="C2331" s="68" t="s">
        <v>535</v>
      </c>
      <c r="D2331" s="101">
        <v>1999</v>
      </c>
      <c r="E2331" s="85">
        <f>STATS1003B!E2337/1000</f>
        <v>2280.8225899999998</v>
      </c>
      <c r="F2331" s="85">
        <f>STATS1003B!F2337/1000</f>
        <v>2280.8225899999998</v>
      </c>
      <c r="G2331" s="85">
        <f>STATS1003B!G2337/1000</f>
        <v>0</v>
      </c>
      <c r="H2331" s="85">
        <f>STATS1003B!H2337/1000</f>
        <v>2280.8225899999998</v>
      </c>
      <c r="I2331" s="85">
        <f>STATS1003B!I2337/1000</f>
        <v>0</v>
      </c>
      <c r="J2331" s="85">
        <f>STATS1003B!J2337/1000</f>
        <v>2280.8225899999998</v>
      </c>
      <c r="K2331" s="85">
        <f>STATS1003B!K2337/1000</f>
        <v>0</v>
      </c>
      <c r="L2331" s="85">
        <f>STATS1003B!L2337/1000</f>
        <v>0</v>
      </c>
      <c r="M2331" s="85">
        <f>STATS1003B!M2337/1000</f>
        <v>2280.8225899999998</v>
      </c>
      <c r="N2331" s="85">
        <f>STATS1003B!N2337/1000</f>
        <v>0</v>
      </c>
      <c r="O2331" s="85">
        <f>STATS1003B!O2337/1000</f>
        <v>0</v>
      </c>
      <c r="P2331" s="85">
        <f>STATS1003B!P2337/1000</f>
        <v>0</v>
      </c>
      <c r="Q2331" s="85">
        <f>STATS1003B!Q2337/1000</f>
        <v>2280.8225899999998</v>
      </c>
      <c r="R2331" s="85">
        <f>STATS1003B!R2337/1000</f>
        <v>0</v>
      </c>
      <c r="S2331" s="85">
        <f>STATS1003B!S2337/1000</f>
        <v>0</v>
      </c>
      <c r="T2331" s="85">
        <f>STATS1003B!T2337/1000</f>
        <v>0</v>
      </c>
      <c r="U2331" s="85">
        <f>STATS1003B!U2337/1000</f>
        <v>0</v>
      </c>
      <c r="V2331" s="85">
        <f>STATS1003B!V2337/1000</f>
        <v>0</v>
      </c>
      <c r="W2331" s="85">
        <f>STATS1003B!W2337/1000</f>
        <v>0</v>
      </c>
      <c r="X2331" s="85">
        <f t="shared" si="259"/>
        <v>2280.8225899999998</v>
      </c>
      <c r="Y2331" s="85">
        <f>STATS1003B!Y2337/1000</f>
        <v>0</v>
      </c>
      <c r="Z2331" s="85">
        <f t="shared" si="260"/>
        <v>0</v>
      </c>
      <c r="AA2331" s="69">
        <f>STATS1003B!AA2337/1000</f>
        <v>2280.8225899999998</v>
      </c>
      <c r="AB2331" s="69">
        <f>STATS1003B!AB2337/1000</f>
        <v>0</v>
      </c>
    </row>
    <row r="2332" spans="1:28" hidden="1" x14ac:dyDescent="0.3">
      <c r="A2332" s="117"/>
      <c r="C2332" s="68" t="s">
        <v>535</v>
      </c>
      <c r="D2332" s="101">
        <v>2000</v>
      </c>
      <c r="E2332" s="85">
        <f>STATS1003B!E2338/1000</f>
        <v>3924.3608100000001</v>
      </c>
      <c r="F2332" s="85">
        <f>STATS1003B!F2338/1000</f>
        <v>3924.3608100000001</v>
      </c>
      <c r="G2332" s="85">
        <f>STATS1003B!G2338/1000</f>
        <v>0</v>
      </c>
      <c r="H2332" s="85">
        <f>STATS1003B!H2338/1000</f>
        <v>3924.3608100000001</v>
      </c>
      <c r="I2332" s="85">
        <f>STATS1003B!I2338/1000</f>
        <v>0</v>
      </c>
      <c r="J2332" s="85">
        <f>STATS1003B!J2338/1000</f>
        <v>3924.3608100000001</v>
      </c>
      <c r="K2332" s="85">
        <f>STATS1003B!K2338/1000</f>
        <v>0</v>
      </c>
      <c r="L2332" s="85">
        <f>STATS1003B!L2338/1000</f>
        <v>0</v>
      </c>
      <c r="M2332" s="85">
        <f>STATS1003B!M2338/1000</f>
        <v>3924.3608100000001</v>
      </c>
      <c r="N2332" s="85">
        <f>STATS1003B!N2338/1000</f>
        <v>0</v>
      </c>
      <c r="O2332" s="85">
        <f>STATS1003B!O2338/1000</f>
        <v>0</v>
      </c>
      <c r="P2332" s="85">
        <f>STATS1003B!P2338/1000</f>
        <v>0</v>
      </c>
      <c r="Q2332" s="85">
        <f>STATS1003B!Q2338/1000</f>
        <v>3924.3608100000001</v>
      </c>
      <c r="R2332" s="85">
        <f>STATS1003B!R2338/1000</f>
        <v>0</v>
      </c>
      <c r="S2332" s="85">
        <f>STATS1003B!S2338/1000</f>
        <v>0</v>
      </c>
      <c r="T2332" s="85">
        <f>STATS1003B!T2338/1000</f>
        <v>0</v>
      </c>
      <c r="U2332" s="85">
        <f>STATS1003B!U2338/1000</f>
        <v>0</v>
      </c>
      <c r="V2332" s="85">
        <f>STATS1003B!V2338/1000</f>
        <v>0</v>
      </c>
      <c r="W2332" s="85">
        <f>STATS1003B!W2338/1000</f>
        <v>0</v>
      </c>
      <c r="X2332" s="85">
        <f t="shared" si="259"/>
        <v>3924.3608100000001</v>
      </c>
      <c r="Y2332" s="85">
        <f>STATS1003B!Y2338/1000</f>
        <v>0</v>
      </c>
      <c r="Z2332" s="85">
        <f t="shared" si="260"/>
        <v>0</v>
      </c>
      <c r="AA2332" s="69">
        <f>STATS1003B!AA2338/1000</f>
        <v>3924.3608100000001</v>
      </c>
      <c r="AB2332" s="69">
        <f>STATS1003B!AB2338/1000</f>
        <v>0</v>
      </c>
    </row>
    <row r="2333" spans="1:28" hidden="1" x14ac:dyDescent="0.3">
      <c r="A2333" s="117"/>
      <c r="C2333" s="68" t="s">
        <v>535</v>
      </c>
      <c r="D2333" s="101">
        <v>2001</v>
      </c>
      <c r="E2333" s="85">
        <f>STATS1003B!E2339/1000</f>
        <v>8921.0799600000009</v>
      </c>
      <c r="F2333" s="85">
        <f>STATS1003B!F2339/1000</f>
        <v>8921.0799600000009</v>
      </c>
      <c r="G2333" s="85">
        <f>STATS1003B!G2339/1000</f>
        <v>0</v>
      </c>
      <c r="H2333" s="85">
        <f>STATS1003B!H2339/1000</f>
        <v>8921.0799600000009</v>
      </c>
      <c r="I2333" s="85">
        <f>STATS1003B!I2339/1000</f>
        <v>0</v>
      </c>
      <c r="J2333" s="85">
        <f>STATS1003B!J2339/1000</f>
        <v>8921.0799600000009</v>
      </c>
      <c r="K2333" s="85">
        <f>STATS1003B!K2339/1000</f>
        <v>0</v>
      </c>
      <c r="L2333" s="85">
        <f>STATS1003B!L2339/1000</f>
        <v>0</v>
      </c>
      <c r="M2333" s="85">
        <f>STATS1003B!M2339/1000</f>
        <v>8921.0799600000009</v>
      </c>
      <c r="N2333" s="85">
        <f>STATS1003B!N2339/1000</f>
        <v>0</v>
      </c>
      <c r="O2333" s="85">
        <f>STATS1003B!O2339/1000</f>
        <v>0</v>
      </c>
      <c r="P2333" s="85">
        <f>STATS1003B!P2339/1000</f>
        <v>0</v>
      </c>
      <c r="Q2333" s="85">
        <f>STATS1003B!Q2339/1000</f>
        <v>8921.0799600000009</v>
      </c>
      <c r="R2333" s="85">
        <f>STATS1003B!R2339/1000</f>
        <v>0</v>
      </c>
      <c r="S2333" s="85">
        <f>STATS1003B!S2339/1000</f>
        <v>0</v>
      </c>
      <c r="T2333" s="85">
        <f>STATS1003B!T2339/1000</f>
        <v>0</v>
      </c>
      <c r="U2333" s="85">
        <f>STATS1003B!U2339/1000</f>
        <v>0</v>
      </c>
      <c r="V2333" s="85">
        <f>STATS1003B!V2339/1000</f>
        <v>0</v>
      </c>
      <c r="W2333" s="85">
        <f>STATS1003B!W2339/1000</f>
        <v>0</v>
      </c>
      <c r="X2333" s="85">
        <f t="shared" si="259"/>
        <v>8921.0799600000009</v>
      </c>
      <c r="Y2333" s="85">
        <f>STATS1003B!Y2339/1000</f>
        <v>0</v>
      </c>
      <c r="Z2333" s="85">
        <f t="shared" si="260"/>
        <v>0</v>
      </c>
      <c r="AA2333" s="69">
        <f>STATS1003B!AA2339/1000</f>
        <v>8921.0799600000009</v>
      </c>
      <c r="AB2333" s="69">
        <f>STATS1003B!AB2339/1000</f>
        <v>0</v>
      </c>
    </row>
    <row r="2334" spans="1:28" hidden="1" x14ac:dyDescent="0.3">
      <c r="A2334" s="117"/>
      <c r="C2334" s="68" t="s">
        <v>535</v>
      </c>
      <c r="D2334" s="101">
        <v>2002</v>
      </c>
      <c r="E2334" s="85">
        <f>STATS1003B!E2340/1000</f>
        <v>3640.7548199999997</v>
      </c>
      <c r="F2334" s="85">
        <f>STATS1003B!F2340/1000</f>
        <v>3640.7548199999997</v>
      </c>
      <c r="G2334" s="85">
        <f>STATS1003B!G2340/1000</f>
        <v>0</v>
      </c>
      <c r="H2334" s="85">
        <f>STATS1003B!H2340/1000</f>
        <v>3640.7548199999997</v>
      </c>
      <c r="I2334" s="85">
        <f>STATS1003B!I2340/1000</f>
        <v>0</v>
      </c>
      <c r="J2334" s="85">
        <f>STATS1003B!J2340/1000</f>
        <v>3640.7548199999997</v>
      </c>
      <c r="K2334" s="85">
        <f>STATS1003B!K2340/1000</f>
        <v>0</v>
      </c>
      <c r="L2334" s="85">
        <f>STATS1003B!L2340/1000</f>
        <v>0</v>
      </c>
      <c r="M2334" s="85">
        <f>STATS1003B!M2340/1000</f>
        <v>3640.7548199999997</v>
      </c>
      <c r="N2334" s="85">
        <f>STATS1003B!N2340/1000</f>
        <v>0</v>
      </c>
      <c r="O2334" s="85">
        <f>STATS1003B!O2340/1000</f>
        <v>0</v>
      </c>
      <c r="P2334" s="85">
        <f>STATS1003B!P2340/1000</f>
        <v>0</v>
      </c>
      <c r="Q2334" s="85">
        <f>STATS1003B!Q2340/1000</f>
        <v>3640.7548199999997</v>
      </c>
      <c r="R2334" s="85">
        <f>STATS1003B!R2340/1000</f>
        <v>0</v>
      </c>
      <c r="S2334" s="85">
        <f>STATS1003B!S2340/1000</f>
        <v>0</v>
      </c>
      <c r="T2334" s="85">
        <f>STATS1003B!T2340/1000</f>
        <v>0</v>
      </c>
      <c r="U2334" s="85">
        <f>STATS1003B!U2340/1000</f>
        <v>0</v>
      </c>
      <c r="V2334" s="85">
        <f>STATS1003B!V2340/1000</f>
        <v>0</v>
      </c>
      <c r="W2334" s="85">
        <f>STATS1003B!W2340/1000</f>
        <v>0</v>
      </c>
      <c r="X2334" s="85">
        <f t="shared" si="259"/>
        <v>3640.7548199999997</v>
      </c>
      <c r="Y2334" s="85">
        <f>STATS1003B!Y2340/1000</f>
        <v>0</v>
      </c>
      <c r="Z2334" s="85">
        <f t="shared" si="260"/>
        <v>0</v>
      </c>
      <c r="AA2334" s="69">
        <f>STATS1003B!AA2340/1000</f>
        <v>3640.7548199999997</v>
      </c>
      <c r="AB2334" s="69">
        <f>STATS1003B!AB2340/1000</f>
        <v>0</v>
      </c>
    </row>
    <row r="2335" spans="1:28" hidden="1" x14ac:dyDescent="0.3">
      <c r="A2335" s="117"/>
      <c r="C2335" s="71" t="s">
        <v>621</v>
      </c>
      <c r="D2335" s="101">
        <v>2002</v>
      </c>
      <c r="E2335" s="85">
        <f>STATS1003B!E2341/1000</f>
        <v>398.07400000000001</v>
      </c>
      <c r="F2335" s="85">
        <f>STATS1003B!F2341/1000</f>
        <v>398.07400000000001</v>
      </c>
      <c r="G2335" s="85">
        <f>STATS1003B!G2341/1000</f>
        <v>0</v>
      </c>
      <c r="H2335" s="85">
        <f>STATS1003B!H2341/1000</f>
        <v>398.07400000000001</v>
      </c>
      <c r="I2335" s="85">
        <f>STATS1003B!I2341/1000</f>
        <v>0</v>
      </c>
      <c r="J2335" s="85">
        <f>STATS1003B!J2341/1000</f>
        <v>398.07400000000001</v>
      </c>
      <c r="K2335" s="85">
        <f>STATS1003B!K2341/1000</f>
        <v>0</v>
      </c>
      <c r="L2335" s="85">
        <f>STATS1003B!L2341/1000</f>
        <v>0</v>
      </c>
      <c r="M2335" s="85">
        <f>STATS1003B!M2341/1000</f>
        <v>398.07400000000001</v>
      </c>
      <c r="N2335" s="85">
        <f>STATS1003B!N2341/1000</f>
        <v>0</v>
      </c>
      <c r="O2335" s="85">
        <f>STATS1003B!O2341/1000</f>
        <v>0</v>
      </c>
      <c r="P2335" s="85">
        <f>STATS1003B!P2341/1000</f>
        <v>0</v>
      </c>
      <c r="Q2335" s="85">
        <f>STATS1003B!Q2341/1000</f>
        <v>398.07400000000001</v>
      </c>
      <c r="R2335" s="85">
        <f>STATS1003B!R2341/1000</f>
        <v>0</v>
      </c>
      <c r="S2335" s="85">
        <f>STATS1003B!S2341/1000</f>
        <v>0</v>
      </c>
      <c r="T2335" s="85">
        <f>STATS1003B!T2341/1000</f>
        <v>0</v>
      </c>
      <c r="U2335" s="85">
        <f>STATS1003B!U2341/1000</f>
        <v>0</v>
      </c>
      <c r="V2335" s="85">
        <f>STATS1003B!V2341/1000</f>
        <v>0</v>
      </c>
      <c r="W2335" s="85">
        <f>STATS1003B!W2341/1000</f>
        <v>0</v>
      </c>
      <c r="X2335" s="85">
        <f t="shared" si="259"/>
        <v>398.07400000000001</v>
      </c>
      <c r="Y2335" s="85">
        <f>STATS1003B!Y2341/1000</f>
        <v>0</v>
      </c>
      <c r="Z2335" s="85">
        <f t="shared" si="260"/>
        <v>0</v>
      </c>
      <c r="AA2335" s="69">
        <f>STATS1003B!AA2341/1000</f>
        <v>398.07400000000001</v>
      </c>
      <c r="AB2335" s="69">
        <f>STATS1003B!AB2341/1000</f>
        <v>0</v>
      </c>
    </row>
    <row r="2336" spans="1:28" hidden="1" x14ac:dyDescent="0.3">
      <c r="A2336" s="117"/>
      <c r="C2336" s="71" t="s">
        <v>898</v>
      </c>
      <c r="D2336" s="101"/>
      <c r="E2336" s="85">
        <f>STATS1003B!E2342/1000</f>
        <v>1411.86275</v>
      </c>
      <c r="F2336" s="85">
        <f>STATS1003B!F2342/1000</f>
        <v>1411.86275</v>
      </c>
      <c r="G2336" s="85">
        <f>STATS1003B!G2342/1000</f>
        <v>0</v>
      </c>
      <c r="H2336" s="85">
        <f>STATS1003B!H2342/1000</f>
        <v>1411.86275</v>
      </c>
      <c r="I2336" s="85">
        <f>STATS1003B!I2342/1000</f>
        <v>0</v>
      </c>
      <c r="J2336" s="85">
        <f>STATS1003B!J2342/1000</f>
        <v>0</v>
      </c>
      <c r="K2336" s="85">
        <f>STATS1003B!K2342/1000</f>
        <v>0</v>
      </c>
      <c r="L2336" s="85">
        <f>STATS1003B!L2342/1000</f>
        <v>0</v>
      </c>
      <c r="M2336" s="85">
        <f>STATS1003B!M2342/1000</f>
        <v>1411.86275</v>
      </c>
      <c r="N2336" s="85">
        <f>STATS1003B!N2342/1000</f>
        <v>0</v>
      </c>
      <c r="O2336" s="85">
        <f>STATS1003B!O2342/1000</f>
        <v>0</v>
      </c>
      <c r="P2336" s="85">
        <f>STATS1003B!P2342/1000</f>
        <v>0</v>
      </c>
      <c r="Q2336" s="85">
        <f>STATS1003B!Q2342/1000</f>
        <v>1411.86275</v>
      </c>
      <c r="R2336" s="85">
        <f>STATS1003B!R2342/1000</f>
        <v>0</v>
      </c>
      <c r="S2336" s="85">
        <f>STATS1003B!S2342/1000</f>
        <v>0</v>
      </c>
      <c r="T2336" s="85">
        <f>STATS1003B!T2342/1000</f>
        <v>0</v>
      </c>
      <c r="U2336" s="85">
        <f>STATS1003B!U2342/1000</f>
        <v>0</v>
      </c>
      <c r="V2336" s="85">
        <f>STATS1003B!V2342/1000</f>
        <v>0</v>
      </c>
      <c r="W2336" s="85">
        <f>STATS1003B!W2342/1000</f>
        <v>0</v>
      </c>
      <c r="X2336" s="85">
        <f t="shared" si="259"/>
        <v>1411.86275</v>
      </c>
      <c r="Y2336" s="85">
        <f>STATS1003B!Y2342/1000</f>
        <v>0</v>
      </c>
      <c r="Z2336" s="85">
        <f t="shared" si="260"/>
        <v>0</v>
      </c>
      <c r="AA2336" s="69">
        <f>STATS1003B!AA2342/1000</f>
        <v>1411.86275</v>
      </c>
      <c r="AB2336" s="69">
        <f>STATS1003B!AB2342/1000</f>
        <v>0</v>
      </c>
    </row>
    <row r="2337" spans="1:28" hidden="1" x14ac:dyDescent="0.3">
      <c r="A2337" s="117"/>
      <c r="C2337" s="68" t="s">
        <v>842</v>
      </c>
      <c r="E2337" s="85">
        <f>STATS1003B!E2343/1000</f>
        <v>1000</v>
      </c>
      <c r="F2337" s="85">
        <f>STATS1003B!F2343/1000</f>
        <v>1000</v>
      </c>
      <c r="G2337" s="85">
        <f>STATS1003B!G2343/1000</f>
        <v>0</v>
      </c>
      <c r="H2337" s="85">
        <f>STATS1003B!H2343/1000</f>
        <v>1000</v>
      </c>
      <c r="I2337" s="85">
        <f>STATS1003B!I2343/1000</f>
        <v>0</v>
      </c>
      <c r="J2337" s="85">
        <f>STATS1003B!J2343/1000</f>
        <v>1000</v>
      </c>
      <c r="K2337" s="85">
        <f>STATS1003B!K2343/1000</f>
        <v>0</v>
      </c>
      <c r="L2337" s="85">
        <f>STATS1003B!L2343/1000</f>
        <v>0</v>
      </c>
      <c r="M2337" s="85">
        <f>STATS1003B!M2343/1000</f>
        <v>1000</v>
      </c>
      <c r="N2337" s="85">
        <f>STATS1003B!N2343/1000</f>
        <v>0</v>
      </c>
      <c r="O2337" s="85">
        <f>STATS1003B!O2343/1000</f>
        <v>0</v>
      </c>
      <c r="P2337" s="85">
        <f>STATS1003B!P2343/1000</f>
        <v>0</v>
      </c>
      <c r="Q2337" s="85">
        <f>STATS1003B!Q2343/1000</f>
        <v>1000</v>
      </c>
      <c r="R2337" s="85">
        <f>STATS1003B!R2343/1000</f>
        <v>0</v>
      </c>
      <c r="S2337" s="85">
        <f>STATS1003B!S2343/1000</f>
        <v>0</v>
      </c>
      <c r="T2337" s="85">
        <f>STATS1003B!T2343/1000</f>
        <v>0</v>
      </c>
      <c r="U2337" s="85">
        <f>STATS1003B!U2343/1000</f>
        <v>0</v>
      </c>
      <c r="V2337" s="85">
        <f>STATS1003B!V2343/1000</f>
        <v>0</v>
      </c>
      <c r="W2337" s="85">
        <f>STATS1003B!W2343/1000</f>
        <v>0</v>
      </c>
      <c r="X2337" s="85">
        <f t="shared" si="259"/>
        <v>1000</v>
      </c>
      <c r="Y2337" s="85">
        <f>STATS1003B!Y2343/1000</f>
        <v>0</v>
      </c>
      <c r="Z2337" s="85">
        <f t="shared" si="260"/>
        <v>0</v>
      </c>
      <c r="AA2337" s="69">
        <f>STATS1003B!AA2343/1000</f>
        <v>1000</v>
      </c>
      <c r="AB2337" s="69">
        <f>STATS1003B!AB2343/1000</f>
        <v>0</v>
      </c>
    </row>
    <row r="2338" spans="1:28" hidden="1" x14ac:dyDescent="0.3">
      <c r="A2338" s="117"/>
      <c r="C2338" s="68" t="s">
        <v>550</v>
      </c>
      <c r="E2338" s="85">
        <f>STATS1003B!E2344/1000</f>
        <v>264.67700000000002</v>
      </c>
      <c r="F2338" s="85">
        <f>STATS1003B!F2344/1000</f>
        <v>264.67700000000002</v>
      </c>
      <c r="G2338" s="85">
        <f>STATS1003B!G2344/1000</f>
        <v>0</v>
      </c>
      <c r="H2338" s="85">
        <f>STATS1003B!H2344/1000</f>
        <v>264.67700000000002</v>
      </c>
      <c r="I2338" s="85">
        <f>STATS1003B!I2344/1000</f>
        <v>0</v>
      </c>
      <c r="J2338" s="85">
        <f>STATS1003B!J2344/1000</f>
        <v>264.67700000000002</v>
      </c>
      <c r="K2338" s="85">
        <f>STATS1003B!K2344/1000</f>
        <v>0</v>
      </c>
      <c r="L2338" s="85">
        <f>STATS1003B!L2344/1000</f>
        <v>0</v>
      </c>
      <c r="M2338" s="85">
        <f>STATS1003B!M2344/1000</f>
        <v>264.67700000000002</v>
      </c>
      <c r="N2338" s="85">
        <f>STATS1003B!N2344/1000</f>
        <v>0</v>
      </c>
      <c r="O2338" s="85">
        <f>STATS1003B!O2344/1000</f>
        <v>0</v>
      </c>
      <c r="P2338" s="85">
        <f>STATS1003B!P2344/1000</f>
        <v>0</v>
      </c>
      <c r="Q2338" s="85">
        <f>STATS1003B!Q2344/1000</f>
        <v>264.67700000000002</v>
      </c>
      <c r="R2338" s="85">
        <f>STATS1003B!R2344/1000</f>
        <v>0</v>
      </c>
      <c r="S2338" s="85">
        <f>STATS1003B!S2344/1000</f>
        <v>0</v>
      </c>
      <c r="T2338" s="85">
        <f>STATS1003B!T2344/1000</f>
        <v>0</v>
      </c>
      <c r="U2338" s="85">
        <f>STATS1003B!U2344/1000</f>
        <v>0</v>
      </c>
      <c r="V2338" s="85">
        <f>STATS1003B!V2344/1000</f>
        <v>0</v>
      </c>
      <c r="W2338" s="85">
        <f>STATS1003B!W2344/1000</f>
        <v>0</v>
      </c>
      <c r="X2338" s="85">
        <f t="shared" si="259"/>
        <v>264.67700000000002</v>
      </c>
      <c r="Y2338" s="85">
        <f>STATS1003B!Y2344/1000</f>
        <v>0</v>
      </c>
      <c r="Z2338" s="85">
        <f t="shared" si="260"/>
        <v>0</v>
      </c>
      <c r="AA2338" s="69">
        <f>STATS1003B!AA2344/1000</f>
        <v>264.67700000000002</v>
      </c>
      <c r="AB2338" s="69">
        <f>STATS1003B!AB2344/1000</f>
        <v>0</v>
      </c>
    </row>
    <row r="2339" spans="1:28" hidden="1" x14ac:dyDescent="0.3">
      <c r="A2339" s="117"/>
      <c r="C2339" s="68" t="s">
        <v>606</v>
      </c>
      <c r="E2339" s="85">
        <f>STATS1003B!E2345/1000</f>
        <v>2500</v>
      </c>
      <c r="F2339" s="85">
        <f>STATS1003B!F2345/1000</f>
        <v>2500</v>
      </c>
      <c r="G2339" s="85">
        <f>STATS1003B!G2345/1000</f>
        <v>0</v>
      </c>
      <c r="H2339" s="85">
        <f>STATS1003B!H2345/1000</f>
        <v>2500</v>
      </c>
      <c r="I2339" s="85">
        <f>STATS1003B!I2345/1000</f>
        <v>0</v>
      </c>
      <c r="J2339" s="85">
        <f>STATS1003B!J2345/1000</f>
        <v>2500</v>
      </c>
      <c r="K2339" s="85">
        <f>STATS1003B!K2345/1000</f>
        <v>0</v>
      </c>
      <c r="L2339" s="85">
        <f>STATS1003B!L2345/1000</f>
        <v>0</v>
      </c>
      <c r="M2339" s="85">
        <f>STATS1003B!M2345/1000</f>
        <v>2500</v>
      </c>
      <c r="N2339" s="85">
        <f>STATS1003B!N2345/1000</f>
        <v>0</v>
      </c>
      <c r="O2339" s="85">
        <f>STATS1003B!O2345/1000</f>
        <v>0</v>
      </c>
      <c r="P2339" s="85">
        <f>STATS1003B!P2345/1000</f>
        <v>0</v>
      </c>
      <c r="Q2339" s="85">
        <f>STATS1003B!Q2345/1000</f>
        <v>2500</v>
      </c>
      <c r="R2339" s="85">
        <f>STATS1003B!R2345/1000</f>
        <v>0</v>
      </c>
      <c r="S2339" s="85">
        <f>STATS1003B!S2345/1000</f>
        <v>0</v>
      </c>
      <c r="T2339" s="85">
        <f>STATS1003B!T2345/1000</f>
        <v>0</v>
      </c>
      <c r="U2339" s="85">
        <f>STATS1003B!U2345/1000</f>
        <v>0</v>
      </c>
      <c r="V2339" s="85">
        <f>STATS1003B!V2345/1000</f>
        <v>0</v>
      </c>
      <c r="W2339" s="85">
        <f>STATS1003B!W2345/1000</f>
        <v>0</v>
      </c>
      <c r="X2339" s="85">
        <f t="shared" si="259"/>
        <v>2500</v>
      </c>
      <c r="Y2339" s="85">
        <f>STATS1003B!Y2345/1000</f>
        <v>0</v>
      </c>
      <c r="Z2339" s="85">
        <f t="shared" si="260"/>
        <v>0</v>
      </c>
      <c r="AA2339" s="69">
        <f>STATS1003B!AA2345/1000</f>
        <v>2500</v>
      </c>
      <c r="AB2339" s="69">
        <f>STATS1003B!AB2345/1000</f>
        <v>0</v>
      </c>
    </row>
    <row r="2340" spans="1:28" hidden="1" x14ac:dyDescent="0.3">
      <c r="A2340" s="117"/>
      <c r="E2340" s="86" t="s">
        <v>29</v>
      </c>
      <c r="F2340" s="86" t="s">
        <v>29</v>
      </c>
      <c r="G2340" s="86" t="s">
        <v>29</v>
      </c>
      <c r="H2340" s="86" t="s">
        <v>29</v>
      </c>
      <c r="I2340" s="86" t="s">
        <v>29</v>
      </c>
      <c r="J2340" s="86" t="s">
        <v>29</v>
      </c>
      <c r="K2340" s="86" t="s">
        <v>29</v>
      </c>
      <c r="L2340" s="86" t="s">
        <v>29</v>
      </c>
      <c r="M2340" s="86" t="s">
        <v>29</v>
      </c>
      <c r="N2340" s="86" t="s">
        <v>29</v>
      </c>
      <c r="O2340" s="86" t="s">
        <v>29</v>
      </c>
      <c r="P2340" s="86" t="s">
        <v>29</v>
      </c>
      <c r="Q2340" s="86" t="s">
        <v>29</v>
      </c>
      <c r="R2340" s="86" t="s">
        <v>29</v>
      </c>
      <c r="S2340" s="86" t="s">
        <v>29</v>
      </c>
      <c r="T2340" s="86" t="s">
        <v>29</v>
      </c>
      <c r="U2340" s="86" t="s">
        <v>29</v>
      </c>
      <c r="V2340" s="86" t="s">
        <v>29</v>
      </c>
      <c r="W2340" s="86" t="s">
        <v>29</v>
      </c>
      <c r="X2340" s="85" t="e">
        <f t="shared" si="259"/>
        <v>#VALUE!</v>
      </c>
      <c r="Y2340" s="86" t="s">
        <v>29</v>
      </c>
      <c r="Z2340" s="85" t="e">
        <f t="shared" si="260"/>
        <v>#VALUE!</v>
      </c>
      <c r="AA2340" s="115" t="s">
        <v>29</v>
      </c>
      <c r="AB2340" s="115" t="s">
        <v>29</v>
      </c>
    </row>
    <row r="2341" spans="1:28" x14ac:dyDescent="0.3">
      <c r="A2341" s="116">
        <v>101</v>
      </c>
      <c r="B2341" s="68" t="s">
        <v>841</v>
      </c>
      <c r="E2341" s="85">
        <f>70142968.75/1000</f>
        <v>70142.96875</v>
      </c>
      <c r="F2341" s="85">
        <f t="shared" ref="F2341:Q2341" si="261">SUM(F2321:F2340)</f>
        <v>40103.19458000001</v>
      </c>
      <c r="G2341" s="85">
        <f t="shared" si="261"/>
        <v>0</v>
      </c>
      <c r="H2341" s="85">
        <f>69564012.95/1000</f>
        <v>69564.012950000004</v>
      </c>
      <c r="I2341" s="85">
        <f t="shared" si="261"/>
        <v>0</v>
      </c>
      <c r="J2341" s="85">
        <f t="shared" si="261"/>
        <v>38691.33183000001</v>
      </c>
      <c r="K2341" s="85">
        <f t="shared" si="261"/>
        <v>578.95580000000007</v>
      </c>
      <c r="L2341" s="85">
        <f t="shared" si="261"/>
        <v>0</v>
      </c>
      <c r="M2341" s="85">
        <f t="shared" si="261"/>
        <v>40103.19458000001</v>
      </c>
      <c r="N2341" s="85">
        <f t="shared" si="261"/>
        <v>578.95580000000007</v>
      </c>
      <c r="O2341" s="85">
        <f t="shared" si="261"/>
        <v>0</v>
      </c>
      <c r="P2341" s="85">
        <f>578955/1000</f>
        <v>578.95500000000004</v>
      </c>
      <c r="Q2341" s="85">
        <f t="shared" si="261"/>
        <v>40103.194580000003</v>
      </c>
      <c r="R2341" s="84"/>
      <c r="S2341" s="84"/>
      <c r="T2341" s="85">
        <f t="shared" ref="T2341:Y2341" si="262">SUM(T2321:T2340)</f>
        <v>0</v>
      </c>
      <c r="U2341" s="85">
        <f t="shared" si="262"/>
        <v>578.95580000000007</v>
      </c>
      <c r="V2341" s="85">
        <f t="shared" si="262"/>
        <v>0</v>
      </c>
      <c r="W2341" s="85">
        <f t="shared" si="262"/>
        <v>0</v>
      </c>
      <c r="X2341" s="85">
        <f>+H2341+P2341</f>
        <v>70142.967950000006</v>
      </c>
      <c r="Y2341" s="85">
        <f t="shared" si="262"/>
        <v>0</v>
      </c>
      <c r="Z2341" s="85">
        <f t="shared" si="260"/>
        <v>7.9999999434221536E-4</v>
      </c>
      <c r="AA2341" s="69">
        <f>SUM(AA2321:AA2340)</f>
        <v>40682.150380000006</v>
      </c>
      <c r="AB2341" s="69">
        <f>SUM(AB2321:AB2340)</f>
        <v>4.6384229790419337E-14</v>
      </c>
    </row>
    <row r="2342" spans="1:28" hidden="1" x14ac:dyDescent="0.3">
      <c r="A2342" s="117"/>
      <c r="E2342" s="86" t="s">
        <v>29</v>
      </c>
      <c r="F2342" s="86" t="s">
        <v>29</v>
      </c>
      <c r="G2342" s="86" t="s">
        <v>29</v>
      </c>
      <c r="H2342" s="86" t="s">
        <v>29</v>
      </c>
      <c r="I2342" s="86" t="s">
        <v>29</v>
      </c>
      <c r="J2342" s="86" t="s">
        <v>29</v>
      </c>
      <c r="K2342" s="86" t="s">
        <v>29</v>
      </c>
      <c r="L2342" s="86" t="s">
        <v>29</v>
      </c>
      <c r="M2342" s="86" t="s">
        <v>29</v>
      </c>
      <c r="N2342" s="86" t="s">
        <v>29</v>
      </c>
      <c r="O2342" s="86" t="s">
        <v>29</v>
      </c>
      <c r="P2342" s="86" t="s">
        <v>29</v>
      </c>
      <c r="Q2342" s="86" t="s">
        <v>29</v>
      </c>
      <c r="R2342" s="86" t="s">
        <v>29</v>
      </c>
      <c r="S2342" s="86" t="s">
        <v>29</v>
      </c>
      <c r="T2342" s="86" t="s">
        <v>29</v>
      </c>
      <c r="U2342" s="86" t="s">
        <v>29</v>
      </c>
      <c r="V2342" s="86" t="s">
        <v>29</v>
      </c>
      <c r="W2342" s="86" t="s">
        <v>29</v>
      </c>
      <c r="X2342" s="85" t="e">
        <f t="shared" si="259"/>
        <v>#VALUE!</v>
      </c>
      <c r="Y2342" s="86" t="s">
        <v>29</v>
      </c>
      <c r="Z2342" s="85" t="e">
        <f t="shared" si="260"/>
        <v>#VALUE!</v>
      </c>
      <c r="AA2342" s="115" t="s">
        <v>29</v>
      </c>
      <c r="AB2342" s="115" t="s">
        <v>29</v>
      </c>
    </row>
    <row r="2343" spans="1:28" hidden="1" x14ac:dyDescent="0.3">
      <c r="A2343" s="105"/>
      <c r="E2343" s="84"/>
      <c r="F2343" s="84"/>
      <c r="G2343" s="84"/>
      <c r="H2343" s="84"/>
      <c r="I2343" s="84"/>
      <c r="J2343" s="84"/>
      <c r="K2343" s="84"/>
      <c r="L2343" s="84"/>
      <c r="M2343" s="84"/>
      <c r="N2343" s="84"/>
      <c r="O2343" s="84"/>
      <c r="P2343" s="84"/>
      <c r="Q2343" s="84"/>
      <c r="R2343" s="84"/>
      <c r="S2343" s="84"/>
      <c r="T2343" s="84"/>
      <c r="U2343" s="84"/>
      <c r="V2343" s="84"/>
      <c r="W2343" s="84"/>
      <c r="X2343" s="85">
        <f t="shared" si="259"/>
        <v>0</v>
      </c>
      <c r="Y2343" s="84"/>
      <c r="Z2343" s="85">
        <f t="shared" si="260"/>
        <v>0</v>
      </c>
    </row>
    <row r="2344" spans="1:28" hidden="1" x14ac:dyDescent="0.3">
      <c r="A2344" s="117"/>
      <c r="C2344" s="68" t="s">
        <v>535</v>
      </c>
      <c r="D2344" s="87" t="s">
        <v>68</v>
      </c>
      <c r="E2344" s="85">
        <f>STATS1003B!E2350/1000</f>
        <v>1116.3138700000002</v>
      </c>
      <c r="F2344" s="85">
        <f>STATS1003B!F2350/1000</f>
        <v>990.60398999999995</v>
      </c>
      <c r="G2344" s="85">
        <f>STATS1003B!G2350/1000</f>
        <v>0</v>
      </c>
      <c r="H2344" s="85">
        <f>STATS1003B!H2350/1000</f>
        <v>990.60398999999995</v>
      </c>
      <c r="I2344" s="85">
        <f>STATS1003B!I2350/1000</f>
        <v>0</v>
      </c>
      <c r="J2344" s="85">
        <f>STATS1003B!J2350/1000</f>
        <v>990.60398999999995</v>
      </c>
      <c r="K2344" s="85">
        <f>STATS1003B!K2350/1000</f>
        <v>125.70988</v>
      </c>
      <c r="L2344" s="85">
        <f>STATS1003B!L2350/1000</f>
        <v>0</v>
      </c>
      <c r="M2344" s="85">
        <f>STATS1003B!M2350/1000</f>
        <v>990.60398999999995</v>
      </c>
      <c r="N2344" s="85">
        <f>STATS1003B!N2350/1000</f>
        <v>125.70988</v>
      </c>
      <c r="O2344" s="85">
        <f>STATS1003B!O2350/1000</f>
        <v>0</v>
      </c>
      <c r="P2344" s="85">
        <f>STATS1003B!P2350/1000</f>
        <v>125.70988</v>
      </c>
      <c r="Q2344" s="85">
        <f>STATS1003B!Q2350/1000</f>
        <v>990.60399000000007</v>
      </c>
      <c r="R2344" s="85">
        <f>STATS1003B!R2350/1000</f>
        <v>0</v>
      </c>
      <c r="S2344" s="85">
        <f>STATS1003B!S2350/1000</f>
        <v>0</v>
      </c>
      <c r="T2344" s="85">
        <f>STATS1003B!T2350/1000</f>
        <v>0</v>
      </c>
      <c r="U2344" s="85">
        <f>STATS1003B!U2350/1000</f>
        <v>125.70988</v>
      </c>
      <c r="V2344" s="85">
        <f>STATS1003B!V2350/1000</f>
        <v>0</v>
      </c>
      <c r="W2344" s="85">
        <f>STATS1003B!W2350/1000</f>
        <v>0</v>
      </c>
      <c r="X2344" s="85">
        <f t="shared" si="259"/>
        <v>1116.31387</v>
      </c>
      <c r="Y2344" s="85">
        <f>STATS1003B!Y2350/1000</f>
        <v>0</v>
      </c>
      <c r="Z2344" s="85">
        <f t="shared" si="260"/>
        <v>0</v>
      </c>
      <c r="AA2344" s="69">
        <f>STATS1003B!AA2350/1000</f>
        <v>1116.3138700000002</v>
      </c>
      <c r="AB2344" s="69">
        <f>STATS1003B!AB2350/1000</f>
        <v>0</v>
      </c>
    </row>
    <row r="2345" spans="1:28" hidden="1" x14ac:dyDescent="0.3">
      <c r="A2345" s="117"/>
      <c r="C2345" s="68" t="s">
        <v>535</v>
      </c>
      <c r="D2345" s="87" t="s">
        <v>54</v>
      </c>
      <c r="E2345" s="85">
        <f>STATS1003B!E2351/1000</f>
        <v>1584.8522700000001</v>
      </c>
      <c r="F2345" s="85">
        <f>STATS1003B!F2351/1000</f>
        <v>1584.8522700000001</v>
      </c>
      <c r="G2345" s="85">
        <f>STATS1003B!G2351/1000</f>
        <v>0</v>
      </c>
      <c r="H2345" s="85">
        <f>STATS1003B!H2351/1000</f>
        <v>1584.8522700000001</v>
      </c>
      <c r="I2345" s="85">
        <f>STATS1003B!I2351/1000</f>
        <v>0</v>
      </c>
      <c r="J2345" s="85">
        <f>STATS1003B!J2351/1000</f>
        <v>1584.8522700000001</v>
      </c>
      <c r="K2345" s="85">
        <f>STATS1003B!K2351/1000</f>
        <v>0</v>
      </c>
      <c r="L2345" s="85">
        <f>STATS1003B!L2351/1000</f>
        <v>0</v>
      </c>
      <c r="M2345" s="85">
        <f>STATS1003B!M2351/1000</f>
        <v>1584.8522700000001</v>
      </c>
      <c r="N2345" s="85">
        <f>STATS1003B!N2351/1000</f>
        <v>0</v>
      </c>
      <c r="O2345" s="85">
        <f>STATS1003B!O2351/1000</f>
        <v>0</v>
      </c>
      <c r="P2345" s="85">
        <f>STATS1003B!P2351/1000</f>
        <v>0</v>
      </c>
      <c r="Q2345" s="85">
        <f>STATS1003B!Q2351/1000</f>
        <v>1584.8522700000001</v>
      </c>
      <c r="R2345" s="85">
        <f>STATS1003B!R2351/1000</f>
        <v>0</v>
      </c>
      <c r="S2345" s="85">
        <f>STATS1003B!S2351/1000</f>
        <v>0</v>
      </c>
      <c r="T2345" s="85">
        <f>STATS1003B!T2351/1000</f>
        <v>0</v>
      </c>
      <c r="U2345" s="85">
        <f>STATS1003B!U2351/1000</f>
        <v>0</v>
      </c>
      <c r="V2345" s="85">
        <f>STATS1003B!V2351/1000</f>
        <v>0</v>
      </c>
      <c r="W2345" s="85">
        <f>STATS1003B!W2351/1000</f>
        <v>0</v>
      </c>
      <c r="X2345" s="85">
        <f t="shared" si="259"/>
        <v>1584.8522700000001</v>
      </c>
      <c r="Y2345" s="85">
        <f>STATS1003B!Y2351/1000</f>
        <v>0</v>
      </c>
      <c r="Z2345" s="85">
        <f t="shared" si="260"/>
        <v>0</v>
      </c>
      <c r="AA2345" s="69">
        <f>STATS1003B!AA2351/1000</f>
        <v>1584.8522700000001</v>
      </c>
      <c r="AB2345" s="69">
        <f>STATS1003B!AB2351/1000</f>
        <v>0</v>
      </c>
    </row>
    <row r="2346" spans="1:28" hidden="1" x14ac:dyDescent="0.3">
      <c r="A2346" s="117"/>
      <c r="C2346" s="68" t="s">
        <v>545</v>
      </c>
      <c r="D2346" s="87" t="s">
        <v>54</v>
      </c>
      <c r="E2346" s="85">
        <f>STATS1003B!E2352/1000</f>
        <v>1767.77</v>
      </c>
      <c r="F2346" s="85">
        <f>STATS1003B!F2352/1000</f>
        <v>0</v>
      </c>
      <c r="G2346" s="85">
        <f>STATS1003B!G2352/1000</f>
        <v>0</v>
      </c>
      <c r="H2346" s="85">
        <f>STATS1003B!H2352/1000</f>
        <v>0</v>
      </c>
      <c r="I2346" s="85">
        <f>STATS1003B!I2352/1000</f>
        <v>0</v>
      </c>
      <c r="J2346" s="85">
        <f>STATS1003B!J2352/1000</f>
        <v>0</v>
      </c>
      <c r="K2346" s="85">
        <f>STATS1003B!K2352/1000</f>
        <v>1767.77</v>
      </c>
      <c r="L2346" s="85">
        <f>STATS1003B!L2352/1000</f>
        <v>0</v>
      </c>
      <c r="M2346" s="85">
        <f>STATS1003B!M2352/1000</f>
        <v>0</v>
      </c>
      <c r="N2346" s="85">
        <f>STATS1003B!N2352/1000</f>
        <v>1767.77</v>
      </c>
      <c r="O2346" s="85">
        <f>STATS1003B!O2352/1000</f>
        <v>0</v>
      </c>
      <c r="P2346" s="85">
        <f>STATS1003B!P2352/1000</f>
        <v>1767.77</v>
      </c>
      <c r="Q2346" s="85">
        <f>STATS1003B!Q2352/1000</f>
        <v>0</v>
      </c>
      <c r="R2346" s="85">
        <f>STATS1003B!R2352/1000</f>
        <v>0</v>
      </c>
      <c r="S2346" s="85">
        <f>STATS1003B!S2352/1000</f>
        <v>0</v>
      </c>
      <c r="T2346" s="85">
        <f>STATS1003B!T2352/1000</f>
        <v>0</v>
      </c>
      <c r="U2346" s="85">
        <f>STATS1003B!U2352/1000</f>
        <v>1767.77</v>
      </c>
      <c r="V2346" s="85">
        <f>STATS1003B!V2352/1000</f>
        <v>0</v>
      </c>
      <c r="W2346" s="85">
        <f>STATS1003B!W2352/1000</f>
        <v>0</v>
      </c>
      <c r="X2346" s="85">
        <f t="shared" si="259"/>
        <v>1767.77</v>
      </c>
      <c r="Y2346" s="85">
        <f>STATS1003B!Y2352/1000</f>
        <v>0</v>
      </c>
      <c r="Z2346" s="85">
        <f t="shared" si="260"/>
        <v>0</v>
      </c>
      <c r="AA2346" s="69">
        <f>STATS1003B!AA2352/1000</f>
        <v>1767.77</v>
      </c>
      <c r="AB2346" s="69">
        <f>STATS1003B!AB2352/1000</f>
        <v>0</v>
      </c>
    </row>
    <row r="2347" spans="1:28" hidden="1" x14ac:dyDescent="0.3">
      <c r="A2347" s="117"/>
      <c r="C2347" s="68" t="s">
        <v>655</v>
      </c>
      <c r="D2347" s="87" t="s">
        <v>54</v>
      </c>
      <c r="E2347" s="85">
        <f>STATS1003B!E2353/1000</f>
        <v>955.34561999999994</v>
      </c>
      <c r="F2347" s="85">
        <f>STATS1003B!F2353/1000</f>
        <v>0</v>
      </c>
      <c r="G2347" s="85">
        <f>STATS1003B!G2353/1000</f>
        <v>0</v>
      </c>
      <c r="H2347" s="85">
        <f>STATS1003B!H2353/1000</f>
        <v>0</v>
      </c>
      <c r="I2347" s="85">
        <f>STATS1003B!I2353/1000</f>
        <v>0</v>
      </c>
      <c r="J2347" s="85">
        <f>STATS1003B!J2353/1000</f>
        <v>0</v>
      </c>
      <c r="K2347" s="85">
        <f>STATS1003B!K2353/1000</f>
        <v>955.34561999999994</v>
      </c>
      <c r="L2347" s="85">
        <f>STATS1003B!L2353/1000</f>
        <v>0</v>
      </c>
      <c r="M2347" s="85">
        <f>STATS1003B!M2353/1000</f>
        <v>0</v>
      </c>
      <c r="N2347" s="85">
        <f>STATS1003B!N2353/1000</f>
        <v>955.34561999999994</v>
      </c>
      <c r="O2347" s="85">
        <f>STATS1003B!O2353/1000</f>
        <v>0</v>
      </c>
      <c r="P2347" s="85">
        <f>STATS1003B!P2353/1000</f>
        <v>955.34561999999994</v>
      </c>
      <c r="Q2347" s="85">
        <f>STATS1003B!Q2353/1000</f>
        <v>0</v>
      </c>
      <c r="R2347" s="85">
        <f>STATS1003B!R2353/1000</f>
        <v>0</v>
      </c>
      <c r="S2347" s="85">
        <f>STATS1003B!S2353/1000</f>
        <v>0</v>
      </c>
      <c r="T2347" s="85">
        <f>STATS1003B!T2353/1000</f>
        <v>0</v>
      </c>
      <c r="U2347" s="85">
        <f>STATS1003B!U2353/1000</f>
        <v>955.34561999999994</v>
      </c>
      <c r="V2347" s="85">
        <f>STATS1003B!V2353/1000</f>
        <v>0</v>
      </c>
      <c r="W2347" s="85">
        <f>STATS1003B!W2353/1000</f>
        <v>0</v>
      </c>
      <c r="X2347" s="85">
        <f t="shared" si="259"/>
        <v>955.34561999999994</v>
      </c>
      <c r="Y2347" s="85">
        <f>STATS1003B!Y2353/1000</f>
        <v>0</v>
      </c>
      <c r="Z2347" s="85">
        <f t="shared" si="260"/>
        <v>0</v>
      </c>
      <c r="AA2347" s="69">
        <f>STATS1003B!AA2353/1000</f>
        <v>955.34561999999994</v>
      </c>
      <c r="AB2347" s="69">
        <f>STATS1003B!AB2353/1000</f>
        <v>0</v>
      </c>
    </row>
    <row r="2348" spans="1:28" hidden="1" x14ac:dyDescent="0.3">
      <c r="A2348" s="117"/>
      <c r="C2348" s="68" t="s">
        <v>535</v>
      </c>
      <c r="D2348" s="87" t="s">
        <v>85</v>
      </c>
      <c r="E2348" s="85">
        <f>STATS1003B!E2354/1000</f>
        <v>2787.3</v>
      </c>
      <c r="F2348" s="85">
        <f>STATS1003B!F2354/1000</f>
        <v>2787.3</v>
      </c>
      <c r="G2348" s="85">
        <f>STATS1003B!G2354/1000</f>
        <v>0</v>
      </c>
      <c r="H2348" s="85">
        <f>STATS1003B!H2354/1000</f>
        <v>2787.3</v>
      </c>
      <c r="I2348" s="85">
        <f>STATS1003B!I2354/1000</f>
        <v>0</v>
      </c>
      <c r="J2348" s="85">
        <f>STATS1003B!J2354/1000</f>
        <v>2787.3</v>
      </c>
      <c r="K2348" s="85">
        <f>STATS1003B!K2354/1000</f>
        <v>0</v>
      </c>
      <c r="L2348" s="85">
        <f>STATS1003B!L2354/1000</f>
        <v>0</v>
      </c>
      <c r="M2348" s="85">
        <f>STATS1003B!M2354/1000</f>
        <v>2787.3</v>
      </c>
      <c r="N2348" s="85">
        <f>STATS1003B!N2354/1000</f>
        <v>0</v>
      </c>
      <c r="O2348" s="85">
        <f>STATS1003B!O2354/1000</f>
        <v>0</v>
      </c>
      <c r="P2348" s="85">
        <f>STATS1003B!P2354/1000</f>
        <v>0</v>
      </c>
      <c r="Q2348" s="85">
        <f>STATS1003B!Q2354/1000</f>
        <v>2787.3</v>
      </c>
      <c r="R2348" s="85">
        <f>STATS1003B!R2354/1000</f>
        <v>0</v>
      </c>
      <c r="S2348" s="85">
        <f>STATS1003B!S2354/1000</f>
        <v>0</v>
      </c>
      <c r="T2348" s="85">
        <f>STATS1003B!T2354/1000</f>
        <v>0</v>
      </c>
      <c r="U2348" s="85">
        <f>STATS1003B!U2354/1000</f>
        <v>0</v>
      </c>
      <c r="V2348" s="85">
        <f>STATS1003B!V2354/1000</f>
        <v>0</v>
      </c>
      <c r="W2348" s="85">
        <f>STATS1003B!W2354/1000</f>
        <v>0</v>
      </c>
      <c r="X2348" s="85">
        <f t="shared" si="259"/>
        <v>2787.3</v>
      </c>
      <c r="Y2348" s="85">
        <f>STATS1003B!Y2354/1000</f>
        <v>0</v>
      </c>
      <c r="Z2348" s="85">
        <f t="shared" si="260"/>
        <v>0</v>
      </c>
      <c r="AA2348" s="69">
        <f>STATS1003B!AA2354/1000</f>
        <v>2787.3</v>
      </c>
      <c r="AB2348" s="69">
        <f>STATS1003B!AB2354/1000</f>
        <v>0</v>
      </c>
    </row>
    <row r="2349" spans="1:28" hidden="1" x14ac:dyDescent="0.3">
      <c r="A2349" s="117"/>
      <c r="C2349" s="68" t="s">
        <v>667</v>
      </c>
      <c r="D2349" s="87" t="s">
        <v>85</v>
      </c>
      <c r="E2349" s="85">
        <f>STATS1003B!E2355/1000</f>
        <v>80</v>
      </c>
      <c r="F2349" s="85">
        <f>STATS1003B!F2355/1000</f>
        <v>0</v>
      </c>
      <c r="G2349" s="85">
        <f>STATS1003B!G2355/1000</f>
        <v>0</v>
      </c>
      <c r="H2349" s="85">
        <f>STATS1003B!H2355/1000</f>
        <v>0</v>
      </c>
      <c r="I2349" s="85">
        <f>STATS1003B!I2355/1000</f>
        <v>0</v>
      </c>
      <c r="J2349" s="85">
        <f>STATS1003B!J2355/1000</f>
        <v>0</v>
      </c>
      <c r="K2349" s="85">
        <f>STATS1003B!K2355/1000</f>
        <v>0</v>
      </c>
      <c r="L2349" s="85">
        <f>STATS1003B!L2355/1000</f>
        <v>0</v>
      </c>
      <c r="M2349" s="85">
        <f>STATS1003B!M2355/1000</f>
        <v>0</v>
      </c>
      <c r="N2349" s="85">
        <f>STATS1003B!N2355/1000</f>
        <v>0</v>
      </c>
      <c r="O2349" s="85">
        <f>STATS1003B!O2355/1000</f>
        <v>0</v>
      </c>
      <c r="P2349" s="85">
        <f>STATS1003B!P2355/1000</f>
        <v>0</v>
      </c>
      <c r="Q2349" s="85">
        <f>STATS1003B!Q2355/1000</f>
        <v>80</v>
      </c>
      <c r="R2349" s="85">
        <f>STATS1003B!R2355/1000</f>
        <v>0</v>
      </c>
      <c r="S2349" s="85">
        <f>STATS1003B!S2355/1000</f>
        <v>0</v>
      </c>
      <c r="T2349" s="85">
        <f>STATS1003B!T2355/1000</f>
        <v>0</v>
      </c>
      <c r="U2349" s="85">
        <f>STATS1003B!U2355/1000</f>
        <v>0</v>
      </c>
      <c r="V2349" s="85">
        <f>STATS1003B!V2355/1000</f>
        <v>0</v>
      </c>
      <c r="W2349" s="85">
        <f>STATS1003B!W2355/1000</f>
        <v>0</v>
      </c>
      <c r="X2349" s="85">
        <f t="shared" si="259"/>
        <v>0</v>
      </c>
      <c r="Y2349" s="85">
        <f>STATS1003B!Y2355/1000</f>
        <v>0</v>
      </c>
      <c r="Z2349" s="85">
        <f t="shared" si="260"/>
        <v>80</v>
      </c>
      <c r="AA2349" s="69">
        <f>STATS1003B!AA2355/1000</f>
        <v>0</v>
      </c>
      <c r="AB2349" s="69">
        <f>STATS1003B!AB2355/1000</f>
        <v>80</v>
      </c>
    </row>
    <row r="2350" spans="1:28" hidden="1" x14ac:dyDescent="0.3">
      <c r="A2350" s="117"/>
      <c r="C2350" s="68" t="s">
        <v>535</v>
      </c>
      <c r="D2350" s="87" t="s">
        <v>128</v>
      </c>
      <c r="E2350" s="85">
        <f>STATS1003B!E2356/1000</f>
        <v>1800</v>
      </c>
      <c r="F2350" s="85">
        <f>STATS1003B!F2356/1000</f>
        <v>1800</v>
      </c>
      <c r="G2350" s="85">
        <f>STATS1003B!G2356/1000</f>
        <v>0</v>
      </c>
      <c r="H2350" s="85">
        <f>STATS1003B!H2356/1000</f>
        <v>1800</v>
      </c>
      <c r="I2350" s="85">
        <f>STATS1003B!I2356/1000</f>
        <v>0</v>
      </c>
      <c r="J2350" s="85">
        <f>STATS1003B!J2356/1000</f>
        <v>1800</v>
      </c>
      <c r="K2350" s="85">
        <f>STATS1003B!K2356/1000</f>
        <v>0</v>
      </c>
      <c r="L2350" s="85">
        <f>STATS1003B!L2356/1000</f>
        <v>0</v>
      </c>
      <c r="M2350" s="85">
        <f>STATS1003B!M2356/1000</f>
        <v>1800</v>
      </c>
      <c r="N2350" s="85">
        <f>STATS1003B!N2356/1000</f>
        <v>0</v>
      </c>
      <c r="O2350" s="85">
        <f>STATS1003B!O2356/1000</f>
        <v>0</v>
      </c>
      <c r="P2350" s="85">
        <f>STATS1003B!P2356/1000</f>
        <v>0</v>
      </c>
      <c r="Q2350" s="85">
        <f>STATS1003B!Q2356/1000</f>
        <v>1800</v>
      </c>
      <c r="R2350" s="85">
        <f>STATS1003B!R2356/1000</f>
        <v>0</v>
      </c>
      <c r="S2350" s="85">
        <f>STATS1003B!S2356/1000</f>
        <v>0</v>
      </c>
      <c r="T2350" s="85">
        <f>STATS1003B!T2356/1000</f>
        <v>0</v>
      </c>
      <c r="U2350" s="85">
        <f>STATS1003B!U2356/1000</f>
        <v>0</v>
      </c>
      <c r="V2350" s="85">
        <f>STATS1003B!V2356/1000</f>
        <v>0</v>
      </c>
      <c r="W2350" s="85">
        <f>STATS1003B!W2356/1000</f>
        <v>0</v>
      </c>
      <c r="X2350" s="85">
        <f t="shared" si="259"/>
        <v>1800</v>
      </c>
      <c r="Y2350" s="85">
        <f>STATS1003B!Y2356/1000</f>
        <v>0</v>
      </c>
      <c r="Z2350" s="85">
        <f t="shared" si="260"/>
        <v>0</v>
      </c>
      <c r="AA2350" s="69">
        <f>STATS1003B!AA2356/1000</f>
        <v>1800</v>
      </c>
      <c r="AB2350" s="69">
        <f>STATS1003B!AB2356/1000</f>
        <v>0</v>
      </c>
    </row>
    <row r="2351" spans="1:28" hidden="1" x14ac:dyDescent="0.3">
      <c r="A2351" s="117"/>
      <c r="C2351" s="68" t="s">
        <v>535</v>
      </c>
      <c r="D2351" s="87" t="s">
        <v>108</v>
      </c>
      <c r="E2351" s="85">
        <f>STATS1003B!E2357/1000</f>
        <v>3300</v>
      </c>
      <c r="F2351" s="85">
        <f>STATS1003B!F2357/1000</f>
        <v>3300</v>
      </c>
      <c r="G2351" s="85">
        <f>STATS1003B!G2357/1000</f>
        <v>0</v>
      </c>
      <c r="H2351" s="85">
        <f>STATS1003B!H2357/1000</f>
        <v>3300</v>
      </c>
      <c r="I2351" s="85">
        <f>STATS1003B!I2357/1000</f>
        <v>0</v>
      </c>
      <c r="J2351" s="85">
        <f>STATS1003B!J2357/1000</f>
        <v>3300</v>
      </c>
      <c r="K2351" s="85">
        <f>STATS1003B!K2357/1000</f>
        <v>0</v>
      </c>
      <c r="L2351" s="85">
        <f>STATS1003B!L2357/1000</f>
        <v>0</v>
      </c>
      <c r="M2351" s="85">
        <f>STATS1003B!M2357/1000</f>
        <v>3300</v>
      </c>
      <c r="N2351" s="85">
        <f>STATS1003B!N2357/1000</f>
        <v>0</v>
      </c>
      <c r="O2351" s="85">
        <f>STATS1003B!O2357/1000</f>
        <v>0</v>
      </c>
      <c r="P2351" s="85">
        <f>STATS1003B!P2357/1000</f>
        <v>0</v>
      </c>
      <c r="Q2351" s="85">
        <f>STATS1003B!Q2357/1000</f>
        <v>3300</v>
      </c>
      <c r="R2351" s="85">
        <f>STATS1003B!R2357/1000</f>
        <v>0</v>
      </c>
      <c r="S2351" s="85">
        <f>STATS1003B!S2357/1000</f>
        <v>0</v>
      </c>
      <c r="T2351" s="85">
        <f>STATS1003B!T2357/1000</f>
        <v>0</v>
      </c>
      <c r="U2351" s="85">
        <f>STATS1003B!U2357/1000</f>
        <v>0</v>
      </c>
      <c r="V2351" s="85">
        <f>STATS1003B!V2357/1000</f>
        <v>0</v>
      </c>
      <c r="W2351" s="85">
        <f>STATS1003B!W2357/1000</f>
        <v>0</v>
      </c>
      <c r="X2351" s="85">
        <f t="shared" si="259"/>
        <v>3300</v>
      </c>
      <c r="Y2351" s="85">
        <f>STATS1003B!Y2357/1000</f>
        <v>0</v>
      </c>
      <c r="Z2351" s="85">
        <f t="shared" si="260"/>
        <v>0</v>
      </c>
      <c r="AA2351" s="69">
        <f>STATS1003B!AA2357/1000</f>
        <v>3300</v>
      </c>
      <c r="AB2351" s="69">
        <f>STATS1003B!AB2357/1000</f>
        <v>0</v>
      </c>
    </row>
    <row r="2352" spans="1:28" hidden="1" x14ac:dyDescent="0.3">
      <c r="A2352" s="117"/>
      <c r="C2352" s="68" t="s">
        <v>535</v>
      </c>
      <c r="D2352" s="87" t="s">
        <v>58</v>
      </c>
      <c r="E2352" s="85">
        <f>STATS1003B!E2358/1000</f>
        <v>4760.0230000000001</v>
      </c>
      <c r="F2352" s="85">
        <f>STATS1003B!F2358/1000</f>
        <v>4760.0230000000001</v>
      </c>
      <c r="G2352" s="85">
        <f>STATS1003B!G2358/1000</f>
        <v>0</v>
      </c>
      <c r="H2352" s="85">
        <f>STATS1003B!H2358/1000</f>
        <v>4760.0230000000001</v>
      </c>
      <c r="I2352" s="85">
        <f>STATS1003B!I2358/1000</f>
        <v>0</v>
      </c>
      <c r="J2352" s="85">
        <f>STATS1003B!J2358/1000</f>
        <v>4760.0230000000001</v>
      </c>
      <c r="K2352" s="85">
        <f>STATS1003B!K2358/1000</f>
        <v>0</v>
      </c>
      <c r="L2352" s="85">
        <f>STATS1003B!L2358/1000</f>
        <v>0</v>
      </c>
      <c r="M2352" s="85">
        <f>STATS1003B!M2358/1000</f>
        <v>4760.0230000000001</v>
      </c>
      <c r="N2352" s="85">
        <f>STATS1003B!N2358/1000</f>
        <v>0</v>
      </c>
      <c r="O2352" s="85">
        <f>STATS1003B!O2358/1000</f>
        <v>0</v>
      </c>
      <c r="P2352" s="85">
        <f>STATS1003B!P2358/1000</f>
        <v>0</v>
      </c>
      <c r="Q2352" s="85">
        <f>STATS1003B!Q2358/1000</f>
        <v>4760.0230000000001</v>
      </c>
      <c r="R2352" s="85">
        <f>STATS1003B!R2358/1000</f>
        <v>0</v>
      </c>
      <c r="S2352" s="85">
        <f>STATS1003B!S2358/1000</f>
        <v>0</v>
      </c>
      <c r="T2352" s="85">
        <f>STATS1003B!T2358/1000</f>
        <v>0</v>
      </c>
      <c r="U2352" s="85">
        <f>STATS1003B!U2358/1000</f>
        <v>0</v>
      </c>
      <c r="V2352" s="85">
        <f>STATS1003B!V2358/1000</f>
        <v>0</v>
      </c>
      <c r="W2352" s="85">
        <f>STATS1003B!W2358/1000</f>
        <v>0</v>
      </c>
      <c r="X2352" s="85">
        <f t="shared" si="259"/>
        <v>4760.0230000000001</v>
      </c>
      <c r="Y2352" s="85">
        <f>STATS1003B!Y2358/1000</f>
        <v>0</v>
      </c>
      <c r="Z2352" s="85">
        <f t="shared" si="260"/>
        <v>0</v>
      </c>
      <c r="AA2352" s="69">
        <f>STATS1003B!AA2358/1000</f>
        <v>4760.0230000000001</v>
      </c>
      <c r="AB2352" s="69">
        <f>STATS1003B!AB2358/1000</f>
        <v>0</v>
      </c>
    </row>
    <row r="2353" spans="1:28" hidden="1" x14ac:dyDescent="0.3">
      <c r="A2353" s="117"/>
      <c r="C2353" s="68" t="s">
        <v>535</v>
      </c>
      <c r="D2353" s="87" t="s">
        <v>60</v>
      </c>
      <c r="E2353" s="85">
        <f>STATS1003B!E2359/1000</f>
        <v>9409.076070000001</v>
      </c>
      <c r="F2353" s="85">
        <f>STATS1003B!F2359/1000</f>
        <v>9409.076070000001</v>
      </c>
      <c r="G2353" s="85">
        <f>STATS1003B!G2359/1000</f>
        <v>0</v>
      </c>
      <c r="H2353" s="85">
        <f>STATS1003B!H2359/1000</f>
        <v>9409.076070000001</v>
      </c>
      <c r="I2353" s="85">
        <f>STATS1003B!I2359/1000</f>
        <v>0</v>
      </c>
      <c r="J2353" s="85">
        <f>STATS1003B!J2359/1000</f>
        <v>9409.076070000001</v>
      </c>
      <c r="K2353" s="85">
        <f>STATS1003B!K2359/1000</f>
        <v>0</v>
      </c>
      <c r="L2353" s="85">
        <f>STATS1003B!L2359/1000</f>
        <v>0</v>
      </c>
      <c r="M2353" s="85">
        <f>STATS1003B!M2359/1000</f>
        <v>9409.076070000001</v>
      </c>
      <c r="N2353" s="85">
        <f>STATS1003B!N2359/1000</f>
        <v>0</v>
      </c>
      <c r="O2353" s="85">
        <f>STATS1003B!O2359/1000</f>
        <v>0</v>
      </c>
      <c r="P2353" s="85">
        <f>STATS1003B!P2359/1000</f>
        <v>0</v>
      </c>
      <c r="Q2353" s="85">
        <f>STATS1003B!Q2359/1000</f>
        <v>9409.076070000001</v>
      </c>
      <c r="R2353" s="85">
        <f>STATS1003B!R2359/1000</f>
        <v>0</v>
      </c>
      <c r="S2353" s="85">
        <f>STATS1003B!S2359/1000</f>
        <v>0</v>
      </c>
      <c r="T2353" s="85">
        <f>STATS1003B!T2359/1000</f>
        <v>0</v>
      </c>
      <c r="U2353" s="85">
        <f>STATS1003B!U2359/1000</f>
        <v>0</v>
      </c>
      <c r="V2353" s="85">
        <f>STATS1003B!V2359/1000</f>
        <v>0</v>
      </c>
      <c r="W2353" s="85">
        <f>STATS1003B!W2359/1000</f>
        <v>0</v>
      </c>
      <c r="X2353" s="85">
        <f t="shared" si="259"/>
        <v>9409.076070000001</v>
      </c>
      <c r="Y2353" s="85">
        <f>STATS1003B!Y2359/1000</f>
        <v>0</v>
      </c>
      <c r="Z2353" s="85">
        <f t="shared" si="260"/>
        <v>0</v>
      </c>
      <c r="AA2353" s="69">
        <f>STATS1003B!AA2359/1000</f>
        <v>9409.076070000001</v>
      </c>
      <c r="AB2353" s="69">
        <f>STATS1003B!AB2359/1000</f>
        <v>0</v>
      </c>
    </row>
    <row r="2354" spans="1:28" hidden="1" x14ac:dyDescent="0.3">
      <c r="A2354" s="117"/>
      <c r="C2354" s="68" t="s">
        <v>535</v>
      </c>
      <c r="D2354" s="87" t="s">
        <v>73</v>
      </c>
      <c r="E2354" s="85">
        <f>STATS1003B!E2360/1000</f>
        <v>6896</v>
      </c>
      <c r="F2354" s="85">
        <f>STATS1003B!F2360/1000</f>
        <v>6896</v>
      </c>
      <c r="G2354" s="85">
        <f>STATS1003B!G2360/1000</f>
        <v>0</v>
      </c>
      <c r="H2354" s="85">
        <f>STATS1003B!H2360/1000</f>
        <v>6896</v>
      </c>
      <c r="I2354" s="85">
        <f>STATS1003B!I2360/1000</f>
        <v>0</v>
      </c>
      <c r="J2354" s="85">
        <f>STATS1003B!J2360/1000</f>
        <v>6896</v>
      </c>
      <c r="K2354" s="85">
        <f>STATS1003B!K2360/1000</f>
        <v>0</v>
      </c>
      <c r="L2354" s="85">
        <f>STATS1003B!L2360/1000</f>
        <v>0</v>
      </c>
      <c r="M2354" s="85">
        <f>STATS1003B!M2360/1000</f>
        <v>6896</v>
      </c>
      <c r="N2354" s="85">
        <f>STATS1003B!N2360/1000</f>
        <v>0</v>
      </c>
      <c r="O2354" s="85">
        <f>STATS1003B!O2360/1000</f>
        <v>0</v>
      </c>
      <c r="P2354" s="85">
        <f>STATS1003B!P2360/1000</f>
        <v>0</v>
      </c>
      <c r="Q2354" s="85">
        <f>STATS1003B!Q2360/1000</f>
        <v>6896</v>
      </c>
      <c r="R2354" s="85">
        <f>STATS1003B!R2360/1000</f>
        <v>0</v>
      </c>
      <c r="S2354" s="85">
        <f>STATS1003B!S2360/1000</f>
        <v>0</v>
      </c>
      <c r="T2354" s="85">
        <f>STATS1003B!T2360/1000</f>
        <v>0</v>
      </c>
      <c r="U2354" s="85">
        <f>STATS1003B!U2360/1000</f>
        <v>0</v>
      </c>
      <c r="V2354" s="85">
        <f>STATS1003B!V2360/1000</f>
        <v>0</v>
      </c>
      <c r="W2354" s="85">
        <f>STATS1003B!W2360/1000</f>
        <v>0</v>
      </c>
      <c r="X2354" s="85">
        <f t="shared" si="259"/>
        <v>6896</v>
      </c>
      <c r="Y2354" s="85">
        <f>STATS1003B!Y2360/1000</f>
        <v>0</v>
      </c>
      <c r="Z2354" s="85">
        <f t="shared" si="260"/>
        <v>0</v>
      </c>
      <c r="AA2354" s="69">
        <f>STATS1003B!AA2360/1000</f>
        <v>6896</v>
      </c>
      <c r="AB2354" s="69">
        <f>STATS1003B!AB2360/1000</f>
        <v>0</v>
      </c>
    </row>
    <row r="2355" spans="1:28" hidden="1" x14ac:dyDescent="0.3">
      <c r="A2355" s="117"/>
      <c r="C2355" s="71" t="s">
        <v>621</v>
      </c>
      <c r="D2355" s="88" t="s">
        <v>73</v>
      </c>
      <c r="E2355" s="85">
        <f>STATS1003B!E2361/1000</f>
        <v>3202.84</v>
      </c>
      <c r="F2355" s="85">
        <f>STATS1003B!F2361/1000</f>
        <v>3202.84</v>
      </c>
      <c r="G2355" s="85">
        <f>STATS1003B!G2361/1000</f>
        <v>0</v>
      </c>
      <c r="H2355" s="85">
        <f>STATS1003B!H2361/1000</f>
        <v>3202.84</v>
      </c>
      <c r="I2355" s="85">
        <f>STATS1003B!I2361/1000</f>
        <v>0</v>
      </c>
      <c r="J2355" s="85">
        <f>STATS1003B!J2361/1000</f>
        <v>3202.84</v>
      </c>
      <c r="K2355" s="85">
        <f>STATS1003B!K2361/1000</f>
        <v>0</v>
      </c>
      <c r="L2355" s="85">
        <f>STATS1003B!L2361/1000</f>
        <v>0</v>
      </c>
      <c r="M2355" s="85">
        <f>STATS1003B!M2361/1000</f>
        <v>3202.84</v>
      </c>
      <c r="N2355" s="85">
        <f>STATS1003B!N2361/1000</f>
        <v>0</v>
      </c>
      <c r="O2355" s="85">
        <f>STATS1003B!O2361/1000</f>
        <v>0</v>
      </c>
      <c r="P2355" s="85">
        <f>STATS1003B!P2361/1000</f>
        <v>0</v>
      </c>
      <c r="Q2355" s="85">
        <f>STATS1003B!Q2361/1000</f>
        <v>3202.84</v>
      </c>
      <c r="R2355" s="85">
        <f>STATS1003B!R2361/1000</f>
        <v>0</v>
      </c>
      <c r="S2355" s="85">
        <f>STATS1003B!S2361/1000</f>
        <v>0</v>
      </c>
      <c r="T2355" s="85">
        <f>STATS1003B!T2361/1000</f>
        <v>0</v>
      </c>
      <c r="U2355" s="85">
        <f>STATS1003B!U2361/1000</f>
        <v>0</v>
      </c>
      <c r="V2355" s="85">
        <f>STATS1003B!V2361/1000</f>
        <v>0</v>
      </c>
      <c r="W2355" s="85">
        <f>STATS1003B!W2361/1000</f>
        <v>0</v>
      </c>
      <c r="X2355" s="85">
        <f t="shared" si="259"/>
        <v>3202.84</v>
      </c>
      <c r="Y2355" s="85">
        <f>STATS1003B!Y2361/1000</f>
        <v>0</v>
      </c>
      <c r="Z2355" s="85">
        <f t="shared" si="260"/>
        <v>0</v>
      </c>
      <c r="AA2355" s="69">
        <f>STATS1003B!AA2361/1000</f>
        <v>3202.84</v>
      </c>
      <c r="AB2355" s="69">
        <f>STATS1003B!AB2361/1000</f>
        <v>0</v>
      </c>
    </row>
    <row r="2356" spans="1:28" hidden="1" x14ac:dyDescent="0.3">
      <c r="A2356" s="117"/>
      <c r="C2356" s="68" t="s">
        <v>535</v>
      </c>
      <c r="D2356" s="87" t="s">
        <v>61</v>
      </c>
      <c r="E2356" s="85">
        <f>STATS1003B!E2362/1000</f>
        <v>7000</v>
      </c>
      <c r="F2356" s="85">
        <f>STATS1003B!F2362/1000</f>
        <v>7000</v>
      </c>
      <c r="G2356" s="85">
        <f>STATS1003B!G2362/1000</f>
        <v>0</v>
      </c>
      <c r="H2356" s="85">
        <f>STATS1003B!H2362/1000</f>
        <v>7000</v>
      </c>
      <c r="I2356" s="85">
        <f>STATS1003B!I2362/1000</f>
        <v>0</v>
      </c>
      <c r="J2356" s="85">
        <f>STATS1003B!J2362/1000</f>
        <v>7000</v>
      </c>
      <c r="K2356" s="85">
        <f>STATS1003B!K2362/1000</f>
        <v>0</v>
      </c>
      <c r="L2356" s="85">
        <f>STATS1003B!L2362/1000</f>
        <v>0</v>
      </c>
      <c r="M2356" s="85">
        <f>STATS1003B!M2362/1000</f>
        <v>7000</v>
      </c>
      <c r="N2356" s="85">
        <f>STATS1003B!N2362/1000</f>
        <v>0</v>
      </c>
      <c r="O2356" s="85">
        <f>STATS1003B!O2362/1000</f>
        <v>0</v>
      </c>
      <c r="P2356" s="85">
        <f>STATS1003B!P2362/1000</f>
        <v>0</v>
      </c>
      <c r="Q2356" s="85">
        <f>STATS1003B!Q2362/1000</f>
        <v>7000</v>
      </c>
      <c r="R2356" s="85">
        <f>STATS1003B!R2362/1000</f>
        <v>0</v>
      </c>
      <c r="S2356" s="85">
        <f>STATS1003B!S2362/1000</f>
        <v>0</v>
      </c>
      <c r="T2356" s="85">
        <f>STATS1003B!T2362/1000</f>
        <v>0</v>
      </c>
      <c r="U2356" s="85">
        <f>STATS1003B!U2362/1000</f>
        <v>0</v>
      </c>
      <c r="V2356" s="85">
        <f>STATS1003B!V2362/1000</f>
        <v>0</v>
      </c>
      <c r="W2356" s="85">
        <f>STATS1003B!W2362/1000</f>
        <v>0</v>
      </c>
      <c r="X2356" s="85">
        <f t="shared" si="259"/>
        <v>7000</v>
      </c>
      <c r="Y2356" s="85">
        <f>STATS1003B!Y2362/1000</f>
        <v>0</v>
      </c>
      <c r="Z2356" s="85">
        <f t="shared" si="260"/>
        <v>0</v>
      </c>
      <c r="AA2356" s="69">
        <f>STATS1003B!AA2362/1000</f>
        <v>7000</v>
      </c>
      <c r="AB2356" s="69">
        <f>STATS1003B!AB2362/1000</f>
        <v>0</v>
      </c>
    </row>
    <row r="2357" spans="1:28" hidden="1" x14ac:dyDescent="0.3">
      <c r="A2357" s="117"/>
      <c r="C2357" s="68" t="s">
        <v>933</v>
      </c>
      <c r="D2357" s="90" t="s">
        <v>1072</v>
      </c>
      <c r="E2357" s="85">
        <f>STATS1003B!E2363/1000</f>
        <v>6221.3044</v>
      </c>
      <c r="F2357" s="85">
        <f>STATS1003B!F2363/1000</f>
        <v>6221.3044</v>
      </c>
      <c r="G2357" s="85">
        <f>STATS1003B!G2363/1000</f>
        <v>0</v>
      </c>
      <c r="H2357" s="85">
        <f>STATS1003B!H2363/1000</f>
        <v>6221.3044</v>
      </c>
      <c r="I2357" s="85">
        <f>STATS1003B!I2363/1000</f>
        <v>0</v>
      </c>
      <c r="J2357" s="85">
        <f>STATS1003B!J2363/1000</f>
        <v>6221.3044</v>
      </c>
      <c r="K2357" s="85">
        <f>STATS1003B!K2363/1000</f>
        <v>0</v>
      </c>
      <c r="L2357" s="85">
        <f>STATS1003B!L2363/1000</f>
        <v>0</v>
      </c>
      <c r="M2357" s="85">
        <f>STATS1003B!M2363/1000</f>
        <v>6221.3044</v>
      </c>
      <c r="N2357" s="85">
        <f>STATS1003B!N2363/1000</f>
        <v>0</v>
      </c>
      <c r="O2357" s="85">
        <f>STATS1003B!O2363/1000</f>
        <v>0</v>
      </c>
      <c r="P2357" s="85">
        <f>STATS1003B!P2363/1000</f>
        <v>0</v>
      </c>
      <c r="Q2357" s="85">
        <f>STATS1003B!Q2363/1000</f>
        <v>0</v>
      </c>
      <c r="R2357" s="85">
        <f>STATS1003B!R2363/1000</f>
        <v>0</v>
      </c>
      <c r="S2357" s="85">
        <f>STATS1003B!S2363/1000</f>
        <v>0</v>
      </c>
      <c r="T2357" s="85">
        <f>STATS1003B!T2363/1000</f>
        <v>0</v>
      </c>
      <c r="U2357" s="85">
        <f>STATS1003B!U2363/1000</f>
        <v>0</v>
      </c>
      <c r="V2357" s="85">
        <f>STATS1003B!V2363/1000</f>
        <v>0</v>
      </c>
      <c r="W2357" s="85">
        <f>STATS1003B!W2363/1000</f>
        <v>0</v>
      </c>
      <c r="X2357" s="85">
        <f t="shared" si="259"/>
        <v>6221.3044</v>
      </c>
      <c r="Y2357" s="85">
        <f>STATS1003B!Y2363/1000</f>
        <v>0</v>
      </c>
      <c r="Z2357" s="85">
        <f t="shared" si="260"/>
        <v>0</v>
      </c>
      <c r="AA2357" s="69">
        <f>STATS1003B!AA2363/1000</f>
        <v>6221.3044</v>
      </c>
      <c r="AB2357" s="69">
        <f>STATS1003B!AB2363/1000</f>
        <v>0</v>
      </c>
    </row>
    <row r="2358" spans="1:28" hidden="1" x14ac:dyDescent="0.3">
      <c r="A2358" s="117"/>
      <c r="C2358" s="68" t="s">
        <v>1173</v>
      </c>
      <c r="D2358" s="90" t="s">
        <v>1126</v>
      </c>
      <c r="E2358" s="85">
        <f>STATS1003B!E2364/1000</f>
        <v>709.50751000000002</v>
      </c>
      <c r="F2358" s="85">
        <f>STATS1003B!F2364/1000</f>
        <v>709.50751000000002</v>
      </c>
      <c r="G2358" s="85">
        <f>STATS1003B!G2364/1000</f>
        <v>0</v>
      </c>
      <c r="H2358" s="85">
        <f>STATS1003B!H2364/1000</f>
        <v>709.50751000000002</v>
      </c>
      <c r="I2358" s="85">
        <f>STATS1003B!I2364/1000</f>
        <v>0</v>
      </c>
      <c r="J2358" s="85">
        <f>STATS1003B!J2364/1000</f>
        <v>709.50751000000002</v>
      </c>
      <c r="K2358" s="85">
        <f>STATS1003B!K2364/1000</f>
        <v>0</v>
      </c>
      <c r="L2358" s="85">
        <f>STATS1003B!L2364/1000</f>
        <v>0</v>
      </c>
      <c r="M2358" s="85">
        <f>STATS1003B!M2364/1000</f>
        <v>709.50751000000002</v>
      </c>
      <c r="N2358" s="85">
        <f>STATS1003B!N2364/1000</f>
        <v>0</v>
      </c>
      <c r="O2358" s="85">
        <f>STATS1003B!O2364/1000</f>
        <v>0</v>
      </c>
      <c r="P2358" s="85">
        <f>STATS1003B!P2364/1000</f>
        <v>0</v>
      </c>
      <c r="Q2358" s="85">
        <f>STATS1003B!Q2364/1000</f>
        <v>0</v>
      </c>
      <c r="R2358" s="85">
        <f>STATS1003B!R2364/1000</f>
        <v>0</v>
      </c>
      <c r="S2358" s="85">
        <f>STATS1003B!S2364/1000</f>
        <v>0</v>
      </c>
      <c r="T2358" s="85">
        <f>STATS1003B!T2364/1000</f>
        <v>0</v>
      </c>
      <c r="U2358" s="85">
        <f>STATS1003B!U2364/1000</f>
        <v>0</v>
      </c>
      <c r="V2358" s="85">
        <f>STATS1003B!V2364/1000</f>
        <v>0</v>
      </c>
      <c r="W2358" s="85">
        <f>STATS1003B!W2364/1000</f>
        <v>0</v>
      </c>
      <c r="X2358" s="85">
        <f t="shared" si="259"/>
        <v>709.50751000000002</v>
      </c>
      <c r="Y2358" s="85">
        <f>STATS1003B!Y2364/1000</f>
        <v>0</v>
      </c>
      <c r="Z2358" s="85">
        <f t="shared" si="260"/>
        <v>0</v>
      </c>
      <c r="AA2358" s="69">
        <f>STATS1003B!AA2364/1000</f>
        <v>709.50751000000002</v>
      </c>
      <c r="AB2358" s="69">
        <f>STATS1003B!AB2364/1000</f>
        <v>0</v>
      </c>
    </row>
    <row r="2359" spans="1:28" hidden="1" x14ac:dyDescent="0.3">
      <c r="A2359" s="117"/>
      <c r="C2359" s="68" t="s">
        <v>1083</v>
      </c>
      <c r="D2359" s="90" t="s">
        <v>1072</v>
      </c>
      <c r="E2359" s="85">
        <f>STATS1003B!E2365/1000</f>
        <v>8971.122800000001</v>
      </c>
      <c r="F2359" s="85">
        <f>STATS1003B!F2365/1000</f>
        <v>8971.122800000001</v>
      </c>
      <c r="G2359" s="85">
        <f>STATS1003B!G2365/1000</f>
        <v>0</v>
      </c>
      <c r="H2359" s="85">
        <f>STATS1003B!H2365/1000</f>
        <v>8971.122800000001</v>
      </c>
      <c r="I2359" s="85">
        <f>STATS1003B!I2365/1000</f>
        <v>0</v>
      </c>
      <c r="J2359" s="85">
        <f>STATS1003B!J2365/1000</f>
        <v>8971.122800000001</v>
      </c>
      <c r="K2359" s="85">
        <f>STATS1003B!K2365/1000</f>
        <v>0</v>
      </c>
      <c r="L2359" s="85">
        <f>STATS1003B!L2365/1000</f>
        <v>0</v>
      </c>
      <c r="M2359" s="85">
        <f>STATS1003B!M2365/1000</f>
        <v>8971.122800000001</v>
      </c>
      <c r="N2359" s="85">
        <f>STATS1003B!N2365/1000</f>
        <v>0</v>
      </c>
      <c r="O2359" s="85">
        <f>STATS1003B!O2365/1000</f>
        <v>0</v>
      </c>
      <c r="P2359" s="85">
        <f>STATS1003B!P2365/1000</f>
        <v>0</v>
      </c>
      <c r="Q2359" s="85">
        <f>STATS1003B!Q2365/1000</f>
        <v>0</v>
      </c>
      <c r="R2359" s="85">
        <f>STATS1003B!R2365/1000</f>
        <v>0</v>
      </c>
      <c r="S2359" s="85">
        <f>STATS1003B!S2365/1000</f>
        <v>0</v>
      </c>
      <c r="T2359" s="85">
        <f>STATS1003B!T2365/1000</f>
        <v>0</v>
      </c>
      <c r="U2359" s="85">
        <f>STATS1003B!U2365/1000</f>
        <v>0</v>
      </c>
      <c r="V2359" s="85">
        <f>STATS1003B!V2365/1000</f>
        <v>0</v>
      </c>
      <c r="W2359" s="85">
        <f>STATS1003B!W2365/1000</f>
        <v>0</v>
      </c>
      <c r="X2359" s="85">
        <f t="shared" si="259"/>
        <v>8971.122800000001</v>
      </c>
      <c r="Y2359" s="85">
        <f>STATS1003B!Y2365/1000</f>
        <v>0</v>
      </c>
      <c r="Z2359" s="85">
        <f t="shared" si="260"/>
        <v>0</v>
      </c>
      <c r="AA2359" s="69">
        <f>STATS1003B!AA2365/1000</f>
        <v>8971.122800000001</v>
      </c>
      <c r="AB2359" s="69">
        <f>STATS1003B!AB2365/1000</f>
        <v>0</v>
      </c>
    </row>
    <row r="2360" spans="1:28" hidden="1" x14ac:dyDescent="0.3">
      <c r="A2360" s="117"/>
      <c r="C2360" s="68" t="s">
        <v>577</v>
      </c>
      <c r="E2360" s="85">
        <f>STATS1003B!E2366/1000</f>
        <v>712.08481999999992</v>
      </c>
      <c r="F2360" s="85">
        <f>STATS1003B!F2366/1000</f>
        <v>712.08481999999992</v>
      </c>
      <c r="G2360" s="85">
        <f>STATS1003B!G2366/1000</f>
        <v>0</v>
      </c>
      <c r="H2360" s="85">
        <f>STATS1003B!H2366/1000</f>
        <v>712.08481999999992</v>
      </c>
      <c r="I2360" s="85">
        <f>STATS1003B!I2366/1000</f>
        <v>0</v>
      </c>
      <c r="J2360" s="85">
        <f>STATS1003B!J2366/1000</f>
        <v>712.08481999999992</v>
      </c>
      <c r="K2360" s="85">
        <f>STATS1003B!K2366/1000</f>
        <v>0</v>
      </c>
      <c r="L2360" s="85">
        <f>STATS1003B!L2366/1000</f>
        <v>0</v>
      </c>
      <c r="M2360" s="85">
        <f>STATS1003B!M2366/1000</f>
        <v>712.08481999999992</v>
      </c>
      <c r="N2360" s="85">
        <f>STATS1003B!N2366/1000</f>
        <v>0</v>
      </c>
      <c r="O2360" s="85">
        <f>STATS1003B!O2366/1000</f>
        <v>0</v>
      </c>
      <c r="P2360" s="85">
        <f>STATS1003B!P2366/1000</f>
        <v>0</v>
      </c>
      <c r="Q2360" s="85">
        <f>STATS1003B!Q2366/1000</f>
        <v>712.08481999999992</v>
      </c>
      <c r="R2360" s="85">
        <f>STATS1003B!R2366/1000</f>
        <v>0</v>
      </c>
      <c r="S2360" s="85">
        <f>STATS1003B!S2366/1000</f>
        <v>0</v>
      </c>
      <c r="T2360" s="85">
        <f>STATS1003B!T2366/1000</f>
        <v>0</v>
      </c>
      <c r="U2360" s="85">
        <f>STATS1003B!U2366/1000</f>
        <v>0</v>
      </c>
      <c r="V2360" s="85">
        <f>STATS1003B!V2366/1000</f>
        <v>0</v>
      </c>
      <c r="W2360" s="85">
        <f>STATS1003B!W2366/1000</f>
        <v>0</v>
      </c>
      <c r="X2360" s="85">
        <f t="shared" si="259"/>
        <v>712.08481999999992</v>
      </c>
      <c r="Y2360" s="85">
        <f>STATS1003B!Y2366/1000</f>
        <v>0</v>
      </c>
      <c r="Z2360" s="85">
        <f t="shared" si="260"/>
        <v>0</v>
      </c>
      <c r="AA2360" s="69">
        <f>STATS1003B!AA2366/1000</f>
        <v>712.08481999999992</v>
      </c>
      <c r="AB2360" s="69">
        <f>STATS1003B!AB2366/1000</f>
        <v>0</v>
      </c>
    </row>
    <row r="2361" spans="1:28" hidden="1" x14ac:dyDescent="0.3">
      <c r="A2361" s="117"/>
      <c r="C2361" s="68" t="s">
        <v>550</v>
      </c>
      <c r="E2361" s="85">
        <f>STATS1003B!E2367/1000</f>
        <v>242.386</v>
      </c>
      <c r="F2361" s="85">
        <f>STATS1003B!F2367/1000</f>
        <v>242.386</v>
      </c>
      <c r="G2361" s="85">
        <f>STATS1003B!G2367/1000</f>
        <v>0</v>
      </c>
      <c r="H2361" s="85">
        <f>STATS1003B!H2367/1000</f>
        <v>242.386</v>
      </c>
      <c r="I2361" s="85">
        <f>STATS1003B!I2367/1000</f>
        <v>0</v>
      </c>
      <c r="J2361" s="85">
        <f>STATS1003B!J2367/1000</f>
        <v>242.386</v>
      </c>
      <c r="K2361" s="85">
        <f>STATS1003B!K2367/1000</f>
        <v>0</v>
      </c>
      <c r="L2361" s="85">
        <f>STATS1003B!L2367/1000</f>
        <v>0</v>
      </c>
      <c r="M2361" s="85">
        <f>STATS1003B!M2367/1000</f>
        <v>242.386</v>
      </c>
      <c r="N2361" s="85">
        <f>STATS1003B!N2367/1000</f>
        <v>0</v>
      </c>
      <c r="O2361" s="85">
        <f>STATS1003B!O2367/1000</f>
        <v>0</v>
      </c>
      <c r="P2361" s="85">
        <f>STATS1003B!P2367/1000</f>
        <v>0</v>
      </c>
      <c r="Q2361" s="85">
        <f>STATS1003B!Q2367/1000</f>
        <v>242.386</v>
      </c>
      <c r="R2361" s="85">
        <f>STATS1003B!R2367/1000</f>
        <v>0</v>
      </c>
      <c r="S2361" s="85">
        <f>STATS1003B!S2367/1000</f>
        <v>0</v>
      </c>
      <c r="T2361" s="85">
        <f>STATS1003B!T2367/1000</f>
        <v>0</v>
      </c>
      <c r="U2361" s="85">
        <f>STATS1003B!U2367/1000</f>
        <v>0</v>
      </c>
      <c r="V2361" s="85">
        <f>STATS1003B!V2367/1000</f>
        <v>0</v>
      </c>
      <c r="W2361" s="85">
        <f>STATS1003B!W2367/1000</f>
        <v>0</v>
      </c>
      <c r="X2361" s="85">
        <f t="shared" si="259"/>
        <v>242.386</v>
      </c>
      <c r="Y2361" s="85">
        <f>STATS1003B!Y2367/1000</f>
        <v>0</v>
      </c>
      <c r="Z2361" s="85">
        <f t="shared" si="260"/>
        <v>0</v>
      </c>
      <c r="AA2361" s="69">
        <f>STATS1003B!AA2367/1000</f>
        <v>242.386</v>
      </c>
      <c r="AB2361" s="69">
        <f>STATS1003B!AB2367/1000</f>
        <v>0</v>
      </c>
    </row>
    <row r="2362" spans="1:28" hidden="1" x14ac:dyDescent="0.3">
      <c r="A2362" s="117"/>
      <c r="C2362" s="68" t="s">
        <v>844</v>
      </c>
      <c r="E2362" s="85">
        <f>STATS1003B!E2368/1000</f>
        <v>49.645859999999999</v>
      </c>
      <c r="F2362" s="85">
        <f>STATS1003B!F2368/1000</f>
        <v>49.645859999999999</v>
      </c>
      <c r="G2362" s="85">
        <f>STATS1003B!G2368/1000</f>
        <v>0</v>
      </c>
      <c r="H2362" s="85">
        <f>STATS1003B!H2368/1000</f>
        <v>49.645859999999999</v>
      </c>
      <c r="I2362" s="85">
        <f>STATS1003B!I2368/1000</f>
        <v>0</v>
      </c>
      <c r="J2362" s="85">
        <f>STATS1003B!J2368/1000</f>
        <v>49.645859999999999</v>
      </c>
      <c r="K2362" s="85">
        <f>STATS1003B!K2368/1000</f>
        <v>0</v>
      </c>
      <c r="L2362" s="85">
        <f>STATS1003B!L2368/1000</f>
        <v>0</v>
      </c>
      <c r="M2362" s="85">
        <f>STATS1003B!M2368/1000</f>
        <v>49.645859999999999</v>
      </c>
      <c r="N2362" s="85">
        <f>STATS1003B!N2368/1000</f>
        <v>0</v>
      </c>
      <c r="O2362" s="85">
        <f>STATS1003B!O2368/1000</f>
        <v>0</v>
      </c>
      <c r="P2362" s="85">
        <f>STATS1003B!P2368/1000</f>
        <v>0</v>
      </c>
      <c r="Q2362" s="85">
        <f>STATS1003B!Q2368/1000</f>
        <v>49.645859999999999</v>
      </c>
      <c r="R2362" s="85">
        <f>STATS1003B!R2368/1000</f>
        <v>0</v>
      </c>
      <c r="S2362" s="85">
        <f>STATS1003B!S2368/1000</f>
        <v>0</v>
      </c>
      <c r="T2362" s="85">
        <f>STATS1003B!T2368/1000</f>
        <v>0</v>
      </c>
      <c r="U2362" s="85">
        <f>STATS1003B!U2368/1000</f>
        <v>0</v>
      </c>
      <c r="V2362" s="85">
        <f>STATS1003B!V2368/1000</f>
        <v>0</v>
      </c>
      <c r="W2362" s="85">
        <f>STATS1003B!W2368/1000</f>
        <v>0</v>
      </c>
      <c r="X2362" s="85">
        <f t="shared" si="259"/>
        <v>49.645859999999999</v>
      </c>
      <c r="Y2362" s="85">
        <f>STATS1003B!Y2368/1000</f>
        <v>0</v>
      </c>
      <c r="Z2362" s="85">
        <f t="shared" si="260"/>
        <v>0</v>
      </c>
      <c r="AA2362" s="69">
        <f>STATS1003B!AA2368/1000</f>
        <v>49.645859999999999</v>
      </c>
      <c r="AB2362" s="69">
        <f>STATS1003B!AB2368/1000</f>
        <v>0</v>
      </c>
    </row>
    <row r="2363" spans="1:28" hidden="1" x14ac:dyDescent="0.3">
      <c r="A2363" s="117"/>
      <c r="C2363" s="68" t="s">
        <v>568</v>
      </c>
      <c r="E2363" s="85">
        <f>STATS1003B!E2369/1000</f>
        <v>5199.7009900000003</v>
      </c>
      <c r="F2363" s="85">
        <f>STATS1003B!F2369/1000</f>
        <v>5199.7009900000003</v>
      </c>
      <c r="G2363" s="85">
        <f>STATS1003B!G2369/1000</f>
        <v>0</v>
      </c>
      <c r="H2363" s="85">
        <f>STATS1003B!H2369/1000</f>
        <v>5199.7009900000003</v>
      </c>
      <c r="I2363" s="85">
        <f>STATS1003B!I2369/1000</f>
        <v>0</v>
      </c>
      <c r="J2363" s="85">
        <f>STATS1003B!J2369/1000</f>
        <v>0</v>
      </c>
      <c r="K2363" s="85">
        <f>STATS1003B!K2369/1000</f>
        <v>0</v>
      </c>
      <c r="L2363" s="85">
        <f>STATS1003B!L2369/1000</f>
        <v>0</v>
      </c>
      <c r="M2363" s="85">
        <f>STATS1003B!M2369/1000</f>
        <v>5199.7009900000003</v>
      </c>
      <c r="N2363" s="85">
        <f>STATS1003B!N2369/1000</f>
        <v>0</v>
      </c>
      <c r="O2363" s="85">
        <f>STATS1003B!O2369/1000</f>
        <v>0</v>
      </c>
      <c r="P2363" s="85">
        <f>STATS1003B!P2369/1000</f>
        <v>0</v>
      </c>
      <c r="Q2363" s="85">
        <f>STATS1003B!Q2369/1000</f>
        <v>0</v>
      </c>
      <c r="R2363" s="85">
        <f>STATS1003B!R2369/1000</f>
        <v>0</v>
      </c>
      <c r="S2363" s="85">
        <f>STATS1003B!S2369/1000</f>
        <v>0</v>
      </c>
      <c r="T2363" s="85">
        <f>STATS1003B!T2369/1000</f>
        <v>0</v>
      </c>
      <c r="U2363" s="85">
        <f>STATS1003B!U2369/1000</f>
        <v>0</v>
      </c>
      <c r="V2363" s="85">
        <f>STATS1003B!V2369/1000</f>
        <v>0</v>
      </c>
      <c r="W2363" s="85">
        <f>STATS1003B!W2369/1000</f>
        <v>0</v>
      </c>
      <c r="X2363" s="85">
        <f t="shared" si="259"/>
        <v>5199.7009900000003</v>
      </c>
      <c r="Y2363" s="85">
        <f>STATS1003B!Y2369/1000</f>
        <v>0</v>
      </c>
      <c r="Z2363" s="85">
        <f t="shared" si="260"/>
        <v>0</v>
      </c>
      <c r="AA2363" s="69">
        <f>STATS1003B!AA2369/1000</f>
        <v>5199.7009900000003</v>
      </c>
      <c r="AB2363" s="69">
        <f>STATS1003B!AB2369/1000</f>
        <v>0</v>
      </c>
    </row>
    <row r="2364" spans="1:28" hidden="1" x14ac:dyDescent="0.3">
      <c r="A2364" s="117"/>
      <c r="C2364" s="68" t="s">
        <v>606</v>
      </c>
      <c r="E2364" s="85">
        <f>STATS1003B!E2370/1000</f>
        <v>5000</v>
      </c>
      <c r="F2364" s="85">
        <f>STATS1003B!F2370/1000</f>
        <v>5000</v>
      </c>
      <c r="G2364" s="85">
        <f>STATS1003B!G2370/1000</f>
        <v>0</v>
      </c>
      <c r="H2364" s="85">
        <f>STATS1003B!H2370/1000</f>
        <v>5000</v>
      </c>
      <c r="I2364" s="85">
        <f>STATS1003B!I2370/1000</f>
        <v>0</v>
      </c>
      <c r="J2364" s="85">
        <f>STATS1003B!J2370/1000</f>
        <v>5000</v>
      </c>
      <c r="K2364" s="85">
        <f>STATS1003B!K2370/1000</f>
        <v>0</v>
      </c>
      <c r="L2364" s="85">
        <f>STATS1003B!L2370/1000</f>
        <v>0</v>
      </c>
      <c r="M2364" s="85">
        <f>STATS1003B!M2370/1000</f>
        <v>5000</v>
      </c>
      <c r="N2364" s="85">
        <f>STATS1003B!N2370/1000</f>
        <v>0</v>
      </c>
      <c r="O2364" s="85">
        <f>STATS1003B!O2370/1000</f>
        <v>0</v>
      </c>
      <c r="P2364" s="85">
        <f>STATS1003B!P2370/1000</f>
        <v>0</v>
      </c>
      <c r="Q2364" s="85">
        <f>STATS1003B!Q2370/1000</f>
        <v>5000</v>
      </c>
      <c r="R2364" s="85">
        <f>STATS1003B!R2370/1000</f>
        <v>0</v>
      </c>
      <c r="S2364" s="85">
        <f>STATS1003B!S2370/1000</f>
        <v>0</v>
      </c>
      <c r="T2364" s="85">
        <f>STATS1003B!T2370/1000</f>
        <v>0</v>
      </c>
      <c r="U2364" s="85">
        <f>STATS1003B!U2370/1000</f>
        <v>0</v>
      </c>
      <c r="V2364" s="85">
        <f>STATS1003B!V2370/1000</f>
        <v>0</v>
      </c>
      <c r="W2364" s="85">
        <f>STATS1003B!W2370/1000</f>
        <v>0</v>
      </c>
      <c r="X2364" s="85">
        <f t="shared" si="259"/>
        <v>5000</v>
      </c>
      <c r="Y2364" s="85">
        <f>STATS1003B!Y2370/1000</f>
        <v>0</v>
      </c>
      <c r="Z2364" s="85">
        <f t="shared" si="260"/>
        <v>0</v>
      </c>
      <c r="AA2364" s="69">
        <f>STATS1003B!AA2370/1000</f>
        <v>5000</v>
      </c>
      <c r="AB2364" s="69">
        <f>STATS1003B!AB2370/1000</f>
        <v>0</v>
      </c>
    </row>
    <row r="2365" spans="1:28" hidden="1" x14ac:dyDescent="0.3">
      <c r="A2365" s="117"/>
      <c r="E2365" s="86" t="s">
        <v>29</v>
      </c>
      <c r="F2365" s="86" t="s">
        <v>29</v>
      </c>
      <c r="G2365" s="86" t="s">
        <v>29</v>
      </c>
      <c r="H2365" s="86" t="s">
        <v>29</v>
      </c>
      <c r="I2365" s="86" t="s">
        <v>29</v>
      </c>
      <c r="J2365" s="86" t="s">
        <v>29</v>
      </c>
      <c r="K2365" s="86" t="s">
        <v>29</v>
      </c>
      <c r="L2365" s="86" t="s">
        <v>29</v>
      </c>
      <c r="M2365" s="86" t="s">
        <v>29</v>
      </c>
      <c r="N2365" s="86" t="s">
        <v>29</v>
      </c>
      <c r="O2365" s="86" t="s">
        <v>29</v>
      </c>
      <c r="P2365" s="86" t="s">
        <v>29</v>
      </c>
      <c r="Q2365" s="86" t="s">
        <v>29</v>
      </c>
      <c r="R2365" s="86" t="s">
        <v>29</v>
      </c>
      <c r="S2365" s="86" t="s">
        <v>29</v>
      </c>
      <c r="T2365" s="86" t="s">
        <v>29</v>
      </c>
      <c r="U2365" s="86" t="s">
        <v>29</v>
      </c>
      <c r="V2365" s="86" t="s">
        <v>29</v>
      </c>
      <c r="W2365" s="86" t="s">
        <v>29</v>
      </c>
      <c r="X2365" s="85" t="e">
        <f t="shared" si="259"/>
        <v>#VALUE!</v>
      </c>
      <c r="Y2365" s="86" t="s">
        <v>29</v>
      </c>
      <c r="Z2365" s="85" t="e">
        <f t="shared" si="260"/>
        <v>#VALUE!</v>
      </c>
      <c r="AA2365" s="115" t="s">
        <v>29</v>
      </c>
      <c r="AB2365" s="115" t="s">
        <v>29</v>
      </c>
    </row>
    <row r="2366" spans="1:28" x14ac:dyDescent="0.3">
      <c r="A2366" s="116">
        <v>102</v>
      </c>
      <c r="B2366" s="68" t="s">
        <v>843</v>
      </c>
      <c r="E2366" s="85">
        <f>259351792.67/1000</f>
        <v>259351.79267</v>
      </c>
      <c r="F2366" s="85">
        <f t="shared" ref="F2366:Q2366" si="263">SUM(F2344:F2365)</f>
        <v>68836.447709999993</v>
      </c>
      <c r="G2366" s="85">
        <f t="shared" si="263"/>
        <v>0</v>
      </c>
      <c r="H2366" s="85">
        <f>256422967.17/1000</f>
        <v>256422.96716999999</v>
      </c>
      <c r="I2366" s="85">
        <f t="shared" si="263"/>
        <v>0</v>
      </c>
      <c r="J2366" s="85">
        <f t="shared" si="263"/>
        <v>63636.746719999996</v>
      </c>
      <c r="K2366" s="85">
        <f t="shared" si="263"/>
        <v>2848.8254999999999</v>
      </c>
      <c r="L2366" s="85">
        <f t="shared" si="263"/>
        <v>0</v>
      </c>
      <c r="M2366" s="85">
        <f t="shared" si="263"/>
        <v>68836.447709999993</v>
      </c>
      <c r="N2366" s="85">
        <f t="shared" si="263"/>
        <v>2848.8254999999999</v>
      </c>
      <c r="O2366" s="85">
        <f t="shared" si="263"/>
        <v>0</v>
      </c>
      <c r="P2366" s="85">
        <f>2848825/1000</f>
        <v>2848.8249999999998</v>
      </c>
      <c r="Q2366" s="85">
        <f t="shared" si="263"/>
        <v>47814.812009999994</v>
      </c>
      <c r="R2366" s="84"/>
      <c r="S2366" s="84"/>
      <c r="T2366" s="85">
        <f t="shared" ref="T2366:Y2366" si="264">SUM(T2344:T2365)</f>
        <v>0</v>
      </c>
      <c r="U2366" s="85">
        <f t="shared" si="264"/>
        <v>2848.8254999999999</v>
      </c>
      <c r="V2366" s="85">
        <f t="shared" si="264"/>
        <v>0</v>
      </c>
      <c r="W2366" s="85">
        <f t="shared" si="264"/>
        <v>0</v>
      </c>
      <c r="X2366" s="85">
        <f>+H2366+P2366</f>
        <v>259271.79217</v>
      </c>
      <c r="Y2366" s="85">
        <f t="shared" si="264"/>
        <v>0</v>
      </c>
      <c r="Z2366" s="85">
        <f t="shared" si="260"/>
        <v>80.000499999994645</v>
      </c>
      <c r="AA2366" s="69">
        <f>SUM(AA2344:AA2365)</f>
        <v>71685.273209999999</v>
      </c>
      <c r="AB2366" s="69">
        <f>SUM(AB2344:AB2365)</f>
        <v>80</v>
      </c>
    </row>
    <row r="2367" spans="1:28" hidden="1" x14ac:dyDescent="0.3">
      <c r="A2367" s="117"/>
      <c r="E2367" s="86" t="s">
        <v>29</v>
      </c>
      <c r="F2367" s="86" t="s">
        <v>29</v>
      </c>
      <c r="G2367" s="86" t="s">
        <v>29</v>
      </c>
      <c r="H2367" s="86" t="s">
        <v>29</v>
      </c>
      <c r="I2367" s="86" t="s">
        <v>29</v>
      </c>
      <c r="J2367" s="86" t="s">
        <v>29</v>
      </c>
      <c r="K2367" s="86" t="s">
        <v>29</v>
      </c>
      <c r="L2367" s="86" t="s">
        <v>29</v>
      </c>
      <c r="M2367" s="86" t="s">
        <v>29</v>
      </c>
      <c r="N2367" s="86" t="s">
        <v>29</v>
      </c>
      <c r="O2367" s="86" t="s">
        <v>29</v>
      </c>
      <c r="P2367" s="86" t="s">
        <v>29</v>
      </c>
      <c r="Q2367" s="86" t="s">
        <v>29</v>
      </c>
      <c r="R2367" s="86" t="s">
        <v>29</v>
      </c>
      <c r="S2367" s="86" t="s">
        <v>29</v>
      </c>
      <c r="T2367" s="86" t="s">
        <v>29</v>
      </c>
      <c r="U2367" s="86" t="s">
        <v>29</v>
      </c>
      <c r="V2367" s="86" t="s">
        <v>29</v>
      </c>
      <c r="W2367" s="86" t="s">
        <v>29</v>
      </c>
      <c r="X2367" s="85" t="e">
        <f t="shared" si="259"/>
        <v>#VALUE!</v>
      </c>
      <c r="Y2367" s="86" t="s">
        <v>29</v>
      </c>
      <c r="Z2367" s="85" t="e">
        <f t="shared" si="260"/>
        <v>#VALUE!</v>
      </c>
      <c r="AA2367" s="115" t="s">
        <v>29</v>
      </c>
      <c r="AB2367" s="115" t="s">
        <v>29</v>
      </c>
    </row>
    <row r="2368" spans="1:28" hidden="1" x14ac:dyDescent="0.3">
      <c r="A2368" s="105"/>
      <c r="E2368" s="84"/>
      <c r="F2368" s="84"/>
      <c r="G2368" s="84"/>
      <c r="H2368" s="84"/>
      <c r="I2368" s="84"/>
      <c r="J2368" s="84"/>
      <c r="K2368" s="84"/>
      <c r="L2368" s="84"/>
      <c r="M2368" s="84"/>
      <c r="N2368" s="84"/>
      <c r="O2368" s="84"/>
      <c r="P2368" s="84"/>
      <c r="Q2368" s="84"/>
      <c r="R2368" s="84"/>
      <c r="S2368" s="84"/>
      <c r="T2368" s="84"/>
      <c r="U2368" s="84"/>
      <c r="V2368" s="84"/>
      <c r="W2368" s="84"/>
      <c r="X2368" s="85">
        <f t="shared" si="259"/>
        <v>0</v>
      </c>
      <c r="Y2368" s="84"/>
      <c r="Z2368" s="85">
        <f t="shared" si="260"/>
        <v>0</v>
      </c>
    </row>
    <row r="2369" spans="1:28" hidden="1" x14ac:dyDescent="0.3">
      <c r="A2369" s="117"/>
      <c r="C2369" s="68" t="s">
        <v>535</v>
      </c>
      <c r="D2369" s="87" t="s">
        <v>68</v>
      </c>
      <c r="E2369" s="85">
        <f>STATS1003B!E2375/1000</f>
        <v>368.58891000000006</v>
      </c>
      <c r="F2369" s="85">
        <f>STATS1003B!F2375/1000</f>
        <v>270.76</v>
      </c>
      <c r="G2369" s="85">
        <f>STATS1003B!G2375/1000</f>
        <v>0</v>
      </c>
      <c r="H2369" s="85">
        <f>STATS1003B!H2375/1000</f>
        <v>270.76</v>
      </c>
      <c r="I2369" s="85">
        <f>STATS1003B!I2375/1000</f>
        <v>0</v>
      </c>
      <c r="J2369" s="85">
        <f>STATS1003B!J2375/1000</f>
        <v>270.76</v>
      </c>
      <c r="K2369" s="85">
        <f>STATS1003B!K2375/1000</f>
        <v>97.828910000000008</v>
      </c>
      <c r="L2369" s="85">
        <f>STATS1003B!L2375/1000</f>
        <v>0</v>
      </c>
      <c r="M2369" s="85">
        <f>STATS1003B!M2375/1000</f>
        <v>270.76</v>
      </c>
      <c r="N2369" s="85">
        <f>STATS1003B!N2375/1000</f>
        <v>97.828910000000008</v>
      </c>
      <c r="O2369" s="85">
        <f>STATS1003B!O2375/1000</f>
        <v>0</v>
      </c>
      <c r="P2369" s="85">
        <f>STATS1003B!P2375/1000</f>
        <v>97.828910000000008</v>
      </c>
      <c r="Q2369" s="85">
        <f>STATS1003B!Q2375/1000</f>
        <v>270.76</v>
      </c>
      <c r="R2369" s="85">
        <f>STATS1003B!R2375/1000</f>
        <v>0</v>
      </c>
      <c r="S2369" s="85">
        <f>STATS1003B!S2375/1000</f>
        <v>0</v>
      </c>
      <c r="T2369" s="85">
        <f>STATS1003B!T2375/1000</f>
        <v>0</v>
      </c>
      <c r="U2369" s="85">
        <f>STATS1003B!U2375/1000</f>
        <v>97.828910000000008</v>
      </c>
      <c r="V2369" s="85">
        <f>STATS1003B!V2375/1000</f>
        <v>0</v>
      </c>
      <c r="W2369" s="85">
        <f>STATS1003B!W2375/1000</f>
        <v>0</v>
      </c>
      <c r="X2369" s="85">
        <f t="shared" si="259"/>
        <v>368.58891</v>
      </c>
      <c r="Y2369" s="85">
        <f>STATS1003B!Y2375/1000</f>
        <v>0</v>
      </c>
      <c r="Z2369" s="85">
        <f t="shared" si="260"/>
        <v>0</v>
      </c>
      <c r="AA2369" s="69">
        <f>STATS1003B!AA2375/1000</f>
        <v>368.58891000000006</v>
      </c>
      <c r="AB2369" s="69">
        <f>STATS1003B!AB2375/1000</f>
        <v>0</v>
      </c>
    </row>
    <row r="2370" spans="1:28" hidden="1" x14ac:dyDescent="0.3">
      <c r="A2370" s="117"/>
      <c r="C2370" s="68" t="s">
        <v>535</v>
      </c>
      <c r="D2370" s="87" t="s">
        <v>54</v>
      </c>
      <c r="E2370" s="85">
        <f>STATS1003B!E2376/1000</f>
        <v>612.75</v>
      </c>
      <c r="F2370" s="85">
        <f>STATS1003B!F2376/1000</f>
        <v>612.75</v>
      </c>
      <c r="G2370" s="85">
        <f>STATS1003B!G2376/1000</f>
        <v>0</v>
      </c>
      <c r="H2370" s="85">
        <f>STATS1003B!H2376/1000</f>
        <v>612.75</v>
      </c>
      <c r="I2370" s="85">
        <f>STATS1003B!I2376/1000</f>
        <v>0</v>
      </c>
      <c r="J2370" s="85">
        <f>STATS1003B!J2376/1000</f>
        <v>612.75</v>
      </c>
      <c r="K2370" s="85">
        <f>STATS1003B!K2376/1000</f>
        <v>0</v>
      </c>
      <c r="L2370" s="85">
        <f>STATS1003B!L2376/1000</f>
        <v>0</v>
      </c>
      <c r="M2370" s="85">
        <f>STATS1003B!M2376/1000</f>
        <v>612.75</v>
      </c>
      <c r="N2370" s="85">
        <f>STATS1003B!N2376/1000</f>
        <v>0</v>
      </c>
      <c r="O2370" s="85">
        <f>STATS1003B!O2376/1000</f>
        <v>0</v>
      </c>
      <c r="P2370" s="85">
        <f>STATS1003B!P2376/1000</f>
        <v>0</v>
      </c>
      <c r="Q2370" s="85">
        <f>STATS1003B!Q2376/1000</f>
        <v>612.75</v>
      </c>
      <c r="R2370" s="85">
        <f>STATS1003B!R2376/1000</f>
        <v>0</v>
      </c>
      <c r="S2370" s="85">
        <f>STATS1003B!S2376/1000</f>
        <v>0</v>
      </c>
      <c r="T2370" s="85">
        <f>STATS1003B!T2376/1000</f>
        <v>0</v>
      </c>
      <c r="U2370" s="85">
        <f>STATS1003B!U2376/1000</f>
        <v>0</v>
      </c>
      <c r="V2370" s="85">
        <f>STATS1003B!V2376/1000</f>
        <v>0</v>
      </c>
      <c r="W2370" s="85">
        <f>STATS1003B!W2376/1000</f>
        <v>0</v>
      </c>
      <c r="X2370" s="85">
        <f t="shared" si="259"/>
        <v>612.75</v>
      </c>
      <c r="Y2370" s="85">
        <f>STATS1003B!Y2376/1000</f>
        <v>0</v>
      </c>
      <c r="Z2370" s="85">
        <f t="shared" si="260"/>
        <v>0</v>
      </c>
      <c r="AA2370" s="69">
        <f>STATS1003B!AA2376/1000</f>
        <v>612.75</v>
      </c>
      <c r="AB2370" s="69">
        <f>STATS1003B!AB2376/1000</f>
        <v>0</v>
      </c>
    </row>
    <row r="2371" spans="1:28" hidden="1" x14ac:dyDescent="0.3">
      <c r="A2371" s="117"/>
      <c r="C2371" s="68" t="s">
        <v>846</v>
      </c>
      <c r="D2371" s="87" t="s">
        <v>54</v>
      </c>
      <c r="E2371" s="85">
        <f>STATS1003B!E2377/1000</f>
        <v>955.34561999999994</v>
      </c>
      <c r="F2371" s="85">
        <f>STATS1003B!F2377/1000</f>
        <v>0</v>
      </c>
      <c r="G2371" s="85">
        <f>STATS1003B!G2377/1000</f>
        <v>0</v>
      </c>
      <c r="H2371" s="85">
        <f>STATS1003B!H2377/1000</f>
        <v>0</v>
      </c>
      <c r="I2371" s="85">
        <f>STATS1003B!I2377/1000</f>
        <v>0</v>
      </c>
      <c r="J2371" s="85">
        <f>STATS1003B!J2377/1000</f>
        <v>0</v>
      </c>
      <c r="K2371" s="85">
        <f>STATS1003B!K2377/1000</f>
        <v>955.34561999999994</v>
      </c>
      <c r="L2371" s="85">
        <f>STATS1003B!L2377/1000</f>
        <v>0</v>
      </c>
      <c r="M2371" s="85">
        <f>STATS1003B!M2377/1000</f>
        <v>0</v>
      </c>
      <c r="N2371" s="85">
        <f>STATS1003B!N2377/1000</f>
        <v>955.34561999999994</v>
      </c>
      <c r="O2371" s="85">
        <f>STATS1003B!O2377/1000</f>
        <v>0</v>
      </c>
      <c r="P2371" s="85">
        <f>STATS1003B!P2377/1000</f>
        <v>955.34561999999994</v>
      </c>
      <c r="Q2371" s="85">
        <f>STATS1003B!Q2377/1000</f>
        <v>0</v>
      </c>
      <c r="R2371" s="85">
        <f>STATS1003B!R2377/1000</f>
        <v>0</v>
      </c>
      <c r="S2371" s="85">
        <f>STATS1003B!S2377/1000</f>
        <v>0</v>
      </c>
      <c r="T2371" s="85">
        <f>STATS1003B!T2377/1000</f>
        <v>0</v>
      </c>
      <c r="U2371" s="85">
        <f>STATS1003B!U2377/1000</f>
        <v>955.34561999999994</v>
      </c>
      <c r="V2371" s="85">
        <f>STATS1003B!V2377/1000</f>
        <v>0</v>
      </c>
      <c r="W2371" s="85">
        <f>STATS1003B!W2377/1000</f>
        <v>0</v>
      </c>
      <c r="X2371" s="85">
        <f t="shared" si="259"/>
        <v>955.34561999999994</v>
      </c>
      <c r="Y2371" s="85">
        <f>STATS1003B!Y2377/1000</f>
        <v>0</v>
      </c>
      <c r="Z2371" s="85">
        <f t="shared" si="260"/>
        <v>0</v>
      </c>
      <c r="AA2371" s="69">
        <f>STATS1003B!AA2377/1000</f>
        <v>955.34561999999994</v>
      </c>
      <c r="AB2371" s="69">
        <f>STATS1003B!AB2377/1000</f>
        <v>0</v>
      </c>
    </row>
    <row r="2372" spans="1:28" hidden="1" x14ac:dyDescent="0.3">
      <c r="A2372" s="117"/>
      <c r="C2372" s="68" t="s">
        <v>545</v>
      </c>
      <c r="D2372" s="87" t="s">
        <v>54</v>
      </c>
      <c r="E2372" s="85">
        <f>STATS1003B!E2378/1000</f>
        <v>2306.1060000000002</v>
      </c>
      <c r="F2372" s="85">
        <f>STATS1003B!F2378/1000</f>
        <v>0</v>
      </c>
      <c r="G2372" s="85">
        <f>STATS1003B!G2378/1000</f>
        <v>0</v>
      </c>
      <c r="H2372" s="85">
        <f>STATS1003B!H2378/1000</f>
        <v>0</v>
      </c>
      <c r="I2372" s="85">
        <f>STATS1003B!I2378/1000</f>
        <v>0</v>
      </c>
      <c r="J2372" s="85">
        <f>STATS1003B!J2378/1000</f>
        <v>0</v>
      </c>
      <c r="K2372" s="85">
        <f>STATS1003B!K2378/1000</f>
        <v>2306.1060000000002</v>
      </c>
      <c r="L2372" s="85">
        <f>STATS1003B!L2378/1000</f>
        <v>0</v>
      </c>
      <c r="M2372" s="85">
        <f>STATS1003B!M2378/1000</f>
        <v>0</v>
      </c>
      <c r="N2372" s="85">
        <f>STATS1003B!N2378/1000</f>
        <v>2306.1060000000002</v>
      </c>
      <c r="O2372" s="85">
        <f>STATS1003B!O2378/1000</f>
        <v>0</v>
      </c>
      <c r="P2372" s="85">
        <f>STATS1003B!P2378/1000</f>
        <v>2306.1060000000002</v>
      </c>
      <c r="Q2372" s="85">
        <f>STATS1003B!Q2378/1000</f>
        <v>0</v>
      </c>
      <c r="R2372" s="85">
        <f>STATS1003B!R2378/1000</f>
        <v>0</v>
      </c>
      <c r="S2372" s="85">
        <f>STATS1003B!S2378/1000</f>
        <v>0</v>
      </c>
      <c r="T2372" s="85">
        <f>STATS1003B!T2378/1000</f>
        <v>0</v>
      </c>
      <c r="U2372" s="85">
        <f>STATS1003B!U2378/1000</f>
        <v>2306.1060000000002</v>
      </c>
      <c r="V2372" s="85">
        <f>STATS1003B!V2378/1000</f>
        <v>0</v>
      </c>
      <c r="W2372" s="85">
        <f>STATS1003B!W2378/1000</f>
        <v>0</v>
      </c>
      <c r="X2372" s="85">
        <f t="shared" si="259"/>
        <v>2306.1060000000002</v>
      </c>
      <c r="Y2372" s="85">
        <f>STATS1003B!Y2378/1000</f>
        <v>0</v>
      </c>
      <c r="Z2372" s="85">
        <f t="shared" si="260"/>
        <v>0</v>
      </c>
      <c r="AA2372" s="69">
        <f>STATS1003B!AA2378/1000</f>
        <v>2306.1060000000002</v>
      </c>
      <c r="AB2372" s="69">
        <f>STATS1003B!AB2378/1000</f>
        <v>0</v>
      </c>
    </row>
    <row r="2373" spans="1:28" hidden="1" x14ac:dyDescent="0.3">
      <c r="A2373" s="117"/>
      <c r="C2373" s="68" t="s">
        <v>535</v>
      </c>
      <c r="D2373" s="87" t="s">
        <v>85</v>
      </c>
      <c r="E2373" s="85">
        <f>STATS1003B!E2379/1000</f>
        <v>1101.5999999999999</v>
      </c>
      <c r="F2373" s="85">
        <f>STATS1003B!F2379/1000</f>
        <v>1101.5999999999999</v>
      </c>
      <c r="G2373" s="85">
        <f>STATS1003B!G2379/1000</f>
        <v>0</v>
      </c>
      <c r="H2373" s="85">
        <f>STATS1003B!H2379/1000</f>
        <v>1101.5999999999999</v>
      </c>
      <c r="I2373" s="85">
        <f>STATS1003B!I2379/1000</f>
        <v>0</v>
      </c>
      <c r="J2373" s="85">
        <f>STATS1003B!J2379/1000</f>
        <v>1101.5999999999999</v>
      </c>
      <c r="K2373" s="85">
        <f>STATS1003B!K2379/1000</f>
        <v>0</v>
      </c>
      <c r="L2373" s="85">
        <f>STATS1003B!L2379/1000</f>
        <v>0</v>
      </c>
      <c r="M2373" s="85">
        <f>STATS1003B!M2379/1000</f>
        <v>1101.5999999999999</v>
      </c>
      <c r="N2373" s="85">
        <f>STATS1003B!N2379/1000</f>
        <v>0</v>
      </c>
      <c r="O2373" s="85">
        <f>STATS1003B!O2379/1000</f>
        <v>0</v>
      </c>
      <c r="P2373" s="85">
        <f>STATS1003B!P2379/1000</f>
        <v>0</v>
      </c>
      <c r="Q2373" s="85">
        <f>STATS1003B!Q2379/1000</f>
        <v>1101.5999999999999</v>
      </c>
      <c r="R2373" s="85">
        <f>STATS1003B!R2379/1000</f>
        <v>0</v>
      </c>
      <c r="S2373" s="85">
        <f>STATS1003B!S2379/1000</f>
        <v>0</v>
      </c>
      <c r="T2373" s="85">
        <f>STATS1003B!T2379/1000</f>
        <v>0</v>
      </c>
      <c r="U2373" s="85">
        <f>STATS1003B!U2379/1000</f>
        <v>0</v>
      </c>
      <c r="V2373" s="85">
        <f>STATS1003B!V2379/1000</f>
        <v>0</v>
      </c>
      <c r="W2373" s="85">
        <f>STATS1003B!W2379/1000</f>
        <v>0</v>
      </c>
      <c r="X2373" s="85">
        <f t="shared" si="259"/>
        <v>1101.5999999999999</v>
      </c>
      <c r="Y2373" s="85">
        <f>STATS1003B!Y2379/1000</f>
        <v>0</v>
      </c>
      <c r="Z2373" s="85">
        <f t="shared" si="260"/>
        <v>0</v>
      </c>
      <c r="AA2373" s="69">
        <f>STATS1003B!AA2379/1000</f>
        <v>1101.5999999999999</v>
      </c>
      <c r="AB2373" s="69">
        <f>STATS1003B!AB2379/1000</f>
        <v>0</v>
      </c>
    </row>
    <row r="2374" spans="1:28" hidden="1" x14ac:dyDescent="0.3">
      <c r="A2374" s="117"/>
      <c r="B2374" s="68" t="s">
        <v>806</v>
      </c>
      <c r="C2374" s="68" t="s">
        <v>535</v>
      </c>
      <c r="D2374" s="87" t="s">
        <v>108</v>
      </c>
      <c r="E2374" s="85">
        <f>STATS1003B!E2380/1000</f>
        <v>10763.01555</v>
      </c>
      <c r="F2374" s="85">
        <f>STATS1003B!F2380/1000</f>
        <v>10763.01555</v>
      </c>
      <c r="G2374" s="85">
        <f>STATS1003B!G2380/1000</f>
        <v>0</v>
      </c>
      <c r="H2374" s="85">
        <f>STATS1003B!H2380/1000</f>
        <v>10763.01555</v>
      </c>
      <c r="I2374" s="85">
        <f>STATS1003B!I2380/1000</f>
        <v>0</v>
      </c>
      <c r="J2374" s="85">
        <f>STATS1003B!J2380/1000</f>
        <v>10763.01555</v>
      </c>
      <c r="K2374" s="85">
        <f>STATS1003B!K2380/1000</f>
        <v>0</v>
      </c>
      <c r="L2374" s="85">
        <f>STATS1003B!L2380/1000</f>
        <v>0</v>
      </c>
      <c r="M2374" s="85">
        <f>STATS1003B!M2380/1000</f>
        <v>10763.01555</v>
      </c>
      <c r="N2374" s="85">
        <f>STATS1003B!N2380/1000</f>
        <v>0</v>
      </c>
      <c r="O2374" s="85">
        <f>STATS1003B!O2380/1000</f>
        <v>0</v>
      </c>
      <c r="P2374" s="85">
        <f>STATS1003B!P2380/1000</f>
        <v>0</v>
      </c>
      <c r="Q2374" s="85">
        <f>STATS1003B!Q2380/1000</f>
        <v>10763.01555</v>
      </c>
      <c r="R2374" s="85">
        <f>STATS1003B!R2380/1000</f>
        <v>0</v>
      </c>
      <c r="S2374" s="85">
        <f>STATS1003B!S2380/1000</f>
        <v>0</v>
      </c>
      <c r="T2374" s="85">
        <f>STATS1003B!T2380/1000</f>
        <v>0</v>
      </c>
      <c r="U2374" s="85">
        <f>STATS1003B!U2380/1000</f>
        <v>0</v>
      </c>
      <c r="V2374" s="85">
        <f>STATS1003B!V2380/1000</f>
        <v>0</v>
      </c>
      <c r="W2374" s="85">
        <f>STATS1003B!W2380/1000</f>
        <v>0</v>
      </c>
      <c r="X2374" s="85">
        <f t="shared" si="259"/>
        <v>10763.01555</v>
      </c>
      <c r="Y2374" s="85">
        <f>STATS1003B!Y2380/1000</f>
        <v>0</v>
      </c>
      <c r="Z2374" s="85">
        <f t="shared" si="260"/>
        <v>0</v>
      </c>
      <c r="AA2374" s="69">
        <f>STATS1003B!AA2380/1000</f>
        <v>10763.01555</v>
      </c>
      <c r="AB2374" s="69">
        <f>STATS1003B!AB2380/1000</f>
        <v>0</v>
      </c>
    </row>
    <row r="2375" spans="1:28" hidden="1" x14ac:dyDescent="0.3">
      <c r="A2375" s="117"/>
      <c r="C2375" s="68" t="s">
        <v>847</v>
      </c>
      <c r="D2375" s="87" t="s">
        <v>108</v>
      </c>
      <c r="E2375" s="85">
        <f>STATS1003B!E2381/1000</f>
        <v>313.60000000000002</v>
      </c>
      <c r="F2375" s="85">
        <f>STATS1003B!F2381/1000</f>
        <v>313.60000000000002</v>
      </c>
      <c r="G2375" s="85">
        <f>STATS1003B!G2381/1000</f>
        <v>0</v>
      </c>
      <c r="H2375" s="85">
        <f>STATS1003B!H2381/1000</f>
        <v>313.60000000000002</v>
      </c>
      <c r="I2375" s="85">
        <f>STATS1003B!I2381/1000</f>
        <v>0</v>
      </c>
      <c r="J2375" s="85">
        <f>STATS1003B!J2381/1000</f>
        <v>313.60000000000002</v>
      </c>
      <c r="K2375" s="85">
        <f>STATS1003B!K2381/1000</f>
        <v>0</v>
      </c>
      <c r="L2375" s="85">
        <f>STATS1003B!L2381/1000</f>
        <v>0</v>
      </c>
      <c r="M2375" s="85">
        <f>STATS1003B!M2381/1000</f>
        <v>313.60000000000002</v>
      </c>
      <c r="N2375" s="85">
        <f>STATS1003B!N2381/1000</f>
        <v>0</v>
      </c>
      <c r="O2375" s="85">
        <f>STATS1003B!O2381/1000</f>
        <v>0</v>
      </c>
      <c r="P2375" s="85">
        <f>STATS1003B!P2381/1000</f>
        <v>0</v>
      </c>
      <c r="Q2375" s="85">
        <f>STATS1003B!Q2381/1000</f>
        <v>313.60000000000002</v>
      </c>
      <c r="R2375" s="85">
        <f>STATS1003B!R2381/1000</f>
        <v>0</v>
      </c>
      <c r="S2375" s="85">
        <f>STATS1003B!S2381/1000</f>
        <v>0</v>
      </c>
      <c r="T2375" s="85">
        <f>STATS1003B!T2381/1000</f>
        <v>0</v>
      </c>
      <c r="U2375" s="85">
        <f>STATS1003B!U2381/1000</f>
        <v>0</v>
      </c>
      <c r="V2375" s="85">
        <f>STATS1003B!V2381/1000</f>
        <v>0</v>
      </c>
      <c r="W2375" s="85">
        <f>STATS1003B!W2381/1000</f>
        <v>0</v>
      </c>
      <c r="X2375" s="85">
        <f t="shared" si="259"/>
        <v>313.60000000000002</v>
      </c>
      <c r="Y2375" s="85">
        <f>STATS1003B!Y2381/1000</f>
        <v>0</v>
      </c>
      <c r="Z2375" s="85">
        <f t="shared" si="260"/>
        <v>0</v>
      </c>
      <c r="AA2375" s="69">
        <f>STATS1003B!AA2381/1000</f>
        <v>313.60000000000002</v>
      </c>
      <c r="AB2375" s="69">
        <f>STATS1003B!AB2381/1000</f>
        <v>0</v>
      </c>
    </row>
    <row r="2376" spans="1:28" hidden="1" x14ac:dyDescent="0.3">
      <c r="A2376" s="117"/>
      <c r="C2376" s="68" t="s">
        <v>535</v>
      </c>
      <c r="D2376" s="87" t="s">
        <v>60</v>
      </c>
      <c r="E2376" s="85">
        <f>STATS1003B!E2382/1000</f>
        <v>1256.2242699999999</v>
      </c>
      <c r="F2376" s="85">
        <f>STATS1003B!F2382/1000</f>
        <v>1256.2242699999999</v>
      </c>
      <c r="G2376" s="85">
        <f>STATS1003B!G2382/1000</f>
        <v>0</v>
      </c>
      <c r="H2376" s="85">
        <f>STATS1003B!H2382/1000</f>
        <v>1256.2242699999999</v>
      </c>
      <c r="I2376" s="85">
        <f>STATS1003B!I2382/1000</f>
        <v>0</v>
      </c>
      <c r="J2376" s="85">
        <f>STATS1003B!J2382/1000</f>
        <v>1256.2242699999999</v>
      </c>
      <c r="K2376" s="85">
        <f>STATS1003B!K2382/1000</f>
        <v>0</v>
      </c>
      <c r="L2376" s="85">
        <f>STATS1003B!L2382/1000</f>
        <v>0</v>
      </c>
      <c r="M2376" s="85">
        <f>STATS1003B!M2382/1000</f>
        <v>1256.2242699999999</v>
      </c>
      <c r="N2376" s="85">
        <f>STATS1003B!N2382/1000</f>
        <v>0</v>
      </c>
      <c r="O2376" s="85">
        <f>STATS1003B!O2382/1000</f>
        <v>0</v>
      </c>
      <c r="P2376" s="85">
        <f>STATS1003B!P2382/1000</f>
        <v>0</v>
      </c>
      <c r="Q2376" s="85">
        <f>STATS1003B!Q2382/1000</f>
        <v>1256.2242699999999</v>
      </c>
      <c r="R2376" s="85">
        <f>STATS1003B!R2382/1000</f>
        <v>0</v>
      </c>
      <c r="S2376" s="85">
        <f>STATS1003B!S2382/1000</f>
        <v>0</v>
      </c>
      <c r="T2376" s="85">
        <f>STATS1003B!T2382/1000</f>
        <v>0</v>
      </c>
      <c r="U2376" s="85">
        <f>STATS1003B!U2382/1000</f>
        <v>0</v>
      </c>
      <c r="V2376" s="85">
        <f>STATS1003B!V2382/1000</f>
        <v>0</v>
      </c>
      <c r="W2376" s="85">
        <f>STATS1003B!W2382/1000</f>
        <v>0</v>
      </c>
      <c r="X2376" s="85">
        <f t="shared" si="259"/>
        <v>1256.2242699999999</v>
      </c>
      <c r="Y2376" s="85">
        <f>STATS1003B!Y2382/1000</f>
        <v>0</v>
      </c>
      <c r="Z2376" s="85">
        <f t="shared" si="260"/>
        <v>0</v>
      </c>
      <c r="AA2376" s="69">
        <f>STATS1003B!AA2382/1000</f>
        <v>1256.2242699999999</v>
      </c>
      <c r="AB2376" s="69">
        <f>STATS1003B!AB2382/1000</f>
        <v>0</v>
      </c>
    </row>
    <row r="2377" spans="1:28" hidden="1" x14ac:dyDescent="0.3">
      <c r="A2377" s="117"/>
      <c r="C2377" s="68" t="s">
        <v>535</v>
      </c>
      <c r="D2377" s="87" t="s">
        <v>73</v>
      </c>
      <c r="E2377" s="85">
        <f>STATS1003B!E2383/1000</f>
        <v>3005</v>
      </c>
      <c r="F2377" s="85">
        <f>STATS1003B!F2383/1000</f>
        <v>3005</v>
      </c>
      <c r="G2377" s="85">
        <f>STATS1003B!G2383/1000</f>
        <v>0</v>
      </c>
      <c r="H2377" s="85">
        <f>STATS1003B!H2383/1000</f>
        <v>3005</v>
      </c>
      <c r="I2377" s="85">
        <f>STATS1003B!I2383/1000</f>
        <v>0</v>
      </c>
      <c r="J2377" s="85">
        <f>STATS1003B!J2383/1000</f>
        <v>3005</v>
      </c>
      <c r="K2377" s="85">
        <f>STATS1003B!K2383/1000</f>
        <v>0</v>
      </c>
      <c r="L2377" s="85">
        <f>STATS1003B!L2383/1000</f>
        <v>0</v>
      </c>
      <c r="M2377" s="85">
        <f>STATS1003B!M2383/1000</f>
        <v>3005</v>
      </c>
      <c r="N2377" s="85">
        <f>STATS1003B!N2383/1000</f>
        <v>0</v>
      </c>
      <c r="O2377" s="85">
        <f>STATS1003B!O2383/1000</f>
        <v>0</v>
      </c>
      <c r="P2377" s="85">
        <f>STATS1003B!P2383/1000</f>
        <v>0</v>
      </c>
      <c r="Q2377" s="85">
        <f>STATS1003B!Q2383/1000</f>
        <v>3005</v>
      </c>
      <c r="R2377" s="85">
        <f>STATS1003B!R2383/1000</f>
        <v>0</v>
      </c>
      <c r="S2377" s="85">
        <f>STATS1003B!S2383/1000</f>
        <v>0</v>
      </c>
      <c r="T2377" s="85">
        <f>STATS1003B!T2383/1000</f>
        <v>0</v>
      </c>
      <c r="U2377" s="85">
        <f>STATS1003B!U2383/1000</f>
        <v>0</v>
      </c>
      <c r="V2377" s="85">
        <f>STATS1003B!V2383/1000</f>
        <v>0</v>
      </c>
      <c r="W2377" s="85">
        <f>STATS1003B!W2383/1000</f>
        <v>0</v>
      </c>
      <c r="X2377" s="85">
        <f t="shared" ref="X2377:X2440" si="265">+H2377+P2377</f>
        <v>3005</v>
      </c>
      <c r="Y2377" s="85">
        <f>STATS1003B!Y2383/1000</f>
        <v>0</v>
      </c>
      <c r="Z2377" s="85">
        <f t="shared" si="260"/>
        <v>0</v>
      </c>
      <c r="AA2377" s="69">
        <f>STATS1003B!AA2383/1000</f>
        <v>3005</v>
      </c>
      <c r="AB2377" s="69">
        <f>STATS1003B!AB2383/1000</f>
        <v>0</v>
      </c>
    </row>
    <row r="2378" spans="1:28" hidden="1" x14ac:dyDescent="0.3">
      <c r="A2378" s="117"/>
      <c r="C2378" s="68" t="s">
        <v>535</v>
      </c>
      <c r="D2378" s="87" t="s">
        <v>61</v>
      </c>
      <c r="E2378" s="85">
        <f>STATS1003B!E2384/1000</f>
        <v>914.18899999999996</v>
      </c>
      <c r="F2378" s="85">
        <f>STATS1003B!F2384/1000</f>
        <v>914.18899999999996</v>
      </c>
      <c r="G2378" s="85">
        <f>STATS1003B!G2384/1000</f>
        <v>0</v>
      </c>
      <c r="H2378" s="85">
        <f>STATS1003B!H2384/1000</f>
        <v>914.18899999999996</v>
      </c>
      <c r="I2378" s="85">
        <f>STATS1003B!I2384/1000</f>
        <v>0</v>
      </c>
      <c r="J2378" s="85">
        <f>STATS1003B!J2384/1000</f>
        <v>914.18899999999996</v>
      </c>
      <c r="K2378" s="85">
        <f>STATS1003B!K2384/1000</f>
        <v>0</v>
      </c>
      <c r="L2378" s="85">
        <f>STATS1003B!L2384/1000</f>
        <v>0</v>
      </c>
      <c r="M2378" s="85">
        <f>STATS1003B!M2384/1000</f>
        <v>914.18899999999996</v>
      </c>
      <c r="N2378" s="85">
        <f>STATS1003B!N2384/1000</f>
        <v>0</v>
      </c>
      <c r="O2378" s="85">
        <f>STATS1003B!O2384/1000</f>
        <v>0</v>
      </c>
      <c r="P2378" s="85">
        <f>STATS1003B!P2384/1000</f>
        <v>0</v>
      </c>
      <c r="Q2378" s="85">
        <f>STATS1003B!Q2384/1000</f>
        <v>914.18899999999996</v>
      </c>
      <c r="R2378" s="85">
        <f>STATS1003B!R2384/1000</f>
        <v>0</v>
      </c>
      <c r="S2378" s="85">
        <f>STATS1003B!S2384/1000</f>
        <v>0</v>
      </c>
      <c r="T2378" s="85">
        <f>STATS1003B!T2384/1000</f>
        <v>0</v>
      </c>
      <c r="U2378" s="85">
        <f>STATS1003B!U2384/1000</f>
        <v>0</v>
      </c>
      <c r="V2378" s="85">
        <f>STATS1003B!V2384/1000</f>
        <v>0</v>
      </c>
      <c r="W2378" s="85">
        <f>STATS1003B!W2384/1000</f>
        <v>0</v>
      </c>
      <c r="X2378" s="85">
        <f t="shared" si="265"/>
        <v>914.18899999999996</v>
      </c>
      <c r="Y2378" s="85">
        <f>STATS1003B!Y2384/1000</f>
        <v>0</v>
      </c>
      <c r="Z2378" s="85">
        <f t="shared" si="260"/>
        <v>0</v>
      </c>
      <c r="AA2378" s="69">
        <f>STATS1003B!AA2384/1000</f>
        <v>914.18899999999996</v>
      </c>
      <c r="AB2378" s="69">
        <f>STATS1003B!AB2384/1000</f>
        <v>0</v>
      </c>
    </row>
    <row r="2379" spans="1:28" hidden="1" x14ac:dyDescent="0.3">
      <c r="A2379" s="117"/>
      <c r="C2379" s="68" t="s">
        <v>1230</v>
      </c>
      <c r="D2379" s="90" t="s">
        <v>1225</v>
      </c>
      <c r="E2379" s="85">
        <f>STATS1003B!E2385/1000</f>
        <v>86.4</v>
      </c>
      <c r="F2379" s="85">
        <f>STATS1003B!F2385/1000</f>
        <v>86.4</v>
      </c>
      <c r="G2379" s="85">
        <f>STATS1003B!G2385/1000</f>
        <v>0</v>
      </c>
      <c r="H2379" s="85">
        <f>STATS1003B!H2385/1000</f>
        <v>86.4</v>
      </c>
      <c r="I2379" s="85">
        <f>STATS1003B!I2385/1000</f>
        <v>0</v>
      </c>
      <c r="J2379" s="85">
        <f>STATS1003B!J2385/1000</f>
        <v>86.4</v>
      </c>
      <c r="K2379" s="85">
        <f>STATS1003B!K2385/1000</f>
        <v>0</v>
      </c>
      <c r="L2379" s="85">
        <f>STATS1003B!L2385/1000</f>
        <v>0</v>
      </c>
      <c r="M2379" s="85">
        <f>STATS1003B!M2385/1000</f>
        <v>86.4</v>
      </c>
      <c r="N2379" s="85">
        <f>STATS1003B!N2385/1000</f>
        <v>0</v>
      </c>
      <c r="O2379" s="85">
        <f>STATS1003B!O2385/1000</f>
        <v>0</v>
      </c>
      <c r="P2379" s="85">
        <f>STATS1003B!P2385/1000</f>
        <v>0</v>
      </c>
      <c r="Q2379" s="85">
        <f>STATS1003B!Q2385/1000</f>
        <v>86.4</v>
      </c>
      <c r="R2379" s="85">
        <f>STATS1003B!R2385/1000</f>
        <v>0</v>
      </c>
      <c r="S2379" s="85">
        <f>STATS1003B!S2385/1000</f>
        <v>0</v>
      </c>
      <c r="T2379" s="85">
        <f>STATS1003B!T2385/1000</f>
        <v>0</v>
      </c>
      <c r="U2379" s="85">
        <f>STATS1003B!U2385/1000</f>
        <v>0</v>
      </c>
      <c r="V2379" s="85">
        <f>STATS1003B!V2385/1000</f>
        <v>0</v>
      </c>
      <c r="W2379" s="85">
        <f>STATS1003B!W2385/1000</f>
        <v>0</v>
      </c>
      <c r="X2379" s="85">
        <f t="shared" si="265"/>
        <v>86.4</v>
      </c>
      <c r="Y2379" s="85">
        <f>STATS1003B!Y2385/1000</f>
        <v>0</v>
      </c>
      <c r="Z2379" s="85">
        <f t="shared" si="260"/>
        <v>0</v>
      </c>
      <c r="AA2379" s="69">
        <f>STATS1003B!AA2385/1000</f>
        <v>86.4</v>
      </c>
      <c r="AB2379" s="69">
        <f>STATS1003B!AB2385/1000</f>
        <v>0</v>
      </c>
    </row>
    <row r="2380" spans="1:28" hidden="1" x14ac:dyDescent="0.3">
      <c r="A2380" s="117"/>
      <c r="C2380" s="68" t="s">
        <v>606</v>
      </c>
      <c r="E2380" s="85">
        <f>STATS1003B!E2386/1000</f>
        <v>2500</v>
      </c>
      <c r="F2380" s="85">
        <f>STATS1003B!F2386/1000</f>
        <v>2500</v>
      </c>
      <c r="G2380" s="85">
        <f>STATS1003B!G2386/1000</f>
        <v>0</v>
      </c>
      <c r="H2380" s="85">
        <f>STATS1003B!H2386/1000</f>
        <v>2500</v>
      </c>
      <c r="I2380" s="85">
        <f>STATS1003B!I2386/1000</f>
        <v>0</v>
      </c>
      <c r="J2380" s="85">
        <f>STATS1003B!J2386/1000</f>
        <v>2500</v>
      </c>
      <c r="K2380" s="85">
        <f>STATS1003B!K2386/1000</f>
        <v>0</v>
      </c>
      <c r="L2380" s="85">
        <f>STATS1003B!L2386/1000</f>
        <v>0</v>
      </c>
      <c r="M2380" s="85">
        <f>STATS1003B!M2386/1000</f>
        <v>2500</v>
      </c>
      <c r="N2380" s="85">
        <f>STATS1003B!N2386/1000</f>
        <v>0</v>
      </c>
      <c r="O2380" s="85">
        <f>STATS1003B!O2386/1000</f>
        <v>0</v>
      </c>
      <c r="P2380" s="85">
        <f>STATS1003B!P2386/1000</f>
        <v>0</v>
      </c>
      <c r="Q2380" s="85">
        <f>STATS1003B!Q2386/1000</f>
        <v>2500</v>
      </c>
      <c r="R2380" s="85">
        <f>STATS1003B!R2386/1000</f>
        <v>0</v>
      </c>
      <c r="S2380" s="85">
        <f>STATS1003B!S2386/1000</f>
        <v>0</v>
      </c>
      <c r="T2380" s="85">
        <f>STATS1003B!T2386/1000</f>
        <v>0</v>
      </c>
      <c r="U2380" s="85">
        <f>STATS1003B!U2386/1000</f>
        <v>0</v>
      </c>
      <c r="V2380" s="85">
        <f>STATS1003B!V2386/1000</f>
        <v>0</v>
      </c>
      <c r="W2380" s="85">
        <f>STATS1003B!W2386/1000</f>
        <v>0</v>
      </c>
      <c r="X2380" s="85">
        <f t="shared" si="265"/>
        <v>2500</v>
      </c>
      <c r="Y2380" s="85">
        <f>STATS1003B!Y2386/1000</f>
        <v>0</v>
      </c>
      <c r="Z2380" s="85">
        <f t="shared" si="260"/>
        <v>0</v>
      </c>
      <c r="AA2380" s="69">
        <f>STATS1003B!AA2386/1000</f>
        <v>2500</v>
      </c>
      <c r="AB2380" s="69">
        <f>STATS1003B!AB2386/1000</f>
        <v>0</v>
      </c>
    </row>
    <row r="2381" spans="1:28" hidden="1" x14ac:dyDescent="0.3">
      <c r="A2381" s="117"/>
      <c r="E2381" s="86" t="s">
        <v>29</v>
      </c>
      <c r="F2381" s="86" t="s">
        <v>29</v>
      </c>
      <c r="G2381" s="86" t="s">
        <v>29</v>
      </c>
      <c r="H2381" s="86" t="s">
        <v>29</v>
      </c>
      <c r="I2381" s="86" t="s">
        <v>29</v>
      </c>
      <c r="J2381" s="86" t="s">
        <v>29</v>
      </c>
      <c r="K2381" s="86" t="s">
        <v>29</v>
      </c>
      <c r="L2381" s="86" t="s">
        <v>29</v>
      </c>
      <c r="M2381" s="86" t="s">
        <v>29</v>
      </c>
      <c r="N2381" s="86" t="s">
        <v>29</v>
      </c>
      <c r="O2381" s="86" t="s">
        <v>29</v>
      </c>
      <c r="P2381" s="86" t="s">
        <v>29</v>
      </c>
      <c r="Q2381" s="86" t="s">
        <v>29</v>
      </c>
      <c r="R2381" s="86" t="s">
        <v>29</v>
      </c>
      <c r="S2381" s="86" t="s">
        <v>29</v>
      </c>
      <c r="T2381" s="86" t="s">
        <v>29</v>
      </c>
      <c r="U2381" s="86" t="s">
        <v>29</v>
      </c>
      <c r="V2381" s="86" t="s">
        <v>29</v>
      </c>
      <c r="W2381" s="86" t="s">
        <v>29</v>
      </c>
      <c r="X2381" s="85" t="e">
        <f t="shared" si="265"/>
        <v>#VALUE!</v>
      </c>
      <c r="Y2381" s="86" t="s">
        <v>29</v>
      </c>
      <c r="Z2381" s="85" t="e">
        <f t="shared" ref="Z2381:Z2444" si="266">+E2381-X2381</f>
        <v>#VALUE!</v>
      </c>
      <c r="AA2381" s="115" t="s">
        <v>29</v>
      </c>
      <c r="AB2381" s="115" t="s">
        <v>29</v>
      </c>
    </row>
    <row r="2382" spans="1:28" x14ac:dyDescent="0.3">
      <c r="A2382" s="116">
        <v>103</v>
      </c>
      <c r="B2382" s="68" t="s">
        <v>845</v>
      </c>
      <c r="E2382" s="85">
        <f>111381965.3/1000</f>
        <v>111381.9653</v>
      </c>
      <c r="F2382" s="85">
        <f t="shared" ref="F2382:Q2382" si="267">SUM(F2369:F2381)</f>
        <v>20823.538820000002</v>
      </c>
      <c r="G2382" s="85">
        <f t="shared" si="267"/>
        <v>0</v>
      </c>
      <c r="H2382" s="85">
        <f>108022684.77/1000</f>
        <v>108022.68476999999</v>
      </c>
      <c r="I2382" s="85">
        <f t="shared" si="267"/>
        <v>0</v>
      </c>
      <c r="J2382" s="85">
        <f t="shared" si="267"/>
        <v>20823.538820000002</v>
      </c>
      <c r="K2382" s="85">
        <f t="shared" si="267"/>
        <v>3359.28053</v>
      </c>
      <c r="L2382" s="85">
        <f t="shared" si="267"/>
        <v>0</v>
      </c>
      <c r="M2382" s="85">
        <f t="shared" si="267"/>
        <v>20823.538820000002</v>
      </c>
      <c r="N2382" s="85">
        <f t="shared" si="267"/>
        <v>3359.28053</v>
      </c>
      <c r="O2382" s="85">
        <f t="shared" si="267"/>
        <v>0</v>
      </c>
      <c r="P2382" s="85">
        <f>3359280/1000</f>
        <v>3359.28</v>
      </c>
      <c r="Q2382" s="85">
        <f t="shared" si="267"/>
        <v>20823.538820000002</v>
      </c>
      <c r="R2382" s="84"/>
      <c r="S2382" s="84"/>
      <c r="T2382" s="85">
        <f t="shared" ref="T2382:Y2382" si="268">SUM(T2369:T2381)</f>
        <v>0</v>
      </c>
      <c r="U2382" s="85">
        <f t="shared" si="268"/>
        <v>3359.28053</v>
      </c>
      <c r="V2382" s="85">
        <f t="shared" si="268"/>
        <v>0</v>
      </c>
      <c r="W2382" s="85">
        <f t="shared" si="268"/>
        <v>0</v>
      </c>
      <c r="X2382" s="85">
        <f t="shared" si="265"/>
        <v>111381.96476999999</v>
      </c>
      <c r="Y2382" s="85">
        <f t="shared" si="268"/>
        <v>0</v>
      </c>
      <c r="Z2382" s="85">
        <f t="shared" si="266"/>
        <v>5.3000000480096787E-4</v>
      </c>
      <c r="AA2382" s="69">
        <f>SUM(AA2369:AA2381)</f>
        <v>24182.819349999998</v>
      </c>
      <c r="AB2382" s="69">
        <f>SUM(AB2369:AB2381)</f>
        <v>0</v>
      </c>
    </row>
    <row r="2383" spans="1:28" hidden="1" x14ac:dyDescent="0.3">
      <c r="A2383" s="117"/>
      <c r="E2383" s="86" t="s">
        <v>29</v>
      </c>
      <c r="F2383" s="86" t="s">
        <v>29</v>
      </c>
      <c r="G2383" s="86" t="s">
        <v>29</v>
      </c>
      <c r="H2383" s="86" t="s">
        <v>29</v>
      </c>
      <c r="I2383" s="86" t="s">
        <v>29</v>
      </c>
      <c r="J2383" s="86" t="s">
        <v>29</v>
      </c>
      <c r="K2383" s="86" t="s">
        <v>29</v>
      </c>
      <c r="L2383" s="86" t="s">
        <v>29</v>
      </c>
      <c r="M2383" s="86" t="s">
        <v>29</v>
      </c>
      <c r="N2383" s="86" t="s">
        <v>29</v>
      </c>
      <c r="O2383" s="86" t="s">
        <v>29</v>
      </c>
      <c r="P2383" s="86" t="s">
        <v>29</v>
      </c>
      <c r="Q2383" s="86" t="s">
        <v>29</v>
      </c>
      <c r="R2383" s="86" t="s">
        <v>29</v>
      </c>
      <c r="S2383" s="86" t="s">
        <v>29</v>
      </c>
      <c r="T2383" s="86" t="s">
        <v>29</v>
      </c>
      <c r="U2383" s="86" t="s">
        <v>29</v>
      </c>
      <c r="V2383" s="86" t="s">
        <v>29</v>
      </c>
      <c r="W2383" s="86" t="s">
        <v>29</v>
      </c>
      <c r="X2383" s="85" t="e">
        <f t="shared" si="265"/>
        <v>#VALUE!</v>
      </c>
      <c r="Y2383" s="86" t="s">
        <v>29</v>
      </c>
      <c r="Z2383" s="85" t="e">
        <f t="shared" si="266"/>
        <v>#VALUE!</v>
      </c>
      <c r="AA2383" s="115" t="s">
        <v>29</v>
      </c>
      <c r="AB2383" s="115" t="s">
        <v>29</v>
      </c>
    </row>
    <row r="2384" spans="1:28" hidden="1" x14ac:dyDescent="0.3">
      <c r="A2384" s="105"/>
      <c r="E2384" s="84"/>
      <c r="F2384" s="84"/>
      <c r="G2384" s="84"/>
      <c r="H2384" s="84"/>
      <c r="I2384" s="84"/>
      <c r="J2384" s="84"/>
      <c r="K2384" s="84"/>
      <c r="L2384" s="84"/>
      <c r="M2384" s="84"/>
      <c r="N2384" s="84"/>
      <c r="O2384" s="84"/>
      <c r="P2384" s="84"/>
      <c r="Q2384" s="84"/>
      <c r="R2384" s="84"/>
      <c r="S2384" s="84"/>
      <c r="T2384" s="84"/>
      <c r="U2384" s="84"/>
      <c r="V2384" s="84"/>
      <c r="W2384" s="84"/>
      <c r="X2384" s="85">
        <f t="shared" si="265"/>
        <v>0</v>
      </c>
      <c r="Y2384" s="84"/>
      <c r="Z2384" s="85">
        <f t="shared" si="266"/>
        <v>0</v>
      </c>
    </row>
    <row r="2385" spans="1:28" hidden="1" x14ac:dyDescent="0.3">
      <c r="A2385" s="117"/>
      <c r="C2385" s="68" t="s">
        <v>535</v>
      </c>
      <c r="D2385" s="87" t="s">
        <v>76</v>
      </c>
      <c r="E2385" s="85">
        <f>STATS1003B!E2391/1000</f>
        <v>4789.7094900000002</v>
      </c>
      <c r="F2385" s="85">
        <f>STATS1003B!F2391/1000</f>
        <v>4525.41183</v>
      </c>
      <c r="G2385" s="85">
        <f>STATS1003B!G2391/1000</f>
        <v>0</v>
      </c>
      <c r="H2385" s="85">
        <f>STATS1003B!H2391/1000</f>
        <v>4525.41183</v>
      </c>
      <c r="I2385" s="85">
        <f>STATS1003B!I2391/1000</f>
        <v>0</v>
      </c>
      <c r="J2385" s="85">
        <f>STATS1003B!J2391/1000</f>
        <v>4525.41183</v>
      </c>
      <c r="K2385" s="85">
        <f>STATS1003B!K2391/1000</f>
        <v>264.29765999999995</v>
      </c>
      <c r="L2385" s="85">
        <f>STATS1003B!L2391/1000</f>
        <v>0</v>
      </c>
      <c r="M2385" s="85">
        <f>STATS1003B!M2391/1000</f>
        <v>4525.41183</v>
      </c>
      <c r="N2385" s="85">
        <f>STATS1003B!N2391/1000</f>
        <v>264.29765999999995</v>
      </c>
      <c r="O2385" s="85">
        <f>STATS1003B!O2391/1000</f>
        <v>0</v>
      </c>
      <c r="P2385" s="85">
        <f>STATS1003B!P2391/1000</f>
        <v>264.29765999999995</v>
      </c>
      <c r="Q2385" s="85">
        <f>STATS1003B!Q2391/1000</f>
        <v>4525.41183</v>
      </c>
      <c r="R2385" s="85">
        <f>STATS1003B!R2391/1000</f>
        <v>0</v>
      </c>
      <c r="S2385" s="85">
        <f>STATS1003B!S2391/1000</f>
        <v>0</v>
      </c>
      <c r="T2385" s="85">
        <f>STATS1003B!T2391/1000</f>
        <v>0</v>
      </c>
      <c r="U2385" s="85">
        <f>STATS1003B!U2391/1000</f>
        <v>264.29765999999995</v>
      </c>
      <c r="V2385" s="85">
        <f>STATS1003B!V2391/1000</f>
        <v>0</v>
      </c>
      <c r="W2385" s="85">
        <f>STATS1003B!W2391/1000</f>
        <v>0</v>
      </c>
      <c r="X2385" s="85">
        <f t="shared" si="265"/>
        <v>4789.7094900000002</v>
      </c>
      <c r="Y2385" s="85">
        <f>STATS1003B!Y2391/1000</f>
        <v>0</v>
      </c>
      <c r="Z2385" s="85">
        <f t="shared" si="266"/>
        <v>0</v>
      </c>
      <c r="AA2385" s="69">
        <f>STATS1003B!AA2391/1000</f>
        <v>4789.7094900000002</v>
      </c>
      <c r="AB2385" s="69">
        <f>STATS1003B!AB2391/1000</f>
        <v>0</v>
      </c>
    </row>
    <row r="2386" spans="1:28" hidden="1" x14ac:dyDescent="0.3">
      <c r="A2386" s="117"/>
      <c r="C2386" s="68" t="s">
        <v>535</v>
      </c>
      <c r="D2386" s="87" t="s">
        <v>849</v>
      </c>
      <c r="E2386" s="85">
        <f>STATS1003B!E2392/1000</f>
        <v>6054.3262199999999</v>
      </c>
      <c r="F2386" s="85">
        <f>STATS1003B!F2392/1000</f>
        <v>6054.3262199999999</v>
      </c>
      <c r="G2386" s="85">
        <f>STATS1003B!G2392/1000</f>
        <v>0</v>
      </c>
      <c r="H2386" s="85">
        <f>STATS1003B!H2392/1000</f>
        <v>6054.3262199999999</v>
      </c>
      <c r="I2386" s="85">
        <f>STATS1003B!I2392/1000</f>
        <v>0</v>
      </c>
      <c r="J2386" s="85">
        <f>STATS1003B!J2392/1000</f>
        <v>6054.3262199999999</v>
      </c>
      <c r="K2386" s="85">
        <f>STATS1003B!K2392/1000</f>
        <v>0</v>
      </c>
      <c r="L2386" s="85">
        <f>STATS1003B!L2392/1000</f>
        <v>0</v>
      </c>
      <c r="M2386" s="85">
        <f>STATS1003B!M2392/1000</f>
        <v>6054.3262199999999</v>
      </c>
      <c r="N2386" s="85">
        <f>STATS1003B!N2392/1000</f>
        <v>0</v>
      </c>
      <c r="O2386" s="85">
        <f>STATS1003B!O2392/1000</f>
        <v>0</v>
      </c>
      <c r="P2386" s="85">
        <f>STATS1003B!P2392/1000</f>
        <v>0</v>
      </c>
      <c r="Q2386" s="85">
        <f>STATS1003B!Q2392/1000</f>
        <v>6054.3262199999999</v>
      </c>
      <c r="R2386" s="85">
        <f>STATS1003B!R2392/1000</f>
        <v>0</v>
      </c>
      <c r="S2386" s="85">
        <f>STATS1003B!S2392/1000</f>
        <v>0</v>
      </c>
      <c r="T2386" s="85">
        <f>STATS1003B!T2392/1000</f>
        <v>0</v>
      </c>
      <c r="U2386" s="85">
        <f>STATS1003B!U2392/1000</f>
        <v>0</v>
      </c>
      <c r="V2386" s="85">
        <f>STATS1003B!V2392/1000</f>
        <v>0</v>
      </c>
      <c r="W2386" s="85">
        <f>STATS1003B!W2392/1000</f>
        <v>0</v>
      </c>
      <c r="X2386" s="85">
        <f t="shared" si="265"/>
        <v>6054.3262199999999</v>
      </c>
      <c r="Y2386" s="85">
        <f>STATS1003B!Y2392/1000</f>
        <v>0</v>
      </c>
      <c r="Z2386" s="85">
        <f t="shared" si="266"/>
        <v>0</v>
      </c>
      <c r="AA2386" s="69">
        <f>STATS1003B!AA2392/1000</f>
        <v>6054.3262199999999</v>
      </c>
      <c r="AB2386" s="69">
        <f>STATS1003B!AB2392/1000</f>
        <v>0</v>
      </c>
    </row>
    <row r="2387" spans="1:28" hidden="1" x14ac:dyDescent="0.3">
      <c r="A2387" s="117"/>
      <c r="C2387" s="68" t="s">
        <v>817</v>
      </c>
      <c r="D2387" s="87" t="s">
        <v>166</v>
      </c>
      <c r="E2387" s="85">
        <f>STATS1003B!E2393/1000</f>
        <v>2071.2634399999997</v>
      </c>
      <c r="F2387" s="85">
        <f>STATS1003B!F2393/1000</f>
        <v>2071.2634399999997</v>
      </c>
      <c r="G2387" s="85">
        <f>STATS1003B!G2393/1000</f>
        <v>0</v>
      </c>
      <c r="H2387" s="85">
        <f>STATS1003B!H2393/1000</f>
        <v>2071.2634399999997</v>
      </c>
      <c r="I2387" s="85">
        <f>STATS1003B!I2393/1000</f>
        <v>0</v>
      </c>
      <c r="J2387" s="85">
        <f>STATS1003B!J2393/1000</f>
        <v>2071.2634399999997</v>
      </c>
      <c r="K2387" s="85">
        <f>STATS1003B!K2393/1000</f>
        <v>0</v>
      </c>
      <c r="L2387" s="85">
        <f>STATS1003B!L2393/1000</f>
        <v>0</v>
      </c>
      <c r="M2387" s="85">
        <f>STATS1003B!M2393/1000</f>
        <v>2071.2634399999997</v>
      </c>
      <c r="N2387" s="85">
        <f>STATS1003B!N2393/1000</f>
        <v>0</v>
      </c>
      <c r="O2387" s="85">
        <f>STATS1003B!O2393/1000</f>
        <v>0</v>
      </c>
      <c r="P2387" s="85">
        <f>STATS1003B!P2393/1000</f>
        <v>0</v>
      </c>
      <c r="Q2387" s="85">
        <f>STATS1003B!Q2393/1000</f>
        <v>2071.2634399999997</v>
      </c>
      <c r="R2387" s="85">
        <f>STATS1003B!R2393/1000</f>
        <v>0</v>
      </c>
      <c r="S2387" s="85">
        <f>STATS1003B!S2393/1000</f>
        <v>0</v>
      </c>
      <c r="T2387" s="85">
        <f>STATS1003B!T2393/1000</f>
        <v>0</v>
      </c>
      <c r="U2387" s="85">
        <f>STATS1003B!U2393/1000</f>
        <v>0</v>
      </c>
      <c r="V2387" s="85">
        <f>STATS1003B!V2393/1000</f>
        <v>0</v>
      </c>
      <c r="W2387" s="85">
        <f>STATS1003B!W2393/1000</f>
        <v>0</v>
      </c>
      <c r="X2387" s="85">
        <f t="shared" si="265"/>
        <v>2071.2634399999997</v>
      </c>
      <c r="Y2387" s="85">
        <f>STATS1003B!Y2393/1000</f>
        <v>0</v>
      </c>
      <c r="Z2387" s="85">
        <f t="shared" si="266"/>
        <v>0</v>
      </c>
      <c r="AA2387" s="69">
        <f>STATS1003B!AA2393/1000</f>
        <v>2071.2634399999997</v>
      </c>
      <c r="AB2387" s="69">
        <f>STATS1003B!AB2393/1000</f>
        <v>0</v>
      </c>
    </row>
    <row r="2388" spans="1:28" hidden="1" x14ac:dyDescent="0.3">
      <c r="A2388" s="117"/>
      <c r="C2388" s="68" t="s">
        <v>535</v>
      </c>
      <c r="D2388" s="87" t="s">
        <v>78</v>
      </c>
      <c r="E2388" s="85">
        <f>STATS1003B!E2394/1000</f>
        <v>651.65</v>
      </c>
      <c r="F2388" s="85">
        <f>STATS1003B!F2394/1000</f>
        <v>651.65</v>
      </c>
      <c r="G2388" s="85">
        <f>STATS1003B!G2394/1000</f>
        <v>0</v>
      </c>
      <c r="H2388" s="85">
        <f>STATS1003B!H2394/1000</f>
        <v>651.65</v>
      </c>
      <c r="I2388" s="85">
        <f>STATS1003B!I2394/1000</f>
        <v>0</v>
      </c>
      <c r="J2388" s="85">
        <f>STATS1003B!J2394/1000</f>
        <v>651.65</v>
      </c>
      <c r="K2388" s="85">
        <f>STATS1003B!K2394/1000</f>
        <v>0</v>
      </c>
      <c r="L2388" s="85">
        <f>STATS1003B!L2394/1000</f>
        <v>0</v>
      </c>
      <c r="M2388" s="85">
        <f>STATS1003B!M2394/1000</f>
        <v>651.65</v>
      </c>
      <c r="N2388" s="85">
        <f>STATS1003B!N2394/1000</f>
        <v>0</v>
      </c>
      <c r="O2388" s="85">
        <f>STATS1003B!O2394/1000</f>
        <v>0</v>
      </c>
      <c r="P2388" s="85">
        <f>STATS1003B!P2394/1000</f>
        <v>0</v>
      </c>
      <c r="Q2388" s="85">
        <f>STATS1003B!Q2394/1000</f>
        <v>651.65</v>
      </c>
      <c r="R2388" s="85">
        <f>STATS1003B!R2394/1000</f>
        <v>0</v>
      </c>
      <c r="S2388" s="85">
        <f>STATS1003B!S2394/1000</f>
        <v>0</v>
      </c>
      <c r="T2388" s="85">
        <f>STATS1003B!T2394/1000</f>
        <v>0</v>
      </c>
      <c r="U2388" s="85">
        <f>STATS1003B!U2394/1000</f>
        <v>0</v>
      </c>
      <c r="V2388" s="85">
        <f>STATS1003B!V2394/1000</f>
        <v>0</v>
      </c>
      <c r="W2388" s="85">
        <f>STATS1003B!W2394/1000</f>
        <v>0</v>
      </c>
      <c r="X2388" s="85">
        <f t="shared" si="265"/>
        <v>651.65</v>
      </c>
      <c r="Y2388" s="85">
        <f>STATS1003B!Y2394/1000</f>
        <v>0</v>
      </c>
      <c r="Z2388" s="85">
        <f t="shared" si="266"/>
        <v>0</v>
      </c>
      <c r="AA2388" s="69">
        <f>STATS1003B!AA2394/1000</f>
        <v>651.65</v>
      </c>
      <c r="AB2388" s="69">
        <f>STATS1003B!AB2394/1000</f>
        <v>0</v>
      </c>
    </row>
    <row r="2389" spans="1:28" hidden="1" x14ac:dyDescent="0.3">
      <c r="A2389" s="117"/>
      <c r="C2389" s="68" t="s">
        <v>535</v>
      </c>
      <c r="D2389" s="87" t="s">
        <v>68</v>
      </c>
      <c r="E2389" s="85">
        <f>STATS1003B!E2395/1000</f>
        <v>49</v>
      </c>
      <c r="F2389" s="85">
        <f>STATS1003B!F2395/1000</f>
        <v>49</v>
      </c>
      <c r="G2389" s="85">
        <f>STATS1003B!G2395/1000</f>
        <v>0</v>
      </c>
      <c r="H2389" s="85">
        <f>STATS1003B!H2395/1000</f>
        <v>49</v>
      </c>
      <c r="I2389" s="85">
        <f>STATS1003B!I2395/1000</f>
        <v>0</v>
      </c>
      <c r="J2389" s="85">
        <f>STATS1003B!J2395/1000</f>
        <v>49</v>
      </c>
      <c r="K2389" s="85">
        <f>STATS1003B!K2395/1000</f>
        <v>0</v>
      </c>
      <c r="L2389" s="85">
        <f>STATS1003B!L2395/1000</f>
        <v>0</v>
      </c>
      <c r="M2389" s="85">
        <f>STATS1003B!M2395/1000</f>
        <v>49</v>
      </c>
      <c r="N2389" s="85">
        <f>STATS1003B!N2395/1000</f>
        <v>0</v>
      </c>
      <c r="O2389" s="85">
        <f>STATS1003B!O2395/1000</f>
        <v>0</v>
      </c>
      <c r="P2389" s="85">
        <f>STATS1003B!P2395/1000</f>
        <v>0</v>
      </c>
      <c r="Q2389" s="85">
        <f>STATS1003B!Q2395/1000</f>
        <v>49</v>
      </c>
      <c r="R2389" s="85">
        <f>STATS1003B!R2395/1000</f>
        <v>0</v>
      </c>
      <c r="S2389" s="85">
        <f>STATS1003B!S2395/1000</f>
        <v>0</v>
      </c>
      <c r="T2389" s="85">
        <f>STATS1003B!T2395/1000</f>
        <v>0</v>
      </c>
      <c r="U2389" s="85">
        <f>STATS1003B!U2395/1000</f>
        <v>0</v>
      </c>
      <c r="V2389" s="85">
        <f>STATS1003B!V2395/1000</f>
        <v>0</v>
      </c>
      <c r="W2389" s="85">
        <f>STATS1003B!W2395/1000</f>
        <v>0</v>
      </c>
      <c r="X2389" s="85">
        <f t="shared" si="265"/>
        <v>49</v>
      </c>
      <c r="Y2389" s="85">
        <f>STATS1003B!Y2395/1000</f>
        <v>0</v>
      </c>
      <c r="Z2389" s="85">
        <f t="shared" si="266"/>
        <v>0</v>
      </c>
      <c r="AA2389" s="69">
        <f>STATS1003B!AA2395/1000</f>
        <v>49</v>
      </c>
      <c r="AB2389" s="69">
        <f>STATS1003B!AB2395/1000</f>
        <v>0</v>
      </c>
    </row>
    <row r="2390" spans="1:28" hidden="1" x14ac:dyDescent="0.3">
      <c r="A2390" s="117"/>
      <c r="C2390" s="68" t="s">
        <v>539</v>
      </c>
      <c r="D2390" s="87" t="s">
        <v>68</v>
      </c>
      <c r="E2390" s="85">
        <f>STATS1003B!E2396/1000</f>
        <v>1094.0540900000001</v>
      </c>
      <c r="F2390" s="85">
        <f>STATS1003B!F2396/1000</f>
        <v>0</v>
      </c>
      <c r="G2390" s="85">
        <f>STATS1003B!G2396/1000</f>
        <v>0</v>
      </c>
      <c r="H2390" s="85">
        <f>STATS1003B!H2396/1000</f>
        <v>0</v>
      </c>
      <c r="I2390" s="85">
        <f>STATS1003B!I2396/1000</f>
        <v>0</v>
      </c>
      <c r="J2390" s="85">
        <f>STATS1003B!J2396/1000</f>
        <v>0</v>
      </c>
      <c r="K2390" s="85">
        <f>STATS1003B!K2396/1000</f>
        <v>1094.0540900000001</v>
      </c>
      <c r="L2390" s="85">
        <f>STATS1003B!L2396/1000</f>
        <v>0</v>
      </c>
      <c r="M2390" s="85">
        <f>STATS1003B!M2396/1000</f>
        <v>0</v>
      </c>
      <c r="N2390" s="85">
        <f>STATS1003B!N2396/1000</f>
        <v>1094.0540900000001</v>
      </c>
      <c r="O2390" s="85">
        <f>STATS1003B!O2396/1000</f>
        <v>0</v>
      </c>
      <c r="P2390" s="85">
        <f>STATS1003B!P2396/1000</f>
        <v>1094.0540900000001</v>
      </c>
      <c r="Q2390" s="85">
        <f>STATS1003B!Q2396/1000</f>
        <v>0</v>
      </c>
      <c r="R2390" s="85">
        <f>STATS1003B!R2396/1000</f>
        <v>0</v>
      </c>
      <c r="S2390" s="85">
        <f>STATS1003B!S2396/1000</f>
        <v>0</v>
      </c>
      <c r="T2390" s="85">
        <f>STATS1003B!T2396/1000</f>
        <v>0</v>
      </c>
      <c r="U2390" s="85">
        <f>STATS1003B!U2396/1000</f>
        <v>1094.0540900000001</v>
      </c>
      <c r="V2390" s="85">
        <f>STATS1003B!V2396/1000</f>
        <v>0</v>
      </c>
      <c r="W2390" s="85">
        <f>STATS1003B!W2396/1000</f>
        <v>0</v>
      </c>
      <c r="X2390" s="85">
        <f t="shared" si="265"/>
        <v>1094.0540900000001</v>
      </c>
      <c r="Y2390" s="85">
        <f>STATS1003B!Y2396/1000</f>
        <v>0</v>
      </c>
      <c r="Z2390" s="85">
        <f t="shared" si="266"/>
        <v>0</v>
      </c>
      <c r="AA2390" s="69">
        <f>STATS1003B!AA2396/1000</f>
        <v>1094.0540900000001</v>
      </c>
      <c r="AB2390" s="69">
        <f>STATS1003B!AB2396/1000</f>
        <v>0</v>
      </c>
    </row>
    <row r="2391" spans="1:28" hidden="1" x14ac:dyDescent="0.3">
      <c r="A2391" s="117"/>
      <c r="C2391" s="68" t="s">
        <v>545</v>
      </c>
      <c r="D2391" s="87" t="s">
        <v>54</v>
      </c>
      <c r="E2391" s="85">
        <f>STATS1003B!E2397/1000</f>
        <v>570.94100000000003</v>
      </c>
      <c r="F2391" s="85">
        <f>STATS1003B!F2397/1000</f>
        <v>0</v>
      </c>
      <c r="G2391" s="85">
        <f>STATS1003B!G2397/1000</f>
        <v>0</v>
      </c>
      <c r="H2391" s="85">
        <f>STATS1003B!H2397/1000</f>
        <v>0</v>
      </c>
      <c r="I2391" s="85">
        <f>STATS1003B!I2397/1000</f>
        <v>0</v>
      </c>
      <c r="J2391" s="85">
        <f>STATS1003B!J2397/1000</f>
        <v>0</v>
      </c>
      <c r="K2391" s="85">
        <f>STATS1003B!K2397/1000</f>
        <v>570.94100000000003</v>
      </c>
      <c r="L2391" s="85">
        <f>STATS1003B!L2397/1000</f>
        <v>0</v>
      </c>
      <c r="M2391" s="85">
        <f>STATS1003B!M2397/1000</f>
        <v>0</v>
      </c>
      <c r="N2391" s="85">
        <f>STATS1003B!N2397/1000</f>
        <v>570.94100000000003</v>
      </c>
      <c r="O2391" s="85">
        <f>STATS1003B!O2397/1000</f>
        <v>0</v>
      </c>
      <c r="P2391" s="85">
        <f>STATS1003B!P2397/1000</f>
        <v>570.94100000000003</v>
      </c>
      <c r="Q2391" s="85">
        <f>STATS1003B!Q2397/1000</f>
        <v>0</v>
      </c>
      <c r="R2391" s="85">
        <f>STATS1003B!R2397/1000</f>
        <v>0</v>
      </c>
      <c r="S2391" s="85">
        <f>STATS1003B!S2397/1000</f>
        <v>0</v>
      </c>
      <c r="T2391" s="85">
        <f>STATS1003B!T2397/1000</f>
        <v>0</v>
      </c>
      <c r="U2391" s="85">
        <f>STATS1003B!U2397/1000</f>
        <v>570.94100000000003</v>
      </c>
      <c r="V2391" s="85">
        <f>STATS1003B!V2397/1000</f>
        <v>0</v>
      </c>
      <c r="W2391" s="85">
        <f>STATS1003B!W2397/1000</f>
        <v>0</v>
      </c>
      <c r="X2391" s="85">
        <f t="shared" si="265"/>
        <v>570.94100000000003</v>
      </c>
      <c r="Y2391" s="85">
        <f>STATS1003B!Y2397/1000</f>
        <v>0</v>
      </c>
      <c r="Z2391" s="85">
        <f t="shared" si="266"/>
        <v>0</v>
      </c>
      <c r="AA2391" s="69">
        <f>STATS1003B!AA2397/1000</f>
        <v>570.94100000000003</v>
      </c>
      <c r="AB2391" s="69">
        <f>STATS1003B!AB2397/1000</f>
        <v>0</v>
      </c>
    </row>
    <row r="2392" spans="1:28" hidden="1" x14ac:dyDescent="0.3">
      <c r="A2392" s="117"/>
      <c r="C2392" s="68" t="s">
        <v>850</v>
      </c>
      <c r="D2392" s="88" t="s">
        <v>54</v>
      </c>
      <c r="E2392" s="85">
        <f>STATS1003B!E2398/1000</f>
        <v>2556.4499999999998</v>
      </c>
      <c r="F2392" s="85">
        <f>STATS1003B!F2398/1000</f>
        <v>2556.4499999999998</v>
      </c>
      <c r="G2392" s="85">
        <f>STATS1003B!G2398/1000</f>
        <v>0</v>
      </c>
      <c r="H2392" s="85">
        <f>STATS1003B!H2398/1000</f>
        <v>2556.4499999999998</v>
      </c>
      <c r="I2392" s="85">
        <f>STATS1003B!I2398/1000</f>
        <v>0</v>
      </c>
      <c r="J2392" s="85">
        <f>STATS1003B!J2398/1000</f>
        <v>2556.4499999999998</v>
      </c>
      <c r="K2392" s="85">
        <f>STATS1003B!K2398/1000</f>
        <v>0</v>
      </c>
      <c r="L2392" s="85">
        <f>STATS1003B!L2398/1000</f>
        <v>0</v>
      </c>
      <c r="M2392" s="85">
        <f>STATS1003B!M2398/1000</f>
        <v>2556.4499999999998</v>
      </c>
      <c r="N2392" s="85">
        <f>STATS1003B!N2398/1000</f>
        <v>0</v>
      </c>
      <c r="O2392" s="85">
        <f>STATS1003B!O2398/1000</f>
        <v>0</v>
      </c>
      <c r="P2392" s="85">
        <f>STATS1003B!P2398/1000</f>
        <v>0</v>
      </c>
      <c r="Q2392" s="85">
        <f>STATS1003B!Q2398/1000</f>
        <v>2556.4499999999998</v>
      </c>
      <c r="R2392" s="85">
        <f>STATS1003B!R2398/1000</f>
        <v>0</v>
      </c>
      <c r="S2392" s="85">
        <f>STATS1003B!S2398/1000</f>
        <v>0</v>
      </c>
      <c r="T2392" s="85">
        <f>STATS1003B!T2398/1000</f>
        <v>0</v>
      </c>
      <c r="U2392" s="85">
        <f>STATS1003B!U2398/1000</f>
        <v>0</v>
      </c>
      <c r="V2392" s="85">
        <f>STATS1003B!V2398/1000</f>
        <v>0</v>
      </c>
      <c r="W2392" s="85">
        <f>STATS1003B!W2398/1000</f>
        <v>0</v>
      </c>
      <c r="X2392" s="85">
        <f t="shared" si="265"/>
        <v>2556.4499999999998</v>
      </c>
      <c r="Y2392" s="85">
        <f>STATS1003B!Y2398/1000</f>
        <v>0</v>
      </c>
      <c r="Z2392" s="85">
        <f t="shared" si="266"/>
        <v>0</v>
      </c>
      <c r="AA2392" s="69">
        <f>STATS1003B!AA2398/1000</f>
        <v>2556.4499999999998</v>
      </c>
      <c r="AB2392" s="69">
        <f>STATS1003B!AB2398/1000</f>
        <v>0</v>
      </c>
    </row>
    <row r="2393" spans="1:28" hidden="1" x14ac:dyDescent="0.3">
      <c r="A2393" s="117"/>
      <c r="C2393" s="68" t="s">
        <v>851</v>
      </c>
      <c r="D2393" s="87" t="s">
        <v>54</v>
      </c>
      <c r="E2393" s="85">
        <f>STATS1003B!E2399/1000</f>
        <v>2013.05</v>
      </c>
      <c r="F2393" s="85">
        <f>STATS1003B!F2399/1000</f>
        <v>792.47900000000004</v>
      </c>
      <c r="G2393" s="85">
        <f>STATS1003B!G2399/1000</f>
        <v>0</v>
      </c>
      <c r="H2393" s="85">
        <f>STATS1003B!H2399/1000</f>
        <v>792.47900000000004</v>
      </c>
      <c r="I2393" s="85">
        <f>STATS1003B!I2399/1000</f>
        <v>0</v>
      </c>
      <c r="J2393" s="85">
        <f>STATS1003B!J2399/1000</f>
        <v>792.47900000000004</v>
      </c>
      <c r="K2393" s="85">
        <f>STATS1003B!K2399/1000</f>
        <v>1220.5709999999999</v>
      </c>
      <c r="L2393" s="85">
        <f>STATS1003B!L2399/1000</f>
        <v>0</v>
      </c>
      <c r="M2393" s="85">
        <f>STATS1003B!M2399/1000</f>
        <v>792.47900000000004</v>
      </c>
      <c r="N2393" s="85">
        <f>STATS1003B!N2399/1000</f>
        <v>1220.5709999999999</v>
      </c>
      <c r="O2393" s="85">
        <f>STATS1003B!O2399/1000</f>
        <v>0</v>
      </c>
      <c r="P2393" s="85">
        <f>STATS1003B!P2399/1000</f>
        <v>1220.5709999999999</v>
      </c>
      <c r="Q2393" s="85">
        <f>STATS1003B!Q2399/1000</f>
        <v>792.47900000000004</v>
      </c>
      <c r="R2393" s="85">
        <f>STATS1003B!R2399/1000</f>
        <v>0</v>
      </c>
      <c r="S2393" s="85">
        <f>STATS1003B!S2399/1000</f>
        <v>0</v>
      </c>
      <c r="T2393" s="85">
        <f>STATS1003B!T2399/1000</f>
        <v>0</v>
      </c>
      <c r="U2393" s="85">
        <f>STATS1003B!U2399/1000</f>
        <v>1220.5709999999999</v>
      </c>
      <c r="V2393" s="85">
        <f>STATS1003B!V2399/1000</f>
        <v>0</v>
      </c>
      <c r="W2393" s="85">
        <f>STATS1003B!W2399/1000</f>
        <v>0</v>
      </c>
      <c r="X2393" s="85">
        <f t="shared" si="265"/>
        <v>2013.05</v>
      </c>
      <c r="Y2393" s="85">
        <f>STATS1003B!Y2399/1000</f>
        <v>0</v>
      </c>
      <c r="Z2393" s="85">
        <f t="shared" si="266"/>
        <v>0</v>
      </c>
      <c r="AA2393" s="69">
        <f>STATS1003B!AA2399/1000</f>
        <v>2013.05</v>
      </c>
      <c r="AB2393" s="69">
        <f>STATS1003B!AB2399/1000</f>
        <v>0</v>
      </c>
    </row>
    <row r="2394" spans="1:28" hidden="1" x14ac:dyDescent="0.3">
      <c r="A2394" s="117"/>
      <c r="C2394" s="68" t="s">
        <v>852</v>
      </c>
      <c r="D2394" s="87" t="s">
        <v>54</v>
      </c>
      <c r="E2394" s="85">
        <f>STATS1003B!E2400/1000</f>
        <v>4194.8293400000002</v>
      </c>
      <c r="F2394" s="85">
        <f>STATS1003B!F2400/1000</f>
        <v>4194.8293400000002</v>
      </c>
      <c r="G2394" s="85">
        <f>STATS1003B!G2400/1000</f>
        <v>0</v>
      </c>
      <c r="H2394" s="85">
        <f>STATS1003B!H2400/1000</f>
        <v>4194.8293400000002</v>
      </c>
      <c r="I2394" s="85">
        <f>STATS1003B!I2400/1000</f>
        <v>0</v>
      </c>
      <c r="J2394" s="85">
        <f>STATS1003B!J2400/1000</f>
        <v>4194.8293400000002</v>
      </c>
      <c r="K2394" s="85">
        <f>STATS1003B!K2400/1000</f>
        <v>0</v>
      </c>
      <c r="L2394" s="85">
        <f>STATS1003B!L2400/1000</f>
        <v>0</v>
      </c>
      <c r="M2394" s="85">
        <f>STATS1003B!M2400/1000</f>
        <v>4194.8293400000002</v>
      </c>
      <c r="N2394" s="85">
        <f>STATS1003B!N2400/1000</f>
        <v>0</v>
      </c>
      <c r="O2394" s="85">
        <f>STATS1003B!O2400/1000</f>
        <v>0</v>
      </c>
      <c r="P2394" s="85">
        <f>STATS1003B!P2400/1000</f>
        <v>0</v>
      </c>
      <c r="Q2394" s="85">
        <f>STATS1003B!Q2400/1000</f>
        <v>4194.8293400000002</v>
      </c>
      <c r="R2394" s="85">
        <f>STATS1003B!R2400/1000</f>
        <v>0</v>
      </c>
      <c r="S2394" s="85">
        <f>STATS1003B!S2400/1000</f>
        <v>0</v>
      </c>
      <c r="T2394" s="85">
        <f>STATS1003B!T2400/1000</f>
        <v>0</v>
      </c>
      <c r="U2394" s="85">
        <f>STATS1003B!U2400/1000</f>
        <v>0</v>
      </c>
      <c r="V2394" s="85">
        <f>STATS1003B!V2400/1000</f>
        <v>0</v>
      </c>
      <c r="W2394" s="85">
        <f>STATS1003B!W2400/1000</f>
        <v>0</v>
      </c>
      <c r="X2394" s="85">
        <f t="shared" si="265"/>
        <v>4194.8293400000002</v>
      </c>
      <c r="Y2394" s="85">
        <f>STATS1003B!Y2400/1000</f>
        <v>0</v>
      </c>
      <c r="Z2394" s="85">
        <f t="shared" si="266"/>
        <v>0</v>
      </c>
      <c r="AA2394" s="69">
        <f>STATS1003B!AA2400/1000</f>
        <v>4194.8293400000002</v>
      </c>
      <c r="AB2394" s="69">
        <f>STATS1003B!AB2400/1000</f>
        <v>0</v>
      </c>
    </row>
    <row r="2395" spans="1:28" hidden="1" x14ac:dyDescent="0.3">
      <c r="A2395" s="117"/>
      <c r="C2395" s="68" t="s">
        <v>535</v>
      </c>
      <c r="D2395" s="87" t="s">
        <v>85</v>
      </c>
      <c r="E2395" s="85">
        <f>STATS1003B!E2401/1000</f>
        <v>704.47799999999995</v>
      </c>
      <c r="F2395" s="85">
        <f>STATS1003B!F2401/1000</f>
        <v>704.47799999999995</v>
      </c>
      <c r="G2395" s="85">
        <f>STATS1003B!G2401/1000</f>
        <v>0</v>
      </c>
      <c r="H2395" s="85">
        <f>STATS1003B!H2401/1000</f>
        <v>704.47799999999995</v>
      </c>
      <c r="I2395" s="85">
        <f>STATS1003B!I2401/1000</f>
        <v>0</v>
      </c>
      <c r="J2395" s="85">
        <f>STATS1003B!J2401/1000</f>
        <v>704.47799999999995</v>
      </c>
      <c r="K2395" s="85">
        <f>STATS1003B!K2401/1000</f>
        <v>0</v>
      </c>
      <c r="L2395" s="85">
        <f>STATS1003B!L2401/1000</f>
        <v>0</v>
      </c>
      <c r="M2395" s="85">
        <f>STATS1003B!M2401/1000</f>
        <v>704.47799999999995</v>
      </c>
      <c r="N2395" s="85">
        <f>STATS1003B!N2401/1000</f>
        <v>0</v>
      </c>
      <c r="O2395" s="85">
        <f>STATS1003B!O2401/1000</f>
        <v>0</v>
      </c>
      <c r="P2395" s="85">
        <f>STATS1003B!P2401/1000</f>
        <v>0</v>
      </c>
      <c r="Q2395" s="85">
        <f>STATS1003B!Q2401/1000</f>
        <v>704.47799999999995</v>
      </c>
      <c r="R2395" s="85">
        <f>STATS1003B!R2401/1000</f>
        <v>0</v>
      </c>
      <c r="S2395" s="85">
        <f>STATS1003B!S2401/1000</f>
        <v>0</v>
      </c>
      <c r="T2395" s="85">
        <f>STATS1003B!T2401/1000</f>
        <v>0</v>
      </c>
      <c r="U2395" s="85">
        <f>STATS1003B!U2401/1000</f>
        <v>0</v>
      </c>
      <c r="V2395" s="85">
        <f>STATS1003B!V2401/1000</f>
        <v>0</v>
      </c>
      <c r="W2395" s="85">
        <f>STATS1003B!W2401/1000</f>
        <v>0</v>
      </c>
      <c r="X2395" s="85">
        <f t="shared" si="265"/>
        <v>704.47799999999995</v>
      </c>
      <c r="Y2395" s="85">
        <f>STATS1003B!Y2401/1000</f>
        <v>0</v>
      </c>
      <c r="Z2395" s="85">
        <f t="shared" si="266"/>
        <v>0</v>
      </c>
      <c r="AA2395" s="69">
        <f>STATS1003B!AA2401/1000</f>
        <v>704.47799999999995</v>
      </c>
      <c r="AB2395" s="69">
        <f>STATS1003B!AB2401/1000</f>
        <v>0</v>
      </c>
    </row>
    <row r="2396" spans="1:28" hidden="1" x14ac:dyDescent="0.3">
      <c r="A2396" s="117"/>
      <c r="C2396" s="68" t="s">
        <v>535</v>
      </c>
      <c r="D2396" s="87" t="s">
        <v>88</v>
      </c>
      <c r="E2396" s="85">
        <f>STATS1003B!E2402/1000</f>
        <v>1080</v>
      </c>
      <c r="F2396" s="85">
        <f>STATS1003B!F2402/1000</f>
        <v>1080</v>
      </c>
      <c r="G2396" s="85">
        <f>STATS1003B!G2402/1000</f>
        <v>0</v>
      </c>
      <c r="H2396" s="85">
        <f>STATS1003B!H2402/1000</f>
        <v>1080</v>
      </c>
      <c r="I2396" s="85">
        <f>STATS1003B!I2402/1000</f>
        <v>0</v>
      </c>
      <c r="J2396" s="85">
        <f>STATS1003B!J2402/1000</f>
        <v>1080</v>
      </c>
      <c r="K2396" s="85">
        <f>STATS1003B!K2402/1000</f>
        <v>0</v>
      </c>
      <c r="L2396" s="85">
        <f>STATS1003B!L2402/1000</f>
        <v>0</v>
      </c>
      <c r="M2396" s="85">
        <f>STATS1003B!M2402/1000</f>
        <v>1080</v>
      </c>
      <c r="N2396" s="85">
        <f>STATS1003B!N2402/1000</f>
        <v>0</v>
      </c>
      <c r="O2396" s="85">
        <f>STATS1003B!O2402/1000</f>
        <v>0</v>
      </c>
      <c r="P2396" s="85">
        <f>STATS1003B!P2402/1000</f>
        <v>0</v>
      </c>
      <c r="Q2396" s="85">
        <f>STATS1003B!Q2402/1000</f>
        <v>1080</v>
      </c>
      <c r="R2396" s="85">
        <f>STATS1003B!R2402/1000</f>
        <v>0</v>
      </c>
      <c r="S2396" s="85">
        <f>STATS1003B!S2402/1000</f>
        <v>0</v>
      </c>
      <c r="T2396" s="85">
        <f>STATS1003B!T2402/1000</f>
        <v>0</v>
      </c>
      <c r="U2396" s="85">
        <f>STATS1003B!U2402/1000</f>
        <v>0</v>
      </c>
      <c r="V2396" s="85">
        <f>STATS1003B!V2402/1000</f>
        <v>0</v>
      </c>
      <c r="W2396" s="85">
        <f>STATS1003B!W2402/1000</f>
        <v>0</v>
      </c>
      <c r="X2396" s="85">
        <f t="shared" si="265"/>
        <v>1080</v>
      </c>
      <c r="Y2396" s="85">
        <f>STATS1003B!Y2402/1000</f>
        <v>0</v>
      </c>
      <c r="Z2396" s="85">
        <f t="shared" si="266"/>
        <v>0</v>
      </c>
      <c r="AA2396" s="69">
        <f>STATS1003B!AA2402/1000</f>
        <v>1080</v>
      </c>
      <c r="AB2396" s="69">
        <f>STATS1003B!AB2402/1000</f>
        <v>0</v>
      </c>
    </row>
    <row r="2397" spans="1:28" hidden="1" x14ac:dyDescent="0.3">
      <c r="A2397" s="117"/>
      <c r="C2397" s="68" t="s">
        <v>535</v>
      </c>
      <c r="D2397" s="87" t="s">
        <v>108</v>
      </c>
      <c r="E2397" s="85">
        <f>STATS1003B!E2403/1000</f>
        <v>1693.847</v>
      </c>
      <c r="F2397" s="85">
        <f>STATS1003B!F2403/1000</f>
        <v>1693.847</v>
      </c>
      <c r="G2397" s="85">
        <f>STATS1003B!G2403/1000</f>
        <v>0</v>
      </c>
      <c r="H2397" s="85">
        <f>STATS1003B!H2403/1000</f>
        <v>1693.847</v>
      </c>
      <c r="I2397" s="85">
        <f>STATS1003B!I2403/1000</f>
        <v>0</v>
      </c>
      <c r="J2397" s="85">
        <f>STATS1003B!J2403/1000</f>
        <v>1693.847</v>
      </c>
      <c r="K2397" s="85">
        <f>STATS1003B!K2403/1000</f>
        <v>0</v>
      </c>
      <c r="L2397" s="85">
        <f>STATS1003B!L2403/1000</f>
        <v>0</v>
      </c>
      <c r="M2397" s="85">
        <f>STATS1003B!M2403/1000</f>
        <v>1693.847</v>
      </c>
      <c r="N2397" s="85">
        <f>STATS1003B!N2403/1000</f>
        <v>0</v>
      </c>
      <c r="O2397" s="85">
        <f>STATS1003B!O2403/1000</f>
        <v>0</v>
      </c>
      <c r="P2397" s="85">
        <f>STATS1003B!P2403/1000</f>
        <v>0</v>
      </c>
      <c r="Q2397" s="85">
        <f>STATS1003B!Q2403/1000</f>
        <v>1693.847</v>
      </c>
      <c r="R2397" s="85">
        <f>STATS1003B!R2403/1000</f>
        <v>0</v>
      </c>
      <c r="S2397" s="85">
        <f>STATS1003B!S2403/1000</f>
        <v>0</v>
      </c>
      <c r="T2397" s="85">
        <f>STATS1003B!T2403/1000</f>
        <v>0</v>
      </c>
      <c r="U2397" s="85">
        <f>STATS1003B!U2403/1000</f>
        <v>0</v>
      </c>
      <c r="V2397" s="85">
        <f>STATS1003B!V2403/1000</f>
        <v>0</v>
      </c>
      <c r="W2397" s="85">
        <f>STATS1003B!W2403/1000</f>
        <v>0</v>
      </c>
      <c r="X2397" s="85">
        <f t="shared" si="265"/>
        <v>1693.847</v>
      </c>
      <c r="Y2397" s="85">
        <f>STATS1003B!Y2403/1000</f>
        <v>0</v>
      </c>
      <c r="Z2397" s="85">
        <f t="shared" si="266"/>
        <v>0</v>
      </c>
      <c r="AA2397" s="69">
        <f>STATS1003B!AA2403/1000</f>
        <v>1693.847</v>
      </c>
      <c r="AB2397" s="69">
        <f>STATS1003B!AB2403/1000</f>
        <v>0</v>
      </c>
    </row>
    <row r="2398" spans="1:28" hidden="1" x14ac:dyDescent="0.3">
      <c r="A2398" s="117"/>
      <c r="C2398" s="68" t="s">
        <v>535</v>
      </c>
      <c r="D2398" s="88" t="s">
        <v>60</v>
      </c>
      <c r="E2398" s="85">
        <f>STATS1003B!E2404/1000</f>
        <v>2083.6999999999998</v>
      </c>
      <c r="F2398" s="85">
        <f>STATS1003B!F2404/1000</f>
        <v>2083.6999999999998</v>
      </c>
      <c r="G2398" s="85">
        <f>STATS1003B!G2404/1000</f>
        <v>0</v>
      </c>
      <c r="H2398" s="85">
        <f>STATS1003B!H2404/1000</f>
        <v>2083.6999999999998</v>
      </c>
      <c r="I2398" s="85">
        <f>STATS1003B!I2404/1000</f>
        <v>0</v>
      </c>
      <c r="J2398" s="85">
        <f>STATS1003B!J2404/1000</f>
        <v>2083.6999999999998</v>
      </c>
      <c r="K2398" s="85">
        <f>STATS1003B!K2404/1000</f>
        <v>0</v>
      </c>
      <c r="L2398" s="85">
        <f>STATS1003B!L2404/1000</f>
        <v>0</v>
      </c>
      <c r="M2398" s="85">
        <f>STATS1003B!M2404/1000</f>
        <v>2083.6999999999998</v>
      </c>
      <c r="N2398" s="85">
        <f>STATS1003B!N2404/1000</f>
        <v>0</v>
      </c>
      <c r="O2398" s="85">
        <f>STATS1003B!O2404/1000</f>
        <v>0</v>
      </c>
      <c r="P2398" s="85">
        <f>STATS1003B!P2404/1000</f>
        <v>0</v>
      </c>
      <c r="Q2398" s="85">
        <f>STATS1003B!Q2404/1000</f>
        <v>2083.6999999999998</v>
      </c>
      <c r="R2398" s="85">
        <f>STATS1003B!R2404/1000</f>
        <v>0</v>
      </c>
      <c r="S2398" s="85">
        <f>STATS1003B!S2404/1000</f>
        <v>0</v>
      </c>
      <c r="T2398" s="85">
        <f>STATS1003B!T2404/1000</f>
        <v>0</v>
      </c>
      <c r="U2398" s="85">
        <f>STATS1003B!U2404/1000</f>
        <v>0</v>
      </c>
      <c r="V2398" s="85">
        <f>STATS1003B!V2404/1000</f>
        <v>0</v>
      </c>
      <c r="W2398" s="85">
        <f>STATS1003B!W2404/1000</f>
        <v>0</v>
      </c>
      <c r="X2398" s="85">
        <f t="shared" si="265"/>
        <v>2083.6999999999998</v>
      </c>
      <c r="Y2398" s="85">
        <f>STATS1003B!Y2404/1000</f>
        <v>0</v>
      </c>
      <c r="Z2398" s="85">
        <f t="shared" si="266"/>
        <v>0</v>
      </c>
      <c r="AA2398" s="69">
        <f>STATS1003B!AA2404/1000</f>
        <v>2083.6999999999998</v>
      </c>
      <c r="AB2398" s="69">
        <f>STATS1003B!AB2404/1000</f>
        <v>0</v>
      </c>
    </row>
    <row r="2399" spans="1:28" hidden="1" x14ac:dyDescent="0.3">
      <c r="A2399" s="117"/>
      <c r="C2399" s="68" t="s">
        <v>853</v>
      </c>
      <c r="D2399" s="88" t="s">
        <v>60</v>
      </c>
      <c r="E2399" s="85">
        <f>STATS1003B!E2405/1000</f>
        <v>1300</v>
      </c>
      <c r="F2399" s="85">
        <f>STATS1003B!F2405/1000</f>
        <v>1300</v>
      </c>
      <c r="G2399" s="85">
        <f>STATS1003B!G2405/1000</f>
        <v>0</v>
      </c>
      <c r="H2399" s="85">
        <f>STATS1003B!H2405/1000</f>
        <v>1300</v>
      </c>
      <c r="I2399" s="85">
        <f>STATS1003B!I2405/1000</f>
        <v>0</v>
      </c>
      <c r="J2399" s="85">
        <f>STATS1003B!J2405/1000</f>
        <v>1300</v>
      </c>
      <c r="K2399" s="85">
        <f>STATS1003B!K2405/1000</f>
        <v>0</v>
      </c>
      <c r="L2399" s="85">
        <f>STATS1003B!L2405/1000</f>
        <v>0</v>
      </c>
      <c r="M2399" s="85">
        <f>STATS1003B!M2405/1000</f>
        <v>1300</v>
      </c>
      <c r="N2399" s="85">
        <f>STATS1003B!N2405/1000</f>
        <v>0</v>
      </c>
      <c r="O2399" s="85">
        <f>STATS1003B!O2405/1000</f>
        <v>0</v>
      </c>
      <c r="P2399" s="85">
        <f>STATS1003B!P2405/1000</f>
        <v>0</v>
      </c>
      <c r="Q2399" s="85">
        <f>STATS1003B!Q2405/1000</f>
        <v>1300</v>
      </c>
      <c r="R2399" s="85">
        <f>STATS1003B!R2405/1000</f>
        <v>0</v>
      </c>
      <c r="S2399" s="85">
        <f>STATS1003B!S2405/1000</f>
        <v>0</v>
      </c>
      <c r="T2399" s="85">
        <f>STATS1003B!T2405/1000</f>
        <v>0</v>
      </c>
      <c r="U2399" s="85">
        <f>STATS1003B!U2405/1000</f>
        <v>0</v>
      </c>
      <c r="V2399" s="85">
        <f>STATS1003B!V2405/1000</f>
        <v>0</v>
      </c>
      <c r="W2399" s="85">
        <f>STATS1003B!W2405/1000</f>
        <v>0</v>
      </c>
      <c r="X2399" s="85">
        <f t="shared" si="265"/>
        <v>1300</v>
      </c>
      <c r="Y2399" s="85">
        <f>STATS1003B!Y2405/1000</f>
        <v>0</v>
      </c>
      <c r="Z2399" s="85">
        <f t="shared" si="266"/>
        <v>0</v>
      </c>
      <c r="AA2399" s="69">
        <f>STATS1003B!AA2405/1000</f>
        <v>1300</v>
      </c>
      <c r="AB2399" s="69">
        <f>STATS1003B!AB2405/1000</f>
        <v>0</v>
      </c>
    </row>
    <row r="2400" spans="1:28" hidden="1" x14ac:dyDescent="0.3">
      <c r="A2400" s="117"/>
      <c r="C2400" s="68" t="s">
        <v>535</v>
      </c>
      <c r="D2400" s="88" t="s">
        <v>73</v>
      </c>
      <c r="E2400" s="85">
        <f>STATS1003B!E2406/1000</f>
        <v>1649.3589999999999</v>
      </c>
      <c r="F2400" s="85">
        <f>STATS1003B!F2406/1000</f>
        <v>1649.3589999999999</v>
      </c>
      <c r="G2400" s="85">
        <f>STATS1003B!G2406/1000</f>
        <v>0</v>
      </c>
      <c r="H2400" s="85">
        <f>STATS1003B!H2406/1000</f>
        <v>1649.3589999999999</v>
      </c>
      <c r="I2400" s="85">
        <f>STATS1003B!I2406/1000</f>
        <v>0</v>
      </c>
      <c r="J2400" s="85">
        <f>STATS1003B!J2406/1000</f>
        <v>1649.3589999999999</v>
      </c>
      <c r="K2400" s="85">
        <f>STATS1003B!K2406/1000</f>
        <v>0</v>
      </c>
      <c r="L2400" s="85">
        <f>STATS1003B!L2406/1000</f>
        <v>0</v>
      </c>
      <c r="M2400" s="85">
        <f>STATS1003B!M2406/1000</f>
        <v>1649.3589999999999</v>
      </c>
      <c r="N2400" s="85">
        <f>STATS1003B!N2406/1000</f>
        <v>0</v>
      </c>
      <c r="O2400" s="85">
        <f>STATS1003B!O2406/1000</f>
        <v>0</v>
      </c>
      <c r="P2400" s="85">
        <f>STATS1003B!P2406/1000</f>
        <v>0</v>
      </c>
      <c r="Q2400" s="85">
        <f>STATS1003B!Q2406/1000</f>
        <v>1649.3589999999999</v>
      </c>
      <c r="R2400" s="85">
        <f>STATS1003B!R2406/1000</f>
        <v>0</v>
      </c>
      <c r="S2400" s="85">
        <f>STATS1003B!S2406/1000</f>
        <v>0</v>
      </c>
      <c r="T2400" s="85">
        <f>STATS1003B!T2406/1000</f>
        <v>0</v>
      </c>
      <c r="U2400" s="85">
        <f>STATS1003B!U2406/1000</f>
        <v>0</v>
      </c>
      <c r="V2400" s="85">
        <f>STATS1003B!V2406/1000</f>
        <v>0</v>
      </c>
      <c r="W2400" s="85">
        <f>STATS1003B!W2406/1000</f>
        <v>0</v>
      </c>
      <c r="X2400" s="85">
        <f t="shared" si="265"/>
        <v>1649.3589999999999</v>
      </c>
      <c r="Y2400" s="85">
        <f>STATS1003B!Y2406/1000</f>
        <v>0</v>
      </c>
      <c r="Z2400" s="85">
        <f t="shared" si="266"/>
        <v>0</v>
      </c>
      <c r="AA2400" s="69">
        <f>STATS1003B!AA2406/1000</f>
        <v>1649.3589999999999</v>
      </c>
      <c r="AB2400" s="69">
        <f>STATS1003B!AB2406/1000</f>
        <v>0</v>
      </c>
    </row>
    <row r="2401" spans="1:28" hidden="1" x14ac:dyDescent="0.3">
      <c r="A2401" s="117"/>
      <c r="C2401" s="68" t="s">
        <v>898</v>
      </c>
      <c r="D2401" s="88"/>
      <c r="E2401" s="85">
        <f>STATS1003B!E2407/1000</f>
        <v>2487.7984200000001</v>
      </c>
      <c r="F2401" s="85">
        <f>STATS1003B!F2407/1000</f>
        <v>2487.7984200000001</v>
      </c>
      <c r="G2401" s="85">
        <f>STATS1003B!G2407/1000</f>
        <v>0</v>
      </c>
      <c r="H2401" s="85">
        <f>STATS1003B!H2407/1000</f>
        <v>2487.7984200000001</v>
      </c>
      <c r="I2401" s="85">
        <f>STATS1003B!I2407/1000</f>
        <v>0</v>
      </c>
      <c r="J2401" s="85">
        <f>STATS1003B!J2407/1000</f>
        <v>2487.7984200000001</v>
      </c>
      <c r="K2401" s="85">
        <f>STATS1003B!K2407/1000</f>
        <v>0</v>
      </c>
      <c r="L2401" s="85">
        <f>STATS1003B!L2407/1000</f>
        <v>0</v>
      </c>
      <c r="M2401" s="85">
        <f>STATS1003B!M2407/1000</f>
        <v>2487.7984200000001</v>
      </c>
      <c r="N2401" s="85">
        <f>STATS1003B!N2407/1000</f>
        <v>0</v>
      </c>
      <c r="O2401" s="85">
        <f>STATS1003B!O2407/1000</f>
        <v>0</v>
      </c>
      <c r="P2401" s="85">
        <f>STATS1003B!P2407/1000</f>
        <v>0</v>
      </c>
      <c r="Q2401" s="85">
        <f>STATS1003B!Q2407/1000</f>
        <v>2487.7984200000001</v>
      </c>
      <c r="R2401" s="85">
        <f>STATS1003B!R2407/1000</f>
        <v>0</v>
      </c>
      <c r="S2401" s="85">
        <f>STATS1003B!S2407/1000</f>
        <v>0</v>
      </c>
      <c r="T2401" s="85">
        <f>STATS1003B!T2407/1000</f>
        <v>0</v>
      </c>
      <c r="U2401" s="85">
        <f>STATS1003B!U2407/1000</f>
        <v>0</v>
      </c>
      <c r="V2401" s="85">
        <f>STATS1003B!V2407/1000</f>
        <v>0</v>
      </c>
      <c r="W2401" s="85">
        <f>STATS1003B!W2407/1000</f>
        <v>0</v>
      </c>
      <c r="X2401" s="85">
        <f t="shared" si="265"/>
        <v>2487.7984200000001</v>
      </c>
      <c r="Y2401" s="85">
        <f>STATS1003B!Y2407/1000</f>
        <v>0</v>
      </c>
      <c r="Z2401" s="85">
        <f t="shared" si="266"/>
        <v>0</v>
      </c>
      <c r="AA2401" s="69">
        <f>STATS1003B!AA2407/1000</f>
        <v>2487.7984200000001</v>
      </c>
      <c r="AB2401" s="69">
        <f>STATS1003B!AB2407/1000</f>
        <v>0</v>
      </c>
    </row>
    <row r="2402" spans="1:28" hidden="1" x14ac:dyDescent="0.3">
      <c r="A2402" s="117"/>
      <c r="C2402" s="68" t="s">
        <v>933</v>
      </c>
      <c r="D2402" s="88"/>
      <c r="E2402" s="85">
        <f>STATS1003B!E2408/1000</f>
        <v>3291</v>
      </c>
      <c r="F2402" s="85">
        <f>STATS1003B!F2408/1000</f>
        <v>3291</v>
      </c>
      <c r="G2402" s="85">
        <f>STATS1003B!G2408/1000</f>
        <v>0</v>
      </c>
      <c r="H2402" s="85">
        <f>STATS1003B!H2408/1000</f>
        <v>3291</v>
      </c>
      <c r="I2402" s="85">
        <f>STATS1003B!I2408/1000</f>
        <v>0</v>
      </c>
      <c r="J2402" s="85">
        <f>STATS1003B!J2408/1000</f>
        <v>0</v>
      </c>
      <c r="K2402" s="85">
        <f>STATS1003B!K2408/1000</f>
        <v>0</v>
      </c>
      <c r="L2402" s="85">
        <f>STATS1003B!L2408/1000</f>
        <v>0</v>
      </c>
      <c r="M2402" s="85">
        <f>STATS1003B!M2408/1000</f>
        <v>3291</v>
      </c>
      <c r="N2402" s="85">
        <f>STATS1003B!N2408/1000</f>
        <v>0</v>
      </c>
      <c r="O2402" s="85">
        <f>STATS1003B!O2408/1000</f>
        <v>0</v>
      </c>
      <c r="P2402" s="85">
        <f>STATS1003B!P2408/1000</f>
        <v>0</v>
      </c>
      <c r="Q2402" s="85">
        <f>STATS1003B!Q2408/1000</f>
        <v>3291</v>
      </c>
      <c r="R2402" s="85">
        <f>STATS1003B!R2408/1000</f>
        <v>0</v>
      </c>
      <c r="S2402" s="85">
        <f>STATS1003B!S2408/1000</f>
        <v>0</v>
      </c>
      <c r="T2402" s="85">
        <f>STATS1003B!T2408/1000</f>
        <v>0</v>
      </c>
      <c r="U2402" s="85">
        <f>STATS1003B!U2408/1000</f>
        <v>0</v>
      </c>
      <c r="V2402" s="85">
        <f>STATS1003B!V2408/1000</f>
        <v>0</v>
      </c>
      <c r="W2402" s="85">
        <f>STATS1003B!W2408/1000</f>
        <v>0</v>
      </c>
      <c r="X2402" s="85">
        <f t="shared" si="265"/>
        <v>3291</v>
      </c>
      <c r="Y2402" s="85">
        <f>STATS1003B!Y2408/1000</f>
        <v>0</v>
      </c>
      <c r="Z2402" s="85">
        <f t="shared" si="266"/>
        <v>0</v>
      </c>
      <c r="AA2402" s="69">
        <f>STATS1003B!AA2408/1000</f>
        <v>3291</v>
      </c>
      <c r="AB2402" s="69">
        <f>STATS1003B!AB2408/1000</f>
        <v>0</v>
      </c>
    </row>
    <row r="2403" spans="1:28" hidden="1" x14ac:dyDescent="0.3">
      <c r="A2403" s="117"/>
      <c r="C2403" s="68" t="s">
        <v>1173</v>
      </c>
      <c r="D2403" s="89" t="s">
        <v>1126</v>
      </c>
      <c r="E2403" s="85">
        <f>STATS1003B!E2409/1000</f>
        <v>4500</v>
      </c>
      <c r="F2403" s="85">
        <f>STATS1003B!F2409/1000</f>
        <v>4500</v>
      </c>
      <c r="G2403" s="85">
        <f>STATS1003B!G2409/1000</f>
        <v>0</v>
      </c>
      <c r="H2403" s="85">
        <f>STATS1003B!H2409/1000</f>
        <v>4500</v>
      </c>
      <c r="I2403" s="85">
        <f>STATS1003B!I2409/1000</f>
        <v>0</v>
      </c>
      <c r="J2403" s="85">
        <f>STATS1003B!J2409/1000</f>
        <v>0</v>
      </c>
      <c r="K2403" s="85">
        <f>STATS1003B!K2409/1000</f>
        <v>0</v>
      </c>
      <c r="L2403" s="85">
        <f>STATS1003B!L2409/1000</f>
        <v>0</v>
      </c>
      <c r="M2403" s="85">
        <f>STATS1003B!M2409/1000</f>
        <v>4500</v>
      </c>
      <c r="N2403" s="85">
        <f>STATS1003B!N2409/1000</f>
        <v>0</v>
      </c>
      <c r="O2403" s="85">
        <f>STATS1003B!O2409/1000</f>
        <v>0</v>
      </c>
      <c r="P2403" s="85">
        <f>STATS1003B!P2409/1000</f>
        <v>0</v>
      </c>
      <c r="Q2403" s="85">
        <f>STATS1003B!Q2409/1000</f>
        <v>4500</v>
      </c>
      <c r="R2403" s="85">
        <f>STATS1003B!R2409/1000</f>
        <v>0</v>
      </c>
      <c r="S2403" s="85">
        <f>STATS1003B!S2409/1000</f>
        <v>0</v>
      </c>
      <c r="T2403" s="85">
        <f>STATS1003B!T2409/1000</f>
        <v>0</v>
      </c>
      <c r="U2403" s="85">
        <f>STATS1003B!U2409/1000</f>
        <v>0</v>
      </c>
      <c r="V2403" s="85">
        <f>STATS1003B!V2409/1000</f>
        <v>0</v>
      </c>
      <c r="W2403" s="85">
        <f>STATS1003B!W2409/1000</f>
        <v>0</v>
      </c>
      <c r="X2403" s="85">
        <f t="shared" si="265"/>
        <v>4500</v>
      </c>
      <c r="Y2403" s="85">
        <f>STATS1003B!Y2409/1000</f>
        <v>0</v>
      </c>
      <c r="Z2403" s="85">
        <f t="shared" si="266"/>
        <v>0</v>
      </c>
      <c r="AA2403" s="69">
        <f>STATS1003B!AA2409/1000</f>
        <v>4500</v>
      </c>
      <c r="AB2403" s="69">
        <f>STATS1003B!AB2409/1000</f>
        <v>0</v>
      </c>
    </row>
    <row r="2404" spans="1:28" hidden="1" x14ac:dyDescent="0.3">
      <c r="A2404" s="117"/>
      <c r="C2404" s="68" t="s">
        <v>1083</v>
      </c>
      <c r="D2404" s="89" t="s">
        <v>1072</v>
      </c>
      <c r="E2404" s="85">
        <f>STATS1003B!E2410/1000</f>
        <v>10922.323530000001</v>
      </c>
      <c r="F2404" s="85">
        <f>STATS1003B!F2410/1000</f>
        <v>10922.323530000001</v>
      </c>
      <c r="G2404" s="85">
        <f>STATS1003B!G2410/1000</f>
        <v>0</v>
      </c>
      <c r="H2404" s="85">
        <f>STATS1003B!H2410/1000</f>
        <v>10922.323530000001</v>
      </c>
      <c r="I2404" s="85">
        <f>STATS1003B!I2410/1000</f>
        <v>0</v>
      </c>
      <c r="J2404" s="85">
        <f>STATS1003B!J2410/1000</f>
        <v>0</v>
      </c>
      <c r="K2404" s="85">
        <f>STATS1003B!K2410/1000</f>
        <v>0</v>
      </c>
      <c r="L2404" s="85">
        <f>STATS1003B!L2410/1000</f>
        <v>0</v>
      </c>
      <c r="M2404" s="85">
        <f>STATS1003B!M2410/1000</f>
        <v>10922.323530000001</v>
      </c>
      <c r="N2404" s="85">
        <f>STATS1003B!N2410/1000</f>
        <v>0</v>
      </c>
      <c r="O2404" s="85">
        <f>STATS1003B!O2410/1000</f>
        <v>0</v>
      </c>
      <c r="P2404" s="85">
        <f>STATS1003B!P2410/1000</f>
        <v>0</v>
      </c>
      <c r="Q2404" s="85">
        <f>STATS1003B!Q2410/1000</f>
        <v>0</v>
      </c>
      <c r="R2404" s="85">
        <f>STATS1003B!R2410/1000</f>
        <v>0</v>
      </c>
      <c r="S2404" s="85">
        <f>STATS1003B!S2410/1000</f>
        <v>0</v>
      </c>
      <c r="T2404" s="85">
        <f>STATS1003B!T2410/1000</f>
        <v>0</v>
      </c>
      <c r="U2404" s="85">
        <f>STATS1003B!U2410/1000</f>
        <v>0</v>
      </c>
      <c r="V2404" s="85">
        <f>STATS1003B!V2410/1000</f>
        <v>0</v>
      </c>
      <c r="W2404" s="85">
        <f>STATS1003B!W2410/1000</f>
        <v>0</v>
      </c>
      <c r="X2404" s="85">
        <f t="shared" si="265"/>
        <v>10922.323530000001</v>
      </c>
      <c r="Y2404" s="85">
        <f>STATS1003B!Y2410/1000</f>
        <v>0</v>
      </c>
      <c r="Z2404" s="85">
        <f t="shared" si="266"/>
        <v>0</v>
      </c>
      <c r="AA2404" s="69">
        <f>STATS1003B!AA2410/1000</f>
        <v>10922.323530000001</v>
      </c>
      <c r="AB2404" s="69">
        <f>STATS1003B!AB2410/1000</f>
        <v>0</v>
      </c>
    </row>
    <row r="2405" spans="1:28" hidden="1" x14ac:dyDescent="0.3">
      <c r="A2405" s="117"/>
      <c r="C2405" s="68" t="s">
        <v>1061</v>
      </c>
      <c r="D2405" s="88"/>
      <c r="E2405" s="85">
        <f>STATS1003B!E2411/1000</f>
        <v>769</v>
      </c>
      <c r="F2405" s="85">
        <f>STATS1003B!F2411/1000</f>
        <v>769</v>
      </c>
      <c r="G2405" s="85">
        <f>STATS1003B!G2411/1000</f>
        <v>0</v>
      </c>
      <c r="H2405" s="85">
        <f>STATS1003B!H2411/1000</f>
        <v>769</v>
      </c>
      <c r="I2405" s="85">
        <f>STATS1003B!I2411/1000</f>
        <v>0</v>
      </c>
      <c r="J2405" s="85">
        <f>STATS1003B!J2411/1000</f>
        <v>769</v>
      </c>
      <c r="K2405" s="85">
        <f>STATS1003B!K2411/1000</f>
        <v>0</v>
      </c>
      <c r="L2405" s="85">
        <f>STATS1003B!L2411/1000</f>
        <v>0</v>
      </c>
      <c r="M2405" s="85">
        <f>STATS1003B!M2411/1000</f>
        <v>769</v>
      </c>
      <c r="N2405" s="85">
        <f>STATS1003B!N2411/1000</f>
        <v>0</v>
      </c>
      <c r="O2405" s="85">
        <f>STATS1003B!O2411/1000</f>
        <v>0</v>
      </c>
      <c r="P2405" s="85">
        <f>STATS1003B!P2411/1000</f>
        <v>0</v>
      </c>
      <c r="Q2405" s="85">
        <f>STATS1003B!Q2411/1000</f>
        <v>769</v>
      </c>
      <c r="R2405" s="85">
        <f>STATS1003B!R2411/1000</f>
        <v>0</v>
      </c>
      <c r="S2405" s="85">
        <f>STATS1003B!S2411/1000</f>
        <v>0</v>
      </c>
      <c r="T2405" s="85">
        <f>STATS1003B!T2411/1000</f>
        <v>0</v>
      </c>
      <c r="U2405" s="85">
        <f>STATS1003B!U2411/1000</f>
        <v>0</v>
      </c>
      <c r="V2405" s="85">
        <f>STATS1003B!V2411/1000</f>
        <v>0</v>
      </c>
      <c r="W2405" s="85">
        <f>STATS1003B!W2411/1000</f>
        <v>0</v>
      </c>
      <c r="X2405" s="85">
        <f t="shared" si="265"/>
        <v>769</v>
      </c>
      <c r="Y2405" s="85">
        <f>STATS1003B!Y2411/1000</f>
        <v>0</v>
      </c>
      <c r="Z2405" s="85">
        <f t="shared" si="266"/>
        <v>0</v>
      </c>
      <c r="AA2405" s="69">
        <f>STATS1003B!AA2411/1000</f>
        <v>769</v>
      </c>
      <c r="AB2405" s="69">
        <f>STATS1003B!AB2411/1000</f>
        <v>0</v>
      </c>
    </row>
    <row r="2406" spans="1:28" hidden="1" x14ac:dyDescent="0.3">
      <c r="A2406" s="117"/>
      <c r="C2406" s="71" t="s">
        <v>568</v>
      </c>
      <c r="E2406" s="85">
        <f>STATS1003B!E2412/1000</f>
        <v>2760.4155599999999</v>
      </c>
      <c r="F2406" s="85">
        <f>STATS1003B!F2412/1000</f>
        <v>2760.4155599999999</v>
      </c>
      <c r="G2406" s="85">
        <f>STATS1003B!G2412/1000</f>
        <v>0</v>
      </c>
      <c r="H2406" s="85">
        <f>STATS1003B!H2412/1000</f>
        <v>2760.4155599999999</v>
      </c>
      <c r="I2406" s="85">
        <f>STATS1003B!I2412/1000</f>
        <v>0</v>
      </c>
      <c r="J2406" s="85">
        <f>STATS1003B!J2412/1000</f>
        <v>2760.4155599999999</v>
      </c>
      <c r="K2406" s="85">
        <f>STATS1003B!K2412/1000</f>
        <v>0</v>
      </c>
      <c r="L2406" s="85">
        <f>STATS1003B!L2412/1000</f>
        <v>0</v>
      </c>
      <c r="M2406" s="85">
        <f>STATS1003B!M2412/1000</f>
        <v>2760.4155599999999</v>
      </c>
      <c r="N2406" s="85">
        <f>STATS1003B!N2412/1000</f>
        <v>0</v>
      </c>
      <c r="O2406" s="85">
        <f>STATS1003B!O2412/1000</f>
        <v>0</v>
      </c>
      <c r="P2406" s="85">
        <f>STATS1003B!P2412/1000</f>
        <v>0</v>
      </c>
      <c r="Q2406" s="85">
        <f>STATS1003B!Q2412/1000</f>
        <v>2760.4155599999999</v>
      </c>
      <c r="R2406" s="85">
        <f>STATS1003B!R2412/1000</f>
        <v>0</v>
      </c>
      <c r="S2406" s="85">
        <f>STATS1003B!S2412/1000</f>
        <v>0</v>
      </c>
      <c r="T2406" s="85">
        <f>STATS1003B!T2412/1000</f>
        <v>0</v>
      </c>
      <c r="U2406" s="85">
        <f>STATS1003B!U2412/1000</f>
        <v>0</v>
      </c>
      <c r="V2406" s="85">
        <f>STATS1003B!V2412/1000</f>
        <v>0</v>
      </c>
      <c r="W2406" s="85">
        <f>STATS1003B!W2412/1000</f>
        <v>0</v>
      </c>
      <c r="X2406" s="85">
        <f t="shared" si="265"/>
        <v>2760.4155599999999</v>
      </c>
      <c r="Y2406" s="85">
        <f>STATS1003B!Y2412/1000</f>
        <v>0</v>
      </c>
      <c r="Z2406" s="85">
        <f t="shared" si="266"/>
        <v>0</v>
      </c>
      <c r="AA2406" s="69">
        <f>STATS1003B!AA2412/1000</f>
        <v>2760.4155599999999</v>
      </c>
      <c r="AB2406" s="69">
        <f>STATS1003B!AB2412/1000</f>
        <v>0</v>
      </c>
    </row>
    <row r="2407" spans="1:28" hidden="1" x14ac:dyDescent="0.3">
      <c r="A2407" s="117"/>
      <c r="C2407" s="68" t="s">
        <v>550</v>
      </c>
      <c r="E2407" s="85">
        <f>STATS1003B!E2413/1000</f>
        <v>40.622999999999998</v>
      </c>
      <c r="F2407" s="85">
        <f>STATS1003B!F2413/1000</f>
        <v>40.622999999999998</v>
      </c>
      <c r="G2407" s="85">
        <f>STATS1003B!G2413/1000</f>
        <v>0</v>
      </c>
      <c r="H2407" s="85">
        <f>STATS1003B!H2413/1000</f>
        <v>40.622999999999998</v>
      </c>
      <c r="I2407" s="85">
        <f>STATS1003B!I2413/1000</f>
        <v>0</v>
      </c>
      <c r="J2407" s="85">
        <f>STATS1003B!J2413/1000</f>
        <v>40.622999999999998</v>
      </c>
      <c r="K2407" s="85">
        <f>STATS1003B!K2413/1000</f>
        <v>0</v>
      </c>
      <c r="L2407" s="85">
        <f>STATS1003B!L2413/1000</f>
        <v>0</v>
      </c>
      <c r="M2407" s="85">
        <f>STATS1003B!M2413/1000</f>
        <v>40.622999999999998</v>
      </c>
      <c r="N2407" s="85">
        <f>STATS1003B!N2413/1000</f>
        <v>0</v>
      </c>
      <c r="O2407" s="85">
        <f>STATS1003B!O2413/1000</f>
        <v>0</v>
      </c>
      <c r="P2407" s="85">
        <f>STATS1003B!P2413/1000</f>
        <v>0</v>
      </c>
      <c r="Q2407" s="85">
        <f>STATS1003B!Q2413/1000</f>
        <v>40.622999999999998</v>
      </c>
      <c r="R2407" s="85">
        <f>STATS1003B!R2413/1000</f>
        <v>0</v>
      </c>
      <c r="S2407" s="85">
        <f>STATS1003B!S2413/1000</f>
        <v>0</v>
      </c>
      <c r="T2407" s="85">
        <f>STATS1003B!T2413/1000</f>
        <v>0</v>
      </c>
      <c r="U2407" s="85">
        <f>STATS1003B!U2413/1000</f>
        <v>0</v>
      </c>
      <c r="V2407" s="85">
        <f>STATS1003B!V2413/1000</f>
        <v>0</v>
      </c>
      <c r="W2407" s="85">
        <f>STATS1003B!W2413/1000</f>
        <v>0</v>
      </c>
      <c r="X2407" s="85">
        <f t="shared" si="265"/>
        <v>40.622999999999998</v>
      </c>
      <c r="Y2407" s="85">
        <f>STATS1003B!Y2413/1000</f>
        <v>0</v>
      </c>
      <c r="Z2407" s="85">
        <f t="shared" si="266"/>
        <v>0</v>
      </c>
      <c r="AA2407" s="69">
        <f>STATS1003B!AA2413/1000</f>
        <v>40.622999999999998</v>
      </c>
      <c r="AB2407" s="69">
        <f>STATS1003B!AB2413/1000</f>
        <v>0</v>
      </c>
    </row>
    <row r="2408" spans="1:28" hidden="1" x14ac:dyDescent="0.3">
      <c r="A2408" s="117"/>
      <c r="C2408" s="68" t="s">
        <v>606</v>
      </c>
      <c r="E2408" s="85">
        <f>STATS1003B!E2414/1000</f>
        <v>5000</v>
      </c>
      <c r="F2408" s="85">
        <f>STATS1003B!F2414/1000</f>
        <v>5000</v>
      </c>
      <c r="G2408" s="85">
        <f>STATS1003B!G2414/1000</f>
        <v>0</v>
      </c>
      <c r="H2408" s="85">
        <f>STATS1003B!H2414/1000</f>
        <v>5000</v>
      </c>
      <c r="I2408" s="85">
        <f>STATS1003B!I2414/1000</f>
        <v>0</v>
      </c>
      <c r="J2408" s="85">
        <f>STATS1003B!J2414/1000</f>
        <v>5000</v>
      </c>
      <c r="K2408" s="85">
        <f>STATS1003B!K2414/1000</f>
        <v>0</v>
      </c>
      <c r="L2408" s="85">
        <f>STATS1003B!L2414/1000</f>
        <v>0</v>
      </c>
      <c r="M2408" s="85">
        <f>STATS1003B!M2414/1000</f>
        <v>5000</v>
      </c>
      <c r="N2408" s="85">
        <f>STATS1003B!N2414/1000</f>
        <v>0</v>
      </c>
      <c r="O2408" s="85">
        <f>STATS1003B!O2414/1000</f>
        <v>0</v>
      </c>
      <c r="P2408" s="85">
        <f>STATS1003B!P2414/1000</f>
        <v>0</v>
      </c>
      <c r="Q2408" s="85">
        <f>STATS1003B!Q2414/1000</f>
        <v>5000</v>
      </c>
      <c r="R2408" s="85">
        <f>STATS1003B!R2414/1000</f>
        <v>0</v>
      </c>
      <c r="S2408" s="85">
        <f>STATS1003B!S2414/1000</f>
        <v>0</v>
      </c>
      <c r="T2408" s="85">
        <f>STATS1003B!T2414/1000</f>
        <v>0</v>
      </c>
      <c r="U2408" s="85">
        <f>STATS1003B!U2414/1000</f>
        <v>0</v>
      </c>
      <c r="V2408" s="85">
        <f>STATS1003B!V2414/1000</f>
        <v>0</v>
      </c>
      <c r="W2408" s="85">
        <f>STATS1003B!W2414/1000</f>
        <v>0</v>
      </c>
      <c r="X2408" s="85">
        <f t="shared" si="265"/>
        <v>5000</v>
      </c>
      <c r="Y2408" s="85">
        <f>STATS1003B!Y2414/1000</f>
        <v>0</v>
      </c>
      <c r="Z2408" s="85">
        <f t="shared" si="266"/>
        <v>0</v>
      </c>
      <c r="AA2408" s="69">
        <f>STATS1003B!AA2414/1000</f>
        <v>5000</v>
      </c>
      <c r="AB2408" s="69">
        <f>STATS1003B!AB2414/1000</f>
        <v>0</v>
      </c>
    </row>
    <row r="2409" spans="1:28" hidden="1" x14ac:dyDescent="0.3">
      <c r="A2409" s="117"/>
      <c r="E2409" s="86" t="s">
        <v>29</v>
      </c>
      <c r="F2409" s="86" t="s">
        <v>29</v>
      </c>
      <c r="G2409" s="86" t="s">
        <v>29</v>
      </c>
      <c r="H2409" s="86" t="s">
        <v>29</v>
      </c>
      <c r="I2409" s="86" t="s">
        <v>29</v>
      </c>
      <c r="J2409" s="86" t="s">
        <v>29</v>
      </c>
      <c r="K2409" s="86" t="s">
        <v>29</v>
      </c>
      <c r="L2409" s="86" t="s">
        <v>29</v>
      </c>
      <c r="M2409" s="86" t="s">
        <v>29</v>
      </c>
      <c r="N2409" s="86" t="s">
        <v>29</v>
      </c>
      <c r="O2409" s="86" t="s">
        <v>29</v>
      </c>
      <c r="P2409" s="86" t="s">
        <v>29</v>
      </c>
      <c r="Q2409" s="86" t="s">
        <v>29</v>
      </c>
      <c r="R2409" s="86" t="s">
        <v>29</v>
      </c>
      <c r="S2409" s="86" t="s">
        <v>29</v>
      </c>
      <c r="T2409" s="86" t="s">
        <v>29</v>
      </c>
      <c r="U2409" s="86" t="s">
        <v>29</v>
      </c>
      <c r="V2409" s="86" t="s">
        <v>29</v>
      </c>
      <c r="W2409" s="86" t="s">
        <v>29</v>
      </c>
      <c r="X2409" s="85" t="e">
        <f t="shared" si="265"/>
        <v>#VALUE!</v>
      </c>
      <c r="Y2409" s="86" t="s">
        <v>29</v>
      </c>
      <c r="Z2409" s="85" t="e">
        <f t="shared" si="266"/>
        <v>#VALUE!</v>
      </c>
      <c r="AA2409" s="115" t="s">
        <v>29</v>
      </c>
      <c r="AB2409" s="115" t="s">
        <v>29</v>
      </c>
    </row>
    <row r="2410" spans="1:28" x14ac:dyDescent="0.3">
      <c r="A2410" s="116">
        <v>104</v>
      </c>
      <c r="B2410" s="68" t="s">
        <v>848</v>
      </c>
      <c r="E2410" s="85">
        <f>116912246.48/1000</f>
        <v>116912.24648</v>
      </c>
      <c r="F2410" s="85">
        <f t="shared" ref="F2410:Q2410" si="269">SUM(F2385:F2409)</f>
        <v>59177.954340000004</v>
      </c>
      <c r="G2410" s="85">
        <f t="shared" si="269"/>
        <v>0</v>
      </c>
      <c r="H2410" s="85">
        <f>113762382.73/1000</f>
        <v>113762.38273</v>
      </c>
      <c r="I2410" s="85">
        <f t="shared" si="269"/>
        <v>0</v>
      </c>
      <c r="J2410" s="85">
        <f t="shared" si="269"/>
        <v>40464.630809999995</v>
      </c>
      <c r="K2410" s="85">
        <f t="shared" si="269"/>
        <v>3149.86375</v>
      </c>
      <c r="L2410" s="85">
        <f t="shared" si="269"/>
        <v>0</v>
      </c>
      <c r="M2410" s="85">
        <f t="shared" si="269"/>
        <v>59177.954340000004</v>
      </c>
      <c r="N2410" s="85">
        <f t="shared" si="269"/>
        <v>3149.86375</v>
      </c>
      <c r="O2410" s="85">
        <f t="shared" si="269"/>
        <v>0</v>
      </c>
      <c r="P2410" s="85">
        <f>3149863/1000</f>
        <v>3149.8629999999998</v>
      </c>
      <c r="Q2410" s="85">
        <f t="shared" si="269"/>
        <v>48255.630810000002</v>
      </c>
      <c r="R2410" s="84"/>
      <c r="S2410" s="84"/>
      <c r="T2410" s="85">
        <f t="shared" ref="T2410:Y2410" si="270">SUM(T2385:T2409)</f>
        <v>0</v>
      </c>
      <c r="U2410" s="85">
        <f t="shared" si="270"/>
        <v>3149.86375</v>
      </c>
      <c r="V2410" s="85">
        <f t="shared" si="270"/>
        <v>0</v>
      </c>
      <c r="W2410" s="85">
        <f t="shared" si="270"/>
        <v>0</v>
      </c>
      <c r="X2410" s="85">
        <f t="shared" si="265"/>
        <v>116912.24573</v>
      </c>
      <c r="Y2410" s="85">
        <f t="shared" si="270"/>
        <v>0</v>
      </c>
      <c r="Z2410" s="85">
        <f t="shared" si="266"/>
        <v>7.5000000651925802E-4</v>
      </c>
      <c r="AA2410" s="69">
        <f>SUM(AA2385:AA2409)</f>
        <v>62327.818090000001</v>
      </c>
      <c r="AB2410" s="69">
        <f>SUM(AB2385:AB2409)</f>
        <v>0</v>
      </c>
    </row>
    <row r="2411" spans="1:28" hidden="1" x14ac:dyDescent="0.3">
      <c r="A2411" s="117"/>
      <c r="E2411" s="86" t="s">
        <v>29</v>
      </c>
      <c r="F2411" s="86" t="s">
        <v>29</v>
      </c>
      <c r="G2411" s="86" t="s">
        <v>29</v>
      </c>
      <c r="H2411" s="86" t="s">
        <v>29</v>
      </c>
      <c r="I2411" s="86" t="s">
        <v>29</v>
      </c>
      <c r="J2411" s="86" t="s">
        <v>29</v>
      </c>
      <c r="K2411" s="86" t="s">
        <v>29</v>
      </c>
      <c r="L2411" s="86" t="s">
        <v>29</v>
      </c>
      <c r="M2411" s="86" t="s">
        <v>29</v>
      </c>
      <c r="N2411" s="86" t="s">
        <v>29</v>
      </c>
      <c r="O2411" s="86" t="s">
        <v>29</v>
      </c>
      <c r="P2411" s="86" t="s">
        <v>29</v>
      </c>
      <c r="Q2411" s="86" t="s">
        <v>29</v>
      </c>
      <c r="R2411" s="86" t="s">
        <v>29</v>
      </c>
      <c r="S2411" s="86" t="s">
        <v>29</v>
      </c>
      <c r="T2411" s="86" t="s">
        <v>29</v>
      </c>
      <c r="U2411" s="86" t="s">
        <v>29</v>
      </c>
      <c r="V2411" s="86" t="s">
        <v>29</v>
      </c>
      <c r="W2411" s="86" t="s">
        <v>29</v>
      </c>
      <c r="X2411" s="85" t="e">
        <f t="shared" si="265"/>
        <v>#VALUE!</v>
      </c>
      <c r="Y2411" s="86" t="s">
        <v>29</v>
      </c>
      <c r="Z2411" s="85" t="e">
        <f t="shared" si="266"/>
        <v>#VALUE!</v>
      </c>
      <c r="AA2411" s="115" t="s">
        <v>29</v>
      </c>
      <c r="AB2411" s="115" t="s">
        <v>29</v>
      </c>
    </row>
    <row r="2412" spans="1:28" hidden="1" x14ac:dyDescent="0.3">
      <c r="A2412" s="105"/>
      <c r="E2412" s="84"/>
      <c r="F2412" s="84"/>
      <c r="G2412" s="84"/>
      <c r="H2412" s="84"/>
      <c r="I2412" s="84"/>
      <c r="J2412" s="84"/>
      <c r="K2412" s="84"/>
      <c r="L2412" s="84"/>
      <c r="M2412" s="84"/>
      <c r="N2412" s="84"/>
      <c r="O2412" s="84"/>
      <c r="P2412" s="84"/>
      <c r="Q2412" s="84"/>
      <c r="R2412" s="84"/>
      <c r="S2412" s="84"/>
      <c r="T2412" s="84"/>
      <c r="U2412" s="84"/>
      <c r="V2412" s="84"/>
      <c r="W2412" s="84"/>
      <c r="X2412" s="85">
        <f t="shared" si="265"/>
        <v>0</v>
      </c>
      <c r="Y2412" s="84"/>
      <c r="Z2412" s="85">
        <f t="shared" si="266"/>
        <v>0</v>
      </c>
    </row>
    <row r="2413" spans="1:28" hidden="1" x14ac:dyDescent="0.3">
      <c r="A2413" s="117"/>
      <c r="C2413" s="68" t="s">
        <v>855</v>
      </c>
      <c r="D2413" s="87" t="s">
        <v>78</v>
      </c>
      <c r="E2413" s="85">
        <f>STATS1003B!E2419/1000</f>
        <v>1300</v>
      </c>
      <c r="F2413" s="85">
        <f>STATS1003B!F2419/1000</f>
        <v>1300</v>
      </c>
      <c r="G2413" s="85">
        <f>STATS1003B!G2419/1000</f>
        <v>0</v>
      </c>
      <c r="H2413" s="85">
        <f>STATS1003B!H2419/1000</f>
        <v>1300</v>
      </c>
      <c r="I2413" s="85">
        <f>STATS1003B!I2419/1000</f>
        <v>0</v>
      </c>
      <c r="J2413" s="85">
        <f>STATS1003B!J2419/1000</f>
        <v>1300</v>
      </c>
      <c r="K2413" s="85">
        <f>STATS1003B!K2419/1000</f>
        <v>0</v>
      </c>
      <c r="L2413" s="85">
        <f>STATS1003B!L2419/1000</f>
        <v>0</v>
      </c>
      <c r="M2413" s="85">
        <f>STATS1003B!M2419/1000</f>
        <v>1300</v>
      </c>
      <c r="N2413" s="85">
        <f>STATS1003B!N2419/1000</f>
        <v>0</v>
      </c>
      <c r="O2413" s="85">
        <f>STATS1003B!O2419/1000</f>
        <v>0</v>
      </c>
      <c r="P2413" s="85">
        <f>STATS1003B!P2419/1000</f>
        <v>0</v>
      </c>
      <c r="Q2413" s="85">
        <f>STATS1003B!Q2419/1000</f>
        <v>1300</v>
      </c>
      <c r="R2413" s="85">
        <f>STATS1003B!R2419/1000</f>
        <v>0</v>
      </c>
      <c r="S2413" s="85">
        <f>STATS1003B!S2419/1000</f>
        <v>0</v>
      </c>
      <c r="T2413" s="85">
        <f>STATS1003B!T2419/1000</f>
        <v>0</v>
      </c>
      <c r="U2413" s="85">
        <f>STATS1003B!U2419/1000</f>
        <v>0</v>
      </c>
      <c r="V2413" s="85">
        <f>STATS1003B!V2419/1000</f>
        <v>0</v>
      </c>
      <c r="W2413" s="85">
        <f>STATS1003B!W2419/1000</f>
        <v>0</v>
      </c>
      <c r="X2413" s="85">
        <f t="shared" si="265"/>
        <v>1300</v>
      </c>
      <c r="Y2413" s="85">
        <f>STATS1003B!Y2419/1000</f>
        <v>0</v>
      </c>
      <c r="Z2413" s="85">
        <f t="shared" si="266"/>
        <v>0</v>
      </c>
      <c r="AA2413" s="69">
        <f>STATS1003B!AA2419/1000</f>
        <v>1300</v>
      </c>
      <c r="AB2413" s="69">
        <f>STATS1003B!AB2419/1000</f>
        <v>0</v>
      </c>
    </row>
    <row r="2414" spans="1:28" hidden="1" x14ac:dyDescent="0.3">
      <c r="A2414" s="117"/>
      <c r="D2414" s="71" t="s">
        <v>79</v>
      </c>
      <c r="E2414" s="85">
        <f>STATS1003B!E2420/1000</f>
        <v>0</v>
      </c>
      <c r="F2414" s="85">
        <f>STATS1003B!F2420/1000</f>
        <v>0</v>
      </c>
      <c r="G2414" s="85">
        <f>STATS1003B!G2420/1000</f>
        <v>0</v>
      </c>
      <c r="H2414" s="85">
        <f>STATS1003B!H2420/1000</f>
        <v>0</v>
      </c>
      <c r="I2414" s="85">
        <f>STATS1003B!I2420/1000</f>
        <v>0</v>
      </c>
      <c r="J2414" s="85">
        <f>STATS1003B!J2420/1000</f>
        <v>0</v>
      </c>
      <c r="K2414" s="85">
        <f>STATS1003B!K2420/1000</f>
        <v>0</v>
      </c>
      <c r="L2414" s="85">
        <f>STATS1003B!L2420/1000</f>
        <v>0</v>
      </c>
      <c r="M2414" s="85">
        <f>STATS1003B!M2420/1000</f>
        <v>0</v>
      </c>
      <c r="N2414" s="85">
        <f>STATS1003B!N2420/1000</f>
        <v>0</v>
      </c>
      <c r="O2414" s="85">
        <f>STATS1003B!O2420/1000</f>
        <v>0</v>
      </c>
      <c r="P2414" s="85">
        <f>STATS1003B!P2420/1000</f>
        <v>0</v>
      </c>
      <c r="Q2414" s="85">
        <f>STATS1003B!Q2420/1000</f>
        <v>0</v>
      </c>
      <c r="R2414" s="85">
        <f>STATS1003B!R2420/1000</f>
        <v>0</v>
      </c>
      <c r="S2414" s="85">
        <f>STATS1003B!S2420/1000</f>
        <v>0</v>
      </c>
      <c r="T2414" s="85">
        <f>STATS1003B!T2420/1000</f>
        <v>0</v>
      </c>
      <c r="U2414" s="85">
        <f>STATS1003B!U2420/1000</f>
        <v>0</v>
      </c>
      <c r="V2414" s="85">
        <f>STATS1003B!V2420/1000</f>
        <v>0</v>
      </c>
      <c r="W2414" s="85">
        <f>STATS1003B!W2420/1000</f>
        <v>0</v>
      </c>
      <c r="X2414" s="85">
        <f t="shared" si="265"/>
        <v>0</v>
      </c>
      <c r="Y2414" s="85">
        <f>STATS1003B!Y2420/1000</f>
        <v>0</v>
      </c>
      <c r="Z2414" s="85">
        <f t="shared" si="266"/>
        <v>0</v>
      </c>
      <c r="AA2414" s="69">
        <f>STATS1003B!AA2420/1000</f>
        <v>0</v>
      </c>
      <c r="AB2414" s="69">
        <f>STATS1003B!AB2420/1000</f>
        <v>0</v>
      </c>
    </row>
    <row r="2415" spans="1:28" hidden="1" x14ac:dyDescent="0.3">
      <c r="A2415" s="117"/>
      <c r="C2415" s="68" t="s">
        <v>535</v>
      </c>
      <c r="D2415" s="68" t="s">
        <v>856</v>
      </c>
      <c r="E2415" s="85">
        <f>STATS1003B!E2421/1000</f>
        <v>7237.9502999999995</v>
      </c>
      <c r="F2415" s="85">
        <f>STATS1003B!F2421/1000</f>
        <v>6502.97354</v>
      </c>
      <c r="G2415" s="85">
        <f>STATS1003B!G2421/1000</f>
        <v>0</v>
      </c>
      <c r="H2415" s="85">
        <f>STATS1003B!H2421/1000</f>
        <v>6502.97354</v>
      </c>
      <c r="I2415" s="85">
        <f>STATS1003B!I2421/1000</f>
        <v>0</v>
      </c>
      <c r="J2415" s="85">
        <f>STATS1003B!J2421/1000</f>
        <v>6502.97354</v>
      </c>
      <c r="K2415" s="85">
        <f>STATS1003B!K2421/1000</f>
        <v>734.97676000000001</v>
      </c>
      <c r="L2415" s="85">
        <f>STATS1003B!L2421/1000</f>
        <v>0</v>
      </c>
      <c r="M2415" s="85">
        <f>STATS1003B!M2421/1000</f>
        <v>6502.97354</v>
      </c>
      <c r="N2415" s="85">
        <f>STATS1003B!N2421/1000</f>
        <v>734.97676000000001</v>
      </c>
      <c r="O2415" s="85">
        <f>STATS1003B!O2421/1000</f>
        <v>0</v>
      </c>
      <c r="P2415" s="85">
        <f>STATS1003B!P2421/1000</f>
        <v>734.97676000000001</v>
      </c>
      <c r="Q2415" s="85">
        <f>STATS1003B!Q2421/1000</f>
        <v>6502.97354</v>
      </c>
      <c r="R2415" s="85">
        <f>STATS1003B!R2421/1000</f>
        <v>0</v>
      </c>
      <c r="S2415" s="85">
        <f>STATS1003B!S2421/1000</f>
        <v>0</v>
      </c>
      <c r="T2415" s="85">
        <f>STATS1003B!T2421/1000</f>
        <v>0</v>
      </c>
      <c r="U2415" s="85">
        <f>STATS1003B!U2421/1000</f>
        <v>734.97676000000001</v>
      </c>
      <c r="V2415" s="85">
        <f>STATS1003B!V2421/1000</f>
        <v>0</v>
      </c>
      <c r="W2415" s="85">
        <f>STATS1003B!W2421/1000</f>
        <v>0</v>
      </c>
      <c r="X2415" s="85">
        <f t="shared" si="265"/>
        <v>7237.9503000000004</v>
      </c>
      <c r="Y2415" s="85">
        <f>STATS1003B!Y2421/1000</f>
        <v>0</v>
      </c>
      <c r="Z2415" s="85">
        <f t="shared" si="266"/>
        <v>0</v>
      </c>
      <c r="AA2415" s="69">
        <f>STATS1003B!AA2421/1000</f>
        <v>7237.9502999999995</v>
      </c>
      <c r="AB2415" s="69">
        <f>STATS1003B!AB2421/1000</f>
        <v>0</v>
      </c>
    </row>
    <row r="2416" spans="1:28" hidden="1" x14ac:dyDescent="0.3">
      <c r="A2416" s="117"/>
      <c r="C2416" s="68" t="s">
        <v>857</v>
      </c>
      <c r="D2416" s="68" t="s">
        <v>858</v>
      </c>
      <c r="E2416" s="85">
        <f>STATS1003B!E2422/1000</f>
        <v>744.98900000000003</v>
      </c>
      <c r="F2416" s="85">
        <f>STATS1003B!F2422/1000</f>
        <v>0</v>
      </c>
      <c r="G2416" s="85">
        <f>STATS1003B!G2422/1000</f>
        <v>0</v>
      </c>
      <c r="H2416" s="85">
        <f>STATS1003B!H2422/1000</f>
        <v>0</v>
      </c>
      <c r="I2416" s="85">
        <f>STATS1003B!I2422/1000</f>
        <v>0</v>
      </c>
      <c r="J2416" s="85">
        <f>STATS1003B!J2422/1000</f>
        <v>0</v>
      </c>
      <c r="K2416" s="85">
        <f>STATS1003B!K2422/1000</f>
        <v>744.98900000000003</v>
      </c>
      <c r="L2416" s="85">
        <f>STATS1003B!L2422/1000</f>
        <v>0</v>
      </c>
      <c r="M2416" s="85">
        <f>STATS1003B!M2422/1000</f>
        <v>0</v>
      </c>
      <c r="N2416" s="85">
        <f>STATS1003B!N2422/1000</f>
        <v>744.98900000000003</v>
      </c>
      <c r="O2416" s="85">
        <f>STATS1003B!O2422/1000</f>
        <v>0</v>
      </c>
      <c r="P2416" s="85">
        <f>STATS1003B!P2422/1000</f>
        <v>744.98900000000003</v>
      </c>
      <c r="Q2416" s="85">
        <f>STATS1003B!Q2422/1000</f>
        <v>0</v>
      </c>
      <c r="R2416" s="85">
        <f>STATS1003B!R2422/1000</f>
        <v>0</v>
      </c>
      <c r="S2416" s="85">
        <f>STATS1003B!S2422/1000</f>
        <v>0</v>
      </c>
      <c r="T2416" s="85">
        <f>STATS1003B!T2422/1000</f>
        <v>0</v>
      </c>
      <c r="U2416" s="85">
        <f>STATS1003B!U2422/1000</f>
        <v>744.98900000000003</v>
      </c>
      <c r="V2416" s="85">
        <f>STATS1003B!V2422/1000</f>
        <v>0</v>
      </c>
      <c r="W2416" s="85">
        <f>STATS1003B!W2422/1000</f>
        <v>0</v>
      </c>
      <c r="X2416" s="85">
        <f t="shared" si="265"/>
        <v>744.98900000000003</v>
      </c>
      <c r="Y2416" s="85">
        <f>STATS1003B!Y2422/1000</f>
        <v>0</v>
      </c>
      <c r="Z2416" s="85">
        <f t="shared" si="266"/>
        <v>0</v>
      </c>
      <c r="AA2416" s="69">
        <f>STATS1003B!AA2422/1000</f>
        <v>744.98900000000003</v>
      </c>
      <c r="AB2416" s="69">
        <f>STATS1003B!AB2422/1000</f>
        <v>0</v>
      </c>
    </row>
    <row r="2417" spans="1:28" hidden="1" x14ac:dyDescent="0.3">
      <c r="A2417" s="117"/>
      <c r="C2417" s="68" t="s">
        <v>545</v>
      </c>
      <c r="D2417" s="87" t="s">
        <v>54</v>
      </c>
      <c r="E2417" s="85">
        <f>STATS1003B!E2423/1000</f>
        <v>1953.989</v>
      </c>
      <c r="F2417" s="85">
        <f>STATS1003B!F2423/1000</f>
        <v>0</v>
      </c>
      <c r="G2417" s="85">
        <f>STATS1003B!G2423/1000</f>
        <v>0</v>
      </c>
      <c r="H2417" s="85">
        <f>STATS1003B!H2423/1000</f>
        <v>0</v>
      </c>
      <c r="I2417" s="85">
        <f>STATS1003B!I2423/1000</f>
        <v>0</v>
      </c>
      <c r="J2417" s="85">
        <f>STATS1003B!J2423/1000</f>
        <v>0</v>
      </c>
      <c r="K2417" s="85">
        <f>STATS1003B!K2423/1000</f>
        <v>1953.989</v>
      </c>
      <c r="L2417" s="85">
        <f>STATS1003B!L2423/1000</f>
        <v>0</v>
      </c>
      <c r="M2417" s="85">
        <f>STATS1003B!M2423/1000</f>
        <v>0</v>
      </c>
      <c r="N2417" s="85">
        <f>STATS1003B!N2423/1000</f>
        <v>1953.989</v>
      </c>
      <c r="O2417" s="85">
        <f>STATS1003B!O2423/1000</f>
        <v>0</v>
      </c>
      <c r="P2417" s="85">
        <f>STATS1003B!P2423/1000</f>
        <v>1953.989</v>
      </c>
      <c r="Q2417" s="85">
        <f>STATS1003B!Q2423/1000</f>
        <v>0</v>
      </c>
      <c r="R2417" s="85">
        <f>STATS1003B!R2423/1000</f>
        <v>0</v>
      </c>
      <c r="S2417" s="85">
        <f>STATS1003B!S2423/1000</f>
        <v>0</v>
      </c>
      <c r="T2417" s="85">
        <f>STATS1003B!T2423/1000</f>
        <v>0</v>
      </c>
      <c r="U2417" s="85">
        <f>STATS1003B!U2423/1000</f>
        <v>1953.989</v>
      </c>
      <c r="V2417" s="85">
        <f>STATS1003B!V2423/1000</f>
        <v>0</v>
      </c>
      <c r="W2417" s="85">
        <f>STATS1003B!W2423/1000</f>
        <v>0</v>
      </c>
      <c r="X2417" s="85">
        <f t="shared" si="265"/>
        <v>1953.989</v>
      </c>
      <c r="Y2417" s="85">
        <f>STATS1003B!Y2423/1000</f>
        <v>0</v>
      </c>
      <c r="Z2417" s="85">
        <f t="shared" si="266"/>
        <v>0</v>
      </c>
      <c r="AA2417" s="69">
        <f>STATS1003B!AA2423/1000</f>
        <v>1953.989</v>
      </c>
      <c r="AB2417" s="69">
        <f>STATS1003B!AB2423/1000</f>
        <v>0</v>
      </c>
    </row>
    <row r="2418" spans="1:28" hidden="1" x14ac:dyDescent="0.3">
      <c r="A2418" s="117"/>
      <c r="C2418" s="68" t="s">
        <v>859</v>
      </c>
      <c r="D2418" s="87" t="s">
        <v>85</v>
      </c>
      <c r="E2418" s="85">
        <f>STATS1003B!E2424/1000</f>
        <v>1120</v>
      </c>
      <c r="F2418" s="85">
        <f>STATS1003B!F2424/1000</f>
        <v>1120</v>
      </c>
      <c r="G2418" s="85">
        <f>STATS1003B!G2424/1000</f>
        <v>0</v>
      </c>
      <c r="H2418" s="85">
        <f>STATS1003B!H2424/1000</f>
        <v>1120</v>
      </c>
      <c r="I2418" s="85">
        <f>STATS1003B!I2424/1000</f>
        <v>0</v>
      </c>
      <c r="J2418" s="85">
        <f>STATS1003B!J2424/1000</f>
        <v>1120</v>
      </c>
      <c r="K2418" s="85">
        <f>STATS1003B!K2424/1000</f>
        <v>0</v>
      </c>
      <c r="L2418" s="85">
        <f>STATS1003B!L2424/1000</f>
        <v>0</v>
      </c>
      <c r="M2418" s="85">
        <f>STATS1003B!M2424/1000</f>
        <v>1120</v>
      </c>
      <c r="N2418" s="85">
        <f>STATS1003B!N2424/1000</f>
        <v>0</v>
      </c>
      <c r="O2418" s="85">
        <f>STATS1003B!O2424/1000</f>
        <v>0</v>
      </c>
      <c r="P2418" s="85">
        <f>STATS1003B!P2424/1000</f>
        <v>0</v>
      </c>
      <c r="Q2418" s="85">
        <f>STATS1003B!Q2424/1000</f>
        <v>1120</v>
      </c>
      <c r="R2418" s="85">
        <f>STATS1003B!R2424/1000</f>
        <v>0</v>
      </c>
      <c r="S2418" s="85">
        <f>STATS1003B!S2424/1000</f>
        <v>0</v>
      </c>
      <c r="T2418" s="85">
        <f>STATS1003B!T2424/1000</f>
        <v>0</v>
      </c>
      <c r="U2418" s="85">
        <f>STATS1003B!U2424/1000</f>
        <v>0</v>
      </c>
      <c r="V2418" s="85">
        <f>STATS1003B!V2424/1000</f>
        <v>0</v>
      </c>
      <c r="W2418" s="85">
        <f>STATS1003B!W2424/1000</f>
        <v>0</v>
      </c>
      <c r="X2418" s="85">
        <f t="shared" si="265"/>
        <v>1120</v>
      </c>
      <c r="Y2418" s="85">
        <f>STATS1003B!Y2424/1000</f>
        <v>0</v>
      </c>
      <c r="Z2418" s="85">
        <f t="shared" si="266"/>
        <v>0</v>
      </c>
      <c r="AA2418" s="69">
        <f>STATS1003B!AA2424/1000</f>
        <v>1120</v>
      </c>
      <c r="AB2418" s="69">
        <f>STATS1003B!AB2424/1000</f>
        <v>0</v>
      </c>
    </row>
    <row r="2419" spans="1:28" hidden="1" x14ac:dyDescent="0.3">
      <c r="A2419" s="117"/>
      <c r="B2419" s="69"/>
      <c r="C2419" s="68" t="s">
        <v>860</v>
      </c>
      <c r="D2419" s="87" t="s">
        <v>85</v>
      </c>
      <c r="E2419" s="85">
        <f>STATS1003B!E2425/1000</f>
        <v>102</v>
      </c>
      <c r="F2419" s="85">
        <f>STATS1003B!F2425/1000</f>
        <v>102</v>
      </c>
      <c r="G2419" s="85">
        <f>STATS1003B!G2425/1000</f>
        <v>0</v>
      </c>
      <c r="H2419" s="85">
        <f>STATS1003B!H2425/1000</f>
        <v>102</v>
      </c>
      <c r="I2419" s="85">
        <f>STATS1003B!I2425/1000</f>
        <v>0</v>
      </c>
      <c r="J2419" s="85">
        <f>STATS1003B!J2425/1000</f>
        <v>102</v>
      </c>
      <c r="K2419" s="85">
        <f>STATS1003B!K2425/1000</f>
        <v>0</v>
      </c>
      <c r="L2419" s="85">
        <f>STATS1003B!L2425/1000</f>
        <v>0</v>
      </c>
      <c r="M2419" s="85">
        <f>STATS1003B!M2425/1000</f>
        <v>102</v>
      </c>
      <c r="N2419" s="85">
        <f>STATS1003B!N2425/1000</f>
        <v>0</v>
      </c>
      <c r="O2419" s="85">
        <f>STATS1003B!O2425/1000</f>
        <v>0</v>
      </c>
      <c r="P2419" s="85">
        <f>STATS1003B!P2425/1000</f>
        <v>0</v>
      </c>
      <c r="Q2419" s="85">
        <f>STATS1003B!Q2425/1000</f>
        <v>102</v>
      </c>
      <c r="R2419" s="85">
        <f>STATS1003B!R2425/1000</f>
        <v>0</v>
      </c>
      <c r="S2419" s="85">
        <f>STATS1003B!S2425/1000</f>
        <v>0</v>
      </c>
      <c r="T2419" s="85">
        <f>STATS1003B!T2425/1000</f>
        <v>0</v>
      </c>
      <c r="U2419" s="85">
        <f>STATS1003B!U2425/1000</f>
        <v>0</v>
      </c>
      <c r="V2419" s="85">
        <f>STATS1003B!V2425/1000</f>
        <v>0</v>
      </c>
      <c r="W2419" s="85">
        <f>STATS1003B!W2425/1000</f>
        <v>0</v>
      </c>
      <c r="X2419" s="85">
        <f t="shared" si="265"/>
        <v>102</v>
      </c>
      <c r="Y2419" s="85">
        <f>STATS1003B!Y2425/1000</f>
        <v>0</v>
      </c>
      <c r="Z2419" s="85">
        <f t="shared" si="266"/>
        <v>0</v>
      </c>
      <c r="AA2419" s="69">
        <f>STATS1003B!AA2425/1000</f>
        <v>102</v>
      </c>
      <c r="AB2419" s="69">
        <f>STATS1003B!AB2425/1000</f>
        <v>0</v>
      </c>
    </row>
    <row r="2420" spans="1:28" hidden="1" x14ac:dyDescent="0.3">
      <c r="A2420" s="117"/>
      <c r="C2420" s="68" t="s">
        <v>535</v>
      </c>
      <c r="D2420" s="87" t="s">
        <v>58</v>
      </c>
      <c r="E2420" s="85">
        <f>STATS1003B!E2426/1000</f>
        <v>6849.7275</v>
      </c>
      <c r="F2420" s="85">
        <f>STATS1003B!F2426/1000</f>
        <v>6849.7275</v>
      </c>
      <c r="G2420" s="85">
        <f>STATS1003B!G2426/1000</f>
        <v>0</v>
      </c>
      <c r="H2420" s="85">
        <f>STATS1003B!H2426/1000</f>
        <v>6849.7275</v>
      </c>
      <c r="I2420" s="85">
        <f>STATS1003B!I2426/1000</f>
        <v>0</v>
      </c>
      <c r="J2420" s="85">
        <f>STATS1003B!J2426/1000</f>
        <v>6849.7275</v>
      </c>
      <c r="K2420" s="85">
        <f>STATS1003B!K2426/1000</f>
        <v>0</v>
      </c>
      <c r="L2420" s="85">
        <f>STATS1003B!L2426/1000</f>
        <v>0</v>
      </c>
      <c r="M2420" s="85">
        <f>STATS1003B!M2426/1000</f>
        <v>6849.7275</v>
      </c>
      <c r="N2420" s="85">
        <f>STATS1003B!N2426/1000</f>
        <v>0</v>
      </c>
      <c r="O2420" s="85">
        <f>STATS1003B!O2426/1000</f>
        <v>0</v>
      </c>
      <c r="P2420" s="85">
        <f>STATS1003B!P2426/1000</f>
        <v>0</v>
      </c>
      <c r="Q2420" s="85">
        <f>STATS1003B!Q2426/1000</f>
        <v>6849.7275</v>
      </c>
      <c r="R2420" s="85">
        <f>STATS1003B!R2426/1000</f>
        <v>0</v>
      </c>
      <c r="S2420" s="85">
        <f>STATS1003B!S2426/1000</f>
        <v>0</v>
      </c>
      <c r="T2420" s="85">
        <f>STATS1003B!T2426/1000</f>
        <v>0</v>
      </c>
      <c r="U2420" s="85">
        <f>STATS1003B!U2426/1000</f>
        <v>0</v>
      </c>
      <c r="V2420" s="85">
        <f>STATS1003B!V2426/1000</f>
        <v>0</v>
      </c>
      <c r="W2420" s="85">
        <f>STATS1003B!W2426/1000</f>
        <v>0</v>
      </c>
      <c r="X2420" s="85">
        <f t="shared" si="265"/>
        <v>6849.7275</v>
      </c>
      <c r="Y2420" s="85">
        <f>STATS1003B!Y2426/1000</f>
        <v>0</v>
      </c>
      <c r="Z2420" s="85">
        <f t="shared" si="266"/>
        <v>0</v>
      </c>
      <c r="AA2420" s="69">
        <f>STATS1003B!AA2426/1000</f>
        <v>6849.7275</v>
      </c>
      <c r="AB2420" s="69">
        <f>STATS1003B!AB2426/1000</f>
        <v>0</v>
      </c>
    </row>
    <row r="2421" spans="1:28" hidden="1" x14ac:dyDescent="0.3">
      <c r="A2421" s="117"/>
      <c r="C2421" s="68" t="s">
        <v>535</v>
      </c>
      <c r="D2421" s="87" t="s">
        <v>60</v>
      </c>
      <c r="E2421" s="85">
        <f>STATS1003B!E2427/1000</f>
        <v>7404.4949999999999</v>
      </c>
      <c r="F2421" s="85">
        <f>STATS1003B!F2427/1000</f>
        <v>7404.4949999999999</v>
      </c>
      <c r="G2421" s="85">
        <f>STATS1003B!G2427/1000</f>
        <v>0</v>
      </c>
      <c r="H2421" s="85">
        <f>STATS1003B!H2427/1000</f>
        <v>7404.4949999999999</v>
      </c>
      <c r="I2421" s="85">
        <f>STATS1003B!I2427/1000</f>
        <v>0</v>
      </c>
      <c r="J2421" s="85">
        <f>STATS1003B!J2427/1000</f>
        <v>7404.4949999999999</v>
      </c>
      <c r="K2421" s="85">
        <f>STATS1003B!K2427/1000</f>
        <v>0</v>
      </c>
      <c r="L2421" s="85">
        <f>STATS1003B!L2427/1000</f>
        <v>0</v>
      </c>
      <c r="M2421" s="85">
        <f>STATS1003B!M2427/1000</f>
        <v>7404.4949999999999</v>
      </c>
      <c r="N2421" s="85">
        <f>STATS1003B!N2427/1000</f>
        <v>0</v>
      </c>
      <c r="O2421" s="85">
        <f>STATS1003B!O2427/1000</f>
        <v>0</v>
      </c>
      <c r="P2421" s="85">
        <f>STATS1003B!P2427/1000</f>
        <v>0</v>
      </c>
      <c r="Q2421" s="85">
        <f>STATS1003B!Q2427/1000</f>
        <v>7404.4949999999999</v>
      </c>
      <c r="R2421" s="85">
        <f>STATS1003B!R2427/1000</f>
        <v>0</v>
      </c>
      <c r="S2421" s="85">
        <f>STATS1003B!S2427/1000</f>
        <v>0</v>
      </c>
      <c r="T2421" s="85">
        <f>STATS1003B!T2427/1000</f>
        <v>0</v>
      </c>
      <c r="U2421" s="85">
        <f>STATS1003B!U2427/1000</f>
        <v>0</v>
      </c>
      <c r="V2421" s="85">
        <f>STATS1003B!V2427/1000</f>
        <v>0</v>
      </c>
      <c r="W2421" s="85">
        <f>STATS1003B!W2427/1000</f>
        <v>0</v>
      </c>
      <c r="X2421" s="85">
        <f t="shared" si="265"/>
        <v>7404.4949999999999</v>
      </c>
      <c r="Y2421" s="85">
        <f>STATS1003B!Y2427/1000</f>
        <v>0</v>
      </c>
      <c r="Z2421" s="85">
        <f t="shared" si="266"/>
        <v>0</v>
      </c>
      <c r="AA2421" s="69">
        <f>STATS1003B!AA2427/1000</f>
        <v>7404.4949999999999</v>
      </c>
      <c r="AB2421" s="69">
        <f>STATS1003B!AB2427/1000</f>
        <v>0</v>
      </c>
    </row>
    <row r="2422" spans="1:28" hidden="1" x14ac:dyDescent="0.3">
      <c r="A2422" s="117"/>
      <c r="C2422" s="71" t="s">
        <v>535</v>
      </c>
      <c r="D2422" s="88" t="s">
        <v>61</v>
      </c>
      <c r="E2422" s="85">
        <f>STATS1003B!E2428/1000</f>
        <v>519.1567</v>
      </c>
      <c r="F2422" s="85">
        <f>STATS1003B!F2428/1000</f>
        <v>509.43554</v>
      </c>
      <c r="G2422" s="85">
        <f>STATS1003B!G2428/1000</f>
        <v>0</v>
      </c>
      <c r="H2422" s="85">
        <f>STATS1003B!H2428/1000</f>
        <v>509.43554</v>
      </c>
      <c r="I2422" s="85">
        <f>STATS1003B!I2428/1000</f>
        <v>0</v>
      </c>
      <c r="J2422" s="85">
        <f>STATS1003B!J2428/1000</f>
        <v>509.43554</v>
      </c>
      <c r="K2422" s="85">
        <f>STATS1003B!K2428/1000</f>
        <v>0</v>
      </c>
      <c r="L2422" s="85">
        <f>STATS1003B!L2428/1000</f>
        <v>0</v>
      </c>
      <c r="M2422" s="85">
        <f>STATS1003B!M2428/1000</f>
        <v>509.43554</v>
      </c>
      <c r="N2422" s="85">
        <f>STATS1003B!N2428/1000</f>
        <v>0</v>
      </c>
      <c r="O2422" s="85">
        <f>STATS1003B!O2428/1000</f>
        <v>0</v>
      </c>
      <c r="P2422" s="85">
        <f>STATS1003B!P2428/1000</f>
        <v>0</v>
      </c>
      <c r="Q2422" s="85">
        <f>STATS1003B!Q2428/1000</f>
        <v>519.1567</v>
      </c>
      <c r="R2422" s="85">
        <f>STATS1003B!R2428/1000</f>
        <v>0</v>
      </c>
      <c r="S2422" s="85">
        <f>STATS1003B!S2428/1000</f>
        <v>0</v>
      </c>
      <c r="T2422" s="85">
        <f>STATS1003B!T2428/1000</f>
        <v>9.7211599999999994</v>
      </c>
      <c r="U2422" s="85">
        <f>STATS1003B!U2428/1000</f>
        <v>9.7211599999999994</v>
      </c>
      <c r="V2422" s="85">
        <f>STATS1003B!V2428/1000</f>
        <v>0</v>
      </c>
      <c r="W2422" s="85">
        <f>STATS1003B!W2428/1000</f>
        <v>0</v>
      </c>
      <c r="X2422" s="85">
        <f t="shared" si="265"/>
        <v>509.43554</v>
      </c>
      <c r="Y2422" s="85">
        <f>STATS1003B!Y2428/1000</f>
        <v>0</v>
      </c>
      <c r="Z2422" s="85">
        <f t="shared" si="266"/>
        <v>9.7211599999999976</v>
      </c>
      <c r="AA2422" s="69">
        <f>STATS1003B!AA2428/1000</f>
        <v>519.1567</v>
      </c>
      <c r="AB2422" s="69">
        <f>STATS1003B!AB2428/1000</f>
        <v>0</v>
      </c>
    </row>
    <row r="2423" spans="1:28" hidden="1" x14ac:dyDescent="0.3">
      <c r="A2423" s="117"/>
      <c r="C2423" s="71" t="s">
        <v>898</v>
      </c>
      <c r="D2423" s="89" t="s">
        <v>61</v>
      </c>
      <c r="E2423" s="85">
        <f>STATS1003B!E2429/1000</f>
        <v>6.0212800000000009</v>
      </c>
      <c r="F2423" s="85">
        <f>STATS1003B!F2429/1000</f>
        <v>0</v>
      </c>
      <c r="G2423" s="85">
        <f>STATS1003B!G2429/1000</f>
        <v>0</v>
      </c>
      <c r="H2423" s="85">
        <f>STATS1003B!H2429/1000</f>
        <v>0</v>
      </c>
      <c r="I2423" s="85">
        <f>STATS1003B!I2429/1000</f>
        <v>0</v>
      </c>
      <c r="J2423" s="85">
        <f>STATS1003B!J2429/1000</f>
        <v>0</v>
      </c>
      <c r="K2423" s="85">
        <f>STATS1003B!K2429/1000</f>
        <v>0</v>
      </c>
      <c r="L2423" s="85">
        <f>STATS1003B!L2429/1000</f>
        <v>0</v>
      </c>
      <c r="M2423" s="85">
        <f>STATS1003B!M2429/1000</f>
        <v>0</v>
      </c>
      <c r="N2423" s="85">
        <f>STATS1003B!N2429/1000</f>
        <v>6.0212800000000009</v>
      </c>
      <c r="O2423" s="85">
        <f>STATS1003B!O2429/1000</f>
        <v>0</v>
      </c>
      <c r="P2423" s="85">
        <f>STATS1003B!P2429/1000</f>
        <v>6.0212800000000009</v>
      </c>
      <c r="Q2423" s="85">
        <f>STATS1003B!Q2429/1000</f>
        <v>0</v>
      </c>
      <c r="R2423" s="85">
        <f>STATS1003B!R2429/1000</f>
        <v>0</v>
      </c>
      <c r="S2423" s="85">
        <f>STATS1003B!S2429/1000</f>
        <v>0</v>
      </c>
      <c r="T2423" s="85">
        <f>STATS1003B!T2429/1000</f>
        <v>0</v>
      </c>
      <c r="U2423" s="85">
        <f>STATS1003B!U2429/1000</f>
        <v>6.0212800000000009</v>
      </c>
      <c r="V2423" s="85">
        <f>STATS1003B!V2429/1000</f>
        <v>0</v>
      </c>
      <c r="W2423" s="85">
        <f>STATS1003B!W2429/1000</f>
        <v>0</v>
      </c>
      <c r="X2423" s="85">
        <f t="shared" si="265"/>
        <v>6.0212800000000009</v>
      </c>
      <c r="Y2423" s="85">
        <f>STATS1003B!Y2429/1000</f>
        <v>0</v>
      </c>
      <c r="Z2423" s="85">
        <f t="shared" si="266"/>
        <v>0</v>
      </c>
      <c r="AA2423" s="69">
        <f>STATS1003B!AA2429/1000</f>
        <v>6.0212800000000009</v>
      </c>
      <c r="AB2423" s="69">
        <f>STATS1003B!AB2429/1000</f>
        <v>0</v>
      </c>
    </row>
    <row r="2424" spans="1:28" hidden="1" x14ac:dyDescent="0.3">
      <c r="A2424" s="117"/>
      <c r="C2424" s="71" t="s">
        <v>933</v>
      </c>
      <c r="D2424" s="89" t="s">
        <v>1072</v>
      </c>
      <c r="E2424" s="85">
        <f>STATS1003B!E2430/1000</f>
        <v>1330</v>
      </c>
      <c r="F2424" s="85">
        <f>STATS1003B!F2430/1000</f>
        <v>1330</v>
      </c>
      <c r="G2424" s="85">
        <f>STATS1003B!G2430/1000</f>
        <v>0</v>
      </c>
      <c r="H2424" s="85">
        <f>STATS1003B!H2430/1000</f>
        <v>1330</v>
      </c>
      <c r="I2424" s="85">
        <f>STATS1003B!I2430/1000</f>
        <v>0</v>
      </c>
      <c r="J2424" s="85">
        <f>STATS1003B!J2430/1000</f>
        <v>0</v>
      </c>
      <c r="K2424" s="85">
        <f>STATS1003B!K2430/1000</f>
        <v>0</v>
      </c>
      <c r="L2424" s="85">
        <f>STATS1003B!L2430/1000</f>
        <v>0</v>
      </c>
      <c r="M2424" s="85">
        <f>STATS1003B!M2430/1000</f>
        <v>1330</v>
      </c>
      <c r="N2424" s="85">
        <f>STATS1003B!N2430/1000</f>
        <v>0</v>
      </c>
      <c r="O2424" s="85">
        <f>STATS1003B!O2430/1000</f>
        <v>0</v>
      </c>
      <c r="P2424" s="85">
        <f>STATS1003B!P2430/1000</f>
        <v>0</v>
      </c>
      <c r="Q2424" s="85">
        <f>STATS1003B!Q2430/1000</f>
        <v>0</v>
      </c>
      <c r="R2424" s="85">
        <f>STATS1003B!R2430/1000</f>
        <v>0</v>
      </c>
      <c r="S2424" s="85">
        <f>STATS1003B!S2430/1000</f>
        <v>0</v>
      </c>
      <c r="T2424" s="85">
        <f>STATS1003B!T2430/1000</f>
        <v>0</v>
      </c>
      <c r="U2424" s="85">
        <f>STATS1003B!U2430/1000</f>
        <v>0</v>
      </c>
      <c r="V2424" s="85">
        <f>STATS1003B!V2430/1000</f>
        <v>0</v>
      </c>
      <c r="W2424" s="85">
        <f>STATS1003B!W2430/1000</f>
        <v>0</v>
      </c>
      <c r="X2424" s="85">
        <f t="shared" si="265"/>
        <v>1330</v>
      </c>
      <c r="Y2424" s="85">
        <f>STATS1003B!Y2430/1000</f>
        <v>0</v>
      </c>
      <c r="Z2424" s="85">
        <f t="shared" si="266"/>
        <v>0</v>
      </c>
      <c r="AA2424" s="69">
        <f>STATS1003B!AA2430/1000</f>
        <v>1330</v>
      </c>
      <c r="AB2424" s="69">
        <f>STATS1003B!AB2430/1000</f>
        <v>0</v>
      </c>
    </row>
    <row r="2425" spans="1:28" hidden="1" x14ac:dyDescent="0.3">
      <c r="A2425" s="117"/>
      <c r="C2425" s="71" t="s">
        <v>1197</v>
      </c>
      <c r="D2425" s="89" t="s">
        <v>1126</v>
      </c>
      <c r="E2425" s="85">
        <f>STATS1003B!E2431/1000</f>
        <v>600</v>
      </c>
      <c r="F2425" s="85">
        <f>STATS1003B!F2431/1000</f>
        <v>600</v>
      </c>
      <c r="G2425" s="85">
        <f>STATS1003B!G2431/1000</f>
        <v>0</v>
      </c>
      <c r="H2425" s="85">
        <f>STATS1003B!H2431/1000</f>
        <v>600</v>
      </c>
      <c r="I2425" s="85">
        <f>STATS1003B!I2431/1000</f>
        <v>0</v>
      </c>
      <c r="J2425" s="85">
        <f>STATS1003B!J2431/1000</f>
        <v>0</v>
      </c>
      <c r="K2425" s="85">
        <f>STATS1003B!K2431/1000</f>
        <v>0</v>
      </c>
      <c r="L2425" s="85">
        <f>STATS1003B!L2431/1000</f>
        <v>0</v>
      </c>
      <c r="M2425" s="85">
        <f>STATS1003B!M2431/1000</f>
        <v>600</v>
      </c>
      <c r="N2425" s="85">
        <f>STATS1003B!N2431/1000</f>
        <v>0</v>
      </c>
      <c r="O2425" s="85">
        <f>STATS1003B!O2431/1000</f>
        <v>0</v>
      </c>
      <c r="P2425" s="85">
        <f>STATS1003B!P2431/1000</f>
        <v>0</v>
      </c>
      <c r="Q2425" s="85">
        <f>STATS1003B!Q2431/1000</f>
        <v>0</v>
      </c>
      <c r="R2425" s="85">
        <f>STATS1003B!R2431/1000</f>
        <v>0</v>
      </c>
      <c r="S2425" s="85">
        <f>STATS1003B!S2431/1000</f>
        <v>0</v>
      </c>
      <c r="T2425" s="85">
        <f>STATS1003B!T2431/1000</f>
        <v>0</v>
      </c>
      <c r="U2425" s="85">
        <f>STATS1003B!U2431/1000</f>
        <v>0</v>
      </c>
      <c r="V2425" s="85">
        <f>STATS1003B!V2431/1000</f>
        <v>0</v>
      </c>
      <c r="W2425" s="85">
        <f>STATS1003B!W2431/1000</f>
        <v>0</v>
      </c>
      <c r="X2425" s="85">
        <f t="shared" si="265"/>
        <v>600</v>
      </c>
      <c r="Y2425" s="85">
        <f>STATS1003B!Y2431/1000</f>
        <v>0</v>
      </c>
      <c r="Z2425" s="85">
        <f t="shared" si="266"/>
        <v>0</v>
      </c>
      <c r="AA2425" s="69">
        <f>STATS1003B!AA2431/1000</f>
        <v>600</v>
      </c>
      <c r="AB2425" s="69">
        <f>STATS1003B!AB2431/1000</f>
        <v>0</v>
      </c>
    </row>
    <row r="2426" spans="1:28" hidden="1" x14ac:dyDescent="0.3">
      <c r="A2426" s="117"/>
      <c r="C2426" s="68" t="s">
        <v>606</v>
      </c>
      <c r="E2426" s="85">
        <f>STATS1003B!E2432/1000</f>
        <v>5000</v>
      </c>
      <c r="F2426" s="85">
        <f>STATS1003B!F2432/1000</f>
        <v>5000</v>
      </c>
      <c r="G2426" s="85">
        <f>STATS1003B!G2432/1000</f>
        <v>0</v>
      </c>
      <c r="H2426" s="85">
        <f>STATS1003B!H2432/1000</f>
        <v>5000</v>
      </c>
      <c r="I2426" s="85">
        <f>STATS1003B!I2432/1000</f>
        <v>0</v>
      </c>
      <c r="J2426" s="85">
        <f>STATS1003B!J2432/1000</f>
        <v>5000</v>
      </c>
      <c r="K2426" s="85">
        <f>STATS1003B!K2432/1000</f>
        <v>0</v>
      </c>
      <c r="L2426" s="85">
        <f>STATS1003B!L2432/1000</f>
        <v>0</v>
      </c>
      <c r="M2426" s="85">
        <f>STATS1003B!M2432/1000</f>
        <v>5000</v>
      </c>
      <c r="N2426" s="85">
        <f>STATS1003B!N2432/1000</f>
        <v>0</v>
      </c>
      <c r="O2426" s="85">
        <f>STATS1003B!O2432/1000</f>
        <v>0</v>
      </c>
      <c r="P2426" s="85">
        <f>STATS1003B!P2432/1000</f>
        <v>0</v>
      </c>
      <c r="Q2426" s="85">
        <f>STATS1003B!Q2432/1000</f>
        <v>5000</v>
      </c>
      <c r="R2426" s="85">
        <f>STATS1003B!R2432/1000</f>
        <v>0</v>
      </c>
      <c r="S2426" s="85">
        <f>STATS1003B!S2432/1000</f>
        <v>0</v>
      </c>
      <c r="T2426" s="85">
        <f>STATS1003B!T2432/1000</f>
        <v>0</v>
      </c>
      <c r="U2426" s="85">
        <f>STATS1003B!U2432/1000</f>
        <v>0</v>
      </c>
      <c r="V2426" s="85">
        <f>STATS1003B!V2432/1000</f>
        <v>0</v>
      </c>
      <c r="W2426" s="85">
        <f>STATS1003B!W2432/1000</f>
        <v>0</v>
      </c>
      <c r="X2426" s="85">
        <f t="shared" si="265"/>
        <v>5000</v>
      </c>
      <c r="Y2426" s="85">
        <f>STATS1003B!Y2432/1000</f>
        <v>0</v>
      </c>
      <c r="Z2426" s="85">
        <f t="shared" si="266"/>
        <v>0</v>
      </c>
      <c r="AA2426" s="69">
        <f>STATS1003B!AA2432/1000</f>
        <v>5000</v>
      </c>
      <c r="AB2426" s="69">
        <f>STATS1003B!AB2432/1000</f>
        <v>0</v>
      </c>
    </row>
    <row r="2427" spans="1:28" hidden="1" x14ac:dyDescent="0.3">
      <c r="A2427" s="117"/>
      <c r="E2427" s="86" t="s">
        <v>29</v>
      </c>
      <c r="F2427" s="86" t="s">
        <v>29</v>
      </c>
      <c r="G2427" s="86" t="s">
        <v>29</v>
      </c>
      <c r="H2427" s="86" t="s">
        <v>29</v>
      </c>
      <c r="I2427" s="86" t="s">
        <v>29</v>
      </c>
      <c r="J2427" s="86" t="s">
        <v>29</v>
      </c>
      <c r="K2427" s="86" t="s">
        <v>29</v>
      </c>
      <c r="L2427" s="86" t="s">
        <v>29</v>
      </c>
      <c r="M2427" s="86" t="s">
        <v>29</v>
      </c>
      <c r="N2427" s="86" t="s">
        <v>29</v>
      </c>
      <c r="O2427" s="86" t="s">
        <v>29</v>
      </c>
      <c r="P2427" s="86" t="s">
        <v>29</v>
      </c>
      <c r="Q2427" s="86" t="s">
        <v>29</v>
      </c>
      <c r="R2427" s="86" t="s">
        <v>29</v>
      </c>
      <c r="S2427" s="86" t="s">
        <v>29</v>
      </c>
      <c r="T2427" s="86" t="s">
        <v>29</v>
      </c>
      <c r="U2427" s="86" t="s">
        <v>29</v>
      </c>
      <c r="V2427" s="86" t="s">
        <v>29</v>
      </c>
      <c r="W2427" s="86" t="s">
        <v>29</v>
      </c>
      <c r="X2427" s="85" t="e">
        <f t="shared" si="265"/>
        <v>#VALUE!</v>
      </c>
      <c r="Y2427" s="86" t="s">
        <v>29</v>
      </c>
      <c r="Z2427" s="85" t="e">
        <f t="shared" si="266"/>
        <v>#VALUE!</v>
      </c>
      <c r="AA2427" s="115" t="s">
        <v>29</v>
      </c>
      <c r="AB2427" s="115" t="s">
        <v>29</v>
      </c>
    </row>
    <row r="2428" spans="1:28" x14ac:dyDescent="0.3">
      <c r="A2428" s="116">
        <v>105</v>
      </c>
      <c r="B2428" s="68" t="s">
        <v>854</v>
      </c>
      <c r="E2428" s="85">
        <f>86209099.84/1000</f>
        <v>86209.09984000001</v>
      </c>
      <c r="F2428" s="85">
        <f t="shared" ref="F2428:Q2428" si="271">SUM(F2413:F2427)</f>
        <v>30718.631579999997</v>
      </c>
      <c r="G2428" s="85">
        <f t="shared" si="271"/>
        <v>0</v>
      </c>
      <c r="H2428" s="85">
        <f>82759402.64/1000</f>
        <v>82759.40264</v>
      </c>
      <c r="I2428" s="85">
        <f t="shared" si="271"/>
        <v>0</v>
      </c>
      <c r="J2428" s="85">
        <f t="shared" si="271"/>
        <v>28788.631579999997</v>
      </c>
      <c r="K2428" s="85">
        <f t="shared" si="271"/>
        <v>3433.9547600000001</v>
      </c>
      <c r="L2428" s="85">
        <f t="shared" si="271"/>
        <v>0</v>
      </c>
      <c r="M2428" s="85">
        <f t="shared" si="271"/>
        <v>30718.631579999997</v>
      </c>
      <c r="N2428" s="85">
        <f t="shared" si="271"/>
        <v>3439.97604</v>
      </c>
      <c r="O2428" s="85">
        <f t="shared" si="271"/>
        <v>0</v>
      </c>
      <c r="P2428" s="85">
        <f>3439976/1000</f>
        <v>3439.9760000000001</v>
      </c>
      <c r="Q2428" s="85">
        <f t="shared" si="271"/>
        <v>28798.352739999998</v>
      </c>
      <c r="R2428" s="84"/>
      <c r="S2428" s="84"/>
      <c r="T2428" s="85">
        <f t="shared" ref="T2428:Y2428" si="272">SUM(T2413:T2427)</f>
        <v>9.7211599999999994</v>
      </c>
      <c r="U2428" s="85">
        <f t="shared" si="272"/>
        <v>3449.6972000000001</v>
      </c>
      <c r="V2428" s="85">
        <f t="shared" si="272"/>
        <v>0</v>
      </c>
      <c r="W2428" s="85">
        <f t="shared" si="272"/>
        <v>0</v>
      </c>
      <c r="X2428" s="85">
        <f t="shared" si="265"/>
        <v>86199.378639999995</v>
      </c>
      <c r="Y2428" s="85">
        <f t="shared" si="272"/>
        <v>0</v>
      </c>
      <c r="Z2428" s="85">
        <f t="shared" si="266"/>
        <v>9.7212000000145053</v>
      </c>
      <c r="AA2428" s="69">
        <f>SUM(AA2413:AA2427)</f>
        <v>34168.328779999996</v>
      </c>
      <c r="AB2428" s="69">
        <f>SUM(AB2413:AB2427)</f>
        <v>0</v>
      </c>
    </row>
    <row r="2429" spans="1:28" hidden="1" x14ac:dyDescent="0.3">
      <c r="A2429" s="117"/>
      <c r="E2429" s="86" t="s">
        <v>29</v>
      </c>
      <c r="F2429" s="86" t="s">
        <v>29</v>
      </c>
      <c r="G2429" s="86" t="s">
        <v>29</v>
      </c>
      <c r="H2429" s="86" t="s">
        <v>29</v>
      </c>
      <c r="I2429" s="86" t="s">
        <v>29</v>
      </c>
      <c r="J2429" s="86" t="s">
        <v>29</v>
      </c>
      <c r="K2429" s="86" t="s">
        <v>29</v>
      </c>
      <c r="L2429" s="86" t="s">
        <v>29</v>
      </c>
      <c r="M2429" s="86" t="s">
        <v>29</v>
      </c>
      <c r="N2429" s="86" t="s">
        <v>29</v>
      </c>
      <c r="O2429" s="86" t="s">
        <v>29</v>
      </c>
      <c r="P2429" s="86" t="s">
        <v>29</v>
      </c>
      <c r="Q2429" s="86" t="s">
        <v>29</v>
      </c>
      <c r="R2429" s="86" t="s">
        <v>29</v>
      </c>
      <c r="S2429" s="86" t="s">
        <v>29</v>
      </c>
      <c r="T2429" s="86" t="s">
        <v>29</v>
      </c>
      <c r="U2429" s="86" t="s">
        <v>29</v>
      </c>
      <c r="V2429" s="86" t="s">
        <v>29</v>
      </c>
      <c r="W2429" s="86" t="s">
        <v>29</v>
      </c>
      <c r="X2429" s="85" t="e">
        <f t="shared" si="265"/>
        <v>#VALUE!</v>
      </c>
      <c r="Y2429" s="86" t="s">
        <v>29</v>
      </c>
      <c r="Z2429" s="85" t="e">
        <f t="shared" si="266"/>
        <v>#VALUE!</v>
      </c>
      <c r="AA2429" s="115" t="s">
        <v>29</v>
      </c>
      <c r="AB2429" s="115" t="s">
        <v>29</v>
      </c>
    </row>
    <row r="2430" spans="1:28" hidden="1" x14ac:dyDescent="0.3">
      <c r="A2430" s="105"/>
      <c r="E2430" s="84"/>
      <c r="F2430" s="84"/>
      <c r="G2430" s="84"/>
      <c r="H2430" s="84"/>
      <c r="I2430" s="84"/>
      <c r="J2430" s="84"/>
      <c r="K2430" s="84"/>
      <c r="L2430" s="84"/>
      <c r="M2430" s="84"/>
      <c r="N2430" s="84"/>
      <c r="O2430" s="84"/>
      <c r="P2430" s="84"/>
      <c r="Q2430" s="84"/>
      <c r="R2430" s="84"/>
      <c r="S2430" s="84"/>
      <c r="T2430" s="84"/>
      <c r="U2430" s="84"/>
      <c r="V2430" s="84"/>
      <c r="W2430" s="84"/>
      <c r="X2430" s="85">
        <f t="shared" si="265"/>
        <v>0</v>
      </c>
      <c r="Y2430" s="84"/>
      <c r="Z2430" s="85">
        <f t="shared" si="266"/>
        <v>0</v>
      </c>
    </row>
    <row r="2431" spans="1:28" hidden="1" x14ac:dyDescent="0.3">
      <c r="A2431" s="117"/>
      <c r="C2431" s="68" t="s">
        <v>862</v>
      </c>
      <c r="D2431" s="87" t="s">
        <v>150</v>
      </c>
      <c r="E2431" s="85">
        <f>STATS1003B!E2437/1000</f>
        <v>465.89299999999997</v>
      </c>
      <c r="F2431" s="85">
        <f>STATS1003B!F2437/1000</f>
        <v>465.89299999999997</v>
      </c>
      <c r="G2431" s="85">
        <f>STATS1003B!G2437/1000</f>
        <v>0</v>
      </c>
      <c r="H2431" s="85">
        <f>STATS1003B!H2437/1000</f>
        <v>465.89299999999997</v>
      </c>
      <c r="I2431" s="85">
        <f>STATS1003B!I2437/1000</f>
        <v>0</v>
      </c>
      <c r="J2431" s="85">
        <f>STATS1003B!J2437/1000</f>
        <v>465.89299999999997</v>
      </c>
      <c r="K2431" s="85">
        <f>STATS1003B!K2437/1000</f>
        <v>0</v>
      </c>
      <c r="L2431" s="85">
        <f>STATS1003B!L2437/1000</f>
        <v>0</v>
      </c>
      <c r="M2431" s="85">
        <f>STATS1003B!M2437/1000</f>
        <v>465.89299999999997</v>
      </c>
      <c r="N2431" s="85">
        <f>STATS1003B!N2437/1000</f>
        <v>0</v>
      </c>
      <c r="O2431" s="85">
        <f>STATS1003B!O2437/1000</f>
        <v>0</v>
      </c>
      <c r="P2431" s="85">
        <f>STATS1003B!P2437/1000</f>
        <v>0</v>
      </c>
      <c r="Q2431" s="85">
        <f>STATS1003B!Q2437/1000</f>
        <v>465.89299999999997</v>
      </c>
      <c r="R2431" s="85">
        <f>STATS1003B!R2437/1000</f>
        <v>0</v>
      </c>
      <c r="S2431" s="85">
        <f>STATS1003B!S2437/1000</f>
        <v>0</v>
      </c>
      <c r="T2431" s="85">
        <f>STATS1003B!T2437/1000</f>
        <v>0</v>
      </c>
      <c r="U2431" s="85">
        <f>STATS1003B!U2437/1000</f>
        <v>0</v>
      </c>
      <c r="V2431" s="85">
        <f>STATS1003B!V2437/1000</f>
        <v>0</v>
      </c>
      <c r="W2431" s="85">
        <f>STATS1003B!W2437/1000</f>
        <v>0</v>
      </c>
      <c r="X2431" s="85">
        <f t="shared" si="265"/>
        <v>465.89299999999997</v>
      </c>
      <c r="Y2431" s="85">
        <f>STATS1003B!Y2437/1000</f>
        <v>0</v>
      </c>
      <c r="Z2431" s="85">
        <f t="shared" si="266"/>
        <v>0</v>
      </c>
      <c r="AA2431" s="69">
        <f>STATS1003B!AA2437/1000</f>
        <v>465.89299999999997</v>
      </c>
      <c r="AB2431" s="69">
        <f>STATS1003B!AB2437/1000</f>
        <v>0</v>
      </c>
    </row>
    <row r="2432" spans="1:28" hidden="1" x14ac:dyDescent="0.3">
      <c r="A2432" s="117"/>
      <c r="D2432" s="71" t="s">
        <v>79</v>
      </c>
      <c r="E2432" s="85">
        <f>STATS1003B!E2438/1000</f>
        <v>0</v>
      </c>
      <c r="F2432" s="85">
        <f>STATS1003B!F2438/1000</f>
        <v>0</v>
      </c>
      <c r="G2432" s="85">
        <f>STATS1003B!G2438/1000</f>
        <v>0</v>
      </c>
      <c r="H2432" s="85">
        <f>STATS1003B!H2438/1000</f>
        <v>0</v>
      </c>
      <c r="I2432" s="85">
        <f>STATS1003B!I2438/1000</f>
        <v>0</v>
      </c>
      <c r="J2432" s="85">
        <f>STATS1003B!J2438/1000</f>
        <v>0</v>
      </c>
      <c r="K2432" s="85">
        <f>STATS1003B!K2438/1000</f>
        <v>0</v>
      </c>
      <c r="L2432" s="85">
        <f>STATS1003B!L2438/1000</f>
        <v>0</v>
      </c>
      <c r="M2432" s="85">
        <f>STATS1003B!M2438/1000</f>
        <v>0</v>
      </c>
      <c r="N2432" s="85">
        <f>STATS1003B!N2438/1000</f>
        <v>0</v>
      </c>
      <c r="O2432" s="85">
        <f>STATS1003B!O2438/1000</f>
        <v>0</v>
      </c>
      <c r="P2432" s="85">
        <f>STATS1003B!P2438/1000</f>
        <v>0</v>
      </c>
      <c r="Q2432" s="85">
        <f>STATS1003B!Q2438/1000</f>
        <v>0</v>
      </c>
      <c r="R2432" s="85">
        <f>STATS1003B!R2438/1000</f>
        <v>0</v>
      </c>
      <c r="S2432" s="85">
        <f>STATS1003B!S2438/1000</f>
        <v>0</v>
      </c>
      <c r="T2432" s="85">
        <f>STATS1003B!T2438/1000</f>
        <v>0</v>
      </c>
      <c r="U2432" s="85">
        <f>STATS1003B!U2438/1000</f>
        <v>0</v>
      </c>
      <c r="V2432" s="85">
        <f>STATS1003B!V2438/1000</f>
        <v>0</v>
      </c>
      <c r="W2432" s="85">
        <f>STATS1003B!W2438/1000</f>
        <v>0</v>
      </c>
      <c r="X2432" s="85">
        <f t="shared" si="265"/>
        <v>0</v>
      </c>
      <c r="Y2432" s="85">
        <f>STATS1003B!Y2438/1000</f>
        <v>0</v>
      </c>
      <c r="Z2432" s="85">
        <f t="shared" si="266"/>
        <v>0</v>
      </c>
      <c r="AA2432" s="69">
        <f>STATS1003B!AA2438/1000</f>
        <v>0</v>
      </c>
      <c r="AB2432" s="69">
        <f>STATS1003B!AB2438/1000</f>
        <v>0</v>
      </c>
    </row>
    <row r="2433" spans="1:28" hidden="1" x14ac:dyDescent="0.3">
      <c r="A2433" s="117"/>
      <c r="C2433" s="68" t="s">
        <v>535</v>
      </c>
      <c r="D2433" s="68" t="s">
        <v>211</v>
      </c>
      <c r="E2433" s="85">
        <f>STATS1003B!E2439/1000</f>
        <v>13948.800789999999</v>
      </c>
      <c r="F2433" s="85">
        <f>STATS1003B!F2439/1000</f>
        <v>13281.739300000001</v>
      </c>
      <c r="G2433" s="85">
        <f>STATS1003B!G2439/1000</f>
        <v>0</v>
      </c>
      <c r="H2433" s="85">
        <f>STATS1003B!H2439/1000</f>
        <v>13281.739300000001</v>
      </c>
      <c r="I2433" s="85">
        <f>STATS1003B!I2439/1000</f>
        <v>0</v>
      </c>
      <c r="J2433" s="85">
        <f>STATS1003B!J2439/1000</f>
        <v>13281.739300000001</v>
      </c>
      <c r="K2433" s="85">
        <f>STATS1003B!K2439/1000</f>
        <v>667.06148999999994</v>
      </c>
      <c r="L2433" s="85">
        <f>STATS1003B!L2439/1000</f>
        <v>0</v>
      </c>
      <c r="M2433" s="85">
        <f>STATS1003B!M2439/1000</f>
        <v>13281.739300000001</v>
      </c>
      <c r="N2433" s="85">
        <f>STATS1003B!N2439/1000</f>
        <v>667.06148999999994</v>
      </c>
      <c r="O2433" s="85">
        <f>STATS1003B!O2439/1000</f>
        <v>0</v>
      </c>
      <c r="P2433" s="85">
        <f>STATS1003B!P2439/1000</f>
        <v>667.06148999999994</v>
      </c>
      <c r="Q2433" s="85">
        <f>STATS1003B!Q2439/1000</f>
        <v>13281.739299999999</v>
      </c>
      <c r="R2433" s="85">
        <f>STATS1003B!R2439/1000</f>
        <v>0</v>
      </c>
      <c r="S2433" s="85">
        <f>STATS1003B!S2439/1000</f>
        <v>0</v>
      </c>
      <c r="T2433" s="85">
        <f>STATS1003B!T2439/1000</f>
        <v>0</v>
      </c>
      <c r="U2433" s="85">
        <f>STATS1003B!U2439/1000</f>
        <v>667.06148999999994</v>
      </c>
      <c r="V2433" s="85">
        <f>STATS1003B!V2439/1000</f>
        <v>0</v>
      </c>
      <c r="W2433" s="85">
        <f>STATS1003B!W2439/1000</f>
        <v>0</v>
      </c>
      <c r="X2433" s="85">
        <f t="shared" si="265"/>
        <v>13948.800790000001</v>
      </c>
      <c r="Y2433" s="85">
        <f>STATS1003B!Y2439/1000</f>
        <v>0</v>
      </c>
      <c r="Z2433" s="85">
        <f t="shared" si="266"/>
        <v>0</v>
      </c>
      <c r="AA2433" s="69">
        <f>STATS1003B!AA2439/1000</f>
        <v>13948.800790000001</v>
      </c>
      <c r="AB2433" s="69">
        <f>STATS1003B!AB2439/1000</f>
        <v>0</v>
      </c>
    </row>
    <row r="2434" spans="1:28" hidden="1" x14ac:dyDescent="0.3">
      <c r="A2434" s="117"/>
      <c r="B2434" s="71" t="s">
        <v>375</v>
      </c>
      <c r="C2434" s="68" t="s">
        <v>863</v>
      </c>
      <c r="D2434" s="68" t="s">
        <v>864</v>
      </c>
      <c r="E2434" s="85">
        <f>STATS1003B!E2440/1000</f>
        <v>205</v>
      </c>
      <c r="F2434" s="85">
        <f>STATS1003B!F2440/1000</f>
        <v>205</v>
      </c>
      <c r="G2434" s="85">
        <f>STATS1003B!G2440/1000</f>
        <v>0</v>
      </c>
      <c r="H2434" s="85">
        <f>STATS1003B!H2440/1000</f>
        <v>205</v>
      </c>
      <c r="I2434" s="85">
        <f>STATS1003B!I2440/1000</f>
        <v>0</v>
      </c>
      <c r="J2434" s="85">
        <f>STATS1003B!J2440/1000</f>
        <v>205</v>
      </c>
      <c r="K2434" s="85">
        <f>STATS1003B!K2440/1000</f>
        <v>0</v>
      </c>
      <c r="L2434" s="85">
        <f>STATS1003B!L2440/1000</f>
        <v>0</v>
      </c>
      <c r="M2434" s="85">
        <f>STATS1003B!M2440/1000</f>
        <v>205</v>
      </c>
      <c r="N2434" s="85">
        <f>STATS1003B!N2440/1000</f>
        <v>0</v>
      </c>
      <c r="O2434" s="85">
        <f>STATS1003B!O2440/1000</f>
        <v>0</v>
      </c>
      <c r="P2434" s="85">
        <f>STATS1003B!P2440/1000</f>
        <v>0</v>
      </c>
      <c r="Q2434" s="85">
        <f>STATS1003B!Q2440/1000</f>
        <v>205</v>
      </c>
      <c r="R2434" s="85">
        <f>STATS1003B!R2440/1000</f>
        <v>0</v>
      </c>
      <c r="S2434" s="85">
        <f>STATS1003B!S2440/1000</f>
        <v>0</v>
      </c>
      <c r="T2434" s="85">
        <f>STATS1003B!T2440/1000</f>
        <v>0</v>
      </c>
      <c r="U2434" s="85">
        <f>STATS1003B!U2440/1000</f>
        <v>0</v>
      </c>
      <c r="V2434" s="85">
        <f>STATS1003B!V2440/1000</f>
        <v>0</v>
      </c>
      <c r="W2434" s="85">
        <f>STATS1003B!W2440/1000</f>
        <v>0</v>
      </c>
      <c r="X2434" s="85">
        <f t="shared" si="265"/>
        <v>205</v>
      </c>
      <c r="Y2434" s="85">
        <f>STATS1003B!Y2440/1000</f>
        <v>0</v>
      </c>
      <c r="Z2434" s="85">
        <f t="shared" si="266"/>
        <v>0</v>
      </c>
      <c r="AA2434" s="69">
        <f>STATS1003B!AA2440/1000</f>
        <v>205</v>
      </c>
      <c r="AB2434" s="69">
        <f>STATS1003B!AB2440/1000</f>
        <v>0</v>
      </c>
    </row>
    <row r="2435" spans="1:28" hidden="1" x14ac:dyDescent="0.3">
      <c r="A2435" s="117"/>
      <c r="C2435" s="68" t="s">
        <v>545</v>
      </c>
      <c r="D2435" s="87" t="s">
        <v>68</v>
      </c>
      <c r="E2435" s="85">
        <f>STATS1003B!E2441/1000</f>
        <v>1767.77</v>
      </c>
      <c r="F2435" s="85">
        <f>STATS1003B!F2441/1000</f>
        <v>0</v>
      </c>
      <c r="G2435" s="85">
        <f>STATS1003B!G2441/1000</f>
        <v>0</v>
      </c>
      <c r="H2435" s="85">
        <f>STATS1003B!H2441/1000</f>
        <v>0</v>
      </c>
      <c r="I2435" s="85">
        <f>STATS1003B!I2441/1000</f>
        <v>0</v>
      </c>
      <c r="J2435" s="85">
        <f>STATS1003B!J2441/1000</f>
        <v>0</v>
      </c>
      <c r="K2435" s="85">
        <f>STATS1003B!K2441/1000</f>
        <v>1767.77</v>
      </c>
      <c r="L2435" s="85">
        <f>STATS1003B!L2441/1000</f>
        <v>0</v>
      </c>
      <c r="M2435" s="85">
        <f>STATS1003B!M2441/1000</f>
        <v>0</v>
      </c>
      <c r="N2435" s="85">
        <f>STATS1003B!N2441/1000</f>
        <v>1767.77</v>
      </c>
      <c r="O2435" s="85">
        <f>STATS1003B!O2441/1000</f>
        <v>0</v>
      </c>
      <c r="P2435" s="85">
        <f>STATS1003B!P2441/1000</f>
        <v>1767.77</v>
      </c>
      <c r="Q2435" s="85">
        <f>STATS1003B!Q2441/1000</f>
        <v>0</v>
      </c>
      <c r="R2435" s="85">
        <f>STATS1003B!R2441/1000</f>
        <v>0</v>
      </c>
      <c r="S2435" s="85">
        <f>STATS1003B!S2441/1000</f>
        <v>0</v>
      </c>
      <c r="T2435" s="85">
        <f>STATS1003B!T2441/1000</f>
        <v>0</v>
      </c>
      <c r="U2435" s="85">
        <f>STATS1003B!U2441/1000</f>
        <v>1767.77</v>
      </c>
      <c r="V2435" s="85">
        <f>STATS1003B!V2441/1000</f>
        <v>0</v>
      </c>
      <c r="W2435" s="85">
        <f>STATS1003B!W2441/1000</f>
        <v>0</v>
      </c>
      <c r="X2435" s="85">
        <f t="shared" si="265"/>
        <v>1767.77</v>
      </c>
      <c r="Y2435" s="85">
        <f>STATS1003B!Y2441/1000</f>
        <v>0</v>
      </c>
      <c r="Z2435" s="85">
        <f t="shared" si="266"/>
        <v>0</v>
      </c>
      <c r="AA2435" s="69">
        <f>STATS1003B!AA2441/1000</f>
        <v>1767.77</v>
      </c>
      <c r="AB2435" s="69">
        <f>STATS1003B!AB2441/1000</f>
        <v>0</v>
      </c>
    </row>
    <row r="2436" spans="1:28" hidden="1" x14ac:dyDescent="0.3">
      <c r="A2436" s="117"/>
      <c r="C2436" s="71" t="s">
        <v>702</v>
      </c>
      <c r="D2436" s="88" t="s">
        <v>54</v>
      </c>
      <c r="E2436" s="85">
        <f>STATS1003B!E2442/1000</f>
        <v>241.48</v>
      </c>
      <c r="F2436" s="85">
        <f>STATS1003B!F2442/1000</f>
        <v>0</v>
      </c>
      <c r="G2436" s="85">
        <f>STATS1003B!G2442/1000</f>
        <v>0</v>
      </c>
      <c r="H2436" s="85">
        <f>STATS1003B!H2442/1000</f>
        <v>0</v>
      </c>
      <c r="I2436" s="85">
        <f>STATS1003B!I2442/1000</f>
        <v>0</v>
      </c>
      <c r="J2436" s="85">
        <f>STATS1003B!J2442/1000</f>
        <v>0</v>
      </c>
      <c r="K2436" s="85">
        <f>STATS1003B!K2442/1000</f>
        <v>241.48</v>
      </c>
      <c r="L2436" s="85">
        <f>STATS1003B!L2442/1000</f>
        <v>0</v>
      </c>
      <c r="M2436" s="85">
        <f>STATS1003B!M2442/1000</f>
        <v>0</v>
      </c>
      <c r="N2436" s="85">
        <f>STATS1003B!N2442/1000</f>
        <v>241.48</v>
      </c>
      <c r="O2436" s="85">
        <f>STATS1003B!O2442/1000</f>
        <v>0</v>
      </c>
      <c r="P2436" s="85">
        <f>STATS1003B!P2442/1000</f>
        <v>241.48</v>
      </c>
      <c r="Q2436" s="85">
        <f>STATS1003B!Q2442/1000</f>
        <v>0</v>
      </c>
      <c r="R2436" s="85">
        <f>STATS1003B!R2442/1000</f>
        <v>0</v>
      </c>
      <c r="S2436" s="85">
        <f>STATS1003B!S2442/1000</f>
        <v>0</v>
      </c>
      <c r="T2436" s="85">
        <f>STATS1003B!T2442/1000</f>
        <v>0</v>
      </c>
      <c r="U2436" s="85">
        <f>STATS1003B!U2442/1000</f>
        <v>241.48</v>
      </c>
      <c r="V2436" s="85">
        <f>STATS1003B!V2442/1000</f>
        <v>0</v>
      </c>
      <c r="W2436" s="85">
        <f>STATS1003B!W2442/1000</f>
        <v>0</v>
      </c>
      <c r="X2436" s="85">
        <f t="shared" si="265"/>
        <v>241.48</v>
      </c>
      <c r="Y2436" s="85">
        <f>STATS1003B!Y2442/1000</f>
        <v>0</v>
      </c>
      <c r="Z2436" s="85">
        <f t="shared" si="266"/>
        <v>0</v>
      </c>
      <c r="AA2436" s="69">
        <f>STATS1003B!AA2442/1000</f>
        <v>241.48</v>
      </c>
      <c r="AB2436" s="69">
        <f>STATS1003B!AB2442/1000</f>
        <v>0</v>
      </c>
    </row>
    <row r="2437" spans="1:28" hidden="1" x14ac:dyDescent="0.3">
      <c r="A2437" s="117"/>
      <c r="C2437" s="68" t="s">
        <v>865</v>
      </c>
      <c r="D2437" s="68" t="s">
        <v>308</v>
      </c>
      <c r="E2437" s="85">
        <f>STATS1003B!E2443/1000</f>
        <v>2480</v>
      </c>
      <c r="F2437" s="85">
        <f>STATS1003B!F2443/1000</f>
        <v>2480</v>
      </c>
      <c r="G2437" s="85">
        <f>STATS1003B!G2443/1000</f>
        <v>0</v>
      </c>
      <c r="H2437" s="85">
        <f>STATS1003B!H2443/1000</f>
        <v>2480</v>
      </c>
      <c r="I2437" s="85">
        <f>STATS1003B!I2443/1000</f>
        <v>0</v>
      </c>
      <c r="J2437" s="85">
        <f>STATS1003B!J2443/1000</f>
        <v>2480</v>
      </c>
      <c r="K2437" s="85">
        <f>STATS1003B!K2443/1000</f>
        <v>0</v>
      </c>
      <c r="L2437" s="85">
        <f>STATS1003B!L2443/1000</f>
        <v>0</v>
      </c>
      <c r="M2437" s="85">
        <f>STATS1003B!M2443/1000</f>
        <v>2480</v>
      </c>
      <c r="N2437" s="85">
        <f>STATS1003B!N2443/1000</f>
        <v>0</v>
      </c>
      <c r="O2437" s="85">
        <f>STATS1003B!O2443/1000</f>
        <v>0</v>
      </c>
      <c r="P2437" s="85">
        <f>STATS1003B!P2443/1000</f>
        <v>0</v>
      </c>
      <c r="Q2437" s="85">
        <f>STATS1003B!Q2443/1000</f>
        <v>2480</v>
      </c>
      <c r="R2437" s="85">
        <f>STATS1003B!R2443/1000</f>
        <v>0</v>
      </c>
      <c r="S2437" s="85">
        <f>STATS1003B!S2443/1000</f>
        <v>0</v>
      </c>
      <c r="T2437" s="85">
        <f>STATS1003B!T2443/1000</f>
        <v>0</v>
      </c>
      <c r="U2437" s="85">
        <f>STATS1003B!U2443/1000</f>
        <v>0</v>
      </c>
      <c r="V2437" s="85">
        <f>STATS1003B!V2443/1000</f>
        <v>0</v>
      </c>
      <c r="W2437" s="85">
        <f>STATS1003B!W2443/1000</f>
        <v>0</v>
      </c>
      <c r="X2437" s="85">
        <f t="shared" si="265"/>
        <v>2480</v>
      </c>
      <c r="Y2437" s="85">
        <f>STATS1003B!Y2443/1000</f>
        <v>0</v>
      </c>
      <c r="Z2437" s="85">
        <f t="shared" si="266"/>
        <v>0</v>
      </c>
      <c r="AA2437" s="69">
        <f>STATS1003B!AA2443/1000</f>
        <v>2480</v>
      </c>
      <c r="AB2437" s="69">
        <f>STATS1003B!AB2443/1000</f>
        <v>0</v>
      </c>
    </row>
    <row r="2438" spans="1:28" hidden="1" x14ac:dyDescent="0.3">
      <c r="A2438" s="117"/>
      <c r="B2438" s="69"/>
      <c r="C2438" s="68" t="s">
        <v>860</v>
      </c>
      <c r="D2438" s="87" t="s">
        <v>85</v>
      </c>
      <c r="E2438" s="85">
        <f>STATS1003B!E2444/1000</f>
        <v>240</v>
      </c>
      <c r="F2438" s="85">
        <f>STATS1003B!F2444/1000</f>
        <v>240</v>
      </c>
      <c r="G2438" s="85">
        <f>STATS1003B!G2444/1000</f>
        <v>0</v>
      </c>
      <c r="H2438" s="85">
        <f>STATS1003B!H2444/1000</f>
        <v>240</v>
      </c>
      <c r="I2438" s="85">
        <f>STATS1003B!I2444/1000</f>
        <v>0</v>
      </c>
      <c r="J2438" s="85">
        <f>STATS1003B!J2444/1000</f>
        <v>240</v>
      </c>
      <c r="K2438" s="85">
        <f>STATS1003B!K2444/1000</f>
        <v>0</v>
      </c>
      <c r="L2438" s="85">
        <f>STATS1003B!L2444/1000</f>
        <v>0</v>
      </c>
      <c r="M2438" s="85">
        <f>STATS1003B!M2444/1000</f>
        <v>240</v>
      </c>
      <c r="N2438" s="85">
        <f>STATS1003B!N2444/1000</f>
        <v>0</v>
      </c>
      <c r="O2438" s="85">
        <f>STATS1003B!O2444/1000</f>
        <v>0</v>
      </c>
      <c r="P2438" s="85">
        <f>STATS1003B!P2444/1000</f>
        <v>0</v>
      </c>
      <c r="Q2438" s="85">
        <f>STATS1003B!Q2444/1000</f>
        <v>240</v>
      </c>
      <c r="R2438" s="85">
        <f>STATS1003B!R2444/1000</f>
        <v>0</v>
      </c>
      <c r="S2438" s="85">
        <f>STATS1003B!S2444/1000</f>
        <v>0</v>
      </c>
      <c r="T2438" s="85">
        <f>STATS1003B!T2444/1000</f>
        <v>0</v>
      </c>
      <c r="U2438" s="85">
        <f>STATS1003B!U2444/1000</f>
        <v>0</v>
      </c>
      <c r="V2438" s="85">
        <f>STATS1003B!V2444/1000</f>
        <v>0</v>
      </c>
      <c r="W2438" s="85">
        <f>STATS1003B!W2444/1000</f>
        <v>0</v>
      </c>
      <c r="X2438" s="85">
        <f t="shared" si="265"/>
        <v>240</v>
      </c>
      <c r="Y2438" s="85">
        <f>STATS1003B!Y2444/1000</f>
        <v>0</v>
      </c>
      <c r="Z2438" s="85">
        <f t="shared" si="266"/>
        <v>0</v>
      </c>
      <c r="AA2438" s="69">
        <f>STATS1003B!AA2444/1000</f>
        <v>240</v>
      </c>
      <c r="AB2438" s="69">
        <f>STATS1003B!AB2444/1000</f>
        <v>0</v>
      </c>
    </row>
    <row r="2439" spans="1:28" hidden="1" x14ac:dyDescent="0.3">
      <c r="A2439" s="117"/>
      <c r="C2439" s="71" t="s">
        <v>866</v>
      </c>
      <c r="D2439" s="88" t="s">
        <v>128</v>
      </c>
      <c r="E2439" s="85">
        <f>STATS1003B!E2445/1000</f>
        <v>300</v>
      </c>
      <c r="F2439" s="85">
        <f>STATS1003B!F2445/1000</f>
        <v>300</v>
      </c>
      <c r="G2439" s="85">
        <f>STATS1003B!G2445/1000</f>
        <v>0</v>
      </c>
      <c r="H2439" s="85">
        <f>STATS1003B!H2445/1000</f>
        <v>300</v>
      </c>
      <c r="I2439" s="85">
        <f>STATS1003B!I2445/1000</f>
        <v>0</v>
      </c>
      <c r="J2439" s="85">
        <f>STATS1003B!J2445/1000</f>
        <v>300</v>
      </c>
      <c r="K2439" s="85">
        <f>STATS1003B!K2445/1000</f>
        <v>0</v>
      </c>
      <c r="L2439" s="85">
        <f>STATS1003B!L2445/1000</f>
        <v>0</v>
      </c>
      <c r="M2439" s="85">
        <f>STATS1003B!M2445/1000</f>
        <v>300</v>
      </c>
      <c r="N2439" s="85">
        <f>STATS1003B!N2445/1000</f>
        <v>0</v>
      </c>
      <c r="O2439" s="85">
        <f>STATS1003B!O2445/1000</f>
        <v>0</v>
      </c>
      <c r="P2439" s="85">
        <f>STATS1003B!P2445/1000</f>
        <v>0</v>
      </c>
      <c r="Q2439" s="85">
        <f>STATS1003B!Q2445/1000</f>
        <v>300</v>
      </c>
      <c r="R2439" s="85">
        <f>STATS1003B!R2445/1000</f>
        <v>0</v>
      </c>
      <c r="S2439" s="85">
        <f>STATS1003B!S2445/1000</f>
        <v>0</v>
      </c>
      <c r="T2439" s="85">
        <f>STATS1003B!T2445/1000</f>
        <v>0</v>
      </c>
      <c r="U2439" s="85">
        <f>STATS1003B!U2445/1000</f>
        <v>0</v>
      </c>
      <c r="V2439" s="85">
        <f>STATS1003B!V2445/1000</f>
        <v>0</v>
      </c>
      <c r="W2439" s="85">
        <f>STATS1003B!W2445/1000</f>
        <v>0</v>
      </c>
      <c r="X2439" s="85">
        <f t="shared" si="265"/>
        <v>300</v>
      </c>
      <c r="Y2439" s="85">
        <f>STATS1003B!Y2445/1000</f>
        <v>0</v>
      </c>
      <c r="Z2439" s="85">
        <f t="shared" si="266"/>
        <v>0</v>
      </c>
      <c r="AA2439" s="69">
        <f>STATS1003B!AA2445/1000</f>
        <v>300</v>
      </c>
      <c r="AB2439" s="69">
        <f>STATS1003B!AB2445/1000</f>
        <v>0</v>
      </c>
    </row>
    <row r="2440" spans="1:28" hidden="1" x14ac:dyDescent="0.3">
      <c r="A2440" s="117"/>
      <c r="C2440" s="68" t="s">
        <v>535</v>
      </c>
      <c r="D2440" s="87" t="s">
        <v>58</v>
      </c>
      <c r="E2440" s="85">
        <f>STATS1003B!E2446/1000</f>
        <v>6722.8109999999997</v>
      </c>
      <c r="F2440" s="85">
        <f>STATS1003B!F2446/1000</f>
        <v>6722.8109999999997</v>
      </c>
      <c r="G2440" s="85">
        <f>STATS1003B!G2446/1000</f>
        <v>0</v>
      </c>
      <c r="H2440" s="85">
        <f>STATS1003B!H2446/1000</f>
        <v>6722.8109999999997</v>
      </c>
      <c r="I2440" s="85">
        <f>STATS1003B!I2446/1000</f>
        <v>0</v>
      </c>
      <c r="J2440" s="85">
        <f>STATS1003B!J2446/1000</f>
        <v>6722.8109999999997</v>
      </c>
      <c r="K2440" s="85">
        <f>STATS1003B!K2446/1000</f>
        <v>0</v>
      </c>
      <c r="L2440" s="85">
        <f>STATS1003B!L2446/1000</f>
        <v>0</v>
      </c>
      <c r="M2440" s="85">
        <f>STATS1003B!M2446/1000</f>
        <v>6722.8109999999997</v>
      </c>
      <c r="N2440" s="85">
        <f>STATS1003B!N2446/1000</f>
        <v>0</v>
      </c>
      <c r="O2440" s="85">
        <f>STATS1003B!O2446/1000</f>
        <v>0</v>
      </c>
      <c r="P2440" s="85">
        <f>STATS1003B!P2446/1000</f>
        <v>0</v>
      </c>
      <c r="Q2440" s="85">
        <f>STATS1003B!Q2446/1000</f>
        <v>6722.8109999999997</v>
      </c>
      <c r="R2440" s="85">
        <f>STATS1003B!R2446/1000</f>
        <v>0</v>
      </c>
      <c r="S2440" s="85">
        <f>STATS1003B!S2446/1000</f>
        <v>0</v>
      </c>
      <c r="T2440" s="85">
        <f>STATS1003B!T2446/1000</f>
        <v>0</v>
      </c>
      <c r="U2440" s="85">
        <f>STATS1003B!U2446/1000</f>
        <v>0</v>
      </c>
      <c r="V2440" s="85">
        <f>STATS1003B!V2446/1000</f>
        <v>0</v>
      </c>
      <c r="W2440" s="85">
        <f>STATS1003B!W2446/1000</f>
        <v>0</v>
      </c>
      <c r="X2440" s="85">
        <f t="shared" si="265"/>
        <v>6722.8109999999997</v>
      </c>
      <c r="Y2440" s="85">
        <f>STATS1003B!Y2446/1000</f>
        <v>0</v>
      </c>
      <c r="Z2440" s="85">
        <f t="shared" si="266"/>
        <v>0</v>
      </c>
      <c r="AA2440" s="69">
        <f>STATS1003B!AA2446/1000</f>
        <v>6722.8109999999997</v>
      </c>
      <c r="AB2440" s="69">
        <f>STATS1003B!AB2446/1000</f>
        <v>0</v>
      </c>
    </row>
    <row r="2441" spans="1:28" hidden="1" x14ac:dyDescent="0.3">
      <c r="A2441" s="117"/>
      <c r="C2441" s="68" t="s">
        <v>535</v>
      </c>
      <c r="D2441" s="87" t="s">
        <v>60</v>
      </c>
      <c r="E2441" s="85">
        <f>STATS1003B!E2447/1000</f>
        <v>11716.759800000002</v>
      </c>
      <c r="F2441" s="85">
        <f>STATS1003B!F2447/1000</f>
        <v>11716.759800000002</v>
      </c>
      <c r="G2441" s="85">
        <f>STATS1003B!G2447/1000</f>
        <v>0</v>
      </c>
      <c r="H2441" s="85">
        <f>STATS1003B!H2447/1000</f>
        <v>11716.759800000002</v>
      </c>
      <c r="I2441" s="85">
        <f>STATS1003B!I2447/1000</f>
        <v>0</v>
      </c>
      <c r="J2441" s="85">
        <f>STATS1003B!J2447/1000</f>
        <v>11716.759800000002</v>
      </c>
      <c r="K2441" s="85">
        <f>STATS1003B!K2447/1000</f>
        <v>0</v>
      </c>
      <c r="L2441" s="85">
        <f>STATS1003B!L2447/1000</f>
        <v>0</v>
      </c>
      <c r="M2441" s="85">
        <f>STATS1003B!M2447/1000</f>
        <v>11716.759800000002</v>
      </c>
      <c r="N2441" s="85">
        <f>STATS1003B!N2447/1000</f>
        <v>0</v>
      </c>
      <c r="O2441" s="85">
        <f>STATS1003B!O2447/1000</f>
        <v>0</v>
      </c>
      <c r="P2441" s="85">
        <f>STATS1003B!P2447/1000</f>
        <v>0</v>
      </c>
      <c r="Q2441" s="85">
        <f>STATS1003B!Q2447/1000</f>
        <v>11716.759800000002</v>
      </c>
      <c r="R2441" s="85">
        <f>STATS1003B!R2447/1000</f>
        <v>0</v>
      </c>
      <c r="S2441" s="85">
        <f>STATS1003B!S2447/1000</f>
        <v>0</v>
      </c>
      <c r="T2441" s="85">
        <f>STATS1003B!T2447/1000</f>
        <v>0</v>
      </c>
      <c r="U2441" s="85">
        <f>STATS1003B!U2447/1000</f>
        <v>0</v>
      </c>
      <c r="V2441" s="85">
        <f>STATS1003B!V2447/1000</f>
        <v>0</v>
      </c>
      <c r="W2441" s="85">
        <f>STATS1003B!W2447/1000</f>
        <v>0</v>
      </c>
      <c r="X2441" s="85">
        <f t="shared" ref="X2441:X2446" si="273">+H2441+P2441</f>
        <v>11716.759800000002</v>
      </c>
      <c r="Y2441" s="85">
        <f>STATS1003B!Y2447/1000</f>
        <v>0</v>
      </c>
      <c r="Z2441" s="85">
        <f t="shared" si="266"/>
        <v>0</v>
      </c>
      <c r="AA2441" s="69">
        <f>STATS1003B!AA2447/1000</f>
        <v>11716.759800000002</v>
      </c>
      <c r="AB2441" s="69">
        <f>STATS1003B!AB2447/1000</f>
        <v>0</v>
      </c>
    </row>
    <row r="2442" spans="1:28" hidden="1" x14ac:dyDescent="0.3">
      <c r="A2442" s="117"/>
      <c r="C2442" s="71" t="s">
        <v>535</v>
      </c>
      <c r="D2442" s="87" t="s">
        <v>61</v>
      </c>
      <c r="E2442" s="85">
        <f>STATS1003B!E2448/1000</f>
        <v>408.35606999999999</v>
      </c>
      <c r="F2442" s="85">
        <f>STATS1003B!F2448/1000</f>
        <v>408.35606999999999</v>
      </c>
      <c r="G2442" s="85">
        <f>STATS1003B!G2448/1000</f>
        <v>0</v>
      </c>
      <c r="H2442" s="85">
        <f>STATS1003B!H2448/1000</f>
        <v>408.35606999999999</v>
      </c>
      <c r="I2442" s="85">
        <f>STATS1003B!I2448/1000</f>
        <v>0</v>
      </c>
      <c r="J2442" s="85">
        <f>STATS1003B!J2448/1000</f>
        <v>408.35606999999999</v>
      </c>
      <c r="K2442" s="85">
        <f>STATS1003B!K2448/1000</f>
        <v>0</v>
      </c>
      <c r="L2442" s="85">
        <f>STATS1003B!L2448/1000</f>
        <v>0</v>
      </c>
      <c r="M2442" s="85">
        <f>STATS1003B!M2448/1000</f>
        <v>408.35606999999999</v>
      </c>
      <c r="N2442" s="85">
        <f>STATS1003B!N2448/1000</f>
        <v>0</v>
      </c>
      <c r="O2442" s="85">
        <f>STATS1003B!O2448/1000</f>
        <v>0</v>
      </c>
      <c r="P2442" s="85">
        <f>STATS1003B!P2448/1000</f>
        <v>0</v>
      </c>
      <c r="Q2442" s="85">
        <f>STATS1003B!Q2448/1000</f>
        <v>408.35606999999999</v>
      </c>
      <c r="R2442" s="85">
        <f>STATS1003B!R2448/1000</f>
        <v>0</v>
      </c>
      <c r="S2442" s="85">
        <f>STATS1003B!S2448/1000</f>
        <v>0</v>
      </c>
      <c r="T2442" s="85">
        <f>STATS1003B!T2448/1000</f>
        <v>0</v>
      </c>
      <c r="U2442" s="85">
        <f>STATS1003B!U2448/1000</f>
        <v>0</v>
      </c>
      <c r="V2442" s="85">
        <f>STATS1003B!V2448/1000</f>
        <v>0</v>
      </c>
      <c r="W2442" s="85">
        <f>STATS1003B!W2448/1000</f>
        <v>0</v>
      </c>
      <c r="X2442" s="85">
        <f t="shared" si="273"/>
        <v>408.35606999999999</v>
      </c>
      <c r="Y2442" s="85">
        <f>STATS1003B!Y2448/1000</f>
        <v>0</v>
      </c>
      <c r="Z2442" s="85">
        <f t="shared" si="266"/>
        <v>0</v>
      </c>
      <c r="AA2442" s="69">
        <f>STATS1003B!AA2448/1000</f>
        <v>408.35606999999999</v>
      </c>
      <c r="AB2442" s="69">
        <f>STATS1003B!AB2448/1000</f>
        <v>0</v>
      </c>
    </row>
    <row r="2443" spans="1:28" hidden="1" x14ac:dyDescent="0.3">
      <c r="A2443" s="117"/>
      <c r="C2443" s="71" t="s">
        <v>933</v>
      </c>
      <c r="D2443" s="90" t="s">
        <v>1072</v>
      </c>
      <c r="E2443" s="85">
        <f>STATS1003B!E2449/1000</f>
        <v>739.91107999999997</v>
      </c>
      <c r="F2443" s="85">
        <f>STATS1003B!F2449/1000</f>
        <v>739.91107999999997</v>
      </c>
      <c r="G2443" s="85">
        <f>STATS1003B!G2449/1000</f>
        <v>0</v>
      </c>
      <c r="H2443" s="85">
        <f>STATS1003B!H2449/1000</f>
        <v>739.91107999999997</v>
      </c>
      <c r="I2443" s="85">
        <f>STATS1003B!I2449/1000</f>
        <v>0</v>
      </c>
      <c r="J2443" s="85">
        <f>STATS1003B!J2449/1000</f>
        <v>0</v>
      </c>
      <c r="K2443" s="85">
        <f>STATS1003B!K2449/1000</f>
        <v>0</v>
      </c>
      <c r="L2443" s="85">
        <f>STATS1003B!L2449/1000</f>
        <v>0</v>
      </c>
      <c r="M2443" s="85">
        <f>STATS1003B!M2449/1000</f>
        <v>739.91107999999997</v>
      </c>
      <c r="N2443" s="85">
        <f>STATS1003B!N2449/1000</f>
        <v>0</v>
      </c>
      <c r="O2443" s="85">
        <f>STATS1003B!O2449/1000</f>
        <v>0</v>
      </c>
      <c r="P2443" s="85">
        <f>STATS1003B!P2449/1000</f>
        <v>0</v>
      </c>
      <c r="Q2443" s="85">
        <f>STATS1003B!Q2449/1000</f>
        <v>0</v>
      </c>
      <c r="R2443" s="85">
        <f>STATS1003B!R2449/1000</f>
        <v>0</v>
      </c>
      <c r="S2443" s="85">
        <f>STATS1003B!S2449/1000</f>
        <v>0</v>
      </c>
      <c r="T2443" s="85">
        <f>STATS1003B!T2449/1000</f>
        <v>0</v>
      </c>
      <c r="U2443" s="85">
        <f>STATS1003B!U2449/1000</f>
        <v>0</v>
      </c>
      <c r="V2443" s="85">
        <f>STATS1003B!V2449/1000</f>
        <v>0</v>
      </c>
      <c r="W2443" s="85">
        <f>STATS1003B!W2449/1000</f>
        <v>0</v>
      </c>
      <c r="X2443" s="85">
        <f t="shared" si="273"/>
        <v>739.91107999999997</v>
      </c>
      <c r="Y2443" s="85">
        <f>STATS1003B!Y2449/1000</f>
        <v>0</v>
      </c>
      <c r="Z2443" s="85">
        <f t="shared" si="266"/>
        <v>0</v>
      </c>
      <c r="AA2443" s="69">
        <f>STATS1003B!AA2449/1000</f>
        <v>739.91107999999997</v>
      </c>
      <c r="AB2443" s="69">
        <f>STATS1003B!AB2449/1000</f>
        <v>0</v>
      </c>
    </row>
    <row r="2444" spans="1:28" hidden="1" x14ac:dyDescent="0.3">
      <c r="A2444" s="117"/>
      <c r="C2444" s="68" t="s">
        <v>606</v>
      </c>
      <c r="E2444" s="85">
        <f>STATS1003B!E2450/1000</f>
        <v>5151.0532000000003</v>
      </c>
      <c r="F2444" s="85">
        <f>STATS1003B!F2450/1000</f>
        <v>5151.0532000000003</v>
      </c>
      <c r="G2444" s="85">
        <f>STATS1003B!G2450/1000</f>
        <v>0</v>
      </c>
      <c r="H2444" s="85">
        <f>STATS1003B!H2450/1000</f>
        <v>5151.0532000000003</v>
      </c>
      <c r="I2444" s="85">
        <f>STATS1003B!I2450/1000</f>
        <v>0</v>
      </c>
      <c r="J2444" s="85">
        <f>STATS1003B!J2450/1000</f>
        <v>5151.0532000000003</v>
      </c>
      <c r="K2444" s="85">
        <f>STATS1003B!K2450/1000</f>
        <v>0</v>
      </c>
      <c r="L2444" s="85">
        <f>STATS1003B!L2450/1000</f>
        <v>0</v>
      </c>
      <c r="M2444" s="85">
        <f>STATS1003B!M2450/1000</f>
        <v>5151.0532000000003</v>
      </c>
      <c r="N2444" s="85">
        <f>STATS1003B!N2450/1000</f>
        <v>0</v>
      </c>
      <c r="O2444" s="85">
        <f>STATS1003B!O2450/1000</f>
        <v>0</v>
      </c>
      <c r="P2444" s="85">
        <f>STATS1003B!P2450/1000</f>
        <v>0</v>
      </c>
      <c r="Q2444" s="85">
        <f>STATS1003B!Q2450/1000</f>
        <v>5151.0532000000003</v>
      </c>
      <c r="R2444" s="85">
        <f>STATS1003B!R2450/1000</f>
        <v>0</v>
      </c>
      <c r="S2444" s="85">
        <f>STATS1003B!S2450/1000</f>
        <v>0</v>
      </c>
      <c r="T2444" s="85">
        <f>STATS1003B!T2450/1000</f>
        <v>0</v>
      </c>
      <c r="U2444" s="85">
        <f>STATS1003B!U2450/1000</f>
        <v>0</v>
      </c>
      <c r="V2444" s="85">
        <f>STATS1003B!V2450/1000</f>
        <v>0</v>
      </c>
      <c r="W2444" s="85">
        <f>STATS1003B!W2450/1000</f>
        <v>0</v>
      </c>
      <c r="X2444" s="85">
        <f t="shared" si="273"/>
        <v>5151.0532000000003</v>
      </c>
      <c r="Y2444" s="85">
        <f>STATS1003B!Y2450/1000</f>
        <v>0</v>
      </c>
      <c r="Z2444" s="85">
        <f t="shared" si="266"/>
        <v>0</v>
      </c>
      <c r="AA2444" s="69">
        <f>STATS1003B!AA2450/1000</f>
        <v>5151.0532000000003</v>
      </c>
      <c r="AB2444" s="69">
        <f>STATS1003B!AB2450/1000</f>
        <v>0</v>
      </c>
    </row>
    <row r="2445" spans="1:28" hidden="1" x14ac:dyDescent="0.3">
      <c r="A2445" s="117"/>
      <c r="E2445" s="86" t="s">
        <v>29</v>
      </c>
      <c r="F2445" s="86" t="s">
        <v>29</v>
      </c>
      <c r="G2445" s="86" t="s">
        <v>29</v>
      </c>
      <c r="H2445" s="86" t="s">
        <v>29</v>
      </c>
      <c r="I2445" s="86" t="s">
        <v>29</v>
      </c>
      <c r="J2445" s="86" t="s">
        <v>29</v>
      </c>
      <c r="K2445" s="86" t="s">
        <v>29</v>
      </c>
      <c r="L2445" s="86" t="s">
        <v>29</v>
      </c>
      <c r="M2445" s="86" t="s">
        <v>29</v>
      </c>
      <c r="N2445" s="86" t="s">
        <v>29</v>
      </c>
      <c r="O2445" s="86" t="s">
        <v>29</v>
      </c>
      <c r="P2445" s="86" t="s">
        <v>29</v>
      </c>
      <c r="Q2445" s="86" t="s">
        <v>29</v>
      </c>
      <c r="R2445" s="86" t="s">
        <v>29</v>
      </c>
      <c r="S2445" s="86" t="s">
        <v>29</v>
      </c>
      <c r="T2445" s="86" t="s">
        <v>29</v>
      </c>
      <c r="U2445" s="86" t="s">
        <v>29</v>
      </c>
      <c r="V2445" s="86" t="s">
        <v>29</v>
      </c>
      <c r="W2445" s="86" t="s">
        <v>29</v>
      </c>
      <c r="X2445" s="85" t="e">
        <f t="shared" si="273"/>
        <v>#VALUE!</v>
      </c>
      <c r="Y2445" s="86" t="s">
        <v>29</v>
      </c>
      <c r="Z2445" s="85" t="e">
        <f>+E2445-X2445</f>
        <v>#VALUE!</v>
      </c>
      <c r="AA2445" s="115" t="s">
        <v>29</v>
      </c>
      <c r="AB2445" s="115" t="s">
        <v>29</v>
      </c>
    </row>
    <row r="2446" spans="1:28" x14ac:dyDescent="0.3">
      <c r="A2446" s="116">
        <v>106</v>
      </c>
      <c r="B2446" s="68" t="s">
        <v>861</v>
      </c>
      <c r="E2446" s="85">
        <f>102624550.35/1000</f>
        <v>102624.55034999999</v>
      </c>
      <c r="F2446" s="85">
        <f t="shared" ref="F2446:Q2446" si="274">SUM(F2431:F2445)</f>
        <v>41711.523450000001</v>
      </c>
      <c r="G2446" s="85">
        <f t="shared" si="274"/>
        <v>0</v>
      </c>
      <c r="H2446" s="85">
        <f>99948238.86/1000</f>
        <v>99948.238859999998</v>
      </c>
      <c r="I2446" s="85">
        <f t="shared" si="274"/>
        <v>0</v>
      </c>
      <c r="J2446" s="85">
        <f t="shared" si="274"/>
        <v>40971.612370000003</v>
      </c>
      <c r="K2446" s="85">
        <f t="shared" si="274"/>
        <v>2676.31149</v>
      </c>
      <c r="L2446" s="85">
        <f t="shared" si="274"/>
        <v>0</v>
      </c>
      <c r="M2446" s="85">
        <f t="shared" si="274"/>
        <v>41711.523450000001</v>
      </c>
      <c r="N2446" s="85">
        <f t="shared" si="274"/>
        <v>2676.31149</v>
      </c>
      <c r="O2446" s="85">
        <f t="shared" si="274"/>
        <v>0</v>
      </c>
      <c r="P2446" s="85">
        <f t="shared" si="274"/>
        <v>2676.31149</v>
      </c>
      <c r="Q2446" s="85">
        <f t="shared" si="274"/>
        <v>40971.612370000003</v>
      </c>
      <c r="R2446" s="84"/>
      <c r="S2446" s="84"/>
      <c r="T2446" s="85">
        <f t="shared" ref="T2446:Y2446" si="275">SUM(T2431:T2445)</f>
        <v>0</v>
      </c>
      <c r="U2446" s="85">
        <f t="shared" si="275"/>
        <v>2676.31149</v>
      </c>
      <c r="V2446" s="85">
        <f t="shared" si="275"/>
        <v>0</v>
      </c>
      <c r="W2446" s="85">
        <f t="shared" si="275"/>
        <v>0</v>
      </c>
      <c r="X2446" s="85">
        <f t="shared" si="273"/>
        <v>102624.55035</v>
      </c>
      <c r="Y2446" s="85">
        <f t="shared" si="275"/>
        <v>0</v>
      </c>
      <c r="Z2446" s="85">
        <f>+X2446-E2446</f>
        <v>0</v>
      </c>
      <c r="AA2446" s="69">
        <f>SUM(AA2431:AA2445)</f>
        <v>44387.834940000001</v>
      </c>
      <c r="AB2446" s="69">
        <f>SUM(AB2431:AB2445)</f>
        <v>0</v>
      </c>
    </row>
    <row r="2447" spans="1:28" x14ac:dyDescent="0.3">
      <c r="A2447" s="117"/>
      <c r="E2447" s="86"/>
      <c r="F2447" s="86"/>
      <c r="G2447" s="86"/>
      <c r="H2447" s="86"/>
      <c r="I2447" s="86"/>
      <c r="J2447" s="86"/>
      <c r="K2447" s="86"/>
      <c r="L2447" s="86"/>
      <c r="M2447" s="86"/>
      <c r="N2447" s="86"/>
      <c r="O2447" s="86"/>
      <c r="P2447" s="86"/>
      <c r="Q2447" s="86"/>
      <c r="R2447" s="86"/>
      <c r="S2447" s="86"/>
      <c r="T2447" s="86"/>
      <c r="U2447" s="86"/>
      <c r="V2447" s="86"/>
      <c r="W2447" s="86"/>
      <c r="X2447" s="86"/>
      <c r="Y2447" s="86"/>
      <c r="Z2447" s="86"/>
      <c r="AA2447" s="115" t="s">
        <v>29</v>
      </c>
      <c r="AB2447" s="115" t="s">
        <v>29</v>
      </c>
    </row>
    <row r="2448" spans="1:28" s="106" customFormat="1" x14ac:dyDescent="0.3">
      <c r="A2448" s="104"/>
      <c r="B2448" s="7" t="s">
        <v>867</v>
      </c>
      <c r="C2448" s="7" t="s">
        <v>3</v>
      </c>
      <c r="D2448" s="8"/>
      <c r="E2448" s="82">
        <f>+E2313+E2317+E2341+E2366+E2382+E2410+E2428+E2446</f>
        <v>830284.53069000004</v>
      </c>
      <c r="F2448" s="82">
        <f>F2313+F2341+F2366+F2382+F2410+F2428+F2446+F2317</f>
        <v>287008.04437999998</v>
      </c>
      <c r="G2448" s="82">
        <f>G2313+G2341+G2366+G2382+G2410+G2428+G2446+G2317</f>
        <v>0</v>
      </c>
      <c r="H2448" s="82">
        <f>H2313+H2341+H2366+H2382+H2410+H2428+H2446+H2317</f>
        <v>812187.60742000001</v>
      </c>
      <c r="I2448" s="82">
        <f>I2313+I2341+I2366+I2382+I2410+I2428+I2446</f>
        <v>0</v>
      </c>
      <c r="J2448" s="82">
        <f>J2313+J2341+J2366+J2382+J2410+J2428+J2446</f>
        <v>258659.42621999996</v>
      </c>
      <c r="K2448" s="82">
        <f>K2313+K2341+K2366+K2382+K2410+K2428+K2446</f>
        <v>18001.180830000001</v>
      </c>
      <c r="L2448" s="82">
        <f>L2313+L2341+L2366+L2382+L2410+L2428+L2446+L2317</f>
        <v>0</v>
      </c>
      <c r="M2448" s="82">
        <f>M2313+M2341+M2366+M2382+M2410+M2428+M2446+M2317</f>
        <v>287008.04437999998</v>
      </c>
      <c r="N2448" s="82">
        <f>N2313+N2341+N2366+N2382+N2410+N2428+N2446+N2317</f>
        <v>18007.202109999998</v>
      </c>
      <c r="O2448" s="82">
        <f>O2313+O2341+O2366+O2382+O2410+O2428+O2446+O2317</f>
        <v>0</v>
      </c>
      <c r="P2448" s="82">
        <f>P2313+P2341+P2366+P2382+P2410+P2428+P2446+P2317</f>
        <v>18007.199489999999</v>
      </c>
      <c r="Q2448" s="82">
        <f>Q2313+Q2341+Q2366+Q2382+Q2410+Q2428+Q2446</f>
        <v>252050.07542000001</v>
      </c>
      <c r="R2448" s="82">
        <f>R2313+R2341+R2366+R2382+R2410+R2428+R2446</f>
        <v>0</v>
      </c>
      <c r="S2448" s="82">
        <f>S2313+S2341+S2366+S2382+S2410+S2428+S2446</f>
        <v>0</v>
      </c>
      <c r="T2448" s="82">
        <f>T2313+T2341+T2366+T2382+T2410+T2428+T2446+T2317</f>
        <v>9.7211599999999994</v>
      </c>
      <c r="U2448" s="82">
        <f>U2313+U2341+U2366+U2382+U2410+U2428+U2446+U2317</f>
        <v>18016.923269999999</v>
      </c>
      <c r="V2448" s="82">
        <f>V2313+V2341+V2366+V2382+V2410+V2428+V2446</f>
        <v>0</v>
      </c>
      <c r="W2448" s="82">
        <f>W2313+W2341+W2366+W2382+W2410+W2428+W2446</f>
        <v>0</v>
      </c>
      <c r="X2448" s="82">
        <f>X2313+X2341+X2366+X2382+X2410+X2428+X2446+X2317</f>
        <v>830194.80691000004</v>
      </c>
      <c r="Y2448" s="82">
        <f>Y2313+Y2341+Y2366+Y2382+Y2410+Y2428+Y2446</f>
        <v>0</v>
      </c>
      <c r="Z2448" s="82">
        <f>Z2313+Z2341+Z2366+Z2382+Z2410+Z2428+Z2446+Z2317</f>
        <v>89.723780000014813</v>
      </c>
      <c r="AA2448" s="9">
        <f>AA2313+AA2341+AA2366+AA2382+AA2410+AA2428+AA2446+AA2317</f>
        <v>305024.96765000001</v>
      </c>
      <c r="AB2448" s="9">
        <f>AB2313+AB2341+AB2366+AB2382+AB2410+AB2428+AB2446+AB2317</f>
        <v>80.000000000000043</v>
      </c>
    </row>
    <row r="2449" spans="1:28" x14ac:dyDescent="0.3">
      <c r="A2449" s="117"/>
      <c r="E2449" s="92"/>
      <c r="F2449" s="86"/>
      <c r="G2449" s="86"/>
      <c r="H2449" s="86"/>
      <c r="I2449" s="86"/>
      <c r="J2449" s="86"/>
      <c r="K2449" s="86"/>
      <c r="L2449" s="86"/>
      <c r="M2449" s="86"/>
      <c r="N2449" s="86"/>
      <c r="O2449" s="86"/>
      <c r="P2449" s="86"/>
      <c r="Q2449" s="86"/>
      <c r="R2449" s="86"/>
      <c r="S2449" s="86"/>
      <c r="T2449" s="86"/>
      <c r="U2449" s="86"/>
      <c r="V2449" s="86"/>
      <c r="W2449" s="86"/>
      <c r="X2449" s="86"/>
      <c r="Y2449" s="86"/>
      <c r="Z2449" s="86"/>
      <c r="AA2449" s="115" t="s">
        <v>114</v>
      </c>
      <c r="AB2449" s="115" t="s">
        <v>114</v>
      </c>
    </row>
    <row r="2450" spans="1:28" x14ac:dyDescent="0.3">
      <c r="A2450" s="117"/>
      <c r="B2450" s="68" t="s">
        <v>1267</v>
      </c>
      <c r="E2450" s="84"/>
      <c r="F2450" s="84"/>
      <c r="G2450" s="84"/>
      <c r="H2450" s="84"/>
      <c r="I2450" s="84"/>
      <c r="J2450" s="84"/>
      <c r="K2450" s="84"/>
      <c r="L2450" s="84"/>
      <c r="M2450" s="84"/>
      <c r="N2450" s="84"/>
      <c r="O2450" s="84"/>
      <c r="P2450" s="84"/>
      <c r="Q2450" s="84"/>
      <c r="R2450" s="84"/>
      <c r="S2450" s="84"/>
      <c r="T2450" s="84"/>
      <c r="U2450" s="84"/>
      <c r="V2450" s="84"/>
      <c r="W2450" s="84"/>
      <c r="X2450" s="84"/>
      <c r="Y2450" s="84"/>
      <c r="Z2450" s="84"/>
    </row>
    <row r="2451" spans="1:28" hidden="1" x14ac:dyDescent="0.3">
      <c r="A2451" s="117"/>
      <c r="E2451" s="84"/>
      <c r="F2451" s="84"/>
      <c r="G2451" s="84"/>
      <c r="H2451" s="84"/>
      <c r="I2451" s="84"/>
      <c r="J2451" s="84"/>
      <c r="K2451" s="84"/>
      <c r="L2451" s="84"/>
      <c r="M2451" s="84"/>
      <c r="N2451" s="84"/>
      <c r="O2451" s="84"/>
      <c r="P2451" s="84"/>
      <c r="Q2451" s="84"/>
      <c r="R2451" s="84"/>
      <c r="S2451" s="84"/>
      <c r="T2451" s="84"/>
      <c r="U2451" s="84"/>
      <c r="V2451" s="84"/>
      <c r="W2451" s="84"/>
      <c r="X2451" s="84"/>
      <c r="Y2451" s="84"/>
      <c r="Z2451" s="84"/>
    </row>
    <row r="2452" spans="1:28" hidden="1" x14ac:dyDescent="0.3">
      <c r="A2452" s="105"/>
      <c r="E2452" s="84"/>
      <c r="F2452" s="84"/>
      <c r="G2452" s="84"/>
      <c r="H2452" s="84"/>
      <c r="I2452" s="84"/>
      <c r="J2452" s="84"/>
      <c r="K2452" s="84"/>
      <c r="L2452" s="84"/>
      <c r="M2452" s="84"/>
      <c r="N2452" s="84"/>
      <c r="O2452" s="84"/>
      <c r="P2452" s="84"/>
      <c r="Q2452" s="84"/>
      <c r="R2452" s="84"/>
      <c r="S2452" s="84"/>
      <c r="T2452" s="84"/>
      <c r="U2452" s="84"/>
      <c r="V2452" s="84"/>
      <c r="W2452" s="84"/>
      <c r="X2452" s="84"/>
      <c r="Y2452" s="84"/>
      <c r="Z2452" s="84"/>
    </row>
    <row r="2453" spans="1:28" hidden="1" x14ac:dyDescent="0.3">
      <c r="A2453" s="117"/>
      <c r="C2453" s="68" t="s">
        <v>386</v>
      </c>
      <c r="D2453" s="87" t="s">
        <v>387</v>
      </c>
      <c r="E2453" s="85">
        <f>STATS1003B!E2461/1000</f>
        <v>16109.549929999999</v>
      </c>
      <c r="F2453" s="85">
        <f>STATS1003B!F2461/1000</f>
        <v>15096.936619999999</v>
      </c>
      <c r="G2453" s="85">
        <f>STATS1003B!G2461/1000</f>
        <v>0</v>
      </c>
      <c r="H2453" s="85">
        <f>STATS1003B!H2461/1000</f>
        <v>15096.936619999999</v>
      </c>
      <c r="I2453" s="85">
        <f>STATS1003B!I2461/1000</f>
        <v>0</v>
      </c>
      <c r="J2453" s="85">
        <f>STATS1003B!J2461/1000</f>
        <v>0</v>
      </c>
      <c r="K2453" s="85">
        <f>STATS1003B!K2461/1000</f>
        <v>0</v>
      </c>
      <c r="L2453" s="85">
        <f>STATS1003B!L2461/1000</f>
        <v>0</v>
      </c>
      <c r="M2453" s="85">
        <f>STATS1003B!M2461/1000</f>
        <v>15096.936619999999</v>
      </c>
      <c r="N2453" s="85">
        <f>STATS1003B!N2461/1000</f>
        <v>1012.6133100000001</v>
      </c>
      <c r="O2453" s="85">
        <f>STATS1003B!O2461/1000</f>
        <v>0</v>
      </c>
      <c r="P2453" s="85">
        <f>STATS1003B!P2461/1000</f>
        <v>1012.6133100000001</v>
      </c>
      <c r="Q2453" s="85">
        <f>STATS1003B!Q2461/1000</f>
        <v>0</v>
      </c>
      <c r="R2453" s="85">
        <f>STATS1003B!R2461/1000</f>
        <v>0</v>
      </c>
      <c r="S2453" s="85">
        <f>STATS1003B!S2461/1000</f>
        <v>0</v>
      </c>
      <c r="T2453" s="85">
        <f>STATS1003B!T2461/1000</f>
        <v>0</v>
      </c>
      <c r="U2453" s="85">
        <f>STATS1003B!U2461/1000</f>
        <v>1012.6133100000001</v>
      </c>
      <c r="V2453" s="85">
        <f>STATS1003B!V2461/1000</f>
        <v>16109.549929999999</v>
      </c>
      <c r="W2453" s="85">
        <f>STATS1003B!W2461/1000</f>
        <v>0</v>
      </c>
      <c r="X2453" s="85">
        <f>STATS1003B!X2461/1000</f>
        <v>16109.549929999999</v>
      </c>
      <c r="Y2453" s="85">
        <f>STATS1003B!Y2461/1000</f>
        <v>0</v>
      </c>
      <c r="Z2453" s="85">
        <f>STATS1003B!Z2461/1000</f>
        <v>0</v>
      </c>
      <c r="AA2453" s="69">
        <f>STATS1003B!AA2461/1000</f>
        <v>16109.549929999999</v>
      </c>
      <c r="AB2453" s="69">
        <f>STATS1003B!AB2461/1000</f>
        <v>0</v>
      </c>
    </row>
    <row r="2454" spans="1:28" hidden="1" x14ac:dyDescent="0.3">
      <c r="A2454" s="117"/>
      <c r="C2454" s="68" t="s">
        <v>57</v>
      </c>
      <c r="D2454" s="87" t="s">
        <v>247</v>
      </c>
      <c r="E2454" s="85">
        <f>STATS1003B!E2462/1000</f>
        <v>8664.4310000000005</v>
      </c>
      <c r="F2454" s="85">
        <f>STATS1003B!F2462/1000</f>
        <v>8664.4310000000005</v>
      </c>
      <c r="G2454" s="85">
        <f>STATS1003B!G2462/1000</f>
        <v>0</v>
      </c>
      <c r="H2454" s="85">
        <f>STATS1003B!H2462/1000</f>
        <v>8664.4310000000005</v>
      </c>
      <c r="I2454" s="85">
        <f>STATS1003B!I2462/1000</f>
        <v>0</v>
      </c>
      <c r="J2454" s="85">
        <f>STATS1003B!J2462/1000</f>
        <v>0</v>
      </c>
      <c r="K2454" s="85">
        <f>STATS1003B!K2462/1000</f>
        <v>0</v>
      </c>
      <c r="L2454" s="85">
        <f>STATS1003B!L2462/1000</f>
        <v>0</v>
      </c>
      <c r="M2454" s="85">
        <f>STATS1003B!M2462/1000</f>
        <v>8664.4310000000005</v>
      </c>
      <c r="N2454" s="85">
        <f>STATS1003B!N2462/1000</f>
        <v>0</v>
      </c>
      <c r="O2454" s="85">
        <f>STATS1003B!O2462/1000</f>
        <v>0</v>
      </c>
      <c r="P2454" s="85">
        <f>STATS1003B!P2462/1000</f>
        <v>0</v>
      </c>
      <c r="Q2454" s="85">
        <f>STATS1003B!Q2462/1000</f>
        <v>0</v>
      </c>
      <c r="R2454" s="85">
        <f>STATS1003B!R2462/1000</f>
        <v>0</v>
      </c>
      <c r="S2454" s="85">
        <f>STATS1003B!S2462/1000</f>
        <v>0</v>
      </c>
      <c r="T2454" s="85">
        <f>STATS1003B!T2462/1000</f>
        <v>0</v>
      </c>
      <c r="U2454" s="85">
        <f>STATS1003B!U2462/1000</f>
        <v>0</v>
      </c>
      <c r="V2454" s="85">
        <f>STATS1003B!V2462/1000</f>
        <v>8664.4310000000005</v>
      </c>
      <c r="W2454" s="85">
        <f>STATS1003B!W2462/1000</f>
        <v>0</v>
      </c>
      <c r="X2454" s="85">
        <f>STATS1003B!X2462/1000</f>
        <v>8664.4310000000005</v>
      </c>
      <c r="Y2454" s="85">
        <f>STATS1003B!Y2462/1000</f>
        <v>0</v>
      </c>
      <c r="Z2454" s="85">
        <f>STATS1003B!Z2462/1000</f>
        <v>0</v>
      </c>
      <c r="AA2454" s="69">
        <f>STATS1003B!AA2462/1000</f>
        <v>8664.4310000000005</v>
      </c>
      <c r="AB2454" s="69">
        <f>STATS1003B!AB2462/1000</f>
        <v>0</v>
      </c>
    </row>
    <row r="2455" spans="1:28" hidden="1" x14ac:dyDescent="0.3">
      <c r="A2455" s="117"/>
      <c r="C2455" s="68" t="s">
        <v>388</v>
      </c>
      <c r="D2455" s="68" t="s">
        <v>71</v>
      </c>
      <c r="E2455" s="85">
        <f>STATS1003B!E2463/1000</f>
        <v>9487.6901799999996</v>
      </c>
      <c r="F2455" s="85">
        <f>STATS1003B!F2463/1000</f>
        <v>9487.6901799999996</v>
      </c>
      <c r="G2455" s="85">
        <f>STATS1003B!G2463/1000</f>
        <v>0</v>
      </c>
      <c r="H2455" s="85">
        <f>STATS1003B!H2463/1000</f>
        <v>9487.6901799999996</v>
      </c>
      <c r="I2455" s="85">
        <f>STATS1003B!I2463/1000</f>
        <v>0</v>
      </c>
      <c r="J2455" s="85">
        <f>STATS1003B!J2463/1000</f>
        <v>0</v>
      </c>
      <c r="K2455" s="85">
        <f>STATS1003B!K2463/1000</f>
        <v>0</v>
      </c>
      <c r="L2455" s="85">
        <f>STATS1003B!L2463/1000</f>
        <v>0</v>
      </c>
      <c r="M2455" s="85">
        <f>STATS1003B!M2463/1000</f>
        <v>9487.6901799999996</v>
      </c>
      <c r="N2455" s="85">
        <f>STATS1003B!N2463/1000</f>
        <v>0</v>
      </c>
      <c r="O2455" s="85">
        <f>STATS1003B!O2463/1000</f>
        <v>0</v>
      </c>
      <c r="P2455" s="85">
        <f>STATS1003B!P2463/1000</f>
        <v>0</v>
      </c>
      <c r="Q2455" s="85">
        <f>STATS1003B!Q2463/1000</f>
        <v>0</v>
      </c>
      <c r="R2455" s="85">
        <f>STATS1003B!R2463/1000</f>
        <v>0</v>
      </c>
      <c r="S2455" s="85">
        <f>STATS1003B!S2463/1000</f>
        <v>0</v>
      </c>
      <c r="T2455" s="85">
        <f>STATS1003B!T2463/1000</f>
        <v>0</v>
      </c>
      <c r="U2455" s="85">
        <f>STATS1003B!U2463/1000</f>
        <v>0</v>
      </c>
      <c r="V2455" s="85">
        <f>STATS1003B!V2463/1000</f>
        <v>9487.6901799999996</v>
      </c>
      <c r="W2455" s="85">
        <f>STATS1003B!W2463/1000</f>
        <v>0</v>
      </c>
      <c r="X2455" s="85">
        <f>STATS1003B!X2463/1000</f>
        <v>9487.6901799999996</v>
      </c>
      <c r="Y2455" s="85">
        <f>STATS1003B!Y2463/1000</f>
        <v>0</v>
      </c>
      <c r="Z2455" s="85">
        <f>STATS1003B!Z2463/1000</f>
        <v>0</v>
      </c>
      <c r="AA2455" s="69">
        <f>STATS1003B!AA2463/1000</f>
        <v>9487.6901799999996</v>
      </c>
      <c r="AB2455" s="69">
        <f>STATS1003B!AB2463/1000</f>
        <v>0</v>
      </c>
    </row>
    <row r="2456" spans="1:28" hidden="1" x14ac:dyDescent="0.3">
      <c r="A2456" s="117"/>
      <c r="C2456" s="68" t="s">
        <v>53</v>
      </c>
      <c r="D2456" s="87" t="s">
        <v>54</v>
      </c>
      <c r="E2456" s="85">
        <f>STATS1003B!E2464/1000</f>
        <v>570.94100000000003</v>
      </c>
      <c r="F2456" s="85">
        <f>STATS1003B!F2464/1000</f>
        <v>0</v>
      </c>
      <c r="G2456" s="85">
        <f>STATS1003B!G2464/1000</f>
        <v>0</v>
      </c>
      <c r="H2456" s="85">
        <f>STATS1003B!H2464/1000</f>
        <v>0</v>
      </c>
      <c r="I2456" s="85">
        <f>STATS1003B!I2464/1000</f>
        <v>0</v>
      </c>
      <c r="J2456" s="85">
        <f>STATS1003B!J2464/1000</f>
        <v>0</v>
      </c>
      <c r="K2456" s="85">
        <f>STATS1003B!K2464/1000</f>
        <v>0</v>
      </c>
      <c r="L2456" s="85">
        <f>STATS1003B!L2464/1000</f>
        <v>0</v>
      </c>
      <c r="M2456" s="85">
        <f>STATS1003B!M2464/1000</f>
        <v>0</v>
      </c>
      <c r="N2456" s="85">
        <f>STATS1003B!N2464/1000</f>
        <v>570.94100000000003</v>
      </c>
      <c r="O2456" s="85">
        <f>STATS1003B!O2464/1000</f>
        <v>0</v>
      </c>
      <c r="P2456" s="85">
        <f>STATS1003B!P2464/1000</f>
        <v>570.94100000000003</v>
      </c>
      <c r="Q2456" s="85">
        <f>STATS1003B!Q2464/1000</f>
        <v>0</v>
      </c>
      <c r="R2456" s="85">
        <f>STATS1003B!R2464/1000</f>
        <v>0</v>
      </c>
      <c r="S2456" s="85">
        <f>STATS1003B!S2464/1000</f>
        <v>0</v>
      </c>
      <c r="T2456" s="85">
        <f>STATS1003B!T2464/1000</f>
        <v>0</v>
      </c>
      <c r="U2456" s="85">
        <f>STATS1003B!U2464/1000</f>
        <v>570.94100000000003</v>
      </c>
      <c r="V2456" s="85">
        <f>STATS1003B!V2464/1000</f>
        <v>570.94100000000003</v>
      </c>
      <c r="W2456" s="85">
        <f>STATS1003B!W2464/1000</f>
        <v>0</v>
      </c>
      <c r="X2456" s="85">
        <f>STATS1003B!X2464/1000</f>
        <v>570.94100000000003</v>
      </c>
      <c r="Y2456" s="85">
        <f>STATS1003B!Y2464/1000</f>
        <v>0</v>
      </c>
      <c r="Z2456" s="85">
        <f>STATS1003B!Z2464/1000</f>
        <v>0</v>
      </c>
      <c r="AA2456" s="69">
        <f>STATS1003B!AA2464/1000</f>
        <v>570.94100000000003</v>
      </c>
      <c r="AB2456" s="69">
        <f>STATS1003B!AB2464/1000</f>
        <v>0</v>
      </c>
    </row>
    <row r="2457" spans="1:28" hidden="1" x14ac:dyDescent="0.3">
      <c r="A2457" s="117"/>
      <c r="C2457" s="68" t="s">
        <v>389</v>
      </c>
      <c r="D2457" s="87" t="s">
        <v>85</v>
      </c>
      <c r="E2457" s="85">
        <f>STATS1003B!E2465/1000</f>
        <v>2888</v>
      </c>
      <c r="F2457" s="85">
        <f>STATS1003B!F2465/1000</f>
        <v>2888</v>
      </c>
      <c r="G2457" s="85">
        <f>STATS1003B!G2465/1000</f>
        <v>0</v>
      </c>
      <c r="H2457" s="85">
        <f>STATS1003B!H2465/1000</f>
        <v>2888</v>
      </c>
      <c r="I2457" s="85">
        <f>STATS1003B!I2465/1000</f>
        <v>0</v>
      </c>
      <c r="J2457" s="85">
        <f>STATS1003B!J2465/1000</f>
        <v>0</v>
      </c>
      <c r="K2457" s="85">
        <f>STATS1003B!K2465/1000</f>
        <v>0</v>
      </c>
      <c r="L2457" s="85">
        <f>STATS1003B!L2465/1000</f>
        <v>0</v>
      </c>
      <c r="M2457" s="85">
        <f>STATS1003B!M2465/1000</f>
        <v>2888</v>
      </c>
      <c r="N2457" s="85">
        <f>STATS1003B!N2465/1000</f>
        <v>0</v>
      </c>
      <c r="O2457" s="85">
        <f>STATS1003B!O2465/1000</f>
        <v>0</v>
      </c>
      <c r="P2457" s="85">
        <f>STATS1003B!P2465/1000</f>
        <v>0</v>
      </c>
      <c r="Q2457" s="85">
        <f>STATS1003B!Q2465/1000</f>
        <v>0</v>
      </c>
      <c r="R2457" s="85">
        <f>STATS1003B!R2465/1000</f>
        <v>0</v>
      </c>
      <c r="S2457" s="85">
        <f>STATS1003B!S2465/1000</f>
        <v>0</v>
      </c>
      <c r="T2457" s="85">
        <f>STATS1003B!T2465/1000</f>
        <v>0</v>
      </c>
      <c r="U2457" s="85">
        <f>STATS1003B!U2465/1000</f>
        <v>0</v>
      </c>
      <c r="V2457" s="85">
        <f>STATS1003B!V2465/1000</f>
        <v>2888</v>
      </c>
      <c r="W2457" s="85">
        <f>STATS1003B!W2465/1000</f>
        <v>0</v>
      </c>
      <c r="X2457" s="85">
        <f>STATS1003B!X2465/1000</f>
        <v>2888</v>
      </c>
      <c r="Y2457" s="85">
        <f>STATS1003B!Y2465/1000</f>
        <v>0</v>
      </c>
      <c r="Z2457" s="85">
        <f>STATS1003B!Z2465/1000</f>
        <v>0</v>
      </c>
      <c r="AA2457" s="69">
        <f>STATS1003B!AA2465/1000</f>
        <v>2888</v>
      </c>
      <c r="AB2457" s="69">
        <f>STATS1003B!AB2465/1000</f>
        <v>0</v>
      </c>
    </row>
    <row r="2458" spans="1:28" hidden="1" x14ac:dyDescent="0.3">
      <c r="A2458" s="117"/>
      <c r="C2458" s="68" t="s">
        <v>390</v>
      </c>
      <c r="D2458" s="87" t="s">
        <v>128</v>
      </c>
      <c r="E2458" s="85">
        <f>STATS1003B!E2466/1000</f>
        <v>1150</v>
      </c>
      <c r="F2458" s="85">
        <f>STATS1003B!F2466/1000</f>
        <v>1150</v>
      </c>
      <c r="G2458" s="85">
        <f>STATS1003B!G2466/1000</f>
        <v>0</v>
      </c>
      <c r="H2458" s="85">
        <f>STATS1003B!H2466/1000</f>
        <v>1150</v>
      </c>
      <c r="I2458" s="85">
        <f>STATS1003B!I2466/1000</f>
        <v>0</v>
      </c>
      <c r="J2458" s="85">
        <f>STATS1003B!J2466/1000</f>
        <v>0</v>
      </c>
      <c r="K2458" s="85">
        <f>STATS1003B!K2466/1000</f>
        <v>0</v>
      </c>
      <c r="L2458" s="85">
        <f>STATS1003B!L2466/1000</f>
        <v>0</v>
      </c>
      <c r="M2458" s="85">
        <f>STATS1003B!M2466/1000</f>
        <v>1150</v>
      </c>
      <c r="N2458" s="85">
        <f>STATS1003B!N2466/1000</f>
        <v>0</v>
      </c>
      <c r="O2458" s="85">
        <f>STATS1003B!O2466/1000</f>
        <v>0</v>
      </c>
      <c r="P2458" s="85">
        <f>STATS1003B!P2466/1000</f>
        <v>0</v>
      </c>
      <c r="Q2458" s="85">
        <f>STATS1003B!Q2466/1000</f>
        <v>0</v>
      </c>
      <c r="R2458" s="85">
        <f>STATS1003B!R2466/1000</f>
        <v>0</v>
      </c>
      <c r="S2458" s="85">
        <f>STATS1003B!S2466/1000</f>
        <v>0</v>
      </c>
      <c r="T2458" s="85">
        <f>STATS1003B!T2466/1000</f>
        <v>0</v>
      </c>
      <c r="U2458" s="85">
        <f>STATS1003B!U2466/1000</f>
        <v>0</v>
      </c>
      <c r="V2458" s="85">
        <f>STATS1003B!V2466/1000</f>
        <v>1150</v>
      </c>
      <c r="W2458" s="85">
        <f>STATS1003B!W2466/1000</f>
        <v>0</v>
      </c>
      <c r="X2458" s="85">
        <f>STATS1003B!X2466/1000</f>
        <v>1150</v>
      </c>
      <c r="Y2458" s="85">
        <f>STATS1003B!Y2466/1000</f>
        <v>0</v>
      </c>
      <c r="Z2458" s="85">
        <f>STATS1003B!Z2466/1000</f>
        <v>0</v>
      </c>
      <c r="AA2458" s="69">
        <f>STATS1003B!AA2466/1000</f>
        <v>1150</v>
      </c>
      <c r="AB2458" s="69">
        <f>STATS1003B!AB2466/1000</f>
        <v>0</v>
      </c>
    </row>
    <row r="2459" spans="1:28" hidden="1" x14ac:dyDescent="0.3">
      <c r="A2459" s="117"/>
      <c r="C2459" s="68" t="s">
        <v>57</v>
      </c>
      <c r="D2459" s="87" t="s">
        <v>58</v>
      </c>
      <c r="E2459" s="85">
        <f>STATS1003B!E2467/1000</f>
        <v>2770.66</v>
      </c>
      <c r="F2459" s="85">
        <f>STATS1003B!F2467/1000</f>
        <v>2770.66</v>
      </c>
      <c r="G2459" s="85">
        <f>STATS1003B!G2467/1000</f>
        <v>0</v>
      </c>
      <c r="H2459" s="85">
        <f>STATS1003B!H2467/1000</f>
        <v>2770.66</v>
      </c>
      <c r="I2459" s="85">
        <f>STATS1003B!I2467/1000</f>
        <v>0</v>
      </c>
      <c r="J2459" s="85">
        <f>STATS1003B!J2467/1000</f>
        <v>0</v>
      </c>
      <c r="K2459" s="85">
        <f>STATS1003B!K2467/1000</f>
        <v>0</v>
      </c>
      <c r="L2459" s="85">
        <f>STATS1003B!L2467/1000</f>
        <v>0</v>
      </c>
      <c r="M2459" s="85">
        <f>STATS1003B!M2467/1000</f>
        <v>2770.66</v>
      </c>
      <c r="N2459" s="85">
        <f>STATS1003B!N2467/1000</f>
        <v>0</v>
      </c>
      <c r="O2459" s="85">
        <f>STATS1003B!O2467/1000</f>
        <v>0</v>
      </c>
      <c r="P2459" s="85">
        <f>STATS1003B!P2467/1000</f>
        <v>0</v>
      </c>
      <c r="Q2459" s="85">
        <f>STATS1003B!Q2467/1000</f>
        <v>0</v>
      </c>
      <c r="R2459" s="85">
        <f>STATS1003B!R2467/1000</f>
        <v>0</v>
      </c>
      <c r="S2459" s="85">
        <f>STATS1003B!S2467/1000</f>
        <v>0</v>
      </c>
      <c r="T2459" s="85">
        <f>STATS1003B!T2467/1000</f>
        <v>0</v>
      </c>
      <c r="U2459" s="85">
        <f>STATS1003B!U2467/1000</f>
        <v>0</v>
      </c>
      <c r="V2459" s="85">
        <f>STATS1003B!V2467/1000</f>
        <v>2770.66</v>
      </c>
      <c r="W2459" s="85">
        <f>STATS1003B!W2467/1000</f>
        <v>0</v>
      </c>
      <c r="X2459" s="85">
        <f>STATS1003B!X2467/1000</f>
        <v>2770.66</v>
      </c>
      <c r="Y2459" s="85">
        <f>STATS1003B!Y2467/1000</f>
        <v>0</v>
      </c>
      <c r="Z2459" s="85">
        <f>STATS1003B!Z2467/1000</f>
        <v>0</v>
      </c>
      <c r="AA2459" s="69">
        <f>STATS1003B!AA2467/1000</f>
        <v>2770.66</v>
      </c>
      <c r="AB2459" s="69">
        <f>STATS1003B!AB2467/1000</f>
        <v>0</v>
      </c>
    </row>
    <row r="2460" spans="1:28" hidden="1" x14ac:dyDescent="0.3">
      <c r="A2460" s="117"/>
      <c r="C2460" s="68" t="s">
        <v>57</v>
      </c>
      <c r="D2460" s="87" t="s">
        <v>60</v>
      </c>
      <c r="E2460" s="85">
        <f>STATS1003B!E2468/1000</f>
        <v>8324.1119999999992</v>
      </c>
      <c r="F2460" s="85">
        <f>STATS1003B!F2468/1000</f>
        <v>8324.1119999999992</v>
      </c>
      <c r="G2460" s="85">
        <f>STATS1003B!G2468/1000</f>
        <v>0</v>
      </c>
      <c r="H2460" s="85">
        <f>STATS1003B!H2468/1000</f>
        <v>8324.1119999999992</v>
      </c>
      <c r="I2460" s="85">
        <f>STATS1003B!I2468/1000</f>
        <v>0</v>
      </c>
      <c r="J2460" s="85">
        <f>STATS1003B!J2468/1000</f>
        <v>0</v>
      </c>
      <c r="K2460" s="85">
        <f>STATS1003B!K2468/1000</f>
        <v>0</v>
      </c>
      <c r="L2460" s="85">
        <f>STATS1003B!L2468/1000</f>
        <v>0</v>
      </c>
      <c r="M2460" s="85">
        <f>STATS1003B!M2468/1000</f>
        <v>8324.1119999999992</v>
      </c>
      <c r="N2460" s="85">
        <f>STATS1003B!N2468/1000</f>
        <v>0</v>
      </c>
      <c r="O2460" s="85">
        <f>STATS1003B!O2468/1000</f>
        <v>0</v>
      </c>
      <c r="P2460" s="85">
        <f>STATS1003B!P2468/1000</f>
        <v>0</v>
      </c>
      <c r="Q2460" s="85">
        <f>STATS1003B!Q2468/1000</f>
        <v>0</v>
      </c>
      <c r="R2460" s="85">
        <f>STATS1003B!R2468/1000</f>
        <v>0</v>
      </c>
      <c r="S2460" s="85">
        <f>STATS1003B!S2468/1000</f>
        <v>0</v>
      </c>
      <c r="T2460" s="85">
        <f>STATS1003B!T2468/1000</f>
        <v>0</v>
      </c>
      <c r="U2460" s="85">
        <f>STATS1003B!U2468/1000</f>
        <v>0</v>
      </c>
      <c r="V2460" s="85">
        <f>STATS1003B!V2468/1000</f>
        <v>8324.1119999999992</v>
      </c>
      <c r="W2460" s="85">
        <f>STATS1003B!W2468/1000</f>
        <v>0</v>
      </c>
      <c r="X2460" s="85">
        <f>STATS1003B!X2468/1000</f>
        <v>8324.1119999999992</v>
      </c>
      <c r="Y2460" s="85">
        <f>STATS1003B!Y2468/1000</f>
        <v>0</v>
      </c>
      <c r="Z2460" s="85">
        <f>STATS1003B!Z2468/1000</f>
        <v>0</v>
      </c>
      <c r="AA2460" s="69">
        <f>STATS1003B!AA2468/1000</f>
        <v>8324.1119999999992</v>
      </c>
      <c r="AB2460" s="69">
        <f>STATS1003B!AB2468/1000</f>
        <v>0</v>
      </c>
    </row>
    <row r="2461" spans="1:28" hidden="1" x14ac:dyDescent="0.3">
      <c r="A2461" s="117"/>
      <c r="C2461" s="71" t="s">
        <v>109</v>
      </c>
      <c r="D2461" s="88" t="s">
        <v>60</v>
      </c>
      <c r="E2461" s="85">
        <f>STATS1003B!E2469/1000</f>
        <v>5000</v>
      </c>
      <c r="F2461" s="85">
        <f>STATS1003B!F2469/1000</f>
        <v>5000</v>
      </c>
      <c r="G2461" s="85">
        <f>STATS1003B!G2469/1000</f>
        <v>0</v>
      </c>
      <c r="H2461" s="85">
        <f>STATS1003B!H2469/1000</f>
        <v>5000</v>
      </c>
      <c r="I2461" s="85">
        <f>STATS1003B!I2469/1000</f>
        <v>0</v>
      </c>
      <c r="J2461" s="85">
        <f>STATS1003B!J2469/1000</f>
        <v>0</v>
      </c>
      <c r="K2461" s="85">
        <f>STATS1003B!K2469/1000</f>
        <v>0</v>
      </c>
      <c r="L2461" s="85">
        <f>STATS1003B!L2469/1000</f>
        <v>0</v>
      </c>
      <c r="M2461" s="85">
        <f>STATS1003B!M2469/1000</f>
        <v>5000</v>
      </c>
      <c r="N2461" s="85">
        <f>STATS1003B!N2469/1000</f>
        <v>0</v>
      </c>
      <c r="O2461" s="85">
        <f>STATS1003B!O2469/1000</f>
        <v>0</v>
      </c>
      <c r="P2461" s="85">
        <f>STATS1003B!P2469/1000</f>
        <v>0</v>
      </c>
      <c r="Q2461" s="85">
        <f>STATS1003B!Q2469/1000</f>
        <v>0</v>
      </c>
      <c r="R2461" s="85">
        <f>STATS1003B!R2469/1000</f>
        <v>0</v>
      </c>
      <c r="S2461" s="85">
        <f>STATS1003B!S2469/1000</f>
        <v>0</v>
      </c>
      <c r="T2461" s="85">
        <f>STATS1003B!T2469/1000</f>
        <v>0</v>
      </c>
      <c r="U2461" s="85">
        <f>STATS1003B!U2469/1000</f>
        <v>0</v>
      </c>
      <c r="V2461" s="85">
        <f>STATS1003B!V2469/1000</f>
        <v>5000</v>
      </c>
      <c r="W2461" s="85">
        <f>STATS1003B!W2469/1000</f>
        <v>0</v>
      </c>
      <c r="X2461" s="85">
        <f>STATS1003B!X2469/1000</f>
        <v>5000</v>
      </c>
      <c r="Y2461" s="85">
        <f>STATS1003B!Y2469/1000</f>
        <v>0</v>
      </c>
      <c r="Z2461" s="85">
        <f>STATS1003B!Z2469/1000</f>
        <v>0</v>
      </c>
      <c r="AA2461" s="69">
        <f>STATS1003B!AA2469/1000</f>
        <v>5000</v>
      </c>
      <c r="AB2461" s="69">
        <f>STATS1003B!AB2469/1000</f>
        <v>0</v>
      </c>
    </row>
    <row r="2462" spans="1:28" hidden="1" x14ac:dyDescent="0.3">
      <c r="A2462" s="117"/>
      <c r="C2462" s="68" t="s">
        <v>57</v>
      </c>
      <c r="D2462" s="87" t="s">
        <v>73</v>
      </c>
      <c r="E2462" s="85">
        <f>STATS1003B!E2470/1000</f>
        <v>12295.187</v>
      </c>
      <c r="F2462" s="85">
        <f>STATS1003B!F2470/1000</f>
        <v>12295.187</v>
      </c>
      <c r="G2462" s="85">
        <f>STATS1003B!G2470/1000</f>
        <v>0</v>
      </c>
      <c r="H2462" s="85">
        <f>STATS1003B!H2470/1000</f>
        <v>12295.187</v>
      </c>
      <c r="I2462" s="85">
        <f>STATS1003B!I2470/1000</f>
        <v>0</v>
      </c>
      <c r="J2462" s="85">
        <f>STATS1003B!J2470/1000</f>
        <v>0</v>
      </c>
      <c r="K2462" s="85">
        <f>STATS1003B!K2470/1000</f>
        <v>0</v>
      </c>
      <c r="L2462" s="85">
        <f>STATS1003B!L2470/1000</f>
        <v>0</v>
      </c>
      <c r="M2462" s="85">
        <f>STATS1003B!M2470/1000</f>
        <v>12295.187</v>
      </c>
      <c r="N2462" s="85">
        <f>STATS1003B!N2470/1000</f>
        <v>0</v>
      </c>
      <c r="O2462" s="85">
        <f>STATS1003B!O2470/1000</f>
        <v>0</v>
      </c>
      <c r="P2462" s="85">
        <f>STATS1003B!P2470/1000</f>
        <v>0</v>
      </c>
      <c r="Q2462" s="85">
        <f>STATS1003B!Q2470/1000</f>
        <v>0</v>
      </c>
      <c r="R2462" s="85">
        <f>STATS1003B!R2470/1000</f>
        <v>0</v>
      </c>
      <c r="S2462" s="85">
        <f>STATS1003B!S2470/1000</f>
        <v>0</v>
      </c>
      <c r="T2462" s="85">
        <f>STATS1003B!T2470/1000</f>
        <v>0</v>
      </c>
      <c r="U2462" s="85">
        <f>STATS1003B!U2470/1000</f>
        <v>0</v>
      </c>
      <c r="V2462" s="85">
        <f>STATS1003B!V2470/1000</f>
        <v>12295.187</v>
      </c>
      <c r="W2462" s="85">
        <f>STATS1003B!W2470/1000</f>
        <v>0</v>
      </c>
      <c r="X2462" s="85">
        <f>STATS1003B!X2470/1000</f>
        <v>12295.187</v>
      </c>
      <c r="Y2462" s="85">
        <f>STATS1003B!Y2470/1000</f>
        <v>0</v>
      </c>
      <c r="Z2462" s="85">
        <f>STATS1003B!Z2470/1000</f>
        <v>0</v>
      </c>
      <c r="AA2462" s="69">
        <f>STATS1003B!AA2470/1000</f>
        <v>12295.187</v>
      </c>
      <c r="AB2462" s="69">
        <f>STATS1003B!AB2470/1000</f>
        <v>0</v>
      </c>
    </row>
    <row r="2463" spans="1:28" hidden="1" x14ac:dyDescent="0.3">
      <c r="A2463" s="117"/>
      <c r="C2463" s="68" t="s">
        <v>391</v>
      </c>
      <c r="E2463" s="85">
        <f>STATS1003B!E2471/1000</f>
        <v>1500</v>
      </c>
      <c r="F2463" s="85">
        <f>STATS1003B!F2471/1000</f>
        <v>1500</v>
      </c>
      <c r="G2463" s="85">
        <f>STATS1003B!G2471/1000</f>
        <v>0</v>
      </c>
      <c r="H2463" s="85">
        <f>STATS1003B!H2471/1000</f>
        <v>1500</v>
      </c>
      <c r="I2463" s="85">
        <f>STATS1003B!I2471/1000</f>
        <v>0</v>
      </c>
      <c r="J2463" s="85">
        <f>STATS1003B!J2471/1000</f>
        <v>0</v>
      </c>
      <c r="K2463" s="85">
        <f>STATS1003B!K2471/1000</f>
        <v>0</v>
      </c>
      <c r="L2463" s="85">
        <f>STATS1003B!L2471/1000</f>
        <v>0</v>
      </c>
      <c r="M2463" s="85">
        <f>STATS1003B!M2471/1000</f>
        <v>1500</v>
      </c>
      <c r="N2463" s="85">
        <f>STATS1003B!N2471/1000</f>
        <v>0</v>
      </c>
      <c r="O2463" s="85">
        <f>STATS1003B!O2471/1000</f>
        <v>0</v>
      </c>
      <c r="P2463" s="85">
        <f>STATS1003B!P2471/1000</f>
        <v>0</v>
      </c>
      <c r="Q2463" s="85">
        <f>STATS1003B!Q2471/1000</f>
        <v>0</v>
      </c>
      <c r="R2463" s="85">
        <f>STATS1003B!R2471/1000</f>
        <v>0</v>
      </c>
      <c r="S2463" s="85">
        <f>STATS1003B!S2471/1000</f>
        <v>0</v>
      </c>
      <c r="T2463" s="85">
        <f>STATS1003B!T2471/1000</f>
        <v>0</v>
      </c>
      <c r="U2463" s="85">
        <f>STATS1003B!U2471/1000</f>
        <v>0</v>
      </c>
      <c r="V2463" s="85">
        <f>STATS1003B!V2471/1000</f>
        <v>1500</v>
      </c>
      <c r="W2463" s="85">
        <f>STATS1003B!W2471/1000</f>
        <v>0</v>
      </c>
      <c r="X2463" s="85">
        <f>STATS1003B!X2471/1000</f>
        <v>1500</v>
      </c>
      <c r="Y2463" s="85">
        <f>STATS1003B!Y2471/1000</f>
        <v>0</v>
      </c>
      <c r="Z2463" s="85">
        <f>STATS1003B!Z2471/1000</f>
        <v>0</v>
      </c>
      <c r="AA2463" s="69">
        <f>STATS1003B!AA2471/1000</f>
        <v>1500</v>
      </c>
      <c r="AB2463" s="69">
        <f>STATS1003B!AB2471/1000</f>
        <v>0</v>
      </c>
    </row>
    <row r="2464" spans="1:28" hidden="1" x14ac:dyDescent="0.3">
      <c r="A2464" s="117"/>
      <c r="C2464" s="68" t="s">
        <v>392</v>
      </c>
      <c r="E2464" s="85">
        <f>STATS1003B!E2472/1000</f>
        <v>424.85</v>
      </c>
      <c r="F2464" s="85">
        <f>STATS1003B!F2472/1000</f>
        <v>424.85</v>
      </c>
      <c r="G2464" s="85">
        <f>STATS1003B!G2472/1000</f>
        <v>0</v>
      </c>
      <c r="H2464" s="85">
        <f>STATS1003B!H2472/1000</f>
        <v>424.85</v>
      </c>
      <c r="I2464" s="85">
        <f>STATS1003B!I2472/1000</f>
        <v>0</v>
      </c>
      <c r="J2464" s="85">
        <f>STATS1003B!J2472/1000</f>
        <v>0</v>
      </c>
      <c r="K2464" s="85">
        <f>STATS1003B!K2472/1000</f>
        <v>0</v>
      </c>
      <c r="L2464" s="85">
        <f>STATS1003B!L2472/1000</f>
        <v>0</v>
      </c>
      <c r="M2464" s="85">
        <f>STATS1003B!M2472/1000</f>
        <v>424.85</v>
      </c>
      <c r="N2464" s="85">
        <f>STATS1003B!N2472/1000</f>
        <v>0</v>
      </c>
      <c r="O2464" s="85">
        <f>STATS1003B!O2472/1000</f>
        <v>0</v>
      </c>
      <c r="P2464" s="85">
        <f>STATS1003B!P2472/1000</f>
        <v>0</v>
      </c>
      <c r="Q2464" s="85">
        <f>STATS1003B!Q2472/1000</f>
        <v>0</v>
      </c>
      <c r="R2464" s="85">
        <f>STATS1003B!R2472/1000</f>
        <v>0</v>
      </c>
      <c r="S2464" s="85">
        <f>STATS1003B!S2472/1000</f>
        <v>0</v>
      </c>
      <c r="T2464" s="85">
        <f>STATS1003B!T2472/1000</f>
        <v>0</v>
      </c>
      <c r="U2464" s="85">
        <f>STATS1003B!U2472/1000</f>
        <v>0</v>
      </c>
      <c r="V2464" s="85">
        <f>STATS1003B!V2472/1000</f>
        <v>424.85</v>
      </c>
      <c r="W2464" s="85">
        <f>STATS1003B!W2472/1000</f>
        <v>0</v>
      </c>
      <c r="X2464" s="85">
        <f>STATS1003B!X2472/1000</f>
        <v>424.85</v>
      </c>
      <c r="Y2464" s="85">
        <f>STATS1003B!Y2472/1000</f>
        <v>0</v>
      </c>
      <c r="Z2464" s="85">
        <f>STATS1003B!Z2472/1000</f>
        <v>0</v>
      </c>
      <c r="AA2464" s="69">
        <f>STATS1003B!AA2472/1000</f>
        <v>424.85</v>
      </c>
      <c r="AB2464" s="69">
        <f>STATS1003B!AB2472/1000</f>
        <v>0</v>
      </c>
    </row>
    <row r="2465" spans="1:28" hidden="1" x14ac:dyDescent="0.3">
      <c r="A2465" s="117"/>
      <c r="C2465" s="68" t="s">
        <v>393</v>
      </c>
      <c r="E2465" s="85">
        <f>STATS1003B!E2473/1000</f>
        <v>97.230999999999995</v>
      </c>
      <c r="F2465" s="85">
        <f>STATS1003B!F2473/1000</f>
        <v>97.230999999999995</v>
      </c>
      <c r="G2465" s="85">
        <f>STATS1003B!G2473/1000</f>
        <v>0</v>
      </c>
      <c r="H2465" s="85">
        <f>STATS1003B!H2473/1000</f>
        <v>97.230999999999995</v>
      </c>
      <c r="I2465" s="85">
        <f>STATS1003B!I2473/1000</f>
        <v>0</v>
      </c>
      <c r="J2465" s="85">
        <f>STATS1003B!J2473/1000</f>
        <v>0</v>
      </c>
      <c r="K2465" s="85">
        <f>STATS1003B!K2473/1000</f>
        <v>0</v>
      </c>
      <c r="L2465" s="85">
        <f>STATS1003B!L2473/1000</f>
        <v>0</v>
      </c>
      <c r="M2465" s="85">
        <f>STATS1003B!M2473/1000</f>
        <v>97.230999999999995</v>
      </c>
      <c r="N2465" s="85">
        <f>STATS1003B!N2473/1000</f>
        <v>0</v>
      </c>
      <c r="O2465" s="85">
        <f>STATS1003B!O2473/1000</f>
        <v>0</v>
      </c>
      <c r="P2465" s="85">
        <f>STATS1003B!P2473/1000</f>
        <v>0</v>
      </c>
      <c r="Q2465" s="85">
        <f>STATS1003B!Q2473/1000</f>
        <v>0</v>
      </c>
      <c r="R2465" s="85">
        <f>STATS1003B!R2473/1000</f>
        <v>0</v>
      </c>
      <c r="S2465" s="85">
        <f>STATS1003B!S2473/1000</f>
        <v>0</v>
      </c>
      <c r="T2465" s="85">
        <f>STATS1003B!T2473/1000</f>
        <v>0</v>
      </c>
      <c r="U2465" s="85">
        <f>STATS1003B!U2473/1000</f>
        <v>0</v>
      </c>
      <c r="V2465" s="85">
        <f>STATS1003B!V2473/1000</f>
        <v>97.230999999999995</v>
      </c>
      <c r="W2465" s="85">
        <f>STATS1003B!W2473/1000</f>
        <v>0</v>
      </c>
      <c r="X2465" s="85">
        <f>STATS1003B!X2473/1000</f>
        <v>97.230999999999995</v>
      </c>
      <c r="Y2465" s="85">
        <f>STATS1003B!Y2473/1000</f>
        <v>0</v>
      </c>
      <c r="Z2465" s="85">
        <f>STATS1003B!Z2473/1000</f>
        <v>0</v>
      </c>
      <c r="AA2465" s="69">
        <f>STATS1003B!AA2473/1000</f>
        <v>97.230999999999995</v>
      </c>
      <c r="AB2465" s="69">
        <f>STATS1003B!AB2473/1000</f>
        <v>0</v>
      </c>
    </row>
    <row r="2466" spans="1:28" hidden="1" x14ac:dyDescent="0.3">
      <c r="A2466" s="117"/>
      <c r="C2466" s="68" t="s">
        <v>394</v>
      </c>
      <c r="E2466" s="85">
        <f>STATS1003B!E2474/1000</f>
        <v>4721.6000000000004</v>
      </c>
      <c r="F2466" s="85">
        <f>STATS1003B!F2474/1000</f>
        <v>4721.6000000000004</v>
      </c>
      <c r="G2466" s="85">
        <f>STATS1003B!G2474/1000</f>
        <v>0</v>
      </c>
      <c r="H2466" s="85">
        <f>STATS1003B!H2474/1000</f>
        <v>4721.6000000000004</v>
      </c>
      <c r="I2466" s="85">
        <f>STATS1003B!I2474/1000</f>
        <v>0</v>
      </c>
      <c r="J2466" s="85">
        <f>STATS1003B!J2474/1000</f>
        <v>0</v>
      </c>
      <c r="K2466" s="85">
        <f>STATS1003B!K2474/1000</f>
        <v>0</v>
      </c>
      <c r="L2466" s="85">
        <f>STATS1003B!L2474/1000</f>
        <v>0</v>
      </c>
      <c r="M2466" s="85">
        <f>STATS1003B!M2474/1000</f>
        <v>4721.6000000000004</v>
      </c>
      <c r="N2466" s="85">
        <f>STATS1003B!N2474/1000</f>
        <v>0</v>
      </c>
      <c r="O2466" s="85">
        <f>STATS1003B!O2474/1000</f>
        <v>0</v>
      </c>
      <c r="P2466" s="85">
        <f>STATS1003B!P2474/1000</f>
        <v>0</v>
      </c>
      <c r="Q2466" s="85">
        <f>STATS1003B!Q2474/1000</f>
        <v>0</v>
      </c>
      <c r="R2466" s="85">
        <f>STATS1003B!R2474/1000</f>
        <v>0</v>
      </c>
      <c r="S2466" s="85">
        <f>STATS1003B!S2474/1000</f>
        <v>0</v>
      </c>
      <c r="T2466" s="85">
        <f>STATS1003B!T2474/1000</f>
        <v>0</v>
      </c>
      <c r="U2466" s="85">
        <f>STATS1003B!U2474/1000</f>
        <v>0</v>
      </c>
      <c r="V2466" s="85">
        <f>STATS1003B!V2474/1000</f>
        <v>4721.6000000000004</v>
      </c>
      <c r="W2466" s="85">
        <f>STATS1003B!W2474/1000</f>
        <v>0</v>
      </c>
      <c r="X2466" s="85">
        <f>STATS1003B!X2474/1000</f>
        <v>4721.6000000000004</v>
      </c>
      <c r="Y2466" s="85">
        <f>STATS1003B!Y2474/1000</f>
        <v>0</v>
      </c>
      <c r="Z2466" s="85">
        <f>STATS1003B!Z2474/1000</f>
        <v>0</v>
      </c>
      <c r="AA2466" s="69">
        <f>STATS1003B!AA2474/1000</f>
        <v>4721.6000000000004</v>
      </c>
      <c r="AB2466" s="69">
        <f>STATS1003B!AB2474/1000</f>
        <v>0</v>
      </c>
    </row>
    <row r="2467" spans="1:28" hidden="1" x14ac:dyDescent="0.3">
      <c r="A2467" s="117"/>
      <c r="C2467" s="68" t="s">
        <v>395</v>
      </c>
      <c r="E2467" s="85">
        <f>STATS1003B!E2475/1000</f>
        <v>1070</v>
      </c>
      <c r="F2467" s="85">
        <f>STATS1003B!F2475/1000</f>
        <v>1070</v>
      </c>
      <c r="G2467" s="85">
        <f>STATS1003B!G2475/1000</f>
        <v>0</v>
      </c>
      <c r="H2467" s="85">
        <f>STATS1003B!H2475/1000</f>
        <v>1070</v>
      </c>
      <c r="I2467" s="85">
        <f>STATS1003B!I2475/1000</f>
        <v>0</v>
      </c>
      <c r="J2467" s="85">
        <f>STATS1003B!J2475/1000</f>
        <v>0</v>
      </c>
      <c r="K2467" s="85">
        <f>STATS1003B!K2475/1000</f>
        <v>0</v>
      </c>
      <c r="L2467" s="85">
        <f>STATS1003B!L2475/1000</f>
        <v>0</v>
      </c>
      <c r="M2467" s="85">
        <f>STATS1003B!M2475/1000</f>
        <v>1070</v>
      </c>
      <c r="N2467" s="85">
        <f>STATS1003B!N2475/1000</f>
        <v>0</v>
      </c>
      <c r="O2467" s="85">
        <f>STATS1003B!O2475/1000</f>
        <v>0</v>
      </c>
      <c r="P2467" s="85">
        <f>STATS1003B!P2475/1000</f>
        <v>0</v>
      </c>
      <c r="Q2467" s="85">
        <f>STATS1003B!Q2475/1000</f>
        <v>0</v>
      </c>
      <c r="R2467" s="85">
        <f>STATS1003B!R2475/1000</f>
        <v>0</v>
      </c>
      <c r="S2467" s="85">
        <f>STATS1003B!S2475/1000</f>
        <v>0</v>
      </c>
      <c r="T2467" s="85">
        <f>STATS1003B!T2475/1000</f>
        <v>0</v>
      </c>
      <c r="U2467" s="85">
        <f>STATS1003B!U2475/1000</f>
        <v>0</v>
      </c>
      <c r="V2467" s="85">
        <f>STATS1003B!V2475/1000</f>
        <v>1070</v>
      </c>
      <c r="W2467" s="85">
        <f>STATS1003B!W2475/1000</f>
        <v>0</v>
      </c>
      <c r="X2467" s="85">
        <f>STATS1003B!X2475/1000</f>
        <v>1070</v>
      </c>
      <c r="Y2467" s="85">
        <f>STATS1003B!Y2475/1000</f>
        <v>0</v>
      </c>
      <c r="Z2467" s="85">
        <f>STATS1003B!Z2475/1000</f>
        <v>0</v>
      </c>
      <c r="AA2467" s="69">
        <f>STATS1003B!AA2475/1000</f>
        <v>1070</v>
      </c>
      <c r="AB2467" s="69">
        <f>STATS1003B!AB2475/1000</f>
        <v>0</v>
      </c>
    </row>
    <row r="2468" spans="1:28" hidden="1" x14ac:dyDescent="0.3">
      <c r="A2468" s="117"/>
      <c r="C2468" s="68" t="s">
        <v>57</v>
      </c>
      <c r="D2468" s="91" t="s">
        <v>61</v>
      </c>
      <c r="E2468" s="85">
        <f>STATS1003B!E2476/1000</f>
        <v>8199.6710000000003</v>
      </c>
      <c r="F2468" s="85">
        <f>STATS1003B!F2476/1000</f>
        <v>8199.6710000000003</v>
      </c>
      <c r="G2468" s="85">
        <f>STATS1003B!G2476/1000</f>
        <v>0</v>
      </c>
      <c r="H2468" s="85">
        <f>STATS1003B!H2476/1000</f>
        <v>8199.6710000000003</v>
      </c>
      <c r="I2468" s="85">
        <f>STATS1003B!I2476/1000</f>
        <v>8199.6710000000003</v>
      </c>
      <c r="J2468" s="85">
        <f>STATS1003B!J2476/1000</f>
        <v>0</v>
      </c>
      <c r="K2468" s="85">
        <f>STATS1003B!K2476/1000</f>
        <v>0</v>
      </c>
      <c r="L2468" s="85">
        <f>STATS1003B!L2476/1000</f>
        <v>0</v>
      </c>
      <c r="M2468" s="85">
        <f>STATS1003B!M2476/1000</f>
        <v>8199.6710000000003</v>
      </c>
      <c r="N2468" s="85">
        <f>STATS1003B!N2476/1000</f>
        <v>0</v>
      </c>
      <c r="O2468" s="85">
        <f>STATS1003B!O2476/1000</f>
        <v>0</v>
      </c>
      <c r="P2468" s="85">
        <f>STATS1003B!P2476/1000</f>
        <v>0</v>
      </c>
      <c r="Q2468" s="85">
        <f>STATS1003B!Q2476/1000</f>
        <v>0</v>
      </c>
      <c r="R2468" s="85">
        <f>STATS1003B!R2476/1000</f>
        <v>0</v>
      </c>
      <c r="S2468" s="85">
        <f>STATS1003B!S2476/1000</f>
        <v>0</v>
      </c>
      <c r="T2468" s="85">
        <f>STATS1003B!T2476/1000</f>
        <v>0</v>
      </c>
      <c r="U2468" s="85">
        <f>STATS1003B!U2476/1000</f>
        <v>0</v>
      </c>
      <c r="V2468" s="85">
        <f>STATS1003B!V2476/1000</f>
        <v>8199.6710000000003</v>
      </c>
      <c r="W2468" s="85">
        <f>STATS1003B!W2476/1000</f>
        <v>0</v>
      </c>
      <c r="X2468" s="85">
        <f>STATS1003B!X2476/1000</f>
        <v>8199.6710000000003</v>
      </c>
      <c r="Y2468" s="85">
        <f>STATS1003B!Y2476/1000</f>
        <v>0</v>
      </c>
      <c r="Z2468" s="85">
        <f>STATS1003B!Z2476/1000</f>
        <v>0</v>
      </c>
      <c r="AA2468" s="69">
        <f>STATS1003B!AA2476/1000</f>
        <v>8199.6710000000003</v>
      </c>
      <c r="AB2468" s="69">
        <f>STATS1003B!AB2476/1000</f>
        <v>0</v>
      </c>
    </row>
    <row r="2469" spans="1:28" hidden="1" x14ac:dyDescent="0.3">
      <c r="A2469" s="117"/>
      <c r="E2469" s="86" t="s">
        <v>29</v>
      </c>
      <c r="F2469" s="86" t="s">
        <v>29</v>
      </c>
      <c r="G2469" s="86" t="s">
        <v>29</v>
      </c>
      <c r="H2469" s="86" t="s">
        <v>29</v>
      </c>
      <c r="I2469" s="86" t="s">
        <v>29</v>
      </c>
      <c r="J2469" s="86" t="s">
        <v>29</v>
      </c>
      <c r="K2469" s="86" t="s">
        <v>29</v>
      </c>
      <c r="L2469" s="86" t="s">
        <v>29</v>
      </c>
      <c r="M2469" s="86" t="s">
        <v>29</v>
      </c>
      <c r="N2469" s="86" t="s">
        <v>29</v>
      </c>
      <c r="O2469" s="86" t="s">
        <v>29</v>
      </c>
      <c r="P2469" s="86" t="s">
        <v>29</v>
      </c>
      <c r="Q2469" s="86" t="s">
        <v>29</v>
      </c>
      <c r="R2469" s="86" t="s">
        <v>29</v>
      </c>
      <c r="S2469" s="86" t="s">
        <v>29</v>
      </c>
      <c r="T2469" s="86" t="s">
        <v>29</v>
      </c>
      <c r="U2469" s="86" t="s">
        <v>29</v>
      </c>
      <c r="V2469" s="86" t="s">
        <v>29</v>
      </c>
      <c r="W2469" s="86" t="s">
        <v>29</v>
      </c>
      <c r="X2469" s="86" t="s">
        <v>29</v>
      </c>
      <c r="Y2469" s="86" t="s">
        <v>29</v>
      </c>
      <c r="Z2469" s="86" t="s">
        <v>29</v>
      </c>
      <c r="AA2469" s="115" t="s">
        <v>29</v>
      </c>
      <c r="AB2469" s="115" t="s">
        <v>29</v>
      </c>
    </row>
    <row r="2470" spans="1:28" x14ac:dyDescent="0.3">
      <c r="A2470" s="116">
        <v>107</v>
      </c>
      <c r="B2470" s="68" t="s">
        <v>385</v>
      </c>
      <c r="E2470" s="85">
        <f>143144399.82/1000</f>
        <v>143144.39981999999</v>
      </c>
      <c r="F2470" s="85">
        <f t="shared" ref="F2470:AB2470" si="276">SUM(F2453:F2468)</f>
        <v>81690.368800000011</v>
      </c>
      <c r="G2470" s="85">
        <f t="shared" si="276"/>
        <v>0</v>
      </c>
      <c r="H2470" s="85">
        <f>141560845.51/1000</f>
        <v>141560.84550999998</v>
      </c>
      <c r="I2470" s="85">
        <f t="shared" si="276"/>
        <v>8199.6710000000003</v>
      </c>
      <c r="J2470" s="85">
        <f t="shared" si="276"/>
        <v>0</v>
      </c>
      <c r="K2470" s="85">
        <f t="shared" si="276"/>
        <v>0</v>
      </c>
      <c r="L2470" s="85">
        <f t="shared" si="276"/>
        <v>0</v>
      </c>
      <c r="M2470" s="85">
        <f t="shared" si="276"/>
        <v>81690.368800000011</v>
      </c>
      <c r="N2470" s="85">
        <f t="shared" si="276"/>
        <v>1583.55431</v>
      </c>
      <c r="O2470" s="85">
        <f t="shared" si="276"/>
        <v>0</v>
      </c>
      <c r="P2470" s="85">
        <f>1583554/1000</f>
        <v>1583.5540000000001</v>
      </c>
      <c r="Q2470" s="85">
        <f t="shared" si="276"/>
        <v>0</v>
      </c>
      <c r="R2470" s="85">
        <f t="shared" si="276"/>
        <v>0</v>
      </c>
      <c r="S2470" s="85">
        <f t="shared" si="276"/>
        <v>0</v>
      </c>
      <c r="T2470" s="85">
        <f t="shared" si="276"/>
        <v>0</v>
      </c>
      <c r="U2470" s="85">
        <f t="shared" si="276"/>
        <v>1583.55431</v>
      </c>
      <c r="V2470" s="85">
        <f t="shared" si="276"/>
        <v>83273.923110000003</v>
      </c>
      <c r="W2470" s="85">
        <f t="shared" si="276"/>
        <v>0</v>
      </c>
      <c r="X2470" s="85">
        <f>+H2470+P2470</f>
        <v>143144.39950999999</v>
      </c>
      <c r="Y2470" s="85">
        <f t="shared" si="276"/>
        <v>0</v>
      </c>
      <c r="Z2470" s="85">
        <f>+E2470-X2470</f>
        <v>3.1000000308267772E-4</v>
      </c>
      <c r="AA2470" s="69">
        <f t="shared" si="276"/>
        <v>83273.923110000003</v>
      </c>
      <c r="AB2470" s="69">
        <f t="shared" si="276"/>
        <v>0</v>
      </c>
    </row>
    <row r="2471" spans="1:28" hidden="1" x14ac:dyDescent="0.3">
      <c r="A2471" s="117"/>
      <c r="E2471" s="86" t="s">
        <v>29</v>
      </c>
      <c r="F2471" s="86" t="s">
        <v>29</v>
      </c>
      <c r="G2471" s="86" t="s">
        <v>29</v>
      </c>
      <c r="H2471" s="86" t="s">
        <v>29</v>
      </c>
      <c r="I2471" s="86" t="s">
        <v>29</v>
      </c>
      <c r="J2471" s="86" t="s">
        <v>29</v>
      </c>
      <c r="K2471" s="86" t="s">
        <v>29</v>
      </c>
      <c r="L2471" s="86" t="s">
        <v>29</v>
      </c>
      <c r="M2471" s="86" t="s">
        <v>29</v>
      </c>
      <c r="N2471" s="86" t="s">
        <v>29</v>
      </c>
      <c r="O2471" s="86" t="s">
        <v>29</v>
      </c>
      <c r="P2471" s="86" t="s">
        <v>29</v>
      </c>
      <c r="Q2471" s="86" t="s">
        <v>29</v>
      </c>
      <c r="R2471" s="86" t="s">
        <v>29</v>
      </c>
      <c r="S2471" s="86" t="s">
        <v>29</v>
      </c>
      <c r="T2471" s="86" t="s">
        <v>29</v>
      </c>
      <c r="U2471" s="86" t="s">
        <v>29</v>
      </c>
      <c r="V2471" s="86" t="s">
        <v>29</v>
      </c>
      <c r="W2471" s="86" t="s">
        <v>29</v>
      </c>
      <c r="X2471" s="85" t="e">
        <f t="shared" ref="X2471:X2533" si="277">+H2471+P2471</f>
        <v>#VALUE!</v>
      </c>
      <c r="Y2471" s="86" t="s">
        <v>29</v>
      </c>
      <c r="Z2471" s="86" t="s">
        <v>29</v>
      </c>
      <c r="AA2471" s="115" t="s">
        <v>29</v>
      </c>
      <c r="AB2471" s="115" t="s">
        <v>29</v>
      </c>
    </row>
    <row r="2472" spans="1:28" hidden="1" x14ac:dyDescent="0.3">
      <c r="A2472" s="105"/>
      <c r="E2472" s="84"/>
      <c r="F2472" s="84"/>
      <c r="G2472" s="84"/>
      <c r="H2472" s="84"/>
      <c r="I2472" s="84"/>
      <c r="J2472" s="84"/>
      <c r="K2472" s="84"/>
      <c r="L2472" s="84"/>
      <c r="M2472" s="84"/>
      <c r="N2472" s="84"/>
      <c r="O2472" s="84"/>
      <c r="P2472" s="84"/>
      <c r="Q2472" s="84"/>
      <c r="R2472" s="84"/>
      <c r="S2472" s="84"/>
      <c r="T2472" s="84"/>
      <c r="U2472" s="84"/>
      <c r="V2472" s="84"/>
      <c r="W2472" s="84"/>
      <c r="X2472" s="85">
        <f t="shared" si="277"/>
        <v>0</v>
      </c>
      <c r="Y2472" s="84"/>
      <c r="Z2472" s="84"/>
    </row>
    <row r="2473" spans="1:28" hidden="1" x14ac:dyDescent="0.3">
      <c r="A2473" s="117"/>
      <c r="C2473" s="68" t="s">
        <v>397</v>
      </c>
      <c r="D2473" s="87" t="s">
        <v>203</v>
      </c>
      <c r="E2473" s="85">
        <f>STATS1003B!E2481/1000</f>
        <v>13972.4835</v>
      </c>
      <c r="F2473" s="85">
        <f>STATS1003B!F2481/1000</f>
        <v>13215.197699999999</v>
      </c>
      <c r="G2473" s="85">
        <f>STATS1003B!G2481/1000</f>
        <v>0</v>
      </c>
      <c r="H2473" s="85">
        <f>STATS1003B!H2481/1000</f>
        <v>13215.197699999999</v>
      </c>
      <c r="I2473" s="85">
        <f>STATS1003B!I2481/1000</f>
        <v>0</v>
      </c>
      <c r="J2473" s="85">
        <f>STATS1003B!J2481/1000</f>
        <v>0</v>
      </c>
      <c r="K2473" s="85">
        <f>STATS1003B!K2481/1000</f>
        <v>0</v>
      </c>
      <c r="L2473" s="85">
        <f>STATS1003B!L2481/1000</f>
        <v>0</v>
      </c>
      <c r="M2473" s="85">
        <f>STATS1003B!M2481/1000</f>
        <v>13215.197699999999</v>
      </c>
      <c r="N2473" s="85">
        <f>STATS1003B!N2481/1000</f>
        <v>757.28579999999999</v>
      </c>
      <c r="O2473" s="85">
        <f>STATS1003B!O2481/1000</f>
        <v>0</v>
      </c>
      <c r="P2473" s="85">
        <f>STATS1003B!P2481/1000</f>
        <v>757.28579999999999</v>
      </c>
      <c r="Q2473" s="85">
        <f>STATS1003B!Q2481/1000</f>
        <v>0</v>
      </c>
      <c r="R2473" s="85">
        <f>STATS1003B!R2481/1000</f>
        <v>0</v>
      </c>
      <c r="S2473" s="85">
        <f>STATS1003B!S2481/1000</f>
        <v>0</v>
      </c>
      <c r="T2473" s="85">
        <f>STATS1003B!T2481/1000</f>
        <v>0</v>
      </c>
      <c r="U2473" s="85">
        <f>STATS1003B!U2481/1000</f>
        <v>757.28579999999999</v>
      </c>
      <c r="V2473" s="85">
        <f>STATS1003B!V2481/1000</f>
        <v>13972.4835</v>
      </c>
      <c r="W2473" s="85">
        <f>STATS1003B!W2481/1000</f>
        <v>0</v>
      </c>
      <c r="X2473" s="85">
        <f t="shared" si="277"/>
        <v>13972.483499999998</v>
      </c>
      <c r="Y2473" s="85">
        <f>STATS1003B!Y2481/1000</f>
        <v>0</v>
      </c>
      <c r="Z2473" s="85">
        <f>STATS1003B!Z2481/1000</f>
        <v>0</v>
      </c>
      <c r="AA2473" s="69">
        <f>STATS1003B!AA2481/1000</f>
        <v>13972.4835</v>
      </c>
      <c r="AB2473" s="69">
        <f>STATS1003B!AB2481/1000</f>
        <v>0</v>
      </c>
    </row>
    <row r="2474" spans="1:28" hidden="1" x14ac:dyDescent="0.3">
      <c r="A2474" s="117"/>
      <c r="C2474" s="68" t="s">
        <v>57</v>
      </c>
      <c r="D2474" s="87" t="s">
        <v>85</v>
      </c>
      <c r="E2474" s="85">
        <f>STATS1003B!E2482/1000</f>
        <v>1503.2449999999999</v>
      </c>
      <c r="F2474" s="85">
        <f>STATS1003B!F2482/1000</f>
        <v>1503.2449999999999</v>
      </c>
      <c r="G2474" s="85">
        <f>STATS1003B!G2482/1000</f>
        <v>0</v>
      </c>
      <c r="H2474" s="85">
        <f>STATS1003B!H2482/1000</f>
        <v>1503.2449999999999</v>
      </c>
      <c r="I2474" s="85">
        <f>STATS1003B!I2482/1000</f>
        <v>0</v>
      </c>
      <c r="J2474" s="85">
        <f>STATS1003B!J2482/1000</f>
        <v>0</v>
      </c>
      <c r="K2474" s="85">
        <f>STATS1003B!K2482/1000</f>
        <v>0</v>
      </c>
      <c r="L2474" s="85">
        <f>STATS1003B!L2482/1000</f>
        <v>0</v>
      </c>
      <c r="M2474" s="85">
        <f>STATS1003B!M2482/1000</f>
        <v>1503.2449999999999</v>
      </c>
      <c r="N2474" s="85">
        <f>STATS1003B!N2482/1000</f>
        <v>0</v>
      </c>
      <c r="O2474" s="85">
        <f>STATS1003B!O2482/1000</f>
        <v>0</v>
      </c>
      <c r="P2474" s="85">
        <f>STATS1003B!P2482/1000</f>
        <v>0</v>
      </c>
      <c r="Q2474" s="85">
        <f>STATS1003B!Q2482/1000</f>
        <v>0</v>
      </c>
      <c r="R2474" s="85">
        <f>STATS1003B!R2482/1000</f>
        <v>0</v>
      </c>
      <c r="S2474" s="85">
        <f>STATS1003B!S2482/1000</f>
        <v>0</v>
      </c>
      <c r="T2474" s="85">
        <f>STATS1003B!T2482/1000</f>
        <v>0</v>
      </c>
      <c r="U2474" s="85">
        <f>STATS1003B!U2482/1000</f>
        <v>0</v>
      </c>
      <c r="V2474" s="85">
        <f>STATS1003B!V2482/1000</f>
        <v>1503.2449999999999</v>
      </c>
      <c r="W2474" s="85">
        <f>STATS1003B!W2482/1000</f>
        <v>0</v>
      </c>
      <c r="X2474" s="85">
        <f t="shared" si="277"/>
        <v>1503.2449999999999</v>
      </c>
      <c r="Y2474" s="85">
        <f>STATS1003B!Y2482/1000</f>
        <v>0</v>
      </c>
      <c r="Z2474" s="85">
        <f>STATS1003B!Z2482/1000</f>
        <v>0</v>
      </c>
      <c r="AA2474" s="69">
        <f>STATS1003B!AA2482/1000</f>
        <v>1503.2449999999999</v>
      </c>
      <c r="AB2474" s="69">
        <f>STATS1003B!AB2482/1000</f>
        <v>0</v>
      </c>
    </row>
    <row r="2475" spans="1:28" hidden="1" x14ac:dyDescent="0.3">
      <c r="A2475" s="117"/>
      <c r="C2475" s="68" t="s">
        <v>53</v>
      </c>
      <c r="D2475" s="87" t="s">
        <v>85</v>
      </c>
      <c r="E2475" s="85">
        <f>STATS1003B!E2483/1000</f>
        <v>570.94100000000003</v>
      </c>
      <c r="F2475" s="85">
        <f>STATS1003B!F2483/1000</f>
        <v>0</v>
      </c>
      <c r="G2475" s="85">
        <f>STATS1003B!G2483/1000</f>
        <v>0</v>
      </c>
      <c r="H2475" s="85">
        <f>STATS1003B!H2483/1000</f>
        <v>0</v>
      </c>
      <c r="I2475" s="85">
        <f>STATS1003B!I2483/1000</f>
        <v>0</v>
      </c>
      <c r="J2475" s="85">
        <f>STATS1003B!J2483/1000</f>
        <v>0</v>
      </c>
      <c r="K2475" s="85">
        <f>STATS1003B!K2483/1000</f>
        <v>0</v>
      </c>
      <c r="L2475" s="85">
        <f>STATS1003B!L2483/1000</f>
        <v>0</v>
      </c>
      <c r="M2475" s="85">
        <f>STATS1003B!M2483/1000</f>
        <v>0</v>
      </c>
      <c r="N2475" s="85">
        <f>STATS1003B!N2483/1000</f>
        <v>570.94100000000003</v>
      </c>
      <c r="O2475" s="85">
        <f>STATS1003B!O2483/1000</f>
        <v>0</v>
      </c>
      <c r="P2475" s="85">
        <f>STATS1003B!P2483/1000</f>
        <v>570.94100000000003</v>
      </c>
      <c r="Q2475" s="85">
        <f>STATS1003B!Q2483/1000</f>
        <v>0</v>
      </c>
      <c r="R2475" s="85">
        <f>STATS1003B!R2483/1000</f>
        <v>0</v>
      </c>
      <c r="S2475" s="85">
        <f>STATS1003B!S2483/1000</f>
        <v>0</v>
      </c>
      <c r="T2475" s="85">
        <f>STATS1003B!T2483/1000</f>
        <v>0</v>
      </c>
      <c r="U2475" s="85">
        <f>STATS1003B!U2483/1000</f>
        <v>570.94100000000003</v>
      </c>
      <c r="V2475" s="85">
        <f>STATS1003B!V2483/1000</f>
        <v>570.94100000000003</v>
      </c>
      <c r="W2475" s="85">
        <f>STATS1003B!W2483/1000</f>
        <v>0</v>
      </c>
      <c r="X2475" s="85">
        <f t="shared" si="277"/>
        <v>570.94100000000003</v>
      </c>
      <c r="Y2475" s="85">
        <f>STATS1003B!Y2483/1000</f>
        <v>0</v>
      </c>
      <c r="Z2475" s="85">
        <f>STATS1003B!Z2483/1000</f>
        <v>0</v>
      </c>
      <c r="AA2475" s="69">
        <f>STATS1003B!AA2483/1000</f>
        <v>570.94100000000003</v>
      </c>
      <c r="AB2475" s="69">
        <f>STATS1003B!AB2483/1000</f>
        <v>0</v>
      </c>
    </row>
    <row r="2476" spans="1:28" hidden="1" x14ac:dyDescent="0.3">
      <c r="A2476" s="117"/>
      <c r="C2476" s="68" t="s">
        <v>57</v>
      </c>
      <c r="D2476" s="87" t="s">
        <v>88</v>
      </c>
      <c r="E2476" s="85">
        <f>STATS1003B!E2484/1000</f>
        <v>1850.8150000000001</v>
      </c>
      <c r="F2476" s="85">
        <f>STATS1003B!F2484/1000</f>
        <v>1850.8150000000001</v>
      </c>
      <c r="G2476" s="85">
        <f>STATS1003B!G2484/1000</f>
        <v>0</v>
      </c>
      <c r="H2476" s="85">
        <f>STATS1003B!H2484/1000</f>
        <v>1850.8150000000001</v>
      </c>
      <c r="I2476" s="85">
        <f>STATS1003B!I2484/1000</f>
        <v>0</v>
      </c>
      <c r="J2476" s="85">
        <f>STATS1003B!J2484/1000</f>
        <v>0</v>
      </c>
      <c r="K2476" s="85">
        <f>STATS1003B!K2484/1000</f>
        <v>0</v>
      </c>
      <c r="L2476" s="85">
        <f>STATS1003B!L2484/1000</f>
        <v>0</v>
      </c>
      <c r="M2476" s="85">
        <f>STATS1003B!M2484/1000</f>
        <v>1850.8150000000001</v>
      </c>
      <c r="N2476" s="85">
        <f>STATS1003B!N2484/1000</f>
        <v>0</v>
      </c>
      <c r="O2476" s="85">
        <f>STATS1003B!O2484/1000</f>
        <v>0</v>
      </c>
      <c r="P2476" s="85">
        <f>STATS1003B!P2484/1000</f>
        <v>0</v>
      </c>
      <c r="Q2476" s="85">
        <f>STATS1003B!Q2484/1000</f>
        <v>0</v>
      </c>
      <c r="R2476" s="85">
        <f>STATS1003B!R2484/1000</f>
        <v>0</v>
      </c>
      <c r="S2476" s="85">
        <f>STATS1003B!S2484/1000</f>
        <v>0</v>
      </c>
      <c r="T2476" s="85">
        <f>STATS1003B!T2484/1000</f>
        <v>0</v>
      </c>
      <c r="U2476" s="85">
        <f>STATS1003B!U2484/1000</f>
        <v>0</v>
      </c>
      <c r="V2476" s="85">
        <f>STATS1003B!V2484/1000</f>
        <v>1850.8150000000001</v>
      </c>
      <c r="W2476" s="85">
        <f>STATS1003B!W2484/1000</f>
        <v>0</v>
      </c>
      <c r="X2476" s="85">
        <f t="shared" si="277"/>
        <v>1850.8150000000001</v>
      </c>
      <c r="Y2476" s="85">
        <f>STATS1003B!Y2484/1000</f>
        <v>0</v>
      </c>
      <c r="Z2476" s="85">
        <f>STATS1003B!Z2484/1000</f>
        <v>0</v>
      </c>
      <c r="AA2476" s="69">
        <f>STATS1003B!AA2484/1000</f>
        <v>1850.8150000000001</v>
      </c>
      <c r="AB2476" s="69">
        <f>STATS1003B!AB2484/1000</f>
        <v>0</v>
      </c>
    </row>
    <row r="2477" spans="1:28" hidden="1" x14ac:dyDescent="0.3">
      <c r="A2477" s="117"/>
      <c r="C2477" s="68" t="s">
        <v>57</v>
      </c>
      <c r="D2477" s="87" t="s">
        <v>58</v>
      </c>
      <c r="E2477" s="85">
        <f>STATS1003B!E2485/1000</f>
        <v>0</v>
      </c>
      <c r="F2477" s="85">
        <f>STATS1003B!F2485/1000</f>
        <v>0</v>
      </c>
      <c r="G2477" s="85">
        <f>STATS1003B!G2485/1000</f>
        <v>0</v>
      </c>
      <c r="H2477" s="85">
        <f>STATS1003B!H2485/1000</f>
        <v>0</v>
      </c>
      <c r="I2477" s="85">
        <f>STATS1003B!I2485/1000</f>
        <v>0</v>
      </c>
      <c r="J2477" s="85">
        <f>STATS1003B!J2485/1000</f>
        <v>0</v>
      </c>
      <c r="K2477" s="85">
        <f>STATS1003B!K2485/1000</f>
        <v>0</v>
      </c>
      <c r="L2477" s="85">
        <f>STATS1003B!L2485/1000</f>
        <v>0</v>
      </c>
      <c r="M2477" s="85">
        <f>STATS1003B!M2485/1000</f>
        <v>0</v>
      </c>
      <c r="N2477" s="85">
        <f>STATS1003B!N2485/1000</f>
        <v>0</v>
      </c>
      <c r="O2477" s="85">
        <f>STATS1003B!O2485/1000</f>
        <v>0</v>
      </c>
      <c r="P2477" s="85">
        <f>STATS1003B!P2485/1000</f>
        <v>0</v>
      </c>
      <c r="Q2477" s="85">
        <f>STATS1003B!Q2485/1000</f>
        <v>0</v>
      </c>
      <c r="R2477" s="85">
        <f>STATS1003B!R2485/1000</f>
        <v>0</v>
      </c>
      <c r="S2477" s="85">
        <f>STATS1003B!S2485/1000</f>
        <v>0</v>
      </c>
      <c r="T2477" s="85">
        <f>STATS1003B!T2485/1000</f>
        <v>0</v>
      </c>
      <c r="U2477" s="85">
        <f>STATS1003B!U2485/1000</f>
        <v>0</v>
      </c>
      <c r="V2477" s="85">
        <f>STATS1003B!V2485/1000</f>
        <v>0</v>
      </c>
      <c r="W2477" s="85">
        <f>STATS1003B!W2485/1000</f>
        <v>0</v>
      </c>
      <c r="X2477" s="85">
        <f t="shared" si="277"/>
        <v>0</v>
      </c>
      <c r="Y2477" s="85">
        <f>STATS1003B!Y2485/1000</f>
        <v>0</v>
      </c>
      <c r="Z2477" s="85">
        <f>STATS1003B!Z2485/1000</f>
        <v>0</v>
      </c>
      <c r="AA2477" s="69">
        <f>STATS1003B!AA2485/1000</f>
        <v>0</v>
      </c>
      <c r="AB2477" s="69">
        <f>STATS1003B!AB2485/1000</f>
        <v>0</v>
      </c>
    </row>
    <row r="2478" spans="1:28" hidden="1" x14ac:dyDescent="0.3">
      <c r="A2478" s="117"/>
      <c r="C2478" s="68" t="s">
        <v>57</v>
      </c>
      <c r="D2478" s="87" t="s">
        <v>60</v>
      </c>
      <c r="E2478" s="85">
        <f>STATS1003B!E2486/1000</f>
        <v>3712.9459999999999</v>
      </c>
      <c r="F2478" s="85">
        <f>STATS1003B!F2486/1000</f>
        <v>3712.9459999999999</v>
      </c>
      <c r="G2478" s="85">
        <f>STATS1003B!G2486/1000</f>
        <v>0</v>
      </c>
      <c r="H2478" s="85">
        <f>STATS1003B!H2486/1000</f>
        <v>3712.9459999999999</v>
      </c>
      <c r="I2478" s="85">
        <f>STATS1003B!I2486/1000</f>
        <v>0</v>
      </c>
      <c r="J2478" s="85">
        <f>STATS1003B!J2486/1000</f>
        <v>0</v>
      </c>
      <c r="K2478" s="85">
        <f>STATS1003B!K2486/1000</f>
        <v>0</v>
      </c>
      <c r="L2478" s="85">
        <f>STATS1003B!L2486/1000</f>
        <v>0</v>
      </c>
      <c r="M2478" s="85">
        <f>STATS1003B!M2486/1000</f>
        <v>3712.9459999999999</v>
      </c>
      <c r="N2478" s="85">
        <f>STATS1003B!N2486/1000</f>
        <v>0</v>
      </c>
      <c r="O2478" s="85">
        <f>STATS1003B!O2486/1000</f>
        <v>0</v>
      </c>
      <c r="P2478" s="85">
        <f>STATS1003B!P2486/1000</f>
        <v>0</v>
      </c>
      <c r="Q2478" s="85">
        <f>STATS1003B!Q2486/1000</f>
        <v>0</v>
      </c>
      <c r="R2478" s="85">
        <f>STATS1003B!R2486/1000</f>
        <v>0</v>
      </c>
      <c r="S2478" s="85">
        <f>STATS1003B!S2486/1000</f>
        <v>0</v>
      </c>
      <c r="T2478" s="85">
        <f>STATS1003B!T2486/1000</f>
        <v>0</v>
      </c>
      <c r="U2478" s="85">
        <f>STATS1003B!U2486/1000</f>
        <v>0</v>
      </c>
      <c r="V2478" s="85">
        <f>STATS1003B!V2486/1000</f>
        <v>3712.9459999999999</v>
      </c>
      <c r="W2478" s="85">
        <f>STATS1003B!W2486/1000</f>
        <v>0</v>
      </c>
      <c r="X2478" s="85">
        <f t="shared" si="277"/>
        <v>3712.9459999999999</v>
      </c>
      <c r="Y2478" s="85">
        <f>STATS1003B!Y2486/1000</f>
        <v>0</v>
      </c>
      <c r="Z2478" s="85">
        <f>STATS1003B!Z2486/1000</f>
        <v>0</v>
      </c>
      <c r="AA2478" s="69">
        <f>STATS1003B!AA2486/1000</f>
        <v>3712.9459999999999</v>
      </c>
      <c r="AB2478" s="69">
        <f>STATS1003B!AB2486/1000</f>
        <v>0</v>
      </c>
    </row>
    <row r="2479" spans="1:28" hidden="1" x14ac:dyDescent="0.3">
      <c r="A2479" s="117"/>
      <c r="C2479" s="68" t="s">
        <v>57</v>
      </c>
      <c r="D2479" s="87" t="s">
        <v>73</v>
      </c>
      <c r="E2479" s="85">
        <f>STATS1003B!E2487/1000</f>
        <v>1793.2015100000001</v>
      </c>
      <c r="F2479" s="85">
        <f>STATS1003B!F2487/1000</f>
        <v>1793.2015100000001</v>
      </c>
      <c r="G2479" s="85">
        <f>STATS1003B!G2487/1000</f>
        <v>0</v>
      </c>
      <c r="H2479" s="85">
        <f>STATS1003B!H2487/1000</f>
        <v>1793.2015100000001</v>
      </c>
      <c r="I2479" s="85">
        <f>STATS1003B!I2487/1000</f>
        <v>0</v>
      </c>
      <c r="J2479" s="85">
        <f>STATS1003B!J2487/1000</f>
        <v>0</v>
      </c>
      <c r="K2479" s="85">
        <f>STATS1003B!K2487/1000</f>
        <v>0</v>
      </c>
      <c r="L2479" s="85">
        <f>STATS1003B!L2487/1000</f>
        <v>0</v>
      </c>
      <c r="M2479" s="85">
        <f>STATS1003B!M2487/1000</f>
        <v>1793.2015100000001</v>
      </c>
      <c r="N2479" s="85">
        <f>STATS1003B!N2487/1000</f>
        <v>0</v>
      </c>
      <c r="O2479" s="85">
        <f>STATS1003B!O2487/1000</f>
        <v>0</v>
      </c>
      <c r="P2479" s="85">
        <f>STATS1003B!P2487/1000</f>
        <v>0</v>
      </c>
      <c r="Q2479" s="85">
        <f>STATS1003B!Q2487/1000</f>
        <v>0</v>
      </c>
      <c r="R2479" s="85">
        <f>STATS1003B!R2487/1000</f>
        <v>0</v>
      </c>
      <c r="S2479" s="85">
        <f>STATS1003B!S2487/1000</f>
        <v>0</v>
      </c>
      <c r="T2479" s="85">
        <f>STATS1003B!T2487/1000</f>
        <v>0</v>
      </c>
      <c r="U2479" s="85">
        <f>STATS1003B!U2487/1000</f>
        <v>0</v>
      </c>
      <c r="V2479" s="85">
        <f>STATS1003B!V2487/1000</f>
        <v>1793.2015100000001</v>
      </c>
      <c r="W2479" s="85">
        <f>STATS1003B!W2487/1000</f>
        <v>0</v>
      </c>
      <c r="X2479" s="85">
        <f t="shared" si="277"/>
        <v>1793.2015100000001</v>
      </c>
      <c r="Y2479" s="85">
        <f>STATS1003B!Y2487/1000</f>
        <v>0</v>
      </c>
      <c r="Z2479" s="85">
        <f>STATS1003B!Z2487/1000</f>
        <v>0</v>
      </c>
      <c r="AA2479" s="69">
        <f>STATS1003B!AA2487/1000</f>
        <v>1793.2015100000001</v>
      </c>
      <c r="AB2479" s="69">
        <f>STATS1003B!AB2487/1000</f>
        <v>0</v>
      </c>
    </row>
    <row r="2480" spans="1:28" hidden="1" x14ac:dyDescent="0.3">
      <c r="A2480" s="117"/>
      <c r="C2480" s="71" t="s">
        <v>109</v>
      </c>
      <c r="D2480" s="88" t="s">
        <v>60</v>
      </c>
      <c r="E2480" s="85">
        <f>STATS1003B!E2488/1000</f>
        <v>2500</v>
      </c>
      <c r="F2480" s="85">
        <f>STATS1003B!F2488/1000</f>
        <v>2500</v>
      </c>
      <c r="G2480" s="85">
        <f>STATS1003B!G2488/1000</f>
        <v>0</v>
      </c>
      <c r="H2480" s="85">
        <f>STATS1003B!H2488/1000</f>
        <v>2500</v>
      </c>
      <c r="I2480" s="85">
        <f>STATS1003B!I2488/1000</f>
        <v>0</v>
      </c>
      <c r="J2480" s="85">
        <f>STATS1003B!J2488/1000</f>
        <v>0</v>
      </c>
      <c r="K2480" s="85">
        <f>STATS1003B!K2488/1000</f>
        <v>0</v>
      </c>
      <c r="L2480" s="85">
        <f>STATS1003B!L2488/1000</f>
        <v>0</v>
      </c>
      <c r="M2480" s="85">
        <f>STATS1003B!M2488/1000</f>
        <v>2500</v>
      </c>
      <c r="N2480" s="85">
        <f>STATS1003B!N2488/1000</f>
        <v>0</v>
      </c>
      <c r="O2480" s="85">
        <f>STATS1003B!O2488/1000</f>
        <v>0</v>
      </c>
      <c r="P2480" s="85">
        <f>STATS1003B!P2488/1000</f>
        <v>0</v>
      </c>
      <c r="Q2480" s="85">
        <f>STATS1003B!Q2488/1000</f>
        <v>0</v>
      </c>
      <c r="R2480" s="85">
        <f>STATS1003B!R2488/1000</f>
        <v>0</v>
      </c>
      <c r="S2480" s="85">
        <f>STATS1003B!S2488/1000</f>
        <v>0</v>
      </c>
      <c r="T2480" s="85">
        <f>STATS1003B!T2488/1000</f>
        <v>0</v>
      </c>
      <c r="U2480" s="85">
        <f>STATS1003B!U2488/1000</f>
        <v>0</v>
      </c>
      <c r="V2480" s="85">
        <f>STATS1003B!V2488/1000</f>
        <v>2500</v>
      </c>
      <c r="W2480" s="85">
        <f>STATS1003B!W2488/1000</f>
        <v>0</v>
      </c>
      <c r="X2480" s="85">
        <f t="shared" si="277"/>
        <v>2500</v>
      </c>
      <c r="Y2480" s="85">
        <f>STATS1003B!Y2488/1000</f>
        <v>0</v>
      </c>
      <c r="Z2480" s="85">
        <f>STATS1003B!Z2488/1000</f>
        <v>0</v>
      </c>
      <c r="AA2480" s="69">
        <f>STATS1003B!AA2488/1000</f>
        <v>2500</v>
      </c>
      <c r="AB2480" s="69">
        <f>STATS1003B!AB2488/1000</f>
        <v>0</v>
      </c>
    </row>
    <row r="2481" spans="1:28" hidden="1" x14ac:dyDescent="0.3">
      <c r="A2481" s="117"/>
      <c r="C2481" s="68" t="s">
        <v>398</v>
      </c>
      <c r="E2481" s="85">
        <f>STATS1003B!E2489/1000</f>
        <v>791.03399999999999</v>
      </c>
      <c r="F2481" s="85">
        <f>STATS1003B!F2489/1000</f>
        <v>791.03399999999999</v>
      </c>
      <c r="G2481" s="85">
        <f>STATS1003B!G2489/1000</f>
        <v>0</v>
      </c>
      <c r="H2481" s="85">
        <f>STATS1003B!H2489/1000</f>
        <v>791.03399999999999</v>
      </c>
      <c r="I2481" s="85">
        <f>STATS1003B!I2489/1000</f>
        <v>0</v>
      </c>
      <c r="J2481" s="85">
        <f>STATS1003B!J2489/1000</f>
        <v>0</v>
      </c>
      <c r="K2481" s="85">
        <f>STATS1003B!K2489/1000</f>
        <v>0</v>
      </c>
      <c r="L2481" s="85">
        <f>STATS1003B!L2489/1000</f>
        <v>0</v>
      </c>
      <c r="M2481" s="85">
        <f>STATS1003B!M2489/1000</f>
        <v>791.03399999999999</v>
      </c>
      <c r="N2481" s="85">
        <f>STATS1003B!N2489/1000</f>
        <v>0</v>
      </c>
      <c r="O2481" s="85">
        <f>STATS1003B!O2489/1000</f>
        <v>0</v>
      </c>
      <c r="P2481" s="85">
        <f>STATS1003B!P2489/1000</f>
        <v>0</v>
      </c>
      <c r="Q2481" s="85">
        <f>STATS1003B!Q2489/1000</f>
        <v>0</v>
      </c>
      <c r="R2481" s="85">
        <f>STATS1003B!R2489/1000</f>
        <v>0</v>
      </c>
      <c r="S2481" s="85">
        <f>STATS1003B!S2489/1000</f>
        <v>0</v>
      </c>
      <c r="T2481" s="85">
        <f>STATS1003B!T2489/1000</f>
        <v>0</v>
      </c>
      <c r="U2481" s="85">
        <f>STATS1003B!U2489/1000</f>
        <v>0</v>
      </c>
      <c r="V2481" s="85">
        <f>STATS1003B!V2489/1000</f>
        <v>791.03399999999999</v>
      </c>
      <c r="W2481" s="85">
        <f>STATS1003B!W2489/1000</f>
        <v>0</v>
      </c>
      <c r="X2481" s="85">
        <f t="shared" si="277"/>
        <v>791.03399999999999</v>
      </c>
      <c r="Y2481" s="85">
        <f>STATS1003B!Y2489/1000</f>
        <v>0</v>
      </c>
      <c r="Z2481" s="85">
        <f>STATS1003B!Z2489/1000</f>
        <v>0</v>
      </c>
      <c r="AA2481" s="69">
        <f>STATS1003B!AA2489/1000</f>
        <v>791.03399999999999</v>
      </c>
      <c r="AB2481" s="69">
        <f>STATS1003B!AB2489/1000</f>
        <v>0</v>
      </c>
    </row>
    <row r="2482" spans="1:28" hidden="1" x14ac:dyDescent="0.3">
      <c r="A2482" s="117"/>
      <c r="C2482" s="68" t="s">
        <v>399</v>
      </c>
      <c r="E2482" s="85">
        <f>STATS1003B!E2490/1000</f>
        <v>187.732</v>
      </c>
      <c r="F2482" s="85">
        <f>STATS1003B!F2490/1000</f>
        <v>187.732</v>
      </c>
      <c r="G2482" s="85">
        <f>STATS1003B!G2490/1000</f>
        <v>0</v>
      </c>
      <c r="H2482" s="85">
        <f>STATS1003B!H2490/1000</f>
        <v>187.732</v>
      </c>
      <c r="I2482" s="85">
        <f>STATS1003B!I2490/1000</f>
        <v>0</v>
      </c>
      <c r="J2482" s="85">
        <f>STATS1003B!J2490/1000</f>
        <v>0</v>
      </c>
      <c r="K2482" s="85">
        <f>STATS1003B!K2490/1000</f>
        <v>0</v>
      </c>
      <c r="L2482" s="85">
        <f>STATS1003B!L2490/1000</f>
        <v>0</v>
      </c>
      <c r="M2482" s="85">
        <f>STATS1003B!M2490/1000</f>
        <v>187.732</v>
      </c>
      <c r="N2482" s="85">
        <f>STATS1003B!N2490/1000</f>
        <v>0</v>
      </c>
      <c r="O2482" s="85">
        <f>STATS1003B!O2490/1000</f>
        <v>0</v>
      </c>
      <c r="P2482" s="85">
        <f>STATS1003B!P2490/1000</f>
        <v>0</v>
      </c>
      <c r="Q2482" s="85">
        <f>STATS1003B!Q2490/1000</f>
        <v>0</v>
      </c>
      <c r="R2482" s="85">
        <f>STATS1003B!R2490/1000</f>
        <v>0</v>
      </c>
      <c r="S2482" s="85">
        <f>STATS1003B!S2490/1000</f>
        <v>0</v>
      </c>
      <c r="T2482" s="85">
        <f>STATS1003B!T2490/1000</f>
        <v>0</v>
      </c>
      <c r="U2482" s="85">
        <f>STATS1003B!U2490/1000</f>
        <v>0</v>
      </c>
      <c r="V2482" s="85">
        <f>STATS1003B!V2490/1000</f>
        <v>187.732</v>
      </c>
      <c r="W2482" s="85">
        <f>STATS1003B!W2490/1000</f>
        <v>0</v>
      </c>
      <c r="X2482" s="85">
        <f t="shared" si="277"/>
        <v>187.732</v>
      </c>
      <c r="Y2482" s="85">
        <f>STATS1003B!Y2490/1000</f>
        <v>0</v>
      </c>
      <c r="Z2482" s="85">
        <f>STATS1003B!Z2490/1000</f>
        <v>0</v>
      </c>
      <c r="AA2482" s="69">
        <f>STATS1003B!AA2490/1000</f>
        <v>187.732</v>
      </c>
      <c r="AB2482" s="69">
        <f>STATS1003B!AB2490/1000</f>
        <v>0</v>
      </c>
    </row>
    <row r="2483" spans="1:28" hidden="1" x14ac:dyDescent="0.3">
      <c r="A2483" s="117"/>
      <c r="C2483" s="68" t="s">
        <v>400</v>
      </c>
      <c r="E2483" s="85">
        <f>STATS1003B!E2491/1000</f>
        <v>2073</v>
      </c>
      <c r="F2483" s="85">
        <f>STATS1003B!F2491/1000</f>
        <v>2073</v>
      </c>
      <c r="G2483" s="85">
        <f>STATS1003B!G2491/1000</f>
        <v>0</v>
      </c>
      <c r="H2483" s="85">
        <f>STATS1003B!H2491/1000</f>
        <v>2073</v>
      </c>
      <c r="I2483" s="85">
        <f>STATS1003B!I2491/1000</f>
        <v>0</v>
      </c>
      <c r="J2483" s="85">
        <f>STATS1003B!J2491/1000</f>
        <v>0</v>
      </c>
      <c r="K2483" s="85">
        <f>STATS1003B!K2491/1000</f>
        <v>0</v>
      </c>
      <c r="L2483" s="85">
        <f>STATS1003B!L2491/1000</f>
        <v>0</v>
      </c>
      <c r="M2483" s="85">
        <f>STATS1003B!M2491/1000</f>
        <v>2073</v>
      </c>
      <c r="N2483" s="85">
        <f>STATS1003B!N2491/1000</f>
        <v>0</v>
      </c>
      <c r="O2483" s="85">
        <f>STATS1003B!O2491/1000</f>
        <v>0</v>
      </c>
      <c r="P2483" s="85">
        <f>STATS1003B!P2491/1000</f>
        <v>0</v>
      </c>
      <c r="Q2483" s="85">
        <f>STATS1003B!Q2491/1000</f>
        <v>0</v>
      </c>
      <c r="R2483" s="85">
        <f>STATS1003B!R2491/1000</f>
        <v>0</v>
      </c>
      <c r="S2483" s="85">
        <f>STATS1003B!S2491/1000</f>
        <v>0</v>
      </c>
      <c r="T2483" s="85">
        <f>STATS1003B!T2491/1000</f>
        <v>0</v>
      </c>
      <c r="U2483" s="85">
        <f>STATS1003B!U2491/1000</f>
        <v>0</v>
      </c>
      <c r="V2483" s="85">
        <f>STATS1003B!V2491/1000</f>
        <v>2073</v>
      </c>
      <c r="W2483" s="85">
        <f>STATS1003B!W2491/1000</f>
        <v>0</v>
      </c>
      <c r="X2483" s="85">
        <f t="shared" si="277"/>
        <v>2073</v>
      </c>
      <c r="Y2483" s="85">
        <f>STATS1003B!Y2491/1000</f>
        <v>0</v>
      </c>
      <c r="Z2483" s="85">
        <f>STATS1003B!Z2491/1000</f>
        <v>0</v>
      </c>
      <c r="AA2483" s="69">
        <f>STATS1003B!AA2491/1000</f>
        <v>2073</v>
      </c>
      <c r="AB2483" s="69">
        <f>STATS1003B!AB2491/1000</f>
        <v>0</v>
      </c>
    </row>
    <row r="2484" spans="1:28" hidden="1" x14ac:dyDescent="0.3">
      <c r="A2484" s="117"/>
      <c r="C2484" s="68" t="s">
        <v>401</v>
      </c>
      <c r="E2484" s="85">
        <f>STATS1003B!E2492/1000</f>
        <v>1407.72</v>
      </c>
      <c r="F2484" s="85">
        <f>STATS1003B!F2492/1000</f>
        <v>1407.72</v>
      </c>
      <c r="G2484" s="85">
        <f>STATS1003B!G2492/1000</f>
        <v>0</v>
      </c>
      <c r="H2484" s="85">
        <f>STATS1003B!H2492/1000</f>
        <v>1407.72</v>
      </c>
      <c r="I2484" s="85">
        <f>STATS1003B!I2492/1000</f>
        <v>0</v>
      </c>
      <c r="J2484" s="85">
        <f>STATS1003B!J2492/1000</f>
        <v>0</v>
      </c>
      <c r="K2484" s="85">
        <f>STATS1003B!K2492/1000</f>
        <v>0</v>
      </c>
      <c r="L2484" s="85">
        <f>STATS1003B!L2492/1000</f>
        <v>0</v>
      </c>
      <c r="M2484" s="85">
        <f>STATS1003B!M2492/1000</f>
        <v>1407.72</v>
      </c>
      <c r="N2484" s="85">
        <f>STATS1003B!N2492/1000</f>
        <v>0</v>
      </c>
      <c r="O2484" s="85">
        <f>STATS1003B!O2492/1000</f>
        <v>0</v>
      </c>
      <c r="P2484" s="85">
        <f>STATS1003B!P2492/1000</f>
        <v>0</v>
      </c>
      <c r="Q2484" s="85">
        <f>STATS1003B!Q2492/1000</f>
        <v>0</v>
      </c>
      <c r="R2484" s="85">
        <f>STATS1003B!R2492/1000</f>
        <v>0</v>
      </c>
      <c r="S2484" s="85">
        <f>STATS1003B!S2492/1000</f>
        <v>0</v>
      </c>
      <c r="T2484" s="85">
        <f>STATS1003B!T2492/1000</f>
        <v>0</v>
      </c>
      <c r="U2484" s="85">
        <f>STATS1003B!U2492/1000</f>
        <v>0</v>
      </c>
      <c r="V2484" s="85">
        <f>STATS1003B!V2492/1000</f>
        <v>1407.72</v>
      </c>
      <c r="W2484" s="85">
        <f>STATS1003B!W2492/1000</f>
        <v>0</v>
      </c>
      <c r="X2484" s="85">
        <f t="shared" si="277"/>
        <v>1407.72</v>
      </c>
      <c r="Y2484" s="85">
        <f>STATS1003B!Y2492/1000</f>
        <v>0</v>
      </c>
      <c r="Z2484" s="85">
        <f>STATS1003B!Z2492/1000</f>
        <v>0</v>
      </c>
      <c r="AA2484" s="69">
        <f>STATS1003B!AA2492/1000</f>
        <v>1407.72</v>
      </c>
      <c r="AB2484" s="69">
        <f>STATS1003B!AB2492/1000</f>
        <v>0</v>
      </c>
    </row>
    <row r="2485" spans="1:28" hidden="1" x14ac:dyDescent="0.3">
      <c r="A2485" s="117"/>
      <c r="C2485" s="68" t="s">
        <v>930</v>
      </c>
      <c r="D2485" s="91" t="s">
        <v>1072</v>
      </c>
      <c r="E2485" s="85">
        <f>STATS1003B!E2493/1000</f>
        <v>1469.57572</v>
      </c>
      <c r="F2485" s="85">
        <f>STATS1003B!F2493/1000</f>
        <v>1469.57572</v>
      </c>
      <c r="G2485" s="85">
        <f>STATS1003B!G2493/1000</f>
        <v>0</v>
      </c>
      <c r="H2485" s="85">
        <f>STATS1003B!H2493/1000</f>
        <v>1469.57572</v>
      </c>
      <c r="I2485" s="85">
        <f>STATS1003B!I2493/1000</f>
        <v>0</v>
      </c>
      <c r="J2485" s="85">
        <f>STATS1003B!J2493/1000</f>
        <v>0</v>
      </c>
      <c r="K2485" s="85">
        <f>STATS1003B!K2493/1000</f>
        <v>0</v>
      </c>
      <c r="L2485" s="85">
        <f>STATS1003B!L2493/1000</f>
        <v>0</v>
      </c>
      <c r="M2485" s="85">
        <f>STATS1003B!M2493/1000</f>
        <v>1469.57572</v>
      </c>
      <c r="N2485" s="85">
        <f>STATS1003B!N2493/1000</f>
        <v>0</v>
      </c>
      <c r="O2485" s="85">
        <f>STATS1003B!O2493/1000</f>
        <v>0</v>
      </c>
      <c r="P2485" s="85">
        <f>STATS1003B!P2493/1000</f>
        <v>0</v>
      </c>
      <c r="Q2485" s="85">
        <f>STATS1003B!Q2493/1000</f>
        <v>0</v>
      </c>
      <c r="R2485" s="85">
        <f>STATS1003B!R2493/1000</f>
        <v>0</v>
      </c>
      <c r="S2485" s="85">
        <f>STATS1003B!S2493/1000</f>
        <v>0</v>
      </c>
      <c r="T2485" s="85">
        <f>STATS1003B!T2493/1000</f>
        <v>0</v>
      </c>
      <c r="U2485" s="85">
        <f>STATS1003B!U2493/1000</f>
        <v>0</v>
      </c>
      <c r="V2485" s="85">
        <f>STATS1003B!V2493/1000</f>
        <v>1469.57572</v>
      </c>
      <c r="W2485" s="85">
        <f>STATS1003B!W2493/1000</f>
        <v>0</v>
      </c>
      <c r="X2485" s="85">
        <f t="shared" si="277"/>
        <v>1469.57572</v>
      </c>
      <c r="Y2485" s="85">
        <f>STATS1003B!Y2493/1000</f>
        <v>0</v>
      </c>
      <c r="Z2485" s="85">
        <f>STATS1003B!Z2493/1000</f>
        <v>0</v>
      </c>
      <c r="AA2485" s="69">
        <f>STATS1003B!AA2493/1000</f>
        <v>1469.57572</v>
      </c>
      <c r="AB2485" s="69">
        <f>STATS1003B!AB2493/1000</f>
        <v>0</v>
      </c>
    </row>
    <row r="2486" spans="1:28" hidden="1" x14ac:dyDescent="0.3">
      <c r="A2486" s="117"/>
      <c r="C2486" s="68" t="s">
        <v>57</v>
      </c>
      <c r="D2486" s="91" t="s">
        <v>61</v>
      </c>
      <c r="E2486" s="85">
        <f>STATS1003B!E2494/1000</f>
        <v>996.63350000000003</v>
      </c>
      <c r="F2486" s="85">
        <f>STATS1003B!F2494/1000</f>
        <v>981.14419999999996</v>
      </c>
      <c r="G2486" s="85">
        <f>STATS1003B!G2494/1000</f>
        <v>0</v>
      </c>
      <c r="H2486" s="85">
        <f>STATS1003B!H2494/1000</f>
        <v>981.14419999999996</v>
      </c>
      <c r="I2486" s="85">
        <f>STATS1003B!I2494/1000</f>
        <v>0</v>
      </c>
      <c r="J2486" s="85">
        <f>STATS1003B!J2494/1000</f>
        <v>0</v>
      </c>
      <c r="K2486" s="85">
        <f>STATS1003B!K2494/1000</f>
        <v>0</v>
      </c>
      <c r="L2486" s="85">
        <f>STATS1003B!L2494/1000</f>
        <v>0</v>
      </c>
      <c r="M2486" s="85">
        <f>STATS1003B!M2494/1000</f>
        <v>981.14419999999996</v>
      </c>
      <c r="N2486" s="85">
        <f>STATS1003B!N2494/1000</f>
        <v>0</v>
      </c>
      <c r="O2486" s="85">
        <f>STATS1003B!O2494/1000</f>
        <v>0</v>
      </c>
      <c r="P2486" s="85">
        <f>STATS1003B!P2494/1000</f>
        <v>0</v>
      </c>
      <c r="Q2486" s="85">
        <f>STATS1003B!Q2494/1000</f>
        <v>15.4893</v>
      </c>
      <c r="R2486" s="85">
        <f>STATS1003B!R2494/1000</f>
        <v>0</v>
      </c>
      <c r="S2486" s="85">
        <f>STATS1003B!S2494/1000</f>
        <v>0</v>
      </c>
      <c r="T2486" s="85">
        <f>STATS1003B!T2494/1000</f>
        <v>15.4893</v>
      </c>
      <c r="U2486" s="85">
        <f>STATS1003B!U2494/1000</f>
        <v>15.4893</v>
      </c>
      <c r="V2486" s="85">
        <f>STATS1003B!V2494/1000</f>
        <v>981.14419999999996</v>
      </c>
      <c r="W2486" s="85">
        <f>STATS1003B!W2494/1000</f>
        <v>15.489300000000046</v>
      </c>
      <c r="X2486" s="85">
        <f t="shared" si="277"/>
        <v>981.14419999999996</v>
      </c>
      <c r="Y2486" s="85">
        <f>STATS1003B!Y2494/1000</f>
        <v>0</v>
      </c>
      <c r="Z2486" s="85">
        <f>STATS1003B!Z2494/1000</f>
        <v>15.489300000000046</v>
      </c>
      <c r="AA2486" s="69">
        <f>STATS1003B!AA2494/1000</f>
        <v>996.63350000000003</v>
      </c>
      <c r="AB2486" s="69">
        <f>STATS1003B!AB2494/1000</f>
        <v>0</v>
      </c>
    </row>
    <row r="2487" spans="1:28" hidden="1" x14ac:dyDescent="0.3">
      <c r="A2487" s="117"/>
      <c r="C2487" s="69"/>
      <c r="E2487" s="86" t="s">
        <v>29</v>
      </c>
      <c r="F2487" s="86" t="s">
        <v>29</v>
      </c>
      <c r="G2487" s="86" t="s">
        <v>29</v>
      </c>
      <c r="H2487" s="86" t="s">
        <v>29</v>
      </c>
      <c r="I2487" s="86" t="s">
        <v>29</v>
      </c>
      <c r="J2487" s="86" t="s">
        <v>29</v>
      </c>
      <c r="K2487" s="86" t="s">
        <v>29</v>
      </c>
      <c r="L2487" s="86" t="s">
        <v>29</v>
      </c>
      <c r="M2487" s="86" t="s">
        <v>29</v>
      </c>
      <c r="N2487" s="86" t="s">
        <v>29</v>
      </c>
      <c r="O2487" s="86" t="s">
        <v>29</v>
      </c>
      <c r="P2487" s="86" t="s">
        <v>29</v>
      </c>
      <c r="Q2487" s="86" t="s">
        <v>29</v>
      </c>
      <c r="R2487" s="86" t="s">
        <v>29</v>
      </c>
      <c r="S2487" s="86" t="s">
        <v>29</v>
      </c>
      <c r="T2487" s="86" t="s">
        <v>29</v>
      </c>
      <c r="U2487" s="86" t="s">
        <v>29</v>
      </c>
      <c r="V2487" s="86" t="s">
        <v>29</v>
      </c>
      <c r="W2487" s="86" t="s">
        <v>29</v>
      </c>
      <c r="X2487" s="85" t="e">
        <f t="shared" si="277"/>
        <v>#VALUE!</v>
      </c>
      <c r="Y2487" s="86" t="s">
        <v>29</v>
      </c>
      <c r="Z2487" s="86" t="s">
        <v>29</v>
      </c>
      <c r="AA2487" s="115" t="s">
        <v>29</v>
      </c>
      <c r="AB2487" s="115" t="s">
        <v>29</v>
      </c>
    </row>
    <row r="2488" spans="1:28" x14ac:dyDescent="0.3">
      <c r="A2488" s="116">
        <v>108</v>
      </c>
      <c r="B2488" s="68" t="s">
        <v>396</v>
      </c>
      <c r="E2488" s="85">
        <f>73544095.51/1000</f>
        <v>73544.095509999999</v>
      </c>
      <c r="F2488" s="85">
        <f t="shared" ref="F2488:AB2488" si="278">SUM(F2473:F2486)</f>
        <v>31485.611129999998</v>
      </c>
      <c r="G2488" s="85">
        <f t="shared" si="278"/>
        <v>0</v>
      </c>
      <c r="H2488" s="85">
        <f>72200379.41/1000</f>
        <v>72200.379409999994</v>
      </c>
      <c r="I2488" s="85">
        <f t="shared" si="278"/>
        <v>0</v>
      </c>
      <c r="J2488" s="85">
        <f t="shared" si="278"/>
        <v>0</v>
      </c>
      <c r="K2488" s="85">
        <f t="shared" si="278"/>
        <v>0</v>
      </c>
      <c r="L2488" s="85">
        <f t="shared" si="278"/>
        <v>0</v>
      </c>
      <c r="M2488" s="85">
        <f t="shared" si="278"/>
        <v>31485.611129999998</v>
      </c>
      <c r="N2488" s="85">
        <f t="shared" si="278"/>
        <v>1328.2267999999999</v>
      </c>
      <c r="O2488" s="85">
        <f t="shared" si="278"/>
        <v>0</v>
      </c>
      <c r="P2488" s="85">
        <f>1328226/1000</f>
        <v>1328.2260000000001</v>
      </c>
      <c r="Q2488" s="85">
        <f t="shared" si="278"/>
        <v>15.4893</v>
      </c>
      <c r="R2488" s="85">
        <f t="shared" si="278"/>
        <v>0</v>
      </c>
      <c r="S2488" s="85">
        <f t="shared" si="278"/>
        <v>0</v>
      </c>
      <c r="T2488" s="85">
        <f t="shared" si="278"/>
        <v>15.4893</v>
      </c>
      <c r="U2488" s="85">
        <f t="shared" si="278"/>
        <v>1343.7160999999999</v>
      </c>
      <c r="V2488" s="85">
        <f t="shared" si="278"/>
        <v>32813.837930000002</v>
      </c>
      <c r="W2488" s="85">
        <f t="shared" si="278"/>
        <v>15.489300000000046</v>
      </c>
      <c r="X2488" s="85">
        <f>+H2488+P2488</f>
        <v>73528.605409999989</v>
      </c>
      <c r="Y2488" s="85">
        <f t="shared" si="278"/>
        <v>0</v>
      </c>
      <c r="Z2488" s="85">
        <f t="shared" ref="Z2488:Z2551" si="279">+E2488-X2488</f>
        <v>15.490100000009988</v>
      </c>
      <c r="AA2488" s="69">
        <f t="shared" si="278"/>
        <v>32829.327230000003</v>
      </c>
      <c r="AB2488" s="69">
        <f t="shared" si="278"/>
        <v>0</v>
      </c>
    </row>
    <row r="2489" spans="1:28" hidden="1" x14ac:dyDescent="0.3">
      <c r="A2489" s="117"/>
      <c r="E2489" s="86" t="s">
        <v>29</v>
      </c>
      <c r="F2489" s="86" t="s">
        <v>29</v>
      </c>
      <c r="G2489" s="86" t="s">
        <v>29</v>
      </c>
      <c r="H2489" s="86" t="s">
        <v>29</v>
      </c>
      <c r="I2489" s="86" t="s">
        <v>29</v>
      </c>
      <c r="J2489" s="86" t="s">
        <v>29</v>
      </c>
      <c r="K2489" s="86" t="s">
        <v>29</v>
      </c>
      <c r="L2489" s="86" t="s">
        <v>29</v>
      </c>
      <c r="M2489" s="86" t="s">
        <v>29</v>
      </c>
      <c r="N2489" s="86" t="s">
        <v>29</v>
      </c>
      <c r="O2489" s="86" t="s">
        <v>29</v>
      </c>
      <c r="P2489" s="86" t="s">
        <v>29</v>
      </c>
      <c r="Q2489" s="86" t="s">
        <v>29</v>
      </c>
      <c r="R2489" s="86" t="s">
        <v>29</v>
      </c>
      <c r="S2489" s="86" t="s">
        <v>29</v>
      </c>
      <c r="T2489" s="86" t="s">
        <v>29</v>
      </c>
      <c r="U2489" s="86" t="s">
        <v>29</v>
      </c>
      <c r="V2489" s="86" t="s">
        <v>29</v>
      </c>
      <c r="W2489" s="86" t="s">
        <v>29</v>
      </c>
      <c r="X2489" s="85" t="e">
        <f t="shared" si="277"/>
        <v>#VALUE!</v>
      </c>
      <c r="Y2489" s="86" t="s">
        <v>29</v>
      </c>
      <c r="Z2489" s="85" t="e">
        <f t="shared" si="279"/>
        <v>#VALUE!</v>
      </c>
      <c r="AA2489" s="115" t="s">
        <v>29</v>
      </c>
      <c r="AB2489" s="115" t="s">
        <v>29</v>
      </c>
    </row>
    <row r="2490" spans="1:28" hidden="1" x14ac:dyDescent="0.3">
      <c r="A2490" s="105"/>
      <c r="D2490" s="87" t="s">
        <v>403</v>
      </c>
      <c r="E2490" s="84"/>
      <c r="F2490" s="84"/>
      <c r="G2490" s="84"/>
      <c r="H2490" s="84"/>
      <c r="I2490" s="84"/>
      <c r="J2490" s="84"/>
      <c r="K2490" s="84"/>
      <c r="L2490" s="84"/>
      <c r="M2490" s="84"/>
      <c r="N2490" s="84"/>
      <c r="O2490" s="84"/>
      <c r="P2490" s="84"/>
      <c r="Q2490" s="84"/>
      <c r="R2490" s="84"/>
      <c r="S2490" s="84"/>
      <c r="T2490" s="84"/>
      <c r="U2490" s="84"/>
      <c r="V2490" s="84"/>
      <c r="W2490" s="84"/>
      <c r="X2490" s="85">
        <f t="shared" si="277"/>
        <v>0</v>
      </c>
      <c r="Y2490" s="84"/>
      <c r="Z2490" s="85">
        <f t="shared" si="279"/>
        <v>0</v>
      </c>
    </row>
    <row r="2491" spans="1:28" hidden="1" x14ac:dyDescent="0.3">
      <c r="A2491" s="117"/>
      <c r="C2491" s="68" t="s">
        <v>404</v>
      </c>
      <c r="D2491" s="87" t="s">
        <v>405</v>
      </c>
      <c r="E2491" s="85">
        <f>STATS1003B!E2499/1000</f>
        <v>6446.4445400000004</v>
      </c>
      <c r="F2491" s="85">
        <f>STATS1003B!F2499/1000</f>
        <v>6446.4445400000004</v>
      </c>
      <c r="G2491" s="85">
        <f>STATS1003B!G2499/1000</f>
        <v>0</v>
      </c>
      <c r="H2491" s="85">
        <f>STATS1003B!H2499/1000</f>
        <v>6446.4445400000004</v>
      </c>
      <c r="I2491" s="85">
        <f>STATS1003B!I2499/1000</f>
        <v>0</v>
      </c>
      <c r="J2491" s="85">
        <f>STATS1003B!J2499/1000</f>
        <v>0</v>
      </c>
      <c r="K2491" s="85">
        <f>STATS1003B!K2499/1000</f>
        <v>0</v>
      </c>
      <c r="L2491" s="85">
        <f>STATS1003B!L2499/1000</f>
        <v>0</v>
      </c>
      <c r="M2491" s="85">
        <f>STATS1003B!M2499/1000</f>
        <v>6446.4445400000004</v>
      </c>
      <c r="N2491" s="85">
        <f>STATS1003B!N2499/1000</f>
        <v>0</v>
      </c>
      <c r="O2491" s="85">
        <f>STATS1003B!O2499/1000</f>
        <v>0</v>
      </c>
      <c r="P2491" s="85">
        <f>STATS1003B!P2499/1000</f>
        <v>0</v>
      </c>
      <c r="Q2491" s="85">
        <f>STATS1003B!Q2499/1000</f>
        <v>0</v>
      </c>
      <c r="R2491" s="85">
        <f>STATS1003B!R2499/1000</f>
        <v>0</v>
      </c>
      <c r="S2491" s="85">
        <f>STATS1003B!S2499/1000</f>
        <v>0</v>
      </c>
      <c r="T2491" s="85">
        <f>STATS1003B!T2499/1000</f>
        <v>0</v>
      </c>
      <c r="U2491" s="85">
        <f>STATS1003B!U2499/1000</f>
        <v>0</v>
      </c>
      <c r="V2491" s="85">
        <f>STATS1003B!V2499/1000</f>
        <v>6446.4445400000004</v>
      </c>
      <c r="W2491" s="85">
        <f>STATS1003B!W2499/1000</f>
        <v>0</v>
      </c>
      <c r="X2491" s="85">
        <f t="shared" si="277"/>
        <v>6446.4445400000004</v>
      </c>
      <c r="Y2491" s="85">
        <f>STATS1003B!Y2499/1000</f>
        <v>0</v>
      </c>
      <c r="Z2491" s="85">
        <f t="shared" si="279"/>
        <v>0</v>
      </c>
      <c r="AA2491" s="69">
        <f>STATS1003B!AA2499/1000</f>
        <v>6446.4445400000004</v>
      </c>
      <c r="AB2491" s="69">
        <f>STATS1003B!AB2499/1000</f>
        <v>0</v>
      </c>
    </row>
    <row r="2492" spans="1:28" hidden="1" x14ac:dyDescent="0.3">
      <c r="A2492" s="117"/>
      <c r="C2492" s="68" t="s">
        <v>57</v>
      </c>
      <c r="D2492" s="87" t="s">
        <v>54</v>
      </c>
      <c r="E2492" s="85">
        <f>STATS1003B!E2500/1000</f>
        <v>519.80999999999995</v>
      </c>
      <c r="F2492" s="85">
        <f>STATS1003B!F2500/1000</f>
        <v>519.80999999999995</v>
      </c>
      <c r="G2492" s="85">
        <f>STATS1003B!G2500/1000</f>
        <v>0</v>
      </c>
      <c r="H2492" s="85">
        <f>STATS1003B!H2500/1000</f>
        <v>519.80999999999995</v>
      </c>
      <c r="I2492" s="85">
        <f>STATS1003B!I2500/1000</f>
        <v>0</v>
      </c>
      <c r="J2492" s="85">
        <f>STATS1003B!J2500/1000</f>
        <v>0</v>
      </c>
      <c r="K2492" s="85">
        <f>STATS1003B!K2500/1000</f>
        <v>0</v>
      </c>
      <c r="L2492" s="85">
        <f>STATS1003B!L2500/1000</f>
        <v>0</v>
      </c>
      <c r="M2492" s="85">
        <f>STATS1003B!M2500/1000</f>
        <v>519.80999999999995</v>
      </c>
      <c r="N2492" s="85">
        <f>STATS1003B!N2500/1000</f>
        <v>0</v>
      </c>
      <c r="O2492" s="85">
        <f>STATS1003B!O2500/1000</f>
        <v>0</v>
      </c>
      <c r="P2492" s="85">
        <f>STATS1003B!P2500/1000</f>
        <v>0</v>
      </c>
      <c r="Q2492" s="85">
        <f>STATS1003B!Q2500/1000</f>
        <v>0</v>
      </c>
      <c r="R2492" s="85">
        <f>STATS1003B!R2500/1000</f>
        <v>0</v>
      </c>
      <c r="S2492" s="85">
        <f>STATS1003B!S2500/1000</f>
        <v>0</v>
      </c>
      <c r="T2492" s="85">
        <f>STATS1003B!T2500/1000</f>
        <v>0</v>
      </c>
      <c r="U2492" s="85">
        <f>STATS1003B!U2500/1000</f>
        <v>0</v>
      </c>
      <c r="V2492" s="85">
        <f>STATS1003B!V2500/1000</f>
        <v>519.80999999999995</v>
      </c>
      <c r="W2492" s="85">
        <f>STATS1003B!W2500/1000</f>
        <v>0</v>
      </c>
      <c r="X2492" s="85">
        <f t="shared" si="277"/>
        <v>519.80999999999995</v>
      </c>
      <c r="Y2492" s="85">
        <f>STATS1003B!Y2500/1000</f>
        <v>0</v>
      </c>
      <c r="Z2492" s="85">
        <f t="shared" si="279"/>
        <v>0</v>
      </c>
      <c r="AA2492" s="69">
        <f>STATS1003B!AA2500/1000</f>
        <v>519.80999999999995</v>
      </c>
      <c r="AB2492" s="69">
        <f>STATS1003B!AB2500/1000</f>
        <v>0</v>
      </c>
    </row>
    <row r="2493" spans="1:28" hidden="1" x14ac:dyDescent="0.3">
      <c r="A2493" s="117"/>
      <c r="C2493" s="68" t="s">
        <v>53</v>
      </c>
      <c r="D2493" s="87" t="s">
        <v>85</v>
      </c>
      <c r="E2493" s="85">
        <f>STATS1003B!E2501/1000</f>
        <v>570.94100000000003</v>
      </c>
      <c r="F2493" s="85">
        <f>STATS1003B!F2501/1000</f>
        <v>0</v>
      </c>
      <c r="G2493" s="85">
        <f>STATS1003B!G2501/1000</f>
        <v>0</v>
      </c>
      <c r="H2493" s="85">
        <f>STATS1003B!H2501/1000</f>
        <v>0</v>
      </c>
      <c r="I2493" s="85">
        <f>STATS1003B!I2501/1000</f>
        <v>0</v>
      </c>
      <c r="J2493" s="85">
        <f>STATS1003B!J2501/1000</f>
        <v>0</v>
      </c>
      <c r="K2493" s="85">
        <f>STATS1003B!K2501/1000</f>
        <v>0</v>
      </c>
      <c r="L2493" s="85">
        <f>STATS1003B!L2501/1000</f>
        <v>0</v>
      </c>
      <c r="M2493" s="85">
        <f>STATS1003B!M2501/1000</f>
        <v>0</v>
      </c>
      <c r="N2493" s="85">
        <f>STATS1003B!N2501/1000</f>
        <v>570.94100000000003</v>
      </c>
      <c r="O2493" s="85">
        <f>STATS1003B!O2501/1000</f>
        <v>0</v>
      </c>
      <c r="P2493" s="85">
        <f>STATS1003B!P2501/1000</f>
        <v>570.94100000000003</v>
      </c>
      <c r="Q2493" s="85">
        <f>STATS1003B!Q2501/1000</f>
        <v>0</v>
      </c>
      <c r="R2493" s="85">
        <f>STATS1003B!R2501/1000</f>
        <v>0</v>
      </c>
      <c r="S2493" s="85">
        <f>STATS1003B!S2501/1000</f>
        <v>0</v>
      </c>
      <c r="T2493" s="85">
        <f>STATS1003B!T2501/1000</f>
        <v>0</v>
      </c>
      <c r="U2493" s="85">
        <f>STATS1003B!U2501/1000</f>
        <v>570.94100000000003</v>
      </c>
      <c r="V2493" s="85">
        <f>STATS1003B!V2501/1000</f>
        <v>570.94100000000003</v>
      </c>
      <c r="W2493" s="85">
        <f>STATS1003B!W2501/1000</f>
        <v>0</v>
      </c>
      <c r="X2493" s="85">
        <f t="shared" si="277"/>
        <v>570.94100000000003</v>
      </c>
      <c r="Y2493" s="85">
        <f>STATS1003B!Y2501/1000</f>
        <v>0</v>
      </c>
      <c r="Z2493" s="85">
        <f t="shared" si="279"/>
        <v>0</v>
      </c>
      <c r="AA2493" s="69">
        <f>STATS1003B!AA2501/1000</f>
        <v>570.94100000000003</v>
      </c>
      <c r="AB2493" s="69">
        <f>STATS1003B!AB2501/1000</f>
        <v>0</v>
      </c>
    </row>
    <row r="2494" spans="1:28" hidden="1" x14ac:dyDescent="0.3">
      <c r="A2494" s="117"/>
      <c r="C2494" s="68" t="s">
        <v>57</v>
      </c>
      <c r="D2494" s="87" t="s">
        <v>60</v>
      </c>
      <c r="E2494" s="85">
        <f>STATS1003B!E2502/1000</f>
        <v>544.58500000000004</v>
      </c>
      <c r="F2494" s="85">
        <f>STATS1003B!F2502/1000</f>
        <v>544.58500000000004</v>
      </c>
      <c r="G2494" s="85">
        <f>STATS1003B!G2502/1000</f>
        <v>0</v>
      </c>
      <c r="H2494" s="85">
        <f>STATS1003B!H2502/1000</f>
        <v>544.58500000000004</v>
      </c>
      <c r="I2494" s="85">
        <f>STATS1003B!I2502/1000</f>
        <v>0</v>
      </c>
      <c r="J2494" s="85">
        <f>STATS1003B!J2502/1000</f>
        <v>0</v>
      </c>
      <c r="K2494" s="85">
        <f>STATS1003B!K2502/1000</f>
        <v>0</v>
      </c>
      <c r="L2494" s="85">
        <f>STATS1003B!L2502/1000</f>
        <v>0</v>
      </c>
      <c r="M2494" s="85">
        <f>STATS1003B!M2502/1000</f>
        <v>544.58500000000004</v>
      </c>
      <c r="N2494" s="85">
        <f>STATS1003B!N2502/1000</f>
        <v>0</v>
      </c>
      <c r="O2494" s="85">
        <f>STATS1003B!O2502/1000</f>
        <v>0</v>
      </c>
      <c r="P2494" s="85">
        <f>STATS1003B!P2502/1000</f>
        <v>0</v>
      </c>
      <c r="Q2494" s="85">
        <f>STATS1003B!Q2502/1000</f>
        <v>0</v>
      </c>
      <c r="R2494" s="85">
        <f>STATS1003B!R2502/1000</f>
        <v>0</v>
      </c>
      <c r="S2494" s="85">
        <f>STATS1003B!S2502/1000</f>
        <v>0</v>
      </c>
      <c r="T2494" s="85">
        <f>STATS1003B!T2502/1000</f>
        <v>0</v>
      </c>
      <c r="U2494" s="85">
        <f>STATS1003B!U2502/1000</f>
        <v>0</v>
      </c>
      <c r="V2494" s="85">
        <f>STATS1003B!V2502/1000</f>
        <v>544.58500000000004</v>
      </c>
      <c r="W2494" s="85">
        <f>STATS1003B!W2502/1000</f>
        <v>0</v>
      </c>
      <c r="X2494" s="85">
        <f t="shared" si="277"/>
        <v>544.58500000000004</v>
      </c>
      <c r="Y2494" s="85">
        <f>STATS1003B!Y2502/1000</f>
        <v>0</v>
      </c>
      <c r="Z2494" s="85">
        <f t="shared" si="279"/>
        <v>0</v>
      </c>
      <c r="AA2494" s="69">
        <f>STATS1003B!AA2502/1000</f>
        <v>544.58500000000004</v>
      </c>
      <c r="AB2494" s="69">
        <f>STATS1003B!AB2502/1000</f>
        <v>0</v>
      </c>
    </row>
    <row r="2495" spans="1:28" hidden="1" x14ac:dyDescent="0.3">
      <c r="A2495" s="117"/>
      <c r="C2495" s="68" t="s">
        <v>57</v>
      </c>
      <c r="D2495" s="87" t="s">
        <v>73</v>
      </c>
      <c r="E2495" s="85">
        <f>STATS1003B!E2503/1000</f>
        <v>1187.5784199999998</v>
      </c>
      <c r="F2495" s="85">
        <f>STATS1003B!F2503/1000</f>
        <v>1187.5784199999998</v>
      </c>
      <c r="G2495" s="85">
        <f>STATS1003B!G2503/1000</f>
        <v>0</v>
      </c>
      <c r="H2495" s="85">
        <f>STATS1003B!H2503/1000</f>
        <v>1187.5784199999998</v>
      </c>
      <c r="I2495" s="85">
        <f>STATS1003B!I2503/1000</f>
        <v>0</v>
      </c>
      <c r="J2495" s="85">
        <f>STATS1003B!J2503/1000</f>
        <v>0</v>
      </c>
      <c r="K2495" s="85">
        <f>STATS1003B!K2503/1000</f>
        <v>0</v>
      </c>
      <c r="L2495" s="85">
        <f>STATS1003B!L2503/1000</f>
        <v>0</v>
      </c>
      <c r="M2495" s="85">
        <f>STATS1003B!M2503/1000</f>
        <v>1187.5784199999998</v>
      </c>
      <c r="N2495" s="85">
        <f>STATS1003B!N2503/1000</f>
        <v>0</v>
      </c>
      <c r="O2495" s="85">
        <f>STATS1003B!O2503/1000</f>
        <v>0</v>
      </c>
      <c r="P2495" s="85">
        <f>STATS1003B!P2503/1000</f>
        <v>0</v>
      </c>
      <c r="Q2495" s="85">
        <f>STATS1003B!Q2503/1000</f>
        <v>0</v>
      </c>
      <c r="R2495" s="85">
        <f>STATS1003B!R2503/1000</f>
        <v>0</v>
      </c>
      <c r="S2495" s="85">
        <f>STATS1003B!S2503/1000</f>
        <v>0</v>
      </c>
      <c r="T2495" s="85">
        <f>STATS1003B!T2503/1000</f>
        <v>0</v>
      </c>
      <c r="U2495" s="85">
        <f>STATS1003B!U2503/1000</f>
        <v>0</v>
      </c>
      <c r="V2495" s="85">
        <f>STATS1003B!V2503/1000</f>
        <v>1187.5784199999998</v>
      </c>
      <c r="W2495" s="85">
        <f>STATS1003B!W2503/1000</f>
        <v>0</v>
      </c>
      <c r="X2495" s="85">
        <f t="shared" si="277"/>
        <v>1187.5784199999998</v>
      </c>
      <c r="Y2495" s="85">
        <f>STATS1003B!Y2503/1000</f>
        <v>0</v>
      </c>
      <c r="Z2495" s="85">
        <f t="shared" si="279"/>
        <v>0</v>
      </c>
      <c r="AA2495" s="69">
        <f>STATS1003B!AA2503/1000</f>
        <v>1187.5784199999998</v>
      </c>
      <c r="AB2495" s="69">
        <f>STATS1003B!AB2503/1000</f>
        <v>0</v>
      </c>
    </row>
    <row r="2496" spans="1:28" hidden="1" x14ac:dyDescent="0.3">
      <c r="A2496" s="117"/>
      <c r="C2496" s="68" t="s">
        <v>406</v>
      </c>
      <c r="D2496" s="68" t="s">
        <v>71</v>
      </c>
      <c r="E2496" s="85">
        <f>STATS1003B!E2504/1000</f>
        <v>1243</v>
      </c>
      <c r="F2496" s="85">
        <f>STATS1003B!F2504/1000</f>
        <v>1243</v>
      </c>
      <c r="G2496" s="85">
        <f>STATS1003B!G2504/1000</f>
        <v>0</v>
      </c>
      <c r="H2496" s="85">
        <f>STATS1003B!H2504/1000</f>
        <v>1243</v>
      </c>
      <c r="I2496" s="85">
        <f>STATS1003B!I2504/1000</f>
        <v>0</v>
      </c>
      <c r="J2496" s="85">
        <f>STATS1003B!J2504/1000</f>
        <v>0</v>
      </c>
      <c r="K2496" s="85">
        <f>STATS1003B!K2504/1000</f>
        <v>0</v>
      </c>
      <c r="L2496" s="85">
        <f>STATS1003B!L2504/1000</f>
        <v>0</v>
      </c>
      <c r="M2496" s="85">
        <f>STATS1003B!M2504/1000</f>
        <v>1243</v>
      </c>
      <c r="N2496" s="85">
        <f>STATS1003B!N2504/1000</f>
        <v>0</v>
      </c>
      <c r="O2496" s="85">
        <f>STATS1003B!O2504/1000</f>
        <v>0</v>
      </c>
      <c r="P2496" s="85">
        <f>STATS1003B!P2504/1000</f>
        <v>0</v>
      </c>
      <c r="Q2496" s="85">
        <f>STATS1003B!Q2504/1000</f>
        <v>0</v>
      </c>
      <c r="R2496" s="85">
        <f>STATS1003B!R2504/1000</f>
        <v>0</v>
      </c>
      <c r="S2496" s="85">
        <f>STATS1003B!S2504/1000</f>
        <v>0</v>
      </c>
      <c r="T2496" s="85">
        <f>STATS1003B!T2504/1000</f>
        <v>0</v>
      </c>
      <c r="U2496" s="85">
        <f>STATS1003B!U2504/1000</f>
        <v>0</v>
      </c>
      <c r="V2496" s="85">
        <f>STATS1003B!V2504/1000</f>
        <v>1243</v>
      </c>
      <c r="W2496" s="85">
        <f>STATS1003B!W2504/1000</f>
        <v>0</v>
      </c>
      <c r="X2496" s="85">
        <f t="shared" si="277"/>
        <v>1243</v>
      </c>
      <c r="Y2496" s="85">
        <f>STATS1003B!Y2504/1000</f>
        <v>0</v>
      </c>
      <c r="Z2496" s="85">
        <f t="shared" si="279"/>
        <v>0</v>
      </c>
      <c r="AA2496" s="69">
        <f>STATS1003B!AA2504/1000</f>
        <v>1243</v>
      </c>
      <c r="AB2496" s="69">
        <f>STATS1003B!AB2504/1000</f>
        <v>0</v>
      </c>
    </row>
    <row r="2497" spans="1:28" hidden="1" x14ac:dyDescent="0.3">
      <c r="A2497" s="117"/>
      <c r="C2497" s="68" t="s">
        <v>57</v>
      </c>
      <c r="D2497" s="90" t="s">
        <v>61</v>
      </c>
      <c r="E2497" s="85">
        <f>STATS1003B!E2505/1000</f>
        <v>1543.53226</v>
      </c>
      <c r="F2497" s="85">
        <f>STATS1003B!F2505/1000</f>
        <v>1543.53226</v>
      </c>
      <c r="G2497" s="85">
        <f>STATS1003B!G2505/1000</f>
        <v>0</v>
      </c>
      <c r="H2497" s="85">
        <f>STATS1003B!H2505/1000</f>
        <v>1543.53226</v>
      </c>
      <c r="I2497" s="85">
        <f>STATS1003B!I2505/1000</f>
        <v>0</v>
      </c>
      <c r="J2497" s="85">
        <f>STATS1003B!J2505/1000</f>
        <v>0</v>
      </c>
      <c r="K2497" s="85">
        <f>STATS1003B!K2505/1000</f>
        <v>0</v>
      </c>
      <c r="L2497" s="85">
        <f>STATS1003B!L2505/1000</f>
        <v>0</v>
      </c>
      <c r="M2497" s="85">
        <f>STATS1003B!M2505/1000</f>
        <v>1543.53226</v>
      </c>
      <c r="N2497" s="85">
        <f>STATS1003B!N2505/1000</f>
        <v>0</v>
      </c>
      <c r="O2497" s="85">
        <f>STATS1003B!O2505/1000</f>
        <v>0</v>
      </c>
      <c r="P2497" s="85">
        <f>STATS1003B!P2505/1000</f>
        <v>0</v>
      </c>
      <c r="Q2497" s="85">
        <f>STATS1003B!Q2505/1000</f>
        <v>0</v>
      </c>
      <c r="R2497" s="85">
        <f>STATS1003B!R2505/1000</f>
        <v>0</v>
      </c>
      <c r="S2497" s="85">
        <f>STATS1003B!S2505/1000</f>
        <v>0</v>
      </c>
      <c r="T2497" s="85">
        <f>STATS1003B!T2505/1000</f>
        <v>0</v>
      </c>
      <c r="U2497" s="85">
        <f>STATS1003B!U2505/1000</f>
        <v>0</v>
      </c>
      <c r="V2497" s="85">
        <f>STATS1003B!V2505/1000</f>
        <v>1543.53226</v>
      </c>
      <c r="W2497" s="85">
        <f>STATS1003B!W2505/1000</f>
        <v>0</v>
      </c>
      <c r="X2497" s="85">
        <f t="shared" si="277"/>
        <v>1543.53226</v>
      </c>
      <c r="Y2497" s="85">
        <f>STATS1003B!Y2505/1000</f>
        <v>0</v>
      </c>
      <c r="Z2497" s="85">
        <f t="shared" si="279"/>
        <v>0</v>
      </c>
      <c r="AA2497" s="69">
        <f>STATS1003B!AA2505/1000</f>
        <v>1543.53226</v>
      </c>
      <c r="AB2497" s="69">
        <f>STATS1003B!AB2505/1000</f>
        <v>0</v>
      </c>
    </row>
    <row r="2498" spans="1:28" hidden="1" x14ac:dyDescent="0.3">
      <c r="A2498" s="117"/>
      <c r="E2498" s="86" t="s">
        <v>29</v>
      </c>
      <c r="F2498" s="86" t="s">
        <v>29</v>
      </c>
      <c r="G2498" s="86" t="s">
        <v>29</v>
      </c>
      <c r="H2498" s="86" t="s">
        <v>29</v>
      </c>
      <c r="I2498" s="86" t="s">
        <v>29</v>
      </c>
      <c r="J2498" s="86" t="s">
        <v>29</v>
      </c>
      <c r="K2498" s="86" t="s">
        <v>29</v>
      </c>
      <c r="L2498" s="86" t="s">
        <v>29</v>
      </c>
      <c r="M2498" s="86" t="s">
        <v>29</v>
      </c>
      <c r="N2498" s="86" t="s">
        <v>29</v>
      </c>
      <c r="O2498" s="86" t="s">
        <v>29</v>
      </c>
      <c r="P2498" s="86" t="s">
        <v>29</v>
      </c>
      <c r="Q2498" s="86" t="s">
        <v>29</v>
      </c>
      <c r="R2498" s="86" t="s">
        <v>29</v>
      </c>
      <c r="S2498" s="86" t="s">
        <v>29</v>
      </c>
      <c r="T2498" s="86" t="s">
        <v>29</v>
      </c>
      <c r="U2498" s="86" t="s">
        <v>29</v>
      </c>
      <c r="V2498" s="86" t="s">
        <v>29</v>
      </c>
      <c r="W2498" s="86" t="s">
        <v>29</v>
      </c>
      <c r="X2498" s="85" t="e">
        <f t="shared" si="277"/>
        <v>#VALUE!</v>
      </c>
      <c r="Y2498" s="86" t="s">
        <v>29</v>
      </c>
      <c r="Z2498" s="85" t="e">
        <f t="shared" si="279"/>
        <v>#VALUE!</v>
      </c>
      <c r="AA2498" s="115" t="s">
        <v>29</v>
      </c>
      <c r="AB2498" s="115" t="s">
        <v>29</v>
      </c>
    </row>
    <row r="2499" spans="1:28" x14ac:dyDescent="0.3">
      <c r="A2499" s="116">
        <v>109</v>
      </c>
      <c r="B2499" s="68" t="s">
        <v>402</v>
      </c>
      <c r="E2499" s="85">
        <f>24202489.3/1000</f>
        <v>24202.489300000001</v>
      </c>
      <c r="F2499" s="85">
        <f t="shared" ref="F2499:AB2499" si="280">SUM(F2491:F2497)</f>
        <v>11484.950219999999</v>
      </c>
      <c r="G2499" s="85">
        <f t="shared" si="280"/>
        <v>0</v>
      </c>
      <c r="H2499" s="85">
        <f>23631548.3/1000</f>
        <v>23631.548300000002</v>
      </c>
      <c r="I2499" s="85">
        <f t="shared" si="280"/>
        <v>0</v>
      </c>
      <c r="J2499" s="85">
        <f t="shared" si="280"/>
        <v>0</v>
      </c>
      <c r="K2499" s="85">
        <f t="shared" si="280"/>
        <v>0</v>
      </c>
      <c r="L2499" s="85">
        <f t="shared" si="280"/>
        <v>0</v>
      </c>
      <c r="M2499" s="85">
        <f t="shared" si="280"/>
        <v>11484.950219999999</v>
      </c>
      <c r="N2499" s="85">
        <f t="shared" si="280"/>
        <v>570.94100000000003</v>
      </c>
      <c r="O2499" s="85">
        <f t="shared" si="280"/>
        <v>0</v>
      </c>
      <c r="P2499" s="85">
        <f>570941/1000</f>
        <v>570.94100000000003</v>
      </c>
      <c r="Q2499" s="85">
        <f t="shared" si="280"/>
        <v>0</v>
      </c>
      <c r="R2499" s="85">
        <f t="shared" si="280"/>
        <v>0</v>
      </c>
      <c r="S2499" s="85">
        <f t="shared" si="280"/>
        <v>0</v>
      </c>
      <c r="T2499" s="85">
        <f t="shared" si="280"/>
        <v>0</v>
      </c>
      <c r="U2499" s="85">
        <f t="shared" si="280"/>
        <v>570.94100000000003</v>
      </c>
      <c r="V2499" s="85">
        <f t="shared" si="280"/>
        <v>12055.89122</v>
      </c>
      <c r="W2499" s="85">
        <f t="shared" si="280"/>
        <v>0</v>
      </c>
      <c r="X2499" s="85">
        <f>+H2499+P2499</f>
        <v>24202.489300000001</v>
      </c>
      <c r="Y2499" s="85">
        <f t="shared" si="280"/>
        <v>0</v>
      </c>
      <c r="Z2499" s="85">
        <f t="shared" si="279"/>
        <v>0</v>
      </c>
      <c r="AA2499" s="69">
        <f t="shared" si="280"/>
        <v>12055.89122</v>
      </c>
      <c r="AB2499" s="69">
        <f t="shared" si="280"/>
        <v>0</v>
      </c>
    </row>
    <row r="2500" spans="1:28" hidden="1" x14ac:dyDescent="0.3">
      <c r="A2500" s="117"/>
      <c r="E2500" s="86" t="s">
        <v>29</v>
      </c>
      <c r="F2500" s="86" t="s">
        <v>29</v>
      </c>
      <c r="G2500" s="86" t="s">
        <v>29</v>
      </c>
      <c r="H2500" s="86" t="s">
        <v>29</v>
      </c>
      <c r="I2500" s="86" t="s">
        <v>29</v>
      </c>
      <c r="J2500" s="86" t="s">
        <v>29</v>
      </c>
      <c r="K2500" s="86" t="s">
        <v>29</v>
      </c>
      <c r="L2500" s="86" t="s">
        <v>29</v>
      </c>
      <c r="M2500" s="86" t="s">
        <v>29</v>
      </c>
      <c r="N2500" s="86" t="s">
        <v>29</v>
      </c>
      <c r="O2500" s="86" t="s">
        <v>29</v>
      </c>
      <c r="P2500" s="86" t="s">
        <v>29</v>
      </c>
      <c r="Q2500" s="86" t="s">
        <v>29</v>
      </c>
      <c r="R2500" s="86" t="s">
        <v>29</v>
      </c>
      <c r="S2500" s="86" t="s">
        <v>29</v>
      </c>
      <c r="T2500" s="86" t="s">
        <v>29</v>
      </c>
      <c r="U2500" s="86" t="s">
        <v>29</v>
      </c>
      <c r="V2500" s="86" t="s">
        <v>29</v>
      </c>
      <c r="W2500" s="86" t="s">
        <v>29</v>
      </c>
      <c r="X2500" s="85" t="e">
        <f t="shared" si="277"/>
        <v>#VALUE!</v>
      </c>
      <c r="Y2500" s="86" t="s">
        <v>29</v>
      </c>
      <c r="Z2500" s="85" t="e">
        <f t="shared" si="279"/>
        <v>#VALUE!</v>
      </c>
      <c r="AA2500" s="115" t="s">
        <v>29</v>
      </c>
      <c r="AB2500" s="115" t="s">
        <v>29</v>
      </c>
    </row>
    <row r="2501" spans="1:28" hidden="1" x14ac:dyDescent="0.3">
      <c r="A2501" s="105"/>
      <c r="E2501" s="84"/>
      <c r="F2501" s="84"/>
      <c r="G2501" s="84"/>
      <c r="H2501" s="84"/>
      <c r="I2501" s="84"/>
      <c r="J2501" s="84"/>
      <c r="K2501" s="84"/>
      <c r="L2501" s="84"/>
      <c r="M2501" s="84"/>
      <c r="N2501" s="84"/>
      <c r="O2501" s="84"/>
      <c r="P2501" s="84"/>
      <c r="Q2501" s="84"/>
      <c r="R2501" s="84"/>
      <c r="S2501" s="84"/>
      <c r="T2501" s="84"/>
      <c r="U2501" s="84"/>
      <c r="V2501" s="84"/>
      <c r="W2501" s="84"/>
      <c r="X2501" s="85">
        <f t="shared" si="277"/>
        <v>0</v>
      </c>
      <c r="Y2501" s="84"/>
      <c r="Z2501" s="85">
        <f t="shared" si="279"/>
        <v>0</v>
      </c>
    </row>
    <row r="2502" spans="1:28" hidden="1" x14ac:dyDescent="0.3">
      <c r="A2502" s="117"/>
      <c r="C2502" s="68" t="s">
        <v>397</v>
      </c>
      <c r="D2502" s="87" t="s">
        <v>408</v>
      </c>
      <c r="E2502" s="85">
        <f>STATS1003B!E2510/1000</f>
        <v>4674.9766500000005</v>
      </c>
      <c r="F2502" s="85">
        <f>STATS1003B!F2510/1000</f>
        <v>4674.9766500000005</v>
      </c>
      <c r="G2502" s="85">
        <f>STATS1003B!G2510/1000</f>
        <v>0</v>
      </c>
      <c r="H2502" s="85">
        <f>STATS1003B!H2510/1000</f>
        <v>4674.9766500000005</v>
      </c>
      <c r="I2502" s="85">
        <f>STATS1003B!I2510/1000</f>
        <v>0</v>
      </c>
      <c r="J2502" s="85">
        <f>STATS1003B!J2510/1000</f>
        <v>0</v>
      </c>
      <c r="K2502" s="85">
        <f>STATS1003B!K2510/1000</f>
        <v>0</v>
      </c>
      <c r="L2502" s="85">
        <f>STATS1003B!L2510/1000</f>
        <v>0</v>
      </c>
      <c r="M2502" s="85">
        <f>STATS1003B!M2510/1000</f>
        <v>4674.9766500000005</v>
      </c>
      <c r="N2502" s="85">
        <f>STATS1003B!N2510/1000</f>
        <v>0</v>
      </c>
      <c r="O2502" s="85">
        <f>STATS1003B!O2510/1000</f>
        <v>0</v>
      </c>
      <c r="P2502" s="85">
        <f>STATS1003B!P2510/1000</f>
        <v>0</v>
      </c>
      <c r="Q2502" s="85">
        <f>STATS1003B!Q2510/1000</f>
        <v>0</v>
      </c>
      <c r="R2502" s="85">
        <f>STATS1003B!R2510/1000</f>
        <v>0</v>
      </c>
      <c r="S2502" s="85">
        <f>STATS1003B!S2510/1000</f>
        <v>0</v>
      </c>
      <c r="T2502" s="85">
        <f>STATS1003B!T2510/1000</f>
        <v>0</v>
      </c>
      <c r="U2502" s="85">
        <f>STATS1003B!U2510/1000</f>
        <v>0</v>
      </c>
      <c r="V2502" s="85">
        <f>STATS1003B!V2510/1000</f>
        <v>4674.9766500000005</v>
      </c>
      <c r="W2502" s="85">
        <f>STATS1003B!W2510/1000</f>
        <v>0</v>
      </c>
      <c r="X2502" s="85">
        <f t="shared" si="277"/>
        <v>4674.9766500000005</v>
      </c>
      <c r="Y2502" s="85">
        <f>STATS1003B!Y2510/1000</f>
        <v>0</v>
      </c>
      <c r="Z2502" s="85">
        <f t="shared" si="279"/>
        <v>0</v>
      </c>
      <c r="AA2502" s="69">
        <f>STATS1003B!AA2510/1000</f>
        <v>4674.9766500000005</v>
      </c>
      <c r="AB2502" s="69">
        <f>STATS1003B!AB2510/1000</f>
        <v>0</v>
      </c>
    </row>
    <row r="2503" spans="1:28" hidden="1" x14ac:dyDescent="0.3">
      <c r="A2503" s="117"/>
      <c r="C2503" s="68" t="s">
        <v>57</v>
      </c>
      <c r="D2503" s="87" t="s">
        <v>68</v>
      </c>
      <c r="E2503" s="85">
        <f>STATS1003B!E2511/1000</f>
        <v>1943.3792599999999</v>
      </c>
      <c r="F2503" s="85">
        <f>STATS1003B!F2511/1000</f>
        <v>905.74133999999992</v>
      </c>
      <c r="G2503" s="85">
        <f>STATS1003B!G2511/1000</f>
        <v>0</v>
      </c>
      <c r="H2503" s="85">
        <f>STATS1003B!H2511/1000</f>
        <v>905.74133999999992</v>
      </c>
      <c r="I2503" s="85">
        <f>STATS1003B!I2511/1000</f>
        <v>0</v>
      </c>
      <c r="J2503" s="85">
        <f>STATS1003B!J2511/1000</f>
        <v>0</v>
      </c>
      <c r="K2503" s="85">
        <f>STATS1003B!K2511/1000</f>
        <v>0</v>
      </c>
      <c r="L2503" s="85">
        <f>STATS1003B!L2511/1000</f>
        <v>0</v>
      </c>
      <c r="M2503" s="85">
        <f>STATS1003B!M2511/1000</f>
        <v>905.74133999999992</v>
      </c>
      <c r="N2503" s="85">
        <f>STATS1003B!N2511/1000</f>
        <v>1037.6379200000001</v>
      </c>
      <c r="O2503" s="85">
        <f>STATS1003B!O2511/1000</f>
        <v>0</v>
      </c>
      <c r="P2503" s="85">
        <f>STATS1003B!P2511/1000</f>
        <v>1037.6379200000001</v>
      </c>
      <c r="Q2503" s="85">
        <f>STATS1003B!Q2511/1000</f>
        <v>0</v>
      </c>
      <c r="R2503" s="85">
        <f>STATS1003B!R2511/1000</f>
        <v>0</v>
      </c>
      <c r="S2503" s="85">
        <f>STATS1003B!S2511/1000</f>
        <v>0</v>
      </c>
      <c r="T2503" s="85">
        <f>STATS1003B!T2511/1000</f>
        <v>0</v>
      </c>
      <c r="U2503" s="85">
        <f>STATS1003B!U2511/1000</f>
        <v>1037.6379200000001</v>
      </c>
      <c r="V2503" s="85">
        <f>STATS1003B!V2511/1000</f>
        <v>1943.3792599999999</v>
      </c>
      <c r="W2503" s="85">
        <f>STATS1003B!W2511/1000</f>
        <v>0</v>
      </c>
      <c r="X2503" s="85">
        <f t="shared" si="277"/>
        <v>1943.3792600000002</v>
      </c>
      <c r="Y2503" s="85">
        <f>STATS1003B!Y2511/1000</f>
        <v>0</v>
      </c>
      <c r="Z2503" s="85">
        <f t="shared" si="279"/>
        <v>0</v>
      </c>
      <c r="AA2503" s="69">
        <f>STATS1003B!AA2511/1000</f>
        <v>1943.3792599999999</v>
      </c>
      <c r="AB2503" s="69">
        <f>STATS1003B!AB2511/1000</f>
        <v>0</v>
      </c>
    </row>
    <row r="2504" spans="1:28" hidden="1" x14ac:dyDescent="0.3">
      <c r="A2504" s="117"/>
      <c r="C2504" s="68" t="s">
        <v>57</v>
      </c>
      <c r="D2504" s="87" t="s">
        <v>85</v>
      </c>
      <c r="E2504" s="85">
        <f>STATS1003B!E2512/1000</f>
        <v>920.7</v>
      </c>
      <c r="F2504" s="85">
        <f>STATS1003B!F2512/1000</f>
        <v>920.7</v>
      </c>
      <c r="G2504" s="85">
        <f>STATS1003B!G2512/1000</f>
        <v>0</v>
      </c>
      <c r="H2504" s="85">
        <f>STATS1003B!H2512/1000</f>
        <v>920.7</v>
      </c>
      <c r="I2504" s="85">
        <f>STATS1003B!I2512/1000</f>
        <v>0</v>
      </c>
      <c r="J2504" s="85">
        <f>STATS1003B!J2512/1000</f>
        <v>0</v>
      </c>
      <c r="K2504" s="85">
        <f>STATS1003B!K2512/1000</f>
        <v>0</v>
      </c>
      <c r="L2504" s="85">
        <f>STATS1003B!L2512/1000</f>
        <v>0</v>
      </c>
      <c r="M2504" s="85">
        <f>STATS1003B!M2512/1000</f>
        <v>920.7</v>
      </c>
      <c r="N2504" s="85">
        <f>STATS1003B!N2512/1000</f>
        <v>0</v>
      </c>
      <c r="O2504" s="85">
        <f>STATS1003B!O2512/1000</f>
        <v>0</v>
      </c>
      <c r="P2504" s="85">
        <f>STATS1003B!P2512/1000</f>
        <v>0</v>
      </c>
      <c r="Q2504" s="85">
        <f>STATS1003B!Q2512/1000</f>
        <v>0</v>
      </c>
      <c r="R2504" s="85">
        <f>STATS1003B!R2512/1000</f>
        <v>0</v>
      </c>
      <c r="S2504" s="85">
        <f>STATS1003B!S2512/1000</f>
        <v>0</v>
      </c>
      <c r="T2504" s="85">
        <f>STATS1003B!T2512/1000</f>
        <v>0</v>
      </c>
      <c r="U2504" s="85">
        <f>STATS1003B!U2512/1000</f>
        <v>0</v>
      </c>
      <c r="V2504" s="85">
        <f>STATS1003B!V2512/1000</f>
        <v>920.7</v>
      </c>
      <c r="W2504" s="85">
        <f>STATS1003B!W2512/1000</f>
        <v>0</v>
      </c>
      <c r="X2504" s="85">
        <f t="shared" si="277"/>
        <v>920.7</v>
      </c>
      <c r="Y2504" s="85">
        <f>STATS1003B!Y2512/1000</f>
        <v>0</v>
      </c>
      <c r="Z2504" s="85">
        <f t="shared" si="279"/>
        <v>0</v>
      </c>
      <c r="AA2504" s="69">
        <f>STATS1003B!AA2512/1000</f>
        <v>920.7</v>
      </c>
      <c r="AB2504" s="69">
        <f>STATS1003B!AB2512/1000</f>
        <v>0</v>
      </c>
    </row>
    <row r="2505" spans="1:28" hidden="1" x14ac:dyDescent="0.3">
      <c r="A2505" s="117"/>
      <c r="C2505" s="68" t="s">
        <v>53</v>
      </c>
      <c r="D2505" s="87" t="s">
        <v>128</v>
      </c>
      <c r="E2505" s="85">
        <f>STATS1003B!E2513/1000</f>
        <v>570.94100000000003</v>
      </c>
      <c r="F2505" s="85">
        <f>STATS1003B!F2513/1000</f>
        <v>0</v>
      </c>
      <c r="G2505" s="85">
        <f>STATS1003B!G2513/1000</f>
        <v>0</v>
      </c>
      <c r="H2505" s="85">
        <f>STATS1003B!H2513/1000</f>
        <v>0</v>
      </c>
      <c r="I2505" s="85">
        <f>STATS1003B!I2513/1000</f>
        <v>0</v>
      </c>
      <c r="J2505" s="85">
        <f>STATS1003B!J2513/1000</f>
        <v>0</v>
      </c>
      <c r="K2505" s="85">
        <f>STATS1003B!K2513/1000</f>
        <v>0</v>
      </c>
      <c r="L2505" s="85">
        <f>STATS1003B!L2513/1000</f>
        <v>0</v>
      </c>
      <c r="M2505" s="85">
        <f>STATS1003B!M2513/1000</f>
        <v>0</v>
      </c>
      <c r="N2505" s="85">
        <f>STATS1003B!N2513/1000</f>
        <v>570.94100000000003</v>
      </c>
      <c r="O2505" s="85">
        <f>STATS1003B!O2513/1000</f>
        <v>0</v>
      </c>
      <c r="P2505" s="85">
        <f>STATS1003B!P2513/1000</f>
        <v>570.94100000000003</v>
      </c>
      <c r="Q2505" s="85">
        <f>STATS1003B!Q2513/1000</f>
        <v>0</v>
      </c>
      <c r="R2505" s="85">
        <f>STATS1003B!R2513/1000</f>
        <v>0</v>
      </c>
      <c r="S2505" s="85">
        <f>STATS1003B!S2513/1000</f>
        <v>0</v>
      </c>
      <c r="T2505" s="85">
        <f>STATS1003B!T2513/1000</f>
        <v>0</v>
      </c>
      <c r="U2505" s="85">
        <f>STATS1003B!U2513/1000</f>
        <v>570.94100000000003</v>
      </c>
      <c r="V2505" s="85">
        <f>STATS1003B!V2513/1000</f>
        <v>570.94100000000003</v>
      </c>
      <c r="W2505" s="85">
        <f>STATS1003B!W2513/1000</f>
        <v>0</v>
      </c>
      <c r="X2505" s="85">
        <f t="shared" si="277"/>
        <v>570.94100000000003</v>
      </c>
      <c r="Y2505" s="85">
        <f>STATS1003B!Y2513/1000</f>
        <v>0</v>
      </c>
      <c r="Z2505" s="85">
        <f t="shared" si="279"/>
        <v>0</v>
      </c>
      <c r="AA2505" s="69">
        <f>STATS1003B!AA2513/1000</f>
        <v>570.94100000000003</v>
      </c>
      <c r="AB2505" s="69">
        <f>STATS1003B!AB2513/1000</f>
        <v>0</v>
      </c>
    </row>
    <row r="2506" spans="1:28" hidden="1" x14ac:dyDescent="0.3">
      <c r="A2506" s="117"/>
      <c r="C2506" s="68" t="s">
        <v>57</v>
      </c>
      <c r="D2506" s="87" t="s">
        <v>108</v>
      </c>
      <c r="E2506" s="85">
        <f>STATS1003B!E2514/1000</f>
        <v>2608</v>
      </c>
      <c r="F2506" s="85">
        <f>STATS1003B!F2514/1000</f>
        <v>2608</v>
      </c>
      <c r="G2506" s="85">
        <f>STATS1003B!G2514/1000</f>
        <v>0</v>
      </c>
      <c r="H2506" s="85">
        <f>STATS1003B!H2514/1000</f>
        <v>2608</v>
      </c>
      <c r="I2506" s="85">
        <f>STATS1003B!I2514/1000</f>
        <v>0</v>
      </c>
      <c r="J2506" s="85">
        <f>STATS1003B!J2514/1000</f>
        <v>0</v>
      </c>
      <c r="K2506" s="85">
        <f>STATS1003B!K2514/1000</f>
        <v>0</v>
      </c>
      <c r="L2506" s="85">
        <f>STATS1003B!L2514/1000</f>
        <v>0</v>
      </c>
      <c r="M2506" s="85">
        <f>STATS1003B!M2514/1000</f>
        <v>2608</v>
      </c>
      <c r="N2506" s="85">
        <f>STATS1003B!N2514/1000</f>
        <v>0</v>
      </c>
      <c r="O2506" s="85">
        <f>STATS1003B!O2514/1000</f>
        <v>0</v>
      </c>
      <c r="P2506" s="85">
        <f>STATS1003B!P2514/1000</f>
        <v>0</v>
      </c>
      <c r="Q2506" s="85">
        <f>STATS1003B!Q2514/1000</f>
        <v>0</v>
      </c>
      <c r="R2506" s="85">
        <f>STATS1003B!R2514/1000</f>
        <v>0</v>
      </c>
      <c r="S2506" s="85">
        <f>STATS1003B!S2514/1000</f>
        <v>0</v>
      </c>
      <c r="T2506" s="85">
        <f>STATS1003B!T2514/1000</f>
        <v>0</v>
      </c>
      <c r="U2506" s="85">
        <f>STATS1003B!U2514/1000</f>
        <v>0</v>
      </c>
      <c r="V2506" s="85">
        <f>STATS1003B!V2514/1000</f>
        <v>2608</v>
      </c>
      <c r="W2506" s="85">
        <f>STATS1003B!W2514/1000</f>
        <v>0</v>
      </c>
      <c r="X2506" s="85">
        <f t="shared" si="277"/>
        <v>2608</v>
      </c>
      <c r="Y2506" s="85">
        <f>STATS1003B!Y2514/1000</f>
        <v>0</v>
      </c>
      <c r="Z2506" s="85">
        <f t="shared" si="279"/>
        <v>0</v>
      </c>
      <c r="AA2506" s="69">
        <f>STATS1003B!AA2514/1000</f>
        <v>2608</v>
      </c>
      <c r="AB2506" s="69">
        <f>STATS1003B!AB2514/1000</f>
        <v>0</v>
      </c>
    </row>
    <row r="2507" spans="1:28" hidden="1" x14ac:dyDescent="0.3">
      <c r="A2507" s="117"/>
      <c r="C2507" s="68" t="s">
        <v>57</v>
      </c>
      <c r="D2507" s="87" t="s">
        <v>60</v>
      </c>
      <c r="E2507" s="85">
        <f>STATS1003B!E2515/1000</f>
        <v>2852.6950000000002</v>
      </c>
      <c r="F2507" s="85">
        <f>STATS1003B!F2515/1000</f>
        <v>2852.6950000000002</v>
      </c>
      <c r="G2507" s="85">
        <f>STATS1003B!G2515/1000</f>
        <v>0</v>
      </c>
      <c r="H2507" s="85">
        <f>STATS1003B!H2515/1000</f>
        <v>2852.6950000000002</v>
      </c>
      <c r="I2507" s="85">
        <f>STATS1003B!I2515/1000</f>
        <v>0</v>
      </c>
      <c r="J2507" s="85">
        <f>STATS1003B!J2515/1000</f>
        <v>0</v>
      </c>
      <c r="K2507" s="85">
        <f>STATS1003B!K2515/1000</f>
        <v>0</v>
      </c>
      <c r="L2507" s="85">
        <f>STATS1003B!L2515/1000</f>
        <v>0</v>
      </c>
      <c r="M2507" s="85">
        <f>STATS1003B!M2515/1000</f>
        <v>2852.6950000000002</v>
      </c>
      <c r="N2507" s="85">
        <f>STATS1003B!N2515/1000</f>
        <v>0</v>
      </c>
      <c r="O2507" s="85">
        <f>STATS1003B!O2515/1000</f>
        <v>0</v>
      </c>
      <c r="P2507" s="85">
        <f>STATS1003B!P2515/1000</f>
        <v>0</v>
      </c>
      <c r="Q2507" s="85">
        <f>STATS1003B!Q2515/1000</f>
        <v>0</v>
      </c>
      <c r="R2507" s="85">
        <f>STATS1003B!R2515/1000</f>
        <v>0</v>
      </c>
      <c r="S2507" s="85">
        <f>STATS1003B!S2515/1000</f>
        <v>0</v>
      </c>
      <c r="T2507" s="85">
        <f>STATS1003B!T2515/1000</f>
        <v>0</v>
      </c>
      <c r="U2507" s="85">
        <f>STATS1003B!U2515/1000</f>
        <v>0</v>
      </c>
      <c r="V2507" s="85">
        <f>STATS1003B!V2515/1000</f>
        <v>2852.6950000000002</v>
      </c>
      <c r="W2507" s="85">
        <f>STATS1003B!W2515/1000</f>
        <v>0</v>
      </c>
      <c r="X2507" s="85">
        <f t="shared" si="277"/>
        <v>2852.6950000000002</v>
      </c>
      <c r="Y2507" s="85">
        <f>STATS1003B!Y2515/1000</f>
        <v>0</v>
      </c>
      <c r="Z2507" s="85">
        <f t="shared" si="279"/>
        <v>0</v>
      </c>
      <c r="AA2507" s="69">
        <f>STATS1003B!AA2515/1000</f>
        <v>2852.6950000000002</v>
      </c>
      <c r="AB2507" s="69">
        <f>STATS1003B!AB2515/1000</f>
        <v>0</v>
      </c>
    </row>
    <row r="2508" spans="1:28" hidden="1" x14ac:dyDescent="0.3">
      <c r="A2508" s="117"/>
      <c r="C2508" s="68" t="s">
        <v>57</v>
      </c>
      <c r="D2508" s="87" t="s">
        <v>73</v>
      </c>
      <c r="E2508" s="85">
        <f>STATS1003B!E2516/1000</f>
        <v>915.15099999999995</v>
      </c>
      <c r="F2508" s="85">
        <f>STATS1003B!F2516/1000</f>
        <v>915.15099999999995</v>
      </c>
      <c r="G2508" s="85">
        <f>STATS1003B!G2516/1000</f>
        <v>0</v>
      </c>
      <c r="H2508" s="85">
        <f>STATS1003B!H2516/1000</f>
        <v>915.15099999999995</v>
      </c>
      <c r="I2508" s="85">
        <f>STATS1003B!I2516/1000</f>
        <v>0</v>
      </c>
      <c r="J2508" s="85">
        <f>STATS1003B!J2516/1000</f>
        <v>0</v>
      </c>
      <c r="K2508" s="85">
        <f>STATS1003B!K2516/1000</f>
        <v>0</v>
      </c>
      <c r="L2508" s="85">
        <f>STATS1003B!L2516/1000</f>
        <v>0</v>
      </c>
      <c r="M2508" s="85">
        <f>STATS1003B!M2516/1000</f>
        <v>915.15099999999995</v>
      </c>
      <c r="N2508" s="85">
        <f>STATS1003B!N2516/1000</f>
        <v>0</v>
      </c>
      <c r="O2508" s="85">
        <f>STATS1003B!O2516/1000</f>
        <v>0</v>
      </c>
      <c r="P2508" s="85">
        <f>STATS1003B!P2516/1000</f>
        <v>0</v>
      </c>
      <c r="Q2508" s="85">
        <f>STATS1003B!Q2516/1000</f>
        <v>0</v>
      </c>
      <c r="R2508" s="85">
        <f>STATS1003B!R2516/1000</f>
        <v>0</v>
      </c>
      <c r="S2508" s="85">
        <f>STATS1003B!S2516/1000</f>
        <v>0</v>
      </c>
      <c r="T2508" s="85">
        <f>STATS1003B!T2516/1000</f>
        <v>0</v>
      </c>
      <c r="U2508" s="85">
        <f>STATS1003B!U2516/1000</f>
        <v>0</v>
      </c>
      <c r="V2508" s="85">
        <f>STATS1003B!V2516/1000</f>
        <v>915.15099999999995</v>
      </c>
      <c r="W2508" s="85">
        <f>STATS1003B!W2516/1000</f>
        <v>0</v>
      </c>
      <c r="X2508" s="85">
        <f t="shared" si="277"/>
        <v>915.15099999999995</v>
      </c>
      <c r="Y2508" s="85">
        <f>STATS1003B!Y2516/1000</f>
        <v>0</v>
      </c>
      <c r="Z2508" s="85">
        <f t="shared" si="279"/>
        <v>0</v>
      </c>
      <c r="AA2508" s="69">
        <f>STATS1003B!AA2516/1000</f>
        <v>915.15099999999995</v>
      </c>
      <c r="AB2508" s="69">
        <f>STATS1003B!AB2516/1000</f>
        <v>0</v>
      </c>
    </row>
    <row r="2509" spans="1:28" hidden="1" x14ac:dyDescent="0.3">
      <c r="A2509" s="117"/>
      <c r="C2509" s="68" t="s">
        <v>57</v>
      </c>
      <c r="D2509" s="90" t="s">
        <v>61</v>
      </c>
      <c r="E2509" s="85">
        <f>STATS1003B!E2517/1000</f>
        <v>362.70800000000003</v>
      </c>
      <c r="F2509" s="85">
        <f>STATS1003B!F2517/1000</f>
        <v>362.70800000000003</v>
      </c>
      <c r="G2509" s="85">
        <f>STATS1003B!G2517/1000</f>
        <v>0</v>
      </c>
      <c r="H2509" s="85">
        <f>STATS1003B!H2517/1000</f>
        <v>362.70800000000003</v>
      </c>
      <c r="I2509" s="85">
        <f>STATS1003B!I2517/1000</f>
        <v>0</v>
      </c>
      <c r="J2509" s="85">
        <f>STATS1003B!J2517/1000</f>
        <v>0</v>
      </c>
      <c r="K2509" s="85">
        <f>STATS1003B!K2517/1000</f>
        <v>0</v>
      </c>
      <c r="L2509" s="85">
        <f>STATS1003B!L2517/1000</f>
        <v>0</v>
      </c>
      <c r="M2509" s="85">
        <f>STATS1003B!M2517/1000</f>
        <v>362.70800000000003</v>
      </c>
      <c r="N2509" s="85">
        <f>STATS1003B!N2517/1000</f>
        <v>0</v>
      </c>
      <c r="O2509" s="85">
        <f>STATS1003B!O2517/1000</f>
        <v>0</v>
      </c>
      <c r="P2509" s="85">
        <f>STATS1003B!P2517/1000</f>
        <v>0</v>
      </c>
      <c r="Q2509" s="85">
        <f>STATS1003B!Q2517/1000</f>
        <v>0</v>
      </c>
      <c r="R2509" s="85">
        <f>STATS1003B!R2517/1000</f>
        <v>0</v>
      </c>
      <c r="S2509" s="85">
        <f>STATS1003B!S2517/1000</f>
        <v>0</v>
      </c>
      <c r="T2509" s="85">
        <f>STATS1003B!T2517/1000</f>
        <v>0</v>
      </c>
      <c r="U2509" s="85">
        <f>STATS1003B!U2517/1000</f>
        <v>0</v>
      </c>
      <c r="V2509" s="85">
        <f>STATS1003B!V2517/1000</f>
        <v>362.70800000000003</v>
      </c>
      <c r="W2509" s="85">
        <f>STATS1003B!W2517/1000</f>
        <v>0</v>
      </c>
      <c r="X2509" s="85">
        <f t="shared" si="277"/>
        <v>362.70800000000003</v>
      </c>
      <c r="Y2509" s="85">
        <f>STATS1003B!Y2517/1000</f>
        <v>0</v>
      </c>
      <c r="Z2509" s="85">
        <f t="shared" si="279"/>
        <v>0</v>
      </c>
      <c r="AA2509" s="69">
        <f>STATS1003B!AA2517/1000</f>
        <v>362.70800000000003</v>
      </c>
      <c r="AB2509" s="69">
        <f>STATS1003B!AB2517/1000</f>
        <v>0</v>
      </c>
    </row>
    <row r="2510" spans="1:28" hidden="1" x14ac:dyDescent="0.3">
      <c r="A2510" s="117"/>
      <c r="C2510" s="68" t="s">
        <v>924</v>
      </c>
      <c r="D2510" s="90" t="s">
        <v>1072</v>
      </c>
      <c r="E2510" s="85">
        <f>STATS1003B!E2518/1000</f>
        <v>2400</v>
      </c>
      <c r="F2510" s="85">
        <f>STATS1003B!F2518/1000</f>
        <v>2400</v>
      </c>
      <c r="G2510" s="85">
        <f>STATS1003B!G2518/1000</f>
        <v>0</v>
      </c>
      <c r="H2510" s="85">
        <f>STATS1003B!H2518/1000</f>
        <v>2400</v>
      </c>
      <c r="I2510" s="85">
        <f>STATS1003B!I2518/1000</f>
        <v>0</v>
      </c>
      <c r="J2510" s="85">
        <f>STATS1003B!J2518/1000</f>
        <v>0</v>
      </c>
      <c r="K2510" s="85">
        <f>STATS1003B!K2518/1000</f>
        <v>0</v>
      </c>
      <c r="L2510" s="85">
        <f>STATS1003B!L2518/1000</f>
        <v>0</v>
      </c>
      <c r="M2510" s="85">
        <f>STATS1003B!M2518/1000</f>
        <v>2400</v>
      </c>
      <c r="N2510" s="85">
        <f>STATS1003B!N2518/1000</f>
        <v>0</v>
      </c>
      <c r="O2510" s="85">
        <f>STATS1003B!O2518/1000</f>
        <v>0</v>
      </c>
      <c r="P2510" s="85">
        <f>STATS1003B!P2518/1000</f>
        <v>0</v>
      </c>
      <c r="Q2510" s="85">
        <f>STATS1003B!Q2518/1000</f>
        <v>0</v>
      </c>
      <c r="R2510" s="85">
        <f>STATS1003B!R2518/1000</f>
        <v>0</v>
      </c>
      <c r="S2510" s="85">
        <f>STATS1003B!S2518/1000</f>
        <v>0</v>
      </c>
      <c r="T2510" s="85">
        <f>STATS1003B!T2518/1000</f>
        <v>0</v>
      </c>
      <c r="U2510" s="85">
        <f>STATS1003B!U2518/1000</f>
        <v>0</v>
      </c>
      <c r="V2510" s="85">
        <f>STATS1003B!V2518/1000</f>
        <v>2400</v>
      </c>
      <c r="W2510" s="85">
        <f>STATS1003B!W2518/1000</f>
        <v>0</v>
      </c>
      <c r="X2510" s="85">
        <f t="shared" si="277"/>
        <v>2400</v>
      </c>
      <c r="Y2510" s="85">
        <f>STATS1003B!Y2518/1000</f>
        <v>0</v>
      </c>
      <c r="Z2510" s="85">
        <f t="shared" si="279"/>
        <v>0</v>
      </c>
      <c r="AA2510" s="69">
        <f>STATS1003B!AA2518/1000</f>
        <v>2400</v>
      </c>
      <c r="AB2510" s="69">
        <f>STATS1003B!AB2518/1000</f>
        <v>0</v>
      </c>
    </row>
    <row r="2511" spans="1:28" hidden="1" x14ac:dyDescent="0.3">
      <c r="A2511" s="117"/>
      <c r="C2511" s="68" t="s">
        <v>930</v>
      </c>
      <c r="D2511" s="90"/>
      <c r="E2511" s="85">
        <f>STATS1003B!E2519/1000</f>
        <v>3465</v>
      </c>
      <c r="F2511" s="85">
        <f>STATS1003B!F2519/1000</f>
        <v>3465</v>
      </c>
      <c r="G2511" s="85">
        <f>STATS1003B!G2519/1000</f>
        <v>0</v>
      </c>
      <c r="H2511" s="85">
        <f>STATS1003B!H2519/1000</f>
        <v>3465</v>
      </c>
      <c r="I2511" s="85">
        <f>STATS1003B!I2519/1000</f>
        <v>0</v>
      </c>
      <c r="J2511" s="85">
        <f>STATS1003B!J2519/1000</f>
        <v>0</v>
      </c>
      <c r="K2511" s="85">
        <f>STATS1003B!K2519/1000</f>
        <v>0</v>
      </c>
      <c r="L2511" s="85">
        <f>STATS1003B!L2519/1000</f>
        <v>0</v>
      </c>
      <c r="M2511" s="85">
        <f>STATS1003B!M2519/1000</f>
        <v>3465</v>
      </c>
      <c r="N2511" s="85">
        <f>STATS1003B!N2519/1000</f>
        <v>0</v>
      </c>
      <c r="O2511" s="85">
        <f>STATS1003B!O2519/1000</f>
        <v>0</v>
      </c>
      <c r="P2511" s="85">
        <f>STATS1003B!P2519/1000</f>
        <v>0</v>
      </c>
      <c r="Q2511" s="85">
        <f>STATS1003B!Q2519/1000</f>
        <v>0</v>
      </c>
      <c r="R2511" s="85">
        <f>STATS1003B!R2519/1000</f>
        <v>0</v>
      </c>
      <c r="S2511" s="85">
        <f>STATS1003B!S2519/1000</f>
        <v>0</v>
      </c>
      <c r="T2511" s="85">
        <f>STATS1003B!T2519/1000</f>
        <v>0</v>
      </c>
      <c r="U2511" s="85">
        <f>STATS1003B!U2519/1000</f>
        <v>0</v>
      </c>
      <c r="V2511" s="85">
        <f>STATS1003B!V2519/1000</f>
        <v>3465</v>
      </c>
      <c r="W2511" s="85">
        <f>STATS1003B!W2519/1000</f>
        <v>0</v>
      </c>
      <c r="X2511" s="85">
        <f t="shared" si="277"/>
        <v>3465</v>
      </c>
      <c r="Y2511" s="85">
        <f>STATS1003B!Y2519/1000</f>
        <v>0</v>
      </c>
      <c r="Z2511" s="85">
        <f t="shared" si="279"/>
        <v>0</v>
      </c>
      <c r="AA2511" s="69">
        <f>STATS1003B!AA2519/1000</f>
        <v>3465</v>
      </c>
      <c r="AB2511" s="69">
        <f>STATS1003B!AB2519/1000</f>
        <v>0</v>
      </c>
    </row>
    <row r="2512" spans="1:28" hidden="1" x14ac:dyDescent="0.3">
      <c r="A2512" s="117"/>
      <c r="C2512" s="68" t="s">
        <v>1176</v>
      </c>
      <c r="D2512" s="90" t="s">
        <v>1126</v>
      </c>
      <c r="E2512" s="85">
        <f>STATS1003B!E2520/1000</f>
        <v>3448.9889800000001</v>
      </c>
      <c r="F2512" s="85">
        <f>STATS1003B!F2520/1000</f>
        <v>3448.9889800000001</v>
      </c>
      <c r="G2512" s="85">
        <f>STATS1003B!G2520/1000</f>
        <v>0</v>
      </c>
      <c r="H2512" s="85">
        <f>STATS1003B!H2520/1000</f>
        <v>3448.9889800000001</v>
      </c>
      <c r="I2512" s="85">
        <f>STATS1003B!I2520/1000</f>
        <v>0</v>
      </c>
      <c r="J2512" s="85">
        <f>STATS1003B!J2520/1000</f>
        <v>0</v>
      </c>
      <c r="K2512" s="85">
        <f>STATS1003B!K2520/1000</f>
        <v>0</v>
      </c>
      <c r="L2512" s="85">
        <f>STATS1003B!L2520/1000</f>
        <v>0</v>
      </c>
      <c r="M2512" s="85">
        <f>STATS1003B!M2520/1000</f>
        <v>3448.9889800000001</v>
      </c>
      <c r="N2512" s="85">
        <f>STATS1003B!N2520/1000</f>
        <v>0</v>
      </c>
      <c r="O2512" s="85">
        <f>STATS1003B!O2520/1000</f>
        <v>0</v>
      </c>
      <c r="P2512" s="85">
        <f>STATS1003B!P2520/1000</f>
        <v>0</v>
      </c>
      <c r="Q2512" s="85">
        <f>STATS1003B!Q2520/1000</f>
        <v>0</v>
      </c>
      <c r="R2512" s="85">
        <f>STATS1003B!R2520/1000</f>
        <v>0</v>
      </c>
      <c r="S2512" s="85">
        <f>STATS1003B!S2520/1000</f>
        <v>0</v>
      </c>
      <c r="T2512" s="85">
        <f>STATS1003B!T2520/1000</f>
        <v>0</v>
      </c>
      <c r="U2512" s="85">
        <f>STATS1003B!U2520/1000</f>
        <v>0</v>
      </c>
      <c r="V2512" s="85">
        <f>STATS1003B!V2520/1000</f>
        <v>0</v>
      </c>
      <c r="W2512" s="85">
        <f>STATS1003B!W2520/1000</f>
        <v>0</v>
      </c>
      <c r="X2512" s="85">
        <f t="shared" si="277"/>
        <v>3448.9889800000001</v>
      </c>
      <c r="Y2512" s="85">
        <f>STATS1003B!Y2520/1000</f>
        <v>0</v>
      </c>
      <c r="Z2512" s="85">
        <f t="shared" si="279"/>
        <v>0</v>
      </c>
      <c r="AA2512" s="69">
        <f>STATS1003B!AA2520/1000</f>
        <v>3448.9889800000001</v>
      </c>
      <c r="AB2512" s="69">
        <f>STATS1003B!AB2520/1000</f>
        <v>0</v>
      </c>
    </row>
    <row r="2513" spans="1:28" hidden="1" x14ac:dyDescent="0.3">
      <c r="A2513" s="117"/>
      <c r="C2513" s="68" t="s">
        <v>409</v>
      </c>
      <c r="E2513" s="85">
        <f>STATS1003B!E2521/1000</f>
        <v>387.87527</v>
      </c>
      <c r="F2513" s="85">
        <f>STATS1003B!F2521/1000</f>
        <v>387.87527</v>
      </c>
      <c r="G2513" s="85">
        <f>STATS1003B!G2521/1000</f>
        <v>0</v>
      </c>
      <c r="H2513" s="85">
        <f>STATS1003B!H2521/1000</f>
        <v>387.87527</v>
      </c>
      <c r="I2513" s="85">
        <f>STATS1003B!I2521/1000</f>
        <v>0</v>
      </c>
      <c r="J2513" s="85">
        <f>STATS1003B!J2521/1000</f>
        <v>0</v>
      </c>
      <c r="K2513" s="85">
        <f>STATS1003B!K2521/1000</f>
        <v>0</v>
      </c>
      <c r="L2513" s="85">
        <f>STATS1003B!L2521/1000</f>
        <v>0</v>
      </c>
      <c r="M2513" s="85">
        <f>STATS1003B!M2521/1000</f>
        <v>387.87527</v>
      </c>
      <c r="N2513" s="85">
        <f>STATS1003B!N2521/1000</f>
        <v>0</v>
      </c>
      <c r="O2513" s="85">
        <f>STATS1003B!O2521/1000</f>
        <v>0</v>
      </c>
      <c r="P2513" s="85">
        <f>STATS1003B!P2521/1000</f>
        <v>0</v>
      </c>
      <c r="Q2513" s="85">
        <f>STATS1003B!Q2521/1000</f>
        <v>0</v>
      </c>
      <c r="R2513" s="85">
        <f>STATS1003B!R2521/1000</f>
        <v>0</v>
      </c>
      <c r="S2513" s="85">
        <f>STATS1003B!S2521/1000</f>
        <v>0</v>
      </c>
      <c r="T2513" s="85">
        <f>STATS1003B!T2521/1000</f>
        <v>0</v>
      </c>
      <c r="U2513" s="85">
        <f>STATS1003B!U2521/1000</f>
        <v>0</v>
      </c>
      <c r="V2513" s="85">
        <f>STATS1003B!V2521/1000</f>
        <v>387.87527</v>
      </c>
      <c r="W2513" s="85">
        <f>STATS1003B!W2521/1000</f>
        <v>0</v>
      </c>
      <c r="X2513" s="85">
        <f t="shared" si="277"/>
        <v>387.87527</v>
      </c>
      <c r="Y2513" s="85">
        <f>STATS1003B!Y2521/1000</f>
        <v>0</v>
      </c>
      <c r="Z2513" s="85">
        <f t="shared" si="279"/>
        <v>0</v>
      </c>
      <c r="AA2513" s="69">
        <f>STATS1003B!AA2521/1000</f>
        <v>387.87527</v>
      </c>
      <c r="AB2513" s="69">
        <f>STATS1003B!AB2521/1000</f>
        <v>0</v>
      </c>
    </row>
    <row r="2514" spans="1:28" hidden="1" x14ac:dyDescent="0.3">
      <c r="A2514" s="117"/>
      <c r="E2514" s="86" t="s">
        <v>29</v>
      </c>
      <c r="F2514" s="86" t="s">
        <v>29</v>
      </c>
      <c r="G2514" s="86" t="s">
        <v>29</v>
      </c>
      <c r="H2514" s="86" t="s">
        <v>29</v>
      </c>
      <c r="I2514" s="86" t="s">
        <v>29</v>
      </c>
      <c r="J2514" s="86" t="s">
        <v>29</v>
      </c>
      <c r="K2514" s="86" t="s">
        <v>29</v>
      </c>
      <c r="L2514" s="86" t="s">
        <v>29</v>
      </c>
      <c r="M2514" s="86" t="s">
        <v>29</v>
      </c>
      <c r="N2514" s="86" t="s">
        <v>29</v>
      </c>
      <c r="O2514" s="86" t="s">
        <v>29</v>
      </c>
      <c r="P2514" s="86" t="s">
        <v>29</v>
      </c>
      <c r="Q2514" s="86" t="s">
        <v>29</v>
      </c>
      <c r="R2514" s="86" t="s">
        <v>29</v>
      </c>
      <c r="S2514" s="86" t="s">
        <v>29</v>
      </c>
      <c r="T2514" s="86" t="s">
        <v>29</v>
      </c>
      <c r="U2514" s="86" t="s">
        <v>29</v>
      </c>
      <c r="V2514" s="86" t="s">
        <v>29</v>
      </c>
      <c r="W2514" s="86" t="s">
        <v>29</v>
      </c>
      <c r="X2514" s="85" t="e">
        <f t="shared" si="277"/>
        <v>#VALUE!</v>
      </c>
      <c r="Y2514" s="86" t="s">
        <v>29</v>
      </c>
      <c r="Z2514" s="85" t="e">
        <f t="shared" si="279"/>
        <v>#VALUE!</v>
      </c>
      <c r="AA2514" s="115" t="s">
        <v>29</v>
      </c>
      <c r="AB2514" s="115" t="s">
        <v>29</v>
      </c>
    </row>
    <row r="2515" spans="1:28" x14ac:dyDescent="0.3">
      <c r="A2515" s="116">
        <v>110</v>
      </c>
      <c r="B2515" s="68" t="s">
        <v>407</v>
      </c>
      <c r="E2515" s="85">
        <f>52818751.95/1000</f>
        <v>52818.751950000005</v>
      </c>
      <c r="F2515" s="85">
        <f t="shared" ref="F2515:AB2515" si="281">SUM(F2502:F2513)</f>
        <v>22941.836240000001</v>
      </c>
      <c r="G2515" s="85">
        <f t="shared" si="281"/>
        <v>0</v>
      </c>
      <c r="H2515" s="85">
        <f>51210173.03/1000</f>
        <v>51210.173029999998</v>
      </c>
      <c r="I2515" s="85">
        <f t="shared" si="281"/>
        <v>0</v>
      </c>
      <c r="J2515" s="85">
        <f t="shared" si="281"/>
        <v>0</v>
      </c>
      <c r="K2515" s="85">
        <f t="shared" si="281"/>
        <v>0</v>
      </c>
      <c r="L2515" s="85">
        <f t="shared" si="281"/>
        <v>0</v>
      </c>
      <c r="M2515" s="85">
        <f t="shared" si="281"/>
        <v>22941.836240000001</v>
      </c>
      <c r="N2515" s="85">
        <f t="shared" si="281"/>
        <v>1608.5789200000002</v>
      </c>
      <c r="O2515" s="85">
        <f t="shared" si="281"/>
        <v>0</v>
      </c>
      <c r="P2515" s="85">
        <f>1608578/1000</f>
        <v>1608.578</v>
      </c>
      <c r="Q2515" s="85">
        <f t="shared" si="281"/>
        <v>0</v>
      </c>
      <c r="R2515" s="85">
        <f t="shared" si="281"/>
        <v>0</v>
      </c>
      <c r="S2515" s="85">
        <f t="shared" si="281"/>
        <v>0</v>
      </c>
      <c r="T2515" s="85">
        <f t="shared" si="281"/>
        <v>0</v>
      </c>
      <c r="U2515" s="85">
        <f t="shared" si="281"/>
        <v>1608.5789200000002</v>
      </c>
      <c r="V2515" s="85">
        <f t="shared" si="281"/>
        <v>21101.426179999999</v>
      </c>
      <c r="W2515" s="85">
        <f t="shared" si="281"/>
        <v>0</v>
      </c>
      <c r="X2515" s="85">
        <f>+H2515+P2515</f>
        <v>52818.751029999999</v>
      </c>
      <c r="Y2515" s="85">
        <f t="shared" si="281"/>
        <v>0</v>
      </c>
      <c r="Z2515" s="85">
        <f t="shared" si="279"/>
        <v>9.2000000586267561E-4</v>
      </c>
      <c r="AA2515" s="69">
        <f t="shared" si="281"/>
        <v>24550.41516</v>
      </c>
      <c r="AB2515" s="69">
        <f t="shared" si="281"/>
        <v>0</v>
      </c>
    </row>
    <row r="2516" spans="1:28" hidden="1" x14ac:dyDescent="0.3">
      <c r="A2516" s="117"/>
      <c r="E2516" s="86" t="s">
        <v>29</v>
      </c>
      <c r="F2516" s="86" t="s">
        <v>29</v>
      </c>
      <c r="G2516" s="86" t="s">
        <v>29</v>
      </c>
      <c r="H2516" s="86" t="s">
        <v>29</v>
      </c>
      <c r="I2516" s="86" t="s">
        <v>29</v>
      </c>
      <c r="J2516" s="86" t="s">
        <v>29</v>
      </c>
      <c r="K2516" s="86" t="s">
        <v>29</v>
      </c>
      <c r="L2516" s="86" t="s">
        <v>29</v>
      </c>
      <c r="M2516" s="86" t="s">
        <v>29</v>
      </c>
      <c r="N2516" s="86" t="s">
        <v>29</v>
      </c>
      <c r="O2516" s="86" t="s">
        <v>29</v>
      </c>
      <c r="P2516" s="86" t="s">
        <v>29</v>
      </c>
      <c r="Q2516" s="86" t="s">
        <v>29</v>
      </c>
      <c r="R2516" s="86" t="s">
        <v>29</v>
      </c>
      <c r="S2516" s="86" t="s">
        <v>29</v>
      </c>
      <c r="T2516" s="86" t="s">
        <v>29</v>
      </c>
      <c r="U2516" s="86" t="s">
        <v>29</v>
      </c>
      <c r="V2516" s="86" t="s">
        <v>29</v>
      </c>
      <c r="W2516" s="86" t="s">
        <v>29</v>
      </c>
      <c r="X2516" s="85" t="e">
        <f t="shared" si="277"/>
        <v>#VALUE!</v>
      </c>
      <c r="Y2516" s="86" t="s">
        <v>29</v>
      </c>
      <c r="Z2516" s="85" t="e">
        <f t="shared" si="279"/>
        <v>#VALUE!</v>
      </c>
      <c r="AA2516" s="115" t="s">
        <v>29</v>
      </c>
      <c r="AB2516" s="115" t="s">
        <v>29</v>
      </c>
    </row>
    <row r="2517" spans="1:28" hidden="1" x14ac:dyDescent="0.3">
      <c r="A2517" s="105"/>
      <c r="D2517" s="71" t="s">
        <v>411</v>
      </c>
      <c r="E2517" s="84"/>
      <c r="F2517" s="84"/>
      <c r="G2517" s="84"/>
      <c r="H2517" s="84"/>
      <c r="I2517" s="84"/>
      <c r="J2517" s="84"/>
      <c r="K2517" s="84"/>
      <c r="L2517" s="85"/>
      <c r="M2517" s="85"/>
      <c r="N2517" s="84"/>
      <c r="O2517" s="84"/>
      <c r="P2517" s="84"/>
      <c r="Q2517" s="84"/>
      <c r="R2517" s="84"/>
      <c r="S2517" s="84"/>
      <c r="T2517" s="84"/>
      <c r="U2517" s="84"/>
      <c r="V2517" s="84"/>
      <c r="W2517" s="84"/>
      <c r="X2517" s="85">
        <f t="shared" si="277"/>
        <v>0</v>
      </c>
      <c r="Y2517" s="84"/>
      <c r="Z2517" s="85">
        <f t="shared" si="279"/>
        <v>0</v>
      </c>
    </row>
    <row r="2518" spans="1:28" hidden="1" x14ac:dyDescent="0.3">
      <c r="A2518" s="117"/>
      <c r="C2518" s="71" t="s">
        <v>143</v>
      </c>
      <c r="D2518" s="71" t="s">
        <v>412</v>
      </c>
      <c r="E2518" s="85">
        <f>STATS1003B!E2526/1000</f>
        <v>31887.745170000002</v>
      </c>
      <c r="F2518" s="85">
        <f>STATS1003B!F2526/1000</f>
        <v>30208.698780000002</v>
      </c>
      <c r="G2518" s="85">
        <f>STATS1003B!G2526/1000</f>
        <v>0</v>
      </c>
      <c r="H2518" s="85">
        <f>STATS1003B!H2526/1000</f>
        <v>30208.698780000002</v>
      </c>
      <c r="I2518" s="85">
        <f>STATS1003B!I2526/1000</f>
        <v>0</v>
      </c>
      <c r="J2518" s="85">
        <f>STATS1003B!J2526/1000</f>
        <v>0</v>
      </c>
      <c r="K2518" s="85">
        <f>STATS1003B!K2526/1000</f>
        <v>0</v>
      </c>
      <c r="L2518" s="85">
        <f>STATS1003B!L2526/1000</f>
        <v>0</v>
      </c>
      <c r="M2518" s="85">
        <f>STATS1003B!M2526/1000</f>
        <v>30208.698780000002</v>
      </c>
      <c r="N2518" s="85">
        <f>STATS1003B!N2526/1000</f>
        <v>1679.04639</v>
      </c>
      <c r="O2518" s="85">
        <f>STATS1003B!O2526/1000</f>
        <v>0</v>
      </c>
      <c r="P2518" s="85">
        <f>STATS1003B!P2526/1000</f>
        <v>1679.04639</v>
      </c>
      <c r="Q2518" s="85">
        <f>STATS1003B!Q2526/1000</f>
        <v>0</v>
      </c>
      <c r="R2518" s="85">
        <f>STATS1003B!R2526/1000</f>
        <v>0</v>
      </c>
      <c r="S2518" s="85">
        <f>STATS1003B!S2526/1000</f>
        <v>0</v>
      </c>
      <c r="T2518" s="85">
        <f>STATS1003B!T2526/1000</f>
        <v>0</v>
      </c>
      <c r="U2518" s="85">
        <f>STATS1003B!U2526/1000</f>
        <v>1679.04639</v>
      </c>
      <c r="V2518" s="85">
        <f>STATS1003B!V2526/1000</f>
        <v>31887.745170000002</v>
      </c>
      <c r="W2518" s="85">
        <f>STATS1003B!W2526/1000</f>
        <v>0</v>
      </c>
      <c r="X2518" s="85">
        <f t="shared" si="277"/>
        <v>31887.745170000002</v>
      </c>
      <c r="Y2518" s="85">
        <f>STATS1003B!Y2526/1000</f>
        <v>0</v>
      </c>
      <c r="Z2518" s="85">
        <f t="shared" si="279"/>
        <v>0</v>
      </c>
      <c r="AA2518" s="69">
        <f>STATS1003B!AA2526/1000</f>
        <v>31887.745170000002</v>
      </c>
      <c r="AB2518" s="69">
        <f>STATS1003B!AB2526/1000</f>
        <v>0</v>
      </c>
    </row>
    <row r="2519" spans="1:28" hidden="1" x14ac:dyDescent="0.3">
      <c r="A2519" s="117"/>
      <c r="C2519" s="71" t="s">
        <v>55</v>
      </c>
      <c r="D2519" s="88" t="s">
        <v>68</v>
      </c>
      <c r="E2519" s="85">
        <f>STATS1003B!E2527/1000</f>
        <v>2631.3127100000002</v>
      </c>
      <c r="F2519" s="85">
        <f>STATS1003B!F2527/1000</f>
        <v>0</v>
      </c>
      <c r="G2519" s="85">
        <f>STATS1003B!G2527/1000</f>
        <v>0</v>
      </c>
      <c r="H2519" s="85">
        <f>STATS1003B!H2527/1000</f>
        <v>0</v>
      </c>
      <c r="I2519" s="85">
        <f>STATS1003B!I2527/1000</f>
        <v>0</v>
      </c>
      <c r="J2519" s="85">
        <f>STATS1003B!J2527/1000</f>
        <v>0</v>
      </c>
      <c r="K2519" s="85">
        <f>STATS1003B!K2527/1000</f>
        <v>0</v>
      </c>
      <c r="L2519" s="85">
        <f>STATS1003B!L2527/1000</f>
        <v>0</v>
      </c>
      <c r="M2519" s="85">
        <f>STATS1003B!M2527/1000</f>
        <v>0</v>
      </c>
      <c r="N2519" s="85">
        <f>STATS1003B!N2527/1000</f>
        <v>2631.3127100000002</v>
      </c>
      <c r="O2519" s="85">
        <f>STATS1003B!O2527/1000</f>
        <v>0</v>
      </c>
      <c r="P2519" s="85">
        <f>STATS1003B!P2527/1000</f>
        <v>2631.3127100000002</v>
      </c>
      <c r="Q2519" s="85">
        <f>STATS1003B!Q2527/1000</f>
        <v>0</v>
      </c>
      <c r="R2519" s="85">
        <f>STATS1003B!R2527/1000</f>
        <v>0</v>
      </c>
      <c r="S2519" s="85">
        <f>STATS1003B!S2527/1000</f>
        <v>0</v>
      </c>
      <c r="T2519" s="85">
        <f>STATS1003B!T2527/1000</f>
        <v>0</v>
      </c>
      <c r="U2519" s="85">
        <f>STATS1003B!U2527/1000</f>
        <v>2631.3127100000002</v>
      </c>
      <c r="V2519" s="85">
        <f>STATS1003B!V2527/1000</f>
        <v>2631.3127100000002</v>
      </c>
      <c r="W2519" s="85">
        <f>STATS1003B!W2527/1000</f>
        <v>0</v>
      </c>
      <c r="X2519" s="85">
        <f t="shared" si="277"/>
        <v>2631.3127100000002</v>
      </c>
      <c r="Y2519" s="85">
        <f>STATS1003B!Y2527/1000</f>
        <v>0</v>
      </c>
      <c r="Z2519" s="85">
        <f t="shared" si="279"/>
        <v>0</v>
      </c>
      <c r="AA2519" s="69">
        <f>STATS1003B!AA2527/1000</f>
        <v>2631.3127100000002</v>
      </c>
      <c r="AB2519" s="69">
        <f>STATS1003B!AB2527/1000</f>
        <v>0</v>
      </c>
    </row>
    <row r="2520" spans="1:28" hidden="1" x14ac:dyDescent="0.3">
      <c r="A2520" s="117"/>
      <c r="C2520" s="71" t="s">
        <v>185</v>
      </c>
      <c r="D2520" s="88" t="s">
        <v>54</v>
      </c>
      <c r="E2520" s="85">
        <f>STATS1003B!E2528/1000</f>
        <v>1953.989</v>
      </c>
      <c r="F2520" s="85">
        <f>STATS1003B!F2528/1000</f>
        <v>0</v>
      </c>
      <c r="G2520" s="85">
        <f>STATS1003B!G2528/1000</f>
        <v>0</v>
      </c>
      <c r="H2520" s="85">
        <f>STATS1003B!H2528/1000</f>
        <v>0</v>
      </c>
      <c r="I2520" s="85">
        <f>STATS1003B!I2528/1000</f>
        <v>0</v>
      </c>
      <c r="J2520" s="85">
        <f>STATS1003B!J2528/1000</f>
        <v>0</v>
      </c>
      <c r="K2520" s="85">
        <f>STATS1003B!K2528/1000</f>
        <v>0</v>
      </c>
      <c r="L2520" s="85">
        <f>STATS1003B!L2528/1000</f>
        <v>0</v>
      </c>
      <c r="M2520" s="85">
        <f>STATS1003B!M2528/1000</f>
        <v>0</v>
      </c>
      <c r="N2520" s="85">
        <f>STATS1003B!N2528/1000</f>
        <v>1953.989</v>
      </c>
      <c r="O2520" s="85">
        <f>STATS1003B!O2528/1000</f>
        <v>0</v>
      </c>
      <c r="P2520" s="85">
        <f>STATS1003B!P2528/1000</f>
        <v>1953.989</v>
      </c>
      <c r="Q2520" s="85">
        <f>STATS1003B!Q2528/1000</f>
        <v>0</v>
      </c>
      <c r="R2520" s="85">
        <f>STATS1003B!R2528/1000</f>
        <v>0</v>
      </c>
      <c r="S2520" s="85">
        <f>STATS1003B!S2528/1000</f>
        <v>0</v>
      </c>
      <c r="T2520" s="85">
        <f>STATS1003B!T2528/1000</f>
        <v>0</v>
      </c>
      <c r="U2520" s="85">
        <f>STATS1003B!U2528/1000</f>
        <v>1953.989</v>
      </c>
      <c r="V2520" s="85">
        <f>STATS1003B!V2528/1000</f>
        <v>1953.989</v>
      </c>
      <c r="W2520" s="85">
        <f>STATS1003B!W2528/1000</f>
        <v>0</v>
      </c>
      <c r="X2520" s="85">
        <f t="shared" si="277"/>
        <v>1953.989</v>
      </c>
      <c r="Y2520" s="85">
        <f>STATS1003B!Y2528/1000</f>
        <v>0</v>
      </c>
      <c r="Z2520" s="85">
        <f t="shared" si="279"/>
        <v>0</v>
      </c>
      <c r="AA2520" s="69">
        <f>STATS1003B!AA2528/1000</f>
        <v>1953.989</v>
      </c>
      <c r="AB2520" s="69">
        <f>STATS1003B!AB2528/1000</f>
        <v>0</v>
      </c>
    </row>
    <row r="2521" spans="1:28" hidden="1" x14ac:dyDescent="0.3">
      <c r="A2521" s="117"/>
      <c r="C2521" s="71" t="s">
        <v>413</v>
      </c>
      <c r="D2521" s="88" t="s">
        <v>85</v>
      </c>
      <c r="E2521" s="85">
        <f>STATS1003B!E2529/1000</f>
        <v>240</v>
      </c>
      <c r="F2521" s="85">
        <f>STATS1003B!F2529/1000</f>
        <v>240</v>
      </c>
      <c r="G2521" s="85">
        <f>STATS1003B!G2529/1000</f>
        <v>0</v>
      </c>
      <c r="H2521" s="85">
        <f>STATS1003B!H2529/1000</f>
        <v>240</v>
      </c>
      <c r="I2521" s="85">
        <f>STATS1003B!I2529/1000</f>
        <v>0</v>
      </c>
      <c r="J2521" s="85">
        <f>STATS1003B!J2529/1000</f>
        <v>0</v>
      </c>
      <c r="K2521" s="85">
        <f>STATS1003B!K2529/1000</f>
        <v>0</v>
      </c>
      <c r="L2521" s="85">
        <f>STATS1003B!L2529/1000</f>
        <v>0</v>
      </c>
      <c r="M2521" s="85">
        <f>STATS1003B!M2529/1000</f>
        <v>240</v>
      </c>
      <c r="N2521" s="85">
        <f>STATS1003B!N2529/1000</f>
        <v>0</v>
      </c>
      <c r="O2521" s="85">
        <f>STATS1003B!O2529/1000</f>
        <v>0</v>
      </c>
      <c r="P2521" s="85">
        <f>STATS1003B!P2529/1000</f>
        <v>0</v>
      </c>
      <c r="Q2521" s="85">
        <f>STATS1003B!Q2529/1000</f>
        <v>0</v>
      </c>
      <c r="R2521" s="85">
        <f>STATS1003B!R2529/1000</f>
        <v>0</v>
      </c>
      <c r="S2521" s="85">
        <f>STATS1003B!S2529/1000</f>
        <v>0</v>
      </c>
      <c r="T2521" s="85">
        <f>STATS1003B!T2529/1000</f>
        <v>0</v>
      </c>
      <c r="U2521" s="85">
        <f>STATS1003B!U2529/1000</f>
        <v>0</v>
      </c>
      <c r="V2521" s="85">
        <f>STATS1003B!V2529/1000</f>
        <v>240</v>
      </c>
      <c r="W2521" s="85">
        <f>STATS1003B!W2529/1000</f>
        <v>0</v>
      </c>
      <c r="X2521" s="85">
        <f t="shared" si="277"/>
        <v>240</v>
      </c>
      <c r="Y2521" s="85">
        <f>STATS1003B!Y2529/1000</f>
        <v>0</v>
      </c>
      <c r="Z2521" s="85">
        <f t="shared" si="279"/>
        <v>0</v>
      </c>
      <c r="AA2521" s="69">
        <f>STATS1003B!AA2529/1000</f>
        <v>240</v>
      </c>
      <c r="AB2521" s="69">
        <f>STATS1003B!AB2529/1000</f>
        <v>0</v>
      </c>
    </row>
    <row r="2522" spans="1:28" hidden="1" x14ac:dyDescent="0.3">
      <c r="A2522" s="117"/>
      <c r="C2522" s="71" t="s">
        <v>143</v>
      </c>
      <c r="D2522" s="88" t="s">
        <v>58</v>
      </c>
      <c r="E2522" s="85">
        <f>STATS1003B!E2530/1000</f>
        <v>8322.8135700000003</v>
      </c>
      <c r="F2522" s="85">
        <f>STATS1003B!F2530/1000</f>
        <v>8322.8135700000003</v>
      </c>
      <c r="G2522" s="85">
        <f>STATS1003B!G2530/1000</f>
        <v>0</v>
      </c>
      <c r="H2522" s="85">
        <f>STATS1003B!H2530/1000</f>
        <v>8322.8135700000003</v>
      </c>
      <c r="I2522" s="85">
        <f>STATS1003B!I2530/1000</f>
        <v>0</v>
      </c>
      <c r="J2522" s="85">
        <f>STATS1003B!J2530/1000</f>
        <v>0</v>
      </c>
      <c r="K2522" s="85">
        <f>STATS1003B!K2530/1000</f>
        <v>0</v>
      </c>
      <c r="L2522" s="85">
        <f>STATS1003B!L2530/1000</f>
        <v>0</v>
      </c>
      <c r="M2522" s="85">
        <f>STATS1003B!M2530/1000</f>
        <v>8322.8135700000003</v>
      </c>
      <c r="N2522" s="85">
        <f>STATS1003B!N2530/1000</f>
        <v>0</v>
      </c>
      <c r="O2522" s="85">
        <f>STATS1003B!O2530/1000</f>
        <v>0</v>
      </c>
      <c r="P2522" s="85">
        <f>STATS1003B!P2530/1000</f>
        <v>0</v>
      </c>
      <c r="Q2522" s="85">
        <f>STATS1003B!Q2530/1000</f>
        <v>0</v>
      </c>
      <c r="R2522" s="85">
        <f>STATS1003B!R2530/1000</f>
        <v>0</v>
      </c>
      <c r="S2522" s="85">
        <f>STATS1003B!S2530/1000</f>
        <v>0</v>
      </c>
      <c r="T2522" s="85">
        <f>STATS1003B!T2530/1000</f>
        <v>0</v>
      </c>
      <c r="U2522" s="85">
        <f>STATS1003B!U2530/1000</f>
        <v>0</v>
      </c>
      <c r="V2522" s="85">
        <f>STATS1003B!V2530/1000</f>
        <v>8322.8135700000003</v>
      </c>
      <c r="W2522" s="85">
        <f>STATS1003B!W2530/1000</f>
        <v>0</v>
      </c>
      <c r="X2522" s="85">
        <f t="shared" si="277"/>
        <v>8322.8135700000003</v>
      </c>
      <c r="Y2522" s="85">
        <f>STATS1003B!Y2530/1000</f>
        <v>0</v>
      </c>
      <c r="Z2522" s="85">
        <f t="shared" si="279"/>
        <v>0</v>
      </c>
      <c r="AA2522" s="69">
        <f>STATS1003B!AA2530/1000</f>
        <v>8322.8135700000003</v>
      </c>
      <c r="AB2522" s="69">
        <f>STATS1003B!AB2530/1000</f>
        <v>0</v>
      </c>
    </row>
    <row r="2523" spans="1:28" hidden="1" x14ac:dyDescent="0.3">
      <c r="A2523" s="117"/>
      <c r="C2523" s="71" t="s">
        <v>143</v>
      </c>
      <c r="D2523" s="88" t="s">
        <v>60</v>
      </c>
      <c r="E2523" s="85">
        <f>STATS1003B!E2531/1000</f>
        <v>26400.829739999997</v>
      </c>
      <c r="F2523" s="85">
        <f>STATS1003B!F2531/1000</f>
        <v>8136.0569999999998</v>
      </c>
      <c r="G2523" s="85">
        <f>STATS1003B!G2531/1000</f>
        <v>0</v>
      </c>
      <c r="H2523" s="85">
        <f>STATS1003B!H2531/1000</f>
        <v>8136.0569999999998</v>
      </c>
      <c r="I2523" s="85">
        <f>STATS1003B!I2531/1000</f>
        <v>0</v>
      </c>
      <c r="J2523" s="85">
        <f>STATS1003B!J2531/1000</f>
        <v>0</v>
      </c>
      <c r="K2523" s="85">
        <f>STATS1003B!K2531/1000</f>
        <v>0</v>
      </c>
      <c r="L2523" s="85">
        <f>STATS1003B!L2531/1000</f>
        <v>0</v>
      </c>
      <c r="M2523" s="85">
        <f>STATS1003B!M2531/1000</f>
        <v>8136.0569999999998</v>
      </c>
      <c r="N2523" s="85">
        <f>STATS1003B!N2531/1000</f>
        <v>5864.8500599999998</v>
      </c>
      <c r="O2523" s="85">
        <f>STATS1003B!O2531/1000</f>
        <v>0</v>
      </c>
      <c r="P2523" s="85">
        <f>STATS1003B!P2531/1000</f>
        <v>5864.8500599999998</v>
      </c>
      <c r="Q2523" s="85">
        <f>STATS1003B!Q2531/1000</f>
        <v>12400.955179999999</v>
      </c>
      <c r="R2523" s="85">
        <f>STATS1003B!R2531/1000</f>
        <v>1.0325</v>
      </c>
      <c r="S2523" s="85">
        <f>STATS1003B!S2531/1000</f>
        <v>0</v>
      </c>
      <c r="T2523" s="85">
        <f>STATS1003B!T2531/1000</f>
        <v>12399.92268</v>
      </c>
      <c r="U2523" s="85">
        <f>STATS1003B!U2531/1000</f>
        <v>18264.772739999997</v>
      </c>
      <c r="V2523" s="85">
        <f>STATS1003B!V2531/1000</f>
        <v>14000.90706</v>
      </c>
      <c r="W2523" s="85">
        <f>STATS1003B!W2531/1000</f>
        <v>12399.92268</v>
      </c>
      <c r="X2523" s="85">
        <f t="shared" si="277"/>
        <v>14000.90706</v>
      </c>
      <c r="Y2523" s="85">
        <f>STATS1003B!Y2531/1000</f>
        <v>0</v>
      </c>
      <c r="Z2523" s="85">
        <f t="shared" si="279"/>
        <v>12399.922679999998</v>
      </c>
      <c r="AA2523" s="69">
        <f>STATS1003B!AA2531/1000</f>
        <v>26400.829739999997</v>
      </c>
      <c r="AB2523" s="69">
        <f>STATS1003B!AB2531/1000</f>
        <v>0</v>
      </c>
    </row>
    <row r="2524" spans="1:28" hidden="1" x14ac:dyDescent="0.3">
      <c r="A2524" s="117"/>
      <c r="C2524" s="71" t="s">
        <v>414</v>
      </c>
      <c r="D2524" s="88" t="s">
        <v>60</v>
      </c>
      <c r="E2524" s="85">
        <f>STATS1003B!E2532/1000</f>
        <v>2482.2959999999998</v>
      </c>
      <c r="F2524" s="85">
        <f>STATS1003B!F2532/1000</f>
        <v>2482.2959999999998</v>
      </c>
      <c r="G2524" s="85">
        <f>STATS1003B!G2532/1000</f>
        <v>0</v>
      </c>
      <c r="H2524" s="85">
        <f>STATS1003B!H2532/1000</f>
        <v>2482.2959999999998</v>
      </c>
      <c r="I2524" s="85">
        <f>STATS1003B!I2532/1000</f>
        <v>0</v>
      </c>
      <c r="J2524" s="85">
        <f>STATS1003B!J2532/1000</f>
        <v>0</v>
      </c>
      <c r="K2524" s="85">
        <f>STATS1003B!K2532/1000</f>
        <v>0</v>
      </c>
      <c r="L2524" s="85">
        <f>STATS1003B!L2532/1000</f>
        <v>0</v>
      </c>
      <c r="M2524" s="85">
        <f>STATS1003B!M2532/1000</f>
        <v>2482.2959999999998</v>
      </c>
      <c r="N2524" s="85">
        <f>STATS1003B!N2532/1000</f>
        <v>0</v>
      </c>
      <c r="O2524" s="85">
        <f>STATS1003B!O2532/1000</f>
        <v>0</v>
      </c>
      <c r="P2524" s="85">
        <f>STATS1003B!P2532/1000</f>
        <v>0</v>
      </c>
      <c r="Q2524" s="85">
        <f>STATS1003B!Q2532/1000</f>
        <v>0</v>
      </c>
      <c r="R2524" s="85">
        <f>STATS1003B!R2532/1000</f>
        <v>0</v>
      </c>
      <c r="S2524" s="85">
        <f>STATS1003B!S2532/1000</f>
        <v>0</v>
      </c>
      <c r="T2524" s="85">
        <f>STATS1003B!T2532/1000</f>
        <v>0</v>
      </c>
      <c r="U2524" s="85">
        <f>STATS1003B!U2532/1000</f>
        <v>0</v>
      </c>
      <c r="V2524" s="85">
        <f>STATS1003B!V2532/1000</f>
        <v>2482.2959999999998</v>
      </c>
      <c r="W2524" s="85">
        <f>STATS1003B!W2532/1000</f>
        <v>0</v>
      </c>
      <c r="X2524" s="85">
        <f t="shared" si="277"/>
        <v>2482.2959999999998</v>
      </c>
      <c r="Y2524" s="85">
        <f>STATS1003B!Y2532/1000</f>
        <v>0</v>
      </c>
      <c r="Z2524" s="85">
        <f t="shared" si="279"/>
        <v>0</v>
      </c>
      <c r="AA2524" s="69">
        <f>STATS1003B!AA2532/1000</f>
        <v>2482.2959999999998</v>
      </c>
      <c r="AB2524" s="69">
        <f>STATS1003B!AB2532/1000</f>
        <v>0</v>
      </c>
    </row>
    <row r="2525" spans="1:28" hidden="1" x14ac:dyDescent="0.3">
      <c r="A2525" s="117"/>
      <c r="C2525" s="71" t="s">
        <v>143</v>
      </c>
      <c r="D2525" s="88" t="s">
        <v>73</v>
      </c>
      <c r="E2525" s="85">
        <f>STATS1003B!E2533/1000</f>
        <v>7484</v>
      </c>
      <c r="F2525" s="85">
        <f>STATS1003B!F2533/1000</f>
        <v>7484</v>
      </c>
      <c r="G2525" s="85">
        <f>STATS1003B!G2533/1000</f>
        <v>0</v>
      </c>
      <c r="H2525" s="85">
        <f>STATS1003B!H2533/1000</f>
        <v>7484</v>
      </c>
      <c r="I2525" s="85">
        <f>STATS1003B!I2533/1000</f>
        <v>0</v>
      </c>
      <c r="J2525" s="85">
        <f>STATS1003B!J2533/1000</f>
        <v>0</v>
      </c>
      <c r="K2525" s="85">
        <f>STATS1003B!K2533/1000</f>
        <v>0</v>
      </c>
      <c r="L2525" s="85">
        <f>STATS1003B!L2533/1000</f>
        <v>0</v>
      </c>
      <c r="M2525" s="85">
        <f>STATS1003B!M2533/1000</f>
        <v>7484</v>
      </c>
      <c r="N2525" s="85">
        <f>STATS1003B!N2533/1000</f>
        <v>0</v>
      </c>
      <c r="O2525" s="85">
        <f>STATS1003B!O2533/1000</f>
        <v>0</v>
      </c>
      <c r="P2525" s="85">
        <f>STATS1003B!P2533/1000</f>
        <v>0</v>
      </c>
      <c r="Q2525" s="85">
        <f>STATS1003B!Q2533/1000</f>
        <v>0</v>
      </c>
      <c r="R2525" s="85">
        <f>STATS1003B!R2533/1000</f>
        <v>0</v>
      </c>
      <c r="S2525" s="85">
        <f>STATS1003B!S2533/1000</f>
        <v>0</v>
      </c>
      <c r="T2525" s="85">
        <f>STATS1003B!T2533/1000</f>
        <v>0</v>
      </c>
      <c r="U2525" s="85">
        <f>STATS1003B!U2533/1000</f>
        <v>0</v>
      </c>
      <c r="V2525" s="85">
        <f>STATS1003B!V2533/1000</f>
        <v>7484</v>
      </c>
      <c r="W2525" s="85">
        <f>STATS1003B!W2533/1000</f>
        <v>0</v>
      </c>
      <c r="X2525" s="85">
        <f t="shared" si="277"/>
        <v>7484</v>
      </c>
      <c r="Y2525" s="85">
        <f>STATS1003B!Y2533/1000</f>
        <v>0</v>
      </c>
      <c r="Z2525" s="85">
        <f t="shared" si="279"/>
        <v>0</v>
      </c>
      <c r="AA2525" s="69">
        <f>STATS1003B!AA2533/1000</f>
        <v>7484</v>
      </c>
      <c r="AB2525" s="69">
        <f>STATS1003B!AB2533/1000</f>
        <v>0</v>
      </c>
    </row>
    <row r="2526" spans="1:28" hidden="1" x14ac:dyDescent="0.3">
      <c r="A2526" s="117"/>
      <c r="C2526" s="71" t="s">
        <v>415</v>
      </c>
      <c r="D2526" s="71" t="s">
        <v>111</v>
      </c>
      <c r="E2526" s="85">
        <f>STATS1003B!E2534/1000</f>
        <v>5583.8559999999998</v>
      </c>
      <c r="F2526" s="85">
        <f>STATS1003B!F2534/1000</f>
        <v>5583.8559999999998</v>
      </c>
      <c r="G2526" s="85">
        <f>STATS1003B!G2534/1000</f>
        <v>0</v>
      </c>
      <c r="H2526" s="85">
        <f>STATS1003B!H2534/1000</f>
        <v>5583.8559999999998</v>
      </c>
      <c r="I2526" s="85">
        <f>STATS1003B!I2534/1000</f>
        <v>0</v>
      </c>
      <c r="J2526" s="85">
        <f>STATS1003B!J2534/1000</f>
        <v>0</v>
      </c>
      <c r="K2526" s="85">
        <f>STATS1003B!K2534/1000</f>
        <v>0</v>
      </c>
      <c r="L2526" s="85">
        <f>STATS1003B!L2534/1000</f>
        <v>0</v>
      </c>
      <c r="M2526" s="85">
        <f>STATS1003B!M2534/1000</f>
        <v>5583.8559999999998</v>
      </c>
      <c r="N2526" s="85">
        <f>STATS1003B!N2534/1000</f>
        <v>0</v>
      </c>
      <c r="O2526" s="85">
        <f>STATS1003B!O2534/1000</f>
        <v>0</v>
      </c>
      <c r="P2526" s="85">
        <f>STATS1003B!P2534/1000</f>
        <v>0</v>
      </c>
      <c r="Q2526" s="85">
        <f>STATS1003B!Q2534/1000</f>
        <v>0</v>
      </c>
      <c r="R2526" s="85">
        <f>STATS1003B!R2534/1000</f>
        <v>0</v>
      </c>
      <c r="S2526" s="85">
        <f>STATS1003B!S2534/1000</f>
        <v>0</v>
      </c>
      <c r="T2526" s="85">
        <f>STATS1003B!T2534/1000</f>
        <v>0</v>
      </c>
      <c r="U2526" s="85">
        <f>STATS1003B!U2534/1000</f>
        <v>0</v>
      </c>
      <c r="V2526" s="85">
        <f>STATS1003B!V2534/1000</f>
        <v>5583.8559999999998</v>
      </c>
      <c r="W2526" s="85">
        <f>STATS1003B!W2534/1000</f>
        <v>0</v>
      </c>
      <c r="X2526" s="85">
        <f t="shared" si="277"/>
        <v>5583.8559999999998</v>
      </c>
      <c r="Y2526" s="85">
        <f>STATS1003B!Y2534/1000</f>
        <v>0</v>
      </c>
      <c r="Z2526" s="85">
        <f t="shared" si="279"/>
        <v>0</v>
      </c>
      <c r="AA2526" s="69">
        <f>STATS1003B!AA2534/1000</f>
        <v>5583.8559999999998</v>
      </c>
      <c r="AB2526" s="69">
        <f>STATS1003B!AB2534/1000</f>
        <v>0</v>
      </c>
    </row>
    <row r="2527" spans="1:28" hidden="1" x14ac:dyDescent="0.3">
      <c r="A2527" s="117"/>
      <c r="C2527" s="71" t="s">
        <v>416</v>
      </c>
      <c r="D2527" s="89" t="s">
        <v>61</v>
      </c>
      <c r="E2527" s="85">
        <f>STATS1003B!E2535/1000</f>
        <v>31512.467940000002</v>
      </c>
      <c r="F2527" s="85">
        <f>STATS1003B!F2535/1000</f>
        <v>31512.467940000002</v>
      </c>
      <c r="G2527" s="85">
        <f>STATS1003B!G2535/1000</f>
        <v>0</v>
      </c>
      <c r="H2527" s="85">
        <f>STATS1003B!H2535/1000</f>
        <v>31512.467940000002</v>
      </c>
      <c r="I2527" s="85">
        <f>STATS1003B!I2535/1000</f>
        <v>21451.583549999999</v>
      </c>
      <c r="J2527" s="85">
        <f>STATS1003B!J2535/1000</f>
        <v>21451.583549999999</v>
      </c>
      <c r="K2527" s="85">
        <f>STATS1003B!K2535/1000</f>
        <v>0</v>
      </c>
      <c r="L2527" s="85">
        <f>STATS1003B!L2535/1000</f>
        <v>0</v>
      </c>
      <c r="M2527" s="85">
        <f>STATS1003B!M2535/1000</f>
        <v>31512.467940000002</v>
      </c>
      <c r="N2527" s="85">
        <f>STATS1003B!N2535/1000</f>
        <v>0</v>
      </c>
      <c r="O2527" s="85">
        <f>STATS1003B!O2535/1000</f>
        <v>0</v>
      </c>
      <c r="P2527" s="85">
        <f>STATS1003B!P2535/1000</f>
        <v>0</v>
      </c>
      <c r="Q2527" s="85">
        <f>STATS1003B!Q2535/1000</f>
        <v>0</v>
      </c>
      <c r="R2527" s="85">
        <f>STATS1003B!R2535/1000</f>
        <v>0</v>
      </c>
      <c r="S2527" s="85">
        <f>STATS1003B!S2535/1000</f>
        <v>0</v>
      </c>
      <c r="T2527" s="85">
        <f>STATS1003B!T2535/1000</f>
        <v>0</v>
      </c>
      <c r="U2527" s="85">
        <f>STATS1003B!U2535/1000</f>
        <v>0</v>
      </c>
      <c r="V2527" s="85">
        <f>STATS1003B!V2535/1000</f>
        <v>31512.467940000002</v>
      </c>
      <c r="W2527" s="85">
        <f>STATS1003B!W2535/1000</f>
        <v>0</v>
      </c>
      <c r="X2527" s="85">
        <f t="shared" si="277"/>
        <v>31512.467940000002</v>
      </c>
      <c r="Y2527" s="85">
        <f>STATS1003B!Y2535/1000</f>
        <v>0</v>
      </c>
      <c r="Z2527" s="85">
        <f t="shared" si="279"/>
        <v>0</v>
      </c>
      <c r="AA2527" s="69">
        <f>STATS1003B!AA2535/1000</f>
        <v>31512.467940000002</v>
      </c>
      <c r="AB2527" s="69">
        <f>STATS1003B!AB2535/1000</f>
        <v>0</v>
      </c>
    </row>
    <row r="2528" spans="1:28" hidden="1" x14ac:dyDescent="0.3">
      <c r="A2528" s="117"/>
      <c r="C2528" s="71" t="s">
        <v>1176</v>
      </c>
      <c r="D2528" s="89" t="s">
        <v>1126</v>
      </c>
      <c r="E2528" s="85">
        <f>STATS1003B!E2536/1000</f>
        <v>5728.1433399999996</v>
      </c>
      <c r="F2528" s="85">
        <f>STATS1003B!F2536/1000</f>
        <v>5728.1433399999996</v>
      </c>
      <c r="G2528" s="85">
        <f>STATS1003B!G2536/1000</f>
        <v>0</v>
      </c>
      <c r="H2528" s="85">
        <f>STATS1003B!H2536/1000</f>
        <v>5728.1433399999996</v>
      </c>
      <c r="I2528" s="85">
        <f>STATS1003B!I2536/1000</f>
        <v>0</v>
      </c>
      <c r="J2528" s="85">
        <f>STATS1003B!J2536/1000</f>
        <v>0</v>
      </c>
      <c r="K2528" s="85">
        <f>STATS1003B!K2536/1000</f>
        <v>0</v>
      </c>
      <c r="L2528" s="85">
        <f>STATS1003B!L2536/1000</f>
        <v>0</v>
      </c>
      <c r="M2528" s="85">
        <f>STATS1003B!M2536/1000</f>
        <v>5728.1433399999996</v>
      </c>
      <c r="N2528" s="85">
        <f>STATS1003B!N2536/1000</f>
        <v>0</v>
      </c>
      <c r="O2528" s="85">
        <f>STATS1003B!O2536/1000</f>
        <v>0</v>
      </c>
      <c r="P2528" s="85">
        <f>STATS1003B!P2536/1000</f>
        <v>0</v>
      </c>
      <c r="Q2528" s="85">
        <f>STATS1003B!Q2536/1000</f>
        <v>0</v>
      </c>
      <c r="R2528" s="85">
        <f>STATS1003B!R2536/1000</f>
        <v>0</v>
      </c>
      <c r="S2528" s="85">
        <f>STATS1003B!S2536/1000</f>
        <v>0</v>
      </c>
      <c r="T2528" s="85">
        <f>STATS1003B!T2536/1000</f>
        <v>0</v>
      </c>
      <c r="U2528" s="85">
        <f>STATS1003B!U2536/1000</f>
        <v>0</v>
      </c>
      <c r="V2528" s="85">
        <f>STATS1003B!V2536/1000</f>
        <v>5728.1433399999996</v>
      </c>
      <c r="W2528" s="85">
        <f>STATS1003B!W2536/1000</f>
        <v>0</v>
      </c>
      <c r="X2528" s="85">
        <f t="shared" si="277"/>
        <v>5728.1433399999996</v>
      </c>
      <c r="Y2528" s="85">
        <f>STATS1003B!Y2536/1000</f>
        <v>0</v>
      </c>
      <c r="Z2528" s="85">
        <f t="shared" si="279"/>
        <v>0</v>
      </c>
      <c r="AA2528" s="69">
        <f>STATS1003B!AA2536/1000</f>
        <v>5728.1433399999996</v>
      </c>
      <c r="AB2528" s="69">
        <f>STATS1003B!AB2536/1000</f>
        <v>0</v>
      </c>
    </row>
    <row r="2529" spans="1:28" hidden="1" x14ac:dyDescent="0.3">
      <c r="A2529" s="117"/>
      <c r="C2529" s="71" t="s">
        <v>1208</v>
      </c>
      <c r="D2529" s="89" t="s">
        <v>1126</v>
      </c>
      <c r="E2529" s="85">
        <f>STATS1003B!E2537/1000</f>
        <v>3000</v>
      </c>
      <c r="F2529" s="85">
        <f>STATS1003B!F2537/1000</f>
        <v>3000</v>
      </c>
      <c r="G2529" s="85">
        <f>STATS1003B!G2537/1000</f>
        <v>0</v>
      </c>
      <c r="H2529" s="85">
        <f>STATS1003B!H2537/1000</f>
        <v>3000</v>
      </c>
      <c r="I2529" s="85">
        <f>STATS1003B!I2537/1000</f>
        <v>0</v>
      </c>
      <c r="J2529" s="85">
        <f>STATS1003B!J2537/1000</f>
        <v>0</v>
      </c>
      <c r="K2529" s="85">
        <f>STATS1003B!K2537/1000</f>
        <v>0</v>
      </c>
      <c r="L2529" s="85">
        <f>STATS1003B!L2537/1000</f>
        <v>0</v>
      </c>
      <c r="M2529" s="85">
        <f>STATS1003B!M2537/1000</f>
        <v>3000</v>
      </c>
      <c r="N2529" s="85">
        <f>STATS1003B!N2537/1000</f>
        <v>0</v>
      </c>
      <c r="O2529" s="85">
        <f>STATS1003B!O2537/1000</f>
        <v>0</v>
      </c>
      <c r="P2529" s="85">
        <f>STATS1003B!P2537/1000</f>
        <v>0</v>
      </c>
      <c r="Q2529" s="85">
        <f>STATS1003B!Q2537/1000</f>
        <v>0</v>
      </c>
      <c r="R2529" s="85">
        <f>STATS1003B!R2537/1000</f>
        <v>0</v>
      </c>
      <c r="S2529" s="85">
        <f>STATS1003B!S2537/1000</f>
        <v>0</v>
      </c>
      <c r="T2529" s="85">
        <f>STATS1003B!T2537/1000</f>
        <v>0</v>
      </c>
      <c r="U2529" s="85">
        <f>STATS1003B!U2537/1000</f>
        <v>0</v>
      </c>
      <c r="V2529" s="85">
        <f>STATS1003B!V2537/1000</f>
        <v>3000</v>
      </c>
      <c r="W2529" s="85">
        <f>STATS1003B!W2537/1000</f>
        <v>0</v>
      </c>
      <c r="X2529" s="85">
        <f t="shared" si="277"/>
        <v>3000</v>
      </c>
      <c r="Y2529" s="85">
        <f>STATS1003B!Y2537/1000</f>
        <v>0</v>
      </c>
      <c r="Z2529" s="85">
        <f t="shared" si="279"/>
        <v>0</v>
      </c>
      <c r="AA2529" s="69">
        <f>STATS1003B!AA2537/1000</f>
        <v>3000</v>
      </c>
      <c r="AB2529" s="69">
        <f>STATS1003B!AB2537/1000</f>
        <v>0</v>
      </c>
    </row>
    <row r="2530" spans="1:28" hidden="1" x14ac:dyDescent="0.3">
      <c r="A2530" s="117"/>
      <c r="C2530" s="71" t="s">
        <v>417</v>
      </c>
      <c r="E2530" s="85">
        <f>STATS1003B!E2538/1000</f>
        <v>3692.029</v>
      </c>
      <c r="F2530" s="85">
        <f>STATS1003B!F2538/1000</f>
        <v>3692.029</v>
      </c>
      <c r="G2530" s="85">
        <f>STATS1003B!G2538/1000</f>
        <v>0</v>
      </c>
      <c r="H2530" s="85">
        <f>STATS1003B!H2538/1000</f>
        <v>3692.029</v>
      </c>
      <c r="I2530" s="85">
        <f>STATS1003B!I2538/1000</f>
        <v>0</v>
      </c>
      <c r="J2530" s="85">
        <f>STATS1003B!J2538/1000</f>
        <v>0</v>
      </c>
      <c r="K2530" s="85">
        <f>STATS1003B!K2538/1000</f>
        <v>0</v>
      </c>
      <c r="L2530" s="85">
        <f>STATS1003B!L2538/1000</f>
        <v>0</v>
      </c>
      <c r="M2530" s="85">
        <f>STATS1003B!M2538/1000</f>
        <v>3692.029</v>
      </c>
      <c r="N2530" s="85">
        <f>STATS1003B!N2538/1000</f>
        <v>0</v>
      </c>
      <c r="O2530" s="85">
        <f>STATS1003B!O2538/1000</f>
        <v>0</v>
      </c>
      <c r="P2530" s="85">
        <f>STATS1003B!P2538/1000</f>
        <v>0</v>
      </c>
      <c r="Q2530" s="85">
        <f>STATS1003B!Q2538/1000</f>
        <v>0</v>
      </c>
      <c r="R2530" s="85">
        <f>STATS1003B!R2538/1000</f>
        <v>0</v>
      </c>
      <c r="S2530" s="85">
        <f>STATS1003B!S2538/1000</f>
        <v>0</v>
      </c>
      <c r="T2530" s="85">
        <f>STATS1003B!T2538/1000</f>
        <v>0</v>
      </c>
      <c r="U2530" s="85">
        <f>STATS1003B!U2538/1000</f>
        <v>0</v>
      </c>
      <c r="V2530" s="85">
        <f>STATS1003B!V2538/1000</f>
        <v>3692.029</v>
      </c>
      <c r="W2530" s="85">
        <f>STATS1003B!W2538/1000</f>
        <v>0</v>
      </c>
      <c r="X2530" s="85">
        <f t="shared" si="277"/>
        <v>3692.029</v>
      </c>
      <c r="Y2530" s="85">
        <f>STATS1003B!Y2538/1000</f>
        <v>0</v>
      </c>
      <c r="Z2530" s="85">
        <f t="shared" si="279"/>
        <v>0</v>
      </c>
      <c r="AA2530" s="69">
        <f>STATS1003B!AA2538/1000</f>
        <v>3692.029</v>
      </c>
      <c r="AB2530" s="69">
        <f>STATS1003B!AB2538/1000</f>
        <v>0</v>
      </c>
    </row>
    <row r="2531" spans="1:28" hidden="1" x14ac:dyDescent="0.3">
      <c r="A2531" s="117"/>
      <c r="C2531" s="71" t="s">
        <v>418</v>
      </c>
      <c r="E2531" s="85">
        <f>STATS1003B!E2539/1000</f>
        <v>8720.3080000000009</v>
      </c>
      <c r="F2531" s="85">
        <f>STATS1003B!F2539/1000</f>
        <v>8720.3080000000009</v>
      </c>
      <c r="G2531" s="85">
        <f>STATS1003B!G2539/1000</f>
        <v>0</v>
      </c>
      <c r="H2531" s="85">
        <f>STATS1003B!H2539/1000</f>
        <v>8720.3080000000009</v>
      </c>
      <c r="I2531" s="85">
        <f>STATS1003B!I2539/1000</f>
        <v>0</v>
      </c>
      <c r="J2531" s="85">
        <f>STATS1003B!J2539/1000</f>
        <v>0</v>
      </c>
      <c r="K2531" s="85">
        <f>STATS1003B!K2539/1000</f>
        <v>0</v>
      </c>
      <c r="L2531" s="85">
        <f>STATS1003B!L2539/1000</f>
        <v>0</v>
      </c>
      <c r="M2531" s="85">
        <f>STATS1003B!M2539/1000</f>
        <v>8720.3080000000009</v>
      </c>
      <c r="N2531" s="85">
        <f>STATS1003B!N2539/1000</f>
        <v>0</v>
      </c>
      <c r="O2531" s="85">
        <f>STATS1003B!O2539/1000</f>
        <v>0</v>
      </c>
      <c r="P2531" s="85">
        <f>STATS1003B!P2539/1000</f>
        <v>0</v>
      </c>
      <c r="Q2531" s="85">
        <f>STATS1003B!Q2539/1000</f>
        <v>0</v>
      </c>
      <c r="R2531" s="85">
        <f>STATS1003B!R2539/1000</f>
        <v>0</v>
      </c>
      <c r="S2531" s="85">
        <f>STATS1003B!S2539/1000</f>
        <v>0</v>
      </c>
      <c r="T2531" s="85">
        <f>STATS1003B!T2539/1000</f>
        <v>0</v>
      </c>
      <c r="U2531" s="85">
        <f>STATS1003B!U2539/1000</f>
        <v>0</v>
      </c>
      <c r="V2531" s="85">
        <f>STATS1003B!V2539/1000</f>
        <v>8720.3080000000009</v>
      </c>
      <c r="W2531" s="85">
        <f>STATS1003B!W2539/1000</f>
        <v>0</v>
      </c>
      <c r="X2531" s="85">
        <f t="shared" si="277"/>
        <v>8720.3080000000009</v>
      </c>
      <c r="Y2531" s="85">
        <f>STATS1003B!Y2539/1000</f>
        <v>0</v>
      </c>
      <c r="Z2531" s="85">
        <f t="shared" si="279"/>
        <v>0</v>
      </c>
      <c r="AA2531" s="69">
        <f>STATS1003B!AA2539/1000</f>
        <v>8720.3080000000009</v>
      </c>
      <c r="AB2531" s="69">
        <f>STATS1003B!AB2539/1000</f>
        <v>0</v>
      </c>
    </row>
    <row r="2532" spans="1:28" hidden="1" x14ac:dyDescent="0.3">
      <c r="A2532" s="117"/>
      <c r="C2532" s="71" t="s">
        <v>419</v>
      </c>
      <c r="E2532" s="85">
        <f>STATS1003B!E2540/1000</f>
        <v>4398.65542</v>
      </c>
      <c r="F2532" s="85">
        <f>STATS1003B!F2540/1000</f>
        <v>4398.65542</v>
      </c>
      <c r="G2532" s="85">
        <f>STATS1003B!G2540/1000</f>
        <v>0</v>
      </c>
      <c r="H2532" s="85">
        <f>STATS1003B!H2540/1000</f>
        <v>4398.65542</v>
      </c>
      <c r="I2532" s="85">
        <f>STATS1003B!I2540/1000</f>
        <v>0</v>
      </c>
      <c r="J2532" s="85">
        <f>STATS1003B!J2540/1000</f>
        <v>0</v>
      </c>
      <c r="K2532" s="85">
        <f>STATS1003B!K2540/1000</f>
        <v>0</v>
      </c>
      <c r="L2532" s="85">
        <f>STATS1003B!L2540/1000</f>
        <v>0</v>
      </c>
      <c r="M2532" s="85">
        <f>STATS1003B!M2540/1000</f>
        <v>4398.65542</v>
      </c>
      <c r="N2532" s="85">
        <f>STATS1003B!N2540/1000</f>
        <v>0</v>
      </c>
      <c r="O2532" s="85">
        <f>STATS1003B!O2540/1000</f>
        <v>0</v>
      </c>
      <c r="P2532" s="85">
        <f>STATS1003B!P2540/1000</f>
        <v>0</v>
      </c>
      <c r="Q2532" s="85">
        <f>STATS1003B!Q2540/1000</f>
        <v>0</v>
      </c>
      <c r="R2532" s="85">
        <f>STATS1003B!R2540/1000</f>
        <v>0</v>
      </c>
      <c r="S2532" s="85">
        <f>STATS1003B!S2540/1000</f>
        <v>0</v>
      </c>
      <c r="T2532" s="85">
        <f>STATS1003B!T2540/1000</f>
        <v>0</v>
      </c>
      <c r="U2532" s="85">
        <f>STATS1003B!U2540/1000</f>
        <v>0</v>
      </c>
      <c r="V2532" s="85">
        <f>STATS1003B!V2540/1000</f>
        <v>4398.65542</v>
      </c>
      <c r="W2532" s="85">
        <f>STATS1003B!W2540/1000</f>
        <v>0</v>
      </c>
      <c r="X2532" s="85">
        <f t="shared" si="277"/>
        <v>4398.65542</v>
      </c>
      <c r="Y2532" s="85">
        <f>STATS1003B!Y2540/1000</f>
        <v>0</v>
      </c>
      <c r="Z2532" s="85">
        <f t="shared" si="279"/>
        <v>0</v>
      </c>
      <c r="AA2532" s="69">
        <f>STATS1003B!AA2540/1000</f>
        <v>4398.65542</v>
      </c>
      <c r="AB2532" s="69">
        <f>STATS1003B!AB2540/1000</f>
        <v>0</v>
      </c>
    </row>
    <row r="2533" spans="1:28" hidden="1" x14ac:dyDescent="0.3">
      <c r="A2533" s="117"/>
      <c r="C2533" s="71" t="s">
        <v>109</v>
      </c>
      <c r="E2533" s="85">
        <f>STATS1003B!E2541/1000</f>
        <v>7316.8771999999999</v>
      </c>
      <c r="F2533" s="85">
        <f>STATS1003B!F2541/1000</f>
        <v>7316.8771999999999</v>
      </c>
      <c r="G2533" s="85">
        <f>STATS1003B!G2541/1000</f>
        <v>0</v>
      </c>
      <c r="H2533" s="85">
        <f>STATS1003B!H2541/1000</f>
        <v>7316.8771999999999</v>
      </c>
      <c r="I2533" s="85">
        <f>STATS1003B!I2541/1000</f>
        <v>0</v>
      </c>
      <c r="J2533" s="85">
        <f>STATS1003B!J2541/1000</f>
        <v>0</v>
      </c>
      <c r="K2533" s="85">
        <f>STATS1003B!K2541/1000</f>
        <v>0</v>
      </c>
      <c r="L2533" s="85">
        <f>STATS1003B!L2541/1000</f>
        <v>0</v>
      </c>
      <c r="M2533" s="85">
        <f>STATS1003B!M2541/1000</f>
        <v>7316.8771999999999</v>
      </c>
      <c r="N2533" s="85">
        <f>STATS1003B!N2541/1000</f>
        <v>0</v>
      </c>
      <c r="O2533" s="85">
        <f>STATS1003B!O2541/1000</f>
        <v>0</v>
      </c>
      <c r="P2533" s="85">
        <f>STATS1003B!P2541/1000</f>
        <v>0</v>
      </c>
      <c r="Q2533" s="85">
        <f>STATS1003B!Q2541/1000</f>
        <v>0</v>
      </c>
      <c r="R2533" s="85">
        <f>STATS1003B!R2541/1000</f>
        <v>0</v>
      </c>
      <c r="S2533" s="85">
        <f>STATS1003B!S2541/1000</f>
        <v>0</v>
      </c>
      <c r="T2533" s="85">
        <f>STATS1003B!T2541/1000</f>
        <v>0</v>
      </c>
      <c r="U2533" s="85">
        <f>STATS1003B!U2541/1000</f>
        <v>0</v>
      </c>
      <c r="V2533" s="85">
        <f>STATS1003B!V2541/1000</f>
        <v>7316.8771999999999</v>
      </c>
      <c r="W2533" s="85">
        <f>STATS1003B!W2541/1000</f>
        <v>0</v>
      </c>
      <c r="X2533" s="85">
        <f t="shared" si="277"/>
        <v>7316.8771999999999</v>
      </c>
      <c r="Y2533" s="85">
        <f>STATS1003B!Y2541/1000</f>
        <v>0</v>
      </c>
      <c r="Z2533" s="85">
        <f t="shared" si="279"/>
        <v>0</v>
      </c>
      <c r="AA2533" s="69">
        <f>STATS1003B!AA2541/1000</f>
        <v>7316.8771999999999</v>
      </c>
      <c r="AB2533" s="69">
        <f>STATS1003B!AB2541/1000</f>
        <v>0</v>
      </c>
    </row>
    <row r="2534" spans="1:28" hidden="1" x14ac:dyDescent="0.3">
      <c r="A2534" s="117"/>
      <c r="E2534" s="86" t="s">
        <v>29</v>
      </c>
      <c r="F2534" s="86" t="s">
        <v>29</v>
      </c>
      <c r="G2534" s="86" t="s">
        <v>29</v>
      </c>
      <c r="H2534" s="86" t="s">
        <v>29</v>
      </c>
      <c r="I2534" s="86" t="s">
        <v>29</v>
      </c>
      <c r="J2534" s="86" t="s">
        <v>29</v>
      </c>
      <c r="K2534" s="86" t="s">
        <v>29</v>
      </c>
      <c r="L2534" s="86" t="s">
        <v>29</v>
      </c>
      <c r="M2534" s="86" t="s">
        <v>29</v>
      </c>
      <c r="N2534" s="86" t="s">
        <v>29</v>
      </c>
      <c r="O2534" s="86" t="s">
        <v>29</v>
      </c>
      <c r="P2534" s="86" t="s">
        <v>29</v>
      </c>
      <c r="Q2534" s="86" t="s">
        <v>29</v>
      </c>
      <c r="R2534" s="86" t="s">
        <v>29</v>
      </c>
      <c r="S2534" s="86" t="s">
        <v>29</v>
      </c>
      <c r="T2534" s="86" t="s">
        <v>29</v>
      </c>
      <c r="U2534" s="86" t="s">
        <v>29</v>
      </c>
      <c r="V2534" s="86" t="s">
        <v>29</v>
      </c>
      <c r="W2534" s="86" t="s">
        <v>29</v>
      </c>
      <c r="X2534" s="85" t="e">
        <f t="shared" ref="X2534:X2564" si="282">+H2534+P2534</f>
        <v>#VALUE!</v>
      </c>
      <c r="Y2534" s="86" t="s">
        <v>29</v>
      </c>
      <c r="Z2534" s="85" t="e">
        <f t="shared" si="279"/>
        <v>#VALUE!</v>
      </c>
      <c r="AA2534" s="115" t="s">
        <v>29</v>
      </c>
      <c r="AB2534" s="115" t="s">
        <v>29</v>
      </c>
    </row>
    <row r="2535" spans="1:28" x14ac:dyDescent="0.3">
      <c r="A2535" s="116">
        <v>111</v>
      </c>
      <c r="B2535" s="71" t="s">
        <v>410</v>
      </c>
      <c r="E2535" s="85">
        <f>464836710.02/1000</f>
        <v>464836.71002</v>
      </c>
      <c r="F2535" s="85">
        <f t="shared" ref="F2535:AB2535" si="283">SUM(F2518:F2533)</f>
        <v>126826.20225</v>
      </c>
      <c r="G2535" s="85">
        <f t="shared" si="283"/>
        <v>0</v>
      </c>
      <c r="H2535" s="85">
        <f>440307589.18/1000</f>
        <v>440307.58918000001</v>
      </c>
      <c r="I2535" s="85">
        <f t="shared" si="283"/>
        <v>21451.583549999999</v>
      </c>
      <c r="J2535" s="85">
        <f t="shared" si="283"/>
        <v>21451.583549999999</v>
      </c>
      <c r="K2535" s="85">
        <f t="shared" si="283"/>
        <v>0</v>
      </c>
      <c r="L2535" s="85">
        <f t="shared" si="283"/>
        <v>0</v>
      </c>
      <c r="M2535" s="85">
        <f t="shared" si="283"/>
        <v>126826.20225</v>
      </c>
      <c r="N2535" s="85">
        <f t="shared" si="283"/>
        <v>12129.19816</v>
      </c>
      <c r="O2535" s="85">
        <f t="shared" si="283"/>
        <v>0</v>
      </c>
      <c r="P2535" s="85">
        <f>12129198/1000</f>
        <v>12129.198</v>
      </c>
      <c r="Q2535" s="85">
        <f t="shared" si="283"/>
        <v>12400.955179999999</v>
      </c>
      <c r="R2535" s="85">
        <f t="shared" si="283"/>
        <v>1.0325</v>
      </c>
      <c r="S2535" s="85">
        <f t="shared" si="283"/>
        <v>0</v>
      </c>
      <c r="T2535" s="85">
        <f t="shared" si="283"/>
        <v>12399.92268</v>
      </c>
      <c r="U2535" s="85">
        <f t="shared" si="283"/>
        <v>24529.120839999996</v>
      </c>
      <c r="V2535" s="85">
        <f t="shared" si="283"/>
        <v>138955.40041</v>
      </c>
      <c r="W2535" s="85">
        <f t="shared" si="283"/>
        <v>12399.92268</v>
      </c>
      <c r="X2535" s="85">
        <f>+H2535+P2535</f>
        <v>452436.78717999998</v>
      </c>
      <c r="Y2535" s="85">
        <f t="shared" si="283"/>
        <v>0</v>
      </c>
      <c r="Z2535" s="85">
        <f t="shared" si="279"/>
        <v>12399.922840000014</v>
      </c>
      <c r="AA2535" s="72">
        <f t="shared" si="283"/>
        <v>151355.32308999996</v>
      </c>
      <c r="AB2535" s="72">
        <f t="shared" si="283"/>
        <v>0</v>
      </c>
    </row>
    <row r="2536" spans="1:28" hidden="1" x14ac:dyDescent="0.3">
      <c r="A2536" s="117"/>
      <c r="E2536" s="86" t="s">
        <v>29</v>
      </c>
      <c r="F2536" s="86" t="s">
        <v>29</v>
      </c>
      <c r="G2536" s="86" t="s">
        <v>29</v>
      </c>
      <c r="H2536" s="86" t="s">
        <v>29</v>
      </c>
      <c r="I2536" s="86" t="s">
        <v>29</v>
      </c>
      <c r="J2536" s="86" t="s">
        <v>29</v>
      </c>
      <c r="K2536" s="86" t="s">
        <v>29</v>
      </c>
      <c r="L2536" s="86" t="s">
        <v>29</v>
      </c>
      <c r="M2536" s="86" t="s">
        <v>29</v>
      </c>
      <c r="N2536" s="86" t="s">
        <v>29</v>
      </c>
      <c r="O2536" s="86" t="s">
        <v>29</v>
      </c>
      <c r="P2536" s="86" t="s">
        <v>29</v>
      </c>
      <c r="Q2536" s="86" t="s">
        <v>29</v>
      </c>
      <c r="R2536" s="86" t="s">
        <v>29</v>
      </c>
      <c r="S2536" s="86" t="s">
        <v>29</v>
      </c>
      <c r="T2536" s="86" t="s">
        <v>29</v>
      </c>
      <c r="U2536" s="86" t="s">
        <v>29</v>
      </c>
      <c r="V2536" s="86" t="s">
        <v>29</v>
      </c>
      <c r="W2536" s="86" t="s">
        <v>29</v>
      </c>
      <c r="X2536" s="85" t="e">
        <f t="shared" si="282"/>
        <v>#VALUE!</v>
      </c>
      <c r="Y2536" s="86" t="s">
        <v>29</v>
      </c>
      <c r="Z2536" s="85" t="e">
        <f t="shared" si="279"/>
        <v>#VALUE!</v>
      </c>
      <c r="AA2536" s="115" t="s">
        <v>29</v>
      </c>
      <c r="AB2536" s="115" t="s">
        <v>29</v>
      </c>
    </row>
    <row r="2537" spans="1:28" hidden="1" x14ac:dyDescent="0.3">
      <c r="A2537" s="105"/>
      <c r="E2537" s="84"/>
      <c r="F2537" s="84"/>
      <c r="G2537" s="84"/>
      <c r="H2537" s="84"/>
      <c r="I2537" s="84"/>
      <c r="J2537" s="84"/>
      <c r="K2537" s="84"/>
      <c r="L2537" s="84"/>
      <c r="M2537" s="84"/>
      <c r="N2537" s="84"/>
      <c r="O2537" s="84"/>
      <c r="P2537" s="84"/>
      <c r="Q2537" s="84"/>
      <c r="R2537" s="84"/>
      <c r="S2537" s="84"/>
      <c r="T2537" s="84"/>
      <c r="U2537" s="84"/>
      <c r="V2537" s="84"/>
      <c r="W2537" s="84"/>
      <c r="X2537" s="85">
        <f t="shared" si="282"/>
        <v>0</v>
      </c>
      <c r="Y2537" s="84"/>
      <c r="Z2537" s="85">
        <f t="shared" si="279"/>
        <v>0</v>
      </c>
    </row>
    <row r="2538" spans="1:28" x14ac:dyDescent="0.3">
      <c r="A2538" s="117"/>
      <c r="B2538" s="71" t="s">
        <v>420</v>
      </c>
      <c r="D2538" s="88" t="s">
        <v>85</v>
      </c>
      <c r="E2538" s="85">
        <v>14</v>
      </c>
      <c r="F2538" s="85">
        <f>STATS1003B!F2546/1000</f>
        <v>14</v>
      </c>
      <c r="G2538" s="85">
        <f>STATS1003B!G2546/1000</f>
        <v>0</v>
      </c>
      <c r="H2538" s="85">
        <v>14</v>
      </c>
      <c r="I2538" s="85">
        <f>STATS1003B!I2546/1000</f>
        <v>0</v>
      </c>
      <c r="J2538" s="85">
        <f>STATS1003B!J2546/1000</f>
        <v>0</v>
      </c>
      <c r="K2538" s="85">
        <f>STATS1003B!K2546/1000</f>
        <v>0</v>
      </c>
      <c r="L2538" s="85">
        <f>STATS1003B!L2546/1000</f>
        <v>0</v>
      </c>
      <c r="M2538" s="85">
        <f>STATS1003B!M2546/1000</f>
        <v>14</v>
      </c>
      <c r="N2538" s="85">
        <f>STATS1003B!N2546/1000</f>
        <v>0</v>
      </c>
      <c r="O2538" s="85">
        <f>STATS1003B!O2546/1000</f>
        <v>0</v>
      </c>
      <c r="P2538" s="85">
        <v>0</v>
      </c>
      <c r="Q2538" s="85">
        <f>STATS1003B!Q2546/1000</f>
        <v>0</v>
      </c>
      <c r="R2538" s="85">
        <f>STATS1003B!R2546/1000</f>
        <v>0</v>
      </c>
      <c r="S2538" s="85">
        <f>STATS1003B!S2546/1000</f>
        <v>0</v>
      </c>
      <c r="T2538" s="85">
        <f>STATS1003B!T2546/1000</f>
        <v>0</v>
      </c>
      <c r="U2538" s="85">
        <f>STATS1003B!U2546/1000</f>
        <v>0</v>
      </c>
      <c r="V2538" s="85">
        <f>STATS1003B!V2546/1000</f>
        <v>14</v>
      </c>
      <c r="W2538" s="85">
        <f>STATS1003B!W2546/1000</f>
        <v>0</v>
      </c>
      <c r="X2538" s="85">
        <f>+H2538+P2538</f>
        <v>14</v>
      </c>
      <c r="Y2538" s="85">
        <f>STATS1003B!Y2546/1000</f>
        <v>0</v>
      </c>
      <c r="Z2538" s="85">
        <f t="shared" si="279"/>
        <v>0</v>
      </c>
      <c r="AA2538" s="69">
        <f>STATS1003B!AA2546/1000</f>
        <v>14</v>
      </c>
      <c r="AB2538" s="69">
        <f>STATS1003B!AB2546/1000</f>
        <v>0</v>
      </c>
    </row>
    <row r="2539" spans="1:28" hidden="1" x14ac:dyDescent="0.3">
      <c r="A2539" s="117"/>
      <c r="E2539" s="86" t="s">
        <v>29</v>
      </c>
      <c r="F2539" s="86" t="s">
        <v>29</v>
      </c>
      <c r="G2539" s="86" t="s">
        <v>29</v>
      </c>
      <c r="H2539" s="86" t="s">
        <v>29</v>
      </c>
      <c r="I2539" s="86" t="s">
        <v>29</v>
      </c>
      <c r="J2539" s="86" t="s">
        <v>29</v>
      </c>
      <c r="K2539" s="86" t="s">
        <v>29</v>
      </c>
      <c r="L2539" s="86" t="s">
        <v>29</v>
      </c>
      <c r="M2539" s="86" t="s">
        <v>29</v>
      </c>
      <c r="N2539" s="86" t="s">
        <v>29</v>
      </c>
      <c r="O2539" s="86" t="s">
        <v>29</v>
      </c>
      <c r="P2539" s="86" t="s">
        <v>29</v>
      </c>
      <c r="Q2539" s="86" t="s">
        <v>29</v>
      </c>
      <c r="R2539" s="86" t="s">
        <v>29</v>
      </c>
      <c r="S2539" s="86" t="s">
        <v>29</v>
      </c>
      <c r="T2539" s="86" t="s">
        <v>29</v>
      </c>
      <c r="U2539" s="86" t="s">
        <v>29</v>
      </c>
      <c r="V2539" s="86" t="s">
        <v>29</v>
      </c>
      <c r="W2539" s="86" t="s">
        <v>29</v>
      </c>
      <c r="X2539" s="85" t="e">
        <f t="shared" si="282"/>
        <v>#VALUE!</v>
      </c>
      <c r="Y2539" s="86" t="s">
        <v>29</v>
      </c>
      <c r="Z2539" s="85" t="e">
        <f t="shared" si="279"/>
        <v>#VALUE!</v>
      </c>
      <c r="AA2539" s="70" t="s">
        <v>29</v>
      </c>
      <c r="AB2539" s="70" t="s">
        <v>29</v>
      </c>
    </row>
    <row r="2540" spans="1:28" hidden="1" x14ac:dyDescent="0.3">
      <c r="A2540" s="105"/>
      <c r="D2540" s="71" t="s">
        <v>422</v>
      </c>
      <c r="E2540" s="84"/>
      <c r="F2540" s="84"/>
      <c r="G2540" s="84"/>
      <c r="H2540" s="84"/>
      <c r="I2540" s="84"/>
      <c r="J2540" s="84"/>
      <c r="K2540" s="84"/>
      <c r="L2540" s="84"/>
      <c r="M2540" s="84"/>
      <c r="N2540" s="84"/>
      <c r="O2540" s="84"/>
      <c r="P2540" s="84"/>
      <c r="Q2540" s="84"/>
      <c r="R2540" s="84"/>
      <c r="S2540" s="84"/>
      <c r="T2540" s="84"/>
      <c r="U2540" s="84"/>
      <c r="V2540" s="84"/>
      <c r="W2540" s="84"/>
      <c r="X2540" s="85">
        <f t="shared" si="282"/>
        <v>0</v>
      </c>
      <c r="Y2540" s="84"/>
      <c r="Z2540" s="85">
        <f t="shared" si="279"/>
        <v>0</v>
      </c>
    </row>
    <row r="2541" spans="1:28" hidden="1" x14ac:dyDescent="0.3">
      <c r="A2541" s="117"/>
      <c r="C2541" s="71" t="s">
        <v>143</v>
      </c>
      <c r="D2541" s="71" t="s">
        <v>423</v>
      </c>
      <c r="E2541" s="85">
        <f>STATS1003B!E2549/1000</f>
        <v>14677.731669999999</v>
      </c>
      <c r="F2541" s="85">
        <f>STATS1003B!F2549/1000</f>
        <v>13065.235500000001</v>
      </c>
      <c r="G2541" s="85">
        <f>STATS1003B!G2549/1000</f>
        <v>0</v>
      </c>
      <c r="H2541" s="85">
        <f>STATS1003B!H2549/1000</f>
        <v>13065.235500000001</v>
      </c>
      <c r="I2541" s="85">
        <f>STATS1003B!I2549/1000</f>
        <v>0</v>
      </c>
      <c r="J2541" s="85">
        <f>STATS1003B!J2549/1000</f>
        <v>0</v>
      </c>
      <c r="K2541" s="85">
        <f>STATS1003B!K2549/1000</f>
        <v>0</v>
      </c>
      <c r="L2541" s="85">
        <f>STATS1003B!L2549/1000</f>
        <v>0</v>
      </c>
      <c r="M2541" s="85">
        <f>STATS1003B!M2549/1000</f>
        <v>13065.235500000001</v>
      </c>
      <c r="N2541" s="85">
        <f>STATS1003B!N2549/1000</f>
        <v>1612.4961699999999</v>
      </c>
      <c r="O2541" s="85">
        <f>STATS1003B!O2549/1000</f>
        <v>0</v>
      </c>
      <c r="P2541" s="85">
        <f>STATS1003B!P2549/1000</f>
        <v>1612.4961699999999</v>
      </c>
      <c r="Q2541" s="85">
        <f>STATS1003B!Q2549/1000</f>
        <v>0</v>
      </c>
      <c r="R2541" s="85">
        <f>STATS1003B!R2549/1000</f>
        <v>0</v>
      </c>
      <c r="S2541" s="85">
        <f>STATS1003B!S2549/1000</f>
        <v>0</v>
      </c>
      <c r="T2541" s="85">
        <f>STATS1003B!T2549/1000</f>
        <v>0</v>
      </c>
      <c r="U2541" s="85">
        <f>STATS1003B!U2549/1000</f>
        <v>1612.4961699999999</v>
      </c>
      <c r="V2541" s="85">
        <f>STATS1003B!V2549/1000</f>
        <v>14677.731669999999</v>
      </c>
      <c r="W2541" s="85">
        <f>STATS1003B!W2549/1000</f>
        <v>0</v>
      </c>
      <c r="X2541" s="85">
        <f t="shared" si="282"/>
        <v>14677.731670000001</v>
      </c>
      <c r="Y2541" s="85">
        <f>STATS1003B!Y2549/1000</f>
        <v>0</v>
      </c>
      <c r="Z2541" s="85">
        <f t="shared" si="279"/>
        <v>0</v>
      </c>
      <c r="AA2541" s="69">
        <f>STATS1003B!AA2549/1000</f>
        <v>14677.731669999999</v>
      </c>
      <c r="AB2541" s="69">
        <f>STATS1003B!AB2549/1000</f>
        <v>0</v>
      </c>
    </row>
    <row r="2542" spans="1:28" hidden="1" x14ac:dyDescent="0.3">
      <c r="A2542" s="117"/>
      <c r="C2542" s="71" t="s">
        <v>55</v>
      </c>
      <c r="D2542" s="88" t="s">
        <v>68</v>
      </c>
      <c r="E2542" s="85">
        <f>STATS1003B!E2550/1000</f>
        <v>2386.8404999999998</v>
      </c>
      <c r="F2542" s="85">
        <f>STATS1003B!F2550/1000</f>
        <v>0</v>
      </c>
      <c r="G2542" s="85">
        <f>STATS1003B!G2550/1000</f>
        <v>0</v>
      </c>
      <c r="H2542" s="85">
        <f>STATS1003B!H2550/1000</f>
        <v>0</v>
      </c>
      <c r="I2542" s="85">
        <f>STATS1003B!I2550/1000</f>
        <v>0</v>
      </c>
      <c r="J2542" s="85">
        <f>STATS1003B!J2550/1000</f>
        <v>0</v>
      </c>
      <c r="K2542" s="85">
        <f>STATS1003B!K2550/1000</f>
        <v>0</v>
      </c>
      <c r="L2542" s="85">
        <f>STATS1003B!L2550/1000</f>
        <v>0</v>
      </c>
      <c r="M2542" s="85">
        <f>STATS1003B!M2550/1000</f>
        <v>0</v>
      </c>
      <c r="N2542" s="85">
        <f>STATS1003B!N2550/1000</f>
        <v>2386.8404999999998</v>
      </c>
      <c r="O2542" s="85">
        <f>STATS1003B!O2550/1000</f>
        <v>0</v>
      </c>
      <c r="P2542" s="85">
        <f>STATS1003B!P2550/1000</f>
        <v>2386.8404999999998</v>
      </c>
      <c r="Q2542" s="85">
        <f>STATS1003B!Q2550/1000</f>
        <v>0</v>
      </c>
      <c r="R2542" s="85">
        <f>STATS1003B!R2550/1000</f>
        <v>0</v>
      </c>
      <c r="S2542" s="85">
        <f>STATS1003B!S2550/1000</f>
        <v>0</v>
      </c>
      <c r="T2542" s="85">
        <f>STATS1003B!T2550/1000</f>
        <v>0</v>
      </c>
      <c r="U2542" s="85">
        <f>STATS1003B!U2550/1000</f>
        <v>2386.8404999999998</v>
      </c>
      <c r="V2542" s="85">
        <f>STATS1003B!V2550/1000</f>
        <v>2386.8404999999998</v>
      </c>
      <c r="W2542" s="85">
        <f>STATS1003B!W2550/1000</f>
        <v>0</v>
      </c>
      <c r="X2542" s="85">
        <f t="shared" si="282"/>
        <v>2386.8404999999998</v>
      </c>
      <c r="Y2542" s="85">
        <f>STATS1003B!Y2550/1000</f>
        <v>0</v>
      </c>
      <c r="Z2542" s="85">
        <f t="shared" si="279"/>
        <v>0</v>
      </c>
      <c r="AA2542" s="69">
        <f>STATS1003B!AA2550/1000</f>
        <v>2386.8404999999998</v>
      </c>
      <c r="AB2542" s="69">
        <f>STATS1003B!AB2550/1000</f>
        <v>0</v>
      </c>
    </row>
    <row r="2543" spans="1:28" hidden="1" x14ac:dyDescent="0.3">
      <c r="A2543" s="117"/>
      <c r="C2543" s="71" t="s">
        <v>424</v>
      </c>
      <c r="D2543" s="88" t="s">
        <v>54</v>
      </c>
      <c r="E2543" s="85">
        <f>STATS1003B!E2551/1000</f>
        <v>1767.77</v>
      </c>
      <c r="F2543" s="85">
        <f>STATS1003B!F2551/1000</f>
        <v>0</v>
      </c>
      <c r="G2543" s="85">
        <f>STATS1003B!G2551/1000</f>
        <v>0</v>
      </c>
      <c r="H2543" s="85">
        <f>STATS1003B!H2551/1000</f>
        <v>0</v>
      </c>
      <c r="I2543" s="85">
        <f>STATS1003B!I2551/1000</f>
        <v>0</v>
      </c>
      <c r="J2543" s="85">
        <f>STATS1003B!J2551/1000</f>
        <v>0</v>
      </c>
      <c r="K2543" s="85">
        <f>STATS1003B!K2551/1000</f>
        <v>0</v>
      </c>
      <c r="L2543" s="85">
        <f>STATS1003B!L2551/1000</f>
        <v>0</v>
      </c>
      <c r="M2543" s="85">
        <f>STATS1003B!M2551/1000</f>
        <v>0</v>
      </c>
      <c r="N2543" s="85">
        <f>STATS1003B!N2551/1000</f>
        <v>1767.77</v>
      </c>
      <c r="O2543" s="85">
        <f>STATS1003B!O2551/1000</f>
        <v>0</v>
      </c>
      <c r="P2543" s="85">
        <f>STATS1003B!P2551/1000</f>
        <v>1767.77</v>
      </c>
      <c r="Q2543" s="85">
        <f>STATS1003B!Q2551/1000</f>
        <v>0</v>
      </c>
      <c r="R2543" s="85">
        <f>STATS1003B!R2551/1000</f>
        <v>0</v>
      </c>
      <c r="S2543" s="85">
        <f>STATS1003B!S2551/1000</f>
        <v>0</v>
      </c>
      <c r="T2543" s="85">
        <f>STATS1003B!T2551/1000</f>
        <v>0</v>
      </c>
      <c r="U2543" s="85">
        <f>STATS1003B!U2551/1000</f>
        <v>1767.77</v>
      </c>
      <c r="V2543" s="85">
        <f>STATS1003B!V2551/1000</f>
        <v>1767.77</v>
      </c>
      <c r="W2543" s="85">
        <f>STATS1003B!W2551/1000</f>
        <v>0</v>
      </c>
      <c r="X2543" s="85">
        <f t="shared" si="282"/>
        <v>1767.77</v>
      </c>
      <c r="Y2543" s="85">
        <f>STATS1003B!Y2551/1000</f>
        <v>0</v>
      </c>
      <c r="Z2543" s="85">
        <f t="shared" si="279"/>
        <v>0</v>
      </c>
      <c r="AA2543" s="69">
        <f>STATS1003B!AA2551/1000</f>
        <v>1767.77</v>
      </c>
      <c r="AB2543" s="69">
        <f>STATS1003B!AB2551/1000</f>
        <v>0</v>
      </c>
    </row>
    <row r="2544" spans="1:28" hidden="1" x14ac:dyDescent="0.3">
      <c r="A2544" s="117"/>
      <c r="C2544" s="71" t="s">
        <v>425</v>
      </c>
      <c r="D2544" s="88" t="s">
        <v>54</v>
      </c>
      <c r="E2544" s="85">
        <f>STATS1003B!E2552/1000</f>
        <v>955.34561999999994</v>
      </c>
      <c r="F2544" s="85">
        <f>STATS1003B!F2552/1000</f>
        <v>0</v>
      </c>
      <c r="G2544" s="85">
        <f>STATS1003B!G2552/1000</f>
        <v>0</v>
      </c>
      <c r="H2544" s="85">
        <f>STATS1003B!H2552/1000</f>
        <v>0</v>
      </c>
      <c r="I2544" s="85">
        <f>STATS1003B!I2552/1000</f>
        <v>0</v>
      </c>
      <c r="J2544" s="85">
        <f>STATS1003B!J2552/1000</f>
        <v>0</v>
      </c>
      <c r="K2544" s="85">
        <f>STATS1003B!K2552/1000</f>
        <v>0</v>
      </c>
      <c r="L2544" s="85">
        <f>STATS1003B!L2552/1000</f>
        <v>0</v>
      </c>
      <c r="M2544" s="85">
        <f>STATS1003B!M2552/1000</f>
        <v>0</v>
      </c>
      <c r="N2544" s="85">
        <f>STATS1003B!N2552/1000</f>
        <v>955.34561999999994</v>
      </c>
      <c r="O2544" s="85">
        <f>STATS1003B!O2552/1000</f>
        <v>0</v>
      </c>
      <c r="P2544" s="85">
        <f>STATS1003B!P2552/1000</f>
        <v>955.34561999999994</v>
      </c>
      <c r="Q2544" s="85">
        <f>STATS1003B!Q2552/1000</f>
        <v>0</v>
      </c>
      <c r="R2544" s="85">
        <f>STATS1003B!R2552/1000</f>
        <v>0</v>
      </c>
      <c r="S2544" s="85">
        <f>STATS1003B!S2552/1000</f>
        <v>0</v>
      </c>
      <c r="T2544" s="85">
        <f>STATS1003B!T2552/1000</f>
        <v>0</v>
      </c>
      <c r="U2544" s="85">
        <f>STATS1003B!U2552/1000</f>
        <v>955.34561999999994</v>
      </c>
      <c r="V2544" s="85">
        <f>STATS1003B!V2552/1000</f>
        <v>955.34561999999994</v>
      </c>
      <c r="W2544" s="85">
        <f>STATS1003B!W2552/1000</f>
        <v>0</v>
      </c>
      <c r="X2544" s="85">
        <f t="shared" si="282"/>
        <v>955.34561999999994</v>
      </c>
      <c r="Y2544" s="85">
        <f>STATS1003B!Y2552/1000</f>
        <v>0</v>
      </c>
      <c r="Z2544" s="85">
        <f t="shared" si="279"/>
        <v>0</v>
      </c>
      <c r="AA2544" s="69">
        <f>STATS1003B!AA2552/1000</f>
        <v>955.34561999999994</v>
      </c>
      <c r="AB2544" s="69">
        <f>STATS1003B!AB2552/1000</f>
        <v>0</v>
      </c>
    </row>
    <row r="2545" spans="1:28" hidden="1" x14ac:dyDescent="0.3">
      <c r="A2545" s="117"/>
      <c r="C2545" s="71" t="s">
        <v>426</v>
      </c>
      <c r="D2545" s="88" t="s">
        <v>54</v>
      </c>
      <c r="E2545" s="85">
        <f>STATS1003B!E2553/1000</f>
        <v>445.41300000000001</v>
      </c>
      <c r="F2545" s="85">
        <f>STATS1003B!F2553/1000</f>
        <v>445.41300000000001</v>
      </c>
      <c r="G2545" s="85">
        <f>STATS1003B!G2553/1000</f>
        <v>0</v>
      </c>
      <c r="H2545" s="85">
        <f>STATS1003B!H2553/1000</f>
        <v>445.41300000000001</v>
      </c>
      <c r="I2545" s="85">
        <f>STATS1003B!I2553/1000</f>
        <v>0</v>
      </c>
      <c r="J2545" s="85">
        <f>STATS1003B!J2553/1000</f>
        <v>0</v>
      </c>
      <c r="K2545" s="85">
        <f>STATS1003B!K2553/1000</f>
        <v>0</v>
      </c>
      <c r="L2545" s="85">
        <f>STATS1003B!L2553/1000</f>
        <v>0</v>
      </c>
      <c r="M2545" s="85">
        <f>STATS1003B!M2553/1000</f>
        <v>445.41300000000001</v>
      </c>
      <c r="N2545" s="85">
        <f>STATS1003B!N2553/1000</f>
        <v>0</v>
      </c>
      <c r="O2545" s="85">
        <f>STATS1003B!O2553/1000</f>
        <v>0</v>
      </c>
      <c r="P2545" s="85">
        <f>STATS1003B!P2553/1000</f>
        <v>0</v>
      </c>
      <c r="Q2545" s="85">
        <f>STATS1003B!Q2553/1000</f>
        <v>0</v>
      </c>
      <c r="R2545" s="85">
        <f>STATS1003B!R2553/1000</f>
        <v>0</v>
      </c>
      <c r="S2545" s="85">
        <f>STATS1003B!S2553/1000</f>
        <v>0</v>
      </c>
      <c r="T2545" s="85">
        <f>STATS1003B!T2553/1000</f>
        <v>0</v>
      </c>
      <c r="U2545" s="85">
        <f>STATS1003B!U2553/1000</f>
        <v>0</v>
      </c>
      <c r="V2545" s="85">
        <f>STATS1003B!V2553/1000</f>
        <v>445.41300000000001</v>
      </c>
      <c r="W2545" s="85">
        <f>STATS1003B!W2553/1000</f>
        <v>0</v>
      </c>
      <c r="X2545" s="85">
        <f t="shared" si="282"/>
        <v>445.41300000000001</v>
      </c>
      <c r="Y2545" s="85">
        <f>STATS1003B!Y2553/1000</f>
        <v>0</v>
      </c>
      <c r="Z2545" s="85">
        <f t="shared" si="279"/>
        <v>0</v>
      </c>
      <c r="AA2545" s="69">
        <f>STATS1003B!AA2553/1000</f>
        <v>445.41300000000001</v>
      </c>
      <c r="AB2545" s="69">
        <f>STATS1003B!AB2553/1000</f>
        <v>0</v>
      </c>
    </row>
    <row r="2546" spans="1:28" hidden="1" x14ac:dyDescent="0.3">
      <c r="A2546" s="117"/>
      <c r="C2546" s="71" t="s">
        <v>427</v>
      </c>
      <c r="D2546" s="88" t="s">
        <v>85</v>
      </c>
      <c r="E2546" s="85">
        <f>STATS1003B!E2554/1000</f>
        <v>1400</v>
      </c>
      <c r="F2546" s="85">
        <f>STATS1003B!F2554/1000</f>
        <v>1400</v>
      </c>
      <c r="G2546" s="85">
        <f>STATS1003B!G2554/1000</f>
        <v>0</v>
      </c>
      <c r="H2546" s="85">
        <f>STATS1003B!H2554/1000</f>
        <v>1400</v>
      </c>
      <c r="I2546" s="85">
        <f>STATS1003B!I2554/1000</f>
        <v>0</v>
      </c>
      <c r="J2546" s="85">
        <f>STATS1003B!J2554/1000</f>
        <v>0</v>
      </c>
      <c r="K2546" s="85">
        <f>STATS1003B!K2554/1000</f>
        <v>0</v>
      </c>
      <c r="L2546" s="85">
        <f>STATS1003B!L2554/1000</f>
        <v>0</v>
      </c>
      <c r="M2546" s="85">
        <f>STATS1003B!M2554/1000</f>
        <v>1400</v>
      </c>
      <c r="N2546" s="85">
        <f>STATS1003B!N2554/1000</f>
        <v>0</v>
      </c>
      <c r="O2546" s="85">
        <f>STATS1003B!O2554/1000</f>
        <v>0</v>
      </c>
      <c r="P2546" s="85">
        <f>STATS1003B!P2554/1000</f>
        <v>0</v>
      </c>
      <c r="Q2546" s="85">
        <f>STATS1003B!Q2554/1000</f>
        <v>0</v>
      </c>
      <c r="R2546" s="85">
        <f>STATS1003B!R2554/1000</f>
        <v>0</v>
      </c>
      <c r="S2546" s="85">
        <f>STATS1003B!S2554/1000</f>
        <v>0</v>
      </c>
      <c r="T2546" s="85">
        <f>STATS1003B!T2554/1000</f>
        <v>0</v>
      </c>
      <c r="U2546" s="85">
        <f>STATS1003B!U2554/1000</f>
        <v>0</v>
      </c>
      <c r="V2546" s="85">
        <f>STATS1003B!V2554/1000</f>
        <v>1400</v>
      </c>
      <c r="W2546" s="85">
        <f>STATS1003B!W2554/1000</f>
        <v>0</v>
      </c>
      <c r="X2546" s="85">
        <f t="shared" si="282"/>
        <v>1400</v>
      </c>
      <c r="Y2546" s="85">
        <f>STATS1003B!Y2554/1000</f>
        <v>0</v>
      </c>
      <c r="Z2546" s="85">
        <f t="shared" si="279"/>
        <v>0</v>
      </c>
      <c r="AA2546" s="69">
        <f>STATS1003B!AA2554/1000</f>
        <v>1400</v>
      </c>
      <c r="AB2546" s="69">
        <f>STATS1003B!AB2554/1000</f>
        <v>0</v>
      </c>
    </row>
    <row r="2547" spans="1:28" hidden="1" x14ac:dyDescent="0.3">
      <c r="A2547" s="117"/>
      <c r="C2547" s="71" t="s">
        <v>428</v>
      </c>
      <c r="D2547" s="88" t="s">
        <v>85</v>
      </c>
      <c r="E2547" s="85">
        <f>STATS1003B!E2555/1000</f>
        <v>2000</v>
      </c>
      <c r="F2547" s="85">
        <f>STATS1003B!F2555/1000</f>
        <v>2000</v>
      </c>
      <c r="G2547" s="85">
        <f>STATS1003B!G2555/1000</f>
        <v>0</v>
      </c>
      <c r="H2547" s="85">
        <f>STATS1003B!H2555/1000</f>
        <v>2000</v>
      </c>
      <c r="I2547" s="85">
        <f>STATS1003B!I2555/1000</f>
        <v>0</v>
      </c>
      <c r="J2547" s="85">
        <f>STATS1003B!J2555/1000</f>
        <v>0</v>
      </c>
      <c r="K2547" s="85">
        <f>STATS1003B!K2555/1000</f>
        <v>0</v>
      </c>
      <c r="L2547" s="85">
        <f>STATS1003B!L2555/1000</f>
        <v>0</v>
      </c>
      <c r="M2547" s="85">
        <f>STATS1003B!M2555/1000</f>
        <v>2000</v>
      </c>
      <c r="N2547" s="85">
        <f>STATS1003B!N2555/1000</f>
        <v>0</v>
      </c>
      <c r="O2547" s="85">
        <f>STATS1003B!O2555/1000</f>
        <v>0</v>
      </c>
      <c r="P2547" s="85">
        <f>STATS1003B!P2555/1000</f>
        <v>0</v>
      </c>
      <c r="Q2547" s="85">
        <f>STATS1003B!Q2555/1000</f>
        <v>0</v>
      </c>
      <c r="R2547" s="85">
        <f>STATS1003B!R2555/1000</f>
        <v>0</v>
      </c>
      <c r="S2547" s="85">
        <f>STATS1003B!S2555/1000</f>
        <v>0</v>
      </c>
      <c r="T2547" s="85">
        <f>STATS1003B!T2555/1000</f>
        <v>0</v>
      </c>
      <c r="U2547" s="85">
        <f>STATS1003B!U2555/1000</f>
        <v>0</v>
      </c>
      <c r="V2547" s="85">
        <f>STATS1003B!V2555/1000</f>
        <v>2000</v>
      </c>
      <c r="W2547" s="85">
        <f>STATS1003B!W2555/1000</f>
        <v>0</v>
      </c>
      <c r="X2547" s="85">
        <f t="shared" si="282"/>
        <v>2000</v>
      </c>
      <c r="Y2547" s="85">
        <f>STATS1003B!Y2555/1000</f>
        <v>0</v>
      </c>
      <c r="Z2547" s="85">
        <f t="shared" si="279"/>
        <v>0</v>
      </c>
      <c r="AA2547" s="69">
        <f>STATS1003B!AA2555/1000</f>
        <v>2000</v>
      </c>
      <c r="AB2547" s="69">
        <f>STATS1003B!AB2555/1000</f>
        <v>0</v>
      </c>
    </row>
    <row r="2548" spans="1:28" hidden="1" x14ac:dyDescent="0.3">
      <c r="A2548" s="117"/>
      <c r="C2548" s="71" t="s">
        <v>429</v>
      </c>
      <c r="D2548" s="88" t="s">
        <v>128</v>
      </c>
      <c r="E2548" s="85">
        <f>STATS1003B!E2556/1000</f>
        <v>3011.8220200000001</v>
      </c>
      <c r="F2548" s="85">
        <f>STATS1003B!F2556/1000</f>
        <v>2364.9460199999999</v>
      </c>
      <c r="G2548" s="85">
        <f>STATS1003B!G2556/1000</f>
        <v>0</v>
      </c>
      <c r="H2548" s="85">
        <f>STATS1003B!H2556/1000</f>
        <v>2364.9460199999999</v>
      </c>
      <c r="I2548" s="85">
        <f>STATS1003B!I2556/1000</f>
        <v>0</v>
      </c>
      <c r="J2548" s="85">
        <f>STATS1003B!J2556/1000</f>
        <v>0</v>
      </c>
      <c r="K2548" s="85">
        <f>STATS1003B!K2556/1000</f>
        <v>0</v>
      </c>
      <c r="L2548" s="85">
        <f>STATS1003B!L2556/1000</f>
        <v>0</v>
      </c>
      <c r="M2548" s="85">
        <f>STATS1003B!M2556/1000</f>
        <v>2364.9460199999999</v>
      </c>
      <c r="N2548" s="85">
        <f>STATS1003B!N2556/1000</f>
        <v>0</v>
      </c>
      <c r="O2548" s="85">
        <f>STATS1003B!O2556/1000</f>
        <v>0</v>
      </c>
      <c r="P2548" s="85">
        <f>STATS1003B!P2556/1000</f>
        <v>0</v>
      </c>
      <c r="Q2548" s="85">
        <f>STATS1003B!Q2556/1000</f>
        <v>0</v>
      </c>
      <c r="R2548" s="85">
        <f>STATS1003B!R2556/1000</f>
        <v>0</v>
      </c>
      <c r="S2548" s="85">
        <f>STATS1003B!S2556/1000</f>
        <v>0</v>
      </c>
      <c r="T2548" s="85">
        <f>STATS1003B!T2556/1000</f>
        <v>0</v>
      </c>
      <c r="U2548" s="85">
        <f>STATS1003B!U2556/1000</f>
        <v>0</v>
      </c>
      <c r="V2548" s="85">
        <f>STATS1003B!V2556/1000</f>
        <v>2364.9460199999999</v>
      </c>
      <c r="W2548" s="85">
        <f>STATS1003B!W2556/1000</f>
        <v>646.87599999999998</v>
      </c>
      <c r="X2548" s="85">
        <f t="shared" si="282"/>
        <v>2364.9460199999999</v>
      </c>
      <c r="Y2548" s="85">
        <f>STATS1003B!Y2556/1000</f>
        <v>0</v>
      </c>
      <c r="Z2548" s="85">
        <f t="shared" si="279"/>
        <v>646.8760000000002</v>
      </c>
      <c r="AA2548" s="69">
        <f>STATS1003B!AA2556/1000</f>
        <v>2364.9460199999999</v>
      </c>
      <c r="AB2548" s="69">
        <f>STATS1003B!AB2556/1000</f>
        <v>646.87599999999998</v>
      </c>
    </row>
    <row r="2549" spans="1:28" hidden="1" x14ac:dyDescent="0.3">
      <c r="A2549" s="117"/>
      <c r="C2549" s="71" t="s">
        <v>430</v>
      </c>
      <c r="D2549" s="88" t="s">
        <v>128</v>
      </c>
      <c r="E2549" s="85">
        <f>STATS1003B!E2557/1000</f>
        <v>3000</v>
      </c>
      <c r="F2549" s="85">
        <f>STATS1003B!F2557/1000</f>
        <v>3000</v>
      </c>
      <c r="G2549" s="85">
        <f>STATS1003B!G2557/1000</f>
        <v>0</v>
      </c>
      <c r="H2549" s="85">
        <f>STATS1003B!H2557/1000</f>
        <v>3000</v>
      </c>
      <c r="I2549" s="85">
        <f>STATS1003B!I2557/1000</f>
        <v>0</v>
      </c>
      <c r="J2549" s="85">
        <f>STATS1003B!J2557/1000</f>
        <v>0</v>
      </c>
      <c r="K2549" s="85">
        <f>STATS1003B!K2557/1000</f>
        <v>0</v>
      </c>
      <c r="L2549" s="85">
        <f>STATS1003B!L2557/1000</f>
        <v>0</v>
      </c>
      <c r="M2549" s="85">
        <f>STATS1003B!M2557/1000</f>
        <v>3000</v>
      </c>
      <c r="N2549" s="85">
        <f>STATS1003B!N2557/1000</f>
        <v>0</v>
      </c>
      <c r="O2549" s="85">
        <f>STATS1003B!O2557/1000</f>
        <v>0</v>
      </c>
      <c r="P2549" s="85">
        <f>STATS1003B!P2557/1000</f>
        <v>0</v>
      </c>
      <c r="Q2549" s="85">
        <f>STATS1003B!Q2557/1000</f>
        <v>0</v>
      </c>
      <c r="R2549" s="85">
        <f>STATS1003B!R2557/1000</f>
        <v>0</v>
      </c>
      <c r="S2549" s="85">
        <f>STATS1003B!S2557/1000</f>
        <v>0</v>
      </c>
      <c r="T2549" s="85">
        <f>STATS1003B!T2557/1000</f>
        <v>0</v>
      </c>
      <c r="U2549" s="85">
        <f>STATS1003B!U2557/1000</f>
        <v>0</v>
      </c>
      <c r="V2549" s="85">
        <f>STATS1003B!V2557/1000</f>
        <v>3000</v>
      </c>
      <c r="W2549" s="85">
        <f>STATS1003B!W2557/1000</f>
        <v>0</v>
      </c>
      <c r="X2549" s="85">
        <f t="shared" si="282"/>
        <v>3000</v>
      </c>
      <c r="Y2549" s="85">
        <f>STATS1003B!Y2557/1000</f>
        <v>0</v>
      </c>
      <c r="Z2549" s="85">
        <f t="shared" si="279"/>
        <v>0</v>
      </c>
      <c r="AA2549" s="69">
        <f>STATS1003B!AA2557/1000</f>
        <v>3000</v>
      </c>
      <c r="AB2549" s="69">
        <f>STATS1003B!AB2557/1000</f>
        <v>0</v>
      </c>
    </row>
    <row r="2550" spans="1:28" hidden="1" x14ac:dyDescent="0.3">
      <c r="A2550" s="117"/>
      <c r="C2550" s="71" t="s">
        <v>431</v>
      </c>
      <c r="D2550" s="88" t="s">
        <v>128</v>
      </c>
      <c r="E2550" s="85">
        <f>STATS1003B!E2558/1000</f>
        <v>800</v>
      </c>
      <c r="F2550" s="85">
        <f>STATS1003B!F2558/1000</f>
        <v>800</v>
      </c>
      <c r="G2550" s="85">
        <f>STATS1003B!G2558/1000</f>
        <v>0</v>
      </c>
      <c r="H2550" s="85">
        <f>STATS1003B!H2558/1000</f>
        <v>800</v>
      </c>
      <c r="I2550" s="85">
        <f>STATS1003B!I2558/1000</f>
        <v>0</v>
      </c>
      <c r="J2550" s="85">
        <f>STATS1003B!J2558/1000</f>
        <v>0</v>
      </c>
      <c r="K2550" s="85">
        <f>STATS1003B!K2558/1000</f>
        <v>0</v>
      </c>
      <c r="L2550" s="85">
        <f>STATS1003B!L2558/1000</f>
        <v>0</v>
      </c>
      <c r="M2550" s="85">
        <f>STATS1003B!M2558/1000</f>
        <v>800</v>
      </c>
      <c r="N2550" s="85">
        <f>STATS1003B!N2558/1000</f>
        <v>0</v>
      </c>
      <c r="O2550" s="85">
        <f>STATS1003B!O2558/1000</f>
        <v>0</v>
      </c>
      <c r="P2550" s="85">
        <f>STATS1003B!P2558/1000</f>
        <v>0</v>
      </c>
      <c r="Q2550" s="85">
        <f>STATS1003B!Q2558/1000</f>
        <v>0</v>
      </c>
      <c r="R2550" s="85">
        <f>STATS1003B!R2558/1000</f>
        <v>0</v>
      </c>
      <c r="S2550" s="85">
        <f>STATS1003B!S2558/1000</f>
        <v>0</v>
      </c>
      <c r="T2550" s="85">
        <f>STATS1003B!T2558/1000</f>
        <v>0</v>
      </c>
      <c r="U2550" s="85">
        <f>STATS1003B!U2558/1000</f>
        <v>0</v>
      </c>
      <c r="V2550" s="85">
        <f>STATS1003B!V2558/1000</f>
        <v>800</v>
      </c>
      <c r="W2550" s="85">
        <f>STATS1003B!W2558/1000</f>
        <v>0</v>
      </c>
      <c r="X2550" s="85">
        <f t="shared" si="282"/>
        <v>800</v>
      </c>
      <c r="Y2550" s="85">
        <f>STATS1003B!Y2558/1000</f>
        <v>0</v>
      </c>
      <c r="Z2550" s="85">
        <f t="shared" si="279"/>
        <v>0</v>
      </c>
      <c r="AA2550" s="69">
        <f>STATS1003B!AA2558/1000</f>
        <v>800</v>
      </c>
      <c r="AB2550" s="69">
        <f>STATS1003B!AB2558/1000</f>
        <v>0</v>
      </c>
    </row>
    <row r="2551" spans="1:28" hidden="1" x14ac:dyDescent="0.3">
      <c r="A2551" s="117"/>
      <c r="C2551" s="71" t="s">
        <v>432</v>
      </c>
      <c r="D2551" s="88" t="s">
        <v>128</v>
      </c>
      <c r="E2551" s="85">
        <f>STATS1003B!E2559/1000</f>
        <v>1681.1389999999999</v>
      </c>
      <c r="F2551" s="85">
        <f>STATS1003B!F2559/1000</f>
        <v>1681.1389999999999</v>
      </c>
      <c r="G2551" s="85">
        <f>STATS1003B!G2559/1000</f>
        <v>0</v>
      </c>
      <c r="H2551" s="85">
        <f>STATS1003B!H2559/1000</f>
        <v>1681.1389999999999</v>
      </c>
      <c r="I2551" s="85">
        <f>STATS1003B!I2559/1000</f>
        <v>0</v>
      </c>
      <c r="J2551" s="85">
        <f>STATS1003B!J2559/1000</f>
        <v>0</v>
      </c>
      <c r="K2551" s="85">
        <f>STATS1003B!K2559/1000</f>
        <v>0</v>
      </c>
      <c r="L2551" s="85">
        <f>STATS1003B!L2559/1000</f>
        <v>0</v>
      </c>
      <c r="M2551" s="85">
        <f>STATS1003B!M2559/1000</f>
        <v>1681.1389999999999</v>
      </c>
      <c r="N2551" s="85">
        <f>STATS1003B!N2559/1000</f>
        <v>0</v>
      </c>
      <c r="O2551" s="85">
        <f>STATS1003B!O2559/1000</f>
        <v>0</v>
      </c>
      <c r="P2551" s="85">
        <f>STATS1003B!P2559/1000</f>
        <v>0</v>
      </c>
      <c r="Q2551" s="85">
        <f>STATS1003B!Q2559/1000</f>
        <v>0</v>
      </c>
      <c r="R2551" s="85">
        <f>STATS1003B!R2559/1000</f>
        <v>0</v>
      </c>
      <c r="S2551" s="85">
        <f>STATS1003B!S2559/1000</f>
        <v>0</v>
      </c>
      <c r="T2551" s="85">
        <f>STATS1003B!T2559/1000</f>
        <v>0</v>
      </c>
      <c r="U2551" s="85">
        <f>STATS1003B!U2559/1000</f>
        <v>0</v>
      </c>
      <c r="V2551" s="85">
        <f>STATS1003B!V2559/1000</f>
        <v>1681.1389999999999</v>
      </c>
      <c r="W2551" s="85">
        <f>STATS1003B!W2559/1000</f>
        <v>0</v>
      </c>
      <c r="X2551" s="85">
        <f t="shared" si="282"/>
        <v>1681.1389999999999</v>
      </c>
      <c r="Y2551" s="85">
        <f>STATS1003B!Y2559/1000</f>
        <v>0</v>
      </c>
      <c r="Z2551" s="85">
        <f t="shared" si="279"/>
        <v>0</v>
      </c>
      <c r="AA2551" s="69">
        <f>STATS1003B!AA2559/1000</f>
        <v>1681.1389999999999</v>
      </c>
      <c r="AB2551" s="69">
        <f>STATS1003B!AB2559/1000</f>
        <v>0</v>
      </c>
    </row>
    <row r="2552" spans="1:28" hidden="1" x14ac:dyDescent="0.3">
      <c r="A2552" s="117"/>
      <c r="C2552" s="71" t="s">
        <v>143</v>
      </c>
      <c r="D2552" s="88" t="s">
        <v>60</v>
      </c>
      <c r="E2552" s="85">
        <f>STATS1003B!E2560/1000</f>
        <v>7924.2905700000001</v>
      </c>
      <c r="F2552" s="85">
        <f>STATS1003B!F2560/1000</f>
        <v>7924.2905700000001</v>
      </c>
      <c r="G2552" s="85">
        <f>STATS1003B!G2560/1000</f>
        <v>0</v>
      </c>
      <c r="H2552" s="85">
        <f>STATS1003B!H2560/1000</f>
        <v>7924.2905700000001</v>
      </c>
      <c r="I2552" s="85">
        <f>STATS1003B!I2560/1000</f>
        <v>0</v>
      </c>
      <c r="J2552" s="85">
        <f>STATS1003B!J2560/1000</f>
        <v>0</v>
      </c>
      <c r="K2552" s="85">
        <f>STATS1003B!K2560/1000</f>
        <v>0</v>
      </c>
      <c r="L2552" s="85">
        <f>STATS1003B!L2560/1000</f>
        <v>0</v>
      </c>
      <c r="M2552" s="85">
        <f>STATS1003B!M2560/1000</f>
        <v>7924.2905700000001</v>
      </c>
      <c r="N2552" s="85">
        <f>STATS1003B!N2560/1000</f>
        <v>0</v>
      </c>
      <c r="O2552" s="85">
        <f>STATS1003B!O2560/1000</f>
        <v>0</v>
      </c>
      <c r="P2552" s="85">
        <f>STATS1003B!P2560/1000</f>
        <v>0</v>
      </c>
      <c r="Q2552" s="85">
        <f>STATS1003B!Q2560/1000</f>
        <v>0</v>
      </c>
      <c r="R2552" s="85">
        <f>STATS1003B!R2560/1000</f>
        <v>0</v>
      </c>
      <c r="S2552" s="85">
        <f>STATS1003B!S2560/1000</f>
        <v>0</v>
      </c>
      <c r="T2552" s="85">
        <f>STATS1003B!T2560/1000</f>
        <v>0</v>
      </c>
      <c r="U2552" s="85">
        <f>STATS1003B!U2560/1000</f>
        <v>0</v>
      </c>
      <c r="V2552" s="85">
        <f>STATS1003B!V2560/1000</f>
        <v>7924.2905700000001</v>
      </c>
      <c r="W2552" s="85">
        <f>STATS1003B!W2560/1000</f>
        <v>0</v>
      </c>
      <c r="X2552" s="85">
        <f t="shared" si="282"/>
        <v>7924.2905700000001</v>
      </c>
      <c r="Y2552" s="85">
        <f>STATS1003B!Y2560/1000</f>
        <v>0</v>
      </c>
      <c r="Z2552" s="85">
        <f t="shared" ref="Z2552:Z2565" si="284">+E2552-X2552</f>
        <v>0</v>
      </c>
      <c r="AA2552" s="69">
        <f>STATS1003B!AA2560/1000</f>
        <v>7924.2905700000001</v>
      </c>
      <c r="AB2552" s="69">
        <f>STATS1003B!AB2560/1000</f>
        <v>0</v>
      </c>
    </row>
    <row r="2553" spans="1:28" hidden="1" x14ac:dyDescent="0.3">
      <c r="A2553" s="117"/>
      <c r="C2553" s="71" t="s">
        <v>143</v>
      </c>
      <c r="D2553" s="88" t="s">
        <v>73</v>
      </c>
      <c r="E2553" s="85">
        <f>STATS1003B!E2561/1000</f>
        <v>13008.99273</v>
      </c>
      <c r="F2553" s="85">
        <f>STATS1003B!F2561/1000</f>
        <v>13008.99273</v>
      </c>
      <c r="G2553" s="85">
        <f>STATS1003B!G2561/1000</f>
        <v>0</v>
      </c>
      <c r="H2553" s="85">
        <f>STATS1003B!H2561/1000</f>
        <v>13008.99273</v>
      </c>
      <c r="I2553" s="85">
        <f>STATS1003B!I2561/1000</f>
        <v>0</v>
      </c>
      <c r="J2553" s="85">
        <f>STATS1003B!J2561/1000</f>
        <v>0</v>
      </c>
      <c r="K2553" s="85">
        <f>STATS1003B!K2561/1000</f>
        <v>0</v>
      </c>
      <c r="L2553" s="85">
        <f>STATS1003B!L2561/1000</f>
        <v>0</v>
      </c>
      <c r="M2553" s="85">
        <f>STATS1003B!M2561/1000</f>
        <v>13008.99273</v>
      </c>
      <c r="N2553" s="85">
        <f>STATS1003B!N2561/1000</f>
        <v>0</v>
      </c>
      <c r="O2553" s="85">
        <f>STATS1003B!O2561/1000</f>
        <v>0</v>
      </c>
      <c r="P2553" s="85">
        <f>STATS1003B!P2561/1000</f>
        <v>0</v>
      </c>
      <c r="Q2553" s="85">
        <f>STATS1003B!Q2561/1000</f>
        <v>0</v>
      </c>
      <c r="R2553" s="85">
        <f>STATS1003B!R2561/1000</f>
        <v>0</v>
      </c>
      <c r="S2553" s="85">
        <f>STATS1003B!S2561/1000</f>
        <v>0</v>
      </c>
      <c r="T2553" s="85">
        <f>STATS1003B!T2561/1000</f>
        <v>0</v>
      </c>
      <c r="U2553" s="85">
        <f>STATS1003B!U2561/1000</f>
        <v>0</v>
      </c>
      <c r="V2553" s="85">
        <f>STATS1003B!V2561/1000</f>
        <v>13008.99273</v>
      </c>
      <c r="W2553" s="85">
        <f>STATS1003B!W2561/1000</f>
        <v>0</v>
      </c>
      <c r="X2553" s="85">
        <f t="shared" si="282"/>
        <v>13008.99273</v>
      </c>
      <c r="Y2553" s="85">
        <f>STATS1003B!Y2561/1000</f>
        <v>0</v>
      </c>
      <c r="Z2553" s="85">
        <f t="shared" si="284"/>
        <v>0</v>
      </c>
      <c r="AA2553" s="69">
        <f>STATS1003B!AA2561/1000</f>
        <v>13008.99273</v>
      </c>
      <c r="AB2553" s="69">
        <f>STATS1003B!AB2561/1000</f>
        <v>0</v>
      </c>
    </row>
    <row r="2554" spans="1:28" hidden="1" x14ac:dyDescent="0.3">
      <c r="A2554" s="117"/>
      <c r="C2554" s="71" t="s">
        <v>415</v>
      </c>
      <c r="D2554" s="88" t="s">
        <v>194</v>
      </c>
      <c r="E2554" s="85">
        <f>STATS1003B!E2562/1000</f>
        <v>911</v>
      </c>
      <c r="F2554" s="85">
        <f>STATS1003B!F2562/1000</f>
        <v>911</v>
      </c>
      <c r="G2554" s="85">
        <f>STATS1003B!G2562/1000</f>
        <v>0</v>
      </c>
      <c r="H2554" s="85">
        <f>STATS1003B!H2562/1000</f>
        <v>911</v>
      </c>
      <c r="I2554" s="85">
        <f>STATS1003B!I2562/1000</f>
        <v>0</v>
      </c>
      <c r="J2554" s="85">
        <f>STATS1003B!J2562/1000</f>
        <v>0</v>
      </c>
      <c r="K2554" s="85">
        <f>STATS1003B!K2562/1000</f>
        <v>0</v>
      </c>
      <c r="L2554" s="85">
        <f>STATS1003B!L2562/1000</f>
        <v>0</v>
      </c>
      <c r="M2554" s="85">
        <f>STATS1003B!M2562/1000</f>
        <v>911</v>
      </c>
      <c r="N2554" s="85">
        <f>STATS1003B!N2562/1000</f>
        <v>0</v>
      </c>
      <c r="O2554" s="85">
        <f>STATS1003B!O2562/1000</f>
        <v>0</v>
      </c>
      <c r="P2554" s="85">
        <f>STATS1003B!P2562/1000</f>
        <v>0</v>
      </c>
      <c r="Q2554" s="85">
        <f>STATS1003B!Q2562/1000</f>
        <v>0</v>
      </c>
      <c r="R2554" s="85">
        <f>STATS1003B!R2562/1000</f>
        <v>0</v>
      </c>
      <c r="S2554" s="85">
        <f>STATS1003B!S2562/1000</f>
        <v>0</v>
      </c>
      <c r="T2554" s="85">
        <f>STATS1003B!T2562/1000</f>
        <v>0</v>
      </c>
      <c r="U2554" s="85">
        <f>STATS1003B!U2562/1000</f>
        <v>0</v>
      </c>
      <c r="V2554" s="85">
        <f>STATS1003B!V2562/1000</f>
        <v>911</v>
      </c>
      <c r="W2554" s="85">
        <f>STATS1003B!W2562/1000</f>
        <v>0</v>
      </c>
      <c r="X2554" s="85">
        <f t="shared" si="282"/>
        <v>911</v>
      </c>
      <c r="Y2554" s="85">
        <f>STATS1003B!Y2562/1000</f>
        <v>0</v>
      </c>
      <c r="Z2554" s="85">
        <f t="shared" si="284"/>
        <v>0</v>
      </c>
      <c r="AA2554" s="69">
        <f>STATS1003B!AA2562/1000</f>
        <v>911</v>
      </c>
      <c r="AB2554" s="69">
        <f>STATS1003B!AB2562/1000</f>
        <v>0</v>
      </c>
    </row>
    <row r="2555" spans="1:28" hidden="1" x14ac:dyDescent="0.3">
      <c r="A2555" s="117"/>
      <c r="C2555" s="71" t="s">
        <v>930</v>
      </c>
      <c r="D2555" s="89" t="s">
        <v>1072</v>
      </c>
      <c r="E2555" s="85">
        <f>STATS1003B!E2563/1000</f>
        <v>12440.26151</v>
      </c>
      <c r="F2555" s="85">
        <f>STATS1003B!F2563/1000</f>
        <v>12440.26151</v>
      </c>
      <c r="G2555" s="85">
        <f>STATS1003B!G2563/1000</f>
        <v>0</v>
      </c>
      <c r="H2555" s="85">
        <f>STATS1003B!H2563/1000</f>
        <v>12440.26151</v>
      </c>
      <c r="I2555" s="85">
        <f>STATS1003B!I2563/1000</f>
        <v>0</v>
      </c>
      <c r="J2555" s="85">
        <f>STATS1003B!J2563/1000</f>
        <v>0</v>
      </c>
      <c r="K2555" s="85">
        <f>STATS1003B!K2563/1000</f>
        <v>0</v>
      </c>
      <c r="L2555" s="85">
        <f>STATS1003B!L2563/1000</f>
        <v>0</v>
      </c>
      <c r="M2555" s="85">
        <f>STATS1003B!M2563/1000</f>
        <v>12440.26151</v>
      </c>
      <c r="N2555" s="85">
        <f>STATS1003B!N2563/1000</f>
        <v>0</v>
      </c>
      <c r="O2555" s="85">
        <f>STATS1003B!O2563/1000</f>
        <v>0</v>
      </c>
      <c r="P2555" s="85">
        <f>STATS1003B!P2563/1000</f>
        <v>0</v>
      </c>
      <c r="Q2555" s="85">
        <f>STATS1003B!Q2563/1000</f>
        <v>0</v>
      </c>
      <c r="R2555" s="85">
        <f>STATS1003B!R2563/1000</f>
        <v>0</v>
      </c>
      <c r="S2555" s="85">
        <f>STATS1003B!S2563/1000</f>
        <v>0</v>
      </c>
      <c r="T2555" s="85">
        <f>STATS1003B!T2563/1000</f>
        <v>0</v>
      </c>
      <c r="U2555" s="85">
        <f>STATS1003B!U2563/1000</f>
        <v>0</v>
      </c>
      <c r="V2555" s="85">
        <f>STATS1003B!V2563/1000</f>
        <v>12440.26151</v>
      </c>
      <c r="W2555" s="85">
        <f>STATS1003B!W2563/1000</f>
        <v>0</v>
      </c>
      <c r="X2555" s="85">
        <f t="shared" si="282"/>
        <v>12440.26151</v>
      </c>
      <c r="Y2555" s="85">
        <f>STATS1003B!Y2563/1000</f>
        <v>0</v>
      </c>
      <c r="Z2555" s="85">
        <f t="shared" si="284"/>
        <v>0</v>
      </c>
      <c r="AA2555" s="69">
        <f>STATS1003B!AA2563/1000</f>
        <v>12440.26151</v>
      </c>
      <c r="AB2555" s="69">
        <f>STATS1003B!AB2563/1000</f>
        <v>0</v>
      </c>
    </row>
    <row r="2556" spans="1:28" hidden="1" x14ac:dyDescent="0.3">
      <c r="A2556" s="117"/>
      <c r="C2556" s="71" t="s">
        <v>1160</v>
      </c>
      <c r="D2556" s="89" t="s">
        <v>1229</v>
      </c>
      <c r="E2556" s="85">
        <f>STATS1003B!E2564/1000</f>
        <v>1588.1779799999999</v>
      </c>
      <c r="F2556" s="85">
        <f>STATS1003B!F2564/1000</f>
        <v>1588.1779799999999</v>
      </c>
      <c r="G2556" s="85">
        <f>STATS1003B!G2564/1000</f>
        <v>0</v>
      </c>
      <c r="H2556" s="85">
        <f>STATS1003B!H2564/1000</f>
        <v>1588.1779799999999</v>
      </c>
      <c r="I2556" s="85">
        <f>STATS1003B!I2564/1000</f>
        <v>0</v>
      </c>
      <c r="J2556" s="85">
        <f>STATS1003B!J2564/1000</f>
        <v>0</v>
      </c>
      <c r="K2556" s="85">
        <f>STATS1003B!K2564/1000</f>
        <v>0</v>
      </c>
      <c r="L2556" s="85">
        <f>STATS1003B!L2564/1000</f>
        <v>0</v>
      </c>
      <c r="M2556" s="85">
        <f>STATS1003B!M2564/1000</f>
        <v>1588.1779799999999</v>
      </c>
      <c r="N2556" s="85">
        <f>STATS1003B!N2564/1000</f>
        <v>0</v>
      </c>
      <c r="O2556" s="85">
        <f>STATS1003B!O2564/1000</f>
        <v>0</v>
      </c>
      <c r="P2556" s="85">
        <f>STATS1003B!P2564/1000</f>
        <v>0</v>
      </c>
      <c r="Q2556" s="85">
        <f>STATS1003B!Q2564/1000</f>
        <v>0</v>
      </c>
      <c r="R2556" s="85">
        <f>STATS1003B!R2564/1000</f>
        <v>0</v>
      </c>
      <c r="S2556" s="85">
        <f>STATS1003B!S2564/1000</f>
        <v>0</v>
      </c>
      <c r="T2556" s="85">
        <f>STATS1003B!T2564/1000</f>
        <v>0</v>
      </c>
      <c r="U2556" s="85">
        <f>STATS1003B!U2564/1000</f>
        <v>0</v>
      </c>
      <c r="V2556" s="85">
        <f>STATS1003B!V2564/1000</f>
        <v>1588.1779799999999</v>
      </c>
      <c r="W2556" s="85">
        <f>STATS1003B!W2564/1000</f>
        <v>0</v>
      </c>
      <c r="X2556" s="85">
        <f t="shared" si="282"/>
        <v>1588.1779799999999</v>
      </c>
      <c r="Y2556" s="85">
        <f>STATS1003B!Y2564/1000</f>
        <v>0</v>
      </c>
      <c r="Z2556" s="85">
        <f t="shared" si="284"/>
        <v>0</v>
      </c>
      <c r="AA2556" s="69">
        <f>STATS1003B!AA2564/1000</f>
        <v>1588.1779799999999</v>
      </c>
      <c r="AB2556" s="69">
        <f>STATS1003B!AB2564/1000</f>
        <v>0</v>
      </c>
    </row>
    <row r="2557" spans="1:28" hidden="1" x14ac:dyDescent="0.3">
      <c r="A2557" s="117"/>
      <c r="C2557" s="71" t="s">
        <v>1176</v>
      </c>
      <c r="D2557" s="89" t="s">
        <v>1126</v>
      </c>
      <c r="E2557" s="85">
        <f>STATS1003B!E2565/1000</f>
        <v>8314.6592000000001</v>
      </c>
      <c r="F2557" s="85">
        <f>STATS1003B!F2565/1000</f>
        <v>8314.6592000000001</v>
      </c>
      <c r="G2557" s="85">
        <f>STATS1003B!G2565/1000</f>
        <v>0</v>
      </c>
      <c r="H2557" s="85">
        <f>STATS1003B!H2565/1000</f>
        <v>8314.6592000000001</v>
      </c>
      <c r="I2557" s="85">
        <f>STATS1003B!I2565/1000</f>
        <v>0</v>
      </c>
      <c r="J2557" s="85">
        <f>STATS1003B!J2565/1000</f>
        <v>0</v>
      </c>
      <c r="K2557" s="85">
        <f>STATS1003B!K2565/1000</f>
        <v>0</v>
      </c>
      <c r="L2557" s="85">
        <f>STATS1003B!L2565/1000</f>
        <v>0</v>
      </c>
      <c r="M2557" s="85">
        <f>STATS1003B!M2565/1000</f>
        <v>8314.6592000000001</v>
      </c>
      <c r="N2557" s="85">
        <f>STATS1003B!N2565/1000</f>
        <v>0</v>
      </c>
      <c r="O2557" s="85">
        <f>STATS1003B!O2565/1000</f>
        <v>0</v>
      </c>
      <c r="P2557" s="85">
        <f>STATS1003B!P2565/1000</f>
        <v>0</v>
      </c>
      <c r="Q2557" s="85">
        <f>STATS1003B!Q2565/1000</f>
        <v>0</v>
      </c>
      <c r="R2557" s="85">
        <f>STATS1003B!R2565/1000</f>
        <v>0</v>
      </c>
      <c r="S2557" s="85">
        <f>STATS1003B!S2565/1000</f>
        <v>0</v>
      </c>
      <c r="T2557" s="85">
        <f>STATS1003B!T2565/1000</f>
        <v>0</v>
      </c>
      <c r="U2557" s="85">
        <f>STATS1003B!U2565/1000</f>
        <v>0</v>
      </c>
      <c r="V2557" s="85">
        <f>STATS1003B!V2565/1000</f>
        <v>8314.6592000000001</v>
      </c>
      <c r="W2557" s="85">
        <f>STATS1003B!W2565/1000</f>
        <v>0</v>
      </c>
      <c r="X2557" s="85">
        <f t="shared" si="282"/>
        <v>8314.6592000000001</v>
      </c>
      <c r="Y2557" s="85">
        <f>STATS1003B!Y2565/1000</f>
        <v>0</v>
      </c>
      <c r="Z2557" s="85">
        <f t="shared" si="284"/>
        <v>0</v>
      </c>
      <c r="AA2557" s="69">
        <f>STATS1003B!AA2565/1000</f>
        <v>8314.6592000000001</v>
      </c>
      <c r="AB2557" s="69">
        <f>STATS1003B!AB2565/1000</f>
        <v>0</v>
      </c>
    </row>
    <row r="2558" spans="1:28" hidden="1" x14ac:dyDescent="0.3">
      <c r="A2558" s="117"/>
      <c r="C2558" s="71" t="s">
        <v>433</v>
      </c>
      <c r="E2558" s="85">
        <f>STATS1003B!E2566/1000</f>
        <v>3845.3049999999998</v>
      </c>
      <c r="F2558" s="85">
        <f>STATS1003B!F2566/1000</f>
        <v>3845.3049999999998</v>
      </c>
      <c r="G2558" s="85">
        <f>STATS1003B!G2566/1000</f>
        <v>0</v>
      </c>
      <c r="H2558" s="85">
        <f>STATS1003B!H2566/1000</f>
        <v>3845.3049999999998</v>
      </c>
      <c r="I2558" s="85">
        <f>STATS1003B!I2566/1000</f>
        <v>0</v>
      </c>
      <c r="J2558" s="85">
        <f>STATS1003B!J2566/1000</f>
        <v>0</v>
      </c>
      <c r="K2558" s="85">
        <f>STATS1003B!K2566/1000</f>
        <v>0</v>
      </c>
      <c r="L2558" s="85">
        <f>STATS1003B!L2566/1000</f>
        <v>0</v>
      </c>
      <c r="M2558" s="85">
        <f>STATS1003B!M2566/1000</f>
        <v>3845.3049999999998</v>
      </c>
      <c r="N2558" s="85">
        <f>STATS1003B!N2566/1000</f>
        <v>0</v>
      </c>
      <c r="O2558" s="85">
        <f>STATS1003B!O2566/1000</f>
        <v>0</v>
      </c>
      <c r="P2558" s="85">
        <f>STATS1003B!P2566/1000</f>
        <v>0</v>
      </c>
      <c r="Q2558" s="85">
        <f>STATS1003B!Q2566/1000</f>
        <v>0</v>
      </c>
      <c r="R2558" s="85">
        <f>STATS1003B!R2566/1000</f>
        <v>0</v>
      </c>
      <c r="S2558" s="85">
        <f>STATS1003B!S2566/1000</f>
        <v>0</v>
      </c>
      <c r="T2558" s="85">
        <f>STATS1003B!T2566/1000</f>
        <v>0</v>
      </c>
      <c r="U2558" s="85">
        <f>STATS1003B!U2566/1000</f>
        <v>0</v>
      </c>
      <c r="V2558" s="85">
        <f>STATS1003B!V2566/1000</f>
        <v>3845.3049999999998</v>
      </c>
      <c r="W2558" s="85">
        <f>STATS1003B!W2566/1000</f>
        <v>0</v>
      </c>
      <c r="X2558" s="85">
        <f t="shared" si="282"/>
        <v>3845.3049999999998</v>
      </c>
      <c r="Y2558" s="85">
        <f>STATS1003B!Y2566/1000</f>
        <v>0</v>
      </c>
      <c r="Z2558" s="85">
        <f t="shared" si="284"/>
        <v>0</v>
      </c>
      <c r="AA2558" s="69">
        <f>STATS1003B!AA2566/1000</f>
        <v>3845.3049999999998</v>
      </c>
      <c r="AB2558" s="69">
        <f>STATS1003B!AB2566/1000</f>
        <v>0</v>
      </c>
    </row>
    <row r="2559" spans="1:28" hidden="1" x14ac:dyDescent="0.3">
      <c r="A2559" s="117"/>
      <c r="C2559" s="71" t="s">
        <v>434</v>
      </c>
      <c r="E2559" s="85">
        <f>STATS1003B!E2567/1000</f>
        <v>349.39299999999997</v>
      </c>
      <c r="F2559" s="85">
        <f>STATS1003B!F2567/1000</f>
        <v>349.39299999999997</v>
      </c>
      <c r="G2559" s="85">
        <f>STATS1003B!G2567/1000</f>
        <v>0</v>
      </c>
      <c r="H2559" s="85">
        <f>STATS1003B!H2567/1000</f>
        <v>349.39299999999997</v>
      </c>
      <c r="I2559" s="85">
        <f>STATS1003B!I2567/1000</f>
        <v>0</v>
      </c>
      <c r="J2559" s="85">
        <f>STATS1003B!J2567/1000</f>
        <v>0</v>
      </c>
      <c r="K2559" s="85">
        <f>STATS1003B!K2567/1000</f>
        <v>0</v>
      </c>
      <c r="L2559" s="85">
        <f>STATS1003B!L2567/1000</f>
        <v>0</v>
      </c>
      <c r="M2559" s="85">
        <f>STATS1003B!M2567/1000</f>
        <v>349.39299999999997</v>
      </c>
      <c r="N2559" s="85">
        <f>STATS1003B!N2567/1000</f>
        <v>0</v>
      </c>
      <c r="O2559" s="85">
        <f>STATS1003B!O2567/1000</f>
        <v>0</v>
      </c>
      <c r="P2559" s="85">
        <f>STATS1003B!P2567/1000</f>
        <v>0</v>
      </c>
      <c r="Q2559" s="85">
        <f>STATS1003B!Q2567/1000</f>
        <v>0</v>
      </c>
      <c r="R2559" s="85">
        <f>STATS1003B!R2567/1000</f>
        <v>0</v>
      </c>
      <c r="S2559" s="85">
        <f>STATS1003B!S2567/1000</f>
        <v>0</v>
      </c>
      <c r="T2559" s="85">
        <f>STATS1003B!T2567/1000</f>
        <v>0</v>
      </c>
      <c r="U2559" s="85">
        <f>STATS1003B!U2567/1000</f>
        <v>0</v>
      </c>
      <c r="V2559" s="85">
        <f>STATS1003B!V2567/1000</f>
        <v>349.39299999999997</v>
      </c>
      <c r="W2559" s="85">
        <f>STATS1003B!W2567/1000</f>
        <v>0</v>
      </c>
      <c r="X2559" s="85">
        <f t="shared" si="282"/>
        <v>349.39299999999997</v>
      </c>
      <c r="Y2559" s="85">
        <f>STATS1003B!Y2567/1000</f>
        <v>0</v>
      </c>
      <c r="Z2559" s="85">
        <f t="shared" si="284"/>
        <v>0</v>
      </c>
      <c r="AA2559" s="69">
        <f>STATS1003B!AA2567/1000</f>
        <v>349.39299999999997</v>
      </c>
      <c r="AB2559" s="69">
        <f>STATS1003B!AB2567/1000</f>
        <v>0</v>
      </c>
    </row>
    <row r="2560" spans="1:28" hidden="1" x14ac:dyDescent="0.3">
      <c r="A2560" s="117"/>
      <c r="C2560" s="71" t="s">
        <v>435</v>
      </c>
      <c r="E2560" s="85">
        <f>STATS1003B!E2568/1000</f>
        <v>835.13699999999994</v>
      </c>
      <c r="F2560" s="85">
        <f>STATS1003B!F2568/1000</f>
        <v>835.13699999999994</v>
      </c>
      <c r="G2560" s="85">
        <f>STATS1003B!G2568/1000</f>
        <v>0</v>
      </c>
      <c r="H2560" s="85">
        <f>STATS1003B!H2568/1000</f>
        <v>835.13699999999994</v>
      </c>
      <c r="I2560" s="85">
        <f>STATS1003B!I2568/1000</f>
        <v>0</v>
      </c>
      <c r="J2560" s="85">
        <f>STATS1003B!J2568/1000</f>
        <v>0</v>
      </c>
      <c r="K2560" s="85">
        <f>STATS1003B!K2568/1000</f>
        <v>0</v>
      </c>
      <c r="L2560" s="85">
        <f>STATS1003B!L2568/1000</f>
        <v>0</v>
      </c>
      <c r="M2560" s="85">
        <f>STATS1003B!M2568/1000</f>
        <v>835.13699999999994</v>
      </c>
      <c r="N2560" s="85">
        <f>STATS1003B!N2568/1000</f>
        <v>0</v>
      </c>
      <c r="O2560" s="85">
        <f>STATS1003B!O2568/1000</f>
        <v>0</v>
      </c>
      <c r="P2560" s="85">
        <f>STATS1003B!P2568/1000</f>
        <v>0</v>
      </c>
      <c r="Q2560" s="85">
        <f>STATS1003B!Q2568/1000</f>
        <v>0</v>
      </c>
      <c r="R2560" s="85">
        <f>STATS1003B!R2568/1000</f>
        <v>0</v>
      </c>
      <c r="S2560" s="85">
        <f>STATS1003B!S2568/1000</f>
        <v>0</v>
      </c>
      <c r="T2560" s="85">
        <f>STATS1003B!T2568/1000</f>
        <v>0</v>
      </c>
      <c r="U2560" s="85">
        <f>STATS1003B!U2568/1000</f>
        <v>0</v>
      </c>
      <c r="V2560" s="85">
        <f>STATS1003B!V2568/1000</f>
        <v>835.13699999999994</v>
      </c>
      <c r="W2560" s="85">
        <f>STATS1003B!W2568/1000</f>
        <v>0</v>
      </c>
      <c r="X2560" s="85">
        <f t="shared" si="282"/>
        <v>835.13699999999994</v>
      </c>
      <c r="Y2560" s="85">
        <f>STATS1003B!Y2568/1000</f>
        <v>0</v>
      </c>
      <c r="Z2560" s="85">
        <f t="shared" si="284"/>
        <v>0</v>
      </c>
      <c r="AA2560" s="69">
        <f>STATS1003B!AA2568/1000</f>
        <v>835.13699999999994</v>
      </c>
      <c r="AB2560" s="69">
        <f>STATS1003B!AB2568/1000</f>
        <v>0</v>
      </c>
    </row>
    <row r="2561" spans="1:28" hidden="1" x14ac:dyDescent="0.3">
      <c r="A2561" s="117"/>
      <c r="C2561" s="71" t="s">
        <v>419</v>
      </c>
      <c r="E2561" s="85">
        <f>STATS1003B!E2569/1000</f>
        <v>150.89420000000001</v>
      </c>
      <c r="F2561" s="85">
        <f>STATS1003B!F2569/1000</f>
        <v>150.89420000000001</v>
      </c>
      <c r="G2561" s="85">
        <f>STATS1003B!G2569/1000</f>
        <v>0</v>
      </c>
      <c r="H2561" s="85">
        <f>STATS1003B!H2569/1000</f>
        <v>150.89420000000001</v>
      </c>
      <c r="I2561" s="85">
        <f>STATS1003B!I2569/1000</f>
        <v>0</v>
      </c>
      <c r="J2561" s="85">
        <f>STATS1003B!J2569/1000</f>
        <v>0</v>
      </c>
      <c r="K2561" s="85">
        <f>STATS1003B!K2569/1000</f>
        <v>0</v>
      </c>
      <c r="L2561" s="85">
        <f>STATS1003B!L2569/1000</f>
        <v>0</v>
      </c>
      <c r="M2561" s="85">
        <f>STATS1003B!M2569/1000</f>
        <v>150.89420000000001</v>
      </c>
      <c r="N2561" s="85">
        <f>STATS1003B!N2569/1000</f>
        <v>0</v>
      </c>
      <c r="O2561" s="85">
        <f>STATS1003B!O2569/1000</f>
        <v>0</v>
      </c>
      <c r="P2561" s="85">
        <f>STATS1003B!P2569/1000</f>
        <v>0</v>
      </c>
      <c r="Q2561" s="85">
        <f>STATS1003B!Q2569/1000</f>
        <v>0</v>
      </c>
      <c r="R2561" s="85">
        <f>STATS1003B!R2569/1000</f>
        <v>0</v>
      </c>
      <c r="S2561" s="85">
        <f>STATS1003B!S2569/1000</f>
        <v>0</v>
      </c>
      <c r="T2561" s="85">
        <f>STATS1003B!T2569/1000</f>
        <v>0</v>
      </c>
      <c r="U2561" s="85">
        <f>STATS1003B!U2569/1000</f>
        <v>0</v>
      </c>
      <c r="V2561" s="85">
        <f>STATS1003B!V2569/1000</f>
        <v>150.89420000000001</v>
      </c>
      <c r="W2561" s="85">
        <f>STATS1003B!W2569/1000</f>
        <v>0</v>
      </c>
      <c r="X2561" s="85">
        <f t="shared" si="282"/>
        <v>150.89420000000001</v>
      </c>
      <c r="Y2561" s="85">
        <f>STATS1003B!Y2569/1000</f>
        <v>0</v>
      </c>
      <c r="Z2561" s="85">
        <f t="shared" si="284"/>
        <v>0</v>
      </c>
      <c r="AA2561" s="69">
        <f>STATS1003B!AA2569/1000</f>
        <v>150.89420000000001</v>
      </c>
      <c r="AB2561" s="69">
        <f>STATS1003B!AB2569/1000</f>
        <v>0</v>
      </c>
    </row>
    <row r="2562" spans="1:28" hidden="1" x14ac:dyDescent="0.3">
      <c r="A2562" s="117"/>
      <c r="C2562" s="71" t="s">
        <v>109</v>
      </c>
      <c r="E2562" s="85">
        <f>STATS1003B!E2570/1000</f>
        <v>7500</v>
      </c>
      <c r="F2562" s="85">
        <f>STATS1003B!F2570/1000</f>
        <v>7500</v>
      </c>
      <c r="G2562" s="85">
        <f>STATS1003B!G2570/1000</f>
        <v>0</v>
      </c>
      <c r="H2562" s="85">
        <f>STATS1003B!H2570/1000</f>
        <v>7500</v>
      </c>
      <c r="I2562" s="85">
        <f>STATS1003B!I2570/1000</f>
        <v>0</v>
      </c>
      <c r="J2562" s="85">
        <f>STATS1003B!J2570/1000</f>
        <v>0</v>
      </c>
      <c r="K2562" s="85">
        <f>STATS1003B!K2570/1000</f>
        <v>0</v>
      </c>
      <c r="L2562" s="85">
        <f>STATS1003B!L2570/1000</f>
        <v>0</v>
      </c>
      <c r="M2562" s="85">
        <f>STATS1003B!M2570/1000</f>
        <v>7500</v>
      </c>
      <c r="N2562" s="85">
        <f>STATS1003B!N2570/1000</f>
        <v>0</v>
      </c>
      <c r="O2562" s="85">
        <f>STATS1003B!O2570/1000</f>
        <v>0</v>
      </c>
      <c r="P2562" s="85">
        <f>STATS1003B!P2570/1000</f>
        <v>0</v>
      </c>
      <c r="Q2562" s="85">
        <f>STATS1003B!Q2570/1000</f>
        <v>0</v>
      </c>
      <c r="R2562" s="85">
        <f>STATS1003B!R2570/1000</f>
        <v>0</v>
      </c>
      <c r="S2562" s="85">
        <f>STATS1003B!S2570/1000</f>
        <v>0</v>
      </c>
      <c r="T2562" s="85">
        <f>STATS1003B!T2570/1000</f>
        <v>0</v>
      </c>
      <c r="U2562" s="85">
        <f>STATS1003B!U2570/1000</f>
        <v>0</v>
      </c>
      <c r="V2562" s="85">
        <f>STATS1003B!V2570/1000</f>
        <v>7500</v>
      </c>
      <c r="W2562" s="85">
        <f>STATS1003B!W2570/1000</f>
        <v>0</v>
      </c>
      <c r="X2562" s="85">
        <f t="shared" si="282"/>
        <v>7500</v>
      </c>
      <c r="Y2562" s="85">
        <f>STATS1003B!Y2570/1000</f>
        <v>0</v>
      </c>
      <c r="Z2562" s="85">
        <f t="shared" si="284"/>
        <v>0</v>
      </c>
      <c r="AA2562" s="69">
        <f>STATS1003B!AA2570/1000</f>
        <v>7500</v>
      </c>
      <c r="AB2562" s="69">
        <f>STATS1003B!AB2570/1000</f>
        <v>0</v>
      </c>
    </row>
    <row r="2563" spans="1:28" hidden="1" x14ac:dyDescent="0.3">
      <c r="A2563" s="117"/>
      <c r="C2563" s="71" t="s">
        <v>143</v>
      </c>
      <c r="D2563" s="91" t="s">
        <v>61</v>
      </c>
      <c r="E2563" s="85">
        <f>STATS1003B!E2571/1000</f>
        <v>16851.844639999999</v>
      </c>
      <c r="F2563" s="85">
        <f>STATS1003B!F2571/1000</f>
        <v>16551.95937</v>
      </c>
      <c r="G2563" s="85">
        <f>STATS1003B!G2571/1000</f>
        <v>0</v>
      </c>
      <c r="H2563" s="85">
        <f>STATS1003B!H2571/1000</f>
        <v>16551.95937</v>
      </c>
      <c r="I2563" s="85">
        <f>STATS1003B!I2571/1000</f>
        <v>0</v>
      </c>
      <c r="J2563" s="85">
        <f>STATS1003B!J2571/1000</f>
        <v>0</v>
      </c>
      <c r="K2563" s="85">
        <f>STATS1003B!K2571/1000</f>
        <v>0</v>
      </c>
      <c r="L2563" s="85">
        <f>STATS1003B!L2571/1000</f>
        <v>0</v>
      </c>
      <c r="M2563" s="85">
        <f>STATS1003B!M2571/1000</f>
        <v>16551.95937</v>
      </c>
      <c r="N2563" s="85">
        <f>STATS1003B!N2571/1000</f>
        <v>0</v>
      </c>
      <c r="O2563" s="85">
        <f>STATS1003B!O2571/1000</f>
        <v>0</v>
      </c>
      <c r="P2563" s="85">
        <f>STATS1003B!P2571/1000</f>
        <v>0</v>
      </c>
      <c r="Q2563" s="85">
        <f>STATS1003B!Q2571/1000</f>
        <v>299.88526999999999</v>
      </c>
      <c r="R2563" s="85">
        <f>STATS1003B!R2571/1000</f>
        <v>0</v>
      </c>
      <c r="S2563" s="85">
        <f>STATS1003B!S2571/1000</f>
        <v>0</v>
      </c>
      <c r="T2563" s="85">
        <f>STATS1003B!T2571/1000</f>
        <v>299.88526999999999</v>
      </c>
      <c r="U2563" s="85">
        <f>STATS1003B!U2571/1000</f>
        <v>299.88526999999999</v>
      </c>
      <c r="V2563" s="85">
        <f>STATS1003B!V2571/1000</f>
        <v>16551.95937</v>
      </c>
      <c r="W2563" s="85">
        <f>STATS1003B!W2571/1000</f>
        <v>299.88527000000141</v>
      </c>
      <c r="X2563" s="85">
        <f t="shared" si="282"/>
        <v>16551.95937</v>
      </c>
      <c r="Y2563" s="85">
        <f>STATS1003B!Y2571/1000</f>
        <v>0</v>
      </c>
      <c r="Z2563" s="85">
        <f t="shared" si="284"/>
        <v>299.88526999999885</v>
      </c>
      <c r="AA2563" s="69">
        <f>STATS1003B!AA2571/1000</f>
        <v>16851.844639999999</v>
      </c>
      <c r="AB2563" s="69">
        <f>STATS1003B!AB2571/1000</f>
        <v>0</v>
      </c>
    </row>
    <row r="2564" spans="1:28" hidden="1" x14ac:dyDescent="0.3">
      <c r="A2564" s="117"/>
      <c r="E2564" s="86" t="s">
        <v>29</v>
      </c>
      <c r="F2564" s="86" t="s">
        <v>29</v>
      </c>
      <c r="G2564" s="86" t="s">
        <v>29</v>
      </c>
      <c r="H2564" s="86" t="s">
        <v>29</v>
      </c>
      <c r="I2564" s="86" t="s">
        <v>29</v>
      </c>
      <c r="J2564" s="86" t="s">
        <v>29</v>
      </c>
      <c r="K2564" s="86" t="s">
        <v>29</v>
      </c>
      <c r="L2564" s="86" t="s">
        <v>29</v>
      </c>
      <c r="M2564" s="86" t="s">
        <v>29</v>
      </c>
      <c r="N2564" s="86" t="s">
        <v>29</v>
      </c>
      <c r="O2564" s="86" t="s">
        <v>29</v>
      </c>
      <c r="P2564" s="86" t="s">
        <v>29</v>
      </c>
      <c r="Q2564" s="86" t="s">
        <v>29</v>
      </c>
      <c r="R2564" s="86" t="s">
        <v>29</v>
      </c>
      <c r="S2564" s="86" t="s">
        <v>29</v>
      </c>
      <c r="T2564" s="86" t="s">
        <v>29</v>
      </c>
      <c r="U2564" s="86" t="s">
        <v>29</v>
      </c>
      <c r="V2564" s="86" t="s">
        <v>29</v>
      </c>
      <c r="W2564" s="86" t="s">
        <v>29</v>
      </c>
      <c r="X2564" s="85" t="e">
        <f t="shared" si="282"/>
        <v>#VALUE!</v>
      </c>
      <c r="Y2564" s="86" t="s">
        <v>29</v>
      </c>
      <c r="Z2564" s="85" t="e">
        <f t="shared" si="284"/>
        <v>#VALUE!</v>
      </c>
      <c r="AA2564" s="115" t="s">
        <v>29</v>
      </c>
      <c r="AB2564" s="115" t="s">
        <v>29</v>
      </c>
    </row>
    <row r="2565" spans="1:28" x14ac:dyDescent="0.3">
      <c r="A2565" s="116">
        <v>112</v>
      </c>
      <c r="B2565" s="71" t="s">
        <v>421</v>
      </c>
      <c r="E2565" s="85">
        <f>294550945.54/1000</f>
        <v>294550.94554000004</v>
      </c>
      <c r="F2565" s="85">
        <f t="shared" ref="F2565:AB2565" si="285">SUM(F2541:F2563)</f>
        <v>98176.804079999987</v>
      </c>
      <c r="G2565" s="85">
        <f t="shared" si="285"/>
        <v>0</v>
      </c>
      <c r="H2565" s="85">
        <f>286881731.98/1000</f>
        <v>286881.73198000004</v>
      </c>
      <c r="I2565" s="85">
        <f t="shared" si="285"/>
        <v>0</v>
      </c>
      <c r="J2565" s="85">
        <f t="shared" si="285"/>
        <v>0</v>
      </c>
      <c r="K2565" s="85">
        <f t="shared" si="285"/>
        <v>0</v>
      </c>
      <c r="L2565" s="85">
        <f t="shared" si="285"/>
        <v>0</v>
      </c>
      <c r="M2565" s="85">
        <f t="shared" si="285"/>
        <v>98176.804079999987</v>
      </c>
      <c r="N2565" s="85">
        <f t="shared" si="285"/>
        <v>6722.4522899999993</v>
      </c>
      <c r="O2565" s="85">
        <f t="shared" si="285"/>
        <v>0</v>
      </c>
      <c r="P2565" s="85">
        <f>6722452/1000</f>
        <v>6722.4520000000002</v>
      </c>
      <c r="Q2565" s="85">
        <f t="shared" si="285"/>
        <v>299.88526999999999</v>
      </c>
      <c r="R2565" s="85">
        <f t="shared" si="285"/>
        <v>0</v>
      </c>
      <c r="S2565" s="85">
        <f t="shared" si="285"/>
        <v>0</v>
      </c>
      <c r="T2565" s="85">
        <f t="shared" si="285"/>
        <v>299.88526999999999</v>
      </c>
      <c r="U2565" s="85">
        <f t="shared" si="285"/>
        <v>7022.337559999999</v>
      </c>
      <c r="V2565" s="85">
        <f t="shared" si="285"/>
        <v>104899.25636999997</v>
      </c>
      <c r="W2565" s="85">
        <f t="shared" si="285"/>
        <v>946.76127000000133</v>
      </c>
      <c r="X2565" s="85">
        <f>+H2565+P2565</f>
        <v>293604.18398000003</v>
      </c>
      <c r="Y2565" s="85">
        <f t="shared" si="285"/>
        <v>0</v>
      </c>
      <c r="Z2565" s="85">
        <f t="shared" si="284"/>
        <v>946.76156000001356</v>
      </c>
      <c r="AA2565" s="72">
        <f t="shared" si="285"/>
        <v>105199.14163999997</v>
      </c>
      <c r="AB2565" s="72">
        <f t="shared" si="285"/>
        <v>646.87599999999998</v>
      </c>
    </row>
    <row r="2566" spans="1:28" x14ac:dyDescent="0.3">
      <c r="A2566" s="117"/>
      <c r="E2566" s="86"/>
      <c r="F2566" s="86"/>
      <c r="G2566" s="86"/>
      <c r="H2566" s="86"/>
      <c r="I2566" s="86"/>
      <c r="J2566" s="86"/>
      <c r="K2566" s="86"/>
      <c r="L2566" s="86"/>
      <c r="M2566" s="86"/>
      <c r="N2566" s="86"/>
      <c r="O2566" s="86"/>
      <c r="P2566" s="86"/>
      <c r="Q2566" s="86"/>
      <c r="R2566" s="86"/>
      <c r="S2566" s="86"/>
      <c r="T2566" s="86"/>
      <c r="U2566" s="86"/>
      <c r="V2566" s="86"/>
      <c r="W2566" s="86"/>
      <c r="X2566" s="86"/>
      <c r="Y2566" s="86"/>
      <c r="Z2566" s="86"/>
      <c r="AA2566" s="115" t="s">
        <v>29</v>
      </c>
      <c r="AB2566" s="115" t="s">
        <v>29</v>
      </c>
    </row>
    <row r="2567" spans="1:28" s="106" customFormat="1" x14ac:dyDescent="0.3">
      <c r="A2567" s="104"/>
      <c r="B2567" s="8"/>
      <c r="C2567" s="7" t="s">
        <v>3</v>
      </c>
      <c r="D2567" s="8"/>
      <c r="E2567" s="82">
        <f t="shared" ref="E2567:AB2567" si="286">E2470+E2488+E2499+E2515+E2535+E2538+E2565</f>
        <v>1053111.3921400001</v>
      </c>
      <c r="F2567" s="82">
        <f t="shared" si="286"/>
        <v>372619.77271999995</v>
      </c>
      <c r="G2567" s="82">
        <f t="shared" si="286"/>
        <v>0</v>
      </c>
      <c r="H2567" s="82">
        <f t="shared" si="286"/>
        <v>1015806.26741</v>
      </c>
      <c r="I2567" s="82">
        <f t="shared" si="286"/>
        <v>29651.254549999998</v>
      </c>
      <c r="J2567" s="82">
        <f t="shared" si="286"/>
        <v>21451.583549999999</v>
      </c>
      <c r="K2567" s="82">
        <f t="shared" si="286"/>
        <v>0</v>
      </c>
      <c r="L2567" s="82">
        <f t="shared" si="286"/>
        <v>0</v>
      </c>
      <c r="M2567" s="82">
        <f t="shared" si="286"/>
        <v>372619.77271999995</v>
      </c>
      <c r="N2567" s="82">
        <f t="shared" si="286"/>
        <v>23942.951479999996</v>
      </c>
      <c r="O2567" s="82">
        <f t="shared" si="286"/>
        <v>0</v>
      </c>
      <c r="P2567" s="82">
        <f t="shared" si="286"/>
        <v>23942.949000000004</v>
      </c>
      <c r="Q2567" s="82">
        <f t="shared" si="286"/>
        <v>12716.329749999999</v>
      </c>
      <c r="R2567" s="82">
        <f t="shared" si="286"/>
        <v>1.0325</v>
      </c>
      <c r="S2567" s="82">
        <f t="shared" si="286"/>
        <v>0</v>
      </c>
      <c r="T2567" s="82">
        <f t="shared" si="286"/>
        <v>12715.29725</v>
      </c>
      <c r="U2567" s="82">
        <f t="shared" si="286"/>
        <v>36658.248729999992</v>
      </c>
      <c r="V2567" s="82">
        <f t="shared" si="286"/>
        <v>393113.73521999997</v>
      </c>
      <c r="W2567" s="82">
        <f t="shared" si="286"/>
        <v>13362.17325</v>
      </c>
      <c r="X2567" s="82">
        <f t="shared" si="286"/>
        <v>1039749.2164099999</v>
      </c>
      <c r="Y2567" s="82">
        <f t="shared" si="286"/>
        <v>0</v>
      </c>
      <c r="Z2567" s="82">
        <f t="shared" si="286"/>
        <v>13362.175730000046</v>
      </c>
      <c r="AA2567" s="9">
        <f t="shared" si="286"/>
        <v>409278.02144999994</v>
      </c>
      <c r="AB2567" s="9">
        <f t="shared" si="286"/>
        <v>646.87599999999998</v>
      </c>
    </row>
    <row r="2568" spans="1:28" x14ac:dyDescent="0.3">
      <c r="A2568" s="117"/>
      <c r="E2568" s="86"/>
      <c r="F2568" s="86"/>
      <c r="G2568" s="86"/>
      <c r="H2568" s="86"/>
      <c r="I2568" s="86"/>
      <c r="J2568" s="86"/>
      <c r="K2568" s="86"/>
      <c r="L2568" s="86"/>
      <c r="M2568" s="86"/>
      <c r="N2568" s="86"/>
      <c r="O2568" s="86"/>
      <c r="P2568" s="86"/>
      <c r="Q2568" s="86"/>
      <c r="R2568" s="86"/>
      <c r="S2568" s="86"/>
      <c r="T2568" s="86"/>
      <c r="U2568" s="86"/>
      <c r="V2568" s="86"/>
      <c r="W2568" s="86"/>
      <c r="X2568" s="86"/>
      <c r="Y2568" s="86"/>
      <c r="Z2568" s="86"/>
      <c r="AA2568" s="115" t="s">
        <v>114</v>
      </c>
      <c r="AB2568" s="115" t="s">
        <v>114</v>
      </c>
    </row>
    <row r="2569" spans="1:28" x14ac:dyDescent="0.3">
      <c r="A2569" s="117"/>
      <c r="E2569" s="84"/>
      <c r="F2569" s="84"/>
      <c r="G2569" s="84"/>
      <c r="H2569" s="84"/>
      <c r="I2569" s="84"/>
      <c r="J2569" s="84"/>
      <c r="K2569" s="84"/>
      <c r="L2569" s="84"/>
      <c r="M2569" s="84"/>
      <c r="N2569" s="84"/>
      <c r="O2569" s="84"/>
      <c r="P2569" s="84"/>
      <c r="Q2569" s="84"/>
      <c r="R2569" s="84"/>
      <c r="S2569" s="84"/>
      <c r="T2569" s="84"/>
      <c r="U2569" s="84"/>
      <c r="V2569" s="84"/>
      <c r="W2569" s="84"/>
      <c r="X2569" s="84"/>
      <c r="Y2569" s="84"/>
      <c r="Z2569" s="84"/>
      <c r="AA2569" s="118"/>
    </row>
    <row r="2570" spans="1:28" x14ac:dyDescent="0.3">
      <c r="A2570" s="117"/>
      <c r="B2570" s="68" t="s">
        <v>437</v>
      </c>
      <c r="E2570" s="84"/>
      <c r="F2570" s="84"/>
      <c r="G2570" s="84"/>
      <c r="H2570" s="84"/>
      <c r="I2570" s="84"/>
      <c r="J2570" s="84"/>
      <c r="K2570" s="84"/>
      <c r="L2570" s="84"/>
      <c r="M2570" s="84"/>
      <c r="N2570" s="84"/>
      <c r="O2570" s="84"/>
      <c r="P2570" s="84"/>
      <c r="Q2570" s="84"/>
      <c r="R2570" s="84"/>
      <c r="S2570" s="84"/>
      <c r="T2570" s="84"/>
      <c r="U2570" s="84"/>
      <c r="V2570" s="84"/>
      <c r="W2570" s="84"/>
      <c r="X2570" s="84"/>
      <c r="Y2570" s="84"/>
      <c r="Z2570" s="84"/>
    </row>
    <row r="2571" spans="1:28" hidden="1" x14ac:dyDescent="0.3">
      <c r="A2571" s="117"/>
      <c r="E2571" s="84"/>
      <c r="F2571" s="84"/>
      <c r="G2571" s="84"/>
      <c r="H2571" s="84"/>
      <c r="I2571" s="84"/>
      <c r="J2571" s="84"/>
      <c r="K2571" s="84"/>
      <c r="L2571" s="84"/>
      <c r="M2571" s="84"/>
      <c r="N2571" s="84"/>
      <c r="O2571" s="84"/>
      <c r="P2571" s="84"/>
      <c r="Q2571" s="84"/>
      <c r="R2571" s="84"/>
      <c r="S2571" s="84"/>
      <c r="T2571" s="84"/>
      <c r="U2571" s="84"/>
      <c r="V2571" s="84"/>
      <c r="W2571" s="84"/>
      <c r="X2571" s="84"/>
      <c r="Y2571" s="84"/>
      <c r="Z2571" s="84"/>
    </row>
    <row r="2572" spans="1:28" hidden="1" x14ac:dyDescent="0.3">
      <c r="A2572" s="105"/>
      <c r="E2572" s="84"/>
      <c r="F2572" s="84"/>
      <c r="G2572" s="84"/>
      <c r="H2572" s="84"/>
      <c r="I2572" s="84"/>
      <c r="J2572" s="84"/>
      <c r="K2572" s="84"/>
      <c r="L2572" s="84"/>
      <c r="M2572" s="84"/>
      <c r="N2572" s="84"/>
      <c r="O2572" s="84"/>
      <c r="P2572" s="84"/>
      <c r="Q2572" s="84"/>
      <c r="R2572" s="84"/>
      <c r="S2572" s="84"/>
      <c r="T2572" s="84"/>
      <c r="U2572" s="84"/>
      <c r="V2572" s="84"/>
      <c r="W2572" s="84"/>
      <c r="X2572" s="84"/>
      <c r="Y2572" s="84"/>
      <c r="Z2572" s="84"/>
    </row>
    <row r="2573" spans="1:28" hidden="1" x14ac:dyDescent="0.3">
      <c r="A2573" s="117"/>
      <c r="C2573" s="68" t="s">
        <v>147</v>
      </c>
      <c r="D2573" s="87" t="s">
        <v>78</v>
      </c>
      <c r="E2573" s="85">
        <f>STATS1003B!E2581/1000</f>
        <v>300</v>
      </c>
      <c r="F2573" s="85">
        <f>STATS1003B!F2581/1000</f>
        <v>0</v>
      </c>
      <c r="G2573" s="85">
        <f>STATS1003B!G2581/1000</f>
        <v>0</v>
      </c>
      <c r="H2573" s="85">
        <f>STATS1003B!H2581/1000</f>
        <v>0</v>
      </c>
      <c r="I2573" s="85">
        <f>STATS1003B!I2581/1000</f>
        <v>0</v>
      </c>
      <c r="J2573" s="85">
        <f>STATS1003B!J2581/1000</f>
        <v>0</v>
      </c>
      <c r="K2573" s="85">
        <f>STATS1003B!K2581/1000</f>
        <v>0</v>
      </c>
      <c r="L2573" s="85">
        <f>STATS1003B!L2581/1000</f>
        <v>0</v>
      </c>
      <c r="M2573" s="85">
        <f>STATS1003B!M2581/1000</f>
        <v>0</v>
      </c>
      <c r="N2573" s="85">
        <f>STATS1003B!N2581/1000</f>
        <v>300</v>
      </c>
      <c r="O2573" s="85">
        <f>STATS1003B!O2581/1000</f>
        <v>0</v>
      </c>
      <c r="P2573" s="85">
        <f>STATS1003B!P2581/1000</f>
        <v>300</v>
      </c>
      <c r="Q2573" s="85">
        <f>STATS1003B!Q2581/1000</f>
        <v>0</v>
      </c>
      <c r="R2573" s="85">
        <f>STATS1003B!R2581/1000</f>
        <v>0</v>
      </c>
      <c r="S2573" s="85">
        <f>STATS1003B!S2581/1000</f>
        <v>0</v>
      </c>
      <c r="T2573" s="85">
        <f>STATS1003B!T2581/1000</f>
        <v>0</v>
      </c>
      <c r="U2573" s="85">
        <f>STATS1003B!U2581/1000</f>
        <v>300</v>
      </c>
      <c r="V2573" s="85">
        <f>STATS1003B!V2581/1000</f>
        <v>300</v>
      </c>
      <c r="W2573" s="85">
        <f>STATS1003B!W2581/1000</f>
        <v>0</v>
      </c>
      <c r="X2573" s="85">
        <f>STATS1003B!X2581/1000</f>
        <v>300</v>
      </c>
      <c r="Y2573" s="85">
        <f>STATS1003B!Y2581/1000</f>
        <v>0</v>
      </c>
      <c r="Z2573" s="85">
        <f>STATS1003B!Z2581/1000</f>
        <v>0</v>
      </c>
      <c r="AA2573" s="69">
        <f>STATS1003B!AA2581/1000</f>
        <v>300</v>
      </c>
      <c r="AB2573" s="69">
        <f>STATS1003B!AB2581/1000</f>
        <v>0</v>
      </c>
    </row>
    <row r="2574" spans="1:28" hidden="1" x14ac:dyDescent="0.3">
      <c r="A2574" s="117"/>
      <c r="C2574" s="68" t="s">
        <v>439</v>
      </c>
      <c r="D2574" s="87" t="s">
        <v>68</v>
      </c>
      <c r="E2574" s="85">
        <f>STATS1003B!E2582/1000</f>
        <v>1000</v>
      </c>
      <c r="F2574" s="85">
        <f>STATS1003B!F2582/1000</f>
        <v>1000</v>
      </c>
      <c r="G2574" s="85">
        <f>STATS1003B!G2582/1000</f>
        <v>0</v>
      </c>
      <c r="H2574" s="85">
        <f>STATS1003B!H2582/1000</f>
        <v>1000</v>
      </c>
      <c r="I2574" s="85">
        <f>STATS1003B!I2582/1000</f>
        <v>0</v>
      </c>
      <c r="J2574" s="85">
        <f>STATS1003B!J2582/1000</f>
        <v>0</v>
      </c>
      <c r="K2574" s="85">
        <f>STATS1003B!K2582/1000</f>
        <v>0</v>
      </c>
      <c r="L2574" s="85">
        <f>STATS1003B!L2582/1000</f>
        <v>0</v>
      </c>
      <c r="M2574" s="85">
        <f>STATS1003B!M2582/1000</f>
        <v>1000</v>
      </c>
      <c r="N2574" s="85">
        <f>STATS1003B!N2582/1000</f>
        <v>0</v>
      </c>
      <c r="O2574" s="85">
        <f>STATS1003B!O2582/1000</f>
        <v>0</v>
      </c>
      <c r="P2574" s="85">
        <f>STATS1003B!P2582/1000</f>
        <v>0</v>
      </c>
      <c r="Q2574" s="85">
        <f>STATS1003B!Q2582/1000</f>
        <v>0</v>
      </c>
      <c r="R2574" s="85">
        <f>STATS1003B!R2582/1000</f>
        <v>0</v>
      </c>
      <c r="S2574" s="85">
        <f>STATS1003B!S2582/1000</f>
        <v>0</v>
      </c>
      <c r="T2574" s="85">
        <f>STATS1003B!T2582/1000</f>
        <v>0</v>
      </c>
      <c r="U2574" s="85">
        <f>STATS1003B!U2582/1000</f>
        <v>0</v>
      </c>
      <c r="V2574" s="85">
        <f>STATS1003B!V2582/1000</f>
        <v>1000</v>
      </c>
      <c r="W2574" s="85">
        <f>STATS1003B!W2582/1000</f>
        <v>0</v>
      </c>
      <c r="X2574" s="85">
        <f>STATS1003B!X2582/1000</f>
        <v>1000</v>
      </c>
      <c r="Y2574" s="85">
        <f>STATS1003B!Y2582/1000</f>
        <v>0</v>
      </c>
      <c r="Z2574" s="85">
        <f>STATS1003B!Z2582/1000</f>
        <v>0</v>
      </c>
      <c r="AA2574" s="69">
        <f>STATS1003B!AA2582/1000</f>
        <v>1000</v>
      </c>
      <c r="AB2574" s="69">
        <f>STATS1003B!AB2582/1000</f>
        <v>0</v>
      </c>
    </row>
    <row r="2575" spans="1:28" hidden="1" x14ac:dyDescent="0.3">
      <c r="A2575" s="117"/>
      <c r="C2575" s="68" t="s">
        <v>440</v>
      </c>
      <c r="D2575" s="87" t="s">
        <v>68</v>
      </c>
      <c r="E2575" s="85">
        <f>STATS1003B!E2583/1000</f>
        <v>1500</v>
      </c>
      <c r="F2575" s="85">
        <f>STATS1003B!F2583/1000</f>
        <v>1437.84582</v>
      </c>
      <c r="G2575" s="85">
        <f>STATS1003B!G2583/1000</f>
        <v>0</v>
      </c>
      <c r="H2575" s="85">
        <f>STATS1003B!H2583/1000</f>
        <v>1437.84582</v>
      </c>
      <c r="I2575" s="85">
        <f>STATS1003B!I2583/1000</f>
        <v>0</v>
      </c>
      <c r="J2575" s="85">
        <f>STATS1003B!J2583/1000</f>
        <v>0</v>
      </c>
      <c r="K2575" s="85">
        <f>STATS1003B!K2583/1000</f>
        <v>0</v>
      </c>
      <c r="L2575" s="85">
        <f>STATS1003B!L2583/1000</f>
        <v>0</v>
      </c>
      <c r="M2575" s="85">
        <f>STATS1003B!M2583/1000</f>
        <v>1437.84582</v>
      </c>
      <c r="N2575" s="85">
        <f>STATS1003B!N2583/1000</f>
        <v>62.154180000000004</v>
      </c>
      <c r="O2575" s="85">
        <f>STATS1003B!O2583/1000</f>
        <v>0</v>
      </c>
      <c r="P2575" s="85">
        <f>STATS1003B!P2583/1000</f>
        <v>62.154180000000004</v>
      </c>
      <c r="Q2575" s="85">
        <f>STATS1003B!Q2583/1000</f>
        <v>0</v>
      </c>
      <c r="R2575" s="85">
        <f>STATS1003B!R2583/1000</f>
        <v>0</v>
      </c>
      <c r="S2575" s="85">
        <f>STATS1003B!S2583/1000</f>
        <v>0</v>
      </c>
      <c r="T2575" s="85">
        <f>STATS1003B!T2583/1000</f>
        <v>0</v>
      </c>
      <c r="U2575" s="85">
        <f>STATS1003B!U2583/1000</f>
        <v>62.154180000000004</v>
      </c>
      <c r="V2575" s="85">
        <f>STATS1003B!V2583/1000</f>
        <v>1500</v>
      </c>
      <c r="W2575" s="85">
        <f>STATS1003B!W2583/1000</f>
        <v>0</v>
      </c>
      <c r="X2575" s="85">
        <f>STATS1003B!X2583/1000</f>
        <v>1500</v>
      </c>
      <c r="Y2575" s="85">
        <f>STATS1003B!Y2583/1000</f>
        <v>0</v>
      </c>
      <c r="Z2575" s="85">
        <f>STATS1003B!Z2583/1000</f>
        <v>0</v>
      </c>
      <c r="AA2575" s="69">
        <f>STATS1003B!AA2583/1000</f>
        <v>1500</v>
      </c>
      <c r="AB2575" s="69">
        <f>STATS1003B!AB2583/1000</f>
        <v>0</v>
      </c>
    </row>
    <row r="2576" spans="1:28" hidden="1" x14ac:dyDescent="0.3">
      <c r="A2576" s="117"/>
      <c r="C2576" s="68" t="s">
        <v>441</v>
      </c>
      <c r="D2576" s="87" t="s">
        <v>68</v>
      </c>
      <c r="E2576" s="85">
        <f>STATS1003B!E2584/1000</f>
        <v>500</v>
      </c>
      <c r="F2576" s="85">
        <f>STATS1003B!F2584/1000</f>
        <v>500</v>
      </c>
      <c r="G2576" s="85">
        <f>STATS1003B!G2584/1000</f>
        <v>0</v>
      </c>
      <c r="H2576" s="85">
        <f>STATS1003B!H2584/1000</f>
        <v>500</v>
      </c>
      <c r="I2576" s="85">
        <f>STATS1003B!I2584/1000</f>
        <v>0</v>
      </c>
      <c r="J2576" s="85">
        <f>STATS1003B!J2584/1000</f>
        <v>0</v>
      </c>
      <c r="K2576" s="85">
        <f>STATS1003B!K2584/1000</f>
        <v>0</v>
      </c>
      <c r="L2576" s="85">
        <f>STATS1003B!L2584/1000</f>
        <v>0</v>
      </c>
      <c r="M2576" s="85">
        <f>STATS1003B!M2584/1000</f>
        <v>500</v>
      </c>
      <c r="N2576" s="85">
        <f>STATS1003B!N2584/1000</f>
        <v>0</v>
      </c>
      <c r="O2576" s="85">
        <f>STATS1003B!O2584/1000</f>
        <v>0</v>
      </c>
      <c r="P2576" s="85">
        <f>STATS1003B!P2584/1000</f>
        <v>0</v>
      </c>
      <c r="Q2576" s="85">
        <f>STATS1003B!Q2584/1000</f>
        <v>0</v>
      </c>
      <c r="R2576" s="85">
        <f>STATS1003B!R2584/1000</f>
        <v>0</v>
      </c>
      <c r="S2576" s="85">
        <f>STATS1003B!S2584/1000</f>
        <v>0</v>
      </c>
      <c r="T2576" s="85">
        <f>STATS1003B!T2584/1000</f>
        <v>0</v>
      </c>
      <c r="U2576" s="85">
        <f>STATS1003B!U2584/1000</f>
        <v>0</v>
      </c>
      <c r="V2576" s="85">
        <f>STATS1003B!V2584/1000</f>
        <v>500</v>
      </c>
      <c r="W2576" s="85">
        <f>STATS1003B!W2584/1000</f>
        <v>0</v>
      </c>
      <c r="X2576" s="85">
        <f>STATS1003B!X2584/1000</f>
        <v>500</v>
      </c>
      <c r="Y2576" s="85">
        <f>STATS1003B!Y2584/1000</f>
        <v>0</v>
      </c>
      <c r="Z2576" s="85">
        <f>STATS1003B!Z2584/1000</f>
        <v>0</v>
      </c>
      <c r="AA2576" s="69">
        <f>STATS1003B!AA2584/1000</f>
        <v>500</v>
      </c>
      <c r="AB2576" s="69">
        <f>STATS1003B!AB2584/1000</f>
        <v>0</v>
      </c>
    </row>
    <row r="2577" spans="1:28" hidden="1" x14ac:dyDescent="0.3">
      <c r="A2577" s="117"/>
      <c r="C2577" s="68" t="s">
        <v>51</v>
      </c>
      <c r="D2577" s="87" t="s">
        <v>117</v>
      </c>
      <c r="E2577" s="85">
        <f>STATS1003B!E2585/1000</f>
        <v>10053.773499999999</v>
      </c>
      <c r="F2577" s="85">
        <f>STATS1003B!F2585/1000</f>
        <v>9713.1190000000006</v>
      </c>
      <c r="G2577" s="85">
        <f>STATS1003B!G2585/1000</f>
        <v>0</v>
      </c>
      <c r="H2577" s="85">
        <f>STATS1003B!H2585/1000</f>
        <v>9713.1190000000006</v>
      </c>
      <c r="I2577" s="85">
        <f>STATS1003B!I2585/1000</f>
        <v>0</v>
      </c>
      <c r="J2577" s="85">
        <f>STATS1003B!J2585/1000</f>
        <v>0</v>
      </c>
      <c r="K2577" s="85">
        <f>STATS1003B!K2585/1000</f>
        <v>0</v>
      </c>
      <c r="L2577" s="85">
        <f>STATS1003B!L2585/1000</f>
        <v>0</v>
      </c>
      <c r="M2577" s="85">
        <f>STATS1003B!M2585/1000</f>
        <v>9713.1190000000006</v>
      </c>
      <c r="N2577" s="85">
        <f>STATS1003B!N2585/1000</f>
        <v>340.65449999999998</v>
      </c>
      <c r="O2577" s="85">
        <f>STATS1003B!O2585/1000</f>
        <v>0</v>
      </c>
      <c r="P2577" s="85">
        <f>STATS1003B!P2585/1000</f>
        <v>340.65449999999998</v>
      </c>
      <c r="Q2577" s="85">
        <f>STATS1003B!Q2585/1000</f>
        <v>0</v>
      </c>
      <c r="R2577" s="85">
        <f>STATS1003B!R2585/1000</f>
        <v>0</v>
      </c>
      <c r="S2577" s="85">
        <f>STATS1003B!S2585/1000</f>
        <v>0</v>
      </c>
      <c r="T2577" s="85">
        <f>STATS1003B!T2585/1000</f>
        <v>0</v>
      </c>
      <c r="U2577" s="85">
        <f>STATS1003B!U2585/1000</f>
        <v>340.65449999999998</v>
      </c>
      <c r="V2577" s="85">
        <f>STATS1003B!V2585/1000</f>
        <v>10053.773499999999</v>
      </c>
      <c r="W2577" s="85">
        <f>STATS1003B!W2585/1000</f>
        <v>0</v>
      </c>
      <c r="X2577" s="85">
        <f>STATS1003B!X2585/1000</f>
        <v>10053.773499999999</v>
      </c>
      <c r="Y2577" s="85">
        <f>STATS1003B!Y2585/1000</f>
        <v>0</v>
      </c>
      <c r="Z2577" s="85">
        <f>STATS1003B!Z2585/1000</f>
        <v>0</v>
      </c>
      <c r="AA2577" s="69">
        <f>STATS1003B!AA2585/1000</f>
        <v>10053.773499999999</v>
      </c>
      <c r="AB2577" s="69">
        <f>STATS1003B!AB2585/1000</f>
        <v>0</v>
      </c>
    </row>
    <row r="2578" spans="1:28" hidden="1" x14ac:dyDescent="0.3">
      <c r="A2578" s="117"/>
      <c r="C2578" s="68" t="s">
        <v>55</v>
      </c>
      <c r="D2578" s="87" t="s">
        <v>68</v>
      </c>
      <c r="E2578" s="85">
        <f>STATS1003B!E2586/1000</f>
        <v>2992.9861499999997</v>
      </c>
      <c r="F2578" s="85">
        <f>STATS1003B!F2586/1000</f>
        <v>0</v>
      </c>
      <c r="G2578" s="85">
        <f>STATS1003B!G2586/1000</f>
        <v>0</v>
      </c>
      <c r="H2578" s="85">
        <f>STATS1003B!H2586/1000</f>
        <v>0</v>
      </c>
      <c r="I2578" s="85">
        <f>STATS1003B!I2586/1000</f>
        <v>0</v>
      </c>
      <c r="J2578" s="85">
        <f>STATS1003B!J2586/1000</f>
        <v>0</v>
      </c>
      <c r="K2578" s="85">
        <f>STATS1003B!K2586/1000</f>
        <v>0</v>
      </c>
      <c r="L2578" s="85">
        <f>STATS1003B!L2586/1000</f>
        <v>0</v>
      </c>
      <c r="M2578" s="85">
        <f>STATS1003B!M2586/1000</f>
        <v>0</v>
      </c>
      <c r="N2578" s="85">
        <f>STATS1003B!N2586/1000</f>
        <v>2992.9861499999997</v>
      </c>
      <c r="O2578" s="85">
        <f>STATS1003B!O2586/1000</f>
        <v>0</v>
      </c>
      <c r="P2578" s="85">
        <f>STATS1003B!P2586/1000</f>
        <v>2992.9861499999997</v>
      </c>
      <c r="Q2578" s="85">
        <f>STATS1003B!Q2586/1000</f>
        <v>0</v>
      </c>
      <c r="R2578" s="85">
        <f>STATS1003B!R2586/1000</f>
        <v>0</v>
      </c>
      <c r="S2578" s="85">
        <f>STATS1003B!S2586/1000</f>
        <v>0</v>
      </c>
      <c r="T2578" s="85">
        <f>STATS1003B!T2586/1000</f>
        <v>0</v>
      </c>
      <c r="U2578" s="85">
        <f>STATS1003B!U2586/1000</f>
        <v>2992.9861499999997</v>
      </c>
      <c r="V2578" s="85">
        <f>STATS1003B!V2586/1000</f>
        <v>2992.9861499999997</v>
      </c>
      <c r="W2578" s="85">
        <f>STATS1003B!W2586/1000</f>
        <v>0</v>
      </c>
      <c r="X2578" s="85">
        <f>STATS1003B!X2586/1000</f>
        <v>2992.9861499999997</v>
      </c>
      <c r="Y2578" s="85">
        <f>STATS1003B!Y2586/1000</f>
        <v>0</v>
      </c>
      <c r="Z2578" s="85">
        <f>STATS1003B!Z2586/1000</f>
        <v>0</v>
      </c>
      <c r="AA2578" s="69">
        <f>STATS1003B!AA2586/1000</f>
        <v>2992.9861499999997</v>
      </c>
      <c r="AB2578" s="69">
        <f>STATS1003B!AB2586/1000</f>
        <v>0</v>
      </c>
    </row>
    <row r="2579" spans="1:28" hidden="1" x14ac:dyDescent="0.3">
      <c r="A2579" s="117"/>
      <c r="C2579" s="68" t="s">
        <v>442</v>
      </c>
      <c r="D2579" s="87" t="s">
        <v>79</v>
      </c>
      <c r="E2579" s="85">
        <f>STATS1003B!E2587/1000</f>
        <v>4300</v>
      </c>
      <c r="F2579" s="85">
        <f>STATS1003B!F2587/1000</f>
        <v>4300</v>
      </c>
      <c r="G2579" s="85">
        <f>STATS1003B!G2587/1000</f>
        <v>0</v>
      </c>
      <c r="H2579" s="85">
        <f>STATS1003B!H2587/1000</f>
        <v>4300</v>
      </c>
      <c r="I2579" s="85">
        <f>STATS1003B!I2587/1000</f>
        <v>0</v>
      </c>
      <c r="J2579" s="85">
        <f>STATS1003B!J2587/1000</f>
        <v>0</v>
      </c>
      <c r="K2579" s="85">
        <f>STATS1003B!K2587/1000</f>
        <v>0</v>
      </c>
      <c r="L2579" s="85">
        <f>STATS1003B!L2587/1000</f>
        <v>0</v>
      </c>
      <c r="M2579" s="85">
        <f>STATS1003B!M2587/1000</f>
        <v>4300</v>
      </c>
      <c r="N2579" s="85">
        <f>STATS1003B!N2587/1000</f>
        <v>0</v>
      </c>
      <c r="O2579" s="85">
        <f>STATS1003B!O2587/1000</f>
        <v>0</v>
      </c>
      <c r="P2579" s="85">
        <f>STATS1003B!P2587/1000</f>
        <v>0</v>
      </c>
      <c r="Q2579" s="85">
        <f>STATS1003B!Q2587/1000</f>
        <v>0</v>
      </c>
      <c r="R2579" s="85">
        <f>STATS1003B!R2587/1000</f>
        <v>0</v>
      </c>
      <c r="S2579" s="85">
        <f>STATS1003B!S2587/1000</f>
        <v>0</v>
      </c>
      <c r="T2579" s="85">
        <f>STATS1003B!T2587/1000</f>
        <v>0</v>
      </c>
      <c r="U2579" s="85">
        <f>STATS1003B!U2587/1000</f>
        <v>0</v>
      </c>
      <c r="V2579" s="85">
        <f>STATS1003B!V2587/1000</f>
        <v>4300</v>
      </c>
      <c r="W2579" s="85">
        <f>STATS1003B!W2587/1000</f>
        <v>0</v>
      </c>
      <c r="X2579" s="85">
        <f>STATS1003B!X2587/1000</f>
        <v>4300</v>
      </c>
      <c r="Y2579" s="85">
        <f>STATS1003B!Y2587/1000</f>
        <v>0</v>
      </c>
      <c r="Z2579" s="85">
        <f>STATS1003B!Z2587/1000</f>
        <v>0</v>
      </c>
      <c r="AA2579" s="69">
        <f>STATS1003B!AA2587/1000</f>
        <v>4300</v>
      </c>
      <c r="AB2579" s="69">
        <f>STATS1003B!AB2587/1000</f>
        <v>0</v>
      </c>
    </row>
    <row r="2580" spans="1:28" hidden="1" x14ac:dyDescent="0.3">
      <c r="A2580" s="117"/>
      <c r="C2580" s="68" t="s">
        <v>122</v>
      </c>
      <c r="E2580" s="85">
        <f>STATS1003B!E2588/1000</f>
        <v>625</v>
      </c>
      <c r="F2580" s="85">
        <f>STATS1003B!F2588/1000</f>
        <v>625</v>
      </c>
      <c r="G2580" s="85">
        <f>STATS1003B!G2588/1000</f>
        <v>0</v>
      </c>
      <c r="H2580" s="85">
        <f>STATS1003B!H2588/1000</f>
        <v>625</v>
      </c>
      <c r="I2580" s="85">
        <f>STATS1003B!I2588/1000</f>
        <v>0</v>
      </c>
      <c r="J2580" s="85">
        <f>STATS1003B!J2588/1000</f>
        <v>0</v>
      </c>
      <c r="K2580" s="85">
        <f>STATS1003B!K2588/1000</f>
        <v>0</v>
      </c>
      <c r="L2580" s="85">
        <f>STATS1003B!L2588/1000</f>
        <v>0</v>
      </c>
      <c r="M2580" s="85">
        <f>STATS1003B!M2588/1000</f>
        <v>625</v>
      </c>
      <c r="N2580" s="85">
        <f>STATS1003B!N2588/1000</f>
        <v>0</v>
      </c>
      <c r="O2580" s="85">
        <f>STATS1003B!O2588/1000</f>
        <v>0</v>
      </c>
      <c r="P2580" s="85">
        <f>STATS1003B!P2588/1000</f>
        <v>0</v>
      </c>
      <c r="Q2580" s="85">
        <f>STATS1003B!Q2588/1000</f>
        <v>0</v>
      </c>
      <c r="R2580" s="85">
        <f>STATS1003B!R2588/1000</f>
        <v>0</v>
      </c>
      <c r="S2580" s="85">
        <f>STATS1003B!S2588/1000</f>
        <v>0</v>
      </c>
      <c r="T2580" s="85">
        <f>STATS1003B!T2588/1000</f>
        <v>0</v>
      </c>
      <c r="U2580" s="85">
        <f>STATS1003B!U2588/1000</f>
        <v>0</v>
      </c>
      <c r="V2580" s="85">
        <f>STATS1003B!V2588/1000</f>
        <v>625</v>
      </c>
      <c r="W2580" s="85">
        <f>STATS1003B!W2588/1000</f>
        <v>0</v>
      </c>
      <c r="X2580" s="85">
        <f>STATS1003B!X2588/1000</f>
        <v>625</v>
      </c>
      <c r="Y2580" s="85">
        <f>STATS1003B!Y2588/1000</f>
        <v>0</v>
      </c>
      <c r="Z2580" s="85">
        <f>STATS1003B!Z2588/1000</f>
        <v>0</v>
      </c>
      <c r="AA2580" s="69">
        <f>STATS1003B!AA2588/1000</f>
        <v>625</v>
      </c>
      <c r="AB2580" s="69">
        <f>STATS1003B!AB2588/1000</f>
        <v>0</v>
      </c>
    </row>
    <row r="2581" spans="1:28" hidden="1" x14ac:dyDescent="0.3">
      <c r="A2581" s="117"/>
      <c r="C2581" s="68" t="s">
        <v>53</v>
      </c>
      <c r="D2581" s="87" t="s">
        <v>54</v>
      </c>
      <c r="E2581" s="85">
        <f>STATS1003B!E2589/1000</f>
        <v>1953.989</v>
      </c>
      <c r="F2581" s="85">
        <f>STATS1003B!F2589/1000</f>
        <v>0</v>
      </c>
      <c r="G2581" s="85">
        <f>STATS1003B!G2589/1000</f>
        <v>0</v>
      </c>
      <c r="H2581" s="85">
        <f>STATS1003B!H2589/1000</f>
        <v>0</v>
      </c>
      <c r="I2581" s="85">
        <f>STATS1003B!I2589/1000</f>
        <v>0</v>
      </c>
      <c r="J2581" s="85">
        <f>STATS1003B!J2589/1000</f>
        <v>0</v>
      </c>
      <c r="K2581" s="85">
        <f>STATS1003B!K2589/1000</f>
        <v>0</v>
      </c>
      <c r="L2581" s="85">
        <f>STATS1003B!L2589/1000</f>
        <v>0</v>
      </c>
      <c r="M2581" s="85">
        <f>STATS1003B!M2589/1000</f>
        <v>0</v>
      </c>
      <c r="N2581" s="85">
        <f>STATS1003B!N2589/1000</f>
        <v>1953.989</v>
      </c>
      <c r="O2581" s="85">
        <f>STATS1003B!O2589/1000</f>
        <v>0</v>
      </c>
      <c r="P2581" s="85">
        <f>STATS1003B!P2589/1000</f>
        <v>1953.989</v>
      </c>
      <c r="Q2581" s="85">
        <f>STATS1003B!Q2589/1000</f>
        <v>0</v>
      </c>
      <c r="R2581" s="85">
        <f>STATS1003B!R2589/1000</f>
        <v>0</v>
      </c>
      <c r="S2581" s="85">
        <f>STATS1003B!S2589/1000</f>
        <v>0</v>
      </c>
      <c r="T2581" s="85">
        <f>STATS1003B!T2589/1000</f>
        <v>0</v>
      </c>
      <c r="U2581" s="85">
        <f>STATS1003B!U2589/1000</f>
        <v>1953.989</v>
      </c>
      <c r="V2581" s="85">
        <f>STATS1003B!V2589/1000</f>
        <v>1953.989</v>
      </c>
      <c r="W2581" s="85">
        <f>STATS1003B!W2589/1000</f>
        <v>0</v>
      </c>
      <c r="X2581" s="85">
        <f>STATS1003B!X2589/1000</f>
        <v>1953.989</v>
      </c>
      <c r="Y2581" s="85">
        <f>STATS1003B!Y2589/1000</f>
        <v>0</v>
      </c>
      <c r="Z2581" s="85">
        <f>STATS1003B!Z2589/1000</f>
        <v>0</v>
      </c>
      <c r="AA2581" s="69">
        <f>STATS1003B!AA2589/1000</f>
        <v>1953.989</v>
      </c>
      <c r="AB2581" s="69">
        <f>STATS1003B!AB2589/1000</f>
        <v>0</v>
      </c>
    </row>
    <row r="2582" spans="1:28" hidden="1" x14ac:dyDescent="0.3">
      <c r="A2582" s="117"/>
      <c r="C2582" s="68" t="s">
        <v>443</v>
      </c>
      <c r="D2582" s="87" t="s">
        <v>105</v>
      </c>
      <c r="E2582" s="85">
        <f>STATS1003B!E2590/1000</f>
        <v>1600</v>
      </c>
      <c r="F2582" s="85">
        <f>STATS1003B!F2590/1000</f>
        <v>1600</v>
      </c>
      <c r="G2582" s="85">
        <f>STATS1003B!G2590/1000</f>
        <v>0</v>
      </c>
      <c r="H2582" s="85">
        <f>STATS1003B!H2590/1000</f>
        <v>1600</v>
      </c>
      <c r="I2582" s="85">
        <f>STATS1003B!I2590/1000</f>
        <v>0</v>
      </c>
      <c r="J2582" s="85">
        <f>STATS1003B!J2590/1000</f>
        <v>0</v>
      </c>
      <c r="K2582" s="85">
        <f>STATS1003B!K2590/1000</f>
        <v>0</v>
      </c>
      <c r="L2582" s="85">
        <f>STATS1003B!L2590/1000</f>
        <v>0</v>
      </c>
      <c r="M2582" s="85">
        <f>STATS1003B!M2590/1000</f>
        <v>1600</v>
      </c>
      <c r="N2582" s="85">
        <f>STATS1003B!N2590/1000</f>
        <v>0</v>
      </c>
      <c r="O2582" s="85">
        <f>STATS1003B!O2590/1000</f>
        <v>0</v>
      </c>
      <c r="P2582" s="85">
        <f>STATS1003B!P2590/1000</f>
        <v>0</v>
      </c>
      <c r="Q2582" s="85">
        <f>STATS1003B!Q2590/1000</f>
        <v>0</v>
      </c>
      <c r="R2582" s="85">
        <f>STATS1003B!R2590/1000</f>
        <v>0</v>
      </c>
      <c r="S2582" s="85">
        <f>STATS1003B!S2590/1000</f>
        <v>0</v>
      </c>
      <c r="T2582" s="85">
        <f>STATS1003B!T2590/1000</f>
        <v>0</v>
      </c>
      <c r="U2582" s="85">
        <f>STATS1003B!U2590/1000</f>
        <v>0</v>
      </c>
      <c r="V2582" s="85">
        <f>STATS1003B!V2590/1000</f>
        <v>1600</v>
      </c>
      <c r="W2582" s="85">
        <f>STATS1003B!W2590/1000</f>
        <v>0</v>
      </c>
      <c r="X2582" s="85">
        <f>STATS1003B!X2590/1000</f>
        <v>1600</v>
      </c>
      <c r="Y2582" s="85">
        <f>STATS1003B!Y2590/1000</f>
        <v>0</v>
      </c>
      <c r="Z2582" s="85">
        <f>STATS1003B!Z2590/1000</f>
        <v>0</v>
      </c>
      <c r="AA2582" s="69">
        <f>STATS1003B!AA2590/1000</f>
        <v>1600</v>
      </c>
      <c r="AB2582" s="69">
        <f>STATS1003B!AB2590/1000</f>
        <v>0</v>
      </c>
    </row>
    <row r="2583" spans="1:28" hidden="1" x14ac:dyDescent="0.3">
      <c r="A2583" s="117"/>
      <c r="C2583" s="68" t="s">
        <v>69</v>
      </c>
      <c r="D2583" s="87" t="s">
        <v>128</v>
      </c>
      <c r="E2583" s="85">
        <f>STATS1003B!E2591/1000</f>
        <v>955.34561999999994</v>
      </c>
      <c r="F2583" s="85">
        <f>STATS1003B!F2591/1000</f>
        <v>0</v>
      </c>
      <c r="G2583" s="85">
        <f>STATS1003B!G2591/1000</f>
        <v>0</v>
      </c>
      <c r="H2583" s="85">
        <f>STATS1003B!H2591/1000</f>
        <v>0</v>
      </c>
      <c r="I2583" s="85">
        <f>STATS1003B!I2591/1000</f>
        <v>0</v>
      </c>
      <c r="J2583" s="85">
        <f>STATS1003B!J2591/1000</f>
        <v>0</v>
      </c>
      <c r="K2583" s="85">
        <f>STATS1003B!K2591/1000</f>
        <v>0</v>
      </c>
      <c r="L2583" s="85">
        <f>STATS1003B!L2591/1000</f>
        <v>0</v>
      </c>
      <c r="M2583" s="85">
        <f>STATS1003B!M2591/1000</f>
        <v>0</v>
      </c>
      <c r="N2583" s="85">
        <f>STATS1003B!N2591/1000</f>
        <v>955.34561999999994</v>
      </c>
      <c r="O2583" s="85">
        <f>STATS1003B!O2591/1000</f>
        <v>0</v>
      </c>
      <c r="P2583" s="85">
        <f>STATS1003B!P2591/1000</f>
        <v>955.34561999999994</v>
      </c>
      <c r="Q2583" s="85">
        <f>STATS1003B!Q2591/1000</f>
        <v>0</v>
      </c>
      <c r="R2583" s="85">
        <f>STATS1003B!R2591/1000</f>
        <v>0</v>
      </c>
      <c r="S2583" s="85">
        <f>STATS1003B!S2591/1000</f>
        <v>0</v>
      </c>
      <c r="T2583" s="85">
        <f>STATS1003B!T2591/1000</f>
        <v>0</v>
      </c>
      <c r="U2583" s="85">
        <f>STATS1003B!U2591/1000</f>
        <v>955.34561999999994</v>
      </c>
      <c r="V2583" s="85">
        <f>STATS1003B!V2591/1000</f>
        <v>955.34561999999994</v>
      </c>
      <c r="W2583" s="85">
        <f>STATS1003B!W2591/1000</f>
        <v>0</v>
      </c>
      <c r="X2583" s="85">
        <f>STATS1003B!X2591/1000</f>
        <v>955.34561999999994</v>
      </c>
      <c r="Y2583" s="85">
        <f>STATS1003B!Y2591/1000</f>
        <v>0</v>
      </c>
      <c r="Z2583" s="85">
        <f>STATS1003B!Z2591/1000</f>
        <v>0</v>
      </c>
      <c r="AA2583" s="69">
        <f>STATS1003B!AA2591/1000</f>
        <v>955.34561999999994</v>
      </c>
      <c r="AB2583" s="69">
        <f>STATS1003B!AB2591/1000</f>
        <v>0</v>
      </c>
    </row>
    <row r="2584" spans="1:28" hidden="1" x14ac:dyDescent="0.3">
      <c r="A2584" s="117"/>
      <c r="C2584" s="68" t="s">
        <v>225</v>
      </c>
      <c r="D2584" s="87" t="s">
        <v>85</v>
      </c>
      <c r="E2584" s="85">
        <f>STATS1003B!E2592/1000</f>
        <v>200</v>
      </c>
      <c r="F2584" s="85">
        <f>STATS1003B!F2592/1000</f>
        <v>200</v>
      </c>
      <c r="G2584" s="85">
        <f>STATS1003B!G2592/1000</f>
        <v>0</v>
      </c>
      <c r="H2584" s="85">
        <f>STATS1003B!H2592/1000</f>
        <v>200</v>
      </c>
      <c r="I2584" s="85">
        <f>STATS1003B!I2592/1000</f>
        <v>0</v>
      </c>
      <c r="J2584" s="85">
        <f>STATS1003B!J2592/1000</f>
        <v>0</v>
      </c>
      <c r="K2584" s="85">
        <f>STATS1003B!K2592/1000</f>
        <v>0</v>
      </c>
      <c r="L2584" s="85">
        <f>STATS1003B!L2592/1000</f>
        <v>0</v>
      </c>
      <c r="M2584" s="85">
        <f>STATS1003B!M2592/1000</f>
        <v>200</v>
      </c>
      <c r="N2584" s="85">
        <f>STATS1003B!N2592/1000</f>
        <v>0</v>
      </c>
      <c r="O2584" s="85">
        <f>STATS1003B!O2592/1000</f>
        <v>0</v>
      </c>
      <c r="P2584" s="85">
        <f>STATS1003B!P2592/1000</f>
        <v>0</v>
      </c>
      <c r="Q2584" s="85">
        <f>STATS1003B!Q2592/1000</f>
        <v>0</v>
      </c>
      <c r="R2584" s="85">
        <f>STATS1003B!R2592/1000</f>
        <v>0</v>
      </c>
      <c r="S2584" s="85">
        <f>STATS1003B!S2592/1000</f>
        <v>0</v>
      </c>
      <c r="T2584" s="85">
        <f>STATS1003B!T2592/1000</f>
        <v>0</v>
      </c>
      <c r="U2584" s="85">
        <f>STATS1003B!U2592/1000</f>
        <v>0</v>
      </c>
      <c r="V2584" s="85">
        <f>STATS1003B!V2592/1000</f>
        <v>200</v>
      </c>
      <c r="W2584" s="85">
        <f>STATS1003B!W2592/1000</f>
        <v>0</v>
      </c>
      <c r="X2584" s="85">
        <f>STATS1003B!X2592/1000</f>
        <v>200</v>
      </c>
      <c r="Y2584" s="85">
        <f>STATS1003B!Y2592/1000</f>
        <v>0</v>
      </c>
      <c r="Z2584" s="85">
        <f>STATS1003B!Z2592/1000</f>
        <v>0</v>
      </c>
      <c r="AA2584" s="69">
        <f>STATS1003B!AA2592/1000</f>
        <v>200</v>
      </c>
      <c r="AB2584" s="69">
        <f>STATS1003B!AB2592/1000</f>
        <v>0</v>
      </c>
    </row>
    <row r="2585" spans="1:28" hidden="1" x14ac:dyDescent="0.3">
      <c r="A2585" s="117"/>
      <c r="C2585" s="68" t="s">
        <v>444</v>
      </c>
      <c r="D2585" s="87" t="s">
        <v>128</v>
      </c>
      <c r="E2585" s="85">
        <f>STATS1003B!E2593/1000</f>
        <v>800</v>
      </c>
      <c r="F2585" s="85">
        <f>STATS1003B!F2593/1000</f>
        <v>800</v>
      </c>
      <c r="G2585" s="85">
        <f>STATS1003B!G2593/1000</f>
        <v>0</v>
      </c>
      <c r="H2585" s="85">
        <f>STATS1003B!H2593/1000</f>
        <v>800</v>
      </c>
      <c r="I2585" s="85">
        <f>STATS1003B!I2593/1000</f>
        <v>0</v>
      </c>
      <c r="J2585" s="85">
        <f>STATS1003B!J2593/1000</f>
        <v>0</v>
      </c>
      <c r="K2585" s="85">
        <f>STATS1003B!K2593/1000</f>
        <v>0</v>
      </c>
      <c r="L2585" s="85">
        <f>STATS1003B!L2593/1000</f>
        <v>0</v>
      </c>
      <c r="M2585" s="85">
        <f>STATS1003B!M2593/1000</f>
        <v>800</v>
      </c>
      <c r="N2585" s="85">
        <f>STATS1003B!N2593/1000</f>
        <v>0</v>
      </c>
      <c r="O2585" s="85">
        <f>STATS1003B!O2593/1000</f>
        <v>0</v>
      </c>
      <c r="P2585" s="85">
        <f>STATS1003B!P2593/1000</f>
        <v>0</v>
      </c>
      <c r="Q2585" s="85">
        <f>STATS1003B!Q2593/1000</f>
        <v>0</v>
      </c>
      <c r="R2585" s="85">
        <f>STATS1003B!R2593/1000</f>
        <v>0</v>
      </c>
      <c r="S2585" s="85">
        <f>STATS1003B!S2593/1000</f>
        <v>0</v>
      </c>
      <c r="T2585" s="85">
        <f>STATS1003B!T2593/1000</f>
        <v>0</v>
      </c>
      <c r="U2585" s="85">
        <f>STATS1003B!U2593/1000</f>
        <v>0</v>
      </c>
      <c r="V2585" s="85">
        <f>STATS1003B!V2593/1000</f>
        <v>800</v>
      </c>
      <c r="W2585" s="85">
        <f>STATS1003B!W2593/1000</f>
        <v>0</v>
      </c>
      <c r="X2585" s="85">
        <f>STATS1003B!X2593/1000</f>
        <v>800</v>
      </c>
      <c r="Y2585" s="85">
        <f>STATS1003B!Y2593/1000</f>
        <v>0</v>
      </c>
      <c r="Z2585" s="85">
        <f>STATS1003B!Z2593/1000</f>
        <v>0</v>
      </c>
      <c r="AA2585" s="69">
        <f>STATS1003B!AA2593/1000</f>
        <v>800</v>
      </c>
      <c r="AB2585" s="69">
        <f>STATS1003B!AB2593/1000</f>
        <v>0</v>
      </c>
    </row>
    <row r="2586" spans="1:28" hidden="1" x14ac:dyDescent="0.3">
      <c r="A2586" s="117"/>
      <c r="C2586" s="68" t="s">
        <v>445</v>
      </c>
      <c r="D2586" s="87" t="s">
        <v>108</v>
      </c>
      <c r="E2586" s="85">
        <f>STATS1003B!E2594/1000</f>
        <v>2715.1453500000002</v>
      </c>
      <c r="F2586" s="85">
        <f>STATS1003B!F2594/1000</f>
        <v>2715.1453500000002</v>
      </c>
      <c r="G2586" s="85">
        <f>STATS1003B!G2594/1000</f>
        <v>0</v>
      </c>
      <c r="H2586" s="85">
        <f>STATS1003B!H2594/1000</f>
        <v>2715.1453500000002</v>
      </c>
      <c r="I2586" s="85">
        <f>STATS1003B!I2594/1000</f>
        <v>0</v>
      </c>
      <c r="J2586" s="85">
        <f>STATS1003B!J2594/1000</f>
        <v>0</v>
      </c>
      <c r="K2586" s="85">
        <f>STATS1003B!K2594/1000</f>
        <v>0</v>
      </c>
      <c r="L2586" s="85">
        <f>STATS1003B!L2594/1000</f>
        <v>0</v>
      </c>
      <c r="M2586" s="85">
        <f>STATS1003B!M2594/1000</f>
        <v>2715.1453500000002</v>
      </c>
      <c r="N2586" s="85">
        <f>STATS1003B!N2594/1000</f>
        <v>0</v>
      </c>
      <c r="O2586" s="85">
        <f>STATS1003B!O2594/1000</f>
        <v>0</v>
      </c>
      <c r="P2586" s="85">
        <f>STATS1003B!P2594/1000</f>
        <v>0</v>
      </c>
      <c r="Q2586" s="85">
        <f>STATS1003B!Q2594/1000</f>
        <v>0</v>
      </c>
      <c r="R2586" s="85">
        <f>STATS1003B!R2594/1000</f>
        <v>0</v>
      </c>
      <c r="S2586" s="85">
        <f>STATS1003B!S2594/1000</f>
        <v>0</v>
      </c>
      <c r="T2586" s="85">
        <f>STATS1003B!T2594/1000</f>
        <v>0</v>
      </c>
      <c r="U2586" s="85">
        <f>STATS1003B!U2594/1000</f>
        <v>0</v>
      </c>
      <c r="V2586" s="85">
        <f>STATS1003B!V2594/1000</f>
        <v>2715.1453500000002</v>
      </c>
      <c r="W2586" s="85">
        <f>STATS1003B!W2594/1000</f>
        <v>0</v>
      </c>
      <c r="X2586" s="85">
        <f>STATS1003B!X2594/1000</f>
        <v>2715.1453500000002</v>
      </c>
      <c r="Y2586" s="85">
        <f>STATS1003B!Y2594/1000</f>
        <v>0</v>
      </c>
      <c r="Z2586" s="85">
        <f>STATS1003B!Z2594/1000</f>
        <v>0</v>
      </c>
      <c r="AA2586" s="69">
        <f>STATS1003B!AA2594/1000</f>
        <v>2715.1453500000002</v>
      </c>
      <c r="AB2586" s="69">
        <f>STATS1003B!AB2594/1000</f>
        <v>0</v>
      </c>
    </row>
    <row r="2587" spans="1:28" hidden="1" x14ac:dyDescent="0.3">
      <c r="A2587" s="117"/>
      <c r="C2587" s="68" t="s">
        <v>446</v>
      </c>
      <c r="D2587" s="87" t="s">
        <v>108</v>
      </c>
      <c r="E2587" s="85">
        <f>STATS1003B!E2595/1000</f>
        <v>2000</v>
      </c>
      <c r="F2587" s="85">
        <f>STATS1003B!F2595/1000</f>
        <v>2000</v>
      </c>
      <c r="G2587" s="85">
        <f>STATS1003B!G2595/1000</f>
        <v>0</v>
      </c>
      <c r="H2587" s="85">
        <f>STATS1003B!H2595/1000</f>
        <v>2000</v>
      </c>
      <c r="I2587" s="85">
        <f>STATS1003B!I2595/1000</f>
        <v>0</v>
      </c>
      <c r="J2587" s="85">
        <f>STATS1003B!J2595/1000</f>
        <v>0</v>
      </c>
      <c r="K2587" s="85">
        <f>STATS1003B!K2595/1000</f>
        <v>0</v>
      </c>
      <c r="L2587" s="85">
        <f>STATS1003B!L2595/1000</f>
        <v>0</v>
      </c>
      <c r="M2587" s="85">
        <f>STATS1003B!M2595/1000</f>
        <v>2000</v>
      </c>
      <c r="N2587" s="85">
        <f>STATS1003B!N2595/1000</f>
        <v>0</v>
      </c>
      <c r="O2587" s="85">
        <f>STATS1003B!O2595/1000</f>
        <v>0</v>
      </c>
      <c r="P2587" s="85">
        <f>STATS1003B!P2595/1000</f>
        <v>0</v>
      </c>
      <c r="Q2587" s="85">
        <f>STATS1003B!Q2595/1000</f>
        <v>0</v>
      </c>
      <c r="R2587" s="85">
        <f>STATS1003B!R2595/1000</f>
        <v>0</v>
      </c>
      <c r="S2587" s="85">
        <f>STATS1003B!S2595/1000</f>
        <v>0</v>
      </c>
      <c r="T2587" s="85">
        <f>STATS1003B!T2595/1000</f>
        <v>0</v>
      </c>
      <c r="U2587" s="85">
        <f>STATS1003B!U2595/1000</f>
        <v>0</v>
      </c>
      <c r="V2587" s="85">
        <f>STATS1003B!V2595/1000</f>
        <v>2000</v>
      </c>
      <c r="W2587" s="85">
        <f>STATS1003B!W2595/1000</f>
        <v>0</v>
      </c>
      <c r="X2587" s="85">
        <f>STATS1003B!X2595/1000</f>
        <v>2000</v>
      </c>
      <c r="Y2587" s="85">
        <f>STATS1003B!Y2595/1000</f>
        <v>0</v>
      </c>
      <c r="Z2587" s="85">
        <f>STATS1003B!Z2595/1000</f>
        <v>0</v>
      </c>
      <c r="AA2587" s="69">
        <f>STATS1003B!AA2595/1000</f>
        <v>2000</v>
      </c>
      <c r="AB2587" s="69">
        <f>STATS1003B!AB2595/1000</f>
        <v>0</v>
      </c>
    </row>
    <row r="2588" spans="1:28" hidden="1" x14ac:dyDescent="0.3">
      <c r="A2588" s="117"/>
      <c r="C2588" s="68" t="s">
        <v>447</v>
      </c>
      <c r="D2588" s="87" t="s">
        <v>108</v>
      </c>
      <c r="E2588" s="85">
        <f>STATS1003B!E2596/1000</f>
        <v>5000</v>
      </c>
      <c r="F2588" s="85">
        <f>STATS1003B!F2596/1000</f>
        <v>5000</v>
      </c>
      <c r="G2588" s="85">
        <f>STATS1003B!G2596/1000</f>
        <v>0</v>
      </c>
      <c r="H2588" s="85">
        <f>STATS1003B!H2596/1000</f>
        <v>5000</v>
      </c>
      <c r="I2588" s="85">
        <f>STATS1003B!I2596/1000</f>
        <v>0</v>
      </c>
      <c r="J2588" s="85">
        <f>STATS1003B!J2596/1000</f>
        <v>0</v>
      </c>
      <c r="K2588" s="85">
        <f>STATS1003B!K2596/1000</f>
        <v>0</v>
      </c>
      <c r="L2588" s="85">
        <f>STATS1003B!L2596/1000</f>
        <v>0</v>
      </c>
      <c r="M2588" s="85">
        <f>STATS1003B!M2596/1000</f>
        <v>5000</v>
      </c>
      <c r="N2588" s="85">
        <f>STATS1003B!N2596/1000</f>
        <v>0</v>
      </c>
      <c r="O2588" s="85">
        <f>STATS1003B!O2596/1000</f>
        <v>0</v>
      </c>
      <c r="P2588" s="85">
        <f>STATS1003B!P2596/1000</f>
        <v>0</v>
      </c>
      <c r="Q2588" s="85">
        <f>STATS1003B!Q2596/1000</f>
        <v>0</v>
      </c>
      <c r="R2588" s="85">
        <f>STATS1003B!R2596/1000</f>
        <v>0</v>
      </c>
      <c r="S2588" s="85">
        <f>STATS1003B!S2596/1000</f>
        <v>0</v>
      </c>
      <c r="T2588" s="85">
        <f>STATS1003B!T2596/1000</f>
        <v>0</v>
      </c>
      <c r="U2588" s="85">
        <f>STATS1003B!U2596/1000</f>
        <v>0</v>
      </c>
      <c r="V2588" s="85">
        <f>STATS1003B!V2596/1000</f>
        <v>5000</v>
      </c>
      <c r="W2588" s="85">
        <f>STATS1003B!W2596/1000</f>
        <v>0</v>
      </c>
      <c r="X2588" s="85">
        <f>STATS1003B!X2596/1000</f>
        <v>5000</v>
      </c>
      <c r="Y2588" s="85">
        <f>STATS1003B!Y2596/1000</f>
        <v>0</v>
      </c>
      <c r="Z2588" s="85">
        <f>STATS1003B!Z2596/1000</f>
        <v>0</v>
      </c>
      <c r="AA2588" s="69">
        <f>STATS1003B!AA2596/1000</f>
        <v>5000</v>
      </c>
      <c r="AB2588" s="69">
        <f>STATS1003B!AB2596/1000</f>
        <v>0</v>
      </c>
    </row>
    <row r="2589" spans="1:28" hidden="1" x14ac:dyDescent="0.3">
      <c r="A2589" s="117"/>
      <c r="C2589" s="68" t="s">
        <v>448</v>
      </c>
      <c r="D2589" s="87" t="s">
        <v>108</v>
      </c>
      <c r="E2589" s="85">
        <f>STATS1003B!E2597/1000</f>
        <v>370.69099999999997</v>
      </c>
      <c r="F2589" s="85">
        <f>STATS1003B!F2597/1000</f>
        <v>370.69099999999997</v>
      </c>
      <c r="G2589" s="85">
        <f>STATS1003B!G2597/1000</f>
        <v>0</v>
      </c>
      <c r="H2589" s="85">
        <f>STATS1003B!H2597/1000</f>
        <v>370.69099999999997</v>
      </c>
      <c r="I2589" s="85">
        <f>STATS1003B!I2597/1000</f>
        <v>0</v>
      </c>
      <c r="J2589" s="85">
        <f>STATS1003B!J2597/1000</f>
        <v>0</v>
      </c>
      <c r="K2589" s="85">
        <f>STATS1003B!K2597/1000</f>
        <v>0</v>
      </c>
      <c r="L2589" s="85">
        <f>STATS1003B!L2597/1000</f>
        <v>0</v>
      </c>
      <c r="M2589" s="85">
        <f>STATS1003B!M2597/1000</f>
        <v>370.69099999999997</v>
      </c>
      <c r="N2589" s="85">
        <f>STATS1003B!N2597/1000</f>
        <v>0</v>
      </c>
      <c r="O2589" s="85">
        <f>STATS1003B!O2597/1000</f>
        <v>0</v>
      </c>
      <c r="P2589" s="85">
        <f>STATS1003B!P2597/1000</f>
        <v>0</v>
      </c>
      <c r="Q2589" s="85">
        <f>STATS1003B!Q2597/1000</f>
        <v>0</v>
      </c>
      <c r="R2589" s="85">
        <f>STATS1003B!R2597/1000</f>
        <v>0</v>
      </c>
      <c r="S2589" s="85">
        <f>STATS1003B!S2597/1000</f>
        <v>0</v>
      </c>
      <c r="T2589" s="85">
        <f>STATS1003B!T2597/1000</f>
        <v>0</v>
      </c>
      <c r="U2589" s="85">
        <f>STATS1003B!U2597/1000</f>
        <v>0</v>
      </c>
      <c r="V2589" s="85">
        <f>STATS1003B!V2597/1000</f>
        <v>370.69099999999997</v>
      </c>
      <c r="W2589" s="85">
        <f>STATS1003B!W2597/1000</f>
        <v>0</v>
      </c>
      <c r="X2589" s="85">
        <f>STATS1003B!X2597/1000</f>
        <v>370.69099999999997</v>
      </c>
      <c r="Y2589" s="85">
        <f>STATS1003B!Y2597/1000</f>
        <v>0</v>
      </c>
      <c r="Z2589" s="85">
        <f>STATS1003B!Z2597/1000</f>
        <v>0</v>
      </c>
      <c r="AA2589" s="69">
        <f>STATS1003B!AA2597/1000</f>
        <v>370.69099999999997</v>
      </c>
      <c r="AB2589" s="69">
        <f>STATS1003B!AB2597/1000</f>
        <v>0</v>
      </c>
    </row>
    <row r="2590" spans="1:28" hidden="1" x14ac:dyDescent="0.3">
      <c r="A2590" s="117"/>
      <c r="C2590" s="68" t="s">
        <v>449</v>
      </c>
      <c r="D2590" s="87" t="s">
        <v>108</v>
      </c>
      <c r="E2590" s="85">
        <f>STATS1003B!E2598/1000</f>
        <v>801.79492000000005</v>
      </c>
      <c r="F2590" s="85">
        <f>STATS1003B!F2598/1000</f>
        <v>797.69538</v>
      </c>
      <c r="G2590" s="85">
        <f>STATS1003B!G2598/1000</f>
        <v>0</v>
      </c>
      <c r="H2590" s="85">
        <f>STATS1003B!H2598/1000</f>
        <v>797.69538</v>
      </c>
      <c r="I2590" s="85">
        <f>STATS1003B!I2598/1000</f>
        <v>0</v>
      </c>
      <c r="J2590" s="85">
        <f>STATS1003B!J2598/1000</f>
        <v>0</v>
      </c>
      <c r="K2590" s="85">
        <f>STATS1003B!K2598/1000</f>
        <v>0</v>
      </c>
      <c r="L2590" s="85">
        <f>STATS1003B!L2598/1000</f>
        <v>0</v>
      </c>
      <c r="M2590" s="85">
        <f>STATS1003B!M2598/1000</f>
        <v>797.69538</v>
      </c>
      <c r="N2590" s="85">
        <f>STATS1003B!N2598/1000</f>
        <v>0</v>
      </c>
      <c r="O2590" s="85">
        <f>STATS1003B!O2598/1000</f>
        <v>0</v>
      </c>
      <c r="P2590" s="85">
        <f>STATS1003B!P2598/1000</f>
        <v>0</v>
      </c>
      <c r="Q2590" s="85">
        <f>STATS1003B!Q2598/1000</f>
        <v>4.0995400000000002</v>
      </c>
      <c r="R2590" s="85">
        <f>STATS1003B!R2598/1000</f>
        <v>0</v>
      </c>
      <c r="S2590" s="85">
        <f>STATS1003B!S2598/1000</f>
        <v>0</v>
      </c>
      <c r="T2590" s="85">
        <f>STATS1003B!T2598/1000</f>
        <v>4.0995400000000002</v>
      </c>
      <c r="U2590" s="85">
        <f>STATS1003B!U2598/1000</f>
        <v>4.0995400000000002</v>
      </c>
      <c r="V2590" s="85">
        <f>STATS1003B!V2598/1000</f>
        <v>797.69538</v>
      </c>
      <c r="W2590" s="85">
        <f>STATS1003B!W2598/1000</f>
        <v>4.0995400000000375</v>
      </c>
      <c r="X2590" s="85">
        <f>STATS1003B!X2598/1000</f>
        <v>797.69538</v>
      </c>
      <c r="Y2590" s="85">
        <f>STATS1003B!Y2598/1000</f>
        <v>0</v>
      </c>
      <c r="Z2590" s="85">
        <f>STATS1003B!Z2598/1000</f>
        <v>4.0995400000000375</v>
      </c>
      <c r="AA2590" s="69">
        <f>STATS1003B!AA2598/1000</f>
        <v>801.79492000000005</v>
      </c>
      <c r="AB2590" s="69">
        <f>STATS1003B!AB2598/1000</f>
        <v>0</v>
      </c>
    </row>
    <row r="2591" spans="1:28" hidden="1" x14ac:dyDescent="0.3">
      <c r="A2591" s="117"/>
      <c r="C2591" s="68" t="s">
        <v>57</v>
      </c>
      <c r="D2591" s="87" t="s">
        <v>58</v>
      </c>
      <c r="E2591" s="85">
        <f>STATS1003B!E2599/1000</f>
        <v>10269.083000000001</v>
      </c>
      <c r="F2591" s="85">
        <f>STATS1003B!F2599/1000</f>
        <v>10269.083000000001</v>
      </c>
      <c r="G2591" s="85">
        <f>STATS1003B!G2599/1000</f>
        <v>0</v>
      </c>
      <c r="H2591" s="85">
        <f>STATS1003B!H2599/1000</f>
        <v>10269.083000000001</v>
      </c>
      <c r="I2591" s="85">
        <f>STATS1003B!I2599/1000</f>
        <v>0</v>
      </c>
      <c r="J2591" s="85">
        <f>STATS1003B!J2599/1000</f>
        <v>0</v>
      </c>
      <c r="K2591" s="85">
        <f>STATS1003B!K2599/1000</f>
        <v>0</v>
      </c>
      <c r="L2591" s="85">
        <f>STATS1003B!L2599/1000</f>
        <v>0</v>
      </c>
      <c r="M2591" s="85">
        <f>STATS1003B!M2599/1000</f>
        <v>10269.083000000001</v>
      </c>
      <c r="N2591" s="85">
        <f>STATS1003B!N2599/1000</f>
        <v>0</v>
      </c>
      <c r="O2591" s="85">
        <f>STATS1003B!O2599/1000</f>
        <v>0</v>
      </c>
      <c r="P2591" s="85">
        <f>STATS1003B!P2599/1000</f>
        <v>0</v>
      </c>
      <c r="Q2591" s="85">
        <f>STATS1003B!Q2599/1000</f>
        <v>0</v>
      </c>
      <c r="R2591" s="85">
        <f>STATS1003B!R2599/1000</f>
        <v>0</v>
      </c>
      <c r="S2591" s="85">
        <f>STATS1003B!S2599/1000</f>
        <v>0</v>
      </c>
      <c r="T2591" s="85">
        <f>STATS1003B!T2599/1000</f>
        <v>0</v>
      </c>
      <c r="U2591" s="85">
        <f>STATS1003B!U2599/1000</f>
        <v>0</v>
      </c>
      <c r="V2591" s="85">
        <f>STATS1003B!V2599/1000</f>
        <v>10269.083000000001</v>
      </c>
      <c r="W2591" s="85">
        <f>STATS1003B!W2599/1000</f>
        <v>0</v>
      </c>
      <c r="X2591" s="85">
        <f>STATS1003B!X2599/1000</f>
        <v>10269.083000000001</v>
      </c>
      <c r="Y2591" s="85">
        <f>STATS1003B!Y2599/1000</f>
        <v>0</v>
      </c>
      <c r="Z2591" s="85">
        <f>STATS1003B!Z2599/1000</f>
        <v>0</v>
      </c>
      <c r="AA2591" s="69">
        <f>STATS1003B!AA2599/1000</f>
        <v>10269.083000000001</v>
      </c>
      <c r="AB2591" s="69">
        <f>STATS1003B!AB2599/1000</f>
        <v>0</v>
      </c>
    </row>
    <row r="2592" spans="1:28" hidden="1" x14ac:dyDescent="0.3">
      <c r="A2592" s="117"/>
      <c r="C2592" s="71" t="s">
        <v>109</v>
      </c>
      <c r="D2592" s="88" t="s">
        <v>60</v>
      </c>
      <c r="E2592" s="85">
        <f>STATS1003B!E2600/1000</f>
        <v>16937.239129999998</v>
      </c>
      <c r="F2592" s="85">
        <f>STATS1003B!F2600/1000</f>
        <v>16937.239129999998</v>
      </c>
      <c r="G2592" s="85">
        <f>STATS1003B!G2600/1000</f>
        <v>0</v>
      </c>
      <c r="H2592" s="85">
        <f>STATS1003B!H2600/1000</f>
        <v>16937.239129999998</v>
      </c>
      <c r="I2592" s="85">
        <f>STATS1003B!I2600/1000</f>
        <v>0</v>
      </c>
      <c r="J2592" s="85">
        <f>STATS1003B!J2600/1000</f>
        <v>0</v>
      </c>
      <c r="K2592" s="85">
        <f>STATS1003B!K2600/1000</f>
        <v>0</v>
      </c>
      <c r="L2592" s="85">
        <f>STATS1003B!L2600/1000</f>
        <v>0</v>
      </c>
      <c r="M2592" s="85">
        <f>STATS1003B!M2600/1000</f>
        <v>16937.239129999998</v>
      </c>
      <c r="N2592" s="85">
        <f>STATS1003B!N2600/1000</f>
        <v>0</v>
      </c>
      <c r="O2592" s="85">
        <f>STATS1003B!O2600/1000</f>
        <v>0</v>
      </c>
      <c r="P2592" s="85">
        <f>STATS1003B!P2600/1000</f>
        <v>0</v>
      </c>
      <c r="Q2592" s="85">
        <f>STATS1003B!Q2600/1000</f>
        <v>0</v>
      </c>
      <c r="R2592" s="85">
        <f>STATS1003B!R2600/1000</f>
        <v>0</v>
      </c>
      <c r="S2592" s="85">
        <f>STATS1003B!S2600/1000</f>
        <v>0</v>
      </c>
      <c r="T2592" s="85">
        <f>STATS1003B!T2600/1000</f>
        <v>0</v>
      </c>
      <c r="U2592" s="85">
        <f>STATS1003B!U2600/1000</f>
        <v>0</v>
      </c>
      <c r="V2592" s="85">
        <f>STATS1003B!V2600/1000</f>
        <v>16937.239129999998</v>
      </c>
      <c r="W2592" s="85">
        <f>STATS1003B!W2600/1000</f>
        <v>0</v>
      </c>
      <c r="X2592" s="85">
        <f>STATS1003B!X2600/1000</f>
        <v>16937.239129999998</v>
      </c>
      <c r="Y2592" s="85">
        <f>STATS1003B!Y2600/1000</f>
        <v>0</v>
      </c>
      <c r="Z2592" s="85">
        <f>STATS1003B!Z2600/1000</f>
        <v>0</v>
      </c>
      <c r="AA2592" s="69">
        <f>STATS1003B!AA2600/1000</f>
        <v>16937.239129999998</v>
      </c>
      <c r="AB2592" s="69">
        <f>STATS1003B!AB2600/1000</f>
        <v>0</v>
      </c>
    </row>
    <row r="2593" spans="1:28" hidden="1" x14ac:dyDescent="0.3">
      <c r="A2593" s="117"/>
      <c r="C2593" s="71" t="s">
        <v>450</v>
      </c>
      <c r="D2593" s="87" t="s">
        <v>60</v>
      </c>
      <c r="E2593" s="85">
        <f>STATS1003B!E2601/1000</f>
        <v>7500</v>
      </c>
      <c r="F2593" s="85">
        <f>STATS1003B!F2601/1000</f>
        <v>7500</v>
      </c>
      <c r="G2593" s="85">
        <f>STATS1003B!G2601/1000</f>
        <v>0</v>
      </c>
      <c r="H2593" s="85">
        <f>STATS1003B!H2601/1000</f>
        <v>7500</v>
      </c>
      <c r="I2593" s="85">
        <f>STATS1003B!I2601/1000</f>
        <v>0</v>
      </c>
      <c r="J2593" s="85">
        <f>STATS1003B!J2601/1000</f>
        <v>0</v>
      </c>
      <c r="K2593" s="85">
        <f>STATS1003B!K2601/1000</f>
        <v>0</v>
      </c>
      <c r="L2593" s="85">
        <f>STATS1003B!L2601/1000</f>
        <v>0</v>
      </c>
      <c r="M2593" s="85">
        <f>STATS1003B!M2601/1000</f>
        <v>7500</v>
      </c>
      <c r="N2593" s="85">
        <f>STATS1003B!N2601/1000</f>
        <v>0</v>
      </c>
      <c r="O2593" s="85">
        <f>STATS1003B!O2601/1000</f>
        <v>0</v>
      </c>
      <c r="P2593" s="85">
        <f>STATS1003B!P2601/1000</f>
        <v>0</v>
      </c>
      <c r="Q2593" s="85">
        <f>STATS1003B!Q2601/1000</f>
        <v>0</v>
      </c>
      <c r="R2593" s="85">
        <f>STATS1003B!R2601/1000</f>
        <v>0</v>
      </c>
      <c r="S2593" s="85">
        <f>STATS1003B!S2601/1000</f>
        <v>0</v>
      </c>
      <c r="T2593" s="85">
        <f>STATS1003B!T2601/1000</f>
        <v>0</v>
      </c>
      <c r="U2593" s="85">
        <f>STATS1003B!U2601/1000</f>
        <v>0</v>
      </c>
      <c r="V2593" s="85">
        <f>STATS1003B!V2601/1000</f>
        <v>7500</v>
      </c>
      <c r="W2593" s="85">
        <f>STATS1003B!W2601/1000</f>
        <v>0</v>
      </c>
      <c r="X2593" s="85">
        <f>STATS1003B!X2601/1000</f>
        <v>7500</v>
      </c>
      <c r="Y2593" s="85">
        <f>STATS1003B!Y2601/1000</f>
        <v>0</v>
      </c>
      <c r="Z2593" s="85">
        <f>STATS1003B!Z2601/1000</f>
        <v>0</v>
      </c>
      <c r="AA2593" s="69">
        <f>STATS1003B!AA2601/1000</f>
        <v>7500</v>
      </c>
      <c r="AB2593" s="69">
        <f>STATS1003B!AB2601/1000</f>
        <v>0</v>
      </c>
    </row>
    <row r="2594" spans="1:28" hidden="1" x14ac:dyDescent="0.3">
      <c r="A2594" s="117"/>
      <c r="C2594" s="68" t="s">
        <v>57</v>
      </c>
      <c r="D2594" s="87" t="s">
        <v>60</v>
      </c>
      <c r="E2594" s="85">
        <f>STATS1003B!E2602/1000</f>
        <v>3100</v>
      </c>
      <c r="F2594" s="85">
        <f>STATS1003B!F2602/1000</f>
        <v>3100</v>
      </c>
      <c r="G2594" s="85">
        <f>STATS1003B!G2602/1000</f>
        <v>0</v>
      </c>
      <c r="H2594" s="85">
        <f>STATS1003B!H2602/1000</f>
        <v>3100</v>
      </c>
      <c r="I2594" s="85">
        <f>STATS1003B!I2602/1000</f>
        <v>0</v>
      </c>
      <c r="J2594" s="85">
        <f>STATS1003B!J2602/1000</f>
        <v>0</v>
      </c>
      <c r="K2594" s="85">
        <f>STATS1003B!K2602/1000</f>
        <v>0</v>
      </c>
      <c r="L2594" s="85">
        <f>STATS1003B!L2602/1000</f>
        <v>0</v>
      </c>
      <c r="M2594" s="85">
        <f>STATS1003B!M2602/1000</f>
        <v>3100</v>
      </c>
      <c r="N2594" s="85">
        <f>STATS1003B!N2602/1000</f>
        <v>0</v>
      </c>
      <c r="O2594" s="85">
        <f>STATS1003B!O2602/1000</f>
        <v>0</v>
      </c>
      <c r="P2594" s="85">
        <f>STATS1003B!P2602/1000</f>
        <v>0</v>
      </c>
      <c r="Q2594" s="85">
        <f>STATS1003B!Q2602/1000</f>
        <v>0</v>
      </c>
      <c r="R2594" s="85">
        <f>STATS1003B!R2602/1000</f>
        <v>0</v>
      </c>
      <c r="S2594" s="85">
        <f>STATS1003B!S2602/1000</f>
        <v>0</v>
      </c>
      <c r="T2594" s="85">
        <f>STATS1003B!T2602/1000</f>
        <v>0</v>
      </c>
      <c r="U2594" s="85">
        <f>STATS1003B!U2602/1000</f>
        <v>0</v>
      </c>
      <c r="V2594" s="85">
        <f>STATS1003B!V2602/1000</f>
        <v>3100</v>
      </c>
      <c r="W2594" s="85">
        <f>STATS1003B!W2602/1000</f>
        <v>0</v>
      </c>
      <c r="X2594" s="85">
        <f>STATS1003B!X2602/1000</f>
        <v>3100</v>
      </c>
      <c r="Y2594" s="85">
        <f>STATS1003B!Y2602/1000</f>
        <v>0</v>
      </c>
      <c r="Z2594" s="85">
        <f>STATS1003B!Z2602/1000</f>
        <v>0</v>
      </c>
      <c r="AA2594" s="69">
        <f>STATS1003B!AA2602/1000</f>
        <v>3100</v>
      </c>
      <c r="AB2594" s="69">
        <f>STATS1003B!AB2602/1000</f>
        <v>0</v>
      </c>
    </row>
    <row r="2595" spans="1:28" hidden="1" x14ac:dyDescent="0.3">
      <c r="A2595" s="117"/>
      <c r="C2595" s="68" t="s">
        <v>451</v>
      </c>
      <c r="D2595" s="87" t="s">
        <v>194</v>
      </c>
      <c r="E2595" s="85">
        <f>STATS1003B!E2603/1000</f>
        <v>7872.0379999999996</v>
      </c>
      <c r="F2595" s="85">
        <f>STATS1003B!F2603/1000</f>
        <v>7872.0379999999996</v>
      </c>
      <c r="G2595" s="85">
        <f>STATS1003B!G2603/1000</f>
        <v>0</v>
      </c>
      <c r="H2595" s="85">
        <f>STATS1003B!H2603/1000</f>
        <v>7872.0379999999996</v>
      </c>
      <c r="I2595" s="85">
        <f>STATS1003B!I2603/1000</f>
        <v>0</v>
      </c>
      <c r="J2595" s="85">
        <f>STATS1003B!J2603/1000</f>
        <v>0</v>
      </c>
      <c r="K2595" s="85">
        <f>STATS1003B!K2603/1000</f>
        <v>0</v>
      </c>
      <c r="L2595" s="85">
        <f>STATS1003B!L2603/1000</f>
        <v>0</v>
      </c>
      <c r="M2595" s="85">
        <f>STATS1003B!M2603/1000</f>
        <v>7872.0379999999996</v>
      </c>
      <c r="N2595" s="85">
        <f>STATS1003B!N2603/1000</f>
        <v>0</v>
      </c>
      <c r="O2595" s="85">
        <f>STATS1003B!O2603/1000</f>
        <v>0</v>
      </c>
      <c r="P2595" s="85">
        <f>STATS1003B!P2603/1000</f>
        <v>0</v>
      </c>
      <c r="Q2595" s="85">
        <f>STATS1003B!Q2603/1000</f>
        <v>0</v>
      </c>
      <c r="R2595" s="85">
        <f>STATS1003B!R2603/1000</f>
        <v>0</v>
      </c>
      <c r="S2595" s="85">
        <f>STATS1003B!S2603/1000</f>
        <v>0</v>
      </c>
      <c r="T2595" s="85">
        <f>STATS1003B!T2603/1000</f>
        <v>0</v>
      </c>
      <c r="U2595" s="85">
        <f>STATS1003B!U2603/1000</f>
        <v>0</v>
      </c>
      <c r="V2595" s="85">
        <f>STATS1003B!V2603/1000</f>
        <v>7872.0379999999996</v>
      </c>
      <c r="W2595" s="85">
        <f>STATS1003B!W2603/1000</f>
        <v>0</v>
      </c>
      <c r="X2595" s="85">
        <f>STATS1003B!X2603/1000</f>
        <v>7872.0379999999996</v>
      </c>
      <c r="Y2595" s="85">
        <f>STATS1003B!Y2603/1000</f>
        <v>0</v>
      </c>
      <c r="Z2595" s="85">
        <f>STATS1003B!Z2603/1000</f>
        <v>0</v>
      </c>
      <c r="AA2595" s="69">
        <f>STATS1003B!AA2603/1000</f>
        <v>7872.0379999999996</v>
      </c>
      <c r="AB2595" s="69">
        <f>STATS1003B!AB2603/1000</f>
        <v>0</v>
      </c>
    </row>
    <row r="2596" spans="1:28" hidden="1" x14ac:dyDescent="0.3">
      <c r="A2596" s="117"/>
      <c r="C2596" s="71" t="s">
        <v>452</v>
      </c>
      <c r="D2596" s="90" t="s">
        <v>73</v>
      </c>
      <c r="E2596" s="85">
        <f>STATS1003B!E2604/1000</f>
        <v>1068.9349299999999</v>
      </c>
      <c r="F2596" s="85">
        <f>STATS1003B!F2604/1000</f>
        <v>1068.9349299999999</v>
      </c>
      <c r="G2596" s="85">
        <f>STATS1003B!G2604/1000</f>
        <v>0</v>
      </c>
      <c r="H2596" s="85">
        <f>STATS1003B!H2604/1000</f>
        <v>1068.9349299999999</v>
      </c>
      <c r="I2596" s="85">
        <f>STATS1003B!I2604/1000</f>
        <v>1068.9349299999999</v>
      </c>
      <c r="J2596" s="85">
        <f>STATS1003B!J2604/1000</f>
        <v>1068.9349299999999</v>
      </c>
      <c r="K2596" s="85">
        <f>STATS1003B!K2604/1000</f>
        <v>0</v>
      </c>
      <c r="L2596" s="85">
        <f>STATS1003B!L2604/1000</f>
        <v>0</v>
      </c>
      <c r="M2596" s="85">
        <f>STATS1003B!M2604/1000</f>
        <v>1068.9349299999999</v>
      </c>
      <c r="N2596" s="85">
        <f>STATS1003B!N2604/1000</f>
        <v>0</v>
      </c>
      <c r="O2596" s="85">
        <f>STATS1003B!O2604/1000</f>
        <v>0</v>
      </c>
      <c r="P2596" s="85">
        <f>STATS1003B!P2604/1000</f>
        <v>0</v>
      </c>
      <c r="Q2596" s="85">
        <f>STATS1003B!Q2604/1000</f>
        <v>0</v>
      </c>
      <c r="R2596" s="85">
        <f>STATS1003B!R2604/1000</f>
        <v>0</v>
      </c>
      <c r="S2596" s="85">
        <f>STATS1003B!S2604/1000</f>
        <v>0</v>
      </c>
      <c r="T2596" s="85">
        <f>STATS1003B!T2604/1000</f>
        <v>0</v>
      </c>
      <c r="U2596" s="85">
        <f>STATS1003B!U2604/1000</f>
        <v>0</v>
      </c>
      <c r="V2596" s="85">
        <f>STATS1003B!V2604/1000</f>
        <v>1068.9349299999999</v>
      </c>
      <c r="W2596" s="85">
        <f>STATS1003B!W2604/1000</f>
        <v>0</v>
      </c>
      <c r="X2596" s="85">
        <f>STATS1003B!X2604/1000</f>
        <v>1068.9349299999999</v>
      </c>
      <c r="Y2596" s="85">
        <f>STATS1003B!Y2604/1000</f>
        <v>0</v>
      </c>
      <c r="Z2596" s="85">
        <f>STATS1003B!Z2604/1000</f>
        <v>0</v>
      </c>
      <c r="AA2596" s="69">
        <f>STATS1003B!AA2604/1000</f>
        <v>1068.9349299999999</v>
      </c>
      <c r="AB2596" s="69">
        <f>STATS1003B!AB2604/1000</f>
        <v>0</v>
      </c>
    </row>
    <row r="2597" spans="1:28" hidden="1" x14ac:dyDescent="0.3">
      <c r="A2597" s="117"/>
      <c r="C2597" s="68" t="s">
        <v>57</v>
      </c>
      <c r="D2597" s="90" t="s">
        <v>61</v>
      </c>
      <c r="E2597" s="85">
        <f>STATS1003B!E2605/1000</f>
        <v>2460.5659299999998</v>
      </c>
      <c r="F2597" s="85">
        <f>STATS1003B!F2605/1000</f>
        <v>2460.5659299999998</v>
      </c>
      <c r="G2597" s="85">
        <f>STATS1003B!G2605/1000</f>
        <v>0</v>
      </c>
      <c r="H2597" s="85">
        <f>STATS1003B!H2605/1000</f>
        <v>2460.5659299999998</v>
      </c>
      <c r="I2597" s="85">
        <f>STATS1003B!I2605/1000</f>
        <v>0</v>
      </c>
      <c r="J2597" s="85">
        <f>STATS1003B!J2605/1000</f>
        <v>0</v>
      </c>
      <c r="K2597" s="85">
        <f>STATS1003B!K2605/1000</f>
        <v>0</v>
      </c>
      <c r="L2597" s="85">
        <f>STATS1003B!L2605/1000</f>
        <v>0</v>
      </c>
      <c r="M2597" s="85">
        <f>STATS1003B!M2605/1000</f>
        <v>2460.5659299999998</v>
      </c>
      <c r="N2597" s="85">
        <f>STATS1003B!N2605/1000</f>
        <v>0</v>
      </c>
      <c r="O2597" s="85">
        <f>STATS1003B!O2605/1000</f>
        <v>0</v>
      </c>
      <c r="P2597" s="85">
        <f>STATS1003B!P2605/1000</f>
        <v>0</v>
      </c>
      <c r="Q2597" s="85">
        <f>STATS1003B!Q2605/1000</f>
        <v>0</v>
      </c>
      <c r="R2597" s="85">
        <f>STATS1003B!R2605/1000</f>
        <v>0</v>
      </c>
      <c r="S2597" s="85">
        <f>STATS1003B!S2605/1000</f>
        <v>0</v>
      </c>
      <c r="T2597" s="85">
        <f>STATS1003B!T2605/1000</f>
        <v>0</v>
      </c>
      <c r="U2597" s="85">
        <f>STATS1003B!U2605/1000</f>
        <v>0</v>
      </c>
      <c r="V2597" s="85">
        <f>STATS1003B!V2605/1000</f>
        <v>2460.5659299999998</v>
      </c>
      <c r="W2597" s="85">
        <f>STATS1003B!W2605/1000</f>
        <v>0</v>
      </c>
      <c r="X2597" s="85">
        <f>STATS1003B!X2605/1000</f>
        <v>2460.5659299999998</v>
      </c>
      <c r="Y2597" s="85">
        <f>STATS1003B!Y2605/1000</f>
        <v>0</v>
      </c>
      <c r="Z2597" s="85">
        <f>STATS1003B!Z2605/1000</f>
        <v>0</v>
      </c>
      <c r="AA2597" s="69">
        <f>STATS1003B!AA2605/1000</f>
        <v>2460.5659299999998</v>
      </c>
      <c r="AB2597" s="69">
        <f>STATS1003B!AB2605/1000</f>
        <v>0</v>
      </c>
    </row>
    <row r="2598" spans="1:28" hidden="1" x14ac:dyDescent="0.3">
      <c r="A2598" s="117"/>
      <c r="C2598" s="68" t="s">
        <v>930</v>
      </c>
      <c r="D2598" s="90" t="s">
        <v>1072</v>
      </c>
      <c r="E2598" s="85">
        <f>STATS1003B!E2606/1000</f>
        <v>4582.8638000000001</v>
      </c>
      <c r="F2598" s="85">
        <f>STATS1003B!F2606/1000</f>
        <v>4582.8638000000001</v>
      </c>
      <c r="G2598" s="85">
        <f>STATS1003B!G2606/1000</f>
        <v>0</v>
      </c>
      <c r="H2598" s="85">
        <f>STATS1003B!H2606/1000</f>
        <v>4582.8638000000001</v>
      </c>
      <c r="I2598" s="85">
        <f>STATS1003B!I2606/1000</f>
        <v>0</v>
      </c>
      <c r="J2598" s="85">
        <f>STATS1003B!J2606/1000</f>
        <v>0</v>
      </c>
      <c r="K2598" s="85">
        <f>STATS1003B!K2606/1000</f>
        <v>0</v>
      </c>
      <c r="L2598" s="85">
        <f>STATS1003B!L2606/1000</f>
        <v>0</v>
      </c>
      <c r="M2598" s="85">
        <f>STATS1003B!M2606/1000</f>
        <v>4582.8638000000001</v>
      </c>
      <c r="N2598" s="85">
        <f>STATS1003B!N2606/1000</f>
        <v>0</v>
      </c>
      <c r="O2598" s="85">
        <f>STATS1003B!O2606/1000</f>
        <v>0</v>
      </c>
      <c r="P2598" s="85">
        <f>STATS1003B!P2606/1000</f>
        <v>0</v>
      </c>
      <c r="Q2598" s="85">
        <f>STATS1003B!Q2606/1000</f>
        <v>0</v>
      </c>
      <c r="R2598" s="85">
        <f>STATS1003B!R2606/1000</f>
        <v>0</v>
      </c>
      <c r="S2598" s="85">
        <f>STATS1003B!S2606/1000</f>
        <v>0</v>
      </c>
      <c r="T2598" s="85">
        <f>STATS1003B!T2606/1000</f>
        <v>0</v>
      </c>
      <c r="U2598" s="85">
        <f>STATS1003B!U2606/1000</f>
        <v>0</v>
      </c>
      <c r="V2598" s="85">
        <f>STATS1003B!V2606/1000</f>
        <v>4582.8638000000001</v>
      </c>
      <c r="W2598" s="85">
        <f>STATS1003B!W2606/1000</f>
        <v>0</v>
      </c>
      <c r="X2598" s="85">
        <f>STATS1003B!X2606/1000</f>
        <v>4582.8638000000001</v>
      </c>
      <c r="Y2598" s="85">
        <f>STATS1003B!Y2606/1000</f>
        <v>0</v>
      </c>
      <c r="Z2598" s="85">
        <f>STATS1003B!Z2606/1000</f>
        <v>0</v>
      </c>
      <c r="AA2598" s="69">
        <f>STATS1003B!AA2606/1000</f>
        <v>4582.8638000000001</v>
      </c>
      <c r="AB2598" s="69">
        <f>STATS1003B!AB2606/1000</f>
        <v>0</v>
      </c>
    </row>
    <row r="2599" spans="1:28" hidden="1" x14ac:dyDescent="0.3">
      <c r="A2599" s="117"/>
      <c r="C2599" s="68" t="s">
        <v>1154</v>
      </c>
      <c r="D2599" s="90" t="s">
        <v>1126</v>
      </c>
      <c r="E2599" s="85">
        <f>STATS1003B!E2607/1000</f>
        <v>268.56602000000004</v>
      </c>
      <c r="F2599" s="85">
        <f>STATS1003B!F2607/1000</f>
        <v>268.56602000000004</v>
      </c>
      <c r="G2599" s="85">
        <f>STATS1003B!G2607/1000</f>
        <v>0</v>
      </c>
      <c r="H2599" s="85">
        <f>STATS1003B!H2607/1000</f>
        <v>268.56602000000004</v>
      </c>
      <c r="I2599" s="85">
        <f>STATS1003B!I2607/1000</f>
        <v>0</v>
      </c>
      <c r="J2599" s="85">
        <f>STATS1003B!J2607/1000</f>
        <v>0</v>
      </c>
      <c r="K2599" s="85">
        <f>STATS1003B!K2607/1000</f>
        <v>0</v>
      </c>
      <c r="L2599" s="85">
        <f>STATS1003B!L2607/1000</f>
        <v>0</v>
      </c>
      <c r="M2599" s="85">
        <f>STATS1003B!M2607/1000</f>
        <v>268.56602000000004</v>
      </c>
      <c r="N2599" s="85">
        <f>STATS1003B!N2607/1000</f>
        <v>0</v>
      </c>
      <c r="O2599" s="85">
        <f>STATS1003B!O2607/1000</f>
        <v>0</v>
      </c>
      <c r="P2599" s="85">
        <f>STATS1003B!P2607/1000</f>
        <v>0</v>
      </c>
      <c r="Q2599" s="85">
        <f>STATS1003B!Q2607/1000</f>
        <v>0</v>
      </c>
      <c r="R2599" s="85">
        <f>STATS1003B!R2607/1000</f>
        <v>0</v>
      </c>
      <c r="S2599" s="85">
        <f>STATS1003B!S2607/1000</f>
        <v>0</v>
      </c>
      <c r="T2599" s="85">
        <f>STATS1003B!T2607/1000</f>
        <v>0</v>
      </c>
      <c r="U2599" s="85">
        <f>STATS1003B!U2607/1000</f>
        <v>0</v>
      </c>
      <c r="V2599" s="85">
        <f>STATS1003B!V2607/1000</f>
        <v>0</v>
      </c>
      <c r="W2599" s="85">
        <f>STATS1003B!W2607/1000</f>
        <v>0</v>
      </c>
      <c r="X2599" s="85">
        <f>STATS1003B!X2607/1000</f>
        <v>268.56602000000004</v>
      </c>
      <c r="Y2599" s="85">
        <f>STATS1003B!Y2607/1000</f>
        <v>0</v>
      </c>
      <c r="Z2599" s="85">
        <f>STATS1003B!Z2607/1000</f>
        <v>0</v>
      </c>
      <c r="AA2599" s="69">
        <f>STATS1003B!AA2607/1000</f>
        <v>268.56602000000004</v>
      </c>
      <c r="AB2599" s="69">
        <f>STATS1003B!AB2607/1000</f>
        <v>0</v>
      </c>
    </row>
    <row r="2600" spans="1:28" hidden="1" x14ac:dyDescent="0.3">
      <c r="A2600" s="117"/>
      <c r="C2600" s="68" t="s">
        <v>1153</v>
      </c>
      <c r="D2600" s="90" t="s">
        <v>1126</v>
      </c>
      <c r="E2600" s="85">
        <f>STATS1003B!E2608/1000</f>
        <v>421.18898999999999</v>
      </c>
      <c r="F2600" s="85">
        <f>STATS1003B!F2608/1000</f>
        <v>421.18898999999999</v>
      </c>
      <c r="G2600" s="85">
        <f>STATS1003B!G2608/1000</f>
        <v>0</v>
      </c>
      <c r="H2600" s="85">
        <f>STATS1003B!H2608/1000</f>
        <v>421.18898999999999</v>
      </c>
      <c r="I2600" s="85">
        <f>STATS1003B!I2608/1000</f>
        <v>0</v>
      </c>
      <c r="J2600" s="85">
        <f>STATS1003B!J2608/1000</f>
        <v>0</v>
      </c>
      <c r="K2600" s="85">
        <f>STATS1003B!K2608/1000</f>
        <v>0</v>
      </c>
      <c r="L2600" s="85">
        <f>STATS1003B!L2608/1000</f>
        <v>0</v>
      </c>
      <c r="M2600" s="85">
        <f>STATS1003B!M2608/1000</f>
        <v>421.18898999999999</v>
      </c>
      <c r="N2600" s="85">
        <f>STATS1003B!N2608/1000</f>
        <v>0</v>
      </c>
      <c r="O2600" s="85">
        <f>STATS1003B!O2608/1000</f>
        <v>0</v>
      </c>
      <c r="P2600" s="85">
        <f>STATS1003B!P2608/1000</f>
        <v>0</v>
      </c>
      <c r="Q2600" s="85">
        <f>STATS1003B!Q2608/1000</f>
        <v>0</v>
      </c>
      <c r="R2600" s="85">
        <f>STATS1003B!R2608/1000</f>
        <v>0</v>
      </c>
      <c r="S2600" s="85">
        <f>STATS1003B!S2608/1000</f>
        <v>0</v>
      </c>
      <c r="T2600" s="85">
        <f>STATS1003B!T2608/1000</f>
        <v>0</v>
      </c>
      <c r="U2600" s="85">
        <f>STATS1003B!U2608/1000</f>
        <v>0</v>
      </c>
      <c r="V2600" s="85">
        <f>STATS1003B!V2608/1000</f>
        <v>0</v>
      </c>
      <c r="W2600" s="85">
        <f>STATS1003B!W2608/1000</f>
        <v>0</v>
      </c>
      <c r="X2600" s="85">
        <f>STATS1003B!X2608/1000</f>
        <v>421.18898999999999</v>
      </c>
      <c r="Y2600" s="85">
        <f>STATS1003B!Y2608/1000</f>
        <v>0</v>
      </c>
      <c r="Z2600" s="85">
        <f>STATS1003B!Z2608/1000</f>
        <v>0</v>
      </c>
      <c r="AA2600" s="69">
        <f>STATS1003B!AA2608/1000</f>
        <v>421.18898999999999</v>
      </c>
      <c r="AB2600" s="69">
        <f>STATS1003B!AB2608/1000</f>
        <v>0</v>
      </c>
    </row>
    <row r="2601" spans="1:28" hidden="1" x14ac:dyDescent="0.3">
      <c r="A2601" s="117"/>
      <c r="C2601" s="98" t="s">
        <v>1190</v>
      </c>
      <c r="D2601" s="90" t="s">
        <v>1126</v>
      </c>
      <c r="E2601" s="85">
        <f>STATS1003B!E2609/1000</f>
        <v>78.251109999999997</v>
      </c>
      <c r="F2601" s="85">
        <f>STATS1003B!F2609/1000</f>
        <v>78.251109999999997</v>
      </c>
      <c r="G2601" s="85">
        <f>STATS1003B!G2609/1000</f>
        <v>0</v>
      </c>
      <c r="H2601" s="85">
        <f>STATS1003B!H2609/1000</f>
        <v>78.251109999999997</v>
      </c>
      <c r="I2601" s="85">
        <f>STATS1003B!I2609/1000</f>
        <v>0</v>
      </c>
      <c r="J2601" s="85">
        <f>STATS1003B!J2609/1000</f>
        <v>0</v>
      </c>
      <c r="K2601" s="85">
        <f>STATS1003B!K2609/1000</f>
        <v>0</v>
      </c>
      <c r="L2601" s="85">
        <f>STATS1003B!L2609/1000</f>
        <v>0</v>
      </c>
      <c r="M2601" s="85">
        <f>STATS1003B!M2609/1000</f>
        <v>78.251109999999997</v>
      </c>
      <c r="N2601" s="85">
        <f>STATS1003B!N2609/1000</f>
        <v>0</v>
      </c>
      <c r="O2601" s="85">
        <f>STATS1003B!O2609/1000</f>
        <v>0</v>
      </c>
      <c r="P2601" s="85">
        <f>STATS1003B!P2609/1000</f>
        <v>0</v>
      </c>
      <c r="Q2601" s="85">
        <f>STATS1003B!Q2609/1000</f>
        <v>0</v>
      </c>
      <c r="R2601" s="85">
        <f>STATS1003B!R2609/1000</f>
        <v>0</v>
      </c>
      <c r="S2601" s="85">
        <f>STATS1003B!S2609/1000</f>
        <v>0</v>
      </c>
      <c r="T2601" s="85">
        <f>STATS1003B!T2609/1000</f>
        <v>0</v>
      </c>
      <c r="U2601" s="85">
        <f>STATS1003B!U2609/1000</f>
        <v>0</v>
      </c>
      <c r="V2601" s="85">
        <f>STATS1003B!V2609/1000</f>
        <v>0</v>
      </c>
      <c r="W2601" s="85">
        <f>STATS1003B!W2609/1000</f>
        <v>0</v>
      </c>
      <c r="X2601" s="85">
        <f>STATS1003B!X2609/1000</f>
        <v>78.251109999999997</v>
      </c>
      <c r="Y2601" s="85">
        <f>STATS1003B!Y2609/1000</f>
        <v>0</v>
      </c>
      <c r="Z2601" s="85">
        <f>STATS1003B!Z2609/1000</f>
        <v>0</v>
      </c>
      <c r="AA2601" s="69">
        <f>STATS1003B!AA2609/1000</f>
        <v>78.251109999999997</v>
      </c>
      <c r="AB2601" s="69">
        <f>STATS1003B!AB2609/1000</f>
        <v>0</v>
      </c>
    </row>
    <row r="2602" spans="1:28" hidden="1" x14ac:dyDescent="0.3">
      <c r="A2602" s="117"/>
      <c r="C2602" s="68" t="s">
        <v>1191</v>
      </c>
      <c r="D2602" s="90" t="s">
        <v>1126</v>
      </c>
      <c r="E2602" s="85">
        <f>STATS1003B!E2610/1000</f>
        <v>1710.48101</v>
      </c>
      <c r="F2602" s="85">
        <f>STATS1003B!F2610/1000</f>
        <v>1710.48101</v>
      </c>
      <c r="G2602" s="85">
        <f>STATS1003B!G2610/1000</f>
        <v>0</v>
      </c>
      <c r="H2602" s="85">
        <f>STATS1003B!H2610/1000</f>
        <v>1710.48101</v>
      </c>
      <c r="I2602" s="85">
        <f>STATS1003B!I2610/1000</f>
        <v>0</v>
      </c>
      <c r="J2602" s="85">
        <f>STATS1003B!J2610/1000</f>
        <v>0</v>
      </c>
      <c r="K2602" s="85">
        <f>STATS1003B!K2610/1000</f>
        <v>0</v>
      </c>
      <c r="L2602" s="85">
        <f>STATS1003B!L2610/1000</f>
        <v>0</v>
      </c>
      <c r="M2602" s="85">
        <f>STATS1003B!M2610/1000</f>
        <v>1710.48101</v>
      </c>
      <c r="N2602" s="85">
        <f>STATS1003B!N2610/1000</f>
        <v>0</v>
      </c>
      <c r="O2602" s="85">
        <f>STATS1003B!O2610/1000</f>
        <v>0</v>
      </c>
      <c r="P2602" s="85">
        <f>STATS1003B!P2610/1000</f>
        <v>0</v>
      </c>
      <c r="Q2602" s="85">
        <f>STATS1003B!Q2610/1000</f>
        <v>0</v>
      </c>
      <c r="R2602" s="85">
        <f>STATS1003B!R2610/1000</f>
        <v>0</v>
      </c>
      <c r="S2602" s="85">
        <f>STATS1003B!S2610/1000</f>
        <v>0</v>
      </c>
      <c r="T2602" s="85">
        <f>STATS1003B!T2610/1000</f>
        <v>0</v>
      </c>
      <c r="U2602" s="85">
        <f>STATS1003B!U2610/1000</f>
        <v>0</v>
      </c>
      <c r="V2602" s="85">
        <f>STATS1003B!V2610/1000</f>
        <v>0</v>
      </c>
      <c r="W2602" s="85">
        <f>STATS1003B!W2610/1000</f>
        <v>0</v>
      </c>
      <c r="X2602" s="85">
        <f>STATS1003B!X2610/1000</f>
        <v>1710.48101</v>
      </c>
      <c r="Y2602" s="85">
        <f>STATS1003B!Y2610/1000</f>
        <v>0</v>
      </c>
      <c r="Z2602" s="85">
        <f>STATS1003B!Z2610/1000</f>
        <v>0</v>
      </c>
      <c r="AA2602" s="69">
        <f>STATS1003B!AA2610/1000</f>
        <v>1710.48101</v>
      </c>
      <c r="AB2602" s="69">
        <f>STATS1003B!AB2610/1000</f>
        <v>0</v>
      </c>
    </row>
    <row r="2603" spans="1:28" hidden="1" x14ac:dyDescent="0.3">
      <c r="A2603" s="117"/>
      <c r="C2603" s="68" t="s">
        <v>1210</v>
      </c>
      <c r="D2603" s="90" t="s">
        <v>1229</v>
      </c>
      <c r="E2603" s="85">
        <f>STATS1003B!E2611/1000</f>
        <v>2806.2985600000002</v>
      </c>
      <c r="F2603" s="85">
        <f>STATS1003B!F2611/1000</f>
        <v>2806.2985600000002</v>
      </c>
      <c r="G2603" s="85">
        <f>STATS1003B!G2611/1000</f>
        <v>0</v>
      </c>
      <c r="H2603" s="85">
        <f>STATS1003B!H2611/1000</f>
        <v>2806.2985600000002</v>
      </c>
      <c r="I2603" s="85">
        <f>STATS1003B!I2611/1000</f>
        <v>0</v>
      </c>
      <c r="J2603" s="85">
        <f>STATS1003B!J2611/1000</f>
        <v>0</v>
      </c>
      <c r="K2603" s="85">
        <f>STATS1003B!K2611/1000</f>
        <v>0</v>
      </c>
      <c r="L2603" s="85">
        <f>STATS1003B!L2611/1000</f>
        <v>0</v>
      </c>
      <c r="M2603" s="85">
        <f>STATS1003B!M2611/1000</f>
        <v>2806.2985600000002</v>
      </c>
      <c r="N2603" s="85">
        <f>STATS1003B!N2611/1000</f>
        <v>0</v>
      </c>
      <c r="O2603" s="85">
        <f>STATS1003B!O2611/1000</f>
        <v>0</v>
      </c>
      <c r="P2603" s="85">
        <f>STATS1003B!P2611/1000</f>
        <v>0</v>
      </c>
      <c r="Q2603" s="85">
        <f>STATS1003B!Q2611/1000</f>
        <v>0</v>
      </c>
      <c r="R2603" s="85">
        <f>STATS1003B!R2611/1000</f>
        <v>0</v>
      </c>
      <c r="S2603" s="85">
        <f>STATS1003B!S2611/1000</f>
        <v>0</v>
      </c>
      <c r="T2603" s="85">
        <f>STATS1003B!T2611/1000</f>
        <v>0</v>
      </c>
      <c r="U2603" s="85">
        <f>STATS1003B!U2611/1000</f>
        <v>0</v>
      </c>
      <c r="V2603" s="85">
        <f>STATS1003B!V2611/1000</f>
        <v>0</v>
      </c>
      <c r="W2603" s="85">
        <f>STATS1003B!W2611/1000</f>
        <v>0</v>
      </c>
      <c r="X2603" s="85">
        <f>STATS1003B!X2611/1000</f>
        <v>2806.2985600000002</v>
      </c>
      <c r="Y2603" s="85">
        <f>STATS1003B!Y2611/1000</f>
        <v>0</v>
      </c>
      <c r="Z2603" s="85">
        <f>STATS1003B!Z2611/1000</f>
        <v>0</v>
      </c>
      <c r="AA2603" s="69">
        <f>STATS1003B!AA2611/1000</f>
        <v>2806.2985600000002</v>
      </c>
      <c r="AB2603" s="69">
        <f>STATS1003B!AB2611/1000</f>
        <v>0</v>
      </c>
    </row>
    <row r="2604" spans="1:28" hidden="1" x14ac:dyDescent="0.3">
      <c r="A2604" s="117"/>
      <c r="C2604" s="68" t="s">
        <v>1235</v>
      </c>
      <c r="D2604" s="90" t="s">
        <v>1225</v>
      </c>
      <c r="E2604" s="85">
        <f>STATS1003B!E2612/1000</f>
        <v>2082.4176200000002</v>
      </c>
      <c r="F2604" s="85">
        <f>STATS1003B!F2612/1000</f>
        <v>2082.4176200000002</v>
      </c>
      <c r="G2604" s="85">
        <f>STATS1003B!G2612/1000</f>
        <v>0</v>
      </c>
      <c r="H2604" s="85">
        <f>STATS1003B!H2612/1000</f>
        <v>2082.4176200000002</v>
      </c>
      <c r="I2604" s="85">
        <f>STATS1003B!I2612/1000</f>
        <v>0</v>
      </c>
      <c r="J2604" s="85">
        <f>STATS1003B!J2612/1000</f>
        <v>0</v>
      </c>
      <c r="K2604" s="85">
        <f>STATS1003B!K2612/1000</f>
        <v>0</v>
      </c>
      <c r="L2604" s="85">
        <f>STATS1003B!L2612/1000</f>
        <v>0</v>
      </c>
      <c r="M2604" s="85">
        <f>STATS1003B!M2612/1000</f>
        <v>2082.4176200000002</v>
      </c>
      <c r="N2604" s="85">
        <f>STATS1003B!N2612/1000</f>
        <v>0</v>
      </c>
      <c r="O2604" s="85">
        <f>STATS1003B!O2612/1000</f>
        <v>0</v>
      </c>
      <c r="P2604" s="85">
        <f>STATS1003B!P2612/1000</f>
        <v>0</v>
      </c>
      <c r="Q2604" s="85">
        <f>STATS1003B!Q2612/1000</f>
        <v>0</v>
      </c>
      <c r="R2604" s="85">
        <f>STATS1003B!R2612/1000</f>
        <v>0</v>
      </c>
      <c r="S2604" s="85">
        <f>STATS1003B!S2612/1000</f>
        <v>0</v>
      </c>
      <c r="T2604" s="85">
        <f>STATS1003B!T2612/1000</f>
        <v>0</v>
      </c>
      <c r="U2604" s="85">
        <f>STATS1003B!U2612/1000</f>
        <v>0</v>
      </c>
      <c r="V2604" s="85">
        <f>STATS1003B!V2612/1000</f>
        <v>0</v>
      </c>
      <c r="W2604" s="85">
        <f>STATS1003B!W2612/1000</f>
        <v>0</v>
      </c>
      <c r="X2604" s="85">
        <f>STATS1003B!X2612/1000</f>
        <v>2082.4176200000002</v>
      </c>
      <c r="Y2604" s="85">
        <f>STATS1003B!Y2612/1000</f>
        <v>0</v>
      </c>
      <c r="Z2604" s="85">
        <f>STATS1003B!Z2612/1000</f>
        <v>0</v>
      </c>
      <c r="AA2604" s="69">
        <f>STATS1003B!AA2612/1000</f>
        <v>2082.4176200000002</v>
      </c>
      <c r="AB2604" s="69">
        <f>STATS1003B!AB2612/1000</f>
        <v>0</v>
      </c>
    </row>
    <row r="2605" spans="1:28" hidden="1" x14ac:dyDescent="0.3">
      <c r="A2605" s="117"/>
      <c r="C2605" s="68" t="s">
        <v>1217</v>
      </c>
      <c r="D2605" s="90" t="s">
        <v>1126</v>
      </c>
      <c r="E2605" s="85">
        <f>STATS1003B!E2613/1000</f>
        <v>3555.60527</v>
      </c>
      <c r="F2605" s="85">
        <f>STATS1003B!F2613/1000</f>
        <v>3555.60527</v>
      </c>
      <c r="G2605" s="85">
        <f>STATS1003B!G2613/1000</f>
        <v>0</v>
      </c>
      <c r="H2605" s="85">
        <f>STATS1003B!H2613/1000</f>
        <v>3555.60527</v>
      </c>
      <c r="I2605" s="85">
        <f>STATS1003B!I2613/1000</f>
        <v>0</v>
      </c>
      <c r="J2605" s="85">
        <f>STATS1003B!J2613/1000</f>
        <v>0</v>
      </c>
      <c r="K2605" s="85">
        <f>STATS1003B!K2613/1000</f>
        <v>0</v>
      </c>
      <c r="L2605" s="85">
        <f>STATS1003B!L2613/1000</f>
        <v>0</v>
      </c>
      <c r="M2605" s="85">
        <f>STATS1003B!M2613/1000</f>
        <v>3555.60527</v>
      </c>
      <c r="N2605" s="85">
        <f>STATS1003B!N2613/1000</f>
        <v>0</v>
      </c>
      <c r="O2605" s="85">
        <f>STATS1003B!O2613/1000</f>
        <v>0</v>
      </c>
      <c r="P2605" s="85">
        <f>STATS1003B!P2613/1000</f>
        <v>0</v>
      </c>
      <c r="Q2605" s="85">
        <f>STATS1003B!Q2613/1000</f>
        <v>0</v>
      </c>
      <c r="R2605" s="85">
        <f>STATS1003B!R2613/1000</f>
        <v>0</v>
      </c>
      <c r="S2605" s="85">
        <f>STATS1003B!S2613/1000</f>
        <v>0</v>
      </c>
      <c r="T2605" s="85">
        <f>STATS1003B!T2613/1000</f>
        <v>0</v>
      </c>
      <c r="U2605" s="85">
        <f>STATS1003B!U2613/1000</f>
        <v>0</v>
      </c>
      <c r="V2605" s="85">
        <f>STATS1003B!V2613/1000</f>
        <v>0</v>
      </c>
      <c r="W2605" s="85">
        <f>STATS1003B!W2613/1000</f>
        <v>0</v>
      </c>
      <c r="X2605" s="85">
        <f>STATS1003B!X2613/1000</f>
        <v>3555.60527</v>
      </c>
      <c r="Y2605" s="85">
        <f>STATS1003B!Y2613/1000</f>
        <v>0</v>
      </c>
      <c r="Z2605" s="85">
        <f>STATS1003B!Z2613/1000</f>
        <v>0</v>
      </c>
      <c r="AA2605" s="69">
        <f>STATS1003B!AA2613/1000</f>
        <v>3555.60527</v>
      </c>
      <c r="AB2605" s="69">
        <f>STATS1003B!AB2613/1000</f>
        <v>0</v>
      </c>
    </row>
    <row r="2606" spans="1:28" hidden="1" x14ac:dyDescent="0.3">
      <c r="A2606" s="117"/>
      <c r="C2606" s="68" t="s">
        <v>507</v>
      </c>
      <c r="D2606" s="90"/>
      <c r="E2606" s="85">
        <f>STATS1003B!E2614/1000</f>
        <v>4353.8486500000008</v>
      </c>
      <c r="F2606" s="85">
        <f>STATS1003B!F2614/1000</f>
        <v>4353.8486500000008</v>
      </c>
      <c r="G2606" s="85">
        <f>STATS1003B!G2614/1000</f>
        <v>0</v>
      </c>
      <c r="H2606" s="85">
        <f>STATS1003B!H2614/1000</f>
        <v>4353.8486500000008</v>
      </c>
      <c r="I2606" s="85">
        <f>STATS1003B!I2614/1000</f>
        <v>0</v>
      </c>
      <c r="J2606" s="85">
        <f>STATS1003B!J2614/1000</f>
        <v>0</v>
      </c>
      <c r="K2606" s="85">
        <f>STATS1003B!K2614/1000</f>
        <v>0</v>
      </c>
      <c r="L2606" s="85">
        <f>STATS1003B!L2614/1000</f>
        <v>0</v>
      </c>
      <c r="M2606" s="85">
        <f>STATS1003B!M2614/1000</f>
        <v>4353.8486500000008</v>
      </c>
      <c r="N2606" s="85">
        <f>STATS1003B!N2614/1000</f>
        <v>0</v>
      </c>
      <c r="O2606" s="85">
        <f>STATS1003B!O2614/1000</f>
        <v>0</v>
      </c>
      <c r="P2606" s="85">
        <f>STATS1003B!P2614/1000</f>
        <v>0</v>
      </c>
      <c r="Q2606" s="85">
        <f>STATS1003B!Q2614/1000</f>
        <v>0</v>
      </c>
      <c r="R2606" s="85">
        <f>STATS1003B!R2614/1000</f>
        <v>0</v>
      </c>
      <c r="S2606" s="85">
        <f>STATS1003B!S2614/1000</f>
        <v>0</v>
      </c>
      <c r="T2606" s="85">
        <f>STATS1003B!T2614/1000</f>
        <v>0</v>
      </c>
      <c r="U2606" s="85">
        <f>STATS1003B!U2614/1000</f>
        <v>0</v>
      </c>
      <c r="V2606" s="85">
        <f>STATS1003B!V2614/1000</f>
        <v>4353.8486500000008</v>
      </c>
      <c r="W2606" s="85">
        <f>STATS1003B!W2614/1000</f>
        <v>0</v>
      </c>
      <c r="X2606" s="85">
        <f>STATS1003B!X2614/1000</f>
        <v>4353.8486500000008</v>
      </c>
      <c r="Y2606" s="85">
        <f>STATS1003B!Y2614/1000</f>
        <v>0</v>
      </c>
      <c r="Z2606" s="85">
        <f>STATS1003B!Z2614/1000</f>
        <v>0</v>
      </c>
      <c r="AA2606" s="69">
        <f>STATS1003B!AA2614/1000</f>
        <v>4353.8486500000008</v>
      </c>
      <c r="AB2606" s="69">
        <f>STATS1003B!AB2614/1000</f>
        <v>0</v>
      </c>
    </row>
    <row r="2607" spans="1:28" hidden="1" x14ac:dyDescent="0.3">
      <c r="A2607" s="117"/>
      <c r="E2607" s="86" t="s">
        <v>29</v>
      </c>
      <c r="F2607" s="86" t="s">
        <v>29</v>
      </c>
      <c r="G2607" s="86" t="s">
        <v>29</v>
      </c>
      <c r="H2607" s="86" t="s">
        <v>29</v>
      </c>
      <c r="I2607" s="86" t="s">
        <v>29</v>
      </c>
      <c r="J2607" s="86" t="s">
        <v>29</v>
      </c>
      <c r="K2607" s="86" t="s">
        <v>29</v>
      </c>
      <c r="L2607" s="86" t="s">
        <v>29</v>
      </c>
      <c r="M2607" s="86" t="s">
        <v>29</v>
      </c>
      <c r="N2607" s="86" t="s">
        <v>29</v>
      </c>
      <c r="O2607" s="86" t="s">
        <v>29</v>
      </c>
      <c r="P2607" s="86" t="s">
        <v>29</v>
      </c>
      <c r="Q2607" s="86" t="s">
        <v>29</v>
      </c>
      <c r="R2607" s="86" t="s">
        <v>29</v>
      </c>
      <c r="S2607" s="86" t="s">
        <v>29</v>
      </c>
      <c r="T2607" s="86" t="s">
        <v>29</v>
      </c>
      <c r="U2607" s="86" t="s">
        <v>29</v>
      </c>
      <c r="V2607" s="86" t="s">
        <v>29</v>
      </c>
      <c r="W2607" s="86" t="s">
        <v>29</v>
      </c>
      <c r="X2607" s="86" t="s">
        <v>29</v>
      </c>
      <c r="Y2607" s="86" t="s">
        <v>29</v>
      </c>
      <c r="Z2607" s="86" t="s">
        <v>29</v>
      </c>
      <c r="AA2607" s="115" t="s">
        <v>29</v>
      </c>
      <c r="AB2607" s="115" t="s">
        <v>29</v>
      </c>
    </row>
    <row r="2608" spans="1:28" x14ac:dyDescent="0.3">
      <c r="A2608" s="116">
        <v>113</v>
      </c>
      <c r="B2608" s="68" t="s">
        <v>438</v>
      </c>
      <c r="E2608" s="85">
        <f>192332321.78/1000</f>
        <v>192332.32178</v>
      </c>
      <c r="F2608" s="85">
        <f t="shared" ref="F2608:AB2608" si="287">SUM(F2573:F2606)</f>
        <v>100126.87857</v>
      </c>
      <c r="G2608" s="85">
        <f t="shared" si="287"/>
        <v>0</v>
      </c>
      <c r="H2608" s="85">
        <f>185723092.79/1000</f>
        <v>185723.09279</v>
      </c>
      <c r="I2608" s="85">
        <f t="shared" si="287"/>
        <v>1068.9349299999999</v>
      </c>
      <c r="J2608" s="85">
        <f t="shared" si="287"/>
        <v>1068.9349299999999</v>
      </c>
      <c r="K2608" s="85">
        <f t="shared" si="287"/>
        <v>0</v>
      </c>
      <c r="L2608" s="85">
        <f t="shared" si="287"/>
        <v>0</v>
      </c>
      <c r="M2608" s="85">
        <f t="shared" si="287"/>
        <v>100126.87857</v>
      </c>
      <c r="N2608" s="85">
        <f t="shared" si="287"/>
        <v>6605.1294500000004</v>
      </c>
      <c r="O2608" s="85">
        <f t="shared" si="287"/>
        <v>0</v>
      </c>
      <c r="P2608" s="85">
        <f>6605129/1000</f>
        <v>6605.1289999999999</v>
      </c>
      <c r="Q2608" s="85">
        <f t="shared" si="287"/>
        <v>4.0995400000000002</v>
      </c>
      <c r="R2608" s="85">
        <f t="shared" si="287"/>
        <v>0</v>
      </c>
      <c r="S2608" s="85">
        <f t="shared" si="287"/>
        <v>0</v>
      </c>
      <c r="T2608" s="85">
        <f t="shared" si="287"/>
        <v>4.0995400000000002</v>
      </c>
      <c r="U2608" s="85">
        <f t="shared" si="287"/>
        <v>6609.2289900000005</v>
      </c>
      <c r="V2608" s="85">
        <f t="shared" si="287"/>
        <v>95809.199439999997</v>
      </c>
      <c r="W2608" s="85">
        <f t="shared" si="287"/>
        <v>4.0995400000000375</v>
      </c>
      <c r="X2608" s="85">
        <f>+H2608+P2608</f>
        <v>192328.22178999998</v>
      </c>
      <c r="Y2608" s="85">
        <f t="shared" si="287"/>
        <v>0</v>
      </c>
      <c r="Z2608" s="85">
        <f>+E2608-X2608</f>
        <v>4.0999900000169873</v>
      </c>
      <c r="AA2608" s="69">
        <f t="shared" si="287"/>
        <v>106736.10756</v>
      </c>
      <c r="AB2608" s="69">
        <f t="shared" si="287"/>
        <v>0</v>
      </c>
    </row>
    <row r="2609" spans="1:28" hidden="1" x14ac:dyDescent="0.3">
      <c r="A2609" s="117"/>
      <c r="E2609" s="86" t="s">
        <v>29</v>
      </c>
      <c r="F2609" s="86" t="s">
        <v>29</v>
      </c>
      <c r="G2609" s="86" t="s">
        <v>29</v>
      </c>
      <c r="H2609" s="86" t="s">
        <v>29</v>
      </c>
      <c r="I2609" s="86" t="s">
        <v>29</v>
      </c>
      <c r="J2609" s="86" t="s">
        <v>29</v>
      </c>
      <c r="K2609" s="86" t="s">
        <v>29</v>
      </c>
      <c r="L2609" s="86" t="s">
        <v>29</v>
      </c>
      <c r="M2609" s="86" t="s">
        <v>29</v>
      </c>
      <c r="N2609" s="86" t="s">
        <v>29</v>
      </c>
      <c r="O2609" s="86" t="s">
        <v>29</v>
      </c>
      <c r="P2609" s="86" t="s">
        <v>29</v>
      </c>
      <c r="Q2609" s="86" t="s">
        <v>29</v>
      </c>
      <c r="R2609" s="86" t="s">
        <v>29</v>
      </c>
      <c r="S2609" s="86" t="s">
        <v>29</v>
      </c>
      <c r="T2609" s="86" t="s">
        <v>29</v>
      </c>
      <c r="U2609" s="86" t="s">
        <v>29</v>
      </c>
      <c r="V2609" s="86" t="s">
        <v>29</v>
      </c>
      <c r="W2609" s="86" t="s">
        <v>29</v>
      </c>
      <c r="X2609" s="85" t="e">
        <f t="shared" ref="X2609:X2658" si="288">+H2609+P2609</f>
        <v>#VALUE!</v>
      </c>
      <c r="Y2609" s="86" t="s">
        <v>29</v>
      </c>
      <c r="Z2609" s="86" t="s">
        <v>29</v>
      </c>
      <c r="AA2609" s="115" t="s">
        <v>29</v>
      </c>
      <c r="AB2609" s="115" t="s">
        <v>29</v>
      </c>
    </row>
    <row r="2610" spans="1:28" hidden="1" x14ac:dyDescent="0.3">
      <c r="A2610" s="117"/>
      <c r="E2610" s="85">
        <f>STATS1003B!E2618/1000</f>
        <v>1700</v>
      </c>
      <c r="F2610" s="85">
        <f>STATS1003B!F2618/1000</f>
        <v>1700</v>
      </c>
      <c r="G2610" s="85">
        <f>STATS1003B!G2618/1000</f>
        <v>0</v>
      </c>
      <c r="H2610" s="85">
        <f>STATS1003B!H2618/1000</f>
        <v>1700</v>
      </c>
      <c r="I2610" s="85">
        <f>STATS1003B!I2618/1000</f>
        <v>0</v>
      </c>
      <c r="J2610" s="85">
        <f>STATS1003B!J2618/1000</f>
        <v>0</v>
      </c>
      <c r="K2610" s="85">
        <f>STATS1003B!K2618/1000</f>
        <v>0</v>
      </c>
      <c r="L2610" s="85">
        <f>STATS1003B!L2618/1000</f>
        <v>0</v>
      </c>
      <c r="M2610" s="85">
        <f>STATS1003B!M2618/1000</f>
        <v>1700</v>
      </c>
      <c r="N2610" s="85">
        <f>STATS1003B!N2618/1000</f>
        <v>0</v>
      </c>
      <c r="O2610" s="85">
        <f>STATS1003B!O2618/1000</f>
        <v>0</v>
      </c>
      <c r="P2610" s="85">
        <f>STATS1003B!P2618/1000</f>
        <v>0</v>
      </c>
      <c r="Q2610" s="85">
        <f>STATS1003B!Q2618/1000</f>
        <v>0</v>
      </c>
      <c r="R2610" s="85">
        <f>STATS1003B!R2618/1000</f>
        <v>0</v>
      </c>
      <c r="S2610" s="85">
        <f>STATS1003B!S2618/1000</f>
        <v>0</v>
      </c>
      <c r="T2610" s="85">
        <f>STATS1003B!T2618/1000</f>
        <v>0</v>
      </c>
      <c r="U2610" s="85">
        <f>STATS1003B!U2618/1000</f>
        <v>0</v>
      </c>
      <c r="V2610" s="85">
        <f>STATS1003B!V2618/1000</f>
        <v>1700</v>
      </c>
      <c r="W2610" s="85">
        <f>STATS1003B!W2618/1000</f>
        <v>0</v>
      </c>
      <c r="X2610" s="85">
        <f t="shared" si="288"/>
        <v>1700</v>
      </c>
      <c r="Y2610" s="85">
        <f>STATS1003B!Y2618/1000</f>
        <v>0</v>
      </c>
      <c r="Z2610" s="85">
        <f>STATS1003B!Z2618/1000</f>
        <v>0</v>
      </c>
      <c r="AA2610" s="69">
        <f>STATS1003B!AA2618/1000</f>
        <v>1700</v>
      </c>
      <c r="AB2610" s="69">
        <f>STATS1003B!AB2618/1000</f>
        <v>0</v>
      </c>
    </row>
    <row r="2611" spans="1:28" hidden="1" x14ac:dyDescent="0.3">
      <c r="A2611" s="117"/>
      <c r="E2611" s="86" t="s">
        <v>29</v>
      </c>
      <c r="F2611" s="86" t="s">
        <v>29</v>
      </c>
      <c r="G2611" s="86" t="s">
        <v>29</v>
      </c>
      <c r="H2611" s="86" t="s">
        <v>29</v>
      </c>
      <c r="I2611" s="86" t="s">
        <v>29</v>
      </c>
      <c r="J2611" s="86" t="s">
        <v>29</v>
      </c>
      <c r="K2611" s="86" t="s">
        <v>29</v>
      </c>
      <c r="L2611" s="86" t="s">
        <v>29</v>
      </c>
      <c r="M2611" s="86" t="s">
        <v>29</v>
      </c>
      <c r="N2611" s="86" t="s">
        <v>29</v>
      </c>
      <c r="O2611" s="86" t="s">
        <v>29</v>
      </c>
      <c r="P2611" s="86" t="s">
        <v>29</v>
      </c>
      <c r="Q2611" s="86" t="s">
        <v>29</v>
      </c>
      <c r="R2611" s="86" t="s">
        <v>29</v>
      </c>
      <c r="S2611" s="86" t="s">
        <v>29</v>
      </c>
      <c r="T2611" s="86" t="s">
        <v>29</v>
      </c>
      <c r="U2611" s="86" t="s">
        <v>29</v>
      </c>
      <c r="V2611" s="86" t="s">
        <v>29</v>
      </c>
      <c r="W2611" s="86" t="s">
        <v>29</v>
      </c>
      <c r="X2611" s="85" t="e">
        <f t="shared" si="288"/>
        <v>#VALUE!</v>
      </c>
      <c r="Y2611" s="86" t="s">
        <v>29</v>
      </c>
      <c r="Z2611" s="86" t="s">
        <v>29</v>
      </c>
      <c r="AA2611" s="115" t="s">
        <v>29</v>
      </c>
      <c r="AB2611" s="115" t="s">
        <v>29</v>
      </c>
    </row>
    <row r="2612" spans="1:28" x14ac:dyDescent="0.3">
      <c r="A2612" s="117"/>
      <c r="B2612" s="68" t="s">
        <v>453</v>
      </c>
      <c r="E2612" s="85">
        <f>1700000/1000</f>
        <v>1700</v>
      </c>
      <c r="F2612" s="85">
        <f t="shared" ref="F2612:AB2612" si="289">F2610</f>
        <v>1700</v>
      </c>
      <c r="G2612" s="85">
        <f t="shared" si="289"/>
        <v>0</v>
      </c>
      <c r="H2612" s="85">
        <f>1700000/1000</f>
        <v>1700</v>
      </c>
      <c r="I2612" s="85">
        <f t="shared" si="289"/>
        <v>0</v>
      </c>
      <c r="J2612" s="85">
        <f t="shared" si="289"/>
        <v>0</v>
      </c>
      <c r="K2612" s="85">
        <f t="shared" si="289"/>
        <v>0</v>
      </c>
      <c r="L2612" s="85">
        <f t="shared" si="289"/>
        <v>0</v>
      </c>
      <c r="M2612" s="85">
        <f t="shared" si="289"/>
        <v>1700</v>
      </c>
      <c r="N2612" s="85">
        <f t="shared" si="289"/>
        <v>0</v>
      </c>
      <c r="O2612" s="85">
        <f t="shared" si="289"/>
        <v>0</v>
      </c>
      <c r="P2612" s="85">
        <f t="shared" si="289"/>
        <v>0</v>
      </c>
      <c r="Q2612" s="85">
        <f t="shared" si="289"/>
        <v>0</v>
      </c>
      <c r="R2612" s="85">
        <f t="shared" si="289"/>
        <v>0</v>
      </c>
      <c r="S2612" s="85">
        <f t="shared" si="289"/>
        <v>0</v>
      </c>
      <c r="T2612" s="85">
        <f t="shared" si="289"/>
        <v>0</v>
      </c>
      <c r="U2612" s="85">
        <f t="shared" si="289"/>
        <v>0</v>
      </c>
      <c r="V2612" s="85">
        <f t="shared" si="289"/>
        <v>1700</v>
      </c>
      <c r="W2612" s="85">
        <f t="shared" si="289"/>
        <v>0</v>
      </c>
      <c r="X2612" s="85">
        <f t="shared" si="288"/>
        <v>1700</v>
      </c>
      <c r="Y2612" s="85">
        <f t="shared" si="289"/>
        <v>0</v>
      </c>
      <c r="Z2612" s="85">
        <f>+E2612-X2612</f>
        <v>0</v>
      </c>
      <c r="AA2612" s="69">
        <f t="shared" si="289"/>
        <v>1700</v>
      </c>
      <c r="AB2612" s="69">
        <f t="shared" si="289"/>
        <v>0</v>
      </c>
    </row>
    <row r="2613" spans="1:28" hidden="1" x14ac:dyDescent="0.3">
      <c r="A2613" s="117"/>
      <c r="E2613" s="86" t="s">
        <v>29</v>
      </c>
      <c r="F2613" s="86" t="s">
        <v>29</v>
      </c>
      <c r="G2613" s="86" t="s">
        <v>29</v>
      </c>
      <c r="H2613" s="86" t="s">
        <v>29</v>
      </c>
      <c r="I2613" s="86" t="s">
        <v>29</v>
      </c>
      <c r="J2613" s="86" t="s">
        <v>29</v>
      </c>
      <c r="K2613" s="86" t="s">
        <v>29</v>
      </c>
      <c r="L2613" s="86" t="s">
        <v>29</v>
      </c>
      <c r="M2613" s="86" t="s">
        <v>29</v>
      </c>
      <c r="N2613" s="86" t="s">
        <v>29</v>
      </c>
      <c r="O2613" s="86" t="s">
        <v>29</v>
      </c>
      <c r="P2613" s="86" t="s">
        <v>29</v>
      </c>
      <c r="Q2613" s="86" t="s">
        <v>29</v>
      </c>
      <c r="R2613" s="86" t="s">
        <v>29</v>
      </c>
      <c r="S2613" s="86" t="s">
        <v>29</v>
      </c>
      <c r="T2613" s="86" t="s">
        <v>29</v>
      </c>
      <c r="U2613" s="86" t="s">
        <v>29</v>
      </c>
      <c r="V2613" s="86" t="s">
        <v>29</v>
      </c>
      <c r="W2613" s="86" t="s">
        <v>29</v>
      </c>
      <c r="X2613" s="85" t="e">
        <f t="shared" si="288"/>
        <v>#VALUE!</v>
      </c>
      <c r="Y2613" s="86" t="s">
        <v>29</v>
      </c>
      <c r="Z2613" s="86" t="s">
        <v>29</v>
      </c>
      <c r="AA2613" s="115" t="s">
        <v>29</v>
      </c>
      <c r="AB2613" s="115" t="s">
        <v>29</v>
      </c>
    </row>
    <row r="2614" spans="1:28" hidden="1" x14ac:dyDescent="0.3">
      <c r="A2614" s="117"/>
      <c r="E2614" s="84"/>
      <c r="F2614" s="84"/>
      <c r="G2614" s="84"/>
      <c r="H2614" s="84"/>
      <c r="I2614" s="84"/>
      <c r="J2614" s="84"/>
      <c r="K2614" s="84"/>
      <c r="L2614" s="84"/>
      <c r="M2614" s="84"/>
      <c r="N2614" s="84"/>
      <c r="O2614" s="84"/>
      <c r="P2614" s="84"/>
      <c r="Q2614" s="84"/>
      <c r="R2614" s="84"/>
      <c r="S2614" s="84"/>
      <c r="T2614" s="84"/>
      <c r="U2614" s="84"/>
      <c r="V2614" s="84"/>
      <c r="W2614" s="84"/>
      <c r="X2614" s="85">
        <f t="shared" si="288"/>
        <v>0</v>
      </c>
      <c r="Y2614" s="84"/>
      <c r="Z2614" s="84"/>
    </row>
    <row r="2615" spans="1:28" hidden="1" x14ac:dyDescent="0.3">
      <c r="A2615" s="105"/>
      <c r="E2615" s="84"/>
      <c r="F2615" s="84"/>
      <c r="G2615" s="84"/>
      <c r="H2615" s="84"/>
      <c r="I2615" s="84"/>
      <c r="J2615" s="84"/>
      <c r="K2615" s="84"/>
      <c r="L2615" s="84"/>
      <c r="M2615" s="84"/>
      <c r="N2615" s="84"/>
      <c r="O2615" s="84"/>
      <c r="P2615" s="84"/>
      <c r="Q2615" s="84"/>
      <c r="R2615" s="84"/>
      <c r="S2615" s="84"/>
      <c r="T2615" s="84"/>
      <c r="U2615" s="84"/>
      <c r="V2615" s="84"/>
      <c r="W2615" s="84"/>
      <c r="X2615" s="85">
        <f t="shared" si="288"/>
        <v>0</v>
      </c>
      <c r="Y2615" s="84"/>
      <c r="Z2615" s="84"/>
    </row>
    <row r="2616" spans="1:28" hidden="1" x14ac:dyDescent="0.3">
      <c r="A2616" s="117"/>
      <c r="C2616" s="68" t="s">
        <v>57</v>
      </c>
      <c r="D2616" s="87" t="s">
        <v>455</v>
      </c>
      <c r="E2616" s="85">
        <f>STATS1003B!E2624/1000</f>
        <v>10007.897939999999</v>
      </c>
      <c r="F2616" s="85">
        <f>STATS1003B!F2624/1000</f>
        <v>9820.8898599999993</v>
      </c>
      <c r="G2616" s="85">
        <f>STATS1003B!G2624/1000</f>
        <v>0</v>
      </c>
      <c r="H2616" s="85">
        <f>STATS1003B!H2624/1000</f>
        <v>9820.8898599999993</v>
      </c>
      <c r="I2616" s="85">
        <f>STATS1003B!I2624/1000</f>
        <v>0</v>
      </c>
      <c r="J2616" s="85">
        <f>STATS1003B!J2624/1000</f>
        <v>0</v>
      </c>
      <c r="K2616" s="85">
        <f>STATS1003B!K2624/1000</f>
        <v>0</v>
      </c>
      <c r="L2616" s="85">
        <f>STATS1003B!L2624/1000</f>
        <v>0</v>
      </c>
      <c r="M2616" s="85">
        <f>STATS1003B!M2624/1000</f>
        <v>9820.8898599999993</v>
      </c>
      <c r="N2616" s="85">
        <f>STATS1003B!N2624/1000</f>
        <v>187.00807999999998</v>
      </c>
      <c r="O2616" s="85">
        <f>STATS1003B!O2624/1000</f>
        <v>0</v>
      </c>
      <c r="P2616" s="85">
        <f>STATS1003B!P2624/1000</f>
        <v>187.00807999999998</v>
      </c>
      <c r="Q2616" s="85">
        <f>STATS1003B!Q2624/1000</f>
        <v>0</v>
      </c>
      <c r="R2616" s="85">
        <f>STATS1003B!R2624/1000</f>
        <v>0</v>
      </c>
      <c r="S2616" s="85">
        <f>STATS1003B!S2624/1000</f>
        <v>0</v>
      </c>
      <c r="T2616" s="85">
        <f>STATS1003B!T2624/1000</f>
        <v>0</v>
      </c>
      <c r="U2616" s="85">
        <f>STATS1003B!U2624/1000</f>
        <v>187.00807999999998</v>
      </c>
      <c r="V2616" s="85">
        <f>STATS1003B!V2624/1000</f>
        <v>10007.897939999999</v>
      </c>
      <c r="W2616" s="85">
        <f>STATS1003B!W2624/1000</f>
        <v>0</v>
      </c>
      <c r="X2616" s="85">
        <f t="shared" si="288"/>
        <v>10007.897939999999</v>
      </c>
      <c r="Y2616" s="85">
        <f>STATS1003B!Y2624/1000</f>
        <v>0</v>
      </c>
      <c r="Z2616" s="85">
        <f>STATS1003B!Z2624/1000</f>
        <v>0</v>
      </c>
      <c r="AA2616" s="69">
        <f>STATS1003B!AA2624/1000</f>
        <v>10007.897939999999</v>
      </c>
      <c r="AB2616" s="69">
        <f>STATS1003B!AB2624/1000</f>
        <v>0</v>
      </c>
    </row>
    <row r="2617" spans="1:28" hidden="1" x14ac:dyDescent="0.3">
      <c r="A2617" s="117"/>
      <c r="C2617" s="68" t="s">
        <v>53</v>
      </c>
      <c r="D2617" s="87" t="s">
        <v>54</v>
      </c>
      <c r="E2617" s="85">
        <f>STATS1003B!E2625/1000</f>
        <v>1953.989</v>
      </c>
      <c r="F2617" s="85">
        <f>STATS1003B!F2625/1000</f>
        <v>0</v>
      </c>
      <c r="G2617" s="85">
        <f>STATS1003B!G2625/1000</f>
        <v>0</v>
      </c>
      <c r="H2617" s="85">
        <f>STATS1003B!H2625/1000</f>
        <v>0</v>
      </c>
      <c r="I2617" s="85">
        <f>STATS1003B!I2625/1000</f>
        <v>0</v>
      </c>
      <c r="J2617" s="85">
        <f>STATS1003B!J2625/1000</f>
        <v>0</v>
      </c>
      <c r="K2617" s="85">
        <f>STATS1003B!K2625/1000</f>
        <v>0</v>
      </c>
      <c r="L2617" s="85">
        <f>STATS1003B!L2625/1000</f>
        <v>0</v>
      </c>
      <c r="M2617" s="85">
        <f>STATS1003B!M2625/1000</f>
        <v>0</v>
      </c>
      <c r="N2617" s="85">
        <f>STATS1003B!N2625/1000</f>
        <v>1953.989</v>
      </c>
      <c r="O2617" s="85">
        <f>STATS1003B!O2625/1000</f>
        <v>0</v>
      </c>
      <c r="P2617" s="85">
        <f>STATS1003B!P2625/1000</f>
        <v>1953.989</v>
      </c>
      <c r="Q2617" s="85">
        <f>STATS1003B!Q2625/1000</f>
        <v>0</v>
      </c>
      <c r="R2617" s="85">
        <f>STATS1003B!R2625/1000</f>
        <v>0</v>
      </c>
      <c r="S2617" s="85">
        <f>STATS1003B!S2625/1000</f>
        <v>0</v>
      </c>
      <c r="T2617" s="85">
        <f>STATS1003B!T2625/1000</f>
        <v>0</v>
      </c>
      <c r="U2617" s="85">
        <f>STATS1003B!U2625/1000</f>
        <v>1953.989</v>
      </c>
      <c r="V2617" s="85">
        <f>STATS1003B!V2625/1000</f>
        <v>1953.989</v>
      </c>
      <c r="W2617" s="85">
        <f>STATS1003B!W2625/1000</f>
        <v>0</v>
      </c>
      <c r="X2617" s="85">
        <f t="shared" si="288"/>
        <v>1953.989</v>
      </c>
      <c r="Y2617" s="85">
        <f>STATS1003B!Y2625/1000</f>
        <v>0</v>
      </c>
      <c r="Z2617" s="85">
        <f>STATS1003B!Z2625/1000</f>
        <v>0</v>
      </c>
      <c r="AA2617" s="69">
        <f>STATS1003B!AA2625/1000</f>
        <v>1953.989</v>
      </c>
      <c r="AB2617" s="69">
        <f>STATS1003B!AB2625/1000</f>
        <v>0</v>
      </c>
    </row>
    <row r="2618" spans="1:28" hidden="1" x14ac:dyDescent="0.3">
      <c r="A2618" s="117"/>
      <c r="C2618" s="68" t="s">
        <v>456</v>
      </c>
      <c r="D2618" s="87" t="s">
        <v>85</v>
      </c>
      <c r="E2618" s="85">
        <f>STATS1003B!E2626/1000</f>
        <v>1760</v>
      </c>
      <c r="F2618" s="85">
        <f>STATS1003B!F2626/1000</f>
        <v>1760</v>
      </c>
      <c r="G2618" s="85">
        <f>STATS1003B!G2626/1000</f>
        <v>0</v>
      </c>
      <c r="H2618" s="85">
        <f>STATS1003B!H2626/1000</f>
        <v>1760</v>
      </c>
      <c r="I2618" s="85">
        <f>STATS1003B!I2626/1000</f>
        <v>0</v>
      </c>
      <c r="J2618" s="85">
        <f>STATS1003B!J2626/1000</f>
        <v>0</v>
      </c>
      <c r="K2618" s="85">
        <f>STATS1003B!K2626/1000</f>
        <v>0</v>
      </c>
      <c r="L2618" s="85">
        <f>STATS1003B!L2626/1000</f>
        <v>0</v>
      </c>
      <c r="M2618" s="85">
        <f>STATS1003B!M2626/1000</f>
        <v>1760</v>
      </c>
      <c r="N2618" s="85">
        <f>STATS1003B!N2626/1000</f>
        <v>0</v>
      </c>
      <c r="O2618" s="85">
        <f>STATS1003B!O2626/1000</f>
        <v>0</v>
      </c>
      <c r="P2618" s="85">
        <f>STATS1003B!P2626/1000</f>
        <v>0</v>
      </c>
      <c r="Q2618" s="85">
        <f>STATS1003B!Q2626/1000</f>
        <v>0</v>
      </c>
      <c r="R2618" s="85">
        <f>STATS1003B!R2626/1000</f>
        <v>0</v>
      </c>
      <c r="S2618" s="85">
        <f>STATS1003B!S2626/1000</f>
        <v>0</v>
      </c>
      <c r="T2618" s="85">
        <f>STATS1003B!T2626/1000</f>
        <v>0</v>
      </c>
      <c r="U2618" s="85">
        <f>STATS1003B!U2626/1000</f>
        <v>0</v>
      </c>
      <c r="V2618" s="85">
        <f>STATS1003B!V2626/1000</f>
        <v>1760</v>
      </c>
      <c r="W2618" s="85">
        <f>STATS1003B!W2626/1000</f>
        <v>0</v>
      </c>
      <c r="X2618" s="85">
        <f t="shared" si="288"/>
        <v>1760</v>
      </c>
      <c r="Y2618" s="85">
        <f>STATS1003B!Y2626/1000</f>
        <v>0</v>
      </c>
      <c r="Z2618" s="85">
        <f>STATS1003B!Z2626/1000</f>
        <v>0</v>
      </c>
      <c r="AA2618" s="69">
        <f>STATS1003B!AA2626/1000</f>
        <v>1760</v>
      </c>
      <c r="AB2618" s="69">
        <f>STATS1003B!AB2626/1000</f>
        <v>0</v>
      </c>
    </row>
    <row r="2619" spans="1:28" hidden="1" x14ac:dyDescent="0.3">
      <c r="A2619" s="117"/>
      <c r="C2619" s="68" t="s">
        <v>457</v>
      </c>
      <c r="D2619" s="87" t="s">
        <v>128</v>
      </c>
      <c r="E2619" s="85">
        <f>STATS1003B!E2627/1000</f>
        <v>955.34561999999994</v>
      </c>
      <c r="F2619" s="85">
        <f>STATS1003B!F2627/1000</f>
        <v>0</v>
      </c>
      <c r="G2619" s="85">
        <f>STATS1003B!G2627/1000</f>
        <v>0</v>
      </c>
      <c r="H2619" s="85">
        <f>STATS1003B!H2627/1000</f>
        <v>0</v>
      </c>
      <c r="I2619" s="85">
        <f>STATS1003B!I2627/1000</f>
        <v>0</v>
      </c>
      <c r="J2619" s="85">
        <f>STATS1003B!J2627/1000</f>
        <v>0</v>
      </c>
      <c r="K2619" s="85">
        <f>STATS1003B!K2627/1000</f>
        <v>0</v>
      </c>
      <c r="L2619" s="85">
        <f>STATS1003B!L2627/1000</f>
        <v>0</v>
      </c>
      <c r="M2619" s="85">
        <f>STATS1003B!M2627/1000</f>
        <v>0</v>
      </c>
      <c r="N2619" s="85">
        <f>STATS1003B!N2627/1000</f>
        <v>955.34561999999994</v>
      </c>
      <c r="O2619" s="85">
        <f>STATS1003B!O2627/1000</f>
        <v>0</v>
      </c>
      <c r="P2619" s="85">
        <f>STATS1003B!P2627/1000</f>
        <v>955.34561999999994</v>
      </c>
      <c r="Q2619" s="85">
        <f>STATS1003B!Q2627/1000</f>
        <v>0</v>
      </c>
      <c r="R2619" s="85">
        <f>STATS1003B!R2627/1000</f>
        <v>0</v>
      </c>
      <c r="S2619" s="85">
        <f>STATS1003B!S2627/1000</f>
        <v>0</v>
      </c>
      <c r="T2619" s="85">
        <f>STATS1003B!T2627/1000</f>
        <v>0</v>
      </c>
      <c r="U2619" s="85">
        <f>STATS1003B!U2627/1000</f>
        <v>955.34561999999994</v>
      </c>
      <c r="V2619" s="85">
        <f>STATS1003B!V2627/1000</f>
        <v>955.34561999999994</v>
      </c>
      <c r="W2619" s="85">
        <f>STATS1003B!W2627/1000</f>
        <v>0</v>
      </c>
      <c r="X2619" s="85">
        <f t="shared" si="288"/>
        <v>955.34561999999994</v>
      </c>
      <c r="Y2619" s="85">
        <f>STATS1003B!Y2627/1000</f>
        <v>0</v>
      </c>
      <c r="Z2619" s="85">
        <f>STATS1003B!Z2627/1000</f>
        <v>0</v>
      </c>
      <c r="AA2619" s="69">
        <f>STATS1003B!AA2627/1000</f>
        <v>955.34561999999994</v>
      </c>
      <c r="AB2619" s="69">
        <f>STATS1003B!AB2627/1000</f>
        <v>0</v>
      </c>
    </row>
    <row r="2620" spans="1:28" hidden="1" x14ac:dyDescent="0.3">
      <c r="A2620" s="117"/>
      <c r="C2620" s="68" t="s">
        <v>55</v>
      </c>
      <c r="D2620" s="87" t="s">
        <v>128</v>
      </c>
      <c r="E2620" s="85">
        <f>STATS1003B!E2628/1000</f>
        <v>365.60624999999999</v>
      </c>
      <c r="F2620" s="85">
        <f>STATS1003B!F2628/1000</f>
        <v>0</v>
      </c>
      <c r="G2620" s="85">
        <f>STATS1003B!G2628/1000</f>
        <v>0</v>
      </c>
      <c r="H2620" s="85">
        <f>STATS1003B!H2628/1000</f>
        <v>0</v>
      </c>
      <c r="I2620" s="85">
        <f>STATS1003B!I2628/1000</f>
        <v>0</v>
      </c>
      <c r="J2620" s="85">
        <f>STATS1003B!J2628/1000</f>
        <v>0</v>
      </c>
      <c r="K2620" s="85">
        <f>STATS1003B!K2628/1000</f>
        <v>0</v>
      </c>
      <c r="L2620" s="85">
        <f>STATS1003B!L2628/1000</f>
        <v>0</v>
      </c>
      <c r="M2620" s="85">
        <f>STATS1003B!M2628/1000</f>
        <v>0</v>
      </c>
      <c r="N2620" s="85">
        <f>STATS1003B!N2628/1000</f>
        <v>365.60624999999999</v>
      </c>
      <c r="O2620" s="85">
        <f>STATS1003B!O2628/1000</f>
        <v>0</v>
      </c>
      <c r="P2620" s="85">
        <f>STATS1003B!P2628/1000</f>
        <v>365.60624999999999</v>
      </c>
      <c r="Q2620" s="85">
        <f>STATS1003B!Q2628/1000</f>
        <v>0</v>
      </c>
      <c r="R2620" s="85">
        <f>STATS1003B!R2628/1000</f>
        <v>0</v>
      </c>
      <c r="S2620" s="85">
        <f>STATS1003B!S2628/1000</f>
        <v>0</v>
      </c>
      <c r="T2620" s="85">
        <f>STATS1003B!T2628/1000</f>
        <v>0</v>
      </c>
      <c r="U2620" s="85">
        <f>STATS1003B!U2628/1000</f>
        <v>365.60624999999999</v>
      </c>
      <c r="V2620" s="85">
        <f>STATS1003B!V2628/1000</f>
        <v>365.60624999999999</v>
      </c>
      <c r="W2620" s="85">
        <f>STATS1003B!W2628/1000</f>
        <v>0</v>
      </c>
      <c r="X2620" s="85">
        <f t="shared" si="288"/>
        <v>365.60624999999999</v>
      </c>
      <c r="Y2620" s="85">
        <f>STATS1003B!Y2628/1000</f>
        <v>0</v>
      </c>
      <c r="Z2620" s="85">
        <f>STATS1003B!Z2628/1000</f>
        <v>0</v>
      </c>
      <c r="AA2620" s="69">
        <f>STATS1003B!AA2628/1000</f>
        <v>365.60624999999999</v>
      </c>
      <c r="AB2620" s="69">
        <f>STATS1003B!AB2628/1000</f>
        <v>0</v>
      </c>
    </row>
    <row r="2621" spans="1:28" hidden="1" x14ac:dyDescent="0.3">
      <c r="A2621" s="117"/>
      <c r="C2621" s="68" t="s">
        <v>225</v>
      </c>
      <c r="D2621" s="87" t="s">
        <v>85</v>
      </c>
      <c r="E2621" s="85">
        <f>STATS1003B!E2629/1000</f>
        <v>80</v>
      </c>
      <c r="F2621" s="85">
        <f>STATS1003B!F2629/1000</f>
        <v>0</v>
      </c>
      <c r="G2621" s="85">
        <f>STATS1003B!G2629/1000</f>
        <v>0</v>
      </c>
      <c r="H2621" s="85">
        <f>STATS1003B!H2629/1000</f>
        <v>0</v>
      </c>
      <c r="I2621" s="85">
        <f>STATS1003B!I2629/1000</f>
        <v>0</v>
      </c>
      <c r="J2621" s="85">
        <f>STATS1003B!J2629/1000</f>
        <v>0</v>
      </c>
      <c r="K2621" s="85">
        <f>STATS1003B!K2629/1000</f>
        <v>0</v>
      </c>
      <c r="L2621" s="85">
        <f>STATS1003B!L2629/1000</f>
        <v>0</v>
      </c>
      <c r="M2621" s="85">
        <f>STATS1003B!M2629/1000</f>
        <v>0</v>
      </c>
      <c r="N2621" s="85">
        <f>STATS1003B!N2629/1000</f>
        <v>0</v>
      </c>
      <c r="O2621" s="85">
        <f>STATS1003B!O2629/1000</f>
        <v>0</v>
      </c>
      <c r="P2621" s="85">
        <f>STATS1003B!P2629/1000</f>
        <v>0</v>
      </c>
      <c r="Q2621" s="85">
        <f>STATS1003B!Q2629/1000</f>
        <v>0</v>
      </c>
      <c r="R2621" s="85">
        <f>STATS1003B!R2629/1000</f>
        <v>0</v>
      </c>
      <c r="S2621" s="85">
        <f>STATS1003B!S2629/1000</f>
        <v>0</v>
      </c>
      <c r="T2621" s="85">
        <f>STATS1003B!T2629/1000</f>
        <v>0</v>
      </c>
      <c r="U2621" s="85">
        <f>STATS1003B!U2629/1000</f>
        <v>0</v>
      </c>
      <c r="V2621" s="85">
        <f>STATS1003B!V2629/1000</f>
        <v>0</v>
      </c>
      <c r="W2621" s="85">
        <f>STATS1003B!W2629/1000</f>
        <v>80</v>
      </c>
      <c r="X2621" s="85">
        <f t="shared" si="288"/>
        <v>0</v>
      </c>
      <c r="Y2621" s="85">
        <f>STATS1003B!Y2629/1000</f>
        <v>0</v>
      </c>
      <c r="Z2621" s="85">
        <f>STATS1003B!Z2629/1000</f>
        <v>80</v>
      </c>
      <c r="AA2621" s="69">
        <f>STATS1003B!AA2629/1000</f>
        <v>0</v>
      </c>
      <c r="AB2621" s="69">
        <f>STATS1003B!AB2629/1000</f>
        <v>80</v>
      </c>
    </row>
    <row r="2622" spans="1:28" hidden="1" x14ac:dyDescent="0.3">
      <c r="A2622" s="117"/>
      <c r="C2622" s="68" t="s">
        <v>57</v>
      </c>
      <c r="D2622" s="87" t="s">
        <v>58</v>
      </c>
      <c r="E2622" s="85">
        <f>STATS1003B!E2630/1000</f>
        <v>15233.813</v>
      </c>
      <c r="F2622" s="85">
        <f>STATS1003B!F2630/1000</f>
        <v>15233.813</v>
      </c>
      <c r="G2622" s="85">
        <f>STATS1003B!G2630/1000</f>
        <v>0</v>
      </c>
      <c r="H2622" s="85">
        <f>STATS1003B!H2630/1000</f>
        <v>15233.813</v>
      </c>
      <c r="I2622" s="85">
        <f>STATS1003B!I2630/1000</f>
        <v>0</v>
      </c>
      <c r="J2622" s="85">
        <f>STATS1003B!J2630/1000</f>
        <v>0</v>
      </c>
      <c r="K2622" s="85">
        <f>STATS1003B!K2630/1000</f>
        <v>0</v>
      </c>
      <c r="L2622" s="85">
        <f>STATS1003B!L2630/1000</f>
        <v>0</v>
      </c>
      <c r="M2622" s="85">
        <f>STATS1003B!M2630/1000</f>
        <v>15233.813</v>
      </c>
      <c r="N2622" s="85">
        <f>STATS1003B!N2630/1000</f>
        <v>0</v>
      </c>
      <c r="O2622" s="85">
        <f>STATS1003B!O2630/1000</f>
        <v>0</v>
      </c>
      <c r="P2622" s="85">
        <f>STATS1003B!P2630/1000</f>
        <v>0</v>
      </c>
      <c r="Q2622" s="85">
        <f>STATS1003B!Q2630/1000</f>
        <v>0</v>
      </c>
      <c r="R2622" s="85">
        <f>STATS1003B!R2630/1000</f>
        <v>0</v>
      </c>
      <c r="S2622" s="85">
        <f>STATS1003B!S2630/1000</f>
        <v>0</v>
      </c>
      <c r="T2622" s="85">
        <f>STATS1003B!T2630/1000</f>
        <v>0</v>
      </c>
      <c r="U2622" s="85">
        <f>STATS1003B!U2630/1000</f>
        <v>0</v>
      </c>
      <c r="V2622" s="85">
        <f>STATS1003B!V2630/1000</f>
        <v>15233.813</v>
      </c>
      <c r="W2622" s="85">
        <f>STATS1003B!W2630/1000</f>
        <v>0</v>
      </c>
      <c r="X2622" s="85">
        <f t="shared" si="288"/>
        <v>15233.813</v>
      </c>
      <c r="Y2622" s="85">
        <f>STATS1003B!Y2630/1000</f>
        <v>0</v>
      </c>
      <c r="Z2622" s="85">
        <f>STATS1003B!Z2630/1000</f>
        <v>0</v>
      </c>
      <c r="AA2622" s="69">
        <f>STATS1003B!AA2630/1000</f>
        <v>15233.813</v>
      </c>
      <c r="AB2622" s="69">
        <f>STATS1003B!AB2630/1000</f>
        <v>0</v>
      </c>
    </row>
    <row r="2623" spans="1:28" hidden="1" x14ac:dyDescent="0.3">
      <c r="A2623" s="117"/>
      <c r="C2623" s="71" t="s">
        <v>109</v>
      </c>
      <c r="D2623" s="88" t="s">
        <v>60</v>
      </c>
      <c r="E2623" s="85">
        <f>STATS1003B!E2631/1000</f>
        <v>9362.3724999999995</v>
      </c>
      <c r="F2623" s="85">
        <f>STATS1003B!F2631/1000</f>
        <v>9362.3724999999995</v>
      </c>
      <c r="G2623" s="85">
        <f>STATS1003B!G2631/1000</f>
        <v>0</v>
      </c>
      <c r="H2623" s="85">
        <f>STATS1003B!H2631/1000</f>
        <v>9362.3724999999995</v>
      </c>
      <c r="I2623" s="85">
        <f>STATS1003B!I2631/1000</f>
        <v>0</v>
      </c>
      <c r="J2623" s="85">
        <f>STATS1003B!J2631/1000</f>
        <v>0</v>
      </c>
      <c r="K2623" s="85">
        <f>STATS1003B!K2631/1000</f>
        <v>0</v>
      </c>
      <c r="L2623" s="85">
        <f>STATS1003B!L2631/1000</f>
        <v>0</v>
      </c>
      <c r="M2623" s="85">
        <f>STATS1003B!M2631/1000</f>
        <v>9362.3724999999995</v>
      </c>
      <c r="N2623" s="85">
        <f>STATS1003B!N2631/1000</f>
        <v>0</v>
      </c>
      <c r="O2623" s="85">
        <f>STATS1003B!O2631/1000</f>
        <v>0</v>
      </c>
      <c r="P2623" s="85">
        <f>STATS1003B!P2631/1000</f>
        <v>0</v>
      </c>
      <c r="Q2623" s="85">
        <f>STATS1003B!Q2631/1000</f>
        <v>0</v>
      </c>
      <c r="R2623" s="85">
        <f>STATS1003B!R2631/1000</f>
        <v>0</v>
      </c>
      <c r="S2623" s="85">
        <f>STATS1003B!S2631/1000</f>
        <v>0</v>
      </c>
      <c r="T2623" s="85">
        <f>STATS1003B!T2631/1000</f>
        <v>0</v>
      </c>
      <c r="U2623" s="85">
        <f>STATS1003B!U2631/1000</f>
        <v>0</v>
      </c>
      <c r="V2623" s="85">
        <f>STATS1003B!V2631/1000</f>
        <v>9362.3724999999995</v>
      </c>
      <c r="W2623" s="85">
        <f>STATS1003B!W2631/1000</f>
        <v>0</v>
      </c>
      <c r="X2623" s="85">
        <f t="shared" si="288"/>
        <v>9362.3724999999995</v>
      </c>
      <c r="Y2623" s="85">
        <f>STATS1003B!Y2631/1000</f>
        <v>0</v>
      </c>
      <c r="Z2623" s="85">
        <f>STATS1003B!Z2631/1000</f>
        <v>0</v>
      </c>
      <c r="AA2623" s="69">
        <f>STATS1003B!AA2631/1000</f>
        <v>9362.3724999999995</v>
      </c>
      <c r="AB2623" s="69">
        <f>STATS1003B!AB2631/1000</f>
        <v>0</v>
      </c>
    </row>
    <row r="2624" spans="1:28" hidden="1" x14ac:dyDescent="0.3">
      <c r="A2624" s="117"/>
      <c r="C2624" s="68" t="s">
        <v>57</v>
      </c>
      <c r="D2624" s="87" t="s">
        <v>60</v>
      </c>
      <c r="E2624" s="85">
        <f>STATS1003B!E2632/1000</f>
        <v>5000</v>
      </c>
      <c r="F2624" s="85">
        <f>STATS1003B!F2632/1000</f>
        <v>5000</v>
      </c>
      <c r="G2624" s="85">
        <f>STATS1003B!G2632/1000</f>
        <v>0</v>
      </c>
      <c r="H2624" s="85">
        <f>STATS1003B!H2632/1000</f>
        <v>5000</v>
      </c>
      <c r="I2624" s="85">
        <f>STATS1003B!I2632/1000</f>
        <v>0</v>
      </c>
      <c r="J2624" s="85">
        <f>STATS1003B!J2632/1000</f>
        <v>0</v>
      </c>
      <c r="K2624" s="85">
        <f>STATS1003B!K2632/1000</f>
        <v>0</v>
      </c>
      <c r="L2624" s="85">
        <f>STATS1003B!L2632/1000</f>
        <v>0</v>
      </c>
      <c r="M2624" s="85">
        <f>STATS1003B!M2632/1000</f>
        <v>5000</v>
      </c>
      <c r="N2624" s="85">
        <f>STATS1003B!N2632/1000</f>
        <v>0</v>
      </c>
      <c r="O2624" s="85">
        <f>STATS1003B!O2632/1000</f>
        <v>0</v>
      </c>
      <c r="P2624" s="85">
        <f>STATS1003B!P2632/1000</f>
        <v>0</v>
      </c>
      <c r="Q2624" s="85">
        <f>STATS1003B!Q2632/1000</f>
        <v>0</v>
      </c>
      <c r="R2624" s="85">
        <f>STATS1003B!R2632/1000</f>
        <v>0</v>
      </c>
      <c r="S2624" s="85">
        <f>STATS1003B!S2632/1000</f>
        <v>0</v>
      </c>
      <c r="T2624" s="85">
        <f>STATS1003B!T2632/1000</f>
        <v>0</v>
      </c>
      <c r="U2624" s="85">
        <f>STATS1003B!U2632/1000</f>
        <v>0</v>
      </c>
      <c r="V2624" s="85">
        <f>STATS1003B!V2632/1000</f>
        <v>5000</v>
      </c>
      <c r="W2624" s="85">
        <f>STATS1003B!W2632/1000</f>
        <v>0</v>
      </c>
      <c r="X2624" s="85">
        <f t="shared" si="288"/>
        <v>5000</v>
      </c>
      <c r="Y2624" s="85">
        <f>STATS1003B!Y2632/1000</f>
        <v>0</v>
      </c>
      <c r="Z2624" s="85">
        <f>STATS1003B!Z2632/1000</f>
        <v>0</v>
      </c>
      <c r="AA2624" s="69">
        <f>STATS1003B!AA2632/1000</f>
        <v>5000</v>
      </c>
      <c r="AB2624" s="69">
        <f>STATS1003B!AB2632/1000</f>
        <v>0</v>
      </c>
    </row>
    <row r="2625" spans="1:28" hidden="1" x14ac:dyDescent="0.3">
      <c r="A2625" s="117"/>
      <c r="C2625" s="68" t="s">
        <v>928</v>
      </c>
      <c r="D2625" s="87"/>
      <c r="E2625" s="85">
        <f>STATS1003B!E2633/1000</f>
        <v>3111</v>
      </c>
      <c r="F2625" s="85">
        <f>STATS1003B!F2633/1000</f>
        <v>2059</v>
      </c>
      <c r="G2625" s="85">
        <f>STATS1003B!G2633/1000</f>
        <v>0</v>
      </c>
      <c r="H2625" s="85">
        <f>STATS1003B!H2633/1000</f>
        <v>2059</v>
      </c>
      <c r="I2625" s="85">
        <f>STATS1003B!I2633/1000</f>
        <v>0</v>
      </c>
      <c r="J2625" s="85">
        <f>STATS1003B!J2633/1000</f>
        <v>0</v>
      </c>
      <c r="K2625" s="85">
        <f>STATS1003B!K2633/1000</f>
        <v>0</v>
      </c>
      <c r="L2625" s="85">
        <f>STATS1003B!L2633/1000</f>
        <v>0</v>
      </c>
      <c r="M2625" s="85">
        <f>STATS1003B!M2633/1000</f>
        <v>2059</v>
      </c>
      <c r="N2625" s="85">
        <f>STATS1003B!N2633/1000</f>
        <v>0</v>
      </c>
      <c r="O2625" s="85">
        <f>STATS1003B!O2633/1000</f>
        <v>0</v>
      </c>
      <c r="P2625" s="85">
        <f>STATS1003B!P2633/1000</f>
        <v>0</v>
      </c>
      <c r="Q2625" s="85">
        <f>STATS1003B!Q2633/1000</f>
        <v>0</v>
      </c>
      <c r="R2625" s="85">
        <f>STATS1003B!R2633/1000</f>
        <v>0</v>
      </c>
      <c r="S2625" s="85">
        <f>STATS1003B!S2633/1000</f>
        <v>0</v>
      </c>
      <c r="T2625" s="85">
        <f>STATS1003B!T2633/1000</f>
        <v>0</v>
      </c>
      <c r="U2625" s="85">
        <f>STATS1003B!U2633/1000</f>
        <v>0</v>
      </c>
      <c r="V2625" s="85">
        <f>STATS1003B!V2633/1000</f>
        <v>2059</v>
      </c>
      <c r="W2625" s="85">
        <f>STATS1003B!W2633/1000</f>
        <v>1052</v>
      </c>
      <c r="X2625" s="85">
        <f t="shared" si="288"/>
        <v>2059</v>
      </c>
      <c r="Y2625" s="85">
        <f>STATS1003B!Y2633/1000</f>
        <v>0</v>
      </c>
      <c r="Z2625" s="85">
        <f>STATS1003B!Z2633/1000</f>
        <v>1052</v>
      </c>
      <c r="AA2625" s="69">
        <f>STATS1003B!AA2633/1000</f>
        <v>2059</v>
      </c>
      <c r="AB2625" s="69">
        <f>STATS1003B!AB2633/1000</f>
        <v>1052</v>
      </c>
    </row>
    <row r="2626" spans="1:28" hidden="1" x14ac:dyDescent="0.3">
      <c r="A2626" s="117"/>
      <c r="C2626" s="68" t="s">
        <v>930</v>
      </c>
      <c r="D2626" s="90" t="s">
        <v>1072</v>
      </c>
      <c r="E2626" s="85">
        <f>STATS1003B!E2634/1000</f>
        <v>3252.8783399999998</v>
      </c>
      <c r="F2626" s="85">
        <f>STATS1003B!F2634/1000</f>
        <v>3252.8783399999998</v>
      </c>
      <c r="G2626" s="85">
        <f>STATS1003B!G2634/1000</f>
        <v>0</v>
      </c>
      <c r="H2626" s="85">
        <f>STATS1003B!H2634/1000</f>
        <v>3252.8783399999998</v>
      </c>
      <c r="I2626" s="85">
        <f>STATS1003B!I2634/1000</f>
        <v>0</v>
      </c>
      <c r="J2626" s="85">
        <f>STATS1003B!J2634/1000</f>
        <v>0</v>
      </c>
      <c r="K2626" s="85">
        <f>STATS1003B!K2634/1000</f>
        <v>0</v>
      </c>
      <c r="L2626" s="85">
        <f>STATS1003B!L2634/1000</f>
        <v>0</v>
      </c>
      <c r="M2626" s="85">
        <f>STATS1003B!M2634/1000</f>
        <v>3252.8783399999998</v>
      </c>
      <c r="N2626" s="85">
        <f>STATS1003B!N2634/1000</f>
        <v>0</v>
      </c>
      <c r="O2626" s="85">
        <f>STATS1003B!O2634/1000</f>
        <v>0</v>
      </c>
      <c r="P2626" s="85">
        <f>STATS1003B!P2634/1000</f>
        <v>0</v>
      </c>
      <c r="Q2626" s="85">
        <f>STATS1003B!Q2634/1000</f>
        <v>0</v>
      </c>
      <c r="R2626" s="85">
        <f>STATS1003B!R2634/1000</f>
        <v>0</v>
      </c>
      <c r="S2626" s="85">
        <f>STATS1003B!S2634/1000</f>
        <v>0</v>
      </c>
      <c r="T2626" s="85">
        <f>STATS1003B!T2634/1000</f>
        <v>0</v>
      </c>
      <c r="U2626" s="85">
        <f>STATS1003B!U2634/1000</f>
        <v>0</v>
      </c>
      <c r="V2626" s="85">
        <f>STATS1003B!V2634/1000</f>
        <v>3252.8783399999998</v>
      </c>
      <c r="W2626" s="85">
        <f>STATS1003B!W2634/1000</f>
        <v>0</v>
      </c>
      <c r="X2626" s="85">
        <f t="shared" si="288"/>
        <v>3252.8783399999998</v>
      </c>
      <c r="Y2626" s="85">
        <f>STATS1003B!Y2634/1000</f>
        <v>0</v>
      </c>
      <c r="Z2626" s="85">
        <f>STATS1003B!Z2634/1000</f>
        <v>0</v>
      </c>
      <c r="AA2626" s="69">
        <f>STATS1003B!AA2634/1000</f>
        <v>3252.8783399999998</v>
      </c>
      <c r="AB2626" s="69">
        <f>STATS1003B!AB2634/1000</f>
        <v>0</v>
      </c>
    </row>
    <row r="2627" spans="1:28" hidden="1" x14ac:dyDescent="0.3">
      <c r="A2627" s="117"/>
      <c r="C2627" s="68" t="s">
        <v>1242</v>
      </c>
      <c r="D2627" s="90" t="s">
        <v>1225</v>
      </c>
      <c r="E2627" s="85">
        <f>STATS1003B!E2635/1000</f>
        <v>4276.0126</v>
      </c>
      <c r="F2627" s="85">
        <f>STATS1003B!F2635/1000</f>
        <v>4276.0126</v>
      </c>
      <c r="G2627" s="85">
        <f>STATS1003B!G2635/1000</f>
        <v>0</v>
      </c>
      <c r="H2627" s="85">
        <f>STATS1003B!H2635/1000</f>
        <v>4276.0126</v>
      </c>
      <c r="I2627" s="85">
        <f>STATS1003B!I2635/1000</f>
        <v>0</v>
      </c>
      <c r="J2627" s="85">
        <f>STATS1003B!J2635/1000</f>
        <v>0</v>
      </c>
      <c r="K2627" s="85">
        <f>STATS1003B!K2635/1000</f>
        <v>0</v>
      </c>
      <c r="L2627" s="85">
        <f>STATS1003B!L2635/1000</f>
        <v>0</v>
      </c>
      <c r="M2627" s="85">
        <f>STATS1003B!M2635/1000</f>
        <v>4276.0126</v>
      </c>
      <c r="N2627" s="85">
        <f>STATS1003B!N2635/1000</f>
        <v>0</v>
      </c>
      <c r="O2627" s="85">
        <f>STATS1003B!O2635/1000</f>
        <v>0</v>
      </c>
      <c r="P2627" s="85">
        <f>STATS1003B!P2635/1000</f>
        <v>0</v>
      </c>
      <c r="Q2627" s="85">
        <f>STATS1003B!Q2635/1000</f>
        <v>0</v>
      </c>
      <c r="R2627" s="85">
        <f>STATS1003B!R2635/1000</f>
        <v>0</v>
      </c>
      <c r="S2627" s="85">
        <f>STATS1003B!S2635/1000</f>
        <v>0</v>
      </c>
      <c r="T2627" s="85">
        <f>STATS1003B!T2635/1000</f>
        <v>0</v>
      </c>
      <c r="U2627" s="85">
        <f>STATS1003B!U2635/1000</f>
        <v>0</v>
      </c>
      <c r="V2627" s="85">
        <f>STATS1003B!V2635/1000</f>
        <v>4276.0126</v>
      </c>
      <c r="W2627" s="85">
        <f>STATS1003B!W2635/1000</f>
        <v>0</v>
      </c>
      <c r="X2627" s="85">
        <f t="shared" si="288"/>
        <v>4276.0126</v>
      </c>
      <c r="Y2627" s="85">
        <f>STATS1003B!Y2635/1000</f>
        <v>0</v>
      </c>
      <c r="Z2627" s="85">
        <f>STATS1003B!Z2635/1000</f>
        <v>0</v>
      </c>
      <c r="AA2627" s="69">
        <f>STATS1003B!AA2635/1000</f>
        <v>4276.0126</v>
      </c>
      <c r="AB2627" s="69">
        <f>STATS1003B!AB2635/1000</f>
        <v>0</v>
      </c>
    </row>
    <row r="2628" spans="1:28" hidden="1" x14ac:dyDescent="0.3">
      <c r="A2628" s="117"/>
      <c r="C2628" s="68" t="s">
        <v>1139</v>
      </c>
      <c r="D2628" s="90" t="s">
        <v>1126</v>
      </c>
      <c r="E2628" s="85">
        <f>STATS1003B!E2636/1000</f>
        <v>300</v>
      </c>
      <c r="F2628" s="85">
        <f>STATS1003B!F2636/1000</f>
        <v>300</v>
      </c>
      <c r="G2628" s="85">
        <f>STATS1003B!G2636/1000</f>
        <v>0</v>
      </c>
      <c r="H2628" s="85">
        <f>STATS1003B!H2636/1000</f>
        <v>300</v>
      </c>
      <c r="I2628" s="85">
        <f>STATS1003B!I2636/1000</f>
        <v>0</v>
      </c>
      <c r="J2628" s="85">
        <f>STATS1003B!J2636/1000</f>
        <v>0</v>
      </c>
      <c r="K2628" s="85">
        <f>STATS1003B!K2636/1000</f>
        <v>0</v>
      </c>
      <c r="L2628" s="85">
        <f>STATS1003B!L2636/1000</f>
        <v>0</v>
      </c>
      <c r="M2628" s="85">
        <f>STATS1003B!M2636/1000</f>
        <v>300</v>
      </c>
      <c r="N2628" s="85">
        <f>STATS1003B!N2636/1000</f>
        <v>0</v>
      </c>
      <c r="O2628" s="85">
        <f>STATS1003B!O2636/1000</f>
        <v>0</v>
      </c>
      <c r="P2628" s="85">
        <f>STATS1003B!P2636/1000</f>
        <v>0</v>
      </c>
      <c r="Q2628" s="85">
        <f>STATS1003B!Q2636/1000</f>
        <v>0</v>
      </c>
      <c r="R2628" s="85">
        <f>STATS1003B!R2636/1000</f>
        <v>0</v>
      </c>
      <c r="S2628" s="85">
        <f>STATS1003B!S2636/1000</f>
        <v>0</v>
      </c>
      <c r="T2628" s="85">
        <f>STATS1003B!T2636/1000</f>
        <v>0</v>
      </c>
      <c r="U2628" s="85">
        <f>STATS1003B!U2636/1000</f>
        <v>0</v>
      </c>
      <c r="V2628" s="85">
        <f>STATS1003B!V2636/1000</f>
        <v>0</v>
      </c>
      <c r="W2628" s="85">
        <f>STATS1003B!W2636/1000</f>
        <v>0</v>
      </c>
      <c r="X2628" s="85">
        <f t="shared" si="288"/>
        <v>300</v>
      </c>
      <c r="Y2628" s="85">
        <f>STATS1003B!Y2636/1000</f>
        <v>0</v>
      </c>
      <c r="Z2628" s="85">
        <f>STATS1003B!Z2636/1000</f>
        <v>0</v>
      </c>
      <c r="AA2628" s="69">
        <f>STATS1003B!AA2636/1000</f>
        <v>300</v>
      </c>
      <c r="AB2628" s="69">
        <f>STATS1003B!AB2636/1000</f>
        <v>0</v>
      </c>
    </row>
    <row r="2629" spans="1:28" hidden="1" x14ac:dyDescent="0.3">
      <c r="A2629" s="117"/>
      <c r="C2629" s="68" t="s">
        <v>458</v>
      </c>
      <c r="D2629" s="87" t="s">
        <v>73</v>
      </c>
      <c r="E2629" s="85">
        <f>STATS1003B!E2637/1000</f>
        <v>8712.1010000000006</v>
      </c>
      <c r="F2629" s="85">
        <f>STATS1003B!F2637/1000</f>
        <v>9764.1010000000006</v>
      </c>
      <c r="G2629" s="85">
        <f>STATS1003B!G2637/1000</f>
        <v>0</v>
      </c>
      <c r="H2629" s="85">
        <f>STATS1003B!H2637/1000</f>
        <v>9764.1010000000006</v>
      </c>
      <c r="I2629" s="85">
        <f>STATS1003B!I2637/1000</f>
        <v>1052</v>
      </c>
      <c r="J2629" s="85">
        <f>STATS1003B!J2637/1000</f>
        <v>0</v>
      </c>
      <c r="K2629" s="85">
        <f>STATS1003B!K2637/1000</f>
        <v>0</v>
      </c>
      <c r="L2629" s="85">
        <f>STATS1003B!L2637/1000</f>
        <v>0</v>
      </c>
      <c r="M2629" s="85">
        <f>STATS1003B!M2637/1000</f>
        <v>9764.1010000000006</v>
      </c>
      <c r="N2629" s="85">
        <f>STATS1003B!N2637/1000</f>
        <v>0</v>
      </c>
      <c r="O2629" s="85">
        <f>STATS1003B!O2637/1000</f>
        <v>0</v>
      </c>
      <c r="P2629" s="85">
        <f>STATS1003B!P2637/1000</f>
        <v>0</v>
      </c>
      <c r="Q2629" s="85">
        <f>STATS1003B!Q2637/1000</f>
        <v>0</v>
      </c>
      <c r="R2629" s="85">
        <f>STATS1003B!R2637/1000</f>
        <v>0</v>
      </c>
      <c r="S2629" s="85">
        <f>STATS1003B!S2637/1000</f>
        <v>0</v>
      </c>
      <c r="T2629" s="85">
        <f>STATS1003B!T2637/1000</f>
        <v>0</v>
      </c>
      <c r="U2629" s="85">
        <f>STATS1003B!U2637/1000</f>
        <v>0</v>
      </c>
      <c r="V2629" s="85">
        <f>STATS1003B!V2637/1000</f>
        <v>9764.1010000000006</v>
      </c>
      <c r="W2629" s="85">
        <f>STATS1003B!W2637/1000</f>
        <v>-1052</v>
      </c>
      <c r="X2629" s="85">
        <f t="shared" si="288"/>
        <v>9764.1010000000006</v>
      </c>
      <c r="Y2629" s="85">
        <f>STATS1003B!Y2637/1000</f>
        <v>0</v>
      </c>
      <c r="Z2629" s="85">
        <f>STATS1003B!Z2637/1000</f>
        <v>-1052</v>
      </c>
      <c r="AA2629" s="69">
        <f>STATS1003B!AA2637/1000</f>
        <v>9764.1010000000006</v>
      </c>
      <c r="AB2629" s="69">
        <f>STATS1003B!AB2637/1000</f>
        <v>-1052</v>
      </c>
    </row>
    <row r="2630" spans="1:28" hidden="1" x14ac:dyDescent="0.3">
      <c r="A2630" s="117"/>
      <c r="C2630" s="68" t="s">
        <v>57</v>
      </c>
      <c r="D2630" s="87" t="s">
        <v>61</v>
      </c>
      <c r="E2630" s="85">
        <f>STATS1003B!E2638/1000</f>
        <v>6095.4539999999997</v>
      </c>
      <c r="F2630" s="85">
        <f>STATS1003B!F2638/1000</f>
        <v>6095.4539999999997</v>
      </c>
      <c r="G2630" s="85">
        <f>STATS1003B!G2638/1000</f>
        <v>0</v>
      </c>
      <c r="H2630" s="85">
        <f>STATS1003B!H2638/1000</f>
        <v>6095.4539999999997</v>
      </c>
      <c r="I2630" s="85">
        <f>STATS1003B!I2638/1000</f>
        <v>0</v>
      </c>
      <c r="J2630" s="85">
        <f>STATS1003B!J2638/1000</f>
        <v>0</v>
      </c>
      <c r="K2630" s="85">
        <f>STATS1003B!K2638/1000</f>
        <v>0</v>
      </c>
      <c r="L2630" s="85">
        <f>STATS1003B!L2638/1000</f>
        <v>0</v>
      </c>
      <c r="M2630" s="85">
        <f>STATS1003B!M2638/1000</f>
        <v>6095.4539999999997</v>
      </c>
      <c r="N2630" s="85">
        <f>STATS1003B!N2638/1000</f>
        <v>0</v>
      </c>
      <c r="O2630" s="85">
        <f>STATS1003B!O2638/1000</f>
        <v>0</v>
      </c>
      <c r="P2630" s="85">
        <f>STATS1003B!P2638/1000</f>
        <v>0</v>
      </c>
      <c r="Q2630" s="85">
        <f>STATS1003B!Q2638/1000</f>
        <v>0</v>
      </c>
      <c r="R2630" s="85">
        <f>STATS1003B!R2638/1000</f>
        <v>0</v>
      </c>
      <c r="S2630" s="85">
        <f>STATS1003B!S2638/1000</f>
        <v>0</v>
      </c>
      <c r="T2630" s="85">
        <f>STATS1003B!T2638/1000</f>
        <v>0</v>
      </c>
      <c r="U2630" s="85">
        <f>STATS1003B!U2638/1000</f>
        <v>0</v>
      </c>
      <c r="V2630" s="85">
        <f>STATS1003B!V2638/1000</f>
        <v>6095.4539999999997</v>
      </c>
      <c r="W2630" s="85">
        <f>STATS1003B!W2638/1000</f>
        <v>0</v>
      </c>
      <c r="X2630" s="85">
        <f t="shared" si="288"/>
        <v>6095.4539999999997</v>
      </c>
      <c r="Y2630" s="85">
        <f>STATS1003B!Y2638/1000</f>
        <v>0</v>
      </c>
      <c r="Z2630" s="85">
        <f>STATS1003B!Z2638/1000</f>
        <v>0</v>
      </c>
      <c r="AA2630" s="69">
        <f>STATS1003B!AA2638/1000</f>
        <v>6095.4539999999997</v>
      </c>
      <c r="AB2630" s="69">
        <f>STATS1003B!AB2638/1000</f>
        <v>0</v>
      </c>
    </row>
    <row r="2631" spans="1:28" hidden="1" x14ac:dyDescent="0.3">
      <c r="A2631" s="117"/>
      <c r="C2631" s="68" t="s">
        <v>1162</v>
      </c>
      <c r="D2631" s="90" t="s">
        <v>1126</v>
      </c>
      <c r="E2631" s="85">
        <f>STATS1003B!E2639/1000</f>
        <v>1100</v>
      </c>
      <c r="F2631" s="85">
        <f>STATS1003B!F2639/1000</f>
        <v>1100</v>
      </c>
      <c r="G2631" s="85">
        <f>STATS1003B!G2639/1000</f>
        <v>0</v>
      </c>
      <c r="H2631" s="85">
        <f>STATS1003B!H2639/1000</f>
        <v>1100</v>
      </c>
      <c r="I2631" s="85">
        <f>STATS1003B!I2639/1000</f>
        <v>0</v>
      </c>
      <c r="J2631" s="85">
        <f>STATS1003B!J2639/1000</f>
        <v>0</v>
      </c>
      <c r="K2631" s="85">
        <f>STATS1003B!K2639/1000</f>
        <v>0</v>
      </c>
      <c r="L2631" s="85">
        <f>STATS1003B!L2639/1000</f>
        <v>0</v>
      </c>
      <c r="M2631" s="85">
        <f>STATS1003B!M2639/1000</f>
        <v>1100</v>
      </c>
      <c r="N2631" s="85">
        <f>STATS1003B!N2639/1000</f>
        <v>0</v>
      </c>
      <c r="O2631" s="85">
        <f>STATS1003B!O2639/1000</f>
        <v>0</v>
      </c>
      <c r="P2631" s="85">
        <f>STATS1003B!P2639/1000</f>
        <v>0</v>
      </c>
      <c r="Q2631" s="85">
        <f>STATS1003B!Q2639/1000</f>
        <v>0</v>
      </c>
      <c r="R2631" s="85">
        <f>STATS1003B!R2639/1000</f>
        <v>0</v>
      </c>
      <c r="S2631" s="85">
        <f>STATS1003B!S2639/1000</f>
        <v>0</v>
      </c>
      <c r="T2631" s="85">
        <f>STATS1003B!T2639/1000</f>
        <v>0</v>
      </c>
      <c r="U2631" s="85">
        <f>STATS1003B!U2639/1000</f>
        <v>0</v>
      </c>
      <c r="V2631" s="85">
        <f>STATS1003B!V2639/1000</f>
        <v>0</v>
      </c>
      <c r="W2631" s="85">
        <f>STATS1003B!W2639/1000</f>
        <v>0</v>
      </c>
      <c r="X2631" s="85">
        <f t="shared" si="288"/>
        <v>1100</v>
      </c>
      <c r="Y2631" s="85">
        <f>STATS1003B!Y2639/1000</f>
        <v>0</v>
      </c>
      <c r="Z2631" s="85">
        <f>STATS1003B!Z2639/1000</f>
        <v>0</v>
      </c>
      <c r="AA2631" s="69">
        <f>STATS1003B!AA2639/1000</f>
        <v>1100</v>
      </c>
      <c r="AB2631" s="69">
        <f>STATS1003B!AB2639/1000</f>
        <v>0</v>
      </c>
    </row>
    <row r="2632" spans="1:28" hidden="1" x14ac:dyDescent="0.3">
      <c r="A2632" s="117"/>
      <c r="C2632" s="68" t="s">
        <v>459</v>
      </c>
      <c r="D2632" s="68" t="s">
        <v>71</v>
      </c>
      <c r="E2632" s="85">
        <f>STATS1003B!E2640/1000</f>
        <v>3045</v>
      </c>
      <c r="F2632" s="85">
        <f>STATS1003B!F2640/1000</f>
        <v>3045</v>
      </c>
      <c r="G2632" s="85">
        <f>STATS1003B!G2640/1000</f>
        <v>0</v>
      </c>
      <c r="H2632" s="85">
        <f>STATS1003B!H2640/1000</f>
        <v>3045</v>
      </c>
      <c r="I2632" s="85">
        <f>STATS1003B!I2640/1000</f>
        <v>0</v>
      </c>
      <c r="J2632" s="85">
        <f>STATS1003B!J2640/1000</f>
        <v>0</v>
      </c>
      <c r="K2632" s="85">
        <f>STATS1003B!K2640/1000</f>
        <v>0</v>
      </c>
      <c r="L2632" s="85">
        <f>STATS1003B!L2640/1000</f>
        <v>0</v>
      </c>
      <c r="M2632" s="85">
        <f>STATS1003B!M2640/1000</f>
        <v>3045</v>
      </c>
      <c r="N2632" s="85">
        <f>STATS1003B!N2640/1000</f>
        <v>0</v>
      </c>
      <c r="O2632" s="85">
        <f>STATS1003B!O2640/1000</f>
        <v>0</v>
      </c>
      <c r="P2632" s="85">
        <f>STATS1003B!P2640/1000</f>
        <v>0</v>
      </c>
      <c r="Q2632" s="85">
        <f>STATS1003B!Q2640/1000</f>
        <v>0</v>
      </c>
      <c r="R2632" s="85">
        <f>STATS1003B!R2640/1000</f>
        <v>0</v>
      </c>
      <c r="S2632" s="85">
        <f>STATS1003B!S2640/1000</f>
        <v>0</v>
      </c>
      <c r="T2632" s="85">
        <f>STATS1003B!T2640/1000</f>
        <v>0</v>
      </c>
      <c r="U2632" s="85">
        <f>STATS1003B!U2640/1000</f>
        <v>0</v>
      </c>
      <c r="V2632" s="85">
        <f>STATS1003B!V2640/1000</f>
        <v>3045</v>
      </c>
      <c r="W2632" s="85">
        <f>STATS1003B!W2640/1000</f>
        <v>0</v>
      </c>
      <c r="X2632" s="85">
        <f t="shared" si="288"/>
        <v>3045</v>
      </c>
      <c r="Y2632" s="85">
        <f>STATS1003B!Y2640/1000</f>
        <v>0</v>
      </c>
      <c r="Z2632" s="85">
        <f>STATS1003B!Z2640/1000</f>
        <v>0</v>
      </c>
      <c r="AA2632" s="69">
        <f>STATS1003B!AA2640/1000</f>
        <v>3045</v>
      </c>
      <c r="AB2632" s="69">
        <f>STATS1003B!AB2640/1000</f>
        <v>0</v>
      </c>
    </row>
    <row r="2633" spans="1:28" hidden="1" x14ac:dyDescent="0.3">
      <c r="A2633" s="117"/>
      <c r="C2633" s="71" t="s">
        <v>95</v>
      </c>
      <c r="D2633" s="88" t="s">
        <v>60</v>
      </c>
      <c r="E2633" s="85">
        <f>STATS1003B!E2641/1000</f>
        <v>1268.377</v>
      </c>
      <c r="F2633" s="85">
        <f>STATS1003B!F2641/1000</f>
        <v>1268.377</v>
      </c>
      <c r="G2633" s="85">
        <f>STATS1003B!G2641/1000</f>
        <v>0</v>
      </c>
      <c r="H2633" s="85">
        <f>STATS1003B!H2641/1000</f>
        <v>1268.377</v>
      </c>
      <c r="I2633" s="85">
        <f>STATS1003B!I2641/1000</f>
        <v>0</v>
      </c>
      <c r="J2633" s="85">
        <f>STATS1003B!J2641/1000</f>
        <v>0</v>
      </c>
      <c r="K2633" s="85">
        <f>STATS1003B!K2641/1000</f>
        <v>0</v>
      </c>
      <c r="L2633" s="85">
        <f>STATS1003B!L2641/1000</f>
        <v>0</v>
      </c>
      <c r="M2633" s="85">
        <f>STATS1003B!M2641/1000</f>
        <v>1268.377</v>
      </c>
      <c r="N2633" s="85">
        <f>STATS1003B!N2641/1000</f>
        <v>0</v>
      </c>
      <c r="O2633" s="85">
        <f>STATS1003B!O2641/1000</f>
        <v>0</v>
      </c>
      <c r="P2633" s="85">
        <f>STATS1003B!P2641/1000</f>
        <v>0</v>
      </c>
      <c r="Q2633" s="85">
        <f>STATS1003B!Q2641/1000</f>
        <v>0</v>
      </c>
      <c r="R2633" s="85">
        <f>STATS1003B!R2641/1000</f>
        <v>0</v>
      </c>
      <c r="S2633" s="85">
        <f>STATS1003B!S2641/1000</f>
        <v>0</v>
      </c>
      <c r="T2633" s="85">
        <f>STATS1003B!T2641/1000</f>
        <v>0</v>
      </c>
      <c r="U2633" s="85">
        <f>STATS1003B!U2641/1000</f>
        <v>0</v>
      </c>
      <c r="V2633" s="85">
        <f>STATS1003B!V2641/1000</f>
        <v>1268.377</v>
      </c>
      <c r="W2633" s="85">
        <f>STATS1003B!W2641/1000</f>
        <v>0</v>
      </c>
      <c r="X2633" s="85">
        <f t="shared" si="288"/>
        <v>1268.377</v>
      </c>
      <c r="Y2633" s="85">
        <f>STATS1003B!Y2641/1000</f>
        <v>0</v>
      </c>
      <c r="Z2633" s="85">
        <f>STATS1003B!Z2641/1000</f>
        <v>0</v>
      </c>
      <c r="AA2633" s="69">
        <f>STATS1003B!AA2641/1000</f>
        <v>1268.377</v>
      </c>
      <c r="AB2633" s="69">
        <f>STATS1003B!AB2641/1000</f>
        <v>0</v>
      </c>
    </row>
    <row r="2634" spans="1:28" hidden="1" x14ac:dyDescent="0.3">
      <c r="A2634" s="117"/>
      <c r="E2634" s="86" t="s">
        <v>29</v>
      </c>
      <c r="F2634" s="86" t="s">
        <v>29</v>
      </c>
      <c r="G2634" s="86" t="s">
        <v>29</v>
      </c>
      <c r="H2634" s="86" t="s">
        <v>29</v>
      </c>
      <c r="I2634" s="86" t="s">
        <v>29</v>
      </c>
      <c r="J2634" s="86" t="s">
        <v>29</v>
      </c>
      <c r="K2634" s="86" t="s">
        <v>29</v>
      </c>
      <c r="L2634" s="86" t="s">
        <v>29</v>
      </c>
      <c r="M2634" s="86" t="s">
        <v>29</v>
      </c>
      <c r="N2634" s="86" t="s">
        <v>29</v>
      </c>
      <c r="O2634" s="86" t="s">
        <v>29</v>
      </c>
      <c r="P2634" s="86" t="s">
        <v>29</v>
      </c>
      <c r="Q2634" s="86" t="s">
        <v>29</v>
      </c>
      <c r="R2634" s="86" t="s">
        <v>29</v>
      </c>
      <c r="S2634" s="86" t="s">
        <v>29</v>
      </c>
      <c r="T2634" s="86" t="s">
        <v>29</v>
      </c>
      <c r="U2634" s="86" t="s">
        <v>29</v>
      </c>
      <c r="V2634" s="86" t="s">
        <v>29</v>
      </c>
      <c r="W2634" s="86" t="s">
        <v>29</v>
      </c>
      <c r="X2634" s="85" t="e">
        <f t="shared" si="288"/>
        <v>#VALUE!</v>
      </c>
      <c r="Y2634" s="86" t="s">
        <v>29</v>
      </c>
      <c r="Z2634" s="86" t="s">
        <v>29</v>
      </c>
      <c r="AA2634" s="115" t="s">
        <v>29</v>
      </c>
      <c r="AB2634" s="115" t="s">
        <v>29</v>
      </c>
    </row>
    <row r="2635" spans="1:28" x14ac:dyDescent="0.3">
      <c r="A2635" s="116">
        <v>114</v>
      </c>
      <c r="B2635" s="68" t="s">
        <v>454</v>
      </c>
      <c r="E2635" s="85">
        <f>243751218.45/1000</f>
        <v>243751.21844999999</v>
      </c>
      <c r="F2635" s="85">
        <f t="shared" ref="F2635:AB2635" si="290">SUM(F2616:F2633)</f>
        <v>72337.898300000001</v>
      </c>
      <c r="G2635" s="85">
        <f t="shared" si="290"/>
        <v>0</v>
      </c>
      <c r="H2635" s="85">
        <f>240209269.5/1000</f>
        <v>240209.26949999999</v>
      </c>
      <c r="I2635" s="85">
        <f t="shared" si="290"/>
        <v>1052</v>
      </c>
      <c r="J2635" s="85">
        <f t="shared" si="290"/>
        <v>0</v>
      </c>
      <c r="K2635" s="85">
        <f t="shared" si="290"/>
        <v>0</v>
      </c>
      <c r="L2635" s="85">
        <f t="shared" si="290"/>
        <v>0</v>
      </c>
      <c r="M2635" s="85">
        <f t="shared" si="290"/>
        <v>72337.898300000001</v>
      </c>
      <c r="N2635" s="85">
        <f t="shared" si="290"/>
        <v>3461.94895</v>
      </c>
      <c r="O2635" s="85">
        <f t="shared" si="290"/>
        <v>0</v>
      </c>
      <c r="P2635" s="85">
        <f>3461948/1000</f>
        <v>3461.9479999999999</v>
      </c>
      <c r="Q2635" s="85">
        <f t="shared" si="290"/>
        <v>0</v>
      </c>
      <c r="R2635" s="85">
        <f t="shared" si="290"/>
        <v>0</v>
      </c>
      <c r="S2635" s="85">
        <f t="shared" si="290"/>
        <v>0</v>
      </c>
      <c r="T2635" s="85">
        <f t="shared" si="290"/>
        <v>0</v>
      </c>
      <c r="U2635" s="85">
        <f t="shared" si="290"/>
        <v>3461.94895</v>
      </c>
      <c r="V2635" s="85">
        <f t="shared" si="290"/>
        <v>74399.847250000006</v>
      </c>
      <c r="W2635" s="85">
        <f t="shared" si="290"/>
        <v>80</v>
      </c>
      <c r="X2635" s="85">
        <f t="shared" si="288"/>
        <v>243671.2175</v>
      </c>
      <c r="Y2635" s="85">
        <f t="shared" si="290"/>
        <v>0</v>
      </c>
      <c r="Z2635" s="85">
        <f>+E2635-X2635</f>
        <v>80.000949999986915</v>
      </c>
      <c r="AA2635" s="69">
        <f t="shared" si="290"/>
        <v>75799.847250000006</v>
      </c>
      <c r="AB2635" s="69">
        <f t="shared" si="290"/>
        <v>80</v>
      </c>
    </row>
    <row r="2636" spans="1:28" hidden="1" x14ac:dyDescent="0.3">
      <c r="A2636" s="117"/>
      <c r="E2636" s="86" t="s">
        <v>29</v>
      </c>
      <c r="F2636" s="86" t="s">
        <v>29</v>
      </c>
      <c r="G2636" s="86" t="s">
        <v>29</v>
      </c>
      <c r="H2636" s="86" t="s">
        <v>29</v>
      </c>
      <c r="I2636" s="86" t="s">
        <v>29</v>
      </c>
      <c r="J2636" s="86" t="s">
        <v>29</v>
      </c>
      <c r="K2636" s="86" t="s">
        <v>29</v>
      </c>
      <c r="L2636" s="86" t="s">
        <v>29</v>
      </c>
      <c r="M2636" s="86" t="s">
        <v>29</v>
      </c>
      <c r="N2636" s="86" t="s">
        <v>29</v>
      </c>
      <c r="O2636" s="86" t="s">
        <v>29</v>
      </c>
      <c r="P2636" s="86" t="s">
        <v>29</v>
      </c>
      <c r="Q2636" s="86" t="s">
        <v>29</v>
      </c>
      <c r="R2636" s="86" t="s">
        <v>29</v>
      </c>
      <c r="S2636" s="86" t="s">
        <v>29</v>
      </c>
      <c r="T2636" s="86" t="s">
        <v>29</v>
      </c>
      <c r="U2636" s="86" t="s">
        <v>29</v>
      </c>
      <c r="V2636" s="86" t="s">
        <v>29</v>
      </c>
      <c r="W2636" s="86" t="s">
        <v>29</v>
      </c>
      <c r="X2636" s="85" t="e">
        <f t="shared" si="288"/>
        <v>#VALUE!</v>
      </c>
      <c r="Y2636" s="86" t="s">
        <v>29</v>
      </c>
      <c r="Z2636" s="86" t="s">
        <v>29</v>
      </c>
      <c r="AA2636" s="115" t="s">
        <v>29</v>
      </c>
      <c r="AB2636" s="115" t="s">
        <v>29</v>
      </c>
    </row>
    <row r="2637" spans="1:28" hidden="1" x14ac:dyDescent="0.3">
      <c r="A2637" s="105"/>
      <c r="E2637" s="84"/>
      <c r="F2637" s="84"/>
      <c r="G2637" s="84"/>
      <c r="H2637" s="84"/>
      <c r="I2637" s="84"/>
      <c r="J2637" s="84"/>
      <c r="K2637" s="84"/>
      <c r="L2637" s="84"/>
      <c r="M2637" s="84"/>
      <c r="N2637" s="84"/>
      <c r="O2637" s="84"/>
      <c r="P2637" s="84"/>
      <c r="Q2637" s="84"/>
      <c r="R2637" s="84"/>
      <c r="S2637" s="84"/>
      <c r="T2637" s="84"/>
      <c r="U2637" s="84"/>
      <c r="V2637" s="84"/>
      <c r="W2637" s="84"/>
      <c r="X2637" s="85">
        <f t="shared" si="288"/>
        <v>0</v>
      </c>
      <c r="Y2637" s="84"/>
      <c r="Z2637" s="84"/>
    </row>
    <row r="2638" spans="1:28" hidden="1" x14ac:dyDescent="0.3">
      <c r="A2638" s="117"/>
      <c r="D2638" s="87" t="s">
        <v>304</v>
      </c>
      <c r="E2638" s="84"/>
      <c r="F2638" s="84"/>
      <c r="G2638" s="84"/>
      <c r="H2638" s="84"/>
      <c r="I2638" s="84"/>
      <c r="J2638" s="84"/>
      <c r="K2638" s="84"/>
      <c r="L2638" s="84"/>
      <c r="M2638" s="84"/>
      <c r="N2638" s="84"/>
      <c r="O2638" s="84"/>
      <c r="P2638" s="84"/>
      <c r="Q2638" s="84"/>
      <c r="R2638" s="84"/>
      <c r="S2638" s="84"/>
      <c r="T2638" s="84"/>
      <c r="U2638" s="84"/>
      <c r="V2638" s="84"/>
      <c r="W2638" s="84"/>
      <c r="X2638" s="85">
        <f t="shared" si="288"/>
        <v>0</v>
      </c>
      <c r="Y2638" s="84"/>
      <c r="Z2638" s="84"/>
    </row>
    <row r="2639" spans="1:28" hidden="1" x14ac:dyDescent="0.3">
      <c r="A2639" s="117"/>
      <c r="C2639" s="68" t="s">
        <v>51</v>
      </c>
      <c r="D2639" s="71" t="s">
        <v>131</v>
      </c>
      <c r="E2639" s="85">
        <f>STATS1003B!E2647/1000</f>
        <v>12179.95378</v>
      </c>
      <c r="F2639" s="85">
        <f>STATS1003B!F2647/1000</f>
        <v>11713.126420000001</v>
      </c>
      <c r="G2639" s="85">
        <f>STATS1003B!G2647/1000</f>
        <v>0</v>
      </c>
      <c r="H2639" s="85">
        <f>STATS1003B!H2647/1000</f>
        <v>11713.126420000001</v>
      </c>
      <c r="I2639" s="85">
        <f>STATS1003B!I2647/1000</f>
        <v>0</v>
      </c>
      <c r="J2639" s="85">
        <f>STATS1003B!J2647/1000</f>
        <v>0</v>
      </c>
      <c r="K2639" s="85">
        <f>STATS1003B!K2647/1000</f>
        <v>0</v>
      </c>
      <c r="L2639" s="85">
        <f>STATS1003B!L2647/1000</f>
        <v>0</v>
      </c>
      <c r="M2639" s="85">
        <f>STATS1003B!M2647/1000</f>
        <v>11713.126420000001</v>
      </c>
      <c r="N2639" s="85">
        <f>STATS1003B!N2647/1000</f>
        <v>466.82736</v>
      </c>
      <c r="O2639" s="85">
        <f>STATS1003B!O2647/1000</f>
        <v>0</v>
      </c>
      <c r="P2639" s="85">
        <f>STATS1003B!P2647/1000</f>
        <v>466.82736</v>
      </c>
      <c r="Q2639" s="85">
        <f>STATS1003B!Q2647/1000</f>
        <v>0</v>
      </c>
      <c r="R2639" s="85">
        <f>STATS1003B!R2647/1000</f>
        <v>0</v>
      </c>
      <c r="S2639" s="85">
        <f>STATS1003B!S2647/1000</f>
        <v>0</v>
      </c>
      <c r="T2639" s="85">
        <f>STATS1003B!T2647/1000</f>
        <v>0</v>
      </c>
      <c r="U2639" s="85">
        <f>STATS1003B!U2647/1000</f>
        <v>466.82736</v>
      </c>
      <c r="V2639" s="85">
        <f>STATS1003B!V2647/1000</f>
        <v>12179.95378</v>
      </c>
      <c r="W2639" s="85">
        <f>STATS1003B!W2647/1000</f>
        <v>0</v>
      </c>
      <c r="X2639" s="85">
        <f t="shared" si="288"/>
        <v>12179.95378</v>
      </c>
      <c r="Y2639" s="85">
        <f>STATS1003B!Y2647/1000</f>
        <v>0</v>
      </c>
      <c r="Z2639" s="85">
        <f>STATS1003B!Z2647/1000</f>
        <v>0</v>
      </c>
      <c r="AA2639" s="69">
        <f>STATS1003B!AA2647/1000</f>
        <v>12179.95378</v>
      </c>
      <c r="AB2639" s="69">
        <f>STATS1003B!AB2647/1000</f>
        <v>0</v>
      </c>
    </row>
    <row r="2640" spans="1:28" hidden="1" x14ac:dyDescent="0.3">
      <c r="A2640" s="117"/>
      <c r="C2640" s="68" t="s">
        <v>461</v>
      </c>
      <c r="D2640" s="87" t="s">
        <v>79</v>
      </c>
      <c r="E2640" s="85">
        <f>STATS1003B!E2648/1000</f>
        <v>10100</v>
      </c>
      <c r="F2640" s="85">
        <f>STATS1003B!F2648/1000</f>
        <v>10100</v>
      </c>
      <c r="G2640" s="85">
        <f>STATS1003B!G2648/1000</f>
        <v>0</v>
      </c>
      <c r="H2640" s="85">
        <f>STATS1003B!H2648/1000</f>
        <v>10100</v>
      </c>
      <c r="I2640" s="85">
        <f>STATS1003B!I2648/1000</f>
        <v>0</v>
      </c>
      <c r="J2640" s="85">
        <f>STATS1003B!J2648/1000</f>
        <v>0</v>
      </c>
      <c r="K2640" s="85">
        <f>STATS1003B!K2648/1000</f>
        <v>0</v>
      </c>
      <c r="L2640" s="85">
        <f>STATS1003B!L2648/1000</f>
        <v>0</v>
      </c>
      <c r="M2640" s="85">
        <f>STATS1003B!M2648/1000</f>
        <v>10100</v>
      </c>
      <c r="N2640" s="85">
        <f>STATS1003B!N2648/1000</f>
        <v>0</v>
      </c>
      <c r="O2640" s="85">
        <f>STATS1003B!O2648/1000</f>
        <v>0</v>
      </c>
      <c r="P2640" s="85">
        <f>STATS1003B!P2648/1000</f>
        <v>0</v>
      </c>
      <c r="Q2640" s="85">
        <f>STATS1003B!Q2648/1000</f>
        <v>0</v>
      </c>
      <c r="R2640" s="85">
        <f>STATS1003B!R2648/1000</f>
        <v>0</v>
      </c>
      <c r="S2640" s="85">
        <f>STATS1003B!S2648/1000</f>
        <v>0</v>
      </c>
      <c r="T2640" s="85">
        <f>STATS1003B!T2648/1000</f>
        <v>0</v>
      </c>
      <c r="U2640" s="85">
        <f>STATS1003B!U2648/1000</f>
        <v>0</v>
      </c>
      <c r="V2640" s="85">
        <f>STATS1003B!V2648/1000</f>
        <v>10100</v>
      </c>
      <c r="W2640" s="85">
        <f>STATS1003B!W2648/1000</f>
        <v>0</v>
      </c>
      <c r="X2640" s="85">
        <f t="shared" si="288"/>
        <v>10100</v>
      </c>
      <c r="Y2640" s="85">
        <f>STATS1003B!Y2648/1000</f>
        <v>0</v>
      </c>
      <c r="Z2640" s="85">
        <f>STATS1003B!Z2648/1000</f>
        <v>0</v>
      </c>
      <c r="AA2640" s="69">
        <f>STATS1003B!AA2648/1000</f>
        <v>10100</v>
      </c>
      <c r="AB2640" s="69">
        <f>STATS1003B!AB2648/1000</f>
        <v>0</v>
      </c>
    </row>
    <row r="2641" spans="1:28" hidden="1" x14ac:dyDescent="0.3">
      <c r="A2641" s="117"/>
      <c r="C2641" s="68" t="s">
        <v>462</v>
      </c>
      <c r="D2641" s="87" t="s">
        <v>234</v>
      </c>
      <c r="E2641" s="85">
        <f>STATS1003B!E2649/1000</f>
        <v>7150</v>
      </c>
      <c r="F2641" s="85">
        <f>STATS1003B!F2649/1000</f>
        <v>7150</v>
      </c>
      <c r="G2641" s="85">
        <f>STATS1003B!G2649/1000</f>
        <v>0</v>
      </c>
      <c r="H2641" s="85">
        <f>STATS1003B!H2649/1000</f>
        <v>7150</v>
      </c>
      <c r="I2641" s="85">
        <f>STATS1003B!I2649/1000</f>
        <v>0</v>
      </c>
      <c r="J2641" s="85">
        <f>STATS1003B!J2649/1000</f>
        <v>0</v>
      </c>
      <c r="K2641" s="85">
        <f>STATS1003B!K2649/1000</f>
        <v>0</v>
      </c>
      <c r="L2641" s="85">
        <f>STATS1003B!L2649/1000</f>
        <v>0</v>
      </c>
      <c r="M2641" s="85">
        <f>STATS1003B!M2649/1000</f>
        <v>7150</v>
      </c>
      <c r="N2641" s="85">
        <f>STATS1003B!N2649/1000</f>
        <v>0</v>
      </c>
      <c r="O2641" s="85">
        <f>STATS1003B!O2649/1000</f>
        <v>0</v>
      </c>
      <c r="P2641" s="85">
        <f>STATS1003B!P2649/1000</f>
        <v>0</v>
      </c>
      <c r="Q2641" s="85">
        <f>STATS1003B!Q2649/1000</f>
        <v>0</v>
      </c>
      <c r="R2641" s="85">
        <f>STATS1003B!R2649/1000</f>
        <v>0</v>
      </c>
      <c r="S2641" s="85">
        <f>STATS1003B!S2649/1000</f>
        <v>0</v>
      </c>
      <c r="T2641" s="85">
        <f>STATS1003B!T2649/1000</f>
        <v>0</v>
      </c>
      <c r="U2641" s="85">
        <f>STATS1003B!U2649/1000</f>
        <v>0</v>
      </c>
      <c r="V2641" s="85">
        <f>STATS1003B!V2649/1000</f>
        <v>7150</v>
      </c>
      <c r="W2641" s="85">
        <f>STATS1003B!W2649/1000</f>
        <v>0</v>
      </c>
      <c r="X2641" s="85">
        <f t="shared" si="288"/>
        <v>7150</v>
      </c>
      <c r="Y2641" s="85">
        <f>STATS1003B!Y2649/1000</f>
        <v>0</v>
      </c>
      <c r="Z2641" s="85">
        <f>STATS1003B!Z2649/1000</f>
        <v>0</v>
      </c>
      <c r="AA2641" s="69">
        <f>STATS1003B!AA2649/1000</f>
        <v>7150</v>
      </c>
      <c r="AB2641" s="69">
        <f>STATS1003B!AB2649/1000</f>
        <v>0</v>
      </c>
    </row>
    <row r="2642" spans="1:28" hidden="1" x14ac:dyDescent="0.3">
      <c r="A2642" s="117"/>
      <c r="C2642" s="68" t="s">
        <v>55</v>
      </c>
      <c r="D2642" s="87" t="s">
        <v>54</v>
      </c>
      <c r="E2642" s="85">
        <f>STATS1003B!E2650/1000</f>
        <v>85.909399999999991</v>
      </c>
      <c r="F2642" s="85">
        <f>STATS1003B!F2650/1000</f>
        <v>0</v>
      </c>
      <c r="G2642" s="85">
        <f>STATS1003B!G2650/1000</f>
        <v>0</v>
      </c>
      <c r="H2642" s="85">
        <f>STATS1003B!H2650/1000</f>
        <v>0</v>
      </c>
      <c r="I2642" s="85">
        <f>STATS1003B!I2650/1000</f>
        <v>0</v>
      </c>
      <c r="J2642" s="85">
        <f>STATS1003B!J2650/1000</f>
        <v>0</v>
      </c>
      <c r="K2642" s="85">
        <f>STATS1003B!K2650/1000</f>
        <v>0</v>
      </c>
      <c r="L2642" s="85">
        <f>STATS1003B!L2650/1000</f>
        <v>0</v>
      </c>
      <c r="M2642" s="85">
        <f>STATS1003B!M2650/1000</f>
        <v>0</v>
      </c>
      <c r="N2642" s="85">
        <f>STATS1003B!N2650/1000</f>
        <v>85.909399999999991</v>
      </c>
      <c r="O2642" s="85">
        <f>STATS1003B!O2650/1000</f>
        <v>0</v>
      </c>
      <c r="P2642" s="85">
        <f>STATS1003B!P2650/1000</f>
        <v>85.909399999999991</v>
      </c>
      <c r="Q2642" s="85">
        <f>STATS1003B!Q2650/1000</f>
        <v>0</v>
      </c>
      <c r="R2642" s="85">
        <f>STATS1003B!R2650/1000</f>
        <v>0</v>
      </c>
      <c r="S2642" s="85">
        <f>STATS1003B!S2650/1000</f>
        <v>0</v>
      </c>
      <c r="T2642" s="85">
        <f>STATS1003B!T2650/1000</f>
        <v>0</v>
      </c>
      <c r="U2642" s="85">
        <f>STATS1003B!U2650/1000</f>
        <v>85.909399999999991</v>
      </c>
      <c r="V2642" s="85">
        <f>STATS1003B!V2650/1000</f>
        <v>85.909399999999991</v>
      </c>
      <c r="W2642" s="85">
        <f>STATS1003B!W2650/1000</f>
        <v>0</v>
      </c>
      <c r="X2642" s="85">
        <f t="shared" si="288"/>
        <v>85.909399999999991</v>
      </c>
      <c r="Y2642" s="85">
        <f>STATS1003B!Y2650/1000</f>
        <v>0</v>
      </c>
      <c r="Z2642" s="85">
        <f>STATS1003B!Z2650/1000</f>
        <v>0</v>
      </c>
      <c r="AA2642" s="69">
        <f>STATS1003B!AA2650/1000</f>
        <v>85.909399999999991</v>
      </c>
      <c r="AB2642" s="69">
        <f>STATS1003B!AB2650/1000</f>
        <v>0</v>
      </c>
    </row>
    <row r="2643" spans="1:28" hidden="1" x14ac:dyDescent="0.3">
      <c r="A2643" s="117"/>
      <c r="C2643" s="68" t="s">
        <v>53</v>
      </c>
      <c r="D2643" s="87" t="s">
        <v>54</v>
      </c>
      <c r="E2643" s="85">
        <f>STATS1003B!E2651/1000</f>
        <v>1767.77</v>
      </c>
      <c r="F2643" s="85">
        <f>STATS1003B!F2651/1000</f>
        <v>0</v>
      </c>
      <c r="G2643" s="85">
        <f>STATS1003B!G2651/1000</f>
        <v>0</v>
      </c>
      <c r="H2643" s="85">
        <f>STATS1003B!H2651/1000</f>
        <v>0</v>
      </c>
      <c r="I2643" s="85">
        <f>STATS1003B!I2651/1000</f>
        <v>0</v>
      </c>
      <c r="J2643" s="85">
        <f>STATS1003B!J2651/1000</f>
        <v>0</v>
      </c>
      <c r="K2643" s="85">
        <f>STATS1003B!K2651/1000</f>
        <v>0</v>
      </c>
      <c r="L2643" s="85">
        <f>STATS1003B!L2651/1000</f>
        <v>0</v>
      </c>
      <c r="M2643" s="85">
        <f>STATS1003B!M2651/1000</f>
        <v>0</v>
      </c>
      <c r="N2643" s="85">
        <f>STATS1003B!N2651/1000</f>
        <v>1767.77</v>
      </c>
      <c r="O2643" s="85">
        <f>STATS1003B!O2651/1000</f>
        <v>0</v>
      </c>
      <c r="P2643" s="85">
        <f>STATS1003B!P2651/1000</f>
        <v>1767.77</v>
      </c>
      <c r="Q2643" s="85">
        <f>STATS1003B!Q2651/1000</f>
        <v>0</v>
      </c>
      <c r="R2643" s="85">
        <f>STATS1003B!R2651/1000</f>
        <v>0</v>
      </c>
      <c r="S2643" s="85">
        <f>STATS1003B!S2651/1000</f>
        <v>0</v>
      </c>
      <c r="T2643" s="85">
        <f>STATS1003B!T2651/1000</f>
        <v>0</v>
      </c>
      <c r="U2643" s="85">
        <f>STATS1003B!U2651/1000</f>
        <v>1767.77</v>
      </c>
      <c r="V2643" s="85">
        <f>STATS1003B!V2651/1000</f>
        <v>1767.77</v>
      </c>
      <c r="W2643" s="85">
        <f>STATS1003B!W2651/1000</f>
        <v>0</v>
      </c>
      <c r="X2643" s="85">
        <f t="shared" si="288"/>
        <v>1767.77</v>
      </c>
      <c r="Y2643" s="85">
        <f>STATS1003B!Y2651/1000</f>
        <v>0</v>
      </c>
      <c r="Z2643" s="85">
        <f>STATS1003B!Z2651/1000</f>
        <v>0</v>
      </c>
      <c r="AA2643" s="69">
        <f>STATS1003B!AA2651/1000</f>
        <v>1767.77</v>
      </c>
      <c r="AB2643" s="69">
        <f>STATS1003B!AB2651/1000</f>
        <v>0</v>
      </c>
    </row>
    <row r="2644" spans="1:28" hidden="1" x14ac:dyDescent="0.3">
      <c r="A2644" s="117"/>
      <c r="C2644" s="68" t="s">
        <v>248</v>
      </c>
      <c r="D2644" s="87" t="s">
        <v>85</v>
      </c>
      <c r="E2644" s="85">
        <f>STATS1003B!E2652/1000</f>
        <v>160</v>
      </c>
      <c r="F2644" s="85">
        <f>STATS1003B!F2652/1000</f>
        <v>160</v>
      </c>
      <c r="G2644" s="85">
        <f>STATS1003B!G2652/1000</f>
        <v>0</v>
      </c>
      <c r="H2644" s="85">
        <f>STATS1003B!H2652/1000</f>
        <v>160</v>
      </c>
      <c r="I2644" s="85">
        <f>STATS1003B!I2652/1000</f>
        <v>0</v>
      </c>
      <c r="J2644" s="85">
        <f>STATS1003B!J2652/1000</f>
        <v>0</v>
      </c>
      <c r="K2644" s="85">
        <f>STATS1003B!K2652/1000</f>
        <v>0</v>
      </c>
      <c r="L2644" s="85">
        <f>STATS1003B!L2652/1000</f>
        <v>0</v>
      </c>
      <c r="M2644" s="85">
        <f>STATS1003B!M2652/1000</f>
        <v>160</v>
      </c>
      <c r="N2644" s="85">
        <f>STATS1003B!N2652/1000</f>
        <v>0</v>
      </c>
      <c r="O2644" s="85">
        <f>STATS1003B!O2652/1000</f>
        <v>0</v>
      </c>
      <c r="P2644" s="85">
        <f>STATS1003B!P2652/1000</f>
        <v>0</v>
      </c>
      <c r="Q2644" s="85">
        <f>STATS1003B!Q2652/1000</f>
        <v>0</v>
      </c>
      <c r="R2644" s="85">
        <f>STATS1003B!R2652/1000</f>
        <v>0</v>
      </c>
      <c r="S2644" s="85">
        <f>STATS1003B!S2652/1000</f>
        <v>0</v>
      </c>
      <c r="T2644" s="85">
        <f>STATS1003B!T2652/1000</f>
        <v>0</v>
      </c>
      <c r="U2644" s="85">
        <f>STATS1003B!U2652/1000</f>
        <v>0</v>
      </c>
      <c r="V2644" s="85">
        <f>STATS1003B!V2652/1000</f>
        <v>160</v>
      </c>
      <c r="W2644" s="85">
        <f>STATS1003B!W2652/1000</f>
        <v>0</v>
      </c>
      <c r="X2644" s="85">
        <f t="shared" si="288"/>
        <v>160</v>
      </c>
      <c r="Y2644" s="85">
        <f>STATS1003B!Y2652/1000</f>
        <v>0</v>
      </c>
      <c r="Z2644" s="85">
        <f>STATS1003B!Z2652/1000</f>
        <v>0</v>
      </c>
      <c r="AA2644" s="69">
        <f>STATS1003B!AA2652/1000</f>
        <v>160</v>
      </c>
      <c r="AB2644" s="69">
        <f>STATS1003B!AB2652/1000</f>
        <v>0</v>
      </c>
    </row>
    <row r="2645" spans="1:28" hidden="1" x14ac:dyDescent="0.3">
      <c r="A2645" s="117"/>
      <c r="C2645" s="68" t="s">
        <v>463</v>
      </c>
      <c r="D2645" s="87" t="s">
        <v>88</v>
      </c>
      <c r="E2645" s="85">
        <f>STATS1003B!E2653/1000</f>
        <v>750</v>
      </c>
      <c r="F2645" s="85">
        <f>STATS1003B!F2653/1000</f>
        <v>750</v>
      </c>
      <c r="G2645" s="85">
        <f>STATS1003B!G2653/1000</f>
        <v>0</v>
      </c>
      <c r="H2645" s="85">
        <f>STATS1003B!H2653/1000</f>
        <v>750</v>
      </c>
      <c r="I2645" s="85">
        <f>STATS1003B!I2653/1000</f>
        <v>0</v>
      </c>
      <c r="J2645" s="85">
        <f>STATS1003B!J2653/1000</f>
        <v>0</v>
      </c>
      <c r="K2645" s="85">
        <f>STATS1003B!K2653/1000</f>
        <v>0</v>
      </c>
      <c r="L2645" s="85">
        <f>STATS1003B!L2653/1000</f>
        <v>0</v>
      </c>
      <c r="M2645" s="85">
        <f>STATS1003B!M2653/1000</f>
        <v>750</v>
      </c>
      <c r="N2645" s="85">
        <f>STATS1003B!N2653/1000</f>
        <v>0</v>
      </c>
      <c r="O2645" s="85">
        <f>STATS1003B!O2653/1000</f>
        <v>0</v>
      </c>
      <c r="P2645" s="85">
        <f>STATS1003B!P2653/1000</f>
        <v>0</v>
      </c>
      <c r="Q2645" s="85">
        <f>STATS1003B!Q2653/1000</f>
        <v>0</v>
      </c>
      <c r="R2645" s="85">
        <f>STATS1003B!R2653/1000</f>
        <v>0</v>
      </c>
      <c r="S2645" s="85">
        <f>STATS1003B!S2653/1000</f>
        <v>0</v>
      </c>
      <c r="T2645" s="85">
        <f>STATS1003B!T2653/1000</f>
        <v>0</v>
      </c>
      <c r="U2645" s="85">
        <f>STATS1003B!U2653/1000</f>
        <v>0</v>
      </c>
      <c r="V2645" s="85">
        <f>STATS1003B!V2653/1000</f>
        <v>750</v>
      </c>
      <c r="W2645" s="85">
        <f>STATS1003B!W2653/1000</f>
        <v>0</v>
      </c>
      <c r="X2645" s="85">
        <f t="shared" si="288"/>
        <v>750</v>
      </c>
      <c r="Y2645" s="85">
        <f>STATS1003B!Y2653/1000</f>
        <v>0</v>
      </c>
      <c r="Z2645" s="85">
        <f>STATS1003B!Z2653/1000</f>
        <v>0</v>
      </c>
      <c r="AA2645" s="69">
        <f>STATS1003B!AA2653/1000</f>
        <v>750</v>
      </c>
      <c r="AB2645" s="69">
        <f>STATS1003B!AB2653/1000</f>
        <v>0</v>
      </c>
    </row>
    <row r="2646" spans="1:28" hidden="1" x14ac:dyDescent="0.3">
      <c r="A2646" s="117"/>
      <c r="C2646" s="68" t="s">
        <v>57</v>
      </c>
      <c r="D2646" s="87" t="s">
        <v>58</v>
      </c>
      <c r="E2646" s="85">
        <f>STATS1003B!E2654/1000</f>
        <v>4142.0209999999997</v>
      </c>
      <c r="F2646" s="85">
        <f>STATS1003B!F2654/1000</f>
        <v>4142.0209999999997</v>
      </c>
      <c r="G2646" s="85">
        <f>STATS1003B!G2654/1000</f>
        <v>0</v>
      </c>
      <c r="H2646" s="85">
        <f>STATS1003B!H2654/1000</f>
        <v>4142.0209999999997</v>
      </c>
      <c r="I2646" s="85">
        <f>STATS1003B!I2654/1000</f>
        <v>0</v>
      </c>
      <c r="J2646" s="85">
        <f>STATS1003B!J2654/1000</f>
        <v>0</v>
      </c>
      <c r="K2646" s="85">
        <f>STATS1003B!K2654/1000</f>
        <v>0</v>
      </c>
      <c r="L2646" s="85">
        <f>STATS1003B!L2654/1000</f>
        <v>0</v>
      </c>
      <c r="M2646" s="85">
        <f>STATS1003B!M2654/1000</f>
        <v>4142.0209999999997</v>
      </c>
      <c r="N2646" s="85">
        <f>STATS1003B!N2654/1000</f>
        <v>0</v>
      </c>
      <c r="O2646" s="85">
        <f>STATS1003B!O2654/1000</f>
        <v>0</v>
      </c>
      <c r="P2646" s="85">
        <f>STATS1003B!P2654/1000</f>
        <v>0</v>
      </c>
      <c r="Q2646" s="85">
        <f>STATS1003B!Q2654/1000</f>
        <v>0</v>
      </c>
      <c r="R2646" s="85">
        <f>STATS1003B!R2654/1000</f>
        <v>0</v>
      </c>
      <c r="S2646" s="85">
        <f>STATS1003B!S2654/1000</f>
        <v>0</v>
      </c>
      <c r="T2646" s="85">
        <f>STATS1003B!T2654/1000</f>
        <v>0</v>
      </c>
      <c r="U2646" s="85">
        <f>STATS1003B!U2654/1000</f>
        <v>0</v>
      </c>
      <c r="V2646" s="85">
        <f>STATS1003B!V2654/1000</f>
        <v>4142.0209999999997</v>
      </c>
      <c r="W2646" s="85">
        <f>STATS1003B!W2654/1000</f>
        <v>0</v>
      </c>
      <c r="X2646" s="85">
        <f t="shared" si="288"/>
        <v>4142.0209999999997</v>
      </c>
      <c r="Y2646" s="85">
        <f>STATS1003B!Y2654/1000</f>
        <v>0</v>
      </c>
      <c r="Z2646" s="85">
        <f>STATS1003B!Z2654/1000</f>
        <v>0</v>
      </c>
      <c r="AA2646" s="69">
        <f>STATS1003B!AA2654/1000</f>
        <v>4142.0209999999997</v>
      </c>
      <c r="AB2646" s="69">
        <f>STATS1003B!AB2654/1000</f>
        <v>0</v>
      </c>
    </row>
    <row r="2647" spans="1:28" hidden="1" x14ac:dyDescent="0.3">
      <c r="A2647" s="117"/>
      <c r="C2647" s="68" t="s">
        <v>57</v>
      </c>
      <c r="D2647" s="87" t="s">
        <v>60</v>
      </c>
      <c r="E2647" s="85">
        <f>STATS1003B!E2655/1000</f>
        <v>8092.3405000000002</v>
      </c>
      <c r="F2647" s="85">
        <f>STATS1003B!F2655/1000</f>
        <v>8092.3405000000002</v>
      </c>
      <c r="G2647" s="85">
        <f>STATS1003B!G2655/1000</f>
        <v>0</v>
      </c>
      <c r="H2647" s="85">
        <f>STATS1003B!H2655/1000</f>
        <v>8092.3405000000002</v>
      </c>
      <c r="I2647" s="85">
        <f>STATS1003B!I2655/1000</f>
        <v>0</v>
      </c>
      <c r="J2647" s="85">
        <f>STATS1003B!J2655/1000</f>
        <v>0</v>
      </c>
      <c r="K2647" s="85">
        <f>STATS1003B!K2655/1000</f>
        <v>0</v>
      </c>
      <c r="L2647" s="85">
        <f>STATS1003B!L2655/1000</f>
        <v>0</v>
      </c>
      <c r="M2647" s="85">
        <f>STATS1003B!M2655/1000</f>
        <v>8092.3405000000002</v>
      </c>
      <c r="N2647" s="85">
        <f>STATS1003B!N2655/1000</f>
        <v>0</v>
      </c>
      <c r="O2647" s="85">
        <f>STATS1003B!O2655/1000</f>
        <v>0</v>
      </c>
      <c r="P2647" s="85">
        <f>STATS1003B!P2655/1000</f>
        <v>0</v>
      </c>
      <c r="Q2647" s="85">
        <f>STATS1003B!Q2655/1000</f>
        <v>0</v>
      </c>
      <c r="R2647" s="85">
        <f>STATS1003B!R2655/1000</f>
        <v>0</v>
      </c>
      <c r="S2647" s="85">
        <f>STATS1003B!S2655/1000</f>
        <v>0</v>
      </c>
      <c r="T2647" s="85">
        <f>STATS1003B!T2655/1000</f>
        <v>0</v>
      </c>
      <c r="U2647" s="85">
        <f>STATS1003B!U2655/1000</f>
        <v>0</v>
      </c>
      <c r="V2647" s="85">
        <f>STATS1003B!V2655/1000</f>
        <v>8092.3405000000002</v>
      </c>
      <c r="W2647" s="85">
        <f>STATS1003B!W2655/1000</f>
        <v>0</v>
      </c>
      <c r="X2647" s="85">
        <f t="shared" si="288"/>
        <v>8092.3405000000002</v>
      </c>
      <c r="Y2647" s="85">
        <f>STATS1003B!Y2655/1000</f>
        <v>0</v>
      </c>
      <c r="Z2647" s="85">
        <f>STATS1003B!Z2655/1000</f>
        <v>0</v>
      </c>
      <c r="AA2647" s="69">
        <f>STATS1003B!AA2655/1000</f>
        <v>8092.3405000000002</v>
      </c>
      <c r="AB2647" s="69">
        <f>STATS1003B!AB2655/1000</f>
        <v>0</v>
      </c>
    </row>
    <row r="2648" spans="1:28" hidden="1" x14ac:dyDescent="0.3">
      <c r="A2648" s="117"/>
      <c r="C2648" s="71" t="s">
        <v>109</v>
      </c>
      <c r="D2648" s="88" t="s">
        <v>60</v>
      </c>
      <c r="E2648" s="85">
        <f>STATS1003B!E2656/1000</f>
        <v>10000</v>
      </c>
      <c r="F2648" s="85">
        <f>STATS1003B!F2656/1000</f>
        <v>10000</v>
      </c>
      <c r="G2648" s="85">
        <f>STATS1003B!G2656/1000</f>
        <v>0</v>
      </c>
      <c r="H2648" s="85">
        <f>STATS1003B!H2656/1000</f>
        <v>10000</v>
      </c>
      <c r="I2648" s="85">
        <f>STATS1003B!I2656/1000</f>
        <v>0</v>
      </c>
      <c r="J2648" s="85">
        <f>STATS1003B!J2656/1000</f>
        <v>0</v>
      </c>
      <c r="K2648" s="85">
        <f>STATS1003B!K2656/1000</f>
        <v>0</v>
      </c>
      <c r="L2648" s="85">
        <f>STATS1003B!L2656/1000</f>
        <v>0</v>
      </c>
      <c r="M2648" s="85">
        <f>STATS1003B!M2656/1000</f>
        <v>10000</v>
      </c>
      <c r="N2648" s="85">
        <f>STATS1003B!N2656/1000</f>
        <v>0</v>
      </c>
      <c r="O2648" s="85">
        <f>STATS1003B!O2656/1000</f>
        <v>0</v>
      </c>
      <c r="P2648" s="85">
        <f>STATS1003B!P2656/1000</f>
        <v>0</v>
      </c>
      <c r="Q2648" s="85">
        <f>STATS1003B!Q2656/1000</f>
        <v>0</v>
      </c>
      <c r="R2648" s="85">
        <f>STATS1003B!R2656/1000</f>
        <v>0</v>
      </c>
      <c r="S2648" s="85">
        <f>STATS1003B!S2656/1000</f>
        <v>0</v>
      </c>
      <c r="T2648" s="85">
        <f>STATS1003B!T2656/1000</f>
        <v>0</v>
      </c>
      <c r="U2648" s="85">
        <f>STATS1003B!U2656/1000</f>
        <v>0</v>
      </c>
      <c r="V2648" s="85">
        <f>STATS1003B!V2656/1000</f>
        <v>10000</v>
      </c>
      <c r="W2648" s="85">
        <f>STATS1003B!W2656/1000</f>
        <v>0</v>
      </c>
      <c r="X2648" s="85">
        <f t="shared" si="288"/>
        <v>10000</v>
      </c>
      <c r="Y2648" s="85">
        <f>STATS1003B!Y2656/1000</f>
        <v>0</v>
      </c>
      <c r="Z2648" s="85">
        <f>STATS1003B!Z2656/1000</f>
        <v>0</v>
      </c>
      <c r="AA2648" s="69">
        <f>STATS1003B!AA2656/1000</f>
        <v>10000</v>
      </c>
      <c r="AB2648" s="69">
        <f>STATS1003B!AB2656/1000</f>
        <v>0</v>
      </c>
    </row>
    <row r="2649" spans="1:28" hidden="1" x14ac:dyDescent="0.3">
      <c r="A2649" s="117"/>
      <c r="C2649" s="68" t="s">
        <v>458</v>
      </c>
      <c r="D2649" s="87" t="s">
        <v>73</v>
      </c>
      <c r="E2649" s="85">
        <f>STATS1003B!E2657/1000</f>
        <v>5243.7809999999999</v>
      </c>
      <c r="F2649" s="85">
        <f>STATS1003B!F2657/1000</f>
        <v>5243.7809999999999</v>
      </c>
      <c r="G2649" s="85">
        <f>STATS1003B!G2657/1000</f>
        <v>0</v>
      </c>
      <c r="H2649" s="85">
        <f>STATS1003B!H2657/1000</f>
        <v>5243.7809999999999</v>
      </c>
      <c r="I2649" s="85">
        <f>STATS1003B!I2657/1000</f>
        <v>0</v>
      </c>
      <c r="J2649" s="85">
        <f>STATS1003B!J2657/1000</f>
        <v>0</v>
      </c>
      <c r="K2649" s="85">
        <f>STATS1003B!K2657/1000</f>
        <v>0</v>
      </c>
      <c r="L2649" s="85">
        <f>STATS1003B!L2657/1000</f>
        <v>0</v>
      </c>
      <c r="M2649" s="85">
        <f>STATS1003B!M2657/1000</f>
        <v>5243.7809999999999</v>
      </c>
      <c r="N2649" s="85">
        <f>STATS1003B!N2657/1000</f>
        <v>0</v>
      </c>
      <c r="O2649" s="85">
        <f>STATS1003B!O2657/1000</f>
        <v>0</v>
      </c>
      <c r="P2649" s="85">
        <f>STATS1003B!P2657/1000</f>
        <v>0</v>
      </c>
      <c r="Q2649" s="85">
        <f>STATS1003B!Q2657/1000</f>
        <v>0</v>
      </c>
      <c r="R2649" s="85">
        <f>STATS1003B!R2657/1000</f>
        <v>0</v>
      </c>
      <c r="S2649" s="85">
        <f>STATS1003B!S2657/1000</f>
        <v>0</v>
      </c>
      <c r="T2649" s="85">
        <f>STATS1003B!T2657/1000</f>
        <v>0</v>
      </c>
      <c r="U2649" s="85">
        <f>STATS1003B!U2657/1000</f>
        <v>0</v>
      </c>
      <c r="V2649" s="85">
        <f>STATS1003B!V2657/1000</f>
        <v>5243.7809999999999</v>
      </c>
      <c r="W2649" s="85">
        <f>STATS1003B!W2657/1000</f>
        <v>0</v>
      </c>
      <c r="X2649" s="85">
        <f t="shared" si="288"/>
        <v>5243.7809999999999</v>
      </c>
      <c r="Y2649" s="85">
        <f>STATS1003B!Y2657/1000</f>
        <v>0</v>
      </c>
      <c r="Z2649" s="85">
        <f>STATS1003B!Z2657/1000</f>
        <v>0</v>
      </c>
      <c r="AA2649" s="69">
        <f>STATS1003B!AA2657/1000</f>
        <v>5243.7809999999999</v>
      </c>
      <c r="AB2649" s="69">
        <f>STATS1003B!AB2657/1000</f>
        <v>0</v>
      </c>
    </row>
    <row r="2650" spans="1:28" hidden="1" x14ac:dyDescent="0.3">
      <c r="A2650" s="117"/>
      <c r="C2650" s="68" t="s">
        <v>57</v>
      </c>
      <c r="D2650" s="90" t="s">
        <v>61</v>
      </c>
      <c r="E2650" s="85">
        <f>STATS1003B!E2658/1000</f>
        <v>1211.33879</v>
      </c>
      <c r="F2650" s="85">
        <f>STATS1003B!F2658/1000</f>
        <v>1211.33879</v>
      </c>
      <c r="G2650" s="85">
        <f>STATS1003B!G2658/1000</f>
        <v>0</v>
      </c>
      <c r="H2650" s="85">
        <f>STATS1003B!H2658/1000</f>
        <v>1211.33879</v>
      </c>
      <c r="I2650" s="85">
        <f>STATS1003B!I2658/1000</f>
        <v>0</v>
      </c>
      <c r="J2650" s="85">
        <f>STATS1003B!J2658/1000</f>
        <v>0</v>
      </c>
      <c r="K2650" s="85">
        <f>STATS1003B!K2658/1000</f>
        <v>0</v>
      </c>
      <c r="L2650" s="85">
        <f>STATS1003B!L2658/1000</f>
        <v>0</v>
      </c>
      <c r="M2650" s="85">
        <f>STATS1003B!M2658/1000</f>
        <v>1211.33879</v>
      </c>
      <c r="N2650" s="85">
        <f>STATS1003B!N2658/1000</f>
        <v>0</v>
      </c>
      <c r="O2650" s="85">
        <f>STATS1003B!O2658/1000</f>
        <v>0</v>
      </c>
      <c r="P2650" s="85">
        <f>STATS1003B!P2658/1000</f>
        <v>0</v>
      </c>
      <c r="Q2650" s="85">
        <f>STATS1003B!Q2658/1000</f>
        <v>0</v>
      </c>
      <c r="R2650" s="85">
        <f>STATS1003B!R2658/1000</f>
        <v>0</v>
      </c>
      <c r="S2650" s="85">
        <f>STATS1003B!S2658/1000</f>
        <v>0</v>
      </c>
      <c r="T2650" s="85">
        <f>STATS1003B!T2658/1000</f>
        <v>0</v>
      </c>
      <c r="U2650" s="85">
        <f>STATS1003B!U2658/1000</f>
        <v>0</v>
      </c>
      <c r="V2650" s="85">
        <f>STATS1003B!V2658/1000</f>
        <v>1211.33879</v>
      </c>
      <c r="W2650" s="85">
        <f>STATS1003B!W2658/1000</f>
        <v>0</v>
      </c>
      <c r="X2650" s="85">
        <f t="shared" si="288"/>
        <v>1211.33879</v>
      </c>
      <c r="Y2650" s="85">
        <f>STATS1003B!Y2658/1000</f>
        <v>0</v>
      </c>
      <c r="Z2650" s="85">
        <f>STATS1003B!Z2658/1000</f>
        <v>0</v>
      </c>
      <c r="AA2650" s="69">
        <f>STATS1003B!AA2658/1000</f>
        <v>1211.33879</v>
      </c>
      <c r="AB2650" s="69">
        <f>STATS1003B!AB2658/1000</f>
        <v>0</v>
      </c>
    </row>
    <row r="2651" spans="1:28" hidden="1" x14ac:dyDescent="0.3">
      <c r="A2651" s="117"/>
      <c r="C2651" s="68" t="s">
        <v>930</v>
      </c>
      <c r="D2651" s="90" t="s">
        <v>1072</v>
      </c>
      <c r="E2651" s="85">
        <f>STATS1003B!E2659/1000</f>
        <v>5500.1475</v>
      </c>
      <c r="F2651" s="85">
        <f>STATS1003B!F2659/1000</f>
        <v>5500.1475</v>
      </c>
      <c r="G2651" s="85">
        <f>STATS1003B!G2659/1000</f>
        <v>0</v>
      </c>
      <c r="H2651" s="85">
        <f>STATS1003B!H2659/1000</f>
        <v>5500.1475</v>
      </c>
      <c r="I2651" s="85">
        <f>STATS1003B!I2659/1000</f>
        <v>0</v>
      </c>
      <c r="J2651" s="85">
        <f>STATS1003B!J2659/1000</f>
        <v>0</v>
      </c>
      <c r="K2651" s="85">
        <f>STATS1003B!K2659/1000</f>
        <v>0</v>
      </c>
      <c r="L2651" s="85">
        <f>STATS1003B!L2659/1000</f>
        <v>0</v>
      </c>
      <c r="M2651" s="85">
        <f>STATS1003B!M2659/1000</f>
        <v>5500.1475</v>
      </c>
      <c r="N2651" s="85">
        <f>STATS1003B!N2659/1000</f>
        <v>0</v>
      </c>
      <c r="O2651" s="85">
        <f>STATS1003B!O2659/1000</f>
        <v>0</v>
      </c>
      <c r="P2651" s="85">
        <f>STATS1003B!P2659/1000</f>
        <v>0</v>
      </c>
      <c r="Q2651" s="85">
        <f>STATS1003B!Q2659/1000</f>
        <v>0</v>
      </c>
      <c r="R2651" s="85">
        <f>STATS1003B!R2659/1000</f>
        <v>0</v>
      </c>
      <c r="S2651" s="85">
        <f>STATS1003B!S2659/1000</f>
        <v>0</v>
      </c>
      <c r="T2651" s="85">
        <f>STATS1003B!T2659/1000</f>
        <v>0</v>
      </c>
      <c r="U2651" s="85">
        <f>STATS1003B!U2659/1000</f>
        <v>0</v>
      </c>
      <c r="V2651" s="85">
        <f>STATS1003B!V2659/1000</f>
        <v>5500.1475</v>
      </c>
      <c r="W2651" s="85">
        <f>STATS1003B!W2659/1000</f>
        <v>0</v>
      </c>
      <c r="X2651" s="85">
        <f t="shared" si="288"/>
        <v>5500.1475</v>
      </c>
      <c r="Y2651" s="85">
        <f>STATS1003B!Y2659/1000</f>
        <v>0</v>
      </c>
      <c r="Z2651" s="85">
        <f>STATS1003B!Z2659/1000</f>
        <v>0</v>
      </c>
      <c r="AA2651" s="69">
        <f>STATS1003B!AA2659/1000</f>
        <v>5500.1475</v>
      </c>
      <c r="AB2651" s="69">
        <f>STATS1003B!AB2659/1000</f>
        <v>0</v>
      </c>
    </row>
    <row r="2652" spans="1:28" hidden="1" x14ac:dyDescent="0.3">
      <c r="A2652" s="117"/>
      <c r="C2652" s="68" t="s">
        <v>1088</v>
      </c>
      <c r="D2652" s="90" t="s">
        <v>1072</v>
      </c>
      <c r="E2652" s="85">
        <f>STATS1003B!E2660/1000</f>
        <v>4336.68534</v>
      </c>
      <c r="F2652" s="85">
        <f>STATS1003B!F2660/1000</f>
        <v>4336.68534</v>
      </c>
      <c r="G2652" s="85">
        <f>STATS1003B!G2660/1000</f>
        <v>0</v>
      </c>
      <c r="H2652" s="85">
        <f>STATS1003B!H2660/1000</f>
        <v>4336.68534</v>
      </c>
      <c r="I2652" s="85">
        <f>STATS1003B!I2660/1000</f>
        <v>0</v>
      </c>
      <c r="J2652" s="85">
        <f>STATS1003B!J2660/1000</f>
        <v>0</v>
      </c>
      <c r="K2652" s="85">
        <f>STATS1003B!K2660/1000</f>
        <v>0</v>
      </c>
      <c r="L2652" s="85">
        <f>STATS1003B!L2660/1000</f>
        <v>0</v>
      </c>
      <c r="M2652" s="85">
        <f>STATS1003B!M2660/1000</f>
        <v>4336.68534</v>
      </c>
      <c r="N2652" s="85">
        <f>STATS1003B!N2660/1000</f>
        <v>0</v>
      </c>
      <c r="O2652" s="85">
        <f>STATS1003B!O2660/1000</f>
        <v>0</v>
      </c>
      <c r="P2652" s="85">
        <f>STATS1003B!P2660/1000</f>
        <v>0</v>
      </c>
      <c r="Q2652" s="85">
        <f>STATS1003B!Q2660/1000</f>
        <v>0</v>
      </c>
      <c r="R2652" s="85">
        <f>STATS1003B!R2660/1000</f>
        <v>0</v>
      </c>
      <c r="S2652" s="85">
        <f>STATS1003B!S2660/1000</f>
        <v>0</v>
      </c>
      <c r="T2652" s="85">
        <f>STATS1003B!T2660/1000</f>
        <v>0</v>
      </c>
      <c r="U2652" s="85">
        <f>STATS1003B!U2660/1000</f>
        <v>0</v>
      </c>
      <c r="V2652" s="85">
        <f>STATS1003B!V2660/1000</f>
        <v>4336.68534</v>
      </c>
      <c r="W2652" s="85">
        <f>STATS1003B!W2660/1000</f>
        <v>0</v>
      </c>
      <c r="X2652" s="85">
        <f t="shared" si="288"/>
        <v>4336.68534</v>
      </c>
      <c r="Y2652" s="85">
        <f>STATS1003B!Y2660/1000</f>
        <v>0</v>
      </c>
      <c r="Z2652" s="85">
        <f>STATS1003B!Z2660/1000</f>
        <v>0</v>
      </c>
      <c r="AA2652" s="69">
        <f>STATS1003B!AA2660/1000</f>
        <v>4336.68534</v>
      </c>
      <c r="AB2652" s="69">
        <f>STATS1003B!AB2660/1000</f>
        <v>0</v>
      </c>
    </row>
    <row r="2653" spans="1:28" hidden="1" x14ac:dyDescent="0.3">
      <c r="A2653" s="117"/>
      <c r="C2653" s="68" t="s">
        <v>1209</v>
      </c>
      <c r="D2653" s="90" t="s">
        <v>1126</v>
      </c>
      <c r="E2653" s="85">
        <f>STATS1003B!E2661/1000</f>
        <v>1734.92031</v>
      </c>
      <c r="F2653" s="85">
        <f>STATS1003B!F2661/1000</f>
        <v>1734.92031</v>
      </c>
      <c r="G2653" s="85">
        <f>STATS1003B!G2661/1000</f>
        <v>0</v>
      </c>
      <c r="H2653" s="85">
        <f>STATS1003B!H2661/1000</f>
        <v>1734.92031</v>
      </c>
      <c r="I2653" s="85">
        <f>STATS1003B!I2661/1000</f>
        <v>0</v>
      </c>
      <c r="J2653" s="85">
        <f>STATS1003B!J2661/1000</f>
        <v>0</v>
      </c>
      <c r="K2653" s="85">
        <f>STATS1003B!K2661/1000</f>
        <v>0</v>
      </c>
      <c r="L2653" s="85">
        <f>STATS1003B!L2661/1000</f>
        <v>0</v>
      </c>
      <c r="M2653" s="85">
        <f>STATS1003B!M2661/1000</f>
        <v>1734.92031</v>
      </c>
      <c r="N2653" s="85">
        <f>STATS1003B!N2661/1000</f>
        <v>0</v>
      </c>
      <c r="O2653" s="85">
        <f>STATS1003B!O2661/1000</f>
        <v>0</v>
      </c>
      <c r="P2653" s="85">
        <f>STATS1003B!P2661/1000</f>
        <v>0</v>
      </c>
      <c r="Q2653" s="85">
        <f>STATS1003B!Q2661/1000</f>
        <v>0</v>
      </c>
      <c r="R2653" s="85">
        <f>STATS1003B!R2661/1000</f>
        <v>0</v>
      </c>
      <c r="S2653" s="85">
        <f>STATS1003B!S2661/1000</f>
        <v>0</v>
      </c>
      <c r="T2653" s="85">
        <f>STATS1003B!T2661/1000</f>
        <v>0</v>
      </c>
      <c r="U2653" s="85">
        <f>STATS1003B!U2661/1000</f>
        <v>0</v>
      </c>
      <c r="V2653" s="85">
        <f>STATS1003B!V2661/1000</f>
        <v>1734.92031</v>
      </c>
      <c r="W2653" s="85">
        <f>STATS1003B!W2661/1000</f>
        <v>0</v>
      </c>
      <c r="X2653" s="85">
        <f t="shared" si="288"/>
        <v>1734.92031</v>
      </c>
      <c r="Y2653" s="85">
        <f>STATS1003B!Y2661/1000</f>
        <v>0</v>
      </c>
      <c r="Z2653" s="85">
        <f>STATS1003B!Z2661/1000</f>
        <v>0</v>
      </c>
      <c r="AA2653" s="69">
        <f>STATS1003B!AA2661/1000</f>
        <v>1734.92031</v>
      </c>
      <c r="AB2653" s="69">
        <f>STATS1003B!AB2661/1000</f>
        <v>0</v>
      </c>
    </row>
    <row r="2654" spans="1:28" hidden="1" x14ac:dyDescent="0.3">
      <c r="A2654" s="117"/>
      <c r="C2654" s="68" t="s">
        <v>1176</v>
      </c>
      <c r="D2654" s="90" t="s">
        <v>1126</v>
      </c>
      <c r="E2654" s="85">
        <f>STATS1003B!E2662/1000</f>
        <v>2964.5915399999999</v>
      </c>
      <c r="F2654" s="85">
        <f>STATS1003B!F2662/1000</f>
        <v>2964.5915399999999</v>
      </c>
      <c r="G2654" s="85">
        <f>STATS1003B!G2662/1000</f>
        <v>0</v>
      </c>
      <c r="H2654" s="85">
        <f>STATS1003B!H2662/1000</f>
        <v>2964.5915399999999</v>
      </c>
      <c r="I2654" s="85">
        <f>STATS1003B!I2662/1000</f>
        <v>0</v>
      </c>
      <c r="J2654" s="85">
        <f>STATS1003B!J2662/1000</f>
        <v>0</v>
      </c>
      <c r="K2654" s="85">
        <f>STATS1003B!K2662/1000</f>
        <v>0</v>
      </c>
      <c r="L2654" s="85">
        <f>STATS1003B!L2662/1000</f>
        <v>0</v>
      </c>
      <c r="M2654" s="85">
        <f>STATS1003B!M2662/1000</f>
        <v>2964.5915399999999</v>
      </c>
      <c r="N2654" s="85">
        <f>STATS1003B!N2662/1000</f>
        <v>0</v>
      </c>
      <c r="O2654" s="85">
        <f>STATS1003B!O2662/1000</f>
        <v>0</v>
      </c>
      <c r="P2654" s="85">
        <f>STATS1003B!P2662/1000</f>
        <v>0</v>
      </c>
      <c r="Q2654" s="85">
        <f>STATS1003B!Q2662/1000</f>
        <v>0</v>
      </c>
      <c r="R2654" s="85">
        <f>STATS1003B!R2662/1000</f>
        <v>0</v>
      </c>
      <c r="S2654" s="85">
        <f>STATS1003B!S2662/1000</f>
        <v>0</v>
      </c>
      <c r="T2654" s="85">
        <f>STATS1003B!T2662/1000</f>
        <v>0</v>
      </c>
      <c r="U2654" s="85">
        <f>STATS1003B!U2662/1000</f>
        <v>0</v>
      </c>
      <c r="V2654" s="85">
        <f>STATS1003B!V2662/1000</f>
        <v>2964.5915399999999</v>
      </c>
      <c r="W2654" s="85">
        <f>STATS1003B!W2662/1000</f>
        <v>0</v>
      </c>
      <c r="X2654" s="85">
        <f t="shared" si="288"/>
        <v>2964.5915399999999</v>
      </c>
      <c r="Y2654" s="85">
        <f>STATS1003B!Y2662/1000</f>
        <v>0</v>
      </c>
      <c r="Z2654" s="85">
        <f>STATS1003B!Z2662/1000</f>
        <v>0</v>
      </c>
      <c r="AA2654" s="69">
        <f>STATS1003B!AA2662/1000</f>
        <v>2964.5915399999999</v>
      </c>
      <c r="AB2654" s="69">
        <f>STATS1003B!AB2662/1000</f>
        <v>0</v>
      </c>
    </row>
    <row r="2655" spans="1:28" hidden="1" x14ac:dyDescent="0.3">
      <c r="A2655" s="117"/>
      <c r="C2655" s="68" t="s">
        <v>1242</v>
      </c>
      <c r="D2655" s="90" t="s">
        <v>1225</v>
      </c>
      <c r="E2655" s="85">
        <f>STATS1003B!E2663/1000</f>
        <v>7022.4303099999997</v>
      </c>
      <c r="F2655" s="85">
        <f>STATS1003B!F2663/1000</f>
        <v>7022.4303099999997</v>
      </c>
      <c r="G2655" s="85">
        <f>STATS1003B!G2663/1000</f>
        <v>0</v>
      </c>
      <c r="H2655" s="85">
        <f>STATS1003B!H2663/1000</f>
        <v>7022.4303099999997</v>
      </c>
      <c r="I2655" s="85">
        <f>STATS1003B!I2663/1000</f>
        <v>0</v>
      </c>
      <c r="J2655" s="85">
        <f>STATS1003B!J2663/1000</f>
        <v>0</v>
      </c>
      <c r="K2655" s="85">
        <f>STATS1003B!K2663/1000</f>
        <v>0</v>
      </c>
      <c r="L2655" s="85">
        <f>STATS1003B!L2663/1000</f>
        <v>0</v>
      </c>
      <c r="M2655" s="85">
        <f>STATS1003B!M2663/1000</f>
        <v>7022.4303099999997</v>
      </c>
      <c r="N2655" s="85">
        <f>STATS1003B!N2663/1000</f>
        <v>0</v>
      </c>
      <c r="O2655" s="85">
        <f>STATS1003B!O2663/1000</f>
        <v>0</v>
      </c>
      <c r="P2655" s="85">
        <f>STATS1003B!P2663/1000</f>
        <v>0</v>
      </c>
      <c r="Q2655" s="85">
        <f>STATS1003B!Q2663/1000</f>
        <v>0</v>
      </c>
      <c r="R2655" s="85">
        <f>STATS1003B!R2663/1000</f>
        <v>0</v>
      </c>
      <c r="S2655" s="85">
        <f>STATS1003B!S2663/1000</f>
        <v>0</v>
      </c>
      <c r="T2655" s="85">
        <f>STATS1003B!T2663/1000</f>
        <v>0</v>
      </c>
      <c r="U2655" s="85">
        <f>STATS1003B!U2663/1000</f>
        <v>0</v>
      </c>
      <c r="V2655" s="85">
        <f>STATS1003B!V2663/1000</f>
        <v>0</v>
      </c>
      <c r="W2655" s="85">
        <f>STATS1003B!W2663/1000</f>
        <v>0</v>
      </c>
      <c r="X2655" s="85">
        <f t="shared" si="288"/>
        <v>7022.4303099999997</v>
      </c>
      <c r="Y2655" s="85">
        <f>STATS1003B!Y2663/1000</f>
        <v>0</v>
      </c>
      <c r="Z2655" s="85">
        <f>STATS1003B!Z2663/1000</f>
        <v>0</v>
      </c>
      <c r="AA2655" s="69">
        <f>STATS1003B!AA2663/1000</f>
        <v>7022.4303099999997</v>
      </c>
      <c r="AB2655" s="69">
        <f>STATS1003B!AB2663/1000</f>
        <v>0</v>
      </c>
    </row>
    <row r="2656" spans="1:28" hidden="1" x14ac:dyDescent="0.3">
      <c r="A2656" s="117"/>
      <c r="C2656" s="68" t="s">
        <v>507</v>
      </c>
      <c r="D2656" s="90"/>
      <c r="E2656" s="85">
        <f>STATS1003B!E2664/1000</f>
        <v>3102.9483100000002</v>
      </c>
      <c r="F2656" s="85">
        <f>STATS1003B!F2664/1000</f>
        <v>3102.9483100000002</v>
      </c>
      <c r="G2656" s="85">
        <f>STATS1003B!G2664/1000</f>
        <v>0</v>
      </c>
      <c r="H2656" s="85">
        <f>STATS1003B!H2664/1000</f>
        <v>3102.9483100000002</v>
      </c>
      <c r="I2656" s="85">
        <f>STATS1003B!I2664/1000</f>
        <v>0</v>
      </c>
      <c r="J2656" s="85">
        <f>STATS1003B!J2664/1000</f>
        <v>0</v>
      </c>
      <c r="K2656" s="85">
        <f>STATS1003B!K2664/1000</f>
        <v>0</v>
      </c>
      <c r="L2656" s="85">
        <f>STATS1003B!L2664/1000</f>
        <v>0</v>
      </c>
      <c r="M2656" s="85">
        <f>STATS1003B!M2664/1000</f>
        <v>3102.9483100000002</v>
      </c>
      <c r="N2656" s="85">
        <f>STATS1003B!N2664/1000</f>
        <v>0</v>
      </c>
      <c r="O2656" s="85">
        <f>STATS1003B!O2664/1000</f>
        <v>0</v>
      </c>
      <c r="P2656" s="85">
        <f>STATS1003B!P2664/1000</f>
        <v>0</v>
      </c>
      <c r="Q2656" s="85">
        <f>STATS1003B!Q2664/1000</f>
        <v>0</v>
      </c>
      <c r="R2656" s="85">
        <f>STATS1003B!R2664/1000</f>
        <v>0</v>
      </c>
      <c r="S2656" s="85">
        <f>STATS1003B!S2664/1000</f>
        <v>0</v>
      </c>
      <c r="T2656" s="85">
        <f>STATS1003B!T2664/1000</f>
        <v>0</v>
      </c>
      <c r="U2656" s="85">
        <f>STATS1003B!U2664/1000</f>
        <v>0</v>
      </c>
      <c r="V2656" s="85">
        <f>STATS1003B!V2664/1000</f>
        <v>3102.9483100000002</v>
      </c>
      <c r="W2656" s="85">
        <f>STATS1003B!W2664/1000</f>
        <v>0</v>
      </c>
      <c r="X2656" s="85">
        <f t="shared" si="288"/>
        <v>3102.9483100000002</v>
      </c>
      <c r="Y2656" s="85">
        <f>STATS1003B!Y2664/1000</f>
        <v>0</v>
      </c>
      <c r="Z2656" s="85">
        <f>STATS1003B!Z2664/1000</f>
        <v>0</v>
      </c>
      <c r="AA2656" s="69">
        <f>STATS1003B!AA2664/1000</f>
        <v>3102.9483100000002</v>
      </c>
      <c r="AB2656" s="69">
        <f>STATS1003B!AB2664/1000</f>
        <v>0</v>
      </c>
    </row>
    <row r="2657" spans="1:28" hidden="1" x14ac:dyDescent="0.3">
      <c r="A2657" s="117"/>
      <c r="E2657" s="86" t="s">
        <v>29</v>
      </c>
      <c r="F2657" s="86" t="s">
        <v>29</v>
      </c>
      <c r="G2657" s="86" t="s">
        <v>29</v>
      </c>
      <c r="H2657" s="86" t="s">
        <v>29</v>
      </c>
      <c r="I2657" s="86" t="s">
        <v>29</v>
      </c>
      <c r="J2657" s="86" t="s">
        <v>29</v>
      </c>
      <c r="K2657" s="86" t="s">
        <v>29</v>
      </c>
      <c r="L2657" s="86" t="s">
        <v>29</v>
      </c>
      <c r="M2657" s="86" t="s">
        <v>29</v>
      </c>
      <c r="N2657" s="86" t="s">
        <v>29</v>
      </c>
      <c r="O2657" s="86" t="s">
        <v>29</v>
      </c>
      <c r="P2657" s="86" t="s">
        <v>29</v>
      </c>
      <c r="Q2657" s="86" t="s">
        <v>29</v>
      </c>
      <c r="R2657" s="86" t="s">
        <v>29</v>
      </c>
      <c r="S2657" s="86" t="s">
        <v>29</v>
      </c>
      <c r="T2657" s="86" t="s">
        <v>29</v>
      </c>
      <c r="U2657" s="86" t="s">
        <v>29</v>
      </c>
      <c r="V2657" s="86" t="s">
        <v>29</v>
      </c>
      <c r="W2657" s="86" t="s">
        <v>29</v>
      </c>
      <c r="X2657" s="85" t="e">
        <f t="shared" si="288"/>
        <v>#VALUE!</v>
      </c>
      <c r="Y2657" s="86" t="s">
        <v>29</v>
      </c>
      <c r="Z2657" s="86" t="s">
        <v>29</v>
      </c>
      <c r="AA2657" s="115" t="s">
        <v>29</v>
      </c>
      <c r="AB2657" s="115" t="s">
        <v>29</v>
      </c>
    </row>
    <row r="2658" spans="1:28" x14ac:dyDescent="0.3">
      <c r="A2658" s="116">
        <v>115</v>
      </c>
      <c r="B2658" s="68" t="s">
        <v>460</v>
      </c>
      <c r="E2658" s="85">
        <f>161293411.08/1000</f>
        <v>161293.41108000002</v>
      </c>
      <c r="F2658" s="85">
        <f t="shared" ref="F2658:AB2658" si="291">SUM(F2639:F2656)</f>
        <v>83224.331019999998</v>
      </c>
      <c r="G2658" s="85">
        <f t="shared" si="291"/>
        <v>0</v>
      </c>
      <c r="H2658" s="85">
        <f>158972904.32/1000</f>
        <v>158972.90432</v>
      </c>
      <c r="I2658" s="85">
        <f t="shared" si="291"/>
        <v>0</v>
      </c>
      <c r="J2658" s="85">
        <f t="shared" si="291"/>
        <v>0</v>
      </c>
      <c r="K2658" s="85">
        <f t="shared" si="291"/>
        <v>0</v>
      </c>
      <c r="L2658" s="85">
        <f t="shared" si="291"/>
        <v>0</v>
      </c>
      <c r="M2658" s="85">
        <f t="shared" si="291"/>
        <v>83224.331019999998</v>
      </c>
      <c r="N2658" s="85">
        <f t="shared" si="291"/>
        <v>2320.5067600000002</v>
      </c>
      <c r="O2658" s="85">
        <f t="shared" si="291"/>
        <v>0</v>
      </c>
      <c r="P2658" s="85">
        <f>2320506/1000</f>
        <v>2320.5059999999999</v>
      </c>
      <c r="Q2658" s="85">
        <f t="shared" si="291"/>
        <v>0</v>
      </c>
      <c r="R2658" s="85">
        <f t="shared" si="291"/>
        <v>0</v>
      </c>
      <c r="S2658" s="85">
        <f t="shared" si="291"/>
        <v>0</v>
      </c>
      <c r="T2658" s="85">
        <f t="shared" si="291"/>
        <v>0</v>
      </c>
      <c r="U2658" s="85">
        <f t="shared" si="291"/>
        <v>2320.5067600000002</v>
      </c>
      <c r="V2658" s="85">
        <f t="shared" si="291"/>
        <v>78522.407470000006</v>
      </c>
      <c r="W2658" s="85">
        <f t="shared" si="291"/>
        <v>0</v>
      </c>
      <c r="X2658" s="85">
        <f t="shared" si="288"/>
        <v>161293.41032</v>
      </c>
      <c r="Y2658" s="85">
        <f t="shared" si="291"/>
        <v>0</v>
      </c>
      <c r="Z2658" s="85">
        <f>+E2658-X2658</f>
        <v>7.6000002445653081E-4</v>
      </c>
      <c r="AA2658" s="69">
        <f t="shared" si="291"/>
        <v>85544.837780000002</v>
      </c>
      <c r="AB2658" s="69">
        <f t="shared" si="291"/>
        <v>0</v>
      </c>
    </row>
    <row r="2659" spans="1:28" x14ac:dyDescent="0.3">
      <c r="A2659" s="117"/>
      <c r="E2659" s="86"/>
      <c r="F2659" s="86"/>
      <c r="G2659" s="86"/>
      <c r="H2659" s="86"/>
      <c r="I2659" s="86"/>
      <c r="J2659" s="86"/>
      <c r="K2659" s="86"/>
      <c r="L2659" s="86"/>
      <c r="M2659" s="86"/>
      <c r="N2659" s="86"/>
      <c r="O2659" s="86"/>
      <c r="P2659" s="86"/>
      <c r="Q2659" s="86"/>
      <c r="R2659" s="86"/>
      <c r="S2659" s="86"/>
      <c r="T2659" s="86"/>
      <c r="U2659" s="86"/>
      <c r="V2659" s="86"/>
      <c r="W2659" s="86"/>
      <c r="X2659" s="86"/>
      <c r="Y2659" s="86"/>
      <c r="Z2659" s="86"/>
      <c r="AA2659" s="115" t="s">
        <v>29</v>
      </c>
      <c r="AB2659" s="115" t="s">
        <v>29</v>
      </c>
    </row>
    <row r="2660" spans="1:28" s="106" customFormat="1" x14ac:dyDescent="0.3">
      <c r="A2660" s="104"/>
      <c r="B2660" s="8"/>
      <c r="C2660" s="7" t="s">
        <v>3</v>
      </c>
      <c r="D2660" s="8"/>
      <c r="E2660" s="82">
        <f t="shared" ref="E2660:AB2660" si="292">E2658+E2635+E2608+E2612</f>
        <v>599076.95131000003</v>
      </c>
      <c r="F2660" s="82">
        <f t="shared" si="292"/>
        <v>257389.10788999998</v>
      </c>
      <c r="G2660" s="82">
        <f t="shared" si="292"/>
        <v>0</v>
      </c>
      <c r="H2660" s="82">
        <f t="shared" si="292"/>
        <v>586605.26661000005</v>
      </c>
      <c r="I2660" s="82">
        <f t="shared" si="292"/>
        <v>2120.9349299999999</v>
      </c>
      <c r="J2660" s="82">
        <f t="shared" si="292"/>
        <v>1068.9349299999999</v>
      </c>
      <c r="K2660" s="82">
        <f t="shared" si="292"/>
        <v>0</v>
      </c>
      <c r="L2660" s="82">
        <f t="shared" si="292"/>
        <v>0</v>
      </c>
      <c r="M2660" s="82">
        <f t="shared" si="292"/>
        <v>257389.10788999998</v>
      </c>
      <c r="N2660" s="82">
        <f t="shared" si="292"/>
        <v>12387.585160000001</v>
      </c>
      <c r="O2660" s="82">
        <f t="shared" si="292"/>
        <v>0</v>
      </c>
      <c r="P2660" s="82">
        <f t="shared" si="292"/>
        <v>12387.582999999999</v>
      </c>
      <c r="Q2660" s="82">
        <f t="shared" si="292"/>
        <v>4.0995400000000002</v>
      </c>
      <c r="R2660" s="82">
        <f t="shared" si="292"/>
        <v>0</v>
      </c>
      <c r="S2660" s="82">
        <f t="shared" si="292"/>
        <v>0</v>
      </c>
      <c r="T2660" s="82">
        <f t="shared" si="292"/>
        <v>4.0995400000000002</v>
      </c>
      <c r="U2660" s="82">
        <f t="shared" si="292"/>
        <v>12391.684700000002</v>
      </c>
      <c r="V2660" s="82">
        <f t="shared" si="292"/>
        <v>250431.45416000002</v>
      </c>
      <c r="W2660" s="82">
        <f t="shared" si="292"/>
        <v>84.099540000000033</v>
      </c>
      <c r="X2660" s="82">
        <f t="shared" si="292"/>
        <v>598992.84960999992</v>
      </c>
      <c r="Y2660" s="82">
        <f t="shared" si="292"/>
        <v>0</v>
      </c>
      <c r="Z2660" s="82">
        <f t="shared" si="292"/>
        <v>84.101700000028359</v>
      </c>
      <c r="AA2660" s="9">
        <f t="shared" si="292"/>
        <v>269780.79258999997</v>
      </c>
      <c r="AB2660" s="9">
        <f t="shared" si="292"/>
        <v>80</v>
      </c>
    </row>
    <row r="2661" spans="1:28" x14ac:dyDescent="0.3">
      <c r="A2661" s="117"/>
      <c r="E2661" s="86"/>
      <c r="F2661" s="86"/>
      <c r="G2661" s="86"/>
      <c r="H2661" s="86"/>
      <c r="I2661" s="86"/>
      <c r="J2661" s="86"/>
      <c r="K2661" s="86"/>
      <c r="L2661" s="86"/>
      <c r="M2661" s="86"/>
      <c r="N2661" s="86"/>
      <c r="O2661" s="86"/>
      <c r="P2661" s="92"/>
      <c r="Q2661" s="86"/>
      <c r="R2661" s="86"/>
      <c r="S2661" s="86"/>
      <c r="T2661" s="86"/>
      <c r="U2661" s="86"/>
      <c r="V2661" s="86"/>
      <c r="W2661" s="86"/>
      <c r="X2661" s="92"/>
      <c r="Y2661" s="86"/>
      <c r="Z2661" s="86"/>
      <c r="AA2661" s="115" t="s">
        <v>114</v>
      </c>
      <c r="AB2661" s="115" t="s">
        <v>114</v>
      </c>
    </row>
    <row r="2662" spans="1:28" x14ac:dyDescent="0.3">
      <c r="A2662" s="117"/>
      <c r="B2662" s="68" t="s">
        <v>465</v>
      </c>
      <c r="E2662" s="84"/>
      <c r="F2662" s="84"/>
      <c r="G2662" s="84"/>
      <c r="H2662" s="84"/>
      <c r="I2662" s="84"/>
      <c r="J2662" s="84"/>
      <c r="K2662" s="84"/>
      <c r="L2662" s="84"/>
      <c r="M2662" s="84"/>
      <c r="N2662" s="84"/>
      <c r="O2662" s="84"/>
      <c r="P2662" s="84"/>
      <c r="Q2662" s="84"/>
      <c r="R2662" s="84"/>
      <c r="S2662" s="84"/>
      <c r="T2662" s="84"/>
      <c r="U2662" s="84"/>
      <c r="V2662" s="84"/>
      <c r="W2662" s="84"/>
      <c r="X2662" s="84"/>
      <c r="Y2662" s="84"/>
      <c r="Z2662" s="84"/>
      <c r="AA2662" s="118"/>
    </row>
    <row r="2663" spans="1:28" hidden="1" x14ac:dyDescent="0.3">
      <c r="A2663" s="117"/>
      <c r="E2663" s="84"/>
      <c r="F2663" s="84"/>
      <c r="G2663" s="84"/>
      <c r="H2663" s="84"/>
      <c r="I2663" s="84"/>
      <c r="J2663" s="84"/>
      <c r="K2663" s="84"/>
      <c r="L2663" s="84"/>
      <c r="M2663" s="84"/>
      <c r="N2663" s="84"/>
      <c r="O2663" s="84"/>
      <c r="P2663" s="84"/>
      <c r="Q2663" s="84"/>
      <c r="R2663" s="84"/>
      <c r="S2663" s="84"/>
      <c r="T2663" s="84"/>
      <c r="U2663" s="84"/>
      <c r="V2663" s="84"/>
      <c r="W2663" s="84"/>
      <c r="X2663" s="84"/>
      <c r="Y2663" s="84"/>
      <c r="Z2663" s="84"/>
    </row>
    <row r="2664" spans="1:28" hidden="1" x14ac:dyDescent="0.3">
      <c r="A2664" s="105"/>
      <c r="E2664" s="84"/>
      <c r="F2664" s="84"/>
      <c r="G2664" s="84"/>
      <c r="H2664" s="84"/>
      <c r="I2664" s="84"/>
      <c r="J2664" s="84"/>
      <c r="K2664" s="84"/>
      <c r="L2664" s="84"/>
      <c r="M2664" s="84"/>
      <c r="N2664" s="84"/>
      <c r="O2664" s="84"/>
      <c r="P2664" s="84"/>
      <c r="Q2664" s="84"/>
      <c r="R2664" s="84"/>
      <c r="S2664" s="84"/>
      <c r="T2664" s="84"/>
      <c r="U2664" s="84"/>
      <c r="V2664" s="84"/>
      <c r="W2664" s="84"/>
      <c r="X2664" s="84"/>
      <c r="Y2664" s="84"/>
      <c r="Z2664" s="84"/>
    </row>
    <row r="2665" spans="1:28" hidden="1" x14ac:dyDescent="0.3">
      <c r="A2665" s="117"/>
      <c r="C2665" s="68" t="s">
        <v>57</v>
      </c>
      <c r="D2665" s="87" t="s">
        <v>274</v>
      </c>
      <c r="E2665" s="85">
        <f>STATS1003B!E2673/1000</f>
        <v>6448.2877600000002</v>
      </c>
      <c r="F2665" s="85">
        <f>STATS1003B!F2673/1000</f>
        <v>6069.817</v>
      </c>
      <c r="G2665" s="85">
        <f>STATS1003B!G2673/1000</f>
        <v>0</v>
      </c>
      <c r="H2665" s="85">
        <f>STATS1003B!H2673/1000</f>
        <v>6069.817</v>
      </c>
      <c r="I2665" s="85">
        <f>STATS1003B!I2673/1000</f>
        <v>0</v>
      </c>
      <c r="J2665" s="85">
        <f>STATS1003B!J2673/1000</f>
        <v>0</v>
      </c>
      <c r="K2665" s="85">
        <f>STATS1003B!K2673/1000</f>
        <v>0</v>
      </c>
      <c r="L2665" s="85">
        <f>STATS1003B!L2673/1000</f>
        <v>0</v>
      </c>
      <c r="M2665" s="85">
        <f>STATS1003B!M2673/1000</f>
        <v>6069.817</v>
      </c>
      <c r="N2665" s="85">
        <f>STATS1003B!N2673/1000</f>
        <v>378.47075999999998</v>
      </c>
      <c r="O2665" s="85">
        <f>STATS1003B!O2673/1000</f>
        <v>0</v>
      </c>
      <c r="P2665" s="85">
        <f>STATS1003B!P2673/1000</f>
        <v>378.47075999999998</v>
      </c>
      <c r="Q2665" s="85">
        <f>STATS1003B!Q2673/1000</f>
        <v>0</v>
      </c>
      <c r="R2665" s="85">
        <f>STATS1003B!R2673/1000</f>
        <v>0</v>
      </c>
      <c r="S2665" s="85">
        <f>STATS1003B!S2673/1000</f>
        <v>0</v>
      </c>
      <c r="T2665" s="85">
        <f>STATS1003B!T2673/1000</f>
        <v>0</v>
      </c>
      <c r="U2665" s="85">
        <f>STATS1003B!U2673/1000</f>
        <v>378.47075999999998</v>
      </c>
      <c r="V2665" s="85">
        <f>STATS1003B!V2673/1000</f>
        <v>6448.2877600000002</v>
      </c>
      <c r="W2665" s="85">
        <f>STATS1003B!W2673/1000</f>
        <v>0</v>
      </c>
      <c r="X2665" s="85">
        <f>STATS1003B!X2673/1000</f>
        <v>6448.2877600000002</v>
      </c>
      <c r="Y2665" s="85">
        <f>STATS1003B!Y2673/1000</f>
        <v>0</v>
      </c>
      <c r="Z2665" s="85">
        <f>STATS1003B!Z2673/1000</f>
        <v>0</v>
      </c>
      <c r="AA2665" s="69">
        <f>STATS1003B!AA2673/1000</f>
        <v>6448.2877600000002</v>
      </c>
      <c r="AB2665" s="69">
        <f>STATS1003B!AB2673/1000</f>
        <v>0</v>
      </c>
    </row>
    <row r="2666" spans="1:28" hidden="1" x14ac:dyDescent="0.3">
      <c r="A2666" s="117"/>
      <c r="C2666" s="68" t="s">
        <v>53</v>
      </c>
      <c r="D2666" s="87" t="s">
        <v>68</v>
      </c>
      <c r="E2666" s="85">
        <f>STATS1003B!E2674/1000</f>
        <v>1953.989</v>
      </c>
      <c r="F2666" s="85">
        <f>STATS1003B!F2674/1000</f>
        <v>0</v>
      </c>
      <c r="G2666" s="85">
        <f>STATS1003B!G2674/1000</f>
        <v>0</v>
      </c>
      <c r="H2666" s="85">
        <f>STATS1003B!H2674/1000</f>
        <v>0</v>
      </c>
      <c r="I2666" s="85">
        <f>STATS1003B!I2674/1000</f>
        <v>0</v>
      </c>
      <c r="J2666" s="85">
        <f>STATS1003B!J2674/1000</f>
        <v>0</v>
      </c>
      <c r="K2666" s="85">
        <f>STATS1003B!K2674/1000</f>
        <v>0</v>
      </c>
      <c r="L2666" s="85">
        <f>STATS1003B!L2674/1000</f>
        <v>0</v>
      </c>
      <c r="M2666" s="85">
        <f>STATS1003B!M2674/1000</f>
        <v>0</v>
      </c>
      <c r="N2666" s="85">
        <f>STATS1003B!N2674/1000</f>
        <v>1953.989</v>
      </c>
      <c r="O2666" s="85">
        <f>STATS1003B!O2674/1000</f>
        <v>0</v>
      </c>
      <c r="P2666" s="85">
        <f>STATS1003B!P2674/1000</f>
        <v>1953.989</v>
      </c>
      <c r="Q2666" s="85">
        <f>STATS1003B!Q2674/1000</f>
        <v>0</v>
      </c>
      <c r="R2666" s="85">
        <f>STATS1003B!R2674/1000</f>
        <v>0</v>
      </c>
      <c r="S2666" s="85">
        <f>STATS1003B!S2674/1000</f>
        <v>0</v>
      </c>
      <c r="T2666" s="85">
        <f>STATS1003B!T2674/1000</f>
        <v>0</v>
      </c>
      <c r="U2666" s="85">
        <f>STATS1003B!U2674/1000</f>
        <v>1953.989</v>
      </c>
      <c r="V2666" s="85">
        <f>STATS1003B!V2674/1000</f>
        <v>1953.989</v>
      </c>
      <c r="W2666" s="85">
        <f>STATS1003B!W2674/1000</f>
        <v>0</v>
      </c>
      <c r="X2666" s="85">
        <f>STATS1003B!X2674/1000</f>
        <v>1953.989</v>
      </c>
      <c r="Y2666" s="85">
        <f>STATS1003B!Y2674/1000</f>
        <v>0</v>
      </c>
      <c r="Z2666" s="85">
        <f>STATS1003B!Z2674/1000</f>
        <v>0</v>
      </c>
      <c r="AA2666" s="69">
        <f>STATS1003B!AA2674/1000</f>
        <v>1953.989</v>
      </c>
      <c r="AB2666" s="69">
        <f>STATS1003B!AB2674/1000</f>
        <v>0</v>
      </c>
    </row>
    <row r="2667" spans="1:28" hidden="1" x14ac:dyDescent="0.3">
      <c r="A2667" s="117"/>
      <c r="C2667" s="68" t="s">
        <v>467</v>
      </c>
      <c r="E2667" s="85">
        <f>STATS1003B!E2675/1000</f>
        <v>2850</v>
      </c>
      <c r="F2667" s="85">
        <f>STATS1003B!F2675/1000</f>
        <v>2850</v>
      </c>
      <c r="G2667" s="85">
        <f>STATS1003B!G2675/1000</f>
        <v>0</v>
      </c>
      <c r="H2667" s="85">
        <f>STATS1003B!H2675/1000</f>
        <v>2850</v>
      </c>
      <c r="I2667" s="85">
        <f>STATS1003B!I2675/1000</f>
        <v>0</v>
      </c>
      <c r="J2667" s="85">
        <f>STATS1003B!J2675/1000</f>
        <v>0</v>
      </c>
      <c r="K2667" s="85">
        <f>STATS1003B!K2675/1000</f>
        <v>0</v>
      </c>
      <c r="L2667" s="85">
        <f>STATS1003B!L2675/1000</f>
        <v>0</v>
      </c>
      <c r="M2667" s="85">
        <f>STATS1003B!M2675/1000</f>
        <v>2850</v>
      </c>
      <c r="N2667" s="85">
        <f>STATS1003B!N2675/1000</f>
        <v>0</v>
      </c>
      <c r="O2667" s="85">
        <f>STATS1003B!O2675/1000</f>
        <v>0</v>
      </c>
      <c r="P2667" s="85">
        <f>STATS1003B!P2675/1000</f>
        <v>0</v>
      </c>
      <c r="Q2667" s="85">
        <f>STATS1003B!Q2675/1000</f>
        <v>0</v>
      </c>
      <c r="R2667" s="85">
        <f>STATS1003B!R2675/1000</f>
        <v>0</v>
      </c>
      <c r="S2667" s="85">
        <f>STATS1003B!S2675/1000</f>
        <v>0</v>
      </c>
      <c r="T2667" s="85">
        <f>STATS1003B!T2675/1000</f>
        <v>0</v>
      </c>
      <c r="U2667" s="85">
        <f>STATS1003B!U2675/1000</f>
        <v>0</v>
      </c>
      <c r="V2667" s="85">
        <f>STATS1003B!V2675/1000</f>
        <v>2850</v>
      </c>
      <c r="W2667" s="85">
        <f>STATS1003B!W2675/1000</f>
        <v>0</v>
      </c>
      <c r="X2667" s="85">
        <f>STATS1003B!X2675/1000</f>
        <v>2850</v>
      </c>
      <c r="Y2667" s="85">
        <f>STATS1003B!Y2675/1000</f>
        <v>0</v>
      </c>
      <c r="Z2667" s="85">
        <f>STATS1003B!Z2675/1000</f>
        <v>0</v>
      </c>
      <c r="AA2667" s="69">
        <f>STATS1003B!AA2675/1000</f>
        <v>2850</v>
      </c>
      <c r="AB2667" s="69">
        <f>STATS1003B!AB2675/1000</f>
        <v>0</v>
      </c>
    </row>
    <row r="2668" spans="1:28" hidden="1" x14ac:dyDescent="0.3">
      <c r="A2668" s="117"/>
      <c r="C2668" s="68" t="s">
        <v>468</v>
      </c>
      <c r="D2668" s="87" t="s">
        <v>68</v>
      </c>
      <c r="E2668" s="85">
        <f>STATS1003B!E2676/1000</f>
        <v>1755.25</v>
      </c>
      <c r="F2668" s="85">
        <f>STATS1003B!F2676/1000</f>
        <v>1755.25</v>
      </c>
      <c r="G2668" s="85">
        <f>STATS1003B!G2676/1000</f>
        <v>0</v>
      </c>
      <c r="H2668" s="85">
        <f>STATS1003B!H2676/1000</f>
        <v>1755.25</v>
      </c>
      <c r="I2668" s="85">
        <f>STATS1003B!I2676/1000</f>
        <v>0</v>
      </c>
      <c r="J2668" s="85">
        <f>STATS1003B!J2676/1000</f>
        <v>0</v>
      </c>
      <c r="K2668" s="85">
        <f>STATS1003B!K2676/1000</f>
        <v>0</v>
      </c>
      <c r="L2668" s="85">
        <f>STATS1003B!L2676/1000</f>
        <v>0</v>
      </c>
      <c r="M2668" s="85">
        <f>STATS1003B!M2676/1000</f>
        <v>1755.25</v>
      </c>
      <c r="N2668" s="85">
        <f>STATS1003B!N2676/1000</f>
        <v>0</v>
      </c>
      <c r="O2668" s="85">
        <f>STATS1003B!O2676/1000</f>
        <v>0</v>
      </c>
      <c r="P2668" s="85">
        <f>STATS1003B!P2676/1000</f>
        <v>0</v>
      </c>
      <c r="Q2668" s="85">
        <f>STATS1003B!Q2676/1000</f>
        <v>0</v>
      </c>
      <c r="R2668" s="85">
        <f>STATS1003B!R2676/1000</f>
        <v>0</v>
      </c>
      <c r="S2668" s="85">
        <f>STATS1003B!S2676/1000</f>
        <v>0</v>
      </c>
      <c r="T2668" s="85">
        <f>STATS1003B!T2676/1000</f>
        <v>0</v>
      </c>
      <c r="U2668" s="85">
        <f>STATS1003B!U2676/1000</f>
        <v>0</v>
      </c>
      <c r="V2668" s="85">
        <f>STATS1003B!V2676/1000</f>
        <v>1755.25</v>
      </c>
      <c r="W2668" s="85">
        <f>STATS1003B!W2676/1000</f>
        <v>0</v>
      </c>
      <c r="X2668" s="85">
        <f>STATS1003B!X2676/1000</f>
        <v>1755.25</v>
      </c>
      <c r="Y2668" s="85">
        <f>STATS1003B!Y2676/1000</f>
        <v>0</v>
      </c>
      <c r="Z2668" s="85">
        <f>STATS1003B!Z2676/1000</f>
        <v>0</v>
      </c>
      <c r="AA2668" s="69">
        <f>STATS1003B!AA2676/1000</f>
        <v>1755.25</v>
      </c>
      <c r="AB2668" s="69">
        <f>STATS1003B!AB2676/1000</f>
        <v>0</v>
      </c>
    </row>
    <row r="2669" spans="1:28" hidden="1" x14ac:dyDescent="0.3">
      <c r="A2669" s="117"/>
      <c r="C2669" s="68" t="s">
        <v>55</v>
      </c>
      <c r="D2669" s="87" t="s">
        <v>469</v>
      </c>
      <c r="E2669" s="85">
        <f>STATS1003B!E2677/1000</f>
        <v>2098.6645899999999</v>
      </c>
      <c r="F2669" s="85">
        <f>STATS1003B!F2677/1000</f>
        <v>0</v>
      </c>
      <c r="G2669" s="85">
        <f>STATS1003B!G2677/1000</f>
        <v>0</v>
      </c>
      <c r="H2669" s="85">
        <f>STATS1003B!H2677/1000</f>
        <v>0</v>
      </c>
      <c r="I2669" s="85">
        <f>STATS1003B!I2677/1000</f>
        <v>0</v>
      </c>
      <c r="J2669" s="85">
        <f>STATS1003B!J2677/1000</f>
        <v>0</v>
      </c>
      <c r="K2669" s="85">
        <f>STATS1003B!K2677/1000</f>
        <v>0</v>
      </c>
      <c r="L2669" s="85">
        <f>STATS1003B!L2677/1000</f>
        <v>0</v>
      </c>
      <c r="M2669" s="85">
        <f>STATS1003B!M2677/1000</f>
        <v>0</v>
      </c>
      <c r="N2669" s="85">
        <f>STATS1003B!N2677/1000</f>
        <v>2098.6645899999999</v>
      </c>
      <c r="O2669" s="85">
        <f>STATS1003B!O2677/1000</f>
        <v>0</v>
      </c>
      <c r="P2669" s="85">
        <f>STATS1003B!P2677/1000</f>
        <v>2098.6645899999999</v>
      </c>
      <c r="Q2669" s="85">
        <f>STATS1003B!Q2677/1000</f>
        <v>0</v>
      </c>
      <c r="R2669" s="85">
        <f>STATS1003B!R2677/1000</f>
        <v>0</v>
      </c>
      <c r="S2669" s="85">
        <f>STATS1003B!S2677/1000</f>
        <v>0</v>
      </c>
      <c r="T2669" s="85">
        <f>STATS1003B!T2677/1000</f>
        <v>0</v>
      </c>
      <c r="U2669" s="85">
        <f>STATS1003B!U2677/1000</f>
        <v>2098.6645899999999</v>
      </c>
      <c r="V2669" s="85">
        <f>STATS1003B!V2677/1000</f>
        <v>2098.6645899999999</v>
      </c>
      <c r="W2669" s="85">
        <f>STATS1003B!W2677/1000</f>
        <v>0</v>
      </c>
      <c r="X2669" s="85">
        <f>STATS1003B!X2677/1000</f>
        <v>2098.6645899999999</v>
      </c>
      <c r="Y2669" s="85">
        <f>STATS1003B!Y2677/1000</f>
        <v>0</v>
      </c>
      <c r="Z2669" s="85">
        <f>STATS1003B!Z2677/1000</f>
        <v>0</v>
      </c>
      <c r="AA2669" s="69">
        <f>STATS1003B!AA2677/1000</f>
        <v>2098.6645899999999</v>
      </c>
      <c r="AB2669" s="69">
        <f>STATS1003B!AB2677/1000</f>
        <v>0</v>
      </c>
    </row>
    <row r="2670" spans="1:28" hidden="1" x14ac:dyDescent="0.3">
      <c r="A2670" s="117"/>
      <c r="C2670" s="68" t="s">
        <v>147</v>
      </c>
      <c r="D2670" s="87" t="s">
        <v>85</v>
      </c>
      <c r="E2670" s="85">
        <f>STATS1003B!E2678/1000</f>
        <v>272.73</v>
      </c>
      <c r="F2670" s="85">
        <f>STATS1003B!F2678/1000</f>
        <v>0</v>
      </c>
      <c r="G2670" s="85">
        <f>STATS1003B!G2678/1000</f>
        <v>0</v>
      </c>
      <c r="H2670" s="85">
        <f>STATS1003B!H2678/1000</f>
        <v>0</v>
      </c>
      <c r="I2670" s="85">
        <f>STATS1003B!I2678/1000</f>
        <v>0</v>
      </c>
      <c r="J2670" s="85">
        <f>STATS1003B!J2678/1000</f>
        <v>0</v>
      </c>
      <c r="K2670" s="85">
        <f>STATS1003B!K2678/1000</f>
        <v>0</v>
      </c>
      <c r="L2670" s="85">
        <f>STATS1003B!L2678/1000</f>
        <v>0</v>
      </c>
      <c r="M2670" s="85">
        <f>STATS1003B!M2678/1000</f>
        <v>0</v>
      </c>
      <c r="N2670" s="85">
        <f>STATS1003B!N2678/1000</f>
        <v>272.73</v>
      </c>
      <c r="O2670" s="85">
        <f>STATS1003B!O2678/1000</f>
        <v>0</v>
      </c>
      <c r="P2670" s="85">
        <f>STATS1003B!P2678/1000</f>
        <v>272.73</v>
      </c>
      <c r="Q2670" s="85">
        <f>STATS1003B!Q2678/1000</f>
        <v>0</v>
      </c>
      <c r="R2670" s="85">
        <f>STATS1003B!R2678/1000</f>
        <v>0</v>
      </c>
      <c r="S2670" s="85">
        <f>STATS1003B!S2678/1000</f>
        <v>0</v>
      </c>
      <c r="T2670" s="85">
        <f>STATS1003B!T2678/1000</f>
        <v>0</v>
      </c>
      <c r="U2670" s="85">
        <f>STATS1003B!U2678/1000</f>
        <v>272.73</v>
      </c>
      <c r="V2670" s="85">
        <f>STATS1003B!V2678/1000</f>
        <v>272.73</v>
      </c>
      <c r="W2670" s="85">
        <f>STATS1003B!W2678/1000</f>
        <v>0</v>
      </c>
      <c r="X2670" s="85">
        <f>STATS1003B!X2678/1000</f>
        <v>272.73</v>
      </c>
      <c r="Y2670" s="85">
        <f>STATS1003B!Y2678/1000</f>
        <v>0</v>
      </c>
      <c r="Z2670" s="85">
        <f>STATS1003B!Z2678/1000</f>
        <v>0</v>
      </c>
      <c r="AA2670" s="69">
        <f>STATS1003B!AA2678/1000</f>
        <v>272.73</v>
      </c>
      <c r="AB2670" s="69">
        <f>STATS1003B!AB2678/1000</f>
        <v>0</v>
      </c>
    </row>
    <row r="2671" spans="1:28" hidden="1" x14ac:dyDescent="0.3">
      <c r="A2671" s="117"/>
      <c r="C2671" s="71" t="s">
        <v>109</v>
      </c>
      <c r="D2671" s="88" t="s">
        <v>60</v>
      </c>
      <c r="E2671" s="85">
        <f>STATS1003B!E2679/1000</f>
        <v>5000</v>
      </c>
      <c r="F2671" s="85">
        <f>STATS1003B!F2679/1000</f>
        <v>5000</v>
      </c>
      <c r="G2671" s="85">
        <f>STATS1003B!G2679/1000</f>
        <v>0</v>
      </c>
      <c r="H2671" s="85">
        <f>STATS1003B!H2679/1000</f>
        <v>5000</v>
      </c>
      <c r="I2671" s="85">
        <f>STATS1003B!I2679/1000</f>
        <v>0</v>
      </c>
      <c r="J2671" s="85">
        <f>STATS1003B!J2679/1000</f>
        <v>0</v>
      </c>
      <c r="K2671" s="85">
        <f>STATS1003B!K2679/1000</f>
        <v>0</v>
      </c>
      <c r="L2671" s="85">
        <f>STATS1003B!L2679/1000</f>
        <v>0</v>
      </c>
      <c r="M2671" s="85">
        <f>STATS1003B!M2679/1000</f>
        <v>5000</v>
      </c>
      <c r="N2671" s="85">
        <f>STATS1003B!N2679/1000</f>
        <v>0</v>
      </c>
      <c r="O2671" s="85">
        <f>STATS1003B!O2679/1000</f>
        <v>0</v>
      </c>
      <c r="P2671" s="85">
        <f>STATS1003B!P2679/1000</f>
        <v>0</v>
      </c>
      <c r="Q2671" s="85">
        <f>STATS1003B!Q2679/1000</f>
        <v>0</v>
      </c>
      <c r="R2671" s="85">
        <f>STATS1003B!R2679/1000</f>
        <v>0</v>
      </c>
      <c r="S2671" s="85">
        <f>STATS1003B!S2679/1000</f>
        <v>0</v>
      </c>
      <c r="T2671" s="85">
        <f>STATS1003B!T2679/1000</f>
        <v>0</v>
      </c>
      <c r="U2671" s="85">
        <f>STATS1003B!U2679/1000</f>
        <v>0</v>
      </c>
      <c r="V2671" s="85">
        <f>STATS1003B!V2679/1000</f>
        <v>5000</v>
      </c>
      <c r="W2671" s="85">
        <f>STATS1003B!W2679/1000</f>
        <v>0</v>
      </c>
      <c r="X2671" s="85">
        <f>STATS1003B!X2679/1000</f>
        <v>5000</v>
      </c>
      <c r="Y2671" s="85">
        <f>STATS1003B!Y2679/1000</f>
        <v>0</v>
      </c>
      <c r="Z2671" s="85">
        <f>STATS1003B!Z2679/1000</f>
        <v>0</v>
      </c>
      <c r="AA2671" s="69">
        <f>STATS1003B!AA2679/1000</f>
        <v>5000</v>
      </c>
      <c r="AB2671" s="69">
        <f>STATS1003B!AB2679/1000</f>
        <v>0</v>
      </c>
    </row>
    <row r="2672" spans="1:28" hidden="1" x14ac:dyDescent="0.3">
      <c r="A2672" s="117"/>
      <c r="C2672" s="71" t="s">
        <v>930</v>
      </c>
      <c r="D2672" s="89" t="s">
        <v>1072</v>
      </c>
      <c r="E2672" s="85">
        <f>STATS1003B!E2680/1000</f>
        <v>1677.2471800000001</v>
      </c>
      <c r="F2672" s="85">
        <f>STATS1003B!F2680/1000</f>
        <v>1677.2471800000001</v>
      </c>
      <c r="G2672" s="85">
        <f>STATS1003B!G2680/1000</f>
        <v>0</v>
      </c>
      <c r="H2672" s="85">
        <f>STATS1003B!H2680/1000</f>
        <v>1677.2471800000001</v>
      </c>
      <c r="I2672" s="85">
        <f>STATS1003B!I2680/1000</f>
        <v>0</v>
      </c>
      <c r="J2672" s="85">
        <f>STATS1003B!J2680/1000</f>
        <v>0</v>
      </c>
      <c r="K2672" s="85">
        <f>STATS1003B!K2680/1000</f>
        <v>0</v>
      </c>
      <c r="L2672" s="85">
        <f>STATS1003B!L2680/1000</f>
        <v>0</v>
      </c>
      <c r="M2672" s="85">
        <f>STATS1003B!M2680/1000</f>
        <v>1677.2471800000001</v>
      </c>
      <c r="N2672" s="85">
        <f>STATS1003B!N2680/1000</f>
        <v>0</v>
      </c>
      <c r="O2672" s="85">
        <f>STATS1003B!O2680/1000</f>
        <v>0</v>
      </c>
      <c r="P2672" s="85">
        <f>STATS1003B!P2680/1000</f>
        <v>0</v>
      </c>
      <c r="Q2672" s="85">
        <f>STATS1003B!Q2680/1000</f>
        <v>0</v>
      </c>
      <c r="R2672" s="85">
        <f>STATS1003B!R2680/1000</f>
        <v>0</v>
      </c>
      <c r="S2672" s="85">
        <f>STATS1003B!S2680/1000</f>
        <v>0</v>
      </c>
      <c r="T2672" s="85">
        <f>STATS1003B!T2680/1000</f>
        <v>0</v>
      </c>
      <c r="U2672" s="85">
        <f>STATS1003B!U2680/1000</f>
        <v>0</v>
      </c>
      <c r="V2672" s="85">
        <f>STATS1003B!V2680/1000</f>
        <v>1677.2471800000001</v>
      </c>
      <c r="W2672" s="85">
        <f>STATS1003B!W2680/1000</f>
        <v>0</v>
      </c>
      <c r="X2672" s="85">
        <f>STATS1003B!X2680/1000</f>
        <v>1677.2471800000001</v>
      </c>
      <c r="Y2672" s="85">
        <f>STATS1003B!Y2680/1000</f>
        <v>0</v>
      </c>
      <c r="Z2672" s="85">
        <f>STATS1003B!Z2680/1000</f>
        <v>0</v>
      </c>
      <c r="AA2672" s="69">
        <f>STATS1003B!AA2680/1000</f>
        <v>1677.2471800000001</v>
      </c>
      <c r="AB2672" s="69">
        <f>STATS1003B!AB2680/1000</f>
        <v>0</v>
      </c>
    </row>
    <row r="2673" spans="1:28" hidden="1" x14ac:dyDescent="0.3">
      <c r="A2673" s="117"/>
      <c r="C2673" s="71" t="s">
        <v>1146</v>
      </c>
      <c r="D2673" s="89" t="s">
        <v>1072</v>
      </c>
      <c r="E2673" s="85">
        <f>STATS1003B!E2681/1000</f>
        <v>2146.0677000000001</v>
      </c>
      <c r="F2673" s="85">
        <f>STATS1003B!F2681/1000</f>
        <v>2146.0677000000001</v>
      </c>
      <c r="G2673" s="85">
        <f>STATS1003B!G2681/1000</f>
        <v>0</v>
      </c>
      <c r="H2673" s="85">
        <f>STATS1003B!H2681/1000</f>
        <v>2146.0677000000001</v>
      </c>
      <c r="I2673" s="85">
        <f>STATS1003B!I2681/1000</f>
        <v>0</v>
      </c>
      <c r="J2673" s="85">
        <f>STATS1003B!J2681/1000</f>
        <v>0</v>
      </c>
      <c r="K2673" s="85">
        <f>STATS1003B!K2681/1000</f>
        <v>0</v>
      </c>
      <c r="L2673" s="85">
        <f>STATS1003B!L2681/1000</f>
        <v>0</v>
      </c>
      <c r="M2673" s="85">
        <f>STATS1003B!M2681/1000</f>
        <v>2146.0677000000001</v>
      </c>
      <c r="N2673" s="85">
        <f>STATS1003B!N2681/1000</f>
        <v>0</v>
      </c>
      <c r="O2673" s="85">
        <f>STATS1003B!O2681/1000</f>
        <v>0</v>
      </c>
      <c r="P2673" s="85">
        <f>STATS1003B!P2681/1000</f>
        <v>0</v>
      </c>
      <c r="Q2673" s="85">
        <f>STATS1003B!Q2681/1000</f>
        <v>0</v>
      </c>
      <c r="R2673" s="85">
        <f>STATS1003B!R2681/1000</f>
        <v>0</v>
      </c>
      <c r="S2673" s="85">
        <f>STATS1003B!S2681/1000</f>
        <v>0</v>
      </c>
      <c r="T2673" s="85">
        <f>STATS1003B!T2681/1000</f>
        <v>0</v>
      </c>
      <c r="U2673" s="85">
        <f>STATS1003B!U2681/1000</f>
        <v>0</v>
      </c>
      <c r="V2673" s="85">
        <f>STATS1003B!V2681/1000</f>
        <v>2146.0677000000001</v>
      </c>
      <c r="W2673" s="85">
        <f>STATS1003B!W2681/1000</f>
        <v>0</v>
      </c>
      <c r="X2673" s="85">
        <f>STATS1003B!X2681/1000</f>
        <v>2146.0677000000001</v>
      </c>
      <c r="Y2673" s="85">
        <f>STATS1003B!Y2681/1000</f>
        <v>0</v>
      </c>
      <c r="Z2673" s="85">
        <f>STATS1003B!Z2681/1000</f>
        <v>0</v>
      </c>
      <c r="AA2673" s="69">
        <f>STATS1003B!AA2681/1000</f>
        <v>2146.0677000000001</v>
      </c>
      <c r="AB2673" s="69">
        <f>STATS1003B!AB2681/1000</f>
        <v>0</v>
      </c>
    </row>
    <row r="2674" spans="1:28" hidden="1" x14ac:dyDescent="0.3">
      <c r="A2674" s="117"/>
      <c r="C2674" s="71" t="s">
        <v>1106</v>
      </c>
      <c r="D2674" s="89" t="s">
        <v>1072</v>
      </c>
      <c r="E2674" s="85">
        <f>STATS1003B!E2682/1000</f>
        <v>6205.0920400000005</v>
      </c>
      <c r="F2674" s="85">
        <f>STATS1003B!F2682/1000</f>
        <v>6205.0920400000005</v>
      </c>
      <c r="G2674" s="85">
        <f>STATS1003B!G2682/1000</f>
        <v>0</v>
      </c>
      <c r="H2674" s="85">
        <f>STATS1003B!H2682/1000</f>
        <v>6205.0920400000005</v>
      </c>
      <c r="I2674" s="85">
        <f>STATS1003B!I2682/1000</f>
        <v>0</v>
      </c>
      <c r="J2674" s="85">
        <f>STATS1003B!J2682/1000</f>
        <v>0</v>
      </c>
      <c r="K2674" s="85">
        <f>STATS1003B!K2682/1000</f>
        <v>0</v>
      </c>
      <c r="L2674" s="85">
        <f>STATS1003B!L2682/1000</f>
        <v>0</v>
      </c>
      <c r="M2674" s="85">
        <f>STATS1003B!M2682/1000</f>
        <v>6205.0920400000005</v>
      </c>
      <c r="N2674" s="85">
        <f>STATS1003B!N2682/1000</f>
        <v>0</v>
      </c>
      <c r="O2674" s="85">
        <f>STATS1003B!O2682/1000</f>
        <v>0</v>
      </c>
      <c r="P2674" s="85">
        <f>STATS1003B!P2682/1000</f>
        <v>0</v>
      </c>
      <c r="Q2674" s="85">
        <f>STATS1003B!Q2682/1000</f>
        <v>0</v>
      </c>
      <c r="R2674" s="85">
        <f>STATS1003B!R2682/1000</f>
        <v>0</v>
      </c>
      <c r="S2674" s="85">
        <f>STATS1003B!S2682/1000</f>
        <v>0</v>
      </c>
      <c r="T2674" s="85">
        <f>STATS1003B!T2682/1000</f>
        <v>0</v>
      </c>
      <c r="U2674" s="85">
        <f>STATS1003B!U2682/1000</f>
        <v>0</v>
      </c>
      <c r="V2674" s="85">
        <f>STATS1003B!V2682/1000</f>
        <v>6205.0920400000005</v>
      </c>
      <c r="W2674" s="85">
        <f>STATS1003B!W2682/1000</f>
        <v>0</v>
      </c>
      <c r="X2674" s="85">
        <f>STATS1003B!X2682/1000</f>
        <v>6205.0920400000005</v>
      </c>
      <c r="Y2674" s="85">
        <f>STATS1003B!Y2682/1000</f>
        <v>0</v>
      </c>
      <c r="Z2674" s="85">
        <f>STATS1003B!Z2682/1000</f>
        <v>0</v>
      </c>
      <c r="AA2674" s="69">
        <f>STATS1003B!AA2682/1000</f>
        <v>6205.0920400000005</v>
      </c>
      <c r="AB2674" s="69">
        <f>STATS1003B!AB2682/1000</f>
        <v>0</v>
      </c>
    </row>
    <row r="2675" spans="1:28" hidden="1" x14ac:dyDescent="0.3">
      <c r="A2675" s="117"/>
      <c r="C2675" s="126" t="s">
        <v>1233</v>
      </c>
      <c r="D2675" s="89" t="s">
        <v>1225</v>
      </c>
      <c r="E2675" s="85">
        <f>STATS1003B!E2683/1000</f>
        <v>472.22002000000003</v>
      </c>
      <c r="F2675" s="85">
        <f>STATS1003B!F2683/1000</f>
        <v>472.22002000000003</v>
      </c>
      <c r="G2675" s="85">
        <f>STATS1003B!G2683/1000</f>
        <v>0</v>
      </c>
      <c r="H2675" s="85">
        <f>STATS1003B!H2683/1000</f>
        <v>472.22002000000003</v>
      </c>
      <c r="I2675" s="85">
        <f>STATS1003B!I2683/1000</f>
        <v>0</v>
      </c>
      <c r="J2675" s="85">
        <f>STATS1003B!J2683/1000</f>
        <v>0</v>
      </c>
      <c r="K2675" s="85">
        <f>STATS1003B!K2683/1000</f>
        <v>0</v>
      </c>
      <c r="L2675" s="85">
        <f>STATS1003B!L2683/1000</f>
        <v>0</v>
      </c>
      <c r="M2675" s="85">
        <f>STATS1003B!M2683/1000</f>
        <v>472.22002000000003</v>
      </c>
      <c r="N2675" s="85">
        <f>STATS1003B!N2683/1000</f>
        <v>0</v>
      </c>
      <c r="O2675" s="85">
        <f>STATS1003B!O2683/1000</f>
        <v>0</v>
      </c>
      <c r="P2675" s="85">
        <f>STATS1003B!P2683/1000</f>
        <v>0</v>
      </c>
      <c r="Q2675" s="85">
        <f>STATS1003B!Q2683/1000</f>
        <v>0</v>
      </c>
      <c r="R2675" s="85">
        <f>STATS1003B!R2683/1000</f>
        <v>0</v>
      </c>
      <c r="S2675" s="85">
        <f>STATS1003B!S2683/1000</f>
        <v>0</v>
      </c>
      <c r="T2675" s="85">
        <f>STATS1003B!T2683/1000</f>
        <v>0</v>
      </c>
      <c r="U2675" s="85">
        <f>STATS1003B!U2683/1000</f>
        <v>0</v>
      </c>
      <c r="V2675" s="85">
        <f>STATS1003B!V2683/1000</f>
        <v>0</v>
      </c>
      <c r="W2675" s="85">
        <f>STATS1003B!W2683/1000</f>
        <v>0</v>
      </c>
      <c r="X2675" s="85">
        <f>STATS1003B!X2683/1000</f>
        <v>472.22002000000003</v>
      </c>
      <c r="Y2675" s="85">
        <f>STATS1003B!Y2683/1000</f>
        <v>0</v>
      </c>
      <c r="Z2675" s="85">
        <f>STATS1003B!Z2683/1000</f>
        <v>0</v>
      </c>
      <c r="AA2675" s="69">
        <f>STATS1003B!AA2683/1000</f>
        <v>472.22002000000003</v>
      </c>
      <c r="AB2675" s="69">
        <f>STATS1003B!AB2683/1000</f>
        <v>0</v>
      </c>
    </row>
    <row r="2676" spans="1:28" hidden="1" x14ac:dyDescent="0.3">
      <c r="A2676" s="117"/>
      <c r="C2676" s="126" t="s">
        <v>1247</v>
      </c>
      <c r="D2676" s="89" t="s">
        <v>1225</v>
      </c>
      <c r="E2676" s="85">
        <f>STATS1003B!E2684/1000</f>
        <v>300</v>
      </c>
      <c r="F2676" s="85">
        <f>STATS1003B!F2684/1000</f>
        <v>300</v>
      </c>
      <c r="G2676" s="85">
        <f>STATS1003B!G2684/1000</f>
        <v>0</v>
      </c>
      <c r="H2676" s="85">
        <f>STATS1003B!H2684/1000</f>
        <v>300</v>
      </c>
      <c r="I2676" s="85">
        <f>STATS1003B!I2684/1000</f>
        <v>0</v>
      </c>
      <c r="J2676" s="85">
        <f>STATS1003B!J2684/1000</f>
        <v>0</v>
      </c>
      <c r="K2676" s="85">
        <f>STATS1003B!K2684/1000</f>
        <v>0</v>
      </c>
      <c r="L2676" s="85">
        <f>STATS1003B!L2684/1000</f>
        <v>0</v>
      </c>
      <c r="M2676" s="85">
        <f>STATS1003B!M2684/1000</f>
        <v>300</v>
      </c>
      <c r="N2676" s="85">
        <f>STATS1003B!N2684/1000</f>
        <v>0</v>
      </c>
      <c r="O2676" s="85">
        <f>STATS1003B!O2684/1000</f>
        <v>0</v>
      </c>
      <c r="P2676" s="85">
        <f>STATS1003B!P2684/1000</f>
        <v>0</v>
      </c>
      <c r="Q2676" s="85">
        <f>STATS1003B!Q2684/1000</f>
        <v>0</v>
      </c>
      <c r="R2676" s="85">
        <f>STATS1003B!R2684/1000</f>
        <v>0</v>
      </c>
      <c r="S2676" s="85">
        <f>STATS1003B!S2684/1000</f>
        <v>0</v>
      </c>
      <c r="T2676" s="85">
        <f>STATS1003B!T2684/1000</f>
        <v>0</v>
      </c>
      <c r="U2676" s="85">
        <f>STATS1003B!U2684/1000</f>
        <v>0</v>
      </c>
      <c r="V2676" s="85">
        <f>STATS1003B!V2684/1000</f>
        <v>0</v>
      </c>
      <c r="W2676" s="85">
        <f>STATS1003B!W2684/1000</f>
        <v>0</v>
      </c>
      <c r="X2676" s="85">
        <f>STATS1003B!X2684/1000</f>
        <v>300</v>
      </c>
      <c r="Y2676" s="85">
        <f>STATS1003B!Y2684/1000</f>
        <v>0</v>
      </c>
      <c r="Z2676" s="85">
        <f>STATS1003B!Z2684/1000</f>
        <v>0</v>
      </c>
      <c r="AA2676" s="69">
        <f>STATS1003B!AA2684/1000</f>
        <v>300</v>
      </c>
      <c r="AB2676" s="69">
        <f>STATS1003B!AB2684/1000</f>
        <v>0</v>
      </c>
    </row>
    <row r="2677" spans="1:28" hidden="1" x14ac:dyDescent="0.3">
      <c r="A2677" s="117"/>
      <c r="C2677" s="71" t="s">
        <v>1176</v>
      </c>
      <c r="D2677" s="89" t="s">
        <v>1126</v>
      </c>
      <c r="E2677" s="85">
        <f>STATS1003B!E2685/1000</f>
        <v>2273.8987999999999</v>
      </c>
      <c r="F2677" s="85">
        <f>STATS1003B!F2685/1000</f>
        <v>2273.8987999999999</v>
      </c>
      <c r="G2677" s="85">
        <f>STATS1003B!G2685/1000</f>
        <v>0</v>
      </c>
      <c r="H2677" s="85">
        <f>STATS1003B!H2685/1000</f>
        <v>2273.8987999999999</v>
      </c>
      <c r="I2677" s="85">
        <f>STATS1003B!I2685/1000</f>
        <v>0</v>
      </c>
      <c r="J2677" s="85">
        <f>STATS1003B!J2685/1000</f>
        <v>0</v>
      </c>
      <c r="K2677" s="85">
        <f>STATS1003B!K2685/1000</f>
        <v>0</v>
      </c>
      <c r="L2677" s="85">
        <f>STATS1003B!L2685/1000</f>
        <v>0</v>
      </c>
      <c r="M2677" s="85">
        <f>STATS1003B!M2685/1000</f>
        <v>2273.8987999999999</v>
      </c>
      <c r="N2677" s="85">
        <f>STATS1003B!N2685/1000</f>
        <v>0</v>
      </c>
      <c r="O2677" s="85">
        <f>STATS1003B!O2685/1000</f>
        <v>0</v>
      </c>
      <c r="P2677" s="85">
        <f>STATS1003B!P2685/1000</f>
        <v>0</v>
      </c>
      <c r="Q2677" s="85">
        <f>STATS1003B!Q2685/1000</f>
        <v>0</v>
      </c>
      <c r="R2677" s="85">
        <f>STATS1003B!R2685/1000</f>
        <v>0</v>
      </c>
      <c r="S2677" s="85">
        <f>STATS1003B!S2685/1000</f>
        <v>0</v>
      </c>
      <c r="T2677" s="85">
        <f>STATS1003B!T2685/1000</f>
        <v>0</v>
      </c>
      <c r="U2677" s="85">
        <f>STATS1003B!U2685/1000</f>
        <v>0</v>
      </c>
      <c r="V2677" s="85">
        <f>STATS1003B!V2685/1000</f>
        <v>2273.8987999999999</v>
      </c>
      <c r="W2677" s="85">
        <f>STATS1003B!W2685/1000</f>
        <v>0</v>
      </c>
      <c r="X2677" s="85">
        <f>STATS1003B!X2685/1000</f>
        <v>2273.8987999999999</v>
      </c>
      <c r="Y2677" s="85">
        <f>STATS1003B!Y2685/1000</f>
        <v>0</v>
      </c>
      <c r="Z2677" s="85">
        <f>STATS1003B!Z2685/1000</f>
        <v>0</v>
      </c>
      <c r="AA2677" s="69">
        <f>STATS1003B!AA2685/1000</f>
        <v>2273.8987999999999</v>
      </c>
      <c r="AB2677" s="69">
        <f>STATS1003B!AB2685/1000</f>
        <v>0</v>
      </c>
    </row>
    <row r="2678" spans="1:28" hidden="1" x14ac:dyDescent="0.3">
      <c r="A2678" s="117"/>
      <c r="C2678" s="71" t="s">
        <v>1194</v>
      </c>
      <c r="D2678" s="89" t="s">
        <v>1126</v>
      </c>
      <c r="E2678" s="85">
        <f>STATS1003B!E2686/1000</f>
        <v>786.35751000000005</v>
      </c>
      <c r="F2678" s="85">
        <f>STATS1003B!F2686/1000</f>
        <v>786.35751000000005</v>
      </c>
      <c r="G2678" s="85">
        <f>STATS1003B!G2686/1000</f>
        <v>0</v>
      </c>
      <c r="H2678" s="85">
        <f>STATS1003B!H2686/1000</f>
        <v>786.35751000000005</v>
      </c>
      <c r="I2678" s="85">
        <f>STATS1003B!I2686/1000</f>
        <v>0</v>
      </c>
      <c r="J2678" s="85">
        <f>STATS1003B!J2686/1000</f>
        <v>0</v>
      </c>
      <c r="K2678" s="85">
        <f>STATS1003B!K2686/1000</f>
        <v>0</v>
      </c>
      <c r="L2678" s="85">
        <f>STATS1003B!L2686/1000</f>
        <v>0</v>
      </c>
      <c r="M2678" s="85">
        <f>STATS1003B!M2686/1000</f>
        <v>786.35751000000005</v>
      </c>
      <c r="N2678" s="85">
        <f>STATS1003B!N2686/1000</f>
        <v>0</v>
      </c>
      <c r="O2678" s="85">
        <f>STATS1003B!O2686/1000</f>
        <v>0</v>
      </c>
      <c r="P2678" s="85">
        <f>STATS1003B!P2686/1000</f>
        <v>0</v>
      </c>
      <c r="Q2678" s="85">
        <f>STATS1003B!Q2686/1000</f>
        <v>0</v>
      </c>
      <c r="R2678" s="85">
        <f>STATS1003B!R2686/1000</f>
        <v>0</v>
      </c>
      <c r="S2678" s="85">
        <f>STATS1003B!S2686/1000</f>
        <v>0</v>
      </c>
      <c r="T2678" s="85">
        <f>STATS1003B!T2686/1000</f>
        <v>0</v>
      </c>
      <c r="U2678" s="85">
        <f>STATS1003B!U2686/1000</f>
        <v>0</v>
      </c>
      <c r="V2678" s="85">
        <f>STATS1003B!V2686/1000</f>
        <v>786.35751000000005</v>
      </c>
      <c r="W2678" s="85">
        <f>STATS1003B!W2686/1000</f>
        <v>0</v>
      </c>
      <c r="X2678" s="85">
        <f>STATS1003B!X2686/1000</f>
        <v>786.35751000000005</v>
      </c>
      <c r="Y2678" s="85">
        <f>STATS1003B!Y2686/1000</f>
        <v>0</v>
      </c>
      <c r="Z2678" s="85">
        <f>STATS1003B!Z2686/1000</f>
        <v>0</v>
      </c>
      <c r="AA2678" s="69">
        <f>STATS1003B!AA2686/1000</f>
        <v>786.35751000000005</v>
      </c>
      <c r="AB2678" s="69">
        <f>STATS1003B!AB2686/1000</f>
        <v>0</v>
      </c>
    </row>
    <row r="2679" spans="1:28" hidden="1" x14ac:dyDescent="0.3">
      <c r="A2679" s="117"/>
      <c r="C2679" s="71" t="s">
        <v>57</v>
      </c>
      <c r="D2679" s="88" t="s">
        <v>60</v>
      </c>
      <c r="E2679" s="85">
        <f>STATS1003B!E2687/1000</f>
        <v>1900</v>
      </c>
      <c r="F2679" s="85">
        <f>STATS1003B!F2687/1000</f>
        <v>1900</v>
      </c>
      <c r="G2679" s="85">
        <f>STATS1003B!G2687/1000</f>
        <v>0</v>
      </c>
      <c r="H2679" s="85">
        <f>STATS1003B!H2687/1000</f>
        <v>1900</v>
      </c>
      <c r="I2679" s="85">
        <f>STATS1003B!I2687/1000</f>
        <v>0</v>
      </c>
      <c r="J2679" s="85">
        <f>STATS1003B!J2687/1000</f>
        <v>0</v>
      </c>
      <c r="K2679" s="85">
        <f>STATS1003B!K2687/1000</f>
        <v>0</v>
      </c>
      <c r="L2679" s="85">
        <f>STATS1003B!L2687/1000</f>
        <v>0</v>
      </c>
      <c r="M2679" s="85">
        <f>STATS1003B!M2687/1000</f>
        <v>1900</v>
      </c>
      <c r="N2679" s="85">
        <f>STATS1003B!N2687/1000</f>
        <v>0</v>
      </c>
      <c r="O2679" s="85">
        <f>STATS1003B!O2687/1000</f>
        <v>0</v>
      </c>
      <c r="P2679" s="85">
        <f>STATS1003B!P2687/1000</f>
        <v>0</v>
      </c>
      <c r="Q2679" s="85">
        <f>STATS1003B!Q2687/1000</f>
        <v>0</v>
      </c>
      <c r="R2679" s="85">
        <f>STATS1003B!R2687/1000</f>
        <v>0</v>
      </c>
      <c r="S2679" s="85">
        <f>STATS1003B!S2687/1000</f>
        <v>0</v>
      </c>
      <c r="T2679" s="85">
        <f>STATS1003B!T2687/1000</f>
        <v>0</v>
      </c>
      <c r="U2679" s="85">
        <f>STATS1003B!U2687/1000</f>
        <v>0</v>
      </c>
      <c r="V2679" s="85">
        <f>STATS1003B!V2687/1000</f>
        <v>1900</v>
      </c>
      <c r="W2679" s="85">
        <f>STATS1003B!W2687/1000</f>
        <v>0</v>
      </c>
      <c r="X2679" s="85">
        <f>STATS1003B!X2687/1000</f>
        <v>1900</v>
      </c>
      <c r="Y2679" s="85">
        <f>STATS1003B!Y2687/1000</f>
        <v>0</v>
      </c>
      <c r="Z2679" s="85">
        <f>STATS1003B!Z2687/1000</f>
        <v>0</v>
      </c>
      <c r="AA2679" s="69">
        <f>STATS1003B!AA2687/1000</f>
        <v>1900</v>
      </c>
      <c r="AB2679" s="69">
        <f>STATS1003B!AB2687/1000</f>
        <v>0</v>
      </c>
    </row>
    <row r="2680" spans="1:28" hidden="1" x14ac:dyDescent="0.3">
      <c r="A2680" s="117"/>
      <c r="C2680" s="71" t="s">
        <v>57</v>
      </c>
      <c r="D2680" s="88" t="s">
        <v>73</v>
      </c>
      <c r="E2680" s="85">
        <f>STATS1003B!E2688/1000</f>
        <v>2742.0189999999998</v>
      </c>
      <c r="F2680" s="85">
        <f>STATS1003B!F2688/1000</f>
        <v>2742.0189999999998</v>
      </c>
      <c r="G2680" s="85">
        <f>STATS1003B!G2688/1000</f>
        <v>0</v>
      </c>
      <c r="H2680" s="85">
        <f>STATS1003B!H2688/1000</f>
        <v>2742.0189999999998</v>
      </c>
      <c r="I2680" s="85">
        <f>STATS1003B!I2688/1000</f>
        <v>0</v>
      </c>
      <c r="J2680" s="85">
        <f>STATS1003B!J2688/1000</f>
        <v>0</v>
      </c>
      <c r="K2680" s="85">
        <f>STATS1003B!K2688/1000</f>
        <v>0</v>
      </c>
      <c r="L2680" s="85">
        <f>STATS1003B!L2688/1000</f>
        <v>0</v>
      </c>
      <c r="M2680" s="85">
        <f>STATS1003B!M2688/1000</f>
        <v>2742.0189999999998</v>
      </c>
      <c r="N2680" s="85">
        <f>STATS1003B!N2688/1000</f>
        <v>0</v>
      </c>
      <c r="O2680" s="85">
        <f>STATS1003B!O2688/1000</f>
        <v>0</v>
      </c>
      <c r="P2680" s="85">
        <f>STATS1003B!P2688/1000</f>
        <v>0</v>
      </c>
      <c r="Q2680" s="85">
        <f>STATS1003B!Q2688/1000</f>
        <v>0</v>
      </c>
      <c r="R2680" s="85">
        <f>STATS1003B!R2688/1000</f>
        <v>0</v>
      </c>
      <c r="S2680" s="85">
        <f>STATS1003B!S2688/1000</f>
        <v>0</v>
      </c>
      <c r="T2680" s="85">
        <f>STATS1003B!T2688/1000</f>
        <v>0</v>
      </c>
      <c r="U2680" s="85">
        <f>STATS1003B!U2688/1000</f>
        <v>0</v>
      </c>
      <c r="V2680" s="85">
        <f>STATS1003B!V2688/1000</f>
        <v>2742.0189999999998</v>
      </c>
      <c r="W2680" s="85">
        <f>STATS1003B!W2688/1000</f>
        <v>0</v>
      </c>
      <c r="X2680" s="85">
        <f>STATS1003B!X2688/1000</f>
        <v>2742.0189999999998</v>
      </c>
      <c r="Y2680" s="85">
        <f>STATS1003B!Y2688/1000</f>
        <v>0</v>
      </c>
      <c r="Z2680" s="85">
        <f>STATS1003B!Z2688/1000</f>
        <v>0</v>
      </c>
      <c r="AA2680" s="69">
        <f>STATS1003B!AA2688/1000</f>
        <v>2742.0189999999998</v>
      </c>
      <c r="AB2680" s="69">
        <f>STATS1003B!AB2688/1000</f>
        <v>0</v>
      </c>
    </row>
    <row r="2681" spans="1:28" hidden="1" x14ac:dyDescent="0.3">
      <c r="A2681" s="117"/>
      <c r="C2681" s="71" t="s">
        <v>57</v>
      </c>
      <c r="D2681" s="88" t="s">
        <v>61</v>
      </c>
      <c r="E2681" s="85">
        <f>STATS1003B!E2689/1000</f>
        <v>1000</v>
      </c>
      <c r="F2681" s="85">
        <f>STATS1003B!F2689/1000</f>
        <v>1000</v>
      </c>
      <c r="G2681" s="85">
        <f>STATS1003B!G2689/1000</f>
        <v>0</v>
      </c>
      <c r="H2681" s="85">
        <f>STATS1003B!H2689/1000</f>
        <v>1000</v>
      </c>
      <c r="I2681" s="85">
        <f>STATS1003B!I2689/1000</f>
        <v>0</v>
      </c>
      <c r="J2681" s="85">
        <f>STATS1003B!J2689/1000</f>
        <v>0</v>
      </c>
      <c r="K2681" s="85">
        <f>STATS1003B!K2689/1000</f>
        <v>0</v>
      </c>
      <c r="L2681" s="85">
        <f>STATS1003B!L2689/1000</f>
        <v>0</v>
      </c>
      <c r="M2681" s="85">
        <f>STATS1003B!M2689/1000</f>
        <v>1000</v>
      </c>
      <c r="N2681" s="85">
        <f>STATS1003B!N2689/1000</f>
        <v>0</v>
      </c>
      <c r="O2681" s="85">
        <f>STATS1003B!O2689/1000</f>
        <v>0</v>
      </c>
      <c r="P2681" s="85">
        <f>STATS1003B!P2689/1000</f>
        <v>0</v>
      </c>
      <c r="Q2681" s="85">
        <f>STATS1003B!Q2689/1000</f>
        <v>0</v>
      </c>
      <c r="R2681" s="85">
        <f>STATS1003B!R2689/1000</f>
        <v>0</v>
      </c>
      <c r="S2681" s="85">
        <f>STATS1003B!S2689/1000</f>
        <v>0</v>
      </c>
      <c r="T2681" s="85">
        <f>STATS1003B!T2689/1000</f>
        <v>0</v>
      </c>
      <c r="U2681" s="85">
        <f>STATS1003B!U2689/1000</f>
        <v>0</v>
      </c>
      <c r="V2681" s="85">
        <f>STATS1003B!V2689/1000</f>
        <v>1000</v>
      </c>
      <c r="W2681" s="85">
        <f>STATS1003B!W2689/1000</f>
        <v>0</v>
      </c>
      <c r="X2681" s="85">
        <f>STATS1003B!X2689/1000</f>
        <v>1000</v>
      </c>
      <c r="Y2681" s="85">
        <f>STATS1003B!Y2689/1000</f>
        <v>0</v>
      </c>
      <c r="Z2681" s="85">
        <f>STATS1003B!Z2689/1000</f>
        <v>0</v>
      </c>
      <c r="AA2681" s="69">
        <f>STATS1003B!AA2689/1000</f>
        <v>1000</v>
      </c>
      <c r="AB2681" s="69">
        <f>STATS1003B!AB2689/1000</f>
        <v>0</v>
      </c>
    </row>
    <row r="2682" spans="1:28" hidden="1" x14ac:dyDescent="0.3">
      <c r="A2682" s="117"/>
      <c r="E2682" s="86" t="s">
        <v>29</v>
      </c>
      <c r="F2682" s="86" t="s">
        <v>29</v>
      </c>
      <c r="G2682" s="86" t="s">
        <v>29</v>
      </c>
      <c r="H2682" s="86" t="s">
        <v>29</v>
      </c>
      <c r="I2682" s="86" t="s">
        <v>29</v>
      </c>
      <c r="J2682" s="86" t="s">
        <v>29</v>
      </c>
      <c r="K2682" s="86" t="s">
        <v>29</v>
      </c>
      <c r="L2682" s="86" t="s">
        <v>29</v>
      </c>
      <c r="M2682" s="86" t="s">
        <v>29</v>
      </c>
      <c r="N2682" s="86" t="s">
        <v>29</v>
      </c>
      <c r="O2682" s="86" t="s">
        <v>29</v>
      </c>
      <c r="P2682" s="86" t="s">
        <v>29</v>
      </c>
      <c r="Q2682" s="86" t="s">
        <v>29</v>
      </c>
      <c r="R2682" s="86" t="s">
        <v>29</v>
      </c>
      <c r="S2682" s="86" t="s">
        <v>29</v>
      </c>
      <c r="T2682" s="86" t="s">
        <v>29</v>
      </c>
      <c r="U2682" s="86" t="s">
        <v>29</v>
      </c>
      <c r="V2682" s="86" t="s">
        <v>29</v>
      </c>
      <c r="W2682" s="86" t="s">
        <v>29</v>
      </c>
      <c r="X2682" s="86" t="s">
        <v>29</v>
      </c>
      <c r="Y2682" s="86" t="s">
        <v>29</v>
      </c>
      <c r="Z2682" s="86" t="s">
        <v>29</v>
      </c>
      <c r="AA2682" s="115" t="s">
        <v>29</v>
      </c>
      <c r="AB2682" s="115" t="s">
        <v>29</v>
      </c>
    </row>
    <row r="2683" spans="1:28" x14ac:dyDescent="0.3">
      <c r="A2683" s="116">
        <v>116</v>
      </c>
      <c r="B2683" s="68" t="s">
        <v>466</v>
      </c>
      <c r="E2683" s="85">
        <f>115819862.04/1000</f>
        <v>115819.86204000001</v>
      </c>
      <c r="F2683" s="85">
        <f t="shared" ref="F2683:AB2683" si="293">SUM(F2665:F2681)</f>
        <v>35177.969249999995</v>
      </c>
      <c r="G2683" s="85">
        <f t="shared" si="293"/>
        <v>0</v>
      </c>
      <c r="H2683" s="85">
        <f>111116007.69/1000</f>
        <v>111116.00769</v>
      </c>
      <c r="I2683" s="85">
        <f t="shared" si="293"/>
        <v>0</v>
      </c>
      <c r="J2683" s="85">
        <f t="shared" si="293"/>
        <v>0</v>
      </c>
      <c r="K2683" s="85">
        <f t="shared" si="293"/>
        <v>0</v>
      </c>
      <c r="L2683" s="85">
        <f t="shared" si="293"/>
        <v>0</v>
      </c>
      <c r="M2683" s="85">
        <f t="shared" si="293"/>
        <v>35177.969249999995</v>
      </c>
      <c r="N2683" s="85">
        <f t="shared" si="293"/>
        <v>4703.8543499999996</v>
      </c>
      <c r="O2683" s="85">
        <f t="shared" si="293"/>
        <v>0</v>
      </c>
      <c r="P2683" s="85">
        <f>4703854/1000</f>
        <v>4703.8540000000003</v>
      </c>
      <c r="Q2683" s="85">
        <f t="shared" si="293"/>
        <v>0</v>
      </c>
      <c r="R2683" s="85">
        <f t="shared" si="293"/>
        <v>0</v>
      </c>
      <c r="S2683" s="85">
        <f t="shared" si="293"/>
        <v>0</v>
      </c>
      <c r="T2683" s="85">
        <f t="shared" si="293"/>
        <v>0</v>
      </c>
      <c r="U2683" s="85">
        <f t="shared" si="293"/>
        <v>4703.8543499999996</v>
      </c>
      <c r="V2683" s="85">
        <f t="shared" si="293"/>
        <v>39109.603579999995</v>
      </c>
      <c r="W2683" s="85">
        <f t="shared" si="293"/>
        <v>0</v>
      </c>
      <c r="X2683" s="85">
        <f t="shared" ref="X2683:X2746" si="294">+H2683+P2683</f>
        <v>115819.86169000001</v>
      </c>
      <c r="Y2683" s="85">
        <f t="shared" si="293"/>
        <v>0</v>
      </c>
      <c r="Z2683" s="85">
        <f>+E2683-X2683</f>
        <v>3.5000000207219273E-4</v>
      </c>
      <c r="AA2683" s="69">
        <f t="shared" si="293"/>
        <v>39881.823600000003</v>
      </c>
      <c r="AB2683" s="69">
        <f t="shared" si="293"/>
        <v>0</v>
      </c>
    </row>
    <row r="2684" spans="1:28" hidden="1" x14ac:dyDescent="0.3">
      <c r="A2684" s="117"/>
      <c r="E2684" s="86" t="s">
        <v>29</v>
      </c>
      <c r="F2684" s="86" t="s">
        <v>29</v>
      </c>
      <c r="G2684" s="86" t="s">
        <v>29</v>
      </c>
      <c r="H2684" s="86" t="s">
        <v>29</v>
      </c>
      <c r="I2684" s="86" t="s">
        <v>29</v>
      </c>
      <c r="J2684" s="86" t="s">
        <v>29</v>
      </c>
      <c r="K2684" s="86" t="s">
        <v>29</v>
      </c>
      <c r="L2684" s="86" t="s">
        <v>29</v>
      </c>
      <c r="M2684" s="86" t="s">
        <v>29</v>
      </c>
      <c r="N2684" s="86" t="s">
        <v>29</v>
      </c>
      <c r="O2684" s="86" t="s">
        <v>29</v>
      </c>
      <c r="P2684" s="86" t="s">
        <v>29</v>
      </c>
      <c r="Q2684" s="86" t="s">
        <v>29</v>
      </c>
      <c r="R2684" s="86" t="s">
        <v>29</v>
      </c>
      <c r="S2684" s="86" t="s">
        <v>29</v>
      </c>
      <c r="T2684" s="86" t="s">
        <v>29</v>
      </c>
      <c r="U2684" s="86" t="s">
        <v>29</v>
      </c>
      <c r="V2684" s="86" t="s">
        <v>29</v>
      </c>
      <c r="W2684" s="86" t="s">
        <v>29</v>
      </c>
      <c r="X2684" s="85" t="e">
        <f t="shared" si="294"/>
        <v>#VALUE!</v>
      </c>
      <c r="Y2684" s="86" t="s">
        <v>29</v>
      </c>
      <c r="Z2684" s="86" t="s">
        <v>29</v>
      </c>
      <c r="AA2684" s="115" t="s">
        <v>29</v>
      </c>
      <c r="AB2684" s="115" t="s">
        <v>29</v>
      </c>
    </row>
    <row r="2685" spans="1:28" hidden="1" x14ac:dyDescent="0.3">
      <c r="A2685" s="105"/>
      <c r="E2685" s="84"/>
      <c r="F2685" s="84"/>
      <c r="G2685" s="84"/>
      <c r="H2685" s="84"/>
      <c r="I2685" s="84"/>
      <c r="J2685" s="84"/>
      <c r="K2685" s="84"/>
      <c r="L2685" s="84"/>
      <c r="M2685" s="84"/>
      <c r="N2685" s="84"/>
      <c r="O2685" s="84"/>
      <c r="P2685" s="84"/>
      <c r="Q2685" s="84"/>
      <c r="R2685" s="84"/>
      <c r="S2685" s="84"/>
      <c r="T2685" s="84"/>
      <c r="U2685" s="84"/>
      <c r="V2685" s="84"/>
      <c r="W2685" s="84"/>
      <c r="X2685" s="85">
        <f t="shared" si="294"/>
        <v>0</v>
      </c>
      <c r="Y2685" s="84"/>
      <c r="Z2685" s="84"/>
    </row>
    <row r="2686" spans="1:28" hidden="1" x14ac:dyDescent="0.3">
      <c r="A2686" s="117"/>
      <c r="C2686" s="68" t="s">
        <v>57</v>
      </c>
      <c r="D2686" s="87" t="s">
        <v>68</v>
      </c>
      <c r="E2686" s="85">
        <f>STATS1003B!E2694/1000</f>
        <v>405.52098999999998</v>
      </c>
      <c r="F2686" s="85">
        <f>STATS1003B!F2694/1000</f>
        <v>284.20400000000001</v>
      </c>
      <c r="G2686" s="85">
        <f>STATS1003B!G2694/1000</f>
        <v>0</v>
      </c>
      <c r="H2686" s="85">
        <f>STATS1003B!H2694/1000</f>
        <v>284.20400000000001</v>
      </c>
      <c r="I2686" s="85">
        <f>STATS1003B!I2694/1000</f>
        <v>0</v>
      </c>
      <c r="J2686" s="85">
        <f>STATS1003B!J2694/1000</f>
        <v>0</v>
      </c>
      <c r="K2686" s="85">
        <f>STATS1003B!K2694/1000</f>
        <v>0</v>
      </c>
      <c r="L2686" s="85">
        <f>STATS1003B!L2694/1000</f>
        <v>0</v>
      </c>
      <c r="M2686" s="85">
        <f>STATS1003B!M2694/1000</f>
        <v>284.20400000000001</v>
      </c>
      <c r="N2686" s="85">
        <f>STATS1003B!N2694/1000</f>
        <v>121.31699</v>
      </c>
      <c r="O2686" s="85">
        <f>STATS1003B!O2694/1000</f>
        <v>0</v>
      </c>
      <c r="P2686" s="85">
        <f>STATS1003B!P2694/1000</f>
        <v>121.31699</v>
      </c>
      <c r="Q2686" s="85">
        <f>STATS1003B!Q2694/1000</f>
        <v>0</v>
      </c>
      <c r="R2686" s="85">
        <f>STATS1003B!R2694/1000</f>
        <v>0</v>
      </c>
      <c r="S2686" s="85">
        <f>STATS1003B!S2694/1000</f>
        <v>0</v>
      </c>
      <c r="T2686" s="85">
        <f>STATS1003B!T2694/1000</f>
        <v>0</v>
      </c>
      <c r="U2686" s="85">
        <f>STATS1003B!U2694/1000</f>
        <v>121.31699</v>
      </c>
      <c r="V2686" s="85">
        <f>STATS1003B!V2694/1000</f>
        <v>405.52098999999998</v>
      </c>
      <c r="W2686" s="85">
        <f>STATS1003B!W2694/1000</f>
        <v>0</v>
      </c>
      <c r="X2686" s="85">
        <f t="shared" si="294"/>
        <v>405.52098999999998</v>
      </c>
      <c r="Y2686" s="85">
        <f>STATS1003B!Y2694/1000</f>
        <v>0</v>
      </c>
      <c r="Z2686" s="85">
        <f>STATS1003B!Z2694/1000</f>
        <v>0</v>
      </c>
      <c r="AA2686" s="69">
        <f>STATS1003B!AA2694/1000</f>
        <v>405.52098999999998</v>
      </c>
      <c r="AB2686" s="69">
        <f>STATS1003B!AB2694/1000</f>
        <v>0</v>
      </c>
    </row>
    <row r="2687" spans="1:28" hidden="1" x14ac:dyDescent="0.3">
      <c r="A2687" s="117"/>
      <c r="C2687" s="68" t="s">
        <v>53</v>
      </c>
      <c r="D2687" s="87" t="s">
        <v>68</v>
      </c>
      <c r="E2687" s="85">
        <f>STATS1003B!E2695/1000</f>
        <v>1953.989</v>
      </c>
      <c r="F2687" s="85">
        <f>STATS1003B!F2695/1000</f>
        <v>0</v>
      </c>
      <c r="G2687" s="85">
        <f>STATS1003B!G2695/1000</f>
        <v>0</v>
      </c>
      <c r="H2687" s="85">
        <f>STATS1003B!H2695/1000</f>
        <v>0</v>
      </c>
      <c r="I2687" s="85">
        <f>STATS1003B!I2695/1000</f>
        <v>0</v>
      </c>
      <c r="J2687" s="85">
        <f>STATS1003B!J2695/1000</f>
        <v>0</v>
      </c>
      <c r="K2687" s="85">
        <f>STATS1003B!K2695/1000</f>
        <v>0</v>
      </c>
      <c r="L2687" s="85">
        <f>STATS1003B!L2695/1000</f>
        <v>0</v>
      </c>
      <c r="M2687" s="85">
        <f>STATS1003B!M2695/1000</f>
        <v>0</v>
      </c>
      <c r="N2687" s="85">
        <f>STATS1003B!N2695/1000</f>
        <v>1953.989</v>
      </c>
      <c r="O2687" s="85">
        <f>STATS1003B!O2695/1000</f>
        <v>0</v>
      </c>
      <c r="P2687" s="85">
        <f>STATS1003B!P2695/1000</f>
        <v>1953.989</v>
      </c>
      <c r="Q2687" s="85">
        <f>STATS1003B!Q2695/1000</f>
        <v>0</v>
      </c>
      <c r="R2687" s="85">
        <f>STATS1003B!R2695/1000</f>
        <v>0</v>
      </c>
      <c r="S2687" s="85">
        <f>STATS1003B!S2695/1000</f>
        <v>0</v>
      </c>
      <c r="T2687" s="85">
        <f>STATS1003B!T2695/1000</f>
        <v>0</v>
      </c>
      <c r="U2687" s="85">
        <f>STATS1003B!U2695/1000</f>
        <v>1953.989</v>
      </c>
      <c r="V2687" s="85">
        <f>STATS1003B!V2695/1000</f>
        <v>1953.989</v>
      </c>
      <c r="W2687" s="85">
        <f>STATS1003B!W2695/1000</f>
        <v>0</v>
      </c>
      <c r="X2687" s="85">
        <f t="shared" si="294"/>
        <v>1953.989</v>
      </c>
      <c r="Y2687" s="85">
        <f>STATS1003B!Y2695/1000</f>
        <v>0</v>
      </c>
      <c r="Z2687" s="85">
        <f>STATS1003B!Z2695/1000</f>
        <v>0</v>
      </c>
      <c r="AA2687" s="69">
        <f>STATS1003B!AA2695/1000</f>
        <v>1953.989</v>
      </c>
      <c r="AB2687" s="69">
        <f>STATS1003B!AB2695/1000</f>
        <v>0</v>
      </c>
    </row>
    <row r="2688" spans="1:28" hidden="1" x14ac:dyDescent="0.3">
      <c r="A2688" s="117"/>
      <c r="C2688" s="68" t="s">
        <v>55</v>
      </c>
      <c r="D2688" s="87" t="s">
        <v>207</v>
      </c>
      <c r="E2688" s="85">
        <f>STATS1003B!E2696/1000</f>
        <v>7866.6009999999997</v>
      </c>
      <c r="F2688" s="85">
        <f>STATS1003B!F2696/1000</f>
        <v>0</v>
      </c>
      <c r="G2688" s="85">
        <f>STATS1003B!G2696/1000</f>
        <v>0</v>
      </c>
      <c r="H2688" s="85">
        <f>STATS1003B!H2696/1000</f>
        <v>0</v>
      </c>
      <c r="I2688" s="85">
        <f>STATS1003B!I2696/1000</f>
        <v>0</v>
      </c>
      <c r="J2688" s="85">
        <f>STATS1003B!J2696/1000</f>
        <v>0</v>
      </c>
      <c r="K2688" s="85">
        <f>STATS1003B!K2696/1000</f>
        <v>0</v>
      </c>
      <c r="L2688" s="85">
        <f>STATS1003B!L2696/1000</f>
        <v>0</v>
      </c>
      <c r="M2688" s="85">
        <f>STATS1003B!M2696/1000</f>
        <v>0</v>
      </c>
      <c r="N2688" s="85">
        <f>STATS1003B!N2696/1000</f>
        <v>7866.6009999999997</v>
      </c>
      <c r="O2688" s="85">
        <f>STATS1003B!O2696/1000</f>
        <v>0</v>
      </c>
      <c r="P2688" s="85">
        <f>STATS1003B!P2696/1000</f>
        <v>7866.6009999999997</v>
      </c>
      <c r="Q2688" s="85">
        <f>STATS1003B!Q2696/1000</f>
        <v>0</v>
      </c>
      <c r="R2688" s="85">
        <f>STATS1003B!R2696/1000</f>
        <v>0</v>
      </c>
      <c r="S2688" s="85">
        <f>STATS1003B!S2696/1000</f>
        <v>0</v>
      </c>
      <c r="T2688" s="85">
        <f>STATS1003B!T2696/1000</f>
        <v>0</v>
      </c>
      <c r="U2688" s="85">
        <f>STATS1003B!U2696/1000</f>
        <v>7866.6009999999997</v>
      </c>
      <c r="V2688" s="85">
        <f>STATS1003B!V2696/1000</f>
        <v>7866.6009999999997</v>
      </c>
      <c r="W2688" s="85">
        <f>STATS1003B!W2696/1000</f>
        <v>0</v>
      </c>
      <c r="X2688" s="85">
        <f t="shared" si="294"/>
        <v>7866.6009999999997</v>
      </c>
      <c r="Y2688" s="85">
        <f>STATS1003B!Y2696/1000</f>
        <v>0</v>
      </c>
      <c r="Z2688" s="85">
        <f>STATS1003B!Z2696/1000</f>
        <v>0</v>
      </c>
      <c r="AA2688" s="69">
        <f>STATS1003B!AA2696/1000</f>
        <v>7866.6009999999997</v>
      </c>
      <c r="AB2688" s="69">
        <f>STATS1003B!AB2696/1000</f>
        <v>0</v>
      </c>
    </row>
    <row r="2689" spans="1:28" hidden="1" x14ac:dyDescent="0.3">
      <c r="A2689" s="117"/>
      <c r="C2689" s="68" t="s">
        <v>69</v>
      </c>
      <c r="D2689" s="87" t="s">
        <v>54</v>
      </c>
      <c r="E2689" s="85">
        <f>STATS1003B!E2697/1000</f>
        <v>955.34561999999994</v>
      </c>
      <c r="F2689" s="85">
        <f>STATS1003B!F2697/1000</f>
        <v>0</v>
      </c>
      <c r="G2689" s="85">
        <f>STATS1003B!G2697/1000</f>
        <v>0</v>
      </c>
      <c r="H2689" s="85">
        <f>STATS1003B!H2697/1000</f>
        <v>0</v>
      </c>
      <c r="I2689" s="85">
        <f>STATS1003B!I2697/1000</f>
        <v>0</v>
      </c>
      <c r="J2689" s="85">
        <f>STATS1003B!J2697/1000</f>
        <v>0</v>
      </c>
      <c r="K2689" s="85">
        <f>STATS1003B!K2697/1000</f>
        <v>0</v>
      </c>
      <c r="L2689" s="85">
        <f>STATS1003B!L2697/1000</f>
        <v>0</v>
      </c>
      <c r="M2689" s="85">
        <f>STATS1003B!M2697/1000</f>
        <v>0</v>
      </c>
      <c r="N2689" s="85">
        <f>STATS1003B!N2697/1000</f>
        <v>955.34561999999994</v>
      </c>
      <c r="O2689" s="85">
        <f>STATS1003B!O2697/1000</f>
        <v>0</v>
      </c>
      <c r="P2689" s="85">
        <f>STATS1003B!P2697/1000</f>
        <v>955.34561999999994</v>
      </c>
      <c r="Q2689" s="85">
        <f>STATS1003B!Q2697/1000</f>
        <v>0</v>
      </c>
      <c r="R2689" s="85">
        <f>STATS1003B!R2697/1000</f>
        <v>0</v>
      </c>
      <c r="S2689" s="85">
        <f>STATS1003B!S2697/1000</f>
        <v>0</v>
      </c>
      <c r="T2689" s="85">
        <f>STATS1003B!T2697/1000</f>
        <v>0</v>
      </c>
      <c r="U2689" s="85">
        <f>STATS1003B!U2697/1000</f>
        <v>955.34561999999994</v>
      </c>
      <c r="V2689" s="85">
        <f>STATS1003B!V2697/1000</f>
        <v>955.34561999999994</v>
      </c>
      <c r="W2689" s="85">
        <f>STATS1003B!W2697/1000</f>
        <v>0</v>
      </c>
      <c r="X2689" s="85">
        <f t="shared" si="294"/>
        <v>955.34561999999994</v>
      </c>
      <c r="Y2689" s="85">
        <f>STATS1003B!Y2697/1000</f>
        <v>0</v>
      </c>
      <c r="Z2689" s="85">
        <f>STATS1003B!Z2697/1000</f>
        <v>0</v>
      </c>
      <c r="AA2689" s="69">
        <f>STATS1003B!AA2697/1000</f>
        <v>955.34561999999994</v>
      </c>
      <c r="AB2689" s="69">
        <f>STATS1003B!AB2697/1000</f>
        <v>0</v>
      </c>
    </row>
    <row r="2690" spans="1:28" hidden="1" x14ac:dyDescent="0.3">
      <c r="A2690" s="117"/>
      <c r="C2690" s="68" t="s">
        <v>57</v>
      </c>
      <c r="D2690" s="87" t="s">
        <v>85</v>
      </c>
      <c r="E2690" s="85">
        <f>STATS1003B!E2698/1000</f>
        <v>1025.0999999999999</v>
      </c>
      <c r="F2690" s="85">
        <f>STATS1003B!F2698/1000</f>
        <v>1025.0999999999999</v>
      </c>
      <c r="G2690" s="85">
        <f>STATS1003B!G2698/1000</f>
        <v>0</v>
      </c>
      <c r="H2690" s="85">
        <f>STATS1003B!H2698/1000</f>
        <v>1025.0999999999999</v>
      </c>
      <c r="I2690" s="85">
        <f>STATS1003B!I2698/1000</f>
        <v>0</v>
      </c>
      <c r="J2690" s="85">
        <f>STATS1003B!J2698/1000</f>
        <v>0</v>
      </c>
      <c r="K2690" s="85">
        <f>STATS1003B!K2698/1000</f>
        <v>0</v>
      </c>
      <c r="L2690" s="85">
        <f>STATS1003B!L2698/1000</f>
        <v>0</v>
      </c>
      <c r="M2690" s="85">
        <f>STATS1003B!M2698/1000</f>
        <v>1025.0999999999999</v>
      </c>
      <c r="N2690" s="85">
        <f>STATS1003B!N2698/1000</f>
        <v>0</v>
      </c>
      <c r="O2690" s="85">
        <f>STATS1003B!O2698/1000</f>
        <v>0</v>
      </c>
      <c r="P2690" s="85">
        <f>STATS1003B!P2698/1000</f>
        <v>0</v>
      </c>
      <c r="Q2690" s="85">
        <f>STATS1003B!Q2698/1000</f>
        <v>0</v>
      </c>
      <c r="R2690" s="85">
        <f>STATS1003B!R2698/1000</f>
        <v>0</v>
      </c>
      <c r="S2690" s="85">
        <f>STATS1003B!S2698/1000</f>
        <v>0</v>
      </c>
      <c r="T2690" s="85">
        <f>STATS1003B!T2698/1000</f>
        <v>0</v>
      </c>
      <c r="U2690" s="85">
        <f>STATS1003B!U2698/1000</f>
        <v>0</v>
      </c>
      <c r="V2690" s="85">
        <f>STATS1003B!V2698/1000</f>
        <v>1025.0999999999999</v>
      </c>
      <c r="W2690" s="85">
        <f>STATS1003B!W2698/1000</f>
        <v>0</v>
      </c>
      <c r="X2690" s="85">
        <f t="shared" si="294"/>
        <v>1025.0999999999999</v>
      </c>
      <c r="Y2690" s="85">
        <f>STATS1003B!Y2698/1000</f>
        <v>0</v>
      </c>
      <c r="Z2690" s="85">
        <f>STATS1003B!Z2698/1000</f>
        <v>0</v>
      </c>
      <c r="AA2690" s="69">
        <f>STATS1003B!AA2698/1000</f>
        <v>1025.0999999999999</v>
      </c>
      <c r="AB2690" s="69">
        <f>STATS1003B!AB2698/1000</f>
        <v>0</v>
      </c>
    </row>
    <row r="2691" spans="1:28" hidden="1" x14ac:dyDescent="0.3">
      <c r="A2691" s="117"/>
      <c r="C2691" s="68" t="s">
        <v>57</v>
      </c>
      <c r="D2691" s="87" t="s">
        <v>108</v>
      </c>
      <c r="E2691" s="85">
        <f>STATS1003B!E2699/1000</f>
        <v>1500</v>
      </c>
      <c r="F2691" s="85">
        <f>STATS1003B!F2699/1000</f>
        <v>1500</v>
      </c>
      <c r="G2691" s="85">
        <f>STATS1003B!G2699/1000</f>
        <v>0</v>
      </c>
      <c r="H2691" s="85">
        <f>STATS1003B!H2699/1000</f>
        <v>1500</v>
      </c>
      <c r="I2691" s="85">
        <f>STATS1003B!I2699/1000</f>
        <v>0</v>
      </c>
      <c r="J2691" s="85">
        <f>STATS1003B!J2699/1000</f>
        <v>0</v>
      </c>
      <c r="K2691" s="85">
        <f>STATS1003B!K2699/1000</f>
        <v>0</v>
      </c>
      <c r="L2691" s="85">
        <f>STATS1003B!L2699/1000</f>
        <v>0</v>
      </c>
      <c r="M2691" s="85">
        <f>STATS1003B!M2699/1000</f>
        <v>1500</v>
      </c>
      <c r="N2691" s="85">
        <f>STATS1003B!N2699/1000</f>
        <v>0</v>
      </c>
      <c r="O2691" s="85">
        <f>STATS1003B!O2699/1000</f>
        <v>0</v>
      </c>
      <c r="P2691" s="85">
        <f>STATS1003B!P2699/1000</f>
        <v>0</v>
      </c>
      <c r="Q2691" s="85">
        <f>STATS1003B!Q2699/1000</f>
        <v>0</v>
      </c>
      <c r="R2691" s="85">
        <f>STATS1003B!R2699/1000</f>
        <v>0</v>
      </c>
      <c r="S2691" s="85">
        <f>STATS1003B!S2699/1000</f>
        <v>0</v>
      </c>
      <c r="T2691" s="85">
        <f>STATS1003B!T2699/1000</f>
        <v>0</v>
      </c>
      <c r="U2691" s="85">
        <f>STATS1003B!U2699/1000</f>
        <v>0</v>
      </c>
      <c r="V2691" s="85">
        <f>STATS1003B!V2699/1000</f>
        <v>1500</v>
      </c>
      <c r="W2691" s="85">
        <f>STATS1003B!W2699/1000</f>
        <v>0</v>
      </c>
      <c r="X2691" s="85">
        <f t="shared" si="294"/>
        <v>1500</v>
      </c>
      <c r="Y2691" s="85">
        <f>STATS1003B!Y2699/1000</f>
        <v>0</v>
      </c>
      <c r="Z2691" s="85">
        <f>STATS1003B!Z2699/1000</f>
        <v>0</v>
      </c>
      <c r="AA2691" s="69">
        <f>STATS1003B!AA2699/1000</f>
        <v>1500</v>
      </c>
      <c r="AB2691" s="69">
        <f>STATS1003B!AB2699/1000</f>
        <v>0</v>
      </c>
    </row>
    <row r="2692" spans="1:28" hidden="1" x14ac:dyDescent="0.3">
      <c r="A2692" s="117"/>
      <c r="C2692" s="68" t="s">
        <v>57</v>
      </c>
      <c r="D2692" s="87" t="s">
        <v>60</v>
      </c>
      <c r="E2692" s="85">
        <f>STATS1003B!E2700/1000</f>
        <v>1721.1959999999999</v>
      </c>
      <c r="F2692" s="85">
        <f>STATS1003B!F2700/1000</f>
        <v>1721.1959999999999</v>
      </c>
      <c r="G2692" s="85">
        <f>STATS1003B!G2700/1000</f>
        <v>0</v>
      </c>
      <c r="H2692" s="85">
        <f>STATS1003B!H2700/1000</f>
        <v>1721.1959999999999</v>
      </c>
      <c r="I2692" s="85">
        <f>STATS1003B!I2700/1000</f>
        <v>0</v>
      </c>
      <c r="J2692" s="85">
        <f>STATS1003B!J2700/1000</f>
        <v>0</v>
      </c>
      <c r="K2692" s="85">
        <f>STATS1003B!K2700/1000</f>
        <v>0</v>
      </c>
      <c r="L2692" s="85">
        <f>STATS1003B!L2700/1000</f>
        <v>0</v>
      </c>
      <c r="M2692" s="85">
        <f>STATS1003B!M2700/1000</f>
        <v>1721.1959999999999</v>
      </c>
      <c r="N2692" s="85">
        <f>STATS1003B!N2700/1000</f>
        <v>0</v>
      </c>
      <c r="O2692" s="85">
        <f>STATS1003B!O2700/1000</f>
        <v>0</v>
      </c>
      <c r="P2692" s="85">
        <f>STATS1003B!P2700/1000</f>
        <v>0</v>
      </c>
      <c r="Q2692" s="85">
        <f>STATS1003B!Q2700/1000</f>
        <v>0</v>
      </c>
      <c r="R2692" s="85">
        <f>STATS1003B!R2700/1000</f>
        <v>0</v>
      </c>
      <c r="S2692" s="85">
        <f>STATS1003B!S2700/1000</f>
        <v>0</v>
      </c>
      <c r="T2692" s="85">
        <f>STATS1003B!T2700/1000</f>
        <v>0</v>
      </c>
      <c r="U2692" s="85">
        <f>STATS1003B!U2700/1000</f>
        <v>0</v>
      </c>
      <c r="V2692" s="85">
        <f>STATS1003B!V2700/1000</f>
        <v>1721.1959999999999</v>
      </c>
      <c r="W2692" s="85">
        <f>STATS1003B!W2700/1000</f>
        <v>0</v>
      </c>
      <c r="X2692" s="85">
        <f t="shared" si="294"/>
        <v>1721.1959999999999</v>
      </c>
      <c r="Y2692" s="85">
        <f>STATS1003B!Y2700/1000</f>
        <v>0</v>
      </c>
      <c r="Z2692" s="85">
        <f>STATS1003B!Z2700/1000</f>
        <v>0</v>
      </c>
      <c r="AA2692" s="69">
        <f>STATS1003B!AA2700/1000</f>
        <v>1721.1959999999999</v>
      </c>
      <c r="AB2692" s="69">
        <f>STATS1003B!AB2700/1000</f>
        <v>0</v>
      </c>
    </row>
    <row r="2693" spans="1:28" hidden="1" x14ac:dyDescent="0.3">
      <c r="A2693" s="117"/>
      <c r="C2693" s="71" t="s">
        <v>1089</v>
      </c>
      <c r="D2693" s="87" t="s">
        <v>60</v>
      </c>
      <c r="E2693" s="85">
        <f>STATS1003B!E2701/1000</f>
        <v>300</v>
      </c>
      <c r="F2693" s="85">
        <f>STATS1003B!F2701/1000</f>
        <v>300</v>
      </c>
      <c r="G2693" s="85">
        <f>STATS1003B!G2701/1000</f>
        <v>0</v>
      </c>
      <c r="H2693" s="85">
        <f>STATS1003B!H2701/1000</f>
        <v>300</v>
      </c>
      <c r="I2693" s="85">
        <f>STATS1003B!I2701/1000</f>
        <v>0</v>
      </c>
      <c r="J2693" s="85">
        <f>STATS1003B!J2701/1000</f>
        <v>0</v>
      </c>
      <c r="K2693" s="85">
        <f>STATS1003B!K2701/1000</f>
        <v>0</v>
      </c>
      <c r="L2693" s="85">
        <f>STATS1003B!L2701/1000</f>
        <v>0</v>
      </c>
      <c r="M2693" s="85">
        <f>STATS1003B!M2701/1000</f>
        <v>300</v>
      </c>
      <c r="N2693" s="85">
        <f>STATS1003B!N2701/1000</f>
        <v>0</v>
      </c>
      <c r="O2693" s="85">
        <f>STATS1003B!O2701/1000</f>
        <v>0</v>
      </c>
      <c r="P2693" s="85">
        <f>STATS1003B!P2701/1000</f>
        <v>0</v>
      </c>
      <c r="Q2693" s="85">
        <f>STATS1003B!Q2701/1000</f>
        <v>0</v>
      </c>
      <c r="R2693" s="85">
        <f>STATS1003B!R2701/1000</f>
        <v>0</v>
      </c>
      <c r="S2693" s="85">
        <f>STATS1003B!S2701/1000</f>
        <v>0</v>
      </c>
      <c r="T2693" s="85">
        <f>STATS1003B!T2701/1000</f>
        <v>0</v>
      </c>
      <c r="U2693" s="85">
        <f>STATS1003B!U2701/1000</f>
        <v>0</v>
      </c>
      <c r="V2693" s="85">
        <f>STATS1003B!V2701/1000</f>
        <v>300</v>
      </c>
      <c r="W2693" s="85">
        <f>STATS1003B!W2701/1000</f>
        <v>0</v>
      </c>
      <c r="X2693" s="85">
        <f t="shared" si="294"/>
        <v>300</v>
      </c>
      <c r="Y2693" s="85">
        <f>STATS1003B!Y2701/1000</f>
        <v>0</v>
      </c>
      <c r="Z2693" s="85">
        <f>STATS1003B!Z2701/1000</f>
        <v>0</v>
      </c>
      <c r="AA2693" s="69">
        <f>STATS1003B!AA2701/1000</f>
        <v>300</v>
      </c>
      <c r="AB2693" s="69">
        <f>STATS1003B!AB2701/1000</f>
        <v>0</v>
      </c>
    </row>
    <row r="2694" spans="1:28" hidden="1" x14ac:dyDescent="0.3">
      <c r="A2694" s="117"/>
      <c r="C2694" s="68" t="s">
        <v>57</v>
      </c>
      <c r="D2694" s="87" t="s">
        <v>73</v>
      </c>
      <c r="E2694" s="85">
        <f>STATS1003B!E2702/1000</f>
        <v>4962.3424500000001</v>
      </c>
      <c r="F2694" s="85">
        <f>STATS1003B!F2702/1000</f>
        <v>4962.3424500000001</v>
      </c>
      <c r="G2694" s="85">
        <f>STATS1003B!G2702/1000</f>
        <v>0</v>
      </c>
      <c r="H2694" s="85">
        <f>STATS1003B!H2702/1000</f>
        <v>4962.3424500000001</v>
      </c>
      <c r="I2694" s="85">
        <f>STATS1003B!I2702/1000</f>
        <v>0</v>
      </c>
      <c r="J2694" s="85">
        <f>STATS1003B!J2702/1000</f>
        <v>0</v>
      </c>
      <c r="K2694" s="85">
        <f>STATS1003B!K2702/1000</f>
        <v>0</v>
      </c>
      <c r="L2694" s="85">
        <f>STATS1003B!L2702/1000</f>
        <v>0</v>
      </c>
      <c r="M2694" s="85">
        <f>STATS1003B!M2702/1000</f>
        <v>4962.3424500000001</v>
      </c>
      <c r="N2694" s="85">
        <f>STATS1003B!N2702/1000</f>
        <v>0</v>
      </c>
      <c r="O2694" s="85">
        <f>STATS1003B!O2702/1000</f>
        <v>0</v>
      </c>
      <c r="P2694" s="85">
        <f>STATS1003B!P2702/1000</f>
        <v>0</v>
      </c>
      <c r="Q2694" s="85">
        <f>STATS1003B!Q2702/1000</f>
        <v>0</v>
      </c>
      <c r="R2694" s="85">
        <f>STATS1003B!R2702/1000</f>
        <v>0</v>
      </c>
      <c r="S2694" s="85">
        <f>STATS1003B!S2702/1000</f>
        <v>0</v>
      </c>
      <c r="T2694" s="85">
        <f>STATS1003B!T2702/1000</f>
        <v>0</v>
      </c>
      <c r="U2694" s="85">
        <f>STATS1003B!U2702/1000</f>
        <v>0</v>
      </c>
      <c r="V2694" s="85">
        <f>STATS1003B!V2702/1000</f>
        <v>4962.3424500000001</v>
      </c>
      <c r="W2694" s="85">
        <f>STATS1003B!W2702/1000</f>
        <v>0</v>
      </c>
      <c r="X2694" s="85">
        <f t="shared" si="294"/>
        <v>4962.3424500000001</v>
      </c>
      <c r="Y2694" s="85">
        <f>STATS1003B!Y2702/1000</f>
        <v>0</v>
      </c>
      <c r="Z2694" s="85">
        <f>STATS1003B!Z2702/1000</f>
        <v>0</v>
      </c>
      <c r="AA2694" s="69">
        <f>STATS1003B!AA2702/1000</f>
        <v>4962.3424500000001</v>
      </c>
      <c r="AB2694" s="69">
        <f>STATS1003B!AB2702/1000</f>
        <v>0</v>
      </c>
    </row>
    <row r="2695" spans="1:28" hidden="1" x14ac:dyDescent="0.3">
      <c r="A2695" s="117"/>
      <c r="C2695" s="68" t="s">
        <v>471</v>
      </c>
      <c r="D2695" s="90" t="s">
        <v>472</v>
      </c>
      <c r="E2695" s="85">
        <f>STATS1003B!E2703/1000</f>
        <v>3074.0657099999999</v>
      </c>
      <c r="F2695" s="85">
        <f>STATS1003B!F2703/1000</f>
        <v>3030.6410900000001</v>
      </c>
      <c r="G2695" s="85">
        <f>STATS1003B!G2703/1000</f>
        <v>0</v>
      </c>
      <c r="H2695" s="85">
        <f>STATS1003B!H2703/1000</f>
        <v>3030.6410900000001</v>
      </c>
      <c r="I2695" s="85">
        <f>STATS1003B!I2703/1000</f>
        <v>0</v>
      </c>
      <c r="J2695" s="85">
        <f>STATS1003B!J2703/1000</f>
        <v>0</v>
      </c>
      <c r="K2695" s="85">
        <f>STATS1003B!K2703/1000</f>
        <v>0</v>
      </c>
      <c r="L2695" s="85">
        <f>STATS1003B!L2703/1000</f>
        <v>0</v>
      </c>
      <c r="M2695" s="85">
        <f>STATS1003B!M2703/1000</f>
        <v>3030.6410900000001</v>
      </c>
      <c r="N2695" s="85">
        <f>STATS1003B!N2703/1000</f>
        <v>41.917070000000002</v>
      </c>
      <c r="O2695" s="85">
        <f>STATS1003B!O2703/1000</f>
        <v>0</v>
      </c>
      <c r="P2695" s="85">
        <f>STATS1003B!P2703/1000</f>
        <v>41.917070000000002</v>
      </c>
      <c r="Q2695" s="85">
        <f>STATS1003B!Q2703/1000</f>
        <v>43.424620000000004</v>
      </c>
      <c r="R2695" s="85">
        <f>STATS1003B!R2703/1000</f>
        <v>0</v>
      </c>
      <c r="S2695" s="85">
        <f>STATS1003B!S2703/1000</f>
        <v>0</v>
      </c>
      <c r="T2695" s="85">
        <f>STATS1003B!T2703/1000</f>
        <v>1.5075499999999999</v>
      </c>
      <c r="U2695" s="85">
        <f>STATS1003B!U2703/1000</f>
        <v>43.424620000000004</v>
      </c>
      <c r="V2695" s="85">
        <f>STATS1003B!V2703/1000</f>
        <v>3072.5581599999996</v>
      </c>
      <c r="W2695" s="85">
        <f>STATS1003B!W2703/1000</f>
        <v>1.5075500000002795</v>
      </c>
      <c r="X2695" s="85">
        <f t="shared" si="294"/>
        <v>3072.55816</v>
      </c>
      <c r="Y2695" s="85">
        <f>STATS1003B!Y2703/1000</f>
        <v>0</v>
      </c>
      <c r="Z2695" s="85">
        <f>STATS1003B!Z2703/1000</f>
        <v>1.5075500000002795</v>
      </c>
      <c r="AA2695" s="69">
        <f>STATS1003B!AA2703/1000</f>
        <v>3074.0657099999999</v>
      </c>
      <c r="AB2695" s="69">
        <f>STATS1003B!AB2703/1000</f>
        <v>0</v>
      </c>
    </row>
    <row r="2696" spans="1:28" hidden="1" x14ac:dyDescent="0.3">
      <c r="A2696" s="117"/>
      <c r="C2696" s="68" t="s">
        <v>924</v>
      </c>
      <c r="D2696" s="90" t="s">
        <v>1072</v>
      </c>
      <c r="E2696" s="85">
        <f>STATS1003B!E2704/1000</f>
        <v>876.74300000000005</v>
      </c>
      <c r="F2696" s="85">
        <f>STATS1003B!F2704/1000</f>
        <v>876.74300000000005</v>
      </c>
      <c r="G2696" s="85">
        <f>STATS1003B!G2704/1000</f>
        <v>0</v>
      </c>
      <c r="H2696" s="85">
        <f>STATS1003B!H2704/1000</f>
        <v>876.74300000000005</v>
      </c>
      <c r="I2696" s="85">
        <f>STATS1003B!I2704/1000</f>
        <v>0</v>
      </c>
      <c r="J2696" s="85">
        <f>STATS1003B!J2704/1000</f>
        <v>0</v>
      </c>
      <c r="K2696" s="85">
        <f>STATS1003B!K2704/1000</f>
        <v>0</v>
      </c>
      <c r="L2696" s="85">
        <f>STATS1003B!L2704/1000</f>
        <v>0</v>
      </c>
      <c r="M2696" s="85">
        <f>STATS1003B!M2704/1000</f>
        <v>876.74300000000005</v>
      </c>
      <c r="N2696" s="85">
        <f>STATS1003B!N2704/1000</f>
        <v>0</v>
      </c>
      <c r="O2696" s="85">
        <f>STATS1003B!O2704/1000</f>
        <v>0</v>
      </c>
      <c r="P2696" s="85">
        <f>STATS1003B!P2704/1000</f>
        <v>0</v>
      </c>
      <c r="Q2696" s="85">
        <f>STATS1003B!Q2704/1000</f>
        <v>0</v>
      </c>
      <c r="R2696" s="85">
        <f>STATS1003B!R2704/1000</f>
        <v>0</v>
      </c>
      <c r="S2696" s="85">
        <f>STATS1003B!S2704/1000</f>
        <v>0</v>
      </c>
      <c r="T2696" s="85">
        <f>STATS1003B!T2704/1000</f>
        <v>0</v>
      </c>
      <c r="U2696" s="85">
        <f>STATS1003B!U2704/1000</f>
        <v>0</v>
      </c>
      <c r="V2696" s="85">
        <f>STATS1003B!V2704/1000</f>
        <v>876.74300000000005</v>
      </c>
      <c r="W2696" s="85">
        <f>STATS1003B!W2704/1000</f>
        <v>0</v>
      </c>
      <c r="X2696" s="85">
        <f t="shared" si="294"/>
        <v>876.74300000000005</v>
      </c>
      <c r="Y2696" s="85">
        <f>STATS1003B!Y2704/1000</f>
        <v>0</v>
      </c>
      <c r="Z2696" s="85">
        <f>STATS1003B!Z2704/1000</f>
        <v>0</v>
      </c>
      <c r="AA2696" s="69">
        <f>STATS1003B!AA2704/1000</f>
        <v>876.74300000000005</v>
      </c>
      <c r="AB2696" s="69">
        <f>STATS1003B!AB2704/1000</f>
        <v>0</v>
      </c>
    </row>
    <row r="2697" spans="1:28" hidden="1" x14ac:dyDescent="0.3">
      <c r="A2697" s="117"/>
      <c r="C2697" s="68" t="s">
        <v>930</v>
      </c>
      <c r="D2697" s="90" t="s">
        <v>1072</v>
      </c>
      <c r="E2697" s="85">
        <f>STATS1003B!E2705/1000</f>
        <v>984.90962000000002</v>
      </c>
      <c r="F2697" s="85">
        <f>STATS1003B!F2705/1000</f>
        <v>984.90962000000002</v>
      </c>
      <c r="G2697" s="85">
        <f>STATS1003B!G2705/1000</f>
        <v>0</v>
      </c>
      <c r="H2697" s="85">
        <f>STATS1003B!H2705/1000</f>
        <v>984.90962000000002</v>
      </c>
      <c r="I2697" s="85">
        <f>STATS1003B!I2705/1000</f>
        <v>0</v>
      </c>
      <c r="J2697" s="85">
        <f>STATS1003B!J2705/1000</f>
        <v>0</v>
      </c>
      <c r="K2697" s="85">
        <f>STATS1003B!K2705/1000</f>
        <v>0</v>
      </c>
      <c r="L2697" s="85">
        <f>STATS1003B!L2705/1000</f>
        <v>0</v>
      </c>
      <c r="M2697" s="85">
        <f>STATS1003B!M2705/1000</f>
        <v>984.90962000000002</v>
      </c>
      <c r="N2697" s="85">
        <f>STATS1003B!N2705/1000</f>
        <v>0</v>
      </c>
      <c r="O2697" s="85">
        <f>STATS1003B!O2705/1000</f>
        <v>0</v>
      </c>
      <c r="P2697" s="85">
        <f>STATS1003B!P2705/1000</f>
        <v>0</v>
      </c>
      <c r="Q2697" s="85">
        <f>STATS1003B!Q2705/1000</f>
        <v>0</v>
      </c>
      <c r="R2697" s="85">
        <f>STATS1003B!R2705/1000</f>
        <v>0</v>
      </c>
      <c r="S2697" s="85">
        <f>STATS1003B!S2705/1000</f>
        <v>0</v>
      </c>
      <c r="T2697" s="85">
        <f>STATS1003B!T2705/1000</f>
        <v>0</v>
      </c>
      <c r="U2697" s="85">
        <f>STATS1003B!U2705/1000</f>
        <v>0</v>
      </c>
      <c r="V2697" s="85">
        <f>STATS1003B!V2705/1000</f>
        <v>984.90962000000002</v>
      </c>
      <c r="W2697" s="85">
        <f>STATS1003B!W2705/1000</f>
        <v>0</v>
      </c>
      <c r="X2697" s="85">
        <f t="shared" si="294"/>
        <v>984.90962000000002</v>
      </c>
      <c r="Y2697" s="85">
        <f>STATS1003B!Y2705/1000</f>
        <v>0</v>
      </c>
      <c r="Z2697" s="85">
        <f>STATS1003B!Z2705/1000</f>
        <v>0</v>
      </c>
      <c r="AA2697" s="69">
        <f>STATS1003B!AA2705/1000</f>
        <v>984.90962000000002</v>
      </c>
      <c r="AB2697" s="69">
        <f>STATS1003B!AB2705/1000</f>
        <v>0</v>
      </c>
    </row>
    <row r="2698" spans="1:28" hidden="1" x14ac:dyDescent="0.3">
      <c r="A2698" s="117"/>
      <c r="C2698" s="68" t="s">
        <v>1129</v>
      </c>
      <c r="D2698" s="90" t="s">
        <v>1126</v>
      </c>
      <c r="E2698" s="85">
        <f>STATS1003B!E2706/1000</f>
        <v>525.86351000000002</v>
      </c>
      <c r="F2698" s="85">
        <f>STATS1003B!F2706/1000</f>
        <v>525.86351000000002</v>
      </c>
      <c r="G2698" s="85">
        <f>STATS1003B!G2706/1000</f>
        <v>0</v>
      </c>
      <c r="H2698" s="85">
        <f>STATS1003B!H2706/1000</f>
        <v>525.86351000000002</v>
      </c>
      <c r="I2698" s="85">
        <f>STATS1003B!I2706/1000</f>
        <v>0</v>
      </c>
      <c r="J2698" s="85">
        <f>STATS1003B!J2706/1000</f>
        <v>0</v>
      </c>
      <c r="K2698" s="85">
        <f>STATS1003B!K2706/1000</f>
        <v>0</v>
      </c>
      <c r="L2698" s="85">
        <f>STATS1003B!L2706/1000</f>
        <v>0</v>
      </c>
      <c r="M2698" s="85">
        <f>STATS1003B!M2706/1000</f>
        <v>525.86351000000002</v>
      </c>
      <c r="N2698" s="85">
        <f>STATS1003B!N2706/1000</f>
        <v>0</v>
      </c>
      <c r="O2698" s="85">
        <f>STATS1003B!O2706/1000</f>
        <v>0</v>
      </c>
      <c r="P2698" s="85">
        <f>STATS1003B!P2706/1000</f>
        <v>0</v>
      </c>
      <c r="Q2698" s="85">
        <f>STATS1003B!Q2706/1000</f>
        <v>0</v>
      </c>
      <c r="R2698" s="85">
        <f>STATS1003B!R2706/1000</f>
        <v>0</v>
      </c>
      <c r="S2698" s="85">
        <f>STATS1003B!S2706/1000</f>
        <v>0</v>
      </c>
      <c r="T2698" s="85">
        <f>STATS1003B!T2706/1000</f>
        <v>0</v>
      </c>
      <c r="U2698" s="85">
        <f>STATS1003B!U2706/1000</f>
        <v>0</v>
      </c>
      <c r="V2698" s="85">
        <f>STATS1003B!V2706/1000</f>
        <v>0</v>
      </c>
      <c r="W2698" s="85">
        <f>STATS1003B!W2706/1000</f>
        <v>0</v>
      </c>
      <c r="X2698" s="85">
        <f t="shared" si="294"/>
        <v>525.86351000000002</v>
      </c>
      <c r="Y2698" s="85">
        <f>STATS1003B!Y2706/1000</f>
        <v>0</v>
      </c>
      <c r="Z2698" s="85">
        <f>STATS1003B!Z2706/1000</f>
        <v>0</v>
      </c>
      <c r="AA2698" s="69">
        <f>STATS1003B!AA2706/1000</f>
        <v>525.86351000000002</v>
      </c>
      <c r="AB2698" s="69">
        <f>STATS1003B!AB2706/1000</f>
        <v>0</v>
      </c>
    </row>
    <row r="2699" spans="1:28" hidden="1" x14ac:dyDescent="0.3">
      <c r="A2699" s="117"/>
      <c r="C2699" s="68" t="s">
        <v>1084</v>
      </c>
      <c r="D2699" s="90" t="s">
        <v>1072</v>
      </c>
      <c r="E2699" s="85">
        <f>STATS1003B!E2707/1000</f>
        <v>2992.0638300000001</v>
      </c>
      <c r="F2699" s="85">
        <f>STATS1003B!F2707/1000</f>
        <v>2992.0638300000001</v>
      </c>
      <c r="G2699" s="85">
        <f>STATS1003B!G2707/1000</f>
        <v>0</v>
      </c>
      <c r="H2699" s="85">
        <f>STATS1003B!H2707/1000</f>
        <v>2992.0638300000001</v>
      </c>
      <c r="I2699" s="85">
        <f>STATS1003B!I2707/1000</f>
        <v>0</v>
      </c>
      <c r="J2699" s="85">
        <f>STATS1003B!J2707/1000</f>
        <v>0</v>
      </c>
      <c r="K2699" s="85">
        <f>STATS1003B!K2707/1000</f>
        <v>0</v>
      </c>
      <c r="L2699" s="85">
        <f>STATS1003B!L2707/1000</f>
        <v>0</v>
      </c>
      <c r="M2699" s="85">
        <f>STATS1003B!M2707/1000</f>
        <v>2992.0638300000001</v>
      </c>
      <c r="N2699" s="85">
        <f>STATS1003B!N2707/1000</f>
        <v>0</v>
      </c>
      <c r="O2699" s="85">
        <f>STATS1003B!O2707/1000</f>
        <v>0</v>
      </c>
      <c r="P2699" s="85">
        <f>STATS1003B!P2707/1000</f>
        <v>0</v>
      </c>
      <c r="Q2699" s="85">
        <f>STATS1003B!Q2707/1000</f>
        <v>0</v>
      </c>
      <c r="R2699" s="85">
        <f>STATS1003B!R2707/1000</f>
        <v>0</v>
      </c>
      <c r="S2699" s="85">
        <f>STATS1003B!S2707/1000</f>
        <v>0</v>
      </c>
      <c r="T2699" s="85">
        <f>STATS1003B!T2707/1000</f>
        <v>0</v>
      </c>
      <c r="U2699" s="85">
        <f>STATS1003B!U2707/1000</f>
        <v>0</v>
      </c>
      <c r="V2699" s="85">
        <f>STATS1003B!V2707/1000</f>
        <v>0</v>
      </c>
      <c r="W2699" s="85">
        <f>STATS1003B!W2707/1000</f>
        <v>0</v>
      </c>
      <c r="X2699" s="85">
        <f t="shared" si="294"/>
        <v>2992.0638300000001</v>
      </c>
      <c r="Y2699" s="85">
        <f>STATS1003B!Y2707/1000</f>
        <v>0</v>
      </c>
      <c r="Z2699" s="85">
        <f>STATS1003B!Z2707/1000</f>
        <v>0</v>
      </c>
      <c r="AA2699" s="69">
        <f>STATS1003B!AA2707/1000</f>
        <v>2992.0638300000001</v>
      </c>
      <c r="AB2699" s="69">
        <f>STATS1003B!AB2707/1000</f>
        <v>0</v>
      </c>
    </row>
    <row r="2700" spans="1:28" hidden="1" x14ac:dyDescent="0.3">
      <c r="A2700" s="117"/>
      <c r="C2700" s="68" t="s">
        <v>1233</v>
      </c>
      <c r="D2700" s="90" t="s">
        <v>1225</v>
      </c>
      <c r="E2700" s="85">
        <f>STATS1003B!E2708/1000</f>
        <v>3693.6543799999999</v>
      </c>
      <c r="F2700" s="85">
        <f>STATS1003B!F2708/1000</f>
        <v>3693.6543799999999</v>
      </c>
      <c r="G2700" s="85">
        <f>STATS1003B!G2708/1000</f>
        <v>0</v>
      </c>
      <c r="H2700" s="85">
        <f>STATS1003B!H2708/1000</f>
        <v>3693.6543799999999</v>
      </c>
      <c r="I2700" s="85">
        <f>STATS1003B!I2708/1000</f>
        <v>0</v>
      </c>
      <c r="J2700" s="85">
        <f>STATS1003B!J2708/1000</f>
        <v>0</v>
      </c>
      <c r="K2700" s="85">
        <f>STATS1003B!K2708/1000</f>
        <v>0</v>
      </c>
      <c r="L2700" s="85">
        <f>STATS1003B!L2708/1000</f>
        <v>0</v>
      </c>
      <c r="M2700" s="85">
        <f>STATS1003B!M2708/1000</f>
        <v>3693.6543799999999</v>
      </c>
      <c r="N2700" s="85">
        <f>STATS1003B!N2708/1000</f>
        <v>0</v>
      </c>
      <c r="O2700" s="85">
        <f>STATS1003B!O2708/1000</f>
        <v>0</v>
      </c>
      <c r="P2700" s="85">
        <f>STATS1003B!P2708/1000</f>
        <v>0</v>
      </c>
      <c r="Q2700" s="85">
        <f>STATS1003B!Q2708/1000</f>
        <v>0</v>
      </c>
      <c r="R2700" s="85">
        <f>STATS1003B!R2708/1000</f>
        <v>0</v>
      </c>
      <c r="S2700" s="85">
        <f>STATS1003B!S2708/1000</f>
        <v>0</v>
      </c>
      <c r="T2700" s="85">
        <f>STATS1003B!T2708/1000</f>
        <v>0</v>
      </c>
      <c r="U2700" s="85">
        <f>STATS1003B!U2708/1000</f>
        <v>0</v>
      </c>
      <c r="V2700" s="85">
        <f>STATS1003B!V2708/1000</f>
        <v>0</v>
      </c>
      <c r="W2700" s="85">
        <f>STATS1003B!W2708/1000</f>
        <v>0</v>
      </c>
      <c r="X2700" s="85">
        <f t="shared" si="294"/>
        <v>3693.6543799999999</v>
      </c>
      <c r="Y2700" s="85">
        <f>STATS1003B!Y2708/1000</f>
        <v>0</v>
      </c>
      <c r="Z2700" s="85">
        <f>STATS1003B!Z2708/1000</f>
        <v>0</v>
      </c>
      <c r="AA2700" s="69">
        <f>STATS1003B!AA2708/1000</f>
        <v>3693.6543799999999</v>
      </c>
      <c r="AB2700" s="69">
        <f>STATS1003B!AB2708/1000</f>
        <v>0</v>
      </c>
    </row>
    <row r="2701" spans="1:28" hidden="1" x14ac:dyDescent="0.3">
      <c r="A2701" s="117"/>
      <c r="C2701" s="68" t="s">
        <v>1176</v>
      </c>
      <c r="D2701" s="90" t="s">
        <v>1126</v>
      </c>
      <c r="E2701" s="85">
        <f>STATS1003B!E2709/1000</f>
        <v>5265.63951</v>
      </c>
      <c r="F2701" s="85">
        <f>STATS1003B!F2709/1000</f>
        <v>5265.63951</v>
      </c>
      <c r="G2701" s="85">
        <f>STATS1003B!G2709/1000</f>
        <v>0</v>
      </c>
      <c r="H2701" s="85">
        <f>STATS1003B!H2709/1000</f>
        <v>5265.63951</v>
      </c>
      <c r="I2701" s="85">
        <f>STATS1003B!I2709/1000</f>
        <v>0</v>
      </c>
      <c r="J2701" s="85">
        <f>STATS1003B!J2709/1000</f>
        <v>0</v>
      </c>
      <c r="K2701" s="85">
        <f>STATS1003B!K2709/1000</f>
        <v>0</v>
      </c>
      <c r="L2701" s="85">
        <f>STATS1003B!L2709/1000</f>
        <v>0</v>
      </c>
      <c r="M2701" s="85">
        <f>STATS1003B!M2709/1000</f>
        <v>5265.63951</v>
      </c>
      <c r="N2701" s="85">
        <f>STATS1003B!N2709/1000</f>
        <v>0</v>
      </c>
      <c r="O2701" s="85">
        <f>STATS1003B!O2709/1000</f>
        <v>0</v>
      </c>
      <c r="P2701" s="85">
        <f>STATS1003B!P2709/1000</f>
        <v>0</v>
      </c>
      <c r="Q2701" s="85">
        <f>STATS1003B!Q2709/1000</f>
        <v>0</v>
      </c>
      <c r="R2701" s="85">
        <f>STATS1003B!R2709/1000</f>
        <v>0</v>
      </c>
      <c r="S2701" s="85">
        <f>STATS1003B!S2709/1000</f>
        <v>0</v>
      </c>
      <c r="T2701" s="85">
        <f>STATS1003B!T2709/1000</f>
        <v>0</v>
      </c>
      <c r="U2701" s="85">
        <f>STATS1003B!U2709/1000</f>
        <v>0</v>
      </c>
      <c r="V2701" s="85">
        <f>STATS1003B!V2709/1000</f>
        <v>0</v>
      </c>
      <c r="W2701" s="85">
        <f>STATS1003B!W2709/1000</f>
        <v>0</v>
      </c>
      <c r="X2701" s="85">
        <f t="shared" si="294"/>
        <v>5265.63951</v>
      </c>
      <c r="Y2701" s="85">
        <f>STATS1003B!Y2709/1000</f>
        <v>0</v>
      </c>
      <c r="Z2701" s="85">
        <f>STATS1003B!Z2709/1000</f>
        <v>0</v>
      </c>
      <c r="AA2701" s="69">
        <f>STATS1003B!AA2709/1000</f>
        <v>5265.63951</v>
      </c>
      <c r="AB2701" s="69">
        <f>STATS1003B!AB2709/1000</f>
        <v>0</v>
      </c>
    </row>
    <row r="2702" spans="1:28" hidden="1" x14ac:dyDescent="0.3">
      <c r="A2702" s="117"/>
      <c r="C2702" s="68" t="s">
        <v>57</v>
      </c>
      <c r="D2702" s="90" t="s">
        <v>61</v>
      </c>
      <c r="E2702" s="85">
        <f>STATS1003B!E2710/1000</f>
        <v>923.25699999999995</v>
      </c>
      <c r="F2702" s="85">
        <f>STATS1003B!F2710/1000</f>
        <v>923.25699999999995</v>
      </c>
      <c r="G2702" s="85">
        <f>STATS1003B!G2710/1000</f>
        <v>0</v>
      </c>
      <c r="H2702" s="85">
        <f>STATS1003B!H2710/1000</f>
        <v>923.25699999999995</v>
      </c>
      <c r="I2702" s="85">
        <f>STATS1003B!I2710/1000</f>
        <v>0</v>
      </c>
      <c r="J2702" s="85">
        <f>STATS1003B!J2710/1000</f>
        <v>0</v>
      </c>
      <c r="K2702" s="85">
        <f>STATS1003B!K2710/1000</f>
        <v>0</v>
      </c>
      <c r="L2702" s="85">
        <f>STATS1003B!L2710/1000</f>
        <v>0</v>
      </c>
      <c r="M2702" s="85">
        <f>STATS1003B!M2710/1000</f>
        <v>923.25699999999995</v>
      </c>
      <c r="N2702" s="85">
        <f>STATS1003B!N2710/1000</f>
        <v>0</v>
      </c>
      <c r="O2702" s="85">
        <f>STATS1003B!O2710/1000</f>
        <v>0</v>
      </c>
      <c r="P2702" s="85">
        <f>STATS1003B!P2710/1000</f>
        <v>0</v>
      </c>
      <c r="Q2702" s="85">
        <f>STATS1003B!Q2710/1000</f>
        <v>0</v>
      </c>
      <c r="R2702" s="85">
        <f>STATS1003B!R2710/1000</f>
        <v>0</v>
      </c>
      <c r="S2702" s="85">
        <f>STATS1003B!S2710/1000</f>
        <v>0</v>
      </c>
      <c r="T2702" s="85">
        <f>STATS1003B!T2710/1000</f>
        <v>0</v>
      </c>
      <c r="U2702" s="85">
        <f>STATS1003B!U2710/1000</f>
        <v>0</v>
      </c>
      <c r="V2702" s="85">
        <f>STATS1003B!V2710/1000</f>
        <v>923.25699999999995</v>
      </c>
      <c r="W2702" s="85">
        <f>STATS1003B!W2710/1000</f>
        <v>0</v>
      </c>
      <c r="X2702" s="85">
        <f t="shared" si="294"/>
        <v>923.25699999999995</v>
      </c>
      <c r="Y2702" s="85">
        <f>STATS1003B!Y2710/1000</f>
        <v>0</v>
      </c>
      <c r="Z2702" s="85">
        <f>STATS1003B!Z2710/1000</f>
        <v>0</v>
      </c>
      <c r="AA2702" s="69">
        <f>STATS1003B!AA2710/1000</f>
        <v>923.25699999999995</v>
      </c>
      <c r="AB2702" s="69">
        <f>STATS1003B!AB2710/1000</f>
        <v>0</v>
      </c>
    </row>
    <row r="2703" spans="1:28" hidden="1" x14ac:dyDescent="0.3">
      <c r="A2703" s="117"/>
      <c r="E2703" s="86" t="s">
        <v>29</v>
      </c>
      <c r="F2703" s="86" t="s">
        <v>29</v>
      </c>
      <c r="G2703" s="86" t="s">
        <v>29</v>
      </c>
      <c r="H2703" s="86" t="s">
        <v>29</v>
      </c>
      <c r="I2703" s="86" t="s">
        <v>29</v>
      </c>
      <c r="J2703" s="86" t="s">
        <v>29</v>
      </c>
      <c r="K2703" s="86" t="s">
        <v>29</v>
      </c>
      <c r="L2703" s="86" t="s">
        <v>29</v>
      </c>
      <c r="M2703" s="86" t="s">
        <v>29</v>
      </c>
      <c r="N2703" s="86" t="s">
        <v>29</v>
      </c>
      <c r="O2703" s="86" t="s">
        <v>29</v>
      </c>
      <c r="P2703" s="86" t="s">
        <v>29</v>
      </c>
      <c r="Q2703" s="86" t="s">
        <v>29</v>
      </c>
      <c r="R2703" s="86" t="s">
        <v>29</v>
      </c>
      <c r="S2703" s="86" t="s">
        <v>29</v>
      </c>
      <c r="T2703" s="86" t="s">
        <v>29</v>
      </c>
      <c r="U2703" s="86" t="s">
        <v>29</v>
      </c>
      <c r="V2703" s="86" t="s">
        <v>29</v>
      </c>
      <c r="W2703" s="86" t="s">
        <v>29</v>
      </c>
      <c r="X2703" s="85" t="e">
        <f t="shared" si="294"/>
        <v>#VALUE!</v>
      </c>
      <c r="Y2703" s="86" t="s">
        <v>29</v>
      </c>
      <c r="Z2703" s="86" t="s">
        <v>29</v>
      </c>
      <c r="AA2703" s="115" t="s">
        <v>29</v>
      </c>
      <c r="AB2703" s="115" t="s">
        <v>29</v>
      </c>
    </row>
    <row r="2704" spans="1:28" x14ac:dyDescent="0.3">
      <c r="A2704" s="116">
        <v>117</v>
      </c>
      <c r="B2704" s="68" t="s">
        <v>470</v>
      </c>
      <c r="E2704" s="85">
        <f>122929746.31/1000</f>
        <v>122929.74631</v>
      </c>
      <c r="F2704" s="85">
        <f t="shared" ref="F2704:AB2704" si="295">SUM(F2686:F2702)</f>
        <v>28085.614390000002</v>
      </c>
      <c r="G2704" s="85">
        <f t="shared" si="295"/>
        <v>0</v>
      </c>
      <c r="H2704" s="85">
        <f>111989069.08/1000</f>
        <v>111989.06908</v>
      </c>
      <c r="I2704" s="85">
        <f t="shared" si="295"/>
        <v>0</v>
      </c>
      <c r="J2704" s="85">
        <f t="shared" si="295"/>
        <v>0</v>
      </c>
      <c r="K2704" s="85">
        <f t="shared" si="295"/>
        <v>0</v>
      </c>
      <c r="L2704" s="85">
        <f t="shared" si="295"/>
        <v>0</v>
      </c>
      <c r="M2704" s="85">
        <f t="shared" si="295"/>
        <v>28085.614390000002</v>
      </c>
      <c r="N2704" s="85">
        <f t="shared" si="295"/>
        <v>10939.169679999999</v>
      </c>
      <c r="O2704" s="85">
        <f t="shared" si="295"/>
        <v>0</v>
      </c>
      <c r="P2704" s="85">
        <f>10939169/1000</f>
        <v>10939.169</v>
      </c>
      <c r="Q2704" s="85">
        <f t="shared" si="295"/>
        <v>43.424620000000004</v>
      </c>
      <c r="R2704" s="85">
        <f t="shared" si="295"/>
        <v>0</v>
      </c>
      <c r="S2704" s="85">
        <f t="shared" si="295"/>
        <v>0</v>
      </c>
      <c r="T2704" s="85">
        <f t="shared" si="295"/>
        <v>1.5075499999999999</v>
      </c>
      <c r="U2704" s="85">
        <f t="shared" si="295"/>
        <v>10940.677229999999</v>
      </c>
      <c r="V2704" s="85">
        <f t="shared" si="295"/>
        <v>26547.562839999999</v>
      </c>
      <c r="W2704" s="85">
        <f t="shared" si="295"/>
        <v>1.5075500000002795</v>
      </c>
      <c r="X2704" s="85">
        <f t="shared" si="294"/>
        <v>122928.23808</v>
      </c>
      <c r="Y2704" s="85">
        <f t="shared" si="295"/>
        <v>0</v>
      </c>
      <c r="Z2704" s="85">
        <f t="shared" ref="Z2704:Z2728" si="296">+E2704-X2704</f>
        <v>1.5082300000067335</v>
      </c>
      <c r="AA2704" s="69">
        <f t="shared" si="295"/>
        <v>39026.291619999996</v>
      </c>
      <c r="AB2704" s="69">
        <f t="shared" si="295"/>
        <v>0</v>
      </c>
    </row>
    <row r="2705" spans="1:28" hidden="1" x14ac:dyDescent="0.3">
      <c r="A2705" s="117"/>
      <c r="E2705" s="86" t="s">
        <v>29</v>
      </c>
      <c r="F2705" s="86" t="s">
        <v>29</v>
      </c>
      <c r="G2705" s="86" t="s">
        <v>29</v>
      </c>
      <c r="H2705" s="86" t="s">
        <v>29</v>
      </c>
      <c r="I2705" s="86" t="s">
        <v>29</v>
      </c>
      <c r="J2705" s="86" t="s">
        <v>29</v>
      </c>
      <c r="K2705" s="86" t="s">
        <v>29</v>
      </c>
      <c r="L2705" s="86" t="s">
        <v>29</v>
      </c>
      <c r="M2705" s="86" t="s">
        <v>29</v>
      </c>
      <c r="N2705" s="86" t="s">
        <v>29</v>
      </c>
      <c r="O2705" s="86" t="s">
        <v>29</v>
      </c>
      <c r="P2705" s="86" t="s">
        <v>29</v>
      </c>
      <c r="Q2705" s="86" t="s">
        <v>29</v>
      </c>
      <c r="R2705" s="86" t="s">
        <v>29</v>
      </c>
      <c r="S2705" s="86" t="s">
        <v>29</v>
      </c>
      <c r="T2705" s="86" t="s">
        <v>29</v>
      </c>
      <c r="U2705" s="86" t="s">
        <v>29</v>
      </c>
      <c r="V2705" s="86" t="s">
        <v>29</v>
      </c>
      <c r="W2705" s="86" t="s">
        <v>29</v>
      </c>
      <c r="X2705" s="85" t="e">
        <f t="shared" si="294"/>
        <v>#VALUE!</v>
      </c>
      <c r="Y2705" s="86" t="s">
        <v>29</v>
      </c>
      <c r="Z2705" s="85" t="e">
        <f t="shared" si="296"/>
        <v>#VALUE!</v>
      </c>
      <c r="AA2705" s="115" t="s">
        <v>29</v>
      </c>
      <c r="AB2705" s="115" t="s">
        <v>29</v>
      </c>
    </row>
    <row r="2706" spans="1:28" hidden="1" x14ac:dyDescent="0.3">
      <c r="A2706" s="105"/>
      <c r="D2706" s="71" t="s">
        <v>422</v>
      </c>
      <c r="E2706" s="84"/>
      <c r="F2706" s="84"/>
      <c r="G2706" s="84"/>
      <c r="H2706" s="84"/>
      <c r="I2706" s="84"/>
      <c r="J2706" s="84"/>
      <c r="K2706" s="84"/>
      <c r="L2706" s="84"/>
      <c r="M2706" s="84"/>
      <c r="N2706" s="84"/>
      <c r="O2706" s="84"/>
      <c r="P2706" s="84"/>
      <c r="Q2706" s="84"/>
      <c r="R2706" s="84"/>
      <c r="S2706" s="84"/>
      <c r="T2706" s="84"/>
      <c r="U2706" s="84"/>
      <c r="V2706" s="84"/>
      <c r="W2706" s="84"/>
      <c r="X2706" s="85">
        <f t="shared" si="294"/>
        <v>0</v>
      </c>
      <c r="Y2706" s="84"/>
      <c r="Z2706" s="85">
        <f t="shared" si="296"/>
        <v>0</v>
      </c>
    </row>
    <row r="2707" spans="1:28" hidden="1" x14ac:dyDescent="0.3">
      <c r="A2707" s="117"/>
      <c r="C2707" s="71" t="s">
        <v>474</v>
      </c>
      <c r="D2707" s="71" t="s">
        <v>475</v>
      </c>
      <c r="E2707" s="85">
        <f>STATS1003B!E2715/1000</f>
        <v>9465.43577</v>
      </c>
      <c r="F2707" s="85">
        <f>STATS1003B!F2715/1000</f>
        <v>9465.43577</v>
      </c>
      <c r="G2707" s="85">
        <f>STATS1003B!G2715/1000</f>
        <v>0</v>
      </c>
      <c r="H2707" s="85">
        <f>STATS1003B!H2715/1000</f>
        <v>9465.43577</v>
      </c>
      <c r="I2707" s="85">
        <f>STATS1003B!I2715/1000</f>
        <v>0</v>
      </c>
      <c r="J2707" s="85">
        <f>STATS1003B!J2715/1000</f>
        <v>0</v>
      </c>
      <c r="K2707" s="85">
        <f>STATS1003B!K2715/1000</f>
        <v>0</v>
      </c>
      <c r="L2707" s="85">
        <f>STATS1003B!L2715/1000</f>
        <v>0</v>
      </c>
      <c r="M2707" s="85">
        <f>STATS1003B!M2715/1000</f>
        <v>9465.43577</v>
      </c>
      <c r="N2707" s="85">
        <f>STATS1003B!N2715/1000</f>
        <v>0</v>
      </c>
      <c r="O2707" s="85">
        <f>STATS1003B!O2715/1000</f>
        <v>0</v>
      </c>
      <c r="P2707" s="85">
        <f>STATS1003B!P2715/1000</f>
        <v>0</v>
      </c>
      <c r="Q2707" s="85">
        <f>STATS1003B!Q2715/1000</f>
        <v>0</v>
      </c>
      <c r="R2707" s="85">
        <f>STATS1003B!R2715/1000</f>
        <v>0</v>
      </c>
      <c r="S2707" s="85">
        <f>STATS1003B!S2715/1000</f>
        <v>0</v>
      </c>
      <c r="T2707" s="85">
        <f>STATS1003B!T2715/1000</f>
        <v>0</v>
      </c>
      <c r="U2707" s="85">
        <f>STATS1003B!U2715/1000</f>
        <v>0</v>
      </c>
      <c r="V2707" s="85">
        <f>STATS1003B!V2715/1000</f>
        <v>9465.43577</v>
      </c>
      <c r="W2707" s="85">
        <f>STATS1003B!W2715/1000</f>
        <v>0</v>
      </c>
      <c r="X2707" s="85">
        <f t="shared" si="294"/>
        <v>9465.43577</v>
      </c>
      <c r="Y2707" s="85">
        <f>STATS1003B!Y2715/1000</f>
        <v>0</v>
      </c>
      <c r="Z2707" s="85">
        <f t="shared" si="296"/>
        <v>0</v>
      </c>
      <c r="AA2707" s="69">
        <f>STATS1003B!AA2715/1000</f>
        <v>9465.43577</v>
      </c>
      <c r="AB2707" s="69">
        <f>STATS1003B!AB2715/1000</f>
        <v>0</v>
      </c>
    </row>
    <row r="2708" spans="1:28" hidden="1" x14ac:dyDescent="0.3">
      <c r="A2708" s="117"/>
      <c r="C2708" s="71" t="s">
        <v>55</v>
      </c>
      <c r="D2708" s="88" t="s">
        <v>68</v>
      </c>
      <c r="E2708" s="85">
        <f>STATS1003B!E2716/1000</f>
        <v>1019.2345</v>
      </c>
      <c r="F2708" s="85">
        <f>STATS1003B!F2716/1000</f>
        <v>0</v>
      </c>
      <c r="G2708" s="85">
        <f>STATS1003B!G2716/1000</f>
        <v>0</v>
      </c>
      <c r="H2708" s="85">
        <f>STATS1003B!H2716/1000</f>
        <v>0</v>
      </c>
      <c r="I2708" s="85">
        <f>STATS1003B!I2716/1000</f>
        <v>0</v>
      </c>
      <c r="J2708" s="85">
        <f>STATS1003B!J2716/1000</f>
        <v>0</v>
      </c>
      <c r="K2708" s="85">
        <f>STATS1003B!K2716/1000</f>
        <v>0</v>
      </c>
      <c r="L2708" s="85">
        <f>STATS1003B!L2716/1000</f>
        <v>0</v>
      </c>
      <c r="M2708" s="85">
        <f>STATS1003B!M2716/1000</f>
        <v>0</v>
      </c>
      <c r="N2708" s="85">
        <f>STATS1003B!N2716/1000</f>
        <v>1019.2345</v>
      </c>
      <c r="O2708" s="85">
        <f>STATS1003B!O2716/1000</f>
        <v>0</v>
      </c>
      <c r="P2708" s="85">
        <f>STATS1003B!P2716/1000</f>
        <v>1019.2345</v>
      </c>
      <c r="Q2708" s="85">
        <f>STATS1003B!Q2716/1000</f>
        <v>0</v>
      </c>
      <c r="R2708" s="85">
        <f>STATS1003B!R2716/1000</f>
        <v>0</v>
      </c>
      <c r="S2708" s="85">
        <f>STATS1003B!S2716/1000</f>
        <v>0</v>
      </c>
      <c r="T2708" s="85">
        <f>STATS1003B!T2716/1000</f>
        <v>0</v>
      </c>
      <c r="U2708" s="85">
        <f>STATS1003B!U2716/1000</f>
        <v>1019.2345</v>
      </c>
      <c r="V2708" s="85">
        <f>STATS1003B!V2716/1000</f>
        <v>1019.2345</v>
      </c>
      <c r="W2708" s="85">
        <f>STATS1003B!W2716/1000</f>
        <v>0</v>
      </c>
      <c r="X2708" s="85">
        <f t="shared" si="294"/>
        <v>1019.2345</v>
      </c>
      <c r="Y2708" s="85">
        <f>STATS1003B!Y2716/1000</f>
        <v>0</v>
      </c>
      <c r="Z2708" s="85">
        <f t="shared" si="296"/>
        <v>0</v>
      </c>
      <c r="AA2708" s="69">
        <f>STATS1003B!AA2716/1000</f>
        <v>1019.2345</v>
      </c>
      <c r="AB2708" s="69">
        <f>STATS1003B!AB2716/1000</f>
        <v>0</v>
      </c>
    </row>
    <row r="2709" spans="1:28" hidden="1" x14ac:dyDescent="0.3">
      <c r="A2709" s="117"/>
      <c r="C2709" s="71" t="s">
        <v>185</v>
      </c>
      <c r="D2709" s="88" t="s">
        <v>54</v>
      </c>
      <c r="E2709" s="85">
        <f>STATS1003B!E2717/1000</f>
        <v>1953.989</v>
      </c>
      <c r="F2709" s="85">
        <f>STATS1003B!F2717/1000</f>
        <v>0</v>
      </c>
      <c r="G2709" s="85">
        <f>STATS1003B!G2717/1000</f>
        <v>0</v>
      </c>
      <c r="H2709" s="85">
        <f>STATS1003B!H2717/1000</f>
        <v>0</v>
      </c>
      <c r="I2709" s="85">
        <f>STATS1003B!I2717/1000</f>
        <v>0</v>
      </c>
      <c r="J2709" s="85">
        <f>STATS1003B!J2717/1000</f>
        <v>0</v>
      </c>
      <c r="K2709" s="85">
        <f>STATS1003B!K2717/1000</f>
        <v>0</v>
      </c>
      <c r="L2709" s="85">
        <f>STATS1003B!L2717/1000</f>
        <v>0</v>
      </c>
      <c r="M2709" s="85">
        <f>STATS1003B!M2717/1000</f>
        <v>0</v>
      </c>
      <c r="N2709" s="85">
        <f>STATS1003B!N2717/1000</f>
        <v>1953.989</v>
      </c>
      <c r="O2709" s="85">
        <f>STATS1003B!O2717/1000</f>
        <v>0</v>
      </c>
      <c r="P2709" s="85">
        <f>STATS1003B!P2717/1000</f>
        <v>1953.989</v>
      </c>
      <c r="Q2709" s="85">
        <f>STATS1003B!Q2717/1000</f>
        <v>0</v>
      </c>
      <c r="R2709" s="85">
        <f>STATS1003B!R2717/1000</f>
        <v>0</v>
      </c>
      <c r="S2709" s="85">
        <f>STATS1003B!S2717/1000</f>
        <v>0</v>
      </c>
      <c r="T2709" s="85">
        <f>STATS1003B!T2717/1000</f>
        <v>0</v>
      </c>
      <c r="U2709" s="85">
        <f>STATS1003B!U2717/1000</f>
        <v>1953.989</v>
      </c>
      <c r="V2709" s="85">
        <f>STATS1003B!V2717/1000</f>
        <v>1953.989</v>
      </c>
      <c r="W2709" s="85">
        <f>STATS1003B!W2717/1000</f>
        <v>0</v>
      </c>
      <c r="X2709" s="85">
        <f t="shared" si="294"/>
        <v>1953.989</v>
      </c>
      <c r="Y2709" s="85">
        <f>STATS1003B!Y2717/1000</f>
        <v>0</v>
      </c>
      <c r="Z2709" s="85">
        <f t="shared" si="296"/>
        <v>0</v>
      </c>
      <c r="AA2709" s="69">
        <f>STATS1003B!AA2717/1000</f>
        <v>1953.989</v>
      </c>
      <c r="AB2709" s="69">
        <f>STATS1003B!AB2717/1000</f>
        <v>0</v>
      </c>
    </row>
    <row r="2710" spans="1:28" hidden="1" x14ac:dyDescent="0.3">
      <c r="A2710" s="117"/>
      <c r="C2710" s="71" t="s">
        <v>425</v>
      </c>
      <c r="D2710" s="88" t="s">
        <v>54</v>
      </c>
      <c r="E2710" s="85">
        <f>STATS1003B!E2718/1000</f>
        <v>955.34561999999994</v>
      </c>
      <c r="F2710" s="85">
        <f>STATS1003B!F2718/1000</f>
        <v>0</v>
      </c>
      <c r="G2710" s="85">
        <f>STATS1003B!G2718/1000</f>
        <v>0</v>
      </c>
      <c r="H2710" s="85">
        <f>STATS1003B!H2718/1000</f>
        <v>0</v>
      </c>
      <c r="I2710" s="85">
        <f>STATS1003B!I2718/1000</f>
        <v>0</v>
      </c>
      <c r="J2710" s="85">
        <f>STATS1003B!J2718/1000</f>
        <v>0</v>
      </c>
      <c r="K2710" s="85">
        <f>STATS1003B!K2718/1000</f>
        <v>0</v>
      </c>
      <c r="L2710" s="85">
        <f>STATS1003B!L2718/1000</f>
        <v>0</v>
      </c>
      <c r="M2710" s="85">
        <f>STATS1003B!M2718/1000</f>
        <v>0</v>
      </c>
      <c r="N2710" s="85">
        <f>STATS1003B!N2718/1000</f>
        <v>955.34561999999994</v>
      </c>
      <c r="O2710" s="85">
        <f>STATS1003B!O2718/1000</f>
        <v>0</v>
      </c>
      <c r="P2710" s="85">
        <f>STATS1003B!P2718/1000</f>
        <v>955.34561999999994</v>
      </c>
      <c r="Q2710" s="85">
        <f>STATS1003B!Q2718/1000</f>
        <v>0</v>
      </c>
      <c r="R2710" s="85">
        <f>STATS1003B!R2718/1000</f>
        <v>0</v>
      </c>
      <c r="S2710" s="85">
        <f>STATS1003B!S2718/1000</f>
        <v>0</v>
      </c>
      <c r="T2710" s="85">
        <f>STATS1003B!T2718/1000</f>
        <v>0</v>
      </c>
      <c r="U2710" s="85">
        <f>STATS1003B!U2718/1000</f>
        <v>955.34561999999994</v>
      </c>
      <c r="V2710" s="85">
        <f>STATS1003B!V2718/1000</f>
        <v>955.34561999999994</v>
      </c>
      <c r="W2710" s="85">
        <f>STATS1003B!W2718/1000</f>
        <v>0</v>
      </c>
      <c r="X2710" s="85">
        <f t="shared" si="294"/>
        <v>955.34561999999994</v>
      </c>
      <c r="Y2710" s="85">
        <f>STATS1003B!Y2718/1000</f>
        <v>0</v>
      </c>
      <c r="Z2710" s="85">
        <f t="shared" si="296"/>
        <v>0</v>
      </c>
      <c r="AA2710" s="69">
        <f>STATS1003B!AA2718/1000</f>
        <v>955.34561999999994</v>
      </c>
      <c r="AB2710" s="69">
        <f>STATS1003B!AB2718/1000</f>
        <v>0</v>
      </c>
    </row>
    <row r="2711" spans="1:28" hidden="1" x14ac:dyDescent="0.3">
      <c r="A2711" s="117"/>
      <c r="C2711" s="71" t="s">
        <v>431</v>
      </c>
      <c r="D2711" s="88" t="s">
        <v>128</v>
      </c>
      <c r="E2711" s="85">
        <f>STATS1003B!E2719/1000</f>
        <v>800</v>
      </c>
      <c r="F2711" s="85">
        <f>STATS1003B!F2719/1000</f>
        <v>0</v>
      </c>
      <c r="G2711" s="85">
        <f>STATS1003B!G2719/1000</f>
        <v>0</v>
      </c>
      <c r="H2711" s="85">
        <f>STATS1003B!H2719/1000</f>
        <v>0</v>
      </c>
      <c r="I2711" s="85">
        <f>STATS1003B!I2719/1000</f>
        <v>0</v>
      </c>
      <c r="J2711" s="85">
        <f>STATS1003B!J2719/1000</f>
        <v>0</v>
      </c>
      <c r="K2711" s="85">
        <f>STATS1003B!K2719/1000</f>
        <v>0</v>
      </c>
      <c r="L2711" s="85">
        <f>STATS1003B!L2719/1000</f>
        <v>0</v>
      </c>
      <c r="M2711" s="85">
        <f>STATS1003B!M2719/1000</f>
        <v>0</v>
      </c>
      <c r="N2711" s="85">
        <f>STATS1003B!N2719/1000</f>
        <v>0</v>
      </c>
      <c r="O2711" s="85">
        <f>STATS1003B!O2719/1000</f>
        <v>0</v>
      </c>
      <c r="P2711" s="85">
        <f>STATS1003B!P2719/1000</f>
        <v>0</v>
      </c>
      <c r="Q2711" s="85">
        <f>STATS1003B!Q2719/1000</f>
        <v>0</v>
      </c>
      <c r="R2711" s="85">
        <f>STATS1003B!R2719/1000</f>
        <v>0</v>
      </c>
      <c r="S2711" s="85">
        <f>STATS1003B!S2719/1000</f>
        <v>0</v>
      </c>
      <c r="T2711" s="85">
        <f>STATS1003B!T2719/1000</f>
        <v>0</v>
      </c>
      <c r="U2711" s="85">
        <f>STATS1003B!U2719/1000</f>
        <v>0</v>
      </c>
      <c r="V2711" s="85">
        <f>STATS1003B!V2719/1000</f>
        <v>0</v>
      </c>
      <c r="W2711" s="85">
        <f>STATS1003B!W2719/1000</f>
        <v>800</v>
      </c>
      <c r="X2711" s="85">
        <f t="shared" si="294"/>
        <v>0</v>
      </c>
      <c r="Y2711" s="85">
        <f>STATS1003B!Y2719/1000</f>
        <v>0</v>
      </c>
      <c r="Z2711" s="85">
        <f t="shared" si="296"/>
        <v>800</v>
      </c>
      <c r="AA2711" s="69">
        <f>STATS1003B!AA2719/1000</f>
        <v>0</v>
      </c>
      <c r="AB2711" s="69">
        <f>STATS1003B!AB2719/1000</f>
        <v>800</v>
      </c>
    </row>
    <row r="2712" spans="1:28" hidden="1" x14ac:dyDescent="0.3">
      <c r="A2712" s="117"/>
      <c r="C2712" s="71" t="s">
        <v>476</v>
      </c>
      <c r="D2712" s="88" t="s">
        <v>88</v>
      </c>
      <c r="E2712" s="85">
        <f>STATS1003B!E2720/1000</f>
        <v>1200</v>
      </c>
      <c r="F2712" s="85">
        <f>STATS1003B!F2720/1000</f>
        <v>1200</v>
      </c>
      <c r="G2712" s="85">
        <f>STATS1003B!G2720/1000</f>
        <v>0</v>
      </c>
      <c r="H2712" s="85">
        <f>STATS1003B!H2720/1000</f>
        <v>1200</v>
      </c>
      <c r="I2712" s="85">
        <f>STATS1003B!I2720/1000</f>
        <v>0</v>
      </c>
      <c r="J2712" s="85">
        <f>STATS1003B!J2720/1000</f>
        <v>0</v>
      </c>
      <c r="K2712" s="85">
        <f>STATS1003B!K2720/1000</f>
        <v>0</v>
      </c>
      <c r="L2712" s="85">
        <f>STATS1003B!L2720/1000</f>
        <v>0</v>
      </c>
      <c r="M2712" s="85">
        <f>STATS1003B!M2720/1000</f>
        <v>1200</v>
      </c>
      <c r="N2712" s="85">
        <f>STATS1003B!N2720/1000</f>
        <v>0</v>
      </c>
      <c r="O2712" s="85">
        <f>STATS1003B!O2720/1000</f>
        <v>0</v>
      </c>
      <c r="P2712" s="85">
        <f>STATS1003B!P2720/1000</f>
        <v>0</v>
      </c>
      <c r="Q2712" s="85">
        <f>STATS1003B!Q2720/1000</f>
        <v>0</v>
      </c>
      <c r="R2712" s="85">
        <f>STATS1003B!R2720/1000</f>
        <v>0</v>
      </c>
      <c r="S2712" s="85">
        <f>STATS1003B!S2720/1000</f>
        <v>0</v>
      </c>
      <c r="T2712" s="85">
        <f>STATS1003B!T2720/1000</f>
        <v>0</v>
      </c>
      <c r="U2712" s="85">
        <f>STATS1003B!U2720/1000</f>
        <v>0</v>
      </c>
      <c r="V2712" s="85">
        <f>STATS1003B!V2720/1000</f>
        <v>1200</v>
      </c>
      <c r="W2712" s="85">
        <f>STATS1003B!W2720/1000</f>
        <v>0</v>
      </c>
      <c r="X2712" s="85">
        <f t="shared" si="294"/>
        <v>1200</v>
      </c>
      <c r="Y2712" s="85">
        <f>STATS1003B!Y2720/1000</f>
        <v>0</v>
      </c>
      <c r="Z2712" s="85">
        <f t="shared" si="296"/>
        <v>0</v>
      </c>
      <c r="AA2712" s="69">
        <f>STATS1003B!AA2720/1000</f>
        <v>1200</v>
      </c>
      <c r="AB2712" s="69">
        <f>STATS1003B!AB2720/1000</f>
        <v>0</v>
      </c>
    </row>
    <row r="2713" spans="1:28" hidden="1" x14ac:dyDescent="0.3">
      <c r="A2713" s="117"/>
      <c r="C2713" s="71" t="s">
        <v>143</v>
      </c>
      <c r="D2713" s="88" t="s">
        <v>58</v>
      </c>
      <c r="E2713" s="85">
        <f>STATS1003B!E2721/1000</f>
        <v>12600.76734</v>
      </c>
      <c r="F2713" s="85">
        <f>STATS1003B!F2721/1000</f>
        <v>12600.76734</v>
      </c>
      <c r="G2713" s="85">
        <f>STATS1003B!G2721/1000</f>
        <v>0</v>
      </c>
      <c r="H2713" s="85">
        <f>STATS1003B!H2721/1000</f>
        <v>12600.76734</v>
      </c>
      <c r="I2713" s="85">
        <f>STATS1003B!I2721/1000</f>
        <v>0</v>
      </c>
      <c r="J2713" s="85">
        <f>STATS1003B!J2721/1000</f>
        <v>0</v>
      </c>
      <c r="K2713" s="85">
        <f>STATS1003B!K2721/1000</f>
        <v>0</v>
      </c>
      <c r="L2713" s="85">
        <f>STATS1003B!L2721/1000</f>
        <v>0</v>
      </c>
      <c r="M2713" s="85">
        <f>STATS1003B!M2721/1000</f>
        <v>12600.76734</v>
      </c>
      <c r="N2713" s="85">
        <f>STATS1003B!N2721/1000</f>
        <v>0</v>
      </c>
      <c r="O2713" s="85">
        <f>STATS1003B!O2721/1000</f>
        <v>0</v>
      </c>
      <c r="P2713" s="85">
        <f>STATS1003B!P2721/1000</f>
        <v>0</v>
      </c>
      <c r="Q2713" s="85">
        <f>STATS1003B!Q2721/1000</f>
        <v>0</v>
      </c>
      <c r="R2713" s="85">
        <f>STATS1003B!R2721/1000</f>
        <v>0</v>
      </c>
      <c r="S2713" s="85">
        <f>STATS1003B!S2721/1000</f>
        <v>0</v>
      </c>
      <c r="T2713" s="85">
        <f>STATS1003B!T2721/1000</f>
        <v>0</v>
      </c>
      <c r="U2713" s="85">
        <f>STATS1003B!U2721/1000</f>
        <v>0</v>
      </c>
      <c r="V2713" s="85">
        <f>STATS1003B!V2721/1000</f>
        <v>12600.76734</v>
      </c>
      <c r="W2713" s="85">
        <f>STATS1003B!W2721/1000</f>
        <v>0</v>
      </c>
      <c r="X2713" s="85">
        <f t="shared" si="294"/>
        <v>12600.76734</v>
      </c>
      <c r="Y2713" s="85">
        <f>STATS1003B!Y2721/1000</f>
        <v>0</v>
      </c>
      <c r="Z2713" s="85">
        <f t="shared" si="296"/>
        <v>0</v>
      </c>
      <c r="AA2713" s="69">
        <f>STATS1003B!AA2721/1000</f>
        <v>12600.76734</v>
      </c>
      <c r="AB2713" s="69">
        <f>STATS1003B!AB2721/1000</f>
        <v>0</v>
      </c>
    </row>
    <row r="2714" spans="1:28" hidden="1" x14ac:dyDescent="0.3">
      <c r="A2714" s="117"/>
      <c r="C2714" s="71" t="s">
        <v>143</v>
      </c>
      <c r="D2714" s="88" t="s">
        <v>60</v>
      </c>
      <c r="E2714" s="85">
        <f>STATS1003B!E2722/1000</f>
        <v>8442.30386</v>
      </c>
      <c r="F2714" s="85">
        <f>STATS1003B!F2722/1000</f>
        <v>8442.30386</v>
      </c>
      <c r="G2714" s="85">
        <f>STATS1003B!G2722/1000</f>
        <v>0</v>
      </c>
      <c r="H2714" s="85">
        <f>STATS1003B!H2722/1000</f>
        <v>8442.30386</v>
      </c>
      <c r="I2714" s="85">
        <f>STATS1003B!I2722/1000</f>
        <v>0</v>
      </c>
      <c r="J2714" s="85">
        <f>STATS1003B!J2722/1000</f>
        <v>0</v>
      </c>
      <c r="K2714" s="85">
        <f>STATS1003B!K2722/1000</f>
        <v>0</v>
      </c>
      <c r="L2714" s="85">
        <f>STATS1003B!L2722/1000</f>
        <v>0</v>
      </c>
      <c r="M2714" s="85">
        <f>STATS1003B!M2722/1000</f>
        <v>8442.30386</v>
      </c>
      <c r="N2714" s="85">
        <f>STATS1003B!N2722/1000</f>
        <v>0</v>
      </c>
      <c r="O2714" s="85">
        <f>STATS1003B!O2722/1000</f>
        <v>0</v>
      </c>
      <c r="P2714" s="85">
        <f>STATS1003B!P2722/1000</f>
        <v>0</v>
      </c>
      <c r="Q2714" s="85">
        <f>STATS1003B!Q2722/1000</f>
        <v>0</v>
      </c>
      <c r="R2714" s="85">
        <f>STATS1003B!R2722/1000</f>
        <v>0</v>
      </c>
      <c r="S2714" s="85">
        <f>STATS1003B!S2722/1000</f>
        <v>0</v>
      </c>
      <c r="T2714" s="85">
        <f>STATS1003B!T2722/1000</f>
        <v>0</v>
      </c>
      <c r="U2714" s="85">
        <f>STATS1003B!U2722/1000</f>
        <v>0</v>
      </c>
      <c r="V2714" s="85">
        <f>STATS1003B!V2722/1000</f>
        <v>8442.30386</v>
      </c>
      <c r="W2714" s="85">
        <f>STATS1003B!W2722/1000</f>
        <v>0</v>
      </c>
      <c r="X2714" s="85">
        <f t="shared" si="294"/>
        <v>8442.30386</v>
      </c>
      <c r="Y2714" s="85">
        <f>STATS1003B!Y2722/1000</f>
        <v>0</v>
      </c>
      <c r="Z2714" s="85">
        <f t="shared" si="296"/>
        <v>0</v>
      </c>
      <c r="AA2714" s="69">
        <f>STATS1003B!AA2722/1000</f>
        <v>8442.30386</v>
      </c>
      <c r="AB2714" s="69">
        <f>STATS1003B!AB2722/1000</f>
        <v>0</v>
      </c>
    </row>
    <row r="2715" spans="1:28" hidden="1" x14ac:dyDescent="0.3">
      <c r="A2715" s="117"/>
      <c r="C2715" s="71" t="s">
        <v>477</v>
      </c>
      <c r="D2715" s="71" t="s">
        <v>478</v>
      </c>
      <c r="E2715" s="85">
        <f>STATS1003B!E2723/1000</f>
        <v>3611.9209999999998</v>
      </c>
      <c r="F2715" s="85">
        <f>STATS1003B!F2723/1000</f>
        <v>3611.9209999999998</v>
      </c>
      <c r="G2715" s="85">
        <f>STATS1003B!G2723/1000</f>
        <v>0</v>
      </c>
      <c r="H2715" s="85">
        <f>STATS1003B!H2723/1000</f>
        <v>3611.9209999999998</v>
      </c>
      <c r="I2715" s="85">
        <f>STATS1003B!I2723/1000</f>
        <v>0</v>
      </c>
      <c r="J2715" s="85">
        <f>STATS1003B!J2723/1000</f>
        <v>0</v>
      </c>
      <c r="K2715" s="85">
        <f>STATS1003B!K2723/1000</f>
        <v>0</v>
      </c>
      <c r="L2715" s="85">
        <f>STATS1003B!L2723/1000</f>
        <v>0</v>
      </c>
      <c r="M2715" s="85">
        <f>STATS1003B!M2723/1000</f>
        <v>3611.9209999999998</v>
      </c>
      <c r="N2715" s="85">
        <f>STATS1003B!N2723/1000</f>
        <v>0</v>
      </c>
      <c r="O2715" s="85">
        <f>STATS1003B!O2723/1000</f>
        <v>0</v>
      </c>
      <c r="P2715" s="85">
        <f>STATS1003B!P2723/1000</f>
        <v>0</v>
      </c>
      <c r="Q2715" s="85">
        <f>STATS1003B!Q2723/1000</f>
        <v>0</v>
      </c>
      <c r="R2715" s="85">
        <f>STATS1003B!R2723/1000</f>
        <v>0</v>
      </c>
      <c r="S2715" s="85">
        <f>STATS1003B!S2723/1000</f>
        <v>0</v>
      </c>
      <c r="T2715" s="85">
        <f>STATS1003B!T2723/1000</f>
        <v>0</v>
      </c>
      <c r="U2715" s="85">
        <f>STATS1003B!U2723/1000</f>
        <v>0</v>
      </c>
      <c r="V2715" s="85">
        <f>STATS1003B!V2723/1000</f>
        <v>3611.9209999999998</v>
      </c>
      <c r="W2715" s="85">
        <f>STATS1003B!W2723/1000</f>
        <v>0</v>
      </c>
      <c r="X2715" s="85">
        <f t="shared" si="294"/>
        <v>3611.9209999999998</v>
      </c>
      <c r="Y2715" s="85">
        <f>STATS1003B!Y2723/1000</f>
        <v>0</v>
      </c>
      <c r="Z2715" s="85">
        <f t="shared" si="296"/>
        <v>0</v>
      </c>
      <c r="AA2715" s="69">
        <f>STATS1003B!AA2723/1000</f>
        <v>3611.9209999999998</v>
      </c>
      <c r="AB2715" s="69">
        <f>STATS1003B!AB2723/1000</f>
        <v>0</v>
      </c>
    </row>
    <row r="2716" spans="1:28" hidden="1" x14ac:dyDescent="0.3">
      <c r="A2716" s="117"/>
      <c r="C2716" s="71" t="s">
        <v>143</v>
      </c>
      <c r="D2716" s="88" t="s">
        <v>73</v>
      </c>
      <c r="E2716" s="85">
        <f>STATS1003B!E2724/1000</f>
        <v>6387.7030000000004</v>
      </c>
      <c r="F2716" s="85">
        <f>STATS1003B!F2724/1000</f>
        <v>6387.7030000000004</v>
      </c>
      <c r="G2716" s="85">
        <f>STATS1003B!G2724/1000</f>
        <v>0</v>
      </c>
      <c r="H2716" s="85">
        <f>STATS1003B!H2724/1000</f>
        <v>6387.7030000000004</v>
      </c>
      <c r="I2716" s="85">
        <f>STATS1003B!I2724/1000</f>
        <v>0</v>
      </c>
      <c r="J2716" s="85">
        <f>STATS1003B!J2724/1000</f>
        <v>0</v>
      </c>
      <c r="K2716" s="85">
        <f>STATS1003B!K2724/1000</f>
        <v>0</v>
      </c>
      <c r="L2716" s="85">
        <f>STATS1003B!L2724/1000</f>
        <v>0</v>
      </c>
      <c r="M2716" s="85">
        <f>STATS1003B!M2724/1000</f>
        <v>6387.7030000000004</v>
      </c>
      <c r="N2716" s="85">
        <f>STATS1003B!N2724/1000</f>
        <v>0</v>
      </c>
      <c r="O2716" s="85">
        <f>STATS1003B!O2724/1000</f>
        <v>0</v>
      </c>
      <c r="P2716" s="85">
        <f>STATS1003B!P2724/1000</f>
        <v>0</v>
      </c>
      <c r="Q2716" s="85">
        <f>STATS1003B!Q2724/1000</f>
        <v>0</v>
      </c>
      <c r="R2716" s="85">
        <f>STATS1003B!R2724/1000</f>
        <v>0</v>
      </c>
      <c r="S2716" s="85">
        <f>STATS1003B!S2724/1000</f>
        <v>0</v>
      </c>
      <c r="T2716" s="85">
        <f>STATS1003B!T2724/1000</f>
        <v>0</v>
      </c>
      <c r="U2716" s="85">
        <f>STATS1003B!U2724/1000</f>
        <v>0</v>
      </c>
      <c r="V2716" s="85">
        <f>STATS1003B!V2724/1000</f>
        <v>6387.7030000000004</v>
      </c>
      <c r="W2716" s="85">
        <f>STATS1003B!W2724/1000</f>
        <v>0</v>
      </c>
      <c r="X2716" s="85">
        <f t="shared" si="294"/>
        <v>6387.7030000000004</v>
      </c>
      <c r="Y2716" s="85">
        <f>STATS1003B!Y2724/1000</f>
        <v>0</v>
      </c>
      <c r="Z2716" s="85">
        <f t="shared" si="296"/>
        <v>0</v>
      </c>
      <c r="AA2716" s="69">
        <f>STATS1003B!AA2724/1000</f>
        <v>6387.7030000000004</v>
      </c>
      <c r="AB2716" s="69">
        <f>STATS1003B!AB2724/1000</f>
        <v>0</v>
      </c>
    </row>
    <row r="2717" spans="1:28" hidden="1" x14ac:dyDescent="0.3">
      <c r="A2717" s="117"/>
      <c r="C2717" s="71" t="s">
        <v>434</v>
      </c>
      <c r="E2717" s="85">
        <f>STATS1003B!E2725/1000</f>
        <v>3389.68</v>
      </c>
      <c r="F2717" s="85">
        <f>STATS1003B!F2725/1000</f>
        <v>3389.68</v>
      </c>
      <c r="G2717" s="85">
        <f>STATS1003B!G2725/1000</f>
        <v>0</v>
      </c>
      <c r="H2717" s="85">
        <f>STATS1003B!H2725/1000</f>
        <v>3389.68</v>
      </c>
      <c r="I2717" s="85">
        <f>STATS1003B!I2725/1000</f>
        <v>0</v>
      </c>
      <c r="J2717" s="85">
        <f>STATS1003B!J2725/1000</f>
        <v>0</v>
      </c>
      <c r="K2717" s="85">
        <f>STATS1003B!K2725/1000</f>
        <v>0</v>
      </c>
      <c r="L2717" s="85">
        <f>STATS1003B!L2725/1000</f>
        <v>0</v>
      </c>
      <c r="M2717" s="85">
        <f>STATS1003B!M2725/1000</f>
        <v>3389.68</v>
      </c>
      <c r="N2717" s="85">
        <f>STATS1003B!N2725/1000</f>
        <v>0</v>
      </c>
      <c r="O2717" s="85">
        <f>STATS1003B!O2725/1000</f>
        <v>0</v>
      </c>
      <c r="P2717" s="85">
        <f>STATS1003B!P2725/1000</f>
        <v>0</v>
      </c>
      <c r="Q2717" s="85">
        <f>STATS1003B!Q2725/1000</f>
        <v>0</v>
      </c>
      <c r="R2717" s="85">
        <f>STATS1003B!R2725/1000</f>
        <v>0</v>
      </c>
      <c r="S2717" s="85">
        <f>STATS1003B!S2725/1000</f>
        <v>0</v>
      </c>
      <c r="T2717" s="85">
        <f>STATS1003B!T2725/1000</f>
        <v>0</v>
      </c>
      <c r="U2717" s="85">
        <f>STATS1003B!U2725/1000</f>
        <v>0</v>
      </c>
      <c r="V2717" s="85">
        <f>STATS1003B!V2725/1000</f>
        <v>3389.68</v>
      </c>
      <c r="W2717" s="85">
        <f>STATS1003B!W2725/1000</f>
        <v>0</v>
      </c>
      <c r="X2717" s="85">
        <f t="shared" si="294"/>
        <v>3389.68</v>
      </c>
      <c r="Y2717" s="85">
        <f>STATS1003B!Y2725/1000</f>
        <v>0</v>
      </c>
      <c r="Z2717" s="85">
        <f t="shared" si="296"/>
        <v>0</v>
      </c>
      <c r="AA2717" s="69">
        <f>STATS1003B!AA2725/1000</f>
        <v>3389.68</v>
      </c>
      <c r="AB2717" s="69">
        <f>STATS1003B!AB2725/1000</f>
        <v>0</v>
      </c>
    </row>
    <row r="2718" spans="1:28" hidden="1" x14ac:dyDescent="0.3">
      <c r="A2718" s="117"/>
      <c r="C2718" s="71" t="s">
        <v>435</v>
      </c>
      <c r="E2718" s="85">
        <f>STATS1003B!E2726/1000</f>
        <v>610.03380000000004</v>
      </c>
      <c r="F2718" s="85">
        <f>STATS1003B!F2726/1000</f>
        <v>610.03380000000004</v>
      </c>
      <c r="G2718" s="85">
        <f>STATS1003B!G2726/1000</f>
        <v>0</v>
      </c>
      <c r="H2718" s="85">
        <f>STATS1003B!H2726/1000</f>
        <v>610.03380000000004</v>
      </c>
      <c r="I2718" s="85">
        <f>STATS1003B!I2726/1000</f>
        <v>0</v>
      </c>
      <c r="J2718" s="85">
        <f>STATS1003B!J2726/1000</f>
        <v>0</v>
      </c>
      <c r="K2718" s="85">
        <f>STATS1003B!K2726/1000</f>
        <v>0</v>
      </c>
      <c r="L2718" s="85">
        <f>STATS1003B!L2726/1000</f>
        <v>0</v>
      </c>
      <c r="M2718" s="85">
        <f>STATS1003B!M2726/1000</f>
        <v>610.03380000000004</v>
      </c>
      <c r="N2718" s="85">
        <f>STATS1003B!N2726/1000</f>
        <v>0</v>
      </c>
      <c r="O2718" s="85">
        <f>STATS1003B!O2726/1000</f>
        <v>0</v>
      </c>
      <c r="P2718" s="85">
        <f>STATS1003B!P2726/1000</f>
        <v>0</v>
      </c>
      <c r="Q2718" s="85">
        <f>STATS1003B!Q2726/1000</f>
        <v>0</v>
      </c>
      <c r="R2718" s="85">
        <f>STATS1003B!R2726/1000</f>
        <v>0</v>
      </c>
      <c r="S2718" s="85">
        <f>STATS1003B!S2726/1000</f>
        <v>0</v>
      </c>
      <c r="T2718" s="85">
        <f>STATS1003B!T2726/1000</f>
        <v>0</v>
      </c>
      <c r="U2718" s="85">
        <f>STATS1003B!U2726/1000</f>
        <v>0</v>
      </c>
      <c r="V2718" s="85">
        <f>STATS1003B!V2726/1000</f>
        <v>610.03380000000004</v>
      </c>
      <c r="W2718" s="85">
        <f>STATS1003B!W2726/1000</f>
        <v>0</v>
      </c>
      <c r="X2718" s="85">
        <f t="shared" si="294"/>
        <v>610.03380000000004</v>
      </c>
      <c r="Y2718" s="85">
        <f>STATS1003B!Y2726/1000</f>
        <v>0</v>
      </c>
      <c r="Z2718" s="85">
        <f t="shared" si="296"/>
        <v>0</v>
      </c>
      <c r="AA2718" s="69">
        <f>STATS1003B!AA2726/1000</f>
        <v>610.03380000000004</v>
      </c>
      <c r="AB2718" s="69">
        <f>STATS1003B!AB2726/1000</f>
        <v>0</v>
      </c>
    </row>
    <row r="2719" spans="1:28" hidden="1" x14ac:dyDescent="0.3">
      <c r="A2719" s="117"/>
      <c r="C2719" s="71" t="s">
        <v>147</v>
      </c>
      <c r="E2719" s="85">
        <f>STATS1003B!E2727/1000</f>
        <v>300</v>
      </c>
      <c r="F2719" s="85">
        <f>STATS1003B!F2727/1000</f>
        <v>0</v>
      </c>
      <c r="G2719" s="85">
        <f>STATS1003B!G2727/1000</f>
        <v>0</v>
      </c>
      <c r="H2719" s="85">
        <f>STATS1003B!H2727/1000</f>
        <v>0</v>
      </c>
      <c r="I2719" s="85">
        <f>STATS1003B!I2727/1000</f>
        <v>0</v>
      </c>
      <c r="J2719" s="85">
        <f>STATS1003B!J2727/1000</f>
        <v>0</v>
      </c>
      <c r="K2719" s="85">
        <f>STATS1003B!K2727/1000</f>
        <v>0</v>
      </c>
      <c r="L2719" s="85">
        <f>STATS1003B!L2727/1000</f>
        <v>0</v>
      </c>
      <c r="M2719" s="85">
        <f>STATS1003B!M2727/1000</f>
        <v>0</v>
      </c>
      <c r="N2719" s="85">
        <f>STATS1003B!N2727/1000</f>
        <v>300</v>
      </c>
      <c r="O2719" s="85">
        <f>STATS1003B!O2727/1000</f>
        <v>0</v>
      </c>
      <c r="P2719" s="85">
        <f>STATS1003B!P2727/1000</f>
        <v>300</v>
      </c>
      <c r="Q2719" s="85">
        <f>STATS1003B!Q2727/1000</f>
        <v>0</v>
      </c>
      <c r="R2719" s="85">
        <f>STATS1003B!R2727/1000</f>
        <v>0</v>
      </c>
      <c r="S2719" s="85">
        <f>STATS1003B!S2727/1000</f>
        <v>0</v>
      </c>
      <c r="T2719" s="85">
        <f>STATS1003B!T2727/1000</f>
        <v>0</v>
      </c>
      <c r="U2719" s="85">
        <f>STATS1003B!U2727/1000</f>
        <v>300</v>
      </c>
      <c r="V2719" s="85">
        <f>STATS1003B!V2727/1000</f>
        <v>300</v>
      </c>
      <c r="W2719" s="85">
        <f>STATS1003B!W2727/1000</f>
        <v>0</v>
      </c>
      <c r="X2719" s="85">
        <f t="shared" si="294"/>
        <v>300</v>
      </c>
      <c r="Y2719" s="85">
        <f>STATS1003B!Y2727/1000</f>
        <v>0</v>
      </c>
      <c r="Z2719" s="85">
        <f t="shared" si="296"/>
        <v>0</v>
      </c>
      <c r="AA2719" s="69">
        <f>STATS1003B!AA2727/1000</f>
        <v>300</v>
      </c>
      <c r="AB2719" s="69">
        <f>STATS1003B!AB2727/1000</f>
        <v>0</v>
      </c>
    </row>
    <row r="2720" spans="1:28" hidden="1" x14ac:dyDescent="0.3">
      <c r="A2720" s="117"/>
      <c r="C2720" s="71" t="s">
        <v>419</v>
      </c>
      <c r="E2720" s="85">
        <f>STATS1003B!E2728/1000</f>
        <v>437.8</v>
      </c>
      <c r="F2720" s="85">
        <f>STATS1003B!F2728/1000</f>
        <v>437.8</v>
      </c>
      <c r="G2720" s="85">
        <f>STATS1003B!G2728/1000</f>
        <v>0</v>
      </c>
      <c r="H2720" s="85">
        <f>STATS1003B!H2728/1000</f>
        <v>437.8</v>
      </c>
      <c r="I2720" s="85">
        <f>STATS1003B!I2728/1000</f>
        <v>0</v>
      </c>
      <c r="J2720" s="85">
        <f>STATS1003B!J2728/1000</f>
        <v>0</v>
      </c>
      <c r="K2720" s="85">
        <f>STATS1003B!K2728/1000</f>
        <v>0</v>
      </c>
      <c r="L2720" s="85">
        <f>STATS1003B!L2728/1000</f>
        <v>0</v>
      </c>
      <c r="M2720" s="85">
        <f>STATS1003B!M2728/1000</f>
        <v>437.8</v>
      </c>
      <c r="N2720" s="85">
        <f>STATS1003B!N2728/1000</f>
        <v>0</v>
      </c>
      <c r="O2720" s="85">
        <f>STATS1003B!O2728/1000</f>
        <v>0</v>
      </c>
      <c r="P2720" s="85">
        <f>STATS1003B!P2728/1000</f>
        <v>0</v>
      </c>
      <c r="Q2720" s="85">
        <f>STATS1003B!Q2728/1000</f>
        <v>0</v>
      </c>
      <c r="R2720" s="85">
        <f>STATS1003B!R2728/1000</f>
        <v>0</v>
      </c>
      <c r="S2720" s="85">
        <f>STATS1003B!S2728/1000</f>
        <v>0</v>
      </c>
      <c r="T2720" s="85">
        <f>STATS1003B!T2728/1000</f>
        <v>0</v>
      </c>
      <c r="U2720" s="85">
        <f>STATS1003B!U2728/1000</f>
        <v>0</v>
      </c>
      <c r="V2720" s="85">
        <f>STATS1003B!V2728/1000</f>
        <v>437.8</v>
      </c>
      <c r="W2720" s="85">
        <f>STATS1003B!W2728/1000</f>
        <v>0</v>
      </c>
      <c r="X2720" s="85">
        <f t="shared" si="294"/>
        <v>437.8</v>
      </c>
      <c r="Y2720" s="85">
        <f>STATS1003B!Y2728/1000</f>
        <v>0</v>
      </c>
      <c r="Z2720" s="85">
        <f t="shared" si="296"/>
        <v>0</v>
      </c>
      <c r="AA2720" s="69">
        <f>STATS1003B!AA2728/1000</f>
        <v>437.8</v>
      </c>
      <c r="AB2720" s="69">
        <f>STATS1003B!AB2728/1000</f>
        <v>0</v>
      </c>
    </row>
    <row r="2721" spans="1:28" hidden="1" x14ac:dyDescent="0.3">
      <c r="A2721" s="117"/>
      <c r="C2721" s="71" t="s">
        <v>109</v>
      </c>
      <c r="E2721" s="85">
        <f>STATS1003B!E2729/1000</f>
        <v>7603.9870000000001</v>
      </c>
      <c r="F2721" s="85">
        <f>STATS1003B!F2729/1000</f>
        <v>7603.9870000000001</v>
      </c>
      <c r="G2721" s="85">
        <f>STATS1003B!G2729/1000</f>
        <v>0</v>
      </c>
      <c r="H2721" s="85">
        <f>STATS1003B!H2729/1000</f>
        <v>7603.9870000000001</v>
      </c>
      <c r="I2721" s="85">
        <f>STATS1003B!I2729/1000</f>
        <v>0</v>
      </c>
      <c r="J2721" s="85">
        <f>STATS1003B!J2729/1000</f>
        <v>0</v>
      </c>
      <c r="K2721" s="85">
        <f>STATS1003B!K2729/1000</f>
        <v>0</v>
      </c>
      <c r="L2721" s="85">
        <f>STATS1003B!L2729/1000</f>
        <v>0</v>
      </c>
      <c r="M2721" s="85">
        <f>STATS1003B!M2729/1000</f>
        <v>7603.9870000000001</v>
      </c>
      <c r="N2721" s="85">
        <f>STATS1003B!N2729/1000</f>
        <v>0</v>
      </c>
      <c r="O2721" s="85">
        <f>STATS1003B!O2729/1000</f>
        <v>0</v>
      </c>
      <c r="P2721" s="85">
        <f>STATS1003B!P2729/1000</f>
        <v>0</v>
      </c>
      <c r="Q2721" s="85">
        <f>STATS1003B!Q2729/1000</f>
        <v>0</v>
      </c>
      <c r="R2721" s="85">
        <f>STATS1003B!R2729/1000</f>
        <v>0</v>
      </c>
      <c r="S2721" s="85">
        <f>STATS1003B!S2729/1000</f>
        <v>0</v>
      </c>
      <c r="T2721" s="85">
        <f>STATS1003B!T2729/1000</f>
        <v>0</v>
      </c>
      <c r="U2721" s="85">
        <f>STATS1003B!U2729/1000</f>
        <v>0</v>
      </c>
      <c r="V2721" s="85">
        <f>STATS1003B!V2729/1000</f>
        <v>7603.9870000000001</v>
      </c>
      <c r="W2721" s="85">
        <f>STATS1003B!W2729/1000</f>
        <v>0</v>
      </c>
      <c r="X2721" s="85">
        <f t="shared" si="294"/>
        <v>7603.9870000000001</v>
      </c>
      <c r="Y2721" s="85">
        <f>STATS1003B!Y2729/1000</f>
        <v>0</v>
      </c>
      <c r="Z2721" s="85">
        <f t="shared" si="296"/>
        <v>0</v>
      </c>
      <c r="AA2721" s="69">
        <f>STATS1003B!AA2729/1000</f>
        <v>7603.9870000000001</v>
      </c>
      <c r="AB2721" s="69">
        <f>STATS1003B!AB2729/1000</f>
        <v>0</v>
      </c>
    </row>
    <row r="2722" spans="1:28" hidden="1" x14ac:dyDescent="0.3">
      <c r="A2722" s="117"/>
      <c r="C2722" s="71" t="s">
        <v>924</v>
      </c>
      <c r="E2722" s="85">
        <f>STATS1003B!E2730/1000</f>
        <v>3616.1317199999999</v>
      </c>
      <c r="F2722" s="85">
        <f>STATS1003B!F2730/1000</f>
        <v>3616.1317199999999</v>
      </c>
      <c r="G2722" s="85">
        <f>STATS1003B!G2730/1000</f>
        <v>0</v>
      </c>
      <c r="H2722" s="85">
        <f>STATS1003B!H2730/1000</f>
        <v>3616.1317199999999</v>
      </c>
      <c r="I2722" s="85">
        <f>STATS1003B!I2730/1000</f>
        <v>0</v>
      </c>
      <c r="J2722" s="85">
        <f>STATS1003B!J2730/1000</f>
        <v>0</v>
      </c>
      <c r="K2722" s="85">
        <f>STATS1003B!K2730/1000</f>
        <v>0</v>
      </c>
      <c r="L2722" s="85">
        <f>STATS1003B!L2730/1000</f>
        <v>0</v>
      </c>
      <c r="M2722" s="85">
        <f>STATS1003B!M2730/1000</f>
        <v>3616.1317199999999</v>
      </c>
      <c r="N2722" s="85">
        <f>STATS1003B!N2730/1000</f>
        <v>0</v>
      </c>
      <c r="O2722" s="85">
        <f>STATS1003B!O2730/1000</f>
        <v>0</v>
      </c>
      <c r="P2722" s="85">
        <f>STATS1003B!P2730/1000</f>
        <v>0</v>
      </c>
      <c r="Q2722" s="85">
        <f>STATS1003B!Q2730/1000</f>
        <v>0</v>
      </c>
      <c r="R2722" s="85">
        <f>STATS1003B!R2730/1000</f>
        <v>0</v>
      </c>
      <c r="S2722" s="85">
        <f>STATS1003B!S2730/1000</f>
        <v>0</v>
      </c>
      <c r="T2722" s="85">
        <f>STATS1003B!T2730/1000</f>
        <v>0</v>
      </c>
      <c r="U2722" s="85">
        <f>STATS1003B!U2730/1000</f>
        <v>0</v>
      </c>
      <c r="V2722" s="85">
        <f>STATS1003B!V2730/1000</f>
        <v>3616.1317199999999</v>
      </c>
      <c r="W2722" s="85">
        <f>STATS1003B!W2730/1000</f>
        <v>0</v>
      </c>
      <c r="X2722" s="85">
        <f t="shared" si="294"/>
        <v>3616.1317199999999</v>
      </c>
      <c r="Y2722" s="85">
        <f>STATS1003B!Y2730/1000</f>
        <v>0</v>
      </c>
      <c r="Z2722" s="85">
        <f t="shared" si="296"/>
        <v>0</v>
      </c>
      <c r="AA2722" s="69">
        <f>STATS1003B!AA2730/1000</f>
        <v>3616.1317199999999</v>
      </c>
      <c r="AB2722" s="69">
        <f>STATS1003B!AB2730/1000</f>
        <v>0</v>
      </c>
    </row>
    <row r="2723" spans="1:28" hidden="1" x14ac:dyDescent="0.3">
      <c r="A2723" s="117"/>
      <c r="C2723" s="71" t="s">
        <v>930</v>
      </c>
      <c r="D2723" s="91" t="s">
        <v>1072</v>
      </c>
      <c r="E2723" s="85">
        <f>STATS1003B!E2731/1000</f>
        <v>10024.152690000001</v>
      </c>
      <c r="F2723" s="85">
        <f>STATS1003B!F2731/1000</f>
        <v>10024.152690000001</v>
      </c>
      <c r="G2723" s="85">
        <f>STATS1003B!G2731/1000</f>
        <v>0</v>
      </c>
      <c r="H2723" s="85">
        <f>STATS1003B!H2731/1000</f>
        <v>10024.152690000001</v>
      </c>
      <c r="I2723" s="85">
        <f>STATS1003B!I2731/1000</f>
        <v>0</v>
      </c>
      <c r="J2723" s="85">
        <f>STATS1003B!J2731/1000</f>
        <v>0</v>
      </c>
      <c r="K2723" s="85">
        <f>STATS1003B!K2731/1000</f>
        <v>0</v>
      </c>
      <c r="L2723" s="85">
        <f>STATS1003B!L2731/1000</f>
        <v>0</v>
      </c>
      <c r="M2723" s="85">
        <f>STATS1003B!M2731/1000</f>
        <v>10024.152690000001</v>
      </c>
      <c r="N2723" s="85">
        <f>STATS1003B!N2731/1000</f>
        <v>0</v>
      </c>
      <c r="O2723" s="85">
        <f>STATS1003B!O2731/1000</f>
        <v>0</v>
      </c>
      <c r="P2723" s="85">
        <f>STATS1003B!P2731/1000</f>
        <v>0</v>
      </c>
      <c r="Q2723" s="85">
        <f>STATS1003B!Q2731/1000</f>
        <v>0</v>
      </c>
      <c r="R2723" s="85">
        <f>STATS1003B!R2731/1000</f>
        <v>0</v>
      </c>
      <c r="S2723" s="85">
        <f>STATS1003B!S2731/1000</f>
        <v>0</v>
      </c>
      <c r="T2723" s="85">
        <f>STATS1003B!T2731/1000</f>
        <v>0</v>
      </c>
      <c r="U2723" s="85">
        <f>STATS1003B!U2731/1000</f>
        <v>0</v>
      </c>
      <c r="V2723" s="85">
        <f>STATS1003B!V2731/1000</f>
        <v>0</v>
      </c>
      <c r="W2723" s="85">
        <f>STATS1003B!W2731/1000</f>
        <v>0</v>
      </c>
      <c r="X2723" s="85">
        <f t="shared" si="294"/>
        <v>10024.152690000001</v>
      </c>
      <c r="Y2723" s="85">
        <f>STATS1003B!Y2731/1000</f>
        <v>0</v>
      </c>
      <c r="Z2723" s="85">
        <f t="shared" si="296"/>
        <v>0</v>
      </c>
      <c r="AA2723" s="69">
        <f>STATS1003B!AA2731/1000</f>
        <v>10024.152690000001</v>
      </c>
      <c r="AB2723" s="69">
        <f>STATS1003B!AB2731/1000</f>
        <v>0</v>
      </c>
    </row>
    <row r="2724" spans="1:28" hidden="1" x14ac:dyDescent="0.3">
      <c r="A2724" s="117"/>
      <c r="C2724" s="71" t="s">
        <v>1084</v>
      </c>
      <c r="E2724" s="85">
        <f>STATS1003B!E2732/1000</f>
        <v>25396.371339999998</v>
      </c>
      <c r="F2724" s="85">
        <f>STATS1003B!F2732/1000</f>
        <v>25396.371339999998</v>
      </c>
      <c r="G2724" s="85">
        <f>STATS1003B!G2732/1000</f>
        <v>0</v>
      </c>
      <c r="H2724" s="85">
        <f>STATS1003B!H2732/1000</f>
        <v>25396.371339999998</v>
      </c>
      <c r="I2724" s="85">
        <f>STATS1003B!I2732/1000</f>
        <v>0</v>
      </c>
      <c r="J2724" s="85">
        <f>STATS1003B!J2732/1000</f>
        <v>0</v>
      </c>
      <c r="K2724" s="85">
        <f>STATS1003B!K2732/1000</f>
        <v>0</v>
      </c>
      <c r="L2724" s="85">
        <f>STATS1003B!L2732/1000</f>
        <v>0</v>
      </c>
      <c r="M2724" s="85">
        <f>STATS1003B!M2732/1000</f>
        <v>25396.371339999998</v>
      </c>
      <c r="N2724" s="85">
        <f>STATS1003B!N2732/1000</f>
        <v>0</v>
      </c>
      <c r="O2724" s="85">
        <f>STATS1003B!O2732/1000</f>
        <v>0</v>
      </c>
      <c r="P2724" s="85">
        <f>STATS1003B!P2732/1000</f>
        <v>0</v>
      </c>
      <c r="Q2724" s="85">
        <f>STATS1003B!Q2732/1000</f>
        <v>0</v>
      </c>
      <c r="R2724" s="85">
        <f>STATS1003B!R2732/1000</f>
        <v>0</v>
      </c>
      <c r="S2724" s="85">
        <f>STATS1003B!S2732/1000</f>
        <v>0</v>
      </c>
      <c r="T2724" s="85">
        <f>STATS1003B!T2732/1000</f>
        <v>0</v>
      </c>
      <c r="U2724" s="85">
        <f>STATS1003B!U2732/1000</f>
        <v>0</v>
      </c>
      <c r="V2724" s="85">
        <f>STATS1003B!V2732/1000</f>
        <v>0</v>
      </c>
      <c r="W2724" s="85">
        <f>STATS1003B!W2732/1000</f>
        <v>0</v>
      </c>
      <c r="X2724" s="85">
        <f t="shared" si="294"/>
        <v>25396.371339999998</v>
      </c>
      <c r="Y2724" s="85">
        <f>STATS1003B!Y2732/1000</f>
        <v>0</v>
      </c>
      <c r="Z2724" s="85">
        <f t="shared" si="296"/>
        <v>0</v>
      </c>
      <c r="AA2724" s="69">
        <f>STATS1003B!AA2732/1000</f>
        <v>25396.371339999998</v>
      </c>
      <c r="AB2724" s="69">
        <f>STATS1003B!AB2732/1000</f>
        <v>0</v>
      </c>
    </row>
    <row r="2725" spans="1:28" hidden="1" x14ac:dyDescent="0.3">
      <c r="A2725" s="117"/>
      <c r="C2725" s="71" t="s">
        <v>1211</v>
      </c>
      <c r="D2725" s="91" t="s">
        <v>1126</v>
      </c>
      <c r="E2725" s="85">
        <f>STATS1003B!E2733/1000</f>
        <v>2396.4830400000001</v>
      </c>
      <c r="F2725" s="85">
        <f>STATS1003B!F2733/1000</f>
        <v>2396.4830400000001</v>
      </c>
      <c r="G2725" s="85">
        <f>STATS1003B!G2733/1000</f>
        <v>0</v>
      </c>
      <c r="H2725" s="85">
        <f>STATS1003B!H2733/1000</f>
        <v>2396.4830400000001</v>
      </c>
      <c r="I2725" s="85">
        <f>STATS1003B!I2733/1000</f>
        <v>0</v>
      </c>
      <c r="J2725" s="85">
        <f>STATS1003B!J2733/1000</f>
        <v>0</v>
      </c>
      <c r="K2725" s="85">
        <f>STATS1003B!K2733/1000</f>
        <v>0</v>
      </c>
      <c r="L2725" s="85">
        <f>STATS1003B!L2733/1000</f>
        <v>0</v>
      </c>
      <c r="M2725" s="85">
        <f>STATS1003B!M2733/1000</f>
        <v>2396.4830400000001</v>
      </c>
      <c r="N2725" s="85">
        <f>STATS1003B!N2733/1000</f>
        <v>0</v>
      </c>
      <c r="O2725" s="85">
        <f>STATS1003B!O2733/1000</f>
        <v>0</v>
      </c>
      <c r="P2725" s="85">
        <f>STATS1003B!P2733/1000</f>
        <v>0</v>
      </c>
      <c r="Q2725" s="85">
        <f>STATS1003B!Q2733/1000</f>
        <v>0</v>
      </c>
      <c r="R2725" s="85">
        <f>STATS1003B!R2733/1000</f>
        <v>0</v>
      </c>
      <c r="S2725" s="85">
        <f>STATS1003B!S2733/1000</f>
        <v>0</v>
      </c>
      <c r="T2725" s="85">
        <f>STATS1003B!T2733/1000</f>
        <v>0</v>
      </c>
      <c r="U2725" s="85">
        <f>STATS1003B!U2733/1000</f>
        <v>0</v>
      </c>
      <c r="V2725" s="85">
        <f>STATS1003B!V2733/1000</f>
        <v>0</v>
      </c>
      <c r="W2725" s="85">
        <f>STATS1003B!W2733/1000</f>
        <v>0</v>
      </c>
      <c r="X2725" s="85">
        <f t="shared" si="294"/>
        <v>2396.4830400000001</v>
      </c>
      <c r="Y2725" s="85">
        <f>STATS1003B!Y2733/1000</f>
        <v>0</v>
      </c>
      <c r="Z2725" s="85">
        <f t="shared" si="296"/>
        <v>0</v>
      </c>
      <c r="AA2725" s="69">
        <f>STATS1003B!AA2733/1000</f>
        <v>2396.4830400000001</v>
      </c>
      <c r="AB2725" s="69">
        <f>STATS1003B!AB2733/1000</f>
        <v>0</v>
      </c>
    </row>
    <row r="2726" spans="1:28" hidden="1" x14ac:dyDescent="0.3">
      <c r="A2726" s="117"/>
      <c r="C2726" s="71" t="s">
        <v>57</v>
      </c>
      <c r="D2726" s="91" t="s">
        <v>61</v>
      </c>
      <c r="E2726" s="85">
        <f>STATS1003B!E2734/1000</f>
        <v>1895.6008100000001</v>
      </c>
      <c r="F2726" s="85">
        <f>STATS1003B!F2734/1000</f>
        <v>1895.6008100000001</v>
      </c>
      <c r="G2726" s="85">
        <f>STATS1003B!G2734/1000</f>
        <v>0</v>
      </c>
      <c r="H2726" s="85">
        <f>STATS1003B!H2734/1000</f>
        <v>1895.6008100000001</v>
      </c>
      <c r="I2726" s="85">
        <f>STATS1003B!I2734/1000</f>
        <v>0</v>
      </c>
      <c r="J2726" s="85">
        <f>STATS1003B!J2734/1000</f>
        <v>0</v>
      </c>
      <c r="K2726" s="85">
        <f>STATS1003B!K2734/1000</f>
        <v>0</v>
      </c>
      <c r="L2726" s="85">
        <f>STATS1003B!L2734/1000</f>
        <v>0</v>
      </c>
      <c r="M2726" s="85">
        <f>STATS1003B!M2734/1000</f>
        <v>1895.6008100000001</v>
      </c>
      <c r="N2726" s="85">
        <f>STATS1003B!N2734/1000</f>
        <v>0</v>
      </c>
      <c r="O2726" s="85">
        <f>STATS1003B!O2734/1000</f>
        <v>0</v>
      </c>
      <c r="P2726" s="85">
        <f>STATS1003B!P2734/1000</f>
        <v>0</v>
      </c>
      <c r="Q2726" s="85">
        <f>STATS1003B!Q2734/1000</f>
        <v>0</v>
      </c>
      <c r="R2726" s="85">
        <f>STATS1003B!R2734/1000</f>
        <v>0</v>
      </c>
      <c r="S2726" s="85">
        <f>STATS1003B!S2734/1000</f>
        <v>0</v>
      </c>
      <c r="T2726" s="85">
        <f>STATS1003B!T2734/1000</f>
        <v>0</v>
      </c>
      <c r="U2726" s="85">
        <f>STATS1003B!U2734/1000</f>
        <v>0</v>
      </c>
      <c r="V2726" s="85">
        <f>STATS1003B!V2734/1000</f>
        <v>1895.6008100000001</v>
      </c>
      <c r="W2726" s="85">
        <f>STATS1003B!W2734/1000</f>
        <v>0</v>
      </c>
      <c r="X2726" s="85">
        <f t="shared" si="294"/>
        <v>1895.6008100000001</v>
      </c>
      <c r="Y2726" s="85">
        <f>STATS1003B!Y2734/1000</f>
        <v>0</v>
      </c>
      <c r="Z2726" s="85">
        <f t="shared" si="296"/>
        <v>0</v>
      </c>
      <c r="AA2726" s="69">
        <f>STATS1003B!AA2734/1000</f>
        <v>1895.6008100000001</v>
      </c>
      <c r="AB2726" s="69">
        <f>STATS1003B!AB2734/1000</f>
        <v>0</v>
      </c>
    </row>
    <row r="2727" spans="1:28" hidden="1" x14ac:dyDescent="0.3">
      <c r="A2727" s="117"/>
      <c r="E2727" s="86" t="s">
        <v>29</v>
      </c>
      <c r="F2727" s="86" t="s">
        <v>29</v>
      </c>
      <c r="G2727" s="86" t="s">
        <v>29</v>
      </c>
      <c r="H2727" s="86" t="s">
        <v>29</v>
      </c>
      <c r="I2727" s="86" t="s">
        <v>29</v>
      </c>
      <c r="J2727" s="86" t="s">
        <v>29</v>
      </c>
      <c r="K2727" s="86" t="s">
        <v>29</v>
      </c>
      <c r="L2727" s="86" t="s">
        <v>29</v>
      </c>
      <c r="M2727" s="86" t="s">
        <v>29</v>
      </c>
      <c r="N2727" s="86" t="s">
        <v>29</v>
      </c>
      <c r="O2727" s="86" t="s">
        <v>29</v>
      </c>
      <c r="P2727" s="86" t="s">
        <v>29</v>
      </c>
      <c r="Q2727" s="86" t="s">
        <v>29</v>
      </c>
      <c r="R2727" s="86" t="s">
        <v>29</v>
      </c>
      <c r="S2727" s="86" t="s">
        <v>29</v>
      </c>
      <c r="T2727" s="86" t="s">
        <v>29</v>
      </c>
      <c r="U2727" s="86" t="s">
        <v>29</v>
      </c>
      <c r="V2727" s="86" t="s">
        <v>29</v>
      </c>
      <c r="W2727" s="86" t="s">
        <v>29</v>
      </c>
      <c r="X2727" s="85" t="e">
        <f t="shared" si="294"/>
        <v>#VALUE!</v>
      </c>
      <c r="Y2727" s="86" t="s">
        <v>29</v>
      </c>
      <c r="Z2727" s="85" t="e">
        <f t="shared" si="296"/>
        <v>#VALUE!</v>
      </c>
      <c r="AA2727" s="115" t="s">
        <v>29</v>
      </c>
      <c r="AB2727" s="115" t="s">
        <v>29</v>
      </c>
    </row>
    <row r="2728" spans="1:28" x14ac:dyDescent="0.3">
      <c r="A2728" s="116">
        <v>118</v>
      </c>
      <c r="B2728" s="71" t="s">
        <v>473</v>
      </c>
      <c r="E2728" s="85">
        <f>266471086.3/1000</f>
        <v>266471.08630000002</v>
      </c>
      <c r="F2728" s="85">
        <f t="shared" ref="F2728:AB2728" si="297">SUM(F2707:F2726)</f>
        <v>97078.371370000008</v>
      </c>
      <c r="G2728" s="85">
        <f t="shared" si="297"/>
        <v>0</v>
      </c>
      <c r="H2728" s="85">
        <f>261442517.18/1000</f>
        <v>261442.51718</v>
      </c>
      <c r="I2728" s="85">
        <f t="shared" si="297"/>
        <v>0</v>
      </c>
      <c r="J2728" s="85">
        <f t="shared" si="297"/>
        <v>0</v>
      </c>
      <c r="K2728" s="85">
        <f t="shared" si="297"/>
        <v>0</v>
      </c>
      <c r="L2728" s="85">
        <f t="shared" si="297"/>
        <v>0</v>
      </c>
      <c r="M2728" s="85">
        <f t="shared" si="297"/>
        <v>97078.371370000008</v>
      </c>
      <c r="N2728" s="85">
        <f t="shared" si="297"/>
        <v>4228.5691200000001</v>
      </c>
      <c r="O2728" s="85">
        <f t="shared" si="297"/>
        <v>0</v>
      </c>
      <c r="P2728" s="85">
        <f>4228569/1000</f>
        <v>4228.5690000000004</v>
      </c>
      <c r="Q2728" s="85">
        <f t="shared" si="297"/>
        <v>0</v>
      </c>
      <c r="R2728" s="85">
        <f t="shared" si="297"/>
        <v>0</v>
      </c>
      <c r="S2728" s="85">
        <f t="shared" si="297"/>
        <v>0</v>
      </c>
      <c r="T2728" s="85">
        <f t="shared" si="297"/>
        <v>0</v>
      </c>
      <c r="U2728" s="85">
        <f t="shared" si="297"/>
        <v>4228.5691200000001</v>
      </c>
      <c r="V2728" s="85">
        <f t="shared" si="297"/>
        <v>63489.933420000008</v>
      </c>
      <c r="W2728" s="85">
        <f t="shared" si="297"/>
        <v>800</v>
      </c>
      <c r="X2728" s="85">
        <f>+H2728+P2728</f>
        <v>265671.08617999998</v>
      </c>
      <c r="Y2728" s="85">
        <f t="shared" si="297"/>
        <v>0</v>
      </c>
      <c r="Z2728" s="85">
        <f t="shared" si="296"/>
        <v>800.00012000004062</v>
      </c>
      <c r="AA2728" s="69">
        <f t="shared" si="297"/>
        <v>101306.94049000001</v>
      </c>
      <c r="AB2728" s="69">
        <f t="shared" si="297"/>
        <v>800</v>
      </c>
    </row>
    <row r="2729" spans="1:28" hidden="1" x14ac:dyDescent="0.3">
      <c r="A2729" s="117"/>
      <c r="E2729" s="86" t="s">
        <v>29</v>
      </c>
      <c r="F2729" s="86" t="s">
        <v>29</v>
      </c>
      <c r="G2729" s="86" t="s">
        <v>29</v>
      </c>
      <c r="H2729" s="86" t="s">
        <v>29</v>
      </c>
      <c r="I2729" s="86" t="s">
        <v>29</v>
      </c>
      <c r="J2729" s="86" t="s">
        <v>29</v>
      </c>
      <c r="K2729" s="86" t="s">
        <v>29</v>
      </c>
      <c r="L2729" s="86" t="s">
        <v>29</v>
      </c>
      <c r="M2729" s="86" t="s">
        <v>29</v>
      </c>
      <c r="N2729" s="86" t="s">
        <v>29</v>
      </c>
      <c r="O2729" s="86" t="s">
        <v>29</v>
      </c>
      <c r="P2729" s="86" t="s">
        <v>29</v>
      </c>
      <c r="Q2729" s="86" t="s">
        <v>29</v>
      </c>
      <c r="R2729" s="86" t="s">
        <v>29</v>
      </c>
      <c r="S2729" s="86" t="s">
        <v>29</v>
      </c>
      <c r="T2729" s="86" t="s">
        <v>29</v>
      </c>
      <c r="U2729" s="86" t="s">
        <v>29</v>
      </c>
      <c r="V2729" s="86" t="s">
        <v>29</v>
      </c>
      <c r="W2729" s="86" t="s">
        <v>29</v>
      </c>
      <c r="X2729" s="85" t="e">
        <f t="shared" si="294"/>
        <v>#VALUE!</v>
      </c>
      <c r="Y2729" s="86" t="s">
        <v>29</v>
      </c>
      <c r="Z2729" s="86" t="s">
        <v>29</v>
      </c>
      <c r="AA2729" s="115" t="s">
        <v>29</v>
      </c>
      <c r="AB2729" s="115" t="s">
        <v>29</v>
      </c>
    </row>
    <row r="2730" spans="1:28" hidden="1" x14ac:dyDescent="0.3">
      <c r="A2730" s="105"/>
      <c r="E2730" s="84"/>
      <c r="F2730" s="84"/>
      <c r="G2730" s="84"/>
      <c r="H2730" s="84"/>
      <c r="I2730" s="84"/>
      <c r="J2730" s="84"/>
      <c r="K2730" s="84"/>
      <c r="L2730" s="84"/>
      <c r="M2730" s="84"/>
      <c r="N2730" s="84"/>
      <c r="O2730" s="84"/>
      <c r="P2730" s="84"/>
      <c r="Q2730" s="84"/>
      <c r="R2730" s="84"/>
      <c r="S2730" s="84"/>
      <c r="T2730" s="84"/>
      <c r="U2730" s="84"/>
      <c r="V2730" s="84"/>
      <c r="W2730" s="84"/>
      <c r="X2730" s="85">
        <f t="shared" si="294"/>
        <v>0</v>
      </c>
      <c r="Y2730" s="84"/>
      <c r="Z2730" s="84"/>
    </row>
    <row r="2731" spans="1:28" hidden="1" x14ac:dyDescent="0.3">
      <c r="A2731" s="117"/>
      <c r="C2731" s="71" t="s">
        <v>480</v>
      </c>
      <c r="D2731" s="71" t="s">
        <v>481</v>
      </c>
      <c r="E2731" s="85">
        <f>STATS1003B!E2739/1000</f>
        <v>6900.2023499999996</v>
      </c>
      <c r="F2731" s="85">
        <f>STATS1003B!F2739/1000</f>
        <v>6900.2023499999996</v>
      </c>
      <c r="G2731" s="85">
        <f>STATS1003B!G2739/1000</f>
        <v>0</v>
      </c>
      <c r="H2731" s="85">
        <f>STATS1003B!H2739/1000</f>
        <v>6900.2023499999996</v>
      </c>
      <c r="I2731" s="85">
        <f>STATS1003B!I2739/1000</f>
        <v>0</v>
      </c>
      <c r="J2731" s="85">
        <f>STATS1003B!J2739/1000</f>
        <v>0</v>
      </c>
      <c r="K2731" s="85">
        <f>STATS1003B!K2739/1000</f>
        <v>0</v>
      </c>
      <c r="L2731" s="85">
        <f>STATS1003B!L2739/1000</f>
        <v>0</v>
      </c>
      <c r="M2731" s="85">
        <f>STATS1003B!M2739/1000</f>
        <v>6900.2023499999996</v>
      </c>
      <c r="N2731" s="85">
        <f>STATS1003B!N2739/1000</f>
        <v>0</v>
      </c>
      <c r="O2731" s="85">
        <f>STATS1003B!O2739/1000</f>
        <v>0</v>
      </c>
      <c r="P2731" s="85">
        <f>STATS1003B!P2739/1000</f>
        <v>0</v>
      </c>
      <c r="Q2731" s="85">
        <f>STATS1003B!Q2739/1000</f>
        <v>0</v>
      </c>
      <c r="R2731" s="85">
        <f>STATS1003B!R2739/1000</f>
        <v>0</v>
      </c>
      <c r="S2731" s="85">
        <f>STATS1003B!S2739/1000</f>
        <v>0</v>
      </c>
      <c r="T2731" s="85">
        <f>STATS1003B!T2739/1000</f>
        <v>0</v>
      </c>
      <c r="U2731" s="85">
        <f>STATS1003B!U2739/1000</f>
        <v>0</v>
      </c>
      <c r="V2731" s="85">
        <f>STATS1003B!V2739/1000</f>
        <v>6900.2023499999996</v>
      </c>
      <c r="W2731" s="85">
        <f>STATS1003B!W2739/1000</f>
        <v>0</v>
      </c>
      <c r="X2731" s="85">
        <f t="shared" si="294"/>
        <v>6900.2023499999996</v>
      </c>
      <c r="Y2731" s="85">
        <f>STATS1003B!Y2739/1000</f>
        <v>0</v>
      </c>
      <c r="Z2731" s="85">
        <f>STATS1003B!Z2739/1000</f>
        <v>0</v>
      </c>
      <c r="AA2731" s="69">
        <f>STATS1003B!AA2739/1000</f>
        <v>6900.2023499999996</v>
      </c>
      <c r="AB2731" s="69">
        <f>STATS1003B!AB2739/1000</f>
        <v>0</v>
      </c>
    </row>
    <row r="2732" spans="1:28" hidden="1" x14ac:dyDescent="0.3">
      <c r="A2732" s="117"/>
      <c r="C2732" s="71" t="s">
        <v>143</v>
      </c>
      <c r="D2732" s="88" t="s">
        <v>482</v>
      </c>
      <c r="E2732" s="85">
        <f>STATS1003B!E2740/1000</f>
        <v>3329.5430099999999</v>
      </c>
      <c r="F2732" s="85">
        <f>STATS1003B!F2740/1000</f>
        <v>2410.4899999999998</v>
      </c>
      <c r="G2732" s="85">
        <f>STATS1003B!G2740/1000</f>
        <v>0</v>
      </c>
      <c r="H2732" s="85">
        <f>STATS1003B!H2740/1000</f>
        <v>2410.4899999999998</v>
      </c>
      <c r="I2732" s="85">
        <f>STATS1003B!I2740/1000</f>
        <v>0</v>
      </c>
      <c r="J2732" s="85">
        <f>STATS1003B!J2740/1000</f>
        <v>0</v>
      </c>
      <c r="K2732" s="85">
        <f>STATS1003B!K2740/1000</f>
        <v>0</v>
      </c>
      <c r="L2732" s="85">
        <f>STATS1003B!L2740/1000</f>
        <v>0</v>
      </c>
      <c r="M2732" s="85">
        <f>STATS1003B!M2740/1000</f>
        <v>2410.4899999999998</v>
      </c>
      <c r="N2732" s="85">
        <f>STATS1003B!N2740/1000</f>
        <v>919.05300999999997</v>
      </c>
      <c r="O2732" s="85">
        <f>STATS1003B!O2740/1000</f>
        <v>0</v>
      </c>
      <c r="P2732" s="85">
        <f>STATS1003B!P2740/1000</f>
        <v>919.05300999999997</v>
      </c>
      <c r="Q2732" s="85">
        <f>STATS1003B!Q2740/1000</f>
        <v>0</v>
      </c>
      <c r="R2732" s="85">
        <f>STATS1003B!R2740/1000</f>
        <v>0</v>
      </c>
      <c r="S2732" s="85">
        <f>STATS1003B!S2740/1000</f>
        <v>0</v>
      </c>
      <c r="T2732" s="85">
        <f>STATS1003B!T2740/1000</f>
        <v>0</v>
      </c>
      <c r="U2732" s="85">
        <f>STATS1003B!U2740/1000</f>
        <v>919.05300999999997</v>
      </c>
      <c r="V2732" s="85">
        <f>STATS1003B!V2740/1000</f>
        <v>3329.5430099999999</v>
      </c>
      <c r="W2732" s="85">
        <f>STATS1003B!W2740/1000</f>
        <v>0</v>
      </c>
      <c r="X2732" s="85">
        <f t="shared" si="294"/>
        <v>3329.5430099999999</v>
      </c>
      <c r="Y2732" s="85">
        <f>STATS1003B!Y2740/1000</f>
        <v>0</v>
      </c>
      <c r="Z2732" s="85">
        <f>STATS1003B!Z2740/1000</f>
        <v>0</v>
      </c>
      <c r="AA2732" s="69">
        <f>STATS1003B!AA2740/1000</f>
        <v>3329.5430099999999</v>
      </c>
      <c r="AB2732" s="69">
        <f>STATS1003B!AB2740/1000</f>
        <v>0</v>
      </c>
    </row>
    <row r="2733" spans="1:28" hidden="1" x14ac:dyDescent="0.3">
      <c r="A2733" s="117"/>
      <c r="C2733" s="71" t="s">
        <v>55</v>
      </c>
      <c r="D2733" s="88" t="s">
        <v>68</v>
      </c>
      <c r="E2733" s="85">
        <f>STATS1003B!E2741/1000</f>
        <v>5344.7088800000001</v>
      </c>
      <c r="F2733" s="85">
        <f>STATS1003B!F2741/1000</f>
        <v>0</v>
      </c>
      <c r="G2733" s="85">
        <f>STATS1003B!G2741/1000</f>
        <v>0</v>
      </c>
      <c r="H2733" s="85">
        <f>STATS1003B!H2741/1000</f>
        <v>0</v>
      </c>
      <c r="I2733" s="85">
        <f>STATS1003B!I2741/1000</f>
        <v>0</v>
      </c>
      <c r="J2733" s="85">
        <f>STATS1003B!J2741/1000</f>
        <v>0</v>
      </c>
      <c r="K2733" s="85">
        <f>STATS1003B!K2741/1000</f>
        <v>0</v>
      </c>
      <c r="L2733" s="85">
        <f>STATS1003B!L2741/1000</f>
        <v>0</v>
      </c>
      <c r="M2733" s="85">
        <f>STATS1003B!M2741/1000</f>
        <v>0</v>
      </c>
      <c r="N2733" s="85">
        <f>STATS1003B!N2741/1000</f>
        <v>5344.7088800000001</v>
      </c>
      <c r="O2733" s="85">
        <f>STATS1003B!O2741/1000</f>
        <v>0</v>
      </c>
      <c r="P2733" s="85">
        <f>STATS1003B!P2741/1000</f>
        <v>5344.7088800000001</v>
      </c>
      <c r="Q2733" s="85">
        <f>STATS1003B!Q2741/1000</f>
        <v>0</v>
      </c>
      <c r="R2733" s="85">
        <f>STATS1003B!R2741/1000</f>
        <v>0</v>
      </c>
      <c r="S2733" s="85">
        <f>STATS1003B!S2741/1000</f>
        <v>0</v>
      </c>
      <c r="T2733" s="85">
        <f>STATS1003B!T2741/1000</f>
        <v>0</v>
      </c>
      <c r="U2733" s="85">
        <f>STATS1003B!U2741/1000</f>
        <v>5344.7088800000001</v>
      </c>
      <c r="V2733" s="85">
        <f>STATS1003B!V2741/1000</f>
        <v>5344.7088800000001</v>
      </c>
      <c r="W2733" s="85">
        <f>STATS1003B!W2741/1000</f>
        <v>0</v>
      </c>
      <c r="X2733" s="85">
        <f t="shared" si="294"/>
        <v>5344.7088800000001</v>
      </c>
      <c r="Y2733" s="85">
        <f>STATS1003B!Y2741/1000</f>
        <v>0</v>
      </c>
      <c r="Z2733" s="85">
        <f>STATS1003B!Z2741/1000</f>
        <v>0</v>
      </c>
      <c r="AA2733" s="69">
        <f>STATS1003B!AA2741/1000</f>
        <v>5344.7088800000001</v>
      </c>
      <c r="AB2733" s="69">
        <f>STATS1003B!AB2741/1000</f>
        <v>0</v>
      </c>
    </row>
    <row r="2734" spans="1:28" hidden="1" x14ac:dyDescent="0.3">
      <c r="A2734" s="117"/>
      <c r="C2734" s="71" t="s">
        <v>185</v>
      </c>
      <c r="D2734" s="88" t="s">
        <v>54</v>
      </c>
      <c r="E2734" s="85">
        <f>STATS1003B!E2742/1000</f>
        <v>1767.77</v>
      </c>
      <c r="F2734" s="85">
        <f>STATS1003B!F2742/1000</f>
        <v>0</v>
      </c>
      <c r="G2734" s="85">
        <f>STATS1003B!G2742/1000</f>
        <v>0</v>
      </c>
      <c r="H2734" s="85">
        <f>STATS1003B!H2742/1000</f>
        <v>0</v>
      </c>
      <c r="I2734" s="85">
        <f>STATS1003B!I2742/1000</f>
        <v>0</v>
      </c>
      <c r="J2734" s="85">
        <f>STATS1003B!J2742/1000</f>
        <v>0</v>
      </c>
      <c r="K2734" s="85">
        <f>STATS1003B!K2742/1000</f>
        <v>0</v>
      </c>
      <c r="L2734" s="85">
        <f>STATS1003B!L2742/1000</f>
        <v>0</v>
      </c>
      <c r="M2734" s="85">
        <f>STATS1003B!M2742/1000</f>
        <v>0</v>
      </c>
      <c r="N2734" s="85">
        <f>STATS1003B!N2742/1000</f>
        <v>1767.77</v>
      </c>
      <c r="O2734" s="85">
        <f>STATS1003B!O2742/1000</f>
        <v>0</v>
      </c>
      <c r="P2734" s="85">
        <f>STATS1003B!P2742/1000</f>
        <v>1767.77</v>
      </c>
      <c r="Q2734" s="85">
        <f>STATS1003B!Q2742/1000</f>
        <v>0</v>
      </c>
      <c r="R2734" s="85">
        <f>STATS1003B!R2742/1000</f>
        <v>0</v>
      </c>
      <c r="S2734" s="85">
        <f>STATS1003B!S2742/1000</f>
        <v>0</v>
      </c>
      <c r="T2734" s="85">
        <f>STATS1003B!T2742/1000</f>
        <v>0</v>
      </c>
      <c r="U2734" s="85">
        <f>STATS1003B!U2742/1000</f>
        <v>1767.77</v>
      </c>
      <c r="V2734" s="85">
        <f>STATS1003B!V2742/1000</f>
        <v>1767.77</v>
      </c>
      <c r="W2734" s="85">
        <f>STATS1003B!W2742/1000</f>
        <v>0</v>
      </c>
      <c r="X2734" s="85">
        <f t="shared" si="294"/>
        <v>1767.77</v>
      </c>
      <c r="Y2734" s="85">
        <f>STATS1003B!Y2742/1000</f>
        <v>0</v>
      </c>
      <c r="Z2734" s="85">
        <f>STATS1003B!Z2742/1000</f>
        <v>0</v>
      </c>
      <c r="AA2734" s="69">
        <f>STATS1003B!AA2742/1000</f>
        <v>1767.77</v>
      </c>
      <c r="AB2734" s="69">
        <f>STATS1003B!AB2742/1000</f>
        <v>0</v>
      </c>
    </row>
    <row r="2735" spans="1:28" hidden="1" x14ac:dyDescent="0.3">
      <c r="A2735" s="117"/>
      <c r="C2735" s="71" t="s">
        <v>483</v>
      </c>
      <c r="D2735" s="88" t="s">
        <v>54</v>
      </c>
      <c r="E2735" s="85">
        <f>STATS1003B!E2743/1000</f>
        <v>5544.2780000000002</v>
      </c>
      <c r="F2735" s="85">
        <f>STATS1003B!F2743/1000</f>
        <v>5544.2780000000002</v>
      </c>
      <c r="G2735" s="85">
        <f>STATS1003B!G2743/1000</f>
        <v>0</v>
      </c>
      <c r="H2735" s="85">
        <f>STATS1003B!H2743/1000</f>
        <v>5544.2780000000002</v>
      </c>
      <c r="I2735" s="85">
        <f>STATS1003B!I2743/1000</f>
        <v>0</v>
      </c>
      <c r="J2735" s="85">
        <f>STATS1003B!J2743/1000</f>
        <v>0</v>
      </c>
      <c r="K2735" s="85">
        <f>STATS1003B!K2743/1000</f>
        <v>0</v>
      </c>
      <c r="L2735" s="85">
        <f>STATS1003B!L2743/1000</f>
        <v>0</v>
      </c>
      <c r="M2735" s="85">
        <f>STATS1003B!M2743/1000</f>
        <v>5544.2780000000002</v>
      </c>
      <c r="N2735" s="85">
        <f>STATS1003B!N2743/1000</f>
        <v>0</v>
      </c>
      <c r="O2735" s="85">
        <f>STATS1003B!O2743/1000</f>
        <v>0</v>
      </c>
      <c r="P2735" s="85">
        <f>STATS1003B!P2743/1000</f>
        <v>0</v>
      </c>
      <c r="Q2735" s="85">
        <f>STATS1003B!Q2743/1000</f>
        <v>0</v>
      </c>
      <c r="R2735" s="85">
        <f>STATS1003B!R2743/1000</f>
        <v>0</v>
      </c>
      <c r="S2735" s="85">
        <f>STATS1003B!S2743/1000</f>
        <v>0</v>
      </c>
      <c r="T2735" s="85">
        <f>STATS1003B!T2743/1000</f>
        <v>0</v>
      </c>
      <c r="U2735" s="85">
        <f>STATS1003B!U2743/1000</f>
        <v>0</v>
      </c>
      <c r="V2735" s="85">
        <f>STATS1003B!V2743/1000</f>
        <v>5544.2780000000002</v>
      </c>
      <c r="W2735" s="85">
        <f>STATS1003B!W2743/1000</f>
        <v>0</v>
      </c>
      <c r="X2735" s="85">
        <f t="shared" si="294"/>
        <v>5544.2780000000002</v>
      </c>
      <c r="Y2735" s="85">
        <f>STATS1003B!Y2743/1000</f>
        <v>0</v>
      </c>
      <c r="Z2735" s="85">
        <f>STATS1003B!Z2743/1000</f>
        <v>0</v>
      </c>
      <c r="AA2735" s="69">
        <f>STATS1003B!AA2743/1000</f>
        <v>5544.2780000000002</v>
      </c>
      <c r="AB2735" s="69">
        <f>STATS1003B!AB2743/1000</f>
        <v>0</v>
      </c>
    </row>
    <row r="2736" spans="1:28" hidden="1" x14ac:dyDescent="0.3">
      <c r="A2736" s="117"/>
      <c r="C2736" s="71" t="s">
        <v>484</v>
      </c>
      <c r="D2736" s="88" t="s">
        <v>85</v>
      </c>
      <c r="E2736" s="85">
        <f>STATS1003B!E2744/1000</f>
        <v>600</v>
      </c>
      <c r="F2736" s="85">
        <f>STATS1003B!F2744/1000</f>
        <v>600</v>
      </c>
      <c r="G2736" s="85">
        <f>STATS1003B!G2744/1000</f>
        <v>0</v>
      </c>
      <c r="H2736" s="85">
        <f>STATS1003B!H2744/1000</f>
        <v>600</v>
      </c>
      <c r="I2736" s="85">
        <f>STATS1003B!I2744/1000</f>
        <v>0</v>
      </c>
      <c r="J2736" s="85">
        <f>STATS1003B!J2744/1000</f>
        <v>0</v>
      </c>
      <c r="K2736" s="85">
        <f>STATS1003B!K2744/1000</f>
        <v>0</v>
      </c>
      <c r="L2736" s="85">
        <f>STATS1003B!L2744/1000</f>
        <v>0</v>
      </c>
      <c r="M2736" s="85">
        <f>STATS1003B!M2744/1000</f>
        <v>600</v>
      </c>
      <c r="N2736" s="85">
        <f>STATS1003B!N2744/1000</f>
        <v>0</v>
      </c>
      <c r="O2736" s="85">
        <f>STATS1003B!O2744/1000</f>
        <v>0</v>
      </c>
      <c r="P2736" s="85">
        <f>STATS1003B!P2744/1000</f>
        <v>0</v>
      </c>
      <c r="Q2736" s="85">
        <f>STATS1003B!Q2744/1000</f>
        <v>0</v>
      </c>
      <c r="R2736" s="85">
        <f>STATS1003B!R2744/1000</f>
        <v>0</v>
      </c>
      <c r="S2736" s="85">
        <f>STATS1003B!S2744/1000</f>
        <v>0</v>
      </c>
      <c r="T2736" s="85">
        <f>STATS1003B!T2744/1000</f>
        <v>0</v>
      </c>
      <c r="U2736" s="85">
        <f>STATS1003B!U2744/1000</f>
        <v>0</v>
      </c>
      <c r="V2736" s="85">
        <f>STATS1003B!V2744/1000</f>
        <v>600</v>
      </c>
      <c r="W2736" s="85">
        <f>STATS1003B!W2744/1000</f>
        <v>0</v>
      </c>
      <c r="X2736" s="85">
        <f t="shared" si="294"/>
        <v>600</v>
      </c>
      <c r="Y2736" s="85">
        <f>STATS1003B!Y2744/1000</f>
        <v>0</v>
      </c>
      <c r="Z2736" s="85">
        <f>STATS1003B!Z2744/1000</f>
        <v>0</v>
      </c>
      <c r="AA2736" s="69">
        <f>STATS1003B!AA2744/1000</f>
        <v>600</v>
      </c>
      <c r="AB2736" s="69">
        <f>STATS1003B!AB2744/1000</f>
        <v>0</v>
      </c>
    </row>
    <row r="2737" spans="1:28" hidden="1" x14ac:dyDescent="0.3">
      <c r="A2737" s="117"/>
      <c r="C2737" s="71" t="s">
        <v>143</v>
      </c>
      <c r="D2737" s="88" t="s">
        <v>58</v>
      </c>
      <c r="E2737" s="85">
        <f>STATS1003B!E2745/1000</f>
        <v>1500</v>
      </c>
      <c r="F2737" s="85">
        <f>STATS1003B!F2745/1000</f>
        <v>1500</v>
      </c>
      <c r="G2737" s="85">
        <f>STATS1003B!G2745/1000</f>
        <v>0</v>
      </c>
      <c r="H2737" s="85">
        <f>STATS1003B!H2745/1000</f>
        <v>1500</v>
      </c>
      <c r="I2737" s="85">
        <f>STATS1003B!I2745/1000</f>
        <v>0</v>
      </c>
      <c r="J2737" s="85">
        <f>STATS1003B!J2745/1000</f>
        <v>0</v>
      </c>
      <c r="K2737" s="85">
        <f>STATS1003B!K2745/1000</f>
        <v>0</v>
      </c>
      <c r="L2737" s="85">
        <f>STATS1003B!L2745/1000</f>
        <v>0</v>
      </c>
      <c r="M2737" s="85">
        <f>STATS1003B!M2745/1000</f>
        <v>1500</v>
      </c>
      <c r="N2737" s="85">
        <f>STATS1003B!N2745/1000</f>
        <v>0</v>
      </c>
      <c r="O2737" s="85">
        <f>STATS1003B!O2745/1000</f>
        <v>0</v>
      </c>
      <c r="P2737" s="85">
        <f>STATS1003B!P2745/1000</f>
        <v>0</v>
      </c>
      <c r="Q2737" s="85">
        <f>STATS1003B!Q2745/1000</f>
        <v>0</v>
      </c>
      <c r="R2737" s="85">
        <f>STATS1003B!R2745/1000</f>
        <v>0</v>
      </c>
      <c r="S2737" s="85">
        <f>STATS1003B!S2745/1000</f>
        <v>0</v>
      </c>
      <c r="T2737" s="85">
        <f>STATS1003B!T2745/1000</f>
        <v>0</v>
      </c>
      <c r="U2737" s="85">
        <f>STATS1003B!U2745/1000</f>
        <v>0</v>
      </c>
      <c r="V2737" s="85">
        <f>STATS1003B!V2745/1000</f>
        <v>1500</v>
      </c>
      <c r="W2737" s="85">
        <f>STATS1003B!W2745/1000</f>
        <v>0</v>
      </c>
      <c r="X2737" s="85">
        <f t="shared" si="294"/>
        <v>1500</v>
      </c>
      <c r="Y2737" s="85">
        <f>STATS1003B!Y2745/1000</f>
        <v>0</v>
      </c>
      <c r="Z2737" s="85">
        <f>STATS1003B!Z2745/1000</f>
        <v>0</v>
      </c>
      <c r="AA2737" s="69">
        <f>STATS1003B!AA2745/1000</f>
        <v>1500</v>
      </c>
      <c r="AB2737" s="69">
        <f>STATS1003B!AB2745/1000</f>
        <v>0</v>
      </c>
    </row>
    <row r="2738" spans="1:28" hidden="1" x14ac:dyDescent="0.3">
      <c r="A2738" s="117"/>
      <c r="C2738" s="71" t="s">
        <v>143</v>
      </c>
      <c r="D2738" s="88" t="s">
        <v>60</v>
      </c>
      <c r="E2738" s="85">
        <f>STATS1003B!E2746/1000</f>
        <v>9674.1540000000005</v>
      </c>
      <c r="F2738" s="85">
        <f>STATS1003B!F2746/1000</f>
        <v>9253.7330000000002</v>
      </c>
      <c r="G2738" s="85">
        <f>STATS1003B!G2746/1000</f>
        <v>0</v>
      </c>
      <c r="H2738" s="85">
        <f>STATS1003B!H2746/1000</f>
        <v>9253.7330000000002</v>
      </c>
      <c r="I2738" s="85">
        <f>STATS1003B!I2746/1000</f>
        <v>0</v>
      </c>
      <c r="J2738" s="85">
        <f>STATS1003B!J2746/1000</f>
        <v>0</v>
      </c>
      <c r="K2738" s="85">
        <f>STATS1003B!K2746/1000</f>
        <v>0</v>
      </c>
      <c r="L2738" s="85">
        <f>STATS1003B!L2746/1000</f>
        <v>0</v>
      </c>
      <c r="M2738" s="85">
        <f>STATS1003B!M2746/1000</f>
        <v>9253.7330000000002</v>
      </c>
      <c r="N2738" s="85">
        <f>STATS1003B!N2746/1000</f>
        <v>0</v>
      </c>
      <c r="O2738" s="85">
        <f>STATS1003B!O2746/1000</f>
        <v>0</v>
      </c>
      <c r="P2738" s="85">
        <f>STATS1003B!P2746/1000</f>
        <v>0</v>
      </c>
      <c r="Q2738" s="85">
        <f>STATS1003B!Q2746/1000</f>
        <v>0</v>
      </c>
      <c r="R2738" s="85">
        <f>STATS1003B!R2746/1000</f>
        <v>0</v>
      </c>
      <c r="S2738" s="85">
        <f>STATS1003B!S2746/1000</f>
        <v>0</v>
      </c>
      <c r="T2738" s="85">
        <f>STATS1003B!T2746/1000</f>
        <v>0</v>
      </c>
      <c r="U2738" s="85">
        <f>STATS1003B!U2746/1000</f>
        <v>0</v>
      </c>
      <c r="V2738" s="85">
        <f>STATS1003B!V2746/1000</f>
        <v>9253.7330000000002</v>
      </c>
      <c r="W2738" s="85">
        <f>STATS1003B!W2746/1000</f>
        <v>420.42099999999999</v>
      </c>
      <c r="X2738" s="85">
        <f t="shared" si="294"/>
        <v>9253.7330000000002</v>
      </c>
      <c r="Y2738" s="85">
        <f>STATS1003B!Y2746/1000</f>
        <v>0</v>
      </c>
      <c r="Z2738" s="85">
        <f>STATS1003B!Z2746/1000</f>
        <v>420.42099999999999</v>
      </c>
      <c r="AA2738" s="69">
        <f>STATS1003B!AA2746/1000</f>
        <v>9253.7330000000002</v>
      </c>
      <c r="AB2738" s="69">
        <f>STATS1003B!AB2746/1000</f>
        <v>420.42099999999999</v>
      </c>
    </row>
    <row r="2739" spans="1:28" hidden="1" x14ac:dyDescent="0.3">
      <c r="A2739" s="117"/>
      <c r="C2739" s="71" t="s">
        <v>143</v>
      </c>
      <c r="D2739" s="88" t="s">
        <v>73</v>
      </c>
      <c r="E2739" s="85">
        <f>STATS1003B!E2747/1000</f>
        <v>9065.8449999999993</v>
      </c>
      <c r="F2739" s="85">
        <f>STATS1003B!F2747/1000</f>
        <v>9065.8449999999993</v>
      </c>
      <c r="G2739" s="85">
        <f>STATS1003B!G2747/1000</f>
        <v>0</v>
      </c>
      <c r="H2739" s="85">
        <f>STATS1003B!H2747/1000</f>
        <v>9065.8449999999993</v>
      </c>
      <c r="I2739" s="85">
        <f>STATS1003B!I2747/1000</f>
        <v>0</v>
      </c>
      <c r="J2739" s="85">
        <f>STATS1003B!J2747/1000</f>
        <v>0</v>
      </c>
      <c r="K2739" s="85">
        <f>STATS1003B!K2747/1000</f>
        <v>0</v>
      </c>
      <c r="L2739" s="85">
        <f>STATS1003B!L2747/1000</f>
        <v>0</v>
      </c>
      <c r="M2739" s="85">
        <f>STATS1003B!M2747/1000</f>
        <v>9065.8449999999993</v>
      </c>
      <c r="N2739" s="85">
        <f>STATS1003B!N2747/1000</f>
        <v>0</v>
      </c>
      <c r="O2739" s="85">
        <f>STATS1003B!O2747/1000</f>
        <v>0</v>
      </c>
      <c r="P2739" s="85">
        <f>STATS1003B!P2747/1000</f>
        <v>0</v>
      </c>
      <c r="Q2739" s="85">
        <f>STATS1003B!Q2747/1000</f>
        <v>0</v>
      </c>
      <c r="R2739" s="85">
        <f>STATS1003B!R2747/1000</f>
        <v>0</v>
      </c>
      <c r="S2739" s="85">
        <f>STATS1003B!S2747/1000</f>
        <v>0</v>
      </c>
      <c r="T2739" s="85">
        <f>STATS1003B!T2747/1000</f>
        <v>0</v>
      </c>
      <c r="U2739" s="85">
        <f>STATS1003B!U2747/1000</f>
        <v>0</v>
      </c>
      <c r="V2739" s="85">
        <f>STATS1003B!V2747/1000</f>
        <v>9065.8449999999993</v>
      </c>
      <c r="W2739" s="85">
        <f>STATS1003B!W2747/1000</f>
        <v>0</v>
      </c>
      <c r="X2739" s="85">
        <f t="shared" si="294"/>
        <v>9065.8449999999993</v>
      </c>
      <c r="Y2739" s="85">
        <f>STATS1003B!Y2747/1000</f>
        <v>0</v>
      </c>
      <c r="Z2739" s="85">
        <f>STATS1003B!Z2747/1000</f>
        <v>0</v>
      </c>
      <c r="AA2739" s="69">
        <f>STATS1003B!AA2747/1000</f>
        <v>9065.8449999999993</v>
      </c>
      <c r="AB2739" s="69">
        <f>STATS1003B!AB2747/1000</f>
        <v>0</v>
      </c>
    </row>
    <row r="2740" spans="1:28" hidden="1" x14ac:dyDescent="0.3">
      <c r="A2740" s="117"/>
      <c r="C2740" s="71" t="s">
        <v>143</v>
      </c>
      <c r="D2740" s="89" t="s">
        <v>61</v>
      </c>
      <c r="E2740" s="85">
        <f>STATS1003B!E2748/1000</f>
        <v>9407.910820000001</v>
      </c>
      <c r="F2740" s="85">
        <f>STATS1003B!F2748/1000</f>
        <v>9218.1169600000012</v>
      </c>
      <c r="G2740" s="85">
        <f>STATS1003B!G2748/1000</f>
        <v>0</v>
      </c>
      <c r="H2740" s="85">
        <f>STATS1003B!H2748/1000</f>
        <v>9218.1169600000012</v>
      </c>
      <c r="I2740" s="85">
        <f>STATS1003B!I2748/1000</f>
        <v>1462.4718</v>
      </c>
      <c r="J2740" s="85">
        <f>STATS1003B!J2748/1000</f>
        <v>1462.4718</v>
      </c>
      <c r="K2740" s="85">
        <f>STATS1003B!K2748/1000</f>
        <v>0</v>
      </c>
      <c r="L2740" s="85">
        <f>STATS1003B!L2748/1000</f>
        <v>0</v>
      </c>
      <c r="M2740" s="85">
        <f>STATS1003B!M2748/1000</f>
        <v>9218.1169600000012</v>
      </c>
      <c r="N2740" s="85">
        <f>STATS1003B!N2748/1000</f>
        <v>0</v>
      </c>
      <c r="O2740" s="85">
        <f>STATS1003B!O2748/1000</f>
        <v>0</v>
      </c>
      <c r="P2740" s="85">
        <f>STATS1003B!P2748/1000</f>
        <v>0</v>
      </c>
      <c r="Q2740" s="85">
        <f>STATS1003B!Q2748/1000</f>
        <v>185.8767</v>
      </c>
      <c r="R2740" s="85">
        <f>STATS1003B!R2748/1000</f>
        <v>0</v>
      </c>
      <c r="S2740" s="85">
        <f>STATS1003B!S2748/1000</f>
        <v>3.91716</v>
      </c>
      <c r="T2740" s="85">
        <f>STATS1003B!T2748/1000</f>
        <v>189.79386</v>
      </c>
      <c r="U2740" s="85">
        <f>STATS1003B!U2748/1000</f>
        <v>189.79386</v>
      </c>
      <c r="V2740" s="85">
        <f>STATS1003B!V2748/1000</f>
        <v>9218.1169600000012</v>
      </c>
      <c r="W2740" s="85">
        <f>STATS1003B!W2748/1000</f>
        <v>189.7938599999994</v>
      </c>
      <c r="X2740" s="85">
        <f t="shared" si="294"/>
        <v>9218.1169600000012</v>
      </c>
      <c r="Y2740" s="85">
        <f>STATS1003B!Y2748/1000</f>
        <v>0</v>
      </c>
      <c r="Z2740" s="85">
        <f>STATS1003B!Z2748/1000</f>
        <v>189.7938599999994</v>
      </c>
      <c r="AA2740" s="69">
        <f>STATS1003B!AA2748/1000</f>
        <v>9407.910820000001</v>
      </c>
      <c r="AB2740" s="69">
        <f>STATS1003B!AB2748/1000</f>
        <v>0</v>
      </c>
    </row>
    <row r="2741" spans="1:28" hidden="1" x14ac:dyDescent="0.3">
      <c r="A2741" s="117"/>
      <c r="C2741" s="71" t="s">
        <v>924</v>
      </c>
      <c r="D2741" s="89" t="s">
        <v>1072</v>
      </c>
      <c r="E2741" s="85">
        <f>STATS1003B!E2749/1000</f>
        <v>202.88303999999999</v>
      </c>
      <c r="F2741" s="85">
        <f>STATS1003B!F2749/1000</f>
        <v>202.88303999999999</v>
      </c>
      <c r="G2741" s="85">
        <f>STATS1003B!G2749/1000</f>
        <v>0</v>
      </c>
      <c r="H2741" s="85">
        <f>STATS1003B!H2749/1000</f>
        <v>202.88303999999999</v>
      </c>
      <c r="I2741" s="85">
        <f>STATS1003B!I2749/1000</f>
        <v>0</v>
      </c>
      <c r="J2741" s="85">
        <f>STATS1003B!J2749/1000</f>
        <v>0</v>
      </c>
      <c r="K2741" s="85">
        <f>STATS1003B!K2749/1000</f>
        <v>0</v>
      </c>
      <c r="L2741" s="85">
        <f>STATS1003B!L2749/1000</f>
        <v>0</v>
      </c>
      <c r="M2741" s="85">
        <f>STATS1003B!M2749/1000</f>
        <v>202.88303999999999</v>
      </c>
      <c r="N2741" s="85">
        <f>STATS1003B!N2749/1000</f>
        <v>0</v>
      </c>
      <c r="O2741" s="85">
        <f>STATS1003B!O2749/1000</f>
        <v>0</v>
      </c>
      <c r="P2741" s="85">
        <f>STATS1003B!P2749/1000</f>
        <v>0</v>
      </c>
      <c r="Q2741" s="85">
        <f>STATS1003B!Q2749/1000</f>
        <v>0</v>
      </c>
      <c r="R2741" s="85">
        <f>STATS1003B!R2749/1000</f>
        <v>0</v>
      </c>
      <c r="S2741" s="85">
        <f>STATS1003B!S2749/1000</f>
        <v>0</v>
      </c>
      <c r="T2741" s="85">
        <f>STATS1003B!T2749/1000</f>
        <v>0</v>
      </c>
      <c r="U2741" s="85">
        <f>STATS1003B!U2749/1000</f>
        <v>0</v>
      </c>
      <c r="V2741" s="85">
        <f>STATS1003B!V2749/1000</f>
        <v>202.88303999999999</v>
      </c>
      <c r="W2741" s="85">
        <f>STATS1003B!W2749/1000</f>
        <v>0</v>
      </c>
      <c r="X2741" s="85">
        <f t="shared" si="294"/>
        <v>202.88303999999999</v>
      </c>
      <c r="Y2741" s="85">
        <f>STATS1003B!Y2749/1000</f>
        <v>0</v>
      </c>
      <c r="Z2741" s="85">
        <f>STATS1003B!Z2749/1000</f>
        <v>0</v>
      </c>
      <c r="AA2741" s="69">
        <f>STATS1003B!AA2749/1000</f>
        <v>202.88303999999999</v>
      </c>
      <c r="AB2741" s="69">
        <f>STATS1003B!AB2749/1000</f>
        <v>0</v>
      </c>
    </row>
    <row r="2742" spans="1:28" hidden="1" x14ac:dyDescent="0.3">
      <c r="A2742" s="117"/>
      <c r="C2742" s="71" t="s">
        <v>930</v>
      </c>
      <c r="D2742" s="89" t="s">
        <v>1072</v>
      </c>
      <c r="E2742" s="85">
        <f>STATS1003B!E2750/1000</f>
        <v>7321.83979</v>
      </c>
      <c r="F2742" s="85">
        <f>STATS1003B!F2750/1000</f>
        <v>7321.83979</v>
      </c>
      <c r="G2742" s="85">
        <f>STATS1003B!G2750/1000</f>
        <v>0</v>
      </c>
      <c r="H2742" s="85">
        <f>STATS1003B!H2750/1000</f>
        <v>7321.83979</v>
      </c>
      <c r="I2742" s="85">
        <f>STATS1003B!I2750/1000</f>
        <v>0</v>
      </c>
      <c r="J2742" s="85">
        <f>STATS1003B!J2750/1000</f>
        <v>0</v>
      </c>
      <c r="K2742" s="85">
        <f>STATS1003B!K2750/1000</f>
        <v>0</v>
      </c>
      <c r="L2742" s="85">
        <f>STATS1003B!L2750/1000</f>
        <v>0</v>
      </c>
      <c r="M2742" s="85">
        <f>STATS1003B!M2750/1000</f>
        <v>7321.83979</v>
      </c>
      <c r="N2742" s="85">
        <f>STATS1003B!N2750/1000</f>
        <v>0</v>
      </c>
      <c r="O2742" s="85">
        <f>STATS1003B!O2750/1000</f>
        <v>0</v>
      </c>
      <c r="P2742" s="85">
        <f>STATS1003B!P2750/1000</f>
        <v>0</v>
      </c>
      <c r="Q2742" s="85">
        <f>STATS1003B!Q2750/1000</f>
        <v>0</v>
      </c>
      <c r="R2742" s="85">
        <f>STATS1003B!R2750/1000</f>
        <v>0</v>
      </c>
      <c r="S2742" s="85">
        <f>STATS1003B!S2750/1000</f>
        <v>0</v>
      </c>
      <c r="T2742" s="85">
        <f>STATS1003B!T2750/1000</f>
        <v>0</v>
      </c>
      <c r="U2742" s="85">
        <f>STATS1003B!U2750/1000</f>
        <v>0</v>
      </c>
      <c r="V2742" s="85">
        <f>STATS1003B!V2750/1000</f>
        <v>7321.83979</v>
      </c>
      <c r="W2742" s="85">
        <f>STATS1003B!W2750/1000</f>
        <v>0</v>
      </c>
      <c r="X2742" s="85">
        <f t="shared" si="294"/>
        <v>7321.83979</v>
      </c>
      <c r="Y2742" s="85">
        <f>STATS1003B!Y2750/1000</f>
        <v>0</v>
      </c>
      <c r="Z2742" s="85">
        <f>STATS1003B!Z2750/1000</f>
        <v>0</v>
      </c>
      <c r="AA2742" s="69">
        <f>STATS1003B!AA2750/1000</f>
        <v>7321.83979</v>
      </c>
      <c r="AB2742" s="69">
        <f>STATS1003B!AB2750/1000</f>
        <v>0</v>
      </c>
    </row>
    <row r="2743" spans="1:28" hidden="1" x14ac:dyDescent="0.3">
      <c r="A2743" s="117"/>
      <c r="C2743" s="71" t="s">
        <v>1176</v>
      </c>
      <c r="D2743" s="89" t="s">
        <v>1126</v>
      </c>
      <c r="E2743" s="85">
        <f>STATS1003B!E2751/1000</f>
        <v>2310.04081</v>
      </c>
      <c r="F2743" s="85">
        <f>STATS1003B!F2751/1000</f>
        <v>2310.04081</v>
      </c>
      <c r="G2743" s="85">
        <f>STATS1003B!G2751/1000</f>
        <v>0</v>
      </c>
      <c r="H2743" s="85">
        <f>STATS1003B!H2751/1000</f>
        <v>2310.04081</v>
      </c>
      <c r="I2743" s="85">
        <f>STATS1003B!I2751/1000</f>
        <v>0</v>
      </c>
      <c r="J2743" s="85">
        <f>STATS1003B!J2751/1000</f>
        <v>0</v>
      </c>
      <c r="K2743" s="85">
        <f>STATS1003B!K2751/1000</f>
        <v>0</v>
      </c>
      <c r="L2743" s="85">
        <f>STATS1003B!L2751/1000</f>
        <v>0</v>
      </c>
      <c r="M2743" s="85">
        <f>STATS1003B!M2751/1000</f>
        <v>2310.04081</v>
      </c>
      <c r="N2743" s="85">
        <f>STATS1003B!N2751/1000</f>
        <v>0</v>
      </c>
      <c r="O2743" s="85">
        <f>STATS1003B!O2751/1000</f>
        <v>0</v>
      </c>
      <c r="P2743" s="85">
        <f>STATS1003B!P2751/1000</f>
        <v>0</v>
      </c>
      <c r="Q2743" s="85">
        <f>STATS1003B!Q2751/1000</f>
        <v>0</v>
      </c>
      <c r="R2743" s="85">
        <f>STATS1003B!R2751/1000</f>
        <v>0</v>
      </c>
      <c r="S2743" s="85">
        <f>STATS1003B!S2751/1000</f>
        <v>0</v>
      </c>
      <c r="T2743" s="85">
        <f>STATS1003B!T2751/1000</f>
        <v>0</v>
      </c>
      <c r="U2743" s="85">
        <f>STATS1003B!U2751/1000</f>
        <v>0</v>
      </c>
      <c r="V2743" s="85">
        <f>STATS1003B!V2751/1000</f>
        <v>0</v>
      </c>
      <c r="W2743" s="85">
        <f>STATS1003B!W2751/1000</f>
        <v>0</v>
      </c>
      <c r="X2743" s="85">
        <f t="shared" si="294"/>
        <v>2310.04081</v>
      </c>
      <c r="Y2743" s="85">
        <f>STATS1003B!Y2751/1000</f>
        <v>0</v>
      </c>
      <c r="Z2743" s="85">
        <f>STATS1003B!Z2751/1000</f>
        <v>0</v>
      </c>
      <c r="AA2743" s="69">
        <f>STATS1003B!AA2751/1000</f>
        <v>2310.04081</v>
      </c>
      <c r="AB2743" s="69">
        <f>STATS1003B!AB2751/1000</f>
        <v>0</v>
      </c>
    </row>
    <row r="2744" spans="1:28" hidden="1" x14ac:dyDescent="0.3">
      <c r="A2744" s="117"/>
      <c r="C2744" s="71" t="s">
        <v>1260</v>
      </c>
      <c r="D2744" s="89" t="s">
        <v>1225</v>
      </c>
      <c r="E2744" s="85">
        <f>STATS1003B!E2752/1000</f>
        <v>1652.0658899999999</v>
      </c>
      <c r="F2744" s="85">
        <f>STATS1003B!F2752/1000</f>
        <v>0</v>
      </c>
      <c r="G2744" s="85">
        <f>STATS1003B!G2752/1000</f>
        <v>1652.0658899999999</v>
      </c>
      <c r="H2744" s="85">
        <f>STATS1003B!H2752/1000</f>
        <v>1652.0658899999999</v>
      </c>
      <c r="I2744" s="85">
        <f>STATS1003B!I2752/1000</f>
        <v>0</v>
      </c>
      <c r="J2744" s="85">
        <f>STATS1003B!J2752/1000</f>
        <v>0</v>
      </c>
      <c r="K2744" s="85">
        <f>STATS1003B!K2752/1000</f>
        <v>0</v>
      </c>
      <c r="L2744" s="85">
        <f>STATS1003B!L2752/1000</f>
        <v>0</v>
      </c>
      <c r="M2744" s="85">
        <f>STATS1003B!M2752/1000</f>
        <v>1652.0658899999999</v>
      </c>
      <c r="N2744" s="85">
        <f>STATS1003B!N2752/1000</f>
        <v>0</v>
      </c>
      <c r="O2744" s="85">
        <f>STATS1003B!O2752/1000</f>
        <v>0</v>
      </c>
      <c r="P2744" s="85">
        <f>STATS1003B!P2752/1000</f>
        <v>0</v>
      </c>
      <c r="Q2744" s="85">
        <f>STATS1003B!Q2752/1000</f>
        <v>0</v>
      </c>
      <c r="R2744" s="85">
        <f>STATS1003B!R2752/1000</f>
        <v>0</v>
      </c>
      <c r="S2744" s="85">
        <f>STATS1003B!S2752/1000</f>
        <v>0</v>
      </c>
      <c r="T2744" s="85">
        <f>STATS1003B!T2752/1000</f>
        <v>0</v>
      </c>
      <c r="U2744" s="85">
        <f>STATS1003B!U2752/1000</f>
        <v>0</v>
      </c>
      <c r="V2744" s="85">
        <f>STATS1003B!V2752/1000</f>
        <v>0</v>
      </c>
      <c r="W2744" s="85">
        <f>STATS1003B!W2752/1000</f>
        <v>0</v>
      </c>
      <c r="X2744" s="85">
        <f t="shared" si="294"/>
        <v>1652.0658899999999</v>
      </c>
      <c r="Y2744" s="85">
        <f>STATS1003B!Y2752/1000</f>
        <v>0</v>
      </c>
      <c r="Z2744" s="85">
        <f>STATS1003B!Z2752/1000</f>
        <v>0</v>
      </c>
      <c r="AA2744" s="69">
        <f>STATS1003B!AA2752/1000</f>
        <v>1652.0658899999999</v>
      </c>
      <c r="AB2744" s="69">
        <f>STATS1003B!AB2752/1000</f>
        <v>0</v>
      </c>
    </row>
    <row r="2745" spans="1:28" hidden="1" x14ac:dyDescent="0.3">
      <c r="A2745" s="117"/>
      <c r="C2745" s="71" t="s">
        <v>434</v>
      </c>
      <c r="E2745" s="85">
        <f>STATS1003B!E2753/1000</f>
        <v>46.7</v>
      </c>
      <c r="F2745" s="85">
        <f>STATS1003B!F2753/1000</f>
        <v>46.7</v>
      </c>
      <c r="G2745" s="85">
        <f>STATS1003B!G2753/1000</f>
        <v>0</v>
      </c>
      <c r="H2745" s="85">
        <f>STATS1003B!H2753/1000</f>
        <v>46.7</v>
      </c>
      <c r="I2745" s="85">
        <f>STATS1003B!I2753/1000</f>
        <v>0</v>
      </c>
      <c r="J2745" s="85">
        <f>STATS1003B!J2753/1000</f>
        <v>0</v>
      </c>
      <c r="K2745" s="85">
        <f>STATS1003B!K2753/1000</f>
        <v>0</v>
      </c>
      <c r="L2745" s="85">
        <f>STATS1003B!L2753/1000</f>
        <v>0</v>
      </c>
      <c r="M2745" s="85">
        <f>STATS1003B!M2753/1000</f>
        <v>46.7</v>
      </c>
      <c r="N2745" s="85">
        <f>STATS1003B!N2753/1000</f>
        <v>0</v>
      </c>
      <c r="O2745" s="85">
        <f>STATS1003B!O2753/1000</f>
        <v>0</v>
      </c>
      <c r="P2745" s="85">
        <f>STATS1003B!P2753/1000</f>
        <v>0</v>
      </c>
      <c r="Q2745" s="85">
        <f>STATS1003B!Q2753/1000</f>
        <v>0</v>
      </c>
      <c r="R2745" s="85">
        <f>STATS1003B!R2753/1000</f>
        <v>0</v>
      </c>
      <c r="S2745" s="85">
        <f>STATS1003B!S2753/1000</f>
        <v>0</v>
      </c>
      <c r="T2745" s="85">
        <f>STATS1003B!T2753/1000</f>
        <v>0</v>
      </c>
      <c r="U2745" s="85">
        <f>STATS1003B!U2753/1000</f>
        <v>0</v>
      </c>
      <c r="V2745" s="85">
        <f>STATS1003B!V2753/1000</f>
        <v>46.7</v>
      </c>
      <c r="W2745" s="85">
        <f>STATS1003B!W2753/1000</f>
        <v>0</v>
      </c>
      <c r="X2745" s="85">
        <f t="shared" si="294"/>
        <v>46.7</v>
      </c>
      <c r="Y2745" s="85">
        <f>STATS1003B!Y2753/1000</f>
        <v>0</v>
      </c>
      <c r="Z2745" s="85">
        <f>STATS1003B!Z2753/1000</f>
        <v>0</v>
      </c>
      <c r="AA2745" s="69">
        <f>STATS1003B!AA2753/1000</f>
        <v>46.7</v>
      </c>
      <c r="AB2745" s="69">
        <f>STATS1003B!AB2753/1000</f>
        <v>0</v>
      </c>
    </row>
    <row r="2746" spans="1:28" hidden="1" x14ac:dyDescent="0.3">
      <c r="A2746" s="117"/>
      <c r="C2746" s="71" t="s">
        <v>430</v>
      </c>
      <c r="E2746" s="85">
        <f>STATS1003B!E2754/1000</f>
        <v>100</v>
      </c>
      <c r="F2746" s="85">
        <f>STATS1003B!F2754/1000</f>
        <v>0</v>
      </c>
      <c r="G2746" s="85">
        <f>STATS1003B!G2754/1000</f>
        <v>0</v>
      </c>
      <c r="H2746" s="85">
        <f>STATS1003B!H2754/1000</f>
        <v>0</v>
      </c>
      <c r="I2746" s="85">
        <f>STATS1003B!I2754/1000</f>
        <v>0</v>
      </c>
      <c r="J2746" s="85">
        <f>STATS1003B!J2754/1000</f>
        <v>0</v>
      </c>
      <c r="K2746" s="85">
        <f>STATS1003B!K2754/1000</f>
        <v>0</v>
      </c>
      <c r="L2746" s="85">
        <f>STATS1003B!L2754/1000</f>
        <v>0</v>
      </c>
      <c r="M2746" s="85">
        <f>STATS1003B!M2754/1000</f>
        <v>0</v>
      </c>
      <c r="N2746" s="85">
        <f>STATS1003B!N2754/1000</f>
        <v>0</v>
      </c>
      <c r="O2746" s="85">
        <f>STATS1003B!O2754/1000</f>
        <v>0</v>
      </c>
      <c r="P2746" s="85">
        <f>STATS1003B!P2754/1000</f>
        <v>0</v>
      </c>
      <c r="Q2746" s="85">
        <f>STATS1003B!Q2754/1000</f>
        <v>0</v>
      </c>
      <c r="R2746" s="85">
        <f>STATS1003B!R2754/1000</f>
        <v>0</v>
      </c>
      <c r="S2746" s="85">
        <f>STATS1003B!S2754/1000</f>
        <v>0</v>
      </c>
      <c r="T2746" s="85">
        <f>STATS1003B!T2754/1000</f>
        <v>0</v>
      </c>
      <c r="U2746" s="85">
        <f>STATS1003B!U2754/1000</f>
        <v>0</v>
      </c>
      <c r="V2746" s="85">
        <f>STATS1003B!V2754/1000</f>
        <v>0</v>
      </c>
      <c r="W2746" s="85">
        <f>STATS1003B!W2754/1000</f>
        <v>100</v>
      </c>
      <c r="X2746" s="85">
        <f t="shared" si="294"/>
        <v>0</v>
      </c>
      <c r="Y2746" s="85">
        <f>STATS1003B!Y2754/1000</f>
        <v>0</v>
      </c>
      <c r="Z2746" s="85">
        <f>STATS1003B!Z2754/1000</f>
        <v>100</v>
      </c>
      <c r="AA2746" s="69">
        <f>STATS1003B!AA2754/1000</f>
        <v>0</v>
      </c>
      <c r="AB2746" s="69">
        <f>STATS1003B!AB2754/1000</f>
        <v>100</v>
      </c>
    </row>
    <row r="2747" spans="1:28" hidden="1" x14ac:dyDescent="0.3">
      <c r="A2747" s="117"/>
      <c r="C2747" s="71" t="s">
        <v>485</v>
      </c>
      <c r="E2747" s="85">
        <f>STATS1003B!E2755/1000</f>
        <v>2002.883</v>
      </c>
      <c r="F2747" s="85">
        <f>STATS1003B!F2755/1000</f>
        <v>2002.883</v>
      </c>
      <c r="G2747" s="85">
        <f>STATS1003B!G2755/1000</f>
        <v>0</v>
      </c>
      <c r="H2747" s="85">
        <f>STATS1003B!H2755/1000</f>
        <v>2002.883</v>
      </c>
      <c r="I2747" s="85">
        <f>STATS1003B!I2755/1000</f>
        <v>0</v>
      </c>
      <c r="J2747" s="85">
        <f>STATS1003B!J2755/1000</f>
        <v>0</v>
      </c>
      <c r="K2747" s="85">
        <f>STATS1003B!K2755/1000</f>
        <v>0</v>
      </c>
      <c r="L2747" s="85">
        <f>STATS1003B!L2755/1000</f>
        <v>0</v>
      </c>
      <c r="M2747" s="85">
        <f>STATS1003B!M2755/1000</f>
        <v>2002.883</v>
      </c>
      <c r="N2747" s="85">
        <f>STATS1003B!N2755/1000</f>
        <v>0</v>
      </c>
      <c r="O2747" s="85">
        <f>STATS1003B!O2755/1000</f>
        <v>0</v>
      </c>
      <c r="P2747" s="85">
        <f>STATS1003B!P2755/1000</f>
        <v>0</v>
      </c>
      <c r="Q2747" s="85">
        <f>STATS1003B!Q2755/1000</f>
        <v>0</v>
      </c>
      <c r="R2747" s="85">
        <f>STATS1003B!R2755/1000</f>
        <v>0</v>
      </c>
      <c r="S2747" s="85">
        <f>STATS1003B!S2755/1000</f>
        <v>0</v>
      </c>
      <c r="T2747" s="85">
        <f>STATS1003B!T2755/1000</f>
        <v>0</v>
      </c>
      <c r="U2747" s="85">
        <f>STATS1003B!U2755/1000</f>
        <v>0</v>
      </c>
      <c r="V2747" s="85">
        <f>STATS1003B!V2755/1000</f>
        <v>2002.883</v>
      </c>
      <c r="W2747" s="85">
        <f>STATS1003B!W2755/1000</f>
        <v>0</v>
      </c>
      <c r="X2747" s="85">
        <f>+H2747+P2747</f>
        <v>2002.883</v>
      </c>
      <c r="Y2747" s="85">
        <f>STATS1003B!Y2755/1000</f>
        <v>0</v>
      </c>
      <c r="Z2747" s="85">
        <f>STATS1003B!Z2755/1000</f>
        <v>0</v>
      </c>
      <c r="AA2747" s="69">
        <f>STATS1003B!AA2755/1000</f>
        <v>2002.883</v>
      </c>
      <c r="AB2747" s="69">
        <f>STATS1003B!AB2755/1000</f>
        <v>0</v>
      </c>
    </row>
    <row r="2748" spans="1:28" hidden="1" x14ac:dyDescent="0.3">
      <c r="A2748" s="117"/>
      <c r="C2748" s="71" t="s">
        <v>109</v>
      </c>
      <c r="E2748" s="85">
        <f>STATS1003B!E2756/1000</f>
        <v>2500</v>
      </c>
      <c r="F2748" s="85">
        <f>STATS1003B!F2756/1000</f>
        <v>2500</v>
      </c>
      <c r="G2748" s="85">
        <f>STATS1003B!G2756/1000</f>
        <v>0</v>
      </c>
      <c r="H2748" s="85">
        <f>STATS1003B!H2756/1000</f>
        <v>2500</v>
      </c>
      <c r="I2748" s="85">
        <f>STATS1003B!I2756/1000</f>
        <v>0</v>
      </c>
      <c r="J2748" s="85">
        <f>STATS1003B!J2756/1000</f>
        <v>0</v>
      </c>
      <c r="K2748" s="85">
        <f>STATS1003B!K2756/1000</f>
        <v>0</v>
      </c>
      <c r="L2748" s="85">
        <f>STATS1003B!L2756/1000</f>
        <v>0</v>
      </c>
      <c r="M2748" s="85">
        <f>STATS1003B!M2756/1000</f>
        <v>2500</v>
      </c>
      <c r="N2748" s="85">
        <f>STATS1003B!N2756/1000</f>
        <v>0</v>
      </c>
      <c r="O2748" s="85">
        <f>STATS1003B!O2756/1000</f>
        <v>0</v>
      </c>
      <c r="P2748" s="85">
        <f>STATS1003B!P2756/1000</f>
        <v>0</v>
      </c>
      <c r="Q2748" s="85">
        <f>STATS1003B!Q2756/1000</f>
        <v>0</v>
      </c>
      <c r="R2748" s="85">
        <f>STATS1003B!R2756/1000</f>
        <v>0</v>
      </c>
      <c r="S2748" s="85">
        <f>STATS1003B!S2756/1000</f>
        <v>0</v>
      </c>
      <c r="T2748" s="85">
        <f>STATS1003B!T2756/1000</f>
        <v>0</v>
      </c>
      <c r="U2748" s="85">
        <f>STATS1003B!U2756/1000</f>
        <v>0</v>
      </c>
      <c r="V2748" s="85">
        <f>STATS1003B!V2756/1000</f>
        <v>2500</v>
      </c>
      <c r="W2748" s="85">
        <f>STATS1003B!W2756/1000</f>
        <v>0</v>
      </c>
      <c r="X2748" s="85">
        <f>+H2748+P2748</f>
        <v>2500</v>
      </c>
      <c r="Y2748" s="85">
        <f>STATS1003B!Y2756/1000</f>
        <v>0</v>
      </c>
      <c r="Z2748" s="85">
        <f>STATS1003B!Z2756/1000</f>
        <v>0</v>
      </c>
      <c r="AA2748" s="69">
        <f>STATS1003B!AA2756/1000</f>
        <v>2500</v>
      </c>
      <c r="AB2748" s="69">
        <f>STATS1003B!AB2756/1000</f>
        <v>0</v>
      </c>
    </row>
    <row r="2749" spans="1:28" hidden="1" x14ac:dyDescent="0.3">
      <c r="A2749" s="117"/>
      <c r="E2749" s="86" t="s">
        <v>29</v>
      </c>
      <c r="F2749" s="86" t="s">
        <v>29</v>
      </c>
      <c r="G2749" s="86" t="s">
        <v>29</v>
      </c>
      <c r="H2749" s="86" t="s">
        <v>29</v>
      </c>
      <c r="I2749" s="86" t="s">
        <v>29</v>
      </c>
      <c r="J2749" s="86" t="s">
        <v>29</v>
      </c>
      <c r="K2749" s="86" t="s">
        <v>29</v>
      </c>
      <c r="L2749" s="86" t="s">
        <v>29</v>
      </c>
      <c r="M2749" s="86" t="s">
        <v>29</v>
      </c>
      <c r="N2749" s="86" t="s">
        <v>29</v>
      </c>
      <c r="O2749" s="86" t="s">
        <v>29</v>
      </c>
      <c r="P2749" s="86" t="s">
        <v>29</v>
      </c>
      <c r="Q2749" s="86" t="s">
        <v>29</v>
      </c>
      <c r="R2749" s="86" t="s">
        <v>29</v>
      </c>
      <c r="S2749" s="86" t="s">
        <v>29</v>
      </c>
      <c r="T2749" s="86" t="s">
        <v>29</v>
      </c>
      <c r="U2749" s="86" t="s">
        <v>29</v>
      </c>
      <c r="V2749" s="86" t="s">
        <v>29</v>
      </c>
      <c r="W2749" s="86" t="s">
        <v>29</v>
      </c>
      <c r="X2749" s="85" t="e">
        <f>+H2749+P2749</f>
        <v>#VALUE!</v>
      </c>
      <c r="Y2749" s="86" t="s">
        <v>29</v>
      </c>
      <c r="Z2749" s="86" t="s">
        <v>29</v>
      </c>
      <c r="AA2749" s="115" t="s">
        <v>29</v>
      </c>
      <c r="AB2749" s="115" t="s">
        <v>29</v>
      </c>
    </row>
    <row r="2750" spans="1:28" x14ac:dyDescent="0.3">
      <c r="A2750" s="116">
        <v>119</v>
      </c>
      <c r="B2750" s="71" t="s">
        <v>479</v>
      </c>
      <c r="E2750" s="85">
        <f>189612826.1/1000</f>
        <v>189612.82610000001</v>
      </c>
      <c r="F2750" s="85">
        <f t="shared" ref="F2750:AB2750" si="298">SUM(F2731:F2748)</f>
        <v>58877.011949999993</v>
      </c>
      <c r="G2750" s="85">
        <f t="shared" si="298"/>
        <v>1652.0658899999999</v>
      </c>
      <c r="H2750" s="85">
        <f>180871079.35/1000</f>
        <v>180871.07934999999</v>
      </c>
      <c r="I2750" s="85">
        <f t="shared" si="298"/>
        <v>1462.4718</v>
      </c>
      <c r="J2750" s="85">
        <f t="shared" si="298"/>
        <v>1462.4718</v>
      </c>
      <c r="K2750" s="85">
        <f t="shared" si="298"/>
        <v>0</v>
      </c>
      <c r="L2750" s="85">
        <f t="shared" si="298"/>
        <v>0</v>
      </c>
      <c r="M2750" s="85">
        <f t="shared" si="298"/>
        <v>60529.077839999991</v>
      </c>
      <c r="N2750" s="85">
        <f t="shared" si="298"/>
        <v>8031.5318900000002</v>
      </c>
      <c r="O2750" s="85">
        <f t="shared" si="298"/>
        <v>0</v>
      </c>
      <c r="P2750" s="85">
        <f>8031531/1000</f>
        <v>8031.5309999999999</v>
      </c>
      <c r="Q2750" s="85">
        <f t="shared" si="298"/>
        <v>185.8767</v>
      </c>
      <c r="R2750" s="85">
        <f t="shared" si="298"/>
        <v>0</v>
      </c>
      <c r="S2750" s="85">
        <f t="shared" si="298"/>
        <v>3.91716</v>
      </c>
      <c r="T2750" s="85">
        <f t="shared" si="298"/>
        <v>189.79386</v>
      </c>
      <c r="U2750" s="85">
        <f t="shared" si="298"/>
        <v>8221.32575</v>
      </c>
      <c r="V2750" s="85">
        <f t="shared" si="298"/>
        <v>64598.50303</v>
      </c>
      <c r="W2750" s="85">
        <f t="shared" si="298"/>
        <v>710.21485999999936</v>
      </c>
      <c r="X2750" s="85">
        <f>+H2750+P2750</f>
        <v>188902.61034999997</v>
      </c>
      <c r="Y2750" s="85">
        <f t="shared" si="298"/>
        <v>0</v>
      </c>
      <c r="Z2750" s="85">
        <f>+E2750-X2750</f>
        <v>710.21575000003213</v>
      </c>
      <c r="AA2750" s="72">
        <f t="shared" si="298"/>
        <v>68750.403589999987</v>
      </c>
      <c r="AB2750" s="72">
        <f t="shared" si="298"/>
        <v>520.42100000000005</v>
      </c>
    </row>
    <row r="2751" spans="1:28" x14ac:dyDescent="0.3">
      <c r="A2751" s="117"/>
      <c r="E2751" s="86"/>
      <c r="F2751" s="86"/>
      <c r="G2751" s="86"/>
      <c r="H2751" s="86"/>
      <c r="I2751" s="86"/>
      <c r="J2751" s="86"/>
      <c r="K2751" s="86"/>
      <c r="L2751" s="86"/>
      <c r="M2751" s="86"/>
      <c r="N2751" s="86"/>
      <c r="O2751" s="86"/>
      <c r="P2751" s="86"/>
      <c r="Q2751" s="86"/>
      <c r="R2751" s="86"/>
      <c r="S2751" s="86"/>
      <c r="T2751" s="86"/>
      <c r="U2751" s="86"/>
      <c r="V2751" s="86"/>
      <c r="W2751" s="86"/>
      <c r="X2751" s="86"/>
      <c r="Y2751" s="86"/>
      <c r="Z2751" s="86"/>
      <c r="AA2751" s="115" t="s">
        <v>29</v>
      </c>
      <c r="AB2751" s="115" t="s">
        <v>29</v>
      </c>
    </row>
    <row r="2752" spans="1:28" s="106" customFormat="1" x14ac:dyDescent="0.3">
      <c r="A2752" s="64"/>
      <c r="B2752" s="8"/>
      <c r="C2752" s="7" t="s">
        <v>3</v>
      </c>
      <c r="D2752" s="8"/>
      <c r="E2752" s="82">
        <f t="shared" ref="E2752:AB2752" si="299">E2750+E2728+E2704+E2683</f>
        <v>694833.52075000003</v>
      </c>
      <c r="F2752" s="82">
        <f t="shared" si="299"/>
        <v>219218.96695999999</v>
      </c>
      <c r="G2752" s="82">
        <f t="shared" si="299"/>
        <v>1652.0658899999999</v>
      </c>
      <c r="H2752" s="82">
        <f t="shared" si="299"/>
        <v>665418.67330000002</v>
      </c>
      <c r="I2752" s="82">
        <f t="shared" si="299"/>
        <v>1462.4718</v>
      </c>
      <c r="J2752" s="82">
        <f t="shared" si="299"/>
        <v>1462.4718</v>
      </c>
      <c r="K2752" s="82">
        <f t="shared" si="299"/>
        <v>0</v>
      </c>
      <c r="L2752" s="82">
        <f t="shared" si="299"/>
        <v>0</v>
      </c>
      <c r="M2752" s="82">
        <f t="shared" si="299"/>
        <v>220871.03284999999</v>
      </c>
      <c r="N2752" s="82">
        <f t="shared" si="299"/>
        <v>27903.125039999999</v>
      </c>
      <c r="O2752" s="82">
        <f t="shared" si="299"/>
        <v>0</v>
      </c>
      <c r="P2752" s="82">
        <f t="shared" si="299"/>
        <v>27903.123</v>
      </c>
      <c r="Q2752" s="82">
        <f t="shared" si="299"/>
        <v>229.30132</v>
      </c>
      <c r="R2752" s="82">
        <f t="shared" si="299"/>
        <v>0</v>
      </c>
      <c r="S2752" s="82">
        <f t="shared" si="299"/>
        <v>3.91716</v>
      </c>
      <c r="T2752" s="82">
        <f t="shared" si="299"/>
        <v>191.30141</v>
      </c>
      <c r="U2752" s="82">
        <f t="shared" si="299"/>
        <v>28094.426449999999</v>
      </c>
      <c r="V2752" s="82">
        <f t="shared" si="299"/>
        <v>193745.60287</v>
      </c>
      <c r="W2752" s="82">
        <f t="shared" si="299"/>
        <v>1511.7224099999996</v>
      </c>
      <c r="X2752" s="82">
        <f t="shared" si="299"/>
        <v>693321.79630000005</v>
      </c>
      <c r="Y2752" s="82">
        <f t="shared" si="299"/>
        <v>0</v>
      </c>
      <c r="Z2752" s="82">
        <f t="shared" si="299"/>
        <v>1511.7244500000816</v>
      </c>
      <c r="AA2752" s="9">
        <f t="shared" si="299"/>
        <v>248965.45930000002</v>
      </c>
      <c r="AB2752" s="9">
        <f t="shared" si="299"/>
        <v>1320.421</v>
      </c>
    </row>
    <row r="2753" spans="1:31" x14ac:dyDescent="0.3">
      <c r="A2753" s="73"/>
      <c r="E2753" s="127"/>
      <c r="F2753" s="127"/>
      <c r="G2753" s="127"/>
      <c r="H2753" s="127"/>
      <c r="I2753" s="127"/>
      <c r="J2753" s="127"/>
      <c r="K2753" s="127"/>
      <c r="L2753" s="127"/>
      <c r="M2753" s="127"/>
      <c r="N2753" s="127"/>
      <c r="O2753" s="127"/>
      <c r="P2753" s="127"/>
      <c r="Q2753" s="127"/>
      <c r="R2753" s="127"/>
      <c r="S2753" s="127"/>
      <c r="T2753" s="127"/>
      <c r="U2753" s="127"/>
      <c r="V2753" s="127"/>
      <c r="W2753" s="127"/>
      <c r="X2753" s="127"/>
      <c r="Y2753" s="86"/>
      <c r="Z2753" s="127"/>
      <c r="AA2753" s="115" t="s">
        <v>114</v>
      </c>
      <c r="AB2753" s="115" t="s">
        <v>114</v>
      </c>
    </row>
    <row r="2754" spans="1:31" x14ac:dyDescent="0.3">
      <c r="A2754" s="73"/>
      <c r="E2754" s="84"/>
      <c r="F2754" s="84"/>
      <c r="G2754" s="84"/>
      <c r="H2754" s="84"/>
      <c r="I2754" s="84"/>
      <c r="J2754" s="84"/>
      <c r="K2754" s="84"/>
      <c r="L2754" s="84"/>
      <c r="M2754" s="84"/>
      <c r="N2754" s="84"/>
      <c r="O2754" s="84"/>
      <c r="P2754" s="84"/>
      <c r="Q2754" s="84"/>
      <c r="R2754" s="84"/>
      <c r="S2754" s="84"/>
      <c r="T2754" s="84"/>
      <c r="U2754" s="84"/>
      <c r="V2754" s="84"/>
      <c r="W2754" s="84"/>
      <c r="X2754" s="84"/>
      <c r="Y2754" s="84"/>
      <c r="Z2754" s="84"/>
    </row>
    <row r="2755" spans="1:31" ht="21" thickBot="1" x14ac:dyDescent="0.35">
      <c r="A2755" s="73"/>
      <c r="C2755" s="7" t="s">
        <v>487</v>
      </c>
      <c r="D2755" s="8"/>
      <c r="E2755" s="102">
        <f>E132+E237+E421+E640+E961+E1190+E1543+E1739+E1969+E2081+E2294+E2448+E2567+E2660+E2752</f>
        <v>16590362.164039996</v>
      </c>
      <c r="F2755" s="102">
        <f t="shared" ref="F2755:W2755" si="300">F132+F237+F421+F640+F961+F1190+F1543+F1739+F1969+F2081+F2294+F2448+F2567+F2660+F2752</f>
        <v>5486815.1096679987</v>
      </c>
      <c r="G2755" s="102">
        <f t="shared" si="300"/>
        <v>107946.47616000001</v>
      </c>
      <c r="H2755" s="102">
        <f>H132+H237+H421+H640+H961+H1190+H1543+H1739+H1969+H2081+H2294+H2448+H2567+H2660+H2752</f>
        <v>15681372.507200001</v>
      </c>
      <c r="I2755" s="102" t="e">
        <f t="shared" si="300"/>
        <v>#VALUE!</v>
      </c>
      <c r="J2755" s="102">
        <f t="shared" si="300"/>
        <v>2292650.9161430001</v>
      </c>
      <c r="K2755" s="102">
        <f t="shared" si="300"/>
        <v>410207.27788000007</v>
      </c>
      <c r="L2755" s="102">
        <f t="shared" si="300"/>
        <v>30674.586769999998</v>
      </c>
      <c r="M2755" s="102">
        <f t="shared" si="300"/>
        <v>5625436.1725979997</v>
      </c>
      <c r="N2755" s="102">
        <f t="shared" si="300"/>
        <v>721775.5228299998</v>
      </c>
      <c r="O2755" s="102">
        <f t="shared" si="300"/>
        <v>0</v>
      </c>
      <c r="P2755" s="102">
        <f t="shared" si="300"/>
        <v>721775.49768000003</v>
      </c>
      <c r="Q2755" s="102">
        <f t="shared" si="300"/>
        <v>1962986.8315800002</v>
      </c>
      <c r="R2755" s="102">
        <f t="shared" si="300"/>
        <v>-63832.158810000008</v>
      </c>
      <c r="S2755" s="102">
        <f t="shared" si="300"/>
        <v>125.80633</v>
      </c>
      <c r="T2755" s="102">
        <f t="shared" si="300"/>
        <v>14597.769369999998</v>
      </c>
      <c r="U2755" s="102">
        <f t="shared" si="300"/>
        <v>736373.29168999998</v>
      </c>
      <c r="V2755" s="102">
        <f t="shared" si="300"/>
        <v>4350675.9088479998</v>
      </c>
      <c r="W2755" s="102">
        <f t="shared" si="300"/>
        <v>174011.75282199995</v>
      </c>
      <c r="X2755" s="102">
        <f>+H2755+P2755</f>
        <v>16403148.00488</v>
      </c>
      <c r="Y2755" s="103"/>
      <c r="Z2755" s="102">
        <f>+E2755-X2755</f>
        <v>187214.15915999562</v>
      </c>
      <c r="AA2755" s="6">
        <f>+M2755+U2755</f>
        <v>6361809.464288</v>
      </c>
      <c r="AB2755" s="6">
        <f>+E2755-AA2755</f>
        <v>10228552.699751996</v>
      </c>
    </row>
    <row r="2756" spans="1:31" ht="21" thickTop="1" x14ac:dyDescent="0.3">
      <c r="A2756" s="73"/>
      <c r="E2756" s="128"/>
      <c r="F2756" s="128"/>
      <c r="G2756" s="128"/>
      <c r="H2756" s="128"/>
      <c r="I2756" s="128"/>
      <c r="J2756" s="128"/>
      <c r="K2756" s="128"/>
      <c r="L2756" s="128"/>
      <c r="M2756" s="128"/>
      <c r="N2756" s="128"/>
      <c r="O2756" s="128"/>
      <c r="P2756" s="128"/>
      <c r="Q2756" s="128"/>
      <c r="R2756" s="128"/>
      <c r="S2756" s="128"/>
      <c r="T2756" s="128"/>
      <c r="U2756" s="128"/>
      <c r="V2756" s="128"/>
      <c r="W2756" s="128"/>
      <c r="X2756" s="128"/>
      <c r="Y2756" s="128"/>
      <c r="Z2756" s="128"/>
      <c r="AA2756" s="115"/>
      <c r="AB2756" s="115"/>
    </row>
    <row r="2757" spans="1:31" x14ac:dyDescent="0.3">
      <c r="A2757" s="73"/>
      <c r="E2757" s="84"/>
      <c r="F2757" s="94"/>
      <c r="G2757" s="129"/>
      <c r="H2757" s="130"/>
      <c r="I2757" s="92"/>
      <c r="J2757" s="92"/>
      <c r="K2757" s="92"/>
      <c r="L2757" s="92"/>
      <c r="M2757" s="92"/>
      <c r="N2757" s="92"/>
      <c r="O2757" s="131"/>
      <c r="P2757" s="130"/>
      <c r="Q2757" s="92"/>
      <c r="R2757" s="92"/>
      <c r="S2757" s="92"/>
      <c r="T2757" s="92"/>
      <c r="U2757" s="92"/>
      <c r="V2757" s="92"/>
      <c r="W2757" s="92"/>
      <c r="X2757" s="85"/>
      <c r="Y2757" s="84"/>
      <c r="Z2757" s="85"/>
      <c r="AA2757" s="118"/>
    </row>
    <row r="2758" spans="1:31" x14ac:dyDescent="0.3">
      <c r="A2758" s="73"/>
      <c r="E2758" s="84"/>
      <c r="F2758" s="94"/>
      <c r="G2758" s="132"/>
      <c r="H2758" s="130"/>
      <c r="I2758" s="92"/>
      <c r="J2758" s="92"/>
      <c r="K2758" s="92"/>
      <c r="L2758" s="92"/>
      <c r="M2758" s="92"/>
      <c r="N2758" s="92"/>
      <c r="O2758" s="133"/>
      <c r="P2758" s="130"/>
      <c r="Q2758" s="92"/>
      <c r="R2758" s="92"/>
      <c r="S2758" s="92"/>
      <c r="T2758" s="134"/>
      <c r="U2758" s="92"/>
      <c r="V2758" s="92"/>
      <c r="W2758" s="92"/>
      <c r="X2758" s="85"/>
      <c r="Y2758" s="84"/>
      <c r="Z2758" s="85"/>
    </row>
    <row r="2759" spans="1:31" x14ac:dyDescent="0.3">
      <c r="A2759" s="73"/>
      <c r="E2759" s="84"/>
      <c r="F2759" s="94"/>
      <c r="G2759" s="135"/>
      <c r="H2759" s="136"/>
      <c r="I2759" s="92"/>
      <c r="J2759" s="92"/>
      <c r="K2759" s="92"/>
      <c r="L2759" s="92"/>
      <c r="M2759" s="92"/>
      <c r="N2759" s="92"/>
      <c r="O2759" s="137"/>
      <c r="P2759" s="92"/>
      <c r="Q2759" s="92"/>
      <c r="R2759" s="92"/>
      <c r="S2759" s="92"/>
      <c r="T2759" s="92"/>
      <c r="U2759" s="92"/>
      <c r="V2759" s="92"/>
      <c r="W2759" s="92"/>
      <c r="X2759" s="85"/>
      <c r="Y2759" s="84"/>
      <c r="Z2759" s="85"/>
      <c r="AE2759" s="107">
        <v>0</v>
      </c>
    </row>
    <row r="2760" spans="1:31" x14ac:dyDescent="0.3">
      <c r="A2760" s="73"/>
      <c r="E2760" s="84"/>
      <c r="F2760" s="94"/>
      <c r="G2760" s="92"/>
      <c r="H2760" s="92"/>
      <c r="I2760" s="92"/>
      <c r="J2760" s="92"/>
      <c r="K2760" s="92"/>
      <c r="L2760" s="92"/>
      <c r="M2760" s="92"/>
      <c r="N2760" s="92"/>
      <c r="O2760" s="92"/>
      <c r="P2760" s="92"/>
      <c r="Q2760" s="92"/>
      <c r="R2760" s="92"/>
      <c r="S2760" s="92"/>
      <c r="T2760" s="92"/>
      <c r="U2760" s="92"/>
      <c r="V2760" s="92"/>
      <c r="W2760" s="92"/>
      <c r="X2760" s="85"/>
      <c r="Y2760" s="84"/>
      <c r="Z2760" s="85"/>
    </row>
    <row r="2761" spans="1:31" x14ac:dyDescent="0.3">
      <c r="A2761" s="73"/>
      <c r="E2761" s="84"/>
      <c r="F2761" s="94"/>
      <c r="G2761" s="92"/>
      <c r="H2761" s="92"/>
      <c r="I2761" s="92"/>
      <c r="J2761" s="92"/>
      <c r="K2761" s="92"/>
      <c r="L2761" s="92"/>
      <c r="M2761" s="92"/>
      <c r="N2761" s="92"/>
      <c r="O2761" s="92"/>
      <c r="P2761" s="92"/>
      <c r="Q2761" s="92"/>
      <c r="R2761" s="92"/>
      <c r="S2761" s="92"/>
      <c r="T2761" s="92"/>
      <c r="U2761" s="92"/>
      <c r="V2761" s="92"/>
      <c r="W2761" s="92"/>
      <c r="X2761" s="85"/>
      <c r="Y2761" s="84"/>
      <c r="Z2761" s="85"/>
    </row>
    <row r="2762" spans="1:31" x14ac:dyDescent="0.3">
      <c r="A2762" s="73"/>
      <c r="E2762" s="84"/>
      <c r="F2762" s="84"/>
      <c r="G2762" s="84"/>
      <c r="H2762" s="84"/>
      <c r="I2762" s="84"/>
      <c r="J2762" s="84"/>
      <c r="K2762" s="84"/>
      <c r="L2762" s="84"/>
      <c r="M2762" s="84"/>
      <c r="N2762" s="84"/>
      <c r="O2762" s="84"/>
      <c r="P2762" s="84"/>
      <c r="Q2762" s="84"/>
      <c r="R2762" s="84"/>
      <c r="S2762" s="84"/>
      <c r="T2762" s="84"/>
      <c r="U2762" s="84"/>
      <c r="V2762" s="84"/>
      <c r="W2762" s="84"/>
      <c r="X2762" s="84"/>
      <c r="Y2762" s="84"/>
      <c r="Z2762" s="84"/>
    </row>
    <row r="2763" spans="1:31" x14ac:dyDescent="0.3">
      <c r="A2763" s="73"/>
      <c r="E2763" s="84"/>
      <c r="F2763" s="84"/>
      <c r="G2763" s="84"/>
      <c r="H2763" s="84"/>
      <c r="I2763" s="84"/>
      <c r="J2763" s="84"/>
      <c r="K2763" s="84"/>
      <c r="L2763" s="84"/>
      <c r="M2763" s="84"/>
      <c r="N2763" s="84"/>
      <c r="O2763" s="84"/>
      <c r="P2763" s="84"/>
      <c r="Q2763" s="84"/>
      <c r="R2763" s="84"/>
      <c r="S2763" s="84"/>
      <c r="T2763" s="84"/>
      <c r="U2763" s="84"/>
      <c r="V2763" s="84"/>
      <c r="W2763" s="84"/>
      <c r="X2763" s="84"/>
      <c r="Y2763" s="84"/>
      <c r="Z2763" s="84"/>
    </row>
    <row r="2764" spans="1:31" x14ac:dyDescent="0.3">
      <c r="A2764" s="73"/>
      <c r="B2764" s="68" t="s">
        <v>1071</v>
      </c>
      <c r="E2764" s="84"/>
      <c r="F2764" s="84"/>
      <c r="G2764" s="84"/>
      <c r="H2764" s="84"/>
      <c r="I2764" s="84"/>
      <c r="J2764" s="84"/>
      <c r="K2764" s="84"/>
      <c r="L2764" s="84"/>
      <c r="M2764" s="84"/>
      <c r="N2764" s="84"/>
      <c r="O2764" s="84"/>
      <c r="P2764" s="84"/>
      <c r="Q2764" s="84"/>
      <c r="R2764" s="84"/>
      <c r="S2764" s="84"/>
      <c r="T2764" s="84"/>
      <c r="U2764" s="84"/>
      <c r="V2764" s="84"/>
      <c r="W2764" s="84"/>
      <c r="X2764" s="84"/>
      <c r="Y2764" s="84"/>
      <c r="Z2764" s="84"/>
    </row>
    <row r="2765" spans="1:31" x14ac:dyDescent="0.3">
      <c r="A2765" s="73"/>
      <c r="B2765" s="71" t="str">
        <f>+B3</f>
        <v>as</v>
      </c>
      <c r="C2765" s="6" t="str">
        <f>+C3</f>
        <v>of January 31, 2013</v>
      </c>
      <c r="E2765" s="84"/>
      <c r="F2765" s="84"/>
      <c r="G2765" s="84"/>
      <c r="H2765" s="84"/>
      <c r="I2765" s="84"/>
      <c r="J2765" s="84"/>
      <c r="K2765" s="84"/>
      <c r="L2765" s="84"/>
      <c r="M2765" s="84"/>
      <c r="N2765" s="84"/>
      <c r="O2765" s="84"/>
      <c r="P2765" s="84"/>
      <c r="Q2765" s="84"/>
      <c r="R2765" s="84"/>
      <c r="S2765" s="84"/>
      <c r="T2765" s="84"/>
      <c r="U2765" s="84"/>
      <c r="V2765" s="84"/>
      <c r="W2765" s="84"/>
      <c r="X2765" s="84"/>
      <c r="Y2765" s="84"/>
      <c r="Z2765" s="84"/>
    </row>
    <row r="2766" spans="1:31" x14ac:dyDescent="0.3">
      <c r="A2766" s="73"/>
      <c r="D2766" s="69"/>
      <c r="G2766" s="87" t="s">
        <v>1</v>
      </c>
      <c r="H2766" s="69"/>
      <c r="I2766" s="87" t="s">
        <v>2</v>
      </c>
      <c r="K2766" s="87" t="s">
        <v>2</v>
      </c>
      <c r="L2766" s="87" t="s">
        <v>3</v>
      </c>
      <c r="M2766" s="87" t="s">
        <v>3</v>
      </c>
      <c r="O2766" s="87" t="s">
        <v>4</v>
      </c>
      <c r="P2766" s="69"/>
      <c r="S2766" s="87" t="s">
        <v>2</v>
      </c>
      <c r="T2766" s="87" t="s">
        <v>3</v>
      </c>
      <c r="U2766" s="87" t="s">
        <v>3</v>
      </c>
      <c r="V2766" s="87" t="s">
        <v>3</v>
      </c>
      <c r="W2766" s="87" t="s">
        <v>5</v>
      </c>
      <c r="X2766" s="107"/>
      <c r="Y2766" s="107"/>
      <c r="Z2766" s="107"/>
      <c r="AA2766" s="108" t="s">
        <v>1109</v>
      </c>
      <c r="AB2766" s="108" t="s">
        <v>5</v>
      </c>
    </row>
    <row r="2767" spans="1:31" x14ac:dyDescent="0.3">
      <c r="A2767" s="73"/>
      <c r="D2767" s="69"/>
      <c r="E2767" s="87" t="s">
        <v>7</v>
      </c>
      <c r="F2767" s="87" t="s">
        <v>8</v>
      </c>
      <c r="G2767" s="87" t="s">
        <v>9</v>
      </c>
      <c r="H2767" s="146" t="s">
        <v>1282</v>
      </c>
      <c r="I2767" s="146"/>
      <c r="J2767" s="146"/>
      <c r="K2767" s="146"/>
      <c r="L2767" s="146"/>
      <c r="M2767" s="146"/>
      <c r="N2767" s="146"/>
      <c r="O2767" s="146"/>
      <c r="P2767" s="146"/>
      <c r="Q2767" s="87" t="s">
        <v>2</v>
      </c>
      <c r="R2767" s="87" t="s">
        <v>11</v>
      </c>
      <c r="S2767" s="87" t="s">
        <v>12</v>
      </c>
      <c r="T2767" s="87" t="s">
        <v>13</v>
      </c>
      <c r="U2767" s="87" t="s">
        <v>13</v>
      </c>
      <c r="V2767" s="87" t="s">
        <v>9</v>
      </c>
      <c r="W2767" s="87" t="s">
        <v>14</v>
      </c>
      <c r="X2767" s="87" t="s">
        <v>3</v>
      </c>
      <c r="Y2767" s="87" t="s">
        <v>2</v>
      </c>
      <c r="Z2767" s="87" t="s">
        <v>5</v>
      </c>
      <c r="AA2767" s="108" t="s">
        <v>9</v>
      </c>
      <c r="AB2767" s="108" t="s">
        <v>14</v>
      </c>
    </row>
    <row r="2768" spans="1:31" x14ac:dyDescent="0.3">
      <c r="A2768" s="73"/>
      <c r="C2768" s="69"/>
      <c r="D2768" s="69"/>
      <c r="E2768" s="109" t="s">
        <v>18</v>
      </c>
      <c r="F2768" s="109" t="s">
        <v>1254</v>
      </c>
      <c r="G2768" s="109" t="s">
        <v>19</v>
      </c>
      <c r="H2768" s="109" t="s">
        <v>1</v>
      </c>
      <c r="I2768" s="109" t="s">
        <v>21</v>
      </c>
      <c r="J2768" s="109" t="s">
        <v>22</v>
      </c>
      <c r="K2768" s="109" t="s">
        <v>21</v>
      </c>
      <c r="L2768" s="109" t="s">
        <v>2</v>
      </c>
      <c r="M2768" s="109" t="s">
        <v>9</v>
      </c>
      <c r="N2768" s="109" t="str">
        <f>+F2768</f>
        <v>AS OF 04/30/06</v>
      </c>
      <c r="O2768" s="109" t="s">
        <v>21</v>
      </c>
      <c r="P2768" s="109" t="s">
        <v>1268</v>
      </c>
      <c r="Q2768" s="109" t="s">
        <v>23</v>
      </c>
      <c r="R2768" s="109" t="s">
        <v>24</v>
      </c>
      <c r="S2768" s="109" t="s">
        <v>21</v>
      </c>
      <c r="T2768" s="109" t="s">
        <v>2</v>
      </c>
      <c r="U2768" s="109" t="s">
        <v>9</v>
      </c>
      <c r="V2768" s="109" t="s">
        <v>25</v>
      </c>
      <c r="W2768" s="110" t="s">
        <v>26</v>
      </c>
      <c r="X2768" s="109" t="s">
        <v>9</v>
      </c>
      <c r="Y2768" s="109" t="s">
        <v>15</v>
      </c>
      <c r="Z2768" s="109" t="s">
        <v>14</v>
      </c>
      <c r="AA2768" s="108" t="s">
        <v>1110</v>
      </c>
      <c r="AB2768" s="108" t="s">
        <v>1110</v>
      </c>
    </row>
    <row r="2769" spans="1:28" x14ac:dyDescent="0.3">
      <c r="A2769" s="73"/>
      <c r="C2769" s="69"/>
      <c r="D2769" s="69"/>
      <c r="E2769" s="130"/>
      <c r="F2769" s="138"/>
      <c r="G2769" s="130"/>
      <c r="H2769" s="138"/>
      <c r="I2769" s="130"/>
      <c r="J2769" s="130"/>
      <c r="K2769" s="130"/>
      <c r="L2769" s="138"/>
      <c r="M2769" s="130"/>
      <c r="N2769" s="86"/>
      <c r="O2769" s="130"/>
      <c r="P2769" s="130"/>
      <c r="Q2769" s="130"/>
      <c r="R2769" s="130"/>
      <c r="S2769" s="130"/>
      <c r="T2769" s="138"/>
      <c r="U2769" s="130"/>
      <c r="V2769" s="130"/>
      <c r="W2769" s="130"/>
      <c r="X2769" s="130"/>
      <c r="Y2769" s="130"/>
      <c r="Z2769" s="130"/>
      <c r="AA2769" s="93" t="s">
        <v>1111</v>
      </c>
      <c r="AB2769" s="68" t="s">
        <v>1112</v>
      </c>
    </row>
    <row r="2770" spans="1:28" x14ac:dyDescent="0.3">
      <c r="A2770" s="73"/>
      <c r="C2770" s="69"/>
      <c r="D2770" s="69"/>
      <c r="E2770" s="130"/>
      <c r="F2770" s="138"/>
      <c r="G2770" s="130"/>
      <c r="H2770" s="138"/>
      <c r="I2770" s="130"/>
      <c r="J2770" s="130"/>
      <c r="K2770" s="130"/>
      <c r="L2770" s="138"/>
      <c r="M2770" s="130"/>
      <c r="N2770" s="86"/>
      <c r="O2770" s="130"/>
      <c r="P2770" s="130"/>
      <c r="Q2770" s="130"/>
      <c r="R2770" s="130"/>
      <c r="S2770" s="130"/>
      <c r="T2770" s="138"/>
      <c r="U2770" s="130"/>
      <c r="V2770" s="130"/>
      <c r="W2770" s="130"/>
      <c r="X2770" s="130"/>
      <c r="Y2770" s="130"/>
      <c r="Z2770" s="130"/>
    </row>
    <row r="2771" spans="1:28" x14ac:dyDescent="0.3">
      <c r="A2771" s="73"/>
      <c r="C2771" s="68" t="s">
        <v>902</v>
      </c>
      <c r="E2771" s="85">
        <f>894329/1000</f>
        <v>894.32899999999995</v>
      </c>
      <c r="F2771" s="85">
        <f>STATS1003B!F2780/1000</f>
        <v>445.822</v>
      </c>
      <c r="G2771" s="85">
        <f>STATS1003B!G2780/1000</f>
        <v>0</v>
      </c>
      <c r="H2771" s="85">
        <f>445822/1000</f>
        <v>445.822</v>
      </c>
      <c r="I2771" s="85" t="e">
        <f>STATS1003B!I2780/1000</f>
        <v>#VALUE!</v>
      </c>
      <c r="J2771" s="85" t="e">
        <f>STATS1003B!J2780/1000</f>
        <v>#VALUE!</v>
      </c>
      <c r="K2771" s="85" t="e">
        <f>STATS1003B!K2780/1000</f>
        <v>#VALUE!</v>
      </c>
      <c r="L2771" s="85">
        <f>STATS1003B!L2780/1000</f>
        <v>0</v>
      </c>
      <c r="M2771" s="85">
        <f>STATS1003B!M2780/1000</f>
        <v>445.822</v>
      </c>
      <c r="N2771" s="85">
        <f>STATS1003B!N2780/1000</f>
        <v>448.50785999999999</v>
      </c>
      <c r="O2771" s="85">
        <f>STATS1003B!O2780/1000</f>
        <v>0</v>
      </c>
      <c r="P2771" s="85">
        <f>448507/1000</f>
        <v>448.50700000000001</v>
      </c>
      <c r="Q2771" s="85" t="e">
        <f>STATS1003B!Q2780/1000</f>
        <v>#VALUE!</v>
      </c>
      <c r="R2771" s="85" t="e">
        <f>STATS1003B!R2780/1000</f>
        <v>#VALUE!</v>
      </c>
      <c r="S2771" s="85" t="e">
        <f>STATS1003B!S2780/1000</f>
        <v>#VALUE!</v>
      </c>
      <c r="T2771" s="85">
        <f>STATS1003B!T2780/1000</f>
        <v>0</v>
      </c>
      <c r="U2771" s="85">
        <f>STATS1003B!U2780/1000</f>
        <v>448.50785999999999</v>
      </c>
      <c r="V2771" s="85" t="e">
        <f>STATS1003B!V2780/1000</f>
        <v>#VALUE!</v>
      </c>
      <c r="W2771" s="85" t="e">
        <f>STATS1003B!W2780/1000</f>
        <v>#VALUE!</v>
      </c>
      <c r="X2771" s="85">
        <f>+H2771+P2771</f>
        <v>894.32899999999995</v>
      </c>
      <c r="Y2771" s="85" t="e">
        <f>STATS1003B!Y2780/1000</f>
        <v>#VALUE!</v>
      </c>
      <c r="Z2771" s="85">
        <f>+E2771-X2771</f>
        <v>0</v>
      </c>
      <c r="AA2771" s="69">
        <f>STATS1003B!AA2780/1000</f>
        <v>894.32985999999994</v>
      </c>
      <c r="AB2771" s="69">
        <f>STATS1003B!AB2780/1000</f>
        <v>0</v>
      </c>
    </row>
    <row r="2772" spans="1:28" x14ac:dyDescent="0.3">
      <c r="A2772" s="73"/>
      <c r="C2772" s="68" t="s">
        <v>913</v>
      </c>
      <c r="E2772" s="85">
        <f>912310/1000</f>
        <v>912.31</v>
      </c>
      <c r="F2772" s="85">
        <f>STATS1003B!F2781/1000</f>
        <v>912.31071999999995</v>
      </c>
      <c r="G2772" s="85">
        <f>STATS1003B!G2781/1000</f>
        <v>0</v>
      </c>
      <c r="H2772" s="85">
        <f>912310/1000</f>
        <v>912.31</v>
      </c>
      <c r="I2772" s="85">
        <f>STATS1003B!I2781/1000</f>
        <v>1029.9882299999999</v>
      </c>
      <c r="J2772" s="85">
        <f>STATS1003B!J2781/1000</f>
        <v>0</v>
      </c>
      <c r="K2772" s="85">
        <f>STATS1003B!K2781/1000</f>
        <v>0</v>
      </c>
      <c r="L2772" s="85">
        <f>STATS1003B!L2781/1000</f>
        <v>0</v>
      </c>
      <c r="M2772" s="85">
        <f>STATS1003B!M2781/1000</f>
        <v>912.31071999999995</v>
      </c>
      <c r="N2772" s="85">
        <f>STATS1003B!N2781/1000</f>
        <v>0</v>
      </c>
      <c r="O2772" s="85">
        <f>STATS1003B!O2781/1000</f>
        <v>0</v>
      </c>
      <c r="P2772" s="85">
        <v>0</v>
      </c>
      <c r="Q2772" s="85">
        <f>STATS1003B!Q2781/1000</f>
        <v>0</v>
      </c>
      <c r="R2772" s="85">
        <f>STATS1003B!R2781/1000</f>
        <v>0</v>
      </c>
      <c r="S2772" s="85">
        <f>STATS1003B!S2781/1000</f>
        <v>0</v>
      </c>
      <c r="T2772" s="85">
        <f>STATS1003B!T2781/1000</f>
        <v>0</v>
      </c>
      <c r="U2772" s="85">
        <f>STATS1003B!U2781/1000</f>
        <v>0</v>
      </c>
      <c r="V2772" s="85">
        <f>STATS1003B!V2781/1000</f>
        <v>4858.6324999999997</v>
      </c>
      <c r="W2772" s="85">
        <f>STATS1003B!W2781/1000</f>
        <v>1029.9882300000004</v>
      </c>
      <c r="X2772" s="85">
        <f>+H2772+P2772</f>
        <v>912.31</v>
      </c>
      <c r="Y2772" s="85">
        <f>STATS1003B!Y2781/1000</f>
        <v>0</v>
      </c>
      <c r="Z2772" s="85">
        <f t="shared" ref="Z2772:Z2860" si="301">+E2772-X2772</f>
        <v>0</v>
      </c>
      <c r="AA2772" s="69">
        <f>STATS1003B!AA2781/1000</f>
        <v>912.31071999999995</v>
      </c>
      <c r="AB2772" s="69">
        <f>STATS1003B!AB2781/1000</f>
        <v>0</v>
      </c>
    </row>
    <row r="2773" spans="1:28" x14ac:dyDescent="0.3">
      <c r="A2773" s="73"/>
      <c r="C2773" s="68" t="s">
        <v>904</v>
      </c>
      <c r="E2773" s="85">
        <f>11233899.52/1000</f>
        <v>11233.899519999999</v>
      </c>
      <c r="F2773" s="85">
        <f>STATS1003B!F2782/1000</f>
        <v>11233.899519999999</v>
      </c>
      <c r="G2773" s="85">
        <f>STATS1003B!G2782/1000</f>
        <v>0</v>
      </c>
      <c r="H2773" s="85">
        <f>11233899/1000</f>
        <v>11233.898999999999</v>
      </c>
      <c r="I2773" s="85">
        <f>STATS1003B!I2782/1000</f>
        <v>22253.398280000001</v>
      </c>
      <c r="J2773" s="85">
        <f>STATS1003B!J2782/1000</f>
        <v>19199.23128</v>
      </c>
      <c r="K2773" s="85">
        <f>STATS1003B!K2782/1000</f>
        <v>0</v>
      </c>
      <c r="L2773" s="85">
        <f>STATS1003B!L2782/1000</f>
        <v>0</v>
      </c>
      <c r="M2773" s="85">
        <f>STATS1003B!M2782/1000</f>
        <v>11233.899519999999</v>
      </c>
      <c r="N2773" s="85">
        <f>STATS1003B!N2782/1000</f>
        <v>0</v>
      </c>
      <c r="O2773" s="85">
        <f>STATS1003B!O2782/1000</f>
        <v>0</v>
      </c>
      <c r="P2773" s="85">
        <v>0</v>
      </c>
      <c r="Q2773" s="85">
        <f>STATS1003B!Q2782/1000</f>
        <v>118.86938000000001</v>
      </c>
      <c r="R2773" s="85">
        <f>STATS1003B!R2782/1000</f>
        <v>0</v>
      </c>
      <c r="S2773" s="85">
        <f>STATS1003B!S2782/1000</f>
        <v>31.498429999999999</v>
      </c>
      <c r="T2773" s="85">
        <f>STATS1003B!T2782/1000</f>
        <v>0</v>
      </c>
      <c r="U2773" s="85">
        <f>STATS1003B!U2782/1000</f>
        <v>0</v>
      </c>
      <c r="V2773" s="85">
        <f>STATS1003B!V2782/1000</f>
        <v>412886.06926000002</v>
      </c>
      <c r="W2773" s="85">
        <f>STATS1003B!W2782/1000</f>
        <v>4980.8702799999992</v>
      </c>
      <c r="X2773" s="85">
        <f t="shared" ref="X2773:X2864" si="302">+H2773+P2773</f>
        <v>11233.898999999999</v>
      </c>
      <c r="Y2773" s="85">
        <f>STATS1003B!Y2782/1000</f>
        <v>0</v>
      </c>
      <c r="Z2773" s="85">
        <f t="shared" si="301"/>
        <v>5.1999999959662091E-4</v>
      </c>
      <c r="AA2773" s="69">
        <f>STATS1003B!AA2782/1000</f>
        <v>11233.899519999999</v>
      </c>
      <c r="AB2773" s="69">
        <f>STATS1003B!AB2782/1000</f>
        <v>0</v>
      </c>
    </row>
    <row r="2774" spans="1:28" x14ac:dyDescent="0.3">
      <c r="A2774" s="73"/>
      <c r="C2774" s="68" t="s">
        <v>907</v>
      </c>
      <c r="E2774" s="85">
        <f>11222285/1000</f>
        <v>11222.285</v>
      </c>
      <c r="F2774" s="85">
        <f>STATS1003B!F2783/1000</f>
        <v>11222.285</v>
      </c>
      <c r="G2774" s="85">
        <f>STATS1003B!G2783/1000</f>
        <v>0</v>
      </c>
      <c r="H2774" s="85">
        <f>11222285/1000</f>
        <v>11222.285</v>
      </c>
      <c r="I2774" s="85">
        <f>STATS1003B!I2783/1000</f>
        <v>0</v>
      </c>
      <c r="J2774" s="85">
        <f>STATS1003B!J2783/1000</f>
        <v>0</v>
      </c>
      <c r="K2774" s="85">
        <f>STATS1003B!K2783/1000</f>
        <v>0</v>
      </c>
      <c r="L2774" s="85">
        <f>STATS1003B!L2783/1000</f>
        <v>0</v>
      </c>
      <c r="M2774" s="85">
        <f>STATS1003B!M2783/1000</f>
        <v>11222.285</v>
      </c>
      <c r="N2774" s="85">
        <f>STATS1003B!N2783/1000</f>
        <v>0</v>
      </c>
      <c r="O2774" s="85">
        <f>STATS1003B!O2783/1000</f>
        <v>0</v>
      </c>
      <c r="P2774" s="85">
        <v>0</v>
      </c>
      <c r="Q2774" s="85">
        <f>STATS1003B!Q2783/1000</f>
        <v>0</v>
      </c>
      <c r="R2774" s="85">
        <f>STATS1003B!R2783/1000</f>
        <v>0</v>
      </c>
      <c r="S2774" s="85">
        <f>STATS1003B!S2783/1000</f>
        <v>0</v>
      </c>
      <c r="T2774" s="85">
        <f>STATS1003B!T2783/1000</f>
        <v>0</v>
      </c>
      <c r="U2774" s="85">
        <f>STATS1003B!U2783/1000</f>
        <v>0</v>
      </c>
      <c r="V2774" s="85">
        <f>STATS1003B!V2783/1000</f>
        <v>1325.24</v>
      </c>
      <c r="W2774" s="85">
        <f>STATS1003B!W2783/1000</f>
        <v>0</v>
      </c>
      <c r="X2774" s="85">
        <f t="shared" si="302"/>
        <v>11222.285</v>
      </c>
      <c r="Y2774" s="85" t="e">
        <f>STATS1003B!Y2783/1000</f>
        <v>#VALUE!</v>
      </c>
      <c r="Z2774" s="85">
        <f t="shared" si="301"/>
        <v>0</v>
      </c>
      <c r="AA2774" s="69">
        <f>STATS1003B!AA2783/1000</f>
        <v>11222.285</v>
      </c>
      <c r="AB2774" s="69">
        <f>STATS1003B!AB2783/1000</f>
        <v>0</v>
      </c>
    </row>
    <row r="2775" spans="1:28" x14ac:dyDescent="0.3">
      <c r="A2775" s="73"/>
      <c r="C2775" s="68" t="s">
        <v>905</v>
      </c>
      <c r="E2775" s="85">
        <f>12329042/1000</f>
        <v>12329.041999999999</v>
      </c>
      <c r="F2775" s="85">
        <f>STATS1003B!F2784/1000</f>
        <v>12329.04227</v>
      </c>
      <c r="G2775" s="85">
        <f>STATS1003B!G2784/1000</f>
        <v>0</v>
      </c>
      <c r="H2775" s="85">
        <f>12329042/1000</f>
        <v>12329.041999999999</v>
      </c>
      <c r="I2775" s="85">
        <f>STATS1003B!I2784/1000</f>
        <v>8199.6710000000003</v>
      </c>
      <c r="J2775" s="85">
        <f>STATS1003B!J2784/1000</f>
        <v>0</v>
      </c>
      <c r="K2775" s="85">
        <f>STATS1003B!K2784/1000</f>
        <v>0</v>
      </c>
      <c r="L2775" s="85">
        <f>STATS1003B!L2784/1000</f>
        <v>0</v>
      </c>
      <c r="M2775" s="85">
        <f>STATS1003B!M2784/1000</f>
        <v>12329.04227</v>
      </c>
      <c r="N2775" s="85">
        <f>STATS1003B!N2784/1000</f>
        <v>0</v>
      </c>
      <c r="O2775" s="85">
        <f>STATS1003B!O2784/1000</f>
        <v>0</v>
      </c>
      <c r="P2775" s="85">
        <v>0</v>
      </c>
      <c r="Q2775" s="85">
        <f>STATS1003B!Q2784/1000</f>
        <v>0</v>
      </c>
      <c r="R2775" s="85">
        <f>STATS1003B!R2784/1000</f>
        <v>0</v>
      </c>
      <c r="S2775" s="85">
        <f>STATS1003B!S2784/1000</f>
        <v>0</v>
      </c>
      <c r="T2775" s="85">
        <f>STATS1003B!T2784/1000</f>
        <v>0</v>
      </c>
      <c r="U2775" s="85">
        <f>STATS1003B!U2784/1000</f>
        <v>0</v>
      </c>
      <c r="V2775" s="85">
        <f>STATS1003B!V2784/1000</f>
        <v>15133.087</v>
      </c>
      <c r="W2775" s="85">
        <f>STATS1003B!W2784/1000</f>
        <v>0</v>
      </c>
      <c r="X2775" s="85">
        <f t="shared" si="302"/>
        <v>12329.041999999999</v>
      </c>
      <c r="Y2775" s="85">
        <f>STATS1003B!Y2784/1000</f>
        <v>0</v>
      </c>
      <c r="Z2775" s="85">
        <f t="shared" si="301"/>
        <v>0</v>
      </c>
      <c r="AA2775" s="69">
        <f>STATS1003B!AA2784/1000</f>
        <v>12329.04227</v>
      </c>
      <c r="AB2775" s="69">
        <f>STATS1003B!AB2784/1000</f>
        <v>0</v>
      </c>
    </row>
    <row r="2776" spans="1:28" x14ac:dyDescent="0.3">
      <c r="A2776" s="73"/>
      <c r="C2776" s="68" t="s">
        <v>1066</v>
      </c>
      <c r="E2776" s="85">
        <f>769000/1000</f>
        <v>769</v>
      </c>
      <c r="F2776" s="85">
        <f>STATS1003B!F2785/1000</f>
        <v>769</v>
      </c>
      <c r="G2776" s="85">
        <f>STATS1003B!G2785/1000</f>
        <v>0</v>
      </c>
      <c r="H2776" s="85">
        <f>769000/1000</f>
        <v>769</v>
      </c>
      <c r="I2776" s="85">
        <f>STATS1003B!I2785/1000</f>
        <v>0</v>
      </c>
      <c r="J2776" s="85">
        <f>STATS1003B!J2785/1000</f>
        <v>0</v>
      </c>
      <c r="K2776" s="85">
        <f>STATS1003B!K2785/1000</f>
        <v>0</v>
      </c>
      <c r="L2776" s="85">
        <f>STATS1003B!L2785/1000</f>
        <v>0</v>
      </c>
      <c r="M2776" s="85">
        <f>STATS1003B!M2785/1000</f>
        <v>769</v>
      </c>
      <c r="N2776" s="85">
        <f>STATS1003B!N2785/1000</f>
        <v>41.917070000000002</v>
      </c>
      <c r="O2776" s="85">
        <f>STATS1003B!O2785/1000</f>
        <v>0</v>
      </c>
      <c r="P2776" s="85">
        <f>41424/1000</f>
        <v>41.423999999999999</v>
      </c>
      <c r="Q2776" s="85">
        <f>STATS1003B!Q2785/1000</f>
        <v>0</v>
      </c>
      <c r="R2776" s="85">
        <f>STATS1003B!R2785/1000</f>
        <v>0</v>
      </c>
      <c r="S2776" s="85">
        <f>STATS1003B!S2785/1000</f>
        <v>0</v>
      </c>
      <c r="T2776" s="85">
        <f>STATS1003B!T2785/1000</f>
        <v>1.5075499999999999</v>
      </c>
      <c r="U2776" s="85">
        <f>STATS1003B!U2785/1000</f>
        <v>43.424620000000004</v>
      </c>
      <c r="V2776" s="85">
        <f>STATS1003B!V2785/1000</f>
        <v>0</v>
      </c>
      <c r="W2776" s="85">
        <f>STATS1003B!W2785/1000</f>
        <v>0</v>
      </c>
      <c r="X2776" s="85">
        <f t="shared" si="302"/>
        <v>810.42399999999998</v>
      </c>
      <c r="Y2776" s="85" t="e">
        <f>STATS1003B!Y2785/1000</f>
        <v>#VALUE!</v>
      </c>
      <c r="Z2776" s="85">
        <f t="shared" si="301"/>
        <v>-41.423999999999978</v>
      </c>
      <c r="AA2776" s="69">
        <f>STATS1003B!AA2785/1000</f>
        <v>812.42462</v>
      </c>
      <c r="AB2776" s="69">
        <f>STATS1003B!AB2785/1000</f>
        <v>-43.424619999999997</v>
      </c>
    </row>
    <row r="2777" spans="1:28" x14ac:dyDescent="0.3">
      <c r="A2777" s="73"/>
      <c r="C2777" s="68" t="s">
        <v>909</v>
      </c>
      <c r="E2777" s="85">
        <f>2308570/1000</f>
        <v>2308.5700000000002</v>
      </c>
      <c r="F2777" s="85">
        <f>STATS1003B!F2786/1000</f>
        <v>2308.5700000000002</v>
      </c>
      <c r="G2777" s="85">
        <f>STATS1003B!G2786/1000</f>
        <v>0</v>
      </c>
      <c r="H2777" s="85">
        <f>2308570/1000</f>
        <v>2308.5700000000002</v>
      </c>
      <c r="I2777" s="85">
        <f>STATS1003B!I2786/1000</f>
        <v>0</v>
      </c>
      <c r="J2777" s="85">
        <f>STATS1003B!J2786/1000</f>
        <v>0</v>
      </c>
      <c r="K2777" s="85">
        <f>STATS1003B!K2786/1000</f>
        <v>0</v>
      </c>
      <c r="L2777" s="85">
        <f>STATS1003B!L2786/1000</f>
        <v>0</v>
      </c>
      <c r="M2777" s="85">
        <f>STATS1003B!M2786/1000</f>
        <v>2308.5700000000002</v>
      </c>
      <c r="N2777" s="85">
        <f>STATS1003B!N2786/1000</f>
        <v>0</v>
      </c>
      <c r="O2777" s="85">
        <f>STATS1003B!O2786/1000</f>
        <v>0</v>
      </c>
      <c r="P2777" s="85">
        <v>0</v>
      </c>
      <c r="Q2777" s="85">
        <f>STATS1003B!Q2786/1000</f>
        <v>0</v>
      </c>
      <c r="R2777" s="85">
        <f>STATS1003B!R2786/1000</f>
        <v>0</v>
      </c>
      <c r="S2777" s="85">
        <f>STATS1003B!S2786/1000</f>
        <v>0</v>
      </c>
      <c r="T2777" s="85">
        <f>STATS1003B!T2786/1000</f>
        <v>0</v>
      </c>
      <c r="U2777" s="85">
        <f>STATS1003B!U2786/1000</f>
        <v>0</v>
      </c>
      <c r="V2777" s="85">
        <f>STATS1003B!V2786/1000</f>
        <v>43652.455679999999</v>
      </c>
      <c r="W2777" s="85">
        <f>STATS1003B!W2786/1000</f>
        <v>148.46</v>
      </c>
      <c r="X2777" s="85">
        <f t="shared" si="302"/>
        <v>2308.5700000000002</v>
      </c>
      <c r="Y2777" s="85">
        <f>STATS1003B!Y2786/1000</f>
        <v>0</v>
      </c>
      <c r="Z2777" s="85">
        <f t="shared" si="301"/>
        <v>0</v>
      </c>
      <c r="AA2777" s="69">
        <f>STATS1003B!AA2786/1000</f>
        <v>2308.5700000000002</v>
      </c>
      <c r="AB2777" s="69">
        <f>STATS1003B!AB2786/1000</f>
        <v>0</v>
      </c>
    </row>
    <row r="2778" spans="1:28" x14ac:dyDescent="0.3">
      <c r="A2778" s="73"/>
      <c r="C2778" s="68" t="s">
        <v>1067</v>
      </c>
      <c r="E2778" s="85">
        <f>569000/1000</f>
        <v>569</v>
      </c>
      <c r="F2778" s="85">
        <f>STATS1003B!F2787/1000</f>
        <v>569</v>
      </c>
      <c r="G2778" s="85">
        <f>STATS1003B!G2787/1000</f>
        <v>0</v>
      </c>
      <c r="H2778" s="85">
        <f>569000/1000</f>
        <v>569</v>
      </c>
      <c r="I2778" s="85">
        <f>STATS1003B!I2787/1000</f>
        <v>0</v>
      </c>
      <c r="J2778" s="85">
        <f>STATS1003B!J2787/1000</f>
        <v>0</v>
      </c>
      <c r="K2778" s="85">
        <f>STATS1003B!K2787/1000</f>
        <v>0</v>
      </c>
      <c r="L2778" s="85">
        <f>STATS1003B!L2787/1000</f>
        <v>0</v>
      </c>
      <c r="M2778" s="85">
        <f>STATS1003B!M2787/1000</f>
        <v>569</v>
      </c>
      <c r="N2778" s="85">
        <f>STATS1003B!N2787/1000</f>
        <v>0</v>
      </c>
      <c r="O2778" s="85">
        <f>STATS1003B!O2787/1000</f>
        <v>0</v>
      </c>
      <c r="P2778" s="85">
        <v>0</v>
      </c>
      <c r="Q2778" s="85">
        <f>STATS1003B!Q2787/1000</f>
        <v>0</v>
      </c>
      <c r="R2778" s="85">
        <f>STATS1003B!R2787/1000</f>
        <v>0</v>
      </c>
      <c r="S2778" s="85">
        <f>STATS1003B!S2787/1000</f>
        <v>0</v>
      </c>
      <c r="T2778" s="85">
        <f>STATS1003B!T2787/1000</f>
        <v>0</v>
      </c>
      <c r="U2778" s="85">
        <f>STATS1003B!U2787/1000</f>
        <v>0</v>
      </c>
      <c r="V2778" s="85" t="e">
        <f>STATS1003B!V2787/1000</f>
        <v>#VALUE!</v>
      </c>
      <c r="W2778" s="85" t="e">
        <f>STATS1003B!W2787/1000</f>
        <v>#VALUE!</v>
      </c>
      <c r="X2778" s="85">
        <f t="shared" si="302"/>
        <v>569</v>
      </c>
      <c r="Y2778" s="85" t="e">
        <f>STATS1003B!Y2787/1000</f>
        <v>#VALUE!</v>
      </c>
      <c r="Z2778" s="85">
        <f t="shared" si="301"/>
        <v>0</v>
      </c>
      <c r="AA2778" s="69">
        <f>STATS1003B!AA2787/1000</f>
        <v>569</v>
      </c>
      <c r="AB2778" s="69">
        <f>STATS1003B!AB2787/1000</f>
        <v>0</v>
      </c>
    </row>
    <row r="2779" spans="1:28" x14ac:dyDescent="0.3">
      <c r="A2779" s="73"/>
      <c r="C2779" s="68" t="s">
        <v>1204</v>
      </c>
      <c r="E2779" s="85">
        <f>4000000/1000</f>
        <v>4000</v>
      </c>
      <c r="F2779" s="85">
        <f>STATS1003B!F2788/1000</f>
        <v>4000</v>
      </c>
      <c r="G2779" s="85">
        <f>STATS1003B!G2788/1000</f>
        <v>0</v>
      </c>
      <c r="H2779" s="85">
        <f>4000000/1000</f>
        <v>4000</v>
      </c>
      <c r="I2779" s="85">
        <f>STATS1003B!I2788/1000</f>
        <v>0</v>
      </c>
      <c r="J2779" s="85">
        <f>STATS1003B!J2788/1000</f>
        <v>0</v>
      </c>
      <c r="K2779" s="85">
        <f>STATS1003B!K2788/1000</f>
        <v>0</v>
      </c>
      <c r="L2779" s="85">
        <f>STATS1003B!L2788/1000</f>
        <v>0</v>
      </c>
      <c r="M2779" s="85">
        <f>STATS1003B!M2788/1000</f>
        <v>4000</v>
      </c>
      <c r="N2779" s="85">
        <f>STATS1003B!N2788/1000</f>
        <v>0</v>
      </c>
      <c r="O2779" s="85">
        <f>STATS1003B!O2788/1000</f>
        <v>0</v>
      </c>
      <c r="P2779" s="85">
        <v>0</v>
      </c>
      <c r="Q2779" s="85">
        <f>STATS1003B!Q2788/1000</f>
        <v>0</v>
      </c>
      <c r="R2779" s="85">
        <f>STATS1003B!R2788/1000</f>
        <v>0</v>
      </c>
      <c r="S2779" s="85">
        <f>STATS1003B!S2788/1000</f>
        <v>0</v>
      </c>
      <c r="T2779" s="85">
        <f>STATS1003B!T2788/1000</f>
        <v>0</v>
      </c>
      <c r="U2779" s="85">
        <f>STATS1003B!U2788/1000</f>
        <v>0</v>
      </c>
      <c r="V2779" s="85">
        <f>STATS1003B!V2788/1000</f>
        <v>0</v>
      </c>
      <c r="W2779" s="85">
        <f>STATS1003B!W2788/1000</f>
        <v>0</v>
      </c>
      <c r="X2779" s="85">
        <f t="shared" si="302"/>
        <v>4000</v>
      </c>
      <c r="Y2779" s="85">
        <f>STATS1003B!Y2788/1000</f>
        <v>0</v>
      </c>
      <c r="Z2779" s="85">
        <f t="shared" si="301"/>
        <v>0</v>
      </c>
      <c r="AA2779" s="69">
        <f>STATS1003B!AA2788/1000</f>
        <v>4000</v>
      </c>
      <c r="AB2779" s="69">
        <f>STATS1003B!AB2788/1000</f>
        <v>0</v>
      </c>
    </row>
    <row r="2780" spans="1:28" x14ac:dyDescent="0.3">
      <c r="A2780" s="73"/>
      <c r="C2780" s="93" t="s">
        <v>879</v>
      </c>
      <c r="E2780" s="85">
        <f>26537555/1000</f>
        <v>26537.555</v>
      </c>
      <c r="F2780" s="85">
        <f>STATS1003B!F2789/1000</f>
        <v>24666.17093</v>
      </c>
      <c r="G2780" s="85">
        <f>STATS1003B!G2789/1000</f>
        <v>0</v>
      </c>
      <c r="H2780" s="85">
        <f>24666170/1000</f>
        <v>24666.17</v>
      </c>
      <c r="I2780" s="85">
        <f>STATS1003B!I2789/1000</f>
        <v>0</v>
      </c>
      <c r="J2780" s="85">
        <f>STATS1003B!J2789/1000</f>
        <v>0</v>
      </c>
      <c r="K2780" s="85">
        <f>STATS1003B!K2789/1000</f>
        <v>0</v>
      </c>
      <c r="L2780" s="85">
        <f>STATS1003B!L2789/1000</f>
        <v>0</v>
      </c>
      <c r="M2780" s="85">
        <f>STATS1003B!M2789/1000</f>
        <v>24666.17093</v>
      </c>
      <c r="N2780" s="85">
        <f>STATS1003B!N2789/1000</f>
        <v>1871.38446</v>
      </c>
      <c r="O2780" s="85">
        <f>STATS1003B!O2789/1000</f>
        <v>0</v>
      </c>
      <c r="P2780" s="85">
        <f>1871384/1000</f>
        <v>1871.384</v>
      </c>
      <c r="Q2780" s="85">
        <f>STATS1003B!Q2789/1000</f>
        <v>0</v>
      </c>
      <c r="R2780" s="85">
        <f>STATS1003B!R2789/1000</f>
        <v>0</v>
      </c>
      <c r="S2780" s="85">
        <f>STATS1003B!S2789/1000</f>
        <v>0</v>
      </c>
      <c r="T2780" s="85">
        <f>STATS1003B!T2789/1000</f>
        <v>0</v>
      </c>
      <c r="U2780" s="85">
        <f>STATS1003B!U2789/1000</f>
        <v>1871.38446</v>
      </c>
      <c r="V2780" s="85">
        <f>STATS1003B!V2789/1000</f>
        <v>0</v>
      </c>
      <c r="W2780" s="85">
        <f>STATS1003B!W2789/1000</f>
        <v>0</v>
      </c>
      <c r="X2780" s="85">
        <f t="shared" si="302"/>
        <v>26537.553999999996</v>
      </c>
      <c r="Y2780" s="85">
        <f>STATS1003B!Y2789/1000</f>
        <v>0</v>
      </c>
      <c r="Z2780" s="85">
        <f t="shared" si="301"/>
        <v>1.0000000038417056E-3</v>
      </c>
      <c r="AA2780" s="69">
        <f>STATS1003B!AA2789/1000</f>
        <v>26537.555390000001</v>
      </c>
      <c r="AB2780" s="69">
        <f>STATS1003B!AB2789/1000</f>
        <v>0</v>
      </c>
    </row>
    <row r="2781" spans="1:28" x14ac:dyDescent="0.3">
      <c r="A2781" s="73"/>
      <c r="C2781" s="68" t="s">
        <v>890</v>
      </c>
      <c r="D2781" s="69"/>
      <c r="E2781" s="85">
        <f>19409000/1000</f>
        <v>19409</v>
      </c>
      <c r="F2781" s="85">
        <f>STATS1003B!F2790/1000</f>
        <v>19409.502140000001</v>
      </c>
      <c r="G2781" s="85">
        <f>STATS1003B!G2790/1000</f>
        <v>0</v>
      </c>
      <c r="H2781" s="85">
        <f>19409000/1000</f>
        <v>19409</v>
      </c>
      <c r="I2781" s="85">
        <f>STATS1003B!I2790/1000</f>
        <v>0</v>
      </c>
      <c r="J2781" s="85">
        <f>STATS1003B!J2790/1000</f>
        <v>0</v>
      </c>
      <c r="K2781" s="85">
        <f>STATS1003B!K2790/1000</f>
        <v>0</v>
      </c>
      <c r="L2781" s="85">
        <f>STATS1003B!L2790/1000</f>
        <v>0</v>
      </c>
      <c r="M2781" s="85">
        <f>STATS1003B!M2790/1000</f>
        <v>19409.502140000001</v>
      </c>
      <c r="N2781" s="85">
        <f>STATS1003B!N2790/1000</f>
        <v>0</v>
      </c>
      <c r="O2781" s="85">
        <f>STATS1003B!O2790/1000</f>
        <v>0</v>
      </c>
      <c r="P2781" s="85">
        <v>0</v>
      </c>
      <c r="Q2781" s="85">
        <f>STATS1003B!Q2790/1000</f>
        <v>0</v>
      </c>
      <c r="R2781" s="85">
        <f>STATS1003B!R2790/1000</f>
        <v>0</v>
      </c>
      <c r="S2781" s="85">
        <f>STATS1003B!S2790/1000</f>
        <v>0</v>
      </c>
      <c r="T2781" s="85">
        <f>STATS1003B!T2790/1000</f>
        <v>0</v>
      </c>
      <c r="U2781" s="85">
        <f>STATS1003B!U2790/1000</f>
        <v>0</v>
      </c>
      <c r="V2781" s="85">
        <f>STATS1003B!V2790/1000</f>
        <v>18983.300600000002</v>
      </c>
      <c r="W2781" s="85">
        <f>STATS1003B!W2790/1000</f>
        <v>0</v>
      </c>
      <c r="X2781" s="85">
        <f t="shared" si="302"/>
        <v>19409</v>
      </c>
      <c r="Y2781" s="85">
        <f>STATS1003B!Y2790/1000</f>
        <v>0</v>
      </c>
      <c r="Z2781" s="85">
        <f t="shared" si="301"/>
        <v>0</v>
      </c>
      <c r="AA2781" s="69">
        <f>STATS1003B!AA2790/1000</f>
        <v>19409.502140000001</v>
      </c>
      <c r="AB2781" s="69">
        <f>STATS1003B!AB2790/1000</f>
        <v>0</v>
      </c>
    </row>
    <row r="2782" spans="1:28" x14ac:dyDescent="0.3">
      <c r="A2782" s="73"/>
      <c r="C2782" s="68" t="s">
        <v>891</v>
      </c>
      <c r="D2782" s="69"/>
      <c r="E2782" s="85">
        <f>12758407/1000</f>
        <v>12758.406999999999</v>
      </c>
      <c r="F2782" s="85">
        <f>STATS1003B!F2791/1000</f>
        <v>12758.406999999999</v>
      </c>
      <c r="G2782" s="85">
        <f>STATS1003B!G2791/1000</f>
        <v>0</v>
      </c>
      <c r="H2782" s="85">
        <f>12758407/1000</f>
        <v>12758.406999999999</v>
      </c>
      <c r="I2782" s="85">
        <f>STATS1003B!I2791/1000</f>
        <v>0</v>
      </c>
      <c r="J2782" s="85">
        <f>STATS1003B!J2791/1000</f>
        <v>0</v>
      </c>
      <c r="K2782" s="85">
        <f>STATS1003B!K2791/1000</f>
        <v>0</v>
      </c>
      <c r="L2782" s="85">
        <f>STATS1003B!L2791/1000</f>
        <v>0</v>
      </c>
      <c r="M2782" s="85">
        <f>STATS1003B!M2791/1000</f>
        <v>12758.406999999999</v>
      </c>
      <c r="N2782" s="85">
        <f>STATS1003B!N2791/1000</f>
        <v>0</v>
      </c>
      <c r="O2782" s="85">
        <f>STATS1003B!O2791/1000</f>
        <v>0</v>
      </c>
      <c r="P2782" s="85">
        <v>0</v>
      </c>
      <c r="Q2782" s="85">
        <f>STATS1003B!Q2791/1000</f>
        <v>0</v>
      </c>
      <c r="R2782" s="85">
        <f>STATS1003B!R2791/1000</f>
        <v>0</v>
      </c>
      <c r="S2782" s="85">
        <f>STATS1003B!S2791/1000</f>
        <v>0</v>
      </c>
      <c r="T2782" s="85">
        <f>STATS1003B!T2791/1000</f>
        <v>0</v>
      </c>
      <c r="U2782" s="85">
        <f>STATS1003B!U2791/1000</f>
        <v>0</v>
      </c>
      <c r="V2782" s="85">
        <f>STATS1003B!V2791/1000</f>
        <v>0</v>
      </c>
      <c r="W2782" s="85">
        <f>STATS1003B!W2791/1000</f>
        <v>0</v>
      </c>
      <c r="X2782" s="85">
        <f t="shared" si="302"/>
        <v>12758.406999999999</v>
      </c>
      <c r="Y2782" s="85">
        <f>STATS1003B!Y2791/1000</f>
        <v>0</v>
      </c>
      <c r="Z2782" s="85">
        <f t="shared" si="301"/>
        <v>0</v>
      </c>
      <c r="AA2782" s="69">
        <f>STATS1003B!AA2791/1000</f>
        <v>12758.406999999999</v>
      </c>
      <c r="AB2782" s="69">
        <f>STATS1003B!AB2791/1000</f>
        <v>0</v>
      </c>
    </row>
    <row r="2783" spans="1:28" x14ac:dyDescent="0.3">
      <c r="A2783" s="73"/>
      <c r="C2783" s="68" t="s">
        <v>892</v>
      </c>
      <c r="E2783" s="85">
        <f>2564939/1000</f>
        <v>2564.9389999999999</v>
      </c>
      <c r="F2783" s="85">
        <f>STATS1003B!F2792/1000</f>
        <v>2564.9389999999999</v>
      </c>
      <c r="G2783" s="85">
        <f>STATS1003B!G2792/1000</f>
        <v>0</v>
      </c>
      <c r="H2783" s="85">
        <f>2564939/1000</f>
        <v>2564.9389999999999</v>
      </c>
      <c r="I2783" s="85">
        <f>STATS1003B!I2792/1000</f>
        <v>0</v>
      </c>
      <c r="J2783" s="85">
        <f>STATS1003B!J2792/1000</f>
        <v>0</v>
      </c>
      <c r="K2783" s="85">
        <f>STATS1003B!K2792/1000</f>
        <v>0</v>
      </c>
      <c r="L2783" s="85">
        <f>STATS1003B!L2792/1000</f>
        <v>0</v>
      </c>
      <c r="M2783" s="85">
        <f>STATS1003B!M2792/1000</f>
        <v>2564.9389999999999</v>
      </c>
      <c r="N2783" s="85">
        <f>STATS1003B!N2792/1000</f>
        <v>0</v>
      </c>
      <c r="O2783" s="85">
        <f>STATS1003B!O2792/1000</f>
        <v>0</v>
      </c>
      <c r="P2783" s="85">
        <v>0</v>
      </c>
      <c r="Q2783" s="85">
        <f>STATS1003B!Q2792/1000</f>
        <v>0</v>
      </c>
      <c r="R2783" s="85">
        <f>STATS1003B!R2792/1000</f>
        <v>0</v>
      </c>
      <c r="S2783" s="85">
        <f>STATS1003B!S2792/1000</f>
        <v>0</v>
      </c>
      <c r="T2783" s="85">
        <f>STATS1003B!T2792/1000</f>
        <v>0</v>
      </c>
      <c r="U2783" s="85">
        <f>STATS1003B!U2792/1000</f>
        <v>0</v>
      </c>
      <c r="V2783" s="85">
        <f>STATS1003B!V2792/1000</f>
        <v>0</v>
      </c>
      <c r="W2783" s="85">
        <f>STATS1003B!W2792/1000</f>
        <v>0</v>
      </c>
      <c r="X2783" s="85">
        <f t="shared" si="302"/>
        <v>2564.9389999999999</v>
      </c>
      <c r="Y2783" s="85">
        <f>STATS1003B!Y2792/1000</f>
        <v>0</v>
      </c>
      <c r="Z2783" s="85">
        <f t="shared" si="301"/>
        <v>0</v>
      </c>
      <c r="AA2783" s="69">
        <f>STATS1003B!AA2792/1000</f>
        <v>2564.9389999999999</v>
      </c>
      <c r="AB2783" s="69">
        <f>STATS1003B!AB2792/1000</f>
        <v>0</v>
      </c>
    </row>
    <row r="2784" spans="1:28" x14ac:dyDescent="0.3">
      <c r="A2784" s="73"/>
      <c r="C2784" s="68" t="s">
        <v>878</v>
      </c>
      <c r="E2784" s="85">
        <f>22708607/1000</f>
        <v>22708.607</v>
      </c>
      <c r="F2784" s="85">
        <f>STATS1003B!F2793/1000</f>
        <v>22708.607899999999</v>
      </c>
      <c r="G2784" s="85">
        <f>STATS1003B!G2793/1000</f>
        <v>0</v>
      </c>
      <c r="H2784" s="85">
        <f>22708607/1000</f>
        <v>22708.607</v>
      </c>
      <c r="I2784" s="85">
        <f>STATS1003B!I2793/1000</f>
        <v>0</v>
      </c>
      <c r="J2784" s="85">
        <f>STATS1003B!J2793/1000</f>
        <v>2957.2179999999998</v>
      </c>
      <c r="K2784" s="85">
        <f>STATS1003B!K2793/1000</f>
        <v>0</v>
      </c>
      <c r="L2784" s="85">
        <f>STATS1003B!L2793/1000</f>
        <v>0</v>
      </c>
      <c r="M2784" s="85">
        <f>STATS1003B!M2793/1000</f>
        <v>22708.607899999999</v>
      </c>
      <c r="N2784" s="85">
        <f>STATS1003B!N2793/1000</f>
        <v>0</v>
      </c>
      <c r="O2784" s="85">
        <f>STATS1003B!O2793/1000</f>
        <v>0</v>
      </c>
      <c r="P2784" s="85">
        <v>0</v>
      </c>
      <c r="Q2784" s="85">
        <f>STATS1003B!Q2793/1000</f>
        <v>2957.2179999999998</v>
      </c>
      <c r="R2784" s="85">
        <f>STATS1003B!R2793/1000</f>
        <v>0</v>
      </c>
      <c r="S2784" s="85">
        <f>STATS1003B!S2793/1000</f>
        <v>0</v>
      </c>
      <c r="T2784" s="85">
        <f>STATS1003B!T2793/1000</f>
        <v>0</v>
      </c>
      <c r="U2784" s="85">
        <f>STATS1003B!U2793/1000</f>
        <v>0</v>
      </c>
      <c r="V2784" s="85">
        <f>STATS1003B!V2793/1000</f>
        <v>12100</v>
      </c>
      <c r="W2784" s="85">
        <f>STATS1003B!W2793/1000</f>
        <v>0</v>
      </c>
      <c r="X2784" s="85">
        <f t="shared" si="302"/>
        <v>22708.607</v>
      </c>
      <c r="Y2784" s="85">
        <f>STATS1003B!Y2793/1000</f>
        <v>0</v>
      </c>
      <c r="Z2784" s="85">
        <f t="shared" si="301"/>
        <v>0</v>
      </c>
      <c r="AA2784" s="69">
        <f>STATS1003B!AA2793/1000</f>
        <v>22708.607899999999</v>
      </c>
      <c r="AB2784" s="69">
        <f>STATS1003B!AB2793/1000</f>
        <v>0</v>
      </c>
    </row>
    <row r="2785" spans="1:28" x14ac:dyDescent="0.3">
      <c r="A2785" s="73"/>
      <c r="C2785" s="68" t="s">
        <v>893</v>
      </c>
      <c r="E2785" s="85">
        <f>2383880/1000</f>
        <v>2383.88</v>
      </c>
      <c r="F2785" s="85">
        <f>STATS1003B!F2794/1000</f>
        <v>2383.88</v>
      </c>
      <c r="G2785" s="85">
        <f>STATS1003B!G2794/1000</f>
        <v>0</v>
      </c>
      <c r="H2785" s="85">
        <f>2383880/1000</f>
        <v>2383.88</v>
      </c>
      <c r="I2785" s="85" t="e">
        <f>STATS1003B!I2794/1000</f>
        <v>#REF!</v>
      </c>
      <c r="J2785" s="85" t="e">
        <f>STATS1003B!J2794/1000</f>
        <v>#REF!</v>
      </c>
      <c r="K2785" s="85" t="e">
        <f>STATS1003B!K2794/1000</f>
        <v>#REF!</v>
      </c>
      <c r="L2785" s="85">
        <f>STATS1003B!L2794/1000</f>
        <v>0</v>
      </c>
      <c r="M2785" s="85">
        <f>STATS1003B!M2794/1000</f>
        <v>2383.88</v>
      </c>
      <c r="N2785" s="85">
        <f>STATS1003B!N2794/1000</f>
        <v>0</v>
      </c>
      <c r="O2785" s="85">
        <f>STATS1003B!O2794/1000</f>
        <v>0</v>
      </c>
      <c r="P2785" s="85">
        <v>0</v>
      </c>
      <c r="Q2785" s="85" t="e">
        <f>STATS1003B!Q2794/1000</f>
        <v>#REF!</v>
      </c>
      <c r="R2785" s="85" t="e">
        <f>STATS1003B!R2794/1000</f>
        <v>#REF!</v>
      </c>
      <c r="S2785" s="85" t="e">
        <f>STATS1003B!S2794/1000</f>
        <v>#REF!</v>
      </c>
      <c r="T2785" s="85">
        <f>STATS1003B!T2794/1000</f>
        <v>0</v>
      </c>
      <c r="U2785" s="85">
        <f>STATS1003B!U2794/1000</f>
        <v>0</v>
      </c>
      <c r="V2785" s="85" t="e">
        <f>STATS1003B!V2794/1000</f>
        <v>#REF!</v>
      </c>
      <c r="W2785" s="85" t="e">
        <f>STATS1003B!W2794/1000</f>
        <v>#REF!</v>
      </c>
      <c r="X2785" s="85">
        <f t="shared" si="302"/>
        <v>2383.88</v>
      </c>
      <c r="Y2785" s="85">
        <f>STATS1003B!Y2794/1000</f>
        <v>0</v>
      </c>
      <c r="Z2785" s="85">
        <f t="shared" si="301"/>
        <v>0</v>
      </c>
      <c r="AA2785" s="69">
        <f>STATS1003B!AA2794/1000</f>
        <v>2383.88</v>
      </c>
      <c r="AB2785" s="69">
        <f>STATS1003B!AB2794/1000</f>
        <v>0</v>
      </c>
    </row>
    <row r="2786" spans="1:28" x14ac:dyDescent="0.3">
      <c r="A2786" s="73"/>
      <c r="C2786" s="68" t="s">
        <v>894</v>
      </c>
      <c r="E2786" s="85">
        <f>9732956/1000</f>
        <v>9732.9560000000001</v>
      </c>
      <c r="F2786" s="85">
        <f>STATS1003B!F2795/1000</f>
        <v>9732.9563800000014</v>
      </c>
      <c r="G2786" s="85">
        <f>STATS1003B!G2795/1000</f>
        <v>0</v>
      </c>
      <c r="H2786" s="85">
        <f>9732956/1000</f>
        <v>9732.9560000000001</v>
      </c>
      <c r="I2786" s="85" t="e">
        <f>STATS1003B!I2795/1000</f>
        <v>#REF!</v>
      </c>
      <c r="J2786" s="85" t="e">
        <f>STATS1003B!J2795/1000</f>
        <v>#REF!</v>
      </c>
      <c r="K2786" s="85" t="e">
        <f>STATS1003B!K2795/1000</f>
        <v>#REF!</v>
      </c>
      <c r="L2786" s="85">
        <f>STATS1003B!L2795/1000</f>
        <v>0</v>
      </c>
      <c r="M2786" s="85">
        <f>STATS1003B!M2795/1000</f>
        <v>9732.9563800000014</v>
      </c>
      <c r="N2786" s="85">
        <f>STATS1003B!N2795/1000</f>
        <v>0</v>
      </c>
      <c r="O2786" s="85">
        <f>STATS1003B!O2795/1000</f>
        <v>0</v>
      </c>
      <c r="P2786" s="85">
        <v>0</v>
      </c>
      <c r="Q2786" s="85" t="e">
        <f>STATS1003B!Q2795/1000</f>
        <v>#REF!</v>
      </c>
      <c r="R2786" s="85" t="e">
        <f>STATS1003B!R2795/1000</f>
        <v>#REF!</v>
      </c>
      <c r="S2786" s="85" t="e">
        <f>STATS1003B!S2795/1000</f>
        <v>#REF!</v>
      </c>
      <c r="T2786" s="85">
        <f>STATS1003B!T2795/1000</f>
        <v>0</v>
      </c>
      <c r="U2786" s="85">
        <f>STATS1003B!U2795/1000</f>
        <v>0</v>
      </c>
      <c r="V2786" s="85" t="e">
        <f>STATS1003B!V2795/1000</f>
        <v>#REF!</v>
      </c>
      <c r="W2786" s="85" t="e">
        <f>STATS1003B!W2795/1000</f>
        <v>#REF!</v>
      </c>
      <c r="X2786" s="85">
        <f t="shared" si="302"/>
        <v>9732.9560000000001</v>
      </c>
      <c r="Y2786" s="85">
        <f>STATS1003B!Y2795/1000</f>
        <v>0</v>
      </c>
      <c r="Z2786" s="85">
        <f t="shared" si="301"/>
        <v>0</v>
      </c>
      <c r="AA2786" s="69">
        <f>STATS1003B!AA2795/1000</f>
        <v>9732.9563800000014</v>
      </c>
      <c r="AB2786" s="69">
        <f>STATS1003B!AB2795/1000</f>
        <v>0</v>
      </c>
    </row>
    <row r="2787" spans="1:28" x14ac:dyDescent="0.3">
      <c r="A2787" s="73"/>
      <c r="C2787" s="68" t="s">
        <v>1148</v>
      </c>
      <c r="E2787" s="85">
        <f>3914402/1000</f>
        <v>3914.402</v>
      </c>
      <c r="F2787" s="85">
        <f>STATS1003B!F2796/1000</f>
        <v>3909.5362800000003</v>
      </c>
      <c r="G2787" s="85">
        <f>STATS1003B!G2796/1000</f>
        <v>0</v>
      </c>
      <c r="H2787" s="85">
        <f>3914402/1000</f>
        <v>3914.402</v>
      </c>
      <c r="I2787" s="85">
        <f>STATS1003B!I2796/1000</f>
        <v>0</v>
      </c>
      <c r="J2787" s="85">
        <f>STATS1003B!J2796/1000</f>
        <v>0</v>
      </c>
      <c r="K2787" s="85">
        <f>STATS1003B!K2796/1000</f>
        <v>0</v>
      </c>
      <c r="L2787" s="85">
        <f>STATS1003B!L2796/1000</f>
        <v>0</v>
      </c>
      <c r="M2787" s="85">
        <f>STATS1003B!M2796/1000</f>
        <v>3909.5362800000003</v>
      </c>
      <c r="N2787" s="85">
        <f>STATS1003B!N2796/1000</f>
        <v>0</v>
      </c>
      <c r="O2787" s="85">
        <f>STATS1003B!O2796/1000</f>
        <v>0</v>
      </c>
      <c r="P2787" s="85">
        <v>0</v>
      </c>
      <c r="Q2787" s="85">
        <f>STATS1003B!Q2796/1000</f>
        <v>0</v>
      </c>
      <c r="R2787" s="85">
        <f>STATS1003B!R2796/1000</f>
        <v>0</v>
      </c>
      <c r="S2787" s="85">
        <f>STATS1003B!S2796/1000</f>
        <v>0</v>
      </c>
      <c r="T2787" s="85">
        <f>STATS1003B!T2796/1000</f>
        <v>0</v>
      </c>
      <c r="U2787" s="85">
        <f>STATS1003B!U2796/1000</f>
        <v>0</v>
      </c>
      <c r="V2787" s="85">
        <f>STATS1003B!V2796/1000</f>
        <v>0</v>
      </c>
      <c r="W2787" s="85">
        <f>STATS1003B!W2796/1000</f>
        <v>0</v>
      </c>
      <c r="X2787" s="85">
        <f t="shared" si="302"/>
        <v>3914.402</v>
      </c>
      <c r="Y2787" s="85">
        <f>STATS1003B!Y2796/1000</f>
        <v>0</v>
      </c>
      <c r="Z2787" s="85">
        <f t="shared" si="301"/>
        <v>0</v>
      </c>
      <c r="AA2787" s="69">
        <f>STATS1003B!AA2796/1000</f>
        <v>3909.5362800000003</v>
      </c>
      <c r="AB2787" s="69">
        <f>STATS1003B!AB2796/1000</f>
        <v>0</v>
      </c>
    </row>
    <row r="2788" spans="1:28" x14ac:dyDescent="0.3">
      <c r="A2788" s="73"/>
      <c r="C2788" s="68" t="s">
        <v>1150</v>
      </c>
      <c r="E2788" s="85">
        <f>525000/1000</f>
        <v>525</v>
      </c>
      <c r="F2788" s="85">
        <f>STATS1003B!F2797/1000</f>
        <v>525</v>
      </c>
      <c r="G2788" s="85">
        <f>STATS1003B!G2797/1000</f>
        <v>0</v>
      </c>
      <c r="H2788" s="85">
        <f>525000/1000</f>
        <v>525</v>
      </c>
      <c r="I2788" s="85">
        <f>STATS1003B!I2797/1000</f>
        <v>0</v>
      </c>
      <c r="J2788" s="85">
        <f>STATS1003B!J2797/1000</f>
        <v>0</v>
      </c>
      <c r="K2788" s="85">
        <f>STATS1003B!K2797/1000</f>
        <v>0</v>
      </c>
      <c r="L2788" s="85">
        <f>STATS1003B!L2797/1000</f>
        <v>0</v>
      </c>
      <c r="M2788" s="85">
        <f>STATS1003B!M2797/1000</f>
        <v>525</v>
      </c>
      <c r="N2788" s="85">
        <f>STATS1003B!N2797/1000</f>
        <v>0</v>
      </c>
      <c r="O2788" s="85">
        <f>STATS1003B!O2797/1000</f>
        <v>0</v>
      </c>
      <c r="P2788" s="85">
        <v>0</v>
      </c>
      <c r="Q2788" s="85">
        <f>STATS1003B!Q2797/1000</f>
        <v>0</v>
      </c>
      <c r="R2788" s="85">
        <f>STATS1003B!R2797/1000</f>
        <v>0</v>
      </c>
      <c r="S2788" s="85">
        <f>STATS1003B!S2797/1000</f>
        <v>0</v>
      </c>
      <c r="T2788" s="85">
        <f>STATS1003B!T2797/1000</f>
        <v>0</v>
      </c>
      <c r="U2788" s="85">
        <f>STATS1003B!U2797/1000</f>
        <v>0</v>
      </c>
      <c r="V2788" s="85">
        <f>STATS1003B!V2797/1000</f>
        <v>0</v>
      </c>
      <c r="W2788" s="85">
        <f>STATS1003B!W2797/1000</f>
        <v>0</v>
      </c>
      <c r="X2788" s="85">
        <f t="shared" si="302"/>
        <v>525</v>
      </c>
      <c r="Y2788" s="85">
        <f>STATS1003B!Y2797/1000</f>
        <v>0</v>
      </c>
      <c r="Z2788" s="85">
        <f t="shared" si="301"/>
        <v>0</v>
      </c>
      <c r="AA2788" s="69">
        <f>STATS1003B!AA2797/1000</f>
        <v>525</v>
      </c>
      <c r="AB2788" s="69">
        <f>STATS1003B!AB2797/1000</f>
        <v>0</v>
      </c>
    </row>
    <row r="2789" spans="1:28" x14ac:dyDescent="0.3">
      <c r="A2789" s="73"/>
      <c r="C2789" s="68" t="s">
        <v>1232</v>
      </c>
      <c r="E2789" s="85">
        <f>867860/1000</f>
        <v>867.86</v>
      </c>
      <c r="F2789" s="85">
        <f>STATS1003B!F2798/1000</f>
        <v>867.86</v>
      </c>
      <c r="G2789" s="85">
        <f>STATS1003B!G2798/1000</f>
        <v>0</v>
      </c>
      <c r="H2789" s="85">
        <f>867860/1000</f>
        <v>867.86</v>
      </c>
      <c r="I2789" s="85">
        <f>STATS1003B!I2798/1000</f>
        <v>0</v>
      </c>
      <c r="J2789" s="85">
        <f>STATS1003B!J2798/1000</f>
        <v>0</v>
      </c>
      <c r="K2789" s="85">
        <f>STATS1003B!K2798/1000</f>
        <v>0</v>
      </c>
      <c r="L2789" s="85">
        <f>STATS1003B!L2798/1000</f>
        <v>0</v>
      </c>
      <c r="M2789" s="85">
        <f>STATS1003B!M2798/1000</f>
        <v>867.86</v>
      </c>
      <c r="N2789" s="85">
        <f>STATS1003B!N2798/1000</f>
        <v>0</v>
      </c>
      <c r="O2789" s="85">
        <f>STATS1003B!O2798/1000</f>
        <v>0</v>
      </c>
      <c r="P2789" s="85">
        <v>0</v>
      </c>
      <c r="Q2789" s="85">
        <f>STATS1003B!Q2798/1000</f>
        <v>0</v>
      </c>
      <c r="R2789" s="85">
        <f>STATS1003B!R2798/1000</f>
        <v>0</v>
      </c>
      <c r="S2789" s="85">
        <f>STATS1003B!S2798/1000</f>
        <v>0</v>
      </c>
      <c r="T2789" s="85">
        <f>STATS1003B!T2798/1000</f>
        <v>0</v>
      </c>
      <c r="U2789" s="85">
        <f>STATS1003B!U2798/1000</f>
        <v>0</v>
      </c>
      <c r="V2789" s="85">
        <f>STATS1003B!V2798/1000</f>
        <v>0</v>
      </c>
      <c r="W2789" s="85">
        <f>STATS1003B!W2798/1000</f>
        <v>0</v>
      </c>
      <c r="X2789" s="85">
        <f t="shared" si="302"/>
        <v>867.86</v>
      </c>
      <c r="Y2789" s="85">
        <f>STATS1003B!Y2798/1000</f>
        <v>0</v>
      </c>
      <c r="Z2789" s="85">
        <f t="shared" si="301"/>
        <v>0</v>
      </c>
      <c r="AA2789" s="69">
        <f>STATS1003B!AA2798/1000</f>
        <v>867.86</v>
      </c>
      <c r="AB2789" s="69">
        <f>STATS1003B!AB2798/1000</f>
        <v>0</v>
      </c>
    </row>
    <row r="2790" spans="1:28" x14ac:dyDescent="0.3">
      <c r="A2790" s="73"/>
      <c r="C2790" s="68" t="s">
        <v>895</v>
      </c>
      <c r="E2790" s="85">
        <f>191459714/1000</f>
        <v>191459.71400000001</v>
      </c>
      <c r="F2790" s="85">
        <f>STATS1003B!F2799/1000</f>
        <v>191416.28955000002</v>
      </c>
      <c r="G2790" s="85">
        <f>STATS1003B!G2799/1000</f>
        <v>0</v>
      </c>
      <c r="H2790" s="85">
        <f>191416283/1000</f>
        <v>191416.283</v>
      </c>
      <c r="I2790" s="85" t="e">
        <f>STATS1003B!I2799/1000</f>
        <v>#REF!</v>
      </c>
      <c r="J2790" s="85" t="e">
        <f>STATS1003B!J2799/1000</f>
        <v>#REF!</v>
      </c>
      <c r="K2790" s="85" t="e">
        <f>STATS1003B!K2799/1000</f>
        <v>#REF!</v>
      </c>
      <c r="L2790" s="85">
        <f>STATS1003B!L2799/1000</f>
        <v>0</v>
      </c>
      <c r="M2790" s="85">
        <f>STATS1003B!M2799/1000</f>
        <v>191416.28955000002</v>
      </c>
      <c r="N2790" s="85">
        <f>STATS1003B!N2799/1000</f>
        <v>0</v>
      </c>
      <c r="O2790" s="85">
        <f>STATS1003B!O2799/1000</f>
        <v>0</v>
      </c>
      <c r="P2790" s="85">
        <v>0</v>
      </c>
      <c r="Q2790" s="85" t="e">
        <f>STATS1003B!Q2799/1000</f>
        <v>#REF!</v>
      </c>
      <c r="R2790" s="85" t="e">
        <f>STATS1003B!R2799/1000</f>
        <v>#REF!</v>
      </c>
      <c r="S2790" s="85" t="e">
        <f>STATS1003B!S2799/1000</f>
        <v>#REF!</v>
      </c>
      <c r="T2790" s="85">
        <f>STATS1003B!T2799/1000</f>
        <v>0</v>
      </c>
      <c r="U2790" s="85">
        <f>STATS1003B!U2799/1000</f>
        <v>0</v>
      </c>
      <c r="V2790" s="85" t="e">
        <f>STATS1003B!V2799/1000</f>
        <v>#REF!</v>
      </c>
      <c r="W2790" s="85" t="e">
        <f>STATS1003B!W2799/1000</f>
        <v>#REF!</v>
      </c>
      <c r="X2790" s="85">
        <f t="shared" si="302"/>
        <v>191416.283</v>
      </c>
      <c r="Y2790" s="85">
        <f>STATS1003B!Y2799/1000</f>
        <v>0</v>
      </c>
      <c r="Z2790" s="85">
        <f t="shared" si="301"/>
        <v>43.431000000011409</v>
      </c>
      <c r="AA2790" s="69">
        <f>STATS1003B!AA2799/1000</f>
        <v>191416.28955000002</v>
      </c>
      <c r="AB2790" s="69">
        <f>STATS1003B!AB2799/1000</f>
        <v>43.424619999974965</v>
      </c>
    </row>
    <row r="2791" spans="1:28" x14ac:dyDescent="0.3">
      <c r="A2791" s="73"/>
      <c r="C2791" s="68" t="s">
        <v>896</v>
      </c>
      <c r="E2791" s="85">
        <f>226838806/1000</f>
        <v>226838.80600000001</v>
      </c>
      <c r="F2791" s="85">
        <f>STATS1003B!F2800/1000</f>
        <v>208153.61300000001</v>
      </c>
      <c r="G2791" s="85">
        <f>STATS1003B!G2800/1000</f>
        <v>0</v>
      </c>
      <c r="H2791" s="85">
        <f>208153613/1000</f>
        <v>208153.61300000001</v>
      </c>
      <c r="I2791" s="85" t="e">
        <f>STATS1003B!I2800/1000</f>
        <v>#REF!</v>
      </c>
      <c r="J2791" s="85" t="e">
        <f>STATS1003B!J2800/1000</f>
        <v>#REF!</v>
      </c>
      <c r="K2791" s="85" t="e">
        <f>STATS1003B!K2800/1000</f>
        <v>#REF!</v>
      </c>
      <c r="L2791" s="85">
        <f>STATS1003B!L2800/1000</f>
        <v>0</v>
      </c>
      <c r="M2791" s="85">
        <f>STATS1003B!M2800/1000</f>
        <v>208153.61300000001</v>
      </c>
      <c r="N2791" s="85">
        <f>STATS1003B!N2800/1000</f>
        <v>5864.8500599999998</v>
      </c>
      <c r="O2791" s="85">
        <f>STATS1003B!O2800/1000</f>
        <v>0</v>
      </c>
      <c r="P2791" s="85">
        <f>5864850/1000</f>
        <v>5864.85</v>
      </c>
      <c r="Q2791" s="85" t="e">
        <f>STATS1003B!Q2800/1000</f>
        <v>#REF!</v>
      </c>
      <c r="R2791" s="85" t="e">
        <f>STATS1003B!R2800/1000</f>
        <v>#REF!</v>
      </c>
      <c r="S2791" s="85" t="e">
        <f>STATS1003B!S2800/1000</f>
        <v>#REF!</v>
      </c>
      <c r="T2791" s="85">
        <f>STATS1003B!T2800/1000</f>
        <v>12399.92268</v>
      </c>
      <c r="U2791" s="85">
        <f>STATS1003B!U2800/1000</f>
        <v>18264.772739999997</v>
      </c>
      <c r="V2791" s="85" t="e">
        <f>STATS1003B!V2800/1000</f>
        <v>#REF!</v>
      </c>
      <c r="W2791" s="85" t="e">
        <f>STATS1003B!W2800/1000</f>
        <v>#REF!</v>
      </c>
      <c r="X2791" s="85">
        <f t="shared" si="302"/>
        <v>214018.46300000002</v>
      </c>
      <c r="Y2791" s="85">
        <f>STATS1003B!Y2800/1000</f>
        <v>0</v>
      </c>
      <c r="Z2791" s="85">
        <f t="shared" si="301"/>
        <v>12820.342999999993</v>
      </c>
      <c r="AA2791" s="69">
        <f>STATS1003B!AA2800/1000</f>
        <v>226418.38574</v>
      </c>
      <c r="AB2791" s="69">
        <f>STATS1003B!AB2800/1000</f>
        <v>420.42099999999999</v>
      </c>
    </row>
    <row r="2792" spans="1:28" x14ac:dyDescent="0.3">
      <c r="A2792" s="73"/>
      <c r="C2792" s="68" t="s">
        <v>897</v>
      </c>
      <c r="E2792" s="85">
        <f>235031389/1000</f>
        <v>235031.389</v>
      </c>
      <c r="F2792" s="85">
        <f>STATS1003B!F2801/1000</f>
        <v>229803.07952999999</v>
      </c>
      <c r="G2792" s="85">
        <f>STATS1003B!G2801/1000</f>
        <v>0</v>
      </c>
      <c r="H2792" s="85">
        <f>229803079/1000</f>
        <v>229803.079</v>
      </c>
      <c r="I2792" s="85">
        <f>STATS1003B!I2801/1000</f>
        <v>0</v>
      </c>
      <c r="J2792" s="85">
        <f>STATS1003B!J2801/1000</f>
        <v>0</v>
      </c>
      <c r="K2792" s="85">
        <f>STATS1003B!K2801/1000</f>
        <v>0</v>
      </c>
      <c r="L2792" s="85">
        <f>STATS1003B!L2801/1000</f>
        <v>0</v>
      </c>
      <c r="M2792" s="85">
        <f>STATS1003B!M2801/1000</f>
        <v>229803.07952999999</v>
      </c>
      <c r="N2792" s="85">
        <f>STATS1003B!N2801/1000</f>
        <v>2446.3159599999999</v>
      </c>
      <c r="O2792" s="85">
        <f>STATS1003B!O2801/1000</f>
        <v>0</v>
      </c>
      <c r="P2792" s="85">
        <f>2446315/1000</f>
        <v>2446.3150000000001</v>
      </c>
      <c r="Q2792" s="85">
        <f>STATS1003B!Q2801/1000</f>
        <v>0</v>
      </c>
      <c r="R2792" s="85">
        <f>STATS1003B!R2801/1000</f>
        <v>0</v>
      </c>
      <c r="S2792" s="85">
        <f>STATS1003B!S2801/1000</f>
        <v>0</v>
      </c>
      <c r="T2792" s="85">
        <f>STATS1003B!T2801/1000</f>
        <v>0</v>
      </c>
      <c r="U2792" s="85">
        <f>STATS1003B!U2801/1000</f>
        <v>2446.3159599999999</v>
      </c>
      <c r="V2792" s="85">
        <f>STATS1003B!V2801/1000</f>
        <v>0</v>
      </c>
      <c r="W2792" s="85">
        <f>STATS1003B!W2801/1000</f>
        <v>0</v>
      </c>
      <c r="X2792" s="85">
        <f t="shared" si="302"/>
        <v>232249.394</v>
      </c>
      <c r="Y2792" s="85">
        <f>STATS1003B!Y2801/1000</f>
        <v>0</v>
      </c>
      <c r="Z2792" s="85">
        <f t="shared" si="301"/>
        <v>2781.9949999999953</v>
      </c>
      <c r="AA2792" s="69">
        <f>STATS1003B!AA2801/1000</f>
        <v>232249.39549</v>
      </c>
      <c r="AB2792" s="69">
        <f>STATS1003B!AB2801/1000</f>
        <v>2781.9943700000049</v>
      </c>
    </row>
    <row r="2793" spans="1:28" x14ac:dyDescent="0.3">
      <c r="A2793" s="73"/>
      <c r="C2793" s="68" t="s">
        <v>1085</v>
      </c>
      <c r="E2793" s="85">
        <f>128933255/1000</f>
        <v>128933.255</v>
      </c>
      <c r="F2793" s="85">
        <f>STATS1003B!F2802/1000</f>
        <v>128933.25519</v>
      </c>
      <c r="G2793" s="85">
        <f>STATS1003B!G2802/1000</f>
        <v>0</v>
      </c>
      <c r="H2793" s="85">
        <f>128933255/1000</f>
        <v>128933.255</v>
      </c>
      <c r="I2793" s="85">
        <f>STATS1003B!I2802/1000</f>
        <v>0</v>
      </c>
      <c r="J2793" s="85">
        <f>STATS1003B!J2802/1000</f>
        <v>0</v>
      </c>
      <c r="K2793" s="85">
        <f>STATS1003B!K2802/1000</f>
        <v>0</v>
      </c>
      <c r="L2793" s="85">
        <f>STATS1003B!L2802/1000</f>
        <v>0</v>
      </c>
      <c r="M2793" s="85">
        <f>STATS1003B!M2802/1000</f>
        <v>128933.25519</v>
      </c>
      <c r="N2793" s="85">
        <f>STATS1003B!N2802/1000</f>
        <v>0</v>
      </c>
      <c r="O2793" s="85">
        <f>STATS1003B!O2802/1000</f>
        <v>0</v>
      </c>
      <c r="P2793" s="85">
        <v>0</v>
      </c>
      <c r="Q2793" s="85">
        <f>STATS1003B!Q2802/1000</f>
        <v>0</v>
      </c>
      <c r="R2793" s="85">
        <f>STATS1003B!R2802/1000</f>
        <v>0</v>
      </c>
      <c r="S2793" s="85">
        <f>STATS1003B!S2802/1000</f>
        <v>0</v>
      </c>
      <c r="T2793" s="85">
        <f>STATS1003B!T2802/1000</f>
        <v>0</v>
      </c>
      <c r="U2793" s="85">
        <f>STATS1003B!U2802/1000</f>
        <v>0</v>
      </c>
      <c r="V2793" s="85">
        <f>STATS1003B!V2802/1000</f>
        <v>0</v>
      </c>
      <c r="W2793" s="85">
        <f>STATS1003B!W2802/1000</f>
        <v>0</v>
      </c>
      <c r="X2793" s="85">
        <f t="shared" si="302"/>
        <v>128933.255</v>
      </c>
      <c r="Y2793" s="85">
        <f>STATS1003B!Y2802/1000</f>
        <v>0</v>
      </c>
      <c r="Z2793" s="85">
        <f t="shared" si="301"/>
        <v>0</v>
      </c>
      <c r="AA2793" s="69">
        <f>STATS1003B!AA2802/1000</f>
        <v>128933.25519</v>
      </c>
      <c r="AB2793" s="69">
        <f>STATS1003B!AB2802/1000</f>
        <v>0</v>
      </c>
    </row>
    <row r="2794" spans="1:28" x14ac:dyDescent="0.3">
      <c r="A2794" s="73"/>
      <c r="C2794" s="68" t="s">
        <v>1199</v>
      </c>
      <c r="E2794" s="85">
        <f>37932269/1000</f>
        <v>37932.269</v>
      </c>
      <c r="F2794" s="85">
        <f>STATS1003B!F2803/1000</f>
        <v>37932.269100000005</v>
      </c>
      <c r="G2794" s="85">
        <f>STATS1003B!G2803/1000</f>
        <v>0</v>
      </c>
      <c r="H2794" s="85">
        <f>37932269/1000</f>
        <v>37932.269</v>
      </c>
      <c r="I2794" s="85">
        <f>STATS1003B!I2803/1000</f>
        <v>0</v>
      </c>
      <c r="J2794" s="85">
        <f>STATS1003B!J2803/1000</f>
        <v>0</v>
      </c>
      <c r="K2794" s="85">
        <f>STATS1003B!K2803/1000</f>
        <v>0</v>
      </c>
      <c r="L2794" s="85">
        <f>STATS1003B!L2803/1000</f>
        <v>0</v>
      </c>
      <c r="M2794" s="85">
        <f>STATS1003B!M2803/1000</f>
        <v>37932.269100000005</v>
      </c>
      <c r="N2794" s="85">
        <f>STATS1003B!N2803/1000</f>
        <v>0</v>
      </c>
      <c r="O2794" s="85">
        <f>STATS1003B!O2803/1000</f>
        <v>0</v>
      </c>
      <c r="P2794" s="85">
        <v>0</v>
      </c>
      <c r="Q2794" s="85">
        <f>STATS1003B!Q2803/1000</f>
        <v>0</v>
      </c>
      <c r="R2794" s="85">
        <f>STATS1003B!R2803/1000</f>
        <v>0</v>
      </c>
      <c r="S2794" s="85">
        <f>STATS1003B!S2803/1000</f>
        <v>0</v>
      </c>
      <c r="T2794" s="85">
        <f>STATS1003B!T2803/1000</f>
        <v>0</v>
      </c>
      <c r="U2794" s="85">
        <f>STATS1003B!U2803/1000</f>
        <v>0</v>
      </c>
      <c r="V2794" s="85">
        <f>STATS1003B!V2803/1000</f>
        <v>0</v>
      </c>
      <c r="W2794" s="85">
        <f>STATS1003B!W2803/1000</f>
        <v>0</v>
      </c>
      <c r="X2794" s="85">
        <f t="shared" si="302"/>
        <v>37932.269</v>
      </c>
      <c r="Y2794" s="85">
        <f>STATS1003B!Y2803/1000</f>
        <v>0</v>
      </c>
      <c r="Z2794" s="85">
        <f t="shared" si="301"/>
        <v>0</v>
      </c>
      <c r="AA2794" s="69">
        <f>STATS1003B!AA2803/1000</f>
        <v>37932.269100000005</v>
      </c>
      <c r="AB2794" s="69">
        <f>STATS1003B!AB2803/1000</f>
        <v>0</v>
      </c>
    </row>
    <row r="2795" spans="1:28" x14ac:dyDescent="0.3">
      <c r="A2795" s="73"/>
      <c r="C2795" s="68" t="s">
        <v>1263</v>
      </c>
      <c r="E2795" s="85">
        <f>78528901/1000</f>
        <v>78528.900999999998</v>
      </c>
      <c r="F2795" s="85">
        <f>STATS1003B!F2804/1000</f>
        <v>0</v>
      </c>
      <c r="G2795" s="85">
        <f>STATS1003B!G2804/1000</f>
        <v>3978.8636299999998</v>
      </c>
      <c r="H2795" s="85">
        <f>78528901/1000</f>
        <v>78528.900999999998</v>
      </c>
      <c r="I2795" s="85">
        <f>STATS1003B!I2804/1000</f>
        <v>0</v>
      </c>
      <c r="J2795" s="85">
        <f>STATS1003B!J2804/1000</f>
        <v>0</v>
      </c>
      <c r="K2795" s="85">
        <f>STATS1003B!K2804/1000</f>
        <v>0</v>
      </c>
      <c r="L2795" s="85">
        <f>STATS1003B!L2804/1000</f>
        <v>0</v>
      </c>
      <c r="M2795" s="85">
        <f>STATS1003B!M2804/1000</f>
        <v>0</v>
      </c>
      <c r="N2795" s="85">
        <f>STATS1003B!N2804/1000</f>
        <v>0</v>
      </c>
      <c r="O2795" s="85">
        <f>STATS1003B!O2804/1000</f>
        <v>0</v>
      </c>
      <c r="P2795" s="85">
        <v>0</v>
      </c>
      <c r="Q2795" s="85">
        <f>STATS1003B!Q2804/1000</f>
        <v>0</v>
      </c>
      <c r="R2795" s="85">
        <f>STATS1003B!R2804/1000</f>
        <v>0</v>
      </c>
      <c r="S2795" s="85">
        <f>STATS1003B!S2804/1000</f>
        <v>0</v>
      </c>
      <c r="T2795" s="85">
        <f>STATS1003B!T2804/1000</f>
        <v>0</v>
      </c>
      <c r="U2795" s="85">
        <f>STATS1003B!U2804/1000</f>
        <v>0</v>
      </c>
      <c r="V2795" s="85">
        <f>STATS1003B!V2804/1000</f>
        <v>0</v>
      </c>
      <c r="W2795" s="85">
        <f>STATS1003B!W2804/1000</f>
        <v>0</v>
      </c>
      <c r="X2795" s="85">
        <f t="shared" si="302"/>
        <v>78528.900999999998</v>
      </c>
      <c r="Y2795" s="85">
        <f>STATS1003B!Y2804/1000</f>
        <v>0</v>
      </c>
      <c r="Z2795" s="85">
        <f t="shared" si="301"/>
        <v>0</v>
      </c>
      <c r="AA2795" s="69">
        <f>STATS1003B!AA2804/1000</f>
        <v>0</v>
      </c>
      <c r="AB2795" s="69">
        <f>STATS1003B!AB2804/1000</f>
        <v>0</v>
      </c>
    </row>
    <row r="2796" spans="1:28" x14ac:dyDescent="0.3">
      <c r="A2796" s="73"/>
      <c r="C2796" s="68" t="s">
        <v>1279</v>
      </c>
      <c r="E2796" s="85">
        <f>2446549/1000</f>
        <v>2446.549</v>
      </c>
      <c r="F2796" s="85"/>
      <c r="G2796" s="85"/>
      <c r="H2796" s="85">
        <f>2446549/1000</f>
        <v>2446.549</v>
      </c>
      <c r="I2796" s="85"/>
      <c r="J2796" s="85"/>
      <c r="K2796" s="85"/>
      <c r="L2796" s="85"/>
      <c r="M2796" s="85"/>
      <c r="N2796" s="85"/>
      <c r="O2796" s="85"/>
      <c r="P2796" s="85">
        <v>0</v>
      </c>
      <c r="Q2796" s="85"/>
      <c r="R2796" s="85"/>
      <c r="S2796" s="85"/>
      <c r="T2796" s="85"/>
      <c r="U2796" s="85"/>
      <c r="V2796" s="85"/>
      <c r="W2796" s="85"/>
      <c r="X2796" s="85">
        <f t="shared" si="302"/>
        <v>2446.549</v>
      </c>
      <c r="Y2796" s="85"/>
      <c r="Z2796" s="85">
        <f t="shared" si="301"/>
        <v>0</v>
      </c>
      <c r="AA2796" s="69"/>
      <c r="AB2796" s="69"/>
    </row>
    <row r="2797" spans="1:28" x14ac:dyDescent="0.3">
      <c r="A2797" s="73"/>
      <c r="C2797" s="68" t="s">
        <v>1274</v>
      </c>
      <c r="E2797" s="85">
        <f>8000000/1000</f>
        <v>8000</v>
      </c>
      <c r="F2797" s="85"/>
      <c r="G2797" s="85"/>
      <c r="H2797" s="85">
        <f>8000000/1000</f>
        <v>8000</v>
      </c>
      <c r="I2797" s="85"/>
      <c r="J2797" s="85"/>
      <c r="K2797" s="85"/>
      <c r="L2797" s="85"/>
      <c r="M2797" s="85"/>
      <c r="N2797" s="85"/>
      <c r="O2797" s="85"/>
      <c r="P2797" s="85">
        <v>0</v>
      </c>
      <c r="Q2797" s="85"/>
      <c r="R2797" s="85"/>
      <c r="S2797" s="85"/>
      <c r="T2797" s="85"/>
      <c r="U2797" s="85"/>
      <c r="V2797" s="85"/>
      <c r="W2797" s="85"/>
      <c r="X2797" s="85">
        <f>+H2797+P2797</f>
        <v>8000</v>
      </c>
      <c r="Y2797" s="85"/>
      <c r="Z2797" s="85">
        <f t="shared" si="301"/>
        <v>0</v>
      </c>
      <c r="AA2797" s="69"/>
      <c r="AB2797" s="69"/>
    </row>
    <row r="2798" spans="1:28" x14ac:dyDescent="0.3">
      <c r="A2798" s="73"/>
      <c r="C2798" s="68" t="s">
        <v>1185</v>
      </c>
      <c r="E2798" s="85">
        <f>4109895/1000</f>
        <v>4109.8950000000004</v>
      </c>
      <c r="F2798" s="85">
        <f>STATS1003B!F2805/1000</f>
        <v>4109.8959599999998</v>
      </c>
      <c r="G2798" s="85">
        <f>STATS1003B!G2805/1000</f>
        <v>0</v>
      </c>
      <c r="H2798" s="85">
        <f>4109895/1000</f>
        <v>4109.8950000000004</v>
      </c>
      <c r="I2798" s="85">
        <f>STATS1003B!I2805/1000</f>
        <v>0</v>
      </c>
      <c r="J2798" s="85">
        <f>STATS1003B!J2805/1000</f>
        <v>0</v>
      </c>
      <c r="K2798" s="85">
        <f>STATS1003B!K2805/1000</f>
        <v>0</v>
      </c>
      <c r="L2798" s="85">
        <f>STATS1003B!L2805/1000</f>
        <v>0</v>
      </c>
      <c r="M2798" s="85">
        <f>STATS1003B!M2805/1000</f>
        <v>4109.8959599999998</v>
      </c>
      <c r="N2798" s="85">
        <f>STATS1003B!N2805/1000</f>
        <v>0</v>
      </c>
      <c r="O2798" s="85">
        <f>STATS1003B!O2805/1000</f>
        <v>0</v>
      </c>
      <c r="P2798" s="85">
        <v>0</v>
      </c>
      <c r="Q2798" s="85">
        <f>STATS1003B!Q2805/1000</f>
        <v>0</v>
      </c>
      <c r="R2798" s="85">
        <f>STATS1003B!R2805/1000</f>
        <v>0</v>
      </c>
      <c r="S2798" s="85">
        <f>STATS1003B!S2805/1000</f>
        <v>0</v>
      </c>
      <c r="T2798" s="85">
        <f>STATS1003B!T2805/1000</f>
        <v>0</v>
      </c>
      <c r="U2798" s="85">
        <f>STATS1003B!U2805/1000</f>
        <v>0</v>
      </c>
      <c r="V2798" s="85">
        <f>STATS1003B!V2805/1000</f>
        <v>0</v>
      </c>
      <c r="W2798" s="85">
        <f>STATS1003B!W2805/1000</f>
        <v>0</v>
      </c>
      <c r="X2798" s="85">
        <f t="shared" si="302"/>
        <v>4109.8950000000004</v>
      </c>
      <c r="Y2798" s="85">
        <f>STATS1003B!Y2805/1000</f>
        <v>0</v>
      </c>
      <c r="Z2798" s="85">
        <f t="shared" si="301"/>
        <v>0</v>
      </c>
      <c r="AA2798" s="69">
        <f>STATS1003B!AA2805/1000</f>
        <v>4109.8959599999998</v>
      </c>
      <c r="AB2798" s="69">
        <f>STATS1003B!AB2805/1000</f>
        <v>0</v>
      </c>
    </row>
    <row r="2799" spans="1:28" x14ac:dyDescent="0.3">
      <c r="A2799" s="73"/>
      <c r="C2799" s="68" t="s">
        <v>1182</v>
      </c>
      <c r="E2799" s="85">
        <f>1355200.96/1000</f>
        <v>1355.2009599999999</v>
      </c>
      <c r="F2799" s="85">
        <f>STATS1003B!F2806/1000</f>
        <v>1355.2009599999999</v>
      </c>
      <c r="G2799" s="85">
        <f>STATS1003B!G2806/1000</f>
        <v>0</v>
      </c>
      <c r="H2799" s="85">
        <f>1355200/1000</f>
        <v>1355.2</v>
      </c>
      <c r="I2799" s="85">
        <f>STATS1003B!I2806/1000</f>
        <v>0</v>
      </c>
      <c r="J2799" s="85">
        <f>STATS1003B!J2806/1000</f>
        <v>0</v>
      </c>
      <c r="K2799" s="85">
        <f>STATS1003B!K2806/1000</f>
        <v>0</v>
      </c>
      <c r="L2799" s="85">
        <f>STATS1003B!L2806/1000</f>
        <v>0</v>
      </c>
      <c r="M2799" s="85">
        <f>STATS1003B!M2806/1000</f>
        <v>1355.2009599999999</v>
      </c>
      <c r="N2799" s="85">
        <f>STATS1003B!N2806/1000</f>
        <v>0</v>
      </c>
      <c r="O2799" s="85">
        <f>STATS1003B!O2806/1000</f>
        <v>0</v>
      </c>
      <c r="P2799" s="85">
        <v>0</v>
      </c>
      <c r="Q2799" s="85">
        <f>STATS1003B!Q2806/1000</f>
        <v>0</v>
      </c>
      <c r="R2799" s="85">
        <f>STATS1003B!R2806/1000</f>
        <v>0</v>
      </c>
      <c r="S2799" s="85">
        <f>STATS1003B!S2806/1000</f>
        <v>0</v>
      </c>
      <c r="T2799" s="85">
        <f>STATS1003B!T2806/1000</f>
        <v>0</v>
      </c>
      <c r="U2799" s="85">
        <f>STATS1003B!U2806/1000</f>
        <v>0</v>
      </c>
      <c r="V2799" s="85">
        <f>STATS1003B!V2806/1000</f>
        <v>0</v>
      </c>
      <c r="W2799" s="85">
        <f>STATS1003B!W2806/1000</f>
        <v>0</v>
      </c>
      <c r="X2799" s="85">
        <f t="shared" si="302"/>
        <v>1355.2</v>
      </c>
      <c r="Y2799" s="85">
        <f>STATS1003B!Y2806/1000</f>
        <v>0</v>
      </c>
      <c r="Z2799" s="85">
        <f t="shared" si="301"/>
        <v>9.5999999984996975E-4</v>
      </c>
      <c r="AA2799" s="69">
        <f>STATS1003B!AA2806/1000</f>
        <v>1355.2009599999999</v>
      </c>
      <c r="AB2799" s="69">
        <f>STATS1003B!AB2806/1000</f>
        <v>0</v>
      </c>
    </row>
    <row r="2800" spans="1:28" x14ac:dyDescent="0.3">
      <c r="A2800" s="73"/>
      <c r="C2800" s="68" t="s">
        <v>1116</v>
      </c>
      <c r="E2800" s="85">
        <f>11395659/1000</f>
        <v>11395.659</v>
      </c>
      <c r="F2800" s="85">
        <f>STATS1003B!F2807/1000</f>
        <v>11395.659609999999</v>
      </c>
      <c r="G2800" s="85">
        <f>STATS1003B!G2807/1000</f>
        <v>0</v>
      </c>
      <c r="H2800" s="85">
        <f>11395659/1000</f>
        <v>11395.659</v>
      </c>
      <c r="I2800" s="85">
        <f>STATS1003B!I2807/1000</f>
        <v>0</v>
      </c>
      <c r="J2800" s="85">
        <f>STATS1003B!J2807/1000</f>
        <v>0</v>
      </c>
      <c r="K2800" s="85">
        <f>STATS1003B!K2807/1000</f>
        <v>0</v>
      </c>
      <c r="L2800" s="85">
        <f>STATS1003B!L2807/1000</f>
        <v>0</v>
      </c>
      <c r="M2800" s="85">
        <f>STATS1003B!M2807/1000</f>
        <v>11395.659609999999</v>
      </c>
      <c r="N2800" s="85">
        <f>STATS1003B!N2807/1000</f>
        <v>0</v>
      </c>
      <c r="O2800" s="85">
        <f>STATS1003B!O2807/1000</f>
        <v>0</v>
      </c>
      <c r="P2800" s="85">
        <v>0</v>
      </c>
      <c r="Q2800" s="85">
        <f>STATS1003B!Q2807/1000</f>
        <v>0</v>
      </c>
      <c r="R2800" s="85">
        <f>STATS1003B!R2807/1000</f>
        <v>0</v>
      </c>
      <c r="S2800" s="85">
        <f>STATS1003B!S2807/1000</f>
        <v>0</v>
      </c>
      <c r="T2800" s="85">
        <f>STATS1003B!T2807/1000</f>
        <v>0</v>
      </c>
      <c r="U2800" s="85">
        <f>STATS1003B!U2807/1000</f>
        <v>0</v>
      </c>
      <c r="V2800" s="85">
        <f>STATS1003B!V2807/1000</f>
        <v>0</v>
      </c>
      <c r="W2800" s="85">
        <f>STATS1003B!W2807/1000</f>
        <v>0</v>
      </c>
      <c r="X2800" s="85">
        <f t="shared" si="302"/>
        <v>11395.659</v>
      </c>
      <c r="Y2800" s="85">
        <f>STATS1003B!Y2807/1000</f>
        <v>0</v>
      </c>
      <c r="Z2800" s="85">
        <f t="shared" si="301"/>
        <v>0</v>
      </c>
      <c r="AA2800" s="69">
        <f>STATS1003B!AA2807/1000</f>
        <v>11395.659609999999</v>
      </c>
      <c r="AB2800" s="69">
        <f>STATS1003B!AB2807/1000</f>
        <v>0</v>
      </c>
    </row>
    <row r="2801" spans="1:28" x14ac:dyDescent="0.3">
      <c r="A2801" s="73"/>
      <c r="C2801" s="68" t="s">
        <v>898</v>
      </c>
      <c r="E2801" s="85">
        <f>212340795/1000</f>
        <v>212340.79500000001</v>
      </c>
      <c r="F2801" s="85">
        <f>STATS1003B!F2808/1000</f>
        <v>207440.97955000005</v>
      </c>
      <c r="G2801" s="85">
        <f>STATS1003B!G2808/1000</f>
        <v>0</v>
      </c>
      <c r="H2801" s="85">
        <f>207440979/1000</f>
        <v>207440.97899999999</v>
      </c>
      <c r="I2801" s="85">
        <f>STATS1003B!I2808/1000</f>
        <v>0</v>
      </c>
      <c r="J2801" s="85">
        <f>STATS1003B!J2808/1000</f>
        <v>0</v>
      </c>
      <c r="K2801" s="85">
        <f>STATS1003B!K2808/1000</f>
        <v>0</v>
      </c>
      <c r="L2801" s="85">
        <f>STATS1003B!L2808/1000</f>
        <v>0</v>
      </c>
      <c r="M2801" s="85">
        <f>STATS1003B!M2808/1000</f>
        <v>207440.97955000005</v>
      </c>
      <c r="N2801" s="85">
        <f>STATS1003B!N2808/1000</f>
        <v>1036.14499</v>
      </c>
      <c r="O2801" s="85">
        <f>STATS1003B!O2808/1000</f>
        <v>0</v>
      </c>
      <c r="P2801" s="85">
        <f>1036144/1000</f>
        <v>1036.144</v>
      </c>
      <c r="Q2801" s="85">
        <f>STATS1003B!Q2808/1000</f>
        <v>0</v>
      </c>
      <c r="R2801" s="85">
        <f>STATS1003B!R2808/1000</f>
        <v>0</v>
      </c>
      <c r="S2801" s="85">
        <f>STATS1003B!S2808/1000</f>
        <v>0</v>
      </c>
      <c r="T2801" s="85">
        <f>STATS1003B!T2808/1000</f>
        <v>803.29505000000006</v>
      </c>
      <c r="U2801" s="85">
        <f>STATS1003B!U2808/1000</f>
        <v>1839.44004</v>
      </c>
      <c r="V2801" s="85">
        <f>STATS1003B!V2808/1000</f>
        <v>0</v>
      </c>
      <c r="W2801" s="85">
        <f>STATS1003B!W2808/1000</f>
        <v>0</v>
      </c>
      <c r="X2801" s="85">
        <f t="shared" si="302"/>
        <v>208477.12299999999</v>
      </c>
      <c r="Y2801" s="85">
        <f>STATS1003B!Y2808/1000</f>
        <v>0</v>
      </c>
      <c r="Z2801" s="85">
        <f t="shared" si="301"/>
        <v>3863.6720000000205</v>
      </c>
      <c r="AA2801" s="69">
        <f>STATS1003B!AA2808/1000</f>
        <v>209280.41959000003</v>
      </c>
      <c r="AB2801" s="69">
        <f>STATS1003B!AB2808/1000</f>
        <v>3060.3760199999215</v>
      </c>
    </row>
    <row r="2802" spans="1:28" x14ac:dyDescent="0.3">
      <c r="A2802" s="73"/>
      <c r="C2802" s="68" t="s">
        <v>1231</v>
      </c>
      <c r="E2802" s="85">
        <f>86400/1000</f>
        <v>86.4</v>
      </c>
      <c r="F2802" s="85">
        <f>STATS1003B!F2809/1000</f>
        <v>86.4</v>
      </c>
      <c r="G2802" s="85">
        <f>STATS1003B!G2809/1000</f>
        <v>0</v>
      </c>
      <c r="H2802" s="85">
        <f>86400/1000</f>
        <v>86.4</v>
      </c>
      <c r="I2802" s="85">
        <f>STATS1003B!I2809/1000</f>
        <v>0</v>
      </c>
      <c r="J2802" s="85">
        <f>STATS1003B!J2809/1000</f>
        <v>0</v>
      </c>
      <c r="K2802" s="85">
        <f>STATS1003B!K2809/1000</f>
        <v>0</v>
      </c>
      <c r="L2802" s="85">
        <f>STATS1003B!L2809/1000</f>
        <v>0</v>
      </c>
      <c r="M2802" s="85">
        <f>STATS1003B!M2809/1000</f>
        <v>86.4</v>
      </c>
      <c r="N2802" s="85">
        <f>STATS1003B!N2809/1000</f>
        <v>0</v>
      </c>
      <c r="O2802" s="85">
        <f>STATS1003B!O2809/1000</f>
        <v>0</v>
      </c>
      <c r="P2802" s="85">
        <v>0</v>
      </c>
      <c r="Q2802" s="85">
        <f>STATS1003B!Q2809/1000</f>
        <v>0</v>
      </c>
      <c r="R2802" s="85">
        <f>STATS1003B!R2809/1000</f>
        <v>0</v>
      </c>
      <c r="S2802" s="85">
        <f>STATS1003B!S2809/1000</f>
        <v>0</v>
      </c>
      <c r="T2802" s="85">
        <f>STATS1003B!T2809/1000</f>
        <v>0</v>
      </c>
      <c r="U2802" s="85">
        <f>STATS1003B!U2809/1000</f>
        <v>0</v>
      </c>
      <c r="V2802" s="85">
        <f>STATS1003B!V2809/1000</f>
        <v>0</v>
      </c>
      <c r="W2802" s="85">
        <f>STATS1003B!W2809/1000</f>
        <v>0</v>
      </c>
      <c r="X2802" s="85">
        <f t="shared" si="302"/>
        <v>86.4</v>
      </c>
      <c r="Y2802" s="85">
        <f>STATS1003B!Y2809/1000</f>
        <v>0</v>
      </c>
      <c r="Z2802" s="85">
        <f t="shared" si="301"/>
        <v>0</v>
      </c>
      <c r="AA2802" s="69">
        <f>STATS1003B!AA2809/1000</f>
        <v>86.4</v>
      </c>
      <c r="AB2802" s="69">
        <f>STATS1003B!AB2809/1000</f>
        <v>0</v>
      </c>
    </row>
    <row r="2803" spans="1:28" x14ac:dyDescent="0.3">
      <c r="A2803" s="73"/>
      <c r="C2803" s="68" t="s">
        <v>1174</v>
      </c>
      <c r="E2803" s="85">
        <f>1000000/1000</f>
        <v>1000</v>
      </c>
      <c r="F2803" s="85">
        <f>STATS1003B!F2810/1000</f>
        <v>1000</v>
      </c>
      <c r="G2803" s="85">
        <f>STATS1003B!G2810/1000</f>
        <v>0</v>
      </c>
      <c r="H2803" s="85">
        <f>1000000/1000</f>
        <v>1000</v>
      </c>
      <c r="I2803" s="85">
        <f>STATS1003B!I2810/1000</f>
        <v>0</v>
      </c>
      <c r="J2803" s="85">
        <f>STATS1003B!J2810/1000</f>
        <v>0</v>
      </c>
      <c r="K2803" s="85">
        <f>STATS1003B!K2810/1000</f>
        <v>0</v>
      </c>
      <c r="L2803" s="85">
        <f>STATS1003B!L2810/1000</f>
        <v>0</v>
      </c>
      <c r="M2803" s="85">
        <f>STATS1003B!M2810/1000</f>
        <v>1000</v>
      </c>
      <c r="N2803" s="85">
        <f>STATS1003B!N2810/1000</f>
        <v>0</v>
      </c>
      <c r="O2803" s="85">
        <f>STATS1003B!O2810/1000</f>
        <v>0</v>
      </c>
      <c r="P2803" s="85">
        <v>0</v>
      </c>
      <c r="Q2803" s="85">
        <f>STATS1003B!Q2810/1000</f>
        <v>0</v>
      </c>
      <c r="R2803" s="85">
        <f>STATS1003B!R2810/1000</f>
        <v>0</v>
      </c>
      <c r="S2803" s="85">
        <f>STATS1003B!S2810/1000</f>
        <v>0</v>
      </c>
      <c r="T2803" s="85">
        <f>STATS1003B!T2810/1000</f>
        <v>0</v>
      </c>
      <c r="U2803" s="85">
        <f>STATS1003B!U2810/1000</f>
        <v>0</v>
      </c>
      <c r="V2803" s="85">
        <f>STATS1003B!V2810/1000</f>
        <v>0</v>
      </c>
      <c r="W2803" s="85">
        <f>STATS1003B!W2810/1000</f>
        <v>0</v>
      </c>
      <c r="X2803" s="85">
        <f t="shared" si="302"/>
        <v>1000</v>
      </c>
      <c r="Y2803" s="85">
        <f>STATS1003B!Y2810/1000</f>
        <v>0</v>
      </c>
      <c r="Z2803" s="85">
        <f t="shared" si="301"/>
        <v>0</v>
      </c>
      <c r="AA2803" s="69">
        <f>STATS1003B!AA2810/1000</f>
        <v>1000</v>
      </c>
      <c r="AB2803" s="69">
        <f>STATS1003B!AB2810/1000</f>
        <v>0</v>
      </c>
    </row>
    <row r="2804" spans="1:28" x14ac:dyDescent="0.3">
      <c r="A2804" s="73"/>
      <c r="C2804" s="68" t="s">
        <v>1119</v>
      </c>
      <c r="E2804" s="85">
        <f>160153/1000</f>
        <v>160.15299999999999</v>
      </c>
      <c r="F2804" s="85">
        <f>STATS1003B!F2811/1000</f>
        <v>140</v>
      </c>
      <c r="G2804" s="85">
        <f>STATS1003B!G2811/1000</f>
        <v>0</v>
      </c>
      <c r="H2804" s="85">
        <f>160153/1000</f>
        <v>160.15299999999999</v>
      </c>
      <c r="I2804" s="85">
        <f>STATS1003B!I2811/1000</f>
        <v>0</v>
      </c>
      <c r="J2804" s="85">
        <f>STATS1003B!J2811/1000</f>
        <v>0</v>
      </c>
      <c r="K2804" s="85">
        <f>STATS1003B!K2811/1000</f>
        <v>0</v>
      </c>
      <c r="L2804" s="85">
        <f>STATS1003B!L2811/1000</f>
        <v>0</v>
      </c>
      <c r="M2804" s="85">
        <f>STATS1003B!M2811/1000</f>
        <v>140</v>
      </c>
      <c r="N2804" s="85">
        <f>STATS1003B!N2811/1000</f>
        <v>0</v>
      </c>
      <c r="O2804" s="85">
        <f>STATS1003B!O2811/1000</f>
        <v>0</v>
      </c>
      <c r="P2804" s="85">
        <v>0</v>
      </c>
      <c r="Q2804" s="85">
        <f>STATS1003B!Q2811/1000</f>
        <v>0</v>
      </c>
      <c r="R2804" s="85">
        <f>STATS1003B!R2811/1000</f>
        <v>0</v>
      </c>
      <c r="S2804" s="85">
        <f>STATS1003B!S2811/1000</f>
        <v>0</v>
      </c>
      <c r="T2804" s="85">
        <f>STATS1003B!T2811/1000</f>
        <v>0</v>
      </c>
      <c r="U2804" s="85">
        <f>STATS1003B!U2811/1000</f>
        <v>0</v>
      </c>
      <c r="V2804" s="85">
        <f>STATS1003B!V2811/1000</f>
        <v>0</v>
      </c>
      <c r="W2804" s="85">
        <f>STATS1003B!W2811/1000</f>
        <v>0</v>
      </c>
      <c r="X2804" s="85">
        <f t="shared" si="302"/>
        <v>160.15299999999999</v>
      </c>
      <c r="Y2804" s="85">
        <f>STATS1003B!Y2811/1000</f>
        <v>0</v>
      </c>
      <c r="Z2804" s="85">
        <f t="shared" si="301"/>
        <v>0</v>
      </c>
      <c r="AA2804" s="69">
        <f>STATS1003B!AA2811/1000</f>
        <v>140</v>
      </c>
      <c r="AB2804" s="69">
        <f>STATS1003B!AB2811/1000</f>
        <v>0</v>
      </c>
    </row>
    <row r="2805" spans="1:28" x14ac:dyDescent="0.3">
      <c r="A2805" s="73"/>
      <c r="C2805" s="68" t="s">
        <v>1121</v>
      </c>
      <c r="E2805" s="85">
        <f>2716515.77/1000</f>
        <v>2716.51577</v>
      </c>
      <c r="F2805" s="85">
        <f>STATS1003B!F2812/1000</f>
        <v>1116.8853300000001</v>
      </c>
      <c r="G2805" s="85">
        <f>STATS1003B!G2812/1000</f>
        <v>0</v>
      </c>
      <c r="H2805" s="85">
        <f>2716515/1000</f>
        <v>2716.5149999999999</v>
      </c>
      <c r="I2805" s="85">
        <f>STATS1003B!I2812/1000</f>
        <v>0</v>
      </c>
      <c r="J2805" s="85">
        <f>STATS1003B!J2812/1000</f>
        <v>0</v>
      </c>
      <c r="K2805" s="85">
        <f>STATS1003B!K2812/1000</f>
        <v>0</v>
      </c>
      <c r="L2805" s="85">
        <f>STATS1003B!L2812/1000</f>
        <v>0</v>
      </c>
      <c r="M2805" s="85">
        <f>STATS1003B!M2812/1000</f>
        <v>1116.8853300000001</v>
      </c>
      <c r="N2805" s="85">
        <f>STATS1003B!N2812/1000</f>
        <v>0</v>
      </c>
      <c r="O2805" s="85">
        <f>STATS1003B!O2812/1000</f>
        <v>0</v>
      </c>
      <c r="P2805" s="85">
        <v>0</v>
      </c>
      <c r="Q2805" s="85">
        <f>STATS1003B!Q2812/1000</f>
        <v>0</v>
      </c>
      <c r="R2805" s="85">
        <f>STATS1003B!R2812/1000</f>
        <v>0</v>
      </c>
      <c r="S2805" s="85">
        <f>STATS1003B!S2812/1000</f>
        <v>0</v>
      </c>
      <c r="T2805" s="85">
        <f>STATS1003B!T2812/1000</f>
        <v>0</v>
      </c>
      <c r="U2805" s="85">
        <f>STATS1003B!U2812/1000</f>
        <v>0</v>
      </c>
      <c r="V2805" s="85">
        <f>STATS1003B!V2812/1000</f>
        <v>0</v>
      </c>
      <c r="W2805" s="85">
        <f>STATS1003B!W2812/1000</f>
        <v>0</v>
      </c>
      <c r="X2805" s="85">
        <f t="shared" si="302"/>
        <v>2716.5149999999999</v>
      </c>
      <c r="Y2805" s="85">
        <f>STATS1003B!Y2812/1000</f>
        <v>0</v>
      </c>
      <c r="Z2805" s="85">
        <f t="shared" si="301"/>
        <v>7.7000000010229996E-4</v>
      </c>
      <c r="AA2805" s="69">
        <f>STATS1003B!AA2812/1000</f>
        <v>1116.8853300000001</v>
      </c>
      <c r="AB2805" s="69">
        <f>STATS1003B!AB2812/1000</f>
        <v>1342.4304199999999</v>
      </c>
    </row>
    <row r="2806" spans="1:28" x14ac:dyDescent="0.3">
      <c r="A2806" s="73"/>
      <c r="C2806" s="68" t="s">
        <v>1122</v>
      </c>
      <c r="E2806" s="85">
        <f>2146067/1000</f>
        <v>2146.067</v>
      </c>
      <c r="F2806" s="85">
        <f>STATS1003B!F2813/1000</f>
        <v>3488.4981200000002</v>
      </c>
      <c r="G2806" s="85">
        <f>STATS1003B!G2813/1000</f>
        <v>0</v>
      </c>
      <c r="H2806" s="85">
        <f>2146067/1000</f>
        <v>2146.067</v>
      </c>
      <c r="I2806" s="85">
        <f>STATS1003B!I2813/1000</f>
        <v>0</v>
      </c>
      <c r="J2806" s="85">
        <f>STATS1003B!J2813/1000</f>
        <v>0</v>
      </c>
      <c r="K2806" s="85">
        <f>STATS1003B!K2813/1000</f>
        <v>0</v>
      </c>
      <c r="L2806" s="85">
        <f>STATS1003B!L2813/1000</f>
        <v>0</v>
      </c>
      <c r="M2806" s="85">
        <f>STATS1003B!M2813/1000</f>
        <v>3488.4981200000002</v>
      </c>
      <c r="N2806" s="85">
        <f>STATS1003B!N2813/1000</f>
        <v>0</v>
      </c>
      <c r="O2806" s="85">
        <f>STATS1003B!O2813/1000</f>
        <v>0</v>
      </c>
      <c r="P2806" s="85">
        <v>0</v>
      </c>
      <c r="Q2806" s="85">
        <f>STATS1003B!Q2813/1000</f>
        <v>0</v>
      </c>
      <c r="R2806" s="85">
        <f>STATS1003B!R2813/1000</f>
        <v>0</v>
      </c>
      <c r="S2806" s="85">
        <f>STATS1003B!S2813/1000</f>
        <v>0</v>
      </c>
      <c r="T2806" s="85">
        <f>STATS1003B!T2813/1000</f>
        <v>0</v>
      </c>
      <c r="U2806" s="85">
        <f>STATS1003B!U2813/1000</f>
        <v>0</v>
      </c>
      <c r="V2806" s="85">
        <f>STATS1003B!V2813/1000</f>
        <v>0</v>
      </c>
      <c r="W2806" s="85">
        <f>STATS1003B!W2813/1000</f>
        <v>0</v>
      </c>
      <c r="X2806" s="85">
        <f t="shared" si="302"/>
        <v>2146.067</v>
      </c>
      <c r="Y2806" s="85">
        <f>STATS1003B!Y2813/1000</f>
        <v>0</v>
      </c>
      <c r="Z2806" s="85">
        <f t="shared" si="301"/>
        <v>0</v>
      </c>
      <c r="AA2806" s="69">
        <f>STATS1003B!AA2813/1000</f>
        <v>3488.4981200000002</v>
      </c>
      <c r="AB2806" s="69">
        <f>STATS1003B!AB2813/1000</f>
        <v>-1342.4304199999999</v>
      </c>
    </row>
    <row r="2807" spans="1:28" x14ac:dyDescent="0.3">
      <c r="A2807" s="73"/>
      <c r="C2807" s="68" t="s">
        <v>1062</v>
      </c>
      <c r="E2807" s="85">
        <f>25595681/1000</f>
        <v>25595.681</v>
      </c>
      <c r="F2807" s="85">
        <f>STATS1003B!F2814/1000</f>
        <v>25207.35816</v>
      </c>
      <c r="G2807" s="85">
        <f>STATS1003B!G2814/1000</f>
        <v>0</v>
      </c>
      <c r="H2807" s="85">
        <f>25583683.85/1000</f>
        <v>25583.683850000001</v>
      </c>
      <c r="I2807" s="85">
        <f>STATS1003B!I2814/1000</f>
        <v>0</v>
      </c>
      <c r="J2807" s="85">
        <f>STATS1003B!J2814/1000</f>
        <v>0</v>
      </c>
      <c r="K2807" s="85">
        <f>STATS1003B!K2814/1000</f>
        <v>0</v>
      </c>
      <c r="L2807" s="85">
        <f>STATS1003B!L2814/1000</f>
        <v>0</v>
      </c>
      <c r="M2807" s="85">
        <f>STATS1003B!M2814/1000</f>
        <v>25207.35816</v>
      </c>
      <c r="N2807" s="85">
        <f>STATS1003B!N2814/1000</f>
        <v>11.997170000000001</v>
      </c>
      <c r="O2807" s="85">
        <f>STATS1003B!O2814/1000</f>
        <v>0</v>
      </c>
      <c r="P2807" s="85">
        <v>11.997</v>
      </c>
      <c r="Q2807" s="85">
        <f>STATS1003B!Q2814/1000</f>
        <v>0</v>
      </c>
      <c r="R2807" s="85">
        <f>STATS1003B!R2814/1000</f>
        <v>0</v>
      </c>
      <c r="S2807" s="85">
        <f>STATS1003B!S2814/1000</f>
        <v>0</v>
      </c>
      <c r="T2807" s="85">
        <f>STATS1003B!T2814/1000</f>
        <v>0</v>
      </c>
      <c r="U2807" s="85">
        <f>STATS1003B!U2814/1000</f>
        <v>11.997170000000001</v>
      </c>
      <c r="V2807" s="85">
        <f>STATS1003B!V2814/1000</f>
        <v>0</v>
      </c>
      <c r="W2807" s="85">
        <f>STATS1003B!W2814/1000</f>
        <v>0</v>
      </c>
      <c r="X2807" s="85">
        <f t="shared" si="302"/>
        <v>25595.680850000001</v>
      </c>
      <c r="Y2807" s="85">
        <f>STATS1003B!Y2814/1000</f>
        <v>0</v>
      </c>
      <c r="Z2807" s="85">
        <f t="shared" si="301"/>
        <v>1.4999999984866008E-4</v>
      </c>
      <c r="AA2807" s="69">
        <f>STATS1003B!AA2814/1000</f>
        <v>25219.355330000002</v>
      </c>
      <c r="AB2807" s="69">
        <f>STATS1003B!AB2814/1000</f>
        <v>0</v>
      </c>
    </row>
    <row r="2808" spans="1:28" x14ac:dyDescent="0.3">
      <c r="A2808" s="73"/>
      <c r="C2808" s="68" t="s">
        <v>1149</v>
      </c>
      <c r="E2808" s="85">
        <f>34666158/1000</f>
        <v>34666.158000000003</v>
      </c>
      <c r="F2808" s="85">
        <f>STATS1003B!F2815/1000</f>
        <v>31414.50534</v>
      </c>
      <c r="G2808" s="85">
        <f>STATS1003B!G2815/1000</f>
        <v>0</v>
      </c>
      <c r="H2808" s="85">
        <f>34666158/1000</f>
        <v>34666.158000000003</v>
      </c>
      <c r="I2808" s="85">
        <f>STATS1003B!I2815/1000</f>
        <v>0</v>
      </c>
      <c r="J2808" s="85">
        <f>STATS1003B!J2815/1000</f>
        <v>0</v>
      </c>
      <c r="K2808" s="85">
        <f>STATS1003B!K2815/1000</f>
        <v>0</v>
      </c>
      <c r="L2808" s="85">
        <f>STATS1003B!L2815/1000</f>
        <v>0</v>
      </c>
      <c r="M2808" s="85">
        <f>STATS1003B!M2815/1000</f>
        <v>31414.50534</v>
      </c>
      <c r="N2808" s="85">
        <f>STATS1003B!N2815/1000</f>
        <v>0</v>
      </c>
      <c r="O2808" s="85">
        <f>STATS1003B!O2815/1000</f>
        <v>0</v>
      </c>
      <c r="P2808" s="85">
        <v>0</v>
      </c>
      <c r="Q2808" s="85">
        <f>STATS1003B!Q2815/1000</f>
        <v>0</v>
      </c>
      <c r="R2808" s="85">
        <f>STATS1003B!R2815/1000</f>
        <v>0</v>
      </c>
      <c r="S2808" s="85">
        <f>STATS1003B!S2815/1000</f>
        <v>0</v>
      </c>
      <c r="T2808" s="85">
        <f>STATS1003B!T2815/1000</f>
        <v>0</v>
      </c>
      <c r="U2808" s="85">
        <f>STATS1003B!U2815/1000</f>
        <v>0</v>
      </c>
      <c r="V2808" s="85">
        <f>STATS1003B!V2815/1000</f>
        <v>0</v>
      </c>
      <c r="W2808" s="85">
        <f>STATS1003B!W2815/1000</f>
        <v>0</v>
      </c>
      <c r="X2808" s="85">
        <f t="shared" si="302"/>
        <v>34666.158000000003</v>
      </c>
      <c r="Y2808" s="85">
        <f>STATS1003B!Y2815/1000</f>
        <v>0</v>
      </c>
      <c r="Z2808" s="85">
        <f t="shared" si="301"/>
        <v>0</v>
      </c>
      <c r="AA2808" s="69">
        <f>STATS1003B!AA2815/1000</f>
        <v>31414.50534</v>
      </c>
      <c r="AB2808" s="69">
        <f>STATS1003B!AB2815/1000</f>
        <v>0</v>
      </c>
    </row>
    <row r="2809" spans="1:28" x14ac:dyDescent="0.3">
      <c r="A2809" s="73"/>
      <c r="C2809" s="68" t="s">
        <v>1212</v>
      </c>
      <c r="E2809" s="85">
        <f>23927872/1000</f>
        <v>23927.871999999999</v>
      </c>
      <c r="F2809" s="85">
        <f>STATS1003B!F2816/1000</f>
        <v>10650.820760000001</v>
      </c>
      <c r="G2809" s="85">
        <f>STATS1003B!G2816/1000</f>
        <v>5326.4178899999997</v>
      </c>
      <c r="H2809" s="85">
        <f>23927872/1000</f>
        <v>23927.871999999999</v>
      </c>
      <c r="I2809" s="85">
        <f>STATS1003B!I2816/1000</f>
        <v>0</v>
      </c>
      <c r="J2809" s="85">
        <f>STATS1003B!J2816/1000</f>
        <v>0</v>
      </c>
      <c r="K2809" s="85">
        <f>STATS1003B!K2816/1000</f>
        <v>0</v>
      </c>
      <c r="L2809" s="85">
        <f>STATS1003B!L2816/1000</f>
        <v>0</v>
      </c>
      <c r="M2809" s="85">
        <f>STATS1003B!M2816/1000</f>
        <v>15977.238649999999</v>
      </c>
      <c r="N2809" s="85">
        <f>STATS1003B!N2816/1000</f>
        <v>0</v>
      </c>
      <c r="O2809" s="85">
        <f>STATS1003B!O2816/1000</f>
        <v>0</v>
      </c>
      <c r="P2809" s="85">
        <v>0</v>
      </c>
      <c r="Q2809" s="85">
        <f>STATS1003B!Q2816/1000</f>
        <v>0</v>
      </c>
      <c r="R2809" s="85">
        <f>STATS1003B!R2816/1000</f>
        <v>0</v>
      </c>
      <c r="S2809" s="85">
        <f>STATS1003B!S2816/1000</f>
        <v>0</v>
      </c>
      <c r="T2809" s="85">
        <f>STATS1003B!T2816/1000</f>
        <v>0</v>
      </c>
      <c r="U2809" s="85">
        <f>STATS1003B!U2816/1000</f>
        <v>0</v>
      </c>
      <c r="V2809" s="85">
        <f>STATS1003B!V2816/1000</f>
        <v>0</v>
      </c>
      <c r="W2809" s="85">
        <f>STATS1003B!W2816/1000</f>
        <v>0</v>
      </c>
      <c r="X2809" s="85">
        <f t="shared" si="302"/>
        <v>23927.871999999999</v>
      </c>
      <c r="Y2809" s="85">
        <f>STATS1003B!Y2816/1000</f>
        <v>0</v>
      </c>
      <c r="Z2809" s="85">
        <f>+X2809-E2809</f>
        <v>0</v>
      </c>
      <c r="AA2809" s="69">
        <f>STATS1003B!AA2816/1000</f>
        <v>15977.238649999999</v>
      </c>
      <c r="AB2809" s="69">
        <f>STATS1003B!AB2816/1000</f>
        <v>0</v>
      </c>
    </row>
    <row r="2810" spans="1:28" x14ac:dyDescent="0.3">
      <c r="A2810" s="73"/>
      <c r="C2810" s="68" t="s">
        <v>1273</v>
      </c>
      <c r="E2810" s="85">
        <f>29445484/1000</f>
        <v>29445.484</v>
      </c>
      <c r="F2810" s="85"/>
      <c r="G2810" s="85"/>
      <c r="H2810" s="85">
        <f>29445484/1000</f>
        <v>29445.484</v>
      </c>
      <c r="I2810" s="85"/>
      <c r="J2810" s="85"/>
      <c r="K2810" s="85"/>
      <c r="L2810" s="85"/>
      <c r="M2810" s="85"/>
      <c r="N2810" s="85"/>
      <c r="O2810" s="85"/>
      <c r="P2810" s="85">
        <v>0</v>
      </c>
      <c r="Q2810" s="85"/>
      <c r="R2810" s="85"/>
      <c r="S2810" s="85"/>
      <c r="T2810" s="85"/>
      <c r="U2810" s="85"/>
      <c r="V2810" s="85"/>
      <c r="W2810" s="85"/>
      <c r="X2810" s="85">
        <f t="shared" si="302"/>
        <v>29445.484</v>
      </c>
      <c r="Y2810" s="85"/>
      <c r="Z2810" s="85">
        <f t="shared" si="301"/>
        <v>0</v>
      </c>
      <c r="AA2810" s="69"/>
      <c r="AB2810" s="69"/>
    </row>
    <row r="2811" spans="1:28" x14ac:dyDescent="0.3">
      <c r="A2811" s="73"/>
      <c r="C2811" s="68" t="s">
        <v>1284</v>
      </c>
      <c r="E2811" s="85">
        <f>1807730/1000</f>
        <v>1807.73</v>
      </c>
      <c r="F2811" s="85"/>
      <c r="G2811" s="85"/>
      <c r="H2811" s="85">
        <f>1807530/1000</f>
        <v>1807.53</v>
      </c>
      <c r="I2811" s="85"/>
      <c r="J2811" s="85"/>
      <c r="K2811" s="85"/>
      <c r="L2811" s="85"/>
      <c r="M2811" s="85"/>
      <c r="N2811" s="85"/>
      <c r="O2811" s="85"/>
      <c r="P2811" s="85">
        <v>0</v>
      </c>
      <c r="Q2811" s="85"/>
      <c r="R2811" s="85"/>
      <c r="S2811" s="85"/>
      <c r="T2811" s="85"/>
      <c r="U2811" s="85"/>
      <c r="V2811" s="85"/>
      <c r="W2811" s="85"/>
      <c r="X2811" s="85">
        <f t="shared" si="302"/>
        <v>1807.53</v>
      </c>
      <c r="Y2811" s="85"/>
      <c r="Z2811" s="85">
        <f t="shared" si="301"/>
        <v>0.20000000000004547</v>
      </c>
      <c r="AA2811" s="69"/>
      <c r="AB2811" s="69"/>
    </row>
    <row r="2812" spans="1:28" x14ac:dyDescent="0.3">
      <c r="A2812" s="73"/>
      <c r="C2812" s="68" t="s">
        <v>1285</v>
      </c>
      <c r="E2812" s="85">
        <f>741973/1000</f>
        <v>741.97299999999996</v>
      </c>
      <c r="F2812" s="85"/>
      <c r="G2812" s="85"/>
      <c r="H2812" s="85">
        <f>741943/1000</f>
        <v>741.94299999999998</v>
      </c>
      <c r="I2812" s="85"/>
      <c r="J2812" s="85"/>
      <c r="K2812" s="85"/>
      <c r="L2812" s="85"/>
      <c r="M2812" s="85"/>
      <c r="N2812" s="85"/>
      <c r="O2812" s="85"/>
      <c r="P2812" s="85">
        <v>0</v>
      </c>
      <c r="Q2812" s="85"/>
      <c r="R2812" s="85"/>
      <c r="S2812" s="85"/>
      <c r="T2812" s="85"/>
      <c r="U2812" s="85"/>
      <c r="V2812" s="85"/>
      <c r="W2812" s="85"/>
      <c r="X2812" s="85">
        <f t="shared" si="302"/>
        <v>741.94299999999998</v>
      </c>
      <c r="Y2812" s="85"/>
      <c r="Z2812" s="85">
        <f t="shared" si="301"/>
        <v>2.9999999999972715E-2</v>
      </c>
      <c r="AA2812" s="69"/>
      <c r="AB2812" s="69"/>
    </row>
    <row r="2813" spans="1:28" x14ac:dyDescent="0.3">
      <c r="A2813" s="73"/>
      <c r="C2813" s="68" t="s">
        <v>1276</v>
      </c>
      <c r="E2813" s="85">
        <f>11665000/1000</f>
        <v>11665</v>
      </c>
      <c r="F2813" s="85"/>
      <c r="G2813" s="85"/>
      <c r="H2813" s="85">
        <f>11665000/1000</f>
        <v>11665</v>
      </c>
      <c r="I2813" s="85"/>
      <c r="J2813" s="85"/>
      <c r="K2813" s="85"/>
      <c r="L2813" s="85"/>
      <c r="M2813" s="85"/>
      <c r="N2813" s="85"/>
      <c r="O2813" s="85"/>
      <c r="P2813" s="85">
        <v>0</v>
      </c>
      <c r="Q2813" s="85"/>
      <c r="R2813" s="85"/>
      <c r="S2813" s="85"/>
      <c r="T2813" s="85"/>
      <c r="U2813" s="85"/>
      <c r="V2813" s="85"/>
      <c r="W2813" s="85"/>
      <c r="X2813" s="85">
        <f t="shared" ref="X2813:X2818" si="303">+H2813+P2813</f>
        <v>11665</v>
      </c>
      <c r="Y2813" s="85"/>
      <c r="Z2813" s="85">
        <f t="shared" si="301"/>
        <v>0</v>
      </c>
      <c r="AA2813" s="69"/>
      <c r="AB2813" s="69"/>
    </row>
    <row r="2814" spans="1:28" x14ac:dyDescent="0.3">
      <c r="A2814" s="73"/>
      <c r="C2814" s="68" t="s">
        <v>1288</v>
      </c>
      <c r="E2814" s="85">
        <f>23597086/1000</f>
        <v>23597.085999999999</v>
      </c>
      <c r="F2814" s="85"/>
      <c r="G2814" s="85"/>
      <c r="H2814" s="85">
        <f>23597086/1000</f>
        <v>23597.085999999999</v>
      </c>
      <c r="I2814" s="85"/>
      <c r="J2814" s="85"/>
      <c r="K2814" s="85"/>
      <c r="L2814" s="85"/>
      <c r="M2814" s="85"/>
      <c r="N2814" s="85"/>
      <c r="O2814" s="85"/>
      <c r="P2814" s="85">
        <v>0</v>
      </c>
      <c r="Q2814" s="85"/>
      <c r="R2814" s="85"/>
      <c r="S2814" s="85"/>
      <c r="T2814" s="85"/>
      <c r="U2814" s="85"/>
      <c r="V2814" s="85"/>
      <c r="W2814" s="85"/>
      <c r="X2814" s="85">
        <f t="shared" si="303"/>
        <v>23597.085999999999</v>
      </c>
      <c r="Y2814" s="85"/>
      <c r="Z2814" s="85">
        <f t="shared" si="301"/>
        <v>0</v>
      </c>
      <c r="AA2814" s="69"/>
      <c r="AB2814" s="69"/>
    </row>
    <row r="2815" spans="1:28" x14ac:dyDescent="0.3">
      <c r="A2815" s="73"/>
      <c r="C2815" s="68" t="s">
        <v>1294</v>
      </c>
      <c r="E2815" s="85">
        <f>28337627/1000</f>
        <v>28337.627</v>
      </c>
      <c r="F2815" s="85"/>
      <c r="G2815" s="85"/>
      <c r="H2815" s="85">
        <f>28337627/1000</f>
        <v>28337.627</v>
      </c>
      <c r="I2815" s="85"/>
      <c r="J2815" s="85"/>
      <c r="K2815" s="85"/>
      <c r="L2815" s="85"/>
      <c r="M2815" s="85"/>
      <c r="N2815" s="85"/>
      <c r="O2815" s="85"/>
      <c r="P2815" s="85">
        <v>0</v>
      </c>
      <c r="Q2815" s="85"/>
      <c r="R2815" s="85"/>
      <c r="S2815" s="85"/>
      <c r="T2815" s="85"/>
      <c r="U2815" s="85"/>
      <c r="V2815" s="85"/>
      <c r="W2815" s="85"/>
      <c r="X2815" s="85">
        <f t="shared" si="303"/>
        <v>28337.627</v>
      </c>
      <c r="Y2815" s="85"/>
      <c r="Z2815" s="85">
        <f t="shared" si="301"/>
        <v>0</v>
      </c>
      <c r="AA2815" s="69"/>
      <c r="AB2815" s="69"/>
    </row>
    <row r="2816" spans="1:28" x14ac:dyDescent="0.3">
      <c r="A2816" s="73"/>
      <c r="C2816" s="68" t="s">
        <v>1297</v>
      </c>
      <c r="E2816" s="85">
        <f>16629146/1000</f>
        <v>16629.146000000001</v>
      </c>
      <c r="F2816" s="85"/>
      <c r="G2816" s="85"/>
      <c r="H2816" s="85">
        <f>16629146/1000</f>
        <v>16629.146000000001</v>
      </c>
      <c r="I2816" s="85"/>
      <c r="J2816" s="85"/>
      <c r="K2816" s="85"/>
      <c r="L2816" s="85"/>
      <c r="M2816" s="85"/>
      <c r="N2816" s="85"/>
      <c r="O2816" s="85"/>
      <c r="P2816" s="85">
        <v>0</v>
      </c>
      <c r="Q2816" s="85"/>
      <c r="R2816" s="85"/>
      <c r="S2816" s="85"/>
      <c r="T2816" s="85"/>
      <c r="U2816" s="85"/>
      <c r="V2816" s="85"/>
      <c r="W2816" s="85"/>
      <c r="X2816" s="85">
        <f t="shared" si="303"/>
        <v>16629.146000000001</v>
      </c>
      <c r="Y2816" s="85"/>
      <c r="Z2816" s="85">
        <f t="shared" si="301"/>
        <v>0</v>
      </c>
      <c r="AA2816" s="69"/>
      <c r="AB2816" s="69"/>
    </row>
    <row r="2817" spans="1:30" x14ac:dyDescent="0.3">
      <c r="A2817" s="73"/>
      <c r="C2817" s="68" t="s">
        <v>1304</v>
      </c>
      <c r="E2817" s="85">
        <f>20008103.46/1000</f>
        <v>20008.103460000002</v>
      </c>
      <c r="F2817" s="85"/>
      <c r="G2817" s="85"/>
      <c r="H2817" s="85">
        <f>20008103.46/1000</f>
        <v>20008.103460000002</v>
      </c>
      <c r="I2817" s="85"/>
      <c r="J2817" s="85"/>
      <c r="K2817" s="85"/>
      <c r="L2817" s="85"/>
      <c r="M2817" s="85"/>
      <c r="N2817" s="85"/>
      <c r="O2817" s="85"/>
      <c r="P2817" s="85">
        <v>0</v>
      </c>
      <c r="Q2817" s="85"/>
      <c r="R2817" s="85"/>
      <c r="S2817" s="85"/>
      <c r="T2817" s="85"/>
      <c r="U2817" s="85"/>
      <c r="V2817" s="85"/>
      <c r="W2817" s="85"/>
      <c r="X2817" s="85">
        <f t="shared" si="303"/>
        <v>20008.103460000002</v>
      </c>
      <c r="Y2817" s="85"/>
      <c r="Z2817" s="85">
        <f t="shared" si="301"/>
        <v>0</v>
      </c>
      <c r="AA2817" s="69"/>
      <c r="AB2817" s="69"/>
    </row>
    <row r="2818" spans="1:30" x14ac:dyDescent="0.3">
      <c r="A2818" s="73"/>
      <c r="C2818" s="68" t="s">
        <v>1298</v>
      </c>
      <c r="E2818" s="85">
        <f>2813105/1000</f>
        <v>2813.105</v>
      </c>
      <c r="F2818" s="85"/>
      <c r="G2818" s="85"/>
      <c r="H2818" s="85">
        <f>2813105/1000</f>
        <v>2813.105</v>
      </c>
      <c r="I2818" s="85"/>
      <c r="J2818" s="85"/>
      <c r="K2818" s="85"/>
      <c r="L2818" s="85"/>
      <c r="M2818" s="85"/>
      <c r="N2818" s="85"/>
      <c r="O2818" s="85"/>
      <c r="P2818" s="85">
        <v>0</v>
      </c>
      <c r="Q2818" s="85"/>
      <c r="R2818" s="85"/>
      <c r="S2818" s="85"/>
      <c r="T2818" s="85"/>
      <c r="U2818" s="85"/>
      <c r="V2818" s="85"/>
      <c r="W2818" s="85"/>
      <c r="X2818" s="85">
        <f t="shared" si="303"/>
        <v>2813.105</v>
      </c>
      <c r="Y2818" s="85"/>
      <c r="Z2818" s="85">
        <f t="shared" si="301"/>
        <v>0</v>
      </c>
      <c r="AA2818" s="69"/>
      <c r="AB2818" s="69"/>
    </row>
    <row r="2819" spans="1:30" x14ac:dyDescent="0.3">
      <c r="A2819" s="73"/>
      <c r="C2819" s="68" t="s">
        <v>1098</v>
      </c>
      <c r="E2819" s="85">
        <f>1430654/1000</f>
        <v>1430.654</v>
      </c>
      <c r="F2819" s="85">
        <f>STATS1003B!F2817/1000</f>
        <v>1430.65446</v>
      </c>
      <c r="G2819" s="85">
        <f>STATS1003B!G2817/1000</f>
        <v>0</v>
      </c>
      <c r="H2819" s="85">
        <f>1430651.46/1000</f>
        <v>1430.65146</v>
      </c>
      <c r="I2819" s="85">
        <f>STATS1003B!I2817/1000</f>
        <v>0</v>
      </c>
      <c r="J2819" s="85">
        <f>STATS1003B!J2817/1000</f>
        <v>0</v>
      </c>
      <c r="K2819" s="85">
        <f>STATS1003B!K2817/1000</f>
        <v>0</v>
      </c>
      <c r="L2819" s="85">
        <f>STATS1003B!L2817/1000</f>
        <v>0</v>
      </c>
      <c r="M2819" s="85">
        <f>STATS1003B!M2817/1000</f>
        <v>1430.65446</v>
      </c>
      <c r="N2819" s="85">
        <f>STATS1003B!N2817/1000</f>
        <v>0</v>
      </c>
      <c r="O2819" s="85">
        <f>STATS1003B!O2817/1000</f>
        <v>0</v>
      </c>
      <c r="P2819" s="85">
        <v>0</v>
      </c>
      <c r="Q2819" s="85">
        <f>STATS1003B!Q2817/1000</f>
        <v>0</v>
      </c>
      <c r="R2819" s="85">
        <f>STATS1003B!R2817/1000</f>
        <v>0</v>
      </c>
      <c r="S2819" s="85">
        <f>STATS1003B!S2817/1000</f>
        <v>0</v>
      </c>
      <c r="T2819" s="85">
        <f>STATS1003B!T2817/1000</f>
        <v>0</v>
      </c>
      <c r="U2819" s="85">
        <f>STATS1003B!U2817/1000</f>
        <v>0</v>
      </c>
      <c r="V2819" s="85">
        <f>STATS1003B!V2817/1000</f>
        <v>0</v>
      </c>
      <c r="W2819" s="85">
        <f>STATS1003B!W2817/1000</f>
        <v>0</v>
      </c>
      <c r="X2819" s="85">
        <f t="shared" si="302"/>
        <v>1430.65146</v>
      </c>
      <c r="Y2819" s="85">
        <f>STATS1003B!Y2817/1000</f>
        <v>0</v>
      </c>
      <c r="Z2819" s="85">
        <f t="shared" si="301"/>
        <v>2.5399999999535794E-3</v>
      </c>
      <c r="AA2819" s="69">
        <f>STATS1003B!AA2817/1000</f>
        <v>1430.65446</v>
      </c>
      <c r="AB2819" s="69">
        <f>STATS1003B!AB2817/1000</f>
        <v>0</v>
      </c>
    </row>
    <row r="2820" spans="1:30" x14ac:dyDescent="0.3">
      <c r="A2820" s="73"/>
      <c r="C2820" s="68" t="s">
        <v>933</v>
      </c>
      <c r="E2820" s="85">
        <f>261832216/1000</f>
        <v>261832.21599999999</v>
      </c>
      <c r="F2820" s="85">
        <f>STATS1003B!F2818/1000</f>
        <v>261669.22083000001</v>
      </c>
      <c r="G2820" s="85">
        <f>STATS1003B!G2818/1000</f>
        <v>0</v>
      </c>
      <c r="H2820" s="85">
        <f>261815401/1000</f>
        <v>261815.40100000001</v>
      </c>
      <c r="I2820" s="85">
        <f>STATS1003B!I2818/1000</f>
        <v>0</v>
      </c>
      <c r="J2820" s="85">
        <f>STATS1003B!J2818/1000</f>
        <v>0</v>
      </c>
      <c r="K2820" s="85">
        <f>STATS1003B!K2818/1000</f>
        <v>0</v>
      </c>
      <c r="L2820" s="85">
        <f>STATS1003B!L2818/1000</f>
        <v>0</v>
      </c>
      <c r="M2820" s="85">
        <f>STATS1003B!M2818/1000</f>
        <v>261669.22083000001</v>
      </c>
      <c r="N2820" s="85">
        <f>STATS1003B!N2818/1000</f>
        <v>16.81513</v>
      </c>
      <c r="O2820" s="85">
        <f>STATS1003B!O2818/1000</f>
        <v>0</v>
      </c>
      <c r="P2820" s="85">
        <v>16.815000000000001</v>
      </c>
      <c r="Q2820" s="85">
        <f>STATS1003B!Q2818/1000</f>
        <v>0</v>
      </c>
      <c r="R2820" s="85">
        <f>STATS1003B!R2818/1000</f>
        <v>0</v>
      </c>
      <c r="S2820" s="85">
        <f>STATS1003B!S2818/1000</f>
        <v>0</v>
      </c>
      <c r="T2820" s="85">
        <f>STATS1003B!T2818/1000</f>
        <v>0</v>
      </c>
      <c r="U2820" s="85">
        <f>STATS1003B!U2818/1000</f>
        <v>16.81513</v>
      </c>
      <c r="V2820" s="85">
        <f>STATS1003B!V2818/1000</f>
        <v>3065.4653800000001</v>
      </c>
      <c r="W2820" s="85">
        <f>STATS1003B!W2818/1000</f>
        <v>4.0995400000000375</v>
      </c>
      <c r="X2820" s="85">
        <f t="shared" si="302"/>
        <v>261832.21600000001</v>
      </c>
      <c r="Y2820" s="85">
        <f>STATS1003B!Y2818/1000</f>
        <v>0</v>
      </c>
      <c r="Z2820" s="85">
        <f t="shared" si="301"/>
        <v>0</v>
      </c>
      <c r="AA2820" s="69">
        <f>STATS1003B!AA2818/1000</f>
        <v>261686.03596000001</v>
      </c>
      <c r="AB2820" s="69">
        <f>STATS1003B!AB2818/1000</f>
        <v>0</v>
      </c>
    </row>
    <row r="2821" spans="1:30" x14ac:dyDescent="0.3">
      <c r="A2821" s="73"/>
      <c r="C2821" s="68" t="s">
        <v>1173</v>
      </c>
      <c r="E2821" s="85">
        <f>210380385/1000</f>
        <v>210380.38500000001</v>
      </c>
      <c r="F2821" s="85">
        <f>STATS1003B!F2819/1000</f>
        <v>210380.38529999999</v>
      </c>
      <c r="G2821" s="85">
        <f>STATS1003B!G2819/1000</f>
        <v>0</v>
      </c>
      <c r="H2821" s="85">
        <f>210380385/1000</f>
        <v>210380.38500000001</v>
      </c>
      <c r="I2821" s="85">
        <f>STATS1003B!I2819/1000</f>
        <v>0</v>
      </c>
      <c r="J2821" s="85">
        <f>STATS1003B!J2819/1000</f>
        <v>0</v>
      </c>
      <c r="K2821" s="85">
        <f>STATS1003B!K2819/1000</f>
        <v>0</v>
      </c>
      <c r="L2821" s="85">
        <f>STATS1003B!L2819/1000</f>
        <v>0</v>
      </c>
      <c r="M2821" s="85">
        <f>STATS1003B!M2819/1000</f>
        <v>210380.38529999999</v>
      </c>
      <c r="N2821" s="85">
        <f>STATS1003B!N2819/1000</f>
        <v>0</v>
      </c>
      <c r="O2821" s="85">
        <f>STATS1003B!O2819/1000</f>
        <v>0</v>
      </c>
      <c r="P2821" s="85">
        <v>0</v>
      </c>
      <c r="Q2821" s="85">
        <f>STATS1003B!Q2819/1000</f>
        <v>0</v>
      </c>
      <c r="R2821" s="85">
        <f>STATS1003B!R2819/1000</f>
        <v>0</v>
      </c>
      <c r="S2821" s="85">
        <f>STATS1003B!S2819/1000</f>
        <v>0</v>
      </c>
      <c r="T2821" s="85">
        <f>STATS1003B!T2819/1000</f>
        <v>0</v>
      </c>
      <c r="U2821" s="85">
        <f>STATS1003B!U2819/1000</f>
        <v>0</v>
      </c>
      <c r="V2821" s="85">
        <f>STATS1003B!V2819/1000</f>
        <v>0</v>
      </c>
      <c r="W2821" s="85">
        <f>STATS1003B!W2819/1000</f>
        <v>0</v>
      </c>
      <c r="X2821" s="85">
        <f t="shared" si="302"/>
        <v>210380.38500000001</v>
      </c>
      <c r="Y2821" s="85">
        <f>STATS1003B!Y2819/1000</f>
        <v>0</v>
      </c>
      <c r="Z2821" s="85">
        <f t="shared" si="301"/>
        <v>0</v>
      </c>
      <c r="AA2821" s="69">
        <f>STATS1003B!AA2819/1000</f>
        <v>210380.38529999999</v>
      </c>
      <c r="AB2821" s="69">
        <f>STATS1003B!AB2819/1000</f>
        <v>0</v>
      </c>
    </row>
    <row r="2822" spans="1:30" x14ac:dyDescent="0.3">
      <c r="A2822" s="73"/>
      <c r="C2822" s="68" t="s">
        <v>1245</v>
      </c>
      <c r="E2822" s="85">
        <f>364969946/1000</f>
        <v>364969.946</v>
      </c>
      <c r="F2822" s="85">
        <f>STATS1003B!F2820/1000</f>
        <v>45703.05169</v>
      </c>
      <c r="G2822" s="85">
        <f>STATS1003B!G2820/1000</f>
        <v>96759.552439999999</v>
      </c>
      <c r="H2822" s="85">
        <f>364969946.78/1000</f>
        <v>364969.94678</v>
      </c>
      <c r="I2822" s="85">
        <f>STATS1003B!I2820/1000</f>
        <v>0</v>
      </c>
      <c r="J2822" s="85">
        <f>STATS1003B!J2820/1000</f>
        <v>0</v>
      </c>
      <c r="K2822" s="85">
        <f>STATS1003B!K2820/1000</f>
        <v>0</v>
      </c>
      <c r="L2822" s="85">
        <f>STATS1003B!L2820/1000</f>
        <v>0</v>
      </c>
      <c r="M2822" s="85">
        <f>STATS1003B!M2820/1000</f>
        <v>142462.60412999999</v>
      </c>
      <c r="N2822" s="85">
        <f>STATS1003B!N2820/1000</f>
        <v>0</v>
      </c>
      <c r="O2822" s="85">
        <f>STATS1003B!O2820/1000</f>
        <v>0</v>
      </c>
      <c r="P2822" s="85">
        <v>0</v>
      </c>
      <c r="Q2822" s="85">
        <f>STATS1003B!Q2820/1000</f>
        <v>0</v>
      </c>
      <c r="R2822" s="85">
        <f>STATS1003B!R2820/1000</f>
        <v>0</v>
      </c>
      <c r="S2822" s="85">
        <f>STATS1003B!S2820/1000</f>
        <v>0</v>
      </c>
      <c r="T2822" s="85">
        <f>STATS1003B!T2820/1000</f>
        <v>0</v>
      </c>
      <c r="U2822" s="85">
        <f>STATS1003B!U2820/1000</f>
        <v>0</v>
      </c>
      <c r="V2822" s="85">
        <f>STATS1003B!V2820/1000</f>
        <v>0</v>
      </c>
      <c r="W2822" s="85">
        <f>STATS1003B!W2820/1000</f>
        <v>0</v>
      </c>
      <c r="X2822" s="85">
        <f t="shared" si="302"/>
        <v>364969.94678</v>
      </c>
      <c r="Y2822" s="85">
        <f>STATS1003B!Y2820/1000</f>
        <v>0</v>
      </c>
      <c r="Z2822" s="85">
        <f>+X2822-E2822</f>
        <v>7.8000000212341547E-4</v>
      </c>
      <c r="AA2822" s="69">
        <f>STATS1003B!AA2820/1000</f>
        <v>142462.60412999999</v>
      </c>
      <c r="AB2822" s="69">
        <f>STATS1003B!AB2820/1000</f>
        <v>0</v>
      </c>
    </row>
    <row r="2823" spans="1:30" x14ac:dyDescent="0.3">
      <c r="A2823" s="73"/>
      <c r="C2823" s="68" t="s">
        <v>1275</v>
      </c>
      <c r="E2823" s="85">
        <f>540948363.93/1000</f>
        <v>540948.36392999999</v>
      </c>
      <c r="F2823" s="85"/>
      <c r="G2823" s="85"/>
      <c r="H2823" s="85">
        <f>540948363.93/1000</f>
        <v>540948.36392999999</v>
      </c>
      <c r="I2823" s="85"/>
      <c r="J2823" s="85"/>
      <c r="K2823" s="85"/>
      <c r="L2823" s="85"/>
      <c r="M2823" s="85"/>
      <c r="N2823" s="85"/>
      <c r="O2823" s="85"/>
      <c r="P2823" s="85">
        <v>0</v>
      </c>
      <c r="Q2823" s="85"/>
      <c r="R2823" s="85"/>
      <c r="S2823" s="85"/>
      <c r="T2823" s="85"/>
      <c r="U2823" s="85"/>
      <c r="V2823" s="85"/>
      <c r="W2823" s="85"/>
      <c r="X2823" s="85">
        <f t="shared" ref="X2823:X2840" si="304">+H2823+P2823</f>
        <v>540948.36392999999</v>
      </c>
      <c r="Y2823" s="85"/>
      <c r="Z2823" s="85">
        <f>+X2823-E2823</f>
        <v>0</v>
      </c>
      <c r="AA2823" s="69"/>
      <c r="AB2823" s="69"/>
    </row>
    <row r="2824" spans="1:30" x14ac:dyDescent="0.3">
      <c r="A2824" s="73"/>
      <c r="C2824" s="68" t="s">
        <v>1299</v>
      </c>
      <c r="E2824" s="85">
        <f>16526335/1000</f>
        <v>16526.334999999999</v>
      </c>
      <c r="F2824" s="85"/>
      <c r="G2824" s="85"/>
      <c r="H2824" s="85">
        <f>16526335/1000</f>
        <v>16526.334999999999</v>
      </c>
      <c r="I2824" s="85"/>
      <c r="J2824" s="85"/>
      <c r="K2824" s="85"/>
      <c r="L2824" s="85"/>
      <c r="M2824" s="85"/>
      <c r="N2824" s="85"/>
      <c r="O2824" s="85"/>
      <c r="P2824" s="85">
        <v>0</v>
      </c>
      <c r="Q2824" s="85"/>
      <c r="R2824" s="85"/>
      <c r="S2824" s="85"/>
      <c r="T2824" s="85"/>
      <c r="U2824" s="85"/>
      <c r="V2824" s="85"/>
      <c r="W2824" s="85"/>
      <c r="X2824" s="85">
        <f t="shared" si="304"/>
        <v>16526.334999999999</v>
      </c>
      <c r="Y2824" s="85"/>
      <c r="Z2824" s="85">
        <f t="shared" ref="Z2824:Z2831" si="305">+E2824-X2824</f>
        <v>0</v>
      </c>
      <c r="AA2824" s="69"/>
      <c r="AB2824" s="69"/>
    </row>
    <row r="2825" spans="1:30" x14ac:dyDescent="0.3">
      <c r="A2825" s="73"/>
      <c r="C2825" s="68" t="s">
        <v>1300</v>
      </c>
      <c r="E2825" s="85">
        <f>3006212/1000</f>
        <v>3006.212</v>
      </c>
      <c r="F2825" s="85"/>
      <c r="G2825" s="85"/>
      <c r="H2825" s="85">
        <f>3006212/1000</f>
        <v>3006.212</v>
      </c>
      <c r="I2825" s="85"/>
      <c r="J2825" s="85"/>
      <c r="K2825" s="85"/>
      <c r="L2825" s="85"/>
      <c r="M2825" s="85"/>
      <c r="N2825" s="85"/>
      <c r="O2825" s="85"/>
      <c r="P2825" s="85">
        <v>0</v>
      </c>
      <c r="Q2825" s="85"/>
      <c r="R2825" s="85"/>
      <c r="S2825" s="85"/>
      <c r="T2825" s="85"/>
      <c r="U2825" s="85"/>
      <c r="V2825" s="85"/>
      <c r="W2825" s="85"/>
      <c r="X2825" s="85">
        <f t="shared" si="304"/>
        <v>3006.212</v>
      </c>
      <c r="Y2825" s="85"/>
      <c r="Z2825" s="85">
        <f t="shared" si="305"/>
        <v>0</v>
      </c>
      <c r="AA2825" s="69"/>
      <c r="AB2825" s="69"/>
    </row>
    <row r="2826" spans="1:30" x14ac:dyDescent="0.3">
      <c r="A2826" s="73"/>
      <c r="C2826" s="68" t="s">
        <v>1309</v>
      </c>
      <c r="E2826" s="85">
        <f>1624992.37/1000</f>
        <v>1624.9923700000002</v>
      </c>
      <c r="F2826" s="85"/>
      <c r="G2826" s="85"/>
      <c r="H2826" s="85">
        <f>1624992.37/1000</f>
        <v>1624.9923700000002</v>
      </c>
      <c r="I2826" s="85"/>
      <c r="J2826" s="85"/>
      <c r="K2826" s="85"/>
      <c r="L2826" s="85"/>
      <c r="M2826" s="85"/>
      <c r="N2826" s="85"/>
      <c r="O2826" s="85"/>
      <c r="P2826" s="85">
        <v>0</v>
      </c>
      <c r="Q2826" s="85"/>
      <c r="R2826" s="85"/>
      <c r="S2826" s="85"/>
      <c r="T2826" s="85"/>
      <c r="U2826" s="85"/>
      <c r="V2826" s="85"/>
      <c r="W2826" s="85"/>
      <c r="X2826" s="85">
        <f t="shared" si="304"/>
        <v>1624.9923700000002</v>
      </c>
      <c r="Y2826" s="85"/>
      <c r="Z2826" s="85">
        <f>+E2826-X2826</f>
        <v>0</v>
      </c>
      <c r="AA2826" s="69"/>
      <c r="AB2826" s="69"/>
    </row>
    <row r="2827" spans="1:30" x14ac:dyDescent="0.3">
      <c r="A2827" s="73"/>
      <c r="C2827" s="68" t="s">
        <v>1306</v>
      </c>
      <c r="E2827" s="85">
        <f>8176919.68/1000</f>
        <v>8176.91968</v>
      </c>
      <c r="F2827" s="85"/>
      <c r="G2827" s="85"/>
      <c r="H2827" s="85">
        <f>8176919.68/1000</f>
        <v>8176.91968</v>
      </c>
      <c r="I2827" s="85"/>
      <c r="J2827" s="85"/>
      <c r="K2827" s="85"/>
      <c r="L2827" s="85"/>
      <c r="M2827" s="85"/>
      <c r="N2827" s="85"/>
      <c r="O2827" s="85"/>
      <c r="P2827" s="85">
        <v>0</v>
      </c>
      <c r="Q2827" s="85"/>
      <c r="R2827" s="85"/>
      <c r="S2827" s="85"/>
      <c r="T2827" s="85"/>
      <c r="U2827" s="85"/>
      <c r="V2827" s="85"/>
      <c r="W2827" s="85"/>
      <c r="X2827" s="85">
        <f t="shared" si="304"/>
        <v>8176.91968</v>
      </c>
      <c r="Y2827" s="85"/>
      <c r="Z2827" s="85">
        <f t="shared" si="305"/>
        <v>0</v>
      </c>
      <c r="AA2827" s="69"/>
      <c r="AB2827" s="69"/>
    </row>
    <row r="2828" spans="1:30" x14ac:dyDescent="0.3">
      <c r="A2828" s="73"/>
      <c r="C2828" s="68" t="s">
        <v>1301</v>
      </c>
      <c r="E2828" s="85">
        <f>296701/1000</f>
        <v>296.70100000000002</v>
      </c>
      <c r="F2828" s="85"/>
      <c r="G2828" s="85"/>
      <c r="H2828" s="85">
        <f>296701/1000</f>
        <v>296.70100000000002</v>
      </c>
      <c r="I2828" s="85"/>
      <c r="J2828" s="85"/>
      <c r="K2828" s="85"/>
      <c r="L2828" s="85"/>
      <c r="M2828" s="85"/>
      <c r="N2828" s="85"/>
      <c r="O2828" s="85"/>
      <c r="P2828" s="85">
        <v>0</v>
      </c>
      <c r="Q2828" s="85"/>
      <c r="R2828" s="85"/>
      <c r="S2828" s="85"/>
      <c r="T2828" s="85"/>
      <c r="U2828" s="85"/>
      <c r="V2828" s="85"/>
      <c r="W2828" s="85"/>
      <c r="X2828" s="85">
        <f t="shared" si="304"/>
        <v>296.70100000000002</v>
      </c>
      <c r="Y2828" s="85"/>
      <c r="Z2828" s="85">
        <f t="shared" si="305"/>
        <v>0</v>
      </c>
      <c r="AA2828" s="69"/>
      <c r="AB2828" s="69"/>
      <c r="AD2828" s="144"/>
    </row>
    <row r="2829" spans="1:30" x14ac:dyDescent="0.3">
      <c r="A2829" s="73"/>
      <c r="C2829" s="68" t="s">
        <v>1302</v>
      </c>
      <c r="E2829" s="85">
        <f>2031412/1000</f>
        <v>2031.412</v>
      </c>
      <c r="F2829" s="85"/>
      <c r="G2829" s="85"/>
      <c r="H2829" s="85">
        <f>2031412/1000</f>
        <v>2031.412</v>
      </c>
      <c r="I2829" s="85"/>
      <c r="J2829" s="85"/>
      <c r="K2829" s="85"/>
      <c r="L2829" s="85"/>
      <c r="M2829" s="85"/>
      <c r="N2829" s="85"/>
      <c r="O2829" s="85"/>
      <c r="P2829" s="85">
        <v>0</v>
      </c>
      <c r="Q2829" s="85"/>
      <c r="R2829" s="85"/>
      <c r="S2829" s="85"/>
      <c r="T2829" s="85"/>
      <c r="U2829" s="85"/>
      <c r="V2829" s="85"/>
      <c r="W2829" s="85"/>
      <c r="X2829" s="85">
        <f t="shared" si="304"/>
        <v>2031.412</v>
      </c>
      <c r="Y2829" s="85"/>
      <c r="Z2829" s="85">
        <f t="shared" si="305"/>
        <v>0</v>
      </c>
      <c r="AA2829" s="69"/>
      <c r="AB2829" s="69"/>
    </row>
    <row r="2830" spans="1:30" x14ac:dyDescent="0.3">
      <c r="A2830" s="73"/>
      <c r="C2830" s="68" t="s">
        <v>1303</v>
      </c>
      <c r="E2830" s="85">
        <f>4074451.57/1000</f>
        <v>4074.4515699999997</v>
      </c>
      <c r="F2830" s="85"/>
      <c r="G2830" s="85"/>
      <c r="H2830" s="85">
        <f>4074451.57/1000</f>
        <v>4074.4515699999997</v>
      </c>
      <c r="I2830" s="85"/>
      <c r="J2830" s="85"/>
      <c r="K2830" s="85"/>
      <c r="L2830" s="85"/>
      <c r="M2830" s="85"/>
      <c r="N2830" s="85"/>
      <c r="O2830" s="85"/>
      <c r="P2830" s="85">
        <v>0</v>
      </c>
      <c r="Q2830" s="85"/>
      <c r="R2830" s="85"/>
      <c r="S2830" s="85"/>
      <c r="T2830" s="85"/>
      <c r="U2830" s="85"/>
      <c r="V2830" s="85"/>
      <c r="W2830" s="85"/>
      <c r="X2830" s="85">
        <f t="shared" si="304"/>
        <v>4074.4515699999997</v>
      </c>
      <c r="Y2830" s="85"/>
      <c r="Z2830" s="85">
        <f t="shared" si="305"/>
        <v>0</v>
      </c>
      <c r="AA2830" s="69"/>
      <c r="AB2830" s="69"/>
    </row>
    <row r="2831" spans="1:30" x14ac:dyDescent="0.3">
      <c r="A2831" s="73"/>
      <c r="C2831" s="68" t="s">
        <v>1307</v>
      </c>
      <c r="E2831" s="85">
        <f>7398612.5/1000</f>
        <v>7398.6125000000002</v>
      </c>
      <c r="F2831" s="85"/>
      <c r="G2831" s="85"/>
      <c r="H2831" s="85">
        <f>7398612.5/1000</f>
        <v>7398.6125000000002</v>
      </c>
      <c r="I2831" s="85"/>
      <c r="J2831" s="85"/>
      <c r="K2831" s="85"/>
      <c r="L2831" s="85"/>
      <c r="M2831" s="85"/>
      <c r="N2831" s="85"/>
      <c r="O2831" s="85"/>
      <c r="P2831" s="85">
        <v>0</v>
      </c>
      <c r="Q2831" s="85"/>
      <c r="R2831" s="85"/>
      <c r="S2831" s="85"/>
      <c r="T2831" s="85"/>
      <c r="U2831" s="85"/>
      <c r="V2831" s="85"/>
      <c r="W2831" s="85"/>
      <c r="X2831" s="85">
        <f t="shared" si="304"/>
        <v>7398.6125000000002</v>
      </c>
      <c r="Y2831" s="85"/>
      <c r="Z2831" s="85">
        <f t="shared" si="305"/>
        <v>0</v>
      </c>
      <c r="AA2831" s="69"/>
      <c r="AB2831" s="69"/>
    </row>
    <row r="2832" spans="1:30" x14ac:dyDescent="0.3">
      <c r="A2832" s="73"/>
      <c r="C2832" s="68" t="s">
        <v>1286</v>
      </c>
      <c r="E2832" s="85">
        <f>328019383/1000</f>
        <v>328019.38299999997</v>
      </c>
      <c r="F2832" s="85"/>
      <c r="G2832" s="85"/>
      <c r="H2832" s="85">
        <f>328019383/1000</f>
        <v>328019.38299999997</v>
      </c>
      <c r="I2832" s="85"/>
      <c r="J2832" s="85"/>
      <c r="K2832" s="85"/>
      <c r="L2832" s="85"/>
      <c r="M2832" s="85"/>
      <c r="N2832" s="85"/>
      <c r="O2832" s="85"/>
      <c r="P2832" s="85">
        <v>0</v>
      </c>
      <c r="Q2832" s="85"/>
      <c r="R2832" s="85"/>
      <c r="S2832" s="85"/>
      <c r="T2832" s="85"/>
      <c r="U2832" s="85"/>
      <c r="V2832" s="85"/>
      <c r="W2832" s="85"/>
      <c r="X2832" s="85">
        <f t="shared" si="304"/>
        <v>328019.38299999997</v>
      </c>
      <c r="Y2832" s="85"/>
      <c r="Z2832" s="85">
        <f t="shared" si="301"/>
        <v>0</v>
      </c>
      <c r="AA2832" s="69"/>
      <c r="AB2832" s="69"/>
    </row>
    <row r="2833" spans="1:28" x14ac:dyDescent="0.3">
      <c r="A2833" s="73"/>
      <c r="C2833" s="68" t="s">
        <v>1293</v>
      </c>
      <c r="E2833" s="85">
        <f>372574658.67/1000</f>
        <v>372574.65867000003</v>
      </c>
      <c r="F2833" s="85"/>
      <c r="G2833" s="85"/>
      <c r="H2833" s="85">
        <f>372574658.67/1000</f>
        <v>372574.65867000003</v>
      </c>
      <c r="I2833" s="85"/>
      <c r="J2833" s="85"/>
      <c r="K2833" s="85"/>
      <c r="L2833" s="85"/>
      <c r="M2833" s="85"/>
      <c r="N2833" s="85"/>
      <c r="O2833" s="85"/>
      <c r="P2833" s="85">
        <v>0</v>
      </c>
      <c r="Q2833" s="85"/>
      <c r="R2833" s="85"/>
      <c r="S2833" s="85"/>
      <c r="T2833" s="85"/>
      <c r="U2833" s="85"/>
      <c r="V2833" s="85"/>
      <c r="W2833" s="85"/>
      <c r="X2833" s="85">
        <f t="shared" si="304"/>
        <v>372574.65867000003</v>
      </c>
      <c r="Y2833" s="85"/>
      <c r="Z2833" s="85">
        <f t="shared" si="301"/>
        <v>0</v>
      </c>
      <c r="AA2833" s="69"/>
      <c r="AB2833" s="69"/>
    </row>
    <row r="2834" spans="1:28" x14ac:dyDescent="0.3">
      <c r="A2834" s="73"/>
      <c r="C2834" s="68" t="s">
        <v>1310</v>
      </c>
      <c r="E2834" s="85">
        <f>1737969786.71/1000</f>
        <v>1737969.7867100001</v>
      </c>
      <c r="F2834" s="85"/>
      <c r="G2834" s="85"/>
      <c r="H2834" s="85">
        <f>1737969786.71/1000</f>
        <v>1737969.7867100001</v>
      </c>
      <c r="I2834" s="85"/>
      <c r="J2834" s="85"/>
      <c r="K2834" s="85"/>
      <c r="L2834" s="85"/>
      <c r="M2834" s="85"/>
      <c r="N2834" s="85"/>
      <c r="O2834" s="85"/>
      <c r="P2834" s="85">
        <v>0</v>
      </c>
      <c r="Q2834" s="85"/>
      <c r="R2834" s="85"/>
      <c r="S2834" s="85"/>
      <c r="T2834" s="85"/>
      <c r="U2834" s="85"/>
      <c r="V2834" s="85"/>
      <c r="W2834" s="85"/>
      <c r="X2834" s="85">
        <f t="shared" si="304"/>
        <v>1737969.7867100001</v>
      </c>
      <c r="Y2834" s="85"/>
      <c r="Z2834" s="85">
        <f t="shared" si="301"/>
        <v>0</v>
      </c>
      <c r="AA2834" s="69"/>
      <c r="AB2834" s="69"/>
    </row>
    <row r="2835" spans="1:28" x14ac:dyDescent="0.3">
      <c r="A2835" s="73"/>
      <c r="C2835" s="68" t="s">
        <v>1311</v>
      </c>
      <c r="E2835" s="85">
        <f>2365130473.97/1000</f>
        <v>2365130.4739699997</v>
      </c>
      <c r="F2835" s="85"/>
      <c r="G2835" s="85"/>
      <c r="H2835" s="85">
        <f>2365130473.97/1000</f>
        <v>2365130.4739699997</v>
      </c>
      <c r="I2835" s="85"/>
      <c r="J2835" s="85"/>
      <c r="K2835" s="85"/>
      <c r="L2835" s="85"/>
      <c r="M2835" s="85"/>
      <c r="N2835" s="85"/>
      <c r="O2835" s="85"/>
      <c r="P2835" s="85">
        <v>0</v>
      </c>
      <c r="Q2835" s="85"/>
      <c r="R2835" s="85"/>
      <c r="S2835" s="85"/>
      <c r="T2835" s="85"/>
      <c r="U2835" s="85"/>
      <c r="V2835" s="85"/>
      <c r="W2835" s="85"/>
      <c r="X2835" s="85">
        <f t="shared" si="304"/>
        <v>2365130.4739699997</v>
      </c>
      <c r="Y2835" s="85"/>
      <c r="Z2835" s="85">
        <f t="shared" si="301"/>
        <v>0</v>
      </c>
      <c r="AA2835" s="69"/>
      <c r="AB2835" s="69"/>
    </row>
    <row r="2836" spans="1:28" x14ac:dyDescent="0.3">
      <c r="A2836" s="73"/>
      <c r="C2836" s="68" t="s">
        <v>1291</v>
      </c>
      <c r="E2836" s="85">
        <f>447086854.06/1000</f>
        <v>447086.85405999998</v>
      </c>
      <c r="F2836" s="85"/>
      <c r="G2836" s="85"/>
      <c r="H2836" s="85">
        <f>447086854.06/1000</f>
        <v>447086.85405999998</v>
      </c>
      <c r="I2836" s="85"/>
      <c r="J2836" s="85"/>
      <c r="K2836" s="85"/>
      <c r="L2836" s="85"/>
      <c r="M2836" s="85"/>
      <c r="N2836" s="85"/>
      <c r="O2836" s="85"/>
      <c r="P2836" s="85">
        <v>0</v>
      </c>
      <c r="Q2836" s="85"/>
      <c r="R2836" s="85"/>
      <c r="S2836" s="85"/>
      <c r="T2836" s="85"/>
      <c r="U2836" s="85"/>
      <c r="V2836" s="85"/>
      <c r="W2836" s="85"/>
      <c r="X2836" s="85">
        <f t="shared" si="304"/>
        <v>447086.85405999998</v>
      </c>
      <c r="Y2836" s="85"/>
      <c r="Z2836" s="85">
        <f>+X2836-E2836</f>
        <v>0</v>
      </c>
      <c r="AA2836" s="69"/>
      <c r="AB2836" s="69"/>
    </row>
    <row r="2837" spans="1:28" x14ac:dyDescent="0.3">
      <c r="A2837" s="73"/>
      <c r="C2837" s="68" t="s">
        <v>1305</v>
      </c>
      <c r="E2837" s="85">
        <f>1881692.93/1000</f>
        <v>1881.6929299999999</v>
      </c>
      <c r="F2837" s="85"/>
      <c r="G2837" s="85"/>
      <c r="H2837" s="85">
        <f>1881692.93/1000</f>
        <v>1881.6929299999999</v>
      </c>
      <c r="I2837" s="85"/>
      <c r="J2837" s="85"/>
      <c r="K2837" s="85"/>
      <c r="L2837" s="85"/>
      <c r="M2837" s="85"/>
      <c r="N2837" s="85"/>
      <c r="O2837" s="85"/>
      <c r="P2837" s="85">
        <v>0</v>
      </c>
      <c r="Q2837" s="85"/>
      <c r="R2837" s="85"/>
      <c r="S2837" s="85"/>
      <c r="T2837" s="85"/>
      <c r="U2837" s="85"/>
      <c r="V2837" s="85"/>
      <c r="W2837" s="85"/>
      <c r="X2837" s="85">
        <f t="shared" si="304"/>
        <v>1881.6929299999999</v>
      </c>
      <c r="Y2837" s="85"/>
      <c r="Z2837" s="85">
        <f t="shared" si="301"/>
        <v>0</v>
      </c>
      <c r="AA2837" s="69"/>
      <c r="AB2837" s="69"/>
    </row>
    <row r="2838" spans="1:28" x14ac:dyDescent="0.3">
      <c r="A2838" s="73"/>
      <c r="C2838" s="68" t="s">
        <v>1280</v>
      </c>
      <c r="E2838" s="85">
        <f>457450033/1000</f>
        <v>457450.033</v>
      </c>
      <c r="F2838" s="85"/>
      <c r="G2838" s="85"/>
      <c r="H2838" s="85">
        <f>457450033/1000</f>
        <v>457450.033</v>
      </c>
      <c r="I2838" s="85"/>
      <c r="J2838" s="85"/>
      <c r="K2838" s="85"/>
      <c r="L2838" s="85"/>
      <c r="M2838" s="85"/>
      <c r="N2838" s="85"/>
      <c r="O2838" s="85"/>
      <c r="P2838" s="85">
        <v>0</v>
      </c>
      <c r="Q2838" s="85"/>
      <c r="R2838" s="85"/>
      <c r="S2838" s="85"/>
      <c r="T2838" s="85"/>
      <c r="U2838" s="85"/>
      <c r="V2838" s="85"/>
      <c r="W2838" s="85"/>
      <c r="X2838" s="85">
        <f t="shared" si="304"/>
        <v>457450.033</v>
      </c>
      <c r="Y2838" s="85"/>
      <c r="Z2838" s="85">
        <f t="shared" si="301"/>
        <v>0</v>
      </c>
      <c r="AA2838" s="69"/>
      <c r="AB2838" s="69"/>
    </row>
    <row r="2839" spans="1:28" x14ac:dyDescent="0.3">
      <c r="A2839" s="73"/>
      <c r="C2839" s="68" t="s">
        <v>1283</v>
      </c>
      <c r="E2839" s="85">
        <f>176221089.35/1000</f>
        <v>176221.08934999999</v>
      </c>
      <c r="F2839" s="85"/>
      <c r="G2839" s="85"/>
      <c r="H2839" s="85">
        <f>176221089.35/1000</f>
        <v>176221.08934999999</v>
      </c>
      <c r="I2839" s="85"/>
      <c r="J2839" s="85"/>
      <c r="K2839" s="85"/>
      <c r="L2839" s="85"/>
      <c r="M2839" s="85"/>
      <c r="N2839" s="85"/>
      <c r="O2839" s="85"/>
      <c r="P2839" s="85">
        <v>0</v>
      </c>
      <c r="Q2839" s="85"/>
      <c r="R2839" s="85"/>
      <c r="S2839" s="85"/>
      <c r="T2839" s="85"/>
      <c r="U2839" s="85"/>
      <c r="V2839" s="85"/>
      <c r="W2839" s="85"/>
      <c r="X2839" s="85">
        <f t="shared" si="304"/>
        <v>176221.08934999999</v>
      </c>
      <c r="Y2839" s="85"/>
      <c r="Z2839" s="85">
        <f>+X2839-E2839</f>
        <v>0</v>
      </c>
      <c r="AA2839" s="69"/>
      <c r="AB2839" s="69"/>
    </row>
    <row r="2840" spans="1:28" x14ac:dyDescent="0.3">
      <c r="A2840" s="73"/>
      <c r="C2840" s="98" t="s">
        <v>1287</v>
      </c>
      <c r="E2840" s="85">
        <f>2433673819.49/1000</f>
        <v>2433673.8194899997</v>
      </c>
      <c r="F2840" s="85"/>
      <c r="G2840" s="85"/>
      <c r="H2840" s="85">
        <f>2433673819.5/1000</f>
        <v>2433673.8195000002</v>
      </c>
      <c r="I2840" s="85"/>
      <c r="J2840" s="85"/>
      <c r="K2840" s="85"/>
      <c r="L2840" s="85"/>
      <c r="M2840" s="85"/>
      <c r="N2840" s="85"/>
      <c r="O2840" s="85"/>
      <c r="P2840" s="85">
        <v>0</v>
      </c>
      <c r="Q2840" s="85"/>
      <c r="R2840" s="85"/>
      <c r="S2840" s="85"/>
      <c r="T2840" s="85"/>
      <c r="U2840" s="85"/>
      <c r="V2840" s="85"/>
      <c r="W2840" s="85"/>
      <c r="X2840" s="85">
        <f t="shared" si="304"/>
        <v>2433673.8195000002</v>
      </c>
      <c r="Y2840" s="85"/>
      <c r="Z2840" s="85">
        <f>+X2840-E2840</f>
        <v>1.0000541806221008E-5</v>
      </c>
      <c r="AA2840" s="69"/>
      <c r="AB2840" s="69"/>
    </row>
    <row r="2841" spans="1:28" x14ac:dyDescent="0.3">
      <c r="A2841" s="73"/>
      <c r="C2841" s="68" t="s">
        <v>1292</v>
      </c>
      <c r="E2841" s="85">
        <f>653240072/1000</f>
        <v>653240.07200000004</v>
      </c>
      <c r="F2841" s="85"/>
      <c r="G2841" s="85"/>
      <c r="H2841" s="85">
        <f>653240072/1000</f>
        <v>653240.07200000004</v>
      </c>
      <c r="I2841" s="85"/>
      <c r="J2841" s="85"/>
      <c r="K2841" s="85"/>
      <c r="L2841" s="85"/>
      <c r="M2841" s="85"/>
      <c r="N2841" s="85"/>
      <c r="O2841" s="85"/>
      <c r="P2841" s="85">
        <v>0</v>
      </c>
      <c r="Q2841" s="85"/>
      <c r="R2841" s="85"/>
      <c r="S2841" s="85"/>
      <c r="T2841" s="85"/>
      <c r="U2841" s="85"/>
      <c r="V2841" s="85"/>
      <c r="W2841" s="85"/>
      <c r="X2841" s="85">
        <f t="shared" si="302"/>
        <v>653240.07200000004</v>
      </c>
      <c r="Y2841" s="85"/>
      <c r="Z2841" s="85">
        <f t="shared" si="301"/>
        <v>0</v>
      </c>
      <c r="AA2841" s="69"/>
      <c r="AB2841" s="69"/>
    </row>
    <row r="2842" spans="1:28" x14ac:dyDescent="0.3">
      <c r="A2842" s="73"/>
      <c r="C2842" s="68" t="s">
        <v>1315</v>
      </c>
      <c r="E2842" s="85">
        <f>-139400.9/1000</f>
        <v>-139.40090000000001</v>
      </c>
      <c r="F2842" s="85"/>
      <c r="G2842" s="85"/>
      <c r="H2842" s="85">
        <f>-139400.9/1000</f>
        <v>-139.40090000000001</v>
      </c>
      <c r="I2842" s="85"/>
      <c r="J2842" s="85"/>
      <c r="K2842" s="85"/>
      <c r="L2842" s="85"/>
      <c r="M2842" s="85"/>
      <c r="N2842" s="85"/>
      <c r="O2842" s="85"/>
      <c r="P2842" s="85">
        <v>0</v>
      </c>
      <c r="Q2842" s="85"/>
      <c r="R2842" s="85"/>
      <c r="S2842" s="85"/>
      <c r="T2842" s="85"/>
      <c r="U2842" s="85"/>
      <c r="V2842" s="85"/>
      <c r="W2842" s="85"/>
      <c r="X2842" s="85">
        <f t="shared" si="302"/>
        <v>-139.40090000000001</v>
      </c>
      <c r="Y2842" s="85"/>
      <c r="Z2842" s="85">
        <f>+E2842-X2842</f>
        <v>0</v>
      </c>
      <c r="AA2842" s="69"/>
      <c r="AB2842" s="69"/>
    </row>
    <row r="2843" spans="1:28" x14ac:dyDescent="0.3">
      <c r="A2843" s="73"/>
      <c r="C2843" s="93" t="s">
        <v>1198</v>
      </c>
      <c r="E2843" s="85">
        <f>277256/1000</f>
        <v>277.25599999999997</v>
      </c>
      <c r="F2843" s="85">
        <f>STATS1003B!F2821/1000</f>
        <v>277.25680999999997</v>
      </c>
      <c r="G2843" s="85">
        <f>STATS1003B!G2821/1000</f>
        <v>0</v>
      </c>
      <c r="H2843" s="85">
        <f>277256/1000</f>
        <v>277.25599999999997</v>
      </c>
      <c r="I2843" s="85">
        <f>STATS1003B!I2821/1000</f>
        <v>0</v>
      </c>
      <c r="J2843" s="85">
        <f>STATS1003B!J2821/1000</f>
        <v>0</v>
      </c>
      <c r="K2843" s="85">
        <f>STATS1003B!K2821/1000</f>
        <v>0</v>
      </c>
      <c r="L2843" s="85">
        <f>STATS1003B!L2821/1000</f>
        <v>0</v>
      </c>
      <c r="M2843" s="85">
        <f>STATS1003B!M2821/1000</f>
        <v>277.25680999999997</v>
      </c>
      <c r="N2843" s="85">
        <f>STATS1003B!N2821/1000</f>
        <v>0</v>
      </c>
      <c r="O2843" s="85">
        <f>STATS1003B!O2821/1000</f>
        <v>0</v>
      </c>
      <c r="P2843" s="85">
        <v>0</v>
      </c>
      <c r="Q2843" s="85">
        <f>STATS1003B!Q2821/1000</f>
        <v>0</v>
      </c>
      <c r="R2843" s="85">
        <f>STATS1003B!R2821/1000</f>
        <v>0</v>
      </c>
      <c r="S2843" s="85">
        <f>STATS1003B!S2821/1000</f>
        <v>0</v>
      </c>
      <c r="T2843" s="85">
        <f>STATS1003B!T2821/1000</f>
        <v>0</v>
      </c>
      <c r="U2843" s="85">
        <f>STATS1003B!U2821/1000</f>
        <v>0</v>
      </c>
      <c r="V2843" s="85">
        <f>STATS1003B!V2821/1000</f>
        <v>0</v>
      </c>
      <c r="W2843" s="85">
        <f>STATS1003B!W2821/1000</f>
        <v>0</v>
      </c>
      <c r="X2843" s="85">
        <f t="shared" si="302"/>
        <v>277.25599999999997</v>
      </c>
      <c r="Y2843" s="85">
        <f>STATS1003B!Y2821/1000</f>
        <v>0</v>
      </c>
      <c r="Z2843" s="85">
        <f t="shared" si="301"/>
        <v>0</v>
      </c>
      <c r="AA2843" s="69">
        <f>STATS1003B!AA2821/1000</f>
        <v>277.25680999999997</v>
      </c>
      <c r="AB2843" s="69">
        <f>STATS1003B!AB2821/1000</f>
        <v>0</v>
      </c>
    </row>
    <row r="2844" spans="1:28" x14ac:dyDescent="0.3">
      <c r="A2844" s="73"/>
      <c r="C2844" s="68" t="s">
        <v>875</v>
      </c>
      <c r="E2844" s="85">
        <f>4675000/1000</f>
        <v>4675</v>
      </c>
      <c r="F2844" s="85">
        <f>STATS1003B!F2822/1000</f>
        <v>4675</v>
      </c>
      <c r="G2844" s="85">
        <f>STATS1003B!G2822/1000</f>
        <v>0</v>
      </c>
      <c r="H2844" s="85">
        <f>4675000/1000</f>
        <v>4675</v>
      </c>
      <c r="I2844" s="85">
        <f>STATS1003B!I2822/1000</f>
        <v>0</v>
      </c>
      <c r="J2844" s="85">
        <f>STATS1003B!J2822/1000</f>
        <v>0</v>
      </c>
      <c r="K2844" s="85">
        <f>STATS1003B!K2822/1000</f>
        <v>0</v>
      </c>
      <c r="L2844" s="85">
        <f>STATS1003B!L2822/1000</f>
        <v>0</v>
      </c>
      <c r="M2844" s="85">
        <f>STATS1003B!M2822/1000</f>
        <v>4675</v>
      </c>
      <c r="N2844" s="85">
        <f>STATS1003B!N2822/1000</f>
        <v>0</v>
      </c>
      <c r="O2844" s="85">
        <f>STATS1003B!O2822/1000</f>
        <v>0</v>
      </c>
      <c r="P2844" s="85">
        <v>0</v>
      </c>
      <c r="Q2844" s="85">
        <f>STATS1003B!Q2822/1000</f>
        <v>0</v>
      </c>
      <c r="R2844" s="85">
        <f>STATS1003B!R2822/1000</f>
        <v>0</v>
      </c>
      <c r="S2844" s="85">
        <f>STATS1003B!S2822/1000</f>
        <v>0</v>
      </c>
      <c r="T2844" s="85">
        <f>STATS1003B!T2822/1000</f>
        <v>0</v>
      </c>
      <c r="U2844" s="85">
        <f>STATS1003B!U2822/1000</f>
        <v>0</v>
      </c>
      <c r="V2844" s="85">
        <f>STATS1003B!V2822/1000</f>
        <v>10706.344499999999</v>
      </c>
      <c r="W2844" s="85">
        <f>STATS1003B!W2822/1000</f>
        <v>0</v>
      </c>
      <c r="X2844" s="85">
        <f t="shared" si="302"/>
        <v>4675</v>
      </c>
      <c r="Y2844" s="85">
        <f>STATS1003B!Y2822/1000</f>
        <v>0</v>
      </c>
      <c r="Z2844" s="85">
        <f t="shared" si="301"/>
        <v>0</v>
      </c>
      <c r="AA2844" s="69">
        <f>STATS1003B!AA2822/1000</f>
        <v>4675</v>
      </c>
      <c r="AB2844" s="69">
        <f>STATS1003B!AB2822/1000</f>
        <v>0</v>
      </c>
    </row>
    <row r="2845" spans="1:28" x14ac:dyDescent="0.3">
      <c r="A2845" s="73"/>
      <c r="C2845" s="68" t="s">
        <v>877</v>
      </c>
      <c r="E2845" s="85">
        <f>8781042/1000</f>
        <v>8781.0419999999995</v>
      </c>
      <c r="F2845" s="85">
        <f>STATS1003B!F2823/1000</f>
        <v>8781.0425099999993</v>
      </c>
      <c r="G2845" s="85">
        <f>STATS1003B!G2823/1000</f>
        <v>0</v>
      </c>
      <c r="H2845" s="85">
        <f>8781042/1000</f>
        <v>8781.0419999999995</v>
      </c>
      <c r="I2845" s="85">
        <f>STATS1003B!I2823/1000</f>
        <v>500</v>
      </c>
      <c r="J2845" s="85">
        <f>STATS1003B!J2823/1000</f>
        <v>33424.105939999994</v>
      </c>
      <c r="K2845" s="85">
        <f>STATS1003B!K2823/1000</f>
        <v>2310.7779999999998</v>
      </c>
      <c r="L2845" s="85">
        <f>STATS1003B!L2823/1000</f>
        <v>0</v>
      </c>
      <c r="M2845" s="85">
        <f>STATS1003B!M2823/1000</f>
        <v>8781.0425099999993</v>
      </c>
      <c r="N2845" s="85">
        <f>STATS1003B!N2823/1000</f>
        <v>0</v>
      </c>
      <c r="O2845" s="85">
        <f>STATS1003B!O2823/1000</f>
        <v>0</v>
      </c>
      <c r="P2845" s="85">
        <v>0</v>
      </c>
      <c r="Q2845" s="85">
        <f>STATS1003B!Q2823/1000</f>
        <v>32924.105939999994</v>
      </c>
      <c r="R2845" s="85">
        <f>STATS1003B!R2823/1000</f>
        <v>0</v>
      </c>
      <c r="S2845" s="85">
        <f>STATS1003B!S2823/1000</f>
        <v>0</v>
      </c>
      <c r="T2845" s="85">
        <f>STATS1003B!T2823/1000</f>
        <v>0</v>
      </c>
      <c r="U2845" s="85">
        <f>STATS1003B!U2823/1000</f>
        <v>0</v>
      </c>
      <c r="V2845" s="85">
        <f>STATS1003B!V2823/1000</f>
        <v>15797.584550000001</v>
      </c>
      <c r="W2845" s="85">
        <f>STATS1003B!W2823/1000</f>
        <v>0</v>
      </c>
      <c r="X2845" s="85">
        <f t="shared" si="302"/>
        <v>8781.0419999999995</v>
      </c>
      <c r="Y2845" s="85">
        <f>STATS1003B!Y2823/1000</f>
        <v>0</v>
      </c>
      <c r="Z2845" s="85">
        <f t="shared" si="301"/>
        <v>0</v>
      </c>
      <c r="AA2845" s="69">
        <f>STATS1003B!AA2823/1000</f>
        <v>8781.0425099999993</v>
      </c>
      <c r="AB2845" s="69">
        <f>STATS1003B!AB2823/1000</f>
        <v>0</v>
      </c>
    </row>
    <row r="2846" spans="1:28" x14ac:dyDescent="0.3">
      <c r="A2846" s="73"/>
      <c r="C2846" s="68" t="s">
        <v>903</v>
      </c>
      <c r="E2846" s="85">
        <f>11304566/1000</f>
        <v>11304.566000000001</v>
      </c>
      <c r="F2846" s="85">
        <f>STATS1003B!F2824/1000</f>
        <v>10156.33776</v>
      </c>
      <c r="G2846" s="85">
        <f>STATS1003B!G2824/1000</f>
        <v>0</v>
      </c>
      <c r="H2846" s="85">
        <f>10156337/1000</f>
        <v>10156.337</v>
      </c>
      <c r="I2846" s="85">
        <f>STATS1003B!I2824/1000</f>
        <v>1462.4718</v>
      </c>
      <c r="J2846" s="85">
        <f>STATS1003B!J2824/1000</f>
        <v>1462.4718</v>
      </c>
      <c r="K2846" s="85">
        <f>STATS1003B!K2824/1000</f>
        <v>0</v>
      </c>
      <c r="L2846" s="85">
        <f>STATS1003B!L2824/1000</f>
        <v>0</v>
      </c>
      <c r="M2846" s="85">
        <f>STATS1003B!M2824/1000</f>
        <v>10156.33776</v>
      </c>
      <c r="N2846" s="85">
        <f>STATS1003B!N2824/1000</f>
        <v>1148.2284999999999</v>
      </c>
      <c r="O2846" s="85">
        <f>STATS1003B!O2824/1000</f>
        <v>0</v>
      </c>
      <c r="P2846" s="85">
        <f>1148228/1000</f>
        <v>1148.2280000000001</v>
      </c>
      <c r="Q2846" s="85">
        <f>STATS1003B!Q2824/1000</f>
        <v>485.76197000000002</v>
      </c>
      <c r="R2846" s="85">
        <f>STATS1003B!R2824/1000</f>
        <v>0</v>
      </c>
      <c r="S2846" s="85">
        <f>STATS1003B!S2824/1000</f>
        <v>3.91716</v>
      </c>
      <c r="T2846" s="85">
        <f>STATS1003B!T2824/1000</f>
        <v>0</v>
      </c>
      <c r="U2846" s="85">
        <f>STATS1003B!U2824/1000</f>
        <v>1148.2284999999999</v>
      </c>
      <c r="V2846" s="85">
        <f>STATS1003B!V2824/1000</f>
        <v>99705.30700999999</v>
      </c>
      <c r="W2846" s="85">
        <f>STATS1003B!W2824/1000</f>
        <v>1521.1281300000007</v>
      </c>
      <c r="X2846" s="85">
        <f t="shared" si="302"/>
        <v>11304.564999999999</v>
      </c>
      <c r="Y2846" s="85">
        <f>STATS1003B!Y2824/1000</f>
        <v>0</v>
      </c>
      <c r="Z2846" s="85">
        <f t="shared" si="301"/>
        <v>1.0000000020227162E-3</v>
      </c>
      <c r="AA2846" s="69">
        <f>STATS1003B!AA2824/1000</f>
        <v>11304.56626</v>
      </c>
      <c r="AB2846" s="69">
        <f>STATS1003B!AB2824/1000</f>
        <v>0</v>
      </c>
    </row>
    <row r="2847" spans="1:28" x14ac:dyDescent="0.3">
      <c r="A2847" s="73"/>
      <c r="C2847" s="68" t="s">
        <v>876</v>
      </c>
      <c r="E2847" s="85">
        <f>19055551/1000</f>
        <v>19055.550999999999</v>
      </c>
      <c r="F2847" s="85">
        <f>STATS1003B!F2825/1000</f>
        <v>18234.372380000001</v>
      </c>
      <c r="G2847" s="85">
        <f>STATS1003B!G2825/1000</f>
        <v>0</v>
      </c>
      <c r="H2847" s="85">
        <f>18234372/1000</f>
        <v>18234.371999999999</v>
      </c>
      <c r="I2847" s="85">
        <f>STATS1003B!I2825/1000</f>
        <v>18077.23128</v>
      </c>
      <c r="J2847" s="85">
        <f>STATS1003B!J2825/1000</f>
        <v>125668.82142000001</v>
      </c>
      <c r="K2847" s="85">
        <f>STATS1003B!K2825/1000</f>
        <v>6443.1840899999997</v>
      </c>
      <c r="L2847" s="85">
        <f>STATS1003B!L2825/1000</f>
        <v>0</v>
      </c>
      <c r="M2847" s="85">
        <f>STATS1003B!M2825/1000</f>
        <v>18234.372380000001</v>
      </c>
      <c r="N2847" s="85">
        <f>STATS1003B!N2825/1000</f>
        <v>821.17951000000005</v>
      </c>
      <c r="O2847" s="85">
        <f>STATS1003B!O2825/1000</f>
        <v>0</v>
      </c>
      <c r="P2847" s="85">
        <f>821179/1000</f>
        <v>821.17899999999997</v>
      </c>
      <c r="Q2847" s="85">
        <f>STATS1003B!Q2825/1000</f>
        <v>107661.67100999999</v>
      </c>
      <c r="R2847" s="85">
        <f>STATS1003B!R2825/1000</f>
        <v>0</v>
      </c>
      <c r="S2847" s="85">
        <f>STATS1003B!S2825/1000</f>
        <v>0</v>
      </c>
      <c r="T2847" s="85">
        <f>STATS1003B!T2825/1000</f>
        <v>0</v>
      </c>
      <c r="U2847" s="85">
        <f>STATS1003B!U2825/1000</f>
        <v>821.17951000000005</v>
      </c>
      <c r="V2847" s="85">
        <f>STATS1003B!V2825/1000</f>
        <v>21165.072</v>
      </c>
      <c r="W2847" s="85">
        <f>STATS1003B!W2825/1000</f>
        <v>0</v>
      </c>
      <c r="X2847" s="85">
        <f t="shared" si="302"/>
        <v>19055.550999999999</v>
      </c>
      <c r="Y2847" s="85">
        <f>STATS1003B!Y2825/1000</f>
        <v>0</v>
      </c>
      <c r="Z2847" s="85">
        <f t="shared" si="301"/>
        <v>0</v>
      </c>
      <c r="AA2847" s="69">
        <f>STATS1003B!AA2825/1000</f>
        <v>19055.551889999999</v>
      </c>
      <c r="AB2847" s="69">
        <f>STATS1003B!AB2825/1000</f>
        <v>0</v>
      </c>
    </row>
    <row r="2848" spans="1:28" x14ac:dyDescent="0.3">
      <c r="A2848" s="73"/>
      <c r="C2848" s="68" t="s">
        <v>874</v>
      </c>
      <c r="E2848" s="85">
        <f>85055278/1000</f>
        <v>85055.278000000006</v>
      </c>
      <c r="F2848" s="85">
        <f>STATS1003B!F2826/1000</f>
        <v>81000.671180000005</v>
      </c>
      <c r="G2848" s="85">
        <f>STATS1003B!G2826/1000</f>
        <v>0</v>
      </c>
      <c r="H2848" s="85">
        <f>81000671/1000</f>
        <v>81000.671000000002</v>
      </c>
      <c r="I2848" s="85">
        <f>STATS1003B!I2826/1000</f>
        <v>0</v>
      </c>
      <c r="J2848" s="85">
        <f>STATS1003B!J2826/1000</f>
        <v>0</v>
      </c>
      <c r="K2848" s="85">
        <f>STATS1003B!K2826/1000</f>
        <v>0</v>
      </c>
      <c r="L2848" s="85">
        <f>STATS1003B!L2826/1000</f>
        <v>0</v>
      </c>
      <c r="M2848" s="85">
        <f>STATS1003B!M2826/1000</f>
        <v>81000.671180000005</v>
      </c>
      <c r="N2848" s="85">
        <f>STATS1003B!N2826/1000</f>
        <v>4054.60718</v>
      </c>
      <c r="O2848" s="85">
        <f>STATS1003B!O2826/1000</f>
        <v>0</v>
      </c>
      <c r="P2848" s="85">
        <f>4054607/1000</f>
        <v>4054.607</v>
      </c>
      <c r="Q2848" s="85">
        <f>STATS1003B!Q2826/1000</f>
        <v>0</v>
      </c>
      <c r="R2848" s="85">
        <f>STATS1003B!R2826/1000</f>
        <v>0</v>
      </c>
      <c r="S2848" s="85">
        <f>STATS1003B!S2826/1000</f>
        <v>0</v>
      </c>
      <c r="T2848" s="85">
        <f>STATS1003B!T2826/1000</f>
        <v>0</v>
      </c>
      <c r="U2848" s="85">
        <f>STATS1003B!U2826/1000</f>
        <v>4054.60718</v>
      </c>
      <c r="V2848" s="85">
        <f>STATS1003B!V2826/1000</f>
        <v>0</v>
      </c>
      <c r="W2848" s="85">
        <f>STATS1003B!W2826/1000</f>
        <v>0</v>
      </c>
      <c r="X2848" s="85">
        <f t="shared" si="302"/>
        <v>85055.278000000006</v>
      </c>
      <c r="Y2848" s="85">
        <f>STATS1003B!Y2826/1000</f>
        <v>0</v>
      </c>
      <c r="Z2848" s="85">
        <f t="shared" si="301"/>
        <v>0</v>
      </c>
      <c r="AA2848" s="69">
        <f>STATS1003B!AA2826/1000</f>
        <v>85055.278360000011</v>
      </c>
      <c r="AB2848" s="69">
        <f>STATS1003B!AB2826/1000</f>
        <v>0</v>
      </c>
    </row>
    <row r="2849" spans="1:28" x14ac:dyDescent="0.3">
      <c r="A2849" s="73"/>
      <c r="C2849" s="68" t="s">
        <v>889</v>
      </c>
      <c r="E2849" s="85">
        <f>272186129/1000</f>
        <v>272186.12900000002</v>
      </c>
      <c r="F2849" s="85">
        <f>STATS1003B!F2827/1000</f>
        <v>243636.46200999999</v>
      </c>
      <c r="G2849" s="85">
        <f>STATS1003B!G2827/1000</f>
        <v>0</v>
      </c>
      <c r="H2849" s="85">
        <f>243636462/1000</f>
        <v>243636.462</v>
      </c>
      <c r="I2849" s="85" t="e">
        <f>STATS1003B!I2827/1000</f>
        <v>#REF!</v>
      </c>
      <c r="J2849" s="85" t="e">
        <f>STATS1003B!J2827/1000</f>
        <v>#REF!</v>
      </c>
      <c r="K2849" s="85" t="e">
        <f>STATS1003B!K2827/1000</f>
        <v>#REF!</v>
      </c>
      <c r="L2849" s="85">
        <f>STATS1003B!L2827/1000</f>
        <v>0</v>
      </c>
      <c r="M2849" s="85">
        <f>STATS1003B!M2827/1000</f>
        <v>243636.46200999999</v>
      </c>
      <c r="N2849" s="85">
        <f>STATS1003B!N2827/1000</f>
        <v>28549.6675</v>
      </c>
      <c r="O2849" s="85">
        <f>STATS1003B!O2827/1000</f>
        <v>0</v>
      </c>
      <c r="P2849" s="85">
        <f>28549667/1000</f>
        <v>28549.667000000001</v>
      </c>
      <c r="Q2849" s="85" t="e">
        <f>STATS1003B!Q2827/1000</f>
        <v>#REF!</v>
      </c>
      <c r="R2849" s="85" t="e">
        <f>STATS1003B!R2827/1000</f>
        <v>#REF!</v>
      </c>
      <c r="S2849" s="85" t="e">
        <f>STATS1003B!S2827/1000</f>
        <v>#REF!</v>
      </c>
      <c r="T2849" s="85">
        <f>STATS1003B!T2827/1000</f>
        <v>0</v>
      </c>
      <c r="U2849" s="85">
        <f>STATS1003B!U2827/1000</f>
        <v>28549.6675</v>
      </c>
      <c r="V2849" s="85" t="e">
        <f>STATS1003B!V2827/1000</f>
        <v>#REF!</v>
      </c>
      <c r="W2849" s="85" t="e">
        <f>STATS1003B!W2827/1000</f>
        <v>#REF!</v>
      </c>
      <c r="X2849" s="85">
        <f t="shared" si="302"/>
        <v>272186.12900000002</v>
      </c>
      <c r="Y2849" s="85">
        <f>STATS1003B!Y2827/1000</f>
        <v>0</v>
      </c>
      <c r="Z2849" s="85">
        <f t="shared" si="301"/>
        <v>0</v>
      </c>
      <c r="AA2849" s="69">
        <f>STATS1003B!AA2827/1000</f>
        <v>272186.12951</v>
      </c>
      <c r="AB2849" s="69">
        <f>STATS1003B!AB2827/1000</f>
        <v>0</v>
      </c>
    </row>
    <row r="2850" spans="1:28" x14ac:dyDescent="0.3">
      <c r="A2850" s="73"/>
      <c r="C2850" s="68" t="s">
        <v>870</v>
      </c>
      <c r="E2850" s="85">
        <f>15909140/1000</f>
        <v>15909.14</v>
      </c>
      <c r="F2850" s="85">
        <f>STATS1003B!F2828/1000</f>
        <v>15842.393619999999</v>
      </c>
      <c r="G2850" s="85">
        <f>STATS1003B!G2828/1000</f>
        <v>0</v>
      </c>
      <c r="H2850" s="85">
        <f>15842393/1000</f>
        <v>15842.393</v>
      </c>
      <c r="I2850" s="85">
        <f>STATS1003B!I2828/1000</f>
        <v>3349.7432199999998</v>
      </c>
      <c r="J2850" s="85">
        <f>STATS1003B!J2828/1000</f>
        <v>473883.32588000002</v>
      </c>
      <c r="K2850" s="85">
        <f>STATS1003B!K2828/1000</f>
        <v>60009.260879999994</v>
      </c>
      <c r="L2850" s="85">
        <f>STATS1003B!L2828/1000</f>
        <v>0</v>
      </c>
      <c r="M2850" s="85">
        <f>STATS1003B!M2828/1000</f>
        <v>15842.393619999999</v>
      </c>
      <c r="N2850" s="85">
        <f>STATS1003B!N2828/1000</f>
        <v>66.746639999999999</v>
      </c>
      <c r="O2850" s="85">
        <f>STATS1003B!O2828/1000</f>
        <v>0</v>
      </c>
      <c r="P2850" s="85">
        <f>66746/1000</f>
        <v>66.745999999999995</v>
      </c>
      <c r="Q2850" s="85">
        <f>STATS1003B!Q2828/1000</f>
        <v>456375.36792999995</v>
      </c>
      <c r="R2850" s="85">
        <f>STATS1003B!R2828/1000</f>
        <v>0</v>
      </c>
      <c r="S2850" s="85">
        <f>STATS1003B!S2828/1000</f>
        <v>0</v>
      </c>
      <c r="T2850" s="85">
        <f>STATS1003B!T2828/1000</f>
        <v>0</v>
      </c>
      <c r="U2850" s="85">
        <f>STATS1003B!U2828/1000</f>
        <v>66.746639999999999</v>
      </c>
      <c r="V2850" s="85">
        <f>STATS1003B!V2828/1000</f>
        <v>12275.441480000001</v>
      </c>
      <c r="W2850" s="85">
        <f>STATS1003B!W2828/1000</f>
        <v>0</v>
      </c>
      <c r="X2850" s="85">
        <f t="shared" si="302"/>
        <v>15909.138999999999</v>
      </c>
      <c r="Y2850" s="85">
        <f>STATS1003B!Y2828/1000</f>
        <v>0</v>
      </c>
      <c r="Z2850" s="85">
        <f t="shared" si="301"/>
        <v>1.0000000002037268E-3</v>
      </c>
      <c r="AA2850" s="69">
        <f>STATS1003B!AA2828/1000</f>
        <v>15909.14026</v>
      </c>
      <c r="AB2850" s="69">
        <f>STATS1003B!AB2828/1000</f>
        <v>0</v>
      </c>
    </row>
    <row r="2851" spans="1:28" x14ac:dyDescent="0.3">
      <c r="A2851" s="73"/>
      <c r="C2851" s="68" t="s">
        <v>911</v>
      </c>
      <c r="E2851" s="85">
        <f>37615493/1000</f>
        <v>37615.493000000002</v>
      </c>
      <c r="F2851" s="85">
        <f>STATS1003B!F2829/1000</f>
        <v>37611.393880000003</v>
      </c>
      <c r="G2851" s="85">
        <f>STATS1003B!G2829/1000</f>
        <v>0</v>
      </c>
      <c r="H2851" s="85">
        <f>37611393/1000</f>
        <v>37611.392999999996</v>
      </c>
      <c r="I2851" s="85">
        <f>STATS1003B!I2829/1000</f>
        <v>0</v>
      </c>
      <c r="J2851" s="85">
        <f>STATS1003B!J2829/1000</f>
        <v>0</v>
      </c>
      <c r="K2851" s="85">
        <f>STATS1003B!K2829/1000</f>
        <v>0</v>
      </c>
      <c r="L2851" s="85">
        <f>STATS1003B!L2829/1000</f>
        <v>0</v>
      </c>
      <c r="M2851" s="85">
        <f>STATS1003B!M2829/1000</f>
        <v>37611.393880000003</v>
      </c>
      <c r="N2851" s="85">
        <f>STATS1003B!N2829/1000</f>
        <v>0</v>
      </c>
      <c r="O2851" s="85">
        <f>STATS1003B!O2829/1000</f>
        <v>0</v>
      </c>
      <c r="P2851" s="85">
        <v>0</v>
      </c>
      <c r="Q2851" s="85">
        <f>STATS1003B!Q2829/1000</f>
        <v>4.0995400000000002</v>
      </c>
      <c r="R2851" s="85">
        <f>STATS1003B!R2829/1000</f>
        <v>0</v>
      </c>
      <c r="S2851" s="85">
        <f>STATS1003B!S2829/1000</f>
        <v>0</v>
      </c>
      <c r="T2851" s="85">
        <f>STATS1003B!T2829/1000</f>
        <v>4.0995400000000002</v>
      </c>
      <c r="U2851" s="85">
        <f>STATS1003B!U2829/1000</f>
        <v>4.0995400000000002</v>
      </c>
      <c r="V2851" s="85">
        <f>STATS1003B!V2829/1000</f>
        <v>37611.393880000003</v>
      </c>
      <c r="W2851" s="85">
        <f>STATS1003B!W2829/1000</f>
        <v>4.0995400000000375</v>
      </c>
      <c r="X2851" s="85">
        <f t="shared" si="302"/>
        <v>37611.392999999996</v>
      </c>
      <c r="Y2851" s="85">
        <f>STATS1003B!Y2829/1000</f>
        <v>0</v>
      </c>
      <c r="Z2851" s="85">
        <f t="shared" si="301"/>
        <v>4.1000000000058208</v>
      </c>
      <c r="AA2851" s="69">
        <f>STATS1003B!AA2829/1000</f>
        <v>37615.493419999999</v>
      </c>
      <c r="AB2851" s="69">
        <f>STATS1003B!AB2829/1000</f>
        <v>0</v>
      </c>
    </row>
    <row r="2852" spans="1:28" x14ac:dyDescent="0.3">
      <c r="A2852" s="73"/>
      <c r="C2852" s="68" t="s">
        <v>1295</v>
      </c>
      <c r="D2852" s="68"/>
      <c r="E2852" s="85">
        <f>11956688/1000</f>
        <v>11956.688</v>
      </c>
      <c r="F2852" s="85">
        <f>STATS1003B!F2830/1000</f>
        <v>11956.688310000001</v>
      </c>
      <c r="G2852" s="85">
        <f>STATS1003B!G2830/1000</f>
        <v>0</v>
      </c>
      <c r="H2852" s="85">
        <f>11956688/1000</f>
        <v>11956.688</v>
      </c>
      <c r="I2852" s="85">
        <f>STATS1003B!I2830/1000</f>
        <v>7713.02153</v>
      </c>
      <c r="J2852" s="85">
        <f>STATS1003B!J2830/1000</f>
        <v>461563.02789999999</v>
      </c>
      <c r="K2852" s="85">
        <f>STATS1003B!K2830/1000</f>
        <v>52212.531270000007</v>
      </c>
      <c r="L2852" s="85">
        <f>STATS1003B!L2830/1000</f>
        <v>0</v>
      </c>
      <c r="M2852" s="85">
        <f>STATS1003B!M2830/1000</f>
        <v>11956.688310000001</v>
      </c>
      <c r="N2852" s="85">
        <f>STATS1003B!N2830/1000</f>
        <v>0</v>
      </c>
      <c r="O2852" s="85">
        <f>STATS1003B!O2830/1000</f>
        <v>0</v>
      </c>
      <c r="P2852" s="85">
        <v>0</v>
      </c>
      <c r="Q2852" s="85">
        <f>STATS1003B!Q2830/1000</f>
        <v>391666.96914000012</v>
      </c>
      <c r="R2852" s="85">
        <f>STATS1003B!R2830/1000</f>
        <v>0</v>
      </c>
      <c r="S2852" s="85">
        <f>STATS1003B!S2830/1000</f>
        <v>0</v>
      </c>
      <c r="T2852" s="85">
        <f>STATS1003B!T2830/1000</f>
        <v>0</v>
      </c>
      <c r="U2852" s="85">
        <f>STATS1003B!U2830/1000</f>
        <v>0</v>
      </c>
      <c r="V2852" s="85">
        <f>STATS1003B!V2830/1000</f>
        <v>10082.880950000001</v>
      </c>
      <c r="W2852" s="85">
        <f>STATS1003B!W2830/1000</f>
        <v>0</v>
      </c>
      <c r="X2852" s="85">
        <f t="shared" si="302"/>
        <v>11956.688</v>
      </c>
      <c r="Y2852" s="85" t="e">
        <f>STATS1003B!Y2830/1000</f>
        <v>#VALUE!</v>
      </c>
      <c r="Z2852" s="85">
        <f t="shared" si="301"/>
        <v>0</v>
      </c>
      <c r="AA2852" s="69">
        <f>STATS1003B!AA2830/1000</f>
        <v>11956.688310000001</v>
      </c>
      <c r="AB2852" s="69">
        <f>STATS1003B!AB2830/1000</f>
        <v>0</v>
      </c>
    </row>
    <row r="2853" spans="1:28" x14ac:dyDescent="0.3">
      <c r="A2853" s="73"/>
      <c r="C2853" s="68" t="s">
        <v>1296</v>
      </c>
      <c r="D2853" s="68"/>
      <c r="E2853" s="85">
        <f>11440293/1000</f>
        <v>11440.293</v>
      </c>
      <c r="F2853" s="85">
        <f>STATS1003B!F2831/1000</f>
        <v>11440.293109999999</v>
      </c>
      <c r="G2853" s="85">
        <f>STATS1003B!G2831/1000</f>
        <v>0</v>
      </c>
      <c r="H2853" s="85">
        <f>11440293/1000</f>
        <v>11440.293</v>
      </c>
      <c r="I2853" s="85">
        <f>STATS1003B!I2831/1000</f>
        <v>0</v>
      </c>
      <c r="J2853" s="85">
        <f>STATS1003B!J2831/1000</f>
        <v>7506.4949999999999</v>
      </c>
      <c r="K2853" s="85">
        <f>STATS1003B!K2831/1000</f>
        <v>0</v>
      </c>
      <c r="L2853" s="85">
        <f>STATS1003B!L2831/1000</f>
        <v>0</v>
      </c>
      <c r="M2853" s="85">
        <f>STATS1003B!M2831/1000</f>
        <v>11440.293109999999</v>
      </c>
      <c r="N2853" s="85">
        <f>STATS1003B!N2831/1000</f>
        <v>0</v>
      </c>
      <c r="O2853" s="85">
        <f>STATS1003B!O2831/1000</f>
        <v>0</v>
      </c>
      <c r="P2853" s="85">
        <v>0</v>
      </c>
      <c r="Q2853" s="85">
        <f>STATS1003B!Q2831/1000</f>
        <v>7506.4949999999999</v>
      </c>
      <c r="R2853" s="85">
        <f>STATS1003B!R2831/1000</f>
        <v>0</v>
      </c>
      <c r="S2853" s="85">
        <f>STATS1003B!S2831/1000</f>
        <v>0</v>
      </c>
      <c r="T2853" s="85">
        <f>STATS1003B!T2831/1000</f>
        <v>0</v>
      </c>
      <c r="U2853" s="85">
        <f>STATS1003B!U2831/1000</f>
        <v>0</v>
      </c>
      <c r="V2853" s="85">
        <f>STATS1003B!V2831/1000</f>
        <v>0</v>
      </c>
      <c r="W2853" s="85">
        <f>STATS1003B!W2831/1000</f>
        <v>0</v>
      </c>
      <c r="X2853" s="85">
        <f t="shared" si="302"/>
        <v>11440.293</v>
      </c>
      <c r="Y2853" s="85">
        <f>STATS1003B!Y2831/1000</f>
        <v>0</v>
      </c>
      <c r="Z2853" s="85">
        <f t="shared" si="301"/>
        <v>0</v>
      </c>
      <c r="AA2853" s="69">
        <f>STATS1003B!AA2831/1000</f>
        <v>11440.293109999999</v>
      </c>
      <c r="AB2853" s="69">
        <f>STATS1003B!AB2831/1000</f>
        <v>0</v>
      </c>
    </row>
    <row r="2854" spans="1:28" x14ac:dyDescent="0.3">
      <c r="A2854" s="73"/>
      <c r="C2854" s="68" t="s">
        <v>912</v>
      </c>
      <c r="E2854" s="85">
        <f>2000000/1000</f>
        <v>2000</v>
      </c>
      <c r="F2854" s="85">
        <f>STATS1003B!F2832/1000</f>
        <v>2000</v>
      </c>
      <c r="G2854" s="85">
        <f>STATS1003B!G2832/1000</f>
        <v>0</v>
      </c>
      <c r="H2854" s="85">
        <f>2000000/1000</f>
        <v>2000</v>
      </c>
      <c r="I2854" s="85">
        <f>STATS1003B!I2832/1000</f>
        <v>0</v>
      </c>
      <c r="J2854" s="85">
        <f>STATS1003B!J2832/1000</f>
        <v>0</v>
      </c>
      <c r="K2854" s="85">
        <f>STATS1003B!K2832/1000</f>
        <v>0</v>
      </c>
      <c r="L2854" s="85">
        <f>STATS1003B!L2832/1000</f>
        <v>0</v>
      </c>
      <c r="M2854" s="85">
        <f>STATS1003B!M2832/1000</f>
        <v>2000</v>
      </c>
      <c r="N2854" s="85">
        <f>STATS1003B!N2832/1000</f>
        <v>0</v>
      </c>
      <c r="O2854" s="85">
        <f>STATS1003B!O2832/1000</f>
        <v>0</v>
      </c>
      <c r="P2854" s="85">
        <v>0</v>
      </c>
      <c r="Q2854" s="85">
        <f>STATS1003B!Q2832/1000</f>
        <v>0</v>
      </c>
      <c r="R2854" s="85">
        <f>STATS1003B!R2832/1000</f>
        <v>0</v>
      </c>
      <c r="S2854" s="85">
        <f>STATS1003B!S2832/1000</f>
        <v>0</v>
      </c>
      <c r="T2854" s="85">
        <f>STATS1003B!T2832/1000</f>
        <v>0</v>
      </c>
      <c r="U2854" s="85">
        <f>STATS1003B!U2832/1000</f>
        <v>0</v>
      </c>
      <c r="V2854" s="85">
        <f>STATS1003B!V2832/1000</f>
        <v>2000</v>
      </c>
      <c r="W2854" s="85">
        <f>STATS1003B!W2832/1000</f>
        <v>0</v>
      </c>
      <c r="X2854" s="85">
        <f t="shared" si="302"/>
        <v>2000</v>
      </c>
      <c r="Y2854" s="85" t="e">
        <f>STATS1003B!Y2832/1000</f>
        <v>#VALUE!</v>
      </c>
      <c r="Z2854" s="85">
        <f t="shared" si="301"/>
        <v>0</v>
      </c>
      <c r="AA2854" s="69">
        <f>STATS1003B!AA2832/1000</f>
        <v>2000</v>
      </c>
      <c r="AB2854" s="69">
        <f>STATS1003B!AB2832/1000</f>
        <v>0</v>
      </c>
    </row>
    <row r="2855" spans="1:28" x14ac:dyDescent="0.3">
      <c r="A2855" s="73"/>
      <c r="C2855" s="68" t="s">
        <v>917</v>
      </c>
      <c r="E2855" s="85">
        <f>295805153/1000</f>
        <v>295805.15299999999</v>
      </c>
      <c r="F2855" s="85">
        <f>STATS1003B!F2833/1000</f>
        <v>0</v>
      </c>
      <c r="G2855" s="85">
        <f>STATS1003B!G2833/1000</f>
        <v>0</v>
      </c>
      <c r="H2855" s="85">
        <f>STATS1003B!H2833/1000</f>
        <v>0</v>
      </c>
      <c r="I2855" s="85">
        <f>STATS1003B!I2833/1000</f>
        <v>0</v>
      </c>
      <c r="J2855" s="85">
        <f>STATS1003B!J2833/1000</f>
        <v>0</v>
      </c>
      <c r="K2855" s="85">
        <f>STATS1003B!K2833/1000</f>
        <v>0</v>
      </c>
      <c r="L2855" s="85">
        <f>STATS1003B!L2833/1000</f>
        <v>0</v>
      </c>
      <c r="M2855" s="85">
        <f>STATS1003B!M2833/1000</f>
        <v>0</v>
      </c>
      <c r="N2855" s="85">
        <f>STATS1003B!N2833/1000</f>
        <v>295805.15344999998</v>
      </c>
      <c r="O2855" s="85">
        <f>STATS1003B!O2833/1000</f>
        <v>0</v>
      </c>
      <c r="P2855" s="85">
        <f>295805153/1000</f>
        <v>295805.15299999999</v>
      </c>
      <c r="Q2855" s="85">
        <f>STATS1003B!Q2833/1000</f>
        <v>0</v>
      </c>
      <c r="R2855" s="85">
        <f>STATS1003B!R2833/1000</f>
        <v>0</v>
      </c>
      <c r="S2855" s="85">
        <f>STATS1003B!S2833/1000</f>
        <v>0</v>
      </c>
      <c r="T2855" s="85">
        <f>STATS1003B!T2833/1000</f>
        <v>0</v>
      </c>
      <c r="U2855" s="85">
        <f>STATS1003B!U2833/1000</f>
        <v>295805.15344999998</v>
      </c>
      <c r="V2855" s="85">
        <f>STATS1003B!V2833/1000</f>
        <v>0</v>
      </c>
      <c r="W2855" s="85">
        <f>STATS1003B!W2833/1000</f>
        <v>0</v>
      </c>
      <c r="X2855" s="85">
        <f t="shared" si="302"/>
        <v>295805.15299999999</v>
      </c>
      <c r="Y2855" s="85">
        <f>STATS1003B!Y2833/1000</f>
        <v>0</v>
      </c>
      <c r="Z2855" s="85">
        <f t="shared" si="301"/>
        <v>0</v>
      </c>
      <c r="AA2855" s="69">
        <f>STATS1003B!AA2833/1000</f>
        <v>295805.15344999998</v>
      </c>
      <c r="AB2855" s="69">
        <f>STATS1003B!AB2833/1000</f>
        <v>0</v>
      </c>
    </row>
    <row r="2856" spans="1:28" x14ac:dyDescent="0.3">
      <c r="A2856" s="73"/>
      <c r="C2856" s="68" t="s">
        <v>883</v>
      </c>
      <c r="E2856" s="85">
        <f>119694134/1000</f>
        <v>119694.13400000001</v>
      </c>
      <c r="F2856" s="85">
        <f>STATS1003B!F2834/1000</f>
        <v>115750.432</v>
      </c>
      <c r="G2856" s="85">
        <f>STATS1003B!G2834/1000</f>
        <v>0</v>
      </c>
      <c r="H2856" s="85">
        <f>115750432/1000</f>
        <v>115750.432</v>
      </c>
      <c r="I2856" s="85">
        <f>STATS1003B!I2834/1000</f>
        <v>0</v>
      </c>
      <c r="J2856" s="85">
        <f>STATS1003B!J2834/1000</f>
        <v>0</v>
      </c>
      <c r="K2856" s="85">
        <f>STATS1003B!K2834/1000</f>
        <v>0</v>
      </c>
      <c r="L2856" s="85">
        <f>STATS1003B!L2834/1000</f>
        <v>165.65</v>
      </c>
      <c r="M2856" s="85">
        <f>STATS1003B!M2834/1000</f>
        <v>115916.08199999999</v>
      </c>
      <c r="N2856" s="85">
        <f>STATS1003B!N2834/1000</f>
        <v>2711.7111400000003</v>
      </c>
      <c r="O2856" s="85">
        <f>STATS1003B!O2834/1000</f>
        <v>0</v>
      </c>
      <c r="P2856" s="85">
        <f>2711711/1000</f>
        <v>2711.7109999999998</v>
      </c>
      <c r="Q2856" s="85">
        <f>STATS1003B!Q2834/1000</f>
        <v>0</v>
      </c>
      <c r="R2856" s="85">
        <f>STATS1003B!R2834/1000</f>
        <v>0</v>
      </c>
      <c r="S2856" s="85">
        <f>STATS1003B!S2834/1000</f>
        <v>0</v>
      </c>
      <c r="T2856" s="85">
        <f>STATS1003B!T2834/1000</f>
        <v>0</v>
      </c>
      <c r="U2856" s="85">
        <f>STATS1003B!U2834/1000</f>
        <v>2711.7111400000003</v>
      </c>
      <c r="V2856" s="85">
        <f>STATS1003B!V2834/1000</f>
        <v>0</v>
      </c>
      <c r="W2856" s="85">
        <f>STATS1003B!W2834/1000</f>
        <v>0</v>
      </c>
      <c r="X2856" s="85">
        <f t="shared" si="302"/>
        <v>118462.143</v>
      </c>
      <c r="Y2856" s="85">
        <f>STATS1003B!Y2834/1000</f>
        <v>0</v>
      </c>
      <c r="Z2856" s="85">
        <f t="shared" si="301"/>
        <v>1231.9910000000091</v>
      </c>
      <c r="AA2856" s="69">
        <f>STATS1003B!AA2834/1000</f>
        <v>118627.79313999999</v>
      </c>
      <c r="AB2856" s="69">
        <f>STATS1003B!AB2834/1000</f>
        <v>1066.3409999999999</v>
      </c>
    </row>
    <row r="2857" spans="1:28" x14ac:dyDescent="0.3">
      <c r="A2857" s="73"/>
      <c r="C2857" s="68" t="s">
        <v>884</v>
      </c>
      <c r="E2857" s="85">
        <f>96060378/1000</f>
        <v>96060.377999999997</v>
      </c>
      <c r="F2857" s="85">
        <f>STATS1003B!F2835/1000</f>
        <v>93268.396769999992</v>
      </c>
      <c r="G2857" s="85">
        <f>STATS1003B!G2835/1000</f>
        <v>0</v>
      </c>
      <c r="H2857" s="85">
        <f>93268396/1000</f>
        <v>93268.395999999993</v>
      </c>
      <c r="I2857" s="85">
        <f>STATS1003B!I2835/1000</f>
        <v>0</v>
      </c>
      <c r="J2857" s="85">
        <f>STATS1003B!J2835/1000</f>
        <v>0</v>
      </c>
      <c r="K2857" s="85">
        <f>STATS1003B!K2835/1000</f>
        <v>0</v>
      </c>
      <c r="L2857" s="85">
        <f>STATS1003B!L2835/1000</f>
        <v>800</v>
      </c>
      <c r="M2857" s="85">
        <f>STATS1003B!M2835/1000</f>
        <v>94068.396769999992</v>
      </c>
      <c r="N2857" s="85">
        <f>STATS1003B!N2835/1000</f>
        <v>0</v>
      </c>
      <c r="O2857" s="85">
        <f>STATS1003B!O2835/1000</f>
        <v>0</v>
      </c>
      <c r="P2857" s="85">
        <v>0</v>
      </c>
      <c r="Q2857" s="85">
        <f>STATS1003B!Q2835/1000</f>
        <v>0</v>
      </c>
      <c r="R2857" s="85">
        <f>STATS1003B!R2835/1000</f>
        <v>0</v>
      </c>
      <c r="S2857" s="85">
        <f>STATS1003B!S2835/1000</f>
        <v>0</v>
      </c>
      <c r="T2857" s="85">
        <f>STATS1003B!T2835/1000</f>
        <v>0</v>
      </c>
      <c r="U2857" s="85">
        <f>STATS1003B!U2835/1000</f>
        <v>0</v>
      </c>
      <c r="V2857" s="85">
        <f>STATS1003B!V2835/1000</f>
        <v>0</v>
      </c>
      <c r="W2857" s="85">
        <f>STATS1003B!W2835/1000</f>
        <v>0</v>
      </c>
      <c r="X2857" s="85">
        <f t="shared" si="302"/>
        <v>93268.395999999993</v>
      </c>
      <c r="Y2857" s="85">
        <f>STATS1003B!Y2835/1000</f>
        <v>0</v>
      </c>
      <c r="Z2857" s="85">
        <f t="shared" si="301"/>
        <v>2791.9820000000036</v>
      </c>
      <c r="AA2857" s="69">
        <f>STATS1003B!AA2835/1000</f>
        <v>94068.396769999992</v>
      </c>
      <c r="AB2857" s="69">
        <f>STATS1003B!AB2835/1000</f>
        <v>1991.9812300000042</v>
      </c>
    </row>
    <row r="2858" spans="1:28" x14ac:dyDescent="0.3">
      <c r="A2858" s="73"/>
      <c r="C2858" s="68" t="s">
        <v>871</v>
      </c>
      <c r="E2858" s="85">
        <f>66517035/1000</f>
        <v>66517.035000000003</v>
      </c>
      <c r="F2858" s="85">
        <f>STATS1003B!F2836/1000</f>
        <v>65213.47234</v>
      </c>
      <c r="G2858" s="85">
        <f>STATS1003B!G2836/1000</f>
        <v>0</v>
      </c>
      <c r="H2858" s="85">
        <f>65213472/1000</f>
        <v>65213.472000000002</v>
      </c>
      <c r="I2858" s="85">
        <f>STATS1003B!I2836/1000</f>
        <v>0</v>
      </c>
      <c r="J2858" s="85">
        <f>STATS1003B!J2836/1000</f>
        <v>0</v>
      </c>
      <c r="K2858" s="85">
        <f>STATS1003B!K2836/1000</f>
        <v>0</v>
      </c>
      <c r="L2858" s="85">
        <f>STATS1003B!L2836/1000</f>
        <v>0</v>
      </c>
      <c r="M2858" s="85">
        <f>STATS1003B!M2836/1000</f>
        <v>65213.47234</v>
      </c>
      <c r="N2858" s="85">
        <f>STATS1003B!N2836/1000</f>
        <v>516.69741999999997</v>
      </c>
      <c r="O2858" s="85">
        <f>STATS1003B!O2836/1000</f>
        <v>0</v>
      </c>
      <c r="P2858" s="85">
        <f>516697/1000</f>
        <v>516.697</v>
      </c>
      <c r="Q2858" s="85">
        <f>STATS1003B!Q2836/1000</f>
        <v>0</v>
      </c>
      <c r="R2858" s="85">
        <f>STATS1003B!R2836/1000</f>
        <v>0</v>
      </c>
      <c r="S2858" s="85">
        <f>STATS1003B!S2836/1000</f>
        <v>0</v>
      </c>
      <c r="T2858" s="85">
        <f>STATS1003B!T2836/1000</f>
        <v>0</v>
      </c>
      <c r="U2858" s="85">
        <f>STATS1003B!U2836/1000</f>
        <v>516.69741999999997</v>
      </c>
      <c r="V2858" s="85">
        <f>STATS1003B!V2836/1000</f>
        <v>0</v>
      </c>
      <c r="W2858" s="85">
        <f>STATS1003B!W2836/1000</f>
        <v>0</v>
      </c>
      <c r="X2858" s="85">
        <f t="shared" si="302"/>
        <v>65730.168999999994</v>
      </c>
      <c r="Y2858" s="85">
        <f>STATS1003B!Y2836/1000</f>
        <v>0</v>
      </c>
      <c r="Z2858" s="85">
        <f t="shared" si="301"/>
        <v>786.86600000000908</v>
      </c>
      <c r="AA2858" s="69">
        <f>STATS1003B!AA2836/1000</f>
        <v>65730.169760000004</v>
      </c>
      <c r="AB2858" s="69">
        <f>STATS1003B!AB2836/1000</f>
        <v>786.8659999999926</v>
      </c>
    </row>
    <row r="2859" spans="1:28" x14ac:dyDescent="0.3">
      <c r="A2859" s="73"/>
      <c r="C2859" s="68" t="s">
        <v>564</v>
      </c>
      <c r="E2859" s="85">
        <f>79463000/1000</f>
        <v>79463</v>
      </c>
      <c r="F2859" s="85">
        <f>STATS1003B!F2837/1000</f>
        <v>12245.2955</v>
      </c>
      <c r="G2859" s="85">
        <f>STATS1003B!G2837/1000</f>
        <v>0</v>
      </c>
      <c r="H2859" s="85">
        <f>12245295/1000</f>
        <v>12245.295</v>
      </c>
      <c r="I2859" s="85">
        <f>STATS1003B!I2837/1000</f>
        <v>0</v>
      </c>
      <c r="J2859" s="85">
        <f>STATS1003B!J2837/1000</f>
        <v>0</v>
      </c>
      <c r="K2859" s="85">
        <f>STATS1003B!K2837/1000</f>
        <v>0</v>
      </c>
      <c r="L2859" s="85">
        <f>STATS1003B!L2837/1000</f>
        <v>0</v>
      </c>
      <c r="M2859" s="85">
        <f>STATS1003B!M2837/1000</f>
        <v>12245.2955</v>
      </c>
      <c r="N2859" s="85">
        <f>STATS1003B!N2837/1000</f>
        <v>55760.95407</v>
      </c>
      <c r="O2859" s="85">
        <f>STATS1003B!O2837/1000</f>
        <v>0</v>
      </c>
      <c r="P2859" s="85">
        <f>55760954/1000</f>
        <v>55760.953999999998</v>
      </c>
      <c r="Q2859" s="85">
        <f>STATS1003B!Q2837/1000</f>
        <v>0</v>
      </c>
      <c r="R2859" s="85">
        <f>STATS1003B!R2837/1000</f>
        <v>0</v>
      </c>
      <c r="S2859" s="85">
        <f>STATS1003B!S2837/1000</f>
        <v>0</v>
      </c>
      <c r="T2859" s="85">
        <f>STATS1003B!T2837/1000</f>
        <v>0</v>
      </c>
      <c r="U2859" s="85">
        <f>STATS1003B!U2837/1000</f>
        <v>55760.95407</v>
      </c>
      <c r="V2859" s="85">
        <f>STATS1003B!V2837/1000</f>
        <v>0</v>
      </c>
      <c r="W2859" s="85">
        <f>STATS1003B!W2837/1000</f>
        <v>0</v>
      </c>
      <c r="X2859" s="85">
        <f t="shared" si="302"/>
        <v>68006.248999999996</v>
      </c>
      <c r="Y2859" s="85">
        <f>STATS1003B!Y2837/1000</f>
        <v>0</v>
      </c>
      <c r="Z2859" s="85">
        <f t="shared" si="301"/>
        <v>11456.751000000004</v>
      </c>
      <c r="AA2859" s="69">
        <f>STATS1003B!AA2837/1000</f>
        <v>68006.24957</v>
      </c>
      <c r="AB2859" s="69">
        <f>STATS1003B!AB2837/1000</f>
        <v>11456.750430000007</v>
      </c>
    </row>
    <row r="2860" spans="1:28" x14ac:dyDescent="0.3">
      <c r="A2860" s="73"/>
      <c r="C2860" s="68" t="s">
        <v>862</v>
      </c>
      <c r="E2860" s="85">
        <f>33729246/1000</f>
        <v>33729.245999999999</v>
      </c>
      <c r="F2860" s="85">
        <f>STATS1003B!F2838/1000</f>
        <v>32283.359690000001</v>
      </c>
      <c r="G2860" s="85">
        <f>STATS1003B!G2838/1000</f>
        <v>0</v>
      </c>
      <c r="H2860" s="85">
        <f>32283359/1000</f>
        <v>32283.359</v>
      </c>
      <c r="I2860" s="85">
        <f>STATS1003B!I2838/1000</f>
        <v>0</v>
      </c>
      <c r="J2860" s="85">
        <f>STATS1003B!J2838/1000</f>
        <v>0</v>
      </c>
      <c r="K2860" s="85">
        <f>STATS1003B!K2838/1000</f>
        <v>0</v>
      </c>
      <c r="L2860" s="85">
        <f>STATS1003B!L2838/1000</f>
        <v>0</v>
      </c>
      <c r="M2860" s="85">
        <f>STATS1003B!M2838/1000</f>
        <v>32283.359690000001</v>
      </c>
      <c r="N2860" s="85">
        <f>STATS1003B!N2838/1000</f>
        <v>1445.8864099999998</v>
      </c>
      <c r="O2860" s="85">
        <f>STATS1003B!O2838/1000</f>
        <v>0</v>
      </c>
      <c r="P2860" s="85">
        <f>1445886/1000</f>
        <v>1445.886</v>
      </c>
      <c r="Q2860" s="85">
        <f>STATS1003B!Q2838/1000</f>
        <v>0</v>
      </c>
      <c r="R2860" s="85">
        <f>STATS1003B!R2838/1000</f>
        <v>0</v>
      </c>
      <c r="S2860" s="85">
        <f>STATS1003B!S2838/1000</f>
        <v>0</v>
      </c>
      <c r="T2860" s="85">
        <f>STATS1003B!T2838/1000</f>
        <v>0</v>
      </c>
      <c r="U2860" s="85">
        <f>STATS1003B!U2838/1000</f>
        <v>1445.8864099999998</v>
      </c>
      <c r="V2860" s="85">
        <f>STATS1003B!V2838/1000</f>
        <v>0</v>
      </c>
      <c r="W2860" s="85">
        <f>STATS1003B!W2838/1000</f>
        <v>0</v>
      </c>
      <c r="X2860" s="85">
        <f t="shared" si="302"/>
        <v>33729.245000000003</v>
      </c>
      <c r="Y2860" s="85">
        <f>STATS1003B!Y2838/1000</f>
        <v>0</v>
      </c>
      <c r="Z2860" s="85">
        <f t="shared" si="301"/>
        <v>9.9999999656574801E-4</v>
      </c>
      <c r="AA2860" s="69">
        <f>STATS1003B!AA2838/1000</f>
        <v>33729.246100000004</v>
      </c>
      <c r="AB2860" s="69">
        <f>STATS1003B!AB2838/1000</f>
        <v>0</v>
      </c>
    </row>
    <row r="2861" spans="1:28" x14ac:dyDescent="0.3">
      <c r="A2861" s="73"/>
      <c r="C2861" s="68" t="s">
        <v>868</v>
      </c>
      <c r="E2861" s="85">
        <f>1628975911/1000</f>
        <v>1628975.9110000001</v>
      </c>
      <c r="F2861" s="85">
        <f>STATS1003B!F2839/1000</f>
        <v>1519465.6569100001</v>
      </c>
      <c r="G2861" s="85">
        <f>STATS1003B!G2839/1000</f>
        <v>0</v>
      </c>
      <c r="H2861" s="85">
        <f>1519465656/1000</f>
        <v>1519465.656</v>
      </c>
      <c r="I2861" s="85">
        <f>STATS1003B!I2839/1000</f>
        <v>0</v>
      </c>
      <c r="J2861" s="85">
        <f>STATS1003B!J2839/1000</f>
        <v>0</v>
      </c>
      <c r="K2861" s="85">
        <f>STATS1003B!K2839/1000</f>
        <v>0</v>
      </c>
      <c r="L2861" s="85">
        <f>STATS1003B!L2839/1000</f>
        <v>18584.441510000001</v>
      </c>
      <c r="M2861" s="85">
        <f>STATS1003B!M2839/1000</f>
        <v>1538050.0984200002</v>
      </c>
      <c r="N2861" s="85">
        <f>STATS1003B!N2839/1000</f>
        <v>66243.166360000003</v>
      </c>
      <c r="O2861" s="85">
        <f>STATS1003B!O2839/1000</f>
        <v>0</v>
      </c>
      <c r="P2861" s="85">
        <f>66243166/1000</f>
        <v>66243.165999999997</v>
      </c>
      <c r="Q2861" s="85">
        <f>STATS1003B!Q2839/1000</f>
        <v>0</v>
      </c>
      <c r="R2861" s="85">
        <f>STATS1003B!R2839/1000</f>
        <v>0</v>
      </c>
      <c r="S2861" s="85">
        <f>STATS1003B!S2839/1000</f>
        <v>0</v>
      </c>
      <c r="T2861" s="85">
        <f>STATS1003B!T2839/1000</f>
        <v>1359.32654</v>
      </c>
      <c r="U2861" s="85">
        <f>STATS1003B!U2839/1000</f>
        <v>67602.492900000012</v>
      </c>
      <c r="V2861" s="85">
        <f>STATS1003B!V2839/1000</f>
        <v>0</v>
      </c>
      <c r="W2861" s="85">
        <f>STATS1003B!W2839/1000</f>
        <v>0</v>
      </c>
      <c r="X2861" s="85">
        <f t="shared" si="302"/>
        <v>1585708.8219999999</v>
      </c>
      <c r="Y2861" s="85">
        <f>STATS1003B!Y2839/1000</f>
        <v>0</v>
      </c>
      <c r="Z2861" s="85">
        <f t="shared" ref="Z2861:Z2884" si="306">+E2861-X2861</f>
        <v>43267.089000000153</v>
      </c>
      <c r="AA2861" s="69">
        <f>STATS1003B!AA2839/1000</f>
        <v>1605652.5913200001</v>
      </c>
      <c r="AB2861" s="69">
        <f>STATS1003B!AB2839/1000</f>
        <v>23323.320069999932</v>
      </c>
    </row>
    <row r="2862" spans="1:28" x14ac:dyDescent="0.3">
      <c r="A2862" s="73"/>
      <c r="C2862" s="68" t="s">
        <v>906</v>
      </c>
      <c r="D2862" s="69"/>
      <c r="E2862" s="85">
        <f>16331255/1000</f>
        <v>16331.254999999999</v>
      </c>
      <c r="F2862" s="85">
        <f>STATS1003B!F2840/1000</f>
        <v>16331.25585</v>
      </c>
      <c r="G2862" s="85">
        <f>STATS1003B!G2840/1000</f>
        <v>0</v>
      </c>
      <c r="H2862" s="85">
        <f>16331255/1000</f>
        <v>16331.254999999999</v>
      </c>
      <c r="I2862" s="85">
        <f>STATS1003B!I2840/1000</f>
        <v>0</v>
      </c>
      <c r="J2862" s="85">
        <f>STATS1003B!J2840/1000</f>
        <v>0</v>
      </c>
      <c r="K2862" s="85">
        <f>STATS1003B!K2840/1000</f>
        <v>0</v>
      </c>
      <c r="L2862" s="85">
        <f>STATS1003B!L2840/1000</f>
        <v>0</v>
      </c>
      <c r="M2862" s="85">
        <f>STATS1003B!M2840/1000</f>
        <v>16331.25585</v>
      </c>
      <c r="N2862" s="85">
        <f>STATS1003B!N2840/1000</f>
        <v>0</v>
      </c>
      <c r="O2862" s="85">
        <f>STATS1003B!O2840/1000</f>
        <v>0</v>
      </c>
      <c r="P2862" s="85">
        <v>0</v>
      </c>
      <c r="Q2862" s="85">
        <f>STATS1003B!Q2840/1000</f>
        <v>0</v>
      </c>
      <c r="R2862" s="85">
        <f>STATS1003B!R2840/1000</f>
        <v>0</v>
      </c>
      <c r="S2862" s="85">
        <f>STATS1003B!S2840/1000</f>
        <v>0</v>
      </c>
      <c r="T2862" s="85">
        <f>STATS1003B!T2840/1000</f>
        <v>0</v>
      </c>
      <c r="U2862" s="85">
        <f>STATS1003B!U2840/1000</f>
        <v>0</v>
      </c>
      <c r="V2862" s="85">
        <f>STATS1003B!V2840/1000</f>
        <v>2416.2660000000001</v>
      </c>
      <c r="W2862" s="85">
        <f>STATS1003B!W2840/1000</f>
        <v>0</v>
      </c>
      <c r="X2862" s="85">
        <f t="shared" si="302"/>
        <v>16331.254999999999</v>
      </c>
      <c r="Y2862" s="85">
        <f>STATS1003B!Y2840/1000</f>
        <v>0</v>
      </c>
      <c r="Z2862" s="85">
        <f t="shared" si="306"/>
        <v>0</v>
      </c>
      <c r="AA2862" s="69">
        <f>STATS1003B!AA2840/1000</f>
        <v>16331.25585</v>
      </c>
      <c r="AB2862" s="69">
        <f>STATS1003B!AB2840/1000</f>
        <v>0</v>
      </c>
    </row>
    <row r="2863" spans="1:28" x14ac:dyDescent="0.3">
      <c r="A2863" s="73"/>
      <c r="C2863" s="68" t="s">
        <v>899</v>
      </c>
      <c r="E2863" s="85">
        <f>148658110/1000</f>
        <v>148658.10999999999</v>
      </c>
      <c r="F2863" s="85">
        <f>STATS1003B!F2841/1000</f>
        <v>140136.18562999999</v>
      </c>
      <c r="G2863" s="85">
        <f>STATS1003B!G2841/1000</f>
        <v>0</v>
      </c>
      <c r="H2863" s="85">
        <f>140136185/1000</f>
        <v>140136.185</v>
      </c>
      <c r="I2863" s="85">
        <f>STATS1003B!I2841/1000</f>
        <v>0</v>
      </c>
      <c r="J2863" s="85">
        <f>STATS1003B!J2841/1000</f>
        <v>0</v>
      </c>
      <c r="K2863" s="85">
        <f>STATS1003B!K2841/1000</f>
        <v>6294.1080000000002</v>
      </c>
      <c r="L2863" s="85">
        <f>STATS1003B!L2841/1000</f>
        <v>0</v>
      </c>
      <c r="M2863" s="85">
        <f>STATS1003B!M2841/1000</f>
        <v>140136.18562999999</v>
      </c>
      <c r="N2863" s="85">
        <f>STATS1003B!N2841/1000</f>
        <v>8521.9244199999994</v>
      </c>
      <c r="O2863" s="85">
        <f>STATS1003B!O2841/1000</f>
        <v>0</v>
      </c>
      <c r="P2863" s="85">
        <f>8521924/1000</f>
        <v>8521.9240000000009</v>
      </c>
      <c r="Q2863" s="85">
        <f>STATS1003B!Q2841/1000</f>
        <v>0</v>
      </c>
      <c r="R2863" s="85">
        <f>STATS1003B!R2841/1000</f>
        <v>0</v>
      </c>
      <c r="S2863" s="85">
        <f>STATS1003B!S2841/1000</f>
        <v>0</v>
      </c>
      <c r="T2863" s="85">
        <f>STATS1003B!T2841/1000</f>
        <v>0</v>
      </c>
      <c r="U2863" s="85">
        <f>STATS1003B!U2841/1000</f>
        <v>8521.9244199999994</v>
      </c>
      <c r="V2863" s="85">
        <f>STATS1003B!V2841/1000</f>
        <v>49867.724760000005</v>
      </c>
      <c r="W2863" s="85">
        <f>STATS1003B!W2841/1000</f>
        <v>271.06204999999983</v>
      </c>
      <c r="X2863" s="85">
        <f t="shared" si="302"/>
        <v>148658.109</v>
      </c>
      <c r="Y2863" s="85">
        <f>STATS1003B!Y2841/1000</f>
        <v>0</v>
      </c>
      <c r="Z2863" s="85">
        <f t="shared" si="306"/>
        <v>9.9999998928979039E-4</v>
      </c>
      <c r="AA2863" s="69">
        <f>STATS1003B!AA2841/1000</f>
        <v>148658.11004999999</v>
      </c>
      <c r="AB2863" s="69">
        <f>STATS1003B!AB2841/1000</f>
        <v>0</v>
      </c>
    </row>
    <row r="2864" spans="1:28" x14ac:dyDescent="0.3">
      <c r="A2864" s="73"/>
      <c r="C2864" s="68" t="s">
        <v>869</v>
      </c>
      <c r="E2864" s="85">
        <f>208217400/1000</f>
        <v>208217.4</v>
      </c>
      <c r="F2864" s="85">
        <f>STATS1003B!F2842/1000</f>
        <v>195782.71739999999</v>
      </c>
      <c r="G2864" s="85">
        <f>STATS1003B!G2842/1000</f>
        <v>0</v>
      </c>
      <c r="H2864" s="85">
        <f>195782717/1000</f>
        <v>195782.717</v>
      </c>
      <c r="I2864" s="85">
        <f>STATS1003B!I2842/1000</f>
        <v>0</v>
      </c>
      <c r="J2864" s="85">
        <f>STATS1003B!J2842/1000</f>
        <v>0</v>
      </c>
      <c r="K2864" s="85">
        <f>STATS1003B!K2842/1000</f>
        <v>0</v>
      </c>
      <c r="L2864" s="85">
        <f>STATS1003B!L2842/1000</f>
        <v>0</v>
      </c>
      <c r="M2864" s="85">
        <f>STATS1003B!M2842/1000</f>
        <v>195782.71739999999</v>
      </c>
      <c r="N2864" s="85">
        <f>STATS1003B!N2842/1000</f>
        <v>12434.683509999999</v>
      </c>
      <c r="O2864" s="85">
        <f>STATS1003B!O2842/1000</f>
        <v>0</v>
      </c>
      <c r="P2864" s="85">
        <f>12434683/1000</f>
        <v>12434.683000000001</v>
      </c>
      <c r="Q2864" s="85">
        <f>STATS1003B!Q2842/1000</f>
        <v>0</v>
      </c>
      <c r="R2864" s="85">
        <f>STATS1003B!R2842/1000</f>
        <v>0</v>
      </c>
      <c r="S2864" s="85">
        <f>STATS1003B!S2842/1000</f>
        <v>0</v>
      </c>
      <c r="T2864" s="85">
        <f>STATS1003B!T2842/1000</f>
        <v>0</v>
      </c>
      <c r="U2864" s="85">
        <f>STATS1003B!U2842/1000</f>
        <v>12434.683509999999</v>
      </c>
      <c r="V2864" s="85">
        <f>STATS1003B!V2842/1000</f>
        <v>0</v>
      </c>
      <c r="W2864" s="85">
        <f>STATS1003B!W2842/1000</f>
        <v>0</v>
      </c>
      <c r="X2864" s="85">
        <f t="shared" si="302"/>
        <v>208217.4</v>
      </c>
      <c r="Y2864" s="85">
        <f>STATS1003B!Y2842/1000</f>
        <v>0</v>
      </c>
      <c r="Z2864" s="85">
        <f t="shared" si="306"/>
        <v>0</v>
      </c>
      <c r="AA2864" s="69">
        <f>STATS1003B!AA2842/1000</f>
        <v>208217.40091</v>
      </c>
      <c r="AB2864" s="69">
        <f>STATS1003B!AB2842/1000</f>
        <v>0</v>
      </c>
    </row>
    <row r="2865" spans="1:28" x14ac:dyDescent="0.3">
      <c r="A2865" s="73"/>
      <c r="C2865" s="68" t="s">
        <v>908</v>
      </c>
      <c r="E2865" s="85">
        <f>42579017/1000</f>
        <v>42579.017</v>
      </c>
      <c r="F2865" s="85">
        <f>STATS1003B!F2843/1000</f>
        <v>42579.017679999997</v>
      </c>
      <c r="G2865" s="85">
        <f>STATS1003B!G2843/1000</f>
        <v>0</v>
      </c>
      <c r="H2865" s="85">
        <f>42579017/1000</f>
        <v>42579.017</v>
      </c>
      <c r="I2865" s="85">
        <f>STATS1003B!I2843/1000</f>
        <v>0</v>
      </c>
      <c r="J2865" s="85">
        <f>STATS1003B!J2843/1000</f>
        <v>0</v>
      </c>
      <c r="K2865" s="85">
        <f>STATS1003B!K2843/1000</f>
        <v>0</v>
      </c>
      <c r="L2865" s="85">
        <f>STATS1003B!L2843/1000</f>
        <v>0</v>
      </c>
      <c r="M2865" s="85">
        <f>STATS1003B!M2843/1000</f>
        <v>42579.017679999997</v>
      </c>
      <c r="N2865" s="85">
        <f>STATS1003B!N2843/1000</f>
        <v>0</v>
      </c>
      <c r="O2865" s="85">
        <f>STATS1003B!O2843/1000</f>
        <v>0</v>
      </c>
      <c r="P2865" s="85">
        <v>0</v>
      </c>
      <c r="Q2865" s="85">
        <f>STATS1003B!Q2843/1000</f>
        <v>0</v>
      </c>
      <c r="R2865" s="85">
        <f>STATS1003B!R2843/1000</f>
        <v>0</v>
      </c>
      <c r="S2865" s="85">
        <f>STATS1003B!S2843/1000</f>
        <v>0</v>
      </c>
      <c r="T2865" s="85">
        <f>STATS1003B!T2843/1000</f>
        <v>0</v>
      </c>
      <c r="U2865" s="85">
        <f>STATS1003B!U2843/1000</f>
        <v>0</v>
      </c>
      <c r="V2865" s="85">
        <f>STATS1003B!V2843/1000</f>
        <v>126386.13119000001</v>
      </c>
      <c r="W2865" s="85">
        <f>STATS1003B!W2843/1000</f>
        <v>3102.3526799999995</v>
      </c>
      <c r="X2865" s="85">
        <f t="shared" ref="X2865:X2884" si="307">+H2865+P2865</f>
        <v>42579.017</v>
      </c>
      <c r="Y2865" s="85">
        <f>STATS1003B!Y2843/1000</f>
        <v>0</v>
      </c>
      <c r="Z2865" s="85">
        <f t="shared" si="306"/>
        <v>0</v>
      </c>
      <c r="AA2865" s="69">
        <f>STATS1003B!AA2843/1000</f>
        <v>42579.017679999997</v>
      </c>
      <c r="AB2865" s="69">
        <f>STATS1003B!AB2843/1000</f>
        <v>0</v>
      </c>
    </row>
    <row r="2866" spans="1:28" x14ac:dyDescent="0.3">
      <c r="A2866" s="73"/>
      <c r="C2866" s="68" t="s">
        <v>1264</v>
      </c>
      <c r="E2866" s="85">
        <f>2846209/1000</f>
        <v>2846.2089999999998</v>
      </c>
      <c r="F2866" s="85">
        <f>STATS1003B!F2844/1000</f>
        <v>0</v>
      </c>
      <c r="G2866" s="85">
        <f>STATS1003B!G2844/1000</f>
        <v>1881.6422</v>
      </c>
      <c r="H2866" s="85">
        <f>2846209/1000</f>
        <v>2846.2089999999998</v>
      </c>
      <c r="I2866" s="85">
        <f>STATS1003B!I2844/1000</f>
        <v>0</v>
      </c>
      <c r="J2866" s="85">
        <f>STATS1003B!J2844/1000</f>
        <v>0</v>
      </c>
      <c r="K2866" s="85">
        <f>STATS1003B!K2844/1000</f>
        <v>0</v>
      </c>
      <c r="L2866" s="85">
        <f>STATS1003B!L2844/1000</f>
        <v>0</v>
      </c>
      <c r="M2866" s="85">
        <f>STATS1003B!M2844/1000</f>
        <v>1881.6422</v>
      </c>
      <c r="N2866" s="85">
        <f>STATS1003B!N2844/1000</f>
        <v>0</v>
      </c>
      <c r="O2866" s="85">
        <f>STATS1003B!O2844/1000</f>
        <v>0</v>
      </c>
      <c r="P2866" s="85">
        <v>0</v>
      </c>
      <c r="Q2866" s="85">
        <f>STATS1003B!Q2844/1000</f>
        <v>0</v>
      </c>
      <c r="R2866" s="85">
        <f>STATS1003B!R2844/1000</f>
        <v>0</v>
      </c>
      <c r="S2866" s="85">
        <f>STATS1003B!S2844/1000</f>
        <v>0</v>
      </c>
      <c r="T2866" s="85">
        <f>STATS1003B!T2844/1000</f>
        <v>0</v>
      </c>
      <c r="U2866" s="85">
        <f>STATS1003B!U2844/1000</f>
        <v>0</v>
      </c>
      <c r="V2866" s="85">
        <f>STATS1003B!V2844/1000</f>
        <v>0</v>
      </c>
      <c r="W2866" s="85">
        <f>STATS1003B!W2844/1000</f>
        <v>0</v>
      </c>
      <c r="X2866" s="85">
        <f t="shared" si="307"/>
        <v>2846.2089999999998</v>
      </c>
      <c r="Y2866" s="85">
        <f>STATS1003B!Y2844/1000</f>
        <v>0</v>
      </c>
      <c r="Z2866" s="85">
        <f t="shared" si="306"/>
        <v>0</v>
      </c>
      <c r="AA2866" s="69">
        <f>STATS1003B!AA2844/1000</f>
        <v>1881.6422</v>
      </c>
      <c r="AB2866" s="69">
        <f>STATS1003B!AB2844/1000</f>
        <v>0</v>
      </c>
    </row>
    <row r="2867" spans="1:28" x14ac:dyDescent="0.3">
      <c r="A2867" s="73"/>
      <c r="C2867" s="71" t="s">
        <v>916</v>
      </c>
      <c r="E2867" s="85">
        <f>456799313/1000</f>
        <v>456799.31300000002</v>
      </c>
      <c r="F2867" s="85">
        <f>STATS1003B!F2845/1000</f>
        <v>445674.81873</v>
      </c>
      <c r="G2867" s="85">
        <f>STATS1003B!G2845/1000</f>
        <v>0</v>
      </c>
      <c r="H2867" s="85">
        <f>445674818/1000</f>
        <v>445674.81800000003</v>
      </c>
      <c r="I2867" s="85">
        <f>STATS1003B!I2845/1000</f>
        <v>0</v>
      </c>
      <c r="J2867" s="85">
        <f>STATS1003B!J2845/1000</f>
        <v>0</v>
      </c>
      <c r="K2867" s="85">
        <f>STATS1003B!K2845/1000</f>
        <v>0</v>
      </c>
      <c r="L2867" s="85">
        <f>STATS1003B!L2845/1000</f>
        <v>11124.49526</v>
      </c>
      <c r="M2867" s="85">
        <f>STATS1003B!M2845/1000</f>
        <v>456799.31399</v>
      </c>
      <c r="N2867" s="85">
        <f>STATS1003B!N2845/1000</f>
        <v>0</v>
      </c>
      <c r="O2867" s="85">
        <f>STATS1003B!O2845/1000</f>
        <v>0</v>
      </c>
      <c r="P2867" s="85">
        <v>0</v>
      </c>
      <c r="Q2867" s="85">
        <f>STATS1003B!Q2845/1000</f>
        <v>0</v>
      </c>
      <c r="R2867" s="85">
        <f>STATS1003B!R2845/1000</f>
        <v>0</v>
      </c>
      <c r="S2867" s="85">
        <f>STATS1003B!S2845/1000</f>
        <v>0</v>
      </c>
      <c r="T2867" s="85">
        <f>STATS1003B!T2845/1000</f>
        <v>0</v>
      </c>
      <c r="U2867" s="85">
        <f>STATS1003B!U2845/1000</f>
        <v>0</v>
      </c>
      <c r="V2867" s="85">
        <f>STATS1003B!V2845/1000</f>
        <v>0</v>
      </c>
      <c r="W2867" s="85">
        <f>STATS1003B!W2845/1000</f>
        <v>0</v>
      </c>
      <c r="X2867" s="85">
        <f t="shared" si="307"/>
        <v>445674.81800000003</v>
      </c>
      <c r="Y2867" s="85">
        <f>STATS1003B!Y2845/1000</f>
        <v>0</v>
      </c>
      <c r="Z2867" s="85">
        <f t="shared" si="306"/>
        <v>11124.494999999995</v>
      </c>
      <c r="AA2867" s="69">
        <f>STATS1003B!AA2845/1000</f>
        <v>456799.31399</v>
      </c>
      <c r="AB2867" s="69">
        <f>STATS1003B!AB2845/1000</f>
        <v>0</v>
      </c>
    </row>
    <row r="2868" spans="1:28" x14ac:dyDescent="0.3">
      <c r="A2868" s="73"/>
      <c r="C2868" s="71" t="s">
        <v>1277</v>
      </c>
      <c r="E2868" s="85">
        <f>67560028/1000</f>
        <v>67560.028000000006</v>
      </c>
      <c r="F2868" s="85"/>
      <c r="G2868" s="85"/>
      <c r="H2868" s="85">
        <f>67560028/1000</f>
        <v>67560.028000000006</v>
      </c>
      <c r="I2868" s="85"/>
      <c r="J2868" s="85"/>
      <c r="K2868" s="85"/>
      <c r="L2868" s="85"/>
      <c r="M2868" s="85"/>
      <c r="N2868" s="85"/>
      <c r="O2868" s="85"/>
      <c r="P2868" s="85">
        <v>0</v>
      </c>
      <c r="Q2868" s="85"/>
      <c r="R2868" s="85"/>
      <c r="S2868" s="85"/>
      <c r="T2868" s="85"/>
      <c r="U2868" s="85"/>
      <c r="V2868" s="85"/>
      <c r="W2868" s="85"/>
      <c r="X2868" s="85">
        <f>+H2868+P2868</f>
        <v>67560.028000000006</v>
      </c>
      <c r="Y2868" s="85"/>
      <c r="Z2868" s="85">
        <f t="shared" si="306"/>
        <v>0</v>
      </c>
      <c r="AA2868" s="69"/>
      <c r="AB2868" s="69"/>
    </row>
    <row r="2869" spans="1:28" x14ac:dyDescent="0.3">
      <c r="A2869" s="73"/>
      <c r="C2869" s="68" t="s">
        <v>551</v>
      </c>
      <c r="E2869" s="85">
        <f>86860313/1000</f>
        <v>86860.312999999995</v>
      </c>
      <c r="F2869" s="85">
        <f>STATS1003B!F2846/1000</f>
        <v>86860.313849999991</v>
      </c>
      <c r="G2869" s="85">
        <f>STATS1003B!G2846/1000</f>
        <v>0</v>
      </c>
      <c r="H2869" s="85">
        <f>86860313/1000</f>
        <v>86860.312999999995</v>
      </c>
      <c r="I2869" s="85">
        <f>STATS1003B!I2846/1000</f>
        <v>0</v>
      </c>
      <c r="J2869" s="85">
        <f>STATS1003B!J2846/1000</f>
        <v>0</v>
      </c>
      <c r="K2869" s="85">
        <f>STATS1003B!K2846/1000</f>
        <v>0</v>
      </c>
      <c r="L2869" s="85">
        <f>STATS1003B!L2846/1000</f>
        <v>0</v>
      </c>
      <c r="M2869" s="85">
        <f>STATS1003B!M2846/1000</f>
        <v>86860.313849999991</v>
      </c>
      <c r="N2869" s="85">
        <f>STATS1003B!N2846/1000</f>
        <v>0</v>
      </c>
      <c r="O2869" s="85">
        <f>STATS1003B!O2846/1000</f>
        <v>0</v>
      </c>
      <c r="P2869" s="85">
        <v>0</v>
      </c>
      <c r="Q2869" s="85">
        <f>STATS1003B!Q2846/1000</f>
        <v>0</v>
      </c>
      <c r="R2869" s="85">
        <f>STATS1003B!R2846/1000</f>
        <v>0</v>
      </c>
      <c r="S2869" s="85">
        <f>STATS1003B!S2846/1000</f>
        <v>0</v>
      </c>
      <c r="T2869" s="85">
        <f>STATS1003B!T2846/1000</f>
        <v>0</v>
      </c>
      <c r="U2869" s="85">
        <f>STATS1003B!U2846/1000</f>
        <v>0</v>
      </c>
      <c r="V2869" s="85">
        <f>STATS1003B!V2846/1000</f>
        <v>0</v>
      </c>
      <c r="W2869" s="85">
        <f>STATS1003B!W2846/1000</f>
        <v>0</v>
      </c>
      <c r="X2869" s="85">
        <f t="shared" si="307"/>
        <v>86860.312999999995</v>
      </c>
      <c r="Y2869" s="85">
        <f>STATS1003B!Y2846/1000</f>
        <v>0</v>
      </c>
      <c r="Z2869" s="85">
        <f t="shared" si="306"/>
        <v>0</v>
      </c>
      <c r="AA2869" s="69">
        <f>STATS1003B!AA2846/1000</f>
        <v>86860.313849999991</v>
      </c>
      <c r="AB2869" s="69">
        <f>STATS1003B!AB2846/1000</f>
        <v>0</v>
      </c>
    </row>
    <row r="2870" spans="1:28" x14ac:dyDescent="0.3">
      <c r="A2870" s="73"/>
      <c r="C2870" s="71" t="s">
        <v>910</v>
      </c>
      <c r="E2870" s="85">
        <f>49996011/1000</f>
        <v>49996.010999999999</v>
      </c>
      <c r="F2870" s="85">
        <f>STATS1003B!F2847/1000</f>
        <v>49489.512710000003</v>
      </c>
      <c r="G2870" s="85">
        <f>STATS1003B!G2847/1000</f>
        <v>0</v>
      </c>
      <c r="H2870" s="85">
        <f>49489512/1000</f>
        <v>49489.512000000002</v>
      </c>
      <c r="I2870" s="85">
        <f>STATS1003B!I2847/1000</f>
        <v>8525.1641600000003</v>
      </c>
      <c r="J2870" s="85">
        <f>STATS1003B!J2847/1000</f>
        <v>2727.4717999999998</v>
      </c>
      <c r="K2870" s="85">
        <f>STATS1003B!K2847/1000</f>
        <v>6010.69236</v>
      </c>
      <c r="L2870" s="85">
        <f>STATS1003B!L2847/1000</f>
        <v>0</v>
      </c>
      <c r="M2870" s="85">
        <f>STATS1003B!M2847/1000</f>
        <v>49489.512710000003</v>
      </c>
      <c r="N2870" s="85">
        <f>STATS1003B!N2847/1000</f>
        <v>8.0894399999999997</v>
      </c>
      <c r="O2870" s="85">
        <f>STATS1003B!O2847/1000</f>
        <v>0</v>
      </c>
      <c r="P2870" s="85">
        <v>8.0890000000000004</v>
      </c>
      <c r="Q2870" s="85">
        <f>STATS1003B!Q2847/1000</f>
        <v>8221.7475000000013</v>
      </c>
      <c r="R2870" s="85">
        <f>STATS1003B!R2847/1000</f>
        <v>-3005.3461800000005</v>
      </c>
      <c r="S2870" s="85">
        <f>STATS1003B!S2847/1000</f>
        <v>3.91716</v>
      </c>
      <c r="T2870" s="85">
        <f>STATS1003B!T2847/1000</f>
        <v>29.618009999999998</v>
      </c>
      <c r="U2870" s="85">
        <f>STATS1003B!U2847/1000</f>
        <v>37.707449999999994</v>
      </c>
      <c r="V2870" s="85">
        <f>STATS1003B!V2847/1000</f>
        <v>295073.97227000003</v>
      </c>
      <c r="W2870" s="85">
        <f>STATS1003B!W2847/1000</f>
        <v>1839.0845099999997</v>
      </c>
      <c r="X2870" s="85">
        <f t="shared" si="307"/>
        <v>49497.601000000002</v>
      </c>
      <c r="Y2870" s="85">
        <f>STATS1003B!Y2847/1000</f>
        <v>0</v>
      </c>
      <c r="Z2870" s="85">
        <f t="shared" si="306"/>
        <v>498.40999999999622</v>
      </c>
      <c r="AA2870" s="69">
        <f>STATS1003B!AA2847/1000</f>
        <v>49527.220160000004</v>
      </c>
      <c r="AB2870" s="69">
        <f>STATS1003B!AB2847/1000</f>
        <v>468.7909800000042</v>
      </c>
    </row>
    <row r="2871" spans="1:28" x14ac:dyDescent="0.3">
      <c r="A2871" s="73"/>
      <c r="C2871" s="68" t="s">
        <v>900</v>
      </c>
      <c r="E2871" s="85">
        <f>25743984/1000</f>
        <v>25743.984</v>
      </c>
      <c r="F2871" s="85">
        <f>STATS1003B!F2848/1000</f>
        <v>17274.588449999999</v>
      </c>
      <c r="G2871" s="85">
        <f>STATS1003B!G2848/1000</f>
        <v>0</v>
      </c>
      <c r="H2871" s="85">
        <f>17274488.56/1000</f>
        <v>17274.488559999998</v>
      </c>
      <c r="I2871" s="85">
        <f>STATS1003B!I2848/1000</f>
        <v>0</v>
      </c>
      <c r="J2871" s="85">
        <f>STATS1003B!J2848/1000</f>
        <v>0</v>
      </c>
      <c r="K2871" s="85">
        <f>STATS1003B!K2848/1000</f>
        <v>0</v>
      </c>
      <c r="L2871" s="85">
        <f>STATS1003B!L2848/1000</f>
        <v>0</v>
      </c>
      <c r="M2871" s="85">
        <f>STATS1003B!M2848/1000</f>
        <v>17274.588449999999</v>
      </c>
      <c r="N2871" s="85">
        <f>STATS1003B!N2848/1000</f>
        <v>8944.3956400000006</v>
      </c>
      <c r="O2871" s="85">
        <f>STATS1003B!O2848/1000</f>
        <v>0</v>
      </c>
      <c r="P2871" s="85">
        <f>8944395/1000</f>
        <v>8944.3950000000004</v>
      </c>
      <c r="Q2871" s="85">
        <f>STATS1003B!Q2848/1000</f>
        <v>0</v>
      </c>
      <c r="R2871" s="85">
        <f>STATS1003B!R2848/1000</f>
        <v>0</v>
      </c>
      <c r="S2871" s="85">
        <f>STATS1003B!S2848/1000</f>
        <v>0</v>
      </c>
      <c r="T2871" s="85">
        <f>STATS1003B!T2848/1000</f>
        <v>0</v>
      </c>
      <c r="U2871" s="85">
        <f>STATS1003B!U2848/1000</f>
        <v>8944.3956400000006</v>
      </c>
      <c r="V2871" s="85">
        <f>STATS1003B!V2848/1000</f>
        <v>14798.5424</v>
      </c>
      <c r="W2871" s="85">
        <f>STATS1003B!W2848/1000</f>
        <v>0</v>
      </c>
      <c r="X2871" s="85">
        <f t="shared" si="307"/>
        <v>26218.883559999998</v>
      </c>
      <c r="Y2871" s="85">
        <f>STATS1003B!Y2848/1000</f>
        <v>0</v>
      </c>
      <c r="Z2871" s="85">
        <f t="shared" si="306"/>
        <v>-474.89955999999802</v>
      </c>
      <c r="AA2871" s="69">
        <f>STATS1003B!AA2848/1000</f>
        <v>26218.984089999998</v>
      </c>
      <c r="AB2871" s="69">
        <f>STATS1003B!AB2848/1000</f>
        <v>-475</v>
      </c>
    </row>
    <row r="2872" spans="1:28" x14ac:dyDescent="0.3">
      <c r="A2872" s="73"/>
      <c r="C2872" s="68" t="s">
        <v>914</v>
      </c>
      <c r="E2872" s="85">
        <f>21999950/1000</f>
        <v>21999.95</v>
      </c>
      <c r="F2872" s="85">
        <f>STATS1003B!F2849/1000</f>
        <v>15910.37866</v>
      </c>
      <c r="G2872" s="85">
        <f>STATS1003B!G2849/1000</f>
        <v>0</v>
      </c>
      <c r="H2872" s="85">
        <f>15910378/1000</f>
        <v>15910.378000000001</v>
      </c>
      <c r="I2872" s="85">
        <f>STATS1003B!I2849/1000</f>
        <v>0</v>
      </c>
      <c r="J2872" s="85">
        <f>STATS1003B!J2849/1000</f>
        <v>1000</v>
      </c>
      <c r="K2872" s="85">
        <f>STATS1003B!K2849/1000</f>
        <v>0</v>
      </c>
      <c r="L2872" s="85">
        <f>STATS1003B!L2849/1000</f>
        <v>0</v>
      </c>
      <c r="M2872" s="85">
        <f>STATS1003B!M2849/1000</f>
        <v>15910.37866</v>
      </c>
      <c r="N2872" s="85">
        <f>STATS1003B!N2849/1000</f>
        <v>3021.2384700000002</v>
      </c>
      <c r="O2872" s="85">
        <f>STATS1003B!O2849/1000</f>
        <v>0</v>
      </c>
      <c r="P2872" s="85">
        <f>3021238/1000</f>
        <v>3021.2379999999998</v>
      </c>
      <c r="Q2872" s="85">
        <f>STATS1003B!Q2849/1000</f>
        <v>0</v>
      </c>
      <c r="R2872" s="85">
        <f>STATS1003B!R2849/1000</f>
        <v>0</v>
      </c>
      <c r="S2872" s="85">
        <f>STATS1003B!S2849/1000</f>
        <v>0</v>
      </c>
      <c r="T2872" s="85">
        <f>STATS1003B!T2849/1000</f>
        <v>0</v>
      </c>
      <c r="U2872" s="85">
        <f>STATS1003B!U2849/1000</f>
        <v>3021.2384700000002</v>
      </c>
      <c r="V2872" s="85">
        <f>STATS1003B!V2849/1000</f>
        <v>17402.751420000001</v>
      </c>
      <c r="W2872" s="85">
        <f>STATS1003B!W2849/1000</f>
        <v>0</v>
      </c>
      <c r="X2872" s="85">
        <f t="shared" si="307"/>
        <v>18931.616000000002</v>
      </c>
      <c r="Y2872" s="85">
        <f>STATS1003B!Y2849/1000</f>
        <v>0</v>
      </c>
      <c r="Z2872" s="85">
        <f t="shared" si="306"/>
        <v>3068.3339999999989</v>
      </c>
      <c r="AA2872" s="69">
        <f>STATS1003B!AA2849/1000</f>
        <v>18931.617129999999</v>
      </c>
      <c r="AB2872" s="69">
        <f>STATS1003B!AB2849/1000</f>
        <v>3068.3328700000011</v>
      </c>
    </row>
    <row r="2873" spans="1:28" x14ac:dyDescent="0.3">
      <c r="A2873" s="73"/>
      <c r="C2873" s="68" t="s">
        <v>915</v>
      </c>
      <c r="E2873" s="85">
        <f>389880638/1000</f>
        <v>389880.63799999998</v>
      </c>
      <c r="F2873" s="85">
        <f>STATS1003B!F2850/1000</f>
        <v>274919.43080000003</v>
      </c>
      <c r="G2873" s="85">
        <f>STATS1003B!G2850/1000</f>
        <v>0</v>
      </c>
      <c r="H2873" s="85">
        <f>274919430/1000</f>
        <v>274919.43</v>
      </c>
      <c r="I2873" s="85">
        <f>STATS1003B!I2850/1000</f>
        <v>1029.9882299999999</v>
      </c>
      <c r="J2873" s="85">
        <f>STATS1003B!J2850/1000</f>
        <v>619.14700000000005</v>
      </c>
      <c r="K2873" s="85">
        <f>STATS1003B!K2850/1000</f>
        <v>0</v>
      </c>
      <c r="L2873" s="85">
        <f>STATS1003B!L2850/1000</f>
        <v>0</v>
      </c>
      <c r="M2873" s="85">
        <f>STATS1003B!M2850/1000</f>
        <v>274919.43080000003</v>
      </c>
      <c r="N2873" s="85">
        <f>STATS1003B!N2850/1000</f>
        <v>143.63325</v>
      </c>
      <c r="O2873" s="85">
        <f>STATS1003B!O2850/1000</f>
        <v>0</v>
      </c>
      <c r="P2873" s="85">
        <f>143633/1000</f>
        <v>143.63300000000001</v>
      </c>
      <c r="Q2873" s="85">
        <f>STATS1003B!Q2850/1000</f>
        <v>0</v>
      </c>
      <c r="R2873" s="85">
        <f>STATS1003B!R2850/1000</f>
        <v>0</v>
      </c>
      <c r="S2873" s="85">
        <f>STATS1003B!S2850/1000</f>
        <v>0</v>
      </c>
      <c r="T2873" s="85">
        <f>STATS1003B!T2850/1000</f>
        <v>0</v>
      </c>
      <c r="U2873" s="85">
        <f>STATS1003B!U2850/1000</f>
        <v>143.63325</v>
      </c>
      <c r="V2873" s="85">
        <f>STATS1003B!V2850/1000</f>
        <v>695953.8115999999</v>
      </c>
      <c r="W2873" s="85">
        <f>STATS1003B!W2850/1000</f>
        <v>102945.04122</v>
      </c>
      <c r="X2873" s="85">
        <f t="shared" si="307"/>
        <v>275063.06299999997</v>
      </c>
      <c r="Y2873" s="85">
        <f>STATS1003B!Y2850/1000</f>
        <v>0</v>
      </c>
      <c r="Z2873" s="85">
        <f>114817000/1000</f>
        <v>114817</v>
      </c>
      <c r="AA2873" s="69">
        <f>STATS1003B!AA2850/1000</f>
        <v>275063.06404999999</v>
      </c>
      <c r="AB2873" s="69">
        <f>STATS1003B!AB2850/1000</f>
        <v>114817.57394999999</v>
      </c>
    </row>
    <row r="2874" spans="1:28" x14ac:dyDescent="0.3">
      <c r="A2874" s="73"/>
      <c r="C2874" s="68" t="s">
        <v>1312</v>
      </c>
      <c r="E2874" s="85">
        <f>6337894.33/1000</f>
        <v>6337.8943300000001</v>
      </c>
      <c r="F2874" s="85"/>
      <c r="G2874" s="85"/>
      <c r="H2874" s="85">
        <f>6337894.33/1000</f>
        <v>6337.8943300000001</v>
      </c>
      <c r="I2874" s="85"/>
      <c r="J2874" s="85"/>
      <c r="K2874" s="85"/>
      <c r="L2874" s="85"/>
      <c r="M2874" s="85"/>
      <c r="N2874" s="85"/>
      <c r="O2874" s="85"/>
      <c r="P2874" s="85">
        <v>0</v>
      </c>
      <c r="Q2874" s="85"/>
      <c r="R2874" s="85"/>
      <c r="S2874" s="85"/>
      <c r="T2874" s="85"/>
      <c r="U2874" s="85"/>
      <c r="V2874" s="85"/>
      <c r="W2874" s="85"/>
      <c r="X2874" s="85">
        <f>+H2874+P2874</f>
        <v>6337.8943300000001</v>
      </c>
      <c r="Y2874" s="85"/>
      <c r="Z2874" s="85">
        <f>+E2874-X2874</f>
        <v>0</v>
      </c>
      <c r="AA2874" s="69"/>
      <c r="AB2874" s="69"/>
    </row>
    <row r="2875" spans="1:28" x14ac:dyDescent="0.3">
      <c r="A2875" s="73"/>
      <c r="C2875" s="68" t="s">
        <v>918</v>
      </c>
      <c r="E2875" s="85">
        <f>30586954/1000</f>
        <v>30586.954000000002</v>
      </c>
      <c r="F2875" s="85">
        <f>STATS1003B!F2851/1000</f>
        <v>30586.954460000001</v>
      </c>
      <c r="G2875" s="85">
        <f>STATS1003B!G2851/1000</f>
        <v>0</v>
      </c>
      <c r="H2875" s="85">
        <f>30586954/1000</f>
        <v>30586.954000000002</v>
      </c>
      <c r="I2875" s="85">
        <f>STATS1003B!I2851/1000</f>
        <v>0</v>
      </c>
      <c r="J2875" s="85">
        <f>STATS1003B!J2851/1000</f>
        <v>0</v>
      </c>
      <c r="K2875" s="85">
        <f>STATS1003B!K2851/1000</f>
        <v>0</v>
      </c>
      <c r="L2875" s="85">
        <f>STATS1003B!L2851/1000</f>
        <v>0</v>
      </c>
      <c r="M2875" s="85">
        <f>STATS1003B!M2851/1000</f>
        <v>30586.954460000001</v>
      </c>
      <c r="N2875" s="85">
        <f>STATS1003B!N2851/1000</f>
        <v>0</v>
      </c>
      <c r="O2875" s="85">
        <f>STATS1003B!O2851/1000</f>
        <v>0</v>
      </c>
      <c r="P2875" s="85">
        <v>0</v>
      </c>
      <c r="Q2875" s="85">
        <f>STATS1003B!Q2851/1000</f>
        <v>0</v>
      </c>
      <c r="R2875" s="85">
        <f>STATS1003B!R2851/1000</f>
        <v>0</v>
      </c>
      <c r="S2875" s="85">
        <f>STATS1003B!S2851/1000</f>
        <v>0</v>
      </c>
      <c r="T2875" s="85">
        <f>STATS1003B!T2851/1000</f>
        <v>0</v>
      </c>
      <c r="U2875" s="85">
        <f>STATS1003B!U2851/1000</f>
        <v>0</v>
      </c>
      <c r="V2875" s="85">
        <f>STATS1003B!V2851/1000</f>
        <v>7710.5956200000001</v>
      </c>
      <c r="W2875" s="85">
        <f>STATS1003B!W2851/1000</f>
        <v>0</v>
      </c>
      <c r="X2875" s="85">
        <f t="shared" si="307"/>
        <v>30586.954000000002</v>
      </c>
      <c r="Y2875" s="85">
        <f>STATS1003B!Y2851/1000</f>
        <v>0</v>
      </c>
      <c r="Z2875" s="85">
        <f t="shared" si="306"/>
        <v>0</v>
      </c>
      <c r="AA2875" s="69">
        <f>STATS1003B!AA2851/1000</f>
        <v>30586.954460000001</v>
      </c>
      <c r="AB2875" s="69">
        <f>STATS1003B!AB2851/1000</f>
        <v>0</v>
      </c>
    </row>
    <row r="2876" spans="1:28" x14ac:dyDescent="0.3">
      <c r="A2876" s="73"/>
      <c r="C2876" s="68" t="s">
        <v>901</v>
      </c>
      <c r="E2876" s="85">
        <f>25150521/1000</f>
        <v>25150.521000000001</v>
      </c>
      <c r="F2876" s="85">
        <f>STATS1003B!F2852/1000</f>
        <v>24252.704399999999</v>
      </c>
      <c r="G2876" s="85">
        <f>STATS1003B!G2852/1000</f>
        <v>0</v>
      </c>
      <c r="H2876" s="85">
        <f>24252704/1000</f>
        <v>24252.704000000002</v>
      </c>
      <c r="I2876" s="85">
        <f>STATS1003B!I2852/1000</f>
        <v>0</v>
      </c>
      <c r="J2876" s="85">
        <f>STATS1003B!J2852/1000</f>
        <v>0</v>
      </c>
      <c r="K2876" s="85">
        <f>STATS1003B!K2852/1000</f>
        <v>0</v>
      </c>
      <c r="L2876" s="85">
        <f>STATS1003B!L2852/1000</f>
        <v>0</v>
      </c>
      <c r="M2876" s="85">
        <f>STATS1003B!M2852/1000</f>
        <v>24252.704399999999</v>
      </c>
      <c r="N2876" s="85">
        <f>STATS1003B!N2852/1000</f>
        <v>897.81670999999994</v>
      </c>
      <c r="O2876" s="85">
        <f>STATS1003B!O2852/1000</f>
        <v>0</v>
      </c>
      <c r="P2876" s="85">
        <f>897816/1000</f>
        <v>897.81600000000003</v>
      </c>
      <c r="Q2876" s="85">
        <f>STATS1003B!Q2852/1000</f>
        <v>0</v>
      </c>
      <c r="R2876" s="85">
        <f>STATS1003B!R2852/1000</f>
        <v>0</v>
      </c>
      <c r="S2876" s="85">
        <f>STATS1003B!S2852/1000</f>
        <v>0</v>
      </c>
      <c r="T2876" s="85">
        <f>STATS1003B!T2852/1000</f>
        <v>0</v>
      </c>
      <c r="U2876" s="85">
        <f>STATS1003B!U2852/1000</f>
        <v>897.81670999999994</v>
      </c>
      <c r="V2876" s="85">
        <f>STATS1003B!V2852/1000</f>
        <v>1950.1130000000001</v>
      </c>
      <c r="W2876" s="85">
        <f>STATS1003B!W2852/1000</f>
        <v>0</v>
      </c>
      <c r="X2876" s="85">
        <f t="shared" si="307"/>
        <v>25150.52</v>
      </c>
      <c r="Y2876" s="85">
        <f>STATS1003B!Y2852/1000</f>
        <v>0</v>
      </c>
      <c r="Z2876" s="85">
        <f t="shared" si="306"/>
        <v>1.0000000002037268E-3</v>
      </c>
      <c r="AA2876" s="69">
        <f>STATS1003B!AA2852/1000</f>
        <v>25150.521109999998</v>
      </c>
      <c r="AB2876" s="69">
        <f>STATS1003B!AB2852/1000</f>
        <v>0</v>
      </c>
    </row>
    <row r="2877" spans="1:28" x14ac:dyDescent="0.3">
      <c r="A2877" s="73"/>
      <c r="C2877" s="68" t="s">
        <v>885</v>
      </c>
      <c r="E2877" s="85">
        <f>75240727/1000</f>
        <v>75240.726999999999</v>
      </c>
      <c r="F2877" s="85">
        <f>STATS1003B!F2853/1000</f>
        <v>71697.311809999999</v>
      </c>
      <c r="G2877" s="85">
        <f>STATS1003B!G2853/1000</f>
        <v>0</v>
      </c>
      <c r="H2877" s="85">
        <f>71697311/1000</f>
        <v>71697.311000000002</v>
      </c>
      <c r="I2877" s="85">
        <f>STATS1003B!I2853/1000</f>
        <v>0</v>
      </c>
      <c r="J2877" s="85">
        <f>STATS1003B!J2853/1000</f>
        <v>0</v>
      </c>
      <c r="K2877" s="85">
        <f>STATS1003B!K2853/1000</f>
        <v>0</v>
      </c>
      <c r="L2877" s="85">
        <f>STATS1003B!L2853/1000</f>
        <v>0</v>
      </c>
      <c r="M2877" s="85">
        <f>STATS1003B!M2853/1000</f>
        <v>71697.311809999999</v>
      </c>
      <c r="N2877" s="85">
        <f>STATS1003B!N2853/1000</f>
        <v>2535.11366</v>
      </c>
      <c r="O2877" s="85">
        <f>STATS1003B!O2853/1000</f>
        <v>0</v>
      </c>
      <c r="P2877" s="85">
        <f>2535113/1000</f>
        <v>2535.1129999999998</v>
      </c>
      <c r="Q2877" s="85">
        <f>STATS1003B!Q2853/1000</f>
        <v>0</v>
      </c>
      <c r="R2877" s="85">
        <f>STATS1003B!R2853/1000</f>
        <v>0</v>
      </c>
      <c r="S2877" s="85">
        <f>STATS1003B!S2853/1000</f>
        <v>0</v>
      </c>
      <c r="T2877" s="85">
        <f>STATS1003B!T2853/1000</f>
        <v>0</v>
      </c>
      <c r="U2877" s="85">
        <f>STATS1003B!U2853/1000</f>
        <v>2535.11366</v>
      </c>
      <c r="V2877" s="85">
        <f>STATS1003B!V2853/1000</f>
        <v>282.73</v>
      </c>
      <c r="W2877" s="85">
        <f>STATS1003B!W2853/1000</f>
        <v>0</v>
      </c>
      <c r="X2877" s="85">
        <f t="shared" si="307"/>
        <v>74232.423999999999</v>
      </c>
      <c r="Y2877" s="85" t="e">
        <f>STATS1003B!Y2853/1000</f>
        <v>#VALUE!</v>
      </c>
      <c r="Z2877" s="85">
        <f t="shared" si="306"/>
        <v>1008.3029999999999</v>
      </c>
      <c r="AA2877" s="69">
        <f>STATS1003B!AA2853/1000</f>
        <v>74232.425470000002</v>
      </c>
      <c r="AB2877" s="69">
        <f>STATS1003B!AB2853/1000</f>
        <v>1008.3022100000084</v>
      </c>
    </row>
    <row r="2878" spans="1:28" x14ac:dyDescent="0.3">
      <c r="A2878" s="73"/>
      <c r="C2878" s="68" t="s">
        <v>886</v>
      </c>
      <c r="E2878" s="85">
        <f>10245000/1000</f>
        <v>10245</v>
      </c>
      <c r="F2878" s="85">
        <f>STATS1003B!F2854/1000</f>
        <v>9136.7489999999998</v>
      </c>
      <c r="G2878" s="85">
        <f>STATS1003B!G2854/1000</f>
        <v>0</v>
      </c>
      <c r="H2878" s="85">
        <f>9136749/1000</f>
        <v>9136.7489999999998</v>
      </c>
      <c r="I2878" s="85">
        <f>STATS1003B!I2854/1000</f>
        <v>0</v>
      </c>
      <c r="J2878" s="85">
        <f>STATS1003B!J2854/1000</f>
        <v>0</v>
      </c>
      <c r="K2878" s="85">
        <f>STATS1003B!K2854/1000</f>
        <v>0</v>
      </c>
      <c r="L2878" s="85">
        <f>STATS1003B!L2854/1000</f>
        <v>0</v>
      </c>
      <c r="M2878" s="85">
        <f>STATS1003B!M2854/1000</f>
        <v>9136.7489999999998</v>
      </c>
      <c r="N2878" s="85">
        <f>STATS1003B!N2854/1000</f>
        <v>0</v>
      </c>
      <c r="O2878" s="85">
        <f>STATS1003B!O2854/1000</f>
        <v>0</v>
      </c>
      <c r="P2878" s="85">
        <v>0</v>
      </c>
      <c r="Q2878" s="85">
        <f>STATS1003B!Q2854/1000</f>
        <v>0</v>
      </c>
      <c r="R2878" s="85">
        <f>STATS1003B!R2854/1000</f>
        <v>0</v>
      </c>
      <c r="S2878" s="85">
        <f>STATS1003B!S2854/1000</f>
        <v>0</v>
      </c>
      <c r="T2878" s="85">
        <f>STATS1003B!T2854/1000</f>
        <v>0</v>
      </c>
      <c r="U2878" s="85">
        <f>STATS1003B!U2854/1000</f>
        <v>0</v>
      </c>
      <c r="V2878" s="85">
        <f>STATS1003B!V2854/1000</f>
        <v>0</v>
      </c>
      <c r="W2878" s="85">
        <f>STATS1003B!W2854/1000</f>
        <v>0</v>
      </c>
      <c r="X2878" s="85">
        <f t="shared" si="307"/>
        <v>9136.7489999999998</v>
      </c>
      <c r="Y2878" s="85">
        <f>STATS1003B!Y2854/1000</f>
        <v>0</v>
      </c>
      <c r="Z2878" s="85">
        <f>+E2878-X2878</f>
        <v>1108.2510000000002</v>
      </c>
      <c r="AA2878" s="69">
        <f>STATS1003B!AA2854/1000</f>
        <v>9136.7489999999998</v>
      </c>
      <c r="AB2878" s="69">
        <f>STATS1003B!AB2854/1000</f>
        <v>1108.751</v>
      </c>
    </row>
    <row r="2879" spans="1:28" x14ac:dyDescent="0.3">
      <c r="A2879" s="73"/>
      <c r="C2879" s="68" t="s">
        <v>872</v>
      </c>
      <c r="E2879" s="85">
        <f>4689950/1000</f>
        <v>4689.95</v>
      </c>
      <c r="F2879" s="85">
        <f>STATS1003B!F2855/1000</f>
        <v>1500</v>
      </c>
      <c r="G2879" s="85">
        <f>STATS1003B!G2855/1000</f>
        <v>0</v>
      </c>
      <c r="H2879" s="85">
        <f>1500000/1000</f>
        <v>1500</v>
      </c>
      <c r="I2879" s="85">
        <f>STATS1003B!I2855/1000</f>
        <v>0</v>
      </c>
      <c r="J2879" s="85">
        <f>STATS1003B!J2855/1000</f>
        <v>0</v>
      </c>
      <c r="K2879" s="85">
        <f>STATS1003B!K2855/1000</f>
        <v>0</v>
      </c>
      <c r="L2879" s="85">
        <f>STATS1003B!L2855/1000</f>
        <v>0</v>
      </c>
      <c r="M2879" s="85">
        <f>STATS1003B!M2855/1000</f>
        <v>1500</v>
      </c>
      <c r="N2879" s="85">
        <f>STATS1003B!N2855/1000</f>
        <v>3189.95</v>
      </c>
      <c r="O2879" s="85">
        <f>STATS1003B!O2855/1000</f>
        <v>0</v>
      </c>
      <c r="P2879" s="85">
        <f>3189950/1000</f>
        <v>3189.95</v>
      </c>
      <c r="Q2879" s="85">
        <f>STATS1003B!Q2855/1000</f>
        <v>0</v>
      </c>
      <c r="R2879" s="85">
        <f>STATS1003B!R2855/1000</f>
        <v>0</v>
      </c>
      <c r="S2879" s="85">
        <f>STATS1003B!S2855/1000</f>
        <v>0</v>
      </c>
      <c r="T2879" s="85">
        <f>STATS1003B!T2855/1000</f>
        <v>0</v>
      </c>
      <c r="U2879" s="85">
        <f>STATS1003B!U2855/1000</f>
        <v>3189.95</v>
      </c>
      <c r="V2879" s="85">
        <f>STATS1003B!V2855/1000</f>
        <v>0</v>
      </c>
      <c r="W2879" s="85">
        <f>STATS1003B!W2855/1000</f>
        <v>0</v>
      </c>
      <c r="X2879" s="85">
        <f t="shared" si="307"/>
        <v>4689.95</v>
      </c>
      <c r="Y2879" s="85" t="e">
        <f>STATS1003B!Y2855/1000</f>
        <v>#VALUE!</v>
      </c>
      <c r="Z2879" s="85">
        <f t="shared" si="306"/>
        <v>0</v>
      </c>
      <c r="AA2879" s="69">
        <f>STATS1003B!AA2855/1000</f>
        <v>4689.95</v>
      </c>
      <c r="AB2879" s="69">
        <f>STATS1003B!AB2855/1000</f>
        <v>0</v>
      </c>
    </row>
    <row r="2880" spans="1:28" x14ac:dyDescent="0.3">
      <c r="A2880" s="73"/>
      <c r="C2880" s="68" t="s">
        <v>810</v>
      </c>
      <c r="E2880" s="85">
        <f>1795687/1000</f>
        <v>1795.6869999999999</v>
      </c>
      <c r="F2880" s="85">
        <f>STATS1003B!F2856/1000</f>
        <v>1795.68715</v>
      </c>
      <c r="G2880" s="85">
        <f>STATS1003B!G2856/1000</f>
        <v>0</v>
      </c>
      <c r="H2880" s="85">
        <f>1795687/1000</f>
        <v>1795.6869999999999</v>
      </c>
      <c r="I2880" s="85">
        <f>STATS1003B!I2856/1000</f>
        <v>0</v>
      </c>
      <c r="J2880" s="85">
        <f>STATS1003B!J2856/1000</f>
        <v>0</v>
      </c>
      <c r="K2880" s="85">
        <f>STATS1003B!K2856/1000</f>
        <v>0</v>
      </c>
      <c r="L2880" s="85">
        <f>STATS1003B!L2856/1000</f>
        <v>0</v>
      </c>
      <c r="M2880" s="85">
        <f>STATS1003B!M2856/1000</f>
        <v>1795.68715</v>
      </c>
      <c r="N2880" s="85">
        <f>STATS1003B!N2856/1000</f>
        <v>0</v>
      </c>
      <c r="O2880" s="85">
        <f>STATS1003B!O2856/1000</f>
        <v>0</v>
      </c>
      <c r="P2880" s="85">
        <v>0</v>
      </c>
      <c r="Q2880" s="85">
        <f>STATS1003B!Q2856/1000</f>
        <v>0</v>
      </c>
      <c r="R2880" s="85">
        <f>STATS1003B!R2856/1000</f>
        <v>0</v>
      </c>
      <c r="S2880" s="85">
        <f>STATS1003B!S2856/1000</f>
        <v>0</v>
      </c>
      <c r="T2880" s="85">
        <f>STATS1003B!T2856/1000</f>
        <v>0</v>
      </c>
      <c r="U2880" s="85">
        <f>STATS1003B!U2856/1000</f>
        <v>0</v>
      </c>
      <c r="V2880" s="85">
        <f>STATS1003B!V2856/1000</f>
        <v>0</v>
      </c>
      <c r="W2880" s="85">
        <f>STATS1003B!W2856/1000</f>
        <v>0</v>
      </c>
      <c r="X2880" s="85">
        <f t="shared" si="307"/>
        <v>1795.6869999999999</v>
      </c>
      <c r="Y2880" s="85">
        <f>STATS1003B!Y2856/1000</f>
        <v>0</v>
      </c>
      <c r="Z2880" s="85">
        <f t="shared" si="306"/>
        <v>0</v>
      </c>
      <c r="AA2880" s="69">
        <f>STATS1003B!AA2856/1000</f>
        <v>1795.68715</v>
      </c>
      <c r="AB2880" s="69">
        <f>STATS1003B!AB2856/1000</f>
        <v>0</v>
      </c>
    </row>
    <row r="2881" spans="1:28" x14ac:dyDescent="0.3">
      <c r="A2881" s="73"/>
      <c r="C2881" s="98" t="s">
        <v>880</v>
      </c>
      <c r="E2881" s="85">
        <v>0</v>
      </c>
      <c r="F2881" s="85">
        <f>STATS1003B!F2857/1000</f>
        <v>22904.14673</v>
      </c>
      <c r="G2881" s="85">
        <f>STATS1003B!G2857/1000</f>
        <v>0</v>
      </c>
      <c r="H2881" s="85">
        <f>22904146/1000</f>
        <v>22904.146000000001</v>
      </c>
      <c r="I2881" s="85">
        <f>STATS1003B!I2857/1000</f>
        <v>0</v>
      </c>
      <c r="J2881" s="85">
        <f>STATS1003B!J2857/1000</f>
        <v>0</v>
      </c>
      <c r="K2881" s="85">
        <f>STATS1003B!K2857/1000</f>
        <v>0</v>
      </c>
      <c r="L2881" s="85">
        <f>STATS1003B!L2857/1000</f>
        <v>0</v>
      </c>
      <c r="M2881" s="85">
        <f>STATS1003B!M2857/1000</f>
        <v>22904.14673</v>
      </c>
      <c r="N2881" s="85">
        <f>STATS1003B!N2857/1000</f>
        <v>39.02711</v>
      </c>
      <c r="O2881" s="85">
        <f>STATS1003B!O2857/1000</f>
        <v>0</v>
      </c>
      <c r="P2881" s="85">
        <f>39027/1000</f>
        <v>39.027000000000001</v>
      </c>
      <c r="Q2881" s="85">
        <f>STATS1003B!Q2857/1000</f>
        <v>0</v>
      </c>
      <c r="R2881" s="85">
        <f>STATS1003B!R2857/1000</f>
        <v>0</v>
      </c>
      <c r="S2881" s="85">
        <f>STATS1003B!S2857/1000</f>
        <v>0</v>
      </c>
      <c r="T2881" s="85">
        <f>STATS1003B!T2857/1000</f>
        <v>0</v>
      </c>
      <c r="U2881" s="85">
        <f>STATS1003B!U2857/1000</f>
        <v>39.02711</v>
      </c>
      <c r="V2881" s="85">
        <f>STATS1003B!V2857/1000</f>
        <v>20985.87412</v>
      </c>
      <c r="W2881" s="85">
        <f>STATS1003B!W2857/1000</f>
        <v>0</v>
      </c>
      <c r="X2881" s="85">
        <f t="shared" si="307"/>
        <v>22943.172999999999</v>
      </c>
      <c r="Y2881" s="85">
        <f>STATS1003B!Y2857/1000</f>
        <v>0</v>
      </c>
      <c r="Z2881" s="85">
        <f t="shared" si="306"/>
        <v>-22943.172999999999</v>
      </c>
      <c r="AA2881" s="69">
        <f>STATS1003B!AA2857/1000</f>
        <v>22943.173839999999</v>
      </c>
      <c r="AB2881" s="69">
        <f>STATS1003B!AB2857/1000</f>
        <v>-22943.173839999999</v>
      </c>
    </row>
    <row r="2882" spans="1:28" x14ac:dyDescent="0.3">
      <c r="A2882" s="73"/>
      <c r="C2882" s="68" t="s">
        <v>873</v>
      </c>
      <c r="E2882" s="85">
        <f>25794331/1000</f>
        <v>25794.330999999998</v>
      </c>
      <c r="F2882" s="85">
        <f>STATS1003B!F2858/1000</f>
        <v>0</v>
      </c>
      <c r="G2882" s="85">
        <f>STATS1003B!G2858/1000</f>
        <v>0</v>
      </c>
      <c r="H2882" s="85">
        <v>0</v>
      </c>
      <c r="I2882" s="85">
        <f>STATS1003B!I2858/1000</f>
        <v>0</v>
      </c>
      <c r="J2882" s="85">
        <f>STATS1003B!J2858/1000</f>
        <v>0</v>
      </c>
      <c r="K2882" s="85">
        <f>STATS1003B!K2858/1000</f>
        <v>0</v>
      </c>
      <c r="L2882" s="85">
        <f>STATS1003B!L2858/1000</f>
        <v>0</v>
      </c>
      <c r="M2882" s="85">
        <f>STATS1003B!M2858/1000</f>
        <v>0</v>
      </c>
      <c r="N2882" s="85">
        <f>STATS1003B!N2858/1000</f>
        <v>25794.331739999998</v>
      </c>
      <c r="O2882" s="85">
        <f>STATS1003B!O2858/1000</f>
        <v>0</v>
      </c>
      <c r="P2882" s="85">
        <f>25794331/1000</f>
        <v>25794.330999999998</v>
      </c>
      <c r="Q2882" s="85">
        <f>STATS1003B!Q2858/1000</f>
        <v>0</v>
      </c>
      <c r="R2882" s="85">
        <f>STATS1003B!R2858/1000</f>
        <v>0</v>
      </c>
      <c r="S2882" s="85">
        <f>STATS1003B!S2858/1000</f>
        <v>0</v>
      </c>
      <c r="T2882" s="85">
        <f>STATS1003B!T2858/1000</f>
        <v>0</v>
      </c>
      <c r="U2882" s="85">
        <f>STATS1003B!U2858/1000</f>
        <v>25794.331739999998</v>
      </c>
      <c r="V2882" s="85">
        <f>STATS1003B!V2858/1000</f>
        <v>0</v>
      </c>
      <c r="W2882" s="85">
        <f>STATS1003B!W2858/1000</f>
        <v>0</v>
      </c>
      <c r="X2882" s="85">
        <f t="shared" si="307"/>
        <v>25794.330999999998</v>
      </c>
      <c r="Y2882" s="85">
        <f>STATS1003B!Y2858/1000</f>
        <v>0</v>
      </c>
      <c r="Z2882" s="85">
        <f t="shared" si="306"/>
        <v>0</v>
      </c>
      <c r="AA2882" s="69">
        <f>STATS1003B!AA2858/1000</f>
        <v>25794.331739999998</v>
      </c>
      <c r="AB2882" s="69">
        <f>STATS1003B!AB2858/1000</f>
        <v>0</v>
      </c>
    </row>
    <row r="2883" spans="1:28" x14ac:dyDescent="0.3">
      <c r="A2883" s="73" t="s">
        <v>1097</v>
      </c>
      <c r="C2883" s="68" t="s">
        <v>881</v>
      </c>
      <c r="E2883" s="85">
        <f>152151335/1000</f>
        <v>152151.33499999999</v>
      </c>
      <c r="F2883" s="85">
        <f>STATS1003B!F2859/1000</f>
        <v>0</v>
      </c>
      <c r="G2883" s="85">
        <f>STATS1003B!G2859/1000</f>
        <v>0</v>
      </c>
      <c r="H2883" s="85">
        <v>0</v>
      </c>
      <c r="I2883" s="85">
        <f>STATS1003B!I2859/1000</f>
        <v>0</v>
      </c>
      <c r="J2883" s="85">
        <f>STATS1003B!J2859/1000</f>
        <v>0</v>
      </c>
      <c r="K2883" s="85">
        <f>STATS1003B!K2859/1000</f>
        <v>0</v>
      </c>
      <c r="L2883" s="85">
        <f>STATS1003B!L2859/1000</f>
        <v>0</v>
      </c>
      <c r="M2883" s="85">
        <f>STATS1003B!M2859/1000</f>
        <v>0</v>
      </c>
      <c r="N2883" s="85">
        <f>STATS1003B!N2859/1000</f>
        <v>152151.33499999999</v>
      </c>
      <c r="O2883" s="85">
        <f>STATS1003B!O2859/1000</f>
        <v>0</v>
      </c>
      <c r="P2883" s="85">
        <f>152151335/1000</f>
        <v>152151.33499999999</v>
      </c>
      <c r="Q2883" s="85">
        <f>STATS1003B!Q2859/1000</f>
        <v>0</v>
      </c>
      <c r="R2883" s="85">
        <f>STATS1003B!R2859/1000</f>
        <v>0</v>
      </c>
      <c r="S2883" s="85">
        <f>STATS1003B!S2859/1000</f>
        <v>0</v>
      </c>
      <c r="T2883" s="85">
        <f>STATS1003B!T2859/1000</f>
        <v>0</v>
      </c>
      <c r="U2883" s="85">
        <f>STATS1003B!U2859/1000</f>
        <v>152151.33499999999</v>
      </c>
      <c r="V2883" s="85">
        <f>STATS1003B!V2859/1000</f>
        <v>0</v>
      </c>
      <c r="W2883" s="85">
        <f>STATS1003B!W2859/1000</f>
        <v>0</v>
      </c>
      <c r="X2883" s="85">
        <f t="shared" si="307"/>
        <v>152151.33499999999</v>
      </c>
      <c r="Y2883" s="85">
        <f>STATS1003B!Y2859/1000</f>
        <v>0</v>
      </c>
      <c r="Z2883" s="85">
        <f t="shared" si="306"/>
        <v>0</v>
      </c>
      <c r="AA2883" s="69">
        <f>STATS1003B!AA2859/1000</f>
        <v>152151.33499999999</v>
      </c>
      <c r="AB2883" s="69">
        <f>STATS1003B!AB2859/1000</f>
        <v>0</v>
      </c>
    </row>
    <row r="2884" spans="1:28" x14ac:dyDescent="0.3">
      <c r="A2884" s="73"/>
      <c r="C2884" s="68" t="s">
        <v>882</v>
      </c>
      <c r="E2884" s="85">
        <f>35232053/1000</f>
        <v>35232.053</v>
      </c>
      <c r="F2884" s="85">
        <f>STATS1003B!F2860/1000</f>
        <v>0</v>
      </c>
      <c r="G2884" s="85">
        <f>STATS1003B!G2860/1000</f>
        <v>0</v>
      </c>
      <c r="H2884" s="85">
        <v>0</v>
      </c>
      <c r="I2884" s="85">
        <f>STATS1003B!I2860/1000</f>
        <v>0</v>
      </c>
      <c r="J2884" s="85">
        <f>STATS1003B!J2860/1000</f>
        <v>0</v>
      </c>
      <c r="K2884" s="85">
        <f>STATS1003B!K2860/1000</f>
        <v>0</v>
      </c>
      <c r="L2884" s="85">
        <f>STATS1003B!L2860/1000</f>
        <v>0</v>
      </c>
      <c r="M2884" s="85">
        <f>STATS1003B!M2860/1000</f>
        <v>0</v>
      </c>
      <c r="N2884" s="85">
        <f>STATS1003B!N2860/1000</f>
        <v>35232.053</v>
      </c>
      <c r="O2884" s="85">
        <f>STATS1003B!O2860/1000</f>
        <v>0</v>
      </c>
      <c r="P2884" s="85">
        <f>35232053/1000</f>
        <v>35232.053</v>
      </c>
      <c r="Q2884" s="85">
        <f>STATS1003B!Q2860/1000</f>
        <v>0</v>
      </c>
      <c r="R2884" s="85">
        <f>STATS1003B!R2860/1000</f>
        <v>0</v>
      </c>
      <c r="S2884" s="85">
        <f>STATS1003B!S2860/1000</f>
        <v>0</v>
      </c>
      <c r="T2884" s="85">
        <f>STATS1003B!T2860/1000</f>
        <v>0</v>
      </c>
      <c r="U2884" s="85">
        <f>STATS1003B!U2860/1000</f>
        <v>35232.053</v>
      </c>
      <c r="V2884" s="85">
        <f>STATS1003B!V2860/1000</f>
        <v>0</v>
      </c>
      <c r="W2884" s="85">
        <f>STATS1003B!W2860/1000</f>
        <v>0</v>
      </c>
      <c r="X2884" s="85">
        <f t="shared" si="307"/>
        <v>35232.053</v>
      </c>
      <c r="Y2884" s="85">
        <f>STATS1003B!Y2860/1000</f>
        <v>0</v>
      </c>
      <c r="Z2884" s="85">
        <f t="shared" si="306"/>
        <v>0</v>
      </c>
      <c r="AA2884" s="69">
        <f>STATS1003B!AA2860/1000</f>
        <v>35232.053</v>
      </c>
      <c r="AB2884" s="69">
        <f>STATS1003B!AB2860/1000</f>
        <v>0</v>
      </c>
    </row>
    <row r="2885" spans="1:28" x14ac:dyDescent="0.3">
      <c r="A2885" s="73"/>
      <c r="E2885" s="86" t="s">
        <v>29</v>
      </c>
      <c r="F2885" s="86" t="s">
        <v>29</v>
      </c>
      <c r="G2885" s="86" t="s">
        <v>29</v>
      </c>
      <c r="H2885" s="86" t="s">
        <v>29</v>
      </c>
      <c r="I2885" s="86" t="s">
        <v>29</v>
      </c>
      <c r="J2885" s="86" t="s">
        <v>29</v>
      </c>
      <c r="K2885" s="86" t="s">
        <v>29</v>
      </c>
      <c r="L2885" s="86" t="s">
        <v>29</v>
      </c>
      <c r="M2885" s="86" t="s">
        <v>29</v>
      </c>
      <c r="N2885" s="86" t="s">
        <v>29</v>
      </c>
      <c r="O2885" s="86" t="s">
        <v>29</v>
      </c>
      <c r="P2885" s="86" t="s">
        <v>29</v>
      </c>
      <c r="Q2885" s="86" t="s">
        <v>29</v>
      </c>
      <c r="R2885" s="86" t="s">
        <v>29</v>
      </c>
      <c r="S2885" s="86" t="s">
        <v>29</v>
      </c>
      <c r="T2885" s="86" t="s">
        <v>29</v>
      </c>
      <c r="U2885" s="86" t="s">
        <v>29</v>
      </c>
      <c r="V2885" s="86" t="s">
        <v>29</v>
      </c>
      <c r="W2885" s="86" t="s">
        <v>29</v>
      </c>
      <c r="X2885" s="86" t="s">
        <v>29</v>
      </c>
      <c r="Y2885" s="86" t="s">
        <v>29</v>
      </c>
      <c r="Z2885" s="86" t="s">
        <v>29</v>
      </c>
      <c r="AA2885" s="70" t="s">
        <v>29</v>
      </c>
      <c r="AB2885" s="70"/>
    </row>
    <row r="2886" spans="1:28" x14ac:dyDescent="0.3">
      <c r="A2886" s="73"/>
      <c r="E2886" s="139">
        <f>SUM(E2771:E2884)+1</f>
        <v>16590362.212369999</v>
      </c>
      <c r="F2886" s="139">
        <f t="shared" ref="F2886:Y2886" si="308">SUM(F2771:F2884)</f>
        <v>5486815.1096699992</v>
      </c>
      <c r="G2886" s="139">
        <f t="shared" si="308"/>
        <v>107946.47616000001</v>
      </c>
      <c r="H2886" s="139">
        <f>SUM(H2771:H2884)+1</f>
        <v>15681372.863779994</v>
      </c>
      <c r="I2886" s="139" t="e">
        <f t="shared" si="308"/>
        <v>#VALUE!</v>
      </c>
      <c r="J2886" s="139" t="e">
        <f t="shared" si="308"/>
        <v>#VALUE!</v>
      </c>
      <c r="K2886" s="139" t="e">
        <f t="shared" si="308"/>
        <v>#VALUE!</v>
      </c>
      <c r="L2886" s="139">
        <f t="shared" si="308"/>
        <v>30674.586770000002</v>
      </c>
      <c r="M2886" s="139">
        <f t="shared" si="308"/>
        <v>5621457.3089699987</v>
      </c>
      <c r="N2886" s="139">
        <f t="shared" si="308"/>
        <v>721775.52282999991</v>
      </c>
      <c r="O2886" s="139">
        <f t="shared" si="308"/>
        <v>0</v>
      </c>
      <c r="P2886" s="139">
        <f t="shared" si="308"/>
        <v>721775.01699999999</v>
      </c>
      <c r="Q2886" s="139" t="e">
        <f t="shared" si="308"/>
        <v>#VALUE!</v>
      </c>
      <c r="R2886" s="139" t="e">
        <f t="shared" si="308"/>
        <v>#VALUE!</v>
      </c>
      <c r="S2886" s="139" t="e">
        <f t="shared" si="308"/>
        <v>#VALUE!</v>
      </c>
      <c r="T2886" s="139">
        <f t="shared" si="308"/>
        <v>14597.76937</v>
      </c>
      <c r="U2886" s="139">
        <f t="shared" si="308"/>
        <v>736373.29219999991</v>
      </c>
      <c r="V2886" s="139" t="e">
        <f t="shared" si="308"/>
        <v>#VALUE!</v>
      </c>
      <c r="W2886" s="139" t="e">
        <f t="shared" si="308"/>
        <v>#VALUE!</v>
      </c>
      <c r="X2886" s="139">
        <f>SUM(X2771:X2884)+1</f>
        <v>16403147.880779998</v>
      </c>
      <c r="Y2886" s="139" t="e">
        <f t="shared" si="308"/>
        <v>#VALUE!</v>
      </c>
      <c r="Z2886" s="139">
        <f>187213000/1000+1</f>
        <v>187214</v>
      </c>
      <c r="AA2886" s="140">
        <f>SUM(AA2771:AA2884)</f>
        <v>6357830.6011700006</v>
      </c>
      <c r="AB2886" s="140">
        <f>SUM(AB2771:AB2884)</f>
        <v>141941.6272899998</v>
      </c>
    </row>
    <row r="2887" spans="1:28" x14ac:dyDescent="0.3">
      <c r="A2887" s="73"/>
      <c r="E2887" s="86" t="s">
        <v>114</v>
      </c>
      <c r="F2887" s="86" t="s">
        <v>114</v>
      </c>
      <c r="G2887" s="86" t="s">
        <v>114</v>
      </c>
      <c r="H2887" s="86" t="s">
        <v>114</v>
      </c>
      <c r="I2887" s="86" t="s">
        <v>114</v>
      </c>
      <c r="J2887" s="86" t="s">
        <v>114</v>
      </c>
      <c r="K2887" s="86" t="s">
        <v>114</v>
      </c>
      <c r="L2887" s="86" t="s">
        <v>114</v>
      </c>
      <c r="M2887" s="86" t="s">
        <v>114</v>
      </c>
      <c r="N2887" s="86" t="s">
        <v>114</v>
      </c>
      <c r="O2887" s="86" t="s">
        <v>114</v>
      </c>
      <c r="P2887" s="86" t="s">
        <v>114</v>
      </c>
      <c r="Q2887" s="86" t="s">
        <v>114</v>
      </c>
      <c r="R2887" s="86" t="s">
        <v>114</v>
      </c>
      <c r="S2887" s="86" t="s">
        <v>114</v>
      </c>
      <c r="T2887" s="86" t="s">
        <v>114</v>
      </c>
      <c r="U2887" s="86" t="s">
        <v>114</v>
      </c>
      <c r="V2887" s="86" t="s">
        <v>114</v>
      </c>
      <c r="W2887" s="86" t="s">
        <v>114</v>
      </c>
      <c r="X2887" s="86" t="s">
        <v>114</v>
      </c>
      <c r="Y2887" s="86" t="s">
        <v>114</v>
      </c>
      <c r="Z2887" s="86" t="s">
        <v>114</v>
      </c>
      <c r="AA2887" s="115" t="s">
        <v>114</v>
      </c>
      <c r="AB2887" s="115" t="s">
        <v>114</v>
      </c>
    </row>
    <row r="2888" spans="1:28" x14ac:dyDescent="0.3">
      <c r="A2888" s="73"/>
      <c r="E2888" s="141"/>
      <c r="F2888" s="141"/>
      <c r="G2888" s="141"/>
      <c r="H2888" s="141"/>
      <c r="I2888" s="141"/>
      <c r="J2888" s="141"/>
      <c r="K2888" s="141"/>
      <c r="L2888" s="141"/>
      <c r="M2888" s="141"/>
      <c r="N2888" s="141"/>
      <c r="O2888" s="141"/>
      <c r="P2888" s="141"/>
      <c r="Q2888" s="141"/>
      <c r="R2888" s="141"/>
      <c r="S2888" s="141"/>
      <c r="T2888" s="141"/>
      <c r="U2888" s="141"/>
      <c r="V2888" s="141"/>
      <c r="W2888" s="141"/>
      <c r="X2888" s="141"/>
      <c r="Y2888" s="141"/>
      <c r="Z2888" s="141"/>
    </row>
    <row r="2889" spans="1:28" x14ac:dyDescent="0.3">
      <c r="A2889" s="73"/>
      <c r="E2889" s="84"/>
      <c r="F2889" s="84"/>
      <c r="G2889" s="84"/>
      <c r="H2889" s="84"/>
      <c r="I2889" s="84"/>
      <c r="J2889" s="84"/>
      <c r="K2889" s="84"/>
      <c r="L2889" s="84"/>
      <c r="M2889" s="84"/>
      <c r="N2889" s="84"/>
      <c r="O2889" s="84"/>
      <c r="P2889" s="84"/>
      <c r="Q2889" s="84"/>
      <c r="R2889" s="84"/>
      <c r="S2889" s="84"/>
      <c r="T2889" s="84"/>
      <c r="U2889" s="84"/>
      <c r="V2889" s="84"/>
      <c r="W2889" s="84"/>
      <c r="X2889" s="84"/>
      <c r="Y2889" s="84"/>
      <c r="Z2889" s="84"/>
    </row>
    <row r="2890" spans="1:28" x14ac:dyDescent="0.3">
      <c r="A2890" s="73"/>
      <c r="E2890" s="84"/>
      <c r="F2890" s="84"/>
      <c r="G2890" s="84"/>
      <c r="H2890" s="84"/>
      <c r="I2890" s="84"/>
      <c r="J2890" s="84"/>
      <c r="K2890" s="84"/>
      <c r="L2890" s="84"/>
      <c r="M2890" s="84"/>
      <c r="N2890" s="84"/>
      <c r="O2890" s="84"/>
      <c r="P2890" s="84"/>
      <c r="Q2890" s="84"/>
      <c r="R2890" s="84"/>
      <c r="S2890" s="84"/>
      <c r="T2890" s="84"/>
      <c r="U2890" s="84"/>
      <c r="V2890" s="84"/>
      <c r="W2890" s="84"/>
      <c r="X2890" s="84"/>
      <c r="Y2890" s="84"/>
      <c r="Z2890" s="84"/>
      <c r="AB2890" s="68"/>
    </row>
    <row r="2891" spans="1:28" x14ac:dyDescent="0.3">
      <c r="A2891" s="73"/>
      <c r="C2891" s="115"/>
      <c r="D2891" s="115"/>
      <c r="E2891" s="86"/>
      <c r="F2891" s="86"/>
      <c r="G2891" s="86"/>
      <c r="H2891" s="86"/>
      <c r="I2891" s="86"/>
      <c r="J2891" s="86"/>
      <c r="K2891" s="86"/>
      <c r="L2891" s="86"/>
      <c r="M2891" s="86"/>
      <c r="N2891" s="86"/>
      <c r="O2891" s="86"/>
      <c r="P2891" s="86"/>
      <c r="Q2891" s="86"/>
      <c r="R2891" s="86"/>
      <c r="S2891" s="86"/>
      <c r="T2891" s="86"/>
      <c r="U2891" s="86"/>
      <c r="V2891" s="86"/>
      <c r="W2891" s="86"/>
      <c r="X2891" s="86"/>
      <c r="Y2891" s="86"/>
      <c r="Z2891" s="86"/>
    </row>
    <row r="2892" spans="1:28" x14ac:dyDescent="0.3">
      <c r="A2892" s="73" t="s">
        <v>1115</v>
      </c>
      <c r="B2892" s="107"/>
      <c r="C2892" s="107"/>
      <c r="E2892" s="84"/>
      <c r="F2892" s="84"/>
      <c r="G2892" s="84"/>
      <c r="H2892" s="84"/>
      <c r="I2892" s="84"/>
      <c r="J2892" s="84"/>
      <c r="K2892" s="84"/>
      <c r="L2892" s="84"/>
      <c r="M2892" s="84"/>
      <c r="N2892" s="84"/>
      <c r="O2892" s="84"/>
      <c r="P2892" s="84"/>
      <c r="Q2892" s="84"/>
      <c r="R2892" s="84"/>
      <c r="S2892" s="84"/>
      <c r="T2892" s="84"/>
      <c r="U2892" s="84"/>
      <c r="V2892" s="84"/>
      <c r="W2892" s="84"/>
      <c r="X2892" s="84"/>
      <c r="Y2892" s="84"/>
      <c r="Z2892" s="84"/>
    </row>
    <row r="2893" spans="1:28" x14ac:dyDescent="0.3">
      <c r="A2893" s="73"/>
      <c r="B2893" s="107"/>
      <c r="C2893" s="107"/>
      <c r="E2893" s="84"/>
      <c r="F2893" s="84"/>
      <c r="G2893" s="84"/>
      <c r="H2893" s="84"/>
      <c r="I2893" s="84"/>
      <c r="J2893" s="84"/>
      <c r="K2893" s="84"/>
      <c r="L2893" s="84"/>
      <c r="M2893" s="84"/>
      <c r="N2893" s="84"/>
      <c r="O2893" s="84"/>
      <c r="P2893" s="84"/>
      <c r="Q2893" s="84"/>
      <c r="R2893" s="84"/>
      <c r="S2893" s="84"/>
      <c r="T2893" s="84"/>
      <c r="U2893" s="84"/>
      <c r="V2893" s="84"/>
      <c r="W2893" s="84"/>
      <c r="X2893" s="84"/>
      <c r="Y2893" s="84"/>
      <c r="Z2893" s="84"/>
    </row>
    <row r="2894" spans="1:28" x14ac:dyDescent="0.3">
      <c r="A2894" s="73"/>
      <c r="C2894" s="69"/>
      <c r="E2894" s="84"/>
      <c r="F2894" s="84"/>
      <c r="G2894" s="84"/>
      <c r="H2894" s="84"/>
      <c r="I2894" s="84"/>
      <c r="J2894" s="84"/>
      <c r="K2894" s="84"/>
      <c r="L2894" s="84"/>
      <c r="M2894" s="84"/>
      <c r="N2894" s="84"/>
      <c r="O2894" s="84"/>
      <c r="P2894" s="84"/>
      <c r="Q2894" s="84"/>
      <c r="R2894" s="84"/>
      <c r="S2894" s="84"/>
      <c r="T2894" s="84"/>
      <c r="U2894" s="84"/>
      <c r="V2894" s="84"/>
      <c r="W2894" s="84"/>
      <c r="X2894" s="84"/>
      <c r="Y2894" s="84"/>
      <c r="Z2894" s="84"/>
    </row>
    <row r="2895" spans="1:28" x14ac:dyDescent="0.3">
      <c r="A2895" s="73"/>
      <c r="B2895" s="68" t="s">
        <v>499</v>
      </c>
      <c r="E2895" s="84"/>
      <c r="F2895" s="84"/>
      <c r="G2895" s="84"/>
      <c r="H2895" s="84"/>
      <c r="I2895" s="84"/>
      <c r="J2895" s="84"/>
      <c r="K2895" s="84"/>
      <c r="L2895" s="84"/>
      <c r="M2895" s="84"/>
      <c r="N2895" s="84"/>
      <c r="O2895" s="84"/>
      <c r="P2895" s="84"/>
      <c r="Q2895" s="84"/>
      <c r="R2895" s="84"/>
      <c r="S2895" s="84"/>
      <c r="T2895" s="84"/>
      <c r="U2895" s="84"/>
      <c r="V2895" s="84"/>
      <c r="W2895" s="84"/>
      <c r="X2895" s="84"/>
      <c r="Y2895" s="84"/>
      <c r="Z2895" s="84"/>
    </row>
    <row r="2896" spans="1:28" x14ac:dyDescent="0.3">
      <c r="A2896" s="73"/>
      <c r="B2896" s="69" t="str">
        <f>+B3</f>
        <v>as</v>
      </c>
      <c r="C2896" s="6" t="str">
        <f>+C3</f>
        <v>of January 31, 2013</v>
      </c>
      <c r="D2896" s="142" t="s">
        <v>0</v>
      </c>
      <c r="E2896" s="84"/>
      <c r="F2896" s="84"/>
      <c r="G2896" s="84"/>
      <c r="H2896" s="84"/>
      <c r="I2896" s="84"/>
      <c r="J2896" s="84"/>
      <c r="K2896" s="84"/>
      <c r="L2896" s="84"/>
      <c r="M2896" s="84"/>
      <c r="N2896" s="84"/>
      <c r="O2896" s="84"/>
      <c r="P2896" s="84"/>
      <c r="Q2896" s="84"/>
      <c r="R2896" s="84"/>
      <c r="S2896" s="84"/>
      <c r="T2896" s="84"/>
      <c r="U2896" s="84"/>
      <c r="V2896" s="84"/>
      <c r="W2896" s="84"/>
      <c r="X2896" s="84"/>
      <c r="Y2896" s="84"/>
      <c r="Z2896" s="84"/>
      <c r="AA2896" s="108" t="s">
        <v>1109</v>
      </c>
      <c r="AB2896" s="108" t="s">
        <v>5</v>
      </c>
    </row>
    <row r="2897" spans="1:28" x14ac:dyDescent="0.3">
      <c r="A2897" s="73"/>
      <c r="D2897" s="142" t="s">
        <v>6</v>
      </c>
      <c r="G2897" s="87" t="s">
        <v>1</v>
      </c>
      <c r="H2897" s="69"/>
      <c r="I2897" s="87" t="s">
        <v>2</v>
      </c>
      <c r="K2897" s="87" t="s">
        <v>2</v>
      </c>
      <c r="L2897" s="87" t="s">
        <v>3</v>
      </c>
      <c r="M2897" s="87" t="s">
        <v>3</v>
      </c>
      <c r="O2897" s="87" t="s">
        <v>4</v>
      </c>
      <c r="P2897" s="69"/>
      <c r="S2897" s="87" t="s">
        <v>2</v>
      </c>
      <c r="T2897" s="87" t="s">
        <v>3</v>
      </c>
      <c r="U2897" s="87" t="s">
        <v>3</v>
      </c>
      <c r="V2897" s="87" t="s">
        <v>3</v>
      </c>
      <c r="W2897" s="87" t="s">
        <v>5</v>
      </c>
      <c r="X2897" s="87" t="s">
        <v>3</v>
      </c>
      <c r="Y2897" s="87" t="s">
        <v>2</v>
      </c>
      <c r="Z2897" s="87" t="s">
        <v>5</v>
      </c>
      <c r="AA2897" s="108" t="s">
        <v>9</v>
      </c>
      <c r="AB2897" s="108" t="s">
        <v>14</v>
      </c>
    </row>
    <row r="2898" spans="1:28" x14ac:dyDescent="0.3">
      <c r="A2898" s="73"/>
      <c r="C2898" s="87"/>
      <c r="D2898" s="142" t="s">
        <v>17</v>
      </c>
      <c r="E2898" s="87" t="s">
        <v>7</v>
      </c>
      <c r="F2898" s="87" t="s">
        <v>8</v>
      </c>
      <c r="G2898" s="87" t="s">
        <v>9</v>
      </c>
      <c r="H2898" s="146" t="s">
        <v>1282</v>
      </c>
      <c r="I2898" s="146"/>
      <c r="J2898" s="146"/>
      <c r="K2898" s="146"/>
      <c r="L2898" s="146"/>
      <c r="M2898" s="146"/>
      <c r="N2898" s="146"/>
      <c r="O2898" s="146"/>
      <c r="P2898" s="146"/>
      <c r="Q2898" s="87" t="s">
        <v>2</v>
      </c>
      <c r="R2898" s="87" t="s">
        <v>11</v>
      </c>
      <c r="S2898" s="87" t="s">
        <v>12</v>
      </c>
      <c r="T2898" s="87" t="s">
        <v>13</v>
      </c>
      <c r="U2898" s="87" t="s">
        <v>13</v>
      </c>
      <c r="V2898" s="87" t="s">
        <v>9</v>
      </c>
      <c r="W2898" s="87" t="s">
        <v>14</v>
      </c>
      <c r="X2898" s="87" t="s">
        <v>9</v>
      </c>
      <c r="Y2898" s="87" t="s">
        <v>15</v>
      </c>
      <c r="Z2898" s="87" t="s">
        <v>14</v>
      </c>
      <c r="AA2898" s="111" t="s">
        <v>1110</v>
      </c>
      <c r="AB2898" s="111" t="s">
        <v>1110</v>
      </c>
    </row>
    <row r="2899" spans="1:28" x14ac:dyDescent="0.3">
      <c r="A2899" s="73"/>
      <c r="C2899" s="90"/>
      <c r="D2899" s="143" t="s">
        <v>29</v>
      </c>
      <c r="E2899" s="109" t="s">
        <v>18</v>
      </c>
      <c r="F2899" s="109" t="s">
        <v>1254</v>
      </c>
      <c r="G2899" s="109" t="s">
        <v>19</v>
      </c>
      <c r="H2899" s="109" t="s">
        <v>1</v>
      </c>
      <c r="I2899" s="109" t="s">
        <v>21</v>
      </c>
      <c r="J2899" s="109" t="s">
        <v>22</v>
      </c>
      <c r="K2899" s="109" t="s">
        <v>21</v>
      </c>
      <c r="L2899" s="109" t="s">
        <v>2</v>
      </c>
      <c r="M2899" s="109" t="s">
        <v>9</v>
      </c>
      <c r="N2899" s="109" t="str">
        <f>+F2899</f>
        <v>AS OF 04/30/06</v>
      </c>
      <c r="O2899" s="109" t="s">
        <v>21</v>
      </c>
      <c r="P2899" s="109" t="s">
        <v>1268</v>
      </c>
      <c r="Q2899" s="109" t="s">
        <v>23</v>
      </c>
      <c r="R2899" s="109" t="s">
        <v>24</v>
      </c>
      <c r="S2899" s="109" t="s">
        <v>21</v>
      </c>
      <c r="T2899" s="109" t="s">
        <v>2</v>
      </c>
      <c r="U2899" s="109" t="s">
        <v>9</v>
      </c>
      <c r="V2899" s="109" t="s">
        <v>25</v>
      </c>
      <c r="W2899" s="110" t="s">
        <v>26</v>
      </c>
      <c r="X2899" s="111" t="s">
        <v>1113</v>
      </c>
      <c r="Y2899" s="109" t="s">
        <v>27</v>
      </c>
      <c r="Z2899" s="111" t="s">
        <v>1113</v>
      </c>
      <c r="AA2899" s="93"/>
      <c r="AB2899" s="68"/>
    </row>
    <row r="2900" spans="1:28" x14ac:dyDescent="0.3">
      <c r="A2900" s="73"/>
      <c r="E2900" s="130"/>
      <c r="F2900" s="138"/>
      <c r="G2900" s="130"/>
      <c r="H2900" s="138"/>
      <c r="I2900" s="130"/>
      <c r="J2900" s="130"/>
      <c r="K2900" s="130"/>
      <c r="L2900" s="138"/>
      <c r="M2900" s="130"/>
      <c r="N2900" s="86"/>
      <c r="O2900" s="130"/>
      <c r="P2900" s="130"/>
      <c r="Q2900" s="130"/>
      <c r="R2900" s="130"/>
      <c r="S2900" s="130"/>
      <c r="T2900" s="138"/>
      <c r="U2900" s="130"/>
      <c r="V2900" s="130"/>
      <c r="W2900" s="130"/>
      <c r="X2900" s="130"/>
      <c r="Y2900" s="130"/>
      <c r="Z2900" s="130"/>
    </row>
    <row r="2901" spans="1:28" x14ac:dyDescent="0.3">
      <c r="A2901" s="73"/>
      <c r="C2901" s="68" t="s">
        <v>500</v>
      </c>
      <c r="E2901" s="85">
        <f t="shared" ref="E2901:AB2901" si="309">+E132</f>
        <v>677593.05320999993</v>
      </c>
      <c r="F2901" s="85">
        <f t="shared" si="309"/>
        <v>273117.14243000001</v>
      </c>
      <c r="G2901" s="85">
        <f t="shared" si="309"/>
        <v>0</v>
      </c>
      <c r="H2901" s="85">
        <f t="shared" si="309"/>
        <v>596814.13190000004</v>
      </c>
      <c r="I2901" s="85">
        <f t="shared" si="309"/>
        <v>1122</v>
      </c>
      <c r="J2901" s="85">
        <f t="shared" si="309"/>
        <v>1122</v>
      </c>
      <c r="K2901" s="85">
        <f t="shared" si="309"/>
        <v>0</v>
      </c>
      <c r="L2901" s="85">
        <f t="shared" si="309"/>
        <v>0</v>
      </c>
      <c r="M2901" s="85">
        <f t="shared" si="309"/>
        <v>273117.14243000001</v>
      </c>
      <c r="N2901" s="85">
        <f t="shared" si="309"/>
        <v>75916.920410000006</v>
      </c>
      <c r="O2901" s="85">
        <f t="shared" si="309"/>
        <v>0</v>
      </c>
      <c r="P2901" s="85">
        <f t="shared" si="309"/>
        <v>75916.918700000009</v>
      </c>
      <c r="Q2901" s="85">
        <f t="shared" si="309"/>
        <v>0</v>
      </c>
      <c r="R2901" s="85">
        <f t="shared" si="309"/>
        <v>0</v>
      </c>
      <c r="S2901" s="85">
        <f t="shared" si="309"/>
        <v>31.498429999999999</v>
      </c>
      <c r="T2901" s="85">
        <f t="shared" si="309"/>
        <v>29.618009999999998</v>
      </c>
      <c r="U2901" s="85">
        <f t="shared" si="309"/>
        <v>75946.538419999997</v>
      </c>
      <c r="V2901" s="85">
        <f t="shared" si="309"/>
        <v>345796.12938</v>
      </c>
      <c r="W2901" s="85">
        <f t="shared" si="309"/>
        <v>4862.0008999999991</v>
      </c>
      <c r="X2901" s="85">
        <f t="shared" si="309"/>
        <v>672731.05059999996</v>
      </c>
      <c r="Y2901" s="85">
        <f t="shared" si="309"/>
        <v>0</v>
      </c>
      <c r="Z2901" s="85">
        <f t="shared" si="309"/>
        <v>4862.0026100000105</v>
      </c>
      <c r="AA2901" s="69">
        <f t="shared" si="309"/>
        <v>349063.68085000006</v>
      </c>
      <c r="AB2901" s="69">
        <f t="shared" si="309"/>
        <v>4832.382889999999</v>
      </c>
    </row>
    <row r="2902" spans="1:28" x14ac:dyDescent="0.3">
      <c r="A2902" s="73"/>
      <c r="E2902" s="84"/>
      <c r="F2902" s="84"/>
      <c r="G2902" s="84"/>
      <c r="H2902" s="84"/>
      <c r="I2902" s="84"/>
      <c r="J2902" s="84"/>
      <c r="K2902" s="84"/>
      <c r="L2902" s="84"/>
      <c r="M2902" s="84"/>
      <c r="N2902" s="84"/>
      <c r="O2902" s="84"/>
      <c r="P2902" s="84"/>
      <c r="Q2902" s="84"/>
      <c r="R2902" s="84"/>
      <c r="S2902" s="84"/>
      <c r="T2902" s="84"/>
      <c r="U2902" s="84"/>
      <c r="V2902" s="84"/>
      <c r="W2902" s="84"/>
      <c r="X2902" s="84"/>
      <c r="Y2902" s="84"/>
      <c r="Z2902" s="84"/>
    </row>
    <row r="2903" spans="1:28" x14ac:dyDescent="0.3">
      <c r="A2903" s="73"/>
      <c r="C2903" s="68" t="s">
        <v>501</v>
      </c>
      <c r="E2903" s="85">
        <f t="shared" ref="E2903:X2903" si="310">+E237</f>
        <v>614927.10112999997</v>
      </c>
      <c r="F2903" s="85">
        <f t="shared" si="310"/>
        <v>197713.06322000001</v>
      </c>
      <c r="G2903" s="85">
        <f t="shared" si="310"/>
        <v>0</v>
      </c>
      <c r="H2903" s="85">
        <f t="shared" si="310"/>
        <v>557026.76108999993</v>
      </c>
      <c r="I2903" s="85">
        <f t="shared" si="310"/>
        <v>127959.68300000002</v>
      </c>
      <c r="J2903" s="85">
        <f t="shared" si="310"/>
        <v>2729.4740000000002</v>
      </c>
      <c r="K2903" s="85">
        <f t="shared" si="310"/>
        <v>130689.15700000001</v>
      </c>
      <c r="L2903" s="85">
        <f t="shared" si="310"/>
        <v>2729.4740000000002</v>
      </c>
      <c r="M2903" s="85">
        <f t="shared" si="310"/>
        <v>200442.53722</v>
      </c>
      <c r="N2903" s="85">
        <f t="shared" si="310"/>
        <v>53078.531840000003</v>
      </c>
      <c r="O2903" s="85">
        <f t="shared" si="310"/>
        <v>0</v>
      </c>
      <c r="P2903" s="85">
        <f t="shared" si="310"/>
        <v>53078.531040000002</v>
      </c>
      <c r="Q2903" s="85">
        <f t="shared" si="310"/>
        <v>140334.35609000002</v>
      </c>
      <c r="R2903" s="85">
        <f t="shared" si="310"/>
        <v>-63833.191310000009</v>
      </c>
      <c r="S2903" s="85">
        <f t="shared" si="310"/>
        <v>0</v>
      </c>
      <c r="T2903" s="85">
        <f t="shared" si="310"/>
        <v>11.57367</v>
      </c>
      <c r="U2903" s="85">
        <f t="shared" si="310"/>
        <v>53090.105510000009</v>
      </c>
      <c r="V2903" s="85">
        <f t="shared" si="310"/>
        <v>211172.06324000002</v>
      </c>
      <c r="W2903" s="85">
        <f t="shared" si="310"/>
        <v>29216.149729999997</v>
      </c>
      <c r="X2903" s="85">
        <f t="shared" si="310"/>
        <v>610105.29212999996</v>
      </c>
      <c r="Y2903" s="85">
        <f>+Y134</f>
        <v>0</v>
      </c>
      <c r="Z2903" s="85">
        <f>+Z237</f>
        <v>4821.8090000000011</v>
      </c>
      <c r="AA2903" s="69">
        <f>+AA237</f>
        <v>253532.64272999999</v>
      </c>
      <c r="AB2903" s="69">
        <f>+AB237</f>
        <v>2080.7606299999984</v>
      </c>
    </row>
    <row r="2904" spans="1:28" x14ac:dyDescent="0.3">
      <c r="A2904" s="73"/>
      <c r="C2904" s="68"/>
      <c r="E2904" s="85"/>
      <c r="F2904" s="85"/>
      <c r="G2904" s="85"/>
      <c r="H2904" s="85"/>
      <c r="I2904" s="85"/>
      <c r="J2904" s="85"/>
      <c r="K2904" s="85"/>
      <c r="L2904" s="85"/>
      <c r="M2904" s="85"/>
      <c r="N2904" s="85"/>
      <c r="O2904" s="85"/>
      <c r="P2904" s="85"/>
      <c r="Q2904" s="85"/>
      <c r="R2904" s="85"/>
      <c r="S2904" s="85"/>
      <c r="T2904" s="85"/>
      <c r="U2904" s="85"/>
      <c r="V2904" s="85"/>
      <c r="W2904" s="85"/>
      <c r="X2904" s="85"/>
      <c r="Y2904" s="85"/>
      <c r="Z2904" s="85"/>
      <c r="AA2904" s="69"/>
      <c r="AB2904" s="69"/>
    </row>
    <row r="2905" spans="1:28" x14ac:dyDescent="0.3">
      <c r="A2905" s="73"/>
      <c r="C2905" s="6" t="s">
        <v>919</v>
      </c>
      <c r="E2905" s="84">
        <f t="shared" ref="E2905:X2905" si="311">+E421</f>
        <v>796899.29824999999</v>
      </c>
      <c r="F2905" s="84">
        <f t="shared" si="311"/>
        <v>250971.04403000002</v>
      </c>
      <c r="G2905" s="84">
        <f t="shared" si="311"/>
        <v>0</v>
      </c>
      <c r="H2905" s="84">
        <f t="shared" si="311"/>
        <v>738428.38045000006</v>
      </c>
      <c r="I2905" s="84" t="e">
        <f t="shared" si="311"/>
        <v>#VALUE!</v>
      </c>
      <c r="J2905" s="84">
        <f t="shared" si="311"/>
        <v>226900.59595000002</v>
      </c>
      <c r="K2905" s="84">
        <f t="shared" si="311"/>
        <v>53407.78813999999</v>
      </c>
      <c r="L2905" s="84">
        <f t="shared" si="311"/>
        <v>3439.4380000000001</v>
      </c>
      <c r="M2905" s="84">
        <f t="shared" si="311"/>
        <v>254410.48203000001</v>
      </c>
      <c r="N2905" s="84">
        <f t="shared" si="311"/>
        <v>53431.510840000003</v>
      </c>
      <c r="O2905" s="84">
        <f t="shared" si="311"/>
        <v>0</v>
      </c>
      <c r="P2905" s="84">
        <f t="shared" si="311"/>
        <v>53431.507000000005</v>
      </c>
      <c r="Q2905" s="84">
        <f t="shared" si="311"/>
        <v>27061.636740000002</v>
      </c>
      <c r="R2905" s="84">
        <f t="shared" si="311"/>
        <v>0</v>
      </c>
      <c r="S2905" s="84">
        <f t="shared" si="311"/>
        <v>0</v>
      </c>
      <c r="T2905" s="84">
        <f t="shared" si="311"/>
        <v>88.582650000000001</v>
      </c>
      <c r="U2905" s="84">
        <f t="shared" si="311"/>
        <v>53520.092980000001</v>
      </c>
      <c r="V2905" s="84">
        <f t="shared" si="311"/>
        <v>0</v>
      </c>
      <c r="W2905" s="84">
        <f t="shared" si="311"/>
        <v>0</v>
      </c>
      <c r="X2905" s="85">
        <f t="shared" si="311"/>
        <v>791859.88745000004</v>
      </c>
      <c r="Y2905" s="85">
        <f>+Y136</f>
        <v>0</v>
      </c>
      <c r="Z2905" s="85">
        <f>+Z421</f>
        <v>5039.4100799999796</v>
      </c>
      <c r="AA2905" s="69">
        <f>+AA421</f>
        <v>307930.57552000007</v>
      </c>
      <c r="AB2905" s="69">
        <f>+AB421</f>
        <v>1511.3863299999998</v>
      </c>
    </row>
    <row r="2906" spans="1:28" x14ac:dyDescent="0.3">
      <c r="A2906" s="73"/>
      <c r="E2906" s="84"/>
      <c r="F2906" s="84"/>
      <c r="G2906" s="84"/>
      <c r="H2906" s="84"/>
      <c r="I2906" s="84"/>
      <c r="J2906" s="84"/>
      <c r="K2906" s="84"/>
      <c r="L2906" s="84"/>
      <c r="M2906" s="84"/>
      <c r="N2906" s="84"/>
      <c r="O2906" s="84"/>
      <c r="P2906" s="84"/>
      <c r="Q2906" s="84"/>
      <c r="R2906" s="84"/>
      <c r="S2906" s="84"/>
      <c r="T2906" s="84"/>
      <c r="U2906" s="84"/>
      <c r="V2906" s="84"/>
      <c r="W2906" s="84"/>
      <c r="X2906" s="84"/>
      <c r="Y2906" s="84"/>
      <c r="Z2906" s="84"/>
    </row>
    <row r="2907" spans="1:28" x14ac:dyDescent="0.3">
      <c r="A2907" s="73"/>
      <c r="C2907" s="68" t="s">
        <v>502</v>
      </c>
      <c r="E2907" s="85">
        <f t="shared" ref="E2907:W2907" si="312">+E640</f>
        <v>1309648.9986699999</v>
      </c>
      <c r="F2907" s="85">
        <f t="shared" si="312"/>
        <v>506926.92811000004</v>
      </c>
      <c r="G2907" s="85">
        <f t="shared" si="312"/>
        <v>0</v>
      </c>
      <c r="H2907" s="85">
        <f t="shared" si="312"/>
        <v>1094286.0347500001</v>
      </c>
      <c r="I2907" s="85">
        <f t="shared" si="312"/>
        <v>1029.9882299999999</v>
      </c>
      <c r="J2907" s="85">
        <f t="shared" si="312"/>
        <v>0</v>
      </c>
      <c r="K2907" s="85">
        <f t="shared" si="312"/>
        <v>0</v>
      </c>
      <c r="L2907" s="85">
        <f t="shared" si="312"/>
        <v>1029.9882299999999</v>
      </c>
      <c r="M2907" s="85">
        <f t="shared" si="312"/>
        <v>507956.91634000005</v>
      </c>
      <c r="N2907" s="85">
        <f t="shared" si="312"/>
        <v>92267.67134999999</v>
      </c>
      <c r="O2907" s="85">
        <f t="shared" si="312"/>
        <v>0</v>
      </c>
      <c r="P2907" s="85">
        <f t="shared" si="312"/>
        <v>92267.665000000008</v>
      </c>
      <c r="Q2907" s="85">
        <f t="shared" si="312"/>
        <v>0</v>
      </c>
      <c r="R2907" s="85">
        <f t="shared" si="312"/>
        <v>0</v>
      </c>
      <c r="S2907" s="85">
        <f t="shared" si="312"/>
        <v>0</v>
      </c>
      <c r="T2907" s="85">
        <f t="shared" si="312"/>
        <v>0</v>
      </c>
      <c r="U2907" s="85">
        <f t="shared" si="312"/>
        <v>92267.67134999999</v>
      </c>
      <c r="V2907" s="85">
        <f t="shared" si="312"/>
        <v>594291.36341999995</v>
      </c>
      <c r="W2907" s="85">
        <f t="shared" si="312"/>
        <v>102628.47777</v>
      </c>
      <c r="X2907" s="85">
        <f>+H2907+P2907</f>
        <v>1186553.6997500001</v>
      </c>
      <c r="Y2907" s="85">
        <f>+Y138</f>
        <v>0</v>
      </c>
      <c r="Z2907" s="85">
        <f>+Z640</f>
        <v>123095.49892000007</v>
      </c>
      <c r="AA2907" s="69">
        <f>+AA640</f>
        <v>600224.58768999996</v>
      </c>
      <c r="AB2907" s="69">
        <f>+AB640</f>
        <v>122065.40416999999</v>
      </c>
    </row>
    <row r="2908" spans="1:28" x14ac:dyDescent="0.3">
      <c r="A2908" s="73"/>
      <c r="E2908" s="84"/>
      <c r="F2908" s="84"/>
      <c r="G2908" s="84"/>
      <c r="H2908" s="84"/>
      <c r="I2908" s="84"/>
      <c r="J2908" s="84"/>
      <c r="K2908" s="84"/>
      <c r="L2908" s="84"/>
      <c r="M2908" s="84"/>
      <c r="N2908" s="84"/>
      <c r="O2908" s="84"/>
      <c r="P2908" s="84"/>
      <c r="Q2908" s="84"/>
      <c r="R2908" s="84"/>
      <c r="S2908" s="84"/>
      <c r="T2908" s="84"/>
      <c r="U2908" s="84"/>
      <c r="V2908" s="84"/>
      <c r="W2908" s="84"/>
      <c r="X2908" s="84"/>
      <c r="Y2908" s="84"/>
      <c r="Z2908" s="84"/>
    </row>
    <row r="2909" spans="1:28" x14ac:dyDescent="0.3">
      <c r="A2909" s="73"/>
      <c r="C2909" s="68" t="s">
        <v>920</v>
      </c>
      <c r="E2909" s="85">
        <f>+E961</f>
        <v>1647136.90359</v>
      </c>
      <c r="F2909" s="85">
        <f t="shared" ref="F2909:W2909" si="313">+F961</f>
        <v>456116.05569999997</v>
      </c>
      <c r="G2909" s="85">
        <f t="shared" si="313"/>
        <v>2131.6422000000002</v>
      </c>
      <c r="H2909" s="85">
        <f t="shared" si="313"/>
        <v>1567434.4192300001</v>
      </c>
      <c r="I2909" s="85">
        <f t="shared" si="313"/>
        <v>8678.7995129999999</v>
      </c>
      <c r="J2909" s="85">
        <f t="shared" si="313"/>
        <v>435767.44163299992</v>
      </c>
      <c r="K2909" s="85">
        <f t="shared" si="313"/>
        <v>69727.703099999984</v>
      </c>
      <c r="L2909" s="85">
        <f t="shared" si="313"/>
        <v>8678.7995100000007</v>
      </c>
      <c r="M2909" s="85">
        <f t="shared" si="313"/>
        <v>466926.49740999995</v>
      </c>
      <c r="N2909" s="85">
        <f t="shared" si="313"/>
        <v>69987.546769999986</v>
      </c>
      <c r="O2909" s="85">
        <v>0</v>
      </c>
      <c r="P2909" s="85">
        <f t="shared" si="313"/>
        <v>69987.539999999994</v>
      </c>
      <c r="Q2909" s="85">
        <f t="shared" si="313"/>
        <v>355010.80787000002</v>
      </c>
      <c r="R2909" s="85">
        <f t="shared" si="313"/>
        <v>0</v>
      </c>
      <c r="S2909" s="85">
        <f t="shared" si="313"/>
        <v>0</v>
      </c>
      <c r="T2909" s="85">
        <f t="shared" si="313"/>
        <v>370.15008</v>
      </c>
      <c r="U2909" s="85">
        <f t="shared" si="313"/>
        <v>70357.696849999993</v>
      </c>
      <c r="V2909" s="85">
        <f t="shared" si="313"/>
        <v>499833.89183999994</v>
      </c>
      <c r="W2909" s="85">
        <f t="shared" si="313"/>
        <v>9658.9375900000032</v>
      </c>
      <c r="X2909" s="85">
        <f>+X961</f>
        <v>1637421.9592299999</v>
      </c>
      <c r="Y2909" s="85">
        <f>+Y140</f>
        <v>0</v>
      </c>
      <c r="Z2909" s="85">
        <f>+Z961</f>
        <v>9714.944360000045</v>
      </c>
      <c r="AA2909" s="69">
        <f>+AA961</f>
        <v>537284.19426000002</v>
      </c>
      <c r="AB2909" s="69">
        <f>+AB961</f>
        <v>665.98800000000006</v>
      </c>
    </row>
    <row r="2910" spans="1:28" x14ac:dyDescent="0.3">
      <c r="A2910" s="73"/>
      <c r="E2910" s="84"/>
      <c r="F2910" s="84"/>
      <c r="G2910" s="84"/>
      <c r="H2910" s="84"/>
      <c r="I2910" s="84"/>
      <c r="J2910" s="84"/>
      <c r="K2910" s="84"/>
      <c r="L2910" s="84"/>
      <c r="M2910" s="84"/>
      <c r="N2910" s="84"/>
      <c r="O2910" s="84"/>
      <c r="P2910" s="84"/>
      <c r="Q2910" s="84"/>
      <c r="R2910" s="84"/>
      <c r="S2910" s="84"/>
      <c r="T2910" s="84"/>
      <c r="U2910" s="84"/>
      <c r="V2910" s="84"/>
      <c r="W2910" s="84"/>
      <c r="X2910" s="84"/>
      <c r="Y2910" s="84"/>
      <c r="Z2910" s="84"/>
    </row>
    <row r="2911" spans="1:28" x14ac:dyDescent="0.3">
      <c r="A2911" s="73"/>
      <c r="C2911" s="68" t="s">
        <v>503</v>
      </c>
      <c r="E2911" s="85">
        <f>+E1190</f>
        <v>2332843.7722399998</v>
      </c>
      <c r="F2911" s="85">
        <f t="shared" ref="F2911:W2911" si="314">+F1190</f>
        <v>514755.83102000004</v>
      </c>
      <c r="G2911" s="85">
        <f t="shared" si="314"/>
        <v>250</v>
      </c>
      <c r="H2911" s="85">
        <f t="shared" si="314"/>
        <v>2218250.6596900001</v>
      </c>
      <c r="I2911" s="85">
        <f t="shared" si="314"/>
        <v>13430.469430000001</v>
      </c>
      <c r="J2911" s="85">
        <f t="shared" si="314"/>
        <v>13430.469430000001</v>
      </c>
      <c r="K2911" s="85">
        <f t="shared" si="314"/>
        <v>0</v>
      </c>
      <c r="L2911" s="85">
        <f t="shared" si="314"/>
        <v>0</v>
      </c>
      <c r="M2911" s="85">
        <f t="shared" si="314"/>
        <v>515005.83102000004</v>
      </c>
      <c r="N2911" s="85">
        <f t="shared" si="314"/>
        <v>113880.2714</v>
      </c>
      <c r="O2911" s="85">
        <f t="shared" si="314"/>
        <v>0</v>
      </c>
      <c r="P2911" s="85">
        <f t="shared" si="314"/>
        <v>113880.26455000001</v>
      </c>
      <c r="Q2911" s="85">
        <f t="shared" si="314"/>
        <v>37.806410000000007</v>
      </c>
      <c r="R2911" s="85">
        <f t="shared" si="314"/>
        <v>0</v>
      </c>
      <c r="S2911" s="85">
        <f t="shared" si="314"/>
        <v>90.390740000000008</v>
      </c>
      <c r="T2911" s="85">
        <f t="shared" si="314"/>
        <v>128.19715000000002</v>
      </c>
      <c r="U2911" s="85">
        <f t="shared" si="314"/>
        <v>114008.46855000001</v>
      </c>
      <c r="V2911" s="85">
        <f t="shared" si="314"/>
        <v>591426.27461999992</v>
      </c>
      <c r="W2911" s="85">
        <f t="shared" si="314"/>
        <v>712.84114999999997</v>
      </c>
      <c r="X2911" s="85">
        <f>+X1190</f>
        <v>2332130.9242400001</v>
      </c>
      <c r="Y2911" s="85">
        <f>+Y142</f>
        <v>0</v>
      </c>
      <c r="Z2911" s="85">
        <f>+Z1190</f>
        <v>712.84799999985262</v>
      </c>
      <c r="AA2911" s="69">
        <f>+AA1190</f>
        <v>629014.29957000003</v>
      </c>
      <c r="AB2911" s="69">
        <f>+AB1190</f>
        <v>584.64400000000001</v>
      </c>
    </row>
    <row r="2912" spans="1:28" x14ac:dyDescent="0.3">
      <c r="A2912" s="73"/>
      <c r="E2912" s="84"/>
      <c r="F2912" s="84"/>
      <c r="G2912" s="84"/>
      <c r="H2912" s="84"/>
      <c r="I2912" s="84"/>
      <c r="J2912" s="84"/>
      <c r="K2912" s="84"/>
      <c r="L2912" s="84"/>
      <c r="M2912" s="84"/>
      <c r="N2912" s="84"/>
      <c r="O2912" s="84"/>
      <c r="P2912" s="84"/>
      <c r="Q2912" s="84"/>
      <c r="R2912" s="84"/>
      <c r="S2912" s="84"/>
      <c r="T2912" s="84"/>
      <c r="U2912" s="84"/>
      <c r="V2912" s="84"/>
      <c r="W2912" s="84"/>
      <c r="X2912" s="84"/>
      <c r="Y2912" s="84"/>
      <c r="Z2912" s="84"/>
    </row>
    <row r="2913" spans="1:28" x14ac:dyDescent="0.3">
      <c r="A2913" s="73"/>
      <c r="C2913" s="68" t="s">
        <v>921</v>
      </c>
      <c r="E2913" s="85">
        <f>+E1543</f>
        <v>1383455.6112599999</v>
      </c>
      <c r="F2913" s="85">
        <f t="shared" ref="F2913:W2913" si="315">+F1543</f>
        <v>518412.21536999999</v>
      </c>
      <c r="G2913" s="85">
        <f t="shared" si="315"/>
        <v>7590.9486899999993</v>
      </c>
      <c r="H2913" s="85">
        <f t="shared" si="315"/>
        <v>1319126.8380400001</v>
      </c>
      <c r="I2913" s="85">
        <f t="shared" si="315"/>
        <v>3349.7432200000003</v>
      </c>
      <c r="J2913" s="85">
        <f t="shared" si="315"/>
        <v>462670.38212999998</v>
      </c>
      <c r="K2913" s="85">
        <f t="shared" si="315"/>
        <v>58979.810389999999</v>
      </c>
      <c r="L2913" s="85">
        <f t="shared" si="315"/>
        <v>3349.7432200000003</v>
      </c>
      <c r="M2913" s="85">
        <f t="shared" si="315"/>
        <v>529352.90728000004</v>
      </c>
      <c r="N2913" s="85">
        <f t="shared" si="315"/>
        <v>59583.381120000005</v>
      </c>
      <c r="O2913" s="85">
        <f t="shared" si="315"/>
        <v>0</v>
      </c>
      <c r="P2913" s="85">
        <f t="shared" si="315"/>
        <v>59583.406999999999</v>
      </c>
      <c r="Q2913" s="85">
        <f t="shared" si="315"/>
        <v>445162.42417999997</v>
      </c>
      <c r="R2913" s="85">
        <f t="shared" si="315"/>
        <v>0</v>
      </c>
      <c r="S2913" s="85">
        <f t="shared" si="315"/>
        <v>0</v>
      </c>
      <c r="T2913" s="85">
        <f t="shared" si="315"/>
        <v>693.64542000000006</v>
      </c>
      <c r="U2913" s="85">
        <f t="shared" si="315"/>
        <v>60277.026540000006</v>
      </c>
      <c r="V2913" s="85">
        <f t="shared" si="315"/>
        <v>551059.07068999996</v>
      </c>
      <c r="W2913" s="85">
        <f t="shared" si="315"/>
        <v>4745.1421000000009</v>
      </c>
      <c r="X2913" s="85">
        <f>+X1543</f>
        <v>1378710.2450400002</v>
      </c>
      <c r="Y2913" s="85">
        <f>+Y144</f>
        <v>0</v>
      </c>
      <c r="Z2913" s="85">
        <f>+Z1543</f>
        <v>4745.4253799999715</v>
      </c>
      <c r="AA2913" s="69">
        <f>+AA1543</f>
        <v>589629.93381999992</v>
      </c>
      <c r="AB2913" s="69">
        <f>+AB1543</f>
        <v>701.7534599999999</v>
      </c>
    </row>
    <row r="2914" spans="1:28" x14ac:dyDescent="0.3">
      <c r="A2914" s="73"/>
      <c r="C2914" s="68"/>
      <c r="E2914" s="85"/>
      <c r="F2914" s="85"/>
      <c r="G2914" s="85"/>
      <c r="H2914" s="85"/>
      <c r="I2914" s="85"/>
      <c r="J2914" s="85"/>
      <c r="K2914" s="85"/>
      <c r="L2914" s="85"/>
      <c r="M2914" s="85"/>
      <c r="N2914" s="85"/>
      <c r="O2914" s="85"/>
      <c r="P2914" s="85"/>
      <c r="Q2914" s="85"/>
      <c r="R2914" s="85"/>
      <c r="S2914" s="85"/>
      <c r="T2914" s="85"/>
      <c r="U2914" s="85"/>
      <c r="V2914" s="85"/>
      <c r="W2914" s="85"/>
      <c r="X2914" s="85"/>
      <c r="Y2914" s="85"/>
      <c r="Z2914" s="85"/>
      <c r="AA2914" s="69"/>
      <c r="AB2914" s="69"/>
    </row>
    <row r="2915" spans="1:28" x14ac:dyDescent="0.3">
      <c r="A2915" s="73"/>
      <c r="C2915" s="68" t="s">
        <v>293</v>
      </c>
      <c r="E2915" s="85">
        <f>+E1739</f>
        <v>982441.16807000001</v>
      </c>
      <c r="F2915" s="85">
        <f t="shared" ref="F2915:X2915" si="316">+F1739</f>
        <v>295040.336388</v>
      </c>
      <c r="G2915" s="85">
        <f t="shared" si="316"/>
        <v>2630</v>
      </c>
      <c r="H2915" s="85">
        <f t="shared" si="316"/>
        <v>956625.82158999995</v>
      </c>
      <c r="I2915" s="85">
        <f t="shared" si="316"/>
        <v>5073.1859999999997</v>
      </c>
      <c r="J2915" s="85">
        <f t="shared" si="316"/>
        <v>1379.847</v>
      </c>
      <c r="K2915" s="85">
        <f t="shared" si="316"/>
        <v>0</v>
      </c>
      <c r="L2915" s="85">
        <f t="shared" si="316"/>
        <v>0</v>
      </c>
      <c r="M2915" s="85">
        <f t="shared" si="316"/>
        <v>297670.336388</v>
      </c>
      <c r="N2915" s="85">
        <f t="shared" si="316"/>
        <v>21549.78557</v>
      </c>
      <c r="O2915" s="85">
        <f t="shared" si="316"/>
        <v>0</v>
      </c>
      <c r="P2915" s="85">
        <f t="shared" si="316"/>
        <v>21549.783000000003</v>
      </c>
      <c r="Q2915" s="85">
        <f t="shared" si="316"/>
        <v>79.082099999999997</v>
      </c>
      <c r="R2915" s="85">
        <f t="shared" si="316"/>
        <v>0</v>
      </c>
      <c r="S2915" s="85">
        <f t="shared" si="316"/>
        <v>0</v>
      </c>
      <c r="T2915" s="85">
        <f t="shared" si="316"/>
        <v>55.7027</v>
      </c>
      <c r="U2915" s="85">
        <f t="shared" si="316"/>
        <v>21605.488269999994</v>
      </c>
      <c r="V2915" s="85">
        <f t="shared" si="316"/>
        <v>317190.12195800006</v>
      </c>
      <c r="W2915" s="85">
        <f t="shared" si="316"/>
        <v>4265.560911999999</v>
      </c>
      <c r="X2915" s="85">
        <f t="shared" si="316"/>
        <v>978175.60459000012</v>
      </c>
      <c r="Y2915" s="85">
        <f>+Y146</f>
        <v>0</v>
      </c>
      <c r="Z2915" s="85">
        <f>+Z1739</f>
        <v>4265.5617899999961</v>
      </c>
      <c r="AA2915" s="69">
        <f>+AA1739</f>
        <v>319275.82465800003</v>
      </c>
      <c r="AB2915" s="69">
        <f>+AB1739</f>
        <v>4209.8582119999992</v>
      </c>
    </row>
    <row r="2916" spans="1:28" x14ac:dyDescent="0.3">
      <c r="A2916" s="73"/>
      <c r="C2916" s="68"/>
      <c r="E2916" s="85"/>
      <c r="F2916" s="85"/>
      <c r="G2916" s="85"/>
      <c r="H2916" s="85"/>
      <c r="I2916" s="85"/>
      <c r="J2916" s="85"/>
      <c r="K2916" s="85"/>
      <c r="L2916" s="85"/>
      <c r="M2916" s="85"/>
      <c r="N2916" s="85"/>
      <c r="O2916" s="85"/>
      <c r="P2916" s="85"/>
      <c r="Q2916" s="85"/>
      <c r="R2916" s="85"/>
      <c r="S2916" s="85"/>
      <c r="T2916" s="85"/>
      <c r="U2916" s="85"/>
      <c r="V2916" s="85"/>
      <c r="W2916" s="85"/>
      <c r="X2916" s="85"/>
      <c r="Y2916" s="85"/>
      <c r="Z2916" s="85"/>
      <c r="AA2916" s="69"/>
      <c r="AB2916" s="69"/>
    </row>
    <row r="2917" spans="1:28" x14ac:dyDescent="0.3">
      <c r="A2917" s="73"/>
      <c r="C2917" s="68" t="s">
        <v>760</v>
      </c>
      <c r="E2917" s="85">
        <f>+E1969</f>
        <v>1323214.8501599999</v>
      </c>
      <c r="F2917" s="85">
        <f t="shared" ref="F2917:W2917" si="317">+F1969</f>
        <v>475140.84604999999</v>
      </c>
      <c r="G2917" s="85">
        <f t="shared" si="317"/>
        <v>38499.391910000006</v>
      </c>
      <c r="H2917" s="85">
        <f t="shared" si="317"/>
        <v>1263572.2426399998</v>
      </c>
      <c r="I2917" s="85">
        <f t="shared" si="317"/>
        <v>7713.02153</v>
      </c>
      <c r="J2917" s="85">
        <f t="shared" si="317"/>
        <v>441559.24453000008</v>
      </c>
      <c r="K2917" s="85">
        <f t="shared" si="317"/>
        <v>51763.553460000003</v>
      </c>
      <c r="L2917" s="85">
        <f t="shared" si="317"/>
        <v>7713.02153</v>
      </c>
      <c r="M2917" s="85">
        <f t="shared" si="317"/>
        <v>521353.25949000003</v>
      </c>
      <c r="N2917" s="85">
        <f t="shared" si="317"/>
        <v>51763.553460000003</v>
      </c>
      <c r="O2917" s="85">
        <f t="shared" si="317"/>
        <v>0</v>
      </c>
      <c r="P2917" s="85">
        <f t="shared" si="317"/>
        <v>51763.547000000006</v>
      </c>
      <c r="Q2917" s="85">
        <f t="shared" si="317"/>
        <v>371610.24625000003</v>
      </c>
      <c r="R2917" s="85">
        <f t="shared" si="317"/>
        <v>0</v>
      </c>
      <c r="S2917" s="85">
        <f t="shared" si="317"/>
        <v>0</v>
      </c>
      <c r="T2917" s="85">
        <f t="shared" si="317"/>
        <v>166.03253000000001</v>
      </c>
      <c r="U2917" s="85">
        <f t="shared" si="317"/>
        <v>51929.58599</v>
      </c>
      <c r="V2917" s="85">
        <f t="shared" si="317"/>
        <v>0</v>
      </c>
      <c r="W2917" s="85">
        <f t="shared" si="317"/>
        <v>0</v>
      </c>
      <c r="X2917" s="85">
        <f>+X1969</f>
        <v>1315335.7896400001</v>
      </c>
      <c r="Y2917" s="85" t="str">
        <f>+Y148</f>
        <v>-</v>
      </c>
      <c r="Z2917" s="85">
        <f>+Z1969</f>
        <v>7879.0605199999991</v>
      </c>
      <c r="AA2917" s="69">
        <f>+AA1969</f>
        <v>573282.84548000002</v>
      </c>
      <c r="AB2917" s="69">
        <f>+AB1969</f>
        <v>-1.3799999942420982E-3</v>
      </c>
    </row>
    <row r="2918" spans="1:28" x14ac:dyDescent="0.3">
      <c r="A2918" s="73"/>
      <c r="C2918" s="68"/>
      <c r="E2918" s="85"/>
      <c r="F2918" s="85"/>
      <c r="G2918" s="85"/>
      <c r="H2918" s="85"/>
      <c r="I2918" s="85"/>
      <c r="J2918" s="85"/>
      <c r="K2918" s="85"/>
      <c r="L2918" s="85"/>
      <c r="M2918" s="85"/>
      <c r="N2918" s="85"/>
      <c r="O2918" s="85"/>
      <c r="P2918" s="85"/>
      <c r="Q2918" s="85"/>
      <c r="R2918" s="85"/>
      <c r="S2918" s="85"/>
      <c r="T2918" s="85"/>
      <c r="U2918" s="85"/>
      <c r="V2918" s="85"/>
      <c r="W2918" s="85"/>
      <c r="X2918" s="85"/>
      <c r="Y2918" s="85"/>
      <c r="Z2918" s="85"/>
      <c r="AA2918" s="69"/>
      <c r="AB2918" s="69"/>
    </row>
    <row r="2919" spans="1:28" x14ac:dyDescent="0.3">
      <c r="A2919" s="73"/>
      <c r="C2919" s="68" t="s">
        <v>353</v>
      </c>
      <c r="E2919" s="85">
        <f t="shared" ref="E2919:W2919" si="318">+E2081</f>
        <v>1166608.2430699999</v>
      </c>
      <c r="F2919" s="85">
        <f t="shared" si="318"/>
        <v>430445.21671999997</v>
      </c>
      <c r="G2919" s="85">
        <f t="shared" si="318"/>
        <v>50339.069739999992</v>
      </c>
      <c r="H2919" s="85">
        <f t="shared" si="318"/>
        <v>1143227.0144400001</v>
      </c>
      <c r="I2919" s="85">
        <f t="shared" si="318"/>
        <v>31772.640639999998</v>
      </c>
      <c r="J2919" s="85">
        <f t="shared" si="318"/>
        <v>31772.640639999998</v>
      </c>
      <c r="K2919" s="85">
        <f t="shared" si="318"/>
        <v>0</v>
      </c>
      <c r="L2919" s="85">
        <f t="shared" si="318"/>
        <v>0</v>
      </c>
      <c r="M2919" s="85">
        <f t="shared" si="318"/>
        <v>480784.28645999992</v>
      </c>
      <c r="N2919" s="85">
        <f t="shared" si="318"/>
        <v>20416.580629999997</v>
      </c>
      <c r="O2919" s="85">
        <f t="shared" si="318"/>
        <v>0</v>
      </c>
      <c r="P2919" s="85">
        <f t="shared" si="318"/>
        <v>20416.577999999998</v>
      </c>
      <c r="Q2919" s="85">
        <f t="shared" si="318"/>
        <v>102.65309999999999</v>
      </c>
      <c r="R2919" s="85">
        <f t="shared" si="318"/>
        <v>0</v>
      </c>
      <c r="S2919" s="85">
        <f t="shared" si="318"/>
        <v>0</v>
      </c>
      <c r="T2919" s="85">
        <f t="shared" si="318"/>
        <v>102.65309999999999</v>
      </c>
      <c r="U2919" s="85">
        <f t="shared" si="318"/>
        <v>20519.23373</v>
      </c>
      <c r="V2919" s="85">
        <f t="shared" si="318"/>
        <v>402616.20144999999</v>
      </c>
      <c r="W2919" s="85">
        <f t="shared" si="318"/>
        <v>2964.6474700000008</v>
      </c>
      <c r="X2919" s="85">
        <f>+X2081</f>
        <v>1163643.59244</v>
      </c>
      <c r="Y2919" s="85" t="str">
        <f>+Y150</f>
        <v>-</v>
      </c>
      <c r="Z2919" s="85">
        <f>+Z2081</f>
        <v>2964.6506299999382</v>
      </c>
      <c r="AA2919" s="69">
        <f>+AA2081</f>
        <v>501303.52018999995</v>
      </c>
      <c r="AB2919" s="69">
        <f>+AB2081</f>
        <v>2861.994369999999</v>
      </c>
    </row>
    <row r="2920" spans="1:28" x14ac:dyDescent="0.3">
      <c r="A2920" s="73"/>
      <c r="C2920" s="68"/>
      <c r="E2920" s="85"/>
      <c r="F2920" s="85"/>
      <c r="G2920" s="85"/>
      <c r="H2920" s="85"/>
      <c r="I2920" s="85"/>
      <c r="J2920" s="85"/>
      <c r="K2920" s="85"/>
      <c r="L2920" s="85"/>
      <c r="M2920" s="85"/>
      <c r="N2920" s="85"/>
      <c r="O2920" s="85"/>
      <c r="P2920" s="85"/>
      <c r="Q2920" s="85"/>
      <c r="R2920" s="85"/>
      <c r="S2920" s="85"/>
      <c r="T2920" s="85"/>
      <c r="U2920" s="85"/>
      <c r="V2920" s="85"/>
      <c r="W2920" s="85"/>
      <c r="X2920" s="85"/>
      <c r="Y2920" s="85"/>
      <c r="Z2920" s="85"/>
      <c r="AA2920" s="69"/>
      <c r="AB2920" s="69"/>
    </row>
    <row r="2921" spans="1:28" x14ac:dyDescent="0.3">
      <c r="A2921" s="73"/>
      <c r="C2921" s="68" t="s">
        <v>799</v>
      </c>
      <c r="E2921" s="85">
        <f>+E2294</f>
        <v>1178286.7694999999</v>
      </c>
      <c r="F2921" s="85">
        <f t="shared" ref="F2921:W2921" si="319">+F2294</f>
        <v>431940.53868</v>
      </c>
      <c r="G2921" s="85">
        <f t="shared" si="319"/>
        <v>4853.3577299999997</v>
      </c>
      <c r="H2921" s="85">
        <f t="shared" si="319"/>
        <v>1146562.38864</v>
      </c>
      <c r="I2921" s="85">
        <f t="shared" si="319"/>
        <v>3734.1222799999996</v>
      </c>
      <c r="J2921" s="85">
        <f t="shared" si="319"/>
        <v>392676.40432999999</v>
      </c>
      <c r="K2921" s="85">
        <f t="shared" si="319"/>
        <v>27638.084960000004</v>
      </c>
      <c r="L2921" s="85">
        <f t="shared" si="319"/>
        <v>3734.1222799999996</v>
      </c>
      <c r="M2921" s="85">
        <f t="shared" si="319"/>
        <v>440528.01869000006</v>
      </c>
      <c r="N2921" s="85">
        <f t="shared" si="319"/>
        <v>27658.905650000004</v>
      </c>
      <c r="O2921" s="85">
        <f t="shared" si="319"/>
        <v>0</v>
      </c>
      <c r="P2921" s="85">
        <f t="shared" si="319"/>
        <v>27658.901899999997</v>
      </c>
      <c r="Q2921" s="85">
        <f t="shared" si="319"/>
        <v>358588.01280999993</v>
      </c>
      <c r="R2921" s="85">
        <f t="shared" si="319"/>
        <v>0</v>
      </c>
      <c r="S2921" s="85">
        <f t="shared" si="319"/>
        <v>0</v>
      </c>
      <c r="T2921" s="85">
        <f t="shared" si="319"/>
        <v>31.194699999999997</v>
      </c>
      <c r="U2921" s="85">
        <f t="shared" si="319"/>
        <v>27690.100350000004</v>
      </c>
      <c r="V2921" s="85">
        <f t="shared" si="319"/>
        <v>0</v>
      </c>
      <c r="W2921" s="85">
        <f t="shared" si="319"/>
        <v>0</v>
      </c>
      <c r="X2921" s="85">
        <f>+X2294</f>
        <v>1174221.29054</v>
      </c>
      <c r="Y2921" s="85">
        <f>+Y152</f>
        <v>0</v>
      </c>
      <c r="Z2921" s="85">
        <f>+Z2294</f>
        <v>4065.4789600000367</v>
      </c>
      <c r="AA2921" s="69">
        <f>+AA2294</f>
        <v>468218.11904000002</v>
      </c>
      <c r="AB2921" s="69">
        <f>+AB2294</f>
        <v>300.15822999999955</v>
      </c>
    </row>
    <row r="2922" spans="1:28" x14ac:dyDescent="0.3">
      <c r="A2922" s="73"/>
      <c r="C2922" s="68"/>
      <c r="E2922" s="85"/>
      <c r="F2922" s="85"/>
      <c r="G2922" s="85"/>
      <c r="H2922" s="85"/>
      <c r="I2922" s="85"/>
      <c r="J2922" s="85"/>
      <c r="K2922" s="85"/>
      <c r="L2922" s="85"/>
      <c r="M2922" s="85"/>
      <c r="N2922" s="85"/>
      <c r="O2922" s="85"/>
      <c r="P2922" s="85"/>
      <c r="Q2922" s="85"/>
      <c r="R2922" s="85"/>
      <c r="S2922" s="85"/>
      <c r="T2922" s="85"/>
      <c r="U2922" s="85"/>
      <c r="V2922" s="85"/>
      <c r="W2922" s="85"/>
      <c r="X2922" s="85"/>
      <c r="Y2922" s="85"/>
      <c r="Z2922" s="85"/>
      <c r="AA2922" s="69"/>
      <c r="AB2922" s="69"/>
    </row>
    <row r="2923" spans="1:28" x14ac:dyDescent="0.3">
      <c r="A2923" s="73"/>
      <c r="C2923" s="68" t="s">
        <v>922</v>
      </c>
      <c r="E2923" s="85">
        <f>+E2448</f>
        <v>830284.53069000004</v>
      </c>
      <c r="F2923" s="85">
        <f t="shared" ref="F2923:W2923" si="320">+F2448</f>
        <v>287008.04437999998</v>
      </c>
      <c r="G2923" s="85">
        <f t="shared" si="320"/>
        <v>0</v>
      </c>
      <c r="H2923" s="85">
        <f t="shared" si="320"/>
        <v>812187.60742000001</v>
      </c>
      <c r="I2923" s="85">
        <f t="shared" si="320"/>
        <v>0</v>
      </c>
      <c r="J2923" s="85">
        <f t="shared" si="320"/>
        <v>258659.42621999996</v>
      </c>
      <c r="K2923" s="85">
        <f t="shared" si="320"/>
        <v>18001.180830000001</v>
      </c>
      <c r="L2923" s="85">
        <f t="shared" si="320"/>
        <v>0</v>
      </c>
      <c r="M2923" s="85">
        <f t="shared" si="320"/>
        <v>287008.04437999998</v>
      </c>
      <c r="N2923" s="85">
        <f t="shared" si="320"/>
        <v>18007.202109999998</v>
      </c>
      <c r="O2923" s="85">
        <f t="shared" si="320"/>
        <v>0</v>
      </c>
      <c r="P2923" s="85">
        <f t="shared" si="320"/>
        <v>18007.199489999999</v>
      </c>
      <c r="Q2923" s="85">
        <f t="shared" si="320"/>
        <v>252050.07542000001</v>
      </c>
      <c r="R2923" s="85">
        <f t="shared" si="320"/>
        <v>0</v>
      </c>
      <c r="S2923" s="85">
        <f t="shared" si="320"/>
        <v>0</v>
      </c>
      <c r="T2923" s="85">
        <f t="shared" si="320"/>
        <v>9.7211599999999994</v>
      </c>
      <c r="U2923" s="85">
        <f t="shared" si="320"/>
        <v>18016.923269999999</v>
      </c>
      <c r="V2923" s="85">
        <f t="shared" si="320"/>
        <v>0</v>
      </c>
      <c r="W2923" s="85">
        <f t="shared" si="320"/>
        <v>0</v>
      </c>
      <c r="X2923" s="85">
        <f>+X2448</f>
        <v>830194.80691000004</v>
      </c>
      <c r="Y2923" s="85">
        <f>+Y154</f>
        <v>0</v>
      </c>
      <c r="Z2923" s="85">
        <f>+Z2448</f>
        <v>89.723780000014813</v>
      </c>
      <c r="AA2923" s="69">
        <f>+AA2448</f>
        <v>305024.96765000001</v>
      </c>
      <c r="AB2923" s="69">
        <f>+AB2448</f>
        <v>80.000000000000043</v>
      </c>
    </row>
    <row r="2924" spans="1:28" x14ac:dyDescent="0.3">
      <c r="A2924" s="73"/>
      <c r="E2924" s="84"/>
      <c r="F2924" s="84"/>
      <c r="G2924" s="84"/>
      <c r="H2924" s="84"/>
      <c r="I2924" s="84"/>
      <c r="J2924" s="84"/>
      <c r="K2924" s="84"/>
      <c r="L2924" s="84"/>
      <c r="M2924" s="84"/>
      <c r="N2924" s="84"/>
      <c r="O2924" s="84"/>
      <c r="P2924" s="84"/>
      <c r="Q2924" s="84"/>
      <c r="R2924" s="84"/>
      <c r="S2924" s="84"/>
      <c r="T2924" s="84"/>
      <c r="U2924" s="84"/>
      <c r="V2924" s="84"/>
      <c r="W2924" s="84"/>
      <c r="X2924" s="84"/>
      <c r="Y2924" s="84"/>
      <c r="Z2924" s="84"/>
    </row>
    <row r="2925" spans="1:28" x14ac:dyDescent="0.3">
      <c r="A2925" s="73"/>
      <c r="C2925" s="68" t="s">
        <v>504</v>
      </c>
      <c r="E2925" s="85">
        <f>+E2567</f>
        <v>1053111.3921400001</v>
      </c>
      <c r="F2925" s="85">
        <f t="shared" ref="F2925:W2925" si="321">+F2567</f>
        <v>372619.77271999995</v>
      </c>
      <c r="G2925" s="85">
        <f t="shared" si="321"/>
        <v>0</v>
      </c>
      <c r="H2925" s="85">
        <f t="shared" si="321"/>
        <v>1015806.26741</v>
      </c>
      <c r="I2925" s="85">
        <f t="shared" si="321"/>
        <v>29651.254549999998</v>
      </c>
      <c r="J2925" s="85">
        <f t="shared" si="321"/>
        <v>21451.583549999999</v>
      </c>
      <c r="K2925" s="85">
        <f t="shared" si="321"/>
        <v>0</v>
      </c>
      <c r="L2925" s="85">
        <f t="shared" si="321"/>
        <v>0</v>
      </c>
      <c r="M2925" s="85">
        <f t="shared" si="321"/>
        <v>372619.77271999995</v>
      </c>
      <c r="N2925" s="85">
        <f t="shared" si="321"/>
        <v>23942.951479999996</v>
      </c>
      <c r="O2925" s="85">
        <f t="shared" si="321"/>
        <v>0</v>
      </c>
      <c r="P2925" s="85">
        <f t="shared" si="321"/>
        <v>23942.949000000004</v>
      </c>
      <c r="Q2925" s="85">
        <f t="shared" si="321"/>
        <v>12716.329749999999</v>
      </c>
      <c r="R2925" s="85">
        <f t="shared" si="321"/>
        <v>1.0325</v>
      </c>
      <c r="S2925" s="85">
        <f t="shared" si="321"/>
        <v>0</v>
      </c>
      <c r="T2925" s="85">
        <f t="shared" si="321"/>
        <v>12715.29725</v>
      </c>
      <c r="U2925" s="85">
        <f t="shared" si="321"/>
        <v>36658.248729999992</v>
      </c>
      <c r="V2925" s="85">
        <f t="shared" si="321"/>
        <v>393113.73521999997</v>
      </c>
      <c r="W2925" s="85">
        <f t="shared" si="321"/>
        <v>13362.17325</v>
      </c>
      <c r="X2925" s="85">
        <f>+X2567</f>
        <v>1039749.2164099999</v>
      </c>
      <c r="Y2925" s="85">
        <f>+Y156</f>
        <v>0</v>
      </c>
      <c r="Z2925" s="85">
        <f>+Z2567</f>
        <v>13362.175730000046</v>
      </c>
      <c r="AA2925" s="69">
        <f>+AA2567</f>
        <v>409278.02144999994</v>
      </c>
      <c r="AB2925" s="69">
        <f>+AB2567</f>
        <v>646.87599999999998</v>
      </c>
    </row>
    <row r="2926" spans="1:28" x14ac:dyDescent="0.3">
      <c r="A2926" s="73"/>
      <c r="E2926" s="84"/>
      <c r="F2926" s="84"/>
      <c r="G2926" s="84"/>
      <c r="H2926" s="84"/>
      <c r="I2926" s="84"/>
      <c r="J2926" s="84"/>
      <c r="K2926" s="84"/>
      <c r="L2926" s="84"/>
      <c r="M2926" s="84"/>
      <c r="N2926" s="84"/>
      <c r="O2926" s="84"/>
      <c r="P2926" s="84"/>
      <c r="Q2926" s="84"/>
      <c r="R2926" s="84"/>
      <c r="S2926" s="84"/>
      <c r="T2926" s="84"/>
      <c r="U2926" s="84"/>
      <c r="V2926" s="84"/>
      <c r="W2926" s="84"/>
      <c r="X2926" s="84"/>
      <c r="Y2926" s="84"/>
      <c r="Z2926" s="84"/>
    </row>
    <row r="2927" spans="1:28" x14ac:dyDescent="0.3">
      <c r="A2927" s="73"/>
      <c r="C2927" s="68" t="s">
        <v>505</v>
      </c>
      <c r="E2927" s="85">
        <f>+E2660</f>
        <v>599076.95131000003</v>
      </c>
      <c r="F2927" s="85">
        <f t="shared" ref="F2927:W2927" si="322">+F2660</f>
        <v>257389.10788999998</v>
      </c>
      <c r="G2927" s="85">
        <f t="shared" si="322"/>
        <v>0</v>
      </c>
      <c r="H2927" s="85">
        <f t="shared" si="322"/>
        <v>586605.26661000005</v>
      </c>
      <c r="I2927" s="85">
        <f t="shared" si="322"/>
        <v>2120.9349299999999</v>
      </c>
      <c r="J2927" s="85">
        <f t="shared" si="322"/>
        <v>1068.9349299999999</v>
      </c>
      <c r="K2927" s="85">
        <f t="shared" si="322"/>
        <v>0</v>
      </c>
      <c r="L2927" s="85">
        <f t="shared" si="322"/>
        <v>0</v>
      </c>
      <c r="M2927" s="85">
        <f t="shared" si="322"/>
        <v>257389.10788999998</v>
      </c>
      <c r="N2927" s="85">
        <f t="shared" si="322"/>
        <v>12387.585160000001</v>
      </c>
      <c r="O2927" s="85">
        <f t="shared" si="322"/>
        <v>0</v>
      </c>
      <c r="P2927" s="85">
        <f t="shared" si="322"/>
        <v>12387.582999999999</v>
      </c>
      <c r="Q2927" s="85">
        <f t="shared" si="322"/>
        <v>4.0995400000000002</v>
      </c>
      <c r="R2927" s="85">
        <f t="shared" si="322"/>
        <v>0</v>
      </c>
      <c r="S2927" s="85">
        <f t="shared" si="322"/>
        <v>0</v>
      </c>
      <c r="T2927" s="85">
        <f t="shared" si="322"/>
        <v>4.0995400000000002</v>
      </c>
      <c r="U2927" s="85">
        <f t="shared" si="322"/>
        <v>12391.684700000002</v>
      </c>
      <c r="V2927" s="85">
        <f t="shared" si="322"/>
        <v>250431.45416000002</v>
      </c>
      <c r="W2927" s="85">
        <f t="shared" si="322"/>
        <v>84.099540000000033</v>
      </c>
      <c r="X2927" s="85">
        <f>+X2660</f>
        <v>598992.84960999992</v>
      </c>
      <c r="Y2927" s="85">
        <f>+Y159</f>
        <v>0</v>
      </c>
      <c r="Z2927" s="85">
        <f>+Z2660</f>
        <v>84.101700000028359</v>
      </c>
      <c r="AA2927" s="69">
        <f>+AA2660</f>
        <v>269780.79258999997</v>
      </c>
      <c r="AB2927" s="69">
        <f>+AB2660</f>
        <v>80</v>
      </c>
    </row>
    <row r="2928" spans="1:28" x14ac:dyDescent="0.3">
      <c r="A2928" s="73"/>
      <c r="E2928" s="84"/>
      <c r="F2928" s="84"/>
      <c r="G2928" s="84"/>
      <c r="H2928" s="84"/>
      <c r="I2928" s="84"/>
      <c r="J2928" s="84"/>
      <c r="K2928" s="84"/>
      <c r="L2928" s="84"/>
      <c r="M2928" s="84"/>
      <c r="N2928" s="84"/>
      <c r="O2928" s="84"/>
      <c r="P2928" s="84"/>
      <c r="Q2928" s="84"/>
      <c r="R2928" s="84"/>
      <c r="S2928" s="84"/>
      <c r="T2928" s="84"/>
      <c r="U2928" s="84"/>
      <c r="V2928" s="84"/>
      <c r="W2928" s="84"/>
      <c r="X2928" s="84"/>
      <c r="Y2928" s="84"/>
      <c r="Z2928" s="84"/>
    </row>
    <row r="2929" spans="1:28" x14ac:dyDescent="0.3">
      <c r="A2929" s="73"/>
      <c r="C2929" s="68" t="s">
        <v>465</v>
      </c>
      <c r="E2929" s="85">
        <f>+E2752</f>
        <v>694833.52075000003</v>
      </c>
      <c r="F2929" s="85">
        <f t="shared" ref="F2929:W2929" si="323">+F2752</f>
        <v>219218.96695999999</v>
      </c>
      <c r="G2929" s="85">
        <f t="shared" si="323"/>
        <v>1652.0658899999999</v>
      </c>
      <c r="H2929" s="85">
        <f t="shared" si="323"/>
        <v>665418.67330000002</v>
      </c>
      <c r="I2929" s="85">
        <f t="shared" si="323"/>
        <v>1462.4718</v>
      </c>
      <c r="J2929" s="85">
        <f t="shared" si="323"/>
        <v>1462.4718</v>
      </c>
      <c r="K2929" s="85">
        <f t="shared" si="323"/>
        <v>0</v>
      </c>
      <c r="L2929" s="85">
        <f t="shared" si="323"/>
        <v>0</v>
      </c>
      <c r="M2929" s="85">
        <f t="shared" si="323"/>
        <v>220871.03284999999</v>
      </c>
      <c r="N2929" s="85">
        <f t="shared" si="323"/>
        <v>27903.125039999999</v>
      </c>
      <c r="O2929" s="85">
        <f t="shared" si="323"/>
        <v>0</v>
      </c>
      <c r="P2929" s="85">
        <f t="shared" si="323"/>
        <v>27903.123</v>
      </c>
      <c r="Q2929" s="85">
        <f t="shared" si="323"/>
        <v>229.30132</v>
      </c>
      <c r="R2929" s="85">
        <f t="shared" si="323"/>
        <v>0</v>
      </c>
      <c r="S2929" s="85">
        <f t="shared" si="323"/>
        <v>3.91716</v>
      </c>
      <c r="T2929" s="85">
        <f t="shared" si="323"/>
        <v>191.30141</v>
      </c>
      <c r="U2929" s="85">
        <f t="shared" si="323"/>
        <v>28094.426449999999</v>
      </c>
      <c r="V2929" s="85">
        <f t="shared" si="323"/>
        <v>193745.60287</v>
      </c>
      <c r="W2929" s="85">
        <f t="shared" si="323"/>
        <v>1511.7224099999996</v>
      </c>
      <c r="X2929" s="85">
        <f>+X2752</f>
        <v>693321.79630000005</v>
      </c>
      <c r="Y2929" s="85">
        <f>+Y162</f>
        <v>0</v>
      </c>
      <c r="Z2929" s="85">
        <f>+Z2752</f>
        <v>1511.7244500000816</v>
      </c>
      <c r="AA2929" s="69">
        <f>+AA2752</f>
        <v>248965.45930000002</v>
      </c>
      <c r="AB2929" s="69">
        <f>+AB2752</f>
        <v>1320.421</v>
      </c>
    </row>
    <row r="2930" spans="1:28" x14ac:dyDescent="0.3">
      <c r="A2930" s="73"/>
      <c r="E2930" s="86" t="s">
        <v>29</v>
      </c>
      <c r="F2930" s="86" t="s">
        <v>29</v>
      </c>
      <c r="G2930" s="86" t="s">
        <v>29</v>
      </c>
      <c r="H2930" s="86" t="s">
        <v>29</v>
      </c>
      <c r="I2930" s="86" t="s">
        <v>29</v>
      </c>
      <c r="J2930" s="86" t="s">
        <v>29</v>
      </c>
      <c r="K2930" s="86" t="s">
        <v>29</v>
      </c>
      <c r="L2930" s="86" t="s">
        <v>29</v>
      </c>
      <c r="M2930" s="86" t="s">
        <v>29</v>
      </c>
      <c r="N2930" s="86" t="s">
        <v>29</v>
      </c>
      <c r="O2930" s="86" t="s">
        <v>29</v>
      </c>
      <c r="P2930" s="86" t="s">
        <v>29</v>
      </c>
      <c r="Q2930" s="86" t="s">
        <v>29</v>
      </c>
      <c r="R2930" s="86" t="s">
        <v>29</v>
      </c>
      <c r="S2930" s="86" t="s">
        <v>29</v>
      </c>
      <c r="T2930" s="86" t="s">
        <v>29</v>
      </c>
      <c r="U2930" s="86" t="s">
        <v>29</v>
      </c>
      <c r="V2930" s="86" t="s">
        <v>29</v>
      </c>
      <c r="W2930" s="86" t="s">
        <v>29</v>
      </c>
      <c r="X2930" s="86" t="s">
        <v>29</v>
      </c>
      <c r="Y2930" s="86" t="s">
        <v>29</v>
      </c>
      <c r="Z2930" s="86" t="s">
        <v>29</v>
      </c>
      <c r="AA2930" s="115" t="s">
        <v>29</v>
      </c>
      <c r="AB2930" s="115" t="s">
        <v>29</v>
      </c>
    </row>
    <row r="2931" spans="1:28" x14ac:dyDescent="0.3">
      <c r="A2931" s="73"/>
      <c r="E2931" s="84"/>
      <c r="F2931" s="84"/>
      <c r="G2931" s="84"/>
      <c r="H2931" s="84"/>
      <c r="I2931" s="84"/>
      <c r="J2931" s="84"/>
      <c r="K2931" s="84"/>
      <c r="L2931" s="84"/>
      <c r="M2931" s="84"/>
      <c r="N2931" s="84"/>
      <c r="O2931" s="84"/>
      <c r="P2931" s="84"/>
      <c r="Q2931" s="84"/>
      <c r="R2931" s="84"/>
      <c r="S2931" s="84"/>
      <c r="T2931" s="84"/>
      <c r="U2931" s="84"/>
      <c r="V2931" s="84"/>
      <c r="W2931" s="84"/>
      <c r="X2931" s="84"/>
      <c r="Y2931" s="84"/>
      <c r="Z2931" s="84"/>
    </row>
    <row r="2932" spans="1:28" x14ac:dyDescent="0.3">
      <c r="A2932" s="73"/>
      <c r="C2932" s="68" t="s">
        <v>506</v>
      </c>
      <c r="E2932" s="85">
        <f>+E2755</f>
        <v>16590362.164039996</v>
      </c>
      <c r="F2932" s="85">
        <f t="shared" ref="F2932:AB2932" si="324">SUM(F2901:F2929)</f>
        <v>5486815.1096679987</v>
      </c>
      <c r="G2932" s="85">
        <f t="shared" si="324"/>
        <v>107946.47616000001</v>
      </c>
      <c r="H2932" s="85">
        <f>+H2755</f>
        <v>15681372.507200001</v>
      </c>
      <c r="I2932" s="85" t="e">
        <f t="shared" si="324"/>
        <v>#VALUE!</v>
      </c>
      <c r="J2932" s="85">
        <f t="shared" si="324"/>
        <v>2292650.9161430001</v>
      </c>
      <c r="K2932" s="85">
        <f t="shared" si="324"/>
        <v>410207.27788000007</v>
      </c>
      <c r="L2932" s="85">
        <f t="shared" si="324"/>
        <v>30674.586769999998</v>
      </c>
      <c r="M2932" s="85">
        <f t="shared" si="324"/>
        <v>5625436.1725979997</v>
      </c>
      <c r="N2932" s="85">
        <f t="shared" si="324"/>
        <v>721775.5228299998</v>
      </c>
      <c r="O2932" s="85">
        <f t="shared" si="324"/>
        <v>0</v>
      </c>
      <c r="P2932" s="85">
        <f>+P2755</f>
        <v>721775.49768000003</v>
      </c>
      <c r="Q2932" s="85">
        <f t="shared" si="324"/>
        <v>1962986.8315800002</v>
      </c>
      <c r="R2932" s="85">
        <f t="shared" si="324"/>
        <v>-63832.158810000008</v>
      </c>
      <c r="S2932" s="85">
        <f t="shared" si="324"/>
        <v>125.80633</v>
      </c>
      <c r="T2932" s="85">
        <f t="shared" si="324"/>
        <v>14597.769369999998</v>
      </c>
      <c r="U2932" s="85">
        <f t="shared" si="324"/>
        <v>736373.29168999998</v>
      </c>
      <c r="V2932" s="85">
        <f t="shared" si="324"/>
        <v>4350675.9088479998</v>
      </c>
      <c r="W2932" s="85">
        <f t="shared" si="324"/>
        <v>174011.75282199995</v>
      </c>
      <c r="X2932" s="85">
        <f>+X2755</f>
        <v>16403148.00488</v>
      </c>
      <c r="Y2932" s="85">
        <f t="shared" si="324"/>
        <v>0</v>
      </c>
      <c r="Z2932" s="85">
        <f>+Z2755</f>
        <v>187214.15915999562</v>
      </c>
      <c r="AA2932" s="69">
        <f t="shared" si="324"/>
        <v>6361809.4647979997</v>
      </c>
      <c r="AB2932" s="69">
        <f t="shared" si="324"/>
        <v>141941.62591199999</v>
      </c>
    </row>
    <row r="2933" spans="1:28" x14ac:dyDescent="0.3">
      <c r="A2933" s="73"/>
      <c r="E2933" s="86" t="s">
        <v>114</v>
      </c>
      <c r="F2933" s="86" t="s">
        <v>114</v>
      </c>
      <c r="G2933" s="86" t="s">
        <v>114</v>
      </c>
      <c r="H2933" s="86" t="s">
        <v>114</v>
      </c>
      <c r="I2933" s="86" t="s">
        <v>114</v>
      </c>
      <c r="J2933" s="86" t="s">
        <v>114</v>
      </c>
      <c r="K2933" s="86" t="s">
        <v>114</v>
      </c>
      <c r="L2933" s="86" t="s">
        <v>114</v>
      </c>
      <c r="M2933" s="86"/>
      <c r="N2933" s="86" t="s">
        <v>114</v>
      </c>
      <c r="O2933" s="86" t="s">
        <v>114</v>
      </c>
      <c r="P2933" s="86" t="s">
        <v>114</v>
      </c>
      <c r="Q2933" s="86" t="s">
        <v>114</v>
      </c>
      <c r="R2933" s="86" t="s">
        <v>114</v>
      </c>
      <c r="S2933" s="86" t="s">
        <v>114</v>
      </c>
      <c r="T2933" s="86" t="s">
        <v>114</v>
      </c>
      <c r="U2933" s="86" t="s">
        <v>114</v>
      </c>
      <c r="V2933" s="86" t="s">
        <v>114</v>
      </c>
      <c r="W2933" s="86" t="s">
        <v>114</v>
      </c>
      <c r="X2933" s="86" t="s">
        <v>114</v>
      </c>
      <c r="Y2933" s="86" t="s">
        <v>114</v>
      </c>
      <c r="Z2933" s="86" t="s">
        <v>114</v>
      </c>
      <c r="AA2933" s="115" t="s">
        <v>114</v>
      </c>
      <c r="AB2933" s="115" t="s">
        <v>114</v>
      </c>
    </row>
    <row r="2934" spans="1:28" x14ac:dyDescent="0.3">
      <c r="A2934" s="73"/>
      <c r="E2934" s="128"/>
      <c r="F2934" s="128"/>
      <c r="G2934" s="128"/>
      <c r="H2934" s="128"/>
      <c r="I2934" s="128"/>
      <c r="J2934" s="128"/>
      <c r="K2934" s="128"/>
      <c r="L2934" s="128"/>
      <c r="M2934" s="128"/>
      <c r="N2934" s="128"/>
      <c r="O2934" s="128"/>
      <c r="P2934" s="128"/>
      <c r="Q2934" s="128"/>
      <c r="R2934" s="128"/>
      <c r="S2934" s="128"/>
      <c r="T2934" s="128"/>
      <c r="U2934" s="128"/>
      <c r="V2934" s="128"/>
      <c r="W2934" s="128"/>
      <c r="X2934" s="128"/>
      <c r="Y2934" s="128"/>
      <c r="Z2934" s="128"/>
      <c r="AA2934" s="140"/>
      <c r="AB2934" s="140"/>
    </row>
    <row r="2935" spans="1:28" x14ac:dyDescent="0.3">
      <c r="A2935" s="73"/>
      <c r="X2935" s="84"/>
      <c r="Z2935" s="84"/>
    </row>
    <row r="2936" spans="1:28" x14ac:dyDescent="0.3">
      <c r="A2936" s="73"/>
      <c r="C2936" s="69"/>
      <c r="X2936" s="84"/>
    </row>
    <row r="2937" spans="1:28" x14ac:dyDescent="0.3">
      <c r="A2937" s="73"/>
      <c r="C2937" s="69"/>
    </row>
    <row r="2938" spans="1:28" x14ac:dyDescent="0.3">
      <c r="A2938" s="73"/>
    </row>
    <row r="2939" spans="1:28" x14ac:dyDescent="0.3">
      <c r="A2939" s="73"/>
    </row>
    <row r="2940" spans="1:28" x14ac:dyDescent="0.3">
      <c r="A2940" s="73"/>
    </row>
    <row r="2941" spans="1:28" x14ac:dyDescent="0.3">
      <c r="A2941" s="73"/>
    </row>
    <row r="2942" spans="1:28" x14ac:dyDescent="0.3">
      <c r="A2942" s="73"/>
    </row>
    <row r="2943" spans="1:28" x14ac:dyDescent="0.3">
      <c r="A2943" s="73"/>
    </row>
    <row r="2944" spans="1:28" x14ac:dyDescent="0.3">
      <c r="A2944" s="73"/>
    </row>
    <row r="2945" spans="1:1" x14ac:dyDescent="0.3">
      <c r="A2945" s="73"/>
    </row>
    <row r="2946" spans="1:1" x14ac:dyDescent="0.3">
      <c r="A2946" s="73"/>
    </row>
    <row r="2947" spans="1:1" x14ac:dyDescent="0.3">
      <c r="A2947" s="73"/>
    </row>
    <row r="2948" spans="1:1" x14ac:dyDescent="0.3">
      <c r="A2948" s="73"/>
    </row>
    <row r="2949" spans="1:1" x14ac:dyDescent="0.3">
      <c r="A2949" s="73"/>
    </row>
    <row r="2950" spans="1:1" x14ac:dyDescent="0.3">
      <c r="A2950" s="73"/>
    </row>
    <row r="2951" spans="1:1" x14ac:dyDescent="0.3">
      <c r="A2951" s="73"/>
    </row>
    <row r="2952" spans="1:1" x14ac:dyDescent="0.3">
      <c r="A2952" s="73"/>
    </row>
    <row r="2953" spans="1:1" x14ac:dyDescent="0.3">
      <c r="A2953" s="73"/>
    </row>
    <row r="2954" spans="1:1" x14ac:dyDescent="0.3">
      <c r="A2954" s="73"/>
    </row>
    <row r="2955" spans="1:1" x14ac:dyDescent="0.3">
      <c r="A2955" s="73"/>
    </row>
    <row r="2956" spans="1:1" x14ac:dyDescent="0.3">
      <c r="A2956" s="73"/>
    </row>
    <row r="2957" spans="1:1" x14ac:dyDescent="0.3">
      <c r="A2957" s="73"/>
    </row>
    <row r="2958" spans="1:1" x14ac:dyDescent="0.3">
      <c r="A2958" s="73"/>
    </row>
    <row r="2959" spans="1:1" x14ac:dyDescent="0.3">
      <c r="A2959" s="73"/>
    </row>
    <row r="2960" spans="1:1" x14ac:dyDescent="0.3">
      <c r="A2960" s="73"/>
    </row>
    <row r="2961" spans="1:1" x14ac:dyDescent="0.3">
      <c r="A2961" s="73"/>
    </row>
    <row r="2962" spans="1:1" x14ac:dyDescent="0.3">
      <c r="A2962" s="73"/>
    </row>
    <row r="2963" spans="1:1" x14ac:dyDescent="0.3">
      <c r="A2963" s="73"/>
    </row>
    <row r="2964" spans="1:1" x14ac:dyDescent="0.3">
      <c r="A2964" s="73"/>
    </row>
    <row r="2965" spans="1:1" x14ac:dyDescent="0.3">
      <c r="A2965" s="73"/>
    </row>
    <row r="2966" spans="1:1" x14ac:dyDescent="0.3">
      <c r="A2966" s="73"/>
    </row>
    <row r="2967" spans="1:1" x14ac:dyDescent="0.3">
      <c r="A2967" s="73"/>
    </row>
    <row r="2968" spans="1:1" x14ac:dyDescent="0.3">
      <c r="A2968" s="73"/>
    </row>
    <row r="2969" spans="1:1" x14ac:dyDescent="0.3">
      <c r="A2969" s="73"/>
    </row>
    <row r="2970" spans="1:1" x14ac:dyDescent="0.3">
      <c r="A2970" s="73"/>
    </row>
    <row r="2971" spans="1:1" x14ac:dyDescent="0.3">
      <c r="A2971" s="73"/>
    </row>
    <row r="2972" spans="1:1" x14ac:dyDescent="0.3">
      <c r="A2972" s="73"/>
    </row>
    <row r="2973" spans="1:1" x14ac:dyDescent="0.3">
      <c r="A2973" s="73"/>
    </row>
    <row r="2974" spans="1:1" x14ac:dyDescent="0.3">
      <c r="A2974" s="73"/>
    </row>
    <row r="2975" spans="1:1" x14ac:dyDescent="0.3">
      <c r="A2975" s="73"/>
    </row>
    <row r="2976" spans="1:1" x14ac:dyDescent="0.3">
      <c r="A2976" s="73"/>
    </row>
    <row r="2977" spans="1:1" x14ac:dyDescent="0.3">
      <c r="A2977" s="73"/>
    </row>
    <row r="2978" spans="1:1" x14ac:dyDescent="0.3">
      <c r="A2978" s="73"/>
    </row>
    <row r="2979" spans="1:1" x14ac:dyDescent="0.3">
      <c r="A2979" s="73"/>
    </row>
    <row r="2980" spans="1:1" x14ac:dyDescent="0.3">
      <c r="A2980" s="73"/>
    </row>
    <row r="2981" spans="1:1" x14ac:dyDescent="0.3">
      <c r="A2981" s="73"/>
    </row>
    <row r="2982" spans="1:1" x14ac:dyDescent="0.3">
      <c r="A2982" s="73"/>
    </row>
    <row r="2983" spans="1:1" x14ac:dyDescent="0.3">
      <c r="A2983" s="73"/>
    </row>
    <row r="2984" spans="1:1" x14ac:dyDescent="0.3">
      <c r="A2984" s="73"/>
    </row>
    <row r="2985" spans="1:1" x14ac:dyDescent="0.3">
      <c r="A2985" s="73"/>
    </row>
    <row r="2986" spans="1:1" x14ac:dyDescent="0.3">
      <c r="A2986" s="73"/>
    </row>
    <row r="2987" spans="1:1" x14ac:dyDescent="0.3">
      <c r="A2987" s="73"/>
    </row>
    <row r="2988" spans="1:1" x14ac:dyDescent="0.3">
      <c r="A2988" s="73"/>
    </row>
    <row r="2989" spans="1:1" x14ac:dyDescent="0.3">
      <c r="A2989" s="73"/>
    </row>
    <row r="2990" spans="1:1" x14ac:dyDescent="0.3">
      <c r="A2990" s="73"/>
    </row>
    <row r="2991" spans="1:1" x14ac:dyDescent="0.3">
      <c r="A2991" s="73"/>
    </row>
    <row r="2992" spans="1:1" x14ac:dyDescent="0.3">
      <c r="A2992" s="73"/>
    </row>
    <row r="2993" spans="1:1" x14ac:dyDescent="0.3">
      <c r="A2993" s="73"/>
    </row>
    <row r="2994" spans="1:1" x14ac:dyDescent="0.3">
      <c r="A2994" s="73"/>
    </row>
    <row r="2995" spans="1:1" x14ac:dyDescent="0.3">
      <c r="A2995" s="73"/>
    </row>
    <row r="2996" spans="1:1" x14ac:dyDescent="0.3">
      <c r="A2996" s="73"/>
    </row>
    <row r="2997" spans="1:1" x14ac:dyDescent="0.3">
      <c r="A2997" s="73"/>
    </row>
    <row r="2998" spans="1:1" x14ac:dyDescent="0.3">
      <c r="A2998" s="73"/>
    </row>
    <row r="2999" spans="1:1" x14ac:dyDescent="0.3">
      <c r="A2999" s="73"/>
    </row>
    <row r="3000" spans="1:1" x14ac:dyDescent="0.3">
      <c r="A3000" s="73"/>
    </row>
    <row r="3001" spans="1:1" x14ac:dyDescent="0.3">
      <c r="A3001" s="73"/>
    </row>
    <row r="3002" spans="1:1" x14ac:dyDescent="0.3">
      <c r="A3002" s="73"/>
    </row>
    <row r="3003" spans="1:1" x14ac:dyDescent="0.3">
      <c r="A3003" s="73"/>
    </row>
    <row r="3004" spans="1:1" x14ac:dyDescent="0.3">
      <c r="A3004" s="73"/>
    </row>
    <row r="3005" spans="1:1" x14ac:dyDescent="0.3">
      <c r="A3005" s="73"/>
    </row>
    <row r="3006" spans="1:1" x14ac:dyDescent="0.3">
      <c r="A3006" s="73"/>
    </row>
    <row r="3007" spans="1:1" x14ac:dyDescent="0.3">
      <c r="A3007" s="73"/>
    </row>
    <row r="3008" spans="1:1" x14ac:dyDescent="0.3">
      <c r="A3008" s="73"/>
    </row>
    <row r="3009" spans="1:1" x14ac:dyDescent="0.3">
      <c r="A3009" s="73"/>
    </row>
    <row r="3010" spans="1:1" x14ac:dyDescent="0.3">
      <c r="A3010" s="73"/>
    </row>
    <row r="3011" spans="1:1" x14ac:dyDescent="0.3">
      <c r="A3011" s="73"/>
    </row>
    <row r="3012" spans="1:1" x14ac:dyDescent="0.3">
      <c r="A3012" s="73"/>
    </row>
    <row r="3013" spans="1:1" x14ac:dyDescent="0.3">
      <c r="A3013" s="73"/>
    </row>
    <row r="3014" spans="1:1" x14ac:dyDescent="0.3">
      <c r="A3014" s="73"/>
    </row>
    <row r="3015" spans="1:1" x14ac:dyDescent="0.3">
      <c r="A3015" s="73"/>
    </row>
    <row r="3016" spans="1:1" x14ac:dyDescent="0.3">
      <c r="A3016" s="73"/>
    </row>
    <row r="3017" spans="1:1" x14ac:dyDescent="0.3">
      <c r="A3017" s="73"/>
    </row>
    <row r="3018" spans="1:1" x14ac:dyDescent="0.3">
      <c r="A3018" s="73"/>
    </row>
    <row r="3019" spans="1:1" x14ac:dyDescent="0.3">
      <c r="A3019" s="73"/>
    </row>
    <row r="3020" spans="1:1" x14ac:dyDescent="0.3">
      <c r="A3020" s="73"/>
    </row>
    <row r="3021" spans="1:1" x14ac:dyDescent="0.3">
      <c r="A3021" s="73"/>
    </row>
    <row r="3022" spans="1:1" x14ac:dyDescent="0.3">
      <c r="A3022" s="73"/>
    </row>
    <row r="3023" spans="1:1" x14ac:dyDescent="0.3">
      <c r="A3023" s="73"/>
    </row>
    <row r="3024" spans="1:1" x14ac:dyDescent="0.3">
      <c r="A3024" s="73"/>
    </row>
    <row r="3025" spans="1:1" x14ac:dyDescent="0.3">
      <c r="A3025" s="73"/>
    </row>
    <row r="3026" spans="1:1" x14ac:dyDescent="0.3">
      <c r="A3026" s="73"/>
    </row>
    <row r="3027" spans="1:1" x14ac:dyDescent="0.3">
      <c r="A3027" s="73"/>
    </row>
    <row r="3028" spans="1:1" x14ac:dyDescent="0.3">
      <c r="A3028" s="73"/>
    </row>
    <row r="3029" spans="1:1" x14ac:dyDescent="0.3">
      <c r="A3029" s="73"/>
    </row>
    <row r="3030" spans="1:1" x14ac:dyDescent="0.3">
      <c r="A3030" s="73"/>
    </row>
    <row r="3031" spans="1:1" x14ac:dyDescent="0.3">
      <c r="A3031" s="73"/>
    </row>
    <row r="3032" spans="1:1" x14ac:dyDescent="0.3">
      <c r="A3032" s="73"/>
    </row>
    <row r="3033" spans="1:1" x14ac:dyDescent="0.3">
      <c r="A3033" s="73"/>
    </row>
    <row r="3034" spans="1:1" x14ac:dyDescent="0.3">
      <c r="A3034" s="73"/>
    </row>
    <row r="3035" spans="1:1" x14ac:dyDescent="0.3">
      <c r="A3035" s="73"/>
    </row>
    <row r="3036" spans="1:1" x14ac:dyDescent="0.3">
      <c r="A3036" s="73"/>
    </row>
    <row r="3037" spans="1:1" x14ac:dyDescent="0.3">
      <c r="A3037" s="73"/>
    </row>
    <row r="3038" spans="1:1" x14ac:dyDescent="0.3">
      <c r="A3038" s="73"/>
    </row>
    <row r="3039" spans="1:1" x14ac:dyDescent="0.3">
      <c r="A3039" s="73"/>
    </row>
    <row r="3040" spans="1:1" x14ac:dyDescent="0.3">
      <c r="A3040" s="73"/>
    </row>
    <row r="3041" spans="1:1" x14ac:dyDescent="0.3">
      <c r="A3041" s="73"/>
    </row>
    <row r="3042" spans="1:1" x14ac:dyDescent="0.3">
      <c r="A3042" s="73"/>
    </row>
    <row r="3043" spans="1:1" x14ac:dyDescent="0.3">
      <c r="A3043" s="73"/>
    </row>
    <row r="3044" spans="1:1" x14ac:dyDescent="0.3">
      <c r="A3044" s="73"/>
    </row>
    <row r="3045" spans="1:1" x14ac:dyDescent="0.3">
      <c r="A3045" s="73"/>
    </row>
    <row r="3046" spans="1:1" x14ac:dyDescent="0.3">
      <c r="A3046" s="73"/>
    </row>
    <row r="3047" spans="1:1" x14ac:dyDescent="0.3">
      <c r="A3047" s="73"/>
    </row>
    <row r="3048" spans="1:1" x14ac:dyDescent="0.3">
      <c r="A3048" s="73"/>
    </row>
    <row r="3049" spans="1:1" x14ac:dyDescent="0.3">
      <c r="A3049" s="73"/>
    </row>
    <row r="3050" spans="1:1" x14ac:dyDescent="0.3">
      <c r="A3050" s="73"/>
    </row>
    <row r="3051" spans="1:1" x14ac:dyDescent="0.3">
      <c r="A3051" s="73"/>
    </row>
    <row r="3052" spans="1:1" x14ac:dyDescent="0.3">
      <c r="A3052" s="73"/>
    </row>
    <row r="3053" spans="1:1" x14ac:dyDescent="0.3">
      <c r="A3053" s="73"/>
    </row>
    <row r="3054" spans="1:1" x14ac:dyDescent="0.3">
      <c r="A3054" s="73"/>
    </row>
    <row r="3055" spans="1:1" x14ac:dyDescent="0.3">
      <c r="A3055" s="73"/>
    </row>
    <row r="3056" spans="1:1" x14ac:dyDescent="0.3">
      <c r="A3056" s="73"/>
    </row>
    <row r="3057" spans="1:19" x14ac:dyDescent="0.3">
      <c r="A3057" s="73"/>
    </row>
    <row r="3058" spans="1:19" x14ac:dyDescent="0.3">
      <c r="A3058" s="73"/>
    </row>
    <row r="3059" spans="1:19" x14ac:dyDescent="0.3">
      <c r="A3059" s="73"/>
    </row>
    <row r="3060" spans="1:19" x14ac:dyDescent="0.3">
      <c r="A3060" s="73"/>
    </row>
    <row r="3061" spans="1:19" x14ac:dyDescent="0.3">
      <c r="A3061" s="73"/>
    </row>
    <row r="3062" spans="1:19" x14ac:dyDescent="0.3">
      <c r="A3062" s="73"/>
    </row>
    <row r="3063" spans="1:19" x14ac:dyDescent="0.3">
      <c r="A3063" s="73"/>
    </row>
    <row r="3064" spans="1:19" x14ac:dyDescent="0.3">
      <c r="A3064" s="73"/>
    </row>
    <row r="3065" spans="1:19" x14ac:dyDescent="0.3">
      <c r="A3065" s="73"/>
    </row>
    <row r="3066" spans="1:19" x14ac:dyDescent="0.3">
      <c r="A3066" s="73"/>
    </row>
    <row r="3067" spans="1:19" x14ac:dyDescent="0.3">
      <c r="A3067" s="73"/>
    </row>
    <row r="3068" spans="1:19" x14ac:dyDescent="0.3">
      <c r="A3068" s="73"/>
      <c r="P3068" s="74"/>
      <c r="R3068" s="74"/>
    </row>
    <row r="3069" spans="1:19" x14ac:dyDescent="0.3">
      <c r="A3069" s="73"/>
      <c r="P3069" s="74"/>
      <c r="S3069" s="74"/>
    </row>
    <row r="3070" spans="1:19" x14ac:dyDescent="0.3">
      <c r="A3070" s="73"/>
    </row>
    <row r="3071" spans="1:19" x14ac:dyDescent="0.3">
      <c r="A3071" s="73"/>
    </row>
    <row r="3072" spans="1:19" x14ac:dyDescent="0.3">
      <c r="A3072" s="73"/>
    </row>
    <row r="3073" spans="1:1" x14ac:dyDescent="0.3">
      <c r="A3073" s="73"/>
    </row>
    <row r="3074" spans="1:1" x14ac:dyDescent="0.3">
      <c r="A3074" s="73"/>
    </row>
    <row r="3075" spans="1:1" x14ac:dyDescent="0.3">
      <c r="A3075" s="73"/>
    </row>
    <row r="3076" spans="1:1" x14ac:dyDescent="0.3">
      <c r="A3076" s="73"/>
    </row>
    <row r="3077" spans="1:1" x14ac:dyDescent="0.3">
      <c r="A3077" s="73"/>
    </row>
    <row r="3078" spans="1:1" x14ac:dyDescent="0.3">
      <c r="A3078" s="73"/>
    </row>
    <row r="3079" spans="1:1" x14ac:dyDescent="0.3">
      <c r="A3079" s="73"/>
    </row>
    <row r="3080" spans="1:1" x14ac:dyDescent="0.3">
      <c r="A3080" s="73"/>
    </row>
    <row r="3081" spans="1:1" x14ac:dyDescent="0.3">
      <c r="A3081" s="73"/>
    </row>
    <row r="3082" spans="1:1" x14ac:dyDescent="0.3">
      <c r="A3082" s="73"/>
    </row>
    <row r="3083" spans="1:1" x14ac:dyDescent="0.3">
      <c r="A3083" s="73"/>
    </row>
    <row r="3084" spans="1:1" x14ac:dyDescent="0.3">
      <c r="A3084" s="73"/>
    </row>
    <row r="3085" spans="1:1" x14ac:dyDescent="0.3">
      <c r="A3085" s="73"/>
    </row>
    <row r="3086" spans="1:1" x14ac:dyDescent="0.3">
      <c r="A3086" s="73"/>
    </row>
    <row r="3087" spans="1:1" x14ac:dyDescent="0.3">
      <c r="A3087" s="73"/>
    </row>
    <row r="3088" spans="1:1" x14ac:dyDescent="0.3">
      <c r="A3088" s="73"/>
    </row>
    <row r="3089" spans="1:1" x14ac:dyDescent="0.3">
      <c r="A3089" s="73"/>
    </row>
    <row r="3090" spans="1:1" x14ac:dyDescent="0.3">
      <c r="A3090" s="73"/>
    </row>
    <row r="3091" spans="1:1" x14ac:dyDescent="0.3">
      <c r="A3091" s="73"/>
    </row>
    <row r="3092" spans="1:1" x14ac:dyDescent="0.3">
      <c r="A3092" s="73"/>
    </row>
    <row r="3093" spans="1:1" x14ac:dyDescent="0.3">
      <c r="A3093" s="73"/>
    </row>
    <row r="3094" spans="1:1" x14ac:dyDescent="0.3">
      <c r="A3094" s="73"/>
    </row>
    <row r="3095" spans="1:1" x14ac:dyDescent="0.3">
      <c r="A3095" s="73"/>
    </row>
    <row r="3096" spans="1:1" x14ac:dyDescent="0.3">
      <c r="A3096" s="73"/>
    </row>
    <row r="3097" spans="1:1" x14ac:dyDescent="0.3">
      <c r="A3097" s="73"/>
    </row>
    <row r="3098" spans="1:1" x14ac:dyDescent="0.3">
      <c r="A3098" s="73"/>
    </row>
    <row r="3099" spans="1:1" x14ac:dyDescent="0.3">
      <c r="A3099" s="73"/>
    </row>
    <row r="3100" spans="1:1" x14ac:dyDescent="0.3">
      <c r="A3100" s="73"/>
    </row>
    <row r="3101" spans="1:1" x14ac:dyDescent="0.3">
      <c r="A3101" s="73"/>
    </row>
    <row r="3102" spans="1:1" x14ac:dyDescent="0.3">
      <c r="A3102" s="73"/>
    </row>
    <row r="3103" spans="1:1" x14ac:dyDescent="0.3">
      <c r="A3103" s="73"/>
    </row>
    <row r="3104" spans="1:1" x14ac:dyDescent="0.3">
      <c r="A3104" s="73"/>
    </row>
    <row r="3105" spans="1:1" x14ac:dyDescent="0.3">
      <c r="A3105" s="73"/>
    </row>
    <row r="3106" spans="1:1" x14ac:dyDescent="0.3">
      <c r="A3106" s="73"/>
    </row>
    <row r="3107" spans="1:1" x14ac:dyDescent="0.3">
      <c r="A3107" s="73"/>
    </row>
    <row r="3108" spans="1:1" x14ac:dyDescent="0.3">
      <c r="A3108" s="73"/>
    </row>
    <row r="3109" spans="1:1" x14ac:dyDescent="0.3">
      <c r="A3109" s="73"/>
    </row>
    <row r="3110" spans="1:1" x14ac:dyDescent="0.3">
      <c r="A3110" s="73"/>
    </row>
    <row r="3111" spans="1:1" x14ac:dyDescent="0.3">
      <c r="A3111" s="73"/>
    </row>
    <row r="3112" spans="1:1" x14ac:dyDescent="0.3">
      <c r="A3112" s="73"/>
    </row>
    <row r="3113" spans="1:1" x14ac:dyDescent="0.3">
      <c r="A3113" s="62"/>
    </row>
    <row r="3114" spans="1:1" x14ac:dyDescent="0.3">
      <c r="A3114" s="62"/>
    </row>
    <row r="3115" spans="1:1" x14ac:dyDescent="0.3">
      <c r="A3115" s="62"/>
    </row>
    <row r="3116" spans="1:1" x14ac:dyDescent="0.3">
      <c r="A3116" s="62"/>
    </row>
    <row r="3117" spans="1:1" x14ac:dyDescent="0.3">
      <c r="A3117" s="62"/>
    </row>
    <row r="3118" spans="1:1" x14ac:dyDescent="0.3">
      <c r="A3118" s="62"/>
    </row>
    <row r="3119" spans="1:1" x14ac:dyDescent="0.3">
      <c r="A3119" s="62"/>
    </row>
    <row r="3120" spans="1:1" x14ac:dyDescent="0.3">
      <c r="A3120" s="62"/>
    </row>
    <row r="3121" spans="1:1" x14ac:dyDescent="0.3">
      <c r="A3121" s="62"/>
    </row>
    <row r="3122" spans="1:1" x14ac:dyDescent="0.3">
      <c r="A3122" s="62"/>
    </row>
    <row r="3123" spans="1:1" x14ac:dyDescent="0.3">
      <c r="A3123" s="62"/>
    </row>
    <row r="3124" spans="1:1" x14ac:dyDescent="0.3">
      <c r="A3124" s="62"/>
    </row>
    <row r="3125" spans="1:1" x14ac:dyDescent="0.3">
      <c r="A3125" s="62"/>
    </row>
    <row r="3126" spans="1:1" x14ac:dyDescent="0.3">
      <c r="A3126" s="62"/>
    </row>
    <row r="3127" spans="1:1" x14ac:dyDescent="0.3">
      <c r="A3127" s="62"/>
    </row>
    <row r="3128" spans="1:1" x14ac:dyDescent="0.3">
      <c r="A3128" s="62"/>
    </row>
    <row r="3129" spans="1:1" x14ac:dyDescent="0.3">
      <c r="A3129" s="62"/>
    </row>
    <row r="3130" spans="1:1" x14ac:dyDescent="0.3">
      <c r="A3130" s="62"/>
    </row>
    <row r="3131" spans="1:1" x14ac:dyDescent="0.3">
      <c r="A3131" s="62"/>
    </row>
    <row r="3132" spans="1:1" x14ac:dyDescent="0.3">
      <c r="A3132" s="62"/>
    </row>
    <row r="3133" spans="1:1" x14ac:dyDescent="0.3">
      <c r="A3133" s="62"/>
    </row>
    <row r="3134" spans="1:1" x14ac:dyDescent="0.3">
      <c r="A3134" s="62"/>
    </row>
    <row r="3135" spans="1:1" x14ac:dyDescent="0.3">
      <c r="A3135" s="62"/>
    </row>
  </sheetData>
  <sheetProtection sheet="1" objects="1" scenarios="1"/>
  <mergeCells count="3">
    <mergeCell ref="H2898:P2898"/>
    <mergeCell ref="H2767:P2767"/>
    <mergeCell ref="H6:P6"/>
  </mergeCells>
  <phoneticPr fontId="0" type="noConversion"/>
  <pageMargins left="1.05" right="0.26" top="0.65" bottom="0.16" header="1.04" footer="0.22"/>
  <pageSetup paperSize="9" scale="50" orientation="portrait" r:id="rId1"/>
  <headerFooter alignWithMargins="0"/>
  <rowBreaks count="5" manualBreakCount="5">
    <brk id="963" max="28" man="1"/>
    <brk id="1970" max="28" man="1"/>
    <brk id="2762" max="28" man="1"/>
    <brk id="2838" max="28" man="1"/>
    <brk id="2892" max="28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/>
  <dimension ref="A1:AZ3132"/>
  <sheetViews>
    <sheetView showGridLines="0" view="pageBreakPreview" zoomScale="60" zoomScaleNormal="75" workbookViewId="0">
      <selection sqref="A1:AB65536"/>
    </sheetView>
  </sheetViews>
  <sheetFormatPr defaultColWidth="10.875" defaultRowHeight="20.25" x14ac:dyDescent="0.3"/>
  <cols>
    <col min="1" max="1" width="6.125" style="6" customWidth="1"/>
    <col min="2" max="2" width="3.625" style="6" customWidth="1"/>
    <col min="3" max="3" width="52.25" style="6" customWidth="1"/>
    <col min="4" max="4" width="16.625" style="6" customWidth="1"/>
    <col min="5" max="5" width="26.375" style="6" customWidth="1"/>
    <col min="6" max="6" width="23.5" style="6" customWidth="1"/>
    <col min="7" max="7" width="25.875" style="6" customWidth="1"/>
    <col min="8" max="8" width="26.625" style="6" customWidth="1"/>
    <col min="9" max="10" width="21.75" style="6" hidden="1" customWidth="1"/>
    <col min="11" max="11" width="21.375" style="6" hidden="1" customWidth="1"/>
    <col min="12" max="12" width="19.625" style="6" customWidth="1"/>
    <col min="13" max="13" width="24.75" style="6" customWidth="1"/>
    <col min="14" max="14" width="21.5" style="6" customWidth="1"/>
    <col min="15" max="15" width="18.125" style="6" customWidth="1"/>
    <col min="16" max="16" width="21" style="6" customWidth="1"/>
    <col min="17" max="17" width="24.25" style="6" hidden="1" customWidth="1"/>
    <col min="18" max="18" width="14.25" style="6" hidden="1" customWidth="1"/>
    <col min="19" max="19" width="18" style="6" hidden="1" customWidth="1"/>
    <col min="20" max="20" width="21" style="6" customWidth="1"/>
    <col min="21" max="21" width="25.375" style="6" customWidth="1"/>
    <col min="22" max="22" width="17.625" style="6" hidden="1" customWidth="1"/>
    <col min="23" max="23" width="15.625" style="6" hidden="1" customWidth="1"/>
    <col min="24" max="24" width="24.375" style="6" customWidth="1"/>
    <col min="25" max="25" width="0" style="6" hidden="1" customWidth="1"/>
    <col min="26" max="26" width="23.25" style="6" customWidth="1"/>
    <col min="27" max="27" width="25" style="8" customWidth="1"/>
    <col min="28" max="28" width="22.125" style="8" customWidth="1"/>
    <col min="29" max="29" width="18.5" style="6" customWidth="1"/>
    <col min="30" max="30" width="21.625" style="6" customWidth="1"/>
    <col min="31" max="31" width="20.875" style="6" customWidth="1"/>
    <col min="32" max="32" width="19.5" style="6" customWidth="1"/>
    <col min="33" max="33" width="21.5" style="6" customWidth="1"/>
    <col min="34" max="34" width="23.125" style="6" customWidth="1"/>
    <col min="35" max="35" width="18.625" style="6" customWidth="1"/>
    <col min="36" max="36" width="16.625" style="6" customWidth="1"/>
    <col min="37" max="37" width="18.5" style="6" customWidth="1"/>
    <col min="38" max="38" width="24.375" style="6" customWidth="1"/>
    <col min="39" max="39" width="20.625" style="6" customWidth="1"/>
    <col min="40" max="40" width="10.875" style="6"/>
    <col min="41" max="41" width="21.25" style="6" customWidth="1"/>
    <col min="42" max="42" width="19.625" style="6" customWidth="1"/>
    <col min="43" max="43" width="19" style="6" customWidth="1"/>
    <col min="44" max="44" width="20.875" style="6" customWidth="1"/>
    <col min="45" max="45" width="19.625" style="6" customWidth="1"/>
    <col min="46" max="46" width="22.5" style="6" customWidth="1"/>
    <col min="47" max="47" width="21.5" style="6" customWidth="1"/>
    <col min="48" max="48" width="20.25" style="6" customWidth="1"/>
    <col min="49" max="49" width="24.75" style="6" customWidth="1"/>
    <col min="50" max="50" width="10.875" style="6"/>
    <col min="51" max="51" width="24.125" style="6" customWidth="1"/>
    <col min="52" max="16384" width="10.875" style="6"/>
  </cols>
  <sheetData>
    <row r="1" spans="1:28" x14ac:dyDescent="0.3">
      <c r="B1" s="8" t="s">
        <v>1068</v>
      </c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</row>
    <row r="2" spans="1:28" x14ac:dyDescent="0.3">
      <c r="B2" s="7" t="s">
        <v>1069</v>
      </c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</row>
    <row r="3" spans="1:28" x14ac:dyDescent="0.3">
      <c r="B3" s="7" t="s">
        <v>1253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8" x14ac:dyDescent="0.3">
      <c r="C4" s="8"/>
      <c r="D4" s="15" t="s">
        <v>0</v>
      </c>
      <c r="E4" s="8"/>
      <c r="F4" s="8"/>
      <c r="G4" s="15" t="s">
        <v>1</v>
      </c>
      <c r="H4" s="9"/>
      <c r="I4" s="15" t="s">
        <v>2</v>
      </c>
      <c r="J4" s="8"/>
      <c r="K4" s="15" t="s">
        <v>2</v>
      </c>
      <c r="L4" s="15" t="s">
        <v>3</v>
      </c>
      <c r="M4" s="15" t="s">
        <v>3</v>
      </c>
      <c r="N4" s="8"/>
      <c r="O4" s="15" t="s">
        <v>4</v>
      </c>
      <c r="P4" s="9"/>
      <c r="Q4" s="8"/>
      <c r="R4" s="8"/>
      <c r="S4" s="15" t="s">
        <v>2</v>
      </c>
      <c r="T4" s="15" t="s">
        <v>3</v>
      </c>
      <c r="U4" s="15" t="s">
        <v>3</v>
      </c>
      <c r="V4" s="15" t="s">
        <v>3</v>
      </c>
      <c r="W4" s="15" t="s">
        <v>5</v>
      </c>
      <c r="X4" s="15" t="s">
        <v>3</v>
      </c>
      <c r="Y4" s="15" t="s">
        <v>2</v>
      </c>
      <c r="Z4" s="15" t="s">
        <v>5</v>
      </c>
      <c r="AA4" s="51" t="s">
        <v>1109</v>
      </c>
      <c r="AB4" s="51" t="s">
        <v>5</v>
      </c>
    </row>
    <row r="5" spans="1:28" x14ac:dyDescent="0.3">
      <c r="C5" s="8"/>
      <c r="D5" s="15" t="s">
        <v>6</v>
      </c>
      <c r="E5" s="15" t="s">
        <v>7</v>
      </c>
      <c r="F5" s="15" t="s">
        <v>8</v>
      </c>
      <c r="G5" s="15" t="s">
        <v>9</v>
      </c>
      <c r="H5" s="9"/>
      <c r="I5" s="15" t="s">
        <v>10</v>
      </c>
      <c r="J5" s="15" t="s">
        <v>11</v>
      </c>
      <c r="K5" s="15" t="s">
        <v>12</v>
      </c>
      <c r="L5" s="15" t="s">
        <v>1</v>
      </c>
      <c r="M5" s="15" t="s">
        <v>1</v>
      </c>
      <c r="N5" s="15" t="s">
        <v>4</v>
      </c>
      <c r="O5" s="15" t="s">
        <v>12</v>
      </c>
      <c r="P5" s="9"/>
      <c r="Q5" s="15" t="s">
        <v>2</v>
      </c>
      <c r="R5" s="15" t="s">
        <v>11</v>
      </c>
      <c r="S5" s="15" t="s">
        <v>12</v>
      </c>
      <c r="T5" s="15" t="s">
        <v>13</v>
      </c>
      <c r="U5" s="15" t="s">
        <v>13</v>
      </c>
      <c r="V5" s="15" t="s">
        <v>9</v>
      </c>
      <c r="W5" s="15" t="s">
        <v>14</v>
      </c>
      <c r="X5" s="15" t="s">
        <v>9</v>
      </c>
      <c r="Y5" s="15" t="s">
        <v>15</v>
      </c>
      <c r="Z5" s="15" t="s">
        <v>14</v>
      </c>
      <c r="AA5" s="51" t="s">
        <v>9</v>
      </c>
      <c r="AB5" s="51" t="s">
        <v>14</v>
      </c>
    </row>
    <row r="6" spans="1:28" x14ac:dyDescent="0.3">
      <c r="C6" s="15" t="s">
        <v>16</v>
      </c>
      <c r="D6" s="15" t="s">
        <v>17</v>
      </c>
      <c r="E6" s="15" t="s">
        <v>18</v>
      </c>
      <c r="F6" s="15" t="s">
        <v>1254</v>
      </c>
      <c r="G6" s="15" t="s">
        <v>19</v>
      </c>
      <c r="H6" s="15" t="s">
        <v>20</v>
      </c>
      <c r="I6" s="15" t="s">
        <v>21</v>
      </c>
      <c r="J6" s="15" t="s">
        <v>22</v>
      </c>
      <c r="K6" s="15" t="s">
        <v>21</v>
      </c>
      <c r="L6" s="15" t="s">
        <v>2</v>
      </c>
      <c r="M6" s="15" t="s">
        <v>9</v>
      </c>
      <c r="N6" s="15" t="str">
        <f>+F6</f>
        <v>AS OF 04/30/06</v>
      </c>
      <c r="O6" s="15" t="s">
        <v>21</v>
      </c>
      <c r="P6" s="15" t="s">
        <v>20</v>
      </c>
      <c r="Q6" s="15" t="s">
        <v>23</v>
      </c>
      <c r="R6" s="15" t="s">
        <v>24</v>
      </c>
      <c r="S6" s="15" t="s">
        <v>21</v>
      </c>
      <c r="T6" s="15" t="s">
        <v>2</v>
      </c>
      <c r="U6" s="15" t="s">
        <v>9</v>
      </c>
      <c r="V6" s="15" t="s">
        <v>25</v>
      </c>
      <c r="W6" s="7" t="s">
        <v>26</v>
      </c>
      <c r="X6" s="51" t="s">
        <v>1113</v>
      </c>
      <c r="Y6" s="15" t="s">
        <v>27</v>
      </c>
      <c r="Z6" s="51" t="s">
        <v>1113</v>
      </c>
      <c r="AA6" s="51" t="s">
        <v>1110</v>
      </c>
      <c r="AB6" s="51" t="s">
        <v>1110</v>
      </c>
    </row>
    <row r="7" spans="1:28" x14ac:dyDescent="0.3">
      <c r="A7" s="6" t="s">
        <v>1115</v>
      </c>
      <c r="C7" s="16" t="s">
        <v>28</v>
      </c>
      <c r="D7" s="17" t="s">
        <v>29</v>
      </c>
      <c r="E7" s="7" t="s">
        <v>30</v>
      </c>
      <c r="F7" s="16" t="s">
        <v>31</v>
      </c>
      <c r="G7" s="7" t="s">
        <v>32</v>
      </c>
      <c r="H7" s="16" t="s">
        <v>33</v>
      </c>
      <c r="I7" s="7" t="s">
        <v>34</v>
      </c>
      <c r="J7" s="7" t="s">
        <v>35</v>
      </c>
      <c r="K7" s="7" t="s">
        <v>34</v>
      </c>
      <c r="L7" s="16" t="s">
        <v>31</v>
      </c>
      <c r="M7" s="7" t="s">
        <v>36</v>
      </c>
      <c r="N7" s="17" t="s">
        <v>37</v>
      </c>
      <c r="O7" s="7" t="s">
        <v>38</v>
      </c>
      <c r="P7" s="7" t="s">
        <v>39</v>
      </c>
      <c r="Q7" s="7" t="s">
        <v>40</v>
      </c>
      <c r="R7" s="7" t="s">
        <v>41</v>
      </c>
      <c r="S7" s="7" t="s">
        <v>34</v>
      </c>
      <c r="T7" s="16" t="s">
        <v>42</v>
      </c>
      <c r="U7" s="7" t="s">
        <v>43</v>
      </c>
      <c r="V7" s="7" t="s">
        <v>44</v>
      </c>
      <c r="W7" s="7" t="s">
        <v>45</v>
      </c>
      <c r="X7" s="7" t="s">
        <v>46</v>
      </c>
      <c r="Y7" s="7" t="s">
        <v>34</v>
      </c>
      <c r="Z7" s="7" t="s">
        <v>47</v>
      </c>
      <c r="AA7" s="13" t="s">
        <v>42</v>
      </c>
      <c r="AB7" s="7" t="s">
        <v>47</v>
      </c>
    </row>
    <row r="8" spans="1:28" x14ac:dyDescent="0.3">
      <c r="A8" s="62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8" x14ac:dyDescent="0.3">
      <c r="A9" s="62"/>
      <c r="B9" s="7" t="s">
        <v>48</v>
      </c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8" x14ac:dyDescent="0.3">
      <c r="A10" s="62"/>
      <c r="B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8" x14ac:dyDescent="0.3">
      <c r="A11" s="63" t="s">
        <v>934</v>
      </c>
      <c r="B11" s="7" t="s">
        <v>49</v>
      </c>
      <c r="D11" s="15" t="s">
        <v>50</v>
      </c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8" x14ac:dyDescent="0.3">
      <c r="A12" s="64"/>
      <c r="C12" s="7" t="s">
        <v>51</v>
      </c>
      <c r="D12" s="14" t="s">
        <v>52</v>
      </c>
      <c r="E12" s="9">
        <v>5904164.46</v>
      </c>
      <c r="F12" s="9">
        <v>5692448.5300000003</v>
      </c>
      <c r="G12" s="8"/>
      <c r="H12" s="9">
        <f t="shared" ref="H12:H20" si="0">F12+G12</f>
        <v>5692448.5300000003</v>
      </c>
      <c r="I12" s="8"/>
      <c r="J12" s="8"/>
      <c r="K12" s="8"/>
      <c r="L12" s="9"/>
      <c r="M12" s="9">
        <f t="shared" ref="M12:M20" si="1">H12+L12</f>
        <v>5692448.5300000003</v>
      </c>
      <c r="N12" s="9">
        <f>0+178915.93+32800</f>
        <v>211715.93</v>
      </c>
      <c r="O12" s="8"/>
      <c r="P12" s="9">
        <f t="shared" ref="P12:P20" si="2">N12+O12</f>
        <v>211715.93</v>
      </c>
      <c r="Q12" s="8"/>
      <c r="R12" s="8"/>
      <c r="S12" s="8"/>
      <c r="T12" s="9"/>
      <c r="U12" s="9">
        <f t="shared" ref="U12:U20" si="3">P12+T12</f>
        <v>211715.93</v>
      </c>
      <c r="V12" s="9">
        <f t="shared" ref="V12:V20" si="4">P12+H12</f>
        <v>5904164.46</v>
      </c>
      <c r="W12" s="9">
        <f t="shared" ref="W12:W20" si="5">E12-V12</f>
        <v>0</v>
      </c>
      <c r="X12" s="9">
        <f>+H12+P12</f>
        <v>5904164.46</v>
      </c>
      <c r="Y12" s="8"/>
      <c r="Z12" s="9">
        <f>+E12-X12</f>
        <v>0</v>
      </c>
      <c r="AA12" s="8">
        <f>+M12+U12</f>
        <v>5904164.46</v>
      </c>
      <c r="AB12" s="8">
        <f>+E12-AA12</f>
        <v>0</v>
      </c>
    </row>
    <row r="13" spans="1:28" x14ac:dyDescent="0.3">
      <c r="A13" s="64"/>
      <c r="C13" s="7" t="s">
        <v>53</v>
      </c>
      <c r="D13" s="15" t="s">
        <v>54</v>
      </c>
      <c r="E13" s="9">
        <v>2306106</v>
      </c>
      <c r="F13" s="9">
        <v>0</v>
      </c>
      <c r="G13" s="8"/>
      <c r="H13" s="9">
        <f t="shared" si="0"/>
        <v>0</v>
      </c>
      <c r="I13" s="8"/>
      <c r="J13" s="8"/>
      <c r="K13" s="8"/>
      <c r="L13" s="9"/>
      <c r="M13" s="9">
        <f t="shared" si="1"/>
        <v>0</v>
      </c>
      <c r="N13" s="9">
        <v>2306106</v>
      </c>
      <c r="O13" s="8"/>
      <c r="P13" s="9">
        <f t="shared" si="2"/>
        <v>2306106</v>
      </c>
      <c r="Q13" s="8"/>
      <c r="R13" s="8"/>
      <c r="S13" s="8"/>
      <c r="T13" s="9"/>
      <c r="U13" s="9">
        <f t="shared" si="3"/>
        <v>2306106</v>
      </c>
      <c r="V13" s="9">
        <f t="shared" si="4"/>
        <v>2306106</v>
      </c>
      <c r="W13" s="9">
        <f t="shared" si="5"/>
        <v>0</v>
      </c>
      <c r="X13" s="9">
        <f t="shared" ref="X13:X20" si="6">+H13+P13</f>
        <v>2306106</v>
      </c>
      <c r="Y13" s="8"/>
      <c r="Z13" s="9">
        <f t="shared" ref="Z13:Z20" si="7">+E13-X13</f>
        <v>0</v>
      </c>
      <c r="AA13" s="8">
        <f t="shared" ref="AA13:AA20" si="8">+M13+U13</f>
        <v>2306106</v>
      </c>
      <c r="AB13" s="8">
        <f t="shared" ref="AB13:AB20" si="9">+E13-AA13</f>
        <v>0</v>
      </c>
    </row>
    <row r="14" spans="1:28" x14ac:dyDescent="0.3">
      <c r="A14" s="64"/>
      <c r="C14" s="7" t="s">
        <v>55</v>
      </c>
      <c r="D14" s="7" t="s">
        <v>56</v>
      </c>
      <c r="E14" s="9">
        <v>3499027.8</v>
      </c>
      <c r="F14" s="9">
        <v>0</v>
      </c>
      <c r="G14" s="8"/>
      <c r="H14" s="9">
        <f t="shared" si="0"/>
        <v>0</v>
      </c>
      <c r="I14" s="8"/>
      <c r="J14" s="8"/>
      <c r="K14" s="8"/>
      <c r="L14" s="9"/>
      <c r="M14" s="9">
        <f t="shared" si="1"/>
        <v>0</v>
      </c>
      <c r="N14" s="9">
        <f>3484311.3+14716.5</f>
        <v>3499027.8</v>
      </c>
      <c r="O14" s="8"/>
      <c r="P14" s="9">
        <f t="shared" si="2"/>
        <v>3499027.8</v>
      </c>
      <c r="Q14" s="8"/>
      <c r="R14" s="8"/>
      <c r="S14" s="8"/>
      <c r="T14" s="9"/>
      <c r="U14" s="9">
        <f t="shared" si="3"/>
        <v>3499027.8</v>
      </c>
      <c r="V14" s="9">
        <f t="shared" si="4"/>
        <v>3499027.8</v>
      </c>
      <c r="W14" s="9">
        <f t="shared" si="5"/>
        <v>0</v>
      </c>
      <c r="X14" s="9">
        <f t="shared" si="6"/>
        <v>3499027.8</v>
      </c>
      <c r="Y14" s="8"/>
      <c r="Z14" s="9">
        <f t="shared" si="7"/>
        <v>0</v>
      </c>
      <c r="AA14" s="8">
        <f t="shared" si="8"/>
        <v>3499027.8</v>
      </c>
      <c r="AB14" s="8">
        <f t="shared" si="9"/>
        <v>0</v>
      </c>
    </row>
    <row r="15" spans="1:28" x14ac:dyDescent="0.3">
      <c r="A15" s="64"/>
      <c r="C15" s="7" t="s">
        <v>57</v>
      </c>
      <c r="D15" s="15" t="s">
        <v>58</v>
      </c>
      <c r="E15" s="9">
        <v>1811513</v>
      </c>
      <c r="F15" s="9">
        <v>1811513</v>
      </c>
      <c r="G15" s="8"/>
      <c r="H15" s="9">
        <f t="shared" si="0"/>
        <v>1811513</v>
      </c>
      <c r="I15" s="8"/>
      <c r="J15" s="8"/>
      <c r="K15" s="8"/>
      <c r="L15" s="9"/>
      <c r="M15" s="9">
        <f t="shared" si="1"/>
        <v>1811513</v>
      </c>
      <c r="N15" s="9">
        <v>0</v>
      </c>
      <c r="O15" s="8"/>
      <c r="P15" s="9">
        <f t="shared" si="2"/>
        <v>0</v>
      </c>
      <c r="Q15" s="8"/>
      <c r="R15" s="8"/>
      <c r="S15" s="8"/>
      <c r="T15" s="9"/>
      <c r="U15" s="9">
        <f t="shared" si="3"/>
        <v>0</v>
      </c>
      <c r="V15" s="9">
        <f t="shared" si="4"/>
        <v>1811513</v>
      </c>
      <c r="W15" s="9">
        <f t="shared" si="5"/>
        <v>0</v>
      </c>
      <c r="X15" s="9">
        <f t="shared" si="6"/>
        <v>1811513</v>
      </c>
      <c r="Y15" s="8"/>
      <c r="Z15" s="9">
        <f t="shared" si="7"/>
        <v>0</v>
      </c>
      <c r="AA15" s="8">
        <f t="shared" si="8"/>
        <v>1811513</v>
      </c>
      <c r="AB15" s="8">
        <f t="shared" si="9"/>
        <v>0</v>
      </c>
    </row>
    <row r="16" spans="1:28" x14ac:dyDescent="0.3">
      <c r="A16" s="64"/>
      <c r="C16" s="14" t="s">
        <v>59</v>
      </c>
      <c r="D16" s="16" t="s">
        <v>60</v>
      </c>
      <c r="E16" s="9">
        <v>5000000</v>
      </c>
      <c r="F16" s="11">
        <v>5000000</v>
      </c>
      <c r="G16" s="8"/>
      <c r="H16" s="9">
        <f t="shared" si="0"/>
        <v>5000000</v>
      </c>
      <c r="I16" s="8"/>
      <c r="J16" s="8"/>
      <c r="K16" s="8"/>
      <c r="L16" s="9"/>
      <c r="M16" s="9">
        <f t="shared" si="1"/>
        <v>5000000</v>
      </c>
      <c r="N16" s="9">
        <v>0</v>
      </c>
      <c r="O16" s="8"/>
      <c r="P16" s="9">
        <f t="shared" si="2"/>
        <v>0</v>
      </c>
      <c r="Q16" s="8"/>
      <c r="R16" s="8"/>
      <c r="S16" s="8"/>
      <c r="T16" s="9"/>
      <c r="U16" s="9">
        <f t="shared" si="3"/>
        <v>0</v>
      </c>
      <c r="V16" s="9">
        <f t="shared" si="4"/>
        <v>5000000</v>
      </c>
      <c r="W16" s="9">
        <f t="shared" si="5"/>
        <v>0</v>
      </c>
      <c r="X16" s="9">
        <f t="shared" si="6"/>
        <v>5000000</v>
      </c>
      <c r="Y16" s="8"/>
      <c r="Z16" s="9">
        <f t="shared" si="7"/>
        <v>0</v>
      </c>
      <c r="AA16" s="8">
        <f t="shared" si="8"/>
        <v>5000000</v>
      </c>
      <c r="AB16" s="8">
        <f t="shared" si="9"/>
        <v>0</v>
      </c>
    </row>
    <row r="17" spans="1:28" x14ac:dyDescent="0.3">
      <c r="A17" s="64"/>
      <c r="C17" s="7" t="s">
        <v>57</v>
      </c>
      <c r="D17" s="15" t="s">
        <v>61</v>
      </c>
      <c r="E17" s="9">
        <v>1000000</v>
      </c>
      <c r="F17" s="8">
        <v>1000000</v>
      </c>
      <c r="G17" s="8"/>
      <c r="H17" s="9">
        <f t="shared" si="0"/>
        <v>1000000</v>
      </c>
      <c r="I17" s="11"/>
      <c r="J17" s="11"/>
      <c r="K17" s="11"/>
      <c r="L17" s="9"/>
      <c r="M17" s="9">
        <f t="shared" si="1"/>
        <v>1000000</v>
      </c>
      <c r="N17" s="9">
        <v>0</v>
      </c>
      <c r="O17" s="8"/>
      <c r="P17" s="9">
        <f t="shared" si="2"/>
        <v>0</v>
      </c>
      <c r="Q17" s="8"/>
      <c r="R17" s="8"/>
      <c r="S17" s="8"/>
      <c r="T17" s="9"/>
      <c r="U17" s="9">
        <f t="shared" si="3"/>
        <v>0</v>
      </c>
      <c r="V17" s="9">
        <f t="shared" si="4"/>
        <v>1000000</v>
      </c>
      <c r="W17" s="9">
        <f t="shared" si="5"/>
        <v>0</v>
      </c>
      <c r="X17" s="9">
        <f t="shared" si="6"/>
        <v>1000000</v>
      </c>
      <c r="Y17" s="8"/>
      <c r="Z17" s="9">
        <f t="shared" si="7"/>
        <v>0</v>
      </c>
      <c r="AA17" s="8">
        <f t="shared" si="8"/>
        <v>1000000</v>
      </c>
      <c r="AB17" s="8">
        <f t="shared" si="9"/>
        <v>0</v>
      </c>
    </row>
    <row r="18" spans="1:28" x14ac:dyDescent="0.3">
      <c r="A18" s="64"/>
      <c r="C18" s="7" t="s">
        <v>930</v>
      </c>
      <c r="D18" s="16" t="s">
        <v>1072</v>
      </c>
      <c r="E18" s="9">
        <v>1706000</v>
      </c>
      <c r="F18" s="8">
        <v>1706000</v>
      </c>
      <c r="G18" s="8"/>
      <c r="H18" s="9">
        <f>+F18+G18</f>
        <v>1706000</v>
      </c>
      <c r="I18" s="11"/>
      <c r="J18" s="11"/>
      <c r="K18" s="11"/>
      <c r="L18" s="9"/>
      <c r="M18" s="9">
        <f t="shared" si="1"/>
        <v>1706000</v>
      </c>
      <c r="N18" s="9">
        <v>0</v>
      </c>
      <c r="O18" s="8"/>
      <c r="P18" s="9">
        <f t="shared" si="2"/>
        <v>0</v>
      </c>
      <c r="Q18" s="8"/>
      <c r="R18" s="8"/>
      <c r="S18" s="8"/>
      <c r="T18" s="9"/>
      <c r="U18" s="9">
        <f t="shared" si="3"/>
        <v>0</v>
      </c>
      <c r="V18" s="9">
        <f t="shared" si="4"/>
        <v>1706000</v>
      </c>
      <c r="W18" s="9">
        <f t="shared" si="5"/>
        <v>0</v>
      </c>
      <c r="X18" s="9">
        <f t="shared" si="6"/>
        <v>1706000</v>
      </c>
      <c r="Y18" s="8"/>
      <c r="Z18" s="9">
        <f t="shared" si="7"/>
        <v>0</v>
      </c>
      <c r="AA18" s="8">
        <f t="shared" si="8"/>
        <v>1706000</v>
      </c>
      <c r="AB18" s="8">
        <f t="shared" si="9"/>
        <v>0</v>
      </c>
    </row>
    <row r="19" spans="1:28" x14ac:dyDescent="0.3">
      <c r="A19" s="64"/>
      <c r="C19" s="7" t="s">
        <v>932</v>
      </c>
      <c r="D19" s="16" t="s">
        <v>1126</v>
      </c>
      <c r="E19" s="9">
        <v>400000</v>
      </c>
      <c r="F19" s="8">
        <v>400000</v>
      </c>
      <c r="G19" s="8"/>
      <c r="H19" s="9">
        <f>+F19+G19</f>
        <v>400000</v>
      </c>
      <c r="I19" s="11"/>
      <c r="J19" s="11"/>
      <c r="K19" s="11"/>
      <c r="L19" s="9"/>
      <c r="M19" s="9">
        <f t="shared" si="1"/>
        <v>400000</v>
      </c>
      <c r="N19" s="9">
        <v>0</v>
      </c>
      <c r="O19" s="8"/>
      <c r="P19" s="9">
        <f t="shared" si="2"/>
        <v>0</v>
      </c>
      <c r="Q19" s="8"/>
      <c r="R19" s="8"/>
      <c r="S19" s="8"/>
      <c r="T19" s="9"/>
      <c r="U19" s="9">
        <f t="shared" si="3"/>
        <v>0</v>
      </c>
      <c r="V19" s="9">
        <f t="shared" si="4"/>
        <v>400000</v>
      </c>
      <c r="W19" s="9">
        <f t="shared" si="5"/>
        <v>0</v>
      </c>
      <c r="X19" s="9">
        <f t="shared" si="6"/>
        <v>400000</v>
      </c>
      <c r="Y19" s="8"/>
      <c r="Z19" s="9">
        <f t="shared" si="7"/>
        <v>0</v>
      </c>
      <c r="AA19" s="8">
        <f t="shared" si="8"/>
        <v>400000</v>
      </c>
      <c r="AB19" s="8">
        <f t="shared" si="9"/>
        <v>0</v>
      </c>
    </row>
    <row r="20" spans="1:28" x14ac:dyDescent="0.3">
      <c r="A20" s="64"/>
      <c r="C20" s="7" t="s">
        <v>62</v>
      </c>
      <c r="D20" s="8"/>
      <c r="E20" s="9">
        <v>348516.2</v>
      </c>
      <c r="F20" s="9">
        <v>348516.2</v>
      </c>
      <c r="G20" s="8"/>
      <c r="H20" s="9">
        <f t="shared" si="0"/>
        <v>348516.2</v>
      </c>
      <c r="I20" s="8"/>
      <c r="J20" s="8"/>
      <c r="K20" s="8"/>
      <c r="L20" s="9"/>
      <c r="M20" s="9">
        <f t="shared" si="1"/>
        <v>348516.2</v>
      </c>
      <c r="N20" s="9">
        <v>0</v>
      </c>
      <c r="O20" s="8"/>
      <c r="P20" s="9">
        <f t="shared" si="2"/>
        <v>0</v>
      </c>
      <c r="Q20" s="8"/>
      <c r="R20" s="8"/>
      <c r="S20" s="8"/>
      <c r="T20" s="9"/>
      <c r="U20" s="9">
        <f t="shared" si="3"/>
        <v>0</v>
      </c>
      <c r="V20" s="9">
        <f t="shared" si="4"/>
        <v>348516.2</v>
      </c>
      <c r="W20" s="9">
        <f t="shared" si="5"/>
        <v>0</v>
      </c>
      <c r="X20" s="9">
        <f t="shared" si="6"/>
        <v>348516.2</v>
      </c>
      <c r="Y20" s="8"/>
      <c r="Z20" s="9">
        <f t="shared" si="7"/>
        <v>0</v>
      </c>
      <c r="AA20" s="8">
        <f t="shared" si="8"/>
        <v>348516.2</v>
      </c>
      <c r="AB20" s="8">
        <f t="shared" si="9"/>
        <v>0</v>
      </c>
    </row>
    <row r="21" spans="1:28" x14ac:dyDescent="0.3">
      <c r="A21" s="64"/>
      <c r="C21" s="8"/>
      <c r="D21" s="8"/>
      <c r="E21" s="17" t="s">
        <v>29</v>
      </c>
      <c r="F21" s="17" t="s">
        <v>29</v>
      </c>
      <c r="G21" s="17" t="s">
        <v>29</v>
      </c>
      <c r="H21" s="17" t="s">
        <v>29</v>
      </c>
      <c r="I21" s="17" t="s">
        <v>29</v>
      </c>
      <c r="J21" s="17" t="s">
        <v>29</v>
      </c>
      <c r="K21" s="17" t="s">
        <v>29</v>
      </c>
      <c r="L21" s="17" t="s">
        <v>29</v>
      </c>
      <c r="M21" s="17" t="s">
        <v>29</v>
      </c>
      <c r="N21" s="17" t="s">
        <v>29</v>
      </c>
      <c r="O21" s="17" t="s">
        <v>29</v>
      </c>
      <c r="P21" s="17" t="s">
        <v>29</v>
      </c>
      <c r="Q21" s="17" t="s">
        <v>29</v>
      </c>
      <c r="R21" s="17" t="s">
        <v>29</v>
      </c>
      <c r="S21" s="17" t="s">
        <v>29</v>
      </c>
      <c r="T21" s="17" t="s">
        <v>29</v>
      </c>
      <c r="U21" s="17" t="s">
        <v>29</v>
      </c>
      <c r="V21" s="17" t="s">
        <v>29</v>
      </c>
      <c r="W21" s="17" t="s">
        <v>29</v>
      </c>
      <c r="X21" s="17" t="s">
        <v>29</v>
      </c>
      <c r="Y21" s="17" t="s">
        <v>29</v>
      </c>
      <c r="Z21" s="17" t="s">
        <v>29</v>
      </c>
      <c r="AA21" s="17" t="s">
        <v>29</v>
      </c>
      <c r="AB21" s="17" t="s">
        <v>29</v>
      </c>
    </row>
    <row r="22" spans="1:28" x14ac:dyDescent="0.3">
      <c r="A22" s="64"/>
      <c r="C22" s="8"/>
      <c r="D22" s="8"/>
      <c r="E22" s="9">
        <f t="shared" ref="E22:AB22" si="10">SUM(E12:E20)</f>
        <v>21975327.459999997</v>
      </c>
      <c r="F22" s="9">
        <f t="shared" si="10"/>
        <v>15958477.73</v>
      </c>
      <c r="G22" s="9">
        <f t="shared" si="10"/>
        <v>0</v>
      </c>
      <c r="H22" s="9">
        <f t="shared" si="10"/>
        <v>15958477.73</v>
      </c>
      <c r="I22" s="9">
        <f t="shared" si="10"/>
        <v>0</v>
      </c>
      <c r="J22" s="9">
        <f t="shared" si="10"/>
        <v>0</v>
      </c>
      <c r="K22" s="9">
        <f t="shared" si="10"/>
        <v>0</v>
      </c>
      <c r="L22" s="9">
        <f t="shared" si="10"/>
        <v>0</v>
      </c>
      <c r="M22" s="9">
        <f t="shared" si="10"/>
        <v>15958477.73</v>
      </c>
      <c r="N22" s="9">
        <f t="shared" si="10"/>
        <v>6016849.7300000004</v>
      </c>
      <c r="O22" s="9">
        <f t="shared" si="10"/>
        <v>0</v>
      </c>
      <c r="P22" s="9">
        <f t="shared" si="10"/>
        <v>6016849.7300000004</v>
      </c>
      <c r="Q22" s="9">
        <f t="shared" si="10"/>
        <v>0</v>
      </c>
      <c r="R22" s="9">
        <f t="shared" si="10"/>
        <v>0</v>
      </c>
      <c r="S22" s="9">
        <f t="shared" si="10"/>
        <v>0</v>
      </c>
      <c r="T22" s="9">
        <f t="shared" si="10"/>
        <v>0</v>
      </c>
      <c r="U22" s="9">
        <f t="shared" si="10"/>
        <v>6016849.7300000004</v>
      </c>
      <c r="V22" s="9">
        <f t="shared" si="10"/>
        <v>21975327.459999997</v>
      </c>
      <c r="W22" s="9">
        <f t="shared" si="10"/>
        <v>0</v>
      </c>
      <c r="X22" s="9">
        <f t="shared" si="10"/>
        <v>21975327.459999997</v>
      </c>
      <c r="Y22" s="9">
        <f t="shared" si="10"/>
        <v>0</v>
      </c>
      <c r="Z22" s="9">
        <f t="shared" si="10"/>
        <v>0</v>
      </c>
      <c r="AA22" s="9">
        <f t="shared" si="10"/>
        <v>21975327.459999997</v>
      </c>
      <c r="AB22" s="9">
        <f t="shared" si="10"/>
        <v>0</v>
      </c>
    </row>
    <row r="23" spans="1:28" x14ac:dyDescent="0.3">
      <c r="A23" s="64"/>
      <c r="C23" s="8"/>
      <c r="D23" s="8"/>
      <c r="E23" s="17" t="s">
        <v>29</v>
      </c>
      <c r="F23" s="17" t="s">
        <v>29</v>
      </c>
      <c r="G23" s="17" t="s">
        <v>29</v>
      </c>
      <c r="H23" s="17" t="s">
        <v>29</v>
      </c>
      <c r="I23" s="17" t="s">
        <v>29</v>
      </c>
      <c r="J23" s="17" t="s">
        <v>29</v>
      </c>
      <c r="K23" s="17" t="s">
        <v>29</v>
      </c>
      <c r="L23" s="17" t="s">
        <v>29</v>
      </c>
      <c r="M23" s="17" t="s">
        <v>29</v>
      </c>
      <c r="N23" s="17" t="s">
        <v>29</v>
      </c>
      <c r="O23" s="17" t="s">
        <v>29</v>
      </c>
      <c r="P23" s="17" t="s">
        <v>29</v>
      </c>
      <c r="Q23" s="17" t="s">
        <v>29</v>
      </c>
      <c r="R23" s="17" t="s">
        <v>29</v>
      </c>
      <c r="S23" s="17" t="s">
        <v>29</v>
      </c>
      <c r="T23" s="17" t="s">
        <v>29</v>
      </c>
      <c r="U23" s="17" t="s">
        <v>29</v>
      </c>
      <c r="V23" s="17" t="s">
        <v>29</v>
      </c>
      <c r="W23" s="17" t="s">
        <v>29</v>
      </c>
      <c r="X23" s="17" t="s">
        <v>29</v>
      </c>
      <c r="Y23" s="17" t="s">
        <v>29</v>
      </c>
      <c r="Z23" s="17" t="s">
        <v>29</v>
      </c>
      <c r="AA23" s="17" t="s">
        <v>29</v>
      </c>
      <c r="AB23" s="17" t="s">
        <v>29</v>
      </c>
    </row>
    <row r="24" spans="1:28" x14ac:dyDescent="0.3">
      <c r="A24" s="64"/>
      <c r="C24" s="8"/>
      <c r="D24" s="8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58"/>
    </row>
    <row r="25" spans="1:28" x14ac:dyDescent="0.3">
      <c r="A25" s="63" t="s">
        <v>935</v>
      </c>
      <c r="B25" s="7" t="s">
        <v>63</v>
      </c>
      <c r="D25" s="15" t="s">
        <v>64</v>
      </c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8" x14ac:dyDescent="0.3">
      <c r="A26" s="64"/>
      <c r="C26" s="7" t="s">
        <v>51</v>
      </c>
      <c r="D26" s="14" t="s">
        <v>65</v>
      </c>
      <c r="E26" s="9">
        <v>8606161.6400000006</v>
      </c>
      <c r="F26" s="9">
        <v>6205760.2999999998</v>
      </c>
      <c r="G26" s="8"/>
      <c r="H26" s="9">
        <f t="shared" ref="H26:H43" si="11">F26+G26</f>
        <v>6205760.2999999998</v>
      </c>
      <c r="I26" s="8"/>
      <c r="J26" s="8"/>
      <c r="K26" s="8"/>
      <c r="L26" s="9"/>
      <c r="M26" s="9">
        <f t="shared" ref="M26:M43" si="12">H26+L26</f>
        <v>6205760.2999999998</v>
      </c>
      <c r="N26" s="9">
        <f>1639205.46+761195.88</f>
        <v>2400401.34</v>
      </c>
      <c r="O26" s="8"/>
      <c r="P26" s="9">
        <f t="shared" ref="P26:P43" si="13">N26+O26</f>
        <v>2400401.34</v>
      </c>
      <c r="Q26" s="8"/>
      <c r="R26" s="8"/>
      <c r="S26" s="8"/>
      <c r="T26" s="9"/>
      <c r="U26" s="9">
        <f t="shared" ref="U26:U43" si="14">P26+T26</f>
        <v>2400401.34</v>
      </c>
      <c r="V26" s="9">
        <f t="shared" ref="V26:V43" si="15">P26+H26</f>
        <v>8606161.6400000006</v>
      </c>
      <c r="W26" s="9">
        <f t="shared" ref="W26:W43" si="16">E26-V26</f>
        <v>0</v>
      </c>
      <c r="X26" s="9">
        <f t="shared" ref="X26:X43" si="17">+H26+P26</f>
        <v>8606161.6400000006</v>
      </c>
      <c r="Y26" s="8"/>
      <c r="Z26" s="9">
        <f t="shared" ref="Z26:Z43" si="18">+E26-X26</f>
        <v>0</v>
      </c>
      <c r="AA26" s="8">
        <f t="shared" ref="AA26:AA43" si="19">+M26+U26</f>
        <v>8606161.6400000006</v>
      </c>
      <c r="AB26" s="8">
        <f t="shared" ref="AB26:AB43" si="20">+E26-AA26</f>
        <v>0</v>
      </c>
    </row>
    <row r="27" spans="1:28" x14ac:dyDescent="0.3">
      <c r="A27" s="64"/>
      <c r="C27" s="7" t="s">
        <v>66</v>
      </c>
      <c r="D27" s="15" t="s">
        <v>67</v>
      </c>
      <c r="E27" s="9">
        <v>3000000</v>
      </c>
      <c r="F27" s="9">
        <v>3000000</v>
      </c>
      <c r="G27" s="8"/>
      <c r="H27" s="9">
        <f t="shared" si="11"/>
        <v>3000000</v>
      </c>
      <c r="I27" s="8"/>
      <c r="J27" s="8"/>
      <c r="K27" s="8"/>
      <c r="L27" s="9"/>
      <c r="M27" s="9">
        <f t="shared" si="12"/>
        <v>3000000</v>
      </c>
      <c r="N27" s="9">
        <v>0</v>
      </c>
      <c r="O27" s="8"/>
      <c r="P27" s="9">
        <f t="shared" si="13"/>
        <v>0</v>
      </c>
      <c r="Q27" s="8"/>
      <c r="R27" s="8"/>
      <c r="S27" s="8"/>
      <c r="T27" s="9"/>
      <c r="U27" s="9">
        <f t="shared" si="14"/>
        <v>0</v>
      </c>
      <c r="V27" s="9">
        <f t="shared" si="15"/>
        <v>3000000</v>
      </c>
      <c r="W27" s="9">
        <f t="shared" si="16"/>
        <v>0</v>
      </c>
      <c r="X27" s="9">
        <f t="shared" si="17"/>
        <v>3000000</v>
      </c>
      <c r="Y27" s="8"/>
      <c r="Z27" s="9">
        <f t="shared" si="18"/>
        <v>0</v>
      </c>
      <c r="AA27" s="8">
        <f t="shared" si="19"/>
        <v>3000000</v>
      </c>
      <c r="AB27" s="8">
        <f t="shared" si="20"/>
        <v>0</v>
      </c>
    </row>
    <row r="28" spans="1:28" x14ac:dyDescent="0.3">
      <c r="A28" s="64"/>
      <c r="C28" s="7" t="s">
        <v>55</v>
      </c>
      <c r="D28" s="15" t="s">
        <v>68</v>
      </c>
      <c r="E28" s="9">
        <v>2778930.01</v>
      </c>
      <c r="F28" s="9">
        <v>0</v>
      </c>
      <c r="G28" s="8"/>
      <c r="H28" s="9">
        <f t="shared" si="11"/>
        <v>0</v>
      </c>
      <c r="I28" s="8"/>
      <c r="J28" s="8"/>
      <c r="K28" s="8"/>
      <c r="L28" s="9"/>
      <c r="M28" s="9">
        <f t="shared" si="12"/>
        <v>0</v>
      </c>
      <c r="N28" s="9">
        <v>2778930.01</v>
      </c>
      <c r="O28" s="8"/>
      <c r="P28" s="9">
        <f t="shared" si="13"/>
        <v>2778930.01</v>
      </c>
      <c r="Q28" s="8"/>
      <c r="R28" s="8"/>
      <c r="S28" s="8"/>
      <c r="T28" s="9"/>
      <c r="U28" s="9">
        <f t="shared" si="14"/>
        <v>2778930.01</v>
      </c>
      <c r="V28" s="9">
        <f t="shared" si="15"/>
        <v>2778930.01</v>
      </c>
      <c r="W28" s="9">
        <f t="shared" si="16"/>
        <v>0</v>
      </c>
      <c r="X28" s="9">
        <f t="shared" si="17"/>
        <v>2778930.01</v>
      </c>
      <c r="Y28" s="8"/>
      <c r="Z28" s="9">
        <f t="shared" si="18"/>
        <v>0</v>
      </c>
      <c r="AA28" s="8">
        <f t="shared" si="19"/>
        <v>2778930.01</v>
      </c>
      <c r="AB28" s="8">
        <f t="shared" si="20"/>
        <v>0</v>
      </c>
    </row>
    <row r="29" spans="1:28" x14ac:dyDescent="0.3">
      <c r="A29" s="64"/>
      <c r="C29" s="7" t="s">
        <v>53</v>
      </c>
      <c r="D29" s="15" t="s">
        <v>68</v>
      </c>
      <c r="E29" s="9">
        <v>2306106</v>
      </c>
      <c r="F29" s="9">
        <v>0</v>
      </c>
      <c r="G29" s="8"/>
      <c r="H29" s="9">
        <f t="shared" si="11"/>
        <v>0</v>
      </c>
      <c r="I29" s="8"/>
      <c r="J29" s="8"/>
      <c r="K29" s="8"/>
      <c r="L29" s="9"/>
      <c r="M29" s="9">
        <f t="shared" si="12"/>
        <v>0</v>
      </c>
      <c r="N29" s="9">
        <v>2306106</v>
      </c>
      <c r="O29" s="8"/>
      <c r="P29" s="9">
        <f t="shared" si="13"/>
        <v>2306106</v>
      </c>
      <c r="Q29" s="8"/>
      <c r="R29" s="8"/>
      <c r="S29" s="8"/>
      <c r="T29" s="9"/>
      <c r="U29" s="9">
        <f t="shared" si="14"/>
        <v>2306106</v>
      </c>
      <c r="V29" s="9">
        <f t="shared" si="15"/>
        <v>2306106</v>
      </c>
      <c r="W29" s="9">
        <f t="shared" si="16"/>
        <v>0</v>
      </c>
      <c r="X29" s="9">
        <f t="shared" si="17"/>
        <v>2306106</v>
      </c>
      <c r="Y29" s="8"/>
      <c r="Z29" s="9">
        <f t="shared" si="18"/>
        <v>0</v>
      </c>
      <c r="AA29" s="8">
        <f t="shared" si="19"/>
        <v>2306106</v>
      </c>
      <c r="AB29" s="8">
        <f t="shared" si="20"/>
        <v>0</v>
      </c>
    </row>
    <row r="30" spans="1:28" x14ac:dyDescent="0.3">
      <c r="A30" s="64"/>
      <c r="C30" s="7" t="s">
        <v>69</v>
      </c>
      <c r="D30" s="15" t="s">
        <v>54</v>
      </c>
      <c r="E30" s="9">
        <v>955345.62</v>
      </c>
      <c r="F30" s="9">
        <v>0</v>
      </c>
      <c r="G30" s="8"/>
      <c r="H30" s="9">
        <f t="shared" si="11"/>
        <v>0</v>
      </c>
      <c r="I30" s="8"/>
      <c r="J30" s="8"/>
      <c r="K30" s="8"/>
      <c r="L30" s="9"/>
      <c r="M30" s="9">
        <f t="shared" si="12"/>
        <v>0</v>
      </c>
      <c r="N30" s="9">
        <v>955345.62</v>
      </c>
      <c r="O30" s="8"/>
      <c r="P30" s="9">
        <f t="shared" si="13"/>
        <v>955345.62</v>
      </c>
      <c r="Q30" s="8"/>
      <c r="R30" s="8"/>
      <c r="S30" s="8"/>
      <c r="T30" s="9"/>
      <c r="U30" s="9">
        <f t="shared" si="14"/>
        <v>955345.62</v>
      </c>
      <c r="V30" s="9">
        <f t="shared" si="15"/>
        <v>955345.62</v>
      </c>
      <c r="W30" s="9">
        <f t="shared" si="16"/>
        <v>0</v>
      </c>
      <c r="X30" s="9">
        <f t="shared" si="17"/>
        <v>955345.62</v>
      </c>
      <c r="Y30" s="8"/>
      <c r="Z30" s="9">
        <f t="shared" si="18"/>
        <v>0</v>
      </c>
      <c r="AA30" s="8">
        <f t="shared" si="19"/>
        <v>955345.62</v>
      </c>
      <c r="AB30" s="8">
        <f t="shared" si="20"/>
        <v>0</v>
      </c>
    </row>
    <row r="31" spans="1:28" x14ac:dyDescent="0.3">
      <c r="A31" s="64"/>
      <c r="C31" s="7" t="s">
        <v>57</v>
      </c>
      <c r="D31" s="15" t="s">
        <v>58</v>
      </c>
      <c r="E31" s="9">
        <v>2873840</v>
      </c>
      <c r="F31" s="9">
        <v>2873840</v>
      </c>
      <c r="G31" s="8"/>
      <c r="H31" s="9">
        <f t="shared" si="11"/>
        <v>2873840</v>
      </c>
      <c r="I31" s="9"/>
      <c r="J31" s="8"/>
      <c r="K31" s="9"/>
      <c r="L31" s="9"/>
      <c r="M31" s="9">
        <f t="shared" si="12"/>
        <v>2873840</v>
      </c>
      <c r="N31" s="9">
        <v>0</v>
      </c>
      <c r="O31" s="8"/>
      <c r="P31" s="9">
        <f t="shared" si="13"/>
        <v>0</v>
      </c>
      <c r="Q31" s="8"/>
      <c r="R31" s="8"/>
      <c r="S31" s="8"/>
      <c r="T31" s="9"/>
      <c r="U31" s="9">
        <f t="shared" si="14"/>
        <v>0</v>
      </c>
      <c r="V31" s="9">
        <f t="shared" si="15"/>
        <v>2873840</v>
      </c>
      <c r="W31" s="9">
        <f t="shared" si="16"/>
        <v>0</v>
      </c>
      <c r="X31" s="9">
        <f t="shared" si="17"/>
        <v>2873840</v>
      </c>
      <c r="Y31" s="8"/>
      <c r="Z31" s="9">
        <f t="shared" si="18"/>
        <v>0</v>
      </c>
      <c r="AA31" s="8">
        <f t="shared" si="19"/>
        <v>2873840</v>
      </c>
      <c r="AB31" s="8">
        <f t="shared" si="20"/>
        <v>0</v>
      </c>
    </row>
    <row r="32" spans="1:28" x14ac:dyDescent="0.3">
      <c r="A32" s="64"/>
      <c r="C32" s="7" t="s">
        <v>57</v>
      </c>
      <c r="D32" s="15" t="s">
        <v>60</v>
      </c>
      <c r="E32" s="9">
        <v>3140986.95</v>
      </c>
      <c r="F32" s="11">
        <v>3140986.95</v>
      </c>
      <c r="G32" s="8"/>
      <c r="H32" s="9">
        <f t="shared" si="11"/>
        <v>3140986.95</v>
      </c>
      <c r="I32" s="9"/>
      <c r="J32" s="8"/>
      <c r="K32" s="9"/>
      <c r="L32" s="9"/>
      <c r="M32" s="9">
        <f t="shared" si="12"/>
        <v>3140986.95</v>
      </c>
      <c r="N32" s="9">
        <v>0</v>
      </c>
      <c r="O32" s="8"/>
      <c r="P32" s="9">
        <f t="shared" si="13"/>
        <v>0</v>
      </c>
      <c r="Q32" s="8"/>
      <c r="R32" s="8"/>
      <c r="S32" s="8"/>
      <c r="T32" s="9"/>
      <c r="U32" s="9">
        <f t="shared" si="14"/>
        <v>0</v>
      </c>
      <c r="V32" s="9">
        <f t="shared" si="15"/>
        <v>3140986.95</v>
      </c>
      <c r="W32" s="9">
        <f t="shared" si="16"/>
        <v>0</v>
      </c>
      <c r="X32" s="9">
        <f t="shared" si="17"/>
        <v>3140986.95</v>
      </c>
      <c r="Y32" s="8"/>
      <c r="Z32" s="9">
        <f t="shared" si="18"/>
        <v>0</v>
      </c>
      <c r="AA32" s="8">
        <f t="shared" si="19"/>
        <v>3140986.95</v>
      </c>
      <c r="AB32" s="8">
        <f t="shared" si="20"/>
        <v>0</v>
      </c>
    </row>
    <row r="33" spans="1:28" x14ac:dyDescent="0.3">
      <c r="A33" s="64"/>
      <c r="C33" s="14" t="s">
        <v>59</v>
      </c>
      <c r="D33" s="15" t="s">
        <v>60</v>
      </c>
      <c r="E33" s="9">
        <v>2500000</v>
      </c>
      <c r="F33" s="11">
        <v>2500000</v>
      </c>
      <c r="G33" s="8"/>
      <c r="H33" s="9">
        <f t="shared" si="11"/>
        <v>2500000</v>
      </c>
      <c r="I33" s="9"/>
      <c r="J33" s="8"/>
      <c r="K33" s="9"/>
      <c r="L33" s="9"/>
      <c r="M33" s="9">
        <f t="shared" si="12"/>
        <v>2500000</v>
      </c>
      <c r="N33" s="9">
        <v>0</v>
      </c>
      <c r="O33" s="8"/>
      <c r="P33" s="9">
        <f t="shared" si="13"/>
        <v>0</v>
      </c>
      <c r="Q33" s="8"/>
      <c r="R33" s="8"/>
      <c r="S33" s="8"/>
      <c r="T33" s="9"/>
      <c r="U33" s="9">
        <f t="shared" si="14"/>
        <v>0</v>
      </c>
      <c r="V33" s="9">
        <f t="shared" si="15"/>
        <v>2500000</v>
      </c>
      <c r="W33" s="9">
        <f t="shared" si="16"/>
        <v>0</v>
      </c>
      <c r="X33" s="9">
        <f t="shared" si="17"/>
        <v>2500000</v>
      </c>
      <c r="Y33" s="8"/>
      <c r="Z33" s="9">
        <f t="shared" si="18"/>
        <v>0</v>
      </c>
      <c r="AA33" s="8">
        <f t="shared" si="19"/>
        <v>2500000</v>
      </c>
      <c r="AB33" s="8">
        <f t="shared" si="20"/>
        <v>0</v>
      </c>
    </row>
    <row r="34" spans="1:28" x14ac:dyDescent="0.3">
      <c r="A34" s="64"/>
      <c r="C34" s="7" t="s">
        <v>62</v>
      </c>
      <c r="D34" s="8"/>
      <c r="E34" s="9">
        <v>285500</v>
      </c>
      <c r="F34" s="9">
        <v>285500</v>
      </c>
      <c r="G34" s="8"/>
      <c r="H34" s="9">
        <f t="shared" si="11"/>
        <v>285500</v>
      </c>
      <c r="I34" s="8"/>
      <c r="J34" s="8"/>
      <c r="K34" s="8"/>
      <c r="L34" s="9"/>
      <c r="M34" s="9">
        <f t="shared" si="12"/>
        <v>285500</v>
      </c>
      <c r="N34" s="9">
        <v>0</v>
      </c>
      <c r="O34" s="8"/>
      <c r="P34" s="9">
        <f t="shared" si="13"/>
        <v>0</v>
      </c>
      <c r="Q34" s="8"/>
      <c r="R34" s="8"/>
      <c r="S34" s="8"/>
      <c r="T34" s="9"/>
      <c r="U34" s="9">
        <f t="shared" si="14"/>
        <v>0</v>
      </c>
      <c r="V34" s="9">
        <f t="shared" si="15"/>
        <v>285500</v>
      </c>
      <c r="W34" s="9">
        <f t="shared" si="16"/>
        <v>0</v>
      </c>
      <c r="X34" s="9">
        <f t="shared" si="17"/>
        <v>285500</v>
      </c>
      <c r="Y34" s="8"/>
      <c r="Z34" s="9">
        <f t="shared" si="18"/>
        <v>0</v>
      </c>
      <c r="AA34" s="8">
        <f t="shared" si="19"/>
        <v>285500</v>
      </c>
      <c r="AB34" s="8">
        <f t="shared" si="20"/>
        <v>0</v>
      </c>
    </row>
    <row r="35" spans="1:28" x14ac:dyDescent="0.3">
      <c r="A35" s="64"/>
      <c r="C35" s="7" t="s">
        <v>70</v>
      </c>
      <c r="D35" s="7" t="s">
        <v>71</v>
      </c>
      <c r="E35" s="9">
        <v>3091000</v>
      </c>
      <c r="F35" s="9">
        <v>3091000</v>
      </c>
      <c r="G35" s="8"/>
      <c r="H35" s="9">
        <f t="shared" si="11"/>
        <v>3091000</v>
      </c>
      <c r="I35" s="8"/>
      <c r="J35" s="8"/>
      <c r="K35" s="8"/>
      <c r="L35" s="9"/>
      <c r="M35" s="9">
        <f t="shared" si="12"/>
        <v>3091000</v>
      </c>
      <c r="N35" s="9">
        <v>0</v>
      </c>
      <c r="O35" s="8"/>
      <c r="P35" s="9">
        <f t="shared" si="13"/>
        <v>0</v>
      </c>
      <c r="Q35" s="8"/>
      <c r="R35" s="8"/>
      <c r="S35" s="8"/>
      <c r="T35" s="9"/>
      <c r="U35" s="9">
        <f t="shared" si="14"/>
        <v>0</v>
      </c>
      <c r="V35" s="9">
        <f t="shared" si="15"/>
        <v>3091000</v>
      </c>
      <c r="W35" s="9">
        <f t="shared" si="16"/>
        <v>0</v>
      </c>
      <c r="X35" s="9">
        <f t="shared" si="17"/>
        <v>3091000</v>
      </c>
      <c r="Y35" s="8"/>
      <c r="Z35" s="9">
        <f t="shared" si="18"/>
        <v>0</v>
      </c>
      <c r="AA35" s="8">
        <f t="shared" si="19"/>
        <v>3091000</v>
      </c>
      <c r="AB35" s="8">
        <f t="shared" si="20"/>
        <v>0</v>
      </c>
    </row>
    <row r="36" spans="1:28" x14ac:dyDescent="0.3">
      <c r="A36" s="64"/>
      <c r="C36" s="14" t="s">
        <v>72</v>
      </c>
      <c r="D36" s="21" t="s">
        <v>60</v>
      </c>
      <c r="E36" s="9">
        <v>800000</v>
      </c>
      <c r="F36" s="11">
        <v>800000</v>
      </c>
      <c r="G36" s="8"/>
      <c r="H36" s="9">
        <f t="shared" si="11"/>
        <v>800000</v>
      </c>
      <c r="I36" s="8"/>
      <c r="J36" s="8"/>
      <c r="K36" s="8"/>
      <c r="L36" s="9"/>
      <c r="M36" s="9">
        <f t="shared" si="12"/>
        <v>800000</v>
      </c>
      <c r="N36" s="9">
        <v>0</v>
      </c>
      <c r="O36" s="8"/>
      <c r="P36" s="9">
        <f t="shared" si="13"/>
        <v>0</v>
      </c>
      <c r="Q36" s="8"/>
      <c r="R36" s="8"/>
      <c r="S36" s="8"/>
      <c r="T36" s="9"/>
      <c r="U36" s="9">
        <f t="shared" si="14"/>
        <v>0</v>
      </c>
      <c r="V36" s="9">
        <f t="shared" si="15"/>
        <v>800000</v>
      </c>
      <c r="W36" s="9">
        <f t="shared" si="16"/>
        <v>0</v>
      </c>
      <c r="X36" s="9">
        <f t="shared" si="17"/>
        <v>800000</v>
      </c>
      <c r="Y36" s="8"/>
      <c r="Z36" s="9">
        <f t="shared" si="18"/>
        <v>0</v>
      </c>
      <c r="AA36" s="8">
        <f t="shared" si="19"/>
        <v>800000</v>
      </c>
      <c r="AB36" s="8">
        <f t="shared" si="20"/>
        <v>0</v>
      </c>
    </row>
    <row r="37" spans="1:28" x14ac:dyDescent="0.3">
      <c r="A37" s="64"/>
      <c r="C37" s="14" t="s">
        <v>1135</v>
      </c>
      <c r="D37" s="24" t="s">
        <v>1126</v>
      </c>
      <c r="E37" s="9">
        <v>800000</v>
      </c>
      <c r="F37" s="11">
        <v>800000</v>
      </c>
      <c r="G37" s="8"/>
      <c r="H37" s="9">
        <f>+F37+G37</f>
        <v>800000</v>
      </c>
      <c r="I37" s="8"/>
      <c r="J37" s="8"/>
      <c r="K37" s="8"/>
      <c r="L37" s="9"/>
      <c r="M37" s="9">
        <f t="shared" si="12"/>
        <v>800000</v>
      </c>
      <c r="N37" s="9">
        <v>0</v>
      </c>
      <c r="O37" s="8"/>
      <c r="P37" s="9">
        <f t="shared" si="13"/>
        <v>0</v>
      </c>
      <c r="Q37" s="8"/>
      <c r="R37" s="8"/>
      <c r="S37" s="8"/>
      <c r="T37" s="9"/>
      <c r="U37" s="9">
        <f t="shared" si="14"/>
        <v>0</v>
      </c>
      <c r="V37" s="9">
        <f t="shared" si="15"/>
        <v>800000</v>
      </c>
      <c r="W37" s="9">
        <f t="shared" si="16"/>
        <v>0</v>
      </c>
      <c r="X37" s="9">
        <f t="shared" si="17"/>
        <v>800000</v>
      </c>
      <c r="Y37" s="8"/>
      <c r="Z37" s="9">
        <f t="shared" si="18"/>
        <v>0</v>
      </c>
      <c r="AA37" s="8">
        <f t="shared" si="19"/>
        <v>800000</v>
      </c>
      <c r="AB37" s="8">
        <f t="shared" si="20"/>
        <v>0</v>
      </c>
    </row>
    <row r="38" spans="1:28" x14ac:dyDescent="0.3">
      <c r="A38" s="64"/>
      <c r="C38" s="14" t="s">
        <v>1152</v>
      </c>
      <c r="D38" s="24" t="s">
        <v>1126</v>
      </c>
      <c r="E38" s="9">
        <v>400000</v>
      </c>
      <c r="F38" s="11">
        <v>400000</v>
      </c>
      <c r="G38" s="8"/>
      <c r="H38" s="9">
        <f>+F38+G38</f>
        <v>400000</v>
      </c>
      <c r="I38" s="8"/>
      <c r="J38" s="8"/>
      <c r="K38" s="8"/>
      <c r="L38" s="9"/>
      <c r="M38" s="9">
        <f t="shared" si="12"/>
        <v>400000</v>
      </c>
      <c r="N38" s="9">
        <v>0</v>
      </c>
      <c r="O38" s="8"/>
      <c r="P38" s="9">
        <f t="shared" si="13"/>
        <v>0</v>
      </c>
      <c r="Q38" s="8"/>
      <c r="R38" s="8"/>
      <c r="S38" s="8"/>
      <c r="T38" s="9"/>
      <c r="U38" s="9">
        <f t="shared" si="14"/>
        <v>0</v>
      </c>
      <c r="V38" s="9">
        <f t="shared" si="15"/>
        <v>400000</v>
      </c>
      <c r="W38" s="9">
        <f t="shared" si="16"/>
        <v>0</v>
      </c>
      <c r="X38" s="9">
        <f t="shared" si="17"/>
        <v>400000</v>
      </c>
      <c r="Y38" s="8"/>
      <c r="Z38" s="9">
        <f t="shared" si="18"/>
        <v>0</v>
      </c>
      <c r="AA38" s="8">
        <f t="shared" si="19"/>
        <v>400000</v>
      </c>
      <c r="AB38" s="8">
        <f t="shared" si="20"/>
        <v>0</v>
      </c>
    </row>
    <row r="39" spans="1:28" x14ac:dyDescent="0.3">
      <c r="A39" s="64"/>
      <c r="C39" s="14" t="s">
        <v>930</v>
      </c>
      <c r="D39" s="21"/>
      <c r="E39" s="9">
        <f>1661910.17+2658909.66</f>
        <v>4320819.83</v>
      </c>
      <c r="F39" s="11">
        <v>4320819.83</v>
      </c>
      <c r="G39" s="8"/>
      <c r="H39" s="9">
        <f>+F39+G39</f>
        <v>4320819.83</v>
      </c>
      <c r="I39" s="8"/>
      <c r="J39" s="8"/>
      <c r="K39" s="8"/>
      <c r="L39" s="9"/>
      <c r="M39" s="9">
        <f>+H39+L39</f>
        <v>4320819.83</v>
      </c>
      <c r="N39" s="9">
        <v>0</v>
      </c>
      <c r="O39" s="8"/>
      <c r="P39" s="9">
        <f>+N39+O39</f>
        <v>0</v>
      </c>
      <c r="Q39" s="8"/>
      <c r="R39" s="8"/>
      <c r="S39" s="8"/>
      <c r="T39" s="9"/>
      <c r="U39" s="9">
        <f>P39+T39</f>
        <v>0</v>
      </c>
      <c r="V39" s="9">
        <f>P39+H39</f>
        <v>4320819.83</v>
      </c>
      <c r="W39" s="9">
        <f>E39-V39</f>
        <v>0</v>
      </c>
      <c r="X39" s="9">
        <f t="shared" si="17"/>
        <v>4320819.83</v>
      </c>
      <c r="Y39" s="8"/>
      <c r="Z39" s="9">
        <f t="shared" si="18"/>
        <v>0</v>
      </c>
      <c r="AA39" s="8">
        <f t="shared" si="19"/>
        <v>4320819.83</v>
      </c>
      <c r="AB39" s="8">
        <f t="shared" si="20"/>
        <v>0</v>
      </c>
    </row>
    <row r="40" spans="1:28" x14ac:dyDescent="0.3">
      <c r="A40" s="64"/>
      <c r="C40" s="14" t="s">
        <v>1176</v>
      </c>
      <c r="D40" s="24" t="s">
        <v>1126</v>
      </c>
      <c r="E40" s="9">
        <v>1640552.5</v>
      </c>
      <c r="F40" s="8">
        <v>1640552.5</v>
      </c>
      <c r="G40" s="8"/>
      <c r="H40" s="9">
        <f>+F40+G40</f>
        <v>1640552.5</v>
      </c>
      <c r="I40" s="8"/>
      <c r="J40" s="8"/>
      <c r="K40" s="8"/>
      <c r="L40" s="9"/>
      <c r="M40" s="9">
        <f>+H40+L40</f>
        <v>1640552.5</v>
      </c>
      <c r="N40" s="9">
        <v>0</v>
      </c>
      <c r="O40" s="8"/>
      <c r="P40" s="9">
        <f>+N40+O40</f>
        <v>0</v>
      </c>
      <c r="Q40" s="8"/>
      <c r="R40" s="8"/>
      <c r="S40" s="8"/>
      <c r="T40" s="9"/>
      <c r="U40" s="9">
        <f>P40+T40</f>
        <v>0</v>
      </c>
      <c r="V40" s="9">
        <f>P40+H40</f>
        <v>1640552.5</v>
      </c>
      <c r="W40" s="9"/>
      <c r="X40" s="9">
        <f t="shared" si="17"/>
        <v>1640552.5</v>
      </c>
      <c r="Y40" s="8"/>
      <c r="Z40" s="9">
        <f t="shared" si="18"/>
        <v>0</v>
      </c>
      <c r="AA40" s="8">
        <f t="shared" si="19"/>
        <v>1640552.5</v>
      </c>
      <c r="AB40" s="8">
        <f t="shared" si="20"/>
        <v>0</v>
      </c>
    </row>
    <row r="41" spans="1:28" x14ac:dyDescent="0.3">
      <c r="A41" s="64"/>
      <c r="C41" s="14" t="s">
        <v>1084</v>
      </c>
      <c r="D41" s="24" t="s">
        <v>1072</v>
      </c>
      <c r="E41" s="9">
        <v>2010322.54</v>
      </c>
      <c r="F41" s="11">
        <v>2010322.54</v>
      </c>
      <c r="G41" s="8"/>
      <c r="H41" s="9">
        <f>+F41+G41</f>
        <v>2010322.54</v>
      </c>
      <c r="I41" s="8"/>
      <c r="J41" s="8"/>
      <c r="K41" s="8"/>
      <c r="L41" s="9"/>
      <c r="M41" s="9">
        <f>+H41+L41</f>
        <v>2010322.54</v>
      </c>
      <c r="N41" s="9">
        <v>0</v>
      </c>
      <c r="O41" s="8"/>
      <c r="P41" s="9">
        <f>+N41+O41</f>
        <v>0</v>
      </c>
      <c r="Q41" s="8"/>
      <c r="R41" s="8"/>
      <c r="S41" s="8"/>
      <c r="T41" s="9"/>
      <c r="U41" s="9">
        <f>P41+T41</f>
        <v>0</v>
      </c>
      <c r="V41" s="9">
        <f>P41+H41</f>
        <v>2010322.54</v>
      </c>
      <c r="W41" s="9"/>
      <c r="X41" s="9">
        <f t="shared" si="17"/>
        <v>2010322.54</v>
      </c>
      <c r="Y41" s="8"/>
      <c r="Z41" s="9">
        <f t="shared" si="18"/>
        <v>0</v>
      </c>
      <c r="AA41" s="8">
        <f t="shared" si="19"/>
        <v>2010322.54</v>
      </c>
      <c r="AB41" s="8">
        <f t="shared" si="20"/>
        <v>0</v>
      </c>
    </row>
    <row r="42" spans="1:28" x14ac:dyDescent="0.3">
      <c r="A42" s="64"/>
      <c r="C42" s="7" t="s">
        <v>57</v>
      </c>
      <c r="D42" s="15" t="s">
        <v>73</v>
      </c>
      <c r="E42" s="9">
        <v>2562940</v>
      </c>
      <c r="F42" s="11">
        <v>2562940</v>
      </c>
      <c r="G42" s="8"/>
      <c r="H42" s="9">
        <f t="shared" si="11"/>
        <v>2562940</v>
      </c>
      <c r="I42" s="9"/>
      <c r="J42" s="8"/>
      <c r="K42" s="9"/>
      <c r="L42" s="9"/>
      <c r="M42" s="9">
        <f t="shared" si="12"/>
        <v>2562940</v>
      </c>
      <c r="N42" s="9">
        <v>0</v>
      </c>
      <c r="O42" s="8"/>
      <c r="P42" s="9">
        <f t="shared" si="13"/>
        <v>0</v>
      </c>
      <c r="Q42" s="8"/>
      <c r="R42" s="8"/>
      <c r="S42" s="8"/>
      <c r="T42" s="9"/>
      <c r="U42" s="9">
        <f t="shared" si="14"/>
        <v>0</v>
      </c>
      <c r="V42" s="9">
        <f t="shared" si="15"/>
        <v>2562940</v>
      </c>
      <c r="W42" s="9">
        <f t="shared" si="16"/>
        <v>0</v>
      </c>
      <c r="X42" s="9">
        <f t="shared" si="17"/>
        <v>2562940</v>
      </c>
      <c r="Y42" s="8"/>
      <c r="Z42" s="9">
        <f t="shared" si="18"/>
        <v>0</v>
      </c>
      <c r="AA42" s="8">
        <f t="shared" si="19"/>
        <v>2562940</v>
      </c>
      <c r="AB42" s="8">
        <f t="shared" si="20"/>
        <v>0</v>
      </c>
    </row>
    <row r="43" spans="1:28" x14ac:dyDescent="0.3">
      <c r="A43" s="64"/>
      <c r="C43" s="7" t="s">
        <v>57</v>
      </c>
      <c r="D43" s="16" t="s">
        <v>61</v>
      </c>
      <c r="E43" s="9">
        <f>622942.64+231760.46</f>
        <v>854703.1</v>
      </c>
      <c r="F43" s="11">
        <f>622942.64+231760.46</f>
        <v>854703.1</v>
      </c>
      <c r="G43" s="8"/>
      <c r="H43" s="9">
        <f t="shared" si="11"/>
        <v>854703.1</v>
      </c>
      <c r="I43" s="9"/>
      <c r="J43" s="8"/>
      <c r="K43" s="9"/>
      <c r="L43" s="9"/>
      <c r="M43" s="9">
        <f t="shared" si="12"/>
        <v>854703.1</v>
      </c>
      <c r="N43" s="9">
        <v>0</v>
      </c>
      <c r="O43" s="8"/>
      <c r="P43" s="9">
        <f t="shared" si="13"/>
        <v>0</v>
      </c>
      <c r="Q43" s="8"/>
      <c r="R43" s="8"/>
      <c r="S43" s="8"/>
      <c r="T43" s="9"/>
      <c r="U43" s="9">
        <f t="shared" si="14"/>
        <v>0</v>
      </c>
      <c r="V43" s="9">
        <f t="shared" si="15"/>
        <v>854703.1</v>
      </c>
      <c r="W43" s="9">
        <f t="shared" si="16"/>
        <v>0</v>
      </c>
      <c r="X43" s="9">
        <f t="shared" si="17"/>
        <v>854703.1</v>
      </c>
      <c r="Y43" s="8"/>
      <c r="Z43" s="9">
        <f t="shared" si="18"/>
        <v>0</v>
      </c>
      <c r="AA43" s="8">
        <f t="shared" si="19"/>
        <v>854703.1</v>
      </c>
      <c r="AB43" s="8">
        <f t="shared" si="20"/>
        <v>0</v>
      </c>
    </row>
    <row r="44" spans="1:28" x14ac:dyDescent="0.3">
      <c r="A44" s="64"/>
      <c r="C44" s="8"/>
      <c r="D44" s="8"/>
      <c r="E44" s="17" t="s">
        <v>29</v>
      </c>
      <c r="F44" s="17" t="s">
        <v>29</v>
      </c>
      <c r="G44" s="17" t="s">
        <v>29</v>
      </c>
      <c r="H44" s="17" t="s">
        <v>29</v>
      </c>
      <c r="I44" s="17" t="s">
        <v>29</v>
      </c>
      <c r="J44" s="17" t="s">
        <v>29</v>
      </c>
      <c r="K44" s="17" t="s">
        <v>29</v>
      </c>
      <c r="L44" s="17" t="s">
        <v>29</v>
      </c>
      <c r="M44" s="17" t="s">
        <v>29</v>
      </c>
      <c r="N44" s="17" t="s">
        <v>29</v>
      </c>
      <c r="O44" s="17" t="s">
        <v>29</v>
      </c>
      <c r="P44" s="17" t="s">
        <v>29</v>
      </c>
      <c r="Q44" s="17" t="s">
        <v>29</v>
      </c>
      <c r="R44" s="17" t="s">
        <v>29</v>
      </c>
      <c r="S44" s="17" t="s">
        <v>29</v>
      </c>
      <c r="T44" s="17" t="s">
        <v>29</v>
      </c>
      <c r="U44" s="17" t="s">
        <v>29</v>
      </c>
      <c r="V44" s="17" t="s">
        <v>29</v>
      </c>
      <c r="W44" s="17" t="s">
        <v>29</v>
      </c>
      <c r="X44" s="17" t="s">
        <v>29</v>
      </c>
      <c r="Y44" s="17" t="s">
        <v>29</v>
      </c>
      <c r="Z44" s="17" t="s">
        <v>29</v>
      </c>
      <c r="AA44" s="17" t="s">
        <v>29</v>
      </c>
      <c r="AB44" s="17" t="s">
        <v>29</v>
      </c>
    </row>
    <row r="45" spans="1:28" x14ac:dyDescent="0.3">
      <c r="A45" s="64"/>
      <c r="C45" s="9"/>
      <c r="D45" s="8"/>
      <c r="E45" s="9">
        <f t="shared" ref="E45:AB45" si="21">SUM(E26:E43)</f>
        <v>42927208.189999998</v>
      </c>
      <c r="F45" s="9">
        <f t="shared" si="21"/>
        <v>34486425.219999999</v>
      </c>
      <c r="G45" s="9">
        <f t="shared" si="21"/>
        <v>0</v>
      </c>
      <c r="H45" s="9">
        <f t="shared" si="21"/>
        <v>34486425.219999999</v>
      </c>
      <c r="I45" s="9">
        <f t="shared" si="21"/>
        <v>0</v>
      </c>
      <c r="J45" s="9">
        <f t="shared" si="21"/>
        <v>0</v>
      </c>
      <c r="K45" s="9">
        <f t="shared" si="21"/>
        <v>0</v>
      </c>
      <c r="L45" s="9">
        <f t="shared" si="21"/>
        <v>0</v>
      </c>
      <c r="M45" s="9">
        <f t="shared" si="21"/>
        <v>34486425.219999999</v>
      </c>
      <c r="N45" s="9">
        <f t="shared" si="21"/>
        <v>8440782.9699999988</v>
      </c>
      <c r="O45" s="9">
        <f t="shared" si="21"/>
        <v>0</v>
      </c>
      <c r="P45" s="9">
        <f t="shared" si="21"/>
        <v>8440782.9699999988</v>
      </c>
      <c r="Q45" s="9">
        <f t="shared" si="21"/>
        <v>0</v>
      </c>
      <c r="R45" s="9">
        <f t="shared" si="21"/>
        <v>0</v>
      </c>
      <c r="S45" s="9">
        <f t="shared" si="21"/>
        <v>0</v>
      </c>
      <c r="T45" s="9">
        <f t="shared" si="21"/>
        <v>0</v>
      </c>
      <c r="U45" s="9">
        <f t="shared" si="21"/>
        <v>8440782.9699999988</v>
      </c>
      <c r="V45" s="9">
        <f t="shared" si="21"/>
        <v>42927208.189999998</v>
      </c>
      <c r="W45" s="9">
        <f t="shared" si="21"/>
        <v>0</v>
      </c>
      <c r="X45" s="9">
        <f t="shared" si="21"/>
        <v>42927208.189999998</v>
      </c>
      <c r="Y45" s="9">
        <f t="shared" si="21"/>
        <v>0</v>
      </c>
      <c r="Z45" s="9">
        <f t="shared" si="21"/>
        <v>0</v>
      </c>
      <c r="AA45" s="9">
        <f t="shared" si="21"/>
        <v>42927208.189999998</v>
      </c>
      <c r="AB45" s="9">
        <f t="shared" si="21"/>
        <v>0</v>
      </c>
    </row>
    <row r="46" spans="1:28" x14ac:dyDescent="0.3">
      <c r="A46" s="64"/>
      <c r="C46" s="8"/>
      <c r="D46" s="8"/>
      <c r="E46" s="17" t="s">
        <v>29</v>
      </c>
      <c r="F46" s="17" t="s">
        <v>29</v>
      </c>
      <c r="G46" s="17" t="s">
        <v>29</v>
      </c>
      <c r="H46" s="17" t="s">
        <v>29</v>
      </c>
      <c r="I46" s="17" t="s">
        <v>29</v>
      </c>
      <c r="J46" s="17" t="s">
        <v>29</v>
      </c>
      <c r="K46" s="17" t="s">
        <v>29</v>
      </c>
      <c r="L46" s="17" t="s">
        <v>29</v>
      </c>
      <c r="M46" s="17" t="s">
        <v>29</v>
      </c>
      <c r="N46" s="17" t="s">
        <v>29</v>
      </c>
      <c r="O46" s="17" t="s">
        <v>29</v>
      </c>
      <c r="P46" s="17" t="s">
        <v>29</v>
      </c>
      <c r="Q46" s="17" t="s">
        <v>29</v>
      </c>
      <c r="R46" s="17" t="s">
        <v>29</v>
      </c>
      <c r="S46" s="17" t="s">
        <v>29</v>
      </c>
      <c r="T46" s="17" t="s">
        <v>29</v>
      </c>
      <c r="U46" s="17" t="s">
        <v>29</v>
      </c>
      <c r="V46" s="17" t="s">
        <v>29</v>
      </c>
      <c r="W46" s="17" t="s">
        <v>29</v>
      </c>
      <c r="X46" s="17" t="s">
        <v>29</v>
      </c>
      <c r="Y46" s="17" t="s">
        <v>29</v>
      </c>
      <c r="Z46" s="17" t="s">
        <v>29</v>
      </c>
      <c r="AA46" s="17" t="s">
        <v>29</v>
      </c>
      <c r="AB46" s="17" t="s">
        <v>29</v>
      </c>
    </row>
    <row r="47" spans="1:28" x14ac:dyDescent="0.3">
      <c r="A47" s="64"/>
      <c r="C47" s="8"/>
      <c r="D47" s="8"/>
      <c r="E47" s="22">
        <v>30337870.219999999</v>
      </c>
      <c r="F47" s="22">
        <v>21897087.25</v>
      </c>
      <c r="G47" s="22">
        <v>0</v>
      </c>
      <c r="H47" s="22">
        <v>21897087.25</v>
      </c>
      <c r="I47" s="22">
        <v>0</v>
      </c>
      <c r="J47" s="22">
        <v>0</v>
      </c>
      <c r="K47" s="22">
        <v>0</v>
      </c>
      <c r="L47" s="22">
        <v>0</v>
      </c>
      <c r="M47" s="22">
        <v>21897087.25</v>
      </c>
      <c r="N47" s="22">
        <v>8440782.9700000007</v>
      </c>
      <c r="O47" s="22">
        <v>0</v>
      </c>
      <c r="P47" s="22">
        <v>8440782.9700000007</v>
      </c>
      <c r="Q47" s="22"/>
      <c r="R47" s="22"/>
      <c r="S47" s="22"/>
      <c r="T47" s="22">
        <v>0</v>
      </c>
      <c r="U47" s="22">
        <v>8440782.9700000007</v>
      </c>
      <c r="V47" s="22"/>
      <c r="W47" s="22"/>
      <c r="X47" s="22">
        <f>+H45+P45</f>
        <v>42927208.189999998</v>
      </c>
      <c r="Y47" s="22"/>
      <c r="Z47" s="22">
        <v>0</v>
      </c>
      <c r="AA47" s="58"/>
    </row>
    <row r="48" spans="1:28" x14ac:dyDescent="0.3">
      <c r="A48" s="65" t="s">
        <v>936</v>
      </c>
      <c r="B48" s="7" t="s">
        <v>74</v>
      </c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8" x14ac:dyDescent="0.3">
      <c r="A49" s="64"/>
      <c r="C49" s="7" t="s">
        <v>75</v>
      </c>
      <c r="D49" s="21" t="s">
        <v>76</v>
      </c>
      <c r="E49" s="9">
        <v>11675000</v>
      </c>
      <c r="F49" s="9">
        <v>3454926</v>
      </c>
      <c r="G49" s="8"/>
      <c r="H49" s="9">
        <f>F49+G49</f>
        <v>3454926</v>
      </c>
      <c r="I49" s="8"/>
      <c r="J49" s="8"/>
      <c r="K49" s="8"/>
      <c r="L49" s="9"/>
      <c r="M49" s="9">
        <f>H49+L49</f>
        <v>3454926</v>
      </c>
      <c r="N49" s="9">
        <v>6737405.8899999997</v>
      </c>
      <c r="O49" s="8"/>
      <c r="P49" s="9">
        <f>N49+O49</f>
        <v>6737405.8899999997</v>
      </c>
      <c r="Q49" s="8"/>
      <c r="R49" s="8"/>
      <c r="S49" s="8"/>
      <c r="T49" s="9"/>
      <c r="U49" s="9">
        <f>P49+T49</f>
        <v>6737405.8899999997</v>
      </c>
      <c r="V49" s="9">
        <f>P49+H49</f>
        <v>10192331.890000001</v>
      </c>
      <c r="W49" s="9">
        <f>E49-V49</f>
        <v>1482668.1099999994</v>
      </c>
      <c r="X49" s="9">
        <f>+H49+P49</f>
        <v>10192331.890000001</v>
      </c>
      <c r="Y49" s="8"/>
      <c r="Z49" s="9">
        <f>+E49-X49</f>
        <v>1482668.1099999994</v>
      </c>
      <c r="AA49" s="8">
        <f>+M49+U49</f>
        <v>10192331.890000001</v>
      </c>
      <c r="AB49" s="8">
        <f>+E49-AA49</f>
        <v>1482668.1099999994</v>
      </c>
    </row>
    <row r="50" spans="1:28" x14ac:dyDescent="0.3">
      <c r="A50" s="64"/>
      <c r="C50" s="7" t="s">
        <v>77</v>
      </c>
      <c r="D50" s="21" t="s">
        <v>78</v>
      </c>
      <c r="E50" s="9">
        <v>2613458.91</v>
      </c>
      <c r="F50" s="9">
        <v>2169076.92</v>
      </c>
      <c r="G50" s="8"/>
      <c r="H50" s="9">
        <f>F50+G50</f>
        <v>2169076.92</v>
      </c>
      <c r="I50" s="8"/>
      <c r="J50" s="8"/>
      <c r="K50" s="8"/>
      <c r="L50" s="9"/>
      <c r="M50" s="9">
        <f>H50+L50</f>
        <v>2169076.92</v>
      </c>
      <c r="N50" s="9">
        <v>444381.99</v>
      </c>
      <c r="O50" s="8"/>
      <c r="P50" s="9">
        <f>N50+O50</f>
        <v>444381.99</v>
      </c>
      <c r="Q50" s="8"/>
      <c r="R50" s="8"/>
      <c r="S50" s="8"/>
      <c r="T50" s="9"/>
      <c r="U50" s="9">
        <f>P50+T50</f>
        <v>444381.99</v>
      </c>
      <c r="V50" s="9">
        <f>P50+H50</f>
        <v>2613458.91</v>
      </c>
      <c r="W50" s="9">
        <f>E50-V50</f>
        <v>0</v>
      </c>
      <c r="X50" s="9">
        <f t="shared" ref="X50:X66" si="22">+H50+P50</f>
        <v>2613458.91</v>
      </c>
      <c r="Y50" s="8"/>
      <c r="Z50" s="9">
        <f t="shared" ref="Z50:Z66" si="23">+E50-X50</f>
        <v>0</v>
      </c>
      <c r="AA50" s="8">
        <f t="shared" ref="AA50:AA66" si="24">+M50+U50</f>
        <v>2613458.91</v>
      </c>
      <c r="AB50" s="8">
        <f t="shared" ref="AB50:AB66" si="25">+E50-AA50</f>
        <v>0</v>
      </c>
    </row>
    <row r="51" spans="1:28" x14ac:dyDescent="0.3">
      <c r="A51" s="64"/>
      <c r="C51" s="7" t="s">
        <v>57</v>
      </c>
      <c r="D51" s="15" t="s">
        <v>79</v>
      </c>
      <c r="E51" s="9">
        <v>17853245.109999999</v>
      </c>
      <c r="F51" s="9">
        <v>15794384.869999999</v>
      </c>
      <c r="G51" s="8"/>
      <c r="H51" s="9">
        <f>F51+G51</f>
        <v>15794384.869999999</v>
      </c>
      <c r="I51" s="8"/>
      <c r="J51" s="8"/>
      <c r="K51" s="8"/>
      <c r="L51" s="9"/>
      <c r="M51" s="9">
        <f>H51+L51</f>
        <v>15794384.869999999</v>
      </c>
      <c r="N51" s="9">
        <v>2058860.24</v>
      </c>
      <c r="O51" s="8"/>
      <c r="P51" s="9">
        <f>N51+O51</f>
        <v>2058860.24</v>
      </c>
      <c r="Q51" s="8"/>
      <c r="R51" s="8"/>
      <c r="S51" s="8"/>
      <c r="T51" s="9"/>
      <c r="U51" s="9">
        <f>P51+T51</f>
        <v>2058860.24</v>
      </c>
      <c r="V51" s="9">
        <f>P51+H51</f>
        <v>17853245.109999999</v>
      </c>
      <c r="W51" s="9">
        <f>E51-V51</f>
        <v>0</v>
      </c>
      <c r="X51" s="9">
        <f t="shared" si="22"/>
        <v>17853245.109999999</v>
      </c>
      <c r="Y51" s="8"/>
      <c r="Z51" s="9">
        <f t="shared" si="23"/>
        <v>0</v>
      </c>
      <c r="AA51" s="8">
        <f t="shared" si="24"/>
        <v>17853245.109999999</v>
      </c>
      <c r="AB51" s="8">
        <f t="shared" si="25"/>
        <v>0</v>
      </c>
    </row>
    <row r="52" spans="1:28" x14ac:dyDescent="0.3">
      <c r="A52" s="64"/>
      <c r="C52" s="8"/>
      <c r="D52" s="14" t="s">
        <v>80</v>
      </c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9">
        <f t="shared" si="22"/>
        <v>0</v>
      </c>
      <c r="Y52" s="8"/>
      <c r="Z52" s="9">
        <f t="shared" si="23"/>
        <v>0</v>
      </c>
      <c r="AA52" s="8">
        <f t="shared" si="24"/>
        <v>0</v>
      </c>
      <c r="AB52" s="8">
        <f t="shared" si="25"/>
        <v>0</v>
      </c>
    </row>
    <row r="53" spans="1:28" x14ac:dyDescent="0.3">
      <c r="A53" s="64"/>
      <c r="C53" s="7" t="s">
        <v>81</v>
      </c>
      <c r="D53" s="15" t="s">
        <v>78</v>
      </c>
      <c r="E53" s="9">
        <v>1000000</v>
      </c>
      <c r="F53" s="9">
        <v>1000000</v>
      </c>
      <c r="G53" s="8"/>
      <c r="H53" s="9">
        <f t="shared" ref="H53:H66" si="26">F53+G53</f>
        <v>1000000</v>
      </c>
      <c r="I53" s="8"/>
      <c r="J53" s="8"/>
      <c r="K53" s="8"/>
      <c r="L53" s="9"/>
      <c r="M53" s="9">
        <f t="shared" ref="M53:M66" si="27">H53+L53</f>
        <v>1000000</v>
      </c>
      <c r="N53" s="9">
        <v>0</v>
      </c>
      <c r="O53" s="8"/>
      <c r="P53" s="9">
        <f t="shared" ref="P53:P66" si="28">N53+O53</f>
        <v>0</v>
      </c>
      <c r="Q53" s="8"/>
      <c r="R53" s="8"/>
      <c r="S53" s="8"/>
      <c r="T53" s="9"/>
      <c r="U53" s="9">
        <f t="shared" ref="U53:U66" si="29">P53+T53</f>
        <v>0</v>
      </c>
      <c r="V53" s="9">
        <f t="shared" ref="V53:V66" si="30">P53+H53</f>
        <v>1000000</v>
      </c>
      <c r="W53" s="9">
        <f t="shared" ref="W53:W66" si="31">E53-V53</f>
        <v>0</v>
      </c>
      <c r="X53" s="9">
        <f t="shared" si="22"/>
        <v>1000000</v>
      </c>
      <c r="Y53" s="8"/>
      <c r="Z53" s="9">
        <f t="shared" si="23"/>
        <v>0</v>
      </c>
      <c r="AA53" s="8">
        <f t="shared" si="24"/>
        <v>1000000</v>
      </c>
      <c r="AB53" s="8">
        <f t="shared" si="25"/>
        <v>0</v>
      </c>
    </row>
    <row r="54" spans="1:28" x14ac:dyDescent="0.3">
      <c r="A54" s="64"/>
      <c r="C54" s="7" t="s">
        <v>82</v>
      </c>
      <c r="D54" s="15" t="s">
        <v>68</v>
      </c>
      <c r="E54" s="9">
        <v>967937.19</v>
      </c>
      <c r="F54" s="9">
        <v>122718</v>
      </c>
      <c r="G54" s="8"/>
      <c r="H54" s="9">
        <f t="shared" si="26"/>
        <v>122718</v>
      </c>
      <c r="I54" s="8"/>
      <c r="J54" s="8"/>
      <c r="K54" s="8"/>
      <c r="L54" s="9"/>
      <c r="M54" s="9">
        <f t="shared" si="27"/>
        <v>122718</v>
      </c>
      <c r="N54" s="9">
        <v>845219.19</v>
      </c>
      <c r="O54" s="8"/>
      <c r="P54" s="9">
        <f t="shared" si="28"/>
        <v>845219.19</v>
      </c>
      <c r="Q54" s="9"/>
      <c r="R54" s="8"/>
      <c r="S54" s="9"/>
      <c r="T54" s="9"/>
      <c r="U54" s="9">
        <f t="shared" si="29"/>
        <v>845219.19</v>
      </c>
      <c r="V54" s="9">
        <f t="shared" si="30"/>
        <v>967937.19</v>
      </c>
      <c r="W54" s="9">
        <f t="shared" si="31"/>
        <v>0</v>
      </c>
      <c r="X54" s="9">
        <f t="shared" si="22"/>
        <v>967937.19</v>
      </c>
      <c r="Y54" s="8"/>
      <c r="Z54" s="9">
        <f t="shared" si="23"/>
        <v>0</v>
      </c>
      <c r="AA54" s="8">
        <f t="shared" si="24"/>
        <v>967937.19</v>
      </c>
      <c r="AB54" s="8">
        <f t="shared" si="25"/>
        <v>0</v>
      </c>
    </row>
    <row r="55" spans="1:28" x14ac:dyDescent="0.3">
      <c r="A55" s="64"/>
      <c r="C55" s="7" t="s">
        <v>83</v>
      </c>
      <c r="D55" s="15" t="s">
        <v>67</v>
      </c>
      <c r="E55" s="9">
        <v>1214669.58</v>
      </c>
      <c r="F55" s="9">
        <v>517573.77</v>
      </c>
      <c r="G55" s="8"/>
      <c r="H55" s="9">
        <f t="shared" si="26"/>
        <v>517573.77</v>
      </c>
      <c r="I55" s="8"/>
      <c r="J55" s="8"/>
      <c r="K55" s="8"/>
      <c r="L55" s="9"/>
      <c r="M55" s="9">
        <f t="shared" si="27"/>
        <v>517573.77</v>
      </c>
      <c r="N55" s="9">
        <v>697095.81</v>
      </c>
      <c r="O55" s="8"/>
      <c r="P55" s="9">
        <f t="shared" si="28"/>
        <v>697095.81</v>
      </c>
      <c r="Q55" s="8"/>
      <c r="R55" s="8"/>
      <c r="S55" s="8"/>
      <c r="T55" s="9"/>
      <c r="U55" s="9">
        <f t="shared" si="29"/>
        <v>697095.81</v>
      </c>
      <c r="V55" s="9">
        <f t="shared" si="30"/>
        <v>1214669.58</v>
      </c>
      <c r="W55" s="9">
        <f t="shared" si="31"/>
        <v>0</v>
      </c>
      <c r="X55" s="9">
        <f t="shared" si="22"/>
        <v>1214669.58</v>
      </c>
      <c r="Y55" s="8"/>
      <c r="Z55" s="9">
        <f t="shared" si="23"/>
        <v>0</v>
      </c>
      <c r="AA55" s="8">
        <f t="shared" si="24"/>
        <v>1214669.58</v>
      </c>
      <c r="AB55" s="8">
        <f t="shared" si="25"/>
        <v>0</v>
      </c>
    </row>
    <row r="56" spans="1:28" x14ac:dyDescent="0.3">
      <c r="A56" s="64"/>
      <c r="C56" s="7" t="s">
        <v>55</v>
      </c>
      <c r="D56" s="15" t="s">
        <v>68</v>
      </c>
      <c r="E56" s="9">
        <v>1434710.25</v>
      </c>
      <c r="F56" s="9">
        <v>0</v>
      </c>
      <c r="G56" s="8"/>
      <c r="H56" s="9">
        <f t="shared" si="26"/>
        <v>0</v>
      </c>
      <c r="I56" s="8"/>
      <c r="J56" s="8"/>
      <c r="K56" s="8"/>
      <c r="L56" s="9"/>
      <c r="M56" s="9">
        <f t="shared" si="27"/>
        <v>0</v>
      </c>
      <c r="N56" s="9">
        <v>1434710.25</v>
      </c>
      <c r="O56" s="8"/>
      <c r="P56" s="9">
        <f t="shared" si="28"/>
        <v>1434710.25</v>
      </c>
      <c r="Q56" s="8"/>
      <c r="R56" s="8"/>
      <c r="S56" s="8"/>
      <c r="T56" s="9"/>
      <c r="U56" s="9">
        <f t="shared" si="29"/>
        <v>1434710.25</v>
      </c>
      <c r="V56" s="9">
        <f t="shared" si="30"/>
        <v>1434710.25</v>
      </c>
      <c r="W56" s="9">
        <f t="shared" si="31"/>
        <v>0</v>
      </c>
      <c r="X56" s="9">
        <f t="shared" si="22"/>
        <v>1434710.25</v>
      </c>
      <c r="Y56" s="8"/>
      <c r="Z56" s="9">
        <f t="shared" si="23"/>
        <v>0</v>
      </c>
      <c r="AA56" s="8">
        <f t="shared" si="24"/>
        <v>1434710.25</v>
      </c>
      <c r="AB56" s="8">
        <f t="shared" si="25"/>
        <v>0</v>
      </c>
    </row>
    <row r="57" spans="1:28" x14ac:dyDescent="0.3">
      <c r="A57" s="64"/>
      <c r="C57" s="7" t="s">
        <v>53</v>
      </c>
      <c r="D57" s="15" t="s">
        <v>68</v>
      </c>
      <c r="E57" s="9">
        <v>2306106</v>
      </c>
      <c r="F57" s="9">
        <v>0</v>
      </c>
      <c r="G57" s="8"/>
      <c r="H57" s="9">
        <f t="shared" si="26"/>
        <v>0</v>
      </c>
      <c r="I57" s="8"/>
      <c r="J57" s="8"/>
      <c r="K57" s="8"/>
      <c r="L57" s="9"/>
      <c r="M57" s="9">
        <f t="shared" si="27"/>
        <v>0</v>
      </c>
      <c r="N57" s="9">
        <v>2306106</v>
      </c>
      <c r="O57" s="8"/>
      <c r="P57" s="9">
        <f t="shared" si="28"/>
        <v>2306106</v>
      </c>
      <c r="Q57" s="8"/>
      <c r="R57" s="8"/>
      <c r="S57" s="8"/>
      <c r="T57" s="9"/>
      <c r="U57" s="9">
        <f t="shared" si="29"/>
        <v>2306106</v>
      </c>
      <c r="V57" s="9">
        <f t="shared" si="30"/>
        <v>2306106</v>
      </c>
      <c r="W57" s="9">
        <f t="shared" si="31"/>
        <v>0</v>
      </c>
      <c r="X57" s="9">
        <f t="shared" si="22"/>
        <v>2306106</v>
      </c>
      <c r="Y57" s="8"/>
      <c r="Z57" s="9">
        <f t="shared" si="23"/>
        <v>0</v>
      </c>
      <c r="AA57" s="8">
        <f t="shared" si="24"/>
        <v>2306106</v>
      </c>
      <c r="AB57" s="8">
        <f t="shared" si="25"/>
        <v>0</v>
      </c>
    </row>
    <row r="58" spans="1:28" x14ac:dyDescent="0.3">
      <c r="A58" s="64"/>
      <c r="C58" s="7" t="s">
        <v>84</v>
      </c>
      <c r="D58" s="15" t="s">
        <v>85</v>
      </c>
      <c r="E58" s="9">
        <v>480000</v>
      </c>
      <c r="F58" s="9">
        <v>480000</v>
      </c>
      <c r="G58" s="8"/>
      <c r="H58" s="9">
        <f t="shared" si="26"/>
        <v>480000</v>
      </c>
      <c r="I58" s="8"/>
      <c r="J58" s="8"/>
      <c r="K58" s="8"/>
      <c r="L58" s="9"/>
      <c r="M58" s="9">
        <f t="shared" si="27"/>
        <v>480000</v>
      </c>
      <c r="N58" s="9">
        <v>0</v>
      </c>
      <c r="O58" s="8"/>
      <c r="P58" s="9">
        <f t="shared" si="28"/>
        <v>0</v>
      </c>
      <c r="Q58" s="8"/>
      <c r="R58" s="8"/>
      <c r="S58" s="8"/>
      <c r="T58" s="9"/>
      <c r="U58" s="9">
        <f t="shared" si="29"/>
        <v>0</v>
      </c>
      <c r="V58" s="9">
        <f t="shared" si="30"/>
        <v>480000</v>
      </c>
      <c r="W58" s="9">
        <f t="shared" si="31"/>
        <v>0</v>
      </c>
      <c r="X58" s="9">
        <f t="shared" si="22"/>
        <v>480000</v>
      </c>
      <c r="Y58" s="8"/>
      <c r="Z58" s="9">
        <f t="shared" si="23"/>
        <v>0</v>
      </c>
      <c r="AA58" s="8">
        <f t="shared" si="24"/>
        <v>480000</v>
      </c>
      <c r="AB58" s="8">
        <f t="shared" si="25"/>
        <v>0</v>
      </c>
    </row>
    <row r="59" spans="1:28" x14ac:dyDescent="0.3">
      <c r="A59" s="64"/>
      <c r="C59" s="7" t="s">
        <v>86</v>
      </c>
      <c r="D59" s="15" t="s">
        <v>85</v>
      </c>
      <c r="E59" s="9">
        <v>160000</v>
      </c>
      <c r="F59" s="9">
        <v>160000</v>
      </c>
      <c r="G59" s="8"/>
      <c r="H59" s="9">
        <f t="shared" si="26"/>
        <v>160000</v>
      </c>
      <c r="I59" s="8"/>
      <c r="J59" s="8"/>
      <c r="K59" s="8"/>
      <c r="L59" s="9"/>
      <c r="M59" s="9">
        <f t="shared" si="27"/>
        <v>160000</v>
      </c>
      <c r="N59" s="9">
        <v>0</v>
      </c>
      <c r="O59" s="8"/>
      <c r="P59" s="9">
        <f t="shared" si="28"/>
        <v>0</v>
      </c>
      <c r="Q59" s="8"/>
      <c r="R59" s="8"/>
      <c r="S59" s="8"/>
      <c r="T59" s="9"/>
      <c r="U59" s="9">
        <f t="shared" si="29"/>
        <v>0</v>
      </c>
      <c r="V59" s="9">
        <f t="shared" si="30"/>
        <v>160000</v>
      </c>
      <c r="W59" s="9">
        <f t="shared" si="31"/>
        <v>0</v>
      </c>
      <c r="X59" s="9">
        <f t="shared" si="22"/>
        <v>160000</v>
      </c>
      <c r="Y59" s="8"/>
      <c r="Z59" s="9">
        <f t="shared" si="23"/>
        <v>0</v>
      </c>
      <c r="AA59" s="8">
        <f t="shared" si="24"/>
        <v>160000</v>
      </c>
      <c r="AB59" s="8">
        <f t="shared" si="25"/>
        <v>0</v>
      </c>
    </row>
    <row r="60" spans="1:28" x14ac:dyDescent="0.3">
      <c r="A60" s="64"/>
      <c r="C60" s="7" t="s">
        <v>87</v>
      </c>
      <c r="D60" s="15" t="s">
        <v>88</v>
      </c>
      <c r="E60" s="9">
        <v>5500000</v>
      </c>
      <c r="F60" s="9">
        <v>5500000</v>
      </c>
      <c r="G60" s="8"/>
      <c r="H60" s="9">
        <f t="shared" si="26"/>
        <v>5500000</v>
      </c>
      <c r="I60" s="8"/>
      <c r="J60" s="8"/>
      <c r="K60" s="8"/>
      <c r="L60" s="9"/>
      <c r="M60" s="9">
        <f t="shared" si="27"/>
        <v>5500000</v>
      </c>
      <c r="N60" s="9">
        <v>0</v>
      </c>
      <c r="O60" s="8"/>
      <c r="P60" s="9">
        <f t="shared" si="28"/>
        <v>0</v>
      </c>
      <c r="Q60" s="8"/>
      <c r="R60" s="8"/>
      <c r="S60" s="8"/>
      <c r="T60" s="9"/>
      <c r="U60" s="9">
        <f t="shared" si="29"/>
        <v>0</v>
      </c>
      <c r="V60" s="9">
        <f t="shared" si="30"/>
        <v>5500000</v>
      </c>
      <c r="W60" s="9">
        <f t="shared" si="31"/>
        <v>0</v>
      </c>
      <c r="X60" s="9">
        <f t="shared" si="22"/>
        <v>5500000</v>
      </c>
      <c r="Y60" s="8"/>
      <c r="Z60" s="9">
        <f t="shared" si="23"/>
        <v>0</v>
      </c>
      <c r="AA60" s="8">
        <f t="shared" si="24"/>
        <v>5500000</v>
      </c>
      <c r="AB60" s="8">
        <f t="shared" si="25"/>
        <v>0</v>
      </c>
    </row>
    <row r="61" spans="1:28" x14ac:dyDescent="0.3">
      <c r="A61" s="64"/>
      <c r="C61" s="7" t="s">
        <v>57</v>
      </c>
      <c r="D61" s="15" t="s">
        <v>58</v>
      </c>
      <c r="E61" s="9">
        <v>5367325</v>
      </c>
      <c r="F61" s="9">
        <v>5367325</v>
      </c>
      <c r="G61" s="8"/>
      <c r="H61" s="9">
        <f t="shared" si="26"/>
        <v>5367325</v>
      </c>
      <c r="I61" s="9"/>
      <c r="J61" s="8"/>
      <c r="K61" s="8"/>
      <c r="L61" s="9"/>
      <c r="M61" s="9">
        <f t="shared" si="27"/>
        <v>5367325</v>
      </c>
      <c r="N61" s="9">
        <v>0</v>
      </c>
      <c r="O61" s="8"/>
      <c r="P61" s="9">
        <f t="shared" si="28"/>
        <v>0</v>
      </c>
      <c r="Q61" s="8"/>
      <c r="R61" s="8"/>
      <c r="S61" s="8"/>
      <c r="T61" s="9"/>
      <c r="U61" s="9">
        <f t="shared" si="29"/>
        <v>0</v>
      </c>
      <c r="V61" s="9">
        <f t="shared" si="30"/>
        <v>5367325</v>
      </c>
      <c r="W61" s="9">
        <f t="shared" si="31"/>
        <v>0</v>
      </c>
      <c r="X61" s="9">
        <f t="shared" si="22"/>
        <v>5367325</v>
      </c>
      <c r="Y61" s="8"/>
      <c r="Z61" s="9">
        <f t="shared" si="23"/>
        <v>0</v>
      </c>
      <c r="AA61" s="8">
        <f t="shared" si="24"/>
        <v>5367325</v>
      </c>
      <c r="AB61" s="8">
        <f t="shared" si="25"/>
        <v>0</v>
      </c>
    </row>
    <row r="62" spans="1:28" x14ac:dyDescent="0.3">
      <c r="A62" s="64"/>
      <c r="C62" s="7" t="s">
        <v>57</v>
      </c>
      <c r="D62" s="15" t="s">
        <v>60</v>
      </c>
      <c r="E62" s="9">
        <v>8923208.4600000009</v>
      </c>
      <c r="F62" s="11">
        <v>8923208.4600000009</v>
      </c>
      <c r="G62" s="8"/>
      <c r="H62" s="9">
        <f t="shared" si="26"/>
        <v>8923208.4600000009</v>
      </c>
      <c r="I62" s="9"/>
      <c r="J62" s="8"/>
      <c r="K62" s="8"/>
      <c r="L62" s="9"/>
      <c r="M62" s="9">
        <f t="shared" si="27"/>
        <v>8923208.4600000009</v>
      </c>
      <c r="N62" s="9">
        <v>0</v>
      </c>
      <c r="O62" s="8"/>
      <c r="P62" s="9">
        <f t="shared" si="28"/>
        <v>0</v>
      </c>
      <c r="Q62" s="8"/>
      <c r="R62" s="8"/>
      <c r="S62" s="8"/>
      <c r="T62" s="9"/>
      <c r="U62" s="9">
        <f t="shared" si="29"/>
        <v>0</v>
      </c>
      <c r="V62" s="9">
        <f t="shared" si="30"/>
        <v>8923208.4600000009</v>
      </c>
      <c r="W62" s="9">
        <f t="shared" si="31"/>
        <v>0</v>
      </c>
      <c r="X62" s="9">
        <f t="shared" si="22"/>
        <v>8923208.4600000009</v>
      </c>
      <c r="Y62" s="8"/>
      <c r="Z62" s="9">
        <f t="shared" si="23"/>
        <v>0</v>
      </c>
      <c r="AA62" s="8">
        <f t="shared" si="24"/>
        <v>8923208.4600000009</v>
      </c>
      <c r="AB62" s="8">
        <f t="shared" si="25"/>
        <v>0</v>
      </c>
    </row>
    <row r="63" spans="1:28" x14ac:dyDescent="0.3">
      <c r="A63" s="64"/>
      <c r="C63" s="14" t="s">
        <v>89</v>
      </c>
      <c r="D63" s="15" t="s">
        <v>60</v>
      </c>
      <c r="E63" s="9">
        <v>5000000</v>
      </c>
      <c r="F63" s="11">
        <v>5000000</v>
      </c>
      <c r="G63" s="8"/>
      <c r="H63" s="9">
        <f t="shared" si="26"/>
        <v>5000000</v>
      </c>
      <c r="I63" s="9"/>
      <c r="J63" s="8"/>
      <c r="K63" s="8"/>
      <c r="L63" s="9"/>
      <c r="M63" s="9">
        <f t="shared" si="27"/>
        <v>5000000</v>
      </c>
      <c r="N63" s="9">
        <v>0</v>
      </c>
      <c r="O63" s="8"/>
      <c r="P63" s="9">
        <f t="shared" si="28"/>
        <v>0</v>
      </c>
      <c r="Q63" s="8"/>
      <c r="R63" s="8"/>
      <c r="S63" s="8"/>
      <c r="T63" s="9"/>
      <c r="U63" s="9">
        <f t="shared" si="29"/>
        <v>0</v>
      </c>
      <c r="V63" s="9">
        <f t="shared" si="30"/>
        <v>5000000</v>
      </c>
      <c r="W63" s="9">
        <f t="shared" si="31"/>
        <v>0</v>
      </c>
      <c r="X63" s="9">
        <f t="shared" si="22"/>
        <v>5000000</v>
      </c>
      <c r="Y63" s="8"/>
      <c r="Z63" s="9">
        <f t="shared" si="23"/>
        <v>0</v>
      </c>
      <c r="AA63" s="8">
        <f t="shared" si="24"/>
        <v>5000000</v>
      </c>
      <c r="AB63" s="8">
        <f t="shared" si="25"/>
        <v>0</v>
      </c>
    </row>
    <row r="64" spans="1:28" x14ac:dyDescent="0.3">
      <c r="A64" s="64"/>
      <c r="C64" s="14" t="s">
        <v>90</v>
      </c>
      <c r="D64" s="15" t="s">
        <v>60</v>
      </c>
      <c r="E64" s="9">
        <v>750000</v>
      </c>
      <c r="F64" s="8">
        <v>750000</v>
      </c>
      <c r="G64" s="8"/>
      <c r="H64" s="9">
        <f t="shared" si="26"/>
        <v>750000</v>
      </c>
      <c r="I64" s="9"/>
      <c r="J64" s="8"/>
      <c r="K64" s="8"/>
      <c r="L64" s="9"/>
      <c r="M64" s="9">
        <f t="shared" si="27"/>
        <v>750000</v>
      </c>
      <c r="N64" s="9">
        <v>0</v>
      </c>
      <c r="O64" s="8"/>
      <c r="P64" s="9">
        <f t="shared" si="28"/>
        <v>0</v>
      </c>
      <c r="Q64" s="8"/>
      <c r="R64" s="8"/>
      <c r="S64" s="8"/>
      <c r="T64" s="9"/>
      <c r="U64" s="9">
        <f t="shared" si="29"/>
        <v>0</v>
      </c>
      <c r="V64" s="9">
        <f t="shared" si="30"/>
        <v>750000</v>
      </c>
      <c r="W64" s="9">
        <f t="shared" si="31"/>
        <v>0</v>
      </c>
      <c r="X64" s="9">
        <f t="shared" si="22"/>
        <v>750000</v>
      </c>
      <c r="Y64" s="8"/>
      <c r="Z64" s="9">
        <f t="shared" si="23"/>
        <v>0</v>
      </c>
      <c r="AA64" s="8">
        <f t="shared" si="24"/>
        <v>750000</v>
      </c>
      <c r="AB64" s="8">
        <f t="shared" si="25"/>
        <v>0</v>
      </c>
    </row>
    <row r="65" spans="1:28" x14ac:dyDescent="0.3">
      <c r="A65" s="64"/>
      <c r="C65" s="14" t="s">
        <v>930</v>
      </c>
      <c r="D65" s="16" t="s">
        <v>1072</v>
      </c>
      <c r="E65" s="9">
        <f>1439000+471678.86</f>
        <v>1910678.8599999999</v>
      </c>
      <c r="F65" s="8">
        <f>1439000+471678.86</f>
        <v>1910678.8599999999</v>
      </c>
      <c r="G65" s="8"/>
      <c r="H65" s="9">
        <f>+F65+G65</f>
        <v>1910678.8599999999</v>
      </c>
      <c r="I65" s="9"/>
      <c r="J65" s="8"/>
      <c r="K65" s="8"/>
      <c r="L65" s="9"/>
      <c r="M65" s="9">
        <f t="shared" si="27"/>
        <v>1910678.8599999999</v>
      </c>
      <c r="N65" s="9">
        <v>0</v>
      </c>
      <c r="O65" s="8"/>
      <c r="P65" s="9">
        <f t="shared" si="28"/>
        <v>0</v>
      </c>
      <c r="Q65" s="8"/>
      <c r="R65" s="8"/>
      <c r="S65" s="8"/>
      <c r="T65" s="9"/>
      <c r="U65" s="9">
        <f t="shared" si="29"/>
        <v>0</v>
      </c>
      <c r="V65" s="9">
        <f t="shared" si="30"/>
        <v>1910678.8599999999</v>
      </c>
      <c r="W65" s="9">
        <f t="shared" si="31"/>
        <v>0</v>
      </c>
      <c r="X65" s="9">
        <f t="shared" si="22"/>
        <v>1910678.8599999999</v>
      </c>
      <c r="Y65" s="8"/>
      <c r="Z65" s="9">
        <f t="shared" si="23"/>
        <v>0</v>
      </c>
      <c r="AA65" s="8">
        <f t="shared" si="24"/>
        <v>1910678.8599999999</v>
      </c>
      <c r="AB65" s="8">
        <f t="shared" si="25"/>
        <v>0</v>
      </c>
    </row>
    <row r="66" spans="1:28" x14ac:dyDescent="0.3">
      <c r="A66" s="64"/>
      <c r="C66" s="7" t="s">
        <v>57</v>
      </c>
      <c r="D66" s="16" t="s">
        <v>61</v>
      </c>
      <c r="E66" s="9">
        <v>1220283.18</v>
      </c>
      <c r="F66" s="8">
        <v>1220283.18</v>
      </c>
      <c r="G66" s="8"/>
      <c r="H66" s="9">
        <f t="shared" si="26"/>
        <v>1220283.18</v>
      </c>
      <c r="I66" s="9"/>
      <c r="J66" s="8"/>
      <c r="K66" s="8"/>
      <c r="L66" s="9"/>
      <c r="M66" s="9">
        <f t="shared" si="27"/>
        <v>1220283.18</v>
      </c>
      <c r="N66" s="9">
        <v>0</v>
      </c>
      <c r="O66" s="8"/>
      <c r="P66" s="9">
        <f t="shared" si="28"/>
        <v>0</v>
      </c>
      <c r="Q66" s="8"/>
      <c r="R66" s="8"/>
      <c r="S66" s="8"/>
      <c r="T66" s="9"/>
      <c r="U66" s="9">
        <f t="shared" si="29"/>
        <v>0</v>
      </c>
      <c r="V66" s="9">
        <f t="shared" si="30"/>
        <v>1220283.18</v>
      </c>
      <c r="W66" s="9">
        <f t="shared" si="31"/>
        <v>0</v>
      </c>
      <c r="X66" s="9">
        <f t="shared" si="22"/>
        <v>1220283.18</v>
      </c>
      <c r="Y66" s="8"/>
      <c r="Z66" s="9">
        <f t="shared" si="23"/>
        <v>0</v>
      </c>
      <c r="AA66" s="8">
        <f t="shared" si="24"/>
        <v>1220283.18</v>
      </c>
      <c r="AB66" s="8">
        <f t="shared" si="25"/>
        <v>0</v>
      </c>
    </row>
    <row r="67" spans="1:28" x14ac:dyDescent="0.3">
      <c r="A67" s="64"/>
      <c r="C67" s="8"/>
      <c r="D67" s="8"/>
      <c r="E67" s="17" t="s">
        <v>29</v>
      </c>
      <c r="F67" s="17" t="s">
        <v>29</v>
      </c>
      <c r="G67" s="17" t="s">
        <v>29</v>
      </c>
      <c r="H67" s="17" t="s">
        <v>29</v>
      </c>
      <c r="I67" s="17" t="s">
        <v>29</v>
      </c>
      <c r="J67" s="17" t="s">
        <v>29</v>
      </c>
      <c r="K67" s="17" t="s">
        <v>29</v>
      </c>
      <c r="L67" s="17" t="s">
        <v>29</v>
      </c>
      <c r="M67" s="17" t="s">
        <v>29</v>
      </c>
      <c r="N67" s="17" t="s">
        <v>29</v>
      </c>
      <c r="O67" s="17" t="s">
        <v>29</v>
      </c>
      <c r="P67" s="17" t="s">
        <v>29</v>
      </c>
      <c r="Q67" s="17" t="s">
        <v>29</v>
      </c>
      <c r="R67" s="17" t="s">
        <v>29</v>
      </c>
      <c r="S67" s="17" t="s">
        <v>29</v>
      </c>
      <c r="T67" s="17" t="s">
        <v>29</v>
      </c>
      <c r="U67" s="17" t="s">
        <v>29</v>
      </c>
      <c r="V67" s="17" t="s">
        <v>29</v>
      </c>
      <c r="W67" s="17" t="s">
        <v>29</v>
      </c>
      <c r="X67" s="17" t="s">
        <v>29</v>
      </c>
      <c r="Y67" s="17" t="s">
        <v>29</v>
      </c>
      <c r="Z67" s="17" t="s">
        <v>29</v>
      </c>
      <c r="AA67" s="17" t="s">
        <v>29</v>
      </c>
      <c r="AB67" s="17" t="s">
        <v>29</v>
      </c>
    </row>
    <row r="68" spans="1:28" x14ac:dyDescent="0.3">
      <c r="A68" s="64"/>
      <c r="C68" s="8"/>
      <c r="D68" s="8"/>
      <c r="E68" s="9">
        <f t="shared" ref="E68:AB68" si="32">SUM(E49:E66)</f>
        <v>68376622.540000007</v>
      </c>
      <c r="F68" s="9">
        <f t="shared" si="32"/>
        <v>52370175.060000002</v>
      </c>
      <c r="G68" s="9">
        <f t="shared" si="32"/>
        <v>0</v>
      </c>
      <c r="H68" s="9">
        <f t="shared" si="32"/>
        <v>52370175.060000002</v>
      </c>
      <c r="I68" s="9">
        <f t="shared" si="32"/>
        <v>0</v>
      </c>
      <c r="J68" s="9">
        <f t="shared" si="32"/>
        <v>0</v>
      </c>
      <c r="K68" s="9">
        <f t="shared" si="32"/>
        <v>0</v>
      </c>
      <c r="L68" s="9">
        <f t="shared" si="32"/>
        <v>0</v>
      </c>
      <c r="M68" s="9">
        <f t="shared" si="32"/>
        <v>52370175.060000002</v>
      </c>
      <c r="N68" s="9">
        <f t="shared" si="32"/>
        <v>14523779.369999999</v>
      </c>
      <c r="O68" s="9">
        <f t="shared" si="32"/>
        <v>0</v>
      </c>
      <c r="P68" s="9">
        <f t="shared" si="32"/>
        <v>14523779.369999999</v>
      </c>
      <c r="Q68" s="9">
        <f t="shared" si="32"/>
        <v>0</v>
      </c>
      <c r="R68" s="9">
        <f t="shared" si="32"/>
        <v>0</v>
      </c>
      <c r="S68" s="9">
        <f t="shared" si="32"/>
        <v>0</v>
      </c>
      <c r="T68" s="9">
        <f t="shared" si="32"/>
        <v>0</v>
      </c>
      <c r="U68" s="9">
        <f t="shared" si="32"/>
        <v>14523779.369999999</v>
      </c>
      <c r="V68" s="9">
        <f t="shared" si="32"/>
        <v>66893954.43</v>
      </c>
      <c r="W68" s="9">
        <f t="shared" si="32"/>
        <v>1482668.1099999994</v>
      </c>
      <c r="X68" s="9">
        <f t="shared" si="32"/>
        <v>66893954.43</v>
      </c>
      <c r="Y68" s="9">
        <f t="shared" si="32"/>
        <v>0</v>
      </c>
      <c r="Z68" s="9">
        <f t="shared" si="32"/>
        <v>1482668.1099999994</v>
      </c>
      <c r="AA68" s="9">
        <f t="shared" si="32"/>
        <v>66893954.43</v>
      </c>
      <c r="AB68" s="9">
        <f t="shared" si="32"/>
        <v>1482668.1099999994</v>
      </c>
    </row>
    <row r="69" spans="1:28" x14ac:dyDescent="0.3">
      <c r="A69" s="64"/>
      <c r="C69" s="8"/>
      <c r="D69" s="8"/>
      <c r="E69" s="17" t="s">
        <v>29</v>
      </c>
      <c r="F69" s="17" t="s">
        <v>29</v>
      </c>
      <c r="G69" s="17" t="s">
        <v>29</v>
      </c>
      <c r="H69" s="17" t="s">
        <v>29</v>
      </c>
      <c r="I69" s="17" t="s">
        <v>29</v>
      </c>
      <c r="J69" s="17" t="s">
        <v>29</v>
      </c>
      <c r="K69" s="17" t="s">
        <v>29</v>
      </c>
      <c r="L69" s="17" t="s">
        <v>29</v>
      </c>
      <c r="M69" s="17" t="s">
        <v>29</v>
      </c>
      <c r="N69" s="17" t="s">
        <v>29</v>
      </c>
      <c r="O69" s="17" t="s">
        <v>29</v>
      </c>
      <c r="P69" s="17" t="s">
        <v>29</v>
      </c>
      <c r="Q69" s="17" t="s">
        <v>29</v>
      </c>
      <c r="R69" s="17" t="s">
        <v>29</v>
      </c>
      <c r="S69" s="17" t="s">
        <v>29</v>
      </c>
      <c r="T69" s="17" t="s">
        <v>29</v>
      </c>
      <c r="U69" s="17" t="s">
        <v>29</v>
      </c>
      <c r="V69" s="17" t="s">
        <v>29</v>
      </c>
      <c r="W69" s="17" t="s">
        <v>29</v>
      </c>
      <c r="X69" s="17" t="s">
        <v>29</v>
      </c>
      <c r="Y69" s="17" t="s">
        <v>29</v>
      </c>
      <c r="Z69" s="17" t="s">
        <v>29</v>
      </c>
      <c r="AA69" s="17" t="s">
        <v>29</v>
      </c>
      <c r="AB69" s="17" t="s">
        <v>29</v>
      </c>
    </row>
    <row r="70" spans="1:28" x14ac:dyDescent="0.3">
      <c r="A70" s="63" t="s">
        <v>937</v>
      </c>
      <c r="B70" s="7" t="s">
        <v>91</v>
      </c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58"/>
    </row>
    <row r="71" spans="1:28" x14ac:dyDescent="0.3">
      <c r="A71" s="64"/>
      <c r="C71" s="7" t="s">
        <v>75</v>
      </c>
      <c r="D71" s="21" t="s">
        <v>76</v>
      </c>
      <c r="E71" s="9">
        <v>898000</v>
      </c>
      <c r="F71" s="9">
        <v>0</v>
      </c>
      <c r="G71" s="8"/>
      <c r="H71" s="9">
        <f>F71+G71</f>
        <v>0</v>
      </c>
      <c r="I71" s="8"/>
      <c r="J71" s="8"/>
      <c r="K71" s="8"/>
      <c r="L71" s="9"/>
      <c r="M71" s="9">
        <f>H71+L71</f>
        <v>0</v>
      </c>
      <c r="N71" s="9">
        <v>650637.9</v>
      </c>
      <c r="O71" s="8"/>
      <c r="P71" s="9">
        <f>N71+O71</f>
        <v>650637.9</v>
      </c>
      <c r="Q71" s="8"/>
      <c r="R71" s="8"/>
      <c r="S71" s="8"/>
      <c r="T71" s="9"/>
      <c r="U71" s="9">
        <f>P71+T71</f>
        <v>650637.9</v>
      </c>
      <c r="V71" s="9">
        <f>P71+H71</f>
        <v>650637.9</v>
      </c>
      <c r="W71" s="9">
        <f>E71-V71</f>
        <v>247362.09999999998</v>
      </c>
      <c r="X71" s="9">
        <f t="shared" ref="X71:X90" si="33">+H71+P71</f>
        <v>650637.9</v>
      </c>
      <c r="Y71" s="8"/>
      <c r="Z71" s="9">
        <f t="shared" ref="Z71:Z90" si="34">+E71-X71</f>
        <v>247362.09999999998</v>
      </c>
      <c r="AA71" s="8">
        <f t="shared" ref="AA71:AA90" si="35">+M71+U71</f>
        <v>650637.9</v>
      </c>
      <c r="AB71" s="8">
        <f t="shared" ref="AB71:AB90" si="36">+E71-AA71</f>
        <v>247362.09999999998</v>
      </c>
    </row>
    <row r="72" spans="1:28" x14ac:dyDescent="0.3">
      <c r="A72" s="64"/>
      <c r="C72" s="14" t="s">
        <v>77</v>
      </c>
      <c r="D72" s="21" t="s">
        <v>78</v>
      </c>
      <c r="E72" s="11">
        <v>6290651.6299999999</v>
      </c>
      <c r="F72" s="11">
        <v>4285291.17</v>
      </c>
      <c r="G72" s="8"/>
      <c r="H72" s="9">
        <f>F72+G72</f>
        <v>4285291.17</v>
      </c>
      <c r="I72" s="8"/>
      <c r="J72" s="8"/>
      <c r="K72" s="8"/>
      <c r="L72" s="9"/>
      <c r="M72" s="9">
        <f>H72+L72</f>
        <v>4285291.17</v>
      </c>
      <c r="N72" s="9">
        <v>2005360.46</v>
      </c>
      <c r="O72" s="8"/>
      <c r="P72" s="9">
        <f>N72+O72</f>
        <v>2005360.46</v>
      </c>
      <c r="Q72" s="8"/>
      <c r="R72" s="8"/>
      <c r="S72" s="8"/>
      <c r="T72" s="9"/>
      <c r="U72" s="9">
        <f>P72+T72</f>
        <v>2005360.46</v>
      </c>
      <c r="V72" s="9">
        <f>P72+H72</f>
        <v>6290651.6299999999</v>
      </c>
      <c r="W72" s="9">
        <f>E72-V72</f>
        <v>0</v>
      </c>
      <c r="X72" s="9">
        <f t="shared" si="33"/>
        <v>6290651.6299999999</v>
      </c>
      <c r="Y72" s="8"/>
      <c r="Z72" s="9">
        <f t="shared" si="34"/>
        <v>0</v>
      </c>
      <c r="AA72" s="8">
        <f t="shared" si="35"/>
        <v>6290651.6299999999</v>
      </c>
      <c r="AB72" s="8">
        <f t="shared" si="36"/>
        <v>0</v>
      </c>
    </row>
    <row r="73" spans="1:28" x14ac:dyDescent="0.3">
      <c r="A73" s="64"/>
      <c r="C73" s="7" t="s">
        <v>92</v>
      </c>
      <c r="D73" s="15" t="s">
        <v>79</v>
      </c>
      <c r="E73" s="9">
        <v>18905708.600000001</v>
      </c>
      <c r="F73" s="9">
        <v>10447976.6</v>
      </c>
      <c r="G73" s="8"/>
      <c r="H73" s="9">
        <f>F73+G73</f>
        <v>10447976.6</v>
      </c>
      <c r="I73" s="8"/>
      <c r="J73" s="8"/>
      <c r="K73" s="8"/>
      <c r="L73" s="9"/>
      <c r="M73" s="9">
        <f>H73+L73</f>
        <v>10447976.6</v>
      </c>
      <c r="N73" s="9">
        <v>8457732</v>
      </c>
      <c r="O73" s="8"/>
      <c r="P73" s="9">
        <f>N73+O73</f>
        <v>8457732</v>
      </c>
      <c r="Q73" s="9"/>
      <c r="R73" s="8"/>
      <c r="S73" s="9"/>
      <c r="T73" s="9"/>
      <c r="U73" s="9">
        <f>P73+T73</f>
        <v>8457732</v>
      </c>
      <c r="V73" s="9">
        <f>P73+H73</f>
        <v>18905708.600000001</v>
      </c>
      <c r="W73" s="9">
        <f>E73-V73</f>
        <v>0</v>
      </c>
      <c r="X73" s="9">
        <f t="shared" si="33"/>
        <v>18905708.600000001</v>
      </c>
      <c r="Y73" s="8"/>
      <c r="Z73" s="9">
        <f t="shared" si="34"/>
        <v>0</v>
      </c>
      <c r="AA73" s="8">
        <f t="shared" si="35"/>
        <v>18905708.600000001</v>
      </c>
      <c r="AB73" s="8">
        <f t="shared" si="36"/>
        <v>0</v>
      </c>
    </row>
    <row r="74" spans="1:28" x14ac:dyDescent="0.3">
      <c r="A74" s="64"/>
      <c r="C74" s="8"/>
      <c r="D74" s="14" t="s">
        <v>80</v>
      </c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9">
        <f t="shared" si="33"/>
        <v>0</v>
      </c>
      <c r="Y74" s="8"/>
      <c r="Z74" s="9">
        <f t="shared" si="34"/>
        <v>0</v>
      </c>
      <c r="AA74" s="8">
        <f t="shared" si="35"/>
        <v>0</v>
      </c>
      <c r="AB74" s="8">
        <f t="shared" si="36"/>
        <v>0</v>
      </c>
    </row>
    <row r="75" spans="1:28" x14ac:dyDescent="0.3">
      <c r="A75" s="64"/>
      <c r="C75" s="7" t="s">
        <v>81</v>
      </c>
      <c r="D75" s="15" t="s">
        <v>78</v>
      </c>
      <c r="E75" s="9">
        <v>1000000</v>
      </c>
      <c r="F75" s="9">
        <v>1000000</v>
      </c>
      <c r="G75" s="8"/>
      <c r="H75" s="9">
        <f t="shared" ref="H75:H89" si="37">F75+G75</f>
        <v>1000000</v>
      </c>
      <c r="I75" s="8"/>
      <c r="J75" s="8"/>
      <c r="K75" s="8"/>
      <c r="L75" s="9"/>
      <c r="M75" s="9">
        <f t="shared" ref="M75:M89" si="38">H75+L75</f>
        <v>1000000</v>
      </c>
      <c r="N75" s="9">
        <v>0</v>
      </c>
      <c r="O75" s="8"/>
      <c r="P75" s="9">
        <f t="shared" ref="P75:P89" si="39">N75+O75</f>
        <v>0</v>
      </c>
      <c r="Q75" s="8"/>
      <c r="R75" s="8"/>
      <c r="S75" s="8"/>
      <c r="T75" s="9"/>
      <c r="U75" s="9">
        <f t="shared" ref="U75:U89" si="40">P75+T75</f>
        <v>0</v>
      </c>
      <c r="V75" s="9">
        <f t="shared" ref="V75:V89" si="41">P75+H75</f>
        <v>1000000</v>
      </c>
      <c r="W75" s="9">
        <f t="shared" ref="W75:W89" si="42">E75-V75</f>
        <v>0</v>
      </c>
      <c r="X75" s="9">
        <f t="shared" si="33"/>
        <v>1000000</v>
      </c>
      <c r="Y75" s="8"/>
      <c r="Z75" s="9">
        <f t="shared" si="34"/>
        <v>0</v>
      </c>
      <c r="AA75" s="8">
        <f t="shared" si="35"/>
        <v>1000000</v>
      </c>
      <c r="AB75" s="8">
        <f t="shared" si="36"/>
        <v>0</v>
      </c>
    </row>
    <row r="76" spans="1:28" x14ac:dyDescent="0.3">
      <c r="A76" s="64"/>
      <c r="C76" s="7" t="s">
        <v>55</v>
      </c>
      <c r="D76" s="15" t="s">
        <v>93</v>
      </c>
      <c r="E76" s="9">
        <v>6056858.5</v>
      </c>
      <c r="F76" s="9">
        <v>0</v>
      </c>
      <c r="G76" s="8"/>
      <c r="H76" s="9">
        <f t="shared" si="37"/>
        <v>0</v>
      </c>
      <c r="I76" s="8"/>
      <c r="J76" s="8"/>
      <c r="K76" s="8"/>
      <c r="L76" s="9"/>
      <c r="M76" s="9">
        <f t="shared" si="38"/>
        <v>0</v>
      </c>
      <c r="N76" s="9">
        <v>6056858.5</v>
      </c>
      <c r="O76" s="8"/>
      <c r="P76" s="9">
        <f t="shared" si="39"/>
        <v>6056858.5</v>
      </c>
      <c r="Q76" s="8"/>
      <c r="R76" s="8"/>
      <c r="S76" s="8"/>
      <c r="T76" s="9"/>
      <c r="U76" s="9">
        <f t="shared" si="40"/>
        <v>6056858.5</v>
      </c>
      <c r="V76" s="9">
        <f t="shared" si="41"/>
        <v>6056858.5</v>
      </c>
      <c r="W76" s="9">
        <f t="shared" si="42"/>
        <v>0</v>
      </c>
      <c r="X76" s="9">
        <f t="shared" si="33"/>
        <v>6056858.5</v>
      </c>
      <c r="Y76" s="8"/>
      <c r="Z76" s="9">
        <f t="shared" si="34"/>
        <v>0</v>
      </c>
      <c r="AA76" s="8">
        <f t="shared" si="35"/>
        <v>6056858.5</v>
      </c>
      <c r="AB76" s="8">
        <f t="shared" si="36"/>
        <v>0</v>
      </c>
    </row>
    <row r="77" spans="1:28" x14ac:dyDescent="0.3">
      <c r="A77" s="64"/>
      <c r="C77" s="7" t="s">
        <v>53</v>
      </c>
      <c r="D77" s="15" t="s">
        <v>68</v>
      </c>
      <c r="E77" s="9">
        <v>1953989</v>
      </c>
      <c r="F77" s="9">
        <v>0</v>
      </c>
      <c r="G77" s="8"/>
      <c r="H77" s="9">
        <f t="shared" si="37"/>
        <v>0</v>
      </c>
      <c r="I77" s="8"/>
      <c r="J77" s="8"/>
      <c r="K77" s="8"/>
      <c r="L77" s="9"/>
      <c r="M77" s="9">
        <f t="shared" si="38"/>
        <v>0</v>
      </c>
      <c r="N77" s="9">
        <v>1953989</v>
      </c>
      <c r="O77" s="8"/>
      <c r="P77" s="9">
        <f t="shared" si="39"/>
        <v>1953989</v>
      </c>
      <c r="Q77" s="8"/>
      <c r="R77" s="8"/>
      <c r="S77" s="8"/>
      <c r="T77" s="9"/>
      <c r="U77" s="9">
        <f t="shared" si="40"/>
        <v>1953989</v>
      </c>
      <c r="V77" s="9">
        <f t="shared" si="41"/>
        <v>1953989</v>
      </c>
      <c r="W77" s="9">
        <f t="shared" si="42"/>
        <v>0</v>
      </c>
      <c r="X77" s="9">
        <f t="shared" si="33"/>
        <v>1953989</v>
      </c>
      <c r="Y77" s="8"/>
      <c r="Z77" s="9">
        <f t="shared" si="34"/>
        <v>0</v>
      </c>
      <c r="AA77" s="8">
        <f t="shared" si="35"/>
        <v>1953989</v>
      </c>
      <c r="AB77" s="8">
        <f t="shared" si="36"/>
        <v>0</v>
      </c>
    </row>
    <row r="78" spans="1:28" x14ac:dyDescent="0.3">
      <c r="A78" s="64"/>
      <c r="C78" s="7" t="s">
        <v>94</v>
      </c>
      <c r="D78" s="15" t="s">
        <v>85</v>
      </c>
      <c r="E78" s="9">
        <f>858400-12400</f>
        <v>846000</v>
      </c>
      <c r="F78" s="9">
        <v>846000</v>
      </c>
      <c r="G78" s="8"/>
      <c r="H78" s="9">
        <f t="shared" si="37"/>
        <v>846000</v>
      </c>
      <c r="I78" s="8"/>
      <c r="J78" s="8"/>
      <c r="K78" s="8"/>
      <c r="L78" s="9"/>
      <c r="M78" s="9">
        <f t="shared" si="38"/>
        <v>846000</v>
      </c>
      <c r="N78" s="9">
        <v>0</v>
      </c>
      <c r="O78" s="8"/>
      <c r="P78" s="9">
        <f t="shared" si="39"/>
        <v>0</v>
      </c>
      <c r="Q78" s="8"/>
      <c r="R78" s="8"/>
      <c r="S78" s="8"/>
      <c r="T78" s="9"/>
      <c r="U78" s="9">
        <f t="shared" si="40"/>
        <v>0</v>
      </c>
      <c r="V78" s="9">
        <f t="shared" si="41"/>
        <v>846000</v>
      </c>
      <c r="W78" s="9">
        <f t="shared" si="42"/>
        <v>0</v>
      </c>
      <c r="X78" s="9">
        <f t="shared" si="33"/>
        <v>846000</v>
      </c>
      <c r="Y78" s="8"/>
      <c r="Z78" s="9">
        <f t="shared" si="34"/>
        <v>0</v>
      </c>
      <c r="AA78" s="8">
        <f t="shared" si="35"/>
        <v>846000</v>
      </c>
      <c r="AB78" s="8">
        <f t="shared" si="36"/>
        <v>0</v>
      </c>
    </row>
    <row r="79" spans="1:28" x14ac:dyDescent="0.3">
      <c r="A79" s="64"/>
      <c r="C79" s="7" t="s">
        <v>86</v>
      </c>
      <c r="D79" s="15" t="s">
        <v>85</v>
      </c>
      <c r="E79" s="9">
        <f>-160000+160000</f>
        <v>0</v>
      </c>
      <c r="F79" s="9">
        <v>0</v>
      </c>
      <c r="G79" s="8"/>
      <c r="H79" s="9">
        <f t="shared" si="37"/>
        <v>0</v>
      </c>
      <c r="I79" s="8"/>
      <c r="J79" s="8"/>
      <c r="K79" s="8"/>
      <c r="L79" s="9"/>
      <c r="M79" s="9">
        <f t="shared" si="38"/>
        <v>0</v>
      </c>
      <c r="N79" s="9">
        <v>0</v>
      </c>
      <c r="O79" s="8"/>
      <c r="P79" s="9">
        <f t="shared" si="39"/>
        <v>0</v>
      </c>
      <c r="Q79" s="8"/>
      <c r="R79" s="8"/>
      <c r="S79" s="8"/>
      <c r="T79" s="9"/>
      <c r="U79" s="9">
        <f t="shared" si="40"/>
        <v>0</v>
      </c>
      <c r="V79" s="9">
        <f t="shared" si="41"/>
        <v>0</v>
      </c>
      <c r="W79" s="9">
        <f t="shared" si="42"/>
        <v>0</v>
      </c>
      <c r="X79" s="9">
        <f t="shared" si="33"/>
        <v>0</v>
      </c>
      <c r="Y79" s="8"/>
      <c r="Z79" s="9">
        <f t="shared" si="34"/>
        <v>0</v>
      </c>
      <c r="AA79" s="8">
        <f t="shared" si="35"/>
        <v>0</v>
      </c>
      <c r="AB79" s="8">
        <f t="shared" si="36"/>
        <v>0</v>
      </c>
    </row>
    <row r="80" spans="1:28" x14ac:dyDescent="0.3">
      <c r="A80" s="64"/>
      <c r="C80" s="7" t="s">
        <v>57</v>
      </c>
      <c r="D80" s="15" t="s">
        <v>58</v>
      </c>
      <c r="E80" s="9">
        <v>3155145</v>
      </c>
      <c r="F80" s="9">
        <v>3155145</v>
      </c>
      <c r="G80" s="8"/>
      <c r="H80" s="9">
        <f t="shared" si="37"/>
        <v>3155145</v>
      </c>
      <c r="I80" s="9"/>
      <c r="J80" s="8"/>
      <c r="K80" s="8"/>
      <c r="L80" s="9"/>
      <c r="M80" s="9">
        <f t="shared" si="38"/>
        <v>3155145</v>
      </c>
      <c r="N80" s="9">
        <v>0</v>
      </c>
      <c r="O80" s="8"/>
      <c r="P80" s="9">
        <f t="shared" si="39"/>
        <v>0</v>
      </c>
      <c r="Q80" s="8"/>
      <c r="R80" s="8"/>
      <c r="S80" s="8"/>
      <c r="T80" s="9"/>
      <c r="U80" s="9">
        <f t="shared" si="40"/>
        <v>0</v>
      </c>
      <c r="V80" s="9">
        <f t="shared" si="41"/>
        <v>3155145</v>
      </c>
      <c r="W80" s="9">
        <f t="shared" si="42"/>
        <v>0</v>
      </c>
      <c r="X80" s="9">
        <f t="shared" si="33"/>
        <v>3155145</v>
      </c>
      <c r="Y80" s="8"/>
      <c r="Z80" s="9">
        <f t="shared" si="34"/>
        <v>0</v>
      </c>
      <c r="AA80" s="8">
        <f t="shared" si="35"/>
        <v>3155145</v>
      </c>
      <c r="AB80" s="8">
        <f t="shared" si="36"/>
        <v>0</v>
      </c>
    </row>
    <row r="81" spans="1:28" x14ac:dyDescent="0.3">
      <c r="A81" s="64"/>
      <c r="C81" s="7" t="s">
        <v>57</v>
      </c>
      <c r="D81" s="15" t="s">
        <v>60</v>
      </c>
      <c r="E81" s="9">
        <v>3500000</v>
      </c>
      <c r="F81" s="11">
        <v>3500000</v>
      </c>
      <c r="G81" s="8"/>
      <c r="H81" s="9">
        <f t="shared" si="37"/>
        <v>3500000</v>
      </c>
      <c r="I81" s="8"/>
      <c r="J81" s="8"/>
      <c r="K81" s="8"/>
      <c r="L81" s="9"/>
      <c r="M81" s="9">
        <f t="shared" si="38"/>
        <v>3500000</v>
      </c>
      <c r="N81" s="9">
        <v>0</v>
      </c>
      <c r="O81" s="8"/>
      <c r="P81" s="9">
        <f t="shared" si="39"/>
        <v>0</v>
      </c>
      <c r="Q81" s="8"/>
      <c r="R81" s="8"/>
      <c r="S81" s="8"/>
      <c r="T81" s="9"/>
      <c r="U81" s="9">
        <f t="shared" si="40"/>
        <v>0</v>
      </c>
      <c r="V81" s="9">
        <f t="shared" si="41"/>
        <v>3500000</v>
      </c>
      <c r="W81" s="9">
        <f t="shared" si="42"/>
        <v>0</v>
      </c>
      <c r="X81" s="9">
        <f t="shared" si="33"/>
        <v>3500000</v>
      </c>
      <c r="Y81" s="8"/>
      <c r="Z81" s="9">
        <f t="shared" si="34"/>
        <v>0</v>
      </c>
      <c r="AA81" s="8">
        <f t="shared" si="35"/>
        <v>3500000</v>
      </c>
      <c r="AB81" s="8">
        <f t="shared" si="36"/>
        <v>0</v>
      </c>
    </row>
    <row r="82" spans="1:28" x14ac:dyDescent="0.3">
      <c r="A82" s="64"/>
      <c r="C82" s="14" t="s">
        <v>59</v>
      </c>
      <c r="D82" s="15" t="s">
        <v>60</v>
      </c>
      <c r="E82" s="9">
        <v>5000000</v>
      </c>
      <c r="F82" s="11">
        <v>5000000</v>
      </c>
      <c r="G82" s="8"/>
      <c r="H82" s="9">
        <f t="shared" si="37"/>
        <v>5000000</v>
      </c>
      <c r="I82" s="9"/>
      <c r="J82" s="8"/>
      <c r="K82" s="8"/>
      <c r="L82" s="9"/>
      <c r="M82" s="9">
        <f t="shared" si="38"/>
        <v>5000000</v>
      </c>
      <c r="N82" s="9">
        <v>0</v>
      </c>
      <c r="O82" s="8"/>
      <c r="P82" s="9">
        <f t="shared" si="39"/>
        <v>0</v>
      </c>
      <c r="Q82" s="8"/>
      <c r="R82" s="8"/>
      <c r="S82" s="8"/>
      <c r="T82" s="9"/>
      <c r="U82" s="9">
        <f t="shared" si="40"/>
        <v>0</v>
      </c>
      <c r="V82" s="9">
        <f t="shared" si="41"/>
        <v>5000000</v>
      </c>
      <c r="W82" s="9">
        <f t="shared" si="42"/>
        <v>0</v>
      </c>
      <c r="X82" s="9">
        <f t="shared" si="33"/>
        <v>5000000</v>
      </c>
      <c r="Y82" s="8"/>
      <c r="Z82" s="9">
        <f t="shared" si="34"/>
        <v>0</v>
      </c>
      <c r="AA82" s="8">
        <f t="shared" si="35"/>
        <v>5000000</v>
      </c>
      <c r="AB82" s="8">
        <f t="shared" si="36"/>
        <v>0</v>
      </c>
    </row>
    <row r="83" spans="1:28" x14ac:dyDescent="0.3">
      <c r="A83" s="64"/>
      <c r="C83" s="14" t="s">
        <v>57</v>
      </c>
      <c r="D83" s="15" t="s">
        <v>73</v>
      </c>
      <c r="E83" s="9">
        <v>1325240</v>
      </c>
      <c r="F83" s="11">
        <v>1325240</v>
      </c>
      <c r="G83" s="8"/>
      <c r="H83" s="9">
        <f t="shared" si="37"/>
        <v>1325240</v>
      </c>
      <c r="I83" s="8"/>
      <c r="J83" s="8"/>
      <c r="K83" s="8"/>
      <c r="L83" s="9"/>
      <c r="M83" s="9">
        <f t="shared" si="38"/>
        <v>1325240</v>
      </c>
      <c r="N83" s="9">
        <v>0</v>
      </c>
      <c r="O83" s="8"/>
      <c r="P83" s="9">
        <f t="shared" si="39"/>
        <v>0</v>
      </c>
      <c r="Q83" s="8"/>
      <c r="R83" s="8"/>
      <c r="S83" s="8"/>
      <c r="T83" s="9"/>
      <c r="U83" s="9">
        <f t="shared" si="40"/>
        <v>0</v>
      </c>
      <c r="V83" s="9">
        <f t="shared" si="41"/>
        <v>1325240</v>
      </c>
      <c r="W83" s="9">
        <f t="shared" si="42"/>
        <v>0</v>
      </c>
      <c r="X83" s="9">
        <f t="shared" si="33"/>
        <v>1325240</v>
      </c>
      <c r="Y83" s="8"/>
      <c r="Z83" s="9">
        <f t="shared" si="34"/>
        <v>0</v>
      </c>
      <c r="AA83" s="8">
        <f t="shared" si="35"/>
        <v>1325240</v>
      </c>
      <c r="AB83" s="8">
        <f t="shared" si="36"/>
        <v>0</v>
      </c>
    </row>
    <row r="84" spans="1:28" x14ac:dyDescent="0.3">
      <c r="A84" s="64"/>
      <c r="C84" s="14" t="s">
        <v>95</v>
      </c>
      <c r="D84" s="15" t="s">
        <v>73</v>
      </c>
      <c r="E84" s="9">
        <v>532006.98</v>
      </c>
      <c r="F84" s="11">
        <v>0</v>
      </c>
      <c r="G84" s="8"/>
      <c r="H84" s="9">
        <f t="shared" si="37"/>
        <v>0</v>
      </c>
      <c r="I84" s="8"/>
      <c r="J84" s="8"/>
      <c r="K84" s="8"/>
      <c r="L84" s="9"/>
      <c r="M84" s="9">
        <f t="shared" si="38"/>
        <v>0</v>
      </c>
      <c r="N84" s="11">
        <v>532006.98</v>
      </c>
      <c r="O84" s="8"/>
      <c r="P84" s="9">
        <f t="shared" si="39"/>
        <v>532006.98</v>
      </c>
      <c r="Q84" s="8"/>
      <c r="R84" s="8"/>
      <c r="S84" s="8"/>
      <c r="T84" s="9"/>
      <c r="U84" s="9">
        <f t="shared" si="40"/>
        <v>532006.98</v>
      </c>
      <c r="V84" s="9">
        <f t="shared" si="41"/>
        <v>532006.98</v>
      </c>
      <c r="W84" s="9">
        <f t="shared" si="42"/>
        <v>0</v>
      </c>
      <c r="X84" s="9">
        <f t="shared" si="33"/>
        <v>532006.98</v>
      </c>
      <c r="Y84" s="8"/>
      <c r="Z84" s="9">
        <f t="shared" si="34"/>
        <v>0</v>
      </c>
      <c r="AA84" s="8">
        <f t="shared" si="35"/>
        <v>532006.98</v>
      </c>
      <c r="AB84" s="8">
        <f t="shared" si="36"/>
        <v>0</v>
      </c>
    </row>
    <row r="85" spans="1:28" x14ac:dyDescent="0.3">
      <c r="A85" s="64"/>
      <c r="C85" s="7" t="s">
        <v>62</v>
      </c>
      <c r="D85" s="8"/>
      <c r="E85" s="9">
        <v>591814</v>
      </c>
      <c r="F85" s="9">
        <v>591814</v>
      </c>
      <c r="G85" s="8"/>
      <c r="H85" s="9">
        <f t="shared" si="37"/>
        <v>591814</v>
      </c>
      <c r="I85" s="8"/>
      <c r="J85" s="8"/>
      <c r="K85" s="8"/>
      <c r="L85" s="9"/>
      <c r="M85" s="9">
        <f t="shared" si="38"/>
        <v>591814</v>
      </c>
      <c r="N85" s="9">
        <v>0</v>
      </c>
      <c r="O85" s="8"/>
      <c r="P85" s="9">
        <f t="shared" si="39"/>
        <v>0</v>
      </c>
      <c r="Q85" s="8"/>
      <c r="R85" s="8"/>
      <c r="S85" s="8"/>
      <c r="T85" s="9"/>
      <c r="U85" s="9">
        <f t="shared" si="40"/>
        <v>0</v>
      </c>
      <c r="V85" s="9">
        <f t="shared" si="41"/>
        <v>591814</v>
      </c>
      <c r="W85" s="9">
        <f t="shared" si="42"/>
        <v>0</v>
      </c>
      <c r="X85" s="9">
        <f t="shared" si="33"/>
        <v>591814</v>
      </c>
      <c r="Y85" s="8"/>
      <c r="Z85" s="9">
        <f t="shared" si="34"/>
        <v>0</v>
      </c>
      <c r="AA85" s="8">
        <f t="shared" si="35"/>
        <v>591814</v>
      </c>
      <c r="AB85" s="8">
        <f t="shared" si="36"/>
        <v>0</v>
      </c>
    </row>
    <row r="86" spans="1:28" x14ac:dyDescent="0.3">
      <c r="A86" s="64"/>
      <c r="C86" s="7" t="s">
        <v>96</v>
      </c>
      <c r="D86" s="8"/>
      <c r="E86" s="9">
        <v>799924</v>
      </c>
      <c r="F86" s="9">
        <v>799924</v>
      </c>
      <c r="G86" s="8"/>
      <c r="H86" s="9">
        <f t="shared" si="37"/>
        <v>799924</v>
      </c>
      <c r="I86" s="8"/>
      <c r="J86" s="8"/>
      <c r="K86" s="8"/>
      <c r="L86" s="9"/>
      <c r="M86" s="9">
        <f t="shared" si="38"/>
        <v>799924</v>
      </c>
      <c r="N86" s="9">
        <v>0</v>
      </c>
      <c r="O86" s="8"/>
      <c r="P86" s="9">
        <f t="shared" si="39"/>
        <v>0</v>
      </c>
      <c r="Q86" s="8"/>
      <c r="R86" s="8"/>
      <c r="S86" s="8"/>
      <c r="T86" s="9"/>
      <c r="U86" s="9">
        <f t="shared" si="40"/>
        <v>0</v>
      </c>
      <c r="V86" s="9">
        <f t="shared" si="41"/>
        <v>799924</v>
      </c>
      <c r="W86" s="9">
        <f t="shared" si="42"/>
        <v>0</v>
      </c>
      <c r="X86" s="9">
        <f t="shared" si="33"/>
        <v>799924</v>
      </c>
      <c r="Y86" s="8"/>
      <c r="Z86" s="9">
        <f t="shared" si="34"/>
        <v>0</v>
      </c>
      <c r="AA86" s="8">
        <f t="shared" si="35"/>
        <v>799924</v>
      </c>
      <c r="AB86" s="8">
        <f t="shared" si="36"/>
        <v>0</v>
      </c>
    </row>
    <row r="87" spans="1:28" x14ac:dyDescent="0.3">
      <c r="A87" s="64"/>
      <c r="C87" s="7" t="s">
        <v>1117</v>
      </c>
      <c r="D87" s="23" t="s">
        <v>1126</v>
      </c>
      <c r="E87" s="9">
        <v>35344.15</v>
      </c>
      <c r="F87" s="8">
        <v>35344.15</v>
      </c>
      <c r="G87" s="8"/>
      <c r="H87" s="9">
        <f>+F87+G87</f>
        <v>35344.15</v>
      </c>
      <c r="I87" s="8"/>
      <c r="J87" s="8"/>
      <c r="K87" s="8"/>
      <c r="L87" s="9"/>
      <c r="M87" s="9">
        <f t="shared" si="38"/>
        <v>35344.15</v>
      </c>
      <c r="N87" s="9">
        <v>0</v>
      </c>
      <c r="O87" s="8"/>
      <c r="P87" s="9">
        <f t="shared" si="39"/>
        <v>0</v>
      </c>
      <c r="Q87" s="8"/>
      <c r="R87" s="8"/>
      <c r="S87" s="8"/>
      <c r="T87" s="9"/>
      <c r="U87" s="9">
        <f t="shared" si="40"/>
        <v>0</v>
      </c>
      <c r="V87" s="9">
        <f t="shared" si="41"/>
        <v>35344.15</v>
      </c>
      <c r="W87" s="9">
        <f t="shared" si="42"/>
        <v>0</v>
      </c>
      <c r="X87" s="9">
        <f t="shared" si="33"/>
        <v>35344.15</v>
      </c>
      <c r="Y87" s="8"/>
      <c r="Z87" s="9">
        <f t="shared" si="34"/>
        <v>0</v>
      </c>
      <c r="AA87" s="8">
        <f t="shared" si="35"/>
        <v>35344.15</v>
      </c>
      <c r="AB87" s="8">
        <f t="shared" si="36"/>
        <v>0</v>
      </c>
    </row>
    <row r="88" spans="1:28" x14ac:dyDescent="0.3">
      <c r="A88" s="64"/>
      <c r="C88" s="7" t="s">
        <v>930</v>
      </c>
      <c r="D88" s="8"/>
      <c r="E88" s="9">
        <v>1436724.2</v>
      </c>
      <c r="F88" s="8">
        <v>1436724.2</v>
      </c>
      <c r="G88" s="8"/>
      <c r="H88" s="9">
        <f>+F88+G88</f>
        <v>1436724.2</v>
      </c>
      <c r="I88" s="8"/>
      <c r="J88" s="8"/>
      <c r="K88" s="8"/>
      <c r="L88" s="9"/>
      <c r="M88" s="9">
        <f>+H88+L88</f>
        <v>1436724.2</v>
      </c>
      <c r="N88" s="9">
        <v>0</v>
      </c>
      <c r="O88" s="8"/>
      <c r="P88" s="9">
        <f>+N88+O88</f>
        <v>0</v>
      </c>
      <c r="Q88" s="8"/>
      <c r="R88" s="8"/>
      <c r="S88" s="8"/>
      <c r="T88" s="9"/>
      <c r="U88" s="9">
        <f>P88+T88</f>
        <v>0</v>
      </c>
      <c r="V88" s="9">
        <f>P88+H88</f>
        <v>1436724.2</v>
      </c>
      <c r="W88" s="9">
        <f>E88-V88</f>
        <v>0</v>
      </c>
      <c r="X88" s="9">
        <f t="shared" si="33"/>
        <v>1436724.2</v>
      </c>
      <c r="Y88" s="8"/>
      <c r="Z88" s="9">
        <f t="shared" si="34"/>
        <v>0</v>
      </c>
      <c r="AA88" s="8">
        <f t="shared" si="35"/>
        <v>1436724.2</v>
      </c>
      <c r="AB88" s="8">
        <f t="shared" si="36"/>
        <v>0</v>
      </c>
    </row>
    <row r="89" spans="1:28" x14ac:dyDescent="0.3">
      <c r="A89" s="64"/>
      <c r="C89" s="14" t="s">
        <v>57</v>
      </c>
      <c r="D89" s="23" t="s">
        <v>61</v>
      </c>
      <c r="E89" s="9">
        <v>561000</v>
      </c>
      <c r="F89" s="9">
        <v>561000</v>
      </c>
      <c r="G89" s="8"/>
      <c r="H89" s="9">
        <f t="shared" si="37"/>
        <v>561000</v>
      </c>
      <c r="I89" s="8">
        <v>561000</v>
      </c>
      <c r="J89" s="8">
        <v>561000</v>
      </c>
      <c r="K89" s="8"/>
      <c r="L89" s="9"/>
      <c r="M89" s="9">
        <f t="shared" si="38"/>
        <v>561000</v>
      </c>
      <c r="N89" s="9">
        <v>0</v>
      </c>
      <c r="O89" s="8"/>
      <c r="P89" s="9">
        <f t="shared" si="39"/>
        <v>0</v>
      </c>
      <c r="Q89" s="8"/>
      <c r="R89" s="8"/>
      <c r="S89" s="8"/>
      <c r="T89" s="9"/>
      <c r="U89" s="9">
        <f t="shared" si="40"/>
        <v>0</v>
      </c>
      <c r="V89" s="9">
        <f t="shared" si="41"/>
        <v>561000</v>
      </c>
      <c r="W89" s="9">
        <f t="shared" si="42"/>
        <v>0</v>
      </c>
      <c r="X89" s="9">
        <f t="shared" si="33"/>
        <v>561000</v>
      </c>
      <c r="Y89" s="8"/>
      <c r="Z89" s="9">
        <f t="shared" si="34"/>
        <v>0</v>
      </c>
      <c r="AA89" s="8">
        <f t="shared" si="35"/>
        <v>561000</v>
      </c>
      <c r="AB89" s="8">
        <f t="shared" si="36"/>
        <v>0</v>
      </c>
    </row>
    <row r="90" spans="1:28" x14ac:dyDescent="0.3">
      <c r="A90" s="64"/>
      <c r="C90" s="14" t="s">
        <v>90</v>
      </c>
      <c r="D90" s="23" t="s">
        <v>61</v>
      </c>
      <c r="E90" s="9">
        <f>31498.43+564655.85</f>
        <v>596154.28</v>
      </c>
      <c r="F90" s="9">
        <v>564655.85</v>
      </c>
      <c r="G90" s="8"/>
      <c r="H90" s="9">
        <f>F90+G90</f>
        <v>564655.85</v>
      </c>
      <c r="I90" s="8">
        <v>561000</v>
      </c>
      <c r="J90" s="8">
        <v>561000</v>
      </c>
      <c r="K90" s="8"/>
      <c r="L90" s="9"/>
      <c r="M90" s="9">
        <f>H90+L90</f>
        <v>564655.85</v>
      </c>
      <c r="N90" s="9">
        <v>1880.42</v>
      </c>
      <c r="O90" s="8"/>
      <c r="P90" s="9">
        <f>N90+O90</f>
        <v>1880.42</v>
      </c>
      <c r="Q90" s="8"/>
      <c r="R90" s="8"/>
      <c r="S90" s="8">
        <v>31498.43</v>
      </c>
      <c r="T90" s="9">
        <v>29618.01</v>
      </c>
      <c r="U90" s="9">
        <f>P90+T90</f>
        <v>31498.43</v>
      </c>
      <c r="V90" s="9">
        <f>P90+H90</f>
        <v>566536.27</v>
      </c>
      <c r="W90" s="9">
        <f>E90-V90</f>
        <v>29618.010000000009</v>
      </c>
      <c r="X90" s="9">
        <f t="shared" si="33"/>
        <v>566536.27</v>
      </c>
      <c r="Y90" s="8"/>
      <c r="Z90" s="9">
        <f t="shared" si="34"/>
        <v>29618.010000000009</v>
      </c>
      <c r="AA90" s="8">
        <f t="shared" si="35"/>
        <v>596154.28</v>
      </c>
      <c r="AB90" s="8">
        <f t="shared" si="36"/>
        <v>0</v>
      </c>
    </row>
    <row r="91" spans="1:28" x14ac:dyDescent="0.3">
      <c r="A91" s="64"/>
      <c r="C91" s="8"/>
      <c r="D91" s="8"/>
      <c r="E91" s="17" t="s">
        <v>29</v>
      </c>
      <c r="F91" s="17" t="s">
        <v>29</v>
      </c>
      <c r="G91" s="17" t="s">
        <v>29</v>
      </c>
      <c r="H91" s="17" t="s">
        <v>29</v>
      </c>
      <c r="I91" s="17" t="s">
        <v>29</v>
      </c>
      <c r="J91" s="17" t="s">
        <v>29</v>
      </c>
      <c r="K91" s="17" t="s">
        <v>29</v>
      </c>
      <c r="L91" s="17" t="s">
        <v>29</v>
      </c>
      <c r="M91" s="17" t="s">
        <v>29</v>
      </c>
      <c r="N91" s="17" t="s">
        <v>29</v>
      </c>
      <c r="O91" s="17" t="s">
        <v>29</v>
      </c>
      <c r="P91" s="17" t="s">
        <v>29</v>
      </c>
      <c r="Q91" s="17" t="s">
        <v>29</v>
      </c>
      <c r="R91" s="17" t="s">
        <v>29</v>
      </c>
      <c r="S91" s="17" t="s">
        <v>29</v>
      </c>
      <c r="T91" s="17" t="s">
        <v>29</v>
      </c>
      <c r="U91" s="17" t="s">
        <v>29</v>
      </c>
      <c r="V91" s="17" t="s">
        <v>29</v>
      </c>
      <c r="W91" s="17" t="s">
        <v>29</v>
      </c>
      <c r="X91" s="17" t="s">
        <v>29</v>
      </c>
      <c r="Y91" s="17" t="s">
        <v>29</v>
      </c>
      <c r="Z91" s="17" t="s">
        <v>29</v>
      </c>
      <c r="AA91" s="17" t="s">
        <v>29</v>
      </c>
      <c r="AB91" s="17" t="s">
        <v>29</v>
      </c>
    </row>
    <row r="92" spans="1:28" x14ac:dyDescent="0.3">
      <c r="A92" s="64"/>
      <c r="C92" s="8"/>
      <c r="D92" s="8"/>
      <c r="E92" s="9">
        <f>SUM(E71:E90)</f>
        <v>53484560.340000004</v>
      </c>
      <c r="F92" s="9">
        <f t="shared" ref="F92:AB92" si="43">SUM(F71:F90)</f>
        <v>33549114.969999999</v>
      </c>
      <c r="G92" s="9">
        <f t="shared" si="43"/>
        <v>0</v>
      </c>
      <c r="H92" s="9">
        <f t="shared" si="43"/>
        <v>33549114.969999999</v>
      </c>
      <c r="I92" s="9">
        <f t="shared" si="43"/>
        <v>1122000</v>
      </c>
      <c r="J92" s="9">
        <f t="shared" si="43"/>
        <v>1122000</v>
      </c>
      <c r="K92" s="9">
        <f t="shared" si="43"/>
        <v>0</v>
      </c>
      <c r="L92" s="9">
        <f t="shared" si="43"/>
        <v>0</v>
      </c>
      <c r="M92" s="9">
        <f t="shared" si="43"/>
        <v>33549114.969999999</v>
      </c>
      <c r="N92" s="9">
        <f t="shared" si="43"/>
        <v>19658465.260000002</v>
      </c>
      <c r="O92" s="9">
        <f t="shared" si="43"/>
        <v>0</v>
      </c>
      <c r="P92" s="9">
        <f t="shared" si="43"/>
        <v>19658465.260000002</v>
      </c>
      <c r="Q92" s="9">
        <f t="shared" si="43"/>
        <v>0</v>
      </c>
      <c r="R92" s="9">
        <f t="shared" si="43"/>
        <v>0</v>
      </c>
      <c r="S92" s="9">
        <f t="shared" si="43"/>
        <v>31498.43</v>
      </c>
      <c r="T92" s="9">
        <f t="shared" si="43"/>
        <v>29618.01</v>
      </c>
      <c r="U92" s="9">
        <f t="shared" si="43"/>
        <v>19688083.27</v>
      </c>
      <c r="V92" s="9">
        <f t="shared" si="43"/>
        <v>53207580.230000004</v>
      </c>
      <c r="W92" s="9">
        <f t="shared" si="43"/>
        <v>276980.11</v>
      </c>
      <c r="X92" s="9">
        <f t="shared" si="43"/>
        <v>53207580.230000004</v>
      </c>
      <c r="Y92" s="9">
        <f t="shared" si="43"/>
        <v>0</v>
      </c>
      <c r="Z92" s="9">
        <f t="shared" si="43"/>
        <v>276980.11</v>
      </c>
      <c r="AA92" s="9">
        <f t="shared" si="43"/>
        <v>53237198.240000002</v>
      </c>
      <c r="AB92" s="9">
        <f t="shared" si="43"/>
        <v>247362.09999999998</v>
      </c>
    </row>
    <row r="93" spans="1:28" x14ac:dyDescent="0.3">
      <c r="A93" s="64"/>
      <c r="C93" s="8"/>
      <c r="D93" s="8"/>
      <c r="E93" s="17" t="s">
        <v>29</v>
      </c>
      <c r="F93" s="17" t="s">
        <v>29</v>
      </c>
      <c r="G93" s="17" t="s">
        <v>29</v>
      </c>
      <c r="H93" s="17" t="s">
        <v>29</v>
      </c>
      <c r="I93" s="17" t="s">
        <v>29</v>
      </c>
      <c r="J93" s="17" t="s">
        <v>29</v>
      </c>
      <c r="K93" s="17" t="s">
        <v>29</v>
      </c>
      <c r="L93" s="17" t="s">
        <v>29</v>
      </c>
      <c r="M93" s="17" t="s">
        <v>29</v>
      </c>
      <c r="N93" s="17" t="s">
        <v>29</v>
      </c>
      <c r="O93" s="17" t="s">
        <v>29</v>
      </c>
      <c r="P93" s="17" t="s">
        <v>29</v>
      </c>
      <c r="Q93" s="17" t="s">
        <v>29</v>
      </c>
      <c r="R93" s="17" t="s">
        <v>29</v>
      </c>
      <c r="S93" s="17" t="s">
        <v>29</v>
      </c>
      <c r="T93" s="17" t="s">
        <v>29</v>
      </c>
      <c r="U93" s="17" t="s">
        <v>29</v>
      </c>
      <c r="V93" s="17" t="s">
        <v>29</v>
      </c>
      <c r="W93" s="17" t="s">
        <v>29</v>
      </c>
      <c r="X93" s="17" t="s">
        <v>29</v>
      </c>
      <c r="Y93" s="17" t="s">
        <v>29</v>
      </c>
      <c r="Z93" s="17" t="s">
        <v>29</v>
      </c>
      <c r="AA93" s="17" t="s">
        <v>29</v>
      </c>
      <c r="AB93" s="17" t="s">
        <v>29</v>
      </c>
    </row>
    <row r="94" spans="1:28" x14ac:dyDescent="0.3">
      <c r="A94" s="63" t="s">
        <v>938</v>
      </c>
      <c r="B94" s="7" t="s">
        <v>97</v>
      </c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58"/>
    </row>
    <row r="95" spans="1:28" x14ac:dyDescent="0.3">
      <c r="A95" s="64"/>
      <c r="C95" s="7" t="s">
        <v>75</v>
      </c>
      <c r="D95" s="21" t="s">
        <v>76</v>
      </c>
      <c r="E95" s="9">
        <v>2752000</v>
      </c>
      <c r="F95" s="9">
        <v>0</v>
      </c>
      <c r="G95" s="8"/>
      <c r="H95" s="9">
        <f t="shared" ref="H95:H105" si="44">F95+G95</f>
        <v>0</v>
      </c>
      <c r="I95" s="8"/>
      <c r="J95" s="8"/>
      <c r="K95" s="8"/>
      <c r="L95" s="9"/>
      <c r="M95" s="9">
        <f t="shared" ref="M95:M105" si="45">H95+L95</f>
        <v>0</v>
      </c>
      <c r="N95" s="9">
        <v>2752000</v>
      </c>
      <c r="O95" s="8"/>
      <c r="P95" s="9">
        <f t="shared" ref="P95:P105" si="46">N95+O95</f>
        <v>2752000</v>
      </c>
      <c r="Q95" s="8"/>
      <c r="R95" s="8"/>
      <c r="S95" s="8"/>
      <c r="T95" s="9"/>
      <c r="U95" s="9">
        <f t="shared" ref="U95:U105" si="47">P95+T95</f>
        <v>2752000</v>
      </c>
      <c r="V95" s="9">
        <f t="shared" ref="V95:V105" si="48">P95+H95</f>
        <v>2752000</v>
      </c>
      <c r="W95" s="9">
        <f t="shared" ref="W95:W105" si="49">E95-V95</f>
        <v>0</v>
      </c>
      <c r="X95" s="9">
        <f t="shared" ref="X95:X105" si="50">+H95+P95</f>
        <v>2752000</v>
      </c>
      <c r="Y95" s="8"/>
      <c r="Z95" s="9">
        <f t="shared" ref="Z95:Z105" si="51">+E95-X95</f>
        <v>0</v>
      </c>
      <c r="AA95" s="8">
        <f t="shared" ref="AA95:AA105" si="52">+M95+U95</f>
        <v>2752000</v>
      </c>
      <c r="AB95" s="8">
        <f t="shared" ref="AB95:AB105" si="53">+E95-AA95</f>
        <v>0</v>
      </c>
    </row>
    <row r="96" spans="1:28" x14ac:dyDescent="0.3">
      <c r="A96" s="64"/>
      <c r="C96" s="7" t="s">
        <v>77</v>
      </c>
      <c r="D96" s="15" t="s">
        <v>78</v>
      </c>
      <c r="E96" s="9">
        <v>1657000</v>
      </c>
      <c r="F96" s="9">
        <v>1657000</v>
      </c>
      <c r="G96" s="8"/>
      <c r="H96" s="9">
        <f t="shared" si="44"/>
        <v>1657000</v>
      </c>
      <c r="I96" s="8"/>
      <c r="J96" s="8"/>
      <c r="K96" s="8"/>
      <c r="L96" s="9"/>
      <c r="M96" s="9">
        <f t="shared" si="45"/>
        <v>1657000</v>
      </c>
      <c r="N96" s="9">
        <v>0</v>
      </c>
      <c r="O96" s="8"/>
      <c r="P96" s="9">
        <f t="shared" si="46"/>
        <v>0</v>
      </c>
      <c r="Q96" s="8"/>
      <c r="R96" s="8"/>
      <c r="S96" s="8"/>
      <c r="T96" s="9"/>
      <c r="U96" s="9">
        <f t="shared" si="47"/>
        <v>0</v>
      </c>
      <c r="V96" s="9">
        <f t="shared" si="48"/>
        <v>1657000</v>
      </c>
      <c r="W96" s="9">
        <f t="shared" si="49"/>
        <v>0</v>
      </c>
      <c r="X96" s="9">
        <f t="shared" si="50"/>
        <v>1657000</v>
      </c>
      <c r="Y96" s="8"/>
      <c r="Z96" s="9">
        <f t="shared" si="51"/>
        <v>0</v>
      </c>
      <c r="AA96" s="8">
        <f t="shared" si="52"/>
        <v>1657000</v>
      </c>
      <c r="AB96" s="8">
        <f t="shared" si="53"/>
        <v>0</v>
      </c>
    </row>
    <row r="97" spans="1:28" x14ac:dyDescent="0.3">
      <c r="A97" s="64"/>
      <c r="C97" s="7" t="s">
        <v>92</v>
      </c>
      <c r="D97" s="15" t="s">
        <v>98</v>
      </c>
      <c r="E97" s="9">
        <v>4871198</v>
      </c>
      <c r="F97" s="9">
        <v>4871198</v>
      </c>
      <c r="G97" s="8"/>
      <c r="H97" s="9">
        <f t="shared" si="44"/>
        <v>4871198</v>
      </c>
      <c r="I97" s="8"/>
      <c r="J97" s="8"/>
      <c r="K97" s="8"/>
      <c r="L97" s="9"/>
      <c r="M97" s="9">
        <f t="shared" si="45"/>
        <v>4871198</v>
      </c>
      <c r="N97" s="9">
        <v>0</v>
      </c>
      <c r="O97" s="8"/>
      <c r="P97" s="9">
        <f t="shared" si="46"/>
        <v>0</v>
      </c>
      <c r="Q97" s="8"/>
      <c r="R97" s="8"/>
      <c r="S97" s="8"/>
      <c r="T97" s="9"/>
      <c r="U97" s="9">
        <f t="shared" si="47"/>
        <v>0</v>
      </c>
      <c r="V97" s="9">
        <f t="shared" si="48"/>
        <v>4871198</v>
      </c>
      <c r="W97" s="9">
        <f t="shared" si="49"/>
        <v>0</v>
      </c>
      <c r="X97" s="9">
        <f t="shared" si="50"/>
        <v>4871198</v>
      </c>
      <c r="Y97" s="8"/>
      <c r="Z97" s="9">
        <f t="shared" si="51"/>
        <v>0</v>
      </c>
      <c r="AA97" s="8">
        <f t="shared" si="52"/>
        <v>4871198</v>
      </c>
      <c r="AB97" s="8">
        <f t="shared" si="53"/>
        <v>0</v>
      </c>
    </row>
    <row r="98" spans="1:28" x14ac:dyDescent="0.3">
      <c r="A98" s="64"/>
      <c r="C98" s="7" t="s">
        <v>55</v>
      </c>
      <c r="D98" s="15" t="s">
        <v>99</v>
      </c>
      <c r="E98" s="9">
        <v>2191639.5</v>
      </c>
      <c r="F98" s="9">
        <v>0</v>
      </c>
      <c r="G98" s="8"/>
      <c r="H98" s="9">
        <f t="shared" si="44"/>
        <v>0</v>
      </c>
      <c r="I98" s="8"/>
      <c r="J98" s="8"/>
      <c r="K98" s="8"/>
      <c r="L98" s="9"/>
      <c r="M98" s="9">
        <f t="shared" si="45"/>
        <v>0</v>
      </c>
      <c r="N98" s="9">
        <v>2191639.5</v>
      </c>
      <c r="O98" s="8"/>
      <c r="P98" s="9">
        <f t="shared" si="46"/>
        <v>2191639.5</v>
      </c>
      <c r="Q98" s="8"/>
      <c r="R98" s="8"/>
      <c r="S98" s="8"/>
      <c r="T98" s="9"/>
      <c r="U98" s="9">
        <f t="shared" si="47"/>
        <v>2191639.5</v>
      </c>
      <c r="V98" s="9">
        <f t="shared" si="48"/>
        <v>2191639.5</v>
      </c>
      <c r="W98" s="9">
        <f t="shared" si="49"/>
        <v>0</v>
      </c>
      <c r="X98" s="9">
        <f t="shared" si="50"/>
        <v>2191639.5</v>
      </c>
      <c r="Y98" s="8"/>
      <c r="Z98" s="9">
        <f t="shared" si="51"/>
        <v>0</v>
      </c>
      <c r="AA98" s="8">
        <f t="shared" si="52"/>
        <v>2191639.5</v>
      </c>
      <c r="AB98" s="8">
        <f t="shared" si="53"/>
        <v>0</v>
      </c>
    </row>
    <row r="99" spans="1:28" x14ac:dyDescent="0.3">
      <c r="A99" s="64"/>
      <c r="C99" s="7" t="s">
        <v>53</v>
      </c>
      <c r="D99" s="15" t="s">
        <v>54</v>
      </c>
      <c r="E99" s="9">
        <v>2306106</v>
      </c>
      <c r="F99" s="9">
        <v>0</v>
      </c>
      <c r="G99" s="8"/>
      <c r="H99" s="9">
        <f t="shared" si="44"/>
        <v>0</v>
      </c>
      <c r="I99" s="8"/>
      <c r="J99" s="8"/>
      <c r="K99" s="8"/>
      <c r="L99" s="9"/>
      <c r="M99" s="9">
        <f t="shared" si="45"/>
        <v>0</v>
      </c>
      <c r="N99" s="9">
        <v>2306106</v>
      </c>
      <c r="O99" s="8"/>
      <c r="P99" s="9">
        <f t="shared" si="46"/>
        <v>2306106</v>
      </c>
      <c r="Q99" s="8"/>
      <c r="R99" s="8"/>
      <c r="S99" s="8"/>
      <c r="T99" s="9"/>
      <c r="U99" s="9">
        <f t="shared" si="47"/>
        <v>2306106</v>
      </c>
      <c r="V99" s="9">
        <f t="shared" si="48"/>
        <v>2306106</v>
      </c>
      <c r="W99" s="9">
        <f t="shared" si="49"/>
        <v>0</v>
      </c>
      <c r="X99" s="9">
        <f t="shared" si="50"/>
        <v>2306106</v>
      </c>
      <c r="Y99" s="8"/>
      <c r="Z99" s="9">
        <f t="shared" si="51"/>
        <v>0</v>
      </c>
      <c r="AA99" s="8">
        <f t="shared" si="52"/>
        <v>2306106</v>
      </c>
      <c r="AB99" s="8">
        <f t="shared" si="53"/>
        <v>0</v>
      </c>
    </row>
    <row r="100" spans="1:28" x14ac:dyDescent="0.3">
      <c r="A100" s="64"/>
      <c r="C100" s="7" t="s">
        <v>87</v>
      </c>
      <c r="D100" s="15" t="s">
        <v>88</v>
      </c>
      <c r="E100" s="9">
        <v>10177340</v>
      </c>
      <c r="F100" s="9">
        <v>10177340</v>
      </c>
      <c r="G100" s="8"/>
      <c r="H100" s="9">
        <f t="shared" si="44"/>
        <v>10177340</v>
      </c>
      <c r="I100" s="8"/>
      <c r="J100" s="8"/>
      <c r="K100" s="8"/>
      <c r="L100" s="9"/>
      <c r="M100" s="9">
        <f t="shared" si="45"/>
        <v>10177340</v>
      </c>
      <c r="N100" s="9">
        <v>0</v>
      </c>
      <c r="O100" s="8"/>
      <c r="P100" s="9">
        <f t="shared" si="46"/>
        <v>0</v>
      </c>
      <c r="Q100" s="8"/>
      <c r="R100" s="8"/>
      <c r="S100" s="8"/>
      <c r="T100" s="9"/>
      <c r="U100" s="9">
        <f t="shared" si="47"/>
        <v>0</v>
      </c>
      <c r="V100" s="9">
        <f t="shared" si="48"/>
        <v>10177340</v>
      </c>
      <c r="W100" s="9">
        <f t="shared" si="49"/>
        <v>0</v>
      </c>
      <c r="X100" s="9">
        <f t="shared" si="50"/>
        <v>10177340</v>
      </c>
      <c r="Y100" s="8"/>
      <c r="Z100" s="9">
        <f t="shared" si="51"/>
        <v>0</v>
      </c>
      <c r="AA100" s="8">
        <f t="shared" si="52"/>
        <v>10177340</v>
      </c>
      <c r="AB100" s="8">
        <f t="shared" si="53"/>
        <v>0</v>
      </c>
    </row>
    <row r="101" spans="1:28" x14ac:dyDescent="0.3">
      <c r="A101" s="64"/>
      <c r="C101" s="7" t="s">
        <v>57</v>
      </c>
      <c r="D101" s="15" t="s">
        <v>58</v>
      </c>
      <c r="E101" s="9">
        <v>2849204</v>
      </c>
      <c r="F101" s="9">
        <v>2849204</v>
      </c>
      <c r="G101" s="8"/>
      <c r="H101" s="9">
        <f t="shared" si="44"/>
        <v>2849204</v>
      </c>
      <c r="I101" s="8"/>
      <c r="J101" s="8"/>
      <c r="K101" s="8"/>
      <c r="L101" s="9"/>
      <c r="M101" s="9">
        <f t="shared" si="45"/>
        <v>2849204</v>
      </c>
      <c r="N101" s="9">
        <v>0</v>
      </c>
      <c r="O101" s="8"/>
      <c r="P101" s="9">
        <f t="shared" si="46"/>
        <v>0</v>
      </c>
      <c r="Q101" s="8"/>
      <c r="R101" s="8"/>
      <c r="S101" s="8"/>
      <c r="T101" s="9"/>
      <c r="U101" s="9">
        <f t="shared" si="47"/>
        <v>0</v>
      </c>
      <c r="V101" s="9">
        <f t="shared" si="48"/>
        <v>2849204</v>
      </c>
      <c r="W101" s="9">
        <f t="shared" si="49"/>
        <v>0</v>
      </c>
      <c r="X101" s="9">
        <f t="shared" si="50"/>
        <v>2849204</v>
      </c>
      <c r="Y101" s="8"/>
      <c r="Z101" s="9">
        <f t="shared" si="51"/>
        <v>0</v>
      </c>
      <c r="AA101" s="8">
        <f t="shared" si="52"/>
        <v>2849204</v>
      </c>
      <c r="AB101" s="8">
        <f t="shared" si="53"/>
        <v>0</v>
      </c>
    </row>
    <row r="102" spans="1:28" x14ac:dyDescent="0.3">
      <c r="A102" s="64"/>
      <c r="C102" s="14" t="s">
        <v>59</v>
      </c>
      <c r="D102" s="16" t="s">
        <v>60</v>
      </c>
      <c r="E102" s="9">
        <v>7500000</v>
      </c>
      <c r="F102" s="11">
        <v>7500000</v>
      </c>
      <c r="G102" s="8"/>
      <c r="H102" s="9">
        <f t="shared" si="44"/>
        <v>7500000</v>
      </c>
      <c r="I102" s="8"/>
      <c r="J102" s="8"/>
      <c r="K102" s="8"/>
      <c r="L102" s="9"/>
      <c r="M102" s="9">
        <f t="shared" si="45"/>
        <v>7500000</v>
      </c>
      <c r="N102" s="9">
        <v>0</v>
      </c>
      <c r="O102" s="8"/>
      <c r="P102" s="9">
        <f t="shared" si="46"/>
        <v>0</v>
      </c>
      <c r="Q102" s="8"/>
      <c r="R102" s="8"/>
      <c r="S102" s="8"/>
      <c r="T102" s="9"/>
      <c r="U102" s="9">
        <f t="shared" si="47"/>
        <v>0</v>
      </c>
      <c r="V102" s="9">
        <f t="shared" si="48"/>
        <v>7500000</v>
      </c>
      <c r="W102" s="9">
        <f t="shared" si="49"/>
        <v>0</v>
      </c>
      <c r="X102" s="9">
        <f t="shared" si="50"/>
        <v>7500000</v>
      </c>
      <c r="Y102" s="8"/>
      <c r="Z102" s="9">
        <f t="shared" si="51"/>
        <v>0</v>
      </c>
      <c r="AA102" s="8">
        <f t="shared" si="52"/>
        <v>7500000</v>
      </c>
      <c r="AB102" s="8">
        <f t="shared" si="53"/>
        <v>0</v>
      </c>
    </row>
    <row r="103" spans="1:28" x14ac:dyDescent="0.3">
      <c r="A103" s="64"/>
      <c r="C103" s="14" t="s">
        <v>1090</v>
      </c>
      <c r="D103" s="16" t="s">
        <v>1072</v>
      </c>
      <c r="E103" s="9">
        <v>1790809.45</v>
      </c>
      <c r="F103" s="11">
        <v>1790809.45</v>
      </c>
      <c r="G103" s="8"/>
      <c r="H103" s="9">
        <f>+F103+G103</f>
        <v>1790809.45</v>
      </c>
      <c r="I103" s="8"/>
      <c r="J103" s="8"/>
      <c r="K103" s="8"/>
      <c r="L103" s="9"/>
      <c r="M103" s="9">
        <f>+H103+L103</f>
        <v>1790809.45</v>
      </c>
      <c r="N103" s="9">
        <v>0</v>
      </c>
      <c r="O103" s="8"/>
      <c r="P103" s="9">
        <f>+N103+O103</f>
        <v>0</v>
      </c>
      <c r="Q103" s="8"/>
      <c r="R103" s="8"/>
      <c r="S103" s="8"/>
      <c r="T103" s="9"/>
      <c r="U103" s="9">
        <f>+P103+T103</f>
        <v>0</v>
      </c>
      <c r="V103" s="9"/>
      <c r="W103" s="9"/>
      <c r="X103" s="9">
        <f t="shared" si="50"/>
        <v>1790809.45</v>
      </c>
      <c r="Y103" s="8"/>
      <c r="Z103" s="9">
        <f t="shared" si="51"/>
        <v>0</v>
      </c>
      <c r="AA103" s="8">
        <f t="shared" si="52"/>
        <v>1790809.45</v>
      </c>
      <c r="AB103" s="8">
        <f t="shared" si="53"/>
        <v>0</v>
      </c>
    </row>
    <row r="104" spans="1:28" x14ac:dyDescent="0.3">
      <c r="A104" s="64"/>
      <c r="C104" s="14" t="s">
        <v>1213</v>
      </c>
      <c r="D104" s="16" t="s">
        <v>1126</v>
      </c>
      <c r="E104" s="9">
        <v>300000</v>
      </c>
      <c r="F104" s="11">
        <v>300000</v>
      </c>
      <c r="G104" s="8"/>
      <c r="H104" s="9">
        <f>+F104+G104</f>
        <v>300000</v>
      </c>
      <c r="I104" s="8"/>
      <c r="J104" s="8"/>
      <c r="K104" s="8"/>
      <c r="L104" s="9"/>
      <c r="M104" s="9">
        <f>+H104+L104</f>
        <v>300000</v>
      </c>
      <c r="N104" s="9">
        <v>0</v>
      </c>
      <c r="O104" s="8"/>
      <c r="P104" s="9">
        <f>+N104+O104</f>
        <v>0</v>
      </c>
      <c r="Q104" s="8"/>
      <c r="R104" s="8"/>
      <c r="S104" s="8"/>
      <c r="T104" s="9"/>
      <c r="U104" s="9">
        <f>+P104+T104</f>
        <v>0</v>
      </c>
      <c r="V104" s="9"/>
      <c r="W104" s="9"/>
      <c r="X104" s="9">
        <f t="shared" si="50"/>
        <v>300000</v>
      </c>
      <c r="Y104" s="8"/>
      <c r="Z104" s="9">
        <f t="shared" si="51"/>
        <v>0</v>
      </c>
      <c r="AA104" s="8">
        <f t="shared" si="52"/>
        <v>300000</v>
      </c>
      <c r="AB104" s="8">
        <f t="shared" si="53"/>
        <v>0</v>
      </c>
    </row>
    <row r="105" spans="1:28" x14ac:dyDescent="0.3">
      <c r="A105" s="64"/>
      <c r="C105" s="7" t="s">
        <v>100</v>
      </c>
      <c r="D105" s="8"/>
      <c r="E105" s="9">
        <v>3459520</v>
      </c>
      <c r="F105" s="9">
        <v>3459520</v>
      </c>
      <c r="G105" s="8"/>
      <c r="H105" s="9">
        <f t="shared" si="44"/>
        <v>3459520</v>
      </c>
      <c r="I105" s="8"/>
      <c r="J105" s="8"/>
      <c r="K105" s="8"/>
      <c r="L105" s="9"/>
      <c r="M105" s="9">
        <f t="shared" si="45"/>
        <v>3459520</v>
      </c>
      <c r="N105" s="9">
        <v>0</v>
      </c>
      <c r="O105" s="8"/>
      <c r="P105" s="9">
        <f t="shared" si="46"/>
        <v>0</v>
      </c>
      <c r="Q105" s="8"/>
      <c r="R105" s="8"/>
      <c r="S105" s="8"/>
      <c r="T105" s="9"/>
      <c r="U105" s="9">
        <f t="shared" si="47"/>
        <v>0</v>
      </c>
      <c r="V105" s="9">
        <f t="shared" si="48"/>
        <v>3459520</v>
      </c>
      <c r="W105" s="9">
        <f t="shared" si="49"/>
        <v>0</v>
      </c>
      <c r="X105" s="9">
        <f t="shared" si="50"/>
        <v>3459520</v>
      </c>
      <c r="Y105" s="8"/>
      <c r="Z105" s="9">
        <f t="shared" si="51"/>
        <v>0</v>
      </c>
      <c r="AA105" s="8">
        <f t="shared" si="52"/>
        <v>3459520</v>
      </c>
      <c r="AB105" s="8">
        <f t="shared" si="53"/>
        <v>0</v>
      </c>
    </row>
    <row r="106" spans="1:28" x14ac:dyDescent="0.3">
      <c r="A106" s="64"/>
      <c r="C106" s="8"/>
      <c r="D106" s="8"/>
      <c r="E106" s="17" t="s">
        <v>29</v>
      </c>
      <c r="F106" s="17" t="s">
        <v>29</v>
      </c>
      <c r="G106" s="17" t="s">
        <v>29</v>
      </c>
      <c r="H106" s="17" t="s">
        <v>29</v>
      </c>
      <c r="I106" s="17" t="s">
        <v>29</v>
      </c>
      <c r="J106" s="17" t="s">
        <v>29</v>
      </c>
      <c r="K106" s="17" t="s">
        <v>29</v>
      </c>
      <c r="L106" s="17" t="s">
        <v>29</v>
      </c>
      <c r="M106" s="17" t="s">
        <v>29</v>
      </c>
      <c r="N106" s="17" t="s">
        <v>29</v>
      </c>
      <c r="O106" s="17" t="s">
        <v>29</v>
      </c>
      <c r="P106" s="17" t="s">
        <v>29</v>
      </c>
      <c r="Q106" s="17" t="s">
        <v>29</v>
      </c>
      <c r="R106" s="17" t="s">
        <v>29</v>
      </c>
      <c r="S106" s="17" t="s">
        <v>29</v>
      </c>
      <c r="T106" s="17" t="s">
        <v>29</v>
      </c>
      <c r="U106" s="17" t="s">
        <v>29</v>
      </c>
      <c r="V106" s="17" t="s">
        <v>29</v>
      </c>
      <c r="W106" s="17" t="s">
        <v>29</v>
      </c>
      <c r="X106" s="17" t="s">
        <v>29</v>
      </c>
      <c r="Y106" s="17" t="s">
        <v>29</v>
      </c>
      <c r="Z106" s="17" t="s">
        <v>29</v>
      </c>
      <c r="AA106" s="17" t="s">
        <v>29</v>
      </c>
      <c r="AB106" s="17" t="s">
        <v>29</v>
      </c>
    </row>
    <row r="107" spans="1:28" x14ac:dyDescent="0.3">
      <c r="A107" s="64"/>
      <c r="C107" s="8"/>
      <c r="D107" s="8"/>
      <c r="E107" s="9">
        <f t="shared" ref="E107:AB107" si="54">SUM(E95:E105)</f>
        <v>39854816.950000003</v>
      </c>
      <c r="F107" s="9">
        <f t="shared" si="54"/>
        <v>32605071.449999999</v>
      </c>
      <c r="G107" s="9">
        <f t="shared" si="54"/>
        <v>0</v>
      </c>
      <c r="H107" s="9">
        <f t="shared" si="54"/>
        <v>32605071.449999999</v>
      </c>
      <c r="I107" s="9">
        <f t="shared" si="54"/>
        <v>0</v>
      </c>
      <c r="J107" s="9">
        <f t="shared" si="54"/>
        <v>0</v>
      </c>
      <c r="K107" s="9">
        <f t="shared" si="54"/>
        <v>0</v>
      </c>
      <c r="L107" s="9">
        <f t="shared" si="54"/>
        <v>0</v>
      </c>
      <c r="M107" s="9">
        <f t="shared" si="54"/>
        <v>32605071.449999999</v>
      </c>
      <c r="N107" s="9">
        <f t="shared" si="54"/>
        <v>7249745.5</v>
      </c>
      <c r="O107" s="9">
        <f t="shared" si="54"/>
        <v>0</v>
      </c>
      <c r="P107" s="9">
        <f t="shared" si="54"/>
        <v>7249745.5</v>
      </c>
      <c r="Q107" s="9">
        <f t="shared" si="54"/>
        <v>0</v>
      </c>
      <c r="R107" s="9">
        <f t="shared" si="54"/>
        <v>0</v>
      </c>
      <c r="S107" s="9">
        <f t="shared" si="54"/>
        <v>0</v>
      </c>
      <c r="T107" s="9">
        <f t="shared" si="54"/>
        <v>0</v>
      </c>
      <c r="U107" s="9">
        <f t="shared" si="54"/>
        <v>7249745.5</v>
      </c>
      <c r="V107" s="9">
        <f t="shared" si="54"/>
        <v>37764007.5</v>
      </c>
      <c r="W107" s="9">
        <f t="shared" si="54"/>
        <v>0</v>
      </c>
      <c r="X107" s="9">
        <f t="shared" si="54"/>
        <v>39854816.950000003</v>
      </c>
      <c r="Y107" s="9">
        <f t="shared" si="54"/>
        <v>0</v>
      </c>
      <c r="Z107" s="9">
        <f t="shared" si="54"/>
        <v>0</v>
      </c>
      <c r="AA107" s="9">
        <f t="shared" si="54"/>
        <v>39854816.950000003</v>
      </c>
      <c r="AB107" s="9">
        <f t="shared" si="54"/>
        <v>0</v>
      </c>
    </row>
    <row r="108" spans="1:28" x14ac:dyDescent="0.3">
      <c r="A108" s="64"/>
      <c r="C108" s="8"/>
      <c r="D108" s="8"/>
      <c r="E108" s="17" t="s">
        <v>29</v>
      </c>
      <c r="F108" s="17" t="s">
        <v>29</v>
      </c>
      <c r="G108" s="17" t="s">
        <v>29</v>
      </c>
      <c r="H108" s="17" t="s">
        <v>29</v>
      </c>
      <c r="I108" s="17" t="s">
        <v>29</v>
      </c>
      <c r="J108" s="17" t="s">
        <v>29</v>
      </c>
      <c r="K108" s="17" t="s">
        <v>29</v>
      </c>
      <c r="L108" s="17" t="s">
        <v>29</v>
      </c>
      <c r="M108" s="17" t="s">
        <v>29</v>
      </c>
      <c r="N108" s="17" t="s">
        <v>29</v>
      </c>
      <c r="O108" s="17" t="s">
        <v>29</v>
      </c>
      <c r="P108" s="17" t="s">
        <v>29</v>
      </c>
      <c r="Q108" s="17" t="s">
        <v>29</v>
      </c>
      <c r="R108" s="17" t="s">
        <v>29</v>
      </c>
      <c r="S108" s="17" t="s">
        <v>29</v>
      </c>
      <c r="T108" s="17" t="s">
        <v>29</v>
      </c>
      <c r="U108" s="17" t="s">
        <v>29</v>
      </c>
      <c r="V108" s="17" t="s">
        <v>29</v>
      </c>
      <c r="W108" s="17" t="s">
        <v>29</v>
      </c>
      <c r="X108" s="17" t="s">
        <v>29</v>
      </c>
      <c r="Y108" s="17" t="s">
        <v>29</v>
      </c>
      <c r="Z108" s="17" t="s">
        <v>29</v>
      </c>
      <c r="AA108" s="17" t="s">
        <v>29</v>
      </c>
      <c r="AB108" s="17" t="s">
        <v>29</v>
      </c>
    </row>
    <row r="109" spans="1:28" x14ac:dyDescent="0.3">
      <c r="A109" s="63" t="s">
        <v>939</v>
      </c>
      <c r="B109" s="7" t="s">
        <v>101</v>
      </c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58"/>
    </row>
    <row r="110" spans="1:28" x14ac:dyDescent="0.3">
      <c r="A110" s="64"/>
      <c r="C110" s="7" t="s">
        <v>75</v>
      </c>
      <c r="D110" s="21" t="s">
        <v>76</v>
      </c>
      <c r="E110" s="9">
        <v>7714000</v>
      </c>
      <c r="F110" s="9">
        <v>0</v>
      </c>
      <c r="G110" s="8"/>
      <c r="H110" s="9">
        <f>F110+G110</f>
        <v>0</v>
      </c>
      <c r="I110" s="8"/>
      <c r="J110" s="8"/>
      <c r="K110" s="8"/>
      <c r="L110" s="9"/>
      <c r="M110" s="9">
        <f>H110+L110</f>
        <v>0</v>
      </c>
      <c r="N110" s="9">
        <v>4611647.32</v>
      </c>
      <c r="O110" s="8"/>
      <c r="P110" s="9">
        <f>N110+O110</f>
        <v>4611647.32</v>
      </c>
      <c r="Q110" s="8"/>
      <c r="R110" s="8"/>
      <c r="S110" s="8"/>
      <c r="T110" s="9"/>
      <c r="U110" s="9">
        <f>P110+T110</f>
        <v>4611647.32</v>
      </c>
      <c r="V110" s="9">
        <f>P110+H110</f>
        <v>4611647.32</v>
      </c>
      <c r="W110" s="9">
        <f>E110-V110</f>
        <v>3102352.6799999997</v>
      </c>
      <c r="X110" s="9">
        <f t="shared" ref="X110:X128" si="55">+H110+P110</f>
        <v>4611647.32</v>
      </c>
      <c r="Y110" s="8"/>
      <c r="Z110" s="9">
        <f t="shared" ref="Z110:Z128" si="56">+E110-X110</f>
        <v>3102352.6799999997</v>
      </c>
      <c r="AA110" s="8">
        <f t="shared" ref="AA110:AA128" si="57">+M110+U110</f>
        <v>4611647.32</v>
      </c>
      <c r="AB110" s="8">
        <f t="shared" ref="AB110:AB128" si="58">+E110-AA110</f>
        <v>3102352.6799999997</v>
      </c>
    </row>
    <row r="111" spans="1:28" x14ac:dyDescent="0.3">
      <c r="A111" s="64"/>
      <c r="C111" s="14" t="s">
        <v>77</v>
      </c>
      <c r="D111" s="21" t="s">
        <v>78</v>
      </c>
      <c r="E111" s="9">
        <v>15182873.550000001</v>
      </c>
      <c r="F111" s="9">
        <v>8688220.3599999994</v>
      </c>
      <c r="G111" s="8"/>
      <c r="H111" s="9">
        <f>F111+G111</f>
        <v>8688220.3599999994</v>
      </c>
      <c r="I111" s="8"/>
      <c r="J111" s="8"/>
      <c r="K111" s="8"/>
      <c r="L111" s="9"/>
      <c r="M111" s="9">
        <f>H111+L111</f>
        <v>8688220.3599999994</v>
      </c>
      <c r="N111" s="9">
        <v>6494653.1900000004</v>
      </c>
      <c r="O111" s="8"/>
      <c r="P111" s="9">
        <f>N111+O111</f>
        <v>6494653.1900000004</v>
      </c>
      <c r="Q111" s="8"/>
      <c r="R111" s="8"/>
      <c r="S111" s="8"/>
      <c r="T111" s="9"/>
      <c r="U111" s="9">
        <f>P111+T111</f>
        <v>6494653.1900000004</v>
      </c>
      <c r="V111" s="9">
        <f>P111+H111</f>
        <v>15182873.550000001</v>
      </c>
      <c r="W111" s="9">
        <f>E111-V111</f>
        <v>0</v>
      </c>
      <c r="X111" s="9">
        <f t="shared" si="55"/>
        <v>15182873.550000001</v>
      </c>
      <c r="Y111" s="8"/>
      <c r="Z111" s="9">
        <f t="shared" si="56"/>
        <v>0</v>
      </c>
      <c r="AA111" s="8">
        <f t="shared" si="57"/>
        <v>15182873.550000001</v>
      </c>
      <c r="AB111" s="8">
        <f t="shared" si="58"/>
        <v>0</v>
      </c>
    </row>
    <row r="112" spans="1:28" x14ac:dyDescent="0.3">
      <c r="A112" s="64"/>
      <c r="C112" s="7" t="s">
        <v>92</v>
      </c>
      <c r="D112" s="15" t="s">
        <v>79</v>
      </c>
      <c r="E112" s="9">
        <v>17444897.670000002</v>
      </c>
      <c r="F112" s="9">
        <v>16721944.449999999</v>
      </c>
      <c r="G112" s="8"/>
      <c r="H112" s="9">
        <f>F112+G112</f>
        <v>16721944.449999999</v>
      </c>
      <c r="I112" s="8"/>
      <c r="J112" s="8"/>
      <c r="K112" s="8"/>
      <c r="L112" s="9"/>
      <c r="M112" s="9">
        <f>H112+L112</f>
        <v>16721944.449999999</v>
      </c>
      <c r="N112" s="9">
        <f>242164.82+480788.4</f>
        <v>722953.22</v>
      </c>
      <c r="O112" s="8"/>
      <c r="P112" s="9">
        <f>N112+O112</f>
        <v>722953.22</v>
      </c>
      <c r="Q112" s="8"/>
      <c r="R112" s="8"/>
      <c r="S112" s="8"/>
      <c r="T112" s="9"/>
      <c r="U112" s="9">
        <f>P112+T112</f>
        <v>722953.22</v>
      </c>
      <c r="V112" s="9">
        <f>P112+H112</f>
        <v>17444897.669999998</v>
      </c>
      <c r="W112" s="9">
        <f>E112-V112</f>
        <v>0</v>
      </c>
      <c r="X112" s="9">
        <f t="shared" si="55"/>
        <v>17444897.669999998</v>
      </c>
      <c r="Y112" s="8"/>
      <c r="Z112" s="9">
        <f t="shared" si="56"/>
        <v>0</v>
      </c>
      <c r="AA112" s="8">
        <f t="shared" si="57"/>
        <v>17444897.669999998</v>
      </c>
      <c r="AB112" s="8">
        <f t="shared" si="58"/>
        <v>0</v>
      </c>
    </row>
    <row r="113" spans="1:28" x14ac:dyDescent="0.3">
      <c r="A113" s="64"/>
      <c r="C113" s="8"/>
      <c r="D113" s="14" t="s">
        <v>102</v>
      </c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9">
        <f t="shared" si="55"/>
        <v>0</v>
      </c>
      <c r="Y113" s="8"/>
      <c r="Z113" s="9">
        <f t="shared" si="56"/>
        <v>0</v>
      </c>
      <c r="AA113" s="8">
        <f t="shared" si="57"/>
        <v>0</v>
      </c>
      <c r="AB113" s="8">
        <f t="shared" si="58"/>
        <v>0</v>
      </c>
    </row>
    <row r="114" spans="1:28" x14ac:dyDescent="0.3">
      <c r="A114" s="64"/>
      <c r="C114" s="7" t="s">
        <v>55</v>
      </c>
      <c r="D114" s="15" t="s">
        <v>99</v>
      </c>
      <c r="E114" s="9">
        <v>4695497.7</v>
      </c>
      <c r="F114" s="9">
        <v>0</v>
      </c>
      <c r="G114" s="8"/>
      <c r="H114" s="9">
        <f t="shared" ref="H114:H128" si="59">F114+G114</f>
        <v>0</v>
      </c>
      <c r="I114" s="8"/>
      <c r="J114" s="8"/>
      <c r="K114" s="8"/>
      <c r="L114" s="9"/>
      <c r="M114" s="9">
        <f t="shared" ref="M114:M128" si="60">H114+L114</f>
        <v>0</v>
      </c>
      <c r="N114" s="9">
        <f>4225655.1+469842.6</f>
        <v>4695497.6999999993</v>
      </c>
      <c r="O114" s="8"/>
      <c r="P114" s="9">
        <f t="shared" ref="P114:P128" si="61">N114+O114</f>
        <v>4695497.6999999993</v>
      </c>
      <c r="Q114" s="8"/>
      <c r="R114" s="8"/>
      <c r="S114" s="8"/>
      <c r="T114" s="9"/>
      <c r="U114" s="9">
        <f t="shared" ref="U114:U128" si="62">P114+T114</f>
        <v>4695497.6999999993</v>
      </c>
      <c r="V114" s="9">
        <f t="shared" ref="V114:V128" si="63">P114+H114</f>
        <v>4695497.6999999993</v>
      </c>
      <c r="W114" s="9">
        <f t="shared" ref="W114:W128" si="64">E114-V114</f>
        <v>0</v>
      </c>
      <c r="X114" s="9">
        <f t="shared" si="55"/>
        <v>4695497.6999999993</v>
      </c>
      <c r="Y114" s="8"/>
      <c r="Z114" s="9">
        <f t="shared" si="56"/>
        <v>0</v>
      </c>
      <c r="AA114" s="8">
        <f t="shared" si="57"/>
        <v>4695497.6999999993</v>
      </c>
      <c r="AB114" s="8">
        <f t="shared" si="58"/>
        <v>0</v>
      </c>
    </row>
    <row r="115" spans="1:28" x14ac:dyDescent="0.3">
      <c r="A115" s="64"/>
      <c r="C115" s="7" t="s">
        <v>82</v>
      </c>
      <c r="D115" s="15" t="s">
        <v>103</v>
      </c>
      <c r="E115" s="9">
        <f>31791187.3-40400</f>
        <v>31750787.300000001</v>
      </c>
      <c r="F115" s="9">
        <v>31157575.77</v>
      </c>
      <c r="G115" s="8"/>
      <c r="H115" s="9">
        <f t="shared" si="59"/>
        <v>31157575.77</v>
      </c>
      <c r="I115" s="8"/>
      <c r="J115" s="8"/>
      <c r="K115" s="8"/>
      <c r="L115" s="9"/>
      <c r="M115" s="9">
        <f t="shared" si="60"/>
        <v>31157575.77</v>
      </c>
      <c r="N115" s="9">
        <v>593211.53</v>
      </c>
      <c r="O115" s="8"/>
      <c r="P115" s="9">
        <f t="shared" si="61"/>
        <v>593211.53</v>
      </c>
      <c r="Q115" s="8"/>
      <c r="R115" s="8"/>
      <c r="S115" s="8"/>
      <c r="T115" s="9"/>
      <c r="U115" s="9">
        <f t="shared" si="62"/>
        <v>593211.53</v>
      </c>
      <c r="V115" s="9">
        <f t="shared" si="63"/>
        <v>31750787.300000001</v>
      </c>
      <c r="W115" s="9">
        <f t="shared" si="64"/>
        <v>0</v>
      </c>
      <c r="X115" s="9">
        <f t="shared" si="55"/>
        <v>31750787.300000001</v>
      </c>
      <c r="Y115" s="8"/>
      <c r="Z115" s="9">
        <f t="shared" si="56"/>
        <v>0</v>
      </c>
      <c r="AA115" s="8">
        <f t="shared" si="57"/>
        <v>31750787.300000001</v>
      </c>
      <c r="AB115" s="8">
        <f t="shared" si="58"/>
        <v>0</v>
      </c>
    </row>
    <row r="116" spans="1:28" x14ac:dyDescent="0.3">
      <c r="A116" s="64"/>
      <c r="C116" s="7" t="s">
        <v>53</v>
      </c>
      <c r="D116" s="15" t="s">
        <v>68</v>
      </c>
      <c r="E116" s="9">
        <v>1953989</v>
      </c>
      <c r="F116" s="9">
        <v>0</v>
      </c>
      <c r="G116" s="8"/>
      <c r="H116" s="9">
        <f t="shared" si="59"/>
        <v>0</v>
      </c>
      <c r="I116" s="8"/>
      <c r="J116" s="8"/>
      <c r="K116" s="8"/>
      <c r="L116" s="9"/>
      <c r="M116" s="9">
        <f t="shared" si="60"/>
        <v>0</v>
      </c>
      <c r="N116" s="9">
        <v>1953989</v>
      </c>
      <c r="O116" s="8"/>
      <c r="P116" s="9">
        <f t="shared" si="61"/>
        <v>1953989</v>
      </c>
      <c r="Q116" s="8"/>
      <c r="R116" s="8"/>
      <c r="S116" s="8"/>
      <c r="T116" s="9"/>
      <c r="U116" s="9">
        <f t="shared" si="62"/>
        <v>1953989</v>
      </c>
      <c r="V116" s="9">
        <f t="shared" si="63"/>
        <v>1953989</v>
      </c>
      <c r="W116" s="9">
        <f t="shared" si="64"/>
        <v>0</v>
      </c>
      <c r="X116" s="9">
        <f t="shared" si="55"/>
        <v>1953989</v>
      </c>
      <c r="Y116" s="8"/>
      <c r="Z116" s="9">
        <f t="shared" si="56"/>
        <v>0</v>
      </c>
      <c r="AA116" s="8">
        <f t="shared" si="57"/>
        <v>1953989</v>
      </c>
      <c r="AB116" s="8">
        <f t="shared" si="58"/>
        <v>0</v>
      </c>
    </row>
    <row r="117" spans="1:28" x14ac:dyDescent="0.3">
      <c r="A117" s="64"/>
      <c r="C117" s="7" t="s">
        <v>69</v>
      </c>
      <c r="D117" s="15" t="s">
        <v>85</v>
      </c>
      <c r="E117" s="9">
        <v>955345.62</v>
      </c>
      <c r="F117" s="9">
        <v>0</v>
      </c>
      <c r="G117" s="8"/>
      <c r="H117" s="9">
        <f t="shared" si="59"/>
        <v>0</v>
      </c>
      <c r="I117" s="8"/>
      <c r="J117" s="8"/>
      <c r="K117" s="8"/>
      <c r="L117" s="9"/>
      <c r="M117" s="9">
        <f t="shared" si="60"/>
        <v>0</v>
      </c>
      <c r="N117" s="9">
        <v>955345.62</v>
      </c>
      <c r="O117" s="8"/>
      <c r="P117" s="9">
        <f t="shared" si="61"/>
        <v>955345.62</v>
      </c>
      <c r="Q117" s="8"/>
      <c r="R117" s="8"/>
      <c r="S117" s="8"/>
      <c r="T117" s="9"/>
      <c r="U117" s="9">
        <f t="shared" si="62"/>
        <v>955345.62</v>
      </c>
      <c r="V117" s="9">
        <f t="shared" si="63"/>
        <v>955345.62</v>
      </c>
      <c r="W117" s="9">
        <f t="shared" si="64"/>
        <v>0</v>
      </c>
      <c r="X117" s="9">
        <f t="shared" si="55"/>
        <v>955345.62</v>
      </c>
      <c r="Y117" s="8"/>
      <c r="Z117" s="9">
        <f t="shared" si="56"/>
        <v>0</v>
      </c>
      <c r="AA117" s="8">
        <f t="shared" si="57"/>
        <v>955345.62</v>
      </c>
      <c r="AB117" s="8">
        <f t="shared" si="58"/>
        <v>0</v>
      </c>
    </row>
    <row r="118" spans="1:28" x14ac:dyDescent="0.3">
      <c r="A118" s="64"/>
      <c r="C118" s="7" t="s">
        <v>104</v>
      </c>
      <c r="D118" s="15" t="s">
        <v>105</v>
      </c>
      <c r="E118" s="9">
        <v>7200000</v>
      </c>
      <c r="F118" s="9">
        <v>7200000</v>
      </c>
      <c r="G118" s="8"/>
      <c r="H118" s="9">
        <f t="shared" si="59"/>
        <v>7200000</v>
      </c>
      <c r="I118" s="8"/>
      <c r="J118" s="8"/>
      <c r="K118" s="8"/>
      <c r="L118" s="9"/>
      <c r="M118" s="9">
        <f t="shared" si="60"/>
        <v>7200000</v>
      </c>
      <c r="N118" s="9">
        <v>0</v>
      </c>
      <c r="O118" s="8"/>
      <c r="P118" s="9">
        <f t="shared" si="61"/>
        <v>0</v>
      </c>
      <c r="Q118" s="8"/>
      <c r="R118" s="8"/>
      <c r="S118" s="8"/>
      <c r="T118" s="9"/>
      <c r="U118" s="9">
        <f t="shared" si="62"/>
        <v>0</v>
      </c>
      <c r="V118" s="9">
        <f t="shared" si="63"/>
        <v>7200000</v>
      </c>
      <c r="W118" s="9">
        <f t="shared" si="64"/>
        <v>0</v>
      </c>
      <c r="X118" s="9">
        <f t="shared" si="55"/>
        <v>7200000</v>
      </c>
      <c r="Y118" s="8"/>
      <c r="Z118" s="9">
        <f t="shared" si="56"/>
        <v>0</v>
      </c>
      <c r="AA118" s="8">
        <f t="shared" si="57"/>
        <v>7200000</v>
      </c>
      <c r="AB118" s="8">
        <f t="shared" si="58"/>
        <v>0</v>
      </c>
    </row>
    <row r="119" spans="1:28" x14ac:dyDescent="0.3">
      <c r="A119" s="64"/>
      <c r="C119" s="7" t="s">
        <v>106</v>
      </c>
      <c r="D119" s="15" t="s">
        <v>85</v>
      </c>
      <c r="E119" s="9">
        <f>56000-56000</f>
        <v>0</v>
      </c>
      <c r="F119" s="9">
        <v>0</v>
      </c>
      <c r="G119" s="8"/>
      <c r="H119" s="9">
        <f t="shared" si="59"/>
        <v>0</v>
      </c>
      <c r="I119" s="8"/>
      <c r="J119" s="8"/>
      <c r="K119" s="8"/>
      <c r="L119" s="9"/>
      <c r="M119" s="9">
        <f t="shared" si="60"/>
        <v>0</v>
      </c>
      <c r="N119" s="9">
        <v>0</v>
      </c>
      <c r="O119" s="8"/>
      <c r="P119" s="9">
        <f t="shared" si="61"/>
        <v>0</v>
      </c>
      <c r="Q119" s="8"/>
      <c r="R119" s="8"/>
      <c r="S119" s="8"/>
      <c r="T119" s="9"/>
      <c r="U119" s="9">
        <f t="shared" si="62"/>
        <v>0</v>
      </c>
      <c r="V119" s="9">
        <f t="shared" si="63"/>
        <v>0</v>
      </c>
      <c r="W119" s="9">
        <f t="shared" si="64"/>
        <v>0</v>
      </c>
      <c r="X119" s="9">
        <f t="shared" si="55"/>
        <v>0</v>
      </c>
      <c r="Y119" s="8"/>
      <c r="Z119" s="9">
        <f t="shared" si="56"/>
        <v>0</v>
      </c>
      <c r="AA119" s="8">
        <f t="shared" si="57"/>
        <v>0</v>
      </c>
      <c r="AB119" s="8">
        <f t="shared" si="58"/>
        <v>0</v>
      </c>
    </row>
    <row r="120" spans="1:28" x14ac:dyDescent="0.3">
      <c r="A120" s="64"/>
      <c r="C120" s="7" t="s">
        <v>87</v>
      </c>
      <c r="D120" s="15" t="s">
        <v>88</v>
      </c>
      <c r="E120" s="9">
        <v>10900000</v>
      </c>
      <c r="F120" s="9">
        <v>10900000</v>
      </c>
      <c r="G120" s="8"/>
      <c r="H120" s="9">
        <f t="shared" si="59"/>
        <v>10900000</v>
      </c>
      <c r="I120" s="8"/>
      <c r="J120" s="8"/>
      <c r="K120" s="8"/>
      <c r="L120" s="9"/>
      <c r="M120" s="9">
        <f t="shared" si="60"/>
        <v>10900000</v>
      </c>
      <c r="N120" s="9">
        <v>0</v>
      </c>
      <c r="O120" s="8"/>
      <c r="P120" s="9">
        <f t="shared" si="61"/>
        <v>0</v>
      </c>
      <c r="Q120" s="8"/>
      <c r="R120" s="8"/>
      <c r="S120" s="8"/>
      <c r="T120" s="9"/>
      <c r="U120" s="9">
        <f t="shared" si="62"/>
        <v>0</v>
      </c>
      <c r="V120" s="9">
        <f t="shared" si="63"/>
        <v>10900000</v>
      </c>
      <c r="W120" s="9">
        <f t="shared" si="64"/>
        <v>0</v>
      </c>
      <c r="X120" s="9">
        <f t="shared" si="55"/>
        <v>10900000</v>
      </c>
      <c r="Y120" s="8"/>
      <c r="Z120" s="9">
        <f t="shared" si="56"/>
        <v>0</v>
      </c>
      <c r="AA120" s="8">
        <f t="shared" si="57"/>
        <v>10900000</v>
      </c>
      <c r="AB120" s="8">
        <f t="shared" si="58"/>
        <v>0</v>
      </c>
    </row>
    <row r="121" spans="1:28" x14ac:dyDescent="0.3">
      <c r="A121" s="64"/>
      <c r="C121" s="7" t="s">
        <v>107</v>
      </c>
      <c r="D121" s="15" t="s">
        <v>108</v>
      </c>
      <c r="E121" s="9">
        <v>1601677.68</v>
      </c>
      <c r="F121" s="9">
        <v>1601677.68</v>
      </c>
      <c r="G121" s="8"/>
      <c r="H121" s="9">
        <f t="shared" si="59"/>
        <v>1601677.68</v>
      </c>
      <c r="I121" s="8"/>
      <c r="J121" s="8"/>
      <c r="K121" s="8"/>
      <c r="L121" s="9"/>
      <c r="M121" s="9">
        <f t="shared" si="60"/>
        <v>1601677.68</v>
      </c>
      <c r="N121" s="9">
        <v>0</v>
      </c>
      <c r="O121" s="8"/>
      <c r="P121" s="9">
        <f t="shared" si="61"/>
        <v>0</v>
      </c>
      <c r="Q121" s="8"/>
      <c r="R121" s="8"/>
      <c r="S121" s="8"/>
      <c r="T121" s="9"/>
      <c r="U121" s="9">
        <f t="shared" si="62"/>
        <v>0</v>
      </c>
      <c r="V121" s="9">
        <f t="shared" si="63"/>
        <v>1601677.68</v>
      </c>
      <c r="W121" s="9">
        <f t="shared" si="64"/>
        <v>0</v>
      </c>
      <c r="X121" s="9">
        <f t="shared" si="55"/>
        <v>1601677.68</v>
      </c>
      <c r="Y121" s="8"/>
      <c r="Z121" s="9">
        <f t="shared" si="56"/>
        <v>0</v>
      </c>
      <c r="AA121" s="8">
        <f t="shared" si="57"/>
        <v>1601677.68</v>
      </c>
      <c r="AB121" s="8">
        <f t="shared" si="58"/>
        <v>0</v>
      </c>
    </row>
    <row r="122" spans="1:28" x14ac:dyDescent="0.3">
      <c r="A122" s="64"/>
      <c r="C122" s="7" t="s">
        <v>57</v>
      </c>
      <c r="D122" s="15" t="s">
        <v>58</v>
      </c>
      <c r="E122" s="9">
        <v>16586664.73</v>
      </c>
      <c r="F122" s="9">
        <v>16586664.73</v>
      </c>
      <c r="G122" s="8"/>
      <c r="H122" s="9">
        <f t="shared" si="59"/>
        <v>16586664.73</v>
      </c>
      <c r="I122" s="8"/>
      <c r="J122" s="8"/>
      <c r="K122" s="8"/>
      <c r="L122" s="9"/>
      <c r="M122" s="9">
        <f t="shared" si="60"/>
        <v>16586664.73</v>
      </c>
      <c r="N122" s="9">
        <v>0</v>
      </c>
      <c r="O122" s="8"/>
      <c r="P122" s="9">
        <f t="shared" si="61"/>
        <v>0</v>
      </c>
      <c r="Q122" s="8"/>
      <c r="R122" s="8"/>
      <c r="S122" s="8"/>
      <c r="T122" s="9"/>
      <c r="U122" s="9">
        <f t="shared" si="62"/>
        <v>0</v>
      </c>
      <c r="V122" s="9">
        <f t="shared" si="63"/>
        <v>16586664.73</v>
      </c>
      <c r="W122" s="9">
        <f t="shared" si="64"/>
        <v>0</v>
      </c>
      <c r="X122" s="9">
        <f t="shared" si="55"/>
        <v>16586664.73</v>
      </c>
      <c r="Y122" s="8"/>
      <c r="Z122" s="9">
        <f t="shared" si="56"/>
        <v>0</v>
      </c>
      <c r="AA122" s="8">
        <f t="shared" si="57"/>
        <v>16586664.73</v>
      </c>
      <c r="AB122" s="8">
        <f t="shared" si="58"/>
        <v>0</v>
      </c>
    </row>
    <row r="123" spans="1:28" x14ac:dyDescent="0.3">
      <c r="A123" s="64"/>
      <c r="C123" s="14" t="s">
        <v>109</v>
      </c>
      <c r="D123" s="21" t="s">
        <v>60</v>
      </c>
      <c r="E123" s="9">
        <v>2500000</v>
      </c>
      <c r="F123" s="11">
        <v>2500000</v>
      </c>
      <c r="G123" s="8"/>
      <c r="H123" s="9">
        <f t="shared" si="59"/>
        <v>2500000</v>
      </c>
      <c r="I123" s="8"/>
      <c r="J123" s="8"/>
      <c r="K123" s="8"/>
      <c r="L123" s="9"/>
      <c r="M123" s="9">
        <f t="shared" si="60"/>
        <v>2500000</v>
      </c>
      <c r="N123" s="9">
        <v>0</v>
      </c>
      <c r="O123" s="8"/>
      <c r="P123" s="9">
        <f t="shared" si="61"/>
        <v>0</v>
      </c>
      <c r="Q123" s="8"/>
      <c r="R123" s="8"/>
      <c r="S123" s="8"/>
      <c r="T123" s="9"/>
      <c r="U123" s="9">
        <f t="shared" si="62"/>
        <v>0</v>
      </c>
      <c r="V123" s="9">
        <f t="shared" si="63"/>
        <v>2500000</v>
      </c>
      <c r="W123" s="9">
        <f t="shared" si="64"/>
        <v>0</v>
      </c>
      <c r="X123" s="9">
        <f t="shared" si="55"/>
        <v>2500000</v>
      </c>
      <c r="Y123" s="8"/>
      <c r="Z123" s="9">
        <f t="shared" si="56"/>
        <v>0</v>
      </c>
      <c r="AA123" s="8">
        <f t="shared" si="57"/>
        <v>2500000</v>
      </c>
      <c r="AB123" s="8">
        <f t="shared" si="58"/>
        <v>0</v>
      </c>
    </row>
    <row r="124" spans="1:28" x14ac:dyDescent="0.3">
      <c r="A124" s="64"/>
      <c r="C124" s="14" t="s">
        <v>110</v>
      </c>
      <c r="D124" s="14" t="s">
        <v>111</v>
      </c>
      <c r="E124" s="11">
        <v>681830</v>
      </c>
      <c r="F124" s="11">
        <v>681830</v>
      </c>
      <c r="G124" s="8"/>
      <c r="H124" s="9">
        <f t="shared" si="59"/>
        <v>681830</v>
      </c>
      <c r="I124" s="8"/>
      <c r="J124" s="8"/>
      <c r="K124" s="8"/>
      <c r="L124" s="9"/>
      <c r="M124" s="9">
        <f t="shared" si="60"/>
        <v>681830</v>
      </c>
      <c r="N124" s="9">
        <v>0</v>
      </c>
      <c r="O124" s="8"/>
      <c r="P124" s="9">
        <f t="shared" si="61"/>
        <v>0</v>
      </c>
      <c r="Q124" s="8"/>
      <c r="R124" s="8"/>
      <c r="S124" s="8"/>
      <c r="T124" s="9"/>
      <c r="U124" s="9">
        <f t="shared" si="62"/>
        <v>0</v>
      </c>
      <c r="V124" s="9">
        <f t="shared" si="63"/>
        <v>681830</v>
      </c>
      <c r="W124" s="9">
        <f t="shared" si="64"/>
        <v>0</v>
      </c>
      <c r="X124" s="9">
        <f t="shared" si="55"/>
        <v>681830</v>
      </c>
      <c r="Y124" s="8"/>
      <c r="Z124" s="9">
        <f t="shared" si="56"/>
        <v>0</v>
      </c>
      <c r="AA124" s="8">
        <f t="shared" si="57"/>
        <v>681830</v>
      </c>
      <c r="AB124" s="8">
        <f t="shared" si="58"/>
        <v>0</v>
      </c>
    </row>
    <row r="125" spans="1:28" x14ac:dyDescent="0.3">
      <c r="A125" s="64"/>
      <c r="C125" s="14" t="s">
        <v>1096</v>
      </c>
      <c r="D125" s="14"/>
      <c r="E125" s="11">
        <v>255630.65</v>
      </c>
      <c r="F125" s="8">
        <v>255630.65</v>
      </c>
      <c r="G125" s="8"/>
      <c r="H125" s="9">
        <f>+F125+G125</f>
        <v>255630.65</v>
      </c>
      <c r="I125" s="8"/>
      <c r="J125" s="8"/>
      <c r="K125" s="8"/>
      <c r="L125" s="9"/>
      <c r="M125" s="9">
        <f>+H125+L125</f>
        <v>255630.65</v>
      </c>
      <c r="N125" s="9">
        <v>0</v>
      </c>
      <c r="O125" s="8"/>
      <c r="P125" s="9">
        <f>+N125+O125</f>
        <v>0</v>
      </c>
      <c r="Q125" s="8"/>
      <c r="R125" s="8"/>
      <c r="S125" s="8"/>
      <c r="T125" s="9"/>
      <c r="U125" s="9">
        <f>+P1267+T125</f>
        <v>0</v>
      </c>
      <c r="V125" s="9"/>
      <c r="W125" s="9"/>
      <c r="X125" s="9">
        <f t="shared" si="55"/>
        <v>255630.65</v>
      </c>
      <c r="Y125" s="8"/>
      <c r="Z125" s="9">
        <f t="shared" si="56"/>
        <v>0</v>
      </c>
      <c r="AA125" s="8">
        <f t="shared" si="57"/>
        <v>255630.65</v>
      </c>
      <c r="AB125" s="8">
        <f t="shared" si="58"/>
        <v>0</v>
      </c>
    </row>
    <row r="126" spans="1:28" x14ac:dyDescent="0.3">
      <c r="A126" s="64"/>
      <c r="C126" s="14" t="s">
        <v>1135</v>
      </c>
      <c r="D126" s="24" t="s">
        <v>1126</v>
      </c>
      <c r="E126" s="11">
        <v>38672.559999999998</v>
      </c>
      <c r="F126" s="8">
        <v>38672.559999999998</v>
      </c>
      <c r="G126" s="8"/>
      <c r="H126" s="9">
        <f>+F126+G126</f>
        <v>38672.559999999998</v>
      </c>
      <c r="I126" s="8"/>
      <c r="J126" s="8"/>
      <c r="K126" s="8"/>
      <c r="L126" s="9"/>
      <c r="M126" s="9">
        <f>+H126+L126</f>
        <v>38672.559999999998</v>
      </c>
      <c r="N126" s="9">
        <v>0</v>
      </c>
      <c r="O126" s="8"/>
      <c r="P126" s="9">
        <f>+N126+O126</f>
        <v>0</v>
      </c>
      <c r="Q126" s="8"/>
      <c r="R126" s="8"/>
      <c r="S126" s="8"/>
      <c r="T126" s="9"/>
      <c r="U126" s="9">
        <f>+P126+T126</f>
        <v>0</v>
      </c>
      <c r="V126" s="9"/>
      <c r="W126" s="9"/>
      <c r="X126" s="9">
        <f t="shared" si="55"/>
        <v>38672.559999999998</v>
      </c>
      <c r="Y126" s="8"/>
      <c r="Z126" s="9">
        <f t="shared" si="56"/>
        <v>0</v>
      </c>
      <c r="AA126" s="8">
        <f t="shared" si="57"/>
        <v>38672.559999999998</v>
      </c>
      <c r="AB126" s="8">
        <f t="shared" si="58"/>
        <v>0</v>
      </c>
    </row>
    <row r="127" spans="1:28" x14ac:dyDescent="0.3">
      <c r="A127" s="64"/>
      <c r="C127" s="14" t="s">
        <v>1194</v>
      </c>
      <c r="D127" s="24" t="s">
        <v>1126</v>
      </c>
      <c r="E127" s="11">
        <v>852820.8</v>
      </c>
      <c r="F127" s="8">
        <v>852820.8</v>
      </c>
      <c r="G127" s="8"/>
      <c r="H127" s="9">
        <f>+F127+G127</f>
        <v>852820.8</v>
      </c>
      <c r="I127" s="8"/>
      <c r="J127" s="8"/>
      <c r="K127" s="8"/>
      <c r="L127" s="9"/>
      <c r="M127" s="9">
        <f>+H127+L127</f>
        <v>852820.8</v>
      </c>
      <c r="N127" s="9">
        <v>0</v>
      </c>
      <c r="O127" s="8"/>
      <c r="P127" s="9">
        <f>+N127+O127</f>
        <v>0</v>
      </c>
      <c r="Q127" s="8"/>
      <c r="R127" s="8"/>
      <c r="S127" s="8"/>
      <c r="T127" s="9"/>
      <c r="U127" s="9">
        <f>+P127+T127</f>
        <v>0</v>
      </c>
      <c r="V127" s="9"/>
      <c r="W127" s="9"/>
      <c r="X127" s="9">
        <f>+H127+P127</f>
        <v>852820.8</v>
      </c>
      <c r="Y127" s="8"/>
      <c r="Z127" s="9">
        <f>+E127-X127</f>
        <v>0</v>
      </c>
      <c r="AA127" s="8">
        <f>+M127+U127</f>
        <v>852820.8</v>
      </c>
      <c r="AB127" s="8">
        <f>+E127-AA127</f>
        <v>0</v>
      </c>
    </row>
    <row r="128" spans="1:28" x14ac:dyDescent="0.3">
      <c r="A128" s="64"/>
      <c r="C128" s="7" t="s">
        <v>112</v>
      </c>
      <c r="D128" s="8"/>
      <c r="E128" s="9">
        <v>6962841</v>
      </c>
      <c r="F128" s="9">
        <v>6962841</v>
      </c>
      <c r="G128" s="8"/>
      <c r="H128" s="9">
        <f t="shared" si="59"/>
        <v>6962841</v>
      </c>
      <c r="I128" s="8"/>
      <c r="J128" s="8"/>
      <c r="K128" s="8"/>
      <c r="L128" s="9"/>
      <c r="M128" s="9">
        <f t="shared" si="60"/>
        <v>6962841</v>
      </c>
      <c r="N128" s="9">
        <v>0</v>
      </c>
      <c r="O128" s="8"/>
      <c r="P128" s="9">
        <f t="shared" si="61"/>
        <v>0</v>
      </c>
      <c r="Q128" s="8"/>
      <c r="R128" s="8"/>
      <c r="S128" s="8"/>
      <c r="T128" s="9"/>
      <c r="U128" s="9">
        <f t="shared" si="62"/>
        <v>0</v>
      </c>
      <c r="V128" s="9">
        <f t="shared" si="63"/>
        <v>6962841</v>
      </c>
      <c r="W128" s="9">
        <f t="shared" si="64"/>
        <v>0</v>
      </c>
      <c r="X128" s="9">
        <f t="shared" si="55"/>
        <v>6962841</v>
      </c>
      <c r="Y128" s="8"/>
      <c r="Z128" s="9">
        <f t="shared" si="56"/>
        <v>0</v>
      </c>
      <c r="AA128" s="8">
        <f t="shared" si="57"/>
        <v>6962841</v>
      </c>
      <c r="AB128" s="8">
        <f t="shared" si="58"/>
        <v>0</v>
      </c>
    </row>
    <row r="129" spans="1:28" x14ac:dyDescent="0.3">
      <c r="A129" s="64"/>
      <c r="C129" s="8"/>
      <c r="D129" s="8"/>
      <c r="E129" s="17" t="s">
        <v>29</v>
      </c>
      <c r="F129" s="17" t="s">
        <v>29</v>
      </c>
      <c r="G129" s="17" t="s">
        <v>29</v>
      </c>
      <c r="H129" s="17" t="s">
        <v>29</v>
      </c>
      <c r="I129" s="17" t="s">
        <v>29</v>
      </c>
      <c r="J129" s="17" t="s">
        <v>29</v>
      </c>
      <c r="K129" s="17" t="s">
        <v>29</v>
      </c>
      <c r="L129" s="17" t="s">
        <v>29</v>
      </c>
      <c r="M129" s="17" t="s">
        <v>29</v>
      </c>
      <c r="N129" s="17" t="s">
        <v>29</v>
      </c>
      <c r="O129" s="17" t="s">
        <v>29</v>
      </c>
      <c r="P129" s="17" t="s">
        <v>29</v>
      </c>
      <c r="Q129" s="17" t="s">
        <v>29</v>
      </c>
      <c r="R129" s="17" t="s">
        <v>29</v>
      </c>
      <c r="S129" s="17" t="s">
        <v>29</v>
      </c>
      <c r="T129" s="17" t="s">
        <v>29</v>
      </c>
      <c r="U129" s="17" t="s">
        <v>29</v>
      </c>
      <c r="V129" s="17" t="s">
        <v>29</v>
      </c>
      <c r="W129" s="17" t="s">
        <v>29</v>
      </c>
      <c r="X129" s="17" t="s">
        <v>29</v>
      </c>
      <c r="Y129" s="17" t="s">
        <v>29</v>
      </c>
      <c r="Z129" s="17" t="s">
        <v>29</v>
      </c>
      <c r="AA129" s="17" t="s">
        <v>29</v>
      </c>
      <c r="AB129" s="17" t="s">
        <v>29</v>
      </c>
    </row>
    <row r="130" spans="1:28" x14ac:dyDescent="0.3">
      <c r="A130" s="64"/>
      <c r="C130" s="8"/>
      <c r="D130" s="8"/>
      <c r="E130" s="9">
        <f t="shared" ref="E130:AB130" si="65">SUM(E110:E128)</f>
        <v>127277528.26000002</v>
      </c>
      <c r="F130" s="9">
        <f t="shared" si="65"/>
        <v>104147878.00000001</v>
      </c>
      <c r="G130" s="9">
        <f t="shared" si="65"/>
        <v>0</v>
      </c>
      <c r="H130" s="9">
        <f t="shared" si="65"/>
        <v>104147878.00000001</v>
      </c>
      <c r="I130" s="9">
        <f t="shared" si="65"/>
        <v>0</v>
      </c>
      <c r="J130" s="9">
        <f t="shared" si="65"/>
        <v>0</v>
      </c>
      <c r="K130" s="9">
        <f t="shared" si="65"/>
        <v>0</v>
      </c>
      <c r="L130" s="9">
        <f t="shared" si="65"/>
        <v>0</v>
      </c>
      <c r="M130" s="9">
        <f t="shared" si="65"/>
        <v>104147878.00000001</v>
      </c>
      <c r="N130" s="9">
        <f t="shared" si="65"/>
        <v>20027297.580000002</v>
      </c>
      <c r="O130" s="9">
        <f t="shared" si="65"/>
        <v>0</v>
      </c>
      <c r="P130" s="9">
        <f t="shared" si="65"/>
        <v>20027297.580000002</v>
      </c>
      <c r="Q130" s="9">
        <f t="shared" si="65"/>
        <v>0</v>
      </c>
      <c r="R130" s="9">
        <f t="shared" si="65"/>
        <v>0</v>
      </c>
      <c r="S130" s="9">
        <f t="shared" si="65"/>
        <v>0</v>
      </c>
      <c r="T130" s="9">
        <f t="shared" si="65"/>
        <v>0</v>
      </c>
      <c r="U130" s="9">
        <f t="shared" si="65"/>
        <v>20027297.580000002</v>
      </c>
      <c r="V130" s="9">
        <f t="shared" si="65"/>
        <v>123028051.57000001</v>
      </c>
      <c r="W130" s="9">
        <f t="shared" si="65"/>
        <v>3102352.6799999997</v>
      </c>
      <c r="X130" s="9">
        <f t="shared" si="65"/>
        <v>124175175.58000001</v>
      </c>
      <c r="Y130" s="9">
        <f t="shared" si="65"/>
        <v>0</v>
      </c>
      <c r="Z130" s="9">
        <f t="shared" si="65"/>
        <v>3102352.6799999997</v>
      </c>
      <c r="AA130" s="9">
        <f t="shared" si="65"/>
        <v>124175175.58000001</v>
      </c>
      <c r="AB130" s="9">
        <f t="shared" si="65"/>
        <v>3102352.6799999997</v>
      </c>
    </row>
    <row r="131" spans="1:28" x14ac:dyDescent="0.3">
      <c r="A131" s="64"/>
      <c r="C131" s="8"/>
      <c r="D131" s="8"/>
      <c r="E131" s="17" t="s">
        <v>29</v>
      </c>
      <c r="F131" s="17" t="s">
        <v>29</v>
      </c>
      <c r="G131" s="17" t="s">
        <v>29</v>
      </c>
      <c r="H131" s="17" t="s">
        <v>29</v>
      </c>
      <c r="I131" s="17" t="s">
        <v>29</v>
      </c>
      <c r="J131" s="17" t="s">
        <v>29</v>
      </c>
      <c r="K131" s="17" t="s">
        <v>29</v>
      </c>
      <c r="L131" s="17" t="s">
        <v>29</v>
      </c>
      <c r="M131" s="17" t="s">
        <v>29</v>
      </c>
      <c r="N131" s="17" t="s">
        <v>29</v>
      </c>
      <c r="O131" s="17" t="s">
        <v>29</v>
      </c>
      <c r="P131" s="17" t="s">
        <v>29</v>
      </c>
      <c r="Q131" s="17" t="s">
        <v>29</v>
      </c>
      <c r="R131" s="17" t="s">
        <v>29</v>
      </c>
      <c r="S131" s="17" t="s">
        <v>29</v>
      </c>
      <c r="T131" s="17" t="s">
        <v>29</v>
      </c>
      <c r="U131" s="17" t="s">
        <v>29</v>
      </c>
      <c r="V131" s="17" t="s">
        <v>29</v>
      </c>
      <c r="W131" s="17" t="s">
        <v>29</v>
      </c>
      <c r="X131" s="17" t="s">
        <v>29</v>
      </c>
      <c r="Y131" s="17" t="s">
        <v>29</v>
      </c>
      <c r="Z131" s="17" t="s">
        <v>29</v>
      </c>
      <c r="AA131" s="17" t="s">
        <v>29</v>
      </c>
      <c r="AB131" s="17" t="s">
        <v>29</v>
      </c>
    </row>
    <row r="132" spans="1:28" x14ac:dyDescent="0.3">
      <c r="A132" s="64"/>
      <c r="C132" s="7" t="s">
        <v>113</v>
      </c>
      <c r="D132" s="8"/>
      <c r="E132" s="9">
        <f t="shared" ref="E132:AB132" si="66">E130+E107+E92+E68+E45+E22</f>
        <v>353896063.74000001</v>
      </c>
      <c r="F132" s="9">
        <f t="shared" si="66"/>
        <v>273117142.43000001</v>
      </c>
      <c r="G132" s="9">
        <f t="shared" si="66"/>
        <v>0</v>
      </c>
      <c r="H132" s="9">
        <f t="shared" si="66"/>
        <v>273117142.43000001</v>
      </c>
      <c r="I132" s="9">
        <f t="shared" si="66"/>
        <v>1122000</v>
      </c>
      <c r="J132" s="9">
        <f t="shared" si="66"/>
        <v>1122000</v>
      </c>
      <c r="K132" s="9">
        <f t="shared" si="66"/>
        <v>0</v>
      </c>
      <c r="L132" s="9">
        <f t="shared" si="66"/>
        <v>0</v>
      </c>
      <c r="M132" s="9">
        <f t="shared" si="66"/>
        <v>273117142.43000001</v>
      </c>
      <c r="N132" s="9">
        <f t="shared" si="66"/>
        <v>75916920.410000011</v>
      </c>
      <c r="O132" s="9">
        <f t="shared" si="66"/>
        <v>0</v>
      </c>
      <c r="P132" s="9">
        <f t="shared" si="66"/>
        <v>75916920.410000011</v>
      </c>
      <c r="Q132" s="9">
        <f t="shared" si="66"/>
        <v>0</v>
      </c>
      <c r="R132" s="9">
        <f t="shared" si="66"/>
        <v>0</v>
      </c>
      <c r="S132" s="9">
        <f t="shared" si="66"/>
        <v>31498.43</v>
      </c>
      <c r="T132" s="9">
        <f t="shared" si="66"/>
        <v>29618.01</v>
      </c>
      <c r="U132" s="9">
        <f t="shared" si="66"/>
        <v>75946538.420000002</v>
      </c>
      <c r="V132" s="9">
        <f t="shared" si="66"/>
        <v>345796129.38</v>
      </c>
      <c r="W132" s="9">
        <f t="shared" si="66"/>
        <v>4862000.8999999985</v>
      </c>
      <c r="X132" s="9">
        <f t="shared" si="66"/>
        <v>349034062.84000003</v>
      </c>
      <c r="Y132" s="9">
        <f t="shared" si="66"/>
        <v>0</v>
      </c>
      <c r="Z132" s="9">
        <f t="shared" si="66"/>
        <v>4862000.8999999985</v>
      </c>
      <c r="AA132" s="9">
        <f t="shared" si="66"/>
        <v>349063680.85000002</v>
      </c>
      <c r="AB132" s="9">
        <f t="shared" si="66"/>
        <v>4832382.8899999987</v>
      </c>
    </row>
    <row r="133" spans="1:28" x14ac:dyDescent="0.3">
      <c r="A133" s="64"/>
      <c r="C133" s="8"/>
      <c r="D133" s="8"/>
      <c r="E133" s="17" t="s">
        <v>114</v>
      </c>
      <c r="F133" s="17" t="s">
        <v>114</v>
      </c>
      <c r="G133" s="17" t="s">
        <v>114</v>
      </c>
      <c r="H133" s="17" t="s">
        <v>114</v>
      </c>
      <c r="I133" s="17" t="s">
        <v>114</v>
      </c>
      <c r="J133" s="17" t="s">
        <v>114</v>
      </c>
      <c r="K133" s="17" t="s">
        <v>114</v>
      </c>
      <c r="L133" s="17" t="s">
        <v>114</v>
      </c>
      <c r="M133" s="17" t="s">
        <v>114</v>
      </c>
      <c r="N133" s="17" t="s">
        <v>114</v>
      </c>
      <c r="O133" s="17" t="s">
        <v>114</v>
      </c>
      <c r="P133" s="17" t="s">
        <v>114</v>
      </c>
      <c r="Q133" s="17" t="s">
        <v>114</v>
      </c>
      <c r="R133" s="17" t="s">
        <v>114</v>
      </c>
      <c r="S133" s="17" t="s">
        <v>114</v>
      </c>
      <c r="T133" s="17" t="s">
        <v>114</v>
      </c>
      <c r="U133" s="17" t="s">
        <v>114</v>
      </c>
      <c r="V133" s="17" t="s">
        <v>114</v>
      </c>
      <c r="W133" s="17" t="s">
        <v>114</v>
      </c>
      <c r="X133" s="17" t="s">
        <v>114</v>
      </c>
      <c r="Y133" s="17" t="s">
        <v>114</v>
      </c>
      <c r="Z133" s="17" t="s">
        <v>114</v>
      </c>
      <c r="AA133" s="17" t="s">
        <v>114</v>
      </c>
      <c r="AB133" s="17" t="s">
        <v>114</v>
      </c>
    </row>
    <row r="134" spans="1:28" x14ac:dyDescent="0.3">
      <c r="A134" s="64"/>
      <c r="B134" s="7" t="s">
        <v>115</v>
      </c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58"/>
      <c r="Y134" s="8"/>
      <c r="Z134" s="8"/>
      <c r="AA134" s="58"/>
    </row>
    <row r="135" spans="1:28" x14ac:dyDescent="0.3">
      <c r="A135" s="64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8" x14ac:dyDescent="0.3">
      <c r="A136" s="63" t="s">
        <v>940</v>
      </c>
      <c r="B136" s="7" t="s">
        <v>116</v>
      </c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8" x14ac:dyDescent="0.3">
      <c r="A137" s="64"/>
      <c r="C137" s="7" t="s">
        <v>75</v>
      </c>
      <c r="D137" s="21" t="s">
        <v>76</v>
      </c>
      <c r="E137" s="9">
        <v>6387000</v>
      </c>
      <c r="F137" s="9">
        <v>0</v>
      </c>
      <c r="G137" s="8"/>
      <c r="H137" s="9">
        <f t="shared" ref="H137:H147" si="67">F137+G137</f>
        <v>0</v>
      </c>
      <c r="I137" s="8"/>
      <c r="J137" s="8"/>
      <c r="K137" s="8"/>
      <c r="L137" s="9"/>
      <c r="M137" s="9">
        <f t="shared" ref="M137:M147" si="68">H137+L137</f>
        <v>0</v>
      </c>
      <c r="N137" s="9">
        <v>4670868.6399999997</v>
      </c>
      <c r="O137" s="8"/>
      <c r="P137" s="9">
        <f t="shared" ref="P137:P147" si="69">N137+O137</f>
        <v>4670868.6399999997</v>
      </c>
      <c r="Q137" s="8"/>
      <c r="R137" s="8"/>
      <c r="S137" s="8"/>
      <c r="T137" s="9"/>
      <c r="U137" s="9">
        <f t="shared" ref="U137:U147" si="70">P137+T137</f>
        <v>4670868.6399999997</v>
      </c>
      <c r="V137" s="9">
        <f t="shared" ref="V137:V147" si="71">P137+H137</f>
        <v>4670868.6399999997</v>
      </c>
      <c r="W137" s="9">
        <f t="shared" ref="W137:W147" si="72">E137-V137</f>
        <v>1716131.3600000003</v>
      </c>
      <c r="X137" s="9">
        <f t="shared" ref="X137:X147" si="73">+H137+P137</f>
        <v>4670868.6399999997</v>
      </c>
      <c r="Y137" s="8"/>
      <c r="Z137" s="9">
        <f t="shared" ref="Z137:Z147" si="74">+E137-X137</f>
        <v>1716131.3600000003</v>
      </c>
      <c r="AA137" s="8">
        <f t="shared" ref="AA137:AA147" si="75">+M137+U137</f>
        <v>4670868.6399999997</v>
      </c>
      <c r="AB137" s="8">
        <f t="shared" ref="AB137:AB147" si="76">+E137-AA137</f>
        <v>1716131.3600000003</v>
      </c>
    </row>
    <row r="138" spans="1:28" x14ac:dyDescent="0.3">
      <c r="A138" s="64"/>
      <c r="C138" s="7" t="s">
        <v>57</v>
      </c>
      <c r="D138" s="15" t="s">
        <v>117</v>
      </c>
      <c r="E138" s="9">
        <v>13658036.539999999</v>
      </c>
      <c r="F138" s="9">
        <v>13354002.779999999</v>
      </c>
      <c r="G138" s="8"/>
      <c r="H138" s="9">
        <f t="shared" si="67"/>
        <v>13354002.779999999</v>
      </c>
      <c r="I138" s="8"/>
      <c r="J138" s="8"/>
      <c r="K138" s="8"/>
      <c r="L138" s="9"/>
      <c r="M138" s="9">
        <f t="shared" si="68"/>
        <v>13354002.779999999</v>
      </c>
      <c r="N138" s="9">
        <v>304033.76</v>
      </c>
      <c r="O138" s="8"/>
      <c r="P138" s="9">
        <f t="shared" si="69"/>
        <v>304033.76</v>
      </c>
      <c r="Q138" s="8"/>
      <c r="R138" s="8"/>
      <c r="S138" s="8"/>
      <c r="T138" s="9"/>
      <c r="U138" s="9">
        <f t="shared" si="70"/>
        <v>304033.76</v>
      </c>
      <c r="V138" s="9">
        <f t="shared" si="71"/>
        <v>13658036.539999999</v>
      </c>
      <c r="W138" s="9">
        <f t="shared" si="72"/>
        <v>0</v>
      </c>
      <c r="X138" s="9">
        <f t="shared" si="73"/>
        <v>13658036.539999999</v>
      </c>
      <c r="Y138" s="8"/>
      <c r="Z138" s="9">
        <f t="shared" si="74"/>
        <v>0</v>
      </c>
      <c r="AA138" s="8">
        <f t="shared" si="75"/>
        <v>13658036.539999999</v>
      </c>
      <c r="AB138" s="8">
        <f t="shared" si="76"/>
        <v>0</v>
      </c>
    </row>
    <row r="139" spans="1:28" x14ac:dyDescent="0.3">
      <c r="A139" s="64"/>
      <c r="C139" s="7" t="s">
        <v>118</v>
      </c>
      <c r="D139" s="15" t="s">
        <v>119</v>
      </c>
      <c r="E139" s="9">
        <f>700000-5000</f>
        <v>695000</v>
      </c>
      <c r="F139" s="9">
        <v>695000</v>
      </c>
      <c r="G139" s="8"/>
      <c r="H139" s="9">
        <f t="shared" si="67"/>
        <v>695000</v>
      </c>
      <c r="I139" s="8"/>
      <c r="J139" s="8"/>
      <c r="K139" s="8"/>
      <c r="L139" s="9"/>
      <c r="M139" s="9">
        <f t="shared" si="68"/>
        <v>695000</v>
      </c>
      <c r="N139" s="9">
        <v>0</v>
      </c>
      <c r="O139" s="8"/>
      <c r="P139" s="9">
        <f t="shared" si="69"/>
        <v>0</v>
      </c>
      <c r="Q139" s="8"/>
      <c r="R139" s="8"/>
      <c r="S139" s="8"/>
      <c r="T139" s="9"/>
      <c r="U139" s="9">
        <f t="shared" si="70"/>
        <v>0</v>
      </c>
      <c r="V139" s="9">
        <f t="shared" si="71"/>
        <v>695000</v>
      </c>
      <c r="W139" s="9">
        <f t="shared" si="72"/>
        <v>0</v>
      </c>
      <c r="X139" s="9">
        <f t="shared" si="73"/>
        <v>695000</v>
      </c>
      <c r="Y139" s="8"/>
      <c r="Z139" s="9">
        <f t="shared" si="74"/>
        <v>0</v>
      </c>
      <c r="AA139" s="8">
        <f t="shared" si="75"/>
        <v>695000</v>
      </c>
      <c r="AB139" s="8">
        <f t="shared" si="76"/>
        <v>0</v>
      </c>
    </row>
    <row r="140" spans="1:28" x14ac:dyDescent="0.3">
      <c r="A140" s="64"/>
      <c r="C140" s="7" t="s">
        <v>53</v>
      </c>
      <c r="D140" s="15" t="s">
        <v>68</v>
      </c>
      <c r="E140" s="9">
        <v>1953989</v>
      </c>
      <c r="F140" s="9">
        <v>0</v>
      </c>
      <c r="G140" s="8"/>
      <c r="H140" s="9">
        <f t="shared" si="67"/>
        <v>0</v>
      </c>
      <c r="I140" s="8"/>
      <c r="J140" s="8"/>
      <c r="K140" s="8"/>
      <c r="L140" s="9"/>
      <c r="M140" s="9">
        <f t="shared" si="68"/>
        <v>0</v>
      </c>
      <c r="N140" s="9">
        <v>1953989</v>
      </c>
      <c r="O140" s="8"/>
      <c r="P140" s="9">
        <f t="shared" si="69"/>
        <v>1953989</v>
      </c>
      <c r="Q140" s="8"/>
      <c r="R140" s="8"/>
      <c r="S140" s="8"/>
      <c r="T140" s="9"/>
      <c r="U140" s="9">
        <f t="shared" si="70"/>
        <v>1953989</v>
      </c>
      <c r="V140" s="9">
        <f t="shared" si="71"/>
        <v>1953989</v>
      </c>
      <c r="W140" s="9">
        <f t="shared" si="72"/>
        <v>0</v>
      </c>
      <c r="X140" s="9">
        <f t="shared" si="73"/>
        <v>1953989</v>
      </c>
      <c r="Y140" s="8"/>
      <c r="Z140" s="9">
        <f t="shared" si="74"/>
        <v>0</v>
      </c>
      <c r="AA140" s="8">
        <f t="shared" si="75"/>
        <v>1953989</v>
      </c>
      <c r="AB140" s="8">
        <f t="shared" si="76"/>
        <v>0</v>
      </c>
    </row>
    <row r="141" spans="1:28" x14ac:dyDescent="0.3">
      <c r="A141" s="64"/>
      <c r="C141" s="7" t="s">
        <v>55</v>
      </c>
      <c r="D141" s="15" t="s">
        <v>54</v>
      </c>
      <c r="E141" s="9">
        <v>207787.32</v>
      </c>
      <c r="F141" s="9">
        <v>0</v>
      </c>
      <c r="G141" s="8"/>
      <c r="H141" s="9">
        <f t="shared" si="67"/>
        <v>0</v>
      </c>
      <c r="I141" s="8"/>
      <c r="J141" s="8"/>
      <c r="K141" s="8"/>
      <c r="L141" s="9"/>
      <c r="M141" s="9">
        <f t="shared" si="68"/>
        <v>0</v>
      </c>
      <c r="N141" s="9">
        <v>207787.32</v>
      </c>
      <c r="O141" s="8"/>
      <c r="P141" s="9">
        <f t="shared" si="69"/>
        <v>207787.32</v>
      </c>
      <c r="Q141" s="8"/>
      <c r="R141" s="8"/>
      <c r="S141" s="8"/>
      <c r="T141" s="9"/>
      <c r="U141" s="9">
        <f t="shared" si="70"/>
        <v>207787.32</v>
      </c>
      <c r="V141" s="9">
        <f t="shared" si="71"/>
        <v>207787.32</v>
      </c>
      <c r="W141" s="9">
        <f t="shared" si="72"/>
        <v>0</v>
      </c>
      <c r="X141" s="9">
        <f t="shared" si="73"/>
        <v>207787.32</v>
      </c>
      <c r="Y141" s="8"/>
      <c r="Z141" s="9">
        <f t="shared" si="74"/>
        <v>0</v>
      </c>
      <c r="AA141" s="8">
        <f t="shared" si="75"/>
        <v>207787.32</v>
      </c>
      <c r="AB141" s="8">
        <f t="shared" si="76"/>
        <v>0</v>
      </c>
    </row>
    <row r="142" spans="1:28" x14ac:dyDescent="0.3">
      <c r="A142" s="64"/>
      <c r="C142" s="7" t="s">
        <v>120</v>
      </c>
      <c r="D142" s="15" t="s">
        <v>85</v>
      </c>
      <c r="E142" s="9">
        <v>2000000</v>
      </c>
      <c r="F142" s="9">
        <v>2000000</v>
      </c>
      <c r="G142" s="8"/>
      <c r="H142" s="9">
        <f t="shared" si="67"/>
        <v>2000000</v>
      </c>
      <c r="I142" s="8"/>
      <c r="J142" s="8"/>
      <c r="K142" s="8"/>
      <c r="L142" s="9"/>
      <c r="M142" s="9">
        <f t="shared" si="68"/>
        <v>2000000</v>
      </c>
      <c r="N142" s="9">
        <v>0</v>
      </c>
      <c r="O142" s="8"/>
      <c r="P142" s="9">
        <f t="shared" si="69"/>
        <v>0</v>
      </c>
      <c r="Q142" s="8"/>
      <c r="R142" s="8"/>
      <c r="S142" s="8"/>
      <c r="T142" s="9"/>
      <c r="U142" s="9">
        <f t="shared" si="70"/>
        <v>0</v>
      </c>
      <c r="V142" s="9">
        <f t="shared" si="71"/>
        <v>2000000</v>
      </c>
      <c r="W142" s="9">
        <f t="shared" si="72"/>
        <v>0</v>
      </c>
      <c r="X142" s="9">
        <f t="shared" si="73"/>
        <v>2000000</v>
      </c>
      <c r="Y142" s="8"/>
      <c r="Z142" s="9">
        <f t="shared" si="74"/>
        <v>0</v>
      </c>
      <c r="AA142" s="8">
        <f t="shared" si="75"/>
        <v>2000000</v>
      </c>
      <c r="AB142" s="8">
        <f t="shared" si="76"/>
        <v>0</v>
      </c>
    </row>
    <row r="143" spans="1:28" x14ac:dyDescent="0.3">
      <c r="A143" s="64"/>
      <c r="C143" s="7" t="s">
        <v>57</v>
      </c>
      <c r="D143" s="15" t="s">
        <v>58</v>
      </c>
      <c r="E143" s="9">
        <v>2090440</v>
      </c>
      <c r="F143" s="9">
        <v>2090440</v>
      </c>
      <c r="G143" s="8"/>
      <c r="H143" s="9">
        <f t="shared" si="67"/>
        <v>2090440</v>
      </c>
      <c r="I143" s="8"/>
      <c r="J143" s="8"/>
      <c r="K143" s="8"/>
      <c r="L143" s="9"/>
      <c r="M143" s="9">
        <f t="shared" si="68"/>
        <v>2090440</v>
      </c>
      <c r="N143" s="9">
        <v>0</v>
      </c>
      <c r="O143" s="8"/>
      <c r="P143" s="9">
        <f t="shared" si="69"/>
        <v>0</v>
      </c>
      <c r="Q143" s="8"/>
      <c r="R143" s="8"/>
      <c r="S143" s="8"/>
      <c r="T143" s="9"/>
      <c r="U143" s="9">
        <f t="shared" si="70"/>
        <v>0</v>
      </c>
      <c r="V143" s="9">
        <f t="shared" si="71"/>
        <v>2090440</v>
      </c>
      <c r="W143" s="9">
        <f t="shared" si="72"/>
        <v>0</v>
      </c>
      <c r="X143" s="9">
        <f t="shared" si="73"/>
        <v>2090440</v>
      </c>
      <c r="Y143" s="8"/>
      <c r="Z143" s="9">
        <f t="shared" si="74"/>
        <v>0</v>
      </c>
      <c r="AA143" s="8">
        <f t="shared" si="75"/>
        <v>2090440</v>
      </c>
      <c r="AB143" s="8">
        <f t="shared" si="76"/>
        <v>0</v>
      </c>
    </row>
    <row r="144" spans="1:28" x14ac:dyDescent="0.3">
      <c r="A144" s="64"/>
      <c r="C144" s="14" t="s">
        <v>109</v>
      </c>
      <c r="D144" s="21" t="s">
        <v>60</v>
      </c>
      <c r="E144" s="9">
        <f>2500000+2443606.44</f>
        <v>4943606.4399999995</v>
      </c>
      <c r="F144" s="11">
        <v>4943606.4400000004</v>
      </c>
      <c r="G144" s="8"/>
      <c r="H144" s="9">
        <f t="shared" si="67"/>
        <v>4943606.4400000004</v>
      </c>
      <c r="I144" s="8"/>
      <c r="J144" s="8"/>
      <c r="K144" s="8"/>
      <c r="L144" s="9"/>
      <c r="M144" s="9">
        <f t="shared" si="68"/>
        <v>4943606.4400000004</v>
      </c>
      <c r="N144" s="9">
        <v>0</v>
      </c>
      <c r="O144" s="8"/>
      <c r="P144" s="9">
        <f t="shared" si="69"/>
        <v>0</v>
      </c>
      <c r="Q144" s="8"/>
      <c r="R144" s="8"/>
      <c r="S144" s="8"/>
      <c r="T144" s="9"/>
      <c r="U144" s="9">
        <f t="shared" si="70"/>
        <v>0</v>
      </c>
      <c r="V144" s="9">
        <f t="shared" si="71"/>
        <v>4943606.4400000004</v>
      </c>
      <c r="W144" s="9">
        <f t="shared" si="72"/>
        <v>0</v>
      </c>
      <c r="X144" s="9">
        <f t="shared" si="73"/>
        <v>4943606.4400000004</v>
      </c>
      <c r="Y144" s="8"/>
      <c r="Z144" s="9">
        <f t="shared" si="74"/>
        <v>0</v>
      </c>
      <c r="AA144" s="8">
        <f t="shared" si="75"/>
        <v>4943606.4400000004</v>
      </c>
      <c r="AB144" s="8">
        <f t="shared" si="76"/>
        <v>0</v>
      </c>
    </row>
    <row r="145" spans="1:31" x14ac:dyDescent="0.3">
      <c r="A145" s="64"/>
      <c r="C145" s="14" t="s">
        <v>121</v>
      </c>
      <c r="D145" s="15" t="s">
        <v>73</v>
      </c>
      <c r="E145" s="9">
        <v>2500000</v>
      </c>
      <c r="F145" s="11">
        <v>2500000</v>
      </c>
      <c r="G145" s="8"/>
      <c r="H145" s="9">
        <f t="shared" si="67"/>
        <v>2500000</v>
      </c>
      <c r="I145" s="8"/>
      <c r="J145" s="8"/>
      <c r="K145" s="8"/>
      <c r="L145" s="9"/>
      <c r="M145" s="9">
        <f t="shared" si="68"/>
        <v>2500000</v>
      </c>
      <c r="N145" s="9">
        <v>0</v>
      </c>
      <c r="O145" s="8"/>
      <c r="P145" s="9">
        <f t="shared" si="69"/>
        <v>0</v>
      </c>
      <c r="Q145" s="8"/>
      <c r="R145" s="8"/>
      <c r="S145" s="8"/>
      <c r="T145" s="9"/>
      <c r="U145" s="9">
        <f t="shared" si="70"/>
        <v>0</v>
      </c>
      <c r="V145" s="9">
        <f t="shared" si="71"/>
        <v>2500000</v>
      </c>
      <c r="W145" s="9">
        <f t="shared" si="72"/>
        <v>0</v>
      </c>
      <c r="X145" s="9">
        <f t="shared" si="73"/>
        <v>2500000</v>
      </c>
      <c r="Y145" s="8"/>
      <c r="Z145" s="9">
        <f t="shared" si="74"/>
        <v>0</v>
      </c>
      <c r="AA145" s="8">
        <f t="shared" si="75"/>
        <v>2500000</v>
      </c>
      <c r="AB145" s="8">
        <f t="shared" si="76"/>
        <v>0</v>
      </c>
    </row>
    <row r="146" spans="1:31" x14ac:dyDescent="0.3">
      <c r="A146" s="64"/>
      <c r="C146" s="14" t="s">
        <v>930</v>
      </c>
      <c r="D146" s="16" t="s">
        <v>1072</v>
      </c>
      <c r="E146" s="9">
        <v>4235109.3099999996</v>
      </c>
      <c r="F146" s="11">
        <v>4235109.3099999996</v>
      </c>
      <c r="G146" s="8"/>
      <c r="H146" s="9">
        <f>+F146+G146</f>
        <v>4235109.3099999996</v>
      </c>
      <c r="I146" s="8"/>
      <c r="J146" s="8"/>
      <c r="K146" s="8"/>
      <c r="L146" s="9"/>
      <c r="M146" s="9">
        <f>+H146+L146</f>
        <v>4235109.3099999996</v>
      </c>
      <c r="N146" s="9">
        <v>0</v>
      </c>
      <c r="O146" s="8"/>
      <c r="P146" s="9">
        <f>+N146+O146</f>
        <v>0</v>
      </c>
      <c r="Q146" s="8"/>
      <c r="R146" s="8"/>
      <c r="S146" s="8"/>
      <c r="T146" s="9"/>
      <c r="U146" s="9">
        <f t="shared" si="70"/>
        <v>0</v>
      </c>
      <c r="V146" s="8"/>
      <c r="W146" s="8"/>
      <c r="X146" s="9">
        <f t="shared" si="73"/>
        <v>4235109.3099999996</v>
      </c>
      <c r="Y146" s="8"/>
      <c r="Z146" s="9">
        <f t="shared" si="74"/>
        <v>0</v>
      </c>
      <c r="AA146" s="8">
        <f t="shared" si="75"/>
        <v>4235109.3099999996</v>
      </c>
      <c r="AB146" s="8">
        <f t="shared" si="76"/>
        <v>0</v>
      </c>
      <c r="AC146" s="9"/>
      <c r="AD146" s="8"/>
      <c r="AE146" s="9">
        <f>J146-AC146-AD146</f>
        <v>0</v>
      </c>
    </row>
    <row r="147" spans="1:31" x14ac:dyDescent="0.3">
      <c r="A147" s="64"/>
      <c r="C147" s="7" t="s">
        <v>122</v>
      </c>
      <c r="D147" s="8"/>
      <c r="E147" s="9">
        <v>1602810</v>
      </c>
      <c r="F147" s="9">
        <v>1602810</v>
      </c>
      <c r="G147" s="8"/>
      <c r="H147" s="9">
        <f t="shared" si="67"/>
        <v>1602810</v>
      </c>
      <c r="I147" s="8"/>
      <c r="J147" s="8"/>
      <c r="K147" s="8"/>
      <c r="L147" s="9"/>
      <c r="M147" s="9">
        <f t="shared" si="68"/>
        <v>1602810</v>
      </c>
      <c r="N147" s="9">
        <v>0</v>
      </c>
      <c r="O147" s="8"/>
      <c r="P147" s="9">
        <f t="shared" si="69"/>
        <v>0</v>
      </c>
      <c r="Q147" s="8"/>
      <c r="R147" s="8"/>
      <c r="S147" s="8"/>
      <c r="T147" s="9"/>
      <c r="U147" s="9">
        <f t="shared" si="70"/>
        <v>0</v>
      </c>
      <c r="V147" s="9">
        <f t="shared" si="71"/>
        <v>1602810</v>
      </c>
      <c r="W147" s="9">
        <f t="shared" si="72"/>
        <v>0</v>
      </c>
      <c r="X147" s="9">
        <f t="shared" si="73"/>
        <v>1602810</v>
      </c>
      <c r="Y147" s="8"/>
      <c r="Z147" s="9">
        <f t="shared" si="74"/>
        <v>0</v>
      </c>
      <c r="AA147" s="8">
        <f t="shared" si="75"/>
        <v>1602810</v>
      </c>
      <c r="AB147" s="8">
        <f t="shared" si="76"/>
        <v>0</v>
      </c>
    </row>
    <row r="148" spans="1:31" x14ac:dyDescent="0.3">
      <c r="A148" s="64"/>
      <c r="C148" s="8"/>
      <c r="D148" s="8"/>
      <c r="E148" s="17" t="s">
        <v>29</v>
      </c>
      <c r="F148" s="17" t="s">
        <v>29</v>
      </c>
      <c r="G148" s="17" t="s">
        <v>29</v>
      </c>
      <c r="H148" s="17" t="s">
        <v>29</v>
      </c>
      <c r="I148" s="17" t="s">
        <v>29</v>
      </c>
      <c r="J148" s="17" t="s">
        <v>29</v>
      </c>
      <c r="K148" s="17" t="s">
        <v>29</v>
      </c>
      <c r="L148" s="17" t="s">
        <v>29</v>
      </c>
      <c r="M148" s="17" t="s">
        <v>29</v>
      </c>
      <c r="N148" s="17" t="s">
        <v>29</v>
      </c>
      <c r="O148" s="17" t="s">
        <v>29</v>
      </c>
      <c r="P148" s="17" t="s">
        <v>29</v>
      </c>
      <c r="Q148" s="17" t="s">
        <v>29</v>
      </c>
      <c r="R148" s="17" t="s">
        <v>29</v>
      </c>
      <c r="S148" s="17" t="s">
        <v>29</v>
      </c>
      <c r="T148" s="17" t="s">
        <v>29</v>
      </c>
      <c r="U148" s="17" t="s">
        <v>29</v>
      </c>
      <c r="V148" s="17" t="s">
        <v>29</v>
      </c>
      <c r="W148" s="17" t="s">
        <v>29</v>
      </c>
      <c r="X148" s="17" t="s">
        <v>29</v>
      </c>
      <c r="Y148" s="17" t="s">
        <v>29</v>
      </c>
      <c r="Z148" s="17" t="s">
        <v>29</v>
      </c>
      <c r="AA148" s="17" t="s">
        <v>29</v>
      </c>
      <c r="AB148" s="17" t="s">
        <v>29</v>
      </c>
    </row>
    <row r="149" spans="1:31" x14ac:dyDescent="0.3">
      <c r="A149" s="64"/>
      <c r="C149" s="8"/>
      <c r="D149" s="8"/>
      <c r="E149" s="9">
        <f t="shared" ref="E149:AB149" si="77">SUM(E137:E147)</f>
        <v>40273778.609999999</v>
      </c>
      <c r="F149" s="9">
        <f t="shared" si="77"/>
        <v>31420968.530000001</v>
      </c>
      <c r="G149" s="9">
        <f t="shared" si="77"/>
        <v>0</v>
      </c>
      <c r="H149" s="9">
        <f t="shared" si="77"/>
        <v>31420968.530000001</v>
      </c>
      <c r="I149" s="9">
        <f t="shared" si="77"/>
        <v>0</v>
      </c>
      <c r="J149" s="9">
        <f t="shared" si="77"/>
        <v>0</v>
      </c>
      <c r="K149" s="9">
        <f t="shared" si="77"/>
        <v>0</v>
      </c>
      <c r="L149" s="9">
        <f t="shared" si="77"/>
        <v>0</v>
      </c>
      <c r="M149" s="9">
        <f t="shared" si="77"/>
        <v>31420968.530000001</v>
      </c>
      <c r="N149" s="9">
        <f t="shared" si="77"/>
        <v>7136678.7199999997</v>
      </c>
      <c r="O149" s="9">
        <f t="shared" si="77"/>
        <v>0</v>
      </c>
      <c r="P149" s="9">
        <f t="shared" si="77"/>
        <v>7136678.7199999997</v>
      </c>
      <c r="Q149" s="9">
        <f t="shared" si="77"/>
        <v>0</v>
      </c>
      <c r="R149" s="9">
        <f t="shared" si="77"/>
        <v>0</v>
      </c>
      <c r="S149" s="9">
        <f t="shared" si="77"/>
        <v>0</v>
      </c>
      <c r="T149" s="9">
        <f t="shared" si="77"/>
        <v>0</v>
      </c>
      <c r="U149" s="9">
        <f t="shared" si="77"/>
        <v>7136678.7199999997</v>
      </c>
      <c r="V149" s="9">
        <f t="shared" si="77"/>
        <v>34322537.939999998</v>
      </c>
      <c r="W149" s="9">
        <f t="shared" si="77"/>
        <v>1716131.3600000003</v>
      </c>
      <c r="X149" s="9">
        <f t="shared" si="77"/>
        <v>38557647.25</v>
      </c>
      <c r="Y149" s="9">
        <f t="shared" si="77"/>
        <v>0</v>
      </c>
      <c r="Z149" s="9">
        <f t="shared" si="77"/>
        <v>1716131.3600000003</v>
      </c>
      <c r="AA149" s="9">
        <f t="shared" si="77"/>
        <v>38557647.25</v>
      </c>
      <c r="AB149" s="9">
        <f t="shared" si="77"/>
        <v>1716131.3600000003</v>
      </c>
    </row>
    <row r="150" spans="1:31" x14ac:dyDescent="0.3">
      <c r="A150" s="64"/>
      <c r="C150" s="8"/>
      <c r="D150" s="8"/>
      <c r="E150" s="17" t="s">
        <v>29</v>
      </c>
      <c r="F150" s="17" t="s">
        <v>29</v>
      </c>
      <c r="G150" s="17" t="s">
        <v>29</v>
      </c>
      <c r="H150" s="17" t="s">
        <v>29</v>
      </c>
      <c r="I150" s="17" t="s">
        <v>29</v>
      </c>
      <c r="J150" s="17" t="s">
        <v>29</v>
      </c>
      <c r="K150" s="17" t="s">
        <v>29</v>
      </c>
      <c r="L150" s="17" t="s">
        <v>29</v>
      </c>
      <c r="M150" s="17" t="s">
        <v>29</v>
      </c>
      <c r="N150" s="17" t="s">
        <v>29</v>
      </c>
      <c r="O150" s="17" t="s">
        <v>29</v>
      </c>
      <c r="P150" s="17" t="s">
        <v>29</v>
      </c>
      <c r="Q150" s="17" t="s">
        <v>29</v>
      </c>
      <c r="R150" s="17" t="s">
        <v>29</v>
      </c>
      <c r="S150" s="17" t="s">
        <v>29</v>
      </c>
      <c r="T150" s="17" t="s">
        <v>29</v>
      </c>
      <c r="U150" s="17" t="s">
        <v>29</v>
      </c>
      <c r="V150" s="17" t="s">
        <v>29</v>
      </c>
      <c r="W150" s="17" t="s">
        <v>29</v>
      </c>
      <c r="X150" s="17" t="s">
        <v>29</v>
      </c>
      <c r="Y150" s="17" t="s">
        <v>29</v>
      </c>
      <c r="Z150" s="17" t="s">
        <v>29</v>
      </c>
      <c r="AA150" s="17" t="s">
        <v>29</v>
      </c>
      <c r="AB150" s="17" t="s">
        <v>29</v>
      </c>
    </row>
    <row r="151" spans="1:31" x14ac:dyDescent="0.3">
      <c r="A151" s="63" t="s">
        <v>941</v>
      </c>
      <c r="B151" s="7" t="s">
        <v>123</v>
      </c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58"/>
      <c r="Y151" s="8"/>
      <c r="Z151" s="8"/>
      <c r="AA151" s="58"/>
    </row>
    <row r="152" spans="1:31" x14ac:dyDescent="0.3">
      <c r="A152" s="64"/>
      <c r="C152" s="7" t="s">
        <v>75</v>
      </c>
      <c r="D152" s="21" t="s">
        <v>76</v>
      </c>
      <c r="E152" s="9">
        <v>30321000</v>
      </c>
      <c r="F152" s="9">
        <v>7922143</v>
      </c>
      <c r="G152" s="8"/>
      <c r="H152" s="9">
        <f>F152+G152</f>
        <v>7922143</v>
      </c>
      <c r="I152" s="8"/>
      <c r="J152" s="8"/>
      <c r="K152" s="8"/>
      <c r="L152" s="9"/>
      <c r="M152" s="9">
        <f>H152+L152</f>
        <v>7922143</v>
      </c>
      <c r="N152" s="9">
        <v>22180877.920000002</v>
      </c>
      <c r="O152" s="8"/>
      <c r="P152" s="9">
        <f>N152+O152</f>
        <v>22180877.920000002</v>
      </c>
      <c r="Q152" s="8"/>
      <c r="R152" s="8"/>
      <c r="S152" s="8"/>
      <c r="T152" s="9"/>
      <c r="U152" s="9">
        <f>P152+T152</f>
        <v>22180877.920000002</v>
      </c>
      <c r="V152" s="9">
        <f>P152+H152</f>
        <v>30103020.920000002</v>
      </c>
      <c r="W152" s="9">
        <f>E152-V152</f>
        <v>217979.07999999821</v>
      </c>
      <c r="X152" s="9">
        <f>+H152+P152</f>
        <v>30103020.920000002</v>
      </c>
      <c r="Y152" s="8"/>
      <c r="Z152" s="9">
        <f>+E152-X152</f>
        <v>217979.07999999821</v>
      </c>
      <c r="AA152" s="8">
        <f>+M152+U152</f>
        <v>30103020.920000002</v>
      </c>
      <c r="AB152" s="8">
        <f>+E152-AA152</f>
        <v>217979.07999999821</v>
      </c>
    </row>
    <row r="153" spans="1:31" x14ac:dyDescent="0.3">
      <c r="A153" s="64"/>
      <c r="C153" s="7" t="s">
        <v>124</v>
      </c>
      <c r="D153" s="15" t="s">
        <v>125</v>
      </c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31" x14ac:dyDescent="0.3">
      <c r="A154" s="64"/>
      <c r="C154" s="8"/>
      <c r="D154" s="14" t="s">
        <v>126</v>
      </c>
      <c r="E154" s="9">
        <v>20509500</v>
      </c>
      <c r="F154" s="9">
        <v>18775664.940000001</v>
      </c>
      <c r="G154" s="8"/>
      <c r="H154" s="9">
        <f t="shared" ref="H154:H164" si="78">F154+G154</f>
        <v>18775664.940000001</v>
      </c>
      <c r="I154" s="8"/>
      <c r="J154" s="8"/>
      <c r="K154" s="8"/>
      <c r="L154" s="9"/>
      <c r="M154" s="9">
        <f t="shared" ref="M154:M164" si="79">H154+L154</f>
        <v>18775664.940000001</v>
      </c>
      <c r="N154" s="9">
        <v>1733835.06</v>
      </c>
      <c r="O154" s="8"/>
      <c r="P154" s="9">
        <f t="shared" ref="P154:P164" si="80">N154+O154</f>
        <v>1733835.06</v>
      </c>
      <c r="Q154" s="8"/>
      <c r="R154" s="8"/>
      <c r="S154" s="8"/>
      <c r="T154" s="9"/>
      <c r="U154" s="9">
        <f t="shared" ref="U154:U164" si="81">P154+T154</f>
        <v>1733835.06</v>
      </c>
      <c r="V154" s="9">
        <f t="shared" ref="V154:V164" si="82">P154+H154</f>
        <v>20509500</v>
      </c>
      <c r="W154" s="9">
        <f t="shared" ref="W154:W164" si="83">E154-V154</f>
        <v>0</v>
      </c>
      <c r="X154" s="9">
        <f t="shared" ref="X154:X164" si="84">+H154+P154</f>
        <v>20509500</v>
      </c>
      <c r="Y154" s="8"/>
      <c r="Z154" s="9">
        <f t="shared" ref="Z154:Z164" si="85">+E154-X154</f>
        <v>0</v>
      </c>
      <c r="AA154" s="8">
        <f t="shared" ref="AA154:AA164" si="86">+M154+U154</f>
        <v>20509500</v>
      </c>
      <c r="AB154" s="8">
        <f t="shared" ref="AB154:AB164" si="87">+E154-AA154</f>
        <v>0</v>
      </c>
    </row>
    <row r="155" spans="1:31" x14ac:dyDescent="0.3">
      <c r="A155" s="64"/>
      <c r="C155" s="7" t="s">
        <v>53</v>
      </c>
      <c r="D155" s="15" t="s">
        <v>68</v>
      </c>
      <c r="E155" s="9">
        <v>1953989</v>
      </c>
      <c r="F155" s="9">
        <v>0</v>
      </c>
      <c r="G155" s="8"/>
      <c r="H155" s="9">
        <f t="shared" si="78"/>
        <v>0</v>
      </c>
      <c r="I155" s="8"/>
      <c r="J155" s="8"/>
      <c r="K155" s="8"/>
      <c r="L155" s="9"/>
      <c r="M155" s="9">
        <f t="shared" si="79"/>
        <v>0</v>
      </c>
      <c r="N155" s="9">
        <v>1953989</v>
      </c>
      <c r="O155" s="8"/>
      <c r="P155" s="9">
        <f t="shared" si="80"/>
        <v>1953989</v>
      </c>
      <c r="Q155" s="8"/>
      <c r="R155" s="8"/>
      <c r="S155" s="8"/>
      <c r="T155" s="9"/>
      <c r="U155" s="9">
        <f t="shared" si="81"/>
        <v>1953989</v>
      </c>
      <c r="V155" s="9">
        <f t="shared" si="82"/>
        <v>1953989</v>
      </c>
      <c r="W155" s="9">
        <f t="shared" si="83"/>
        <v>0</v>
      </c>
      <c r="X155" s="9">
        <f t="shared" si="84"/>
        <v>1953989</v>
      </c>
      <c r="Y155" s="8"/>
      <c r="Z155" s="9">
        <f t="shared" si="85"/>
        <v>0</v>
      </c>
      <c r="AA155" s="8">
        <f t="shared" si="86"/>
        <v>1953989</v>
      </c>
      <c r="AB155" s="8">
        <f t="shared" si="87"/>
        <v>0</v>
      </c>
    </row>
    <row r="156" spans="1:31" x14ac:dyDescent="0.3">
      <c r="A156" s="64"/>
      <c r="C156" s="7" t="s">
        <v>55</v>
      </c>
      <c r="D156" s="15" t="s">
        <v>93</v>
      </c>
      <c r="E156" s="9">
        <v>2846542.4</v>
      </c>
      <c r="F156" s="9">
        <v>0</v>
      </c>
      <c r="G156" s="8"/>
      <c r="H156" s="9">
        <f t="shared" si="78"/>
        <v>0</v>
      </c>
      <c r="I156" s="8"/>
      <c r="J156" s="8"/>
      <c r="K156" s="8"/>
      <c r="L156" s="9"/>
      <c r="M156" s="9">
        <f t="shared" si="79"/>
        <v>0</v>
      </c>
      <c r="N156" s="9">
        <v>2846542.4</v>
      </c>
      <c r="O156" s="8"/>
      <c r="P156" s="9">
        <f t="shared" si="80"/>
        <v>2846542.4</v>
      </c>
      <c r="Q156" s="8"/>
      <c r="R156" s="8"/>
      <c r="S156" s="8"/>
      <c r="T156" s="9"/>
      <c r="U156" s="9">
        <f t="shared" si="81"/>
        <v>2846542.4</v>
      </c>
      <c r="V156" s="9">
        <f t="shared" si="82"/>
        <v>2846542.4</v>
      </c>
      <c r="W156" s="9">
        <f t="shared" si="83"/>
        <v>0</v>
      </c>
      <c r="X156" s="9">
        <f t="shared" si="84"/>
        <v>2846542.4</v>
      </c>
      <c r="Y156" s="8"/>
      <c r="Z156" s="9">
        <f t="shared" si="85"/>
        <v>0</v>
      </c>
      <c r="AA156" s="8">
        <f t="shared" si="86"/>
        <v>2846542.4</v>
      </c>
      <c r="AB156" s="8">
        <f t="shared" si="87"/>
        <v>0</v>
      </c>
    </row>
    <row r="157" spans="1:31" x14ac:dyDescent="0.3">
      <c r="A157" s="64"/>
      <c r="C157" s="7" t="s">
        <v>127</v>
      </c>
      <c r="D157" s="15" t="s">
        <v>128</v>
      </c>
      <c r="E157" s="9">
        <v>1200000</v>
      </c>
      <c r="F157" s="9">
        <f>400000+800000</f>
        <v>1200000</v>
      </c>
      <c r="G157" s="8"/>
      <c r="H157" s="9">
        <f t="shared" si="78"/>
        <v>1200000</v>
      </c>
      <c r="I157" s="8"/>
      <c r="J157" s="8"/>
      <c r="K157" s="8"/>
      <c r="L157" s="9"/>
      <c r="M157" s="9">
        <f t="shared" si="79"/>
        <v>1200000</v>
      </c>
      <c r="N157" s="9">
        <v>0</v>
      </c>
      <c r="O157" s="8"/>
      <c r="P157" s="9">
        <f t="shared" si="80"/>
        <v>0</v>
      </c>
      <c r="Q157" s="8"/>
      <c r="R157" s="8"/>
      <c r="S157" s="8"/>
      <c r="T157" s="9"/>
      <c r="U157" s="9">
        <f t="shared" si="81"/>
        <v>0</v>
      </c>
      <c r="V157" s="9">
        <f t="shared" si="82"/>
        <v>1200000</v>
      </c>
      <c r="W157" s="9">
        <f t="shared" si="83"/>
        <v>0</v>
      </c>
      <c r="X157" s="9">
        <f t="shared" si="84"/>
        <v>1200000</v>
      </c>
      <c r="Y157" s="8"/>
      <c r="Z157" s="9">
        <f t="shared" si="85"/>
        <v>0</v>
      </c>
      <c r="AA157" s="8">
        <f t="shared" si="86"/>
        <v>1200000</v>
      </c>
      <c r="AB157" s="8">
        <f t="shared" si="87"/>
        <v>0</v>
      </c>
    </row>
    <row r="158" spans="1:31" x14ac:dyDescent="0.3">
      <c r="A158" s="64"/>
      <c r="C158" s="7" t="s">
        <v>932</v>
      </c>
      <c r="D158" s="16" t="s">
        <v>1072</v>
      </c>
      <c r="E158" s="9">
        <v>400000</v>
      </c>
      <c r="F158" s="9">
        <v>400000</v>
      </c>
      <c r="G158" s="8"/>
      <c r="H158" s="9">
        <f>+F158+G158</f>
        <v>400000</v>
      </c>
      <c r="I158" s="8"/>
      <c r="J158" s="8"/>
      <c r="K158" s="8"/>
      <c r="L158" s="9"/>
      <c r="M158" s="9">
        <f t="shared" si="79"/>
        <v>400000</v>
      </c>
      <c r="N158" s="9">
        <v>0</v>
      </c>
      <c r="O158" s="8"/>
      <c r="P158" s="9">
        <f t="shared" si="80"/>
        <v>0</v>
      </c>
      <c r="Q158" s="8"/>
      <c r="R158" s="8"/>
      <c r="S158" s="8"/>
      <c r="T158" s="9"/>
      <c r="U158" s="9">
        <f t="shared" si="81"/>
        <v>0</v>
      </c>
      <c r="V158" s="9">
        <f t="shared" si="82"/>
        <v>400000</v>
      </c>
      <c r="W158" s="9">
        <f t="shared" si="83"/>
        <v>0</v>
      </c>
      <c r="X158" s="9">
        <f t="shared" si="84"/>
        <v>400000</v>
      </c>
      <c r="Y158" s="8"/>
      <c r="Z158" s="9">
        <f t="shared" si="85"/>
        <v>0</v>
      </c>
      <c r="AA158" s="8">
        <f t="shared" si="86"/>
        <v>400000</v>
      </c>
      <c r="AB158" s="8">
        <f t="shared" si="87"/>
        <v>0</v>
      </c>
    </row>
    <row r="159" spans="1:31" x14ac:dyDescent="0.3">
      <c r="A159" s="64"/>
      <c r="C159" s="7" t="s">
        <v>930</v>
      </c>
      <c r="D159" s="16" t="s">
        <v>1072</v>
      </c>
      <c r="E159" s="9">
        <v>1155000</v>
      </c>
      <c r="F159" s="9">
        <v>1155000</v>
      </c>
      <c r="G159" s="8"/>
      <c r="H159" s="9">
        <f>+F159+G159</f>
        <v>1155000</v>
      </c>
      <c r="I159" s="8"/>
      <c r="J159" s="8"/>
      <c r="K159" s="8"/>
      <c r="L159" s="9"/>
      <c r="M159" s="9">
        <f t="shared" si="79"/>
        <v>1155000</v>
      </c>
      <c r="N159" s="9">
        <v>0</v>
      </c>
      <c r="O159" s="8"/>
      <c r="P159" s="9">
        <f t="shared" si="80"/>
        <v>0</v>
      </c>
      <c r="Q159" s="8"/>
      <c r="R159" s="8"/>
      <c r="S159" s="8"/>
      <c r="T159" s="9"/>
      <c r="U159" s="9">
        <f t="shared" si="81"/>
        <v>0</v>
      </c>
      <c r="V159" s="9">
        <f t="shared" si="82"/>
        <v>1155000</v>
      </c>
      <c r="W159" s="9">
        <f t="shared" si="83"/>
        <v>0</v>
      </c>
      <c r="X159" s="9">
        <f t="shared" si="84"/>
        <v>1155000</v>
      </c>
      <c r="Y159" s="8"/>
      <c r="Z159" s="9">
        <f t="shared" si="85"/>
        <v>0</v>
      </c>
      <c r="AA159" s="8">
        <f t="shared" si="86"/>
        <v>1155000</v>
      </c>
      <c r="AB159" s="8">
        <f t="shared" si="87"/>
        <v>0</v>
      </c>
    </row>
    <row r="160" spans="1:31" x14ac:dyDescent="0.3">
      <c r="A160" s="64"/>
      <c r="C160" s="7" t="s">
        <v>1238</v>
      </c>
      <c r="D160" s="16" t="s">
        <v>1225</v>
      </c>
      <c r="E160" s="9">
        <v>1000000</v>
      </c>
      <c r="F160" s="9">
        <v>1000000</v>
      </c>
      <c r="G160" s="8"/>
      <c r="H160" s="9">
        <f>+F160+G160</f>
        <v>1000000</v>
      </c>
      <c r="I160" s="8"/>
      <c r="J160" s="8"/>
      <c r="K160" s="8"/>
      <c r="L160" s="9"/>
      <c r="M160" s="9">
        <f>+H160+L160</f>
        <v>1000000</v>
      </c>
      <c r="N160" s="9">
        <v>0</v>
      </c>
      <c r="O160" s="8"/>
      <c r="P160" s="9">
        <f t="shared" si="80"/>
        <v>0</v>
      </c>
      <c r="Q160" s="8"/>
      <c r="R160" s="8"/>
      <c r="S160" s="8"/>
      <c r="T160" s="9"/>
      <c r="U160" s="9">
        <f t="shared" si="81"/>
        <v>0</v>
      </c>
      <c r="V160" s="9">
        <f t="shared" si="82"/>
        <v>1000000</v>
      </c>
      <c r="W160" s="9">
        <f t="shared" si="83"/>
        <v>0</v>
      </c>
      <c r="X160" s="9">
        <f t="shared" si="84"/>
        <v>1000000</v>
      </c>
      <c r="Y160" s="8"/>
      <c r="Z160" s="9">
        <f t="shared" si="85"/>
        <v>0</v>
      </c>
      <c r="AA160" s="8">
        <f t="shared" si="86"/>
        <v>1000000</v>
      </c>
      <c r="AB160" s="8">
        <f t="shared" si="87"/>
        <v>0</v>
      </c>
    </row>
    <row r="161" spans="1:28" x14ac:dyDescent="0.3">
      <c r="A161" s="64"/>
      <c r="C161" s="7" t="s">
        <v>57</v>
      </c>
      <c r="D161" s="15" t="s">
        <v>58</v>
      </c>
      <c r="E161" s="9">
        <v>5562730</v>
      </c>
      <c r="F161" s="9">
        <v>5562730</v>
      </c>
      <c r="G161" s="8"/>
      <c r="H161" s="9">
        <f t="shared" si="78"/>
        <v>5562730</v>
      </c>
      <c r="I161" s="8"/>
      <c r="J161" s="8"/>
      <c r="K161" s="8"/>
      <c r="L161" s="9"/>
      <c r="M161" s="9">
        <f t="shared" si="79"/>
        <v>5562730</v>
      </c>
      <c r="N161" s="9">
        <v>0</v>
      </c>
      <c r="O161" s="8"/>
      <c r="P161" s="9">
        <f t="shared" si="80"/>
        <v>0</v>
      </c>
      <c r="Q161" s="8"/>
      <c r="R161" s="8"/>
      <c r="S161" s="8"/>
      <c r="T161" s="9"/>
      <c r="U161" s="9">
        <f t="shared" si="81"/>
        <v>0</v>
      </c>
      <c r="V161" s="9">
        <f t="shared" si="82"/>
        <v>5562730</v>
      </c>
      <c r="W161" s="9">
        <f t="shared" si="83"/>
        <v>0</v>
      </c>
      <c r="X161" s="9">
        <f t="shared" si="84"/>
        <v>5562730</v>
      </c>
      <c r="Y161" s="8"/>
      <c r="Z161" s="9">
        <f t="shared" si="85"/>
        <v>0</v>
      </c>
      <c r="AA161" s="8">
        <f t="shared" si="86"/>
        <v>5562730</v>
      </c>
      <c r="AB161" s="8">
        <f t="shared" si="87"/>
        <v>0</v>
      </c>
    </row>
    <row r="162" spans="1:28" x14ac:dyDescent="0.3">
      <c r="A162" s="64"/>
      <c r="C162" s="7" t="s">
        <v>57</v>
      </c>
      <c r="D162" s="15" t="s">
        <v>60</v>
      </c>
      <c r="E162" s="9">
        <v>6942410</v>
      </c>
      <c r="F162" s="11">
        <v>6942410</v>
      </c>
      <c r="G162" s="8"/>
      <c r="H162" s="9">
        <f t="shared" si="78"/>
        <v>6942410</v>
      </c>
      <c r="I162" s="8"/>
      <c r="J162" s="8"/>
      <c r="K162" s="8"/>
      <c r="L162" s="9"/>
      <c r="M162" s="9">
        <f t="shared" si="79"/>
        <v>6942410</v>
      </c>
      <c r="N162" s="9">
        <v>0</v>
      </c>
      <c r="O162" s="8"/>
      <c r="P162" s="9">
        <f t="shared" si="80"/>
        <v>0</v>
      </c>
      <c r="Q162" s="8"/>
      <c r="R162" s="8"/>
      <c r="S162" s="8"/>
      <c r="T162" s="9"/>
      <c r="U162" s="9">
        <f t="shared" si="81"/>
        <v>0</v>
      </c>
      <c r="V162" s="9">
        <f t="shared" si="82"/>
        <v>6942410</v>
      </c>
      <c r="W162" s="9">
        <f t="shared" si="83"/>
        <v>0</v>
      </c>
      <c r="X162" s="9">
        <f t="shared" si="84"/>
        <v>6942410</v>
      </c>
      <c r="Y162" s="8"/>
      <c r="Z162" s="9">
        <f t="shared" si="85"/>
        <v>0</v>
      </c>
      <c r="AA162" s="8">
        <f t="shared" si="86"/>
        <v>6942410</v>
      </c>
      <c r="AB162" s="8">
        <f t="shared" si="87"/>
        <v>0</v>
      </c>
    </row>
    <row r="163" spans="1:28" x14ac:dyDescent="0.3">
      <c r="A163" s="64"/>
      <c r="C163" s="14" t="s">
        <v>109</v>
      </c>
      <c r="D163" s="21" t="s">
        <v>60</v>
      </c>
      <c r="E163" s="9">
        <v>5000000</v>
      </c>
      <c r="F163" s="11">
        <v>5000000</v>
      </c>
      <c r="G163" s="8"/>
      <c r="H163" s="9">
        <f t="shared" si="78"/>
        <v>5000000</v>
      </c>
      <c r="I163" s="8"/>
      <c r="J163" s="8"/>
      <c r="K163" s="8"/>
      <c r="L163" s="9"/>
      <c r="M163" s="9">
        <f t="shared" si="79"/>
        <v>5000000</v>
      </c>
      <c r="N163" s="9">
        <v>0</v>
      </c>
      <c r="O163" s="8"/>
      <c r="P163" s="9">
        <f t="shared" si="80"/>
        <v>0</v>
      </c>
      <c r="Q163" s="8"/>
      <c r="R163" s="8"/>
      <c r="S163" s="8"/>
      <c r="T163" s="9"/>
      <c r="U163" s="9">
        <f t="shared" si="81"/>
        <v>0</v>
      </c>
      <c r="V163" s="9">
        <f t="shared" si="82"/>
        <v>5000000</v>
      </c>
      <c r="W163" s="9">
        <f t="shared" si="83"/>
        <v>0</v>
      </c>
      <c r="X163" s="9">
        <f t="shared" si="84"/>
        <v>5000000</v>
      </c>
      <c r="Y163" s="8"/>
      <c r="Z163" s="9">
        <f t="shared" si="85"/>
        <v>0</v>
      </c>
      <c r="AA163" s="8">
        <f t="shared" si="86"/>
        <v>5000000</v>
      </c>
      <c r="AB163" s="8">
        <f t="shared" si="87"/>
        <v>0</v>
      </c>
    </row>
    <row r="164" spans="1:28" x14ac:dyDescent="0.3">
      <c r="A164" s="64"/>
      <c r="C164" s="7" t="s">
        <v>57</v>
      </c>
      <c r="D164" s="24" t="s">
        <v>61</v>
      </c>
      <c r="E164" s="9">
        <v>704422.46</v>
      </c>
      <c r="F164" s="8">
        <v>704422.46</v>
      </c>
      <c r="G164" s="8"/>
      <c r="H164" s="9">
        <f t="shared" si="78"/>
        <v>704422.46</v>
      </c>
      <c r="I164" s="8"/>
      <c r="J164" s="8"/>
      <c r="K164" s="8"/>
      <c r="L164" s="9"/>
      <c r="M164" s="9">
        <f t="shared" si="79"/>
        <v>704422.46</v>
      </c>
      <c r="N164" s="9">
        <v>0</v>
      </c>
      <c r="O164" s="8"/>
      <c r="P164" s="9">
        <f t="shared" si="80"/>
        <v>0</v>
      </c>
      <c r="Q164" s="8"/>
      <c r="R164" s="8"/>
      <c r="S164" s="8"/>
      <c r="T164" s="9"/>
      <c r="U164" s="9">
        <f t="shared" si="81"/>
        <v>0</v>
      </c>
      <c r="V164" s="9">
        <f t="shared" si="82"/>
        <v>704422.46</v>
      </c>
      <c r="W164" s="9">
        <f t="shared" si="83"/>
        <v>0</v>
      </c>
      <c r="X164" s="9">
        <f t="shared" si="84"/>
        <v>704422.46</v>
      </c>
      <c r="Y164" s="8"/>
      <c r="Z164" s="9">
        <f t="shared" si="85"/>
        <v>0</v>
      </c>
      <c r="AA164" s="8">
        <f t="shared" si="86"/>
        <v>704422.46</v>
      </c>
      <c r="AB164" s="8">
        <f t="shared" si="87"/>
        <v>0</v>
      </c>
    </row>
    <row r="165" spans="1:28" x14ac:dyDescent="0.3">
      <c r="A165" s="64"/>
      <c r="C165" s="8"/>
      <c r="D165" s="8"/>
      <c r="E165" s="17" t="s">
        <v>29</v>
      </c>
      <c r="F165" s="17" t="s">
        <v>29</v>
      </c>
      <c r="G165" s="17" t="s">
        <v>29</v>
      </c>
      <c r="H165" s="17" t="s">
        <v>29</v>
      </c>
      <c r="I165" s="17" t="s">
        <v>29</v>
      </c>
      <c r="J165" s="17" t="s">
        <v>29</v>
      </c>
      <c r="K165" s="17" t="s">
        <v>29</v>
      </c>
      <c r="L165" s="17" t="s">
        <v>29</v>
      </c>
      <c r="M165" s="17" t="s">
        <v>29</v>
      </c>
      <c r="N165" s="17" t="s">
        <v>29</v>
      </c>
      <c r="O165" s="17" t="s">
        <v>29</v>
      </c>
      <c r="P165" s="17" t="s">
        <v>29</v>
      </c>
      <c r="Q165" s="17" t="s">
        <v>29</v>
      </c>
      <c r="R165" s="17" t="s">
        <v>29</v>
      </c>
      <c r="S165" s="17" t="s">
        <v>29</v>
      </c>
      <c r="T165" s="17" t="s">
        <v>29</v>
      </c>
      <c r="U165" s="17" t="s">
        <v>29</v>
      </c>
      <c r="V165" s="17" t="s">
        <v>29</v>
      </c>
      <c r="W165" s="17" t="s">
        <v>29</v>
      </c>
      <c r="X165" s="17" t="s">
        <v>29</v>
      </c>
      <c r="Y165" s="17" t="s">
        <v>29</v>
      </c>
      <c r="Z165" s="17" t="s">
        <v>29</v>
      </c>
      <c r="AA165" s="17" t="s">
        <v>29</v>
      </c>
      <c r="AB165" s="17" t="s">
        <v>29</v>
      </c>
    </row>
    <row r="166" spans="1:28" x14ac:dyDescent="0.3">
      <c r="A166" s="64"/>
      <c r="C166" s="8"/>
      <c r="D166" s="8"/>
      <c r="E166" s="9">
        <f t="shared" ref="E166:AB166" si="88">SUM(E152:E164)</f>
        <v>77595593.859999999</v>
      </c>
      <c r="F166" s="9">
        <f t="shared" si="88"/>
        <v>48662370.399999999</v>
      </c>
      <c r="G166" s="9">
        <f t="shared" si="88"/>
        <v>0</v>
      </c>
      <c r="H166" s="9">
        <f t="shared" si="88"/>
        <v>48662370.399999999</v>
      </c>
      <c r="I166" s="9">
        <f t="shared" si="88"/>
        <v>0</v>
      </c>
      <c r="J166" s="9">
        <f t="shared" si="88"/>
        <v>0</v>
      </c>
      <c r="K166" s="9">
        <f t="shared" si="88"/>
        <v>0</v>
      </c>
      <c r="L166" s="9">
        <f t="shared" si="88"/>
        <v>0</v>
      </c>
      <c r="M166" s="9">
        <f t="shared" si="88"/>
        <v>48662370.399999999</v>
      </c>
      <c r="N166" s="9">
        <f t="shared" si="88"/>
        <v>28715244.379999999</v>
      </c>
      <c r="O166" s="9">
        <f t="shared" si="88"/>
        <v>0</v>
      </c>
      <c r="P166" s="9">
        <f t="shared" si="88"/>
        <v>28715244.379999999</v>
      </c>
      <c r="Q166" s="9">
        <f t="shared" si="88"/>
        <v>0</v>
      </c>
      <c r="R166" s="9">
        <f t="shared" si="88"/>
        <v>0</v>
      </c>
      <c r="S166" s="9">
        <f t="shared" si="88"/>
        <v>0</v>
      </c>
      <c r="T166" s="9">
        <f t="shared" si="88"/>
        <v>0</v>
      </c>
      <c r="U166" s="9">
        <f t="shared" si="88"/>
        <v>28715244.379999999</v>
      </c>
      <c r="V166" s="9">
        <f t="shared" si="88"/>
        <v>77377614.779999986</v>
      </c>
      <c r="W166" s="9">
        <f t="shared" si="88"/>
        <v>217979.07999999821</v>
      </c>
      <c r="X166" s="9">
        <f t="shared" si="88"/>
        <v>77377614.779999986</v>
      </c>
      <c r="Y166" s="9">
        <f t="shared" si="88"/>
        <v>0</v>
      </c>
      <c r="Z166" s="9">
        <f t="shared" si="88"/>
        <v>217979.07999999821</v>
      </c>
      <c r="AA166" s="9">
        <f t="shared" si="88"/>
        <v>77377614.779999986</v>
      </c>
      <c r="AB166" s="9">
        <f t="shared" si="88"/>
        <v>217979.07999999821</v>
      </c>
    </row>
    <row r="167" spans="1:28" x14ac:dyDescent="0.3">
      <c r="A167" s="64"/>
      <c r="C167" s="8"/>
      <c r="D167" s="8"/>
      <c r="E167" s="17" t="s">
        <v>29</v>
      </c>
      <c r="F167" s="17" t="s">
        <v>29</v>
      </c>
      <c r="G167" s="17" t="s">
        <v>29</v>
      </c>
      <c r="H167" s="17" t="s">
        <v>29</v>
      </c>
      <c r="I167" s="17" t="s">
        <v>29</v>
      </c>
      <c r="J167" s="17" t="s">
        <v>29</v>
      </c>
      <c r="K167" s="17" t="s">
        <v>29</v>
      </c>
      <c r="L167" s="17" t="s">
        <v>29</v>
      </c>
      <c r="M167" s="17" t="s">
        <v>29</v>
      </c>
      <c r="N167" s="17" t="s">
        <v>29</v>
      </c>
      <c r="O167" s="17" t="s">
        <v>29</v>
      </c>
      <c r="P167" s="17" t="s">
        <v>29</v>
      </c>
      <c r="Q167" s="17" t="s">
        <v>29</v>
      </c>
      <c r="R167" s="17" t="s">
        <v>29</v>
      </c>
      <c r="S167" s="17" t="s">
        <v>29</v>
      </c>
      <c r="T167" s="17" t="s">
        <v>29</v>
      </c>
      <c r="U167" s="17" t="s">
        <v>29</v>
      </c>
      <c r="V167" s="17" t="s">
        <v>29</v>
      </c>
      <c r="W167" s="17" t="s">
        <v>29</v>
      </c>
      <c r="X167" s="17" t="s">
        <v>29</v>
      </c>
      <c r="Y167" s="17" t="s">
        <v>29</v>
      </c>
      <c r="Z167" s="17" t="s">
        <v>29</v>
      </c>
      <c r="AA167" s="17" t="s">
        <v>29</v>
      </c>
      <c r="AB167" s="17" t="s">
        <v>29</v>
      </c>
    </row>
    <row r="168" spans="1:28" x14ac:dyDescent="0.3">
      <c r="A168" s="64"/>
      <c r="C168" s="8"/>
      <c r="D168" s="8"/>
      <c r="E168" s="22">
        <v>71393761.400000006</v>
      </c>
      <c r="F168" s="22">
        <v>42460537.939999998</v>
      </c>
      <c r="G168" s="22"/>
      <c r="H168" s="22">
        <v>42460537.939999998</v>
      </c>
      <c r="I168" s="22"/>
      <c r="J168" s="22"/>
      <c r="K168" s="22"/>
      <c r="L168" s="22"/>
      <c r="M168" s="22">
        <v>42460537.939999998</v>
      </c>
      <c r="N168" s="22">
        <v>28715244.379999999</v>
      </c>
      <c r="O168" s="22"/>
      <c r="P168" s="22">
        <v>28715244.379999999</v>
      </c>
      <c r="Q168" s="22"/>
      <c r="R168" s="22"/>
      <c r="S168" s="22"/>
      <c r="T168" s="22"/>
      <c r="U168" s="22">
        <v>28715244.379999999</v>
      </c>
      <c r="V168" s="22"/>
      <c r="W168" s="22"/>
      <c r="X168" s="58"/>
      <c r="Y168" s="22"/>
      <c r="Z168" s="22">
        <v>7639479.0800000001</v>
      </c>
      <c r="AA168" s="58"/>
    </row>
    <row r="169" spans="1:28" x14ac:dyDescent="0.3">
      <c r="A169" s="63" t="s">
        <v>942</v>
      </c>
      <c r="B169" s="7" t="s">
        <v>129</v>
      </c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58"/>
      <c r="Y169" s="8"/>
      <c r="Z169" s="8"/>
    </row>
    <row r="170" spans="1:28" x14ac:dyDescent="0.3">
      <c r="A170" s="64"/>
      <c r="C170" s="8"/>
      <c r="D170" s="15" t="s">
        <v>64</v>
      </c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8" x14ac:dyDescent="0.3">
      <c r="A171" s="64"/>
      <c r="C171" s="7" t="s">
        <v>130</v>
      </c>
      <c r="D171" s="14" t="s">
        <v>131</v>
      </c>
      <c r="E171" s="9">
        <v>29982042.719999999</v>
      </c>
      <c r="F171" s="9">
        <v>27295999.899999999</v>
      </c>
      <c r="G171" s="8"/>
      <c r="H171" s="9">
        <f t="shared" ref="H171:H182" si="89">F171+G171</f>
        <v>27295999.899999999</v>
      </c>
      <c r="I171" s="8"/>
      <c r="J171" s="8"/>
      <c r="K171" s="8"/>
      <c r="L171" s="9"/>
      <c r="M171" s="9">
        <f t="shared" ref="M171:M182" si="90">H171+L171</f>
        <v>27295999.899999999</v>
      </c>
      <c r="N171" s="9">
        <f>1006226.72+1679816.1</f>
        <v>2686042.8200000003</v>
      </c>
      <c r="O171" s="8"/>
      <c r="P171" s="9">
        <f t="shared" ref="P171:P182" si="91">N171+O171</f>
        <v>2686042.8200000003</v>
      </c>
      <c r="Q171" s="9"/>
      <c r="R171" s="8"/>
      <c r="S171" s="9"/>
      <c r="T171" s="9"/>
      <c r="U171" s="9">
        <f t="shared" ref="U171:U182" si="92">P171+T171</f>
        <v>2686042.8200000003</v>
      </c>
      <c r="V171" s="9">
        <f t="shared" ref="V171:V182" si="93">P171+H171</f>
        <v>29982042.719999999</v>
      </c>
      <c r="W171" s="9">
        <f t="shared" ref="W171:W182" si="94">E171-V171</f>
        <v>0</v>
      </c>
      <c r="X171" s="9">
        <f t="shared" ref="X171:X182" si="95">+H171+P171</f>
        <v>29982042.719999999</v>
      </c>
      <c r="Y171" s="8"/>
      <c r="Z171" s="9">
        <f t="shared" ref="Z171:Z182" si="96">+E171-X171</f>
        <v>0</v>
      </c>
      <c r="AA171" s="8">
        <f t="shared" ref="AA171:AA182" si="97">+M171+U171</f>
        <v>29982042.719999999</v>
      </c>
      <c r="AB171" s="8">
        <f t="shared" ref="AB171:AB182" si="98">+E171-AA171</f>
        <v>0</v>
      </c>
    </row>
    <row r="172" spans="1:28" x14ac:dyDescent="0.3">
      <c r="A172" s="64"/>
      <c r="C172" s="7" t="s">
        <v>132</v>
      </c>
      <c r="D172" s="15" t="s">
        <v>68</v>
      </c>
      <c r="E172" s="9">
        <v>770000</v>
      </c>
      <c r="F172" s="9">
        <v>770000</v>
      </c>
      <c r="G172" s="8"/>
      <c r="H172" s="9">
        <f t="shared" si="89"/>
        <v>770000</v>
      </c>
      <c r="I172" s="8"/>
      <c r="J172" s="8"/>
      <c r="K172" s="8"/>
      <c r="L172" s="9"/>
      <c r="M172" s="9">
        <f t="shared" si="90"/>
        <v>770000</v>
      </c>
      <c r="N172" s="9">
        <v>0</v>
      </c>
      <c r="O172" s="8"/>
      <c r="P172" s="9">
        <f t="shared" si="91"/>
        <v>0</v>
      </c>
      <c r="Q172" s="8"/>
      <c r="R172" s="8"/>
      <c r="S172" s="8"/>
      <c r="T172" s="9"/>
      <c r="U172" s="9">
        <f t="shared" si="92"/>
        <v>0</v>
      </c>
      <c r="V172" s="9">
        <f t="shared" si="93"/>
        <v>770000</v>
      </c>
      <c r="W172" s="9">
        <f t="shared" si="94"/>
        <v>0</v>
      </c>
      <c r="X172" s="9">
        <f t="shared" si="95"/>
        <v>770000</v>
      </c>
      <c r="Y172" s="8"/>
      <c r="Z172" s="9">
        <f t="shared" si="96"/>
        <v>0</v>
      </c>
      <c r="AA172" s="8">
        <f t="shared" si="97"/>
        <v>770000</v>
      </c>
      <c r="AB172" s="8">
        <f t="shared" si="98"/>
        <v>0</v>
      </c>
    </row>
    <row r="173" spans="1:28" x14ac:dyDescent="0.3">
      <c r="A173" s="64"/>
      <c r="C173" s="7" t="s">
        <v>55</v>
      </c>
      <c r="D173" s="15" t="s">
        <v>68</v>
      </c>
      <c r="E173" s="9">
        <v>3139170.5</v>
      </c>
      <c r="F173" s="9">
        <v>0</v>
      </c>
      <c r="G173" s="8"/>
      <c r="H173" s="9">
        <f t="shared" si="89"/>
        <v>0</v>
      </c>
      <c r="I173" s="8"/>
      <c r="J173" s="8"/>
      <c r="K173" s="8"/>
      <c r="L173" s="9"/>
      <c r="M173" s="9">
        <f t="shared" si="90"/>
        <v>0</v>
      </c>
      <c r="N173" s="9">
        <v>3139170.5</v>
      </c>
      <c r="O173" s="8"/>
      <c r="P173" s="9">
        <f t="shared" si="91"/>
        <v>3139170.5</v>
      </c>
      <c r="Q173" s="8"/>
      <c r="R173" s="8"/>
      <c r="S173" s="8"/>
      <c r="T173" s="9"/>
      <c r="U173" s="9">
        <f t="shared" si="92"/>
        <v>3139170.5</v>
      </c>
      <c r="V173" s="9">
        <f t="shared" si="93"/>
        <v>3139170.5</v>
      </c>
      <c r="W173" s="9">
        <f t="shared" si="94"/>
        <v>0</v>
      </c>
      <c r="X173" s="9">
        <f t="shared" si="95"/>
        <v>3139170.5</v>
      </c>
      <c r="Y173" s="8"/>
      <c r="Z173" s="9">
        <f t="shared" si="96"/>
        <v>0</v>
      </c>
      <c r="AA173" s="8">
        <f t="shared" si="97"/>
        <v>3139170.5</v>
      </c>
      <c r="AB173" s="8">
        <f t="shared" si="98"/>
        <v>0</v>
      </c>
    </row>
    <row r="174" spans="1:28" x14ac:dyDescent="0.3">
      <c r="A174" s="64"/>
      <c r="C174" s="7" t="s">
        <v>53</v>
      </c>
      <c r="D174" s="15" t="s">
        <v>54</v>
      </c>
      <c r="E174" s="9">
        <v>1767770</v>
      </c>
      <c r="F174" s="9">
        <v>0</v>
      </c>
      <c r="G174" s="8"/>
      <c r="H174" s="9">
        <f t="shared" si="89"/>
        <v>0</v>
      </c>
      <c r="I174" s="8"/>
      <c r="J174" s="8"/>
      <c r="K174" s="8"/>
      <c r="L174" s="9"/>
      <c r="M174" s="9">
        <f t="shared" si="90"/>
        <v>0</v>
      </c>
      <c r="N174" s="9">
        <v>1767770</v>
      </c>
      <c r="O174" s="8"/>
      <c r="P174" s="9">
        <f t="shared" si="91"/>
        <v>1767770</v>
      </c>
      <c r="Q174" s="8"/>
      <c r="R174" s="8"/>
      <c r="S174" s="8"/>
      <c r="T174" s="9"/>
      <c r="U174" s="9">
        <f t="shared" si="92"/>
        <v>1767770</v>
      </c>
      <c r="V174" s="9">
        <f t="shared" si="93"/>
        <v>1767770</v>
      </c>
      <c r="W174" s="9">
        <f t="shared" si="94"/>
        <v>0</v>
      </c>
      <c r="X174" s="9">
        <f t="shared" si="95"/>
        <v>1767770</v>
      </c>
      <c r="Y174" s="8"/>
      <c r="Z174" s="9">
        <f t="shared" si="96"/>
        <v>0</v>
      </c>
      <c r="AA174" s="8">
        <f t="shared" si="97"/>
        <v>1767770</v>
      </c>
      <c r="AB174" s="8">
        <f t="shared" si="98"/>
        <v>0</v>
      </c>
    </row>
    <row r="175" spans="1:28" x14ac:dyDescent="0.3">
      <c r="A175" s="64"/>
      <c r="C175" s="7" t="s">
        <v>57</v>
      </c>
      <c r="D175" s="15" t="s">
        <v>58</v>
      </c>
      <c r="E175" s="9">
        <v>0</v>
      </c>
      <c r="F175" s="9">
        <v>0</v>
      </c>
      <c r="G175" s="8"/>
      <c r="H175" s="9">
        <f t="shared" si="89"/>
        <v>0</v>
      </c>
      <c r="I175" s="9"/>
      <c r="J175" s="8"/>
      <c r="K175" s="8"/>
      <c r="L175" s="9"/>
      <c r="M175" s="9">
        <f t="shared" si="90"/>
        <v>0</v>
      </c>
      <c r="N175" s="9">
        <v>0</v>
      </c>
      <c r="O175" s="8"/>
      <c r="P175" s="9">
        <f t="shared" si="91"/>
        <v>0</v>
      </c>
      <c r="Q175" s="8"/>
      <c r="R175" s="8"/>
      <c r="S175" s="8"/>
      <c r="T175" s="9"/>
      <c r="U175" s="9">
        <f t="shared" si="92"/>
        <v>0</v>
      </c>
      <c r="V175" s="9">
        <f t="shared" si="93"/>
        <v>0</v>
      </c>
      <c r="W175" s="9">
        <f t="shared" si="94"/>
        <v>0</v>
      </c>
      <c r="X175" s="9">
        <f t="shared" si="95"/>
        <v>0</v>
      </c>
      <c r="Y175" s="8"/>
      <c r="Z175" s="9">
        <f t="shared" si="96"/>
        <v>0</v>
      </c>
      <c r="AA175" s="8">
        <f t="shared" si="97"/>
        <v>0</v>
      </c>
      <c r="AB175" s="8">
        <f t="shared" si="98"/>
        <v>0</v>
      </c>
    </row>
    <row r="176" spans="1:28" x14ac:dyDescent="0.3">
      <c r="A176" s="64"/>
      <c r="C176" s="7" t="s">
        <v>57</v>
      </c>
      <c r="D176" s="15" t="s">
        <v>60</v>
      </c>
      <c r="E176" s="9">
        <v>1348757.15</v>
      </c>
      <c r="F176" s="11">
        <v>1348757.15</v>
      </c>
      <c r="G176" s="8"/>
      <c r="H176" s="9">
        <f t="shared" si="89"/>
        <v>1348757.15</v>
      </c>
      <c r="I176" s="8"/>
      <c r="J176" s="8"/>
      <c r="K176" s="8"/>
      <c r="L176" s="9"/>
      <c r="M176" s="9">
        <f t="shared" si="90"/>
        <v>1348757.15</v>
      </c>
      <c r="N176" s="9">
        <v>0</v>
      </c>
      <c r="O176" s="8"/>
      <c r="P176" s="9">
        <f t="shared" si="91"/>
        <v>0</v>
      </c>
      <c r="Q176" s="8"/>
      <c r="R176" s="8"/>
      <c r="S176" s="8"/>
      <c r="T176" s="9"/>
      <c r="U176" s="9">
        <f t="shared" si="92"/>
        <v>0</v>
      </c>
      <c r="V176" s="9">
        <f t="shared" si="93"/>
        <v>1348757.15</v>
      </c>
      <c r="W176" s="9">
        <f t="shared" si="94"/>
        <v>0</v>
      </c>
      <c r="X176" s="9">
        <f t="shared" si="95"/>
        <v>1348757.15</v>
      </c>
      <c r="Y176" s="8"/>
      <c r="Z176" s="9">
        <f t="shared" si="96"/>
        <v>0</v>
      </c>
      <c r="AA176" s="8">
        <f t="shared" si="97"/>
        <v>1348757.15</v>
      </c>
      <c r="AB176" s="8">
        <f t="shared" si="98"/>
        <v>0</v>
      </c>
    </row>
    <row r="177" spans="1:28" x14ac:dyDescent="0.3">
      <c r="A177" s="64"/>
      <c r="C177" s="14" t="s">
        <v>109</v>
      </c>
      <c r="D177" s="21" t="s">
        <v>60</v>
      </c>
      <c r="E177" s="9">
        <v>2500000</v>
      </c>
      <c r="F177" s="11">
        <v>2500000</v>
      </c>
      <c r="G177" s="8"/>
      <c r="H177" s="9">
        <f t="shared" si="89"/>
        <v>2500000</v>
      </c>
      <c r="I177" s="8"/>
      <c r="J177" s="8"/>
      <c r="K177" s="8"/>
      <c r="L177" s="9"/>
      <c r="M177" s="9">
        <f t="shared" si="90"/>
        <v>2500000</v>
      </c>
      <c r="N177" s="9">
        <v>0</v>
      </c>
      <c r="O177" s="8"/>
      <c r="P177" s="9">
        <f t="shared" si="91"/>
        <v>0</v>
      </c>
      <c r="Q177" s="8"/>
      <c r="R177" s="8"/>
      <c r="S177" s="8"/>
      <c r="T177" s="9"/>
      <c r="U177" s="9">
        <f t="shared" si="92"/>
        <v>0</v>
      </c>
      <c r="V177" s="9">
        <f t="shared" si="93"/>
        <v>2500000</v>
      </c>
      <c r="W177" s="9">
        <f t="shared" si="94"/>
        <v>0</v>
      </c>
      <c r="X177" s="9">
        <f t="shared" si="95"/>
        <v>2500000</v>
      </c>
      <c r="Y177" s="8"/>
      <c r="Z177" s="9">
        <f t="shared" si="96"/>
        <v>0</v>
      </c>
      <c r="AA177" s="8">
        <f t="shared" si="97"/>
        <v>2500000</v>
      </c>
      <c r="AB177" s="8">
        <f t="shared" si="98"/>
        <v>0</v>
      </c>
    </row>
    <row r="178" spans="1:28" x14ac:dyDescent="0.3">
      <c r="A178" s="64"/>
      <c r="C178" s="14" t="s">
        <v>95</v>
      </c>
      <c r="D178" s="21" t="s">
        <v>73</v>
      </c>
      <c r="E178" s="9">
        <v>3111000</v>
      </c>
      <c r="F178" s="11">
        <v>3111000</v>
      </c>
      <c r="G178" s="8"/>
      <c r="H178" s="9">
        <f t="shared" si="89"/>
        <v>3111000</v>
      </c>
      <c r="I178" s="8"/>
      <c r="J178" s="8"/>
      <c r="K178" s="8"/>
      <c r="L178" s="9"/>
      <c r="M178" s="9">
        <f t="shared" si="90"/>
        <v>3111000</v>
      </c>
      <c r="N178" s="9">
        <v>0</v>
      </c>
      <c r="O178" s="8"/>
      <c r="P178" s="9">
        <f t="shared" si="91"/>
        <v>0</v>
      </c>
      <c r="Q178" s="8"/>
      <c r="R178" s="8"/>
      <c r="S178" s="8"/>
      <c r="T178" s="9"/>
      <c r="U178" s="9">
        <f t="shared" si="92"/>
        <v>0</v>
      </c>
      <c r="V178" s="9">
        <f t="shared" si="93"/>
        <v>3111000</v>
      </c>
      <c r="W178" s="9">
        <f t="shared" si="94"/>
        <v>0</v>
      </c>
      <c r="X178" s="9">
        <f t="shared" si="95"/>
        <v>3111000</v>
      </c>
      <c r="Y178" s="8"/>
      <c r="Z178" s="9">
        <f t="shared" si="96"/>
        <v>0</v>
      </c>
      <c r="AA178" s="8">
        <f t="shared" si="97"/>
        <v>3111000</v>
      </c>
      <c r="AB178" s="8">
        <f t="shared" si="98"/>
        <v>0</v>
      </c>
    </row>
    <row r="179" spans="1:28" x14ac:dyDescent="0.3">
      <c r="A179" s="64"/>
      <c r="C179" s="14" t="s">
        <v>121</v>
      </c>
      <c r="D179" s="21" t="s">
        <v>73</v>
      </c>
      <c r="E179" s="9">
        <v>500000</v>
      </c>
      <c r="F179" s="8">
        <v>500000</v>
      </c>
      <c r="G179" s="8"/>
      <c r="H179" s="9">
        <f t="shared" si="89"/>
        <v>500000</v>
      </c>
      <c r="I179" s="8"/>
      <c r="J179" s="8"/>
      <c r="K179" s="8"/>
      <c r="L179" s="9"/>
      <c r="M179" s="9">
        <f t="shared" si="90"/>
        <v>500000</v>
      </c>
      <c r="N179" s="9">
        <v>0</v>
      </c>
      <c r="O179" s="8"/>
      <c r="P179" s="9">
        <f t="shared" si="91"/>
        <v>0</v>
      </c>
      <c r="Q179" s="8"/>
      <c r="R179" s="8"/>
      <c r="S179" s="8"/>
      <c r="T179" s="9"/>
      <c r="U179" s="9">
        <f t="shared" si="92"/>
        <v>0</v>
      </c>
      <c r="V179" s="9">
        <f t="shared" si="93"/>
        <v>500000</v>
      </c>
      <c r="W179" s="9">
        <f t="shared" si="94"/>
        <v>0</v>
      </c>
      <c r="X179" s="9">
        <f t="shared" si="95"/>
        <v>500000</v>
      </c>
      <c r="Y179" s="8"/>
      <c r="Z179" s="9">
        <f t="shared" si="96"/>
        <v>0</v>
      </c>
      <c r="AA179" s="8">
        <f t="shared" si="97"/>
        <v>500000</v>
      </c>
      <c r="AB179" s="8">
        <f t="shared" si="98"/>
        <v>0</v>
      </c>
    </row>
    <row r="180" spans="1:28" x14ac:dyDescent="0.3">
      <c r="A180" s="64"/>
      <c r="C180" s="14" t="s">
        <v>930</v>
      </c>
      <c r="D180" s="24" t="s">
        <v>1072</v>
      </c>
      <c r="E180" s="9">
        <f>2619122.77+2755877.23</f>
        <v>5375000</v>
      </c>
      <c r="F180" s="8">
        <f>2619122.77+2755877.23</f>
        <v>5375000</v>
      </c>
      <c r="G180" s="8"/>
      <c r="H180" s="9">
        <f>+F180+G180</f>
        <v>5375000</v>
      </c>
      <c r="I180" s="8"/>
      <c r="J180" s="8"/>
      <c r="K180" s="8"/>
      <c r="L180" s="9"/>
      <c r="M180" s="9">
        <f>+H180+L180</f>
        <v>5375000</v>
      </c>
      <c r="N180" s="9">
        <v>0</v>
      </c>
      <c r="O180" s="8"/>
      <c r="P180" s="9">
        <f>+N180+O180</f>
        <v>0</v>
      </c>
      <c r="Q180" s="8"/>
      <c r="R180" s="8"/>
      <c r="S180" s="8"/>
      <c r="T180" s="9"/>
      <c r="U180" s="9">
        <f>P180+T180</f>
        <v>0</v>
      </c>
      <c r="V180" s="9">
        <f>P180+H180</f>
        <v>5375000</v>
      </c>
      <c r="W180" s="9">
        <f>E180-V180</f>
        <v>0</v>
      </c>
      <c r="X180" s="9">
        <f t="shared" si="95"/>
        <v>5375000</v>
      </c>
      <c r="Y180" s="8"/>
      <c r="Z180" s="9">
        <f t="shared" si="96"/>
        <v>0</v>
      </c>
      <c r="AA180" s="8">
        <f t="shared" si="97"/>
        <v>5375000</v>
      </c>
      <c r="AB180" s="8">
        <f t="shared" si="98"/>
        <v>0</v>
      </c>
    </row>
    <row r="181" spans="1:28" x14ac:dyDescent="0.3">
      <c r="A181" s="64"/>
      <c r="C181" s="14" t="s">
        <v>1106</v>
      </c>
      <c r="D181" s="24" t="s">
        <v>1072</v>
      </c>
      <c r="E181" s="9">
        <v>1091751.77</v>
      </c>
      <c r="F181" s="8">
        <v>1091751.77</v>
      </c>
      <c r="G181" s="8"/>
      <c r="H181" s="9">
        <f>+F181+G181</f>
        <v>1091751.77</v>
      </c>
      <c r="I181" s="8"/>
      <c r="J181" s="8"/>
      <c r="K181" s="8"/>
      <c r="L181" s="9"/>
      <c r="M181" s="9">
        <f>+H181+L181</f>
        <v>1091751.77</v>
      </c>
      <c r="N181" s="9">
        <v>0</v>
      </c>
      <c r="O181" s="8"/>
      <c r="P181" s="9">
        <f>+N181+O181</f>
        <v>0</v>
      </c>
      <c r="Q181" s="8"/>
      <c r="R181" s="8"/>
      <c r="S181" s="8"/>
      <c r="T181" s="9"/>
      <c r="U181" s="9">
        <f>P181+T181</f>
        <v>0</v>
      </c>
      <c r="V181" s="9">
        <f>P181+H181</f>
        <v>1091751.77</v>
      </c>
      <c r="W181" s="9"/>
      <c r="X181" s="9">
        <f t="shared" si="95"/>
        <v>1091751.77</v>
      </c>
      <c r="Y181" s="8"/>
      <c r="Z181" s="9">
        <f t="shared" si="96"/>
        <v>0</v>
      </c>
      <c r="AA181" s="8">
        <f t="shared" si="97"/>
        <v>1091751.77</v>
      </c>
      <c r="AB181" s="8">
        <f t="shared" si="98"/>
        <v>0</v>
      </c>
    </row>
    <row r="182" spans="1:28" x14ac:dyDescent="0.3">
      <c r="A182" s="64"/>
      <c r="C182" s="7" t="s">
        <v>57</v>
      </c>
      <c r="D182" s="15" t="s">
        <v>61</v>
      </c>
      <c r="E182" s="9">
        <f>670109.98+311000+11573.67</f>
        <v>992683.65</v>
      </c>
      <c r="F182" s="8">
        <f>670109.98+311000</f>
        <v>981109.98</v>
      </c>
      <c r="G182" s="8"/>
      <c r="H182" s="9">
        <f t="shared" si="89"/>
        <v>981109.98</v>
      </c>
      <c r="I182" s="11"/>
      <c r="J182" s="11"/>
      <c r="K182" s="11"/>
      <c r="L182" s="9"/>
      <c r="M182" s="9">
        <f t="shared" si="90"/>
        <v>981109.98</v>
      </c>
      <c r="N182" s="9">
        <v>0</v>
      </c>
      <c r="O182" s="8"/>
      <c r="P182" s="9">
        <f t="shared" si="91"/>
        <v>0</v>
      </c>
      <c r="Q182" s="8">
        <v>11573.67</v>
      </c>
      <c r="R182" s="8"/>
      <c r="S182" s="8"/>
      <c r="T182" s="9">
        <v>11573.67</v>
      </c>
      <c r="U182" s="9">
        <f t="shared" si="92"/>
        <v>11573.67</v>
      </c>
      <c r="V182" s="9">
        <f t="shared" si="93"/>
        <v>981109.98</v>
      </c>
      <c r="W182" s="9">
        <f t="shared" si="94"/>
        <v>11573.670000000042</v>
      </c>
      <c r="X182" s="9">
        <f t="shared" si="95"/>
        <v>981109.98</v>
      </c>
      <c r="Y182" s="8"/>
      <c r="Z182" s="9">
        <f t="shared" si="96"/>
        <v>11573.670000000042</v>
      </c>
      <c r="AA182" s="8">
        <f t="shared" si="97"/>
        <v>992683.65</v>
      </c>
      <c r="AB182" s="8">
        <f t="shared" si="98"/>
        <v>0</v>
      </c>
    </row>
    <row r="183" spans="1:28" x14ac:dyDescent="0.3">
      <c r="A183" s="64"/>
      <c r="C183" s="8"/>
      <c r="D183" s="8"/>
      <c r="E183" s="17" t="s">
        <v>29</v>
      </c>
      <c r="F183" s="17" t="s">
        <v>29</v>
      </c>
      <c r="G183" s="17" t="s">
        <v>29</v>
      </c>
      <c r="H183" s="17" t="s">
        <v>29</v>
      </c>
      <c r="I183" s="17" t="s">
        <v>29</v>
      </c>
      <c r="J183" s="17" t="s">
        <v>29</v>
      </c>
      <c r="K183" s="17" t="s">
        <v>29</v>
      </c>
      <c r="L183" s="17" t="s">
        <v>29</v>
      </c>
      <c r="M183" s="17" t="s">
        <v>29</v>
      </c>
      <c r="N183" s="17" t="s">
        <v>29</v>
      </c>
      <c r="O183" s="17" t="s">
        <v>29</v>
      </c>
      <c r="P183" s="17" t="s">
        <v>29</v>
      </c>
      <c r="Q183" s="17" t="s">
        <v>29</v>
      </c>
      <c r="R183" s="17" t="s">
        <v>29</v>
      </c>
      <c r="S183" s="17" t="s">
        <v>29</v>
      </c>
      <c r="T183" s="17" t="s">
        <v>29</v>
      </c>
      <c r="U183" s="17" t="s">
        <v>29</v>
      </c>
      <c r="V183" s="17" t="s">
        <v>29</v>
      </c>
      <c r="W183" s="17" t="s">
        <v>29</v>
      </c>
      <c r="X183" s="17" t="s">
        <v>29</v>
      </c>
      <c r="Y183" s="17" t="s">
        <v>29</v>
      </c>
      <c r="Z183" s="17" t="s">
        <v>29</v>
      </c>
      <c r="AA183" s="17" t="s">
        <v>29</v>
      </c>
      <c r="AB183" s="17" t="s">
        <v>29</v>
      </c>
    </row>
    <row r="184" spans="1:28" x14ac:dyDescent="0.3">
      <c r="A184" s="64"/>
      <c r="C184" s="8"/>
      <c r="D184" s="8"/>
      <c r="E184" s="9">
        <f t="shared" ref="E184:AB184" si="99">SUM(E171:E182)</f>
        <v>50578175.789999999</v>
      </c>
      <c r="F184" s="9">
        <f t="shared" si="99"/>
        <v>42973618.799999997</v>
      </c>
      <c r="G184" s="9">
        <f t="shared" si="99"/>
        <v>0</v>
      </c>
      <c r="H184" s="9">
        <f t="shared" si="99"/>
        <v>42973618.799999997</v>
      </c>
      <c r="I184" s="9">
        <f t="shared" si="99"/>
        <v>0</v>
      </c>
      <c r="J184" s="9">
        <f t="shared" si="99"/>
        <v>0</v>
      </c>
      <c r="K184" s="9">
        <f t="shared" si="99"/>
        <v>0</v>
      </c>
      <c r="L184" s="9">
        <f t="shared" si="99"/>
        <v>0</v>
      </c>
      <c r="M184" s="9">
        <f t="shared" si="99"/>
        <v>42973618.799999997</v>
      </c>
      <c r="N184" s="9">
        <f t="shared" si="99"/>
        <v>7592983.3200000003</v>
      </c>
      <c r="O184" s="9">
        <f t="shared" si="99"/>
        <v>0</v>
      </c>
      <c r="P184" s="9">
        <f t="shared" si="99"/>
        <v>7592983.3200000003</v>
      </c>
      <c r="Q184" s="9">
        <f t="shared" si="99"/>
        <v>11573.67</v>
      </c>
      <c r="R184" s="9">
        <f t="shared" si="99"/>
        <v>0</v>
      </c>
      <c r="S184" s="9">
        <f t="shared" si="99"/>
        <v>0</v>
      </c>
      <c r="T184" s="9">
        <f t="shared" si="99"/>
        <v>11573.67</v>
      </c>
      <c r="U184" s="9">
        <f t="shared" si="99"/>
        <v>7604556.9900000002</v>
      </c>
      <c r="V184" s="9">
        <f t="shared" si="99"/>
        <v>50566602.119999997</v>
      </c>
      <c r="W184" s="9">
        <f t="shared" si="99"/>
        <v>11573.670000000042</v>
      </c>
      <c r="X184" s="9">
        <f t="shared" si="99"/>
        <v>50566602.119999997</v>
      </c>
      <c r="Y184" s="9">
        <f t="shared" si="99"/>
        <v>0</v>
      </c>
      <c r="Z184" s="9">
        <f t="shared" si="99"/>
        <v>11573.670000000042</v>
      </c>
      <c r="AA184" s="9">
        <f t="shared" si="99"/>
        <v>50578175.789999999</v>
      </c>
      <c r="AB184" s="9">
        <f t="shared" si="99"/>
        <v>0</v>
      </c>
    </row>
    <row r="185" spans="1:28" x14ac:dyDescent="0.3">
      <c r="A185" s="64"/>
      <c r="C185" s="8"/>
      <c r="D185" s="8"/>
      <c r="E185" s="17" t="s">
        <v>29</v>
      </c>
      <c r="F185" s="17" t="s">
        <v>29</v>
      </c>
      <c r="G185" s="17" t="s">
        <v>29</v>
      </c>
      <c r="H185" s="17" t="s">
        <v>29</v>
      </c>
      <c r="I185" s="17" t="s">
        <v>29</v>
      </c>
      <c r="J185" s="17" t="s">
        <v>29</v>
      </c>
      <c r="K185" s="17" t="s">
        <v>29</v>
      </c>
      <c r="L185" s="17" t="s">
        <v>29</v>
      </c>
      <c r="M185" s="17" t="s">
        <v>29</v>
      </c>
      <c r="N185" s="17" t="s">
        <v>29</v>
      </c>
      <c r="O185" s="17" t="s">
        <v>29</v>
      </c>
      <c r="P185" s="17" t="s">
        <v>29</v>
      </c>
      <c r="Q185" s="17" t="s">
        <v>29</v>
      </c>
      <c r="R185" s="17" t="s">
        <v>29</v>
      </c>
      <c r="S185" s="17" t="s">
        <v>29</v>
      </c>
      <c r="T185" s="17" t="s">
        <v>29</v>
      </c>
      <c r="U185" s="17" t="s">
        <v>29</v>
      </c>
      <c r="V185" s="17" t="s">
        <v>29</v>
      </c>
      <c r="W185" s="17" t="s">
        <v>29</v>
      </c>
      <c r="X185" s="17" t="s">
        <v>29</v>
      </c>
      <c r="Y185" s="17" t="s">
        <v>29</v>
      </c>
      <c r="Z185" s="17" t="s">
        <v>29</v>
      </c>
      <c r="AA185" s="17" t="s">
        <v>29</v>
      </c>
      <c r="AB185" s="17" t="s">
        <v>29</v>
      </c>
    </row>
    <row r="186" spans="1:28" x14ac:dyDescent="0.3">
      <c r="A186" s="63" t="s">
        <v>943</v>
      </c>
      <c r="B186" s="7" t="s">
        <v>509</v>
      </c>
      <c r="S186" s="17"/>
      <c r="T186" s="17"/>
      <c r="U186" s="17"/>
      <c r="V186" s="17"/>
      <c r="W186" s="17"/>
      <c r="X186" s="17"/>
      <c r="Y186" s="17"/>
      <c r="Z186" s="17"/>
      <c r="AA186" s="58"/>
    </row>
    <row r="187" spans="1:28" x14ac:dyDescent="0.3">
      <c r="A187" s="64"/>
      <c r="C187" s="7" t="s">
        <v>510</v>
      </c>
      <c r="D187" s="15" t="s">
        <v>76</v>
      </c>
      <c r="E187" s="9">
        <v>308000</v>
      </c>
      <c r="F187" s="8"/>
      <c r="G187" s="8"/>
      <c r="H187" s="8">
        <f>+F187+G187</f>
        <v>0</v>
      </c>
      <c r="I187" s="9">
        <f t="shared" ref="I187:I206" si="100">F187+H187</f>
        <v>0</v>
      </c>
      <c r="J187" s="8"/>
      <c r="K187" s="9">
        <f t="shared" ref="K187:K206" si="101">I187+J187</f>
        <v>0</v>
      </c>
      <c r="L187" s="9"/>
      <c r="M187" s="8">
        <f>+H187+L187</f>
        <v>0</v>
      </c>
      <c r="N187" s="9">
        <v>161349.81</v>
      </c>
      <c r="O187" s="8"/>
      <c r="P187" s="9">
        <f t="shared" ref="P187:P206" si="102">N187+O187</f>
        <v>161349.81</v>
      </c>
      <c r="Q187" s="9">
        <f t="shared" ref="Q187:Q206" si="103">K187+P187</f>
        <v>161349.81</v>
      </c>
      <c r="R187" s="9">
        <f t="shared" ref="R187:R206" si="104">E187-Q187</f>
        <v>146650.19</v>
      </c>
      <c r="S187" s="17"/>
      <c r="T187" s="17"/>
      <c r="U187" s="18">
        <f>+P187+T187</f>
        <v>161349.81</v>
      </c>
      <c r="V187" s="17"/>
      <c r="W187" s="17"/>
      <c r="X187" s="9">
        <f t="shared" ref="X187:X206" si="105">+H187+P187</f>
        <v>161349.81</v>
      </c>
      <c r="Y187" s="8"/>
      <c r="Z187" s="9">
        <f t="shared" ref="Z187:Z206" si="106">+E187-X187</f>
        <v>146650.19</v>
      </c>
      <c r="AA187" s="8">
        <f t="shared" ref="AA187:AA206" si="107">+M187+U187</f>
        <v>161349.81</v>
      </c>
      <c r="AB187" s="8">
        <f t="shared" ref="AB187:AB206" si="108">+E187-AA187</f>
        <v>146650.19</v>
      </c>
    </row>
    <row r="188" spans="1:28" x14ac:dyDescent="0.3">
      <c r="A188" s="64"/>
      <c r="C188" s="7" t="s">
        <v>511</v>
      </c>
      <c r="D188" s="15" t="s">
        <v>150</v>
      </c>
      <c r="E188" s="9">
        <v>1876000</v>
      </c>
      <c r="F188" s="9">
        <v>1876000</v>
      </c>
      <c r="G188" s="8"/>
      <c r="H188" s="8">
        <f>+F188+G188</f>
        <v>1876000</v>
      </c>
      <c r="I188" s="9">
        <f t="shared" si="100"/>
        <v>3752000</v>
      </c>
      <c r="J188" s="8"/>
      <c r="K188" s="9">
        <f t="shared" si="101"/>
        <v>3752000</v>
      </c>
      <c r="L188" s="8"/>
      <c r="M188" s="8">
        <f>+H188+L188</f>
        <v>1876000</v>
      </c>
      <c r="N188" s="9"/>
      <c r="O188" s="8"/>
      <c r="P188" s="9">
        <f t="shared" si="102"/>
        <v>0</v>
      </c>
      <c r="Q188" s="9">
        <f t="shared" si="103"/>
        <v>3752000</v>
      </c>
      <c r="R188" s="9">
        <f t="shared" si="104"/>
        <v>-1876000</v>
      </c>
      <c r="S188" s="17"/>
      <c r="T188" s="17"/>
      <c r="U188" s="18">
        <f t="shared" ref="U188:U206" si="109">+P188+T188</f>
        <v>0</v>
      </c>
      <c r="V188" s="17"/>
      <c r="W188" s="17"/>
      <c r="X188" s="9">
        <f t="shared" si="105"/>
        <v>1876000</v>
      </c>
      <c r="Y188" s="8"/>
      <c r="Z188" s="9">
        <f t="shared" si="106"/>
        <v>0</v>
      </c>
      <c r="AA188" s="8">
        <f t="shared" si="107"/>
        <v>1876000</v>
      </c>
      <c r="AB188" s="8">
        <f t="shared" si="108"/>
        <v>0</v>
      </c>
    </row>
    <row r="189" spans="1:28" x14ac:dyDescent="0.3">
      <c r="A189" s="64"/>
      <c r="C189" s="7" t="s">
        <v>512</v>
      </c>
      <c r="D189" s="15" t="s">
        <v>78</v>
      </c>
      <c r="E189" s="9">
        <v>1300487.55</v>
      </c>
      <c r="F189" s="8"/>
      <c r="G189" s="8"/>
      <c r="H189" s="8">
        <f t="shared" ref="H189:H206" si="110">+F189+G189</f>
        <v>0</v>
      </c>
      <c r="I189" s="9">
        <f t="shared" si="100"/>
        <v>0</v>
      </c>
      <c r="J189" s="8"/>
      <c r="K189" s="9">
        <f t="shared" si="101"/>
        <v>0</v>
      </c>
      <c r="L189" s="9"/>
      <c r="M189" s="8">
        <f t="shared" ref="M189:M206" si="111">+H189+L189</f>
        <v>0</v>
      </c>
      <c r="N189" s="9">
        <v>1300487.55</v>
      </c>
      <c r="O189" s="8"/>
      <c r="P189" s="9">
        <f t="shared" si="102"/>
        <v>1300487.55</v>
      </c>
      <c r="Q189" s="9">
        <f t="shared" si="103"/>
        <v>1300487.55</v>
      </c>
      <c r="R189" s="9">
        <f t="shared" si="104"/>
        <v>0</v>
      </c>
      <c r="S189" s="17"/>
      <c r="T189" s="17"/>
      <c r="U189" s="18">
        <f t="shared" si="109"/>
        <v>1300487.55</v>
      </c>
      <c r="V189" s="17"/>
      <c r="W189" s="17"/>
      <c r="X189" s="9">
        <f t="shared" si="105"/>
        <v>1300487.55</v>
      </c>
      <c r="Y189" s="8"/>
      <c r="Z189" s="9">
        <f t="shared" si="106"/>
        <v>0</v>
      </c>
      <c r="AA189" s="8">
        <f t="shared" si="107"/>
        <v>1300487.55</v>
      </c>
      <c r="AB189" s="8">
        <f t="shared" si="108"/>
        <v>0</v>
      </c>
    </row>
    <row r="190" spans="1:28" x14ac:dyDescent="0.3">
      <c r="A190" s="64"/>
      <c r="C190" s="7" t="s">
        <v>513</v>
      </c>
      <c r="D190" s="15" t="s">
        <v>68</v>
      </c>
      <c r="E190" s="9">
        <f>5165150-4427239.93</f>
        <v>737910.0700000003</v>
      </c>
      <c r="F190" s="9">
        <v>732616</v>
      </c>
      <c r="G190" s="8"/>
      <c r="H190" s="8">
        <f t="shared" si="110"/>
        <v>732616</v>
      </c>
      <c r="I190" s="9">
        <f t="shared" si="100"/>
        <v>1465232</v>
      </c>
      <c r="J190" s="8"/>
      <c r="K190" s="9">
        <f t="shared" si="101"/>
        <v>1465232</v>
      </c>
      <c r="L190" s="9"/>
      <c r="M190" s="8">
        <f t="shared" si="111"/>
        <v>732616</v>
      </c>
      <c r="N190" s="9">
        <v>5294.07</v>
      </c>
      <c r="O190" s="8"/>
      <c r="P190" s="9">
        <f t="shared" si="102"/>
        <v>5294.07</v>
      </c>
      <c r="Q190" s="9">
        <f t="shared" si="103"/>
        <v>1470526.07</v>
      </c>
      <c r="R190" s="9">
        <f t="shared" si="104"/>
        <v>-732615.99999999977</v>
      </c>
      <c r="S190" s="17"/>
      <c r="T190" s="17"/>
      <c r="U190" s="18">
        <f t="shared" si="109"/>
        <v>5294.07</v>
      </c>
      <c r="V190" s="17"/>
      <c r="W190" s="17"/>
      <c r="X190" s="9">
        <f t="shared" si="105"/>
        <v>737910.07</v>
      </c>
      <c r="Y190" s="8"/>
      <c r="Z190" s="9">
        <f t="shared" si="106"/>
        <v>0</v>
      </c>
      <c r="AA190" s="8">
        <f t="shared" si="107"/>
        <v>737910.07</v>
      </c>
      <c r="AB190" s="8">
        <f t="shared" si="108"/>
        <v>0</v>
      </c>
    </row>
    <row r="191" spans="1:28" x14ac:dyDescent="0.3">
      <c r="A191" s="64"/>
      <c r="C191" s="7" t="s">
        <v>514</v>
      </c>
      <c r="D191" s="15" t="s">
        <v>68</v>
      </c>
      <c r="E191" s="9">
        <v>633088.80000000005</v>
      </c>
      <c r="F191" s="8"/>
      <c r="G191" s="8"/>
      <c r="H191" s="8">
        <f t="shared" si="110"/>
        <v>0</v>
      </c>
      <c r="I191" s="9">
        <f t="shared" si="100"/>
        <v>0</v>
      </c>
      <c r="J191" s="8"/>
      <c r="K191" s="9">
        <f t="shared" si="101"/>
        <v>0</v>
      </c>
      <c r="L191" s="9"/>
      <c r="M191" s="8">
        <f t="shared" si="111"/>
        <v>0</v>
      </c>
      <c r="N191" s="9">
        <v>633088.80000000005</v>
      </c>
      <c r="O191" s="8"/>
      <c r="P191" s="9">
        <f t="shared" si="102"/>
        <v>633088.80000000005</v>
      </c>
      <c r="Q191" s="9">
        <f t="shared" si="103"/>
        <v>633088.80000000005</v>
      </c>
      <c r="R191" s="9">
        <f t="shared" si="104"/>
        <v>0</v>
      </c>
      <c r="S191" s="17"/>
      <c r="T191" s="17"/>
      <c r="U191" s="18">
        <f t="shared" si="109"/>
        <v>633088.80000000005</v>
      </c>
      <c r="V191" s="17"/>
      <c r="W191" s="17"/>
      <c r="X191" s="9">
        <f t="shared" si="105"/>
        <v>633088.80000000005</v>
      </c>
      <c r="Y191" s="8"/>
      <c r="Z191" s="9">
        <f t="shared" si="106"/>
        <v>0</v>
      </c>
      <c r="AA191" s="8">
        <f t="shared" si="107"/>
        <v>633088.80000000005</v>
      </c>
      <c r="AB191" s="8">
        <f t="shared" si="108"/>
        <v>0</v>
      </c>
    </row>
    <row r="192" spans="1:28" x14ac:dyDescent="0.3">
      <c r="A192" s="64"/>
      <c r="B192" s="8"/>
      <c r="C192" s="7" t="s">
        <v>515</v>
      </c>
      <c r="D192" s="15" t="s">
        <v>54</v>
      </c>
      <c r="E192" s="9">
        <v>570941</v>
      </c>
      <c r="F192" s="8"/>
      <c r="G192" s="8"/>
      <c r="H192" s="8">
        <f t="shared" si="110"/>
        <v>0</v>
      </c>
      <c r="I192" s="9">
        <f t="shared" si="100"/>
        <v>0</v>
      </c>
      <c r="J192" s="8"/>
      <c r="K192" s="9">
        <f t="shared" si="101"/>
        <v>0</v>
      </c>
      <c r="L192" s="9"/>
      <c r="M192" s="8">
        <f t="shared" si="111"/>
        <v>0</v>
      </c>
      <c r="N192" s="9">
        <v>570941</v>
      </c>
      <c r="O192" s="8"/>
      <c r="P192" s="9">
        <f t="shared" si="102"/>
        <v>570941</v>
      </c>
      <c r="Q192" s="9">
        <f t="shared" si="103"/>
        <v>570941</v>
      </c>
      <c r="R192" s="9">
        <f t="shared" si="104"/>
        <v>0</v>
      </c>
      <c r="S192" s="17"/>
      <c r="T192" s="17"/>
      <c r="U192" s="18">
        <f t="shared" si="109"/>
        <v>570941</v>
      </c>
      <c r="V192" s="17"/>
      <c r="W192" s="17"/>
      <c r="X192" s="9">
        <f t="shared" si="105"/>
        <v>570941</v>
      </c>
      <c r="Y192" s="8"/>
      <c r="Z192" s="9">
        <f t="shared" si="106"/>
        <v>0</v>
      </c>
      <c r="AA192" s="8">
        <f t="shared" si="107"/>
        <v>570941</v>
      </c>
      <c r="AB192" s="8">
        <f t="shared" si="108"/>
        <v>0</v>
      </c>
    </row>
    <row r="193" spans="1:28" x14ac:dyDescent="0.3">
      <c r="A193" s="64"/>
      <c r="B193" s="8"/>
      <c r="C193" s="7" t="s">
        <v>516</v>
      </c>
      <c r="D193" s="15" t="s">
        <v>54</v>
      </c>
      <c r="E193" s="9">
        <v>1100000</v>
      </c>
      <c r="F193" s="9">
        <v>1100000</v>
      </c>
      <c r="G193" s="8"/>
      <c r="H193" s="8">
        <f t="shared" si="110"/>
        <v>1100000</v>
      </c>
      <c r="I193" s="9">
        <f t="shared" si="100"/>
        <v>2200000</v>
      </c>
      <c r="J193" s="8"/>
      <c r="K193" s="9">
        <f t="shared" si="101"/>
        <v>2200000</v>
      </c>
      <c r="L193" s="8"/>
      <c r="M193" s="8">
        <f t="shared" si="111"/>
        <v>1100000</v>
      </c>
      <c r="N193" s="9"/>
      <c r="O193" s="8"/>
      <c r="P193" s="9">
        <f t="shared" si="102"/>
        <v>0</v>
      </c>
      <c r="Q193" s="9">
        <f t="shared" si="103"/>
        <v>2200000</v>
      </c>
      <c r="R193" s="9">
        <f t="shared" si="104"/>
        <v>-1100000</v>
      </c>
      <c r="S193" s="17"/>
      <c r="T193" s="17"/>
      <c r="U193" s="18">
        <f t="shared" si="109"/>
        <v>0</v>
      </c>
      <c r="V193" s="17"/>
      <c r="W193" s="17"/>
      <c r="X193" s="9">
        <f t="shared" si="105"/>
        <v>1100000</v>
      </c>
      <c r="Y193" s="8"/>
      <c r="Z193" s="9">
        <f t="shared" si="106"/>
        <v>0</v>
      </c>
      <c r="AA193" s="8">
        <f t="shared" si="107"/>
        <v>1100000</v>
      </c>
      <c r="AB193" s="8">
        <f t="shared" si="108"/>
        <v>0</v>
      </c>
    </row>
    <row r="194" spans="1:28" x14ac:dyDescent="0.3">
      <c r="A194" s="64"/>
      <c r="B194" s="8"/>
      <c r="C194" s="7" t="s">
        <v>513</v>
      </c>
      <c r="D194" s="15" t="s">
        <v>85</v>
      </c>
      <c r="E194" s="9">
        <v>2149800</v>
      </c>
      <c r="F194" s="9">
        <f>149800+2000000</f>
        <v>2149800</v>
      </c>
      <c r="G194" s="8"/>
      <c r="H194" s="8">
        <f t="shared" si="110"/>
        <v>2149800</v>
      </c>
      <c r="I194" s="9">
        <f t="shared" si="100"/>
        <v>4299600</v>
      </c>
      <c r="J194" s="8"/>
      <c r="K194" s="9">
        <f t="shared" si="101"/>
        <v>4299600</v>
      </c>
      <c r="L194" s="8"/>
      <c r="M194" s="8">
        <f t="shared" si="111"/>
        <v>2149800</v>
      </c>
      <c r="N194" s="9"/>
      <c r="O194" s="8"/>
      <c r="P194" s="9">
        <f t="shared" si="102"/>
        <v>0</v>
      </c>
      <c r="Q194" s="9">
        <f t="shared" si="103"/>
        <v>4299600</v>
      </c>
      <c r="R194" s="9">
        <f t="shared" si="104"/>
        <v>-2149800</v>
      </c>
      <c r="S194" s="17"/>
      <c r="T194" s="17"/>
      <c r="U194" s="18">
        <f t="shared" si="109"/>
        <v>0</v>
      </c>
      <c r="V194" s="17"/>
      <c r="W194" s="17"/>
      <c r="X194" s="9">
        <f t="shared" si="105"/>
        <v>2149800</v>
      </c>
      <c r="Y194" s="8"/>
      <c r="Z194" s="9">
        <f t="shared" si="106"/>
        <v>0</v>
      </c>
      <c r="AA194" s="8">
        <f t="shared" si="107"/>
        <v>2149800</v>
      </c>
      <c r="AB194" s="8">
        <f t="shared" si="108"/>
        <v>0</v>
      </c>
    </row>
    <row r="195" spans="1:28" x14ac:dyDescent="0.3">
      <c r="A195" s="64"/>
      <c r="B195" s="8"/>
      <c r="C195" s="7" t="s">
        <v>513</v>
      </c>
      <c r="D195" s="15" t="s">
        <v>108</v>
      </c>
      <c r="E195" s="9">
        <v>1760000</v>
      </c>
      <c r="F195" s="9">
        <v>1760000</v>
      </c>
      <c r="G195" s="8"/>
      <c r="H195" s="8">
        <f t="shared" si="110"/>
        <v>1760000</v>
      </c>
      <c r="I195" s="9">
        <f t="shared" si="100"/>
        <v>3520000</v>
      </c>
      <c r="J195" s="8"/>
      <c r="K195" s="9">
        <f t="shared" si="101"/>
        <v>3520000</v>
      </c>
      <c r="L195" s="8"/>
      <c r="M195" s="8">
        <f t="shared" si="111"/>
        <v>1760000</v>
      </c>
      <c r="N195" s="9"/>
      <c r="O195" s="8"/>
      <c r="P195" s="9">
        <f t="shared" si="102"/>
        <v>0</v>
      </c>
      <c r="Q195" s="9">
        <f t="shared" si="103"/>
        <v>3520000</v>
      </c>
      <c r="R195" s="9">
        <f t="shared" si="104"/>
        <v>-1760000</v>
      </c>
      <c r="S195" s="17"/>
      <c r="T195" s="17"/>
      <c r="U195" s="18">
        <f t="shared" si="109"/>
        <v>0</v>
      </c>
      <c r="V195" s="17"/>
      <c r="W195" s="17"/>
      <c r="X195" s="9">
        <f t="shared" si="105"/>
        <v>1760000</v>
      </c>
      <c r="Y195" s="8"/>
      <c r="Z195" s="9">
        <f t="shared" si="106"/>
        <v>0</v>
      </c>
      <c r="AA195" s="8">
        <f t="shared" si="107"/>
        <v>1760000</v>
      </c>
      <c r="AB195" s="8">
        <f t="shared" si="108"/>
        <v>0</v>
      </c>
    </row>
    <row r="196" spans="1:28" x14ac:dyDescent="0.3">
      <c r="A196" s="64"/>
      <c r="B196" s="8"/>
      <c r="C196" s="7" t="s">
        <v>513</v>
      </c>
      <c r="D196" s="15" t="s">
        <v>58</v>
      </c>
      <c r="E196" s="9">
        <v>2133900</v>
      </c>
      <c r="F196" s="9">
        <v>2133900</v>
      </c>
      <c r="G196" s="8"/>
      <c r="H196" s="8">
        <f t="shared" si="110"/>
        <v>2133900</v>
      </c>
      <c r="I196" s="9">
        <f t="shared" si="100"/>
        <v>4267800</v>
      </c>
      <c r="J196" s="8"/>
      <c r="K196" s="9">
        <f t="shared" si="101"/>
        <v>4267800</v>
      </c>
      <c r="L196" s="8"/>
      <c r="M196" s="8">
        <f t="shared" si="111"/>
        <v>2133900</v>
      </c>
      <c r="N196" s="9"/>
      <c r="O196" s="8"/>
      <c r="P196" s="9">
        <f t="shared" si="102"/>
        <v>0</v>
      </c>
      <c r="Q196" s="9">
        <f t="shared" si="103"/>
        <v>4267800</v>
      </c>
      <c r="R196" s="9">
        <f t="shared" si="104"/>
        <v>-2133900</v>
      </c>
      <c r="S196" s="17"/>
      <c r="T196" s="17"/>
      <c r="U196" s="18">
        <f t="shared" si="109"/>
        <v>0</v>
      </c>
      <c r="V196" s="17"/>
      <c r="W196" s="17"/>
      <c r="X196" s="9">
        <f t="shared" si="105"/>
        <v>2133900</v>
      </c>
      <c r="Y196" s="8"/>
      <c r="Z196" s="9">
        <f t="shared" si="106"/>
        <v>0</v>
      </c>
      <c r="AA196" s="8">
        <f t="shared" si="107"/>
        <v>2133900</v>
      </c>
      <c r="AB196" s="8">
        <f t="shared" si="108"/>
        <v>0</v>
      </c>
    </row>
    <row r="197" spans="1:28" x14ac:dyDescent="0.3">
      <c r="A197" s="64"/>
      <c r="B197" s="8"/>
      <c r="C197" s="7" t="s">
        <v>513</v>
      </c>
      <c r="D197" s="15" t="s">
        <v>60</v>
      </c>
      <c r="E197" s="9">
        <v>1500000</v>
      </c>
      <c r="F197" s="9">
        <v>1500000</v>
      </c>
      <c r="G197" s="8"/>
      <c r="H197" s="8">
        <f t="shared" si="110"/>
        <v>1500000</v>
      </c>
      <c r="I197" s="9">
        <f t="shared" si="100"/>
        <v>3000000</v>
      </c>
      <c r="J197" s="8"/>
      <c r="K197" s="9">
        <f t="shared" si="101"/>
        <v>3000000</v>
      </c>
      <c r="L197" s="8"/>
      <c r="M197" s="8">
        <f t="shared" si="111"/>
        <v>1500000</v>
      </c>
      <c r="N197" s="9"/>
      <c r="O197" s="8"/>
      <c r="P197" s="9">
        <f t="shared" si="102"/>
        <v>0</v>
      </c>
      <c r="Q197" s="9">
        <f t="shared" si="103"/>
        <v>3000000</v>
      </c>
      <c r="R197" s="9">
        <f t="shared" si="104"/>
        <v>-1500000</v>
      </c>
      <c r="S197" s="17"/>
      <c r="T197" s="17"/>
      <c r="U197" s="18">
        <f t="shared" si="109"/>
        <v>0</v>
      </c>
      <c r="V197" s="17"/>
      <c r="W197" s="17"/>
      <c r="X197" s="9">
        <f t="shared" si="105"/>
        <v>1500000</v>
      </c>
      <c r="Y197" s="8"/>
      <c r="Z197" s="9">
        <f t="shared" si="106"/>
        <v>0</v>
      </c>
      <c r="AA197" s="8">
        <f t="shared" si="107"/>
        <v>1500000</v>
      </c>
      <c r="AB197" s="8">
        <f t="shared" si="108"/>
        <v>0</v>
      </c>
    </row>
    <row r="198" spans="1:28" x14ac:dyDescent="0.3">
      <c r="A198" s="64"/>
      <c r="B198" s="8"/>
      <c r="C198" s="7" t="s">
        <v>513</v>
      </c>
      <c r="D198" s="15" t="s">
        <v>73</v>
      </c>
      <c r="E198" s="9">
        <f>545420+557030+1175190</f>
        <v>2277640</v>
      </c>
      <c r="F198" s="9">
        <f>545420+557030+1175190</f>
        <v>2277640</v>
      </c>
      <c r="G198" s="8"/>
      <c r="H198" s="8">
        <f t="shared" si="110"/>
        <v>2277640</v>
      </c>
      <c r="I198" s="9">
        <f t="shared" si="100"/>
        <v>4555280</v>
      </c>
      <c r="J198" s="9"/>
      <c r="K198" s="9">
        <f t="shared" si="101"/>
        <v>4555280</v>
      </c>
      <c r="L198" s="8"/>
      <c r="M198" s="8">
        <f t="shared" si="111"/>
        <v>2277640</v>
      </c>
      <c r="N198" s="9"/>
      <c r="O198" s="8"/>
      <c r="P198" s="9">
        <f t="shared" si="102"/>
        <v>0</v>
      </c>
      <c r="Q198" s="9">
        <f t="shared" si="103"/>
        <v>4555280</v>
      </c>
      <c r="R198" s="9">
        <f t="shared" si="104"/>
        <v>-2277640</v>
      </c>
      <c r="S198" s="17"/>
      <c r="T198" s="17"/>
      <c r="U198" s="18">
        <f t="shared" si="109"/>
        <v>0</v>
      </c>
      <c r="V198" s="17"/>
      <c r="W198" s="17"/>
      <c r="X198" s="9">
        <f t="shared" si="105"/>
        <v>2277640</v>
      </c>
      <c r="Y198" s="8"/>
      <c r="Z198" s="9">
        <f t="shared" si="106"/>
        <v>0</v>
      </c>
      <c r="AA198" s="8">
        <f t="shared" si="107"/>
        <v>2277640</v>
      </c>
      <c r="AB198" s="8">
        <f t="shared" si="108"/>
        <v>0</v>
      </c>
    </row>
    <row r="199" spans="1:28" x14ac:dyDescent="0.3">
      <c r="A199" s="64"/>
      <c r="B199" s="8"/>
      <c r="C199" s="7" t="s">
        <v>517</v>
      </c>
      <c r="D199" s="15" t="s">
        <v>73</v>
      </c>
      <c r="E199" s="11">
        <v>500000</v>
      </c>
      <c r="F199" s="11">
        <v>500000</v>
      </c>
      <c r="G199" s="8"/>
      <c r="H199" s="8">
        <f t="shared" si="110"/>
        <v>500000</v>
      </c>
      <c r="I199" s="9">
        <f t="shared" si="100"/>
        <v>1000000</v>
      </c>
      <c r="J199" s="8"/>
      <c r="K199" s="9">
        <f t="shared" si="101"/>
        <v>1000000</v>
      </c>
      <c r="L199" s="8"/>
      <c r="M199" s="8">
        <f t="shared" si="111"/>
        <v>500000</v>
      </c>
      <c r="N199" s="9"/>
      <c r="O199" s="8"/>
      <c r="P199" s="9">
        <f t="shared" si="102"/>
        <v>0</v>
      </c>
      <c r="Q199" s="9">
        <f t="shared" si="103"/>
        <v>1000000</v>
      </c>
      <c r="R199" s="9">
        <f t="shared" si="104"/>
        <v>-500000</v>
      </c>
      <c r="S199" s="17"/>
      <c r="T199" s="17"/>
      <c r="U199" s="18">
        <f t="shared" si="109"/>
        <v>0</v>
      </c>
      <c r="V199" s="17"/>
      <c r="W199" s="17"/>
      <c r="X199" s="9">
        <f t="shared" si="105"/>
        <v>500000</v>
      </c>
      <c r="Y199" s="8"/>
      <c r="Z199" s="9">
        <f t="shared" si="106"/>
        <v>0</v>
      </c>
      <c r="AA199" s="8">
        <f t="shared" si="107"/>
        <v>500000</v>
      </c>
      <c r="AB199" s="8">
        <f t="shared" si="108"/>
        <v>0</v>
      </c>
    </row>
    <row r="200" spans="1:28" x14ac:dyDescent="0.3">
      <c r="A200" s="64"/>
      <c r="B200" s="8"/>
      <c r="C200" s="14" t="s">
        <v>513</v>
      </c>
      <c r="D200" s="21" t="s">
        <v>61</v>
      </c>
      <c r="E200" s="11">
        <v>674000</v>
      </c>
      <c r="F200" s="11">
        <v>674000</v>
      </c>
      <c r="G200" s="8"/>
      <c r="H200" s="8">
        <f t="shared" si="110"/>
        <v>674000</v>
      </c>
      <c r="I200" s="9">
        <f t="shared" si="100"/>
        <v>1348000</v>
      </c>
      <c r="J200" s="8"/>
      <c r="K200" s="9">
        <f t="shared" si="101"/>
        <v>1348000</v>
      </c>
      <c r="L200" s="8"/>
      <c r="M200" s="8">
        <f t="shared" si="111"/>
        <v>674000</v>
      </c>
      <c r="N200" s="9"/>
      <c r="O200" s="8"/>
      <c r="P200" s="9">
        <f t="shared" si="102"/>
        <v>0</v>
      </c>
      <c r="Q200" s="9">
        <f t="shared" si="103"/>
        <v>1348000</v>
      </c>
      <c r="R200" s="9">
        <f t="shared" si="104"/>
        <v>-674000</v>
      </c>
      <c r="S200" s="17"/>
      <c r="T200" s="17"/>
      <c r="U200" s="18">
        <f t="shared" si="109"/>
        <v>0</v>
      </c>
      <c r="V200" s="17"/>
      <c r="W200" s="17"/>
      <c r="X200" s="9">
        <f t="shared" si="105"/>
        <v>674000</v>
      </c>
      <c r="Y200" s="8"/>
      <c r="Z200" s="9">
        <f t="shared" si="106"/>
        <v>0</v>
      </c>
      <c r="AA200" s="8">
        <f t="shared" si="107"/>
        <v>674000</v>
      </c>
      <c r="AB200" s="8">
        <f t="shared" si="108"/>
        <v>0</v>
      </c>
    </row>
    <row r="201" spans="1:28" x14ac:dyDescent="0.3">
      <c r="A201" s="64"/>
      <c r="B201" s="8"/>
      <c r="C201" s="14" t="s">
        <v>1063</v>
      </c>
      <c r="D201" s="21"/>
      <c r="E201" s="11">
        <f>720000+531404.58</f>
        <v>1251404.58</v>
      </c>
      <c r="F201" s="8">
        <v>1251404.58</v>
      </c>
      <c r="G201" s="8"/>
      <c r="H201" s="8">
        <f>+F201+G201</f>
        <v>1251404.58</v>
      </c>
      <c r="I201" s="9"/>
      <c r="J201" s="8"/>
      <c r="K201" s="9"/>
      <c r="L201" s="8"/>
      <c r="M201" s="8">
        <f t="shared" si="111"/>
        <v>1251404.58</v>
      </c>
      <c r="N201" s="9"/>
      <c r="O201" s="8"/>
      <c r="P201" s="9">
        <f t="shared" si="102"/>
        <v>0</v>
      </c>
      <c r="Q201" s="9"/>
      <c r="R201" s="9"/>
      <c r="S201" s="17"/>
      <c r="T201" s="17"/>
      <c r="U201" s="18">
        <f t="shared" si="109"/>
        <v>0</v>
      </c>
      <c r="V201" s="17"/>
      <c r="W201" s="17"/>
      <c r="X201" s="9">
        <f t="shared" si="105"/>
        <v>1251404.58</v>
      </c>
      <c r="Y201" s="8"/>
      <c r="Z201" s="9">
        <f t="shared" si="106"/>
        <v>0</v>
      </c>
      <c r="AA201" s="8">
        <f t="shared" si="107"/>
        <v>1251404.58</v>
      </c>
      <c r="AB201" s="8">
        <f t="shared" si="108"/>
        <v>0</v>
      </c>
    </row>
    <row r="202" spans="1:28" x14ac:dyDescent="0.3">
      <c r="A202" s="64"/>
      <c r="B202" s="8"/>
      <c r="C202" s="14" t="s">
        <v>1179</v>
      </c>
      <c r="D202" s="24" t="s">
        <v>1126</v>
      </c>
      <c r="E202" s="11">
        <v>686779.49</v>
      </c>
      <c r="F202" s="8">
        <v>686779.49</v>
      </c>
      <c r="G202" s="8"/>
      <c r="H202" s="8">
        <f>+F202+G202</f>
        <v>686779.49</v>
      </c>
      <c r="I202" s="9"/>
      <c r="J202" s="8"/>
      <c r="K202" s="9"/>
      <c r="L202" s="8"/>
      <c r="M202" s="8">
        <f t="shared" si="111"/>
        <v>686779.49</v>
      </c>
      <c r="N202" s="9"/>
      <c r="O202" s="8"/>
      <c r="P202" s="9">
        <f>+N202+O202</f>
        <v>0</v>
      </c>
      <c r="Q202" s="9"/>
      <c r="R202" s="9"/>
      <c r="S202" s="17"/>
      <c r="T202" s="17"/>
      <c r="U202" s="18">
        <f t="shared" si="109"/>
        <v>0</v>
      </c>
      <c r="V202" s="17"/>
      <c r="W202" s="17"/>
      <c r="X202" s="9">
        <f t="shared" si="105"/>
        <v>686779.49</v>
      </c>
      <c r="Y202" s="8"/>
      <c r="Z202" s="9">
        <f t="shared" si="106"/>
        <v>0</v>
      </c>
      <c r="AA202" s="8">
        <f t="shared" si="107"/>
        <v>686779.49</v>
      </c>
      <c r="AB202" s="8">
        <f t="shared" si="108"/>
        <v>0</v>
      </c>
    </row>
    <row r="203" spans="1:28" x14ac:dyDescent="0.3">
      <c r="A203" s="64"/>
      <c r="B203" s="8"/>
      <c r="C203" s="7" t="s">
        <v>518</v>
      </c>
      <c r="D203" s="8"/>
      <c r="E203" s="9">
        <f>3000000-1171679.4</f>
        <v>1828320.6</v>
      </c>
      <c r="F203" s="9">
        <v>1828320.6</v>
      </c>
      <c r="G203" s="8"/>
      <c r="H203" s="8">
        <f t="shared" si="110"/>
        <v>1828320.6</v>
      </c>
      <c r="I203" s="9">
        <f t="shared" si="100"/>
        <v>3656641.2</v>
      </c>
      <c r="J203" s="8"/>
      <c r="K203" s="9">
        <f t="shared" si="101"/>
        <v>3656641.2</v>
      </c>
      <c r="L203" s="8"/>
      <c r="M203" s="8">
        <f t="shared" si="111"/>
        <v>1828320.6</v>
      </c>
      <c r="N203" s="9"/>
      <c r="O203" s="8"/>
      <c r="P203" s="9">
        <f t="shared" si="102"/>
        <v>0</v>
      </c>
      <c r="Q203" s="9">
        <f t="shared" si="103"/>
        <v>3656641.2</v>
      </c>
      <c r="R203" s="9">
        <f t="shared" si="104"/>
        <v>-1828320.6</v>
      </c>
      <c r="S203" s="17"/>
      <c r="T203" s="17"/>
      <c r="U203" s="18">
        <f t="shared" si="109"/>
        <v>0</v>
      </c>
      <c r="V203" s="17"/>
      <c r="W203" s="17"/>
      <c r="X203" s="9">
        <f t="shared" si="105"/>
        <v>1828320.6</v>
      </c>
      <c r="Y203" s="8"/>
      <c r="Z203" s="9">
        <f t="shared" si="106"/>
        <v>0</v>
      </c>
      <c r="AA203" s="8">
        <f t="shared" si="107"/>
        <v>1828320.6</v>
      </c>
      <c r="AB203" s="8">
        <f t="shared" si="108"/>
        <v>0</v>
      </c>
    </row>
    <row r="204" spans="1:28" x14ac:dyDescent="0.3">
      <c r="A204" s="64"/>
      <c r="B204" s="8"/>
      <c r="C204" s="7" t="s">
        <v>519</v>
      </c>
      <c r="D204" s="8"/>
      <c r="E204" s="9">
        <f>119763.7+817630.62</f>
        <v>937394.32</v>
      </c>
      <c r="F204" s="9">
        <v>937394.32</v>
      </c>
      <c r="G204" s="8"/>
      <c r="H204" s="8">
        <f t="shared" si="110"/>
        <v>937394.32</v>
      </c>
      <c r="I204" s="9">
        <f t="shared" si="100"/>
        <v>1874788.64</v>
      </c>
      <c r="J204" s="8"/>
      <c r="K204" s="9">
        <f t="shared" si="101"/>
        <v>1874788.64</v>
      </c>
      <c r="L204" s="8"/>
      <c r="M204" s="8">
        <f t="shared" si="111"/>
        <v>937394.32</v>
      </c>
      <c r="N204" s="9"/>
      <c r="O204" s="8"/>
      <c r="P204" s="9">
        <f t="shared" si="102"/>
        <v>0</v>
      </c>
      <c r="Q204" s="9">
        <f t="shared" si="103"/>
        <v>1874788.64</v>
      </c>
      <c r="R204" s="9">
        <f t="shared" si="104"/>
        <v>-937394.32</v>
      </c>
      <c r="S204" s="17"/>
      <c r="T204" s="17"/>
      <c r="U204" s="18">
        <f t="shared" si="109"/>
        <v>0</v>
      </c>
      <c r="V204" s="17"/>
      <c r="W204" s="17"/>
      <c r="X204" s="9">
        <f t="shared" si="105"/>
        <v>937394.32</v>
      </c>
      <c r="Y204" s="8"/>
      <c r="Z204" s="9">
        <f t="shared" si="106"/>
        <v>0</v>
      </c>
      <c r="AA204" s="8">
        <f t="shared" si="107"/>
        <v>937394.32</v>
      </c>
      <c r="AB204" s="8">
        <f t="shared" si="108"/>
        <v>0</v>
      </c>
    </row>
    <row r="205" spans="1:28" x14ac:dyDescent="0.3">
      <c r="A205" s="64"/>
      <c r="B205" s="8"/>
      <c r="C205" s="7" t="s">
        <v>520</v>
      </c>
      <c r="D205" s="8"/>
      <c r="E205" s="9">
        <v>1491150</v>
      </c>
      <c r="F205" s="9">
        <v>1491150</v>
      </c>
      <c r="G205" s="8"/>
      <c r="H205" s="8">
        <f t="shared" si="110"/>
        <v>1491150</v>
      </c>
      <c r="I205" s="9">
        <f t="shared" si="100"/>
        <v>2982300</v>
      </c>
      <c r="J205" s="8"/>
      <c r="K205" s="9">
        <f t="shared" si="101"/>
        <v>2982300</v>
      </c>
      <c r="L205" s="8"/>
      <c r="M205" s="8">
        <f t="shared" si="111"/>
        <v>1491150</v>
      </c>
      <c r="N205" s="9"/>
      <c r="O205" s="8"/>
      <c r="P205" s="9">
        <f t="shared" si="102"/>
        <v>0</v>
      </c>
      <c r="Q205" s="9">
        <f t="shared" si="103"/>
        <v>2982300</v>
      </c>
      <c r="R205" s="9">
        <f t="shared" si="104"/>
        <v>-1491150</v>
      </c>
      <c r="S205" s="17"/>
      <c r="T205" s="17"/>
      <c r="U205" s="18">
        <f t="shared" si="109"/>
        <v>0</v>
      </c>
      <c r="V205" s="17"/>
      <c r="W205" s="17"/>
      <c r="X205" s="9">
        <f t="shared" si="105"/>
        <v>1491150</v>
      </c>
      <c r="Y205" s="8"/>
      <c r="Z205" s="9">
        <f t="shared" si="106"/>
        <v>0</v>
      </c>
      <c r="AA205" s="8">
        <f t="shared" si="107"/>
        <v>1491150</v>
      </c>
      <c r="AB205" s="8">
        <f t="shared" si="108"/>
        <v>0</v>
      </c>
    </row>
    <row r="206" spans="1:28" x14ac:dyDescent="0.3">
      <c r="A206" s="64"/>
      <c r="B206" s="8"/>
      <c r="C206" s="7" t="s">
        <v>521</v>
      </c>
      <c r="D206" s="8"/>
      <c r="E206" s="9">
        <f>2500000+320672.05</f>
        <v>2820672.05</v>
      </c>
      <c r="F206" s="9">
        <f>2500000+320672.05</f>
        <v>2820672.05</v>
      </c>
      <c r="G206" s="8"/>
      <c r="H206" s="8">
        <f t="shared" si="110"/>
        <v>2820672.05</v>
      </c>
      <c r="I206" s="9">
        <f t="shared" si="100"/>
        <v>5641344.0999999996</v>
      </c>
      <c r="J206" s="9"/>
      <c r="K206" s="9">
        <f t="shared" si="101"/>
        <v>5641344.0999999996</v>
      </c>
      <c r="L206" s="8"/>
      <c r="M206" s="8">
        <f t="shared" si="111"/>
        <v>2820672.05</v>
      </c>
      <c r="N206" s="9"/>
      <c r="O206" s="8"/>
      <c r="P206" s="9">
        <f t="shared" si="102"/>
        <v>0</v>
      </c>
      <c r="Q206" s="9">
        <f t="shared" si="103"/>
        <v>5641344.0999999996</v>
      </c>
      <c r="R206" s="9">
        <f t="shared" si="104"/>
        <v>-2820672.05</v>
      </c>
      <c r="S206" s="17"/>
      <c r="T206" s="17"/>
      <c r="U206" s="18">
        <f t="shared" si="109"/>
        <v>0</v>
      </c>
      <c r="V206" s="17"/>
      <c r="W206" s="17"/>
      <c r="X206" s="9">
        <f t="shared" si="105"/>
        <v>2820672.05</v>
      </c>
      <c r="Y206" s="8"/>
      <c r="Z206" s="9">
        <f t="shared" si="106"/>
        <v>0</v>
      </c>
      <c r="AA206" s="8">
        <f t="shared" si="107"/>
        <v>2820672.05</v>
      </c>
      <c r="AB206" s="8">
        <f t="shared" si="108"/>
        <v>0</v>
      </c>
    </row>
    <row r="207" spans="1:28" x14ac:dyDescent="0.3">
      <c r="A207" s="64"/>
      <c r="B207" s="8"/>
      <c r="C207" s="8"/>
      <c r="D207" s="8"/>
      <c r="E207" s="17" t="s">
        <v>29</v>
      </c>
      <c r="F207" s="17" t="s">
        <v>29</v>
      </c>
      <c r="G207" s="17" t="s">
        <v>29</v>
      </c>
      <c r="H207" s="17" t="s">
        <v>29</v>
      </c>
      <c r="I207" s="17" t="s">
        <v>29</v>
      </c>
      <c r="J207" s="17" t="s">
        <v>29</v>
      </c>
      <c r="K207" s="17" t="s">
        <v>29</v>
      </c>
      <c r="L207" s="17" t="s">
        <v>29</v>
      </c>
      <c r="M207" s="17" t="s">
        <v>29</v>
      </c>
      <c r="N207" s="17" t="s">
        <v>29</v>
      </c>
      <c r="O207" s="17" t="s">
        <v>29</v>
      </c>
      <c r="P207" s="17" t="s">
        <v>29</v>
      </c>
      <c r="Q207" s="17" t="s">
        <v>29</v>
      </c>
      <c r="R207" s="17" t="s">
        <v>29</v>
      </c>
      <c r="S207" s="17" t="s">
        <v>29</v>
      </c>
      <c r="T207" s="17" t="s">
        <v>29</v>
      </c>
      <c r="U207" s="17" t="s">
        <v>29</v>
      </c>
      <c r="V207" s="17" t="s">
        <v>29</v>
      </c>
      <c r="W207" s="17" t="s">
        <v>29</v>
      </c>
      <c r="X207" s="17" t="s">
        <v>29</v>
      </c>
      <c r="Y207" s="17" t="s">
        <v>29</v>
      </c>
      <c r="Z207" s="17" t="s">
        <v>29</v>
      </c>
      <c r="AA207" s="17" t="s">
        <v>29</v>
      </c>
      <c r="AB207" s="17" t="s">
        <v>29</v>
      </c>
    </row>
    <row r="208" spans="1:28" x14ac:dyDescent="0.3">
      <c r="A208" s="64"/>
      <c r="B208" s="8"/>
      <c r="C208" s="8"/>
      <c r="D208" s="8"/>
      <c r="E208" s="9">
        <f>SUM(E187:E206)</f>
        <v>26537488.460000001</v>
      </c>
      <c r="F208" s="9">
        <f>SUM(F187:F206)</f>
        <v>23719677.040000003</v>
      </c>
      <c r="G208" s="9">
        <f>SUM(G187:G206)</f>
        <v>0</v>
      </c>
      <c r="H208" s="8">
        <f>SUM(H188:H206)</f>
        <v>23719677.040000003</v>
      </c>
      <c r="I208" s="9">
        <f t="shared" ref="I208:R208" si="112">SUM(I187:I207)</f>
        <v>43562985.939999998</v>
      </c>
      <c r="J208" s="9">
        <f t="shared" si="112"/>
        <v>0</v>
      </c>
      <c r="K208" s="9">
        <f t="shared" si="112"/>
        <v>43562985.939999998</v>
      </c>
      <c r="L208" s="9">
        <f t="shared" si="112"/>
        <v>0</v>
      </c>
      <c r="M208" s="9">
        <f t="shared" si="112"/>
        <v>23719677.040000003</v>
      </c>
      <c r="N208" s="9">
        <f t="shared" si="112"/>
        <v>2671161.2300000004</v>
      </c>
      <c r="O208" s="9">
        <f t="shared" si="112"/>
        <v>0</v>
      </c>
      <c r="P208" s="9">
        <f t="shared" si="112"/>
        <v>2671161.2300000004</v>
      </c>
      <c r="Q208" s="9">
        <f t="shared" si="112"/>
        <v>46234147.170000002</v>
      </c>
      <c r="R208" s="9">
        <f t="shared" si="112"/>
        <v>-21634842.779999997</v>
      </c>
      <c r="S208" s="17"/>
      <c r="T208" s="18">
        <f>+O208+S208</f>
        <v>0</v>
      </c>
      <c r="U208" s="18">
        <f>SUM(U187:U206)</f>
        <v>2671161.2300000004</v>
      </c>
      <c r="V208" s="18">
        <f>+Q208+U208</f>
        <v>48905308.400000006</v>
      </c>
      <c r="W208" s="18">
        <f>+R208+V208</f>
        <v>27270465.620000008</v>
      </c>
      <c r="X208" s="18">
        <f>SUM(X187:X206)</f>
        <v>26390838.270000003</v>
      </c>
      <c r="Y208" s="18">
        <f>SUM(Y187:Y206)</f>
        <v>0</v>
      </c>
      <c r="Z208" s="18">
        <f>SUM(Z187:Z206)</f>
        <v>146650.19</v>
      </c>
      <c r="AA208" s="18">
        <f>SUM(AA187:AA206)</f>
        <v>26390838.270000003</v>
      </c>
      <c r="AB208" s="18">
        <f>SUM(AB187:AB206)</f>
        <v>146650.19</v>
      </c>
    </row>
    <row r="209" spans="1:28" x14ac:dyDescent="0.3">
      <c r="A209" s="64"/>
      <c r="B209" s="8"/>
      <c r="C209" s="8"/>
      <c r="D209" s="8"/>
      <c r="E209" s="17" t="s">
        <v>29</v>
      </c>
      <c r="F209" s="17" t="s">
        <v>29</v>
      </c>
      <c r="G209" s="17" t="s">
        <v>29</v>
      </c>
      <c r="H209" s="17" t="s">
        <v>29</v>
      </c>
      <c r="I209" s="17" t="s">
        <v>29</v>
      </c>
      <c r="J209" s="17" t="s">
        <v>29</v>
      </c>
      <c r="K209" s="17" t="s">
        <v>29</v>
      </c>
      <c r="L209" s="17" t="s">
        <v>29</v>
      </c>
      <c r="M209" s="17" t="s">
        <v>29</v>
      </c>
      <c r="N209" s="17" t="s">
        <v>29</v>
      </c>
      <c r="O209" s="17" t="s">
        <v>29</v>
      </c>
      <c r="P209" s="17" t="s">
        <v>29</v>
      </c>
      <c r="Q209" s="17" t="s">
        <v>29</v>
      </c>
      <c r="R209" s="17" t="s">
        <v>29</v>
      </c>
      <c r="S209" s="17" t="s">
        <v>29</v>
      </c>
      <c r="T209" s="17" t="s">
        <v>29</v>
      </c>
      <c r="U209" s="17" t="s">
        <v>29</v>
      </c>
      <c r="V209" s="17" t="s">
        <v>29</v>
      </c>
      <c r="W209" s="17" t="s">
        <v>29</v>
      </c>
      <c r="X209" s="17" t="s">
        <v>29</v>
      </c>
      <c r="Y209" s="17" t="s">
        <v>29</v>
      </c>
      <c r="Z209" s="17" t="s">
        <v>29</v>
      </c>
      <c r="AA209" s="17" t="s">
        <v>29</v>
      </c>
      <c r="AB209" s="17" t="s">
        <v>29</v>
      </c>
    </row>
    <row r="210" spans="1:28" x14ac:dyDescent="0.3">
      <c r="A210" s="63" t="s">
        <v>944</v>
      </c>
      <c r="B210" s="7" t="s">
        <v>522</v>
      </c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17"/>
      <c r="T210" s="17"/>
      <c r="U210" s="17"/>
      <c r="V210" s="17"/>
      <c r="W210" s="17"/>
      <c r="X210" s="17"/>
      <c r="Y210" s="17"/>
      <c r="Z210" s="17"/>
      <c r="AA210" s="58"/>
    </row>
    <row r="211" spans="1:28" x14ac:dyDescent="0.3">
      <c r="A211" s="64"/>
      <c r="B211" s="8"/>
      <c r="C211" s="7" t="s">
        <v>523</v>
      </c>
      <c r="D211" s="15" t="s">
        <v>166</v>
      </c>
      <c r="E211" s="9">
        <v>2968000</v>
      </c>
      <c r="F211" s="31">
        <v>2968000</v>
      </c>
      <c r="G211" s="8"/>
      <c r="H211" s="8">
        <f>+F211+G211</f>
        <v>2968000</v>
      </c>
      <c r="I211" s="9">
        <f t="shared" ref="I211:I233" si="113">F211+H211</f>
        <v>5936000</v>
      </c>
      <c r="J211" s="8"/>
      <c r="K211" s="9">
        <f t="shared" ref="K211:K233" si="114">I211+J211</f>
        <v>5936000</v>
      </c>
      <c r="L211" s="9"/>
      <c r="M211" s="8">
        <f>+H211+L211</f>
        <v>2968000</v>
      </c>
      <c r="N211" s="9">
        <v>0</v>
      </c>
      <c r="O211" s="8"/>
      <c r="P211" s="9">
        <f t="shared" ref="P211:P233" si="115">N211+O211</f>
        <v>0</v>
      </c>
      <c r="Q211" s="9">
        <f t="shared" ref="Q211:Q233" si="116">K211+P211</f>
        <v>5936000</v>
      </c>
      <c r="R211" s="9">
        <f t="shared" ref="R211:R233" si="117">E211-Q211</f>
        <v>-2968000</v>
      </c>
      <c r="S211" s="17"/>
      <c r="T211" s="17"/>
      <c r="U211" s="18">
        <f>+P211+T211</f>
        <v>0</v>
      </c>
      <c r="V211" s="17"/>
      <c r="W211" s="17"/>
      <c r="X211" s="9">
        <f t="shared" ref="X211:X233" si="118">+H211+P211</f>
        <v>2968000</v>
      </c>
      <c r="Y211" s="8"/>
      <c r="Z211" s="9">
        <f t="shared" ref="Z211:Z233" si="119">+E211-X211</f>
        <v>0</v>
      </c>
      <c r="AA211" s="8">
        <f t="shared" ref="AA211:AA233" si="120">+M211+U211</f>
        <v>2968000</v>
      </c>
      <c r="AB211" s="8">
        <f t="shared" ref="AB211:AB233" si="121">+E211-AA211</f>
        <v>0</v>
      </c>
    </row>
    <row r="212" spans="1:28" x14ac:dyDescent="0.3">
      <c r="A212" s="64"/>
      <c r="B212" s="8"/>
      <c r="C212" s="7" t="s">
        <v>524</v>
      </c>
      <c r="D212" s="15" t="s">
        <v>78</v>
      </c>
      <c r="E212" s="9">
        <v>3722100</v>
      </c>
      <c r="F212" s="31">
        <v>3005346.18</v>
      </c>
      <c r="G212" s="8"/>
      <c r="H212" s="8">
        <f t="shared" ref="H212:H233" si="122">+F212+G212</f>
        <v>3005346.18</v>
      </c>
      <c r="I212" s="9">
        <f t="shared" si="113"/>
        <v>6010692.3600000003</v>
      </c>
      <c r="J212" s="8"/>
      <c r="K212" s="9">
        <f t="shared" si="114"/>
        <v>6010692.3600000003</v>
      </c>
      <c r="L212" s="9"/>
      <c r="M212" s="8">
        <f t="shared" ref="M212:M233" si="123">+H212+L212</f>
        <v>3005346.18</v>
      </c>
      <c r="N212" s="9">
        <v>716753.82</v>
      </c>
      <c r="O212" s="8"/>
      <c r="P212" s="9">
        <f t="shared" si="115"/>
        <v>716753.82</v>
      </c>
      <c r="Q212" s="9">
        <f t="shared" si="116"/>
        <v>6727446.1800000006</v>
      </c>
      <c r="R212" s="9">
        <f t="shared" si="117"/>
        <v>-3005346.1800000006</v>
      </c>
      <c r="S212" s="17"/>
      <c r="T212" s="17"/>
      <c r="U212" s="18">
        <f t="shared" ref="U212:U233" si="124">+P212+T212</f>
        <v>716753.82</v>
      </c>
      <c r="V212" s="17"/>
      <c r="W212" s="17"/>
      <c r="X212" s="9">
        <f t="shared" si="118"/>
        <v>3722100</v>
      </c>
      <c r="Y212" s="8"/>
      <c r="Z212" s="9">
        <f t="shared" si="119"/>
        <v>0</v>
      </c>
      <c r="AA212" s="8">
        <f t="shared" si="120"/>
        <v>3722100</v>
      </c>
      <c r="AB212" s="8">
        <f t="shared" si="121"/>
        <v>0</v>
      </c>
    </row>
    <row r="213" spans="1:28" x14ac:dyDescent="0.3">
      <c r="A213" s="64"/>
      <c r="B213" s="8"/>
      <c r="C213" s="7" t="s">
        <v>512</v>
      </c>
      <c r="D213" s="15" t="s">
        <v>78</v>
      </c>
      <c r="E213" s="9">
        <v>570896.91</v>
      </c>
      <c r="F213" s="32"/>
      <c r="G213" s="8"/>
      <c r="H213" s="8">
        <f t="shared" si="122"/>
        <v>0</v>
      </c>
      <c r="I213" s="9">
        <f t="shared" si="113"/>
        <v>0</v>
      </c>
      <c r="J213" s="8"/>
      <c r="K213" s="9">
        <f t="shared" si="114"/>
        <v>0</v>
      </c>
      <c r="L213" s="9"/>
      <c r="M213" s="8">
        <f t="shared" si="123"/>
        <v>0</v>
      </c>
      <c r="N213" s="9">
        <v>570896.91</v>
      </c>
      <c r="O213" s="8"/>
      <c r="P213" s="9">
        <f t="shared" si="115"/>
        <v>570896.91</v>
      </c>
      <c r="Q213" s="9">
        <f t="shared" si="116"/>
        <v>570896.91</v>
      </c>
      <c r="R213" s="9">
        <f t="shared" si="117"/>
        <v>0</v>
      </c>
      <c r="S213" s="17"/>
      <c r="T213" s="17"/>
      <c r="U213" s="18">
        <f t="shared" si="124"/>
        <v>570896.91</v>
      </c>
      <c r="V213" s="17"/>
      <c r="W213" s="17"/>
      <c r="X213" s="9">
        <f t="shared" si="118"/>
        <v>570896.91</v>
      </c>
      <c r="Y213" s="8"/>
      <c r="Z213" s="9">
        <f t="shared" si="119"/>
        <v>0</v>
      </c>
      <c r="AA213" s="8">
        <f t="shared" si="120"/>
        <v>570896.91</v>
      </c>
      <c r="AB213" s="8">
        <f t="shared" si="121"/>
        <v>0</v>
      </c>
    </row>
    <row r="214" spans="1:28" x14ac:dyDescent="0.3">
      <c r="A214" s="64"/>
      <c r="B214" s="8"/>
      <c r="C214" s="7" t="s">
        <v>514</v>
      </c>
      <c r="D214" s="21" t="s">
        <v>68</v>
      </c>
      <c r="E214" s="9">
        <f>278696.7+1108271.54</f>
        <v>1386968.24</v>
      </c>
      <c r="F214" s="32"/>
      <c r="G214" s="8"/>
      <c r="H214" s="8">
        <f t="shared" si="122"/>
        <v>0</v>
      </c>
      <c r="I214" s="9">
        <f t="shared" si="113"/>
        <v>0</v>
      </c>
      <c r="J214" s="8"/>
      <c r="K214" s="9">
        <f t="shared" si="114"/>
        <v>0</v>
      </c>
      <c r="L214" s="9"/>
      <c r="M214" s="8">
        <f t="shared" si="123"/>
        <v>0</v>
      </c>
      <c r="N214" s="9">
        <v>1386968.24</v>
      </c>
      <c r="O214" s="8"/>
      <c r="P214" s="9">
        <f t="shared" si="115"/>
        <v>1386968.24</v>
      </c>
      <c r="Q214" s="9">
        <f t="shared" si="116"/>
        <v>1386968.24</v>
      </c>
      <c r="R214" s="9">
        <f t="shared" si="117"/>
        <v>0</v>
      </c>
      <c r="S214" s="17"/>
      <c r="T214" s="17"/>
      <c r="U214" s="18">
        <f t="shared" si="124"/>
        <v>1386968.24</v>
      </c>
      <c r="V214" s="17"/>
      <c r="W214" s="17"/>
      <c r="X214" s="9">
        <f t="shared" si="118"/>
        <v>1386968.24</v>
      </c>
      <c r="Y214" s="8"/>
      <c r="Z214" s="9">
        <f t="shared" si="119"/>
        <v>0</v>
      </c>
      <c r="AA214" s="8">
        <f t="shared" si="120"/>
        <v>1386968.24</v>
      </c>
      <c r="AB214" s="8">
        <f t="shared" si="121"/>
        <v>0</v>
      </c>
    </row>
    <row r="215" spans="1:28" x14ac:dyDescent="0.3">
      <c r="A215" s="64"/>
      <c r="B215" s="8"/>
      <c r="C215" s="7" t="s">
        <v>513</v>
      </c>
      <c r="D215" s="21" t="s">
        <v>68</v>
      </c>
      <c r="E215" s="9">
        <f>3150200-2204077.04</f>
        <v>946122.96</v>
      </c>
      <c r="F215" s="31">
        <v>931566</v>
      </c>
      <c r="G215" s="8"/>
      <c r="H215" s="8">
        <f t="shared" si="122"/>
        <v>931566</v>
      </c>
      <c r="I215" s="9">
        <f t="shared" si="113"/>
        <v>1863132</v>
      </c>
      <c r="J215" s="8"/>
      <c r="K215" s="9">
        <f t="shared" si="114"/>
        <v>1863132</v>
      </c>
      <c r="L215" s="9"/>
      <c r="M215" s="8">
        <f t="shared" si="123"/>
        <v>931566</v>
      </c>
      <c r="N215" s="9">
        <v>14556.96</v>
      </c>
      <c r="O215" s="8"/>
      <c r="P215" s="9">
        <f t="shared" si="115"/>
        <v>14556.96</v>
      </c>
      <c r="Q215" s="9">
        <f t="shared" si="116"/>
        <v>1877688.96</v>
      </c>
      <c r="R215" s="9">
        <f t="shared" si="117"/>
        <v>-931566</v>
      </c>
      <c r="S215" s="17"/>
      <c r="T215" s="17"/>
      <c r="U215" s="18">
        <f t="shared" si="124"/>
        <v>14556.96</v>
      </c>
      <c r="V215" s="17"/>
      <c r="W215" s="17"/>
      <c r="X215" s="9">
        <f t="shared" si="118"/>
        <v>946122.96</v>
      </c>
      <c r="Y215" s="8"/>
      <c r="Z215" s="9">
        <f t="shared" si="119"/>
        <v>0</v>
      </c>
      <c r="AA215" s="8">
        <f t="shared" si="120"/>
        <v>946122.96</v>
      </c>
      <c r="AB215" s="8">
        <f t="shared" si="121"/>
        <v>0</v>
      </c>
    </row>
    <row r="216" spans="1:28" x14ac:dyDescent="0.3">
      <c r="A216" s="64"/>
      <c r="B216" s="8"/>
      <c r="C216" s="7" t="s">
        <v>525</v>
      </c>
      <c r="D216" s="21" t="s">
        <v>54</v>
      </c>
      <c r="E216" s="9">
        <v>1767770</v>
      </c>
      <c r="F216" s="32"/>
      <c r="G216" s="8"/>
      <c r="H216" s="8">
        <f t="shared" si="122"/>
        <v>0</v>
      </c>
      <c r="I216" s="9">
        <f t="shared" si="113"/>
        <v>0</v>
      </c>
      <c r="J216" s="8"/>
      <c r="K216" s="9">
        <f t="shared" si="114"/>
        <v>0</v>
      </c>
      <c r="L216" s="9"/>
      <c r="M216" s="8">
        <f t="shared" si="123"/>
        <v>0</v>
      </c>
      <c r="N216" s="9">
        <v>1767770</v>
      </c>
      <c r="O216" s="8"/>
      <c r="P216" s="9">
        <f t="shared" si="115"/>
        <v>1767770</v>
      </c>
      <c r="Q216" s="9">
        <f t="shared" si="116"/>
        <v>1767770</v>
      </c>
      <c r="R216" s="9">
        <f t="shared" si="117"/>
        <v>0</v>
      </c>
      <c r="S216" s="17"/>
      <c r="T216" s="17"/>
      <c r="U216" s="18">
        <f t="shared" si="124"/>
        <v>1767770</v>
      </c>
      <c r="V216" s="17"/>
      <c r="W216" s="17"/>
      <c r="X216" s="9">
        <f t="shared" si="118"/>
        <v>1767770</v>
      </c>
      <c r="Y216" s="8"/>
      <c r="Z216" s="9">
        <f t="shared" si="119"/>
        <v>0</v>
      </c>
      <c r="AA216" s="8">
        <f t="shared" si="120"/>
        <v>1767770</v>
      </c>
      <c r="AB216" s="8">
        <f t="shared" si="121"/>
        <v>0</v>
      </c>
    </row>
    <row r="217" spans="1:28" x14ac:dyDescent="0.3">
      <c r="A217" s="64"/>
      <c r="B217" s="8"/>
      <c r="C217" s="7" t="s">
        <v>526</v>
      </c>
      <c r="D217" s="15" t="s">
        <v>85</v>
      </c>
      <c r="E217" s="9">
        <v>3377713.38</v>
      </c>
      <c r="F217" s="31">
        <v>3377713.38</v>
      </c>
      <c r="G217" s="8"/>
      <c r="H217" s="8">
        <f t="shared" si="122"/>
        <v>3377713.38</v>
      </c>
      <c r="I217" s="9">
        <f t="shared" si="113"/>
        <v>6755426.7599999998</v>
      </c>
      <c r="J217" s="8"/>
      <c r="K217" s="9">
        <f t="shared" si="114"/>
        <v>6755426.7599999998</v>
      </c>
      <c r="L217" s="8"/>
      <c r="M217" s="8">
        <f t="shared" si="123"/>
        <v>3377713.38</v>
      </c>
      <c r="N217" s="9"/>
      <c r="O217" s="8"/>
      <c r="P217" s="9">
        <f t="shared" si="115"/>
        <v>0</v>
      </c>
      <c r="Q217" s="9">
        <f t="shared" si="116"/>
        <v>6755426.7599999998</v>
      </c>
      <c r="R217" s="9">
        <f t="shared" si="117"/>
        <v>-3377713.38</v>
      </c>
      <c r="S217" s="17"/>
      <c r="T217" s="17"/>
      <c r="U217" s="18">
        <f t="shared" si="124"/>
        <v>0</v>
      </c>
      <c r="V217" s="17"/>
      <c r="W217" s="17"/>
      <c r="X217" s="9">
        <f t="shared" si="118"/>
        <v>3377713.38</v>
      </c>
      <c r="Y217" s="8"/>
      <c r="Z217" s="9">
        <f t="shared" si="119"/>
        <v>0</v>
      </c>
      <c r="AA217" s="8">
        <f t="shared" si="120"/>
        <v>3377713.38</v>
      </c>
      <c r="AB217" s="8">
        <f t="shared" si="121"/>
        <v>0</v>
      </c>
    </row>
    <row r="218" spans="1:28" x14ac:dyDescent="0.3">
      <c r="A218" s="64"/>
      <c r="B218" s="8"/>
      <c r="C218" s="7" t="s">
        <v>527</v>
      </c>
      <c r="D218" s="15" t="s">
        <v>85</v>
      </c>
      <c r="E218" s="9">
        <v>2479865.36</v>
      </c>
      <c r="F218" s="32"/>
      <c r="G218" s="8"/>
      <c r="H218" s="8">
        <f t="shared" si="122"/>
        <v>0</v>
      </c>
      <c r="I218" s="9">
        <f t="shared" si="113"/>
        <v>0</v>
      </c>
      <c r="J218" s="8"/>
      <c r="K218" s="9">
        <f t="shared" si="114"/>
        <v>0</v>
      </c>
      <c r="L218" s="9"/>
      <c r="M218" s="8">
        <f t="shared" si="123"/>
        <v>0</v>
      </c>
      <c r="N218" s="9">
        <v>2479865.36</v>
      </c>
      <c r="O218" s="8"/>
      <c r="P218" s="9">
        <f t="shared" si="115"/>
        <v>2479865.36</v>
      </c>
      <c r="Q218" s="9">
        <f t="shared" si="116"/>
        <v>2479865.36</v>
      </c>
      <c r="R218" s="9">
        <f t="shared" si="117"/>
        <v>0</v>
      </c>
      <c r="S218" s="17"/>
      <c r="T218" s="17"/>
      <c r="U218" s="18">
        <f t="shared" si="124"/>
        <v>2479865.36</v>
      </c>
      <c r="V218" s="17"/>
      <c r="W218" s="17"/>
      <c r="X218" s="9">
        <f t="shared" si="118"/>
        <v>2479865.36</v>
      </c>
      <c r="Y218" s="8"/>
      <c r="Z218" s="9">
        <f t="shared" si="119"/>
        <v>0</v>
      </c>
      <c r="AA218" s="8">
        <f t="shared" si="120"/>
        <v>2479865.36</v>
      </c>
      <c r="AB218" s="8">
        <f t="shared" si="121"/>
        <v>0</v>
      </c>
    </row>
    <row r="219" spans="1:28" x14ac:dyDescent="0.3">
      <c r="A219" s="64"/>
      <c r="B219" s="8"/>
      <c r="C219" s="7" t="s">
        <v>528</v>
      </c>
      <c r="D219" s="15" t="s">
        <v>85</v>
      </c>
      <c r="E219" s="9">
        <v>3610800</v>
      </c>
      <c r="F219" s="31">
        <v>3610800</v>
      </c>
      <c r="G219" s="8"/>
      <c r="H219" s="8">
        <f t="shared" si="122"/>
        <v>3610800</v>
      </c>
      <c r="I219" s="9">
        <f t="shared" si="113"/>
        <v>7221600</v>
      </c>
      <c r="J219" s="8"/>
      <c r="K219" s="9">
        <f t="shared" si="114"/>
        <v>7221600</v>
      </c>
      <c r="L219" s="8"/>
      <c r="M219" s="8">
        <f t="shared" si="123"/>
        <v>3610800</v>
      </c>
      <c r="N219" s="9"/>
      <c r="O219" s="8"/>
      <c r="P219" s="9">
        <f t="shared" si="115"/>
        <v>0</v>
      </c>
      <c r="Q219" s="9">
        <f t="shared" si="116"/>
        <v>7221600</v>
      </c>
      <c r="R219" s="9">
        <f t="shared" si="117"/>
        <v>-3610800</v>
      </c>
      <c r="S219" s="17"/>
      <c r="T219" s="17"/>
      <c r="U219" s="18">
        <f t="shared" si="124"/>
        <v>0</v>
      </c>
      <c r="V219" s="17"/>
      <c r="W219" s="17"/>
      <c r="X219" s="9">
        <f t="shared" si="118"/>
        <v>3610800</v>
      </c>
      <c r="Y219" s="8"/>
      <c r="Z219" s="9">
        <f t="shared" si="119"/>
        <v>0</v>
      </c>
      <c r="AA219" s="8">
        <f t="shared" si="120"/>
        <v>3610800</v>
      </c>
      <c r="AB219" s="8">
        <f t="shared" si="121"/>
        <v>0</v>
      </c>
    </row>
    <row r="220" spans="1:28" x14ac:dyDescent="0.3">
      <c r="A220" s="64"/>
      <c r="B220" s="8"/>
      <c r="C220" s="7" t="s">
        <v>528</v>
      </c>
      <c r="D220" s="15" t="s">
        <v>128</v>
      </c>
      <c r="E220" s="9">
        <v>2000000</v>
      </c>
      <c r="F220" s="31">
        <v>2000000</v>
      </c>
      <c r="G220" s="8"/>
      <c r="H220" s="8">
        <f t="shared" si="122"/>
        <v>2000000</v>
      </c>
      <c r="I220" s="9">
        <f t="shared" si="113"/>
        <v>4000000</v>
      </c>
      <c r="J220" s="8"/>
      <c r="K220" s="9">
        <f t="shared" si="114"/>
        <v>4000000</v>
      </c>
      <c r="L220" s="8"/>
      <c r="M220" s="8">
        <f t="shared" si="123"/>
        <v>2000000</v>
      </c>
      <c r="N220" s="9"/>
      <c r="O220" s="8"/>
      <c r="P220" s="9">
        <f t="shared" si="115"/>
        <v>0</v>
      </c>
      <c r="Q220" s="9">
        <f t="shared" si="116"/>
        <v>4000000</v>
      </c>
      <c r="R220" s="9">
        <f t="shared" si="117"/>
        <v>-2000000</v>
      </c>
      <c r="S220" s="17"/>
      <c r="T220" s="17"/>
      <c r="U220" s="18">
        <f t="shared" si="124"/>
        <v>0</v>
      </c>
      <c r="V220" s="17"/>
      <c r="W220" s="17"/>
      <c r="X220" s="9">
        <f t="shared" si="118"/>
        <v>2000000</v>
      </c>
      <c r="Y220" s="8"/>
      <c r="Z220" s="9">
        <f t="shared" si="119"/>
        <v>0</v>
      </c>
      <c r="AA220" s="8">
        <f t="shared" si="120"/>
        <v>2000000</v>
      </c>
      <c r="AB220" s="8">
        <f t="shared" si="121"/>
        <v>0</v>
      </c>
    </row>
    <row r="221" spans="1:28" x14ac:dyDescent="0.3">
      <c r="A221" s="64"/>
      <c r="B221" s="8"/>
      <c r="C221" s="7" t="s">
        <v>528</v>
      </c>
      <c r="D221" s="15" t="s">
        <v>88</v>
      </c>
      <c r="E221" s="9">
        <v>975300</v>
      </c>
      <c r="F221" s="31">
        <v>975300</v>
      </c>
      <c r="G221" s="8"/>
      <c r="H221" s="8">
        <f t="shared" si="122"/>
        <v>975300</v>
      </c>
      <c r="I221" s="9">
        <f t="shared" si="113"/>
        <v>1950600</v>
      </c>
      <c r="J221" s="8"/>
      <c r="K221" s="9">
        <f t="shared" si="114"/>
        <v>1950600</v>
      </c>
      <c r="L221" s="8"/>
      <c r="M221" s="8">
        <f t="shared" si="123"/>
        <v>975300</v>
      </c>
      <c r="N221" s="9"/>
      <c r="O221" s="8"/>
      <c r="P221" s="9">
        <f t="shared" si="115"/>
        <v>0</v>
      </c>
      <c r="Q221" s="9">
        <f t="shared" si="116"/>
        <v>1950600</v>
      </c>
      <c r="R221" s="9">
        <f t="shared" si="117"/>
        <v>-975300</v>
      </c>
      <c r="S221" s="17"/>
      <c r="T221" s="17"/>
      <c r="U221" s="18">
        <f t="shared" si="124"/>
        <v>0</v>
      </c>
      <c r="V221" s="17"/>
      <c r="W221" s="17"/>
      <c r="X221" s="9">
        <f t="shared" si="118"/>
        <v>975300</v>
      </c>
      <c r="Y221" s="8"/>
      <c r="Z221" s="9">
        <f t="shared" si="119"/>
        <v>0</v>
      </c>
      <c r="AA221" s="8">
        <f t="shared" si="120"/>
        <v>975300</v>
      </c>
      <c r="AB221" s="8">
        <f t="shared" si="121"/>
        <v>0</v>
      </c>
    </row>
    <row r="222" spans="1:28" x14ac:dyDescent="0.3">
      <c r="A222" s="64"/>
      <c r="B222" s="8"/>
      <c r="C222" s="7" t="s">
        <v>528</v>
      </c>
      <c r="D222" s="15" t="s">
        <v>58</v>
      </c>
      <c r="E222" s="9">
        <f>1430270+1290990+3000000+2729474</f>
        <v>8450734</v>
      </c>
      <c r="F222" s="31">
        <v>5721260</v>
      </c>
      <c r="G222" s="8"/>
      <c r="H222" s="8">
        <f t="shared" si="122"/>
        <v>5721260</v>
      </c>
      <c r="I222" s="9">
        <f t="shared" si="113"/>
        <v>11442520</v>
      </c>
      <c r="J222" s="9">
        <f>3000000+2729474-3000000</f>
        <v>2729474</v>
      </c>
      <c r="K222" s="9">
        <f t="shared" si="114"/>
        <v>14171994</v>
      </c>
      <c r="L222" s="8">
        <v>2729474</v>
      </c>
      <c r="M222" s="8">
        <f t="shared" si="123"/>
        <v>8450734</v>
      </c>
      <c r="N222" s="9"/>
      <c r="O222" s="8"/>
      <c r="P222" s="9">
        <f t="shared" si="115"/>
        <v>0</v>
      </c>
      <c r="Q222" s="9">
        <f t="shared" si="116"/>
        <v>14171994</v>
      </c>
      <c r="R222" s="9">
        <f t="shared" si="117"/>
        <v>-5721260</v>
      </c>
      <c r="S222" s="17"/>
      <c r="T222" s="17"/>
      <c r="U222" s="18">
        <f t="shared" si="124"/>
        <v>0</v>
      </c>
      <c r="V222" s="17"/>
      <c r="W222" s="17"/>
      <c r="X222" s="9">
        <f t="shared" si="118"/>
        <v>5721260</v>
      </c>
      <c r="Y222" s="8"/>
      <c r="Z222" s="9">
        <f t="shared" si="119"/>
        <v>2729474</v>
      </c>
      <c r="AA222" s="8">
        <f t="shared" si="120"/>
        <v>8450734</v>
      </c>
      <c r="AB222" s="8">
        <f t="shared" si="121"/>
        <v>0</v>
      </c>
    </row>
    <row r="223" spans="1:28" x14ac:dyDescent="0.3">
      <c r="A223" s="64"/>
      <c r="B223" s="8"/>
      <c r="C223" s="7" t="s">
        <v>528</v>
      </c>
      <c r="D223" s="15" t="s">
        <v>60</v>
      </c>
      <c r="E223" s="9">
        <v>3000000</v>
      </c>
      <c r="F223" s="31">
        <v>3000000</v>
      </c>
      <c r="G223" s="8"/>
      <c r="H223" s="8">
        <f t="shared" si="122"/>
        <v>3000000</v>
      </c>
      <c r="I223" s="9">
        <f t="shared" si="113"/>
        <v>6000000</v>
      </c>
      <c r="J223" s="8"/>
      <c r="K223" s="9">
        <f t="shared" si="114"/>
        <v>6000000</v>
      </c>
      <c r="L223" s="8"/>
      <c r="M223" s="8">
        <f t="shared" si="123"/>
        <v>3000000</v>
      </c>
      <c r="N223" s="9"/>
      <c r="O223" s="8"/>
      <c r="P223" s="9">
        <f t="shared" si="115"/>
        <v>0</v>
      </c>
      <c r="Q223" s="9">
        <f t="shared" si="116"/>
        <v>6000000</v>
      </c>
      <c r="R223" s="9">
        <f t="shared" si="117"/>
        <v>-3000000</v>
      </c>
      <c r="S223" s="17"/>
      <c r="T223" s="17"/>
      <c r="U223" s="18">
        <f t="shared" si="124"/>
        <v>0</v>
      </c>
      <c r="V223" s="17"/>
      <c r="W223" s="17"/>
      <c r="X223" s="9">
        <f t="shared" si="118"/>
        <v>3000000</v>
      </c>
      <c r="Y223" s="8"/>
      <c r="Z223" s="9">
        <f t="shared" si="119"/>
        <v>0</v>
      </c>
      <c r="AA223" s="8">
        <f t="shared" si="120"/>
        <v>3000000</v>
      </c>
      <c r="AB223" s="8">
        <f t="shared" si="121"/>
        <v>0</v>
      </c>
    </row>
    <row r="224" spans="1:28" x14ac:dyDescent="0.3">
      <c r="A224" s="64"/>
      <c r="B224" s="8"/>
      <c r="C224" s="7" t="s">
        <v>528</v>
      </c>
      <c r="D224" s="15" t="s">
        <v>73</v>
      </c>
      <c r="E224" s="9">
        <f>2783928+1800000</f>
        <v>4583928</v>
      </c>
      <c r="F224" s="31">
        <v>4583928</v>
      </c>
      <c r="G224" s="8"/>
      <c r="H224" s="8">
        <f t="shared" si="122"/>
        <v>4583928</v>
      </c>
      <c r="I224" s="9">
        <f t="shared" si="113"/>
        <v>9167856</v>
      </c>
      <c r="J224" s="9"/>
      <c r="K224" s="9">
        <f t="shared" si="114"/>
        <v>9167856</v>
      </c>
      <c r="L224" s="8"/>
      <c r="M224" s="8">
        <f t="shared" si="123"/>
        <v>4583928</v>
      </c>
      <c r="N224" s="9"/>
      <c r="O224" s="8"/>
      <c r="P224" s="9">
        <f t="shared" si="115"/>
        <v>0</v>
      </c>
      <c r="Q224" s="9">
        <f t="shared" si="116"/>
        <v>9167856</v>
      </c>
      <c r="R224" s="9">
        <f t="shared" si="117"/>
        <v>-4583928</v>
      </c>
      <c r="S224" s="17"/>
      <c r="T224" s="17"/>
      <c r="U224" s="18">
        <f t="shared" si="124"/>
        <v>0</v>
      </c>
      <c r="V224" s="17"/>
      <c r="W224" s="17"/>
      <c r="X224" s="9">
        <f t="shared" si="118"/>
        <v>4583928</v>
      </c>
      <c r="Y224" s="8"/>
      <c r="Z224" s="9">
        <f t="shared" si="119"/>
        <v>0</v>
      </c>
      <c r="AA224" s="8">
        <f t="shared" si="120"/>
        <v>4583928</v>
      </c>
      <c r="AB224" s="8">
        <f t="shared" si="121"/>
        <v>0</v>
      </c>
    </row>
    <row r="225" spans="1:28" x14ac:dyDescent="0.3">
      <c r="A225" s="64"/>
      <c r="B225" s="8"/>
      <c r="C225" s="14" t="s">
        <v>1114</v>
      </c>
      <c r="D225" s="21" t="s">
        <v>73</v>
      </c>
      <c r="E225" s="11">
        <f>500000+441823.87</f>
        <v>941823.87</v>
      </c>
      <c r="F225" s="31">
        <v>941823.87</v>
      </c>
      <c r="G225" s="8"/>
      <c r="H225" s="8">
        <f t="shared" si="122"/>
        <v>941823.87</v>
      </c>
      <c r="I225" s="9">
        <f t="shared" si="113"/>
        <v>1883647.74</v>
      </c>
      <c r="J225" s="8"/>
      <c r="K225" s="9">
        <f t="shared" si="114"/>
        <v>1883647.74</v>
      </c>
      <c r="L225" s="8"/>
      <c r="M225" s="8">
        <f t="shared" si="123"/>
        <v>941823.87</v>
      </c>
      <c r="N225" s="9"/>
      <c r="O225" s="8"/>
      <c r="P225" s="9">
        <f t="shared" si="115"/>
        <v>0</v>
      </c>
      <c r="Q225" s="9">
        <f t="shared" si="116"/>
        <v>1883647.74</v>
      </c>
      <c r="R225" s="9">
        <f t="shared" si="117"/>
        <v>-941823.87</v>
      </c>
      <c r="S225" s="17"/>
      <c r="T225" s="17"/>
      <c r="U225" s="18">
        <f t="shared" si="124"/>
        <v>0</v>
      </c>
      <c r="V225" s="17"/>
      <c r="W225" s="17"/>
      <c r="X225" s="9">
        <f t="shared" si="118"/>
        <v>941823.87</v>
      </c>
      <c r="Y225" s="8"/>
      <c r="Z225" s="9">
        <f t="shared" si="119"/>
        <v>0</v>
      </c>
      <c r="AA225" s="8">
        <f t="shared" si="120"/>
        <v>941823.87</v>
      </c>
      <c r="AB225" s="8">
        <f t="shared" si="121"/>
        <v>0</v>
      </c>
    </row>
    <row r="226" spans="1:28" x14ac:dyDescent="0.3">
      <c r="A226" s="64"/>
      <c r="B226" s="8"/>
      <c r="C226" s="7" t="s">
        <v>528</v>
      </c>
      <c r="D226" s="15" t="s">
        <v>61</v>
      </c>
      <c r="E226" s="11">
        <f>1299131+698869</f>
        <v>1998000</v>
      </c>
      <c r="F226" s="31">
        <v>1998000</v>
      </c>
      <c r="G226" s="8"/>
      <c r="H226" s="8">
        <f t="shared" si="122"/>
        <v>1998000</v>
      </c>
      <c r="I226" s="9">
        <f t="shared" si="113"/>
        <v>3996000</v>
      </c>
      <c r="J226" s="8"/>
      <c r="K226" s="9">
        <f t="shared" si="114"/>
        <v>3996000</v>
      </c>
      <c r="L226" s="8"/>
      <c r="M226" s="8">
        <f t="shared" si="123"/>
        <v>1998000</v>
      </c>
      <c r="N226" s="9"/>
      <c r="O226" s="8"/>
      <c r="P226" s="9">
        <f t="shared" si="115"/>
        <v>0</v>
      </c>
      <c r="Q226" s="9">
        <f t="shared" si="116"/>
        <v>3996000</v>
      </c>
      <c r="R226" s="9">
        <f t="shared" si="117"/>
        <v>-1998000</v>
      </c>
      <c r="S226" s="17"/>
      <c r="T226" s="17"/>
      <c r="U226" s="18">
        <f t="shared" si="124"/>
        <v>0</v>
      </c>
      <c r="V226" s="17"/>
      <c r="W226" s="17"/>
      <c r="X226" s="9">
        <f t="shared" si="118"/>
        <v>1998000</v>
      </c>
      <c r="Y226" s="8"/>
      <c r="Z226" s="9">
        <f t="shared" si="119"/>
        <v>0</v>
      </c>
      <c r="AA226" s="8">
        <f t="shared" si="120"/>
        <v>1998000</v>
      </c>
      <c r="AB226" s="8">
        <f t="shared" si="121"/>
        <v>0</v>
      </c>
    </row>
    <row r="227" spans="1:28" x14ac:dyDescent="0.3">
      <c r="A227" s="64"/>
      <c r="B227" s="8"/>
      <c r="C227" s="7" t="s">
        <v>931</v>
      </c>
      <c r="D227" s="15"/>
      <c r="E227" s="11">
        <f>992874.29+2158124.3+2289312.93</f>
        <v>5440311.5199999996</v>
      </c>
      <c r="F227" s="8">
        <f>992874.29+2158124.3+2289312.93</f>
        <v>5440311.5199999996</v>
      </c>
      <c r="G227" s="8"/>
      <c r="H227" s="8">
        <f>+F227+G227</f>
        <v>5440311.5199999996</v>
      </c>
      <c r="I227" s="9"/>
      <c r="J227" s="8"/>
      <c r="K227" s="9"/>
      <c r="L227" s="8"/>
      <c r="M227" s="8">
        <f>+H227+L227</f>
        <v>5440311.5199999996</v>
      </c>
      <c r="N227" s="9"/>
      <c r="O227" s="8"/>
      <c r="P227" s="9">
        <f>+N227+O227</f>
        <v>0</v>
      </c>
      <c r="Q227" s="9"/>
      <c r="R227" s="9"/>
      <c r="S227" s="17"/>
      <c r="T227" s="17"/>
      <c r="U227" s="18">
        <f>+P227+T227</f>
        <v>0</v>
      </c>
      <c r="V227" s="17"/>
      <c r="W227" s="17"/>
      <c r="X227" s="9">
        <f t="shared" si="118"/>
        <v>5440311.5199999996</v>
      </c>
      <c r="Y227" s="8"/>
      <c r="Z227" s="9">
        <f t="shared" si="119"/>
        <v>0</v>
      </c>
      <c r="AA227" s="8">
        <f t="shared" si="120"/>
        <v>5440311.5199999996</v>
      </c>
      <c r="AB227" s="8">
        <f t="shared" si="121"/>
        <v>0</v>
      </c>
    </row>
    <row r="228" spans="1:28" x14ac:dyDescent="0.3">
      <c r="A228" s="64"/>
      <c r="B228" s="8"/>
      <c r="C228" s="7" t="s">
        <v>1181</v>
      </c>
      <c r="D228" s="16" t="s">
        <v>1126</v>
      </c>
      <c r="E228" s="11">
        <f>1170359.57+1300000</f>
        <v>2470359.5700000003</v>
      </c>
      <c r="F228" s="8">
        <f>1170359.57+1300000</f>
        <v>2470359.5700000003</v>
      </c>
      <c r="G228" s="8"/>
      <c r="H228" s="8">
        <f>+F228+G228</f>
        <v>2470359.5700000003</v>
      </c>
      <c r="I228" s="9"/>
      <c r="J228" s="8"/>
      <c r="K228" s="9"/>
      <c r="L228" s="8"/>
      <c r="M228" s="8">
        <f>+H228+L228</f>
        <v>2470359.5700000003</v>
      </c>
      <c r="N228" s="9"/>
      <c r="O228" s="8"/>
      <c r="P228" s="9">
        <f>+N228+O228</f>
        <v>0</v>
      </c>
      <c r="Q228" s="9"/>
      <c r="R228" s="9"/>
      <c r="S228" s="17"/>
      <c r="T228" s="17"/>
      <c r="U228" s="18">
        <f>+P228+T228</f>
        <v>0</v>
      </c>
      <c r="V228" s="17"/>
      <c r="W228" s="17"/>
      <c r="X228" s="9">
        <f t="shared" si="118"/>
        <v>2470359.5700000003</v>
      </c>
      <c r="Y228" s="8"/>
      <c r="Z228" s="9">
        <f t="shared" si="119"/>
        <v>0</v>
      </c>
      <c r="AA228" s="8">
        <f t="shared" si="120"/>
        <v>2470359.5700000003</v>
      </c>
      <c r="AB228" s="8">
        <f t="shared" si="121"/>
        <v>0</v>
      </c>
    </row>
    <row r="229" spans="1:28" x14ac:dyDescent="0.3">
      <c r="A229" s="64"/>
      <c r="B229" s="8"/>
      <c r="C229" s="7" t="s">
        <v>1218</v>
      </c>
      <c r="D229" s="16" t="s">
        <v>1126</v>
      </c>
      <c r="E229" s="11">
        <v>827408.83</v>
      </c>
      <c r="F229" s="8">
        <v>827408.83</v>
      </c>
      <c r="G229" s="8"/>
      <c r="H229" s="8">
        <f>+F229+G229</f>
        <v>827408.83</v>
      </c>
      <c r="I229" s="9"/>
      <c r="J229" s="8"/>
      <c r="K229" s="9"/>
      <c r="L229" s="8"/>
      <c r="M229" s="8">
        <f>+H229+L229</f>
        <v>827408.83</v>
      </c>
      <c r="N229" s="9"/>
      <c r="O229" s="8"/>
      <c r="P229" s="9">
        <f>+N229+O229</f>
        <v>0</v>
      </c>
      <c r="Q229" s="9"/>
      <c r="R229" s="9"/>
      <c r="S229" s="17"/>
      <c r="T229" s="17"/>
      <c r="U229" s="18">
        <f>+P229+T229</f>
        <v>0</v>
      </c>
      <c r="V229" s="17"/>
      <c r="W229" s="17"/>
      <c r="X229" s="9">
        <f>+H229+P229</f>
        <v>827408.83</v>
      </c>
      <c r="Y229" s="8"/>
      <c r="Z229" s="9">
        <f>+E229-X229</f>
        <v>0</v>
      </c>
      <c r="AA229" s="8">
        <f>+M229+U229</f>
        <v>827408.83</v>
      </c>
      <c r="AB229" s="8">
        <f>+E229-AA229</f>
        <v>0</v>
      </c>
    </row>
    <row r="230" spans="1:28" x14ac:dyDescent="0.3">
      <c r="A230" s="64"/>
      <c r="B230" s="8"/>
      <c r="C230" s="7" t="s">
        <v>529</v>
      </c>
      <c r="D230" s="8"/>
      <c r="E230" s="9">
        <v>25652.9</v>
      </c>
      <c r="F230" s="32"/>
      <c r="G230" s="8"/>
      <c r="H230" s="8">
        <f t="shared" si="122"/>
        <v>0</v>
      </c>
      <c r="I230" s="9">
        <f t="shared" si="113"/>
        <v>0</v>
      </c>
      <c r="J230" s="8"/>
      <c r="K230" s="9">
        <f t="shared" si="114"/>
        <v>0</v>
      </c>
      <c r="L230" s="9"/>
      <c r="M230" s="8">
        <f t="shared" si="123"/>
        <v>0</v>
      </c>
      <c r="N230" s="9">
        <v>25652.9</v>
      </c>
      <c r="O230" s="8"/>
      <c r="P230" s="9">
        <f t="shared" si="115"/>
        <v>25652.9</v>
      </c>
      <c r="Q230" s="9">
        <f t="shared" si="116"/>
        <v>25652.9</v>
      </c>
      <c r="R230" s="9">
        <f t="shared" si="117"/>
        <v>0</v>
      </c>
      <c r="S230" s="17"/>
      <c r="T230" s="17"/>
      <c r="U230" s="18">
        <f t="shared" si="124"/>
        <v>25652.9</v>
      </c>
      <c r="V230" s="17"/>
      <c r="W230" s="17"/>
      <c r="X230" s="9">
        <f t="shared" si="118"/>
        <v>25652.9</v>
      </c>
      <c r="Y230" s="8"/>
      <c r="Z230" s="9">
        <f t="shared" si="119"/>
        <v>0</v>
      </c>
      <c r="AA230" s="8">
        <f t="shared" si="120"/>
        <v>25652.9</v>
      </c>
      <c r="AB230" s="8">
        <f t="shared" si="121"/>
        <v>0</v>
      </c>
    </row>
    <row r="231" spans="1:28" x14ac:dyDescent="0.3">
      <c r="A231" s="64"/>
      <c r="B231" s="8"/>
      <c r="C231" s="7" t="s">
        <v>530</v>
      </c>
      <c r="D231" s="8"/>
      <c r="E231" s="9">
        <v>4000000</v>
      </c>
      <c r="F231" s="31">
        <v>4000000</v>
      </c>
      <c r="G231" s="8"/>
      <c r="H231" s="8">
        <f t="shared" si="122"/>
        <v>4000000</v>
      </c>
      <c r="I231" s="9">
        <f t="shared" si="113"/>
        <v>8000000</v>
      </c>
      <c r="J231" s="8"/>
      <c r="K231" s="9">
        <f t="shared" si="114"/>
        <v>8000000</v>
      </c>
      <c r="L231" s="8"/>
      <c r="M231" s="8">
        <f t="shared" si="123"/>
        <v>4000000</v>
      </c>
      <c r="N231" s="9"/>
      <c r="O231" s="8"/>
      <c r="P231" s="9">
        <f t="shared" si="115"/>
        <v>0</v>
      </c>
      <c r="Q231" s="9">
        <f t="shared" si="116"/>
        <v>8000000</v>
      </c>
      <c r="R231" s="9">
        <f t="shared" si="117"/>
        <v>-4000000</v>
      </c>
      <c r="S231" s="17"/>
      <c r="T231" s="17"/>
      <c r="U231" s="18">
        <f t="shared" si="124"/>
        <v>0</v>
      </c>
      <c r="V231" s="17"/>
      <c r="W231" s="17"/>
      <c r="X231" s="9">
        <f t="shared" si="118"/>
        <v>4000000</v>
      </c>
      <c r="Y231" s="8"/>
      <c r="Z231" s="9">
        <f t="shared" si="119"/>
        <v>0</v>
      </c>
      <c r="AA231" s="8">
        <f t="shared" si="120"/>
        <v>4000000</v>
      </c>
      <c r="AB231" s="8">
        <f t="shared" si="121"/>
        <v>0</v>
      </c>
    </row>
    <row r="232" spans="1:28" x14ac:dyDescent="0.3">
      <c r="A232" s="64"/>
      <c r="B232" s="8"/>
      <c r="C232" s="7" t="s">
        <v>531</v>
      </c>
      <c r="D232" s="8"/>
      <c r="E232" s="9">
        <v>84611.1</v>
      </c>
      <c r="F232" s="31">
        <v>84611.1</v>
      </c>
      <c r="G232" s="8"/>
      <c r="H232" s="8">
        <f t="shared" si="122"/>
        <v>84611.1</v>
      </c>
      <c r="I232" s="9">
        <f t="shared" si="113"/>
        <v>169222.2</v>
      </c>
      <c r="J232" s="8"/>
      <c r="K232" s="9">
        <f t="shared" si="114"/>
        <v>169222.2</v>
      </c>
      <c r="L232" s="8"/>
      <c r="M232" s="8">
        <f t="shared" si="123"/>
        <v>84611.1</v>
      </c>
      <c r="N232" s="9"/>
      <c r="O232" s="8"/>
      <c r="P232" s="9">
        <f t="shared" si="115"/>
        <v>0</v>
      </c>
      <c r="Q232" s="9">
        <f t="shared" si="116"/>
        <v>169222.2</v>
      </c>
      <c r="R232" s="9">
        <f t="shared" si="117"/>
        <v>-84611.1</v>
      </c>
      <c r="S232" s="17"/>
      <c r="T232" s="17"/>
      <c r="U232" s="18">
        <f t="shared" si="124"/>
        <v>0</v>
      </c>
      <c r="V232" s="17"/>
      <c r="W232" s="17"/>
      <c r="X232" s="9">
        <f t="shared" si="118"/>
        <v>84611.1</v>
      </c>
      <c r="Y232" s="8"/>
      <c r="Z232" s="9">
        <f t="shared" si="119"/>
        <v>0</v>
      </c>
      <c r="AA232" s="8">
        <f t="shared" si="120"/>
        <v>84611.1</v>
      </c>
      <c r="AB232" s="8">
        <f t="shared" si="121"/>
        <v>0</v>
      </c>
    </row>
    <row r="233" spans="1:28" x14ac:dyDescent="0.3">
      <c r="A233" s="64"/>
      <c r="B233" s="8"/>
      <c r="C233" s="7" t="s">
        <v>532</v>
      </c>
      <c r="D233" s="8"/>
      <c r="E233" s="9">
        <f>2500000+2500000</f>
        <v>5000000</v>
      </c>
      <c r="F233" s="31">
        <v>5000000</v>
      </c>
      <c r="G233" s="8"/>
      <c r="H233" s="8">
        <f t="shared" si="122"/>
        <v>5000000</v>
      </c>
      <c r="I233" s="9">
        <f t="shared" si="113"/>
        <v>10000000</v>
      </c>
      <c r="J233" s="8"/>
      <c r="K233" s="9">
        <f t="shared" si="114"/>
        <v>10000000</v>
      </c>
      <c r="L233" s="8"/>
      <c r="M233" s="8">
        <f t="shared" si="123"/>
        <v>5000000</v>
      </c>
      <c r="N233" s="9"/>
      <c r="O233" s="8"/>
      <c r="P233" s="9">
        <f t="shared" si="115"/>
        <v>0</v>
      </c>
      <c r="Q233" s="9">
        <f t="shared" si="116"/>
        <v>10000000</v>
      </c>
      <c r="R233" s="9">
        <f t="shared" si="117"/>
        <v>-5000000</v>
      </c>
      <c r="S233" s="17"/>
      <c r="T233" s="17"/>
      <c r="U233" s="18">
        <f t="shared" si="124"/>
        <v>0</v>
      </c>
      <c r="V233" s="17"/>
      <c r="W233" s="17"/>
      <c r="X233" s="9">
        <f t="shared" si="118"/>
        <v>5000000</v>
      </c>
      <c r="Y233" s="8"/>
      <c r="Z233" s="9">
        <f t="shared" si="119"/>
        <v>0</v>
      </c>
      <c r="AA233" s="8">
        <f t="shared" si="120"/>
        <v>5000000</v>
      </c>
      <c r="AB233" s="8">
        <f t="shared" si="121"/>
        <v>0</v>
      </c>
    </row>
    <row r="234" spans="1:28" x14ac:dyDescent="0.3">
      <c r="A234" s="64"/>
      <c r="B234" s="8"/>
      <c r="C234" s="8"/>
      <c r="D234" s="8"/>
      <c r="E234" s="17" t="s">
        <v>29</v>
      </c>
      <c r="F234" s="17" t="s">
        <v>29</v>
      </c>
      <c r="G234" s="17" t="s">
        <v>29</v>
      </c>
      <c r="H234" s="17" t="s">
        <v>29</v>
      </c>
      <c r="I234" s="17" t="s">
        <v>29</v>
      </c>
      <c r="J234" s="17" t="s">
        <v>29</v>
      </c>
      <c r="K234" s="17" t="s">
        <v>29</v>
      </c>
      <c r="L234" s="17" t="s">
        <v>29</v>
      </c>
      <c r="M234" s="17" t="s">
        <v>29</v>
      </c>
      <c r="N234" s="17" t="s">
        <v>29</v>
      </c>
      <c r="O234" s="17" t="s">
        <v>29</v>
      </c>
      <c r="P234" s="17" t="s">
        <v>29</v>
      </c>
      <c r="Q234" s="17" t="s">
        <v>29</v>
      </c>
      <c r="R234" s="17" t="s">
        <v>29</v>
      </c>
      <c r="S234" s="17" t="s">
        <v>29</v>
      </c>
      <c r="T234" s="17" t="s">
        <v>29</v>
      </c>
      <c r="U234" s="17" t="s">
        <v>29</v>
      </c>
      <c r="V234" s="17" t="s">
        <v>29</v>
      </c>
      <c r="W234" s="17" t="s">
        <v>29</v>
      </c>
      <c r="X234" s="17" t="s">
        <v>29</v>
      </c>
      <c r="Y234" s="17" t="s">
        <v>29</v>
      </c>
      <c r="Z234" s="17" t="s">
        <v>29</v>
      </c>
      <c r="AA234" s="17" t="s">
        <v>29</v>
      </c>
      <c r="AB234" s="17" t="s">
        <v>29</v>
      </c>
    </row>
    <row r="235" spans="1:28" x14ac:dyDescent="0.3">
      <c r="A235" s="64"/>
      <c r="B235" s="8"/>
      <c r="C235" s="8"/>
      <c r="D235" s="8"/>
      <c r="E235" s="9">
        <f>SUM(E211:E233)</f>
        <v>60628366.639999993</v>
      </c>
      <c r="F235" s="9">
        <f>SUM(F211:F233)</f>
        <v>50936428.450000003</v>
      </c>
      <c r="G235" s="9">
        <f>SUM(G211:G233)</f>
        <v>0</v>
      </c>
      <c r="H235" s="9">
        <f t="shared" ref="H235:AB235" si="125">SUM(H211:H233)</f>
        <v>50936428.450000003</v>
      </c>
      <c r="I235" s="9">
        <f t="shared" si="125"/>
        <v>84396697.060000002</v>
      </c>
      <c r="J235" s="9">
        <f t="shared" si="125"/>
        <v>2729474</v>
      </c>
      <c r="K235" s="9">
        <f t="shared" si="125"/>
        <v>87126171.060000002</v>
      </c>
      <c r="L235" s="9">
        <f t="shared" si="125"/>
        <v>2729474</v>
      </c>
      <c r="M235" s="9">
        <f t="shared" si="125"/>
        <v>53665902.450000003</v>
      </c>
      <c r="N235" s="9">
        <f t="shared" si="125"/>
        <v>6962464.1899999995</v>
      </c>
      <c r="O235" s="9">
        <f t="shared" si="125"/>
        <v>0</v>
      </c>
      <c r="P235" s="9">
        <f t="shared" si="125"/>
        <v>6962464.1899999995</v>
      </c>
      <c r="Q235" s="9">
        <f t="shared" si="125"/>
        <v>94088635.25</v>
      </c>
      <c r="R235" s="9">
        <f t="shared" si="125"/>
        <v>-42198348.530000009</v>
      </c>
      <c r="S235" s="9">
        <f t="shared" si="125"/>
        <v>0</v>
      </c>
      <c r="T235" s="9">
        <f t="shared" si="125"/>
        <v>0</v>
      </c>
      <c r="U235" s="9">
        <f t="shared" si="125"/>
        <v>6962464.1899999995</v>
      </c>
      <c r="V235" s="9">
        <f t="shared" si="125"/>
        <v>0</v>
      </c>
      <c r="W235" s="9">
        <f t="shared" si="125"/>
        <v>0</v>
      </c>
      <c r="X235" s="9">
        <f t="shared" si="125"/>
        <v>57898892.639999993</v>
      </c>
      <c r="Y235" s="9">
        <f t="shared" si="125"/>
        <v>0</v>
      </c>
      <c r="Z235" s="9">
        <f t="shared" si="125"/>
        <v>2729474</v>
      </c>
      <c r="AA235" s="9">
        <f t="shared" si="125"/>
        <v>60628366.639999993</v>
      </c>
      <c r="AB235" s="9">
        <f t="shared" si="125"/>
        <v>0</v>
      </c>
    </row>
    <row r="236" spans="1:28" x14ac:dyDescent="0.3">
      <c r="A236" s="64"/>
      <c r="B236" s="8"/>
      <c r="C236" s="8"/>
      <c r="D236" s="8"/>
      <c r="E236" s="17" t="s">
        <v>29</v>
      </c>
      <c r="F236" s="17" t="s">
        <v>29</v>
      </c>
      <c r="G236" s="17" t="s">
        <v>29</v>
      </c>
      <c r="H236" s="17" t="s">
        <v>29</v>
      </c>
      <c r="I236" s="17" t="s">
        <v>29</v>
      </c>
      <c r="J236" s="17" t="s">
        <v>29</v>
      </c>
      <c r="K236" s="17" t="s">
        <v>29</v>
      </c>
      <c r="L236" s="17" t="s">
        <v>29</v>
      </c>
      <c r="M236" s="17" t="s">
        <v>29</v>
      </c>
      <c r="N236" s="17" t="s">
        <v>29</v>
      </c>
      <c r="O236" s="17" t="s">
        <v>29</v>
      </c>
      <c r="P236" s="17" t="s">
        <v>29</v>
      </c>
      <c r="Q236" s="17" t="s">
        <v>29</v>
      </c>
      <c r="R236" s="17" t="s">
        <v>29</v>
      </c>
      <c r="S236" s="17" t="s">
        <v>29</v>
      </c>
      <c r="T236" s="17" t="s">
        <v>29</v>
      </c>
      <c r="U236" s="17" t="s">
        <v>29</v>
      </c>
      <c r="V236" s="17" t="s">
        <v>29</v>
      </c>
      <c r="W236" s="17" t="s">
        <v>29</v>
      </c>
      <c r="X236" s="17" t="s">
        <v>29</v>
      </c>
      <c r="Y236" s="17" t="s">
        <v>29</v>
      </c>
      <c r="Z236" s="17" t="s">
        <v>29</v>
      </c>
      <c r="AA236" s="17" t="s">
        <v>29</v>
      </c>
      <c r="AB236" s="17" t="s">
        <v>29</v>
      </c>
    </row>
    <row r="237" spans="1:28" x14ac:dyDescent="0.3">
      <c r="A237" s="64"/>
      <c r="B237" s="8"/>
      <c r="C237" s="7" t="s">
        <v>133</v>
      </c>
      <c r="D237" s="8"/>
      <c r="E237" s="9">
        <f>E149+E166+E184+E208+E235</f>
        <v>255613403.35999998</v>
      </c>
      <c r="F237" s="9">
        <f t="shared" ref="F237:AB237" si="126">F149+F166+F184+F208+F235</f>
        <v>197713063.22000003</v>
      </c>
      <c r="G237" s="9">
        <f t="shared" si="126"/>
        <v>0</v>
      </c>
      <c r="H237" s="9">
        <f t="shared" si="126"/>
        <v>197713063.22000003</v>
      </c>
      <c r="I237" s="9">
        <f t="shared" si="126"/>
        <v>127959683</v>
      </c>
      <c r="J237" s="9">
        <f t="shared" si="126"/>
        <v>2729474</v>
      </c>
      <c r="K237" s="9">
        <f t="shared" si="126"/>
        <v>130689157</v>
      </c>
      <c r="L237" s="9">
        <f t="shared" si="126"/>
        <v>2729474</v>
      </c>
      <c r="M237" s="9">
        <f t="shared" si="126"/>
        <v>200442537.22000003</v>
      </c>
      <c r="N237" s="9">
        <f t="shared" si="126"/>
        <v>53078531.840000004</v>
      </c>
      <c r="O237" s="9">
        <f t="shared" si="126"/>
        <v>0</v>
      </c>
      <c r="P237" s="9">
        <f t="shared" si="126"/>
        <v>53078531.840000004</v>
      </c>
      <c r="Q237" s="9">
        <f t="shared" si="126"/>
        <v>140334356.09</v>
      </c>
      <c r="R237" s="9">
        <f t="shared" si="126"/>
        <v>-63833191.310000002</v>
      </c>
      <c r="S237" s="9">
        <f t="shared" si="126"/>
        <v>0</v>
      </c>
      <c r="T237" s="9">
        <f t="shared" si="126"/>
        <v>11573.67</v>
      </c>
      <c r="U237" s="9">
        <f t="shared" si="126"/>
        <v>53090105.510000005</v>
      </c>
      <c r="V237" s="9">
        <f t="shared" si="126"/>
        <v>211172063.23999998</v>
      </c>
      <c r="W237" s="9">
        <f t="shared" si="126"/>
        <v>29216149.730000008</v>
      </c>
      <c r="X237" s="9">
        <f t="shared" si="126"/>
        <v>250791595.05999997</v>
      </c>
      <c r="Y237" s="9">
        <f t="shared" si="126"/>
        <v>0</v>
      </c>
      <c r="Z237" s="9">
        <f t="shared" si="126"/>
        <v>4821808.2999999989</v>
      </c>
      <c r="AA237" s="9">
        <f t="shared" si="126"/>
        <v>253532642.72999999</v>
      </c>
      <c r="AB237" s="9">
        <f t="shared" si="126"/>
        <v>2080760.6299999985</v>
      </c>
    </row>
    <row r="238" spans="1:28" x14ac:dyDescent="0.3">
      <c r="A238" s="64"/>
      <c r="B238" s="8"/>
      <c r="C238" s="8"/>
      <c r="D238" s="8"/>
      <c r="E238" s="17" t="s">
        <v>114</v>
      </c>
      <c r="F238" s="17" t="s">
        <v>114</v>
      </c>
      <c r="G238" s="17" t="s">
        <v>114</v>
      </c>
      <c r="H238" s="17" t="s">
        <v>114</v>
      </c>
      <c r="I238" s="17" t="s">
        <v>114</v>
      </c>
      <c r="J238" s="17" t="s">
        <v>114</v>
      </c>
      <c r="K238" s="17" t="s">
        <v>114</v>
      </c>
      <c r="L238" s="17" t="s">
        <v>114</v>
      </c>
      <c r="M238" s="17" t="s">
        <v>114</v>
      </c>
      <c r="N238" s="17" t="s">
        <v>114</v>
      </c>
      <c r="O238" s="17" t="s">
        <v>114</v>
      </c>
      <c r="P238" s="17" t="s">
        <v>114</v>
      </c>
      <c r="Q238" s="17" t="s">
        <v>114</v>
      </c>
      <c r="R238" s="17" t="s">
        <v>114</v>
      </c>
      <c r="S238" s="17" t="s">
        <v>114</v>
      </c>
      <c r="T238" s="17" t="s">
        <v>114</v>
      </c>
      <c r="U238" s="17" t="s">
        <v>114</v>
      </c>
      <c r="V238" s="17" t="s">
        <v>114</v>
      </c>
      <c r="W238" s="17" t="s">
        <v>114</v>
      </c>
      <c r="X238" s="17" t="s">
        <v>114</v>
      </c>
      <c r="Y238" s="17" t="s">
        <v>114</v>
      </c>
      <c r="Z238" s="17" t="s">
        <v>114</v>
      </c>
      <c r="AA238" s="17" t="s">
        <v>114</v>
      </c>
      <c r="AB238" s="17" t="s">
        <v>114</v>
      </c>
    </row>
    <row r="239" spans="1:28" x14ac:dyDescent="0.3">
      <c r="A239" s="64"/>
      <c r="B239" s="8"/>
      <c r="C239" s="8"/>
      <c r="D239" s="8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8"/>
      <c r="Y239" s="17"/>
      <c r="Z239" s="17"/>
      <c r="AA239" s="58"/>
    </row>
    <row r="240" spans="1:28" x14ac:dyDescent="0.3">
      <c r="A240" s="64"/>
      <c r="B240" s="7" t="s">
        <v>533</v>
      </c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17"/>
      <c r="S240" s="17"/>
      <c r="T240" s="17"/>
      <c r="U240" s="17"/>
      <c r="V240" s="17"/>
      <c r="W240" s="17"/>
      <c r="X240" s="18"/>
      <c r="Y240" s="17"/>
      <c r="Z240" s="17"/>
    </row>
    <row r="241" spans="1:28" x14ac:dyDescent="0.3">
      <c r="A241" s="64"/>
      <c r="B241" s="7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17"/>
      <c r="S241" s="17"/>
      <c r="T241" s="17"/>
      <c r="U241" s="17"/>
      <c r="V241" s="17"/>
      <c r="W241" s="17"/>
      <c r="X241" s="17"/>
      <c r="Y241" s="17"/>
      <c r="Z241" s="17"/>
    </row>
    <row r="242" spans="1:28" x14ac:dyDescent="0.3">
      <c r="A242" s="63" t="s">
        <v>945</v>
      </c>
      <c r="B242" s="7" t="s">
        <v>534</v>
      </c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17"/>
      <c r="S242" s="17"/>
      <c r="T242" s="17"/>
      <c r="U242" s="17"/>
      <c r="V242" s="17"/>
      <c r="W242" s="17"/>
      <c r="X242" s="17"/>
      <c r="Y242" s="17"/>
      <c r="Z242" s="17"/>
    </row>
    <row r="243" spans="1:28" x14ac:dyDescent="0.3">
      <c r="A243" s="64"/>
      <c r="B243" s="8"/>
      <c r="C243" s="7" t="s">
        <v>535</v>
      </c>
      <c r="D243" s="15" t="s">
        <v>76</v>
      </c>
      <c r="E243" s="9">
        <v>2174761.2999999998</v>
      </c>
      <c r="F243" s="9">
        <f>162376+146300+1282320+86824.1</f>
        <v>1677820.1</v>
      </c>
      <c r="G243" s="8"/>
      <c r="H243" s="9">
        <f t="shared" ref="H243:H260" si="127">F243+G243</f>
        <v>1677820.1</v>
      </c>
      <c r="I243" s="8"/>
      <c r="J243" s="9">
        <f t="shared" ref="J243:J260" si="128">H243+I243</f>
        <v>1677820.1</v>
      </c>
      <c r="K243" s="9">
        <f>496941.2+387595.98-387595.98</f>
        <v>496941.19999999995</v>
      </c>
      <c r="L243" s="8"/>
      <c r="M243" s="9">
        <f>+H243+L243</f>
        <v>1677820.1</v>
      </c>
      <c r="N243" s="8">
        <v>496941.2</v>
      </c>
      <c r="O243" s="9"/>
      <c r="P243" s="9">
        <f>+N243+O243</f>
        <v>496941.2</v>
      </c>
      <c r="Q243" s="9">
        <f t="shared" ref="Q243:Q260" si="129">E243-P243</f>
        <v>1677820.0999999999</v>
      </c>
      <c r="R243" s="17"/>
      <c r="S243" s="17"/>
      <c r="T243" s="17"/>
      <c r="U243" s="18">
        <f>+P243+T243</f>
        <v>496941.2</v>
      </c>
      <c r="V243" s="18"/>
      <c r="W243" s="18"/>
      <c r="X243" s="9">
        <f t="shared" ref="X243:X260" si="130">+H243+P243</f>
        <v>2174761.3000000003</v>
      </c>
      <c r="Y243" s="8"/>
      <c r="Z243" s="9">
        <f t="shared" ref="Z243:Z260" si="131">+E243-X243</f>
        <v>0</v>
      </c>
      <c r="AA243" s="8">
        <f t="shared" ref="AA243:AA260" si="132">+M243+U243</f>
        <v>2174761.3000000003</v>
      </c>
      <c r="AB243" s="8">
        <f t="shared" ref="AB243:AB260" si="133">+E243-AA243</f>
        <v>0</v>
      </c>
    </row>
    <row r="244" spans="1:28" x14ac:dyDescent="0.3">
      <c r="A244" s="64"/>
      <c r="B244" s="8"/>
      <c r="C244" s="7" t="s">
        <v>535</v>
      </c>
      <c r="D244" s="15" t="s">
        <v>150</v>
      </c>
      <c r="E244" s="9">
        <f>4068722-181095.36</f>
        <v>3887626.64</v>
      </c>
      <c r="F244" s="9">
        <v>3887626.64</v>
      </c>
      <c r="G244" s="8"/>
      <c r="H244" s="9">
        <f t="shared" si="127"/>
        <v>3887626.64</v>
      </c>
      <c r="I244" s="8"/>
      <c r="J244" s="9">
        <f t="shared" si="128"/>
        <v>3887626.64</v>
      </c>
      <c r="K244" s="8"/>
      <c r="L244" s="8"/>
      <c r="M244" s="9">
        <f t="shared" ref="M244:M260" si="134">+H244+L244</f>
        <v>3887626.64</v>
      </c>
      <c r="N244" s="8"/>
      <c r="O244" s="9"/>
      <c r="P244" s="9">
        <f t="shared" ref="P244:P260" si="135">+N244+O244</f>
        <v>0</v>
      </c>
      <c r="Q244" s="9">
        <f t="shared" si="129"/>
        <v>3887626.64</v>
      </c>
      <c r="R244" s="17"/>
      <c r="S244" s="17"/>
      <c r="T244" s="17"/>
      <c r="U244" s="18">
        <f t="shared" ref="U244:U260" si="136">+P244+T244</f>
        <v>0</v>
      </c>
      <c r="V244" s="18"/>
      <c r="W244" s="18"/>
      <c r="X244" s="9">
        <f t="shared" si="130"/>
        <v>3887626.64</v>
      </c>
      <c r="Y244" s="8"/>
      <c r="Z244" s="9">
        <f t="shared" si="131"/>
        <v>0</v>
      </c>
      <c r="AA244" s="8">
        <f t="shared" si="132"/>
        <v>3887626.64</v>
      </c>
      <c r="AB244" s="8">
        <f t="shared" si="133"/>
        <v>0</v>
      </c>
    </row>
    <row r="245" spans="1:28" x14ac:dyDescent="0.3">
      <c r="A245" s="64"/>
      <c r="B245" s="8"/>
      <c r="C245" s="7" t="s">
        <v>536</v>
      </c>
      <c r="D245" s="15" t="s">
        <v>150</v>
      </c>
      <c r="E245" s="9">
        <v>937000</v>
      </c>
      <c r="F245" s="9">
        <v>937000</v>
      </c>
      <c r="G245" s="8"/>
      <c r="H245" s="9">
        <f t="shared" si="127"/>
        <v>937000</v>
      </c>
      <c r="I245" s="8"/>
      <c r="J245" s="9">
        <f t="shared" si="128"/>
        <v>937000</v>
      </c>
      <c r="K245" s="9">
        <v>0</v>
      </c>
      <c r="L245" s="8"/>
      <c r="M245" s="9">
        <f t="shared" si="134"/>
        <v>937000</v>
      </c>
      <c r="N245" s="8">
        <v>0</v>
      </c>
      <c r="O245" s="9"/>
      <c r="P245" s="9">
        <f t="shared" si="135"/>
        <v>0</v>
      </c>
      <c r="Q245" s="9">
        <f t="shared" si="129"/>
        <v>937000</v>
      </c>
      <c r="R245" s="17"/>
      <c r="S245" s="17"/>
      <c r="T245" s="17"/>
      <c r="U245" s="18">
        <f t="shared" si="136"/>
        <v>0</v>
      </c>
      <c r="V245" s="18"/>
      <c r="W245" s="18"/>
      <c r="X245" s="9">
        <f t="shared" si="130"/>
        <v>937000</v>
      </c>
      <c r="Y245" s="8"/>
      <c r="Z245" s="9">
        <f t="shared" si="131"/>
        <v>0</v>
      </c>
      <c r="AA245" s="8">
        <f t="shared" si="132"/>
        <v>937000</v>
      </c>
      <c r="AB245" s="8">
        <f t="shared" si="133"/>
        <v>0</v>
      </c>
    </row>
    <row r="246" spans="1:28" x14ac:dyDescent="0.3">
      <c r="A246" s="64"/>
      <c r="B246" s="8"/>
      <c r="C246" s="7" t="s">
        <v>537</v>
      </c>
      <c r="D246" s="15" t="s">
        <v>166</v>
      </c>
      <c r="E246" s="9">
        <f>880533.2-79.84</f>
        <v>880453.36</v>
      </c>
      <c r="F246" s="9">
        <v>805000</v>
      </c>
      <c r="G246" s="8"/>
      <c r="H246" s="9">
        <f t="shared" si="127"/>
        <v>805000</v>
      </c>
      <c r="I246" s="8"/>
      <c r="J246" s="9">
        <f t="shared" si="128"/>
        <v>805000</v>
      </c>
      <c r="K246" s="9">
        <v>75453.36</v>
      </c>
      <c r="L246" s="8"/>
      <c r="M246" s="9">
        <f t="shared" si="134"/>
        <v>805000</v>
      </c>
      <c r="N246" s="8">
        <v>75453.36</v>
      </c>
      <c r="O246" s="9"/>
      <c r="P246" s="9">
        <f t="shared" si="135"/>
        <v>75453.36</v>
      </c>
      <c r="Q246" s="9">
        <f t="shared" si="129"/>
        <v>805000</v>
      </c>
      <c r="R246" s="17"/>
      <c r="S246" s="17"/>
      <c r="T246" s="17"/>
      <c r="U246" s="18">
        <f t="shared" si="136"/>
        <v>75453.36</v>
      </c>
      <c r="V246" s="18"/>
      <c r="W246" s="18"/>
      <c r="X246" s="9">
        <f t="shared" si="130"/>
        <v>880453.36</v>
      </c>
      <c r="Y246" s="8"/>
      <c r="Z246" s="9">
        <f t="shared" si="131"/>
        <v>0</v>
      </c>
      <c r="AA246" s="8">
        <f t="shared" si="132"/>
        <v>880453.36</v>
      </c>
      <c r="AB246" s="8">
        <f t="shared" si="133"/>
        <v>0</v>
      </c>
    </row>
    <row r="247" spans="1:28" x14ac:dyDescent="0.3">
      <c r="A247" s="64"/>
      <c r="B247" s="8"/>
      <c r="C247" s="7" t="s">
        <v>538</v>
      </c>
      <c r="D247" s="15" t="s">
        <v>78</v>
      </c>
      <c r="E247" s="9">
        <v>1889900</v>
      </c>
      <c r="F247" s="9">
        <v>645570</v>
      </c>
      <c r="G247" s="8"/>
      <c r="H247" s="9">
        <f t="shared" si="127"/>
        <v>645570</v>
      </c>
      <c r="I247" s="8"/>
      <c r="J247" s="9">
        <f t="shared" si="128"/>
        <v>645570</v>
      </c>
      <c r="K247" s="9">
        <f>1631925.98-387595.98</f>
        <v>1244330</v>
      </c>
      <c r="L247" s="8"/>
      <c r="M247" s="9">
        <f t="shared" si="134"/>
        <v>645570</v>
      </c>
      <c r="N247" s="8">
        <v>1244330</v>
      </c>
      <c r="O247" s="9"/>
      <c r="P247" s="9">
        <f t="shared" si="135"/>
        <v>1244330</v>
      </c>
      <c r="Q247" s="9">
        <f t="shared" si="129"/>
        <v>645570</v>
      </c>
      <c r="R247" s="17"/>
      <c r="S247" s="17"/>
      <c r="T247" s="17"/>
      <c r="U247" s="18">
        <f t="shared" si="136"/>
        <v>1244330</v>
      </c>
      <c r="V247" s="18"/>
      <c r="W247" s="18"/>
      <c r="X247" s="9">
        <f t="shared" si="130"/>
        <v>1889900</v>
      </c>
      <c r="Y247" s="8"/>
      <c r="Z247" s="9">
        <f t="shared" si="131"/>
        <v>0</v>
      </c>
      <c r="AA247" s="8">
        <f t="shared" si="132"/>
        <v>1889900</v>
      </c>
      <c r="AB247" s="8">
        <f t="shared" si="133"/>
        <v>0</v>
      </c>
    </row>
    <row r="248" spans="1:28" x14ac:dyDescent="0.3">
      <c r="A248" s="64"/>
      <c r="B248" s="8"/>
      <c r="C248" s="7" t="s">
        <v>539</v>
      </c>
      <c r="D248" s="15" t="s">
        <v>68</v>
      </c>
      <c r="E248" s="9">
        <v>718056.7</v>
      </c>
      <c r="F248" s="8"/>
      <c r="G248" s="8"/>
      <c r="H248" s="9">
        <f t="shared" si="127"/>
        <v>0</v>
      </c>
      <c r="I248" s="8"/>
      <c r="J248" s="9">
        <f t="shared" si="128"/>
        <v>0</v>
      </c>
      <c r="K248" s="9">
        <v>718056.7</v>
      </c>
      <c r="L248" s="8"/>
      <c r="M248" s="9">
        <f t="shared" si="134"/>
        <v>0</v>
      </c>
      <c r="N248" s="8">
        <v>718056.7</v>
      </c>
      <c r="O248" s="9"/>
      <c r="P248" s="9">
        <f t="shared" si="135"/>
        <v>718056.7</v>
      </c>
      <c r="Q248" s="9">
        <f t="shared" si="129"/>
        <v>0</v>
      </c>
      <c r="R248" s="17"/>
      <c r="S248" s="17"/>
      <c r="T248" s="17"/>
      <c r="U248" s="18">
        <f t="shared" si="136"/>
        <v>718056.7</v>
      </c>
      <c r="V248" s="18"/>
      <c r="W248" s="18"/>
      <c r="X248" s="9">
        <f t="shared" si="130"/>
        <v>718056.7</v>
      </c>
      <c r="Y248" s="8"/>
      <c r="Z248" s="9">
        <f t="shared" si="131"/>
        <v>0</v>
      </c>
      <c r="AA248" s="8">
        <f t="shared" si="132"/>
        <v>718056.7</v>
      </c>
      <c r="AB248" s="8">
        <f t="shared" si="133"/>
        <v>0</v>
      </c>
    </row>
    <row r="249" spans="1:28" x14ac:dyDescent="0.3">
      <c r="A249" s="64"/>
      <c r="B249" s="8"/>
      <c r="C249" s="7" t="s">
        <v>535</v>
      </c>
      <c r="D249" s="15" t="s">
        <v>54</v>
      </c>
      <c r="E249" s="9">
        <f>949000-47450</f>
        <v>901550</v>
      </c>
      <c r="F249" s="9">
        <v>901550</v>
      </c>
      <c r="G249" s="8"/>
      <c r="H249" s="9">
        <f t="shared" si="127"/>
        <v>901550</v>
      </c>
      <c r="I249" s="8"/>
      <c r="J249" s="9">
        <f t="shared" si="128"/>
        <v>901550</v>
      </c>
      <c r="K249" s="8"/>
      <c r="L249" s="8"/>
      <c r="M249" s="9">
        <f t="shared" si="134"/>
        <v>901550</v>
      </c>
      <c r="N249" s="8"/>
      <c r="O249" s="9"/>
      <c r="P249" s="9">
        <f t="shared" si="135"/>
        <v>0</v>
      </c>
      <c r="Q249" s="9">
        <f t="shared" si="129"/>
        <v>901550</v>
      </c>
      <c r="R249" s="17"/>
      <c r="S249" s="17"/>
      <c r="T249" s="17"/>
      <c r="U249" s="18">
        <f t="shared" si="136"/>
        <v>0</v>
      </c>
      <c r="V249" s="18"/>
      <c r="W249" s="18"/>
      <c r="X249" s="9">
        <f t="shared" si="130"/>
        <v>901550</v>
      </c>
      <c r="Y249" s="8"/>
      <c r="Z249" s="9">
        <f t="shared" si="131"/>
        <v>0</v>
      </c>
      <c r="AA249" s="8">
        <f t="shared" si="132"/>
        <v>901550</v>
      </c>
      <c r="AB249" s="8">
        <f t="shared" si="133"/>
        <v>0</v>
      </c>
    </row>
    <row r="250" spans="1:28" x14ac:dyDescent="0.3">
      <c r="A250" s="64"/>
      <c r="B250" s="8"/>
      <c r="C250" s="7" t="s">
        <v>540</v>
      </c>
      <c r="D250" s="15" t="s">
        <v>54</v>
      </c>
      <c r="E250" s="9">
        <v>570941</v>
      </c>
      <c r="F250" s="8"/>
      <c r="G250" s="8"/>
      <c r="H250" s="9">
        <f t="shared" si="127"/>
        <v>0</v>
      </c>
      <c r="I250" s="8"/>
      <c r="J250" s="9">
        <f t="shared" si="128"/>
        <v>0</v>
      </c>
      <c r="K250" s="9">
        <v>570941</v>
      </c>
      <c r="L250" s="8"/>
      <c r="M250" s="9">
        <f t="shared" si="134"/>
        <v>0</v>
      </c>
      <c r="N250" s="8">
        <v>570941</v>
      </c>
      <c r="O250" s="9"/>
      <c r="P250" s="9">
        <f t="shared" si="135"/>
        <v>570941</v>
      </c>
      <c r="Q250" s="9">
        <f t="shared" si="129"/>
        <v>0</v>
      </c>
      <c r="R250" s="17"/>
      <c r="S250" s="17"/>
      <c r="T250" s="17"/>
      <c r="U250" s="18">
        <f t="shared" si="136"/>
        <v>570941</v>
      </c>
      <c r="V250" s="18"/>
      <c r="W250" s="18"/>
      <c r="X250" s="9">
        <f t="shared" si="130"/>
        <v>570941</v>
      </c>
      <c r="Y250" s="8"/>
      <c r="Z250" s="9">
        <f t="shared" si="131"/>
        <v>0</v>
      </c>
      <c r="AA250" s="8">
        <f t="shared" si="132"/>
        <v>570941</v>
      </c>
      <c r="AB250" s="8">
        <f t="shared" si="133"/>
        <v>0</v>
      </c>
    </row>
    <row r="251" spans="1:28" x14ac:dyDescent="0.3">
      <c r="A251" s="64"/>
      <c r="B251" s="8"/>
      <c r="C251" s="7" t="s">
        <v>541</v>
      </c>
      <c r="D251" s="15" t="s">
        <v>85</v>
      </c>
      <c r="E251" s="9">
        <f>268720+1331280</f>
        <v>1600000</v>
      </c>
      <c r="F251" s="9">
        <f>268720+1331280</f>
        <v>1600000</v>
      </c>
      <c r="G251" s="8"/>
      <c r="H251" s="9">
        <f t="shared" si="127"/>
        <v>1600000</v>
      </c>
      <c r="I251" s="8"/>
      <c r="J251" s="9">
        <f t="shared" si="128"/>
        <v>1600000</v>
      </c>
      <c r="K251" s="8"/>
      <c r="L251" s="8"/>
      <c r="M251" s="9">
        <f t="shared" si="134"/>
        <v>1600000</v>
      </c>
      <c r="N251" s="8"/>
      <c r="O251" s="9"/>
      <c r="P251" s="9">
        <f t="shared" si="135"/>
        <v>0</v>
      </c>
      <c r="Q251" s="9">
        <f t="shared" si="129"/>
        <v>1600000</v>
      </c>
      <c r="R251" s="17"/>
      <c r="S251" s="17"/>
      <c r="T251" s="17"/>
      <c r="U251" s="18">
        <f t="shared" si="136"/>
        <v>0</v>
      </c>
      <c r="V251" s="18"/>
      <c r="W251" s="18"/>
      <c r="X251" s="9">
        <f t="shared" si="130"/>
        <v>1600000</v>
      </c>
      <c r="Y251" s="8"/>
      <c r="Z251" s="9">
        <f t="shared" si="131"/>
        <v>0</v>
      </c>
      <c r="AA251" s="8">
        <f t="shared" si="132"/>
        <v>1600000</v>
      </c>
      <c r="AB251" s="8">
        <f t="shared" si="133"/>
        <v>0</v>
      </c>
    </row>
    <row r="252" spans="1:28" x14ac:dyDescent="0.3">
      <c r="A252" s="64"/>
      <c r="B252" s="8"/>
      <c r="C252" s="7" t="s">
        <v>535</v>
      </c>
      <c r="D252" s="15" t="s">
        <v>85</v>
      </c>
      <c r="E252" s="9">
        <f>1699000-169900</f>
        <v>1529100</v>
      </c>
      <c r="F252" s="9">
        <v>1529100</v>
      </c>
      <c r="G252" s="8"/>
      <c r="H252" s="9">
        <f t="shared" si="127"/>
        <v>1529100</v>
      </c>
      <c r="I252" s="8"/>
      <c r="J252" s="9">
        <f t="shared" si="128"/>
        <v>1529100</v>
      </c>
      <c r="K252" s="8"/>
      <c r="L252" s="8"/>
      <c r="M252" s="9">
        <f t="shared" si="134"/>
        <v>1529100</v>
      </c>
      <c r="N252" s="8"/>
      <c r="O252" s="9"/>
      <c r="P252" s="9">
        <f t="shared" si="135"/>
        <v>0</v>
      </c>
      <c r="Q252" s="9">
        <f t="shared" si="129"/>
        <v>1529100</v>
      </c>
      <c r="R252" s="17"/>
      <c r="S252" s="17"/>
      <c r="T252" s="17"/>
      <c r="U252" s="18">
        <f t="shared" si="136"/>
        <v>0</v>
      </c>
      <c r="V252" s="18"/>
      <c r="W252" s="18"/>
      <c r="X252" s="9">
        <f t="shared" si="130"/>
        <v>1529100</v>
      </c>
      <c r="Y252" s="8"/>
      <c r="Z252" s="9">
        <f t="shared" si="131"/>
        <v>0</v>
      </c>
      <c r="AA252" s="8">
        <f t="shared" si="132"/>
        <v>1529100</v>
      </c>
      <c r="AB252" s="8">
        <f t="shared" si="133"/>
        <v>0</v>
      </c>
    </row>
    <row r="253" spans="1:28" x14ac:dyDescent="0.3">
      <c r="A253" s="64"/>
      <c r="B253" s="8"/>
      <c r="C253" s="7" t="s">
        <v>535</v>
      </c>
      <c r="D253" s="15" t="s">
        <v>88</v>
      </c>
      <c r="E253" s="9">
        <f>1000000+800000</f>
        <v>1800000</v>
      </c>
      <c r="F253" s="9">
        <f>800000+1000000</f>
        <v>1800000</v>
      </c>
      <c r="G253" s="8"/>
      <c r="H253" s="9">
        <f t="shared" si="127"/>
        <v>1800000</v>
      </c>
      <c r="I253" s="8"/>
      <c r="J253" s="9">
        <f t="shared" si="128"/>
        <v>1800000</v>
      </c>
      <c r="K253" s="8"/>
      <c r="L253" s="8"/>
      <c r="M253" s="9">
        <f t="shared" si="134"/>
        <v>1800000</v>
      </c>
      <c r="N253" s="8"/>
      <c r="O253" s="9"/>
      <c r="P253" s="9">
        <f t="shared" si="135"/>
        <v>0</v>
      </c>
      <c r="Q253" s="9">
        <f t="shared" si="129"/>
        <v>1800000</v>
      </c>
      <c r="R253" s="17"/>
      <c r="S253" s="17"/>
      <c r="T253" s="17"/>
      <c r="U253" s="18">
        <f t="shared" si="136"/>
        <v>0</v>
      </c>
      <c r="V253" s="18"/>
      <c r="W253" s="18"/>
      <c r="X253" s="9">
        <f t="shared" si="130"/>
        <v>1800000</v>
      </c>
      <c r="Y253" s="8"/>
      <c r="Z253" s="9">
        <f t="shared" si="131"/>
        <v>0</v>
      </c>
      <c r="AA253" s="8">
        <f t="shared" si="132"/>
        <v>1800000</v>
      </c>
      <c r="AB253" s="8">
        <f t="shared" si="133"/>
        <v>0</v>
      </c>
    </row>
    <row r="254" spans="1:28" x14ac:dyDescent="0.3">
      <c r="A254" s="64"/>
      <c r="B254" s="8"/>
      <c r="C254" s="7" t="s">
        <v>542</v>
      </c>
      <c r="D254" s="15" t="s">
        <v>88</v>
      </c>
      <c r="E254" s="9">
        <v>4000000</v>
      </c>
      <c r="F254" s="9">
        <v>4000000</v>
      </c>
      <c r="G254" s="8"/>
      <c r="H254" s="9">
        <f t="shared" si="127"/>
        <v>4000000</v>
      </c>
      <c r="I254" s="8"/>
      <c r="J254" s="9">
        <f t="shared" si="128"/>
        <v>4000000</v>
      </c>
      <c r="K254" s="8"/>
      <c r="L254" s="8"/>
      <c r="M254" s="9">
        <f t="shared" si="134"/>
        <v>4000000</v>
      </c>
      <c r="N254" s="8"/>
      <c r="O254" s="9"/>
      <c r="P254" s="9">
        <f t="shared" si="135"/>
        <v>0</v>
      </c>
      <c r="Q254" s="9">
        <f t="shared" si="129"/>
        <v>4000000</v>
      </c>
      <c r="R254" s="17"/>
      <c r="S254" s="17"/>
      <c r="T254" s="17"/>
      <c r="U254" s="18">
        <f t="shared" si="136"/>
        <v>0</v>
      </c>
      <c r="V254" s="18"/>
      <c r="W254" s="18"/>
      <c r="X254" s="9">
        <f t="shared" si="130"/>
        <v>4000000</v>
      </c>
      <c r="Y254" s="8"/>
      <c r="Z254" s="9">
        <f t="shared" si="131"/>
        <v>0</v>
      </c>
      <c r="AA254" s="8">
        <f t="shared" si="132"/>
        <v>4000000</v>
      </c>
      <c r="AB254" s="8">
        <f t="shared" si="133"/>
        <v>0</v>
      </c>
    </row>
    <row r="255" spans="1:28" x14ac:dyDescent="0.3">
      <c r="A255" s="64"/>
      <c r="B255" s="8"/>
      <c r="C255" s="7" t="s">
        <v>535</v>
      </c>
      <c r="D255" s="15" t="s">
        <v>58</v>
      </c>
      <c r="E255" s="9">
        <v>3572970</v>
      </c>
      <c r="F255" s="9">
        <v>3572970</v>
      </c>
      <c r="G255" s="8"/>
      <c r="H255" s="9">
        <f t="shared" si="127"/>
        <v>3572970</v>
      </c>
      <c r="I255" s="8"/>
      <c r="J255" s="9">
        <f t="shared" si="128"/>
        <v>3572970</v>
      </c>
      <c r="K255" s="8"/>
      <c r="L255" s="8"/>
      <c r="M255" s="9">
        <f t="shared" si="134"/>
        <v>3572970</v>
      </c>
      <c r="N255" s="8"/>
      <c r="O255" s="9"/>
      <c r="P255" s="9">
        <f t="shared" si="135"/>
        <v>0</v>
      </c>
      <c r="Q255" s="9">
        <f t="shared" si="129"/>
        <v>3572970</v>
      </c>
      <c r="R255" s="17"/>
      <c r="S255" s="17"/>
      <c r="T255" s="17"/>
      <c r="U255" s="18">
        <f t="shared" si="136"/>
        <v>0</v>
      </c>
      <c r="V255" s="18"/>
      <c r="W255" s="18"/>
      <c r="X255" s="9">
        <f t="shared" si="130"/>
        <v>3572970</v>
      </c>
      <c r="Y255" s="8"/>
      <c r="Z255" s="9">
        <f t="shared" si="131"/>
        <v>0</v>
      </c>
      <c r="AA255" s="8">
        <f t="shared" si="132"/>
        <v>3572970</v>
      </c>
      <c r="AB255" s="8">
        <f t="shared" si="133"/>
        <v>0</v>
      </c>
    </row>
    <row r="256" spans="1:28" x14ac:dyDescent="0.3">
      <c r="A256" s="64"/>
      <c r="B256" s="8"/>
      <c r="C256" s="7" t="s">
        <v>535</v>
      </c>
      <c r="D256" s="15" t="s">
        <v>60</v>
      </c>
      <c r="E256" s="9">
        <v>3000000</v>
      </c>
      <c r="F256" s="9">
        <v>3000000</v>
      </c>
      <c r="G256" s="8"/>
      <c r="H256" s="9">
        <f t="shared" si="127"/>
        <v>3000000</v>
      </c>
      <c r="I256" s="8"/>
      <c r="J256" s="9">
        <f t="shared" si="128"/>
        <v>3000000</v>
      </c>
      <c r="K256" s="8"/>
      <c r="L256" s="8"/>
      <c r="M256" s="9">
        <f t="shared" si="134"/>
        <v>3000000</v>
      </c>
      <c r="N256" s="8"/>
      <c r="O256" s="9"/>
      <c r="P256" s="9">
        <f t="shared" si="135"/>
        <v>0</v>
      </c>
      <c r="Q256" s="9">
        <f t="shared" si="129"/>
        <v>3000000</v>
      </c>
      <c r="R256" s="17"/>
      <c r="S256" s="17"/>
      <c r="T256" s="17"/>
      <c r="U256" s="18">
        <f t="shared" si="136"/>
        <v>0</v>
      </c>
      <c r="V256" s="18"/>
      <c r="W256" s="18"/>
      <c r="X256" s="9">
        <f t="shared" si="130"/>
        <v>3000000</v>
      </c>
      <c r="Y256" s="8"/>
      <c r="Z256" s="9">
        <f t="shared" si="131"/>
        <v>0</v>
      </c>
      <c r="AA256" s="8">
        <f t="shared" si="132"/>
        <v>3000000</v>
      </c>
      <c r="AB256" s="8">
        <f t="shared" si="133"/>
        <v>0</v>
      </c>
    </row>
    <row r="257" spans="1:28" x14ac:dyDescent="0.3">
      <c r="A257" s="64"/>
      <c r="B257" s="8"/>
      <c r="C257" s="7" t="s">
        <v>535</v>
      </c>
      <c r="D257" s="15" t="s">
        <v>61</v>
      </c>
      <c r="E257" s="11">
        <v>205000</v>
      </c>
      <c r="F257" s="11">
        <v>205000</v>
      </c>
      <c r="G257" s="8"/>
      <c r="H257" s="9">
        <f t="shared" si="127"/>
        <v>205000</v>
      </c>
      <c r="I257" s="8"/>
      <c r="J257" s="9">
        <f t="shared" si="128"/>
        <v>205000</v>
      </c>
      <c r="K257" s="8"/>
      <c r="L257" s="8"/>
      <c r="M257" s="9">
        <f t="shared" si="134"/>
        <v>205000</v>
      </c>
      <c r="N257" s="8"/>
      <c r="O257" s="9"/>
      <c r="P257" s="9">
        <f t="shared" si="135"/>
        <v>0</v>
      </c>
      <c r="Q257" s="9">
        <f t="shared" si="129"/>
        <v>205000</v>
      </c>
      <c r="R257" s="17"/>
      <c r="S257" s="17"/>
      <c r="T257" s="17"/>
      <c r="U257" s="18">
        <f t="shared" si="136"/>
        <v>0</v>
      </c>
      <c r="V257" s="18"/>
      <c r="W257" s="18"/>
      <c r="X257" s="9">
        <f t="shared" si="130"/>
        <v>205000</v>
      </c>
      <c r="Y257" s="8"/>
      <c r="Z257" s="9">
        <f t="shared" si="131"/>
        <v>0</v>
      </c>
      <c r="AA257" s="8">
        <f t="shared" si="132"/>
        <v>205000</v>
      </c>
      <c r="AB257" s="8">
        <f t="shared" si="133"/>
        <v>0</v>
      </c>
    </row>
    <row r="258" spans="1:28" x14ac:dyDescent="0.3">
      <c r="A258" s="64"/>
      <c r="B258" s="8"/>
      <c r="C258" s="7" t="s">
        <v>1145</v>
      </c>
      <c r="D258" s="16" t="s">
        <v>1126</v>
      </c>
      <c r="E258" s="11">
        <v>400000</v>
      </c>
      <c r="F258" s="11">
        <v>400000</v>
      </c>
      <c r="G258" s="8"/>
      <c r="H258" s="9">
        <f>+F258+G258</f>
        <v>400000</v>
      </c>
      <c r="I258" s="8"/>
      <c r="J258" s="9">
        <f t="shared" si="128"/>
        <v>400000</v>
      </c>
      <c r="K258" s="8"/>
      <c r="L258" s="8"/>
      <c r="M258" s="9">
        <f t="shared" si="134"/>
        <v>400000</v>
      </c>
      <c r="N258" s="8"/>
      <c r="O258" s="9"/>
      <c r="P258" s="9">
        <v>0</v>
      </c>
      <c r="Q258" s="9"/>
      <c r="R258" s="17"/>
      <c r="S258" s="17"/>
      <c r="T258" s="17"/>
      <c r="U258" s="18">
        <f>+P258+T258</f>
        <v>0</v>
      </c>
      <c r="V258" s="18"/>
      <c r="W258" s="18"/>
      <c r="X258" s="9">
        <f>+H258+P258</f>
        <v>400000</v>
      </c>
      <c r="Y258" s="8"/>
      <c r="Z258" s="9">
        <f>+E258-X258</f>
        <v>0</v>
      </c>
      <c r="AA258" s="8">
        <f>+M258+U258</f>
        <v>400000</v>
      </c>
      <c r="AB258" s="8">
        <f>+E258-AA258</f>
        <v>0</v>
      </c>
    </row>
    <row r="259" spans="1:28" x14ac:dyDescent="0.3">
      <c r="A259" s="64"/>
      <c r="B259" s="8"/>
      <c r="C259" s="7" t="s">
        <v>1151</v>
      </c>
      <c r="D259" s="16" t="s">
        <v>1072</v>
      </c>
      <c r="E259" s="11">
        <v>100000</v>
      </c>
      <c r="F259" s="11">
        <v>100000</v>
      </c>
      <c r="G259" s="8"/>
      <c r="H259" s="9">
        <f>+F259+G259</f>
        <v>100000</v>
      </c>
      <c r="I259" s="8"/>
      <c r="J259" s="9"/>
      <c r="K259" s="8"/>
      <c r="L259" s="8"/>
      <c r="M259" s="9">
        <f>+H259+L259</f>
        <v>100000</v>
      </c>
      <c r="N259" s="8"/>
      <c r="O259" s="9"/>
      <c r="P259" s="9">
        <f>+N259+O259</f>
        <v>0</v>
      </c>
      <c r="Q259" s="9"/>
      <c r="R259" s="17"/>
      <c r="S259" s="17"/>
      <c r="T259" s="17"/>
      <c r="U259" s="18">
        <f>+P259+T259</f>
        <v>0</v>
      </c>
      <c r="V259" s="18"/>
      <c r="W259" s="18"/>
      <c r="X259" s="9">
        <f t="shared" si="130"/>
        <v>100000</v>
      </c>
      <c r="Y259" s="8"/>
      <c r="Z259" s="9">
        <f t="shared" si="131"/>
        <v>0</v>
      </c>
      <c r="AA259" s="8">
        <f t="shared" si="132"/>
        <v>100000</v>
      </c>
      <c r="AB259" s="8">
        <f t="shared" si="133"/>
        <v>0</v>
      </c>
    </row>
    <row r="260" spans="1:28" x14ac:dyDescent="0.3">
      <c r="A260" s="64"/>
      <c r="B260" s="8"/>
      <c r="C260" s="7" t="s">
        <v>543</v>
      </c>
      <c r="D260" s="8"/>
      <c r="E260" s="9">
        <v>2500000</v>
      </c>
      <c r="F260" s="9">
        <v>2500000</v>
      </c>
      <c r="G260" s="8"/>
      <c r="H260" s="9">
        <f t="shared" si="127"/>
        <v>2500000</v>
      </c>
      <c r="I260" s="8"/>
      <c r="J260" s="9">
        <f t="shared" si="128"/>
        <v>2500000</v>
      </c>
      <c r="K260" s="8"/>
      <c r="L260" s="8"/>
      <c r="M260" s="9">
        <f t="shared" si="134"/>
        <v>2500000</v>
      </c>
      <c r="N260" s="8"/>
      <c r="O260" s="9"/>
      <c r="P260" s="9">
        <f t="shared" si="135"/>
        <v>0</v>
      </c>
      <c r="Q260" s="9">
        <f t="shared" si="129"/>
        <v>2500000</v>
      </c>
      <c r="R260" s="17"/>
      <c r="S260" s="17"/>
      <c r="T260" s="17"/>
      <c r="U260" s="18">
        <f t="shared" si="136"/>
        <v>0</v>
      </c>
      <c r="V260" s="18"/>
      <c r="W260" s="18"/>
      <c r="X260" s="9">
        <f t="shared" si="130"/>
        <v>2500000</v>
      </c>
      <c r="Y260" s="8"/>
      <c r="Z260" s="9">
        <f t="shared" si="131"/>
        <v>0</v>
      </c>
      <c r="AA260" s="8">
        <f t="shared" si="132"/>
        <v>2500000</v>
      </c>
      <c r="AB260" s="8">
        <f t="shared" si="133"/>
        <v>0</v>
      </c>
    </row>
    <row r="261" spans="1:28" x14ac:dyDescent="0.3">
      <c r="A261" s="64"/>
      <c r="B261" s="8"/>
      <c r="C261" s="8"/>
      <c r="D261" s="8"/>
      <c r="E261" s="17" t="s">
        <v>29</v>
      </c>
      <c r="F261" s="17" t="s">
        <v>29</v>
      </c>
      <c r="G261" s="17" t="s">
        <v>29</v>
      </c>
      <c r="H261" s="17" t="s">
        <v>29</v>
      </c>
      <c r="I261" s="17" t="s">
        <v>29</v>
      </c>
      <c r="J261" s="17" t="s">
        <v>29</v>
      </c>
      <c r="K261" s="17" t="s">
        <v>29</v>
      </c>
      <c r="L261" s="17" t="s">
        <v>29</v>
      </c>
      <c r="M261" s="17" t="s">
        <v>29</v>
      </c>
      <c r="N261" s="17" t="s">
        <v>29</v>
      </c>
      <c r="O261" s="17" t="s">
        <v>29</v>
      </c>
      <c r="P261" s="17" t="s">
        <v>29</v>
      </c>
      <c r="Q261" s="17" t="s">
        <v>29</v>
      </c>
      <c r="R261" s="17" t="s">
        <v>29</v>
      </c>
      <c r="S261" s="17" t="s">
        <v>29</v>
      </c>
      <c r="T261" s="17" t="s">
        <v>29</v>
      </c>
      <c r="U261" s="17" t="s">
        <v>29</v>
      </c>
      <c r="V261" s="17" t="s">
        <v>29</v>
      </c>
      <c r="W261" s="17" t="s">
        <v>29</v>
      </c>
      <c r="X261" s="17" t="s">
        <v>29</v>
      </c>
      <c r="Y261" s="17" t="s">
        <v>29</v>
      </c>
      <c r="Z261" s="17" t="s">
        <v>29</v>
      </c>
      <c r="AA261" s="17" t="s">
        <v>29</v>
      </c>
      <c r="AB261" s="17" t="s">
        <v>29</v>
      </c>
    </row>
    <row r="262" spans="1:28" x14ac:dyDescent="0.3">
      <c r="A262" s="64"/>
      <c r="B262" s="8"/>
      <c r="C262" s="8"/>
      <c r="D262" s="8"/>
      <c r="E262" s="9">
        <f t="shared" ref="E262:Z262" si="137">SUM(E243:E261)</f>
        <v>30667359</v>
      </c>
      <c r="F262" s="9">
        <f t="shared" si="137"/>
        <v>27561636.740000002</v>
      </c>
      <c r="G262" s="9">
        <f t="shared" si="137"/>
        <v>0</v>
      </c>
      <c r="H262" s="9">
        <f t="shared" si="137"/>
        <v>27561636.740000002</v>
      </c>
      <c r="I262" s="9">
        <f t="shared" si="137"/>
        <v>0</v>
      </c>
      <c r="J262" s="9">
        <f t="shared" si="137"/>
        <v>27461636.740000002</v>
      </c>
      <c r="K262" s="9">
        <f t="shared" si="137"/>
        <v>3105722.26</v>
      </c>
      <c r="L262" s="9">
        <f t="shared" si="137"/>
        <v>0</v>
      </c>
      <c r="M262" s="9">
        <f t="shared" si="137"/>
        <v>27561636.740000002</v>
      </c>
      <c r="N262" s="9">
        <f t="shared" si="137"/>
        <v>3105722.26</v>
      </c>
      <c r="O262" s="9">
        <f t="shared" si="137"/>
        <v>0</v>
      </c>
      <c r="P262" s="9">
        <f t="shared" si="137"/>
        <v>3105722.26</v>
      </c>
      <c r="Q262" s="9">
        <f t="shared" si="137"/>
        <v>27061636.740000002</v>
      </c>
      <c r="R262" s="9">
        <f t="shared" si="137"/>
        <v>0</v>
      </c>
      <c r="S262" s="9">
        <f t="shared" si="137"/>
        <v>0</v>
      </c>
      <c r="T262" s="9">
        <f t="shared" si="137"/>
        <v>0</v>
      </c>
      <c r="U262" s="9">
        <f t="shared" si="137"/>
        <v>3105722.26</v>
      </c>
      <c r="V262" s="9">
        <f t="shared" si="137"/>
        <v>0</v>
      </c>
      <c r="W262" s="9">
        <f t="shared" si="137"/>
        <v>0</v>
      </c>
      <c r="X262" s="9">
        <f t="shared" si="137"/>
        <v>30667359</v>
      </c>
      <c r="Y262" s="9">
        <f t="shared" si="137"/>
        <v>0</v>
      </c>
      <c r="Z262" s="9">
        <f t="shared" si="137"/>
        <v>0</v>
      </c>
      <c r="AA262" s="9">
        <f>SUM(AA243:AA261)</f>
        <v>30667359</v>
      </c>
      <c r="AB262" s="9">
        <f>SUM(AB243:AB261)</f>
        <v>0</v>
      </c>
    </row>
    <row r="263" spans="1:28" x14ac:dyDescent="0.3">
      <c r="A263" s="64"/>
      <c r="B263" s="8"/>
      <c r="C263" s="8"/>
      <c r="D263" s="8"/>
      <c r="E263" s="17" t="s">
        <v>29</v>
      </c>
      <c r="F263" s="17" t="s">
        <v>29</v>
      </c>
      <c r="G263" s="17" t="s">
        <v>29</v>
      </c>
      <c r="H263" s="17" t="s">
        <v>29</v>
      </c>
      <c r="I263" s="17" t="s">
        <v>29</v>
      </c>
      <c r="J263" s="17" t="s">
        <v>29</v>
      </c>
      <c r="K263" s="17" t="s">
        <v>29</v>
      </c>
      <c r="L263" s="17" t="s">
        <v>29</v>
      </c>
      <c r="M263" s="17" t="s">
        <v>29</v>
      </c>
      <c r="N263" s="17" t="s">
        <v>29</v>
      </c>
      <c r="O263" s="17" t="s">
        <v>29</v>
      </c>
      <c r="P263" s="17" t="s">
        <v>29</v>
      </c>
      <c r="Q263" s="17" t="s">
        <v>29</v>
      </c>
      <c r="R263" s="17" t="s">
        <v>29</v>
      </c>
      <c r="S263" s="17" t="s">
        <v>29</v>
      </c>
      <c r="T263" s="17" t="s">
        <v>29</v>
      </c>
      <c r="U263" s="17" t="s">
        <v>29</v>
      </c>
      <c r="V263" s="17" t="s">
        <v>29</v>
      </c>
      <c r="W263" s="17" t="s">
        <v>29</v>
      </c>
      <c r="X263" s="17" t="s">
        <v>29</v>
      </c>
      <c r="Y263" s="17" t="s">
        <v>29</v>
      </c>
      <c r="Z263" s="17" t="s">
        <v>29</v>
      </c>
      <c r="AA263" s="17" t="s">
        <v>29</v>
      </c>
      <c r="AB263" s="17" t="s">
        <v>29</v>
      </c>
    </row>
    <row r="264" spans="1:28" x14ac:dyDescent="0.3">
      <c r="A264" s="63" t="s">
        <v>946</v>
      </c>
      <c r="B264" s="7" t="s">
        <v>544</v>
      </c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17"/>
      <c r="S264" s="17"/>
      <c r="T264" s="18"/>
      <c r="U264" s="18"/>
      <c r="V264" s="18"/>
      <c r="W264" s="18"/>
      <c r="X264" s="18"/>
      <c r="Y264" s="18"/>
      <c r="Z264" s="18"/>
      <c r="AA264" s="59"/>
    </row>
    <row r="265" spans="1:28" x14ac:dyDescent="0.3">
      <c r="A265" s="64"/>
      <c r="B265" s="8"/>
      <c r="C265" s="7" t="s">
        <v>539</v>
      </c>
      <c r="D265" s="15" t="s">
        <v>68</v>
      </c>
      <c r="E265" s="9">
        <f>12042304.9+826437+257728.2+589687.5</f>
        <v>13716157.6</v>
      </c>
      <c r="F265" s="8"/>
      <c r="G265" s="8"/>
      <c r="H265" s="9">
        <f t="shared" ref="H265:H279" si="138">F265+G265</f>
        <v>0</v>
      </c>
      <c r="I265" s="8"/>
      <c r="J265" s="9">
        <f t="shared" ref="J265:J279" si="139">H265+I265</f>
        <v>0</v>
      </c>
      <c r="K265" s="9">
        <f>12868741.9+257728.2+589687.5</f>
        <v>13716157.6</v>
      </c>
      <c r="L265" s="8"/>
      <c r="M265" s="9">
        <f>+H265+L265</f>
        <v>0</v>
      </c>
      <c r="N265" s="8">
        <v>13716157.6</v>
      </c>
      <c r="O265" s="9"/>
      <c r="P265" s="9">
        <f>+N265+O265</f>
        <v>13716157.6</v>
      </c>
      <c r="Q265" s="9"/>
      <c r="R265" s="17"/>
      <c r="S265" s="17"/>
      <c r="T265" s="18"/>
      <c r="U265" s="18">
        <f t="shared" ref="U265:U281" si="140">+P265+T265</f>
        <v>13716157.6</v>
      </c>
      <c r="V265" s="18"/>
      <c r="W265" s="18"/>
      <c r="X265" s="9">
        <f t="shared" ref="X265:X279" si="141">+H265+P265</f>
        <v>13716157.6</v>
      </c>
      <c r="Y265" s="8"/>
      <c r="Z265" s="9">
        <f t="shared" ref="Z265:Z279" si="142">+E265-X265</f>
        <v>0</v>
      </c>
      <c r="AA265" s="8">
        <f t="shared" ref="AA265:AA279" si="143">+M265+U265</f>
        <v>13716157.6</v>
      </c>
      <c r="AB265" s="8">
        <f t="shared" ref="AB265:AB279" si="144">+E265-AA265</f>
        <v>0</v>
      </c>
    </row>
    <row r="266" spans="1:28" x14ac:dyDescent="0.3">
      <c r="A266" s="64"/>
      <c r="B266" s="8"/>
      <c r="C266" s="7" t="s">
        <v>535</v>
      </c>
      <c r="D266" s="15" t="s">
        <v>68</v>
      </c>
      <c r="E266" s="9">
        <f>2778750-2205195.81</f>
        <v>573554.18999999994</v>
      </c>
      <c r="F266" s="9">
        <v>145682</v>
      </c>
      <c r="G266" s="8"/>
      <c r="H266" s="9">
        <f t="shared" si="138"/>
        <v>145682</v>
      </c>
      <c r="I266" s="8"/>
      <c r="J266" s="9">
        <f t="shared" si="139"/>
        <v>145682</v>
      </c>
      <c r="K266" s="9">
        <v>427872.19</v>
      </c>
      <c r="L266" s="8"/>
      <c r="M266" s="9">
        <f t="shared" ref="M266:M279" si="145">+H266+L266</f>
        <v>145682</v>
      </c>
      <c r="N266" s="8">
        <v>427872.19</v>
      </c>
      <c r="O266" s="9"/>
      <c r="P266" s="9">
        <f t="shared" ref="P266:P279" si="146">+N266+O266</f>
        <v>427872.19</v>
      </c>
      <c r="Q266" s="9"/>
      <c r="R266" s="17"/>
      <c r="S266" s="17"/>
      <c r="T266" s="18"/>
      <c r="U266" s="18">
        <f t="shared" si="140"/>
        <v>427872.19</v>
      </c>
      <c r="V266" s="18"/>
      <c r="W266" s="18"/>
      <c r="X266" s="9">
        <f t="shared" si="141"/>
        <v>573554.18999999994</v>
      </c>
      <c r="Y266" s="8"/>
      <c r="Z266" s="9">
        <f t="shared" si="142"/>
        <v>0</v>
      </c>
      <c r="AA266" s="8">
        <f t="shared" si="143"/>
        <v>573554.18999999994</v>
      </c>
      <c r="AB266" s="8">
        <f t="shared" si="144"/>
        <v>0</v>
      </c>
    </row>
    <row r="267" spans="1:28" x14ac:dyDescent="0.3">
      <c r="A267" s="64"/>
      <c r="B267" s="8"/>
      <c r="C267" s="7" t="s">
        <v>545</v>
      </c>
      <c r="D267" s="15" t="s">
        <v>54</v>
      </c>
      <c r="E267" s="9">
        <v>1953989</v>
      </c>
      <c r="F267" s="8"/>
      <c r="G267" s="8"/>
      <c r="H267" s="9">
        <f t="shared" si="138"/>
        <v>0</v>
      </c>
      <c r="I267" s="8"/>
      <c r="J267" s="9">
        <f t="shared" si="139"/>
        <v>0</v>
      </c>
      <c r="K267" s="9">
        <v>1953989</v>
      </c>
      <c r="L267" s="8"/>
      <c r="M267" s="9">
        <f t="shared" si="145"/>
        <v>0</v>
      </c>
      <c r="N267" s="8">
        <v>1953989</v>
      </c>
      <c r="O267" s="9"/>
      <c r="P267" s="9">
        <f t="shared" si="146"/>
        <v>1953989</v>
      </c>
      <c r="Q267" s="9"/>
      <c r="R267" s="17"/>
      <c r="S267" s="17"/>
      <c r="T267" s="18"/>
      <c r="U267" s="18">
        <f t="shared" si="140"/>
        <v>1953989</v>
      </c>
      <c r="V267" s="18"/>
      <c r="W267" s="18"/>
      <c r="X267" s="9">
        <f t="shared" si="141"/>
        <v>1953989</v>
      </c>
      <c r="Y267" s="8"/>
      <c r="Z267" s="9">
        <f t="shared" si="142"/>
        <v>0</v>
      </c>
      <c r="AA267" s="8">
        <f t="shared" si="143"/>
        <v>1953989</v>
      </c>
      <c r="AB267" s="8">
        <f t="shared" si="144"/>
        <v>0</v>
      </c>
    </row>
    <row r="268" spans="1:28" x14ac:dyDescent="0.3">
      <c r="A268" s="64"/>
      <c r="B268" s="8"/>
      <c r="C268" s="7" t="s">
        <v>535</v>
      </c>
      <c r="D268" s="15" t="s">
        <v>54</v>
      </c>
      <c r="E268" s="9">
        <f>912000-45600</f>
        <v>866400</v>
      </c>
      <c r="F268" s="9">
        <v>866400</v>
      </c>
      <c r="G268" s="8"/>
      <c r="H268" s="9">
        <f t="shared" si="138"/>
        <v>866400</v>
      </c>
      <c r="I268" s="8"/>
      <c r="J268" s="9">
        <f t="shared" si="139"/>
        <v>866400</v>
      </c>
      <c r="K268" s="8"/>
      <c r="L268" s="8"/>
      <c r="M268" s="9">
        <f t="shared" si="145"/>
        <v>866400</v>
      </c>
      <c r="N268" s="8"/>
      <c r="O268" s="9"/>
      <c r="P268" s="9">
        <f t="shared" si="146"/>
        <v>0</v>
      </c>
      <c r="Q268" s="9"/>
      <c r="R268" s="17"/>
      <c r="S268" s="17"/>
      <c r="T268" s="18"/>
      <c r="U268" s="18">
        <f t="shared" si="140"/>
        <v>0</v>
      </c>
      <c r="V268" s="18"/>
      <c r="W268" s="18"/>
      <c r="X268" s="9">
        <f t="shared" si="141"/>
        <v>866400</v>
      </c>
      <c r="Y268" s="8"/>
      <c r="Z268" s="9">
        <f t="shared" si="142"/>
        <v>0</v>
      </c>
      <c r="AA268" s="8">
        <f t="shared" si="143"/>
        <v>866400</v>
      </c>
      <c r="AB268" s="8">
        <f t="shared" si="144"/>
        <v>0</v>
      </c>
    </row>
    <row r="269" spans="1:28" x14ac:dyDescent="0.3">
      <c r="A269" s="64"/>
      <c r="B269" s="7" t="s">
        <v>546</v>
      </c>
      <c r="C269" s="7" t="s">
        <v>547</v>
      </c>
      <c r="D269" s="21" t="s">
        <v>85</v>
      </c>
      <c r="E269" s="9">
        <f>1033600+1233200</f>
        <v>2266800</v>
      </c>
      <c r="F269" s="9">
        <v>2266800</v>
      </c>
      <c r="G269" s="8"/>
      <c r="H269" s="9">
        <f t="shared" si="138"/>
        <v>2266800</v>
      </c>
      <c r="I269" s="8"/>
      <c r="J269" s="9">
        <f t="shared" si="139"/>
        <v>2266800</v>
      </c>
      <c r="K269" s="8"/>
      <c r="L269" s="8"/>
      <c r="M269" s="9">
        <f t="shared" si="145"/>
        <v>2266800</v>
      </c>
      <c r="N269" s="8"/>
      <c r="O269" s="9"/>
      <c r="P269" s="9">
        <f t="shared" si="146"/>
        <v>0</v>
      </c>
      <c r="Q269" s="9"/>
      <c r="R269" s="17"/>
      <c r="S269" s="17"/>
      <c r="T269" s="18"/>
      <c r="U269" s="18">
        <f t="shared" si="140"/>
        <v>0</v>
      </c>
      <c r="V269" s="18"/>
      <c r="W269" s="18"/>
      <c r="X269" s="9">
        <f t="shared" si="141"/>
        <v>2266800</v>
      </c>
      <c r="Y269" s="8"/>
      <c r="Z269" s="9">
        <f t="shared" si="142"/>
        <v>0</v>
      </c>
      <c r="AA269" s="8">
        <f t="shared" si="143"/>
        <v>2266800</v>
      </c>
      <c r="AB269" s="8">
        <f t="shared" si="144"/>
        <v>0</v>
      </c>
    </row>
    <row r="270" spans="1:28" x14ac:dyDescent="0.3">
      <c r="A270" s="64"/>
      <c r="B270" s="8"/>
      <c r="C270" s="7" t="s">
        <v>548</v>
      </c>
      <c r="D270" s="15" t="s">
        <v>85</v>
      </c>
      <c r="E270" s="9">
        <v>1600000</v>
      </c>
      <c r="F270" s="9">
        <v>1355860</v>
      </c>
      <c r="G270" s="8"/>
      <c r="H270" s="9">
        <f t="shared" si="138"/>
        <v>1355860</v>
      </c>
      <c r="I270" s="8"/>
      <c r="J270" s="9">
        <f t="shared" si="139"/>
        <v>1355860</v>
      </c>
      <c r="K270" s="8"/>
      <c r="L270" s="8"/>
      <c r="M270" s="9">
        <f t="shared" si="145"/>
        <v>1355860</v>
      </c>
      <c r="N270" s="8"/>
      <c r="O270" s="9"/>
      <c r="P270" s="9">
        <f t="shared" si="146"/>
        <v>0</v>
      </c>
      <c r="Q270" s="9"/>
      <c r="R270" s="17"/>
      <c r="S270" s="17"/>
      <c r="T270" s="18"/>
      <c r="U270" s="18">
        <f t="shared" si="140"/>
        <v>0</v>
      </c>
      <c r="V270" s="18"/>
      <c r="W270" s="18"/>
      <c r="X270" s="9">
        <f t="shared" si="141"/>
        <v>1355860</v>
      </c>
      <c r="Y270" s="8"/>
      <c r="Z270" s="9">
        <f t="shared" si="142"/>
        <v>244140</v>
      </c>
      <c r="AA270" s="8">
        <f t="shared" si="143"/>
        <v>1355860</v>
      </c>
      <c r="AB270" s="8">
        <f t="shared" si="144"/>
        <v>244140</v>
      </c>
    </row>
    <row r="271" spans="1:28" x14ac:dyDescent="0.3">
      <c r="A271" s="64"/>
      <c r="B271" s="8"/>
      <c r="C271" s="7" t="s">
        <v>535</v>
      </c>
      <c r="D271" s="15" t="s">
        <v>128</v>
      </c>
      <c r="E271" s="9">
        <f>2500000+2500000</f>
        <v>5000000</v>
      </c>
      <c r="F271" s="9">
        <f>2500000+2500000</f>
        <v>5000000</v>
      </c>
      <c r="G271" s="8"/>
      <c r="H271" s="9">
        <f t="shared" si="138"/>
        <v>5000000</v>
      </c>
      <c r="I271" s="8"/>
      <c r="J271" s="9">
        <f t="shared" si="139"/>
        <v>5000000</v>
      </c>
      <c r="K271" s="8"/>
      <c r="L271" s="8"/>
      <c r="M271" s="9">
        <f t="shared" si="145"/>
        <v>5000000</v>
      </c>
      <c r="N271" s="8"/>
      <c r="O271" s="9"/>
      <c r="P271" s="9">
        <f t="shared" si="146"/>
        <v>0</v>
      </c>
      <c r="Q271" s="9"/>
      <c r="R271" s="17"/>
      <c r="S271" s="17"/>
      <c r="T271" s="18"/>
      <c r="U271" s="18">
        <f t="shared" si="140"/>
        <v>0</v>
      </c>
      <c r="V271" s="18"/>
      <c r="W271" s="18"/>
      <c r="X271" s="9">
        <f t="shared" si="141"/>
        <v>5000000</v>
      </c>
      <c r="Y271" s="8"/>
      <c r="Z271" s="9">
        <f t="shared" si="142"/>
        <v>0</v>
      </c>
      <c r="AA271" s="8">
        <f t="shared" si="143"/>
        <v>5000000</v>
      </c>
      <c r="AB271" s="8">
        <f t="shared" si="144"/>
        <v>0</v>
      </c>
    </row>
    <row r="272" spans="1:28" x14ac:dyDescent="0.3">
      <c r="A272" s="64"/>
      <c r="B272" s="8"/>
      <c r="C272" s="7" t="s">
        <v>548</v>
      </c>
      <c r="D272" s="15" t="s">
        <v>128</v>
      </c>
      <c r="E272" s="9">
        <f>800000+800000</f>
        <v>1600000</v>
      </c>
      <c r="F272" s="9">
        <v>634350</v>
      </c>
      <c r="G272" s="8"/>
      <c r="H272" s="9">
        <f t="shared" si="138"/>
        <v>634350</v>
      </c>
      <c r="I272" s="9">
        <v>965650</v>
      </c>
      <c r="J272" s="9">
        <f t="shared" si="139"/>
        <v>1600000</v>
      </c>
      <c r="K272" s="8"/>
      <c r="L272" s="8">
        <v>965650</v>
      </c>
      <c r="M272" s="9">
        <f t="shared" si="145"/>
        <v>1600000</v>
      </c>
      <c r="N272" s="8"/>
      <c r="O272" s="9"/>
      <c r="P272" s="9">
        <f t="shared" si="146"/>
        <v>0</v>
      </c>
      <c r="Q272" s="9"/>
      <c r="R272" s="17"/>
      <c r="S272" s="17"/>
      <c r="T272" s="18"/>
      <c r="U272" s="18">
        <f t="shared" si="140"/>
        <v>0</v>
      </c>
      <c r="V272" s="18"/>
      <c r="W272" s="18"/>
      <c r="X272" s="9">
        <f t="shared" si="141"/>
        <v>634350</v>
      </c>
      <c r="Y272" s="8"/>
      <c r="Z272" s="9">
        <f t="shared" si="142"/>
        <v>965650</v>
      </c>
      <c r="AA272" s="8">
        <f t="shared" si="143"/>
        <v>1600000</v>
      </c>
      <c r="AB272" s="8">
        <f t="shared" si="144"/>
        <v>0</v>
      </c>
    </row>
    <row r="273" spans="1:28" x14ac:dyDescent="0.3">
      <c r="A273" s="64"/>
      <c r="B273" s="8"/>
      <c r="C273" s="7" t="s">
        <v>535</v>
      </c>
      <c r="D273" s="15" t="s">
        <v>58</v>
      </c>
      <c r="E273" s="9">
        <v>2297580</v>
      </c>
      <c r="F273" s="9">
        <v>2297580</v>
      </c>
      <c r="G273" s="8"/>
      <c r="H273" s="9">
        <f t="shared" si="138"/>
        <v>2297580</v>
      </c>
      <c r="I273" s="8"/>
      <c r="J273" s="9">
        <f t="shared" si="139"/>
        <v>2297580</v>
      </c>
      <c r="K273" s="8"/>
      <c r="L273" s="8"/>
      <c r="M273" s="9">
        <f t="shared" si="145"/>
        <v>2297580</v>
      </c>
      <c r="N273" s="8"/>
      <c r="O273" s="9"/>
      <c r="P273" s="9">
        <f t="shared" si="146"/>
        <v>0</v>
      </c>
      <c r="Q273" s="9"/>
      <c r="R273" s="17"/>
      <c r="S273" s="17"/>
      <c r="T273" s="18"/>
      <c r="U273" s="18">
        <f t="shared" si="140"/>
        <v>0</v>
      </c>
      <c r="V273" s="18"/>
      <c r="W273" s="18"/>
      <c r="X273" s="9">
        <f t="shared" si="141"/>
        <v>2297580</v>
      </c>
      <c r="Y273" s="8"/>
      <c r="Z273" s="9">
        <f t="shared" si="142"/>
        <v>0</v>
      </c>
      <c r="AA273" s="8">
        <f t="shared" si="143"/>
        <v>2297580</v>
      </c>
      <c r="AB273" s="8">
        <f t="shared" si="144"/>
        <v>0</v>
      </c>
    </row>
    <row r="274" spans="1:28" x14ac:dyDescent="0.3">
      <c r="A274" s="64"/>
      <c r="B274" s="8"/>
      <c r="C274" s="7" t="s">
        <v>535</v>
      </c>
      <c r="D274" s="15" t="s">
        <v>60</v>
      </c>
      <c r="E274" s="9">
        <v>1117722</v>
      </c>
      <c r="F274" s="9">
        <v>1117722</v>
      </c>
      <c r="G274" s="8"/>
      <c r="H274" s="9">
        <f t="shared" si="138"/>
        <v>1117722</v>
      </c>
      <c r="I274" s="8"/>
      <c r="J274" s="9">
        <f t="shared" si="139"/>
        <v>1117722</v>
      </c>
      <c r="K274" s="8"/>
      <c r="L274" s="8"/>
      <c r="M274" s="9">
        <f t="shared" si="145"/>
        <v>1117722</v>
      </c>
      <c r="N274" s="8"/>
      <c r="O274" s="9"/>
      <c r="P274" s="9">
        <f t="shared" si="146"/>
        <v>0</v>
      </c>
      <c r="Q274" s="9"/>
      <c r="R274" s="17"/>
      <c r="S274" s="17"/>
      <c r="T274" s="18"/>
      <c r="U274" s="18">
        <f t="shared" si="140"/>
        <v>0</v>
      </c>
      <c r="V274" s="18"/>
      <c r="W274" s="18"/>
      <c r="X274" s="9">
        <f t="shared" si="141"/>
        <v>1117722</v>
      </c>
      <c r="Y274" s="8"/>
      <c r="Z274" s="9">
        <f t="shared" si="142"/>
        <v>0</v>
      </c>
      <c r="AA274" s="8">
        <f t="shared" si="143"/>
        <v>1117722</v>
      </c>
      <c r="AB274" s="8">
        <f t="shared" si="144"/>
        <v>0</v>
      </c>
    </row>
    <row r="275" spans="1:28" x14ac:dyDescent="0.3">
      <c r="A275" s="64"/>
      <c r="B275" s="8"/>
      <c r="C275" s="14" t="s">
        <v>549</v>
      </c>
      <c r="D275" s="21" t="s">
        <v>73</v>
      </c>
      <c r="E275" s="11">
        <v>500000</v>
      </c>
      <c r="F275" s="11">
        <v>500000</v>
      </c>
      <c r="G275" s="8"/>
      <c r="H275" s="9">
        <f t="shared" si="138"/>
        <v>500000</v>
      </c>
      <c r="I275" s="8"/>
      <c r="J275" s="9">
        <f t="shared" si="139"/>
        <v>500000</v>
      </c>
      <c r="K275" s="8"/>
      <c r="L275" s="8"/>
      <c r="M275" s="9">
        <f t="shared" si="145"/>
        <v>500000</v>
      </c>
      <c r="N275" s="8"/>
      <c r="O275" s="9"/>
      <c r="P275" s="9">
        <f t="shared" si="146"/>
        <v>0</v>
      </c>
      <c r="Q275" s="9"/>
      <c r="R275" s="17"/>
      <c r="S275" s="17"/>
      <c r="T275" s="18"/>
      <c r="U275" s="18">
        <f t="shared" si="140"/>
        <v>0</v>
      </c>
      <c r="V275" s="18"/>
      <c r="W275" s="18"/>
      <c r="X275" s="9">
        <f t="shared" si="141"/>
        <v>500000</v>
      </c>
      <c r="Y275" s="8"/>
      <c r="Z275" s="9">
        <f t="shared" si="142"/>
        <v>0</v>
      </c>
      <c r="AA275" s="8">
        <f t="shared" si="143"/>
        <v>500000</v>
      </c>
      <c r="AB275" s="8">
        <f t="shared" si="144"/>
        <v>0</v>
      </c>
    </row>
    <row r="276" spans="1:28" x14ac:dyDescent="0.3">
      <c r="A276" s="64"/>
      <c r="B276" s="8"/>
      <c r="C276" s="14" t="s">
        <v>1207</v>
      </c>
      <c r="D276" s="24" t="s">
        <v>1126</v>
      </c>
      <c r="E276" s="11">
        <v>500000</v>
      </c>
      <c r="F276" s="11">
        <v>500000</v>
      </c>
      <c r="G276" s="8"/>
      <c r="H276" s="9">
        <f>+F276+G276</f>
        <v>500000</v>
      </c>
      <c r="I276" s="8"/>
      <c r="J276" s="9">
        <f t="shared" si="139"/>
        <v>500000</v>
      </c>
      <c r="K276" s="8"/>
      <c r="L276" s="8"/>
      <c r="M276" s="9">
        <f t="shared" si="145"/>
        <v>500000</v>
      </c>
      <c r="N276" s="8"/>
      <c r="O276" s="9"/>
      <c r="P276" s="9">
        <f>+N276+O276</f>
        <v>0</v>
      </c>
      <c r="Q276" s="9"/>
      <c r="R276" s="17"/>
      <c r="S276" s="17"/>
      <c r="T276" s="18"/>
      <c r="U276" s="18">
        <f t="shared" si="140"/>
        <v>0</v>
      </c>
      <c r="V276" s="18"/>
      <c r="W276" s="18"/>
      <c r="X276" s="9">
        <f t="shared" si="141"/>
        <v>500000</v>
      </c>
      <c r="Y276" s="8"/>
      <c r="Z276" s="9">
        <f t="shared" si="142"/>
        <v>0</v>
      </c>
      <c r="AA276" s="8">
        <f t="shared" si="143"/>
        <v>500000</v>
      </c>
      <c r="AB276" s="8">
        <f t="shared" si="144"/>
        <v>0</v>
      </c>
    </row>
    <row r="277" spans="1:28" x14ac:dyDescent="0.3">
      <c r="A277" s="64"/>
      <c r="B277" s="8"/>
      <c r="C277" s="7" t="s">
        <v>550</v>
      </c>
      <c r="D277" s="8"/>
      <c r="E277" s="9">
        <v>390845.72</v>
      </c>
      <c r="F277" s="8"/>
      <c r="G277" s="8"/>
      <c r="H277" s="9">
        <f t="shared" si="138"/>
        <v>0</v>
      </c>
      <c r="I277" s="8"/>
      <c r="J277" s="9">
        <f t="shared" si="139"/>
        <v>0</v>
      </c>
      <c r="K277" s="9">
        <f>390845.72+6483.56-6483.56</f>
        <v>390845.72</v>
      </c>
      <c r="L277" s="8"/>
      <c r="M277" s="9">
        <f t="shared" si="145"/>
        <v>0</v>
      </c>
      <c r="N277" s="8">
        <v>390845.72</v>
      </c>
      <c r="O277" s="9"/>
      <c r="P277" s="9">
        <f t="shared" si="146"/>
        <v>390845.72</v>
      </c>
      <c r="Q277" s="9"/>
      <c r="R277" s="17"/>
      <c r="S277" s="17"/>
      <c r="T277" s="18"/>
      <c r="U277" s="18">
        <f t="shared" si="140"/>
        <v>390845.72</v>
      </c>
      <c r="V277" s="18"/>
      <c r="W277" s="18"/>
      <c r="X277" s="9">
        <f t="shared" si="141"/>
        <v>390845.72</v>
      </c>
      <c r="Y277" s="8"/>
      <c r="Z277" s="9">
        <f t="shared" si="142"/>
        <v>0</v>
      </c>
      <c r="AA277" s="8">
        <f t="shared" si="143"/>
        <v>390845.72</v>
      </c>
      <c r="AB277" s="8">
        <f t="shared" si="144"/>
        <v>0</v>
      </c>
    </row>
    <row r="278" spans="1:28" x14ac:dyDescent="0.3">
      <c r="A278" s="64"/>
      <c r="B278" s="8"/>
      <c r="C278" s="7" t="s">
        <v>551</v>
      </c>
      <c r="D278" s="8"/>
      <c r="E278" s="9">
        <v>158723</v>
      </c>
      <c r="F278" s="9">
        <v>158723</v>
      </c>
      <c r="G278" s="8"/>
      <c r="H278" s="9">
        <f t="shared" si="138"/>
        <v>158723</v>
      </c>
      <c r="I278" s="8"/>
      <c r="J278" s="9">
        <f t="shared" si="139"/>
        <v>158723</v>
      </c>
      <c r="K278" s="8"/>
      <c r="L278" s="8"/>
      <c r="M278" s="9">
        <f t="shared" si="145"/>
        <v>158723</v>
      </c>
      <c r="N278" s="8"/>
      <c r="O278" s="9"/>
      <c r="P278" s="9">
        <f t="shared" si="146"/>
        <v>0</v>
      </c>
      <c r="Q278" s="9"/>
      <c r="R278" s="17"/>
      <c r="S278" s="17"/>
      <c r="T278" s="18"/>
      <c r="U278" s="18">
        <f t="shared" si="140"/>
        <v>0</v>
      </c>
      <c r="V278" s="18"/>
      <c r="W278" s="18"/>
      <c r="X278" s="9">
        <f t="shared" si="141"/>
        <v>158723</v>
      </c>
      <c r="Y278" s="8"/>
      <c r="Z278" s="9">
        <f t="shared" si="142"/>
        <v>0</v>
      </c>
      <c r="AA278" s="8">
        <f t="shared" si="143"/>
        <v>158723</v>
      </c>
      <c r="AB278" s="8">
        <f t="shared" si="144"/>
        <v>0</v>
      </c>
    </row>
    <row r="279" spans="1:28" x14ac:dyDescent="0.3">
      <c r="A279" s="64"/>
      <c r="B279" s="8"/>
      <c r="C279" s="7" t="s">
        <v>543</v>
      </c>
      <c r="D279" s="8"/>
      <c r="E279" s="9">
        <v>2500000</v>
      </c>
      <c r="F279" s="9">
        <v>2500000</v>
      </c>
      <c r="G279" s="8"/>
      <c r="H279" s="9">
        <f t="shared" si="138"/>
        <v>2500000</v>
      </c>
      <c r="I279" s="9"/>
      <c r="J279" s="9">
        <f t="shared" si="139"/>
        <v>2500000</v>
      </c>
      <c r="K279" s="8"/>
      <c r="L279" s="8"/>
      <c r="M279" s="9">
        <f t="shared" si="145"/>
        <v>2500000</v>
      </c>
      <c r="N279" s="8"/>
      <c r="O279" s="9"/>
      <c r="P279" s="9">
        <f t="shared" si="146"/>
        <v>0</v>
      </c>
      <c r="Q279" s="9"/>
      <c r="R279" s="17"/>
      <c r="S279" s="17"/>
      <c r="T279" s="18"/>
      <c r="U279" s="18">
        <f t="shared" si="140"/>
        <v>0</v>
      </c>
      <c r="V279" s="18"/>
      <c r="W279" s="18"/>
      <c r="X279" s="9">
        <f t="shared" si="141"/>
        <v>2500000</v>
      </c>
      <c r="Y279" s="8"/>
      <c r="Z279" s="9">
        <f t="shared" si="142"/>
        <v>0</v>
      </c>
      <c r="AA279" s="8">
        <f t="shared" si="143"/>
        <v>2500000</v>
      </c>
      <c r="AB279" s="8">
        <f t="shared" si="144"/>
        <v>0</v>
      </c>
    </row>
    <row r="280" spans="1:28" x14ac:dyDescent="0.3">
      <c r="A280" s="64"/>
      <c r="B280" s="8"/>
      <c r="C280" s="8"/>
      <c r="D280" s="8"/>
      <c r="E280" s="17" t="s">
        <v>29</v>
      </c>
      <c r="F280" s="17" t="s">
        <v>29</v>
      </c>
      <c r="G280" s="17" t="s">
        <v>29</v>
      </c>
      <c r="H280" s="17" t="s">
        <v>29</v>
      </c>
      <c r="I280" s="17" t="s">
        <v>29</v>
      </c>
      <c r="J280" s="17" t="s">
        <v>29</v>
      </c>
      <c r="K280" s="17" t="s">
        <v>29</v>
      </c>
      <c r="L280" s="17" t="s">
        <v>29</v>
      </c>
      <c r="M280" s="17" t="s">
        <v>29</v>
      </c>
      <c r="N280" s="17" t="s">
        <v>29</v>
      </c>
      <c r="O280" s="17" t="s">
        <v>29</v>
      </c>
      <c r="P280" s="17" t="s">
        <v>29</v>
      </c>
      <c r="Q280" s="17" t="s">
        <v>29</v>
      </c>
      <c r="R280" s="17" t="s">
        <v>29</v>
      </c>
      <c r="S280" s="17" t="s">
        <v>29</v>
      </c>
      <c r="T280" s="17" t="s">
        <v>29</v>
      </c>
      <c r="U280" s="17" t="s">
        <v>29</v>
      </c>
      <c r="V280" s="17" t="s">
        <v>29</v>
      </c>
      <c r="W280" s="17" t="s">
        <v>29</v>
      </c>
      <c r="X280" s="17" t="s">
        <v>29</v>
      </c>
      <c r="Y280" s="17" t="s">
        <v>29</v>
      </c>
      <c r="Z280" s="17" t="s">
        <v>29</v>
      </c>
      <c r="AA280" s="17" t="s">
        <v>29</v>
      </c>
      <c r="AB280" s="17" t="s">
        <v>29</v>
      </c>
    </row>
    <row r="281" spans="1:28" x14ac:dyDescent="0.3">
      <c r="A281" s="64"/>
      <c r="B281" s="8"/>
      <c r="C281" s="8"/>
      <c r="D281" s="8"/>
      <c r="E281" s="9">
        <f t="shared" ref="E281:Q281" si="147">SUM(E265:E280)</f>
        <v>35041771.509999998</v>
      </c>
      <c r="F281" s="9">
        <f t="shared" si="147"/>
        <v>17343117</v>
      </c>
      <c r="G281" s="9">
        <f t="shared" si="147"/>
        <v>0</v>
      </c>
      <c r="H281" s="9">
        <f t="shared" si="147"/>
        <v>17343117</v>
      </c>
      <c r="I281" s="9">
        <f t="shared" si="147"/>
        <v>965650</v>
      </c>
      <c r="J281" s="9">
        <f t="shared" si="147"/>
        <v>18308767</v>
      </c>
      <c r="K281" s="9">
        <f t="shared" si="147"/>
        <v>16488864.51</v>
      </c>
      <c r="L281" s="9">
        <f t="shared" si="147"/>
        <v>965650</v>
      </c>
      <c r="M281" s="9">
        <f t="shared" si="147"/>
        <v>18308767</v>
      </c>
      <c r="N281" s="9">
        <f t="shared" si="147"/>
        <v>16488864.51</v>
      </c>
      <c r="O281" s="9">
        <f t="shared" si="147"/>
        <v>0</v>
      </c>
      <c r="P281" s="9">
        <f t="shared" si="147"/>
        <v>16488864.51</v>
      </c>
      <c r="Q281" s="9">
        <f t="shared" si="147"/>
        <v>0</v>
      </c>
      <c r="R281" s="17"/>
      <c r="S281" s="17"/>
      <c r="T281" s="18">
        <v>0</v>
      </c>
      <c r="U281" s="18">
        <f t="shared" si="140"/>
        <v>16488864.51</v>
      </c>
      <c r="V281" s="18"/>
      <c r="W281" s="18"/>
      <c r="X281" s="18">
        <f>SUM(X265:X279)</f>
        <v>33831981.509999998</v>
      </c>
      <c r="Y281" s="18"/>
      <c r="Z281" s="18">
        <f>+E281-X281</f>
        <v>1209790</v>
      </c>
      <c r="AA281" s="18">
        <f>SUM(AA265:AA279)</f>
        <v>34797631.509999998</v>
      </c>
      <c r="AB281" s="18">
        <f>SUM(AB265:AB279)</f>
        <v>244140</v>
      </c>
    </row>
    <row r="282" spans="1:28" x14ac:dyDescent="0.3">
      <c r="A282" s="64"/>
      <c r="B282" s="8"/>
      <c r="C282" s="8"/>
      <c r="D282" s="8"/>
      <c r="E282" s="17" t="s">
        <v>29</v>
      </c>
      <c r="F282" s="17" t="s">
        <v>29</v>
      </c>
      <c r="G282" s="17" t="s">
        <v>29</v>
      </c>
      <c r="H282" s="17" t="s">
        <v>29</v>
      </c>
      <c r="I282" s="17" t="s">
        <v>29</v>
      </c>
      <c r="J282" s="17" t="s">
        <v>29</v>
      </c>
      <c r="K282" s="17" t="s">
        <v>29</v>
      </c>
      <c r="L282" s="17" t="s">
        <v>29</v>
      </c>
      <c r="M282" s="17" t="s">
        <v>29</v>
      </c>
      <c r="N282" s="17" t="s">
        <v>29</v>
      </c>
      <c r="O282" s="17" t="s">
        <v>29</v>
      </c>
      <c r="P282" s="17" t="s">
        <v>29</v>
      </c>
      <c r="Q282" s="17" t="s">
        <v>29</v>
      </c>
      <c r="R282" s="17" t="s">
        <v>29</v>
      </c>
      <c r="S282" s="17" t="s">
        <v>29</v>
      </c>
      <c r="T282" s="17" t="s">
        <v>29</v>
      </c>
      <c r="U282" s="17" t="s">
        <v>29</v>
      </c>
      <c r="V282" s="17" t="s">
        <v>29</v>
      </c>
      <c r="W282" s="17" t="s">
        <v>29</v>
      </c>
      <c r="X282" s="17" t="s">
        <v>29</v>
      </c>
      <c r="Y282" s="17" t="s">
        <v>29</v>
      </c>
      <c r="Z282" s="17" t="s">
        <v>29</v>
      </c>
      <c r="AA282" s="17" t="s">
        <v>29</v>
      </c>
      <c r="AB282" s="17" t="s">
        <v>29</v>
      </c>
    </row>
    <row r="283" spans="1:28" x14ac:dyDescent="0.3">
      <c r="A283" s="63" t="s">
        <v>947</v>
      </c>
      <c r="B283" s="7" t="s">
        <v>552</v>
      </c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17"/>
      <c r="S283" s="17"/>
      <c r="T283" s="18"/>
      <c r="U283" s="18"/>
      <c r="V283" s="18"/>
      <c r="W283" s="18"/>
      <c r="X283" s="18"/>
      <c r="Y283" s="18"/>
      <c r="Z283" s="18"/>
      <c r="AA283" s="58"/>
    </row>
    <row r="284" spans="1:28" x14ac:dyDescent="0.3">
      <c r="A284" s="64"/>
      <c r="B284" s="8"/>
      <c r="C284" s="7" t="s">
        <v>553</v>
      </c>
      <c r="D284" s="15" t="s">
        <v>150</v>
      </c>
      <c r="E284" s="9">
        <v>3215251.96</v>
      </c>
      <c r="F284" s="9">
        <v>2405271.4900000002</v>
      </c>
      <c r="G284" s="8"/>
      <c r="H284" s="9">
        <f t="shared" ref="H284:H311" si="148">F284+G284</f>
        <v>2405271.4900000002</v>
      </c>
      <c r="I284" s="8"/>
      <c r="J284" s="9">
        <f t="shared" ref="J284:J311" si="149">H284+I284</f>
        <v>2405271.4900000002</v>
      </c>
      <c r="K284" s="9">
        <v>809980.47</v>
      </c>
      <c r="L284" s="8"/>
      <c r="M284" s="9">
        <f>+H284+L284</f>
        <v>2405271.4900000002</v>
      </c>
      <c r="N284" s="8">
        <v>809980.47</v>
      </c>
      <c r="O284" s="9"/>
      <c r="P284" s="9">
        <f>+N284+O284</f>
        <v>809980.47</v>
      </c>
      <c r="Q284" s="9"/>
      <c r="R284" s="17"/>
      <c r="S284" s="17"/>
      <c r="T284" s="18"/>
      <c r="U284" s="18">
        <f t="shared" ref="U284:U311" si="150">+P284+T284</f>
        <v>809980.47</v>
      </c>
      <c r="V284" s="18"/>
      <c r="W284" s="18"/>
      <c r="X284" s="9">
        <f t="shared" ref="X284:X311" si="151">+H284+P284</f>
        <v>3215251.96</v>
      </c>
      <c r="Y284" s="8"/>
      <c r="Z284" s="9">
        <f t="shared" ref="Z284:Z311" si="152">+E284-X284</f>
        <v>0</v>
      </c>
      <c r="AA284" s="8">
        <f t="shared" ref="AA284:AA311" si="153">+M284+U284</f>
        <v>3215251.96</v>
      </c>
      <c r="AB284" s="8">
        <f t="shared" ref="AB284:AB311" si="154">+E284-AA284</f>
        <v>0</v>
      </c>
    </row>
    <row r="285" spans="1:28" x14ac:dyDescent="0.3">
      <c r="A285" s="64"/>
      <c r="B285" s="8"/>
      <c r="C285" s="7" t="s">
        <v>554</v>
      </c>
      <c r="D285" s="15" t="s">
        <v>150</v>
      </c>
      <c r="E285" s="9">
        <v>1306000</v>
      </c>
      <c r="F285" s="9">
        <v>1268517</v>
      </c>
      <c r="G285" s="8"/>
      <c r="H285" s="9">
        <f t="shared" si="148"/>
        <v>1268517</v>
      </c>
      <c r="I285" s="8"/>
      <c r="J285" s="9">
        <f t="shared" si="149"/>
        <v>1268517</v>
      </c>
      <c r="K285" s="9">
        <v>37483</v>
      </c>
      <c r="L285" s="8"/>
      <c r="M285" s="9">
        <f t="shared" ref="M285:M311" si="155">+H285+L285</f>
        <v>1268517</v>
      </c>
      <c r="N285" s="8">
        <v>37483</v>
      </c>
      <c r="O285" s="9"/>
      <c r="P285" s="9">
        <f t="shared" ref="P285:P311" si="156">+N285+O285</f>
        <v>37483</v>
      </c>
      <c r="Q285" s="9"/>
      <c r="R285" s="17"/>
      <c r="S285" s="17"/>
      <c r="T285" s="18"/>
      <c r="U285" s="18">
        <f t="shared" si="150"/>
        <v>37483</v>
      </c>
      <c r="V285" s="18"/>
      <c r="W285" s="18"/>
      <c r="X285" s="9">
        <f t="shared" si="151"/>
        <v>1306000</v>
      </c>
      <c r="Y285" s="8"/>
      <c r="Z285" s="9">
        <f t="shared" si="152"/>
        <v>0</v>
      </c>
      <c r="AA285" s="8">
        <f t="shared" si="153"/>
        <v>1306000</v>
      </c>
      <c r="AB285" s="8">
        <f t="shared" si="154"/>
        <v>0</v>
      </c>
    </row>
    <row r="286" spans="1:28" x14ac:dyDescent="0.3">
      <c r="A286" s="64"/>
      <c r="B286" s="8"/>
      <c r="C286" s="7" t="s">
        <v>555</v>
      </c>
      <c r="D286" s="15" t="s">
        <v>166</v>
      </c>
      <c r="E286" s="9">
        <f>2228000-527563</f>
        <v>1700437</v>
      </c>
      <c r="F286" s="9">
        <v>1700437</v>
      </c>
      <c r="G286" s="8"/>
      <c r="H286" s="9">
        <f t="shared" si="148"/>
        <v>1700437</v>
      </c>
      <c r="I286" s="8"/>
      <c r="J286" s="9">
        <f t="shared" si="149"/>
        <v>1700437</v>
      </c>
      <c r="K286" s="8"/>
      <c r="L286" s="8"/>
      <c r="M286" s="9">
        <f t="shared" si="155"/>
        <v>1700437</v>
      </c>
      <c r="N286" s="8"/>
      <c r="O286" s="9"/>
      <c r="P286" s="9">
        <f t="shared" si="156"/>
        <v>0</v>
      </c>
      <c r="Q286" s="9"/>
      <c r="R286" s="17"/>
      <c r="S286" s="17"/>
      <c r="T286" s="18"/>
      <c r="U286" s="18">
        <f t="shared" si="150"/>
        <v>0</v>
      </c>
      <c r="V286" s="18"/>
      <c r="W286" s="18"/>
      <c r="X286" s="9">
        <f t="shared" si="151"/>
        <v>1700437</v>
      </c>
      <c r="Y286" s="8"/>
      <c r="Z286" s="9">
        <f t="shared" si="152"/>
        <v>0</v>
      </c>
      <c r="AA286" s="8">
        <f t="shared" si="153"/>
        <v>1700437</v>
      </c>
      <c r="AB286" s="8">
        <f t="shared" si="154"/>
        <v>0</v>
      </c>
    </row>
    <row r="287" spans="1:28" x14ac:dyDescent="0.3">
      <c r="A287" s="64"/>
      <c r="B287" s="8"/>
      <c r="C287" s="7" t="s">
        <v>556</v>
      </c>
      <c r="D287" s="15" t="s">
        <v>166</v>
      </c>
      <c r="E287" s="9">
        <f>992000-489082</f>
        <v>502918</v>
      </c>
      <c r="F287" s="9">
        <v>502918</v>
      </c>
      <c r="G287" s="8"/>
      <c r="H287" s="9">
        <f t="shared" si="148"/>
        <v>502918</v>
      </c>
      <c r="I287" s="8"/>
      <c r="J287" s="9">
        <f t="shared" si="149"/>
        <v>502918</v>
      </c>
      <c r="K287" s="8"/>
      <c r="L287" s="8"/>
      <c r="M287" s="9">
        <f t="shared" si="155"/>
        <v>502918</v>
      </c>
      <c r="N287" s="8"/>
      <c r="O287" s="9"/>
      <c r="P287" s="9">
        <f t="shared" si="156"/>
        <v>0</v>
      </c>
      <c r="Q287" s="9"/>
      <c r="R287" s="17"/>
      <c r="S287" s="17"/>
      <c r="T287" s="18"/>
      <c r="U287" s="18">
        <f t="shared" si="150"/>
        <v>0</v>
      </c>
      <c r="V287" s="18"/>
      <c r="W287" s="18"/>
      <c r="X287" s="9">
        <f t="shared" si="151"/>
        <v>502918</v>
      </c>
      <c r="Y287" s="8"/>
      <c r="Z287" s="9">
        <f t="shared" si="152"/>
        <v>0</v>
      </c>
      <c r="AA287" s="8">
        <f t="shared" si="153"/>
        <v>502918</v>
      </c>
      <c r="AB287" s="8">
        <f t="shared" si="154"/>
        <v>0</v>
      </c>
    </row>
    <row r="288" spans="1:28" x14ac:dyDescent="0.3">
      <c r="A288" s="64"/>
      <c r="B288" s="8"/>
      <c r="C288" s="7" t="s">
        <v>535</v>
      </c>
      <c r="D288" s="15" t="s">
        <v>68</v>
      </c>
      <c r="E288" s="9">
        <f>4180000-2980022.17</f>
        <v>1199977.83</v>
      </c>
      <c r="F288" s="8"/>
      <c r="G288" s="8"/>
      <c r="H288" s="9">
        <f t="shared" si="148"/>
        <v>0</v>
      </c>
      <c r="I288" s="8"/>
      <c r="J288" s="9">
        <f t="shared" si="149"/>
        <v>0</v>
      </c>
      <c r="K288" s="9">
        <v>1199977.83</v>
      </c>
      <c r="L288" s="8"/>
      <c r="M288" s="9">
        <f t="shared" si="155"/>
        <v>0</v>
      </c>
      <c r="N288" s="8">
        <v>1199977.83</v>
      </c>
      <c r="O288" s="9"/>
      <c r="P288" s="9">
        <f t="shared" si="156"/>
        <v>1199977.83</v>
      </c>
      <c r="Q288" s="9"/>
      <c r="R288" s="17"/>
      <c r="S288" s="17"/>
      <c r="T288" s="18"/>
      <c r="U288" s="18">
        <f t="shared" si="150"/>
        <v>1199977.83</v>
      </c>
      <c r="V288" s="18"/>
      <c r="W288" s="18"/>
      <c r="X288" s="9">
        <f t="shared" si="151"/>
        <v>1199977.83</v>
      </c>
      <c r="Y288" s="8"/>
      <c r="Z288" s="9">
        <f t="shared" si="152"/>
        <v>0</v>
      </c>
      <c r="AA288" s="8">
        <f t="shared" si="153"/>
        <v>1199977.83</v>
      </c>
      <c r="AB288" s="8">
        <f t="shared" si="154"/>
        <v>0</v>
      </c>
    </row>
    <row r="289" spans="1:28" x14ac:dyDescent="0.3">
      <c r="A289" s="64"/>
      <c r="B289" s="8"/>
      <c r="C289" s="7" t="s">
        <v>539</v>
      </c>
      <c r="D289" s="15" t="s">
        <v>68</v>
      </c>
      <c r="E289" s="9">
        <f>56262+804461+1730092.5+550958</f>
        <v>3141773.5</v>
      </c>
      <c r="F289" s="8"/>
      <c r="G289" s="8"/>
      <c r="H289" s="9">
        <f t="shared" si="148"/>
        <v>0</v>
      </c>
      <c r="I289" s="8"/>
      <c r="J289" s="9">
        <f t="shared" si="149"/>
        <v>0</v>
      </c>
      <c r="K289" s="9">
        <f>56262+804461+1730092.5+550958</f>
        <v>3141773.5</v>
      </c>
      <c r="L289" s="8"/>
      <c r="M289" s="9">
        <f t="shared" si="155"/>
        <v>0</v>
      </c>
      <c r="N289" s="8">
        <v>3141773.5</v>
      </c>
      <c r="O289" s="9"/>
      <c r="P289" s="9">
        <f t="shared" si="156"/>
        <v>3141773.5</v>
      </c>
      <c r="Q289" s="9"/>
      <c r="R289" s="17"/>
      <c r="S289" s="17"/>
      <c r="T289" s="18"/>
      <c r="U289" s="18">
        <f t="shared" si="150"/>
        <v>3141773.5</v>
      </c>
      <c r="V289" s="18"/>
      <c r="W289" s="18"/>
      <c r="X289" s="9">
        <f t="shared" si="151"/>
        <v>3141773.5</v>
      </c>
      <c r="Y289" s="8"/>
      <c r="Z289" s="9">
        <f t="shared" si="152"/>
        <v>0</v>
      </c>
      <c r="AA289" s="8">
        <f t="shared" si="153"/>
        <v>3141773.5</v>
      </c>
      <c r="AB289" s="8">
        <f t="shared" si="154"/>
        <v>0</v>
      </c>
    </row>
    <row r="290" spans="1:28" x14ac:dyDescent="0.3">
      <c r="A290" s="64"/>
      <c r="B290" s="8"/>
      <c r="C290" s="7" t="s">
        <v>557</v>
      </c>
      <c r="D290" s="15" t="s">
        <v>68</v>
      </c>
      <c r="E290" s="9">
        <f>239400-190116</f>
        <v>49284</v>
      </c>
      <c r="F290" s="9">
        <v>49284</v>
      </c>
      <c r="G290" s="8"/>
      <c r="H290" s="9">
        <f t="shared" si="148"/>
        <v>49284</v>
      </c>
      <c r="I290" s="8"/>
      <c r="J290" s="9">
        <f t="shared" si="149"/>
        <v>49284</v>
      </c>
      <c r="K290" s="8"/>
      <c r="L290" s="8"/>
      <c r="M290" s="9">
        <f t="shared" si="155"/>
        <v>49284</v>
      </c>
      <c r="N290" s="8"/>
      <c r="O290" s="9"/>
      <c r="P290" s="9">
        <f t="shared" si="156"/>
        <v>0</v>
      </c>
      <c r="Q290" s="9"/>
      <c r="R290" s="17"/>
      <c r="S290" s="17"/>
      <c r="T290" s="18"/>
      <c r="U290" s="18">
        <f t="shared" si="150"/>
        <v>0</v>
      </c>
      <c r="V290" s="18"/>
      <c r="W290" s="18"/>
      <c r="X290" s="9">
        <f t="shared" si="151"/>
        <v>49284</v>
      </c>
      <c r="Y290" s="8"/>
      <c r="Z290" s="9">
        <f t="shared" si="152"/>
        <v>0</v>
      </c>
      <c r="AA290" s="8">
        <f t="shared" si="153"/>
        <v>49284</v>
      </c>
      <c r="AB290" s="8">
        <f t="shared" si="154"/>
        <v>0</v>
      </c>
    </row>
    <row r="291" spans="1:28" x14ac:dyDescent="0.3">
      <c r="A291" s="64"/>
      <c r="B291" s="8"/>
      <c r="C291" s="7" t="s">
        <v>558</v>
      </c>
      <c r="D291" s="15" t="s">
        <v>54</v>
      </c>
      <c r="E291" s="9">
        <v>4738856.5599999996</v>
      </c>
      <c r="F291" s="9">
        <f>4649715.25+50908.87</f>
        <v>4700624.12</v>
      </c>
      <c r="G291" s="8"/>
      <c r="H291" s="9">
        <f t="shared" si="148"/>
        <v>4700624.12</v>
      </c>
      <c r="I291" s="8"/>
      <c r="J291" s="9">
        <f t="shared" si="149"/>
        <v>4700624.12</v>
      </c>
      <c r="K291" s="9">
        <f>37726.68+505.76</f>
        <v>38232.44</v>
      </c>
      <c r="L291" s="8"/>
      <c r="M291" s="9">
        <f t="shared" si="155"/>
        <v>4700624.12</v>
      </c>
      <c r="N291" s="8">
        <v>38232.44</v>
      </c>
      <c r="O291" s="9"/>
      <c r="P291" s="9">
        <f t="shared" si="156"/>
        <v>38232.44</v>
      </c>
      <c r="Q291" s="9"/>
      <c r="R291" s="17"/>
      <c r="S291" s="17"/>
      <c r="T291" s="18"/>
      <c r="U291" s="18">
        <f t="shared" si="150"/>
        <v>38232.44</v>
      </c>
      <c r="V291" s="18"/>
      <c r="W291" s="18"/>
      <c r="X291" s="9">
        <f t="shared" si="151"/>
        <v>4738856.5600000005</v>
      </c>
      <c r="Y291" s="8"/>
      <c r="Z291" s="9">
        <f t="shared" si="152"/>
        <v>0</v>
      </c>
      <c r="AA291" s="8">
        <f t="shared" si="153"/>
        <v>4738856.5600000005</v>
      </c>
      <c r="AB291" s="8">
        <f t="shared" si="154"/>
        <v>0</v>
      </c>
    </row>
    <row r="292" spans="1:28" x14ac:dyDescent="0.3">
      <c r="A292" s="64"/>
      <c r="B292" s="8"/>
      <c r="C292" s="7" t="s">
        <v>535</v>
      </c>
      <c r="D292" s="15" t="s">
        <v>54</v>
      </c>
      <c r="E292" s="9">
        <v>481366.13</v>
      </c>
      <c r="F292" s="9">
        <f>7906.13+473460</f>
        <v>481366.13</v>
      </c>
      <c r="G292" s="8"/>
      <c r="H292" s="9">
        <f t="shared" si="148"/>
        <v>481366.13</v>
      </c>
      <c r="I292" s="8"/>
      <c r="J292" s="9">
        <f t="shared" si="149"/>
        <v>481366.13</v>
      </c>
      <c r="K292" s="8"/>
      <c r="L292" s="8"/>
      <c r="M292" s="9">
        <f t="shared" si="155"/>
        <v>481366.13</v>
      </c>
      <c r="N292" s="8"/>
      <c r="O292" s="9"/>
      <c r="P292" s="9">
        <f t="shared" si="156"/>
        <v>0</v>
      </c>
      <c r="Q292" s="9"/>
      <c r="R292" s="17"/>
      <c r="S292" s="17"/>
      <c r="T292" s="18"/>
      <c r="U292" s="18">
        <f t="shared" si="150"/>
        <v>0</v>
      </c>
      <c r="V292" s="18"/>
      <c r="W292" s="18"/>
      <c r="X292" s="9">
        <f t="shared" si="151"/>
        <v>481366.13</v>
      </c>
      <c r="Y292" s="8"/>
      <c r="Z292" s="9">
        <f t="shared" si="152"/>
        <v>0</v>
      </c>
      <c r="AA292" s="8">
        <f t="shared" si="153"/>
        <v>481366.13</v>
      </c>
      <c r="AB292" s="8">
        <f t="shared" si="154"/>
        <v>0</v>
      </c>
    </row>
    <row r="293" spans="1:28" x14ac:dyDescent="0.3">
      <c r="A293" s="64"/>
      <c r="B293" s="8"/>
      <c r="C293" s="7" t="s">
        <v>545</v>
      </c>
      <c r="D293" s="15" t="s">
        <v>54</v>
      </c>
      <c r="E293" s="9">
        <v>1953989</v>
      </c>
      <c r="F293" s="8"/>
      <c r="G293" s="8"/>
      <c r="H293" s="9">
        <f t="shared" si="148"/>
        <v>0</v>
      </c>
      <c r="I293" s="8"/>
      <c r="J293" s="9">
        <f t="shared" si="149"/>
        <v>0</v>
      </c>
      <c r="K293" s="9">
        <v>1953989</v>
      </c>
      <c r="L293" s="8"/>
      <c r="M293" s="9">
        <f t="shared" si="155"/>
        <v>0</v>
      </c>
      <c r="N293" s="8">
        <v>1953989</v>
      </c>
      <c r="O293" s="9"/>
      <c r="P293" s="9">
        <f t="shared" si="156"/>
        <v>1953989</v>
      </c>
      <c r="Q293" s="9"/>
      <c r="R293" s="17"/>
      <c r="S293" s="17"/>
      <c r="T293" s="18"/>
      <c r="U293" s="18">
        <f t="shared" si="150"/>
        <v>1953989</v>
      </c>
      <c r="V293" s="18"/>
      <c r="W293" s="18"/>
      <c r="X293" s="9">
        <f t="shared" si="151"/>
        <v>1953989</v>
      </c>
      <c r="Y293" s="8"/>
      <c r="Z293" s="9">
        <f t="shared" si="152"/>
        <v>0</v>
      </c>
      <c r="AA293" s="8">
        <f t="shared" si="153"/>
        <v>1953989</v>
      </c>
      <c r="AB293" s="8">
        <f t="shared" si="154"/>
        <v>0</v>
      </c>
    </row>
    <row r="294" spans="1:28" x14ac:dyDescent="0.3">
      <c r="A294" s="64"/>
      <c r="B294" s="8"/>
      <c r="C294" s="7" t="s">
        <v>558</v>
      </c>
      <c r="D294" s="15" t="s">
        <v>85</v>
      </c>
      <c r="E294" s="9">
        <v>3520000</v>
      </c>
      <c r="F294" s="9">
        <v>3279800</v>
      </c>
      <c r="G294" s="8"/>
      <c r="H294" s="9">
        <f t="shared" si="148"/>
        <v>3279800</v>
      </c>
      <c r="I294" s="8"/>
      <c r="J294" s="9">
        <f t="shared" si="149"/>
        <v>3279800</v>
      </c>
      <c r="K294" s="9">
        <v>2566.08</v>
      </c>
      <c r="L294" s="8"/>
      <c r="M294" s="9">
        <f t="shared" si="155"/>
        <v>3279800</v>
      </c>
      <c r="N294" s="8">
        <v>2566.08</v>
      </c>
      <c r="O294" s="9"/>
      <c r="P294" s="9">
        <f t="shared" si="156"/>
        <v>2566.08</v>
      </c>
      <c r="Q294" s="9"/>
      <c r="R294" s="17"/>
      <c r="S294" s="17"/>
      <c r="T294" s="18"/>
      <c r="U294" s="18">
        <f t="shared" si="150"/>
        <v>2566.08</v>
      </c>
      <c r="V294" s="18"/>
      <c r="W294" s="18"/>
      <c r="X294" s="9">
        <f t="shared" si="151"/>
        <v>3282366.08</v>
      </c>
      <c r="Y294" s="8"/>
      <c r="Z294" s="9">
        <f t="shared" si="152"/>
        <v>237633.91999999993</v>
      </c>
      <c r="AA294" s="8">
        <f t="shared" si="153"/>
        <v>3282366.08</v>
      </c>
      <c r="AB294" s="8">
        <f t="shared" si="154"/>
        <v>237633.91999999993</v>
      </c>
    </row>
    <row r="295" spans="1:28" x14ac:dyDescent="0.3">
      <c r="A295" s="64"/>
      <c r="B295" s="8"/>
      <c r="C295" s="7" t="s">
        <v>558</v>
      </c>
      <c r="D295" s="15" t="s">
        <v>85</v>
      </c>
      <c r="E295" s="9">
        <v>480000</v>
      </c>
      <c r="F295" s="8"/>
      <c r="G295" s="8"/>
      <c r="H295" s="9">
        <f t="shared" si="148"/>
        <v>0</v>
      </c>
      <c r="I295" s="8"/>
      <c r="J295" s="9">
        <f t="shared" si="149"/>
        <v>0</v>
      </c>
      <c r="K295" s="8"/>
      <c r="L295" s="8"/>
      <c r="M295" s="9">
        <f t="shared" si="155"/>
        <v>0</v>
      </c>
      <c r="N295" s="8"/>
      <c r="O295" s="9"/>
      <c r="P295" s="9">
        <f t="shared" si="156"/>
        <v>0</v>
      </c>
      <c r="Q295" s="9"/>
      <c r="R295" s="17"/>
      <c r="S295" s="17"/>
      <c r="T295" s="18"/>
      <c r="U295" s="18">
        <f t="shared" si="150"/>
        <v>0</v>
      </c>
      <c r="V295" s="18"/>
      <c r="W295" s="18"/>
      <c r="X295" s="9">
        <f t="shared" si="151"/>
        <v>0</v>
      </c>
      <c r="Y295" s="8"/>
      <c r="Z295" s="9">
        <f t="shared" si="152"/>
        <v>480000</v>
      </c>
      <c r="AA295" s="8">
        <f t="shared" si="153"/>
        <v>0</v>
      </c>
      <c r="AB295" s="8">
        <f t="shared" si="154"/>
        <v>480000</v>
      </c>
    </row>
    <row r="296" spans="1:28" x14ac:dyDescent="0.3">
      <c r="A296" s="64"/>
      <c r="B296" s="8"/>
      <c r="C296" s="7" t="s">
        <v>535</v>
      </c>
      <c r="D296" s="15" t="s">
        <v>128</v>
      </c>
      <c r="E296" s="9">
        <v>5377133</v>
      </c>
      <c r="F296" s="9">
        <f>934696+4442437</f>
        <v>5377133</v>
      </c>
      <c r="G296" s="8"/>
      <c r="H296" s="9">
        <f t="shared" si="148"/>
        <v>5377133</v>
      </c>
      <c r="I296" s="8"/>
      <c r="J296" s="9">
        <f t="shared" si="149"/>
        <v>5377133</v>
      </c>
      <c r="K296" s="8"/>
      <c r="L296" s="8"/>
      <c r="M296" s="9">
        <f t="shared" si="155"/>
        <v>5377133</v>
      </c>
      <c r="N296" s="8"/>
      <c r="O296" s="9"/>
      <c r="P296" s="9">
        <f t="shared" si="156"/>
        <v>0</v>
      </c>
      <c r="Q296" s="9"/>
      <c r="R296" s="17"/>
      <c r="S296" s="17"/>
      <c r="T296" s="18"/>
      <c r="U296" s="18">
        <f t="shared" si="150"/>
        <v>0</v>
      </c>
      <c r="V296" s="18"/>
      <c r="W296" s="18"/>
      <c r="X296" s="9">
        <f t="shared" si="151"/>
        <v>5377133</v>
      </c>
      <c r="Y296" s="8"/>
      <c r="Z296" s="9">
        <f t="shared" si="152"/>
        <v>0</v>
      </c>
      <c r="AA296" s="8">
        <f t="shared" si="153"/>
        <v>5377133</v>
      </c>
      <c r="AB296" s="8">
        <f t="shared" si="154"/>
        <v>0</v>
      </c>
    </row>
    <row r="297" spans="1:28" x14ac:dyDescent="0.3">
      <c r="A297" s="64"/>
      <c r="B297" s="8"/>
      <c r="C297" s="7" t="s">
        <v>559</v>
      </c>
      <c r="D297" s="15" t="s">
        <v>128</v>
      </c>
      <c r="E297" s="9">
        <v>3500000</v>
      </c>
      <c r="F297" s="9">
        <f>2800000+700000</f>
        <v>3500000</v>
      </c>
      <c r="G297" s="8"/>
      <c r="H297" s="9">
        <f t="shared" si="148"/>
        <v>3500000</v>
      </c>
      <c r="I297" s="8"/>
      <c r="J297" s="9">
        <f t="shared" si="149"/>
        <v>3500000</v>
      </c>
      <c r="K297" s="8"/>
      <c r="L297" s="8"/>
      <c r="M297" s="9">
        <f t="shared" si="155"/>
        <v>3500000</v>
      </c>
      <c r="N297" s="8"/>
      <c r="O297" s="9"/>
      <c r="P297" s="9">
        <f t="shared" si="156"/>
        <v>0</v>
      </c>
      <c r="Q297" s="9"/>
      <c r="R297" s="17"/>
      <c r="S297" s="17"/>
      <c r="T297" s="18"/>
      <c r="U297" s="18">
        <f t="shared" si="150"/>
        <v>0</v>
      </c>
      <c r="V297" s="18"/>
      <c r="W297" s="18"/>
      <c r="X297" s="9">
        <f t="shared" si="151"/>
        <v>3500000</v>
      </c>
      <c r="Y297" s="8"/>
      <c r="Z297" s="9">
        <f t="shared" si="152"/>
        <v>0</v>
      </c>
      <c r="AA297" s="8">
        <f t="shared" si="153"/>
        <v>3500000</v>
      </c>
      <c r="AB297" s="8">
        <f t="shared" si="154"/>
        <v>0</v>
      </c>
    </row>
    <row r="298" spans="1:28" x14ac:dyDescent="0.3">
      <c r="A298" s="64"/>
      <c r="B298" s="8"/>
      <c r="C298" s="7" t="s">
        <v>560</v>
      </c>
      <c r="D298" s="15" t="s">
        <v>128</v>
      </c>
      <c r="E298" s="9">
        <v>784460</v>
      </c>
      <c r="F298" s="9">
        <v>784460</v>
      </c>
      <c r="G298" s="8"/>
      <c r="H298" s="9">
        <f t="shared" si="148"/>
        <v>784460</v>
      </c>
      <c r="I298" s="8"/>
      <c r="J298" s="9">
        <f t="shared" si="149"/>
        <v>784460</v>
      </c>
      <c r="K298" s="8"/>
      <c r="L298" s="8"/>
      <c r="M298" s="9">
        <f t="shared" si="155"/>
        <v>784460</v>
      </c>
      <c r="N298" s="8"/>
      <c r="O298" s="9"/>
      <c r="P298" s="9">
        <f t="shared" si="156"/>
        <v>0</v>
      </c>
      <c r="Q298" s="9"/>
      <c r="R298" s="17"/>
      <c r="S298" s="17"/>
      <c r="T298" s="25"/>
      <c r="U298" s="18">
        <f t="shared" si="150"/>
        <v>0</v>
      </c>
      <c r="V298" s="18"/>
      <c r="W298" s="18"/>
      <c r="X298" s="9">
        <f t="shared" si="151"/>
        <v>784460</v>
      </c>
      <c r="Y298" s="8"/>
      <c r="Z298" s="9">
        <f t="shared" si="152"/>
        <v>0</v>
      </c>
      <c r="AA298" s="8">
        <f t="shared" si="153"/>
        <v>784460</v>
      </c>
      <c r="AB298" s="8">
        <f t="shared" si="154"/>
        <v>0</v>
      </c>
    </row>
    <row r="299" spans="1:28" x14ac:dyDescent="0.3">
      <c r="A299" s="64"/>
      <c r="B299" s="8"/>
      <c r="C299" s="7" t="s">
        <v>558</v>
      </c>
      <c r="D299" s="15" t="s">
        <v>108</v>
      </c>
      <c r="E299" s="9">
        <v>717633.92</v>
      </c>
      <c r="F299" s="9">
        <v>717633.92</v>
      </c>
      <c r="G299" s="8"/>
      <c r="H299" s="9">
        <f t="shared" si="148"/>
        <v>717633.92</v>
      </c>
      <c r="I299" s="8"/>
      <c r="J299" s="9">
        <f t="shared" si="149"/>
        <v>717633.92</v>
      </c>
      <c r="K299" s="8"/>
      <c r="L299" s="8"/>
      <c r="M299" s="9">
        <f t="shared" si="155"/>
        <v>717633.92</v>
      </c>
      <c r="N299" s="8"/>
      <c r="O299" s="9"/>
      <c r="P299" s="9">
        <f t="shared" si="156"/>
        <v>0</v>
      </c>
      <c r="Q299" s="9"/>
      <c r="R299" s="17"/>
      <c r="S299" s="17"/>
      <c r="T299" s="25"/>
      <c r="U299" s="18">
        <f t="shared" si="150"/>
        <v>0</v>
      </c>
      <c r="V299" s="18"/>
      <c r="W299" s="18"/>
      <c r="X299" s="9">
        <f t="shared" si="151"/>
        <v>717633.92</v>
      </c>
      <c r="Y299" s="8"/>
      <c r="Z299" s="9">
        <f t="shared" si="152"/>
        <v>0</v>
      </c>
      <c r="AA299" s="8">
        <f t="shared" si="153"/>
        <v>717633.92</v>
      </c>
      <c r="AB299" s="8">
        <f t="shared" si="154"/>
        <v>0</v>
      </c>
    </row>
    <row r="300" spans="1:28" x14ac:dyDescent="0.3">
      <c r="A300" s="64"/>
      <c r="B300" s="8"/>
      <c r="C300" s="7" t="s">
        <v>535</v>
      </c>
      <c r="D300" s="15" t="s">
        <v>108</v>
      </c>
      <c r="E300" s="9">
        <v>1507794</v>
      </c>
      <c r="F300" s="9">
        <v>1507794</v>
      </c>
      <c r="G300" s="8"/>
      <c r="H300" s="9">
        <f t="shared" si="148"/>
        <v>1507794</v>
      </c>
      <c r="I300" s="8"/>
      <c r="J300" s="9">
        <f t="shared" si="149"/>
        <v>1507794</v>
      </c>
      <c r="K300" s="8"/>
      <c r="L300" s="8"/>
      <c r="M300" s="9">
        <f t="shared" si="155"/>
        <v>1507794</v>
      </c>
      <c r="N300" s="8"/>
      <c r="O300" s="9"/>
      <c r="P300" s="9">
        <f t="shared" si="156"/>
        <v>0</v>
      </c>
      <c r="Q300" s="9"/>
      <c r="R300" s="17"/>
      <c r="S300" s="17"/>
      <c r="T300" s="25"/>
      <c r="U300" s="18">
        <f t="shared" si="150"/>
        <v>0</v>
      </c>
      <c r="V300" s="18"/>
      <c r="W300" s="18"/>
      <c r="X300" s="9">
        <f t="shared" si="151"/>
        <v>1507794</v>
      </c>
      <c r="Y300" s="8"/>
      <c r="Z300" s="9">
        <f t="shared" si="152"/>
        <v>0</v>
      </c>
      <c r="AA300" s="8">
        <f t="shared" si="153"/>
        <v>1507794</v>
      </c>
      <c r="AB300" s="8">
        <f t="shared" si="154"/>
        <v>0</v>
      </c>
    </row>
    <row r="301" spans="1:28" x14ac:dyDescent="0.3">
      <c r="A301" s="64"/>
      <c r="B301" s="8"/>
      <c r="C301" s="7" t="s">
        <v>535</v>
      </c>
      <c r="D301" s="15" t="s">
        <v>58</v>
      </c>
      <c r="E301" s="9">
        <f>1979650+2019140+1600000+890166+2473788</f>
        <v>8962744</v>
      </c>
      <c r="F301" s="9">
        <v>6488956</v>
      </c>
      <c r="G301" s="8"/>
      <c r="H301" s="9">
        <f t="shared" si="148"/>
        <v>6488956</v>
      </c>
      <c r="I301" s="9">
        <f>1600000+890166+2473788-1600000-890166</f>
        <v>2473788</v>
      </c>
      <c r="J301" s="9">
        <f t="shared" si="149"/>
        <v>8962744</v>
      </c>
      <c r="K301" s="8"/>
      <c r="L301" s="8">
        <v>2473788</v>
      </c>
      <c r="M301" s="9">
        <f t="shared" si="155"/>
        <v>8962744</v>
      </c>
      <c r="N301" s="8"/>
      <c r="O301" s="9"/>
      <c r="P301" s="9">
        <f t="shared" si="156"/>
        <v>0</v>
      </c>
      <c r="Q301" s="9"/>
      <c r="R301" s="17"/>
      <c r="S301" s="17"/>
      <c r="T301" s="25"/>
      <c r="U301" s="18">
        <f t="shared" si="150"/>
        <v>0</v>
      </c>
      <c r="V301" s="18"/>
      <c r="W301" s="18"/>
      <c r="X301" s="9">
        <f t="shared" si="151"/>
        <v>6488956</v>
      </c>
      <c r="Y301" s="8"/>
      <c r="Z301" s="9">
        <f t="shared" si="152"/>
        <v>2473788</v>
      </c>
      <c r="AA301" s="8">
        <f t="shared" si="153"/>
        <v>8962744</v>
      </c>
      <c r="AB301" s="8">
        <f t="shared" si="154"/>
        <v>0</v>
      </c>
    </row>
    <row r="302" spans="1:28" x14ac:dyDescent="0.3">
      <c r="A302" s="64"/>
      <c r="B302" s="8"/>
      <c r="C302" s="7" t="s">
        <v>535</v>
      </c>
      <c r="D302" s="15" t="s">
        <v>60</v>
      </c>
      <c r="E302" s="9">
        <v>1672409</v>
      </c>
      <c r="F302" s="9">
        <v>1672409</v>
      </c>
      <c r="G302" s="8"/>
      <c r="H302" s="9">
        <f t="shared" si="148"/>
        <v>1672409</v>
      </c>
      <c r="I302" s="8"/>
      <c r="J302" s="9">
        <f t="shared" si="149"/>
        <v>1672409</v>
      </c>
      <c r="K302" s="8"/>
      <c r="L302" s="8"/>
      <c r="M302" s="9">
        <f t="shared" si="155"/>
        <v>1672409</v>
      </c>
      <c r="N302" s="8"/>
      <c r="O302" s="9"/>
      <c r="P302" s="9">
        <f t="shared" si="156"/>
        <v>0</v>
      </c>
      <c r="Q302" s="9"/>
      <c r="R302" s="17"/>
      <c r="S302" s="17"/>
      <c r="T302" s="25"/>
      <c r="U302" s="18">
        <f t="shared" si="150"/>
        <v>0</v>
      </c>
      <c r="V302" s="18"/>
      <c r="W302" s="18"/>
      <c r="X302" s="9">
        <f t="shared" si="151"/>
        <v>1672409</v>
      </c>
      <c r="Y302" s="8"/>
      <c r="Z302" s="9">
        <f t="shared" si="152"/>
        <v>0</v>
      </c>
      <c r="AA302" s="8">
        <f t="shared" si="153"/>
        <v>1672409</v>
      </c>
      <c r="AB302" s="8">
        <f t="shared" si="154"/>
        <v>0</v>
      </c>
    </row>
    <row r="303" spans="1:28" x14ac:dyDescent="0.3">
      <c r="A303" s="64"/>
      <c r="B303" s="8"/>
      <c r="C303" s="7" t="s">
        <v>561</v>
      </c>
      <c r="D303" s="15" t="s">
        <v>60</v>
      </c>
      <c r="E303" s="9">
        <f>1523617+282860+193375.51</f>
        <v>1999852.51</v>
      </c>
      <c r="F303" s="9">
        <f>1523617+476235.51</f>
        <v>1999852.51</v>
      </c>
      <c r="G303" s="8"/>
      <c r="H303" s="9">
        <f t="shared" si="148"/>
        <v>1999852.51</v>
      </c>
      <c r="I303" s="8"/>
      <c r="J303" s="9">
        <f t="shared" si="149"/>
        <v>1999852.51</v>
      </c>
      <c r="K303" s="8"/>
      <c r="L303" s="8"/>
      <c r="M303" s="9">
        <f t="shared" si="155"/>
        <v>1999852.51</v>
      </c>
      <c r="N303" s="8"/>
      <c r="O303" s="9"/>
      <c r="P303" s="9">
        <f t="shared" si="156"/>
        <v>0</v>
      </c>
      <c r="Q303" s="9"/>
      <c r="R303" s="17"/>
      <c r="S303" s="17"/>
      <c r="T303" s="25"/>
      <c r="U303" s="18">
        <f t="shared" si="150"/>
        <v>0</v>
      </c>
      <c r="V303" s="18"/>
      <c r="W303" s="18"/>
      <c r="X303" s="9">
        <f t="shared" si="151"/>
        <v>1999852.51</v>
      </c>
      <c r="Y303" s="8"/>
      <c r="Z303" s="9">
        <f t="shared" si="152"/>
        <v>0</v>
      </c>
      <c r="AA303" s="8">
        <f t="shared" si="153"/>
        <v>1999852.51</v>
      </c>
      <c r="AB303" s="8">
        <f t="shared" si="154"/>
        <v>0</v>
      </c>
    </row>
    <row r="304" spans="1:28" x14ac:dyDescent="0.3">
      <c r="A304" s="64"/>
      <c r="B304" s="8"/>
      <c r="C304" s="7" t="s">
        <v>535</v>
      </c>
      <c r="D304" s="15" t="s">
        <v>73</v>
      </c>
      <c r="E304" s="9">
        <f>2108546.94+1030135.75+1849317.31</f>
        <v>4988000</v>
      </c>
      <c r="F304" s="9">
        <f>2108546.94+1030135.75+1849317.31</f>
        <v>4988000</v>
      </c>
      <c r="G304" s="9"/>
      <c r="H304" s="9">
        <f t="shared" si="148"/>
        <v>4988000</v>
      </c>
      <c r="I304" s="9"/>
      <c r="J304" s="9">
        <f t="shared" si="149"/>
        <v>4988000</v>
      </c>
      <c r="K304" s="8"/>
      <c r="L304" s="8"/>
      <c r="M304" s="9">
        <f t="shared" si="155"/>
        <v>4988000</v>
      </c>
      <c r="N304" s="8"/>
      <c r="O304" s="9"/>
      <c r="P304" s="9">
        <f t="shared" si="156"/>
        <v>0</v>
      </c>
      <c r="Q304" s="9"/>
      <c r="R304" s="17"/>
      <c r="S304" s="17"/>
      <c r="T304" s="25"/>
      <c r="U304" s="18">
        <f t="shared" si="150"/>
        <v>0</v>
      </c>
      <c r="V304" s="18"/>
      <c r="W304" s="18"/>
      <c r="X304" s="9">
        <f t="shared" si="151"/>
        <v>4988000</v>
      </c>
      <c r="Y304" s="8"/>
      <c r="Z304" s="9">
        <f t="shared" si="152"/>
        <v>0</v>
      </c>
      <c r="AA304" s="8">
        <f t="shared" si="153"/>
        <v>4988000</v>
      </c>
      <c r="AB304" s="8">
        <f t="shared" si="154"/>
        <v>0</v>
      </c>
    </row>
    <row r="305" spans="1:28" x14ac:dyDescent="0.3">
      <c r="A305" s="64"/>
      <c r="B305" s="8"/>
      <c r="C305" s="14" t="s">
        <v>549</v>
      </c>
      <c r="D305" s="21" t="s">
        <v>73</v>
      </c>
      <c r="E305" s="11">
        <f>250000+250000</f>
        <v>500000</v>
      </c>
      <c r="F305" s="11">
        <f>250000+250000</f>
        <v>500000</v>
      </c>
      <c r="G305" s="8"/>
      <c r="H305" s="9">
        <f t="shared" si="148"/>
        <v>500000</v>
      </c>
      <c r="I305" s="8"/>
      <c r="J305" s="9">
        <f t="shared" si="149"/>
        <v>500000</v>
      </c>
      <c r="K305" s="8"/>
      <c r="L305" s="8"/>
      <c r="M305" s="9">
        <f t="shared" si="155"/>
        <v>500000</v>
      </c>
      <c r="N305" s="8"/>
      <c r="O305" s="9"/>
      <c r="P305" s="9">
        <f t="shared" si="156"/>
        <v>0</v>
      </c>
      <c r="Q305" s="9"/>
      <c r="R305" s="17"/>
      <c r="S305" s="17"/>
      <c r="T305" s="25"/>
      <c r="U305" s="18">
        <f t="shared" si="150"/>
        <v>0</v>
      </c>
      <c r="V305" s="18"/>
      <c r="W305" s="18"/>
      <c r="X305" s="9">
        <f t="shared" si="151"/>
        <v>500000</v>
      </c>
      <c r="Y305" s="8"/>
      <c r="Z305" s="9">
        <f t="shared" si="152"/>
        <v>0</v>
      </c>
      <c r="AA305" s="8">
        <f t="shared" si="153"/>
        <v>500000</v>
      </c>
      <c r="AB305" s="8">
        <f t="shared" si="154"/>
        <v>0</v>
      </c>
    </row>
    <row r="306" spans="1:28" x14ac:dyDescent="0.3">
      <c r="A306" s="64"/>
      <c r="B306" s="8"/>
      <c r="C306" s="7" t="s">
        <v>535</v>
      </c>
      <c r="D306" s="15" t="s">
        <v>61</v>
      </c>
      <c r="E306" s="11">
        <f>1460343.5+581688.73</f>
        <v>2042032.23</v>
      </c>
      <c r="F306" s="11">
        <f>1460343.5+581688.73</f>
        <v>2042032.23</v>
      </c>
      <c r="G306" s="8"/>
      <c r="H306" s="9">
        <f t="shared" si="148"/>
        <v>2042032.23</v>
      </c>
      <c r="I306" s="8"/>
      <c r="J306" s="9">
        <f t="shared" si="149"/>
        <v>2042032.23</v>
      </c>
      <c r="K306" s="8"/>
      <c r="L306" s="8"/>
      <c r="M306" s="9">
        <f t="shared" si="155"/>
        <v>2042032.23</v>
      </c>
      <c r="N306" s="8"/>
      <c r="O306" s="9"/>
      <c r="P306" s="9">
        <f t="shared" si="156"/>
        <v>0</v>
      </c>
      <c r="Q306" s="9"/>
      <c r="R306" s="17"/>
      <c r="S306" s="17"/>
      <c r="T306" s="25"/>
      <c r="U306" s="18">
        <f t="shared" si="150"/>
        <v>0</v>
      </c>
      <c r="V306" s="18"/>
      <c r="W306" s="18"/>
      <c r="X306" s="9">
        <f t="shared" si="151"/>
        <v>2042032.23</v>
      </c>
      <c r="Y306" s="8"/>
      <c r="Z306" s="9">
        <f t="shared" si="152"/>
        <v>0</v>
      </c>
      <c r="AA306" s="8">
        <f t="shared" si="153"/>
        <v>2042032.23</v>
      </c>
      <c r="AB306" s="8">
        <f t="shared" si="154"/>
        <v>0</v>
      </c>
    </row>
    <row r="307" spans="1:28" x14ac:dyDescent="0.3">
      <c r="A307" s="64"/>
      <c r="B307" s="8"/>
      <c r="C307" s="13" t="s">
        <v>933</v>
      </c>
      <c r="D307" s="16" t="s">
        <v>1072</v>
      </c>
      <c r="E307" s="11">
        <f>2684685.25+638322.71+1984500</f>
        <v>5307507.96</v>
      </c>
      <c r="F307" s="8">
        <f>2684685.25+2622822.71</f>
        <v>5307507.96</v>
      </c>
      <c r="G307" s="8"/>
      <c r="H307" s="9">
        <f>+F307+G307</f>
        <v>5307507.96</v>
      </c>
      <c r="I307" s="8"/>
      <c r="J307" s="9"/>
      <c r="K307" s="8"/>
      <c r="L307" s="8"/>
      <c r="M307" s="9">
        <f>+H307+L307</f>
        <v>5307507.96</v>
      </c>
      <c r="N307" s="8"/>
      <c r="O307" s="9"/>
      <c r="P307" s="9">
        <f>+N307+O307</f>
        <v>0</v>
      </c>
      <c r="Q307" s="9"/>
      <c r="R307" s="17"/>
      <c r="S307" s="17"/>
      <c r="T307" s="25"/>
      <c r="U307" s="18">
        <f>+P307+T307</f>
        <v>0</v>
      </c>
      <c r="V307" s="18"/>
      <c r="W307" s="18"/>
      <c r="X307" s="9">
        <f t="shared" si="151"/>
        <v>5307507.96</v>
      </c>
      <c r="Y307" s="8"/>
      <c r="Z307" s="9">
        <f t="shared" si="152"/>
        <v>0</v>
      </c>
      <c r="AA307" s="8">
        <f t="shared" si="153"/>
        <v>5307507.96</v>
      </c>
      <c r="AB307" s="8">
        <f t="shared" si="154"/>
        <v>0</v>
      </c>
    </row>
    <row r="308" spans="1:28" x14ac:dyDescent="0.3">
      <c r="A308" s="64"/>
      <c r="B308" s="8"/>
      <c r="C308" s="7" t="s">
        <v>1201</v>
      </c>
      <c r="D308" s="16" t="s">
        <v>1126</v>
      </c>
      <c r="E308" s="11">
        <v>1897081.03</v>
      </c>
      <c r="F308" s="8">
        <v>1897081.03</v>
      </c>
      <c r="G308" s="8"/>
      <c r="H308" s="9">
        <f>+F308+G308</f>
        <v>1897081.03</v>
      </c>
      <c r="I308" s="8"/>
      <c r="J308" s="9"/>
      <c r="K308" s="8"/>
      <c r="L308" s="8"/>
      <c r="M308" s="9">
        <f>+H308+L308</f>
        <v>1897081.03</v>
      </c>
      <c r="N308" s="8"/>
      <c r="O308" s="9"/>
      <c r="P308" s="9">
        <f>+N308+O308</f>
        <v>0</v>
      </c>
      <c r="Q308" s="9"/>
      <c r="R308" s="17"/>
      <c r="S308" s="17"/>
      <c r="T308" s="25"/>
      <c r="U308" s="18">
        <f>+P308+T308</f>
        <v>0</v>
      </c>
      <c r="V308" s="18"/>
      <c r="W308" s="18"/>
      <c r="X308" s="9">
        <f t="shared" si="151"/>
        <v>1897081.03</v>
      </c>
      <c r="Y308" s="8"/>
      <c r="Z308" s="9">
        <f t="shared" si="152"/>
        <v>0</v>
      </c>
      <c r="AA308" s="8">
        <f t="shared" si="153"/>
        <v>1897081.03</v>
      </c>
      <c r="AB308" s="8">
        <f t="shared" si="154"/>
        <v>0</v>
      </c>
    </row>
    <row r="309" spans="1:28" x14ac:dyDescent="0.3">
      <c r="A309" s="64"/>
      <c r="B309" s="8"/>
      <c r="C309" s="7" t="s">
        <v>550</v>
      </c>
      <c r="D309" s="8"/>
      <c r="E309" s="9">
        <v>306920.21999999997</v>
      </c>
      <c r="F309" s="8"/>
      <c r="G309" s="8"/>
      <c r="H309" s="9">
        <f t="shared" si="148"/>
        <v>0</v>
      </c>
      <c r="I309" s="8"/>
      <c r="J309" s="9">
        <f t="shared" si="149"/>
        <v>0</v>
      </c>
      <c r="K309" s="9">
        <f>306920.22+18135.39-18135.39</f>
        <v>306920.21999999997</v>
      </c>
      <c r="L309" s="8"/>
      <c r="M309" s="9">
        <f>+H309+L309</f>
        <v>0</v>
      </c>
      <c r="N309" s="8">
        <v>306920.21999999997</v>
      </c>
      <c r="O309" s="9"/>
      <c r="P309" s="9">
        <f t="shared" si="156"/>
        <v>306920.21999999997</v>
      </c>
      <c r="Q309" s="9"/>
      <c r="R309" s="17"/>
      <c r="S309" s="17"/>
      <c r="T309" s="25"/>
      <c r="U309" s="18">
        <f t="shared" si="150"/>
        <v>306920.21999999997</v>
      </c>
      <c r="V309" s="18"/>
      <c r="W309" s="18"/>
      <c r="X309" s="9">
        <f t="shared" si="151"/>
        <v>306920.21999999997</v>
      </c>
      <c r="Y309" s="8"/>
      <c r="Z309" s="9">
        <f t="shared" si="152"/>
        <v>0</v>
      </c>
      <c r="AA309" s="8">
        <f t="shared" si="153"/>
        <v>306920.21999999997</v>
      </c>
      <c r="AB309" s="8">
        <f t="shared" si="154"/>
        <v>0</v>
      </c>
    </row>
    <row r="310" spans="1:28" x14ac:dyDescent="0.3">
      <c r="A310" s="64"/>
      <c r="B310" s="8"/>
      <c r="C310" s="7" t="s">
        <v>562</v>
      </c>
      <c r="D310" s="8"/>
      <c r="E310" s="9">
        <v>792116</v>
      </c>
      <c r="F310" s="9">
        <v>792116</v>
      </c>
      <c r="G310" s="8"/>
      <c r="H310" s="9">
        <f t="shared" si="148"/>
        <v>792116</v>
      </c>
      <c r="I310" s="8"/>
      <c r="J310" s="9">
        <f t="shared" si="149"/>
        <v>792116</v>
      </c>
      <c r="K310" s="8"/>
      <c r="L310" s="8"/>
      <c r="M310" s="9">
        <f t="shared" si="155"/>
        <v>792116</v>
      </c>
      <c r="N310" s="8"/>
      <c r="O310" s="9"/>
      <c r="P310" s="9">
        <f t="shared" si="156"/>
        <v>0</v>
      </c>
      <c r="Q310" s="9"/>
      <c r="R310" s="17"/>
      <c r="S310" s="17"/>
      <c r="T310" s="25"/>
      <c r="U310" s="18">
        <f t="shared" si="150"/>
        <v>0</v>
      </c>
      <c r="V310" s="18"/>
      <c r="W310" s="18"/>
      <c r="X310" s="9">
        <f t="shared" si="151"/>
        <v>792116</v>
      </c>
      <c r="Y310" s="8"/>
      <c r="Z310" s="9">
        <f t="shared" si="152"/>
        <v>0</v>
      </c>
      <c r="AA310" s="8">
        <f t="shared" si="153"/>
        <v>792116</v>
      </c>
      <c r="AB310" s="8">
        <f t="shared" si="154"/>
        <v>0</v>
      </c>
    </row>
    <row r="311" spans="1:28" x14ac:dyDescent="0.3">
      <c r="A311" s="64"/>
      <c r="B311" s="8"/>
      <c r="C311" s="7" t="s">
        <v>543</v>
      </c>
      <c r="D311" s="8"/>
      <c r="E311" s="9">
        <f>2500000+2500000+2248035.77+251964.23</f>
        <v>7500000</v>
      </c>
      <c r="F311" s="9">
        <f>5000000+2248035.77+251964.23</f>
        <v>7500000</v>
      </c>
      <c r="G311" s="8"/>
      <c r="H311" s="9">
        <f t="shared" si="148"/>
        <v>7500000</v>
      </c>
      <c r="I311" s="9"/>
      <c r="J311" s="9">
        <f t="shared" si="149"/>
        <v>7500000</v>
      </c>
      <c r="K311" s="8"/>
      <c r="L311" s="8"/>
      <c r="M311" s="9">
        <f t="shared" si="155"/>
        <v>7500000</v>
      </c>
      <c r="N311" s="8"/>
      <c r="O311" s="9"/>
      <c r="P311" s="9">
        <f t="shared" si="156"/>
        <v>0</v>
      </c>
      <c r="Q311" s="9"/>
      <c r="R311" s="17"/>
      <c r="S311" s="17"/>
      <c r="T311" s="25"/>
      <c r="U311" s="18">
        <f t="shared" si="150"/>
        <v>0</v>
      </c>
      <c r="V311" s="18"/>
      <c r="W311" s="18"/>
      <c r="X311" s="9">
        <f t="shared" si="151"/>
        <v>7500000</v>
      </c>
      <c r="Y311" s="8"/>
      <c r="Z311" s="9">
        <f t="shared" si="152"/>
        <v>0</v>
      </c>
      <c r="AA311" s="8">
        <f t="shared" si="153"/>
        <v>7500000</v>
      </c>
      <c r="AB311" s="8">
        <f t="shared" si="154"/>
        <v>0</v>
      </c>
    </row>
    <row r="312" spans="1:28" x14ac:dyDescent="0.3">
      <c r="A312" s="64"/>
      <c r="B312" s="8"/>
      <c r="C312" s="8"/>
      <c r="D312" s="8"/>
      <c r="E312" s="17" t="s">
        <v>29</v>
      </c>
      <c r="F312" s="17" t="s">
        <v>29</v>
      </c>
      <c r="G312" s="17" t="s">
        <v>29</v>
      </c>
      <c r="H312" s="17" t="s">
        <v>29</v>
      </c>
      <c r="I312" s="17" t="s">
        <v>29</v>
      </c>
      <c r="J312" s="17" t="s">
        <v>29</v>
      </c>
      <c r="K312" s="17" t="s">
        <v>29</v>
      </c>
      <c r="L312" s="17" t="s">
        <v>29</v>
      </c>
      <c r="M312" s="17" t="s">
        <v>29</v>
      </c>
      <c r="N312" s="17" t="s">
        <v>29</v>
      </c>
      <c r="O312" s="17" t="s">
        <v>29</v>
      </c>
      <c r="P312" s="17" t="s">
        <v>29</v>
      </c>
      <c r="Q312" s="17" t="s">
        <v>29</v>
      </c>
      <c r="R312" s="17" t="s">
        <v>29</v>
      </c>
      <c r="S312" s="17" t="s">
        <v>29</v>
      </c>
      <c r="T312" s="17" t="s">
        <v>29</v>
      </c>
      <c r="U312" s="17" t="s">
        <v>29</v>
      </c>
      <c r="V312" s="17" t="s">
        <v>29</v>
      </c>
      <c r="W312" s="17" t="s">
        <v>29</v>
      </c>
      <c r="X312" s="17" t="s">
        <v>29</v>
      </c>
      <c r="Y312" s="17" t="s">
        <v>29</v>
      </c>
      <c r="Z312" s="17" t="s">
        <v>29</v>
      </c>
      <c r="AA312" s="17" t="s">
        <v>29</v>
      </c>
      <c r="AB312" s="17" t="s">
        <v>29</v>
      </c>
    </row>
    <row r="313" spans="1:28" x14ac:dyDescent="0.3">
      <c r="A313" s="64"/>
      <c r="B313" s="8"/>
      <c r="C313" s="8"/>
      <c r="D313" s="8"/>
      <c r="E313" s="9">
        <f t="shared" ref="E313:Q313" si="157">SUM(E284:E312)</f>
        <v>70145537.849999994</v>
      </c>
      <c r="F313" s="9">
        <f t="shared" si="157"/>
        <v>59463193.390000001</v>
      </c>
      <c r="G313" s="9">
        <f t="shared" si="157"/>
        <v>0</v>
      </c>
      <c r="H313" s="9">
        <f t="shared" si="157"/>
        <v>59463193.390000001</v>
      </c>
      <c r="I313" s="9">
        <f t="shared" si="157"/>
        <v>2473788</v>
      </c>
      <c r="J313" s="9">
        <f t="shared" si="157"/>
        <v>54732392.399999999</v>
      </c>
      <c r="K313" s="9">
        <f t="shared" si="157"/>
        <v>7490922.54</v>
      </c>
      <c r="L313" s="9">
        <f t="shared" si="157"/>
        <v>2473788</v>
      </c>
      <c r="M313" s="9">
        <f t="shared" si="157"/>
        <v>61936981.390000001</v>
      </c>
      <c r="N313" s="9">
        <f t="shared" si="157"/>
        <v>7490922.54</v>
      </c>
      <c r="O313" s="9">
        <f t="shared" si="157"/>
        <v>0</v>
      </c>
      <c r="P313" s="9">
        <f t="shared" si="157"/>
        <v>7490922.54</v>
      </c>
      <c r="Q313" s="9">
        <f t="shared" si="157"/>
        <v>0</v>
      </c>
      <c r="R313" s="17"/>
      <c r="S313" s="17"/>
      <c r="T313" s="9">
        <f t="shared" ref="T313:Z313" si="158">SUM(T284:T312)</f>
        <v>0</v>
      </c>
      <c r="U313" s="9">
        <f t="shared" si="158"/>
        <v>7490922.54</v>
      </c>
      <c r="V313" s="9">
        <f t="shared" si="158"/>
        <v>0</v>
      </c>
      <c r="W313" s="9">
        <f t="shared" si="158"/>
        <v>0</v>
      </c>
      <c r="X313" s="9">
        <f t="shared" si="158"/>
        <v>66954115.93</v>
      </c>
      <c r="Y313" s="9">
        <f t="shared" si="158"/>
        <v>0</v>
      </c>
      <c r="Z313" s="9">
        <f t="shared" si="158"/>
        <v>3191421.92</v>
      </c>
      <c r="AA313" s="9">
        <f>SUM(AA284:AA312)</f>
        <v>69427903.930000007</v>
      </c>
      <c r="AB313" s="9">
        <f>SUM(AB284:AB312)</f>
        <v>717633.91999999993</v>
      </c>
    </row>
    <row r="314" spans="1:28" x14ac:dyDescent="0.3">
      <c r="A314" s="64"/>
      <c r="B314" s="8"/>
      <c r="C314" s="8"/>
      <c r="D314" s="8"/>
      <c r="E314" s="17" t="s">
        <v>29</v>
      </c>
      <c r="F314" s="17" t="s">
        <v>29</v>
      </c>
      <c r="G314" s="17" t="s">
        <v>29</v>
      </c>
      <c r="H314" s="17" t="s">
        <v>29</v>
      </c>
      <c r="I314" s="17" t="s">
        <v>29</v>
      </c>
      <c r="J314" s="17" t="s">
        <v>29</v>
      </c>
      <c r="K314" s="17" t="s">
        <v>29</v>
      </c>
      <c r="L314" s="17" t="s">
        <v>29</v>
      </c>
      <c r="M314" s="17" t="s">
        <v>29</v>
      </c>
      <c r="N314" s="17" t="s">
        <v>29</v>
      </c>
      <c r="O314" s="17" t="s">
        <v>29</v>
      </c>
      <c r="P314" s="17" t="s">
        <v>29</v>
      </c>
      <c r="Q314" s="17" t="s">
        <v>29</v>
      </c>
      <c r="R314" s="17" t="s">
        <v>29</v>
      </c>
      <c r="S314" s="17" t="s">
        <v>29</v>
      </c>
      <c r="T314" s="17" t="s">
        <v>29</v>
      </c>
      <c r="U314" s="17" t="s">
        <v>29</v>
      </c>
      <c r="V314" s="17" t="s">
        <v>29</v>
      </c>
      <c r="W314" s="17" t="s">
        <v>29</v>
      </c>
      <c r="X314" s="17" t="s">
        <v>29</v>
      </c>
      <c r="Y314" s="17" t="s">
        <v>29</v>
      </c>
      <c r="Z314" s="17" t="s">
        <v>29</v>
      </c>
      <c r="AA314" s="17" t="s">
        <v>29</v>
      </c>
      <c r="AB314" s="17" t="s">
        <v>29</v>
      </c>
    </row>
    <row r="315" spans="1:28" x14ac:dyDescent="0.3">
      <c r="A315" s="63" t="s">
        <v>948</v>
      </c>
      <c r="B315" s="7" t="s">
        <v>563</v>
      </c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17"/>
      <c r="S315" s="17"/>
      <c r="T315" s="25"/>
      <c r="U315" s="25"/>
      <c r="V315" s="25"/>
      <c r="W315" s="25"/>
      <c r="X315" s="25"/>
      <c r="Y315" s="25"/>
      <c r="Z315" s="25"/>
      <c r="AA315" s="58"/>
    </row>
    <row r="316" spans="1:28" x14ac:dyDescent="0.3">
      <c r="A316" s="64"/>
      <c r="B316" s="8"/>
      <c r="C316" s="7" t="s">
        <v>564</v>
      </c>
      <c r="D316" s="15" t="s">
        <v>76</v>
      </c>
      <c r="E316" s="9">
        <v>537000</v>
      </c>
      <c r="F316" s="8"/>
      <c r="G316" s="8"/>
      <c r="H316" s="9">
        <f>+F316+G316</f>
        <v>0</v>
      </c>
      <c r="I316" s="8"/>
      <c r="J316" s="9">
        <f t="shared" ref="J316:J332" si="159">H316+I316</f>
        <v>0</v>
      </c>
      <c r="K316" s="9">
        <v>172890.44</v>
      </c>
      <c r="L316" s="8"/>
      <c r="M316" s="9">
        <f>+H316+L316</f>
        <v>0</v>
      </c>
      <c r="N316" s="8">
        <v>172890.44</v>
      </c>
      <c r="O316" s="9"/>
      <c r="P316" s="9">
        <f>+N316+O316</f>
        <v>172890.44</v>
      </c>
      <c r="Q316" s="9"/>
      <c r="R316" s="17"/>
      <c r="S316" s="17"/>
      <c r="T316" s="25"/>
      <c r="U316" s="18">
        <f t="shared" ref="U316:U332" si="160">+P316+T316</f>
        <v>172890.44</v>
      </c>
      <c r="V316" s="18"/>
      <c r="W316" s="18"/>
      <c r="X316" s="9">
        <f t="shared" ref="X316:X332" si="161">+H316+P316</f>
        <v>172890.44</v>
      </c>
      <c r="Y316" s="8"/>
      <c r="Z316" s="9">
        <f t="shared" ref="Z316:Z332" si="162">+E316-X316</f>
        <v>364109.56</v>
      </c>
      <c r="AA316" s="8">
        <f t="shared" ref="AA316:AA332" si="163">+M316+U316</f>
        <v>172890.44</v>
      </c>
      <c r="AB316" s="8">
        <f t="shared" ref="AB316:AB332" si="164">+E316-AA316</f>
        <v>364109.56</v>
      </c>
    </row>
    <row r="317" spans="1:28" x14ac:dyDescent="0.3">
      <c r="A317" s="64"/>
      <c r="B317" s="8"/>
      <c r="C317" s="7" t="s">
        <v>565</v>
      </c>
      <c r="D317" s="15" t="s">
        <v>150</v>
      </c>
      <c r="E317" s="9">
        <f>1140087-51309.89</f>
        <v>1088777.1100000001</v>
      </c>
      <c r="F317" s="9">
        <f>1183971.61-664550</f>
        <v>519421.6100000001</v>
      </c>
      <c r="G317" s="8"/>
      <c r="H317" s="9">
        <f t="shared" ref="H317:H332" si="165">+F317+G317</f>
        <v>519421.6100000001</v>
      </c>
      <c r="I317" s="8"/>
      <c r="J317" s="9">
        <f t="shared" si="159"/>
        <v>519421.6100000001</v>
      </c>
      <c r="K317" s="9">
        <v>569355.5</v>
      </c>
      <c r="L317" s="8"/>
      <c r="M317" s="9">
        <f t="shared" ref="M317:M332" si="166">+H317+L317</f>
        <v>519421.6100000001</v>
      </c>
      <c r="N317" s="8">
        <v>569355.5</v>
      </c>
      <c r="O317" s="9"/>
      <c r="P317" s="9">
        <f t="shared" ref="P317:P332" si="167">+N317+O317</f>
        <v>569355.5</v>
      </c>
      <c r="Q317" s="9"/>
      <c r="R317" s="17"/>
      <c r="S317" s="17"/>
      <c r="T317" s="25"/>
      <c r="U317" s="18">
        <f t="shared" si="160"/>
        <v>569355.5</v>
      </c>
      <c r="V317" s="18"/>
      <c r="W317" s="18"/>
      <c r="X317" s="9">
        <f t="shared" si="161"/>
        <v>1088777.1100000001</v>
      </c>
      <c r="Y317" s="8"/>
      <c r="Z317" s="9">
        <f t="shared" si="162"/>
        <v>0</v>
      </c>
      <c r="AA317" s="8">
        <f t="shared" si="163"/>
        <v>1088777.1100000001</v>
      </c>
      <c r="AB317" s="8">
        <f t="shared" si="164"/>
        <v>0</v>
      </c>
    </row>
    <row r="318" spans="1:28" x14ac:dyDescent="0.3">
      <c r="A318" s="64"/>
      <c r="B318" s="8"/>
      <c r="C318" s="7" t="s">
        <v>539</v>
      </c>
      <c r="D318" s="15" t="s">
        <v>68</v>
      </c>
      <c r="E318" s="9">
        <f>271815.3+2641132+172035+316544.4+668312.5+393125</f>
        <v>4462964.1999999993</v>
      </c>
      <c r="F318" s="8"/>
      <c r="G318" s="8"/>
      <c r="H318" s="9">
        <f t="shared" si="165"/>
        <v>0</v>
      </c>
      <c r="I318" s="8"/>
      <c r="J318" s="9">
        <f t="shared" si="159"/>
        <v>0</v>
      </c>
      <c r="K318" s="9">
        <f>3401526.7+1061437.5</f>
        <v>4462964.2</v>
      </c>
      <c r="L318" s="8"/>
      <c r="M318" s="9">
        <f t="shared" si="166"/>
        <v>0</v>
      </c>
      <c r="N318" s="8">
        <v>4462964.2</v>
      </c>
      <c r="O318" s="9"/>
      <c r="P318" s="9">
        <f t="shared" si="167"/>
        <v>4462964.2</v>
      </c>
      <c r="Q318" s="9"/>
      <c r="R318" s="17"/>
      <c r="S318" s="17"/>
      <c r="T318" s="25"/>
      <c r="U318" s="18">
        <f t="shared" si="160"/>
        <v>4462964.2</v>
      </c>
      <c r="V318" s="18"/>
      <c r="W318" s="18"/>
      <c r="X318" s="9">
        <f t="shared" si="161"/>
        <v>4462964.2</v>
      </c>
      <c r="Y318" s="8"/>
      <c r="Z318" s="9">
        <f t="shared" si="162"/>
        <v>0</v>
      </c>
      <c r="AA318" s="8">
        <f t="shared" si="163"/>
        <v>4462964.2</v>
      </c>
      <c r="AB318" s="8">
        <f t="shared" si="164"/>
        <v>0</v>
      </c>
    </row>
    <row r="319" spans="1:28" x14ac:dyDescent="0.3">
      <c r="A319" s="64"/>
      <c r="B319" s="8"/>
      <c r="C319" s="7" t="s">
        <v>535</v>
      </c>
      <c r="D319" s="15" t="s">
        <v>68</v>
      </c>
      <c r="E319" s="9">
        <f>2778750-1835947</f>
        <v>942803</v>
      </c>
      <c r="F319" s="9">
        <v>942803</v>
      </c>
      <c r="G319" s="8"/>
      <c r="H319" s="9">
        <f t="shared" si="165"/>
        <v>942803</v>
      </c>
      <c r="I319" s="8"/>
      <c r="J319" s="9">
        <f t="shared" si="159"/>
        <v>942803</v>
      </c>
      <c r="K319" s="8"/>
      <c r="L319" s="8"/>
      <c r="M319" s="9">
        <f t="shared" si="166"/>
        <v>942803</v>
      </c>
      <c r="N319" s="8"/>
      <c r="O319" s="9"/>
      <c r="P319" s="9">
        <f t="shared" si="167"/>
        <v>0</v>
      </c>
      <c r="Q319" s="9"/>
      <c r="R319" s="17"/>
      <c r="S319" s="17"/>
      <c r="T319" s="25"/>
      <c r="U319" s="18">
        <f t="shared" si="160"/>
        <v>0</v>
      </c>
      <c r="V319" s="18"/>
      <c r="W319" s="18"/>
      <c r="X319" s="9">
        <f t="shared" si="161"/>
        <v>942803</v>
      </c>
      <c r="Y319" s="8"/>
      <c r="Z319" s="9">
        <f t="shared" si="162"/>
        <v>0</v>
      </c>
      <c r="AA319" s="8">
        <f t="shared" si="163"/>
        <v>942803</v>
      </c>
      <c r="AB319" s="8">
        <f t="shared" si="164"/>
        <v>0</v>
      </c>
    </row>
    <row r="320" spans="1:28" x14ac:dyDescent="0.3">
      <c r="A320" s="64"/>
      <c r="B320" s="8"/>
      <c r="C320" s="7" t="s">
        <v>545</v>
      </c>
      <c r="D320" s="15" t="s">
        <v>54</v>
      </c>
      <c r="E320" s="9">
        <v>1953989</v>
      </c>
      <c r="F320" s="8"/>
      <c r="G320" s="8"/>
      <c r="H320" s="9">
        <f t="shared" si="165"/>
        <v>0</v>
      </c>
      <c r="I320" s="8"/>
      <c r="J320" s="9">
        <f t="shared" si="159"/>
        <v>0</v>
      </c>
      <c r="K320" s="9">
        <v>1953989</v>
      </c>
      <c r="L320" s="8"/>
      <c r="M320" s="9">
        <f t="shared" si="166"/>
        <v>0</v>
      </c>
      <c r="N320" s="8">
        <v>1953989</v>
      </c>
      <c r="O320" s="9"/>
      <c r="P320" s="9">
        <f t="shared" si="167"/>
        <v>1953989</v>
      </c>
      <c r="Q320" s="9"/>
      <c r="R320" s="17"/>
      <c r="S320" s="17"/>
      <c r="T320" s="25"/>
      <c r="U320" s="18">
        <f t="shared" si="160"/>
        <v>1953989</v>
      </c>
      <c r="V320" s="18"/>
      <c r="W320" s="18"/>
      <c r="X320" s="9">
        <f t="shared" si="161"/>
        <v>1953989</v>
      </c>
      <c r="Y320" s="8"/>
      <c r="Z320" s="9">
        <f t="shared" si="162"/>
        <v>0</v>
      </c>
      <c r="AA320" s="8">
        <f t="shared" si="163"/>
        <v>1953989</v>
      </c>
      <c r="AB320" s="8">
        <f t="shared" si="164"/>
        <v>0</v>
      </c>
    </row>
    <row r="321" spans="1:28" x14ac:dyDescent="0.3">
      <c r="A321" s="64"/>
      <c r="B321" s="8"/>
      <c r="C321" s="7" t="s">
        <v>557</v>
      </c>
      <c r="D321" s="15" t="s">
        <v>54</v>
      </c>
      <c r="E321" s="9">
        <v>605250</v>
      </c>
      <c r="F321" s="9">
        <f>413700+191550</f>
        <v>605250</v>
      </c>
      <c r="G321" s="8"/>
      <c r="H321" s="9">
        <f t="shared" si="165"/>
        <v>605250</v>
      </c>
      <c r="I321" s="8"/>
      <c r="J321" s="9">
        <f t="shared" si="159"/>
        <v>605250</v>
      </c>
      <c r="K321" s="8"/>
      <c r="L321" s="8"/>
      <c r="M321" s="9">
        <f t="shared" si="166"/>
        <v>605250</v>
      </c>
      <c r="N321" s="8"/>
      <c r="O321" s="9"/>
      <c r="P321" s="9">
        <f t="shared" si="167"/>
        <v>0</v>
      </c>
      <c r="Q321" s="9"/>
      <c r="R321" s="17"/>
      <c r="S321" s="17"/>
      <c r="T321" s="25"/>
      <c r="U321" s="18">
        <f t="shared" si="160"/>
        <v>0</v>
      </c>
      <c r="V321" s="18"/>
      <c r="W321" s="18"/>
      <c r="X321" s="9">
        <f t="shared" si="161"/>
        <v>605250</v>
      </c>
      <c r="Y321" s="8"/>
      <c r="Z321" s="9">
        <f t="shared" si="162"/>
        <v>0</v>
      </c>
      <c r="AA321" s="8">
        <f t="shared" si="163"/>
        <v>605250</v>
      </c>
      <c r="AB321" s="8">
        <f t="shared" si="164"/>
        <v>0</v>
      </c>
    </row>
    <row r="322" spans="1:28" x14ac:dyDescent="0.3">
      <c r="A322" s="64"/>
      <c r="B322" s="8"/>
      <c r="C322" s="7" t="s">
        <v>535</v>
      </c>
      <c r="D322" s="15" t="s">
        <v>85</v>
      </c>
      <c r="E322" s="9">
        <v>2211650</v>
      </c>
      <c r="F322" s="9">
        <f>1353000+858650</f>
        <v>2211650</v>
      </c>
      <c r="G322" s="8"/>
      <c r="H322" s="9">
        <f t="shared" si="165"/>
        <v>2211650</v>
      </c>
      <c r="I322" s="8"/>
      <c r="J322" s="9">
        <f t="shared" si="159"/>
        <v>2211650</v>
      </c>
      <c r="K322" s="8"/>
      <c r="L322" s="8"/>
      <c r="M322" s="9">
        <f t="shared" si="166"/>
        <v>2211650</v>
      </c>
      <c r="N322" s="8"/>
      <c r="O322" s="9"/>
      <c r="P322" s="9">
        <f t="shared" si="167"/>
        <v>0</v>
      </c>
      <c r="Q322" s="9"/>
      <c r="R322" s="17"/>
      <c r="S322" s="17"/>
      <c r="T322" s="25"/>
      <c r="U322" s="18">
        <f t="shared" si="160"/>
        <v>0</v>
      </c>
      <c r="V322" s="18"/>
      <c r="W322" s="18"/>
      <c r="X322" s="9">
        <f t="shared" si="161"/>
        <v>2211650</v>
      </c>
      <c r="Y322" s="8"/>
      <c r="Z322" s="9">
        <f t="shared" si="162"/>
        <v>0</v>
      </c>
      <c r="AA322" s="8">
        <f t="shared" si="163"/>
        <v>2211650</v>
      </c>
      <c r="AB322" s="8">
        <f t="shared" si="164"/>
        <v>0</v>
      </c>
    </row>
    <row r="323" spans="1:28" x14ac:dyDescent="0.3">
      <c r="A323" s="64"/>
      <c r="B323" s="8"/>
      <c r="C323" s="7" t="s">
        <v>566</v>
      </c>
      <c r="D323" s="15" t="s">
        <v>128</v>
      </c>
      <c r="E323" s="9">
        <v>549900</v>
      </c>
      <c r="F323" s="9">
        <v>549900</v>
      </c>
      <c r="G323" s="8"/>
      <c r="H323" s="9">
        <f t="shared" si="165"/>
        <v>549900</v>
      </c>
      <c r="I323" s="8"/>
      <c r="J323" s="9">
        <f t="shared" si="159"/>
        <v>549900</v>
      </c>
      <c r="K323" s="8"/>
      <c r="L323" s="8"/>
      <c r="M323" s="9">
        <f t="shared" si="166"/>
        <v>549900</v>
      </c>
      <c r="N323" s="8"/>
      <c r="O323" s="9"/>
      <c r="P323" s="9">
        <f t="shared" si="167"/>
        <v>0</v>
      </c>
      <c r="Q323" s="9"/>
      <c r="R323" s="17"/>
      <c r="S323" s="17"/>
      <c r="T323" s="25"/>
      <c r="U323" s="18">
        <f t="shared" si="160"/>
        <v>0</v>
      </c>
      <c r="V323" s="18"/>
      <c r="W323" s="18"/>
      <c r="X323" s="9">
        <f t="shared" si="161"/>
        <v>549900</v>
      </c>
      <c r="Y323" s="8"/>
      <c r="Z323" s="9">
        <f t="shared" si="162"/>
        <v>0</v>
      </c>
      <c r="AA323" s="8">
        <f t="shared" si="163"/>
        <v>549900</v>
      </c>
      <c r="AB323" s="8">
        <f t="shared" si="164"/>
        <v>0</v>
      </c>
    </row>
    <row r="324" spans="1:28" x14ac:dyDescent="0.3">
      <c r="A324" s="64"/>
      <c r="B324" s="8"/>
      <c r="C324" s="7" t="s">
        <v>535</v>
      </c>
      <c r="D324" s="15" t="s">
        <v>108</v>
      </c>
      <c r="E324" s="9">
        <v>3000000</v>
      </c>
      <c r="F324" s="9">
        <v>3000000</v>
      </c>
      <c r="G324" s="8"/>
      <c r="H324" s="9">
        <f t="shared" si="165"/>
        <v>3000000</v>
      </c>
      <c r="I324" s="8"/>
      <c r="J324" s="9">
        <f t="shared" si="159"/>
        <v>3000000</v>
      </c>
      <c r="K324" s="8"/>
      <c r="L324" s="8"/>
      <c r="M324" s="9">
        <f t="shared" si="166"/>
        <v>3000000</v>
      </c>
      <c r="N324" s="8"/>
      <c r="O324" s="9"/>
      <c r="P324" s="9">
        <f t="shared" si="167"/>
        <v>0</v>
      </c>
      <c r="Q324" s="9"/>
      <c r="R324" s="17"/>
      <c r="S324" s="17"/>
      <c r="T324" s="25"/>
      <c r="U324" s="18">
        <f t="shared" si="160"/>
        <v>0</v>
      </c>
      <c r="V324" s="18"/>
      <c r="W324" s="18"/>
      <c r="X324" s="9">
        <f t="shared" si="161"/>
        <v>3000000</v>
      </c>
      <c r="Y324" s="8"/>
      <c r="Z324" s="9">
        <f t="shared" si="162"/>
        <v>0</v>
      </c>
      <c r="AA324" s="8">
        <f t="shared" si="163"/>
        <v>3000000</v>
      </c>
      <c r="AB324" s="8">
        <f t="shared" si="164"/>
        <v>0</v>
      </c>
    </row>
    <row r="325" spans="1:28" x14ac:dyDescent="0.3">
      <c r="A325" s="64"/>
      <c r="B325" s="8"/>
      <c r="C325" s="7" t="s">
        <v>535</v>
      </c>
      <c r="D325" s="21" t="s">
        <v>60</v>
      </c>
      <c r="E325" s="9">
        <v>3356370</v>
      </c>
      <c r="F325" s="9">
        <v>3356370</v>
      </c>
      <c r="G325" s="8"/>
      <c r="H325" s="9">
        <f t="shared" si="165"/>
        <v>3356370</v>
      </c>
      <c r="I325" s="9"/>
      <c r="J325" s="9">
        <f t="shared" si="159"/>
        <v>3356370</v>
      </c>
      <c r="K325" s="8"/>
      <c r="L325" s="8"/>
      <c r="M325" s="9">
        <f t="shared" si="166"/>
        <v>3356370</v>
      </c>
      <c r="N325" s="8"/>
      <c r="O325" s="9"/>
      <c r="P325" s="9">
        <f t="shared" si="167"/>
        <v>0</v>
      </c>
      <c r="Q325" s="9"/>
      <c r="R325" s="17"/>
      <c r="S325" s="17"/>
      <c r="T325" s="25"/>
      <c r="U325" s="18">
        <f t="shared" si="160"/>
        <v>0</v>
      </c>
      <c r="V325" s="18"/>
      <c r="W325" s="18"/>
      <c r="X325" s="9">
        <f t="shared" si="161"/>
        <v>3356370</v>
      </c>
      <c r="Y325" s="8"/>
      <c r="Z325" s="9">
        <f t="shared" si="162"/>
        <v>0</v>
      </c>
      <c r="AA325" s="8">
        <f t="shared" si="163"/>
        <v>3356370</v>
      </c>
      <c r="AB325" s="8">
        <f t="shared" si="164"/>
        <v>0</v>
      </c>
    </row>
    <row r="326" spans="1:28" x14ac:dyDescent="0.3">
      <c r="A326" s="64"/>
      <c r="B326" s="8"/>
      <c r="C326" s="14" t="s">
        <v>535</v>
      </c>
      <c r="D326" s="21" t="s">
        <v>73</v>
      </c>
      <c r="E326" s="11">
        <v>1809880.23</v>
      </c>
      <c r="F326" s="11">
        <v>1809880.23</v>
      </c>
      <c r="G326" s="8"/>
      <c r="H326" s="9">
        <f t="shared" si="165"/>
        <v>1809880.23</v>
      </c>
      <c r="I326" s="8"/>
      <c r="J326" s="9">
        <f t="shared" si="159"/>
        <v>1809880.23</v>
      </c>
      <c r="K326" s="8"/>
      <c r="L326" s="8"/>
      <c r="M326" s="9">
        <f t="shared" si="166"/>
        <v>1809880.23</v>
      </c>
      <c r="N326" s="8"/>
      <c r="O326" s="9"/>
      <c r="P326" s="9">
        <f t="shared" si="167"/>
        <v>0</v>
      </c>
      <c r="Q326" s="9"/>
      <c r="R326" s="17"/>
      <c r="S326" s="17"/>
      <c r="T326" s="25"/>
      <c r="U326" s="18">
        <f t="shared" si="160"/>
        <v>0</v>
      </c>
      <c r="V326" s="18"/>
      <c r="W326" s="18"/>
      <c r="X326" s="9">
        <f t="shared" si="161"/>
        <v>1809880.23</v>
      </c>
      <c r="Y326" s="8"/>
      <c r="Z326" s="9">
        <f t="shared" si="162"/>
        <v>0</v>
      </c>
      <c r="AA326" s="8">
        <f t="shared" si="163"/>
        <v>1809880.23</v>
      </c>
      <c r="AB326" s="8">
        <f t="shared" si="164"/>
        <v>0</v>
      </c>
    </row>
    <row r="327" spans="1:28" x14ac:dyDescent="0.3">
      <c r="A327" s="64"/>
      <c r="B327" s="8"/>
      <c r="C327" s="14" t="s">
        <v>535</v>
      </c>
      <c r="D327" s="21" t="s">
        <v>61</v>
      </c>
      <c r="E327" s="11">
        <f>1768533.86+45015.64+25969.27</f>
        <v>1839518.77</v>
      </c>
      <c r="F327" s="11">
        <v>1768533.86</v>
      </c>
      <c r="G327" s="8"/>
      <c r="H327" s="9">
        <f t="shared" si="165"/>
        <v>1768533.86</v>
      </c>
      <c r="I327" s="8"/>
      <c r="J327" s="9">
        <f t="shared" si="159"/>
        <v>1768533.86</v>
      </c>
      <c r="K327" s="8"/>
      <c r="L327" s="8"/>
      <c r="M327" s="9">
        <f t="shared" si="166"/>
        <v>1768533.86</v>
      </c>
      <c r="N327" s="11"/>
      <c r="O327" s="9"/>
      <c r="P327" s="9">
        <f t="shared" si="167"/>
        <v>0</v>
      </c>
      <c r="Q327" s="9"/>
      <c r="R327" s="17"/>
      <c r="S327" s="17"/>
      <c r="T327" s="25">
        <v>70984.91</v>
      </c>
      <c r="U327" s="18">
        <f t="shared" si="160"/>
        <v>70984.91</v>
      </c>
      <c r="V327" s="18"/>
      <c r="W327" s="18"/>
      <c r="X327" s="9">
        <f t="shared" si="161"/>
        <v>1768533.86</v>
      </c>
      <c r="Y327" s="8"/>
      <c r="Z327" s="9">
        <f t="shared" si="162"/>
        <v>70984.909999999916</v>
      </c>
      <c r="AA327" s="8">
        <f t="shared" si="163"/>
        <v>1839518.77</v>
      </c>
      <c r="AB327" s="8">
        <f t="shared" si="164"/>
        <v>0</v>
      </c>
    </row>
    <row r="328" spans="1:28" x14ac:dyDescent="0.3">
      <c r="A328" s="64"/>
      <c r="B328" s="8"/>
      <c r="C328" s="14" t="s">
        <v>926</v>
      </c>
      <c r="D328" s="21"/>
      <c r="E328" s="11">
        <f>868466.14+23722.7</f>
        <v>892188.84</v>
      </c>
      <c r="F328" s="8">
        <v>868466.14</v>
      </c>
      <c r="G328" s="8"/>
      <c r="H328" s="9">
        <f>+F328+G328</f>
        <v>868466.14</v>
      </c>
      <c r="I328" s="8"/>
      <c r="J328" s="9"/>
      <c r="K328" s="8"/>
      <c r="L328" s="8"/>
      <c r="M328" s="9">
        <f>+H328+L328</f>
        <v>868466.14</v>
      </c>
      <c r="N328" s="11">
        <v>23722.7</v>
      </c>
      <c r="O328" s="9"/>
      <c r="P328" s="9">
        <f>+N328+O328</f>
        <v>23722.7</v>
      </c>
      <c r="Q328" s="9"/>
      <c r="R328" s="17"/>
      <c r="S328" s="17"/>
      <c r="T328" s="25"/>
      <c r="U328" s="18">
        <f>+P328+T328</f>
        <v>23722.7</v>
      </c>
      <c r="V328" s="18"/>
      <c r="W328" s="18"/>
      <c r="X328" s="9">
        <f t="shared" si="161"/>
        <v>892188.84</v>
      </c>
      <c r="Y328" s="8"/>
      <c r="Z328" s="9">
        <f t="shared" si="162"/>
        <v>0</v>
      </c>
      <c r="AA328" s="8">
        <f t="shared" si="163"/>
        <v>892188.84</v>
      </c>
      <c r="AB328" s="8">
        <f t="shared" si="164"/>
        <v>0</v>
      </c>
    </row>
    <row r="329" spans="1:28" x14ac:dyDescent="0.3">
      <c r="A329" s="64"/>
      <c r="B329" s="8"/>
      <c r="C329" s="14" t="s">
        <v>567</v>
      </c>
      <c r="D329" s="21" t="s">
        <v>61</v>
      </c>
      <c r="E329" s="11">
        <f>484622.42+17597.74</f>
        <v>502220.16</v>
      </c>
      <c r="F329" s="11">
        <v>484622.42</v>
      </c>
      <c r="G329" s="8"/>
      <c r="H329" s="9">
        <f t="shared" si="165"/>
        <v>484622.42</v>
      </c>
      <c r="I329" s="8"/>
      <c r="J329" s="9">
        <f t="shared" si="159"/>
        <v>484622.42</v>
      </c>
      <c r="K329" s="8"/>
      <c r="L329" s="8"/>
      <c r="M329" s="9">
        <f t="shared" si="166"/>
        <v>484622.42</v>
      </c>
      <c r="N329" s="11"/>
      <c r="O329" s="9"/>
      <c r="P329" s="9">
        <f t="shared" si="167"/>
        <v>0</v>
      </c>
      <c r="Q329" s="9"/>
      <c r="R329" s="17"/>
      <c r="S329" s="17"/>
      <c r="T329" s="25">
        <v>17597.740000000002</v>
      </c>
      <c r="U329" s="18">
        <f t="shared" si="160"/>
        <v>17597.740000000002</v>
      </c>
      <c r="V329" s="18"/>
      <c r="W329" s="18"/>
      <c r="X329" s="9">
        <f t="shared" si="161"/>
        <v>484622.42</v>
      </c>
      <c r="Y329" s="8"/>
      <c r="Z329" s="9">
        <f t="shared" si="162"/>
        <v>17597.739999999991</v>
      </c>
      <c r="AA329" s="8">
        <f t="shared" si="163"/>
        <v>502220.16</v>
      </c>
      <c r="AB329" s="8">
        <f t="shared" si="164"/>
        <v>0</v>
      </c>
    </row>
    <row r="330" spans="1:28" x14ac:dyDescent="0.3">
      <c r="A330" s="64"/>
      <c r="B330" s="8"/>
      <c r="C330" s="14" t="s">
        <v>568</v>
      </c>
      <c r="D330" s="8"/>
      <c r="E330" s="11">
        <v>2838350.57</v>
      </c>
      <c r="F330" s="11">
        <v>2838350.57</v>
      </c>
      <c r="G330" s="8"/>
      <c r="H330" s="9">
        <f t="shared" si="165"/>
        <v>2838350.57</v>
      </c>
      <c r="I330" s="8"/>
      <c r="J330" s="9">
        <f t="shared" si="159"/>
        <v>2838350.57</v>
      </c>
      <c r="K330" s="8"/>
      <c r="L330" s="8"/>
      <c r="M330" s="9">
        <f t="shared" si="166"/>
        <v>2838350.57</v>
      </c>
      <c r="N330" s="8"/>
      <c r="O330" s="9"/>
      <c r="P330" s="9">
        <f t="shared" si="167"/>
        <v>0</v>
      </c>
      <c r="Q330" s="9"/>
      <c r="R330" s="17"/>
      <c r="S330" s="17"/>
      <c r="T330" s="25"/>
      <c r="U330" s="18">
        <f t="shared" si="160"/>
        <v>0</v>
      </c>
      <c r="V330" s="18"/>
      <c r="W330" s="18"/>
      <c r="X330" s="9">
        <f t="shared" si="161"/>
        <v>2838350.57</v>
      </c>
      <c r="Y330" s="8"/>
      <c r="Z330" s="9">
        <f t="shared" si="162"/>
        <v>0</v>
      </c>
      <c r="AA330" s="8">
        <f t="shared" si="163"/>
        <v>2838350.57</v>
      </c>
      <c r="AB330" s="8">
        <f t="shared" si="164"/>
        <v>0</v>
      </c>
    </row>
    <row r="331" spans="1:28" x14ac:dyDescent="0.3">
      <c r="A331" s="64"/>
      <c r="B331" s="8"/>
      <c r="C331" s="7" t="s">
        <v>569</v>
      </c>
      <c r="D331" s="8"/>
      <c r="E331" s="9">
        <v>664550</v>
      </c>
      <c r="F331" s="9">
        <v>664550</v>
      </c>
      <c r="G331" s="8"/>
      <c r="H331" s="9">
        <f t="shared" si="165"/>
        <v>664550</v>
      </c>
      <c r="I331" s="8"/>
      <c r="J331" s="9">
        <f t="shared" si="159"/>
        <v>664550</v>
      </c>
      <c r="K331" s="8"/>
      <c r="L331" s="8"/>
      <c r="M331" s="9">
        <f t="shared" si="166"/>
        <v>664550</v>
      </c>
      <c r="N331" s="8"/>
      <c r="O331" s="9"/>
      <c r="P331" s="9">
        <f t="shared" si="167"/>
        <v>0</v>
      </c>
      <c r="Q331" s="9"/>
      <c r="R331" s="17"/>
      <c r="S331" s="17"/>
      <c r="T331" s="25"/>
      <c r="U331" s="18">
        <f t="shared" si="160"/>
        <v>0</v>
      </c>
      <c r="V331" s="18"/>
      <c r="W331" s="18"/>
      <c r="X331" s="9">
        <f t="shared" si="161"/>
        <v>664550</v>
      </c>
      <c r="Y331" s="8"/>
      <c r="Z331" s="9">
        <f t="shared" si="162"/>
        <v>0</v>
      </c>
      <c r="AA331" s="8">
        <f t="shared" si="163"/>
        <v>664550</v>
      </c>
      <c r="AB331" s="8">
        <f t="shared" si="164"/>
        <v>0</v>
      </c>
    </row>
    <row r="332" spans="1:28" x14ac:dyDescent="0.3">
      <c r="A332" s="64"/>
      <c r="B332" s="8"/>
      <c r="C332" s="7" t="s">
        <v>543</v>
      </c>
      <c r="D332" s="8"/>
      <c r="E332" s="9">
        <f>2500000+1833550.1</f>
        <v>4333550.0999999996</v>
      </c>
      <c r="F332" s="9">
        <f>2500000+1833550.1</f>
        <v>4333550.0999999996</v>
      </c>
      <c r="G332" s="8"/>
      <c r="H332" s="9">
        <f t="shared" si="165"/>
        <v>4333550.0999999996</v>
      </c>
      <c r="I332" s="8"/>
      <c r="J332" s="9">
        <f t="shared" si="159"/>
        <v>4333550.0999999996</v>
      </c>
      <c r="K332" s="8"/>
      <c r="L332" s="8"/>
      <c r="M332" s="9">
        <f t="shared" si="166"/>
        <v>4333550.0999999996</v>
      </c>
      <c r="N332" s="8"/>
      <c r="O332" s="9"/>
      <c r="P332" s="9">
        <f t="shared" si="167"/>
        <v>0</v>
      </c>
      <c r="Q332" s="9"/>
      <c r="R332" s="17"/>
      <c r="S332" s="17"/>
      <c r="T332" s="25"/>
      <c r="U332" s="18">
        <f t="shared" si="160"/>
        <v>0</v>
      </c>
      <c r="V332" s="18"/>
      <c r="W332" s="18"/>
      <c r="X332" s="9">
        <f t="shared" si="161"/>
        <v>4333550.0999999996</v>
      </c>
      <c r="Y332" s="8"/>
      <c r="Z332" s="9">
        <f t="shared" si="162"/>
        <v>0</v>
      </c>
      <c r="AA332" s="8">
        <f t="shared" si="163"/>
        <v>4333550.0999999996</v>
      </c>
      <c r="AB332" s="8">
        <f t="shared" si="164"/>
        <v>0</v>
      </c>
    </row>
    <row r="333" spans="1:28" x14ac:dyDescent="0.3">
      <c r="A333" s="64"/>
      <c r="B333" s="8"/>
      <c r="C333" s="8"/>
      <c r="D333" s="8"/>
      <c r="E333" s="17" t="s">
        <v>29</v>
      </c>
      <c r="F333" s="17" t="s">
        <v>29</v>
      </c>
      <c r="G333" s="17" t="s">
        <v>29</v>
      </c>
      <c r="H333" s="17" t="s">
        <v>29</v>
      </c>
      <c r="I333" s="17" t="s">
        <v>29</v>
      </c>
      <c r="J333" s="17" t="s">
        <v>29</v>
      </c>
      <c r="K333" s="17" t="s">
        <v>29</v>
      </c>
      <c r="L333" s="17" t="s">
        <v>29</v>
      </c>
      <c r="M333" s="17" t="s">
        <v>29</v>
      </c>
      <c r="N333" s="17" t="s">
        <v>29</v>
      </c>
      <c r="O333" s="17" t="s">
        <v>29</v>
      </c>
      <c r="P333" s="17" t="s">
        <v>29</v>
      </c>
      <c r="Q333" s="17" t="s">
        <v>29</v>
      </c>
      <c r="R333" s="17" t="s">
        <v>29</v>
      </c>
      <c r="S333" s="17" t="s">
        <v>29</v>
      </c>
      <c r="T333" s="17" t="s">
        <v>29</v>
      </c>
      <c r="U333" s="17" t="s">
        <v>29</v>
      </c>
      <c r="V333" s="17" t="s">
        <v>29</v>
      </c>
      <c r="W333" s="17" t="s">
        <v>29</v>
      </c>
      <c r="X333" s="17" t="s">
        <v>29</v>
      </c>
      <c r="Y333" s="17" t="s">
        <v>29</v>
      </c>
      <c r="Z333" s="17" t="s">
        <v>29</v>
      </c>
      <c r="AA333" s="17" t="s">
        <v>29</v>
      </c>
      <c r="AB333" s="17" t="s">
        <v>29</v>
      </c>
    </row>
    <row r="334" spans="1:28" x14ac:dyDescent="0.3">
      <c r="A334" s="64"/>
      <c r="B334" s="8"/>
      <c r="C334" s="8"/>
      <c r="D334" s="8"/>
      <c r="E334" s="9">
        <f t="shared" ref="E334:Q334" si="168">SUM(E316:E333)</f>
        <v>31588961.979999997</v>
      </c>
      <c r="F334" s="9">
        <f t="shared" si="168"/>
        <v>23953347.93</v>
      </c>
      <c r="G334" s="9">
        <f t="shared" si="168"/>
        <v>0</v>
      </c>
      <c r="H334" s="9">
        <f t="shared" si="168"/>
        <v>23953347.93</v>
      </c>
      <c r="I334" s="9">
        <f t="shared" si="168"/>
        <v>0</v>
      </c>
      <c r="J334" s="9">
        <f t="shared" si="168"/>
        <v>23084881.789999999</v>
      </c>
      <c r="K334" s="9">
        <f t="shared" si="168"/>
        <v>7159199.1400000006</v>
      </c>
      <c r="L334" s="9">
        <f t="shared" si="168"/>
        <v>0</v>
      </c>
      <c r="M334" s="9">
        <f t="shared" si="168"/>
        <v>23953347.93</v>
      </c>
      <c r="N334" s="9">
        <f t="shared" si="168"/>
        <v>7182921.8400000008</v>
      </c>
      <c r="O334" s="9">
        <f t="shared" si="168"/>
        <v>0</v>
      </c>
      <c r="P334" s="9">
        <f t="shared" si="168"/>
        <v>7182921.8400000008</v>
      </c>
      <c r="Q334" s="9">
        <f t="shared" si="168"/>
        <v>0</v>
      </c>
      <c r="R334" s="17"/>
      <c r="S334" s="17"/>
      <c r="T334" s="9">
        <f t="shared" ref="T334:Z334" si="169">SUM(T316:T333)</f>
        <v>88582.650000000009</v>
      </c>
      <c r="U334" s="9">
        <f t="shared" si="169"/>
        <v>7271504.4900000012</v>
      </c>
      <c r="V334" s="9">
        <f t="shared" si="169"/>
        <v>0</v>
      </c>
      <c r="W334" s="9">
        <f t="shared" si="169"/>
        <v>0</v>
      </c>
      <c r="X334" s="9">
        <f t="shared" si="169"/>
        <v>31136269.770000003</v>
      </c>
      <c r="Y334" s="9">
        <f t="shared" si="169"/>
        <v>0</v>
      </c>
      <c r="Z334" s="9">
        <f t="shared" si="169"/>
        <v>452692.2099999999</v>
      </c>
      <c r="AA334" s="9">
        <f>SUM(AA316:AA333)</f>
        <v>31224852.420000002</v>
      </c>
      <c r="AB334" s="9">
        <f>SUM(AB316:AB333)</f>
        <v>364109.56</v>
      </c>
    </row>
    <row r="335" spans="1:28" x14ac:dyDescent="0.3">
      <c r="A335" s="64"/>
      <c r="B335" s="8"/>
      <c r="C335" s="8"/>
      <c r="D335" s="8"/>
      <c r="E335" s="17" t="s">
        <v>29</v>
      </c>
      <c r="F335" s="17" t="s">
        <v>29</v>
      </c>
      <c r="G335" s="17" t="s">
        <v>29</v>
      </c>
      <c r="H335" s="17" t="s">
        <v>29</v>
      </c>
      <c r="I335" s="17" t="s">
        <v>29</v>
      </c>
      <c r="J335" s="17" t="s">
        <v>29</v>
      </c>
      <c r="K335" s="17" t="s">
        <v>29</v>
      </c>
      <c r="L335" s="17" t="s">
        <v>29</v>
      </c>
      <c r="M335" s="17" t="s">
        <v>29</v>
      </c>
      <c r="N335" s="17" t="s">
        <v>29</v>
      </c>
      <c r="O335" s="17" t="s">
        <v>29</v>
      </c>
      <c r="P335" s="17" t="s">
        <v>29</v>
      </c>
      <c r="Q335" s="17" t="s">
        <v>29</v>
      </c>
      <c r="R335" s="17" t="s">
        <v>29</v>
      </c>
      <c r="S335" s="17" t="s">
        <v>29</v>
      </c>
      <c r="T335" s="17" t="s">
        <v>29</v>
      </c>
      <c r="U335" s="17" t="s">
        <v>29</v>
      </c>
      <c r="V335" s="17" t="s">
        <v>29</v>
      </c>
      <c r="W335" s="17" t="s">
        <v>29</v>
      </c>
      <c r="X335" s="17" t="s">
        <v>29</v>
      </c>
      <c r="Y335" s="17" t="s">
        <v>29</v>
      </c>
      <c r="Z335" s="17" t="s">
        <v>29</v>
      </c>
      <c r="AA335" s="17" t="s">
        <v>29</v>
      </c>
      <c r="AB335" s="17" t="s">
        <v>29</v>
      </c>
    </row>
    <row r="336" spans="1:28" x14ac:dyDescent="0.3">
      <c r="A336" s="63" t="s">
        <v>949</v>
      </c>
      <c r="B336" s="7" t="s">
        <v>570</v>
      </c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17"/>
      <c r="S336" s="17"/>
      <c r="T336" s="25"/>
      <c r="U336" s="25"/>
      <c r="V336" s="25"/>
      <c r="W336" s="25"/>
      <c r="X336" s="25"/>
      <c r="Y336" s="25"/>
      <c r="Z336" s="25"/>
      <c r="AA336" s="58"/>
    </row>
    <row r="337" spans="1:28" x14ac:dyDescent="0.3">
      <c r="A337" s="64"/>
      <c r="B337" s="8"/>
      <c r="C337" s="7" t="s">
        <v>539</v>
      </c>
      <c r="D337" s="15" t="s">
        <v>68</v>
      </c>
      <c r="E337" s="9">
        <f>481698+1552843.75</f>
        <v>2034541.75</v>
      </c>
      <c r="F337" s="8"/>
      <c r="G337" s="8"/>
      <c r="H337" s="9">
        <f t="shared" ref="H337:H368" si="170">F337+G337</f>
        <v>0</v>
      </c>
      <c r="I337" s="8"/>
      <c r="J337" s="9">
        <f t="shared" ref="J337:J368" si="171">H337+I337</f>
        <v>0</v>
      </c>
      <c r="K337" s="9">
        <f>481698+1552843.75</f>
        <v>2034541.75</v>
      </c>
      <c r="L337" s="8"/>
      <c r="M337" s="9">
        <f>+H337+L337</f>
        <v>0</v>
      </c>
      <c r="N337" s="8">
        <v>2034541.75</v>
      </c>
      <c r="O337" s="9"/>
      <c r="P337" s="9">
        <f>+N337+O337</f>
        <v>2034541.75</v>
      </c>
      <c r="Q337" s="9"/>
      <c r="R337" s="17"/>
      <c r="S337" s="17"/>
      <c r="T337" s="25"/>
      <c r="U337" s="18">
        <f t="shared" ref="U337:U368" si="172">+P337+T337</f>
        <v>2034541.75</v>
      </c>
      <c r="V337" s="18"/>
      <c r="W337" s="18"/>
      <c r="X337" s="9">
        <f t="shared" ref="X337:X368" si="173">+H337+P337</f>
        <v>2034541.75</v>
      </c>
      <c r="Y337" s="8"/>
      <c r="Z337" s="9">
        <f t="shared" ref="Z337:Z368" si="174">+E337-X337</f>
        <v>0</v>
      </c>
      <c r="AA337" s="8">
        <f t="shared" ref="AA337:AA368" si="175">+M337+U337</f>
        <v>2034541.75</v>
      </c>
      <c r="AB337" s="8">
        <f t="shared" ref="AB337:AB368" si="176">+E337-AA337</f>
        <v>0</v>
      </c>
    </row>
    <row r="338" spans="1:28" x14ac:dyDescent="0.3">
      <c r="A338" s="64"/>
      <c r="B338" s="8"/>
      <c r="C338" s="7" t="s">
        <v>535</v>
      </c>
      <c r="D338" s="15" t="s">
        <v>68</v>
      </c>
      <c r="E338" s="9">
        <f>3029550-1562361</f>
        <v>1467189</v>
      </c>
      <c r="F338" s="9">
        <v>1467189</v>
      </c>
      <c r="G338" s="8"/>
      <c r="H338" s="9">
        <f t="shared" si="170"/>
        <v>1467189</v>
      </c>
      <c r="I338" s="8"/>
      <c r="J338" s="9">
        <f t="shared" si="171"/>
        <v>1467189</v>
      </c>
      <c r="K338" s="8"/>
      <c r="L338" s="8"/>
      <c r="M338" s="9">
        <f t="shared" ref="M338:M368" si="177">+H338+L338</f>
        <v>1467189</v>
      </c>
      <c r="N338" s="8"/>
      <c r="O338" s="9"/>
      <c r="P338" s="9">
        <f t="shared" ref="P338:P368" si="178">+N338+O338</f>
        <v>0</v>
      </c>
      <c r="Q338" s="9"/>
      <c r="R338" s="17"/>
      <c r="S338" s="17"/>
      <c r="T338" s="25"/>
      <c r="U338" s="18">
        <f t="shared" si="172"/>
        <v>0</v>
      </c>
      <c r="V338" s="18"/>
      <c r="W338" s="18"/>
      <c r="X338" s="9">
        <f t="shared" si="173"/>
        <v>1467189</v>
      </c>
      <c r="Y338" s="8"/>
      <c r="Z338" s="9">
        <f t="shared" si="174"/>
        <v>0</v>
      </c>
      <c r="AA338" s="8">
        <f t="shared" si="175"/>
        <v>1467189</v>
      </c>
      <c r="AB338" s="8">
        <f t="shared" si="176"/>
        <v>0</v>
      </c>
    </row>
    <row r="339" spans="1:28" x14ac:dyDescent="0.3">
      <c r="A339" s="64"/>
      <c r="B339" s="8"/>
      <c r="C339" s="7" t="s">
        <v>535</v>
      </c>
      <c r="D339" s="15" t="s">
        <v>54</v>
      </c>
      <c r="E339" s="9">
        <f>1783000-89150-330850</f>
        <v>1363000</v>
      </c>
      <c r="F339" s="9">
        <v>1363000</v>
      </c>
      <c r="G339" s="8"/>
      <c r="H339" s="9">
        <f t="shared" si="170"/>
        <v>1363000</v>
      </c>
      <c r="I339" s="8"/>
      <c r="J339" s="9">
        <f t="shared" si="171"/>
        <v>1363000</v>
      </c>
      <c r="K339" s="8"/>
      <c r="L339" s="8"/>
      <c r="M339" s="9">
        <f t="shared" si="177"/>
        <v>1363000</v>
      </c>
      <c r="N339" s="8"/>
      <c r="O339" s="9"/>
      <c r="P339" s="9">
        <f t="shared" si="178"/>
        <v>0</v>
      </c>
      <c r="Q339" s="9"/>
      <c r="R339" s="17"/>
      <c r="S339" s="17"/>
      <c r="T339" s="25"/>
      <c r="U339" s="18">
        <f t="shared" si="172"/>
        <v>0</v>
      </c>
      <c r="V339" s="18"/>
      <c r="W339" s="18"/>
      <c r="X339" s="9">
        <f t="shared" si="173"/>
        <v>1363000</v>
      </c>
      <c r="Y339" s="8"/>
      <c r="Z339" s="9">
        <f t="shared" si="174"/>
        <v>0</v>
      </c>
      <c r="AA339" s="8">
        <f t="shared" si="175"/>
        <v>1363000</v>
      </c>
      <c r="AB339" s="8">
        <f t="shared" si="176"/>
        <v>0</v>
      </c>
    </row>
    <row r="340" spans="1:28" x14ac:dyDescent="0.3">
      <c r="A340" s="64"/>
      <c r="B340" s="8"/>
      <c r="C340" s="7" t="s">
        <v>571</v>
      </c>
      <c r="D340" s="15" t="s">
        <v>54</v>
      </c>
      <c r="E340" s="9">
        <f>950000-950000</f>
        <v>0</v>
      </c>
      <c r="F340" s="8"/>
      <c r="G340" s="8"/>
      <c r="H340" s="9">
        <f t="shared" si="170"/>
        <v>0</v>
      </c>
      <c r="I340" s="8"/>
      <c r="J340" s="9">
        <f t="shared" si="171"/>
        <v>0</v>
      </c>
      <c r="K340" s="8"/>
      <c r="L340" s="8"/>
      <c r="M340" s="9">
        <f t="shared" si="177"/>
        <v>0</v>
      </c>
      <c r="N340" s="8"/>
      <c r="O340" s="9"/>
      <c r="P340" s="9">
        <f t="shared" si="178"/>
        <v>0</v>
      </c>
      <c r="Q340" s="9"/>
      <c r="R340" s="17"/>
      <c r="S340" s="17"/>
      <c r="T340" s="25"/>
      <c r="U340" s="18">
        <f t="shared" si="172"/>
        <v>0</v>
      </c>
      <c r="V340" s="18"/>
      <c r="W340" s="18"/>
      <c r="X340" s="9">
        <f t="shared" si="173"/>
        <v>0</v>
      </c>
      <c r="Y340" s="8"/>
      <c r="Z340" s="9">
        <f t="shared" si="174"/>
        <v>0</v>
      </c>
      <c r="AA340" s="8">
        <f t="shared" si="175"/>
        <v>0</v>
      </c>
      <c r="AB340" s="8">
        <f t="shared" si="176"/>
        <v>0</v>
      </c>
    </row>
    <row r="341" spans="1:28" x14ac:dyDescent="0.3">
      <c r="A341" s="64"/>
      <c r="B341" s="8"/>
      <c r="C341" s="7" t="s">
        <v>572</v>
      </c>
      <c r="D341" s="15" t="s">
        <v>54</v>
      </c>
      <c r="E341" s="9">
        <f>215680+734320</f>
        <v>950000</v>
      </c>
      <c r="F341" s="9">
        <v>950000</v>
      </c>
      <c r="G341" s="8"/>
      <c r="H341" s="9">
        <f t="shared" si="170"/>
        <v>950000</v>
      </c>
      <c r="I341" s="8"/>
      <c r="J341" s="9">
        <f t="shared" si="171"/>
        <v>950000</v>
      </c>
      <c r="K341" s="8"/>
      <c r="L341" s="8"/>
      <c r="M341" s="9">
        <f t="shared" si="177"/>
        <v>950000</v>
      </c>
      <c r="N341" s="8"/>
      <c r="O341" s="9"/>
      <c r="P341" s="9">
        <f t="shared" si="178"/>
        <v>0</v>
      </c>
      <c r="Q341" s="9"/>
      <c r="R341" s="17"/>
      <c r="S341" s="17"/>
      <c r="T341" s="25"/>
      <c r="U341" s="18">
        <f t="shared" si="172"/>
        <v>0</v>
      </c>
      <c r="V341" s="18"/>
      <c r="W341" s="18"/>
      <c r="X341" s="9">
        <f t="shared" si="173"/>
        <v>950000</v>
      </c>
      <c r="Y341" s="8"/>
      <c r="Z341" s="9">
        <f t="shared" si="174"/>
        <v>0</v>
      </c>
      <c r="AA341" s="8">
        <f t="shared" si="175"/>
        <v>950000</v>
      </c>
      <c r="AB341" s="8">
        <f t="shared" si="176"/>
        <v>0</v>
      </c>
    </row>
    <row r="342" spans="1:28" x14ac:dyDescent="0.3">
      <c r="A342" s="64"/>
      <c r="B342" s="8"/>
      <c r="C342" s="7" t="s">
        <v>573</v>
      </c>
      <c r="D342" s="15" t="s">
        <v>54</v>
      </c>
      <c r="E342" s="9">
        <f>1943700-898727.06-20000-15000+407835-140340-124054.41-653413.53</f>
        <v>500000</v>
      </c>
      <c r="F342" s="9">
        <v>500000</v>
      </c>
      <c r="G342" s="8"/>
      <c r="H342" s="9">
        <f t="shared" si="170"/>
        <v>500000</v>
      </c>
      <c r="I342" s="8"/>
      <c r="J342" s="9">
        <f t="shared" si="171"/>
        <v>500000</v>
      </c>
      <c r="K342" s="8"/>
      <c r="L342" s="8"/>
      <c r="M342" s="9">
        <f t="shared" si="177"/>
        <v>500000</v>
      </c>
      <c r="N342" s="8"/>
      <c r="O342" s="9"/>
      <c r="P342" s="9">
        <f t="shared" si="178"/>
        <v>0</v>
      </c>
      <c r="Q342" s="9"/>
      <c r="R342" s="17"/>
      <c r="S342" s="17"/>
      <c r="T342" s="25"/>
      <c r="U342" s="18">
        <f t="shared" si="172"/>
        <v>0</v>
      </c>
      <c r="V342" s="18"/>
      <c r="W342" s="18"/>
      <c r="X342" s="9">
        <f t="shared" si="173"/>
        <v>500000</v>
      </c>
      <c r="Y342" s="8"/>
      <c r="Z342" s="9">
        <f t="shared" si="174"/>
        <v>0</v>
      </c>
      <c r="AA342" s="8">
        <f t="shared" si="175"/>
        <v>500000</v>
      </c>
      <c r="AB342" s="8">
        <f t="shared" si="176"/>
        <v>0</v>
      </c>
    </row>
    <row r="343" spans="1:28" x14ac:dyDescent="0.3">
      <c r="A343" s="64"/>
      <c r="B343" s="8"/>
      <c r="C343" s="7" t="s">
        <v>545</v>
      </c>
      <c r="D343" s="15" t="s">
        <v>54</v>
      </c>
      <c r="E343" s="9">
        <v>1953989</v>
      </c>
      <c r="F343" s="8"/>
      <c r="G343" s="8"/>
      <c r="H343" s="9">
        <f t="shared" si="170"/>
        <v>0</v>
      </c>
      <c r="I343" s="8"/>
      <c r="J343" s="9">
        <f t="shared" si="171"/>
        <v>0</v>
      </c>
      <c r="K343" s="9">
        <v>1953989</v>
      </c>
      <c r="L343" s="8"/>
      <c r="M343" s="9">
        <f t="shared" si="177"/>
        <v>0</v>
      </c>
      <c r="N343" s="8">
        <v>1953989</v>
      </c>
      <c r="O343" s="9"/>
      <c r="P343" s="9">
        <f t="shared" si="178"/>
        <v>1953989</v>
      </c>
      <c r="Q343" s="9"/>
      <c r="R343" s="17"/>
      <c r="S343" s="17"/>
      <c r="T343" s="25"/>
      <c r="U343" s="18">
        <f t="shared" si="172"/>
        <v>1953989</v>
      </c>
      <c r="V343" s="18"/>
      <c r="W343" s="18"/>
      <c r="X343" s="9">
        <f t="shared" si="173"/>
        <v>1953989</v>
      </c>
      <c r="Y343" s="8"/>
      <c r="Z343" s="9">
        <f t="shared" si="174"/>
        <v>0</v>
      </c>
      <c r="AA343" s="8">
        <f t="shared" si="175"/>
        <v>1953989</v>
      </c>
      <c r="AB343" s="8">
        <f t="shared" si="176"/>
        <v>0</v>
      </c>
    </row>
    <row r="344" spans="1:28" x14ac:dyDescent="0.3">
      <c r="A344" s="64"/>
      <c r="B344" s="8"/>
      <c r="C344" s="7" t="s">
        <v>535</v>
      </c>
      <c r="D344" s="15" t="s">
        <v>85</v>
      </c>
      <c r="E344" s="9">
        <v>1500000</v>
      </c>
      <c r="F344" s="9">
        <v>1500000</v>
      </c>
      <c r="G344" s="8"/>
      <c r="H344" s="9">
        <f t="shared" si="170"/>
        <v>1500000</v>
      </c>
      <c r="I344" s="8"/>
      <c r="J344" s="9">
        <f t="shared" si="171"/>
        <v>1500000</v>
      </c>
      <c r="K344" s="8"/>
      <c r="L344" s="8"/>
      <c r="M344" s="9">
        <f t="shared" si="177"/>
        <v>1500000</v>
      </c>
      <c r="N344" s="8"/>
      <c r="O344" s="9"/>
      <c r="P344" s="9">
        <f t="shared" si="178"/>
        <v>0</v>
      </c>
      <c r="Q344" s="9"/>
      <c r="R344" s="17"/>
      <c r="S344" s="17"/>
      <c r="T344" s="25"/>
      <c r="U344" s="18">
        <f t="shared" si="172"/>
        <v>0</v>
      </c>
      <c r="V344" s="18"/>
      <c r="W344" s="18"/>
      <c r="X344" s="9">
        <f t="shared" si="173"/>
        <v>1500000</v>
      </c>
      <c r="Y344" s="8"/>
      <c r="Z344" s="9">
        <f t="shared" si="174"/>
        <v>0</v>
      </c>
      <c r="AA344" s="8">
        <f t="shared" si="175"/>
        <v>1500000</v>
      </c>
      <c r="AB344" s="8">
        <f t="shared" si="176"/>
        <v>0</v>
      </c>
    </row>
    <row r="345" spans="1:28" x14ac:dyDescent="0.3">
      <c r="A345" s="64"/>
      <c r="B345" s="8"/>
      <c r="C345" s="7" t="s">
        <v>574</v>
      </c>
      <c r="D345" s="15" t="s">
        <v>85</v>
      </c>
      <c r="E345" s="9">
        <f>2132000+1200000</f>
        <v>3332000</v>
      </c>
      <c r="F345" s="9">
        <f>2237000+1095000</f>
        <v>3332000</v>
      </c>
      <c r="G345" s="8"/>
      <c r="H345" s="9">
        <f t="shared" si="170"/>
        <v>3332000</v>
      </c>
      <c r="I345" s="8"/>
      <c r="J345" s="9">
        <f t="shared" si="171"/>
        <v>3332000</v>
      </c>
      <c r="K345" s="8"/>
      <c r="L345" s="8"/>
      <c r="M345" s="9">
        <f t="shared" si="177"/>
        <v>3332000</v>
      </c>
      <c r="N345" s="8"/>
      <c r="O345" s="9"/>
      <c r="P345" s="9">
        <f t="shared" si="178"/>
        <v>0</v>
      </c>
      <c r="Q345" s="9"/>
      <c r="R345" s="17"/>
      <c r="S345" s="17"/>
      <c r="T345" s="25"/>
      <c r="U345" s="18">
        <f t="shared" si="172"/>
        <v>0</v>
      </c>
      <c r="V345" s="18"/>
      <c r="W345" s="18"/>
      <c r="X345" s="9">
        <f t="shared" si="173"/>
        <v>3332000</v>
      </c>
      <c r="Y345" s="8"/>
      <c r="Z345" s="9">
        <f t="shared" si="174"/>
        <v>0</v>
      </c>
      <c r="AA345" s="8">
        <f t="shared" si="175"/>
        <v>3332000</v>
      </c>
      <c r="AB345" s="8">
        <f t="shared" si="176"/>
        <v>0</v>
      </c>
    </row>
    <row r="346" spans="1:28" x14ac:dyDescent="0.3">
      <c r="A346" s="64"/>
      <c r="B346" s="8"/>
      <c r="C346" s="7" t="s">
        <v>573</v>
      </c>
      <c r="D346" s="15" t="s">
        <v>85</v>
      </c>
      <c r="E346" s="9">
        <f>1120000+2880000-1990000-180000</f>
        <v>1830000</v>
      </c>
      <c r="F346" s="9">
        <v>1830000</v>
      </c>
      <c r="G346" s="8"/>
      <c r="H346" s="9">
        <f t="shared" si="170"/>
        <v>1830000</v>
      </c>
      <c r="I346" s="8"/>
      <c r="J346" s="9">
        <f t="shared" si="171"/>
        <v>1830000</v>
      </c>
      <c r="K346" s="8"/>
      <c r="L346" s="8"/>
      <c r="M346" s="9">
        <f t="shared" si="177"/>
        <v>1830000</v>
      </c>
      <c r="N346" s="8"/>
      <c r="O346" s="9"/>
      <c r="P346" s="9">
        <f t="shared" si="178"/>
        <v>0</v>
      </c>
      <c r="Q346" s="9"/>
      <c r="R346" s="17"/>
      <c r="S346" s="17"/>
      <c r="T346" s="25"/>
      <c r="U346" s="18">
        <f t="shared" si="172"/>
        <v>0</v>
      </c>
      <c r="V346" s="18"/>
      <c r="W346" s="18"/>
      <c r="X346" s="9">
        <f t="shared" si="173"/>
        <v>1830000</v>
      </c>
      <c r="Y346" s="8"/>
      <c r="Z346" s="9">
        <f t="shared" si="174"/>
        <v>0</v>
      </c>
      <c r="AA346" s="8">
        <f t="shared" si="175"/>
        <v>1830000</v>
      </c>
      <c r="AB346" s="8">
        <f t="shared" si="176"/>
        <v>0</v>
      </c>
    </row>
    <row r="347" spans="1:28" x14ac:dyDescent="0.3">
      <c r="A347" s="64"/>
      <c r="B347" s="8"/>
      <c r="C347" s="7" t="s">
        <v>571</v>
      </c>
      <c r="D347" s="15" t="s">
        <v>85</v>
      </c>
      <c r="E347" s="9">
        <v>800000</v>
      </c>
      <c r="F347" s="9">
        <v>800000</v>
      </c>
      <c r="G347" s="8"/>
      <c r="H347" s="9">
        <f t="shared" si="170"/>
        <v>800000</v>
      </c>
      <c r="I347" s="8"/>
      <c r="J347" s="9">
        <f t="shared" si="171"/>
        <v>800000</v>
      </c>
      <c r="K347" s="8"/>
      <c r="L347" s="8"/>
      <c r="M347" s="9">
        <f t="shared" si="177"/>
        <v>800000</v>
      </c>
      <c r="N347" s="8"/>
      <c r="O347" s="9"/>
      <c r="P347" s="9">
        <f t="shared" si="178"/>
        <v>0</v>
      </c>
      <c r="Q347" s="9"/>
      <c r="R347" s="17"/>
      <c r="S347" s="17"/>
      <c r="T347" s="25"/>
      <c r="U347" s="18">
        <f t="shared" si="172"/>
        <v>0</v>
      </c>
      <c r="V347" s="18"/>
      <c r="W347" s="18"/>
      <c r="X347" s="9">
        <f t="shared" si="173"/>
        <v>800000</v>
      </c>
      <c r="Y347" s="8"/>
      <c r="Z347" s="9">
        <f t="shared" si="174"/>
        <v>0</v>
      </c>
      <c r="AA347" s="8">
        <f t="shared" si="175"/>
        <v>800000</v>
      </c>
      <c r="AB347" s="8">
        <f t="shared" si="176"/>
        <v>0</v>
      </c>
    </row>
    <row r="348" spans="1:28" x14ac:dyDescent="0.3">
      <c r="A348" s="64"/>
      <c r="B348" s="8"/>
      <c r="C348" s="7" t="s">
        <v>535</v>
      </c>
      <c r="D348" s="15" t="s">
        <v>88</v>
      </c>
      <c r="E348" s="9">
        <f>939252+509975+1287951+749222+522759</f>
        <v>4009159</v>
      </c>
      <c r="F348" s="9">
        <f>1287951+509975+522759+939252+749222</f>
        <v>4009159</v>
      </c>
      <c r="G348" s="8"/>
      <c r="H348" s="9">
        <f t="shared" si="170"/>
        <v>4009159</v>
      </c>
      <c r="I348" s="8"/>
      <c r="J348" s="9">
        <f t="shared" si="171"/>
        <v>4009159</v>
      </c>
      <c r="K348" s="8"/>
      <c r="L348" s="8"/>
      <c r="M348" s="9">
        <f t="shared" si="177"/>
        <v>4009159</v>
      </c>
      <c r="N348" s="8"/>
      <c r="O348" s="9"/>
      <c r="P348" s="9">
        <f t="shared" si="178"/>
        <v>0</v>
      </c>
      <c r="Q348" s="9"/>
      <c r="R348" s="17"/>
      <c r="S348" s="17"/>
      <c r="T348" s="25"/>
      <c r="U348" s="18">
        <f t="shared" si="172"/>
        <v>0</v>
      </c>
      <c r="V348" s="18"/>
      <c r="W348" s="18"/>
      <c r="X348" s="9">
        <f t="shared" si="173"/>
        <v>4009159</v>
      </c>
      <c r="Y348" s="8"/>
      <c r="Z348" s="9">
        <f t="shared" si="174"/>
        <v>0</v>
      </c>
      <c r="AA348" s="8">
        <f t="shared" si="175"/>
        <v>4009159</v>
      </c>
      <c r="AB348" s="8">
        <f t="shared" si="176"/>
        <v>0</v>
      </c>
    </row>
    <row r="349" spans="1:28" x14ac:dyDescent="0.3">
      <c r="A349" s="64"/>
      <c r="B349" s="8"/>
      <c r="C349" s="7" t="s">
        <v>575</v>
      </c>
      <c r="D349" s="15" t="s">
        <v>108</v>
      </c>
      <c r="E349" s="9">
        <v>2858700</v>
      </c>
      <c r="F349" s="9">
        <v>2858700</v>
      </c>
      <c r="G349" s="8"/>
      <c r="H349" s="9">
        <f t="shared" si="170"/>
        <v>2858700</v>
      </c>
      <c r="I349" s="8"/>
      <c r="J349" s="9">
        <f t="shared" si="171"/>
        <v>2858700</v>
      </c>
      <c r="K349" s="8"/>
      <c r="L349" s="8"/>
      <c r="M349" s="9">
        <f t="shared" si="177"/>
        <v>2858700</v>
      </c>
      <c r="N349" s="8"/>
      <c r="O349" s="9"/>
      <c r="P349" s="9">
        <f t="shared" si="178"/>
        <v>0</v>
      </c>
      <c r="Q349" s="9"/>
      <c r="R349" s="17"/>
      <c r="S349" s="17"/>
      <c r="T349" s="25"/>
      <c r="U349" s="18">
        <f t="shared" si="172"/>
        <v>0</v>
      </c>
      <c r="V349" s="18"/>
      <c r="W349" s="18"/>
      <c r="X349" s="9">
        <f t="shared" si="173"/>
        <v>2858700</v>
      </c>
      <c r="Y349" s="8"/>
      <c r="Z349" s="9">
        <f t="shared" si="174"/>
        <v>0</v>
      </c>
      <c r="AA349" s="8">
        <f t="shared" si="175"/>
        <v>2858700</v>
      </c>
      <c r="AB349" s="8">
        <f t="shared" si="176"/>
        <v>0</v>
      </c>
    </row>
    <row r="350" spans="1:28" x14ac:dyDescent="0.3">
      <c r="A350" s="64"/>
      <c r="B350" s="8"/>
      <c r="C350" s="7" t="s">
        <v>535</v>
      </c>
      <c r="D350" s="15" t="s">
        <v>58</v>
      </c>
      <c r="E350" s="9">
        <f>2850085+797995+2654630+1170970+2939750</f>
        <v>10413430</v>
      </c>
      <c r="F350" s="9">
        <v>10413430</v>
      </c>
      <c r="G350" s="8"/>
      <c r="H350" s="9">
        <f t="shared" si="170"/>
        <v>10413430</v>
      </c>
      <c r="I350" s="8"/>
      <c r="J350" s="9">
        <f t="shared" si="171"/>
        <v>10413430</v>
      </c>
      <c r="K350" s="8"/>
      <c r="L350" s="8"/>
      <c r="M350" s="9">
        <f t="shared" si="177"/>
        <v>10413430</v>
      </c>
      <c r="N350" s="8"/>
      <c r="O350" s="9"/>
      <c r="P350" s="9">
        <f t="shared" si="178"/>
        <v>0</v>
      </c>
      <c r="Q350" s="9"/>
      <c r="R350" s="17"/>
      <c r="S350" s="17"/>
      <c r="T350" s="25"/>
      <c r="U350" s="18">
        <f t="shared" si="172"/>
        <v>0</v>
      </c>
      <c r="V350" s="18"/>
      <c r="W350" s="18"/>
      <c r="X350" s="9">
        <f t="shared" si="173"/>
        <v>10413430</v>
      </c>
      <c r="Y350" s="8"/>
      <c r="Z350" s="9">
        <f t="shared" si="174"/>
        <v>0</v>
      </c>
      <c r="AA350" s="8">
        <f t="shared" si="175"/>
        <v>10413430</v>
      </c>
      <c r="AB350" s="8">
        <f t="shared" si="176"/>
        <v>0</v>
      </c>
    </row>
    <row r="351" spans="1:28" x14ac:dyDescent="0.3">
      <c r="A351" s="64"/>
      <c r="B351" s="8"/>
      <c r="C351" s="7" t="s">
        <v>535</v>
      </c>
      <c r="D351" s="15" t="s">
        <v>60</v>
      </c>
      <c r="E351" s="9">
        <v>947700</v>
      </c>
      <c r="F351" s="9">
        <v>947700</v>
      </c>
      <c r="G351" s="8"/>
      <c r="H351" s="9">
        <f t="shared" si="170"/>
        <v>947700</v>
      </c>
      <c r="I351" s="8"/>
      <c r="J351" s="9">
        <f t="shared" si="171"/>
        <v>947700</v>
      </c>
      <c r="K351" s="8"/>
      <c r="L351" s="8"/>
      <c r="M351" s="9">
        <f t="shared" si="177"/>
        <v>947700</v>
      </c>
      <c r="N351" s="8"/>
      <c r="O351" s="9"/>
      <c r="P351" s="9">
        <f t="shared" si="178"/>
        <v>0</v>
      </c>
      <c r="Q351" s="9"/>
      <c r="R351" s="17"/>
      <c r="S351" s="17"/>
      <c r="T351" s="25"/>
      <c r="U351" s="18">
        <f t="shared" si="172"/>
        <v>0</v>
      </c>
      <c r="V351" s="18"/>
      <c r="W351" s="18"/>
      <c r="X351" s="9">
        <f t="shared" si="173"/>
        <v>947700</v>
      </c>
      <c r="Y351" s="8"/>
      <c r="Z351" s="9">
        <f t="shared" si="174"/>
        <v>0</v>
      </c>
      <c r="AA351" s="8">
        <f t="shared" si="175"/>
        <v>947700</v>
      </c>
      <c r="AB351" s="8">
        <f t="shared" si="176"/>
        <v>0</v>
      </c>
    </row>
    <row r="352" spans="1:28" x14ac:dyDescent="0.3">
      <c r="A352" s="64"/>
      <c r="B352" s="8"/>
      <c r="C352" s="14" t="s">
        <v>535</v>
      </c>
      <c r="D352" s="21" t="s">
        <v>73</v>
      </c>
      <c r="E352" s="11">
        <v>2992707.78</v>
      </c>
      <c r="F352" s="11">
        <v>2992707.78</v>
      </c>
      <c r="G352" s="8"/>
      <c r="H352" s="9">
        <f t="shared" si="170"/>
        <v>2992707.78</v>
      </c>
      <c r="I352" s="8"/>
      <c r="J352" s="9">
        <f t="shared" si="171"/>
        <v>2992707.78</v>
      </c>
      <c r="K352" s="8"/>
      <c r="L352" s="8"/>
      <c r="M352" s="9">
        <f t="shared" si="177"/>
        <v>2992707.78</v>
      </c>
      <c r="N352" s="8"/>
      <c r="O352" s="9"/>
      <c r="P352" s="9">
        <f t="shared" si="178"/>
        <v>0</v>
      </c>
      <c r="Q352" s="9"/>
      <c r="R352" s="17"/>
      <c r="S352" s="17"/>
      <c r="T352" s="25"/>
      <c r="U352" s="18">
        <f t="shared" si="172"/>
        <v>0</v>
      </c>
      <c r="V352" s="18"/>
      <c r="W352" s="18"/>
      <c r="X352" s="9">
        <f t="shared" si="173"/>
        <v>2992707.78</v>
      </c>
      <c r="Y352" s="8"/>
      <c r="Z352" s="9">
        <f t="shared" si="174"/>
        <v>0</v>
      </c>
      <c r="AA352" s="8">
        <f t="shared" si="175"/>
        <v>2992707.78</v>
      </c>
      <c r="AB352" s="8">
        <f t="shared" si="176"/>
        <v>0</v>
      </c>
    </row>
    <row r="353" spans="1:28" x14ac:dyDescent="0.3">
      <c r="A353" s="64"/>
      <c r="B353" s="8"/>
      <c r="C353" s="14" t="s">
        <v>567</v>
      </c>
      <c r="D353" s="21" t="s">
        <v>73</v>
      </c>
      <c r="E353" s="11">
        <v>125993.1</v>
      </c>
      <c r="F353" s="11">
        <v>125993.1</v>
      </c>
      <c r="G353" s="8"/>
      <c r="H353" s="9">
        <f t="shared" si="170"/>
        <v>125993.1</v>
      </c>
      <c r="I353" s="8"/>
      <c r="J353" s="9">
        <f t="shared" si="171"/>
        <v>125993.1</v>
      </c>
      <c r="K353" s="8"/>
      <c r="L353" s="8"/>
      <c r="M353" s="9">
        <f t="shared" si="177"/>
        <v>125993.1</v>
      </c>
      <c r="N353" s="8"/>
      <c r="O353" s="9"/>
      <c r="P353" s="9">
        <f t="shared" si="178"/>
        <v>0</v>
      </c>
      <c r="Q353" s="9"/>
      <c r="R353" s="17"/>
      <c r="S353" s="17"/>
      <c r="T353" s="25"/>
      <c r="U353" s="18">
        <f t="shared" si="172"/>
        <v>0</v>
      </c>
      <c r="V353" s="18"/>
      <c r="W353" s="18"/>
      <c r="X353" s="9">
        <f t="shared" si="173"/>
        <v>125993.1</v>
      </c>
      <c r="Y353" s="8"/>
      <c r="Z353" s="9">
        <f t="shared" si="174"/>
        <v>0</v>
      </c>
      <c r="AA353" s="8">
        <f t="shared" si="175"/>
        <v>125993.1</v>
      </c>
      <c r="AB353" s="8">
        <f t="shared" si="176"/>
        <v>0</v>
      </c>
    </row>
    <row r="354" spans="1:28" x14ac:dyDescent="0.3">
      <c r="A354" s="64"/>
      <c r="B354" s="8"/>
      <c r="C354" s="14" t="s">
        <v>576</v>
      </c>
      <c r="D354" s="21" t="s">
        <v>73</v>
      </c>
      <c r="E354" s="11">
        <v>587476.79</v>
      </c>
      <c r="F354" s="11">
        <v>587476.79</v>
      </c>
      <c r="G354" s="8"/>
      <c r="H354" s="9">
        <f t="shared" si="170"/>
        <v>587476.79</v>
      </c>
      <c r="I354" s="8"/>
      <c r="J354" s="9">
        <f t="shared" si="171"/>
        <v>587476.79</v>
      </c>
      <c r="K354" s="8"/>
      <c r="L354" s="8"/>
      <c r="M354" s="9">
        <f t="shared" si="177"/>
        <v>587476.79</v>
      </c>
      <c r="N354" s="8"/>
      <c r="O354" s="9"/>
      <c r="P354" s="9">
        <f t="shared" si="178"/>
        <v>0</v>
      </c>
      <c r="Q354" s="9"/>
      <c r="R354" s="17"/>
      <c r="S354" s="17"/>
      <c r="T354" s="25"/>
      <c r="U354" s="18">
        <f t="shared" si="172"/>
        <v>0</v>
      </c>
      <c r="V354" s="18"/>
      <c r="W354" s="18"/>
      <c r="X354" s="9">
        <f t="shared" si="173"/>
        <v>587476.79</v>
      </c>
      <c r="Y354" s="8"/>
      <c r="Z354" s="9">
        <f t="shared" si="174"/>
        <v>0</v>
      </c>
      <c r="AA354" s="8">
        <f t="shared" si="175"/>
        <v>587476.79</v>
      </c>
      <c r="AB354" s="8">
        <f t="shared" si="176"/>
        <v>0</v>
      </c>
    </row>
    <row r="355" spans="1:28" x14ac:dyDescent="0.3">
      <c r="A355" s="64"/>
      <c r="B355" s="8"/>
      <c r="C355" s="14" t="s">
        <v>1172</v>
      </c>
      <c r="D355" s="24" t="s">
        <v>1126</v>
      </c>
      <c r="E355" s="11">
        <v>1000000</v>
      </c>
      <c r="F355" s="11">
        <v>1000000</v>
      </c>
      <c r="G355" s="8"/>
      <c r="H355" s="9">
        <f>+F355+G355</f>
        <v>1000000</v>
      </c>
      <c r="I355" s="8"/>
      <c r="J355" s="9">
        <f t="shared" si="171"/>
        <v>1000000</v>
      </c>
      <c r="K355" s="8"/>
      <c r="L355" s="8"/>
      <c r="M355" s="9">
        <f t="shared" si="177"/>
        <v>1000000</v>
      </c>
      <c r="N355" s="8"/>
      <c r="O355" s="9"/>
      <c r="P355" s="9">
        <f>+N355+O355</f>
        <v>0</v>
      </c>
      <c r="Q355" s="9"/>
      <c r="R355" s="17"/>
      <c r="S355" s="17"/>
      <c r="T355" s="25"/>
      <c r="U355" s="18">
        <f t="shared" si="172"/>
        <v>0</v>
      </c>
      <c r="V355" s="18"/>
      <c r="W355" s="18"/>
      <c r="X355" s="9">
        <f t="shared" si="173"/>
        <v>1000000</v>
      </c>
      <c r="Y355" s="8"/>
      <c r="Z355" s="9">
        <f t="shared" si="174"/>
        <v>0</v>
      </c>
      <c r="AA355" s="8">
        <f t="shared" si="175"/>
        <v>1000000</v>
      </c>
      <c r="AB355" s="8">
        <f t="shared" si="176"/>
        <v>0</v>
      </c>
    </row>
    <row r="356" spans="1:28" x14ac:dyDescent="0.3">
      <c r="A356" s="64"/>
      <c r="B356" s="8"/>
      <c r="C356" s="14" t="s">
        <v>926</v>
      </c>
      <c r="D356" s="24" t="s">
        <v>61</v>
      </c>
      <c r="E356" s="11">
        <f>1460611.02+1303007.48</f>
        <v>2763618.5</v>
      </c>
      <c r="F356" s="8">
        <f>1460611.02+1303007.48</f>
        <v>2763618.5</v>
      </c>
      <c r="G356" s="8"/>
      <c r="H356" s="9">
        <f t="shared" si="170"/>
        <v>2763618.5</v>
      </c>
      <c r="I356" s="8"/>
      <c r="J356" s="9"/>
      <c r="K356" s="8"/>
      <c r="L356" s="8"/>
      <c r="M356" s="9">
        <f t="shared" si="177"/>
        <v>2763618.5</v>
      </c>
      <c r="N356" s="8"/>
      <c r="O356" s="9"/>
      <c r="P356" s="9">
        <f t="shared" si="178"/>
        <v>0</v>
      </c>
      <c r="Q356" s="9"/>
      <c r="R356" s="17"/>
      <c r="S356" s="17"/>
      <c r="T356" s="25"/>
      <c r="U356" s="18">
        <f>+P356+T356</f>
        <v>0</v>
      </c>
      <c r="V356" s="18"/>
      <c r="W356" s="18"/>
      <c r="X356" s="9">
        <f t="shared" si="173"/>
        <v>2763618.5</v>
      </c>
      <c r="Y356" s="8"/>
      <c r="Z356" s="9">
        <f t="shared" si="174"/>
        <v>0</v>
      </c>
      <c r="AA356" s="8">
        <f t="shared" si="175"/>
        <v>2763618.5</v>
      </c>
      <c r="AB356" s="8">
        <f t="shared" si="176"/>
        <v>0</v>
      </c>
    </row>
    <row r="357" spans="1:28" x14ac:dyDescent="0.3">
      <c r="A357" s="64"/>
      <c r="B357" s="8"/>
      <c r="C357" s="14" t="s">
        <v>929</v>
      </c>
      <c r="D357" s="24" t="s">
        <v>1072</v>
      </c>
      <c r="E357" s="11">
        <v>4843238.7300000004</v>
      </c>
      <c r="F357" s="8">
        <f>+D357+E357</f>
        <v>4843238.7300000004</v>
      </c>
      <c r="G357" s="8"/>
      <c r="H357" s="9">
        <f t="shared" ref="H357:H362" si="179">+F357+G357</f>
        <v>4843238.7300000004</v>
      </c>
      <c r="I357" s="8"/>
      <c r="J357" s="9"/>
      <c r="K357" s="8"/>
      <c r="L357" s="8"/>
      <c r="M357" s="9">
        <f t="shared" ref="M357:M362" si="180">+H357+L357</f>
        <v>4843238.7300000004</v>
      </c>
      <c r="N357" s="8"/>
      <c r="O357" s="9"/>
      <c r="P357" s="9">
        <f>+N357+O357</f>
        <v>0</v>
      </c>
      <c r="Q357" s="9"/>
      <c r="R357" s="17"/>
      <c r="S357" s="17"/>
      <c r="T357" s="25"/>
      <c r="U357" s="18">
        <f>+P357+T357</f>
        <v>0</v>
      </c>
      <c r="V357" s="18"/>
      <c r="W357" s="18"/>
      <c r="X357" s="9">
        <f t="shared" si="173"/>
        <v>4843238.7300000004</v>
      </c>
      <c r="Y357" s="8"/>
      <c r="Z357" s="9">
        <f t="shared" si="174"/>
        <v>0</v>
      </c>
      <c r="AA357" s="8">
        <f t="shared" si="175"/>
        <v>4843238.7300000004</v>
      </c>
      <c r="AB357" s="8">
        <f t="shared" si="176"/>
        <v>0</v>
      </c>
    </row>
    <row r="358" spans="1:28" x14ac:dyDescent="0.3">
      <c r="A358" s="64"/>
      <c r="B358" s="8"/>
      <c r="C358" s="14" t="s">
        <v>1173</v>
      </c>
      <c r="D358" s="24" t="s">
        <v>1126</v>
      </c>
      <c r="E358" s="11">
        <v>6169389.7300000004</v>
      </c>
      <c r="F358" s="8">
        <v>6169389.7300000004</v>
      </c>
      <c r="G358" s="8"/>
      <c r="H358" s="9">
        <f t="shared" si="179"/>
        <v>6169389.7300000004</v>
      </c>
      <c r="I358" s="8"/>
      <c r="J358" s="9"/>
      <c r="K358" s="8"/>
      <c r="L358" s="8"/>
      <c r="M358" s="9">
        <f t="shared" si="180"/>
        <v>6169389.7300000004</v>
      </c>
      <c r="N358" s="8"/>
      <c r="O358" s="9"/>
      <c r="P358" s="9">
        <f>+N358+O358</f>
        <v>0</v>
      </c>
      <c r="Q358" s="9"/>
      <c r="R358" s="17"/>
      <c r="S358" s="17"/>
      <c r="T358" s="25"/>
      <c r="U358" s="18">
        <f>+P358+T358</f>
        <v>0</v>
      </c>
      <c r="V358" s="18"/>
      <c r="W358" s="18"/>
      <c r="X358" s="9">
        <f t="shared" si="173"/>
        <v>6169389.7300000004</v>
      </c>
      <c r="Y358" s="8"/>
      <c r="Z358" s="9">
        <f t="shared" si="174"/>
        <v>0</v>
      </c>
      <c r="AA358" s="8">
        <f t="shared" si="175"/>
        <v>6169389.7300000004</v>
      </c>
      <c r="AB358" s="8">
        <f t="shared" si="176"/>
        <v>0</v>
      </c>
    </row>
    <row r="359" spans="1:28" x14ac:dyDescent="0.3">
      <c r="A359" s="64"/>
      <c r="B359" s="8"/>
      <c r="C359" s="45" t="s">
        <v>1244</v>
      </c>
      <c r="D359" s="24" t="s">
        <v>1225</v>
      </c>
      <c r="E359" s="11">
        <v>1539168.44</v>
      </c>
      <c r="F359" s="8">
        <v>1539168.44</v>
      </c>
      <c r="G359" s="8"/>
      <c r="H359" s="9">
        <f t="shared" si="179"/>
        <v>1539168.44</v>
      </c>
      <c r="I359" s="8"/>
      <c r="J359" s="9"/>
      <c r="K359" s="8"/>
      <c r="L359" s="8"/>
      <c r="M359" s="9">
        <f t="shared" si="180"/>
        <v>1539168.44</v>
      </c>
      <c r="N359" s="8"/>
      <c r="O359" s="9"/>
      <c r="P359" s="9">
        <f>+N359+O359</f>
        <v>0</v>
      </c>
      <c r="Q359" s="9"/>
      <c r="R359" s="17"/>
      <c r="S359" s="17"/>
      <c r="T359" s="25"/>
      <c r="U359" s="18">
        <f>+P359+T359</f>
        <v>0</v>
      </c>
      <c r="V359" s="18"/>
      <c r="W359" s="18"/>
      <c r="X359" s="9">
        <f t="shared" si="173"/>
        <v>1539168.44</v>
      </c>
      <c r="Y359" s="8"/>
      <c r="Z359" s="9">
        <f t="shared" si="174"/>
        <v>0</v>
      </c>
      <c r="AA359" s="8">
        <f t="shared" si="175"/>
        <v>1539168.44</v>
      </c>
      <c r="AB359" s="8">
        <f t="shared" si="176"/>
        <v>0</v>
      </c>
    </row>
    <row r="360" spans="1:28" x14ac:dyDescent="0.3">
      <c r="A360" s="64"/>
      <c r="B360" s="8"/>
      <c r="C360" s="14" t="s">
        <v>1104</v>
      </c>
      <c r="D360" s="24" t="s">
        <v>1072</v>
      </c>
      <c r="E360" s="11">
        <v>1500000</v>
      </c>
      <c r="F360" s="8">
        <v>1500000</v>
      </c>
      <c r="G360" s="8"/>
      <c r="H360" s="9">
        <f t="shared" si="179"/>
        <v>1500000</v>
      </c>
      <c r="I360" s="8"/>
      <c r="J360" s="9"/>
      <c r="K360" s="8"/>
      <c r="L360" s="8"/>
      <c r="M360" s="9">
        <f t="shared" si="180"/>
        <v>1500000</v>
      </c>
      <c r="N360" s="8"/>
      <c r="O360" s="9"/>
      <c r="P360" s="9">
        <v>0</v>
      </c>
      <c r="Q360" s="9"/>
      <c r="R360" s="17"/>
      <c r="S360" s="17"/>
      <c r="T360" s="25"/>
      <c r="U360" s="18">
        <v>0</v>
      </c>
      <c r="V360" s="18"/>
      <c r="W360" s="18"/>
      <c r="X360" s="9">
        <f t="shared" si="173"/>
        <v>1500000</v>
      </c>
      <c r="Y360" s="8"/>
      <c r="Z360" s="9">
        <f t="shared" si="174"/>
        <v>0</v>
      </c>
      <c r="AA360" s="8">
        <f t="shared" si="175"/>
        <v>1500000</v>
      </c>
      <c r="AB360" s="8">
        <f t="shared" si="176"/>
        <v>0</v>
      </c>
    </row>
    <row r="361" spans="1:28" x14ac:dyDescent="0.3">
      <c r="A361" s="64"/>
      <c r="B361" s="8"/>
      <c r="C361" s="14" t="s">
        <v>1142</v>
      </c>
      <c r="D361" s="24" t="s">
        <v>1126</v>
      </c>
      <c r="E361" s="11">
        <v>268423.52</v>
      </c>
      <c r="F361" s="8">
        <v>268423.52</v>
      </c>
      <c r="G361" s="8"/>
      <c r="H361" s="9">
        <f t="shared" si="179"/>
        <v>268423.52</v>
      </c>
      <c r="I361" s="8"/>
      <c r="J361" s="9"/>
      <c r="K361" s="8"/>
      <c r="L361" s="8"/>
      <c r="M361" s="9">
        <f t="shared" si="180"/>
        <v>268423.52</v>
      </c>
      <c r="N361" s="8"/>
      <c r="O361" s="9"/>
      <c r="P361" s="9">
        <f>+N361+O361</f>
        <v>0</v>
      </c>
      <c r="Q361" s="9"/>
      <c r="R361" s="17"/>
      <c r="S361" s="17"/>
      <c r="T361" s="25"/>
      <c r="U361" s="18">
        <f>+P361+T361</f>
        <v>0</v>
      </c>
      <c r="V361" s="18"/>
      <c r="W361" s="18"/>
      <c r="X361" s="9">
        <f>+H361+P361</f>
        <v>268423.52</v>
      </c>
      <c r="Y361" s="8"/>
      <c r="Z361" s="9">
        <f>+E361-X361</f>
        <v>0</v>
      </c>
      <c r="AA361" s="8">
        <f>+M361+U361</f>
        <v>268423.52</v>
      </c>
      <c r="AB361" s="8">
        <f>+E361-AA361</f>
        <v>0</v>
      </c>
    </row>
    <row r="362" spans="1:28" x14ac:dyDescent="0.3">
      <c r="A362" s="64"/>
      <c r="B362" s="8"/>
      <c r="C362" s="14" t="s">
        <v>1143</v>
      </c>
      <c r="D362" s="24" t="s">
        <v>1126</v>
      </c>
      <c r="E362" s="11">
        <v>874006.9</v>
      </c>
      <c r="F362" s="8">
        <v>874006.9</v>
      </c>
      <c r="G362" s="8"/>
      <c r="H362" s="9">
        <f t="shared" si="179"/>
        <v>874006.9</v>
      </c>
      <c r="I362" s="8"/>
      <c r="J362" s="9"/>
      <c r="K362" s="8"/>
      <c r="L362" s="8"/>
      <c r="M362" s="9">
        <f t="shared" si="180"/>
        <v>874006.9</v>
      </c>
      <c r="N362" s="8"/>
      <c r="O362" s="9"/>
      <c r="P362" s="9">
        <f>+N362+O362</f>
        <v>0</v>
      </c>
      <c r="Q362" s="9"/>
      <c r="R362" s="17"/>
      <c r="S362" s="17"/>
      <c r="T362" s="25"/>
      <c r="U362" s="18">
        <f>+P362+T362</f>
        <v>0</v>
      </c>
      <c r="V362" s="18"/>
      <c r="W362" s="18"/>
      <c r="X362" s="9">
        <f>+H362+P362</f>
        <v>874006.9</v>
      </c>
      <c r="Y362" s="8"/>
      <c r="Z362" s="9">
        <f>+E362-X362</f>
        <v>0</v>
      </c>
      <c r="AA362" s="8">
        <f>+M362+U362</f>
        <v>874006.9</v>
      </c>
      <c r="AB362" s="8">
        <f>+E362-AA362</f>
        <v>0</v>
      </c>
    </row>
    <row r="363" spans="1:28" x14ac:dyDescent="0.3">
      <c r="A363" s="64"/>
      <c r="B363" s="8"/>
      <c r="C363" s="14" t="s">
        <v>927</v>
      </c>
      <c r="D363" s="21"/>
      <c r="E363" s="11">
        <v>731576.48</v>
      </c>
      <c r="F363" s="8">
        <v>731576.48</v>
      </c>
      <c r="G363" s="8"/>
      <c r="H363" s="9">
        <f t="shared" si="170"/>
        <v>731576.48</v>
      </c>
      <c r="I363" s="8"/>
      <c r="J363" s="9"/>
      <c r="K363" s="8"/>
      <c r="L363" s="8"/>
      <c r="M363" s="9">
        <f t="shared" si="177"/>
        <v>731576.48</v>
      </c>
      <c r="N363" s="8"/>
      <c r="O363" s="9"/>
      <c r="P363" s="9">
        <f t="shared" si="178"/>
        <v>0</v>
      </c>
      <c r="Q363" s="9"/>
      <c r="R363" s="17"/>
      <c r="S363" s="17"/>
      <c r="T363" s="25"/>
      <c r="U363" s="18">
        <f>+P363+T363</f>
        <v>0</v>
      </c>
      <c r="V363" s="18"/>
      <c r="W363" s="18"/>
      <c r="X363" s="9">
        <f t="shared" si="173"/>
        <v>731576.48</v>
      </c>
      <c r="Y363" s="8"/>
      <c r="Z363" s="9">
        <f t="shared" si="174"/>
        <v>0</v>
      </c>
      <c r="AA363" s="8">
        <f t="shared" si="175"/>
        <v>731576.48</v>
      </c>
      <c r="AB363" s="8">
        <f t="shared" si="176"/>
        <v>0</v>
      </c>
    </row>
    <row r="364" spans="1:28" x14ac:dyDescent="0.3">
      <c r="A364" s="64"/>
      <c r="B364" s="8"/>
      <c r="C364" s="7" t="s">
        <v>577</v>
      </c>
      <c r="D364" s="8"/>
      <c r="E364" s="9">
        <v>2654645</v>
      </c>
      <c r="F364" s="9">
        <v>2654645</v>
      </c>
      <c r="G364" s="8"/>
      <c r="H364" s="9">
        <f t="shared" si="170"/>
        <v>2654645</v>
      </c>
      <c r="I364" s="8"/>
      <c r="J364" s="9">
        <f t="shared" si="171"/>
        <v>2654645</v>
      </c>
      <c r="K364" s="8"/>
      <c r="L364" s="8"/>
      <c r="M364" s="9">
        <f t="shared" si="177"/>
        <v>2654645</v>
      </c>
      <c r="N364" s="8"/>
      <c r="O364" s="9"/>
      <c r="P364" s="9">
        <f t="shared" si="178"/>
        <v>0</v>
      </c>
      <c r="Q364" s="9"/>
      <c r="R364" s="17"/>
      <c r="S364" s="17"/>
      <c r="T364" s="25"/>
      <c r="U364" s="18">
        <f t="shared" si="172"/>
        <v>0</v>
      </c>
      <c r="V364" s="18"/>
      <c r="W364" s="18"/>
      <c r="X364" s="9">
        <f t="shared" si="173"/>
        <v>2654645</v>
      </c>
      <c r="Y364" s="8"/>
      <c r="Z364" s="9">
        <f t="shared" si="174"/>
        <v>0</v>
      </c>
      <c r="AA364" s="8">
        <f t="shared" si="175"/>
        <v>2654645</v>
      </c>
      <c r="AB364" s="8">
        <f t="shared" si="176"/>
        <v>0</v>
      </c>
    </row>
    <row r="365" spans="1:28" x14ac:dyDescent="0.3">
      <c r="A365" s="64"/>
      <c r="B365" s="8"/>
      <c r="C365" s="7" t="s">
        <v>569</v>
      </c>
      <c r="D365" s="8"/>
      <c r="E365" s="9">
        <v>772645</v>
      </c>
      <c r="F365" s="9">
        <v>772645</v>
      </c>
      <c r="G365" s="8"/>
      <c r="H365" s="9">
        <f t="shared" si="170"/>
        <v>772645</v>
      </c>
      <c r="I365" s="8"/>
      <c r="J365" s="9">
        <f t="shared" si="171"/>
        <v>772645</v>
      </c>
      <c r="K365" s="8"/>
      <c r="L365" s="8"/>
      <c r="M365" s="9">
        <f t="shared" si="177"/>
        <v>772645</v>
      </c>
      <c r="N365" s="8"/>
      <c r="O365" s="9"/>
      <c r="P365" s="9">
        <f t="shared" si="178"/>
        <v>0</v>
      </c>
      <c r="Q365" s="9"/>
      <c r="R365" s="17"/>
      <c r="S365" s="17"/>
      <c r="T365" s="25"/>
      <c r="U365" s="18">
        <f t="shared" si="172"/>
        <v>0</v>
      </c>
      <c r="V365" s="18"/>
      <c r="W365" s="18"/>
      <c r="X365" s="9">
        <f t="shared" si="173"/>
        <v>772645</v>
      </c>
      <c r="Y365" s="8"/>
      <c r="Z365" s="9">
        <f t="shared" si="174"/>
        <v>0</v>
      </c>
      <c r="AA365" s="8">
        <f t="shared" si="175"/>
        <v>772645</v>
      </c>
      <c r="AB365" s="8">
        <f t="shared" si="176"/>
        <v>0</v>
      </c>
    </row>
    <row r="366" spans="1:28" x14ac:dyDescent="0.3">
      <c r="A366" s="64"/>
      <c r="B366" s="8"/>
      <c r="C366" s="7" t="s">
        <v>578</v>
      </c>
      <c r="D366" s="8"/>
      <c r="E366" s="9">
        <v>25000</v>
      </c>
      <c r="F366" s="9">
        <v>19976</v>
      </c>
      <c r="G366" s="8"/>
      <c r="H366" s="9">
        <f t="shared" si="170"/>
        <v>19976</v>
      </c>
      <c r="I366" s="8"/>
      <c r="J366" s="9">
        <f t="shared" si="171"/>
        <v>19976</v>
      </c>
      <c r="K366" s="8"/>
      <c r="L366" s="8"/>
      <c r="M366" s="9">
        <f t="shared" si="177"/>
        <v>19976</v>
      </c>
      <c r="N366" s="8"/>
      <c r="O366" s="9"/>
      <c r="P366" s="9">
        <f t="shared" si="178"/>
        <v>0</v>
      </c>
      <c r="Q366" s="9"/>
      <c r="R366" s="17"/>
      <c r="S366" s="17"/>
      <c r="T366" s="25"/>
      <c r="U366" s="18">
        <f t="shared" si="172"/>
        <v>0</v>
      </c>
      <c r="V366" s="18"/>
      <c r="W366" s="18"/>
      <c r="X366" s="9">
        <f t="shared" si="173"/>
        <v>19976</v>
      </c>
      <c r="Y366" s="8"/>
      <c r="Z366" s="9">
        <f t="shared" si="174"/>
        <v>5024</v>
      </c>
      <c r="AA366" s="8">
        <f t="shared" si="175"/>
        <v>19976</v>
      </c>
      <c r="AB366" s="8">
        <f t="shared" si="176"/>
        <v>5024</v>
      </c>
    </row>
    <row r="367" spans="1:28" x14ac:dyDescent="0.3">
      <c r="A367" s="64"/>
      <c r="B367" s="8"/>
      <c r="C367" s="7" t="s">
        <v>579</v>
      </c>
      <c r="D367" s="8"/>
      <c r="E367" s="9">
        <v>1914249.3</v>
      </c>
      <c r="F367" s="9">
        <v>1914249.3</v>
      </c>
      <c r="G367" s="8"/>
      <c r="H367" s="9">
        <f t="shared" si="170"/>
        <v>1914249.3</v>
      </c>
      <c r="I367" s="8"/>
      <c r="J367" s="9">
        <f t="shared" si="171"/>
        <v>1914249.3</v>
      </c>
      <c r="K367" s="8"/>
      <c r="L367" s="8"/>
      <c r="M367" s="9">
        <f t="shared" si="177"/>
        <v>1914249.3</v>
      </c>
      <c r="N367" s="8"/>
      <c r="O367" s="9"/>
      <c r="P367" s="9">
        <f t="shared" si="178"/>
        <v>0</v>
      </c>
      <c r="Q367" s="9"/>
      <c r="R367" s="17"/>
      <c r="S367" s="17"/>
      <c r="T367" s="25"/>
      <c r="U367" s="18">
        <f t="shared" si="172"/>
        <v>0</v>
      </c>
      <c r="V367" s="18"/>
      <c r="W367" s="18"/>
      <c r="X367" s="9">
        <f t="shared" si="173"/>
        <v>1914249.3</v>
      </c>
      <c r="Y367" s="8"/>
      <c r="Z367" s="9">
        <f t="shared" si="174"/>
        <v>0</v>
      </c>
      <c r="AA367" s="8">
        <f t="shared" si="175"/>
        <v>1914249.3</v>
      </c>
      <c r="AB367" s="8">
        <f t="shared" si="176"/>
        <v>0</v>
      </c>
    </row>
    <row r="368" spans="1:28" x14ac:dyDescent="0.3">
      <c r="A368" s="64"/>
      <c r="B368" s="8"/>
      <c r="C368" s="7" t="s">
        <v>543</v>
      </c>
      <c r="D368" s="8"/>
      <c r="E368" s="9">
        <f>2500000+2500000-2500000+2364564.42</f>
        <v>4864564.42</v>
      </c>
      <c r="F368" s="9">
        <f>5000000-2500000+2364564.42</f>
        <v>4864564.42</v>
      </c>
      <c r="G368" s="9"/>
      <c r="H368" s="9">
        <f t="shared" si="170"/>
        <v>4864564.42</v>
      </c>
      <c r="I368" s="9"/>
      <c r="J368" s="9">
        <f t="shared" si="171"/>
        <v>4864564.42</v>
      </c>
      <c r="K368" s="8"/>
      <c r="L368" s="8"/>
      <c r="M368" s="9">
        <f t="shared" si="177"/>
        <v>4864564.42</v>
      </c>
      <c r="N368" s="8"/>
      <c r="O368" s="9"/>
      <c r="P368" s="9">
        <f t="shared" si="178"/>
        <v>0</v>
      </c>
      <c r="Q368" s="9"/>
      <c r="R368" s="17"/>
      <c r="S368" s="17"/>
      <c r="T368" s="25"/>
      <c r="U368" s="18">
        <f t="shared" si="172"/>
        <v>0</v>
      </c>
      <c r="V368" s="18"/>
      <c r="W368" s="18"/>
      <c r="X368" s="9">
        <f t="shared" si="173"/>
        <v>4864564.42</v>
      </c>
      <c r="Y368" s="8"/>
      <c r="Z368" s="9">
        <f t="shared" si="174"/>
        <v>0</v>
      </c>
      <c r="AA368" s="8">
        <f t="shared" si="175"/>
        <v>4864564.42</v>
      </c>
      <c r="AB368" s="8">
        <f t="shared" si="176"/>
        <v>0</v>
      </c>
    </row>
    <row r="369" spans="1:28" x14ac:dyDescent="0.3">
      <c r="A369" s="64"/>
      <c r="B369" s="8"/>
      <c r="C369" s="8"/>
      <c r="D369" s="8"/>
      <c r="E369" s="17" t="s">
        <v>29</v>
      </c>
      <c r="F369" s="17" t="s">
        <v>29</v>
      </c>
      <c r="G369" s="17" t="s">
        <v>29</v>
      </c>
      <c r="H369" s="17" t="s">
        <v>29</v>
      </c>
      <c r="I369" s="17" t="s">
        <v>29</v>
      </c>
      <c r="J369" s="17" t="s">
        <v>29</v>
      </c>
      <c r="K369" s="17" t="s">
        <v>29</v>
      </c>
      <c r="L369" s="17" t="s">
        <v>29</v>
      </c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 t="s">
        <v>29</v>
      </c>
      <c r="AB369" s="17" t="s">
        <v>29</v>
      </c>
    </row>
    <row r="370" spans="1:28" x14ac:dyDescent="0.3">
      <c r="A370" s="64"/>
      <c r="B370" s="8"/>
      <c r="C370" s="8"/>
      <c r="D370" s="8"/>
      <c r="E370" s="9">
        <f t="shared" ref="E370:AB370" si="181">SUM(E337:E368)</f>
        <v>67586412.439999998</v>
      </c>
      <c r="F370" s="9">
        <f t="shared" si="181"/>
        <v>63592857.690000005</v>
      </c>
      <c r="G370" s="9">
        <f t="shared" si="181"/>
        <v>0</v>
      </c>
      <c r="H370" s="9">
        <f t="shared" si="181"/>
        <v>63592857.690000005</v>
      </c>
      <c r="I370" s="9">
        <f t="shared" si="181"/>
        <v>0</v>
      </c>
      <c r="J370" s="9">
        <f t="shared" si="181"/>
        <v>44903435.390000001</v>
      </c>
      <c r="K370" s="9">
        <f t="shared" si="181"/>
        <v>3988530.75</v>
      </c>
      <c r="L370" s="9"/>
      <c r="M370" s="9">
        <f t="shared" si="181"/>
        <v>63592857.690000005</v>
      </c>
      <c r="N370" s="9">
        <f t="shared" si="181"/>
        <v>3988530.75</v>
      </c>
      <c r="O370" s="9">
        <f t="shared" si="181"/>
        <v>0</v>
      </c>
      <c r="P370" s="9">
        <f t="shared" si="181"/>
        <v>3988530.75</v>
      </c>
      <c r="Q370" s="9">
        <f t="shared" si="181"/>
        <v>0</v>
      </c>
      <c r="R370" s="9">
        <f t="shared" si="181"/>
        <v>0</v>
      </c>
      <c r="S370" s="9">
        <f t="shared" si="181"/>
        <v>0</v>
      </c>
      <c r="T370" s="9">
        <f t="shared" si="181"/>
        <v>0</v>
      </c>
      <c r="U370" s="9">
        <f t="shared" si="181"/>
        <v>3988530.75</v>
      </c>
      <c r="V370" s="9">
        <f t="shared" si="181"/>
        <v>0</v>
      </c>
      <c r="W370" s="9">
        <f t="shared" si="181"/>
        <v>0</v>
      </c>
      <c r="X370" s="9">
        <f t="shared" si="181"/>
        <v>67581388.439999998</v>
      </c>
      <c r="Y370" s="9">
        <f t="shared" si="181"/>
        <v>0</v>
      </c>
      <c r="Z370" s="9">
        <f t="shared" si="181"/>
        <v>5024</v>
      </c>
      <c r="AA370" s="9">
        <f t="shared" si="181"/>
        <v>67581388.439999998</v>
      </c>
      <c r="AB370" s="9">
        <f t="shared" si="181"/>
        <v>5024</v>
      </c>
    </row>
    <row r="371" spans="1:28" x14ac:dyDescent="0.3">
      <c r="A371" s="64"/>
      <c r="B371" s="8"/>
      <c r="C371" s="8"/>
      <c r="D371" s="8"/>
      <c r="E371" s="17" t="s">
        <v>29</v>
      </c>
      <c r="F371" s="17" t="s">
        <v>29</v>
      </c>
      <c r="G371" s="17" t="s">
        <v>29</v>
      </c>
      <c r="H371" s="17" t="s">
        <v>29</v>
      </c>
      <c r="I371" s="17" t="s">
        <v>29</v>
      </c>
      <c r="J371" s="17" t="s">
        <v>29</v>
      </c>
      <c r="K371" s="17" t="s">
        <v>29</v>
      </c>
      <c r="L371" s="17" t="s">
        <v>29</v>
      </c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 t="s">
        <v>29</v>
      </c>
      <c r="AB371" s="17" t="s">
        <v>29</v>
      </c>
    </row>
    <row r="372" spans="1:28" x14ac:dyDescent="0.3">
      <c r="A372" s="63" t="s">
        <v>950</v>
      </c>
      <c r="B372" s="7" t="s">
        <v>580</v>
      </c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17"/>
      <c r="S372" s="17"/>
      <c r="T372" s="25"/>
      <c r="U372" s="25"/>
      <c r="V372" s="25"/>
      <c r="W372" s="25"/>
      <c r="X372" s="25"/>
      <c r="Y372" s="25"/>
      <c r="Z372" s="25"/>
      <c r="AA372" s="58"/>
    </row>
    <row r="373" spans="1:28" x14ac:dyDescent="0.3">
      <c r="A373" s="64"/>
      <c r="B373" s="8"/>
      <c r="C373" s="7" t="s">
        <v>581</v>
      </c>
      <c r="D373" s="15" t="s">
        <v>150</v>
      </c>
      <c r="E373" s="9">
        <v>2989921.92</v>
      </c>
      <c r="F373" s="9">
        <v>2736088.53</v>
      </c>
      <c r="G373" s="8"/>
      <c r="H373" s="9">
        <f t="shared" ref="H373:H397" si="182">F373+G373</f>
        <v>2736088.53</v>
      </c>
      <c r="I373" s="8"/>
      <c r="J373" s="9">
        <f t="shared" ref="J373:J397" si="183">H373+I373</f>
        <v>2736088.53</v>
      </c>
      <c r="K373" s="9">
        <v>253833.39</v>
      </c>
      <c r="L373" s="8"/>
      <c r="M373" s="9">
        <f>+H373+L373</f>
        <v>2736088.53</v>
      </c>
      <c r="N373" s="8">
        <v>253833.39</v>
      </c>
      <c r="O373" s="9"/>
      <c r="P373" s="9">
        <f>+N373+O373</f>
        <v>253833.39</v>
      </c>
      <c r="Q373" s="9"/>
      <c r="R373" s="17"/>
      <c r="S373" s="17"/>
      <c r="T373" s="25"/>
      <c r="U373" s="18">
        <f t="shared" ref="U373:U397" si="184">+P373+T373</f>
        <v>253833.39</v>
      </c>
      <c r="V373" s="18"/>
      <c r="W373" s="18"/>
      <c r="X373" s="9">
        <f t="shared" ref="X373:X397" si="185">+H373+P373</f>
        <v>2989921.92</v>
      </c>
      <c r="Y373" s="8"/>
      <c r="Z373" s="9">
        <f t="shared" ref="Z373:Z397" si="186">+E373-X373</f>
        <v>0</v>
      </c>
      <c r="AA373" s="8">
        <f t="shared" ref="AA373:AA397" si="187">+M373+U373</f>
        <v>2989921.92</v>
      </c>
      <c r="AB373" s="8">
        <f t="shared" ref="AB373:AB397" si="188">+E373-AA373</f>
        <v>0</v>
      </c>
    </row>
    <row r="374" spans="1:28" x14ac:dyDescent="0.3">
      <c r="A374" s="64"/>
      <c r="B374" s="8"/>
      <c r="C374" s="7" t="s">
        <v>535</v>
      </c>
      <c r="D374" s="15" t="s">
        <v>166</v>
      </c>
      <c r="E374" s="9">
        <v>700591.67</v>
      </c>
      <c r="F374" s="9">
        <v>260596</v>
      </c>
      <c r="G374" s="8"/>
      <c r="H374" s="9">
        <f t="shared" si="182"/>
        <v>260596</v>
      </c>
      <c r="I374" s="8"/>
      <c r="J374" s="9">
        <f t="shared" si="183"/>
        <v>260596</v>
      </c>
      <c r="K374" s="9">
        <f>117021.77+322973.9</f>
        <v>439995.67000000004</v>
      </c>
      <c r="L374" s="8"/>
      <c r="M374" s="9">
        <f t="shared" ref="M374:M397" si="189">+H374+L374</f>
        <v>260596</v>
      </c>
      <c r="N374" s="8">
        <v>439995.67</v>
      </c>
      <c r="O374" s="9"/>
      <c r="P374" s="9">
        <f t="shared" ref="P374:P397" si="190">+N374+O374</f>
        <v>439995.67</v>
      </c>
      <c r="Q374" s="9"/>
      <c r="R374" s="17"/>
      <c r="S374" s="17"/>
      <c r="T374" s="25"/>
      <c r="U374" s="18">
        <f t="shared" si="184"/>
        <v>439995.67</v>
      </c>
      <c r="V374" s="18"/>
      <c r="W374" s="18"/>
      <c r="X374" s="9">
        <f t="shared" si="185"/>
        <v>700591.66999999993</v>
      </c>
      <c r="Y374" s="8"/>
      <c r="Z374" s="9">
        <f t="shared" si="186"/>
        <v>0</v>
      </c>
      <c r="AA374" s="8">
        <f t="shared" si="187"/>
        <v>700591.66999999993</v>
      </c>
      <c r="AB374" s="8">
        <f t="shared" si="188"/>
        <v>0</v>
      </c>
    </row>
    <row r="375" spans="1:28" x14ac:dyDescent="0.3">
      <c r="A375" s="64"/>
      <c r="B375" s="8"/>
      <c r="C375" s="7" t="s">
        <v>535</v>
      </c>
      <c r="D375" s="15" t="s">
        <v>68</v>
      </c>
      <c r="E375" s="9">
        <f>2962100-2071673</f>
        <v>890427</v>
      </c>
      <c r="F375" s="9">
        <v>890427</v>
      </c>
      <c r="G375" s="8"/>
      <c r="H375" s="9">
        <f t="shared" si="182"/>
        <v>890427</v>
      </c>
      <c r="I375" s="8"/>
      <c r="J375" s="9">
        <f t="shared" si="183"/>
        <v>890427</v>
      </c>
      <c r="K375" s="9">
        <v>0</v>
      </c>
      <c r="L375" s="8"/>
      <c r="M375" s="9">
        <f t="shared" si="189"/>
        <v>890427</v>
      </c>
      <c r="N375" s="8"/>
      <c r="O375" s="9"/>
      <c r="P375" s="9">
        <f t="shared" si="190"/>
        <v>0</v>
      </c>
      <c r="Q375" s="9"/>
      <c r="R375" s="17"/>
      <c r="S375" s="17"/>
      <c r="T375" s="25"/>
      <c r="U375" s="18">
        <f t="shared" si="184"/>
        <v>0</v>
      </c>
      <c r="V375" s="18"/>
      <c r="W375" s="18"/>
      <c r="X375" s="9">
        <f t="shared" si="185"/>
        <v>890427</v>
      </c>
      <c r="Y375" s="8"/>
      <c r="Z375" s="9">
        <f t="shared" si="186"/>
        <v>0</v>
      </c>
      <c r="AA375" s="8">
        <f t="shared" si="187"/>
        <v>890427</v>
      </c>
      <c r="AB375" s="8">
        <f t="shared" si="188"/>
        <v>0</v>
      </c>
    </row>
    <row r="376" spans="1:28" x14ac:dyDescent="0.3">
      <c r="A376" s="64"/>
      <c r="B376" s="8"/>
      <c r="C376" s="7" t="s">
        <v>539</v>
      </c>
      <c r="D376" s="15" t="s">
        <v>68</v>
      </c>
      <c r="E376" s="9">
        <f>59075.1+756954+578505.9+1001023.5+2281849.1</f>
        <v>4677407.5999999996</v>
      </c>
      <c r="F376" s="8"/>
      <c r="G376" s="8"/>
      <c r="H376" s="9">
        <f t="shared" si="182"/>
        <v>0</v>
      </c>
      <c r="I376" s="8"/>
      <c r="J376" s="9">
        <f t="shared" si="183"/>
        <v>0</v>
      </c>
      <c r="K376" s="9">
        <f>816029.1+578505.9+1001023.5+2281849.1</f>
        <v>4677407.5999999996</v>
      </c>
      <c r="L376" s="8"/>
      <c r="M376" s="9">
        <f t="shared" si="189"/>
        <v>0</v>
      </c>
      <c r="N376" s="8">
        <v>4677407.5999999996</v>
      </c>
      <c r="O376" s="9"/>
      <c r="P376" s="9">
        <f t="shared" si="190"/>
        <v>4677407.5999999996</v>
      </c>
      <c r="Q376" s="9"/>
      <c r="R376" s="17"/>
      <c r="S376" s="17"/>
      <c r="T376" s="25"/>
      <c r="U376" s="18">
        <f t="shared" si="184"/>
        <v>4677407.5999999996</v>
      </c>
      <c r="V376" s="18"/>
      <c r="W376" s="18"/>
      <c r="X376" s="9">
        <f t="shared" si="185"/>
        <v>4677407.5999999996</v>
      </c>
      <c r="Y376" s="8"/>
      <c r="Z376" s="9">
        <f t="shared" si="186"/>
        <v>0</v>
      </c>
      <c r="AA376" s="8">
        <f t="shared" si="187"/>
        <v>4677407.5999999996</v>
      </c>
      <c r="AB376" s="8">
        <f t="shared" si="188"/>
        <v>0</v>
      </c>
    </row>
    <row r="377" spans="1:28" x14ac:dyDescent="0.3">
      <c r="A377" s="64"/>
      <c r="B377" s="8"/>
      <c r="C377" s="7" t="s">
        <v>535</v>
      </c>
      <c r="D377" s="15" t="s">
        <v>54</v>
      </c>
      <c r="E377" s="9">
        <f>1727000-86350-1331200</f>
        <v>309450</v>
      </c>
      <c r="F377" s="9">
        <v>309450</v>
      </c>
      <c r="G377" s="8"/>
      <c r="H377" s="9">
        <f t="shared" si="182"/>
        <v>309450</v>
      </c>
      <c r="I377" s="8"/>
      <c r="J377" s="9">
        <f t="shared" si="183"/>
        <v>309450</v>
      </c>
      <c r="K377" s="8"/>
      <c r="L377" s="8"/>
      <c r="M377" s="9">
        <f t="shared" si="189"/>
        <v>309450</v>
      </c>
      <c r="N377" s="8"/>
      <c r="O377" s="9"/>
      <c r="P377" s="9">
        <f t="shared" si="190"/>
        <v>0</v>
      </c>
      <c r="Q377" s="9"/>
      <c r="R377" s="17"/>
      <c r="S377" s="17"/>
      <c r="T377" s="25"/>
      <c r="U377" s="18">
        <f t="shared" si="184"/>
        <v>0</v>
      </c>
      <c r="V377" s="18"/>
      <c r="W377" s="18"/>
      <c r="X377" s="9">
        <f t="shared" si="185"/>
        <v>309450</v>
      </c>
      <c r="Y377" s="8"/>
      <c r="Z377" s="9">
        <f t="shared" si="186"/>
        <v>0</v>
      </c>
      <c r="AA377" s="8">
        <f t="shared" si="187"/>
        <v>309450</v>
      </c>
      <c r="AB377" s="8">
        <f t="shared" si="188"/>
        <v>0</v>
      </c>
    </row>
    <row r="378" spans="1:28" x14ac:dyDescent="0.3">
      <c r="A378" s="64"/>
      <c r="B378" s="8"/>
      <c r="C378" s="7" t="s">
        <v>582</v>
      </c>
      <c r="D378" s="15" t="s">
        <v>54</v>
      </c>
      <c r="E378" s="9">
        <f>215680+171440+129382+734320+583810+440618-686550</f>
        <v>1588700</v>
      </c>
      <c r="F378" s="9">
        <v>1588700</v>
      </c>
      <c r="G378" s="8"/>
      <c r="H378" s="9">
        <f t="shared" si="182"/>
        <v>1588700</v>
      </c>
      <c r="I378" s="8"/>
      <c r="J378" s="9">
        <f t="shared" si="183"/>
        <v>1588700</v>
      </c>
      <c r="K378" s="8"/>
      <c r="L378" s="8"/>
      <c r="M378" s="9">
        <f t="shared" si="189"/>
        <v>1588700</v>
      </c>
      <c r="N378" s="8"/>
      <c r="O378" s="9"/>
      <c r="P378" s="9">
        <f t="shared" si="190"/>
        <v>0</v>
      </c>
      <c r="Q378" s="9"/>
      <c r="R378" s="17"/>
      <c r="S378" s="17"/>
      <c r="T378" s="25"/>
      <c r="U378" s="18">
        <f t="shared" si="184"/>
        <v>0</v>
      </c>
      <c r="V378" s="18"/>
      <c r="W378" s="18"/>
      <c r="X378" s="9">
        <f t="shared" si="185"/>
        <v>1588700</v>
      </c>
      <c r="Y378" s="8"/>
      <c r="Z378" s="9">
        <f t="shared" si="186"/>
        <v>0</v>
      </c>
      <c r="AA378" s="8">
        <f t="shared" si="187"/>
        <v>1588700</v>
      </c>
      <c r="AB378" s="8">
        <f t="shared" si="188"/>
        <v>0</v>
      </c>
    </row>
    <row r="379" spans="1:28" x14ac:dyDescent="0.3">
      <c r="A379" s="64"/>
      <c r="B379" s="8"/>
      <c r="C379" s="7" t="s">
        <v>571</v>
      </c>
      <c r="D379" s="15" t="s">
        <v>54</v>
      </c>
      <c r="E379" s="9">
        <v>950000</v>
      </c>
      <c r="F379" s="9">
        <v>950000</v>
      </c>
      <c r="G379" s="8"/>
      <c r="H379" s="9">
        <f t="shared" si="182"/>
        <v>950000</v>
      </c>
      <c r="I379" s="8"/>
      <c r="J379" s="9">
        <f t="shared" si="183"/>
        <v>950000</v>
      </c>
      <c r="K379" s="8"/>
      <c r="L379" s="8"/>
      <c r="M379" s="9">
        <f t="shared" si="189"/>
        <v>950000</v>
      </c>
      <c r="N379" s="8"/>
      <c r="O379" s="9"/>
      <c r="P379" s="9">
        <f t="shared" si="190"/>
        <v>0</v>
      </c>
      <c r="Q379" s="9"/>
      <c r="R379" s="17"/>
      <c r="S379" s="17"/>
      <c r="T379" s="25"/>
      <c r="U379" s="18">
        <f t="shared" si="184"/>
        <v>0</v>
      </c>
      <c r="V379" s="18"/>
      <c r="W379" s="18"/>
      <c r="X379" s="9">
        <f t="shared" si="185"/>
        <v>950000</v>
      </c>
      <c r="Y379" s="8"/>
      <c r="Z379" s="9">
        <f t="shared" si="186"/>
        <v>0</v>
      </c>
      <c r="AA379" s="8">
        <f t="shared" si="187"/>
        <v>950000</v>
      </c>
      <c r="AB379" s="8">
        <f t="shared" si="188"/>
        <v>0</v>
      </c>
    </row>
    <row r="380" spans="1:28" x14ac:dyDescent="0.3">
      <c r="A380" s="64"/>
      <c r="B380" s="8"/>
      <c r="C380" s="7" t="s">
        <v>583</v>
      </c>
      <c r="D380" s="15" t="s">
        <v>54</v>
      </c>
      <c r="E380" s="9">
        <f>898727.06+20000+15000+140340+124054.41+653413.53+112155+274155+112155-273553.98</f>
        <v>2076446.02</v>
      </c>
      <c r="F380" s="9">
        <f>933727.06+285732+592592.55</f>
        <v>1812051.61</v>
      </c>
      <c r="G380" s="8"/>
      <c r="H380" s="9">
        <f t="shared" si="182"/>
        <v>1812051.61</v>
      </c>
      <c r="I380" s="17" t="s">
        <v>584</v>
      </c>
      <c r="J380" s="9">
        <f t="shared" si="183"/>
        <v>1812051.61</v>
      </c>
      <c r="K380" s="9">
        <f>140340+5113.34-3287.78</f>
        <v>142165.56</v>
      </c>
      <c r="L380" s="8"/>
      <c r="M380" s="9">
        <f t="shared" si="189"/>
        <v>1812051.61</v>
      </c>
      <c r="N380" s="8">
        <v>142165.56</v>
      </c>
      <c r="O380" s="9"/>
      <c r="P380" s="9">
        <f t="shared" si="190"/>
        <v>142165.56</v>
      </c>
      <c r="Q380" s="9"/>
      <c r="R380" s="17"/>
      <c r="S380" s="17"/>
      <c r="T380" s="25"/>
      <c r="U380" s="18">
        <f t="shared" si="184"/>
        <v>142165.56</v>
      </c>
      <c r="V380" s="18"/>
      <c r="W380" s="18"/>
      <c r="X380" s="9">
        <f t="shared" si="185"/>
        <v>1954217.1700000002</v>
      </c>
      <c r="Y380" s="8"/>
      <c r="Z380" s="9">
        <f t="shared" si="186"/>
        <v>122228.84999999986</v>
      </c>
      <c r="AA380" s="8">
        <f t="shared" si="187"/>
        <v>1954217.1700000002</v>
      </c>
      <c r="AB380" s="8">
        <f t="shared" si="188"/>
        <v>122228.84999999986</v>
      </c>
    </row>
    <row r="381" spans="1:28" x14ac:dyDescent="0.3">
      <c r="A381" s="64"/>
      <c r="B381" s="8"/>
      <c r="C381" s="7" t="s">
        <v>545</v>
      </c>
      <c r="D381" s="15" t="s">
        <v>54</v>
      </c>
      <c r="E381" s="9">
        <v>1953989</v>
      </c>
      <c r="F381" s="8"/>
      <c r="G381" s="8"/>
      <c r="H381" s="9">
        <f t="shared" si="182"/>
        <v>0</v>
      </c>
      <c r="I381" s="8"/>
      <c r="J381" s="9">
        <f t="shared" si="183"/>
        <v>0</v>
      </c>
      <c r="K381" s="9">
        <v>1953989</v>
      </c>
      <c r="L381" s="8"/>
      <c r="M381" s="9">
        <f t="shared" si="189"/>
        <v>0</v>
      </c>
      <c r="N381" s="8">
        <v>1953989</v>
      </c>
      <c r="O381" s="9"/>
      <c r="P381" s="9">
        <f t="shared" si="190"/>
        <v>1953989</v>
      </c>
      <c r="Q381" s="9"/>
      <c r="R381" s="17"/>
      <c r="S381" s="17"/>
      <c r="T381" s="25"/>
      <c r="U381" s="18">
        <f t="shared" si="184"/>
        <v>1953989</v>
      </c>
      <c r="V381" s="18"/>
      <c r="W381" s="18"/>
      <c r="X381" s="9">
        <f t="shared" si="185"/>
        <v>1953989</v>
      </c>
      <c r="Y381" s="8"/>
      <c r="Z381" s="9">
        <f t="shared" si="186"/>
        <v>0</v>
      </c>
      <c r="AA381" s="8">
        <f t="shared" si="187"/>
        <v>1953989</v>
      </c>
      <c r="AB381" s="8">
        <f t="shared" si="188"/>
        <v>0</v>
      </c>
    </row>
    <row r="382" spans="1:28" x14ac:dyDescent="0.3">
      <c r="A382" s="64"/>
      <c r="B382" s="8"/>
      <c r="C382" s="7" t="s">
        <v>583</v>
      </c>
      <c r="D382" s="15" t="s">
        <v>85</v>
      </c>
      <c r="E382" s="9">
        <f>1120000+2880000-2010000</f>
        <v>1990000</v>
      </c>
      <c r="F382" s="9">
        <f>1311000+260000+419000</f>
        <v>1990000</v>
      </c>
      <c r="G382" s="8"/>
      <c r="H382" s="9">
        <f t="shared" si="182"/>
        <v>1990000</v>
      </c>
      <c r="I382" s="8"/>
      <c r="J382" s="9">
        <f t="shared" si="183"/>
        <v>1990000</v>
      </c>
      <c r="K382" s="8"/>
      <c r="L382" s="8"/>
      <c r="M382" s="9">
        <f t="shared" si="189"/>
        <v>1990000</v>
      </c>
      <c r="N382" s="8"/>
      <c r="O382" s="9"/>
      <c r="P382" s="9">
        <f t="shared" si="190"/>
        <v>0</v>
      </c>
      <c r="Q382" s="9"/>
      <c r="R382" s="17"/>
      <c r="S382" s="17"/>
      <c r="T382" s="25"/>
      <c r="U382" s="18">
        <f t="shared" si="184"/>
        <v>0</v>
      </c>
      <c r="V382" s="18"/>
      <c r="W382" s="18"/>
      <c r="X382" s="9">
        <f t="shared" si="185"/>
        <v>1990000</v>
      </c>
      <c r="Y382" s="8"/>
      <c r="Z382" s="9">
        <f t="shared" si="186"/>
        <v>0</v>
      </c>
      <c r="AA382" s="8">
        <f t="shared" si="187"/>
        <v>1990000</v>
      </c>
      <c r="AB382" s="8">
        <f t="shared" si="188"/>
        <v>0</v>
      </c>
    </row>
    <row r="383" spans="1:28" x14ac:dyDescent="0.3">
      <c r="A383" s="64"/>
      <c r="B383" s="8"/>
      <c r="C383" s="7" t="s">
        <v>571</v>
      </c>
      <c r="D383" s="15" t="s">
        <v>85</v>
      </c>
      <c r="E383" s="9">
        <v>700000</v>
      </c>
      <c r="F383" s="9">
        <v>700000</v>
      </c>
      <c r="G383" s="8"/>
      <c r="H383" s="9">
        <f t="shared" si="182"/>
        <v>700000</v>
      </c>
      <c r="I383" s="8"/>
      <c r="J383" s="9">
        <f t="shared" si="183"/>
        <v>700000</v>
      </c>
      <c r="K383" s="8"/>
      <c r="L383" s="8"/>
      <c r="M383" s="9">
        <f t="shared" si="189"/>
        <v>700000</v>
      </c>
      <c r="N383" s="8"/>
      <c r="O383" s="9"/>
      <c r="P383" s="9">
        <f t="shared" si="190"/>
        <v>0</v>
      </c>
      <c r="Q383" s="9"/>
      <c r="R383" s="17"/>
      <c r="S383" s="17"/>
      <c r="T383" s="25"/>
      <c r="U383" s="18">
        <f t="shared" si="184"/>
        <v>0</v>
      </c>
      <c r="V383" s="18"/>
      <c r="W383" s="18"/>
      <c r="X383" s="9">
        <f t="shared" si="185"/>
        <v>700000</v>
      </c>
      <c r="Y383" s="8"/>
      <c r="Z383" s="9">
        <f t="shared" si="186"/>
        <v>0</v>
      </c>
      <c r="AA383" s="8">
        <f t="shared" si="187"/>
        <v>700000</v>
      </c>
      <c r="AB383" s="8">
        <f t="shared" si="188"/>
        <v>0</v>
      </c>
    </row>
    <row r="384" spans="1:28" x14ac:dyDescent="0.3">
      <c r="A384" s="64"/>
      <c r="B384" s="8"/>
      <c r="C384" s="7" t="s">
        <v>585</v>
      </c>
      <c r="D384" s="15" t="s">
        <v>128</v>
      </c>
      <c r="E384" s="9">
        <v>674600</v>
      </c>
      <c r="F384" s="9">
        <v>616350</v>
      </c>
      <c r="G384" s="8"/>
      <c r="H384" s="9">
        <f t="shared" si="182"/>
        <v>616350</v>
      </c>
      <c r="I384" s="8"/>
      <c r="J384" s="9">
        <f t="shared" si="183"/>
        <v>616350</v>
      </c>
      <c r="K384" s="8"/>
      <c r="L384" s="8"/>
      <c r="M384" s="9">
        <f t="shared" si="189"/>
        <v>616350</v>
      </c>
      <c r="N384" s="8"/>
      <c r="O384" s="9"/>
      <c r="P384" s="9">
        <f t="shared" si="190"/>
        <v>0</v>
      </c>
      <c r="Q384" s="9"/>
      <c r="R384" s="17"/>
      <c r="S384" s="17"/>
      <c r="T384" s="25"/>
      <c r="U384" s="18">
        <f t="shared" si="184"/>
        <v>0</v>
      </c>
      <c r="V384" s="18"/>
      <c r="W384" s="18"/>
      <c r="X384" s="9">
        <f t="shared" si="185"/>
        <v>616350</v>
      </c>
      <c r="Y384" s="8"/>
      <c r="Z384" s="9">
        <f t="shared" si="186"/>
        <v>58250</v>
      </c>
      <c r="AA384" s="8">
        <f t="shared" si="187"/>
        <v>616350</v>
      </c>
      <c r="AB384" s="8">
        <f t="shared" si="188"/>
        <v>58250</v>
      </c>
    </row>
    <row r="385" spans="1:28" x14ac:dyDescent="0.3">
      <c r="A385" s="64"/>
      <c r="B385" s="8"/>
      <c r="C385" s="7" t="s">
        <v>586</v>
      </c>
      <c r="D385" s="15" t="s">
        <v>128</v>
      </c>
      <c r="E385" s="9">
        <v>640000</v>
      </c>
      <c r="F385" s="9">
        <v>640000</v>
      </c>
      <c r="G385" s="8"/>
      <c r="H385" s="9">
        <f t="shared" si="182"/>
        <v>640000</v>
      </c>
      <c r="I385" s="8"/>
      <c r="J385" s="9">
        <f t="shared" si="183"/>
        <v>640000</v>
      </c>
      <c r="K385" s="8"/>
      <c r="L385" s="8"/>
      <c r="M385" s="9">
        <f t="shared" si="189"/>
        <v>640000</v>
      </c>
      <c r="N385" s="8"/>
      <c r="O385" s="9"/>
      <c r="P385" s="9">
        <f t="shared" si="190"/>
        <v>0</v>
      </c>
      <c r="Q385" s="9"/>
      <c r="R385" s="17"/>
      <c r="S385" s="17"/>
      <c r="T385" s="25"/>
      <c r="U385" s="18">
        <f t="shared" si="184"/>
        <v>0</v>
      </c>
      <c r="V385" s="18"/>
      <c r="W385" s="18"/>
      <c r="X385" s="9">
        <f t="shared" si="185"/>
        <v>640000</v>
      </c>
      <c r="Y385" s="8"/>
      <c r="Z385" s="9">
        <f t="shared" si="186"/>
        <v>0</v>
      </c>
      <c r="AA385" s="8">
        <f t="shared" si="187"/>
        <v>640000</v>
      </c>
      <c r="AB385" s="8">
        <f t="shared" si="188"/>
        <v>0</v>
      </c>
    </row>
    <row r="386" spans="1:28" x14ac:dyDescent="0.3">
      <c r="A386" s="64"/>
      <c r="B386" s="8"/>
      <c r="C386" s="7" t="s">
        <v>535</v>
      </c>
      <c r="D386" s="15" t="s">
        <v>88</v>
      </c>
      <c r="E386" s="9">
        <f>1500000+1107017</f>
        <v>2607017</v>
      </c>
      <c r="F386" s="9">
        <f>1107017+1500000</f>
        <v>2607017</v>
      </c>
      <c r="G386" s="8"/>
      <c r="H386" s="9">
        <f t="shared" si="182"/>
        <v>2607017</v>
      </c>
      <c r="I386" s="8"/>
      <c r="J386" s="9">
        <f t="shared" si="183"/>
        <v>2607017</v>
      </c>
      <c r="K386" s="8"/>
      <c r="L386" s="8"/>
      <c r="M386" s="9">
        <f t="shared" si="189"/>
        <v>2607017</v>
      </c>
      <c r="N386" s="8"/>
      <c r="O386" s="9"/>
      <c r="P386" s="9">
        <f t="shared" si="190"/>
        <v>0</v>
      </c>
      <c r="Q386" s="9"/>
      <c r="R386" s="17"/>
      <c r="S386" s="17"/>
      <c r="T386" s="25"/>
      <c r="U386" s="18">
        <f t="shared" si="184"/>
        <v>0</v>
      </c>
      <c r="V386" s="18"/>
      <c r="W386" s="18"/>
      <c r="X386" s="9">
        <f t="shared" si="185"/>
        <v>2607017</v>
      </c>
      <c r="Y386" s="8"/>
      <c r="Z386" s="9">
        <f t="shared" si="186"/>
        <v>0</v>
      </c>
      <c r="AA386" s="8">
        <f t="shared" si="187"/>
        <v>2607017</v>
      </c>
      <c r="AB386" s="8">
        <f t="shared" si="188"/>
        <v>0</v>
      </c>
    </row>
    <row r="387" spans="1:28" x14ac:dyDescent="0.3">
      <c r="A387" s="64"/>
      <c r="B387" s="8"/>
      <c r="C387" s="7" t="s">
        <v>587</v>
      </c>
      <c r="D387" s="15" t="s">
        <v>88</v>
      </c>
      <c r="E387" s="9">
        <v>875600</v>
      </c>
      <c r="F387" s="9">
        <v>875600</v>
      </c>
      <c r="G387" s="8"/>
      <c r="H387" s="9">
        <f t="shared" si="182"/>
        <v>875600</v>
      </c>
      <c r="I387" s="8"/>
      <c r="J387" s="9">
        <f t="shared" si="183"/>
        <v>875600</v>
      </c>
      <c r="K387" s="8"/>
      <c r="L387" s="8"/>
      <c r="M387" s="9">
        <f t="shared" si="189"/>
        <v>875600</v>
      </c>
      <c r="N387" s="8"/>
      <c r="O387" s="9"/>
      <c r="P387" s="9">
        <f t="shared" si="190"/>
        <v>0</v>
      </c>
      <c r="Q387" s="9"/>
      <c r="R387" s="17"/>
      <c r="S387" s="17"/>
      <c r="T387" s="25"/>
      <c r="U387" s="18">
        <f t="shared" si="184"/>
        <v>0</v>
      </c>
      <c r="V387" s="18"/>
      <c r="W387" s="18"/>
      <c r="X387" s="9">
        <f t="shared" si="185"/>
        <v>875600</v>
      </c>
      <c r="Y387" s="8"/>
      <c r="Z387" s="9">
        <f t="shared" si="186"/>
        <v>0</v>
      </c>
      <c r="AA387" s="8">
        <f t="shared" si="187"/>
        <v>875600</v>
      </c>
      <c r="AB387" s="8">
        <f t="shared" si="188"/>
        <v>0</v>
      </c>
    </row>
    <row r="388" spans="1:28" x14ac:dyDescent="0.3">
      <c r="A388" s="64"/>
      <c r="B388" s="8"/>
      <c r="C388" s="7" t="s">
        <v>587</v>
      </c>
      <c r="D388" s="15" t="s">
        <v>108</v>
      </c>
      <c r="E388" s="9">
        <v>1841300</v>
      </c>
      <c r="F388" s="9">
        <v>1841300</v>
      </c>
      <c r="G388" s="8"/>
      <c r="H388" s="9">
        <f t="shared" si="182"/>
        <v>1841300</v>
      </c>
      <c r="I388" s="8"/>
      <c r="J388" s="9">
        <f t="shared" si="183"/>
        <v>1841300</v>
      </c>
      <c r="K388" s="8"/>
      <c r="L388" s="8"/>
      <c r="M388" s="9">
        <f t="shared" si="189"/>
        <v>1841300</v>
      </c>
      <c r="N388" s="8"/>
      <c r="O388" s="9"/>
      <c r="P388" s="9">
        <f t="shared" si="190"/>
        <v>0</v>
      </c>
      <c r="Q388" s="9"/>
      <c r="R388" s="17"/>
      <c r="S388" s="17"/>
      <c r="T388" s="25"/>
      <c r="U388" s="18">
        <f t="shared" si="184"/>
        <v>0</v>
      </c>
      <c r="V388" s="18"/>
      <c r="W388" s="18"/>
      <c r="X388" s="9">
        <f t="shared" si="185"/>
        <v>1841300</v>
      </c>
      <c r="Y388" s="8"/>
      <c r="Z388" s="9">
        <f t="shared" si="186"/>
        <v>0</v>
      </c>
      <c r="AA388" s="8">
        <f t="shared" si="187"/>
        <v>1841300</v>
      </c>
      <c r="AB388" s="8">
        <f t="shared" si="188"/>
        <v>0</v>
      </c>
    </row>
    <row r="389" spans="1:28" x14ac:dyDescent="0.3">
      <c r="A389" s="64"/>
      <c r="B389" s="8"/>
      <c r="C389" s="7" t="s">
        <v>535</v>
      </c>
      <c r="D389" s="15" t="s">
        <v>58</v>
      </c>
      <c r="E389" s="9">
        <v>1691045</v>
      </c>
      <c r="F389" s="9">
        <v>1691045</v>
      </c>
      <c r="G389" s="8"/>
      <c r="H389" s="9">
        <f t="shared" si="182"/>
        <v>1691045</v>
      </c>
      <c r="I389" s="8"/>
      <c r="J389" s="9">
        <f t="shared" si="183"/>
        <v>1691045</v>
      </c>
      <c r="K389" s="8"/>
      <c r="L389" s="8"/>
      <c r="M389" s="9">
        <f t="shared" si="189"/>
        <v>1691045</v>
      </c>
      <c r="N389" s="8"/>
      <c r="O389" s="9"/>
      <c r="P389" s="9">
        <f t="shared" si="190"/>
        <v>0</v>
      </c>
      <c r="Q389" s="9"/>
      <c r="R389" s="17"/>
      <c r="S389" s="17"/>
      <c r="T389" s="25"/>
      <c r="U389" s="18">
        <f t="shared" si="184"/>
        <v>0</v>
      </c>
      <c r="V389" s="18"/>
      <c r="W389" s="18"/>
      <c r="X389" s="9">
        <f t="shared" si="185"/>
        <v>1691045</v>
      </c>
      <c r="Y389" s="8"/>
      <c r="Z389" s="9">
        <f t="shared" si="186"/>
        <v>0</v>
      </c>
      <c r="AA389" s="8">
        <f t="shared" si="187"/>
        <v>1691045</v>
      </c>
      <c r="AB389" s="8">
        <f t="shared" si="188"/>
        <v>0</v>
      </c>
    </row>
    <row r="390" spans="1:28" x14ac:dyDescent="0.3">
      <c r="A390" s="64"/>
      <c r="B390" s="8"/>
      <c r="C390" s="14" t="s">
        <v>535</v>
      </c>
      <c r="D390" s="21" t="s">
        <v>60</v>
      </c>
      <c r="E390" s="11">
        <f>495997+3189200</f>
        <v>3685197</v>
      </c>
      <c r="F390" s="11">
        <f>495997+3189200</f>
        <v>3685197</v>
      </c>
      <c r="G390" s="8"/>
      <c r="H390" s="9">
        <f t="shared" si="182"/>
        <v>3685197</v>
      </c>
      <c r="I390" s="8"/>
      <c r="J390" s="9">
        <f t="shared" si="183"/>
        <v>3685197</v>
      </c>
      <c r="K390" s="8"/>
      <c r="L390" s="8"/>
      <c r="M390" s="9">
        <f t="shared" si="189"/>
        <v>3685197</v>
      </c>
      <c r="N390" s="8"/>
      <c r="O390" s="9"/>
      <c r="P390" s="9">
        <f t="shared" si="190"/>
        <v>0</v>
      </c>
      <c r="Q390" s="9"/>
      <c r="R390" s="17"/>
      <c r="S390" s="17"/>
      <c r="T390" s="25"/>
      <c r="U390" s="18">
        <f t="shared" si="184"/>
        <v>0</v>
      </c>
      <c r="V390" s="18"/>
      <c r="W390" s="18"/>
      <c r="X390" s="9">
        <f t="shared" si="185"/>
        <v>3685197</v>
      </c>
      <c r="Y390" s="8"/>
      <c r="Z390" s="9">
        <f t="shared" si="186"/>
        <v>0</v>
      </c>
      <c r="AA390" s="8">
        <f t="shared" si="187"/>
        <v>3685197</v>
      </c>
      <c r="AB390" s="8">
        <f t="shared" si="188"/>
        <v>0</v>
      </c>
    </row>
    <row r="391" spans="1:28" x14ac:dyDescent="0.3">
      <c r="A391" s="64"/>
      <c r="B391" s="8"/>
      <c r="C391" s="14" t="s">
        <v>535</v>
      </c>
      <c r="D391" s="21" t="s">
        <v>73</v>
      </c>
      <c r="E391" s="11">
        <f>969610+2223830+439822.21</f>
        <v>3633262.21</v>
      </c>
      <c r="F391" s="9">
        <f>969610+2223830+439822.21</f>
        <v>3633262.21</v>
      </c>
      <c r="G391" s="9"/>
      <c r="H391" s="9">
        <f t="shared" si="182"/>
        <v>3633262.21</v>
      </c>
      <c r="I391" s="8"/>
      <c r="J391" s="9">
        <f t="shared" si="183"/>
        <v>3633262.21</v>
      </c>
      <c r="K391" s="8"/>
      <c r="L391" s="8"/>
      <c r="M391" s="9">
        <f t="shared" si="189"/>
        <v>3633262.21</v>
      </c>
      <c r="N391" s="8"/>
      <c r="O391" s="9"/>
      <c r="P391" s="9">
        <f t="shared" si="190"/>
        <v>0</v>
      </c>
      <c r="Q391" s="9"/>
      <c r="R391" s="17"/>
      <c r="S391" s="17"/>
      <c r="T391" s="25"/>
      <c r="U391" s="18">
        <f t="shared" si="184"/>
        <v>0</v>
      </c>
      <c r="V391" s="18"/>
      <c r="W391" s="18"/>
      <c r="X391" s="9">
        <f t="shared" si="185"/>
        <v>3633262.21</v>
      </c>
      <c r="Y391" s="8"/>
      <c r="Z391" s="9">
        <f t="shared" si="186"/>
        <v>0</v>
      </c>
      <c r="AA391" s="8">
        <f t="shared" si="187"/>
        <v>3633262.21</v>
      </c>
      <c r="AB391" s="8">
        <f t="shared" si="188"/>
        <v>0</v>
      </c>
    </row>
    <row r="392" spans="1:28" x14ac:dyDescent="0.3">
      <c r="A392" s="64"/>
      <c r="B392" s="8"/>
      <c r="C392" s="14" t="s">
        <v>549</v>
      </c>
      <c r="D392" s="21" t="s">
        <v>73</v>
      </c>
      <c r="E392" s="11">
        <f>751834.06+248165.94</f>
        <v>1000000</v>
      </c>
      <c r="F392" s="11">
        <f>751834.06+248165.94</f>
        <v>1000000</v>
      </c>
      <c r="G392" s="8"/>
      <c r="H392" s="9">
        <f t="shared" si="182"/>
        <v>1000000</v>
      </c>
      <c r="I392" s="8"/>
      <c r="J392" s="9">
        <f t="shared" si="183"/>
        <v>1000000</v>
      </c>
      <c r="K392" s="8"/>
      <c r="L392" s="8"/>
      <c r="M392" s="9">
        <f t="shared" si="189"/>
        <v>1000000</v>
      </c>
      <c r="N392" s="8"/>
      <c r="O392" s="9"/>
      <c r="P392" s="9">
        <f t="shared" si="190"/>
        <v>0</v>
      </c>
      <c r="Q392" s="9"/>
      <c r="R392" s="17"/>
      <c r="S392" s="17"/>
      <c r="T392" s="25"/>
      <c r="U392" s="18">
        <f t="shared" si="184"/>
        <v>0</v>
      </c>
      <c r="V392" s="18"/>
      <c r="W392" s="18"/>
      <c r="X392" s="9">
        <f t="shared" si="185"/>
        <v>1000000</v>
      </c>
      <c r="Y392" s="8"/>
      <c r="Z392" s="9">
        <f t="shared" si="186"/>
        <v>0</v>
      </c>
      <c r="AA392" s="8">
        <f t="shared" si="187"/>
        <v>1000000</v>
      </c>
      <c r="AB392" s="8">
        <f t="shared" si="188"/>
        <v>0</v>
      </c>
    </row>
    <row r="393" spans="1:28" x14ac:dyDescent="0.3">
      <c r="A393" s="64"/>
      <c r="B393" s="8"/>
      <c r="C393" s="14" t="s">
        <v>535</v>
      </c>
      <c r="D393" s="21" t="s">
        <v>61</v>
      </c>
      <c r="E393" s="11">
        <f>449768.41+979612.5+210150.41</f>
        <v>1639531.3199999998</v>
      </c>
      <c r="F393" s="11">
        <f>449768.41+979612.5+210150.41</f>
        <v>1639531.3199999998</v>
      </c>
      <c r="G393" s="8"/>
      <c r="H393" s="9">
        <f t="shared" si="182"/>
        <v>1639531.3199999998</v>
      </c>
      <c r="I393" s="8"/>
      <c r="J393" s="9">
        <f t="shared" si="183"/>
        <v>1639531.3199999998</v>
      </c>
      <c r="K393" s="8"/>
      <c r="L393" s="8"/>
      <c r="M393" s="9">
        <f t="shared" si="189"/>
        <v>1639531.3199999998</v>
      </c>
      <c r="N393" s="8"/>
      <c r="O393" s="9"/>
      <c r="P393" s="9">
        <f t="shared" si="190"/>
        <v>0</v>
      </c>
      <c r="Q393" s="9"/>
      <c r="R393" s="17"/>
      <c r="S393" s="17"/>
      <c r="T393" s="25"/>
      <c r="U393" s="18">
        <f t="shared" si="184"/>
        <v>0</v>
      </c>
      <c r="V393" s="18"/>
      <c r="W393" s="18"/>
      <c r="X393" s="9">
        <f t="shared" si="185"/>
        <v>1639531.3199999998</v>
      </c>
      <c r="Y393" s="8"/>
      <c r="Z393" s="9">
        <f t="shared" si="186"/>
        <v>0</v>
      </c>
      <c r="AA393" s="8">
        <f t="shared" si="187"/>
        <v>1639531.3199999998</v>
      </c>
      <c r="AB393" s="8">
        <f t="shared" si="188"/>
        <v>0</v>
      </c>
    </row>
    <row r="394" spans="1:28" x14ac:dyDescent="0.3">
      <c r="A394" s="64"/>
      <c r="B394" s="8"/>
      <c r="C394" s="45" t="s">
        <v>933</v>
      </c>
      <c r="D394" s="24" t="s">
        <v>1072</v>
      </c>
      <c r="E394" s="11">
        <f>1430595.8+2367404.2</f>
        <v>3798000</v>
      </c>
      <c r="F394" s="11">
        <v>3798000</v>
      </c>
      <c r="G394" s="8"/>
      <c r="H394" s="9">
        <f>+F394+G394</f>
        <v>3798000</v>
      </c>
      <c r="I394" s="8"/>
      <c r="J394" s="9">
        <f t="shared" si="183"/>
        <v>3798000</v>
      </c>
      <c r="K394" s="8"/>
      <c r="L394" s="8"/>
      <c r="M394" s="9">
        <f t="shared" si="189"/>
        <v>3798000</v>
      </c>
      <c r="N394" s="8"/>
      <c r="O394" s="9"/>
      <c r="P394" s="9">
        <f>+N394+O394</f>
        <v>0</v>
      </c>
      <c r="Q394" s="9"/>
      <c r="R394" s="17"/>
      <c r="S394" s="17"/>
      <c r="T394" s="25"/>
      <c r="U394" s="18">
        <f t="shared" si="184"/>
        <v>0</v>
      </c>
      <c r="V394" s="18"/>
      <c r="W394" s="18"/>
      <c r="X394" s="9">
        <f t="shared" si="185"/>
        <v>3798000</v>
      </c>
      <c r="Y394" s="8"/>
      <c r="Z394" s="9">
        <f t="shared" si="186"/>
        <v>0</v>
      </c>
      <c r="AA394" s="8">
        <f t="shared" si="187"/>
        <v>3798000</v>
      </c>
      <c r="AB394" s="8">
        <f t="shared" si="188"/>
        <v>0</v>
      </c>
    </row>
    <row r="395" spans="1:28" x14ac:dyDescent="0.3">
      <c r="A395" s="64"/>
      <c r="B395" s="8"/>
      <c r="C395" s="45" t="s">
        <v>1196</v>
      </c>
      <c r="D395" s="24" t="s">
        <v>1126</v>
      </c>
      <c r="E395" s="11">
        <f>950788.3+936152.06</f>
        <v>1886940.36</v>
      </c>
      <c r="F395" s="8">
        <f>950788.3+936152.06</f>
        <v>1886940.36</v>
      </c>
      <c r="G395" s="8"/>
      <c r="H395" s="9">
        <f>+F395+G395</f>
        <v>1886940.36</v>
      </c>
      <c r="I395" s="8"/>
      <c r="J395" s="9">
        <f t="shared" si="183"/>
        <v>1886940.36</v>
      </c>
      <c r="K395" s="8"/>
      <c r="L395" s="8"/>
      <c r="M395" s="9">
        <f t="shared" si="189"/>
        <v>1886940.36</v>
      </c>
      <c r="N395" s="8"/>
      <c r="O395" s="9"/>
      <c r="P395" s="9">
        <f>+N395+O395</f>
        <v>0</v>
      </c>
      <c r="Q395" s="9"/>
      <c r="R395" s="17"/>
      <c r="S395" s="17"/>
      <c r="T395" s="25"/>
      <c r="U395" s="18">
        <f t="shared" si="184"/>
        <v>0</v>
      </c>
      <c r="V395" s="18"/>
      <c r="W395" s="18"/>
      <c r="X395" s="9">
        <f t="shared" si="185"/>
        <v>1886940.36</v>
      </c>
      <c r="Y395" s="8"/>
      <c r="Z395" s="9">
        <f t="shared" si="186"/>
        <v>0</v>
      </c>
      <c r="AA395" s="8">
        <f t="shared" si="187"/>
        <v>1886940.36</v>
      </c>
      <c r="AB395" s="8">
        <f t="shared" si="188"/>
        <v>0</v>
      </c>
    </row>
    <row r="396" spans="1:28" x14ac:dyDescent="0.3">
      <c r="A396" s="64"/>
      <c r="B396" s="8"/>
      <c r="C396" s="14" t="s">
        <v>1251</v>
      </c>
      <c r="D396" s="24" t="s">
        <v>1225</v>
      </c>
      <c r="E396" s="11">
        <v>647408.65</v>
      </c>
      <c r="F396" s="8">
        <v>647408.65</v>
      </c>
      <c r="G396" s="8"/>
      <c r="H396" s="9">
        <f>+F396+G396</f>
        <v>647408.65</v>
      </c>
      <c r="I396" s="8"/>
      <c r="J396" s="9"/>
      <c r="K396" s="8"/>
      <c r="L396" s="8"/>
      <c r="M396" s="9">
        <f>+H396+L396</f>
        <v>647408.65</v>
      </c>
      <c r="N396" s="8"/>
      <c r="O396" s="9"/>
      <c r="P396" s="9">
        <f>+N396+O396</f>
        <v>0</v>
      </c>
      <c r="Q396" s="9"/>
      <c r="R396" s="17"/>
      <c r="S396" s="17"/>
      <c r="T396" s="25"/>
      <c r="U396" s="18">
        <f t="shared" si="184"/>
        <v>0</v>
      </c>
      <c r="V396" s="18"/>
      <c r="W396" s="18"/>
      <c r="X396" s="9">
        <f t="shared" si="185"/>
        <v>647408.65</v>
      </c>
      <c r="Y396" s="8"/>
      <c r="Z396" s="9">
        <f t="shared" si="186"/>
        <v>0</v>
      </c>
      <c r="AA396" s="8">
        <f t="shared" si="187"/>
        <v>647408.65</v>
      </c>
      <c r="AB396" s="8">
        <f t="shared" si="188"/>
        <v>0</v>
      </c>
    </row>
    <row r="397" spans="1:28" x14ac:dyDescent="0.3">
      <c r="A397" s="64"/>
      <c r="B397" s="8"/>
      <c r="C397" s="7" t="s">
        <v>578</v>
      </c>
      <c r="D397" s="8"/>
      <c r="E397" s="9">
        <v>18000</v>
      </c>
      <c r="F397" s="9">
        <v>18000</v>
      </c>
      <c r="G397" s="8"/>
      <c r="H397" s="9">
        <f t="shared" si="182"/>
        <v>18000</v>
      </c>
      <c r="I397" s="8"/>
      <c r="J397" s="9">
        <f t="shared" si="183"/>
        <v>18000</v>
      </c>
      <c r="K397" s="8"/>
      <c r="L397" s="8"/>
      <c r="M397" s="9">
        <f t="shared" si="189"/>
        <v>18000</v>
      </c>
      <c r="N397" s="8"/>
      <c r="O397" s="9"/>
      <c r="P397" s="9">
        <f t="shared" si="190"/>
        <v>0</v>
      </c>
      <c r="Q397" s="9"/>
      <c r="R397" s="17"/>
      <c r="S397" s="17"/>
      <c r="T397" s="25"/>
      <c r="U397" s="18">
        <f t="shared" si="184"/>
        <v>0</v>
      </c>
      <c r="V397" s="18"/>
      <c r="W397" s="18"/>
      <c r="X397" s="9">
        <f t="shared" si="185"/>
        <v>18000</v>
      </c>
      <c r="Y397" s="8"/>
      <c r="Z397" s="9">
        <f t="shared" si="186"/>
        <v>0</v>
      </c>
      <c r="AA397" s="8">
        <f t="shared" si="187"/>
        <v>18000</v>
      </c>
      <c r="AB397" s="8">
        <f t="shared" si="188"/>
        <v>0</v>
      </c>
    </row>
    <row r="398" spans="1:28" x14ac:dyDescent="0.3">
      <c r="A398" s="64"/>
      <c r="B398" s="8"/>
      <c r="C398" s="8"/>
      <c r="D398" s="8"/>
      <c r="E398" s="17" t="s">
        <v>29</v>
      </c>
      <c r="F398" s="17" t="s">
        <v>29</v>
      </c>
      <c r="G398" s="17" t="s">
        <v>29</v>
      </c>
      <c r="H398" s="17" t="s">
        <v>29</v>
      </c>
      <c r="I398" s="17" t="s">
        <v>29</v>
      </c>
      <c r="J398" s="17" t="s">
        <v>29</v>
      </c>
      <c r="K398" s="17" t="s">
        <v>29</v>
      </c>
      <c r="L398" s="17" t="s">
        <v>29</v>
      </c>
      <c r="M398" s="17" t="s">
        <v>29</v>
      </c>
      <c r="N398" s="17" t="s">
        <v>29</v>
      </c>
      <c r="O398" s="17" t="s">
        <v>29</v>
      </c>
      <c r="P398" s="17" t="s">
        <v>29</v>
      </c>
      <c r="Q398" s="17" t="s">
        <v>29</v>
      </c>
      <c r="R398" s="17" t="s">
        <v>29</v>
      </c>
      <c r="S398" s="17" t="s">
        <v>29</v>
      </c>
      <c r="T398" s="17" t="s">
        <v>29</v>
      </c>
      <c r="U398" s="17" t="s">
        <v>29</v>
      </c>
      <c r="V398" s="17" t="s">
        <v>29</v>
      </c>
      <c r="W398" s="17" t="s">
        <v>29</v>
      </c>
      <c r="X398" s="17" t="s">
        <v>29</v>
      </c>
      <c r="Y398" s="17" t="s">
        <v>29</v>
      </c>
      <c r="Z398" s="17" t="s">
        <v>29</v>
      </c>
      <c r="AA398" s="17" t="s">
        <v>29</v>
      </c>
      <c r="AB398" s="17" t="s">
        <v>29</v>
      </c>
    </row>
    <row r="399" spans="1:28" x14ac:dyDescent="0.3">
      <c r="A399" s="64"/>
      <c r="B399" s="8"/>
      <c r="C399" s="8"/>
      <c r="D399" s="8"/>
      <c r="E399" s="9">
        <f t="shared" ref="E399:Q399" si="191">SUM(E373:E398)</f>
        <v>43464834.75</v>
      </c>
      <c r="F399" s="9">
        <f t="shared" si="191"/>
        <v>35816964.68</v>
      </c>
      <c r="G399" s="9">
        <f t="shared" si="191"/>
        <v>0</v>
      </c>
      <c r="H399" s="9">
        <f t="shared" si="191"/>
        <v>35816964.68</v>
      </c>
      <c r="I399" s="9">
        <f t="shared" si="191"/>
        <v>0</v>
      </c>
      <c r="J399" s="9">
        <f t="shared" si="191"/>
        <v>35169556.030000001</v>
      </c>
      <c r="K399" s="9">
        <f t="shared" si="191"/>
        <v>7467391.2199999997</v>
      </c>
      <c r="L399" s="9">
        <f t="shared" si="191"/>
        <v>0</v>
      </c>
      <c r="M399" s="9">
        <f t="shared" si="191"/>
        <v>35816964.68</v>
      </c>
      <c r="N399" s="9">
        <f t="shared" si="191"/>
        <v>7467391.2199999997</v>
      </c>
      <c r="O399" s="9">
        <f t="shared" si="191"/>
        <v>0</v>
      </c>
      <c r="P399" s="9">
        <f t="shared" si="191"/>
        <v>7467391.2199999997</v>
      </c>
      <c r="Q399" s="9">
        <f t="shared" si="191"/>
        <v>0</v>
      </c>
      <c r="R399" s="17"/>
      <c r="S399" s="17"/>
      <c r="T399" s="9">
        <f t="shared" ref="T399:Z399" si="192">SUM(T373:T398)</f>
        <v>0</v>
      </c>
      <c r="U399" s="9">
        <f t="shared" si="192"/>
        <v>7467391.2199999997</v>
      </c>
      <c r="V399" s="9">
        <f t="shared" si="192"/>
        <v>0</v>
      </c>
      <c r="W399" s="9">
        <f t="shared" si="192"/>
        <v>0</v>
      </c>
      <c r="X399" s="9">
        <f t="shared" si="192"/>
        <v>43284355.899999999</v>
      </c>
      <c r="Y399" s="9">
        <f t="shared" si="192"/>
        <v>0</v>
      </c>
      <c r="Z399" s="9">
        <f t="shared" si="192"/>
        <v>180478.84999999986</v>
      </c>
      <c r="AA399" s="9">
        <f>SUM(AA373:AA398)</f>
        <v>43284355.899999999</v>
      </c>
      <c r="AB399" s="9">
        <f>SUM(AB373:AB398)</f>
        <v>180478.84999999986</v>
      </c>
    </row>
    <row r="400" spans="1:28" x14ac:dyDescent="0.3">
      <c r="A400" s="64"/>
      <c r="B400" s="8"/>
      <c r="C400" s="8"/>
      <c r="D400" s="8"/>
      <c r="E400" s="17" t="s">
        <v>29</v>
      </c>
      <c r="F400" s="17" t="s">
        <v>29</v>
      </c>
      <c r="G400" s="17" t="s">
        <v>29</v>
      </c>
      <c r="H400" s="17" t="s">
        <v>29</v>
      </c>
      <c r="I400" s="17" t="s">
        <v>29</v>
      </c>
      <c r="J400" s="17" t="s">
        <v>29</v>
      </c>
      <c r="K400" s="17" t="s">
        <v>29</v>
      </c>
      <c r="L400" s="17" t="s">
        <v>29</v>
      </c>
      <c r="M400" s="17" t="s">
        <v>29</v>
      </c>
      <c r="N400" s="17" t="s">
        <v>29</v>
      </c>
      <c r="O400" s="17" t="s">
        <v>29</v>
      </c>
      <c r="P400" s="17" t="s">
        <v>29</v>
      </c>
      <c r="Q400" s="17" t="s">
        <v>29</v>
      </c>
      <c r="R400" s="17" t="s">
        <v>29</v>
      </c>
      <c r="S400" s="17" t="s">
        <v>29</v>
      </c>
      <c r="T400" s="17" t="s">
        <v>29</v>
      </c>
      <c r="U400" s="17" t="s">
        <v>29</v>
      </c>
      <c r="V400" s="17" t="s">
        <v>29</v>
      </c>
      <c r="W400" s="17" t="s">
        <v>29</v>
      </c>
      <c r="X400" s="17" t="s">
        <v>29</v>
      </c>
      <c r="Y400" s="17" t="s">
        <v>29</v>
      </c>
      <c r="Z400" s="17" t="s">
        <v>29</v>
      </c>
      <c r="AA400" s="17" t="s">
        <v>29</v>
      </c>
      <c r="AB400" s="17" t="s">
        <v>29</v>
      </c>
    </row>
    <row r="401" spans="1:28" x14ac:dyDescent="0.3">
      <c r="A401" s="63" t="s">
        <v>951</v>
      </c>
      <c r="B401" s="7" t="s">
        <v>588</v>
      </c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17"/>
      <c r="S401" s="17"/>
      <c r="T401" s="25"/>
      <c r="U401" s="25"/>
      <c r="V401" s="25"/>
      <c r="W401" s="25"/>
      <c r="X401" s="25"/>
      <c r="Y401" s="25"/>
      <c r="Z401" s="25"/>
      <c r="AA401" s="58"/>
    </row>
    <row r="402" spans="1:28" x14ac:dyDescent="0.3">
      <c r="A402" s="64"/>
      <c r="B402" s="8"/>
      <c r="C402" s="7" t="s">
        <v>539</v>
      </c>
      <c r="D402" s="15" t="s">
        <v>68</v>
      </c>
      <c r="E402" s="9">
        <f>2546118+192835.3+184768.75+316544.4+1965625</f>
        <v>5205891.4499999993</v>
      </c>
      <c r="F402" s="8"/>
      <c r="G402" s="8"/>
      <c r="H402" s="9">
        <f>+F402+G402</f>
        <v>0</v>
      </c>
      <c r="I402" s="8"/>
      <c r="J402" s="9">
        <f t="shared" ref="J402:J418" si="193">H402+I402</f>
        <v>0</v>
      </c>
      <c r="K402" s="9">
        <f>2923722.05+316544.4+1965625</f>
        <v>5205891.4499999993</v>
      </c>
      <c r="L402" s="8"/>
      <c r="M402" s="9">
        <f>+H402+L402</f>
        <v>0</v>
      </c>
      <c r="N402" s="8">
        <v>5205891.45</v>
      </c>
      <c r="O402" s="9"/>
      <c r="P402" s="9">
        <f>+N402+O402</f>
        <v>5205891.45</v>
      </c>
      <c r="Q402" s="9"/>
      <c r="R402" s="17"/>
      <c r="S402" s="17"/>
      <c r="T402" s="25"/>
      <c r="U402" s="18">
        <f t="shared" ref="U402:U418" si="194">+P402+T402</f>
        <v>5205891.45</v>
      </c>
      <c r="V402" s="18"/>
      <c r="W402" s="18"/>
      <c r="X402" s="9">
        <f t="shared" ref="X402:X418" si="195">+H402+P402</f>
        <v>5205891.45</v>
      </c>
      <c r="Y402" s="8"/>
      <c r="Z402" s="9">
        <f t="shared" ref="Z402:Z418" si="196">+E402-X402</f>
        <v>0</v>
      </c>
      <c r="AA402" s="8">
        <f t="shared" ref="AA402:AA418" si="197">+M402+U402</f>
        <v>5205891.45</v>
      </c>
      <c r="AB402" s="8">
        <f t="shared" ref="AB402:AB418" si="198">+E402-AA402</f>
        <v>0</v>
      </c>
    </row>
    <row r="403" spans="1:28" x14ac:dyDescent="0.3">
      <c r="A403" s="64"/>
      <c r="B403" s="8"/>
      <c r="C403" s="7" t="s">
        <v>535</v>
      </c>
      <c r="D403" s="15" t="s">
        <v>68</v>
      </c>
      <c r="E403" s="9">
        <f>2850000-1748000</f>
        <v>1102000</v>
      </c>
      <c r="F403" s="9">
        <v>1102000</v>
      </c>
      <c r="G403" s="8"/>
      <c r="H403" s="9">
        <f t="shared" ref="H403:H418" si="199">+F403+G403</f>
        <v>1102000</v>
      </c>
      <c r="I403" s="8"/>
      <c r="J403" s="9">
        <f t="shared" si="193"/>
        <v>1102000</v>
      </c>
      <c r="K403" s="8"/>
      <c r="L403" s="8"/>
      <c r="M403" s="9">
        <f t="shared" ref="M403:M418" si="200">+H403+L403</f>
        <v>1102000</v>
      </c>
      <c r="N403" s="8"/>
      <c r="O403" s="9"/>
      <c r="P403" s="9">
        <f t="shared" ref="P403:P418" si="201">+N403+O403</f>
        <v>0</v>
      </c>
      <c r="Q403" s="9"/>
      <c r="R403" s="17"/>
      <c r="S403" s="17"/>
      <c r="T403" s="25"/>
      <c r="U403" s="18">
        <f t="shared" si="194"/>
        <v>0</v>
      </c>
      <c r="V403" s="18"/>
      <c r="W403" s="18"/>
      <c r="X403" s="9">
        <f t="shared" si="195"/>
        <v>1102000</v>
      </c>
      <c r="Y403" s="8"/>
      <c r="Z403" s="9">
        <f t="shared" si="196"/>
        <v>0</v>
      </c>
      <c r="AA403" s="8">
        <f t="shared" si="197"/>
        <v>1102000</v>
      </c>
      <c r="AB403" s="8">
        <f t="shared" si="198"/>
        <v>0</v>
      </c>
    </row>
    <row r="404" spans="1:28" x14ac:dyDescent="0.3">
      <c r="A404" s="64"/>
      <c r="B404" s="8"/>
      <c r="C404" s="7" t="s">
        <v>545</v>
      </c>
      <c r="D404" s="15" t="s">
        <v>54</v>
      </c>
      <c r="E404" s="9">
        <v>1767770</v>
      </c>
      <c r="F404" s="8"/>
      <c r="G404" s="8"/>
      <c r="H404" s="9">
        <f t="shared" si="199"/>
        <v>0</v>
      </c>
      <c r="I404" s="8"/>
      <c r="J404" s="9">
        <f t="shared" si="193"/>
        <v>0</v>
      </c>
      <c r="K404" s="9">
        <v>1767770</v>
      </c>
      <c r="L404" s="8"/>
      <c r="M404" s="9">
        <f t="shared" si="200"/>
        <v>0</v>
      </c>
      <c r="N404" s="8">
        <v>1767770</v>
      </c>
      <c r="O404" s="9"/>
      <c r="P404" s="9">
        <f t="shared" si="201"/>
        <v>1767770</v>
      </c>
      <c r="Q404" s="9"/>
      <c r="R404" s="17"/>
      <c r="S404" s="17"/>
      <c r="T404" s="25"/>
      <c r="U404" s="18">
        <f t="shared" si="194"/>
        <v>1767770</v>
      </c>
      <c r="V404" s="18"/>
      <c r="W404" s="18"/>
      <c r="X404" s="9">
        <f t="shared" si="195"/>
        <v>1767770</v>
      </c>
      <c r="Y404" s="8"/>
      <c r="Z404" s="9">
        <f t="shared" si="196"/>
        <v>0</v>
      </c>
      <c r="AA404" s="8">
        <f t="shared" si="197"/>
        <v>1767770</v>
      </c>
      <c r="AB404" s="8">
        <f t="shared" si="198"/>
        <v>0</v>
      </c>
    </row>
    <row r="405" spans="1:28" x14ac:dyDescent="0.3">
      <c r="A405" s="64"/>
      <c r="B405" s="8"/>
      <c r="C405" s="7" t="s">
        <v>535</v>
      </c>
      <c r="D405" s="15" t="s">
        <v>54</v>
      </c>
      <c r="E405" s="9">
        <v>1156000</v>
      </c>
      <c r="F405" s="9">
        <v>1156000</v>
      </c>
      <c r="G405" s="8"/>
      <c r="H405" s="9">
        <f t="shared" si="199"/>
        <v>1156000</v>
      </c>
      <c r="I405" s="8"/>
      <c r="J405" s="9">
        <f t="shared" si="193"/>
        <v>1156000</v>
      </c>
      <c r="K405" s="8"/>
      <c r="L405" s="8"/>
      <c r="M405" s="9">
        <f t="shared" si="200"/>
        <v>1156000</v>
      </c>
      <c r="N405" s="8"/>
      <c r="O405" s="9"/>
      <c r="P405" s="9">
        <f t="shared" si="201"/>
        <v>0</v>
      </c>
      <c r="Q405" s="9"/>
      <c r="R405" s="17"/>
      <c r="S405" s="17"/>
      <c r="T405" s="25"/>
      <c r="U405" s="18">
        <f t="shared" si="194"/>
        <v>0</v>
      </c>
      <c r="V405" s="18"/>
      <c r="W405" s="18"/>
      <c r="X405" s="9">
        <f t="shared" si="195"/>
        <v>1156000</v>
      </c>
      <c r="Y405" s="8"/>
      <c r="Z405" s="9">
        <f t="shared" si="196"/>
        <v>0</v>
      </c>
      <c r="AA405" s="8">
        <f t="shared" si="197"/>
        <v>1156000</v>
      </c>
      <c r="AB405" s="8">
        <f t="shared" si="198"/>
        <v>0</v>
      </c>
    </row>
    <row r="406" spans="1:28" x14ac:dyDescent="0.3">
      <c r="A406" s="64"/>
      <c r="B406" s="8"/>
      <c r="C406" s="7" t="s">
        <v>535</v>
      </c>
      <c r="D406" s="15" t="s">
        <v>85</v>
      </c>
      <c r="E406" s="9">
        <f>1530000-153000-108700</f>
        <v>1268300</v>
      </c>
      <c r="F406" s="9">
        <v>1268300</v>
      </c>
      <c r="G406" s="8"/>
      <c r="H406" s="9">
        <f t="shared" si="199"/>
        <v>1268300</v>
      </c>
      <c r="I406" s="8"/>
      <c r="J406" s="9">
        <f t="shared" si="193"/>
        <v>1268300</v>
      </c>
      <c r="K406" s="8"/>
      <c r="L406" s="8"/>
      <c r="M406" s="9">
        <f t="shared" si="200"/>
        <v>1268300</v>
      </c>
      <c r="N406" s="8"/>
      <c r="O406" s="9"/>
      <c r="P406" s="9">
        <f t="shared" si="201"/>
        <v>0</v>
      </c>
      <c r="Q406" s="9"/>
      <c r="R406" s="17"/>
      <c r="S406" s="17"/>
      <c r="T406" s="25"/>
      <c r="U406" s="18">
        <f t="shared" si="194"/>
        <v>0</v>
      </c>
      <c r="V406" s="18"/>
      <c r="W406" s="18"/>
      <c r="X406" s="9">
        <f t="shared" si="195"/>
        <v>1268300</v>
      </c>
      <c r="Y406" s="8"/>
      <c r="Z406" s="9">
        <f t="shared" si="196"/>
        <v>0</v>
      </c>
      <c r="AA406" s="8">
        <f t="shared" si="197"/>
        <v>1268300</v>
      </c>
      <c r="AB406" s="8">
        <f t="shared" si="198"/>
        <v>0</v>
      </c>
    </row>
    <row r="407" spans="1:28" x14ac:dyDescent="0.3">
      <c r="A407" s="64"/>
      <c r="B407" s="8"/>
      <c r="C407" s="7" t="s">
        <v>535</v>
      </c>
      <c r="D407" s="15" t="s">
        <v>128</v>
      </c>
      <c r="E407" s="9">
        <v>709200</v>
      </c>
      <c r="F407" s="9">
        <v>709200</v>
      </c>
      <c r="G407" s="8"/>
      <c r="H407" s="9">
        <f t="shared" si="199"/>
        <v>709200</v>
      </c>
      <c r="I407" s="8"/>
      <c r="J407" s="9">
        <f t="shared" si="193"/>
        <v>709200</v>
      </c>
      <c r="K407" s="8"/>
      <c r="L407" s="8"/>
      <c r="M407" s="9">
        <f t="shared" si="200"/>
        <v>709200</v>
      </c>
      <c r="N407" s="8"/>
      <c r="O407" s="9"/>
      <c r="P407" s="9">
        <f t="shared" si="201"/>
        <v>0</v>
      </c>
      <c r="Q407" s="9"/>
      <c r="R407" s="17"/>
      <c r="S407" s="17"/>
      <c r="T407" s="25"/>
      <c r="U407" s="18">
        <f t="shared" si="194"/>
        <v>0</v>
      </c>
      <c r="V407" s="18"/>
      <c r="W407" s="18"/>
      <c r="X407" s="9">
        <f t="shared" si="195"/>
        <v>709200</v>
      </c>
      <c r="Y407" s="8"/>
      <c r="Z407" s="9">
        <f t="shared" si="196"/>
        <v>0</v>
      </c>
      <c r="AA407" s="8">
        <f t="shared" si="197"/>
        <v>709200</v>
      </c>
      <c r="AB407" s="8">
        <f t="shared" si="198"/>
        <v>0</v>
      </c>
    </row>
    <row r="408" spans="1:28" x14ac:dyDescent="0.3">
      <c r="A408" s="64"/>
      <c r="B408" s="8"/>
      <c r="C408" s="7" t="s">
        <v>589</v>
      </c>
      <c r="D408" s="15" t="s">
        <v>128</v>
      </c>
      <c r="E408" s="9">
        <v>1000000</v>
      </c>
      <c r="F408" s="9">
        <v>1000000</v>
      </c>
      <c r="G408" s="8"/>
      <c r="H408" s="9">
        <f t="shared" si="199"/>
        <v>1000000</v>
      </c>
      <c r="I408" s="8"/>
      <c r="J408" s="9">
        <f t="shared" si="193"/>
        <v>1000000</v>
      </c>
      <c r="K408" s="8"/>
      <c r="L408" s="8"/>
      <c r="M408" s="9">
        <f t="shared" si="200"/>
        <v>1000000</v>
      </c>
      <c r="N408" s="8"/>
      <c r="O408" s="9"/>
      <c r="P408" s="9">
        <f t="shared" si="201"/>
        <v>0</v>
      </c>
      <c r="Q408" s="9"/>
      <c r="R408" s="17"/>
      <c r="S408" s="17"/>
      <c r="T408" s="25"/>
      <c r="U408" s="18">
        <f t="shared" si="194"/>
        <v>0</v>
      </c>
      <c r="V408" s="18"/>
      <c r="W408" s="18"/>
      <c r="X408" s="9">
        <f t="shared" si="195"/>
        <v>1000000</v>
      </c>
      <c r="Y408" s="8"/>
      <c r="Z408" s="9">
        <f t="shared" si="196"/>
        <v>0</v>
      </c>
      <c r="AA408" s="8">
        <f t="shared" si="197"/>
        <v>1000000</v>
      </c>
      <c r="AB408" s="8">
        <f t="shared" si="198"/>
        <v>0</v>
      </c>
    </row>
    <row r="409" spans="1:28" x14ac:dyDescent="0.3">
      <c r="A409" s="64"/>
      <c r="B409" s="8"/>
      <c r="C409" s="7" t="s">
        <v>535</v>
      </c>
      <c r="D409" s="15" t="s">
        <v>108</v>
      </c>
      <c r="E409" s="9">
        <v>3638322</v>
      </c>
      <c r="F409" s="9">
        <v>3638322</v>
      </c>
      <c r="G409" s="8"/>
      <c r="H409" s="9">
        <f t="shared" si="199"/>
        <v>3638322</v>
      </c>
      <c r="I409" s="8"/>
      <c r="J409" s="9">
        <f t="shared" si="193"/>
        <v>3638322</v>
      </c>
      <c r="K409" s="8"/>
      <c r="L409" s="8"/>
      <c r="M409" s="9">
        <f t="shared" si="200"/>
        <v>3638322</v>
      </c>
      <c r="N409" s="8"/>
      <c r="O409" s="9"/>
      <c r="P409" s="9">
        <f t="shared" si="201"/>
        <v>0</v>
      </c>
      <c r="Q409" s="9"/>
      <c r="R409" s="17"/>
      <c r="S409" s="17"/>
      <c r="T409" s="25"/>
      <c r="U409" s="18">
        <f t="shared" si="194"/>
        <v>0</v>
      </c>
      <c r="V409" s="18"/>
      <c r="W409" s="18"/>
      <c r="X409" s="9">
        <f t="shared" si="195"/>
        <v>3638322</v>
      </c>
      <c r="Y409" s="8"/>
      <c r="Z409" s="9">
        <f t="shared" si="196"/>
        <v>0</v>
      </c>
      <c r="AA409" s="8">
        <f t="shared" si="197"/>
        <v>3638322</v>
      </c>
      <c r="AB409" s="8">
        <f t="shared" si="198"/>
        <v>0</v>
      </c>
    </row>
    <row r="410" spans="1:28" x14ac:dyDescent="0.3">
      <c r="A410" s="64"/>
      <c r="B410" s="8"/>
      <c r="C410" s="7" t="s">
        <v>590</v>
      </c>
      <c r="D410" s="15" t="s">
        <v>108</v>
      </c>
      <c r="E410" s="9">
        <v>200000</v>
      </c>
      <c r="F410" s="9">
        <v>200000</v>
      </c>
      <c r="G410" s="8"/>
      <c r="H410" s="9">
        <f t="shared" si="199"/>
        <v>200000</v>
      </c>
      <c r="I410" s="8"/>
      <c r="J410" s="9">
        <f t="shared" si="193"/>
        <v>200000</v>
      </c>
      <c r="K410" s="8"/>
      <c r="L410" s="8"/>
      <c r="M410" s="9">
        <f t="shared" si="200"/>
        <v>200000</v>
      </c>
      <c r="N410" s="8"/>
      <c r="O410" s="9"/>
      <c r="P410" s="9">
        <f t="shared" si="201"/>
        <v>0</v>
      </c>
      <c r="Q410" s="9"/>
      <c r="R410" s="17"/>
      <c r="S410" s="17"/>
      <c r="T410" s="25"/>
      <c r="U410" s="18">
        <f t="shared" si="194"/>
        <v>0</v>
      </c>
      <c r="V410" s="18"/>
      <c r="W410" s="18"/>
      <c r="X410" s="9">
        <f t="shared" si="195"/>
        <v>200000</v>
      </c>
      <c r="Y410" s="8"/>
      <c r="Z410" s="9">
        <f t="shared" si="196"/>
        <v>0</v>
      </c>
      <c r="AA410" s="8">
        <f t="shared" si="197"/>
        <v>200000</v>
      </c>
      <c r="AB410" s="8">
        <f t="shared" si="198"/>
        <v>0</v>
      </c>
    </row>
    <row r="411" spans="1:28" x14ac:dyDescent="0.3">
      <c r="A411" s="64"/>
      <c r="B411" s="8"/>
      <c r="C411" s="7" t="s">
        <v>535</v>
      </c>
      <c r="D411" s="15" t="s">
        <v>58</v>
      </c>
      <c r="E411" s="9">
        <v>2500000</v>
      </c>
      <c r="F411" s="9">
        <v>2500000</v>
      </c>
      <c r="G411" s="8"/>
      <c r="H411" s="9">
        <f t="shared" si="199"/>
        <v>2500000</v>
      </c>
      <c r="I411" s="8"/>
      <c r="J411" s="9">
        <f t="shared" si="193"/>
        <v>2500000</v>
      </c>
      <c r="K411" s="8"/>
      <c r="L411" s="9"/>
      <c r="M411" s="9">
        <f t="shared" si="200"/>
        <v>2500000</v>
      </c>
      <c r="N411" s="8"/>
      <c r="O411" s="9"/>
      <c r="P411" s="9">
        <f t="shared" si="201"/>
        <v>0</v>
      </c>
      <c r="Q411" s="9"/>
      <c r="R411" s="17"/>
      <c r="S411" s="17"/>
      <c r="T411" s="25"/>
      <c r="U411" s="18">
        <f t="shared" si="194"/>
        <v>0</v>
      </c>
      <c r="V411" s="18"/>
      <c r="W411" s="18"/>
      <c r="X411" s="9">
        <f t="shared" si="195"/>
        <v>2500000</v>
      </c>
      <c r="Y411" s="8"/>
      <c r="Z411" s="9">
        <f t="shared" si="196"/>
        <v>0</v>
      </c>
      <c r="AA411" s="8">
        <f t="shared" si="197"/>
        <v>2500000</v>
      </c>
      <c r="AB411" s="8">
        <f t="shared" si="198"/>
        <v>0</v>
      </c>
    </row>
    <row r="412" spans="1:28" x14ac:dyDescent="0.3">
      <c r="A412" s="64"/>
      <c r="B412" s="8"/>
      <c r="C412" s="14" t="s">
        <v>591</v>
      </c>
      <c r="D412" s="21" t="s">
        <v>73</v>
      </c>
      <c r="E412" s="11">
        <f>250000+250000</f>
        <v>500000</v>
      </c>
      <c r="F412" s="11">
        <f>250000+250000</f>
        <v>500000</v>
      </c>
      <c r="G412" s="8"/>
      <c r="H412" s="9">
        <f t="shared" si="199"/>
        <v>500000</v>
      </c>
      <c r="I412" s="8"/>
      <c r="J412" s="9">
        <f t="shared" si="193"/>
        <v>500000</v>
      </c>
      <c r="K412" s="8"/>
      <c r="L412" s="8"/>
      <c r="M412" s="9">
        <f t="shared" si="200"/>
        <v>500000</v>
      </c>
      <c r="N412" s="8"/>
      <c r="O412" s="9"/>
      <c r="P412" s="9">
        <f t="shared" si="201"/>
        <v>0</v>
      </c>
      <c r="Q412" s="9"/>
      <c r="R412" s="17"/>
      <c r="S412" s="17"/>
      <c r="T412" s="25"/>
      <c r="U412" s="18">
        <f t="shared" si="194"/>
        <v>0</v>
      </c>
      <c r="V412" s="18"/>
      <c r="W412" s="18"/>
      <c r="X412" s="9">
        <f t="shared" si="195"/>
        <v>500000</v>
      </c>
      <c r="Y412" s="8"/>
      <c r="Z412" s="9">
        <f t="shared" si="196"/>
        <v>0</v>
      </c>
      <c r="AA412" s="8">
        <f t="shared" si="197"/>
        <v>500000</v>
      </c>
      <c r="AB412" s="8">
        <f t="shared" si="198"/>
        <v>0</v>
      </c>
    </row>
    <row r="413" spans="1:28" x14ac:dyDescent="0.3">
      <c r="A413" s="64"/>
      <c r="B413" s="8"/>
      <c r="C413" s="7" t="s">
        <v>535</v>
      </c>
      <c r="D413" s="15" t="s">
        <v>61</v>
      </c>
      <c r="E413" s="11">
        <v>1087000</v>
      </c>
      <c r="F413" s="11">
        <v>1087000</v>
      </c>
      <c r="G413" s="8"/>
      <c r="H413" s="9">
        <f t="shared" si="199"/>
        <v>1087000</v>
      </c>
      <c r="I413" s="8"/>
      <c r="J413" s="9">
        <f t="shared" si="193"/>
        <v>1087000</v>
      </c>
      <c r="K413" s="8"/>
      <c r="L413" s="8"/>
      <c r="M413" s="9">
        <f t="shared" si="200"/>
        <v>1087000</v>
      </c>
      <c r="N413" s="8"/>
      <c r="O413" s="9"/>
      <c r="P413" s="9">
        <f t="shared" si="201"/>
        <v>0</v>
      </c>
      <c r="Q413" s="9"/>
      <c r="R413" s="17"/>
      <c r="S413" s="17"/>
      <c r="T413" s="25"/>
      <c r="U413" s="18">
        <f t="shared" si="194"/>
        <v>0</v>
      </c>
      <c r="V413" s="18"/>
      <c r="W413" s="18"/>
      <c r="X413" s="9">
        <f t="shared" si="195"/>
        <v>1087000</v>
      </c>
      <c r="Y413" s="8"/>
      <c r="Z413" s="9">
        <f t="shared" si="196"/>
        <v>0</v>
      </c>
      <c r="AA413" s="8">
        <f t="shared" si="197"/>
        <v>1087000</v>
      </c>
      <c r="AB413" s="8">
        <f t="shared" si="198"/>
        <v>0</v>
      </c>
    </row>
    <row r="414" spans="1:28" x14ac:dyDescent="0.3">
      <c r="A414" s="64"/>
      <c r="B414" s="8"/>
      <c r="C414" s="7" t="s">
        <v>933</v>
      </c>
      <c r="D414" s="16" t="s">
        <v>1072</v>
      </c>
      <c r="E414" s="11">
        <v>1200000</v>
      </c>
      <c r="F414" s="11">
        <v>1200000</v>
      </c>
      <c r="G414" s="8"/>
      <c r="H414" s="9">
        <f>+F414+G414</f>
        <v>1200000</v>
      </c>
      <c r="I414" s="8"/>
      <c r="J414" s="9">
        <f t="shared" si="193"/>
        <v>1200000</v>
      </c>
      <c r="K414" s="8"/>
      <c r="L414" s="8"/>
      <c r="M414" s="9">
        <f t="shared" si="200"/>
        <v>1200000</v>
      </c>
      <c r="N414" s="8"/>
      <c r="O414" s="9"/>
      <c r="P414" s="9">
        <f>+N414+O414</f>
        <v>0</v>
      </c>
      <c r="Q414" s="9"/>
      <c r="R414" s="17"/>
      <c r="S414" s="17"/>
      <c r="T414" s="25"/>
      <c r="U414" s="18">
        <f>+P414+T414</f>
        <v>0</v>
      </c>
      <c r="V414" s="18"/>
      <c r="W414" s="18"/>
      <c r="X414" s="9">
        <f t="shared" si="195"/>
        <v>1200000</v>
      </c>
      <c r="Y414" s="8"/>
      <c r="Z414" s="9">
        <f t="shared" si="196"/>
        <v>0</v>
      </c>
      <c r="AA414" s="8">
        <f t="shared" si="197"/>
        <v>1200000</v>
      </c>
      <c r="AB414" s="8">
        <f t="shared" si="198"/>
        <v>0</v>
      </c>
    </row>
    <row r="415" spans="1:28" x14ac:dyDescent="0.3">
      <c r="A415" s="64"/>
      <c r="B415" s="8"/>
      <c r="C415" s="7" t="s">
        <v>550</v>
      </c>
      <c r="D415" s="8"/>
      <c r="E415" s="9">
        <v>1677060.81</v>
      </c>
      <c r="F415" s="9">
        <v>954593.24</v>
      </c>
      <c r="G415" s="8"/>
      <c r="H415" s="9">
        <f t="shared" si="199"/>
        <v>954593.24</v>
      </c>
      <c r="I415" s="8"/>
      <c r="J415" s="9">
        <f t="shared" si="193"/>
        <v>954593.24</v>
      </c>
      <c r="K415" s="9">
        <f>722467.57+15928.66-15928.66</f>
        <v>722467.57</v>
      </c>
      <c r="L415" s="8"/>
      <c r="M415" s="9">
        <f t="shared" si="200"/>
        <v>954593.24</v>
      </c>
      <c r="N415" s="8">
        <v>722467.57</v>
      </c>
      <c r="O415" s="9"/>
      <c r="P415" s="9">
        <f t="shared" si="201"/>
        <v>722467.57</v>
      </c>
      <c r="Q415" s="9"/>
      <c r="R415" s="17"/>
      <c r="S415" s="17"/>
      <c r="T415" s="25"/>
      <c r="U415" s="18">
        <f t="shared" si="194"/>
        <v>722467.57</v>
      </c>
      <c r="V415" s="18"/>
      <c r="W415" s="18"/>
      <c r="X415" s="9">
        <f t="shared" si="195"/>
        <v>1677060.81</v>
      </c>
      <c r="Y415" s="8"/>
      <c r="Z415" s="9">
        <f t="shared" si="196"/>
        <v>0</v>
      </c>
      <c r="AA415" s="8">
        <f t="shared" si="197"/>
        <v>1677060.81</v>
      </c>
      <c r="AB415" s="8">
        <f t="shared" si="198"/>
        <v>0</v>
      </c>
    </row>
    <row r="416" spans="1:28" x14ac:dyDescent="0.3">
      <c r="A416" s="64"/>
      <c r="B416" s="8"/>
      <c r="C416" s="7" t="s">
        <v>569</v>
      </c>
      <c r="D416" s="8"/>
      <c r="E416" s="9">
        <v>4709393.3600000003</v>
      </c>
      <c r="F416" s="9">
        <v>4709393.3600000003</v>
      </c>
      <c r="G416" s="8"/>
      <c r="H416" s="9">
        <f t="shared" si="199"/>
        <v>4709393.3600000003</v>
      </c>
      <c r="I416" s="8"/>
      <c r="J416" s="9">
        <f t="shared" si="193"/>
        <v>4709393.3600000003</v>
      </c>
      <c r="K416" s="8"/>
      <c r="L416" s="8"/>
      <c r="M416" s="9">
        <f t="shared" si="200"/>
        <v>4709393.3600000003</v>
      </c>
      <c r="N416" s="8"/>
      <c r="O416" s="9"/>
      <c r="P416" s="9">
        <f t="shared" si="201"/>
        <v>0</v>
      </c>
      <c r="Q416" s="9"/>
      <c r="R416" s="17"/>
      <c r="S416" s="17"/>
      <c r="T416" s="25"/>
      <c r="U416" s="18">
        <f t="shared" si="194"/>
        <v>0</v>
      </c>
      <c r="V416" s="18"/>
      <c r="W416" s="18"/>
      <c r="X416" s="9">
        <f t="shared" si="195"/>
        <v>4709393.3600000003</v>
      </c>
      <c r="Y416" s="8"/>
      <c r="Z416" s="9">
        <f t="shared" si="196"/>
        <v>0</v>
      </c>
      <c r="AA416" s="8">
        <f t="shared" si="197"/>
        <v>4709393.3600000003</v>
      </c>
      <c r="AB416" s="8">
        <f t="shared" si="198"/>
        <v>0</v>
      </c>
    </row>
    <row r="417" spans="1:28" x14ac:dyDescent="0.3">
      <c r="A417" s="64"/>
      <c r="B417" s="8"/>
      <c r="C417" s="7" t="s">
        <v>592</v>
      </c>
      <c r="D417" s="8"/>
      <c r="E417" s="9">
        <v>726146.7</v>
      </c>
      <c r="F417" s="9">
        <v>715118</v>
      </c>
      <c r="G417" s="8"/>
      <c r="H417" s="9">
        <f t="shared" si="199"/>
        <v>715118</v>
      </c>
      <c r="I417" s="8"/>
      <c r="J417" s="9">
        <f t="shared" si="193"/>
        <v>715118</v>
      </c>
      <c r="K417" s="9">
        <v>11028.7</v>
      </c>
      <c r="L417" s="8"/>
      <c r="M417" s="9">
        <f t="shared" si="200"/>
        <v>715118</v>
      </c>
      <c r="N417" s="8">
        <v>11028.7</v>
      </c>
      <c r="O417" s="9"/>
      <c r="P417" s="9">
        <f t="shared" si="201"/>
        <v>11028.7</v>
      </c>
      <c r="Q417" s="9"/>
      <c r="R417" s="17"/>
      <c r="S417" s="17"/>
      <c r="T417" s="25"/>
      <c r="U417" s="18">
        <f t="shared" si="194"/>
        <v>11028.7</v>
      </c>
      <c r="V417" s="18"/>
      <c r="W417" s="18"/>
      <c r="X417" s="9">
        <f t="shared" si="195"/>
        <v>726146.7</v>
      </c>
      <c r="Y417" s="8"/>
      <c r="Z417" s="9">
        <f t="shared" si="196"/>
        <v>0</v>
      </c>
      <c r="AA417" s="8">
        <f t="shared" si="197"/>
        <v>726146.7</v>
      </c>
      <c r="AB417" s="8">
        <f t="shared" si="198"/>
        <v>0</v>
      </c>
    </row>
    <row r="418" spans="1:28" x14ac:dyDescent="0.3">
      <c r="A418" s="64"/>
      <c r="B418" s="8"/>
      <c r="C418" s="7" t="s">
        <v>543</v>
      </c>
      <c r="D418" s="8"/>
      <c r="E418" s="9">
        <v>2500000</v>
      </c>
      <c r="F418" s="9">
        <v>2500000</v>
      </c>
      <c r="G418" s="8"/>
      <c r="H418" s="9">
        <f t="shared" si="199"/>
        <v>2500000</v>
      </c>
      <c r="I418" s="8"/>
      <c r="J418" s="9">
        <f t="shared" si="193"/>
        <v>2500000</v>
      </c>
      <c r="K418" s="8"/>
      <c r="L418" s="8"/>
      <c r="M418" s="9">
        <f t="shared" si="200"/>
        <v>2500000</v>
      </c>
      <c r="N418" s="8"/>
      <c r="O418" s="9"/>
      <c r="P418" s="9">
        <f t="shared" si="201"/>
        <v>0</v>
      </c>
      <c r="Q418" s="9"/>
      <c r="R418" s="17"/>
      <c r="S418" s="17"/>
      <c r="T418" s="25"/>
      <c r="U418" s="18">
        <f t="shared" si="194"/>
        <v>0</v>
      </c>
      <c r="V418" s="18"/>
      <c r="W418" s="18"/>
      <c r="X418" s="9">
        <f t="shared" si="195"/>
        <v>2500000</v>
      </c>
      <c r="Y418" s="8"/>
      <c r="Z418" s="9">
        <f t="shared" si="196"/>
        <v>0</v>
      </c>
      <c r="AA418" s="8">
        <f t="shared" si="197"/>
        <v>2500000</v>
      </c>
      <c r="AB418" s="8">
        <f t="shared" si="198"/>
        <v>0</v>
      </c>
    </row>
    <row r="419" spans="1:28" x14ac:dyDescent="0.3">
      <c r="A419" s="64"/>
      <c r="B419" s="8"/>
      <c r="C419" s="8"/>
      <c r="D419" s="8"/>
      <c r="E419" s="17" t="s">
        <v>29</v>
      </c>
      <c r="F419" s="17" t="s">
        <v>29</v>
      </c>
      <c r="G419" s="17" t="s">
        <v>29</v>
      </c>
      <c r="H419" s="17" t="s">
        <v>29</v>
      </c>
      <c r="I419" s="17" t="s">
        <v>29</v>
      </c>
      <c r="J419" s="17" t="s">
        <v>29</v>
      </c>
      <c r="K419" s="17" t="s">
        <v>29</v>
      </c>
      <c r="L419" s="17" t="s">
        <v>29</v>
      </c>
      <c r="M419" s="17" t="s">
        <v>29</v>
      </c>
      <c r="N419" s="17" t="s">
        <v>29</v>
      </c>
      <c r="O419" s="17" t="s">
        <v>29</v>
      </c>
      <c r="P419" s="17" t="s">
        <v>29</v>
      </c>
      <c r="Q419" s="17" t="s">
        <v>29</v>
      </c>
      <c r="R419" s="17" t="s">
        <v>29</v>
      </c>
      <c r="S419" s="17" t="s">
        <v>29</v>
      </c>
      <c r="T419" s="17" t="s">
        <v>29</v>
      </c>
      <c r="U419" s="17" t="s">
        <v>29</v>
      </c>
      <c r="V419" s="17" t="s">
        <v>29</v>
      </c>
      <c r="W419" s="17" t="s">
        <v>29</v>
      </c>
      <c r="X419" s="17" t="s">
        <v>29</v>
      </c>
      <c r="Y419" s="17" t="s">
        <v>29</v>
      </c>
      <c r="Z419" s="17" t="s">
        <v>29</v>
      </c>
      <c r="AA419" s="17" t="s">
        <v>29</v>
      </c>
      <c r="AB419" s="17" t="s">
        <v>29</v>
      </c>
    </row>
    <row r="420" spans="1:28" x14ac:dyDescent="0.3">
      <c r="A420" s="64"/>
      <c r="B420" s="8"/>
      <c r="C420" s="8"/>
      <c r="D420" s="8"/>
      <c r="E420" s="9">
        <f t="shared" ref="E420:Q420" si="202">SUM(E402:E419)</f>
        <v>30947084.319999997</v>
      </c>
      <c r="F420" s="9">
        <f t="shared" si="202"/>
        <v>23239926.600000001</v>
      </c>
      <c r="G420" s="9">
        <f t="shared" si="202"/>
        <v>0</v>
      </c>
      <c r="H420" s="9">
        <f t="shared" si="202"/>
        <v>23239926.600000001</v>
      </c>
      <c r="I420" s="9">
        <f t="shared" si="202"/>
        <v>0</v>
      </c>
      <c r="J420" s="9">
        <f t="shared" si="202"/>
        <v>23239926.600000001</v>
      </c>
      <c r="K420" s="9">
        <f t="shared" si="202"/>
        <v>7707157.7199999997</v>
      </c>
      <c r="L420" s="9">
        <f t="shared" si="202"/>
        <v>0</v>
      </c>
      <c r="M420" s="9">
        <f t="shared" si="202"/>
        <v>23239926.600000001</v>
      </c>
      <c r="N420" s="9">
        <f t="shared" si="202"/>
        <v>7707157.7200000007</v>
      </c>
      <c r="O420" s="9">
        <f t="shared" si="202"/>
        <v>0</v>
      </c>
      <c r="P420" s="9">
        <f t="shared" si="202"/>
        <v>7707157.7200000007</v>
      </c>
      <c r="Q420" s="9">
        <f t="shared" si="202"/>
        <v>0</v>
      </c>
      <c r="R420" s="17"/>
      <c r="S420" s="17"/>
      <c r="T420" s="9">
        <f t="shared" ref="T420:Z420" si="203">SUM(T402:T419)</f>
        <v>0</v>
      </c>
      <c r="U420" s="9">
        <f t="shared" si="203"/>
        <v>7707157.7200000007</v>
      </c>
      <c r="V420" s="9">
        <f t="shared" si="203"/>
        <v>0</v>
      </c>
      <c r="W420" s="9">
        <f t="shared" si="203"/>
        <v>0</v>
      </c>
      <c r="X420" s="9">
        <f t="shared" si="203"/>
        <v>30947084.319999997</v>
      </c>
      <c r="Y420" s="9">
        <f t="shared" si="203"/>
        <v>0</v>
      </c>
      <c r="Z420" s="9">
        <f t="shared" si="203"/>
        <v>0</v>
      </c>
      <c r="AA420" s="9">
        <f>SUM(AA402:AA419)</f>
        <v>30947084.319999997</v>
      </c>
      <c r="AB420" s="9">
        <f>SUM(AB402:AB419)</f>
        <v>0</v>
      </c>
    </row>
    <row r="421" spans="1:28" x14ac:dyDescent="0.3">
      <c r="A421" s="64"/>
      <c r="B421" s="8"/>
      <c r="C421" s="8"/>
      <c r="D421" s="8"/>
      <c r="E421" s="17" t="s">
        <v>29</v>
      </c>
      <c r="F421" s="17" t="s">
        <v>29</v>
      </c>
      <c r="G421" s="17" t="s">
        <v>29</v>
      </c>
      <c r="H421" s="17" t="s">
        <v>29</v>
      </c>
      <c r="I421" s="17" t="s">
        <v>29</v>
      </c>
      <c r="J421" s="17" t="s">
        <v>29</v>
      </c>
      <c r="K421" s="17" t="s">
        <v>29</v>
      </c>
      <c r="L421" s="17" t="s">
        <v>29</v>
      </c>
      <c r="M421" s="17" t="s">
        <v>29</v>
      </c>
      <c r="N421" s="17" t="s">
        <v>29</v>
      </c>
      <c r="O421" s="17" t="s">
        <v>29</v>
      </c>
      <c r="P421" s="17" t="s">
        <v>29</v>
      </c>
      <c r="Q421" s="17" t="s">
        <v>29</v>
      </c>
      <c r="R421" s="17" t="s">
        <v>29</v>
      </c>
      <c r="S421" s="17" t="s">
        <v>29</v>
      </c>
      <c r="T421" s="17" t="s">
        <v>29</v>
      </c>
      <c r="U421" s="17" t="s">
        <v>29</v>
      </c>
      <c r="V421" s="17" t="s">
        <v>29</v>
      </c>
      <c r="W421" s="17" t="s">
        <v>29</v>
      </c>
      <c r="X421" s="17" t="s">
        <v>29</v>
      </c>
      <c r="Y421" s="17" t="s">
        <v>29</v>
      </c>
      <c r="Z421" s="17" t="s">
        <v>29</v>
      </c>
      <c r="AA421" s="17" t="s">
        <v>29</v>
      </c>
      <c r="AB421" s="17" t="s">
        <v>29</v>
      </c>
    </row>
    <row r="422" spans="1:28" x14ac:dyDescent="0.3">
      <c r="A422" s="64"/>
      <c r="B422" s="7" t="s">
        <v>593</v>
      </c>
      <c r="C422" s="8"/>
      <c r="D422" s="8"/>
      <c r="E422" s="9">
        <f>E262+E281+E313+E334+E370+E399+E420</f>
        <v>309441961.84999996</v>
      </c>
      <c r="F422" s="9">
        <f t="shared" ref="F422:AB422" si="204">F262+F281+F313+F334+F370+F399+F420</f>
        <v>250971044.03</v>
      </c>
      <c r="G422" s="9">
        <f t="shared" si="204"/>
        <v>0</v>
      </c>
      <c r="H422" s="9">
        <f t="shared" si="204"/>
        <v>250971044.03</v>
      </c>
      <c r="I422" s="9">
        <f t="shared" si="204"/>
        <v>3439438</v>
      </c>
      <c r="J422" s="9">
        <f t="shared" si="204"/>
        <v>226900595.94999999</v>
      </c>
      <c r="K422" s="9">
        <f t="shared" si="204"/>
        <v>53407788.140000001</v>
      </c>
      <c r="L422" s="9">
        <f t="shared" si="204"/>
        <v>3439438</v>
      </c>
      <c r="M422" s="9">
        <f t="shared" si="204"/>
        <v>254410482.03</v>
      </c>
      <c r="N422" s="9">
        <f t="shared" si="204"/>
        <v>53431510.839999996</v>
      </c>
      <c r="O422" s="9">
        <f t="shared" si="204"/>
        <v>0</v>
      </c>
      <c r="P422" s="9">
        <f t="shared" si="204"/>
        <v>53431510.839999996</v>
      </c>
      <c r="Q422" s="9">
        <f t="shared" si="204"/>
        <v>27061636.740000002</v>
      </c>
      <c r="R422" s="9">
        <f t="shared" si="204"/>
        <v>0</v>
      </c>
      <c r="S422" s="9">
        <f t="shared" si="204"/>
        <v>0</v>
      </c>
      <c r="T422" s="9">
        <f t="shared" si="204"/>
        <v>88582.650000000009</v>
      </c>
      <c r="U422" s="9">
        <f t="shared" si="204"/>
        <v>53520093.489999995</v>
      </c>
      <c r="V422" s="9">
        <f t="shared" si="204"/>
        <v>0</v>
      </c>
      <c r="W422" s="9">
        <f t="shared" si="204"/>
        <v>0</v>
      </c>
      <c r="X422" s="9">
        <f t="shared" si="204"/>
        <v>304402554.87</v>
      </c>
      <c r="Y422" s="9">
        <f t="shared" si="204"/>
        <v>0</v>
      </c>
      <c r="Z422" s="9">
        <f t="shared" si="204"/>
        <v>5039406.9799999995</v>
      </c>
      <c r="AA422" s="9">
        <f t="shared" si="204"/>
        <v>307930575.51999998</v>
      </c>
      <c r="AB422" s="9">
        <f t="shared" si="204"/>
        <v>1511386.3299999998</v>
      </c>
    </row>
    <row r="423" spans="1:28" x14ac:dyDescent="0.3">
      <c r="A423" s="64"/>
      <c r="B423" s="8"/>
      <c r="C423" s="8"/>
      <c r="D423" s="8"/>
      <c r="E423" s="17" t="s">
        <v>114</v>
      </c>
      <c r="F423" s="17" t="s">
        <v>114</v>
      </c>
      <c r="G423" s="17" t="s">
        <v>114</v>
      </c>
      <c r="H423" s="17" t="s">
        <v>114</v>
      </c>
      <c r="I423" s="17" t="s">
        <v>114</v>
      </c>
      <c r="J423" s="17" t="s">
        <v>114</v>
      </c>
      <c r="K423" s="17" t="s">
        <v>114</v>
      </c>
      <c r="L423" s="17" t="s">
        <v>114</v>
      </c>
      <c r="M423" s="17" t="s">
        <v>114</v>
      </c>
      <c r="N423" s="17" t="s">
        <v>114</v>
      </c>
      <c r="O423" s="17" t="s">
        <v>114</v>
      </c>
      <c r="P423" s="17" t="s">
        <v>114</v>
      </c>
      <c r="Q423" s="17" t="s">
        <v>114</v>
      </c>
      <c r="R423" s="17" t="s">
        <v>114</v>
      </c>
      <c r="S423" s="17" t="s">
        <v>114</v>
      </c>
      <c r="T423" s="17" t="s">
        <v>114</v>
      </c>
      <c r="U423" s="17" t="s">
        <v>114</v>
      </c>
      <c r="V423" s="17" t="s">
        <v>114</v>
      </c>
      <c r="W423" s="17" t="s">
        <v>114</v>
      </c>
      <c r="X423" s="17" t="s">
        <v>114</v>
      </c>
      <c r="Y423" s="17" t="s">
        <v>114</v>
      </c>
      <c r="Z423" s="17" t="s">
        <v>114</v>
      </c>
      <c r="AA423" s="17" t="s">
        <v>114</v>
      </c>
      <c r="AB423" s="17" t="s">
        <v>114</v>
      </c>
    </row>
    <row r="424" spans="1:28" x14ac:dyDescent="0.3">
      <c r="A424" s="64"/>
      <c r="B424" s="7" t="s">
        <v>134</v>
      </c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58"/>
    </row>
    <row r="425" spans="1:28" x14ac:dyDescent="0.3">
      <c r="A425" s="64"/>
      <c r="B425" s="7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8" x14ac:dyDescent="0.3">
      <c r="A426" s="63" t="s">
        <v>952</v>
      </c>
      <c r="B426" s="14" t="s">
        <v>135</v>
      </c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8" x14ac:dyDescent="0.3">
      <c r="A427" s="64"/>
      <c r="B427" s="8"/>
      <c r="C427" s="7" t="s">
        <v>136</v>
      </c>
      <c r="D427" s="14" t="s">
        <v>137</v>
      </c>
      <c r="E427" s="11">
        <f>3241866.83+5190783.42</f>
        <v>8432650.25</v>
      </c>
      <c r="F427" s="11">
        <f>3129371.1+4799797.2</f>
        <v>7929168.3000000007</v>
      </c>
      <c r="G427" s="8"/>
      <c r="H427" s="9">
        <f t="shared" ref="H427:H445" si="205">F427+G427</f>
        <v>7929168.3000000007</v>
      </c>
      <c r="I427" s="8"/>
      <c r="J427" s="8"/>
      <c r="K427" s="9"/>
      <c r="L427" s="9"/>
      <c r="M427" s="9">
        <f t="shared" ref="M427:M445" si="206">H427+L427</f>
        <v>7929168.3000000007</v>
      </c>
      <c r="N427" s="11">
        <f>112495.73+390986.22</f>
        <v>503481.94999999995</v>
      </c>
      <c r="O427" s="8"/>
      <c r="P427" s="9">
        <f t="shared" ref="P427:P445" si="207">N427+O427</f>
        <v>503481.94999999995</v>
      </c>
      <c r="Q427" s="8"/>
      <c r="R427" s="8"/>
      <c r="S427" s="8"/>
      <c r="T427" s="9"/>
      <c r="U427" s="9">
        <f t="shared" ref="U427:U445" si="208">P427+T427</f>
        <v>503481.94999999995</v>
      </c>
      <c r="V427" s="9">
        <f t="shared" ref="V427:V445" si="209">P427+H427</f>
        <v>8432650.25</v>
      </c>
      <c r="W427" s="9">
        <f t="shared" ref="W427:W445" si="210">E427-V427</f>
        <v>0</v>
      </c>
      <c r="X427" s="9">
        <f t="shared" ref="X427:X445" si="211">+H427+P427</f>
        <v>8432650.25</v>
      </c>
      <c r="Y427" s="8"/>
      <c r="Z427" s="9">
        <f t="shared" ref="Z427:Z445" si="212">+E427-X427</f>
        <v>0</v>
      </c>
      <c r="AA427" s="8">
        <f t="shared" ref="AA427:AA445" si="213">+M427+U427</f>
        <v>8432650.25</v>
      </c>
      <c r="AB427" s="8">
        <f t="shared" ref="AB427:AB445" si="214">+E427-AA427</f>
        <v>0</v>
      </c>
    </row>
    <row r="428" spans="1:28" x14ac:dyDescent="0.3">
      <c r="A428" s="64"/>
      <c r="B428" s="8"/>
      <c r="C428" s="7" t="s">
        <v>55</v>
      </c>
      <c r="D428" s="21" t="s">
        <v>68</v>
      </c>
      <c r="E428" s="11">
        <v>4705009.29</v>
      </c>
      <c r="F428" s="11">
        <v>0</v>
      </c>
      <c r="G428" s="8"/>
      <c r="H428" s="9">
        <f t="shared" si="205"/>
        <v>0</v>
      </c>
      <c r="I428" s="8"/>
      <c r="J428" s="8"/>
      <c r="K428" s="8"/>
      <c r="L428" s="9"/>
      <c r="M428" s="9">
        <f t="shared" si="206"/>
        <v>0</v>
      </c>
      <c r="N428" s="11">
        <v>4705009.29</v>
      </c>
      <c r="O428" s="8"/>
      <c r="P428" s="9">
        <f t="shared" si="207"/>
        <v>4705009.29</v>
      </c>
      <c r="Q428" s="8"/>
      <c r="R428" s="8"/>
      <c r="S428" s="8"/>
      <c r="T428" s="9"/>
      <c r="U428" s="9">
        <f t="shared" si="208"/>
        <v>4705009.29</v>
      </c>
      <c r="V428" s="9">
        <f t="shared" si="209"/>
        <v>4705009.29</v>
      </c>
      <c r="W428" s="9">
        <f t="shared" si="210"/>
        <v>0</v>
      </c>
      <c r="X428" s="9">
        <f t="shared" si="211"/>
        <v>4705009.29</v>
      </c>
      <c r="Y428" s="8"/>
      <c r="Z428" s="9">
        <f t="shared" si="212"/>
        <v>0</v>
      </c>
      <c r="AA428" s="8">
        <f t="shared" si="213"/>
        <v>4705009.29</v>
      </c>
      <c r="AB428" s="8">
        <f t="shared" si="214"/>
        <v>0</v>
      </c>
    </row>
    <row r="429" spans="1:28" x14ac:dyDescent="0.3">
      <c r="A429" s="64"/>
      <c r="B429" s="8"/>
      <c r="C429" s="14" t="s">
        <v>138</v>
      </c>
      <c r="D429" s="14" t="s">
        <v>139</v>
      </c>
      <c r="E429" s="11">
        <f>1427426.4+855000+970200</f>
        <v>3252626.4</v>
      </c>
      <c r="F429" s="11">
        <f>1427426.4+855000+970200</f>
        <v>3252626.4</v>
      </c>
      <c r="G429" s="8"/>
      <c r="H429" s="9">
        <f t="shared" si="205"/>
        <v>3252626.4</v>
      </c>
      <c r="I429" s="8"/>
      <c r="J429" s="8"/>
      <c r="K429" s="8"/>
      <c r="L429" s="9"/>
      <c r="M429" s="9">
        <f t="shared" si="206"/>
        <v>3252626.4</v>
      </c>
      <c r="N429" s="11">
        <v>0</v>
      </c>
      <c r="O429" s="8"/>
      <c r="P429" s="9">
        <f t="shared" si="207"/>
        <v>0</v>
      </c>
      <c r="Q429" s="8"/>
      <c r="R429" s="8"/>
      <c r="S429" s="8"/>
      <c r="T429" s="9"/>
      <c r="U429" s="9">
        <f t="shared" si="208"/>
        <v>0</v>
      </c>
      <c r="V429" s="9">
        <f t="shared" si="209"/>
        <v>3252626.4</v>
      </c>
      <c r="W429" s="9">
        <f t="shared" si="210"/>
        <v>0</v>
      </c>
      <c r="X429" s="9">
        <f t="shared" si="211"/>
        <v>3252626.4</v>
      </c>
      <c r="Y429" s="8"/>
      <c r="Z429" s="9">
        <f t="shared" si="212"/>
        <v>0</v>
      </c>
      <c r="AA429" s="8">
        <f t="shared" si="213"/>
        <v>3252626.4</v>
      </c>
      <c r="AB429" s="8">
        <f t="shared" si="214"/>
        <v>0</v>
      </c>
    </row>
    <row r="430" spans="1:28" x14ac:dyDescent="0.3">
      <c r="A430" s="64"/>
      <c r="B430" s="8"/>
      <c r="C430" s="7" t="s">
        <v>53</v>
      </c>
      <c r="D430" s="21" t="s">
        <v>54</v>
      </c>
      <c r="E430" s="11">
        <v>1767770</v>
      </c>
      <c r="F430" s="11">
        <v>0</v>
      </c>
      <c r="G430" s="8"/>
      <c r="H430" s="9">
        <f t="shared" si="205"/>
        <v>0</v>
      </c>
      <c r="I430" s="8"/>
      <c r="J430" s="8"/>
      <c r="K430" s="8"/>
      <c r="L430" s="9"/>
      <c r="M430" s="9">
        <f t="shared" si="206"/>
        <v>0</v>
      </c>
      <c r="N430" s="11">
        <v>1767770</v>
      </c>
      <c r="O430" s="8"/>
      <c r="P430" s="9">
        <f t="shared" si="207"/>
        <v>1767770</v>
      </c>
      <c r="Q430" s="8"/>
      <c r="R430" s="8"/>
      <c r="S430" s="8"/>
      <c r="T430" s="9"/>
      <c r="U430" s="9">
        <f t="shared" si="208"/>
        <v>1767770</v>
      </c>
      <c r="V430" s="9">
        <f t="shared" si="209"/>
        <v>1767770</v>
      </c>
      <c r="W430" s="9">
        <f t="shared" si="210"/>
        <v>0</v>
      </c>
      <c r="X430" s="9">
        <f t="shared" si="211"/>
        <v>1767770</v>
      </c>
      <c r="Y430" s="8"/>
      <c r="Z430" s="9">
        <f t="shared" si="212"/>
        <v>0</v>
      </c>
      <c r="AA430" s="8">
        <f t="shared" si="213"/>
        <v>1767770</v>
      </c>
      <c r="AB430" s="8">
        <f t="shared" si="214"/>
        <v>0</v>
      </c>
    </row>
    <row r="431" spans="1:28" x14ac:dyDescent="0.3">
      <c r="A431" s="64"/>
      <c r="B431" s="8"/>
      <c r="C431" s="7" t="s">
        <v>140</v>
      </c>
      <c r="D431" s="21" t="s">
        <v>54</v>
      </c>
      <c r="E431" s="11">
        <v>475000</v>
      </c>
      <c r="F431" s="11">
        <v>475000</v>
      </c>
      <c r="G431" s="8"/>
      <c r="H431" s="9">
        <f t="shared" si="205"/>
        <v>475000</v>
      </c>
      <c r="I431" s="8"/>
      <c r="J431" s="8"/>
      <c r="K431" s="8"/>
      <c r="L431" s="9"/>
      <c r="M431" s="9">
        <f t="shared" si="206"/>
        <v>475000</v>
      </c>
      <c r="N431" s="11">
        <v>0</v>
      </c>
      <c r="O431" s="8"/>
      <c r="P431" s="9">
        <f t="shared" si="207"/>
        <v>0</v>
      </c>
      <c r="Q431" s="8"/>
      <c r="R431" s="8"/>
      <c r="S431" s="8"/>
      <c r="T431" s="9"/>
      <c r="U431" s="9">
        <f t="shared" si="208"/>
        <v>0</v>
      </c>
      <c r="V431" s="9">
        <f t="shared" si="209"/>
        <v>475000</v>
      </c>
      <c r="W431" s="9">
        <f t="shared" si="210"/>
        <v>0</v>
      </c>
      <c r="X431" s="9">
        <f t="shared" si="211"/>
        <v>475000</v>
      </c>
      <c r="Y431" s="8"/>
      <c r="Z431" s="9">
        <f t="shared" si="212"/>
        <v>0</v>
      </c>
      <c r="AA431" s="8">
        <f t="shared" si="213"/>
        <v>475000</v>
      </c>
      <c r="AB431" s="8">
        <f t="shared" si="214"/>
        <v>0</v>
      </c>
    </row>
    <row r="432" spans="1:28" x14ac:dyDescent="0.3">
      <c r="A432" s="64"/>
      <c r="B432" s="8"/>
      <c r="C432" s="14" t="s">
        <v>141</v>
      </c>
      <c r="D432" s="21" t="s">
        <v>54</v>
      </c>
      <c r="E432" s="11">
        <v>5244000</v>
      </c>
      <c r="F432" s="11">
        <v>5244000</v>
      </c>
      <c r="G432" s="8"/>
      <c r="H432" s="9">
        <f t="shared" si="205"/>
        <v>5244000</v>
      </c>
      <c r="I432" s="8"/>
      <c r="J432" s="8"/>
      <c r="K432" s="8"/>
      <c r="L432" s="9"/>
      <c r="M432" s="9">
        <f t="shared" si="206"/>
        <v>5244000</v>
      </c>
      <c r="N432" s="11">
        <v>0</v>
      </c>
      <c r="O432" s="8"/>
      <c r="P432" s="9">
        <f t="shared" si="207"/>
        <v>0</v>
      </c>
      <c r="Q432" s="8"/>
      <c r="R432" s="8"/>
      <c r="S432" s="8"/>
      <c r="T432" s="9"/>
      <c r="U432" s="9">
        <f t="shared" si="208"/>
        <v>0</v>
      </c>
      <c r="V432" s="9">
        <f t="shared" si="209"/>
        <v>5244000</v>
      </c>
      <c r="W432" s="9">
        <f t="shared" si="210"/>
        <v>0</v>
      </c>
      <c r="X432" s="9">
        <f t="shared" si="211"/>
        <v>5244000</v>
      </c>
      <c r="Y432" s="8"/>
      <c r="Z432" s="9">
        <f t="shared" si="212"/>
        <v>0</v>
      </c>
      <c r="AA432" s="8">
        <f t="shared" si="213"/>
        <v>5244000</v>
      </c>
      <c r="AB432" s="8">
        <f t="shared" si="214"/>
        <v>0</v>
      </c>
    </row>
    <row r="433" spans="1:28" x14ac:dyDescent="0.3">
      <c r="A433" s="64"/>
      <c r="B433" s="8"/>
      <c r="C433" s="14" t="s">
        <v>142</v>
      </c>
      <c r="D433" s="21" t="s">
        <v>108</v>
      </c>
      <c r="E433" s="11">
        <v>500000</v>
      </c>
      <c r="F433" s="11">
        <v>500000</v>
      </c>
      <c r="G433" s="8"/>
      <c r="H433" s="9">
        <f t="shared" si="205"/>
        <v>500000</v>
      </c>
      <c r="I433" s="8"/>
      <c r="J433" s="8"/>
      <c r="K433" s="8"/>
      <c r="L433" s="9"/>
      <c r="M433" s="9">
        <f t="shared" si="206"/>
        <v>500000</v>
      </c>
      <c r="N433" s="11">
        <v>0</v>
      </c>
      <c r="O433" s="8"/>
      <c r="P433" s="9">
        <f t="shared" si="207"/>
        <v>0</v>
      </c>
      <c r="Q433" s="8"/>
      <c r="R433" s="8"/>
      <c r="S433" s="8"/>
      <c r="T433" s="9"/>
      <c r="U433" s="9">
        <f t="shared" si="208"/>
        <v>0</v>
      </c>
      <c r="V433" s="9">
        <f t="shared" si="209"/>
        <v>500000</v>
      </c>
      <c r="W433" s="9">
        <f t="shared" si="210"/>
        <v>0</v>
      </c>
      <c r="X433" s="9">
        <f t="shared" si="211"/>
        <v>500000</v>
      </c>
      <c r="Y433" s="8"/>
      <c r="Z433" s="9">
        <f t="shared" si="212"/>
        <v>0</v>
      </c>
      <c r="AA433" s="8">
        <f t="shared" si="213"/>
        <v>500000</v>
      </c>
      <c r="AB433" s="8">
        <f t="shared" si="214"/>
        <v>0</v>
      </c>
    </row>
    <row r="434" spans="1:28" x14ac:dyDescent="0.3">
      <c r="A434" s="64"/>
      <c r="B434" s="8"/>
      <c r="C434" s="14" t="s">
        <v>143</v>
      </c>
      <c r="D434" s="21" t="s">
        <v>58</v>
      </c>
      <c r="E434" s="11">
        <v>5000000</v>
      </c>
      <c r="F434" s="11">
        <v>5000000</v>
      </c>
      <c r="G434" s="8"/>
      <c r="H434" s="9">
        <f t="shared" si="205"/>
        <v>5000000</v>
      </c>
      <c r="I434" s="8"/>
      <c r="J434" s="8"/>
      <c r="K434" s="8"/>
      <c r="L434" s="9"/>
      <c r="M434" s="9">
        <f t="shared" si="206"/>
        <v>5000000</v>
      </c>
      <c r="N434" s="11">
        <v>0</v>
      </c>
      <c r="O434" s="8"/>
      <c r="P434" s="9">
        <f t="shared" si="207"/>
        <v>0</v>
      </c>
      <c r="Q434" s="8"/>
      <c r="R434" s="8"/>
      <c r="S434" s="8"/>
      <c r="T434" s="9"/>
      <c r="U434" s="9">
        <f t="shared" si="208"/>
        <v>0</v>
      </c>
      <c r="V434" s="9">
        <f t="shared" si="209"/>
        <v>5000000</v>
      </c>
      <c r="W434" s="9">
        <f t="shared" si="210"/>
        <v>0</v>
      </c>
      <c r="X434" s="9">
        <f t="shared" si="211"/>
        <v>5000000</v>
      </c>
      <c r="Y434" s="8"/>
      <c r="Z434" s="9">
        <f t="shared" si="212"/>
        <v>0</v>
      </c>
      <c r="AA434" s="8">
        <f t="shared" si="213"/>
        <v>5000000</v>
      </c>
      <c r="AB434" s="8">
        <f t="shared" si="214"/>
        <v>0</v>
      </c>
    </row>
    <row r="435" spans="1:28" x14ac:dyDescent="0.3">
      <c r="A435" s="64"/>
      <c r="B435" s="8"/>
      <c r="C435" s="14" t="s">
        <v>144</v>
      </c>
      <c r="D435" s="21" t="s">
        <v>73</v>
      </c>
      <c r="E435" s="11">
        <v>348170</v>
      </c>
      <c r="F435" s="11">
        <v>348170</v>
      </c>
      <c r="G435" s="8"/>
      <c r="H435" s="9">
        <f t="shared" si="205"/>
        <v>348170</v>
      </c>
      <c r="I435" s="8"/>
      <c r="J435" s="8"/>
      <c r="K435" s="8"/>
      <c r="L435" s="9"/>
      <c r="M435" s="9">
        <f t="shared" si="206"/>
        <v>348170</v>
      </c>
      <c r="N435" s="11">
        <v>0</v>
      </c>
      <c r="O435" s="8"/>
      <c r="P435" s="9">
        <f t="shared" si="207"/>
        <v>0</v>
      </c>
      <c r="Q435" s="8"/>
      <c r="R435" s="8"/>
      <c r="S435" s="8"/>
      <c r="T435" s="9"/>
      <c r="U435" s="9">
        <f t="shared" si="208"/>
        <v>0</v>
      </c>
      <c r="V435" s="9">
        <f t="shared" si="209"/>
        <v>348170</v>
      </c>
      <c r="W435" s="9">
        <f t="shared" si="210"/>
        <v>0</v>
      </c>
      <c r="X435" s="9">
        <f t="shared" si="211"/>
        <v>348170</v>
      </c>
      <c r="Y435" s="8"/>
      <c r="Z435" s="9">
        <f t="shared" si="212"/>
        <v>0</v>
      </c>
      <c r="AA435" s="8">
        <f t="shared" si="213"/>
        <v>348170</v>
      </c>
      <c r="AB435" s="8">
        <f t="shared" si="214"/>
        <v>0</v>
      </c>
    </row>
    <row r="436" spans="1:28" x14ac:dyDescent="0.3">
      <c r="A436" s="64"/>
      <c r="B436" s="8"/>
      <c r="C436" s="14" t="s">
        <v>925</v>
      </c>
      <c r="D436" s="24" t="s">
        <v>1072</v>
      </c>
      <c r="E436" s="11">
        <v>151830</v>
      </c>
      <c r="F436" s="11">
        <v>151830</v>
      </c>
      <c r="G436" s="8"/>
      <c r="H436" s="9">
        <f>+F436+G436</f>
        <v>151830</v>
      </c>
      <c r="I436" s="8"/>
      <c r="J436" s="8"/>
      <c r="K436" s="8"/>
      <c r="L436" s="9"/>
      <c r="M436" s="9">
        <f>+H436+L436</f>
        <v>151830</v>
      </c>
      <c r="N436" s="11">
        <v>0</v>
      </c>
      <c r="O436" s="8"/>
      <c r="P436" s="9">
        <f>+N436+O436</f>
        <v>0</v>
      </c>
      <c r="Q436" s="8"/>
      <c r="R436" s="8"/>
      <c r="S436" s="8"/>
      <c r="T436" s="9"/>
      <c r="U436" s="9">
        <f t="shared" si="208"/>
        <v>0</v>
      </c>
      <c r="V436" s="9">
        <f t="shared" si="209"/>
        <v>151830</v>
      </c>
      <c r="W436" s="9">
        <f t="shared" si="210"/>
        <v>0</v>
      </c>
      <c r="X436" s="9">
        <f t="shared" si="211"/>
        <v>151830</v>
      </c>
      <c r="Y436" s="8"/>
      <c r="Z436" s="9">
        <f t="shared" si="212"/>
        <v>0</v>
      </c>
      <c r="AA436" s="8">
        <f>+M436+U436</f>
        <v>151830</v>
      </c>
      <c r="AB436" s="8">
        <f>+E436-AA436</f>
        <v>0</v>
      </c>
    </row>
    <row r="437" spans="1:28" x14ac:dyDescent="0.3">
      <c r="A437" s="64"/>
      <c r="B437" s="8"/>
      <c r="C437" s="14" t="s">
        <v>143</v>
      </c>
      <c r="D437" s="24" t="s">
        <v>61</v>
      </c>
      <c r="E437" s="11">
        <v>549091.47</v>
      </c>
      <c r="F437" s="8">
        <v>549091.47</v>
      </c>
      <c r="G437" s="8"/>
      <c r="H437" s="9">
        <f t="shared" si="205"/>
        <v>549091.47</v>
      </c>
      <c r="I437" s="8"/>
      <c r="J437" s="8"/>
      <c r="K437" s="8"/>
      <c r="L437" s="9"/>
      <c r="M437" s="9">
        <f t="shared" si="206"/>
        <v>549091.47</v>
      </c>
      <c r="N437" s="11">
        <v>0</v>
      </c>
      <c r="O437" s="8"/>
      <c r="P437" s="9">
        <f t="shared" si="207"/>
        <v>0</v>
      </c>
      <c r="Q437" s="8"/>
      <c r="R437" s="8"/>
      <c r="S437" s="8"/>
      <c r="T437" s="9"/>
      <c r="U437" s="9">
        <f t="shared" si="208"/>
        <v>0</v>
      </c>
      <c r="V437" s="9">
        <f t="shared" si="209"/>
        <v>549091.47</v>
      </c>
      <c r="W437" s="9">
        <f t="shared" si="210"/>
        <v>0</v>
      </c>
      <c r="X437" s="9">
        <f t="shared" si="211"/>
        <v>549091.47</v>
      </c>
      <c r="Y437" s="8"/>
      <c r="Z437" s="9">
        <f t="shared" si="212"/>
        <v>0</v>
      </c>
      <c r="AA437" s="8">
        <f t="shared" si="213"/>
        <v>549091.47</v>
      </c>
      <c r="AB437" s="8">
        <f t="shared" si="214"/>
        <v>0</v>
      </c>
    </row>
    <row r="438" spans="1:28" x14ac:dyDescent="0.3">
      <c r="A438" s="64"/>
      <c r="B438" s="8"/>
      <c r="C438" s="14" t="s">
        <v>930</v>
      </c>
      <c r="D438" s="24" t="s">
        <v>1072</v>
      </c>
      <c r="E438" s="11">
        <v>1298322.83</v>
      </c>
      <c r="F438" s="8">
        <v>1298322.83</v>
      </c>
      <c r="G438" s="8"/>
      <c r="H438" s="9">
        <f>+F438+G438</f>
        <v>1298322.83</v>
      </c>
      <c r="I438" s="8"/>
      <c r="J438" s="8"/>
      <c r="K438" s="8"/>
      <c r="L438" s="9"/>
      <c r="M438" s="9">
        <f t="shared" si="206"/>
        <v>1298322.83</v>
      </c>
      <c r="N438" s="11">
        <v>0</v>
      </c>
      <c r="O438" s="8"/>
      <c r="P438" s="9">
        <f t="shared" si="207"/>
        <v>0</v>
      </c>
      <c r="Q438" s="8"/>
      <c r="R438" s="8"/>
      <c r="S438" s="8"/>
      <c r="T438" s="9"/>
      <c r="U438" s="9">
        <f t="shared" si="208"/>
        <v>0</v>
      </c>
      <c r="V438" s="9">
        <f t="shared" si="209"/>
        <v>1298322.83</v>
      </c>
      <c r="W438" s="9">
        <f t="shared" si="210"/>
        <v>0</v>
      </c>
      <c r="X438" s="9">
        <f t="shared" si="211"/>
        <v>1298322.83</v>
      </c>
      <c r="Y438" s="8"/>
      <c r="Z438" s="9">
        <f t="shared" si="212"/>
        <v>0</v>
      </c>
      <c r="AA438" s="8">
        <f t="shared" si="213"/>
        <v>1298322.83</v>
      </c>
      <c r="AB438" s="8">
        <f t="shared" si="214"/>
        <v>0</v>
      </c>
    </row>
    <row r="439" spans="1:28" x14ac:dyDescent="0.3">
      <c r="A439" s="64"/>
      <c r="B439" s="8"/>
      <c r="C439" s="14" t="s">
        <v>1184</v>
      </c>
      <c r="D439" s="24" t="s">
        <v>1126</v>
      </c>
      <c r="E439" s="11">
        <v>485675.6</v>
      </c>
      <c r="F439" s="8">
        <v>485675.6</v>
      </c>
      <c r="G439" s="8"/>
      <c r="H439" s="9">
        <f>+F439+G439</f>
        <v>485675.6</v>
      </c>
      <c r="I439" s="8"/>
      <c r="J439" s="8"/>
      <c r="K439" s="8"/>
      <c r="L439" s="9"/>
      <c r="M439" s="9">
        <f>+H439+L439</f>
        <v>485675.6</v>
      </c>
      <c r="N439" s="11">
        <v>0</v>
      </c>
      <c r="O439" s="8"/>
      <c r="P439" s="9">
        <f t="shared" si="207"/>
        <v>0</v>
      </c>
      <c r="Q439" s="8"/>
      <c r="R439" s="8"/>
      <c r="S439" s="8"/>
      <c r="T439" s="9"/>
      <c r="U439" s="9">
        <f t="shared" si="208"/>
        <v>0</v>
      </c>
      <c r="V439" s="9">
        <f t="shared" si="209"/>
        <v>485675.6</v>
      </c>
      <c r="W439" s="9">
        <f t="shared" si="210"/>
        <v>0</v>
      </c>
      <c r="X439" s="9">
        <f t="shared" si="211"/>
        <v>485675.6</v>
      </c>
      <c r="Y439" s="8"/>
      <c r="Z439" s="9">
        <f t="shared" si="212"/>
        <v>0</v>
      </c>
      <c r="AA439" s="8">
        <f t="shared" si="213"/>
        <v>485675.6</v>
      </c>
      <c r="AB439" s="8">
        <f t="shared" si="214"/>
        <v>0</v>
      </c>
    </row>
    <row r="440" spans="1:28" x14ac:dyDescent="0.3">
      <c r="A440" s="64"/>
      <c r="B440" s="8"/>
      <c r="C440" s="14" t="s">
        <v>1242</v>
      </c>
      <c r="D440" s="24" t="s">
        <v>1225</v>
      </c>
      <c r="E440" s="11">
        <v>7568233.8600000003</v>
      </c>
      <c r="F440" s="8">
        <v>7568233.8600000003</v>
      </c>
      <c r="G440" s="8"/>
      <c r="H440" s="9">
        <f>+F440+G440</f>
        <v>7568233.8600000003</v>
      </c>
      <c r="I440" s="8"/>
      <c r="J440" s="8"/>
      <c r="K440" s="8"/>
      <c r="L440" s="9"/>
      <c r="M440" s="9">
        <f>+H440+L440</f>
        <v>7568233.8600000003</v>
      </c>
      <c r="N440" s="11">
        <v>0</v>
      </c>
      <c r="O440" s="8"/>
      <c r="P440" s="9">
        <f t="shared" si="207"/>
        <v>0</v>
      </c>
      <c r="Q440" s="8"/>
      <c r="R440" s="8"/>
      <c r="S440" s="8"/>
      <c r="T440" s="9"/>
      <c r="U440" s="9">
        <f t="shared" si="208"/>
        <v>0</v>
      </c>
      <c r="V440" s="9">
        <f t="shared" si="209"/>
        <v>7568233.8600000003</v>
      </c>
      <c r="W440" s="9">
        <f t="shared" si="210"/>
        <v>0</v>
      </c>
      <c r="X440" s="9">
        <f t="shared" si="211"/>
        <v>7568233.8600000003</v>
      </c>
      <c r="Y440" s="8"/>
      <c r="Z440" s="9">
        <f t="shared" si="212"/>
        <v>0</v>
      </c>
      <c r="AA440" s="8">
        <f t="shared" si="213"/>
        <v>7568233.8600000003</v>
      </c>
      <c r="AB440" s="8">
        <f t="shared" si="214"/>
        <v>0</v>
      </c>
    </row>
    <row r="441" spans="1:28" x14ac:dyDescent="0.3">
      <c r="A441" s="64"/>
      <c r="B441" s="8"/>
      <c r="C441" s="14" t="s">
        <v>178</v>
      </c>
      <c r="D441" s="24"/>
      <c r="E441" s="11">
        <v>1795687.15</v>
      </c>
      <c r="F441" s="8">
        <v>1795687.15</v>
      </c>
      <c r="G441" s="8"/>
      <c r="H441" s="9">
        <f t="shared" si="205"/>
        <v>1795687.15</v>
      </c>
      <c r="I441" s="8"/>
      <c r="J441" s="8"/>
      <c r="K441" s="8"/>
      <c r="L441" s="9"/>
      <c r="M441" s="9">
        <f>H441+L441</f>
        <v>1795687.15</v>
      </c>
      <c r="N441" s="11">
        <v>0</v>
      </c>
      <c r="O441" s="8"/>
      <c r="P441" s="9">
        <f>N441+O441</f>
        <v>0</v>
      </c>
      <c r="Q441" s="8"/>
      <c r="R441" s="8"/>
      <c r="S441" s="8"/>
      <c r="T441" s="9"/>
      <c r="U441" s="9">
        <f>P441+T441</f>
        <v>0</v>
      </c>
      <c r="V441" s="9">
        <f>P441+H441</f>
        <v>1795687.15</v>
      </c>
      <c r="W441" s="9">
        <f>E441-V441</f>
        <v>0</v>
      </c>
      <c r="X441" s="9">
        <f t="shared" si="211"/>
        <v>1795687.15</v>
      </c>
      <c r="Y441" s="8"/>
      <c r="Z441" s="9">
        <f t="shared" si="212"/>
        <v>0</v>
      </c>
      <c r="AA441" s="8">
        <f t="shared" si="213"/>
        <v>1795687.15</v>
      </c>
      <c r="AB441" s="8">
        <f t="shared" si="214"/>
        <v>0</v>
      </c>
    </row>
    <row r="442" spans="1:28" x14ac:dyDescent="0.3">
      <c r="A442" s="64"/>
      <c r="B442" s="8"/>
      <c r="C442" s="14" t="s">
        <v>145</v>
      </c>
      <c r="D442" s="8"/>
      <c r="E442" s="11">
        <v>629356.44999999995</v>
      </c>
      <c r="F442" s="11">
        <v>629356.44999999995</v>
      </c>
      <c r="G442" s="8"/>
      <c r="H442" s="9">
        <f t="shared" si="205"/>
        <v>629356.44999999995</v>
      </c>
      <c r="I442" s="8"/>
      <c r="J442" s="8"/>
      <c r="K442" s="8"/>
      <c r="L442" s="9"/>
      <c r="M442" s="9">
        <f t="shared" si="206"/>
        <v>629356.44999999995</v>
      </c>
      <c r="N442" s="11">
        <v>0</v>
      </c>
      <c r="O442" s="8"/>
      <c r="P442" s="9">
        <f t="shared" si="207"/>
        <v>0</v>
      </c>
      <c r="Q442" s="8"/>
      <c r="R442" s="8"/>
      <c r="S442" s="8"/>
      <c r="T442" s="9"/>
      <c r="U442" s="9">
        <f t="shared" si="208"/>
        <v>0</v>
      </c>
      <c r="V442" s="9">
        <f t="shared" si="209"/>
        <v>629356.44999999995</v>
      </c>
      <c r="W442" s="9">
        <f t="shared" si="210"/>
        <v>0</v>
      </c>
      <c r="X442" s="9">
        <f t="shared" si="211"/>
        <v>629356.44999999995</v>
      </c>
      <c r="Y442" s="8"/>
      <c r="Z442" s="9">
        <f t="shared" si="212"/>
        <v>0</v>
      </c>
      <c r="AA442" s="8">
        <f t="shared" si="213"/>
        <v>629356.44999999995</v>
      </c>
      <c r="AB442" s="8">
        <f t="shared" si="214"/>
        <v>0</v>
      </c>
    </row>
    <row r="443" spans="1:28" x14ac:dyDescent="0.3">
      <c r="A443" s="64"/>
      <c r="B443" s="8"/>
      <c r="C443" s="14" t="s">
        <v>146</v>
      </c>
      <c r="D443" s="8"/>
      <c r="E443" s="11">
        <v>1335800.5900000001</v>
      </c>
      <c r="F443" s="11">
        <v>1335800.5900000001</v>
      </c>
      <c r="G443" s="8"/>
      <c r="H443" s="9">
        <f t="shared" si="205"/>
        <v>1335800.5900000001</v>
      </c>
      <c r="I443" s="8"/>
      <c r="J443" s="8"/>
      <c r="K443" s="8"/>
      <c r="L443" s="9"/>
      <c r="M443" s="9">
        <f t="shared" si="206"/>
        <v>1335800.5900000001</v>
      </c>
      <c r="N443" s="11">
        <v>0</v>
      </c>
      <c r="O443" s="8"/>
      <c r="P443" s="9">
        <f t="shared" si="207"/>
        <v>0</v>
      </c>
      <c r="Q443" s="8"/>
      <c r="R443" s="8"/>
      <c r="S443" s="8"/>
      <c r="T443" s="9"/>
      <c r="U443" s="9">
        <f t="shared" si="208"/>
        <v>0</v>
      </c>
      <c r="V443" s="9">
        <f t="shared" si="209"/>
        <v>1335800.5900000001</v>
      </c>
      <c r="W443" s="9">
        <f t="shared" si="210"/>
        <v>0</v>
      </c>
      <c r="X443" s="9">
        <f t="shared" si="211"/>
        <v>1335800.5900000001</v>
      </c>
      <c r="Y443" s="8"/>
      <c r="Z443" s="9">
        <f t="shared" si="212"/>
        <v>0</v>
      </c>
      <c r="AA443" s="8">
        <f t="shared" si="213"/>
        <v>1335800.5900000001</v>
      </c>
      <c r="AB443" s="8">
        <f t="shared" si="214"/>
        <v>0</v>
      </c>
    </row>
    <row r="444" spans="1:28" x14ac:dyDescent="0.3">
      <c r="A444" s="64"/>
      <c r="B444" s="8"/>
      <c r="C444" s="14" t="s">
        <v>147</v>
      </c>
      <c r="D444" s="8"/>
      <c r="E444" s="11">
        <v>262080</v>
      </c>
      <c r="F444" s="11">
        <v>0</v>
      </c>
      <c r="G444" s="8"/>
      <c r="H444" s="9">
        <f t="shared" si="205"/>
        <v>0</v>
      </c>
      <c r="I444" s="8"/>
      <c r="J444" s="8"/>
      <c r="K444" s="8"/>
      <c r="L444" s="9"/>
      <c r="M444" s="9">
        <f t="shared" si="206"/>
        <v>0</v>
      </c>
      <c r="N444" s="11">
        <v>262080</v>
      </c>
      <c r="O444" s="8"/>
      <c r="P444" s="9">
        <f t="shared" si="207"/>
        <v>262080</v>
      </c>
      <c r="Q444" s="8"/>
      <c r="R444" s="8"/>
      <c r="S444" s="8"/>
      <c r="T444" s="9"/>
      <c r="U444" s="9">
        <f t="shared" si="208"/>
        <v>262080</v>
      </c>
      <c r="V444" s="9">
        <f t="shared" si="209"/>
        <v>262080</v>
      </c>
      <c r="W444" s="9">
        <f t="shared" si="210"/>
        <v>0</v>
      </c>
      <c r="X444" s="9">
        <f t="shared" si="211"/>
        <v>262080</v>
      </c>
      <c r="Y444" s="8"/>
      <c r="Z444" s="9">
        <f t="shared" si="212"/>
        <v>0</v>
      </c>
      <c r="AA444" s="8">
        <f t="shared" si="213"/>
        <v>262080</v>
      </c>
      <c r="AB444" s="8">
        <f t="shared" si="214"/>
        <v>0</v>
      </c>
    </row>
    <row r="445" spans="1:28" x14ac:dyDescent="0.3">
      <c r="A445" s="64"/>
      <c r="B445" s="8"/>
      <c r="C445" s="14" t="s">
        <v>109</v>
      </c>
      <c r="D445" s="8"/>
      <c r="E445" s="11">
        <v>5083518.22</v>
      </c>
      <c r="F445" s="11">
        <v>5083518.22</v>
      </c>
      <c r="G445" s="8"/>
      <c r="H445" s="9">
        <f t="shared" si="205"/>
        <v>5083518.22</v>
      </c>
      <c r="I445" s="8"/>
      <c r="J445" s="8"/>
      <c r="K445" s="8"/>
      <c r="L445" s="9"/>
      <c r="M445" s="9">
        <f t="shared" si="206"/>
        <v>5083518.22</v>
      </c>
      <c r="N445" s="11">
        <v>0</v>
      </c>
      <c r="O445" s="8"/>
      <c r="P445" s="9">
        <f t="shared" si="207"/>
        <v>0</v>
      </c>
      <c r="Q445" s="8"/>
      <c r="R445" s="8"/>
      <c r="S445" s="8"/>
      <c r="T445" s="9"/>
      <c r="U445" s="9">
        <f t="shared" si="208"/>
        <v>0</v>
      </c>
      <c r="V445" s="9">
        <f t="shared" si="209"/>
        <v>5083518.22</v>
      </c>
      <c r="W445" s="9">
        <f t="shared" si="210"/>
        <v>0</v>
      </c>
      <c r="X445" s="9">
        <f t="shared" si="211"/>
        <v>5083518.22</v>
      </c>
      <c r="Y445" s="8"/>
      <c r="Z445" s="9">
        <f t="shared" si="212"/>
        <v>0</v>
      </c>
      <c r="AA445" s="8">
        <f t="shared" si="213"/>
        <v>5083518.22</v>
      </c>
      <c r="AB445" s="8">
        <f t="shared" si="214"/>
        <v>0</v>
      </c>
    </row>
    <row r="446" spans="1:28" x14ac:dyDescent="0.3">
      <c r="A446" s="64"/>
      <c r="B446" s="8"/>
      <c r="C446" s="8"/>
      <c r="D446" s="8"/>
      <c r="E446" s="26" t="s">
        <v>29</v>
      </c>
      <c r="F446" s="26" t="s">
        <v>29</v>
      </c>
      <c r="G446" s="26" t="s">
        <v>29</v>
      </c>
      <c r="H446" s="26" t="s">
        <v>29</v>
      </c>
      <c r="I446" s="26" t="s">
        <v>29</v>
      </c>
      <c r="J446" s="26" t="s">
        <v>29</v>
      </c>
      <c r="K446" s="26" t="s">
        <v>29</v>
      </c>
      <c r="L446" s="26" t="s">
        <v>29</v>
      </c>
      <c r="M446" s="26" t="s">
        <v>29</v>
      </c>
      <c r="N446" s="26" t="s">
        <v>29</v>
      </c>
      <c r="O446" s="26" t="s">
        <v>29</v>
      </c>
      <c r="P446" s="26" t="s">
        <v>29</v>
      </c>
      <c r="Q446" s="26" t="s">
        <v>29</v>
      </c>
      <c r="R446" s="26" t="s">
        <v>29</v>
      </c>
      <c r="S446" s="26" t="s">
        <v>29</v>
      </c>
      <c r="T446" s="26" t="s">
        <v>29</v>
      </c>
      <c r="U446" s="26" t="s">
        <v>29</v>
      </c>
      <c r="V446" s="26" t="s">
        <v>29</v>
      </c>
      <c r="W446" s="26" t="s">
        <v>29</v>
      </c>
      <c r="X446" s="26" t="s">
        <v>29</v>
      </c>
      <c r="Y446" s="26" t="s">
        <v>29</v>
      </c>
      <c r="Z446" s="26" t="s">
        <v>29</v>
      </c>
      <c r="AA446" s="17" t="s">
        <v>29</v>
      </c>
      <c r="AB446" s="17" t="s">
        <v>29</v>
      </c>
    </row>
    <row r="447" spans="1:28" x14ac:dyDescent="0.3">
      <c r="A447" s="64"/>
      <c r="B447" s="8"/>
      <c r="C447" s="8"/>
      <c r="D447" s="8"/>
      <c r="E447" s="11">
        <f t="shared" ref="E447:AB447" si="215">SUM(E427:E445)</f>
        <v>48884822.109999999</v>
      </c>
      <c r="F447" s="11">
        <f t="shared" si="215"/>
        <v>41646480.870000005</v>
      </c>
      <c r="G447" s="11">
        <f t="shared" si="215"/>
        <v>0</v>
      </c>
      <c r="H447" s="11">
        <f t="shared" si="215"/>
        <v>41646480.870000005</v>
      </c>
      <c r="I447" s="11">
        <f t="shared" si="215"/>
        <v>0</v>
      </c>
      <c r="J447" s="11">
        <f t="shared" si="215"/>
        <v>0</v>
      </c>
      <c r="K447" s="11">
        <f t="shared" si="215"/>
        <v>0</v>
      </c>
      <c r="L447" s="11">
        <f t="shared" si="215"/>
        <v>0</v>
      </c>
      <c r="M447" s="11">
        <f t="shared" si="215"/>
        <v>41646480.870000005</v>
      </c>
      <c r="N447" s="11">
        <f t="shared" si="215"/>
        <v>7238341.2400000002</v>
      </c>
      <c r="O447" s="11">
        <f t="shared" si="215"/>
        <v>0</v>
      </c>
      <c r="P447" s="11">
        <f t="shared" si="215"/>
        <v>7238341.2400000002</v>
      </c>
      <c r="Q447" s="11">
        <f t="shared" si="215"/>
        <v>0</v>
      </c>
      <c r="R447" s="11">
        <f t="shared" si="215"/>
        <v>0</v>
      </c>
      <c r="S447" s="11">
        <f t="shared" si="215"/>
        <v>0</v>
      </c>
      <c r="T447" s="11">
        <f t="shared" si="215"/>
        <v>0</v>
      </c>
      <c r="U447" s="11">
        <f t="shared" si="215"/>
        <v>7238341.2400000002</v>
      </c>
      <c r="V447" s="11">
        <f t="shared" si="215"/>
        <v>48884822.109999999</v>
      </c>
      <c r="W447" s="11">
        <f t="shared" si="215"/>
        <v>0</v>
      </c>
      <c r="X447" s="11">
        <f t="shared" si="215"/>
        <v>48884822.109999999</v>
      </c>
      <c r="Y447" s="11">
        <f t="shared" si="215"/>
        <v>0</v>
      </c>
      <c r="Z447" s="11">
        <f t="shared" si="215"/>
        <v>0</v>
      </c>
      <c r="AA447" s="11">
        <f t="shared" si="215"/>
        <v>48884822.109999999</v>
      </c>
      <c r="AB447" s="11">
        <f t="shared" si="215"/>
        <v>0</v>
      </c>
    </row>
    <row r="448" spans="1:28" x14ac:dyDescent="0.3">
      <c r="A448" s="64"/>
      <c r="B448" s="8"/>
      <c r="C448" s="8"/>
      <c r="D448" s="8"/>
      <c r="E448" s="26" t="s">
        <v>29</v>
      </c>
      <c r="F448" s="26" t="s">
        <v>29</v>
      </c>
      <c r="G448" s="26" t="s">
        <v>29</v>
      </c>
      <c r="H448" s="26" t="s">
        <v>29</v>
      </c>
      <c r="I448" s="26" t="s">
        <v>29</v>
      </c>
      <c r="J448" s="26" t="s">
        <v>29</v>
      </c>
      <c r="K448" s="26" t="s">
        <v>29</v>
      </c>
      <c r="L448" s="26" t="s">
        <v>29</v>
      </c>
      <c r="M448" s="26" t="s">
        <v>29</v>
      </c>
      <c r="N448" s="26" t="s">
        <v>29</v>
      </c>
      <c r="O448" s="26" t="s">
        <v>29</v>
      </c>
      <c r="P448" s="26" t="s">
        <v>29</v>
      </c>
      <c r="Q448" s="26" t="s">
        <v>29</v>
      </c>
      <c r="R448" s="26" t="s">
        <v>29</v>
      </c>
      <c r="S448" s="26" t="s">
        <v>29</v>
      </c>
      <c r="T448" s="26" t="s">
        <v>29</v>
      </c>
      <c r="U448" s="26" t="s">
        <v>29</v>
      </c>
      <c r="V448" s="26" t="s">
        <v>29</v>
      </c>
      <c r="W448" s="26" t="s">
        <v>29</v>
      </c>
      <c r="X448" s="26" t="s">
        <v>29</v>
      </c>
      <c r="Y448" s="26" t="s">
        <v>29</v>
      </c>
      <c r="Z448" s="26" t="s">
        <v>29</v>
      </c>
      <c r="AA448" s="17" t="s">
        <v>29</v>
      </c>
      <c r="AB448" s="17" t="s">
        <v>29</v>
      </c>
    </row>
    <row r="449" spans="1:28" x14ac:dyDescent="0.3">
      <c r="A449" s="63" t="s">
        <v>953</v>
      </c>
      <c r="B449" s="7" t="s">
        <v>148</v>
      </c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58"/>
    </row>
    <row r="450" spans="1:28" x14ac:dyDescent="0.3">
      <c r="A450" s="64"/>
      <c r="B450" s="8"/>
      <c r="C450" s="7" t="s">
        <v>149</v>
      </c>
      <c r="D450" s="21" t="s">
        <v>150</v>
      </c>
      <c r="E450" s="9">
        <v>951054.27</v>
      </c>
      <c r="F450" s="9">
        <v>0</v>
      </c>
      <c r="G450" s="8"/>
      <c r="H450" s="9">
        <f t="shared" ref="H450:H456" si="216">F450+G450</f>
        <v>0</v>
      </c>
      <c r="I450" s="8"/>
      <c r="J450" s="8"/>
      <c r="K450" s="8"/>
      <c r="L450" s="9"/>
      <c r="M450" s="9">
        <f t="shared" ref="M450:M456" si="217">H450+L450</f>
        <v>0</v>
      </c>
      <c r="N450" s="9">
        <v>635130</v>
      </c>
      <c r="O450" s="8"/>
      <c r="P450" s="9">
        <f t="shared" ref="P450:P456" si="218">N450+O450</f>
        <v>635130</v>
      </c>
      <c r="Q450" s="8"/>
      <c r="R450" s="8"/>
      <c r="S450" s="8"/>
      <c r="T450" s="9"/>
      <c r="U450" s="9">
        <f t="shared" ref="U450:U456" si="219">P450+T450</f>
        <v>635130</v>
      </c>
      <c r="V450" s="9">
        <f t="shared" ref="V450:V456" si="220">P450+H450</f>
        <v>635130</v>
      </c>
      <c r="W450" s="9">
        <f t="shared" ref="W450:W456" si="221">E450-V450</f>
        <v>315924.27</v>
      </c>
      <c r="X450" s="9">
        <f t="shared" ref="X450:X456" si="222">+H450+P450</f>
        <v>635130</v>
      </c>
      <c r="Y450" s="8"/>
      <c r="Z450" s="9">
        <f t="shared" ref="Z450:Z456" si="223">+E450-X450</f>
        <v>315924.27</v>
      </c>
      <c r="AA450" s="8">
        <f t="shared" ref="AA450:AA456" si="224">+M450+U450</f>
        <v>635130</v>
      </c>
      <c r="AB450" s="8">
        <f t="shared" ref="AB450:AB456" si="225">+E450-AA450</f>
        <v>315924.27</v>
      </c>
    </row>
    <row r="451" spans="1:28" x14ac:dyDescent="0.3">
      <c r="A451" s="64"/>
      <c r="B451" s="8"/>
      <c r="C451" s="7" t="s">
        <v>151</v>
      </c>
      <c r="D451" s="21" t="s">
        <v>150</v>
      </c>
      <c r="E451" s="9">
        <v>10375421</v>
      </c>
      <c r="F451" s="9">
        <v>7824319.2300000004</v>
      </c>
      <c r="G451" s="8"/>
      <c r="H451" s="9">
        <f t="shared" si="216"/>
        <v>7824319.2300000004</v>
      </c>
      <c r="I451" s="8"/>
      <c r="J451" s="8"/>
      <c r="K451" s="8"/>
      <c r="L451" s="9"/>
      <c r="M451" s="9">
        <f t="shared" si="217"/>
        <v>7824319.2300000004</v>
      </c>
      <c r="N451" s="9">
        <v>0</v>
      </c>
      <c r="O451" s="8"/>
      <c r="P451" s="9">
        <f t="shared" si="218"/>
        <v>0</v>
      </c>
      <c r="Q451" s="8"/>
      <c r="R451" s="8"/>
      <c r="S451" s="8"/>
      <c r="T451" s="9"/>
      <c r="U451" s="9">
        <f t="shared" si="219"/>
        <v>0</v>
      </c>
      <c r="V451" s="9">
        <f t="shared" si="220"/>
        <v>7824319.2300000004</v>
      </c>
      <c r="W451" s="9">
        <f t="shared" si="221"/>
        <v>2551101.7699999996</v>
      </c>
      <c r="X451" s="9">
        <f t="shared" si="222"/>
        <v>7824319.2300000004</v>
      </c>
      <c r="Y451" s="8"/>
      <c r="Z451" s="9">
        <f t="shared" si="223"/>
        <v>2551101.7699999996</v>
      </c>
      <c r="AA451" s="8">
        <f t="shared" si="224"/>
        <v>7824319.2300000004</v>
      </c>
      <c r="AB451" s="8">
        <f t="shared" si="225"/>
        <v>2551101.7699999996</v>
      </c>
    </row>
    <row r="452" spans="1:28" x14ac:dyDescent="0.3">
      <c r="A452" s="64"/>
      <c r="B452" s="8"/>
      <c r="C452" s="7" t="s">
        <v>55</v>
      </c>
      <c r="D452" s="15" t="s">
        <v>152</v>
      </c>
      <c r="E452" s="9">
        <v>13146132.5</v>
      </c>
      <c r="F452" s="9">
        <v>0</v>
      </c>
      <c r="G452" s="8"/>
      <c r="H452" s="9">
        <f t="shared" si="216"/>
        <v>0</v>
      </c>
      <c r="I452" s="8"/>
      <c r="J452" s="8"/>
      <c r="K452" s="8"/>
      <c r="L452" s="9"/>
      <c r="M452" s="9">
        <f t="shared" si="217"/>
        <v>0</v>
      </c>
      <c r="N452" s="9">
        <v>13146132.5</v>
      </c>
      <c r="O452" s="8"/>
      <c r="P452" s="9">
        <f t="shared" si="218"/>
        <v>13146132.5</v>
      </c>
      <c r="Q452" s="8"/>
      <c r="R452" s="8"/>
      <c r="S452" s="8"/>
      <c r="T452" s="9"/>
      <c r="U452" s="9">
        <f t="shared" si="219"/>
        <v>13146132.5</v>
      </c>
      <c r="V452" s="9">
        <f t="shared" si="220"/>
        <v>13146132.5</v>
      </c>
      <c r="W452" s="9">
        <f t="shared" si="221"/>
        <v>0</v>
      </c>
      <c r="X452" s="9">
        <f t="shared" si="222"/>
        <v>13146132.5</v>
      </c>
      <c r="Y452" s="8"/>
      <c r="Z452" s="9">
        <f t="shared" si="223"/>
        <v>0</v>
      </c>
      <c r="AA452" s="8">
        <f t="shared" si="224"/>
        <v>13146132.5</v>
      </c>
      <c r="AB452" s="8">
        <f t="shared" si="225"/>
        <v>0</v>
      </c>
    </row>
    <row r="453" spans="1:28" x14ac:dyDescent="0.3">
      <c r="A453" s="64"/>
      <c r="B453" s="8"/>
      <c r="C453" s="7" t="s">
        <v>53</v>
      </c>
      <c r="D453" s="15" t="s">
        <v>68</v>
      </c>
      <c r="E453" s="9">
        <v>2306106</v>
      </c>
      <c r="F453" s="9">
        <v>0</v>
      </c>
      <c r="G453" s="8"/>
      <c r="H453" s="9">
        <f t="shared" si="216"/>
        <v>0</v>
      </c>
      <c r="I453" s="8"/>
      <c r="J453" s="8"/>
      <c r="K453" s="8"/>
      <c r="L453" s="9"/>
      <c r="M453" s="9">
        <f t="shared" si="217"/>
        <v>0</v>
      </c>
      <c r="N453" s="9">
        <v>2306106</v>
      </c>
      <c r="O453" s="8"/>
      <c r="P453" s="9">
        <f t="shared" si="218"/>
        <v>2306106</v>
      </c>
      <c r="Q453" s="8"/>
      <c r="R453" s="8"/>
      <c r="S453" s="8"/>
      <c r="T453" s="9"/>
      <c r="U453" s="9">
        <f t="shared" si="219"/>
        <v>2306106</v>
      </c>
      <c r="V453" s="9">
        <f t="shared" si="220"/>
        <v>2306106</v>
      </c>
      <c r="W453" s="9">
        <f t="shared" si="221"/>
        <v>0</v>
      </c>
      <c r="X453" s="9">
        <f t="shared" si="222"/>
        <v>2306106</v>
      </c>
      <c r="Y453" s="8"/>
      <c r="Z453" s="9">
        <f t="shared" si="223"/>
        <v>0</v>
      </c>
      <c r="AA453" s="8">
        <f t="shared" si="224"/>
        <v>2306106</v>
      </c>
      <c r="AB453" s="8">
        <f t="shared" si="225"/>
        <v>0</v>
      </c>
    </row>
    <row r="454" spans="1:28" x14ac:dyDescent="0.3">
      <c r="A454" s="64"/>
      <c r="B454" s="8"/>
      <c r="C454" s="7" t="s">
        <v>153</v>
      </c>
      <c r="D454" s="15" t="s">
        <v>128</v>
      </c>
      <c r="E454" s="9">
        <v>4915938.5199999996</v>
      </c>
      <c r="F454" s="9">
        <v>4915938.5199999996</v>
      </c>
      <c r="G454" s="8"/>
      <c r="H454" s="9">
        <f t="shared" si="216"/>
        <v>4915938.5199999996</v>
      </c>
      <c r="I454" s="8"/>
      <c r="J454" s="8"/>
      <c r="K454" s="8"/>
      <c r="L454" s="9"/>
      <c r="M454" s="9">
        <f t="shared" si="217"/>
        <v>4915938.5199999996</v>
      </c>
      <c r="N454" s="9">
        <v>0</v>
      </c>
      <c r="O454" s="8"/>
      <c r="P454" s="9">
        <f t="shared" si="218"/>
        <v>0</v>
      </c>
      <c r="Q454" s="8"/>
      <c r="R454" s="8"/>
      <c r="S454" s="8"/>
      <c r="T454" s="9"/>
      <c r="U454" s="9">
        <f t="shared" si="219"/>
        <v>0</v>
      </c>
      <c r="V454" s="9">
        <f t="shared" si="220"/>
        <v>4915938.5199999996</v>
      </c>
      <c r="W454" s="9">
        <f t="shared" si="221"/>
        <v>0</v>
      </c>
      <c r="X454" s="9">
        <f t="shared" si="222"/>
        <v>4915938.5199999996</v>
      </c>
      <c r="Y454" s="8"/>
      <c r="Z454" s="9">
        <f t="shared" si="223"/>
        <v>0</v>
      </c>
      <c r="AA454" s="8">
        <f t="shared" si="224"/>
        <v>4915938.5199999996</v>
      </c>
      <c r="AB454" s="8">
        <f t="shared" si="225"/>
        <v>0</v>
      </c>
    </row>
    <row r="455" spans="1:28" x14ac:dyDescent="0.3">
      <c r="A455" s="64"/>
      <c r="B455" s="8"/>
      <c r="C455" s="14" t="s">
        <v>109</v>
      </c>
      <c r="D455" s="21" t="s">
        <v>60</v>
      </c>
      <c r="E455" s="9">
        <v>2500000</v>
      </c>
      <c r="F455" s="11">
        <v>2500000</v>
      </c>
      <c r="G455" s="8"/>
      <c r="H455" s="9">
        <f t="shared" si="216"/>
        <v>2500000</v>
      </c>
      <c r="I455" s="8"/>
      <c r="J455" s="8"/>
      <c r="K455" s="8"/>
      <c r="L455" s="9"/>
      <c r="M455" s="9">
        <f t="shared" si="217"/>
        <v>2500000</v>
      </c>
      <c r="N455" s="9">
        <v>0</v>
      </c>
      <c r="O455" s="8"/>
      <c r="P455" s="9">
        <f t="shared" si="218"/>
        <v>0</v>
      </c>
      <c r="Q455" s="8"/>
      <c r="R455" s="8"/>
      <c r="S455" s="8"/>
      <c r="T455" s="9"/>
      <c r="U455" s="9">
        <f t="shared" si="219"/>
        <v>0</v>
      </c>
      <c r="V455" s="9">
        <f t="shared" si="220"/>
        <v>2500000</v>
      </c>
      <c r="W455" s="9">
        <f t="shared" si="221"/>
        <v>0</v>
      </c>
      <c r="X455" s="9">
        <f t="shared" si="222"/>
        <v>2500000</v>
      </c>
      <c r="Y455" s="8"/>
      <c r="Z455" s="9">
        <f t="shared" si="223"/>
        <v>0</v>
      </c>
      <c r="AA455" s="8">
        <f t="shared" si="224"/>
        <v>2500000</v>
      </c>
      <c r="AB455" s="8">
        <f t="shared" si="225"/>
        <v>0</v>
      </c>
    </row>
    <row r="456" spans="1:28" x14ac:dyDescent="0.3">
      <c r="A456" s="64"/>
      <c r="B456" s="8"/>
      <c r="C456" s="14" t="s">
        <v>57</v>
      </c>
      <c r="D456" s="21" t="s">
        <v>60</v>
      </c>
      <c r="E456" s="9">
        <v>1555810</v>
      </c>
      <c r="F456" s="11">
        <v>1555810</v>
      </c>
      <c r="G456" s="8"/>
      <c r="H456" s="9">
        <f t="shared" si="216"/>
        <v>1555810</v>
      </c>
      <c r="I456" s="8"/>
      <c r="J456" s="8"/>
      <c r="K456" s="8"/>
      <c r="L456" s="9"/>
      <c r="M456" s="9">
        <f t="shared" si="217"/>
        <v>1555810</v>
      </c>
      <c r="N456" s="9">
        <v>0</v>
      </c>
      <c r="O456" s="8"/>
      <c r="P456" s="9">
        <f t="shared" si="218"/>
        <v>0</v>
      </c>
      <c r="Q456" s="8"/>
      <c r="R456" s="8"/>
      <c r="S456" s="8"/>
      <c r="T456" s="9"/>
      <c r="U456" s="9">
        <f t="shared" si="219"/>
        <v>0</v>
      </c>
      <c r="V456" s="9">
        <f t="shared" si="220"/>
        <v>1555810</v>
      </c>
      <c r="W456" s="9">
        <f t="shared" si="221"/>
        <v>0</v>
      </c>
      <c r="X456" s="9">
        <f t="shared" si="222"/>
        <v>1555810</v>
      </c>
      <c r="Y456" s="8"/>
      <c r="Z456" s="9">
        <f t="shared" si="223"/>
        <v>0</v>
      </c>
      <c r="AA456" s="8">
        <f t="shared" si="224"/>
        <v>1555810</v>
      </c>
      <c r="AB456" s="8">
        <f t="shared" si="225"/>
        <v>0</v>
      </c>
    </row>
    <row r="457" spans="1:28" x14ac:dyDescent="0.3">
      <c r="A457" s="64"/>
      <c r="B457" s="8"/>
      <c r="C457" s="8"/>
      <c r="D457" s="8"/>
      <c r="E457" s="17" t="s">
        <v>29</v>
      </c>
      <c r="F457" s="17" t="s">
        <v>29</v>
      </c>
      <c r="G457" s="17" t="s">
        <v>29</v>
      </c>
      <c r="H457" s="17" t="s">
        <v>29</v>
      </c>
      <c r="I457" s="17" t="s">
        <v>29</v>
      </c>
      <c r="J457" s="17" t="s">
        <v>29</v>
      </c>
      <c r="K457" s="17" t="s">
        <v>29</v>
      </c>
      <c r="L457" s="17" t="s">
        <v>29</v>
      </c>
      <c r="M457" s="17" t="s">
        <v>29</v>
      </c>
      <c r="N457" s="17" t="s">
        <v>29</v>
      </c>
      <c r="O457" s="17" t="s">
        <v>29</v>
      </c>
      <c r="P457" s="17" t="s">
        <v>29</v>
      </c>
      <c r="Q457" s="17" t="s">
        <v>29</v>
      </c>
      <c r="R457" s="17" t="s">
        <v>29</v>
      </c>
      <c r="S457" s="17" t="s">
        <v>29</v>
      </c>
      <c r="T457" s="17" t="s">
        <v>29</v>
      </c>
      <c r="U457" s="17" t="s">
        <v>29</v>
      </c>
      <c r="V457" s="17" t="s">
        <v>29</v>
      </c>
      <c r="W457" s="17" t="s">
        <v>29</v>
      </c>
      <c r="X457" s="17" t="s">
        <v>29</v>
      </c>
      <c r="Y457" s="17" t="s">
        <v>29</v>
      </c>
      <c r="Z457" s="17" t="s">
        <v>29</v>
      </c>
      <c r="AA457" s="17" t="s">
        <v>29</v>
      </c>
      <c r="AB457" s="17" t="s">
        <v>29</v>
      </c>
    </row>
    <row r="458" spans="1:28" x14ac:dyDescent="0.3">
      <c r="A458" s="64"/>
      <c r="B458" s="8"/>
      <c r="C458" s="8"/>
      <c r="D458" s="8"/>
      <c r="E458" s="9">
        <f t="shared" ref="E458:AB458" si="226">SUM(E450:E456)</f>
        <v>35750462.289999999</v>
      </c>
      <c r="F458" s="9">
        <f t="shared" si="226"/>
        <v>16796067.75</v>
      </c>
      <c r="G458" s="9">
        <f t="shared" si="226"/>
        <v>0</v>
      </c>
      <c r="H458" s="9">
        <f t="shared" si="226"/>
        <v>16796067.75</v>
      </c>
      <c r="I458" s="9">
        <f t="shared" si="226"/>
        <v>0</v>
      </c>
      <c r="J458" s="9">
        <f t="shared" si="226"/>
        <v>0</v>
      </c>
      <c r="K458" s="9">
        <f t="shared" si="226"/>
        <v>0</v>
      </c>
      <c r="L458" s="9">
        <f t="shared" si="226"/>
        <v>0</v>
      </c>
      <c r="M458" s="9">
        <f t="shared" si="226"/>
        <v>16796067.75</v>
      </c>
      <c r="N458" s="9">
        <f t="shared" si="226"/>
        <v>16087368.5</v>
      </c>
      <c r="O458" s="9">
        <f t="shared" si="226"/>
        <v>0</v>
      </c>
      <c r="P458" s="9">
        <f t="shared" si="226"/>
        <v>16087368.5</v>
      </c>
      <c r="Q458" s="9">
        <f t="shared" si="226"/>
        <v>0</v>
      </c>
      <c r="R458" s="9">
        <f t="shared" si="226"/>
        <v>0</v>
      </c>
      <c r="S458" s="9">
        <f t="shared" si="226"/>
        <v>0</v>
      </c>
      <c r="T458" s="9">
        <f t="shared" si="226"/>
        <v>0</v>
      </c>
      <c r="U458" s="9">
        <f t="shared" si="226"/>
        <v>16087368.5</v>
      </c>
      <c r="V458" s="9">
        <f t="shared" si="226"/>
        <v>32883436.25</v>
      </c>
      <c r="W458" s="9">
        <f t="shared" si="226"/>
        <v>2867026.0399999996</v>
      </c>
      <c r="X458" s="9">
        <f t="shared" si="226"/>
        <v>32883436.25</v>
      </c>
      <c r="Y458" s="9">
        <f t="shared" si="226"/>
        <v>0</v>
      </c>
      <c r="Z458" s="9">
        <f t="shared" si="226"/>
        <v>2867026.0399999996</v>
      </c>
      <c r="AA458" s="9">
        <f t="shared" si="226"/>
        <v>32883436.25</v>
      </c>
      <c r="AB458" s="9">
        <f t="shared" si="226"/>
        <v>2867026.0399999996</v>
      </c>
    </row>
    <row r="459" spans="1:28" x14ac:dyDescent="0.3">
      <c r="A459" s="64"/>
      <c r="B459" s="8"/>
      <c r="C459" s="8"/>
      <c r="D459" s="8"/>
      <c r="E459" s="17" t="s">
        <v>29</v>
      </c>
      <c r="F459" s="17" t="s">
        <v>29</v>
      </c>
      <c r="G459" s="17" t="s">
        <v>29</v>
      </c>
      <c r="H459" s="17" t="s">
        <v>29</v>
      </c>
      <c r="I459" s="17" t="s">
        <v>29</v>
      </c>
      <c r="J459" s="17" t="s">
        <v>29</v>
      </c>
      <c r="K459" s="17" t="s">
        <v>29</v>
      </c>
      <c r="L459" s="17" t="s">
        <v>29</v>
      </c>
      <c r="M459" s="17" t="s">
        <v>29</v>
      </c>
      <c r="N459" s="17" t="s">
        <v>29</v>
      </c>
      <c r="O459" s="17" t="s">
        <v>29</v>
      </c>
      <c r="P459" s="17" t="s">
        <v>29</v>
      </c>
      <c r="Q459" s="17" t="s">
        <v>29</v>
      </c>
      <c r="R459" s="17" t="s">
        <v>29</v>
      </c>
      <c r="S459" s="17" t="s">
        <v>29</v>
      </c>
      <c r="T459" s="17" t="s">
        <v>29</v>
      </c>
      <c r="U459" s="17" t="s">
        <v>29</v>
      </c>
      <c r="V459" s="17" t="s">
        <v>29</v>
      </c>
      <c r="W459" s="17" t="s">
        <v>29</v>
      </c>
      <c r="X459" s="17" t="s">
        <v>29</v>
      </c>
      <c r="Y459" s="17" t="s">
        <v>29</v>
      </c>
      <c r="Z459" s="17" t="s">
        <v>29</v>
      </c>
      <c r="AA459" s="17" t="s">
        <v>29</v>
      </c>
      <c r="AB459" s="17" t="s">
        <v>29</v>
      </c>
    </row>
    <row r="460" spans="1:28" x14ac:dyDescent="0.3">
      <c r="A460" s="63" t="s">
        <v>954</v>
      </c>
      <c r="B460" s="7" t="s">
        <v>154</v>
      </c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58"/>
    </row>
    <row r="461" spans="1:28" x14ac:dyDescent="0.3">
      <c r="A461" s="64"/>
      <c r="B461" s="8"/>
      <c r="C461" s="7" t="s">
        <v>75</v>
      </c>
      <c r="D461" s="21" t="s">
        <v>76</v>
      </c>
      <c r="E461" s="9">
        <v>1705000</v>
      </c>
      <c r="F461" s="9">
        <v>0</v>
      </c>
      <c r="G461" s="8"/>
      <c r="H461" s="9">
        <f t="shared" ref="H461:H472" si="227">F461+G461</f>
        <v>0</v>
      </c>
      <c r="I461" s="8"/>
      <c r="J461" s="8"/>
      <c r="K461" s="8"/>
      <c r="L461" s="9"/>
      <c r="M461" s="9">
        <f t="shared" ref="M461:M472" si="228">H461+L461</f>
        <v>0</v>
      </c>
      <c r="N461" s="9">
        <v>1198195.3</v>
      </c>
      <c r="O461" s="8"/>
      <c r="P461" s="9">
        <f t="shared" ref="P461:P472" si="229">N461+O461</f>
        <v>1198195.3</v>
      </c>
      <c r="Q461" s="8"/>
      <c r="R461" s="8"/>
      <c r="S461" s="8"/>
      <c r="T461" s="9"/>
      <c r="U461" s="9">
        <f t="shared" ref="U461:U472" si="230">P461+T461</f>
        <v>1198195.3</v>
      </c>
      <c r="V461" s="9">
        <f t="shared" ref="V461:V472" si="231">P461+H461</f>
        <v>1198195.3</v>
      </c>
      <c r="W461" s="9">
        <f t="shared" ref="W461:W472" si="232">E461-V461</f>
        <v>506804.69999999995</v>
      </c>
      <c r="X461" s="9">
        <f t="shared" ref="X461:X472" si="233">+H461+P461</f>
        <v>1198195.3</v>
      </c>
      <c r="Y461" s="8"/>
      <c r="Z461" s="9">
        <f t="shared" ref="Z461:Z472" si="234">+E461-X461</f>
        <v>506804.69999999995</v>
      </c>
      <c r="AA461" s="8">
        <f t="shared" ref="AA461:AA472" si="235">+M461+U461</f>
        <v>1198195.3</v>
      </c>
      <c r="AB461" s="8">
        <f t="shared" ref="AB461:AB472" si="236">+E461-AA461</f>
        <v>506804.69999999995</v>
      </c>
    </row>
    <row r="462" spans="1:28" x14ac:dyDescent="0.3">
      <c r="A462" s="64"/>
      <c r="B462" s="8"/>
      <c r="C462" s="7" t="s">
        <v>149</v>
      </c>
      <c r="D462" s="21" t="s">
        <v>150</v>
      </c>
      <c r="E462" s="9">
        <v>1095728</v>
      </c>
      <c r="F462" s="9">
        <v>884018</v>
      </c>
      <c r="G462" s="8"/>
      <c r="H462" s="9">
        <f t="shared" si="227"/>
        <v>884018</v>
      </c>
      <c r="I462" s="8"/>
      <c r="J462" s="8"/>
      <c r="K462" s="8"/>
      <c r="L462" s="9"/>
      <c r="M462" s="9">
        <f t="shared" si="228"/>
        <v>884018</v>
      </c>
      <c r="N462" s="9">
        <v>211710</v>
      </c>
      <c r="O462" s="8"/>
      <c r="P462" s="9">
        <f t="shared" si="229"/>
        <v>211710</v>
      </c>
      <c r="Q462" s="8"/>
      <c r="R462" s="8"/>
      <c r="S462" s="8"/>
      <c r="T462" s="9"/>
      <c r="U462" s="9">
        <f t="shared" si="230"/>
        <v>211710</v>
      </c>
      <c r="V462" s="9">
        <f t="shared" si="231"/>
        <v>1095728</v>
      </c>
      <c r="W462" s="9">
        <f t="shared" si="232"/>
        <v>0</v>
      </c>
      <c r="X462" s="9">
        <f t="shared" si="233"/>
        <v>1095728</v>
      </c>
      <c r="Y462" s="8"/>
      <c r="Z462" s="9">
        <f t="shared" si="234"/>
        <v>0</v>
      </c>
      <c r="AA462" s="8">
        <f t="shared" si="235"/>
        <v>1095728</v>
      </c>
      <c r="AB462" s="8">
        <f t="shared" si="236"/>
        <v>0</v>
      </c>
    </row>
    <row r="463" spans="1:28" x14ac:dyDescent="0.3">
      <c r="A463" s="64"/>
      <c r="B463" s="8"/>
      <c r="C463" s="7" t="s">
        <v>151</v>
      </c>
      <c r="D463" s="21" t="s">
        <v>150</v>
      </c>
      <c r="E463" s="9">
        <v>28907158.940000001</v>
      </c>
      <c r="F463" s="9">
        <v>28062330.09</v>
      </c>
      <c r="G463" s="8"/>
      <c r="H463" s="9">
        <f t="shared" si="227"/>
        <v>28062330.09</v>
      </c>
      <c r="I463" s="8"/>
      <c r="J463" s="8"/>
      <c r="K463" s="8"/>
      <c r="L463" s="9"/>
      <c r="M463" s="9">
        <f t="shared" si="228"/>
        <v>28062330.09</v>
      </c>
      <c r="N463" s="9">
        <v>0</v>
      </c>
      <c r="O463" s="8"/>
      <c r="P463" s="9">
        <f t="shared" si="229"/>
        <v>0</v>
      </c>
      <c r="Q463" s="8"/>
      <c r="R463" s="8"/>
      <c r="S463" s="8"/>
      <c r="T463" s="9"/>
      <c r="U463" s="9">
        <f t="shared" si="230"/>
        <v>0</v>
      </c>
      <c r="V463" s="9">
        <f t="shared" si="231"/>
        <v>28062330.09</v>
      </c>
      <c r="W463" s="9">
        <f t="shared" si="232"/>
        <v>844828.85000000149</v>
      </c>
      <c r="X463" s="9">
        <f t="shared" si="233"/>
        <v>28062330.09</v>
      </c>
      <c r="Y463" s="8"/>
      <c r="Z463" s="9">
        <f t="shared" si="234"/>
        <v>844828.85000000149</v>
      </c>
      <c r="AA463" s="8">
        <f t="shared" si="235"/>
        <v>28062330.09</v>
      </c>
      <c r="AB463" s="8">
        <f t="shared" si="236"/>
        <v>844828.85000000149</v>
      </c>
    </row>
    <row r="464" spans="1:28" x14ac:dyDescent="0.3">
      <c r="A464" s="64"/>
      <c r="B464" s="8"/>
      <c r="C464" s="7" t="s">
        <v>151</v>
      </c>
      <c r="D464" s="21" t="s">
        <v>150</v>
      </c>
      <c r="E464" s="9">
        <v>5968194</v>
      </c>
      <c r="F464" s="9">
        <v>5968194</v>
      </c>
      <c r="G464" s="8"/>
      <c r="H464" s="9">
        <f t="shared" si="227"/>
        <v>5968194</v>
      </c>
      <c r="I464" s="8"/>
      <c r="J464" s="8"/>
      <c r="K464" s="8"/>
      <c r="L464" s="9"/>
      <c r="M464" s="9">
        <f t="shared" si="228"/>
        <v>5968194</v>
      </c>
      <c r="N464" s="9">
        <v>0</v>
      </c>
      <c r="O464" s="8"/>
      <c r="P464" s="9">
        <f t="shared" si="229"/>
        <v>0</v>
      </c>
      <c r="Q464" s="8"/>
      <c r="R464" s="8"/>
      <c r="S464" s="8"/>
      <c r="T464" s="9"/>
      <c r="U464" s="9">
        <f t="shared" si="230"/>
        <v>0</v>
      </c>
      <c r="V464" s="9">
        <f t="shared" si="231"/>
        <v>5968194</v>
      </c>
      <c r="W464" s="9">
        <f t="shared" si="232"/>
        <v>0</v>
      </c>
      <c r="X464" s="9">
        <f t="shared" si="233"/>
        <v>5968194</v>
      </c>
      <c r="Y464" s="8"/>
      <c r="Z464" s="9">
        <f t="shared" si="234"/>
        <v>0</v>
      </c>
      <c r="AA464" s="8">
        <f t="shared" si="235"/>
        <v>5968194</v>
      </c>
      <c r="AB464" s="8">
        <f t="shared" si="236"/>
        <v>0</v>
      </c>
    </row>
    <row r="465" spans="1:28" x14ac:dyDescent="0.3">
      <c r="A465" s="64"/>
      <c r="B465" s="8"/>
      <c r="C465" s="7" t="s">
        <v>53</v>
      </c>
      <c r="D465" s="15" t="s">
        <v>68</v>
      </c>
      <c r="E465" s="9">
        <v>1953989</v>
      </c>
      <c r="F465" s="9">
        <v>0</v>
      </c>
      <c r="G465" s="8"/>
      <c r="H465" s="9">
        <f t="shared" si="227"/>
        <v>0</v>
      </c>
      <c r="I465" s="8"/>
      <c r="J465" s="8"/>
      <c r="K465" s="8"/>
      <c r="L465" s="9"/>
      <c r="M465" s="9">
        <f t="shared" si="228"/>
        <v>0</v>
      </c>
      <c r="N465" s="9">
        <v>1953989</v>
      </c>
      <c r="O465" s="8"/>
      <c r="P465" s="9">
        <f t="shared" si="229"/>
        <v>1953989</v>
      </c>
      <c r="Q465" s="8"/>
      <c r="R465" s="8"/>
      <c r="S465" s="8"/>
      <c r="T465" s="9"/>
      <c r="U465" s="9">
        <f t="shared" si="230"/>
        <v>1953989</v>
      </c>
      <c r="V465" s="9">
        <f t="shared" si="231"/>
        <v>1953989</v>
      </c>
      <c r="W465" s="9">
        <f t="shared" si="232"/>
        <v>0</v>
      </c>
      <c r="X465" s="9">
        <f t="shared" si="233"/>
        <v>1953989</v>
      </c>
      <c r="Y465" s="8"/>
      <c r="Z465" s="9">
        <f t="shared" si="234"/>
        <v>0</v>
      </c>
      <c r="AA465" s="8">
        <f t="shared" si="235"/>
        <v>1953989</v>
      </c>
      <c r="AB465" s="8">
        <f t="shared" si="236"/>
        <v>0</v>
      </c>
    </row>
    <row r="466" spans="1:28" x14ac:dyDescent="0.3">
      <c r="A466" s="64"/>
      <c r="B466" s="8"/>
      <c r="C466" s="7" t="s">
        <v>57</v>
      </c>
      <c r="D466" s="15" t="s">
        <v>155</v>
      </c>
      <c r="E466" s="9">
        <v>3578541</v>
      </c>
      <c r="F466" s="9">
        <v>3578541</v>
      </c>
      <c r="G466" s="8"/>
      <c r="H466" s="9">
        <f t="shared" si="227"/>
        <v>3578541</v>
      </c>
      <c r="I466" s="8"/>
      <c r="J466" s="8"/>
      <c r="K466" s="8"/>
      <c r="L466" s="9"/>
      <c r="M466" s="9">
        <f t="shared" si="228"/>
        <v>3578541</v>
      </c>
      <c r="N466" s="9">
        <v>0</v>
      </c>
      <c r="O466" s="8"/>
      <c r="P466" s="9">
        <f t="shared" si="229"/>
        <v>0</v>
      </c>
      <c r="Q466" s="8"/>
      <c r="R466" s="8"/>
      <c r="S466" s="8"/>
      <c r="T466" s="9"/>
      <c r="U466" s="9">
        <f t="shared" si="230"/>
        <v>0</v>
      </c>
      <c r="V466" s="9">
        <f t="shared" si="231"/>
        <v>3578541</v>
      </c>
      <c r="W466" s="9">
        <f t="shared" si="232"/>
        <v>0</v>
      </c>
      <c r="X466" s="9">
        <f t="shared" si="233"/>
        <v>3578541</v>
      </c>
      <c r="Y466" s="8"/>
      <c r="Z466" s="9">
        <f t="shared" si="234"/>
        <v>0</v>
      </c>
      <c r="AA466" s="8">
        <f t="shared" si="235"/>
        <v>3578541</v>
      </c>
      <c r="AB466" s="8">
        <f t="shared" si="236"/>
        <v>0</v>
      </c>
    </row>
    <row r="467" spans="1:28" x14ac:dyDescent="0.3">
      <c r="A467" s="64"/>
      <c r="B467" s="8"/>
      <c r="C467" s="7" t="s">
        <v>87</v>
      </c>
      <c r="D467" s="15" t="s">
        <v>88</v>
      </c>
      <c r="E467" s="9">
        <v>10900000</v>
      </c>
      <c r="F467" s="9">
        <v>10900000</v>
      </c>
      <c r="G467" s="8"/>
      <c r="H467" s="9">
        <f t="shared" si="227"/>
        <v>10900000</v>
      </c>
      <c r="I467" s="8"/>
      <c r="J467" s="8"/>
      <c r="K467" s="8"/>
      <c r="L467" s="9"/>
      <c r="M467" s="9">
        <f t="shared" si="228"/>
        <v>10900000</v>
      </c>
      <c r="N467" s="9">
        <v>0</v>
      </c>
      <c r="O467" s="8"/>
      <c r="P467" s="9">
        <f t="shared" si="229"/>
        <v>0</v>
      </c>
      <c r="Q467" s="8"/>
      <c r="R467" s="8"/>
      <c r="S467" s="8"/>
      <c r="T467" s="9"/>
      <c r="U467" s="9">
        <f t="shared" si="230"/>
        <v>0</v>
      </c>
      <c r="V467" s="9">
        <f t="shared" si="231"/>
        <v>10900000</v>
      </c>
      <c r="W467" s="9">
        <f t="shared" si="232"/>
        <v>0</v>
      </c>
      <c r="X467" s="9">
        <f t="shared" si="233"/>
        <v>10900000</v>
      </c>
      <c r="Y467" s="8"/>
      <c r="Z467" s="9">
        <f t="shared" si="234"/>
        <v>0</v>
      </c>
      <c r="AA467" s="8">
        <f t="shared" si="235"/>
        <v>10900000</v>
      </c>
      <c r="AB467" s="8">
        <f t="shared" si="236"/>
        <v>0</v>
      </c>
    </row>
    <row r="468" spans="1:28" x14ac:dyDescent="0.3">
      <c r="A468" s="64"/>
      <c r="B468" s="8"/>
      <c r="C468" s="7" t="s">
        <v>57</v>
      </c>
      <c r="D468" s="15" t="s">
        <v>58</v>
      </c>
      <c r="E468" s="9">
        <v>2426400</v>
      </c>
      <c r="F468" s="9">
        <v>2426400</v>
      </c>
      <c r="G468" s="8"/>
      <c r="H468" s="9">
        <f t="shared" si="227"/>
        <v>2426400</v>
      </c>
      <c r="I468" s="8"/>
      <c r="J468" s="8"/>
      <c r="K468" s="8"/>
      <c r="L468" s="9"/>
      <c r="M468" s="9">
        <f t="shared" si="228"/>
        <v>2426400</v>
      </c>
      <c r="N468" s="9">
        <v>0</v>
      </c>
      <c r="O468" s="8"/>
      <c r="P468" s="9">
        <f t="shared" si="229"/>
        <v>0</v>
      </c>
      <c r="Q468" s="8"/>
      <c r="R468" s="8"/>
      <c r="S468" s="8"/>
      <c r="T468" s="9"/>
      <c r="U468" s="9">
        <f t="shared" si="230"/>
        <v>0</v>
      </c>
      <c r="V468" s="9">
        <f t="shared" si="231"/>
        <v>2426400</v>
      </c>
      <c r="W468" s="9">
        <f t="shared" si="232"/>
        <v>0</v>
      </c>
      <c r="X468" s="9">
        <f t="shared" si="233"/>
        <v>2426400</v>
      </c>
      <c r="Y468" s="8"/>
      <c r="Z468" s="9">
        <f t="shared" si="234"/>
        <v>0</v>
      </c>
      <c r="AA468" s="8">
        <f t="shared" si="235"/>
        <v>2426400</v>
      </c>
      <c r="AB468" s="8">
        <f t="shared" si="236"/>
        <v>0</v>
      </c>
    </row>
    <row r="469" spans="1:28" x14ac:dyDescent="0.3">
      <c r="A469" s="64"/>
      <c r="B469" s="8"/>
      <c r="C469" s="7" t="s">
        <v>57</v>
      </c>
      <c r="D469" s="15" t="s">
        <v>60</v>
      </c>
      <c r="E469" s="9">
        <v>2239650</v>
      </c>
      <c r="F469" s="11">
        <v>2239650</v>
      </c>
      <c r="G469" s="8"/>
      <c r="H469" s="9">
        <f t="shared" si="227"/>
        <v>2239650</v>
      </c>
      <c r="I469" s="8"/>
      <c r="J469" s="8"/>
      <c r="K469" s="8"/>
      <c r="L469" s="9"/>
      <c r="M469" s="9">
        <f t="shared" si="228"/>
        <v>2239650</v>
      </c>
      <c r="N469" s="9">
        <v>0</v>
      </c>
      <c r="O469" s="8"/>
      <c r="P469" s="9">
        <f t="shared" si="229"/>
        <v>0</v>
      </c>
      <c r="Q469" s="8"/>
      <c r="R469" s="8"/>
      <c r="S469" s="8"/>
      <c r="T469" s="9"/>
      <c r="U469" s="9">
        <f t="shared" si="230"/>
        <v>0</v>
      </c>
      <c r="V469" s="9">
        <f t="shared" si="231"/>
        <v>2239650</v>
      </c>
      <c r="W469" s="9">
        <f t="shared" si="232"/>
        <v>0</v>
      </c>
      <c r="X469" s="9">
        <f t="shared" si="233"/>
        <v>2239650</v>
      </c>
      <c r="Y469" s="8"/>
      <c r="Z469" s="9">
        <f t="shared" si="234"/>
        <v>0</v>
      </c>
      <c r="AA469" s="8">
        <f t="shared" si="235"/>
        <v>2239650</v>
      </c>
      <c r="AB469" s="8">
        <f t="shared" si="236"/>
        <v>0</v>
      </c>
    </row>
    <row r="470" spans="1:28" x14ac:dyDescent="0.3">
      <c r="A470" s="64"/>
      <c r="B470" s="8"/>
      <c r="C470" s="7" t="s">
        <v>924</v>
      </c>
      <c r="D470" s="16" t="s">
        <v>1072</v>
      </c>
      <c r="E470" s="9">
        <v>419000</v>
      </c>
      <c r="F470" s="11">
        <v>419000</v>
      </c>
      <c r="G470" s="8"/>
      <c r="H470" s="9">
        <f>+F470+G470</f>
        <v>419000</v>
      </c>
      <c r="I470" s="8"/>
      <c r="J470" s="8"/>
      <c r="K470" s="8"/>
      <c r="L470" s="9"/>
      <c r="M470" s="9">
        <f t="shared" si="228"/>
        <v>419000</v>
      </c>
      <c r="N470" s="9">
        <v>0</v>
      </c>
      <c r="O470" s="8"/>
      <c r="P470" s="9">
        <f t="shared" si="229"/>
        <v>0</v>
      </c>
      <c r="Q470" s="8"/>
      <c r="R470" s="8"/>
      <c r="S470" s="8"/>
      <c r="T470" s="9"/>
      <c r="U470" s="9">
        <f t="shared" si="230"/>
        <v>0</v>
      </c>
      <c r="V470" s="9">
        <f t="shared" si="231"/>
        <v>419000</v>
      </c>
      <c r="W470" s="9">
        <f t="shared" si="232"/>
        <v>0</v>
      </c>
      <c r="X470" s="9">
        <f t="shared" si="233"/>
        <v>419000</v>
      </c>
      <c r="Y470" s="8"/>
      <c r="Z470" s="9">
        <f t="shared" si="234"/>
        <v>0</v>
      </c>
      <c r="AA470" s="8">
        <f t="shared" si="235"/>
        <v>419000</v>
      </c>
      <c r="AB470" s="8">
        <f t="shared" si="236"/>
        <v>0</v>
      </c>
    </row>
    <row r="471" spans="1:28" x14ac:dyDescent="0.3">
      <c r="A471" s="64"/>
      <c r="B471" s="8"/>
      <c r="C471" s="7" t="s">
        <v>930</v>
      </c>
      <c r="D471" s="16" t="s">
        <v>1072</v>
      </c>
      <c r="E471" s="9">
        <v>369000</v>
      </c>
      <c r="F471" s="11">
        <v>369000</v>
      </c>
      <c r="G471" s="8"/>
      <c r="H471" s="9">
        <f>+F471+G471</f>
        <v>369000</v>
      </c>
      <c r="I471" s="8"/>
      <c r="J471" s="8"/>
      <c r="K471" s="8"/>
      <c r="L471" s="9"/>
      <c r="M471" s="9">
        <f t="shared" si="228"/>
        <v>369000</v>
      </c>
      <c r="N471" s="9">
        <v>0</v>
      </c>
      <c r="O471" s="8"/>
      <c r="P471" s="9">
        <f t="shared" si="229"/>
        <v>0</v>
      </c>
      <c r="Q471" s="8"/>
      <c r="R471" s="8"/>
      <c r="S471" s="8"/>
      <c r="T471" s="9"/>
      <c r="U471" s="9">
        <f t="shared" si="230"/>
        <v>0</v>
      </c>
      <c r="V471" s="9">
        <f t="shared" si="231"/>
        <v>369000</v>
      </c>
      <c r="W471" s="9">
        <f t="shared" si="232"/>
        <v>0</v>
      </c>
      <c r="X471" s="9">
        <f t="shared" si="233"/>
        <v>369000</v>
      </c>
      <c r="Y471" s="8"/>
      <c r="Z471" s="9">
        <f t="shared" si="234"/>
        <v>0</v>
      </c>
      <c r="AA471" s="8">
        <f t="shared" si="235"/>
        <v>369000</v>
      </c>
      <c r="AB471" s="8">
        <f t="shared" si="236"/>
        <v>0</v>
      </c>
    </row>
    <row r="472" spans="1:28" x14ac:dyDescent="0.3">
      <c r="A472" s="64"/>
      <c r="B472" s="8"/>
      <c r="C472" s="14" t="s">
        <v>109</v>
      </c>
      <c r="D472" s="21" t="s">
        <v>60</v>
      </c>
      <c r="E472" s="9">
        <v>7500000</v>
      </c>
      <c r="F472" s="11">
        <v>7500000</v>
      </c>
      <c r="G472" s="8"/>
      <c r="H472" s="9">
        <f t="shared" si="227"/>
        <v>7500000</v>
      </c>
      <c r="I472" s="8"/>
      <c r="J472" s="8"/>
      <c r="K472" s="8"/>
      <c r="L472" s="9"/>
      <c r="M472" s="9">
        <f t="shared" si="228"/>
        <v>7500000</v>
      </c>
      <c r="N472" s="9">
        <v>0</v>
      </c>
      <c r="O472" s="8"/>
      <c r="P472" s="9">
        <f t="shared" si="229"/>
        <v>0</v>
      </c>
      <c r="Q472" s="8"/>
      <c r="R472" s="8"/>
      <c r="S472" s="8"/>
      <c r="T472" s="9"/>
      <c r="U472" s="9">
        <f t="shared" si="230"/>
        <v>0</v>
      </c>
      <c r="V472" s="9">
        <f t="shared" si="231"/>
        <v>7500000</v>
      </c>
      <c r="W472" s="9">
        <f t="shared" si="232"/>
        <v>0</v>
      </c>
      <c r="X472" s="9">
        <f t="shared" si="233"/>
        <v>7500000</v>
      </c>
      <c r="Y472" s="8"/>
      <c r="Z472" s="9">
        <f t="shared" si="234"/>
        <v>0</v>
      </c>
      <c r="AA472" s="8">
        <f t="shared" si="235"/>
        <v>7500000</v>
      </c>
      <c r="AB472" s="8">
        <f t="shared" si="236"/>
        <v>0</v>
      </c>
    </row>
    <row r="473" spans="1:28" x14ac:dyDescent="0.3">
      <c r="A473" s="64"/>
      <c r="B473" s="8"/>
      <c r="C473" s="8"/>
      <c r="D473" s="8"/>
      <c r="E473" s="17" t="s">
        <v>29</v>
      </c>
      <c r="F473" s="17" t="s">
        <v>29</v>
      </c>
      <c r="G473" s="17" t="s">
        <v>29</v>
      </c>
      <c r="H473" s="17" t="s">
        <v>29</v>
      </c>
      <c r="I473" s="17" t="s">
        <v>29</v>
      </c>
      <c r="J473" s="17" t="s">
        <v>29</v>
      </c>
      <c r="K473" s="17" t="s">
        <v>29</v>
      </c>
      <c r="L473" s="17" t="s">
        <v>29</v>
      </c>
      <c r="M473" s="17" t="s">
        <v>29</v>
      </c>
      <c r="N473" s="17" t="s">
        <v>29</v>
      </c>
      <c r="O473" s="17" t="s">
        <v>29</v>
      </c>
      <c r="P473" s="17" t="s">
        <v>29</v>
      </c>
      <c r="Q473" s="17" t="s">
        <v>29</v>
      </c>
      <c r="R473" s="17" t="s">
        <v>29</v>
      </c>
      <c r="S473" s="17" t="s">
        <v>29</v>
      </c>
      <c r="T473" s="17" t="s">
        <v>29</v>
      </c>
      <c r="U473" s="17" t="s">
        <v>29</v>
      </c>
      <c r="V473" s="17" t="s">
        <v>29</v>
      </c>
      <c r="W473" s="17" t="s">
        <v>29</v>
      </c>
      <c r="X473" s="17" t="s">
        <v>29</v>
      </c>
      <c r="Y473" s="17" t="s">
        <v>29</v>
      </c>
      <c r="Z473" s="17" t="s">
        <v>29</v>
      </c>
      <c r="AA473" s="17" t="s">
        <v>29</v>
      </c>
      <c r="AB473" s="17" t="s">
        <v>29</v>
      </c>
    </row>
    <row r="474" spans="1:28" x14ac:dyDescent="0.3">
      <c r="A474" s="64"/>
      <c r="B474" s="8"/>
      <c r="C474" s="8"/>
      <c r="D474" s="8"/>
      <c r="E474" s="9">
        <f t="shared" ref="E474:AB474" si="237">SUM(E461:E472)</f>
        <v>67062660.939999998</v>
      </c>
      <c r="F474" s="9">
        <f t="shared" si="237"/>
        <v>62347133.090000004</v>
      </c>
      <c r="G474" s="9">
        <f t="shared" si="237"/>
        <v>0</v>
      </c>
      <c r="H474" s="9">
        <f t="shared" si="237"/>
        <v>62347133.090000004</v>
      </c>
      <c r="I474" s="9">
        <f t="shared" si="237"/>
        <v>0</v>
      </c>
      <c r="J474" s="9">
        <f t="shared" si="237"/>
        <v>0</v>
      </c>
      <c r="K474" s="9">
        <f t="shared" si="237"/>
        <v>0</v>
      </c>
      <c r="L474" s="9">
        <f t="shared" si="237"/>
        <v>0</v>
      </c>
      <c r="M474" s="9">
        <f t="shared" si="237"/>
        <v>62347133.090000004</v>
      </c>
      <c r="N474" s="9">
        <f t="shared" si="237"/>
        <v>3363894.3</v>
      </c>
      <c r="O474" s="9">
        <f t="shared" si="237"/>
        <v>0</v>
      </c>
      <c r="P474" s="9">
        <f t="shared" si="237"/>
        <v>3363894.3</v>
      </c>
      <c r="Q474" s="9">
        <f t="shared" si="237"/>
        <v>0</v>
      </c>
      <c r="R474" s="9">
        <f t="shared" si="237"/>
        <v>0</v>
      </c>
      <c r="S474" s="9">
        <f t="shared" si="237"/>
        <v>0</v>
      </c>
      <c r="T474" s="9">
        <f t="shared" si="237"/>
        <v>0</v>
      </c>
      <c r="U474" s="9">
        <f t="shared" si="237"/>
        <v>3363894.3</v>
      </c>
      <c r="V474" s="9">
        <f t="shared" si="237"/>
        <v>65711027.390000001</v>
      </c>
      <c r="W474" s="9">
        <f t="shared" si="237"/>
        <v>1351633.5500000014</v>
      </c>
      <c r="X474" s="9">
        <f t="shared" si="237"/>
        <v>65711027.390000001</v>
      </c>
      <c r="Y474" s="9">
        <f t="shared" si="237"/>
        <v>0</v>
      </c>
      <c r="Z474" s="9">
        <f t="shared" si="237"/>
        <v>1351633.5500000014</v>
      </c>
      <c r="AA474" s="9">
        <f t="shared" si="237"/>
        <v>65711027.390000001</v>
      </c>
      <c r="AB474" s="9">
        <f t="shared" si="237"/>
        <v>1351633.5500000014</v>
      </c>
    </row>
    <row r="475" spans="1:28" x14ac:dyDescent="0.3">
      <c r="A475" s="64"/>
      <c r="B475" s="8"/>
      <c r="C475" s="8"/>
      <c r="D475" s="8"/>
      <c r="E475" s="17" t="s">
        <v>29</v>
      </c>
      <c r="F475" s="17" t="s">
        <v>29</v>
      </c>
      <c r="G475" s="17" t="s">
        <v>29</v>
      </c>
      <c r="H475" s="17" t="s">
        <v>29</v>
      </c>
      <c r="I475" s="17" t="s">
        <v>29</v>
      </c>
      <c r="J475" s="17" t="s">
        <v>29</v>
      </c>
      <c r="K475" s="17" t="s">
        <v>29</v>
      </c>
      <c r="L475" s="17" t="s">
        <v>29</v>
      </c>
      <c r="M475" s="17" t="s">
        <v>29</v>
      </c>
      <c r="N475" s="17" t="s">
        <v>29</v>
      </c>
      <c r="O475" s="17" t="s">
        <v>29</v>
      </c>
      <c r="P475" s="17" t="s">
        <v>29</v>
      </c>
      <c r="Q475" s="17" t="s">
        <v>29</v>
      </c>
      <c r="R475" s="17" t="s">
        <v>29</v>
      </c>
      <c r="S475" s="17" t="s">
        <v>29</v>
      </c>
      <c r="T475" s="17" t="s">
        <v>29</v>
      </c>
      <c r="U475" s="17" t="s">
        <v>29</v>
      </c>
      <c r="V475" s="17" t="s">
        <v>29</v>
      </c>
      <c r="W475" s="17" t="s">
        <v>29</v>
      </c>
      <c r="X475" s="17" t="s">
        <v>29</v>
      </c>
      <c r="Y475" s="17" t="s">
        <v>29</v>
      </c>
      <c r="Z475" s="17" t="s">
        <v>29</v>
      </c>
      <c r="AA475" s="17" t="s">
        <v>29</v>
      </c>
      <c r="AB475" s="17" t="s">
        <v>29</v>
      </c>
    </row>
    <row r="476" spans="1:28" x14ac:dyDescent="0.3">
      <c r="A476" s="63" t="s">
        <v>955</v>
      </c>
      <c r="B476" s="7" t="s">
        <v>156</v>
      </c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58"/>
    </row>
    <row r="477" spans="1:28" x14ac:dyDescent="0.3">
      <c r="A477" s="64"/>
      <c r="B477" s="8"/>
      <c r="C477" s="7" t="s">
        <v>149</v>
      </c>
      <c r="D477" s="21" t="s">
        <v>150</v>
      </c>
      <c r="E477" s="9">
        <v>5641513.7300000004</v>
      </c>
      <c r="F477" s="9">
        <v>4170068.25</v>
      </c>
      <c r="G477" s="8"/>
      <c r="H477" s="9">
        <f t="shared" ref="H477:H486" si="238">F477+G477</f>
        <v>4170068.25</v>
      </c>
      <c r="I477" s="8"/>
      <c r="J477" s="8"/>
      <c r="K477" s="8"/>
      <c r="L477" s="9"/>
      <c r="M477" s="9">
        <f t="shared" ref="M477:M486" si="239">H477+L477</f>
        <v>4170068.25</v>
      </c>
      <c r="N477" s="9">
        <v>635130</v>
      </c>
      <c r="O477" s="8"/>
      <c r="P477" s="9">
        <f t="shared" ref="P477:P486" si="240">N477+O477</f>
        <v>635130</v>
      </c>
      <c r="Q477" s="8"/>
      <c r="R477" s="8"/>
      <c r="S477" s="8"/>
      <c r="T477" s="9"/>
      <c r="U477" s="9">
        <f t="shared" ref="U477:U486" si="241">P477+T477</f>
        <v>635130</v>
      </c>
      <c r="V477" s="9">
        <f t="shared" ref="V477:V486" si="242">P477+H477</f>
        <v>4805198.25</v>
      </c>
      <c r="W477" s="9">
        <v>0</v>
      </c>
      <c r="X477" s="9">
        <f t="shared" ref="X477:X486" si="243">+H477+P477</f>
        <v>4805198.25</v>
      </c>
      <c r="Y477" s="8"/>
      <c r="Z477" s="9">
        <f t="shared" ref="Z477:Z486" si="244">+E477-X477</f>
        <v>836315.48000000045</v>
      </c>
      <c r="AA477" s="8">
        <f t="shared" ref="AA477:AA486" si="245">+M477+U477</f>
        <v>4805198.25</v>
      </c>
      <c r="AB477" s="8">
        <f t="shared" ref="AB477:AB486" si="246">+E477-AA477</f>
        <v>836315.48000000045</v>
      </c>
    </row>
    <row r="478" spans="1:28" x14ac:dyDescent="0.3">
      <c r="A478" s="64"/>
      <c r="B478" s="8"/>
      <c r="C478" s="7" t="s">
        <v>151</v>
      </c>
      <c r="D478" s="21" t="s">
        <v>150</v>
      </c>
      <c r="E478" s="9">
        <v>117392290.78</v>
      </c>
      <c r="F478" s="9">
        <v>97761691.629999995</v>
      </c>
      <c r="G478" s="8"/>
      <c r="H478" s="9">
        <f t="shared" si="238"/>
        <v>97761691.629999995</v>
      </c>
      <c r="I478" s="8"/>
      <c r="J478" s="8"/>
      <c r="K478" s="8"/>
      <c r="L478" s="9"/>
      <c r="M478" s="9">
        <f t="shared" si="239"/>
        <v>97761691.629999995</v>
      </c>
      <c r="N478" s="9">
        <v>0</v>
      </c>
      <c r="O478" s="8"/>
      <c r="P478" s="9">
        <f t="shared" si="240"/>
        <v>0</v>
      </c>
      <c r="Q478" s="8"/>
      <c r="R478" s="8"/>
      <c r="S478" s="8"/>
      <c r="T478" s="9"/>
      <c r="U478" s="9">
        <f t="shared" si="241"/>
        <v>0</v>
      </c>
      <c r="V478" s="9">
        <f t="shared" si="242"/>
        <v>97761691.629999995</v>
      </c>
      <c r="W478" s="9">
        <v>0</v>
      </c>
      <c r="X478" s="9">
        <f t="shared" si="243"/>
        <v>97761691.629999995</v>
      </c>
      <c r="Y478" s="8"/>
      <c r="Z478" s="9">
        <f t="shared" si="244"/>
        <v>19630599.150000006</v>
      </c>
      <c r="AA478" s="8">
        <f t="shared" si="245"/>
        <v>97761691.629999995</v>
      </c>
      <c r="AB478" s="8">
        <f t="shared" si="246"/>
        <v>19630599.150000006</v>
      </c>
    </row>
    <row r="479" spans="1:28" x14ac:dyDescent="0.3">
      <c r="A479" s="64"/>
      <c r="B479" s="8"/>
      <c r="C479" s="7" t="s">
        <v>157</v>
      </c>
      <c r="D479" s="21" t="s">
        <v>150</v>
      </c>
      <c r="E479" s="9">
        <v>1486867</v>
      </c>
      <c r="F479" s="9">
        <v>1486867</v>
      </c>
      <c r="G479" s="8"/>
      <c r="H479" s="9">
        <f t="shared" si="238"/>
        <v>1486867</v>
      </c>
      <c r="I479" s="8"/>
      <c r="J479" s="8"/>
      <c r="K479" s="8"/>
      <c r="L479" s="9"/>
      <c r="M479" s="9">
        <f t="shared" si="239"/>
        <v>1486867</v>
      </c>
      <c r="N479" s="9">
        <v>0</v>
      </c>
      <c r="O479" s="8"/>
      <c r="P479" s="9">
        <f t="shared" si="240"/>
        <v>0</v>
      </c>
      <c r="Q479" s="8"/>
      <c r="R479" s="8"/>
      <c r="S479" s="8"/>
      <c r="T479" s="9"/>
      <c r="U479" s="9">
        <f t="shared" si="241"/>
        <v>0</v>
      </c>
      <c r="V479" s="9">
        <f t="shared" si="242"/>
        <v>1486867</v>
      </c>
      <c r="W479" s="9">
        <v>0</v>
      </c>
      <c r="X479" s="9">
        <f t="shared" si="243"/>
        <v>1486867</v>
      </c>
      <c r="Y479" s="8"/>
      <c r="Z479" s="9">
        <f t="shared" si="244"/>
        <v>0</v>
      </c>
      <c r="AA479" s="8">
        <f t="shared" si="245"/>
        <v>1486867</v>
      </c>
      <c r="AB479" s="8">
        <f t="shared" si="246"/>
        <v>0</v>
      </c>
    </row>
    <row r="480" spans="1:28" x14ac:dyDescent="0.3">
      <c r="A480" s="64"/>
      <c r="B480" s="8"/>
      <c r="C480" s="7" t="s">
        <v>57</v>
      </c>
      <c r="D480" s="15" t="s">
        <v>158</v>
      </c>
      <c r="E480" s="9">
        <v>3144655.81</v>
      </c>
      <c r="F480" s="9">
        <v>3144655.81</v>
      </c>
      <c r="G480" s="8"/>
      <c r="H480" s="9">
        <f t="shared" si="238"/>
        <v>3144655.81</v>
      </c>
      <c r="I480" s="8"/>
      <c r="J480" s="8"/>
      <c r="K480" s="8"/>
      <c r="L480" s="9"/>
      <c r="M480" s="9">
        <f t="shared" si="239"/>
        <v>3144655.81</v>
      </c>
      <c r="N480" s="9">
        <v>0</v>
      </c>
      <c r="O480" s="8"/>
      <c r="P480" s="9">
        <f t="shared" si="240"/>
        <v>0</v>
      </c>
      <c r="Q480" s="8"/>
      <c r="R480" s="8"/>
      <c r="S480" s="8"/>
      <c r="T480" s="9"/>
      <c r="U480" s="9">
        <f t="shared" si="241"/>
        <v>0</v>
      </c>
      <c r="V480" s="9">
        <f t="shared" si="242"/>
        <v>3144655.81</v>
      </c>
      <c r="W480" s="9">
        <v>0</v>
      </c>
      <c r="X480" s="9">
        <f t="shared" si="243"/>
        <v>3144655.81</v>
      </c>
      <c r="Y480" s="8"/>
      <c r="Z480" s="9">
        <f t="shared" si="244"/>
        <v>0</v>
      </c>
      <c r="AA480" s="8">
        <f t="shared" si="245"/>
        <v>3144655.81</v>
      </c>
      <c r="AB480" s="8">
        <f t="shared" si="246"/>
        <v>0</v>
      </c>
    </row>
    <row r="481" spans="1:28" x14ac:dyDescent="0.3">
      <c r="A481" s="64"/>
      <c r="B481" s="8"/>
      <c r="C481" s="7" t="s">
        <v>55</v>
      </c>
      <c r="D481" s="15" t="s">
        <v>103</v>
      </c>
      <c r="E481" s="9">
        <v>2739289</v>
      </c>
      <c r="F481" s="9">
        <v>0</v>
      </c>
      <c r="G481" s="8"/>
      <c r="H481" s="9">
        <f t="shared" si="238"/>
        <v>0</v>
      </c>
      <c r="I481" s="8"/>
      <c r="J481" s="8"/>
      <c r="K481" s="8"/>
      <c r="L481" s="9"/>
      <c r="M481" s="9">
        <f t="shared" si="239"/>
        <v>0</v>
      </c>
      <c r="N481" s="9">
        <v>2739289</v>
      </c>
      <c r="O481" s="8"/>
      <c r="P481" s="9">
        <f t="shared" si="240"/>
        <v>2739289</v>
      </c>
      <c r="Q481" s="8"/>
      <c r="R481" s="8"/>
      <c r="S481" s="8"/>
      <c r="T481" s="9"/>
      <c r="U481" s="9">
        <f t="shared" si="241"/>
        <v>2739289</v>
      </c>
      <c r="V481" s="9">
        <f t="shared" si="242"/>
        <v>2739289</v>
      </c>
      <c r="W481" s="9">
        <f t="shared" ref="W481:W486" si="247">E481-V481</f>
        <v>0</v>
      </c>
      <c r="X481" s="9">
        <f t="shared" si="243"/>
        <v>2739289</v>
      </c>
      <c r="Y481" s="8"/>
      <c r="Z481" s="9">
        <f t="shared" si="244"/>
        <v>0</v>
      </c>
      <c r="AA481" s="8">
        <f t="shared" si="245"/>
        <v>2739289</v>
      </c>
      <c r="AB481" s="8">
        <f t="shared" si="246"/>
        <v>0</v>
      </c>
    </row>
    <row r="482" spans="1:28" x14ac:dyDescent="0.3">
      <c r="A482" s="64"/>
      <c r="B482" s="8"/>
      <c r="C482" s="7" t="s">
        <v>159</v>
      </c>
      <c r="D482" s="15" t="s">
        <v>128</v>
      </c>
      <c r="E482" s="9">
        <v>2306106</v>
      </c>
      <c r="F482" s="9">
        <v>0</v>
      </c>
      <c r="G482" s="8"/>
      <c r="H482" s="9">
        <f t="shared" si="238"/>
        <v>0</v>
      </c>
      <c r="I482" s="8"/>
      <c r="J482" s="8"/>
      <c r="K482" s="8"/>
      <c r="L482" s="9"/>
      <c r="M482" s="9">
        <f t="shared" si="239"/>
        <v>0</v>
      </c>
      <c r="N482" s="9">
        <v>2306106</v>
      </c>
      <c r="O482" s="8"/>
      <c r="P482" s="9">
        <f t="shared" si="240"/>
        <v>2306106</v>
      </c>
      <c r="Q482" s="8"/>
      <c r="R482" s="8"/>
      <c r="S482" s="8"/>
      <c r="T482" s="9"/>
      <c r="U482" s="9">
        <f t="shared" si="241"/>
        <v>2306106</v>
      </c>
      <c r="V482" s="9">
        <f t="shared" si="242"/>
        <v>2306106</v>
      </c>
      <c r="W482" s="9">
        <f t="shared" si="247"/>
        <v>0</v>
      </c>
      <c r="X482" s="9">
        <f t="shared" si="243"/>
        <v>2306106</v>
      </c>
      <c r="Y482" s="8"/>
      <c r="Z482" s="9">
        <f t="shared" si="244"/>
        <v>0</v>
      </c>
      <c r="AA482" s="8">
        <f t="shared" si="245"/>
        <v>2306106</v>
      </c>
      <c r="AB482" s="8">
        <f t="shared" si="246"/>
        <v>0</v>
      </c>
    </row>
    <row r="483" spans="1:28" x14ac:dyDescent="0.3">
      <c r="A483" s="64"/>
      <c r="B483" s="8"/>
      <c r="C483" s="7" t="s">
        <v>57</v>
      </c>
      <c r="D483" s="15" t="s">
        <v>58</v>
      </c>
      <c r="E483" s="9">
        <v>2475954.5</v>
      </c>
      <c r="F483" s="9">
        <f>531278+909170.5+1035506</f>
        <v>2475954.5</v>
      </c>
      <c r="G483" s="8"/>
      <c r="H483" s="9">
        <f t="shared" si="238"/>
        <v>2475954.5</v>
      </c>
      <c r="I483" s="9"/>
      <c r="J483" s="8"/>
      <c r="K483" s="8"/>
      <c r="L483" s="9"/>
      <c r="M483" s="9">
        <f t="shared" si="239"/>
        <v>2475954.5</v>
      </c>
      <c r="N483" s="9">
        <v>0</v>
      </c>
      <c r="O483" s="8"/>
      <c r="P483" s="9">
        <f t="shared" si="240"/>
        <v>0</v>
      </c>
      <c r="Q483" s="8"/>
      <c r="R483" s="8"/>
      <c r="S483" s="8"/>
      <c r="T483" s="9"/>
      <c r="U483" s="9">
        <f t="shared" si="241"/>
        <v>0</v>
      </c>
      <c r="V483" s="9">
        <f t="shared" si="242"/>
        <v>2475954.5</v>
      </c>
      <c r="W483" s="9">
        <f t="shared" si="247"/>
        <v>0</v>
      </c>
      <c r="X483" s="9">
        <f t="shared" si="243"/>
        <v>2475954.5</v>
      </c>
      <c r="Y483" s="8"/>
      <c r="Z483" s="9">
        <f t="shared" si="244"/>
        <v>0</v>
      </c>
      <c r="AA483" s="8">
        <f t="shared" si="245"/>
        <v>2475954.5</v>
      </c>
      <c r="AB483" s="8">
        <f t="shared" si="246"/>
        <v>0</v>
      </c>
    </row>
    <row r="484" spans="1:28" x14ac:dyDescent="0.3">
      <c r="A484" s="64"/>
      <c r="B484" s="8"/>
      <c r="C484" s="7" t="s">
        <v>57</v>
      </c>
      <c r="D484" s="15" t="s">
        <v>73</v>
      </c>
      <c r="E484" s="9">
        <v>252747</v>
      </c>
      <c r="F484" s="11">
        <v>252747</v>
      </c>
      <c r="G484" s="8"/>
      <c r="H484" s="9">
        <f t="shared" si="238"/>
        <v>252747</v>
      </c>
      <c r="I484" s="8"/>
      <c r="J484" s="8"/>
      <c r="K484" s="8"/>
      <c r="L484" s="9"/>
      <c r="M484" s="9">
        <f t="shared" si="239"/>
        <v>252747</v>
      </c>
      <c r="N484" s="9">
        <v>0</v>
      </c>
      <c r="O484" s="8"/>
      <c r="P484" s="9">
        <f t="shared" si="240"/>
        <v>0</v>
      </c>
      <c r="Q484" s="8"/>
      <c r="R484" s="8"/>
      <c r="S484" s="8"/>
      <c r="T484" s="9"/>
      <c r="U484" s="9">
        <f t="shared" si="241"/>
        <v>0</v>
      </c>
      <c r="V484" s="9">
        <f t="shared" si="242"/>
        <v>252747</v>
      </c>
      <c r="W484" s="9">
        <f t="shared" si="247"/>
        <v>0</v>
      </c>
      <c r="X484" s="9">
        <f t="shared" si="243"/>
        <v>252747</v>
      </c>
      <c r="Y484" s="8"/>
      <c r="Z484" s="9">
        <f t="shared" si="244"/>
        <v>0</v>
      </c>
      <c r="AA484" s="8">
        <f t="shared" si="245"/>
        <v>252747</v>
      </c>
      <c r="AB484" s="8">
        <f t="shared" si="246"/>
        <v>0</v>
      </c>
    </row>
    <row r="485" spans="1:28" x14ac:dyDescent="0.3">
      <c r="A485" s="64"/>
      <c r="B485" s="8"/>
      <c r="C485" s="14" t="s">
        <v>109</v>
      </c>
      <c r="D485" s="21" t="s">
        <v>60</v>
      </c>
      <c r="E485" s="9">
        <v>5888620.7300000004</v>
      </c>
      <c r="F485" s="11">
        <v>4858632.5</v>
      </c>
      <c r="G485" s="8"/>
      <c r="H485" s="9">
        <f t="shared" si="238"/>
        <v>4858632.5</v>
      </c>
      <c r="I485" s="11">
        <v>1029988.23</v>
      </c>
      <c r="J485" s="8"/>
      <c r="K485" s="8"/>
      <c r="L485" s="9">
        <v>1029988.23</v>
      </c>
      <c r="M485" s="9">
        <f t="shared" si="239"/>
        <v>5888620.7300000004</v>
      </c>
      <c r="N485" s="9">
        <v>0</v>
      </c>
      <c r="O485" s="8"/>
      <c r="P485" s="9">
        <f t="shared" si="240"/>
        <v>0</v>
      </c>
      <c r="Q485" s="8"/>
      <c r="R485" s="8"/>
      <c r="S485" s="8"/>
      <c r="T485" s="9"/>
      <c r="U485" s="9">
        <f t="shared" si="241"/>
        <v>0</v>
      </c>
      <c r="V485" s="9">
        <f t="shared" si="242"/>
        <v>4858632.5</v>
      </c>
      <c r="W485" s="9">
        <f t="shared" si="247"/>
        <v>1029988.2300000004</v>
      </c>
      <c r="X485" s="9">
        <f t="shared" si="243"/>
        <v>4858632.5</v>
      </c>
      <c r="Y485" s="8"/>
      <c r="Z485" s="9">
        <f t="shared" si="244"/>
        <v>1029988.2300000004</v>
      </c>
      <c r="AA485" s="8">
        <f t="shared" si="245"/>
        <v>5888620.7300000004</v>
      </c>
      <c r="AB485" s="8">
        <f t="shared" si="246"/>
        <v>0</v>
      </c>
    </row>
    <row r="486" spans="1:28" x14ac:dyDescent="0.3">
      <c r="A486" s="64"/>
      <c r="B486" s="8"/>
      <c r="C486" s="7" t="s">
        <v>122</v>
      </c>
      <c r="D486" s="8"/>
      <c r="E486" s="9">
        <v>88175</v>
      </c>
      <c r="F486" s="9">
        <v>88175</v>
      </c>
      <c r="G486" s="8"/>
      <c r="H486" s="9">
        <f t="shared" si="238"/>
        <v>88175</v>
      </c>
      <c r="I486" s="8"/>
      <c r="J486" s="8"/>
      <c r="K486" s="8"/>
      <c r="L486" s="9"/>
      <c r="M486" s="9">
        <f t="shared" si="239"/>
        <v>88175</v>
      </c>
      <c r="N486" s="9">
        <v>0</v>
      </c>
      <c r="O486" s="8"/>
      <c r="P486" s="9">
        <f t="shared" si="240"/>
        <v>0</v>
      </c>
      <c r="Q486" s="8"/>
      <c r="R486" s="8"/>
      <c r="S486" s="8"/>
      <c r="T486" s="9"/>
      <c r="U486" s="9">
        <f t="shared" si="241"/>
        <v>0</v>
      </c>
      <c r="V486" s="9">
        <f t="shared" si="242"/>
        <v>88175</v>
      </c>
      <c r="W486" s="9">
        <f t="shared" si="247"/>
        <v>0</v>
      </c>
      <c r="X486" s="9">
        <f t="shared" si="243"/>
        <v>88175</v>
      </c>
      <c r="Y486" s="8"/>
      <c r="Z486" s="9">
        <f t="shared" si="244"/>
        <v>0</v>
      </c>
      <c r="AA486" s="8">
        <f t="shared" si="245"/>
        <v>88175</v>
      </c>
      <c r="AB486" s="8">
        <f t="shared" si="246"/>
        <v>0</v>
      </c>
    </row>
    <row r="487" spans="1:28" x14ac:dyDescent="0.3">
      <c r="A487" s="64"/>
      <c r="B487" s="8"/>
      <c r="C487" s="8"/>
      <c r="D487" s="8"/>
      <c r="E487" s="17" t="s">
        <v>29</v>
      </c>
      <c r="F487" s="17" t="s">
        <v>29</v>
      </c>
      <c r="G487" s="17" t="s">
        <v>29</v>
      </c>
      <c r="H487" s="17" t="s">
        <v>29</v>
      </c>
      <c r="I487" s="17" t="s">
        <v>29</v>
      </c>
      <c r="J487" s="17" t="s">
        <v>29</v>
      </c>
      <c r="K487" s="17" t="s">
        <v>29</v>
      </c>
      <c r="L487" s="17" t="s">
        <v>29</v>
      </c>
      <c r="M487" s="17" t="s">
        <v>29</v>
      </c>
      <c r="N487" s="17" t="s">
        <v>29</v>
      </c>
      <c r="O487" s="17" t="s">
        <v>29</v>
      </c>
      <c r="P487" s="17" t="s">
        <v>29</v>
      </c>
      <c r="Q487" s="17" t="s">
        <v>29</v>
      </c>
      <c r="R487" s="17" t="s">
        <v>29</v>
      </c>
      <c r="S487" s="17" t="s">
        <v>29</v>
      </c>
      <c r="T487" s="17" t="s">
        <v>29</v>
      </c>
      <c r="U487" s="17" t="s">
        <v>29</v>
      </c>
      <c r="V487" s="17" t="s">
        <v>29</v>
      </c>
      <c r="W487" s="17" t="s">
        <v>29</v>
      </c>
      <c r="X487" s="17" t="s">
        <v>29</v>
      </c>
      <c r="Y487" s="17" t="s">
        <v>29</v>
      </c>
      <c r="Z487" s="17" t="s">
        <v>29</v>
      </c>
      <c r="AA487" s="17" t="s">
        <v>29</v>
      </c>
      <c r="AB487" s="17" t="s">
        <v>29</v>
      </c>
    </row>
    <row r="488" spans="1:28" x14ac:dyDescent="0.3">
      <c r="A488" s="64"/>
      <c r="B488" s="8"/>
      <c r="C488" s="8"/>
      <c r="D488" s="8"/>
      <c r="E488" s="9">
        <f t="shared" ref="E488:AB488" si="248">SUM(E477:E486)</f>
        <v>141416219.54999998</v>
      </c>
      <c r="F488" s="9">
        <f t="shared" si="248"/>
        <v>114238791.69</v>
      </c>
      <c r="G488" s="9">
        <f t="shared" si="248"/>
        <v>0</v>
      </c>
      <c r="H488" s="9">
        <f t="shared" si="248"/>
        <v>114238791.69</v>
      </c>
      <c r="I488" s="9">
        <f t="shared" si="248"/>
        <v>1029988.23</v>
      </c>
      <c r="J488" s="9">
        <f t="shared" si="248"/>
        <v>0</v>
      </c>
      <c r="K488" s="9">
        <f t="shared" si="248"/>
        <v>0</v>
      </c>
      <c r="L488" s="9">
        <f t="shared" si="248"/>
        <v>1029988.23</v>
      </c>
      <c r="M488" s="9">
        <f t="shared" si="248"/>
        <v>115268779.92</v>
      </c>
      <c r="N488" s="9">
        <f t="shared" si="248"/>
        <v>5680525</v>
      </c>
      <c r="O488" s="9">
        <f t="shared" si="248"/>
        <v>0</v>
      </c>
      <c r="P488" s="9">
        <f t="shared" si="248"/>
        <v>5680525</v>
      </c>
      <c r="Q488" s="9">
        <f t="shared" si="248"/>
        <v>0</v>
      </c>
      <c r="R488" s="9">
        <f t="shared" si="248"/>
        <v>0</v>
      </c>
      <c r="S488" s="9">
        <f t="shared" si="248"/>
        <v>0</v>
      </c>
      <c r="T488" s="9">
        <f t="shared" si="248"/>
        <v>0</v>
      </c>
      <c r="U488" s="9">
        <f t="shared" si="248"/>
        <v>5680525</v>
      </c>
      <c r="V488" s="9">
        <f t="shared" si="248"/>
        <v>119919316.69</v>
      </c>
      <c r="W488" s="9">
        <f t="shared" si="248"/>
        <v>1029988.2300000004</v>
      </c>
      <c r="X488" s="9">
        <f t="shared" si="248"/>
        <v>119919316.69</v>
      </c>
      <c r="Y488" s="9">
        <f t="shared" si="248"/>
        <v>0</v>
      </c>
      <c r="Z488" s="9">
        <f t="shared" si="248"/>
        <v>21496902.860000007</v>
      </c>
      <c r="AA488" s="9">
        <f t="shared" si="248"/>
        <v>120949304.92</v>
      </c>
      <c r="AB488" s="9">
        <f t="shared" si="248"/>
        <v>20466914.630000006</v>
      </c>
    </row>
    <row r="489" spans="1:28" x14ac:dyDescent="0.3">
      <c r="A489" s="64"/>
      <c r="B489" s="8"/>
      <c r="C489" s="8"/>
      <c r="D489" s="8"/>
      <c r="E489" s="17" t="s">
        <v>29</v>
      </c>
      <c r="F489" s="17" t="s">
        <v>29</v>
      </c>
      <c r="G489" s="17" t="s">
        <v>29</v>
      </c>
      <c r="H489" s="17" t="s">
        <v>29</v>
      </c>
      <c r="I489" s="17" t="s">
        <v>29</v>
      </c>
      <c r="J489" s="17" t="s">
        <v>29</v>
      </c>
      <c r="K489" s="17" t="s">
        <v>29</v>
      </c>
      <c r="L489" s="17" t="s">
        <v>29</v>
      </c>
      <c r="M489" s="17" t="s">
        <v>29</v>
      </c>
      <c r="N489" s="17" t="s">
        <v>29</v>
      </c>
      <c r="O489" s="17" t="s">
        <v>29</v>
      </c>
      <c r="P489" s="17" t="s">
        <v>29</v>
      </c>
      <c r="Q489" s="17" t="s">
        <v>29</v>
      </c>
      <c r="R489" s="17" t="s">
        <v>29</v>
      </c>
      <c r="S489" s="17" t="s">
        <v>29</v>
      </c>
      <c r="T489" s="17" t="s">
        <v>29</v>
      </c>
      <c r="U489" s="17" t="s">
        <v>29</v>
      </c>
      <c r="V489" s="17" t="s">
        <v>29</v>
      </c>
      <c r="W489" s="17" t="s">
        <v>29</v>
      </c>
      <c r="X489" s="17" t="s">
        <v>29</v>
      </c>
      <c r="Y489" s="17" t="s">
        <v>29</v>
      </c>
      <c r="Z489" s="17" t="s">
        <v>29</v>
      </c>
      <c r="AA489" s="17" t="s">
        <v>29</v>
      </c>
      <c r="AB489" s="17" t="s">
        <v>29</v>
      </c>
    </row>
    <row r="490" spans="1:28" x14ac:dyDescent="0.3">
      <c r="A490" s="64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58"/>
    </row>
    <row r="491" spans="1:28" x14ac:dyDescent="0.3">
      <c r="A491" s="63" t="s">
        <v>956</v>
      </c>
      <c r="B491" s="7" t="s">
        <v>160</v>
      </c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8" x14ac:dyDescent="0.3">
      <c r="A492" s="64"/>
      <c r="B492" s="8"/>
      <c r="C492" s="7" t="s">
        <v>75</v>
      </c>
      <c r="D492" s="21" t="s">
        <v>76</v>
      </c>
      <c r="E492" s="9">
        <v>2852000</v>
      </c>
      <c r="F492" s="9">
        <v>0</v>
      </c>
      <c r="G492" s="8"/>
      <c r="H492" s="9">
        <f t="shared" ref="H492:H499" si="249">F492+G492</f>
        <v>0</v>
      </c>
      <c r="I492" s="8"/>
      <c r="J492" s="8"/>
      <c r="K492" s="8"/>
      <c r="L492" s="9"/>
      <c r="M492" s="9">
        <f t="shared" ref="M492:M499" si="250">H492+L492</f>
        <v>0</v>
      </c>
      <c r="N492" s="9">
        <v>2069698.36</v>
      </c>
      <c r="O492" s="8"/>
      <c r="P492" s="9">
        <f t="shared" ref="P492:P499" si="251">N492+O492</f>
        <v>2069698.36</v>
      </c>
      <c r="Q492" s="8"/>
      <c r="R492" s="8"/>
      <c r="S492" s="8"/>
      <c r="T492" s="9"/>
      <c r="U492" s="9">
        <f t="shared" ref="U492:U499" si="252">P492+T492</f>
        <v>2069698.36</v>
      </c>
      <c r="V492" s="9">
        <f t="shared" ref="V492:V499" si="253">P492+H492</f>
        <v>2069698.36</v>
      </c>
      <c r="W492" s="9">
        <f t="shared" ref="W492:W499" si="254">E492-V492</f>
        <v>782301.6399999999</v>
      </c>
      <c r="X492" s="9">
        <f t="shared" ref="X492:X499" si="255">+H492+P492</f>
        <v>2069698.36</v>
      </c>
      <c r="Y492" s="8"/>
      <c r="Z492" s="9">
        <f t="shared" ref="Z492:Z499" si="256">+E492-X492</f>
        <v>782301.6399999999</v>
      </c>
      <c r="AA492" s="8">
        <f t="shared" ref="AA492:AA499" si="257">+M492+U492</f>
        <v>2069698.36</v>
      </c>
      <c r="AB492" s="8">
        <f t="shared" ref="AB492:AB499" si="258">+E492-AA492</f>
        <v>782301.6399999999</v>
      </c>
    </row>
    <row r="493" spans="1:28" x14ac:dyDescent="0.3">
      <c r="A493" s="64"/>
      <c r="B493" s="8"/>
      <c r="C493" s="7" t="s">
        <v>55</v>
      </c>
      <c r="D493" s="15" t="s">
        <v>54</v>
      </c>
      <c r="E493" s="9">
        <v>1892385</v>
      </c>
      <c r="F493" s="9">
        <v>0</v>
      </c>
      <c r="G493" s="8"/>
      <c r="H493" s="9">
        <f t="shared" si="249"/>
        <v>0</v>
      </c>
      <c r="I493" s="8"/>
      <c r="J493" s="8"/>
      <c r="K493" s="8"/>
      <c r="L493" s="9"/>
      <c r="M493" s="9">
        <f t="shared" si="250"/>
        <v>0</v>
      </c>
      <c r="N493" s="9">
        <v>1892385</v>
      </c>
      <c r="O493" s="8"/>
      <c r="P493" s="9">
        <f t="shared" si="251"/>
        <v>1892385</v>
      </c>
      <c r="Q493" s="8"/>
      <c r="R493" s="8"/>
      <c r="S493" s="8"/>
      <c r="T493" s="9"/>
      <c r="U493" s="9">
        <f t="shared" si="252"/>
        <v>1892385</v>
      </c>
      <c r="V493" s="9">
        <f t="shared" si="253"/>
        <v>1892385</v>
      </c>
      <c r="W493" s="9">
        <f t="shared" si="254"/>
        <v>0</v>
      </c>
      <c r="X493" s="9">
        <f t="shared" si="255"/>
        <v>1892385</v>
      </c>
      <c r="Y493" s="8"/>
      <c r="Z493" s="9">
        <f t="shared" si="256"/>
        <v>0</v>
      </c>
      <c r="AA493" s="8">
        <f t="shared" si="257"/>
        <v>1892385</v>
      </c>
      <c r="AB493" s="8">
        <f t="shared" si="258"/>
        <v>0</v>
      </c>
    </row>
    <row r="494" spans="1:28" x14ac:dyDescent="0.3">
      <c r="A494" s="64"/>
      <c r="B494" s="8"/>
      <c r="C494" s="7" t="s">
        <v>161</v>
      </c>
      <c r="D494" s="15" t="s">
        <v>54</v>
      </c>
      <c r="E494" s="9">
        <v>955345.62</v>
      </c>
      <c r="F494" s="9">
        <v>0</v>
      </c>
      <c r="G494" s="8"/>
      <c r="H494" s="9">
        <f t="shared" si="249"/>
        <v>0</v>
      </c>
      <c r="I494" s="8"/>
      <c r="J494" s="8"/>
      <c r="K494" s="8"/>
      <c r="L494" s="9"/>
      <c r="M494" s="9">
        <f t="shared" si="250"/>
        <v>0</v>
      </c>
      <c r="N494" s="9">
        <v>955345.62</v>
      </c>
      <c r="O494" s="8"/>
      <c r="P494" s="9">
        <f t="shared" si="251"/>
        <v>955345.62</v>
      </c>
      <c r="Q494" s="8"/>
      <c r="R494" s="8"/>
      <c r="S494" s="8"/>
      <c r="T494" s="9"/>
      <c r="U494" s="9">
        <f t="shared" si="252"/>
        <v>955345.62</v>
      </c>
      <c r="V494" s="9">
        <f t="shared" si="253"/>
        <v>955345.62</v>
      </c>
      <c r="W494" s="9">
        <f t="shared" si="254"/>
        <v>0</v>
      </c>
      <c r="X494" s="9">
        <f t="shared" si="255"/>
        <v>955345.62</v>
      </c>
      <c r="Y494" s="8"/>
      <c r="Z494" s="9">
        <f t="shared" si="256"/>
        <v>0</v>
      </c>
      <c r="AA494" s="8">
        <f t="shared" si="257"/>
        <v>955345.62</v>
      </c>
      <c r="AB494" s="8">
        <f t="shared" si="258"/>
        <v>0</v>
      </c>
    </row>
    <row r="495" spans="1:28" x14ac:dyDescent="0.3">
      <c r="A495" s="64"/>
      <c r="B495" s="8"/>
      <c r="C495" s="7" t="s">
        <v>159</v>
      </c>
      <c r="D495" s="15" t="s">
        <v>85</v>
      </c>
      <c r="E495" s="9">
        <v>1953989</v>
      </c>
      <c r="F495" s="9">
        <v>0</v>
      </c>
      <c r="G495" s="8"/>
      <c r="H495" s="9">
        <f t="shared" si="249"/>
        <v>0</v>
      </c>
      <c r="I495" s="8"/>
      <c r="J495" s="8"/>
      <c r="K495" s="8"/>
      <c r="L495" s="9"/>
      <c r="M495" s="9">
        <f t="shared" si="250"/>
        <v>0</v>
      </c>
      <c r="N495" s="9">
        <v>1953989</v>
      </c>
      <c r="O495" s="8"/>
      <c r="P495" s="9">
        <f t="shared" si="251"/>
        <v>1953989</v>
      </c>
      <c r="Q495" s="8"/>
      <c r="R495" s="8"/>
      <c r="S495" s="8"/>
      <c r="T495" s="9"/>
      <c r="U495" s="9">
        <f t="shared" si="252"/>
        <v>1953989</v>
      </c>
      <c r="V495" s="9">
        <f t="shared" si="253"/>
        <v>1953989</v>
      </c>
      <c r="W495" s="9">
        <f t="shared" si="254"/>
        <v>0</v>
      </c>
      <c r="X495" s="9">
        <f t="shared" si="255"/>
        <v>1953989</v>
      </c>
      <c r="Y495" s="8"/>
      <c r="Z495" s="9">
        <f t="shared" si="256"/>
        <v>0</v>
      </c>
      <c r="AA495" s="8">
        <f t="shared" si="257"/>
        <v>1953989</v>
      </c>
      <c r="AB495" s="8">
        <f t="shared" si="258"/>
        <v>0</v>
      </c>
    </row>
    <row r="496" spans="1:28" x14ac:dyDescent="0.3">
      <c r="A496" s="64"/>
      <c r="B496" s="8"/>
      <c r="C496" s="7" t="s">
        <v>57</v>
      </c>
      <c r="D496" s="15" t="s">
        <v>108</v>
      </c>
      <c r="E496" s="9">
        <v>3156199.69</v>
      </c>
      <c r="F496" s="9">
        <v>3156199.69</v>
      </c>
      <c r="G496" s="8"/>
      <c r="H496" s="9">
        <f t="shared" si="249"/>
        <v>3156199.69</v>
      </c>
      <c r="I496" s="8"/>
      <c r="J496" s="8"/>
      <c r="K496" s="8"/>
      <c r="L496" s="9"/>
      <c r="M496" s="9">
        <f t="shared" si="250"/>
        <v>3156199.69</v>
      </c>
      <c r="N496" s="9">
        <v>0</v>
      </c>
      <c r="O496" s="8"/>
      <c r="P496" s="9">
        <f t="shared" si="251"/>
        <v>0</v>
      </c>
      <c r="Q496" s="8"/>
      <c r="R496" s="8"/>
      <c r="S496" s="8"/>
      <c r="T496" s="9"/>
      <c r="U496" s="9">
        <f t="shared" si="252"/>
        <v>0</v>
      </c>
      <c r="V496" s="9">
        <f t="shared" si="253"/>
        <v>3156199.69</v>
      </c>
      <c r="W496" s="9">
        <f t="shared" si="254"/>
        <v>0</v>
      </c>
      <c r="X496" s="9">
        <f t="shared" si="255"/>
        <v>3156199.69</v>
      </c>
      <c r="Y496" s="8"/>
      <c r="Z496" s="9">
        <f t="shared" si="256"/>
        <v>0</v>
      </c>
      <c r="AA496" s="8">
        <f t="shared" si="257"/>
        <v>3156199.69</v>
      </c>
      <c r="AB496" s="8">
        <f t="shared" si="258"/>
        <v>0</v>
      </c>
    </row>
    <row r="497" spans="1:28" x14ac:dyDescent="0.3">
      <c r="A497" s="64"/>
      <c r="B497" s="8"/>
      <c r="C497" s="7" t="s">
        <v>57</v>
      </c>
      <c r="D497" s="15" t="s">
        <v>58</v>
      </c>
      <c r="E497" s="9">
        <v>2931000</v>
      </c>
      <c r="F497" s="9">
        <v>2931000</v>
      </c>
      <c r="G497" s="8"/>
      <c r="H497" s="9">
        <f t="shared" si="249"/>
        <v>2931000</v>
      </c>
      <c r="I497" s="8"/>
      <c r="J497" s="8"/>
      <c r="K497" s="8"/>
      <c r="L497" s="9"/>
      <c r="M497" s="9">
        <f t="shared" si="250"/>
        <v>2931000</v>
      </c>
      <c r="N497" s="9">
        <v>0</v>
      </c>
      <c r="O497" s="8"/>
      <c r="P497" s="9">
        <f t="shared" si="251"/>
        <v>0</v>
      </c>
      <c r="Q497" s="8"/>
      <c r="R497" s="8"/>
      <c r="S497" s="8"/>
      <c r="T497" s="9"/>
      <c r="U497" s="9">
        <f t="shared" si="252"/>
        <v>0</v>
      </c>
      <c r="V497" s="9">
        <f t="shared" si="253"/>
        <v>2931000</v>
      </c>
      <c r="W497" s="9">
        <f t="shared" si="254"/>
        <v>0</v>
      </c>
      <c r="X497" s="9">
        <f t="shared" si="255"/>
        <v>2931000</v>
      </c>
      <c r="Y497" s="8"/>
      <c r="Z497" s="9">
        <f t="shared" si="256"/>
        <v>0</v>
      </c>
      <c r="AA497" s="8">
        <f t="shared" si="257"/>
        <v>2931000</v>
      </c>
      <c r="AB497" s="8">
        <f t="shared" si="258"/>
        <v>0</v>
      </c>
    </row>
    <row r="498" spans="1:28" x14ac:dyDescent="0.3">
      <c r="A498" s="64"/>
      <c r="B498" s="8"/>
      <c r="C498" s="7" t="s">
        <v>57</v>
      </c>
      <c r="D498" s="15" t="s">
        <v>60</v>
      </c>
      <c r="E498" s="9">
        <v>1503340.61</v>
      </c>
      <c r="F498" s="11">
        <v>1503340.61</v>
      </c>
      <c r="G498" s="8"/>
      <c r="H498" s="9">
        <f t="shared" si="249"/>
        <v>1503340.61</v>
      </c>
      <c r="I498" s="8"/>
      <c r="J498" s="8"/>
      <c r="K498" s="8"/>
      <c r="L498" s="9"/>
      <c r="M498" s="9">
        <f t="shared" si="250"/>
        <v>1503340.61</v>
      </c>
      <c r="N498" s="9">
        <v>0</v>
      </c>
      <c r="O498" s="8"/>
      <c r="P498" s="9">
        <f t="shared" si="251"/>
        <v>0</v>
      </c>
      <c r="Q498" s="8"/>
      <c r="R498" s="8"/>
      <c r="S498" s="8"/>
      <c r="T498" s="9"/>
      <c r="U498" s="9">
        <f t="shared" si="252"/>
        <v>0</v>
      </c>
      <c r="V498" s="9">
        <f t="shared" si="253"/>
        <v>1503340.61</v>
      </c>
      <c r="W498" s="9">
        <f t="shared" si="254"/>
        <v>0</v>
      </c>
      <c r="X498" s="9">
        <f t="shared" si="255"/>
        <v>1503340.61</v>
      </c>
      <c r="Y498" s="8"/>
      <c r="Z498" s="9">
        <f t="shared" si="256"/>
        <v>0</v>
      </c>
      <c r="AA498" s="8">
        <f t="shared" si="257"/>
        <v>1503340.61</v>
      </c>
      <c r="AB498" s="8">
        <f t="shared" si="258"/>
        <v>0</v>
      </c>
    </row>
    <row r="499" spans="1:28" x14ac:dyDescent="0.3">
      <c r="A499" s="64"/>
      <c r="B499" s="8"/>
      <c r="C499" s="14" t="s">
        <v>109</v>
      </c>
      <c r="D499" s="21" t="s">
        <v>60</v>
      </c>
      <c r="E499" s="9">
        <v>2500000</v>
      </c>
      <c r="F499" s="11">
        <v>2500000</v>
      </c>
      <c r="G499" s="8"/>
      <c r="H499" s="9">
        <f t="shared" si="249"/>
        <v>2500000</v>
      </c>
      <c r="I499" s="8"/>
      <c r="J499" s="8"/>
      <c r="K499" s="8"/>
      <c r="L499" s="9"/>
      <c r="M499" s="9">
        <f t="shared" si="250"/>
        <v>2500000</v>
      </c>
      <c r="N499" s="9">
        <v>0</v>
      </c>
      <c r="O499" s="8"/>
      <c r="P499" s="9">
        <f t="shared" si="251"/>
        <v>0</v>
      </c>
      <c r="Q499" s="8"/>
      <c r="R499" s="8"/>
      <c r="S499" s="8"/>
      <c r="T499" s="9"/>
      <c r="U499" s="9">
        <f t="shared" si="252"/>
        <v>0</v>
      </c>
      <c r="V499" s="9">
        <f t="shared" si="253"/>
        <v>2500000</v>
      </c>
      <c r="W499" s="9">
        <f t="shared" si="254"/>
        <v>0</v>
      </c>
      <c r="X499" s="9">
        <f t="shared" si="255"/>
        <v>2500000</v>
      </c>
      <c r="Y499" s="8"/>
      <c r="Z499" s="9">
        <f t="shared" si="256"/>
        <v>0</v>
      </c>
      <c r="AA499" s="8">
        <f t="shared" si="257"/>
        <v>2500000</v>
      </c>
      <c r="AB499" s="8">
        <f t="shared" si="258"/>
        <v>0</v>
      </c>
    </row>
    <row r="500" spans="1:28" x14ac:dyDescent="0.3">
      <c r="A500" s="64"/>
      <c r="B500" s="8"/>
      <c r="C500" s="8"/>
      <c r="D500" s="8"/>
      <c r="E500" s="17" t="s">
        <v>29</v>
      </c>
      <c r="F500" s="17" t="s">
        <v>29</v>
      </c>
      <c r="G500" s="17" t="s">
        <v>29</v>
      </c>
      <c r="H500" s="17" t="s">
        <v>29</v>
      </c>
      <c r="I500" s="17" t="s">
        <v>29</v>
      </c>
      <c r="J500" s="17" t="s">
        <v>29</v>
      </c>
      <c r="K500" s="17" t="s">
        <v>29</v>
      </c>
      <c r="L500" s="17" t="s">
        <v>29</v>
      </c>
      <c r="M500" s="17" t="s">
        <v>29</v>
      </c>
      <c r="N500" s="17" t="s">
        <v>29</v>
      </c>
      <c r="O500" s="17" t="s">
        <v>29</v>
      </c>
      <c r="P500" s="17" t="s">
        <v>29</v>
      </c>
      <c r="Q500" s="17" t="s">
        <v>29</v>
      </c>
      <c r="R500" s="17" t="s">
        <v>29</v>
      </c>
      <c r="S500" s="17" t="s">
        <v>29</v>
      </c>
      <c r="T500" s="17" t="s">
        <v>29</v>
      </c>
      <c r="U500" s="17" t="s">
        <v>29</v>
      </c>
      <c r="V500" s="17" t="s">
        <v>29</v>
      </c>
      <c r="W500" s="17" t="s">
        <v>29</v>
      </c>
      <c r="X500" s="17" t="s">
        <v>29</v>
      </c>
      <c r="Y500" s="17" t="s">
        <v>29</v>
      </c>
      <c r="Z500" s="17" t="s">
        <v>29</v>
      </c>
      <c r="AA500" s="17" t="s">
        <v>29</v>
      </c>
      <c r="AB500" s="17" t="s">
        <v>29</v>
      </c>
    </row>
    <row r="501" spans="1:28" x14ac:dyDescent="0.3">
      <c r="A501" s="64"/>
      <c r="B501" s="8"/>
      <c r="C501" s="8"/>
      <c r="D501" s="8"/>
      <c r="E501" s="9">
        <f t="shared" ref="E501:AB501" si="259">SUM(E492:E499)</f>
        <v>17744259.920000002</v>
      </c>
      <c r="F501" s="9">
        <f t="shared" si="259"/>
        <v>10090540.300000001</v>
      </c>
      <c r="G501" s="9">
        <f t="shared" si="259"/>
        <v>0</v>
      </c>
      <c r="H501" s="9">
        <f t="shared" si="259"/>
        <v>10090540.300000001</v>
      </c>
      <c r="I501" s="9">
        <f t="shared" si="259"/>
        <v>0</v>
      </c>
      <c r="J501" s="9">
        <f t="shared" si="259"/>
        <v>0</v>
      </c>
      <c r="K501" s="9">
        <f t="shared" si="259"/>
        <v>0</v>
      </c>
      <c r="L501" s="9">
        <f t="shared" si="259"/>
        <v>0</v>
      </c>
      <c r="M501" s="9">
        <f t="shared" si="259"/>
        <v>10090540.300000001</v>
      </c>
      <c r="N501" s="9">
        <f t="shared" si="259"/>
        <v>6871417.9800000004</v>
      </c>
      <c r="O501" s="9">
        <f t="shared" si="259"/>
        <v>0</v>
      </c>
      <c r="P501" s="9">
        <f t="shared" si="259"/>
        <v>6871417.9800000004</v>
      </c>
      <c r="Q501" s="9">
        <f t="shared" si="259"/>
        <v>0</v>
      </c>
      <c r="R501" s="9">
        <f t="shared" si="259"/>
        <v>0</v>
      </c>
      <c r="S501" s="9">
        <f t="shared" si="259"/>
        <v>0</v>
      </c>
      <c r="T501" s="9">
        <f t="shared" si="259"/>
        <v>0</v>
      </c>
      <c r="U501" s="9">
        <f t="shared" si="259"/>
        <v>6871417.9800000004</v>
      </c>
      <c r="V501" s="9">
        <f t="shared" si="259"/>
        <v>16961958.280000001</v>
      </c>
      <c r="W501" s="9">
        <f t="shared" si="259"/>
        <v>782301.6399999999</v>
      </c>
      <c r="X501" s="9">
        <f t="shared" si="259"/>
        <v>16961958.280000001</v>
      </c>
      <c r="Y501" s="9">
        <f t="shared" si="259"/>
        <v>0</v>
      </c>
      <c r="Z501" s="9">
        <f t="shared" si="259"/>
        <v>782301.6399999999</v>
      </c>
      <c r="AA501" s="9">
        <f t="shared" si="259"/>
        <v>16961958.280000001</v>
      </c>
      <c r="AB501" s="9">
        <f t="shared" si="259"/>
        <v>782301.6399999999</v>
      </c>
    </row>
    <row r="502" spans="1:28" x14ac:dyDescent="0.3">
      <c r="A502" s="64"/>
      <c r="B502" s="8"/>
      <c r="C502" s="8"/>
      <c r="D502" s="8"/>
      <c r="E502" s="17" t="s">
        <v>29</v>
      </c>
      <c r="F502" s="17" t="s">
        <v>29</v>
      </c>
      <c r="G502" s="17" t="s">
        <v>29</v>
      </c>
      <c r="H502" s="17" t="s">
        <v>29</v>
      </c>
      <c r="I502" s="17" t="s">
        <v>29</v>
      </c>
      <c r="J502" s="17" t="s">
        <v>29</v>
      </c>
      <c r="K502" s="17" t="s">
        <v>29</v>
      </c>
      <c r="L502" s="17" t="s">
        <v>29</v>
      </c>
      <c r="M502" s="17" t="s">
        <v>29</v>
      </c>
      <c r="N502" s="17" t="s">
        <v>29</v>
      </c>
      <c r="O502" s="17" t="s">
        <v>29</v>
      </c>
      <c r="P502" s="17" t="s">
        <v>29</v>
      </c>
      <c r="Q502" s="17" t="s">
        <v>29</v>
      </c>
      <c r="R502" s="17" t="s">
        <v>29</v>
      </c>
      <c r="S502" s="17" t="s">
        <v>29</v>
      </c>
      <c r="T502" s="17" t="s">
        <v>29</v>
      </c>
      <c r="U502" s="17" t="s">
        <v>29</v>
      </c>
      <c r="V502" s="17" t="s">
        <v>29</v>
      </c>
      <c r="W502" s="17" t="s">
        <v>29</v>
      </c>
      <c r="X502" s="17" t="s">
        <v>29</v>
      </c>
      <c r="Y502" s="17" t="s">
        <v>29</v>
      </c>
      <c r="Z502" s="17" t="s">
        <v>29</v>
      </c>
      <c r="AA502" s="17" t="s">
        <v>29</v>
      </c>
      <c r="AB502" s="17" t="s">
        <v>29</v>
      </c>
    </row>
    <row r="503" spans="1:28" x14ac:dyDescent="0.3">
      <c r="A503" s="63" t="s">
        <v>957</v>
      </c>
      <c r="B503" s="7" t="s">
        <v>162</v>
      </c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58"/>
    </row>
    <row r="504" spans="1:28" x14ac:dyDescent="0.3">
      <c r="A504" s="64"/>
      <c r="B504" s="8"/>
      <c r="C504" s="7" t="s">
        <v>149</v>
      </c>
      <c r="D504" s="21" t="s">
        <v>150</v>
      </c>
      <c r="E504" s="9">
        <v>1644184</v>
      </c>
      <c r="F504" s="9">
        <v>1115910.55</v>
      </c>
      <c r="G504" s="8"/>
      <c r="H504" s="9">
        <f>F504+G504</f>
        <v>1115910.55</v>
      </c>
      <c r="I504" s="8"/>
      <c r="J504" s="8"/>
      <c r="K504" s="8"/>
      <c r="L504" s="9"/>
      <c r="M504" s="9">
        <f>H504+L504</f>
        <v>1115910.55</v>
      </c>
      <c r="N504" s="9">
        <v>211710</v>
      </c>
      <c r="O504" s="8"/>
      <c r="P504" s="9">
        <f>N504+O504</f>
        <v>211710</v>
      </c>
      <c r="Q504" s="8"/>
      <c r="R504" s="8"/>
      <c r="S504" s="8"/>
      <c r="T504" s="9"/>
      <c r="U504" s="9">
        <f>P504+T504</f>
        <v>211710</v>
      </c>
      <c r="V504" s="9">
        <f>P504+H504</f>
        <v>1327620.55</v>
      </c>
      <c r="W504" s="9">
        <f>E504-V504</f>
        <v>316563.44999999995</v>
      </c>
      <c r="X504" s="9">
        <f>+H504+P504</f>
        <v>1327620.55</v>
      </c>
      <c r="Y504" s="8"/>
      <c r="Z504" s="9">
        <f>+E504-X504</f>
        <v>316563.44999999995</v>
      </c>
      <c r="AA504" s="8">
        <f>+M504+U504</f>
        <v>1327620.55</v>
      </c>
      <c r="AB504" s="8">
        <f>+E504-AA504</f>
        <v>316563.44999999995</v>
      </c>
    </row>
    <row r="505" spans="1:28" x14ac:dyDescent="0.3">
      <c r="A505" s="64"/>
      <c r="B505" s="8"/>
      <c r="C505" s="7" t="s">
        <v>151</v>
      </c>
      <c r="D505" s="21" t="s">
        <v>150</v>
      </c>
      <c r="E505" s="9">
        <v>3370496</v>
      </c>
      <c r="F505" s="9">
        <v>312642.53000000003</v>
      </c>
      <c r="G505" s="8"/>
      <c r="H505" s="9">
        <f>F505+G505</f>
        <v>312642.53000000003</v>
      </c>
      <c r="I505" s="8"/>
      <c r="J505" s="8"/>
      <c r="K505" s="8"/>
      <c r="L505" s="9"/>
      <c r="M505" s="9">
        <f>H505+L505</f>
        <v>312642.53000000003</v>
      </c>
      <c r="N505" s="9">
        <v>0</v>
      </c>
      <c r="O505" s="8"/>
      <c r="P505" s="9">
        <f>N505+O505</f>
        <v>0</v>
      </c>
      <c r="Q505" s="8"/>
      <c r="R505" s="8"/>
      <c r="S505" s="8"/>
      <c r="T505" s="9"/>
      <c r="U505" s="9">
        <f>P505+T505</f>
        <v>0</v>
      </c>
      <c r="V505" s="9">
        <f>P505+H505</f>
        <v>312642.53000000003</v>
      </c>
      <c r="W505" s="9">
        <f>E505-V505</f>
        <v>3057853.4699999997</v>
      </c>
      <c r="X505" s="9">
        <f>+H505+P505</f>
        <v>312642.53000000003</v>
      </c>
      <c r="Y505" s="8"/>
      <c r="Z505" s="9">
        <f>+E505-X505</f>
        <v>3057853.4699999997</v>
      </c>
      <c r="AA505" s="8">
        <f>+M505+U505</f>
        <v>312642.53000000003</v>
      </c>
      <c r="AB505" s="8">
        <f>+E505-AA505</f>
        <v>3057853.4699999997</v>
      </c>
    </row>
    <row r="506" spans="1:28" x14ac:dyDescent="0.3">
      <c r="A506" s="64"/>
      <c r="B506" s="8"/>
      <c r="C506" s="7" t="s">
        <v>57</v>
      </c>
      <c r="D506" s="15" t="s">
        <v>163</v>
      </c>
      <c r="E506" s="9">
        <v>1694244.2</v>
      </c>
      <c r="F506" s="9">
        <v>1670310</v>
      </c>
      <c r="G506" s="8"/>
      <c r="H506" s="9">
        <f>F506+G506</f>
        <v>1670310</v>
      </c>
      <c r="I506" s="8"/>
      <c r="J506" s="8"/>
      <c r="K506" s="8"/>
      <c r="L506" s="9"/>
      <c r="M506" s="9">
        <f>H506+L506</f>
        <v>1670310</v>
      </c>
      <c r="N506" s="9">
        <v>23934.2</v>
      </c>
      <c r="O506" s="8"/>
      <c r="P506" s="9">
        <f>N506+O506</f>
        <v>23934.2</v>
      </c>
      <c r="Q506" s="8"/>
      <c r="R506" s="8"/>
      <c r="S506" s="8"/>
      <c r="T506" s="9"/>
      <c r="U506" s="9">
        <f>P506+T506</f>
        <v>23934.2</v>
      </c>
      <c r="V506" s="9">
        <f>P506+H506</f>
        <v>1694244.2</v>
      </c>
      <c r="W506" s="9">
        <v>0</v>
      </c>
      <c r="X506" s="9">
        <f>+H506+P506</f>
        <v>1694244.2</v>
      </c>
      <c r="Y506" s="8"/>
      <c r="Z506" s="9">
        <f>+E506-X506</f>
        <v>0</v>
      </c>
      <c r="AA506" s="8">
        <f>+M506+U506</f>
        <v>1694244.2</v>
      </c>
      <c r="AB506" s="8">
        <f>+E506-AA506</f>
        <v>0</v>
      </c>
    </row>
    <row r="507" spans="1:28" x14ac:dyDescent="0.3">
      <c r="A507" s="64"/>
      <c r="B507" s="8"/>
      <c r="C507" s="7" t="s">
        <v>159</v>
      </c>
      <c r="D507" s="15" t="s">
        <v>128</v>
      </c>
      <c r="E507" s="9">
        <v>570941</v>
      </c>
      <c r="F507" s="9">
        <v>0</v>
      </c>
      <c r="G507" s="8"/>
      <c r="H507" s="9">
        <f>F507+G507</f>
        <v>0</v>
      </c>
      <c r="I507" s="8"/>
      <c r="J507" s="8"/>
      <c r="K507" s="8"/>
      <c r="L507" s="9"/>
      <c r="M507" s="9">
        <f>H507+L507</f>
        <v>0</v>
      </c>
      <c r="N507" s="9">
        <v>570941</v>
      </c>
      <c r="O507" s="8"/>
      <c r="P507" s="9">
        <f>N507+O507</f>
        <v>570941</v>
      </c>
      <c r="Q507" s="8"/>
      <c r="R507" s="8"/>
      <c r="S507" s="8"/>
      <c r="T507" s="9"/>
      <c r="U507" s="9">
        <f>P507+T507</f>
        <v>570941</v>
      </c>
      <c r="V507" s="9">
        <f>P507+H507</f>
        <v>570941</v>
      </c>
      <c r="W507" s="9">
        <f>E507-V507</f>
        <v>0</v>
      </c>
      <c r="X507" s="9">
        <f>+H507+P507</f>
        <v>570941</v>
      </c>
      <c r="Y507" s="8"/>
      <c r="Z507" s="9">
        <f>+E507-X507</f>
        <v>0</v>
      </c>
      <c r="AA507" s="8">
        <f>+M507+U507</f>
        <v>570941</v>
      </c>
      <c r="AB507" s="8">
        <f>+E507-AA507</f>
        <v>0</v>
      </c>
    </row>
    <row r="508" spans="1:28" x14ac:dyDescent="0.3">
      <c r="A508" s="64"/>
      <c r="B508" s="8"/>
      <c r="C508" s="14" t="s">
        <v>109</v>
      </c>
      <c r="D508" s="21" t="s">
        <v>73</v>
      </c>
      <c r="E508" s="9">
        <v>310177.40000000002</v>
      </c>
      <c r="F508" s="11">
        <v>310177.40000000002</v>
      </c>
      <c r="G508" s="8"/>
      <c r="H508" s="9">
        <f>F508+G508</f>
        <v>310177.40000000002</v>
      </c>
      <c r="I508" s="8"/>
      <c r="J508" s="8"/>
      <c r="K508" s="8"/>
      <c r="L508" s="9"/>
      <c r="M508" s="9">
        <f>H508+L508</f>
        <v>310177.40000000002</v>
      </c>
      <c r="N508" s="9">
        <v>0</v>
      </c>
      <c r="O508" s="8"/>
      <c r="P508" s="9">
        <f>N508+O508</f>
        <v>0</v>
      </c>
      <c r="Q508" s="8"/>
      <c r="R508" s="8"/>
      <c r="S508" s="8"/>
      <c r="T508" s="9"/>
      <c r="U508" s="9">
        <f>P508+T508</f>
        <v>0</v>
      </c>
      <c r="V508" s="9">
        <f>P508+H508</f>
        <v>310177.40000000002</v>
      </c>
      <c r="W508" s="9">
        <f>E508-V508</f>
        <v>0</v>
      </c>
      <c r="X508" s="9">
        <f>+H508+P508</f>
        <v>310177.40000000002</v>
      </c>
      <c r="Y508" s="8"/>
      <c r="Z508" s="9">
        <f>+E508-X508</f>
        <v>0</v>
      </c>
      <c r="AA508" s="8">
        <f>+M508+U508</f>
        <v>310177.40000000002</v>
      </c>
      <c r="AB508" s="8">
        <f>+E508-AA508</f>
        <v>0</v>
      </c>
    </row>
    <row r="509" spans="1:28" x14ac:dyDescent="0.3">
      <c r="A509" s="64"/>
      <c r="B509" s="8"/>
      <c r="C509" s="8"/>
      <c r="D509" s="8"/>
      <c r="E509" s="17" t="s">
        <v>29</v>
      </c>
      <c r="F509" s="17" t="s">
        <v>29</v>
      </c>
      <c r="G509" s="17" t="s">
        <v>29</v>
      </c>
      <c r="H509" s="17" t="s">
        <v>29</v>
      </c>
      <c r="I509" s="17" t="s">
        <v>29</v>
      </c>
      <c r="J509" s="17" t="s">
        <v>29</v>
      </c>
      <c r="K509" s="17" t="s">
        <v>29</v>
      </c>
      <c r="L509" s="17" t="s">
        <v>29</v>
      </c>
      <c r="M509" s="17" t="s">
        <v>29</v>
      </c>
      <c r="N509" s="17" t="s">
        <v>29</v>
      </c>
      <c r="O509" s="17" t="s">
        <v>29</v>
      </c>
      <c r="P509" s="17" t="s">
        <v>29</v>
      </c>
      <c r="Q509" s="17" t="s">
        <v>29</v>
      </c>
      <c r="R509" s="17" t="s">
        <v>29</v>
      </c>
      <c r="S509" s="17" t="s">
        <v>29</v>
      </c>
      <c r="T509" s="17" t="s">
        <v>29</v>
      </c>
      <c r="U509" s="17" t="s">
        <v>29</v>
      </c>
      <c r="V509" s="17" t="s">
        <v>29</v>
      </c>
      <c r="W509" s="17" t="s">
        <v>29</v>
      </c>
      <c r="X509" s="17" t="s">
        <v>29</v>
      </c>
      <c r="Y509" s="17" t="s">
        <v>29</v>
      </c>
      <c r="Z509" s="17" t="s">
        <v>29</v>
      </c>
      <c r="AA509" s="17" t="s">
        <v>29</v>
      </c>
      <c r="AB509" s="17" t="s">
        <v>29</v>
      </c>
    </row>
    <row r="510" spans="1:28" x14ac:dyDescent="0.3">
      <c r="A510" s="64"/>
      <c r="B510" s="8"/>
      <c r="C510" s="9"/>
      <c r="D510" s="9"/>
      <c r="E510" s="9">
        <f t="shared" ref="E510:AB510" si="260">SUM(E504:E508)</f>
        <v>7590042.6000000006</v>
      </c>
      <c r="F510" s="9">
        <f t="shared" si="260"/>
        <v>3409040.48</v>
      </c>
      <c r="G510" s="9">
        <f t="shared" si="260"/>
        <v>0</v>
      </c>
      <c r="H510" s="9">
        <f t="shared" si="260"/>
        <v>3409040.48</v>
      </c>
      <c r="I510" s="9">
        <f t="shared" si="260"/>
        <v>0</v>
      </c>
      <c r="J510" s="9">
        <f t="shared" si="260"/>
        <v>0</v>
      </c>
      <c r="K510" s="9">
        <f t="shared" si="260"/>
        <v>0</v>
      </c>
      <c r="L510" s="9">
        <f t="shared" si="260"/>
        <v>0</v>
      </c>
      <c r="M510" s="9">
        <f t="shared" si="260"/>
        <v>3409040.48</v>
      </c>
      <c r="N510" s="9">
        <f t="shared" si="260"/>
        <v>806585.2</v>
      </c>
      <c r="O510" s="9">
        <f t="shared" si="260"/>
        <v>0</v>
      </c>
      <c r="P510" s="9">
        <f t="shared" si="260"/>
        <v>806585.2</v>
      </c>
      <c r="Q510" s="9">
        <f t="shared" si="260"/>
        <v>0</v>
      </c>
      <c r="R510" s="9">
        <f t="shared" si="260"/>
        <v>0</v>
      </c>
      <c r="S510" s="9">
        <f t="shared" si="260"/>
        <v>0</v>
      </c>
      <c r="T510" s="9">
        <f t="shared" si="260"/>
        <v>0</v>
      </c>
      <c r="U510" s="9">
        <f t="shared" si="260"/>
        <v>806585.2</v>
      </c>
      <c r="V510" s="9">
        <f t="shared" si="260"/>
        <v>4215625.6800000006</v>
      </c>
      <c r="W510" s="9">
        <f t="shared" si="260"/>
        <v>3374416.92</v>
      </c>
      <c r="X510" s="9">
        <f t="shared" si="260"/>
        <v>4215625.6800000006</v>
      </c>
      <c r="Y510" s="9">
        <f t="shared" si="260"/>
        <v>0</v>
      </c>
      <c r="Z510" s="9">
        <f t="shared" si="260"/>
        <v>3374416.92</v>
      </c>
      <c r="AA510" s="9">
        <f t="shared" si="260"/>
        <v>4215625.6800000006</v>
      </c>
      <c r="AB510" s="9">
        <f t="shared" si="260"/>
        <v>3374416.92</v>
      </c>
    </row>
    <row r="511" spans="1:28" x14ac:dyDescent="0.3">
      <c r="A511" s="64"/>
      <c r="B511" s="8"/>
      <c r="C511" s="9"/>
      <c r="D511" s="9"/>
      <c r="E511" s="17" t="s">
        <v>29</v>
      </c>
      <c r="F511" s="17" t="s">
        <v>29</v>
      </c>
      <c r="G511" s="17" t="s">
        <v>29</v>
      </c>
      <c r="H511" s="17" t="s">
        <v>29</v>
      </c>
      <c r="I511" s="17" t="s">
        <v>29</v>
      </c>
      <c r="J511" s="17" t="s">
        <v>29</v>
      </c>
      <c r="K511" s="17" t="s">
        <v>29</v>
      </c>
      <c r="L511" s="17" t="s">
        <v>29</v>
      </c>
      <c r="M511" s="17" t="s">
        <v>29</v>
      </c>
      <c r="N511" s="17" t="s">
        <v>29</v>
      </c>
      <c r="O511" s="17" t="s">
        <v>29</v>
      </c>
      <c r="P511" s="17" t="s">
        <v>29</v>
      </c>
      <c r="Q511" s="17" t="s">
        <v>29</v>
      </c>
      <c r="R511" s="17" t="s">
        <v>29</v>
      </c>
      <c r="S511" s="17" t="s">
        <v>29</v>
      </c>
      <c r="T511" s="17" t="s">
        <v>29</v>
      </c>
      <c r="U511" s="17" t="s">
        <v>29</v>
      </c>
      <c r="V511" s="17" t="s">
        <v>29</v>
      </c>
      <c r="W511" s="17" t="s">
        <v>29</v>
      </c>
      <c r="X511" s="17" t="s">
        <v>29</v>
      </c>
      <c r="Y511" s="17" t="s">
        <v>29</v>
      </c>
      <c r="Z511" s="17" t="s">
        <v>29</v>
      </c>
      <c r="AA511" s="17" t="s">
        <v>29</v>
      </c>
      <c r="AB511" s="17" t="s">
        <v>29</v>
      </c>
    </row>
    <row r="512" spans="1:28" x14ac:dyDescent="0.3">
      <c r="A512" s="63" t="s">
        <v>958</v>
      </c>
      <c r="B512" s="7" t="s">
        <v>164</v>
      </c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58"/>
    </row>
    <row r="513" spans="1:28" x14ac:dyDescent="0.3">
      <c r="A513" s="64"/>
      <c r="B513" s="8"/>
      <c r="C513" s="7" t="s">
        <v>75</v>
      </c>
      <c r="D513" s="21" t="s">
        <v>150</v>
      </c>
      <c r="E513" s="9">
        <v>595000</v>
      </c>
      <c r="F513" s="9">
        <v>0</v>
      </c>
      <c r="G513" s="8"/>
      <c r="H513" s="9">
        <f t="shared" ref="H513:H521" si="261">F513+G513</f>
        <v>0</v>
      </c>
      <c r="I513" s="8"/>
      <c r="J513" s="8"/>
      <c r="K513" s="8"/>
      <c r="L513" s="9"/>
      <c r="M513" s="9">
        <f t="shared" ref="M513:M521" si="262">H513+L513</f>
        <v>0</v>
      </c>
      <c r="N513" s="9">
        <v>477716.88</v>
      </c>
      <c r="O513" s="8"/>
      <c r="P513" s="9">
        <f t="shared" ref="P513:P521" si="263">N513+O513</f>
        <v>477716.88</v>
      </c>
      <c r="Q513" s="8"/>
      <c r="R513" s="8"/>
      <c r="S513" s="8"/>
      <c r="T513" s="9"/>
      <c r="U513" s="9">
        <f t="shared" ref="U513:U521" si="264">P513+T513</f>
        <v>477716.88</v>
      </c>
      <c r="V513" s="9">
        <f t="shared" ref="V513:V521" si="265">P513+H513</f>
        <v>477716.88</v>
      </c>
      <c r="W513" s="9">
        <f t="shared" ref="W513:W521" si="266">E513-V513</f>
        <v>117283.12</v>
      </c>
      <c r="X513" s="9">
        <f t="shared" ref="X513:X521" si="267">+H513+P513</f>
        <v>477716.88</v>
      </c>
      <c r="Y513" s="8"/>
      <c r="Z513" s="9">
        <f t="shared" ref="Z513:Z521" si="268">+E513-X513</f>
        <v>117283.12</v>
      </c>
      <c r="AA513" s="8">
        <f t="shared" ref="AA513:AA521" si="269">+M513+U513</f>
        <v>477716.88</v>
      </c>
      <c r="AB513" s="8">
        <f t="shared" ref="AB513:AB521" si="270">+E513-AA513</f>
        <v>117283.12</v>
      </c>
    </row>
    <row r="514" spans="1:28" x14ac:dyDescent="0.3">
      <c r="A514" s="64"/>
      <c r="B514" s="8"/>
      <c r="C514" s="7" t="s">
        <v>165</v>
      </c>
      <c r="D514" s="21" t="s">
        <v>166</v>
      </c>
      <c r="E514" s="9">
        <v>667077.38</v>
      </c>
      <c r="F514" s="9">
        <v>667077.38</v>
      </c>
      <c r="G514" s="8"/>
      <c r="H514" s="9">
        <f t="shared" si="261"/>
        <v>667077.38</v>
      </c>
      <c r="I514" s="8"/>
      <c r="J514" s="8"/>
      <c r="K514" s="8"/>
      <c r="L514" s="9"/>
      <c r="M514" s="9">
        <f t="shared" si="262"/>
        <v>667077.38</v>
      </c>
      <c r="N514" s="9">
        <v>0</v>
      </c>
      <c r="O514" s="8"/>
      <c r="P514" s="9">
        <f t="shared" si="263"/>
        <v>0</v>
      </c>
      <c r="Q514" s="8"/>
      <c r="R514" s="8"/>
      <c r="S514" s="8"/>
      <c r="T514" s="9"/>
      <c r="U514" s="9">
        <f t="shared" si="264"/>
        <v>0</v>
      </c>
      <c r="V514" s="9">
        <f t="shared" si="265"/>
        <v>667077.38</v>
      </c>
      <c r="W514" s="9">
        <f t="shared" si="266"/>
        <v>0</v>
      </c>
      <c r="X514" s="9">
        <f t="shared" si="267"/>
        <v>667077.38</v>
      </c>
      <c r="Y514" s="8"/>
      <c r="Z514" s="9">
        <f t="shared" si="268"/>
        <v>0</v>
      </c>
      <c r="AA514" s="8">
        <f t="shared" si="269"/>
        <v>667077.38</v>
      </c>
      <c r="AB514" s="8">
        <f t="shared" si="270"/>
        <v>0</v>
      </c>
    </row>
    <row r="515" spans="1:28" x14ac:dyDescent="0.3">
      <c r="A515" s="64"/>
      <c r="B515" s="8"/>
      <c r="C515" s="7" t="s">
        <v>167</v>
      </c>
      <c r="D515" s="15" t="s">
        <v>68</v>
      </c>
      <c r="E515" s="9">
        <v>159168.74</v>
      </c>
      <c r="F515" s="9">
        <v>95344.2</v>
      </c>
      <c r="G515" s="8"/>
      <c r="H515" s="9">
        <f t="shared" si="261"/>
        <v>95344.2</v>
      </c>
      <c r="I515" s="8"/>
      <c r="J515" s="8"/>
      <c r="K515" s="8"/>
      <c r="L515" s="9"/>
      <c r="M515" s="9">
        <f t="shared" si="262"/>
        <v>95344.2</v>
      </c>
      <c r="N515" s="9">
        <v>63824.54</v>
      </c>
      <c r="O515" s="8"/>
      <c r="P515" s="9">
        <f t="shared" si="263"/>
        <v>63824.54</v>
      </c>
      <c r="Q515" s="8"/>
      <c r="R515" s="8"/>
      <c r="S515" s="8"/>
      <c r="T515" s="9"/>
      <c r="U515" s="9">
        <f t="shared" si="264"/>
        <v>63824.54</v>
      </c>
      <c r="V515" s="9">
        <f t="shared" si="265"/>
        <v>159168.74</v>
      </c>
      <c r="W515" s="9">
        <f t="shared" si="266"/>
        <v>0</v>
      </c>
      <c r="X515" s="9">
        <f t="shared" si="267"/>
        <v>159168.74</v>
      </c>
      <c r="Y515" s="8"/>
      <c r="Z515" s="9">
        <f t="shared" si="268"/>
        <v>0</v>
      </c>
      <c r="AA515" s="8">
        <f t="shared" si="269"/>
        <v>159168.74</v>
      </c>
      <c r="AB515" s="8">
        <f t="shared" si="270"/>
        <v>0</v>
      </c>
    </row>
    <row r="516" spans="1:28" x14ac:dyDescent="0.3">
      <c r="A516" s="64"/>
      <c r="B516" s="8"/>
      <c r="C516" s="7" t="s">
        <v>55</v>
      </c>
      <c r="D516" s="15" t="s">
        <v>168</v>
      </c>
      <c r="E516" s="9">
        <v>4270428.4000000004</v>
      </c>
      <c r="F516" s="9">
        <v>0</v>
      </c>
      <c r="G516" s="8"/>
      <c r="H516" s="9">
        <f t="shared" si="261"/>
        <v>0</v>
      </c>
      <c r="I516" s="8"/>
      <c r="J516" s="8"/>
      <c r="K516" s="8"/>
      <c r="L516" s="9"/>
      <c r="M516" s="9">
        <f t="shared" si="262"/>
        <v>0</v>
      </c>
      <c r="N516" s="9">
        <v>4270428.4000000004</v>
      </c>
      <c r="O516" s="8"/>
      <c r="P516" s="9">
        <f t="shared" si="263"/>
        <v>4270428.4000000004</v>
      </c>
      <c r="Q516" s="8"/>
      <c r="R516" s="8"/>
      <c r="S516" s="8"/>
      <c r="T516" s="9"/>
      <c r="U516" s="9">
        <f t="shared" si="264"/>
        <v>4270428.4000000004</v>
      </c>
      <c r="V516" s="9">
        <f t="shared" si="265"/>
        <v>4270428.4000000004</v>
      </c>
      <c r="W516" s="9">
        <f t="shared" si="266"/>
        <v>0</v>
      </c>
      <c r="X516" s="9">
        <f t="shared" si="267"/>
        <v>4270428.4000000004</v>
      </c>
      <c r="Y516" s="8"/>
      <c r="Z516" s="9">
        <f t="shared" si="268"/>
        <v>0</v>
      </c>
      <c r="AA516" s="8">
        <f t="shared" si="269"/>
        <v>4270428.4000000004</v>
      </c>
      <c r="AB516" s="8">
        <f t="shared" si="270"/>
        <v>0</v>
      </c>
    </row>
    <row r="517" spans="1:28" x14ac:dyDescent="0.3">
      <c r="A517" s="64"/>
      <c r="B517" s="8"/>
      <c r="C517" s="7" t="s">
        <v>53</v>
      </c>
      <c r="D517" s="15" t="s">
        <v>54</v>
      </c>
      <c r="E517" s="9">
        <v>1953989</v>
      </c>
      <c r="F517" s="9">
        <v>0</v>
      </c>
      <c r="G517" s="8"/>
      <c r="H517" s="9">
        <f t="shared" si="261"/>
        <v>0</v>
      </c>
      <c r="I517" s="8"/>
      <c r="J517" s="8"/>
      <c r="K517" s="8"/>
      <c r="L517" s="9"/>
      <c r="M517" s="9">
        <f t="shared" si="262"/>
        <v>0</v>
      </c>
      <c r="N517" s="9">
        <v>1953989</v>
      </c>
      <c r="O517" s="8"/>
      <c r="P517" s="9">
        <f t="shared" si="263"/>
        <v>1953989</v>
      </c>
      <c r="Q517" s="8"/>
      <c r="R517" s="8"/>
      <c r="S517" s="8"/>
      <c r="T517" s="9"/>
      <c r="U517" s="9">
        <f t="shared" si="264"/>
        <v>1953989</v>
      </c>
      <c r="V517" s="9">
        <f t="shared" si="265"/>
        <v>1953989</v>
      </c>
      <c r="W517" s="9">
        <f t="shared" si="266"/>
        <v>0</v>
      </c>
      <c r="X517" s="9">
        <f t="shared" si="267"/>
        <v>1953989</v>
      </c>
      <c r="Y517" s="8"/>
      <c r="Z517" s="9">
        <f t="shared" si="268"/>
        <v>0</v>
      </c>
      <c r="AA517" s="8">
        <f t="shared" si="269"/>
        <v>1953989</v>
      </c>
      <c r="AB517" s="8">
        <f t="shared" si="270"/>
        <v>0</v>
      </c>
    </row>
    <row r="518" spans="1:28" x14ac:dyDescent="0.3">
      <c r="A518" s="64"/>
      <c r="B518" s="8"/>
      <c r="C518" s="7" t="s">
        <v>169</v>
      </c>
      <c r="D518" s="15" t="s">
        <v>54</v>
      </c>
      <c r="E518" s="9">
        <v>815350</v>
      </c>
      <c r="F518" s="9">
        <v>815350</v>
      </c>
      <c r="G518" s="8"/>
      <c r="H518" s="9">
        <f t="shared" si="261"/>
        <v>815350</v>
      </c>
      <c r="I518" s="8"/>
      <c r="J518" s="8"/>
      <c r="K518" s="8"/>
      <c r="L518" s="9"/>
      <c r="M518" s="9">
        <f t="shared" si="262"/>
        <v>815350</v>
      </c>
      <c r="N518" s="9">
        <v>0</v>
      </c>
      <c r="O518" s="8"/>
      <c r="P518" s="9">
        <f t="shared" si="263"/>
        <v>0</v>
      </c>
      <c r="Q518" s="8"/>
      <c r="R518" s="8"/>
      <c r="S518" s="8"/>
      <c r="T518" s="9"/>
      <c r="U518" s="9">
        <f t="shared" si="264"/>
        <v>0</v>
      </c>
      <c r="V518" s="9">
        <f t="shared" si="265"/>
        <v>815350</v>
      </c>
      <c r="W518" s="9">
        <f t="shared" si="266"/>
        <v>0</v>
      </c>
      <c r="X518" s="9">
        <f t="shared" si="267"/>
        <v>815350</v>
      </c>
      <c r="Y518" s="8"/>
      <c r="Z518" s="9">
        <f t="shared" si="268"/>
        <v>0</v>
      </c>
      <c r="AA518" s="8">
        <f t="shared" si="269"/>
        <v>815350</v>
      </c>
      <c r="AB518" s="8">
        <f t="shared" si="270"/>
        <v>0</v>
      </c>
    </row>
    <row r="519" spans="1:28" x14ac:dyDescent="0.3">
      <c r="A519" s="64"/>
      <c r="B519" s="8"/>
      <c r="C519" s="14" t="s">
        <v>109</v>
      </c>
      <c r="D519" s="21" t="s">
        <v>60</v>
      </c>
      <c r="E519" s="9">
        <v>2329439.12</v>
      </c>
      <c r="F519" s="11">
        <v>2329439.12</v>
      </c>
      <c r="G519" s="8"/>
      <c r="H519" s="9">
        <f t="shared" si="261"/>
        <v>2329439.12</v>
      </c>
      <c r="I519" s="8"/>
      <c r="J519" s="8"/>
      <c r="K519" s="8"/>
      <c r="L519" s="9"/>
      <c r="M519" s="9">
        <f t="shared" si="262"/>
        <v>2329439.12</v>
      </c>
      <c r="N519" s="9">
        <v>0</v>
      </c>
      <c r="O519" s="8"/>
      <c r="P519" s="9">
        <f t="shared" si="263"/>
        <v>0</v>
      </c>
      <c r="Q519" s="8"/>
      <c r="R519" s="8"/>
      <c r="S519" s="8"/>
      <c r="T519" s="9"/>
      <c r="U519" s="9">
        <f t="shared" si="264"/>
        <v>0</v>
      </c>
      <c r="V519" s="9">
        <f t="shared" si="265"/>
        <v>2329439.12</v>
      </c>
      <c r="W519" s="9">
        <f t="shared" si="266"/>
        <v>0</v>
      </c>
      <c r="X519" s="9">
        <f t="shared" si="267"/>
        <v>2329439.12</v>
      </c>
      <c r="Y519" s="8"/>
      <c r="Z519" s="9">
        <f t="shared" si="268"/>
        <v>0</v>
      </c>
      <c r="AA519" s="8">
        <f t="shared" si="269"/>
        <v>2329439.12</v>
      </c>
      <c r="AB519" s="8">
        <f t="shared" si="270"/>
        <v>0</v>
      </c>
    </row>
    <row r="520" spans="1:28" x14ac:dyDescent="0.3">
      <c r="A520" s="64"/>
      <c r="B520" s="8"/>
      <c r="C520" s="14" t="s">
        <v>930</v>
      </c>
      <c r="D520" s="24" t="s">
        <v>1072</v>
      </c>
      <c r="E520" s="9">
        <v>304000</v>
      </c>
      <c r="F520" s="11">
        <v>304000</v>
      </c>
      <c r="G520" s="8"/>
      <c r="H520" s="9">
        <f>+F520+G520</f>
        <v>304000</v>
      </c>
      <c r="I520" s="8"/>
      <c r="J520" s="8"/>
      <c r="K520" s="8"/>
      <c r="L520" s="9"/>
      <c r="M520" s="9">
        <f t="shared" si="262"/>
        <v>304000</v>
      </c>
      <c r="N520" s="9">
        <v>0</v>
      </c>
      <c r="O520" s="8"/>
      <c r="P520" s="9">
        <f t="shared" si="263"/>
        <v>0</v>
      </c>
      <c r="Q520" s="8"/>
      <c r="R520" s="8"/>
      <c r="S520" s="8"/>
      <c r="T520" s="9"/>
      <c r="U520" s="9">
        <f t="shared" si="264"/>
        <v>0</v>
      </c>
      <c r="V520" s="9">
        <f t="shared" si="265"/>
        <v>304000</v>
      </c>
      <c r="W520" s="9">
        <f t="shared" si="266"/>
        <v>0</v>
      </c>
      <c r="X520" s="9">
        <f t="shared" si="267"/>
        <v>304000</v>
      </c>
      <c r="Y520" s="8"/>
      <c r="Z520" s="9">
        <f t="shared" si="268"/>
        <v>0</v>
      </c>
      <c r="AA520" s="8">
        <f t="shared" si="269"/>
        <v>304000</v>
      </c>
      <c r="AB520" s="8">
        <f t="shared" si="270"/>
        <v>0</v>
      </c>
    </row>
    <row r="521" spans="1:28" x14ac:dyDescent="0.3">
      <c r="A521" s="64"/>
      <c r="B521" s="8"/>
      <c r="C521" s="7" t="s">
        <v>170</v>
      </c>
      <c r="D521" s="24" t="s">
        <v>61</v>
      </c>
      <c r="E521" s="9">
        <v>366000</v>
      </c>
      <c r="F521" s="8">
        <v>366000</v>
      </c>
      <c r="G521" s="8"/>
      <c r="H521" s="9">
        <f t="shared" si="261"/>
        <v>366000</v>
      </c>
      <c r="I521" s="8"/>
      <c r="J521" s="8"/>
      <c r="K521" s="8"/>
      <c r="L521" s="9"/>
      <c r="M521" s="9">
        <f t="shared" si="262"/>
        <v>366000</v>
      </c>
      <c r="N521" s="9">
        <v>0</v>
      </c>
      <c r="O521" s="8"/>
      <c r="P521" s="9">
        <f t="shared" si="263"/>
        <v>0</v>
      </c>
      <c r="Q521" s="8"/>
      <c r="R521" s="8"/>
      <c r="S521" s="8"/>
      <c r="T521" s="9"/>
      <c r="U521" s="9">
        <f t="shared" si="264"/>
        <v>0</v>
      </c>
      <c r="V521" s="9">
        <f t="shared" si="265"/>
        <v>366000</v>
      </c>
      <c r="W521" s="9">
        <f t="shared" si="266"/>
        <v>0</v>
      </c>
      <c r="X521" s="9">
        <f t="shared" si="267"/>
        <v>366000</v>
      </c>
      <c r="Y521" s="8"/>
      <c r="Z521" s="9">
        <f t="shared" si="268"/>
        <v>0</v>
      </c>
      <c r="AA521" s="8">
        <f t="shared" si="269"/>
        <v>366000</v>
      </c>
      <c r="AB521" s="8">
        <f t="shared" si="270"/>
        <v>0</v>
      </c>
    </row>
    <row r="522" spans="1:28" x14ac:dyDescent="0.3">
      <c r="A522" s="64"/>
      <c r="B522" s="8"/>
      <c r="C522" s="9"/>
      <c r="D522" s="9"/>
      <c r="E522" s="17" t="s">
        <v>29</v>
      </c>
      <c r="F522" s="17" t="s">
        <v>29</v>
      </c>
      <c r="G522" s="17" t="s">
        <v>29</v>
      </c>
      <c r="H522" s="17" t="s">
        <v>29</v>
      </c>
      <c r="I522" s="17" t="s">
        <v>29</v>
      </c>
      <c r="J522" s="17" t="s">
        <v>29</v>
      </c>
      <c r="K522" s="17" t="s">
        <v>29</v>
      </c>
      <c r="L522" s="17" t="s">
        <v>29</v>
      </c>
      <c r="M522" s="17" t="s">
        <v>29</v>
      </c>
      <c r="N522" s="17" t="s">
        <v>29</v>
      </c>
      <c r="O522" s="17" t="s">
        <v>29</v>
      </c>
      <c r="P522" s="17" t="s">
        <v>29</v>
      </c>
      <c r="Q522" s="17" t="s">
        <v>29</v>
      </c>
      <c r="R522" s="17" t="s">
        <v>29</v>
      </c>
      <c r="S522" s="17" t="s">
        <v>29</v>
      </c>
      <c r="T522" s="17" t="s">
        <v>29</v>
      </c>
      <c r="U522" s="17" t="s">
        <v>29</v>
      </c>
      <c r="V522" s="17" t="s">
        <v>29</v>
      </c>
      <c r="W522" s="17" t="s">
        <v>29</v>
      </c>
      <c r="X522" s="17" t="s">
        <v>29</v>
      </c>
      <c r="Y522" s="17" t="s">
        <v>29</v>
      </c>
      <c r="Z522" s="17" t="s">
        <v>29</v>
      </c>
      <c r="AA522" s="17" t="s">
        <v>29</v>
      </c>
      <c r="AB522" s="17" t="s">
        <v>29</v>
      </c>
    </row>
    <row r="523" spans="1:28" x14ac:dyDescent="0.3">
      <c r="A523" s="64"/>
      <c r="B523" s="8"/>
      <c r="C523" s="9"/>
      <c r="D523" s="9"/>
      <c r="E523" s="9">
        <f t="shared" ref="E523:AB523" si="271">SUM(E513:E521)</f>
        <v>11460452.640000001</v>
      </c>
      <c r="F523" s="9">
        <f t="shared" si="271"/>
        <v>4577210.7</v>
      </c>
      <c r="G523" s="9">
        <f t="shared" si="271"/>
        <v>0</v>
      </c>
      <c r="H523" s="9">
        <f t="shared" si="271"/>
        <v>4577210.7</v>
      </c>
      <c r="I523" s="9">
        <f t="shared" si="271"/>
        <v>0</v>
      </c>
      <c r="J523" s="9">
        <f t="shared" si="271"/>
        <v>0</v>
      </c>
      <c r="K523" s="9">
        <f t="shared" si="271"/>
        <v>0</v>
      </c>
      <c r="L523" s="9">
        <f t="shared" si="271"/>
        <v>0</v>
      </c>
      <c r="M523" s="9">
        <f t="shared" si="271"/>
        <v>4577210.7</v>
      </c>
      <c r="N523" s="9">
        <f t="shared" si="271"/>
        <v>6765958.8200000003</v>
      </c>
      <c r="O523" s="9">
        <f t="shared" si="271"/>
        <v>0</v>
      </c>
      <c r="P523" s="9">
        <f t="shared" si="271"/>
        <v>6765958.8200000003</v>
      </c>
      <c r="Q523" s="9">
        <f t="shared" si="271"/>
        <v>0</v>
      </c>
      <c r="R523" s="9">
        <f t="shared" si="271"/>
        <v>0</v>
      </c>
      <c r="S523" s="9">
        <f t="shared" si="271"/>
        <v>0</v>
      </c>
      <c r="T523" s="9">
        <f t="shared" si="271"/>
        <v>0</v>
      </c>
      <c r="U523" s="9">
        <f t="shared" si="271"/>
        <v>6765958.8200000003</v>
      </c>
      <c r="V523" s="9">
        <f t="shared" si="271"/>
        <v>11343169.52</v>
      </c>
      <c r="W523" s="9">
        <f t="shared" si="271"/>
        <v>117283.12</v>
      </c>
      <c r="X523" s="9">
        <f t="shared" si="271"/>
        <v>11343169.52</v>
      </c>
      <c r="Y523" s="9">
        <f t="shared" si="271"/>
        <v>0</v>
      </c>
      <c r="Z523" s="9">
        <f t="shared" si="271"/>
        <v>117283.12</v>
      </c>
      <c r="AA523" s="9">
        <f t="shared" si="271"/>
        <v>11343169.52</v>
      </c>
      <c r="AB523" s="9">
        <f t="shared" si="271"/>
        <v>117283.12</v>
      </c>
    </row>
    <row r="524" spans="1:28" x14ac:dyDescent="0.3">
      <c r="A524" s="64"/>
      <c r="B524" s="8"/>
      <c r="C524" s="8"/>
      <c r="D524" s="8"/>
      <c r="E524" s="17" t="s">
        <v>29</v>
      </c>
      <c r="F524" s="17" t="s">
        <v>29</v>
      </c>
      <c r="G524" s="17" t="s">
        <v>29</v>
      </c>
      <c r="H524" s="17" t="s">
        <v>29</v>
      </c>
      <c r="I524" s="17" t="s">
        <v>29</v>
      </c>
      <c r="J524" s="17" t="s">
        <v>29</v>
      </c>
      <c r="K524" s="17" t="s">
        <v>29</v>
      </c>
      <c r="L524" s="17" t="s">
        <v>29</v>
      </c>
      <c r="M524" s="17" t="s">
        <v>29</v>
      </c>
      <c r="N524" s="17" t="s">
        <v>29</v>
      </c>
      <c r="O524" s="17" t="s">
        <v>29</v>
      </c>
      <c r="P524" s="17" t="s">
        <v>29</v>
      </c>
      <c r="Q524" s="17" t="s">
        <v>29</v>
      </c>
      <c r="R524" s="17" t="s">
        <v>29</v>
      </c>
      <c r="S524" s="17" t="s">
        <v>29</v>
      </c>
      <c r="T524" s="17" t="s">
        <v>29</v>
      </c>
      <c r="U524" s="17" t="s">
        <v>29</v>
      </c>
      <c r="V524" s="17" t="s">
        <v>29</v>
      </c>
      <c r="W524" s="17" t="s">
        <v>29</v>
      </c>
      <c r="X524" s="17" t="s">
        <v>29</v>
      </c>
      <c r="Y524" s="17" t="s">
        <v>29</v>
      </c>
      <c r="Z524" s="17" t="s">
        <v>29</v>
      </c>
      <c r="AA524" s="17" t="s">
        <v>29</v>
      </c>
      <c r="AB524" s="17" t="s">
        <v>29</v>
      </c>
    </row>
    <row r="525" spans="1:28" x14ac:dyDescent="0.3">
      <c r="A525" s="63" t="s">
        <v>959</v>
      </c>
      <c r="B525" s="7" t="s">
        <v>171</v>
      </c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58"/>
    </row>
    <row r="526" spans="1:28" x14ac:dyDescent="0.3">
      <c r="A526" s="64"/>
      <c r="B526" s="8"/>
      <c r="C526" s="7" t="s">
        <v>75</v>
      </c>
      <c r="D526" s="21" t="s">
        <v>76</v>
      </c>
      <c r="E526" s="9">
        <v>4522000</v>
      </c>
      <c r="F526" s="9">
        <v>868226.5</v>
      </c>
      <c r="G526" s="8"/>
      <c r="H526" s="9">
        <f>F526+G526</f>
        <v>868226.5</v>
      </c>
      <c r="I526" s="8"/>
      <c r="J526" s="8"/>
      <c r="K526" s="8"/>
      <c r="L526" s="9"/>
      <c r="M526" s="9">
        <f>H526+L526</f>
        <v>868226.5</v>
      </c>
      <c r="N526" s="9">
        <v>2367262.62</v>
      </c>
      <c r="O526" s="8"/>
      <c r="P526" s="9">
        <f>N526+O526</f>
        <v>2367262.62</v>
      </c>
      <c r="Q526" s="8"/>
      <c r="R526" s="8"/>
      <c r="S526" s="8"/>
      <c r="T526" s="9"/>
      <c r="U526" s="9">
        <f>P526+T526</f>
        <v>2367262.62</v>
      </c>
      <c r="V526" s="9">
        <f>P526+H526</f>
        <v>3235489.12</v>
      </c>
      <c r="W526" s="9">
        <f>E526-V526</f>
        <v>1286510.8799999999</v>
      </c>
      <c r="X526" s="9">
        <f>+H526+P526</f>
        <v>3235489.12</v>
      </c>
      <c r="Y526" s="8"/>
      <c r="Z526" s="9">
        <f>+E526-X526</f>
        <v>1286510.8799999999</v>
      </c>
      <c r="AA526" s="8">
        <f>+M526+U526</f>
        <v>3235489.12</v>
      </c>
      <c r="AB526" s="8">
        <f>+E526-AA526</f>
        <v>1286510.8799999999</v>
      </c>
    </row>
    <row r="527" spans="1:28" x14ac:dyDescent="0.3">
      <c r="A527" s="64"/>
      <c r="B527" s="8"/>
      <c r="C527" s="7" t="s">
        <v>172</v>
      </c>
      <c r="D527" s="21" t="s">
        <v>150</v>
      </c>
      <c r="E527" s="9">
        <v>167089</v>
      </c>
      <c r="F527" s="9">
        <v>167089</v>
      </c>
      <c r="G527" s="8"/>
      <c r="H527" s="9">
        <f>F527+G527</f>
        <v>167089</v>
      </c>
      <c r="I527" s="8"/>
      <c r="J527" s="8"/>
      <c r="K527" s="8"/>
      <c r="L527" s="9"/>
      <c r="M527" s="9">
        <f>H527+L527</f>
        <v>167089</v>
      </c>
      <c r="N527" s="9">
        <v>0</v>
      </c>
      <c r="O527" s="8"/>
      <c r="P527" s="9">
        <f>N527+O527</f>
        <v>0</v>
      </c>
      <c r="Q527" s="8"/>
      <c r="R527" s="8"/>
      <c r="S527" s="8"/>
      <c r="T527" s="9"/>
      <c r="U527" s="9">
        <f>P527+T527</f>
        <v>0</v>
      </c>
      <c r="V527" s="9">
        <f>P527+H527</f>
        <v>167089</v>
      </c>
      <c r="W527" s="9">
        <f>E527-V527</f>
        <v>0</v>
      </c>
      <c r="X527" s="9">
        <f>+H527+P527</f>
        <v>167089</v>
      </c>
      <c r="Y527" s="8"/>
      <c r="Z527" s="9">
        <f>+E527-X527</f>
        <v>0</v>
      </c>
      <c r="AA527" s="8">
        <f>+M527+U527</f>
        <v>167089</v>
      </c>
      <c r="AB527" s="8">
        <f>+E527-AA527</f>
        <v>0</v>
      </c>
    </row>
    <row r="528" spans="1:28" x14ac:dyDescent="0.3">
      <c r="A528" s="64"/>
      <c r="B528" s="8"/>
      <c r="C528" s="8"/>
      <c r="D528" s="15" t="s">
        <v>173</v>
      </c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8" x14ac:dyDescent="0.3">
      <c r="A529" s="64"/>
      <c r="B529" s="8"/>
      <c r="C529" s="7" t="s">
        <v>174</v>
      </c>
      <c r="D529" s="14" t="s">
        <v>175</v>
      </c>
      <c r="E529" s="9">
        <v>6238422.4500000002</v>
      </c>
      <c r="F529" s="9">
        <v>6054016.7300000004</v>
      </c>
      <c r="G529" s="8"/>
      <c r="H529" s="9">
        <f>F529+G529</f>
        <v>6054016.7300000004</v>
      </c>
      <c r="I529" s="8"/>
      <c r="J529" s="8"/>
      <c r="K529" s="8"/>
      <c r="L529" s="9"/>
      <c r="M529" s="9">
        <f t="shared" ref="M529:M534" si="272">H529+L529</f>
        <v>6054016.7300000004</v>
      </c>
      <c r="N529" s="9">
        <v>184405.72</v>
      </c>
      <c r="O529" s="8"/>
      <c r="P529" s="9">
        <f t="shared" ref="P529:P534" si="273">N529+O529</f>
        <v>184405.72</v>
      </c>
      <c r="Q529" s="9"/>
      <c r="R529" s="8"/>
      <c r="S529" s="9"/>
      <c r="T529" s="9"/>
      <c r="U529" s="9">
        <f t="shared" ref="U529:U534" si="274">P529+T529</f>
        <v>184405.72</v>
      </c>
      <c r="V529" s="9">
        <f t="shared" ref="V529:V534" si="275">P529+H529</f>
        <v>6238422.4500000002</v>
      </c>
      <c r="W529" s="9">
        <f t="shared" ref="W529:W534" si="276">E529-V529</f>
        <v>0</v>
      </c>
      <c r="X529" s="9">
        <f t="shared" ref="X529:X534" si="277">+H529+P529</f>
        <v>6238422.4500000002</v>
      </c>
      <c r="Y529" s="8"/>
      <c r="Z529" s="9">
        <f t="shared" ref="Z529:Z534" si="278">+E529-X529</f>
        <v>0</v>
      </c>
      <c r="AA529" s="8">
        <f t="shared" ref="AA529:AA534" si="279">+M529+U529</f>
        <v>6238422.4500000002</v>
      </c>
      <c r="AB529" s="8">
        <f t="shared" ref="AB529:AB534" si="280">+E529-AA529</f>
        <v>0</v>
      </c>
    </row>
    <row r="530" spans="1:28" x14ac:dyDescent="0.3">
      <c r="A530" s="64"/>
      <c r="B530" s="8"/>
      <c r="C530" s="7" t="s">
        <v>55</v>
      </c>
      <c r="D530" s="15" t="s">
        <v>119</v>
      </c>
      <c r="E530" s="9">
        <v>11277405.25</v>
      </c>
      <c r="F530" s="9">
        <v>0</v>
      </c>
      <c r="G530" s="8"/>
      <c r="H530" s="9">
        <f>F530+G530</f>
        <v>0</v>
      </c>
      <c r="I530" s="8"/>
      <c r="J530" s="8"/>
      <c r="K530" s="8"/>
      <c r="L530" s="9"/>
      <c r="M530" s="9">
        <f t="shared" si="272"/>
        <v>0</v>
      </c>
      <c r="N530" s="9">
        <v>11277405.25</v>
      </c>
      <c r="O530" s="8"/>
      <c r="P530" s="9">
        <f t="shared" si="273"/>
        <v>11277405.25</v>
      </c>
      <c r="Q530" s="8"/>
      <c r="R530" s="8"/>
      <c r="S530" s="8"/>
      <c r="T530" s="9"/>
      <c r="U530" s="9">
        <f t="shared" si="274"/>
        <v>11277405.25</v>
      </c>
      <c r="V530" s="9">
        <f t="shared" si="275"/>
        <v>11277405.25</v>
      </c>
      <c r="W530" s="9">
        <f t="shared" si="276"/>
        <v>0</v>
      </c>
      <c r="X530" s="9">
        <f t="shared" si="277"/>
        <v>11277405.25</v>
      </c>
      <c r="Y530" s="8"/>
      <c r="Z530" s="9">
        <f t="shared" si="278"/>
        <v>0</v>
      </c>
      <c r="AA530" s="8">
        <f t="shared" si="279"/>
        <v>11277405.25</v>
      </c>
      <c r="AB530" s="8">
        <f t="shared" si="280"/>
        <v>0</v>
      </c>
    </row>
    <row r="531" spans="1:28" x14ac:dyDescent="0.3">
      <c r="A531" s="64"/>
      <c r="B531" s="8"/>
      <c r="C531" s="7" t="s">
        <v>53</v>
      </c>
      <c r="D531" s="15" t="s">
        <v>54</v>
      </c>
      <c r="E531" s="9">
        <v>1953989</v>
      </c>
      <c r="F531" s="9">
        <v>0</v>
      </c>
      <c r="G531" s="8"/>
      <c r="H531" s="9">
        <f>F531+G531</f>
        <v>0</v>
      </c>
      <c r="I531" s="8"/>
      <c r="J531" s="8"/>
      <c r="K531" s="8"/>
      <c r="L531" s="9"/>
      <c r="M531" s="9">
        <f t="shared" si="272"/>
        <v>0</v>
      </c>
      <c r="N531" s="9">
        <v>1953989</v>
      </c>
      <c r="O531" s="8"/>
      <c r="P531" s="9">
        <f t="shared" si="273"/>
        <v>1953989</v>
      </c>
      <c r="Q531" s="8"/>
      <c r="R531" s="8"/>
      <c r="S531" s="8"/>
      <c r="T531" s="9"/>
      <c r="U531" s="9">
        <f t="shared" si="274"/>
        <v>1953989</v>
      </c>
      <c r="V531" s="9">
        <f t="shared" si="275"/>
        <v>1953989</v>
      </c>
      <c r="W531" s="9">
        <f t="shared" si="276"/>
        <v>0</v>
      </c>
      <c r="X531" s="9">
        <f t="shared" si="277"/>
        <v>1953989</v>
      </c>
      <c r="Y531" s="8"/>
      <c r="Z531" s="9">
        <f t="shared" si="278"/>
        <v>0</v>
      </c>
      <c r="AA531" s="8">
        <f t="shared" si="279"/>
        <v>1953989</v>
      </c>
      <c r="AB531" s="8">
        <f t="shared" si="280"/>
        <v>0</v>
      </c>
    </row>
    <row r="532" spans="1:28" x14ac:dyDescent="0.3">
      <c r="A532" s="64"/>
      <c r="B532" s="8"/>
      <c r="C532" s="7" t="s">
        <v>930</v>
      </c>
      <c r="D532" s="16" t="s">
        <v>1072</v>
      </c>
      <c r="E532" s="9">
        <v>294802.48</v>
      </c>
      <c r="F532" s="9">
        <v>294802.48</v>
      </c>
      <c r="G532" s="8"/>
      <c r="H532" s="9">
        <f>+F532+G532</f>
        <v>294802.48</v>
      </c>
      <c r="I532" s="8"/>
      <c r="J532" s="8"/>
      <c r="K532" s="8"/>
      <c r="L532" s="9"/>
      <c r="M532" s="9">
        <f t="shared" si="272"/>
        <v>294802.48</v>
      </c>
      <c r="N532" s="9">
        <v>0</v>
      </c>
      <c r="O532" s="8"/>
      <c r="P532" s="9">
        <f t="shared" si="273"/>
        <v>0</v>
      </c>
      <c r="Q532" s="8"/>
      <c r="R532" s="8"/>
      <c r="S532" s="8"/>
      <c r="T532" s="9"/>
      <c r="U532" s="9">
        <f t="shared" si="274"/>
        <v>0</v>
      </c>
      <c r="V532" s="9">
        <f t="shared" si="275"/>
        <v>294802.48</v>
      </c>
      <c r="W532" s="9">
        <f t="shared" si="276"/>
        <v>0</v>
      </c>
      <c r="X532" s="9">
        <f t="shared" si="277"/>
        <v>294802.48</v>
      </c>
      <c r="Y532" s="8"/>
      <c r="Z532" s="9">
        <f t="shared" si="278"/>
        <v>0</v>
      </c>
      <c r="AA532" s="8">
        <f t="shared" si="279"/>
        <v>294802.48</v>
      </c>
      <c r="AB532" s="8">
        <f t="shared" si="280"/>
        <v>0</v>
      </c>
    </row>
    <row r="533" spans="1:28" x14ac:dyDescent="0.3">
      <c r="A533" s="64"/>
      <c r="B533" s="8"/>
      <c r="C533" s="7" t="s">
        <v>57</v>
      </c>
      <c r="D533" s="15" t="s">
        <v>60</v>
      </c>
      <c r="E533" s="9">
        <v>378761</v>
      </c>
      <c r="F533" s="11">
        <v>378761</v>
      </c>
      <c r="G533" s="8"/>
      <c r="H533" s="9">
        <f>F533+G533</f>
        <v>378761</v>
      </c>
      <c r="I533" s="8"/>
      <c r="J533" s="8"/>
      <c r="K533" s="8"/>
      <c r="L533" s="9"/>
      <c r="M533" s="9">
        <f t="shared" si="272"/>
        <v>378761</v>
      </c>
      <c r="N533" s="9">
        <v>0</v>
      </c>
      <c r="O533" s="8"/>
      <c r="P533" s="9">
        <f t="shared" si="273"/>
        <v>0</v>
      </c>
      <c r="Q533" s="8"/>
      <c r="R533" s="8"/>
      <c r="S533" s="8"/>
      <c r="T533" s="9"/>
      <c r="U533" s="9">
        <f t="shared" si="274"/>
        <v>0</v>
      </c>
      <c r="V533" s="9">
        <f t="shared" si="275"/>
        <v>378761</v>
      </c>
      <c r="W533" s="9">
        <f t="shared" si="276"/>
        <v>0</v>
      </c>
      <c r="X533" s="9">
        <f t="shared" si="277"/>
        <v>378761</v>
      </c>
      <c r="Y533" s="8"/>
      <c r="Z533" s="9">
        <f t="shared" si="278"/>
        <v>0</v>
      </c>
      <c r="AA533" s="8">
        <f t="shared" si="279"/>
        <v>378761</v>
      </c>
      <c r="AB533" s="8">
        <f t="shared" si="280"/>
        <v>0</v>
      </c>
    </row>
    <row r="534" spans="1:28" x14ac:dyDescent="0.3">
      <c r="A534" s="64"/>
      <c r="B534" s="8"/>
      <c r="C534" s="14" t="s">
        <v>109</v>
      </c>
      <c r="D534" s="21" t="s">
        <v>60</v>
      </c>
      <c r="E534" s="9">
        <v>2500000</v>
      </c>
      <c r="F534" s="11">
        <v>2500000</v>
      </c>
      <c r="G534" s="8"/>
      <c r="H534" s="9">
        <f>F534+G534</f>
        <v>2500000</v>
      </c>
      <c r="I534" s="8"/>
      <c r="J534" s="8"/>
      <c r="K534" s="8"/>
      <c r="L534" s="9"/>
      <c r="M534" s="9">
        <f t="shared" si="272"/>
        <v>2500000</v>
      </c>
      <c r="N534" s="9">
        <v>0</v>
      </c>
      <c r="O534" s="8"/>
      <c r="P534" s="9">
        <f t="shared" si="273"/>
        <v>0</v>
      </c>
      <c r="Q534" s="8"/>
      <c r="R534" s="8"/>
      <c r="S534" s="8"/>
      <c r="T534" s="9"/>
      <c r="U534" s="9">
        <f t="shared" si="274"/>
        <v>0</v>
      </c>
      <c r="V534" s="9">
        <f t="shared" si="275"/>
        <v>2500000</v>
      </c>
      <c r="W534" s="9">
        <f t="shared" si="276"/>
        <v>0</v>
      </c>
      <c r="X534" s="9">
        <f t="shared" si="277"/>
        <v>2500000</v>
      </c>
      <c r="Y534" s="8"/>
      <c r="Z534" s="9">
        <f t="shared" si="278"/>
        <v>0</v>
      </c>
      <c r="AA534" s="8">
        <f t="shared" si="279"/>
        <v>2500000</v>
      </c>
      <c r="AB534" s="8">
        <f t="shared" si="280"/>
        <v>0</v>
      </c>
    </row>
    <row r="535" spans="1:28" x14ac:dyDescent="0.3">
      <c r="A535" s="64"/>
      <c r="B535" s="8"/>
      <c r="C535" s="9"/>
      <c r="D535" s="9"/>
      <c r="E535" s="17" t="s">
        <v>29</v>
      </c>
      <c r="F535" s="17" t="s">
        <v>29</v>
      </c>
      <c r="G535" s="17" t="s">
        <v>29</v>
      </c>
      <c r="H535" s="17" t="s">
        <v>29</v>
      </c>
      <c r="I535" s="17" t="s">
        <v>29</v>
      </c>
      <c r="J535" s="17" t="s">
        <v>29</v>
      </c>
      <c r="K535" s="17" t="s">
        <v>29</v>
      </c>
      <c r="L535" s="17" t="s">
        <v>29</v>
      </c>
      <c r="M535" s="17" t="s">
        <v>29</v>
      </c>
      <c r="N535" s="17" t="s">
        <v>29</v>
      </c>
      <c r="O535" s="17" t="s">
        <v>29</v>
      </c>
      <c r="P535" s="17" t="s">
        <v>29</v>
      </c>
      <c r="Q535" s="17" t="s">
        <v>29</v>
      </c>
      <c r="R535" s="17" t="s">
        <v>29</v>
      </c>
      <c r="S535" s="17" t="s">
        <v>29</v>
      </c>
      <c r="T535" s="17" t="s">
        <v>29</v>
      </c>
      <c r="U535" s="17" t="s">
        <v>29</v>
      </c>
      <c r="V535" s="17" t="s">
        <v>29</v>
      </c>
      <c r="W535" s="17" t="s">
        <v>29</v>
      </c>
      <c r="X535" s="17" t="s">
        <v>29</v>
      </c>
      <c r="Y535" s="17" t="s">
        <v>29</v>
      </c>
      <c r="Z535" s="17" t="s">
        <v>29</v>
      </c>
      <c r="AA535" s="17" t="s">
        <v>29</v>
      </c>
      <c r="AB535" s="17" t="s">
        <v>29</v>
      </c>
    </row>
    <row r="536" spans="1:28" x14ac:dyDescent="0.3">
      <c r="A536" s="64"/>
      <c r="B536" s="8"/>
      <c r="C536" s="8"/>
      <c r="D536" s="8"/>
      <c r="E536" s="9">
        <f t="shared" ref="E536:AB536" si="281">SUM(E526:E534)</f>
        <v>27332469.18</v>
      </c>
      <c r="F536" s="9">
        <f t="shared" si="281"/>
        <v>10262895.710000001</v>
      </c>
      <c r="G536" s="9">
        <f t="shared" si="281"/>
        <v>0</v>
      </c>
      <c r="H536" s="9">
        <f t="shared" si="281"/>
        <v>10262895.710000001</v>
      </c>
      <c r="I536" s="9">
        <f t="shared" si="281"/>
        <v>0</v>
      </c>
      <c r="J536" s="9">
        <f t="shared" si="281"/>
        <v>0</v>
      </c>
      <c r="K536" s="9">
        <f t="shared" si="281"/>
        <v>0</v>
      </c>
      <c r="L536" s="9">
        <f t="shared" si="281"/>
        <v>0</v>
      </c>
      <c r="M536" s="9">
        <f t="shared" si="281"/>
        <v>10262895.710000001</v>
      </c>
      <c r="N536" s="9">
        <f t="shared" si="281"/>
        <v>15783062.59</v>
      </c>
      <c r="O536" s="9">
        <f t="shared" si="281"/>
        <v>0</v>
      </c>
      <c r="P536" s="9">
        <f t="shared" si="281"/>
        <v>15783062.59</v>
      </c>
      <c r="Q536" s="9">
        <f t="shared" si="281"/>
        <v>0</v>
      </c>
      <c r="R536" s="9">
        <f t="shared" si="281"/>
        <v>0</v>
      </c>
      <c r="S536" s="9">
        <f t="shared" si="281"/>
        <v>0</v>
      </c>
      <c r="T536" s="9">
        <f t="shared" si="281"/>
        <v>0</v>
      </c>
      <c r="U536" s="9">
        <f t="shared" si="281"/>
        <v>15783062.59</v>
      </c>
      <c r="V536" s="9">
        <f t="shared" si="281"/>
        <v>26045958.300000001</v>
      </c>
      <c r="W536" s="9">
        <f t="shared" si="281"/>
        <v>1286510.8799999999</v>
      </c>
      <c r="X536" s="9">
        <f t="shared" si="281"/>
        <v>26045958.300000001</v>
      </c>
      <c r="Y536" s="9">
        <f t="shared" si="281"/>
        <v>0</v>
      </c>
      <c r="Z536" s="9">
        <f t="shared" si="281"/>
        <v>1286510.8799999999</v>
      </c>
      <c r="AA536" s="9">
        <f t="shared" si="281"/>
        <v>26045958.300000001</v>
      </c>
      <c r="AB536" s="9">
        <f t="shared" si="281"/>
        <v>1286510.8799999999</v>
      </c>
    </row>
    <row r="537" spans="1:28" x14ac:dyDescent="0.3">
      <c r="A537" s="64"/>
      <c r="B537" s="8"/>
      <c r="C537" s="8"/>
      <c r="D537" s="8"/>
      <c r="E537" s="17" t="s">
        <v>29</v>
      </c>
      <c r="F537" s="17" t="s">
        <v>29</v>
      </c>
      <c r="G537" s="17" t="s">
        <v>29</v>
      </c>
      <c r="H537" s="17" t="s">
        <v>29</v>
      </c>
      <c r="I537" s="17" t="s">
        <v>29</v>
      </c>
      <c r="J537" s="17" t="s">
        <v>29</v>
      </c>
      <c r="K537" s="17" t="s">
        <v>29</v>
      </c>
      <c r="L537" s="17" t="s">
        <v>29</v>
      </c>
      <c r="M537" s="17" t="s">
        <v>29</v>
      </c>
      <c r="N537" s="17" t="s">
        <v>29</v>
      </c>
      <c r="O537" s="17" t="s">
        <v>29</v>
      </c>
      <c r="P537" s="17" t="s">
        <v>29</v>
      </c>
      <c r="Q537" s="17" t="s">
        <v>29</v>
      </c>
      <c r="R537" s="17" t="s">
        <v>29</v>
      </c>
      <c r="S537" s="17" t="s">
        <v>29</v>
      </c>
      <c r="T537" s="17" t="s">
        <v>29</v>
      </c>
      <c r="U537" s="17" t="s">
        <v>29</v>
      </c>
      <c r="V537" s="17" t="s">
        <v>29</v>
      </c>
      <c r="W537" s="17" t="s">
        <v>29</v>
      </c>
      <c r="X537" s="17" t="s">
        <v>29</v>
      </c>
      <c r="Y537" s="17" t="s">
        <v>29</v>
      </c>
      <c r="Z537" s="17" t="s">
        <v>29</v>
      </c>
      <c r="AA537" s="17" t="s">
        <v>29</v>
      </c>
      <c r="AB537" s="17" t="s">
        <v>29</v>
      </c>
    </row>
    <row r="538" spans="1:28" x14ac:dyDescent="0.3">
      <c r="A538" s="63" t="s">
        <v>960</v>
      </c>
      <c r="B538" s="7" t="s">
        <v>176</v>
      </c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8" x14ac:dyDescent="0.3">
      <c r="A539" s="64"/>
      <c r="B539" s="8"/>
      <c r="C539" s="7" t="s">
        <v>165</v>
      </c>
      <c r="D539" s="21" t="s">
        <v>166</v>
      </c>
      <c r="E539" s="9">
        <v>245233.34</v>
      </c>
      <c r="F539" s="9">
        <v>245233.34</v>
      </c>
      <c r="G539" s="8"/>
      <c r="H539" s="9">
        <f>F539+G539</f>
        <v>245233.34</v>
      </c>
      <c r="I539" s="8"/>
      <c r="J539" s="8"/>
      <c r="K539" s="8"/>
      <c r="L539" s="9"/>
      <c r="M539" s="9">
        <f>H539+L539</f>
        <v>245233.34</v>
      </c>
      <c r="N539" s="9">
        <v>0</v>
      </c>
      <c r="O539" s="8"/>
      <c r="P539" s="9">
        <f>N539+O539</f>
        <v>0</v>
      </c>
      <c r="Q539" s="8"/>
      <c r="R539" s="8"/>
      <c r="S539" s="8"/>
      <c r="T539" s="9"/>
      <c r="U539" s="9">
        <f>P539+T539</f>
        <v>0</v>
      </c>
      <c r="V539" s="9">
        <f>P539+H539</f>
        <v>245233.34</v>
      </c>
      <c r="W539" s="9">
        <f>E539-V539</f>
        <v>0</v>
      </c>
      <c r="X539" s="9">
        <f t="shared" ref="X539:X544" si="282">+H539+P539</f>
        <v>245233.34</v>
      </c>
      <c r="Y539" s="8"/>
      <c r="Z539" s="9">
        <f t="shared" ref="Z539:Z544" si="283">+E539-X539</f>
        <v>0</v>
      </c>
      <c r="AA539" s="8">
        <f t="shared" ref="AA539:AA544" si="284">+M539+U539</f>
        <v>245233.34</v>
      </c>
      <c r="AB539" s="8">
        <f t="shared" ref="AB539:AB544" si="285">+E539-AA539</f>
        <v>0</v>
      </c>
    </row>
    <row r="540" spans="1:28" x14ac:dyDescent="0.3">
      <c r="A540" s="64"/>
      <c r="B540" s="8"/>
      <c r="C540" s="7" t="s">
        <v>1087</v>
      </c>
      <c r="D540" s="24" t="s">
        <v>1072</v>
      </c>
      <c r="E540" s="9">
        <v>1430654.46</v>
      </c>
      <c r="F540" s="8">
        <v>1430654.46</v>
      </c>
      <c r="G540" s="8"/>
      <c r="H540" s="9">
        <f>+F540+G540</f>
        <v>1430654.46</v>
      </c>
      <c r="I540" s="8"/>
      <c r="J540" s="8"/>
      <c r="K540" s="8"/>
      <c r="L540" s="9"/>
      <c r="M540" s="9">
        <f>+H540+L540</f>
        <v>1430654.46</v>
      </c>
      <c r="N540" s="9">
        <v>0</v>
      </c>
      <c r="O540" s="8"/>
      <c r="P540" s="9">
        <f>+N540+O540</f>
        <v>0</v>
      </c>
      <c r="Q540" s="8"/>
      <c r="R540" s="8"/>
      <c r="S540" s="8"/>
      <c r="T540" s="9"/>
      <c r="U540" s="9">
        <f>+P540+T540</f>
        <v>0</v>
      </c>
      <c r="V540" s="9"/>
      <c r="W540" s="9"/>
      <c r="X540" s="9">
        <f t="shared" si="282"/>
        <v>1430654.46</v>
      </c>
      <c r="Y540" s="8"/>
      <c r="Z540" s="9">
        <f t="shared" si="283"/>
        <v>0</v>
      </c>
      <c r="AA540" s="8">
        <f t="shared" si="284"/>
        <v>1430654.46</v>
      </c>
      <c r="AB540" s="8">
        <f t="shared" si="285"/>
        <v>0</v>
      </c>
    </row>
    <row r="541" spans="1:28" x14ac:dyDescent="0.3">
      <c r="A541" s="64"/>
      <c r="B541" s="8"/>
      <c r="C541" s="7" t="s">
        <v>177</v>
      </c>
      <c r="D541" s="15" t="s">
        <v>68</v>
      </c>
      <c r="E541" s="9">
        <v>657462.24</v>
      </c>
      <c r="F541" s="9">
        <v>557714</v>
      </c>
      <c r="G541" s="8"/>
      <c r="H541" s="9">
        <f>F541+G541</f>
        <v>557714</v>
      </c>
      <c r="I541" s="8"/>
      <c r="J541" s="8"/>
      <c r="K541" s="8"/>
      <c r="L541" s="9"/>
      <c r="M541" s="9">
        <f>H541+L541</f>
        <v>557714</v>
      </c>
      <c r="N541" s="9">
        <v>99748.24</v>
      </c>
      <c r="O541" s="8"/>
      <c r="P541" s="9">
        <f>N541+O541</f>
        <v>99748.24</v>
      </c>
      <c r="Q541" s="9"/>
      <c r="R541" s="8"/>
      <c r="S541" s="9"/>
      <c r="T541" s="9"/>
      <c r="U541" s="9">
        <f>P541+T541</f>
        <v>99748.24</v>
      </c>
      <c r="V541" s="9">
        <f>P541+H541</f>
        <v>657462.24</v>
      </c>
      <c r="W541" s="9">
        <f>E541-V541</f>
        <v>0</v>
      </c>
      <c r="X541" s="9">
        <f t="shared" si="282"/>
        <v>657462.24</v>
      </c>
      <c r="Y541" s="8"/>
      <c r="Z541" s="9">
        <f t="shared" si="283"/>
        <v>0</v>
      </c>
      <c r="AA541" s="8">
        <f t="shared" si="284"/>
        <v>657462.24</v>
      </c>
      <c r="AB541" s="8">
        <f t="shared" si="285"/>
        <v>0</v>
      </c>
    </row>
    <row r="542" spans="1:28" x14ac:dyDescent="0.3">
      <c r="A542" s="64"/>
      <c r="B542" s="8"/>
      <c r="C542" s="7" t="s">
        <v>55</v>
      </c>
      <c r="D542" s="15" t="s">
        <v>68</v>
      </c>
      <c r="E542" s="9">
        <v>1511582.3</v>
      </c>
      <c r="F542" s="9">
        <v>0</v>
      </c>
      <c r="G542" s="8"/>
      <c r="H542" s="9">
        <f>F542+G542</f>
        <v>0</v>
      </c>
      <c r="I542" s="8"/>
      <c r="J542" s="8"/>
      <c r="K542" s="8"/>
      <c r="L542" s="9"/>
      <c r="M542" s="9">
        <f>H542+L542</f>
        <v>0</v>
      </c>
      <c r="N542" s="9">
        <f>1377395+134187.3</f>
        <v>1511582.3</v>
      </c>
      <c r="O542" s="8"/>
      <c r="P542" s="9">
        <f>N542+O542</f>
        <v>1511582.3</v>
      </c>
      <c r="Q542" s="8"/>
      <c r="R542" s="8"/>
      <c r="S542" s="8"/>
      <c r="T542" s="9"/>
      <c r="U542" s="9">
        <f>P542+T542</f>
        <v>1511582.3</v>
      </c>
      <c r="V542" s="9">
        <f>P542+H542</f>
        <v>1511582.3</v>
      </c>
      <c r="W542" s="9">
        <f>E542-V542</f>
        <v>0</v>
      </c>
      <c r="X542" s="9">
        <f t="shared" si="282"/>
        <v>1511582.3</v>
      </c>
      <c r="Y542" s="8"/>
      <c r="Z542" s="9">
        <f t="shared" si="283"/>
        <v>0</v>
      </c>
      <c r="AA542" s="8">
        <f t="shared" si="284"/>
        <v>1511582.3</v>
      </c>
      <c r="AB542" s="8">
        <f t="shared" si="285"/>
        <v>0</v>
      </c>
    </row>
    <row r="543" spans="1:28" x14ac:dyDescent="0.3">
      <c r="A543" s="64"/>
      <c r="B543" s="8"/>
      <c r="C543" s="7" t="s">
        <v>178</v>
      </c>
      <c r="D543" s="7" t="s">
        <v>179</v>
      </c>
      <c r="E543" s="9">
        <v>274876.28999999998</v>
      </c>
      <c r="F543" s="9">
        <v>0</v>
      </c>
      <c r="G543" s="8"/>
      <c r="H543" s="9">
        <f>F543+G543</f>
        <v>0</v>
      </c>
      <c r="I543" s="8"/>
      <c r="J543" s="8"/>
      <c r="K543" s="8"/>
      <c r="L543" s="9"/>
      <c r="M543" s="9">
        <f>H543+L543</f>
        <v>0</v>
      </c>
      <c r="N543" s="9">
        <v>274876.28999999998</v>
      </c>
      <c r="O543" s="8"/>
      <c r="P543" s="9">
        <f>N543+O543</f>
        <v>274876.28999999998</v>
      </c>
      <c r="Q543" s="8"/>
      <c r="R543" s="8"/>
      <c r="S543" s="8"/>
      <c r="T543" s="9"/>
      <c r="U543" s="9">
        <f>P543+T543</f>
        <v>274876.28999999998</v>
      </c>
      <c r="V543" s="9">
        <f>P543+H543</f>
        <v>274876.28999999998</v>
      </c>
      <c r="W543" s="9">
        <f>E543-V543</f>
        <v>0</v>
      </c>
      <c r="X543" s="9">
        <f t="shared" si="282"/>
        <v>274876.28999999998</v>
      </c>
      <c r="Y543" s="8"/>
      <c r="Z543" s="9">
        <f t="shared" si="283"/>
        <v>0</v>
      </c>
      <c r="AA543" s="8">
        <f t="shared" si="284"/>
        <v>274876.28999999998</v>
      </c>
      <c r="AB543" s="8">
        <f t="shared" si="285"/>
        <v>0</v>
      </c>
    </row>
    <row r="544" spans="1:28" x14ac:dyDescent="0.3">
      <c r="A544" s="64"/>
      <c r="B544" s="8"/>
      <c r="C544" s="7" t="s">
        <v>159</v>
      </c>
      <c r="D544" s="15" t="s">
        <v>128</v>
      </c>
      <c r="E544" s="9">
        <v>1953989</v>
      </c>
      <c r="F544" s="9">
        <v>0</v>
      </c>
      <c r="G544" s="8"/>
      <c r="H544" s="9">
        <f>F544+G544</f>
        <v>0</v>
      </c>
      <c r="I544" s="8"/>
      <c r="J544" s="8"/>
      <c r="K544" s="8"/>
      <c r="L544" s="9"/>
      <c r="M544" s="9">
        <f>H544+L544</f>
        <v>0</v>
      </c>
      <c r="N544" s="9">
        <v>1953989</v>
      </c>
      <c r="O544" s="8"/>
      <c r="P544" s="9">
        <f>N544+O544</f>
        <v>1953989</v>
      </c>
      <c r="Q544" s="8"/>
      <c r="R544" s="8"/>
      <c r="S544" s="8"/>
      <c r="T544" s="9"/>
      <c r="U544" s="9">
        <f>P544+T544</f>
        <v>1953989</v>
      </c>
      <c r="V544" s="9">
        <f>P544+H544</f>
        <v>1953989</v>
      </c>
      <c r="W544" s="9">
        <f>E544-V544</f>
        <v>0</v>
      </c>
      <c r="X544" s="9">
        <f t="shared" si="282"/>
        <v>1953989</v>
      </c>
      <c r="Y544" s="8"/>
      <c r="Z544" s="9">
        <f t="shared" si="283"/>
        <v>0</v>
      </c>
      <c r="AA544" s="8">
        <f t="shared" si="284"/>
        <v>1953989</v>
      </c>
      <c r="AB544" s="8">
        <f t="shared" si="285"/>
        <v>0</v>
      </c>
    </row>
    <row r="545" spans="1:28" x14ac:dyDescent="0.3">
      <c r="A545" s="64"/>
      <c r="B545" s="8"/>
      <c r="C545" s="8"/>
      <c r="D545" s="8"/>
      <c r="E545" s="17" t="s">
        <v>29</v>
      </c>
      <c r="F545" s="17" t="s">
        <v>29</v>
      </c>
      <c r="G545" s="17" t="s">
        <v>29</v>
      </c>
      <c r="H545" s="17" t="s">
        <v>29</v>
      </c>
      <c r="I545" s="17" t="s">
        <v>29</v>
      </c>
      <c r="J545" s="17" t="s">
        <v>29</v>
      </c>
      <c r="K545" s="17" t="s">
        <v>29</v>
      </c>
      <c r="L545" s="17" t="s">
        <v>29</v>
      </c>
      <c r="M545" s="17" t="s">
        <v>29</v>
      </c>
      <c r="N545" s="17" t="s">
        <v>29</v>
      </c>
      <c r="O545" s="17" t="s">
        <v>29</v>
      </c>
      <c r="P545" s="17" t="s">
        <v>29</v>
      </c>
      <c r="Q545" s="17" t="s">
        <v>29</v>
      </c>
      <c r="R545" s="17" t="s">
        <v>29</v>
      </c>
      <c r="S545" s="17" t="s">
        <v>29</v>
      </c>
      <c r="T545" s="17" t="s">
        <v>29</v>
      </c>
      <c r="U545" s="17" t="s">
        <v>29</v>
      </c>
      <c r="V545" s="17" t="s">
        <v>29</v>
      </c>
      <c r="W545" s="17" t="s">
        <v>29</v>
      </c>
      <c r="X545" s="17" t="s">
        <v>29</v>
      </c>
      <c r="Y545" s="17" t="s">
        <v>29</v>
      </c>
      <c r="Z545" s="17" t="s">
        <v>29</v>
      </c>
      <c r="AA545" s="17" t="s">
        <v>29</v>
      </c>
      <c r="AB545" s="17" t="s">
        <v>29</v>
      </c>
    </row>
    <row r="546" spans="1:28" x14ac:dyDescent="0.3">
      <c r="A546" s="64"/>
      <c r="B546" s="8"/>
      <c r="C546" s="8"/>
      <c r="D546" s="8"/>
      <c r="E546" s="9">
        <f t="shared" ref="E546:AB546" si="286">SUM(E539:E544)</f>
        <v>6073797.6299999999</v>
      </c>
      <c r="F546" s="9">
        <f t="shared" si="286"/>
        <v>2233601.7999999998</v>
      </c>
      <c r="G546" s="9">
        <f t="shared" si="286"/>
        <v>0</v>
      </c>
      <c r="H546" s="9">
        <f t="shared" si="286"/>
        <v>2233601.7999999998</v>
      </c>
      <c r="I546" s="9">
        <f t="shared" si="286"/>
        <v>0</v>
      </c>
      <c r="J546" s="9">
        <f t="shared" si="286"/>
        <v>0</v>
      </c>
      <c r="K546" s="9">
        <f t="shared" si="286"/>
        <v>0</v>
      </c>
      <c r="L546" s="9">
        <f t="shared" si="286"/>
        <v>0</v>
      </c>
      <c r="M546" s="9">
        <f t="shared" si="286"/>
        <v>2233601.7999999998</v>
      </c>
      <c r="N546" s="9">
        <f t="shared" si="286"/>
        <v>3840195.83</v>
      </c>
      <c r="O546" s="9">
        <f t="shared" si="286"/>
        <v>0</v>
      </c>
      <c r="P546" s="9">
        <f t="shared" si="286"/>
        <v>3840195.83</v>
      </c>
      <c r="Q546" s="9">
        <f t="shared" si="286"/>
        <v>0</v>
      </c>
      <c r="R546" s="9">
        <f t="shared" si="286"/>
        <v>0</v>
      </c>
      <c r="S546" s="9">
        <f t="shared" si="286"/>
        <v>0</v>
      </c>
      <c r="T546" s="9">
        <f t="shared" si="286"/>
        <v>0</v>
      </c>
      <c r="U546" s="9">
        <f t="shared" si="286"/>
        <v>3840195.83</v>
      </c>
      <c r="V546" s="9">
        <f t="shared" si="286"/>
        <v>4643143.17</v>
      </c>
      <c r="W546" s="9">
        <f t="shared" si="286"/>
        <v>0</v>
      </c>
      <c r="X546" s="9">
        <f t="shared" si="286"/>
        <v>6073797.6299999999</v>
      </c>
      <c r="Y546" s="9">
        <f t="shared" si="286"/>
        <v>0</v>
      </c>
      <c r="Z546" s="9">
        <f t="shared" si="286"/>
        <v>0</v>
      </c>
      <c r="AA546" s="9">
        <f t="shared" si="286"/>
        <v>6073797.6299999999</v>
      </c>
      <c r="AB546" s="9">
        <f t="shared" si="286"/>
        <v>0</v>
      </c>
    </row>
    <row r="547" spans="1:28" x14ac:dyDescent="0.3">
      <c r="A547" s="64"/>
      <c r="B547" s="8"/>
      <c r="C547" s="8"/>
      <c r="D547" s="8"/>
      <c r="E547" s="17" t="s">
        <v>29</v>
      </c>
      <c r="F547" s="17" t="s">
        <v>29</v>
      </c>
      <c r="G547" s="17" t="s">
        <v>29</v>
      </c>
      <c r="H547" s="17" t="s">
        <v>29</v>
      </c>
      <c r="I547" s="17" t="s">
        <v>29</v>
      </c>
      <c r="J547" s="17" t="s">
        <v>29</v>
      </c>
      <c r="K547" s="17" t="s">
        <v>29</v>
      </c>
      <c r="L547" s="17" t="s">
        <v>29</v>
      </c>
      <c r="M547" s="17" t="s">
        <v>29</v>
      </c>
      <c r="N547" s="17" t="s">
        <v>29</v>
      </c>
      <c r="O547" s="17" t="s">
        <v>29</v>
      </c>
      <c r="P547" s="17" t="s">
        <v>29</v>
      </c>
      <c r="Q547" s="17" t="s">
        <v>29</v>
      </c>
      <c r="R547" s="17" t="s">
        <v>29</v>
      </c>
      <c r="S547" s="17" t="s">
        <v>29</v>
      </c>
      <c r="T547" s="17" t="s">
        <v>29</v>
      </c>
      <c r="U547" s="17" t="s">
        <v>29</v>
      </c>
      <c r="V547" s="17" t="s">
        <v>29</v>
      </c>
      <c r="W547" s="17" t="s">
        <v>29</v>
      </c>
      <c r="X547" s="17" t="s">
        <v>29</v>
      </c>
      <c r="Y547" s="17" t="s">
        <v>29</v>
      </c>
      <c r="Z547" s="17" t="s">
        <v>29</v>
      </c>
      <c r="AA547" s="17" t="s">
        <v>29</v>
      </c>
      <c r="AB547" s="17" t="s">
        <v>29</v>
      </c>
    </row>
    <row r="548" spans="1:28" x14ac:dyDescent="0.3">
      <c r="A548" s="63" t="s">
        <v>961</v>
      </c>
      <c r="B548" s="7" t="s">
        <v>180</v>
      </c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58"/>
    </row>
    <row r="549" spans="1:28" x14ac:dyDescent="0.3">
      <c r="A549" s="64"/>
      <c r="B549" s="8"/>
      <c r="C549" s="7" t="s">
        <v>75</v>
      </c>
      <c r="D549" s="21" t="s">
        <v>76</v>
      </c>
      <c r="E549" s="9">
        <v>3840000</v>
      </c>
      <c r="F549" s="9">
        <v>0</v>
      </c>
      <c r="G549" s="8"/>
      <c r="H549" s="9">
        <f t="shared" ref="H549:H555" si="287">F549+G549</f>
        <v>0</v>
      </c>
      <c r="I549" s="8"/>
      <c r="J549" s="8"/>
      <c r="K549" s="8"/>
      <c r="L549" s="9"/>
      <c r="M549" s="9">
        <f t="shared" ref="M549:M555" si="288">H549+L549</f>
        <v>0</v>
      </c>
      <c r="N549" s="9">
        <v>2924006.34</v>
      </c>
      <c r="O549" s="8"/>
      <c r="P549" s="9">
        <f t="shared" ref="P549:P555" si="289">N549+O549</f>
        <v>2924006.34</v>
      </c>
      <c r="Q549" s="8"/>
      <c r="R549" s="8"/>
      <c r="S549" s="8"/>
      <c r="T549" s="9"/>
      <c r="U549" s="9">
        <f t="shared" ref="U549:U555" si="290">P549+T549</f>
        <v>2924006.34</v>
      </c>
      <c r="V549" s="9">
        <f t="shared" ref="V549:V555" si="291">P549+H549</f>
        <v>2924006.34</v>
      </c>
      <c r="W549" s="9">
        <f t="shared" ref="W549:W555" si="292">E549-V549</f>
        <v>915993.66000000015</v>
      </c>
      <c r="X549" s="9">
        <f t="shared" ref="X549:X555" si="293">+H549+P549</f>
        <v>2924006.34</v>
      </c>
      <c r="Y549" s="8"/>
      <c r="Z549" s="9">
        <f t="shared" ref="Z549:Z555" si="294">+E549-X549</f>
        <v>915993.66000000015</v>
      </c>
      <c r="AA549" s="8">
        <f t="shared" ref="AA549:AA555" si="295">+M549+U549</f>
        <v>2924006.34</v>
      </c>
      <c r="AB549" s="8">
        <f t="shared" ref="AB549:AB555" si="296">+E549-AA549</f>
        <v>915993.66000000015</v>
      </c>
    </row>
    <row r="550" spans="1:28" x14ac:dyDescent="0.3">
      <c r="A550" s="64"/>
      <c r="B550" s="8"/>
      <c r="C550" s="14" t="s">
        <v>109</v>
      </c>
      <c r="D550" s="21" t="s">
        <v>60</v>
      </c>
      <c r="E550" s="9">
        <v>2500000</v>
      </c>
      <c r="F550" s="11">
        <f>1963358.8+2500000-1963358.8</f>
        <v>2500000</v>
      </c>
      <c r="G550" s="8"/>
      <c r="H550" s="9">
        <f t="shared" si="287"/>
        <v>2500000</v>
      </c>
      <c r="I550" s="8"/>
      <c r="J550" s="8"/>
      <c r="K550" s="8"/>
      <c r="L550" s="9"/>
      <c r="M550" s="9">
        <f t="shared" si="288"/>
        <v>2500000</v>
      </c>
      <c r="N550" s="9">
        <v>0</v>
      </c>
      <c r="O550" s="8"/>
      <c r="P550" s="9">
        <f t="shared" si="289"/>
        <v>0</v>
      </c>
      <c r="Q550" s="8"/>
      <c r="R550" s="8"/>
      <c r="S550" s="8"/>
      <c r="T550" s="9"/>
      <c r="U550" s="9">
        <f t="shared" si="290"/>
        <v>0</v>
      </c>
      <c r="V550" s="9">
        <f t="shared" si="291"/>
        <v>2500000</v>
      </c>
      <c r="W550" s="9">
        <f t="shared" si="292"/>
        <v>0</v>
      </c>
      <c r="X550" s="9">
        <f t="shared" si="293"/>
        <v>2500000</v>
      </c>
      <c r="Y550" s="8"/>
      <c r="Z550" s="9">
        <f t="shared" si="294"/>
        <v>0</v>
      </c>
      <c r="AA550" s="8">
        <f t="shared" si="295"/>
        <v>2500000</v>
      </c>
      <c r="AB550" s="8">
        <f t="shared" si="296"/>
        <v>0</v>
      </c>
    </row>
    <row r="551" spans="1:28" x14ac:dyDescent="0.3">
      <c r="A551" s="64"/>
      <c r="B551" s="8"/>
      <c r="C551" s="7" t="s">
        <v>57</v>
      </c>
      <c r="D551" s="15" t="s">
        <v>60</v>
      </c>
      <c r="E551" s="9">
        <v>2483262</v>
      </c>
      <c r="F551" s="11">
        <v>2483262</v>
      </c>
      <c r="G551" s="8"/>
      <c r="H551" s="9">
        <f t="shared" si="287"/>
        <v>2483262</v>
      </c>
      <c r="I551" s="8"/>
      <c r="J551" s="8"/>
      <c r="K551" s="8"/>
      <c r="L551" s="9"/>
      <c r="M551" s="9">
        <f t="shared" si="288"/>
        <v>2483262</v>
      </c>
      <c r="N551" s="9">
        <v>0</v>
      </c>
      <c r="O551" s="8"/>
      <c r="P551" s="9">
        <f t="shared" si="289"/>
        <v>0</v>
      </c>
      <c r="Q551" s="8"/>
      <c r="R551" s="8"/>
      <c r="S551" s="8"/>
      <c r="T551" s="9"/>
      <c r="U551" s="9">
        <f t="shared" si="290"/>
        <v>0</v>
      </c>
      <c r="V551" s="9">
        <f t="shared" si="291"/>
        <v>2483262</v>
      </c>
      <c r="W551" s="9">
        <f t="shared" si="292"/>
        <v>0</v>
      </c>
      <c r="X551" s="9">
        <f t="shared" si="293"/>
        <v>2483262</v>
      </c>
      <c r="Y551" s="8"/>
      <c r="Z551" s="9">
        <f t="shared" si="294"/>
        <v>0</v>
      </c>
      <c r="AA551" s="8">
        <f t="shared" si="295"/>
        <v>2483262</v>
      </c>
      <c r="AB551" s="8">
        <f t="shared" si="296"/>
        <v>0</v>
      </c>
    </row>
    <row r="552" spans="1:28" x14ac:dyDescent="0.3">
      <c r="A552" s="64"/>
      <c r="B552" s="8"/>
      <c r="C552" s="7" t="s">
        <v>1064</v>
      </c>
      <c r="D552" s="15"/>
      <c r="E552" s="9">
        <v>569000</v>
      </c>
      <c r="F552" s="8">
        <v>569000</v>
      </c>
      <c r="G552" s="8"/>
      <c r="H552" s="9">
        <f t="shared" si="287"/>
        <v>569000</v>
      </c>
      <c r="I552" s="8"/>
      <c r="J552" s="8"/>
      <c r="K552" s="8"/>
      <c r="L552" s="9"/>
      <c r="M552" s="9">
        <f t="shared" si="288"/>
        <v>569000</v>
      </c>
      <c r="N552" s="9">
        <v>0</v>
      </c>
      <c r="O552" s="8"/>
      <c r="P552" s="9">
        <f t="shared" si="289"/>
        <v>0</v>
      </c>
      <c r="Q552" s="8"/>
      <c r="R552" s="8"/>
      <c r="S552" s="8"/>
      <c r="T552" s="9"/>
      <c r="U552" s="9">
        <f t="shared" si="290"/>
        <v>0</v>
      </c>
      <c r="V552" s="9">
        <f t="shared" si="291"/>
        <v>569000</v>
      </c>
      <c r="W552" s="9">
        <f t="shared" si="292"/>
        <v>0</v>
      </c>
      <c r="X552" s="9">
        <f t="shared" si="293"/>
        <v>569000</v>
      </c>
      <c r="Y552" s="8"/>
      <c r="Z552" s="9">
        <f t="shared" si="294"/>
        <v>0</v>
      </c>
      <c r="AA552" s="8">
        <f t="shared" si="295"/>
        <v>569000</v>
      </c>
      <c r="AB552" s="8">
        <f t="shared" si="296"/>
        <v>0</v>
      </c>
    </row>
    <row r="553" spans="1:28" x14ac:dyDescent="0.3">
      <c r="A553" s="64"/>
      <c r="B553" s="8"/>
      <c r="C553" s="7" t="s">
        <v>930</v>
      </c>
      <c r="D553" s="16" t="s">
        <v>1072</v>
      </c>
      <c r="E553" s="9">
        <v>657000</v>
      </c>
      <c r="F553" s="8">
        <v>657000</v>
      </c>
      <c r="G553" s="8"/>
      <c r="H553" s="9">
        <f>+F553+G553</f>
        <v>657000</v>
      </c>
      <c r="I553" s="8"/>
      <c r="J553" s="8"/>
      <c r="K553" s="8"/>
      <c r="L553" s="9"/>
      <c r="M553" s="9">
        <f>+H553+L553</f>
        <v>657000</v>
      </c>
      <c r="N553" s="9">
        <v>0</v>
      </c>
      <c r="O553" s="8"/>
      <c r="P553" s="9">
        <f>+N553+O553</f>
        <v>0</v>
      </c>
      <c r="Q553" s="8"/>
      <c r="R553" s="8"/>
      <c r="S553" s="8"/>
      <c r="T553" s="9"/>
      <c r="U553" s="9">
        <f>P553+T553</f>
        <v>0</v>
      </c>
      <c r="V553" s="9">
        <f>P553+H553</f>
        <v>657000</v>
      </c>
      <c r="W553" s="9">
        <f>E553-V553</f>
        <v>0</v>
      </c>
      <c r="X553" s="9">
        <f t="shared" si="293"/>
        <v>657000</v>
      </c>
      <c r="Y553" s="8"/>
      <c r="Z553" s="9">
        <f t="shared" si="294"/>
        <v>0</v>
      </c>
      <c r="AA553" s="8">
        <f t="shared" si="295"/>
        <v>657000</v>
      </c>
      <c r="AB553" s="8">
        <f t="shared" si="296"/>
        <v>0</v>
      </c>
    </row>
    <row r="554" spans="1:28" x14ac:dyDescent="0.3">
      <c r="A554" s="64"/>
      <c r="B554" s="8"/>
      <c r="C554" s="7" t="s">
        <v>181</v>
      </c>
      <c r="D554" s="15" t="s">
        <v>73</v>
      </c>
      <c r="E554" s="9">
        <f>686400+3898899.85</f>
        <v>4585299.8499999996</v>
      </c>
      <c r="F554" s="11">
        <f>686400+3898899.85</f>
        <v>4585299.8499999996</v>
      </c>
      <c r="G554" s="11"/>
      <c r="H554" s="9">
        <f t="shared" si="287"/>
        <v>4585299.8499999996</v>
      </c>
      <c r="I554" s="8"/>
      <c r="J554" s="8"/>
      <c r="K554" s="8"/>
      <c r="L554" s="9"/>
      <c r="M554" s="9">
        <f t="shared" si="288"/>
        <v>4585299.8499999996</v>
      </c>
      <c r="N554" s="9">
        <v>0</v>
      </c>
      <c r="O554" s="8"/>
      <c r="P554" s="9">
        <f t="shared" si="289"/>
        <v>0</v>
      </c>
      <c r="Q554" s="8"/>
      <c r="R554" s="8"/>
      <c r="S554" s="8"/>
      <c r="T554" s="9"/>
      <c r="U554" s="9">
        <f t="shared" si="290"/>
        <v>0</v>
      </c>
      <c r="V554" s="9">
        <f t="shared" si="291"/>
        <v>4585299.8499999996</v>
      </c>
      <c r="W554" s="9">
        <f t="shared" si="292"/>
        <v>0</v>
      </c>
      <c r="X554" s="9">
        <f t="shared" si="293"/>
        <v>4585299.8499999996</v>
      </c>
      <c r="Y554" s="8"/>
      <c r="Z554" s="9">
        <f t="shared" si="294"/>
        <v>0</v>
      </c>
      <c r="AA554" s="8">
        <f t="shared" si="295"/>
        <v>4585299.8499999996</v>
      </c>
      <c r="AB554" s="8">
        <f t="shared" si="296"/>
        <v>0</v>
      </c>
    </row>
    <row r="555" spans="1:28" x14ac:dyDescent="0.3">
      <c r="A555" s="64"/>
      <c r="B555" s="8"/>
      <c r="C555" s="7" t="s">
        <v>57</v>
      </c>
      <c r="D555" s="16" t="s">
        <v>61</v>
      </c>
      <c r="E555" s="9">
        <v>746944.29</v>
      </c>
      <c r="F555" s="11">
        <v>746944.29</v>
      </c>
      <c r="G555" s="11"/>
      <c r="H555" s="9">
        <f t="shared" si="287"/>
        <v>746944.29</v>
      </c>
      <c r="I555" s="8"/>
      <c r="J555" s="8"/>
      <c r="K555" s="8"/>
      <c r="L555" s="9"/>
      <c r="M555" s="9">
        <f t="shared" si="288"/>
        <v>746944.29</v>
      </c>
      <c r="N555" s="9">
        <v>0</v>
      </c>
      <c r="O555" s="8"/>
      <c r="P555" s="9">
        <f t="shared" si="289"/>
        <v>0</v>
      </c>
      <c r="Q555" s="8"/>
      <c r="R555" s="8"/>
      <c r="S555" s="8"/>
      <c r="T555" s="9"/>
      <c r="U555" s="9">
        <f t="shared" si="290"/>
        <v>0</v>
      </c>
      <c r="V555" s="9">
        <f t="shared" si="291"/>
        <v>746944.29</v>
      </c>
      <c r="W555" s="9">
        <f t="shared" si="292"/>
        <v>0</v>
      </c>
      <c r="X555" s="9">
        <f t="shared" si="293"/>
        <v>746944.29</v>
      </c>
      <c r="Y555" s="8"/>
      <c r="Z555" s="9">
        <f t="shared" si="294"/>
        <v>0</v>
      </c>
      <c r="AA555" s="8">
        <f t="shared" si="295"/>
        <v>746944.29</v>
      </c>
      <c r="AB555" s="8">
        <f t="shared" si="296"/>
        <v>0</v>
      </c>
    </row>
    <row r="556" spans="1:28" x14ac:dyDescent="0.3">
      <c r="A556" s="64"/>
      <c r="B556" s="8"/>
      <c r="C556" s="8"/>
      <c r="D556" s="8"/>
      <c r="E556" s="17" t="s">
        <v>29</v>
      </c>
      <c r="F556" s="17" t="s">
        <v>29</v>
      </c>
      <c r="G556" s="17" t="s">
        <v>29</v>
      </c>
      <c r="H556" s="17" t="s">
        <v>29</v>
      </c>
      <c r="I556" s="17" t="s">
        <v>29</v>
      </c>
      <c r="J556" s="17" t="s">
        <v>29</v>
      </c>
      <c r="K556" s="17" t="s">
        <v>29</v>
      </c>
      <c r="L556" s="17" t="s">
        <v>29</v>
      </c>
      <c r="M556" s="17" t="s">
        <v>29</v>
      </c>
      <c r="N556" s="17" t="s">
        <v>29</v>
      </c>
      <c r="O556" s="17" t="s">
        <v>29</v>
      </c>
      <c r="P556" s="17" t="s">
        <v>29</v>
      </c>
      <c r="Q556" s="17" t="s">
        <v>29</v>
      </c>
      <c r="R556" s="17" t="s">
        <v>29</v>
      </c>
      <c r="S556" s="17" t="s">
        <v>29</v>
      </c>
      <c r="T556" s="17" t="s">
        <v>29</v>
      </c>
      <c r="U556" s="17" t="s">
        <v>29</v>
      </c>
      <c r="V556" s="17" t="s">
        <v>29</v>
      </c>
      <c r="W556" s="17" t="s">
        <v>29</v>
      </c>
      <c r="X556" s="17" t="s">
        <v>29</v>
      </c>
      <c r="Y556" s="17" t="s">
        <v>29</v>
      </c>
      <c r="Z556" s="17" t="s">
        <v>29</v>
      </c>
      <c r="AA556" s="17" t="s">
        <v>29</v>
      </c>
      <c r="AB556" s="17" t="s">
        <v>29</v>
      </c>
    </row>
    <row r="557" spans="1:28" x14ac:dyDescent="0.3">
      <c r="A557" s="64"/>
      <c r="B557" s="8"/>
      <c r="C557" s="8"/>
      <c r="D557" s="8"/>
      <c r="E557" s="9">
        <f t="shared" ref="E557:AB557" si="297">SUM(E549:E555)</f>
        <v>15381506.140000001</v>
      </c>
      <c r="F557" s="9">
        <f t="shared" si="297"/>
        <v>11541506.140000001</v>
      </c>
      <c r="G557" s="9">
        <f t="shared" si="297"/>
        <v>0</v>
      </c>
      <c r="H557" s="9">
        <f t="shared" si="297"/>
        <v>11541506.140000001</v>
      </c>
      <c r="I557" s="9">
        <f t="shared" si="297"/>
        <v>0</v>
      </c>
      <c r="J557" s="9">
        <f t="shared" si="297"/>
        <v>0</v>
      </c>
      <c r="K557" s="9">
        <f t="shared" si="297"/>
        <v>0</v>
      </c>
      <c r="L557" s="9">
        <f t="shared" si="297"/>
        <v>0</v>
      </c>
      <c r="M557" s="9">
        <f t="shared" si="297"/>
        <v>11541506.140000001</v>
      </c>
      <c r="N557" s="9">
        <f t="shared" si="297"/>
        <v>2924006.34</v>
      </c>
      <c r="O557" s="9">
        <f t="shared" si="297"/>
        <v>0</v>
      </c>
      <c r="P557" s="9">
        <f t="shared" si="297"/>
        <v>2924006.34</v>
      </c>
      <c r="Q557" s="9">
        <f t="shared" si="297"/>
        <v>0</v>
      </c>
      <c r="R557" s="9">
        <f t="shared" si="297"/>
        <v>0</v>
      </c>
      <c r="S557" s="9">
        <f t="shared" si="297"/>
        <v>0</v>
      </c>
      <c r="T557" s="9">
        <f t="shared" si="297"/>
        <v>0</v>
      </c>
      <c r="U557" s="9">
        <f t="shared" si="297"/>
        <v>2924006.34</v>
      </c>
      <c r="V557" s="9">
        <f t="shared" si="297"/>
        <v>14465512.48</v>
      </c>
      <c r="W557" s="9">
        <f t="shared" si="297"/>
        <v>915993.66000000015</v>
      </c>
      <c r="X557" s="9">
        <f t="shared" si="297"/>
        <v>14465512.48</v>
      </c>
      <c r="Y557" s="9">
        <f t="shared" si="297"/>
        <v>0</v>
      </c>
      <c r="Z557" s="9">
        <f t="shared" si="297"/>
        <v>915993.66000000015</v>
      </c>
      <c r="AA557" s="9">
        <f t="shared" si="297"/>
        <v>14465512.48</v>
      </c>
      <c r="AB557" s="9">
        <f t="shared" si="297"/>
        <v>915993.66000000015</v>
      </c>
    </row>
    <row r="558" spans="1:28" x14ac:dyDescent="0.3">
      <c r="A558" s="64"/>
      <c r="B558" s="8"/>
      <c r="C558" s="8"/>
      <c r="D558" s="8"/>
      <c r="E558" s="17" t="s">
        <v>29</v>
      </c>
      <c r="F558" s="17" t="s">
        <v>29</v>
      </c>
      <c r="G558" s="17" t="s">
        <v>29</v>
      </c>
      <c r="H558" s="17" t="s">
        <v>29</v>
      </c>
      <c r="I558" s="17" t="s">
        <v>29</v>
      </c>
      <c r="J558" s="17" t="s">
        <v>29</v>
      </c>
      <c r="K558" s="17" t="s">
        <v>29</v>
      </c>
      <c r="L558" s="17" t="s">
        <v>29</v>
      </c>
      <c r="M558" s="17" t="s">
        <v>29</v>
      </c>
      <c r="N558" s="17" t="s">
        <v>29</v>
      </c>
      <c r="O558" s="17" t="s">
        <v>29</v>
      </c>
      <c r="P558" s="17" t="s">
        <v>29</v>
      </c>
      <c r="Q558" s="17" t="s">
        <v>29</v>
      </c>
      <c r="R558" s="17" t="s">
        <v>29</v>
      </c>
      <c r="S558" s="17" t="s">
        <v>29</v>
      </c>
      <c r="T558" s="17" t="s">
        <v>29</v>
      </c>
      <c r="U558" s="17" t="s">
        <v>29</v>
      </c>
      <c r="V558" s="17" t="s">
        <v>29</v>
      </c>
      <c r="W558" s="17" t="s">
        <v>29</v>
      </c>
      <c r="X558" s="17" t="s">
        <v>29</v>
      </c>
      <c r="Y558" s="17" t="s">
        <v>29</v>
      </c>
      <c r="Z558" s="17" t="s">
        <v>29</v>
      </c>
      <c r="AA558" s="17" t="s">
        <v>29</v>
      </c>
      <c r="AB558" s="17" t="s">
        <v>29</v>
      </c>
    </row>
    <row r="559" spans="1:28" x14ac:dyDescent="0.3">
      <c r="A559" s="63" t="s">
        <v>962</v>
      </c>
      <c r="B559" s="7" t="s">
        <v>182</v>
      </c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58"/>
    </row>
    <row r="560" spans="1:28" x14ac:dyDescent="0.3">
      <c r="A560" s="64"/>
      <c r="B560" s="8"/>
      <c r="C560" s="7" t="s">
        <v>183</v>
      </c>
      <c r="D560" s="15" t="s">
        <v>88</v>
      </c>
      <c r="E560" s="9">
        <v>545292.46</v>
      </c>
      <c r="F560" s="9">
        <v>545292.46</v>
      </c>
      <c r="G560" s="8"/>
      <c r="H560" s="9">
        <f>F560+G560</f>
        <v>545292.46</v>
      </c>
      <c r="I560" s="8"/>
      <c r="J560" s="8"/>
      <c r="K560" s="8"/>
      <c r="L560" s="9"/>
      <c r="M560" s="9">
        <f>H560+L560</f>
        <v>545292.46</v>
      </c>
      <c r="N560" s="9">
        <v>0</v>
      </c>
      <c r="O560" s="8"/>
      <c r="P560" s="9">
        <f>N560+O560</f>
        <v>0</v>
      </c>
      <c r="Q560" s="8"/>
      <c r="R560" s="8"/>
      <c r="S560" s="8"/>
      <c r="T560" s="9"/>
      <c r="U560" s="9">
        <f>P560+T560</f>
        <v>0</v>
      </c>
      <c r="V560" s="9">
        <f>P560+H560</f>
        <v>545292.46</v>
      </c>
      <c r="W560" s="9">
        <f>E560-V560</f>
        <v>0</v>
      </c>
      <c r="X560" s="9">
        <f>+H560+P560</f>
        <v>545292.46</v>
      </c>
      <c r="Y560" s="8"/>
      <c r="Z560" s="9">
        <f>+E560-X560</f>
        <v>0</v>
      </c>
      <c r="AA560" s="8">
        <f>+M560+U560</f>
        <v>545292.46</v>
      </c>
      <c r="AB560" s="8">
        <f>+E560-AA560</f>
        <v>0</v>
      </c>
    </row>
    <row r="561" spans="1:28" x14ac:dyDescent="0.3">
      <c r="A561" s="64"/>
      <c r="B561" s="8"/>
      <c r="C561" s="8"/>
      <c r="D561" s="8"/>
      <c r="E561" s="17" t="s">
        <v>29</v>
      </c>
      <c r="F561" s="17" t="s">
        <v>29</v>
      </c>
      <c r="G561" s="17" t="s">
        <v>29</v>
      </c>
      <c r="H561" s="17" t="s">
        <v>29</v>
      </c>
      <c r="I561" s="17" t="s">
        <v>29</v>
      </c>
      <c r="J561" s="17" t="s">
        <v>29</v>
      </c>
      <c r="K561" s="17" t="s">
        <v>29</v>
      </c>
      <c r="L561" s="17" t="s">
        <v>29</v>
      </c>
      <c r="M561" s="17" t="s">
        <v>29</v>
      </c>
      <c r="N561" s="17" t="s">
        <v>29</v>
      </c>
      <c r="O561" s="17" t="s">
        <v>29</v>
      </c>
      <c r="P561" s="17" t="s">
        <v>29</v>
      </c>
      <c r="Q561" s="17" t="s">
        <v>29</v>
      </c>
      <c r="R561" s="17" t="s">
        <v>29</v>
      </c>
      <c r="S561" s="17" t="s">
        <v>29</v>
      </c>
      <c r="T561" s="17" t="s">
        <v>29</v>
      </c>
      <c r="U561" s="17" t="s">
        <v>29</v>
      </c>
      <c r="V561" s="17" t="s">
        <v>29</v>
      </c>
      <c r="W561" s="17" t="s">
        <v>29</v>
      </c>
      <c r="X561" s="17" t="s">
        <v>29</v>
      </c>
      <c r="Y561" s="17" t="s">
        <v>29</v>
      </c>
      <c r="Z561" s="17" t="s">
        <v>29</v>
      </c>
      <c r="AA561" s="17" t="s">
        <v>29</v>
      </c>
      <c r="AB561" s="17" t="s">
        <v>29</v>
      </c>
    </row>
    <row r="562" spans="1:28" x14ac:dyDescent="0.3">
      <c r="A562" s="64"/>
      <c r="B562" s="8"/>
      <c r="C562" s="8"/>
      <c r="D562" s="8"/>
      <c r="E562" s="9">
        <f t="shared" ref="E562:AB562" si="298">E560</f>
        <v>545292.46</v>
      </c>
      <c r="F562" s="9">
        <f t="shared" si="298"/>
        <v>545292.46</v>
      </c>
      <c r="G562" s="9">
        <f t="shared" si="298"/>
        <v>0</v>
      </c>
      <c r="H562" s="9">
        <f t="shared" si="298"/>
        <v>545292.46</v>
      </c>
      <c r="I562" s="9">
        <f t="shared" si="298"/>
        <v>0</v>
      </c>
      <c r="J562" s="9">
        <f t="shared" si="298"/>
        <v>0</v>
      </c>
      <c r="K562" s="9">
        <f t="shared" si="298"/>
        <v>0</v>
      </c>
      <c r="L562" s="9">
        <f t="shared" si="298"/>
        <v>0</v>
      </c>
      <c r="M562" s="9">
        <f t="shared" si="298"/>
        <v>545292.46</v>
      </c>
      <c r="N562" s="9">
        <f t="shared" si="298"/>
        <v>0</v>
      </c>
      <c r="O562" s="9">
        <f t="shared" si="298"/>
        <v>0</v>
      </c>
      <c r="P562" s="9">
        <f t="shared" si="298"/>
        <v>0</v>
      </c>
      <c r="Q562" s="9">
        <f t="shared" si="298"/>
        <v>0</v>
      </c>
      <c r="R562" s="9">
        <f t="shared" si="298"/>
        <v>0</v>
      </c>
      <c r="S562" s="9">
        <f t="shared" si="298"/>
        <v>0</v>
      </c>
      <c r="T562" s="9">
        <f t="shared" si="298"/>
        <v>0</v>
      </c>
      <c r="U562" s="9">
        <f t="shared" si="298"/>
        <v>0</v>
      </c>
      <c r="V562" s="9">
        <f t="shared" si="298"/>
        <v>545292.46</v>
      </c>
      <c r="W562" s="9">
        <f t="shared" si="298"/>
        <v>0</v>
      </c>
      <c r="X562" s="9">
        <f t="shared" si="298"/>
        <v>545292.46</v>
      </c>
      <c r="Y562" s="9">
        <f t="shared" si="298"/>
        <v>0</v>
      </c>
      <c r="Z562" s="9">
        <f t="shared" si="298"/>
        <v>0</v>
      </c>
      <c r="AA562" s="9">
        <f t="shared" si="298"/>
        <v>545292.46</v>
      </c>
      <c r="AB562" s="9">
        <f t="shared" si="298"/>
        <v>0</v>
      </c>
    </row>
    <row r="563" spans="1:28" x14ac:dyDescent="0.3">
      <c r="A563" s="64"/>
      <c r="B563" s="8"/>
      <c r="C563" s="8"/>
      <c r="D563" s="8"/>
      <c r="E563" s="17" t="s">
        <v>29</v>
      </c>
      <c r="F563" s="17" t="s">
        <v>29</v>
      </c>
      <c r="G563" s="17" t="s">
        <v>29</v>
      </c>
      <c r="H563" s="17" t="s">
        <v>29</v>
      </c>
      <c r="I563" s="17" t="s">
        <v>29</v>
      </c>
      <c r="J563" s="17" t="s">
        <v>29</v>
      </c>
      <c r="K563" s="17" t="s">
        <v>29</v>
      </c>
      <c r="L563" s="17" t="s">
        <v>29</v>
      </c>
      <c r="M563" s="17" t="s">
        <v>29</v>
      </c>
      <c r="N563" s="17" t="s">
        <v>29</v>
      </c>
      <c r="O563" s="17" t="s">
        <v>29</v>
      </c>
      <c r="P563" s="17" t="s">
        <v>29</v>
      </c>
      <c r="Q563" s="17" t="s">
        <v>29</v>
      </c>
      <c r="R563" s="17" t="s">
        <v>29</v>
      </c>
      <c r="S563" s="17" t="s">
        <v>29</v>
      </c>
      <c r="T563" s="17" t="s">
        <v>29</v>
      </c>
      <c r="U563" s="17" t="s">
        <v>29</v>
      </c>
      <c r="V563" s="17" t="s">
        <v>29</v>
      </c>
      <c r="W563" s="17" t="s">
        <v>29</v>
      </c>
      <c r="X563" s="17" t="s">
        <v>29</v>
      </c>
      <c r="Y563" s="17" t="s">
        <v>29</v>
      </c>
      <c r="Z563" s="17" t="s">
        <v>29</v>
      </c>
      <c r="AA563" s="17" t="s">
        <v>29</v>
      </c>
      <c r="AB563" s="17" t="s">
        <v>29</v>
      </c>
    </row>
    <row r="564" spans="1:28" x14ac:dyDescent="0.3">
      <c r="A564" s="63" t="s">
        <v>963</v>
      </c>
      <c r="B564" s="7" t="s">
        <v>184</v>
      </c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8" x14ac:dyDescent="0.3">
      <c r="A565" s="64"/>
      <c r="B565" s="8"/>
      <c r="C565" s="7" t="s">
        <v>185</v>
      </c>
      <c r="D565" s="15" t="s">
        <v>68</v>
      </c>
      <c r="E565" s="9">
        <v>1767770</v>
      </c>
      <c r="F565" s="9">
        <v>0</v>
      </c>
      <c r="G565" s="8"/>
      <c r="H565" s="9">
        <f>F565+G565</f>
        <v>0</v>
      </c>
      <c r="I565" s="8"/>
      <c r="J565" s="8"/>
      <c r="K565" s="8"/>
      <c r="L565" s="9"/>
      <c r="M565" s="9">
        <f>H565+L565</f>
        <v>0</v>
      </c>
      <c r="N565" s="9">
        <v>1767770</v>
      </c>
      <c r="O565" s="8"/>
      <c r="P565" s="9">
        <f>N565+O565</f>
        <v>1767770</v>
      </c>
      <c r="Q565" s="8"/>
      <c r="R565" s="8"/>
      <c r="S565" s="8"/>
      <c r="T565" s="9"/>
      <c r="U565" s="9">
        <f>P565+T565</f>
        <v>1767770</v>
      </c>
      <c r="V565" s="9">
        <f>P565+H565</f>
        <v>1767770</v>
      </c>
      <c r="W565" s="9">
        <f>E565-V565</f>
        <v>0</v>
      </c>
      <c r="X565" s="9">
        <f>+H565+P565</f>
        <v>1767770</v>
      </c>
      <c r="Y565" s="8"/>
      <c r="Z565" s="9">
        <f>+E565-X565</f>
        <v>0</v>
      </c>
      <c r="AA565" s="8">
        <f>+M565+U565</f>
        <v>1767770</v>
      </c>
      <c r="AB565" s="8">
        <f>+E565-AA565</f>
        <v>0</v>
      </c>
    </row>
    <row r="566" spans="1:28" x14ac:dyDescent="0.3">
      <c r="A566" s="64"/>
      <c r="B566" s="8"/>
      <c r="C566" s="7" t="s">
        <v>57</v>
      </c>
      <c r="D566" s="15" t="s">
        <v>128</v>
      </c>
      <c r="E566" s="9">
        <v>289800</v>
      </c>
      <c r="F566" s="9">
        <v>289800</v>
      </c>
      <c r="G566" s="8"/>
      <c r="H566" s="9">
        <f>F566+G566</f>
        <v>289800</v>
      </c>
      <c r="I566" s="8"/>
      <c r="J566" s="8"/>
      <c r="K566" s="8"/>
      <c r="L566" s="9"/>
      <c r="M566" s="9">
        <f>H566+L566</f>
        <v>289800</v>
      </c>
      <c r="N566" s="9">
        <v>0</v>
      </c>
      <c r="O566" s="8"/>
      <c r="P566" s="9">
        <f>N566+O566</f>
        <v>0</v>
      </c>
      <c r="Q566" s="8"/>
      <c r="R566" s="8"/>
      <c r="S566" s="8"/>
      <c r="T566" s="9"/>
      <c r="U566" s="9">
        <f>P566+T566</f>
        <v>0</v>
      </c>
      <c r="V566" s="9">
        <f>P566+H566</f>
        <v>289800</v>
      </c>
      <c r="W566" s="9">
        <f>E566-V566</f>
        <v>0</v>
      </c>
      <c r="X566" s="9">
        <f>+H566+P566</f>
        <v>289800</v>
      </c>
      <c r="Y566" s="8"/>
      <c r="Z566" s="9">
        <f>+E566-X566</f>
        <v>0</v>
      </c>
      <c r="AA566" s="8">
        <f>+M566+U566</f>
        <v>289800</v>
      </c>
      <c r="AB566" s="8">
        <f>+E566-AA566</f>
        <v>0</v>
      </c>
    </row>
    <row r="567" spans="1:28" x14ac:dyDescent="0.3">
      <c r="A567" s="64"/>
      <c r="B567" s="8"/>
      <c r="C567" s="14" t="s">
        <v>109</v>
      </c>
      <c r="D567" s="21" t="s">
        <v>60</v>
      </c>
      <c r="E567" s="9">
        <v>1511459.46</v>
      </c>
      <c r="F567" s="11">
        <v>1511459.46</v>
      </c>
      <c r="G567" s="8"/>
      <c r="H567" s="9">
        <f>F567+G567</f>
        <v>1511459.46</v>
      </c>
      <c r="I567" s="8"/>
      <c r="J567" s="8"/>
      <c r="K567" s="8"/>
      <c r="L567" s="9"/>
      <c r="M567" s="9">
        <f>H567+L567</f>
        <v>1511459.46</v>
      </c>
      <c r="N567" s="9">
        <v>0</v>
      </c>
      <c r="O567" s="8"/>
      <c r="P567" s="9">
        <f>N567+O567</f>
        <v>0</v>
      </c>
      <c r="Q567" s="8"/>
      <c r="R567" s="8"/>
      <c r="S567" s="8"/>
      <c r="T567" s="9"/>
      <c r="U567" s="9">
        <f>P567+T567</f>
        <v>0</v>
      </c>
      <c r="V567" s="9">
        <f>P567+H567</f>
        <v>1511459.46</v>
      </c>
      <c r="W567" s="9">
        <f>E567-V567</f>
        <v>0</v>
      </c>
      <c r="X567" s="9">
        <f>+H567+P567</f>
        <v>1511459.46</v>
      </c>
      <c r="Y567" s="8"/>
      <c r="Z567" s="9">
        <f>+E567-X567</f>
        <v>0</v>
      </c>
      <c r="AA567" s="8">
        <f>+M567+U567</f>
        <v>1511459.46</v>
      </c>
      <c r="AB567" s="8">
        <f>+E567-AA567</f>
        <v>0</v>
      </c>
    </row>
    <row r="568" spans="1:28" x14ac:dyDescent="0.3">
      <c r="A568" s="64"/>
      <c r="B568" s="8"/>
      <c r="C568" s="8"/>
      <c r="D568" s="8"/>
      <c r="E568" s="17" t="s">
        <v>29</v>
      </c>
      <c r="F568" s="17" t="s">
        <v>29</v>
      </c>
      <c r="G568" s="17" t="s">
        <v>29</v>
      </c>
      <c r="H568" s="17" t="s">
        <v>29</v>
      </c>
      <c r="I568" s="17" t="s">
        <v>29</v>
      </c>
      <c r="J568" s="17" t="s">
        <v>29</v>
      </c>
      <c r="K568" s="17" t="s">
        <v>29</v>
      </c>
      <c r="L568" s="17" t="s">
        <v>29</v>
      </c>
      <c r="M568" s="17" t="s">
        <v>29</v>
      </c>
      <c r="N568" s="17" t="s">
        <v>29</v>
      </c>
      <c r="O568" s="17" t="s">
        <v>29</v>
      </c>
      <c r="P568" s="17" t="s">
        <v>29</v>
      </c>
      <c r="Q568" s="17" t="s">
        <v>29</v>
      </c>
      <c r="R568" s="17" t="s">
        <v>29</v>
      </c>
      <c r="S568" s="17" t="s">
        <v>29</v>
      </c>
      <c r="T568" s="17" t="s">
        <v>29</v>
      </c>
      <c r="U568" s="17" t="s">
        <v>29</v>
      </c>
      <c r="V568" s="17" t="s">
        <v>29</v>
      </c>
      <c r="W568" s="17" t="s">
        <v>29</v>
      </c>
      <c r="X568" s="17" t="s">
        <v>29</v>
      </c>
      <c r="Y568" s="17" t="s">
        <v>29</v>
      </c>
      <c r="Z568" s="17" t="s">
        <v>29</v>
      </c>
      <c r="AA568" s="17" t="s">
        <v>29</v>
      </c>
      <c r="AB568" s="17" t="s">
        <v>29</v>
      </c>
    </row>
    <row r="569" spans="1:28" x14ac:dyDescent="0.3">
      <c r="A569" s="64"/>
      <c r="B569" s="8"/>
      <c r="C569" s="8"/>
      <c r="D569" s="8"/>
      <c r="E569" s="9">
        <f t="shared" ref="E569:AB569" si="299">SUM(E565:E567)</f>
        <v>3569029.46</v>
      </c>
      <c r="F569" s="9">
        <f t="shared" si="299"/>
        <v>1801259.46</v>
      </c>
      <c r="G569" s="9">
        <f t="shared" si="299"/>
        <v>0</v>
      </c>
      <c r="H569" s="9">
        <f t="shared" si="299"/>
        <v>1801259.46</v>
      </c>
      <c r="I569" s="9">
        <f t="shared" si="299"/>
        <v>0</v>
      </c>
      <c r="J569" s="9">
        <f t="shared" si="299"/>
        <v>0</v>
      </c>
      <c r="K569" s="9">
        <f t="shared" si="299"/>
        <v>0</v>
      </c>
      <c r="L569" s="9">
        <f t="shared" si="299"/>
        <v>0</v>
      </c>
      <c r="M569" s="9">
        <f t="shared" si="299"/>
        <v>1801259.46</v>
      </c>
      <c r="N569" s="9">
        <f t="shared" si="299"/>
        <v>1767770</v>
      </c>
      <c r="O569" s="9">
        <f t="shared" si="299"/>
        <v>0</v>
      </c>
      <c r="P569" s="9">
        <f t="shared" si="299"/>
        <v>1767770</v>
      </c>
      <c r="Q569" s="9">
        <f t="shared" si="299"/>
        <v>0</v>
      </c>
      <c r="R569" s="9">
        <f t="shared" si="299"/>
        <v>0</v>
      </c>
      <c r="S569" s="9">
        <f t="shared" si="299"/>
        <v>0</v>
      </c>
      <c r="T569" s="9">
        <f t="shared" si="299"/>
        <v>0</v>
      </c>
      <c r="U569" s="9">
        <f t="shared" si="299"/>
        <v>1767770</v>
      </c>
      <c r="V569" s="9">
        <f t="shared" si="299"/>
        <v>3569029.46</v>
      </c>
      <c r="W569" s="9">
        <f t="shared" si="299"/>
        <v>0</v>
      </c>
      <c r="X569" s="9">
        <f t="shared" si="299"/>
        <v>3569029.46</v>
      </c>
      <c r="Y569" s="9">
        <f t="shared" si="299"/>
        <v>0</v>
      </c>
      <c r="Z569" s="9">
        <f t="shared" si="299"/>
        <v>0</v>
      </c>
      <c r="AA569" s="9">
        <f t="shared" si="299"/>
        <v>3569029.46</v>
      </c>
      <c r="AB569" s="9">
        <f t="shared" si="299"/>
        <v>0</v>
      </c>
    </row>
    <row r="570" spans="1:28" x14ac:dyDescent="0.3">
      <c r="A570" s="64"/>
      <c r="B570" s="8"/>
      <c r="C570" s="8"/>
      <c r="D570" s="8"/>
      <c r="E570" s="17" t="s">
        <v>29</v>
      </c>
      <c r="F570" s="17" t="s">
        <v>29</v>
      </c>
      <c r="G570" s="17" t="s">
        <v>29</v>
      </c>
      <c r="H570" s="17" t="s">
        <v>29</v>
      </c>
      <c r="I570" s="17" t="s">
        <v>29</v>
      </c>
      <c r="J570" s="17" t="s">
        <v>29</v>
      </c>
      <c r="K570" s="17" t="s">
        <v>29</v>
      </c>
      <c r="L570" s="17" t="s">
        <v>29</v>
      </c>
      <c r="M570" s="17" t="s">
        <v>29</v>
      </c>
      <c r="N570" s="17" t="s">
        <v>29</v>
      </c>
      <c r="O570" s="17" t="s">
        <v>29</v>
      </c>
      <c r="P570" s="17" t="s">
        <v>29</v>
      </c>
      <c r="Q570" s="17" t="s">
        <v>29</v>
      </c>
      <c r="R570" s="17" t="s">
        <v>29</v>
      </c>
      <c r="S570" s="17" t="s">
        <v>29</v>
      </c>
      <c r="T570" s="17" t="s">
        <v>29</v>
      </c>
      <c r="U570" s="17" t="s">
        <v>29</v>
      </c>
      <c r="V570" s="17" t="s">
        <v>29</v>
      </c>
      <c r="W570" s="17" t="s">
        <v>29</v>
      </c>
      <c r="X570" s="17" t="s">
        <v>29</v>
      </c>
      <c r="Y570" s="17" t="s">
        <v>29</v>
      </c>
      <c r="Z570" s="17" t="s">
        <v>29</v>
      </c>
      <c r="AA570" s="17" t="s">
        <v>29</v>
      </c>
      <c r="AB570" s="17" t="s">
        <v>29</v>
      </c>
    </row>
    <row r="571" spans="1:28" x14ac:dyDescent="0.3">
      <c r="A571" s="63" t="s">
        <v>964</v>
      </c>
      <c r="B571" s="7" t="s">
        <v>186</v>
      </c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58"/>
    </row>
    <row r="572" spans="1:28" x14ac:dyDescent="0.3">
      <c r="A572" s="64"/>
      <c r="B572" s="8"/>
      <c r="C572" s="7" t="s">
        <v>75</v>
      </c>
      <c r="D572" s="21" t="s">
        <v>76</v>
      </c>
      <c r="E572" s="9">
        <v>3788000</v>
      </c>
      <c r="F572" s="9">
        <v>0</v>
      </c>
      <c r="G572" s="8"/>
      <c r="H572" s="9">
        <f>F572+G572</f>
        <v>0</v>
      </c>
      <c r="I572" s="8"/>
      <c r="J572" s="8"/>
      <c r="K572" s="8"/>
      <c r="L572" s="9"/>
      <c r="M572" s="9">
        <f>H572+L572</f>
        <v>0</v>
      </c>
      <c r="N572" s="9">
        <v>3788000</v>
      </c>
      <c r="O572" s="8"/>
      <c r="P572" s="9">
        <f>N572+O572</f>
        <v>3788000</v>
      </c>
      <c r="Q572" s="8"/>
      <c r="R572" s="8"/>
      <c r="S572" s="8"/>
      <c r="T572" s="9"/>
      <c r="U572" s="9">
        <f>P572+T572</f>
        <v>3788000</v>
      </c>
      <c r="V572" s="9">
        <f>P572+H572</f>
        <v>3788000</v>
      </c>
      <c r="W572" s="9">
        <f>E572-V572</f>
        <v>0</v>
      </c>
      <c r="X572" s="9">
        <f t="shared" ref="X572:X586" si="300">+H572+P572</f>
        <v>3788000</v>
      </c>
      <c r="Y572" s="8"/>
      <c r="Z572" s="9">
        <f t="shared" ref="Z572:Z586" si="301">+E572-X572</f>
        <v>0</v>
      </c>
      <c r="AA572" s="8">
        <f t="shared" ref="AA572:AA586" si="302">+M572+U572</f>
        <v>3788000</v>
      </c>
      <c r="AB572" s="8">
        <f t="shared" ref="AB572:AB586" si="303">+E572-AA572</f>
        <v>0</v>
      </c>
    </row>
    <row r="573" spans="1:28" x14ac:dyDescent="0.3">
      <c r="A573" s="64"/>
      <c r="B573" s="8"/>
      <c r="C573" s="7" t="s">
        <v>149</v>
      </c>
      <c r="D573" s="21" t="s">
        <v>150</v>
      </c>
      <c r="E573" s="9">
        <v>1641675</v>
      </c>
      <c r="F573" s="9">
        <v>658581.39</v>
      </c>
      <c r="G573" s="8"/>
      <c r="H573" s="9">
        <f>F573+G573</f>
        <v>658581.39</v>
      </c>
      <c r="I573" s="8"/>
      <c r="J573" s="8"/>
      <c r="K573" s="8"/>
      <c r="L573" s="9"/>
      <c r="M573" s="9">
        <f>H573+L573</f>
        <v>658581.39</v>
      </c>
      <c r="N573" s="9">
        <v>211710</v>
      </c>
      <c r="O573" s="8"/>
      <c r="P573" s="9">
        <f>N573+O573</f>
        <v>211710</v>
      </c>
      <c r="Q573" s="8"/>
      <c r="R573" s="8"/>
      <c r="S573" s="8"/>
      <c r="T573" s="9"/>
      <c r="U573" s="9">
        <f>P573+T573</f>
        <v>211710</v>
      </c>
      <c r="V573" s="9">
        <f>P573+H573</f>
        <v>870291.39</v>
      </c>
      <c r="W573" s="9">
        <f>E573-V573</f>
        <v>771383.61</v>
      </c>
      <c r="X573" s="9">
        <f t="shared" si="300"/>
        <v>870291.39</v>
      </c>
      <c r="Y573" s="8"/>
      <c r="Z573" s="9">
        <f t="shared" si="301"/>
        <v>771383.61</v>
      </c>
      <c r="AA573" s="8">
        <f t="shared" si="302"/>
        <v>870291.39</v>
      </c>
      <c r="AB573" s="8">
        <f t="shared" si="303"/>
        <v>771383.61</v>
      </c>
    </row>
    <row r="574" spans="1:28" x14ac:dyDescent="0.3">
      <c r="A574" s="64"/>
      <c r="B574" s="8"/>
      <c r="C574" s="7" t="s">
        <v>187</v>
      </c>
      <c r="D574" s="7" t="s">
        <v>188</v>
      </c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9">
        <f t="shared" si="300"/>
        <v>0</v>
      </c>
      <c r="Y574" s="8"/>
      <c r="Z574" s="9">
        <f t="shared" si="301"/>
        <v>0</v>
      </c>
      <c r="AA574" s="8">
        <f t="shared" si="302"/>
        <v>0</v>
      </c>
      <c r="AB574" s="8">
        <f t="shared" si="303"/>
        <v>0</v>
      </c>
    </row>
    <row r="575" spans="1:28" x14ac:dyDescent="0.3">
      <c r="A575" s="64"/>
      <c r="B575" s="8"/>
      <c r="C575" s="14" t="s">
        <v>174</v>
      </c>
      <c r="D575" s="14" t="s">
        <v>189</v>
      </c>
      <c r="E575" s="9">
        <v>25150521.109999999</v>
      </c>
      <c r="F575" s="9">
        <f>8607242.26+338250+2833000+1474450+927400+10072362.14</f>
        <v>24252704.399999999</v>
      </c>
      <c r="G575" s="8"/>
      <c r="H575" s="9">
        <f t="shared" ref="H575:H586" si="304">F575+G575</f>
        <v>24252704.399999999</v>
      </c>
      <c r="I575" s="8"/>
      <c r="J575" s="8"/>
      <c r="K575" s="8"/>
      <c r="L575" s="9"/>
      <c r="M575" s="9">
        <f t="shared" ref="M575:M586" si="305">H575+L575</f>
        <v>24252704.399999999</v>
      </c>
      <c r="N575" s="9">
        <f>308726.84+589089.87</f>
        <v>897816.71</v>
      </c>
      <c r="O575" s="8"/>
      <c r="P575" s="9">
        <f t="shared" ref="P575:P586" si="306">N575+O575</f>
        <v>897816.71</v>
      </c>
      <c r="Q575" s="9"/>
      <c r="R575" s="8"/>
      <c r="S575" s="9"/>
      <c r="T575" s="9"/>
      <c r="U575" s="9">
        <f t="shared" ref="U575:U586" si="307">P575+T575</f>
        <v>897816.71</v>
      </c>
      <c r="V575" s="9">
        <f t="shared" ref="V575:V586" si="308">P575+H575</f>
        <v>25150521.109999999</v>
      </c>
      <c r="W575" s="9">
        <f t="shared" ref="W575:W586" si="309">E575-V575</f>
        <v>0</v>
      </c>
      <c r="X575" s="9">
        <f t="shared" si="300"/>
        <v>25150521.109999999</v>
      </c>
      <c r="Y575" s="8"/>
      <c r="Z575" s="9">
        <f t="shared" si="301"/>
        <v>0</v>
      </c>
      <c r="AA575" s="8">
        <f t="shared" si="302"/>
        <v>25150521.109999999</v>
      </c>
      <c r="AB575" s="8">
        <f t="shared" si="303"/>
        <v>0</v>
      </c>
    </row>
    <row r="576" spans="1:28" x14ac:dyDescent="0.3">
      <c r="A576" s="64"/>
      <c r="B576" s="8"/>
      <c r="C576" s="7" t="s">
        <v>55</v>
      </c>
      <c r="D576" s="15" t="s">
        <v>68</v>
      </c>
      <c r="E576" s="9">
        <v>3195992</v>
      </c>
      <c r="F576" s="9">
        <v>0</v>
      </c>
      <c r="G576" s="8"/>
      <c r="H576" s="9">
        <f t="shared" si="304"/>
        <v>0</v>
      </c>
      <c r="I576" s="8"/>
      <c r="J576" s="8"/>
      <c r="K576" s="8"/>
      <c r="L576" s="9"/>
      <c r="M576" s="9">
        <f t="shared" si="305"/>
        <v>0</v>
      </c>
      <c r="N576" s="9">
        <v>3195992</v>
      </c>
      <c r="O576" s="8"/>
      <c r="P576" s="9">
        <f t="shared" si="306"/>
        <v>3195992</v>
      </c>
      <c r="Q576" s="8"/>
      <c r="R576" s="8"/>
      <c r="S576" s="8"/>
      <c r="T576" s="9"/>
      <c r="U576" s="9">
        <f t="shared" si="307"/>
        <v>3195992</v>
      </c>
      <c r="V576" s="9">
        <f t="shared" si="308"/>
        <v>3195992</v>
      </c>
      <c r="W576" s="9">
        <f t="shared" si="309"/>
        <v>0</v>
      </c>
      <c r="X576" s="9">
        <f t="shared" si="300"/>
        <v>3195992</v>
      </c>
      <c r="Y576" s="8"/>
      <c r="Z576" s="9">
        <f t="shared" si="301"/>
        <v>0</v>
      </c>
      <c r="AA576" s="8">
        <f t="shared" si="302"/>
        <v>3195992</v>
      </c>
      <c r="AB576" s="8">
        <f t="shared" si="303"/>
        <v>0</v>
      </c>
    </row>
    <row r="577" spans="1:28" x14ac:dyDescent="0.3">
      <c r="A577" s="64"/>
      <c r="B577" s="8"/>
      <c r="C577" s="7" t="s">
        <v>53</v>
      </c>
      <c r="D577" s="15" t="s">
        <v>68</v>
      </c>
      <c r="E577" s="9">
        <v>1953989</v>
      </c>
      <c r="F577" s="9">
        <v>0</v>
      </c>
      <c r="G577" s="8"/>
      <c r="H577" s="9">
        <f t="shared" si="304"/>
        <v>0</v>
      </c>
      <c r="I577" s="8"/>
      <c r="J577" s="8"/>
      <c r="K577" s="8"/>
      <c r="L577" s="9"/>
      <c r="M577" s="9">
        <f t="shared" si="305"/>
        <v>0</v>
      </c>
      <c r="N577" s="9">
        <v>1953989</v>
      </c>
      <c r="O577" s="8"/>
      <c r="P577" s="9">
        <f t="shared" si="306"/>
        <v>1953989</v>
      </c>
      <c r="Q577" s="8"/>
      <c r="R577" s="8"/>
      <c r="S577" s="8"/>
      <c r="T577" s="9"/>
      <c r="U577" s="9">
        <f t="shared" si="307"/>
        <v>1953989</v>
      </c>
      <c r="V577" s="9">
        <f t="shared" si="308"/>
        <v>1953989</v>
      </c>
      <c r="W577" s="9">
        <f t="shared" si="309"/>
        <v>0</v>
      </c>
      <c r="X577" s="9">
        <f t="shared" si="300"/>
        <v>1953989</v>
      </c>
      <c r="Y577" s="8"/>
      <c r="Z577" s="9">
        <f t="shared" si="301"/>
        <v>0</v>
      </c>
      <c r="AA577" s="8">
        <f t="shared" si="302"/>
        <v>1953989</v>
      </c>
      <c r="AB577" s="8">
        <f t="shared" si="303"/>
        <v>0</v>
      </c>
    </row>
    <row r="578" spans="1:28" x14ac:dyDescent="0.3">
      <c r="A578" s="64"/>
      <c r="B578" s="8"/>
      <c r="C578" s="7" t="s">
        <v>69</v>
      </c>
      <c r="D578" s="15" t="s">
        <v>85</v>
      </c>
      <c r="E578" s="9">
        <v>955345.62</v>
      </c>
      <c r="F578" s="9">
        <v>0</v>
      </c>
      <c r="G578" s="8"/>
      <c r="H578" s="9">
        <f t="shared" si="304"/>
        <v>0</v>
      </c>
      <c r="I578" s="8"/>
      <c r="J578" s="8"/>
      <c r="K578" s="8"/>
      <c r="L578" s="9"/>
      <c r="M578" s="9">
        <f t="shared" si="305"/>
        <v>0</v>
      </c>
      <c r="N578" s="9">
        <v>955345.62</v>
      </c>
      <c r="O578" s="8"/>
      <c r="P578" s="9">
        <f t="shared" si="306"/>
        <v>955345.62</v>
      </c>
      <c r="Q578" s="8"/>
      <c r="R578" s="8"/>
      <c r="S578" s="8"/>
      <c r="T578" s="9"/>
      <c r="U578" s="9">
        <f t="shared" si="307"/>
        <v>955345.62</v>
      </c>
      <c r="V578" s="9">
        <f t="shared" si="308"/>
        <v>955345.62</v>
      </c>
      <c r="W578" s="9">
        <f t="shared" si="309"/>
        <v>0</v>
      </c>
      <c r="X578" s="9">
        <f t="shared" si="300"/>
        <v>955345.62</v>
      </c>
      <c r="Y578" s="8"/>
      <c r="Z578" s="9">
        <f t="shared" si="301"/>
        <v>0</v>
      </c>
      <c r="AA578" s="8">
        <f t="shared" si="302"/>
        <v>955345.62</v>
      </c>
      <c r="AB578" s="8">
        <f t="shared" si="303"/>
        <v>0</v>
      </c>
    </row>
    <row r="579" spans="1:28" x14ac:dyDescent="0.3">
      <c r="A579" s="64"/>
      <c r="B579" s="8"/>
      <c r="C579" s="7" t="s">
        <v>57</v>
      </c>
      <c r="D579" s="15" t="s">
        <v>58</v>
      </c>
      <c r="E579" s="9">
        <v>7490939.2599999998</v>
      </c>
      <c r="F579" s="9">
        <f>0+7490939.26</f>
        <v>7490939.2599999998</v>
      </c>
      <c r="G579" s="8"/>
      <c r="H579" s="9">
        <f t="shared" si="304"/>
        <v>7490939.2599999998</v>
      </c>
      <c r="I579" s="8"/>
      <c r="J579" s="8"/>
      <c r="K579" s="8"/>
      <c r="L579" s="9"/>
      <c r="M579" s="9">
        <f t="shared" si="305"/>
        <v>7490939.2599999998</v>
      </c>
      <c r="N579" s="9">
        <v>0</v>
      </c>
      <c r="O579" s="8"/>
      <c r="P579" s="9">
        <f t="shared" si="306"/>
        <v>0</v>
      </c>
      <c r="Q579" s="8"/>
      <c r="R579" s="8"/>
      <c r="S579" s="8"/>
      <c r="T579" s="9"/>
      <c r="U579" s="9">
        <f t="shared" si="307"/>
        <v>0</v>
      </c>
      <c r="V579" s="9">
        <f t="shared" si="308"/>
        <v>7490939.2599999998</v>
      </c>
      <c r="W579" s="9">
        <f t="shared" si="309"/>
        <v>0</v>
      </c>
      <c r="X579" s="9">
        <f t="shared" si="300"/>
        <v>7490939.2599999998</v>
      </c>
      <c r="Y579" s="8"/>
      <c r="Z579" s="9">
        <f t="shared" si="301"/>
        <v>0</v>
      </c>
      <c r="AA579" s="8">
        <f t="shared" si="302"/>
        <v>7490939.2599999998</v>
      </c>
      <c r="AB579" s="8">
        <f t="shared" si="303"/>
        <v>0</v>
      </c>
    </row>
    <row r="580" spans="1:28" x14ac:dyDescent="0.3">
      <c r="A580" s="64"/>
      <c r="B580" s="8"/>
      <c r="C580" s="14" t="s">
        <v>109</v>
      </c>
      <c r="D580" s="21" t="s">
        <v>60</v>
      </c>
      <c r="E580" s="9">
        <v>2500000</v>
      </c>
      <c r="F580" s="11">
        <v>2500000</v>
      </c>
      <c r="G580" s="8"/>
      <c r="H580" s="9">
        <f t="shared" si="304"/>
        <v>2500000</v>
      </c>
      <c r="I580" s="8"/>
      <c r="J580" s="8"/>
      <c r="K580" s="8"/>
      <c r="L580" s="9"/>
      <c r="M580" s="9">
        <f t="shared" si="305"/>
        <v>2500000</v>
      </c>
      <c r="N580" s="9">
        <v>0</v>
      </c>
      <c r="O580" s="8"/>
      <c r="P580" s="9">
        <f t="shared" si="306"/>
        <v>0</v>
      </c>
      <c r="Q580" s="8"/>
      <c r="R580" s="8"/>
      <c r="S580" s="8"/>
      <c r="T580" s="9"/>
      <c r="U580" s="9">
        <f t="shared" si="307"/>
        <v>0</v>
      </c>
      <c r="V580" s="9">
        <f t="shared" si="308"/>
        <v>2500000</v>
      </c>
      <c r="W580" s="9">
        <f t="shared" si="309"/>
        <v>0</v>
      </c>
      <c r="X580" s="9">
        <f t="shared" si="300"/>
        <v>2500000</v>
      </c>
      <c r="Y580" s="8"/>
      <c r="Z580" s="9">
        <f t="shared" si="301"/>
        <v>0</v>
      </c>
      <c r="AA580" s="8">
        <f t="shared" si="302"/>
        <v>2500000</v>
      </c>
      <c r="AB580" s="8">
        <f t="shared" si="303"/>
        <v>0</v>
      </c>
    </row>
    <row r="581" spans="1:28" x14ac:dyDescent="0.3">
      <c r="A581" s="64"/>
      <c r="B581" s="8"/>
      <c r="C581" s="14" t="s">
        <v>932</v>
      </c>
      <c r="D581" s="21"/>
      <c r="E581" s="9">
        <f>300000+400000</f>
        <v>700000</v>
      </c>
      <c r="F581" s="8">
        <v>700000</v>
      </c>
      <c r="G581" s="8"/>
      <c r="H581" s="9">
        <f>+F581+G581</f>
        <v>700000</v>
      </c>
      <c r="I581" s="8"/>
      <c r="J581" s="8"/>
      <c r="K581" s="8"/>
      <c r="L581" s="9"/>
      <c r="M581" s="9">
        <f>+H581+L581</f>
        <v>700000</v>
      </c>
      <c r="N581" s="9">
        <v>0</v>
      </c>
      <c r="O581" s="8"/>
      <c r="P581" s="9">
        <f>+N581+O581</f>
        <v>0</v>
      </c>
      <c r="Q581" s="8"/>
      <c r="R581" s="8"/>
      <c r="S581" s="8"/>
      <c r="T581" s="9"/>
      <c r="U581" s="9">
        <f>P581+T581</f>
        <v>0</v>
      </c>
      <c r="V581" s="9">
        <f>P581+H581</f>
        <v>700000</v>
      </c>
      <c r="W581" s="9">
        <f>E581-V581</f>
        <v>0</v>
      </c>
      <c r="X581" s="9">
        <f t="shared" si="300"/>
        <v>700000</v>
      </c>
      <c r="Y581" s="8"/>
      <c r="Z581" s="9">
        <f t="shared" si="301"/>
        <v>0</v>
      </c>
      <c r="AA581" s="8">
        <f t="shared" si="302"/>
        <v>700000</v>
      </c>
      <c r="AB581" s="8">
        <f t="shared" si="303"/>
        <v>0</v>
      </c>
    </row>
    <row r="582" spans="1:28" x14ac:dyDescent="0.3">
      <c r="A582" s="64"/>
      <c r="B582" s="8"/>
      <c r="C582" s="14" t="s">
        <v>1127</v>
      </c>
      <c r="D582" s="24" t="s">
        <v>1126</v>
      </c>
      <c r="E582" s="9">
        <v>300000</v>
      </c>
      <c r="F582" s="8">
        <v>300000</v>
      </c>
      <c r="G582" s="8"/>
      <c r="H582" s="9">
        <f>+F582+G582</f>
        <v>300000</v>
      </c>
      <c r="I582" s="8"/>
      <c r="J582" s="8"/>
      <c r="K582" s="8"/>
      <c r="L582" s="9"/>
      <c r="M582" s="9">
        <f>+H582+L582</f>
        <v>300000</v>
      </c>
      <c r="N582" s="9">
        <v>0</v>
      </c>
      <c r="O582" s="8"/>
      <c r="P582" s="9">
        <f>+N582+O582</f>
        <v>0</v>
      </c>
      <c r="Q582" s="8"/>
      <c r="R582" s="8"/>
      <c r="S582" s="8"/>
      <c r="T582" s="9"/>
      <c r="U582" s="9">
        <f>P582+T582</f>
        <v>0</v>
      </c>
      <c r="V582" s="9">
        <f>P582+H582</f>
        <v>300000</v>
      </c>
      <c r="W582" s="9"/>
      <c r="X582" s="9">
        <f t="shared" si="300"/>
        <v>300000</v>
      </c>
      <c r="Y582" s="8"/>
      <c r="Z582" s="9">
        <f>+E582-X582</f>
        <v>0</v>
      </c>
      <c r="AA582" s="8">
        <f>+M582+U582</f>
        <v>300000</v>
      </c>
      <c r="AB582" s="8">
        <f>+E582-AA582</f>
        <v>0</v>
      </c>
    </row>
    <row r="583" spans="1:28" x14ac:dyDescent="0.3">
      <c r="A583" s="64"/>
      <c r="B583" s="8"/>
      <c r="C583" s="14" t="s">
        <v>930</v>
      </c>
      <c r="D583" s="24" t="s">
        <v>1126</v>
      </c>
      <c r="E583" s="9">
        <v>937452.23</v>
      </c>
      <c r="F583" s="8">
        <v>937452.23</v>
      </c>
      <c r="G583" s="8"/>
      <c r="H583" s="9">
        <f>+F583+G583</f>
        <v>937452.23</v>
      </c>
      <c r="I583" s="8"/>
      <c r="J583" s="8"/>
      <c r="K583" s="8"/>
      <c r="L583" s="9"/>
      <c r="M583" s="9">
        <f>+H583+L583</f>
        <v>937452.23</v>
      </c>
      <c r="N583" s="9">
        <v>0</v>
      </c>
      <c r="O583" s="8"/>
      <c r="P583" s="9">
        <f>+N583+O583</f>
        <v>0</v>
      </c>
      <c r="Q583" s="8"/>
      <c r="R583" s="8"/>
      <c r="S583" s="8"/>
      <c r="T583" s="9"/>
      <c r="U583" s="9">
        <f>+P583+T583</f>
        <v>0</v>
      </c>
      <c r="V583" s="9"/>
      <c r="W583" s="9"/>
      <c r="X583" s="9">
        <f>+H583+P583</f>
        <v>937452.23</v>
      </c>
      <c r="Y583" s="8"/>
      <c r="Z583" s="9">
        <f>+E583-X583</f>
        <v>0</v>
      </c>
      <c r="AA583" s="8">
        <f>+M583+U583</f>
        <v>937452.23</v>
      </c>
      <c r="AB583" s="8">
        <f>+E583-AA583</f>
        <v>0</v>
      </c>
    </row>
    <row r="584" spans="1:28" x14ac:dyDescent="0.3">
      <c r="A584" s="64"/>
      <c r="B584" s="8"/>
      <c r="C584" s="14" t="s">
        <v>1163</v>
      </c>
      <c r="D584" s="24" t="s">
        <v>1126</v>
      </c>
      <c r="E584" s="9">
        <v>400000</v>
      </c>
      <c r="F584" s="8">
        <v>400000</v>
      </c>
      <c r="G584" s="8"/>
      <c r="H584" s="9">
        <f>+F584+G584</f>
        <v>400000</v>
      </c>
      <c r="I584" s="8"/>
      <c r="J584" s="8"/>
      <c r="K584" s="8"/>
      <c r="L584" s="9"/>
      <c r="M584" s="9">
        <f>+H584+L584</f>
        <v>400000</v>
      </c>
      <c r="N584" s="9">
        <v>0</v>
      </c>
      <c r="O584" s="8"/>
      <c r="P584" s="9">
        <f>+N584+O584</f>
        <v>0</v>
      </c>
      <c r="Q584" s="8"/>
      <c r="R584" s="8"/>
      <c r="S584" s="8"/>
      <c r="T584" s="9"/>
      <c r="U584" s="9">
        <f>+P584+T584</f>
        <v>0</v>
      </c>
      <c r="V584" s="9"/>
      <c r="W584" s="9"/>
      <c r="X584" s="9">
        <f>+H584+P584</f>
        <v>400000</v>
      </c>
      <c r="Y584" s="8"/>
      <c r="Z584" s="9">
        <f>+E584-X584</f>
        <v>0</v>
      </c>
      <c r="AA584" s="8">
        <f>+M584+U584</f>
        <v>400000</v>
      </c>
      <c r="AB584" s="8">
        <f>+E584-AA584</f>
        <v>0</v>
      </c>
    </row>
    <row r="585" spans="1:28" x14ac:dyDescent="0.3">
      <c r="A585" s="64"/>
      <c r="B585" s="8"/>
      <c r="C585" s="14" t="s">
        <v>1192</v>
      </c>
      <c r="D585" s="24" t="s">
        <v>1126</v>
      </c>
      <c r="E585" s="9">
        <f>1490957.85+394171.5</f>
        <v>1885129.35</v>
      </c>
      <c r="F585" s="8">
        <f>1490957.85+394171.5</f>
        <v>1885129.35</v>
      </c>
      <c r="G585" s="8"/>
      <c r="H585" s="9">
        <f>+F585+G585</f>
        <v>1885129.35</v>
      </c>
      <c r="I585" s="8"/>
      <c r="J585" s="8"/>
      <c r="K585" s="8"/>
      <c r="L585" s="9"/>
      <c r="M585" s="9">
        <f>+H585+L585</f>
        <v>1885129.35</v>
      </c>
      <c r="N585" s="9">
        <v>0</v>
      </c>
      <c r="O585" s="8"/>
      <c r="P585" s="9">
        <f>+N585+O585</f>
        <v>0</v>
      </c>
      <c r="Q585" s="8"/>
      <c r="R585" s="8"/>
      <c r="S585" s="8"/>
      <c r="T585" s="9"/>
      <c r="U585" s="9">
        <f>+P585+T585</f>
        <v>0</v>
      </c>
      <c r="V585" s="9"/>
      <c r="W585" s="9"/>
      <c r="X585" s="9">
        <f>+H585+P585</f>
        <v>1885129.35</v>
      </c>
      <c r="Y585" s="8"/>
      <c r="Z585" s="9">
        <f>+E585-X585</f>
        <v>0</v>
      </c>
      <c r="AA585" s="8">
        <f>+M585+U585</f>
        <v>1885129.35</v>
      </c>
      <c r="AB585" s="8">
        <f>+E585-AA585</f>
        <v>0</v>
      </c>
    </row>
    <row r="586" spans="1:28" x14ac:dyDescent="0.3">
      <c r="A586" s="64"/>
      <c r="B586" s="8"/>
      <c r="C586" s="7" t="s">
        <v>57</v>
      </c>
      <c r="D586" s="24" t="s">
        <v>61</v>
      </c>
      <c r="E586" s="9">
        <v>1125777.46</v>
      </c>
      <c r="F586" s="8">
        <v>1125777.46</v>
      </c>
      <c r="G586" s="8"/>
      <c r="H586" s="9">
        <f t="shared" si="304"/>
        <v>1125777.46</v>
      </c>
      <c r="I586" s="8"/>
      <c r="J586" s="8"/>
      <c r="K586" s="8"/>
      <c r="L586" s="9"/>
      <c r="M586" s="9">
        <f t="shared" si="305"/>
        <v>1125777.46</v>
      </c>
      <c r="N586" s="9">
        <v>0</v>
      </c>
      <c r="O586" s="8"/>
      <c r="P586" s="9">
        <f t="shared" si="306"/>
        <v>0</v>
      </c>
      <c r="Q586" s="8"/>
      <c r="R586" s="8"/>
      <c r="S586" s="8"/>
      <c r="T586" s="9"/>
      <c r="U586" s="9">
        <f t="shared" si="307"/>
        <v>0</v>
      </c>
      <c r="V586" s="9">
        <f t="shared" si="308"/>
        <v>1125777.46</v>
      </c>
      <c r="W586" s="9">
        <f t="shared" si="309"/>
        <v>0</v>
      </c>
      <c r="X586" s="9">
        <f t="shared" si="300"/>
        <v>1125777.46</v>
      </c>
      <c r="Y586" s="8"/>
      <c r="Z586" s="9">
        <f t="shared" si="301"/>
        <v>0</v>
      </c>
      <c r="AA586" s="8">
        <f t="shared" si="302"/>
        <v>1125777.46</v>
      </c>
      <c r="AB586" s="8">
        <f t="shared" si="303"/>
        <v>0</v>
      </c>
    </row>
    <row r="587" spans="1:28" x14ac:dyDescent="0.3">
      <c r="A587" s="64"/>
      <c r="B587" s="8"/>
      <c r="C587" s="8"/>
      <c r="D587" s="8"/>
      <c r="E587" s="17" t="s">
        <v>29</v>
      </c>
      <c r="F587" s="17" t="s">
        <v>29</v>
      </c>
      <c r="G587" s="17" t="s">
        <v>29</v>
      </c>
      <c r="H587" s="17" t="s">
        <v>29</v>
      </c>
      <c r="I587" s="17" t="s">
        <v>29</v>
      </c>
      <c r="J587" s="17" t="s">
        <v>29</v>
      </c>
      <c r="K587" s="17" t="s">
        <v>29</v>
      </c>
      <c r="L587" s="17" t="s">
        <v>29</v>
      </c>
      <c r="M587" s="17" t="s">
        <v>29</v>
      </c>
      <c r="N587" s="17" t="s">
        <v>29</v>
      </c>
      <c r="O587" s="17" t="s">
        <v>29</v>
      </c>
      <c r="P587" s="17" t="s">
        <v>29</v>
      </c>
      <c r="Q587" s="17" t="s">
        <v>29</v>
      </c>
      <c r="R587" s="17" t="s">
        <v>29</v>
      </c>
      <c r="S587" s="17" t="s">
        <v>29</v>
      </c>
      <c r="T587" s="17" t="s">
        <v>29</v>
      </c>
      <c r="U587" s="17" t="s">
        <v>29</v>
      </c>
      <c r="V587" s="17" t="s">
        <v>29</v>
      </c>
      <c r="W587" s="17" t="s">
        <v>29</v>
      </c>
      <c r="X587" s="17" t="s">
        <v>29</v>
      </c>
      <c r="Y587" s="17" t="s">
        <v>29</v>
      </c>
      <c r="Z587" s="17" t="s">
        <v>29</v>
      </c>
      <c r="AA587" s="17" t="s">
        <v>29</v>
      </c>
      <c r="AB587" s="17" t="s">
        <v>29</v>
      </c>
    </row>
    <row r="588" spans="1:28" x14ac:dyDescent="0.3">
      <c r="A588" s="64"/>
      <c r="B588" s="8"/>
      <c r="C588" s="8"/>
      <c r="D588" s="8"/>
      <c r="E588" s="9">
        <f t="shared" ref="E588:AB588" si="310">SUM(E572:E586)</f>
        <v>52024821.029999994</v>
      </c>
      <c r="F588" s="9">
        <f t="shared" si="310"/>
        <v>40250584.089999996</v>
      </c>
      <c r="G588" s="9">
        <f t="shared" si="310"/>
        <v>0</v>
      </c>
      <c r="H588" s="9">
        <f t="shared" si="310"/>
        <v>40250584.089999996</v>
      </c>
      <c r="I588" s="9">
        <f t="shared" si="310"/>
        <v>0</v>
      </c>
      <c r="J588" s="9">
        <f t="shared" si="310"/>
        <v>0</v>
      </c>
      <c r="K588" s="9">
        <f t="shared" si="310"/>
        <v>0</v>
      </c>
      <c r="L588" s="9">
        <f t="shared" si="310"/>
        <v>0</v>
      </c>
      <c r="M588" s="9">
        <f t="shared" si="310"/>
        <v>40250584.089999996</v>
      </c>
      <c r="N588" s="9">
        <f t="shared" si="310"/>
        <v>11002853.33</v>
      </c>
      <c r="O588" s="9">
        <f t="shared" si="310"/>
        <v>0</v>
      </c>
      <c r="P588" s="9">
        <f t="shared" si="310"/>
        <v>11002853.33</v>
      </c>
      <c r="Q588" s="9">
        <f t="shared" si="310"/>
        <v>0</v>
      </c>
      <c r="R588" s="9">
        <f t="shared" si="310"/>
        <v>0</v>
      </c>
      <c r="S588" s="9">
        <f t="shared" si="310"/>
        <v>0</v>
      </c>
      <c r="T588" s="9">
        <f t="shared" si="310"/>
        <v>0</v>
      </c>
      <c r="U588" s="9">
        <f t="shared" si="310"/>
        <v>11002853.33</v>
      </c>
      <c r="V588" s="9">
        <f t="shared" si="310"/>
        <v>48030855.839999996</v>
      </c>
      <c r="W588" s="9">
        <f t="shared" si="310"/>
        <v>771383.61</v>
      </c>
      <c r="X588" s="9">
        <f t="shared" si="310"/>
        <v>51253437.419999994</v>
      </c>
      <c r="Y588" s="9">
        <f t="shared" si="310"/>
        <v>0</v>
      </c>
      <c r="Z588" s="9">
        <f t="shared" si="310"/>
        <v>771383.61</v>
      </c>
      <c r="AA588" s="9">
        <f t="shared" si="310"/>
        <v>51253437.419999994</v>
      </c>
      <c r="AB588" s="9">
        <f t="shared" si="310"/>
        <v>771383.61</v>
      </c>
    </row>
    <row r="589" spans="1:28" x14ac:dyDescent="0.3">
      <c r="A589" s="64"/>
      <c r="B589" s="8"/>
      <c r="C589" s="8"/>
      <c r="D589" s="8"/>
      <c r="E589" s="17" t="s">
        <v>29</v>
      </c>
      <c r="F589" s="17" t="s">
        <v>29</v>
      </c>
      <c r="G589" s="17" t="s">
        <v>29</v>
      </c>
      <c r="H589" s="17" t="s">
        <v>29</v>
      </c>
      <c r="I589" s="17" t="s">
        <v>29</v>
      </c>
      <c r="J589" s="17" t="s">
        <v>29</v>
      </c>
      <c r="K589" s="17" t="s">
        <v>29</v>
      </c>
      <c r="L589" s="17" t="s">
        <v>29</v>
      </c>
      <c r="M589" s="17" t="s">
        <v>29</v>
      </c>
      <c r="N589" s="17" t="s">
        <v>29</v>
      </c>
      <c r="O589" s="17" t="s">
        <v>29</v>
      </c>
      <c r="P589" s="17" t="s">
        <v>29</v>
      </c>
      <c r="Q589" s="17" t="s">
        <v>29</v>
      </c>
      <c r="R589" s="17" t="s">
        <v>29</v>
      </c>
      <c r="S589" s="17" t="s">
        <v>29</v>
      </c>
      <c r="T589" s="17" t="s">
        <v>29</v>
      </c>
      <c r="U589" s="17" t="s">
        <v>29</v>
      </c>
      <c r="V589" s="17" t="s">
        <v>29</v>
      </c>
      <c r="W589" s="17" t="s">
        <v>29</v>
      </c>
      <c r="X589" s="17" t="s">
        <v>29</v>
      </c>
      <c r="Y589" s="17" t="s">
        <v>29</v>
      </c>
      <c r="Z589" s="17" t="s">
        <v>29</v>
      </c>
      <c r="AA589" s="17" t="s">
        <v>29</v>
      </c>
      <c r="AB589" s="17" t="s">
        <v>29</v>
      </c>
    </row>
    <row r="590" spans="1:28" x14ac:dyDescent="0.3">
      <c r="A590" s="63" t="s">
        <v>965</v>
      </c>
      <c r="B590" s="7" t="s">
        <v>190</v>
      </c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58"/>
    </row>
    <row r="591" spans="1:28" x14ac:dyDescent="0.3">
      <c r="A591" s="64"/>
      <c r="B591" s="8"/>
      <c r="C591" s="7" t="s">
        <v>75</v>
      </c>
      <c r="D591" s="21" t="s">
        <v>76</v>
      </c>
      <c r="E591" s="9">
        <v>1569000</v>
      </c>
      <c r="F591" s="9">
        <v>0</v>
      </c>
      <c r="G591" s="8"/>
      <c r="H591" s="9">
        <f>F591+G591</f>
        <v>0</v>
      </c>
      <c r="I591" s="8"/>
      <c r="J591" s="8"/>
      <c r="K591" s="8"/>
      <c r="L591" s="9"/>
      <c r="M591" s="9">
        <f>H591+L591</f>
        <v>0</v>
      </c>
      <c r="N591" s="9">
        <v>998396.65</v>
      </c>
      <c r="O591" s="8"/>
      <c r="P591" s="9">
        <f>N591+O591</f>
        <v>998396.65</v>
      </c>
      <c r="Q591" s="8"/>
      <c r="R591" s="8"/>
      <c r="S591" s="8"/>
      <c r="T591" s="9"/>
      <c r="U591" s="9">
        <f>P591+T591</f>
        <v>998396.65</v>
      </c>
      <c r="V591" s="9">
        <f>P591+H591</f>
        <v>998396.65</v>
      </c>
      <c r="W591" s="9">
        <f>E591-V591</f>
        <v>570603.35</v>
      </c>
      <c r="X591" s="9">
        <f t="shared" ref="X591:X604" si="311">+H591+P591</f>
        <v>998396.65</v>
      </c>
      <c r="Y591" s="8"/>
      <c r="Z591" s="9">
        <f t="shared" ref="Z591:Z604" si="312">+E591-X591</f>
        <v>570603.35</v>
      </c>
      <c r="AA591" s="8">
        <f t="shared" ref="AA591:AA604" si="313">+M591+U591</f>
        <v>998396.65</v>
      </c>
      <c r="AB591" s="8">
        <f t="shared" ref="AB591:AB604" si="314">+E591-AA591</f>
        <v>570603.35</v>
      </c>
    </row>
    <row r="592" spans="1:28" x14ac:dyDescent="0.3">
      <c r="A592" s="64"/>
      <c r="B592" s="8"/>
      <c r="C592" s="7" t="s">
        <v>149</v>
      </c>
      <c r="D592" s="21" t="s">
        <v>150</v>
      </c>
      <c r="E592" s="9">
        <v>3236755</v>
      </c>
      <c r="F592" s="9">
        <v>2168721.4700000002</v>
      </c>
      <c r="G592" s="8"/>
      <c r="H592" s="9">
        <f>F592+G592</f>
        <v>2168721.4700000002</v>
      </c>
      <c r="I592" s="8"/>
      <c r="J592" s="8"/>
      <c r="K592" s="8"/>
      <c r="L592" s="9"/>
      <c r="M592" s="9">
        <f>H592+L592</f>
        <v>2168721.4700000002</v>
      </c>
      <c r="N592" s="9">
        <v>904119.99</v>
      </c>
      <c r="O592" s="8"/>
      <c r="P592" s="9">
        <f>N592+O592</f>
        <v>904119.99</v>
      </c>
      <c r="Q592" s="8"/>
      <c r="R592" s="8"/>
      <c r="S592" s="8"/>
      <c r="T592" s="9"/>
      <c r="U592" s="9">
        <f>P592+T592</f>
        <v>904119.99</v>
      </c>
      <c r="V592" s="9">
        <f>P592+H592</f>
        <v>3072841.46</v>
      </c>
      <c r="W592" s="9">
        <f>E592-V592</f>
        <v>163913.54000000004</v>
      </c>
      <c r="X592" s="9">
        <f t="shared" si="311"/>
        <v>3072841.46</v>
      </c>
      <c r="Y592" s="8"/>
      <c r="Z592" s="9">
        <f t="shared" si="312"/>
        <v>163913.54000000004</v>
      </c>
      <c r="AA592" s="8">
        <f t="shared" si="313"/>
        <v>3072841.46</v>
      </c>
      <c r="AB592" s="8">
        <f t="shared" si="314"/>
        <v>163913.54000000004</v>
      </c>
    </row>
    <row r="593" spans="1:28" x14ac:dyDescent="0.3">
      <c r="A593" s="64"/>
      <c r="B593" s="8"/>
      <c r="C593" s="7" t="s">
        <v>151</v>
      </c>
      <c r="D593" s="21" t="s">
        <v>150</v>
      </c>
      <c r="E593" s="9">
        <v>174570994.75999999</v>
      </c>
      <c r="F593" s="9">
        <v>98849889.650000006</v>
      </c>
      <c r="G593" s="8"/>
      <c r="H593" s="9">
        <f>F593+G593</f>
        <v>98849889.650000006</v>
      </c>
      <c r="I593" s="8"/>
      <c r="J593" s="8"/>
      <c r="K593" s="8"/>
      <c r="L593" s="9"/>
      <c r="M593" s="9">
        <f>H593+L593</f>
        <v>98849889.650000006</v>
      </c>
      <c r="N593" s="9">
        <v>0</v>
      </c>
      <c r="O593" s="8"/>
      <c r="P593" s="9">
        <f>N593+O593</f>
        <v>0</v>
      </c>
      <c r="Q593" s="8"/>
      <c r="R593" s="8"/>
      <c r="S593" s="8"/>
      <c r="T593" s="9"/>
      <c r="U593" s="9">
        <f>P593+T593</f>
        <v>0</v>
      </c>
      <c r="V593" s="9">
        <f>P593+H593</f>
        <v>98849889.650000006</v>
      </c>
      <c r="W593" s="9">
        <f>E593-V593</f>
        <v>75721105.109999985</v>
      </c>
      <c r="X593" s="9">
        <f t="shared" si="311"/>
        <v>98849889.650000006</v>
      </c>
      <c r="Y593" s="8"/>
      <c r="Z593" s="9">
        <f t="shared" si="312"/>
        <v>75721105.109999985</v>
      </c>
      <c r="AA593" s="8">
        <f t="shared" si="313"/>
        <v>98849889.650000006</v>
      </c>
      <c r="AB593" s="8">
        <f t="shared" si="314"/>
        <v>75721105.109999985</v>
      </c>
    </row>
    <row r="594" spans="1:28" x14ac:dyDescent="0.3">
      <c r="A594" s="64"/>
      <c r="B594" s="8"/>
      <c r="C594" s="8"/>
      <c r="D594" s="15" t="s">
        <v>79</v>
      </c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9">
        <f t="shared" si="311"/>
        <v>0</v>
      </c>
      <c r="Y594" s="8"/>
      <c r="Z594" s="9">
        <f t="shared" si="312"/>
        <v>0</v>
      </c>
      <c r="AA594" s="8">
        <f t="shared" si="313"/>
        <v>0</v>
      </c>
      <c r="AB594" s="8">
        <f t="shared" si="314"/>
        <v>0</v>
      </c>
    </row>
    <row r="595" spans="1:28" x14ac:dyDescent="0.3">
      <c r="A595" s="64"/>
      <c r="B595" s="8"/>
      <c r="C595" s="7" t="s">
        <v>57</v>
      </c>
      <c r="D595" s="14" t="s">
        <v>191</v>
      </c>
      <c r="E595" s="9">
        <f>575091.2+96350+452500+460622+2421358.9</f>
        <v>4005922.0999999996</v>
      </c>
      <c r="F595" s="9">
        <f>124867+96350+452500+460622+2421358.9</f>
        <v>3555697.9</v>
      </c>
      <c r="G595" s="8"/>
      <c r="H595" s="9">
        <f t="shared" ref="H595:H604" si="315">F595+G595</f>
        <v>3555697.9</v>
      </c>
      <c r="I595" s="8"/>
      <c r="J595" s="8"/>
      <c r="K595" s="8"/>
      <c r="L595" s="9"/>
      <c r="M595" s="9">
        <f t="shared" ref="M595:M604" si="316">H595+L595</f>
        <v>3555697.9</v>
      </c>
      <c r="N595" s="9">
        <v>450224.2</v>
      </c>
      <c r="O595" s="8"/>
      <c r="P595" s="9">
        <f t="shared" ref="P595:P604" si="317">N595+O595</f>
        <v>450224.2</v>
      </c>
      <c r="Q595" s="8"/>
      <c r="R595" s="8"/>
      <c r="S595" s="8"/>
      <c r="T595" s="9"/>
      <c r="U595" s="9">
        <f t="shared" ref="U595:U604" si="318">P595+T595</f>
        <v>450224.2</v>
      </c>
      <c r="V595" s="9">
        <f t="shared" ref="V595:V604" si="319">P595+H595</f>
        <v>4005922.1</v>
      </c>
      <c r="W595" s="9">
        <f t="shared" ref="W595:W604" si="320">E595-V595</f>
        <v>0</v>
      </c>
      <c r="X595" s="9">
        <f t="shared" si="311"/>
        <v>4005922.1</v>
      </c>
      <c r="Y595" s="8"/>
      <c r="Z595" s="9">
        <f t="shared" si="312"/>
        <v>0</v>
      </c>
      <c r="AA595" s="8">
        <f t="shared" si="313"/>
        <v>4005922.1</v>
      </c>
      <c r="AB595" s="8">
        <f t="shared" si="314"/>
        <v>0</v>
      </c>
    </row>
    <row r="596" spans="1:28" x14ac:dyDescent="0.3">
      <c r="A596" s="64"/>
      <c r="B596" s="8"/>
      <c r="C596" s="7" t="s">
        <v>53</v>
      </c>
      <c r="D596" s="15" t="s">
        <v>68</v>
      </c>
      <c r="E596" s="9">
        <v>1953989</v>
      </c>
      <c r="F596" s="9">
        <v>0</v>
      </c>
      <c r="G596" s="8"/>
      <c r="H596" s="9">
        <f t="shared" si="315"/>
        <v>0</v>
      </c>
      <c r="I596" s="8"/>
      <c r="J596" s="8"/>
      <c r="K596" s="8"/>
      <c r="L596" s="9"/>
      <c r="M596" s="9">
        <f t="shared" si="316"/>
        <v>0</v>
      </c>
      <c r="N596" s="9">
        <v>1953989</v>
      </c>
      <c r="O596" s="8"/>
      <c r="P596" s="9">
        <f t="shared" si="317"/>
        <v>1953989</v>
      </c>
      <c r="Q596" s="8"/>
      <c r="R596" s="8"/>
      <c r="S596" s="8"/>
      <c r="T596" s="9"/>
      <c r="U596" s="9">
        <f t="shared" si="318"/>
        <v>1953989</v>
      </c>
      <c r="V596" s="9">
        <f t="shared" si="319"/>
        <v>1953989</v>
      </c>
      <c r="W596" s="9">
        <f t="shared" si="320"/>
        <v>0</v>
      </c>
      <c r="X596" s="9">
        <f t="shared" si="311"/>
        <v>1953989</v>
      </c>
      <c r="Y596" s="8"/>
      <c r="Z596" s="9">
        <f t="shared" si="312"/>
        <v>0</v>
      </c>
      <c r="AA596" s="8">
        <f t="shared" si="313"/>
        <v>1953989</v>
      </c>
      <c r="AB596" s="8">
        <f t="shared" si="314"/>
        <v>0</v>
      </c>
    </row>
    <row r="597" spans="1:28" x14ac:dyDescent="0.3">
      <c r="A597" s="64"/>
      <c r="B597" s="8"/>
      <c r="C597" s="7" t="s">
        <v>55</v>
      </c>
      <c r="D597" s="15" t="s">
        <v>54</v>
      </c>
      <c r="E597" s="9">
        <v>196119.9</v>
      </c>
      <c r="F597" s="9">
        <v>0</v>
      </c>
      <c r="G597" s="8"/>
      <c r="H597" s="9">
        <f t="shared" si="315"/>
        <v>0</v>
      </c>
      <c r="I597" s="8"/>
      <c r="J597" s="8"/>
      <c r="K597" s="8"/>
      <c r="L597" s="9"/>
      <c r="M597" s="9">
        <f t="shared" si="316"/>
        <v>0</v>
      </c>
      <c r="N597" s="9">
        <v>196119.9</v>
      </c>
      <c r="O597" s="8"/>
      <c r="P597" s="9">
        <f t="shared" si="317"/>
        <v>196119.9</v>
      </c>
      <c r="Q597" s="8"/>
      <c r="R597" s="8"/>
      <c r="S597" s="8"/>
      <c r="T597" s="9"/>
      <c r="U597" s="9">
        <f t="shared" si="318"/>
        <v>196119.9</v>
      </c>
      <c r="V597" s="9">
        <f t="shared" si="319"/>
        <v>196119.9</v>
      </c>
      <c r="W597" s="9">
        <f t="shared" si="320"/>
        <v>0</v>
      </c>
      <c r="X597" s="9">
        <f t="shared" si="311"/>
        <v>196119.9</v>
      </c>
      <c r="Y597" s="8"/>
      <c r="Z597" s="9">
        <f t="shared" si="312"/>
        <v>0</v>
      </c>
      <c r="AA597" s="8">
        <f t="shared" si="313"/>
        <v>196119.9</v>
      </c>
      <c r="AB597" s="8">
        <f t="shared" si="314"/>
        <v>0</v>
      </c>
    </row>
    <row r="598" spans="1:28" x14ac:dyDescent="0.3">
      <c r="A598" s="64"/>
      <c r="B598" s="8"/>
      <c r="C598" s="7" t="s">
        <v>192</v>
      </c>
      <c r="D598" s="15" t="s">
        <v>54</v>
      </c>
      <c r="E598" s="9">
        <v>955345.62</v>
      </c>
      <c r="F598" s="9">
        <v>0</v>
      </c>
      <c r="G598" s="8"/>
      <c r="H598" s="9">
        <f t="shared" si="315"/>
        <v>0</v>
      </c>
      <c r="I598" s="8"/>
      <c r="J598" s="8"/>
      <c r="K598" s="8"/>
      <c r="L598" s="9"/>
      <c r="M598" s="9">
        <f t="shared" si="316"/>
        <v>0</v>
      </c>
      <c r="N598" s="9">
        <v>955345.62</v>
      </c>
      <c r="O598" s="8"/>
      <c r="P598" s="9">
        <f t="shared" si="317"/>
        <v>955345.62</v>
      </c>
      <c r="Q598" s="8"/>
      <c r="R598" s="8"/>
      <c r="S598" s="8"/>
      <c r="T598" s="9"/>
      <c r="U598" s="9">
        <f t="shared" si="318"/>
        <v>955345.62</v>
      </c>
      <c r="V598" s="9">
        <f t="shared" si="319"/>
        <v>955345.62</v>
      </c>
      <c r="W598" s="9">
        <f t="shared" si="320"/>
        <v>0</v>
      </c>
      <c r="X598" s="9">
        <f t="shared" si="311"/>
        <v>955345.62</v>
      </c>
      <c r="Y598" s="8"/>
      <c r="Z598" s="9">
        <f t="shared" si="312"/>
        <v>0</v>
      </c>
      <c r="AA598" s="8">
        <f t="shared" si="313"/>
        <v>955345.62</v>
      </c>
      <c r="AB598" s="8">
        <f t="shared" si="314"/>
        <v>0</v>
      </c>
    </row>
    <row r="599" spans="1:28" x14ac:dyDescent="0.3">
      <c r="A599" s="64"/>
      <c r="B599" s="8"/>
      <c r="C599" s="7" t="s">
        <v>106</v>
      </c>
      <c r="D599" s="15" t="s">
        <v>85</v>
      </c>
      <c r="E599" s="9">
        <v>160000</v>
      </c>
      <c r="F599" s="9">
        <v>160000</v>
      </c>
      <c r="G599" s="8"/>
      <c r="H599" s="9">
        <f t="shared" si="315"/>
        <v>160000</v>
      </c>
      <c r="I599" s="8"/>
      <c r="J599" s="8"/>
      <c r="K599" s="8"/>
      <c r="L599" s="9"/>
      <c r="M599" s="9">
        <f t="shared" si="316"/>
        <v>160000</v>
      </c>
      <c r="N599" s="9">
        <v>0</v>
      </c>
      <c r="O599" s="8"/>
      <c r="P599" s="9">
        <f t="shared" si="317"/>
        <v>0</v>
      </c>
      <c r="Q599" s="8"/>
      <c r="R599" s="8"/>
      <c r="S599" s="8"/>
      <c r="T599" s="9"/>
      <c r="U599" s="9">
        <f t="shared" si="318"/>
        <v>0</v>
      </c>
      <c r="V599" s="9">
        <f t="shared" si="319"/>
        <v>160000</v>
      </c>
      <c r="W599" s="9">
        <f t="shared" si="320"/>
        <v>0</v>
      </c>
      <c r="X599" s="9">
        <f t="shared" si="311"/>
        <v>160000</v>
      </c>
      <c r="Y599" s="8"/>
      <c r="Z599" s="9">
        <f t="shared" si="312"/>
        <v>0</v>
      </c>
      <c r="AA599" s="8">
        <f t="shared" si="313"/>
        <v>160000</v>
      </c>
      <c r="AB599" s="8">
        <f t="shared" si="314"/>
        <v>0</v>
      </c>
    </row>
    <row r="600" spans="1:28" x14ac:dyDescent="0.3">
      <c r="A600" s="64"/>
      <c r="B600" s="8"/>
      <c r="C600" s="7" t="s">
        <v>57</v>
      </c>
      <c r="D600" s="15" t="s">
        <v>60</v>
      </c>
      <c r="E600" s="9">
        <v>2000000</v>
      </c>
      <c r="F600" s="11">
        <v>2000000</v>
      </c>
      <c r="G600" s="8"/>
      <c r="H600" s="9">
        <f t="shared" si="315"/>
        <v>2000000</v>
      </c>
      <c r="I600" s="8"/>
      <c r="J600" s="8"/>
      <c r="K600" s="8"/>
      <c r="L600" s="9"/>
      <c r="M600" s="9">
        <f t="shared" si="316"/>
        <v>2000000</v>
      </c>
      <c r="N600" s="9">
        <v>0</v>
      </c>
      <c r="O600" s="8"/>
      <c r="P600" s="9">
        <f t="shared" si="317"/>
        <v>0</v>
      </c>
      <c r="Q600" s="8"/>
      <c r="R600" s="8"/>
      <c r="S600" s="8"/>
      <c r="T600" s="9"/>
      <c r="U600" s="9">
        <f t="shared" si="318"/>
        <v>0</v>
      </c>
      <c r="V600" s="9">
        <f t="shared" si="319"/>
        <v>2000000</v>
      </c>
      <c r="W600" s="9">
        <f t="shared" si="320"/>
        <v>0</v>
      </c>
      <c r="X600" s="9">
        <f t="shared" si="311"/>
        <v>2000000</v>
      </c>
      <c r="Y600" s="8"/>
      <c r="Z600" s="9">
        <f t="shared" si="312"/>
        <v>0</v>
      </c>
      <c r="AA600" s="8">
        <f t="shared" si="313"/>
        <v>2000000</v>
      </c>
      <c r="AB600" s="8">
        <f t="shared" si="314"/>
        <v>0</v>
      </c>
    </row>
    <row r="601" spans="1:28" x14ac:dyDescent="0.3">
      <c r="A601" s="64"/>
      <c r="B601" s="8"/>
      <c r="C601" s="14" t="s">
        <v>109</v>
      </c>
      <c r="D601" s="21" t="s">
        <v>60</v>
      </c>
      <c r="E601" s="9">
        <v>2500000</v>
      </c>
      <c r="F601" s="11">
        <v>2500000</v>
      </c>
      <c r="G601" s="8"/>
      <c r="H601" s="9">
        <f t="shared" si="315"/>
        <v>2500000</v>
      </c>
      <c r="I601" s="8"/>
      <c r="J601" s="8"/>
      <c r="K601" s="8"/>
      <c r="L601" s="9"/>
      <c r="M601" s="9">
        <f t="shared" si="316"/>
        <v>2500000</v>
      </c>
      <c r="N601" s="9">
        <v>0</v>
      </c>
      <c r="O601" s="8"/>
      <c r="P601" s="9">
        <f t="shared" si="317"/>
        <v>0</v>
      </c>
      <c r="Q601" s="8"/>
      <c r="R601" s="8"/>
      <c r="S601" s="8"/>
      <c r="T601" s="9"/>
      <c r="U601" s="9">
        <f t="shared" si="318"/>
        <v>0</v>
      </c>
      <c r="V601" s="9">
        <f t="shared" si="319"/>
        <v>2500000</v>
      </c>
      <c r="W601" s="9">
        <f t="shared" si="320"/>
        <v>0</v>
      </c>
      <c r="X601" s="9">
        <f t="shared" si="311"/>
        <v>2500000</v>
      </c>
      <c r="Y601" s="8"/>
      <c r="Z601" s="9">
        <f t="shared" si="312"/>
        <v>0</v>
      </c>
      <c r="AA601" s="8">
        <f t="shared" si="313"/>
        <v>2500000</v>
      </c>
      <c r="AB601" s="8">
        <f t="shared" si="314"/>
        <v>0</v>
      </c>
    </row>
    <row r="602" spans="1:28" x14ac:dyDescent="0.3">
      <c r="A602" s="64"/>
      <c r="B602" s="8"/>
      <c r="C602" s="14" t="s">
        <v>1135</v>
      </c>
      <c r="D602" s="24" t="s">
        <v>1126</v>
      </c>
      <c r="E602" s="9">
        <v>300000</v>
      </c>
      <c r="F602" s="11">
        <v>300000</v>
      </c>
      <c r="G602" s="8"/>
      <c r="H602" s="9">
        <f>+F602+G602</f>
        <v>300000</v>
      </c>
      <c r="I602" s="8"/>
      <c r="J602" s="8"/>
      <c r="K602" s="8"/>
      <c r="L602" s="9"/>
      <c r="M602" s="9">
        <f t="shared" si="316"/>
        <v>300000</v>
      </c>
      <c r="N602" s="9">
        <v>0</v>
      </c>
      <c r="O602" s="8"/>
      <c r="P602" s="9">
        <f>+N602+O602</f>
        <v>0</v>
      </c>
      <c r="Q602" s="8"/>
      <c r="R602" s="8"/>
      <c r="S602" s="8"/>
      <c r="T602" s="9"/>
      <c r="U602" s="9">
        <f t="shared" si="318"/>
        <v>0</v>
      </c>
      <c r="V602" s="9">
        <f t="shared" si="319"/>
        <v>300000</v>
      </c>
      <c r="W602" s="9">
        <f t="shared" si="320"/>
        <v>0</v>
      </c>
      <c r="X602" s="9">
        <f t="shared" si="311"/>
        <v>300000</v>
      </c>
      <c r="Y602" s="8"/>
      <c r="Z602" s="9">
        <f t="shared" si="312"/>
        <v>0</v>
      </c>
      <c r="AA602" s="8">
        <f t="shared" si="313"/>
        <v>300000</v>
      </c>
      <c r="AB602" s="8">
        <f t="shared" si="314"/>
        <v>0</v>
      </c>
    </row>
    <row r="603" spans="1:28" x14ac:dyDescent="0.3">
      <c r="A603" s="64"/>
      <c r="B603" s="8"/>
      <c r="C603" s="14" t="s">
        <v>930</v>
      </c>
      <c r="D603" s="21"/>
      <c r="E603" s="9">
        <f>838754.02+16815.13</f>
        <v>855569.15</v>
      </c>
      <c r="F603" s="8">
        <v>838754.02</v>
      </c>
      <c r="G603" s="8"/>
      <c r="H603" s="9">
        <f>+F603+G603</f>
        <v>838754.02</v>
      </c>
      <c r="I603" s="8"/>
      <c r="J603" s="8"/>
      <c r="K603" s="8"/>
      <c r="L603" s="9"/>
      <c r="M603" s="9">
        <f>+H603+L603</f>
        <v>838754.02</v>
      </c>
      <c r="N603" s="8">
        <v>16815.13</v>
      </c>
      <c r="O603" s="8"/>
      <c r="P603" s="9">
        <f>+N603+O603</f>
        <v>16815.13</v>
      </c>
      <c r="Q603" s="8"/>
      <c r="R603" s="8"/>
      <c r="S603" s="8"/>
      <c r="T603" s="9"/>
      <c r="U603" s="9">
        <f>P603+T603</f>
        <v>16815.13</v>
      </c>
      <c r="V603" s="9">
        <f>P603+H603</f>
        <v>855569.15</v>
      </c>
      <c r="W603" s="9">
        <f>E603-V603</f>
        <v>0</v>
      </c>
      <c r="X603" s="9">
        <f t="shared" si="311"/>
        <v>855569.15</v>
      </c>
      <c r="Y603" s="8"/>
      <c r="Z603" s="9">
        <f t="shared" si="312"/>
        <v>0</v>
      </c>
      <c r="AA603" s="8">
        <f t="shared" si="313"/>
        <v>855569.15</v>
      </c>
      <c r="AB603" s="8">
        <f t="shared" si="314"/>
        <v>0</v>
      </c>
    </row>
    <row r="604" spans="1:28" x14ac:dyDescent="0.3">
      <c r="A604" s="64"/>
      <c r="B604" s="8"/>
      <c r="C604" s="7" t="s">
        <v>193</v>
      </c>
      <c r="D604" s="15" t="s">
        <v>194</v>
      </c>
      <c r="E604" s="9">
        <f>1752000+2827000</f>
        <v>4579000</v>
      </c>
      <c r="F604" s="11">
        <f>1752000+2827000</f>
        <v>4579000</v>
      </c>
      <c r="G604" s="8"/>
      <c r="H604" s="9">
        <f t="shared" si="315"/>
        <v>4579000</v>
      </c>
      <c r="I604" s="8"/>
      <c r="J604" s="8"/>
      <c r="K604" s="8"/>
      <c r="L604" s="9"/>
      <c r="M604" s="9">
        <f t="shared" si="316"/>
        <v>4579000</v>
      </c>
      <c r="N604" s="9">
        <v>0</v>
      </c>
      <c r="O604" s="8"/>
      <c r="P604" s="9">
        <f t="shared" si="317"/>
        <v>0</v>
      </c>
      <c r="Q604" s="8"/>
      <c r="R604" s="8"/>
      <c r="S604" s="8"/>
      <c r="T604" s="9"/>
      <c r="U604" s="9">
        <f t="shared" si="318"/>
        <v>0</v>
      </c>
      <c r="V604" s="9">
        <f t="shared" si="319"/>
        <v>4579000</v>
      </c>
      <c r="W604" s="9">
        <f t="shared" si="320"/>
        <v>0</v>
      </c>
      <c r="X604" s="9">
        <f t="shared" si="311"/>
        <v>4579000</v>
      </c>
      <c r="Y604" s="8"/>
      <c r="Z604" s="9">
        <f t="shared" si="312"/>
        <v>0</v>
      </c>
      <c r="AA604" s="8">
        <f t="shared" si="313"/>
        <v>4579000</v>
      </c>
      <c r="AB604" s="8">
        <f t="shared" si="314"/>
        <v>0</v>
      </c>
    </row>
    <row r="605" spans="1:28" x14ac:dyDescent="0.3">
      <c r="A605" s="64"/>
      <c r="B605" s="8"/>
      <c r="C605" s="8"/>
      <c r="D605" s="8"/>
      <c r="E605" s="17" t="s">
        <v>29</v>
      </c>
      <c r="F605" s="17" t="s">
        <v>29</v>
      </c>
      <c r="G605" s="17" t="s">
        <v>29</v>
      </c>
      <c r="H605" s="17" t="s">
        <v>29</v>
      </c>
      <c r="I605" s="17" t="s">
        <v>29</v>
      </c>
      <c r="J605" s="17" t="s">
        <v>29</v>
      </c>
      <c r="K605" s="17" t="s">
        <v>29</v>
      </c>
      <c r="L605" s="17" t="s">
        <v>29</v>
      </c>
      <c r="M605" s="17" t="s">
        <v>29</v>
      </c>
      <c r="N605" s="17" t="s">
        <v>29</v>
      </c>
      <c r="O605" s="17" t="s">
        <v>29</v>
      </c>
      <c r="P605" s="17" t="s">
        <v>29</v>
      </c>
      <c r="Q605" s="17" t="s">
        <v>29</v>
      </c>
      <c r="R605" s="17" t="s">
        <v>29</v>
      </c>
      <c r="S605" s="17" t="s">
        <v>29</v>
      </c>
      <c r="T605" s="17" t="s">
        <v>29</v>
      </c>
      <c r="U605" s="17" t="s">
        <v>29</v>
      </c>
      <c r="V605" s="17" t="s">
        <v>29</v>
      </c>
      <c r="W605" s="17" t="s">
        <v>29</v>
      </c>
      <c r="X605" s="17" t="s">
        <v>29</v>
      </c>
      <c r="Y605" s="17" t="s">
        <v>29</v>
      </c>
      <c r="Z605" s="17" t="s">
        <v>29</v>
      </c>
      <c r="AA605" s="17" t="s">
        <v>29</v>
      </c>
      <c r="AB605" s="17" t="s">
        <v>29</v>
      </c>
    </row>
    <row r="606" spans="1:28" x14ac:dyDescent="0.3">
      <c r="A606" s="64"/>
      <c r="B606" s="8"/>
      <c r="C606" s="8"/>
      <c r="D606" s="8"/>
      <c r="E606" s="9">
        <f t="shared" ref="E606:AB606" si="321">SUM(E591:E604)</f>
        <v>196882695.53</v>
      </c>
      <c r="F606" s="9">
        <f t="shared" si="321"/>
        <v>114952063.04000001</v>
      </c>
      <c r="G606" s="9">
        <f t="shared" si="321"/>
        <v>0</v>
      </c>
      <c r="H606" s="9">
        <f t="shared" si="321"/>
        <v>114952063.04000001</v>
      </c>
      <c r="I606" s="9">
        <f t="shared" si="321"/>
        <v>0</v>
      </c>
      <c r="J606" s="9">
        <f t="shared" si="321"/>
        <v>0</v>
      </c>
      <c r="K606" s="9">
        <f t="shared" si="321"/>
        <v>0</v>
      </c>
      <c r="L606" s="9">
        <f t="shared" si="321"/>
        <v>0</v>
      </c>
      <c r="M606" s="9">
        <f t="shared" si="321"/>
        <v>114952063.04000001</v>
      </c>
      <c r="N606" s="9">
        <f t="shared" si="321"/>
        <v>5475010.4900000002</v>
      </c>
      <c r="O606" s="9">
        <f t="shared" si="321"/>
        <v>0</v>
      </c>
      <c r="P606" s="9">
        <f t="shared" si="321"/>
        <v>5475010.4900000002</v>
      </c>
      <c r="Q606" s="9">
        <f t="shared" si="321"/>
        <v>0</v>
      </c>
      <c r="R606" s="9">
        <f t="shared" si="321"/>
        <v>0</v>
      </c>
      <c r="S606" s="9">
        <f t="shared" si="321"/>
        <v>0</v>
      </c>
      <c r="T606" s="9">
        <f t="shared" si="321"/>
        <v>0</v>
      </c>
      <c r="U606" s="9">
        <f t="shared" si="321"/>
        <v>5475010.4900000002</v>
      </c>
      <c r="V606" s="9">
        <f t="shared" si="321"/>
        <v>120427073.53000002</v>
      </c>
      <c r="W606" s="9">
        <f t="shared" si="321"/>
        <v>76455621.999999985</v>
      </c>
      <c r="X606" s="9">
        <f t="shared" si="321"/>
        <v>120427073.53000002</v>
      </c>
      <c r="Y606" s="9">
        <f t="shared" si="321"/>
        <v>0</v>
      </c>
      <c r="Z606" s="9">
        <f t="shared" si="321"/>
        <v>76455621.999999985</v>
      </c>
      <c r="AA606" s="9">
        <f t="shared" si="321"/>
        <v>120427073.53000002</v>
      </c>
      <c r="AB606" s="9">
        <f t="shared" si="321"/>
        <v>76455621.999999985</v>
      </c>
    </row>
    <row r="607" spans="1:28" x14ac:dyDescent="0.3">
      <c r="A607" s="64"/>
      <c r="B607" s="8"/>
      <c r="C607" s="8"/>
      <c r="D607" s="8"/>
      <c r="E607" s="17" t="s">
        <v>29</v>
      </c>
      <c r="F607" s="17" t="s">
        <v>29</v>
      </c>
      <c r="G607" s="17" t="s">
        <v>29</v>
      </c>
      <c r="H607" s="17" t="s">
        <v>29</v>
      </c>
      <c r="I607" s="17" t="s">
        <v>29</v>
      </c>
      <c r="J607" s="17" t="s">
        <v>29</v>
      </c>
      <c r="K607" s="17" t="s">
        <v>29</v>
      </c>
      <c r="L607" s="17" t="s">
        <v>29</v>
      </c>
      <c r="M607" s="17" t="s">
        <v>29</v>
      </c>
      <c r="N607" s="17" t="s">
        <v>29</v>
      </c>
      <c r="O607" s="17" t="s">
        <v>29</v>
      </c>
      <c r="P607" s="17" t="s">
        <v>29</v>
      </c>
      <c r="Q607" s="17" t="s">
        <v>29</v>
      </c>
      <c r="R607" s="17" t="s">
        <v>29</v>
      </c>
      <c r="S607" s="17" t="s">
        <v>29</v>
      </c>
      <c r="T607" s="17" t="s">
        <v>29</v>
      </c>
      <c r="U607" s="17" t="s">
        <v>29</v>
      </c>
      <c r="V607" s="17" t="s">
        <v>29</v>
      </c>
      <c r="W607" s="17" t="s">
        <v>29</v>
      </c>
      <c r="X607" s="17" t="s">
        <v>29</v>
      </c>
      <c r="Y607" s="17" t="s">
        <v>29</v>
      </c>
      <c r="Z607" s="17" t="s">
        <v>29</v>
      </c>
      <c r="AA607" s="17" t="s">
        <v>29</v>
      </c>
      <c r="AB607" s="17" t="s">
        <v>29</v>
      </c>
    </row>
    <row r="608" spans="1:28" x14ac:dyDescent="0.3">
      <c r="A608" s="64"/>
      <c r="B608" s="8"/>
      <c r="C608" s="8"/>
      <c r="D608" s="8"/>
      <c r="E608" s="22">
        <v>191148126.38</v>
      </c>
      <c r="F608" s="22">
        <v>109234309.02</v>
      </c>
      <c r="G608" s="22"/>
      <c r="H608" s="22">
        <v>109234309.02</v>
      </c>
      <c r="I608" s="22"/>
      <c r="J608" s="22"/>
      <c r="K608" s="22"/>
      <c r="L608" s="22"/>
      <c r="M608" s="22">
        <v>109234309.02</v>
      </c>
      <c r="N608" s="22">
        <v>5458195.3600000003</v>
      </c>
      <c r="O608" s="22"/>
      <c r="P608" s="22">
        <v>5458195.3600000003</v>
      </c>
      <c r="Q608" s="22"/>
      <c r="R608" s="22"/>
      <c r="S608" s="22"/>
      <c r="T608" s="22"/>
      <c r="U608" s="22">
        <v>5458195.3600000003</v>
      </c>
      <c r="V608" s="22"/>
      <c r="W608" s="22"/>
      <c r="X608" s="22">
        <v>114692504.38</v>
      </c>
      <c r="Y608" s="22"/>
      <c r="Z608" s="22">
        <v>76455622</v>
      </c>
      <c r="AA608" s="58"/>
    </row>
    <row r="609" spans="1:28" x14ac:dyDescent="0.3">
      <c r="A609" s="63" t="s">
        <v>966</v>
      </c>
      <c r="B609" s="7" t="s">
        <v>195</v>
      </c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8" x14ac:dyDescent="0.3">
      <c r="A610" s="64"/>
      <c r="B610" s="8"/>
      <c r="C610" s="7" t="s">
        <v>149</v>
      </c>
      <c r="D610" s="21" t="s">
        <v>150</v>
      </c>
      <c r="E610" s="9">
        <v>2088079</v>
      </c>
      <c r="F610" s="9">
        <v>2088079</v>
      </c>
      <c r="G610" s="8"/>
      <c r="H610" s="9">
        <f t="shared" ref="H610:H622" si="322">F610+G610</f>
        <v>2088079</v>
      </c>
      <c r="I610" s="8"/>
      <c r="J610" s="8"/>
      <c r="K610" s="8"/>
      <c r="L610" s="9"/>
      <c r="M610" s="9">
        <f t="shared" ref="M610:M622" si="323">H610+L610</f>
        <v>2088079</v>
      </c>
      <c r="N610" s="9">
        <v>0</v>
      </c>
      <c r="O610" s="8"/>
      <c r="P610" s="9">
        <f t="shared" ref="P610:P622" si="324">N610+O610</f>
        <v>0</v>
      </c>
      <c r="Q610" s="8"/>
      <c r="R610" s="8"/>
      <c r="S610" s="8"/>
      <c r="T610" s="9"/>
      <c r="U610" s="9">
        <f t="shared" ref="U610:U622" si="325">P610+T610</f>
        <v>0</v>
      </c>
      <c r="V610" s="9">
        <f t="shared" ref="V610:V622" si="326">P610+H610</f>
        <v>2088079</v>
      </c>
      <c r="W610" s="9">
        <f t="shared" ref="W610:W622" si="327">E610-V610</f>
        <v>0</v>
      </c>
      <c r="X610" s="9">
        <f t="shared" ref="X610:X622" si="328">+H610+P610</f>
        <v>2088079</v>
      </c>
      <c r="Y610" s="8"/>
      <c r="Z610" s="9">
        <f t="shared" ref="Z610:Z622" si="329">+E610-X610</f>
        <v>0</v>
      </c>
      <c r="AA610" s="8">
        <f t="shared" ref="AA610:AA622" si="330">+M610+U610</f>
        <v>2088079</v>
      </c>
      <c r="AB610" s="8">
        <f t="shared" ref="AB610:AB622" si="331">+E610-AA610</f>
        <v>0</v>
      </c>
    </row>
    <row r="611" spans="1:28" x14ac:dyDescent="0.3">
      <c r="A611" s="64"/>
      <c r="B611" s="8"/>
      <c r="C611" s="7" t="s">
        <v>151</v>
      </c>
      <c r="D611" s="21" t="s">
        <v>150</v>
      </c>
      <c r="E611" s="9">
        <v>27568642.969999999</v>
      </c>
      <c r="F611" s="9">
        <v>20245051.43</v>
      </c>
      <c r="G611" s="8"/>
      <c r="H611" s="9">
        <f t="shared" si="322"/>
        <v>20245051.43</v>
      </c>
      <c r="I611" s="8"/>
      <c r="J611" s="8"/>
      <c r="K611" s="8"/>
      <c r="L611" s="9"/>
      <c r="M611" s="9">
        <f t="shared" si="323"/>
        <v>20245051.43</v>
      </c>
      <c r="N611" s="9">
        <v>143633.25</v>
      </c>
      <c r="O611" s="8"/>
      <c r="P611" s="9">
        <f t="shared" si="324"/>
        <v>143633.25</v>
      </c>
      <c r="Q611" s="8"/>
      <c r="R611" s="8"/>
      <c r="S611" s="8"/>
      <c r="T611" s="9"/>
      <c r="U611" s="9">
        <f t="shared" si="325"/>
        <v>143633.25</v>
      </c>
      <c r="V611" s="9">
        <f t="shared" si="326"/>
        <v>20388684.68</v>
      </c>
      <c r="W611" s="9">
        <f t="shared" si="327"/>
        <v>7179958.2899999991</v>
      </c>
      <c r="X611" s="9">
        <f t="shared" si="328"/>
        <v>20388684.68</v>
      </c>
      <c r="Y611" s="8"/>
      <c r="Z611" s="9">
        <f t="shared" si="329"/>
        <v>7179958.2899999991</v>
      </c>
      <c r="AA611" s="8">
        <f t="shared" si="330"/>
        <v>20388684.68</v>
      </c>
      <c r="AB611" s="8">
        <f t="shared" si="331"/>
        <v>7179958.2899999991</v>
      </c>
    </row>
    <row r="612" spans="1:28" x14ac:dyDescent="0.3">
      <c r="A612" s="64"/>
      <c r="B612" s="8"/>
      <c r="C612" s="7" t="s">
        <v>57</v>
      </c>
      <c r="D612" s="15" t="s">
        <v>196</v>
      </c>
      <c r="E612" s="9">
        <v>5932973.0599999996</v>
      </c>
      <c r="F612" s="9">
        <v>5932973.0599999996</v>
      </c>
      <c r="G612" s="8"/>
      <c r="H612" s="9">
        <f t="shared" si="322"/>
        <v>5932973.0599999996</v>
      </c>
      <c r="I612" s="8"/>
      <c r="J612" s="8"/>
      <c r="K612" s="8"/>
      <c r="L612" s="9"/>
      <c r="M612" s="9">
        <f t="shared" si="323"/>
        <v>5932973.0599999996</v>
      </c>
      <c r="N612" s="9">
        <v>0</v>
      </c>
      <c r="O612" s="8"/>
      <c r="P612" s="9">
        <f t="shared" si="324"/>
        <v>0</v>
      </c>
      <c r="Q612" s="8"/>
      <c r="R612" s="8"/>
      <c r="S612" s="8"/>
      <c r="T612" s="9"/>
      <c r="U612" s="9">
        <f t="shared" si="325"/>
        <v>0</v>
      </c>
      <c r="V612" s="9">
        <f t="shared" si="326"/>
        <v>5932973.0599999996</v>
      </c>
      <c r="W612" s="9">
        <f t="shared" si="327"/>
        <v>0</v>
      </c>
      <c r="X612" s="9">
        <f t="shared" si="328"/>
        <v>5932973.0599999996</v>
      </c>
      <c r="Y612" s="8"/>
      <c r="Z612" s="9">
        <f t="shared" si="329"/>
        <v>0</v>
      </c>
      <c r="AA612" s="8">
        <f t="shared" si="330"/>
        <v>5932973.0599999996</v>
      </c>
      <c r="AB612" s="8">
        <f t="shared" si="331"/>
        <v>0</v>
      </c>
    </row>
    <row r="613" spans="1:28" x14ac:dyDescent="0.3">
      <c r="A613" s="64"/>
      <c r="B613" s="8"/>
      <c r="C613" s="7" t="s">
        <v>55</v>
      </c>
      <c r="D613" s="15" t="s">
        <v>54</v>
      </c>
      <c r="E613" s="9">
        <v>34407</v>
      </c>
      <c r="F613" s="9">
        <v>0</v>
      </c>
      <c r="G613" s="8"/>
      <c r="H613" s="9">
        <f t="shared" si="322"/>
        <v>0</v>
      </c>
      <c r="I613" s="8"/>
      <c r="J613" s="8"/>
      <c r="K613" s="8"/>
      <c r="L613" s="9"/>
      <c r="M613" s="9">
        <f t="shared" si="323"/>
        <v>0</v>
      </c>
      <c r="N613" s="9">
        <v>34407</v>
      </c>
      <c r="O613" s="8"/>
      <c r="P613" s="9">
        <f t="shared" si="324"/>
        <v>34407</v>
      </c>
      <c r="Q613" s="8"/>
      <c r="R613" s="8"/>
      <c r="S613" s="8"/>
      <c r="T613" s="9"/>
      <c r="U613" s="9">
        <f t="shared" si="325"/>
        <v>34407</v>
      </c>
      <c r="V613" s="9">
        <f t="shared" si="326"/>
        <v>34407</v>
      </c>
      <c r="W613" s="9">
        <f t="shared" si="327"/>
        <v>0</v>
      </c>
      <c r="X613" s="9">
        <f t="shared" si="328"/>
        <v>34407</v>
      </c>
      <c r="Y613" s="8"/>
      <c r="Z613" s="9">
        <f t="shared" si="329"/>
        <v>0</v>
      </c>
      <c r="AA613" s="8">
        <f t="shared" si="330"/>
        <v>34407</v>
      </c>
      <c r="AB613" s="8">
        <f t="shared" si="331"/>
        <v>0</v>
      </c>
    </row>
    <row r="614" spans="1:28" x14ac:dyDescent="0.3">
      <c r="A614" s="64"/>
      <c r="B614" s="8"/>
      <c r="C614" s="7" t="s">
        <v>53</v>
      </c>
      <c r="D614" s="15" t="s">
        <v>85</v>
      </c>
      <c r="E614" s="9">
        <v>1767770</v>
      </c>
      <c r="F614" s="9">
        <v>0</v>
      </c>
      <c r="G614" s="8"/>
      <c r="H614" s="9">
        <f t="shared" si="322"/>
        <v>0</v>
      </c>
      <c r="I614" s="8"/>
      <c r="J614" s="8"/>
      <c r="K614" s="8"/>
      <c r="L614" s="9"/>
      <c r="M614" s="9">
        <f t="shared" si="323"/>
        <v>0</v>
      </c>
      <c r="N614" s="9">
        <v>1767770</v>
      </c>
      <c r="O614" s="8"/>
      <c r="P614" s="9">
        <f t="shared" si="324"/>
        <v>1767770</v>
      </c>
      <c r="Q614" s="8"/>
      <c r="R614" s="8"/>
      <c r="S614" s="8"/>
      <c r="T614" s="9"/>
      <c r="U614" s="9">
        <f t="shared" si="325"/>
        <v>1767770</v>
      </c>
      <c r="V614" s="9">
        <f t="shared" si="326"/>
        <v>1767770</v>
      </c>
      <c r="W614" s="9">
        <f t="shared" si="327"/>
        <v>0</v>
      </c>
      <c r="X614" s="9">
        <f t="shared" si="328"/>
        <v>1767770</v>
      </c>
      <c r="Y614" s="8"/>
      <c r="Z614" s="9">
        <f t="shared" si="329"/>
        <v>0</v>
      </c>
      <c r="AA614" s="8">
        <f t="shared" si="330"/>
        <v>1767770</v>
      </c>
      <c r="AB614" s="8">
        <f t="shared" si="331"/>
        <v>0</v>
      </c>
    </row>
    <row r="615" spans="1:28" x14ac:dyDescent="0.3">
      <c r="A615" s="64"/>
      <c r="B615" s="8"/>
      <c r="C615" s="7" t="s">
        <v>147</v>
      </c>
      <c r="D615" s="15" t="s">
        <v>85</v>
      </c>
      <c r="E615" s="9">
        <f>300000-29700</f>
        <v>270300</v>
      </c>
      <c r="F615" s="9">
        <v>0</v>
      </c>
      <c r="G615" s="8"/>
      <c r="H615" s="9">
        <f t="shared" si="322"/>
        <v>0</v>
      </c>
      <c r="I615" s="8"/>
      <c r="J615" s="8"/>
      <c r="K615" s="8"/>
      <c r="L615" s="9"/>
      <c r="M615" s="9">
        <f t="shared" si="323"/>
        <v>0</v>
      </c>
      <c r="N615" s="9">
        <v>270300</v>
      </c>
      <c r="O615" s="8"/>
      <c r="P615" s="9">
        <f t="shared" si="324"/>
        <v>270300</v>
      </c>
      <c r="Q615" s="9"/>
      <c r="R615" s="8"/>
      <c r="S615" s="9"/>
      <c r="T615" s="9"/>
      <c r="U615" s="9">
        <f t="shared" si="325"/>
        <v>270300</v>
      </c>
      <c r="V615" s="9">
        <f t="shared" si="326"/>
        <v>270300</v>
      </c>
      <c r="W615" s="9">
        <f t="shared" si="327"/>
        <v>0</v>
      </c>
      <c r="X615" s="9">
        <f t="shared" si="328"/>
        <v>270300</v>
      </c>
      <c r="Y615" s="8"/>
      <c r="Z615" s="9">
        <f t="shared" si="329"/>
        <v>0</v>
      </c>
      <c r="AA615" s="8">
        <f t="shared" si="330"/>
        <v>270300</v>
      </c>
      <c r="AB615" s="8">
        <f t="shared" si="331"/>
        <v>0</v>
      </c>
    </row>
    <row r="616" spans="1:28" x14ac:dyDescent="0.3">
      <c r="A616" s="64"/>
      <c r="B616" s="8"/>
      <c r="C616" s="7" t="s">
        <v>197</v>
      </c>
      <c r="D616" s="15" t="s">
        <v>85</v>
      </c>
      <c r="E616" s="9">
        <v>1200000</v>
      </c>
      <c r="F616" s="9">
        <v>1200000</v>
      </c>
      <c r="G616" s="8"/>
      <c r="H616" s="9">
        <f t="shared" si="322"/>
        <v>1200000</v>
      </c>
      <c r="I616" s="8"/>
      <c r="J616" s="8"/>
      <c r="K616" s="8"/>
      <c r="L616" s="9"/>
      <c r="M616" s="9">
        <f t="shared" si="323"/>
        <v>1200000</v>
      </c>
      <c r="N616" s="9">
        <v>0</v>
      </c>
      <c r="O616" s="8"/>
      <c r="P616" s="9">
        <f t="shared" si="324"/>
        <v>0</v>
      </c>
      <c r="Q616" s="8"/>
      <c r="R616" s="8"/>
      <c r="S616" s="8"/>
      <c r="T616" s="9"/>
      <c r="U616" s="9">
        <f t="shared" si="325"/>
        <v>0</v>
      </c>
      <c r="V616" s="9">
        <f t="shared" si="326"/>
        <v>1200000</v>
      </c>
      <c r="W616" s="9">
        <f t="shared" si="327"/>
        <v>0</v>
      </c>
      <c r="X616" s="9">
        <f t="shared" si="328"/>
        <v>1200000</v>
      </c>
      <c r="Y616" s="8"/>
      <c r="Z616" s="9">
        <f t="shared" si="329"/>
        <v>0</v>
      </c>
      <c r="AA616" s="8">
        <f t="shared" si="330"/>
        <v>1200000</v>
      </c>
      <c r="AB616" s="8">
        <f t="shared" si="331"/>
        <v>0</v>
      </c>
    </row>
    <row r="617" spans="1:28" x14ac:dyDescent="0.3">
      <c r="A617" s="64"/>
      <c r="B617" s="8"/>
      <c r="C617" s="7" t="s">
        <v>57</v>
      </c>
      <c r="D617" s="15" t="s">
        <v>58</v>
      </c>
      <c r="E617" s="9">
        <v>5562635</v>
      </c>
      <c r="F617" s="9">
        <v>5562635</v>
      </c>
      <c r="G617" s="8"/>
      <c r="H617" s="9">
        <f t="shared" si="322"/>
        <v>5562635</v>
      </c>
      <c r="I617" s="8"/>
      <c r="J617" s="8"/>
      <c r="K617" s="8"/>
      <c r="L617" s="9"/>
      <c r="M617" s="9">
        <f t="shared" si="323"/>
        <v>5562635</v>
      </c>
      <c r="N617" s="9">
        <v>0</v>
      </c>
      <c r="O617" s="8"/>
      <c r="P617" s="9">
        <f t="shared" si="324"/>
        <v>0</v>
      </c>
      <c r="Q617" s="8"/>
      <c r="R617" s="8"/>
      <c r="S617" s="8"/>
      <c r="T617" s="9"/>
      <c r="U617" s="9">
        <f t="shared" si="325"/>
        <v>0</v>
      </c>
      <c r="V617" s="9">
        <f t="shared" si="326"/>
        <v>5562635</v>
      </c>
      <c r="W617" s="9">
        <f t="shared" si="327"/>
        <v>0</v>
      </c>
      <c r="X617" s="9">
        <f t="shared" si="328"/>
        <v>5562635</v>
      </c>
      <c r="Y617" s="8"/>
      <c r="Z617" s="9">
        <f t="shared" si="329"/>
        <v>0</v>
      </c>
      <c r="AA617" s="8">
        <f t="shared" si="330"/>
        <v>5562635</v>
      </c>
      <c r="AB617" s="8">
        <f t="shared" si="331"/>
        <v>0</v>
      </c>
    </row>
    <row r="618" spans="1:28" x14ac:dyDescent="0.3">
      <c r="A618" s="64"/>
      <c r="B618" s="8"/>
      <c r="C618" s="14" t="s">
        <v>109</v>
      </c>
      <c r="D618" s="21" t="s">
        <v>60</v>
      </c>
      <c r="E618" s="9">
        <f>2500000+1620449.59+857942.89</f>
        <v>4978392.4799999995</v>
      </c>
      <c r="F618" s="11">
        <f>2500000+1620449.59+857942.89</f>
        <v>4978392.4799999995</v>
      </c>
      <c r="G618" s="8"/>
      <c r="H618" s="9">
        <f t="shared" si="322"/>
        <v>4978392.4799999995</v>
      </c>
      <c r="I618" s="8"/>
      <c r="J618" s="8"/>
      <c r="K618" s="8"/>
      <c r="L618" s="9"/>
      <c r="M618" s="9">
        <f t="shared" si="323"/>
        <v>4978392.4799999995</v>
      </c>
      <c r="N618" s="9">
        <v>0</v>
      </c>
      <c r="O618" s="8"/>
      <c r="P618" s="9">
        <f t="shared" si="324"/>
        <v>0</v>
      </c>
      <c r="Q618" s="8"/>
      <c r="R618" s="8"/>
      <c r="S618" s="8"/>
      <c r="T618" s="9"/>
      <c r="U618" s="9">
        <f t="shared" si="325"/>
        <v>0</v>
      </c>
      <c r="V618" s="9">
        <f t="shared" si="326"/>
        <v>4978392.4799999995</v>
      </c>
      <c r="W618" s="9">
        <f t="shared" si="327"/>
        <v>0</v>
      </c>
      <c r="X618" s="9">
        <f t="shared" si="328"/>
        <v>4978392.4799999995</v>
      </c>
      <c r="Y618" s="8"/>
      <c r="Z618" s="9">
        <f t="shared" si="329"/>
        <v>0</v>
      </c>
      <c r="AA618" s="8">
        <f t="shared" si="330"/>
        <v>4978392.4799999995</v>
      </c>
      <c r="AB618" s="8">
        <f t="shared" si="331"/>
        <v>0</v>
      </c>
    </row>
    <row r="619" spans="1:28" x14ac:dyDescent="0.3">
      <c r="A619" s="64"/>
      <c r="B619" s="8"/>
      <c r="C619" s="14" t="s">
        <v>1076</v>
      </c>
      <c r="D619" s="24" t="s">
        <v>1072</v>
      </c>
      <c r="E619" s="9">
        <v>300000</v>
      </c>
      <c r="F619" s="11">
        <v>300000</v>
      </c>
      <c r="G619" s="8"/>
      <c r="H619" s="9">
        <f>+F619+G619</f>
        <v>300000</v>
      </c>
      <c r="I619" s="8"/>
      <c r="J619" s="8"/>
      <c r="K619" s="8"/>
      <c r="L619" s="9"/>
      <c r="M619" s="9">
        <f>+H619+L619</f>
        <v>300000</v>
      </c>
      <c r="N619" s="9">
        <v>0</v>
      </c>
      <c r="O619" s="8"/>
      <c r="P619" s="9">
        <v>0</v>
      </c>
      <c r="Q619" s="8"/>
      <c r="R619" s="8"/>
      <c r="S619" s="8"/>
      <c r="T619" s="9"/>
      <c r="U619" s="9">
        <f>P619+T619</f>
        <v>0</v>
      </c>
      <c r="V619" s="9">
        <f>P619+H619</f>
        <v>300000</v>
      </c>
      <c r="W619" s="9">
        <f>E619-V619</f>
        <v>0</v>
      </c>
      <c r="X619" s="9">
        <f t="shared" si="328"/>
        <v>300000</v>
      </c>
      <c r="Y619" s="8"/>
      <c r="Z619" s="9">
        <f t="shared" si="329"/>
        <v>0</v>
      </c>
      <c r="AA619" s="8">
        <f t="shared" si="330"/>
        <v>300000</v>
      </c>
      <c r="AB619" s="8">
        <f t="shared" si="331"/>
        <v>0</v>
      </c>
    </row>
    <row r="620" spans="1:28" x14ac:dyDescent="0.3">
      <c r="A620" s="64"/>
      <c r="B620" s="8"/>
      <c r="C620" s="14" t="s">
        <v>930</v>
      </c>
      <c r="D620" s="24" t="s">
        <v>1072</v>
      </c>
      <c r="E620" s="9">
        <v>239137.57</v>
      </c>
      <c r="F620" s="9">
        <v>239137.57</v>
      </c>
      <c r="G620" s="8"/>
      <c r="H620" s="9">
        <f>+F620+G620</f>
        <v>239137.57</v>
      </c>
      <c r="I620" s="8"/>
      <c r="J620" s="8"/>
      <c r="K620" s="8"/>
      <c r="L620" s="9"/>
      <c r="M620" s="9">
        <f>+H620+L620</f>
        <v>239137.57</v>
      </c>
      <c r="N620" s="9">
        <v>0</v>
      </c>
      <c r="O620" s="8"/>
      <c r="P620" s="9">
        <f>+N620+O620</f>
        <v>0</v>
      </c>
      <c r="Q620" s="8"/>
      <c r="R620" s="8"/>
      <c r="S620" s="8"/>
      <c r="T620" s="9"/>
      <c r="U620" s="9">
        <f>P620+T620</f>
        <v>0</v>
      </c>
      <c r="V620" s="9">
        <f>P620+H620</f>
        <v>239137.57</v>
      </c>
      <c r="W620" s="9">
        <f>E620-V620</f>
        <v>0</v>
      </c>
      <c r="X620" s="9">
        <f t="shared" si="328"/>
        <v>239137.57</v>
      </c>
      <c r="Y620" s="8"/>
      <c r="Z620" s="9">
        <f t="shared" si="329"/>
        <v>0</v>
      </c>
      <c r="AA620" s="8">
        <f t="shared" si="330"/>
        <v>239137.57</v>
      </c>
      <c r="AB620" s="8">
        <f t="shared" si="331"/>
        <v>0</v>
      </c>
    </row>
    <row r="621" spans="1:28" x14ac:dyDescent="0.3">
      <c r="A621" s="64"/>
      <c r="B621" s="8"/>
      <c r="C621" s="14" t="s">
        <v>1246</v>
      </c>
      <c r="D621" s="24" t="s">
        <v>1225</v>
      </c>
      <c r="E621" s="9">
        <v>250000</v>
      </c>
      <c r="F621" s="9">
        <v>250000</v>
      </c>
      <c r="G621" s="8"/>
      <c r="H621" s="9">
        <f>+F621+G621</f>
        <v>250000</v>
      </c>
      <c r="I621" s="8"/>
      <c r="J621" s="8"/>
      <c r="K621" s="8"/>
      <c r="L621" s="9"/>
      <c r="M621" s="9">
        <f>+H621+L621</f>
        <v>250000</v>
      </c>
      <c r="N621" s="9">
        <v>0</v>
      </c>
      <c r="O621" s="8"/>
      <c r="P621" s="9">
        <f>+N621+O621</f>
        <v>0</v>
      </c>
      <c r="Q621" s="8"/>
      <c r="R621" s="8"/>
      <c r="S621" s="8"/>
      <c r="T621" s="9"/>
      <c r="U621" s="9">
        <f>+P621+T621</f>
        <v>0</v>
      </c>
      <c r="V621" s="9"/>
      <c r="W621" s="9"/>
      <c r="X621" s="9">
        <f>+H621+P621</f>
        <v>250000</v>
      </c>
      <c r="Y621" s="8"/>
      <c r="Z621" s="9">
        <f>+E621-X621</f>
        <v>0</v>
      </c>
      <c r="AA621" s="8">
        <f t="shared" si="330"/>
        <v>250000</v>
      </c>
      <c r="AB621" s="8">
        <f t="shared" si="331"/>
        <v>0</v>
      </c>
    </row>
    <row r="622" spans="1:28" x14ac:dyDescent="0.3">
      <c r="A622" s="64"/>
      <c r="B622" s="8"/>
      <c r="C622" s="7" t="s">
        <v>57</v>
      </c>
      <c r="D622" s="24" t="s">
        <v>61</v>
      </c>
      <c r="E622" s="9">
        <v>320147.92</v>
      </c>
      <c r="F622" s="8">
        <v>320147.92</v>
      </c>
      <c r="G622" s="8"/>
      <c r="H622" s="9">
        <f t="shared" si="322"/>
        <v>320147.92</v>
      </c>
      <c r="I622" s="8"/>
      <c r="J622" s="8"/>
      <c r="K622" s="8"/>
      <c r="L622" s="9"/>
      <c r="M622" s="9">
        <f t="shared" si="323"/>
        <v>320147.92</v>
      </c>
      <c r="N622" s="9">
        <v>0</v>
      </c>
      <c r="O622" s="8"/>
      <c r="P622" s="9">
        <f t="shared" si="324"/>
        <v>0</v>
      </c>
      <c r="Q622" s="8"/>
      <c r="R622" s="8"/>
      <c r="S622" s="8"/>
      <c r="T622" s="9"/>
      <c r="U622" s="9">
        <f t="shared" si="325"/>
        <v>0</v>
      </c>
      <c r="V622" s="9">
        <f t="shared" si="326"/>
        <v>320147.92</v>
      </c>
      <c r="W622" s="9">
        <f t="shared" si="327"/>
        <v>0</v>
      </c>
      <c r="X622" s="9">
        <f t="shared" si="328"/>
        <v>320147.92</v>
      </c>
      <c r="Y622" s="8"/>
      <c r="Z622" s="9">
        <f t="shared" si="329"/>
        <v>0</v>
      </c>
      <c r="AA622" s="8">
        <f t="shared" si="330"/>
        <v>320147.92</v>
      </c>
      <c r="AB622" s="8">
        <f t="shared" si="331"/>
        <v>0</v>
      </c>
    </row>
    <row r="623" spans="1:28" x14ac:dyDescent="0.3">
      <c r="A623" s="64"/>
      <c r="B623" s="8"/>
      <c r="C623" s="8"/>
      <c r="D623" s="8"/>
      <c r="E623" s="17" t="s">
        <v>29</v>
      </c>
      <c r="F623" s="17" t="s">
        <v>29</v>
      </c>
      <c r="G623" s="17" t="s">
        <v>29</v>
      </c>
      <c r="H623" s="17" t="s">
        <v>29</v>
      </c>
      <c r="I623" s="17" t="s">
        <v>29</v>
      </c>
      <c r="J623" s="17" t="s">
        <v>29</v>
      </c>
      <c r="K623" s="17" t="s">
        <v>29</v>
      </c>
      <c r="L623" s="17" t="s">
        <v>29</v>
      </c>
      <c r="M623" s="17" t="s">
        <v>29</v>
      </c>
      <c r="N623" s="17" t="s">
        <v>29</v>
      </c>
      <c r="O623" s="17" t="s">
        <v>29</v>
      </c>
      <c r="P623" s="17" t="s">
        <v>29</v>
      </c>
      <c r="Q623" s="17" t="s">
        <v>29</v>
      </c>
      <c r="R623" s="17" t="s">
        <v>29</v>
      </c>
      <c r="S623" s="17" t="s">
        <v>29</v>
      </c>
      <c r="T623" s="17" t="s">
        <v>29</v>
      </c>
      <c r="U623" s="17" t="s">
        <v>29</v>
      </c>
      <c r="V623" s="17" t="s">
        <v>29</v>
      </c>
      <c r="W623" s="17" t="s">
        <v>29</v>
      </c>
      <c r="X623" s="17" t="s">
        <v>29</v>
      </c>
      <c r="Y623" s="17" t="s">
        <v>29</v>
      </c>
      <c r="Z623" s="17" t="s">
        <v>29</v>
      </c>
      <c r="AA623" s="17" t="s">
        <v>29</v>
      </c>
      <c r="AB623" s="17" t="s">
        <v>29</v>
      </c>
    </row>
    <row r="624" spans="1:28" x14ac:dyDescent="0.3">
      <c r="A624" s="64"/>
      <c r="B624" s="8"/>
      <c r="C624" s="8"/>
      <c r="D624" s="8"/>
      <c r="E624" s="9">
        <f t="shared" ref="E624:AB624" si="332">SUM(E610:E622)</f>
        <v>50512485</v>
      </c>
      <c r="F624" s="9">
        <f t="shared" si="332"/>
        <v>41116416.459999993</v>
      </c>
      <c r="G624" s="9">
        <f t="shared" si="332"/>
        <v>0</v>
      </c>
      <c r="H624" s="9">
        <f t="shared" si="332"/>
        <v>41116416.459999993</v>
      </c>
      <c r="I624" s="9">
        <f t="shared" si="332"/>
        <v>0</v>
      </c>
      <c r="J624" s="9">
        <f t="shared" si="332"/>
        <v>0</v>
      </c>
      <c r="K624" s="9">
        <f t="shared" si="332"/>
        <v>0</v>
      </c>
      <c r="L624" s="9">
        <f t="shared" si="332"/>
        <v>0</v>
      </c>
      <c r="M624" s="9">
        <f t="shared" si="332"/>
        <v>41116416.459999993</v>
      </c>
      <c r="N624" s="9">
        <f t="shared" si="332"/>
        <v>2216110.25</v>
      </c>
      <c r="O624" s="9">
        <f t="shared" si="332"/>
        <v>0</v>
      </c>
      <c r="P624" s="9">
        <f t="shared" si="332"/>
        <v>2216110.25</v>
      </c>
      <c r="Q624" s="9">
        <f t="shared" si="332"/>
        <v>0</v>
      </c>
      <c r="R624" s="9">
        <f t="shared" si="332"/>
        <v>0</v>
      </c>
      <c r="S624" s="9">
        <f t="shared" si="332"/>
        <v>0</v>
      </c>
      <c r="T624" s="9">
        <f t="shared" si="332"/>
        <v>0</v>
      </c>
      <c r="U624" s="9">
        <f t="shared" si="332"/>
        <v>2216110.25</v>
      </c>
      <c r="V624" s="9">
        <f t="shared" si="332"/>
        <v>43082526.709999993</v>
      </c>
      <c r="W624" s="9">
        <f t="shared" si="332"/>
        <v>7179958.2899999991</v>
      </c>
      <c r="X624" s="9">
        <f t="shared" si="332"/>
        <v>43332526.709999993</v>
      </c>
      <c r="Y624" s="9">
        <f t="shared" si="332"/>
        <v>0</v>
      </c>
      <c r="Z624" s="9">
        <f t="shared" si="332"/>
        <v>7179958.2899999991</v>
      </c>
      <c r="AA624" s="9">
        <f t="shared" si="332"/>
        <v>43332526.709999993</v>
      </c>
      <c r="AB624" s="9">
        <f t="shared" si="332"/>
        <v>7179958.2899999991</v>
      </c>
    </row>
    <row r="625" spans="1:28" x14ac:dyDescent="0.3">
      <c r="A625" s="64"/>
      <c r="B625" s="8"/>
      <c r="C625" s="8"/>
      <c r="D625" s="8"/>
      <c r="E625" s="17" t="s">
        <v>29</v>
      </c>
      <c r="F625" s="17" t="s">
        <v>29</v>
      </c>
      <c r="G625" s="17" t="s">
        <v>29</v>
      </c>
      <c r="H625" s="17" t="s">
        <v>29</v>
      </c>
      <c r="I625" s="17" t="s">
        <v>29</v>
      </c>
      <c r="J625" s="17" t="s">
        <v>29</v>
      </c>
      <c r="K625" s="17" t="s">
        <v>29</v>
      </c>
      <c r="L625" s="17" t="s">
        <v>29</v>
      </c>
      <c r="M625" s="17" t="s">
        <v>29</v>
      </c>
      <c r="N625" s="17" t="s">
        <v>29</v>
      </c>
      <c r="O625" s="17" t="s">
        <v>29</v>
      </c>
      <c r="P625" s="17" t="s">
        <v>29</v>
      </c>
      <c r="Q625" s="17" t="s">
        <v>29</v>
      </c>
      <c r="R625" s="17" t="s">
        <v>29</v>
      </c>
      <c r="S625" s="17" t="s">
        <v>29</v>
      </c>
      <c r="T625" s="17" t="s">
        <v>29</v>
      </c>
      <c r="U625" s="17" t="s">
        <v>29</v>
      </c>
      <c r="V625" s="17" t="s">
        <v>29</v>
      </c>
      <c r="W625" s="17" t="s">
        <v>29</v>
      </c>
      <c r="X625" s="17" t="s">
        <v>29</v>
      </c>
      <c r="Y625" s="17" t="s">
        <v>29</v>
      </c>
      <c r="Z625" s="17" t="s">
        <v>29</v>
      </c>
      <c r="AA625" s="17" t="s">
        <v>29</v>
      </c>
      <c r="AB625" s="17" t="s">
        <v>29</v>
      </c>
    </row>
    <row r="626" spans="1:28" x14ac:dyDescent="0.3">
      <c r="A626" s="63" t="s">
        <v>967</v>
      </c>
      <c r="B626" s="7" t="s">
        <v>198</v>
      </c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58"/>
    </row>
    <row r="627" spans="1:28" x14ac:dyDescent="0.3">
      <c r="A627" s="64"/>
      <c r="B627" s="8"/>
      <c r="C627" s="7" t="s">
        <v>149</v>
      </c>
      <c r="D627" s="21" t="s">
        <v>150</v>
      </c>
      <c r="E627" s="9">
        <v>5700961</v>
      </c>
      <c r="F627" s="9">
        <v>4825000</v>
      </c>
      <c r="G627" s="8"/>
      <c r="H627" s="9">
        <f t="shared" ref="H627:H635" si="333">F627+G627</f>
        <v>4825000</v>
      </c>
      <c r="I627" s="8"/>
      <c r="J627" s="8"/>
      <c r="K627" s="8"/>
      <c r="L627" s="9"/>
      <c r="M627" s="9">
        <f t="shared" ref="M627:M635" si="334">H627+L627</f>
        <v>4825000</v>
      </c>
      <c r="N627" s="9">
        <v>211728.48</v>
      </c>
      <c r="O627" s="8"/>
      <c r="P627" s="9">
        <f t="shared" ref="P627:P635" si="335">N627+O627</f>
        <v>211728.48</v>
      </c>
      <c r="Q627" s="8"/>
      <c r="R627" s="8"/>
      <c r="S627" s="8"/>
      <c r="T627" s="9"/>
      <c r="U627" s="9">
        <f t="shared" ref="U627:U635" si="336">P627+T627</f>
        <v>211728.48</v>
      </c>
      <c r="V627" s="9">
        <f t="shared" ref="V627:V635" si="337">P627+H627</f>
        <v>5036728.4800000004</v>
      </c>
      <c r="W627" s="9">
        <f t="shared" ref="W627:W635" si="338">E627-V627</f>
        <v>664232.51999999955</v>
      </c>
      <c r="X627" s="9">
        <f t="shared" ref="X627:X635" si="339">+H627+P627</f>
        <v>5036728.4800000004</v>
      </c>
      <c r="Y627" s="8"/>
      <c r="Z627" s="9">
        <f t="shared" ref="Z627:Z635" si="340">+E627-X627</f>
        <v>664232.51999999955</v>
      </c>
      <c r="AA627" s="8">
        <f t="shared" ref="AA627:AA635" si="341">+M627+U627</f>
        <v>5036728.4800000004</v>
      </c>
      <c r="AB627" s="8">
        <f t="shared" ref="AB627:AB635" si="342">+E627-AA627</f>
        <v>664232.51999999955</v>
      </c>
    </row>
    <row r="628" spans="1:28" x14ac:dyDescent="0.3">
      <c r="A628" s="64"/>
      <c r="B628" s="8"/>
      <c r="C628" s="7" t="s">
        <v>151</v>
      </c>
      <c r="D628" s="21" t="s">
        <v>150</v>
      </c>
      <c r="E628" s="9">
        <v>20240572.550000001</v>
      </c>
      <c r="F628" s="9">
        <v>14408445.24</v>
      </c>
      <c r="G628" s="8"/>
      <c r="H628" s="9">
        <f t="shared" si="333"/>
        <v>14408445.24</v>
      </c>
      <c r="I628" s="8"/>
      <c r="J628" s="8"/>
      <c r="K628" s="8"/>
      <c r="L628" s="9"/>
      <c r="M628" s="9">
        <f t="shared" si="334"/>
        <v>14408445.24</v>
      </c>
      <c r="N628" s="9">
        <v>0</v>
      </c>
      <c r="O628" s="8"/>
      <c r="P628" s="9">
        <f t="shared" si="335"/>
        <v>0</v>
      </c>
      <c r="Q628" s="8"/>
      <c r="R628" s="8"/>
      <c r="S628" s="8"/>
      <c r="T628" s="9"/>
      <c r="U628" s="9">
        <f t="shared" si="336"/>
        <v>0</v>
      </c>
      <c r="V628" s="9">
        <f t="shared" si="337"/>
        <v>14408445.24</v>
      </c>
      <c r="W628" s="9">
        <f t="shared" si="338"/>
        <v>5832127.3100000005</v>
      </c>
      <c r="X628" s="9">
        <f t="shared" si="339"/>
        <v>14408445.24</v>
      </c>
      <c r="Y628" s="8"/>
      <c r="Z628" s="9">
        <f t="shared" si="340"/>
        <v>5832127.3100000005</v>
      </c>
      <c r="AA628" s="8">
        <f t="shared" si="341"/>
        <v>14408445.24</v>
      </c>
      <c r="AB628" s="8">
        <f t="shared" si="342"/>
        <v>5832127.3100000005</v>
      </c>
    </row>
    <row r="629" spans="1:28" x14ac:dyDescent="0.3">
      <c r="A629" s="64"/>
      <c r="B629" s="8"/>
      <c r="C629" s="7" t="s">
        <v>57</v>
      </c>
      <c r="D629" s="15" t="s">
        <v>54</v>
      </c>
      <c r="E629" s="9">
        <v>81050</v>
      </c>
      <c r="F629" s="9">
        <v>81050</v>
      </c>
      <c r="G629" s="8"/>
      <c r="H629" s="9">
        <f t="shared" si="333"/>
        <v>81050</v>
      </c>
      <c r="I629" s="8"/>
      <c r="J629" s="8"/>
      <c r="K629" s="8"/>
      <c r="L629" s="9"/>
      <c r="M629" s="9">
        <f t="shared" si="334"/>
        <v>81050</v>
      </c>
      <c r="N629" s="9">
        <v>0</v>
      </c>
      <c r="O629" s="8"/>
      <c r="P629" s="9">
        <f t="shared" si="335"/>
        <v>0</v>
      </c>
      <c r="Q629" s="8"/>
      <c r="R629" s="8"/>
      <c r="S629" s="8"/>
      <c r="T629" s="9"/>
      <c r="U629" s="9">
        <f t="shared" si="336"/>
        <v>0</v>
      </c>
      <c r="V629" s="9">
        <f t="shared" si="337"/>
        <v>81050</v>
      </c>
      <c r="W629" s="9">
        <f t="shared" si="338"/>
        <v>0</v>
      </c>
      <c r="X629" s="9">
        <f t="shared" si="339"/>
        <v>81050</v>
      </c>
      <c r="Y629" s="8"/>
      <c r="Z629" s="9">
        <f t="shared" si="340"/>
        <v>0</v>
      </c>
      <c r="AA629" s="8">
        <f t="shared" si="341"/>
        <v>81050</v>
      </c>
      <c r="AB629" s="8">
        <f t="shared" si="342"/>
        <v>0</v>
      </c>
    </row>
    <row r="630" spans="1:28" x14ac:dyDescent="0.3">
      <c r="A630" s="64"/>
      <c r="B630" s="8"/>
      <c r="C630" s="7" t="s">
        <v>53</v>
      </c>
      <c r="D630" s="15" t="s">
        <v>85</v>
      </c>
      <c r="E630" s="9">
        <v>1950113</v>
      </c>
      <c r="F630" s="9">
        <v>0</v>
      </c>
      <c r="G630" s="8"/>
      <c r="H630" s="9">
        <f t="shared" si="333"/>
        <v>0</v>
      </c>
      <c r="I630" s="8"/>
      <c r="J630" s="8"/>
      <c r="K630" s="8"/>
      <c r="L630" s="9"/>
      <c r="M630" s="9">
        <f t="shared" si="334"/>
        <v>0</v>
      </c>
      <c r="N630" s="9">
        <v>1950113</v>
      </c>
      <c r="O630" s="8"/>
      <c r="P630" s="9">
        <f t="shared" si="335"/>
        <v>1950113</v>
      </c>
      <c r="Q630" s="8"/>
      <c r="R630" s="8"/>
      <c r="S630" s="8"/>
      <c r="T630" s="9"/>
      <c r="U630" s="9">
        <f t="shared" si="336"/>
        <v>1950113</v>
      </c>
      <c r="V630" s="9">
        <f t="shared" si="337"/>
        <v>1950113</v>
      </c>
      <c r="W630" s="9">
        <f t="shared" si="338"/>
        <v>0</v>
      </c>
      <c r="X630" s="9">
        <f t="shared" si="339"/>
        <v>1950113</v>
      </c>
      <c r="Y630" s="8"/>
      <c r="Z630" s="9">
        <f t="shared" si="340"/>
        <v>0</v>
      </c>
      <c r="AA630" s="8">
        <f t="shared" si="341"/>
        <v>1950113</v>
      </c>
      <c r="AB630" s="8">
        <f t="shared" si="342"/>
        <v>0</v>
      </c>
    </row>
    <row r="631" spans="1:28" x14ac:dyDescent="0.3">
      <c r="A631" s="64"/>
      <c r="B631" s="8"/>
      <c r="C631" s="7" t="s">
        <v>147</v>
      </c>
      <c r="D631" s="15" t="s">
        <v>128</v>
      </c>
      <c r="E631" s="9">
        <v>282730</v>
      </c>
      <c r="F631" s="9">
        <v>0</v>
      </c>
      <c r="G631" s="8"/>
      <c r="H631" s="9">
        <f t="shared" si="333"/>
        <v>0</v>
      </c>
      <c r="I631" s="8"/>
      <c r="J631" s="8"/>
      <c r="K631" s="8"/>
      <c r="L631" s="9"/>
      <c r="M631" s="9">
        <f t="shared" si="334"/>
        <v>0</v>
      </c>
      <c r="N631" s="9">
        <v>282730</v>
      </c>
      <c r="O631" s="8"/>
      <c r="P631" s="9">
        <f t="shared" si="335"/>
        <v>282730</v>
      </c>
      <c r="Q631" s="9"/>
      <c r="R631" s="8"/>
      <c r="S631" s="9"/>
      <c r="T631" s="9"/>
      <c r="U631" s="9">
        <f t="shared" si="336"/>
        <v>282730</v>
      </c>
      <c r="V631" s="9">
        <f t="shared" si="337"/>
        <v>282730</v>
      </c>
      <c r="W631" s="9">
        <f t="shared" si="338"/>
        <v>0</v>
      </c>
      <c r="X631" s="9">
        <f t="shared" si="339"/>
        <v>282730</v>
      </c>
      <c r="Y631" s="8"/>
      <c r="Z631" s="9">
        <f t="shared" si="340"/>
        <v>0</v>
      </c>
      <c r="AA631" s="8">
        <f t="shared" si="341"/>
        <v>282730</v>
      </c>
      <c r="AB631" s="8">
        <f t="shared" si="342"/>
        <v>0</v>
      </c>
    </row>
    <row r="632" spans="1:28" x14ac:dyDescent="0.3">
      <c r="A632" s="64"/>
      <c r="B632" s="8"/>
      <c r="C632" s="7" t="s">
        <v>57</v>
      </c>
      <c r="D632" s="15" t="s">
        <v>108</v>
      </c>
      <c r="E632" s="9">
        <v>2468756.69</v>
      </c>
      <c r="F632" s="9">
        <v>2468756.69</v>
      </c>
      <c r="G632" s="8"/>
      <c r="H632" s="9">
        <f t="shared" si="333"/>
        <v>2468756.69</v>
      </c>
      <c r="I632" s="8"/>
      <c r="J632" s="8"/>
      <c r="K632" s="8"/>
      <c r="L632" s="9"/>
      <c r="M632" s="9">
        <f t="shared" si="334"/>
        <v>2468756.69</v>
      </c>
      <c r="N632" s="9">
        <v>0</v>
      </c>
      <c r="O632" s="8"/>
      <c r="P632" s="9">
        <f t="shared" si="335"/>
        <v>0</v>
      </c>
      <c r="Q632" s="8"/>
      <c r="R632" s="8"/>
      <c r="S632" s="8"/>
      <c r="T632" s="9"/>
      <c r="U632" s="9">
        <f t="shared" si="336"/>
        <v>0</v>
      </c>
      <c r="V632" s="9">
        <f t="shared" si="337"/>
        <v>2468756.69</v>
      </c>
      <c r="W632" s="9">
        <f t="shared" si="338"/>
        <v>0</v>
      </c>
      <c r="X632" s="9">
        <f t="shared" si="339"/>
        <v>2468756.69</v>
      </c>
      <c r="Y632" s="8"/>
      <c r="Z632" s="9">
        <f t="shared" si="340"/>
        <v>0</v>
      </c>
      <c r="AA632" s="8">
        <f t="shared" si="341"/>
        <v>2468756.69</v>
      </c>
      <c r="AB632" s="8">
        <f t="shared" si="342"/>
        <v>0</v>
      </c>
    </row>
    <row r="633" spans="1:28" x14ac:dyDescent="0.3">
      <c r="A633" s="64"/>
      <c r="B633" s="8"/>
      <c r="C633" s="7" t="s">
        <v>57</v>
      </c>
      <c r="D633" s="15" t="s">
        <v>58</v>
      </c>
      <c r="E633" s="9">
        <f>1283693+2779214</f>
        <v>4062907</v>
      </c>
      <c r="F633" s="9">
        <f>1283693+2779214</f>
        <v>4062907</v>
      </c>
      <c r="G633" s="8"/>
      <c r="H633" s="9">
        <f t="shared" si="333"/>
        <v>4062907</v>
      </c>
      <c r="I633" s="8"/>
      <c r="J633" s="8"/>
      <c r="K633" s="8"/>
      <c r="L633" s="9"/>
      <c r="M633" s="9">
        <f t="shared" si="334"/>
        <v>4062907</v>
      </c>
      <c r="N633" s="9">
        <v>0</v>
      </c>
      <c r="O633" s="8"/>
      <c r="P633" s="9">
        <f t="shared" si="335"/>
        <v>0</v>
      </c>
      <c r="Q633" s="8"/>
      <c r="R633" s="8"/>
      <c r="S633" s="8"/>
      <c r="T633" s="9"/>
      <c r="U633" s="9">
        <f t="shared" si="336"/>
        <v>0</v>
      </c>
      <c r="V633" s="9">
        <f t="shared" si="337"/>
        <v>4062907</v>
      </c>
      <c r="W633" s="9">
        <f t="shared" si="338"/>
        <v>0</v>
      </c>
      <c r="X633" s="9">
        <f t="shared" si="339"/>
        <v>4062907</v>
      </c>
      <c r="Y633" s="8"/>
      <c r="Z633" s="9">
        <f t="shared" si="340"/>
        <v>0</v>
      </c>
      <c r="AA633" s="8">
        <f t="shared" si="341"/>
        <v>4062907</v>
      </c>
      <c r="AB633" s="8">
        <f t="shared" si="342"/>
        <v>0</v>
      </c>
    </row>
    <row r="634" spans="1:28" x14ac:dyDescent="0.3">
      <c r="A634" s="64"/>
      <c r="B634" s="8"/>
      <c r="C634" s="7" t="s">
        <v>1077</v>
      </c>
      <c r="D634" s="15"/>
      <c r="E634" s="9">
        <v>271885.14</v>
      </c>
      <c r="F634" s="9">
        <v>271885.14</v>
      </c>
      <c r="G634" s="8"/>
      <c r="H634" s="9">
        <f>+F634+G634</f>
        <v>271885.14</v>
      </c>
      <c r="I634" s="8"/>
      <c r="J634" s="8"/>
      <c r="K634" s="8"/>
      <c r="L634" s="9"/>
      <c r="M634" s="9">
        <f>+H634+L634</f>
        <v>271885.14</v>
      </c>
      <c r="N634" s="9">
        <v>0</v>
      </c>
      <c r="O634" s="8"/>
      <c r="P634" s="9">
        <f>+N634+O634</f>
        <v>0</v>
      </c>
      <c r="Q634" s="8"/>
      <c r="R634" s="8"/>
      <c r="S634" s="8"/>
      <c r="T634" s="9"/>
      <c r="U634" s="9">
        <f>P634+T634</f>
        <v>0</v>
      </c>
      <c r="V634" s="9">
        <f>P634+H634</f>
        <v>271885.14</v>
      </c>
      <c r="W634" s="9">
        <f>E634-V634</f>
        <v>0</v>
      </c>
      <c r="X634" s="9">
        <f t="shared" si="339"/>
        <v>271885.14</v>
      </c>
      <c r="Y634" s="8"/>
      <c r="Z634" s="9">
        <f t="shared" si="340"/>
        <v>0</v>
      </c>
      <c r="AA634" s="8">
        <f t="shared" si="341"/>
        <v>271885.14</v>
      </c>
      <c r="AB634" s="8">
        <f t="shared" si="342"/>
        <v>0</v>
      </c>
    </row>
    <row r="635" spans="1:28" x14ac:dyDescent="0.3">
      <c r="A635" s="64"/>
      <c r="B635" s="8"/>
      <c r="C635" s="14" t="s">
        <v>199</v>
      </c>
      <c r="D635" s="15" t="s">
        <v>58</v>
      </c>
      <c r="E635" s="9">
        <v>5000000</v>
      </c>
      <c r="F635" s="11">
        <v>5000000</v>
      </c>
      <c r="G635" s="8"/>
      <c r="H635" s="9">
        <f t="shared" si="333"/>
        <v>5000000</v>
      </c>
      <c r="I635" s="8"/>
      <c r="J635" s="8"/>
      <c r="K635" s="8"/>
      <c r="L635" s="9"/>
      <c r="M635" s="9">
        <f t="shared" si="334"/>
        <v>5000000</v>
      </c>
      <c r="N635" s="9">
        <v>0</v>
      </c>
      <c r="O635" s="8"/>
      <c r="P635" s="9">
        <f t="shared" si="335"/>
        <v>0</v>
      </c>
      <c r="Q635" s="8"/>
      <c r="R635" s="8"/>
      <c r="S635" s="8"/>
      <c r="T635" s="9"/>
      <c r="U635" s="9">
        <f t="shared" si="336"/>
        <v>0</v>
      </c>
      <c r="V635" s="9">
        <f t="shared" si="337"/>
        <v>5000000</v>
      </c>
      <c r="W635" s="9">
        <f t="shared" si="338"/>
        <v>0</v>
      </c>
      <c r="X635" s="9">
        <f t="shared" si="339"/>
        <v>5000000</v>
      </c>
      <c r="Y635" s="8"/>
      <c r="Z635" s="9">
        <f t="shared" si="340"/>
        <v>0</v>
      </c>
      <c r="AA635" s="8">
        <f t="shared" si="341"/>
        <v>5000000</v>
      </c>
      <c r="AB635" s="8">
        <f t="shared" si="342"/>
        <v>0</v>
      </c>
    </row>
    <row r="636" spans="1:28" x14ac:dyDescent="0.3">
      <c r="A636" s="64"/>
      <c r="B636" s="8"/>
      <c r="C636" s="8"/>
      <c r="D636" s="8"/>
      <c r="E636" s="17" t="s">
        <v>29</v>
      </c>
      <c r="F636" s="17" t="s">
        <v>29</v>
      </c>
      <c r="G636" s="17" t="s">
        <v>29</v>
      </c>
      <c r="H636" s="17" t="s">
        <v>29</v>
      </c>
      <c r="I636" s="17" t="s">
        <v>29</v>
      </c>
      <c r="J636" s="17" t="s">
        <v>29</v>
      </c>
      <c r="K636" s="17" t="s">
        <v>29</v>
      </c>
      <c r="L636" s="17" t="s">
        <v>29</v>
      </c>
      <c r="M636" s="17" t="s">
        <v>29</v>
      </c>
      <c r="N636" s="17" t="s">
        <v>29</v>
      </c>
      <c r="O636" s="17" t="s">
        <v>29</v>
      </c>
      <c r="P636" s="17" t="s">
        <v>29</v>
      </c>
      <c r="Q636" s="17" t="s">
        <v>29</v>
      </c>
      <c r="R636" s="17" t="s">
        <v>29</v>
      </c>
      <c r="S636" s="17" t="s">
        <v>29</v>
      </c>
      <c r="T636" s="17" t="s">
        <v>29</v>
      </c>
      <c r="U636" s="17" t="s">
        <v>29</v>
      </c>
      <c r="V636" s="17" t="s">
        <v>29</v>
      </c>
      <c r="W636" s="17" t="s">
        <v>29</v>
      </c>
      <c r="X636" s="17" t="s">
        <v>29</v>
      </c>
      <c r="Y636" s="17" t="s">
        <v>29</v>
      </c>
      <c r="Z636" s="17" t="s">
        <v>29</v>
      </c>
      <c r="AA636" s="17" t="s">
        <v>29</v>
      </c>
      <c r="AB636" s="17" t="s">
        <v>29</v>
      </c>
    </row>
    <row r="637" spans="1:28" x14ac:dyDescent="0.3">
      <c r="A637" s="64"/>
      <c r="B637" s="8"/>
      <c r="C637" s="8"/>
      <c r="D637" s="8"/>
      <c r="E637" s="9">
        <f t="shared" ref="E637:AB637" si="343">SUM(E627:E635)</f>
        <v>40058975.380000003</v>
      </c>
      <c r="F637" s="9">
        <f t="shared" si="343"/>
        <v>31118044.070000004</v>
      </c>
      <c r="G637" s="9">
        <f t="shared" si="343"/>
        <v>0</v>
      </c>
      <c r="H637" s="9">
        <f t="shared" si="343"/>
        <v>31118044.070000004</v>
      </c>
      <c r="I637" s="9">
        <f t="shared" si="343"/>
        <v>0</v>
      </c>
      <c r="J637" s="9">
        <f t="shared" si="343"/>
        <v>0</v>
      </c>
      <c r="K637" s="9">
        <f t="shared" si="343"/>
        <v>0</v>
      </c>
      <c r="L637" s="9">
        <f t="shared" si="343"/>
        <v>0</v>
      </c>
      <c r="M637" s="9">
        <f t="shared" si="343"/>
        <v>31118044.070000004</v>
      </c>
      <c r="N637" s="9">
        <f t="shared" si="343"/>
        <v>2444571.48</v>
      </c>
      <c r="O637" s="9">
        <f t="shared" si="343"/>
        <v>0</v>
      </c>
      <c r="P637" s="9">
        <f t="shared" si="343"/>
        <v>2444571.48</v>
      </c>
      <c r="Q637" s="9">
        <f t="shared" si="343"/>
        <v>0</v>
      </c>
      <c r="R637" s="9">
        <f t="shared" si="343"/>
        <v>0</v>
      </c>
      <c r="S637" s="9">
        <f t="shared" si="343"/>
        <v>0</v>
      </c>
      <c r="T637" s="9">
        <f t="shared" si="343"/>
        <v>0</v>
      </c>
      <c r="U637" s="9">
        <f t="shared" si="343"/>
        <v>2444571.48</v>
      </c>
      <c r="V637" s="9">
        <f t="shared" si="343"/>
        <v>33562615.549999997</v>
      </c>
      <c r="W637" s="9">
        <f t="shared" si="343"/>
        <v>6496359.8300000001</v>
      </c>
      <c r="X637" s="9">
        <f t="shared" si="343"/>
        <v>33562615.549999997</v>
      </c>
      <c r="Y637" s="9">
        <f t="shared" si="343"/>
        <v>0</v>
      </c>
      <c r="Z637" s="9">
        <f t="shared" si="343"/>
        <v>6496359.8300000001</v>
      </c>
      <c r="AA637" s="9">
        <f t="shared" si="343"/>
        <v>33562615.549999997</v>
      </c>
      <c r="AB637" s="9">
        <f t="shared" si="343"/>
        <v>6496359.8300000001</v>
      </c>
    </row>
    <row r="638" spans="1:28" x14ac:dyDescent="0.3">
      <c r="A638" s="64"/>
      <c r="B638" s="8"/>
      <c r="C638" s="8"/>
      <c r="D638" s="8"/>
      <c r="E638" s="17" t="s">
        <v>29</v>
      </c>
      <c r="F638" s="17" t="s">
        <v>29</v>
      </c>
      <c r="G638" s="17" t="s">
        <v>29</v>
      </c>
      <c r="H638" s="17" t="s">
        <v>29</v>
      </c>
      <c r="I638" s="17" t="s">
        <v>29</v>
      </c>
      <c r="J638" s="17" t="s">
        <v>29</v>
      </c>
      <c r="K638" s="17" t="s">
        <v>29</v>
      </c>
      <c r="L638" s="17" t="s">
        <v>29</v>
      </c>
      <c r="M638" s="17" t="s">
        <v>29</v>
      </c>
      <c r="N638" s="17" t="s">
        <v>29</v>
      </c>
      <c r="O638" s="17" t="s">
        <v>29</v>
      </c>
      <c r="P638" s="17" t="s">
        <v>29</v>
      </c>
      <c r="Q638" s="17" t="s">
        <v>29</v>
      </c>
      <c r="R638" s="17" t="s">
        <v>29</v>
      </c>
      <c r="S638" s="17" t="s">
        <v>29</v>
      </c>
      <c r="T638" s="17" t="s">
        <v>29</v>
      </c>
      <c r="U638" s="17" t="s">
        <v>29</v>
      </c>
      <c r="V638" s="17" t="s">
        <v>29</v>
      </c>
      <c r="W638" s="17" t="s">
        <v>29</v>
      </c>
      <c r="X638" s="17" t="s">
        <v>29</v>
      </c>
      <c r="Y638" s="17" t="s">
        <v>29</v>
      </c>
      <c r="Z638" s="17" t="s">
        <v>29</v>
      </c>
      <c r="AA638" s="17" t="s">
        <v>29</v>
      </c>
      <c r="AB638" s="17" t="s">
        <v>29</v>
      </c>
    </row>
    <row r="639" spans="1:28" x14ac:dyDescent="0.3">
      <c r="A639" s="64"/>
      <c r="B639" s="8"/>
      <c r="C639" s="7" t="s">
        <v>200</v>
      </c>
      <c r="D639" s="8"/>
      <c r="E639" s="9">
        <f t="shared" ref="E639:AB639" si="344">E637+E624+E606+E588+E569+E557+E546+E536+E523+E510+E501+E488+E474+E458+E562+E447</f>
        <v>722289991.86000001</v>
      </c>
      <c r="F639" s="9">
        <f t="shared" si="344"/>
        <v>506926928.10999995</v>
      </c>
      <c r="G639" s="9">
        <f t="shared" si="344"/>
        <v>0</v>
      </c>
      <c r="H639" s="9">
        <f t="shared" si="344"/>
        <v>506926928.10999995</v>
      </c>
      <c r="I639" s="9">
        <f t="shared" si="344"/>
        <v>1029988.23</v>
      </c>
      <c r="J639" s="9">
        <f t="shared" si="344"/>
        <v>0</v>
      </c>
      <c r="K639" s="9">
        <f t="shared" si="344"/>
        <v>0</v>
      </c>
      <c r="L639" s="9">
        <f t="shared" si="344"/>
        <v>1029988.23</v>
      </c>
      <c r="M639" s="9">
        <f t="shared" si="344"/>
        <v>507956916.33999997</v>
      </c>
      <c r="N639" s="9">
        <f t="shared" si="344"/>
        <v>92267671.349999994</v>
      </c>
      <c r="O639" s="9">
        <f t="shared" si="344"/>
        <v>0</v>
      </c>
      <c r="P639" s="9">
        <f t="shared" si="344"/>
        <v>92267671.349999994</v>
      </c>
      <c r="Q639" s="9">
        <f t="shared" si="344"/>
        <v>0</v>
      </c>
      <c r="R639" s="9">
        <f t="shared" si="344"/>
        <v>0</v>
      </c>
      <c r="S639" s="9">
        <f t="shared" si="344"/>
        <v>0</v>
      </c>
      <c r="T639" s="9">
        <f t="shared" si="344"/>
        <v>0</v>
      </c>
      <c r="U639" s="9">
        <f t="shared" si="344"/>
        <v>92267671.349999994</v>
      </c>
      <c r="V639" s="9">
        <f t="shared" si="344"/>
        <v>594291363.41999996</v>
      </c>
      <c r="W639" s="9">
        <f t="shared" si="344"/>
        <v>102628477.77</v>
      </c>
      <c r="X639" s="9">
        <f t="shared" si="344"/>
        <v>599194599.46000016</v>
      </c>
      <c r="Y639" s="9">
        <f t="shared" si="344"/>
        <v>0</v>
      </c>
      <c r="Z639" s="9">
        <f t="shared" si="344"/>
        <v>123095392.40000001</v>
      </c>
      <c r="AA639" s="9">
        <f t="shared" si="344"/>
        <v>600224587.69000018</v>
      </c>
      <c r="AB639" s="9">
        <f t="shared" si="344"/>
        <v>122065404.17</v>
      </c>
    </row>
    <row r="640" spans="1:28" x14ac:dyDescent="0.3">
      <c r="A640" s="64"/>
      <c r="B640" s="8"/>
      <c r="C640" s="8"/>
      <c r="D640" s="8"/>
      <c r="E640" s="17" t="s">
        <v>114</v>
      </c>
      <c r="F640" s="17" t="s">
        <v>114</v>
      </c>
      <c r="G640" s="17" t="s">
        <v>114</v>
      </c>
      <c r="H640" s="17" t="s">
        <v>114</v>
      </c>
      <c r="I640" s="17" t="s">
        <v>114</v>
      </c>
      <c r="J640" s="17" t="s">
        <v>114</v>
      </c>
      <c r="K640" s="17" t="s">
        <v>114</v>
      </c>
      <c r="L640" s="17" t="s">
        <v>114</v>
      </c>
      <c r="M640" s="17" t="s">
        <v>114</v>
      </c>
      <c r="N640" s="17" t="s">
        <v>114</v>
      </c>
      <c r="O640" s="17" t="s">
        <v>114</v>
      </c>
      <c r="P640" s="17" t="s">
        <v>114</v>
      </c>
      <c r="Q640" s="17" t="s">
        <v>114</v>
      </c>
      <c r="R640" s="17" t="s">
        <v>114</v>
      </c>
      <c r="S640" s="17" t="s">
        <v>114</v>
      </c>
      <c r="T640" s="17" t="s">
        <v>114</v>
      </c>
      <c r="U640" s="17" t="s">
        <v>114</v>
      </c>
      <c r="V640" s="17" t="s">
        <v>114</v>
      </c>
      <c r="W640" s="17" t="s">
        <v>114</v>
      </c>
      <c r="X640" s="17" t="s">
        <v>114</v>
      </c>
      <c r="Y640" s="17" t="s">
        <v>114</v>
      </c>
      <c r="Z640" s="17" t="s">
        <v>114</v>
      </c>
      <c r="AA640" s="17" t="s">
        <v>114</v>
      </c>
      <c r="AB640" s="17" t="s">
        <v>114</v>
      </c>
    </row>
    <row r="641" spans="1:28" x14ac:dyDescent="0.3">
      <c r="A641" s="64"/>
      <c r="B641" s="8"/>
      <c r="C641" s="8"/>
      <c r="D641" s="8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58"/>
    </row>
    <row r="642" spans="1:28" x14ac:dyDescent="0.3">
      <c r="A642" s="64"/>
      <c r="B642" s="7" t="s">
        <v>594</v>
      </c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17"/>
      <c r="S642" s="17"/>
      <c r="T642" s="17"/>
      <c r="U642" s="17"/>
      <c r="V642" s="17"/>
      <c r="W642" s="17"/>
      <c r="X642" s="17"/>
      <c r="Y642" s="17"/>
      <c r="Z642" s="17"/>
    </row>
    <row r="643" spans="1:28" x14ac:dyDescent="0.3">
      <c r="A643" s="64"/>
      <c r="B643" s="7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17"/>
      <c r="S643" s="17"/>
      <c r="T643" s="17"/>
      <c r="U643" s="17"/>
      <c r="V643" s="17"/>
      <c r="W643" s="17"/>
      <c r="X643" s="17"/>
      <c r="Y643" s="17"/>
      <c r="Z643" s="17"/>
    </row>
    <row r="644" spans="1:28" x14ac:dyDescent="0.3">
      <c r="A644" s="64"/>
      <c r="B644" s="25" t="s">
        <v>1214</v>
      </c>
      <c r="C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17"/>
      <c r="S644" s="17"/>
      <c r="T644" s="17"/>
      <c r="U644" s="17"/>
      <c r="V644" s="17"/>
      <c r="W644" s="17"/>
      <c r="X644" s="17"/>
      <c r="Y644" s="17"/>
      <c r="Z644" s="17"/>
    </row>
    <row r="645" spans="1:28" x14ac:dyDescent="0.3">
      <c r="A645" s="64"/>
      <c r="B645" s="7"/>
      <c r="C645" s="8" t="s">
        <v>1215</v>
      </c>
      <c r="D645" s="23" t="s">
        <v>1126</v>
      </c>
      <c r="E645" s="8">
        <v>1000000</v>
      </c>
      <c r="F645" s="8">
        <v>1000000</v>
      </c>
      <c r="G645" s="8">
        <v>0</v>
      </c>
      <c r="H645" s="8">
        <f>+F645+G645</f>
        <v>1000000</v>
      </c>
      <c r="I645" s="8"/>
      <c r="J645" s="8"/>
      <c r="K645" s="8"/>
      <c r="L645" s="8">
        <v>0</v>
      </c>
      <c r="M645" s="8">
        <f>+H645+L645</f>
        <v>1000000</v>
      </c>
      <c r="N645" s="8">
        <v>0</v>
      </c>
      <c r="O645" s="8">
        <v>0</v>
      </c>
      <c r="P645" s="8">
        <f>+N645+O645</f>
        <v>0</v>
      </c>
      <c r="Q645" s="8"/>
      <c r="R645" s="17"/>
      <c r="S645" s="17"/>
      <c r="T645" s="18">
        <v>0</v>
      </c>
      <c r="U645" s="9">
        <f>P645+T645</f>
        <v>0</v>
      </c>
      <c r="V645" s="9">
        <f>P645+H645</f>
        <v>1000000</v>
      </c>
      <c r="W645" s="9">
        <f>E645-V645</f>
        <v>0</v>
      </c>
      <c r="X645" s="9">
        <f>+H645+P645</f>
        <v>1000000</v>
      </c>
      <c r="Y645" s="8"/>
      <c r="Z645" s="9">
        <f>+E645-X645</f>
        <v>0</v>
      </c>
      <c r="AA645" s="8">
        <f>+M645+U645</f>
        <v>1000000</v>
      </c>
      <c r="AB645" s="8">
        <f>+E645-AA645</f>
        <v>0</v>
      </c>
    </row>
    <row r="646" spans="1:28" x14ac:dyDescent="0.3">
      <c r="A646" s="64"/>
      <c r="B646" s="7"/>
      <c r="C646" s="8"/>
      <c r="D646" s="8"/>
      <c r="E646" s="17" t="s">
        <v>114</v>
      </c>
      <c r="F646" s="17" t="s">
        <v>114</v>
      </c>
      <c r="G646" s="17" t="s">
        <v>114</v>
      </c>
      <c r="H646" s="17" t="s">
        <v>114</v>
      </c>
      <c r="I646" s="17" t="s">
        <v>114</v>
      </c>
      <c r="J646" s="17" t="s">
        <v>114</v>
      </c>
      <c r="K646" s="17" t="s">
        <v>114</v>
      </c>
      <c r="L646" s="17" t="s">
        <v>114</v>
      </c>
      <c r="M646" s="17" t="s">
        <v>114</v>
      </c>
      <c r="N646" s="17" t="s">
        <v>114</v>
      </c>
      <c r="O646" s="17" t="s">
        <v>114</v>
      </c>
      <c r="P646" s="17" t="s">
        <v>114</v>
      </c>
      <c r="Q646" s="17" t="s">
        <v>114</v>
      </c>
      <c r="R646" s="17" t="s">
        <v>114</v>
      </c>
      <c r="S646" s="17" t="s">
        <v>114</v>
      </c>
      <c r="T646" s="17" t="s">
        <v>114</v>
      </c>
      <c r="U646" s="17" t="s">
        <v>114</v>
      </c>
      <c r="V646" s="17" t="s">
        <v>114</v>
      </c>
      <c r="W646" s="17" t="s">
        <v>114</v>
      </c>
      <c r="X646" s="17" t="s">
        <v>114</v>
      </c>
      <c r="Y646" s="17" t="s">
        <v>114</v>
      </c>
      <c r="Z646" s="17" t="s">
        <v>114</v>
      </c>
      <c r="AA646" s="17" t="s">
        <v>114</v>
      </c>
      <c r="AB646" s="17" t="s">
        <v>114</v>
      </c>
    </row>
    <row r="647" spans="1:28" x14ac:dyDescent="0.3">
      <c r="A647" s="64"/>
      <c r="B647" s="7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17"/>
      <c r="S647" s="17"/>
      <c r="T647" s="17"/>
      <c r="U647" s="17"/>
      <c r="V647" s="17"/>
      <c r="W647" s="17"/>
      <c r="X647" s="17"/>
      <c r="Y647" s="17"/>
      <c r="Z647" s="17"/>
    </row>
    <row r="648" spans="1:28" x14ac:dyDescent="0.3">
      <c r="A648" s="63" t="s">
        <v>968</v>
      </c>
      <c r="B648" s="7" t="s">
        <v>595</v>
      </c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17"/>
      <c r="S648" s="17"/>
      <c r="T648" s="17"/>
      <c r="U648" s="17"/>
      <c r="V648" s="17"/>
      <c r="W648" s="17"/>
      <c r="X648" s="17"/>
      <c r="Y648" s="17"/>
      <c r="Z648" s="17"/>
    </row>
    <row r="649" spans="1:28" x14ac:dyDescent="0.3">
      <c r="A649" s="64"/>
      <c r="B649" s="8"/>
      <c r="C649" s="7" t="s">
        <v>535</v>
      </c>
      <c r="D649" s="15" t="s">
        <v>76</v>
      </c>
      <c r="E649" s="9">
        <f>3628535.37-303068.92</f>
        <v>3325466.45</v>
      </c>
      <c r="F649" s="9">
        <f>36420+162750+380000+2250000+86214.92</f>
        <v>2915384.92</v>
      </c>
      <c r="G649" s="8"/>
      <c r="H649" s="9">
        <f t="shared" ref="H649:H659" si="345">F649+G649</f>
        <v>2915384.92</v>
      </c>
      <c r="I649" s="8"/>
      <c r="J649" s="9">
        <f t="shared" ref="J649:J659" si="346">H649+I649</f>
        <v>2915384.92</v>
      </c>
      <c r="K649" s="9">
        <v>410081.53</v>
      </c>
      <c r="L649" s="8"/>
      <c r="M649" s="9">
        <f>+H649+L649</f>
        <v>2915384.92</v>
      </c>
      <c r="N649" s="8">
        <v>410081.53</v>
      </c>
      <c r="O649" s="9"/>
      <c r="P649" s="9">
        <f>+N649+O649</f>
        <v>410081.53</v>
      </c>
      <c r="Q649" s="9"/>
      <c r="R649" s="17"/>
      <c r="S649" s="17"/>
      <c r="T649" s="17"/>
      <c r="U649" s="9">
        <f t="shared" ref="U649:U659" si="347">P649+T649</f>
        <v>410081.53</v>
      </c>
      <c r="V649" s="9">
        <f t="shared" ref="V649:V659" si="348">P649+H649</f>
        <v>3325466.45</v>
      </c>
      <c r="W649" s="9">
        <f t="shared" ref="W649:W659" si="349">E649-V649</f>
        <v>0</v>
      </c>
      <c r="X649" s="9">
        <f t="shared" ref="X649:X659" si="350">+H649+P649</f>
        <v>3325466.45</v>
      </c>
      <c r="Y649" s="8"/>
      <c r="Z649" s="9">
        <f t="shared" ref="Z649:Z659" si="351">+E649-X649</f>
        <v>0</v>
      </c>
      <c r="AA649" s="8">
        <f t="shared" ref="AA649:AA659" si="352">+M649+U649</f>
        <v>3325466.45</v>
      </c>
      <c r="AB649" s="8">
        <f t="shared" ref="AB649:AB659" si="353">+E649-AA649</f>
        <v>0</v>
      </c>
    </row>
    <row r="650" spans="1:28" x14ac:dyDescent="0.3">
      <c r="A650" s="64"/>
      <c r="B650" s="8"/>
      <c r="C650" s="7" t="s">
        <v>535</v>
      </c>
      <c r="D650" s="15" t="s">
        <v>150</v>
      </c>
      <c r="E650" s="9">
        <v>2567000</v>
      </c>
      <c r="F650" s="9">
        <v>2567000</v>
      </c>
      <c r="G650" s="8"/>
      <c r="H650" s="9">
        <f t="shared" si="345"/>
        <v>2567000</v>
      </c>
      <c r="I650" s="8"/>
      <c r="J650" s="9">
        <f t="shared" si="346"/>
        <v>2567000</v>
      </c>
      <c r="K650" s="8"/>
      <c r="L650" s="8"/>
      <c r="M650" s="9">
        <f t="shared" ref="M650:M659" si="354">+H650+L650</f>
        <v>2567000</v>
      </c>
      <c r="N650" s="8"/>
      <c r="O650" s="9"/>
      <c r="P650" s="9">
        <f t="shared" ref="P650:P659" si="355">+N650+O650</f>
        <v>0</v>
      </c>
      <c r="Q650" s="9"/>
      <c r="R650" s="17"/>
      <c r="S650" s="17"/>
      <c r="T650" s="17"/>
      <c r="U650" s="9">
        <f t="shared" si="347"/>
        <v>0</v>
      </c>
      <c r="V650" s="9">
        <f t="shared" si="348"/>
        <v>2567000</v>
      </c>
      <c r="W650" s="9">
        <f t="shared" si="349"/>
        <v>0</v>
      </c>
      <c r="X650" s="9">
        <f t="shared" si="350"/>
        <v>2567000</v>
      </c>
      <c r="Y650" s="8"/>
      <c r="Z650" s="9">
        <f t="shared" si="351"/>
        <v>0</v>
      </c>
      <c r="AA650" s="8">
        <f t="shared" si="352"/>
        <v>2567000</v>
      </c>
      <c r="AB650" s="8">
        <f t="shared" si="353"/>
        <v>0</v>
      </c>
    </row>
    <row r="651" spans="1:28" x14ac:dyDescent="0.3">
      <c r="A651" s="64"/>
      <c r="B651" s="8"/>
      <c r="C651" s="7" t="s">
        <v>596</v>
      </c>
      <c r="D651" s="15" t="s">
        <v>78</v>
      </c>
      <c r="E651" s="9">
        <f>807500-39954.55</f>
        <v>767545.45</v>
      </c>
      <c r="F651" s="9">
        <v>721693</v>
      </c>
      <c r="G651" s="8"/>
      <c r="H651" s="9">
        <f t="shared" si="345"/>
        <v>721693</v>
      </c>
      <c r="I651" s="8"/>
      <c r="J651" s="9">
        <f t="shared" si="346"/>
        <v>721693</v>
      </c>
      <c r="K651" s="9">
        <v>45852.45</v>
      </c>
      <c r="L651" s="8"/>
      <c r="M651" s="9">
        <f t="shared" si="354"/>
        <v>721693</v>
      </c>
      <c r="N651" s="8">
        <v>45852.45</v>
      </c>
      <c r="O651" s="9"/>
      <c r="P651" s="9">
        <f t="shared" si="355"/>
        <v>45852.45</v>
      </c>
      <c r="Q651" s="9"/>
      <c r="R651" s="17"/>
      <c r="S651" s="17"/>
      <c r="T651" s="17"/>
      <c r="U651" s="9">
        <f t="shared" si="347"/>
        <v>45852.45</v>
      </c>
      <c r="V651" s="9">
        <f t="shared" si="348"/>
        <v>767545.45</v>
      </c>
      <c r="W651" s="9">
        <f t="shared" si="349"/>
        <v>0</v>
      </c>
      <c r="X651" s="9">
        <f t="shared" si="350"/>
        <v>767545.45</v>
      </c>
      <c r="Y651" s="8"/>
      <c r="Z651" s="9">
        <f t="shared" si="351"/>
        <v>0</v>
      </c>
      <c r="AA651" s="8">
        <f t="shared" si="352"/>
        <v>767545.45</v>
      </c>
      <c r="AB651" s="8">
        <f t="shared" si="353"/>
        <v>0</v>
      </c>
    </row>
    <row r="652" spans="1:28" x14ac:dyDescent="0.3">
      <c r="A652" s="64"/>
      <c r="B652" s="8"/>
      <c r="C652" s="7" t="s">
        <v>597</v>
      </c>
      <c r="D652" s="15" t="s">
        <v>78</v>
      </c>
      <c r="E652" s="9">
        <v>807500</v>
      </c>
      <c r="F652" s="9">
        <v>807500</v>
      </c>
      <c r="G652" s="8"/>
      <c r="H652" s="9">
        <f t="shared" si="345"/>
        <v>807500</v>
      </c>
      <c r="I652" s="8"/>
      <c r="J652" s="9">
        <f t="shared" si="346"/>
        <v>807500</v>
      </c>
      <c r="K652" s="8"/>
      <c r="L652" s="8"/>
      <c r="M652" s="9">
        <f t="shared" si="354"/>
        <v>807500</v>
      </c>
      <c r="N652" s="8"/>
      <c r="O652" s="9"/>
      <c r="P652" s="9">
        <f t="shared" si="355"/>
        <v>0</v>
      </c>
      <c r="Q652" s="9"/>
      <c r="R652" s="17"/>
      <c r="S652" s="17"/>
      <c r="T652" s="17"/>
      <c r="U652" s="9">
        <f t="shared" si="347"/>
        <v>0</v>
      </c>
      <c r="V652" s="9">
        <f t="shared" si="348"/>
        <v>807500</v>
      </c>
      <c r="W652" s="9">
        <f t="shared" si="349"/>
        <v>0</v>
      </c>
      <c r="X652" s="9">
        <f t="shared" si="350"/>
        <v>807500</v>
      </c>
      <c r="Y652" s="8"/>
      <c r="Z652" s="9">
        <f t="shared" si="351"/>
        <v>0</v>
      </c>
      <c r="AA652" s="8">
        <f t="shared" si="352"/>
        <v>807500</v>
      </c>
      <c r="AB652" s="8">
        <f t="shared" si="353"/>
        <v>0</v>
      </c>
    </row>
    <row r="653" spans="1:28" x14ac:dyDescent="0.3">
      <c r="A653" s="64"/>
      <c r="B653" s="8"/>
      <c r="C653" s="7" t="s">
        <v>535</v>
      </c>
      <c r="D653" s="15" t="s">
        <v>68</v>
      </c>
      <c r="E653" s="9">
        <f>870200-681435</f>
        <v>188765</v>
      </c>
      <c r="F653" s="9">
        <v>188765</v>
      </c>
      <c r="G653" s="8"/>
      <c r="H653" s="9">
        <f t="shared" si="345"/>
        <v>188765</v>
      </c>
      <c r="I653" s="8"/>
      <c r="J653" s="9">
        <f t="shared" si="346"/>
        <v>188765</v>
      </c>
      <c r="K653" s="8"/>
      <c r="L653" s="8"/>
      <c r="M653" s="9">
        <f t="shared" si="354"/>
        <v>188765</v>
      </c>
      <c r="N653" s="8"/>
      <c r="O653" s="9"/>
      <c r="P653" s="9">
        <f t="shared" si="355"/>
        <v>0</v>
      </c>
      <c r="Q653" s="9"/>
      <c r="R653" s="17"/>
      <c r="S653" s="17"/>
      <c r="T653" s="17"/>
      <c r="U653" s="9">
        <f t="shared" si="347"/>
        <v>0</v>
      </c>
      <c r="V653" s="9">
        <f t="shared" si="348"/>
        <v>188765</v>
      </c>
      <c r="W653" s="9">
        <f t="shared" si="349"/>
        <v>0</v>
      </c>
      <c r="X653" s="9">
        <f t="shared" si="350"/>
        <v>188765</v>
      </c>
      <c r="Y653" s="8"/>
      <c r="Z653" s="9">
        <f t="shared" si="351"/>
        <v>0</v>
      </c>
      <c r="AA653" s="8">
        <f t="shared" si="352"/>
        <v>188765</v>
      </c>
      <c r="AB653" s="8">
        <f t="shared" si="353"/>
        <v>0</v>
      </c>
    </row>
    <row r="654" spans="1:28" x14ac:dyDescent="0.3">
      <c r="A654" s="64"/>
      <c r="B654" s="8"/>
      <c r="C654" s="7" t="s">
        <v>539</v>
      </c>
      <c r="D654" s="15" t="s">
        <v>68</v>
      </c>
      <c r="E654" s="9">
        <f>303026.9+30944.1</f>
        <v>333971</v>
      </c>
      <c r="F654" s="8"/>
      <c r="G654" s="8"/>
      <c r="H654" s="9">
        <f t="shared" si="345"/>
        <v>0</v>
      </c>
      <c r="I654" s="8"/>
      <c r="J654" s="9">
        <f t="shared" si="346"/>
        <v>0</v>
      </c>
      <c r="K654" s="9">
        <v>333971</v>
      </c>
      <c r="L654" s="8"/>
      <c r="M654" s="9">
        <f t="shared" si="354"/>
        <v>0</v>
      </c>
      <c r="N654" s="8">
        <v>333971</v>
      </c>
      <c r="O654" s="9"/>
      <c r="P654" s="9">
        <f t="shared" si="355"/>
        <v>333971</v>
      </c>
      <c r="Q654" s="9"/>
      <c r="R654" s="17"/>
      <c r="S654" s="17"/>
      <c r="T654" s="17"/>
      <c r="U654" s="9">
        <f t="shared" si="347"/>
        <v>333971</v>
      </c>
      <c r="V654" s="9">
        <f t="shared" si="348"/>
        <v>333971</v>
      </c>
      <c r="W654" s="9">
        <f t="shared" si="349"/>
        <v>0</v>
      </c>
      <c r="X654" s="9">
        <f t="shared" si="350"/>
        <v>333971</v>
      </c>
      <c r="Y654" s="8"/>
      <c r="Z654" s="9">
        <f t="shared" si="351"/>
        <v>0</v>
      </c>
      <c r="AA654" s="8">
        <f t="shared" si="352"/>
        <v>333971</v>
      </c>
      <c r="AB654" s="8">
        <f t="shared" si="353"/>
        <v>0</v>
      </c>
    </row>
    <row r="655" spans="1:28" x14ac:dyDescent="0.3">
      <c r="A655" s="64"/>
      <c r="B655" s="8"/>
      <c r="C655" s="7" t="s">
        <v>535</v>
      </c>
      <c r="D655" s="15" t="s">
        <v>54</v>
      </c>
      <c r="E655" s="9">
        <f>239000-11950-77067</f>
        <v>149983</v>
      </c>
      <c r="F655" s="9">
        <v>149983</v>
      </c>
      <c r="G655" s="8"/>
      <c r="H655" s="9">
        <f t="shared" si="345"/>
        <v>149983</v>
      </c>
      <c r="I655" s="8"/>
      <c r="J655" s="9">
        <f t="shared" si="346"/>
        <v>149983</v>
      </c>
      <c r="K655" s="8"/>
      <c r="L655" s="8"/>
      <c r="M655" s="9">
        <f t="shared" si="354"/>
        <v>149983</v>
      </c>
      <c r="N655" s="8"/>
      <c r="O655" s="9"/>
      <c r="P655" s="9">
        <f t="shared" si="355"/>
        <v>0</v>
      </c>
      <c r="Q655" s="9"/>
      <c r="R655" s="17"/>
      <c r="S655" s="17"/>
      <c r="T655" s="17"/>
      <c r="U655" s="9">
        <f t="shared" si="347"/>
        <v>0</v>
      </c>
      <c r="V655" s="9">
        <f t="shared" si="348"/>
        <v>149983</v>
      </c>
      <c r="W655" s="9">
        <f t="shared" si="349"/>
        <v>0</v>
      </c>
      <c r="X655" s="9">
        <f t="shared" si="350"/>
        <v>149983</v>
      </c>
      <c r="Y655" s="8"/>
      <c r="Z655" s="9">
        <f t="shared" si="351"/>
        <v>0</v>
      </c>
      <c r="AA655" s="8">
        <f t="shared" si="352"/>
        <v>149983</v>
      </c>
      <c r="AB655" s="8">
        <f t="shared" si="353"/>
        <v>0</v>
      </c>
    </row>
    <row r="656" spans="1:28" x14ac:dyDescent="0.3">
      <c r="A656" s="64"/>
      <c r="B656" s="8"/>
      <c r="C656" s="7" t="s">
        <v>545</v>
      </c>
      <c r="D656" s="15" t="s">
        <v>54</v>
      </c>
      <c r="E656" s="9">
        <v>570941</v>
      </c>
      <c r="F656" s="8"/>
      <c r="G656" s="8"/>
      <c r="H656" s="9">
        <f t="shared" si="345"/>
        <v>0</v>
      </c>
      <c r="I656" s="8"/>
      <c r="J656" s="9">
        <f t="shared" si="346"/>
        <v>0</v>
      </c>
      <c r="K656" s="9">
        <v>570941</v>
      </c>
      <c r="L656" s="8"/>
      <c r="M656" s="9">
        <f t="shared" si="354"/>
        <v>0</v>
      </c>
      <c r="N656" s="8">
        <v>570941</v>
      </c>
      <c r="O656" s="9"/>
      <c r="P656" s="9">
        <f t="shared" si="355"/>
        <v>570941</v>
      </c>
      <c r="Q656" s="9"/>
      <c r="R656" s="17"/>
      <c r="S656" s="17"/>
      <c r="T656" s="17"/>
      <c r="U656" s="9">
        <f t="shared" si="347"/>
        <v>570941</v>
      </c>
      <c r="V656" s="9">
        <f t="shared" si="348"/>
        <v>570941</v>
      </c>
      <c r="W656" s="9">
        <f t="shared" si="349"/>
        <v>0</v>
      </c>
      <c r="X656" s="9">
        <f t="shared" si="350"/>
        <v>570941</v>
      </c>
      <c r="Y656" s="8"/>
      <c r="Z656" s="9">
        <f t="shared" si="351"/>
        <v>0</v>
      </c>
      <c r="AA656" s="8">
        <f t="shared" si="352"/>
        <v>570941</v>
      </c>
      <c r="AB656" s="8">
        <f t="shared" si="353"/>
        <v>0</v>
      </c>
    </row>
    <row r="657" spans="1:28" x14ac:dyDescent="0.3">
      <c r="A657" s="64"/>
      <c r="B657" s="8"/>
      <c r="C657" s="7" t="s">
        <v>535</v>
      </c>
      <c r="D657" s="15" t="s">
        <v>108</v>
      </c>
      <c r="E657" s="9">
        <v>1000000</v>
      </c>
      <c r="F657" s="9">
        <v>1000000</v>
      </c>
      <c r="G657" s="8"/>
      <c r="H657" s="9">
        <f t="shared" si="345"/>
        <v>1000000</v>
      </c>
      <c r="I657" s="8"/>
      <c r="J657" s="9">
        <f t="shared" si="346"/>
        <v>1000000</v>
      </c>
      <c r="K657" s="8"/>
      <c r="L657" s="8"/>
      <c r="M657" s="9">
        <f t="shared" si="354"/>
        <v>1000000</v>
      </c>
      <c r="N657" s="8"/>
      <c r="O657" s="9"/>
      <c r="P657" s="9">
        <f t="shared" si="355"/>
        <v>0</v>
      </c>
      <c r="Q657" s="9"/>
      <c r="R657" s="17"/>
      <c r="S657" s="17"/>
      <c r="T657" s="17"/>
      <c r="U657" s="9">
        <f t="shared" si="347"/>
        <v>0</v>
      </c>
      <c r="V657" s="9">
        <f t="shared" si="348"/>
        <v>1000000</v>
      </c>
      <c r="W657" s="9">
        <f t="shared" si="349"/>
        <v>0</v>
      </c>
      <c r="X657" s="9">
        <f t="shared" si="350"/>
        <v>1000000</v>
      </c>
      <c r="Y657" s="8"/>
      <c r="Z657" s="9">
        <f t="shared" si="351"/>
        <v>0</v>
      </c>
      <c r="AA657" s="8">
        <f t="shared" si="352"/>
        <v>1000000</v>
      </c>
      <c r="AB657" s="8">
        <f t="shared" si="353"/>
        <v>0</v>
      </c>
    </row>
    <row r="658" spans="1:28" x14ac:dyDescent="0.3">
      <c r="A658" s="64"/>
      <c r="B658" s="8"/>
      <c r="C658" s="7" t="s">
        <v>598</v>
      </c>
      <c r="D658" s="8"/>
      <c r="E658" s="9">
        <v>619147</v>
      </c>
      <c r="F658" s="9">
        <v>619147</v>
      </c>
      <c r="G658" s="8"/>
      <c r="H658" s="9">
        <f t="shared" si="345"/>
        <v>619147</v>
      </c>
      <c r="I658" s="8"/>
      <c r="J658" s="9">
        <f t="shared" si="346"/>
        <v>619147</v>
      </c>
      <c r="K658" s="8"/>
      <c r="L658" s="8"/>
      <c r="M658" s="9">
        <f t="shared" si="354"/>
        <v>619147</v>
      </c>
      <c r="N658" s="8"/>
      <c r="O658" s="9"/>
      <c r="P658" s="9">
        <f t="shared" si="355"/>
        <v>0</v>
      </c>
      <c r="Q658" s="9"/>
      <c r="R658" s="17"/>
      <c r="S658" s="17"/>
      <c r="T658" s="17"/>
      <c r="U658" s="9">
        <f t="shared" si="347"/>
        <v>0</v>
      </c>
      <c r="V658" s="9">
        <f t="shared" si="348"/>
        <v>619147</v>
      </c>
      <c r="W658" s="9">
        <f t="shared" si="349"/>
        <v>0</v>
      </c>
      <c r="X658" s="9">
        <f t="shared" si="350"/>
        <v>619147</v>
      </c>
      <c r="Y658" s="8"/>
      <c r="Z658" s="9">
        <f t="shared" si="351"/>
        <v>0</v>
      </c>
      <c r="AA658" s="8">
        <f t="shared" si="352"/>
        <v>619147</v>
      </c>
      <c r="AB658" s="8">
        <f t="shared" si="353"/>
        <v>0</v>
      </c>
    </row>
    <row r="659" spans="1:28" x14ac:dyDescent="0.3">
      <c r="A659" s="64"/>
      <c r="B659" s="8"/>
      <c r="C659" s="7" t="s">
        <v>551</v>
      </c>
      <c r="D659" s="8"/>
      <c r="E659" s="9">
        <v>988418.55</v>
      </c>
      <c r="F659" s="9">
        <v>988418.55</v>
      </c>
      <c r="G659" s="8"/>
      <c r="H659" s="9">
        <f t="shared" si="345"/>
        <v>988418.55</v>
      </c>
      <c r="I659" s="8"/>
      <c r="J659" s="9">
        <f t="shared" si="346"/>
        <v>988418.55</v>
      </c>
      <c r="K659" s="8"/>
      <c r="L659" s="8"/>
      <c r="M659" s="9">
        <f t="shared" si="354"/>
        <v>988418.55</v>
      </c>
      <c r="N659" s="8"/>
      <c r="O659" s="9"/>
      <c r="P659" s="9">
        <f t="shared" si="355"/>
        <v>0</v>
      </c>
      <c r="Q659" s="9"/>
      <c r="R659" s="17"/>
      <c r="S659" s="17"/>
      <c r="T659" s="17"/>
      <c r="U659" s="9">
        <f t="shared" si="347"/>
        <v>0</v>
      </c>
      <c r="V659" s="9">
        <f t="shared" si="348"/>
        <v>988418.55</v>
      </c>
      <c r="W659" s="9">
        <f t="shared" si="349"/>
        <v>0</v>
      </c>
      <c r="X659" s="9">
        <f t="shared" si="350"/>
        <v>988418.55</v>
      </c>
      <c r="Y659" s="8"/>
      <c r="Z659" s="9">
        <f t="shared" si="351"/>
        <v>0</v>
      </c>
      <c r="AA659" s="8">
        <f t="shared" si="352"/>
        <v>988418.55</v>
      </c>
      <c r="AB659" s="8">
        <f t="shared" si="353"/>
        <v>0</v>
      </c>
    </row>
    <row r="660" spans="1:28" x14ac:dyDescent="0.3">
      <c r="A660" s="64"/>
      <c r="B660" s="8"/>
      <c r="C660" s="8"/>
      <c r="D660" s="8"/>
      <c r="E660" s="17" t="s">
        <v>29</v>
      </c>
      <c r="F660" s="17" t="s">
        <v>29</v>
      </c>
      <c r="G660" s="17" t="s">
        <v>29</v>
      </c>
      <c r="H660" s="17" t="s">
        <v>29</v>
      </c>
      <c r="I660" s="17" t="s">
        <v>29</v>
      </c>
      <c r="J660" s="17" t="s">
        <v>29</v>
      </c>
      <c r="K660" s="17" t="s">
        <v>29</v>
      </c>
      <c r="L660" s="17" t="s">
        <v>29</v>
      </c>
      <c r="M660" s="17" t="s">
        <v>29</v>
      </c>
      <c r="N660" s="17" t="s">
        <v>29</v>
      </c>
      <c r="O660" s="17" t="s">
        <v>29</v>
      </c>
      <c r="P660" s="17" t="s">
        <v>29</v>
      </c>
      <c r="Q660" s="17" t="s">
        <v>29</v>
      </c>
      <c r="R660" s="17" t="s">
        <v>29</v>
      </c>
      <c r="S660" s="17" t="s">
        <v>29</v>
      </c>
      <c r="T660" s="17" t="s">
        <v>29</v>
      </c>
      <c r="U660" s="17" t="s">
        <v>29</v>
      </c>
      <c r="V660" s="17" t="s">
        <v>29</v>
      </c>
      <c r="W660" s="17" t="s">
        <v>29</v>
      </c>
      <c r="X660" s="17" t="s">
        <v>29</v>
      </c>
      <c r="Y660" s="17" t="s">
        <v>29</v>
      </c>
      <c r="Z660" s="17" t="s">
        <v>29</v>
      </c>
      <c r="AA660" s="17" t="s">
        <v>29</v>
      </c>
      <c r="AB660" s="17" t="s">
        <v>29</v>
      </c>
    </row>
    <row r="661" spans="1:28" x14ac:dyDescent="0.3">
      <c r="A661" s="64"/>
      <c r="B661" s="8"/>
      <c r="C661" s="8"/>
      <c r="D661" s="8"/>
      <c r="E661" s="9">
        <f t="shared" ref="E661:Q661" si="356">SUM(E649:E660)</f>
        <v>11318737.450000001</v>
      </c>
      <c r="F661" s="9">
        <f t="shared" si="356"/>
        <v>9957891.4700000007</v>
      </c>
      <c r="G661" s="9">
        <f t="shared" si="356"/>
        <v>0</v>
      </c>
      <c r="H661" s="9">
        <f t="shared" si="356"/>
        <v>9957891.4700000007</v>
      </c>
      <c r="I661" s="9">
        <f t="shared" si="356"/>
        <v>0</v>
      </c>
      <c r="J661" s="9">
        <f t="shared" si="356"/>
        <v>9957891.4700000007</v>
      </c>
      <c r="K661" s="9">
        <f t="shared" si="356"/>
        <v>1360845.98</v>
      </c>
      <c r="L661" s="9">
        <f t="shared" si="356"/>
        <v>0</v>
      </c>
      <c r="M661" s="9">
        <f t="shared" si="356"/>
        <v>9957891.4700000007</v>
      </c>
      <c r="N661" s="9">
        <f t="shared" si="356"/>
        <v>1360845.98</v>
      </c>
      <c r="O661" s="9">
        <f t="shared" si="356"/>
        <v>0</v>
      </c>
      <c r="P661" s="9">
        <f t="shared" si="356"/>
        <v>1360845.98</v>
      </c>
      <c r="Q661" s="9">
        <f t="shared" si="356"/>
        <v>0</v>
      </c>
      <c r="R661" s="17"/>
      <c r="S661" s="17"/>
      <c r="T661" s="9">
        <f t="shared" ref="T661:Z661" si="357">SUM(T649:T660)</f>
        <v>0</v>
      </c>
      <c r="U661" s="9">
        <f t="shared" si="357"/>
        <v>1360845.98</v>
      </c>
      <c r="V661" s="9">
        <f t="shared" si="357"/>
        <v>11318737.450000001</v>
      </c>
      <c r="W661" s="9">
        <f t="shared" si="357"/>
        <v>0</v>
      </c>
      <c r="X661" s="9">
        <f t="shared" si="357"/>
        <v>11318737.450000001</v>
      </c>
      <c r="Y661" s="9">
        <f t="shared" si="357"/>
        <v>0</v>
      </c>
      <c r="Z661" s="9">
        <f t="shared" si="357"/>
        <v>0</v>
      </c>
      <c r="AA661" s="9">
        <f>SUM(AA649:AA660)</f>
        <v>11318737.450000001</v>
      </c>
      <c r="AB661" s="9">
        <f>SUM(AB649:AB660)</f>
        <v>0</v>
      </c>
    </row>
    <row r="662" spans="1:28" x14ac:dyDescent="0.3">
      <c r="A662" s="64"/>
      <c r="B662" s="8"/>
      <c r="C662" s="8"/>
      <c r="D662" s="8"/>
      <c r="E662" s="17" t="s">
        <v>29</v>
      </c>
      <c r="F662" s="17" t="s">
        <v>29</v>
      </c>
      <c r="G662" s="17" t="s">
        <v>29</v>
      </c>
      <c r="H662" s="17" t="s">
        <v>29</v>
      </c>
      <c r="I662" s="17" t="s">
        <v>29</v>
      </c>
      <c r="J662" s="17" t="s">
        <v>29</v>
      </c>
      <c r="K662" s="17" t="s">
        <v>29</v>
      </c>
      <c r="L662" s="17" t="s">
        <v>29</v>
      </c>
      <c r="M662" s="17" t="s">
        <v>29</v>
      </c>
      <c r="N662" s="17" t="s">
        <v>29</v>
      </c>
      <c r="O662" s="17" t="s">
        <v>29</v>
      </c>
      <c r="P662" s="17" t="s">
        <v>29</v>
      </c>
      <c r="Q662" s="17" t="s">
        <v>29</v>
      </c>
      <c r="R662" s="17" t="s">
        <v>29</v>
      </c>
      <c r="S662" s="17" t="s">
        <v>29</v>
      </c>
      <c r="T662" s="17" t="s">
        <v>29</v>
      </c>
      <c r="U662" s="17" t="s">
        <v>29</v>
      </c>
      <c r="V662" s="17" t="s">
        <v>29</v>
      </c>
      <c r="W662" s="17" t="s">
        <v>29</v>
      </c>
      <c r="X662" s="17" t="s">
        <v>29</v>
      </c>
      <c r="Y662" s="17" t="s">
        <v>29</v>
      </c>
      <c r="Z662" s="17" t="s">
        <v>29</v>
      </c>
      <c r="AA662" s="17" t="s">
        <v>29</v>
      </c>
      <c r="AB662" s="17" t="s">
        <v>29</v>
      </c>
    </row>
    <row r="663" spans="1:28" x14ac:dyDescent="0.3">
      <c r="A663" s="63" t="s">
        <v>969</v>
      </c>
      <c r="B663" s="7" t="s">
        <v>599</v>
      </c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17"/>
      <c r="S663" s="17"/>
      <c r="T663" s="17"/>
      <c r="U663" s="17"/>
      <c r="V663" s="17"/>
      <c r="W663" s="17"/>
      <c r="X663" s="17"/>
      <c r="Y663" s="17"/>
      <c r="Z663" s="17"/>
      <c r="AA663" s="58"/>
    </row>
    <row r="664" spans="1:28" x14ac:dyDescent="0.3">
      <c r="A664" s="64"/>
      <c r="B664" s="8"/>
      <c r="C664" s="7" t="s">
        <v>539</v>
      </c>
      <c r="D664" s="15" t="s">
        <v>68</v>
      </c>
      <c r="E664" s="9">
        <v>278696.7</v>
      </c>
      <c r="F664" s="8"/>
      <c r="G664" s="8"/>
      <c r="H664" s="9">
        <f t="shared" ref="H664:H689" si="358">F664+G664</f>
        <v>0</v>
      </c>
      <c r="I664" s="8"/>
      <c r="J664" s="9">
        <f t="shared" ref="J664:J689" si="359">H664+I664</f>
        <v>0</v>
      </c>
      <c r="K664" s="9">
        <v>278696.7</v>
      </c>
      <c r="L664" s="8"/>
      <c r="M664" s="9">
        <f>+H664+L664</f>
        <v>0</v>
      </c>
      <c r="N664" s="8">
        <v>278696.7</v>
      </c>
      <c r="O664" s="9"/>
      <c r="P664" s="9">
        <f>+N664+O664</f>
        <v>278696.7</v>
      </c>
      <c r="Q664" s="9"/>
      <c r="R664" s="17"/>
      <c r="S664" s="17"/>
      <c r="T664" s="25"/>
      <c r="U664" s="9">
        <f t="shared" ref="U664:U689" si="360">P664+T664</f>
        <v>278696.7</v>
      </c>
      <c r="V664" s="9">
        <f t="shared" ref="V664:V689" si="361">P664+H664</f>
        <v>278696.7</v>
      </c>
      <c r="W664" s="9">
        <f t="shared" ref="W664:W689" si="362">E664-V664</f>
        <v>0</v>
      </c>
      <c r="X664" s="9">
        <f t="shared" ref="X664:X689" si="363">+H664+P664</f>
        <v>278696.7</v>
      </c>
      <c r="Y664" s="8"/>
      <c r="Z664" s="9">
        <f t="shared" ref="Z664:Z689" si="364">+E664-X664</f>
        <v>0</v>
      </c>
      <c r="AA664" s="8">
        <f t="shared" ref="AA664:AA689" si="365">+M664+U664</f>
        <v>278696.7</v>
      </c>
      <c r="AB664" s="8">
        <f t="shared" ref="AB664:AB689" si="366">+E664-AA664</f>
        <v>0</v>
      </c>
    </row>
    <row r="665" spans="1:28" x14ac:dyDescent="0.3">
      <c r="A665" s="64"/>
      <c r="B665" s="8"/>
      <c r="C665" s="7" t="s">
        <v>535</v>
      </c>
      <c r="D665" s="15" t="s">
        <v>68</v>
      </c>
      <c r="E665" s="9">
        <f>1098200-83965.57</f>
        <v>1014234.4299999999</v>
      </c>
      <c r="F665" s="9">
        <v>443337.52</v>
      </c>
      <c r="G665" s="8"/>
      <c r="H665" s="9">
        <f t="shared" si="358"/>
        <v>443337.52</v>
      </c>
      <c r="I665" s="8"/>
      <c r="J665" s="9">
        <f t="shared" si="359"/>
        <v>443337.52</v>
      </c>
      <c r="K665" s="9">
        <v>570896.91</v>
      </c>
      <c r="L665" s="8"/>
      <c r="M665" s="9">
        <f t="shared" ref="M665:M689" si="367">+H665+L665</f>
        <v>443337.52</v>
      </c>
      <c r="N665" s="8">
        <v>570896.91</v>
      </c>
      <c r="O665" s="9"/>
      <c r="P665" s="9">
        <f t="shared" ref="P665:P689" si="368">+N665+O665</f>
        <v>570896.91</v>
      </c>
      <c r="Q665" s="9"/>
      <c r="R665" s="17"/>
      <c r="S665" s="17"/>
      <c r="T665" s="25"/>
      <c r="U665" s="9">
        <f t="shared" si="360"/>
        <v>570896.91</v>
      </c>
      <c r="V665" s="9">
        <f t="shared" si="361"/>
        <v>1014234.43</v>
      </c>
      <c r="W665" s="9">
        <f t="shared" si="362"/>
        <v>0</v>
      </c>
      <c r="X665" s="9">
        <f t="shared" si="363"/>
        <v>1014234.43</v>
      </c>
      <c r="Y665" s="8"/>
      <c r="Z665" s="9">
        <f t="shared" si="364"/>
        <v>0</v>
      </c>
      <c r="AA665" s="8">
        <f t="shared" si="365"/>
        <v>1014234.43</v>
      </c>
      <c r="AB665" s="8">
        <f t="shared" si="366"/>
        <v>0</v>
      </c>
    </row>
    <row r="666" spans="1:28" x14ac:dyDescent="0.3">
      <c r="A666" s="64"/>
      <c r="B666" s="8"/>
      <c r="C666" s="7" t="s">
        <v>535</v>
      </c>
      <c r="D666" s="15" t="s">
        <v>54</v>
      </c>
      <c r="E666" s="9">
        <f>1810000-90500-116993.65</f>
        <v>1602506.35</v>
      </c>
      <c r="F666" s="9">
        <v>1592566</v>
      </c>
      <c r="G666" s="8"/>
      <c r="H666" s="9">
        <f t="shared" si="358"/>
        <v>1592566</v>
      </c>
      <c r="I666" s="8"/>
      <c r="J666" s="9">
        <f t="shared" si="359"/>
        <v>1592566</v>
      </c>
      <c r="K666" s="9">
        <v>9940.35</v>
      </c>
      <c r="L666" s="8"/>
      <c r="M666" s="9">
        <f t="shared" si="367"/>
        <v>1592566</v>
      </c>
      <c r="N666" s="8">
        <v>9940.35</v>
      </c>
      <c r="O666" s="9"/>
      <c r="P666" s="9">
        <f t="shared" si="368"/>
        <v>9940.35</v>
      </c>
      <c r="Q666" s="9"/>
      <c r="R666" s="17"/>
      <c r="S666" s="17"/>
      <c r="T666" s="25"/>
      <c r="U666" s="9">
        <f t="shared" si="360"/>
        <v>9940.35</v>
      </c>
      <c r="V666" s="9">
        <f t="shared" si="361"/>
        <v>1602506.35</v>
      </c>
      <c r="W666" s="9">
        <f t="shared" si="362"/>
        <v>0</v>
      </c>
      <c r="X666" s="9">
        <f t="shared" si="363"/>
        <v>1602506.35</v>
      </c>
      <c r="Y666" s="8"/>
      <c r="Z666" s="9">
        <f t="shared" si="364"/>
        <v>0</v>
      </c>
      <c r="AA666" s="8">
        <f t="shared" si="365"/>
        <v>1602506.35</v>
      </c>
      <c r="AB666" s="8">
        <f t="shared" si="366"/>
        <v>0</v>
      </c>
    </row>
    <row r="667" spans="1:28" x14ac:dyDescent="0.3">
      <c r="A667" s="64"/>
      <c r="B667" s="8"/>
      <c r="C667" s="7" t="s">
        <v>600</v>
      </c>
      <c r="D667" s="15" t="s">
        <v>54</v>
      </c>
      <c r="E667" s="9">
        <v>475000</v>
      </c>
      <c r="F667" s="9">
        <v>475000</v>
      </c>
      <c r="G667" s="8"/>
      <c r="H667" s="9">
        <f t="shared" si="358"/>
        <v>475000</v>
      </c>
      <c r="I667" s="8"/>
      <c r="J667" s="9">
        <f t="shared" si="359"/>
        <v>475000</v>
      </c>
      <c r="K667" s="8"/>
      <c r="L667" s="8"/>
      <c r="M667" s="9">
        <f t="shared" si="367"/>
        <v>475000</v>
      </c>
      <c r="N667" s="8"/>
      <c r="O667" s="9"/>
      <c r="P667" s="9">
        <f t="shared" si="368"/>
        <v>0</v>
      </c>
      <c r="Q667" s="9"/>
      <c r="R667" s="17"/>
      <c r="S667" s="17"/>
      <c r="T667" s="25"/>
      <c r="U667" s="9">
        <f t="shared" si="360"/>
        <v>0</v>
      </c>
      <c r="V667" s="9">
        <f t="shared" si="361"/>
        <v>475000</v>
      </c>
      <c r="W667" s="9">
        <f t="shared" si="362"/>
        <v>0</v>
      </c>
      <c r="X667" s="9">
        <f t="shared" si="363"/>
        <v>475000</v>
      </c>
      <c r="Y667" s="8"/>
      <c r="Z667" s="9">
        <f t="shared" si="364"/>
        <v>0</v>
      </c>
      <c r="AA667" s="8">
        <f t="shared" si="365"/>
        <v>475000</v>
      </c>
      <c r="AB667" s="8">
        <f t="shared" si="366"/>
        <v>0</v>
      </c>
    </row>
    <row r="668" spans="1:28" x14ac:dyDescent="0.3">
      <c r="A668" s="64"/>
      <c r="B668" s="8"/>
      <c r="C668" s="7" t="s">
        <v>545</v>
      </c>
      <c r="D668" s="15" t="s">
        <v>54</v>
      </c>
      <c r="E668" s="9">
        <v>2306106</v>
      </c>
      <c r="F668" s="8"/>
      <c r="G668" s="8"/>
      <c r="H668" s="9">
        <f t="shared" si="358"/>
        <v>0</v>
      </c>
      <c r="I668" s="8"/>
      <c r="J668" s="9">
        <f t="shared" si="359"/>
        <v>0</v>
      </c>
      <c r="K668" s="9">
        <v>2306106</v>
      </c>
      <c r="L668" s="8"/>
      <c r="M668" s="9">
        <f t="shared" si="367"/>
        <v>0</v>
      </c>
      <c r="N668" s="8">
        <v>2306106</v>
      </c>
      <c r="O668" s="9"/>
      <c r="P668" s="9">
        <f t="shared" si="368"/>
        <v>2306106</v>
      </c>
      <c r="Q668" s="9"/>
      <c r="R668" s="17"/>
      <c r="S668" s="17"/>
      <c r="T668" s="25"/>
      <c r="U668" s="9">
        <f t="shared" si="360"/>
        <v>2306106</v>
      </c>
      <c r="V668" s="9">
        <f t="shared" si="361"/>
        <v>2306106</v>
      </c>
      <c r="W668" s="9">
        <f t="shared" si="362"/>
        <v>0</v>
      </c>
      <c r="X668" s="9">
        <f t="shared" si="363"/>
        <v>2306106</v>
      </c>
      <c r="Y668" s="8"/>
      <c r="Z668" s="9">
        <f t="shared" si="364"/>
        <v>0</v>
      </c>
      <c r="AA668" s="8">
        <f t="shared" si="365"/>
        <v>2306106</v>
      </c>
      <c r="AB668" s="8">
        <f t="shared" si="366"/>
        <v>0</v>
      </c>
    </row>
    <row r="669" spans="1:28" x14ac:dyDescent="0.3">
      <c r="A669" s="64"/>
      <c r="B669" s="8"/>
      <c r="C669" s="7" t="s">
        <v>601</v>
      </c>
      <c r="D669" s="15" t="s">
        <v>54</v>
      </c>
      <c r="E669" s="9">
        <v>955345.62</v>
      </c>
      <c r="F669" s="8"/>
      <c r="G669" s="8"/>
      <c r="H669" s="9">
        <f t="shared" si="358"/>
        <v>0</v>
      </c>
      <c r="I669" s="8"/>
      <c r="J669" s="9">
        <f t="shared" si="359"/>
        <v>0</v>
      </c>
      <c r="K669" s="9">
        <v>955345.62</v>
      </c>
      <c r="L669" s="8"/>
      <c r="M669" s="9">
        <f t="shared" si="367"/>
        <v>0</v>
      </c>
      <c r="N669" s="8">
        <v>955345.62</v>
      </c>
      <c r="O669" s="9"/>
      <c r="P669" s="9">
        <f t="shared" si="368"/>
        <v>955345.62</v>
      </c>
      <c r="Q669" s="9"/>
      <c r="R669" s="17"/>
      <c r="S669" s="17"/>
      <c r="T669" s="25"/>
      <c r="U669" s="9">
        <f t="shared" si="360"/>
        <v>955345.62</v>
      </c>
      <c r="V669" s="9">
        <f t="shared" si="361"/>
        <v>955345.62</v>
      </c>
      <c r="W669" s="9">
        <f t="shared" si="362"/>
        <v>0</v>
      </c>
      <c r="X669" s="9">
        <f t="shared" si="363"/>
        <v>955345.62</v>
      </c>
      <c r="Y669" s="8"/>
      <c r="Z669" s="9">
        <f t="shared" si="364"/>
        <v>0</v>
      </c>
      <c r="AA669" s="8">
        <f t="shared" si="365"/>
        <v>955345.62</v>
      </c>
      <c r="AB669" s="8">
        <f t="shared" si="366"/>
        <v>0</v>
      </c>
    </row>
    <row r="670" spans="1:28" x14ac:dyDescent="0.3">
      <c r="A670" s="64"/>
      <c r="B670" s="8"/>
      <c r="C670" s="7" t="s">
        <v>535</v>
      </c>
      <c r="D670" s="15" t="s">
        <v>85</v>
      </c>
      <c r="E670" s="9">
        <f>4729000-472900</f>
        <v>4256100</v>
      </c>
      <c r="F670" s="9">
        <v>4256100</v>
      </c>
      <c r="G670" s="8"/>
      <c r="H670" s="9">
        <f t="shared" si="358"/>
        <v>4256100</v>
      </c>
      <c r="I670" s="8"/>
      <c r="J670" s="9">
        <f t="shared" si="359"/>
        <v>4256100</v>
      </c>
      <c r="K670" s="8"/>
      <c r="L670" s="8"/>
      <c r="M670" s="9">
        <f t="shared" si="367"/>
        <v>4256100</v>
      </c>
      <c r="N670" s="8"/>
      <c r="O670" s="9"/>
      <c r="P670" s="9">
        <f t="shared" si="368"/>
        <v>0</v>
      </c>
      <c r="Q670" s="9"/>
      <c r="R670" s="17"/>
      <c r="S670" s="17"/>
      <c r="T670" s="25"/>
      <c r="U670" s="9">
        <f t="shared" si="360"/>
        <v>0</v>
      </c>
      <c r="V670" s="9">
        <f t="shared" si="361"/>
        <v>4256100</v>
      </c>
      <c r="W670" s="9">
        <f t="shared" si="362"/>
        <v>0</v>
      </c>
      <c r="X670" s="9">
        <f t="shared" si="363"/>
        <v>4256100</v>
      </c>
      <c r="Y670" s="8"/>
      <c r="Z670" s="9">
        <f t="shared" si="364"/>
        <v>0</v>
      </c>
      <c r="AA670" s="8">
        <f t="shared" si="365"/>
        <v>4256100</v>
      </c>
      <c r="AB670" s="8">
        <f t="shared" si="366"/>
        <v>0</v>
      </c>
    </row>
    <row r="671" spans="1:28" x14ac:dyDescent="0.3">
      <c r="A671" s="64"/>
      <c r="B671" s="8"/>
      <c r="C671" s="7" t="s">
        <v>602</v>
      </c>
      <c r="D671" s="15" t="s">
        <v>85</v>
      </c>
      <c r="E671" s="9">
        <v>1000000</v>
      </c>
      <c r="F671" s="9">
        <v>1000000</v>
      </c>
      <c r="G671" s="8"/>
      <c r="H671" s="9">
        <f t="shared" si="358"/>
        <v>1000000</v>
      </c>
      <c r="I671" s="8"/>
      <c r="J671" s="9">
        <f t="shared" si="359"/>
        <v>1000000</v>
      </c>
      <c r="K671" s="8"/>
      <c r="L671" s="8"/>
      <c r="M671" s="9">
        <f t="shared" si="367"/>
        <v>1000000</v>
      </c>
      <c r="N671" s="8"/>
      <c r="O671" s="9"/>
      <c r="P671" s="9">
        <f t="shared" si="368"/>
        <v>0</v>
      </c>
      <c r="Q671" s="9"/>
      <c r="R671" s="17"/>
      <c r="S671" s="17"/>
      <c r="T671" s="25"/>
      <c r="U671" s="9">
        <f t="shared" si="360"/>
        <v>0</v>
      </c>
      <c r="V671" s="9">
        <f t="shared" si="361"/>
        <v>1000000</v>
      </c>
      <c r="W671" s="9">
        <f t="shared" si="362"/>
        <v>0</v>
      </c>
      <c r="X671" s="9">
        <f t="shared" si="363"/>
        <v>1000000</v>
      </c>
      <c r="Y671" s="8"/>
      <c r="Z671" s="9">
        <f t="shared" si="364"/>
        <v>0</v>
      </c>
      <c r="AA671" s="8">
        <f t="shared" si="365"/>
        <v>1000000</v>
      </c>
      <c r="AB671" s="8">
        <f t="shared" si="366"/>
        <v>0</v>
      </c>
    </row>
    <row r="672" spans="1:28" x14ac:dyDescent="0.3">
      <c r="A672" s="64"/>
      <c r="B672" s="8"/>
      <c r="C672" s="7" t="s">
        <v>603</v>
      </c>
      <c r="D672" s="15" t="s">
        <v>85</v>
      </c>
      <c r="E672" s="9">
        <v>80000</v>
      </c>
      <c r="F672" s="9">
        <v>80000</v>
      </c>
      <c r="G672" s="8"/>
      <c r="H672" s="9">
        <f t="shared" si="358"/>
        <v>80000</v>
      </c>
      <c r="I672" s="8"/>
      <c r="J672" s="9">
        <f t="shared" si="359"/>
        <v>80000</v>
      </c>
      <c r="K672" s="8"/>
      <c r="L672" s="8"/>
      <c r="M672" s="9">
        <f t="shared" si="367"/>
        <v>80000</v>
      </c>
      <c r="N672" s="8"/>
      <c r="O672" s="9"/>
      <c r="P672" s="9">
        <f t="shared" si="368"/>
        <v>0</v>
      </c>
      <c r="Q672" s="9"/>
      <c r="R672" s="17"/>
      <c r="S672" s="17"/>
      <c r="T672" s="25"/>
      <c r="U672" s="9">
        <f t="shared" si="360"/>
        <v>0</v>
      </c>
      <c r="V672" s="9">
        <f t="shared" si="361"/>
        <v>80000</v>
      </c>
      <c r="W672" s="9">
        <f t="shared" si="362"/>
        <v>0</v>
      </c>
      <c r="X672" s="9">
        <f t="shared" si="363"/>
        <v>80000</v>
      </c>
      <c r="Y672" s="8"/>
      <c r="Z672" s="9">
        <f t="shared" si="364"/>
        <v>0</v>
      </c>
      <c r="AA672" s="8">
        <f t="shared" si="365"/>
        <v>80000</v>
      </c>
      <c r="AB672" s="8">
        <f t="shared" si="366"/>
        <v>0</v>
      </c>
    </row>
    <row r="673" spans="1:28" x14ac:dyDescent="0.3">
      <c r="A673" s="64"/>
      <c r="B673" s="8"/>
      <c r="C673" s="7" t="s">
        <v>604</v>
      </c>
      <c r="D673" s="15" t="s">
        <v>85</v>
      </c>
      <c r="E673" s="9">
        <v>120000</v>
      </c>
      <c r="F673" s="9">
        <v>120000</v>
      </c>
      <c r="G673" s="8"/>
      <c r="H673" s="9">
        <f t="shared" si="358"/>
        <v>120000</v>
      </c>
      <c r="I673" s="8"/>
      <c r="J673" s="9">
        <f t="shared" si="359"/>
        <v>120000</v>
      </c>
      <c r="K673" s="8"/>
      <c r="L673" s="8"/>
      <c r="M673" s="9">
        <f t="shared" si="367"/>
        <v>120000</v>
      </c>
      <c r="N673" s="8"/>
      <c r="O673" s="9"/>
      <c r="P673" s="9">
        <f t="shared" si="368"/>
        <v>0</v>
      </c>
      <c r="Q673" s="9"/>
      <c r="R673" s="17"/>
      <c r="S673" s="17"/>
      <c r="T673" s="25"/>
      <c r="U673" s="9">
        <f t="shared" si="360"/>
        <v>0</v>
      </c>
      <c r="V673" s="9">
        <f t="shared" si="361"/>
        <v>120000</v>
      </c>
      <c r="W673" s="9">
        <f t="shared" si="362"/>
        <v>0</v>
      </c>
      <c r="X673" s="9">
        <f t="shared" si="363"/>
        <v>120000</v>
      </c>
      <c r="Y673" s="8"/>
      <c r="Z673" s="9">
        <f t="shared" si="364"/>
        <v>0</v>
      </c>
      <c r="AA673" s="8">
        <f t="shared" si="365"/>
        <v>120000</v>
      </c>
      <c r="AB673" s="8">
        <f t="shared" si="366"/>
        <v>0</v>
      </c>
    </row>
    <row r="674" spans="1:28" x14ac:dyDescent="0.3">
      <c r="A674" s="64"/>
      <c r="B674" s="8"/>
      <c r="C674" s="7" t="s">
        <v>535</v>
      </c>
      <c r="D674" s="15" t="s">
        <v>128</v>
      </c>
      <c r="E674" s="9">
        <v>2586600</v>
      </c>
      <c r="F674" s="9">
        <v>2586600</v>
      </c>
      <c r="G674" s="8"/>
      <c r="H674" s="9">
        <f t="shared" si="358"/>
        <v>2586600</v>
      </c>
      <c r="I674" s="8"/>
      <c r="J674" s="9">
        <f t="shared" si="359"/>
        <v>2586600</v>
      </c>
      <c r="K674" s="8"/>
      <c r="L674" s="8"/>
      <c r="M674" s="9">
        <f t="shared" si="367"/>
        <v>2586600</v>
      </c>
      <c r="N674" s="8"/>
      <c r="O674" s="9"/>
      <c r="P674" s="9">
        <f t="shared" si="368"/>
        <v>0</v>
      </c>
      <c r="Q674" s="9"/>
      <c r="R674" s="17"/>
      <c r="S674" s="17"/>
      <c r="T674" s="25"/>
      <c r="U674" s="9">
        <f t="shared" si="360"/>
        <v>0</v>
      </c>
      <c r="V674" s="9">
        <f t="shared" si="361"/>
        <v>2586600</v>
      </c>
      <c r="W674" s="9">
        <f t="shared" si="362"/>
        <v>0</v>
      </c>
      <c r="X674" s="9">
        <f t="shared" si="363"/>
        <v>2586600</v>
      </c>
      <c r="Y674" s="8"/>
      <c r="Z674" s="9">
        <f t="shared" si="364"/>
        <v>0</v>
      </c>
      <c r="AA674" s="8">
        <f t="shared" si="365"/>
        <v>2586600</v>
      </c>
      <c r="AB674" s="8">
        <f t="shared" si="366"/>
        <v>0</v>
      </c>
    </row>
    <row r="675" spans="1:28" x14ac:dyDescent="0.3">
      <c r="A675" s="64"/>
      <c r="B675" s="8"/>
      <c r="C675" s="7" t="s">
        <v>566</v>
      </c>
      <c r="D675" s="15" t="s">
        <v>128</v>
      </c>
      <c r="E675" s="9">
        <v>1000000</v>
      </c>
      <c r="F675" s="9">
        <v>1000000</v>
      </c>
      <c r="G675" s="8"/>
      <c r="H675" s="9">
        <f t="shared" si="358"/>
        <v>1000000</v>
      </c>
      <c r="I675" s="8"/>
      <c r="J675" s="9">
        <f t="shared" si="359"/>
        <v>1000000</v>
      </c>
      <c r="K675" s="8"/>
      <c r="L675" s="8"/>
      <c r="M675" s="9">
        <f t="shared" si="367"/>
        <v>1000000</v>
      </c>
      <c r="N675" s="8"/>
      <c r="O675" s="9"/>
      <c r="P675" s="9">
        <f t="shared" si="368"/>
        <v>0</v>
      </c>
      <c r="Q675" s="9"/>
      <c r="R675" s="17"/>
      <c r="S675" s="17"/>
      <c r="T675" s="25"/>
      <c r="U675" s="9">
        <f t="shared" si="360"/>
        <v>0</v>
      </c>
      <c r="V675" s="9">
        <f t="shared" si="361"/>
        <v>1000000</v>
      </c>
      <c r="W675" s="9">
        <f t="shared" si="362"/>
        <v>0</v>
      </c>
      <c r="X675" s="9">
        <f t="shared" si="363"/>
        <v>1000000</v>
      </c>
      <c r="Y675" s="8"/>
      <c r="Z675" s="9">
        <f t="shared" si="364"/>
        <v>0</v>
      </c>
      <c r="AA675" s="8">
        <f t="shared" si="365"/>
        <v>1000000</v>
      </c>
      <c r="AB675" s="8">
        <f t="shared" si="366"/>
        <v>0</v>
      </c>
    </row>
    <row r="676" spans="1:28" x14ac:dyDescent="0.3">
      <c r="A676" s="64"/>
      <c r="B676" s="8"/>
      <c r="C676" s="7" t="s">
        <v>535</v>
      </c>
      <c r="D676" s="15" t="s">
        <v>88</v>
      </c>
      <c r="E676" s="9">
        <v>2000000</v>
      </c>
      <c r="F676" s="9">
        <v>2000000</v>
      </c>
      <c r="G676" s="8"/>
      <c r="H676" s="9">
        <f t="shared" si="358"/>
        <v>2000000</v>
      </c>
      <c r="I676" s="8"/>
      <c r="J676" s="9">
        <f t="shared" si="359"/>
        <v>2000000</v>
      </c>
      <c r="K676" s="8"/>
      <c r="L676" s="8"/>
      <c r="M676" s="9">
        <f t="shared" si="367"/>
        <v>2000000</v>
      </c>
      <c r="N676" s="8"/>
      <c r="O676" s="9"/>
      <c r="P676" s="9">
        <f t="shared" si="368"/>
        <v>0</v>
      </c>
      <c r="Q676" s="9"/>
      <c r="R676" s="17"/>
      <c r="S676" s="17"/>
      <c r="T676" s="25"/>
      <c r="U676" s="9">
        <f t="shared" si="360"/>
        <v>0</v>
      </c>
      <c r="V676" s="9">
        <f t="shared" si="361"/>
        <v>2000000</v>
      </c>
      <c r="W676" s="9">
        <f t="shared" si="362"/>
        <v>0</v>
      </c>
      <c r="X676" s="9">
        <f t="shared" si="363"/>
        <v>2000000</v>
      </c>
      <c r="Y676" s="8"/>
      <c r="Z676" s="9">
        <f t="shared" si="364"/>
        <v>0</v>
      </c>
      <c r="AA676" s="8">
        <f t="shared" si="365"/>
        <v>2000000</v>
      </c>
      <c r="AB676" s="8">
        <f t="shared" si="366"/>
        <v>0</v>
      </c>
    </row>
    <row r="677" spans="1:28" x14ac:dyDescent="0.3">
      <c r="A677" s="64"/>
      <c r="B677" s="8"/>
      <c r="C677" s="7" t="s">
        <v>535</v>
      </c>
      <c r="D677" s="15" t="s">
        <v>108</v>
      </c>
      <c r="E677" s="9">
        <f>1487854+703697+685301+1369733.94+570297+197691+507824+2000000+1704080</f>
        <v>9226477.9399999995</v>
      </c>
      <c r="F677" s="9">
        <f>7522397.94+1704080</f>
        <v>9226477.9400000013</v>
      </c>
      <c r="G677" s="8"/>
      <c r="H677" s="9">
        <f t="shared" si="358"/>
        <v>9226477.9400000013</v>
      </c>
      <c r="I677" s="8"/>
      <c r="J677" s="9">
        <f t="shared" si="359"/>
        <v>9226477.9400000013</v>
      </c>
      <c r="K677" s="8"/>
      <c r="L677" s="8"/>
      <c r="M677" s="9">
        <f t="shared" si="367"/>
        <v>9226477.9400000013</v>
      </c>
      <c r="N677" s="8"/>
      <c r="O677" s="9"/>
      <c r="P677" s="9">
        <f t="shared" si="368"/>
        <v>0</v>
      </c>
      <c r="Q677" s="9"/>
      <c r="R677" s="17"/>
      <c r="S677" s="17"/>
      <c r="T677" s="25"/>
      <c r="U677" s="9">
        <f t="shared" si="360"/>
        <v>0</v>
      </c>
      <c r="V677" s="9">
        <f t="shared" si="361"/>
        <v>9226477.9400000013</v>
      </c>
      <c r="W677" s="9">
        <f t="shared" si="362"/>
        <v>0</v>
      </c>
      <c r="X677" s="9">
        <f t="shared" si="363"/>
        <v>9226477.9400000013</v>
      </c>
      <c r="Y677" s="8"/>
      <c r="Z677" s="9">
        <f t="shared" si="364"/>
        <v>0</v>
      </c>
      <c r="AA677" s="8">
        <f t="shared" si="365"/>
        <v>9226477.9400000013</v>
      </c>
      <c r="AB677" s="8">
        <f t="shared" si="366"/>
        <v>0</v>
      </c>
    </row>
    <row r="678" spans="1:28" x14ac:dyDescent="0.3">
      <c r="A678" s="64"/>
      <c r="B678" s="7" t="s">
        <v>605</v>
      </c>
      <c r="C678" s="7" t="s">
        <v>535</v>
      </c>
      <c r="D678" s="15" t="s">
        <v>108</v>
      </c>
      <c r="E678" s="9">
        <f>2000000+3000000</f>
        <v>5000000</v>
      </c>
      <c r="F678" s="9">
        <f>2000000+3000000</f>
        <v>5000000</v>
      </c>
      <c r="G678" s="8"/>
      <c r="H678" s="9">
        <f t="shared" si="358"/>
        <v>5000000</v>
      </c>
      <c r="I678" s="8"/>
      <c r="J678" s="9">
        <f t="shared" si="359"/>
        <v>5000000</v>
      </c>
      <c r="K678" s="8"/>
      <c r="L678" s="8"/>
      <c r="M678" s="9">
        <f t="shared" si="367"/>
        <v>5000000</v>
      </c>
      <c r="N678" s="8"/>
      <c r="O678" s="9"/>
      <c r="P678" s="9">
        <f t="shared" si="368"/>
        <v>0</v>
      </c>
      <c r="Q678" s="9"/>
      <c r="R678" s="17"/>
      <c r="S678" s="17"/>
      <c r="T678" s="25"/>
      <c r="U678" s="9">
        <f t="shared" si="360"/>
        <v>0</v>
      </c>
      <c r="V678" s="9">
        <f t="shared" si="361"/>
        <v>5000000</v>
      </c>
      <c r="W678" s="9">
        <f t="shared" si="362"/>
        <v>0</v>
      </c>
      <c r="X678" s="9">
        <f t="shared" si="363"/>
        <v>5000000</v>
      </c>
      <c r="Y678" s="8"/>
      <c r="Z678" s="9">
        <f t="shared" si="364"/>
        <v>0</v>
      </c>
      <c r="AA678" s="8">
        <f t="shared" si="365"/>
        <v>5000000</v>
      </c>
      <c r="AB678" s="8">
        <f t="shared" si="366"/>
        <v>0</v>
      </c>
    </row>
    <row r="679" spans="1:28" x14ac:dyDescent="0.3">
      <c r="A679" s="64"/>
      <c r="B679" s="8"/>
      <c r="C679" s="7" t="s">
        <v>535</v>
      </c>
      <c r="D679" s="15" t="s">
        <v>58</v>
      </c>
      <c r="E679" s="9">
        <f>1768950.44+800669+1503661+2710000+250780+2547922.17+2333640+2500000+2500000+2500000</f>
        <v>19415622.609999999</v>
      </c>
      <c r="F679" s="9">
        <v>15364039.439999999</v>
      </c>
      <c r="G679" s="8"/>
      <c r="H679" s="9">
        <f t="shared" si="358"/>
        <v>15364039.439999999</v>
      </c>
      <c r="I679" s="9">
        <f>1768950.44+800669+1503661+2710000+250780+2547922.17+2333640+2500000+2500000+2500000-2500000-2333640-2500000-2500000-2710000-1768950.44-250780-800669</f>
        <v>4051583.17</v>
      </c>
      <c r="J679" s="9">
        <f t="shared" si="359"/>
        <v>19415622.609999999</v>
      </c>
      <c r="K679" s="8"/>
      <c r="L679" s="8">
        <v>4051583.17</v>
      </c>
      <c r="M679" s="9">
        <f t="shared" si="367"/>
        <v>19415622.609999999</v>
      </c>
      <c r="N679" s="8"/>
      <c r="O679" s="9"/>
      <c r="P679" s="9">
        <f t="shared" si="368"/>
        <v>0</v>
      </c>
      <c r="Q679" s="9"/>
      <c r="R679" s="17"/>
      <c r="S679" s="17"/>
      <c r="T679" s="25"/>
      <c r="U679" s="9">
        <f t="shared" si="360"/>
        <v>0</v>
      </c>
      <c r="V679" s="9">
        <f t="shared" si="361"/>
        <v>15364039.439999999</v>
      </c>
      <c r="W679" s="9">
        <f t="shared" si="362"/>
        <v>4051583.17</v>
      </c>
      <c r="X679" s="9">
        <f t="shared" si="363"/>
        <v>15364039.439999999</v>
      </c>
      <c r="Y679" s="8"/>
      <c r="Z679" s="9">
        <f t="shared" si="364"/>
        <v>4051583.17</v>
      </c>
      <c r="AA679" s="8">
        <f t="shared" si="365"/>
        <v>19415622.609999999</v>
      </c>
      <c r="AB679" s="8">
        <f t="shared" si="366"/>
        <v>0</v>
      </c>
    </row>
    <row r="680" spans="1:28" x14ac:dyDescent="0.3">
      <c r="A680" s="64"/>
      <c r="B680" s="8"/>
      <c r="C680" s="7" t="s">
        <v>535</v>
      </c>
      <c r="D680" s="15" t="s">
        <v>60</v>
      </c>
      <c r="E680" s="9">
        <v>544471</v>
      </c>
      <c r="F680" s="11">
        <v>544471</v>
      </c>
      <c r="G680" s="8"/>
      <c r="H680" s="9">
        <f t="shared" si="358"/>
        <v>544471</v>
      </c>
      <c r="I680" s="8"/>
      <c r="J680" s="9">
        <f t="shared" si="359"/>
        <v>544471</v>
      </c>
      <c r="K680" s="8"/>
      <c r="L680" s="8"/>
      <c r="M680" s="9">
        <f t="shared" si="367"/>
        <v>544471</v>
      </c>
      <c r="N680" s="8"/>
      <c r="O680" s="9"/>
      <c r="P680" s="9">
        <f t="shared" si="368"/>
        <v>0</v>
      </c>
      <c r="Q680" s="9"/>
      <c r="R680" s="17"/>
      <c r="S680" s="17"/>
      <c r="T680" s="25"/>
      <c r="U680" s="9">
        <f t="shared" si="360"/>
        <v>0</v>
      </c>
      <c r="V680" s="9">
        <f t="shared" si="361"/>
        <v>544471</v>
      </c>
      <c r="W680" s="9">
        <f t="shared" si="362"/>
        <v>0</v>
      </c>
      <c r="X680" s="9">
        <f t="shared" si="363"/>
        <v>544471</v>
      </c>
      <c r="Y680" s="8"/>
      <c r="Z680" s="9">
        <f t="shared" si="364"/>
        <v>0</v>
      </c>
      <c r="AA680" s="8">
        <f t="shared" si="365"/>
        <v>544471</v>
      </c>
      <c r="AB680" s="8">
        <f t="shared" si="366"/>
        <v>0</v>
      </c>
    </row>
    <row r="681" spans="1:28" x14ac:dyDescent="0.3">
      <c r="A681" s="64"/>
      <c r="B681" s="8"/>
      <c r="C681" s="7" t="s">
        <v>898</v>
      </c>
      <c r="D681" s="16" t="s">
        <v>1072</v>
      </c>
      <c r="E681" s="9">
        <v>1403155.19</v>
      </c>
      <c r="F681" s="9">
        <v>1403155.19</v>
      </c>
      <c r="G681" s="8"/>
      <c r="H681" s="9">
        <f>+F681+G681:G681</f>
        <v>1403155.19</v>
      </c>
      <c r="I681" s="8"/>
      <c r="J681" s="9"/>
      <c r="K681" s="8"/>
      <c r="L681" s="8"/>
      <c r="M681" s="9">
        <f>+H681+L681</f>
        <v>1403155.19</v>
      </c>
      <c r="N681" s="8"/>
      <c r="O681" s="9"/>
      <c r="P681" s="9">
        <f>+N681+O681</f>
        <v>0</v>
      </c>
      <c r="Q681" s="9"/>
      <c r="R681" s="17"/>
      <c r="S681" s="17"/>
      <c r="T681" s="25"/>
      <c r="U681" s="9">
        <f>+P681+T681</f>
        <v>0</v>
      </c>
      <c r="V681" s="9"/>
      <c r="W681" s="9"/>
      <c r="X681" s="9">
        <f t="shared" si="363"/>
        <v>1403155.19</v>
      </c>
      <c r="Y681" s="8"/>
      <c r="Z681" s="9">
        <f t="shared" si="364"/>
        <v>0</v>
      </c>
      <c r="AA681" s="8">
        <f t="shared" si="365"/>
        <v>1403155.19</v>
      </c>
      <c r="AB681" s="8">
        <f t="shared" si="366"/>
        <v>0</v>
      </c>
    </row>
    <row r="682" spans="1:28" x14ac:dyDescent="0.3">
      <c r="A682" s="64"/>
      <c r="B682" s="8"/>
      <c r="C682" s="13" t="s">
        <v>933</v>
      </c>
      <c r="D682" s="16" t="s">
        <v>1072</v>
      </c>
      <c r="E682" s="9">
        <v>100000</v>
      </c>
      <c r="F682" s="9">
        <v>100000</v>
      </c>
      <c r="G682" s="8"/>
      <c r="H682" s="9">
        <f>+F682+G682</f>
        <v>100000</v>
      </c>
      <c r="I682" s="8"/>
      <c r="J682" s="9"/>
      <c r="K682" s="8"/>
      <c r="L682" s="8"/>
      <c r="M682" s="9">
        <f>+H682+L682</f>
        <v>100000</v>
      </c>
      <c r="N682" s="8"/>
      <c r="O682" s="9"/>
      <c r="P682" s="9">
        <f>+N682+O682</f>
        <v>0</v>
      </c>
      <c r="Q682" s="9"/>
      <c r="R682" s="17"/>
      <c r="S682" s="17"/>
      <c r="T682" s="25"/>
      <c r="U682" s="9">
        <f>+P682+T682</f>
        <v>0</v>
      </c>
      <c r="V682" s="9"/>
      <c r="W682" s="9"/>
      <c r="X682" s="9">
        <f t="shared" si="363"/>
        <v>100000</v>
      </c>
      <c r="Y682" s="8"/>
      <c r="Z682" s="9">
        <f t="shared" si="364"/>
        <v>0</v>
      </c>
      <c r="AA682" s="8">
        <f t="shared" si="365"/>
        <v>100000</v>
      </c>
      <c r="AB682" s="8">
        <f t="shared" si="366"/>
        <v>0</v>
      </c>
    </row>
    <row r="683" spans="1:28" x14ac:dyDescent="0.3">
      <c r="A683" s="64"/>
      <c r="B683" s="8"/>
      <c r="C683" s="7" t="s">
        <v>1164</v>
      </c>
      <c r="D683" s="16" t="s">
        <v>1126</v>
      </c>
      <c r="E683" s="9">
        <v>1596000</v>
      </c>
      <c r="F683" s="9">
        <v>1596000</v>
      </c>
      <c r="G683" s="8"/>
      <c r="H683" s="9">
        <f>+F683+G683</f>
        <v>1596000</v>
      </c>
      <c r="I683" s="8"/>
      <c r="J683" s="9"/>
      <c r="K683" s="8"/>
      <c r="L683" s="8"/>
      <c r="M683" s="9">
        <f>+H683+L683</f>
        <v>1596000</v>
      </c>
      <c r="N683" s="8"/>
      <c r="O683" s="9"/>
      <c r="P683" s="9">
        <f>+N683+O683</f>
        <v>0</v>
      </c>
      <c r="Q683" s="9"/>
      <c r="R683" s="17"/>
      <c r="S683" s="17"/>
      <c r="T683" s="25"/>
      <c r="U683" s="9">
        <f>+P683+T683</f>
        <v>0</v>
      </c>
      <c r="V683" s="9"/>
      <c r="W683" s="9"/>
      <c r="X683" s="9">
        <f>+H683+P683</f>
        <v>1596000</v>
      </c>
      <c r="Y683" s="8"/>
      <c r="Z683" s="9">
        <f>+E683-X683</f>
        <v>0</v>
      </c>
      <c r="AA683" s="8">
        <f>+M683+U683</f>
        <v>1596000</v>
      </c>
      <c r="AB683" s="8">
        <f>+E683-AA683</f>
        <v>0</v>
      </c>
    </row>
    <row r="684" spans="1:28" x14ac:dyDescent="0.3">
      <c r="A684" s="64"/>
      <c r="B684" s="8"/>
      <c r="C684" s="7" t="s">
        <v>1255</v>
      </c>
      <c r="D684" s="16" t="s">
        <v>1225</v>
      </c>
      <c r="E684" s="9">
        <v>1881642.2</v>
      </c>
      <c r="F684" s="9"/>
      <c r="G684" s="8">
        <v>1881642.2</v>
      </c>
      <c r="H684" s="9">
        <f>+F684+G684</f>
        <v>1881642.2</v>
      </c>
      <c r="I684" s="8"/>
      <c r="J684" s="9"/>
      <c r="K684" s="8"/>
      <c r="L684" s="8"/>
      <c r="M684" s="9">
        <f>+H684+L684</f>
        <v>1881642.2</v>
      </c>
      <c r="N684" s="8"/>
      <c r="O684" s="9"/>
      <c r="P684" s="9">
        <f>+N684+O684</f>
        <v>0</v>
      </c>
      <c r="Q684" s="9"/>
      <c r="R684" s="17"/>
      <c r="S684" s="17"/>
      <c r="T684" s="25"/>
      <c r="U684" s="9">
        <f>+P684+T684</f>
        <v>0</v>
      </c>
      <c r="V684" s="9"/>
      <c r="W684" s="9"/>
      <c r="X684" s="9">
        <f>+H684+P684</f>
        <v>1881642.2</v>
      </c>
      <c r="Y684" s="8"/>
      <c r="Z684" s="9">
        <f>+E684-X684</f>
        <v>0</v>
      </c>
      <c r="AA684" s="8">
        <f>+M684+U684</f>
        <v>1881642.2</v>
      </c>
      <c r="AB684" s="8">
        <f>+E684-AA684</f>
        <v>0</v>
      </c>
    </row>
    <row r="685" spans="1:28" x14ac:dyDescent="0.3">
      <c r="A685" s="64"/>
      <c r="B685" s="8"/>
      <c r="C685" s="7" t="s">
        <v>577</v>
      </c>
      <c r="D685" s="8"/>
      <c r="E685" s="9">
        <v>5334817.6900000004</v>
      </c>
      <c r="F685" s="9">
        <v>5334817.6900000004</v>
      </c>
      <c r="G685" s="8"/>
      <c r="H685" s="9">
        <f t="shared" si="358"/>
        <v>5334817.6900000004</v>
      </c>
      <c r="I685" s="8"/>
      <c r="J685" s="9">
        <f t="shared" si="359"/>
        <v>5334817.6900000004</v>
      </c>
      <c r="K685" s="8"/>
      <c r="L685" s="8"/>
      <c r="M685" s="9">
        <f t="shared" si="367"/>
        <v>5334817.6900000004</v>
      </c>
      <c r="N685" s="8"/>
      <c r="O685" s="9"/>
      <c r="P685" s="9">
        <f t="shared" si="368"/>
        <v>0</v>
      </c>
      <c r="Q685" s="9"/>
      <c r="R685" s="17"/>
      <c r="S685" s="17"/>
      <c r="T685" s="25"/>
      <c r="U685" s="9">
        <f t="shared" si="360"/>
        <v>0</v>
      </c>
      <c r="V685" s="9">
        <f t="shared" si="361"/>
        <v>5334817.6900000004</v>
      </c>
      <c r="W685" s="9">
        <f t="shared" si="362"/>
        <v>0</v>
      </c>
      <c r="X685" s="9">
        <f t="shared" si="363"/>
        <v>5334817.6900000004</v>
      </c>
      <c r="Y685" s="8"/>
      <c r="Z685" s="9">
        <f t="shared" si="364"/>
        <v>0</v>
      </c>
      <c r="AA685" s="8">
        <f t="shared" si="365"/>
        <v>5334817.6900000004</v>
      </c>
      <c r="AB685" s="8">
        <f t="shared" si="366"/>
        <v>0</v>
      </c>
    </row>
    <row r="686" spans="1:28" x14ac:dyDescent="0.3">
      <c r="A686" s="64"/>
      <c r="B686" s="8"/>
      <c r="C686" s="7" t="s">
        <v>550</v>
      </c>
      <c r="D686" s="8"/>
      <c r="E686" s="9">
        <v>910166</v>
      </c>
      <c r="F686" s="9">
        <v>910166</v>
      </c>
      <c r="G686" s="8"/>
      <c r="H686" s="9">
        <f t="shared" si="358"/>
        <v>910166</v>
      </c>
      <c r="I686" s="8"/>
      <c r="J686" s="9">
        <f t="shared" si="359"/>
        <v>910166</v>
      </c>
      <c r="K686" s="8"/>
      <c r="L686" s="8"/>
      <c r="M686" s="9">
        <f t="shared" si="367"/>
        <v>910166</v>
      </c>
      <c r="N686" s="8"/>
      <c r="O686" s="9"/>
      <c r="P686" s="9">
        <f t="shared" si="368"/>
        <v>0</v>
      </c>
      <c r="Q686" s="9"/>
      <c r="R686" s="17"/>
      <c r="S686" s="17"/>
      <c r="T686" s="25"/>
      <c r="U686" s="9">
        <f t="shared" si="360"/>
        <v>0</v>
      </c>
      <c r="V686" s="9">
        <f t="shared" si="361"/>
        <v>910166</v>
      </c>
      <c r="W686" s="9">
        <f t="shared" si="362"/>
        <v>0</v>
      </c>
      <c r="X686" s="9">
        <f t="shared" si="363"/>
        <v>910166</v>
      </c>
      <c r="Y686" s="8"/>
      <c r="Z686" s="9">
        <f t="shared" si="364"/>
        <v>0</v>
      </c>
      <c r="AA686" s="8">
        <f t="shared" si="365"/>
        <v>910166</v>
      </c>
      <c r="AB686" s="8">
        <f t="shared" si="366"/>
        <v>0</v>
      </c>
    </row>
    <row r="687" spans="1:28" x14ac:dyDescent="0.3">
      <c r="A687" s="64"/>
      <c r="B687" s="8"/>
      <c r="C687" s="7" t="s">
        <v>569</v>
      </c>
      <c r="D687" s="8"/>
      <c r="E687" s="9">
        <v>2856830</v>
      </c>
      <c r="F687" s="9">
        <v>2856830</v>
      </c>
      <c r="G687" s="8"/>
      <c r="H687" s="9">
        <f t="shared" si="358"/>
        <v>2856830</v>
      </c>
      <c r="I687" s="8"/>
      <c r="J687" s="9">
        <f t="shared" si="359"/>
        <v>2856830</v>
      </c>
      <c r="K687" s="8"/>
      <c r="L687" s="8"/>
      <c r="M687" s="9">
        <f t="shared" si="367"/>
        <v>2856830</v>
      </c>
      <c r="N687" s="8"/>
      <c r="O687" s="9"/>
      <c r="P687" s="9">
        <f t="shared" si="368"/>
        <v>0</v>
      </c>
      <c r="Q687" s="9"/>
      <c r="R687" s="17"/>
      <c r="S687" s="17"/>
      <c r="T687" s="25"/>
      <c r="U687" s="9">
        <f t="shared" si="360"/>
        <v>0</v>
      </c>
      <c r="V687" s="9">
        <f t="shared" si="361"/>
        <v>2856830</v>
      </c>
      <c r="W687" s="9">
        <f t="shared" si="362"/>
        <v>0</v>
      </c>
      <c r="X687" s="9">
        <f t="shared" si="363"/>
        <v>2856830</v>
      </c>
      <c r="Y687" s="8"/>
      <c r="Z687" s="9">
        <f t="shared" si="364"/>
        <v>0</v>
      </c>
      <c r="AA687" s="8">
        <f t="shared" si="365"/>
        <v>2856830</v>
      </c>
      <c r="AB687" s="8">
        <f t="shared" si="366"/>
        <v>0</v>
      </c>
    </row>
    <row r="688" spans="1:28" x14ac:dyDescent="0.3">
      <c r="A688" s="64"/>
      <c r="B688" s="8"/>
      <c r="C688" s="7" t="s">
        <v>551</v>
      </c>
      <c r="D688" s="8"/>
      <c r="E688" s="9">
        <v>2135635.4300000002</v>
      </c>
      <c r="F688" s="9">
        <v>2135635.4300000002</v>
      </c>
      <c r="G688" s="8"/>
      <c r="H688" s="9">
        <f t="shared" si="358"/>
        <v>2135635.4300000002</v>
      </c>
      <c r="I688" s="8"/>
      <c r="J688" s="9">
        <f t="shared" si="359"/>
        <v>2135635.4300000002</v>
      </c>
      <c r="K688" s="8"/>
      <c r="L688" s="8"/>
      <c r="M688" s="9">
        <f t="shared" si="367"/>
        <v>2135635.4300000002</v>
      </c>
      <c r="N688" s="8"/>
      <c r="O688" s="9"/>
      <c r="P688" s="9">
        <f t="shared" si="368"/>
        <v>0</v>
      </c>
      <c r="Q688" s="9"/>
      <c r="R688" s="17"/>
      <c r="S688" s="17"/>
      <c r="T688" s="25"/>
      <c r="U688" s="9">
        <f t="shared" si="360"/>
        <v>0</v>
      </c>
      <c r="V688" s="9">
        <f t="shared" si="361"/>
        <v>2135635.4300000002</v>
      </c>
      <c r="W688" s="9">
        <f t="shared" si="362"/>
        <v>0</v>
      </c>
      <c r="X688" s="9">
        <f t="shared" si="363"/>
        <v>2135635.4300000002</v>
      </c>
      <c r="Y688" s="8"/>
      <c r="Z688" s="9">
        <f t="shared" si="364"/>
        <v>0</v>
      </c>
      <c r="AA688" s="8">
        <f t="shared" si="365"/>
        <v>2135635.4300000002</v>
      </c>
      <c r="AB688" s="8">
        <f t="shared" si="366"/>
        <v>0</v>
      </c>
    </row>
    <row r="689" spans="1:28" x14ac:dyDescent="0.3">
      <c r="A689" s="64"/>
      <c r="B689" s="8"/>
      <c r="C689" s="7" t="s">
        <v>606</v>
      </c>
      <c r="D689" s="8"/>
      <c r="E689" s="9">
        <f>2500000+2500000-2500000+2500000</f>
        <v>5000000</v>
      </c>
      <c r="F689" s="9">
        <f>5000000-2500000+2500000</f>
        <v>5000000</v>
      </c>
      <c r="G689" s="9"/>
      <c r="H689" s="9">
        <f t="shared" si="358"/>
        <v>5000000</v>
      </c>
      <c r="I689" s="9">
        <v>0</v>
      </c>
      <c r="J689" s="9">
        <f t="shared" si="359"/>
        <v>5000000</v>
      </c>
      <c r="K689" s="8"/>
      <c r="L689" s="8"/>
      <c r="M689" s="9">
        <f t="shared" si="367"/>
        <v>5000000</v>
      </c>
      <c r="N689" s="8"/>
      <c r="O689" s="9"/>
      <c r="P689" s="9">
        <f t="shared" si="368"/>
        <v>0</v>
      </c>
      <c r="Q689" s="9"/>
      <c r="R689" s="17"/>
      <c r="S689" s="17"/>
      <c r="T689" s="25"/>
      <c r="U689" s="9">
        <f t="shared" si="360"/>
        <v>0</v>
      </c>
      <c r="V689" s="9">
        <f t="shared" si="361"/>
        <v>5000000</v>
      </c>
      <c r="W689" s="9">
        <f t="shared" si="362"/>
        <v>0</v>
      </c>
      <c r="X689" s="9">
        <f t="shared" si="363"/>
        <v>5000000</v>
      </c>
      <c r="Y689" s="8"/>
      <c r="Z689" s="9">
        <f t="shared" si="364"/>
        <v>0</v>
      </c>
      <c r="AA689" s="8">
        <f t="shared" si="365"/>
        <v>5000000</v>
      </c>
      <c r="AB689" s="8">
        <f t="shared" si="366"/>
        <v>0</v>
      </c>
    </row>
    <row r="690" spans="1:28" x14ac:dyDescent="0.3">
      <c r="A690" s="64"/>
      <c r="B690" s="8"/>
      <c r="C690" s="8"/>
      <c r="D690" s="8"/>
      <c r="E690" s="17" t="s">
        <v>29</v>
      </c>
      <c r="F690" s="17" t="s">
        <v>29</v>
      </c>
      <c r="G690" s="17" t="s">
        <v>29</v>
      </c>
      <c r="H690" s="17" t="s">
        <v>29</v>
      </c>
      <c r="I690" s="17" t="s">
        <v>29</v>
      </c>
      <c r="J690" s="17" t="s">
        <v>29</v>
      </c>
      <c r="K690" s="17" t="s">
        <v>29</v>
      </c>
      <c r="L690" s="17" t="s">
        <v>29</v>
      </c>
      <c r="M690" s="17" t="s">
        <v>29</v>
      </c>
      <c r="N690" s="17" t="s">
        <v>29</v>
      </c>
      <c r="O690" s="17" t="s">
        <v>29</v>
      </c>
      <c r="P690" s="17" t="s">
        <v>29</v>
      </c>
      <c r="Q690" s="17" t="s">
        <v>29</v>
      </c>
      <c r="R690" s="17" t="s">
        <v>29</v>
      </c>
      <c r="S690" s="17" t="s">
        <v>29</v>
      </c>
      <c r="T690" s="17" t="s">
        <v>29</v>
      </c>
      <c r="U690" s="17" t="s">
        <v>29</v>
      </c>
      <c r="V690" s="17" t="s">
        <v>29</v>
      </c>
      <c r="W690" s="17" t="s">
        <v>29</v>
      </c>
      <c r="X690" s="17" t="s">
        <v>29</v>
      </c>
      <c r="Y690" s="17" t="s">
        <v>29</v>
      </c>
      <c r="Z690" s="17" t="s">
        <v>29</v>
      </c>
      <c r="AA690" s="17" t="s">
        <v>29</v>
      </c>
      <c r="AB690" s="17" t="s">
        <v>29</v>
      </c>
    </row>
    <row r="691" spans="1:28" x14ac:dyDescent="0.3">
      <c r="A691" s="64"/>
      <c r="B691" s="8"/>
      <c r="C691" s="8"/>
      <c r="D691" s="8"/>
      <c r="E691" s="9">
        <f t="shared" ref="E691:Q691" si="369">SUM(E664:E690)</f>
        <v>73079407.159999996</v>
      </c>
      <c r="F691" s="9">
        <f t="shared" si="369"/>
        <v>63025196.209999993</v>
      </c>
      <c r="G691" s="9">
        <f t="shared" si="369"/>
        <v>1881642.2</v>
      </c>
      <c r="H691" s="9">
        <f t="shared" si="369"/>
        <v>64906838.409999996</v>
      </c>
      <c r="I691" s="9">
        <f t="shared" si="369"/>
        <v>4051583.17</v>
      </c>
      <c r="J691" s="9">
        <f t="shared" si="369"/>
        <v>63977624.189999998</v>
      </c>
      <c r="K691" s="9">
        <f t="shared" si="369"/>
        <v>4120985.58</v>
      </c>
      <c r="L691" s="9">
        <f t="shared" si="369"/>
        <v>4051583.17</v>
      </c>
      <c r="M691" s="9">
        <f t="shared" si="369"/>
        <v>68958421.579999998</v>
      </c>
      <c r="N691" s="9">
        <f t="shared" si="369"/>
        <v>4120985.58</v>
      </c>
      <c r="O691" s="9">
        <f t="shared" si="369"/>
        <v>0</v>
      </c>
      <c r="P691" s="9">
        <f t="shared" si="369"/>
        <v>4120985.58</v>
      </c>
      <c r="Q691" s="9">
        <f t="shared" si="369"/>
        <v>0</v>
      </c>
      <c r="R691" s="17"/>
      <c r="S691" s="17"/>
      <c r="T691" s="9">
        <f t="shared" ref="T691:Z691" si="370">SUM(T664:T690)</f>
        <v>0</v>
      </c>
      <c r="U691" s="9">
        <f t="shared" si="370"/>
        <v>4120985.58</v>
      </c>
      <c r="V691" s="9">
        <f t="shared" si="370"/>
        <v>64047026.600000001</v>
      </c>
      <c r="W691" s="9">
        <f t="shared" si="370"/>
        <v>4051583.17</v>
      </c>
      <c r="X691" s="9">
        <f t="shared" si="370"/>
        <v>69027823.99000001</v>
      </c>
      <c r="Y691" s="9">
        <f t="shared" si="370"/>
        <v>0</v>
      </c>
      <c r="Z691" s="9">
        <f t="shared" si="370"/>
        <v>4051583.17</v>
      </c>
      <c r="AA691" s="9">
        <f>SUM(AA664:AA690)</f>
        <v>73079407.160000011</v>
      </c>
      <c r="AB691" s="9">
        <f>SUM(AB664:AB690)</f>
        <v>0</v>
      </c>
    </row>
    <row r="692" spans="1:28" x14ac:dyDescent="0.3">
      <c r="A692" s="64"/>
      <c r="B692" s="8"/>
      <c r="C692" s="8"/>
      <c r="D692" s="8"/>
      <c r="E692" s="17" t="s">
        <v>29</v>
      </c>
      <c r="F692" s="17" t="s">
        <v>29</v>
      </c>
      <c r="G692" s="17" t="s">
        <v>29</v>
      </c>
      <c r="H692" s="17" t="s">
        <v>29</v>
      </c>
      <c r="I692" s="17" t="s">
        <v>29</v>
      </c>
      <c r="J692" s="17" t="s">
        <v>29</v>
      </c>
      <c r="K692" s="17" t="s">
        <v>29</v>
      </c>
      <c r="L692" s="17" t="s">
        <v>29</v>
      </c>
      <c r="M692" s="17" t="s">
        <v>29</v>
      </c>
      <c r="N692" s="17" t="s">
        <v>29</v>
      </c>
      <c r="O692" s="17" t="s">
        <v>29</v>
      </c>
      <c r="P692" s="17" t="s">
        <v>29</v>
      </c>
      <c r="Q692" s="17" t="s">
        <v>29</v>
      </c>
      <c r="R692" s="17" t="s">
        <v>29</v>
      </c>
      <c r="S692" s="17" t="s">
        <v>29</v>
      </c>
      <c r="T692" s="17" t="s">
        <v>29</v>
      </c>
      <c r="U692" s="17" t="s">
        <v>29</v>
      </c>
      <c r="V692" s="17" t="s">
        <v>29</v>
      </c>
      <c r="W692" s="17" t="s">
        <v>29</v>
      </c>
      <c r="X692" s="17" t="s">
        <v>29</v>
      </c>
      <c r="Y692" s="17" t="s">
        <v>29</v>
      </c>
      <c r="Z692" s="17" t="s">
        <v>29</v>
      </c>
      <c r="AA692" s="17" t="s">
        <v>29</v>
      </c>
      <c r="AB692" s="17" t="s">
        <v>29</v>
      </c>
    </row>
    <row r="693" spans="1:28" x14ac:dyDescent="0.3">
      <c r="A693" s="63" t="s">
        <v>970</v>
      </c>
      <c r="B693" s="7" t="s">
        <v>607</v>
      </c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17"/>
      <c r="S693" s="17"/>
      <c r="T693" s="17"/>
      <c r="U693" s="17"/>
      <c r="V693" s="17"/>
      <c r="W693" s="17"/>
      <c r="X693" s="17"/>
      <c r="Y693" s="17"/>
      <c r="Z693" s="17"/>
      <c r="AA693" s="58"/>
    </row>
    <row r="694" spans="1:28" x14ac:dyDescent="0.3">
      <c r="A694" s="64"/>
      <c r="B694" s="8"/>
      <c r="C694" s="7" t="s">
        <v>608</v>
      </c>
      <c r="D694" s="15" t="s">
        <v>76</v>
      </c>
      <c r="E694" s="9">
        <v>3228382.77</v>
      </c>
      <c r="F694" s="9">
        <f>2949640.87+257408</f>
        <v>3207048.87</v>
      </c>
      <c r="G694" s="8"/>
      <c r="H694" s="9">
        <f t="shared" ref="H694:H712" si="371">F694+G694</f>
        <v>3207048.87</v>
      </c>
      <c r="I694" s="8"/>
      <c r="J694" s="9">
        <f t="shared" ref="J694:J712" si="372">H694+I694</f>
        <v>3207048.87</v>
      </c>
      <c r="K694" s="9">
        <f>33375.6-443.18-11598.52</f>
        <v>21333.899999999998</v>
      </c>
      <c r="L694" s="8"/>
      <c r="M694" s="9">
        <f>+H694+L694</f>
        <v>3207048.87</v>
      </c>
      <c r="N694" s="8">
        <v>21333.9</v>
      </c>
      <c r="O694" s="9"/>
      <c r="P694" s="9">
        <f>+N694+O694</f>
        <v>21333.9</v>
      </c>
      <c r="Q694" s="9">
        <f t="shared" ref="Q694:Q712" si="373">E694-P694</f>
        <v>3207048.87</v>
      </c>
      <c r="R694" s="17"/>
      <c r="S694" s="17"/>
      <c r="T694" s="17"/>
      <c r="U694" s="9">
        <f t="shared" ref="U694:U712" si="374">P694+T694</f>
        <v>21333.9</v>
      </c>
      <c r="V694" s="9">
        <f t="shared" ref="V694:V712" si="375">P694+H694</f>
        <v>3228382.77</v>
      </c>
      <c r="W694" s="9">
        <f t="shared" ref="W694:W712" si="376">E694-V694</f>
        <v>0</v>
      </c>
      <c r="X694" s="9">
        <f t="shared" ref="X694:X712" si="377">+H694+P694</f>
        <v>3228382.77</v>
      </c>
      <c r="Y694" s="8"/>
      <c r="Z694" s="9">
        <f t="shared" ref="Z694:Z712" si="378">+E694-X694</f>
        <v>0</v>
      </c>
      <c r="AA694" s="8">
        <f t="shared" ref="AA694:AA712" si="379">+M694+U694</f>
        <v>3228382.77</v>
      </c>
      <c r="AB694" s="8">
        <f t="shared" ref="AB694:AB712" si="380">+E694-AA694</f>
        <v>0</v>
      </c>
    </row>
    <row r="695" spans="1:28" x14ac:dyDescent="0.3">
      <c r="A695" s="64"/>
      <c r="B695" s="8"/>
      <c r="C695" s="7" t="s">
        <v>608</v>
      </c>
      <c r="D695" s="15" t="s">
        <v>150</v>
      </c>
      <c r="E695" s="9">
        <v>5997000</v>
      </c>
      <c r="F695" s="9">
        <v>5997000</v>
      </c>
      <c r="G695" s="8"/>
      <c r="H695" s="9">
        <f t="shared" si="371"/>
        <v>5997000</v>
      </c>
      <c r="I695" s="8"/>
      <c r="J695" s="9">
        <f t="shared" si="372"/>
        <v>5997000</v>
      </c>
      <c r="K695" s="8"/>
      <c r="L695" s="8"/>
      <c r="M695" s="9">
        <f t="shared" ref="M695:M712" si="381">+H695+L695</f>
        <v>5997000</v>
      </c>
      <c r="N695" s="8"/>
      <c r="O695" s="9"/>
      <c r="P695" s="9">
        <f t="shared" ref="P695:P712" si="382">+N695+O695</f>
        <v>0</v>
      </c>
      <c r="Q695" s="9">
        <f t="shared" si="373"/>
        <v>5997000</v>
      </c>
      <c r="R695" s="17"/>
      <c r="S695" s="17"/>
      <c r="T695" s="17"/>
      <c r="U695" s="9">
        <f t="shared" si="374"/>
        <v>0</v>
      </c>
      <c r="V695" s="9">
        <f t="shared" si="375"/>
        <v>5997000</v>
      </c>
      <c r="W695" s="9">
        <f t="shared" si="376"/>
        <v>0</v>
      </c>
      <c r="X695" s="9">
        <f t="shared" si="377"/>
        <v>5997000</v>
      </c>
      <c r="Y695" s="8"/>
      <c r="Z695" s="9">
        <f t="shared" si="378"/>
        <v>0</v>
      </c>
      <c r="AA695" s="8">
        <f t="shared" si="379"/>
        <v>5997000</v>
      </c>
      <c r="AB695" s="8">
        <f t="shared" si="380"/>
        <v>0</v>
      </c>
    </row>
    <row r="696" spans="1:28" x14ac:dyDescent="0.3">
      <c r="A696" s="64"/>
      <c r="B696" s="8"/>
      <c r="C696" s="7" t="s">
        <v>609</v>
      </c>
      <c r="D696" s="15" t="s">
        <v>166</v>
      </c>
      <c r="E696" s="9">
        <v>2832536.64</v>
      </c>
      <c r="F696" s="9">
        <v>2820938.12</v>
      </c>
      <c r="G696" s="8"/>
      <c r="H696" s="9">
        <f t="shared" si="371"/>
        <v>2820938.12</v>
      </c>
      <c r="I696" s="8"/>
      <c r="J696" s="9">
        <f t="shared" si="372"/>
        <v>2820938.12</v>
      </c>
      <c r="K696" s="9">
        <v>11598.52</v>
      </c>
      <c r="L696" s="8"/>
      <c r="M696" s="9">
        <f t="shared" si="381"/>
        <v>2820938.12</v>
      </c>
      <c r="N696" s="8">
        <v>11598.52</v>
      </c>
      <c r="O696" s="9"/>
      <c r="P696" s="9">
        <f t="shared" si="382"/>
        <v>11598.52</v>
      </c>
      <c r="Q696" s="9">
        <f t="shared" si="373"/>
        <v>2820938.12</v>
      </c>
      <c r="R696" s="17"/>
      <c r="S696" s="17"/>
      <c r="T696" s="17"/>
      <c r="U696" s="9">
        <f t="shared" si="374"/>
        <v>11598.52</v>
      </c>
      <c r="V696" s="9">
        <f t="shared" si="375"/>
        <v>2832536.64</v>
      </c>
      <c r="W696" s="9">
        <f t="shared" si="376"/>
        <v>0</v>
      </c>
      <c r="X696" s="9">
        <f t="shared" si="377"/>
        <v>2832536.64</v>
      </c>
      <c r="Y696" s="8"/>
      <c r="Z696" s="9">
        <f t="shared" si="378"/>
        <v>0</v>
      </c>
      <c r="AA696" s="8">
        <f t="shared" si="379"/>
        <v>2832536.64</v>
      </c>
      <c r="AB696" s="8">
        <f t="shared" si="380"/>
        <v>0</v>
      </c>
    </row>
    <row r="697" spans="1:28" x14ac:dyDescent="0.3">
      <c r="A697" s="64"/>
      <c r="B697" s="8"/>
      <c r="C697" s="7" t="s">
        <v>610</v>
      </c>
      <c r="D697" s="15" t="s">
        <v>166</v>
      </c>
      <c r="E697" s="9">
        <v>3459000</v>
      </c>
      <c r="F697" s="9">
        <v>3458556.82</v>
      </c>
      <c r="G697" s="8"/>
      <c r="H697" s="9">
        <f t="shared" si="371"/>
        <v>3458556.82</v>
      </c>
      <c r="I697" s="8"/>
      <c r="J697" s="9">
        <f t="shared" si="372"/>
        <v>3458556.82</v>
      </c>
      <c r="K697" s="9">
        <v>443.18</v>
      </c>
      <c r="L697" s="8"/>
      <c r="M697" s="9">
        <f t="shared" si="381"/>
        <v>3458556.82</v>
      </c>
      <c r="N697" s="8">
        <v>443.18</v>
      </c>
      <c r="O697" s="9"/>
      <c r="P697" s="9">
        <f t="shared" si="382"/>
        <v>443.18</v>
      </c>
      <c r="Q697" s="9">
        <f t="shared" si="373"/>
        <v>3458556.82</v>
      </c>
      <c r="R697" s="17"/>
      <c r="S697" s="17"/>
      <c r="T697" s="17"/>
      <c r="U697" s="9">
        <f t="shared" si="374"/>
        <v>443.18</v>
      </c>
      <c r="V697" s="9">
        <f t="shared" si="375"/>
        <v>3459000</v>
      </c>
      <c r="W697" s="9">
        <f t="shared" si="376"/>
        <v>0</v>
      </c>
      <c r="X697" s="9">
        <f t="shared" si="377"/>
        <v>3459000</v>
      </c>
      <c r="Y697" s="8"/>
      <c r="Z697" s="9">
        <f t="shared" si="378"/>
        <v>0</v>
      </c>
      <c r="AA697" s="8">
        <f t="shared" si="379"/>
        <v>3459000</v>
      </c>
      <c r="AB697" s="8">
        <f t="shared" si="380"/>
        <v>0</v>
      </c>
    </row>
    <row r="698" spans="1:28" x14ac:dyDescent="0.3">
      <c r="A698" s="64"/>
      <c r="B698" s="8"/>
      <c r="C698" s="7" t="s">
        <v>539</v>
      </c>
      <c r="D698" s="15" t="s">
        <v>68</v>
      </c>
      <c r="E698" s="9">
        <f>99021.12+969686.08+385358.4</f>
        <v>1454065.6</v>
      </c>
      <c r="F698" s="8"/>
      <c r="G698" s="8"/>
      <c r="H698" s="9">
        <f t="shared" si="371"/>
        <v>0</v>
      </c>
      <c r="I698" s="8"/>
      <c r="J698" s="9">
        <f t="shared" si="372"/>
        <v>0</v>
      </c>
      <c r="K698" s="9">
        <f>99021.12+969686.08+385358.4</f>
        <v>1454065.6</v>
      </c>
      <c r="L698" s="8"/>
      <c r="M698" s="9">
        <f t="shared" si="381"/>
        <v>0</v>
      </c>
      <c r="N698" s="8">
        <v>1454065.6</v>
      </c>
      <c r="O698" s="9"/>
      <c r="P698" s="9">
        <f t="shared" si="382"/>
        <v>1454065.6</v>
      </c>
      <c r="Q698" s="9">
        <f t="shared" si="373"/>
        <v>0</v>
      </c>
      <c r="R698" s="17"/>
      <c r="S698" s="17"/>
      <c r="T698" s="17"/>
      <c r="U698" s="9">
        <f t="shared" si="374"/>
        <v>1454065.6</v>
      </c>
      <c r="V698" s="9">
        <f t="shared" si="375"/>
        <v>1454065.6</v>
      </c>
      <c r="W698" s="9">
        <f t="shared" si="376"/>
        <v>0</v>
      </c>
      <c r="X698" s="9">
        <f t="shared" si="377"/>
        <v>1454065.6</v>
      </c>
      <c r="Y698" s="8"/>
      <c r="Z698" s="9">
        <f t="shared" si="378"/>
        <v>0</v>
      </c>
      <c r="AA698" s="8">
        <f t="shared" si="379"/>
        <v>1454065.6</v>
      </c>
      <c r="AB698" s="8">
        <f t="shared" si="380"/>
        <v>0</v>
      </c>
    </row>
    <row r="699" spans="1:28" x14ac:dyDescent="0.3">
      <c r="A699" s="64"/>
      <c r="B699" s="8"/>
      <c r="C699" s="7" t="s">
        <v>535</v>
      </c>
      <c r="D699" s="15" t="s">
        <v>68</v>
      </c>
      <c r="E699" s="9">
        <f>1913300-1849861.67</f>
        <v>63438.330000000075</v>
      </c>
      <c r="F699" s="8"/>
      <c r="G699" s="8"/>
      <c r="H699" s="9">
        <f t="shared" si="371"/>
        <v>0</v>
      </c>
      <c r="I699" s="8"/>
      <c r="J699" s="9">
        <f t="shared" si="372"/>
        <v>0</v>
      </c>
      <c r="K699" s="9">
        <f>14088.32+49348.79+1.22</f>
        <v>63438.33</v>
      </c>
      <c r="L699" s="8"/>
      <c r="M699" s="9">
        <f t="shared" si="381"/>
        <v>0</v>
      </c>
      <c r="N699" s="8">
        <v>63438.33</v>
      </c>
      <c r="O699" s="9"/>
      <c r="P699" s="9">
        <f t="shared" si="382"/>
        <v>63438.33</v>
      </c>
      <c r="Q699" s="9">
        <f t="shared" si="373"/>
        <v>7.2759576141834259E-11</v>
      </c>
      <c r="R699" s="17"/>
      <c r="S699" s="17"/>
      <c r="T699" s="17"/>
      <c r="U699" s="9">
        <f t="shared" si="374"/>
        <v>63438.33</v>
      </c>
      <c r="V699" s="9">
        <f t="shared" si="375"/>
        <v>63438.33</v>
      </c>
      <c r="W699" s="9">
        <f t="shared" si="376"/>
        <v>7.2759576141834259E-11</v>
      </c>
      <c r="X699" s="9">
        <f t="shared" si="377"/>
        <v>63438.33</v>
      </c>
      <c r="Y699" s="8"/>
      <c r="Z699" s="9">
        <f t="shared" si="378"/>
        <v>7.2759576141834259E-11</v>
      </c>
      <c r="AA699" s="8">
        <f t="shared" si="379"/>
        <v>63438.33</v>
      </c>
      <c r="AB699" s="8">
        <f t="shared" si="380"/>
        <v>7.2759576141834259E-11</v>
      </c>
    </row>
    <row r="700" spans="1:28" x14ac:dyDescent="0.3">
      <c r="A700" s="64"/>
      <c r="B700" s="8"/>
      <c r="C700" s="7" t="s">
        <v>600</v>
      </c>
      <c r="D700" s="15" t="s">
        <v>54</v>
      </c>
      <c r="E700" s="9">
        <v>543875</v>
      </c>
      <c r="F700" s="9">
        <v>543875</v>
      </c>
      <c r="G700" s="8"/>
      <c r="H700" s="9">
        <f t="shared" si="371"/>
        <v>543875</v>
      </c>
      <c r="I700" s="8"/>
      <c r="J700" s="9">
        <f t="shared" si="372"/>
        <v>543875</v>
      </c>
      <c r="K700" s="8"/>
      <c r="L700" s="8"/>
      <c r="M700" s="9">
        <f t="shared" si="381"/>
        <v>543875</v>
      </c>
      <c r="N700" s="8"/>
      <c r="O700" s="9"/>
      <c r="P700" s="9">
        <f t="shared" si="382"/>
        <v>0</v>
      </c>
      <c r="Q700" s="9">
        <f t="shared" si="373"/>
        <v>543875</v>
      </c>
      <c r="R700" s="17"/>
      <c r="S700" s="17"/>
      <c r="T700" s="17"/>
      <c r="U700" s="9">
        <f t="shared" si="374"/>
        <v>0</v>
      </c>
      <c r="V700" s="9">
        <f t="shared" si="375"/>
        <v>543875</v>
      </c>
      <c r="W700" s="9">
        <f t="shared" si="376"/>
        <v>0</v>
      </c>
      <c r="X700" s="9">
        <f t="shared" si="377"/>
        <v>543875</v>
      </c>
      <c r="Y700" s="8"/>
      <c r="Z700" s="9">
        <f t="shared" si="378"/>
        <v>0</v>
      </c>
      <c r="AA700" s="8">
        <f t="shared" si="379"/>
        <v>543875</v>
      </c>
      <c r="AB700" s="8">
        <f t="shared" si="380"/>
        <v>0</v>
      </c>
    </row>
    <row r="701" spans="1:28" x14ac:dyDescent="0.3">
      <c r="A701" s="64"/>
      <c r="B701" s="8"/>
      <c r="C701" s="7" t="s">
        <v>611</v>
      </c>
      <c r="D701" s="15" t="s">
        <v>54</v>
      </c>
      <c r="E701" s="9">
        <f>500000-25000</f>
        <v>475000</v>
      </c>
      <c r="F701" s="9">
        <v>475000</v>
      </c>
      <c r="G701" s="8"/>
      <c r="H701" s="9">
        <f t="shared" si="371"/>
        <v>475000</v>
      </c>
      <c r="I701" s="8"/>
      <c r="J701" s="9">
        <f t="shared" si="372"/>
        <v>475000</v>
      </c>
      <c r="K701" s="8"/>
      <c r="L701" s="8"/>
      <c r="M701" s="9">
        <f t="shared" si="381"/>
        <v>475000</v>
      </c>
      <c r="N701" s="8"/>
      <c r="O701" s="9"/>
      <c r="P701" s="9">
        <f t="shared" si="382"/>
        <v>0</v>
      </c>
      <c r="Q701" s="9">
        <f t="shared" si="373"/>
        <v>475000</v>
      </c>
      <c r="R701" s="17"/>
      <c r="S701" s="17"/>
      <c r="T701" s="17"/>
      <c r="U701" s="9">
        <f t="shared" si="374"/>
        <v>0</v>
      </c>
      <c r="V701" s="9">
        <f t="shared" si="375"/>
        <v>475000</v>
      </c>
      <c r="W701" s="9">
        <f t="shared" si="376"/>
        <v>0</v>
      </c>
      <c r="X701" s="9">
        <f t="shared" si="377"/>
        <v>475000</v>
      </c>
      <c r="Y701" s="8"/>
      <c r="Z701" s="9">
        <f t="shared" si="378"/>
        <v>0</v>
      </c>
      <c r="AA701" s="8">
        <f t="shared" si="379"/>
        <v>475000</v>
      </c>
      <c r="AB701" s="8">
        <f t="shared" si="380"/>
        <v>0</v>
      </c>
    </row>
    <row r="702" spans="1:28" x14ac:dyDescent="0.3">
      <c r="A702" s="64"/>
      <c r="B702" s="8"/>
      <c r="C702" s="7" t="s">
        <v>545</v>
      </c>
      <c r="D702" s="15" t="s">
        <v>54</v>
      </c>
      <c r="E702" s="9">
        <v>1767770</v>
      </c>
      <c r="F702" s="8"/>
      <c r="G702" s="8"/>
      <c r="H702" s="9">
        <f t="shared" si="371"/>
        <v>0</v>
      </c>
      <c r="I702" s="8"/>
      <c r="J702" s="9">
        <f t="shared" si="372"/>
        <v>0</v>
      </c>
      <c r="K702" s="9">
        <v>1767770</v>
      </c>
      <c r="L702" s="8"/>
      <c r="M702" s="9">
        <f t="shared" si="381"/>
        <v>0</v>
      </c>
      <c r="N702" s="8">
        <v>1767770</v>
      </c>
      <c r="O702" s="9"/>
      <c r="P702" s="9">
        <f t="shared" si="382"/>
        <v>1767770</v>
      </c>
      <c r="Q702" s="9">
        <f t="shared" si="373"/>
        <v>0</v>
      </c>
      <c r="R702" s="17"/>
      <c r="S702" s="17"/>
      <c r="T702" s="17"/>
      <c r="U702" s="9">
        <f t="shared" si="374"/>
        <v>1767770</v>
      </c>
      <c r="V702" s="9">
        <f t="shared" si="375"/>
        <v>1767770</v>
      </c>
      <c r="W702" s="9">
        <f t="shared" si="376"/>
        <v>0</v>
      </c>
      <c r="X702" s="9">
        <f t="shared" si="377"/>
        <v>1767770</v>
      </c>
      <c r="Y702" s="8"/>
      <c r="Z702" s="9">
        <f t="shared" si="378"/>
        <v>0</v>
      </c>
      <c r="AA702" s="8">
        <f t="shared" si="379"/>
        <v>1767770</v>
      </c>
      <c r="AB702" s="8">
        <f t="shared" si="380"/>
        <v>0</v>
      </c>
    </row>
    <row r="703" spans="1:28" x14ac:dyDescent="0.3">
      <c r="A703" s="64"/>
      <c r="B703" s="8"/>
      <c r="C703" s="7" t="s">
        <v>535</v>
      </c>
      <c r="D703" s="15" t="s">
        <v>85</v>
      </c>
      <c r="E703" s="9">
        <f>1139000-113900</f>
        <v>1025100</v>
      </c>
      <c r="F703" s="9">
        <v>1025100</v>
      </c>
      <c r="G703" s="8"/>
      <c r="H703" s="9">
        <f t="shared" si="371"/>
        <v>1025100</v>
      </c>
      <c r="I703" s="8"/>
      <c r="J703" s="9">
        <f t="shared" si="372"/>
        <v>1025100</v>
      </c>
      <c r="K703" s="8"/>
      <c r="L703" s="8"/>
      <c r="M703" s="9">
        <f t="shared" si="381"/>
        <v>1025100</v>
      </c>
      <c r="N703" s="8"/>
      <c r="O703" s="9"/>
      <c r="P703" s="9">
        <f t="shared" si="382"/>
        <v>0</v>
      </c>
      <c r="Q703" s="9">
        <f t="shared" si="373"/>
        <v>1025100</v>
      </c>
      <c r="R703" s="17"/>
      <c r="S703" s="17"/>
      <c r="T703" s="17"/>
      <c r="U703" s="9">
        <f t="shared" si="374"/>
        <v>0</v>
      </c>
      <c r="V703" s="9">
        <f t="shared" si="375"/>
        <v>1025100</v>
      </c>
      <c r="W703" s="9">
        <f t="shared" si="376"/>
        <v>0</v>
      </c>
      <c r="X703" s="9">
        <f t="shared" si="377"/>
        <v>1025100</v>
      </c>
      <c r="Y703" s="8"/>
      <c r="Z703" s="9">
        <f t="shared" si="378"/>
        <v>0</v>
      </c>
      <c r="AA703" s="8">
        <f t="shared" si="379"/>
        <v>1025100</v>
      </c>
      <c r="AB703" s="8">
        <f t="shared" si="380"/>
        <v>0</v>
      </c>
    </row>
    <row r="704" spans="1:28" x14ac:dyDescent="0.3">
      <c r="A704" s="64"/>
      <c r="B704" s="8"/>
      <c r="C704" s="7" t="s">
        <v>612</v>
      </c>
      <c r="D704" s="15" t="s">
        <v>85</v>
      </c>
      <c r="E704" s="9">
        <v>3010353</v>
      </c>
      <c r="F704" s="9">
        <f>2000000+140599.2+809497+60256.8</f>
        <v>3010353</v>
      </c>
      <c r="G704" s="8"/>
      <c r="H704" s="9">
        <f t="shared" si="371"/>
        <v>3010353</v>
      </c>
      <c r="I704" s="8"/>
      <c r="J704" s="9">
        <f t="shared" si="372"/>
        <v>3010353</v>
      </c>
      <c r="K704" s="8"/>
      <c r="L704" s="8"/>
      <c r="M704" s="9">
        <f t="shared" si="381"/>
        <v>3010353</v>
      </c>
      <c r="N704" s="8"/>
      <c r="O704" s="9"/>
      <c r="P704" s="9">
        <f t="shared" si="382"/>
        <v>0</v>
      </c>
      <c r="Q704" s="9">
        <f t="shared" si="373"/>
        <v>3010353</v>
      </c>
      <c r="R704" s="17"/>
      <c r="S704" s="17"/>
      <c r="T704" s="17"/>
      <c r="U704" s="9">
        <f t="shared" si="374"/>
        <v>0</v>
      </c>
      <c r="V704" s="9">
        <f t="shared" si="375"/>
        <v>3010353</v>
      </c>
      <c r="W704" s="9">
        <f t="shared" si="376"/>
        <v>0</v>
      </c>
      <c r="X704" s="9">
        <f t="shared" si="377"/>
        <v>3010353</v>
      </c>
      <c r="Y704" s="8"/>
      <c r="Z704" s="9">
        <f t="shared" si="378"/>
        <v>0</v>
      </c>
      <c r="AA704" s="8">
        <f t="shared" si="379"/>
        <v>3010353</v>
      </c>
      <c r="AB704" s="8">
        <f t="shared" si="380"/>
        <v>0</v>
      </c>
    </row>
    <row r="705" spans="1:28" x14ac:dyDescent="0.3">
      <c r="A705" s="64"/>
      <c r="B705" s="8"/>
      <c r="C705" s="7" t="s">
        <v>613</v>
      </c>
      <c r="D705" s="15" t="s">
        <v>85</v>
      </c>
      <c r="E705" s="9">
        <v>160000</v>
      </c>
      <c r="F705" s="8"/>
      <c r="G705" s="8"/>
      <c r="H705" s="9">
        <f t="shared" si="371"/>
        <v>0</v>
      </c>
      <c r="I705" s="8"/>
      <c r="J705" s="9">
        <f t="shared" si="372"/>
        <v>0</v>
      </c>
      <c r="K705" s="8"/>
      <c r="L705" s="8"/>
      <c r="M705" s="9">
        <f t="shared" si="381"/>
        <v>0</v>
      </c>
      <c r="N705" s="8"/>
      <c r="O705" s="9"/>
      <c r="P705" s="9">
        <f t="shared" si="382"/>
        <v>0</v>
      </c>
      <c r="Q705" s="9">
        <f t="shared" si="373"/>
        <v>160000</v>
      </c>
      <c r="R705" s="17"/>
      <c r="S705" s="17"/>
      <c r="T705" s="17"/>
      <c r="U705" s="9">
        <f t="shared" si="374"/>
        <v>0</v>
      </c>
      <c r="V705" s="9">
        <f t="shared" si="375"/>
        <v>0</v>
      </c>
      <c r="W705" s="9">
        <f t="shared" si="376"/>
        <v>160000</v>
      </c>
      <c r="X705" s="9">
        <f t="shared" si="377"/>
        <v>0</v>
      </c>
      <c r="Y705" s="8"/>
      <c r="Z705" s="9">
        <f t="shared" si="378"/>
        <v>160000</v>
      </c>
      <c r="AA705" s="8">
        <f t="shared" si="379"/>
        <v>0</v>
      </c>
      <c r="AB705" s="8">
        <f t="shared" si="380"/>
        <v>160000</v>
      </c>
    </row>
    <row r="706" spans="1:28" x14ac:dyDescent="0.3">
      <c r="A706" s="64"/>
      <c r="B706" s="8"/>
      <c r="C706" s="7" t="s">
        <v>566</v>
      </c>
      <c r="D706" s="15" t="s">
        <v>128</v>
      </c>
      <c r="E706" s="9">
        <v>2339100</v>
      </c>
      <c r="F706" s="9">
        <v>2339100</v>
      </c>
      <c r="G706" s="8"/>
      <c r="H706" s="9">
        <f t="shared" si="371"/>
        <v>2339100</v>
      </c>
      <c r="I706" s="8"/>
      <c r="J706" s="9">
        <f t="shared" si="372"/>
        <v>2339100</v>
      </c>
      <c r="K706" s="8"/>
      <c r="L706" s="8"/>
      <c r="M706" s="9">
        <f t="shared" si="381"/>
        <v>2339100</v>
      </c>
      <c r="N706" s="8"/>
      <c r="O706" s="9"/>
      <c r="P706" s="9">
        <f t="shared" si="382"/>
        <v>0</v>
      </c>
      <c r="Q706" s="9">
        <f t="shared" si="373"/>
        <v>2339100</v>
      </c>
      <c r="R706" s="17"/>
      <c r="S706" s="17"/>
      <c r="T706" s="17"/>
      <c r="U706" s="9">
        <f t="shared" si="374"/>
        <v>0</v>
      </c>
      <c r="V706" s="9">
        <f t="shared" si="375"/>
        <v>2339100</v>
      </c>
      <c r="W706" s="9">
        <f t="shared" si="376"/>
        <v>0</v>
      </c>
      <c r="X706" s="9">
        <f t="shared" si="377"/>
        <v>2339100</v>
      </c>
      <c r="Y706" s="8"/>
      <c r="Z706" s="9">
        <f t="shared" si="378"/>
        <v>0</v>
      </c>
      <c r="AA706" s="8">
        <f t="shared" si="379"/>
        <v>2339100</v>
      </c>
      <c r="AB706" s="8">
        <f t="shared" si="380"/>
        <v>0</v>
      </c>
    </row>
    <row r="707" spans="1:28" x14ac:dyDescent="0.3">
      <c r="A707" s="64"/>
      <c r="B707" s="8"/>
      <c r="C707" s="7" t="s">
        <v>535</v>
      </c>
      <c r="D707" s="15" t="s">
        <v>108</v>
      </c>
      <c r="E707" s="9">
        <v>2368500</v>
      </c>
      <c r="F707" s="9">
        <v>2368500</v>
      </c>
      <c r="G707" s="8"/>
      <c r="H707" s="9">
        <f t="shared" si="371"/>
        <v>2368500</v>
      </c>
      <c r="I707" s="8"/>
      <c r="J707" s="9">
        <f t="shared" si="372"/>
        <v>2368500</v>
      </c>
      <c r="K707" s="8"/>
      <c r="L707" s="8"/>
      <c r="M707" s="9">
        <f t="shared" si="381"/>
        <v>2368500</v>
      </c>
      <c r="N707" s="8"/>
      <c r="O707" s="9"/>
      <c r="P707" s="9">
        <f t="shared" si="382"/>
        <v>0</v>
      </c>
      <c r="Q707" s="9">
        <f t="shared" si="373"/>
        <v>2368500</v>
      </c>
      <c r="R707" s="17"/>
      <c r="S707" s="17"/>
      <c r="T707" s="17"/>
      <c r="U707" s="9">
        <f t="shared" si="374"/>
        <v>0</v>
      </c>
      <c r="V707" s="9">
        <f t="shared" si="375"/>
        <v>2368500</v>
      </c>
      <c r="W707" s="9">
        <f t="shared" si="376"/>
        <v>0</v>
      </c>
      <c r="X707" s="9">
        <f t="shared" si="377"/>
        <v>2368500</v>
      </c>
      <c r="Y707" s="8"/>
      <c r="Z707" s="9">
        <f t="shared" si="378"/>
        <v>0</v>
      </c>
      <c r="AA707" s="8">
        <f t="shared" si="379"/>
        <v>2368500</v>
      </c>
      <c r="AB707" s="8">
        <f t="shared" si="380"/>
        <v>0</v>
      </c>
    </row>
    <row r="708" spans="1:28" x14ac:dyDescent="0.3">
      <c r="A708" s="64"/>
      <c r="B708" s="8"/>
      <c r="C708" s="7" t="s">
        <v>535</v>
      </c>
      <c r="D708" s="15" t="s">
        <v>58</v>
      </c>
      <c r="E708" s="9">
        <f>714397.5+2587500</f>
        <v>3301897.5</v>
      </c>
      <c r="F708" s="9">
        <v>3301897.5</v>
      </c>
      <c r="G708" s="8"/>
      <c r="H708" s="9">
        <f t="shared" si="371"/>
        <v>3301897.5</v>
      </c>
      <c r="I708" s="8"/>
      <c r="J708" s="9">
        <f t="shared" si="372"/>
        <v>3301897.5</v>
      </c>
      <c r="K708" s="8"/>
      <c r="L708" s="8"/>
      <c r="M708" s="9">
        <f t="shared" si="381"/>
        <v>3301897.5</v>
      </c>
      <c r="N708" s="8"/>
      <c r="O708" s="9"/>
      <c r="P708" s="9">
        <f t="shared" si="382"/>
        <v>0</v>
      </c>
      <c r="Q708" s="9">
        <f t="shared" si="373"/>
        <v>3301897.5</v>
      </c>
      <c r="R708" s="17"/>
      <c r="S708" s="17"/>
      <c r="T708" s="17"/>
      <c r="U708" s="9">
        <f t="shared" si="374"/>
        <v>0</v>
      </c>
      <c r="V708" s="9">
        <f t="shared" si="375"/>
        <v>3301897.5</v>
      </c>
      <c r="W708" s="9">
        <f t="shared" si="376"/>
        <v>0</v>
      </c>
      <c r="X708" s="9">
        <f t="shared" si="377"/>
        <v>3301897.5</v>
      </c>
      <c r="Y708" s="8"/>
      <c r="Z708" s="9">
        <f t="shared" si="378"/>
        <v>0</v>
      </c>
      <c r="AA708" s="8">
        <f t="shared" si="379"/>
        <v>3301897.5</v>
      </c>
      <c r="AB708" s="8">
        <f t="shared" si="380"/>
        <v>0</v>
      </c>
    </row>
    <row r="709" spans="1:28" x14ac:dyDescent="0.3">
      <c r="A709" s="64"/>
      <c r="B709" s="8"/>
      <c r="C709" s="7" t="s">
        <v>535</v>
      </c>
      <c r="D709" s="21" t="s">
        <v>73</v>
      </c>
      <c r="E709" s="9">
        <f>1400000+1580814</f>
        <v>2980814</v>
      </c>
      <c r="F709" s="9">
        <v>2980814</v>
      </c>
      <c r="G709" s="9"/>
      <c r="H709" s="9">
        <f t="shared" si="371"/>
        <v>2980814</v>
      </c>
      <c r="I709" s="9">
        <v>0</v>
      </c>
      <c r="J709" s="9">
        <f t="shared" si="372"/>
        <v>2980814</v>
      </c>
      <c r="K709" s="8"/>
      <c r="L709" s="8"/>
      <c r="M709" s="9">
        <f t="shared" si="381"/>
        <v>2980814</v>
      </c>
      <c r="N709" s="8"/>
      <c r="O709" s="9"/>
      <c r="P709" s="9">
        <f t="shared" si="382"/>
        <v>0</v>
      </c>
      <c r="Q709" s="9">
        <f t="shared" si="373"/>
        <v>2980814</v>
      </c>
      <c r="R709" s="17"/>
      <c r="S709" s="17"/>
      <c r="T709" s="17"/>
      <c r="U709" s="9">
        <f t="shared" si="374"/>
        <v>0</v>
      </c>
      <c r="V709" s="9">
        <f t="shared" si="375"/>
        <v>2980814</v>
      </c>
      <c r="W709" s="9">
        <f t="shared" si="376"/>
        <v>0</v>
      </c>
      <c r="X709" s="9">
        <f t="shared" si="377"/>
        <v>2980814</v>
      </c>
      <c r="Y709" s="8"/>
      <c r="Z709" s="9">
        <f t="shared" si="378"/>
        <v>0</v>
      </c>
      <c r="AA709" s="8">
        <f t="shared" si="379"/>
        <v>2980814</v>
      </c>
      <c r="AB709" s="8">
        <f t="shared" si="380"/>
        <v>0</v>
      </c>
    </row>
    <row r="710" spans="1:28" x14ac:dyDescent="0.3">
      <c r="A710" s="64"/>
      <c r="B710" s="8"/>
      <c r="C710" s="14" t="s">
        <v>614</v>
      </c>
      <c r="D710" s="21" t="s">
        <v>61</v>
      </c>
      <c r="E710" s="11">
        <v>500000</v>
      </c>
      <c r="F710" s="11">
        <v>500000</v>
      </c>
      <c r="G710" s="8"/>
      <c r="H710" s="9">
        <f t="shared" si="371"/>
        <v>500000</v>
      </c>
      <c r="I710" s="9">
        <v>0</v>
      </c>
      <c r="J710" s="9">
        <f t="shared" si="372"/>
        <v>500000</v>
      </c>
      <c r="K710" s="8"/>
      <c r="L710" s="8"/>
      <c r="M710" s="9">
        <f t="shared" si="381"/>
        <v>500000</v>
      </c>
      <c r="N710" s="8"/>
      <c r="O710" s="9"/>
      <c r="P710" s="9">
        <f t="shared" si="382"/>
        <v>0</v>
      </c>
      <c r="Q710" s="9">
        <f t="shared" si="373"/>
        <v>500000</v>
      </c>
      <c r="R710" s="17"/>
      <c r="S710" s="17"/>
      <c r="T710" s="17"/>
      <c r="U710" s="9">
        <f t="shared" si="374"/>
        <v>0</v>
      </c>
      <c r="V710" s="9">
        <f t="shared" si="375"/>
        <v>500000</v>
      </c>
      <c r="W710" s="9">
        <f t="shared" si="376"/>
        <v>0</v>
      </c>
      <c r="X710" s="9">
        <f t="shared" si="377"/>
        <v>500000</v>
      </c>
      <c r="Y710" s="8"/>
      <c r="Z710" s="9">
        <f t="shared" si="378"/>
        <v>0</v>
      </c>
      <c r="AA710" s="8">
        <f t="shared" si="379"/>
        <v>500000</v>
      </c>
      <c r="AB710" s="8">
        <f t="shared" si="380"/>
        <v>0</v>
      </c>
    </row>
    <row r="711" spans="1:28" x14ac:dyDescent="0.3">
      <c r="A711" s="64"/>
      <c r="B711" s="8"/>
      <c r="C711" s="14" t="s">
        <v>568</v>
      </c>
      <c r="D711" s="8"/>
      <c r="E711" s="11">
        <v>1719644.36</v>
      </c>
      <c r="F711" s="11">
        <v>1719644.36</v>
      </c>
      <c r="G711" s="11"/>
      <c r="H711" s="9">
        <f t="shared" si="371"/>
        <v>1719644.36</v>
      </c>
      <c r="I711" s="9">
        <v>0</v>
      </c>
      <c r="J711" s="9">
        <f t="shared" si="372"/>
        <v>1719644.36</v>
      </c>
      <c r="K711" s="8"/>
      <c r="L711" s="8"/>
      <c r="M711" s="9">
        <f t="shared" si="381"/>
        <v>1719644.36</v>
      </c>
      <c r="N711" s="8"/>
      <c r="O711" s="9"/>
      <c r="P711" s="9">
        <f t="shared" si="382"/>
        <v>0</v>
      </c>
      <c r="Q711" s="9">
        <f t="shared" si="373"/>
        <v>1719644.36</v>
      </c>
      <c r="R711" s="17"/>
      <c r="S711" s="17"/>
      <c r="T711" s="17"/>
      <c r="U711" s="9">
        <f t="shared" si="374"/>
        <v>0</v>
      </c>
      <c r="V711" s="9">
        <f t="shared" si="375"/>
        <v>1719644.36</v>
      </c>
      <c r="W711" s="9">
        <f t="shared" si="376"/>
        <v>0</v>
      </c>
      <c r="X711" s="9">
        <f t="shared" si="377"/>
        <v>1719644.36</v>
      </c>
      <c r="Y711" s="8"/>
      <c r="Z711" s="9">
        <f t="shared" si="378"/>
        <v>0</v>
      </c>
      <c r="AA711" s="8">
        <f t="shared" si="379"/>
        <v>1719644.36</v>
      </c>
      <c r="AB711" s="8">
        <f t="shared" si="380"/>
        <v>0</v>
      </c>
    </row>
    <row r="712" spans="1:28" x14ac:dyDescent="0.3">
      <c r="A712" s="64"/>
      <c r="B712" s="8"/>
      <c r="C712" s="7" t="s">
        <v>606</v>
      </c>
      <c r="D712" s="8"/>
      <c r="E712" s="9">
        <v>2500000</v>
      </c>
      <c r="F712" s="9">
        <v>2500000</v>
      </c>
      <c r="G712" s="8"/>
      <c r="H712" s="9">
        <f t="shared" si="371"/>
        <v>2500000</v>
      </c>
      <c r="I712" s="8"/>
      <c r="J712" s="9">
        <f t="shared" si="372"/>
        <v>2500000</v>
      </c>
      <c r="K712" s="8"/>
      <c r="L712" s="8"/>
      <c r="M712" s="9">
        <f t="shared" si="381"/>
        <v>2500000</v>
      </c>
      <c r="N712" s="8"/>
      <c r="O712" s="9"/>
      <c r="P712" s="9">
        <f t="shared" si="382"/>
        <v>0</v>
      </c>
      <c r="Q712" s="9">
        <f t="shared" si="373"/>
        <v>2500000</v>
      </c>
      <c r="R712" s="17"/>
      <c r="S712" s="17"/>
      <c r="T712" s="17"/>
      <c r="U712" s="9">
        <f t="shared" si="374"/>
        <v>0</v>
      </c>
      <c r="V712" s="9">
        <f t="shared" si="375"/>
        <v>2500000</v>
      </c>
      <c r="W712" s="9">
        <f t="shared" si="376"/>
        <v>0</v>
      </c>
      <c r="X712" s="9">
        <f t="shared" si="377"/>
        <v>2500000</v>
      </c>
      <c r="Y712" s="8"/>
      <c r="Z712" s="9">
        <f t="shared" si="378"/>
        <v>0</v>
      </c>
      <c r="AA712" s="8">
        <f t="shared" si="379"/>
        <v>2500000</v>
      </c>
      <c r="AB712" s="8">
        <f t="shared" si="380"/>
        <v>0</v>
      </c>
    </row>
    <row r="713" spans="1:28" x14ac:dyDescent="0.3">
      <c r="A713" s="64"/>
      <c r="B713" s="8"/>
      <c r="C713" s="8"/>
      <c r="D713" s="8"/>
      <c r="E713" s="17" t="s">
        <v>29</v>
      </c>
      <c r="F713" s="17" t="s">
        <v>29</v>
      </c>
      <c r="G713" s="17" t="s">
        <v>29</v>
      </c>
      <c r="H713" s="17" t="s">
        <v>29</v>
      </c>
      <c r="I713" s="17" t="s">
        <v>29</v>
      </c>
      <c r="J713" s="17" t="s">
        <v>29</v>
      </c>
      <c r="K713" s="17" t="s">
        <v>29</v>
      </c>
      <c r="L713" s="17" t="s">
        <v>29</v>
      </c>
      <c r="M713" s="17" t="s">
        <v>29</v>
      </c>
      <c r="N713" s="17" t="s">
        <v>29</v>
      </c>
      <c r="O713" s="17" t="s">
        <v>29</v>
      </c>
      <c r="P713" s="17" t="s">
        <v>29</v>
      </c>
      <c r="Q713" s="17" t="s">
        <v>29</v>
      </c>
      <c r="R713" s="17" t="s">
        <v>29</v>
      </c>
      <c r="S713" s="17" t="s">
        <v>29</v>
      </c>
      <c r="T713" s="17" t="s">
        <v>29</v>
      </c>
      <c r="U713" s="17" t="s">
        <v>29</v>
      </c>
      <c r="V713" s="17" t="s">
        <v>29</v>
      </c>
      <c r="W713" s="17" t="s">
        <v>29</v>
      </c>
      <c r="X713" s="17" t="s">
        <v>29</v>
      </c>
      <c r="Y713" s="17" t="s">
        <v>29</v>
      </c>
      <c r="Z713" s="17" t="s">
        <v>29</v>
      </c>
      <c r="AA713" s="17" t="s">
        <v>29</v>
      </c>
      <c r="AB713" s="17" t="s">
        <v>29</v>
      </c>
    </row>
    <row r="714" spans="1:28" x14ac:dyDescent="0.3">
      <c r="A714" s="64"/>
      <c r="B714" s="8"/>
      <c r="C714" s="8"/>
      <c r="D714" s="8"/>
      <c r="E714" s="9">
        <f t="shared" ref="E714:Q714" si="383">SUM(E694:E713)</f>
        <v>39726477.200000003</v>
      </c>
      <c r="F714" s="9">
        <f t="shared" si="383"/>
        <v>36247827.670000002</v>
      </c>
      <c r="G714" s="9">
        <f t="shared" si="383"/>
        <v>0</v>
      </c>
      <c r="H714" s="9">
        <f t="shared" si="383"/>
        <v>36247827.670000002</v>
      </c>
      <c r="I714" s="9">
        <f t="shared" si="383"/>
        <v>0</v>
      </c>
      <c r="J714" s="9">
        <f t="shared" si="383"/>
        <v>36247827.670000002</v>
      </c>
      <c r="K714" s="9">
        <f t="shared" si="383"/>
        <v>3318649.5300000003</v>
      </c>
      <c r="L714" s="9">
        <f t="shared" si="383"/>
        <v>0</v>
      </c>
      <c r="M714" s="9">
        <f t="shared" si="383"/>
        <v>36247827.670000002</v>
      </c>
      <c r="N714" s="9">
        <f t="shared" si="383"/>
        <v>3318649.5300000003</v>
      </c>
      <c r="O714" s="9">
        <f t="shared" si="383"/>
        <v>0</v>
      </c>
      <c r="P714" s="9">
        <f t="shared" si="383"/>
        <v>3318649.5300000003</v>
      </c>
      <c r="Q714" s="9">
        <f t="shared" si="383"/>
        <v>36407827.670000002</v>
      </c>
      <c r="R714" s="17"/>
      <c r="S714" s="17"/>
      <c r="T714" s="9">
        <f t="shared" ref="T714:Z714" si="384">SUM(T694:T713)</f>
        <v>0</v>
      </c>
      <c r="U714" s="9">
        <f t="shared" si="384"/>
        <v>3318649.5300000003</v>
      </c>
      <c r="V714" s="9">
        <f t="shared" si="384"/>
        <v>39566477.200000003</v>
      </c>
      <c r="W714" s="9">
        <f t="shared" si="384"/>
        <v>160000.00000000006</v>
      </c>
      <c r="X714" s="9">
        <f t="shared" si="384"/>
        <v>39566477.200000003</v>
      </c>
      <c r="Y714" s="9">
        <f t="shared" si="384"/>
        <v>0</v>
      </c>
      <c r="Z714" s="9">
        <f t="shared" si="384"/>
        <v>160000.00000000006</v>
      </c>
      <c r="AA714" s="9">
        <f>SUM(AA694:AA713)</f>
        <v>39566477.200000003</v>
      </c>
      <c r="AB714" s="9">
        <f>SUM(AB694:AB713)</f>
        <v>160000.00000000006</v>
      </c>
    </row>
    <row r="715" spans="1:28" x14ac:dyDescent="0.3">
      <c r="A715" s="64"/>
      <c r="B715" s="8"/>
      <c r="C715" s="8"/>
      <c r="D715" s="8"/>
      <c r="E715" s="17" t="s">
        <v>29</v>
      </c>
      <c r="F715" s="17" t="s">
        <v>29</v>
      </c>
      <c r="G715" s="17" t="s">
        <v>29</v>
      </c>
      <c r="H715" s="17" t="s">
        <v>29</v>
      </c>
      <c r="I715" s="17" t="s">
        <v>29</v>
      </c>
      <c r="J715" s="17" t="s">
        <v>29</v>
      </c>
      <c r="K715" s="17" t="s">
        <v>29</v>
      </c>
      <c r="L715" s="17" t="s">
        <v>29</v>
      </c>
      <c r="M715" s="17" t="s">
        <v>29</v>
      </c>
      <c r="N715" s="17" t="s">
        <v>29</v>
      </c>
      <c r="O715" s="17" t="s">
        <v>29</v>
      </c>
      <c r="P715" s="17" t="s">
        <v>29</v>
      </c>
      <c r="Q715" s="17" t="s">
        <v>29</v>
      </c>
      <c r="R715" s="17" t="s">
        <v>29</v>
      </c>
      <c r="S715" s="17" t="s">
        <v>29</v>
      </c>
      <c r="T715" s="17" t="s">
        <v>29</v>
      </c>
      <c r="U715" s="17" t="s">
        <v>29</v>
      </c>
      <c r="V715" s="17" t="s">
        <v>29</v>
      </c>
      <c r="W715" s="17" t="s">
        <v>29</v>
      </c>
      <c r="X715" s="17" t="s">
        <v>29</v>
      </c>
      <c r="Y715" s="17" t="s">
        <v>29</v>
      </c>
      <c r="Z715" s="17" t="s">
        <v>29</v>
      </c>
      <c r="AA715" s="17" t="s">
        <v>29</v>
      </c>
      <c r="AB715" s="17" t="s">
        <v>29</v>
      </c>
    </row>
    <row r="716" spans="1:28" x14ac:dyDescent="0.3">
      <c r="A716" s="63" t="s">
        <v>971</v>
      </c>
      <c r="B716" s="7" t="s">
        <v>615</v>
      </c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17"/>
      <c r="S716" s="17"/>
      <c r="T716" s="17"/>
      <c r="U716" s="17"/>
      <c r="V716" s="17"/>
      <c r="W716" s="17"/>
      <c r="X716" s="17"/>
      <c r="Y716" s="17"/>
      <c r="Z716" s="17"/>
      <c r="AA716" s="58"/>
    </row>
    <row r="717" spans="1:28" x14ac:dyDescent="0.3">
      <c r="A717" s="64"/>
      <c r="B717" s="8"/>
      <c r="C717" s="7" t="s">
        <v>535</v>
      </c>
      <c r="D717" s="15" t="s">
        <v>76</v>
      </c>
      <c r="E717" s="9">
        <v>6320000</v>
      </c>
      <c r="F717" s="9">
        <f>4143889.36+233238+1194268.38+360077.05</f>
        <v>5931472.7899999991</v>
      </c>
      <c r="G717" s="8"/>
      <c r="H717" s="9">
        <f t="shared" ref="H717:H741" si="385">F717+G717</f>
        <v>5931472.7899999991</v>
      </c>
      <c r="I717" s="8"/>
      <c r="J717" s="9">
        <f t="shared" ref="J717:J741" si="386">H717+I717</f>
        <v>5931472.7899999991</v>
      </c>
      <c r="K717" s="9">
        <v>388527.21</v>
      </c>
      <c r="L717" s="8"/>
      <c r="M717" s="9">
        <f>+H717+L717</f>
        <v>5931472.7899999991</v>
      </c>
      <c r="N717" s="8">
        <v>388527.21</v>
      </c>
      <c r="O717" s="9"/>
      <c r="P717" s="9">
        <f>+N717+O717</f>
        <v>388527.21</v>
      </c>
      <c r="Q717" s="9">
        <f t="shared" ref="Q717:Q741" si="387">E717-P717</f>
        <v>5931472.79</v>
      </c>
      <c r="R717" s="17"/>
      <c r="S717" s="17"/>
      <c r="T717" s="17"/>
      <c r="U717" s="9">
        <f t="shared" ref="U717:U741" si="388">P717+T717</f>
        <v>388527.21</v>
      </c>
      <c r="V717" s="9">
        <f t="shared" ref="V717:V741" si="389">P717+H717</f>
        <v>6319999.9999999991</v>
      </c>
      <c r="W717" s="9">
        <f t="shared" ref="W717:W741" si="390">E717-V717</f>
        <v>0</v>
      </c>
      <c r="X717" s="9">
        <f t="shared" ref="X717:X741" si="391">+H717+P717</f>
        <v>6319999.9999999991</v>
      </c>
      <c r="Y717" s="8"/>
      <c r="Z717" s="9">
        <f t="shared" ref="Z717:Z741" si="392">+E717-X717</f>
        <v>0</v>
      </c>
      <c r="AA717" s="8">
        <f t="shared" ref="AA717:AA741" si="393">+M717+U717</f>
        <v>6319999.9999999991</v>
      </c>
      <c r="AB717" s="8">
        <f t="shared" ref="AB717:AB741" si="394">+E717-AA717</f>
        <v>0</v>
      </c>
    </row>
    <row r="718" spans="1:28" x14ac:dyDescent="0.3">
      <c r="A718" s="64"/>
      <c r="B718" s="8"/>
      <c r="C718" s="7" t="s">
        <v>616</v>
      </c>
      <c r="D718" s="15" t="s">
        <v>76</v>
      </c>
      <c r="E718" s="9">
        <v>4750000</v>
      </c>
      <c r="F718" s="9">
        <f>2859865.05+1890134.95</f>
        <v>4750000</v>
      </c>
      <c r="G718" s="8"/>
      <c r="H718" s="9">
        <f t="shared" si="385"/>
        <v>4750000</v>
      </c>
      <c r="I718" s="8"/>
      <c r="J718" s="9">
        <f t="shared" si="386"/>
        <v>4750000</v>
      </c>
      <c r="K718" s="8"/>
      <c r="L718" s="8"/>
      <c r="M718" s="9">
        <f t="shared" ref="M718:M741" si="395">+H718+L718</f>
        <v>4750000</v>
      </c>
      <c r="N718" s="8"/>
      <c r="O718" s="9"/>
      <c r="P718" s="9">
        <f t="shared" ref="P718:P741" si="396">+N718+O718</f>
        <v>0</v>
      </c>
      <c r="Q718" s="9">
        <f t="shared" si="387"/>
        <v>4750000</v>
      </c>
      <c r="R718" s="17"/>
      <c r="S718" s="17"/>
      <c r="T718" s="17"/>
      <c r="U718" s="9">
        <f t="shared" si="388"/>
        <v>0</v>
      </c>
      <c r="V718" s="9">
        <f t="shared" si="389"/>
        <v>4750000</v>
      </c>
      <c r="W718" s="9">
        <f t="shared" si="390"/>
        <v>0</v>
      </c>
      <c r="X718" s="9">
        <f t="shared" si="391"/>
        <v>4750000</v>
      </c>
      <c r="Y718" s="8"/>
      <c r="Z718" s="9">
        <f t="shared" si="392"/>
        <v>0</v>
      </c>
      <c r="AA718" s="8">
        <f t="shared" si="393"/>
        <v>4750000</v>
      </c>
      <c r="AB718" s="8">
        <f t="shared" si="394"/>
        <v>0</v>
      </c>
    </row>
    <row r="719" spans="1:28" x14ac:dyDescent="0.3">
      <c r="A719" s="64"/>
      <c r="B719" s="8"/>
      <c r="C719" s="7" t="s">
        <v>535</v>
      </c>
      <c r="D719" s="15" t="s">
        <v>150</v>
      </c>
      <c r="E719" s="9">
        <f>6824000-687727.49</f>
        <v>6136272.5099999998</v>
      </c>
      <c r="F719" s="9">
        <f>2320800+50800+2276338+132665.95</f>
        <v>4780603.95</v>
      </c>
      <c r="G719" s="8"/>
      <c r="H719" s="9">
        <f t="shared" si="385"/>
        <v>4780603.95</v>
      </c>
      <c r="I719" s="8"/>
      <c r="J719" s="9">
        <f t="shared" si="386"/>
        <v>4780603.95</v>
      </c>
      <c r="K719" s="9">
        <v>1355668.56</v>
      </c>
      <c r="L719" s="8"/>
      <c r="M719" s="9">
        <f t="shared" si="395"/>
        <v>4780603.95</v>
      </c>
      <c r="N719" s="8">
        <v>1355668.56</v>
      </c>
      <c r="O719" s="9"/>
      <c r="P719" s="9">
        <f t="shared" si="396"/>
        <v>1355668.56</v>
      </c>
      <c r="Q719" s="9">
        <f t="shared" si="387"/>
        <v>4780603.9499999993</v>
      </c>
      <c r="R719" s="17"/>
      <c r="S719" s="17"/>
      <c r="T719" s="17"/>
      <c r="U719" s="9">
        <f t="shared" si="388"/>
        <v>1355668.56</v>
      </c>
      <c r="V719" s="9">
        <f t="shared" si="389"/>
        <v>6136272.5099999998</v>
      </c>
      <c r="W719" s="9">
        <f t="shared" si="390"/>
        <v>0</v>
      </c>
      <c r="X719" s="9">
        <f t="shared" si="391"/>
        <v>6136272.5099999998</v>
      </c>
      <c r="Y719" s="8"/>
      <c r="Z719" s="9">
        <f t="shared" si="392"/>
        <v>0</v>
      </c>
      <c r="AA719" s="8">
        <f t="shared" si="393"/>
        <v>6136272.5099999998</v>
      </c>
      <c r="AB719" s="8">
        <f t="shared" si="394"/>
        <v>0</v>
      </c>
    </row>
    <row r="720" spans="1:28" x14ac:dyDescent="0.3">
      <c r="A720" s="64"/>
      <c r="B720" s="8"/>
      <c r="C720" s="7" t="s">
        <v>616</v>
      </c>
      <c r="D720" s="15" t="s">
        <v>150</v>
      </c>
      <c r="E720" s="9">
        <v>4742000</v>
      </c>
      <c r="F720" s="9">
        <v>4742000</v>
      </c>
      <c r="G720" s="8"/>
      <c r="H720" s="9">
        <f t="shared" si="385"/>
        <v>4742000</v>
      </c>
      <c r="I720" s="8"/>
      <c r="J720" s="9">
        <f t="shared" si="386"/>
        <v>4742000</v>
      </c>
      <c r="K720" s="8"/>
      <c r="L720" s="8"/>
      <c r="M720" s="9">
        <f t="shared" si="395"/>
        <v>4742000</v>
      </c>
      <c r="N720" s="8"/>
      <c r="O720" s="9"/>
      <c r="P720" s="9">
        <f t="shared" si="396"/>
        <v>0</v>
      </c>
      <c r="Q720" s="9">
        <f t="shared" si="387"/>
        <v>4742000</v>
      </c>
      <c r="R720" s="17"/>
      <c r="S720" s="17"/>
      <c r="T720" s="17"/>
      <c r="U720" s="9">
        <f t="shared" si="388"/>
        <v>0</v>
      </c>
      <c r="V720" s="9">
        <f t="shared" si="389"/>
        <v>4742000</v>
      </c>
      <c r="W720" s="9">
        <f t="shared" si="390"/>
        <v>0</v>
      </c>
      <c r="X720" s="9">
        <f t="shared" si="391"/>
        <v>4742000</v>
      </c>
      <c r="Y720" s="8"/>
      <c r="Z720" s="9">
        <f t="shared" si="392"/>
        <v>0</v>
      </c>
      <c r="AA720" s="8">
        <f t="shared" si="393"/>
        <v>4742000</v>
      </c>
      <c r="AB720" s="8">
        <f t="shared" si="394"/>
        <v>0</v>
      </c>
    </row>
    <row r="721" spans="1:28" x14ac:dyDescent="0.3">
      <c r="A721" s="64"/>
      <c r="B721" s="8"/>
      <c r="C721" s="7" t="s">
        <v>617</v>
      </c>
      <c r="D721" s="15" t="s">
        <v>166</v>
      </c>
      <c r="E721" s="9">
        <f>555121-42272.52</f>
        <v>512848.48</v>
      </c>
      <c r="F721" s="8"/>
      <c r="G721" s="8"/>
      <c r="H721" s="9">
        <f t="shared" si="385"/>
        <v>0</v>
      </c>
      <c r="I721" s="8"/>
      <c r="J721" s="9">
        <f t="shared" si="386"/>
        <v>0</v>
      </c>
      <c r="K721" s="9">
        <v>512848.48</v>
      </c>
      <c r="L721" s="8"/>
      <c r="M721" s="9">
        <f t="shared" si="395"/>
        <v>0</v>
      </c>
      <c r="N721" s="8">
        <v>512848.48</v>
      </c>
      <c r="O721" s="9"/>
      <c r="P721" s="9">
        <f t="shared" si="396"/>
        <v>512848.48</v>
      </c>
      <c r="Q721" s="9">
        <f t="shared" si="387"/>
        <v>0</v>
      </c>
      <c r="R721" s="17"/>
      <c r="S721" s="17"/>
      <c r="T721" s="17"/>
      <c r="U721" s="9">
        <f t="shared" si="388"/>
        <v>512848.48</v>
      </c>
      <c r="V721" s="9">
        <f t="shared" si="389"/>
        <v>512848.48</v>
      </c>
      <c r="W721" s="9">
        <f t="shared" si="390"/>
        <v>0</v>
      </c>
      <c r="X721" s="9">
        <f t="shared" si="391"/>
        <v>512848.48</v>
      </c>
      <c r="Y721" s="8"/>
      <c r="Z721" s="9">
        <f t="shared" si="392"/>
        <v>0</v>
      </c>
      <c r="AA721" s="8">
        <f t="shared" si="393"/>
        <v>512848.48</v>
      </c>
      <c r="AB721" s="8">
        <f t="shared" si="394"/>
        <v>0</v>
      </c>
    </row>
    <row r="722" spans="1:28" x14ac:dyDescent="0.3">
      <c r="A722" s="64"/>
      <c r="B722" s="8"/>
      <c r="C722" s="7" t="s">
        <v>535</v>
      </c>
      <c r="D722" s="15" t="s">
        <v>68</v>
      </c>
      <c r="E722" s="9">
        <f>1006050-707426.7</f>
        <v>298623.30000000005</v>
      </c>
      <c r="F722" s="8"/>
      <c r="G722" s="8"/>
      <c r="H722" s="9">
        <f t="shared" si="385"/>
        <v>0</v>
      </c>
      <c r="I722" s="8"/>
      <c r="J722" s="9">
        <f t="shared" si="386"/>
        <v>0</v>
      </c>
      <c r="K722" s="9">
        <f>298623.3+32784.74-32784.74</f>
        <v>298623.3</v>
      </c>
      <c r="L722" s="8"/>
      <c r="M722" s="9">
        <f t="shared" si="395"/>
        <v>0</v>
      </c>
      <c r="N722" s="8">
        <v>298623.3</v>
      </c>
      <c r="O722" s="9"/>
      <c r="P722" s="9">
        <f t="shared" si="396"/>
        <v>298623.3</v>
      </c>
      <c r="Q722" s="9">
        <f t="shared" si="387"/>
        <v>0</v>
      </c>
      <c r="R722" s="17"/>
      <c r="S722" s="17"/>
      <c r="T722" s="17"/>
      <c r="U722" s="9">
        <f t="shared" si="388"/>
        <v>298623.3</v>
      </c>
      <c r="V722" s="9">
        <f t="shared" si="389"/>
        <v>298623.3</v>
      </c>
      <c r="W722" s="9">
        <f t="shared" si="390"/>
        <v>0</v>
      </c>
      <c r="X722" s="9">
        <f t="shared" si="391"/>
        <v>298623.3</v>
      </c>
      <c r="Y722" s="8"/>
      <c r="Z722" s="9">
        <f t="shared" si="392"/>
        <v>0</v>
      </c>
      <c r="AA722" s="8">
        <f t="shared" si="393"/>
        <v>298623.3</v>
      </c>
      <c r="AB722" s="8">
        <f t="shared" si="394"/>
        <v>0</v>
      </c>
    </row>
    <row r="723" spans="1:28" x14ac:dyDescent="0.3">
      <c r="A723" s="64"/>
      <c r="B723" s="8"/>
      <c r="C723" s="7" t="s">
        <v>539</v>
      </c>
      <c r="D723" s="15" t="s">
        <v>68</v>
      </c>
      <c r="E723" s="9">
        <v>344070</v>
      </c>
      <c r="F723" s="8"/>
      <c r="G723" s="8"/>
      <c r="H723" s="9">
        <f t="shared" si="385"/>
        <v>0</v>
      </c>
      <c r="I723" s="8"/>
      <c r="J723" s="9">
        <f t="shared" si="386"/>
        <v>0</v>
      </c>
      <c r="K723" s="9">
        <v>344070</v>
      </c>
      <c r="L723" s="8"/>
      <c r="M723" s="9">
        <f t="shared" si="395"/>
        <v>0</v>
      </c>
      <c r="N723" s="8">
        <v>344070</v>
      </c>
      <c r="O723" s="9"/>
      <c r="P723" s="9">
        <f t="shared" si="396"/>
        <v>344070</v>
      </c>
      <c r="Q723" s="9">
        <f t="shared" si="387"/>
        <v>0</v>
      </c>
      <c r="R723" s="17"/>
      <c r="S723" s="17"/>
      <c r="T723" s="17"/>
      <c r="U723" s="9">
        <f t="shared" si="388"/>
        <v>344070</v>
      </c>
      <c r="V723" s="9">
        <f t="shared" si="389"/>
        <v>344070</v>
      </c>
      <c r="W723" s="9">
        <f t="shared" si="390"/>
        <v>0</v>
      </c>
      <c r="X723" s="9">
        <f t="shared" si="391"/>
        <v>344070</v>
      </c>
      <c r="Y723" s="8"/>
      <c r="Z723" s="9">
        <f t="shared" si="392"/>
        <v>0</v>
      </c>
      <c r="AA723" s="8">
        <f t="shared" si="393"/>
        <v>344070</v>
      </c>
      <c r="AB723" s="8">
        <f t="shared" si="394"/>
        <v>0</v>
      </c>
    </row>
    <row r="724" spans="1:28" x14ac:dyDescent="0.3">
      <c r="A724" s="64"/>
      <c r="B724" s="8"/>
      <c r="C724" s="7" t="s">
        <v>618</v>
      </c>
      <c r="D724" s="15" t="s">
        <v>68</v>
      </c>
      <c r="E724" s="9">
        <f>2670450-931265+6452.8</f>
        <v>1745637.8</v>
      </c>
      <c r="F724" s="9">
        <f>239650+1499535</f>
        <v>1739185</v>
      </c>
      <c r="G724" s="8"/>
      <c r="H724" s="9">
        <f t="shared" si="385"/>
        <v>1739185</v>
      </c>
      <c r="I724" s="8"/>
      <c r="J724" s="9">
        <f t="shared" si="386"/>
        <v>1739185</v>
      </c>
      <c r="K724" s="9">
        <v>6452.8</v>
      </c>
      <c r="L724" s="8"/>
      <c r="M724" s="9">
        <f t="shared" si="395"/>
        <v>1739185</v>
      </c>
      <c r="N724" s="8">
        <v>6452.8</v>
      </c>
      <c r="O724" s="9"/>
      <c r="P724" s="9">
        <f t="shared" si="396"/>
        <v>6452.8</v>
      </c>
      <c r="Q724" s="9">
        <f t="shared" si="387"/>
        <v>1739185</v>
      </c>
      <c r="R724" s="17"/>
      <c r="S724" s="17"/>
      <c r="T724" s="17"/>
      <c r="U724" s="9">
        <f t="shared" si="388"/>
        <v>6452.8</v>
      </c>
      <c r="V724" s="9">
        <f t="shared" si="389"/>
        <v>1745637.8</v>
      </c>
      <c r="W724" s="9">
        <f t="shared" si="390"/>
        <v>0</v>
      </c>
      <c r="X724" s="9">
        <f t="shared" si="391"/>
        <v>1745637.8</v>
      </c>
      <c r="Y724" s="8"/>
      <c r="Z724" s="9">
        <f t="shared" si="392"/>
        <v>0</v>
      </c>
      <c r="AA724" s="8">
        <f t="shared" si="393"/>
        <v>1745637.8</v>
      </c>
      <c r="AB724" s="8">
        <f t="shared" si="394"/>
        <v>0</v>
      </c>
    </row>
    <row r="725" spans="1:28" x14ac:dyDescent="0.3">
      <c r="A725" s="64"/>
      <c r="B725" s="8"/>
      <c r="C725" s="7" t="s">
        <v>618</v>
      </c>
      <c r="D725" s="15" t="s">
        <v>54</v>
      </c>
      <c r="E725" s="9">
        <f>4250000-212500</f>
        <v>4037500</v>
      </c>
      <c r="F725" s="9">
        <f>642345+2975000+420155</f>
        <v>4037500</v>
      </c>
      <c r="G725" s="8"/>
      <c r="H725" s="9">
        <f t="shared" si="385"/>
        <v>4037500</v>
      </c>
      <c r="I725" s="8"/>
      <c r="J725" s="9">
        <f t="shared" si="386"/>
        <v>4037500</v>
      </c>
      <c r="K725" s="8"/>
      <c r="L725" s="8"/>
      <c r="M725" s="9">
        <f t="shared" si="395"/>
        <v>4037500</v>
      </c>
      <c r="N725" s="8">
        <v>0</v>
      </c>
      <c r="O725" s="9"/>
      <c r="P725" s="9">
        <f t="shared" si="396"/>
        <v>0</v>
      </c>
      <c r="Q725" s="9">
        <f t="shared" si="387"/>
        <v>4037500</v>
      </c>
      <c r="R725" s="17"/>
      <c r="S725" s="17"/>
      <c r="T725" s="17"/>
      <c r="U725" s="9">
        <f t="shared" si="388"/>
        <v>0</v>
      </c>
      <c r="V725" s="9">
        <f t="shared" si="389"/>
        <v>4037500</v>
      </c>
      <c r="W725" s="9">
        <f t="shared" si="390"/>
        <v>0</v>
      </c>
      <c r="X725" s="9">
        <f t="shared" si="391"/>
        <v>4037500</v>
      </c>
      <c r="Y725" s="8"/>
      <c r="Z725" s="9">
        <f t="shared" si="392"/>
        <v>0</v>
      </c>
      <c r="AA725" s="8">
        <f t="shared" si="393"/>
        <v>4037500</v>
      </c>
      <c r="AB725" s="8">
        <f t="shared" si="394"/>
        <v>0</v>
      </c>
    </row>
    <row r="726" spans="1:28" x14ac:dyDescent="0.3">
      <c r="A726" s="64"/>
      <c r="B726" s="8"/>
      <c r="C726" s="7" t="s">
        <v>545</v>
      </c>
      <c r="D726" s="15" t="s">
        <v>54</v>
      </c>
      <c r="E726" s="9">
        <v>570941</v>
      </c>
      <c r="F726" s="8"/>
      <c r="G726" s="8"/>
      <c r="H726" s="9">
        <f t="shared" si="385"/>
        <v>0</v>
      </c>
      <c r="I726" s="8"/>
      <c r="J726" s="9">
        <f t="shared" si="386"/>
        <v>0</v>
      </c>
      <c r="K726" s="9">
        <v>570941</v>
      </c>
      <c r="L726" s="8"/>
      <c r="M726" s="9">
        <f t="shared" si="395"/>
        <v>0</v>
      </c>
      <c r="N726" s="8">
        <v>570941</v>
      </c>
      <c r="O726" s="9"/>
      <c r="P726" s="9">
        <f t="shared" si="396"/>
        <v>570941</v>
      </c>
      <c r="Q726" s="9">
        <f t="shared" si="387"/>
        <v>0</v>
      </c>
      <c r="R726" s="17"/>
      <c r="S726" s="17"/>
      <c r="T726" s="17"/>
      <c r="U726" s="9">
        <f t="shared" si="388"/>
        <v>570941</v>
      </c>
      <c r="V726" s="9">
        <f t="shared" si="389"/>
        <v>570941</v>
      </c>
      <c r="W726" s="9">
        <f t="shared" si="390"/>
        <v>0</v>
      </c>
      <c r="X726" s="9">
        <f t="shared" si="391"/>
        <v>570941</v>
      </c>
      <c r="Y726" s="8"/>
      <c r="Z726" s="9">
        <f t="shared" si="392"/>
        <v>0</v>
      </c>
      <c r="AA726" s="8">
        <f t="shared" si="393"/>
        <v>570941</v>
      </c>
      <c r="AB726" s="8">
        <f t="shared" si="394"/>
        <v>0</v>
      </c>
    </row>
    <row r="727" spans="1:28" x14ac:dyDescent="0.3">
      <c r="A727" s="64"/>
      <c r="B727" s="8"/>
      <c r="C727" s="7" t="s">
        <v>535</v>
      </c>
      <c r="D727" s="15" t="s">
        <v>85</v>
      </c>
      <c r="E727" s="9">
        <f>717000-71700</f>
        <v>645300</v>
      </c>
      <c r="F727" s="9">
        <v>645300</v>
      </c>
      <c r="G727" s="8"/>
      <c r="H727" s="9">
        <f t="shared" si="385"/>
        <v>645300</v>
      </c>
      <c r="I727" s="8"/>
      <c r="J727" s="9">
        <f t="shared" si="386"/>
        <v>645300</v>
      </c>
      <c r="K727" s="8"/>
      <c r="L727" s="8"/>
      <c r="M727" s="9">
        <f t="shared" si="395"/>
        <v>645300</v>
      </c>
      <c r="N727" s="8">
        <v>0</v>
      </c>
      <c r="O727" s="9"/>
      <c r="P727" s="9">
        <f t="shared" si="396"/>
        <v>0</v>
      </c>
      <c r="Q727" s="9">
        <f t="shared" si="387"/>
        <v>645300</v>
      </c>
      <c r="R727" s="17"/>
      <c r="S727" s="17"/>
      <c r="T727" s="17"/>
      <c r="U727" s="9">
        <f t="shared" si="388"/>
        <v>0</v>
      </c>
      <c r="V727" s="9">
        <f t="shared" si="389"/>
        <v>645300</v>
      </c>
      <c r="W727" s="9">
        <f t="shared" si="390"/>
        <v>0</v>
      </c>
      <c r="X727" s="9">
        <f t="shared" si="391"/>
        <v>645300</v>
      </c>
      <c r="Y727" s="8"/>
      <c r="Z727" s="9">
        <f t="shared" si="392"/>
        <v>0</v>
      </c>
      <c r="AA727" s="8">
        <f t="shared" si="393"/>
        <v>645300</v>
      </c>
      <c r="AB727" s="8">
        <f t="shared" si="394"/>
        <v>0</v>
      </c>
    </row>
    <row r="728" spans="1:28" x14ac:dyDescent="0.3">
      <c r="A728" s="64"/>
      <c r="B728" s="8"/>
      <c r="C728" s="7" t="s">
        <v>535</v>
      </c>
      <c r="D728" s="15" t="s">
        <v>128</v>
      </c>
      <c r="E728" s="9">
        <v>715500</v>
      </c>
      <c r="F728" s="9">
        <v>715500</v>
      </c>
      <c r="G728" s="8"/>
      <c r="H728" s="9">
        <f t="shared" si="385"/>
        <v>715500</v>
      </c>
      <c r="I728" s="8"/>
      <c r="J728" s="9">
        <f t="shared" si="386"/>
        <v>715500</v>
      </c>
      <c r="K728" s="8"/>
      <c r="L728" s="8"/>
      <c r="M728" s="9">
        <f t="shared" si="395"/>
        <v>715500</v>
      </c>
      <c r="N728" s="8">
        <v>0</v>
      </c>
      <c r="O728" s="9"/>
      <c r="P728" s="9">
        <f t="shared" si="396"/>
        <v>0</v>
      </c>
      <c r="Q728" s="9">
        <f t="shared" si="387"/>
        <v>715500</v>
      </c>
      <c r="R728" s="17"/>
      <c r="S728" s="17"/>
      <c r="T728" s="17"/>
      <c r="U728" s="9">
        <f t="shared" si="388"/>
        <v>0</v>
      </c>
      <c r="V728" s="9">
        <f t="shared" si="389"/>
        <v>715500</v>
      </c>
      <c r="W728" s="9">
        <f t="shared" si="390"/>
        <v>0</v>
      </c>
      <c r="X728" s="9">
        <f t="shared" si="391"/>
        <v>715500</v>
      </c>
      <c r="Y728" s="8"/>
      <c r="Z728" s="9">
        <f t="shared" si="392"/>
        <v>0</v>
      </c>
      <c r="AA728" s="8">
        <f t="shared" si="393"/>
        <v>715500</v>
      </c>
      <c r="AB728" s="8">
        <f t="shared" si="394"/>
        <v>0</v>
      </c>
    </row>
    <row r="729" spans="1:28" x14ac:dyDescent="0.3">
      <c r="A729" s="64"/>
      <c r="B729" s="8"/>
      <c r="C729" s="7" t="s">
        <v>619</v>
      </c>
      <c r="D729" s="15" t="s">
        <v>128</v>
      </c>
      <c r="E729" s="9">
        <v>400000</v>
      </c>
      <c r="F729" s="9">
        <v>400000</v>
      </c>
      <c r="G729" s="8"/>
      <c r="H729" s="9">
        <f t="shared" si="385"/>
        <v>400000</v>
      </c>
      <c r="I729" s="8"/>
      <c r="J729" s="9">
        <f t="shared" si="386"/>
        <v>400000</v>
      </c>
      <c r="K729" s="8"/>
      <c r="L729" s="8"/>
      <c r="M729" s="9">
        <f t="shared" si="395"/>
        <v>400000</v>
      </c>
      <c r="N729" s="8">
        <v>0</v>
      </c>
      <c r="O729" s="9"/>
      <c r="P729" s="9">
        <f t="shared" si="396"/>
        <v>0</v>
      </c>
      <c r="Q729" s="9">
        <f t="shared" si="387"/>
        <v>400000</v>
      </c>
      <c r="R729" s="17"/>
      <c r="S729" s="17"/>
      <c r="T729" s="17"/>
      <c r="U729" s="9">
        <f t="shared" si="388"/>
        <v>0</v>
      </c>
      <c r="V729" s="9">
        <f t="shared" si="389"/>
        <v>400000</v>
      </c>
      <c r="W729" s="9">
        <f t="shared" si="390"/>
        <v>0</v>
      </c>
      <c r="X729" s="9">
        <f t="shared" si="391"/>
        <v>400000</v>
      </c>
      <c r="Y729" s="8"/>
      <c r="Z729" s="9">
        <f t="shared" si="392"/>
        <v>0</v>
      </c>
      <c r="AA729" s="8">
        <f t="shared" si="393"/>
        <v>400000</v>
      </c>
      <c r="AB729" s="8">
        <f t="shared" si="394"/>
        <v>0</v>
      </c>
    </row>
    <row r="730" spans="1:28" x14ac:dyDescent="0.3">
      <c r="A730" s="64"/>
      <c r="B730" s="8"/>
      <c r="C730" s="7" t="s">
        <v>535</v>
      </c>
      <c r="D730" s="15" t="s">
        <v>88</v>
      </c>
      <c r="E730" s="9">
        <v>1400000</v>
      </c>
      <c r="F730" s="9">
        <v>1400000</v>
      </c>
      <c r="G730" s="8"/>
      <c r="H730" s="9">
        <f t="shared" si="385"/>
        <v>1400000</v>
      </c>
      <c r="I730" s="8"/>
      <c r="J730" s="9">
        <f t="shared" si="386"/>
        <v>1400000</v>
      </c>
      <c r="K730" s="8"/>
      <c r="L730" s="8"/>
      <c r="M730" s="9">
        <f t="shared" si="395"/>
        <v>1400000</v>
      </c>
      <c r="N730" s="8">
        <v>0</v>
      </c>
      <c r="O730" s="9"/>
      <c r="P730" s="9">
        <f t="shared" si="396"/>
        <v>0</v>
      </c>
      <c r="Q730" s="9">
        <f t="shared" si="387"/>
        <v>1400000</v>
      </c>
      <c r="R730" s="17"/>
      <c r="S730" s="17"/>
      <c r="T730" s="17"/>
      <c r="U730" s="9">
        <f t="shared" si="388"/>
        <v>0</v>
      </c>
      <c r="V730" s="9">
        <f t="shared" si="389"/>
        <v>1400000</v>
      </c>
      <c r="W730" s="9">
        <f t="shared" si="390"/>
        <v>0</v>
      </c>
      <c r="X730" s="9">
        <f t="shared" si="391"/>
        <v>1400000</v>
      </c>
      <c r="Y730" s="8"/>
      <c r="Z730" s="9">
        <f t="shared" si="392"/>
        <v>0</v>
      </c>
      <c r="AA730" s="8">
        <f t="shared" si="393"/>
        <v>1400000</v>
      </c>
      <c r="AB730" s="8">
        <f t="shared" si="394"/>
        <v>0</v>
      </c>
    </row>
    <row r="731" spans="1:28" x14ac:dyDescent="0.3">
      <c r="A731" s="64"/>
      <c r="B731" s="8"/>
      <c r="C731" s="7" t="s">
        <v>535</v>
      </c>
      <c r="D731" s="15" t="s">
        <v>58</v>
      </c>
      <c r="E731" s="9">
        <f>2410000+1252023.34</f>
        <v>3662023.34</v>
      </c>
      <c r="F731" s="9">
        <f>4485303.14-2075291.14</f>
        <v>2410012</v>
      </c>
      <c r="G731" s="8"/>
      <c r="H731" s="9">
        <f t="shared" si="385"/>
        <v>2410012</v>
      </c>
      <c r="I731" s="9">
        <f>2410012+2075291.14+1252023.34-2410012-2075291.14</f>
        <v>1252023.3399999996</v>
      </c>
      <c r="J731" s="9">
        <f t="shared" si="386"/>
        <v>3662035.34</v>
      </c>
      <c r="K731" s="8"/>
      <c r="L731" s="8">
        <v>1252023.3400000001</v>
      </c>
      <c r="M731" s="9">
        <f t="shared" si="395"/>
        <v>3662035.34</v>
      </c>
      <c r="N731" s="8">
        <v>0</v>
      </c>
      <c r="O731" s="9"/>
      <c r="P731" s="9">
        <f t="shared" si="396"/>
        <v>0</v>
      </c>
      <c r="Q731" s="9">
        <f t="shared" si="387"/>
        <v>3662023.34</v>
      </c>
      <c r="R731" s="17"/>
      <c r="S731" s="17"/>
      <c r="T731" s="17"/>
      <c r="U731" s="9">
        <f t="shared" si="388"/>
        <v>0</v>
      </c>
      <c r="V731" s="9">
        <f t="shared" si="389"/>
        <v>2410012</v>
      </c>
      <c r="W731" s="9">
        <f t="shared" si="390"/>
        <v>1252011.3399999999</v>
      </c>
      <c r="X731" s="9">
        <f t="shared" si="391"/>
        <v>2410012</v>
      </c>
      <c r="Y731" s="8"/>
      <c r="Z731" s="9">
        <f t="shared" si="392"/>
        <v>1252011.3399999999</v>
      </c>
      <c r="AA731" s="8">
        <f t="shared" si="393"/>
        <v>3662035.34</v>
      </c>
      <c r="AB731" s="8">
        <f t="shared" si="394"/>
        <v>-12</v>
      </c>
    </row>
    <row r="732" spans="1:28" x14ac:dyDescent="0.3">
      <c r="A732" s="64"/>
      <c r="B732" s="8"/>
      <c r="C732" s="7" t="s">
        <v>535</v>
      </c>
      <c r="D732" s="15" t="s">
        <v>60</v>
      </c>
      <c r="E732" s="9">
        <f>1414829.48+1474000</f>
        <v>2888829.48</v>
      </c>
      <c r="F732" s="9">
        <f>1414829.48+1474000</f>
        <v>2888829.48</v>
      </c>
      <c r="G732" s="8"/>
      <c r="H732" s="9">
        <f t="shared" si="385"/>
        <v>2888829.48</v>
      </c>
      <c r="I732" s="9">
        <v>0</v>
      </c>
      <c r="J732" s="9">
        <f t="shared" si="386"/>
        <v>2888829.48</v>
      </c>
      <c r="K732" s="8"/>
      <c r="L732" s="8"/>
      <c r="M732" s="9">
        <f t="shared" si="395"/>
        <v>2888829.48</v>
      </c>
      <c r="N732" s="8">
        <v>0</v>
      </c>
      <c r="O732" s="9"/>
      <c r="P732" s="9">
        <f t="shared" si="396"/>
        <v>0</v>
      </c>
      <c r="Q732" s="9">
        <f t="shared" si="387"/>
        <v>2888829.48</v>
      </c>
      <c r="R732" s="17"/>
      <c r="S732" s="17"/>
      <c r="T732" s="17"/>
      <c r="U732" s="9">
        <f t="shared" si="388"/>
        <v>0</v>
      </c>
      <c r="V732" s="9">
        <f t="shared" si="389"/>
        <v>2888829.48</v>
      </c>
      <c r="W732" s="9">
        <f t="shared" si="390"/>
        <v>0</v>
      </c>
      <c r="X732" s="9">
        <f t="shared" si="391"/>
        <v>2888829.48</v>
      </c>
      <c r="Y732" s="8"/>
      <c r="Z732" s="9">
        <f t="shared" si="392"/>
        <v>0</v>
      </c>
      <c r="AA732" s="8">
        <f t="shared" si="393"/>
        <v>2888829.48</v>
      </c>
      <c r="AB732" s="8">
        <f t="shared" si="394"/>
        <v>0</v>
      </c>
    </row>
    <row r="733" spans="1:28" x14ac:dyDescent="0.3">
      <c r="A733" s="64"/>
      <c r="B733" s="8"/>
      <c r="C733" s="7" t="s">
        <v>535</v>
      </c>
      <c r="D733" s="15" t="s">
        <v>73</v>
      </c>
      <c r="E733" s="9">
        <v>2212039</v>
      </c>
      <c r="F733" s="9">
        <v>2212039</v>
      </c>
      <c r="G733" s="8"/>
      <c r="H733" s="9">
        <f t="shared" si="385"/>
        <v>2212039</v>
      </c>
      <c r="I733" s="9">
        <v>0</v>
      </c>
      <c r="J733" s="9">
        <f t="shared" si="386"/>
        <v>2212039</v>
      </c>
      <c r="K733" s="8"/>
      <c r="L733" s="8"/>
      <c r="M733" s="9">
        <f t="shared" si="395"/>
        <v>2212039</v>
      </c>
      <c r="N733" s="8">
        <v>0</v>
      </c>
      <c r="O733" s="9"/>
      <c r="P733" s="9">
        <f t="shared" si="396"/>
        <v>0</v>
      </c>
      <c r="Q733" s="9">
        <f t="shared" si="387"/>
        <v>2212039</v>
      </c>
      <c r="R733" s="17"/>
      <c r="S733" s="17"/>
      <c r="T733" s="17"/>
      <c r="U733" s="9">
        <f t="shared" si="388"/>
        <v>0</v>
      </c>
      <c r="V733" s="9">
        <f t="shared" si="389"/>
        <v>2212039</v>
      </c>
      <c r="W733" s="9">
        <f t="shared" si="390"/>
        <v>0</v>
      </c>
      <c r="X733" s="9">
        <f t="shared" si="391"/>
        <v>2212039</v>
      </c>
      <c r="Y733" s="8"/>
      <c r="Z733" s="9">
        <f t="shared" si="392"/>
        <v>0</v>
      </c>
      <c r="AA733" s="8">
        <f t="shared" si="393"/>
        <v>2212039</v>
      </c>
      <c r="AB733" s="8">
        <f t="shared" si="394"/>
        <v>0</v>
      </c>
    </row>
    <row r="734" spans="1:28" x14ac:dyDescent="0.3">
      <c r="A734" s="64"/>
      <c r="B734" s="14" t="s">
        <v>620</v>
      </c>
      <c r="C734" s="7" t="s">
        <v>535</v>
      </c>
      <c r="D734" s="15" t="s">
        <v>61</v>
      </c>
      <c r="E734" s="11">
        <v>1055296.8999999999</v>
      </c>
      <c r="F734" s="11">
        <v>1055296.8999999999</v>
      </c>
      <c r="G734" s="8"/>
      <c r="H734" s="9">
        <f t="shared" si="385"/>
        <v>1055296.8999999999</v>
      </c>
      <c r="I734" s="9"/>
      <c r="J734" s="9">
        <f t="shared" si="386"/>
        <v>1055296.8999999999</v>
      </c>
      <c r="K734" s="8"/>
      <c r="L734" s="8"/>
      <c r="M734" s="9">
        <f t="shared" si="395"/>
        <v>1055296.8999999999</v>
      </c>
      <c r="N734" s="8">
        <v>0</v>
      </c>
      <c r="O734" s="9"/>
      <c r="P734" s="9">
        <f t="shared" si="396"/>
        <v>0</v>
      </c>
      <c r="Q734" s="9">
        <f t="shared" si="387"/>
        <v>1055296.8999999999</v>
      </c>
      <c r="R734" s="17"/>
      <c r="S734" s="17"/>
      <c r="T734" s="17"/>
      <c r="U734" s="9">
        <f t="shared" si="388"/>
        <v>0</v>
      </c>
      <c r="V734" s="9">
        <f t="shared" si="389"/>
        <v>1055296.8999999999</v>
      </c>
      <c r="W734" s="9">
        <f t="shared" si="390"/>
        <v>0</v>
      </c>
      <c r="X734" s="9">
        <f t="shared" si="391"/>
        <v>1055296.8999999999</v>
      </c>
      <c r="Y734" s="8"/>
      <c r="Z734" s="9">
        <f t="shared" si="392"/>
        <v>0</v>
      </c>
      <c r="AA734" s="8">
        <f t="shared" si="393"/>
        <v>1055296.8999999999</v>
      </c>
      <c r="AB734" s="8">
        <f t="shared" si="394"/>
        <v>0</v>
      </c>
    </row>
    <row r="735" spans="1:28" x14ac:dyDescent="0.3">
      <c r="A735" s="64"/>
      <c r="B735" s="8"/>
      <c r="C735" s="7" t="s">
        <v>621</v>
      </c>
      <c r="D735" s="15" t="s">
        <v>61</v>
      </c>
      <c r="E735" s="11">
        <f>1722911.68+6250.7+63384.38</f>
        <v>1792546.7599999998</v>
      </c>
      <c r="F735" s="9">
        <v>1722911.68</v>
      </c>
      <c r="G735" s="9"/>
      <c r="H735" s="9">
        <f t="shared" si="385"/>
        <v>1722911.68</v>
      </c>
      <c r="I735" s="9"/>
      <c r="J735" s="9">
        <f t="shared" si="386"/>
        <v>1722911.68</v>
      </c>
      <c r="K735" s="8">
        <v>69635.08</v>
      </c>
      <c r="L735" s="11"/>
      <c r="M735" s="9">
        <f t="shared" si="395"/>
        <v>1722911.68</v>
      </c>
      <c r="N735" s="8">
        <v>69635.08</v>
      </c>
      <c r="O735" s="9"/>
      <c r="P735" s="9">
        <f t="shared" si="396"/>
        <v>69635.08</v>
      </c>
      <c r="Q735" s="9">
        <f t="shared" si="387"/>
        <v>1722911.6799999997</v>
      </c>
      <c r="R735" s="17"/>
      <c r="S735" s="17"/>
      <c r="T735" s="17"/>
      <c r="U735" s="9">
        <f t="shared" si="388"/>
        <v>69635.08</v>
      </c>
      <c r="V735" s="9">
        <f t="shared" si="389"/>
        <v>1792546.76</v>
      </c>
      <c r="W735" s="9">
        <f t="shared" si="390"/>
        <v>0</v>
      </c>
      <c r="X735" s="9">
        <f t="shared" si="391"/>
        <v>1792546.76</v>
      </c>
      <c r="Y735" s="8"/>
      <c r="Z735" s="9">
        <f t="shared" si="392"/>
        <v>0</v>
      </c>
      <c r="AA735" s="8">
        <f t="shared" si="393"/>
        <v>1792546.76</v>
      </c>
      <c r="AB735" s="8">
        <f t="shared" si="394"/>
        <v>0</v>
      </c>
    </row>
    <row r="736" spans="1:28" x14ac:dyDescent="0.3">
      <c r="A736" s="64"/>
      <c r="B736" s="8"/>
      <c r="C736" s="7" t="s">
        <v>1103</v>
      </c>
      <c r="D736" s="16" t="s">
        <v>1072</v>
      </c>
      <c r="E736" s="11">
        <v>300000</v>
      </c>
      <c r="F736" s="9">
        <v>300000</v>
      </c>
      <c r="G736" s="9"/>
      <c r="H736" s="9">
        <f>+F736+G736</f>
        <v>300000</v>
      </c>
      <c r="I736" s="9"/>
      <c r="J736" s="9">
        <f t="shared" si="386"/>
        <v>300000</v>
      </c>
      <c r="K736" s="8"/>
      <c r="L736" s="11"/>
      <c r="M736" s="9">
        <f t="shared" si="395"/>
        <v>300000</v>
      </c>
      <c r="N736" s="8">
        <v>0</v>
      </c>
      <c r="O736" s="9"/>
      <c r="P736" s="9">
        <f t="shared" si="396"/>
        <v>0</v>
      </c>
      <c r="Q736" s="9"/>
      <c r="R736" s="17"/>
      <c r="S736" s="17"/>
      <c r="T736" s="17"/>
      <c r="U736" s="9">
        <f>P736+T736</f>
        <v>0</v>
      </c>
      <c r="V736" s="9">
        <f>P736+H736</f>
        <v>300000</v>
      </c>
      <c r="W736" s="9">
        <f>E736-V736</f>
        <v>0</v>
      </c>
      <c r="X736" s="9">
        <f t="shared" si="391"/>
        <v>300000</v>
      </c>
      <c r="Y736" s="8"/>
      <c r="Z736" s="9">
        <f t="shared" si="392"/>
        <v>0</v>
      </c>
      <c r="AA736" s="8">
        <f t="shared" si="393"/>
        <v>300000</v>
      </c>
      <c r="AB736" s="8">
        <f t="shared" si="394"/>
        <v>0</v>
      </c>
    </row>
    <row r="737" spans="1:28" x14ac:dyDescent="0.3">
      <c r="A737" s="64"/>
      <c r="B737" s="8"/>
      <c r="C737" s="7" t="s">
        <v>1145</v>
      </c>
      <c r="D737" s="16" t="s">
        <v>1126</v>
      </c>
      <c r="E737" s="11">
        <v>300000</v>
      </c>
      <c r="F737" s="9">
        <v>300000</v>
      </c>
      <c r="G737" s="9"/>
      <c r="H737" s="9">
        <f>+F737+G737</f>
        <v>300000</v>
      </c>
      <c r="I737" s="9"/>
      <c r="J737" s="9">
        <f t="shared" si="386"/>
        <v>300000</v>
      </c>
      <c r="K737" s="8"/>
      <c r="L737" s="11"/>
      <c r="M737" s="9">
        <f t="shared" si="395"/>
        <v>300000</v>
      </c>
      <c r="N737" s="8">
        <v>0</v>
      </c>
      <c r="O737" s="9"/>
      <c r="P737" s="9">
        <f>+N737+O737</f>
        <v>0</v>
      </c>
      <c r="Q737" s="9"/>
      <c r="R737" s="17"/>
      <c r="S737" s="17"/>
      <c r="T737" s="17"/>
      <c r="U737" s="9">
        <f>P737+T737</f>
        <v>0</v>
      </c>
      <c r="V737" s="9">
        <f>P737+H737</f>
        <v>300000</v>
      </c>
      <c r="W737" s="9">
        <f>E737-V737</f>
        <v>0</v>
      </c>
      <c r="X737" s="9">
        <f t="shared" si="391"/>
        <v>300000</v>
      </c>
      <c r="Y737" s="8"/>
      <c r="Z737" s="9">
        <f t="shared" si="392"/>
        <v>0</v>
      </c>
      <c r="AA737" s="8">
        <f t="shared" si="393"/>
        <v>300000</v>
      </c>
      <c r="AB737" s="8">
        <f t="shared" si="394"/>
        <v>0</v>
      </c>
    </row>
    <row r="738" spans="1:28" x14ac:dyDescent="0.3">
      <c r="A738" s="64"/>
      <c r="B738" s="8"/>
      <c r="C738" s="7" t="s">
        <v>933</v>
      </c>
      <c r="D738" s="16" t="s">
        <v>1072</v>
      </c>
      <c r="E738" s="11">
        <v>212000</v>
      </c>
      <c r="F738" s="9">
        <v>212000</v>
      </c>
      <c r="G738" s="9"/>
      <c r="H738" s="9">
        <f>+F738+G738</f>
        <v>212000</v>
      </c>
      <c r="I738" s="9"/>
      <c r="J738" s="9"/>
      <c r="K738" s="8"/>
      <c r="L738" s="11"/>
      <c r="M738" s="9">
        <f>+H738+L738</f>
        <v>212000</v>
      </c>
      <c r="N738" s="8">
        <v>0</v>
      </c>
      <c r="O738" s="9"/>
      <c r="P738" s="9">
        <f t="shared" si="396"/>
        <v>0</v>
      </c>
      <c r="Q738" s="9"/>
      <c r="R738" s="17"/>
      <c r="S738" s="17"/>
      <c r="T738" s="17"/>
      <c r="U738" s="9">
        <f>P738+T738</f>
        <v>0</v>
      </c>
      <c r="V738" s="9">
        <f>P738+H738</f>
        <v>212000</v>
      </c>
      <c r="W738" s="9">
        <f>E738-V738</f>
        <v>0</v>
      </c>
      <c r="X738" s="9">
        <f t="shared" si="391"/>
        <v>212000</v>
      </c>
      <c r="Y738" s="8"/>
      <c r="Z738" s="9">
        <f t="shared" si="392"/>
        <v>0</v>
      </c>
      <c r="AA738" s="8">
        <f t="shared" si="393"/>
        <v>212000</v>
      </c>
      <c r="AB738" s="8">
        <f t="shared" si="394"/>
        <v>0</v>
      </c>
    </row>
    <row r="739" spans="1:28" x14ac:dyDescent="0.3">
      <c r="A739" s="64"/>
      <c r="B739" s="8"/>
      <c r="C739" s="7" t="s">
        <v>622</v>
      </c>
      <c r="D739" s="8"/>
      <c r="E739" s="9">
        <v>3829904.05</v>
      </c>
      <c r="F739" s="9">
        <f>3201700+590170.65</f>
        <v>3791870.65</v>
      </c>
      <c r="G739" s="8"/>
      <c r="H739" s="9">
        <f t="shared" si="385"/>
        <v>3791870.65</v>
      </c>
      <c r="I739" s="8"/>
      <c r="J739" s="9">
        <f t="shared" si="386"/>
        <v>3791870.65</v>
      </c>
      <c r="K739" s="9">
        <v>38033.4</v>
      </c>
      <c r="L739" s="8"/>
      <c r="M739" s="9">
        <f t="shared" si="395"/>
        <v>3791870.65</v>
      </c>
      <c r="N739" s="8">
        <v>38033.4</v>
      </c>
      <c r="O739" s="9"/>
      <c r="P739" s="9">
        <f t="shared" si="396"/>
        <v>38033.4</v>
      </c>
      <c r="Q739" s="9">
        <f t="shared" si="387"/>
        <v>3791870.65</v>
      </c>
      <c r="R739" s="17"/>
      <c r="S739" s="17"/>
      <c r="T739" s="17"/>
      <c r="U739" s="9">
        <f t="shared" si="388"/>
        <v>38033.4</v>
      </c>
      <c r="V739" s="9">
        <f t="shared" si="389"/>
        <v>3829904.05</v>
      </c>
      <c r="W739" s="9">
        <f t="shared" si="390"/>
        <v>0</v>
      </c>
      <c r="X739" s="9">
        <f t="shared" si="391"/>
        <v>3829904.05</v>
      </c>
      <c r="Y739" s="8"/>
      <c r="Z739" s="9">
        <f t="shared" si="392"/>
        <v>0</v>
      </c>
      <c r="AA739" s="8">
        <f t="shared" si="393"/>
        <v>3829904.05</v>
      </c>
      <c r="AB739" s="8">
        <f t="shared" si="394"/>
        <v>0</v>
      </c>
    </row>
    <row r="740" spans="1:28" x14ac:dyDescent="0.3">
      <c r="A740" s="64"/>
      <c r="B740" s="8"/>
      <c r="C740" s="7" t="s">
        <v>623</v>
      </c>
      <c r="D740" s="8"/>
      <c r="E740" s="9">
        <v>452864</v>
      </c>
      <c r="F740" s="9">
        <v>452864</v>
      </c>
      <c r="G740" s="8"/>
      <c r="H740" s="9">
        <f t="shared" si="385"/>
        <v>452864</v>
      </c>
      <c r="I740" s="8"/>
      <c r="J740" s="9">
        <f t="shared" si="386"/>
        <v>452864</v>
      </c>
      <c r="K740" s="8"/>
      <c r="L740" s="8"/>
      <c r="M740" s="9">
        <f t="shared" si="395"/>
        <v>452864</v>
      </c>
      <c r="N740" s="8">
        <v>0</v>
      </c>
      <c r="O740" s="9"/>
      <c r="P740" s="9">
        <f t="shared" si="396"/>
        <v>0</v>
      </c>
      <c r="Q740" s="9">
        <f t="shared" si="387"/>
        <v>452864</v>
      </c>
      <c r="R740" s="17"/>
      <c r="S740" s="17"/>
      <c r="T740" s="17"/>
      <c r="U740" s="9">
        <f t="shared" si="388"/>
        <v>0</v>
      </c>
      <c r="V740" s="9">
        <f t="shared" si="389"/>
        <v>452864</v>
      </c>
      <c r="W740" s="9">
        <f t="shared" si="390"/>
        <v>0</v>
      </c>
      <c r="X740" s="9">
        <f t="shared" si="391"/>
        <v>452864</v>
      </c>
      <c r="Y740" s="8"/>
      <c r="Z740" s="9">
        <f t="shared" si="392"/>
        <v>0</v>
      </c>
      <c r="AA740" s="8">
        <f t="shared" si="393"/>
        <v>452864</v>
      </c>
      <c r="AB740" s="8">
        <f t="shared" si="394"/>
        <v>0</v>
      </c>
    </row>
    <row r="741" spans="1:28" x14ac:dyDescent="0.3">
      <c r="A741" s="64"/>
      <c r="B741" s="8"/>
      <c r="C741" s="7" t="s">
        <v>606</v>
      </c>
      <c r="D741" s="8"/>
      <c r="E741" s="9">
        <v>2500000</v>
      </c>
      <c r="F741" s="9">
        <v>2500000</v>
      </c>
      <c r="G741" s="8"/>
      <c r="H741" s="9">
        <f t="shared" si="385"/>
        <v>2500000</v>
      </c>
      <c r="I741" s="8"/>
      <c r="J741" s="9">
        <f t="shared" si="386"/>
        <v>2500000</v>
      </c>
      <c r="K741" s="8"/>
      <c r="L741" s="8"/>
      <c r="M741" s="9">
        <f t="shared" si="395"/>
        <v>2500000</v>
      </c>
      <c r="N741" s="8">
        <v>0</v>
      </c>
      <c r="O741" s="9"/>
      <c r="P741" s="9">
        <f t="shared" si="396"/>
        <v>0</v>
      </c>
      <c r="Q741" s="9">
        <f t="shared" si="387"/>
        <v>2500000</v>
      </c>
      <c r="R741" s="17"/>
      <c r="S741" s="17"/>
      <c r="T741" s="17"/>
      <c r="U741" s="9">
        <f t="shared" si="388"/>
        <v>0</v>
      </c>
      <c r="V741" s="9">
        <f t="shared" si="389"/>
        <v>2500000</v>
      </c>
      <c r="W741" s="9">
        <f t="shared" si="390"/>
        <v>0</v>
      </c>
      <c r="X741" s="9">
        <f t="shared" si="391"/>
        <v>2500000</v>
      </c>
      <c r="Y741" s="8"/>
      <c r="Z741" s="9">
        <f t="shared" si="392"/>
        <v>0</v>
      </c>
      <c r="AA741" s="8">
        <f t="shared" si="393"/>
        <v>2500000</v>
      </c>
      <c r="AB741" s="8">
        <f t="shared" si="394"/>
        <v>0</v>
      </c>
    </row>
    <row r="742" spans="1:28" x14ac:dyDescent="0.3">
      <c r="A742" s="64"/>
      <c r="B742" s="8"/>
      <c r="C742" s="8"/>
      <c r="D742" s="8"/>
      <c r="E742" s="17" t="s">
        <v>29</v>
      </c>
      <c r="F742" s="17" t="s">
        <v>29</v>
      </c>
      <c r="G742" s="17" t="s">
        <v>29</v>
      </c>
      <c r="H742" s="17" t="s">
        <v>29</v>
      </c>
      <c r="I742" s="17" t="s">
        <v>29</v>
      </c>
      <c r="J742" s="17" t="s">
        <v>29</v>
      </c>
      <c r="K742" s="17" t="s">
        <v>29</v>
      </c>
      <c r="L742" s="17" t="s">
        <v>29</v>
      </c>
      <c r="M742" s="17" t="s">
        <v>29</v>
      </c>
      <c r="N742" s="17" t="s">
        <v>29</v>
      </c>
      <c r="O742" s="17" t="s">
        <v>29</v>
      </c>
      <c r="P742" s="17" t="s">
        <v>29</v>
      </c>
      <c r="Q742" s="17" t="s">
        <v>29</v>
      </c>
      <c r="R742" s="17" t="s">
        <v>29</v>
      </c>
      <c r="S742" s="17" t="s">
        <v>29</v>
      </c>
      <c r="T742" s="17" t="s">
        <v>29</v>
      </c>
      <c r="U742" s="17" t="s">
        <v>29</v>
      </c>
      <c r="V742" s="17" t="s">
        <v>29</v>
      </c>
      <c r="W742" s="17" t="s">
        <v>29</v>
      </c>
      <c r="X742" s="17" t="s">
        <v>29</v>
      </c>
      <c r="Y742" s="17" t="s">
        <v>29</v>
      </c>
      <c r="Z742" s="17" t="s">
        <v>29</v>
      </c>
      <c r="AA742" s="17" t="s">
        <v>29</v>
      </c>
      <c r="AB742" s="17" t="s">
        <v>29</v>
      </c>
    </row>
    <row r="743" spans="1:28" x14ac:dyDescent="0.3">
      <c r="A743" s="64"/>
      <c r="B743" s="8"/>
      <c r="C743" s="8"/>
      <c r="D743" s="8"/>
      <c r="E743" s="9">
        <f t="shared" ref="E743:Q743" si="397">SUM(E717:E742)</f>
        <v>51824196.61999999</v>
      </c>
      <c r="F743" s="9">
        <f t="shared" si="397"/>
        <v>46987385.449999996</v>
      </c>
      <c r="G743" s="9">
        <f t="shared" si="397"/>
        <v>0</v>
      </c>
      <c r="H743" s="9">
        <f t="shared" si="397"/>
        <v>46987385.449999996</v>
      </c>
      <c r="I743" s="9">
        <f t="shared" si="397"/>
        <v>1252023.3399999996</v>
      </c>
      <c r="J743" s="9">
        <f t="shared" si="397"/>
        <v>48027408.789999992</v>
      </c>
      <c r="K743" s="9">
        <f t="shared" si="397"/>
        <v>3584799.8299999996</v>
      </c>
      <c r="L743" s="9">
        <f t="shared" si="397"/>
        <v>1252023.3400000001</v>
      </c>
      <c r="M743" s="9">
        <f t="shared" si="397"/>
        <v>48239408.789999992</v>
      </c>
      <c r="N743" s="9">
        <f t="shared" si="397"/>
        <v>3584799.8299999996</v>
      </c>
      <c r="O743" s="9">
        <f t="shared" si="397"/>
        <v>0</v>
      </c>
      <c r="P743" s="9">
        <f t="shared" si="397"/>
        <v>3584799.8299999996</v>
      </c>
      <c r="Q743" s="9">
        <f t="shared" si="397"/>
        <v>47427396.789999992</v>
      </c>
      <c r="R743" s="17"/>
      <c r="S743" s="17"/>
      <c r="T743" s="9">
        <f t="shared" ref="T743:Z743" si="398">SUM(T717:T742)</f>
        <v>0</v>
      </c>
      <c r="U743" s="9">
        <f t="shared" si="398"/>
        <v>3584799.8299999996</v>
      </c>
      <c r="V743" s="9">
        <f t="shared" si="398"/>
        <v>50572185.279999994</v>
      </c>
      <c r="W743" s="9">
        <f t="shared" si="398"/>
        <v>1252011.3399999999</v>
      </c>
      <c r="X743" s="9">
        <f t="shared" si="398"/>
        <v>50572185.279999994</v>
      </c>
      <c r="Y743" s="9">
        <f t="shared" si="398"/>
        <v>0</v>
      </c>
      <c r="Z743" s="9">
        <f t="shared" si="398"/>
        <v>1252011.3399999999</v>
      </c>
      <c r="AA743" s="9">
        <f>SUM(AA717:AA742)</f>
        <v>51824208.61999999</v>
      </c>
      <c r="AB743" s="9">
        <f>SUM(AB717:AB742)</f>
        <v>-12</v>
      </c>
    </row>
    <row r="744" spans="1:28" x14ac:dyDescent="0.3">
      <c r="A744" s="64"/>
      <c r="B744" s="8"/>
      <c r="C744" s="8"/>
      <c r="D744" s="8"/>
      <c r="E744" s="17" t="s">
        <v>29</v>
      </c>
      <c r="F744" s="17" t="s">
        <v>29</v>
      </c>
      <c r="G744" s="17" t="s">
        <v>29</v>
      </c>
      <c r="H744" s="17" t="s">
        <v>29</v>
      </c>
      <c r="I744" s="17" t="s">
        <v>29</v>
      </c>
      <c r="J744" s="17" t="s">
        <v>29</v>
      </c>
      <c r="K744" s="17" t="s">
        <v>29</v>
      </c>
      <c r="L744" s="17" t="s">
        <v>29</v>
      </c>
      <c r="M744" s="17" t="s">
        <v>29</v>
      </c>
      <c r="N744" s="17" t="s">
        <v>29</v>
      </c>
      <c r="O744" s="17" t="s">
        <v>29</v>
      </c>
      <c r="P744" s="17" t="s">
        <v>29</v>
      </c>
      <c r="Q744" s="17" t="s">
        <v>29</v>
      </c>
      <c r="R744" s="17" t="s">
        <v>29</v>
      </c>
      <c r="S744" s="17" t="s">
        <v>29</v>
      </c>
      <c r="T744" s="17" t="s">
        <v>29</v>
      </c>
      <c r="U744" s="17" t="s">
        <v>29</v>
      </c>
      <c r="V744" s="17" t="s">
        <v>29</v>
      </c>
      <c r="W744" s="17" t="s">
        <v>29</v>
      </c>
      <c r="X744" s="17" t="s">
        <v>29</v>
      </c>
      <c r="Y744" s="17" t="s">
        <v>29</v>
      </c>
      <c r="Z744" s="17" t="s">
        <v>29</v>
      </c>
      <c r="AA744" s="17" t="s">
        <v>29</v>
      </c>
      <c r="AB744" s="17" t="s">
        <v>29</v>
      </c>
    </row>
    <row r="745" spans="1:28" x14ac:dyDescent="0.3">
      <c r="A745" s="63" t="s">
        <v>972</v>
      </c>
      <c r="B745" s="7" t="s">
        <v>624</v>
      </c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17"/>
      <c r="S745" s="17"/>
      <c r="T745" s="17"/>
      <c r="U745" s="17"/>
      <c r="V745" s="17"/>
      <c r="W745" s="17"/>
      <c r="X745" s="17"/>
      <c r="Y745" s="17"/>
      <c r="Z745" s="17"/>
      <c r="AA745" s="58"/>
    </row>
    <row r="746" spans="1:28" x14ac:dyDescent="0.3">
      <c r="A746" s="64"/>
      <c r="B746" s="8"/>
      <c r="C746" s="7" t="s">
        <v>535</v>
      </c>
      <c r="D746" s="15" t="s">
        <v>150</v>
      </c>
      <c r="E746" s="9">
        <v>1532794.43</v>
      </c>
      <c r="F746" s="9">
        <f>1278251.03+146887.2+107656.2</f>
        <v>1532794.43</v>
      </c>
      <c r="G746" s="8"/>
      <c r="H746" s="9">
        <f t="shared" ref="H746:H754" si="399">F746+G746</f>
        <v>1532794.43</v>
      </c>
      <c r="I746" s="8"/>
      <c r="J746" s="9">
        <f t="shared" ref="J746:J754" si="400">H746+I746</f>
        <v>1532794.43</v>
      </c>
      <c r="K746" s="9">
        <v>0</v>
      </c>
      <c r="L746" s="8"/>
      <c r="M746" s="9">
        <f>+H746+L746</f>
        <v>1532794.43</v>
      </c>
      <c r="N746" s="8"/>
      <c r="O746" s="9"/>
      <c r="P746" s="9">
        <f>+N746+O746</f>
        <v>0</v>
      </c>
      <c r="Q746" s="9">
        <f t="shared" ref="Q746:Q754" si="401">E746-P746</f>
        <v>1532794.43</v>
      </c>
      <c r="R746" s="17"/>
      <c r="S746" s="17"/>
      <c r="T746" s="17"/>
      <c r="U746" s="9">
        <f t="shared" ref="U746:U754" si="402">P746+T746</f>
        <v>0</v>
      </c>
      <c r="V746" s="9">
        <f t="shared" ref="V746:V754" si="403">P746+H746</f>
        <v>1532794.43</v>
      </c>
      <c r="W746" s="9">
        <f t="shared" ref="W746:W754" si="404">E746-V746</f>
        <v>0</v>
      </c>
      <c r="X746" s="9">
        <f t="shared" ref="X746:X754" si="405">+H746+P746</f>
        <v>1532794.43</v>
      </c>
      <c r="Y746" s="8"/>
      <c r="Z746" s="9">
        <f t="shared" ref="Z746:Z754" si="406">+E746-X746</f>
        <v>0</v>
      </c>
      <c r="AA746" s="8">
        <f t="shared" ref="AA746:AA754" si="407">+M746+U746</f>
        <v>1532794.43</v>
      </c>
      <c r="AB746" s="8">
        <f t="shared" ref="AB746:AB754" si="408">+E746-AA746</f>
        <v>0</v>
      </c>
    </row>
    <row r="747" spans="1:28" x14ac:dyDescent="0.3">
      <c r="A747" s="64"/>
      <c r="B747" s="8"/>
      <c r="C747" s="7" t="s">
        <v>625</v>
      </c>
      <c r="D747" s="15" t="s">
        <v>150</v>
      </c>
      <c r="E747" s="9">
        <v>4350000</v>
      </c>
      <c r="F747" s="9">
        <f>3589100+526521+212880</f>
        <v>4328501</v>
      </c>
      <c r="G747" s="8"/>
      <c r="H747" s="9">
        <f t="shared" si="399"/>
        <v>4328501</v>
      </c>
      <c r="I747" s="8"/>
      <c r="J747" s="9">
        <f t="shared" si="400"/>
        <v>4328501</v>
      </c>
      <c r="K747" s="9">
        <v>21499</v>
      </c>
      <c r="L747" s="8"/>
      <c r="M747" s="9">
        <f t="shared" ref="M747:M754" si="409">+H747+L747</f>
        <v>4328501</v>
      </c>
      <c r="N747" s="8">
        <v>21499</v>
      </c>
      <c r="O747" s="9"/>
      <c r="P747" s="9">
        <f t="shared" ref="P747:P754" si="410">+N747+O747</f>
        <v>21499</v>
      </c>
      <c r="Q747" s="9">
        <f t="shared" si="401"/>
        <v>4328501</v>
      </c>
      <c r="R747" s="17"/>
      <c r="S747" s="17"/>
      <c r="T747" s="17"/>
      <c r="U747" s="9">
        <f t="shared" si="402"/>
        <v>21499</v>
      </c>
      <c r="V747" s="9">
        <f t="shared" si="403"/>
        <v>4350000</v>
      </c>
      <c r="W747" s="9">
        <f t="shared" si="404"/>
        <v>0</v>
      </c>
      <c r="X747" s="9">
        <f t="shared" si="405"/>
        <v>4350000</v>
      </c>
      <c r="Y747" s="8"/>
      <c r="Z747" s="9">
        <f t="shared" si="406"/>
        <v>0</v>
      </c>
      <c r="AA747" s="8">
        <f t="shared" si="407"/>
        <v>4350000</v>
      </c>
      <c r="AB747" s="8">
        <f t="shared" si="408"/>
        <v>0</v>
      </c>
    </row>
    <row r="748" spans="1:28" x14ac:dyDescent="0.3">
      <c r="A748" s="64"/>
      <c r="B748" s="8"/>
      <c r="C748" s="7" t="s">
        <v>626</v>
      </c>
      <c r="D748" s="15" t="s">
        <v>150</v>
      </c>
      <c r="E748" s="9">
        <v>1856879.43</v>
      </c>
      <c r="F748" s="9">
        <v>1375469.12</v>
      </c>
      <c r="G748" s="8"/>
      <c r="H748" s="9">
        <f t="shared" si="399"/>
        <v>1375469.12</v>
      </c>
      <c r="I748" s="8"/>
      <c r="J748" s="9">
        <f t="shared" si="400"/>
        <v>1375469.12</v>
      </c>
      <c r="K748" s="9">
        <f>8026.24+473384.07</f>
        <v>481410.31</v>
      </c>
      <c r="L748" s="8"/>
      <c r="M748" s="9">
        <f t="shared" si="409"/>
        <v>1375469.12</v>
      </c>
      <c r="N748" s="8">
        <v>481410.31</v>
      </c>
      <c r="O748" s="9"/>
      <c r="P748" s="9">
        <f t="shared" si="410"/>
        <v>481410.31</v>
      </c>
      <c r="Q748" s="9">
        <f t="shared" si="401"/>
        <v>1375469.1199999999</v>
      </c>
      <c r="R748" s="17"/>
      <c r="S748" s="17"/>
      <c r="T748" s="17"/>
      <c r="U748" s="9">
        <f t="shared" si="402"/>
        <v>481410.31</v>
      </c>
      <c r="V748" s="9">
        <f t="shared" si="403"/>
        <v>1856879.4300000002</v>
      </c>
      <c r="W748" s="9">
        <f t="shared" si="404"/>
        <v>0</v>
      </c>
      <c r="X748" s="9">
        <f t="shared" si="405"/>
        <v>1856879.4300000002</v>
      </c>
      <c r="Y748" s="8"/>
      <c r="Z748" s="9">
        <f t="shared" si="406"/>
        <v>0</v>
      </c>
      <c r="AA748" s="8">
        <f t="shared" si="407"/>
        <v>1856879.4300000002</v>
      </c>
      <c r="AB748" s="8">
        <f t="shared" si="408"/>
        <v>0</v>
      </c>
    </row>
    <row r="749" spans="1:28" x14ac:dyDescent="0.3">
      <c r="A749" s="64"/>
      <c r="B749" s="8"/>
      <c r="C749" s="7" t="s">
        <v>535</v>
      </c>
      <c r="D749" s="15" t="s">
        <v>68</v>
      </c>
      <c r="E749" s="9">
        <f>1404100-793617.08</f>
        <v>610482.92000000004</v>
      </c>
      <c r="F749" s="8"/>
      <c r="G749" s="8"/>
      <c r="H749" s="9">
        <f t="shared" si="399"/>
        <v>0</v>
      </c>
      <c r="I749" s="8"/>
      <c r="J749" s="9">
        <f t="shared" si="400"/>
        <v>0</v>
      </c>
      <c r="K749" s="9">
        <f>19017.4+591465.52</f>
        <v>610482.92000000004</v>
      </c>
      <c r="L749" s="8"/>
      <c r="M749" s="9">
        <f t="shared" si="409"/>
        <v>0</v>
      </c>
      <c r="N749" s="8">
        <v>610482.92000000004</v>
      </c>
      <c r="O749" s="9"/>
      <c r="P749" s="9">
        <f t="shared" si="410"/>
        <v>610482.92000000004</v>
      </c>
      <c r="Q749" s="9">
        <f t="shared" si="401"/>
        <v>0</v>
      </c>
      <c r="R749" s="17"/>
      <c r="S749" s="17"/>
      <c r="T749" s="17"/>
      <c r="U749" s="9">
        <f t="shared" si="402"/>
        <v>610482.92000000004</v>
      </c>
      <c r="V749" s="9">
        <f t="shared" si="403"/>
        <v>610482.92000000004</v>
      </c>
      <c r="W749" s="9">
        <f t="shared" si="404"/>
        <v>0</v>
      </c>
      <c r="X749" s="9">
        <f t="shared" si="405"/>
        <v>610482.92000000004</v>
      </c>
      <c r="Y749" s="8"/>
      <c r="Z749" s="9">
        <f t="shared" si="406"/>
        <v>0</v>
      </c>
      <c r="AA749" s="8">
        <f t="shared" si="407"/>
        <v>610482.92000000004</v>
      </c>
      <c r="AB749" s="8">
        <f t="shared" si="408"/>
        <v>0</v>
      </c>
    </row>
    <row r="750" spans="1:28" x14ac:dyDescent="0.3">
      <c r="A750" s="64"/>
      <c r="B750" s="8"/>
      <c r="C750" s="7" t="s">
        <v>545</v>
      </c>
      <c r="D750" s="15" t="s">
        <v>54</v>
      </c>
      <c r="E750" s="9">
        <v>570941</v>
      </c>
      <c r="F750" s="8"/>
      <c r="G750" s="8"/>
      <c r="H750" s="9">
        <f t="shared" si="399"/>
        <v>0</v>
      </c>
      <c r="I750" s="8"/>
      <c r="J750" s="9">
        <f t="shared" si="400"/>
        <v>0</v>
      </c>
      <c r="K750" s="9">
        <v>570941</v>
      </c>
      <c r="L750" s="8"/>
      <c r="M750" s="9">
        <f t="shared" si="409"/>
        <v>0</v>
      </c>
      <c r="N750" s="8">
        <v>570941</v>
      </c>
      <c r="O750" s="9"/>
      <c r="P750" s="9">
        <f t="shared" si="410"/>
        <v>570941</v>
      </c>
      <c r="Q750" s="9">
        <f t="shared" si="401"/>
        <v>0</v>
      </c>
      <c r="R750" s="17"/>
      <c r="S750" s="17"/>
      <c r="T750" s="17"/>
      <c r="U750" s="9">
        <f t="shared" si="402"/>
        <v>570941</v>
      </c>
      <c r="V750" s="9">
        <f t="shared" si="403"/>
        <v>570941</v>
      </c>
      <c r="W750" s="9">
        <f t="shared" si="404"/>
        <v>0</v>
      </c>
      <c r="X750" s="9">
        <f t="shared" si="405"/>
        <v>570941</v>
      </c>
      <c r="Y750" s="8"/>
      <c r="Z750" s="9">
        <f t="shared" si="406"/>
        <v>0</v>
      </c>
      <c r="AA750" s="8">
        <f t="shared" si="407"/>
        <v>570941</v>
      </c>
      <c r="AB750" s="8">
        <f t="shared" si="408"/>
        <v>0</v>
      </c>
    </row>
    <row r="751" spans="1:28" x14ac:dyDescent="0.3">
      <c r="A751" s="64"/>
      <c r="B751" s="8"/>
      <c r="C751" s="7" t="s">
        <v>535</v>
      </c>
      <c r="D751" s="15" t="s">
        <v>85</v>
      </c>
      <c r="E751" s="9">
        <v>511904</v>
      </c>
      <c r="F751" s="9">
        <v>511904</v>
      </c>
      <c r="G751" s="8"/>
      <c r="H751" s="9">
        <f t="shared" si="399"/>
        <v>511904</v>
      </c>
      <c r="I751" s="8"/>
      <c r="J751" s="9">
        <f t="shared" si="400"/>
        <v>511904</v>
      </c>
      <c r="K751" s="8"/>
      <c r="L751" s="8"/>
      <c r="M751" s="9">
        <f t="shared" si="409"/>
        <v>511904</v>
      </c>
      <c r="N751" s="8"/>
      <c r="O751" s="9"/>
      <c r="P751" s="9">
        <f t="shared" si="410"/>
        <v>0</v>
      </c>
      <c r="Q751" s="9">
        <f t="shared" si="401"/>
        <v>511904</v>
      </c>
      <c r="R751" s="17"/>
      <c r="S751" s="17"/>
      <c r="T751" s="17"/>
      <c r="U751" s="9">
        <f t="shared" si="402"/>
        <v>0</v>
      </c>
      <c r="V751" s="9">
        <f t="shared" si="403"/>
        <v>511904</v>
      </c>
      <c r="W751" s="9">
        <f t="shared" si="404"/>
        <v>0</v>
      </c>
      <c r="X751" s="9">
        <f t="shared" si="405"/>
        <v>511904</v>
      </c>
      <c r="Y751" s="8"/>
      <c r="Z751" s="9">
        <f t="shared" si="406"/>
        <v>0</v>
      </c>
      <c r="AA751" s="8">
        <f t="shared" si="407"/>
        <v>511904</v>
      </c>
      <c r="AB751" s="8">
        <f t="shared" si="408"/>
        <v>0</v>
      </c>
    </row>
    <row r="752" spans="1:28" x14ac:dyDescent="0.3">
      <c r="A752" s="64"/>
      <c r="B752" s="8"/>
      <c r="C752" s="7" t="s">
        <v>535</v>
      </c>
      <c r="D752" s="21" t="s">
        <v>73</v>
      </c>
      <c r="E752" s="11">
        <v>3203713</v>
      </c>
      <c r="F752" s="11">
        <v>3203713</v>
      </c>
      <c r="G752" s="8"/>
      <c r="H752" s="9">
        <f t="shared" si="399"/>
        <v>3203713</v>
      </c>
      <c r="I752" s="8"/>
      <c r="J752" s="9">
        <f t="shared" si="400"/>
        <v>3203713</v>
      </c>
      <c r="K752" s="8"/>
      <c r="L752" s="8"/>
      <c r="M752" s="9">
        <f t="shared" si="409"/>
        <v>3203713</v>
      </c>
      <c r="N752" s="8"/>
      <c r="O752" s="9"/>
      <c r="P752" s="9">
        <f t="shared" si="410"/>
        <v>0</v>
      </c>
      <c r="Q752" s="9">
        <f t="shared" si="401"/>
        <v>3203713</v>
      </c>
      <c r="R752" s="17"/>
      <c r="S752" s="17"/>
      <c r="T752" s="17"/>
      <c r="U752" s="9">
        <f t="shared" si="402"/>
        <v>0</v>
      </c>
      <c r="V752" s="9">
        <f t="shared" si="403"/>
        <v>3203713</v>
      </c>
      <c r="W752" s="9">
        <f t="shared" si="404"/>
        <v>0</v>
      </c>
      <c r="X752" s="9">
        <f t="shared" si="405"/>
        <v>3203713</v>
      </c>
      <c r="Y752" s="8"/>
      <c r="Z752" s="9">
        <f t="shared" si="406"/>
        <v>0</v>
      </c>
      <c r="AA752" s="8">
        <f t="shared" si="407"/>
        <v>3203713</v>
      </c>
      <c r="AB752" s="8">
        <f t="shared" si="408"/>
        <v>0</v>
      </c>
    </row>
    <row r="753" spans="1:28" x14ac:dyDescent="0.3">
      <c r="A753" s="64"/>
      <c r="B753" s="8"/>
      <c r="C753" s="7" t="s">
        <v>933</v>
      </c>
      <c r="D753" s="24" t="s">
        <v>1072</v>
      </c>
      <c r="E753" s="11">
        <v>756153.35</v>
      </c>
      <c r="F753" s="11">
        <v>756153.35</v>
      </c>
      <c r="G753" s="8"/>
      <c r="H753" s="9">
        <f>+F753+G753</f>
        <v>756153.35</v>
      </c>
      <c r="I753" s="8"/>
      <c r="J753" s="9"/>
      <c r="K753" s="8"/>
      <c r="L753" s="8"/>
      <c r="M753" s="9">
        <f>+H753+L753</f>
        <v>756153.35</v>
      </c>
      <c r="N753" s="8"/>
      <c r="O753" s="9"/>
      <c r="P753" s="9">
        <f>+N753+O753</f>
        <v>0</v>
      </c>
      <c r="Q753" s="9"/>
      <c r="R753" s="17"/>
      <c r="S753" s="17"/>
      <c r="T753" s="17"/>
      <c r="U753" s="9">
        <f>+P753+T753</f>
        <v>0</v>
      </c>
      <c r="V753" s="9"/>
      <c r="W753" s="9"/>
      <c r="X753" s="9">
        <f t="shared" si="405"/>
        <v>756153.35</v>
      </c>
      <c r="Y753" s="8"/>
      <c r="Z753" s="9">
        <f t="shared" si="406"/>
        <v>0</v>
      </c>
      <c r="AA753" s="8">
        <f t="shared" si="407"/>
        <v>756153.35</v>
      </c>
      <c r="AB753" s="8">
        <f t="shared" si="408"/>
        <v>0</v>
      </c>
    </row>
    <row r="754" spans="1:28" x14ac:dyDescent="0.3">
      <c r="A754" s="64"/>
      <c r="B754" s="8"/>
      <c r="C754" s="7" t="s">
        <v>598</v>
      </c>
      <c r="D754" s="8"/>
      <c r="E754" s="9">
        <f>121600+23820</f>
        <v>145420</v>
      </c>
      <c r="F754" s="9">
        <v>145420</v>
      </c>
      <c r="G754" s="8"/>
      <c r="H754" s="9">
        <f t="shared" si="399"/>
        <v>145420</v>
      </c>
      <c r="I754" s="8"/>
      <c r="J754" s="9">
        <f t="shared" si="400"/>
        <v>145420</v>
      </c>
      <c r="K754" s="8"/>
      <c r="L754" s="8"/>
      <c r="M754" s="9">
        <f t="shared" si="409"/>
        <v>145420</v>
      </c>
      <c r="N754" s="8"/>
      <c r="O754" s="9"/>
      <c r="P754" s="9">
        <f t="shared" si="410"/>
        <v>0</v>
      </c>
      <c r="Q754" s="9">
        <f t="shared" si="401"/>
        <v>145420</v>
      </c>
      <c r="R754" s="17"/>
      <c r="S754" s="17"/>
      <c r="T754" s="17"/>
      <c r="U754" s="9">
        <f t="shared" si="402"/>
        <v>0</v>
      </c>
      <c r="V754" s="9">
        <f t="shared" si="403"/>
        <v>145420</v>
      </c>
      <c r="W754" s="9">
        <f t="shared" si="404"/>
        <v>0</v>
      </c>
      <c r="X754" s="9">
        <f t="shared" si="405"/>
        <v>145420</v>
      </c>
      <c r="Y754" s="8"/>
      <c r="Z754" s="9">
        <f t="shared" si="406"/>
        <v>0</v>
      </c>
      <c r="AA754" s="8">
        <f t="shared" si="407"/>
        <v>145420</v>
      </c>
      <c r="AB754" s="8">
        <f t="shared" si="408"/>
        <v>0</v>
      </c>
    </row>
    <row r="755" spans="1:28" x14ac:dyDescent="0.3">
      <c r="A755" s="64"/>
      <c r="B755" s="8"/>
      <c r="C755" s="8"/>
      <c r="D755" s="8"/>
      <c r="E755" s="17" t="s">
        <v>29</v>
      </c>
      <c r="F755" s="17" t="s">
        <v>29</v>
      </c>
      <c r="G755" s="17" t="s">
        <v>29</v>
      </c>
      <c r="H755" s="17" t="s">
        <v>29</v>
      </c>
      <c r="I755" s="17" t="s">
        <v>29</v>
      </c>
      <c r="J755" s="17" t="s">
        <v>29</v>
      </c>
      <c r="K755" s="17" t="s">
        <v>29</v>
      </c>
      <c r="L755" s="17" t="s">
        <v>29</v>
      </c>
      <c r="M755" s="17" t="s">
        <v>29</v>
      </c>
      <c r="N755" s="17" t="s">
        <v>29</v>
      </c>
      <c r="O755" s="17" t="s">
        <v>29</v>
      </c>
      <c r="P755" s="17" t="s">
        <v>29</v>
      </c>
      <c r="Q755" s="17" t="s">
        <v>29</v>
      </c>
      <c r="R755" s="17" t="s">
        <v>29</v>
      </c>
      <c r="S755" s="17" t="s">
        <v>29</v>
      </c>
      <c r="T755" s="17" t="s">
        <v>29</v>
      </c>
      <c r="U755" s="17" t="s">
        <v>29</v>
      </c>
      <c r="V755" s="17" t="s">
        <v>29</v>
      </c>
      <c r="W755" s="17" t="s">
        <v>29</v>
      </c>
      <c r="X755" s="17" t="s">
        <v>29</v>
      </c>
      <c r="Y755" s="17" t="s">
        <v>29</v>
      </c>
      <c r="Z755" s="17" t="s">
        <v>29</v>
      </c>
      <c r="AA755" s="17" t="s">
        <v>29</v>
      </c>
      <c r="AB755" s="17" t="s">
        <v>29</v>
      </c>
    </row>
    <row r="756" spans="1:28" x14ac:dyDescent="0.3">
      <c r="A756" s="64"/>
      <c r="B756" s="8"/>
      <c r="C756" s="8"/>
      <c r="D756" s="8"/>
      <c r="E756" s="9">
        <f t="shared" ref="E756:Q756" si="411">SUM(E746:E755)</f>
        <v>13538288.129999999</v>
      </c>
      <c r="F756" s="9">
        <f t="shared" si="411"/>
        <v>11853954.9</v>
      </c>
      <c r="G756" s="9">
        <f t="shared" si="411"/>
        <v>0</v>
      </c>
      <c r="H756" s="9">
        <f t="shared" si="411"/>
        <v>11853954.9</v>
      </c>
      <c r="I756" s="9">
        <f t="shared" si="411"/>
        <v>0</v>
      </c>
      <c r="J756" s="9">
        <f t="shared" si="411"/>
        <v>11097801.550000001</v>
      </c>
      <c r="K756" s="9">
        <f t="shared" si="411"/>
        <v>1684333.23</v>
      </c>
      <c r="L756" s="9">
        <f t="shared" si="411"/>
        <v>0</v>
      </c>
      <c r="M756" s="9">
        <f t="shared" si="411"/>
        <v>11853954.9</v>
      </c>
      <c r="N756" s="9">
        <f t="shared" si="411"/>
        <v>1684333.23</v>
      </c>
      <c r="O756" s="9">
        <f t="shared" si="411"/>
        <v>0</v>
      </c>
      <c r="P756" s="9">
        <f t="shared" si="411"/>
        <v>1684333.23</v>
      </c>
      <c r="Q756" s="9">
        <f t="shared" si="411"/>
        <v>11097801.550000001</v>
      </c>
      <c r="R756" s="17"/>
      <c r="S756" s="17"/>
      <c r="T756" s="9">
        <f t="shared" ref="T756:Z756" si="412">SUM(T746:T755)</f>
        <v>0</v>
      </c>
      <c r="U756" s="9">
        <f t="shared" si="412"/>
        <v>1684333.23</v>
      </c>
      <c r="V756" s="9">
        <f t="shared" si="412"/>
        <v>12782134.779999999</v>
      </c>
      <c r="W756" s="9">
        <f t="shared" si="412"/>
        <v>0</v>
      </c>
      <c r="X756" s="9">
        <f t="shared" si="412"/>
        <v>13538288.129999999</v>
      </c>
      <c r="Y756" s="9">
        <f t="shared" si="412"/>
        <v>0</v>
      </c>
      <c r="Z756" s="9">
        <f t="shared" si="412"/>
        <v>0</v>
      </c>
      <c r="AA756" s="9">
        <f>SUM(AA746:AA755)</f>
        <v>13538288.129999999</v>
      </c>
      <c r="AB756" s="9">
        <f>SUM(AB746:AB755)</f>
        <v>0</v>
      </c>
    </row>
    <row r="757" spans="1:28" x14ac:dyDescent="0.3">
      <c r="A757" s="64"/>
      <c r="B757" s="8"/>
      <c r="C757" s="8"/>
      <c r="D757" s="8"/>
      <c r="E757" s="17" t="s">
        <v>29</v>
      </c>
      <c r="F757" s="17" t="s">
        <v>29</v>
      </c>
      <c r="G757" s="17" t="s">
        <v>29</v>
      </c>
      <c r="H757" s="17" t="s">
        <v>29</v>
      </c>
      <c r="I757" s="17" t="s">
        <v>29</v>
      </c>
      <c r="J757" s="17" t="s">
        <v>29</v>
      </c>
      <c r="K757" s="17" t="s">
        <v>29</v>
      </c>
      <c r="L757" s="17" t="s">
        <v>29</v>
      </c>
      <c r="M757" s="17" t="s">
        <v>29</v>
      </c>
      <c r="N757" s="17" t="s">
        <v>29</v>
      </c>
      <c r="O757" s="17" t="s">
        <v>29</v>
      </c>
      <c r="P757" s="17" t="s">
        <v>29</v>
      </c>
      <c r="Q757" s="17" t="s">
        <v>29</v>
      </c>
      <c r="R757" s="17" t="s">
        <v>29</v>
      </c>
      <c r="S757" s="17" t="s">
        <v>29</v>
      </c>
      <c r="T757" s="17" t="s">
        <v>29</v>
      </c>
      <c r="U757" s="17" t="s">
        <v>29</v>
      </c>
      <c r="V757" s="17" t="s">
        <v>29</v>
      </c>
      <c r="W757" s="17" t="s">
        <v>29</v>
      </c>
      <c r="X757" s="17" t="s">
        <v>29</v>
      </c>
      <c r="Y757" s="17" t="s">
        <v>29</v>
      </c>
      <c r="Z757" s="17" t="s">
        <v>29</v>
      </c>
      <c r="AA757" s="17" t="s">
        <v>29</v>
      </c>
      <c r="AB757" s="17" t="s">
        <v>29</v>
      </c>
    </row>
    <row r="758" spans="1:28" x14ac:dyDescent="0.3">
      <c r="A758" s="64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17"/>
      <c r="S758" s="17"/>
      <c r="T758" s="17"/>
      <c r="U758" s="17"/>
      <c r="V758" s="17"/>
      <c r="W758" s="17"/>
      <c r="X758" s="17"/>
      <c r="Y758" s="17"/>
      <c r="Z758" s="17"/>
      <c r="AA758" s="58"/>
    </row>
    <row r="759" spans="1:28" x14ac:dyDescent="0.3">
      <c r="A759" s="63" t="s">
        <v>973</v>
      </c>
      <c r="B759" s="7" t="s">
        <v>627</v>
      </c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17"/>
      <c r="S759" s="17"/>
      <c r="T759" s="17"/>
      <c r="U759" s="17"/>
      <c r="V759" s="17"/>
      <c r="W759" s="17"/>
      <c r="X759" s="17"/>
      <c r="Y759" s="17"/>
      <c r="Z759" s="17"/>
    </row>
    <row r="760" spans="1:28" x14ac:dyDescent="0.3">
      <c r="A760" s="64"/>
      <c r="B760" s="8"/>
      <c r="C760" s="7" t="s">
        <v>535</v>
      </c>
      <c r="D760" s="15" t="s">
        <v>150</v>
      </c>
      <c r="E760" s="9">
        <v>3715280.05</v>
      </c>
      <c r="F760" s="9">
        <v>3715280.05</v>
      </c>
      <c r="G760" s="8"/>
      <c r="H760" s="9">
        <f t="shared" ref="H760:H779" si="413">F760+G760</f>
        <v>3715280.05</v>
      </c>
      <c r="I760" s="8"/>
      <c r="J760" s="9">
        <f t="shared" ref="J760:J779" si="414">H760+I760</f>
        <v>3715280.05</v>
      </c>
      <c r="K760" s="8"/>
      <c r="L760" s="8"/>
      <c r="M760" s="9">
        <f>+H760+L760</f>
        <v>3715280.05</v>
      </c>
      <c r="N760" s="8"/>
      <c r="O760" s="9"/>
      <c r="P760" s="9">
        <f>+N760+O760</f>
        <v>0</v>
      </c>
      <c r="Q760" s="9">
        <f t="shared" ref="Q760:Q779" si="415">E760-P760</f>
        <v>3715280.05</v>
      </c>
      <c r="R760" s="17"/>
      <c r="S760" s="17"/>
      <c r="T760" s="17"/>
      <c r="U760" s="9">
        <f>P760+T760</f>
        <v>0</v>
      </c>
      <c r="V760" s="9">
        <f>P760+H760</f>
        <v>3715280.05</v>
      </c>
      <c r="W760" s="9">
        <f>E760-V760</f>
        <v>0</v>
      </c>
      <c r="X760" s="9">
        <f t="shared" ref="X760:X779" si="416">+H760+P760</f>
        <v>3715280.05</v>
      </c>
      <c r="Y760" s="8"/>
      <c r="Z760" s="9">
        <f t="shared" ref="Z760:Z779" si="417">+E760-X760</f>
        <v>0</v>
      </c>
      <c r="AA760" s="8">
        <f t="shared" ref="AA760:AA779" si="418">+M760+U760</f>
        <v>3715280.05</v>
      </c>
      <c r="AB760" s="8">
        <f t="shared" ref="AB760:AB779" si="419">+E760-AA760</f>
        <v>0</v>
      </c>
    </row>
    <row r="761" spans="1:28" x14ac:dyDescent="0.3">
      <c r="A761" s="64"/>
      <c r="B761" s="8"/>
      <c r="C761" s="7" t="s">
        <v>628</v>
      </c>
      <c r="D761" s="15" t="s">
        <v>166</v>
      </c>
      <c r="E761" s="9">
        <v>550000</v>
      </c>
      <c r="F761" s="9">
        <v>550000</v>
      </c>
      <c r="G761" s="8"/>
      <c r="H761" s="9">
        <f t="shared" si="413"/>
        <v>550000</v>
      </c>
      <c r="I761" s="8"/>
      <c r="J761" s="9">
        <f t="shared" si="414"/>
        <v>550000</v>
      </c>
      <c r="K761" s="8"/>
      <c r="L761" s="8"/>
      <c r="M761" s="9">
        <f t="shared" ref="M761:M779" si="420">+H761+L761</f>
        <v>550000</v>
      </c>
      <c r="N761" s="8"/>
      <c r="O761" s="9"/>
      <c r="P761" s="9">
        <f t="shared" ref="P761:P779" si="421">+N761+O761</f>
        <v>0</v>
      </c>
      <c r="Q761" s="9">
        <f t="shared" si="415"/>
        <v>550000</v>
      </c>
      <c r="R761" s="17"/>
      <c r="S761" s="17"/>
      <c r="T761" s="17"/>
      <c r="U761" s="9">
        <f t="shared" ref="U761:U779" si="422">P761+T761</f>
        <v>0</v>
      </c>
      <c r="V761" s="9">
        <f t="shared" ref="V761:V779" si="423">P761+H761</f>
        <v>550000</v>
      </c>
      <c r="W761" s="9">
        <f t="shared" ref="W761:W779" si="424">E761-V761</f>
        <v>0</v>
      </c>
      <c r="X761" s="9">
        <f t="shared" si="416"/>
        <v>550000</v>
      </c>
      <c r="Y761" s="8"/>
      <c r="Z761" s="9">
        <f t="shared" si="417"/>
        <v>0</v>
      </c>
      <c r="AA761" s="8">
        <f t="shared" si="418"/>
        <v>550000</v>
      </c>
      <c r="AB761" s="8">
        <f t="shared" si="419"/>
        <v>0</v>
      </c>
    </row>
    <row r="762" spans="1:28" x14ac:dyDescent="0.3">
      <c r="A762" s="64"/>
      <c r="B762" s="8"/>
      <c r="C762" s="7" t="s">
        <v>535</v>
      </c>
      <c r="D762" s="15" t="s">
        <v>68</v>
      </c>
      <c r="E762" s="9">
        <f>805600-258859.86</f>
        <v>546740.14</v>
      </c>
      <c r="F762" s="9">
        <v>546740.14</v>
      </c>
      <c r="G762" s="8"/>
      <c r="H762" s="9">
        <f t="shared" si="413"/>
        <v>546740.14</v>
      </c>
      <c r="I762" s="8"/>
      <c r="J762" s="9">
        <f t="shared" si="414"/>
        <v>546740.14</v>
      </c>
      <c r="K762" s="9">
        <f>258859.86-258859.86</f>
        <v>0</v>
      </c>
      <c r="L762" s="8"/>
      <c r="M762" s="9">
        <f t="shared" si="420"/>
        <v>546740.14</v>
      </c>
      <c r="N762" s="8"/>
      <c r="O762" s="9"/>
      <c r="P762" s="9">
        <f t="shared" si="421"/>
        <v>0</v>
      </c>
      <c r="Q762" s="9">
        <f t="shared" si="415"/>
        <v>546740.14</v>
      </c>
      <c r="R762" s="17"/>
      <c r="S762" s="17"/>
      <c r="T762" s="17"/>
      <c r="U762" s="9">
        <f t="shared" si="422"/>
        <v>0</v>
      </c>
      <c r="V762" s="9">
        <f t="shared" si="423"/>
        <v>546740.14</v>
      </c>
      <c r="W762" s="9">
        <f t="shared" si="424"/>
        <v>0</v>
      </c>
      <c r="X762" s="9">
        <f t="shared" si="416"/>
        <v>546740.14</v>
      </c>
      <c r="Y762" s="8"/>
      <c r="Z762" s="9">
        <f t="shared" si="417"/>
        <v>0</v>
      </c>
      <c r="AA762" s="8">
        <f t="shared" si="418"/>
        <v>546740.14</v>
      </c>
      <c r="AB762" s="8">
        <f t="shared" si="419"/>
        <v>0</v>
      </c>
    </row>
    <row r="763" spans="1:28" x14ac:dyDescent="0.3">
      <c r="A763" s="64"/>
      <c r="B763" s="8"/>
      <c r="C763" s="7" t="s">
        <v>539</v>
      </c>
      <c r="D763" s="15" t="s">
        <v>68</v>
      </c>
      <c r="E763" s="9">
        <f>303026.9+78766.8+354868.95+393125+243159.4+235875</f>
        <v>1608822.0499999998</v>
      </c>
      <c r="F763" s="8"/>
      <c r="G763" s="8"/>
      <c r="H763" s="9">
        <f t="shared" si="413"/>
        <v>0</v>
      </c>
      <c r="I763" s="8"/>
      <c r="J763" s="9">
        <f t="shared" si="414"/>
        <v>0</v>
      </c>
      <c r="K763" s="9">
        <f>1129787.65+479034.4</f>
        <v>1608822.0499999998</v>
      </c>
      <c r="L763" s="8"/>
      <c r="M763" s="9">
        <f t="shared" si="420"/>
        <v>0</v>
      </c>
      <c r="N763" s="8">
        <v>1608822.05</v>
      </c>
      <c r="O763" s="9"/>
      <c r="P763" s="9">
        <f t="shared" si="421"/>
        <v>1608822.05</v>
      </c>
      <c r="Q763" s="9">
        <f t="shared" si="415"/>
        <v>0</v>
      </c>
      <c r="R763" s="17"/>
      <c r="S763" s="17"/>
      <c r="T763" s="17"/>
      <c r="U763" s="9">
        <f t="shared" si="422"/>
        <v>1608822.05</v>
      </c>
      <c r="V763" s="9">
        <f t="shared" si="423"/>
        <v>1608822.05</v>
      </c>
      <c r="W763" s="9">
        <f t="shared" si="424"/>
        <v>0</v>
      </c>
      <c r="X763" s="9">
        <f t="shared" si="416"/>
        <v>1608822.05</v>
      </c>
      <c r="Y763" s="8"/>
      <c r="Z763" s="9">
        <f t="shared" si="417"/>
        <v>0</v>
      </c>
      <c r="AA763" s="8">
        <f t="shared" si="418"/>
        <v>1608822.05</v>
      </c>
      <c r="AB763" s="8">
        <f t="shared" si="419"/>
        <v>0</v>
      </c>
    </row>
    <row r="764" spans="1:28" x14ac:dyDescent="0.3">
      <c r="A764" s="64"/>
      <c r="B764" s="8"/>
      <c r="C764" s="7" t="s">
        <v>629</v>
      </c>
      <c r="D764" s="15" t="s">
        <v>54</v>
      </c>
      <c r="E764" s="9">
        <f>319666.67-28264.1-41402.57+1000000</f>
        <v>1250000</v>
      </c>
      <c r="F764" s="9">
        <f>184634.43+1000000</f>
        <v>1184634.43</v>
      </c>
      <c r="G764" s="8"/>
      <c r="H764" s="9">
        <f t="shared" si="413"/>
        <v>1184634.43</v>
      </c>
      <c r="I764" s="8"/>
      <c r="J764" s="9">
        <f t="shared" si="414"/>
        <v>1184634.43</v>
      </c>
      <c r="K764" s="9">
        <v>65365.57</v>
      </c>
      <c r="L764" s="8"/>
      <c r="M764" s="9">
        <f t="shared" si="420"/>
        <v>1184634.43</v>
      </c>
      <c r="N764" s="8">
        <v>65365.57</v>
      </c>
      <c r="O764" s="9"/>
      <c r="P764" s="9">
        <f t="shared" si="421"/>
        <v>65365.57</v>
      </c>
      <c r="Q764" s="9">
        <f t="shared" si="415"/>
        <v>1184634.43</v>
      </c>
      <c r="R764" s="17"/>
      <c r="S764" s="17"/>
      <c r="T764" s="17"/>
      <c r="U764" s="9">
        <f t="shared" si="422"/>
        <v>65365.57</v>
      </c>
      <c r="V764" s="9">
        <f t="shared" si="423"/>
        <v>1250000</v>
      </c>
      <c r="W764" s="9">
        <f t="shared" si="424"/>
        <v>0</v>
      </c>
      <c r="X764" s="9">
        <f t="shared" si="416"/>
        <v>1250000</v>
      </c>
      <c r="Y764" s="8"/>
      <c r="Z764" s="9">
        <f t="shared" si="417"/>
        <v>0</v>
      </c>
      <c r="AA764" s="8">
        <f t="shared" si="418"/>
        <v>1250000</v>
      </c>
      <c r="AB764" s="8">
        <f t="shared" si="419"/>
        <v>0</v>
      </c>
    </row>
    <row r="765" spans="1:28" x14ac:dyDescent="0.3">
      <c r="A765" s="64"/>
      <c r="B765" s="8"/>
      <c r="C765" s="7" t="s">
        <v>545</v>
      </c>
      <c r="D765" s="15" t="s">
        <v>54</v>
      </c>
      <c r="E765" s="9">
        <v>570941</v>
      </c>
      <c r="F765" s="8"/>
      <c r="G765" s="8"/>
      <c r="H765" s="9">
        <f t="shared" si="413"/>
        <v>0</v>
      </c>
      <c r="I765" s="8"/>
      <c r="J765" s="9">
        <f t="shared" si="414"/>
        <v>0</v>
      </c>
      <c r="K765" s="9">
        <v>570941</v>
      </c>
      <c r="L765" s="8"/>
      <c r="M765" s="9">
        <f t="shared" si="420"/>
        <v>0</v>
      </c>
      <c r="N765" s="8">
        <v>570941</v>
      </c>
      <c r="O765" s="9"/>
      <c r="P765" s="9">
        <f t="shared" si="421"/>
        <v>570941</v>
      </c>
      <c r="Q765" s="9">
        <f t="shared" si="415"/>
        <v>0</v>
      </c>
      <c r="R765" s="17"/>
      <c r="S765" s="17"/>
      <c r="T765" s="17"/>
      <c r="U765" s="9">
        <f t="shared" si="422"/>
        <v>570941</v>
      </c>
      <c r="V765" s="9">
        <f t="shared" si="423"/>
        <v>570941</v>
      </c>
      <c r="W765" s="9">
        <f t="shared" si="424"/>
        <v>0</v>
      </c>
      <c r="X765" s="9">
        <f t="shared" si="416"/>
        <v>570941</v>
      </c>
      <c r="Y765" s="8"/>
      <c r="Z765" s="9">
        <f t="shared" si="417"/>
        <v>0</v>
      </c>
      <c r="AA765" s="8">
        <f t="shared" si="418"/>
        <v>570941</v>
      </c>
      <c r="AB765" s="8">
        <f t="shared" si="419"/>
        <v>0</v>
      </c>
    </row>
    <row r="766" spans="1:28" x14ac:dyDescent="0.3">
      <c r="A766" s="64"/>
      <c r="B766" s="8"/>
      <c r="C766" s="7" t="s">
        <v>535</v>
      </c>
      <c r="D766" s="15" t="s">
        <v>54</v>
      </c>
      <c r="E766" s="9">
        <v>283000</v>
      </c>
      <c r="F766" s="9">
        <v>283000</v>
      </c>
      <c r="G766" s="8"/>
      <c r="H766" s="9">
        <f t="shared" si="413"/>
        <v>283000</v>
      </c>
      <c r="I766" s="8"/>
      <c r="J766" s="9">
        <f t="shared" si="414"/>
        <v>283000</v>
      </c>
      <c r="K766" s="8"/>
      <c r="L766" s="8"/>
      <c r="M766" s="9">
        <f t="shared" si="420"/>
        <v>283000</v>
      </c>
      <c r="N766" s="8"/>
      <c r="O766" s="9"/>
      <c r="P766" s="9">
        <f t="shared" si="421"/>
        <v>0</v>
      </c>
      <c r="Q766" s="9">
        <f t="shared" si="415"/>
        <v>283000</v>
      </c>
      <c r="R766" s="17"/>
      <c r="S766" s="17"/>
      <c r="T766" s="17"/>
      <c r="U766" s="9">
        <f t="shared" si="422"/>
        <v>0</v>
      </c>
      <c r="V766" s="9">
        <f t="shared" si="423"/>
        <v>283000</v>
      </c>
      <c r="W766" s="9">
        <f t="shared" si="424"/>
        <v>0</v>
      </c>
      <c r="X766" s="9">
        <f t="shared" si="416"/>
        <v>283000</v>
      </c>
      <c r="Y766" s="8"/>
      <c r="Z766" s="9">
        <f t="shared" si="417"/>
        <v>0</v>
      </c>
      <c r="AA766" s="8">
        <f t="shared" si="418"/>
        <v>283000</v>
      </c>
      <c r="AB766" s="8">
        <f t="shared" si="419"/>
        <v>0</v>
      </c>
    </row>
    <row r="767" spans="1:28" x14ac:dyDescent="0.3">
      <c r="A767" s="64"/>
      <c r="B767" s="8"/>
      <c r="C767" s="7" t="s">
        <v>535</v>
      </c>
      <c r="D767" s="15" t="s">
        <v>85</v>
      </c>
      <c r="E767" s="9">
        <f>480000-48000</f>
        <v>432000</v>
      </c>
      <c r="F767" s="9">
        <v>432000</v>
      </c>
      <c r="G767" s="8"/>
      <c r="H767" s="9">
        <f t="shared" si="413"/>
        <v>432000</v>
      </c>
      <c r="I767" s="8"/>
      <c r="J767" s="9">
        <f t="shared" si="414"/>
        <v>432000</v>
      </c>
      <c r="K767" s="8"/>
      <c r="L767" s="8"/>
      <c r="M767" s="9">
        <f t="shared" si="420"/>
        <v>432000</v>
      </c>
      <c r="N767" s="8"/>
      <c r="O767" s="9"/>
      <c r="P767" s="9">
        <f t="shared" si="421"/>
        <v>0</v>
      </c>
      <c r="Q767" s="9">
        <f t="shared" si="415"/>
        <v>432000</v>
      </c>
      <c r="R767" s="17"/>
      <c r="S767" s="17"/>
      <c r="T767" s="17"/>
      <c r="U767" s="9">
        <f t="shared" si="422"/>
        <v>0</v>
      </c>
      <c r="V767" s="9">
        <f t="shared" si="423"/>
        <v>432000</v>
      </c>
      <c r="W767" s="9">
        <f t="shared" si="424"/>
        <v>0</v>
      </c>
      <c r="X767" s="9">
        <f t="shared" si="416"/>
        <v>432000</v>
      </c>
      <c r="Y767" s="8"/>
      <c r="Z767" s="9">
        <f t="shared" si="417"/>
        <v>0</v>
      </c>
      <c r="AA767" s="8">
        <f t="shared" si="418"/>
        <v>432000</v>
      </c>
      <c r="AB767" s="8">
        <f t="shared" si="419"/>
        <v>0</v>
      </c>
    </row>
    <row r="768" spans="1:28" x14ac:dyDescent="0.3">
      <c r="A768" s="64"/>
      <c r="B768" s="8"/>
      <c r="C768" s="7" t="s">
        <v>629</v>
      </c>
      <c r="D768" s="15" t="s">
        <v>128</v>
      </c>
      <c r="E768" s="9">
        <f>300000+300000</f>
        <v>600000</v>
      </c>
      <c r="F768" s="9">
        <f>300000+300000</f>
        <v>600000</v>
      </c>
      <c r="G768" s="8"/>
      <c r="H768" s="9">
        <f t="shared" si="413"/>
        <v>600000</v>
      </c>
      <c r="I768" s="8"/>
      <c r="J768" s="9">
        <f t="shared" si="414"/>
        <v>600000</v>
      </c>
      <c r="K768" s="8"/>
      <c r="L768" s="8"/>
      <c r="M768" s="9">
        <f t="shared" si="420"/>
        <v>600000</v>
      </c>
      <c r="N768" s="8"/>
      <c r="O768" s="9"/>
      <c r="P768" s="9">
        <f t="shared" si="421"/>
        <v>0</v>
      </c>
      <c r="Q768" s="9">
        <f t="shared" si="415"/>
        <v>600000</v>
      </c>
      <c r="R768" s="17"/>
      <c r="S768" s="17"/>
      <c r="T768" s="17"/>
      <c r="U768" s="9">
        <f t="shared" si="422"/>
        <v>0</v>
      </c>
      <c r="V768" s="9">
        <f t="shared" si="423"/>
        <v>600000</v>
      </c>
      <c r="W768" s="9">
        <f t="shared" si="424"/>
        <v>0</v>
      </c>
      <c r="X768" s="9">
        <f t="shared" si="416"/>
        <v>600000</v>
      </c>
      <c r="Y768" s="8"/>
      <c r="Z768" s="9">
        <f t="shared" si="417"/>
        <v>0</v>
      </c>
      <c r="AA768" s="8">
        <f t="shared" si="418"/>
        <v>600000</v>
      </c>
      <c r="AB768" s="8">
        <f t="shared" si="419"/>
        <v>0</v>
      </c>
    </row>
    <row r="769" spans="1:28" x14ac:dyDescent="0.3">
      <c r="A769" s="64"/>
      <c r="B769" s="8"/>
      <c r="C769" s="7" t="s">
        <v>535</v>
      </c>
      <c r="D769" s="15" t="s">
        <v>128</v>
      </c>
      <c r="E769" s="9">
        <v>477000</v>
      </c>
      <c r="F769" s="9">
        <v>477000</v>
      </c>
      <c r="G769" s="8"/>
      <c r="H769" s="9">
        <f t="shared" si="413"/>
        <v>477000</v>
      </c>
      <c r="I769" s="8"/>
      <c r="J769" s="9">
        <f t="shared" si="414"/>
        <v>477000</v>
      </c>
      <c r="K769" s="8"/>
      <c r="L769" s="8"/>
      <c r="M769" s="9">
        <f t="shared" si="420"/>
        <v>477000</v>
      </c>
      <c r="N769" s="8"/>
      <c r="O769" s="9"/>
      <c r="P769" s="9">
        <f t="shared" si="421"/>
        <v>0</v>
      </c>
      <c r="Q769" s="9">
        <f t="shared" si="415"/>
        <v>477000</v>
      </c>
      <c r="R769" s="17"/>
      <c r="S769" s="17"/>
      <c r="T769" s="17"/>
      <c r="U769" s="9">
        <f t="shared" si="422"/>
        <v>0</v>
      </c>
      <c r="V769" s="9">
        <f t="shared" si="423"/>
        <v>477000</v>
      </c>
      <c r="W769" s="9">
        <f t="shared" si="424"/>
        <v>0</v>
      </c>
      <c r="X769" s="9">
        <f t="shared" si="416"/>
        <v>477000</v>
      </c>
      <c r="Y769" s="8"/>
      <c r="Z769" s="9">
        <f t="shared" si="417"/>
        <v>0</v>
      </c>
      <c r="AA769" s="8">
        <f t="shared" si="418"/>
        <v>477000</v>
      </c>
      <c r="AB769" s="8">
        <f t="shared" si="419"/>
        <v>0</v>
      </c>
    </row>
    <row r="770" spans="1:28" x14ac:dyDescent="0.3">
      <c r="A770" s="64"/>
      <c r="B770" s="8"/>
      <c r="C770" s="7" t="s">
        <v>630</v>
      </c>
      <c r="D770" s="15" t="s">
        <v>128</v>
      </c>
      <c r="E770" s="9">
        <v>400000</v>
      </c>
      <c r="F770" s="9">
        <v>400000</v>
      </c>
      <c r="G770" s="8"/>
      <c r="H770" s="9">
        <f t="shared" si="413"/>
        <v>400000</v>
      </c>
      <c r="I770" s="8"/>
      <c r="J770" s="9">
        <f t="shared" si="414"/>
        <v>400000</v>
      </c>
      <c r="K770" s="8"/>
      <c r="L770" s="8"/>
      <c r="M770" s="9">
        <f t="shared" si="420"/>
        <v>400000</v>
      </c>
      <c r="N770" s="8"/>
      <c r="O770" s="9"/>
      <c r="P770" s="9">
        <f t="shared" si="421"/>
        <v>0</v>
      </c>
      <c r="Q770" s="9">
        <f t="shared" si="415"/>
        <v>400000</v>
      </c>
      <c r="R770" s="17"/>
      <c r="S770" s="17"/>
      <c r="T770" s="17"/>
      <c r="U770" s="9">
        <f t="shared" si="422"/>
        <v>0</v>
      </c>
      <c r="V770" s="9">
        <f t="shared" si="423"/>
        <v>400000</v>
      </c>
      <c r="W770" s="9">
        <f t="shared" si="424"/>
        <v>0</v>
      </c>
      <c r="X770" s="9">
        <f t="shared" si="416"/>
        <v>400000</v>
      </c>
      <c r="Y770" s="8"/>
      <c r="Z770" s="9">
        <f t="shared" si="417"/>
        <v>0</v>
      </c>
      <c r="AA770" s="8">
        <f t="shared" si="418"/>
        <v>400000</v>
      </c>
      <c r="AB770" s="8">
        <f t="shared" si="419"/>
        <v>0</v>
      </c>
    </row>
    <row r="771" spans="1:28" x14ac:dyDescent="0.3">
      <c r="A771" s="64"/>
      <c r="B771" s="8"/>
      <c r="C771" s="7" t="s">
        <v>535</v>
      </c>
      <c r="D771" s="15" t="s">
        <v>88</v>
      </c>
      <c r="E771" s="9">
        <v>1100000</v>
      </c>
      <c r="F771" s="9">
        <v>1100000</v>
      </c>
      <c r="G771" s="8"/>
      <c r="H771" s="9">
        <f t="shared" si="413"/>
        <v>1100000</v>
      </c>
      <c r="I771" s="8"/>
      <c r="J771" s="9">
        <f t="shared" si="414"/>
        <v>1100000</v>
      </c>
      <c r="K771" s="8"/>
      <c r="L771" s="8"/>
      <c r="M771" s="9">
        <f t="shared" si="420"/>
        <v>1100000</v>
      </c>
      <c r="N771" s="8"/>
      <c r="O771" s="9"/>
      <c r="P771" s="9">
        <f t="shared" si="421"/>
        <v>0</v>
      </c>
      <c r="Q771" s="9">
        <f t="shared" si="415"/>
        <v>1100000</v>
      </c>
      <c r="R771" s="17"/>
      <c r="S771" s="17"/>
      <c r="T771" s="17"/>
      <c r="U771" s="9">
        <f t="shared" si="422"/>
        <v>0</v>
      </c>
      <c r="V771" s="9">
        <f t="shared" si="423"/>
        <v>1100000</v>
      </c>
      <c r="W771" s="9">
        <f t="shared" si="424"/>
        <v>0</v>
      </c>
      <c r="X771" s="9">
        <f t="shared" si="416"/>
        <v>1100000</v>
      </c>
      <c r="Y771" s="8"/>
      <c r="Z771" s="9">
        <f t="shared" si="417"/>
        <v>0</v>
      </c>
      <c r="AA771" s="8">
        <f t="shared" si="418"/>
        <v>1100000</v>
      </c>
      <c r="AB771" s="8">
        <f t="shared" si="419"/>
        <v>0</v>
      </c>
    </row>
    <row r="772" spans="1:28" x14ac:dyDescent="0.3">
      <c r="A772" s="64"/>
      <c r="B772" s="8"/>
      <c r="C772" s="7" t="s">
        <v>535</v>
      </c>
      <c r="D772" s="15" t="s">
        <v>58</v>
      </c>
      <c r="E772" s="9">
        <v>1234670</v>
      </c>
      <c r="F772" s="9">
        <v>1234670</v>
      </c>
      <c r="G772" s="8"/>
      <c r="H772" s="9">
        <f t="shared" si="413"/>
        <v>1234670</v>
      </c>
      <c r="I772" s="8"/>
      <c r="J772" s="9">
        <f t="shared" si="414"/>
        <v>1234670</v>
      </c>
      <c r="K772" s="8"/>
      <c r="L772" s="8"/>
      <c r="M772" s="9">
        <f t="shared" si="420"/>
        <v>1234670</v>
      </c>
      <c r="N772" s="8"/>
      <c r="O772" s="9"/>
      <c r="P772" s="9">
        <f t="shared" si="421"/>
        <v>0</v>
      </c>
      <c r="Q772" s="9">
        <f t="shared" si="415"/>
        <v>1234670</v>
      </c>
      <c r="R772" s="17"/>
      <c r="S772" s="17"/>
      <c r="T772" s="17"/>
      <c r="U772" s="9">
        <f t="shared" si="422"/>
        <v>0</v>
      </c>
      <c r="V772" s="9">
        <f t="shared" si="423"/>
        <v>1234670</v>
      </c>
      <c r="W772" s="9">
        <f t="shared" si="424"/>
        <v>0</v>
      </c>
      <c r="X772" s="9">
        <f t="shared" si="416"/>
        <v>1234670</v>
      </c>
      <c r="Y772" s="8"/>
      <c r="Z772" s="9">
        <f t="shared" si="417"/>
        <v>0</v>
      </c>
      <c r="AA772" s="8">
        <f t="shared" si="418"/>
        <v>1234670</v>
      </c>
      <c r="AB772" s="8">
        <f t="shared" si="419"/>
        <v>0</v>
      </c>
    </row>
    <row r="773" spans="1:28" x14ac:dyDescent="0.3">
      <c r="A773" s="64"/>
      <c r="B773" s="8"/>
      <c r="C773" s="14" t="s">
        <v>535</v>
      </c>
      <c r="D773" s="21" t="s">
        <v>73</v>
      </c>
      <c r="E773" s="11">
        <v>492000</v>
      </c>
      <c r="F773" s="11">
        <v>492000</v>
      </c>
      <c r="G773" s="8"/>
      <c r="H773" s="9">
        <f t="shared" si="413"/>
        <v>492000</v>
      </c>
      <c r="I773" s="8"/>
      <c r="J773" s="9">
        <f t="shared" si="414"/>
        <v>492000</v>
      </c>
      <c r="K773" s="8"/>
      <c r="L773" s="8"/>
      <c r="M773" s="9">
        <f t="shared" si="420"/>
        <v>492000</v>
      </c>
      <c r="N773" s="8"/>
      <c r="O773" s="9"/>
      <c r="P773" s="9">
        <f t="shared" si="421"/>
        <v>0</v>
      </c>
      <c r="Q773" s="9">
        <f t="shared" si="415"/>
        <v>492000</v>
      </c>
      <c r="R773" s="17"/>
      <c r="S773" s="17"/>
      <c r="T773" s="17"/>
      <c r="U773" s="9">
        <f t="shared" si="422"/>
        <v>0</v>
      </c>
      <c r="V773" s="9">
        <f t="shared" si="423"/>
        <v>492000</v>
      </c>
      <c r="W773" s="9">
        <f t="shared" si="424"/>
        <v>0</v>
      </c>
      <c r="X773" s="9">
        <f t="shared" si="416"/>
        <v>492000</v>
      </c>
      <c r="Y773" s="8"/>
      <c r="Z773" s="9">
        <f t="shared" si="417"/>
        <v>0</v>
      </c>
      <c r="AA773" s="8">
        <f t="shared" si="418"/>
        <v>492000</v>
      </c>
      <c r="AB773" s="8">
        <f t="shared" si="419"/>
        <v>0</v>
      </c>
    </row>
    <row r="774" spans="1:28" x14ac:dyDescent="0.3">
      <c r="A774" s="64"/>
      <c r="B774" s="8"/>
      <c r="C774" s="14" t="s">
        <v>535</v>
      </c>
      <c r="D774" s="21" t="s">
        <v>61</v>
      </c>
      <c r="E774" s="11">
        <v>434000</v>
      </c>
      <c r="F774" s="11">
        <v>434000</v>
      </c>
      <c r="G774" s="8"/>
      <c r="H774" s="9">
        <f t="shared" si="413"/>
        <v>434000</v>
      </c>
      <c r="I774" s="8"/>
      <c r="J774" s="9">
        <f t="shared" si="414"/>
        <v>434000</v>
      </c>
      <c r="K774" s="8"/>
      <c r="L774" s="8"/>
      <c r="M774" s="9">
        <f t="shared" si="420"/>
        <v>434000</v>
      </c>
      <c r="N774" s="8"/>
      <c r="O774" s="9"/>
      <c r="P774" s="9">
        <f t="shared" si="421"/>
        <v>0</v>
      </c>
      <c r="Q774" s="9">
        <f t="shared" si="415"/>
        <v>434000</v>
      </c>
      <c r="R774" s="17"/>
      <c r="S774" s="17"/>
      <c r="T774" s="17"/>
      <c r="U774" s="9">
        <f t="shared" si="422"/>
        <v>0</v>
      </c>
      <c r="V774" s="9">
        <f t="shared" si="423"/>
        <v>434000</v>
      </c>
      <c r="W774" s="9">
        <f t="shared" si="424"/>
        <v>0</v>
      </c>
      <c r="X774" s="9">
        <f t="shared" si="416"/>
        <v>434000</v>
      </c>
      <c r="Y774" s="8"/>
      <c r="Z774" s="9">
        <f t="shared" si="417"/>
        <v>0</v>
      </c>
      <c r="AA774" s="8">
        <f t="shared" si="418"/>
        <v>434000</v>
      </c>
      <c r="AB774" s="8">
        <f t="shared" si="419"/>
        <v>0</v>
      </c>
    </row>
    <row r="775" spans="1:28" x14ac:dyDescent="0.3">
      <c r="A775" s="64"/>
      <c r="B775" s="8"/>
      <c r="C775" s="14" t="s">
        <v>1182</v>
      </c>
      <c r="D775" s="24" t="s">
        <v>1126</v>
      </c>
      <c r="E775" s="11">
        <v>855200.96</v>
      </c>
      <c r="F775" s="11">
        <v>855200.96</v>
      </c>
      <c r="G775" s="8"/>
      <c r="H775" s="9">
        <f t="shared" si="413"/>
        <v>855200.96</v>
      </c>
      <c r="I775" s="8"/>
      <c r="J775" s="9">
        <f t="shared" si="414"/>
        <v>855200.96</v>
      </c>
      <c r="K775" s="8"/>
      <c r="L775" s="8"/>
      <c r="M775" s="9">
        <f t="shared" si="420"/>
        <v>855200.96</v>
      </c>
      <c r="N775" s="8"/>
      <c r="O775" s="9"/>
      <c r="P775" s="9">
        <f t="shared" si="421"/>
        <v>0</v>
      </c>
      <c r="Q775" s="9"/>
      <c r="R775" s="17"/>
      <c r="S775" s="17"/>
      <c r="T775" s="17"/>
      <c r="U775" s="9">
        <f>P775+T775</f>
        <v>0</v>
      </c>
      <c r="V775" s="9">
        <f>P775+H775</f>
        <v>855200.96</v>
      </c>
      <c r="W775" s="9">
        <f>E775-V775</f>
        <v>0</v>
      </c>
      <c r="X775" s="9">
        <f>+H775+P775</f>
        <v>855200.96</v>
      </c>
      <c r="Y775" s="8"/>
      <c r="Z775" s="9">
        <f>+E775-X775</f>
        <v>0</v>
      </c>
      <c r="AA775" s="8">
        <f>+M775+U775</f>
        <v>855200.96</v>
      </c>
      <c r="AB775" s="8">
        <f>+E775-AA775</f>
        <v>0</v>
      </c>
    </row>
    <row r="776" spans="1:28" x14ac:dyDescent="0.3">
      <c r="A776" s="64"/>
      <c r="B776" s="8"/>
      <c r="C776" s="14" t="s">
        <v>933</v>
      </c>
      <c r="D776" s="24" t="s">
        <v>1072</v>
      </c>
      <c r="E776" s="11">
        <v>343000</v>
      </c>
      <c r="F776" s="11">
        <v>343000</v>
      </c>
      <c r="G776" s="8"/>
      <c r="H776" s="9">
        <f>+F776+G776</f>
        <v>343000</v>
      </c>
      <c r="I776" s="8"/>
      <c r="J776" s="9">
        <f t="shared" si="414"/>
        <v>343000</v>
      </c>
      <c r="K776" s="8"/>
      <c r="L776" s="8"/>
      <c r="M776" s="9">
        <f t="shared" si="420"/>
        <v>343000</v>
      </c>
      <c r="N776" s="8"/>
      <c r="O776" s="9"/>
      <c r="P776" s="9">
        <f>+N776+O776</f>
        <v>0</v>
      </c>
      <c r="Q776" s="9">
        <f t="shared" si="415"/>
        <v>343000</v>
      </c>
      <c r="R776" s="17"/>
      <c r="S776" s="17"/>
      <c r="T776" s="17"/>
      <c r="U776" s="9">
        <f t="shared" si="422"/>
        <v>0</v>
      </c>
      <c r="V776" s="9">
        <f t="shared" si="423"/>
        <v>343000</v>
      </c>
      <c r="W776" s="9">
        <f t="shared" si="424"/>
        <v>0</v>
      </c>
      <c r="X776" s="9">
        <f t="shared" si="416"/>
        <v>343000</v>
      </c>
      <c r="Y776" s="8"/>
      <c r="Z776" s="9">
        <f t="shared" si="417"/>
        <v>0</v>
      </c>
      <c r="AA776" s="8">
        <f t="shared" si="418"/>
        <v>343000</v>
      </c>
      <c r="AB776" s="8">
        <f t="shared" si="419"/>
        <v>0</v>
      </c>
    </row>
    <row r="777" spans="1:28" x14ac:dyDescent="0.3">
      <c r="A777" s="64"/>
      <c r="B777" s="8"/>
      <c r="C777" s="14" t="s">
        <v>1257</v>
      </c>
      <c r="D777" s="24" t="s">
        <v>1225</v>
      </c>
      <c r="E777" s="11">
        <v>250000</v>
      </c>
      <c r="F777" s="11"/>
      <c r="G777" s="8">
        <v>250000</v>
      </c>
      <c r="H777" s="9">
        <f>+F777+G777</f>
        <v>250000</v>
      </c>
      <c r="I777" s="8"/>
      <c r="J777" s="9">
        <f t="shared" si="414"/>
        <v>250000</v>
      </c>
      <c r="K777" s="8"/>
      <c r="L777" s="8"/>
      <c r="M777" s="9">
        <f t="shared" si="420"/>
        <v>250000</v>
      </c>
      <c r="N777" s="8"/>
      <c r="O777" s="9"/>
      <c r="P777" s="9">
        <f>+N777+O777</f>
        <v>0</v>
      </c>
      <c r="Q777" s="9">
        <f t="shared" si="415"/>
        <v>250000</v>
      </c>
      <c r="R777" s="17"/>
      <c r="S777" s="17"/>
      <c r="T777" s="17"/>
      <c r="U777" s="9">
        <f t="shared" si="422"/>
        <v>0</v>
      </c>
      <c r="V777" s="9">
        <f t="shared" si="423"/>
        <v>250000</v>
      </c>
      <c r="W777" s="9">
        <f t="shared" si="424"/>
        <v>0</v>
      </c>
      <c r="X777" s="9">
        <f t="shared" si="416"/>
        <v>250000</v>
      </c>
      <c r="Y777" s="8"/>
      <c r="Z777" s="9">
        <f t="shared" si="417"/>
        <v>0</v>
      </c>
      <c r="AA777" s="8">
        <f t="shared" si="418"/>
        <v>250000</v>
      </c>
      <c r="AB777" s="8">
        <f t="shared" si="419"/>
        <v>0</v>
      </c>
    </row>
    <row r="778" spans="1:28" x14ac:dyDescent="0.3">
      <c r="A778" s="64"/>
      <c r="B778" s="8"/>
      <c r="C778" s="14" t="s">
        <v>567</v>
      </c>
      <c r="D778" s="21" t="s">
        <v>61</v>
      </c>
      <c r="E778" s="11">
        <f>494445.82+6296.31</f>
        <v>500742.13</v>
      </c>
      <c r="F778" s="8">
        <v>494445.82</v>
      </c>
      <c r="G778" s="11"/>
      <c r="H778" s="9">
        <f>F778+G778</f>
        <v>494445.82</v>
      </c>
      <c r="I778" s="8"/>
      <c r="J778" s="9">
        <f t="shared" si="414"/>
        <v>494445.82</v>
      </c>
      <c r="K778" s="8"/>
      <c r="L778" s="8"/>
      <c r="M778" s="9">
        <f t="shared" si="420"/>
        <v>494445.82</v>
      </c>
      <c r="N778" s="11"/>
      <c r="O778" s="9"/>
      <c r="P778" s="9">
        <f t="shared" si="421"/>
        <v>0</v>
      </c>
      <c r="Q778" s="9">
        <f t="shared" si="415"/>
        <v>500742.13</v>
      </c>
      <c r="R778" s="17"/>
      <c r="S778" s="17"/>
      <c r="T778" s="18">
        <v>6296.31</v>
      </c>
      <c r="U778" s="9">
        <f t="shared" si="422"/>
        <v>6296.31</v>
      </c>
      <c r="V778" s="9">
        <f t="shared" si="423"/>
        <v>494445.82</v>
      </c>
      <c r="W778" s="9">
        <f t="shared" si="424"/>
        <v>6296.3099999999977</v>
      </c>
      <c r="X778" s="9">
        <f t="shared" si="416"/>
        <v>494445.82</v>
      </c>
      <c r="Y778" s="8"/>
      <c r="Z778" s="9">
        <f t="shared" si="417"/>
        <v>6296.3099999999977</v>
      </c>
      <c r="AA778" s="8">
        <f t="shared" si="418"/>
        <v>500742.13</v>
      </c>
      <c r="AB778" s="8">
        <f t="shared" si="419"/>
        <v>0</v>
      </c>
    </row>
    <row r="779" spans="1:28" x14ac:dyDescent="0.3">
      <c r="A779" s="64"/>
      <c r="B779" s="8"/>
      <c r="C779" s="7" t="s">
        <v>606</v>
      </c>
      <c r="D779" s="8"/>
      <c r="E779" s="9">
        <v>2105136.11</v>
      </c>
      <c r="F779" s="9">
        <v>2105136.11</v>
      </c>
      <c r="G779" s="8"/>
      <c r="H779" s="9">
        <f t="shared" si="413"/>
        <v>2105136.11</v>
      </c>
      <c r="I779" s="9">
        <f>2105136.113-2105136.11</f>
        <v>3.0000000260770321E-3</v>
      </c>
      <c r="J779" s="9">
        <f t="shared" si="414"/>
        <v>2105136.1129999999</v>
      </c>
      <c r="K779" s="8"/>
      <c r="L779" s="8"/>
      <c r="M779" s="9">
        <f t="shared" si="420"/>
        <v>2105136.11</v>
      </c>
      <c r="N779" s="8"/>
      <c r="O779" s="9"/>
      <c r="P779" s="9">
        <f t="shared" si="421"/>
        <v>0</v>
      </c>
      <c r="Q779" s="9">
        <f t="shared" si="415"/>
        <v>2105136.11</v>
      </c>
      <c r="R779" s="17"/>
      <c r="S779" s="17"/>
      <c r="T779" s="17"/>
      <c r="U779" s="9">
        <f t="shared" si="422"/>
        <v>0</v>
      </c>
      <c r="V779" s="9">
        <f t="shared" si="423"/>
        <v>2105136.11</v>
      </c>
      <c r="W779" s="9">
        <f t="shared" si="424"/>
        <v>0</v>
      </c>
      <c r="X779" s="9">
        <f t="shared" si="416"/>
        <v>2105136.11</v>
      </c>
      <c r="Y779" s="8"/>
      <c r="Z779" s="9">
        <f t="shared" si="417"/>
        <v>0</v>
      </c>
      <c r="AA779" s="8">
        <f t="shared" si="418"/>
        <v>2105136.11</v>
      </c>
      <c r="AB779" s="8">
        <f t="shared" si="419"/>
        <v>0</v>
      </c>
    </row>
    <row r="780" spans="1:28" x14ac:dyDescent="0.3">
      <c r="A780" s="64"/>
      <c r="B780" s="8"/>
      <c r="C780" s="8"/>
      <c r="D780" s="8"/>
      <c r="E780" s="17" t="s">
        <v>29</v>
      </c>
      <c r="F780" s="17" t="s">
        <v>29</v>
      </c>
      <c r="G780" s="17" t="s">
        <v>29</v>
      </c>
      <c r="H780" s="17" t="s">
        <v>29</v>
      </c>
      <c r="I780" s="17" t="s">
        <v>29</v>
      </c>
      <c r="J780" s="17" t="s">
        <v>29</v>
      </c>
      <c r="K780" s="17" t="s">
        <v>29</v>
      </c>
      <c r="L780" s="17" t="s">
        <v>29</v>
      </c>
      <c r="M780" s="17" t="s">
        <v>29</v>
      </c>
      <c r="N780" s="17" t="s">
        <v>29</v>
      </c>
      <c r="O780" s="17" t="s">
        <v>29</v>
      </c>
      <c r="P780" s="17" t="s">
        <v>29</v>
      </c>
      <c r="Q780" s="17" t="s">
        <v>29</v>
      </c>
      <c r="R780" s="17" t="s">
        <v>29</v>
      </c>
      <c r="S780" s="17" t="s">
        <v>29</v>
      </c>
      <c r="T780" s="17" t="s">
        <v>29</v>
      </c>
      <c r="U780" s="17" t="s">
        <v>29</v>
      </c>
      <c r="V780" s="17" t="s">
        <v>29</v>
      </c>
      <c r="W780" s="17" t="s">
        <v>29</v>
      </c>
      <c r="X780" s="17" t="s">
        <v>29</v>
      </c>
      <c r="Y780" s="17" t="s">
        <v>29</v>
      </c>
      <c r="Z780" s="17" t="s">
        <v>29</v>
      </c>
      <c r="AA780" s="17" t="s">
        <v>29</v>
      </c>
      <c r="AB780" s="17" t="s">
        <v>29</v>
      </c>
    </row>
    <row r="781" spans="1:28" x14ac:dyDescent="0.3">
      <c r="A781" s="64"/>
      <c r="B781" s="8"/>
      <c r="C781" s="8"/>
      <c r="D781" s="8"/>
      <c r="E781" s="9">
        <f t="shared" ref="E781:Q781" si="425">SUM(E760:E780)</f>
        <v>17748532.440000001</v>
      </c>
      <c r="F781" s="9">
        <f t="shared" si="425"/>
        <v>15247107.509999998</v>
      </c>
      <c r="G781" s="9">
        <f t="shared" si="425"/>
        <v>250000</v>
      </c>
      <c r="H781" s="9">
        <f t="shared" si="425"/>
        <v>15497107.509999998</v>
      </c>
      <c r="I781" s="9">
        <f t="shared" si="425"/>
        <v>3.0000000260770321E-3</v>
      </c>
      <c r="J781" s="9">
        <f t="shared" si="425"/>
        <v>15497107.512999998</v>
      </c>
      <c r="K781" s="9">
        <f t="shared" si="425"/>
        <v>2245128.62</v>
      </c>
      <c r="L781" s="9">
        <f t="shared" si="425"/>
        <v>0</v>
      </c>
      <c r="M781" s="9">
        <f t="shared" si="425"/>
        <v>15497107.509999998</v>
      </c>
      <c r="N781" s="9">
        <f t="shared" si="425"/>
        <v>2245128.62</v>
      </c>
      <c r="O781" s="9">
        <f t="shared" si="425"/>
        <v>0</v>
      </c>
      <c r="P781" s="9">
        <f t="shared" si="425"/>
        <v>2245128.62</v>
      </c>
      <c r="Q781" s="9">
        <f t="shared" si="425"/>
        <v>14648202.859999999</v>
      </c>
      <c r="R781" s="17"/>
      <c r="S781" s="17"/>
      <c r="T781" s="9">
        <f t="shared" ref="T781:Z781" si="426">SUM(T760:T780)</f>
        <v>6296.31</v>
      </c>
      <c r="U781" s="9">
        <f t="shared" si="426"/>
        <v>2251424.9300000002</v>
      </c>
      <c r="V781" s="9">
        <f t="shared" si="426"/>
        <v>17742236.129999999</v>
      </c>
      <c r="W781" s="9">
        <f t="shared" si="426"/>
        <v>6296.3099999999977</v>
      </c>
      <c r="X781" s="9">
        <f t="shared" si="426"/>
        <v>17742236.129999999</v>
      </c>
      <c r="Y781" s="9">
        <f t="shared" si="426"/>
        <v>0</v>
      </c>
      <c r="Z781" s="9">
        <f t="shared" si="426"/>
        <v>6296.3099999999977</v>
      </c>
      <c r="AA781" s="9">
        <f>SUM(AA760:AA780)</f>
        <v>17748532.440000001</v>
      </c>
      <c r="AB781" s="9">
        <f>SUM(AB760:AB780)</f>
        <v>0</v>
      </c>
    </row>
    <row r="782" spans="1:28" x14ac:dyDescent="0.3">
      <c r="A782" s="64"/>
      <c r="B782" s="8"/>
      <c r="C782" s="8"/>
      <c r="D782" s="8"/>
      <c r="E782" s="17" t="s">
        <v>29</v>
      </c>
      <c r="F782" s="17" t="s">
        <v>29</v>
      </c>
      <c r="G782" s="17" t="s">
        <v>29</v>
      </c>
      <c r="H782" s="17" t="s">
        <v>29</v>
      </c>
      <c r="I782" s="17" t="s">
        <v>29</v>
      </c>
      <c r="J782" s="17" t="s">
        <v>29</v>
      </c>
      <c r="K782" s="17" t="s">
        <v>29</v>
      </c>
      <c r="L782" s="17" t="s">
        <v>29</v>
      </c>
      <c r="M782" s="17" t="s">
        <v>29</v>
      </c>
      <c r="N782" s="17" t="s">
        <v>29</v>
      </c>
      <c r="O782" s="17" t="s">
        <v>29</v>
      </c>
      <c r="P782" s="17" t="s">
        <v>29</v>
      </c>
      <c r="Q782" s="17" t="s">
        <v>29</v>
      </c>
      <c r="R782" s="17" t="s">
        <v>29</v>
      </c>
      <c r="S782" s="17" t="s">
        <v>29</v>
      </c>
      <c r="T782" s="17" t="s">
        <v>29</v>
      </c>
      <c r="U782" s="17" t="s">
        <v>29</v>
      </c>
      <c r="V782" s="17" t="s">
        <v>29</v>
      </c>
      <c r="W782" s="17" t="s">
        <v>29</v>
      </c>
      <c r="X782" s="17" t="s">
        <v>29</v>
      </c>
      <c r="Y782" s="17" t="s">
        <v>29</v>
      </c>
      <c r="Z782" s="17" t="s">
        <v>29</v>
      </c>
      <c r="AA782" s="17" t="s">
        <v>29</v>
      </c>
      <c r="AB782" s="17" t="s">
        <v>29</v>
      </c>
    </row>
    <row r="783" spans="1:28" x14ac:dyDescent="0.3">
      <c r="A783" s="63" t="s">
        <v>974</v>
      </c>
      <c r="B783" s="7" t="s">
        <v>631</v>
      </c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17"/>
      <c r="S783" s="17"/>
      <c r="T783" s="17"/>
      <c r="U783" s="17"/>
      <c r="V783" s="17"/>
      <c r="W783" s="17"/>
      <c r="X783" s="17"/>
      <c r="Y783" s="17"/>
      <c r="Z783" s="17"/>
      <c r="AA783" s="58"/>
    </row>
    <row r="784" spans="1:28" x14ac:dyDescent="0.3">
      <c r="A784" s="64"/>
      <c r="B784" s="8"/>
      <c r="C784" s="7" t="s">
        <v>632</v>
      </c>
      <c r="D784" s="15" t="s">
        <v>150</v>
      </c>
      <c r="E784" s="9">
        <v>30415361.02</v>
      </c>
      <c r="F784" s="9">
        <f>30254309.06-356473</f>
        <v>29897836.059999999</v>
      </c>
      <c r="G784" s="8"/>
      <c r="H784" s="9">
        <f t="shared" ref="H784:H800" si="427">F784+G784</f>
        <v>29897836.059999999</v>
      </c>
      <c r="I784" s="8"/>
      <c r="J784" s="9">
        <f t="shared" ref="J784:J800" si="428">H784+I784</f>
        <v>29897836.059999999</v>
      </c>
      <c r="K784" s="9">
        <v>517524.96</v>
      </c>
      <c r="L784" s="8"/>
      <c r="M784" s="9">
        <f>+H784+L784</f>
        <v>29897836.059999999</v>
      </c>
      <c r="N784" s="8">
        <v>517524.96</v>
      </c>
      <c r="O784" s="9"/>
      <c r="P784" s="9">
        <f>+N784+O784</f>
        <v>517524.96</v>
      </c>
      <c r="Q784" s="9">
        <f t="shared" ref="Q784:Q800" si="429">E784-P784</f>
        <v>29897836.059999999</v>
      </c>
      <c r="R784" s="17"/>
      <c r="S784" s="17"/>
      <c r="T784" s="18"/>
      <c r="U784" s="9">
        <f t="shared" ref="U784:U800" si="430">P784+T784</f>
        <v>517524.96</v>
      </c>
      <c r="V784" s="9">
        <f t="shared" ref="V784:V800" si="431">P784+H784</f>
        <v>30415361.02</v>
      </c>
      <c r="W784" s="9">
        <f t="shared" ref="W784:W800" si="432">E784-V784</f>
        <v>0</v>
      </c>
      <c r="X784" s="9">
        <f t="shared" ref="X784:X800" si="433">+H784+P784</f>
        <v>30415361.02</v>
      </c>
      <c r="Y784" s="8"/>
      <c r="Z784" s="9">
        <f t="shared" ref="Z784:Z800" si="434">+E784-X784</f>
        <v>0</v>
      </c>
      <c r="AA784" s="8">
        <f t="shared" ref="AA784:AA800" si="435">+M784+U784</f>
        <v>30415361.02</v>
      </c>
      <c r="AB784" s="8">
        <f t="shared" ref="AB784:AB800" si="436">+E784-AA784</f>
        <v>0</v>
      </c>
    </row>
    <row r="785" spans="1:28" x14ac:dyDescent="0.3">
      <c r="A785" s="64"/>
      <c r="B785" s="8"/>
      <c r="C785" s="7" t="s">
        <v>633</v>
      </c>
      <c r="D785" s="15" t="s">
        <v>150</v>
      </c>
      <c r="E785" s="9">
        <v>779674.92</v>
      </c>
      <c r="F785" s="9">
        <f>279700+356473</f>
        <v>636173</v>
      </c>
      <c r="G785" s="8"/>
      <c r="H785" s="9">
        <f t="shared" si="427"/>
        <v>636173</v>
      </c>
      <c r="I785" s="8"/>
      <c r="J785" s="9">
        <f t="shared" si="428"/>
        <v>636173</v>
      </c>
      <c r="K785" s="9">
        <v>143501.92000000001</v>
      </c>
      <c r="L785" s="8"/>
      <c r="M785" s="9">
        <f t="shared" ref="M785:M800" si="437">+H785+L785</f>
        <v>636173</v>
      </c>
      <c r="N785" s="8">
        <v>143501.92000000001</v>
      </c>
      <c r="O785" s="9"/>
      <c r="P785" s="9">
        <f t="shared" ref="P785:P800" si="438">+N785+O785</f>
        <v>143501.92000000001</v>
      </c>
      <c r="Q785" s="9">
        <f t="shared" si="429"/>
        <v>636173</v>
      </c>
      <c r="R785" s="17"/>
      <c r="S785" s="17"/>
      <c r="T785" s="18"/>
      <c r="U785" s="9">
        <f t="shared" si="430"/>
        <v>143501.92000000001</v>
      </c>
      <c r="V785" s="9">
        <f t="shared" si="431"/>
        <v>779674.92</v>
      </c>
      <c r="W785" s="9">
        <f t="shared" si="432"/>
        <v>0</v>
      </c>
      <c r="X785" s="9">
        <f t="shared" si="433"/>
        <v>779674.92</v>
      </c>
      <c r="Y785" s="8"/>
      <c r="Z785" s="9">
        <f t="shared" si="434"/>
        <v>0</v>
      </c>
      <c r="AA785" s="8">
        <f t="shared" si="435"/>
        <v>779674.92</v>
      </c>
      <c r="AB785" s="8">
        <f t="shared" si="436"/>
        <v>0</v>
      </c>
    </row>
    <row r="786" spans="1:28" x14ac:dyDescent="0.3">
      <c r="A786" s="64"/>
      <c r="B786" s="8"/>
      <c r="C786" s="7" t="s">
        <v>634</v>
      </c>
      <c r="D786" s="15" t="s">
        <v>166</v>
      </c>
      <c r="E786" s="9">
        <v>550000</v>
      </c>
      <c r="F786" s="9">
        <v>550000</v>
      </c>
      <c r="G786" s="8"/>
      <c r="H786" s="9">
        <f t="shared" si="427"/>
        <v>550000</v>
      </c>
      <c r="I786" s="8"/>
      <c r="J786" s="9">
        <f t="shared" si="428"/>
        <v>550000</v>
      </c>
      <c r="K786" s="8"/>
      <c r="L786" s="8"/>
      <c r="M786" s="9">
        <f t="shared" si="437"/>
        <v>550000</v>
      </c>
      <c r="N786" s="8"/>
      <c r="O786" s="9"/>
      <c r="P786" s="9">
        <f t="shared" si="438"/>
        <v>0</v>
      </c>
      <c r="Q786" s="9">
        <f t="shared" si="429"/>
        <v>550000</v>
      </c>
      <c r="R786" s="17"/>
      <c r="S786" s="17"/>
      <c r="T786" s="18"/>
      <c r="U786" s="9">
        <f t="shared" si="430"/>
        <v>0</v>
      </c>
      <c r="V786" s="9">
        <f t="shared" si="431"/>
        <v>550000</v>
      </c>
      <c r="W786" s="9">
        <f t="shared" si="432"/>
        <v>0</v>
      </c>
      <c r="X786" s="9">
        <f t="shared" si="433"/>
        <v>550000</v>
      </c>
      <c r="Y786" s="8"/>
      <c r="Z786" s="9">
        <f t="shared" si="434"/>
        <v>0</v>
      </c>
      <c r="AA786" s="8">
        <f t="shared" si="435"/>
        <v>550000</v>
      </c>
      <c r="AB786" s="8">
        <f t="shared" si="436"/>
        <v>0</v>
      </c>
    </row>
    <row r="787" spans="1:28" x14ac:dyDescent="0.3">
      <c r="A787" s="64"/>
      <c r="B787" s="8"/>
      <c r="C787" s="7" t="s">
        <v>635</v>
      </c>
      <c r="D787" s="15" t="s">
        <v>166</v>
      </c>
      <c r="E787" s="9">
        <f>2030000-1969857.55</f>
        <v>60142.449999999953</v>
      </c>
      <c r="F787" s="8"/>
      <c r="G787" s="8"/>
      <c r="H787" s="9">
        <f t="shared" si="427"/>
        <v>0</v>
      </c>
      <c r="I787" s="8"/>
      <c r="J787" s="9">
        <f t="shared" si="428"/>
        <v>0</v>
      </c>
      <c r="K787" s="9">
        <v>60142.45</v>
      </c>
      <c r="L787" s="8"/>
      <c r="M787" s="9">
        <f t="shared" si="437"/>
        <v>0</v>
      </c>
      <c r="N787" s="8">
        <v>60142.45</v>
      </c>
      <c r="O787" s="9"/>
      <c r="P787" s="9">
        <f t="shared" si="438"/>
        <v>60142.45</v>
      </c>
      <c r="Q787" s="9">
        <f t="shared" si="429"/>
        <v>0</v>
      </c>
      <c r="R787" s="17"/>
      <c r="S787" s="17"/>
      <c r="T787" s="18"/>
      <c r="U787" s="9">
        <f t="shared" si="430"/>
        <v>60142.45</v>
      </c>
      <c r="V787" s="9">
        <f t="shared" si="431"/>
        <v>60142.45</v>
      </c>
      <c r="W787" s="9">
        <f t="shared" si="432"/>
        <v>0</v>
      </c>
      <c r="X787" s="9">
        <f t="shared" si="433"/>
        <v>60142.45</v>
      </c>
      <c r="Y787" s="8"/>
      <c r="Z787" s="9">
        <f t="shared" si="434"/>
        <v>0</v>
      </c>
      <c r="AA787" s="8">
        <f t="shared" si="435"/>
        <v>60142.45</v>
      </c>
      <c r="AB787" s="8">
        <f t="shared" si="436"/>
        <v>0</v>
      </c>
    </row>
    <row r="788" spans="1:28" x14ac:dyDescent="0.3">
      <c r="A788" s="64"/>
      <c r="B788" s="8"/>
      <c r="C788" s="7" t="s">
        <v>636</v>
      </c>
      <c r="D788" s="15" t="s">
        <v>78</v>
      </c>
      <c r="E788" s="9">
        <f>1935150-311603.97</f>
        <v>1623546.03</v>
      </c>
      <c r="F788" s="9">
        <f>1205531.1+92439</f>
        <v>1297970.1000000001</v>
      </c>
      <c r="G788" s="8"/>
      <c r="H788" s="9">
        <f t="shared" si="427"/>
        <v>1297970.1000000001</v>
      </c>
      <c r="I788" s="8"/>
      <c r="J788" s="9">
        <f t="shared" si="428"/>
        <v>1297970.1000000001</v>
      </c>
      <c r="K788" s="9">
        <f>23609.01+301966.92+1477.95-1477.95</f>
        <v>325575.93</v>
      </c>
      <c r="L788" s="8"/>
      <c r="M788" s="9">
        <f t="shared" si="437"/>
        <v>1297970.1000000001</v>
      </c>
      <c r="N788" s="8">
        <v>325575.93</v>
      </c>
      <c r="O788" s="9"/>
      <c r="P788" s="9">
        <f t="shared" si="438"/>
        <v>325575.93</v>
      </c>
      <c r="Q788" s="9">
        <f t="shared" si="429"/>
        <v>1297970.1000000001</v>
      </c>
      <c r="R788" s="17"/>
      <c r="S788" s="17"/>
      <c r="T788" s="18"/>
      <c r="U788" s="9">
        <f t="shared" si="430"/>
        <v>325575.93</v>
      </c>
      <c r="V788" s="9">
        <f t="shared" si="431"/>
        <v>1623546.03</v>
      </c>
      <c r="W788" s="9">
        <f t="shared" si="432"/>
        <v>0</v>
      </c>
      <c r="X788" s="9">
        <f t="shared" si="433"/>
        <v>1623546.03</v>
      </c>
      <c r="Y788" s="8"/>
      <c r="Z788" s="9">
        <f t="shared" si="434"/>
        <v>0</v>
      </c>
      <c r="AA788" s="8">
        <f t="shared" si="435"/>
        <v>1623546.03</v>
      </c>
      <c r="AB788" s="8">
        <f t="shared" si="436"/>
        <v>0</v>
      </c>
    </row>
    <row r="789" spans="1:28" x14ac:dyDescent="0.3">
      <c r="A789" s="64"/>
      <c r="B789" s="8"/>
      <c r="C789" s="7" t="s">
        <v>539</v>
      </c>
      <c r="D789" s="15" t="s">
        <v>68</v>
      </c>
      <c r="E789" s="9">
        <v>1194439</v>
      </c>
      <c r="F789" s="8"/>
      <c r="G789" s="8"/>
      <c r="H789" s="9">
        <f t="shared" si="427"/>
        <v>0</v>
      </c>
      <c r="I789" s="8"/>
      <c r="J789" s="9">
        <f t="shared" si="428"/>
        <v>0</v>
      </c>
      <c r="K789" s="9">
        <v>1194439</v>
      </c>
      <c r="L789" s="8"/>
      <c r="M789" s="9">
        <f t="shared" si="437"/>
        <v>0</v>
      </c>
      <c r="N789" s="8">
        <v>1194439</v>
      </c>
      <c r="O789" s="9"/>
      <c r="P789" s="9">
        <f t="shared" si="438"/>
        <v>1194439</v>
      </c>
      <c r="Q789" s="9">
        <f t="shared" si="429"/>
        <v>0</v>
      </c>
      <c r="R789" s="17"/>
      <c r="S789" s="17"/>
      <c r="T789" s="18"/>
      <c r="U789" s="9">
        <f t="shared" si="430"/>
        <v>1194439</v>
      </c>
      <c r="V789" s="9">
        <f t="shared" si="431"/>
        <v>1194439</v>
      </c>
      <c r="W789" s="9">
        <f t="shared" si="432"/>
        <v>0</v>
      </c>
      <c r="X789" s="9">
        <f t="shared" si="433"/>
        <v>1194439</v>
      </c>
      <c r="Y789" s="8"/>
      <c r="Z789" s="9">
        <f t="shared" si="434"/>
        <v>0</v>
      </c>
      <c r="AA789" s="8">
        <f t="shared" si="435"/>
        <v>1194439</v>
      </c>
      <c r="AB789" s="8">
        <f t="shared" si="436"/>
        <v>0</v>
      </c>
    </row>
    <row r="790" spans="1:28" x14ac:dyDescent="0.3">
      <c r="A790" s="64"/>
      <c r="B790" s="8"/>
      <c r="C790" s="7" t="s">
        <v>545</v>
      </c>
      <c r="D790" s="15" t="s">
        <v>54</v>
      </c>
      <c r="E790" s="9">
        <v>1767770</v>
      </c>
      <c r="F790" s="8"/>
      <c r="G790" s="8"/>
      <c r="H790" s="9">
        <f t="shared" si="427"/>
        <v>0</v>
      </c>
      <c r="I790" s="8"/>
      <c r="J790" s="9">
        <f t="shared" si="428"/>
        <v>0</v>
      </c>
      <c r="K790" s="9">
        <v>1767770</v>
      </c>
      <c r="L790" s="8"/>
      <c r="M790" s="9">
        <f t="shared" si="437"/>
        <v>0</v>
      </c>
      <c r="N790" s="8">
        <v>1767770</v>
      </c>
      <c r="O790" s="9"/>
      <c r="P790" s="9">
        <f t="shared" si="438"/>
        <v>1767770</v>
      </c>
      <c r="Q790" s="9">
        <f t="shared" si="429"/>
        <v>0</v>
      </c>
      <c r="R790" s="17"/>
      <c r="S790" s="17"/>
      <c r="T790" s="18"/>
      <c r="U790" s="9">
        <f t="shared" si="430"/>
        <v>1767770</v>
      </c>
      <c r="V790" s="9">
        <f t="shared" si="431"/>
        <v>1767770</v>
      </c>
      <c r="W790" s="9">
        <f t="shared" si="432"/>
        <v>0</v>
      </c>
      <c r="X790" s="9">
        <f t="shared" si="433"/>
        <v>1767770</v>
      </c>
      <c r="Y790" s="8"/>
      <c r="Z790" s="9">
        <f t="shared" si="434"/>
        <v>0</v>
      </c>
      <c r="AA790" s="8">
        <f t="shared" si="435"/>
        <v>1767770</v>
      </c>
      <c r="AB790" s="8">
        <f t="shared" si="436"/>
        <v>0</v>
      </c>
    </row>
    <row r="791" spans="1:28" x14ac:dyDescent="0.3">
      <c r="A791" s="64"/>
      <c r="B791" s="8"/>
      <c r="C791" s="7" t="s">
        <v>535</v>
      </c>
      <c r="D791" s="15" t="s">
        <v>54</v>
      </c>
      <c r="E791" s="9">
        <f>1000000-50000</f>
        <v>950000</v>
      </c>
      <c r="F791" s="9">
        <v>950000</v>
      </c>
      <c r="G791" s="8"/>
      <c r="H791" s="9">
        <f t="shared" si="427"/>
        <v>950000</v>
      </c>
      <c r="I791" s="8"/>
      <c r="J791" s="9">
        <f t="shared" si="428"/>
        <v>950000</v>
      </c>
      <c r="K791" s="8"/>
      <c r="L791" s="8"/>
      <c r="M791" s="9">
        <f t="shared" si="437"/>
        <v>950000</v>
      </c>
      <c r="N791" s="8"/>
      <c r="O791" s="9"/>
      <c r="P791" s="9">
        <f t="shared" si="438"/>
        <v>0</v>
      </c>
      <c r="Q791" s="9">
        <f t="shared" si="429"/>
        <v>950000</v>
      </c>
      <c r="R791" s="17"/>
      <c r="S791" s="17"/>
      <c r="T791" s="18"/>
      <c r="U791" s="9">
        <f t="shared" si="430"/>
        <v>0</v>
      </c>
      <c r="V791" s="9">
        <f t="shared" si="431"/>
        <v>950000</v>
      </c>
      <c r="W791" s="9">
        <f t="shared" si="432"/>
        <v>0</v>
      </c>
      <c r="X791" s="9">
        <f t="shared" si="433"/>
        <v>950000</v>
      </c>
      <c r="Y791" s="8"/>
      <c r="Z791" s="9">
        <f t="shared" si="434"/>
        <v>0</v>
      </c>
      <c r="AA791" s="8">
        <f t="shared" si="435"/>
        <v>950000</v>
      </c>
      <c r="AB791" s="8">
        <f t="shared" si="436"/>
        <v>0</v>
      </c>
    </row>
    <row r="792" spans="1:28" x14ac:dyDescent="0.3">
      <c r="A792" s="64"/>
      <c r="B792" s="8"/>
      <c r="C792" s="7" t="s">
        <v>535</v>
      </c>
      <c r="D792" s="15" t="s">
        <v>128</v>
      </c>
      <c r="E792" s="9">
        <v>1050481</v>
      </c>
      <c r="F792" s="9">
        <v>1050481</v>
      </c>
      <c r="G792" s="8"/>
      <c r="H792" s="9">
        <f t="shared" si="427"/>
        <v>1050481</v>
      </c>
      <c r="I792" s="8"/>
      <c r="J792" s="9">
        <f t="shared" si="428"/>
        <v>1050481</v>
      </c>
      <c r="K792" s="8"/>
      <c r="L792" s="8"/>
      <c r="M792" s="9">
        <f t="shared" si="437"/>
        <v>1050481</v>
      </c>
      <c r="N792" s="8"/>
      <c r="O792" s="9"/>
      <c r="P792" s="9">
        <f t="shared" si="438"/>
        <v>0</v>
      </c>
      <c r="Q792" s="9">
        <f t="shared" si="429"/>
        <v>1050481</v>
      </c>
      <c r="R792" s="17"/>
      <c r="S792" s="17"/>
      <c r="T792" s="18"/>
      <c r="U792" s="9">
        <f t="shared" si="430"/>
        <v>0</v>
      </c>
      <c r="V792" s="9">
        <f t="shared" si="431"/>
        <v>1050481</v>
      </c>
      <c r="W792" s="9">
        <f t="shared" si="432"/>
        <v>0</v>
      </c>
      <c r="X792" s="9">
        <f t="shared" si="433"/>
        <v>1050481</v>
      </c>
      <c r="Y792" s="8"/>
      <c r="Z792" s="9">
        <f t="shared" si="434"/>
        <v>0</v>
      </c>
      <c r="AA792" s="8">
        <f t="shared" si="435"/>
        <v>1050481</v>
      </c>
      <c r="AB792" s="8">
        <f t="shared" si="436"/>
        <v>0</v>
      </c>
    </row>
    <row r="793" spans="1:28" x14ac:dyDescent="0.3">
      <c r="A793" s="64"/>
      <c r="B793" s="8"/>
      <c r="C793" s="7" t="s">
        <v>535</v>
      </c>
      <c r="D793" s="15" t="s">
        <v>58</v>
      </c>
      <c r="E793" s="9">
        <v>1799195</v>
      </c>
      <c r="F793" s="9">
        <v>1799195</v>
      </c>
      <c r="G793" s="8"/>
      <c r="H793" s="9">
        <f t="shared" si="427"/>
        <v>1799195</v>
      </c>
      <c r="I793" s="8"/>
      <c r="J793" s="9">
        <f t="shared" si="428"/>
        <v>1799195</v>
      </c>
      <c r="K793" s="8"/>
      <c r="L793" s="8"/>
      <c r="M793" s="9">
        <f t="shared" si="437"/>
        <v>1799195</v>
      </c>
      <c r="N793" s="8"/>
      <c r="O793" s="9"/>
      <c r="P793" s="9">
        <f t="shared" si="438"/>
        <v>0</v>
      </c>
      <c r="Q793" s="9">
        <f t="shared" si="429"/>
        <v>1799195</v>
      </c>
      <c r="R793" s="17"/>
      <c r="S793" s="17"/>
      <c r="T793" s="18"/>
      <c r="U793" s="9">
        <f t="shared" si="430"/>
        <v>0</v>
      </c>
      <c r="V793" s="9">
        <f t="shared" si="431"/>
        <v>1799195</v>
      </c>
      <c r="W793" s="9">
        <f t="shared" si="432"/>
        <v>0</v>
      </c>
      <c r="X793" s="9">
        <f t="shared" si="433"/>
        <v>1799195</v>
      </c>
      <c r="Y793" s="8"/>
      <c r="Z793" s="9">
        <f t="shared" si="434"/>
        <v>0</v>
      </c>
      <c r="AA793" s="8">
        <f t="shared" si="435"/>
        <v>1799195</v>
      </c>
      <c r="AB793" s="8">
        <f t="shared" si="436"/>
        <v>0</v>
      </c>
    </row>
    <row r="794" spans="1:28" x14ac:dyDescent="0.3">
      <c r="A794" s="64"/>
      <c r="B794" s="8"/>
      <c r="C794" s="14" t="s">
        <v>535</v>
      </c>
      <c r="D794" s="21" t="s">
        <v>73</v>
      </c>
      <c r="E794" s="11">
        <f>2454608+3375193</f>
        <v>5829801</v>
      </c>
      <c r="F794" s="11">
        <v>2454608</v>
      </c>
      <c r="G794" s="8"/>
      <c r="H794" s="9">
        <f t="shared" si="427"/>
        <v>2454608</v>
      </c>
      <c r="I794" s="11">
        <v>3375193</v>
      </c>
      <c r="J794" s="9">
        <f t="shared" si="428"/>
        <v>5829801</v>
      </c>
      <c r="K794" s="8"/>
      <c r="L794" s="8">
        <v>3375193</v>
      </c>
      <c r="M794" s="9">
        <f t="shared" si="437"/>
        <v>5829801</v>
      </c>
      <c r="N794" s="8"/>
      <c r="O794" s="9"/>
      <c r="P794" s="9">
        <f t="shared" si="438"/>
        <v>0</v>
      </c>
      <c r="Q794" s="9">
        <f t="shared" si="429"/>
        <v>5829801</v>
      </c>
      <c r="R794" s="17"/>
      <c r="S794" s="17"/>
      <c r="T794" s="18"/>
      <c r="U794" s="9">
        <f t="shared" si="430"/>
        <v>0</v>
      </c>
      <c r="V794" s="9">
        <f t="shared" si="431"/>
        <v>2454608</v>
      </c>
      <c r="W794" s="9">
        <f t="shared" si="432"/>
        <v>3375193</v>
      </c>
      <c r="X794" s="9">
        <f t="shared" si="433"/>
        <v>2454608</v>
      </c>
      <c r="Y794" s="8"/>
      <c r="Z794" s="9">
        <f t="shared" si="434"/>
        <v>3375193</v>
      </c>
      <c r="AA794" s="8">
        <f t="shared" si="435"/>
        <v>5829801</v>
      </c>
      <c r="AB794" s="8">
        <f t="shared" si="436"/>
        <v>0</v>
      </c>
    </row>
    <row r="795" spans="1:28" x14ac:dyDescent="0.3">
      <c r="A795" s="64"/>
      <c r="B795" s="8"/>
      <c r="C795" s="14" t="s">
        <v>535</v>
      </c>
      <c r="D795" s="21" t="s">
        <v>61</v>
      </c>
      <c r="E795" s="11">
        <f>3015354.72+40266.62+55194.07+91637.61+2294274.95+3554395.7+50367.28+85614.64</f>
        <v>9187105.5900000017</v>
      </c>
      <c r="F795" s="11">
        <f>3015354.72+5934285.29</f>
        <v>8949640.0099999998</v>
      </c>
      <c r="G795" s="11"/>
      <c r="H795" s="9">
        <f t="shared" si="427"/>
        <v>8949640.0099999998</v>
      </c>
      <c r="I795" s="8"/>
      <c r="J795" s="9">
        <f t="shared" si="428"/>
        <v>8949640.0099999998</v>
      </c>
      <c r="K795" s="8"/>
      <c r="L795" s="8"/>
      <c r="M795" s="9">
        <f t="shared" si="437"/>
        <v>8949640.0099999998</v>
      </c>
      <c r="N795" s="11"/>
      <c r="O795" s="9"/>
      <c r="P795" s="9">
        <f t="shared" si="438"/>
        <v>0</v>
      </c>
      <c r="Q795" s="9">
        <f t="shared" si="429"/>
        <v>9187105.5900000017</v>
      </c>
      <c r="R795" s="17"/>
      <c r="S795" s="17"/>
      <c r="T795" s="18">
        <v>237465.58</v>
      </c>
      <c r="U795" s="9">
        <f t="shared" si="430"/>
        <v>237465.58</v>
      </c>
      <c r="V795" s="9">
        <f t="shared" si="431"/>
        <v>8949640.0099999998</v>
      </c>
      <c r="W795" s="9">
        <f t="shared" si="432"/>
        <v>237465.58000000194</v>
      </c>
      <c r="X795" s="9">
        <f t="shared" si="433"/>
        <v>8949640.0099999998</v>
      </c>
      <c r="Y795" s="8"/>
      <c r="Z795" s="9">
        <f t="shared" si="434"/>
        <v>237465.58000000194</v>
      </c>
      <c r="AA795" s="8">
        <f t="shared" si="435"/>
        <v>9187105.5899999999</v>
      </c>
      <c r="AB795" s="8">
        <f t="shared" si="436"/>
        <v>0</v>
      </c>
    </row>
    <row r="796" spans="1:28" x14ac:dyDescent="0.3">
      <c r="A796" s="64"/>
      <c r="B796" s="8"/>
      <c r="C796" s="14" t="s">
        <v>898</v>
      </c>
      <c r="D796" s="21"/>
      <c r="E796" s="11">
        <f>64851.46+8966.75+46266.76+6198.54+36119.34+48816.04+42415.76</f>
        <v>253634.65</v>
      </c>
      <c r="F796" s="11"/>
      <c r="G796" s="11"/>
      <c r="H796" s="9">
        <f t="shared" si="427"/>
        <v>0</v>
      </c>
      <c r="I796" s="8"/>
      <c r="J796" s="9"/>
      <c r="K796" s="8"/>
      <c r="L796" s="8"/>
      <c r="M796" s="9">
        <f t="shared" si="437"/>
        <v>0</v>
      </c>
      <c r="N796" s="9">
        <v>253634.65</v>
      </c>
      <c r="O796" s="9"/>
      <c r="P796" s="9">
        <f t="shared" si="438"/>
        <v>253634.65</v>
      </c>
      <c r="Q796" s="9"/>
      <c r="R796" s="17"/>
      <c r="S796" s="17"/>
      <c r="T796" s="18"/>
      <c r="U796" s="9">
        <f>P796+T796</f>
        <v>253634.65</v>
      </c>
      <c r="V796" s="9">
        <f>P796+H796</f>
        <v>253634.65</v>
      </c>
      <c r="W796" s="9">
        <f>E796-V796</f>
        <v>0</v>
      </c>
      <c r="X796" s="9">
        <f t="shared" si="433"/>
        <v>253634.65</v>
      </c>
      <c r="Y796" s="8"/>
      <c r="Z796" s="9">
        <f t="shared" si="434"/>
        <v>0</v>
      </c>
      <c r="AA796" s="8">
        <f t="shared" si="435"/>
        <v>253634.65</v>
      </c>
      <c r="AB796" s="8">
        <f t="shared" si="436"/>
        <v>0</v>
      </c>
    </row>
    <row r="797" spans="1:28" x14ac:dyDescent="0.3">
      <c r="A797" s="64"/>
      <c r="B797" s="8"/>
      <c r="C797" s="14" t="s">
        <v>933</v>
      </c>
      <c r="D797" s="24" t="s">
        <v>1072</v>
      </c>
      <c r="E797" s="11">
        <v>9200000</v>
      </c>
      <c r="F797" s="11">
        <v>9200000</v>
      </c>
      <c r="G797" s="11"/>
      <c r="H797" s="9">
        <f>+F797+G797</f>
        <v>9200000</v>
      </c>
      <c r="I797" s="8"/>
      <c r="J797" s="9"/>
      <c r="K797" s="8"/>
      <c r="L797" s="8"/>
      <c r="M797" s="9">
        <f>+H797+L797</f>
        <v>9200000</v>
      </c>
      <c r="N797" s="9"/>
      <c r="O797" s="9"/>
      <c r="P797" s="9">
        <f t="shared" si="438"/>
        <v>0</v>
      </c>
      <c r="Q797" s="9"/>
      <c r="R797" s="17"/>
      <c r="S797" s="17"/>
      <c r="T797" s="18"/>
      <c r="U797" s="9">
        <f>+P797+T797</f>
        <v>0</v>
      </c>
      <c r="V797" s="9"/>
      <c r="W797" s="9"/>
      <c r="X797" s="9">
        <f t="shared" si="433"/>
        <v>9200000</v>
      </c>
      <c r="Y797" s="8"/>
      <c r="Z797" s="9">
        <f t="shared" si="434"/>
        <v>0</v>
      </c>
      <c r="AA797" s="8">
        <f t="shared" si="435"/>
        <v>9200000</v>
      </c>
      <c r="AB797" s="8">
        <f t="shared" si="436"/>
        <v>0</v>
      </c>
    </row>
    <row r="798" spans="1:28" x14ac:dyDescent="0.3">
      <c r="A798" s="64"/>
      <c r="B798" s="8"/>
      <c r="C798" s="14" t="s">
        <v>1228</v>
      </c>
      <c r="D798" s="24" t="s">
        <v>1225</v>
      </c>
      <c r="E798" s="11">
        <v>400000</v>
      </c>
      <c r="F798" s="11">
        <v>400000</v>
      </c>
      <c r="G798" s="11"/>
      <c r="H798" s="9">
        <f>+F798+G798</f>
        <v>400000</v>
      </c>
      <c r="I798" s="8"/>
      <c r="J798" s="9"/>
      <c r="K798" s="8"/>
      <c r="L798" s="8"/>
      <c r="M798" s="9">
        <f>+H798+L798</f>
        <v>400000</v>
      </c>
      <c r="N798" s="9"/>
      <c r="O798" s="9"/>
      <c r="P798" s="9">
        <f>+N798+O798</f>
        <v>0</v>
      </c>
      <c r="Q798" s="9"/>
      <c r="R798" s="17"/>
      <c r="S798" s="17"/>
      <c r="T798" s="18"/>
      <c r="U798" s="9">
        <f>+P798+T798</f>
        <v>0</v>
      </c>
      <c r="V798" s="9"/>
      <c r="W798" s="9"/>
      <c r="X798" s="9">
        <f t="shared" si="433"/>
        <v>400000</v>
      </c>
      <c r="Y798" s="8"/>
      <c r="Z798" s="9">
        <f t="shared" si="434"/>
        <v>0</v>
      </c>
      <c r="AA798" s="8">
        <f t="shared" si="435"/>
        <v>400000</v>
      </c>
      <c r="AB798" s="8">
        <f t="shared" si="436"/>
        <v>0</v>
      </c>
    </row>
    <row r="799" spans="1:28" x14ac:dyDescent="0.3">
      <c r="A799" s="64"/>
      <c r="B799" s="8"/>
      <c r="C799" s="14" t="s">
        <v>567</v>
      </c>
      <c r="D799" s="21" t="s">
        <v>61</v>
      </c>
      <c r="E799" s="11">
        <f>393837.34+7031.8+6209.02</f>
        <v>407078.16000000003</v>
      </c>
      <c r="F799" s="8">
        <v>393837.34</v>
      </c>
      <c r="G799" s="11"/>
      <c r="H799" s="9">
        <f t="shared" si="427"/>
        <v>393837.34</v>
      </c>
      <c r="I799" s="8"/>
      <c r="J799" s="9">
        <f t="shared" si="428"/>
        <v>393837.34</v>
      </c>
      <c r="K799" s="8"/>
      <c r="L799" s="8"/>
      <c r="M799" s="9">
        <f t="shared" si="437"/>
        <v>393837.34</v>
      </c>
      <c r="N799" s="9">
        <v>6209.02</v>
      </c>
      <c r="O799" s="9"/>
      <c r="P799" s="9">
        <f t="shared" si="438"/>
        <v>6209.02</v>
      </c>
      <c r="Q799" s="9">
        <f t="shared" si="429"/>
        <v>400869.14</v>
      </c>
      <c r="R799" s="17"/>
      <c r="S799" s="17"/>
      <c r="T799" s="18">
        <v>7031.8</v>
      </c>
      <c r="U799" s="9">
        <f t="shared" si="430"/>
        <v>13240.82</v>
      </c>
      <c r="V799" s="9">
        <f t="shared" si="431"/>
        <v>400046.36000000004</v>
      </c>
      <c r="W799" s="9">
        <f t="shared" si="432"/>
        <v>7031.7999999999884</v>
      </c>
      <c r="X799" s="9">
        <f t="shared" si="433"/>
        <v>400046.36000000004</v>
      </c>
      <c r="Y799" s="8"/>
      <c r="Z799" s="9">
        <f t="shared" si="434"/>
        <v>7031.7999999999884</v>
      </c>
      <c r="AA799" s="8">
        <f t="shared" si="435"/>
        <v>407078.16000000003</v>
      </c>
      <c r="AB799" s="8">
        <f t="shared" si="436"/>
        <v>0</v>
      </c>
    </row>
    <row r="800" spans="1:28" x14ac:dyDescent="0.3">
      <c r="A800" s="64"/>
      <c r="B800" s="8"/>
      <c r="C800" s="7" t="s">
        <v>606</v>
      </c>
      <c r="D800" s="8"/>
      <c r="E800" s="11">
        <v>2023811.97</v>
      </c>
      <c r="F800" s="11">
        <v>2023811.97</v>
      </c>
      <c r="G800" s="8"/>
      <c r="H800" s="9">
        <f t="shared" si="427"/>
        <v>2023811.97</v>
      </c>
      <c r="I800" s="8"/>
      <c r="J800" s="9">
        <f t="shared" si="428"/>
        <v>2023811.97</v>
      </c>
      <c r="K800" s="8"/>
      <c r="L800" s="8"/>
      <c r="M800" s="9">
        <f t="shared" si="437"/>
        <v>2023811.97</v>
      </c>
      <c r="N800" s="8"/>
      <c r="O800" s="9"/>
      <c r="P800" s="9">
        <f t="shared" si="438"/>
        <v>0</v>
      </c>
      <c r="Q800" s="9">
        <f t="shared" si="429"/>
        <v>2023811.97</v>
      </c>
      <c r="R800" s="17"/>
      <c r="S800" s="17"/>
      <c r="T800" s="18"/>
      <c r="U800" s="9">
        <f t="shared" si="430"/>
        <v>0</v>
      </c>
      <c r="V800" s="9">
        <f t="shared" si="431"/>
        <v>2023811.97</v>
      </c>
      <c r="W800" s="9">
        <f t="shared" si="432"/>
        <v>0</v>
      </c>
      <c r="X800" s="9">
        <f t="shared" si="433"/>
        <v>2023811.97</v>
      </c>
      <c r="Y800" s="8"/>
      <c r="Z800" s="9">
        <f t="shared" si="434"/>
        <v>0</v>
      </c>
      <c r="AA800" s="8">
        <f t="shared" si="435"/>
        <v>2023811.97</v>
      </c>
      <c r="AB800" s="8">
        <f t="shared" si="436"/>
        <v>0</v>
      </c>
    </row>
    <row r="801" spans="1:28" x14ac:dyDescent="0.3">
      <c r="A801" s="64"/>
      <c r="B801" s="8"/>
      <c r="C801" s="8"/>
      <c r="D801" s="8"/>
      <c r="E801" s="17" t="s">
        <v>29</v>
      </c>
      <c r="F801" s="17" t="s">
        <v>29</v>
      </c>
      <c r="G801" s="17" t="s">
        <v>29</v>
      </c>
      <c r="H801" s="17" t="s">
        <v>29</v>
      </c>
      <c r="I801" s="17" t="s">
        <v>29</v>
      </c>
      <c r="J801" s="17" t="s">
        <v>29</v>
      </c>
      <c r="K801" s="17" t="s">
        <v>29</v>
      </c>
      <c r="L801" s="17" t="s">
        <v>29</v>
      </c>
      <c r="M801" s="17" t="s">
        <v>29</v>
      </c>
      <c r="N801" s="17" t="s">
        <v>29</v>
      </c>
      <c r="O801" s="17" t="s">
        <v>29</v>
      </c>
      <c r="P801" s="17" t="s">
        <v>29</v>
      </c>
      <c r="Q801" s="17" t="s">
        <v>29</v>
      </c>
      <c r="R801" s="17" t="s">
        <v>29</v>
      </c>
      <c r="S801" s="17" t="s">
        <v>29</v>
      </c>
      <c r="T801" s="17" t="s">
        <v>29</v>
      </c>
      <c r="U801" s="17" t="s">
        <v>29</v>
      </c>
      <c r="V801" s="17" t="s">
        <v>29</v>
      </c>
      <c r="W801" s="17" t="s">
        <v>29</v>
      </c>
      <c r="X801" s="17" t="s">
        <v>29</v>
      </c>
      <c r="Y801" s="17" t="s">
        <v>29</v>
      </c>
      <c r="Z801" s="17" t="s">
        <v>29</v>
      </c>
      <c r="AA801" s="17" t="s">
        <v>29</v>
      </c>
      <c r="AB801" s="17" t="s">
        <v>29</v>
      </c>
    </row>
    <row r="802" spans="1:28" x14ac:dyDescent="0.3">
      <c r="A802" s="64"/>
      <c r="B802" s="8"/>
      <c r="C802" s="8"/>
      <c r="D802" s="8"/>
      <c r="E802" s="9">
        <f t="shared" ref="E802:Q802" si="439">SUM(E784:E801)</f>
        <v>67492040.790000007</v>
      </c>
      <c r="F802" s="9">
        <f t="shared" si="439"/>
        <v>59603552.479999997</v>
      </c>
      <c r="G802" s="9">
        <f t="shared" si="439"/>
        <v>0</v>
      </c>
      <c r="H802" s="9">
        <f t="shared" si="439"/>
        <v>59603552.479999997</v>
      </c>
      <c r="I802" s="9">
        <f t="shared" si="439"/>
        <v>3375193</v>
      </c>
      <c r="J802" s="9">
        <f t="shared" si="439"/>
        <v>53378745.479999997</v>
      </c>
      <c r="K802" s="9">
        <f t="shared" si="439"/>
        <v>4008954.26</v>
      </c>
      <c r="L802" s="9">
        <f t="shared" si="439"/>
        <v>3375193</v>
      </c>
      <c r="M802" s="9">
        <f t="shared" si="439"/>
        <v>62978745.479999997</v>
      </c>
      <c r="N802" s="9">
        <f t="shared" si="439"/>
        <v>4268797.93</v>
      </c>
      <c r="O802" s="9">
        <f t="shared" si="439"/>
        <v>0</v>
      </c>
      <c r="P802" s="9">
        <f t="shared" si="439"/>
        <v>4268797.93</v>
      </c>
      <c r="Q802" s="9">
        <f t="shared" si="439"/>
        <v>53623242.859999999</v>
      </c>
      <c r="R802" s="17"/>
      <c r="S802" s="17"/>
      <c r="T802" s="9">
        <f t="shared" ref="T802:Z802" si="440">SUM(T784:T801)</f>
        <v>244497.37999999998</v>
      </c>
      <c r="U802" s="9">
        <f t="shared" si="440"/>
        <v>4513295.3100000005</v>
      </c>
      <c r="V802" s="9">
        <f t="shared" si="440"/>
        <v>54272350.409999996</v>
      </c>
      <c r="W802" s="9">
        <f t="shared" si="440"/>
        <v>3619690.3800000018</v>
      </c>
      <c r="X802" s="9">
        <f t="shared" si="440"/>
        <v>63872350.409999996</v>
      </c>
      <c r="Y802" s="9">
        <f t="shared" si="440"/>
        <v>0</v>
      </c>
      <c r="Z802" s="9">
        <f t="shared" si="440"/>
        <v>3619690.3800000018</v>
      </c>
      <c r="AA802" s="9">
        <f>SUM(AA784:AA801)</f>
        <v>67492040.790000007</v>
      </c>
      <c r="AB802" s="9">
        <f>SUM(AB784:AB801)</f>
        <v>0</v>
      </c>
    </row>
    <row r="803" spans="1:28" x14ac:dyDescent="0.3">
      <c r="A803" s="64"/>
      <c r="B803" s="8"/>
      <c r="C803" s="8"/>
      <c r="D803" s="8"/>
      <c r="E803" s="17" t="s">
        <v>29</v>
      </c>
      <c r="F803" s="17" t="s">
        <v>29</v>
      </c>
      <c r="G803" s="17" t="s">
        <v>29</v>
      </c>
      <c r="H803" s="17" t="s">
        <v>29</v>
      </c>
      <c r="I803" s="17" t="s">
        <v>29</v>
      </c>
      <c r="J803" s="17" t="s">
        <v>29</v>
      </c>
      <c r="K803" s="17" t="s">
        <v>29</v>
      </c>
      <c r="L803" s="17" t="s">
        <v>29</v>
      </c>
      <c r="M803" s="17" t="s">
        <v>29</v>
      </c>
      <c r="N803" s="17" t="s">
        <v>29</v>
      </c>
      <c r="O803" s="17" t="s">
        <v>29</v>
      </c>
      <c r="P803" s="17" t="s">
        <v>29</v>
      </c>
      <c r="Q803" s="17" t="s">
        <v>29</v>
      </c>
      <c r="R803" s="17" t="s">
        <v>29</v>
      </c>
      <c r="S803" s="17" t="s">
        <v>29</v>
      </c>
      <c r="T803" s="17" t="s">
        <v>29</v>
      </c>
      <c r="U803" s="17" t="s">
        <v>29</v>
      </c>
      <c r="V803" s="17" t="s">
        <v>29</v>
      </c>
      <c r="W803" s="17" t="s">
        <v>29</v>
      </c>
      <c r="X803" s="17" t="s">
        <v>29</v>
      </c>
      <c r="Y803" s="17" t="s">
        <v>29</v>
      </c>
      <c r="Z803" s="17" t="s">
        <v>29</v>
      </c>
      <c r="AA803" s="17" t="s">
        <v>29</v>
      </c>
      <c r="AB803" s="17" t="s">
        <v>29</v>
      </c>
    </row>
    <row r="804" spans="1:28" x14ac:dyDescent="0.3">
      <c r="A804" s="63" t="s">
        <v>975</v>
      </c>
      <c r="B804" s="7" t="s">
        <v>637</v>
      </c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17"/>
      <c r="S804" s="17"/>
      <c r="T804" s="17"/>
      <c r="U804" s="17"/>
      <c r="V804" s="17"/>
      <c r="W804" s="17"/>
      <c r="X804" s="17"/>
      <c r="Y804" s="17"/>
      <c r="Z804" s="17"/>
      <c r="AA804" s="58"/>
    </row>
    <row r="805" spans="1:28" x14ac:dyDescent="0.3">
      <c r="A805" s="64"/>
      <c r="B805" s="8"/>
      <c r="C805" s="7" t="s">
        <v>638</v>
      </c>
      <c r="D805" s="15" t="s">
        <v>150</v>
      </c>
      <c r="E805" s="9">
        <v>3018400</v>
      </c>
      <c r="F805" s="9">
        <v>3000000</v>
      </c>
      <c r="G805" s="8"/>
      <c r="H805" s="9">
        <f t="shared" ref="H805:H821" si="441">F805+G805</f>
        <v>3000000</v>
      </c>
      <c r="I805" s="8"/>
      <c r="J805" s="9">
        <f t="shared" ref="J805:J821" si="442">H805+I805</f>
        <v>3000000</v>
      </c>
      <c r="K805" s="9">
        <v>18400</v>
      </c>
      <c r="L805" s="8"/>
      <c r="M805" s="9">
        <f>+H805+L805</f>
        <v>3000000</v>
      </c>
      <c r="N805" s="8">
        <v>18400</v>
      </c>
      <c r="O805" s="9"/>
      <c r="P805" s="9">
        <f>+N805+O805</f>
        <v>18400</v>
      </c>
      <c r="Q805" s="9">
        <f t="shared" ref="Q805:Q821" si="443">E805-P805</f>
        <v>3000000</v>
      </c>
      <c r="R805" s="17"/>
      <c r="S805" s="17"/>
      <c r="T805" s="17"/>
      <c r="U805" s="9">
        <f t="shared" ref="U805:U821" si="444">P805+T805</f>
        <v>18400</v>
      </c>
      <c r="V805" s="9">
        <f t="shared" ref="V805:V821" si="445">P805+H805</f>
        <v>3018400</v>
      </c>
      <c r="W805" s="9">
        <f t="shared" ref="W805:W821" si="446">E805-V805</f>
        <v>0</v>
      </c>
      <c r="X805" s="9">
        <f t="shared" ref="X805:X821" si="447">+H805+P805</f>
        <v>3018400</v>
      </c>
      <c r="Y805" s="8"/>
      <c r="Z805" s="9">
        <f t="shared" ref="Z805:Z821" si="448">+E805-X805</f>
        <v>0</v>
      </c>
      <c r="AA805" s="8">
        <f t="shared" ref="AA805:AA821" si="449">+M805+U805</f>
        <v>3018400</v>
      </c>
      <c r="AB805" s="8">
        <f t="shared" ref="AB805:AB821" si="450">+E805-AA805</f>
        <v>0</v>
      </c>
    </row>
    <row r="806" spans="1:28" x14ac:dyDescent="0.3">
      <c r="A806" s="64"/>
      <c r="B806" s="8"/>
      <c r="C806" s="7" t="s">
        <v>535</v>
      </c>
      <c r="D806" s="15" t="s">
        <v>68</v>
      </c>
      <c r="E806" s="9">
        <v>3650850</v>
      </c>
      <c r="F806" s="9">
        <v>1321200</v>
      </c>
      <c r="G806" s="8"/>
      <c r="H806" s="9">
        <f t="shared" si="441"/>
        <v>1321200</v>
      </c>
      <c r="I806" s="8"/>
      <c r="J806" s="9">
        <f t="shared" si="442"/>
        <v>1321200</v>
      </c>
      <c r="K806" s="9">
        <v>2329650</v>
      </c>
      <c r="L806" s="8"/>
      <c r="M806" s="9">
        <f t="shared" ref="M806:M821" si="451">+H806+L806</f>
        <v>1321200</v>
      </c>
      <c r="N806" s="8">
        <v>2329650</v>
      </c>
      <c r="O806" s="9"/>
      <c r="P806" s="9">
        <f t="shared" ref="P806:P821" si="452">+N806+O806</f>
        <v>2329650</v>
      </c>
      <c r="Q806" s="9">
        <f t="shared" si="443"/>
        <v>1321200</v>
      </c>
      <c r="R806" s="17"/>
      <c r="S806" s="17"/>
      <c r="T806" s="17"/>
      <c r="U806" s="9">
        <f t="shared" si="444"/>
        <v>2329650</v>
      </c>
      <c r="V806" s="9">
        <f t="shared" si="445"/>
        <v>3650850</v>
      </c>
      <c r="W806" s="9">
        <f t="shared" si="446"/>
        <v>0</v>
      </c>
      <c r="X806" s="9">
        <f t="shared" si="447"/>
        <v>3650850</v>
      </c>
      <c r="Y806" s="8"/>
      <c r="Z806" s="9">
        <f t="shared" si="448"/>
        <v>0</v>
      </c>
      <c r="AA806" s="8">
        <f t="shared" si="449"/>
        <v>3650850</v>
      </c>
      <c r="AB806" s="8">
        <f t="shared" si="450"/>
        <v>0</v>
      </c>
    </row>
    <row r="807" spans="1:28" x14ac:dyDescent="0.3">
      <c r="A807" s="64"/>
      <c r="B807" s="8"/>
      <c r="C807" s="7" t="s">
        <v>539</v>
      </c>
      <c r="D807" s="15" t="s">
        <v>68</v>
      </c>
      <c r="E807" s="9">
        <f>2052318.55+1507709.97+1364969.95+550375+411336</f>
        <v>5886709.4699999997</v>
      </c>
      <c r="F807" s="8"/>
      <c r="G807" s="8"/>
      <c r="H807" s="9">
        <f t="shared" si="441"/>
        <v>0</v>
      </c>
      <c r="I807" s="8"/>
      <c r="J807" s="9">
        <f t="shared" si="442"/>
        <v>0</v>
      </c>
      <c r="K807" s="9">
        <f>5475373.47+411336</f>
        <v>5886709.4699999997</v>
      </c>
      <c r="L807" s="8"/>
      <c r="M807" s="9">
        <f t="shared" si="451"/>
        <v>0</v>
      </c>
      <c r="N807" s="8">
        <v>5886709.4699999997</v>
      </c>
      <c r="O807" s="9"/>
      <c r="P807" s="9">
        <f t="shared" si="452"/>
        <v>5886709.4699999997</v>
      </c>
      <c r="Q807" s="9">
        <f t="shared" si="443"/>
        <v>0</v>
      </c>
      <c r="R807" s="17"/>
      <c r="S807" s="17"/>
      <c r="T807" s="17"/>
      <c r="U807" s="9">
        <f t="shared" si="444"/>
        <v>5886709.4699999997</v>
      </c>
      <c r="V807" s="9">
        <f t="shared" si="445"/>
        <v>5886709.4699999997</v>
      </c>
      <c r="W807" s="9">
        <f t="shared" si="446"/>
        <v>0</v>
      </c>
      <c r="X807" s="9">
        <f t="shared" si="447"/>
        <v>5886709.4699999997</v>
      </c>
      <c r="Y807" s="8"/>
      <c r="Z807" s="9">
        <f t="shared" si="448"/>
        <v>0</v>
      </c>
      <c r="AA807" s="8">
        <f t="shared" si="449"/>
        <v>5886709.4699999997</v>
      </c>
      <c r="AB807" s="8">
        <f t="shared" si="450"/>
        <v>0</v>
      </c>
    </row>
    <row r="808" spans="1:28" x14ac:dyDescent="0.3">
      <c r="A808" s="64"/>
      <c r="B808" s="8"/>
      <c r="C808" s="7" t="s">
        <v>545</v>
      </c>
      <c r="D808" s="15" t="s">
        <v>54</v>
      </c>
      <c r="E808" s="9">
        <v>1767770</v>
      </c>
      <c r="F808" s="8"/>
      <c r="G808" s="8"/>
      <c r="H808" s="9">
        <f t="shared" si="441"/>
        <v>0</v>
      </c>
      <c r="I808" s="8"/>
      <c r="J808" s="9">
        <f t="shared" si="442"/>
        <v>0</v>
      </c>
      <c r="K808" s="9">
        <v>1767770</v>
      </c>
      <c r="L808" s="8"/>
      <c r="M808" s="9">
        <f t="shared" si="451"/>
        <v>0</v>
      </c>
      <c r="N808" s="8">
        <v>1767770</v>
      </c>
      <c r="O808" s="9"/>
      <c r="P808" s="9">
        <f t="shared" si="452"/>
        <v>1767770</v>
      </c>
      <c r="Q808" s="9">
        <f t="shared" si="443"/>
        <v>0</v>
      </c>
      <c r="R808" s="17"/>
      <c r="S808" s="17"/>
      <c r="T808" s="17"/>
      <c r="U808" s="9">
        <f t="shared" si="444"/>
        <v>1767770</v>
      </c>
      <c r="V808" s="9">
        <f t="shared" si="445"/>
        <v>1767770</v>
      </c>
      <c r="W808" s="9">
        <f t="shared" si="446"/>
        <v>0</v>
      </c>
      <c r="X808" s="9">
        <f t="shared" si="447"/>
        <v>1767770</v>
      </c>
      <c r="Y808" s="8"/>
      <c r="Z808" s="9">
        <f t="shared" si="448"/>
        <v>0</v>
      </c>
      <c r="AA808" s="8">
        <f t="shared" si="449"/>
        <v>1767770</v>
      </c>
      <c r="AB808" s="8">
        <f t="shared" si="450"/>
        <v>0</v>
      </c>
    </row>
    <row r="809" spans="1:28" x14ac:dyDescent="0.3">
      <c r="A809" s="64"/>
      <c r="B809" s="8"/>
      <c r="C809" s="7" t="s">
        <v>535</v>
      </c>
      <c r="D809" s="15" t="s">
        <v>54</v>
      </c>
      <c r="E809" s="9">
        <v>439000</v>
      </c>
      <c r="F809" s="9">
        <v>439000</v>
      </c>
      <c r="G809" s="8"/>
      <c r="H809" s="9">
        <f t="shared" si="441"/>
        <v>439000</v>
      </c>
      <c r="I809" s="8"/>
      <c r="J809" s="9">
        <f t="shared" si="442"/>
        <v>439000</v>
      </c>
      <c r="K809" s="8"/>
      <c r="L809" s="8"/>
      <c r="M809" s="9">
        <f t="shared" si="451"/>
        <v>439000</v>
      </c>
      <c r="N809" s="8"/>
      <c r="O809" s="9"/>
      <c r="P809" s="9">
        <f t="shared" si="452"/>
        <v>0</v>
      </c>
      <c r="Q809" s="9">
        <f t="shared" si="443"/>
        <v>439000</v>
      </c>
      <c r="R809" s="17"/>
      <c r="S809" s="17"/>
      <c r="T809" s="17"/>
      <c r="U809" s="9">
        <f t="shared" si="444"/>
        <v>0</v>
      </c>
      <c r="V809" s="9">
        <f t="shared" si="445"/>
        <v>439000</v>
      </c>
      <c r="W809" s="9">
        <f t="shared" si="446"/>
        <v>0</v>
      </c>
      <c r="X809" s="9">
        <f t="shared" si="447"/>
        <v>439000</v>
      </c>
      <c r="Y809" s="8"/>
      <c r="Z809" s="9">
        <f t="shared" si="448"/>
        <v>0</v>
      </c>
      <c r="AA809" s="8">
        <f t="shared" si="449"/>
        <v>439000</v>
      </c>
      <c r="AB809" s="8">
        <f t="shared" si="450"/>
        <v>0</v>
      </c>
    </row>
    <row r="810" spans="1:28" x14ac:dyDescent="0.3">
      <c r="A810" s="64"/>
      <c r="B810" s="8"/>
      <c r="C810" s="7" t="s">
        <v>639</v>
      </c>
      <c r="D810" s="15" t="s">
        <v>54</v>
      </c>
      <c r="E810" s="9">
        <v>2849980</v>
      </c>
      <c r="F810" s="9">
        <f>2000000+545447+304533</f>
        <v>2849980</v>
      </c>
      <c r="G810" s="8"/>
      <c r="H810" s="9">
        <f t="shared" si="441"/>
        <v>2849980</v>
      </c>
      <c r="I810" s="8"/>
      <c r="J810" s="9">
        <f t="shared" si="442"/>
        <v>2849980</v>
      </c>
      <c r="K810" s="8"/>
      <c r="L810" s="8"/>
      <c r="M810" s="9">
        <f t="shared" si="451"/>
        <v>2849980</v>
      </c>
      <c r="N810" s="8"/>
      <c r="O810" s="9"/>
      <c r="P810" s="9">
        <f t="shared" si="452"/>
        <v>0</v>
      </c>
      <c r="Q810" s="9">
        <f t="shared" si="443"/>
        <v>2849980</v>
      </c>
      <c r="R810" s="17"/>
      <c r="S810" s="17"/>
      <c r="T810" s="17"/>
      <c r="U810" s="9">
        <f t="shared" si="444"/>
        <v>0</v>
      </c>
      <c r="V810" s="9">
        <f t="shared" si="445"/>
        <v>2849980</v>
      </c>
      <c r="W810" s="9">
        <f t="shared" si="446"/>
        <v>0</v>
      </c>
      <c r="X810" s="9">
        <f t="shared" si="447"/>
        <v>2849980</v>
      </c>
      <c r="Y810" s="8"/>
      <c r="Z810" s="9">
        <f t="shared" si="448"/>
        <v>0</v>
      </c>
      <c r="AA810" s="8">
        <f t="shared" si="449"/>
        <v>2849980</v>
      </c>
      <c r="AB810" s="8">
        <f t="shared" si="450"/>
        <v>0</v>
      </c>
    </row>
    <row r="811" spans="1:28" x14ac:dyDescent="0.3">
      <c r="A811" s="64"/>
      <c r="B811" s="8"/>
      <c r="C811" s="7" t="s">
        <v>535</v>
      </c>
      <c r="D811" s="15" t="s">
        <v>85</v>
      </c>
      <c r="E811" s="9">
        <f>1182000-118200</f>
        <v>1063800</v>
      </c>
      <c r="F811" s="9">
        <v>1063800</v>
      </c>
      <c r="G811" s="8"/>
      <c r="H811" s="9">
        <f t="shared" si="441"/>
        <v>1063800</v>
      </c>
      <c r="I811" s="8"/>
      <c r="J811" s="9">
        <f t="shared" si="442"/>
        <v>1063800</v>
      </c>
      <c r="K811" s="8"/>
      <c r="L811" s="8"/>
      <c r="M811" s="9">
        <f t="shared" si="451"/>
        <v>1063800</v>
      </c>
      <c r="N811" s="8"/>
      <c r="O811" s="9"/>
      <c r="P811" s="9">
        <f t="shared" si="452"/>
        <v>0</v>
      </c>
      <c r="Q811" s="9">
        <f t="shared" si="443"/>
        <v>1063800</v>
      </c>
      <c r="R811" s="17"/>
      <c r="S811" s="17"/>
      <c r="T811" s="17"/>
      <c r="U811" s="9">
        <f t="shared" si="444"/>
        <v>0</v>
      </c>
      <c r="V811" s="9">
        <f t="shared" si="445"/>
        <v>1063800</v>
      </c>
      <c r="W811" s="9">
        <f t="shared" si="446"/>
        <v>0</v>
      </c>
      <c r="X811" s="9">
        <f t="shared" si="447"/>
        <v>1063800</v>
      </c>
      <c r="Y811" s="8"/>
      <c r="Z811" s="9">
        <f t="shared" si="448"/>
        <v>0</v>
      </c>
      <c r="AA811" s="8">
        <f t="shared" si="449"/>
        <v>1063800</v>
      </c>
      <c r="AB811" s="8">
        <f t="shared" si="450"/>
        <v>0</v>
      </c>
    </row>
    <row r="812" spans="1:28" x14ac:dyDescent="0.3">
      <c r="A812" s="64"/>
      <c r="B812" s="8"/>
      <c r="C812" s="7" t="s">
        <v>639</v>
      </c>
      <c r="D812" s="15" t="s">
        <v>85</v>
      </c>
      <c r="E812" s="9">
        <v>2400000.5</v>
      </c>
      <c r="F812" s="9">
        <f>2320599.5+79401</f>
        <v>2400000.5</v>
      </c>
      <c r="G812" s="8"/>
      <c r="H812" s="9">
        <f t="shared" si="441"/>
        <v>2400000.5</v>
      </c>
      <c r="I812" s="8"/>
      <c r="J812" s="9">
        <f t="shared" si="442"/>
        <v>2400000.5</v>
      </c>
      <c r="K812" s="8"/>
      <c r="L812" s="8"/>
      <c r="M812" s="9">
        <f t="shared" si="451"/>
        <v>2400000.5</v>
      </c>
      <c r="N812" s="8"/>
      <c r="O812" s="9"/>
      <c r="P812" s="9">
        <f t="shared" si="452"/>
        <v>0</v>
      </c>
      <c r="Q812" s="9">
        <f t="shared" si="443"/>
        <v>2400000.5</v>
      </c>
      <c r="R812" s="17"/>
      <c r="S812" s="17"/>
      <c r="T812" s="17"/>
      <c r="U812" s="9">
        <f t="shared" si="444"/>
        <v>0</v>
      </c>
      <c r="V812" s="9">
        <f t="shared" si="445"/>
        <v>2400000.5</v>
      </c>
      <c r="W812" s="9">
        <f t="shared" si="446"/>
        <v>0</v>
      </c>
      <c r="X812" s="9">
        <f t="shared" si="447"/>
        <v>2400000.5</v>
      </c>
      <c r="Y812" s="8"/>
      <c r="Z812" s="9">
        <f t="shared" si="448"/>
        <v>0</v>
      </c>
      <c r="AA812" s="8">
        <f t="shared" si="449"/>
        <v>2400000.5</v>
      </c>
      <c r="AB812" s="8">
        <f t="shared" si="450"/>
        <v>0</v>
      </c>
    </row>
    <row r="813" spans="1:28" x14ac:dyDescent="0.3">
      <c r="A813" s="64"/>
      <c r="B813" s="8"/>
      <c r="C813" s="7" t="s">
        <v>640</v>
      </c>
      <c r="D813" s="15" t="s">
        <v>128</v>
      </c>
      <c r="E813" s="9">
        <v>800000</v>
      </c>
      <c r="F813" s="9">
        <v>800000</v>
      </c>
      <c r="G813" s="8"/>
      <c r="H813" s="9">
        <f t="shared" si="441"/>
        <v>800000</v>
      </c>
      <c r="I813" s="8"/>
      <c r="J813" s="9">
        <f t="shared" si="442"/>
        <v>800000</v>
      </c>
      <c r="K813" s="8"/>
      <c r="L813" s="8"/>
      <c r="M813" s="9">
        <f t="shared" si="451"/>
        <v>800000</v>
      </c>
      <c r="N813" s="8"/>
      <c r="O813" s="9"/>
      <c r="P813" s="9">
        <f t="shared" si="452"/>
        <v>0</v>
      </c>
      <c r="Q813" s="9">
        <f t="shared" si="443"/>
        <v>800000</v>
      </c>
      <c r="R813" s="17"/>
      <c r="S813" s="17"/>
      <c r="T813" s="17"/>
      <c r="U813" s="9">
        <f t="shared" si="444"/>
        <v>0</v>
      </c>
      <c r="V813" s="9">
        <f t="shared" si="445"/>
        <v>800000</v>
      </c>
      <c r="W813" s="9">
        <f t="shared" si="446"/>
        <v>0</v>
      </c>
      <c r="X813" s="9">
        <f t="shared" si="447"/>
        <v>800000</v>
      </c>
      <c r="Y813" s="8"/>
      <c r="Z813" s="9">
        <f t="shared" si="448"/>
        <v>0</v>
      </c>
      <c r="AA813" s="8">
        <f t="shared" si="449"/>
        <v>800000</v>
      </c>
      <c r="AB813" s="8">
        <f t="shared" si="450"/>
        <v>0</v>
      </c>
    </row>
    <row r="814" spans="1:28" x14ac:dyDescent="0.3">
      <c r="A814" s="64"/>
      <c r="B814" s="8"/>
      <c r="C814" s="7" t="s">
        <v>641</v>
      </c>
      <c r="D814" s="15" t="s">
        <v>128</v>
      </c>
      <c r="E814" s="9">
        <v>1000000</v>
      </c>
      <c r="F814" s="9">
        <v>1000000</v>
      </c>
      <c r="G814" s="8"/>
      <c r="H814" s="9">
        <f t="shared" si="441"/>
        <v>1000000</v>
      </c>
      <c r="I814" s="8"/>
      <c r="J814" s="9">
        <f t="shared" si="442"/>
        <v>1000000</v>
      </c>
      <c r="K814" s="8"/>
      <c r="L814" s="8"/>
      <c r="M814" s="9">
        <f t="shared" si="451"/>
        <v>1000000</v>
      </c>
      <c r="N814" s="8"/>
      <c r="O814" s="9"/>
      <c r="P814" s="9">
        <f t="shared" si="452"/>
        <v>0</v>
      </c>
      <c r="Q814" s="9">
        <f t="shared" si="443"/>
        <v>1000000</v>
      </c>
      <c r="R814" s="17"/>
      <c r="S814" s="17"/>
      <c r="T814" s="17"/>
      <c r="U814" s="9">
        <f t="shared" si="444"/>
        <v>0</v>
      </c>
      <c r="V814" s="9">
        <f t="shared" si="445"/>
        <v>1000000</v>
      </c>
      <c r="W814" s="9">
        <f t="shared" si="446"/>
        <v>0</v>
      </c>
      <c r="X814" s="9">
        <f t="shared" si="447"/>
        <v>1000000</v>
      </c>
      <c r="Y814" s="8"/>
      <c r="Z814" s="9">
        <f t="shared" si="448"/>
        <v>0</v>
      </c>
      <c r="AA814" s="8">
        <f t="shared" si="449"/>
        <v>1000000</v>
      </c>
      <c r="AB814" s="8">
        <f t="shared" si="450"/>
        <v>0</v>
      </c>
    </row>
    <row r="815" spans="1:28" x14ac:dyDescent="0.3">
      <c r="A815" s="64"/>
      <c r="B815" s="8"/>
      <c r="C815" s="7" t="s">
        <v>535</v>
      </c>
      <c r="D815" s="15" t="s">
        <v>128</v>
      </c>
      <c r="E815" s="9">
        <f>868500+535000+1500000+1000000</f>
        <v>3903500</v>
      </c>
      <c r="F815" s="9">
        <f>868500+3035000</f>
        <v>3903500</v>
      </c>
      <c r="G815" s="8"/>
      <c r="H815" s="9">
        <f t="shared" si="441"/>
        <v>3903500</v>
      </c>
      <c r="I815" s="8"/>
      <c r="J815" s="9">
        <f t="shared" si="442"/>
        <v>3903500</v>
      </c>
      <c r="K815" s="8"/>
      <c r="L815" s="8"/>
      <c r="M815" s="9">
        <f t="shared" si="451"/>
        <v>3903500</v>
      </c>
      <c r="N815" s="8"/>
      <c r="O815" s="9"/>
      <c r="P815" s="9">
        <f t="shared" si="452"/>
        <v>0</v>
      </c>
      <c r="Q815" s="9">
        <f t="shared" si="443"/>
        <v>3903500</v>
      </c>
      <c r="R815" s="17"/>
      <c r="S815" s="17"/>
      <c r="T815" s="17"/>
      <c r="U815" s="9">
        <f t="shared" si="444"/>
        <v>0</v>
      </c>
      <c r="V815" s="9">
        <f t="shared" si="445"/>
        <v>3903500</v>
      </c>
      <c r="W815" s="9">
        <f t="shared" si="446"/>
        <v>0</v>
      </c>
      <c r="X815" s="9">
        <f t="shared" si="447"/>
        <v>3903500</v>
      </c>
      <c r="Y815" s="8"/>
      <c r="Z815" s="9">
        <f t="shared" si="448"/>
        <v>0</v>
      </c>
      <c r="AA815" s="8">
        <f t="shared" si="449"/>
        <v>3903500</v>
      </c>
      <c r="AB815" s="8">
        <f t="shared" si="450"/>
        <v>0</v>
      </c>
    </row>
    <row r="816" spans="1:28" x14ac:dyDescent="0.3">
      <c r="A816" s="64"/>
      <c r="B816" s="7" t="s">
        <v>642</v>
      </c>
      <c r="C816" s="7" t="s">
        <v>535</v>
      </c>
      <c r="D816" s="15" t="s">
        <v>108</v>
      </c>
      <c r="E816" s="9">
        <v>2000000</v>
      </c>
      <c r="F816" s="9">
        <v>2000000</v>
      </c>
      <c r="G816" s="8"/>
      <c r="H816" s="9">
        <f t="shared" si="441"/>
        <v>2000000</v>
      </c>
      <c r="I816" s="8"/>
      <c r="J816" s="9">
        <f t="shared" si="442"/>
        <v>2000000</v>
      </c>
      <c r="K816" s="8"/>
      <c r="L816" s="8"/>
      <c r="M816" s="9">
        <f t="shared" si="451"/>
        <v>2000000</v>
      </c>
      <c r="N816" s="8"/>
      <c r="O816" s="9"/>
      <c r="P816" s="9">
        <f t="shared" si="452"/>
        <v>0</v>
      </c>
      <c r="Q816" s="9">
        <f t="shared" si="443"/>
        <v>2000000</v>
      </c>
      <c r="R816" s="17"/>
      <c r="S816" s="17"/>
      <c r="T816" s="17"/>
      <c r="U816" s="9">
        <f t="shared" si="444"/>
        <v>0</v>
      </c>
      <c r="V816" s="9">
        <f t="shared" si="445"/>
        <v>2000000</v>
      </c>
      <c r="W816" s="9">
        <f t="shared" si="446"/>
        <v>0</v>
      </c>
      <c r="X816" s="9">
        <f t="shared" si="447"/>
        <v>2000000</v>
      </c>
      <c r="Y816" s="8"/>
      <c r="Z816" s="9">
        <f t="shared" si="448"/>
        <v>0</v>
      </c>
      <c r="AA816" s="8">
        <f t="shared" si="449"/>
        <v>2000000</v>
      </c>
      <c r="AB816" s="8">
        <f t="shared" si="450"/>
        <v>0</v>
      </c>
    </row>
    <row r="817" spans="1:28" x14ac:dyDescent="0.3">
      <c r="A817" s="64"/>
      <c r="B817" s="8"/>
      <c r="C817" s="7" t="s">
        <v>535</v>
      </c>
      <c r="D817" s="15" t="s">
        <v>194</v>
      </c>
      <c r="E817" s="11">
        <v>894695.7</v>
      </c>
      <c r="F817" s="11">
        <v>894695.7</v>
      </c>
      <c r="G817" s="8"/>
      <c r="H817" s="9">
        <f t="shared" si="441"/>
        <v>894695.7</v>
      </c>
      <c r="I817" s="8"/>
      <c r="J817" s="9">
        <f t="shared" si="442"/>
        <v>894695.7</v>
      </c>
      <c r="K817" s="8"/>
      <c r="L817" s="8"/>
      <c r="M817" s="9">
        <f t="shared" si="451"/>
        <v>894695.7</v>
      </c>
      <c r="N817" s="8"/>
      <c r="O817" s="9"/>
      <c r="P817" s="9">
        <f t="shared" si="452"/>
        <v>0</v>
      </c>
      <c r="Q817" s="9">
        <f t="shared" si="443"/>
        <v>894695.7</v>
      </c>
      <c r="R817" s="17"/>
      <c r="S817" s="17"/>
      <c r="T817" s="17"/>
      <c r="U817" s="9">
        <f t="shared" si="444"/>
        <v>0</v>
      </c>
      <c r="V817" s="9">
        <f t="shared" si="445"/>
        <v>894695.7</v>
      </c>
      <c r="W817" s="9">
        <f t="shared" si="446"/>
        <v>0</v>
      </c>
      <c r="X817" s="9">
        <f t="shared" si="447"/>
        <v>894695.7</v>
      </c>
      <c r="Y817" s="8"/>
      <c r="Z817" s="9">
        <f t="shared" si="448"/>
        <v>0</v>
      </c>
      <c r="AA817" s="8">
        <f t="shared" si="449"/>
        <v>894695.7</v>
      </c>
      <c r="AB817" s="8">
        <f t="shared" si="450"/>
        <v>0</v>
      </c>
    </row>
    <row r="818" spans="1:28" x14ac:dyDescent="0.3">
      <c r="A818" s="64"/>
      <c r="B818" s="8"/>
      <c r="C818" s="7" t="s">
        <v>535</v>
      </c>
      <c r="D818" s="15" t="s">
        <v>61</v>
      </c>
      <c r="E818" s="11">
        <f>612000+16793.47</f>
        <v>628793.47</v>
      </c>
      <c r="F818" s="11">
        <v>612000</v>
      </c>
      <c r="G818" s="8"/>
      <c r="H818" s="9">
        <f t="shared" si="441"/>
        <v>612000</v>
      </c>
      <c r="I818" s="8"/>
      <c r="J818" s="9">
        <f t="shared" si="442"/>
        <v>612000</v>
      </c>
      <c r="K818" s="8"/>
      <c r="L818" s="8"/>
      <c r="M818" s="9">
        <f t="shared" si="451"/>
        <v>612000</v>
      </c>
      <c r="N818" s="11"/>
      <c r="O818" s="9"/>
      <c r="P818" s="9">
        <f t="shared" si="452"/>
        <v>0</v>
      </c>
      <c r="Q818" s="9">
        <f t="shared" si="443"/>
        <v>628793.47</v>
      </c>
      <c r="R818" s="17"/>
      <c r="S818" s="17"/>
      <c r="T818" s="18">
        <v>16793.47</v>
      </c>
      <c r="U818" s="9">
        <f t="shared" si="444"/>
        <v>16793.47</v>
      </c>
      <c r="V818" s="9">
        <f t="shared" si="445"/>
        <v>612000</v>
      </c>
      <c r="W818" s="9">
        <f t="shared" si="446"/>
        <v>16793.469999999972</v>
      </c>
      <c r="X818" s="9">
        <f t="shared" si="447"/>
        <v>612000</v>
      </c>
      <c r="Y818" s="8"/>
      <c r="Z818" s="9">
        <f t="shared" si="448"/>
        <v>16793.469999999972</v>
      </c>
      <c r="AA818" s="8">
        <f t="shared" si="449"/>
        <v>628793.47</v>
      </c>
      <c r="AB818" s="8">
        <f t="shared" si="450"/>
        <v>0</v>
      </c>
    </row>
    <row r="819" spans="1:28" x14ac:dyDescent="0.3">
      <c r="A819" s="64"/>
      <c r="B819" s="8"/>
      <c r="C819" s="14" t="s">
        <v>643</v>
      </c>
      <c r="D819" s="15" t="s">
        <v>61</v>
      </c>
      <c r="E819" s="11">
        <v>758950.93</v>
      </c>
      <c r="F819" s="8">
        <v>758950.93</v>
      </c>
      <c r="G819" s="11"/>
      <c r="H819" s="9">
        <f t="shared" si="441"/>
        <v>758950.93</v>
      </c>
      <c r="I819" s="8"/>
      <c r="J819" s="9">
        <f t="shared" si="442"/>
        <v>758950.93</v>
      </c>
      <c r="K819" s="8"/>
      <c r="L819" s="8"/>
      <c r="M819" s="9">
        <f t="shared" si="451"/>
        <v>758950.93</v>
      </c>
      <c r="N819" s="8"/>
      <c r="O819" s="9"/>
      <c r="P819" s="9">
        <f t="shared" si="452"/>
        <v>0</v>
      </c>
      <c r="Q819" s="9">
        <f t="shared" si="443"/>
        <v>758950.93</v>
      </c>
      <c r="R819" s="17"/>
      <c r="S819" s="17"/>
      <c r="T819" s="17"/>
      <c r="U819" s="9">
        <f t="shared" si="444"/>
        <v>0</v>
      </c>
      <c r="V819" s="9">
        <f t="shared" si="445"/>
        <v>758950.93</v>
      </c>
      <c r="W819" s="9">
        <f t="shared" si="446"/>
        <v>0</v>
      </c>
      <c r="X819" s="9">
        <f t="shared" si="447"/>
        <v>758950.93</v>
      </c>
      <c r="Y819" s="8"/>
      <c r="Z819" s="9">
        <f t="shared" si="448"/>
        <v>0</v>
      </c>
      <c r="AA819" s="8">
        <f t="shared" si="449"/>
        <v>758950.93</v>
      </c>
      <c r="AB819" s="8">
        <f t="shared" si="450"/>
        <v>0</v>
      </c>
    </row>
    <row r="820" spans="1:28" x14ac:dyDescent="0.3">
      <c r="A820" s="64"/>
      <c r="B820" s="8"/>
      <c r="C820" s="14" t="s">
        <v>923</v>
      </c>
      <c r="D820" s="15"/>
      <c r="E820" s="11">
        <v>300000</v>
      </c>
      <c r="F820" s="11">
        <v>300000</v>
      </c>
      <c r="G820" s="11"/>
      <c r="H820" s="9">
        <f>+F820+G820</f>
        <v>300000</v>
      </c>
      <c r="I820" s="8"/>
      <c r="J820" s="9"/>
      <c r="K820" s="8"/>
      <c r="L820" s="8"/>
      <c r="M820" s="9">
        <f>+H820+L820</f>
        <v>300000</v>
      </c>
      <c r="N820" s="8"/>
      <c r="O820" s="9"/>
      <c r="P820" s="9">
        <f>+N820+O820</f>
        <v>0</v>
      </c>
      <c r="Q820" s="9"/>
      <c r="R820" s="17"/>
      <c r="S820" s="17"/>
      <c r="T820" s="17"/>
      <c r="U820" s="9">
        <f>P820+T820</f>
        <v>0</v>
      </c>
      <c r="V820" s="9">
        <f>P820+H820</f>
        <v>300000</v>
      </c>
      <c r="W820" s="9">
        <f>E820-V820</f>
        <v>0</v>
      </c>
      <c r="X820" s="9">
        <f t="shared" si="447"/>
        <v>300000</v>
      </c>
      <c r="Y820" s="8"/>
      <c r="Z820" s="9">
        <f t="shared" si="448"/>
        <v>0</v>
      </c>
      <c r="AA820" s="8">
        <f t="shared" si="449"/>
        <v>300000</v>
      </c>
      <c r="AB820" s="8">
        <f t="shared" si="450"/>
        <v>0</v>
      </c>
    </row>
    <row r="821" spans="1:28" x14ac:dyDescent="0.3">
      <c r="A821" s="64"/>
      <c r="B821" s="8"/>
      <c r="C821" s="7" t="s">
        <v>606</v>
      </c>
      <c r="D821" s="8"/>
      <c r="E821" s="9">
        <v>2500000</v>
      </c>
      <c r="F821" s="9">
        <v>2500000</v>
      </c>
      <c r="G821" s="8"/>
      <c r="H821" s="9">
        <f t="shared" si="441"/>
        <v>2500000</v>
      </c>
      <c r="I821" s="9"/>
      <c r="J821" s="9">
        <f t="shared" si="442"/>
        <v>2500000</v>
      </c>
      <c r="K821" s="8"/>
      <c r="L821" s="8"/>
      <c r="M821" s="9">
        <f t="shared" si="451"/>
        <v>2500000</v>
      </c>
      <c r="N821" s="8"/>
      <c r="O821" s="9"/>
      <c r="P821" s="9">
        <f t="shared" si="452"/>
        <v>0</v>
      </c>
      <c r="Q821" s="9">
        <f t="shared" si="443"/>
        <v>2500000</v>
      </c>
      <c r="R821" s="17"/>
      <c r="S821" s="17"/>
      <c r="T821" s="17"/>
      <c r="U821" s="9">
        <f t="shared" si="444"/>
        <v>0</v>
      </c>
      <c r="V821" s="9">
        <f t="shared" si="445"/>
        <v>2500000</v>
      </c>
      <c r="W821" s="9">
        <f t="shared" si="446"/>
        <v>0</v>
      </c>
      <c r="X821" s="9">
        <f t="shared" si="447"/>
        <v>2500000</v>
      </c>
      <c r="Y821" s="8"/>
      <c r="Z821" s="9">
        <f t="shared" si="448"/>
        <v>0</v>
      </c>
      <c r="AA821" s="8">
        <f t="shared" si="449"/>
        <v>2500000</v>
      </c>
      <c r="AB821" s="8">
        <f t="shared" si="450"/>
        <v>0</v>
      </c>
    </row>
    <row r="822" spans="1:28" x14ac:dyDescent="0.3">
      <c r="A822" s="64"/>
      <c r="B822" s="8"/>
      <c r="C822" s="8"/>
      <c r="D822" s="8"/>
      <c r="E822" s="17" t="s">
        <v>29</v>
      </c>
      <c r="F822" s="17" t="s">
        <v>29</v>
      </c>
      <c r="G822" s="17" t="s">
        <v>29</v>
      </c>
      <c r="H822" s="17" t="s">
        <v>29</v>
      </c>
      <c r="I822" s="17" t="s">
        <v>29</v>
      </c>
      <c r="J822" s="17" t="s">
        <v>29</v>
      </c>
      <c r="K822" s="17" t="s">
        <v>29</v>
      </c>
      <c r="L822" s="17" t="s">
        <v>29</v>
      </c>
      <c r="M822" s="17" t="s">
        <v>29</v>
      </c>
      <c r="N822" s="17" t="s">
        <v>29</v>
      </c>
      <c r="O822" s="17" t="s">
        <v>29</v>
      </c>
      <c r="P822" s="17" t="s">
        <v>29</v>
      </c>
      <c r="Q822" s="17" t="s">
        <v>29</v>
      </c>
      <c r="R822" s="17" t="s">
        <v>29</v>
      </c>
      <c r="S822" s="17" t="s">
        <v>29</v>
      </c>
      <c r="T822" s="17" t="s">
        <v>29</v>
      </c>
      <c r="U822" s="17" t="s">
        <v>29</v>
      </c>
      <c r="V822" s="17" t="s">
        <v>29</v>
      </c>
      <c r="W822" s="17" t="s">
        <v>29</v>
      </c>
      <c r="X822" s="17" t="s">
        <v>29</v>
      </c>
      <c r="Y822" s="17" t="s">
        <v>29</v>
      </c>
      <c r="Z822" s="17" t="s">
        <v>29</v>
      </c>
      <c r="AA822" s="17" t="s">
        <v>29</v>
      </c>
      <c r="AB822" s="17" t="s">
        <v>29</v>
      </c>
    </row>
    <row r="823" spans="1:28" x14ac:dyDescent="0.3">
      <c r="A823" s="64"/>
      <c r="B823" s="8"/>
      <c r="C823" s="8"/>
      <c r="D823" s="8"/>
      <c r="E823" s="9">
        <f t="shared" ref="E823:Q823" si="453">SUM(E805:E822)</f>
        <v>33862450.069999993</v>
      </c>
      <c r="F823" s="9">
        <f t="shared" si="453"/>
        <v>23843127.129999999</v>
      </c>
      <c r="G823" s="9">
        <f t="shared" si="453"/>
        <v>0</v>
      </c>
      <c r="H823" s="9">
        <f t="shared" si="453"/>
        <v>23843127.129999999</v>
      </c>
      <c r="I823" s="9">
        <f t="shared" si="453"/>
        <v>0</v>
      </c>
      <c r="J823" s="9">
        <f t="shared" si="453"/>
        <v>23543127.129999999</v>
      </c>
      <c r="K823" s="9">
        <f t="shared" si="453"/>
        <v>10002529.469999999</v>
      </c>
      <c r="L823" s="9">
        <f t="shared" si="453"/>
        <v>0</v>
      </c>
      <c r="M823" s="9">
        <f t="shared" si="453"/>
        <v>23843127.129999999</v>
      </c>
      <c r="N823" s="9">
        <f t="shared" si="453"/>
        <v>10002529.469999999</v>
      </c>
      <c r="O823" s="9">
        <f t="shared" si="453"/>
        <v>0</v>
      </c>
      <c r="P823" s="9">
        <f t="shared" si="453"/>
        <v>10002529.469999999</v>
      </c>
      <c r="Q823" s="9">
        <f t="shared" si="453"/>
        <v>23559920.599999998</v>
      </c>
      <c r="R823" s="17"/>
      <c r="S823" s="17"/>
      <c r="T823" s="9">
        <f t="shared" ref="T823:Z823" si="454">SUM(T805:T822)</f>
        <v>16793.47</v>
      </c>
      <c r="U823" s="9">
        <f t="shared" si="454"/>
        <v>10019322.939999999</v>
      </c>
      <c r="V823" s="9">
        <f t="shared" si="454"/>
        <v>33845656.599999994</v>
      </c>
      <c r="W823" s="9">
        <f t="shared" si="454"/>
        <v>16793.469999999972</v>
      </c>
      <c r="X823" s="9">
        <f t="shared" si="454"/>
        <v>33845656.599999994</v>
      </c>
      <c r="Y823" s="9">
        <f t="shared" si="454"/>
        <v>0</v>
      </c>
      <c r="Z823" s="9">
        <f t="shared" si="454"/>
        <v>16793.469999999972</v>
      </c>
      <c r="AA823" s="9">
        <f>SUM(AA805:AA822)</f>
        <v>33862450.069999993</v>
      </c>
      <c r="AB823" s="9">
        <f>SUM(AB805:AB822)</f>
        <v>0</v>
      </c>
    </row>
    <row r="824" spans="1:28" x14ac:dyDescent="0.3">
      <c r="A824" s="64"/>
      <c r="B824" s="8"/>
      <c r="C824" s="8"/>
      <c r="D824" s="8"/>
      <c r="E824" s="17" t="s">
        <v>29</v>
      </c>
      <c r="F824" s="17" t="s">
        <v>29</v>
      </c>
      <c r="G824" s="17" t="s">
        <v>29</v>
      </c>
      <c r="H824" s="17" t="s">
        <v>29</v>
      </c>
      <c r="I824" s="17" t="s">
        <v>29</v>
      </c>
      <c r="J824" s="17" t="s">
        <v>29</v>
      </c>
      <c r="K824" s="17" t="s">
        <v>29</v>
      </c>
      <c r="L824" s="17" t="s">
        <v>29</v>
      </c>
      <c r="M824" s="17" t="s">
        <v>29</v>
      </c>
      <c r="N824" s="17" t="s">
        <v>29</v>
      </c>
      <c r="O824" s="17" t="s">
        <v>29</v>
      </c>
      <c r="P824" s="17" t="s">
        <v>29</v>
      </c>
      <c r="Q824" s="17" t="s">
        <v>29</v>
      </c>
      <c r="R824" s="17" t="s">
        <v>29</v>
      </c>
      <c r="S824" s="17" t="s">
        <v>29</v>
      </c>
      <c r="T824" s="17" t="s">
        <v>29</v>
      </c>
      <c r="U824" s="17" t="s">
        <v>29</v>
      </c>
      <c r="V824" s="17" t="s">
        <v>29</v>
      </c>
      <c r="W824" s="17" t="s">
        <v>29</v>
      </c>
      <c r="X824" s="17" t="s">
        <v>29</v>
      </c>
      <c r="Y824" s="17" t="s">
        <v>29</v>
      </c>
      <c r="Z824" s="17" t="s">
        <v>29</v>
      </c>
      <c r="AA824" s="17" t="s">
        <v>29</v>
      </c>
      <c r="AB824" s="17" t="s">
        <v>29</v>
      </c>
    </row>
    <row r="825" spans="1:28" x14ac:dyDescent="0.3">
      <c r="A825" s="63" t="s">
        <v>976</v>
      </c>
      <c r="B825" s="7" t="s">
        <v>644</v>
      </c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17"/>
      <c r="S825" s="17"/>
      <c r="T825" s="17"/>
      <c r="U825" s="17"/>
      <c r="V825" s="17"/>
      <c r="W825" s="17"/>
      <c r="X825" s="17"/>
      <c r="Y825" s="17"/>
      <c r="Z825" s="17"/>
      <c r="AA825" s="58"/>
    </row>
    <row r="826" spans="1:28" x14ac:dyDescent="0.3">
      <c r="A826" s="64"/>
      <c r="B826" s="8"/>
      <c r="C826" s="7" t="s">
        <v>645</v>
      </c>
      <c r="D826" s="15" t="s">
        <v>150</v>
      </c>
      <c r="E826" s="9">
        <v>2821000</v>
      </c>
      <c r="F826" s="9">
        <v>2821000</v>
      </c>
      <c r="G826" s="8"/>
      <c r="H826" s="9">
        <f t="shared" ref="H826:H842" si="455">F826+G826</f>
        <v>2821000</v>
      </c>
      <c r="I826" s="8"/>
      <c r="J826" s="9">
        <f t="shared" ref="J826:J842" si="456">H826+I826</f>
        <v>2821000</v>
      </c>
      <c r="K826" s="8"/>
      <c r="L826" s="8"/>
      <c r="M826" s="9">
        <f>+H826+L826</f>
        <v>2821000</v>
      </c>
      <c r="N826" s="8"/>
      <c r="O826" s="9"/>
      <c r="P826" s="9">
        <f>+N826+O826</f>
        <v>0</v>
      </c>
      <c r="Q826" s="9">
        <f t="shared" ref="Q826:Q842" si="457">E826-P826</f>
        <v>2821000</v>
      </c>
      <c r="R826" s="17"/>
      <c r="S826" s="17"/>
      <c r="T826" s="17"/>
      <c r="U826" s="9">
        <f t="shared" ref="U826:U842" si="458">P826+T826</f>
        <v>0</v>
      </c>
      <c r="V826" s="9">
        <f t="shared" ref="V826:V842" si="459">P826+H826</f>
        <v>2821000</v>
      </c>
      <c r="W826" s="9">
        <f t="shared" ref="W826:W842" si="460">E826-V826</f>
        <v>0</v>
      </c>
      <c r="X826" s="9">
        <f t="shared" ref="X826:X842" si="461">+H826+P826</f>
        <v>2821000</v>
      </c>
      <c r="Y826" s="8"/>
      <c r="Z826" s="9">
        <f t="shared" ref="Z826:Z842" si="462">+E826-X826</f>
        <v>0</v>
      </c>
      <c r="AA826" s="8">
        <f t="shared" ref="AA826:AA842" si="463">+M826+U826</f>
        <v>2821000</v>
      </c>
      <c r="AB826" s="8">
        <f t="shared" ref="AB826:AB842" si="464">+E826-AA826</f>
        <v>0</v>
      </c>
    </row>
    <row r="827" spans="1:28" x14ac:dyDescent="0.3">
      <c r="A827" s="64"/>
      <c r="B827" s="8"/>
      <c r="C827" s="7" t="s">
        <v>539</v>
      </c>
      <c r="D827" s="15" t="s">
        <v>68</v>
      </c>
      <c r="E827" s="9">
        <f>804461+344070+1430570.5+707625</f>
        <v>3286726.5</v>
      </c>
      <c r="F827" s="8"/>
      <c r="G827" s="8"/>
      <c r="H827" s="9">
        <f t="shared" si="455"/>
        <v>0</v>
      </c>
      <c r="I827" s="8"/>
      <c r="J827" s="9">
        <f t="shared" si="456"/>
        <v>0</v>
      </c>
      <c r="K827" s="9">
        <f>1148531+2138195.5</f>
        <v>3286726.5</v>
      </c>
      <c r="L827" s="8"/>
      <c r="M827" s="9">
        <f t="shared" ref="M827:M842" si="465">+H827+L827</f>
        <v>0</v>
      </c>
      <c r="N827" s="8">
        <v>3286726.5</v>
      </c>
      <c r="O827" s="9"/>
      <c r="P827" s="9">
        <f t="shared" ref="P827:P842" si="466">+N827+O827</f>
        <v>3286726.5</v>
      </c>
      <c r="Q827" s="9">
        <f t="shared" si="457"/>
        <v>0</v>
      </c>
      <c r="R827" s="17"/>
      <c r="S827" s="17"/>
      <c r="T827" s="17"/>
      <c r="U827" s="9">
        <f t="shared" si="458"/>
        <v>3286726.5</v>
      </c>
      <c r="V827" s="9">
        <f t="shared" si="459"/>
        <v>3286726.5</v>
      </c>
      <c r="W827" s="9">
        <f t="shared" si="460"/>
        <v>0</v>
      </c>
      <c r="X827" s="9">
        <f t="shared" si="461"/>
        <v>3286726.5</v>
      </c>
      <c r="Y827" s="8"/>
      <c r="Z827" s="9">
        <f t="shared" si="462"/>
        <v>0</v>
      </c>
      <c r="AA827" s="8">
        <f t="shared" si="463"/>
        <v>3286726.5</v>
      </c>
      <c r="AB827" s="8">
        <f t="shared" si="464"/>
        <v>0</v>
      </c>
    </row>
    <row r="828" spans="1:28" x14ac:dyDescent="0.3">
      <c r="A828" s="64"/>
      <c r="B828" s="8"/>
      <c r="C828" s="7" t="s">
        <v>545</v>
      </c>
      <c r="D828" s="15" t="s">
        <v>54</v>
      </c>
      <c r="E828" s="9">
        <v>1767770</v>
      </c>
      <c r="F828" s="8"/>
      <c r="G828" s="8"/>
      <c r="H828" s="9">
        <f t="shared" si="455"/>
        <v>0</v>
      </c>
      <c r="I828" s="8"/>
      <c r="J828" s="9">
        <f t="shared" si="456"/>
        <v>0</v>
      </c>
      <c r="K828" s="9">
        <v>1767770</v>
      </c>
      <c r="L828" s="8"/>
      <c r="M828" s="9">
        <f t="shared" si="465"/>
        <v>0</v>
      </c>
      <c r="N828" s="8">
        <v>1767770</v>
      </c>
      <c r="O828" s="9"/>
      <c r="P828" s="9">
        <f t="shared" si="466"/>
        <v>1767770</v>
      </c>
      <c r="Q828" s="9">
        <f t="shared" si="457"/>
        <v>0</v>
      </c>
      <c r="R828" s="17"/>
      <c r="S828" s="17"/>
      <c r="T828" s="17"/>
      <c r="U828" s="9">
        <f t="shared" si="458"/>
        <v>1767770</v>
      </c>
      <c r="V828" s="9">
        <f t="shared" si="459"/>
        <v>1767770</v>
      </c>
      <c r="W828" s="9">
        <f t="shared" si="460"/>
        <v>0</v>
      </c>
      <c r="X828" s="9">
        <f t="shared" si="461"/>
        <v>1767770</v>
      </c>
      <c r="Y828" s="8"/>
      <c r="Z828" s="9">
        <f t="shared" si="462"/>
        <v>0</v>
      </c>
      <c r="AA828" s="8">
        <f t="shared" si="463"/>
        <v>1767770</v>
      </c>
      <c r="AB828" s="8">
        <f t="shared" si="464"/>
        <v>0</v>
      </c>
    </row>
    <row r="829" spans="1:28" x14ac:dyDescent="0.3">
      <c r="A829" s="64"/>
      <c r="B829" s="8"/>
      <c r="C829" s="7" t="s">
        <v>535</v>
      </c>
      <c r="D829" s="15" t="s">
        <v>54</v>
      </c>
      <c r="E829" s="9">
        <f>586000-29300</f>
        <v>556700</v>
      </c>
      <c r="F829" s="9">
        <v>556700</v>
      </c>
      <c r="G829" s="8"/>
      <c r="H829" s="9">
        <f t="shared" si="455"/>
        <v>556700</v>
      </c>
      <c r="I829" s="8"/>
      <c r="J829" s="9">
        <f t="shared" si="456"/>
        <v>556700</v>
      </c>
      <c r="K829" s="8"/>
      <c r="L829" s="8"/>
      <c r="M829" s="9">
        <f t="shared" si="465"/>
        <v>556700</v>
      </c>
      <c r="N829" s="8"/>
      <c r="O829" s="9"/>
      <c r="P829" s="9">
        <f t="shared" si="466"/>
        <v>0</v>
      </c>
      <c r="Q829" s="9">
        <f t="shared" si="457"/>
        <v>556700</v>
      </c>
      <c r="R829" s="17"/>
      <c r="S829" s="17"/>
      <c r="T829" s="17"/>
      <c r="U829" s="9">
        <f t="shared" si="458"/>
        <v>0</v>
      </c>
      <c r="V829" s="9">
        <f t="shared" si="459"/>
        <v>556700</v>
      </c>
      <c r="W829" s="9">
        <f t="shared" si="460"/>
        <v>0</v>
      </c>
      <c r="X829" s="9">
        <f t="shared" si="461"/>
        <v>556700</v>
      </c>
      <c r="Y829" s="8"/>
      <c r="Z829" s="9">
        <f t="shared" si="462"/>
        <v>0</v>
      </c>
      <c r="AA829" s="8">
        <f t="shared" si="463"/>
        <v>556700</v>
      </c>
      <c r="AB829" s="8">
        <f t="shared" si="464"/>
        <v>0</v>
      </c>
    </row>
    <row r="830" spans="1:28" x14ac:dyDescent="0.3">
      <c r="A830" s="64"/>
      <c r="B830" s="8"/>
      <c r="C830" s="7" t="s">
        <v>535</v>
      </c>
      <c r="D830" s="15" t="s">
        <v>85</v>
      </c>
      <c r="E830" s="9">
        <f>1118000-111800</f>
        <v>1006200</v>
      </c>
      <c r="F830" s="9">
        <v>1006200</v>
      </c>
      <c r="G830" s="8"/>
      <c r="H830" s="9">
        <f t="shared" si="455"/>
        <v>1006200</v>
      </c>
      <c r="I830" s="8"/>
      <c r="J830" s="9">
        <f t="shared" si="456"/>
        <v>1006200</v>
      </c>
      <c r="K830" s="8"/>
      <c r="L830" s="8"/>
      <c r="M830" s="9">
        <f t="shared" si="465"/>
        <v>1006200</v>
      </c>
      <c r="N830" s="8"/>
      <c r="O830" s="9"/>
      <c r="P830" s="9">
        <f t="shared" si="466"/>
        <v>0</v>
      </c>
      <c r="Q830" s="9">
        <f t="shared" si="457"/>
        <v>1006200</v>
      </c>
      <c r="R830" s="17"/>
      <c r="S830" s="17"/>
      <c r="T830" s="17"/>
      <c r="U830" s="9">
        <f t="shared" si="458"/>
        <v>0</v>
      </c>
      <c r="V830" s="9">
        <f t="shared" si="459"/>
        <v>1006200</v>
      </c>
      <c r="W830" s="9">
        <f t="shared" si="460"/>
        <v>0</v>
      </c>
      <c r="X830" s="9">
        <f t="shared" si="461"/>
        <v>1006200</v>
      </c>
      <c r="Y830" s="8"/>
      <c r="Z830" s="9">
        <f t="shared" si="462"/>
        <v>0</v>
      </c>
      <c r="AA830" s="8">
        <f t="shared" si="463"/>
        <v>1006200</v>
      </c>
      <c r="AB830" s="8">
        <f t="shared" si="464"/>
        <v>0</v>
      </c>
    </row>
    <row r="831" spans="1:28" x14ac:dyDescent="0.3">
      <c r="A831" s="64"/>
      <c r="B831" s="8"/>
      <c r="C831" s="7" t="s">
        <v>535</v>
      </c>
      <c r="D831" s="15" t="s">
        <v>128</v>
      </c>
      <c r="E831" s="9">
        <v>844200</v>
      </c>
      <c r="F831" s="9">
        <v>844200</v>
      </c>
      <c r="G831" s="8"/>
      <c r="H831" s="9">
        <f t="shared" si="455"/>
        <v>844200</v>
      </c>
      <c r="I831" s="8"/>
      <c r="J831" s="9">
        <f t="shared" si="456"/>
        <v>844200</v>
      </c>
      <c r="K831" s="8"/>
      <c r="L831" s="8"/>
      <c r="M831" s="9">
        <f t="shared" si="465"/>
        <v>844200</v>
      </c>
      <c r="N831" s="8"/>
      <c r="O831" s="9"/>
      <c r="P831" s="9">
        <f t="shared" si="466"/>
        <v>0</v>
      </c>
      <c r="Q831" s="9">
        <f t="shared" si="457"/>
        <v>844200</v>
      </c>
      <c r="R831" s="17"/>
      <c r="S831" s="17"/>
      <c r="T831" s="17"/>
      <c r="U831" s="9">
        <f t="shared" si="458"/>
        <v>0</v>
      </c>
      <c r="V831" s="9">
        <f t="shared" si="459"/>
        <v>844200</v>
      </c>
      <c r="W831" s="9">
        <f t="shared" si="460"/>
        <v>0</v>
      </c>
      <c r="X831" s="9">
        <f t="shared" si="461"/>
        <v>844200</v>
      </c>
      <c r="Y831" s="8"/>
      <c r="Z831" s="9">
        <f t="shared" si="462"/>
        <v>0</v>
      </c>
      <c r="AA831" s="8">
        <f t="shared" si="463"/>
        <v>844200</v>
      </c>
      <c r="AB831" s="8">
        <f t="shared" si="464"/>
        <v>0</v>
      </c>
    </row>
    <row r="832" spans="1:28" x14ac:dyDescent="0.3">
      <c r="A832" s="64"/>
      <c r="B832" s="8"/>
      <c r="C832" s="7" t="s">
        <v>646</v>
      </c>
      <c r="D832" s="15" t="s">
        <v>128</v>
      </c>
      <c r="E832" s="9">
        <v>400000</v>
      </c>
      <c r="F832" s="9">
        <v>400000</v>
      </c>
      <c r="G832" s="8"/>
      <c r="H832" s="9">
        <f t="shared" si="455"/>
        <v>400000</v>
      </c>
      <c r="I832" s="8"/>
      <c r="J832" s="9">
        <f t="shared" si="456"/>
        <v>400000</v>
      </c>
      <c r="K832" s="8"/>
      <c r="L832" s="8"/>
      <c r="M832" s="9">
        <f t="shared" si="465"/>
        <v>400000</v>
      </c>
      <c r="N832" s="8"/>
      <c r="O832" s="9"/>
      <c r="P832" s="9">
        <f t="shared" si="466"/>
        <v>0</v>
      </c>
      <c r="Q832" s="9">
        <f t="shared" si="457"/>
        <v>400000</v>
      </c>
      <c r="R832" s="17"/>
      <c r="S832" s="17"/>
      <c r="T832" s="17"/>
      <c r="U832" s="9">
        <f t="shared" si="458"/>
        <v>0</v>
      </c>
      <c r="V832" s="9">
        <f t="shared" si="459"/>
        <v>400000</v>
      </c>
      <c r="W832" s="9">
        <f t="shared" si="460"/>
        <v>0</v>
      </c>
      <c r="X832" s="9">
        <f t="shared" si="461"/>
        <v>400000</v>
      </c>
      <c r="Y832" s="8"/>
      <c r="Z832" s="9">
        <f t="shared" si="462"/>
        <v>0</v>
      </c>
      <c r="AA832" s="8">
        <f t="shared" si="463"/>
        <v>400000</v>
      </c>
      <c r="AB832" s="8">
        <f t="shared" si="464"/>
        <v>0</v>
      </c>
    </row>
    <row r="833" spans="1:28" x14ac:dyDescent="0.3">
      <c r="A833" s="64"/>
      <c r="B833" s="8"/>
      <c r="C833" s="7" t="s">
        <v>535</v>
      </c>
      <c r="D833" s="15" t="s">
        <v>58</v>
      </c>
      <c r="E833" s="9">
        <f>1012580+1738074+2091641</f>
        <v>4842295</v>
      </c>
      <c r="F833" s="9">
        <f>1012580+3829715</f>
        <v>4842295</v>
      </c>
      <c r="G833" s="8"/>
      <c r="H833" s="9">
        <f t="shared" si="455"/>
        <v>4842295</v>
      </c>
      <c r="I833" s="8"/>
      <c r="J833" s="9">
        <f t="shared" si="456"/>
        <v>4842295</v>
      </c>
      <c r="K833" s="8"/>
      <c r="L833" s="8"/>
      <c r="M833" s="9">
        <f t="shared" si="465"/>
        <v>4842295</v>
      </c>
      <c r="N833" s="8"/>
      <c r="O833" s="9"/>
      <c r="P833" s="9">
        <f t="shared" si="466"/>
        <v>0</v>
      </c>
      <c r="Q833" s="9">
        <f t="shared" si="457"/>
        <v>4842295</v>
      </c>
      <c r="R833" s="17"/>
      <c r="S833" s="17"/>
      <c r="T833" s="17"/>
      <c r="U833" s="9">
        <f t="shared" si="458"/>
        <v>0</v>
      </c>
      <c r="V833" s="9">
        <f t="shared" si="459"/>
        <v>4842295</v>
      </c>
      <c r="W833" s="9">
        <f t="shared" si="460"/>
        <v>0</v>
      </c>
      <c r="X833" s="9">
        <f t="shared" si="461"/>
        <v>4842295</v>
      </c>
      <c r="Y833" s="8"/>
      <c r="Z833" s="9">
        <f t="shared" si="462"/>
        <v>0</v>
      </c>
      <c r="AA833" s="8">
        <f t="shared" si="463"/>
        <v>4842295</v>
      </c>
      <c r="AB833" s="8">
        <f t="shared" si="464"/>
        <v>0</v>
      </c>
    </row>
    <row r="834" spans="1:28" x14ac:dyDescent="0.3">
      <c r="A834" s="64"/>
      <c r="B834" s="8"/>
      <c r="C834" s="7" t="s">
        <v>535</v>
      </c>
      <c r="D834" s="15" t="s">
        <v>60</v>
      </c>
      <c r="E834" s="9">
        <f>1000000+3034997.48</f>
        <v>4034997.48</v>
      </c>
      <c r="F834" s="9">
        <v>4034997.48</v>
      </c>
      <c r="G834" s="8"/>
      <c r="H834" s="9">
        <f t="shared" si="455"/>
        <v>4034997.48</v>
      </c>
      <c r="I834" s="8"/>
      <c r="J834" s="9">
        <f t="shared" si="456"/>
        <v>4034997.48</v>
      </c>
      <c r="K834" s="8"/>
      <c r="L834" s="8"/>
      <c r="M834" s="9">
        <f t="shared" si="465"/>
        <v>4034997.48</v>
      </c>
      <c r="N834" s="8"/>
      <c r="O834" s="9"/>
      <c r="P834" s="9">
        <f t="shared" si="466"/>
        <v>0</v>
      </c>
      <c r="Q834" s="9">
        <f t="shared" si="457"/>
        <v>4034997.48</v>
      </c>
      <c r="R834" s="17"/>
      <c r="S834" s="17"/>
      <c r="T834" s="17"/>
      <c r="U834" s="9">
        <f t="shared" si="458"/>
        <v>0</v>
      </c>
      <c r="V834" s="9">
        <f t="shared" si="459"/>
        <v>4034997.48</v>
      </c>
      <c r="W834" s="9">
        <f t="shared" si="460"/>
        <v>0</v>
      </c>
      <c r="X834" s="9">
        <f t="shared" si="461"/>
        <v>4034997.48</v>
      </c>
      <c r="Y834" s="8"/>
      <c r="Z834" s="9">
        <f t="shared" si="462"/>
        <v>0</v>
      </c>
      <c r="AA834" s="8">
        <f t="shared" si="463"/>
        <v>4034997.48</v>
      </c>
      <c r="AB834" s="8">
        <f t="shared" si="464"/>
        <v>0</v>
      </c>
    </row>
    <row r="835" spans="1:28" x14ac:dyDescent="0.3">
      <c r="A835" s="64"/>
      <c r="B835" s="8"/>
      <c r="C835" s="7" t="s">
        <v>535</v>
      </c>
      <c r="D835" s="15" t="s">
        <v>73</v>
      </c>
      <c r="E835" s="9">
        <v>3118139.28</v>
      </c>
      <c r="F835" s="9">
        <v>3118139.28</v>
      </c>
      <c r="G835" s="9"/>
      <c r="H835" s="9">
        <f t="shared" si="455"/>
        <v>3118139.28</v>
      </c>
      <c r="I835" s="8"/>
      <c r="J835" s="9">
        <f t="shared" si="456"/>
        <v>3118139.28</v>
      </c>
      <c r="K835" s="8"/>
      <c r="L835" s="8"/>
      <c r="M835" s="9">
        <f t="shared" si="465"/>
        <v>3118139.28</v>
      </c>
      <c r="N835" s="8"/>
      <c r="O835" s="9"/>
      <c r="P835" s="9">
        <f t="shared" si="466"/>
        <v>0</v>
      </c>
      <c r="Q835" s="9">
        <f t="shared" si="457"/>
        <v>3118139.28</v>
      </c>
      <c r="R835" s="17"/>
      <c r="S835" s="17"/>
      <c r="T835" s="17"/>
      <c r="U835" s="9">
        <f t="shared" si="458"/>
        <v>0</v>
      </c>
      <c r="V835" s="9">
        <f t="shared" si="459"/>
        <v>3118139.28</v>
      </c>
      <c r="W835" s="9">
        <f t="shared" si="460"/>
        <v>0</v>
      </c>
      <c r="X835" s="9">
        <f t="shared" si="461"/>
        <v>3118139.28</v>
      </c>
      <c r="Y835" s="8"/>
      <c r="Z835" s="9">
        <f t="shared" si="462"/>
        <v>0</v>
      </c>
      <c r="AA835" s="8">
        <f t="shared" si="463"/>
        <v>3118139.28</v>
      </c>
      <c r="AB835" s="8">
        <f t="shared" si="464"/>
        <v>0</v>
      </c>
    </row>
    <row r="836" spans="1:28" x14ac:dyDescent="0.3">
      <c r="A836" s="64"/>
      <c r="B836" s="8"/>
      <c r="C836" s="7" t="s">
        <v>535</v>
      </c>
      <c r="D836" s="15" t="s">
        <v>61</v>
      </c>
      <c r="E836" s="11">
        <f>454937.2+17932.43+26133.2</f>
        <v>499002.83</v>
      </c>
      <c r="F836" s="8">
        <v>481070.4</v>
      </c>
      <c r="G836" s="11"/>
      <c r="H836" s="9">
        <f t="shared" si="455"/>
        <v>481070.4</v>
      </c>
      <c r="I836" s="8"/>
      <c r="J836" s="9">
        <f t="shared" si="456"/>
        <v>481070.4</v>
      </c>
      <c r="K836" s="8"/>
      <c r="L836" s="8"/>
      <c r="M836" s="9">
        <f t="shared" si="465"/>
        <v>481070.4</v>
      </c>
      <c r="N836" s="11"/>
      <c r="O836" s="9"/>
      <c r="P836" s="9">
        <f t="shared" si="466"/>
        <v>0</v>
      </c>
      <c r="Q836" s="9">
        <f t="shared" si="457"/>
        <v>499002.83</v>
      </c>
      <c r="R836" s="17"/>
      <c r="S836" s="17"/>
      <c r="T836" s="18">
        <v>17932.43</v>
      </c>
      <c r="U836" s="9">
        <f t="shared" si="458"/>
        <v>17932.43</v>
      </c>
      <c r="V836" s="9">
        <f t="shared" si="459"/>
        <v>481070.4</v>
      </c>
      <c r="W836" s="9">
        <f t="shared" si="460"/>
        <v>17932.429999999993</v>
      </c>
      <c r="X836" s="9">
        <f t="shared" si="461"/>
        <v>481070.4</v>
      </c>
      <c r="Y836" s="8"/>
      <c r="Z836" s="9">
        <f t="shared" si="462"/>
        <v>17932.429999999993</v>
      </c>
      <c r="AA836" s="8">
        <f t="shared" si="463"/>
        <v>499002.83</v>
      </c>
      <c r="AB836" s="8">
        <f t="shared" si="464"/>
        <v>0</v>
      </c>
    </row>
    <row r="837" spans="1:28" x14ac:dyDescent="0.3">
      <c r="A837" s="64"/>
      <c r="B837" s="8"/>
      <c r="C837" s="13" t="s">
        <v>1128</v>
      </c>
      <c r="D837" s="16" t="s">
        <v>1126</v>
      </c>
      <c r="E837" s="11">
        <f>300000+200000</f>
        <v>500000</v>
      </c>
      <c r="F837" s="8">
        <f>300000+200000</f>
        <v>500000</v>
      </c>
      <c r="G837" s="11"/>
      <c r="H837" s="9">
        <f>+F837+G837</f>
        <v>500000</v>
      </c>
      <c r="I837" s="8"/>
      <c r="J837" s="9">
        <f t="shared" si="456"/>
        <v>500000</v>
      </c>
      <c r="K837" s="8"/>
      <c r="L837" s="8"/>
      <c r="M837" s="9">
        <f t="shared" si="465"/>
        <v>500000</v>
      </c>
      <c r="N837" s="11"/>
      <c r="O837" s="9"/>
      <c r="P837" s="9">
        <f>+N837+O837</f>
        <v>0</v>
      </c>
      <c r="Q837" s="9"/>
      <c r="R837" s="17"/>
      <c r="S837" s="17"/>
      <c r="T837" s="18"/>
      <c r="U837" s="9">
        <f>+P837+T837</f>
        <v>0</v>
      </c>
      <c r="V837" s="9">
        <f t="shared" si="459"/>
        <v>500000</v>
      </c>
      <c r="W837" s="9"/>
      <c r="X837" s="9">
        <f t="shared" si="461"/>
        <v>500000</v>
      </c>
      <c r="Y837" s="8"/>
      <c r="Z837" s="9">
        <f>+E837-X837</f>
        <v>0</v>
      </c>
      <c r="AA837" s="8">
        <f>+M837+U837</f>
        <v>500000</v>
      </c>
      <c r="AB837" s="8">
        <f>+E837-AA837</f>
        <v>0</v>
      </c>
    </row>
    <row r="838" spans="1:28" x14ac:dyDescent="0.3">
      <c r="A838" s="64"/>
      <c r="B838" s="8"/>
      <c r="C838" s="7" t="s">
        <v>933</v>
      </c>
      <c r="D838" s="16" t="s">
        <v>1072</v>
      </c>
      <c r="E838" s="11">
        <f>420000+3462503.64</f>
        <v>3882503.64</v>
      </c>
      <c r="F838" s="11">
        <f>420000+3462503.64</f>
        <v>3882503.64</v>
      </c>
      <c r="G838" s="11"/>
      <c r="H838" s="9">
        <f>+F838+G838</f>
        <v>3882503.64</v>
      </c>
      <c r="I838" s="8"/>
      <c r="J838" s="9"/>
      <c r="K838" s="8"/>
      <c r="L838" s="8"/>
      <c r="M838" s="9">
        <f>+H838+L838</f>
        <v>3882503.64</v>
      </c>
      <c r="N838" s="11"/>
      <c r="O838" s="9"/>
      <c r="P838" s="9">
        <f>+N838+O838</f>
        <v>0</v>
      </c>
      <c r="Q838" s="9"/>
      <c r="R838" s="17"/>
      <c r="S838" s="17"/>
      <c r="T838" s="18"/>
      <c r="U838" s="9">
        <f>+P838+T838</f>
        <v>0</v>
      </c>
      <c r="V838" s="9"/>
      <c r="W838" s="9"/>
      <c r="X838" s="9">
        <f t="shared" si="461"/>
        <v>3882503.64</v>
      </c>
      <c r="Y838" s="8"/>
      <c r="Z838" s="9">
        <f t="shared" si="462"/>
        <v>0</v>
      </c>
      <c r="AA838" s="8">
        <f t="shared" si="463"/>
        <v>3882503.64</v>
      </c>
      <c r="AB838" s="8">
        <f t="shared" si="464"/>
        <v>0</v>
      </c>
    </row>
    <row r="839" spans="1:28" x14ac:dyDescent="0.3">
      <c r="A839" s="64"/>
      <c r="B839" s="8"/>
      <c r="C839" s="7" t="s">
        <v>1203</v>
      </c>
      <c r="D839" s="16" t="s">
        <v>1126</v>
      </c>
      <c r="E839" s="11">
        <v>4238445.68</v>
      </c>
      <c r="F839" s="11">
        <v>4238445.68</v>
      </c>
      <c r="G839" s="11"/>
      <c r="H839" s="9">
        <f>+F839+G839</f>
        <v>4238445.68</v>
      </c>
      <c r="I839" s="8"/>
      <c r="J839" s="9"/>
      <c r="K839" s="8"/>
      <c r="L839" s="8"/>
      <c r="M839" s="9">
        <f>+H839+L839</f>
        <v>4238445.68</v>
      </c>
      <c r="N839" s="11"/>
      <c r="O839" s="9"/>
      <c r="P839" s="9">
        <f>+N839+O839</f>
        <v>0</v>
      </c>
      <c r="Q839" s="9"/>
      <c r="R839" s="17"/>
      <c r="S839" s="17"/>
      <c r="T839" s="18"/>
      <c r="U839" s="9">
        <f>+P839+T839</f>
        <v>0</v>
      </c>
      <c r="V839" s="9"/>
      <c r="W839" s="9"/>
      <c r="X839" s="9">
        <f t="shared" si="461"/>
        <v>4238445.68</v>
      </c>
      <c r="Y839" s="8"/>
      <c r="Z839" s="9">
        <f>+E839-X839</f>
        <v>0</v>
      </c>
      <c r="AA839" s="8">
        <f>+M839+U839</f>
        <v>4238445.68</v>
      </c>
      <c r="AB839" s="8">
        <f>+E839-AA839</f>
        <v>0</v>
      </c>
    </row>
    <row r="840" spans="1:28" x14ac:dyDescent="0.3">
      <c r="A840" s="64"/>
      <c r="B840" s="8"/>
      <c r="C840" s="7" t="s">
        <v>598</v>
      </c>
      <c r="D840" s="8"/>
      <c r="E840" s="9">
        <v>798720</v>
      </c>
      <c r="F840" s="9">
        <v>798720</v>
      </c>
      <c r="G840" s="8"/>
      <c r="H840" s="9">
        <f t="shared" si="455"/>
        <v>798720</v>
      </c>
      <c r="I840" s="8"/>
      <c r="J840" s="9">
        <f t="shared" si="456"/>
        <v>798720</v>
      </c>
      <c r="K840" s="8"/>
      <c r="L840" s="8"/>
      <c r="M840" s="9">
        <f t="shared" si="465"/>
        <v>798720</v>
      </c>
      <c r="N840" s="8"/>
      <c r="O840" s="9"/>
      <c r="P840" s="9">
        <f t="shared" si="466"/>
        <v>0</v>
      </c>
      <c r="Q840" s="9">
        <f t="shared" si="457"/>
        <v>798720</v>
      </c>
      <c r="R840" s="17"/>
      <c r="S840" s="17"/>
      <c r="T840" s="17"/>
      <c r="U840" s="9">
        <f t="shared" si="458"/>
        <v>0</v>
      </c>
      <c r="V840" s="9">
        <f t="shared" si="459"/>
        <v>798720</v>
      </c>
      <c r="W840" s="9">
        <f t="shared" si="460"/>
        <v>0</v>
      </c>
      <c r="X840" s="9">
        <f t="shared" si="461"/>
        <v>798720</v>
      </c>
      <c r="Y840" s="8"/>
      <c r="Z840" s="9">
        <f t="shared" si="462"/>
        <v>0</v>
      </c>
      <c r="AA840" s="8">
        <f t="shared" si="463"/>
        <v>798720</v>
      </c>
      <c r="AB840" s="8">
        <f t="shared" si="464"/>
        <v>0</v>
      </c>
    </row>
    <row r="841" spans="1:28" x14ac:dyDescent="0.3">
      <c r="A841" s="64"/>
      <c r="B841" s="8"/>
      <c r="C841" s="7" t="s">
        <v>550</v>
      </c>
      <c r="D841" s="8"/>
      <c r="E841" s="9">
        <v>83548</v>
      </c>
      <c r="F841" s="9">
        <v>83548</v>
      </c>
      <c r="G841" s="8"/>
      <c r="H841" s="9">
        <f t="shared" si="455"/>
        <v>83548</v>
      </c>
      <c r="I841" s="8"/>
      <c r="J841" s="9">
        <f t="shared" si="456"/>
        <v>83548</v>
      </c>
      <c r="K841" s="8"/>
      <c r="L841" s="8"/>
      <c r="M841" s="9">
        <f t="shared" si="465"/>
        <v>83548</v>
      </c>
      <c r="N841" s="8"/>
      <c r="O841" s="9"/>
      <c r="P841" s="9">
        <f t="shared" si="466"/>
        <v>0</v>
      </c>
      <c r="Q841" s="9">
        <f t="shared" si="457"/>
        <v>83548</v>
      </c>
      <c r="R841" s="17"/>
      <c r="S841" s="17"/>
      <c r="T841" s="17"/>
      <c r="U841" s="9">
        <f t="shared" si="458"/>
        <v>0</v>
      </c>
      <c r="V841" s="9">
        <f t="shared" si="459"/>
        <v>83548</v>
      </c>
      <c r="W841" s="9">
        <f t="shared" si="460"/>
        <v>0</v>
      </c>
      <c r="X841" s="9">
        <f t="shared" si="461"/>
        <v>83548</v>
      </c>
      <c r="Y841" s="8"/>
      <c r="Z841" s="9">
        <f t="shared" si="462"/>
        <v>0</v>
      </c>
      <c r="AA841" s="8">
        <f t="shared" si="463"/>
        <v>83548</v>
      </c>
      <c r="AB841" s="8">
        <f t="shared" si="464"/>
        <v>0</v>
      </c>
    </row>
    <row r="842" spans="1:28" x14ac:dyDescent="0.3">
      <c r="A842" s="64"/>
      <c r="B842" s="8"/>
      <c r="C842" s="7" t="s">
        <v>606</v>
      </c>
      <c r="D842" s="8"/>
      <c r="E842" s="9">
        <v>2500000</v>
      </c>
      <c r="F842" s="9">
        <v>2500000</v>
      </c>
      <c r="G842" s="8"/>
      <c r="H842" s="9">
        <f t="shared" si="455"/>
        <v>2500000</v>
      </c>
      <c r="I842" s="8"/>
      <c r="J842" s="9">
        <f t="shared" si="456"/>
        <v>2500000</v>
      </c>
      <c r="K842" s="8"/>
      <c r="L842" s="8"/>
      <c r="M842" s="9">
        <f t="shared" si="465"/>
        <v>2500000</v>
      </c>
      <c r="N842" s="8"/>
      <c r="O842" s="9"/>
      <c r="P842" s="9">
        <f t="shared" si="466"/>
        <v>0</v>
      </c>
      <c r="Q842" s="9">
        <f t="shared" si="457"/>
        <v>2500000</v>
      </c>
      <c r="R842" s="17"/>
      <c r="S842" s="17"/>
      <c r="T842" s="17"/>
      <c r="U842" s="9">
        <f t="shared" si="458"/>
        <v>0</v>
      </c>
      <c r="V842" s="9">
        <f t="shared" si="459"/>
        <v>2500000</v>
      </c>
      <c r="W842" s="9">
        <f t="shared" si="460"/>
        <v>0</v>
      </c>
      <c r="X842" s="9">
        <f t="shared" si="461"/>
        <v>2500000</v>
      </c>
      <c r="Y842" s="8"/>
      <c r="Z842" s="9">
        <f t="shared" si="462"/>
        <v>0</v>
      </c>
      <c r="AA842" s="8">
        <f t="shared" si="463"/>
        <v>2500000</v>
      </c>
      <c r="AB842" s="8">
        <f t="shared" si="464"/>
        <v>0</v>
      </c>
    </row>
    <row r="843" spans="1:28" x14ac:dyDescent="0.3">
      <c r="A843" s="64"/>
      <c r="B843" s="8"/>
      <c r="C843" s="8"/>
      <c r="D843" s="8"/>
      <c r="E843" s="17" t="s">
        <v>29</v>
      </c>
      <c r="F843" s="17" t="s">
        <v>29</v>
      </c>
      <c r="G843" s="17" t="s">
        <v>29</v>
      </c>
      <c r="H843" s="17" t="s">
        <v>29</v>
      </c>
      <c r="I843" s="17" t="s">
        <v>29</v>
      </c>
      <c r="J843" s="17" t="s">
        <v>29</v>
      </c>
      <c r="K843" s="17" t="s">
        <v>29</v>
      </c>
      <c r="L843" s="17" t="s">
        <v>29</v>
      </c>
      <c r="M843" s="17" t="s">
        <v>29</v>
      </c>
      <c r="N843" s="17" t="s">
        <v>29</v>
      </c>
      <c r="O843" s="17" t="s">
        <v>29</v>
      </c>
      <c r="P843" s="17" t="s">
        <v>29</v>
      </c>
      <c r="Q843" s="17" t="s">
        <v>29</v>
      </c>
      <c r="R843" s="17" t="s">
        <v>29</v>
      </c>
      <c r="S843" s="17" t="s">
        <v>29</v>
      </c>
      <c r="T843" s="17" t="s">
        <v>29</v>
      </c>
      <c r="U843" s="17" t="s">
        <v>29</v>
      </c>
      <c r="V843" s="17" t="s">
        <v>29</v>
      </c>
      <c r="W843" s="17" t="s">
        <v>29</v>
      </c>
      <c r="X843" s="17" t="s">
        <v>29</v>
      </c>
      <c r="Y843" s="17" t="s">
        <v>29</v>
      </c>
      <c r="Z843" s="17" t="s">
        <v>29</v>
      </c>
      <c r="AA843" s="17" t="s">
        <v>29</v>
      </c>
      <c r="AB843" s="17" t="s">
        <v>29</v>
      </c>
    </row>
    <row r="844" spans="1:28" x14ac:dyDescent="0.3">
      <c r="A844" s="64"/>
      <c r="B844" s="8"/>
      <c r="C844" s="8"/>
      <c r="D844" s="8"/>
      <c r="E844" s="9">
        <f t="shared" ref="E844:Q844" si="467">SUM(E826:E843)</f>
        <v>35180248.409999996</v>
      </c>
      <c r="F844" s="9">
        <f t="shared" si="467"/>
        <v>30107819.48</v>
      </c>
      <c r="G844" s="9">
        <f t="shared" si="467"/>
        <v>0</v>
      </c>
      <c r="H844" s="9">
        <f t="shared" si="467"/>
        <v>30107819.48</v>
      </c>
      <c r="I844" s="9">
        <f t="shared" si="467"/>
        <v>0</v>
      </c>
      <c r="J844" s="9">
        <f t="shared" si="467"/>
        <v>21986870.16</v>
      </c>
      <c r="K844" s="9">
        <f t="shared" si="467"/>
        <v>5054496.5</v>
      </c>
      <c r="L844" s="9">
        <f t="shared" si="467"/>
        <v>0</v>
      </c>
      <c r="M844" s="9">
        <f t="shared" si="467"/>
        <v>30107819.48</v>
      </c>
      <c r="N844" s="9">
        <f t="shared" si="467"/>
        <v>5054496.5</v>
      </c>
      <c r="O844" s="9">
        <f t="shared" si="467"/>
        <v>0</v>
      </c>
      <c r="P844" s="9">
        <f t="shared" si="467"/>
        <v>5054496.5</v>
      </c>
      <c r="Q844" s="9">
        <f t="shared" si="467"/>
        <v>21504802.59</v>
      </c>
      <c r="R844" s="17"/>
      <c r="S844" s="17"/>
      <c r="T844" s="9">
        <f t="shared" ref="T844:Z844" si="468">SUM(T826:T843)</f>
        <v>17932.43</v>
      </c>
      <c r="U844" s="9">
        <f t="shared" si="468"/>
        <v>5072428.93</v>
      </c>
      <c r="V844" s="9">
        <f t="shared" si="468"/>
        <v>27041366.66</v>
      </c>
      <c r="W844" s="9">
        <f t="shared" si="468"/>
        <v>17932.429999999993</v>
      </c>
      <c r="X844" s="9">
        <f t="shared" si="468"/>
        <v>35162315.980000004</v>
      </c>
      <c r="Y844" s="9">
        <f t="shared" si="468"/>
        <v>0</v>
      </c>
      <c r="Z844" s="9">
        <f t="shared" si="468"/>
        <v>17932.429999999993</v>
      </c>
      <c r="AA844" s="9">
        <f>SUM(AA826:AA843)</f>
        <v>35180248.409999996</v>
      </c>
      <c r="AB844" s="9">
        <f>SUM(AB826:AB843)</f>
        <v>0</v>
      </c>
    </row>
    <row r="845" spans="1:28" x14ac:dyDescent="0.3">
      <c r="A845" s="64"/>
      <c r="B845" s="8"/>
      <c r="C845" s="8"/>
      <c r="D845" s="8"/>
      <c r="E845" s="17" t="s">
        <v>29</v>
      </c>
      <c r="F845" s="17" t="s">
        <v>29</v>
      </c>
      <c r="G845" s="17" t="s">
        <v>29</v>
      </c>
      <c r="H845" s="17" t="s">
        <v>29</v>
      </c>
      <c r="I845" s="17" t="s">
        <v>29</v>
      </c>
      <c r="J845" s="17" t="s">
        <v>29</v>
      </c>
      <c r="K845" s="17" t="s">
        <v>29</v>
      </c>
      <c r="L845" s="17" t="s">
        <v>29</v>
      </c>
      <c r="M845" s="17" t="s">
        <v>29</v>
      </c>
      <c r="N845" s="17" t="s">
        <v>29</v>
      </c>
      <c r="O845" s="17" t="s">
        <v>29</v>
      </c>
      <c r="P845" s="17" t="s">
        <v>29</v>
      </c>
      <c r="Q845" s="17" t="s">
        <v>29</v>
      </c>
      <c r="R845" s="17" t="s">
        <v>29</v>
      </c>
      <c r="S845" s="17" t="s">
        <v>29</v>
      </c>
      <c r="T845" s="17" t="s">
        <v>29</v>
      </c>
      <c r="U845" s="17" t="s">
        <v>29</v>
      </c>
      <c r="V845" s="17" t="s">
        <v>29</v>
      </c>
      <c r="W845" s="17" t="s">
        <v>29</v>
      </c>
      <c r="X845" s="17" t="s">
        <v>29</v>
      </c>
      <c r="Y845" s="17" t="s">
        <v>29</v>
      </c>
      <c r="Z845" s="17" t="s">
        <v>29</v>
      </c>
      <c r="AA845" s="17" t="s">
        <v>29</v>
      </c>
      <c r="AB845" s="17" t="s">
        <v>29</v>
      </c>
    </row>
    <row r="846" spans="1:28" x14ac:dyDescent="0.3">
      <c r="A846" s="63" t="s">
        <v>977</v>
      </c>
      <c r="B846" s="7" t="s">
        <v>647</v>
      </c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17"/>
      <c r="S846" s="17"/>
      <c r="T846" s="17"/>
      <c r="U846" s="17"/>
      <c r="V846" s="17"/>
      <c r="W846" s="17"/>
      <c r="X846" s="17"/>
      <c r="Y846" s="17"/>
      <c r="Z846" s="17"/>
      <c r="AA846" s="58"/>
    </row>
    <row r="847" spans="1:28" x14ac:dyDescent="0.3">
      <c r="A847" s="64"/>
      <c r="B847" s="8"/>
      <c r="C847" s="14" t="s">
        <v>648</v>
      </c>
      <c r="D847" s="21" t="s">
        <v>649</v>
      </c>
      <c r="E847" s="9">
        <v>195541.89</v>
      </c>
      <c r="F847" s="9">
        <v>195541.89</v>
      </c>
      <c r="G847" s="9"/>
      <c r="H847" s="9">
        <f t="shared" ref="H847:H870" si="469">F847+G847</f>
        <v>195541.89</v>
      </c>
      <c r="I847" s="8"/>
      <c r="J847" s="9">
        <f t="shared" ref="J847:J870" si="470">H847+I847</f>
        <v>195541.89</v>
      </c>
      <c r="K847" s="9"/>
      <c r="L847" s="8"/>
      <c r="M847" s="9">
        <f>+H847+L847</f>
        <v>195541.89</v>
      </c>
      <c r="N847" s="8"/>
      <c r="O847" s="9"/>
      <c r="P847" s="9">
        <f>+N847+O847</f>
        <v>0</v>
      </c>
      <c r="Q847" s="9">
        <f t="shared" ref="Q847:Q870" si="471">E847-P847</f>
        <v>195541.89</v>
      </c>
      <c r="R847" s="17"/>
      <c r="S847" s="17"/>
      <c r="T847" s="17"/>
      <c r="U847" s="9">
        <f t="shared" ref="U847:U870" si="472">P847+T847</f>
        <v>0</v>
      </c>
      <c r="V847" s="9">
        <f t="shared" ref="V847:V870" si="473">P847+H847</f>
        <v>195541.89</v>
      </c>
      <c r="W847" s="9">
        <f t="shared" ref="W847:W870" si="474">E847-V847</f>
        <v>0</v>
      </c>
      <c r="X847" s="9">
        <f t="shared" ref="X847:X870" si="475">+H847+P847</f>
        <v>195541.89</v>
      </c>
      <c r="Y847" s="8"/>
      <c r="Z847" s="9">
        <f t="shared" ref="Z847:Z870" si="476">+E847-X847</f>
        <v>0</v>
      </c>
      <c r="AA847" s="8">
        <f t="shared" ref="AA847:AA870" si="477">+M847+U847</f>
        <v>195541.89</v>
      </c>
      <c r="AB847" s="8">
        <f t="shared" ref="AB847:AB870" si="478">+E847-AA847</f>
        <v>0</v>
      </c>
    </row>
    <row r="848" spans="1:28" x14ac:dyDescent="0.3">
      <c r="A848" s="64"/>
      <c r="B848" s="8"/>
      <c r="C848" s="7" t="s">
        <v>535</v>
      </c>
      <c r="D848" s="15" t="s">
        <v>68</v>
      </c>
      <c r="E848" s="9">
        <f>935750-529182.76</f>
        <v>406567.24</v>
      </c>
      <c r="F848" s="9">
        <v>382946</v>
      </c>
      <c r="G848" s="8"/>
      <c r="H848" s="9">
        <f t="shared" si="469"/>
        <v>382946</v>
      </c>
      <c r="I848" s="8"/>
      <c r="J848" s="9">
        <f t="shared" si="470"/>
        <v>382946</v>
      </c>
      <c r="K848" s="9">
        <v>23621.24</v>
      </c>
      <c r="L848" s="8"/>
      <c r="M848" s="9">
        <f t="shared" ref="M848:M870" si="479">+H848+L848</f>
        <v>382946</v>
      </c>
      <c r="N848" s="8">
        <v>23621.24</v>
      </c>
      <c r="O848" s="9"/>
      <c r="P848" s="9">
        <f t="shared" ref="P848:P870" si="480">+N848+O848</f>
        <v>23621.24</v>
      </c>
      <c r="Q848" s="9">
        <f t="shared" si="471"/>
        <v>382946</v>
      </c>
      <c r="R848" s="17"/>
      <c r="S848" s="17"/>
      <c r="T848" s="17"/>
      <c r="U848" s="9">
        <f t="shared" si="472"/>
        <v>23621.24</v>
      </c>
      <c r="V848" s="9">
        <f t="shared" si="473"/>
        <v>406567.24</v>
      </c>
      <c r="W848" s="9">
        <f t="shared" si="474"/>
        <v>0</v>
      </c>
      <c r="X848" s="9">
        <f t="shared" si="475"/>
        <v>406567.24</v>
      </c>
      <c r="Y848" s="8"/>
      <c r="Z848" s="9">
        <f t="shared" si="476"/>
        <v>0</v>
      </c>
      <c r="AA848" s="8">
        <f t="shared" si="477"/>
        <v>406567.24</v>
      </c>
      <c r="AB848" s="8">
        <f t="shared" si="478"/>
        <v>0</v>
      </c>
    </row>
    <row r="849" spans="1:28" x14ac:dyDescent="0.3">
      <c r="A849" s="64"/>
      <c r="B849" s="8"/>
      <c r="C849" s="7" t="s">
        <v>539</v>
      </c>
      <c r="D849" s="15" t="s">
        <v>68</v>
      </c>
      <c r="E849" s="9">
        <f>3243702.25+319286.85+859094</f>
        <v>4422083.0999999996</v>
      </c>
      <c r="F849" s="8"/>
      <c r="G849" s="8"/>
      <c r="H849" s="9">
        <f t="shared" si="469"/>
        <v>0</v>
      </c>
      <c r="I849" s="8"/>
      <c r="J849" s="9">
        <f t="shared" si="470"/>
        <v>0</v>
      </c>
      <c r="K849" s="9">
        <v>4422083.0999999996</v>
      </c>
      <c r="L849" s="8"/>
      <c r="M849" s="9">
        <f t="shared" si="479"/>
        <v>0</v>
      </c>
      <c r="N849" s="8">
        <v>4422083.0999999996</v>
      </c>
      <c r="O849" s="9"/>
      <c r="P849" s="9">
        <f t="shared" si="480"/>
        <v>4422083.0999999996</v>
      </c>
      <c r="Q849" s="9">
        <f t="shared" si="471"/>
        <v>0</v>
      </c>
      <c r="R849" s="17"/>
      <c r="S849" s="17"/>
      <c r="T849" s="17"/>
      <c r="U849" s="9">
        <f t="shared" si="472"/>
        <v>4422083.0999999996</v>
      </c>
      <c r="V849" s="9">
        <f t="shared" si="473"/>
        <v>4422083.0999999996</v>
      </c>
      <c r="W849" s="9">
        <f t="shared" si="474"/>
        <v>0</v>
      </c>
      <c r="X849" s="9">
        <f t="shared" si="475"/>
        <v>4422083.0999999996</v>
      </c>
      <c r="Y849" s="8"/>
      <c r="Z849" s="9">
        <f t="shared" si="476"/>
        <v>0</v>
      </c>
      <c r="AA849" s="8">
        <f t="shared" si="477"/>
        <v>4422083.0999999996</v>
      </c>
      <c r="AB849" s="8">
        <f t="shared" si="478"/>
        <v>0</v>
      </c>
    </row>
    <row r="850" spans="1:28" x14ac:dyDescent="0.3">
      <c r="A850" s="64"/>
      <c r="B850" s="8"/>
      <c r="C850" s="7" t="s">
        <v>535</v>
      </c>
      <c r="D850" s="15" t="s">
        <v>54</v>
      </c>
      <c r="E850" s="9">
        <f>1208000-60400-3600</f>
        <v>1144000</v>
      </c>
      <c r="F850" s="9">
        <v>1144000</v>
      </c>
      <c r="G850" s="8"/>
      <c r="H850" s="9">
        <f t="shared" si="469"/>
        <v>1144000</v>
      </c>
      <c r="I850" s="8"/>
      <c r="J850" s="9">
        <f t="shared" si="470"/>
        <v>1144000</v>
      </c>
      <c r="K850" s="8"/>
      <c r="L850" s="8"/>
      <c r="M850" s="9">
        <f t="shared" si="479"/>
        <v>1144000</v>
      </c>
      <c r="N850" s="8"/>
      <c r="O850" s="9"/>
      <c r="P850" s="9">
        <f t="shared" si="480"/>
        <v>0</v>
      </c>
      <c r="Q850" s="9">
        <f t="shared" si="471"/>
        <v>1144000</v>
      </c>
      <c r="R850" s="17"/>
      <c r="S850" s="17"/>
      <c r="T850" s="17"/>
      <c r="U850" s="9">
        <f t="shared" si="472"/>
        <v>0</v>
      </c>
      <c r="V850" s="9">
        <f t="shared" si="473"/>
        <v>1144000</v>
      </c>
      <c r="W850" s="9">
        <f t="shared" si="474"/>
        <v>0</v>
      </c>
      <c r="X850" s="9">
        <f t="shared" si="475"/>
        <v>1144000</v>
      </c>
      <c r="Y850" s="8"/>
      <c r="Z850" s="9">
        <f t="shared" si="476"/>
        <v>0</v>
      </c>
      <c r="AA850" s="8">
        <f t="shared" si="477"/>
        <v>1144000</v>
      </c>
      <c r="AB850" s="8">
        <f t="shared" si="478"/>
        <v>0</v>
      </c>
    </row>
    <row r="851" spans="1:28" x14ac:dyDescent="0.3">
      <c r="A851" s="64"/>
      <c r="B851" s="8"/>
      <c r="C851" s="7" t="s">
        <v>545</v>
      </c>
      <c r="D851" s="15" t="s">
        <v>54</v>
      </c>
      <c r="E851" s="9">
        <v>1953989</v>
      </c>
      <c r="F851" s="8"/>
      <c r="G851" s="8"/>
      <c r="H851" s="9">
        <f t="shared" si="469"/>
        <v>0</v>
      </c>
      <c r="I851" s="8"/>
      <c r="J851" s="9">
        <f t="shared" si="470"/>
        <v>0</v>
      </c>
      <c r="K851" s="9">
        <v>1953989</v>
      </c>
      <c r="L851" s="8"/>
      <c r="M851" s="9">
        <f t="shared" si="479"/>
        <v>0</v>
      </c>
      <c r="N851" s="8">
        <v>1953989</v>
      </c>
      <c r="O851" s="9"/>
      <c r="P851" s="9">
        <f t="shared" si="480"/>
        <v>1953989</v>
      </c>
      <c r="Q851" s="9">
        <f t="shared" si="471"/>
        <v>0</v>
      </c>
      <c r="R851" s="17"/>
      <c r="S851" s="17"/>
      <c r="T851" s="17"/>
      <c r="U851" s="9">
        <f t="shared" si="472"/>
        <v>1953989</v>
      </c>
      <c r="V851" s="9">
        <f t="shared" si="473"/>
        <v>1953989</v>
      </c>
      <c r="W851" s="9">
        <f t="shared" si="474"/>
        <v>0</v>
      </c>
      <c r="X851" s="9">
        <f t="shared" si="475"/>
        <v>1953989</v>
      </c>
      <c r="Y851" s="8"/>
      <c r="Z851" s="9">
        <f t="shared" si="476"/>
        <v>0</v>
      </c>
      <c r="AA851" s="8">
        <f t="shared" si="477"/>
        <v>1953989</v>
      </c>
      <c r="AB851" s="8">
        <f t="shared" si="478"/>
        <v>0</v>
      </c>
    </row>
    <row r="852" spans="1:28" x14ac:dyDescent="0.3">
      <c r="A852" s="64"/>
      <c r="B852" s="8"/>
      <c r="C852" s="7" t="s">
        <v>535</v>
      </c>
      <c r="D852" s="15" t="s">
        <v>85</v>
      </c>
      <c r="E852" s="9">
        <v>2000000</v>
      </c>
      <c r="F852" s="9">
        <v>2000000</v>
      </c>
      <c r="G852" s="8"/>
      <c r="H852" s="9">
        <f t="shared" si="469"/>
        <v>2000000</v>
      </c>
      <c r="I852" s="8"/>
      <c r="J852" s="9">
        <f t="shared" si="470"/>
        <v>2000000</v>
      </c>
      <c r="K852" s="8"/>
      <c r="L852" s="8"/>
      <c r="M852" s="9">
        <f t="shared" si="479"/>
        <v>2000000</v>
      </c>
      <c r="N852" s="8"/>
      <c r="O852" s="9"/>
      <c r="P852" s="9">
        <f t="shared" si="480"/>
        <v>0</v>
      </c>
      <c r="Q852" s="9">
        <f t="shared" si="471"/>
        <v>2000000</v>
      </c>
      <c r="R852" s="17"/>
      <c r="S852" s="17"/>
      <c r="T852" s="17"/>
      <c r="U852" s="9">
        <f t="shared" si="472"/>
        <v>0</v>
      </c>
      <c r="V852" s="9">
        <f t="shared" si="473"/>
        <v>2000000</v>
      </c>
      <c r="W852" s="9">
        <f t="shared" si="474"/>
        <v>0</v>
      </c>
      <c r="X852" s="9">
        <f t="shared" si="475"/>
        <v>2000000</v>
      </c>
      <c r="Y852" s="8"/>
      <c r="Z852" s="9">
        <f t="shared" si="476"/>
        <v>0</v>
      </c>
      <c r="AA852" s="8">
        <f t="shared" si="477"/>
        <v>2000000</v>
      </c>
      <c r="AB852" s="8">
        <f t="shared" si="478"/>
        <v>0</v>
      </c>
    </row>
    <row r="853" spans="1:28" x14ac:dyDescent="0.3">
      <c r="A853" s="64"/>
      <c r="B853" s="8"/>
      <c r="C853" s="7" t="s">
        <v>650</v>
      </c>
      <c r="D853" s="15" t="s">
        <v>85</v>
      </c>
      <c r="E853" s="9">
        <f>120000+80000-11015</f>
        <v>188985</v>
      </c>
      <c r="F853" s="9">
        <f>108985+80000</f>
        <v>188985</v>
      </c>
      <c r="G853" s="8"/>
      <c r="H853" s="9">
        <f t="shared" si="469"/>
        <v>188985</v>
      </c>
      <c r="I853" s="8"/>
      <c r="J853" s="9">
        <f t="shared" si="470"/>
        <v>188985</v>
      </c>
      <c r="K853" s="8"/>
      <c r="L853" s="8"/>
      <c r="M853" s="9">
        <f t="shared" si="479"/>
        <v>188985</v>
      </c>
      <c r="N853" s="8"/>
      <c r="O853" s="9"/>
      <c r="P853" s="9">
        <f t="shared" si="480"/>
        <v>0</v>
      </c>
      <c r="Q853" s="9">
        <f t="shared" si="471"/>
        <v>188985</v>
      </c>
      <c r="R853" s="17"/>
      <c r="S853" s="17"/>
      <c r="T853" s="17"/>
      <c r="U853" s="9">
        <f t="shared" si="472"/>
        <v>0</v>
      </c>
      <c r="V853" s="9">
        <f t="shared" si="473"/>
        <v>188985</v>
      </c>
      <c r="W853" s="9">
        <f t="shared" si="474"/>
        <v>0</v>
      </c>
      <c r="X853" s="9">
        <f t="shared" si="475"/>
        <v>188985</v>
      </c>
      <c r="Y853" s="8"/>
      <c r="Z853" s="9">
        <f t="shared" si="476"/>
        <v>0</v>
      </c>
      <c r="AA853" s="8">
        <f t="shared" si="477"/>
        <v>188985</v>
      </c>
      <c r="AB853" s="8">
        <f t="shared" si="478"/>
        <v>0</v>
      </c>
    </row>
    <row r="854" spans="1:28" x14ac:dyDescent="0.3">
      <c r="A854" s="64"/>
      <c r="B854" s="8"/>
      <c r="C854" s="7" t="s">
        <v>651</v>
      </c>
      <c r="D854" s="15" t="s">
        <v>128</v>
      </c>
      <c r="E854" s="9">
        <v>619624</v>
      </c>
      <c r="F854" s="9">
        <v>619624</v>
      </c>
      <c r="G854" s="8"/>
      <c r="H854" s="9">
        <f t="shared" si="469"/>
        <v>619624</v>
      </c>
      <c r="I854" s="8"/>
      <c r="J854" s="9">
        <f t="shared" si="470"/>
        <v>619624</v>
      </c>
      <c r="K854" s="8"/>
      <c r="L854" s="8"/>
      <c r="M854" s="9">
        <f t="shared" si="479"/>
        <v>619624</v>
      </c>
      <c r="N854" s="8"/>
      <c r="O854" s="9"/>
      <c r="P854" s="9">
        <f t="shared" si="480"/>
        <v>0</v>
      </c>
      <c r="Q854" s="9">
        <f t="shared" si="471"/>
        <v>619624</v>
      </c>
      <c r="R854" s="17"/>
      <c r="S854" s="17"/>
      <c r="T854" s="17"/>
      <c r="U854" s="9">
        <f t="shared" si="472"/>
        <v>0</v>
      </c>
      <c r="V854" s="9">
        <f t="shared" si="473"/>
        <v>619624</v>
      </c>
      <c r="W854" s="9">
        <f t="shared" si="474"/>
        <v>0</v>
      </c>
      <c r="X854" s="9">
        <f t="shared" si="475"/>
        <v>619624</v>
      </c>
      <c r="Y854" s="8"/>
      <c r="Z854" s="9">
        <f t="shared" si="476"/>
        <v>0</v>
      </c>
      <c r="AA854" s="8">
        <f t="shared" si="477"/>
        <v>619624</v>
      </c>
      <c r="AB854" s="8">
        <f t="shared" si="478"/>
        <v>0</v>
      </c>
    </row>
    <row r="855" spans="1:28" x14ac:dyDescent="0.3">
      <c r="A855" s="64"/>
      <c r="B855" s="8"/>
      <c r="C855" s="7" t="s">
        <v>535</v>
      </c>
      <c r="D855" s="15" t="s">
        <v>128</v>
      </c>
      <c r="E855" s="9">
        <v>3859064</v>
      </c>
      <c r="F855" s="9">
        <f>1365119+2493945</f>
        <v>3859064</v>
      </c>
      <c r="G855" s="8"/>
      <c r="H855" s="9">
        <f t="shared" si="469"/>
        <v>3859064</v>
      </c>
      <c r="I855" s="8"/>
      <c r="J855" s="9">
        <f t="shared" si="470"/>
        <v>3859064</v>
      </c>
      <c r="K855" s="8"/>
      <c r="L855" s="8"/>
      <c r="M855" s="9">
        <f t="shared" si="479"/>
        <v>3859064</v>
      </c>
      <c r="N855" s="8"/>
      <c r="O855" s="9"/>
      <c r="P855" s="9">
        <f t="shared" si="480"/>
        <v>0</v>
      </c>
      <c r="Q855" s="9">
        <f t="shared" si="471"/>
        <v>3859064</v>
      </c>
      <c r="R855" s="17"/>
      <c r="S855" s="17"/>
      <c r="T855" s="17"/>
      <c r="U855" s="9">
        <f t="shared" si="472"/>
        <v>0</v>
      </c>
      <c r="V855" s="9">
        <f t="shared" si="473"/>
        <v>3859064</v>
      </c>
      <c r="W855" s="9">
        <f t="shared" si="474"/>
        <v>0</v>
      </c>
      <c r="X855" s="9">
        <f t="shared" si="475"/>
        <v>3859064</v>
      </c>
      <c r="Y855" s="8"/>
      <c r="Z855" s="9">
        <f t="shared" si="476"/>
        <v>0</v>
      </c>
      <c r="AA855" s="8">
        <f t="shared" si="477"/>
        <v>3859064</v>
      </c>
      <c r="AB855" s="8">
        <f t="shared" si="478"/>
        <v>0</v>
      </c>
    </row>
    <row r="856" spans="1:28" x14ac:dyDescent="0.3">
      <c r="A856" s="64"/>
      <c r="B856" s="8"/>
      <c r="C856" s="7" t="s">
        <v>535</v>
      </c>
      <c r="D856" s="15" t="s">
        <v>108</v>
      </c>
      <c r="E856" s="9">
        <f>2423107+1710420+3177004</f>
        <v>7310531</v>
      </c>
      <c r="F856" s="9">
        <v>7310531</v>
      </c>
      <c r="G856" s="8"/>
      <c r="H856" s="9">
        <f t="shared" si="469"/>
        <v>7310531</v>
      </c>
      <c r="I856" s="8"/>
      <c r="J856" s="9">
        <f t="shared" si="470"/>
        <v>7310531</v>
      </c>
      <c r="K856" s="8"/>
      <c r="L856" s="8"/>
      <c r="M856" s="9">
        <f t="shared" si="479"/>
        <v>7310531</v>
      </c>
      <c r="N856" s="8"/>
      <c r="O856" s="9"/>
      <c r="P856" s="9">
        <f t="shared" si="480"/>
        <v>0</v>
      </c>
      <c r="Q856" s="9">
        <f t="shared" si="471"/>
        <v>7310531</v>
      </c>
      <c r="R856" s="17"/>
      <c r="S856" s="17"/>
      <c r="T856" s="17"/>
      <c r="U856" s="9">
        <f t="shared" si="472"/>
        <v>0</v>
      </c>
      <c r="V856" s="9">
        <f t="shared" si="473"/>
        <v>7310531</v>
      </c>
      <c r="W856" s="9">
        <f t="shared" si="474"/>
        <v>0</v>
      </c>
      <c r="X856" s="9">
        <f t="shared" si="475"/>
        <v>7310531</v>
      </c>
      <c r="Y856" s="8"/>
      <c r="Z856" s="9">
        <f t="shared" si="476"/>
        <v>0</v>
      </c>
      <c r="AA856" s="8">
        <f t="shared" si="477"/>
        <v>7310531</v>
      </c>
      <c r="AB856" s="8">
        <f t="shared" si="478"/>
        <v>0</v>
      </c>
    </row>
    <row r="857" spans="1:28" x14ac:dyDescent="0.3">
      <c r="A857" s="64"/>
      <c r="B857" s="8"/>
      <c r="C857" s="7" t="s">
        <v>535</v>
      </c>
      <c r="D857" s="15" t="s">
        <v>58</v>
      </c>
      <c r="E857" s="9">
        <f>5632750+5000000</f>
        <v>10632750</v>
      </c>
      <c r="F857" s="9">
        <f>5632750+5000000</f>
        <v>10632750</v>
      </c>
      <c r="G857" s="8"/>
      <c r="H857" s="9">
        <f t="shared" si="469"/>
        <v>10632750</v>
      </c>
      <c r="I857" s="8"/>
      <c r="J857" s="9">
        <f t="shared" si="470"/>
        <v>10632750</v>
      </c>
      <c r="K857" s="8"/>
      <c r="L857" s="8"/>
      <c r="M857" s="9">
        <f t="shared" si="479"/>
        <v>10632750</v>
      </c>
      <c r="N857" s="8"/>
      <c r="O857" s="9"/>
      <c r="P857" s="9">
        <f t="shared" si="480"/>
        <v>0</v>
      </c>
      <c r="Q857" s="9">
        <f t="shared" si="471"/>
        <v>10632750</v>
      </c>
      <c r="R857" s="17"/>
      <c r="S857" s="17"/>
      <c r="T857" s="17"/>
      <c r="U857" s="9">
        <f t="shared" si="472"/>
        <v>0</v>
      </c>
      <c r="V857" s="9">
        <f t="shared" si="473"/>
        <v>10632750</v>
      </c>
      <c r="W857" s="9">
        <f t="shared" si="474"/>
        <v>0</v>
      </c>
      <c r="X857" s="9">
        <f t="shared" si="475"/>
        <v>10632750</v>
      </c>
      <c r="Y857" s="8"/>
      <c r="Z857" s="9">
        <f t="shared" si="476"/>
        <v>0</v>
      </c>
      <c r="AA857" s="8">
        <f t="shared" si="477"/>
        <v>10632750</v>
      </c>
      <c r="AB857" s="8">
        <f t="shared" si="478"/>
        <v>0</v>
      </c>
    </row>
    <row r="858" spans="1:28" x14ac:dyDescent="0.3">
      <c r="A858" s="64"/>
      <c r="B858" s="8"/>
      <c r="C858" s="14" t="s">
        <v>652</v>
      </c>
      <c r="D858" s="21" t="s">
        <v>228</v>
      </c>
      <c r="E858" s="11">
        <f>195000+118800</f>
        <v>313800</v>
      </c>
      <c r="F858" s="11">
        <f>195000+118800</f>
        <v>313800</v>
      </c>
      <c r="G858" s="8"/>
      <c r="H858" s="9">
        <f t="shared" si="469"/>
        <v>313800</v>
      </c>
      <c r="I858" s="8"/>
      <c r="J858" s="9">
        <f t="shared" si="470"/>
        <v>313800</v>
      </c>
      <c r="K858" s="8"/>
      <c r="L858" s="8"/>
      <c r="M858" s="9">
        <f t="shared" si="479"/>
        <v>313800</v>
      </c>
      <c r="N858" s="8"/>
      <c r="O858" s="9"/>
      <c r="P858" s="9">
        <f t="shared" si="480"/>
        <v>0</v>
      </c>
      <c r="Q858" s="9">
        <f t="shared" si="471"/>
        <v>313800</v>
      </c>
      <c r="R858" s="17"/>
      <c r="S858" s="17"/>
      <c r="T858" s="17"/>
      <c r="U858" s="9">
        <f t="shared" si="472"/>
        <v>0</v>
      </c>
      <c r="V858" s="9">
        <f t="shared" si="473"/>
        <v>313800</v>
      </c>
      <c r="W858" s="9">
        <f t="shared" si="474"/>
        <v>0</v>
      </c>
      <c r="X858" s="9">
        <f t="shared" si="475"/>
        <v>313800</v>
      </c>
      <c r="Y858" s="8"/>
      <c r="Z858" s="9">
        <f t="shared" si="476"/>
        <v>0</v>
      </c>
      <c r="AA858" s="8">
        <f t="shared" si="477"/>
        <v>313800</v>
      </c>
      <c r="AB858" s="8">
        <f t="shared" si="478"/>
        <v>0</v>
      </c>
    </row>
    <row r="859" spans="1:28" x14ac:dyDescent="0.3">
      <c r="A859" s="64"/>
      <c r="B859" s="8"/>
      <c r="C859" s="7" t="s">
        <v>621</v>
      </c>
      <c r="D859" s="21" t="s">
        <v>73</v>
      </c>
      <c r="E859" s="11">
        <v>553000</v>
      </c>
      <c r="F859" s="11">
        <v>553000</v>
      </c>
      <c r="G859" s="8"/>
      <c r="H859" s="9">
        <f t="shared" si="469"/>
        <v>553000</v>
      </c>
      <c r="I859" s="8"/>
      <c r="J859" s="9">
        <f t="shared" si="470"/>
        <v>553000</v>
      </c>
      <c r="K859" s="8"/>
      <c r="L859" s="8"/>
      <c r="M859" s="9">
        <f t="shared" si="479"/>
        <v>553000</v>
      </c>
      <c r="N859" s="8"/>
      <c r="O859" s="9"/>
      <c r="P859" s="9">
        <f t="shared" si="480"/>
        <v>0</v>
      </c>
      <c r="Q859" s="9">
        <f t="shared" si="471"/>
        <v>553000</v>
      </c>
      <c r="R859" s="17"/>
      <c r="S859" s="17"/>
      <c r="T859" s="17"/>
      <c r="U859" s="9">
        <f t="shared" si="472"/>
        <v>0</v>
      </c>
      <c r="V859" s="9">
        <f t="shared" si="473"/>
        <v>553000</v>
      </c>
      <c r="W859" s="9">
        <f t="shared" si="474"/>
        <v>0</v>
      </c>
      <c r="X859" s="9">
        <f t="shared" si="475"/>
        <v>553000</v>
      </c>
      <c r="Y859" s="8"/>
      <c r="Z859" s="9">
        <f t="shared" si="476"/>
        <v>0</v>
      </c>
      <c r="AA859" s="8">
        <f t="shared" si="477"/>
        <v>553000</v>
      </c>
      <c r="AB859" s="8">
        <f t="shared" si="478"/>
        <v>0</v>
      </c>
    </row>
    <row r="860" spans="1:28" x14ac:dyDescent="0.3">
      <c r="A860" s="64"/>
      <c r="B860" s="8"/>
      <c r="C860" s="14" t="s">
        <v>567</v>
      </c>
      <c r="D860" s="21" t="s">
        <v>73</v>
      </c>
      <c r="E860" s="11">
        <v>463885.29</v>
      </c>
      <c r="F860" s="11">
        <v>463885.29</v>
      </c>
      <c r="G860" s="8"/>
      <c r="H860" s="9">
        <f t="shared" si="469"/>
        <v>463885.29</v>
      </c>
      <c r="I860" s="8"/>
      <c r="J860" s="9">
        <f t="shared" si="470"/>
        <v>463885.29</v>
      </c>
      <c r="K860" s="8"/>
      <c r="L860" s="8"/>
      <c r="M860" s="9">
        <f t="shared" si="479"/>
        <v>463885.29</v>
      </c>
      <c r="N860" s="8"/>
      <c r="O860" s="9"/>
      <c r="P860" s="9">
        <f t="shared" si="480"/>
        <v>0</v>
      </c>
      <c r="Q860" s="9">
        <f t="shared" si="471"/>
        <v>463885.29</v>
      </c>
      <c r="R860" s="17"/>
      <c r="S860" s="17"/>
      <c r="T860" s="17"/>
      <c r="U860" s="9">
        <f t="shared" si="472"/>
        <v>0</v>
      </c>
      <c r="V860" s="9">
        <f t="shared" si="473"/>
        <v>463885.29</v>
      </c>
      <c r="W860" s="9">
        <f t="shared" si="474"/>
        <v>0</v>
      </c>
      <c r="X860" s="9">
        <f t="shared" si="475"/>
        <v>463885.29</v>
      </c>
      <c r="Y860" s="8"/>
      <c r="Z860" s="9">
        <f t="shared" si="476"/>
        <v>0</v>
      </c>
      <c r="AA860" s="8">
        <f t="shared" si="477"/>
        <v>463885.29</v>
      </c>
      <c r="AB860" s="8">
        <f t="shared" si="478"/>
        <v>0</v>
      </c>
    </row>
    <row r="861" spans="1:28" x14ac:dyDescent="0.3">
      <c r="A861" s="64"/>
      <c r="B861" s="8"/>
      <c r="C861" s="7" t="s">
        <v>535</v>
      </c>
      <c r="D861" s="15" t="s">
        <v>61</v>
      </c>
      <c r="E861" s="11">
        <v>1017000</v>
      </c>
      <c r="F861" s="11">
        <v>1017000</v>
      </c>
      <c r="G861" s="8"/>
      <c r="H861" s="9">
        <f t="shared" si="469"/>
        <v>1017000</v>
      </c>
      <c r="I861" s="8"/>
      <c r="J861" s="9">
        <f t="shared" si="470"/>
        <v>1017000</v>
      </c>
      <c r="K861" s="8"/>
      <c r="L861" s="8"/>
      <c r="M861" s="9">
        <f t="shared" si="479"/>
        <v>1017000</v>
      </c>
      <c r="N861" s="8"/>
      <c r="O861" s="9"/>
      <c r="P861" s="9">
        <f t="shared" si="480"/>
        <v>0</v>
      </c>
      <c r="Q861" s="9">
        <f t="shared" si="471"/>
        <v>1017000</v>
      </c>
      <c r="R861" s="17"/>
      <c r="S861" s="17"/>
      <c r="T861" s="17"/>
      <c r="U861" s="9">
        <f t="shared" si="472"/>
        <v>0</v>
      </c>
      <c r="V861" s="9">
        <f t="shared" si="473"/>
        <v>1017000</v>
      </c>
      <c r="W861" s="9">
        <f t="shared" si="474"/>
        <v>0</v>
      </c>
      <c r="X861" s="9">
        <f t="shared" si="475"/>
        <v>1017000</v>
      </c>
      <c r="Y861" s="8"/>
      <c r="Z861" s="9">
        <f t="shared" si="476"/>
        <v>0</v>
      </c>
      <c r="AA861" s="8">
        <f t="shared" si="477"/>
        <v>1017000</v>
      </c>
      <c r="AB861" s="8">
        <f t="shared" si="478"/>
        <v>0</v>
      </c>
    </row>
    <row r="862" spans="1:28" x14ac:dyDescent="0.3">
      <c r="A862" s="64"/>
      <c r="B862" s="8"/>
      <c r="C862" s="7" t="s">
        <v>621</v>
      </c>
      <c r="D862" s="21" t="s">
        <v>61</v>
      </c>
      <c r="E862" s="11">
        <f>1397806.63+84630.49</f>
        <v>1482437.1199999999</v>
      </c>
      <c r="F862" s="8">
        <v>1397806.63</v>
      </c>
      <c r="G862" s="11"/>
      <c r="H862" s="9">
        <f t="shared" si="469"/>
        <v>1397806.63</v>
      </c>
      <c r="I862" s="8"/>
      <c r="J862" s="9">
        <f t="shared" si="470"/>
        <v>1397806.63</v>
      </c>
      <c r="K862" s="8"/>
      <c r="L862" s="8"/>
      <c r="M862" s="9">
        <f t="shared" si="479"/>
        <v>1397806.63</v>
      </c>
      <c r="N862" s="11"/>
      <c r="O862" s="9"/>
      <c r="P862" s="9">
        <f t="shared" si="480"/>
        <v>0</v>
      </c>
      <c r="Q862" s="9">
        <f t="shared" si="471"/>
        <v>1482437.1199999999</v>
      </c>
      <c r="R862" s="17"/>
      <c r="S862" s="17"/>
      <c r="T862" s="18">
        <v>84630.49</v>
      </c>
      <c r="U862" s="9">
        <f t="shared" si="472"/>
        <v>84630.49</v>
      </c>
      <c r="V862" s="9">
        <f t="shared" si="473"/>
        <v>1397806.63</v>
      </c>
      <c r="W862" s="9">
        <f t="shared" si="474"/>
        <v>84630.489999999991</v>
      </c>
      <c r="X862" s="9">
        <f t="shared" si="475"/>
        <v>1397806.63</v>
      </c>
      <c r="Y862" s="8"/>
      <c r="Z862" s="9">
        <f t="shared" si="476"/>
        <v>84630.489999999991</v>
      </c>
      <c r="AA862" s="8">
        <f t="shared" si="477"/>
        <v>1482437.1199999999</v>
      </c>
      <c r="AB862" s="8">
        <f t="shared" si="478"/>
        <v>0</v>
      </c>
    </row>
    <row r="863" spans="1:28" x14ac:dyDescent="0.3">
      <c r="A863" s="64"/>
      <c r="B863" s="8"/>
      <c r="C863" s="7" t="s">
        <v>1136</v>
      </c>
      <c r="D863" s="24" t="s">
        <v>1126</v>
      </c>
      <c r="E863" s="11">
        <v>300000</v>
      </c>
      <c r="F863" s="8">
        <v>300000</v>
      </c>
      <c r="G863" s="11"/>
      <c r="H863" s="9">
        <f t="shared" ref="H863:H869" si="481">+F863+G863</f>
        <v>300000</v>
      </c>
      <c r="I863" s="8"/>
      <c r="J863" s="9">
        <f t="shared" si="470"/>
        <v>300000</v>
      </c>
      <c r="K863" s="8"/>
      <c r="L863" s="8"/>
      <c r="M863" s="9">
        <f t="shared" si="479"/>
        <v>300000</v>
      </c>
      <c r="N863" s="11"/>
      <c r="O863" s="9"/>
      <c r="P863" s="9">
        <f t="shared" ref="P863:P869" si="482">+N863+O863</f>
        <v>0</v>
      </c>
      <c r="Q863" s="9"/>
      <c r="R863" s="17"/>
      <c r="S863" s="17"/>
      <c r="T863" s="18"/>
      <c r="U863" s="9">
        <f t="shared" ref="U863:U869" si="483">+P863+T863</f>
        <v>0</v>
      </c>
      <c r="V863" s="9">
        <f t="shared" si="473"/>
        <v>300000</v>
      </c>
      <c r="W863" s="9"/>
      <c r="X863" s="9">
        <f t="shared" si="475"/>
        <v>300000</v>
      </c>
      <c r="Y863" s="8"/>
      <c r="Z863" s="9">
        <f>+E863-X863</f>
        <v>0</v>
      </c>
      <c r="AA863" s="8">
        <f>+M863+U863</f>
        <v>300000</v>
      </c>
      <c r="AB863" s="8">
        <f>+E863-AA863</f>
        <v>0</v>
      </c>
    </row>
    <row r="864" spans="1:28" x14ac:dyDescent="0.3">
      <c r="A864" s="64"/>
      <c r="B864" s="8"/>
      <c r="C864" s="7" t="s">
        <v>1170</v>
      </c>
      <c r="D864" s="24" t="s">
        <v>1126</v>
      </c>
      <c r="E864" s="11">
        <v>295248.90000000002</v>
      </c>
      <c r="F864" s="11">
        <v>295248.90000000002</v>
      </c>
      <c r="G864" s="11"/>
      <c r="H864" s="9">
        <f t="shared" si="481"/>
        <v>295248.90000000002</v>
      </c>
      <c r="I864" s="8"/>
      <c r="J864" s="9">
        <f t="shared" si="470"/>
        <v>295248.90000000002</v>
      </c>
      <c r="K864" s="8"/>
      <c r="L864" s="8"/>
      <c r="M864" s="9">
        <f t="shared" si="479"/>
        <v>295248.90000000002</v>
      </c>
      <c r="N864" s="11"/>
      <c r="O864" s="9"/>
      <c r="P864" s="9">
        <f t="shared" si="482"/>
        <v>0</v>
      </c>
      <c r="Q864" s="9"/>
      <c r="R864" s="17"/>
      <c r="S864" s="17"/>
      <c r="T864" s="18"/>
      <c r="U864" s="9">
        <f t="shared" si="483"/>
        <v>0</v>
      </c>
      <c r="V864" s="9">
        <f t="shared" si="473"/>
        <v>295248.90000000002</v>
      </c>
      <c r="W864" s="9"/>
      <c r="X864" s="9">
        <f t="shared" si="475"/>
        <v>295248.90000000002</v>
      </c>
      <c r="Y864" s="8"/>
      <c r="Z864" s="9">
        <f>+E864-X864</f>
        <v>0</v>
      </c>
      <c r="AA864" s="8">
        <f>+M864+U864</f>
        <v>295248.90000000002</v>
      </c>
      <c r="AB864" s="8">
        <f>+E864-AA864</f>
        <v>0</v>
      </c>
    </row>
    <row r="865" spans="1:28" x14ac:dyDescent="0.3">
      <c r="A865" s="64"/>
      <c r="B865" s="8"/>
      <c r="C865" s="7" t="s">
        <v>1161</v>
      </c>
      <c r="D865" s="24" t="s">
        <v>1229</v>
      </c>
      <c r="E865" s="11">
        <f>2287614.3+127114.12+351800.74</f>
        <v>2766529.16</v>
      </c>
      <c r="F865" s="8">
        <f>2287614.3+127114.12+351800.74</f>
        <v>2766529.16</v>
      </c>
      <c r="G865" s="11"/>
      <c r="H865" s="9">
        <f t="shared" si="481"/>
        <v>2766529.16</v>
      </c>
      <c r="I865" s="8"/>
      <c r="J865" s="9">
        <f t="shared" si="470"/>
        <v>2766529.16</v>
      </c>
      <c r="K865" s="8"/>
      <c r="L865" s="8"/>
      <c r="M865" s="9">
        <f t="shared" si="479"/>
        <v>2766529.16</v>
      </c>
      <c r="N865" s="11"/>
      <c r="O865" s="9"/>
      <c r="P865" s="9">
        <f t="shared" si="482"/>
        <v>0</v>
      </c>
      <c r="Q865" s="9"/>
      <c r="R865" s="17"/>
      <c r="S865" s="17"/>
      <c r="T865" s="18"/>
      <c r="U865" s="9">
        <f t="shared" si="483"/>
        <v>0</v>
      </c>
      <c r="V865" s="9">
        <f t="shared" si="473"/>
        <v>2766529.16</v>
      </c>
      <c r="W865" s="9"/>
      <c r="X865" s="9">
        <f t="shared" si="475"/>
        <v>2766529.16</v>
      </c>
      <c r="Y865" s="8"/>
      <c r="Z865" s="9">
        <f>+E865-X865</f>
        <v>0</v>
      </c>
      <c r="AA865" s="8">
        <f>+M865+U865</f>
        <v>2766529.16</v>
      </c>
      <c r="AB865" s="8">
        <f>+E865-AA865</f>
        <v>0</v>
      </c>
    </row>
    <row r="866" spans="1:28" x14ac:dyDescent="0.3">
      <c r="A866" s="64"/>
      <c r="B866" s="8"/>
      <c r="C866" s="7" t="s">
        <v>933</v>
      </c>
      <c r="D866" s="24" t="s">
        <v>1072</v>
      </c>
      <c r="E866" s="11">
        <v>1304000</v>
      </c>
      <c r="F866" s="8">
        <v>1304000</v>
      </c>
      <c r="G866" s="11"/>
      <c r="H866" s="9">
        <f t="shared" si="481"/>
        <v>1304000</v>
      </c>
      <c r="I866" s="8"/>
      <c r="J866" s="9">
        <f t="shared" si="470"/>
        <v>1304000</v>
      </c>
      <c r="K866" s="8"/>
      <c r="L866" s="8"/>
      <c r="M866" s="9">
        <f t="shared" si="479"/>
        <v>1304000</v>
      </c>
      <c r="N866" s="11"/>
      <c r="O866" s="9"/>
      <c r="P866" s="9">
        <f t="shared" si="482"/>
        <v>0</v>
      </c>
      <c r="Q866" s="9"/>
      <c r="R866" s="17"/>
      <c r="S866" s="17"/>
      <c r="T866" s="18"/>
      <c r="U866" s="9">
        <f t="shared" si="483"/>
        <v>0</v>
      </c>
      <c r="V866" s="9">
        <f t="shared" si="473"/>
        <v>1304000</v>
      </c>
      <c r="W866" s="9"/>
      <c r="X866" s="9">
        <f t="shared" si="475"/>
        <v>1304000</v>
      </c>
      <c r="Y866" s="8"/>
      <c r="Z866" s="9">
        <f t="shared" si="476"/>
        <v>0</v>
      </c>
      <c r="AA866" s="8">
        <f t="shared" si="477"/>
        <v>1304000</v>
      </c>
      <c r="AB866" s="8">
        <f t="shared" si="478"/>
        <v>0</v>
      </c>
    </row>
    <row r="867" spans="1:28" x14ac:dyDescent="0.3">
      <c r="A867" s="64"/>
      <c r="B867" s="8"/>
      <c r="C867" s="7" t="s">
        <v>1236</v>
      </c>
      <c r="D867" s="24" t="s">
        <v>1225</v>
      </c>
      <c r="E867" s="11">
        <v>304297.23</v>
      </c>
      <c r="F867" s="11">
        <v>304297.23</v>
      </c>
      <c r="G867" s="11"/>
      <c r="H867" s="9">
        <f>+F867+G867</f>
        <v>304297.23</v>
      </c>
      <c r="I867" s="8"/>
      <c r="J867" s="9">
        <f t="shared" si="470"/>
        <v>304297.23</v>
      </c>
      <c r="K867" s="8"/>
      <c r="L867" s="8"/>
      <c r="M867" s="9">
        <f t="shared" si="479"/>
        <v>304297.23</v>
      </c>
      <c r="N867" s="11"/>
      <c r="O867" s="9"/>
      <c r="P867" s="9">
        <f>+N867+O867</f>
        <v>0</v>
      </c>
      <c r="Q867" s="9"/>
      <c r="R867" s="17"/>
      <c r="S867" s="17"/>
      <c r="T867" s="18"/>
      <c r="U867" s="9">
        <f t="shared" si="483"/>
        <v>0</v>
      </c>
      <c r="V867" s="9">
        <f t="shared" si="473"/>
        <v>304297.23</v>
      </c>
      <c r="W867" s="9"/>
      <c r="X867" s="9">
        <f t="shared" si="475"/>
        <v>304297.23</v>
      </c>
      <c r="Y867" s="8"/>
      <c r="Z867" s="9">
        <f t="shared" si="476"/>
        <v>0</v>
      </c>
      <c r="AA867" s="8">
        <f t="shared" si="477"/>
        <v>304297.23</v>
      </c>
      <c r="AB867" s="8">
        <f t="shared" si="478"/>
        <v>0</v>
      </c>
    </row>
    <row r="868" spans="1:28" x14ac:dyDescent="0.3">
      <c r="A868" s="64"/>
      <c r="B868" s="8"/>
      <c r="C868" s="7" t="s">
        <v>1203</v>
      </c>
      <c r="D868" s="24" t="s">
        <v>1126</v>
      </c>
      <c r="E868" s="11">
        <v>531979.93000000005</v>
      </c>
      <c r="F868" s="8">
        <v>531979.93000000005</v>
      </c>
      <c r="G868" s="11"/>
      <c r="H868" s="9">
        <f t="shared" si="481"/>
        <v>531979.93000000005</v>
      </c>
      <c r="I868" s="8"/>
      <c r="J868" s="9">
        <f t="shared" si="470"/>
        <v>531979.93000000005</v>
      </c>
      <c r="K868" s="8"/>
      <c r="L868" s="8"/>
      <c r="M868" s="9">
        <f t="shared" si="479"/>
        <v>531979.93000000005</v>
      </c>
      <c r="N868" s="11"/>
      <c r="O868" s="9"/>
      <c r="P868" s="9">
        <f t="shared" si="482"/>
        <v>0</v>
      </c>
      <c r="Q868" s="9"/>
      <c r="R868" s="17"/>
      <c r="S868" s="17"/>
      <c r="T868" s="18"/>
      <c r="U868" s="9">
        <f t="shared" si="483"/>
        <v>0</v>
      </c>
      <c r="V868" s="9">
        <f t="shared" si="473"/>
        <v>531979.93000000005</v>
      </c>
      <c r="W868" s="9"/>
      <c r="X868" s="9">
        <f t="shared" si="475"/>
        <v>531979.93000000005</v>
      </c>
      <c r="Y868" s="8"/>
      <c r="Z868" s="9">
        <f t="shared" si="476"/>
        <v>0</v>
      </c>
      <c r="AA868" s="8">
        <f t="shared" si="477"/>
        <v>531979.93000000005</v>
      </c>
      <c r="AB868" s="8">
        <f t="shared" si="478"/>
        <v>0</v>
      </c>
    </row>
    <row r="869" spans="1:28" x14ac:dyDescent="0.3">
      <c r="A869" s="64"/>
      <c r="B869" s="8"/>
      <c r="C869" s="7" t="s">
        <v>1228</v>
      </c>
      <c r="D869" s="24" t="s">
        <v>1225</v>
      </c>
      <c r="E869" s="11">
        <v>400000</v>
      </c>
      <c r="F869" s="8">
        <v>400000</v>
      </c>
      <c r="G869" s="11"/>
      <c r="H869" s="9">
        <f t="shared" si="481"/>
        <v>400000</v>
      </c>
      <c r="I869" s="8"/>
      <c r="J869" s="9">
        <f t="shared" si="470"/>
        <v>400000</v>
      </c>
      <c r="K869" s="8"/>
      <c r="L869" s="8"/>
      <c r="M869" s="9">
        <f t="shared" si="479"/>
        <v>400000</v>
      </c>
      <c r="N869" s="11"/>
      <c r="O869" s="9"/>
      <c r="P869" s="9">
        <f t="shared" si="482"/>
        <v>0</v>
      </c>
      <c r="Q869" s="9"/>
      <c r="R869" s="17"/>
      <c r="S869" s="17"/>
      <c r="T869" s="18"/>
      <c r="U869" s="9">
        <f t="shared" si="483"/>
        <v>0</v>
      </c>
      <c r="V869" s="9">
        <f t="shared" si="473"/>
        <v>400000</v>
      </c>
      <c r="W869" s="9"/>
      <c r="X869" s="9">
        <f t="shared" si="475"/>
        <v>400000</v>
      </c>
      <c r="Y869" s="8"/>
      <c r="Z869" s="9">
        <f t="shared" si="476"/>
        <v>0</v>
      </c>
      <c r="AA869" s="8">
        <f t="shared" si="477"/>
        <v>400000</v>
      </c>
      <c r="AB869" s="8">
        <f t="shared" si="478"/>
        <v>0</v>
      </c>
    </row>
    <row r="870" spans="1:28" x14ac:dyDescent="0.3">
      <c r="A870" s="64"/>
      <c r="B870" s="8"/>
      <c r="C870" s="7" t="s">
        <v>550</v>
      </c>
      <c r="D870" s="8"/>
      <c r="E870" s="9">
        <v>1411241</v>
      </c>
      <c r="F870" s="9">
        <v>1411241</v>
      </c>
      <c r="G870" s="8"/>
      <c r="H870" s="9">
        <f t="shared" si="469"/>
        <v>1411241</v>
      </c>
      <c r="I870" s="8"/>
      <c r="J870" s="9">
        <f t="shared" si="470"/>
        <v>1411241</v>
      </c>
      <c r="K870" s="8"/>
      <c r="L870" s="8"/>
      <c r="M870" s="9">
        <f t="shared" si="479"/>
        <v>1411241</v>
      </c>
      <c r="N870" s="8"/>
      <c r="O870" s="9"/>
      <c r="P870" s="9">
        <f t="shared" si="480"/>
        <v>0</v>
      </c>
      <c r="Q870" s="9">
        <f t="shared" si="471"/>
        <v>1411241</v>
      </c>
      <c r="R870" s="17"/>
      <c r="S870" s="17"/>
      <c r="T870" s="17"/>
      <c r="U870" s="9">
        <f t="shared" si="472"/>
        <v>0</v>
      </c>
      <c r="V870" s="9">
        <f t="shared" si="473"/>
        <v>1411241</v>
      </c>
      <c r="W870" s="9">
        <f t="shared" si="474"/>
        <v>0</v>
      </c>
      <c r="X870" s="9">
        <f t="shared" si="475"/>
        <v>1411241</v>
      </c>
      <c r="Y870" s="8"/>
      <c r="Z870" s="9">
        <f t="shared" si="476"/>
        <v>0</v>
      </c>
      <c r="AA870" s="8">
        <f t="shared" si="477"/>
        <v>1411241</v>
      </c>
      <c r="AB870" s="8">
        <f t="shared" si="478"/>
        <v>0</v>
      </c>
    </row>
    <row r="871" spans="1:28" x14ac:dyDescent="0.3">
      <c r="A871" s="64"/>
      <c r="B871" s="8"/>
      <c r="C871" s="8"/>
      <c r="D871" s="8"/>
      <c r="E871" s="17" t="s">
        <v>29</v>
      </c>
      <c r="F871" s="17" t="s">
        <v>29</v>
      </c>
      <c r="G871" s="17" t="s">
        <v>29</v>
      </c>
      <c r="H871" s="17" t="s">
        <v>29</v>
      </c>
      <c r="I871" s="17" t="s">
        <v>29</v>
      </c>
      <c r="J871" s="17" t="s">
        <v>29</v>
      </c>
      <c r="K871" s="17" t="s">
        <v>29</v>
      </c>
      <c r="L871" s="17" t="s">
        <v>29</v>
      </c>
      <c r="M871" s="17" t="s">
        <v>29</v>
      </c>
      <c r="N871" s="17" t="s">
        <v>29</v>
      </c>
      <c r="O871" s="17" t="s">
        <v>29</v>
      </c>
      <c r="P871" s="17" t="s">
        <v>29</v>
      </c>
      <c r="Q871" s="17" t="s">
        <v>29</v>
      </c>
      <c r="R871" s="17" t="s">
        <v>29</v>
      </c>
      <c r="S871" s="17" t="s">
        <v>29</v>
      </c>
      <c r="T871" s="17" t="s">
        <v>29</v>
      </c>
      <c r="U871" s="17" t="s">
        <v>29</v>
      </c>
      <c r="V871" s="17" t="s">
        <v>29</v>
      </c>
      <c r="W871" s="17" t="s">
        <v>29</v>
      </c>
      <c r="X871" s="17" t="s">
        <v>29</v>
      </c>
      <c r="Y871" s="17" t="s">
        <v>29</v>
      </c>
      <c r="Z871" s="17" t="s">
        <v>29</v>
      </c>
      <c r="AA871" s="17" t="s">
        <v>29</v>
      </c>
      <c r="AB871" s="17" t="s">
        <v>29</v>
      </c>
    </row>
    <row r="872" spans="1:28" x14ac:dyDescent="0.3">
      <c r="A872" s="64"/>
      <c r="B872" s="8"/>
      <c r="C872" s="8"/>
      <c r="D872" s="8"/>
      <c r="E872" s="9">
        <f t="shared" ref="E872:Q872" si="484">SUM(E847:E871)</f>
        <v>43876553.859999999</v>
      </c>
      <c r="F872" s="9">
        <f t="shared" si="484"/>
        <v>37392230.029999994</v>
      </c>
      <c r="G872" s="9">
        <f t="shared" si="484"/>
        <v>0</v>
      </c>
      <c r="H872" s="9">
        <f t="shared" si="484"/>
        <v>37392230.029999994</v>
      </c>
      <c r="I872" s="9">
        <f t="shared" si="484"/>
        <v>0</v>
      </c>
      <c r="J872" s="9">
        <f t="shared" si="484"/>
        <v>37392230.029999994</v>
      </c>
      <c r="K872" s="9">
        <f t="shared" si="484"/>
        <v>6399693.3399999999</v>
      </c>
      <c r="L872" s="9">
        <f t="shared" si="484"/>
        <v>0</v>
      </c>
      <c r="M872" s="9">
        <f t="shared" si="484"/>
        <v>37392230.029999994</v>
      </c>
      <c r="N872" s="9">
        <f t="shared" si="484"/>
        <v>6399693.3399999999</v>
      </c>
      <c r="O872" s="9">
        <f t="shared" si="484"/>
        <v>0</v>
      </c>
      <c r="P872" s="9">
        <f t="shared" si="484"/>
        <v>6399693.3399999999</v>
      </c>
      <c r="Q872" s="9">
        <f t="shared" si="484"/>
        <v>31574805.300000001</v>
      </c>
      <c r="R872" s="17"/>
      <c r="S872" s="17"/>
      <c r="T872" s="9">
        <f t="shared" ref="T872:Z872" si="485">SUM(T847:T871)</f>
        <v>84630.49</v>
      </c>
      <c r="U872" s="9">
        <f t="shared" si="485"/>
        <v>6484323.8300000001</v>
      </c>
      <c r="V872" s="9">
        <f t="shared" si="485"/>
        <v>43791923.370000005</v>
      </c>
      <c r="W872" s="9">
        <f t="shared" si="485"/>
        <v>84630.489999999991</v>
      </c>
      <c r="X872" s="9">
        <f t="shared" si="485"/>
        <v>43791923.370000005</v>
      </c>
      <c r="Y872" s="9">
        <f t="shared" si="485"/>
        <v>0</v>
      </c>
      <c r="Z872" s="9">
        <f t="shared" si="485"/>
        <v>84630.489999999991</v>
      </c>
      <c r="AA872" s="9">
        <f>SUM(AA847:AA871)</f>
        <v>43876553.859999999</v>
      </c>
      <c r="AB872" s="9">
        <f>SUM(AB847:AB871)</f>
        <v>0</v>
      </c>
    </row>
    <row r="873" spans="1:28" x14ac:dyDescent="0.3">
      <c r="A873" s="64"/>
      <c r="B873" s="8"/>
      <c r="C873" s="8"/>
      <c r="D873" s="8"/>
      <c r="E873" s="17" t="s">
        <v>29</v>
      </c>
      <c r="F873" s="17" t="s">
        <v>29</v>
      </c>
      <c r="G873" s="17" t="s">
        <v>29</v>
      </c>
      <c r="H873" s="17" t="s">
        <v>29</v>
      </c>
      <c r="I873" s="17" t="s">
        <v>29</v>
      </c>
      <c r="J873" s="17" t="s">
        <v>29</v>
      </c>
      <c r="K873" s="17" t="s">
        <v>29</v>
      </c>
      <c r="L873" s="17" t="s">
        <v>29</v>
      </c>
      <c r="M873" s="17" t="s">
        <v>29</v>
      </c>
      <c r="N873" s="17" t="s">
        <v>29</v>
      </c>
      <c r="O873" s="17" t="s">
        <v>29</v>
      </c>
      <c r="P873" s="17" t="s">
        <v>29</v>
      </c>
      <c r="Q873" s="17" t="s">
        <v>29</v>
      </c>
      <c r="R873" s="17" t="s">
        <v>29</v>
      </c>
      <c r="S873" s="17" t="s">
        <v>29</v>
      </c>
      <c r="T873" s="17" t="s">
        <v>29</v>
      </c>
      <c r="U873" s="17" t="s">
        <v>29</v>
      </c>
      <c r="V873" s="17" t="s">
        <v>29</v>
      </c>
      <c r="W873" s="17" t="s">
        <v>29</v>
      </c>
      <c r="X873" s="17" t="s">
        <v>29</v>
      </c>
      <c r="Y873" s="17" t="s">
        <v>29</v>
      </c>
      <c r="Z873" s="17" t="s">
        <v>29</v>
      </c>
      <c r="AA873" s="17" t="s">
        <v>29</v>
      </c>
      <c r="AB873" s="17" t="s">
        <v>29</v>
      </c>
    </row>
    <row r="874" spans="1:28" x14ac:dyDescent="0.3">
      <c r="A874" s="63" t="s">
        <v>978</v>
      </c>
      <c r="B874" s="7" t="s">
        <v>653</v>
      </c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17"/>
      <c r="S874" s="17"/>
      <c r="T874" s="17"/>
      <c r="U874" s="17"/>
      <c r="V874" s="17"/>
      <c r="W874" s="17"/>
      <c r="X874" s="17"/>
      <c r="Y874" s="17"/>
      <c r="Z874" s="17"/>
      <c r="AA874" s="58"/>
    </row>
    <row r="875" spans="1:28" x14ac:dyDescent="0.3">
      <c r="A875" s="64"/>
      <c r="B875" s="8"/>
      <c r="C875" s="7" t="s">
        <v>539</v>
      </c>
      <c r="D875" s="15" t="s">
        <v>68</v>
      </c>
      <c r="E875" s="9">
        <f>1584004.25+161753.25</f>
        <v>1745757.5</v>
      </c>
      <c r="F875" s="8"/>
      <c r="G875" s="8"/>
      <c r="H875" s="9">
        <f t="shared" ref="H875:H893" si="486">F875+G875</f>
        <v>0</v>
      </c>
      <c r="I875" s="8"/>
      <c r="J875" s="9">
        <f t="shared" ref="J875:J893" si="487">H875+I875</f>
        <v>0</v>
      </c>
      <c r="K875" s="9">
        <v>1745757.5</v>
      </c>
      <c r="L875" s="8"/>
      <c r="M875" s="9">
        <f>+H875+L875</f>
        <v>0</v>
      </c>
      <c r="N875" s="8">
        <v>1745757.5</v>
      </c>
      <c r="O875" s="9"/>
      <c r="P875" s="9">
        <f>+N875+O875</f>
        <v>1745757.5</v>
      </c>
      <c r="Q875" s="9">
        <f t="shared" ref="Q875:Q893" si="488">E875-P875</f>
        <v>0</v>
      </c>
      <c r="R875" s="17"/>
      <c r="S875" s="17"/>
      <c r="T875" s="17"/>
      <c r="U875" s="9">
        <f t="shared" ref="U875:U893" si="489">P875+T875</f>
        <v>1745757.5</v>
      </c>
      <c r="V875" s="9">
        <f t="shared" ref="V875:V893" si="490">P875+H875</f>
        <v>1745757.5</v>
      </c>
      <c r="W875" s="9">
        <f t="shared" ref="W875:W893" si="491">E875-V875</f>
        <v>0</v>
      </c>
      <c r="X875" s="9">
        <f t="shared" ref="X875:X893" si="492">+H875+P875</f>
        <v>1745757.5</v>
      </c>
      <c r="Y875" s="8"/>
      <c r="Z875" s="9">
        <f t="shared" ref="Z875:Z893" si="493">+E875-X875</f>
        <v>0</v>
      </c>
      <c r="AA875" s="8">
        <f t="shared" ref="AA875:AA893" si="494">+M875+U875</f>
        <v>1745757.5</v>
      </c>
      <c r="AB875" s="8">
        <f t="shared" ref="AB875:AB893" si="495">+E875-AA875</f>
        <v>0</v>
      </c>
    </row>
    <row r="876" spans="1:28" x14ac:dyDescent="0.3">
      <c r="A876" s="64"/>
      <c r="B876" s="8"/>
      <c r="C876" s="7" t="s">
        <v>535</v>
      </c>
      <c r="D876" s="15" t="s">
        <v>68</v>
      </c>
      <c r="E876" s="9">
        <f>654550-20550</f>
        <v>634000</v>
      </c>
      <c r="F876" s="9">
        <v>634000</v>
      </c>
      <c r="G876" s="8"/>
      <c r="H876" s="9">
        <f t="shared" si="486"/>
        <v>634000</v>
      </c>
      <c r="I876" s="8"/>
      <c r="J876" s="9">
        <f t="shared" si="487"/>
        <v>634000</v>
      </c>
      <c r="K876" s="8"/>
      <c r="L876" s="8"/>
      <c r="M876" s="9">
        <f t="shared" ref="M876:M893" si="496">+H876+L876</f>
        <v>634000</v>
      </c>
      <c r="N876" s="8"/>
      <c r="O876" s="9"/>
      <c r="P876" s="9">
        <f t="shared" ref="P876:P893" si="497">+N876+O876</f>
        <v>0</v>
      </c>
      <c r="Q876" s="9">
        <f t="shared" si="488"/>
        <v>634000</v>
      </c>
      <c r="R876" s="17"/>
      <c r="S876" s="17"/>
      <c r="T876" s="17"/>
      <c r="U876" s="9">
        <f t="shared" si="489"/>
        <v>0</v>
      </c>
      <c r="V876" s="9">
        <f t="shared" si="490"/>
        <v>634000</v>
      </c>
      <c r="W876" s="9">
        <f t="shared" si="491"/>
        <v>0</v>
      </c>
      <c r="X876" s="9">
        <f t="shared" si="492"/>
        <v>634000</v>
      </c>
      <c r="Y876" s="8"/>
      <c r="Z876" s="9">
        <f t="shared" si="493"/>
        <v>0</v>
      </c>
      <c r="AA876" s="8">
        <f t="shared" si="494"/>
        <v>634000</v>
      </c>
      <c r="AB876" s="8">
        <f t="shared" si="495"/>
        <v>0</v>
      </c>
    </row>
    <row r="877" spans="1:28" x14ac:dyDescent="0.3">
      <c r="A877" s="64"/>
      <c r="B877" s="8"/>
      <c r="C877" s="7" t="s">
        <v>535</v>
      </c>
      <c r="D877" s="15" t="s">
        <v>54</v>
      </c>
      <c r="E877" s="9">
        <v>298000</v>
      </c>
      <c r="F877" s="9">
        <v>298000</v>
      </c>
      <c r="G877" s="8"/>
      <c r="H877" s="9">
        <f t="shared" si="486"/>
        <v>298000</v>
      </c>
      <c r="I877" s="8"/>
      <c r="J877" s="9">
        <f t="shared" si="487"/>
        <v>298000</v>
      </c>
      <c r="K877" s="8"/>
      <c r="L877" s="8"/>
      <c r="M877" s="9">
        <f t="shared" si="496"/>
        <v>298000</v>
      </c>
      <c r="N877" s="8"/>
      <c r="O877" s="9"/>
      <c r="P877" s="9">
        <f t="shared" si="497"/>
        <v>0</v>
      </c>
      <c r="Q877" s="9">
        <f t="shared" si="488"/>
        <v>298000</v>
      </c>
      <c r="R877" s="17"/>
      <c r="S877" s="17"/>
      <c r="T877" s="17"/>
      <c r="U877" s="9">
        <f t="shared" si="489"/>
        <v>0</v>
      </c>
      <c r="V877" s="9">
        <f t="shared" si="490"/>
        <v>298000</v>
      </c>
      <c r="W877" s="9">
        <f t="shared" si="491"/>
        <v>0</v>
      </c>
      <c r="X877" s="9">
        <f t="shared" si="492"/>
        <v>298000</v>
      </c>
      <c r="Y877" s="8"/>
      <c r="Z877" s="9">
        <f t="shared" si="493"/>
        <v>0</v>
      </c>
      <c r="AA877" s="8">
        <f t="shared" si="494"/>
        <v>298000</v>
      </c>
      <c r="AB877" s="8">
        <f t="shared" si="495"/>
        <v>0</v>
      </c>
    </row>
    <row r="878" spans="1:28" x14ac:dyDescent="0.3">
      <c r="A878" s="64"/>
      <c r="B878" s="8"/>
      <c r="C878" s="7" t="s">
        <v>654</v>
      </c>
      <c r="D878" s="15" t="s">
        <v>54</v>
      </c>
      <c r="E878" s="9">
        <f>3895000-8674</f>
        <v>3886326</v>
      </c>
      <c r="F878" s="9">
        <f>3007924+226096+652306</f>
        <v>3886326</v>
      </c>
      <c r="G878" s="8"/>
      <c r="H878" s="9">
        <f t="shared" si="486"/>
        <v>3886326</v>
      </c>
      <c r="I878" s="8"/>
      <c r="J878" s="9">
        <f t="shared" si="487"/>
        <v>3886326</v>
      </c>
      <c r="K878" s="8"/>
      <c r="L878" s="8"/>
      <c r="M878" s="9">
        <f t="shared" si="496"/>
        <v>3886326</v>
      </c>
      <c r="N878" s="8"/>
      <c r="O878" s="9"/>
      <c r="P878" s="9">
        <f t="shared" si="497"/>
        <v>0</v>
      </c>
      <c r="Q878" s="9">
        <f t="shared" si="488"/>
        <v>3886326</v>
      </c>
      <c r="R878" s="17"/>
      <c r="S878" s="17"/>
      <c r="T878" s="17"/>
      <c r="U878" s="9">
        <f t="shared" si="489"/>
        <v>0</v>
      </c>
      <c r="V878" s="9">
        <f t="shared" si="490"/>
        <v>3886326</v>
      </c>
      <c r="W878" s="9">
        <f t="shared" si="491"/>
        <v>0</v>
      </c>
      <c r="X878" s="9">
        <f t="shared" si="492"/>
        <v>3886326</v>
      </c>
      <c r="Y878" s="8"/>
      <c r="Z878" s="9">
        <f t="shared" si="493"/>
        <v>0</v>
      </c>
      <c r="AA878" s="8">
        <f t="shared" si="494"/>
        <v>3886326</v>
      </c>
      <c r="AB878" s="8">
        <f t="shared" si="495"/>
        <v>0</v>
      </c>
    </row>
    <row r="879" spans="1:28" x14ac:dyDescent="0.3">
      <c r="A879" s="64"/>
      <c r="B879" s="8"/>
      <c r="C879" s="7" t="s">
        <v>545</v>
      </c>
      <c r="D879" s="15" t="s">
        <v>54</v>
      </c>
      <c r="E879" s="9">
        <v>2306106</v>
      </c>
      <c r="F879" s="8"/>
      <c r="G879" s="8"/>
      <c r="H879" s="9">
        <f t="shared" si="486"/>
        <v>0</v>
      </c>
      <c r="I879" s="8"/>
      <c r="J879" s="9">
        <f t="shared" si="487"/>
        <v>0</v>
      </c>
      <c r="K879" s="9">
        <v>2306106</v>
      </c>
      <c r="L879" s="8"/>
      <c r="M879" s="9">
        <f t="shared" si="496"/>
        <v>0</v>
      </c>
      <c r="N879" s="8">
        <v>2306106</v>
      </c>
      <c r="O879" s="9"/>
      <c r="P879" s="9">
        <f t="shared" si="497"/>
        <v>2306106</v>
      </c>
      <c r="Q879" s="9">
        <f t="shared" si="488"/>
        <v>0</v>
      </c>
      <c r="R879" s="17"/>
      <c r="S879" s="17"/>
      <c r="T879" s="17"/>
      <c r="U879" s="9">
        <f t="shared" si="489"/>
        <v>2306106</v>
      </c>
      <c r="V879" s="9">
        <f t="shared" si="490"/>
        <v>2306106</v>
      </c>
      <c r="W879" s="9">
        <f t="shared" si="491"/>
        <v>0</v>
      </c>
      <c r="X879" s="9">
        <f t="shared" si="492"/>
        <v>2306106</v>
      </c>
      <c r="Y879" s="8"/>
      <c r="Z879" s="9">
        <f t="shared" si="493"/>
        <v>0</v>
      </c>
      <c r="AA879" s="8">
        <f t="shared" si="494"/>
        <v>2306106</v>
      </c>
      <c r="AB879" s="8">
        <f t="shared" si="495"/>
        <v>0</v>
      </c>
    </row>
    <row r="880" spans="1:28" x14ac:dyDescent="0.3">
      <c r="A880" s="64"/>
      <c r="B880" s="8"/>
      <c r="C880" s="7" t="s">
        <v>655</v>
      </c>
      <c r="D880" s="15" t="s">
        <v>54</v>
      </c>
      <c r="E880" s="9">
        <v>955345.62</v>
      </c>
      <c r="F880" s="8"/>
      <c r="G880" s="8"/>
      <c r="H880" s="9">
        <f t="shared" si="486"/>
        <v>0</v>
      </c>
      <c r="I880" s="8"/>
      <c r="J880" s="9">
        <f t="shared" si="487"/>
        <v>0</v>
      </c>
      <c r="K880" s="9">
        <v>955345.62</v>
      </c>
      <c r="L880" s="8"/>
      <c r="M880" s="9">
        <f t="shared" si="496"/>
        <v>0</v>
      </c>
      <c r="N880" s="8">
        <v>955345.62</v>
      </c>
      <c r="O880" s="9"/>
      <c r="P880" s="9">
        <f t="shared" si="497"/>
        <v>955345.62</v>
      </c>
      <c r="Q880" s="9">
        <f t="shared" si="488"/>
        <v>0</v>
      </c>
      <c r="R880" s="17"/>
      <c r="S880" s="17"/>
      <c r="T880" s="17"/>
      <c r="U880" s="9">
        <f t="shared" si="489"/>
        <v>955345.62</v>
      </c>
      <c r="V880" s="9">
        <f t="shared" si="490"/>
        <v>955345.62</v>
      </c>
      <c r="W880" s="9">
        <f t="shared" si="491"/>
        <v>0</v>
      </c>
      <c r="X880" s="9">
        <f t="shared" si="492"/>
        <v>955345.62</v>
      </c>
      <c r="Y880" s="8"/>
      <c r="Z880" s="9">
        <f t="shared" si="493"/>
        <v>0</v>
      </c>
      <c r="AA880" s="8">
        <f t="shared" si="494"/>
        <v>955345.62</v>
      </c>
      <c r="AB880" s="8">
        <f t="shared" si="495"/>
        <v>0</v>
      </c>
    </row>
    <row r="881" spans="1:28" x14ac:dyDescent="0.3">
      <c r="A881" s="64"/>
      <c r="B881" s="8"/>
      <c r="C881" s="7" t="s">
        <v>535</v>
      </c>
      <c r="D881" s="15" t="s">
        <v>85</v>
      </c>
      <c r="E881" s="9">
        <f>380000-38000</f>
        <v>342000</v>
      </c>
      <c r="F881" s="9">
        <v>342000</v>
      </c>
      <c r="G881" s="8"/>
      <c r="H881" s="9">
        <f t="shared" si="486"/>
        <v>342000</v>
      </c>
      <c r="I881" s="8"/>
      <c r="J881" s="9">
        <f t="shared" si="487"/>
        <v>342000</v>
      </c>
      <c r="K881" s="8"/>
      <c r="L881" s="8"/>
      <c r="M881" s="9">
        <f t="shared" si="496"/>
        <v>342000</v>
      </c>
      <c r="N881" s="8"/>
      <c r="O881" s="9"/>
      <c r="P881" s="9">
        <f t="shared" si="497"/>
        <v>0</v>
      </c>
      <c r="Q881" s="9">
        <f t="shared" si="488"/>
        <v>342000</v>
      </c>
      <c r="R881" s="17"/>
      <c r="S881" s="17"/>
      <c r="T881" s="17"/>
      <c r="U881" s="9">
        <f t="shared" si="489"/>
        <v>0</v>
      </c>
      <c r="V881" s="9">
        <f t="shared" si="490"/>
        <v>342000</v>
      </c>
      <c r="W881" s="9">
        <f t="shared" si="491"/>
        <v>0</v>
      </c>
      <c r="X881" s="9">
        <f t="shared" si="492"/>
        <v>342000</v>
      </c>
      <c r="Y881" s="8"/>
      <c r="Z881" s="9">
        <f t="shared" si="493"/>
        <v>0</v>
      </c>
      <c r="AA881" s="8">
        <f t="shared" si="494"/>
        <v>342000</v>
      </c>
      <c r="AB881" s="8">
        <f t="shared" si="495"/>
        <v>0</v>
      </c>
    </row>
    <row r="882" spans="1:28" x14ac:dyDescent="0.3">
      <c r="A882" s="64"/>
      <c r="B882" s="8"/>
      <c r="C882" s="7" t="s">
        <v>654</v>
      </c>
      <c r="D882" s="15" t="s">
        <v>85</v>
      </c>
      <c r="E882" s="9">
        <v>3200000</v>
      </c>
      <c r="F882" s="9">
        <f>2675841+524159</f>
        <v>3200000</v>
      </c>
      <c r="G882" s="8"/>
      <c r="H882" s="9">
        <f t="shared" si="486"/>
        <v>3200000</v>
      </c>
      <c r="I882" s="8"/>
      <c r="J882" s="9">
        <f t="shared" si="487"/>
        <v>3200000</v>
      </c>
      <c r="K882" s="8"/>
      <c r="L882" s="8"/>
      <c r="M882" s="9">
        <f t="shared" si="496"/>
        <v>3200000</v>
      </c>
      <c r="N882" s="8"/>
      <c r="O882" s="9"/>
      <c r="P882" s="9">
        <f t="shared" si="497"/>
        <v>0</v>
      </c>
      <c r="Q882" s="9">
        <f t="shared" si="488"/>
        <v>3200000</v>
      </c>
      <c r="R882" s="17"/>
      <c r="S882" s="17"/>
      <c r="T882" s="17"/>
      <c r="U882" s="9">
        <f t="shared" si="489"/>
        <v>0</v>
      </c>
      <c r="V882" s="9">
        <f t="shared" si="490"/>
        <v>3200000</v>
      </c>
      <c r="W882" s="9">
        <f t="shared" si="491"/>
        <v>0</v>
      </c>
      <c r="X882" s="9">
        <f t="shared" si="492"/>
        <v>3200000</v>
      </c>
      <c r="Y882" s="8"/>
      <c r="Z882" s="9">
        <f t="shared" si="493"/>
        <v>0</v>
      </c>
      <c r="AA882" s="8">
        <f t="shared" si="494"/>
        <v>3200000</v>
      </c>
      <c r="AB882" s="8">
        <f t="shared" si="495"/>
        <v>0</v>
      </c>
    </row>
    <row r="883" spans="1:28" x14ac:dyDescent="0.3">
      <c r="A883" s="64"/>
      <c r="B883" s="8"/>
      <c r="C883" s="7" t="s">
        <v>535</v>
      </c>
      <c r="D883" s="15" t="s">
        <v>128</v>
      </c>
      <c r="E883" s="9">
        <v>2000000</v>
      </c>
      <c r="F883" s="9">
        <v>2000000</v>
      </c>
      <c r="G883" s="8"/>
      <c r="H883" s="9">
        <f t="shared" si="486"/>
        <v>2000000</v>
      </c>
      <c r="I883" s="8"/>
      <c r="J883" s="9">
        <f t="shared" si="487"/>
        <v>2000000</v>
      </c>
      <c r="K883" s="8"/>
      <c r="L883" s="8"/>
      <c r="M883" s="9">
        <f t="shared" si="496"/>
        <v>2000000</v>
      </c>
      <c r="N883" s="8"/>
      <c r="O883" s="9"/>
      <c r="P883" s="9">
        <f t="shared" si="497"/>
        <v>0</v>
      </c>
      <c r="Q883" s="9">
        <f t="shared" si="488"/>
        <v>2000000</v>
      </c>
      <c r="R883" s="17"/>
      <c r="S883" s="17"/>
      <c r="T883" s="17"/>
      <c r="U883" s="9">
        <f t="shared" si="489"/>
        <v>0</v>
      </c>
      <c r="V883" s="9">
        <f t="shared" si="490"/>
        <v>2000000</v>
      </c>
      <c r="W883" s="9">
        <f t="shared" si="491"/>
        <v>0</v>
      </c>
      <c r="X883" s="9">
        <f t="shared" si="492"/>
        <v>2000000</v>
      </c>
      <c r="Y883" s="8"/>
      <c r="Z883" s="9">
        <f t="shared" si="493"/>
        <v>0</v>
      </c>
      <c r="AA883" s="8">
        <f t="shared" si="494"/>
        <v>2000000</v>
      </c>
      <c r="AB883" s="8">
        <f t="shared" si="495"/>
        <v>0</v>
      </c>
    </row>
    <row r="884" spans="1:28" x14ac:dyDescent="0.3">
      <c r="A884" s="64"/>
      <c r="B884" s="8"/>
      <c r="C884" s="7" t="s">
        <v>656</v>
      </c>
      <c r="D884" s="15" t="s">
        <v>128</v>
      </c>
      <c r="E884" s="9">
        <v>400000</v>
      </c>
      <c r="F884" s="9">
        <v>400000</v>
      </c>
      <c r="G884" s="8"/>
      <c r="H884" s="9">
        <f t="shared" si="486"/>
        <v>400000</v>
      </c>
      <c r="I884" s="8"/>
      <c r="J884" s="9">
        <f t="shared" si="487"/>
        <v>400000</v>
      </c>
      <c r="K884" s="8"/>
      <c r="L884" s="8"/>
      <c r="M884" s="9">
        <f t="shared" si="496"/>
        <v>400000</v>
      </c>
      <c r="N884" s="8"/>
      <c r="O884" s="9"/>
      <c r="P884" s="9">
        <f t="shared" si="497"/>
        <v>0</v>
      </c>
      <c r="Q884" s="9">
        <f t="shared" si="488"/>
        <v>400000</v>
      </c>
      <c r="R884" s="17"/>
      <c r="S884" s="17"/>
      <c r="T884" s="17"/>
      <c r="U884" s="9">
        <f t="shared" si="489"/>
        <v>0</v>
      </c>
      <c r="V884" s="9">
        <f t="shared" si="490"/>
        <v>400000</v>
      </c>
      <c r="W884" s="9">
        <f t="shared" si="491"/>
        <v>0</v>
      </c>
      <c r="X884" s="9">
        <f t="shared" si="492"/>
        <v>400000</v>
      </c>
      <c r="Y884" s="8"/>
      <c r="Z884" s="9">
        <f t="shared" si="493"/>
        <v>0</v>
      </c>
      <c r="AA884" s="8">
        <f t="shared" si="494"/>
        <v>400000</v>
      </c>
      <c r="AB884" s="8">
        <f t="shared" si="495"/>
        <v>0</v>
      </c>
    </row>
    <row r="885" spans="1:28" x14ac:dyDescent="0.3">
      <c r="A885" s="64"/>
      <c r="B885" s="8"/>
      <c r="C885" s="7" t="s">
        <v>535</v>
      </c>
      <c r="D885" s="15" t="s">
        <v>108</v>
      </c>
      <c r="E885" s="9">
        <v>2778435.43</v>
      </c>
      <c r="F885" s="9">
        <v>2778435.43</v>
      </c>
      <c r="G885" s="8"/>
      <c r="H885" s="9">
        <f t="shared" si="486"/>
        <v>2778435.43</v>
      </c>
      <c r="I885" s="8"/>
      <c r="J885" s="9">
        <f t="shared" si="487"/>
        <v>2778435.43</v>
      </c>
      <c r="K885" s="8"/>
      <c r="L885" s="8"/>
      <c r="M885" s="9">
        <f t="shared" si="496"/>
        <v>2778435.43</v>
      </c>
      <c r="N885" s="8"/>
      <c r="O885" s="9"/>
      <c r="P885" s="9">
        <f t="shared" si="497"/>
        <v>0</v>
      </c>
      <c r="Q885" s="9">
        <f t="shared" si="488"/>
        <v>2778435.43</v>
      </c>
      <c r="R885" s="17"/>
      <c r="S885" s="17"/>
      <c r="T885" s="17"/>
      <c r="U885" s="9">
        <f t="shared" si="489"/>
        <v>0</v>
      </c>
      <c r="V885" s="9">
        <f t="shared" si="490"/>
        <v>2778435.43</v>
      </c>
      <c r="W885" s="9">
        <f t="shared" si="491"/>
        <v>0</v>
      </c>
      <c r="X885" s="9">
        <f t="shared" si="492"/>
        <v>2778435.43</v>
      </c>
      <c r="Y885" s="8"/>
      <c r="Z885" s="9">
        <f t="shared" si="493"/>
        <v>0</v>
      </c>
      <c r="AA885" s="8">
        <f t="shared" si="494"/>
        <v>2778435.43</v>
      </c>
      <c r="AB885" s="8">
        <f t="shared" si="495"/>
        <v>0</v>
      </c>
    </row>
    <row r="886" spans="1:28" x14ac:dyDescent="0.3">
      <c r="A886" s="64"/>
      <c r="B886" s="8"/>
      <c r="C886" s="7" t="s">
        <v>535</v>
      </c>
      <c r="D886" s="15" t="s">
        <v>60</v>
      </c>
      <c r="E886" s="9">
        <v>2957670</v>
      </c>
      <c r="F886" s="9">
        <v>2957670</v>
      </c>
      <c r="G886" s="8"/>
      <c r="H886" s="9">
        <f t="shared" si="486"/>
        <v>2957670</v>
      </c>
      <c r="I886" s="8"/>
      <c r="J886" s="9">
        <f t="shared" si="487"/>
        <v>2957670</v>
      </c>
      <c r="K886" s="8"/>
      <c r="L886" s="8"/>
      <c r="M886" s="9">
        <f t="shared" si="496"/>
        <v>2957670</v>
      </c>
      <c r="N886" s="8"/>
      <c r="O886" s="9"/>
      <c r="P886" s="9">
        <f t="shared" si="497"/>
        <v>0</v>
      </c>
      <c r="Q886" s="9">
        <f t="shared" si="488"/>
        <v>2957670</v>
      </c>
      <c r="R886" s="17"/>
      <c r="S886" s="17"/>
      <c r="T886" s="17"/>
      <c r="U886" s="9">
        <f t="shared" si="489"/>
        <v>0</v>
      </c>
      <c r="V886" s="9">
        <f t="shared" si="490"/>
        <v>2957670</v>
      </c>
      <c r="W886" s="9">
        <f t="shared" si="491"/>
        <v>0</v>
      </c>
      <c r="X886" s="9">
        <f t="shared" si="492"/>
        <v>2957670</v>
      </c>
      <c r="Y886" s="8"/>
      <c r="Z886" s="9">
        <f t="shared" si="493"/>
        <v>0</v>
      </c>
      <c r="AA886" s="8">
        <f t="shared" si="494"/>
        <v>2957670</v>
      </c>
      <c r="AB886" s="8">
        <f t="shared" si="495"/>
        <v>0</v>
      </c>
    </row>
    <row r="887" spans="1:28" x14ac:dyDescent="0.3">
      <c r="A887" s="64"/>
      <c r="B887" s="8"/>
      <c r="C887" s="7" t="s">
        <v>535</v>
      </c>
      <c r="D887" s="15" t="s">
        <v>61</v>
      </c>
      <c r="E887" s="11">
        <v>1326960</v>
      </c>
      <c r="F887" s="11">
        <v>1326960</v>
      </c>
      <c r="G887" s="8"/>
      <c r="H887" s="9">
        <f t="shared" si="486"/>
        <v>1326960</v>
      </c>
      <c r="I887" s="8"/>
      <c r="J887" s="9">
        <f t="shared" si="487"/>
        <v>1326960</v>
      </c>
      <c r="K887" s="8"/>
      <c r="L887" s="8"/>
      <c r="M887" s="9">
        <f t="shared" si="496"/>
        <v>1326960</v>
      </c>
      <c r="N887" s="8"/>
      <c r="O887" s="9"/>
      <c r="P887" s="9">
        <f t="shared" si="497"/>
        <v>0</v>
      </c>
      <c r="Q887" s="9">
        <f t="shared" si="488"/>
        <v>1326960</v>
      </c>
      <c r="R887" s="17"/>
      <c r="S887" s="17"/>
      <c r="T887" s="17"/>
      <c r="U887" s="9">
        <f t="shared" si="489"/>
        <v>0</v>
      </c>
      <c r="V887" s="9">
        <f t="shared" si="490"/>
        <v>1326960</v>
      </c>
      <c r="W887" s="9">
        <f t="shared" si="491"/>
        <v>0</v>
      </c>
      <c r="X887" s="9">
        <f t="shared" si="492"/>
        <v>1326960</v>
      </c>
      <c r="Y887" s="8"/>
      <c r="Z887" s="9">
        <f t="shared" si="493"/>
        <v>0</v>
      </c>
      <c r="AA887" s="8">
        <f t="shared" si="494"/>
        <v>1326960</v>
      </c>
      <c r="AB887" s="8">
        <f t="shared" si="495"/>
        <v>0</v>
      </c>
    </row>
    <row r="888" spans="1:28" x14ac:dyDescent="0.3">
      <c r="A888" s="64"/>
      <c r="B888" s="8"/>
      <c r="C888" s="7" t="s">
        <v>1093</v>
      </c>
      <c r="D888" s="16" t="s">
        <v>1072</v>
      </c>
      <c r="E888" s="11">
        <v>300000</v>
      </c>
      <c r="F888" s="11">
        <v>300000</v>
      </c>
      <c r="G888" s="8"/>
      <c r="H888" s="9">
        <f>+F888+G888</f>
        <v>300000</v>
      </c>
      <c r="I888" s="8"/>
      <c r="J888" s="9"/>
      <c r="K888" s="8"/>
      <c r="L888" s="8"/>
      <c r="M888" s="9">
        <f>+H888+L888</f>
        <v>300000</v>
      </c>
      <c r="N888" s="8"/>
      <c r="O888" s="9"/>
      <c r="P888" s="9">
        <f t="shared" si="497"/>
        <v>0</v>
      </c>
      <c r="Q888" s="9"/>
      <c r="R888" s="17"/>
      <c r="S888" s="17"/>
      <c r="T888" s="17"/>
      <c r="U888" s="9">
        <f>+P888+T888</f>
        <v>0</v>
      </c>
      <c r="V888" s="9"/>
      <c r="W888" s="9"/>
      <c r="X888" s="9">
        <f t="shared" si="492"/>
        <v>300000</v>
      </c>
      <c r="Y888" s="8"/>
      <c r="Z888" s="9">
        <f t="shared" si="493"/>
        <v>0</v>
      </c>
      <c r="AA888" s="8">
        <f t="shared" si="494"/>
        <v>300000</v>
      </c>
      <c r="AB888" s="8">
        <f t="shared" si="495"/>
        <v>0</v>
      </c>
    </row>
    <row r="889" spans="1:28" x14ac:dyDescent="0.3">
      <c r="A889" s="64"/>
      <c r="B889" s="8"/>
      <c r="C889" s="7" t="s">
        <v>933</v>
      </c>
      <c r="D889" s="16" t="s">
        <v>1072</v>
      </c>
      <c r="E889" s="11">
        <f>1109000</f>
        <v>1109000</v>
      </c>
      <c r="F889" s="11">
        <v>1109000</v>
      </c>
      <c r="G889" s="8"/>
      <c r="H889" s="9">
        <f>+F889+G889</f>
        <v>1109000</v>
      </c>
      <c r="I889" s="8"/>
      <c r="J889" s="9"/>
      <c r="K889" s="8"/>
      <c r="L889" s="8"/>
      <c r="M889" s="9">
        <f>+H889+L889</f>
        <v>1109000</v>
      </c>
      <c r="N889" s="8"/>
      <c r="O889" s="9"/>
      <c r="P889" s="9">
        <f>+N889+O889</f>
        <v>0</v>
      </c>
      <c r="Q889" s="9"/>
      <c r="R889" s="17"/>
      <c r="S889" s="17"/>
      <c r="T889" s="17"/>
      <c r="U889" s="9">
        <f>+P889+T889</f>
        <v>0</v>
      </c>
      <c r="V889" s="9"/>
      <c r="W889" s="9"/>
      <c r="X889" s="9">
        <f t="shared" si="492"/>
        <v>1109000</v>
      </c>
      <c r="Y889" s="8"/>
      <c r="Z889" s="9">
        <f t="shared" si="493"/>
        <v>0</v>
      </c>
      <c r="AA889" s="8">
        <f t="shared" si="494"/>
        <v>1109000</v>
      </c>
      <c r="AB889" s="8">
        <f t="shared" si="495"/>
        <v>0</v>
      </c>
    </row>
    <row r="890" spans="1:28" x14ac:dyDescent="0.3">
      <c r="A890" s="64"/>
      <c r="B890" s="8"/>
      <c r="C890" s="7" t="s">
        <v>1116</v>
      </c>
      <c r="D890" s="16" t="s">
        <v>1126</v>
      </c>
      <c r="E890" s="11">
        <v>79806.25</v>
      </c>
      <c r="F890" s="11">
        <v>79806.25</v>
      </c>
      <c r="G890" s="8"/>
      <c r="H890" s="9">
        <f>+F890+G890</f>
        <v>79806.25</v>
      </c>
      <c r="I890" s="8"/>
      <c r="J890" s="9"/>
      <c r="K890" s="8"/>
      <c r="L890" s="8"/>
      <c r="M890" s="9">
        <f>+H890+L890</f>
        <v>79806.25</v>
      </c>
      <c r="N890" s="8"/>
      <c r="O890" s="9"/>
      <c r="P890" s="9">
        <f>+N890+O890</f>
        <v>0</v>
      </c>
      <c r="Q890" s="9"/>
      <c r="R890" s="17"/>
      <c r="S890" s="17"/>
      <c r="T890" s="17"/>
      <c r="U890" s="9">
        <f>+P890+T890</f>
        <v>0</v>
      </c>
      <c r="V890" s="9"/>
      <c r="W890" s="9"/>
      <c r="X890" s="9">
        <f t="shared" si="492"/>
        <v>79806.25</v>
      </c>
      <c r="Y890" s="8"/>
      <c r="Z890" s="9">
        <f t="shared" si="493"/>
        <v>0</v>
      </c>
      <c r="AA890" s="8">
        <f t="shared" si="494"/>
        <v>79806.25</v>
      </c>
      <c r="AB890" s="8">
        <f t="shared" si="495"/>
        <v>0</v>
      </c>
    </row>
    <row r="891" spans="1:28" x14ac:dyDescent="0.3">
      <c r="A891" s="64"/>
      <c r="B891" s="8"/>
      <c r="C891" s="7" t="s">
        <v>657</v>
      </c>
      <c r="D891" s="8"/>
      <c r="E891" s="9">
        <v>50000</v>
      </c>
      <c r="F891" s="9">
        <v>0</v>
      </c>
      <c r="G891" s="8"/>
      <c r="H891" s="9">
        <f t="shared" si="486"/>
        <v>0</v>
      </c>
      <c r="I891" s="8"/>
      <c r="J891" s="9">
        <f t="shared" si="487"/>
        <v>0</v>
      </c>
      <c r="K891" s="8"/>
      <c r="L891" s="8"/>
      <c r="M891" s="9">
        <f t="shared" si="496"/>
        <v>0</v>
      </c>
      <c r="N891" s="8"/>
      <c r="O891" s="9"/>
      <c r="P891" s="9">
        <f t="shared" si="497"/>
        <v>0</v>
      </c>
      <c r="Q891" s="9">
        <f t="shared" si="488"/>
        <v>50000</v>
      </c>
      <c r="R891" s="17"/>
      <c r="S891" s="17"/>
      <c r="T891" s="17"/>
      <c r="U891" s="9">
        <f t="shared" si="489"/>
        <v>0</v>
      </c>
      <c r="V891" s="9">
        <f t="shared" si="490"/>
        <v>0</v>
      </c>
      <c r="W891" s="9">
        <f t="shared" si="491"/>
        <v>50000</v>
      </c>
      <c r="X891" s="9">
        <f t="shared" si="492"/>
        <v>0</v>
      </c>
      <c r="Y891" s="8"/>
      <c r="Z891" s="9">
        <f t="shared" si="493"/>
        <v>50000</v>
      </c>
      <c r="AA891" s="8">
        <f t="shared" si="494"/>
        <v>0</v>
      </c>
      <c r="AB891" s="8">
        <f t="shared" si="495"/>
        <v>50000</v>
      </c>
    </row>
    <row r="892" spans="1:28" x14ac:dyDescent="0.3">
      <c r="A892" s="64"/>
      <c r="B892" s="8"/>
      <c r="C892" s="7" t="s">
        <v>551</v>
      </c>
      <c r="D892" s="8"/>
      <c r="E892" s="9">
        <f>18863320.99+4596240</f>
        <v>23459560.989999998</v>
      </c>
      <c r="F892" s="9">
        <f>2034282.1+569851+4758435.03+120899.97+8662167.31+2717685.58+4596240</f>
        <v>23459560.990000002</v>
      </c>
      <c r="G892" s="8"/>
      <c r="H892" s="9">
        <f t="shared" si="486"/>
        <v>23459560.990000002</v>
      </c>
      <c r="I892" s="8"/>
      <c r="J892" s="9">
        <f t="shared" si="487"/>
        <v>23459560.990000002</v>
      </c>
      <c r="K892" s="8"/>
      <c r="L892" s="8"/>
      <c r="M892" s="9">
        <f t="shared" si="496"/>
        <v>23459560.990000002</v>
      </c>
      <c r="N892" s="8"/>
      <c r="O892" s="9"/>
      <c r="P892" s="9">
        <f t="shared" si="497"/>
        <v>0</v>
      </c>
      <c r="Q892" s="9">
        <f t="shared" si="488"/>
        <v>23459560.989999998</v>
      </c>
      <c r="R892" s="17"/>
      <c r="S892" s="17"/>
      <c r="T892" s="17"/>
      <c r="U892" s="9">
        <f t="shared" si="489"/>
        <v>0</v>
      </c>
      <c r="V892" s="9">
        <f t="shared" si="490"/>
        <v>23459560.990000002</v>
      </c>
      <c r="W892" s="9">
        <f t="shared" si="491"/>
        <v>0</v>
      </c>
      <c r="X892" s="9">
        <f t="shared" si="492"/>
        <v>23459560.990000002</v>
      </c>
      <c r="Y892" s="8"/>
      <c r="Z892" s="9">
        <f t="shared" si="493"/>
        <v>0</v>
      </c>
      <c r="AA892" s="8">
        <f t="shared" si="494"/>
        <v>23459560.990000002</v>
      </c>
      <c r="AB892" s="8">
        <f t="shared" si="495"/>
        <v>0</v>
      </c>
    </row>
    <row r="893" spans="1:28" x14ac:dyDescent="0.3">
      <c r="A893" s="64"/>
      <c r="B893" s="8"/>
      <c r="C893" s="7" t="s">
        <v>606</v>
      </c>
      <c r="D893" s="8"/>
      <c r="E893" s="9">
        <v>1989428.54</v>
      </c>
      <c r="F893" s="9">
        <v>1989428.54</v>
      </c>
      <c r="G893" s="8"/>
      <c r="H893" s="9">
        <f t="shared" si="486"/>
        <v>1989428.54</v>
      </c>
      <c r="I893" s="8"/>
      <c r="J893" s="9">
        <f t="shared" si="487"/>
        <v>1989428.54</v>
      </c>
      <c r="K893" s="8"/>
      <c r="L893" s="8"/>
      <c r="M893" s="9">
        <f t="shared" si="496"/>
        <v>1989428.54</v>
      </c>
      <c r="N893" s="8"/>
      <c r="O893" s="9"/>
      <c r="P893" s="9">
        <f t="shared" si="497"/>
        <v>0</v>
      </c>
      <c r="Q893" s="9">
        <f t="shared" si="488"/>
        <v>1989428.54</v>
      </c>
      <c r="R893" s="17"/>
      <c r="S893" s="17"/>
      <c r="T893" s="17"/>
      <c r="U893" s="9">
        <f t="shared" si="489"/>
        <v>0</v>
      </c>
      <c r="V893" s="9">
        <f t="shared" si="490"/>
        <v>1989428.54</v>
      </c>
      <c r="W893" s="9">
        <f t="shared" si="491"/>
        <v>0</v>
      </c>
      <c r="X893" s="9">
        <f t="shared" si="492"/>
        <v>1989428.54</v>
      </c>
      <c r="Y893" s="8"/>
      <c r="Z893" s="9">
        <f t="shared" si="493"/>
        <v>0</v>
      </c>
      <c r="AA893" s="8">
        <f t="shared" si="494"/>
        <v>1989428.54</v>
      </c>
      <c r="AB893" s="8">
        <f t="shared" si="495"/>
        <v>0</v>
      </c>
    </row>
    <row r="894" spans="1:28" x14ac:dyDescent="0.3">
      <c r="A894" s="64"/>
      <c r="B894" s="8"/>
      <c r="C894" s="8"/>
      <c r="D894" s="8"/>
      <c r="E894" s="17" t="s">
        <v>29</v>
      </c>
      <c r="F894" s="17" t="s">
        <v>29</v>
      </c>
      <c r="G894" s="17" t="s">
        <v>29</v>
      </c>
      <c r="H894" s="17" t="s">
        <v>29</v>
      </c>
      <c r="I894" s="17" t="s">
        <v>29</v>
      </c>
      <c r="J894" s="17" t="s">
        <v>29</v>
      </c>
      <c r="K894" s="17" t="s">
        <v>29</v>
      </c>
      <c r="L894" s="17" t="s">
        <v>29</v>
      </c>
      <c r="M894" s="17" t="s">
        <v>29</v>
      </c>
      <c r="N894" s="17" t="s">
        <v>29</v>
      </c>
      <c r="O894" s="17" t="s">
        <v>29</v>
      </c>
      <c r="P894" s="17" t="s">
        <v>29</v>
      </c>
      <c r="Q894" s="17" t="s">
        <v>29</v>
      </c>
      <c r="R894" s="17" t="s">
        <v>29</v>
      </c>
      <c r="S894" s="17" t="s">
        <v>29</v>
      </c>
      <c r="T894" s="17" t="s">
        <v>29</v>
      </c>
      <c r="U894" s="17" t="s">
        <v>29</v>
      </c>
      <c r="V894" s="17" t="s">
        <v>29</v>
      </c>
      <c r="W894" s="17" t="s">
        <v>29</v>
      </c>
      <c r="X894" s="17" t="s">
        <v>29</v>
      </c>
      <c r="Y894" s="17" t="s">
        <v>29</v>
      </c>
      <c r="Z894" s="17" t="s">
        <v>29</v>
      </c>
      <c r="AA894" s="17" t="s">
        <v>29</v>
      </c>
      <c r="AB894" s="17" t="s">
        <v>29</v>
      </c>
    </row>
    <row r="895" spans="1:28" x14ac:dyDescent="0.3">
      <c r="A895" s="64"/>
      <c r="B895" s="8"/>
      <c r="C895" s="8"/>
      <c r="D895" s="8"/>
      <c r="E895" s="9">
        <f t="shared" ref="E895:Q895" si="498">SUM(E875:E894)</f>
        <v>49818396.329999998</v>
      </c>
      <c r="F895" s="9">
        <f t="shared" si="498"/>
        <v>44761187.210000001</v>
      </c>
      <c r="G895" s="9">
        <f t="shared" si="498"/>
        <v>0</v>
      </c>
      <c r="H895" s="9">
        <f t="shared" si="498"/>
        <v>44761187.210000001</v>
      </c>
      <c r="I895" s="9">
        <f t="shared" si="498"/>
        <v>0</v>
      </c>
      <c r="J895" s="9">
        <f t="shared" si="498"/>
        <v>43272380.960000001</v>
      </c>
      <c r="K895" s="9">
        <f t="shared" si="498"/>
        <v>5007209.12</v>
      </c>
      <c r="L895" s="9">
        <f t="shared" si="498"/>
        <v>0</v>
      </c>
      <c r="M895" s="9">
        <f t="shared" si="498"/>
        <v>44761187.210000001</v>
      </c>
      <c r="N895" s="9">
        <f t="shared" si="498"/>
        <v>5007209.12</v>
      </c>
      <c r="O895" s="9">
        <f t="shared" si="498"/>
        <v>0</v>
      </c>
      <c r="P895" s="9">
        <f t="shared" si="498"/>
        <v>5007209.12</v>
      </c>
      <c r="Q895" s="9">
        <f t="shared" si="498"/>
        <v>43322380.960000001</v>
      </c>
      <c r="R895" s="17"/>
      <c r="S895" s="17"/>
      <c r="T895" s="9">
        <f t="shared" ref="T895:Z895" si="499">SUM(T875:T894)</f>
        <v>0</v>
      </c>
      <c r="U895" s="9">
        <f t="shared" si="499"/>
        <v>5007209.12</v>
      </c>
      <c r="V895" s="9">
        <f t="shared" si="499"/>
        <v>48279590.080000006</v>
      </c>
      <c r="W895" s="9">
        <f t="shared" si="499"/>
        <v>50000</v>
      </c>
      <c r="X895" s="9">
        <f t="shared" si="499"/>
        <v>49768396.330000006</v>
      </c>
      <c r="Y895" s="9">
        <f t="shared" si="499"/>
        <v>0</v>
      </c>
      <c r="Z895" s="9">
        <f t="shared" si="499"/>
        <v>50000</v>
      </c>
      <c r="AA895" s="9">
        <f>SUM(AA875:AA894)</f>
        <v>49768396.330000006</v>
      </c>
      <c r="AB895" s="9">
        <f>SUM(AB875:AB894)</f>
        <v>50000</v>
      </c>
    </row>
    <row r="896" spans="1:28" x14ac:dyDescent="0.3">
      <c r="A896" s="64"/>
      <c r="B896" s="8"/>
      <c r="C896" s="8"/>
      <c r="D896" s="8"/>
      <c r="E896" s="17" t="s">
        <v>29</v>
      </c>
      <c r="F896" s="17" t="s">
        <v>29</v>
      </c>
      <c r="G896" s="17" t="s">
        <v>29</v>
      </c>
      <c r="H896" s="17" t="s">
        <v>29</v>
      </c>
      <c r="I896" s="17" t="s">
        <v>29</v>
      </c>
      <c r="J896" s="17" t="s">
        <v>29</v>
      </c>
      <c r="K896" s="17" t="s">
        <v>29</v>
      </c>
      <c r="L896" s="17" t="s">
        <v>29</v>
      </c>
      <c r="M896" s="17" t="s">
        <v>29</v>
      </c>
      <c r="N896" s="17" t="s">
        <v>29</v>
      </c>
      <c r="O896" s="17" t="s">
        <v>29</v>
      </c>
      <c r="P896" s="17" t="s">
        <v>29</v>
      </c>
      <c r="Q896" s="17" t="s">
        <v>29</v>
      </c>
      <c r="R896" s="17" t="s">
        <v>29</v>
      </c>
      <c r="S896" s="17" t="s">
        <v>29</v>
      </c>
      <c r="T896" s="17" t="s">
        <v>29</v>
      </c>
      <c r="U896" s="17" t="s">
        <v>29</v>
      </c>
      <c r="V896" s="17" t="s">
        <v>29</v>
      </c>
      <c r="W896" s="17" t="s">
        <v>29</v>
      </c>
      <c r="X896" s="17" t="s">
        <v>29</v>
      </c>
      <c r="Y896" s="17" t="s">
        <v>29</v>
      </c>
      <c r="Z896" s="17" t="s">
        <v>29</v>
      </c>
      <c r="AA896" s="17" t="s">
        <v>29</v>
      </c>
      <c r="AB896" s="17" t="s">
        <v>29</v>
      </c>
    </row>
    <row r="897" spans="1:28" x14ac:dyDescent="0.3">
      <c r="A897" s="63" t="s">
        <v>979</v>
      </c>
      <c r="B897" s="7" t="s">
        <v>658</v>
      </c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17"/>
      <c r="S897" s="17"/>
      <c r="T897" s="17"/>
      <c r="U897" s="17"/>
      <c r="V897" s="17"/>
      <c r="W897" s="17"/>
      <c r="X897" s="17"/>
      <c r="Y897" s="17"/>
      <c r="Z897" s="60"/>
      <c r="AA897" s="58"/>
    </row>
    <row r="898" spans="1:28" x14ac:dyDescent="0.3">
      <c r="A898" s="64"/>
      <c r="B898" s="8"/>
      <c r="C898" s="7" t="s">
        <v>659</v>
      </c>
      <c r="D898" s="15" t="s">
        <v>78</v>
      </c>
      <c r="E898" s="9">
        <v>528827.93999999994</v>
      </c>
      <c r="F898" s="9">
        <v>521000</v>
      </c>
      <c r="G898" s="8"/>
      <c r="H898" s="9">
        <f t="shared" ref="H898:H920" si="500">F898+G898</f>
        <v>521000</v>
      </c>
      <c r="I898" s="8"/>
      <c r="J898" s="9">
        <f t="shared" ref="J898:J920" si="501">H898+I898</f>
        <v>521000</v>
      </c>
      <c r="K898" s="9">
        <f>7827.94+332.42-332.42</f>
        <v>7827.94</v>
      </c>
      <c r="L898" s="8"/>
      <c r="M898" s="9">
        <f>+H898+L898</f>
        <v>521000</v>
      </c>
      <c r="N898" s="8">
        <v>7827.94</v>
      </c>
      <c r="O898" s="9"/>
      <c r="P898" s="9">
        <f>+N898+O898</f>
        <v>7827.94</v>
      </c>
      <c r="Q898" s="9">
        <f t="shared" ref="Q898:Q920" si="502">E898-P898</f>
        <v>520999.99999999994</v>
      </c>
      <c r="R898" s="17"/>
      <c r="S898" s="17"/>
      <c r="T898" s="17"/>
      <c r="U898" s="9">
        <f t="shared" ref="U898:U920" si="503">P898+T898</f>
        <v>7827.94</v>
      </c>
      <c r="V898" s="9">
        <f t="shared" ref="V898:V920" si="504">P898+H898</f>
        <v>528827.93999999994</v>
      </c>
      <c r="W898" s="9">
        <f t="shared" ref="W898:W920" si="505">E898-V898</f>
        <v>0</v>
      </c>
      <c r="X898" s="9">
        <f t="shared" ref="X898:X920" si="506">+H898+P898</f>
        <v>528827.93999999994</v>
      </c>
      <c r="Y898" s="8"/>
      <c r="Z898" s="9">
        <f t="shared" ref="Z898:Z920" si="507">+E898-X898</f>
        <v>0</v>
      </c>
      <c r="AA898" s="8">
        <f t="shared" ref="AA898:AA920" si="508">+M898+U898</f>
        <v>528827.93999999994</v>
      </c>
      <c r="AB898" s="8">
        <f t="shared" ref="AB898:AB920" si="509">+E898-AA898</f>
        <v>0</v>
      </c>
    </row>
    <row r="899" spans="1:28" x14ac:dyDescent="0.3">
      <c r="A899" s="64"/>
      <c r="B899" s="8"/>
      <c r="C899" s="7" t="s">
        <v>539</v>
      </c>
      <c r="D899" s="15" t="s">
        <v>54</v>
      </c>
      <c r="E899" s="9">
        <f>3440700+1179375+343637.6+8082366.05+640793.75+1485203.5+1419181.25+589687.5</f>
        <v>17180944.649999999</v>
      </c>
      <c r="F899" s="8"/>
      <c r="G899" s="8"/>
      <c r="H899" s="9">
        <f t="shared" si="500"/>
        <v>0</v>
      </c>
      <c r="I899" s="8"/>
      <c r="J899" s="9">
        <f t="shared" si="501"/>
        <v>0</v>
      </c>
      <c r="K899" s="9">
        <f>3440700+1179375+343637.6+8082366.05+3545178.5+589687.5</f>
        <v>17180944.649999999</v>
      </c>
      <c r="L899" s="8"/>
      <c r="M899" s="9">
        <f t="shared" ref="M899:M920" si="510">+H899+L899</f>
        <v>0</v>
      </c>
      <c r="N899" s="8">
        <v>17180944.649999999</v>
      </c>
      <c r="O899" s="9"/>
      <c r="P899" s="9">
        <f t="shared" ref="P899:P920" si="511">+N899+O899</f>
        <v>17180944.649999999</v>
      </c>
      <c r="Q899" s="9">
        <f t="shared" si="502"/>
        <v>0</v>
      </c>
      <c r="R899" s="17"/>
      <c r="S899" s="17"/>
      <c r="T899" s="17"/>
      <c r="U899" s="9">
        <f t="shared" si="503"/>
        <v>17180944.649999999</v>
      </c>
      <c r="V899" s="9">
        <f t="shared" si="504"/>
        <v>17180944.649999999</v>
      </c>
      <c r="W899" s="9">
        <f t="shared" si="505"/>
        <v>0</v>
      </c>
      <c r="X899" s="9">
        <f t="shared" si="506"/>
        <v>17180944.649999999</v>
      </c>
      <c r="Y899" s="8"/>
      <c r="Z899" s="9">
        <f t="shared" si="507"/>
        <v>0</v>
      </c>
      <c r="AA899" s="8">
        <f t="shared" si="508"/>
        <v>17180944.649999999</v>
      </c>
      <c r="AB899" s="8">
        <f t="shared" si="509"/>
        <v>0</v>
      </c>
    </row>
    <row r="900" spans="1:28" x14ac:dyDescent="0.3">
      <c r="A900" s="64"/>
      <c r="B900" s="8"/>
      <c r="C900" s="7" t="s">
        <v>545</v>
      </c>
      <c r="D900" s="15" t="s">
        <v>54</v>
      </c>
      <c r="E900" s="9">
        <v>2306106</v>
      </c>
      <c r="F900" s="8"/>
      <c r="G900" s="8"/>
      <c r="H900" s="9">
        <f t="shared" si="500"/>
        <v>0</v>
      </c>
      <c r="I900" s="8"/>
      <c r="J900" s="9">
        <f t="shared" si="501"/>
        <v>0</v>
      </c>
      <c r="K900" s="9">
        <v>2306106</v>
      </c>
      <c r="L900" s="8"/>
      <c r="M900" s="9">
        <f t="shared" si="510"/>
        <v>0</v>
      </c>
      <c r="N900" s="8">
        <v>2306106</v>
      </c>
      <c r="O900" s="9"/>
      <c r="P900" s="9">
        <f t="shared" si="511"/>
        <v>2306106</v>
      </c>
      <c r="Q900" s="9">
        <f t="shared" si="502"/>
        <v>0</v>
      </c>
      <c r="R900" s="17"/>
      <c r="S900" s="17"/>
      <c r="T900" s="17"/>
      <c r="U900" s="9">
        <f t="shared" si="503"/>
        <v>2306106</v>
      </c>
      <c r="V900" s="9">
        <f t="shared" si="504"/>
        <v>2306106</v>
      </c>
      <c r="W900" s="9">
        <f t="shared" si="505"/>
        <v>0</v>
      </c>
      <c r="X900" s="9">
        <f t="shared" si="506"/>
        <v>2306106</v>
      </c>
      <c r="Y900" s="8"/>
      <c r="Z900" s="9">
        <f t="shared" si="507"/>
        <v>0</v>
      </c>
      <c r="AA900" s="8">
        <f t="shared" si="508"/>
        <v>2306106</v>
      </c>
      <c r="AB900" s="8">
        <f t="shared" si="509"/>
        <v>0</v>
      </c>
    </row>
    <row r="901" spans="1:28" x14ac:dyDescent="0.3">
      <c r="A901" s="64"/>
      <c r="B901" s="8"/>
      <c r="C901" s="7" t="s">
        <v>535</v>
      </c>
      <c r="D901" s="15" t="s">
        <v>54</v>
      </c>
      <c r="E901" s="9">
        <v>920256</v>
      </c>
      <c r="F901" s="9">
        <v>920256</v>
      </c>
      <c r="G901" s="8"/>
      <c r="H901" s="9">
        <f t="shared" si="500"/>
        <v>920256</v>
      </c>
      <c r="I901" s="8"/>
      <c r="J901" s="9">
        <f t="shared" si="501"/>
        <v>920256</v>
      </c>
      <c r="K901" s="8"/>
      <c r="L901" s="8"/>
      <c r="M901" s="9">
        <f t="shared" si="510"/>
        <v>920256</v>
      </c>
      <c r="N901" s="8"/>
      <c r="O901" s="9"/>
      <c r="P901" s="9">
        <f t="shared" si="511"/>
        <v>0</v>
      </c>
      <c r="Q901" s="9">
        <f t="shared" si="502"/>
        <v>920256</v>
      </c>
      <c r="R901" s="17"/>
      <c r="S901" s="17"/>
      <c r="T901" s="17"/>
      <c r="U901" s="9">
        <f t="shared" si="503"/>
        <v>0</v>
      </c>
      <c r="V901" s="9">
        <f t="shared" si="504"/>
        <v>920256</v>
      </c>
      <c r="W901" s="9">
        <f t="shared" si="505"/>
        <v>0</v>
      </c>
      <c r="X901" s="9">
        <f t="shared" si="506"/>
        <v>920256</v>
      </c>
      <c r="Y901" s="8"/>
      <c r="Z901" s="9">
        <f t="shared" si="507"/>
        <v>0</v>
      </c>
      <c r="AA901" s="8">
        <f t="shared" si="508"/>
        <v>920256</v>
      </c>
      <c r="AB901" s="8">
        <f t="shared" si="509"/>
        <v>0</v>
      </c>
    </row>
    <row r="902" spans="1:28" x14ac:dyDescent="0.3">
      <c r="A902" s="64"/>
      <c r="B902" s="8"/>
      <c r="C902" s="7" t="s">
        <v>557</v>
      </c>
      <c r="D902" s="15" t="s">
        <v>54</v>
      </c>
      <c r="E902" s="9">
        <v>4793755</v>
      </c>
      <c r="F902" s="9">
        <f>2000000+793755+2000000</f>
        <v>4793755</v>
      </c>
      <c r="G902" s="8"/>
      <c r="H902" s="9">
        <f t="shared" si="500"/>
        <v>4793755</v>
      </c>
      <c r="I902" s="8"/>
      <c r="J902" s="9">
        <f t="shared" si="501"/>
        <v>4793755</v>
      </c>
      <c r="K902" s="8"/>
      <c r="L902" s="8"/>
      <c r="M902" s="9">
        <f t="shared" si="510"/>
        <v>4793755</v>
      </c>
      <c r="N902" s="8"/>
      <c r="O902" s="9"/>
      <c r="P902" s="9">
        <f t="shared" si="511"/>
        <v>0</v>
      </c>
      <c r="Q902" s="9">
        <f t="shared" si="502"/>
        <v>4793755</v>
      </c>
      <c r="R902" s="17"/>
      <c r="S902" s="17"/>
      <c r="T902" s="17"/>
      <c r="U902" s="9">
        <f t="shared" si="503"/>
        <v>0</v>
      </c>
      <c r="V902" s="9">
        <f t="shared" si="504"/>
        <v>4793755</v>
      </c>
      <c r="W902" s="9">
        <f t="shared" si="505"/>
        <v>0</v>
      </c>
      <c r="X902" s="9">
        <f t="shared" si="506"/>
        <v>4793755</v>
      </c>
      <c r="Y902" s="8"/>
      <c r="Z902" s="9">
        <f t="shared" si="507"/>
        <v>0</v>
      </c>
      <c r="AA902" s="8">
        <f t="shared" si="508"/>
        <v>4793755</v>
      </c>
      <c r="AB902" s="8">
        <f t="shared" si="509"/>
        <v>0</v>
      </c>
    </row>
    <row r="903" spans="1:28" x14ac:dyDescent="0.3">
      <c r="A903" s="64"/>
      <c r="B903" s="8"/>
      <c r="C903" s="7" t="s">
        <v>535</v>
      </c>
      <c r="D903" s="15" t="s">
        <v>85</v>
      </c>
      <c r="E903" s="9">
        <f>1161000-116100</f>
        <v>1044900</v>
      </c>
      <c r="F903" s="9">
        <v>1044900</v>
      </c>
      <c r="G903" s="8"/>
      <c r="H903" s="9">
        <f t="shared" si="500"/>
        <v>1044900</v>
      </c>
      <c r="I903" s="8"/>
      <c r="J903" s="9">
        <f t="shared" si="501"/>
        <v>1044900</v>
      </c>
      <c r="K903" s="8"/>
      <c r="L903" s="8"/>
      <c r="M903" s="9">
        <f t="shared" si="510"/>
        <v>1044900</v>
      </c>
      <c r="N903" s="8"/>
      <c r="O903" s="9"/>
      <c r="P903" s="9">
        <f t="shared" si="511"/>
        <v>0</v>
      </c>
      <c r="Q903" s="9">
        <f t="shared" si="502"/>
        <v>1044900</v>
      </c>
      <c r="R903" s="17"/>
      <c r="S903" s="17"/>
      <c r="T903" s="17"/>
      <c r="U903" s="9">
        <f t="shared" si="503"/>
        <v>0</v>
      </c>
      <c r="V903" s="9">
        <f t="shared" si="504"/>
        <v>1044900</v>
      </c>
      <c r="W903" s="9">
        <f t="shared" si="505"/>
        <v>0</v>
      </c>
      <c r="X903" s="9">
        <f t="shared" si="506"/>
        <v>1044900</v>
      </c>
      <c r="Y903" s="8"/>
      <c r="Z903" s="9">
        <f t="shared" si="507"/>
        <v>0</v>
      </c>
      <c r="AA903" s="8">
        <f t="shared" si="508"/>
        <v>1044900</v>
      </c>
      <c r="AB903" s="8">
        <f t="shared" si="509"/>
        <v>0</v>
      </c>
    </row>
    <row r="904" spans="1:28" x14ac:dyDescent="0.3">
      <c r="A904" s="64"/>
      <c r="B904" s="8"/>
      <c r="C904" s="7" t="s">
        <v>660</v>
      </c>
      <c r="D904" s="15" t="s">
        <v>85</v>
      </c>
      <c r="E904" s="9">
        <v>600000</v>
      </c>
      <c r="F904" s="9">
        <f>300000+300000</f>
        <v>600000</v>
      </c>
      <c r="G904" s="8"/>
      <c r="H904" s="9">
        <f t="shared" si="500"/>
        <v>600000</v>
      </c>
      <c r="I904" s="8"/>
      <c r="J904" s="9">
        <f t="shared" si="501"/>
        <v>600000</v>
      </c>
      <c r="K904" s="8"/>
      <c r="L904" s="8"/>
      <c r="M904" s="9">
        <f t="shared" si="510"/>
        <v>600000</v>
      </c>
      <c r="N904" s="8"/>
      <c r="O904" s="9"/>
      <c r="P904" s="9">
        <f t="shared" si="511"/>
        <v>0</v>
      </c>
      <c r="Q904" s="9">
        <f t="shared" si="502"/>
        <v>600000</v>
      </c>
      <c r="R904" s="17"/>
      <c r="S904" s="17"/>
      <c r="T904" s="17"/>
      <c r="U904" s="9">
        <f t="shared" si="503"/>
        <v>0</v>
      </c>
      <c r="V904" s="9">
        <f t="shared" si="504"/>
        <v>600000</v>
      </c>
      <c r="W904" s="9">
        <f t="shared" si="505"/>
        <v>0</v>
      </c>
      <c r="X904" s="9">
        <f t="shared" si="506"/>
        <v>600000</v>
      </c>
      <c r="Y904" s="8"/>
      <c r="Z904" s="9">
        <f t="shared" si="507"/>
        <v>0</v>
      </c>
      <c r="AA904" s="8">
        <f t="shared" si="508"/>
        <v>600000</v>
      </c>
      <c r="AB904" s="8">
        <f t="shared" si="509"/>
        <v>0</v>
      </c>
    </row>
    <row r="905" spans="1:28" x14ac:dyDescent="0.3">
      <c r="A905" s="64"/>
      <c r="B905" s="8"/>
      <c r="C905" s="7" t="s">
        <v>660</v>
      </c>
      <c r="D905" s="15" t="s">
        <v>128</v>
      </c>
      <c r="E905" s="9">
        <v>750000</v>
      </c>
      <c r="F905" s="9">
        <v>750000</v>
      </c>
      <c r="G905" s="8"/>
      <c r="H905" s="9">
        <f t="shared" si="500"/>
        <v>750000</v>
      </c>
      <c r="I905" s="8"/>
      <c r="J905" s="9">
        <f t="shared" si="501"/>
        <v>750000</v>
      </c>
      <c r="K905" s="8"/>
      <c r="L905" s="8"/>
      <c r="M905" s="9">
        <f t="shared" si="510"/>
        <v>750000</v>
      </c>
      <c r="N905" s="8"/>
      <c r="O905" s="9"/>
      <c r="P905" s="9">
        <f t="shared" si="511"/>
        <v>0</v>
      </c>
      <c r="Q905" s="9">
        <f t="shared" si="502"/>
        <v>750000</v>
      </c>
      <c r="R905" s="17"/>
      <c r="S905" s="17"/>
      <c r="T905" s="17"/>
      <c r="U905" s="9">
        <f t="shared" si="503"/>
        <v>0</v>
      </c>
      <c r="V905" s="9">
        <f t="shared" si="504"/>
        <v>750000</v>
      </c>
      <c r="W905" s="9">
        <f t="shared" si="505"/>
        <v>0</v>
      </c>
      <c r="X905" s="9">
        <f t="shared" si="506"/>
        <v>750000</v>
      </c>
      <c r="Y905" s="8"/>
      <c r="Z905" s="9">
        <f t="shared" si="507"/>
        <v>0</v>
      </c>
      <c r="AA905" s="8">
        <f t="shared" si="508"/>
        <v>750000</v>
      </c>
      <c r="AB905" s="8">
        <f t="shared" si="509"/>
        <v>0</v>
      </c>
    </row>
    <row r="906" spans="1:28" x14ac:dyDescent="0.3">
      <c r="A906" s="64"/>
      <c r="B906" s="8"/>
      <c r="C906" s="7" t="s">
        <v>535</v>
      </c>
      <c r="D906" s="15" t="s">
        <v>88</v>
      </c>
      <c r="E906" s="9">
        <f>550461.38+710633+342069.93+666845.15+769150.07+379580</f>
        <v>3418739.53</v>
      </c>
      <c r="F906" s="9">
        <v>3418739.53</v>
      </c>
      <c r="G906" s="8"/>
      <c r="H906" s="9">
        <f t="shared" si="500"/>
        <v>3418739.53</v>
      </c>
      <c r="I906" s="8"/>
      <c r="J906" s="9">
        <f t="shared" si="501"/>
        <v>3418739.53</v>
      </c>
      <c r="K906" s="8"/>
      <c r="L906" s="8"/>
      <c r="M906" s="9">
        <f t="shared" si="510"/>
        <v>3418739.53</v>
      </c>
      <c r="N906" s="8"/>
      <c r="O906" s="9"/>
      <c r="P906" s="9">
        <f t="shared" si="511"/>
        <v>0</v>
      </c>
      <c r="Q906" s="9">
        <f t="shared" si="502"/>
        <v>3418739.53</v>
      </c>
      <c r="R906" s="17"/>
      <c r="S906" s="17"/>
      <c r="T906" s="17"/>
      <c r="U906" s="9">
        <f t="shared" si="503"/>
        <v>0</v>
      </c>
      <c r="V906" s="9">
        <f t="shared" si="504"/>
        <v>3418739.53</v>
      </c>
      <c r="W906" s="9">
        <f t="shared" si="505"/>
        <v>0</v>
      </c>
      <c r="X906" s="9">
        <f t="shared" si="506"/>
        <v>3418739.53</v>
      </c>
      <c r="Y906" s="8"/>
      <c r="Z906" s="9">
        <f t="shared" si="507"/>
        <v>0</v>
      </c>
      <c r="AA906" s="8">
        <f t="shared" si="508"/>
        <v>3418739.53</v>
      </c>
      <c r="AB906" s="8">
        <f t="shared" si="509"/>
        <v>0</v>
      </c>
    </row>
    <row r="907" spans="1:28" x14ac:dyDescent="0.3">
      <c r="A907" s="64"/>
      <c r="B907" s="8"/>
      <c r="C907" s="7" t="s">
        <v>535</v>
      </c>
      <c r="D907" s="15" t="s">
        <v>108</v>
      </c>
      <c r="E907" s="9">
        <f>3044704.81+1415359+4293848</f>
        <v>8753911.8100000005</v>
      </c>
      <c r="F907" s="9">
        <f>3044704.81+1415359+4293848</f>
        <v>8753911.8100000005</v>
      </c>
      <c r="G907" s="8"/>
      <c r="H907" s="9">
        <f t="shared" si="500"/>
        <v>8753911.8100000005</v>
      </c>
      <c r="I907" s="8"/>
      <c r="J907" s="9">
        <f t="shared" si="501"/>
        <v>8753911.8100000005</v>
      </c>
      <c r="K907" s="8"/>
      <c r="L907" s="8"/>
      <c r="M907" s="9">
        <f t="shared" si="510"/>
        <v>8753911.8100000005</v>
      </c>
      <c r="N907" s="8"/>
      <c r="O907" s="9"/>
      <c r="P907" s="9">
        <f t="shared" si="511"/>
        <v>0</v>
      </c>
      <c r="Q907" s="9">
        <f t="shared" si="502"/>
        <v>8753911.8100000005</v>
      </c>
      <c r="R907" s="17"/>
      <c r="S907" s="17"/>
      <c r="T907" s="17"/>
      <c r="U907" s="9">
        <f t="shared" si="503"/>
        <v>0</v>
      </c>
      <c r="V907" s="9">
        <f t="shared" si="504"/>
        <v>8753911.8100000005</v>
      </c>
      <c r="W907" s="9">
        <f t="shared" si="505"/>
        <v>0</v>
      </c>
      <c r="X907" s="9">
        <f t="shared" si="506"/>
        <v>8753911.8100000005</v>
      </c>
      <c r="Y907" s="8"/>
      <c r="Z907" s="9">
        <f t="shared" si="507"/>
        <v>0</v>
      </c>
      <c r="AA907" s="8">
        <f t="shared" si="508"/>
        <v>8753911.8100000005</v>
      </c>
      <c r="AB907" s="8">
        <f t="shared" si="509"/>
        <v>0</v>
      </c>
    </row>
    <row r="908" spans="1:28" x14ac:dyDescent="0.3">
      <c r="A908" s="64"/>
      <c r="B908" s="8"/>
      <c r="C908" s="7" t="s">
        <v>535</v>
      </c>
      <c r="D908" s="15" t="s">
        <v>58</v>
      </c>
      <c r="E908" s="9">
        <f>812375+2113285</f>
        <v>2925660</v>
      </c>
      <c r="F908" s="9">
        <v>2925660</v>
      </c>
      <c r="G908" s="8"/>
      <c r="H908" s="9">
        <f t="shared" si="500"/>
        <v>2925660</v>
      </c>
      <c r="I908" s="8"/>
      <c r="J908" s="9">
        <f t="shared" si="501"/>
        <v>2925660</v>
      </c>
      <c r="K908" s="8"/>
      <c r="L908" s="8"/>
      <c r="M908" s="9">
        <f t="shared" si="510"/>
        <v>2925660</v>
      </c>
      <c r="N908" s="8"/>
      <c r="O908" s="9"/>
      <c r="P908" s="9">
        <f t="shared" si="511"/>
        <v>0</v>
      </c>
      <c r="Q908" s="9">
        <f t="shared" si="502"/>
        <v>2925660</v>
      </c>
      <c r="R908" s="17"/>
      <c r="S908" s="17"/>
      <c r="T908" s="17"/>
      <c r="U908" s="9">
        <f t="shared" si="503"/>
        <v>0</v>
      </c>
      <c r="V908" s="9">
        <f t="shared" si="504"/>
        <v>2925660</v>
      </c>
      <c r="W908" s="9">
        <f t="shared" si="505"/>
        <v>0</v>
      </c>
      <c r="X908" s="9">
        <f t="shared" si="506"/>
        <v>2925660</v>
      </c>
      <c r="Y908" s="8"/>
      <c r="Z908" s="9">
        <f t="shared" si="507"/>
        <v>0</v>
      </c>
      <c r="AA908" s="8">
        <f t="shared" si="508"/>
        <v>2925660</v>
      </c>
      <c r="AB908" s="8">
        <f t="shared" si="509"/>
        <v>0</v>
      </c>
    </row>
    <row r="909" spans="1:28" x14ac:dyDescent="0.3">
      <c r="A909" s="64"/>
      <c r="B909" s="8"/>
      <c r="C909" s="7" t="s">
        <v>535</v>
      </c>
      <c r="D909" s="15" t="s">
        <v>60</v>
      </c>
      <c r="E909" s="9">
        <f>4023152+1606000</f>
        <v>5629152</v>
      </c>
      <c r="F909" s="9">
        <f>4023152+1606000</f>
        <v>5629152</v>
      </c>
      <c r="G909" s="8"/>
      <c r="H909" s="9">
        <f t="shared" si="500"/>
        <v>5629152</v>
      </c>
      <c r="I909" s="8"/>
      <c r="J909" s="9">
        <f t="shared" si="501"/>
        <v>5629152</v>
      </c>
      <c r="K909" s="8"/>
      <c r="L909" s="8"/>
      <c r="M909" s="9">
        <f t="shared" si="510"/>
        <v>5629152</v>
      </c>
      <c r="N909" s="8"/>
      <c r="O909" s="9"/>
      <c r="P909" s="9">
        <f t="shared" si="511"/>
        <v>0</v>
      </c>
      <c r="Q909" s="9">
        <f t="shared" si="502"/>
        <v>5629152</v>
      </c>
      <c r="R909" s="17"/>
      <c r="S909" s="17"/>
      <c r="T909" s="17"/>
      <c r="U909" s="9">
        <f t="shared" si="503"/>
        <v>0</v>
      </c>
      <c r="V909" s="9">
        <f t="shared" si="504"/>
        <v>5629152</v>
      </c>
      <c r="W909" s="9">
        <f t="shared" si="505"/>
        <v>0</v>
      </c>
      <c r="X909" s="9">
        <f t="shared" si="506"/>
        <v>5629152</v>
      </c>
      <c r="Y909" s="8"/>
      <c r="Z909" s="9">
        <f t="shared" si="507"/>
        <v>0</v>
      </c>
      <c r="AA909" s="8">
        <f t="shared" si="508"/>
        <v>5629152</v>
      </c>
      <c r="AB909" s="8">
        <f t="shared" si="509"/>
        <v>0</v>
      </c>
    </row>
    <row r="910" spans="1:28" x14ac:dyDescent="0.3">
      <c r="A910" s="64"/>
      <c r="B910" s="8"/>
      <c r="C910" s="14" t="s">
        <v>661</v>
      </c>
      <c r="D910" s="14" t="s">
        <v>194</v>
      </c>
      <c r="E910" s="11">
        <v>637425.66</v>
      </c>
      <c r="F910" s="11">
        <v>637425.66</v>
      </c>
      <c r="G910" s="8"/>
      <c r="H910" s="9">
        <f t="shared" si="500"/>
        <v>637425.66</v>
      </c>
      <c r="I910" s="8"/>
      <c r="J910" s="9">
        <f t="shared" si="501"/>
        <v>637425.66</v>
      </c>
      <c r="K910" s="8"/>
      <c r="L910" s="8"/>
      <c r="M910" s="9">
        <f t="shared" si="510"/>
        <v>637425.66</v>
      </c>
      <c r="N910" s="8"/>
      <c r="O910" s="9"/>
      <c r="P910" s="9">
        <f t="shared" si="511"/>
        <v>0</v>
      </c>
      <c r="Q910" s="9">
        <f t="shared" si="502"/>
        <v>637425.66</v>
      </c>
      <c r="R910" s="17"/>
      <c r="S910" s="17"/>
      <c r="T910" s="17"/>
      <c r="U910" s="9">
        <f t="shared" si="503"/>
        <v>0</v>
      </c>
      <c r="V910" s="9">
        <f t="shared" si="504"/>
        <v>637425.66</v>
      </c>
      <c r="W910" s="9">
        <f t="shared" si="505"/>
        <v>0</v>
      </c>
      <c r="X910" s="9">
        <f t="shared" si="506"/>
        <v>637425.66</v>
      </c>
      <c r="Y910" s="8"/>
      <c r="Z910" s="9">
        <f t="shared" si="507"/>
        <v>0</v>
      </c>
      <c r="AA910" s="8">
        <f t="shared" si="508"/>
        <v>637425.66</v>
      </c>
      <c r="AB910" s="8">
        <f t="shared" si="509"/>
        <v>0</v>
      </c>
    </row>
    <row r="911" spans="1:28" x14ac:dyDescent="0.3">
      <c r="A911" s="64"/>
      <c r="B911" s="8"/>
      <c r="C911" s="14" t="s">
        <v>621</v>
      </c>
      <c r="D911" s="21" t="s">
        <v>73</v>
      </c>
      <c r="E911" s="11">
        <v>1513000</v>
      </c>
      <c r="F911" s="11">
        <v>1513000</v>
      </c>
      <c r="G911" s="8"/>
      <c r="H911" s="9">
        <f t="shared" si="500"/>
        <v>1513000</v>
      </c>
      <c r="I911" s="8"/>
      <c r="J911" s="9">
        <f t="shared" si="501"/>
        <v>1513000</v>
      </c>
      <c r="K911" s="8"/>
      <c r="L911" s="8"/>
      <c r="M911" s="9">
        <f t="shared" si="510"/>
        <v>1513000</v>
      </c>
      <c r="N911" s="8"/>
      <c r="O911" s="9"/>
      <c r="P911" s="9">
        <f t="shared" si="511"/>
        <v>0</v>
      </c>
      <c r="Q911" s="9">
        <f t="shared" si="502"/>
        <v>1513000</v>
      </c>
      <c r="R911" s="17"/>
      <c r="S911" s="17"/>
      <c r="T911" s="17"/>
      <c r="U911" s="9">
        <f t="shared" si="503"/>
        <v>0</v>
      </c>
      <c r="V911" s="9">
        <f t="shared" si="504"/>
        <v>1513000</v>
      </c>
      <c r="W911" s="9">
        <f t="shared" si="505"/>
        <v>0</v>
      </c>
      <c r="X911" s="9">
        <f t="shared" si="506"/>
        <v>1513000</v>
      </c>
      <c r="Y911" s="8"/>
      <c r="Z911" s="9">
        <f t="shared" si="507"/>
        <v>0</v>
      </c>
      <c r="AA911" s="8">
        <f t="shared" si="508"/>
        <v>1513000</v>
      </c>
      <c r="AB911" s="8">
        <f t="shared" si="509"/>
        <v>0</v>
      </c>
    </row>
    <row r="912" spans="1:28" x14ac:dyDescent="0.3">
      <c r="A912" s="64"/>
      <c r="B912" s="8"/>
      <c r="C912" s="7" t="s">
        <v>535</v>
      </c>
      <c r="D912" s="15" t="s">
        <v>61</v>
      </c>
      <c r="E912" s="11">
        <v>1280000</v>
      </c>
      <c r="F912" s="11">
        <v>1280000</v>
      </c>
      <c r="G912" s="8"/>
      <c r="H912" s="9">
        <f t="shared" si="500"/>
        <v>1280000</v>
      </c>
      <c r="I912" s="8"/>
      <c r="J912" s="9">
        <f t="shared" si="501"/>
        <v>1280000</v>
      </c>
      <c r="K912" s="8"/>
      <c r="L912" s="8"/>
      <c r="M912" s="9">
        <f t="shared" si="510"/>
        <v>1280000</v>
      </c>
      <c r="N912" s="8"/>
      <c r="O912" s="9"/>
      <c r="P912" s="9">
        <f t="shared" si="511"/>
        <v>0</v>
      </c>
      <c r="Q912" s="9">
        <f t="shared" si="502"/>
        <v>1280000</v>
      </c>
      <c r="R912" s="17"/>
      <c r="S912" s="17"/>
      <c r="T912" s="17"/>
      <c r="U912" s="9">
        <f t="shared" si="503"/>
        <v>0</v>
      </c>
      <c r="V912" s="9">
        <f t="shared" si="504"/>
        <v>1280000</v>
      </c>
      <c r="W912" s="9">
        <f t="shared" si="505"/>
        <v>0</v>
      </c>
      <c r="X912" s="9">
        <f t="shared" si="506"/>
        <v>1280000</v>
      </c>
      <c r="Y912" s="8"/>
      <c r="Z912" s="9">
        <f t="shared" si="507"/>
        <v>0</v>
      </c>
      <c r="AA912" s="8">
        <f t="shared" si="508"/>
        <v>1280000</v>
      </c>
      <c r="AB912" s="8">
        <f t="shared" si="509"/>
        <v>0</v>
      </c>
    </row>
    <row r="913" spans="1:28" x14ac:dyDescent="0.3">
      <c r="A913" s="64"/>
      <c r="B913" s="8"/>
      <c r="C913" s="7" t="s">
        <v>1171</v>
      </c>
      <c r="D913" s="16" t="s">
        <v>1126</v>
      </c>
      <c r="E913" s="11">
        <v>300000</v>
      </c>
      <c r="F913" s="11">
        <v>300000</v>
      </c>
      <c r="G913" s="8"/>
      <c r="H913" s="9">
        <f>+F913+G913</f>
        <v>300000</v>
      </c>
      <c r="I913" s="8"/>
      <c r="J913" s="9">
        <f t="shared" si="501"/>
        <v>300000</v>
      </c>
      <c r="K913" s="8"/>
      <c r="L913" s="8"/>
      <c r="M913" s="9">
        <f t="shared" si="510"/>
        <v>300000</v>
      </c>
      <c r="N913" s="8"/>
      <c r="O913" s="9"/>
      <c r="P913" s="9">
        <f>+N913+O913</f>
        <v>0</v>
      </c>
      <c r="Q913" s="9">
        <f t="shared" si="502"/>
        <v>300000</v>
      </c>
      <c r="R913" s="17"/>
      <c r="S913" s="17"/>
      <c r="T913" s="17"/>
      <c r="U913" s="9">
        <f t="shared" si="503"/>
        <v>0</v>
      </c>
      <c r="V913" s="9">
        <f t="shared" si="504"/>
        <v>300000</v>
      </c>
      <c r="W913" s="9">
        <f t="shared" si="505"/>
        <v>0</v>
      </c>
      <c r="X913" s="9">
        <f t="shared" si="506"/>
        <v>300000</v>
      </c>
      <c r="Y913" s="8"/>
      <c r="Z913" s="9">
        <f t="shared" si="507"/>
        <v>0</v>
      </c>
      <c r="AA913" s="8">
        <f t="shared" si="508"/>
        <v>300000</v>
      </c>
      <c r="AB913" s="8">
        <f t="shared" si="509"/>
        <v>0</v>
      </c>
    </row>
    <row r="914" spans="1:28" x14ac:dyDescent="0.3">
      <c r="A914" s="64"/>
      <c r="B914" s="8"/>
      <c r="C914" s="13" t="s">
        <v>933</v>
      </c>
      <c r="D914" s="16" t="s">
        <v>1072</v>
      </c>
      <c r="E914" s="11">
        <f>763000+1482702.95</f>
        <v>2245702.9500000002</v>
      </c>
      <c r="F914" s="11">
        <f>763000+1482702.95</f>
        <v>2245702.9500000002</v>
      </c>
      <c r="G914" s="8"/>
      <c r="H914" s="9">
        <f>+F914+G914</f>
        <v>2245702.9500000002</v>
      </c>
      <c r="I914" s="8"/>
      <c r="J914" s="9"/>
      <c r="K914" s="8"/>
      <c r="L914" s="8"/>
      <c r="M914" s="9">
        <f>+H914+L914</f>
        <v>2245702.9500000002</v>
      </c>
      <c r="N914" s="8"/>
      <c r="O914" s="9"/>
      <c r="P914" s="9">
        <f>+N914+O914</f>
        <v>0</v>
      </c>
      <c r="Q914" s="9"/>
      <c r="R914" s="17"/>
      <c r="S914" s="17"/>
      <c r="T914" s="17"/>
      <c r="U914" s="9">
        <f>P914+T914</f>
        <v>0</v>
      </c>
      <c r="V914" s="9">
        <f>P914+H914</f>
        <v>2245702.9500000002</v>
      </c>
      <c r="W914" s="9">
        <f>E914-V914</f>
        <v>0</v>
      </c>
      <c r="X914" s="9">
        <f t="shared" si="506"/>
        <v>2245702.9500000002</v>
      </c>
      <c r="Y914" s="8"/>
      <c r="Z914" s="9">
        <f t="shared" si="507"/>
        <v>0</v>
      </c>
      <c r="AA914" s="8">
        <f t="shared" si="508"/>
        <v>2245702.9500000002</v>
      </c>
      <c r="AB914" s="8">
        <f t="shared" si="509"/>
        <v>0</v>
      </c>
    </row>
    <row r="915" spans="1:28" x14ac:dyDescent="0.3">
      <c r="A915" s="64"/>
      <c r="B915" s="8"/>
      <c r="C915" s="13" t="s">
        <v>1202</v>
      </c>
      <c r="D915" s="16" t="s">
        <v>1126</v>
      </c>
      <c r="E915" s="11">
        <f>1676756.44+427890.08</f>
        <v>2104646.52</v>
      </c>
      <c r="F915" s="8">
        <f>1676756.44+427890.08</f>
        <v>2104646.52</v>
      </c>
      <c r="G915" s="8"/>
      <c r="H915" s="9">
        <f>+F915+G915</f>
        <v>2104646.52</v>
      </c>
      <c r="I915" s="8"/>
      <c r="J915" s="9"/>
      <c r="K915" s="8"/>
      <c r="L915" s="8"/>
      <c r="M915" s="9">
        <f>+H915+L915</f>
        <v>2104646.52</v>
      </c>
      <c r="N915" s="8"/>
      <c r="O915" s="9"/>
      <c r="P915" s="9">
        <f>+N915+O915</f>
        <v>0</v>
      </c>
      <c r="Q915" s="9"/>
      <c r="R915" s="17"/>
      <c r="S915" s="17"/>
      <c r="T915" s="17"/>
      <c r="U915" s="9">
        <f>+P915+T915</f>
        <v>0</v>
      </c>
      <c r="V915" s="9"/>
      <c r="W915" s="9"/>
      <c r="X915" s="9">
        <f>+H915+P915</f>
        <v>2104646.52</v>
      </c>
      <c r="Y915" s="8"/>
      <c r="Z915" s="9">
        <f>+E915-X915</f>
        <v>0</v>
      </c>
      <c r="AA915" s="8">
        <f t="shared" si="508"/>
        <v>2104646.52</v>
      </c>
      <c r="AB915" s="8">
        <f t="shared" si="509"/>
        <v>0</v>
      </c>
    </row>
    <row r="916" spans="1:28" x14ac:dyDescent="0.3">
      <c r="A916" s="64"/>
      <c r="B916" s="8"/>
      <c r="C916" s="7" t="s">
        <v>1250</v>
      </c>
      <c r="D916" s="16" t="s">
        <v>1225</v>
      </c>
      <c r="E916" s="11">
        <v>350000</v>
      </c>
      <c r="F916" s="8">
        <v>350000</v>
      </c>
      <c r="G916" s="8"/>
      <c r="H916" s="9">
        <f>+F916+G916</f>
        <v>350000</v>
      </c>
      <c r="I916" s="8"/>
      <c r="J916" s="9"/>
      <c r="K916" s="8"/>
      <c r="L916" s="8"/>
      <c r="M916" s="9">
        <f>+H916+L916</f>
        <v>350000</v>
      </c>
      <c r="N916" s="8"/>
      <c r="O916" s="9"/>
      <c r="P916" s="9">
        <f>+N916+O916</f>
        <v>0</v>
      </c>
      <c r="Q916" s="9"/>
      <c r="R916" s="17"/>
      <c r="S916" s="17"/>
      <c r="T916" s="17"/>
      <c r="U916" s="9">
        <f>+P916+T916</f>
        <v>0</v>
      </c>
      <c r="V916" s="9"/>
      <c r="W916" s="9"/>
      <c r="X916" s="9">
        <f>+H916+P916</f>
        <v>350000</v>
      </c>
      <c r="Y916" s="8"/>
      <c r="Z916" s="9">
        <f>+E916-X916</f>
        <v>0</v>
      </c>
      <c r="AA916" s="8">
        <f>+M916+U916</f>
        <v>350000</v>
      </c>
      <c r="AB916" s="8">
        <f>+E916-AA916</f>
        <v>0</v>
      </c>
    </row>
    <row r="917" spans="1:28" x14ac:dyDescent="0.3">
      <c r="A917" s="64"/>
      <c r="B917" s="8"/>
      <c r="C917" s="14" t="s">
        <v>568</v>
      </c>
      <c r="D917" s="8"/>
      <c r="E917" s="11">
        <v>707352.5</v>
      </c>
      <c r="F917" s="8">
        <v>707352.5</v>
      </c>
      <c r="G917" s="11"/>
      <c r="H917" s="9">
        <f t="shared" si="500"/>
        <v>707352.5</v>
      </c>
      <c r="I917" s="8"/>
      <c r="J917" s="9">
        <f t="shared" si="501"/>
        <v>707352.5</v>
      </c>
      <c r="K917" s="8"/>
      <c r="L917" s="8"/>
      <c r="M917" s="9">
        <f t="shared" si="510"/>
        <v>707352.5</v>
      </c>
      <c r="N917" s="8"/>
      <c r="O917" s="9"/>
      <c r="P917" s="9">
        <f t="shared" si="511"/>
        <v>0</v>
      </c>
      <c r="Q917" s="9">
        <f t="shared" si="502"/>
        <v>707352.5</v>
      </c>
      <c r="R917" s="17"/>
      <c r="S917" s="17"/>
      <c r="T917" s="17"/>
      <c r="U917" s="9">
        <f t="shared" si="503"/>
        <v>0</v>
      </c>
      <c r="V917" s="9">
        <f t="shared" si="504"/>
        <v>707352.5</v>
      </c>
      <c r="W917" s="9">
        <f t="shared" si="505"/>
        <v>0</v>
      </c>
      <c r="X917" s="9">
        <f t="shared" si="506"/>
        <v>707352.5</v>
      </c>
      <c r="Y917" s="8"/>
      <c r="Z917" s="9">
        <f t="shared" si="507"/>
        <v>0</v>
      </c>
      <c r="AA917" s="8">
        <f t="shared" si="508"/>
        <v>707352.5</v>
      </c>
      <c r="AB917" s="8">
        <f t="shared" si="509"/>
        <v>0</v>
      </c>
    </row>
    <row r="918" spans="1:28" x14ac:dyDescent="0.3">
      <c r="A918" s="64"/>
      <c r="B918" s="8"/>
      <c r="C918" s="7" t="s">
        <v>662</v>
      </c>
      <c r="D918" s="8"/>
      <c r="E918" s="9">
        <v>850000</v>
      </c>
      <c r="F918" s="9">
        <v>850000</v>
      </c>
      <c r="G918" s="8"/>
      <c r="H918" s="9">
        <f t="shared" si="500"/>
        <v>850000</v>
      </c>
      <c r="I918" s="8"/>
      <c r="J918" s="9">
        <f t="shared" si="501"/>
        <v>850000</v>
      </c>
      <c r="K918" s="8"/>
      <c r="L918" s="8"/>
      <c r="M918" s="9">
        <f t="shared" si="510"/>
        <v>850000</v>
      </c>
      <c r="N918" s="8"/>
      <c r="O918" s="9"/>
      <c r="P918" s="9">
        <f t="shared" si="511"/>
        <v>0</v>
      </c>
      <c r="Q918" s="9">
        <f t="shared" si="502"/>
        <v>850000</v>
      </c>
      <c r="R918" s="17"/>
      <c r="S918" s="17"/>
      <c r="T918" s="17"/>
      <c r="U918" s="9">
        <f t="shared" si="503"/>
        <v>0</v>
      </c>
      <c r="V918" s="9">
        <f t="shared" si="504"/>
        <v>850000</v>
      </c>
      <c r="W918" s="9">
        <f t="shared" si="505"/>
        <v>0</v>
      </c>
      <c r="X918" s="9">
        <f t="shared" si="506"/>
        <v>850000</v>
      </c>
      <c r="Y918" s="8"/>
      <c r="Z918" s="9">
        <f t="shared" si="507"/>
        <v>0</v>
      </c>
      <c r="AA918" s="8">
        <f t="shared" si="508"/>
        <v>850000</v>
      </c>
      <c r="AB918" s="8">
        <f t="shared" si="509"/>
        <v>0</v>
      </c>
    </row>
    <row r="919" spans="1:28" x14ac:dyDescent="0.3">
      <c r="A919" s="64"/>
      <c r="B919" s="8"/>
      <c r="C919" s="7" t="s">
        <v>663</v>
      </c>
      <c r="D919" s="8"/>
      <c r="E919" s="9">
        <v>50000</v>
      </c>
      <c r="F919" s="9">
        <v>50000</v>
      </c>
      <c r="G919" s="8"/>
      <c r="H919" s="9">
        <f t="shared" si="500"/>
        <v>50000</v>
      </c>
      <c r="I919" s="8"/>
      <c r="J919" s="9">
        <f t="shared" si="501"/>
        <v>50000</v>
      </c>
      <c r="K919" s="8"/>
      <c r="L919" s="8"/>
      <c r="M919" s="9">
        <f t="shared" si="510"/>
        <v>50000</v>
      </c>
      <c r="N919" s="8"/>
      <c r="O919" s="9"/>
      <c r="P919" s="9">
        <f t="shared" si="511"/>
        <v>0</v>
      </c>
      <c r="Q919" s="9">
        <f t="shared" si="502"/>
        <v>50000</v>
      </c>
      <c r="R919" s="17"/>
      <c r="S919" s="17"/>
      <c r="T919" s="17"/>
      <c r="U919" s="9">
        <f t="shared" si="503"/>
        <v>0</v>
      </c>
      <c r="V919" s="9">
        <f t="shared" si="504"/>
        <v>50000</v>
      </c>
      <c r="W919" s="9">
        <f t="shared" si="505"/>
        <v>0</v>
      </c>
      <c r="X919" s="9">
        <f t="shared" si="506"/>
        <v>50000</v>
      </c>
      <c r="Y919" s="8"/>
      <c r="Z919" s="9">
        <f t="shared" si="507"/>
        <v>0</v>
      </c>
      <c r="AA919" s="8">
        <f t="shared" si="508"/>
        <v>50000</v>
      </c>
      <c r="AB919" s="8">
        <f t="shared" si="509"/>
        <v>0</v>
      </c>
    </row>
    <row r="920" spans="1:28" x14ac:dyDescent="0.3">
      <c r="A920" s="64"/>
      <c r="B920" s="8"/>
      <c r="C920" s="7" t="s">
        <v>606</v>
      </c>
      <c r="D920" s="8"/>
      <c r="E920" s="9">
        <f>2500000+2222485.74</f>
        <v>4722485.74</v>
      </c>
      <c r="F920" s="9">
        <f>2500000+2222485.74</f>
        <v>4722485.74</v>
      </c>
      <c r="G920" s="8"/>
      <c r="H920" s="9">
        <f t="shared" si="500"/>
        <v>4722485.74</v>
      </c>
      <c r="I920" s="8"/>
      <c r="J920" s="9">
        <f t="shared" si="501"/>
        <v>4722485.74</v>
      </c>
      <c r="K920" s="8"/>
      <c r="L920" s="8"/>
      <c r="M920" s="9">
        <f t="shared" si="510"/>
        <v>4722485.74</v>
      </c>
      <c r="N920" s="8"/>
      <c r="O920" s="9"/>
      <c r="P920" s="9">
        <f t="shared" si="511"/>
        <v>0</v>
      </c>
      <c r="Q920" s="9">
        <f t="shared" si="502"/>
        <v>4722485.74</v>
      </c>
      <c r="R920" s="17"/>
      <c r="S920" s="17"/>
      <c r="T920" s="17"/>
      <c r="U920" s="9">
        <f t="shared" si="503"/>
        <v>0</v>
      </c>
      <c r="V920" s="9">
        <f t="shared" si="504"/>
        <v>4722485.74</v>
      </c>
      <c r="W920" s="9">
        <f t="shared" si="505"/>
        <v>0</v>
      </c>
      <c r="X920" s="9">
        <f t="shared" si="506"/>
        <v>4722485.74</v>
      </c>
      <c r="Y920" s="8"/>
      <c r="Z920" s="9">
        <f t="shared" si="507"/>
        <v>0</v>
      </c>
      <c r="AA920" s="8">
        <f t="shared" si="508"/>
        <v>4722485.74</v>
      </c>
      <c r="AB920" s="8">
        <f t="shared" si="509"/>
        <v>0</v>
      </c>
    </row>
    <row r="921" spans="1:28" x14ac:dyDescent="0.3">
      <c r="A921" s="64"/>
      <c r="B921" s="8"/>
      <c r="C921" s="8"/>
      <c r="D921" s="8"/>
      <c r="E921" s="17" t="s">
        <v>29</v>
      </c>
      <c r="F921" s="17" t="s">
        <v>29</v>
      </c>
      <c r="G921" s="17" t="s">
        <v>29</v>
      </c>
      <c r="H921" s="17" t="s">
        <v>29</v>
      </c>
      <c r="I921" s="17" t="s">
        <v>29</v>
      </c>
      <c r="J921" s="17" t="s">
        <v>29</v>
      </c>
      <c r="K921" s="17" t="s">
        <v>29</v>
      </c>
      <c r="L921" s="17" t="s">
        <v>29</v>
      </c>
      <c r="M921" s="17" t="s">
        <v>29</v>
      </c>
      <c r="N921" s="17" t="s">
        <v>29</v>
      </c>
      <c r="O921" s="17" t="s">
        <v>29</v>
      </c>
      <c r="P921" s="17" t="s">
        <v>29</v>
      </c>
      <c r="Q921" s="17" t="s">
        <v>29</v>
      </c>
      <c r="R921" s="17" t="s">
        <v>29</v>
      </c>
      <c r="S921" s="17" t="s">
        <v>29</v>
      </c>
      <c r="T921" s="17" t="s">
        <v>29</v>
      </c>
      <c r="U921" s="17" t="s">
        <v>29</v>
      </c>
      <c r="V921" s="17" t="s">
        <v>29</v>
      </c>
      <c r="W921" s="17" t="s">
        <v>29</v>
      </c>
      <c r="X921" s="17" t="s">
        <v>29</v>
      </c>
      <c r="Y921" s="17" t="s">
        <v>29</v>
      </c>
      <c r="Z921" s="17" t="s">
        <v>29</v>
      </c>
      <c r="AA921" s="17" t="s">
        <v>29</v>
      </c>
      <c r="AB921" s="17" t="s">
        <v>29</v>
      </c>
    </row>
    <row r="922" spans="1:28" x14ac:dyDescent="0.3">
      <c r="A922" s="64"/>
      <c r="B922" s="8"/>
      <c r="C922" s="8"/>
      <c r="D922" s="8"/>
      <c r="E922" s="9">
        <f t="shared" ref="E922:M922" si="512">SUM(E898:E921)</f>
        <v>63612866.300000004</v>
      </c>
      <c r="F922" s="9">
        <f t="shared" si="512"/>
        <v>44117987.710000008</v>
      </c>
      <c r="G922" s="9">
        <f t="shared" si="512"/>
        <v>0</v>
      </c>
      <c r="H922" s="9">
        <f t="shared" si="512"/>
        <v>44117987.710000008</v>
      </c>
      <c r="I922" s="9">
        <f t="shared" si="512"/>
        <v>0</v>
      </c>
      <c r="J922" s="9">
        <f t="shared" si="512"/>
        <v>39417638.240000002</v>
      </c>
      <c r="K922" s="9">
        <f t="shared" si="512"/>
        <v>19494878.59</v>
      </c>
      <c r="L922" s="9">
        <f t="shared" si="512"/>
        <v>0</v>
      </c>
      <c r="M922" s="9">
        <f t="shared" si="512"/>
        <v>44117987.710000008</v>
      </c>
      <c r="N922" s="9">
        <f t="shared" ref="N922:Z922" si="513">SUM(N898:N921)</f>
        <v>19494878.59</v>
      </c>
      <c r="O922" s="9">
        <f t="shared" si="513"/>
        <v>0</v>
      </c>
      <c r="P922" s="9">
        <f t="shared" si="513"/>
        <v>19494878.59</v>
      </c>
      <c r="Q922" s="9">
        <f t="shared" si="513"/>
        <v>39417638.240000002</v>
      </c>
      <c r="R922" s="9">
        <f t="shared" si="513"/>
        <v>0</v>
      </c>
      <c r="S922" s="9">
        <f t="shared" si="513"/>
        <v>0</v>
      </c>
      <c r="T922" s="9">
        <f t="shared" si="513"/>
        <v>0</v>
      </c>
      <c r="U922" s="9">
        <f t="shared" si="513"/>
        <v>19494878.59</v>
      </c>
      <c r="V922" s="9">
        <f t="shared" si="513"/>
        <v>61158219.780000001</v>
      </c>
      <c r="W922" s="9">
        <f t="shared" si="513"/>
        <v>0</v>
      </c>
      <c r="X922" s="9">
        <f t="shared" si="513"/>
        <v>63612866.300000004</v>
      </c>
      <c r="Y922" s="9">
        <f t="shared" si="513"/>
        <v>0</v>
      </c>
      <c r="Z922" s="9">
        <f t="shared" si="513"/>
        <v>0</v>
      </c>
      <c r="AA922" s="9">
        <f>SUM(AA898:AA921)</f>
        <v>63612866.300000004</v>
      </c>
      <c r="AB922" s="9">
        <f>SUM(AB898:AB921)</f>
        <v>0</v>
      </c>
    </row>
    <row r="923" spans="1:28" x14ac:dyDescent="0.3">
      <c r="A923" s="64"/>
      <c r="B923" s="8"/>
      <c r="C923" s="8"/>
      <c r="D923" s="8"/>
      <c r="E923" s="17" t="s">
        <v>29</v>
      </c>
      <c r="F923" s="17" t="s">
        <v>29</v>
      </c>
      <c r="G923" s="17" t="s">
        <v>29</v>
      </c>
      <c r="H923" s="17" t="s">
        <v>29</v>
      </c>
      <c r="I923" s="17" t="s">
        <v>29</v>
      </c>
      <c r="J923" s="17" t="s">
        <v>29</v>
      </c>
      <c r="K923" s="17" t="s">
        <v>29</v>
      </c>
      <c r="L923" s="17" t="s">
        <v>29</v>
      </c>
      <c r="M923" s="17" t="s">
        <v>29</v>
      </c>
      <c r="N923" s="17" t="s">
        <v>29</v>
      </c>
      <c r="O923" s="17" t="s">
        <v>29</v>
      </c>
      <c r="P923" s="17" t="s">
        <v>29</v>
      </c>
      <c r="Q923" s="17" t="s">
        <v>29</v>
      </c>
      <c r="R923" s="17" t="s">
        <v>29</v>
      </c>
      <c r="S923" s="17" t="s">
        <v>29</v>
      </c>
      <c r="T923" s="17" t="s">
        <v>29</v>
      </c>
      <c r="U923" s="17" t="s">
        <v>29</v>
      </c>
      <c r="V923" s="17" t="s">
        <v>29</v>
      </c>
      <c r="W923" s="17" t="s">
        <v>29</v>
      </c>
      <c r="X923" s="17" t="s">
        <v>29</v>
      </c>
      <c r="Y923" s="17" t="s">
        <v>29</v>
      </c>
      <c r="Z923" s="17" t="s">
        <v>29</v>
      </c>
      <c r="AA923" s="17" t="s">
        <v>29</v>
      </c>
      <c r="AB923" s="17" t="s">
        <v>29</v>
      </c>
    </row>
    <row r="924" spans="1:28" x14ac:dyDescent="0.3">
      <c r="A924" s="63" t="s">
        <v>980</v>
      </c>
      <c r="B924" s="7" t="s">
        <v>664</v>
      </c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17"/>
      <c r="S924" s="17"/>
      <c r="T924" s="17"/>
      <c r="U924" s="17"/>
      <c r="V924" s="17"/>
      <c r="W924" s="17"/>
      <c r="X924" s="17"/>
      <c r="Y924" s="17"/>
      <c r="Z924" s="17"/>
      <c r="AA924" s="58"/>
    </row>
    <row r="925" spans="1:28" x14ac:dyDescent="0.3">
      <c r="A925" s="64"/>
      <c r="B925" s="8"/>
      <c r="C925" s="7" t="s">
        <v>539</v>
      </c>
      <c r="D925" s="15" t="s">
        <v>68</v>
      </c>
      <c r="E925" s="9">
        <f>117467.5+127305.9+227569.9</f>
        <v>472343.3</v>
      </c>
      <c r="F925" s="8"/>
      <c r="G925" s="8"/>
      <c r="H925" s="9">
        <f t="shared" ref="H925:H939" si="514">F925+G925</f>
        <v>0</v>
      </c>
      <c r="I925" s="8"/>
      <c r="J925" s="9">
        <f t="shared" ref="J925:J939" si="515">H925+I925</f>
        <v>0</v>
      </c>
      <c r="K925" s="9">
        <v>472343.3</v>
      </c>
      <c r="L925" s="8"/>
      <c r="M925" s="9">
        <f>+H925+L925</f>
        <v>0</v>
      </c>
      <c r="N925" s="8">
        <v>472343.3</v>
      </c>
      <c r="O925" s="9"/>
      <c r="P925" s="9">
        <f>+N925+O925</f>
        <v>472343.3</v>
      </c>
      <c r="Q925" s="9">
        <f t="shared" ref="Q925:Q939" si="516">E925-P925</f>
        <v>0</v>
      </c>
      <c r="R925" s="17"/>
      <c r="S925" s="17"/>
      <c r="T925" s="17"/>
      <c r="U925" s="9">
        <f t="shared" ref="U925:U939" si="517">P925+T925</f>
        <v>472343.3</v>
      </c>
      <c r="V925" s="9">
        <f t="shared" ref="V925:V939" si="518">P925+H925</f>
        <v>472343.3</v>
      </c>
      <c r="W925" s="9">
        <f t="shared" ref="W925:W939" si="519">E925-V925</f>
        <v>0</v>
      </c>
      <c r="X925" s="9">
        <f t="shared" ref="X925:X939" si="520">+H925+P925</f>
        <v>472343.3</v>
      </c>
      <c r="Y925" s="8"/>
      <c r="Z925" s="9">
        <f t="shared" ref="Z925:Z939" si="521">+E925-X925</f>
        <v>0</v>
      </c>
      <c r="AA925" s="8">
        <f t="shared" ref="AA925:AA939" si="522">+M925+U925</f>
        <v>472343.3</v>
      </c>
      <c r="AB925" s="8">
        <f t="shared" ref="AB925:AB939" si="523">+E925-AA925</f>
        <v>0</v>
      </c>
    </row>
    <row r="926" spans="1:28" x14ac:dyDescent="0.3">
      <c r="A926" s="64"/>
      <c r="B926" s="8"/>
      <c r="C926" s="7" t="s">
        <v>665</v>
      </c>
      <c r="D926" s="15" t="s">
        <v>68</v>
      </c>
      <c r="E926" s="9">
        <v>1700000</v>
      </c>
      <c r="F926" s="9">
        <f>349747.58+336200</f>
        <v>685947.58000000007</v>
      </c>
      <c r="G926" s="8"/>
      <c r="H926" s="9">
        <f t="shared" si="514"/>
        <v>685947.58000000007</v>
      </c>
      <c r="I926" s="8"/>
      <c r="J926" s="9">
        <f t="shared" si="515"/>
        <v>685947.58000000007</v>
      </c>
      <c r="K926" s="9">
        <v>1014052.42</v>
      </c>
      <c r="L926" s="8"/>
      <c r="M926" s="9">
        <f t="shared" ref="M926:M939" si="524">+H926+L926</f>
        <v>685947.58000000007</v>
      </c>
      <c r="N926" s="8">
        <v>1014052.42</v>
      </c>
      <c r="O926" s="9"/>
      <c r="P926" s="9">
        <f t="shared" ref="P926:P939" si="525">+N926+O926</f>
        <v>1014052.42</v>
      </c>
      <c r="Q926" s="9">
        <f t="shared" si="516"/>
        <v>685947.58</v>
      </c>
      <c r="R926" s="17"/>
      <c r="S926" s="17"/>
      <c r="T926" s="17"/>
      <c r="U926" s="9">
        <f t="shared" si="517"/>
        <v>1014052.42</v>
      </c>
      <c r="V926" s="9">
        <f t="shared" si="518"/>
        <v>1700000</v>
      </c>
      <c r="W926" s="9">
        <f t="shared" si="519"/>
        <v>0</v>
      </c>
      <c r="X926" s="9">
        <f t="shared" si="520"/>
        <v>1700000</v>
      </c>
      <c r="Y926" s="8"/>
      <c r="Z926" s="9">
        <f t="shared" si="521"/>
        <v>0</v>
      </c>
      <c r="AA926" s="8">
        <f t="shared" si="522"/>
        <v>1700000</v>
      </c>
      <c r="AB926" s="8">
        <f t="shared" si="523"/>
        <v>0</v>
      </c>
    </row>
    <row r="927" spans="1:28" x14ac:dyDescent="0.3">
      <c r="A927" s="64"/>
      <c r="B927" s="8"/>
      <c r="C927" s="7" t="s">
        <v>665</v>
      </c>
      <c r="D927" s="15" t="s">
        <v>68</v>
      </c>
      <c r="E927" s="9">
        <v>2550000</v>
      </c>
      <c r="F927" s="9">
        <f>1912019.7+216580+19468+79757+317360.97</f>
        <v>2545185.67</v>
      </c>
      <c r="G927" s="8"/>
      <c r="H927" s="9">
        <f t="shared" si="514"/>
        <v>2545185.67</v>
      </c>
      <c r="I927" s="8"/>
      <c r="J927" s="9">
        <f t="shared" si="515"/>
        <v>2545185.67</v>
      </c>
      <c r="K927" s="9">
        <v>4814.33</v>
      </c>
      <c r="L927" s="8"/>
      <c r="M927" s="9">
        <f t="shared" si="524"/>
        <v>2545185.67</v>
      </c>
      <c r="N927" s="8">
        <v>4814.33</v>
      </c>
      <c r="O927" s="9"/>
      <c r="P927" s="9">
        <f t="shared" si="525"/>
        <v>4814.33</v>
      </c>
      <c r="Q927" s="9">
        <f t="shared" si="516"/>
        <v>2545185.67</v>
      </c>
      <c r="R927" s="17"/>
      <c r="S927" s="17"/>
      <c r="T927" s="17"/>
      <c r="U927" s="9">
        <f t="shared" si="517"/>
        <v>4814.33</v>
      </c>
      <c r="V927" s="9">
        <f t="shared" si="518"/>
        <v>2550000</v>
      </c>
      <c r="W927" s="9">
        <f t="shared" si="519"/>
        <v>0</v>
      </c>
      <c r="X927" s="9">
        <f t="shared" si="520"/>
        <v>2550000</v>
      </c>
      <c r="Y927" s="8"/>
      <c r="Z927" s="9">
        <f t="shared" si="521"/>
        <v>0</v>
      </c>
      <c r="AA927" s="8">
        <f t="shared" si="522"/>
        <v>2550000</v>
      </c>
      <c r="AB927" s="8">
        <f t="shared" si="523"/>
        <v>0</v>
      </c>
    </row>
    <row r="928" spans="1:28" x14ac:dyDescent="0.3">
      <c r="A928" s="64"/>
      <c r="B928" s="8"/>
      <c r="C928" s="7" t="s">
        <v>535</v>
      </c>
      <c r="D928" s="15" t="s">
        <v>54</v>
      </c>
      <c r="E928" s="9">
        <f>298000-14900-103907</f>
        <v>179193</v>
      </c>
      <c r="F928" s="9">
        <v>179193</v>
      </c>
      <c r="G928" s="8"/>
      <c r="H928" s="9">
        <f t="shared" si="514"/>
        <v>179193</v>
      </c>
      <c r="I928" s="8"/>
      <c r="J928" s="9">
        <f t="shared" si="515"/>
        <v>179193</v>
      </c>
      <c r="K928" s="8"/>
      <c r="L928" s="8"/>
      <c r="M928" s="9">
        <f t="shared" si="524"/>
        <v>179193</v>
      </c>
      <c r="N928" s="8"/>
      <c r="O928" s="9"/>
      <c r="P928" s="9">
        <f t="shared" si="525"/>
        <v>0</v>
      </c>
      <c r="Q928" s="9">
        <f t="shared" si="516"/>
        <v>179193</v>
      </c>
      <c r="R928" s="17"/>
      <c r="S928" s="17"/>
      <c r="T928" s="17"/>
      <c r="U928" s="9">
        <f t="shared" si="517"/>
        <v>0</v>
      </c>
      <c r="V928" s="9">
        <f t="shared" si="518"/>
        <v>179193</v>
      </c>
      <c r="W928" s="9">
        <f t="shared" si="519"/>
        <v>0</v>
      </c>
      <c r="X928" s="9">
        <f t="shared" si="520"/>
        <v>179193</v>
      </c>
      <c r="Y928" s="8"/>
      <c r="Z928" s="9">
        <f t="shared" si="521"/>
        <v>0</v>
      </c>
      <c r="AA928" s="8">
        <f t="shared" si="522"/>
        <v>179193</v>
      </c>
      <c r="AB928" s="8">
        <f t="shared" si="523"/>
        <v>0</v>
      </c>
    </row>
    <row r="929" spans="1:28" x14ac:dyDescent="0.3">
      <c r="A929" s="64"/>
      <c r="B929" s="8"/>
      <c r="C929" s="7" t="s">
        <v>545</v>
      </c>
      <c r="D929" s="15" t="s">
        <v>54</v>
      </c>
      <c r="E929" s="9">
        <v>1953989</v>
      </c>
      <c r="F929" s="8"/>
      <c r="G929" s="8"/>
      <c r="H929" s="9">
        <f t="shared" si="514"/>
        <v>0</v>
      </c>
      <c r="I929" s="8"/>
      <c r="J929" s="9">
        <f t="shared" si="515"/>
        <v>0</v>
      </c>
      <c r="K929" s="9">
        <v>1953989</v>
      </c>
      <c r="L929" s="8"/>
      <c r="M929" s="9">
        <f t="shared" si="524"/>
        <v>0</v>
      </c>
      <c r="N929" s="8">
        <v>1953989</v>
      </c>
      <c r="O929" s="9"/>
      <c r="P929" s="9">
        <f t="shared" si="525"/>
        <v>1953989</v>
      </c>
      <c r="Q929" s="9">
        <f t="shared" si="516"/>
        <v>0</v>
      </c>
      <c r="R929" s="17"/>
      <c r="S929" s="17"/>
      <c r="T929" s="17"/>
      <c r="U929" s="9">
        <f t="shared" si="517"/>
        <v>1953989</v>
      </c>
      <c r="V929" s="9">
        <f t="shared" si="518"/>
        <v>1953989</v>
      </c>
      <c r="W929" s="9">
        <f t="shared" si="519"/>
        <v>0</v>
      </c>
      <c r="X929" s="9">
        <f t="shared" si="520"/>
        <v>1953989</v>
      </c>
      <c r="Y929" s="8"/>
      <c r="Z929" s="9">
        <f t="shared" si="521"/>
        <v>0</v>
      </c>
      <c r="AA929" s="8">
        <f t="shared" si="522"/>
        <v>1953989</v>
      </c>
      <c r="AB929" s="8">
        <f t="shared" si="523"/>
        <v>0</v>
      </c>
    </row>
    <row r="930" spans="1:28" x14ac:dyDescent="0.3">
      <c r="A930" s="64"/>
      <c r="B930" s="8"/>
      <c r="C930" s="7" t="s">
        <v>535</v>
      </c>
      <c r="D930" s="15" t="s">
        <v>85</v>
      </c>
      <c r="E930" s="9">
        <f>739000-73900</f>
        <v>665100</v>
      </c>
      <c r="F930" s="9">
        <f>396250+194813.03+74036.97</f>
        <v>665100</v>
      </c>
      <c r="G930" s="8"/>
      <c r="H930" s="9">
        <f t="shared" si="514"/>
        <v>665100</v>
      </c>
      <c r="I930" s="8"/>
      <c r="J930" s="9">
        <f t="shared" si="515"/>
        <v>665100</v>
      </c>
      <c r="K930" s="8"/>
      <c r="L930" s="8"/>
      <c r="M930" s="9">
        <f t="shared" si="524"/>
        <v>665100</v>
      </c>
      <c r="N930" s="8"/>
      <c r="O930" s="9"/>
      <c r="P930" s="9">
        <f t="shared" si="525"/>
        <v>0</v>
      </c>
      <c r="Q930" s="9">
        <f t="shared" si="516"/>
        <v>665100</v>
      </c>
      <c r="R930" s="17"/>
      <c r="S930" s="17"/>
      <c r="T930" s="17"/>
      <c r="U930" s="9">
        <f t="shared" si="517"/>
        <v>0</v>
      </c>
      <c r="V930" s="9">
        <f t="shared" si="518"/>
        <v>665100</v>
      </c>
      <c r="W930" s="9">
        <f t="shared" si="519"/>
        <v>0</v>
      </c>
      <c r="X930" s="9">
        <f t="shared" si="520"/>
        <v>665100</v>
      </c>
      <c r="Y930" s="8"/>
      <c r="Z930" s="9">
        <f t="shared" si="521"/>
        <v>0</v>
      </c>
      <c r="AA930" s="8">
        <f t="shared" si="522"/>
        <v>665100</v>
      </c>
      <c r="AB930" s="8">
        <f t="shared" si="523"/>
        <v>0</v>
      </c>
    </row>
    <row r="931" spans="1:28" x14ac:dyDescent="0.3">
      <c r="A931" s="64"/>
      <c r="B931" s="8"/>
      <c r="C931" s="7" t="s">
        <v>535</v>
      </c>
      <c r="D931" s="15" t="s">
        <v>128</v>
      </c>
      <c r="E931" s="9">
        <v>1500000</v>
      </c>
      <c r="F931" s="9">
        <v>1500000</v>
      </c>
      <c r="G931" s="8"/>
      <c r="H931" s="9">
        <f t="shared" si="514"/>
        <v>1500000</v>
      </c>
      <c r="I931" s="8"/>
      <c r="J931" s="9">
        <f t="shared" si="515"/>
        <v>1500000</v>
      </c>
      <c r="K931" s="8"/>
      <c r="L931" s="8"/>
      <c r="M931" s="9">
        <f t="shared" si="524"/>
        <v>1500000</v>
      </c>
      <c r="N931" s="8"/>
      <c r="O931" s="9"/>
      <c r="P931" s="9">
        <f t="shared" si="525"/>
        <v>0</v>
      </c>
      <c r="Q931" s="9">
        <f t="shared" si="516"/>
        <v>1500000</v>
      </c>
      <c r="R931" s="17"/>
      <c r="S931" s="17"/>
      <c r="T931" s="17"/>
      <c r="U931" s="9">
        <f t="shared" si="517"/>
        <v>0</v>
      </c>
      <c r="V931" s="9">
        <f t="shared" si="518"/>
        <v>1500000</v>
      </c>
      <c r="W931" s="9">
        <f t="shared" si="519"/>
        <v>0</v>
      </c>
      <c r="X931" s="9">
        <f t="shared" si="520"/>
        <v>1500000</v>
      </c>
      <c r="Y931" s="8"/>
      <c r="Z931" s="9">
        <f t="shared" si="521"/>
        <v>0</v>
      </c>
      <c r="AA931" s="8">
        <f t="shared" si="522"/>
        <v>1500000</v>
      </c>
      <c r="AB931" s="8">
        <f t="shared" si="523"/>
        <v>0</v>
      </c>
    </row>
    <row r="932" spans="1:28" x14ac:dyDescent="0.3">
      <c r="A932" s="64"/>
      <c r="B932" s="8"/>
      <c r="C932" s="7" t="s">
        <v>535</v>
      </c>
      <c r="D932" s="15" t="s">
        <v>88</v>
      </c>
      <c r="E932" s="9">
        <v>516290</v>
      </c>
      <c r="F932" s="9">
        <v>516290</v>
      </c>
      <c r="G932" s="8"/>
      <c r="H932" s="9">
        <f t="shared" si="514"/>
        <v>516290</v>
      </c>
      <c r="I932" s="8"/>
      <c r="J932" s="9">
        <f t="shared" si="515"/>
        <v>516290</v>
      </c>
      <c r="K932" s="8"/>
      <c r="L932" s="8"/>
      <c r="M932" s="9">
        <f t="shared" si="524"/>
        <v>516290</v>
      </c>
      <c r="N932" s="8"/>
      <c r="O932" s="9"/>
      <c r="P932" s="9">
        <f t="shared" si="525"/>
        <v>0</v>
      </c>
      <c r="Q932" s="9">
        <f t="shared" si="516"/>
        <v>516290</v>
      </c>
      <c r="R932" s="17"/>
      <c r="S932" s="17"/>
      <c r="T932" s="17"/>
      <c r="U932" s="9">
        <f t="shared" si="517"/>
        <v>0</v>
      </c>
      <c r="V932" s="9">
        <f t="shared" si="518"/>
        <v>516290</v>
      </c>
      <c r="W932" s="9">
        <f t="shared" si="519"/>
        <v>0</v>
      </c>
      <c r="X932" s="9">
        <f t="shared" si="520"/>
        <v>516290</v>
      </c>
      <c r="Y932" s="8"/>
      <c r="Z932" s="9">
        <f t="shared" si="521"/>
        <v>0</v>
      </c>
      <c r="AA932" s="8">
        <f t="shared" si="522"/>
        <v>516290</v>
      </c>
      <c r="AB932" s="8">
        <f t="shared" si="523"/>
        <v>0</v>
      </c>
    </row>
    <row r="933" spans="1:28" x14ac:dyDescent="0.3">
      <c r="A933" s="64"/>
      <c r="B933" s="8"/>
      <c r="C933" s="7" t="s">
        <v>542</v>
      </c>
      <c r="D933" s="15" t="s">
        <v>88</v>
      </c>
      <c r="E933" s="9">
        <v>4500000</v>
      </c>
      <c r="F933" s="9">
        <v>4500000</v>
      </c>
      <c r="G933" s="8"/>
      <c r="H933" s="9">
        <f t="shared" si="514"/>
        <v>4500000</v>
      </c>
      <c r="I933" s="8"/>
      <c r="J933" s="9">
        <f t="shared" si="515"/>
        <v>4500000</v>
      </c>
      <c r="K933" s="8"/>
      <c r="L933" s="8"/>
      <c r="M933" s="9">
        <f t="shared" si="524"/>
        <v>4500000</v>
      </c>
      <c r="N933" s="8"/>
      <c r="O933" s="9"/>
      <c r="P933" s="9">
        <f t="shared" si="525"/>
        <v>0</v>
      </c>
      <c r="Q933" s="9">
        <f t="shared" si="516"/>
        <v>4500000</v>
      </c>
      <c r="R933" s="17"/>
      <c r="S933" s="17"/>
      <c r="T933" s="17"/>
      <c r="U933" s="9">
        <f t="shared" si="517"/>
        <v>0</v>
      </c>
      <c r="V933" s="9">
        <f t="shared" si="518"/>
        <v>4500000</v>
      </c>
      <c r="W933" s="9">
        <f t="shared" si="519"/>
        <v>0</v>
      </c>
      <c r="X933" s="9">
        <f t="shared" si="520"/>
        <v>4500000</v>
      </c>
      <c r="Y933" s="8"/>
      <c r="Z933" s="9">
        <f t="shared" si="521"/>
        <v>0</v>
      </c>
      <c r="AA933" s="8">
        <f t="shared" si="522"/>
        <v>4500000</v>
      </c>
      <c r="AB933" s="8">
        <f t="shared" si="523"/>
        <v>0</v>
      </c>
    </row>
    <row r="934" spans="1:28" x14ac:dyDescent="0.3">
      <c r="A934" s="64"/>
      <c r="B934" s="8"/>
      <c r="C934" s="7" t="s">
        <v>535</v>
      </c>
      <c r="D934" s="15" t="s">
        <v>60</v>
      </c>
      <c r="E934" s="9">
        <v>3329195.49</v>
      </c>
      <c r="F934" s="9">
        <v>3329195.49</v>
      </c>
      <c r="G934" s="8"/>
      <c r="H934" s="9">
        <f t="shared" si="514"/>
        <v>3329195.49</v>
      </c>
      <c r="I934" s="8"/>
      <c r="J934" s="9">
        <f t="shared" si="515"/>
        <v>3329195.49</v>
      </c>
      <c r="K934" s="8"/>
      <c r="L934" s="8"/>
      <c r="M934" s="9">
        <f t="shared" si="524"/>
        <v>3329195.49</v>
      </c>
      <c r="N934" s="8"/>
      <c r="O934" s="9"/>
      <c r="P934" s="9">
        <f t="shared" si="525"/>
        <v>0</v>
      </c>
      <c r="Q934" s="9">
        <f t="shared" si="516"/>
        <v>3329195.49</v>
      </c>
      <c r="R934" s="17"/>
      <c r="S934" s="17"/>
      <c r="T934" s="17"/>
      <c r="U934" s="9">
        <f t="shared" si="517"/>
        <v>0</v>
      </c>
      <c r="V934" s="9">
        <f t="shared" si="518"/>
        <v>3329195.49</v>
      </c>
      <c r="W934" s="9">
        <f t="shared" si="519"/>
        <v>0</v>
      </c>
      <c r="X934" s="9">
        <f t="shared" si="520"/>
        <v>3329195.49</v>
      </c>
      <c r="Y934" s="8"/>
      <c r="Z934" s="9">
        <f t="shared" si="521"/>
        <v>0</v>
      </c>
      <c r="AA934" s="8">
        <f t="shared" si="522"/>
        <v>3329195.49</v>
      </c>
      <c r="AB934" s="8">
        <f t="shared" si="523"/>
        <v>0</v>
      </c>
    </row>
    <row r="935" spans="1:28" x14ac:dyDescent="0.3">
      <c r="A935" s="64"/>
      <c r="B935" s="8"/>
      <c r="C935" s="7" t="s">
        <v>1125</v>
      </c>
      <c r="D935" s="16" t="s">
        <v>1126</v>
      </c>
      <c r="E935" s="9">
        <v>300000</v>
      </c>
      <c r="F935" s="9">
        <v>300000</v>
      </c>
      <c r="G935" s="8"/>
      <c r="H935" s="9">
        <f>+F935+G935</f>
        <v>300000</v>
      </c>
      <c r="I935" s="8"/>
      <c r="J935" s="9">
        <f t="shared" si="515"/>
        <v>300000</v>
      </c>
      <c r="K935" s="8"/>
      <c r="L935" s="8"/>
      <c r="M935" s="9">
        <f>+H935+L935</f>
        <v>300000</v>
      </c>
      <c r="N935" s="8"/>
      <c r="O935" s="9"/>
      <c r="P935" s="9">
        <f>+N935+O935</f>
        <v>0</v>
      </c>
      <c r="Q935" s="9">
        <f t="shared" si="516"/>
        <v>300000</v>
      </c>
      <c r="R935" s="17"/>
      <c r="S935" s="17"/>
      <c r="T935" s="17"/>
      <c r="U935" s="9">
        <f t="shared" si="517"/>
        <v>0</v>
      </c>
      <c r="V935" s="9">
        <f t="shared" si="518"/>
        <v>300000</v>
      </c>
      <c r="W935" s="9">
        <f t="shared" si="519"/>
        <v>0</v>
      </c>
      <c r="X935" s="9">
        <f t="shared" si="520"/>
        <v>300000</v>
      </c>
      <c r="Y935" s="8"/>
      <c r="Z935" s="9">
        <f t="shared" si="521"/>
        <v>0</v>
      </c>
      <c r="AA935" s="8">
        <f t="shared" si="522"/>
        <v>300000</v>
      </c>
      <c r="AB935" s="8">
        <f t="shared" si="523"/>
        <v>0</v>
      </c>
    </row>
    <row r="936" spans="1:28" x14ac:dyDescent="0.3">
      <c r="A936" s="64"/>
      <c r="B936" s="8"/>
      <c r="C936" s="13" t="s">
        <v>1116</v>
      </c>
      <c r="D936" s="16" t="s">
        <v>1072</v>
      </c>
      <c r="E936" s="9">
        <v>1677419.26</v>
      </c>
      <c r="F936" s="9">
        <v>1677419.26</v>
      </c>
      <c r="G936" s="8"/>
      <c r="H936" s="9">
        <f>+F936+G936</f>
        <v>1677419.26</v>
      </c>
      <c r="I936" s="8"/>
      <c r="J936" s="9">
        <f t="shared" si="515"/>
        <v>1677419.26</v>
      </c>
      <c r="K936" s="8"/>
      <c r="L936" s="8"/>
      <c r="M936" s="9">
        <f t="shared" si="524"/>
        <v>1677419.26</v>
      </c>
      <c r="N936" s="8"/>
      <c r="O936" s="9"/>
      <c r="P936" s="9">
        <f>+N936+O936</f>
        <v>0</v>
      </c>
      <c r="Q936" s="9">
        <f t="shared" si="516"/>
        <v>1677419.26</v>
      </c>
      <c r="R936" s="17"/>
      <c r="S936" s="17"/>
      <c r="T936" s="17"/>
      <c r="U936" s="9">
        <f t="shared" si="517"/>
        <v>0</v>
      </c>
      <c r="V936" s="9">
        <f t="shared" si="518"/>
        <v>1677419.26</v>
      </c>
      <c r="W936" s="9">
        <f t="shared" si="519"/>
        <v>0</v>
      </c>
      <c r="X936" s="9">
        <f t="shared" si="520"/>
        <v>1677419.26</v>
      </c>
      <c r="Y936" s="8"/>
      <c r="Z936" s="9">
        <f t="shared" si="521"/>
        <v>0</v>
      </c>
      <c r="AA936" s="8">
        <f t="shared" si="522"/>
        <v>1677419.26</v>
      </c>
      <c r="AB936" s="8">
        <f t="shared" si="523"/>
        <v>0</v>
      </c>
    </row>
    <row r="937" spans="1:28" x14ac:dyDescent="0.3">
      <c r="A937" s="64"/>
      <c r="B937" s="8"/>
      <c r="C937" s="7" t="s">
        <v>562</v>
      </c>
      <c r="D937" s="8"/>
      <c r="E937" s="9">
        <f>30757.97+282337.45</f>
        <v>313095.42000000004</v>
      </c>
      <c r="F937" s="9">
        <v>313095.42</v>
      </c>
      <c r="G937" s="8"/>
      <c r="H937" s="9">
        <f t="shared" si="514"/>
        <v>313095.42</v>
      </c>
      <c r="I937" s="8"/>
      <c r="J937" s="9">
        <f t="shared" si="515"/>
        <v>313095.42</v>
      </c>
      <c r="K937" s="8"/>
      <c r="L937" s="8"/>
      <c r="M937" s="9">
        <f t="shared" si="524"/>
        <v>313095.42</v>
      </c>
      <c r="N937" s="8"/>
      <c r="O937" s="9"/>
      <c r="P937" s="9">
        <f t="shared" si="525"/>
        <v>0</v>
      </c>
      <c r="Q937" s="9">
        <f t="shared" si="516"/>
        <v>313095.42000000004</v>
      </c>
      <c r="R937" s="17"/>
      <c r="S937" s="17"/>
      <c r="T937" s="17"/>
      <c r="U937" s="9">
        <f t="shared" si="517"/>
        <v>0</v>
      </c>
      <c r="V937" s="9">
        <f t="shared" si="518"/>
        <v>313095.42</v>
      </c>
      <c r="W937" s="9">
        <f t="shared" si="519"/>
        <v>0</v>
      </c>
      <c r="X937" s="9">
        <f t="shared" si="520"/>
        <v>313095.42</v>
      </c>
      <c r="Y937" s="8"/>
      <c r="Z937" s="9">
        <f t="shared" si="521"/>
        <v>0</v>
      </c>
      <c r="AA937" s="8">
        <f t="shared" si="522"/>
        <v>313095.42</v>
      </c>
      <c r="AB937" s="8">
        <f t="shared" si="523"/>
        <v>0</v>
      </c>
    </row>
    <row r="938" spans="1:28" x14ac:dyDescent="0.3">
      <c r="A938" s="64"/>
      <c r="B938" s="8"/>
      <c r="C938" s="7" t="s">
        <v>551</v>
      </c>
      <c r="D938" s="8"/>
      <c r="E938" s="9">
        <f>489972.08+1693450.07+3430892.87+3177535.49+1285937.33+2106574.19</f>
        <v>12184362.029999999</v>
      </c>
      <c r="F938" s="9">
        <f>489972.08+11694389.95</f>
        <v>12184362.029999999</v>
      </c>
      <c r="G938" s="8"/>
      <c r="H938" s="9">
        <f t="shared" si="514"/>
        <v>12184362.029999999</v>
      </c>
      <c r="I938" s="8"/>
      <c r="J938" s="9">
        <f t="shared" si="515"/>
        <v>12184362.029999999</v>
      </c>
      <c r="K938" s="8"/>
      <c r="L938" s="8"/>
      <c r="M938" s="9">
        <f t="shared" si="524"/>
        <v>12184362.029999999</v>
      </c>
      <c r="N938" s="8"/>
      <c r="O938" s="9"/>
      <c r="P938" s="9">
        <f t="shared" si="525"/>
        <v>0</v>
      </c>
      <c r="Q938" s="9">
        <f t="shared" si="516"/>
        <v>12184362.029999999</v>
      </c>
      <c r="R938" s="17"/>
      <c r="S938" s="17"/>
      <c r="T938" s="17"/>
      <c r="U938" s="9">
        <f t="shared" si="517"/>
        <v>0</v>
      </c>
      <c r="V938" s="9">
        <f t="shared" si="518"/>
        <v>12184362.029999999</v>
      </c>
      <c r="W938" s="9">
        <f t="shared" si="519"/>
        <v>0</v>
      </c>
      <c r="X938" s="9">
        <f t="shared" si="520"/>
        <v>12184362.029999999</v>
      </c>
      <c r="Y938" s="8"/>
      <c r="Z938" s="9">
        <f t="shared" si="521"/>
        <v>0</v>
      </c>
      <c r="AA938" s="8">
        <f t="shared" si="522"/>
        <v>12184362.029999999</v>
      </c>
      <c r="AB938" s="8">
        <f t="shared" si="523"/>
        <v>0</v>
      </c>
    </row>
    <row r="939" spans="1:28" x14ac:dyDescent="0.3">
      <c r="A939" s="64"/>
      <c r="B939" s="8"/>
      <c r="C939" s="7" t="s">
        <v>606</v>
      </c>
      <c r="D939" s="8"/>
      <c r="E939" s="9">
        <v>2500000</v>
      </c>
      <c r="F939" s="9">
        <v>2500000</v>
      </c>
      <c r="G939" s="8"/>
      <c r="H939" s="9">
        <f t="shared" si="514"/>
        <v>2500000</v>
      </c>
      <c r="I939" s="8"/>
      <c r="J939" s="9">
        <f t="shared" si="515"/>
        <v>2500000</v>
      </c>
      <c r="K939" s="8"/>
      <c r="L939" s="8"/>
      <c r="M939" s="9">
        <f t="shared" si="524"/>
        <v>2500000</v>
      </c>
      <c r="N939" s="8"/>
      <c r="O939" s="9"/>
      <c r="P939" s="9">
        <f t="shared" si="525"/>
        <v>0</v>
      </c>
      <c r="Q939" s="9">
        <f t="shared" si="516"/>
        <v>2500000</v>
      </c>
      <c r="R939" s="17"/>
      <c r="S939" s="17"/>
      <c r="T939" s="17"/>
      <c r="U939" s="9">
        <f t="shared" si="517"/>
        <v>0</v>
      </c>
      <c r="V939" s="9">
        <f t="shared" si="518"/>
        <v>2500000</v>
      </c>
      <c r="W939" s="9">
        <f t="shared" si="519"/>
        <v>0</v>
      </c>
      <c r="X939" s="9">
        <f t="shared" si="520"/>
        <v>2500000</v>
      </c>
      <c r="Y939" s="8"/>
      <c r="Z939" s="9">
        <f t="shared" si="521"/>
        <v>0</v>
      </c>
      <c r="AA939" s="8">
        <f t="shared" si="522"/>
        <v>2500000</v>
      </c>
      <c r="AB939" s="8">
        <f t="shared" si="523"/>
        <v>0</v>
      </c>
    </row>
    <row r="940" spans="1:28" x14ac:dyDescent="0.3">
      <c r="A940" s="64"/>
      <c r="B940" s="8"/>
      <c r="C940" s="8"/>
      <c r="D940" s="8"/>
      <c r="E940" s="17" t="s">
        <v>29</v>
      </c>
      <c r="F940" s="17" t="s">
        <v>29</v>
      </c>
      <c r="G940" s="17" t="s">
        <v>29</v>
      </c>
      <c r="H940" s="17" t="s">
        <v>29</v>
      </c>
      <c r="I940" s="17" t="s">
        <v>29</v>
      </c>
      <c r="J940" s="17" t="s">
        <v>29</v>
      </c>
      <c r="K940" s="17" t="s">
        <v>29</v>
      </c>
      <c r="L940" s="17" t="s">
        <v>29</v>
      </c>
      <c r="M940" s="17" t="s">
        <v>29</v>
      </c>
      <c r="N940" s="17" t="s">
        <v>29</v>
      </c>
      <c r="O940" s="17" t="s">
        <v>29</v>
      </c>
      <c r="P940" s="17" t="s">
        <v>29</v>
      </c>
      <c r="Q940" s="17" t="s">
        <v>29</v>
      </c>
      <c r="R940" s="17" t="s">
        <v>29</v>
      </c>
      <c r="S940" s="17" t="s">
        <v>29</v>
      </c>
      <c r="T940" s="17" t="s">
        <v>29</v>
      </c>
      <c r="U940" s="17" t="s">
        <v>29</v>
      </c>
      <c r="V940" s="17" t="s">
        <v>29</v>
      </c>
      <c r="W940" s="17" t="s">
        <v>29</v>
      </c>
      <c r="X940" s="17" t="s">
        <v>29</v>
      </c>
      <c r="Y940" s="17" t="s">
        <v>29</v>
      </c>
      <c r="Z940" s="17" t="s">
        <v>29</v>
      </c>
      <c r="AA940" s="17" t="s">
        <v>29</v>
      </c>
      <c r="AB940" s="17" t="s">
        <v>29</v>
      </c>
    </row>
    <row r="941" spans="1:28" x14ac:dyDescent="0.3">
      <c r="A941" s="64"/>
      <c r="B941" s="8"/>
      <c r="C941" s="8"/>
      <c r="D941" s="8"/>
      <c r="E941" s="9">
        <f t="shared" ref="E941:Q941" si="526">SUM(E925:E940)</f>
        <v>34340987.5</v>
      </c>
      <c r="F941" s="9">
        <f t="shared" si="526"/>
        <v>30895788.449999999</v>
      </c>
      <c r="G941" s="9">
        <f t="shared" si="526"/>
        <v>0</v>
      </c>
      <c r="H941" s="9">
        <f t="shared" si="526"/>
        <v>30895788.449999999</v>
      </c>
      <c r="I941" s="9">
        <f t="shared" si="526"/>
        <v>0</v>
      </c>
      <c r="J941" s="9">
        <f t="shared" si="526"/>
        <v>30895788.449999999</v>
      </c>
      <c r="K941" s="9">
        <f t="shared" si="526"/>
        <v>3445199.05</v>
      </c>
      <c r="L941" s="9">
        <f t="shared" si="526"/>
        <v>0</v>
      </c>
      <c r="M941" s="9">
        <f t="shared" si="526"/>
        <v>30895788.449999999</v>
      </c>
      <c r="N941" s="9">
        <f t="shared" si="526"/>
        <v>3445199.05</v>
      </c>
      <c r="O941" s="9">
        <f t="shared" si="526"/>
        <v>0</v>
      </c>
      <c r="P941" s="9">
        <f t="shared" si="526"/>
        <v>3445199.05</v>
      </c>
      <c r="Q941" s="9">
        <f t="shared" si="526"/>
        <v>30895788.449999999</v>
      </c>
      <c r="R941" s="17"/>
      <c r="S941" s="17"/>
      <c r="T941" s="9">
        <f t="shared" ref="T941:Z941" si="527">SUM(T925:T940)</f>
        <v>0</v>
      </c>
      <c r="U941" s="9">
        <f t="shared" si="527"/>
        <v>3445199.05</v>
      </c>
      <c r="V941" s="9">
        <f t="shared" si="527"/>
        <v>34340987.5</v>
      </c>
      <c r="W941" s="9">
        <f t="shared" si="527"/>
        <v>0</v>
      </c>
      <c r="X941" s="9">
        <f t="shared" si="527"/>
        <v>34340987.5</v>
      </c>
      <c r="Y941" s="9">
        <f t="shared" si="527"/>
        <v>0</v>
      </c>
      <c r="Z941" s="9">
        <f t="shared" si="527"/>
        <v>0</v>
      </c>
      <c r="AA941" s="9">
        <f>SUM(AA925:AA940)</f>
        <v>34340987.5</v>
      </c>
      <c r="AB941" s="9">
        <f>SUM(AB925:AB940)</f>
        <v>0</v>
      </c>
    </row>
    <row r="942" spans="1:28" ht="11.25" customHeight="1" x14ac:dyDescent="0.3">
      <c r="A942" s="64"/>
      <c r="B942" s="8"/>
      <c r="C942" s="8"/>
      <c r="D942" s="8"/>
      <c r="E942" s="17" t="s">
        <v>29</v>
      </c>
      <c r="F942" s="17" t="s">
        <v>29</v>
      </c>
      <c r="G942" s="17" t="s">
        <v>29</v>
      </c>
      <c r="H942" s="17" t="s">
        <v>29</v>
      </c>
      <c r="I942" s="17" t="s">
        <v>29</v>
      </c>
      <c r="J942" s="17" t="s">
        <v>29</v>
      </c>
      <c r="K942" s="17" t="s">
        <v>29</v>
      </c>
      <c r="L942" s="17" t="s">
        <v>29</v>
      </c>
      <c r="M942" s="17" t="s">
        <v>29</v>
      </c>
      <c r="N942" s="17" t="s">
        <v>29</v>
      </c>
      <c r="O942" s="17" t="s">
        <v>29</v>
      </c>
      <c r="P942" s="17" t="s">
        <v>29</v>
      </c>
      <c r="Q942" s="17" t="s">
        <v>29</v>
      </c>
      <c r="R942" s="17" t="s">
        <v>29</v>
      </c>
      <c r="S942" s="17" t="s">
        <v>29</v>
      </c>
      <c r="T942" s="17" t="s">
        <v>29</v>
      </c>
      <c r="U942" s="17" t="s">
        <v>29</v>
      </c>
      <c r="V942" s="17" t="s">
        <v>29</v>
      </c>
      <c r="W942" s="17" t="s">
        <v>29</v>
      </c>
      <c r="X942" s="17" t="s">
        <v>29</v>
      </c>
      <c r="Y942" s="17" t="s">
        <v>29</v>
      </c>
      <c r="Z942" s="17" t="s">
        <v>29</v>
      </c>
      <c r="AA942" s="17" t="s">
        <v>29</v>
      </c>
      <c r="AB942" s="17" t="s">
        <v>29</v>
      </c>
    </row>
    <row r="943" spans="1:28" x14ac:dyDescent="0.3">
      <c r="A943" s="63" t="s">
        <v>981</v>
      </c>
      <c r="B943" s="7" t="s">
        <v>666</v>
      </c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17"/>
      <c r="S943" s="17"/>
      <c r="T943" s="17"/>
      <c r="U943" s="17"/>
      <c r="V943" s="17"/>
      <c r="W943" s="17"/>
      <c r="X943" s="17"/>
      <c r="Y943" s="17"/>
      <c r="Z943" s="17"/>
      <c r="AA943" s="58"/>
    </row>
    <row r="944" spans="1:28" x14ac:dyDescent="0.3">
      <c r="A944" s="64"/>
      <c r="B944" s="8"/>
      <c r="C944" s="7" t="s">
        <v>667</v>
      </c>
      <c r="D944" s="15" t="s">
        <v>85</v>
      </c>
      <c r="E944" s="9">
        <v>280000</v>
      </c>
      <c r="F944" s="9">
        <v>280000</v>
      </c>
      <c r="G944" s="8"/>
      <c r="H944" s="9">
        <f>F944+G944</f>
        <v>280000</v>
      </c>
      <c r="I944" s="8"/>
      <c r="J944" s="9">
        <f>H944+I944</f>
        <v>280000</v>
      </c>
      <c r="K944" s="8"/>
      <c r="L944" s="8"/>
      <c r="M944" s="9">
        <f>+H944+L944</f>
        <v>280000</v>
      </c>
      <c r="N944" s="8"/>
      <c r="O944" s="9"/>
      <c r="P944" s="9">
        <f>+N944+O944</f>
        <v>0</v>
      </c>
      <c r="Q944" s="9">
        <f>E944-P944</f>
        <v>280000</v>
      </c>
      <c r="R944" s="17"/>
      <c r="S944" s="17"/>
      <c r="T944" s="17"/>
      <c r="U944" s="9">
        <f>P944+T944</f>
        <v>0</v>
      </c>
      <c r="V944" s="9">
        <f>P944+H944</f>
        <v>280000</v>
      </c>
      <c r="W944" s="9">
        <f>E944-V944</f>
        <v>0</v>
      </c>
      <c r="X944" s="9">
        <f>+H944+P944</f>
        <v>280000</v>
      </c>
      <c r="Y944" s="8"/>
      <c r="Z944" s="9">
        <f>+E944-X944</f>
        <v>0</v>
      </c>
      <c r="AA944" s="8">
        <f>+M944+U944</f>
        <v>280000</v>
      </c>
      <c r="AB944" s="8">
        <f>+E944-AA944</f>
        <v>0</v>
      </c>
    </row>
    <row r="945" spans="1:28" x14ac:dyDescent="0.3">
      <c r="A945" s="64"/>
      <c r="B945" s="8"/>
      <c r="C945" s="7" t="s">
        <v>667</v>
      </c>
      <c r="D945" s="15" t="s">
        <v>85</v>
      </c>
      <c r="E945" s="9">
        <v>475000</v>
      </c>
      <c r="F945" s="9">
        <v>475000</v>
      </c>
      <c r="G945" s="8"/>
      <c r="H945" s="9">
        <f>F945+G945</f>
        <v>475000</v>
      </c>
      <c r="I945" s="8"/>
      <c r="J945" s="9">
        <f>H945+I945</f>
        <v>475000</v>
      </c>
      <c r="K945" s="8"/>
      <c r="L945" s="8"/>
      <c r="M945" s="9">
        <f>+H945+L945</f>
        <v>475000</v>
      </c>
      <c r="N945" s="8"/>
      <c r="O945" s="9"/>
      <c r="P945" s="9">
        <f>+N945+O945</f>
        <v>0</v>
      </c>
      <c r="Q945" s="9">
        <f>E945-P945</f>
        <v>475000</v>
      </c>
      <c r="R945" s="17"/>
      <c r="S945" s="17"/>
      <c r="T945" s="17"/>
      <c r="U945" s="9">
        <f>P945+T945</f>
        <v>0</v>
      </c>
      <c r="V945" s="9">
        <f>P945+H945</f>
        <v>475000</v>
      </c>
      <c r="W945" s="9">
        <f>E945-V945</f>
        <v>0</v>
      </c>
      <c r="X945" s="9">
        <f>+H945+P945</f>
        <v>475000</v>
      </c>
      <c r="Y945" s="8"/>
      <c r="Z945" s="9">
        <f>+E945-X945</f>
        <v>0</v>
      </c>
      <c r="AA945" s="8">
        <f>+M945+U945</f>
        <v>475000</v>
      </c>
      <c r="AB945" s="8">
        <f>+E945-AA945</f>
        <v>0</v>
      </c>
    </row>
    <row r="946" spans="1:28" x14ac:dyDescent="0.3">
      <c r="A946" s="64"/>
      <c r="B946" s="8"/>
      <c r="C946" s="8"/>
      <c r="D946" s="8"/>
      <c r="E946" s="17" t="s">
        <v>29</v>
      </c>
      <c r="F946" s="17" t="s">
        <v>29</v>
      </c>
      <c r="G946" s="17" t="s">
        <v>29</v>
      </c>
      <c r="H946" s="17" t="s">
        <v>29</v>
      </c>
      <c r="I946" s="17" t="s">
        <v>29</v>
      </c>
      <c r="J946" s="17" t="s">
        <v>29</v>
      </c>
      <c r="K946" s="17" t="s">
        <v>29</v>
      </c>
      <c r="L946" s="17" t="s">
        <v>29</v>
      </c>
      <c r="M946" s="17" t="s">
        <v>29</v>
      </c>
      <c r="N946" s="17" t="s">
        <v>29</v>
      </c>
      <c r="O946" s="17" t="s">
        <v>29</v>
      </c>
      <c r="P946" s="17" t="s">
        <v>29</v>
      </c>
      <c r="Q946" s="17" t="s">
        <v>29</v>
      </c>
      <c r="R946" s="17" t="s">
        <v>29</v>
      </c>
      <c r="S946" s="17" t="s">
        <v>29</v>
      </c>
      <c r="T946" s="17" t="s">
        <v>29</v>
      </c>
      <c r="U946" s="17" t="s">
        <v>29</v>
      </c>
      <c r="V946" s="17" t="s">
        <v>29</v>
      </c>
      <c r="W946" s="17" t="s">
        <v>29</v>
      </c>
      <c r="X946" s="17" t="s">
        <v>29</v>
      </c>
      <c r="Y946" s="17" t="s">
        <v>29</v>
      </c>
      <c r="Z946" s="17" t="s">
        <v>29</v>
      </c>
      <c r="AA946" s="17" t="s">
        <v>29</v>
      </c>
      <c r="AB946" s="17" t="s">
        <v>29</v>
      </c>
    </row>
    <row r="947" spans="1:28" x14ac:dyDescent="0.3">
      <c r="A947" s="64"/>
      <c r="B947" s="8"/>
      <c r="C947" s="8"/>
      <c r="D947" s="8"/>
      <c r="E947" s="9">
        <f t="shared" ref="E947:Q947" si="528">SUM(E944:E946)</f>
        <v>755000</v>
      </c>
      <c r="F947" s="9">
        <f t="shared" si="528"/>
        <v>755000</v>
      </c>
      <c r="G947" s="9">
        <f t="shared" si="528"/>
        <v>0</v>
      </c>
      <c r="H947" s="9">
        <f t="shared" si="528"/>
        <v>755000</v>
      </c>
      <c r="I947" s="9">
        <f t="shared" si="528"/>
        <v>0</v>
      </c>
      <c r="J947" s="9">
        <f t="shared" si="528"/>
        <v>755000</v>
      </c>
      <c r="K947" s="9">
        <f t="shared" si="528"/>
        <v>0</v>
      </c>
      <c r="L947" s="9">
        <f t="shared" si="528"/>
        <v>0</v>
      </c>
      <c r="M947" s="9">
        <f t="shared" si="528"/>
        <v>755000</v>
      </c>
      <c r="N947" s="9">
        <f t="shared" si="528"/>
        <v>0</v>
      </c>
      <c r="O947" s="9">
        <f t="shared" si="528"/>
        <v>0</v>
      </c>
      <c r="P947" s="9">
        <f t="shared" si="528"/>
        <v>0</v>
      </c>
      <c r="Q947" s="9">
        <f t="shared" si="528"/>
        <v>755000</v>
      </c>
      <c r="R947" s="17"/>
      <c r="S947" s="17"/>
      <c r="T947" s="9">
        <f t="shared" ref="T947:Z947" si="529">SUM(T944:T946)</f>
        <v>0</v>
      </c>
      <c r="U947" s="9">
        <f t="shared" si="529"/>
        <v>0</v>
      </c>
      <c r="V947" s="9">
        <f t="shared" si="529"/>
        <v>755000</v>
      </c>
      <c r="W947" s="9">
        <f t="shared" si="529"/>
        <v>0</v>
      </c>
      <c r="X947" s="9">
        <f t="shared" si="529"/>
        <v>755000</v>
      </c>
      <c r="Y947" s="9">
        <f t="shared" si="529"/>
        <v>0</v>
      </c>
      <c r="Z947" s="9">
        <f t="shared" si="529"/>
        <v>0</v>
      </c>
      <c r="AA947" s="9">
        <f>SUM(AA944:AA946)</f>
        <v>755000</v>
      </c>
      <c r="AB947" s="9">
        <f>SUM(AB944:AB946)</f>
        <v>0</v>
      </c>
    </row>
    <row r="948" spans="1:28" x14ac:dyDescent="0.3">
      <c r="A948" s="64"/>
      <c r="B948" s="8"/>
      <c r="C948" s="8"/>
      <c r="D948" s="8"/>
      <c r="E948" s="17" t="s">
        <v>29</v>
      </c>
      <c r="F948" s="17" t="s">
        <v>29</v>
      </c>
      <c r="G948" s="17" t="s">
        <v>29</v>
      </c>
      <c r="H948" s="17" t="s">
        <v>29</v>
      </c>
      <c r="I948" s="17" t="s">
        <v>29</v>
      </c>
      <c r="J948" s="17" t="s">
        <v>29</v>
      </c>
      <c r="K948" s="17" t="s">
        <v>29</v>
      </c>
      <c r="L948" s="17" t="s">
        <v>29</v>
      </c>
      <c r="M948" s="17" t="s">
        <v>29</v>
      </c>
      <c r="N948" s="17" t="s">
        <v>29</v>
      </c>
      <c r="O948" s="17" t="s">
        <v>29</v>
      </c>
      <c r="P948" s="17" t="s">
        <v>29</v>
      </c>
      <c r="Q948" s="17" t="s">
        <v>29</v>
      </c>
      <c r="R948" s="17" t="s">
        <v>29</v>
      </c>
      <c r="S948" s="17" t="s">
        <v>29</v>
      </c>
      <c r="T948" s="17" t="s">
        <v>29</v>
      </c>
      <c r="U948" s="17" t="s">
        <v>29</v>
      </c>
      <c r="V948" s="17" t="s">
        <v>29</v>
      </c>
      <c r="W948" s="17" t="s">
        <v>29</v>
      </c>
      <c r="X948" s="17" t="s">
        <v>29</v>
      </c>
      <c r="Y948" s="17" t="s">
        <v>29</v>
      </c>
      <c r="Z948" s="17" t="s">
        <v>29</v>
      </c>
      <c r="AA948" s="17" t="s">
        <v>29</v>
      </c>
      <c r="AB948" s="17" t="s">
        <v>29</v>
      </c>
    </row>
    <row r="949" spans="1:28" x14ac:dyDescent="0.3">
      <c r="A949" s="64"/>
      <c r="B949" s="7" t="s">
        <v>668</v>
      </c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17"/>
      <c r="S949" s="17"/>
      <c r="T949" s="17"/>
      <c r="U949" s="17"/>
      <c r="V949" s="17"/>
      <c r="W949" s="17"/>
      <c r="X949" s="17"/>
      <c r="Y949" s="17"/>
      <c r="Z949" s="17"/>
    </row>
    <row r="950" spans="1:28" x14ac:dyDescent="0.3">
      <c r="A950" s="64"/>
      <c r="B950" s="8"/>
      <c r="C950" s="7" t="s">
        <v>667</v>
      </c>
      <c r="D950" s="15" t="s">
        <v>85</v>
      </c>
      <c r="E950" s="9">
        <v>160000</v>
      </c>
      <c r="F950" s="9">
        <v>160000</v>
      </c>
      <c r="G950" s="9">
        <v>0</v>
      </c>
      <c r="H950" s="9">
        <f>F950+G950</f>
        <v>160000</v>
      </c>
      <c r="I950" s="9">
        <v>0</v>
      </c>
      <c r="J950" s="9">
        <f>H950+I950</f>
        <v>160000</v>
      </c>
      <c r="K950" s="8"/>
      <c r="L950" s="8">
        <v>0</v>
      </c>
      <c r="M950" s="9">
        <f>+H950+L950</f>
        <v>160000</v>
      </c>
      <c r="N950" s="8">
        <v>0</v>
      </c>
      <c r="O950" s="9">
        <v>0</v>
      </c>
      <c r="P950" s="9">
        <f>+N950+O950</f>
        <v>0</v>
      </c>
      <c r="Q950" s="9">
        <f>E950-P950</f>
        <v>160000</v>
      </c>
      <c r="R950" s="17"/>
      <c r="S950" s="17"/>
      <c r="T950" s="18">
        <v>0</v>
      </c>
      <c r="U950" s="9">
        <f>P950+T950</f>
        <v>0</v>
      </c>
      <c r="V950" s="9">
        <f>P950+H950</f>
        <v>160000</v>
      </c>
      <c r="W950" s="9">
        <f>E950-V950</f>
        <v>0</v>
      </c>
      <c r="X950" s="9">
        <f>+H950+P950</f>
        <v>160000</v>
      </c>
      <c r="Y950" s="8"/>
      <c r="Z950" s="9">
        <f>+E950-X950</f>
        <v>0</v>
      </c>
      <c r="AA950" s="8">
        <f>+M950+U950</f>
        <v>160000</v>
      </c>
      <c r="AB950" s="8">
        <f>+E950-AA950</f>
        <v>0</v>
      </c>
    </row>
    <row r="951" spans="1:28" x14ac:dyDescent="0.3">
      <c r="A951" s="64"/>
      <c r="B951" s="8"/>
      <c r="C951" s="8"/>
      <c r="D951" s="8"/>
      <c r="E951" s="17" t="s">
        <v>29</v>
      </c>
      <c r="F951" s="17" t="s">
        <v>29</v>
      </c>
      <c r="G951" s="17" t="s">
        <v>29</v>
      </c>
      <c r="H951" s="17" t="s">
        <v>29</v>
      </c>
      <c r="I951" s="17" t="s">
        <v>29</v>
      </c>
      <c r="J951" s="17" t="s">
        <v>29</v>
      </c>
      <c r="K951" s="17" t="s">
        <v>29</v>
      </c>
      <c r="L951" s="17" t="s">
        <v>29</v>
      </c>
      <c r="M951" s="17" t="s">
        <v>29</v>
      </c>
      <c r="N951" s="17" t="s">
        <v>29</v>
      </c>
      <c r="O951" s="17" t="s">
        <v>29</v>
      </c>
      <c r="P951" s="17" t="s">
        <v>29</v>
      </c>
      <c r="Q951" s="17" t="s">
        <v>29</v>
      </c>
      <c r="R951" s="17" t="s">
        <v>29</v>
      </c>
      <c r="S951" s="17" t="s">
        <v>29</v>
      </c>
      <c r="T951" s="17" t="s">
        <v>29</v>
      </c>
      <c r="U951" s="17" t="s">
        <v>29</v>
      </c>
      <c r="V951" s="17" t="s">
        <v>29</v>
      </c>
      <c r="W951" s="17" t="s">
        <v>29</v>
      </c>
      <c r="X951" s="17" t="s">
        <v>29</v>
      </c>
      <c r="Y951" s="17" t="s">
        <v>29</v>
      </c>
      <c r="Z951" s="17" t="s">
        <v>29</v>
      </c>
      <c r="AA951" s="17" t="s">
        <v>29</v>
      </c>
      <c r="AB951" s="17" t="s">
        <v>29</v>
      </c>
    </row>
    <row r="952" spans="1:28" x14ac:dyDescent="0.3">
      <c r="A952" s="64"/>
      <c r="B952" s="7" t="s">
        <v>669</v>
      </c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17"/>
      <c r="S952" s="17"/>
      <c r="T952" s="17"/>
      <c r="U952" s="17"/>
      <c r="V952" s="17"/>
      <c r="W952" s="17"/>
      <c r="X952" s="17"/>
      <c r="Y952" s="17"/>
      <c r="Z952" s="17"/>
    </row>
    <row r="953" spans="1:28" x14ac:dyDescent="0.3">
      <c r="A953" s="64"/>
      <c r="B953" s="8"/>
      <c r="C953" s="7" t="s">
        <v>667</v>
      </c>
      <c r="D953" s="15" t="s">
        <v>85</v>
      </c>
      <c r="E953" s="9">
        <v>160000</v>
      </c>
      <c r="F953" s="9">
        <v>160000</v>
      </c>
      <c r="G953" s="8"/>
      <c r="H953" s="9">
        <f>F953+G953</f>
        <v>160000</v>
      </c>
      <c r="I953" s="8"/>
      <c r="J953" s="9">
        <f>H953+I953</f>
        <v>160000</v>
      </c>
      <c r="K953" s="8"/>
      <c r="L953" s="8"/>
      <c r="M953" s="9">
        <f>+H953+L953</f>
        <v>160000</v>
      </c>
      <c r="N953" s="8"/>
      <c r="O953" s="9">
        <v>0</v>
      </c>
      <c r="P953" s="9">
        <f>+N953+O953</f>
        <v>0</v>
      </c>
      <c r="Q953" s="9">
        <f>E953-P953</f>
        <v>160000</v>
      </c>
      <c r="R953" s="17"/>
      <c r="S953" s="17"/>
      <c r="T953" s="17"/>
      <c r="U953" s="9">
        <f>P953+T953</f>
        <v>0</v>
      </c>
      <c r="V953" s="9">
        <f>P953+H953</f>
        <v>160000</v>
      </c>
      <c r="W953" s="9">
        <f>E953-V953</f>
        <v>0</v>
      </c>
      <c r="X953" s="9">
        <f>+H953+P953</f>
        <v>160000</v>
      </c>
      <c r="Y953" s="8"/>
      <c r="Z953" s="9">
        <f>+E953-X953</f>
        <v>0</v>
      </c>
      <c r="AA953" s="8">
        <f>+M953+U953</f>
        <v>160000</v>
      </c>
      <c r="AB953" s="8">
        <f>+E953-AA953</f>
        <v>0</v>
      </c>
    </row>
    <row r="954" spans="1:28" x14ac:dyDescent="0.3">
      <c r="A954" s="64"/>
      <c r="B954" s="8"/>
      <c r="C954" s="7" t="s">
        <v>667</v>
      </c>
      <c r="D954" s="15" t="s">
        <v>85</v>
      </c>
      <c r="E954" s="9">
        <v>400000</v>
      </c>
      <c r="F954" s="8"/>
      <c r="G954" s="8"/>
      <c r="H954" s="9">
        <f>F954+G954</f>
        <v>0</v>
      </c>
      <c r="I954" s="8"/>
      <c r="J954" s="9">
        <f>H954+I954</f>
        <v>0</v>
      </c>
      <c r="K954" s="8"/>
      <c r="L954" s="8"/>
      <c r="M954" s="9">
        <f>+H954+L954</f>
        <v>0</v>
      </c>
      <c r="N954" s="8"/>
      <c r="O954" s="9">
        <f>M954+N954</f>
        <v>0</v>
      </c>
      <c r="P954" s="9">
        <f>J954+O954</f>
        <v>0</v>
      </c>
      <c r="Q954" s="9">
        <f>E954-P954</f>
        <v>400000</v>
      </c>
      <c r="R954" s="17"/>
      <c r="S954" s="17"/>
      <c r="T954" s="17"/>
      <c r="U954" s="9">
        <f>P954+T954</f>
        <v>0</v>
      </c>
      <c r="V954" s="9">
        <f>P954+H954</f>
        <v>0</v>
      </c>
      <c r="W954" s="9">
        <f>E954-V954</f>
        <v>400000</v>
      </c>
      <c r="X954" s="9">
        <f>+H954+P954</f>
        <v>0</v>
      </c>
      <c r="Y954" s="8"/>
      <c r="Z954" s="9">
        <f>+E954-X954</f>
        <v>400000</v>
      </c>
      <c r="AA954" s="8">
        <f>+M954+U954</f>
        <v>0</v>
      </c>
      <c r="AB954" s="8">
        <f>+E954-AA954</f>
        <v>400000</v>
      </c>
    </row>
    <row r="955" spans="1:28" x14ac:dyDescent="0.3">
      <c r="A955" s="64"/>
      <c r="B955" s="8"/>
      <c r="C955" s="8"/>
      <c r="D955" s="8"/>
      <c r="E955" s="17" t="s">
        <v>29</v>
      </c>
      <c r="F955" s="17" t="s">
        <v>29</v>
      </c>
      <c r="G955" s="17" t="s">
        <v>29</v>
      </c>
      <c r="H955" s="17" t="s">
        <v>29</v>
      </c>
      <c r="I955" s="17" t="s">
        <v>29</v>
      </c>
      <c r="J955" s="17" t="s">
        <v>29</v>
      </c>
      <c r="K955" s="17" t="s">
        <v>29</v>
      </c>
      <c r="L955" s="17" t="s">
        <v>29</v>
      </c>
      <c r="M955" s="17" t="s">
        <v>29</v>
      </c>
      <c r="N955" s="17" t="s">
        <v>29</v>
      </c>
      <c r="O955" s="17" t="s">
        <v>29</v>
      </c>
      <c r="P955" s="17" t="s">
        <v>29</v>
      </c>
      <c r="Q955" s="17" t="s">
        <v>29</v>
      </c>
      <c r="R955" s="17" t="s">
        <v>29</v>
      </c>
      <c r="S955" s="17" t="s">
        <v>29</v>
      </c>
      <c r="T955" s="17" t="s">
        <v>29</v>
      </c>
      <c r="U955" s="17" t="s">
        <v>29</v>
      </c>
      <c r="V955" s="17" t="s">
        <v>29</v>
      </c>
      <c r="W955" s="17" t="s">
        <v>29</v>
      </c>
      <c r="X955" s="17" t="s">
        <v>29</v>
      </c>
      <c r="Y955" s="17" t="s">
        <v>29</v>
      </c>
      <c r="Z955" s="17" t="s">
        <v>29</v>
      </c>
      <c r="AA955" s="17" t="s">
        <v>29</v>
      </c>
      <c r="AB955" s="17" t="s">
        <v>29</v>
      </c>
    </row>
    <row r="956" spans="1:28" x14ac:dyDescent="0.3">
      <c r="A956" s="64"/>
      <c r="B956" s="8"/>
      <c r="C956" s="8"/>
      <c r="D956" s="8"/>
      <c r="E956" s="9">
        <f t="shared" ref="E956:Q956" si="530">SUM(E953:E954)</f>
        <v>560000</v>
      </c>
      <c r="F956" s="9">
        <f t="shared" si="530"/>
        <v>160000</v>
      </c>
      <c r="G956" s="9">
        <f t="shared" si="530"/>
        <v>0</v>
      </c>
      <c r="H956" s="9">
        <f t="shared" si="530"/>
        <v>160000</v>
      </c>
      <c r="I956" s="9">
        <f t="shared" si="530"/>
        <v>0</v>
      </c>
      <c r="J956" s="9">
        <f t="shared" si="530"/>
        <v>160000</v>
      </c>
      <c r="K956" s="9">
        <f t="shared" si="530"/>
        <v>0</v>
      </c>
      <c r="L956" s="9">
        <f t="shared" si="530"/>
        <v>0</v>
      </c>
      <c r="M956" s="9">
        <f t="shared" si="530"/>
        <v>160000</v>
      </c>
      <c r="N956" s="9">
        <f t="shared" si="530"/>
        <v>0</v>
      </c>
      <c r="O956" s="9">
        <f t="shared" si="530"/>
        <v>0</v>
      </c>
      <c r="P956" s="9">
        <f t="shared" si="530"/>
        <v>0</v>
      </c>
      <c r="Q956" s="9">
        <f t="shared" si="530"/>
        <v>560000</v>
      </c>
      <c r="R956" s="17"/>
      <c r="S956" s="17"/>
      <c r="T956" s="9">
        <f t="shared" ref="T956:AB956" si="531">SUM(T953:T954)</f>
        <v>0</v>
      </c>
      <c r="U956" s="9">
        <f t="shared" si="531"/>
        <v>0</v>
      </c>
      <c r="V956" s="9">
        <f t="shared" si="531"/>
        <v>160000</v>
      </c>
      <c r="W956" s="9">
        <f t="shared" si="531"/>
        <v>400000</v>
      </c>
      <c r="X956" s="9">
        <f t="shared" si="531"/>
        <v>160000</v>
      </c>
      <c r="Y956" s="9">
        <f t="shared" si="531"/>
        <v>0</v>
      </c>
      <c r="Z956" s="9">
        <f t="shared" si="531"/>
        <v>400000</v>
      </c>
      <c r="AA956" s="9">
        <f t="shared" si="531"/>
        <v>160000</v>
      </c>
      <c r="AB956" s="9">
        <f t="shared" si="531"/>
        <v>400000</v>
      </c>
    </row>
    <row r="957" spans="1:28" x14ac:dyDescent="0.3">
      <c r="A957" s="64"/>
      <c r="B957" s="8"/>
      <c r="C957" s="8"/>
      <c r="D957" s="8"/>
      <c r="E957" s="17" t="s">
        <v>29</v>
      </c>
      <c r="F957" s="17" t="s">
        <v>29</v>
      </c>
      <c r="G957" s="17" t="s">
        <v>29</v>
      </c>
      <c r="H957" s="17" t="s">
        <v>29</v>
      </c>
      <c r="I957" s="17" t="s">
        <v>29</v>
      </c>
      <c r="J957" s="17" t="s">
        <v>29</v>
      </c>
      <c r="K957" s="17" t="s">
        <v>29</v>
      </c>
      <c r="L957" s="17" t="s">
        <v>29</v>
      </c>
      <c r="M957" s="17" t="s">
        <v>29</v>
      </c>
      <c r="N957" s="17" t="s">
        <v>29</v>
      </c>
      <c r="O957" s="17" t="s">
        <v>29</v>
      </c>
      <c r="P957" s="17" t="s">
        <v>29</v>
      </c>
      <c r="Q957" s="17" t="s">
        <v>29</v>
      </c>
      <c r="R957" s="17" t="s">
        <v>29</v>
      </c>
      <c r="S957" s="17" t="s">
        <v>29</v>
      </c>
      <c r="T957" s="17" t="s">
        <v>29</v>
      </c>
      <c r="U957" s="17" t="s">
        <v>29</v>
      </c>
      <c r="V957" s="17" t="s">
        <v>29</v>
      </c>
      <c r="W957" s="17" t="s">
        <v>29</v>
      </c>
      <c r="X957" s="17" t="s">
        <v>29</v>
      </c>
      <c r="Y957" s="17" t="s">
        <v>29</v>
      </c>
      <c r="Z957" s="17" t="s">
        <v>29</v>
      </c>
      <c r="AA957" s="17" t="s">
        <v>29</v>
      </c>
      <c r="AB957" s="17" t="s">
        <v>29</v>
      </c>
    </row>
    <row r="958" spans="1:28" x14ac:dyDescent="0.3">
      <c r="A958" s="64"/>
      <c r="B958" s="7" t="s">
        <v>670</v>
      </c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17"/>
      <c r="S958" s="17"/>
      <c r="T958" s="17"/>
      <c r="U958" s="17"/>
      <c r="V958" s="17"/>
      <c r="W958" s="17"/>
      <c r="X958" s="17"/>
      <c r="Y958" s="17"/>
      <c r="Z958" s="17"/>
      <c r="AA958" s="17"/>
      <c r="AB958" s="17"/>
    </row>
    <row r="959" spans="1:28" x14ac:dyDescent="0.3">
      <c r="A959" s="64"/>
      <c r="B959" s="8"/>
      <c r="C959" s="7" t="s">
        <v>671</v>
      </c>
      <c r="D959" s="15" t="s">
        <v>85</v>
      </c>
      <c r="E959" s="9">
        <v>56000</v>
      </c>
      <c r="F959" s="8"/>
      <c r="G959" s="8"/>
      <c r="H959" s="9">
        <f>F959+G959</f>
        <v>0</v>
      </c>
      <c r="I959" s="8"/>
      <c r="J959" s="9">
        <f>H959+I959</f>
        <v>0</v>
      </c>
      <c r="K959" s="8"/>
      <c r="L959" s="8"/>
      <c r="M959" s="9">
        <f>K959+L959</f>
        <v>0</v>
      </c>
      <c r="N959" s="8"/>
      <c r="O959" s="9">
        <f>M959+N959</f>
        <v>0</v>
      </c>
      <c r="P959" s="9">
        <f>J959+O959</f>
        <v>0</v>
      </c>
      <c r="Q959" s="9">
        <f>E959-P959</f>
        <v>56000</v>
      </c>
      <c r="R959" s="17"/>
      <c r="S959" s="17"/>
      <c r="T959" s="18">
        <v>0</v>
      </c>
      <c r="U959" s="18">
        <v>0</v>
      </c>
      <c r="V959" s="18"/>
      <c r="W959" s="18"/>
      <c r="X959" s="9">
        <f>+H959+P959</f>
        <v>0</v>
      </c>
      <c r="Y959" s="8"/>
      <c r="Z959" s="9">
        <f>+E959-X959</f>
        <v>56000</v>
      </c>
      <c r="AA959" s="8">
        <f>+M959+U959</f>
        <v>0</v>
      </c>
      <c r="AB959" s="8">
        <f>+E959-AA959</f>
        <v>56000</v>
      </c>
    </row>
    <row r="960" spans="1:28" x14ac:dyDescent="0.3">
      <c r="A960" s="64"/>
      <c r="B960" s="8"/>
      <c r="C960" s="8"/>
      <c r="D960" s="8"/>
      <c r="E960" s="17" t="s">
        <v>29</v>
      </c>
      <c r="F960" s="17" t="s">
        <v>29</v>
      </c>
      <c r="G960" s="17" t="s">
        <v>29</v>
      </c>
      <c r="H960" s="17" t="s">
        <v>29</v>
      </c>
      <c r="I960" s="17" t="s">
        <v>29</v>
      </c>
      <c r="J960" s="17" t="s">
        <v>29</v>
      </c>
      <c r="K960" s="17" t="s">
        <v>29</v>
      </c>
      <c r="L960" s="17" t="s">
        <v>29</v>
      </c>
      <c r="M960" s="17" t="s">
        <v>29</v>
      </c>
      <c r="N960" s="17" t="s">
        <v>29</v>
      </c>
      <c r="O960" s="17" t="s">
        <v>29</v>
      </c>
      <c r="P960" s="17" t="s">
        <v>29</v>
      </c>
      <c r="Q960" s="17" t="s">
        <v>29</v>
      </c>
      <c r="R960" s="17" t="s">
        <v>29</v>
      </c>
      <c r="S960" s="17" t="s">
        <v>29</v>
      </c>
      <c r="T960" s="17" t="s">
        <v>29</v>
      </c>
      <c r="U960" s="17" t="s">
        <v>29</v>
      </c>
      <c r="V960" s="17" t="s">
        <v>29</v>
      </c>
      <c r="W960" s="17" t="s">
        <v>29</v>
      </c>
      <c r="X960" s="17" t="s">
        <v>29</v>
      </c>
      <c r="Y960" s="17" t="s">
        <v>29</v>
      </c>
      <c r="Z960" s="17" t="s">
        <v>29</v>
      </c>
      <c r="AA960" s="17" t="s">
        <v>29</v>
      </c>
      <c r="AB960" s="17" t="s">
        <v>29</v>
      </c>
    </row>
    <row r="961" spans="1:28" x14ac:dyDescent="0.3">
      <c r="A961" s="64"/>
      <c r="B961" s="7" t="s">
        <v>672</v>
      </c>
      <c r="C961" s="8"/>
      <c r="D961" s="8"/>
      <c r="E961" s="9">
        <f>E661+E691+E714+E743+E756+E781+E802+E823+E844+E872+E895+E922+E941+E947+E950+E956+E959+E645</f>
        <v>537950182.25999999</v>
      </c>
      <c r="F961" s="9">
        <f>F661+F691+F714+F743+F756+F781+F802+F823+F844+F872+F895+F922+F941+F947+F950+F956+F959+F645</f>
        <v>456116055.69999987</v>
      </c>
      <c r="G961" s="9">
        <f>G661+G691+G714+G743+G756+G781+G802+G823+G844+G872+G895+G922+G941+G947+G950+G956+G959+G645</f>
        <v>2131642.2000000002</v>
      </c>
      <c r="H961" s="9">
        <f>H661+H691+H714+H743+H756+H781+H802+H823+H844+H872+H895+H922+H941+H947+H950+H956+H959+H645</f>
        <v>458247697.89999992</v>
      </c>
      <c r="I961" s="9">
        <f>I661+I691+I714+I743+I756+I781+I802+I823+I844+I872+I895+I922+I941+I947+I950+I956+I959</f>
        <v>8678799.5130000003</v>
      </c>
      <c r="J961" s="9">
        <f>J661+J691+J714+J743+J756+J781+J802+J823+J844+J872+J895+J922+J941+J947+J950+J956+J959</f>
        <v>435767441.63299996</v>
      </c>
      <c r="K961" s="9">
        <f>K661+K691+K714+K743+K756+K781+K802+K823+K844+K872+K895+K922+K941+K947+K950+K956+K959</f>
        <v>69727703.099999994</v>
      </c>
      <c r="L961" s="9">
        <f>L661+L691+L714+L743+L756+L781+L802+L823+L844+L872+L895+L922+L941+L947+L950+L956+L959+L645</f>
        <v>8678799.5099999998</v>
      </c>
      <c r="M961" s="9">
        <f>M661+M691+M714+M743+M756+M781+M802+M823+M844+M872+M895+M922+M941+M947+M950+M956+M959+M645</f>
        <v>466926497.40999991</v>
      </c>
      <c r="N961" s="9">
        <f>N661+N691+N714+N743+N756+N781+N802+N823+N844+N872+N895+N922+N941+N947+N950+N956+N959+N645</f>
        <v>69987546.769999996</v>
      </c>
      <c r="O961" s="9">
        <f>O661+O691+O714+O743+O756+O781+O802+O823+O844+O872+O895+O922+O941+O947+O950+O956+O959+O645</f>
        <v>0</v>
      </c>
      <c r="P961" s="9">
        <f>P661+P691+P714+P743+P756+P781+P802+P823+P844+P872+P895+P922+P941+P947+P950+P956+P959+P645</f>
        <v>69987546.769999996</v>
      </c>
      <c r="Q961" s="9">
        <f>Q661+Q691+Q714+Q743+Q756+Q781+Q802+Q823+Q844+Q872+Q895+Q922+Q941+Q947+Q950+Q956+Q959</f>
        <v>355010807.87</v>
      </c>
      <c r="R961" s="9">
        <f>R661+R691+R714+R743+R756+R781+R802+R823+R844+R872+R895+R922+R941+R947+R950+R956+R959</f>
        <v>0</v>
      </c>
      <c r="S961" s="9">
        <f>S661+S691+S714+S743+S756+S781+S802+S823+S844+S872+S895+S922+S941+S947+S950+S956+S959</f>
        <v>0</v>
      </c>
      <c r="T961" s="9">
        <f>T661+T691+T714+T743+T756+T781+T802+T823+T844+T872+T895+T922+T941+T947+T950+T956+T959+T645</f>
        <v>370150.07999999996</v>
      </c>
      <c r="U961" s="9">
        <f>U661+U691+U714+U743+U756+U781+U802+U823+U844+U872+U895+U922+U941+U947+U950+U956+U959+U645</f>
        <v>70357696.849999994</v>
      </c>
      <c r="V961" s="9">
        <f>V661+V691+V714+V743+V756+V781+V802+V823+V844+V872+V895+V922+V941+V947+V950+V956+V959</f>
        <v>499833891.84000003</v>
      </c>
      <c r="W961" s="9">
        <f>W661+W691+W714+W743+W756+W781+W802+W823+W844+W872+W895+W922+W941+W947+W950+W956+W959</f>
        <v>9658937.5900000017</v>
      </c>
      <c r="X961" s="9">
        <f>X661+X691+X714+X743+X756+X781+X802+X823+X844+X872+X895+X922+X941+X947+X950+X956+X959+X645</f>
        <v>528235244.67000002</v>
      </c>
      <c r="Y961" s="9">
        <f>Y661+Y691+Y714+Y743+Y756+Y781+Y802+Y823+Y844+Y872+Y895+Y922+Y941+Y947+Y950+Y956+Y959</f>
        <v>0</v>
      </c>
      <c r="Z961" s="9">
        <f>Z661+Z691+Z714+Z743+Z756+Z781+Z802+Z823+Z844+Z872+Z895+Z922+Z941+Z947+Z950+Z956+Z959+Z645</f>
        <v>9714937.5900000017</v>
      </c>
      <c r="AA961" s="9">
        <f>AA661+AA691+AA714+AA743+AA756+AA781+AA802+AA823+AA844+AA872+AA895+AA922+AA941+AA947+AA950+AA956+AA959+AA645</f>
        <v>537284194.25999999</v>
      </c>
      <c r="AB961" s="9">
        <f>AB661+AB691+AB714+AB743+AB756+AB781+AB802+AB823+AB844+AB872+AB895+AB922+AB941+AB947+AB950+AB956+AB959+AB645</f>
        <v>665988</v>
      </c>
    </row>
    <row r="962" spans="1:28" x14ac:dyDescent="0.3">
      <c r="A962" s="64"/>
      <c r="B962" s="8"/>
      <c r="C962" s="8"/>
      <c r="D962" s="8"/>
      <c r="E962" s="17" t="s">
        <v>114</v>
      </c>
      <c r="F962" s="17" t="s">
        <v>114</v>
      </c>
      <c r="G962" s="17" t="s">
        <v>114</v>
      </c>
      <c r="H962" s="17" t="s">
        <v>114</v>
      </c>
      <c r="I962" s="17" t="s">
        <v>114</v>
      </c>
      <c r="J962" s="17" t="s">
        <v>114</v>
      </c>
      <c r="K962" s="17" t="s">
        <v>114</v>
      </c>
      <c r="L962" s="17" t="s">
        <v>114</v>
      </c>
      <c r="M962" s="17" t="s">
        <v>114</v>
      </c>
      <c r="N962" s="17" t="s">
        <v>114</v>
      </c>
      <c r="O962" s="17" t="s">
        <v>114</v>
      </c>
      <c r="P962" s="17" t="s">
        <v>114</v>
      </c>
      <c r="Q962" s="17" t="s">
        <v>114</v>
      </c>
      <c r="R962" s="17" t="s">
        <v>114</v>
      </c>
      <c r="S962" s="17" t="s">
        <v>114</v>
      </c>
      <c r="T962" s="17" t="s">
        <v>114</v>
      </c>
      <c r="U962" s="17" t="s">
        <v>114</v>
      </c>
      <c r="V962" s="17" t="s">
        <v>114</v>
      </c>
      <c r="W962" s="17" t="s">
        <v>114</v>
      </c>
      <c r="X962" s="17" t="s">
        <v>114</v>
      </c>
      <c r="Y962" s="17" t="s">
        <v>114</v>
      </c>
      <c r="Z962" s="17" t="s">
        <v>114</v>
      </c>
      <c r="AA962" s="17" t="s">
        <v>114</v>
      </c>
      <c r="AB962" s="17" t="s">
        <v>114</v>
      </c>
    </row>
    <row r="963" spans="1:28" x14ac:dyDescent="0.3">
      <c r="A963" s="64"/>
      <c r="B963" s="8"/>
      <c r="C963" s="8"/>
      <c r="D963" s="8"/>
      <c r="E963" s="17"/>
      <c r="F963" s="17"/>
      <c r="G963" s="17"/>
      <c r="H963" s="18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60"/>
      <c r="AA963" s="58"/>
    </row>
    <row r="964" spans="1:28" x14ac:dyDescent="0.3">
      <c r="A964" s="64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8" x14ac:dyDescent="0.3">
      <c r="A965" s="64"/>
      <c r="B965" s="7" t="s">
        <v>201</v>
      </c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8" x14ac:dyDescent="0.3">
      <c r="A966" s="64"/>
      <c r="B966" s="8"/>
      <c r="C966" s="7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8" x14ac:dyDescent="0.3">
      <c r="A967" s="63" t="s">
        <v>982</v>
      </c>
      <c r="B967" s="7" t="s">
        <v>202</v>
      </c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8" x14ac:dyDescent="0.3">
      <c r="A968" s="64"/>
      <c r="B968" s="8"/>
      <c r="C968" s="8"/>
      <c r="D968" s="15" t="s">
        <v>203</v>
      </c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8" x14ac:dyDescent="0.3">
      <c r="A969" s="64"/>
      <c r="B969" s="8"/>
      <c r="C969" s="7" t="s">
        <v>204</v>
      </c>
      <c r="D969" s="15" t="s">
        <v>205</v>
      </c>
      <c r="E969" s="9">
        <v>18538041.149999999</v>
      </c>
      <c r="F969" s="9">
        <v>15279448.48</v>
      </c>
      <c r="G969" s="8"/>
      <c r="H969" s="9">
        <f t="shared" ref="H969:H983" si="532">F969+G969</f>
        <v>15279448.48</v>
      </c>
      <c r="I969" s="8"/>
      <c r="J969" s="8"/>
      <c r="K969" s="8"/>
      <c r="L969" s="9"/>
      <c r="M969" s="9">
        <f t="shared" ref="M969:M983" si="533">H969+L969</f>
        <v>15279448.48</v>
      </c>
      <c r="N969" s="9">
        <v>3258592.67</v>
      </c>
      <c r="O969" s="8"/>
      <c r="P969" s="9">
        <f t="shared" ref="P969:P983" si="534">N969+O969</f>
        <v>3258592.67</v>
      </c>
      <c r="Q969" s="8"/>
      <c r="R969" s="8"/>
      <c r="S969" s="8"/>
      <c r="T969" s="9"/>
      <c r="U969" s="9">
        <f t="shared" ref="U969:U983" si="535">P969+T969</f>
        <v>3258592.67</v>
      </c>
      <c r="V969" s="9">
        <f t="shared" ref="V969:V983" si="536">P969+H969</f>
        <v>18538041.149999999</v>
      </c>
      <c r="W969" s="9">
        <f t="shared" ref="W969:W983" si="537">E969-V969</f>
        <v>0</v>
      </c>
      <c r="X969" s="9">
        <f t="shared" ref="X969:X983" si="538">+H969+P969</f>
        <v>18538041.149999999</v>
      </c>
      <c r="Y969" s="8"/>
      <c r="Z969" s="9">
        <f t="shared" ref="Z969:Z983" si="539">+E969-X969</f>
        <v>0</v>
      </c>
      <c r="AA969" s="8">
        <f t="shared" ref="AA969:AA983" si="540">+M969+U969</f>
        <v>18538041.149999999</v>
      </c>
      <c r="AB969" s="8">
        <f t="shared" ref="AB969:AB983" si="541">+E969-AA969</f>
        <v>0</v>
      </c>
    </row>
    <row r="970" spans="1:28" x14ac:dyDescent="0.3">
      <c r="A970" s="64"/>
      <c r="B970" s="8"/>
      <c r="C970" s="7" t="s">
        <v>206</v>
      </c>
      <c r="D970" s="15" t="s">
        <v>166</v>
      </c>
      <c r="E970" s="9">
        <v>3498160.37</v>
      </c>
      <c r="F970" s="9">
        <v>2652641.56</v>
      </c>
      <c r="G970" s="8"/>
      <c r="H970" s="9">
        <f t="shared" si="532"/>
        <v>2652641.56</v>
      </c>
      <c r="I970" s="8"/>
      <c r="J970" s="8"/>
      <c r="K970" s="8"/>
      <c r="L970" s="9"/>
      <c r="M970" s="9">
        <f t="shared" si="533"/>
        <v>2652641.56</v>
      </c>
      <c r="N970" s="9">
        <v>845518.81</v>
      </c>
      <c r="O970" s="8"/>
      <c r="P970" s="9">
        <f t="shared" si="534"/>
        <v>845518.81</v>
      </c>
      <c r="Q970" s="8"/>
      <c r="R970" s="8"/>
      <c r="S970" s="8"/>
      <c r="T970" s="9"/>
      <c r="U970" s="9">
        <f t="shared" si="535"/>
        <v>845518.81</v>
      </c>
      <c r="V970" s="9">
        <f t="shared" si="536"/>
        <v>3498160.37</v>
      </c>
      <c r="W970" s="9">
        <f t="shared" si="537"/>
        <v>0</v>
      </c>
      <c r="X970" s="9">
        <f t="shared" si="538"/>
        <v>3498160.37</v>
      </c>
      <c r="Y970" s="8"/>
      <c r="Z970" s="9">
        <f t="shared" si="539"/>
        <v>0</v>
      </c>
      <c r="AA970" s="8">
        <f t="shared" si="540"/>
        <v>3498160.37</v>
      </c>
      <c r="AB970" s="8">
        <f t="shared" si="541"/>
        <v>0</v>
      </c>
    </row>
    <row r="971" spans="1:28" x14ac:dyDescent="0.3">
      <c r="A971" s="64"/>
      <c r="B971" s="8"/>
      <c r="C971" s="7" t="s">
        <v>83</v>
      </c>
      <c r="D971" s="15" t="s">
        <v>67</v>
      </c>
      <c r="E971" s="9">
        <v>878639</v>
      </c>
      <c r="F971" s="9">
        <v>878639</v>
      </c>
      <c r="G971" s="8"/>
      <c r="H971" s="9">
        <f t="shared" si="532"/>
        <v>878639</v>
      </c>
      <c r="I971" s="8"/>
      <c r="J971" s="8"/>
      <c r="K971" s="8"/>
      <c r="L971" s="9"/>
      <c r="M971" s="9">
        <f t="shared" si="533"/>
        <v>878639</v>
      </c>
      <c r="N971" s="9">
        <v>0</v>
      </c>
      <c r="O971" s="8"/>
      <c r="P971" s="9">
        <f t="shared" si="534"/>
        <v>0</v>
      </c>
      <c r="Q971" s="8"/>
      <c r="R971" s="8"/>
      <c r="S971" s="8"/>
      <c r="T971" s="9"/>
      <c r="U971" s="9">
        <f t="shared" si="535"/>
        <v>0</v>
      </c>
      <c r="V971" s="9">
        <f t="shared" si="536"/>
        <v>878639</v>
      </c>
      <c r="W971" s="9">
        <f t="shared" si="537"/>
        <v>0</v>
      </c>
      <c r="X971" s="9">
        <f t="shared" si="538"/>
        <v>878639</v>
      </c>
      <c r="Y971" s="8"/>
      <c r="Z971" s="9">
        <f t="shared" si="539"/>
        <v>0</v>
      </c>
      <c r="AA971" s="8">
        <f t="shared" si="540"/>
        <v>878639</v>
      </c>
      <c r="AB971" s="8">
        <f t="shared" si="541"/>
        <v>0</v>
      </c>
    </row>
    <row r="972" spans="1:28" x14ac:dyDescent="0.3">
      <c r="A972" s="64"/>
      <c r="B972" s="8"/>
      <c r="C972" s="7" t="s">
        <v>55</v>
      </c>
      <c r="D972" s="15" t="s">
        <v>207</v>
      </c>
      <c r="E972" s="9">
        <v>1466709.4</v>
      </c>
      <c r="F972" s="9">
        <v>0</v>
      </c>
      <c r="G972" s="8"/>
      <c r="H972" s="9">
        <f t="shared" si="532"/>
        <v>0</v>
      </c>
      <c r="I972" s="8"/>
      <c r="J972" s="8"/>
      <c r="K972" s="8"/>
      <c r="L972" s="9"/>
      <c r="M972" s="9">
        <f t="shared" si="533"/>
        <v>0</v>
      </c>
      <c r="N972" s="9">
        <f>1191230.4+275479</f>
        <v>1466709.4</v>
      </c>
      <c r="O972" s="8"/>
      <c r="P972" s="9">
        <f t="shared" si="534"/>
        <v>1466709.4</v>
      </c>
      <c r="Q972" s="8"/>
      <c r="R972" s="8"/>
      <c r="S972" s="8"/>
      <c r="T972" s="9"/>
      <c r="U972" s="9">
        <f t="shared" si="535"/>
        <v>1466709.4</v>
      </c>
      <c r="V972" s="9">
        <f t="shared" si="536"/>
        <v>1466709.4</v>
      </c>
      <c r="W972" s="9">
        <f t="shared" si="537"/>
        <v>0</v>
      </c>
      <c r="X972" s="9">
        <f t="shared" si="538"/>
        <v>1466709.4</v>
      </c>
      <c r="Y972" s="8"/>
      <c r="Z972" s="9">
        <f t="shared" si="539"/>
        <v>0</v>
      </c>
      <c r="AA972" s="8">
        <f t="shared" si="540"/>
        <v>1466709.4</v>
      </c>
      <c r="AB972" s="8">
        <f t="shared" si="541"/>
        <v>0</v>
      </c>
    </row>
    <row r="973" spans="1:28" x14ac:dyDescent="0.3">
      <c r="A973" s="64"/>
      <c r="B973" s="8"/>
      <c r="C973" s="7" t="s">
        <v>53</v>
      </c>
      <c r="D973" s="15" t="s">
        <v>54</v>
      </c>
      <c r="E973" s="9">
        <v>2306106</v>
      </c>
      <c r="F973" s="9">
        <v>0</v>
      </c>
      <c r="G973" s="8"/>
      <c r="H973" s="9">
        <f t="shared" si="532"/>
        <v>0</v>
      </c>
      <c r="I973" s="8"/>
      <c r="J973" s="8"/>
      <c r="K973" s="8"/>
      <c r="L973" s="9"/>
      <c r="M973" s="9">
        <f t="shared" si="533"/>
        <v>0</v>
      </c>
      <c r="N973" s="9">
        <v>2306106</v>
      </c>
      <c r="O973" s="8"/>
      <c r="P973" s="9">
        <f t="shared" si="534"/>
        <v>2306106</v>
      </c>
      <c r="Q973" s="8"/>
      <c r="R973" s="8"/>
      <c r="S973" s="8"/>
      <c r="T973" s="9"/>
      <c r="U973" s="9">
        <f t="shared" si="535"/>
        <v>2306106</v>
      </c>
      <c r="V973" s="9">
        <f t="shared" si="536"/>
        <v>2306106</v>
      </c>
      <c r="W973" s="9">
        <f t="shared" si="537"/>
        <v>0</v>
      </c>
      <c r="X973" s="9">
        <f t="shared" si="538"/>
        <v>2306106</v>
      </c>
      <c r="Y973" s="8"/>
      <c r="Z973" s="9">
        <f t="shared" si="539"/>
        <v>0</v>
      </c>
      <c r="AA973" s="8">
        <f t="shared" si="540"/>
        <v>2306106</v>
      </c>
      <c r="AB973" s="8">
        <f t="shared" si="541"/>
        <v>0</v>
      </c>
    </row>
    <row r="974" spans="1:28" x14ac:dyDescent="0.3">
      <c r="A974" s="64"/>
      <c r="B974" s="8"/>
      <c r="C974" s="7" t="s">
        <v>208</v>
      </c>
      <c r="D974" s="15" t="s">
        <v>209</v>
      </c>
      <c r="E974" s="9">
        <f>2845000-17473-4548</f>
        <v>2822979</v>
      </c>
      <c r="F974" s="9">
        <v>2311951</v>
      </c>
      <c r="G974" s="8"/>
      <c r="H974" s="9">
        <f t="shared" si="532"/>
        <v>2311951</v>
      </c>
      <c r="I974" s="8"/>
      <c r="J974" s="8"/>
      <c r="K974" s="8"/>
      <c r="L974" s="9"/>
      <c r="M974" s="9">
        <f t="shared" si="533"/>
        <v>2311951</v>
      </c>
      <c r="N974" s="9">
        <v>0</v>
      </c>
      <c r="O974" s="8"/>
      <c r="P974" s="9">
        <f t="shared" si="534"/>
        <v>0</v>
      </c>
      <c r="Q974" s="8"/>
      <c r="R974" s="8"/>
      <c r="S974" s="8"/>
      <c r="T974" s="9"/>
      <c r="U974" s="9">
        <f t="shared" si="535"/>
        <v>0</v>
      </c>
      <c r="V974" s="9">
        <f t="shared" si="536"/>
        <v>2311951</v>
      </c>
      <c r="W974" s="9">
        <f t="shared" si="537"/>
        <v>511028</v>
      </c>
      <c r="X974" s="9">
        <f t="shared" si="538"/>
        <v>2311951</v>
      </c>
      <c r="Y974" s="8"/>
      <c r="Z974" s="9">
        <f t="shared" si="539"/>
        <v>511028</v>
      </c>
      <c r="AA974" s="8">
        <f t="shared" si="540"/>
        <v>2311951</v>
      </c>
      <c r="AB974" s="8">
        <f t="shared" si="541"/>
        <v>511028</v>
      </c>
    </row>
    <row r="975" spans="1:28" x14ac:dyDescent="0.3">
      <c r="A975" s="64"/>
      <c r="B975" s="8"/>
      <c r="C975" s="7" t="s">
        <v>210</v>
      </c>
      <c r="D975" s="15" t="s">
        <v>54</v>
      </c>
      <c r="E975" s="9">
        <f>950000-198167</f>
        <v>751833</v>
      </c>
      <c r="F975" s="9">
        <v>751833</v>
      </c>
      <c r="G975" s="8"/>
      <c r="H975" s="9">
        <f t="shared" si="532"/>
        <v>751833</v>
      </c>
      <c r="I975" s="8"/>
      <c r="J975" s="8"/>
      <c r="K975" s="8"/>
      <c r="L975" s="9"/>
      <c r="M975" s="9">
        <f t="shared" si="533"/>
        <v>751833</v>
      </c>
      <c r="N975" s="9">
        <v>0</v>
      </c>
      <c r="O975" s="8"/>
      <c r="P975" s="9">
        <f t="shared" si="534"/>
        <v>0</v>
      </c>
      <c r="Q975" s="8"/>
      <c r="R975" s="8"/>
      <c r="S975" s="8"/>
      <c r="T975" s="9"/>
      <c r="U975" s="9">
        <f t="shared" si="535"/>
        <v>0</v>
      </c>
      <c r="V975" s="9">
        <f t="shared" si="536"/>
        <v>751833</v>
      </c>
      <c r="W975" s="9">
        <f t="shared" si="537"/>
        <v>0</v>
      </c>
      <c r="X975" s="9">
        <f t="shared" si="538"/>
        <v>751833</v>
      </c>
      <c r="Y975" s="8"/>
      <c r="Z975" s="9">
        <f t="shared" si="539"/>
        <v>0</v>
      </c>
      <c r="AA975" s="8">
        <f t="shared" si="540"/>
        <v>751833</v>
      </c>
      <c r="AB975" s="8">
        <f t="shared" si="541"/>
        <v>0</v>
      </c>
    </row>
    <row r="976" spans="1:28" x14ac:dyDescent="0.3">
      <c r="A976" s="64"/>
      <c r="B976" s="8"/>
      <c r="C976" s="7" t="s">
        <v>107</v>
      </c>
      <c r="D976" s="15" t="s">
        <v>211</v>
      </c>
      <c r="E976" s="9">
        <v>17375132.219999999</v>
      </c>
      <c r="F976" s="9">
        <v>17375132.219999999</v>
      </c>
      <c r="G976" s="8"/>
      <c r="H976" s="9">
        <f t="shared" si="532"/>
        <v>17375132.219999999</v>
      </c>
      <c r="I976" s="8"/>
      <c r="J976" s="8"/>
      <c r="K976" s="8"/>
      <c r="L976" s="9"/>
      <c r="M976" s="9">
        <f t="shared" si="533"/>
        <v>17375132.219999999</v>
      </c>
      <c r="N976" s="9">
        <v>0</v>
      </c>
      <c r="O976" s="8"/>
      <c r="P976" s="9">
        <f t="shared" si="534"/>
        <v>0</v>
      </c>
      <c r="Q976" s="8"/>
      <c r="R976" s="8"/>
      <c r="S976" s="8"/>
      <c r="T976" s="9"/>
      <c r="U976" s="9">
        <f t="shared" si="535"/>
        <v>0</v>
      </c>
      <c r="V976" s="9">
        <f t="shared" si="536"/>
        <v>17375132.219999999</v>
      </c>
      <c r="W976" s="9">
        <f t="shared" si="537"/>
        <v>0</v>
      </c>
      <c r="X976" s="9">
        <f t="shared" si="538"/>
        <v>17375132.219999999</v>
      </c>
      <c r="Y976" s="8"/>
      <c r="Z976" s="9">
        <f t="shared" si="539"/>
        <v>0</v>
      </c>
      <c r="AA976" s="8">
        <f t="shared" si="540"/>
        <v>17375132.219999999</v>
      </c>
      <c r="AB976" s="8">
        <f t="shared" si="541"/>
        <v>0</v>
      </c>
    </row>
    <row r="977" spans="1:28" x14ac:dyDescent="0.3">
      <c r="A977" s="64"/>
      <c r="B977" s="8"/>
      <c r="C977" s="7" t="s">
        <v>212</v>
      </c>
      <c r="D977" s="15" t="s">
        <v>85</v>
      </c>
      <c r="E977" s="9">
        <f>160000-160000</f>
        <v>0</v>
      </c>
      <c r="F977" s="9">
        <v>0</v>
      </c>
      <c r="G977" s="8"/>
      <c r="H977" s="9">
        <f t="shared" si="532"/>
        <v>0</v>
      </c>
      <c r="I977" s="8"/>
      <c r="J977" s="8"/>
      <c r="K977" s="8"/>
      <c r="L977" s="9"/>
      <c r="M977" s="9">
        <f t="shared" si="533"/>
        <v>0</v>
      </c>
      <c r="N977" s="9">
        <v>0</v>
      </c>
      <c r="O977" s="8"/>
      <c r="P977" s="9">
        <f t="shared" si="534"/>
        <v>0</v>
      </c>
      <c r="Q977" s="8"/>
      <c r="R977" s="8"/>
      <c r="S977" s="8"/>
      <c r="T977" s="9"/>
      <c r="U977" s="9">
        <f t="shared" si="535"/>
        <v>0</v>
      </c>
      <c r="V977" s="9">
        <f t="shared" si="536"/>
        <v>0</v>
      </c>
      <c r="W977" s="9">
        <f t="shared" si="537"/>
        <v>0</v>
      </c>
      <c r="X977" s="9">
        <f t="shared" si="538"/>
        <v>0</v>
      </c>
      <c r="Y977" s="8"/>
      <c r="Z977" s="9">
        <f t="shared" si="539"/>
        <v>0</v>
      </c>
      <c r="AA977" s="8">
        <f t="shared" si="540"/>
        <v>0</v>
      </c>
      <c r="AB977" s="8">
        <f t="shared" si="541"/>
        <v>0</v>
      </c>
    </row>
    <row r="978" spans="1:28" x14ac:dyDescent="0.3">
      <c r="A978" s="64"/>
      <c r="B978" s="8"/>
      <c r="C978" s="7" t="s">
        <v>213</v>
      </c>
      <c r="D978" s="15" t="s">
        <v>128</v>
      </c>
      <c r="E978" s="9">
        <f>900000-185531</f>
        <v>714469</v>
      </c>
      <c r="F978" s="9">
        <v>714469</v>
      </c>
      <c r="G978" s="8"/>
      <c r="H978" s="9">
        <f t="shared" si="532"/>
        <v>714469</v>
      </c>
      <c r="I978" s="8"/>
      <c r="J978" s="8"/>
      <c r="K978" s="8"/>
      <c r="L978" s="9"/>
      <c r="M978" s="9">
        <f t="shared" si="533"/>
        <v>714469</v>
      </c>
      <c r="N978" s="9">
        <v>0</v>
      </c>
      <c r="O978" s="8"/>
      <c r="P978" s="9">
        <f t="shared" si="534"/>
        <v>0</v>
      </c>
      <c r="Q978" s="8"/>
      <c r="R978" s="8"/>
      <c r="S978" s="8"/>
      <c r="T978" s="9"/>
      <c r="U978" s="9">
        <f t="shared" si="535"/>
        <v>0</v>
      </c>
      <c r="V978" s="9">
        <f t="shared" si="536"/>
        <v>714469</v>
      </c>
      <c r="W978" s="9">
        <f t="shared" si="537"/>
        <v>0</v>
      </c>
      <c r="X978" s="9">
        <f t="shared" si="538"/>
        <v>714469</v>
      </c>
      <c r="Y978" s="8"/>
      <c r="Z978" s="9">
        <f t="shared" si="539"/>
        <v>0</v>
      </c>
      <c r="AA978" s="8">
        <f t="shared" si="540"/>
        <v>714469</v>
      </c>
      <c r="AB978" s="8">
        <f t="shared" si="541"/>
        <v>0</v>
      </c>
    </row>
    <row r="979" spans="1:28" x14ac:dyDescent="0.3">
      <c r="A979" s="64"/>
      <c r="B979" s="8"/>
      <c r="C979" s="7" t="s">
        <v>57</v>
      </c>
      <c r="D979" s="15" t="s">
        <v>58</v>
      </c>
      <c r="E979" s="9">
        <v>9371246</v>
      </c>
      <c r="F979" s="9">
        <v>9371246</v>
      </c>
      <c r="G979" s="8"/>
      <c r="H979" s="9">
        <f t="shared" si="532"/>
        <v>9371246</v>
      </c>
      <c r="I979" s="8"/>
      <c r="J979" s="8"/>
      <c r="K979" s="9"/>
      <c r="L979" s="9"/>
      <c r="M979" s="9">
        <f t="shared" si="533"/>
        <v>9371246</v>
      </c>
      <c r="N979" s="9">
        <v>0</v>
      </c>
      <c r="O979" s="8"/>
      <c r="P979" s="9">
        <f t="shared" si="534"/>
        <v>0</v>
      </c>
      <c r="Q979" s="8"/>
      <c r="R979" s="8"/>
      <c r="S979" s="8"/>
      <c r="T979" s="9"/>
      <c r="U979" s="9">
        <f t="shared" si="535"/>
        <v>0</v>
      </c>
      <c r="V979" s="9">
        <f t="shared" si="536"/>
        <v>9371246</v>
      </c>
      <c r="W979" s="9">
        <f t="shared" si="537"/>
        <v>0</v>
      </c>
      <c r="X979" s="9">
        <f t="shared" si="538"/>
        <v>9371246</v>
      </c>
      <c r="Y979" s="8"/>
      <c r="Z979" s="9">
        <f t="shared" si="539"/>
        <v>0</v>
      </c>
      <c r="AA979" s="8">
        <f t="shared" si="540"/>
        <v>9371246</v>
      </c>
      <c r="AB979" s="8">
        <f t="shared" si="541"/>
        <v>0</v>
      </c>
    </row>
    <row r="980" spans="1:28" x14ac:dyDescent="0.3">
      <c r="A980" s="64"/>
      <c r="B980" s="8"/>
      <c r="C980" s="7" t="s">
        <v>214</v>
      </c>
      <c r="D980" s="15" t="s">
        <v>194</v>
      </c>
      <c r="E980" s="9">
        <f>11317537.45+1590000</f>
        <v>12907537.449999999</v>
      </c>
      <c r="F980" s="11">
        <f>11317537.45+1590000</f>
        <v>12907537.449999999</v>
      </c>
      <c r="G980" s="8"/>
      <c r="H980" s="9">
        <f t="shared" si="532"/>
        <v>12907537.449999999</v>
      </c>
      <c r="I980" s="9"/>
      <c r="J980" s="8"/>
      <c r="K980" s="9"/>
      <c r="L980" s="9"/>
      <c r="M980" s="9">
        <f t="shared" si="533"/>
        <v>12907537.449999999</v>
      </c>
      <c r="N980" s="9">
        <v>0</v>
      </c>
      <c r="O980" s="8"/>
      <c r="P980" s="9">
        <f t="shared" si="534"/>
        <v>0</v>
      </c>
      <c r="Q980" s="8"/>
      <c r="R980" s="8"/>
      <c r="S980" s="8"/>
      <c r="T980" s="9"/>
      <c r="U980" s="9">
        <f t="shared" si="535"/>
        <v>0</v>
      </c>
      <c r="V980" s="9">
        <f t="shared" si="536"/>
        <v>12907537.449999999</v>
      </c>
      <c r="W980" s="9">
        <f t="shared" si="537"/>
        <v>0</v>
      </c>
      <c r="X980" s="9">
        <f t="shared" si="538"/>
        <v>12907537.449999999</v>
      </c>
      <c r="Y980" s="8"/>
      <c r="Z980" s="9">
        <f t="shared" si="539"/>
        <v>0</v>
      </c>
      <c r="AA980" s="8">
        <f t="shared" si="540"/>
        <v>12907537.449999999</v>
      </c>
      <c r="AB980" s="8">
        <f t="shared" si="541"/>
        <v>0</v>
      </c>
    </row>
    <row r="981" spans="1:28" x14ac:dyDescent="0.3">
      <c r="A981" s="64"/>
      <c r="B981" s="8"/>
      <c r="C981" s="7" t="s">
        <v>1194</v>
      </c>
      <c r="D981" s="16" t="s">
        <v>1126</v>
      </c>
      <c r="E981" s="9">
        <v>883909.53</v>
      </c>
      <c r="F981" s="11">
        <v>883909.53</v>
      </c>
      <c r="G981" s="8"/>
      <c r="H981" s="9">
        <f>+F981+G981</f>
        <v>883909.53</v>
      </c>
      <c r="I981" s="9"/>
      <c r="J981" s="8"/>
      <c r="K981" s="9"/>
      <c r="L981" s="9"/>
      <c r="M981" s="9">
        <f t="shared" si="533"/>
        <v>883909.53</v>
      </c>
      <c r="N981" s="9">
        <v>0</v>
      </c>
      <c r="O981" s="8"/>
      <c r="P981" s="9">
        <f t="shared" si="534"/>
        <v>0</v>
      </c>
      <c r="Q981" s="8"/>
      <c r="R981" s="8"/>
      <c r="S981" s="8"/>
      <c r="T981" s="9"/>
      <c r="U981" s="9">
        <f t="shared" si="535"/>
        <v>0</v>
      </c>
      <c r="V981" s="9">
        <f t="shared" si="536"/>
        <v>883909.53</v>
      </c>
      <c r="W981" s="9"/>
      <c r="X981" s="9">
        <f t="shared" si="538"/>
        <v>883909.53</v>
      </c>
      <c r="Y981" s="8"/>
      <c r="Z981" s="9">
        <f t="shared" si="539"/>
        <v>0</v>
      </c>
      <c r="AA981" s="8">
        <f t="shared" si="540"/>
        <v>883909.53</v>
      </c>
      <c r="AB981" s="8">
        <f t="shared" si="541"/>
        <v>0</v>
      </c>
    </row>
    <row r="982" spans="1:28" x14ac:dyDescent="0.3">
      <c r="A982" s="64"/>
      <c r="B982" s="8"/>
      <c r="C982" s="14" t="s">
        <v>109</v>
      </c>
      <c r="D982" s="21" t="s">
        <v>60</v>
      </c>
      <c r="E982" s="9">
        <v>15708457.560000001</v>
      </c>
      <c r="F982" s="11">
        <v>15708457.560000001</v>
      </c>
      <c r="G982" s="8"/>
      <c r="H982" s="9">
        <f t="shared" si="532"/>
        <v>15708457.560000001</v>
      </c>
      <c r="I982" s="9"/>
      <c r="J982" s="8"/>
      <c r="K982" s="9"/>
      <c r="L982" s="9"/>
      <c r="M982" s="9">
        <f t="shared" si="533"/>
        <v>15708457.560000001</v>
      </c>
      <c r="N982" s="9">
        <v>0</v>
      </c>
      <c r="O982" s="8"/>
      <c r="P982" s="9">
        <f t="shared" si="534"/>
        <v>0</v>
      </c>
      <c r="Q982" s="8"/>
      <c r="R982" s="8"/>
      <c r="S982" s="8"/>
      <c r="T982" s="9"/>
      <c r="U982" s="9">
        <f t="shared" si="535"/>
        <v>0</v>
      </c>
      <c r="V982" s="9">
        <f t="shared" si="536"/>
        <v>15708457.560000001</v>
      </c>
      <c r="W982" s="9">
        <f t="shared" si="537"/>
        <v>0</v>
      </c>
      <c r="X982" s="9">
        <f t="shared" si="538"/>
        <v>15708457.560000001</v>
      </c>
      <c r="Y982" s="8"/>
      <c r="Z982" s="9">
        <f t="shared" si="539"/>
        <v>0</v>
      </c>
      <c r="AA982" s="8">
        <f t="shared" si="540"/>
        <v>15708457.560000001</v>
      </c>
      <c r="AB982" s="8">
        <f t="shared" si="541"/>
        <v>0</v>
      </c>
    </row>
    <row r="983" spans="1:28" x14ac:dyDescent="0.3">
      <c r="A983" s="64"/>
      <c r="B983" s="8"/>
      <c r="C983" s="7" t="s">
        <v>57</v>
      </c>
      <c r="D983" s="24" t="s">
        <v>61</v>
      </c>
      <c r="E983" s="9">
        <f>265361.19+65093.96+385258.26</f>
        <v>715713.41</v>
      </c>
      <c r="F983" s="8">
        <f>265361.19+65093.96+385258.26</f>
        <v>715713.41</v>
      </c>
      <c r="G983" s="8"/>
      <c r="H983" s="9">
        <f t="shared" si="532"/>
        <v>715713.41</v>
      </c>
      <c r="I983" s="9"/>
      <c r="J983" s="8"/>
      <c r="K983" s="9"/>
      <c r="L983" s="9"/>
      <c r="M983" s="9">
        <f t="shared" si="533"/>
        <v>715713.41</v>
      </c>
      <c r="N983" s="9">
        <v>0</v>
      </c>
      <c r="O983" s="8"/>
      <c r="P983" s="9">
        <f t="shared" si="534"/>
        <v>0</v>
      </c>
      <c r="Q983" s="8"/>
      <c r="R983" s="8"/>
      <c r="S983" s="8"/>
      <c r="T983" s="9"/>
      <c r="U983" s="9">
        <f t="shared" si="535"/>
        <v>0</v>
      </c>
      <c r="V983" s="9">
        <f t="shared" si="536"/>
        <v>715713.41</v>
      </c>
      <c r="W983" s="9">
        <f t="shared" si="537"/>
        <v>0</v>
      </c>
      <c r="X983" s="9">
        <f t="shared" si="538"/>
        <v>715713.41</v>
      </c>
      <c r="Y983" s="8"/>
      <c r="Z983" s="9">
        <f t="shared" si="539"/>
        <v>0</v>
      </c>
      <c r="AA983" s="8">
        <f t="shared" si="540"/>
        <v>715713.41</v>
      </c>
      <c r="AB983" s="8">
        <f t="shared" si="541"/>
        <v>0</v>
      </c>
    </row>
    <row r="984" spans="1:28" x14ac:dyDescent="0.3">
      <c r="A984" s="64"/>
      <c r="B984" s="8"/>
      <c r="C984" s="8"/>
      <c r="D984" s="8"/>
      <c r="E984" s="17" t="s">
        <v>29</v>
      </c>
      <c r="F984" s="17" t="s">
        <v>29</v>
      </c>
      <c r="G984" s="17" t="s">
        <v>29</v>
      </c>
      <c r="H984" s="17" t="s">
        <v>29</v>
      </c>
      <c r="I984" s="17" t="s">
        <v>29</v>
      </c>
      <c r="J984" s="17" t="s">
        <v>29</v>
      </c>
      <c r="K984" s="17" t="s">
        <v>29</v>
      </c>
      <c r="L984" s="17" t="s">
        <v>29</v>
      </c>
      <c r="M984" s="17" t="s">
        <v>29</v>
      </c>
      <c r="N984" s="17" t="s">
        <v>29</v>
      </c>
      <c r="O984" s="17" t="s">
        <v>29</v>
      </c>
      <c r="P984" s="17" t="s">
        <v>29</v>
      </c>
      <c r="Q984" s="17" t="s">
        <v>29</v>
      </c>
      <c r="R984" s="17" t="s">
        <v>29</v>
      </c>
      <c r="S984" s="17" t="s">
        <v>29</v>
      </c>
      <c r="T984" s="17" t="s">
        <v>29</v>
      </c>
      <c r="U984" s="17" t="s">
        <v>29</v>
      </c>
      <c r="V984" s="17" t="s">
        <v>29</v>
      </c>
      <c r="W984" s="17" t="s">
        <v>29</v>
      </c>
      <c r="X984" s="17" t="s">
        <v>29</v>
      </c>
      <c r="Y984" s="17" t="s">
        <v>29</v>
      </c>
      <c r="Z984" s="17" t="s">
        <v>29</v>
      </c>
      <c r="AA984" s="17" t="s">
        <v>29</v>
      </c>
      <c r="AB984" s="17" t="s">
        <v>29</v>
      </c>
    </row>
    <row r="985" spans="1:28" x14ac:dyDescent="0.3">
      <c r="A985" s="64"/>
      <c r="B985" s="8"/>
      <c r="C985" s="8"/>
      <c r="D985" s="8"/>
      <c r="E985" s="9">
        <f t="shared" ref="E985:AB985" si="542">SUM(E969:E983)</f>
        <v>87938933.090000004</v>
      </c>
      <c r="F985" s="9">
        <f t="shared" si="542"/>
        <v>79550978.209999993</v>
      </c>
      <c r="G985" s="9">
        <f t="shared" si="542"/>
        <v>0</v>
      </c>
      <c r="H985" s="9">
        <f t="shared" si="542"/>
        <v>79550978.209999993</v>
      </c>
      <c r="I985" s="9">
        <f t="shared" si="542"/>
        <v>0</v>
      </c>
      <c r="J985" s="9">
        <f t="shared" si="542"/>
        <v>0</v>
      </c>
      <c r="K985" s="9">
        <f t="shared" si="542"/>
        <v>0</v>
      </c>
      <c r="L985" s="9">
        <f t="shared" si="542"/>
        <v>0</v>
      </c>
      <c r="M985" s="9">
        <f t="shared" si="542"/>
        <v>79550978.209999993</v>
      </c>
      <c r="N985" s="9">
        <f t="shared" si="542"/>
        <v>7876926.8799999999</v>
      </c>
      <c r="O985" s="9">
        <f t="shared" si="542"/>
        <v>0</v>
      </c>
      <c r="P985" s="9">
        <f t="shared" si="542"/>
        <v>7876926.8799999999</v>
      </c>
      <c r="Q985" s="9">
        <f t="shared" si="542"/>
        <v>0</v>
      </c>
      <c r="R985" s="9">
        <f t="shared" si="542"/>
        <v>0</v>
      </c>
      <c r="S985" s="9">
        <f t="shared" si="542"/>
        <v>0</v>
      </c>
      <c r="T985" s="9">
        <f t="shared" si="542"/>
        <v>0</v>
      </c>
      <c r="U985" s="9">
        <f t="shared" si="542"/>
        <v>7876926.8799999999</v>
      </c>
      <c r="V985" s="9">
        <f t="shared" si="542"/>
        <v>87427905.090000004</v>
      </c>
      <c r="W985" s="9">
        <f t="shared" si="542"/>
        <v>511028</v>
      </c>
      <c r="X985" s="9">
        <f t="shared" si="542"/>
        <v>87427905.090000004</v>
      </c>
      <c r="Y985" s="9">
        <f t="shared" si="542"/>
        <v>0</v>
      </c>
      <c r="Z985" s="9">
        <f t="shared" si="542"/>
        <v>511028</v>
      </c>
      <c r="AA985" s="9">
        <f t="shared" si="542"/>
        <v>87427905.090000004</v>
      </c>
      <c r="AB985" s="9">
        <f t="shared" si="542"/>
        <v>511028</v>
      </c>
    </row>
    <row r="986" spans="1:28" x14ac:dyDescent="0.3">
      <c r="A986" s="64"/>
      <c r="B986" s="8"/>
      <c r="C986" s="8"/>
      <c r="D986" s="8"/>
      <c r="E986" s="17" t="s">
        <v>29</v>
      </c>
      <c r="F986" s="17" t="s">
        <v>29</v>
      </c>
      <c r="G986" s="17" t="s">
        <v>29</v>
      </c>
      <c r="H986" s="17" t="s">
        <v>29</v>
      </c>
      <c r="I986" s="17" t="s">
        <v>29</v>
      </c>
      <c r="J986" s="17" t="s">
        <v>29</v>
      </c>
      <c r="K986" s="17" t="s">
        <v>29</v>
      </c>
      <c r="L986" s="17" t="s">
        <v>29</v>
      </c>
      <c r="M986" s="17" t="s">
        <v>29</v>
      </c>
      <c r="N986" s="17" t="s">
        <v>29</v>
      </c>
      <c r="O986" s="17" t="s">
        <v>29</v>
      </c>
      <c r="P986" s="17" t="s">
        <v>29</v>
      </c>
      <c r="Q986" s="17" t="s">
        <v>29</v>
      </c>
      <c r="R986" s="17" t="s">
        <v>29</v>
      </c>
      <c r="S986" s="17" t="s">
        <v>29</v>
      </c>
      <c r="T986" s="17" t="s">
        <v>29</v>
      </c>
      <c r="U986" s="17" t="s">
        <v>29</v>
      </c>
      <c r="V986" s="17" t="s">
        <v>29</v>
      </c>
      <c r="W986" s="17" t="s">
        <v>29</v>
      </c>
      <c r="X986" s="17" t="s">
        <v>29</v>
      </c>
      <c r="Y986" s="17" t="s">
        <v>29</v>
      </c>
      <c r="Z986" s="17" t="s">
        <v>29</v>
      </c>
      <c r="AA986" s="17" t="s">
        <v>29</v>
      </c>
      <c r="AB986" s="17" t="s">
        <v>29</v>
      </c>
    </row>
    <row r="987" spans="1:28" x14ac:dyDescent="0.3">
      <c r="A987" s="64"/>
      <c r="B987" s="7" t="s">
        <v>215</v>
      </c>
      <c r="C987" s="8"/>
      <c r="D987" s="8"/>
      <c r="E987" s="22">
        <f>E985-77914450.96</f>
        <v>10024482.13000001</v>
      </c>
      <c r="F987" s="22">
        <f>F985-71185418.47</f>
        <v>8365559.7399999946</v>
      </c>
      <c r="G987" s="22">
        <f>G985-0</f>
        <v>0</v>
      </c>
      <c r="H987" s="22">
        <f>H985-71185418.47</f>
        <v>8365559.7399999946</v>
      </c>
      <c r="I987" s="22">
        <f>I985-77914450.96</f>
        <v>-77914450.959999993</v>
      </c>
      <c r="J987" s="22">
        <f>J985-77914450.96</f>
        <v>-77914450.959999993</v>
      </c>
      <c r="K987" s="22">
        <f>K985-77914450.96</f>
        <v>-77914450.959999993</v>
      </c>
      <c r="L987" s="22">
        <f>L985-0</f>
        <v>0</v>
      </c>
      <c r="M987" s="22">
        <f>M985-71185418.47</f>
        <v>8365559.7399999946</v>
      </c>
      <c r="N987" s="22">
        <f>N985-5850452.49</f>
        <v>2026474.3899999997</v>
      </c>
      <c r="O987" s="22">
        <f>O985-0</f>
        <v>0</v>
      </c>
      <c r="P987" s="22">
        <f>P985-5850452.49</f>
        <v>2026474.3899999997</v>
      </c>
      <c r="Q987" s="22">
        <f>Q985-77914450.96</f>
        <v>-77914450.959999993</v>
      </c>
      <c r="R987" s="22">
        <f>R985-77914450.96</f>
        <v>-77914450.959999993</v>
      </c>
      <c r="S987" s="22">
        <f>S985-77914450.96</f>
        <v>-77914450.959999993</v>
      </c>
      <c r="T987" s="22">
        <f>T985-0</f>
        <v>0</v>
      </c>
      <c r="U987" s="22">
        <f>U985-5850452.49</f>
        <v>2026474.3899999997</v>
      </c>
      <c r="V987" s="22">
        <f>V985-77914450.96</f>
        <v>9513454.1300000101</v>
      </c>
      <c r="W987" s="22">
        <f>W985-77914450.96</f>
        <v>-77403422.959999993</v>
      </c>
      <c r="X987" s="22">
        <f>X985-77035870.96</f>
        <v>10392034.13000001</v>
      </c>
      <c r="Y987" s="22">
        <f>Y985-77914450.96</f>
        <v>-77914450.959999993</v>
      </c>
      <c r="Z987" s="22">
        <f>Z985-878580</f>
        <v>-367552</v>
      </c>
    </row>
    <row r="988" spans="1:28" x14ac:dyDescent="0.3">
      <c r="A988" s="64"/>
      <c r="B988" s="8"/>
      <c r="C988" s="7" t="s">
        <v>216</v>
      </c>
      <c r="D988" s="15" t="s">
        <v>128</v>
      </c>
      <c r="E988" s="9">
        <v>900000</v>
      </c>
      <c r="F988" s="9">
        <v>900000</v>
      </c>
      <c r="G988" s="8"/>
      <c r="H988" s="9">
        <f>F988+G988</f>
        <v>900000</v>
      </c>
      <c r="I988" s="8"/>
      <c r="J988" s="8"/>
      <c r="K988" s="8"/>
      <c r="L988" s="9"/>
      <c r="M988" s="9">
        <f>H988+L988</f>
        <v>900000</v>
      </c>
      <c r="N988" s="9">
        <v>0</v>
      </c>
      <c r="O988" s="8"/>
      <c r="P988" s="9">
        <f>N988+O988</f>
        <v>0</v>
      </c>
      <c r="Q988" s="8"/>
      <c r="R988" s="8"/>
      <c r="S988" s="8"/>
      <c r="T988" s="9">
        <f>Q988-R988+S988</f>
        <v>0</v>
      </c>
      <c r="U988" s="9">
        <f>P988+T988</f>
        <v>0</v>
      </c>
      <c r="V988" s="9">
        <f>P988+H988</f>
        <v>900000</v>
      </c>
      <c r="W988" s="9">
        <f>E988-V988</f>
        <v>0</v>
      </c>
      <c r="X988" s="9">
        <f>+H988+P988</f>
        <v>900000</v>
      </c>
      <c r="Y988" s="8"/>
      <c r="Z988" s="9">
        <f>+E988-X988</f>
        <v>0</v>
      </c>
      <c r="AA988" s="8">
        <f>+M988+U988</f>
        <v>900000</v>
      </c>
      <c r="AB988" s="8">
        <f>+E988-AA988</f>
        <v>0</v>
      </c>
    </row>
    <row r="989" spans="1:28" x14ac:dyDescent="0.3">
      <c r="A989" s="64"/>
      <c r="B989" s="8"/>
      <c r="C989" s="8"/>
      <c r="D989" s="8"/>
      <c r="E989" s="17" t="s">
        <v>29</v>
      </c>
      <c r="F989" s="17" t="s">
        <v>29</v>
      </c>
      <c r="G989" s="17" t="s">
        <v>29</v>
      </c>
      <c r="H989" s="17" t="s">
        <v>29</v>
      </c>
      <c r="I989" s="17" t="s">
        <v>29</v>
      </c>
      <c r="J989" s="17" t="s">
        <v>29</v>
      </c>
      <c r="K989" s="17" t="s">
        <v>29</v>
      </c>
      <c r="L989" s="17" t="s">
        <v>29</v>
      </c>
      <c r="M989" s="17" t="s">
        <v>29</v>
      </c>
      <c r="N989" s="17" t="s">
        <v>29</v>
      </c>
      <c r="O989" s="17" t="s">
        <v>29</v>
      </c>
      <c r="P989" s="17" t="s">
        <v>29</v>
      </c>
      <c r="Q989" s="17" t="s">
        <v>29</v>
      </c>
      <c r="R989" s="17" t="s">
        <v>29</v>
      </c>
      <c r="S989" s="17" t="s">
        <v>29</v>
      </c>
      <c r="T989" s="17" t="s">
        <v>29</v>
      </c>
      <c r="U989" s="17" t="s">
        <v>29</v>
      </c>
      <c r="V989" s="17" t="s">
        <v>29</v>
      </c>
      <c r="W989" s="17" t="s">
        <v>29</v>
      </c>
      <c r="X989" s="17" t="s">
        <v>29</v>
      </c>
      <c r="Y989" s="17" t="s">
        <v>29</v>
      </c>
      <c r="Z989" s="17" t="s">
        <v>29</v>
      </c>
      <c r="AA989" s="17" t="s">
        <v>29</v>
      </c>
      <c r="AB989" s="17" t="s">
        <v>29</v>
      </c>
    </row>
    <row r="990" spans="1:28" x14ac:dyDescent="0.3">
      <c r="A990" s="64"/>
      <c r="B990" s="8"/>
      <c r="C990" s="8"/>
      <c r="D990" s="8"/>
      <c r="E990" s="9">
        <f t="shared" ref="E990:AB990" si="543">E988</f>
        <v>900000</v>
      </c>
      <c r="F990" s="9">
        <f t="shared" si="543"/>
        <v>900000</v>
      </c>
      <c r="G990" s="9">
        <f t="shared" si="543"/>
        <v>0</v>
      </c>
      <c r="H990" s="9">
        <f t="shared" si="543"/>
        <v>900000</v>
      </c>
      <c r="I990" s="9">
        <f t="shared" si="543"/>
        <v>0</v>
      </c>
      <c r="J990" s="9">
        <f t="shared" si="543"/>
        <v>0</v>
      </c>
      <c r="K990" s="9">
        <f t="shared" si="543"/>
        <v>0</v>
      </c>
      <c r="L990" s="9">
        <f t="shared" si="543"/>
        <v>0</v>
      </c>
      <c r="M990" s="9">
        <f t="shared" si="543"/>
        <v>900000</v>
      </c>
      <c r="N990" s="9">
        <f t="shared" si="543"/>
        <v>0</v>
      </c>
      <c r="O990" s="9">
        <f t="shared" si="543"/>
        <v>0</v>
      </c>
      <c r="P990" s="9">
        <f t="shared" si="543"/>
        <v>0</v>
      </c>
      <c r="Q990" s="9">
        <f t="shared" si="543"/>
        <v>0</v>
      </c>
      <c r="R990" s="9">
        <f t="shared" si="543"/>
        <v>0</v>
      </c>
      <c r="S990" s="9">
        <f t="shared" si="543"/>
        <v>0</v>
      </c>
      <c r="T990" s="9">
        <f t="shared" si="543"/>
        <v>0</v>
      </c>
      <c r="U990" s="9">
        <f t="shared" si="543"/>
        <v>0</v>
      </c>
      <c r="V990" s="9">
        <f t="shared" si="543"/>
        <v>900000</v>
      </c>
      <c r="W990" s="9">
        <f t="shared" si="543"/>
        <v>0</v>
      </c>
      <c r="X990" s="9">
        <f t="shared" si="543"/>
        <v>900000</v>
      </c>
      <c r="Y990" s="9">
        <f t="shared" si="543"/>
        <v>0</v>
      </c>
      <c r="Z990" s="9">
        <f t="shared" si="543"/>
        <v>0</v>
      </c>
      <c r="AA990" s="9">
        <f t="shared" si="543"/>
        <v>900000</v>
      </c>
      <c r="AB990" s="9">
        <f t="shared" si="543"/>
        <v>0</v>
      </c>
    </row>
    <row r="991" spans="1:28" x14ac:dyDescent="0.3">
      <c r="A991" s="64"/>
      <c r="B991" s="8"/>
      <c r="C991" s="8"/>
      <c r="D991" s="8"/>
      <c r="E991" s="17" t="s">
        <v>29</v>
      </c>
      <c r="F991" s="17" t="s">
        <v>29</v>
      </c>
      <c r="G991" s="17" t="s">
        <v>29</v>
      </c>
      <c r="H991" s="17" t="s">
        <v>29</v>
      </c>
      <c r="I991" s="17" t="s">
        <v>29</v>
      </c>
      <c r="J991" s="17" t="s">
        <v>29</v>
      </c>
      <c r="K991" s="17" t="s">
        <v>29</v>
      </c>
      <c r="L991" s="17" t="s">
        <v>29</v>
      </c>
      <c r="M991" s="17" t="s">
        <v>29</v>
      </c>
      <c r="N991" s="17" t="s">
        <v>29</v>
      </c>
      <c r="O991" s="17" t="s">
        <v>29</v>
      </c>
      <c r="P991" s="17" t="s">
        <v>29</v>
      </c>
      <c r="Q991" s="17" t="s">
        <v>29</v>
      </c>
      <c r="R991" s="17" t="s">
        <v>29</v>
      </c>
      <c r="S991" s="17" t="s">
        <v>29</v>
      </c>
      <c r="T991" s="17" t="s">
        <v>29</v>
      </c>
      <c r="U991" s="17" t="s">
        <v>29</v>
      </c>
      <c r="V991" s="17" t="s">
        <v>29</v>
      </c>
      <c r="W991" s="17" t="s">
        <v>29</v>
      </c>
      <c r="X991" s="17" t="s">
        <v>29</v>
      </c>
      <c r="Y991" s="17" t="s">
        <v>29</v>
      </c>
      <c r="Z991" s="17" t="s">
        <v>29</v>
      </c>
      <c r="AA991" s="17" t="s">
        <v>29</v>
      </c>
      <c r="AB991" s="17" t="s">
        <v>29</v>
      </c>
    </row>
    <row r="992" spans="1:28" x14ac:dyDescent="0.3">
      <c r="A992" s="63" t="s">
        <v>983</v>
      </c>
      <c r="B992" s="7" t="s">
        <v>217</v>
      </c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8" x14ac:dyDescent="0.3">
      <c r="A993" s="64"/>
      <c r="B993" s="8"/>
      <c r="C993" s="8"/>
      <c r="D993" s="15" t="s">
        <v>218</v>
      </c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8" x14ac:dyDescent="0.3">
      <c r="A994" s="64"/>
      <c r="B994" s="8"/>
      <c r="C994" s="7" t="s">
        <v>219</v>
      </c>
      <c r="D994" s="14" t="s">
        <v>220</v>
      </c>
      <c r="E994" s="9">
        <v>16916300.550000001</v>
      </c>
      <c r="F994" s="9">
        <v>12883746.83</v>
      </c>
      <c r="G994" s="8"/>
      <c r="H994" s="9">
        <f>F994+G994</f>
        <v>12883746.83</v>
      </c>
      <c r="I994" s="8"/>
      <c r="J994" s="8"/>
      <c r="K994" s="8"/>
      <c r="L994" s="9"/>
      <c r="M994" s="9">
        <f>H994+L994</f>
        <v>12883746.83</v>
      </c>
      <c r="N994" s="9">
        <f>3667551.42+365002.3</f>
        <v>4032553.7199999997</v>
      </c>
      <c r="O994" s="8"/>
      <c r="P994" s="9">
        <f>N994+O994</f>
        <v>4032553.7199999997</v>
      </c>
      <c r="Q994" s="8"/>
      <c r="R994" s="8"/>
      <c r="S994" s="8"/>
      <c r="T994" s="9"/>
      <c r="U994" s="9">
        <f>P994+T994</f>
        <v>4032553.7199999997</v>
      </c>
      <c r="V994" s="9">
        <f>P994+H994</f>
        <v>16916300.550000001</v>
      </c>
      <c r="W994" s="9">
        <f>E994-V994</f>
        <v>0</v>
      </c>
      <c r="X994" s="9">
        <f t="shared" ref="X994:X1012" si="544">+H994+P994</f>
        <v>16916300.550000001</v>
      </c>
      <c r="Y994" s="8"/>
      <c r="Z994" s="9">
        <f t="shared" ref="Z994:Z1012" si="545">+E994-X994</f>
        <v>0</v>
      </c>
      <c r="AA994" s="8">
        <f t="shared" ref="AA994:AA1012" si="546">+M994+U994</f>
        <v>16916300.550000001</v>
      </c>
      <c r="AB994" s="8">
        <f t="shared" ref="AB994:AB1012" si="547">+E994-AA994</f>
        <v>0</v>
      </c>
    </row>
    <row r="995" spans="1:28" x14ac:dyDescent="0.3">
      <c r="A995" s="64"/>
      <c r="B995" s="8"/>
      <c r="C995" s="7" t="s">
        <v>172</v>
      </c>
      <c r="D995" s="15" t="s">
        <v>166</v>
      </c>
      <c r="E995" s="9">
        <v>1597144</v>
      </c>
      <c r="F995" s="9">
        <v>1597144</v>
      </c>
      <c r="G995" s="8"/>
      <c r="H995" s="9">
        <f>F995+G995</f>
        <v>1597144</v>
      </c>
      <c r="I995" s="8"/>
      <c r="J995" s="8"/>
      <c r="K995" s="8"/>
      <c r="L995" s="9"/>
      <c r="M995" s="9">
        <f>H995+L995</f>
        <v>1597144</v>
      </c>
      <c r="N995" s="9">
        <v>0</v>
      </c>
      <c r="O995" s="8"/>
      <c r="P995" s="9">
        <f>N995+O995</f>
        <v>0</v>
      </c>
      <c r="Q995" s="8"/>
      <c r="R995" s="8"/>
      <c r="S995" s="8"/>
      <c r="T995" s="9"/>
      <c r="U995" s="9">
        <f>P995+T995</f>
        <v>0</v>
      </c>
      <c r="V995" s="9">
        <f>P995+H995</f>
        <v>1597144</v>
      </c>
      <c r="W995" s="9">
        <f>E995-V995</f>
        <v>0</v>
      </c>
      <c r="X995" s="9">
        <f t="shared" si="544"/>
        <v>1597144</v>
      </c>
      <c r="Y995" s="8"/>
      <c r="Z995" s="9">
        <f t="shared" si="545"/>
        <v>0</v>
      </c>
      <c r="AA995" s="8">
        <f t="shared" si="546"/>
        <v>1597144</v>
      </c>
      <c r="AB995" s="8">
        <f t="shared" si="547"/>
        <v>0</v>
      </c>
    </row>
    <row r="996" spans="1:28" x14ac:dyDescent="0.3">
      <c r="A996" s="64"/>
      <c r="B996" s="8"/>
      <c r="C996" s="7" t="s">
        <v>221</v>
      </c>
      <c r="D996" s="16" t="s">
        <v>68</v>
      </c>
      <c r="E996" s="9">
        <v>1224497</v>
      </c>
      <c r="F996" s="9">
        <v>1224497</v>
      </c>
      <c r="G996" s="8"/>
      <c r="H996" s="9">
        <f>F996+G996</f>
        <v>1224497</v>
      </c>
      <c r="I996" s="8"/>
      <c r="J996" s="8"/>
      <c r="K996" s="8"/>
      <c r="L996" s="9"/>
      <c r="M996" s="9">
        <f>H996+L996</f>
        <v>1224497</v>
      </c>
      <c r="N996" s="9">
        <v>0</v>
      </c>
      <c r="O996" s="8"/>
      <c r="P996" s="9">
        <f>N996+O996</f>
        <v>0</v>
      </c>
      <c r="Q996" s="8"/>
      <c r="R996" s="8"/>
      <c r="S996" s="8"/>
      <c r="T996" s="9"/>
      <c r="U996" s="9">
        <f>P996+T996</f>
        <v>0</v>
      </c>
      <c r="V996" s="9">
        <f>P996+H996</f>
        <v>1224497</v>
      </c>
      <c r="W996" s="9">
        <f>E996-V996</f>
        <v>0</v>
      </c>
      <c r="X996" s="9">
        <f t="shared" si="544"/>
        <v>1224497</v>
      </c>
      <c r="Y996" s="8"/>
      <c r="Z996" s="9">
        <f t="shared" si="545"/>
        <v>0</v>
      </c>
      <c r="AA996" s="8">
        <f t="shared" si="546"/>
        <v>1224497</v>
      </c>
      <c r="AB996" s="8">
        <f t="shared" si="547"/>
        <v>0</v>
      </c>
    </row>
    <row r="997" spans="1:28" x14ac:dyDescent="0.3">
      <c r="A997" s="64"/>
      <c r="B997" s="8"/>
      <c r="C997" s="7" t="s">
        <v>222</v>
      </c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9">
        <f t="shared" si="544"/>
        <v>0</v>
      </c>
      <c r="Y997" s="8"/>
      <c r="Z997" s="9">
        <f t="shared" si="545"/>
        <v>0</v>
      </c>
      <c r="AA997" s="8">
        <f t="shared" si="546"/>
        <v>0</v>
      </c>
      <c r="AB997" s="8">
        <f t="shared" si="547"/>
        <v>0</v>
      </c>
    </row>
    <row r="998" spans="1:28" x14ac:dyDescent="0.3">
      <c r="A998" s="64"/>
      <c r="B998" s="8"/>
      <c r="C998" s="7" t="s">
        <v>53</v>
      </c>
      <c r="D998" s="15" t="s">
        <v>54</v>
      </c>
      <c r="E998" s="9">
        <v>1767770</v>
      </c>
      <c r="F998" s="9">
        <v>0</v>
      </c>
      <c r="G998" s="8"/>
      <c r="H998" s="9">
        <f t="shared" ref="H998:H1012" si="548">F998+G998</f>
        <v>0</v>
      </c>
      <c r="I998" s="8"/>
      <c r="J998" s="8"/>
      <c r="K998" s="8"/>
      <c r="L998" s="9"/>
      <c r="M998" s="9">
        <f t="shared" ref="M998:M1012" si="549">H998+L998</f>
        <v>0</v>
      </c>
      <c r="N998" s="9">
        <v>1767770</v>
      </c>
      <c r="O998" s="8"/>
      <c r="P998" s="9">
        <f t="shared" ref="P998:P1012" si="550">N998+O998</f>
        <v>1767770</v>
      </c>
      <c r="Q998" s="8"/>
      <c r="R998" s="8"/>
      <c r="S998" s="8"/>
      <c r="T998" s="9"/>
      <c r="U998" s="9">
        <f t="shared" ref="U998:U1012" si="551">P998+T998</f>
        <v>1767770</v>
      </c>
      <c r="V998" s="9">
        <f t="shared" ref="V998:V1012" si="552">P998+H998</f>
        <v>1767770</v>
      </c>
      <c r="W998" s="9">
        <f t="shared" ref="W998:W1012" si="553">E998-V998</f>
        <v>0</v>
      </c>
      <c r="X998" s="9">
        <f t="shared" si="544"/>
        <v>1767770</v>
      </c>
      <c r="Y998" s="8"/>
      <c r="Z998" s="9">
        <f t="shared" si="545"/>
        <v>0</v>
      </c>
      <c r="AA998" s="8">
        <f t="shared" si="546"/>
        <v>1767770</v>
      </c>
      <c r="AB998" s="8">
        <f t="shared" si="547"/>
        <v>0</v>
      </c>
    </row>
    <row r="999" spans="1:28" x14ac:dyDescent="0.3">
      <c r="A999" s="64"/>
      <c r="B999" s="8"/>
      <c r="C999" s="7" t="s">
        <v>223</v>
      </c>
      <c r="D999" s="15" t="s">
        <v>54</v>
      </c>
      <c r="E999" s="9">
        <v>543875</v>
      </c>
      <c r="F999" s="9">
        <v>543875</v>
      </c>
      <c r="G999" s="8"/>
      <c r="H999" s="9">
        <f t="shared" si="548"/>
        <v>543875</v>
      </c>
      <c r="I999" s="8"/>
      <c r="J999" s="8"/>
      <c r="K999" s="8"/>
      <c r="L999" s="9"/>
      <c r="M999" s="9">
        <f t="shared" si="549"/>
        <v>543875</v>
      </c>
      <c r="N999" s="9">
        <v>0</v>
      </c>
      <c r="O999" s="8"/>
      <c r="P999" s="9">
        <f t="shared" si="550"/>
        <v>0</v>
      </c>
      <c r="Q999" s="8"/>
      <c r="R999" s="8"/>
      <c r="S999" s="8"/>
      <c r="T999" s="9"/>
      <c r="U999" s="9">
        <f t="shared" si="551"/>
        <v>0</v>
      </c>
      <c r="V999" s="9">
        <f t="shared" si="552"/>
        <v>543875</v>
      </c>
      <c r="W999" s="9">
        <f t="shared" si="553"/>
        <v>0</v>
      </c>
      <c r="X999" s="9">
        <f t="shared" si="544"/>
        <v>543875</v>
      </c>
      <c r="Y999" s="8"/>
      <c r="Z999" s="9">
        <f t="shared" si="545"/>
        <v>0</v>
      </c>
      <c r="AA999" s="8">
        <f t="shared" si="546"/>
        <v>543875</v>
      </c>
      <c r="AB999" s="8">
        <f t="shared" si="547"/>
        <v>0</v>
      </c>
    </row>
    <row r="1000" spans="1:28" x14ac:dyDescent="0.3">
      <c r="A1000" s="64"/>
      <c r="B1000" s="8"/>
      <c r="C1000" s="7" t="s">
        <v>55</v>
      </c>
      <c r="D1000" s="15" t="s">
        <v>224</v>
      </c>
      <c r="E1000" s="9">
        <v>4907746</v>
      </c>
      <c r="F1000" s="9">
        <v>0</v>
      </c>
      <c r="G1000" s="8"/>
      <c r="H1000" s="9">
        <f t="shared" si="548"/>
        <v>0</v>
      </c>
      <c r="I1000" s="8"/>
      <c r="J1000" s="8"/>
      <c r="K1000" s="8"/>
      <c r="L1000" s="9"/>
      <c r="M1000" s="9">
        <f t="shared" si="549"/>
        <v>0</v>
      </c>
      <c r="N1000" s="9">
        <f>2942121+1965625</f>
        <v>4907746</v>
      </c>
      <c r="O1000" s="8"/>
      <c r="P1000" s="9">
        <f t="shared" si="550"/>
        <v>4907746</v>
      </c>
      <c r="Q1000" s="8"/>
      <c r="R1000" s="8"/>
      <c r="S1000" s="8"/>
      <c r="T1000" s="9"/>
      <c r="U1000" s="9">
        <f t="shared" si="551"/>
        <v>4907746</v>
      </c>
      <c r="V1000" s="9">
        <f t="shared" si="552"/>
        <v>4907746</v>
      </c>
      <c r="W1000" s="9">
        <f t="shared" si="553"/>
        <v>0</v>
      </c>
      <c r="X1000" s="9">
        <f t="shared" si="544"/>
        <v>4907746</v>
      </c>
      <c r="Y1000" s="8"/>
      <c r="Z1000" s="9">
        <f t="shared" si="545"/>
        <v>0</v>
      </c>
      <c r="AA1000" s="8">
        <f t="shared" si="546"/>
        <v>4907746</v>
      </c>
      <c r="AB1000" s="8">
        <f t="shared" si="547"/>
        <v>0</v>
      </c>
    </row>
    <row r="1001" spans="1:28" x14ac:dyDescent="0.3">
      <c r="A1001" s="64"/>
      <c r="B1001" s="8"/>
      <c r="C1001" s="7" t="s">
        <v>225</v>
      </c>
      <c r="D1001" s="15" t="s">
        <v>85</v>
      </c>
      <c r="E1001" s="9">
        <v>480000</v>
      </c>
      <c r="F1001" s="9">
        <v>480000</v>
      </c>
      <c r="G1001" s="8"/>
      <c r="H1001" s="9">
        <f t="shared" si="548"/>
        <v>480000</v>
      </c>
      <c r="I1001" s="8"/>
      <c r="J1001" s="8"/>
      <c r="K1001" s="8"/>
      <c r="L1001" s="9"/>
      <c r="M1001" s="9">
        <f t="shared" si="549"/>
        <v>480000</v>
      </c>
      <c r="N1001" s="9">
        <v>0</v>
      </c>
      <c r="O1001" s="8"/>
      <c r="P1001" s="9">
        <f t="shared" si="550"/>
        <v>0</v>
      </c>
      <c r="Q1001" s="8"/>
      <c r="R1001" s="8"/>
      <c r="S1001" s="8"/>
      <c r="T1001" s="9"/>
      <c r="U1001" s="9">
        <f t="shared" si="551"/>
        <v>0</v>
      </c>
      <c r="V1001" s="9">
        <f t="shared" si="552"/>
        <v>480000</v>
      </c>
      <c r="W1001" s="9">
        <f t="shared" si="553"/>
        <v>0</v>
      </c>
      <c r="X1001" s="9">
        <f t="shared" si="544"/>
        <v>480000</v>
      </c>
      <c r="Y1001" s="8"/>
      <c r="Z1001" s="9">
        <f t="shared" si="545"/>
        <v>0</v>
      </c>
      <c r="AA1001" s="8">
        <f t="shared" si="546"/>
        <v>480000</v>
      </c>
      <c r="AB1001" s="8">
        <f t="shared" si="547"/>
        <v>0</v>
      </c>
    </row>
    <row r="1002" spans="1:28" x14ac:dyDescent="0.3">
      <c r="A1002" s="64"/>
      <c r="B1002" s="8"/>
      <c r="C1002" s="7" t="s">
        <v>226</v>
      </c>
      <c r="D1002" s="15" t="s">
        <v>85</v>
      </c>
      <c r="E1002" s="9">
        <v>8840708</v>
      </c>
      <c r="F1002" s="9">
        <v>8840708</v>
      </c>
      <c r="G1002" s="8"/>
      <c r="H1002" s="9">
        <f t="shared" si="548"/>
        <v>8840708</v>
      </c>
      <c r="I1002" s="8"/>
      <c r="J1002" s="8"/>
      <c r="K1002" s="8"/>
      <c r="L1002" s="9"/>
      <c r="M1002" s="9">
        <f t="shared" si="549"/>
        <v>8840708</v>
      </c>
      <c r="N1002" s="9">
        <v>0</v>
      </c>
      <c r="O1002" s="8"/>
      <c r="P1002" s="9">
        <f t="shared" si="550"/>
        <v>0</v>
      </c>
      <c r="Q1002" s="8"/>
      <c r="R1002" s="8"/>
      <c r="S1002" s="8"/>
      <c r="T1002" s="9"/>
      <c r="U1002" s="9">
        <f t="shared" si="551"/>
        <v>0</v>
      </c>
      <c r="V1002" s="9">
        <f t="shared" si="552"/>
        <v>8840708</v>
      </c>
      <c r="W1002" s="9">
        <f t="shared" si="553"/>
        <v>0</v>
      </c>
      <c r="X1002" s="9">
        <f t="shared" si="544"/>
        <v>8840708</v>
      </c>
      <c r="Y1002" s="8"/>
      <c r="Z1002" s="9">
        <f t="shared" si="545"/>
        <v>0</v>
      </c>
      <c r="AA1002" s="8">
        <f t="shared" si="546"/>
        <v>8840708</v>
      </c>
      <c r="AB1002" s="8">
        <f t="shared" si="547"/>
        <v>0</v>
      </c>
    </row>
    <row r="1003" spans="1:28" x14ac:dyDescent="0.3">
      <c r="A1003" s="64"/>
      <c r="B1003" s="8"/>
      <c r="C1003" s="7" t="s">
        <v>57</v>
      </c>
      <c r="D1003" s="15" t="s">
        <v>58</v>
      </c>
      <c r="E1003" s="9">
        <v>3125521</v>
      </c>
      <c r="F1003" s="9">
        <v>3125521</v>
      </c>
      <c r="G1003" s="8"/>
      <c r="H1003" s="9">
        <f t="shared" si="548"/>
        <v>3125521</v>
      </c>
      <c r="I1003" s="8"/>
      <c r="J1003" s="8"/>
      <c r="K1003" s="8"/>
      <c r="L1003" s="9"/>
      <c r="M1003" s="9">
        <f t="shared" si="549"/>
        <v>3125521</v>
      </c>
      <c r="N1003" s="9">
        <v>0</v>
      </c>
      <c r="O1003" s="8"/>
      <c r="P1003" s="9">
        <f t="shared" si="550"/>
        <v>0</v>
      </c>
      <c r="Q1003" s="8"/>
      <c r="R1003" s="8"/>
      <c r="S1003" s="8"/>
      <c r="T1003" s="9"/>
      <c r="U1003" s="9">
        <f t="shared" si="551"/>
        <v>0</v>
      </c>
      <c r="V1003" s="9">
        <f t="shared" si="552"/>
        <v>3125521</v>
      </c>
      <c r="W1003" s="9">
        <f t="shared" si="553"/>
        <v>0</v>
      </c>
      <c r="X1003" s="9">
        <f t="shared" si="544"/>
        <v>3125521</v>
      </c>
      <c r="Y1003" s="8"/>
      <c r="Z1003" s="9">
        <f t="shared" si="545"/>
        <v>0</v>
      </c>
      <c r="AA1003" s="8">
        <f t="shared" si="546"/>
        <v>3125521</v>
      </c>
      <c r="AB1003" s="8">
        <f t="shared" si="547"/>
        <v>0</v>
      </c>
    </row>
    <row r="1004" spans="1:28" x14ac:dyDescent="0.3">
      <c r="A1004" s="64"/>
      <c r="B1004" s="8"/>
      <c r="C1004" s="7" t="s">
        <v>57</v>
      </c>
      <c r="D1004" s="15" t="s">
        <v>60</v>
      </c>
      <c r="E1004" s="9">
        <v>3473395.31</v>
      </c>
      <c r="F1004" s="11">
        <v>3473395.31</v>
      </c>
      <c r="G1004" s="8"/>
      <c r="H1004" s="9">
        <f t="shared" si="548"/>
        <v>3473395.31</v>
      </c>
      <c r="I1004" s="8"/>
      <c r="J1004" s="8"/>
      <c r="K1004" s="8"/>
      <c r="L1004" s="9"/>
      <c r="M1004" s="9">
        <f t="shared" si="549"/>
        <v>3473395.31</v>
      </c>
      <c r="N1004" s="9">
        <v>0</v>
      </c>
      <c r="O1004" s="8"/>
      <c r="P1004" s="9">
        <f t="shared" si="550"/>
        <v>0</v>
      </c>
      <c r="Q1004" s="8"/>
      <c r="R1004" s="8"/>
      <c r="S1004" s="8"/>
      <c r="T1004" s="9"/>
      <c r="U1004" s="9">
        <f t="shared" si="551"/>
        <v>0</v>
      </c>
      <c r="V1004" s="9">
        <f t="shared" si="552"/>
        <v>3473395.31</v>
      </c>
      <c r="W1004" s="9">
        <f t="shared" si="553"/>
        <v>0</v>
      </c>
      <c r="X1004" s="9">
        <f t="shared" si="544"/>
        <v>3473395.31</v>
      </c>
      <c r="Y1004" s="8"/>
      <c r="Z1004" s="9">
        <f t="shared" si="545"/>
        <v>0</v>
      </c>
      <c r="AA1004" s="8">
        <f t="shared" si="546"/>
        <v>3473395.31</v>
      </c>
      <c r="AB1004" s="8">
        <f t="shared" si="547"/>
        <v>0</v>
      </c>
    </row>
    <row r="1005" spans="1:28" x14ac:dyDescent="0.3">
      <c r="A1005" s="64"/>
      <c r="B1005" s="8"/>
      <c r="C1005" s="14" t="s">
        <v>109</v>
      </c>
      <c r="D1005" s="21" t="s">
        <v>60</v>
      </c>
      <c r="E1005" s="9">
        <v>3646453.91</v>
      </c>
      <c r="F1005" s="11">
        <v>3646453.91</v>
      </c>
      <c r="G1005" s="8"/>
      <c r="H1005" s="9">
        <f t="shared" si="548"/>
        <v>3646453.91</v>
      </c>
      <c r="I1005" s="8"/>
      <c r="J1005" s="8"/>
      <c r="K1005" s="8"/>
      <c r="L1005" s="9"/>
      <c r="M1005" s="9">
        <f t="shared" si="549"/>
        <v>3646453.91</v>
      </c>
      <c r="N1005" s="9">
        <v>0</v>
      </c>
      <c r="O1005" s="8"/>
      <c r="P1005" s="9">
        <f t="shared" si="550"/>
        <v>0</v>
      </c>
      <c r="Q1005" s="8"/>
      <c r="R1005" s="8"/>
      <c r="S1005" s="8"/>
      <c r="T1005" s="9"/>
      <c r="U1005" s="9">
        <f t="shared" si="551"/>
        <v>0</v>
      </c>
      <c r="V1005" s="9">
        <f t="shared" si="552"/>
        <v>3646453.91</v>
      </c>
      <c r="W1005" s="9">
        <f t="shared" si="553"/>
        <v>0</v>
      </c>
      <c r="X1005" s="9">
        <f t="shared" si="544"/>
        <v>3646453.91</v>
      </c>
      <c r="Y1005" s="8"/>
      <c r="Z1005" s="9">
        <f t="shared" si="545"/>
        <v>0</v>
      </c>
      <c r="AA1005" s="8">
        <f t="shared" si="546"/>
        <v>3646453.91</v>
      </c>
      <c r="AB1005" s="8">
        <f t="shared" si="547"/>
        <v>0</v>
      </c>
    </row>
    <row r="1006" spans="1:28" x14ac:dyDescent="0.3">
      <c r="A1006" s="64"/>
      <c r="B1006" s="8"/>
      <c r="C1006" s="14" t="s">
        <v>227</v>
      </c>
      <c r="D1006" s="15" t="s">
        <v>228</v>
      </c>
      <c r="E1006" s="9">
        <f>454584+78353+40000</f>
        <v>572937</v>
      </c>
      <c r="F1006" s="11">
        <f>454584+78353+40000</f>
        <v>572937</v>
      </c>
      <c r="G1006" s="8"/>
      <c r="H1006" s="9">
        <f t="shared" si="548"/>
        <v>572937</v>
      </c>
      <c r="I1006" s="8"/>
      <c r="J1006" s="8"/>
      <c r="K1006" s="8"/>
      <c r="L1006" s="9"/>
      <c r="M1006" s="9">
        <f t="shared" si="549"/>
        <v>572937</v>
      </c>
      <c r="N1006" s="9">
        <v>0</v>
      </c>
      <c r="O1006" s="8"/>
      <c r="P1006" s="9">
        <f t="shared" si="550"/>
        <v>0</v>
      </c>
      <c r="Q1006" s="8"/>
      <c r="R1006" s="8"/>
      <c r="S1006" s="8"/>
      <c r="T1006" s="9"/>
      <c r="U1006" s="9">
        <f t="shared" si="551"/>
        <v>0</v>
      </c>
      <c r="V1006" s="9">
        <f t="shared" si="552"/>
        <v>572937</v>
      </c>
      <c r="W1006" s="9">
        <f t="shared" si="553"/>
        <v>0</v>
      </c>
      <c r="X1006" s="9">
        <f t="shared" si="544"/>
        <v>572937</v>
      </c>
      <c r="Y1006" s="8"/>
      <c r="Z1006" s="9">
        <f t="shared" si="545"/>
        <v>0</v>
      </c>
      <c r="AA1006" s="8">
        <f t="shared" si="546"/>
        <v>572937</v>
      </c>
      <c r="AB1006" s="8">
        <f t="shared" si="547"/>
        <v>0</v>
      </c>
    </row>
    <row r="1007" spans="1:28" x14ac:dyDescent="0.3">
      <c r="A1007" s="64"/>
      <c r="B1007" s="8"/>
      <c r="C1007" s="14" t="s">
        <v>229</v>
      </c>
      <c r="D1007" s="16" t="s">
        <v>239</v>
      </c>
      <c r="E1007" s="9">
        <f>10300000+2000000+3160000</f>
        <v>15460000</v>
      </c>
      <c r="F1007" s="11">
        <f>10300000+5160000</f>
        <v>15460000</v>
      </c>
      <c r="G1007" s="8"/>
      <c r="H1007" s="9">
        <f t="shared" si="548"/>
        <v>15460000</v>
      </c>
      <c r="I1007" s="8">
        <f>3300000+7000000</f>
        <v>10300000</v>
      </c>
      <c r="J1007" s="8">
        <v>10300000</v>
      </c>
      <c r="K1007" s="8"/>
      <c r="L1007" s="9"/>
      <c r="M1007" s="9">
        <f t="shared" si="549"/>
        <v>15460000</v>
      </c>
      <c r="N1007" s="9">
        <v>0</v>
      </c>
      <c r="O1007" s="8"/>
      <c r="P1007" s="9">
        <f t="shared" si="550"/>
        <v>0</v>
      </c>
      <c r="Q1007" s="8"/>
      <c r="R1007" s="8"/>
      <c r="S1007" s="8"/>
      <c r="T1007" s="9"/>
      <c r="U1007" s="9">
        <f t="shared" si="551"/>
        <v>0</v>
      </c>
      <c r="V1007" s="9">
        <f t="shared" si="552"/>
        <v>15460000</v>
      </c>
      <c r="W1007" s="9">
        <f t="shared" si="553"/>
        <v>0</v>
      </c>
      <c r="X1007" s="9">
        <f t="shared" si="544"/>
        <v>15460000</v>
      </c>
      <c r="Y1007" s="8"/>
      <c r="Z1007" s="9">
        <f t="shared" si="545"/>
        <v>0</v>
      </c>
      <c r="AA1007" s="8">
        <f t="shared" si="546"/>
        <v>15460000</v>
      </c>
      <c r="AB1007" s="8">
        <f t="shared" si="547"/>
        <v>0</v>
      </c>
    </row>
    <row r="1008" spans="1:28" x14ac:dyDescent="0.3">
      <c r="A1008" s="64"/>
      <c r="B1008" s="8"/>
      <c r="C1008" s="7" t="s">
        <v>57</v>
      </c>
      <c r="D1008" s="15" t="s">
        <v>73</v>
      </c>
      <c r="E1008" s="9">
        <v>2238000</v>
      </c>
      <c r="F1008" s="11">
        <v>2238000</v>
      </c>
      <c r="G1008" s="8"/>
      <c r="H1008" s="9">
        <f t="shared" si="548"/>
        <v>2238000</v>
      </c>
      <c r="I1008" s="8"/>
      <c r="J1008" s="8"/>
      <c r="K1008" s="8"/>
      <c r="L1008" s="9"/>
      <c r="M1008" s="9">
        <f t="shared" si="549"/>
        <v>2238000</v>
      </c>
      <c r="N1008" s="9">
        <v>0</v>
      </c>
      <c r="O1008" s="8"/>
      <c r="P1008" s="9">
        <f t="shared" si="550"/>
        <v>0</v>
      </c>
      <c r="Q1008" s="8"/>
      <c r="R1008" s="8"/>
      <c r="S1008" s="8"/>
      <c r="T1008" s="9"/>
      <c r="U1008" s="9">
        <f t="shared" si="551"/>
        <v>0</v>
      </c>
      <c r="V1008" s="9">
        <f t="shared" si="552"/>
        <v>2238000</v>
      </c>
      <c r="W1008" s="9">
        <f t="shared" si="553"/>
        <v>0</v>
      </c>
      <c r="X1008" s="9">
        <f t="shared" si="544"/>
        <v>2238000</v>
      </c>
      <c r="Y1008" s="8"/>
      <c r="Z1008" s="9">
        <f t="shared" si="545"/>
        <v>0</v>
      </c>
      <c r="AA1008" s="8">
        <f t="shared" si="546"/>
        <v>2238000</v>
      </c>
      <c r="AB1008" s="8">
        <f t="shared" si="547"/>
        <v>0</v>
      </c>
    </row>
    <row r="1009" spans="1:28" x14ac:dyDescent="0.3">
      <c r="A1009" s="64"/>
      <c r="B1009" s="8"/>
      <c r="C1009" s="7" t="s">
        <v>932</v>
      </c>
      <c r="D1009" s="15"/>
      <c r="E1009" s="9">
        <v>497381.57</v>
      </c>
      <c r="F1009" s="8">
        <v>497381.57</v>
      </c>
      <c r="G1009" s="8"/>
      <c r="H1009" s="9">
        <f>+F1009+G1009</f>
        <v>497381.57</v>
      </c>
      <c r="I1009" s="8"/>
      <c r="J1009" s="8"/>
      <c r="K1009" s="8"/>
      <c r="L1009" s="9"/>
      <c r="M1009" s="9">
        <f>+H1009+L1009</f>
        <v>497381.57</v>
      </c>
      <c r="N1009" s="9">
        <v>0</v>
      </c>
      <c r="O1009" s="8"/>
      <c r="P1009" s="9">
        <f>+N1009+O1009</f>
        <v>0</v>
      </c>
      <c r="Q1009" s="8"/>
      <c r="R1009" s="8"/>
      <c r="S1009" s="8"/>
      <c r="T1009" s="9"/>
      <c r="U1009" s="9">
        <f>P1009+T1009</f>
        <v>0</v>
      </c>
      <c r="V1009" s="9">
        <f>P1009+H1009</f>
        <v>497381.57</v>
      </c>
      <c r="W1009" s="9">
        <f>E1009-V1009</f>
        <v>0</v>
      </c>
      <c r="X1009" s="9">
        <f t="shared" si="544"/>
        <v>497381.57</v>
      </c>
      <c r="Y1009" s="8"/>
      <c r="Z1009" s="9">
        <f t="shared" si="545"/>
        <v>0</v>
      </c>
      <c r="AA1009" s="8">
        <f t="shared" si="546"/>
        <v>497381.57</v>
      </c>
      <c r="AB1009" s="8">
        <f t="shared" si="547"/>
        <v>0</v>
      </c>
    </row>
    <row r="1010" spans="1:28" x14ac:dyDescent="0.3">
      <c r="A1010" s="64"/>
      <c r="B1010" s="8"/>
      <c r="C1010" s="7" t="s">
        <v>1187</v>
      </c>
      <c r="D1010" s="16" t="s">
        <v>1126</v>
      </c>
      <c r="E1010" s="9">
        <f>3100000+1150000</f>
        <v>4250000</v>
      </c>
      <c r="F1010" s="8">
        <f>3100000+1150000</f>
        <v>4250000</v>
      </c>
      <c r="G1010" s="8"/>
      <c r="H1010" s="9">
        <f>+F1010+G1010</f>
        <v>4250000</v>
      </c>
      <c r="I1010" s="8"/>
      <c r="J1010" s="8"/>
      <c r="K1010" s="8"/>
      <c r="L1010" s="9"/>
      <c r="M1010" s="9">
        <f>+H1010+L1010</f>
        <v>4250000</v>
      </c>
      <c r="N1010" s="9">
        <v>0</v>
      </c>
      <c r="O1010" s="8"/>
      <c r="P1010" s="9">
        <f>+N1010+O1010</f>
        <v>0</v>
      </c>
      <c r="Q1010" s="8"/>
      <c r="R1010" s="8"/>
      <c r="S1010" s="8"/>
      <c r="T1010" s="9"/>
      <c r="U1010" s="9">
        <f>P1010+T1010</f>
        <v>0</v>
      </c>
      <c r="V1010" s="9">
        <f>P1010+H1010</f>
        <v>4250000</v>
      </c>
      <c r="W1010" s="9">
        <f>E1010-V1010</f>
        <v>0</v>
      </c>
      <c r="X1010" s="9">
        <f t="shared" si="544"/>
        <v>4250000</v>
      </c>
      <c r="Y1010" s="8"/>
      <c r="Z1010" s="9">
        <f t="shared" si="545"/>
        <v>0</v>
      </c>
      <c r="AA1010" s="8">
        <f t="shared" si="546"/>
        <v>4250000</v>
      </c>
      <c r="AB1010" s="8">
        <f t="shared" si="547"/>
        <v>0</v>
      </c>
    </row>
    <row r="1011" spans="1:28" x14ac:dyDescent="0.3">
      <c r="A1011" s="64"/>
      <c r="B1011" s="8"/>
      <c r="C1011" s="7" t="s">
        <v>1186</v>
      </c>
      <c r="D1011" s="16" t="s">
        <v>1126</v>
      </c>
      <c r="E1011" s="9">
        <f>300000+3000000</f>
        <v>3300000</v>
      </c>
      <c r="F1011" s="8">
        <f>300000+3000000</f>
        <v>3300000</v>
      </c>
      <c r="G1011" s="8"/>
      <c r="H1011" s="9">
        <f>+F1011+G1011</f>
        <v>3300000</v>
      </c>
      <c r="I1011" s="8"/>
      <c r="J1011" s="8"/>
      <c r="K1011" s="8"/>
      <c r="L1011" s="9"/>
      <c r="M1011" s="9">
        <f>+H1011+L1011</f>
        <v>3300000</v>
      </c>
      <c r="N1011" s="9">
        <v>0</v>
      </c>
      <c r="O1011" s="8"/>
      <c r="P1011" s="9">
        <f>+N1011+O1011</f>
        <v>0</v>
      </c>
      <c r="Q1011" s="8"/>
      <c r="R1011" s="8"/>
      <c r="S1011" s="8"/>
      <c r="T1011" s="9"/>
      <c r="U1011" s="9">
        <f>+P1011+T1011</f>
        <v>0</v>
      </c>
      <c r="V1011" s="9"/>
      <c r="W1011" s="9"/>
      <c r="X1011" s="9">
        <f t="shared" si="544"/>
        <v>3300000</v>
      </c>
      <c r="Y1011" s="8"/>
      <c r="Z1011" s="9">
        <f>+E1011-X1011</f>
        <v>0</v>
      </c>
      <c r="AA1011" s="8">
        <f t="shared" si="546"/>
        <v>3300000</v>
      </c>
      <c r="AB1011" s="8">
        <f t="shared" si="547"/>
        <v>0</v>
      </c>
    </row>
    <row r="1012" spans="1:28" x14ac:dyDescent="0.3">
      <c r="A1012" s="64"/>
      <c r="B1012" s="8"/>
      <c r="C1012" s="7" t="s">
        <v>57</v>
      </c>
      <c r="D1012" s="16" t="s">
        <v>61</v>
      </c>
      <c r="E1012" s="9">
        <v>514000</v>
      </c>
      <c r="F1012" s="8">
        <v>514000</v>
      </c>
      <c r="G1012" s="8"/>
      <c r="H1012" s="9">
        <f t="shared" si="548"/>
        <v>514000</v>
      </c>
      <c r="I1012" s="8"/>
      <c r="J1012" s="8"/>
      <c r="K1012" s="8"/>
      <c r="L1012" s="9"/>
      <c r="M1012" s="9">
        <f t="shared" si="549"/>
        <v>514000</v>
      </c>
      <c r="N1012" s="9">
        <v>0</v>
      </c>
      <c r="O1012" s="8"/>
      <c r="P1012" s="9">
        <f t="shared" si="550"/>
        <v>0</v>
      </c>
      <c r="Q1012" s="8"/>
      <c r="R1012" s="8"/>
      <c r="S1012" s="8"/>
      <c r="T1012" s="9"/>
      <c r="U1012" s="9">
        <f t="shared" si="551"/>
        <v>0</v>
      </c>
      <c r="V1012" s="9">
        <f t="shared" si="552"/>
        <v>514000</v>
      </c>
      <c r="W1012" s="9">
        <f t="shared" si="553"/>
        <v>0</v>
      </c>
      <c r="X1012" s="9">
        <f t="shared" si="544"/>
        <v>514000</v>
      </c>
      <c r="Y1012" s="8"/>
      <c r="Z1012" s="9">
        <f t="shared" si="545"/>
        <v>0</v>
      </c>
      <c r="AA1012" s="8">
        <f t="shared" si="546"/>
        <v>514000</v>
      </c>
      <c r="AB1012" s="8">
        <f t="shared" si="547"/>
        <v>0</v>
      </c>
    </row>
    <row r="1013" spans="1:28" x14ac:dyDescent="0.3">
      <c r="A1013" s="64"/>
      <c r="B1013" s="8"/>
      <c r="C1013" s="8"/>
      <c r="D1013" s="8"/>
      <c r="E1013" s="17" t="s">
        <v>29</v>
      </c>
      <c r="F1013" s="17" t="s">
        <v>29</v>
      </c>
      <c r="G1013" s="17" t="s">
        <v>29</v>
      </c>
      <c r="H1013" s="17" t="s">
        <v>29</v>
      </c>
      <c r="I1013" s="17" t="s">
        <v>29</v>
      </c>
      <c r="J1013" s="17" t="s">
        <v>29</v>
      </c>
      <c r="K1013" s="17" t="s">
        <v>29</v>
      </c>
      <c r="L1013" s="17" t="s">
        <v>29</v>
      </c>
      <c r="M1013" s="17" t="s">
        <v>29</v>
      </c>
      <c r="N1013" s="17" t="s">
        <v>29</v>
      </c>
      <c r="O1013" s="17" t="s">
        <v>29</v>
      </c>
      <c r="P1013" s="17" t="s">
        <v>29</v>
      </c>
      <c r="Q1013" s="17" t="s">
        <v>29</v>
      </c>
      <c r="R1013" s="17" t="s">
        <v>29</v>
      </c>
      <c r="S1013" s="17" t="s">
        <v>29</v>
      </c>
      <c r="T1013" s="17" t="s">
        <v>29</v>
      </c>
      <c r="U1013" s="17" t="s">
        <v>29</v>
      </c>
      <c r="V1013" s="17" t="s">
        <v>29</v>
      </c>
      <c r="W1013" s="17" t="s">
        <v>29</v>
      </c>
      <c r="X1013" s="17" t="s">
        <v>29</v>
      </c>
      <c r="Y1013" s="17" t="s">
        <v>29</v>
      </c>
      <c r="Z1013" s="17" t="s">
        <v>29</v>
      </c>
      <c r="AA1013" s="17" t="s">
        <v>29</v>
      </c>
      <c r="AB1013" s="17" t="s">
        <v>29</v>
      </c>
    </row>
    <row r="1014" spans="1:28" x14ac:dyDescent="0.3">
      <c r="A1014" s="64"/>
      <c r="B1014" s="8"/>
      <c r="C1014" s="8"/>
      <c r="D1014" s="8"/>
      <c r="E1014" s="9">
        <f t="shared" ref="E1014:AB1014" si="554">SUM(E994:E1012)</f>
        <v>73355729.340000004</v>
      </c>
      <c r="F1014" s="9">
        <f t="shared" si="554"/>
        <v>62647659.619999997</v>
      </c>
      <c r="G1014" s="9">
        <f t="shared" si="554"/>
        <v>0</v>
      </c>
      <c r="H1014" s="9">
        <f t="shared" si="554"/>
        <v>62647659.619999997</v>
      </c>
      <c r="I1014" s="9">
        <f t="shared" si="554"/>
        <v>10300000</v>
      </c>
      <c r="J1014" s="9">
        <f t="shared" si="554"/>
        <v>10300000</v>
      </c>
      <c r="K1014" s="9">
        <f t="shared" si="554"/>
        <v>0</v>
      </c>
      <c r="L1014" s="9">
        <f t="shared" si="554"/>
        <v>0</v>
      </c>
      <c r="M1014" s="9">
        <f t="shared" si="554"/>
        <v>62647659.619999997</v>
      </c>
      <c r="N1014" s="9">
        <f t="shared" si="554"/>
        <v>10708069.719999999</v>
      </c>
      <c r="O1014" s="9">
        <f t="shared" si="554"/>
        <v>0</v>
      </c>
      <c r="P1014" s="9">
        <f t="shared" si="554"/>
        <v>10708069.719999999</v>
      </c>
      <c r="Q1014" s="9">
        <f t="shared" si="554"/>
        <v>0</v>
      </c>
      <c r="R1014" s="9">
        <f t="shared" si="554"/>
        <v>0</v>
      </c>
      <c r="S1014" s="9">
        <f t="shared" si="554"/>
        <v>0</v>
      </c>
      <c r="T1014" s="9">
        <f t="shared" si="554"/>
        <v>0</v>
      </c>
      <c r="U1014" s="9">
        <f t="shared" si="554"/>
        <v>10708069.719999999</v>
      </c>
      <c r="V1014" s="9">
        <f t="shared" si="554"/>
        <v>70055729.340000004</v>
      </c>
      <c r="W1014" s="9">
        <f t="shared" si="554"/>
        <v>0</v>
      </c>
      <c r="X1014" s="9">
        <f t="shared" si="554"/>
        <v>73355729.340000004</v>
      </c>
      <c r="Y1014" s="9">
        <f t="shared" si="554"/>
        <v>0</v>
      </c>
      <c r="Z1014" s="9">
        <f t="shared" si="554"/>
        <v>0</v>
      </c>
      <c r="AA1014" s="9">
        <f t="shared" si="554"/>
        <v>73355729.340000004</v>
      </c>
      <c r="AB1014" s="9">
        <f t="shared" si="554"/>
        <v>0</v>
      </c>
    </row>
    <row r="1015" spans="1:28" x14ac:dyDescent="0.3">
      <c r="A1015" s="64"/>
      <c r="B1015" s="8"/>
      <c r="C1015" s="8"/>
      <c r="D1015" s="8"/>
      <c r="E1015" s="17" t="s">
        <v>29</v>
      </c>
      <c r="F1015" s="17" t="s">
        <v>29</v>
      </c>
      <c r="G1015" s="17" t="s">
        <v>29</v>
      </c>
      <c r="H1015" s="17" t="s">
        <v>29</v>
      </c>
      <c r="I1015" s="17" t="s">
        <v>29</v>
      </c>
      <c r="J1015" s="17" t="s">
        <v>29</v>
      </c>
      <c r="K1015" s="17" t="s">
        <v>29</v>
      </c>
      <c r="L1015" s="17" t="s">
        <v>29</v>
      </c>
      <c r="M1015" s="17" t="s">
        <v>29</v>
      </c>
      <c r="N1015" s="17" t="s">
        <v>29</v>
      </c>
      <c r="O1015" s="17" t="s">
        <v>29</v>
      </c>
      <c r="P1015" s="17" t="s">
        <v>29</v>
      </c>
      <c r="Q1015" s="17" t="s">
        <v>29</v>
      </c>
      <c r="R1015" s="17" t="s">
        <v>29</v>
      </c>
      <c r="S1015" s="17" t="s">
        <v>29</v>
      </c>
      <c r="T1015" s="17" t="s">
        <v>29</v>
      </c>
      <c r="U1015" s="17" t="s">
        <v>29</v>
      </c>
      <c r="V1015" s="17" t="s">
        <v>29</v>
      </c>
      <c r="W1015" s="17" t="s">
        <v>29</v>
      </c>
      <c r="X1015" s="17" t="s">
        <v>29</v>
      </c>
      <c r="Y1015" s="17" t="s">
        <v>29</v>
      </c>
      <c r="Z1015" s="17" t="s">
        <v>29</v>
      </c>
      <c r="AA1015" s="17" t="s">
        <v>29</v>
      </c>
      <c r="AB1015" s="17" t="s">
        <v>29</v>
      </c>
    </row>
    <row r="1016" spans="1:28" x14ac:dyDescent="0.3">
      <c r="A1016" s="64"/>
      <c r="B1016" s="8"/>
      <c r="C1016" s="8"/>
      <c r="D1016" s="8"/>
      <c r="E1016" s="8"/>
      <c r="F1016" s="8"/>
      <c r="G1016" s="8"/>
      <c r="H1016" s="8"/>
      <c r="I1016" s="8"/>
      <c r="J1016" s="8"/>
      <c r="K1016" s="8"/>
      <c r="L1016" s="8"/>
      <c r="M1016" s="8"/>
      <c r="N1016" s="8"/>
      <c r="O1016" s="8"/>
      <c r="P1016" s="8"/>
      <c r="Q1016" s="8"/>
      <c r="R1016" s="8"/>
      <c r="S1016" s="8"/>
      <c r="T1016" s="8"/>
      <c r="U1016" s="8"/>
      <c r="V1016" s="8"/>
      <c r="W1016" s="8"/>
      <c r="X1016" s="8"/>
      <c r="Y1016" s="8"/>
      <c r="Z1016" s="8"/>
    </row>
    <row r="1017" spans="1:28" x14ac:dyDescent="0.3">
      <c r="A1017" s="63" t="s">
        <v>984</v>
      </c>
      <c r="B1017" s="7" t="s">
        <v>230</v>
      </c>
      <c r="C1017" s="8"/>
      <c r="D1017" s="8"/>
      <c r="E1017" s="8"/>
      <c r="F1017" s="8"/>
      <c r="G1017" s="8"/>
      <c r="H1017" s="8"/>
      <c r="I1017" s="8"/>
      <c r="J1017" s="8"/>
      <c r="K1017" s="8"/>
      <c r="L1017" s="8"/>
      <c r="M1017" s="8"/>
      <c r="N1017" s="8"/>
      <c r="O1017" s="8"/>
      <c r="P1017" s="8"/>
      <c r="Q1017" s="8"/>
      <c r="R1017" s="8"/>
      <c r="S1017" s="8"/>
      <c r="T1017" s="8"/>
      <c r="U1017" s="8"/>
      <c r="V1017" s="8"/>
      <c r="W1017" s="8"/>
      <c r="X1017" s="8"/>
      <c r="Y1017" s="8"/>
      <c r="Z1017" s="8"/>
    </row>
    <row r="1018" spans="1:28" x14ac:dyDescent="0.3">
      <c r="A1018" s="64"/>
      <c r="B1018" s="8"/>
      <c r="C1018" s="7" t="s">
        <v>172</v>
      </c>
      <c r="D1018" s="15" t="s">
        <v>231</v>
      </c>
      <c r="E1018" s="9">
        <v>2288835</v>
      </c>
      <c r="F1018" s="9">
        <v>2288835</v>
      </c>
      <c r="G1018" s="8"/>
      <c r="H1018" s="9">
        <f t="shared" ref="H1018:H1032" si="555">F1018+G1018</f>
        <v>2288835</v>
      </c>
      <c r="I1018" s="8"/>
      <c r="J1018" s="8"/>
      <c r="K1018" s="8"/>
      <c r="L1018" s="9"/>
      <c r="M1018" s="9">
        <f t="shared" ref="M1018:M1032" si="556">H1018+L1018</f>
        <v>2288835</v>
      </c>
      <c r="N1018" s="9">
        <v>0</v>
      </c>
      <c r="O1018" s="8"/>
      <c r="P1018" s="9">
        <f t="shared" ref="P1018:P1032" si="557">N1018+O1018</f>
        <v>0</v>
      </c>
      <c r="Q1018" s="8"/>
      <c r="R1018" s="8"/>
      <c r="S1018" s="8"/>
      <c r="T1018" s="9"/>
      <c r="U1018" s="9">
        <f t="shared" ref="U1018:U1032" si="558">P1018+T1018</f>
        <v>0</v>
      </c>
      <c r="V1018" s="9">
        <f t="shared" ref="V1018:V1032" si="559">P1018+H1018</f>
        <v>2288835</v>
      </c>
      <c r="W1018" s="9">
        <f t="shared" ref="W1018:W1032" si="560">E1018-V1018</f>
        <v>0</v>
      </c>
      <c r="X1018" s="9">
        <f t="shared" ref="X1018:X1032" si="561">+H1018+P1018</f>
        <v>2288835</v>
      </c>
      <c r="Y1018" s="8"/>
      <c r="Z1018" s="9">
        <f t="shared" ref="Z1018:Z1032" si="562">+E1018-X1018</f>
        <v>0</v>
      </c>
      <c r="AA1018" s="8">
        <f t="shared" ref="AA1018:AA1032" si="563">+M1018+U1018</f>
        <v>2288835</v>
      </c>
      <c r="AB1018" s="8">
        <f t="shared" ref="AB1018:AB1032" si="564">+E1018-AA1018</f>
        <v>0</v>
      </c>
    </row>
    <row r="1019" spans="1:28" x14ac:dyDescent="0.3">
      <c r="A1019" s="64"/>
      <c r="B1019" s="8"/>
      <c r="C1019" s="7" t="s">
        <v>57</v>
      </c>
      <c r="D1019" s="15" t="s">
        <v>232</v>
      </c>
      <c r="E1019" s="9">
        <v>9060058.5600000005</v>
      </c>
      <c r="F1019" s="9">
        <v>5775655</v>
      </c>
      <c r="G1019" s="8"/>
      <c r="H1019" s="9">
        <f t="shared" si="555"/>
        <v>5775655</v>
      </c>
      <c r="I1019" s="8"/>
      <c r="J1019" s="8"/>
      <c r="K1019" s="8"/>
      <c r="L1019" s="9"/>
      <c r="M1019" s="9">
        <f t="shared" si="556"/>
        <v>5775655</v>
      </c>
      <c r="N1019" s="9">
        <v>3284403.56</v>
      </c>
      <c r="O1019" s="8"/>
      <c r="P1019" s="9">
        <f t="shared" si="557"/>
        <v>3284403.56</v>
      </c>
      <c r="Q1019" s="8"/>
      <c r="R1019" s="8"/>
      <c r="S1019" s="8"/>
      <c r="T1019" s="9"/>
      <c r="U1019" s="9">
        <f t="shared" si="558"/>
        <v>3284403.56</v>
      </c>
      <c r="V1019" s="9">
        <f t="shared" si="559"/>
        <v>9060058.5600000005</v>
      </c>
      <c r="W1019" s="9">
        <f t="shared" si="560"/>
        <v>0</v>
      </c>
      <c r="X1019" s="9">
        <f t="shared" si="561"/>
        <v>9060058.5600000005</v>
      </c>
      <c r="Y1019" s="8"/>
      <c r="Z1019" s="9">
        <f t="shared" si="562"/>
        <v>0</v>
      </c>
      <c r="AA1019" s="8">
        <f t="shared" si="563"/>
        <v>9060058.5600000005</v>
      </c>
      <c r="AB1019" s="8">
        <f t="shared" si="564"/>
        <v>0</v>
      </c>
    </row>
    <row r="1020" spans="1:28" x14ac:dyDescent="0.3">
      <c r="A1020" s="64"/>
      <c r="B1020" s="8"/>
      <c r="C1020" s="7" t="s">
        <v>192</v>
      </c>
      <c r="D1020" s="15" t="s">
        <v>54</v>
      </c>
      <c r="E1020" s="9">
        <v>955345.62</v>
      </c>
      <c r="F1020" s="9">
        <v>0</v>
      </c>
      <c r="G1020" s="8"/>
      <c r="H1020" s="9">
        <f t="shared" si="555"/>
        <v>0</v>
      </c>
      <c r="I1020" s="8"/>
      <c r="J1020" s="8"/>
      <c r="K1020" s="8"/>
      <c r="L1020" s="9"/>
      <c r="M1020" s="9">
        <f t="shared" si="556"/>
        <v>0</v>
      </c>
      <c r="N1020" s="9">
        <v>955345.62</v>
      </c>
      <c r="O1020" s="8"/>
      <c r="P1020" s="9">
        <f t="shared" si="557"/>
        <v>955345.62</v>
      </c>
      <c r="Q1020" s="8"/>
      <c r="R1020" s="8"/>
      <c r="S1020" s="8"/>
      <c r="T1020" s="9"/>
      <c r="U1020" s="9">
        <f t="shared" si="558"/>
        <v>955345.62</v>
      </c>
      <c r="V1020" s="9">
        <f t="shared" si="559"/>
        <v>955345.62</v>
      </c>
      <c r="W1020" s="9">
        <f t="shared" si="560"/>
        <v>0</v>
      </c>
      <c r="X1020" s="9">
        <f t="shared" si="561"/>
        <v>955345.62</v>
      </c>
      <c r="Y1020" s="8"/>
      <c r="Z1020" s="9">
        <f t="shared" si="562"/>
        <v>0</v>
      </c>
      <c r="AA1020" s="8">
        <f t="shared" si="563"/>
        <v>955345.62</v>
      </c>
      <c r="AB1020" s="8">
        <f t="shared" si="564"/>
        <v>0</v>
      </c>
    </row>
    <row r="1021" spans="1:28" x14ac:dyDescent="0.3">
      <c r="A1021" s="64"/>
      <c r="B1021" s="8"/>
      <c r="C1021" s="7" t="s">
        <v>53</v>
      </c>
      <c r="D1021" s="15" t="s">
        <v>54</v>
      </c>
      <c r="E1021" s="9">
        <v>1953989</v>
      </c>
      <c r="F1021" s="9">
        <v>0</v>
      </c>
      <c r="G1021" s="8"/>
      <c r="H1021" s="9">
        <f t="shared" si="555"/>
        <v>0</v>
      </c>
      <c r="I1021" s="8"/>
      <c r="J1021" s="8"/>
      <c r="K1021" s="8"/>
      <c r="L1021" s="9"/>
      <c r="M1021" s="9">
        <f t="shared" si="556"/>
        <v>0</v>
      </c>
      <c r="N1021" s="9">
        <v>1953989</v>
      </c>
      <c r="O1021" s="8"/>
      <c r="P1021" s="9">
        <f t="shared" si="557"/>
        <v>1953989</v>
      </c>
      <c r="Q1021" s="8"/>
      <c r="R1021" s="8"/>
      <c r="S1021" s="8"/>
      <c r="T1021" s="9"/>
      <c r="U1021" s="9">
        <f t="shared" si="558"/>
        <v>1953989</v>
      </c>
      <c r="V1021" s="9">
        <f t="shared" si="559"/>
        <v>1953989</v>
      </c>
      <c r="W1021" s="9">
        <f t="shared" si="560"/>
        <v>0</v>
      </c>
      <c r="X1021" s="9">
        <f t="shared" si="561"/>
        <v>1953989</v>
      </c>
      <c r="Y1021" s="8"/>
      <c r="Z1021" s="9">
        <f t="shared" si="562"/>
        <v>0</v>
      </c>
      <c r="AA1021" s="8">
        <f t="shared" si="563"/>
        <v>1953989</v>
      </c>
      <c r="AB1021" s="8">
        <f t="shared" si="564"/>
        <v>0</v>
      </c>
    </row>
    <row r="1022" spans="1:28" x14ac:dyDescent="0.3">
      <c r="A1022" s="64"/>
      <c r="B1022" s="8"/>
      <c r="C1022" s="7" t="s">
        <v>233</v>
      </c>
      <c r="D1022" s="15" t="s">
        <v>234</v>
      </c>
      <c r="E1022" s="9">
        <v>430000</v>
      </c>
      <c r="F1022" s="9">
        <v>430000</v>
      </c>
      <c r="G1022" s="8"/>
      <c r="H1022" s="9">
        <f t="shared" si="555"/>
        <v>430000</v>
      </c>
      <c r="I1022" s="8"/>
      <c r="J1022" s="8"/>
      <c r="K1022" s="8"/>
      <c r="L1022" s="9"/>
      <c r="M1022" s="9">
        <f t="shared" si="556"/>
        <v>430000</v>
      </c>
      <c r="N1022" s="9">
        <v>0</v>
      </c>
      <c r="O1022" s="8"/>
      <c r="P1022" s="9">
        <f t="shared" si="557"/>
        <v>0</v>
      </c>
      <c r="Q1022" s="8"/>
      <c r="R1022" s="8"/>
      <c r="S1022" s="8"/>
      <c r="T1022" s="9"/>
      <c r="U1022" s="9">
        <f t="shared" si="558"/>
        <v>0</v>
      </c>
      <c r="V1022" s="9">
        <f t="shared" si="559"/>
        <v>430000</v>
      </c>
      <c r="W1022" s="9">
        <f t="shared" si="560"/>
        <v>0</v>
      </c>
      <c r="X1022" s="9">
        <f t="shared" si="561"/>
        <v>430000</v>
      </c>
      <c r="Y1022" s="8"/>
      <c r="Z1022" s="9">
        <f t="shared" si="562"/>
        <v>0</v>
      </c>
      <c r="AA1022" s="8">
        <f t="shared" si="563"/>
        <v>430000</v>
      </c>
      <c r="AB1022" s="8">
        <f t="shared" si="564"/>
        <v>0</v>
      </c>
    </row>
    <row r="1023" spans="1:28" x14ac:dyDescent="0.3">
      <c r="A1023" s="64"/>
      <c r="B1023" s="8"/>
      <c r="C1023" s="7" t="s">
        <v>235</v>
      </c>
      <c r="D1023" s="15" t="s">
        <v>85</v>
      </c>
      <c r="E1023" s="9">
        <f>4000000-713126</f>
        <v>3286874</v>
      </c>
      <c r="F1023" s="9">
        <v>3286874</v>
      </c>
      <c r="G1023" s="8"/>
      <c r="H1023" s="9">
        <f t="shared" si="555"/>
        <v>3286874</v>
      </c>
      <c r="I1023" s="8"/>
      <c r="J1023" s="8"/>
      <c r="K1023" s="8"/>
      <c r="L1023" s="9"/>
      <c r="M1023" s="9">
        <f t="shared" si="556"/>
        <v>3286874</v>
      </c>
      <c r="N1023" s="9">
        <v>0</v>
      </c>
      <c r="O1023" s="8"/>
      <c r="P1023" s="9">
        <f t="shared" si="557"/>
        <v>0</v>
      </c>
      <c r="Q1023" s="8"/>
      <c r="R1023" s="8"/>
      <c r="S1023" s="8"/>
      <c r="T1023" s="9"/>
      <c r="U1023" s="9">
        <f t="shared" si="558"/>
        <v>0</v>
      </c>
      <c r="V1023" s="9">
        <f t="shared" si="559"/>
        <v>3286874</v>
      </c>
      <c r="W1023" s="9">
        <f t="shared" si="560"/>
        <v>0</v>
      </c>
      <c r="X1023" s="9">
        <f t="shared" si="561"/>
        <v>3286874</v>
      </c>
      <c r="Y1023" s="8"/>
      <c r="Z1023" s="9">
        <f t="shared" si="562"/>
        <v>0</v>
      </c>
      <c r="AA1023" s="8">
        <f t="shared" si="563"/>
        <v>3286874</v>
      </c>
      <c r="AB1023" s="8">
        <f t="shared" si="564"/>
        <v>0</v>
      </c>
    </row>
    <row r="1024" spans="1:28" x14ac:dyDescent="0.3">
      <c r="A1024" s="64"/>
      <c r="B1024" s="8"/>
      <c r="C1024" s="7" t="s">
        <v>55</v>
      </c>
      <c r="D1024" s="15" t="s">
        <v>236</v>
      </c>
      <c r="E1024" s="9">
        <v>29437122.649999999</v>
      </c>
      <c r="F1024" s="9">
        <v>0</v>
      </c>
      <c r="G1024" s="8"/>
      <c r="H1024" s="9">
        <f t="shared" si="555"/>
        <v>0</v>
      </c>
      <c r="I1024" s="8"/>
      <c r="J1024" s="8"/>
      <c r="K1024" s="8"/>
      <c r="L1024" s="9"/>
      <c r="M1024" s="9">
        <f t="shared" si="556"/>
        <v>0</v>
      </c>
      <c r="N1024" s="9">
        <v>29437122.649999999</v>
      </c>
      <c r="O1024" s="8"/>
      <c r="P1024" s="9">
        <f t="shared" si="557"/>
        <v>29437122.649999999</v>
      </c>
      <c r="Q1024" s="8"/>
      <c r="R1024" s="8"/>
      <c r="S1024" s="8"/>
      <c r="T1024" s="9"/>
      <c r="U1024" s="9">
        <f t="shared" si="558"/>
        <v>29437122.649999999</v>
      </c>
      <c r="V1024" s="9">
        <f t="shared" si="559"/>
        <v>29437122.649999999</v>
      </c>
      <c r="W1024" s="9">
        <f t="shared" si="560"/>
        <v>0</v>
      </c>
      <c r="X1024" s="9">
        <f t="shared" si="561"/>
        <v>29437122.649999999</v>
      </c>
      <c r="Y1024" s="8"/>
      <c r="Z1024" s="9">
        <f t="shared" si="562"/>
        <v>0</v>
      </c>
      <c r="AA1024" s="8">
        <f t="shared" si="563"/>
        <v>29437122.649999999</v>
      </c>
      <c r="AB1024" s="8">
        <f t="shared" si="564"/>
        <v>0</v>
      </c>
    </row>
    <row r="1025" spans="1:28" x14ac:dyDescent="0.3">
      <c r="A1025" s="64"/>
      <c r="B1025" s="8"/>
      <c r="C1025" s="7" t="s">
        <v>237</v>
      </c>
      <c r="D1025" s="15" t="s">
        <v>128</v>
      </c>
      <c r="E1025" s="9">
        <f>400000-400000</f>
        <v>0</v>
      </c>
      <c r="F1025" s="9">
        <v>0</v>
      </c>
      <c r="G1025" s="8"/>
      <c r="H1025" s="9">
        <f t="shared" si="555"/>
        <v>0</v>
      </c>
      <c r="I1025" s="8"/>
      <c r="J1025" s="8"/>
      <c r="K1025" s="8"/>
      <c r="L1025" s="9"/>
      <c r="M1025" s="9">
        <f t="shared" si="556"/>
        <v>0</v>
      </c>
      <c r="N1025" s="9">
        <v>0</v>
      </c>
      <c r="O1025" s="8"/>
      <c r="P1025" s="9">
        <f t="shared" si="557"/>
        <v>0</v>
      </c>
      <c r="Q1025" s="8"/>
      <c r="R1025" s="8"/>
      <c r="S1025" s="8"/>
      <c r="T1025" s="9"/>
      <c r="U1025" s="9">
        <f t="shared" si="558"/>
        <v>0</v>
      </c>
      <c r="V1025" s="9">
        <f t="shared" si="559"/>
        <v>0</v>
      </c>
      <c r="W1025" s="9">
        <f t="shared" si="560"/>
        <v>0</v>
      </c>
      <c r="X1025" s="9">
        <f t="shared" si="561"/>
        <v>0</v>
      </c>
      <c r="Y1025" s="8"/>
      <c r="Z1025" s="9">
        <f t="shared" si="562"/>
        <v>0</v>
      </c>
      <c r="AA1025" s="8">
        <f t="shared" si="563"/>
        <v>0</v>
      </c>
      <c r="AB1025" s="8">
        <f t="shared" si="564"/>
        <v>0</v>
      </c>
    </row>
    <row r="1026" spans="1:28" x14ac:dyDescent="0.3">
      <c r="A1026" s="64"/>
      <c r="B1026" s="8"/>
      <c r="C1026" s="14" t="s">
        <v>109</v>
      </c>
      <c r="D1026" s="21" t="s">
        <v>60</v>
      </c>
      <c r="E1026" s="9">
        <v>2500000</v>
      </c>
      <c r="F1026" s="11">
        <v>2500000</v>
      </c>
      <c r="G1026" s="8"/>
      <c r="H1026" s="9">
        <f t="shared" si="555"/>
        <v>2500000</v>
      </c>
      <c r="I1026" s="8"/>
      <c r="J1026" s="8"/>
      <c r="K1026" s="8"/>
      <c r="L1026" s="9"/>
      <c r="M1026" s="9">
        <f t="shared" si="556"/>
        <v>2500000</v>
      </c>
      <c r="N1026" s="9">
        <v>0</v>
      </c>
      <c r="O1026" s="8"/>
      <c r="P1026" s="9">
        <f t="shared" si="557"/>
        <v>0</v>
      </c>
      <c r="Q1026" s="8"/>
      <c r="R1026" s="8"/>
      <c r="S1026" s="8"/>
      <c r="T1026" s="9"/>
      <c r="U1026" s="9">
        <f t="shared" si="558"/>
        <v>0</v>
      </c>
      <c r="V1026" s="9">
        <f t="shared" si="559"/>
        <v>2500000</v>
      </c>
      <c r="W1026" s="9">
        <f t="shared" si="560"/>
        <v>0</v>
      </c>
      <c r="X1026" s="9">
        <f t="shared" si="561"/>
        <v>2500000</v>
      </c>
      <c r="Y1026" s="8"/>
      <c r="Z1026" s="9">
        <f t="shared" si="562"/>
        <v>0</v>
      </c>
      <c r="AA1026" s="8">
        <f t="shared" si="563"/>
        <v>2500000</v>
      </c>
      <c r="AB1026" s="8">
        <f t="shared" si="564"/>
        <v>0</v>
      </c>
    </row>
    <row r="1027" spans="1:28" x14ac:dyDescent="0.3">
      <c r="A1027" s="64"/>
      <c r="B1027" s="8"/>
      <c r="C1027" s="14" t="s">
        <v>57</v>
      </c>
      <c r="D1027" s="21" t="s">
        <v>60</v>
      </c>
      <c r="E1027" s="9">
        <v>714000</v>
      </c>
      <c r="F1027" s="11">
        <v>714000</v>
      </c>
      <c r="G1027" s="8"/>
      <c r="H1027" s="9">
        <f t="shared" si="555"/>
        <v>714000</v>
      </c>
      <c r="I1027" s="8"/>
      <c r="J1027" s="8"/>
      <c r="K1027" s="8"/>
      <c r="L1027" s="9"/>
      <c r="M1027" s="9">
        <f t="shared" si="556"/>
        <v>714000</v>
      </c>
      <c r="N1027" s="9">
        <v>0</v>
      </c>
      <c r="O1027" s="8"/>
      <c r="P1027" s="9">
        <f t="shared" si="557"/>
        <v>0</v>
      </c>
      <c r="Q1027" s="8"/>
      <c r="R1027" s="8"/>
      <c r="S1027" s="8"/>
      <c r="T1027" s="9"/>
      <c r="U1027" s="9">
        <f t="shared" si="558"/>
        <v>0</v>
      </c>
      <c r="V1027" s="9">
        <f t="shared" si="559"/>
        <v>714000</v>
      </c>
      <c r="W1027" s="9">
        <f t="shared" si="560"/>
        <v>0</v>
      </c>
      <c r="X1027" s="9">
        <f t="shared" si="561"/>
        <v>714000</v>
      </c>
      <c r="Y1027" s="8"/>
      <c r="Z1027" s="9">
        <f t="shared" si="562"/>
        <v>0</v>
      </c>
      <c r="AA1027" s="8">
        <f t="shared" si="563"/>
        <v>714000</v>
      </c>
      <c r="AB1027" s="8">
        <f t="shared" si="564"/>
        <v>0</v>
      </c>
    </row>
    <row r="1028" spans="1:28" x14ac:dyDescent="0.3">
      <c r="A1028" s="64"/>
      <c r="B1028" s="8"/>
      <c r="C1028" s="14" t="s">
        <v>238</v>
      </c>
      <c r="D1028" s="24" t="s">
        <v>239</v>
      </c>
      <c r="E1028" s="9">
        <f>391379+500000</f>
        <v>891379</v>
      </c>
      <c r="F1028" s="11">
        <f>391379+500000</f>
        <v>891379</v>
      </c>
      <c r="G1028" s="8"/>
      <c r="H1028" s="9">
        <f t="shared" si="555"/>
        <v>891379</v>
      </c>
      <c r="I1028" s="8"/>
      <c r="J1028" s="8"/>
      <c r="K1028" s="8"/>
      <c r="L1028" s="9"/>
      <c r="M1028" s="9">
        <f t="shared" si="556"/>
        <v>891379</v>
      </c>
      <c r="N1028" s="9">
        <v>0</v>
      </c>
      <c r="O1028" s="8"/>
      <c r="P1028" s="9">
        <f t="shared" si="557"/>
        <v>0</v>
      </c>
      <c r="Q1028" s="8"/>
      <c r="R1028" s="8"/>
      <c r="S1028" s="8"/>
      <c r="T1028" s="9"/>
      <c r="U1028" s="9">
        <f t="shared" si="558"/>
        <v>0</v>
      </c>
      <c r="V1028" s="9">
        <f t="shared" si="559"/>
        <v>891379</v>
      </c>
      <c r="W1028" s="9">
        <f t="shared" si="560"/>
        <v>0</v>
      </c>
      <c r="X1028" s="9">
        <f t="shared" si="561"/>
        <v>891379</v>
      </c>
      <c r="Y1028" s="8"/>
      <c r="Z1028" s="9">
        <f t="shared" si="562"/>
        <v>0</v>
      </c>
      <c r="AA1028" s="8">
        <f t="shared" si="563"/>
        <v>891379</v>
      </c>
      <c r="AB1028" s="8">
        <f t="shared" si="564"/>
        <v>0</v>
      </c>
    </row>
    <row r="1029" spans="1:28" x14ac:dyDescent="0.3">
      <c r="A1029" s="64"/>
      <c r="B1029" s="8"/>
      <c r="C1029" s="14" t="s">
        <v>925</v>
      </c>
      <c r="D1029" s="24" t="s">
        <v>1072</v>
      </c>
      <c r="E1029" s="9">
        <v>108621</v>
      </c>
      <c r="F1029" s="11">
        <v>108621</v>
      </c>
      <c r="G1029" s="8"/>
      <c r="H1029" s="9">
        <f>+F1029+G1029</f>
        <v>108621</v>
      </c>
      <c r="I1029" s="8"/>
      <c r="J1029" s="8"/>
      <c r="K1029" s="8"/>
      <c r="L1029" s="9"/>
      <c r="M1029" s="9">
        <f>+H1029+L1029</f>
        <v>108621</v>
      </c>
      <c r="N1029" s="9">
        <v>0</v>
      </c>
      <c r="O1029" s="8"/>
      <c r="P1029" s="9">
        <f t="shared" si="557"/>
        <v>0</v>
      </c>
      <c r="Q1029" s="8"/>
      <c r="R1029" s="8"/>
      <c r="S1029" s="8"/>
      <c r="T1029" s="9"/>
      <c r="U1029" s="9">
        <f t="shared" si="558"/>
        <v>0</v>
      </c>
      <c r="V1029" s="9">
        <f t="shared" si="559"/>
        <v>108621</v>
      </c>
      <c r="W1029" s="9"/>
      <c r="X1029" s="9">
        <f t="shared" si="561"/>
        <v>108621</v>
      </c>
      <c r="Y1029" s="8"/>
      <c r="Z1029" s="9">
        <f t="shared" si="562"/>
        <v>0</v>
      </c>
      <c r="AA1029" s="8">
        <f t="shared" si="563"/>
        <v>108621</v>
      </c>
      <c r="AB1029" s="8">
        <f t="shared" si="564"/>
        <v>0</v>
      </c>
    </row>
    <row r="1030" spans="1:28" x14ac:dyDescent="0.3">
      <c r="A1030" s="64"/>
      <c r="B1030" s="8"/>
      <c r="C1030" s="14" t="s">
        <v>932</v>
      </c>
      <c r="D1030" s="24" t="s">
        <v>1072</v>
      </c>
      <c r="E1030" s="9">
        <v>400000</v>
      </c>
      <c r="F1030" s="11">
        <v>400000</v>
      </c>
      <c r="G1030" s="8"/>
      <c r="H1030" s="9">
        <f>+F1030+G1030</f>
        <v>400000</v>
      </c>
      <c r="I1030" s="8"/>
      <c r="J1030" s="8"/>
      <c r="K1030" s="8"/>
      <c r="L1030" s="9"/>
      <c r="M1030" s="9">
        <f t="shared" si="556"/>
        <v>400000</v>
      </c>
      <c r="N1030" s="9">
        <v>0</v>
      </c>
      <c r="O1030" s="8"/>
      <c r="P1030" s="9">
        <f>+N1030+O1030</f>
        <v>0</v>
      </c>
      <c r="Q1030" s="8"/>
      <c r="R1030" s="8"/>
      <c r="S1030" s="8"/>
      <c r="T1030" s="9"/>
      <c r="U1030" s="9">
        <f t="shared" si="558"/>
        <v>0</v>
      </c>
      <c r="V1030" s="9">
        <f t="shared" si="559"/>
        <v>400000</v>
      </c>
      <c r="W1030" s="9"/>
      <c r="X1030" s="9">
        <f t="shared" si="561"/>
        <v>400000</v>
      </c>
      <c r="Y1030" s="8"/>
      <c r="Z1030" s="9">
        <f t="shared" si="562"/>
        <v>0</v>
      </c>
      <c r="AA1030" s="8">
        <f t="shared" si="563"/>
        <v>400000</v>
      </c>
      <c r="AB1030" s="8">
        <f t="shared" si="564"/>
        <v>0</v>
      </c>
    </row>
    <row r="1031" spans="1:28" x14ac:dyDescent="0.3">
      <c r="A1031" s="64"/>
      <c r="B1031" s="8"/>
      <c r="C1031" s="14" t="s">
        <v>924</v>
      </c>
      <c r="D1031" s="24" t="s">
        <v>1072</v>
      </c>
      <c r="E1031" s="9">
        <v>3183.85</v>
      </c>
      <c r="F1031" s="11"/>
      <c r="G1031" s="8"/>
      <c r="H1031" s="9"/>
      <c r="I1031" s="8"/>
      <c r="J1031" s="8"/>
      <c r="K1031" s="8"/>
      <c r="L1031" s="9"/>
      <c r="M1031" s="9"/>
      <c r="N1031" s="9">
        <v>3183.85</v>
      </c>
      <c r="O1031" s="8"/>
      <c r="P1031" s="9">
        <f>+N1031+O1031</f>
        <v>3183.85</v>
      </c>
      <c r="Q1031" s="8"/>
      <c r="R1031" s="8"/>
      <c r="S1031" s="8"/>
      <c r="T1031" s="9"/>
      <c r="U1031" s="9">
        <f>P1031+T1031</f>
        <v>3183.85</v>
      </c>
      <c r="V1031" s="9">
        <f>P1031+H1031</f>
        <v>3183.85</v>
      </c>
      <c r="W1031" s="9">
        <f>E1031-V1031</f>
        <v>0</v>
      </c>
      <c r="X1031" s="9">
        <f t="shared" si="561"/>
        <v>3183.85</v>
      </c>
      <c r="Y1031" s="8"/>
      <c r="Z1031" s="9">
        <f t="shared" si="562"/>
        <v>0</v>
      </c>
      <c r="AA1031" s="8">
        <f t="shared" si="563"/>
        <v>3183.85</v>
      </c>
      <c r="AB1031" s="8">
        <f t="shared" si="564"/>
        <v>0</v>
      </c>
    </row>
    <row r="1032" spans="1:28" x14ac:dyDescent="0.3">
      <c r="A1032" s="64"/>
      <c r="B1032" s="8"/>
      <c r="C1032" s="14" t="s">
        <v>57</v>
      </c>
      <c r="D1032" s="24" t="s">
        <v>61</v>
      </c>
      <c r="E1032" s="9">
        <v>564000</v>
      </c>
      <c r="F1032" s="11">
        <v>564000</v>
      </c>
      <c r="G1032" s="8"/>
      <c r="H1032" s="9">
        <f t="shared" si="555"/>
        <v>564000</v>
      </c>
      <c r="I1032" s="8">
        <v>564000</v>
      </c>
      <c r="J1032" s="8">
        <v>564000</v>
      </c>
      <c r="K1032" s="8"/>
      <c r="L1032" s="9"/>
      <c r="M1032" s="9">
        <f t="shared" si="556"/>
        <v>564000</v>
      </c>
      <c r="N1032" s="9">
        <v>0</v>
      </c>
      <c r="O1032" s="8"/>
      <c r="P1032" s="9">
        <f t="shared" si="557"/>
        <v>0</v>
      </c>
      <c r="Q1032" s="8"/>
      <c r="R1032" s="8"/>
      <c r="S1032" s="8"/>
      <c r="T1032" s="9"/>
      <c r="U1032" s="9">
        <f t="shared" si="558"/>
        <v>0</v>
      </c>
      <c r="V1032" s="9">
        <f t="shared" si="559"/>
        <v>564000</v>
      </c>
      <c r="W1032" s="9">
        <f t="shared" si="560"/>
        <v>0</v>
      </c>
      <c r="X1032" s="9">
        <f t="shared" si="561"/>
        <v>564000</v>
      </c>
      <c r="Y1032" s="8"/>
      <c r="Z1032" s="9">
        <f t="shared" si="562"/>
        <v>0</v>
      </c>
      <c r="AA1032" s="8">
        <f t="shared" si="563"/>
        <v>564000</v>
      </c>
      <c r="AB1032" s="8">
        <f t="shared" si="564"/>
        <v>0</v>
      </c>
    </row>
    <row r="1033" spans="1:28" x14ac:dyDescent="0.3">
      <c r="A1033" s="64"/>
      <c r="B1033" s="8"/>
      <c r="C1033" s="8"/>
      <c r="D1033" s="8"/>
      <c r="E1033" s="17" t="s">
        <v>29</v>
      </c>
      <c r="F1033" s="17" t="s">
        <v>29</v>
      </c>
      <c r="G1033" s="17" t="s">
        <v>29</v>
      </c>
      <c r="H1033" s="17" t="s">
        <v>29</v>
      </c>
      <c r="I1033" s="17" t="s">
        <v>29</v>
      </c>
      <c r="J1033" s="17" t="s">
        <v>29</v>
      </c>
      <c r="K1033" s="17" t="s">
        <v>29</v>
      </c>
      <c r="L1033" s="17" t="s">
        <v>29</v>
      </c>
      <c r="M1033" s="17" t="s">
        <v>29</v>
      </c>
      <c r="N1033" s="17" t="s">
        <v>29</v>
      </c>
      <c r="O1033" s="17" t="s">
        <v>29</v>
      </c>
      <c r="P1033" s="17" t="s">
        <v>29</v>
      </c>
      <c r="Q1033" s="17" t="s">
        <v>29</v>
      </c>
      <c r="R1033" s="17" t="s">
        <v>29</v>
      </c>
      <c r="S1033" s="17" t="s">
        <v>29</v>
      </c>
      <c r="T1033" s="17" t="s">
        <v>29</v>
      </c>
      <c r="U1033" s="17" t="s">
        <v>29</v>
      </c>
      <c r="V1033" s="17" t="s">
        <v>29</v>
      </c>
      <c r="W1033" s="17" t="s">
        <v>29</v>
      </c>
      <c r="X1033" s="17" t="s">
        <v>29</v>
      </c>
      <c r="Y1033" s="17" t="s">
        <v>29</v>
      </c>
      <c r="Z1033" s="17" t="s">
        <v>29</v>
      </c>
      <c r="AA1033" s="17" t="s">
        <v>29</v>
      </c>
      <c r="AB1033" s="17" t="s">
        <v>29</v>
      </c>
    </row>
    <row r="1034" spans="1:28" x14ac:dyDescent="0.3">
      <c r="A1034" s="64"/>
      <c r="B1034" s="8"/>
      <c r="C1034" s="8"/>
      <c r="D1034" s="8"/>
      <c r="E1034" s="9">
        <f t="shared" ref="E1034:AB1034" si="565">SUM(E1018:E1032)</f>
        <v>52593408.68</v>
      </c>
      <c r="F1034" s="9">
        <f t="shared" si="565"/>
        <v>16959364</v>
      </c>
      <c r="G1034" s="9">
        <f t="shared" si="565"/>
        <v>0</v>
      </c>
      <c r="H1034" s="9">
        <f t="shared" si="565"/>
        <v>16959364</v>
      </c>
      <c r="I1034" s="9">
        <f t="shared" si="565"/>
        <v>564000</v>
      </c>
      <c r="J1034" s="9">
        <f t="shared" si="565"/>
        <v>564000</v>
      </c>
      <c r="K1034" s="9">
        <f t="shared" si="565"/>
        <v>0</v>
      </c>
      <c r="L1034" s="9">
        <f t="shared" si="565"/>
        <v>0</v>
      </c>
      <c r="M1034" s="9">
        <f t="shared" si="565"/>
        <v>16959364</v>
      </c>
      <c r="N1034" s="9">
        <f t="shared" si="565"/>
        <v>35634044.68</v>
      </c>
      <c r="O1034" s="9">
        <f t="shared" si="565"/>
        <v>0</v>
      </c>
      <c r="P1034" s="9">
        <f t="shared" si="565"/>
        <v>35634044.68</v>
      </c>
      <c r="Q1034" s="9">
        <f t="shared" si="565"/>
        <v>0</v>
      </c>
      <c r="R1034" s="9">
        <f t="shared" si="565"/>
        <v>0</v>
      </c>
      <c r="S1034" s="9">
        <f t="shared" si="565"/>
        <v>0</v>
      </c>
      <c r="T1034" s="9">
        <f t="shared" si="565"/>
        <v>0</v>
      </c>
      <c r="U1034" s="9">
        <f t="shared" si="565"/>
        <v>35634044.68</v>
      </c>
      <c r="V1034" s="9">
        <f t="shared" si="565"/>
        <v>52593408.68</v>
      </c>
      <c r="W1034" s="9">
        <f t="shared" si="565"/>
        <v>0</v>
      </c>
      <c r="X1034" s="9">
        <f t="shared" si="565"/>
        <v>52593408.68</v>
      </c>
      <c r="Y1034" s="9">
        <f t="shared" si="565"/>
        <v>0</v>
      </c>
      <c r="Z1034" s="9">
        <f t="shared" si="565"/>
        <v>0</v>
      </c>
      <c r="AA1034" s="9">
        <f t="shared" si="565"/>
        <v>52593408.68</v>
      </c>
      <c r="AB1034" s="9">
        <f t="shared" si="565"/>
        <v>0</v>
      </c>
    </row>
    <row r="1035" spans="1:28" x14ac:dyDescent="0.3">
      <c r="A1035" s="64"/>
      <c r="B1035" s="8"/>
      <c r="C1035" s="8"/>
      <c r="D1035" s="8"/>
      <c r="E1035" s="17" t="s">
        <v>29</v>
      </c>
      <c r="F1035" s="17" t="s">
        <v>29</v>
      </c>
      <c r="G1035" s="17" t="s">
        <v>29</v>
      </c>
      <c r="H1035" s="17" t="s">
        <v>29</v>
      </c>
      <c r="I1035" s="17" t="s">
        <v>29</v>
      </c>
      <c r="J1035" s="17" t="s">
        <v>29</v>
      </c>
      <c r="K1035" s="17" t="s">
        <v>29</v>
      </c>
      <c r="L1035" s="17" t="s">
        <v>29</v>
      </c>
      <c r="M1035" s="17" t="s">
        <v>29</v>
      </c>
      <c r="N1035" s="17" t="s">
        <v>29</v>
      </c>
      <c r="O1035" s="17" t="s">
        <v>29</v>
      </c>
      <c r="P1035" s="17" t="s">
        <v>29</v>
      </c>
      <c r="Q1035" s="17" t="s">
        <v>29</v>
      </c>
      <c r="R1035" s="17" t="s">
        <v>29</v>
      </c>
      <c r="S1035" s="17" t="s">
        <v>29</v>
      </c>
      <c r="T1035" s="17" t="s">
        <v>29</v>
      </c>
      <c r="U1035" s="17" t="s">
        <v>29</v>
      </c>
      <c r="V1035" s="17" t="s">
        <v>29</v>
      </c>
      <c r="W1035" s="17" t="s">
        <v>29</v>
      </c>
      <c r="X1035" s="17" t="s">
        <v>29</v>
      </c>
      <c r="Y1035" s="17" t="s">
        <v>29</v>
      </c>
      <c r="Z1035" s="17" t="s">
        <v>29</v>
      </c>
      <c r="AA1035" s="17" t="s">
        <v>29</v>
      </c>
      <c r="AB1035" s="17" t="s">
        <v>29</v>
      </c>
    </row>
    <row r="1036" spans="1:28" x14ac:dyDescent="0.3">
      <c r="A1036" s="63" t="s">
        <v>985</v>
      </c>
      <c r="B1036" s="7" t="s">
        <v>240</v>
      </c>
      <c r="C1036" s="8"/>
      <c r="D1036" s="8"/>
      <c r="E1036" s="8"/>
      <c r="F1036" s="8"/>
      <c r="G1036" s="8"/>
      <c r="H1036" s="8"/>
      <c r="I1036" s="8"/>
      <c r="J1036" s="8"/>
      <c r="K1036" s="8"/>
      <c r="L1036" s="8"/>
      <c r="M1036" s="8"/>
      <c r="N1036" s="8"/>
      <c r="O1036" s="8"/>
      <c r="P1036" s="8"/>
      <c r="Q1036" s="8"/>
      <c r="R1036" s="8"/>
      <c r="S1036" s="8"/>
      <c r="T1036" s="8"/>
      <c r="U1036" s="8"/>
      <c r="V1036" s="8"/>
      <c r="W1036" s="8"/>
      <c r="X1036" s="8"/>
      <c r="Y1036" s="8"/>
      <c r="Z1036" s="8"/>
    </row>
    <row r="1037" spans="1:28" x14ac:dyDescent="0.3">
      <c r="A1037" s="64"/>
      <c r="B1037" s="8"/>
      <c r="C1037" s="7" t="s">
        <v>172</v>
      </c>
      <c r="D1037" s="15" t="s">
        <v>166</v>
      </c>
      <c r="E1037" s="9">
        <v>1609847</v>
      </c>
      <c r="F1037" s="9">
        <v>1609847</v>
      </c>
      <c r="G1037" s="8"/>
      <c r="H1037" s="9">
        <f t="shared" ref="H1037:H1048" si="566">F1037+G1037</f>
        <v>1609847</v>
      </c>
      <c r="I1037" s="8"/>
      <c r="J1037" s="8"/>
      <c r="K1037" s="8"/>
      <c r="L1037" s="9"/>
      <c r="M1037" s="9">
        <f t="shared" ref="M1037:M1048" si="567">H1037+L1037</f>
        <v>1609847</v>
      </c>
      <c r="N1037" s="9">
        <v>0</v>
      </c>
      <c r="O1037" s="8"/>
      <c r="P1037" s="9">
        <f t="shared" ref="P1037:P1048" si="568">N1037+O1037</f>
        <v>0</v>
      </c>
      <c r="Q1037" s="8"/>
      <c r="R1037" s="8"/>
      <c r="S1037" s="8"/>
      <c r="T1037" s="9"/>
      <c r="U1037" s="9">
        <f t="shared" ref="U1037:U1048" si="569">P1037+T1037</f>
        <v>0</v>
      </c>
      <c r="V1037" s="9">
        <f t="shared" ref="V1037:V1048" si="570">P1037+H1037</f>
        <v>1609847</v>
      </c>
      <c r="W1037" s="9">
        <f t="shared" ref="W1037:W1048" si="571">E1037-V1037</f>
        <v>0</v>
      </c>
      <c r="X1037" s="9">
        <f t="shared" ref="X1037:X1048" si="572">+H1037+P1037</f>
        <v>1609847</v>
      </c>
      <c r="Y1037" s="8"/>
      <c r="Z1037" s="9">
        <f t="shared" ref="Z1037:Z1048" si="573">+E1037-X1037</f>
        <v>0</v>
      </c>
      <c r="AA1037" s="8">
        <f t="shared" ref="AA1037:AA1048" si="574">+M1037+U1037</f>
        <v>1609847</v>
      </c>
      <c r="AB1037" s="8">
        <f t="shared" ref="AB1037:AB1048" si="575">+E1037-AA1037</f>
        <v>0</v>
      </c>
    </row>
    <row r="1038" spans="1:28" x14ac:dyDescent="0.3">
      <c r="A1038" s="64"/>
      <c r="B1038" s="8"/>
      <c r="C1038" s="7" t="s">
        <v>55</v>
      </c>
      <c r="D1038" s="15" t="s">
        <v>99</v>
      </c>
      <c r="E1038" s="9">
        <v>20755785.25</v>
      </c>
      <c r="F1038" s="9">
        <v>0</v>
      </c>
      <c r="G1038" s="8"/>
      <c r="H1038" s="9">
        <f t="shared" si="566"/>
        <v>0</v>
      </c>
      <c r="I1038" s="8"/>
      <c r="J1038" s="8"/>
      <c r="K1038" s="8"/>
      <c r="L1038" s="9"/>
      <c r="M1038" s="9">
        <f t="shared" si="567"/>
        <v>0</v>
      </c>
      <c r="N1038" s="9">
        <v>20755785.25</v>
      </c>
      <c r="O1038" s="8"/>
      <c r="P1038" s="9">
        <f t="shared" si="568"/>
        <v>20755785.25</v>
      </c>
      <c r="Q1038" s="8"/>
      <c r="R1038" s="8"/>
      <c r="S1038" s="8"/>
      <c r="T1038" s="9"/>
      <c r="U1038" s="9">
        <f t="shared" si="569"/>
        <v>20755785.25</v>
      </c>
      <c r="V1038" s="9">
        <f t="shared" si="570"/>
        <v>20755785.25</v>
      </c>
      <c r="W1038" s="9">
        <f t="shared" si="571"/>
        <v>0</v>
      </c>
      <c r="X1038" s="9">
        <f t="shared" si="572"/>
        <v>20755785.25</v>
      </c>
      <c r="Y1038" s="8"/>
      <c r="Z1038" s="9">
        <f t="shared" si="573"/>
        <v>0</v>
      </c>
      <c r="AA1038" s="8">
        <f t="shared" si="574"/>
        <v>20755785.25</v>
      </c>
      <c r="AB1038" s="8">
        <f t="shared" si="575"/>
        <v>0</v>
      </c>
    </row>
    <row r="1039" spans="1:28" x14ac:dyDescent="0.3">
      <c r="A1039" s="64"/>
      <c r="B1039" s="8"/>
      <c r="C1039" s="7" t="s">
        <v>57</v>
      </c>
      <c r="D1039" s="15" t="s">
        <v>79</v>
      </c>
      <c r="E1039" s="9">
        <v>3660152.55</v>
      </c>
      <c r="F1039" s="9">
        <v>1929434.14</v>
      </c>
      <c r="G1039" s="8"/>
      <c r="H1039" s="9">
        <f t="shared" si="566"/>
        <v>1929434.14</v>
      </c>
      <c r="I1039" s="8"/>
      <c r="J1039" s="8"/>
      <c r="K1039" s="8"/>
      <c r="L1039" s="9"/>
      <c r="M1039" s="9">
        <f t="shared" si="567"/>
        <v>1929434.14</v>
      </c>
      <c r="N1039" s="9">
        <v>1730718.41</v>
      </c>
      <c r="O1039" s="8"/>
      <c r="P1039" s="9">
        <f t="shared" si="568"/>
        <v>1730718.41</v>
      </c>
      <c r="Q1039" s="8"/>
      <c r="R1039" s="8"/>
      <c r="S1039" s="8"/>
      <c r="T1039" s="9"/>
      <c r="U1039" s="9">
        <f t="shared" si="569"/>
        <v>1730718.41</v>
      </c>
      <c r="V1039" s="9">
        <f t="shared" si="570"/>
        <v>3660152.55</v>
      </c>
      <c r="W1039" s="9">
        <f t="shared" si="571"/>
        <v>0</v>
      </c>
      <c r="X1039" s="9">
        <f t="shared" si="572"/>
        <v>3660152.55</v>
      </c>
      <c r="Y1039" s="8"/>
      <c r="Z1039" s="9">
        <f t="shared" si="573"/>
        <v>0</v>
      </c>
      <c r="AA1039" s="8">
        <f t="shared" si="574"/>
        <v>3660152.55</v>
      </c>
      <c r="AB1039" s="8">
        <f t="shared" si="575"/>
        <v>0</v>
      </c>
    </row>
    <row r="1040" spans="1:28" x14ac:dyDescent="0.3">
      <c r="A1040" s="64"/>
      <c r="B1040" s="8"/>
      <c r="C1040" s="7" t="s">
        <v>53</v>
      </c>
      <c r="D1040" s="15" t="s">
        <v>68</v>
      </c>
      <c r="E1040" s="9">
        <v>1953989</v>
      </c>
      <c r="F1040" s="9">
        <v>0</v>
      </c>
      <c r="G1040" s="8"/>
      <c r="H1040" s="9">
        <f t="shared" si="566"/>
        <v>0</v>
      </c>
      <c r="I1040" s="8"/>
      <c r="J1040" s="8"/>
      <c r="K1040" s="8"/>
      <c r="L1040" s="9"/>
      <c r="M1040" s="9">
        <f t="shared" si="567"/>
        <v>0</v>
      </c>
      <c r="N1040" s="9">
        <v>1953989</v>
      </c>
      <c r="O1040" s="8"/>
      <c r="P1040" s="9">
        <f t="shared" si="568"/>
        <v>1953989</v>
      </c>
      <c r="Q1040" s="8"/>
      <c r="R1040" s="8"/>
      <c r="S1040" s="8"/>
      <c r="T1040" s="9"/>
      <c r="U1040" s="9">
        <f t="shared" si="569"/>
        <v>1953989</v>
      </c>
      <c r="V1040" s="9">
        <f t="shared" si="570"/>
        <v>1953989</v>
      </c>
      <c r="W1040" s="9">
        <f t="shared" si="571"/>
        <v>0</v>
      </c>
      <c r="X1040" s="9">
        <f t="shared" si="572"/>
        <v>1953989</v>
      </c>
      <c r="Y1040" s="8"/>
      <c r="Z1040" s="9">
        <f t="shared" si="573"/>
        <v>0</v>
      </c>
      <c r="AA1040" s="8">
        <f t="shared" si="574"/>
        <v>1953989</v>
      </c>
      <c r="AB1040" s="8">
        <f t="shared" si="575"/>
        <v>0</v>
      </c>
    </row>
    <row r="1041" spans="1:28" x14ac:dyDescent="0.3">
      <c r="A1041" s="64"/>
      <c r="B1041" s="8"/>
      <c r="C1041" s="7" t="s">
        <v>192</v>
      </c>
      <c r="D1041" s="15" t="s">
        <v>54</v>
      </c>
      <c r="E1041" s="9">
        <v>955345.62</v>
      </c>
      <c r="F1041" s="9">
        <v>0</v>
      </c>
      <c r="G1041" s="8"/>
      <c r="H1041" s="9">
        <f t="shared" si="566"/>
        <v>0</v>
      </c>
      <c r="I1041" s="8"/>
      <c r="J1041" s="8"/>
      <c r="K1041" s="8"/>
      <c r="L1041" s="9"/>
      <c r="M1041" s="9">
        <f t="shared" si="567"/>
        <v>0</v>
      </c>
      <c r="N1041" s="9">
        <v>955345.62</v>
      </c>
      <c r="O1041" s="8"/>
      <c r="P1041" s="9">
        <f t="shared" si="568"/>
        <v>955345.62</v>
      </c>
      <c r="Q1041" s="8"/>
      <c r="R1041" s="8"/>
      <c r="S1041" s="8"/>
      <c r="T1041" s="9"/>
      <c r="U1041" s="9">
        <f t="shared" si="569"/>
        <v>955345.62</v>
      </c>
      <c r="V1041" s="9">
        <f t="shared" si="570"/>
        <v>955345.62</v>
      </c>
      <c r="W1041" s="9">
        <f t="shared" si="571"/>
        <v>0</v>
      </c>
      <c r="X1041" s="9">
        <f t="shared" si="572"/>
        <v>955345.62</v>
      </c>
      <c r="Y1041" s="8"/>
      <c r="Z1041" s="9">
        <f t="shared" si="573"/>
        <v>0</v>
      </c>
      <c r="AA1041" s="8">
        <f t="shared" si="574"/>
        <v>955345.62</v>
      </c>
      <c r="AB1041" s="8">
        <f t="shared" si="575"/>
        <v>0</v>
      </c>
    </row>
    <row r="1042" spans="1:28" x14ac:dyDescent="0.3">
      <c r="A1042" s="64"/>
      <c r="B1042" s="8"/>
      <c r="C1042" s="7" t="s">
        <v>225</v>
      </c>
      <c r="D1042" s="15" t="s">
        <v>85</v>
      </c>
      <c r="E1042" s="9">
        <v>160000</v>
      </c>
      <c r="F1042" s="9">
        <v>160000</v>
      </c>
      <c r="G1042" s="8"/>
      <c r="H1042" s="9">
        <f t="shared" si="566"/>
        <v>160000</v>
      </c>
      <c r="I1042" s="8"/>
      <c r="J1042" s="8"/>
      <c r="K1042" s="8"/>
      <c r="L1042" s="9"/>
      <c r="M1042" s="9">
        <f t="shared" si="567"/>
        <v>160000</v>
      </c>
      <c r="N1042" s="9">
        <v>0</v>
      </c>
      <c r="O1042" s="8"/>
      <c r="P1042" s="9">
        <f t="shared" si="568"/>
        <v>0</v>
      </c>
      <c r="Q1042" s="8"/>
      <c r="R1042" s="8"/>
      <c r="S1042" s="8"/>
      <c r="T1042" s="9"/>
      <c r="U1042" s="9">
        <f t="shared" si="569"/>
        <v>0</v>
      </c>
      <c r="V1042" s="9">
        <f t="shared" si="570"/>
        <v>160000</v>
      </c>
      <c r="W1042" s="9">
        <f t="shared" si="571"/>
        <v>0</v>
      </c>
      <c r="X1042" s="9">
        <f t="shared" si="572"/>
        <v>160000</v>
      </c>
      <c r="Y1042" s="8"/>
      <c r="Z1042" s="9">
        <f t="shared" si="573"/>
        <v>0</v>
      </c>
      <c r="AA1042" s="8">
        <f t="shared" si="574"/>
        <v>160000</v>
      </c>
      <c r="AB1042" s="8">
        <f t="shared" si="575"/>
        <v>0</v>
      </c>
    </row>
    <row r="1043" spans="1:28" x14ac:dyDescent="0.3">
      <c r="A1043" s="64"/>
      <c r="B1043" s="8"/>
      <c r="C1043" s="7" t="s">
        <v>241</v>
      </c>
      <c r="D1043" s="15" t="s">
        <v>128</v>
      </c>
      <c r="E1043" s="9">
        <v>1000000</v>
      </c>
      <c r="F1043" s="9">
        <v>1000000</v>
      </c>
      <c r="G1043" s="8"/>
      <c r="H1043" s="9">
        <f t="shared" si="566"/>
        <v>1000000</v>
      </c>
      <c r="I1043" s="8"/>
      <c r="J1043" s="8"/>
      <c r="K1043" s="8"/>
      <c r="L1043" s="9"/>
      <c r="M1043" s="9">
        <f t="shared" si="567"/>
        <v>1000000</v>
      </c>
      <c r="N1043" s="9">
        <v>0</v>
      </c>
      <c r="O1043" s="8"/>
      <c r="P1043" s="9">
        <f t="shared" si="568"/>
        <v>0</v>
      </c>
      <c r="Q1043" s="8"/>
      <c r="R1043" s="8"/>
      <c r="S1043" s="8"/>
      <c r="T1043" s="9"/>
      <c r="U1043" s="9">
        <f t="shared" si="569"/>
        <v>0</v>
      </c>
      <c r="V1043" s="9">
        <f t="shared" si="570"/>
        <v>1000000</v>
      </c>
      <c r="W1043" s="9">
        <f t="shared" si="571"/>
        <v>0</v>
      </c>
      <c r="X1043" s="9">
        <f t="shared" si="572"/>
        <v>1000000</v>
      </c>
      <c r="Y1043" s="8"/>
      <c r="Z1043" s="9">
        <f t="shared" si="573"/>
        <v>0</v>
      </c>
      <c r="AA1043" s="8">
        <f t="shared" si="574"/>
        <v>1000000</v>
      </c>
      <c r="AB1043" s="8">
        <f t="shared" si="575"/>
        <v>0</v>
      </c>
    </row>
    <row r="1044" spans="1:28" x14ac:dyDescent="0.3">
      <c r="A1044" s="64"/>
      <c r="B1044" s="8"/>
      <c r="C1044" s="7" t="s">
        <v>57</v>
      </c>
      <c r="D1044" s="15" t="s">
        <v>58</v>
      </c>
      <c r="E1044" s="9">
        <v>2076519</v>
      </c>
      <c r="F1044" s="9">
        <v>2076519</v>
      </c>
      <c r="G1044" s="8"/>
      <c r="H1044" s="9">
        <f t="shared" si="566"/>
        <v>2076519</v>
      </c>
      <c r="I1044" s="8"/>
      <c r="J1044" s="8"/>
      <c r="K1044" s="8"/>
      <c r="L1044" s="9"/>
      <c r="M1044" s="9">
        <f t="shared" si="567"/>
        <v>2076519</v>
      </c>
      <c r="N1044" s="9">
        <v>0</v>
      </c>
      <c r="O1044" s="8"/>
      <c r="P1044" s="9">
        <f t="shared" si="568"/>
        <v>0</v>
      </c>
      <c r="Q1044" s="8"/>
      <c r="R1044" s="8"/>
      <c r="S1044" s="8"/>
      <c r="T1044" s="9"/>
      <c r="U1044" s="9">
        <f t="shared" si="569"/>
        <v>0</v>
      </c>
      <c r="V1044" s="9">
        <f t="shared" si="570"/>
        <v>2076519</v>
      </c>
      <c r="W1044" s="9">
        <f t="shared" si="571"/>
        <v>0</v>
      </c>
      <c r="X1044" s="9">
        <f t="shared" si="572"/>
        <v>2076519</v>
      </c>
      <c r="Y1044" s="8"/>
      <c r="Z1044" s="9">
        <f t="shared" si="573"/>
        <v>0</v>
      </c>
      <c r="AA1044" s="8">
        <f t="shared" si="574"/>
        <v>2076519</v>
      </c>
      <c r="AB1044" s="8">
        <f t="shared" si="575"/>
        <v>0</v>
      </c>
    </row>
    <row r="1045" spans="1:28" x14ac:dyDescent="0.3">
      <c r="A1045" s="64"/>
      <c r="B1045" s="8"/>
      <c r="C1045" s="7" t="s">
        <v>924</v>
      </c>
      <c r="D1045" s="15"/>
      <c r="E1045" s="9">
        <v>450000</v>
      </c>
      <c r="F1045" s="8">
        <v>450000</v>
      </c>
      <c r="G1045" s="8"/>
      <c r="H1045" s="9">
        <f>+F1045+G1045</f>
        <v>450000</v>
      </c>
      <c r="I1045" s="8"/>
      <c r="J1045" s="8"/>
      <c r="K1045" s="8"/>
      <c r="L1045" s="9"/>
      <c r="M1045" s="9">
        <f>+H1045+L1045</f>
        <v>450000</v>
      </c>
      <c r="N1045" s="9">
        <v>0</v>
      </c>
      <c r="O1045" s="8"/>
      <c r="P1045" s="9">
        <f>+N1045+O1045</f>
        <v>0</v>
      </c>
      <c r="Q1045" s="8"/>
      <c r="R1045" s="8"/>
      <c r="S1045" s="8"/>
      <c r="T1045" s="9"/>
      <c r="U1045" s="9">
        <f>P1045+T1045</f>
        <v>0</v>
      </c>
      <c r="V1045" s="9">
        <f>P1045+H1045</f>
        <v>450000</v>
      </c>
      <c r="W1045" s="9">
        <f>E1045-V1045</f>
        <v>0</v>
      </c>
      <c r="X1045" s="9">
        <f t="shared" si="572"/>
        <v>450000</v>
      </c>
      <c r="Y1045" s="8"/>
      <c r="Z1045" s="9">
        <f t="shared" si="573"/>
        <v>0</v>
      </c>
      <c r="AA1045" s="8">
        <f t="shared" si="574"/>
        <v>450000</v>
      </c>
      <c r="AB1045" s="8">
        <f t="shared" si="575"/>
        <v>0</v>
      </c>
    </row>
    <row r="1046" spans="1:28" x14ac:dyDescent="0.3">
      <c r="A1046" s="64"/>
      <c r="B1046" s="8"/>
      <c r="C1046" s="7" t="s">
        <v>930</v>
      </c>
      <c r="D1046" s="16" t="s">
        <v>1072</v>
      </c>
      <c r="E1046" s="9">
        <v>767000</v>
      </c>
      <c r="F1046" s="8">
        <v>767000</v>
      </c>
      <c r="G1046" s="8"/>
      <c r="H1046" s="9">
        <f>+F1046+G1046</f>
        <v>767000</v>
      </c>
      <c r="I1046" s="8"/>
      <c r="J1046" s="8"/>
      <c r="K1046" s="8"/>
      <c r="L1046" s="9"/>
      <c r="M1046" s="9">
        <f>+H1046+L1046</f>
        <v>767000</v>
      </c>
      <c r="N1046" s="9">
        <v>0</v>
      </c>
      <c r="O1046" s="8"/>
      <c r="P1046" s="9">
        <f>+N1046+O1046</f>
        <v>0</v>
      </c>
      <c r="Q1046" s="8"/>
      <c r="R1046" s="8"/>
      <c r="S1046" s="8"/>
      <c r="T1046" s="9"/>
      <c r="U1046" s="9">
        <f>P1046+T1046</f>
        <v>0</v>
      </c>
      <c r="V1046" s="9">
        <f>P1046+H1046</f>
        <v>767000</v>
      </c>
      <c r="W1046" s="9">
        <f>E1046-V1046</f>
        <v>0</v>
      </c>
      <c r="X1046" s="9">
        <f t="shared" si="572"/>
        <v>767000</v>
      </c>
      <c r="Y1046" s="8"/>
      <c r="Z1046" s="9">
        <f t="shared" si="573"/>
        <v>0</v>
      </c>
      <c r="AA1046" s="8">
        <f t="shared" si="574"/>
        <v>767000</v>
      </c>
      <c r="AB1046" s="8">
        <f t="shared" si="575"/>
        <v>0</v>
      </c>
    </row>
    <row r="1047" spans="1:28" x14ac:dyDescent="0.3">
      <c r="A1047" s="64"/>
      <c r="B1047" s="8"/>
      <c r="C1047" s="14" t="s">
        <v>109</v>
      </c>
      <c r="D1047" s="21" t="s">
        <v>60</v>
      </c>
      <c r="E1047" s="9">
        <v>2500000</v>
      </c>
      <c r="F1047" s="11">
        <v>2500000</v>
      </c>
      <c r="G1047" s="8"/>
      <c r="H1047" s="9">
        <f t="shared" si="566"/>
        <v>2500000</v>
      </c>
      <c r="I1047" s="8"/>
      <c r="J1047" s="8"/>
      <c r="K1047" s="8"/>
      <c r="L1047" s="9"/>
      <c r="M1047" s="9">
        <f t="shared" si="567"/>
        <v>2500000</v>
      </c>
      <c r="N1047" s="9">
        <v>0</v>
      </c>
      <c r="O1047" s="8"/>
      <c r="P1047" s="9">
        <f t="shared" si="568"/>
        <v>0</v>
      </c>
      <c r="Q1047" s="8"/>
      <c r="R1047" s="8"/>
      <c r="S1047" s="8"/>
      <c r="T1047" s="9"/>
      <c r="U1047" s="9">
        <f t="shared" si="569"/>
        <v>0</v>
      </c>
      <c r="V1047" s="9">
        <f t="shared" si="570"/>
        <v>2500000</v>
      </c>
      <c r="W1047" s="9">
        <f t="shared" si="571"/>
        <v>0</v>
      </c>
      <c r="X1047" s="9">
        <f t="shared" si="572"/>
        <v>2500000</v>
      </c>
      <c r="Y1047" s="8"/>
      <c r="Z1047" s="9">
        <f t="shared" si="573"/>
        <v>0</v>
      </c>
      <c r="AA1047" s="8">
        <f t="shared" si="574"/>
        <v>2500000</v>
      </c>
      <c r="AB1047" s="8">
        <f t="shared" si="575"/>
        <v>0</v>
      </c>
    </row>
    <row r="1048" spans="1:28" x14ac:dyDescent="0.3">
      <c r="A1048" s="64"/>
      <c r="B1048" s="8"/>
      <c r="C1048" s="7" t="s">
        <v>57</v>
      </c>
      <c r="D1048" s="15" t="s">
        <v>60</v>
      </c>
      <c r="E1048" s="9">
        <v>1308000</v>
      </c>
      <c r="F1048" s="11">
        <v>1308000</v>
      </c>
      <c r="G1048" s="8"/>
      <c r="H1048" s="9">
        <f t="shared" si="566"/>
        <v>1308000</v>
      </c>
      <c r="I1048" s="8"/>
      <c r="J1048" s="8"/>
      <c r="K1048" s="8"/>
      <c r="L1048" s="9"/>
      <c r="M1048" s="9">
        <f t="shared" si="567"/>
        <v>1308000</v>
      </c>
      <c r="N1048" s="9">
        <v>0</v>
      </c>
      <c r="O1048" s="8"/>
      <c r="P1048" s="9">
        <f t="shared" si="568"/>
        <v>0</v>
      </c>
      <c r="Q1048" s="8"/>
      <c r="R1048" s="8"/>
      <c r="S1048" s="8"/>
      <c r="T1048" s="9"/>
      <c r="U1048" s="9">
        <f t="shared" si="569"/>
        <v>0</v>
      </c>
      <c r="V1048" s="9">
        <f t="shared" si="570"/>
        <v>1308000</v>
      </c>
      <c r="W1048" s="9">
        <f t="shared" si="571"/>
        <v>0</v>
      </c>
      <c r="X1048" s="9">
        <f t="shared" si="572"/>
        <v>1308000</v>
      </c>
      <c r="Y1048" s="8"/>
      <c r="Z1048" s="9">
        <f t="shared" si="573"/>
        <v>0</v>
      </c>
      <c r="AA1048" s="8">
        <f t="shared" si="574"/>
        <v>1308000</v>
      </c>
      <c r="AB1048" s="8">
        <f t="shared" si="575"/>
        <v>0</v>
      </c>
    </row>
    <row r="1049" spans="1:28" x14ac:dyDescent="0.3">
      <c r="A1049" s="64"/>
      <c r="B1049" s="8"/>
      <c r="C1049" s="8"/>
      <c r="D1049" s="8"/>
      <c r="E1049" s="17" t="s">
        <v>29</v>
      </c>
      <c r="F1049" s="17" t="s">
        <v>29</v>
      </c>
      <c r="G1049" s="17" t="s">
        <v>29</v>
      </c>
      <c r="H1049" s="17" t="s">
        <v>29</v>
      </c>
      <c r="I1049" s="17" t="s">
        <v>29</v>
      </c>
      <c r="J1049" s="17" t="s">
        <v>29</v>
      </c>
      <c r="K1049" s="17" t="s">
        <v>29</v>
      </c>
      <c r="L1049" s="17" t="s">
        <v>29</v>
      </c>
      <c r="M1049" s="17" t="s">
        <v>29</v>
      </c>
      <c r="N1049" s="17" t="s">
        <v>29</v>
      </c>
      <c r="O1049" s="17" t="s">
        <v>29</v>
      </c>
      <c r="P1049" s="17" t="s">
        <v>29</v>
      </c>
      <c r="Q1049" s="17" t="s">
        <v>29</v>
      </c>
      <c r="R1049" s="17" t="s">
        <v>29</v>
      </c>
      <c r="S1049" s="17" t="s">
        <v>29</v>
      </c>
      <c r="T1049" s="17" t="s">
        <v>29</v>
      </c>
      <c r="U1049" s="17" t="s">
        <v>29</v>
      </c>
      <c r="V1049" s="17" t="s">
        <v>29</v>
      </c>
      <c r="W1049" s="17" t="s">
        <v>29</v>
      </c>
      <c r="X1049" s="17" t="s">
        <v>29</v>
      </c>
      <c r="Y1049" s="17" t="s">
        <v>29</v>
      </c>
      <c r="Z1049" s="17" t="s">
        <v>29</v>
      </c>
      <c r="AA1049" s="17" t="s">
        <v>29</v>
      </c>
      <c r="AB1049" s="17" t="s">
        <v>29</v>
      </c>
    </row>
    <row r="1050" spans="1:28" x14ac:dyDescent="0.3">
      <c r="A1050" s="64"/>
      <c r="B1050" s="8"/>
      <c r="C1050" s="8"/>
      <c r="D1050" s="8"/>
      <c r="E1050" s="9">
        <f t="shared" ref="E1050:AB1050" si="576">SUM(E1037:E1048)</f>
        <v>37196638.420000002</v>
      </c>
      <c r="F1050" s="9">
        <f t="shared" si="576"/>
        <v>11800800.140000001</v>
      </c>
      <c r="G1050" s="9">
        <f t="shared" si="576"/>
        <v>0</v>
      </c>
      <c r="H1050" s="9">
        <f t="shared" si="576"/>
        <v>11800800.140000001</v>
      </c>
      <c r="I1050" s="9">
        <f t="shared" si="576"/>
        <v>0</v>
      </c>
      <c r="J1050" s="9">
        <f t="shared" si="576"/>
        <v>0</v>
      </c>
      <c r="K1050" s="9">
        <f t="shared" si="576"/>
        <v>0</v>
      </c>
      <c r="L1050" s="9">
        <f t="shared" si="576"/>
        <v>0</v>
      </c>
      <c r="M1050" s="9">
        <f t="shared" si="576"/>
        <v>11800800.140000001</v>
      </c>
      <c r="N1050" s="9">
        <f t="shared" si="576"/>
        <v>25395838.280000001</v>
      </c>
      <c r="O1050" s="9">
        <f t="shared" si="576"/>
        <v>0</v>
      </c>
      <c r="P1050" s="9">
        <f t="shared" si="576"/>
        <v>25395838.280000001</v>
      </c>
      <c r="Q1050" s="9">
        <f t="shared" si="576"/>
        <v>0</v>
      </c>
      <c r="R1050" s="9">
        <f t="shared" si="576"/>
        <v>0</v>
      </c>
      <c r="S1050" s="9">
        <f t="shared" si="576"/>
        <v>0</v>
      </c>
      <c r="T1050" s="9">
        <f t="shared" si="576"/>
        <v>0</v>
      </c>
      <c r="U1050" s="9">
        <f t="shared" si="576"/>
        <v>25395838.280000001</v>
      </c>
      <c r="V1050" s="9">
        <f t="shared" si="576"/>
        <v>37196638.420000002</v>
      </c>
      <c r="W1050" s="9">
        <f t="shared" si="576"/>
        <v>0</v>
      </c>
      <c r="X1050" s="9">
        <f t="shared" si="576"/>
        <v>37196638.420000002</v>
      </c>
      <c r="Y1050" s="9">
        <f t="shared" si="576"/>
        <v>0</v>
      </c>
      <c r="Z1050" s="9">
        <f t="shared" si="576"/>
        <v>0</v>
      </c>
      <c r="AA1050" s="9">
        <f t="shared" si="576"/>
        <v>37196638.420000002</v>
      </c>
      <c r="AB1050" s="9">
        <f t="shared" si="576"/>
        <v>0</v>
      </c>
    </row>
    <row r="1051" spans="1:28" x14ac:dyDescent="0.3">
      <c r="A1051" s="64"/>
      <c r="B1051" s="8"/>
      <c r="C1051" s="8"/>
      <c r="D1051" s="8"/>
      <c r="E1051" s="17" t="s">
        <v>29</v>
      </c>
      <c r="F1051" s="17" t="s">
        <v>29</v>
      </c>
      <c r="G1051" s="17" t="s">
        <v>29</v>
      </c>
      <c r="H1051" s="17" t="s">
        <v>29</v>
      </c>
      <c r="I1051" s="17" t="s">
        <v>29</v>
      </c>
      <c r="J1051" s="17" t="s">
        <v>29</v>
      </c>
      <c r="K1051" s="17" t="s">
        <v>29</v>
      </c>
      <c r="L1051" s="17" t="s">
        <v>29</v>
      </c>
      <c r="M1051" s="17" t="s">
        <v>29</v>
      </c>
      <c r="N1051" s="17" t="s">
        <v>29</v>
      </c>
      <c r="O1051" s="17" t="s">
        <v>29</v>
      </c>
      <c r="P1051" s="17" t="s">
        <v>29</v>
      </c>
      <c r="Q1051" s="17" t="s">
        <v>29</v>
      </c>
      <c r="R1051" s="17" t="s">
        <v>29</v>
      </c>
      <c r="S1051" s="17" t="s">
        <v>29</v>
      </c>
      <c r="T1051" s="17" t="s">
        <v>29</v>
      </c>
      <c r="U1051" s="17" t="s">
        <v>29</v>
      </c>
      <c r="V1051" s="17" t="s">
        <v>29</v>
      </c>
      <c r="W1051" s="17" t="s">
        <v>29</v>
      </c>
      <c r="X1051" s="17" t="s">
        <v>29</v>
      </c>
      <c r="Y1051" s="17" t="s">
        <v>29</v>
      </c>
      <c r="Z1051" s="17" t="s">
        <v>29</v>
      </c>
      <c r="AA1051" s="17" t="s">
        <v>29</v>
      </c>
      <c r="AB1051" s="17" t="s">
        <v>29</v>
      </c>
    </row>
    <row r="1052" spans="1:28" x14ac:dyDescent="0.3">
      <c r="A1052" s="63" t="s">
        <v>986</v>
      </c>
      <c r="B1052" s="7" t="s">
        <v>242</v>
      </c>
      <c r="C1052" s="8"/>
      <c r="D1052" s="8"/>
      <c r="E1052" s="8"/>
      <c r="F1052" s="8"/>
      <c r="G1052" s="8"/>
      <c r="H1052" s="8"/>
      <c r="I1052" s="8"/>
      <c r="J1052" s="8"/>
      <c r="K1052" s="8"/>
      <c r="L1052" s="8"/>
      <c r="M1052" s="8"/>
      <c r="N1052" s="8"/>
      <c r="O1052" s="8"/>
      <c r="P1052" s="8"/>
      <c r="Q1052" s="8"/>
      <c r="R1052" s="8"/>
      <c r="S1052" s="8"/>
      <c r="T1052" s="8"/>
      <c r="U1052" s="8"/>
      <c r="V1052" s="8"/>
      <c r="W1052" s="8"/>
      <c r="X1052" s="8"/>
      <c r="Y1052" s="8"/>
      <c r="Z1052" s="8"/>
    </row>
    <row r="1053" spans="1:28" x14ac:dyDescent="0.3">
      <c r="A1053" s="64"/>
      <c r="B1053" s="8"/>
      <c r="C1053" s="7" t="s">
        <v>172</v>
      </c>
      <c r="D1053" s="15" t="s">
        <v>166</v>
      </c>
      <c r="E1053" s="9">
        <v>1033834</v>
      </c>
      <c r="F1053" s="9">
        <v>1033834</v>
      </c>
      <c r="G1053" s="8"/>
      <c r="H1053" s="9">
        <f>F1053+G1053</f>
        <v>1033834</v>
      </c>
      <c r="I1053" s="8"/>
      <c r="J1053" s="8"/>
      <c r="K1053" s="8"/>
      <c r="L1053" s="9"/>
      <c r="M1053" s="9">
        <f>H1053+L1053</f>
        <v>1033834</v>
      </c>
      <c r="N1053" s="9">
        <v>0</v>
      </c>
      <c r="O1053" s="8"/>
      <c r="P1053" s="9">
        <f>N1053+O1053</f>
        <v>0</v>
      </c>
      <c r="Q1053" s="8"/>
      <c r="R1053" s="8"/>
      <c r="S1053" s="8"/>
      <c r="T1053" s="9"/>
      <c r="U1053" s="9">
        <f>P1053+T1053</f>
        <v>0</v>
      </c>
      <c r="V1053" s="9">
        <f>P1053+H1053</f>
        <v>1033834</v>
      </c>
      <c r="W1053" s="9">
        <f>E1053-V1053</f>
        <v>0</v>
      </c>
      <c r="X1053" s="9">
        <f>+H1053+P1053</f>
        <v>1033834</v>
      </c>
      <c r="Y1053" s="8"/>
      <c r="Z1053" s="9">
        <f>+E1053-X1053</f>
        <v>0</v>
      </c>
      <c r="AA1053" s="8">
        <f>+M1053+U1053</f>
        <v>1033834</v>
      </c>
      <c r="AB1053" s="8">
        <f>+E1053-AA1053</f>
        <v>0</v>
      </c>
    </row>
    <row r="1054" spans="1:28" x14ac:dyDescent="0.3">
      <c r="A1054" s="64"/>
      <c r="B1054" s="8"/>
      <c r="C1054" s="8"/>
      <c r="D1054" s="15" t="s">
        <v>79</v>
      </c>
      <c r="E1054" s="8"/>
      <c r="F1054" s="8"/>
      <c r="G1054" s="8"/>
      <c r="H1054" s="8"/>
      <c r="I1054" s="8"/>
      <c r="J1054" s="8"/>
      <c r="K1054" s="8"/>
      <c r="L1054" s="8"/>
      <c r="M1054" s="8"/>
      <c r="N1054" s="8"/>
      <c r="O1054" s="8"/>
      <c r="P1054" s="8"/>
      <c r="Q1054" s="8"/>
      <c r="R1054" s="8"/>
      <c r="S1054" s="8"/>
      <c r="T1054" s="8"/>
      <c r="U1054" s="8"/>
      <c r="V1054" s="8"/>
      <c r="W1054" s="8"/>
      <c r="X1054" s="8"/>
      <c r="Y1054" s="8"/>
      <c r="Z1054" s="8"/>
    </row>
    <row r="1055" spans="1:28" x14ac:dyDescent="0.3">
      <c r="A1055" s="64"/>
      <c r="B1055" s="8"/>
      <c r="C1055" s="7" t="s">
        <v>243</v>
      </c>
      <c r="D1055" s="14" t="s">
        <v>244</v>
      </c>
      <c r="E1055" s="9">
        <v>12085641.359999999</v>
      </c>
      <c r="F1055" s="9">
        <v>11106364.34</v>
      </c>
      <c r="G1055" s="8"/>
      <c r="H1055" s="9">
        <f t="shared" ref="H1055:H1064" si="577">F1055+G1055</f>
        <v>11106364.34</v>
      </c>
      <c r="I1055" s="8"/>
      <c r="J1055" s="8"/>
      <c r="K1055" s="8"/>
      <c r="L1055" s="9"/>
      <c r="M1055" s="9">
        <f t="shared" ref="M1055:M1064" si="578">H1055+L1055</f>
        <v>11106364.34</v>
      </c>
      <c r="N1055" s="9">
        <v>979277.02</v>
      </c>
      <c r="O1055" s="8"/>
      <c r="P1055" s="9">
        <f t="shared" ref="P1055:P1064" si="579">N1055+O1055</f>
        <v>979277.02</v>
      </c>
      <c r="Q1055" s="8"/>
      <c r="R1055" s="8"/>
      <c r="S1055" s="8"/>
      <c r="T1055" s="9"/>
      <c r="U1055" s="9">
        <f t="shared" ref="U1055:U1064" si="580">P1055+T1055</f>
        <v>979277.02</v>
      </c>
      <c r="V1055" s="9">
        <f t="shared" ref="V1055:V1064" si="581">P1055+H1055</f>
        <v>12085641.359999999</v>
      </c>
      <c r="W1055" s="9">
        <f t="shared" ref="W1055:W1064" si="582">E1055-V1055</f>
        <v>0</v>
      </c>
      <c r="X1055" s="9">
        <f t="shared" ref="X1055:X1064" si="583">+H1055+P1055</f>
        <v>12085641.359999999</v>
      </c>
      <c r="Y1055" s="8"/>
      <c r="Z1055" s="9">
        <f t="shared" ref="Z1055:Z1064" si="584">+E1055-X1055</f>
        <v>0</v>
      </c>
      <c r="AA1055" s="8">
        <f t="shared" ref="AA1055:AA1064" si="585">+M1055+U1055</f>
        <v>12085641.359999999</v>
      </c>
      <c r="AB1055" s="8">
        <f t="shared" ref="AB1055:AB1064" si="586">+E1055-AA1055</f>
        <v>0</v>
      </c>
    </row>
    <row r="1056" spans="1:28" x14ac:dyDescent="0.3">
      <c r="A1056" s="64"/>
      <c r="B1056" s="8"/>
      <c r="C1056" s="7" t="s">
        <v>53</v>
      </c>
      <c r="D1056" s="15" t="s">
        <v>54</v>
      </c>
      <c r="E1056" s="9">
        <v>1767770</v>
      </c>
      <c r="F1056" s="9">
        <v>0</v>
      </c>
      <c r="G1056" s="8"/>
      <c r="H1056" s="9">
        <f t="shared" si="577"/>
        <v>0</v>
      </c>
      <c r="I1056" s="8"/>
      <c r="J1056" s="8"/>
      <c r="K1056" s="8"/>
      <c r="L1056" s="9"/>
      <c r="M1056" s="9">
        <f t="shared" si="578"/>
        <v>0</v>
      </c>
      <c r="N1056" s="9">
        <v>1767770</v>
      </c>
      <c r="O1056" s="8"/>
      <c r="P1056" s="9">
        <f t="shared" si="579"/>
        <v>1767770</v>
      </c>
      <c r="Q1056" s="8"/>
      <c r="R1056" s="8"/>
      <c r="S1056" s="8"/>
      <c r="T1056" s="9"/>
      <c r="U1056" s="9">
        <f t="shared" si="580"/>
        <v>1767770</v>
      </c>
      <c r="V1056" s="9">
        <f t="shared" si="581"/>
        <v>1767770</v>
      </c>
      <c r="W1056" s="9">
        <f t="shared" si="582"/>
        <v>0</v>
      </c>
      <c r="X1056" s="9">
        <f t="shared" si="583"/>
        <v>1767770</v>
      </c>
      <c r="Y1056" s="8"/>
      <c r="Z1056" s="9">
        <f t="shared" si="584"/>
        <v>0</v>
      </c>
      <c r="AA1056" s="8">
        <f t="shared" si="585"/>
        <v>1767770</v>
      </c>
      <c r="AB1056" s="8">
        <f t="shared" si="586"/>
        <v>0</v>
      </c>
    </row>
    <row r="1057" spans="1:28" x14ac:dyDescent="0.3">
      <c r="A1057" s="64"/>
      <c r="B1057" s="8"/>
      <c r="C1057" s="7" t="s">
        <v>55</v>
      </c>
      <c r="D1057" s="15" t="s">
        <v>245</v>
      </c>
      <c r="E1057" s="9">
        <v>2176671.2999999998</v>
      </c>
      <c r="F1057" s="9">
        <v>0</v>
      </c>
      <c r="G1057" s="8"/>
      <c r="H1057" s="9">
        <f t="shared" si="577"/>
        <v>0</v>
      </c>
      <c r="I1057" s="8"/>
      <c r="J1057" s="8"/>
      <c r="K1057" s="8"/>
      <c r="L1057" s="9"/>
      <c r="M1057" s="9">
        <f t="shared" si="578"/>
        <v>0</v>
      </c>
      <c r="N1057" s="9">
        <v>2176671.2999999998</v>
      </c>
      <c r="O1057" s="8"/>
      <c r="P1057" s="9">
        <f t="shared" si="579"/>
        <v>2176671.2999999998</v>
      </c>
      <c r="Q1057" s="8"/>
      <c r="R1057" s="8"/>
      <c r="S1057" s="8"/>
      <c r="T1057" s="9"/>
      <c r="U1057" s="9">
        <f t="shared" si="580"/>
        <v>2176671.2999999998</v>
      </c>
      <c r="V1057" s="9">
        <f t="shared" si="581"/>
        <v>2176671.2999999998</v>
      </c>
      <c r="W1057" s="9">
        <f t="shared" si="582"/>
        <v>0</v>
      </c>
      <c r="X1057" s="9">
        <f t="shared" si="583"/>
        <v>2176671.2999999998</v>
      </c>
      <c r="Y1057" s="8"/>
      <c r="Z1057" s="9">
        <f t="shared" si="584"/>
        <v>0</v>
      </c>
      <c r="AA1057" s="8">
        <f t="shared" si="585"/>
        <v>2176671.2999999998</v>
      </c>
      <c r="AB1057" s="8">
        <f t="shared" si="586"/>
        <v>0</v>
      </c>
    </row>
    <row r="1058" spans="1:28" x14ac:dyDescent="0.3">
      <c r="A1058" s="64"/>
      <c r="B1058" s="8"/>
      <c r="C1058" s="7" t="s">
        <v>225</v>
      </c>
      <c r="D1058" s="15" t="s">
        <v>85</v>
      </c>
      <c r="E1058" s="9">
        <v>560000</v>
      </c>
      <c r="F1058" s="9">
        <v>486384</v>
      </c>
      <c r="G1058" s="8"/>
      <c r="H1058" s="9">
        <f t="shared" si="577"/>
        <v>486384</v>
      </c>
      <c r="I1058" s="8"/>
      <c r="J1058" s="8"/>
      <c r="K1058" s="8"/>
      <c r="L1058" s="9"/>
      <c r="M1058" s="9">
        <f t="shared" si="578"/>
        <v>486384</v>
      </c>
      <c r="N1058" s="9">
        <v>0</v>
      </c>
      <c r="O1058" s="8"/>
      <c r="P1058" s="9">
        <f t="shared" si="579"/>
        <v>0</v>
      </c>
      <c r="Q1058" s="8"/>
      <c r="R1058" s="8"/>
      <c r="S1058" s="8"/>
      <c r="T1058" s="9"/>
      <c r="U1058" s="9">
        <f t="shared" si="580"/>
        <v>0</v>
      </c>
      <c r="V1058" s="9">
        <f t="shared" si="581"/>
        <v>486384</v>
      </c>
      <c r="W1058" s="9">
        <f t="shared" si="582"/>
        <v>73616</v>
      </c>
      <c r="X1058" s="9">
        <f t="shared" si="583"/>
        <v>486384</v>
      </c>
      <c r="Y1058" s="8"/>
      <c r="Z1058" s="9">
        <f t="shared" si="584"/>
        <v>73616</v>
      </c>
      <c r="AA1058" s="8">
        <f t="shared" si="585"/>
        <v>486384</v>
      </c>
      <c r="AB1058" s="8">
        <f t="shared" si="586"/>
        <v>73616</v>
      </c>
    </row>
    <row r="1059" spans="1:28" x14ac:dyDescent="0.3">
      <c r="A1059" s="64"/>
      <c r="B1059" s="8"/>
      <c r="C1059" s="7" t="s">
        <v>57</v>
      </c>
      <c r="D1059" s="15" t="s">
        <v>58</v>
      </c>
      <c r="E1059" s="9">
        <v>1736648</v>
      </c>
      <c r="F1059" s="9">
        <v>1736648</v>
      </c>
      <c r="G1059" s="8"/>
      <c r="H1059" s="9">
        <f t="shared" si="577"/>
        <v>1736648</v>
      </c>
      <c r="I1059" s="8"/>
      <c r="J1059" s="8"/>
      <c r="K1059" s="8"/>
      <c r="L1059" s="9"/>
      <c r="M1059" s="9">
        <f t="shared" si="578"/>
        <v>1736648</v>
      </c>
      <c r="N1059" s="9">
        <v>0</v>
      </c>
      <c r="O1059" s="8"/>
      <c r="P1059" s="9">
        <f t="shared" si="579"/>
        <v>0</v>
      </c>
      <c r="Q1059" s="8"/>
      <c r="R1059" s="8"/>
      <c r="S1059" s="8"/>
      <c r="T1059" s="9"/>
      <c r="U1059" s="9">
        <f t="shared" si="580"/>
        <v>0</v>
      </c>
      <c r="V1059" s="9">
        <f t="shared" si="581"/>
        <v>1736648</v>
      </c>
      <c r="W1059" s="9">
        <f t="shared" si="582"/>
        <v>0</v>
      </c>
      <c r="X1059" s="9">
        <f t="shared" si="583"/>
        <v>1736648</v>
      </c>
      <c r="Y1059" s="8"/>
      <c r="Z1059" s="9">
        <f t="shared" si="584"/>
        <v>0</v>
      </c>
      <c r="AA1059" s="8">
        <f t="shared" si="585"/>
        <v>1736648</v>
      </c>
      <c r="AB1059" s="8">
        <f t="shared" si="586"/>
        <v>0</v>
      </c>
    </row>
    <row r="1060" spans="1:28" x14ac:dyDescent="0.3">
      <c r="A1060" s="64"/>
      <c r="B1060" s="8"/>
      <c r="C1060" s="7" t="s">
        <v>57</v>
      </c>
      <c r="D1060" s="15" t="s">
        <v>60</v>
      </c>
      <c r="E1060" s="9">
        <v>5391945</v>
      </c>
      <c r="F1060" s="11">
        <v>5391945</v>
      </c>
      <c r="G1060" s="8"/>
      <c r="H1060" s="9">
        <f t="shared" si="577"/>
        <v>5391945</v>
      </c>
      <c r="I1060" s="8"/>
      <c r="J1060" s="8"/>
      <c r="K1060" s="8"/>
      <c r="L1060" s="9"/>
      <c r="M1060" s="9">
        <f t="shared" si="578"/>
        <v>5391945</v>
      </c>
      <c r="N1060" s="9">
        <v>0</v>
      </c>
      <c r="O1060" s="8"/>
      <c r="P1060" s="9">
        <f t="shared" si="579"/>
        <v>0</v>
      </c>
      <c r="Q1060" s="8"/>
      <c r="R1060" s="8"/>
      <c r="S1060" s="8"/>
      <c r="T1060" s="9"/>
      <c r="U1060" s="9">
        <f t="shared" si="580"/>
        <v>0</v>
      </c>
      <c r="V1060" s="9">
        <f t="shared" si="581"/>
        <v>5391945</v>
      </c>
      <c r="W1060" s="9">
        <f t="shared" si="582"/>
        <v>0</v>
      </c>
      <c r="X1060" s="9">
        <f t="shared" si="583"/>
        <v>5391945</v>
      </c>
      <c r="Y1060" s="8"/>
      <c r="Z1060" s="9">
        <f t="shared" si="584"/>
        <v>0</v>
      </c>
      <c r="AA1060" s="8">
        <f t="shared" si="585"/>
        <v>5391945</v>
      </c>
      <c r="AB1060" s="8">
        <f t="shared" si="586"/>
        <v>0</v>
      </c>
    </row>
    <row r="1061" spans="1:28" x14ac:dyDescent="0.3">
      <c r="A1061" s="64"/>
      <c r="B1061" s="8"/>
      <c r="C1061" s="7" t="s">
        <v>932</v>
      </c>
      <c r="D1061" s="16" t="s">
        <v>1126</v>
      </c>
      <c r="E1061" s="9">
        <v>300000</v>
      </c>
      <c r="F1061" s="11">
        <v>300000</v>
      </c>
      <c r="G1061" s="8"/>
      <c r="H1061" s="9">
        <f>+F1061+G1061</f>
        <v>300000</v>
      </c>
      <c r="I1061" s="8"/>
      <c r="J1061" s="8"/>
      <c r="K1061" s="8"/>
      <c r="L1061" s="9"/>
      <c r="M1061" s="9">
        <f t="shared" si="578"/>
        <v>300000</v>
      </c>
      <c r="N1061" s="9">
        <v>0</v>
      </c>
      <c r="O1061" s="8"/>
      <c r="P1061" s="9">
        <f t="shared" si="579"/>
        <v>0</v>
      </c>
      <c r="Q1061" s="8"/>
      <c r="R1061" s="8"/>
      <c r="S1061" s="8"/>
      <c r="T1061" s="9"/>
      <c r="U1061" s="9">
        <f t="shared" si="580"/>
        <v>0</v>
      </c>
      <c r="V1061" s="9">
        <f t="shared" si="581"/>
        <v>300000</v>
      </c>
      <c r="W1061" s="9">
        <f t="shared" si="582"/>
        <v>0</v>
      </c>
      <c r="X1061" s="9">
        <f t="shared" si="583"/>
        <v>300000</v>
      </c>
      <c r="Y1061" s="8"/>
      <c r="Z1061" s="9">
        <f t="shared" si="584"/>
        <v>0</v>
      </c>
      <c r="AA1061" s="8">
        <f t="shared" si="585"/>
        <v>300000</v>
      </c>
      <c r="AB1061" s="8">
        <f t="shared" si="586"/>
        <v>0</v>
      </c>
    </row>
    <row r="1062" spans="1:28" x14ac:dyDescent="0.3">
      <c r="A1062" s="64"/>
      <c r="B1062" s="8"/>
      <c r="C1062" s="7" t="s">
        <v>1234</v>
      </c>
      <c r="D1062" s="16" t="s">
        <v>1225</v>
      </c>
      <c r="E1062" s="9">
        <v>250000</v>
      </c>
      <c r="F1062" s="11"/>
      <c r="G1062" s="8">
        <v>250000</v>
      </c>
      <c r="H1062" s="9">
        <f>+F1062+G1062</f>
        <v>250000</v>
      </c>
      <c r="I1062" s="8"/>
      <c r="J1062" s="8"/>
      <c r="K1062" s="8"/>
      <c r="L1062" s="9"/>
      <c r="M1062" s="9">
        <f t="shared" si="578"/>
        <v>250000</v>
      </c>
      <c r="N1062" s="9">
        <v>0</v>
      </c>
      <c r="O1062" s="8"/>
      <c r="P1062" s="9">
        <f t="shared" si="579"/>
        <v>0</v>
      </c>
      <c r="Q1062" s="8"/>
      <c r="R1062" s="8"/>
      <c r="S1062" s="8"/>
      <c r="T1062" s="9"/>
      <c r="U1062" s="9">
        <f t="shared" si="580"/>
        <v>0</v>
      </c>
      <c r="V1062" s="9">
        <f t="shared" si="581"/>
        <v>250000</v>
      </c>
      <c r="W1062" s="9">
        <f t="shared" si="582"/>
        <v>0</v>
      </c>
      <c r="X1062" s="9">
        <f t="shared" si="583"/>
        <v>250000</v>
      </c>
      <c r="Y1062" s="8"/>
      <c r="Z1062" s="9">
        <f t="shared" si="584"/>
        <v>0</v>
      </c>
      <c r="AA1062" s="8">
        <f t="shared" si="585"/>
        <v>250000</v>
      </c>
      <c r="AB1062" s="8">
        <f t="shared" si="586"/>
        <v>0</v>
      </c>
    </row>
    <row r="1063" spans="1:28" x14ac:dyDescent="0.3">
      <c r="A1063" s="64"/>
      <c r="B1063" s="8"/>
      <c r="C1063" s="14" t="s">
        <v>109</v>
      </c>
      <c r="D1063" s="21" t="s">
        <v>60</v>
      </c>
      <c r="E1063" s="9">
        <v>5000000</v>
      </c>
      <c r="F1063" s="11">
        <v>5000000</v>
      </c>
      <c r="G1063" s="8"/>
      <c r="H1063" s="9">
        <f t="shared" si="577"/>
        <v>5000000</v>
      </c>
      <c r="I1063" s="8"/>
      <c r="J1063" s="8"/>
      <c r="K1063" s="8"/>
      <c r="L1063" s="9"/>
      <c r="M1063" s="9">
        <f t="shared" si="578"/>
        <v>5000000</v>
      </c>
      <c r="N1063" s="9">
        <v>0</v>
      </c>
      <c r="O1063" s="8"/>
      <c r="P1063" s="9">
        <f t="shared" si="579"/>
        <v>0</v>
      </c>
      <c r="Q1063" s="8"/>
      <c r="R1063" s="8"/>
      <c r="S1063" s="8"/>
      <c r="T1063" s="9"/>
      <c r="U1063" s="9">
        <f t="shared" si="580"/>
        <v>0</v>
      </c>
      <c r="V1063" s="9">
        <f t="shared" si="581"/>
        <v>5000000</v>
      </c>
      <c r="W1063" s="9">
        <f t="shared" si="582"/>
        <v>0</v>
      </c>
      <c r="X1063" s="9">
        <f t="shared" si="583"/>
        <v>5000000</v>
      </c>
      <c r="Y1063" s="8"/>
      <c r="Z1063" s="9">
        <f t="shared" si="584"/>
        <v>0</v>
      </c>
      <c r="AA1063" s="8">
        <f t="shared" si="585"/>
        <v>5000000</v>
      </c>
      <c r="AB1063" s="8">
        <f t="shared" si="586"/>
        <v>0</v>
      </c>
    </row>
    <row r="1064" spans="1:28" x14ac:dyDescent="0.3">
      <c r="A1064" s="64"/>
      <c r="B1064" s="8"/>
      <c r="C1064" s="7" t="s">
        <v>57</v>
      </c>
      <c r="D1064" s="24" t="s">
        <v>61</v>
      </c>
      <c r="E1064" s="9">
        <v>610000</v>
      </c>
      <c r="F1064" s="8">
        <v>610000</v>
      </c>
      <c r="G1064" s="8"/>
      <c r="H1064" s="9">
        <f t="shared" si="577"/>
        <v>610000</v>
      </c>
      <c r="I1064" s="8"/>
      <c r="J1064" s="8"/>
      <c r="K1064" s="8"/>
      <c r="L1064" s="9"/>
      <c r="M1064" s="9">
        <f t="shared" si="578"/>
        <v>610000</v>
      </c>
      <c r="N1064" s="9">
        <v>0</v>
      </c>
      <c r="O1064" s="8"/>
      <c r="P1064" s="9">
        <f t="shared" si="579"/>
        <v>0</v>
      </c>
      <c r="Q1064" s="8"/>
      <c r="R1064" s="8"/>
      <c r="S1064" s="8"/>
      <c r="T1064" s="9"/>
      <c r="U1064" s="9">
        <f t="shared" si="580"/>
        <v>0</v>
      </c>
      <c r="V1064" s="9">
        <f t="shared" si="581"/>
        <v>610000</v>
      </c>
      <c r="W1064" s="9">
        <f t="shared" si="582"/>
        <v>0</v>
      </c>
      <c r="X1064" s="9">
        <f t="shared" si="583"/>
        <v>610000</v>
      </c>
      <c r="Y1064" s="8"/>
      <c r="Z1064" s="9">
        <f t="shared" si="584"/>
        <v>0</v>
      </c>
      <c r="AA1064" s="8">
        <f t="shared" si="585"/>
        <v>610000</v>
      </c>
      <c r="AB1064" s="8">
        <f t="shared" si="586"/>
        <v>0</v>
      </c>
    </row>
    <row r="1065" spans="1:28" x14ac:dyDescent="0.3">
      <c r="A1065" s="64"/>
      <c r="B1065" s="8"/>
      <c r="C1065" s="8"/>
      <c r="D1065" s="8"/>
      <c r="E1065" s="17" t="s">
        <v>29</v>
      </c>
      <c r="F1065" s="17" t="s">
        <v>29</v>
      </c>
      <c r="G1065" s="17" t="s">
        <v>29</v>
      </c>
      <c r="H1065" s="17" t="s">
        <v>29</v>
      </c>
      <c r="I1065" s="17" t="s">
        <v>29</v>
      </c>
      <c r="J1065" s="17" t="s">
        <v>29</v>
      </c>
      <c r="K1065" s="17" t="s">
        <v>29</v>
      </c>
      <c r="L1065" s="17" t="s">
        <v>29</v>
      </c>
      <c r="M1065" s="17" t="s">
        <v>29</v>
      </c>
      <c r="N1065" s="17" t="s">
        <v>29</v>
      </c>
      <c r="O1065" s="17" t="s">
        <v>29</v>
      </c>
      <c r="P1065" s="17" t="s">
        <v>29</v>
      </c>
      <c r="Q1065" s="17" t="s">
        <v>29</v>
      </c>
      <c r="R1065" s="17" t="s">
        <v>29</v>
      </c>
      <c r="S1065" s="17" t="s">
        <v>29</v>
      </c>
      <c r="T1065" s="17" t="s">
        <v>29</v>
      </c>
      <c r="U1065" s="17" t="s">
        <v>29</v>
      </c>
      <c r="V1065" s="17" t="s">
        <v>29</v>
      </c>
      <c r="W1065" s="17" t="s">
        <v>29</v>
      </c>
      <c r="X1065" s="17" t="s">
        <v>29</v>
      </c>
      <c r="Y1065" s="17" t="s">
        <v>29</v>
      </c>
      <c r="Z1065" s="17" t="s">
        <v>29</v>
      </c>
      <c r="AA1065" s="17" t="s">
        <v>29</v>
      </c>
      <c r="AB1065" s="17" t="s">
        <v>29</v>
      </c>
    </row>
    <row r="1066" spans="1:28" x14ac:dyDescent="0.3">
      <c r="A1066" s="64"/>
      <c r="B1066" s="8"/>
      <c r="C1066" s="8"/>
      <c r="D1066" s="8"/>
      <c r="E1066" s="9">
        <f t="shared" ref="E1066:AB1066" si="587">SUM(E1053:E1064)</f>
        <v>30912509.66</v>
      </c>
      <c r="F1066" s="9">
        <f t="shared" si="587"/>
        <v>25665175.34</v>
      </c>
      <c r="G1066" s="9">
        <f t="shared" si="587"/>
        <v>250000</v>
      </c>
      <c r="H1066" s="9">
        <f t="shared" si="587"/>
        <v>25915175.34</v>
      </c>
      <c r="I1066" s="9">
        <f t="shared" si="587"/>
        <v>0</v>
      </c>
      <c r="J1066" s="9">
        <f t="shared" si="587"/>
        <v>0</v>
      </c>
      <c r="K1066" s="9">
        <f t="shared" si="587"/>
        <v>0</v>
      </c>
      <c r="L1066" s="9">
        <f t="shared" si="587"/>
        <v>0</v>
      </c>
      <c r="M1066" s="9">
        <f t="shared" si="587"/>
        <v>25915175.34</v>
      </c>
      <c r="N1066" s="9">
        <f t="shared" si="587"/>
        <v>4923718.32</v>
      </c>
      <c r="O1066" s="9">
        <f t="shared" si="587"/>
        <v>0</v>
      </c>
      <c r="P1066" s="9">
        <f t="shared" si="587"/>
        <v>4923718.32</v>
      </c>
      <c r="Q1066" s="9">
        <f t="shared" si="587"/>
        <v>0</v>
      </c>
      <c r="R1066" s="9">
        <f t="shared" si="587"/>
        <v>0</v>
      </c>
      <c r="S1066" s="9">
        <f t="shared" si="587"/>
        <v>0</v>
      </c>
      <c r="T1066" s="9">
        <f t="shared" si="587"/>
        <v>0</v>
      </c>
      <c r="U1066" s="9">
        <f t="shared" si="587"/>
        <v>4923718.32</v>
      </c>
      <c r="V1066" s="9">
        <f t="shared" si="587"/>
        <v>30838893.66</v>
      </c>
      <c r="W1066" s="9">
        <f t="shared" si="587"/>
        <v>73616</v>
      </c>
      <c r="X1066" s="9">
        <f t="shared" si="587"/>
        <v>30838893.66</v>
      </c>
      <c r="Y1066" s="9">
        <f t="shared" si="587"/>
        <v>0</v>
      </c>
      <c r="Z1066" s="9">
        <f t="shared" si="587"/>
        <v>73616</v>
      </c>
      <c r="AA1066" s="9">
        <f t="shared" si="587"/>
        <v>30838893.66</v>
      </c>
      <c r="AB1066" s="9">
        <f t="shared" si="587"/>
        <v>73616</v>
      </c>
    </row>
    <row r="1067" spans="1:28" x14ac:dyDescent="0.3">
      <c r="A1067" s="64"/>
      <c r="B1067" s="8"/>
      <c r="C1067" s="8"/>
      <c r="D1067" s="8"/>
      <c r="E1067" s="17" t="s">
        <v>29</v>
      </c>
      <c r="F1067" s="17" t="s">
        <v>29</v>
      </c>
      <c r="G1067" s="17" t="s">
        <v>29</v>
      </c>
      <c r="H1067" s="17" t="s">
        <v>29</v>
      </c>
      <c r="I1067" s="17" t="s">
        <v>29</v>
      </c>
      <c r="J1067" s="17" t="s">
        <v>29</v>
      </c>
      <c r="K1067" s="17" t="s">
        <v>29</v>
      </c>
      <c r="L1067" s="17" t="s">
        <v>29</v>
      </c>
      <c r="M1067" s="17" t="s">
        <v>29</v>
      </c>
      <c r="N1067" s="17" t="s">
        <v>29</v>
      </c>
      <c r="O1067" s="17" t="s">
        <v>29</v>
      </c>
      <c r="P1067" s="17" t="s">
        <v>29</v>
      </c>
      <c r="Q1067" s="17" t="s">
        <v>29</v>
      </c>
      <c r="R1067" s="17" t="s">
        <v>29</v>
      </c>
      <c r="S1067" s="17" t="s">
        <v>29</v>
      </c>
      <c r="T1067" s="17" t="s">
        <v>29</v>
      </c>
      <c r="U1067" s="17" t="s">
        <v>29</v>
      </c>
      <c r="V1067" s="17" t="s">
        <v>29</v>
      </c>
      <c r="W1067" s="17" t="s">
        <v>29</v>
      </c>
      <c r="X1067" s="17" t="s">
        <v>29</v>
      </c>
      <c r="Y1067" s="17" t="s">
        <v>29</v>
      </c>
      <c r="Z1067" s="17" t="s">
        <v>29</v>
      </c>
      <c r="AA1067" s="17" t="s">
        <v>29</v>
      </c>
      <c r="AB1067" s="17" t="s">
        <v>29</v>
      </c>
    </row>
    <row r="1068" spans="1:28" x14ac:dyDescent="0.3">
      <c r="A1068" s="63" t="s">
        <v>987</v>
      </c>
      <c r="B1068" s="7" t="s">
        <v>246</v>
      </c>
      <c r="C1068" s="8"/>
      <c r="D1068" s="8"/>
      <c r="E1068" s="8"/>
      <c r="F1068" s="8"/>
      <c r="G1068" s="8"/>
      <c r="H1068" s="8"/>
      <c r="I1068" s="8"/>
      <c r="J1068" s="8"/>
      <c r="K1068" s="8"/>
      <c r="L1068" s="8"/>
      <c r="M1068" s="8"/>
      <c r="N1068" s="8"/>
      <c r="O1068" s="8"/>
      <c r="P1068" s="8"/>
      <c r="Q1068" s="8"/>
      <c r="R1068" s="8"/>
      <c r="S1068" s="8"/>
      <c r="T1068" s="8"/>
      <c r="U1068" s="8"/>
      <c r="V1068" s="8"/>
      <c r="W1068" s="8"/>
      <c r="X1068" s="8"/>
      <c r="Y1068" s="8"/>
      <c r="Z1068" s="8"/>
    </row>
    <row r="1069" spans="1:28" x14ac:dyDescent="0.3">
      <c r="A1069" s="64"/>
      <c r="B1069" s="8"/>
      <c r="C1069" s="7" t="s">
        <v>172</v>
      </c>
      <c r="D1069" s="15" t="s">
        <v>166</v>
      </c>
      <c r="E1069" s="9">
        <v>2004728</v>
      </c>
      <c r="F1069" s="9">
        <v>2004728</v>
      </c>
      <c r="G1069" s="8"/>
      <c r="H1069" s="9">
        <f t="shared" ref="H1069:H1084" si="588">F1069+G1069</f>
        <v>2004728</v>
      </c>
      <c r="I1069" s="8"/>
      <c r="J1069" s="8"/>
      <c r="K1069" s="8"/>
      <c r="L1069" s="9"/>
      <c r="M1069" s="9">
        <f t="shared" ref="M1069:M1084" si="589">H1069+L1069</f>
        <v>2004728</v>
      </c>
      <c r="N1069" s="9">
        <v>0</v>
      </c>
      <c r="O1069" s="8"/>
      <c r="P1069" s="9">
        <f t="shared" ref="P1069:P1084" si="590">N1069+O1069</f>
        <v>0</v>
      </c>
      <c r="Q1069" s="8"/>
      <c r="R1069" s="8"/>
      <c r="S1069" s="8"/>
      <c r="T1069" s="9"/>
      <c r="U1069" s="9">
        <f t="shared" ref="U1069:U1084" si="591">P1069+T1069</f>
        <v>0</v>
      </c>
      <c r="V1069" s="9">
        <f t="shared" ref="V1069:V1084" si="592">P1069+H1069</f>
        <v>2004728</v>
      </c>
      <c r="W1069" s="9">
        <f t="shared" ref="W1069:W1084" si="593">E1069-V1069</f>
        <v>0</v>
      </c>
      <c r="X1069" s="9">
        <f t="shared" ref="X1069:X1084" si="594">+H1069+P1069</f>
        <v>2004728</v>
      </c>
      <c r="Y1069" s="8"/>
      <c r="Z1069" s="9">
        <f t="shared" ref="Z1069:Z1084" si="595">+E1069-X1069</f>
        <v>0</v>
      </c>
      <c r="AA1069" s="8">
        <f t="shared" ref="AA1069:AA1084" si="596">+M1069+U1069</f>
        <v>2004728</v>
      </c>
      <c r="AB1069" s="8">
        <f t="shared" ref="AB1069:AB1084" si="597">+E1069-AA1069</f>
        <v>0</v>
      </c>
    </row>
    <row r="1070" spans="1:28" x14ac:dyDescent="0.3">
      <c r="A1070" s="64"/>
      <c r="B1070" s="8"/>
      <c r="C1070" s="7" t="s">
        <v>57</v>
      </c>
      <c r="D1070" s="15" t="s">
        <v>247</v>
      </c>
      <c r="E1070" s="9">
        <v>4021039.59</v>
      </c>
      <c r="F1070" s="9">
        <v>3040450</v>
      </c>
      <c r="G1070" s="8"/>
      <c r="H1070" s="9">
        <f t="shared" si="588"/>
        <v>3040450</v>
      </c>
      <c r="I1070" s="8"/>
      <c r="J1070" s="8"/>
      <c r="K1070" s="8"/>
      <c r="L1070" s="9"/>
      <c r="M1070" s="9">
        <f t="shared" si="589"/>
        <v>3040450</v>
      </c>
      <c r="N1070" s="9">
        <v>980589.59</v>
      </c>
      <c r="O1070" s="8"/>
      <c r="P1070" s="9">
        <f t="shared" si="590"/>
        <v>980589.59</v>
      </c>
      <c r="Q1070" s="8"/>
      <c r="R1070" s="8"/>
      <c r="S1070" s="8"/>
      <c r="T1070" s="9"/>
      <c r="U1070" s="9">
        <f t="shared" si="591"/>
        <v>980589.59</v>
      </c>
      <c r="V1070" s="9">
        <f t="shared" si="592"/>
        <v>4021039.59</v>
      </c>
      <c r="W1070" s="9">
        <f t="shared" si="593"/>
        <v>0</v>
      </c>
      <c r="X1070" s="9">
        <f t="shared" si="594"/>
        <v>4021039.59</v>
      </c>
      <c r="Y1070" s="8"/>
      <c r="Z1070" s="9">
        <f t="shared" si="595"/>
        <v>0</v>
      </c>
      <c r="AA1070" s="8">
        <f t="shared" si="596"/>
        <v>4021039.59</v>
      </c>
      <c r="AB1070" s="8">
        <f t="shared" si="597"/>
        <v>0</v>
      </c>
    </row>
    <row r="1071" spans="1:28" x14ac:dyDescent="0.3">
      <c r="A1071" s="64"/>
      <c r="B1071" s="8"/>
      <c r="C1071" s="7" t="s">
        <v>53</v>
      </c>
      <c r="D1071" s="15" t="s">
        <v>68</v>
      </c>
      <c r="E1071" s="9">
        <v>1953989</v>
      </c>
      <c r="F1071" s="9">
        <v>0</v>
      </c>
      <c r="G1071" s="8"/>
      <c r="H1071" s="9">
        <f t="shared" si="588"/>
        <v>0</v>
      </c>
      <c r="I1071" s="8"/>
      <c r="J1071" s="8"/>
      <c r="K1071" s="8"/>
      <c r="L1071" s="9"/>
      <c r="M1071" s="9">
        <f t="shared" si="589"/>
        <v>0</v>
      </c>
      <c r="N1071" s="9">
        <v>1953989</v>
      </c>
      <c r="O1071" s="8"/>
      <c r="P1071" s="9">
        <f t="shared" si="590"/>
        <v>1953989</v>
      </c>
      <c r="Q1071" s="8"/>
      <c r="R1071" s="8"/>
      <c r="S1071" s="8"/>
      <c r="T1071" s="9"/>
      <c r="U1071" s="9">
        <f t="shared" si="591"/>
        <v>1953989</v>
      </c>
      <c r="V1071" s="9">
        <f t="shared" si="592"/>
        <v>1953989</v>
      </c>
      <c r="W1071" s="9">
        <f t="shared" si="593"/>
        <v>0</v>
      </c>
      <c r="X1071" s="9">
        <f t="shared" si="594"/>
        <v>1953989</v>
      </c>
      <c r="Y1071" s="8"/>
      <c r="Z1071" s="9">
        <f t="shared" si="595"/>
        <v>0</v>
      </c>
      <c r="AA1071" s="8">
        <f t="shared" si="596"/>
        <v>1953989</v>
      </c>
      <c r="AB1071" s="8">
        <f t="shared" si="597"/>
        <v>0</v>
      </c>
    </row>
    <row r="1072" spans="1:28" x14ac:dyDescent="0.3">
      <c r="A1072" s="64"/>
      <c r="B1072" s="8"/>
      <c r="C1072" s="7" t="s">
        <v>248</v>
      </c>
      <c r="D1072" s="15" t="s">
        <v>85</v>
      </c>
      <c r="E1072" s="9">
        <v>80000</v>
      </c>
      <c r="F1072" s="9">
        <v>80000</v>
      </c>
      <c r="G1072" s="8"/>
      <c r="H1072" s="9">
        <f t="shared" si="588"/>
        <v>80000</v>
      </c>
      <c r="I1072" s="8"/>
      <c r="J1072" s="8"/>
      <c r="K1072" s="8"/>
      <c r="L1072" s="9"/>
      <c r="M1072" s="9">
        <f t="shared" si="589"/>
        <v>80000</v>
      </c>
      <c r="N1072" s="9">
        <v>0</v>
      </c>
      <c r="O1072" s="8"/>
      <c r="P1072" s="9">
        <f t="shared" si="590"/>
        <v>0</v>
      </c>
      <c r="Q1072" s="8"/>
      <c r="R1072" s="8"/>
      <c r="S1072" s="8"/>
      <c r="T1072" s="9"/>
      <c r="U1072" s="9">
        <f t="shared" si="591"/>
        <v>0</v>
      </c>
      <c r="V1072" s="9">
        <f t="shared" si="592"/>
        <v>80000</v>
      </c>
      <c r="W1072" s="9">
        <f t="shared" si="593"/>
        <v>0</v>
      </c>
      <c r="X1072" s="9">
        <f t="shared" si="594"/>
        <v>80000</v>
      </c>
      <c r="Y1072" s="8"/>
      <c r="Z1072" s="9">
        <f t="shared" si="595"/>
        <v>0</v>
      </c>
      <c r="AA1072" s="8">
        <f t="shared" si="596"/>
        <v>80000</v>
      </c>
      <c r="AB1072" s="8">
        <f t="shared" si="597"/>
        <v>0</v>
      </c>
    </row>
    <row r="1073" spans="1:28" x14ac:dyDescent="0.3">
      <c r="A1073" s="64"/>
      <c r="B1073" s="8"/>
      <c r="C1073" s="7" t="s">
        <v>249</v>
      </c>
      <c r="D1073" s="15" t="s">
        <v>128</v>
      </c>
      <c r="E1073" s="9">
        <v>1600000</v>
      </c>
      <c r="F1073" s="9">
        <v>1600000</v>
      </c>
      <c r="G1073" s="8"/>
      <c r="H1073" s="9">
        <f t="shared" si="588"/>
        <v>1600000</v>
      </c>
      <c r="I1073" s="8"/>
      <c r="J1073" s="8"/>
      <c r="K1073" s="8"/>
      <c r="L1073" s="9"/>
      <c r="M1073" s="9">
        <f t="shared" si="589"/>
        <v>1600000</v>
      </c>
      <c r="N1073" s="9">
        <v>0</v>
      </c>
      <c r="O1073" s="8"/>
      <c r="P1073" s="9">
        <f t="shared" si="590"/>
        <v>0</v>
      </c>
      <c r="Q1073" s="8"/>
      <c r="R1073" s="8"/>
      <c r="S1073" s="8"/>
      <c r="T1073" s="9"/>
      <c r="U1073" s="9">
        <f t="shared" si="591"/>
        <v>0</v>
      </c>
      <c r="V1073" s="9">
        <f t="shared" si="592"/>
        <v>1600000</v>
      </c>
      <c r="W1073" s="9">
        <f t="shared" si="593"/>
        <v>0</v>
      </c>
      <c r="X1073" s="9">
        <f t="shared" si="594"/>
        <v>1600000</v>
      </c>
      <c r="Y1073" s="8"/>
      <c r="Z1073" s="9">
        <f t="shared" si="595"/>
        <v>0</v>
      </c>
      <c r="AA1073" s="8">
        <f t="shared" si="596"/>
        <v>1600000</v>
      </c>
      <c r="AB1073" s="8">
        <f t="shared" si="597"/>
        <v>0</v>
      </c>
    </row>
    <row r="1074" spans="1:28" x14ac:dyDescent="0.3">
      <c r="A1074" s="64"/>
      <c r="B1074" s="8"/>
      <c r="C1074" s="7" t="s">
        <v>55</v>
      </c>
      <c r="D1074" s="15" t="s">
        <v>88</v>
      </c>
      <c r="E1074" s="9">
        <v>2249515.2999999998</v>
      </c>
      <c r="F1074" s="9">
        <v>0</v>
      </c>
      <c r="G1074" s="8"/>
      <c r="H1074" s="9">
        <f t="shared" si="588"/>
        <v>0</v>
      </c>
      <c r="I1074" s="8"/>
      <c r="J1074" s="8"/>
      <c r="K1074" s="8"/>
      <c r="L1074" s="9"/>
      <c r="M1074" s="9">
        <f t="shared" si="589"/>
        <v>0</v>
      </c>
      <c r="N1074" s="9">
        <f>2056680+192835.3</f>
        <v>2249515.2999999998</v>
      </c>
      <c r="O1074" s="8"/>
      <c r="P1074" s="9">
        <f t="shared" si="590"/>
        <v>2249515.2999999998</v>
      </c>
      <c r="Q1074" s="8"/>
      <c r="R1074" s="8"/>
      <c r="S1074" s="8"/>
      <c r="T1074" s="9"/>
      <c r="U1074" s="9">
        <f t="shared" si="591"/>
        <v>2249515.2999999998</v>
      </c>
      <c r="V1074" s="9">
        <f t="shared" si="592"/>
        <v>2249515.2999999998</v>
      </c>
      <c r="W1074" s="9">
        <f t="shared" si="593"/>
        <v>0</v>
      </c>
      <c r="X1074" s="9">
        <f t="shared" si="594"/>
        <v>2249515.2999999998</v>
      </c>
      <c r="Y1074" s="8"/>
      <c r="Z1074" s="9">
        <f t="shared" si="595"/>
        <v>0</v>
      </c>
      <c r="AA1074" s="8">
        <f t="shared" si="596"/>
        <v>2249515.2999999998</v>
      </c>
      <c r="AB1074" s="8">
        <f t="shared" si="597"/>
        <v>0</v>
      </c>
    </row>
    <row r="1075" spans="1:28" x14ac:dyDescent="0.3">
      <c r="A1075" s="64"/>
      <c r="B1075" s="8"/>
      <c r="C1075" s="7" t="s">
        <v>57</v>
      </c>
      <c r="D1075" s="15" t="s">
        <v>58</v>
      </c>
      <c r="E1075" s="9">
        <v>2049621</v>
      </c>
      <c r="F1075" s="9">
        <v>2049621</v>
      </c>
      <c r="G1075" s="8"/>
      <c r="H1075" s="9">
        <f t="shared" si="588"/>
        <v>2049621</v>
      </c>
      <c r="I1075" s="8"/>
      <c r="J1075" s="8"/>
      <c r="K1075" s="8"/>
      <c r="L1075" s="9"/>
      <c r="M1075" s="9">
        <f t="shared" si="589"/>
        <v>2049621</v>
      </c>
      <c r="N1075" s="9">
        <v>0</v>
      </c>
      <c r="O1075" s="8"/>
      <c r="P1075" s="9">
        <f t="shared" si="590"/>
        <v>0</v>
      </c>
      <c r="Q1075" s="8"/>
      <c r="R1075" s="8"/>
      <c r="S1075" s="8"/>
      <c r="T1075" s="9"/>
      <c r="U1075" s="9">
        <f t="shared" si="591"/>
        <v>0</v>
      </c>
      <c r="V1075" s="9">
        <f t="shared" si="592"/>
        <v>2049621</v>
      </c>
      <c r="W1075" s="9">
        <f t="shared" si="593"/>
        <v>0</v>
      </c>
      <c r="X1075" s="9">
        <f t="shared" si="594"/>
        <v>2049621</v>
      </c>
      <c r="Y1075" s="8"/>
      <c r="Z1075" s="9">
        <f t="shared" si="595"/>
        <v>0</v>
      </c>
      <c r="AA1075" s="8">
        <f t="shared" si="596"/>
        <v>2049621</v>
      </c>
      <c r="AB1075" s="8">
        <f t="shared" si="597"/>
        <v>0</v>
      </c>
    </row>
    <row r="1076" spans="1:28" x14ac:dyDescent="0.3">
      <c r="A1076" s="64"/>
      <c r="B1076" s="8"/>
      <c r="C1076" s="14" t="s">
        <v>109</v>
      </c>
      <c r="D1076" s="21" t="s">
        <v>60</v>
      </c>
      <c r="E1076" s="9">
        <v>1502261.91</v>
      </c>
      <c r="F1076" s="11">
        <v>1502261.91</v>
      </c>
      <c r="G1076" s="8"/>
      <c r="H1076" s="9">
        <f t="shared" si="588"/>
        <v>1502261.91</v>
      </c>
      <c r="I1076" s="8"/>
      <c r="J1076" s="8"/>
      <c r="K1076" s="8"/>
      <c r="L1076" s="9"/>
      <c r="M1076" s="9">
        <f t="shared" si="589"/>
        <v>1502261.91</v>
      </c>
      <c r="N1076" s="9">
        <v>0</v>
      </c>
      <c r="O1076" s="8"/>
      <c r="P1076" s="9">
        <f t="shared" si="590"/>
        <v>0</v>
      </c>
      <c r="Q1076" s="8"/>
      <c r="R1076" s="8"/>
      <c r="S1076" s="8"/>
      <c r="T1076" s="9"/>
      <c r="U1076" s="9">
        <f t="shared" si="591"/>
        <v>0</v>
      </c>
      <c r="V1076" s="9">
        <f t="shared" si="592"/>
        <v>1502261.91</v>
      </c>
      <c r="W1076" s="9">
        <f t="shared" si="593"/>
        <v>0</v>
      </c>
      <c r="X1076" s="9">
        <f t="shared" si="594"/>
        <v>1502261.91</v>
      </c>
      <c r="Y1076" s="8"/>
      <c r="Z1076" s="9">
        <f t="shared" si="595"/>
        <v>0</v>
      </c>
      <c r="AA1076" s="8">
        <f t="shared" si="596"/>
        <v>1502261.91</v>
      </c>
      <c r="AB1076" s="8">
        <f t="shared" si="597"/>
        <v>0</v>
      </c>
    </row>
    <row r="1077" spans="1:28" x14ac:dyDescent="0.3">
      <c r="A1077" s="64"/>
      <c r="B1077" s="8"/>
      <c r="C1077" s="14" t="s">
        <v>1117</v>
      </c>
      <c r="D1077" s="24" t="s">
        <v>1072</v>
      </c>
      <c r="E1077" s="9">
        <v>300000</v>
      </c>
      <c r="F1077" s="11">
        <v>300000</v>
      </c>
      <c r="G1077" s="8"/>
      <c r="H1077" s="9">
        <f>+F1077+G1077</f>
        <v>300000</v>
      </c>
      <c r="I1077" s="8"/>
      <c r="J1077" s="8"/>
      <c r="K1077" s="8"/>
      <c r="L1077" s="9"/>
      <c r="M1077" s="9">
        <f t="shared" si="589"/>
        <v>300000</v>
      </c>
      <c r="N1077" s="9">
        <v>0</v>
      </c>
      <c r="O1077" s="8"/>
      <c r="P1077" s="9">
        <f t="shared" si="590"/>
        <v>0</v>
      </c>
      <c r="Q1077" s="8"/>
      <c r="R1077" s="8"/>
      <c r="S1077" s="8"/>
      <c r="T1077" s="9"/>
      <c r="U1077" s="9">
        <f t="shared" si="591"/>
        <v>0</v>
      </c>
      <c r="V1077" s="9">
        <f t="shared" si="592"/>
        <v>300000</v>
      </c>
      <c r="W1077" s="9">
        <f t="shared" si="593"/>
        <v>0</v>
      </c>
      <c r="X1077" s="9">
        <f t="shared" si="594"/>
        <v>300000</v>
      </c>
      <c r="Y1077" s="8"/>
      <c r="Z1077" s="9">
        <f t="shared" si="595"/>
        <v>0</v>
      </c>
      <c r="AA1077" s="8">
        <f t="shared" si="596"/>
        <v>300000</v>
      </c>
      <c r="AB1077" s="8">
        <f t="shared" si="597"/>
        <v>0</v>
      </c>
    </row>
    <row r="1078" spans="1:28" x14ac:dyDescent="0.3">
      <c r="A1078" s="64"/>
      <c r="B1078" s="8"/>
      <c r="C1078" s="14" t="s">
        <v>930</v>
      </c>
      <c r="D1078" s="21"/>
      <c r="E1078" s="9">
        <v>2163357.29</v>
      </c>
      <c r="F1078" s="11">
        <v>2163357.29</v>
      </c>
      <c r="G1078" s="8"/>
      <c r="H1078" s="9">
        <f>+F1078+G1078:G1078</f>
        <v>2163357.29</v>
      </c>
      <c r="I1078" s="8"/>
      <c r="J1078" s="8"/>
      <c r="K1078" s="8"/>
      <c r="L1078" s="9"/>
      <c r="M1078" s="9">
        <f t="shared" si="589"/>
        <v>2163357.29</v>
      </c>
      <c r="N1078" s="9">
        <v>0</v>
      </c>
      <c r="O1078" s="8"/>
      <c r="P1078" s="9">
        <v>0</v>
      </c>
      <c r="Q1078" s="8"/>
      <c r="R1078" s="8"/>
      <c r="S1078" s="8"/>
      <c r="T1078" s="9"/>
      <c r="U1078" s="9">
        <f>P1078+T1078</f>
        <v>0</v>
      </c>
      <c r="V1078" s="9">
        <f>P1078+H1078</f>
        <v>2163357.29</v>
      </c>
      <c r="W1078" s="9">
        <f>E1078-V1078</f>
        <v>0</v>
      </c>
      <c r="X1078" s="9">
        <f t="shared" si="594"/>
        <v>2163357.29</v>
      </c>
      <c r="Y1078" s="8"/>
      <c r="Z1078" s="9">
        <f t="shared" si="595"/>
        <v>0</v>
      </c>
      <c r="AA1078" s="8">
        <f t="shared" si="596"/>
        <v>2163357.29</v>
      </c>
      <c r="AB1078" s="8">
        <f t="shared" si="597"/>
        <v>0</v>
      </c>
    </row>
    <row r="1079" spans="1:28" x14ac:dyDescent="0.3">
      <c r="A1079" s="64"/>
      <c r="B1079" s="8"/>
      <c r="C1079" s="14" t="s">
        <v>1129</v>
      </c>
      <c r="D1079" s="24" t="s">
        <v>1126</v>
      </c>
      <c r="E1079" s="9">
        <v>2015804.39</v>
      </c>
      <c r="F1079" s="11">
        <v>2015804.39</v>
      </c>
      <c r="G1079" s="8"/>
      <c r="H1079" s="9">
        <f>+F1079+G1079</f>
        <v>2015804.39</v>
      </c>
      <c r="I1079" s="8"/>
      <c r="J1079" s="8"/>
      <c r="K1079" s="8"/>
      <c r="L1079" s="9"/>
      <c r="M1079" s="9">
        <f>+H1079+L1079</f>
        <v>2015804.39</v>
      </c>
      <c r="N1079" s="9">
        <v>0</v>
      </c>
      <c r="O1079" s="8"/>
      <c r="P1079" s="9">
        <f>+N1079+O1079</f>
        <v>0</v>
      </c>
      <c r="Q1079" s="8"/>
      <c r="R1079" s="8"/>
      <c r="S1079" s="8"/>
      <c r="T1079" s="9"/>
      <c r="U1079" s="9">
        <f>+P1079+T1079</f>
        <v>0</v>
      </c>
      <c r="V1079" s="9"/>
      <c r="W1079" s="9"/>
      <c r="X1079" s="9">
        <f>+H1079+P1079</f>
        <v>2015804.39</v>
      </c>
      <c r="Y1079" s="8"/>
      <c r="Z1079" s="9">
        <f>+E1079-X1079</f>
        <v>0</v>
      </c>
      <c r="AA1079" s="8">
        <f>+M1079+U1079</f>
        <v>2015804.39</v>
      </c>
      <c r="AB1079" s="8">
        <f>+E1079-AA1079</f>
        <v>0</v>
      </c>
    </row>
    <row r="1080" spans="1:28" x14ac:dyDescent="0.3">
      <c r="A1080" s="64"/>
      <c r="B1080" s="8"/>
      <c r="C1080" s="14" t="s">
        <v>1079</v>
      </c>
      <c r="D1080" s="24" t="s">
        <v>1072</v>
      </c>
      <c r="E1080" s="9">
        <v>2993513.16</v>
      </c>
      <c r="F1080" s="8">
        <v>2993513.16</v>
      </c>
      <c r="G1080" s="8"/>
      <c r="H1080" s="9">
        <f>+F1080+G1080</f>
        <v>2993513.16</v>
      </c>
      <c r="I1080" s="8"/>
      <c r="J1080" s="8"/>
      <c r="K1080" s="8"/>
      <c r="L1080" s="9"/>
      <c r="M1080" s="9">
        <f t="shared" si="589"/>
        <v>2993513.16</v>
      </c>
      <c r="N1080" s="9">
        <v>0</v>
      </c>
      <c r="O1080" s="8"/>
      <c r="P1080" s="9">
        <f>+N1080+O1080</f>
        <v>0</v>
      </c>
      <c r="Q1080" s="8"/>
      <c r="R1080" s="8"/>
      <c r="S1080" s="8"/>
      <c r="T1080" s="9"/>
      <c r="U1080" s="9">
        <f>+P1080+T1080</f>
        <v>0</v>
      </c>
      <c r="V1080" s="9"/>
      <c r="W1080" s="9"/>
      <c r="X1080" s="9">
        <f t="shared" si="594"/>
        <v>2993513.16</v>
      </c>
      <c r="Y1080" s="8"/>
      <c r="Z1080" s="9">
        <f t="shared" si="595"/>
        <v>0</v>
      </c>
      <c r="AA1080" s="8">
        <f t="shared" si="596"/>
        <v>2993513.16</v>
      </c>
      <c r="AB1080" s="8">
        <f t="shared" si="597"/>
        <v>0</v>
      </c>
    </row>
    <row r="1081" spans="1:28" x14ac:dyDescent="0.3">
      <c r="A1081" s="64"/>
      <c r="B1081" s="8"/>
      <c r="C1081" s="14" t="s">
        <v>1176</v>
      </c>
      <c r="D1081" s="24" t="s">
        <v>1126</v>
      </c>
      <c r="E1081" s="9">
        <v>3456076.35</v>
      </c>
      <c r="F1081" s="8">
        <v>3456076.35</v>
      </c>
      <c r="G1081" s="8"/>
      <c r="H1081" s="9">
        <f>+F1081+G1081</f>
        <v>3456076.35</v>
      </c>
      <c r="I1081" s="8"/>
      <c r="J1081" s="8"/>
      <c r="K1081" s="8"/>
      <c r="L1081" s="9"/>
      <c r="M1081" s="9">
        <f>+H1081+L1081</f>
        <v>3456076.35</v>
      </c>
      <c r="N1081" s="9">
        <v>0</v>
      </c>
      <c r="O1081" s="8"/>
      <c r="P1081" s="9">
        <f>+N1081+O1081</f>
        <v>0</v>
      </c>
      <c r="Q1081" s="8"/>
      <c r="R1081" s="8"/>
      <c r="S1081" s="8"/>
      <c r="T1081" s="9"/>
      <c r="U1081" s="9">
        <f>+P1081+T1081</f>
        <v>0</v>
      </c>
      <c r="V1081" s="9"/>
      <c r="W1081" s="9"/>
      <c r="X1081" s="9">
        <f>+H1081+P1081</f>
        <v>3456076.35</v>
      </c>
      <c r="Y1081" s="8"/>
      <c r="Z1081" s="9">
        <f>+E1081-X1081</f>
        <v>0</v>
      </c>
      <c r="AA1081" s="8">
        <f>+M1081+U1081</f>
        <v>3456076.35</v>
      </c>
      <c r="AB1081" s="8">
        <f>+E1081-AA1081</f>
        <v>0</v>
      </c>
    </row>
    <row r="1082" spans="1:28" x14ac:dyDescent="0.3">
      <c r="A1082" s="64"/>
      <c r="B1082" s="8"/>
      <c r="C1082" s="7" t="s">
        <v>57</v>
      </c>
      <c r="D1082" s="15" t="s">
        <v>60</v>
      </c>
      <c r="E1082" s="9">
        <v>2171054</v>
      </c>
      <c r="F1082" s="11">
        <v>2171054</v>
      </c>
      <c r="G1082" s="8"/>
      <c r="H1082" s="9">
        <f t="shared" si="588"/>
        <v>2171054</v>
      </c>
      <c r="I1082" s="8"/>
      <c r="J1082" s="8"/>
      <c r="K1082" s="8"/>
      <c r="L1082" s="9"/>
      <c r="M1082" s="9">
        <f t="shared" si="589"/>
        <v>2171054</v>
      </c>
      <c r="N1082" s="9">
        <v>0</v>
      </c>
      <c r="O1082" s="8"/>
      <c r="P1082" s="9">
        <f t="shared" si="590"/>
        <v>0</v>
      </c>
      <c r="Q1082" s="8"/>
      <c r="R1082" s="8"/>
      <c r="S1082" s="8"/>
      <c r="T1082" s="9"/>
      <c r="U1082" s="9">
        <f t="shared" si="591"/>
        <v>0</v>
      </c>
      <c r="V1082" s="9">
        <f t="shared" si="592"/>
        <v>2171054</v>
      </c>
      <c r="W1082" s="9">
        <f t="shared" si="593"/>
        <v>0</v>
      </c>
      <c r="X1082" s="9">
        <f t="shared" si="594"/>
        <v>2171054</v>
      </c>
      <c r="Y1082" s="8"/>
      <c r="Z1082" s="9">
        <f t="shared" si="595"/>
        <v>0</v>
      </c>
      <c r="AA1082" s="8">
        <f t="shared" si="596"/>
        <v>2171054</v>
      </c>
      <c r="AB1082" s="8">
        <f t="shared" si="597"/>
        <v>0</v>
      </c>
    </row>
    <row r="1083" spans="1:28" x14ac:dyDescent="0.3">
      <c r="A1083" s="64"/>
      <c r="B1083" s="8"/>
      <c r="C1083" s="7" t="s">
        <v>57</v>
      </c>
      <c r="D1083" s="15" t="s">
        <v>73</v>
      </c>
      <c r="E1083" s="9">
        <v>1001000</v>
      </c>
      <c r="F1083" s="11">
        <v>1001000</v>
      </c>
      <c r="G1083" s="8"/>
      <c r="H1083" s="9">
        <f t="shared" si="588"/>
        <v>1001000</v>
      </c>
      <c r="I1083" s="8"/>
      <c r="J1083" s="8"/>
      <c r="K1083" s="8"/>
      <c r="L1083" s="9"/>
      <c r="M1083" s="9">
        <f t="shared" si="589"/>
        <v>1001000</v>
      </c>
      <c r="N1083" s="9">
        <v>0</v>
      </c>
      <c r="O1083" s="8"/>
      <c r="P1083" s="9">
        <f t="shared" si="590"/>
        <v>0</v>
      </c>
      <c r="Q1083" s="8"/>
      <c r="R1083" s="8"/>
      <c r="S1083" s="8"/>
      <c r="T1083" s="9"/>
      <c r="U1083" s="9">
        <f t="shared" si="591"/>
        <v>0</v>
      </c>
      <c r="V1083" s="9">
        <f t="shared" si="592"/>
        <v>1001000</v>
      </c>
      <c r="W1083" s="9">
        <f t="shared" si="593"/>
        <v>0</v>
      </c>
      <c r="X1083" s="9">
        <f t="shared" si="594"/>
        <v>1001000</v>
      </c>
      <c r="Y1083" s="8"/>
      <c r="Z1083" s="9">
        <f t="shared" si="595"/>
        <v>0</v>
      </c>
      <c r="AA1083" s="8">
        <f t="shared" si="596"/>
        <v>1001000</v>
      </c>
      <c r="AB1083" s="8">
        <f t="shared" si="597"/>
        <v>0</v>
      </c>
    </row>
    <row r="1084" spans="1:28" x14ac:dyDescent="0.3">
      <c r="A1084" s="64"/>
      <c r="B1084" s="8"/>
      <c r="C1084" s="7" t="s">
        <v>57</v>
      </c>
      <c r="D1084" s="16" t="s">
        <v>61</v>
      </c>
      <c r="E1084" s="9">
        <f>37806.41+750000</f>
        <v>787806.41</v>
      </c>
      <c r="F1084" s="8">
        <v>750000</v>
      </c>
      <c r="G1084" s="8"/>
      <c r="H1084" s="9">
        <f t="shared" si="588"/>
        <v>750000</v>
      </c>
      <c r="I1084" s="8"/>
      <c r="J1084" s="8"/>
      <c r="K1084" s="8"/>
      <c r="L1084" s="9"/>
      <c r="M1084" s="9">
        <f t="shared" si="589"/>
        <v>750000</v>
      </c>
      <c r="N1084" s="9">
        <v>0</v>
      </c>
      <c r="O1084" s="8"/>
      <c r="P1084" s="9">
        <f t="shared" si="590"/>
        <v>0</v>
      </c>
      <c r="Q1084" s="8">
        <v>37806.410000000003</v>
      </c>
      <c r="R1084" s="8"/>
      <c r="S1084" s="8"/>
      <c r="T1084" s="9">
        <v>37806.410000000003</v>
      </c>
      <c r="U1084" s="9">
        <f t="shared" si="591"/>
        <v>37806.410000000003</v>
      </c>
      <c r="V1084" s="9">
        <f t="shared" si="592"/>
        <v>750000</v>
      </c>
      <c r="W1084" s="9">
        <f t="shared" si="593"/>
        <v>37806.410000000033</v>
      </c>
      <c r="X1084" s="9">
        <f t="shared" si="594"/>
        <v>750000</v>
      </c>
      <c r="Y1084" s="8"/>
      <c r="Z1084" s="9">
        <f t="shared" si="595"/>
        <v>37806.410000000033</v>
      </c>
      <c r="AA1084" s="8">
        <f t="shared" si="596"/>
        <v>787806.41</v>
      </c>
      <c r="AB1084" s="8">
        <f t="shared" si="597"/>
        <v>0</v>
      </c>
    </row>
    <row r="1085" spans="1:28" x14ac:dyDescent="0.3">
      <c r="A1085" s="64"/>
      <c r="B1085" s="8"/>
      <c r="C1085" s="8"/>
      <c r="D1085" s="8"/>
      <c r="E1085" s="17" t="s">
        <v>29</v>
      </c>
      <c r="F1085" s="17" t="s">
        <v>29</v>
      </c>
      <c r="G1085" s="17" t="s">
        <v>29</v>
      </c>
      <c r="H1085" s="17" t="s">
        <v>29</v>
      </c>
      <c r="I1085" s="17" t="s">
        <v>29</v>
      </c>
      <c r="J1085" s="17" t="s">
        <v>29</v>
      </c>
      <c r="K1085" s="17" t="s">
        <v>29</v>
      </c>
      <c r="L1085" s="17" t="s">
        <v>29</v>
      </c>
      <c r="M1085" s="17" t="s">
        <v>29</v>
      </c>
      <c r="N1085" s="17" t="s">
        <v>29</v>
      </c>
      <c r="O1085" s="17" t="s">
        <v>29</v>
      </c>
      <c r="P1085" s="17" t="s">
        <v>29</v>
      </c>
      <c r="Q1085" s="17" t="s">
        <v>29</v>
      </c>
      <c r="R1085" s="17" t="s">
        <v>29</v>
      </c>
      <c r="S1085" s="17" t="s">
        <v>29</v>
      </c>
      <c r="T1085" s="17" t="s">
        <v>29</v>
      </c>
      <c r="U1085" s="17" t="s">
        <v>29</v>
      </c>
      <c r="V1085" s="17" t="s">
        <v>29</v>
      </c>
      <c r="W1085" s="17" t="s">
        <v>29</v>
      </c>
      <c r="X1085" s="17" t="s">
        <v>29</v>
      </c>
      <c r="Y1085" s="17" t="s">
        <v>29</v>
      </c>
      <c r="Z1085" s="17" t="s">
        <v>29</v>
      </c>
      <c r="AA1085" s="17" t="s">
        <v>29</v>
      </c>
      <c r="AB1085" s="17" t="s">
        <v>29</v>
      </c>
    </row>
    <row r="1086" spans="1:28" x14ac:dyDescent="0.3">
      <c r="A1086" s="64"/>
      <c r="B1086" s="8"/>
      <c r="C1086" s="8"/>
      <c r="D1086" s="8"/>
      <c r="E1086" s="9">
        <f t="shared" ref="E1086:AB1086" si="598">SUM(E1069:E1084)</f>
        <v>30349766.400000002</v>
      </c>
      <c r="F1086" s="9">
        <f t="shared" si="598"/>
        <v>25127866.100000001</v>
      </c>
      <c r="G1086" s="9">
        <f t="shared" si="598"/>
        <v>0</v>
      </c>
      <c r="H1086" s="9">
        <f t="shared" si="598"/>
        <v>25127866.100000001</v>
      </c>
      <c r="I1086" s="9">
        <f t="shared" si="598"/>
        <v>0</v>
      </c>
      <c r="J1086" s="9">
        <f t="shared" si="598"/>
        <v>0</v>
      </c>
      <c r="K1086" s="9">
        <f t="shared" si="598"/>
        <v>0</v>
      </c>
      <c r="L1086" s="9">
        <f t="shared" si="598"/>
        <v>0</v>
      </c>
      <c r="M1086" s="9">
        <f t="shared" si="598"/>
        <v>25127866.100000001</v>
      </c>
      <c r="N1086" s="9">
        <f t="shared" si="598"/>
        <v>5184093.8899999997</v>
      </c>
      <c r="O1086" s="9">
        <f t="shared" si="598"/>
        <v>0</v>
      </c>
      <c r="P1086" s="9">
        <f t="shared" si="598"/>
        <v>5184093.8899999997</v>
      </c>
      <c r="Q1086" s="9">
        <f t="shared" si="598"/>
        <v>37806.410000000003</v>
      </c>
      <c r="R1086" s="9">
        <f t="shared" si="598"/>
        <v>0</v>
      </c>
      <c r="S1086" s="9">
        <f t="shared" si="598"/>
        <v>0</v>
      </c>
      <c r="T1086" s="9">
        <f t="shared" si="598"/>
        <v>37806.410000000003</v>
      </c>
      <c r="U1086" s="9">
        <f t="shared" si="598"/>
        <v>5221900.3</v>
      </c>
      <c r="V1086" s="9">
        <f t="shared" si="598"/>
        <v>21846566.09</v>
      </c>
      <c r="W1086" s="9">
        <f t="shared" si="598"/>
        <v>37806.410000000033</v>
      </c>
      <c r="X1086" s="9">
        <f t="shared" si="598"/>
        <v>30311959.990000002</v>
      </c>
      <c r="Y1086" s="9">
        <f t="shared" si="598"/>
        <v>0</v>
      </c>
      <c r="Z1086" s="9">
        <f t="shared" si="598"/>
        <v>37806.410000000033</v>
      </c>
      <c r="AA1086" s="9">
        <f t="shared" si="598"/>
        <v>30349766.400000002</v>
      </c>
      <c r="AB1086" s="9">
        <f t="shared" si="598"/>
        <v>0</v>
      </c>
    </row>
    <row r="1087" spans="1:28" x14ac:dyDescent="0.3">
      <c r="A1087" s="64"/>
      <c r="B1087" s="8"/>
      <c r="C1087" s="8"/>
      <c r="D1087" s="8"/>
      <c r="E1087" s="17" t="s">
        <v>29</v>
      </c>
      <c r="F1087" s="17" t="s">
        <v>29</v>
      </c>
      <c r="G1087" s="17" t="s">
        <v>29</v>
      </c>
      <c r="H1087" s="17" t="s">
        <v>29</v>
      </c>
      <c r="I1087" s="17" t="s">
        <v>29</v>
      </c>
      <c r="J1087" s="17" t="s">
        <v>29</v>
      </c>
      <c r="K1087" s="17" t="s">
        <v>29</v>
      </c>
      <c r="L1087" s="17" t="s">
        <v>29</v>
      </c>
      <c r="M1087" s="17" t="s">
        <v>29</v>
      </c>
      <c r="N1087" s="17" t="s">
        <v>29</v>
      </c>
      <c r="O1087" s="17" t="s">
        <v>29</v>
      </c>
      <c r="P1087" s="17" t="s">
        <v>29</v>
      </c>
      <c r="Q1087" s="17" t="s">
        <v>29</v>
      </c>
      <c r="R1087" s="17" t="s">
        <v>29</v>
      </c>
      <c r="S1087" s="17" t="s">
        <v>29</v>
      </c>
      <c r="T1087" s="17" t="s">
        <v>29</v>
      </c>
      <c r="U1087" s="17" t="s">
        <v>29</v>
      </c>
      <c r="V1087" s="17" t="s">
        <v>29</v>
      </c>
      <c r="W1087" s="17" t="s">
        <v>29</v>
      </c>
      <c r="X1087" s="17" t="s">
        <v>29</v>
      </c>
      <c r="Y1087" s="17" t="s">
        <v>29</v>
      </c>
      <c r="Z1087" s="17" t="s">
        <v>29</v>
      </c>
      <c r="AA1087" s="17" t="s">
        <v>29</v>
      </c>
      <c r="AB1087" s="17" t="s">
        <v>29</v>
      </c>
    </row>
    <row r="1088" spans="1:28" x14ac:dyDescent="0.3">
      <c r="A1088" s="63" t="s">
        <v>988</v>
      </c>
      <c r="B1088" s="7" t="s">
        <v>250</v>
      </c>
      <c r="C1088" s="8"/>
      <c r="D1088" s="8"/>
      <c r="E1088" s="8"/>
      <c r="F1088" s="8"/>
      <c r="G1088" s="8"/>
      <c r="H1088" s="8"/>
      <c r="I1088" s="8"/>
      <c r="J1088" s="8"/>
      <c r="K1088" s="8"/>
      <c r="L1088" s="8"/>
      <c r="M1088" s="8"/>
      <c r="N1088" s="8"/>
      <c r="O1088" s="8"/>
      <c r="P1088" s="8"/>
      <c r="Q1088" s="8"/>
      <c r="R1088" s="8"/>
      <c r="S1088" s="8"/>
      <c r="T1088" s="8"/>
      <c r="U1088" s="8"/>
      <c r="V1088" s="8"/>
      <c r="W1088" s="8"/>
      <c r="X1088" s="8"/>
      <c r="Y1088" s="8"/>
      <c r="Z1088" s="8"/>
    </row>
    <row r="1089" spans="1:28" x14ac:dyDescent="0.3">
      <c r="A1089" s="64"/>
      <c r="B1089" s="8"/>
      <c r="C1089" s="8"/>
      <c r="D1089" s="15" t="s">
        <v>251</v>
      </c>
      <c r="E1089" s="8"/>
      <c r="F1089" s="8"/>
      <c r="G1089" s="8"/>
      <c r="H1089" s="8"/>
      <c r="I1089" s="8"/>
      <c r="J1089" s="8"/>
      <c r="K1089" s="8"/>
      <c r="L1089" s="8"/>
      <c r="M1089" s="8"/>
      <c r="N1089" s="8"/>
      <c r="O1089" s="8"/>
      <c r="P1089" s="8"/>
      <c r="Q1089" s="8"/>
      <c r="R1089" s="8"/>
      <c r="S1089" s="8"/>
      <c r="T1089" s="8"/>
      <c r="U1089" s="8"/>
      <c r="V1089" s="8"/>
      <c r="W1089" s="8"/>
      <c r="X1089" s="8"/>
      <c r="Y1089" s="8"/>
      <c r="Z1089" s="8"/>
    </row>
    <row r="1090" spans="1:28" x14ac:dyDescent="0.3">
      <c r="A1090" s="64"/>
      <c r="B1090" s="8"/>
      <c r="C1090" s="7" t="s">
        <v>252</v>
      </c>
      <c r="D1090" s="14" t="s">
        <v>191</v>
      </c>
      <c r="E1090" s="9">
        <v>25461984.629999999</v>
      </c>
      <c r="F1090" s="9">
        <v>25305304.609999999</v>
      </c>
      <c r="G1090" s="8"/>
      <c r="H1090" s="9">
        <f t="shared" ref="H1090:H1105" si="599">F1090+G1090</f>
        <v>25305304.609999999</v>
      </c>
      <c r="I1090" s="8"/>
      <c r="J1090" s="8"/>
      <c r="K1090" s="8"/>
      <c r="L1090" s="9"/>
      <c r="M1090" s="9">
        <f t="shared" ref="M1090:M1105" si="600">H1090+L1090</f>
        <v>25305304.609999999</v>
      </c>
      <c r="N1090" s="9">
        <v>156680.01999999999</v>
      </c>
      <c r="O1090" s="8"/>
      <c r="P1090" s="9">
        <f t="shared" ref="P1090:P1105" si="601">N1090+O1090</f>
        <v>156680.01999999999</v>
      </c>
      <c r="Q1090" s="9"/>
      <c r="R1090" s="8"/>
      <c r="S1090" s="9"/>
      <c r="T1090" s="9"/>
      <c r="U1090" s="9">
        <f t="shared" ref="U1090:U1105" si="602">P1090+T1090</f>
        <v>156680.01999999999</v>
      </c>
      <c r="V1090" s="9">
        <f t="shared" ref="V1090:V1105" si="603">P1090+H1090</f>
        <v>25461984.629999999</v>
      </c>
      <c r="W1090" s="9">
        <f t="shared" ref="W1090:W1105" si="604">E1090-V1090</f>
        <v>0</v>
      </c>
      <c r="X1090" s="9">
        <f t="shared" ref="X1090:X1105" si="605">+H1090+P1090</f>
        <v>25461984.629999999</v>
      </c>
      <c r="Y1090" s="8"/>
      <c r="Z1090" s="9">
        <f t="shared" ref="Z1090:Z1105" si="606">+E1090-X1090</f>
        <v>0</v>
      </c>
      <c r="AA1090" s="8">
        <f t="shared" ref="AA1090:AA1105" si="607">+M1090+U1090</f>
        <v>25461984.629999999</v>
      </c>
      <c r="AB1090" s="8">
        <f t="shared" ref="AB1090:AB1105" si="608">+E1090-AA1090</f>
        <v>0</v>
      </c>
    </row>
    <row r="1091" spans="1:28" x14ac:dyDescent="0.3">
      <c r="A1091" s="64"/>
      <c r="B1091" s="8"/>
      <c r="C1091" s="7" t="s">
        <v>253</v>
      </c>
      <c r="D1091" s="15" t="s">
        <v>254</v>
      </c>
      <c r="E1091" s="9">
        <v>11726953</v>
      </c>
      <c r="F1091" s="9">
        <v>11726953</v>
      </c>
      <c r="G1091" s="8"/>
      <c r="H1091" s="9">
        <f t="shared" si="599"/>
        <v>11726953</v>
      </c>
      <c r="I1091" s="8"/>
      <c r="J1091" s="8"/>
      <c r="K1091" s="8"/>
      <c r="L1091" s="9"/>
      <c r="M1091" s="9">
        <f t="shared" si="600"/>
        <v>11726953</v>
      </c>
      <c r="N1091" s="9">
        <v>0</v>
      </c>
      <c r="O1091" s="8"/>
      <c r="P1091" s="9">
        <f t="shared" si="601"/>
        <v>0</v>
      </c>
      <c r="Q1091" s="8"/>
      <c r="R1091" s="8"/>
      <c r="S1091" s="8"/>
      <c r="T1091" s="9"/>
      <c r="U1091" s="9">
        <f t="shared" si="602"/>
        <v>0</v>
      </c>
      <c r="V1091" s="9">
        <f t="shared" si="603"/>
        <v>11726953</v>
      </c>
      <c r="W1091" s="9">
        <f t="shared" si="604"/>
        <v>0</v>
      </c>
      <c r="X1091" s="9">
        <f t="shared" si="605"/>
        <v>11726953</v>
      </c>
      <c r="Y1091" s="8"/>
      <c r="Z1091" s="9">
        <f t="shared" si="606"/>
        <v>0</v>
      </c>
      <c r="AA1091" s="8">
        <f t="shared" si="607"/>
        <v>11726953</v>
      </c>
      <c r="AB1091" s="8">
        <f t="shared" si="608"/>
        <v>0</v>
      </c>
    </row>
    <row r="1092" spans="1:28" x14ac:dyDescent="0.3">
      <c r="A1092" s="64"/>
      <c r="B1092" s="8"/>
      <c r="C1092" s="7" t="s">
        <v>255</v>
      </c>
      <c r="D1092" s="15" t="s">
        <v>218</v>
      </c>
      <c r="E1092" s="9">
        <v>5193999.3</v>
      </c>
      <c r="F1092" s="9">
        <v>5193999.3</v>
      </c>
      <c r="G1092" s="8"/>
      <c r="H1092" s="9">
        <f t="shared" si="599"/>
        <v>5193999.3</v>
      </c>
      <c r="I1092" s="8"/>
      <c r="J1092" s="8"/>
      <c r="K1092" s="8"/>
      <c r="L1092" s="9"/>
      <c r="M1092" s="9">
        <f t="shared" si="600"/>
        <v>5193999.3</v>
      </c>
      <c r="N1092" s="9">
        <v>0</v>
      </c>
      <c r="O1092" s="8"/>
      <c r="P1092" s="9">
        <f t="shared" si="601"/>
        <v>0</v>
      </c>
      <c r="Q1092" s="8"/>
      <c r="R1092" s="8"/>
      <c r="S1092" s="8"/>
      <c r="T1092" s="9"/>
      <c r="U1092" s="9">
        <f t="shared" si="602"/>
        <v>0</v>
      </c>
      <c r="V1092" s="9">
        <f t="shared" si="603"/>
        <v>5193999.3</v>
      </c>
      <c r="W1092" s="9">
        <f t="shared" si="604"/>
        <v>0</v>
      </c>
      <c r="X1092" s="9">
        <f t="shared" si="605"/>
        <v>5193999.3</v>
      </c>
      <c r="Y1092" s="8"/>
      <c r="Z1092" s="9">
        <f t="shared" si="606"/>
        <v>0</v>
      </c>
      <c r="AA1092" s="8">
        <f t="shared" si="607"/>
        <v>5193999.3</v>
      </c>
      <c r="AB1092" s="8">
        <f t="shared" si="608"/>
        <v>0</v>
      </c>
    </row>
    <row r="1093" spans="1:28" x14ac:dyDescent="0.3">
      <c r="A1093" s="64"/>
      <c r="B1093" s="8"/>
      <c r="C1093" s="7" t="s">
        <v>53</v>
      </c>
      <c r="D1093" s="15" t="s">
        <v>54</v>
      </c>
      <c r="E1093" s="9">
        <v>1767770</v>
      </c>
      <c r="F1093" s="9">
        <v>0</v>
      </c>
      <c r="G1093" s="8"/>
      <c r="H1093" s="9">
        <f t="shared" si="599"/>
        <v>0</v>
      </c>
      <c r="I1093" s="8"/>
      <c r="J1093" s="8"/>
      <c r="K1093" s="8"/>
      <c r="L1093" s="9"/>
      <c r="M1093" s="9">
        <f t="shared" si="600"/>
        <v>0</v>
      </c>
      <c r="N1093" s="9">
        <v>1767770</v>
      </c>
      <c r="O1093" s="8"/>
      <c r="P1093" s="9">
        <f t="shared" si="601"/>
        <v>1767770</v>
      </c>
      <c r="Q1093" s="8"/>
      <c r="R1093" s="8"/>
      <c r="S1093" s="8"/>
      <c r="T1093" s="9"/>
      <c r="U1093" s="9">
        <f t="shared" si="602"/>
        <v>1767770</v>
      </c>
      <c r="V1093" s="9">
        <f t="shared" si="603"/>
        <v>1767770</v>
      </c>
      <c r="W1093" s="9">
        <f t="shared" si="604"/>
        <v>0</v>
      </c>
      <c r="X1093" s="9">
        <f t="shared" si="605"/>
        <v>1767770</v>
      </c>
      <c r="Y1093" s="8"/>
      <c r="Z1093" s="9">
        <f t="shared" si="606"/>
        <v>0</v>
      </c>
      <c r="AA1093" s="8">
        <f t="shared" si="607"/>
        <v>1767770</v>
      </c>
      <c r="AB1093" s="8">
        <f t="shared" si="608"/>
        <v>0</v>
      </c>
    </row>
    <row r="1094" spans="1:28" x14ac:dyDescent="0.3">
      <c r="A1094" s="64"/>
      <c r="B1094" s="8"/>
      <c r="C1094" s="7" t="s">
        <v>55</v>
      </c>
      <c r="D1094" s="15" t="s">
        <v>256</v>
      </c>
      <c r="E1094" s="9">
        <v>8117169.8499999996</v>
      </c>
      <c r="F1094" s="9">
        <v>0</v>
      </c>
      <c r="G1094" s="8"/>
      <c r="H1094" s="9">
        <f t="shared" si="599"/>
        <v>0</v>
      </c>
      <c r="I1094" s="8"/>
      <c r="J1094" s="8"/>
      <c r="K1094" s="8"/>
      <c r="L1094" s="9"/>
      <c r="M1094" s="9">
        <f t="shared" si="600"/>
        <v>0</v>
      </c>
      <c r="N1094" s="9">
        <v>8117169.8499999996</v>
      </c>
      <c r="O1094" s="8"/>
      <c r="P1094" s="9">
        <f t="shared" si="601"/>
        <v>8117169.8499999996</v>
      </c>
      <c r="Q1094" s="8"/>
      <c r="R1094" s="8"/>
      <c r="S1094" s="8"/>
      <c r="T1094" s="9"/>
      <c r="U1094" s="9">
        <f t="shared" si="602"/>
        <v>8117169.8499999996</v>
      </c>
      <c r="V1094" s="9">
        <f t="shared" si="603"/>
        <v>8117169.8499999996</v>
      </c>
      <c r="W1094" s="9">
        <f t="shared" si="604"/>
        <v>0</v>
      </c>
      <c r="X1094" s="9">
        <f t="shared" si="605"/>
        <v>8117169.8499999996</v>
      </c>
      <c r="Y1094" s="8"/>
      <c r="Z1094" s="9">
        <f t="shared" si="606"/>
        <v>0</v>
      </c>
      <c r="AA1094" s="8">
        <f t="shared" si="607"/>
        <v>8117169.8499999996</v>
      </c>
      <c r="AB1094" s="8">
        <f t="shared" si="608"/>
        <v>0</v>
      </c>
    </row>
    <row r="1095" spans="1:28" x14ac:dyDescent="0.3">
      <c r="A1095" s="64"/>
      <c r="B1095" s="8"/>
      <c r="C1095" s="7" t="s">
        <v>257</v>
      </c>
      <c r="D1095" s="15" t="s">
        <v>85</v>
      </c>
      <c r="E1095" s="9">
        <v>2000000</v>
      </c>
      <c r="F1095" s="9">
        <v>2000000</v>
      </c>
      <c r="G1095" s="8"/>
      <c r="H1095" s="9">
        <f t="shared" si="599"/>
        <v>2000000</v>
      </c>
      <c r="I1095" s="8"/>
      <c r="J1095" s="8"/>
      <c r="K1095" s="8"/>
      <c r="L1095" s="9"/>
      <c r="M1095" s="9">
        <f t="shared" si="600"/>
        <v>2000000</v>
      </c>
      <c r="N1095" s="9">
        <v>0</v>
      </c>
      <c r="O1095" s="8"/>
      <c r="P1095" s="9">
        <f t="shared" si="601"/>
        <v>0</v>
      </c>
      <c r="Q1095" s="8"/>
      <c r="R1095" s="8"/>
      <c r="S1095" s="8"/>
      <c r="T1095" s="9"/>
      <c r="U1095" s="9">
        <f t="shared" si="602"/>
        <v>0</v>
      </c>
      <c r="V1095" s="9">
        <f t="shared" si="603"/>
        <v>2000000</v>
      </c>
      <c r="W1095" s="9">
        <f t="shared" si="604"/>
        <v>0</v>
      </c>
      <c r="X1095" s="9">
        <f t="shared" si="605"/>
        <v>2000000</v>
      </c>
      <c r="Y1095" s="8"/>
      <c r="Z1095" s="9">
        <f t="shared" si="606"/>
        <v>0</v>
      </c>
      <c r="AA1095" s="8">
        <f t="shared" si="607"/>
        <v>2000000</v>
      </c>
      <c r="AB1095" s="8">
        <f t="shared" si="608"/>
        <v>0</v>
      </c>
    </row>
    <row r="1096" spans="1:28" x14ac:dyDescent="0.3">
      <c r="A1096" s="64"/>
      <c r="B1096" s="8"/>
      <c r="C1096" s="7" t="s">
        <v>258</v>
      </c>
      <c r="D1096" s="15" t="s">
        <v>85</v>
      </c>
      <c r="E1096" s="9">
        <v>80000</v>
      </c>
      <c r="F1096" s="9">
        <v>80000</v>
      </c>
      <c r="G1096" s="8"/>
      <c r="H1096" s="9">
        <f t="shared" si="599"/>
        <v>80000</v>
      </c>
      <c r="I1096" s="8"/>
      <c r="J1096" s="8"/>
      <c r="K1096" s="8"/>
      <c r="L1096" s="9"/>
      <c r="M1096" s="9">
        <f t="shared" si="600"/>
        <v>80000</v>
      </c>
      <c r="N1096" s="9">
        <v>0</v>
      </c>
      <c r="O1096" s="8"/>
      <c r="P1096" s="9">
        <f t="shared" si="601"/>
        <v>0</v>
      </c>
      <c r="Q1096" s="8"/>
      <c r="R1096" s="8"/>
      <c r="S1096" s="8"/>
      <c r="T1096" s="9"/>
      <c r="U1096" s="9">
        <f t="shared" si="602"/>
        <v>0</v>
      </c>
      <c r="V1096" s="9">
        <f t="shared" si="603"/>
        <v>80000</v>
      </c>
      <c r="W1096" s="9">
        <f t="shared" si="604"/>
        <v>0</v>
      </c>
      <c r="X1096" s="9">
        <f t="shared" si="605"/>
        <v>80000</v>
      </c>
      <c r="Y1096" s="8"/>
      <c r="Z1096" s="9">
        <f t="shared" si="606"/>
        <v>0</v>
      </c>
      <c r="AA1096" s="8">
        <f t="shared" si="607"/>
        <v>80000</v>
      </c>
      <c r="AB1096" s="8">
        <f t="shared" si="608"/>
        <v>0</v>
      </c>
    </row>
    <row r="1097" spans="1:28" x14ac:dyDescent="0.3">
      <c r="A1097" s="64"/>
      <c r="B1097" s="8"/>
      <c r="C1097" s="7" t="s">
        <v>87</v>
      </c>
      <c r="D1097" s="15" t="s">
        <v>88</v>
      </c>
      <c r="E1097" s="9">
        <v>3500000</v>
      </c>
      <c r="F1097" s="9">
        <v>3500000</v>
      </c>
      <c r="G1097" s="8"/>
      <c r="H1097" s="9">
        <f t="shared" si="599"/>
        <v>3500000</v>
      </c>
      <c r="I1097" s="8"/>
      <c r="J1097" s="8"/>
      <c r="K1097" s="8"/>
      <c r="L1097" s="9"/>
      <c r="M1097" s="9">
        <f t="shared" si="600"/>
        <v>3500000</v>
      </c>
      <c r="N1097" s="9">
        <v>0</v>
      </c>
      <c r="O1097" s="8"/>
      <c r="P1097" s="9">
        <f t="shared" si="601"/>
        <v>0</v>
      </c>
      <c r="Q1097" s="8"/>
      <c r="R1097" s="8"/>
      <c r="S1097" s="8"/>
      <c r="T1097" s="9"/>
      <c r="U1097" s="9">
        <f t="shared" si="602"/>
        <v>0</v>
      </c>
      <c r="V1097" s="9">
        <f t="shared" si="603"/>
        <v>3500000</v>
      </c>
      <c r="W1097" s="9">
        <f t="shared" si="604"/>
        <v>0</v>
      </c>
      <c r="X1097" s="9">
        <f t="shared" si="605"/>
        <v>3500000</v>
      </c>
      <c r="Y1097" s="8"/>
      <c r="Z1097" s="9">
        <f t="shared" si="606"/>
        <v>0</v>
      </c>
      <c r="AA1097" s="8">
        <f t="shared" si="607"/>
        <v>3500000</v>
      </c>
      <c r="AB1097" s="8">
        <f t="shared" si="608"/>
        <v>0</v>
      </c>
    </row>
    <row r="1098" spans="1:28" x14ac:dyDescent="0.3">
      <c r="A1098" s="64"/>
      <c r="B1098" s="8"/>
      <c r="C1098" s="7" t="s">
        <v>259</v>
      </c>
      <c r="D1098" s="15" t="s">
        <v>88</v>
      </c>
      <c r="E1098" s="9">
        <v>1000000</v>
      </c>
      <c r="F1098" s="11">
        <v>1000000</v>
      </c>
      <c r="G1098" s="8"/>
      <c r="H1098" s="9">
        <f t="shared" si="599"/>
        <v>1000000</v>
      </c>
      <c r="I1098" s="8"/>
      <c r="J1098" s="8"/>
      <c r="K1098" s="8"/>
      <c r="L1098" s="9"/>
      <c r="M1098" s="9">
        <f t="shared" si="600"/>
        <v>1000000</v>
      </c>
      <c r="N1098" s="9">
        <v>0</v>
      </c>
      <c r="O1098" s="8"/>
      <c r="P1098" s="9">
        <f t="shared" si="601"/>
        <v>0</v>
      </c>
      <c r="Q1098" s="8"/>
      <c r="R1098" s="8"/>
      <c r="S1098" s="8"/>
      <c r="T1098" s="9"/>
      <c r="U1098" s="9">
        <f t="shared" si="602"/>
        <v>0</v>
      </c>
      <c r="V1098" s="9">
        <f t="shared" si="603"/>
        <v>1000000</v>
      </c>
      <c r="W1098" s="9">
        <f t="shared" si="604"/>
        <v>0</v>
      </c>
      <c r="X1098" s="9">
        <f t="shared" si="605"/>
        <v>1000000</v>
      </c>
      <c r="Y1098" s="8"/>
      <c r="Z1098" s="9">
        <f t="shared" si="606"/>
        <v>0</v>
      </c>
      <c r="AA1098" s="8">
        <f t="shared" si="607"/>
        <v>1000000</v>
      </c>
      <c r="AB1098" s="8">
        <f t="shared" si="608"/>
        <v>0</v>
      </c>
    </row>
    <row r="1099" spans="1:28" x14ac:dyDescent="0.3">
      <c r="A1099" s="64"/>
      <c r="B1099" s="8"/>
      <c r="C1099" s="7" t="s">
        <v>57</v>
      </c>
      <c r="D1099" s="15" t="s">
        <v>58</v>
      </c>
      <c r="E1099" s="9">
        <v>3000000</v>
      </c>
      <c r="F1099" s="9">
        <v>3000000</v>
      </c>
      <c r="G1099" s="8"/>
      <c r="H1099" s="9">
        <f t="shared" si="599"/>
        <v>3000000</v>
      </c>
      <c r="I1099" s="8"/>
      <c r="J1099" s="8"/>
      <c r="K1099" s="8"/>
      <c r="L1099" s="9"/>
      <c r="M1099" s="9">
        <f t="shared" si="600"/>
        <v>3000000</v>
      </c>
      <c r="N1099" s="9">
        <v>0</v>
      </c>
      <c r="O1099" s="8"/>
      <c r="P1099" s="9">
        <f t="shared" si="601"/>
        <v>0</v>
      </c>
      <c r="Q1099" s="8"/>
      <c r="R1099" s="8"/>
      <c r="S1099" s="8"/>
      <c r="T1099" s="9"/>
      <c r="U1099" s="9">
        <f t="shared" si="602"/>
        <v>0</v>
      </c>
      <c r="V1099" s="9">
        <f t="shared" si="603"/>
        <v>3000000</v>
      </c>
      <c r="W1099" s="9">
        <f t="shared" si="604"/>
        <v>0</v>
      </c>
      <c r="X1099" s="9">
        <f t="shared" si="605"/>
        <v>3000000</v>
      </c>
      <c r="Y1099" s="8"/>
      <c r="Z1099" s="9">
        <f t="shared" si="606"/>
        <v>0</v>
      </c>
      <c r="AA1099" s="8">
        <f t="shared" si="607"/>
        <v>3000000</v>
      </c>
      <c r="AB1099" s="8">
        <f t="shared" si="608"/>
        <v>0</v>
      </c>
    </row>
    <row r="1100" spans="1:28" x14ac:dyDescent="0.3">
      <c r="A1100" s="64"/>
      <c r="B1100" s="8"/>
      <c r="C1100" s="14" t="s">
        <v>109</v>
      </c>
      <c r="D1100" s="21" t="s">
        <v>60</v>
      </c>
      <c r="E1100" s="9">
        <f>3501814.49+1498185.51</f>
        <v>5000000</v>
      </c>
      <c r="F1100" s="11">
        <f>3501814.49+1498185.51</f>
        <v>5000000</v>
      </c>
      <c r="G1100" s="8"/>
      <c r="H1100" s="9">
        <f t="shared" si="599"/>
        <v>5000000</v>
      </c>
      <c r="I1100" s="8">
        <v>1498185.51</v>
      </c>
      <c r="J1100" s="8">
        <v>1498185.51</v>
      </c>
      <c r="K1100" s="8"/>
      <c r="L1100" s="9"/>
      <c r="M1100" s="9">
        <f t="shared" si="600"/>
        <v>5000000</v>
      </c>
      <c r="N1100" s="9">
        <v>0</v>
      </c>
      <c r="O1100" s="8"/>
      <c r="P1100" s="9">
        <f t="shared" si="601"/>
        <v>0</v>
      </c>
      <c r="Q1100" s="8"/>
      <c r="R1100" s="8"/>
      <c r="S1100" s="8"/>
      <c r="T1100" s="9"/>
      <c r="U1100" s="9">
        <f t="shared" si="602"/>
        <v>0</v>
      </c>
      <c r="V1100" s="9">
        <f t="shared" si="603"/>
        <v>5000000</v>
      </c>
      <c r="W1100" s="9">
        <f t="shared" si="604"/>
        <v>0</v>
      </c>
      <c r="X1100" s="9">
        <f t="shared" si="605"/>
        <v>5000000</v>
      </c>
      <c r="Y1100" s="8"/>
      <c r="Z1100" s="9">
        <f t="shared" si="606"/>
        <v>0</v>
      </c>
      <c r="AA1100" s="8">
        <f t="shared" si="607"/>
        <v>5000000</v>
      </c>
      <c r="AB1100" s="8">
        <f t="shared" si="608"/>
        <v>0</v>
      </c>
    </row>
    <row r="1101" spans="1:28" x14ac:dyDescent="0.3">
      <c r="A1101" s="64"/>
      <c r="B1101" s="8"/>
      <c r="C1101" s="7" t="s">
        <v>122</v>
      </c>
      <c r="D1101" s="8"/>
      <c r="E1101" s="9">
        <v>1413703.5</v>
      </c>
      <c r="F1101" s="9">
        <v>1413703.5</v>
      </c>
      <c r="G1101" s="8"/>
      <c r="H1101" s="9">
        <f t="shared" si="599"/>
        <v>1413703.5</v>
      </c>
      <c r="I1101" s="8"/>
      <c r="J1101" s="8"/>
      <c r="K1101" s="8"/>
      <c r="L1101" s="9"/>
      <c r="M1101" s="9">
        <f t="shared" si="600"/>
        <v>1413703.5</v>
      </c>
      <c r="N1101" s="9">
        <v>0</v>
      </c>
      <c r="O1101" s="8"/>
      <c r="P1101" s="9">
        <f t="shared" si="601"/>
        <v>0</v>
      </c>
      <c r="Q1101" s="8"/>
      <c r="R1101" s="8"/>
      <c r="S1101" s="8"/>
      <c r="T1101" s="9"/>
      <c r="U1101" s="9">
        <f t="shared" si="602"/>
        <v>0</v>
      </c>
      <c r="V1101" s="9">
        <f t="shared" si="603"/>
        <v>1413703.5</v>
      </c>
      <c r="W1101" s="9">
        <f t="shared" si="604"/>
        <v>0</v>
      </c>
      <c r="X1101" s="9">
        <f t="shared" si="605"/>
        <v>1413703.5</v>
      </c>
      <c r="Y1101" s="8"/>
      <c r="Z1101" s="9">
        <f t="shared" si="606"/>
        <v>0</v>
      </c>
      <c r="AA1101" s="8">
        <f t="shared" si="607"/>
        <v>1413703.5</v>
      </c>
      <c r="AB1101" s="8">
        <f t="shared" si="608"/>
        <v>0</v>
      </c>
    </row>
    <row r="1102" spans="1:28" x14ac:dyDescent="0.3">
      <c r="A1102" s="64"/>
      <c r="B1102" s="8"/>
      <c r="C1102" s="7" t="s">
        <v>1078</v>
      </c>
      <c r="D1102" s="8"/>
      <c r="E1102" s="9">
        <v>300000</v>
      </c>
      <c r="F1102" s="9">
        <v>300000</v>
      </c>
      <c r="G1102" s="8"/>
      <c r="H1102" s="9">
        <f>+F1102+G1102</f>
        <v>300000</v>
      </c>
      <c r="I1102" s="8"/>
      <c r="J1102" s="8"/>
      <c r="K1102" s="8"/>
      <c r="L1102" s="9"/>
      <c r="M1102" s="9">
        <f>+H1102+L1102</f>
        <v>300000</v>
      </c>
      <c r="N1102" s="9">
        <v>0</v>
      </c>
      <c r="O1102" s="8"/>
      <c r="P1102" s="9">
        <f>+N1102+O1102</f>
        <v>0</v>
      </c>
      <c r="Q1102" s="8"/>
      <c r="R1102" s="8"/>
      <c r="S1102" s="8"/>
      <c r="T1102" s="9"/>
      <c r="U1102" s="9">
        <f>P1102+T1102</f>
        <v>0</v>
      </c>
      <c r="V1102" s="9">
        <f>P1102+H1102</f>
        <v>300000</v>
      </c>
      <c r="W1102" s="9">
        <f>E1102-V1102</f>
        <v>0</v>
      </c>
      <c r="X1102" s="9">
        <f t="shared" si="605"/>
        <v>300000</v>
      </c>
      <c r="Y1102" s="8"/>
      <c r="Z1102" s="9">
        <f t="shared" si="606"/>
        <v>0</v>
      </c>
      <c r="AA1102" s="8">
        <f t="shared" si="607"/>
        <v>300000</v>
      </c>
      <c r="AB1102" s="8">
        <f t="shared" si="608"/>
        <v>0</v>
      </c>
    </row>
    <row r="1103" spans="1:28" x14ac:dyDescent="0.3">
      <c r="A1103" s="64"/>
      <c r="B1103" s="8"/>
      <c r="C1103" s="7" t="s">
        <v>1106</v>
      </c>
      <c r="D1103" s="23" t="s">
        <v>1072</v>
      </c>
      <c r="E1103" s="9">
        <f>1778701.22</f>
        <v>1778701.22</v>
      </c>
      <c r="F1103" s="8">
        <v>1778701.22</v>
      </c>
      <c r="G1103" s="8"/>
      <c r="H1103" s="9">
        <f>+F1103+G1103</f>
        <v>1778701.22</v>
      </c>
      <c r="I1103" s="8"/>
      <c r="J1103" s="8"/>
      <c r="K1103" s="8"/>
      <c r="L1103" s="9"/>
      <c r="M1103" s="9">
        <f>+H1103+L1103</f>
        <v>1778701.22</v>
      </c>
      <c r="N1103" s="9">
        <v>0</v>
      </c>
      <c r="O1103" s="8"/>
      <c r="P1103" s="9">
        <f>+N1103+O1103</f>
        <v>0</v>
      </c>
      <c r="Q1103" s="8"/>
      <c r="R1103" s="8"/>
      <c r="S1103" s="8"/>
      <c r="T1103" s="9"/>
      <c r="U1103" s="9">
        <f>P1103+T1103</f>
        <v>0</v>
      </c>
      <c r="V1103" s="9">
        <f>P1103+H1103</f>
        <v>1778701.22</v>
      </c>
      <c r="W1103" s="9">
        <f>E1103-V1103</f>
        <v>0</v>
      </c>
      <c r="X1103" s="9">
        <f t="shared" si="605"/>
        <v>1778701.22</v>
      </c>
      <c r="Y1103" s="8"/>
      <c r="Z1103" s="9">
        <f t="shared" si="606"/>
        <v>0</v>
      </c>
      <c r="AA1103" s="8">
        <f t="shared" si="607"/>
        <v>1778701.22</v>
      </c>
      <c r="AB1103" s="8">
        <f t="shared" si="608"/>
        <v>0</v>
      </c>
    </row>
    <row r="1104" spans="1:28" x14ac:dyDescent="0.3">
      <c r="A1104" s="64"/>
      <c r="B1104" s="8"/>
      <c r="C1104" s="7" t="s">
        <v>1234</v>
      </c>
      <c r="D1104" s="23" t="s">
        <v>1225</v>
      </c>
      <c r="E1104" s="9">
        <v>300000</v>
      </c>
      <c r="F1104" s="8">
        <v>300000</v>
      </c>
      <c r="G1104" s="8"/>
      <c r="H1104" s="9">
        <f>+F1104+G1104</f>
        <v>300000</v>
      </c>
      <c r="I1104" s="8"/>
      <c r="J1104" s="8"/>
      <c r="K1104" s="8"/>
      <c r="L1104" s="9"/>
      <c r="M1104" s="9">
        <f>+H1104+L1104</f>
        <v>300000</v>
      </c>
      <c r="N1104" s="9">
        <v>0</v>
      </c>
      <c r="O1104" s="8"/>
      <c r="P1104" s="9">
        <f>+N1104+O1104</f>
        <v>0</v>
      </c>
      <c r="Q1104" s="8"/>
      <c r="R1104" s="8"/>
      <c r="S1104" s="8"/>
      <c r="T1104" s="9"/>
      <c r="U1104" s="9">
        <f>+P1104+T1104</f>
        <v>0</v>
      </c>
      <c r="V1104" s="9"/>
      <c r="W1104" s="9"/>
      <c r="X1104" s="9">
        <f>+H1104+P1104</f>
        <v>300000</v>
      </c>
      <c r="Y1104" s="8"/>
      <c r="Z1104" s="9">
        <f>+E1104-X1104</f>
        <v>0</v>
      </c>
      <c r="AA1104" s="8">
        <f>+M1104+U1104</f>
        <v>300000</v>
      </c>
      <c r="AB1104" s="8">
        <f>+E1104-AA1104</f>
        <v>0</v>
      </c>
    </row>
    <row r="1105" spans="1:28" x14ac:dyDescent="0.3">
      <c r="A1105" s="64"/>
      <c r="B1105" s="8"/>
      <c r="C1105" s="7" t="s">
        <v>57</v>
      </c>
      <c r="D1105" s="23" t="s">
        <v>61</v>
      </c>
      <c r="E1105" s="9">
        <v>742308.46</v>
      </c>
      <c r="F1105" s="9">
        <v>742308.46</v>
      </c>
      <c r="G1105" s="8"/>
      <c r="H1105" s="9">
        <f t="shared" si="599"/>
        <v>742308.46</v>
      </c>
      <c r="I1105" s="8"/>
      <c r="J1105" s="8"/>
      <c r="K1105" s="8"/>
      <c r="L1105" s="9"/>
      <c r="M1105" s="9">
        <f t="shared" si="600"/>
        <v>742308.46</v>
      </c>
      <c r="N1105" s="9">
        <v>0</v>
      </c>
      <c r="O1105" s="8"/>
      <c r="P1105" s="9">
        <f t="shared" si="601"/>
        <v>0</v>
      </c>
      <c r="Q1105" s="8"/>
      <c r="R1105" s="8"/>
      <c r="S1105" s="8"/>
      <c r="T1105" s="9"/>
      <c r="U1105" s="9">
        <f t="shared" si="602"/>
        <v>0</v>
      </c>
      <c r="V1105" s="9">
        <f t="shared" si="603"/>
        <v>742308.46</v>
      </c>
      <c r="W1105" s="9">
        <f t="shared" si="604"/>
        <v>0</v>
      </c>
      <c r="X1105" s="9">
        <f t="shared" si="605"/>
        <v>742308.46</v>
      </c>
      <c r="Y1105" s="8"/>
      <c r="Z1105" s="9">
        <f t="shared" si="606"/>
        <v>0</v>
      </c>
      <c r="AA1105" s="8">
        <f t="shared" si="607"/>
        <v>742308.46</v>
      </c>
      <c r="AB1105" s="8">
        <f t="shared" si="608"/>
        <v>0</v>
      </c>
    </row>
    <row r="1106" spans="1:28" x14ac:dyDescent="0.3">
      <c r="A1106" s="64"/>
      <c r="B1106" s="8"/>
      <c r="C1106" s="8"/>
      <c r="D1106" s="8"/>
      <c r="E1106" s="17" t="s">
        <v>29</v>
      </c>
      <c r="F1106" s="17" t="s">
        <v>29</v>
      </c>
      <c r="G1106" s="17" t="s">
        <v>29</v>
      </c>
      <c r="H1106" s="17" t="s">
        <v>29</v>
      </c>
      <c r="I1106" s="17" t="s">
        <v>29</v>
      </c>
      <c r="J1106" s="17" t="s">
        <v>29</v>
      </c>
      <c r="K1106" s="17" t="s">
        <v>29</v>
      </c>
      <c r="L1106" s="17" t="s">
        <v>29</v>
      </c>
      <c r="M1106" s="17" t="s">
        <v>29</v>
      </c>
      <c r="N1106" s="17" t="s">
        <v>29</v>
      </c>
      <c r="O1106" s="17" t="s">
        <v>29</v>
      </c>
      <c r="P1106" s="17" t="s">
        <v>29</v>
      </c>
      <c r="Q1106" s="17" t="s">
        <v>29</v>
      </c>
      <c r="R1106" s="17" t="s">
        <v>29</v>
      </c>
      <c r="S1106" s="17" t="s">
        <v>29</v>
      </c>
      <c r="T1106" s="17" t="s">
        <v>29</v>
      </c>
      <c r="U1106" s="17" t="s">
        <v>29</v>
      </c>
      <c r="V1106" s="17" t="s">
        <v>29</v>
      </c>
      <c r="W1106" s="17" t="s">
        <v>29</v>
      </c>
      <c r="X1106" s="17" t="s">
        <v>29</v>
      </c>
      <c r="Y1106" s="17" t="s">
        <v>29</v>
      </c>
      <c r="Z1106" s="17" t="s">
        <v>29</v>
      </c>
      <c r="AA1106" s="17" t="s">
        <v>29</v>
      </c>
      <c r="AB1106" s="17" t="s">
        <v>29</v>
      </c>
    </row>
    <row r="1107" spans="1:28" x14ac:dyDescent="0.3">
      <c r="A1107" s="64"/>
      <c r="B1107" s="8"/>
      <c r="C1107" s="8"/>
      <c r="D1107" s="8"/>
      <c r="E1107" s="9">
        <f>SUM(E1090:E1105)</f>
        <v>71382589.959999993</v>
      </c>
      <c r="F1107" s="9">
        <f t="shared" ref="F1107:AB1107" si="609">SUM(F1090:F1105)</f>
        <v>61340970.089999996</v>
      </c>
      <c r="G1107" s="9">
        <f t="shared" si="609"/>
        <v>0</v>
      </c>
      <c r="H1107" s="9">
        <f t="shared" si="609"/>
        <v>61340970.089999996</v>
      </c>
      <c r="I1107" s="9">
        <f t="shared" si="609"/>
        <v>1498185.51</v>
      </c>
      <c r="J1107" s="9">
        <f t="shared" si="609"/>
        <v>1498185.51</v>
      </c>
      <c r="K1107" s="9">
        <f t="shared" si="609"/>
        <v>0</v>
      </c>
      <c r="L1107" s="9">
        <f t="shared" si="609"/>
        <v>0</v>
      </c>
      <c r="M1107" s="9">
        <f t="shared" si="609"/>
        <v>61340970.089999996</v>
      </c>
      <c r="N1107" s="9">
        <f t="shared" si="609"/>
        <v>10041619.869999999</v>
      </c>
      <c r="O1107" s="9">
        <f t="shared" si="609"/>
        <v>0</v>
      </c>
      <c r="P1107" s="9">
        <f t="shared" si="609"/>
        <v>10041619.869999999</v>
      </c>
      <c r="Q1107" s="9">
        <f t="shared" si="609"/>
        <v>0</v>
      </c>
      <c r="R1107" s="9">
        <f t="shared" si="609"/>
        <v>0</v>
      </c>
      <c r="S1107" s="9">
        <f t="shared" si="609"/>
        <v>0</v>
      </c>
      <c r="T1107" s="9">
        <f t="shared" si="609"/>
        <v>0</v>
      </c>
      <c r="U1107" s="9">
        <f t="shared" si="609"/>
        <v>10041619.869999999</v>
      </c>
      <c r="V1107" s="9">
        <f t="shared" si="609"/>
        <v>71082589.959999993</v>
      </c>
      <c r="W1107" s="9">
        <f t="shared" si="609"/>
        <v>0</v>
      </c>
      <c r="X1107" s="9">
        <f t="shared" si="609"/>
        <v>71382589.959999993</v>
      </c>
      <c r="Y1107" s="9">
        <f t="shared" si="609"/>
        <v>0</v>
      </c>
      <c r="Z1107" s="9">
        <f t="shared" si="609"/>
        <v>0</v>
      </c>
      <c r="AA1107" s="9">
        <f t="shared" si="609"/>
        <v>71382589.959999993</v>
      </c>
      <c r="AB1107" s="9">
        <f t="shared" si="609"/>
        <v>0</v>
      </c>
    </row>
    <row r="1108" spans="1:28" x14ac:dyDescent="0.3">
      <c r="A1108" s="64"/>
      <c r="B1108" s="8"/>
      <c r="C1108" s="8"/>
      <c r="D1108" s="8"/>
      <c r="E1108" s="17" t="s">
        <v>29</v>
      </c>
      <c r="F1108" s="17" t="s">
        <v>29</v>
      </c>
      <c r="G1108" s="17" t="s">
        <v>29</v>
      </c>
      <c r="H1108" s="17" t="s">
        <v>29</v>
      </c>
      <c r="I1108" s="17" t="s">
        <v>29</v>
      </c>
      <c r="J1108" s="17" t="s">
        <v>29</v>
      </c>
      <c r="K1108" s="17" t="s">
        <v>29</v>
      </c>
      <c r="L1108" s="17" t="s">
        <v>29</v>
      </c>
      <c r="M1108" s="17" t="s">
        <v>29</v>
      </c>
      <c r="N1108" s="17" t="s">
        <v>29</v>
      </c>
      <c r="O1108" s="17" t="s">
        <v>29</v>
      </c>
      <c r="P1108" s="17" t="s">
        <v>29</v>
      </c>
      <c r="Q1108" s="17" t="s">
        <v>29</v>
      </c>
      <c r="R1108" s="17" t="s">
        <v>29</v>
      </c>
      <c r="S1108" s="17" t="s">
        <v>29</v>
      </c>
      <c r="T1108" s="17" t="s">
        <v>29</v>
      </c>
      <c r="U1108" s="17" t="s">
        <v>29</v>
      </c>
      <c r="V1108" s="17" t="s">
        <v>29</v>
      </c>
      <c r="W1108" s="17" t="s">
        <v>29</v>
      </c>
      <c r="X1108" s="17" t="s">
        <v>29</v>
      </c>
      <c r="Y1108" s="17" t="s">
        <v>29</v>
      </c>
      <c r="Z1108" s="17" t="s">
        <v>29</v>
      </c>
      <c r="AA1108" s="17" t="s">
        <v>29</v>
      </c>
      <c r="AB1108" s="17" t="s">
        <v>29</v>
      </c>
    </row>
    <row r="1109" spans="1:28" x14ac:dyDescent="0.3">
      <c r="A1109" s="63" t="s">
        <v>989</v>
      </c>
      <c r="B1109" s="7" t="s">
        <v>260</v>
      </c>
      <c r="C1109" s="8"/>
      <c r="D1109" s="8"/>
      <c r="E1109" s="8"/>
      <c r="F1109" s="8"/>
      <c r="G1109" s="8"/>
      <c r="H1109" s="8"/>
      <c r="I1109" s="8"/>
      <c r="J1109" s="8"/>
      <c r="K1109" s="8"/>
      <c r="L1109" s="8"/>
      <c r="M1109" s="8"/>
      <c r="N1109" s="8"/>
      <c r="O1109" s="8"/>
      <c r="P1109" s="8"/>
      <c r="Q1109" s="8"/>
      <c r="R1109" s="8"/>
      <c r="S1109" s="8"/>
      <c r="T1109" s="8"/>
      <c r="U1109" s="8"/>
      <c r="V1109" s="8"/>
      <c r="W1109" s="8"/>
      <c r="X1109" s="8"/>
      <c r="Y1109" s="8"/>
      <c r="Z1109" s="8"/>
    </row>
    <row r="1110" spans="1:28" x14ac:dyDescent="0.3">
      <c r="A1110" s="64"/>
      <c r="B1110" s="8"/>
      <c r="C1110" s="7" t="s">
        <v>261</v>
      </c>
      <c r="D1110" s="15" t="s">
        <v>262</v>
      </c>
      <c r="E1110" s="9">
        <v>10187100</v>
      </c>
      <c r="F1110" s="9">
        <v>10187100</v>
      </c>
      <c r="G1110" s="8"/>
      <c r="H1110" s="9">
        <f>F1110+G1110</f>
        <v>10187100</v>
      </c>
      <c r="I1110" s="8"/>
      <c r="J1110" s="8"/>
      <c r="K1110" s="8"/>
      <c r="L1110" s="9"/>
      <c r="M1110" s="9">
        <f>H1110+L1110</f>
        <v>10187100</v>
      </c>
      <c r="N1110" s="9">
        <v>0</v>
      </c>
      <c r="O1110" s="8"/>
      <c r="P1110" s="9">
        <f>N1110+O1110</f>
        <v>0</v>
      </c>
      <c r="Q1110" s="8"/>
      <c r="R1110" s="8"/>
      <c r="S1110" s="8"/>
      <c r="T1110" s="9"/>
      <c r="U1110" s="9">
        <f>P1110+T1110</f>
        <v>0</v>
      </c>
      <c r="V1110" s="9">
        <f>P1110+H1110</f>
        <v>10187100</v>
      </c>
      <c r="W1110" s="9">
        <f>E1110-V1110</f>
        <v>0</v>
      </c>
      <c r="X1110" s="9">
        <f>+H1110+P1110</f>
        <v>10187100</v>
      </c>
      <c r="Y1110" s="8"/>
      <c r="Z1110" s="9">
        <f>+E1110-X1110</f>
        <v>0</v>
      </c>
      <c r="AA1110" s="8">
        <f>+M1110+U1110</f>
        <v>10187100</v>
      </c>
      <c r="AB1110" s="8">
        <f>+E1110-AA1110</f>
        <v>0</v>
      </c>
    </row>
    <row r="1111" spans="1:28" x14ac:dyDescent="0.3">
      <c r="A1111" s="64"/>
      <c r="B1111" s="8"/>
      <c r="C1111" s="7" t="s">
        <v>263</v>
      </c>
      <c r="D1111" s="15" t="s">
        <v>264</v>
      </c>
      <c r="E1111" s="9">
        <v>12754612.050000001</v>
      </c>
      <c r="F1111" s="9">
        <v>12754612.050000001</v>
      </c>
      <c r="G1111" s="8"/>
      <c r="H1111" s="9">
        <f>F1111+G1111</f>
        <v>12754612.050000001</v>
      </c>
      <c r="I1111" s="8"/>
      <c r="J1111" s="8"/>
      <c r="K1111" s="8"/>
      <c r="L1111" s="9"/>
      <c r="M1111" s="9">
        <f>H1111+L1111</f>
        <v>12754612.050000001</v>
      </c>
      <c r="N1111" s="9">
        <v>0</v>
      </c>
      <c r="O1111" s="8"/>
      <c r="P1111" s="9">
        <f>N1111+O1111</f>
        <v>0</v>
      </c>
      <c r="Q1111" s="9"/>
      <c r="R1111" s="8"/>
      <c r="S1111" s="9"/>
      <c r="T1111" s="9"/>
      <c r="U1111" s="9">
        <f>P1111+T1111</f>
        <v>0</v>
      </c>
      <c r="V1111" s="9">
        <f>P1111+H1111</f>
        <v>12754612.050000001</v>
      </c>
      <c r="W1111" s="9">
        <f>E1111-V1111</f>
        <v>0</v>
      </c>
      <c r="X1111" s="9">
        <f>+H1111+P1111</f>
        <v>12754612.050000001</v>
      </c>
      <c r="Y1111" s="8"/>
      <c r="Z1111" s="9">
        <f>+E1111-X1111</f>
        <v>0</v>
      </c>
      <c r="AA1111" s="8">
        <f>+M1111+U1111</f>
        <v>12754612.050000001</v>
      </c>
      <c r="AB1111" s="8">
        <f>+E1111-AA1111</f>
        <v>0</v>
      </c>
    </row>
    <row r="1112" spans="1:28" x14ac:dyDescent="0.3">
      <c r="A1112" s="64"/>
      <c r="B1112" s="8"/>
      <c r="C1112" s="7" t="s">
        <v>265</v>
      </c>
      <c r="D1112" s="7" t="s">
        <v>266</v>
      </c>
      <c r="E1112" s="9">
        <v>16331255.85</v>
      </c>
      <c r="F1112" s="9">
        <v>16331255.85</v>
      </c>
      <c r="G1112" s="8"/>
      <c r="H1112" s="9">
        <f>F1112+G1112</f>
        <v>16331255.85</v>
      </c>
      <c r="I1112" s="8"/>
      <c r="J1112" s="8"/>
      <c r="K1112" s="8"/>
      <c r="L1112" s="9"/>
      <c r="M1112" s="9">
        <f>H1112+L1112</f>
        <v>16331255.85</v>
      </c>
      <c r="N1112" s="9">
        <v>0</v>
      </c>
      <c r="O1112" s="8"/>
      <c r="P1112" s="9">
        <f>N1112+O1112</f>
        <v>0</v>
      </c>
      <c r="Q1112" s="8"/>
      <c r="R1112" s="8"/>
      <c r="S1112" s="8"/>
      <c r="T1112" s="9"/>
      <c r="U1112" s="9">
        <f>P1112+T1112</f>
        <v>0</v>
      </c>
      <c r="V1112" s="9">
        <f>P1112+H1112</f>
        <v>16331255.85</v>
      </c>
      <c r="W1112" s="9">
        <f>E1112-V1112</f>
        <v>0</v>
      </c>
      <c r="X1112" s="9">
        <f>+H1112+P1112</f>
        <v>16331255.85</v>
      </c>
      <c r="Y1112" s="8"/>
      <c r="Z1112" s="9">
        <f>+E1112-X1112</f>
        <v>0</v>
      </c>
      <c r="AA1112" s="8">
        <f>+M1112+U1112</f>
        <v>16331255.85</v>
      </c>
      <c r="AB1112" s="8">
        <f>+E1112-AA1112</f>
        <v>0</v>
      </c>
    </row>
    <row r="1113" spans="1:28" x14ac:dyDescent="0.3">
      <c r="A1113" s="64"/>
      <c r="B1113" s="8"/>
      <c r="C1113" s="8"/>
      <c r="D1113" s="7" t="s">
        <v>267</v>
      </c>
      <c r="E1113" s="8"/>
      <c r="F1113" s="8"/>
      <c r="G1113" s="8"/>
      <c r="H1113" s="8"/>
      <c r="I1113" s="8"/>
      <c r="J1113" s="8"/>
      <c r="K1113" s="8"/>
      <c r="L1113" s="8"/>
      <c r="M1113" s="8"/>
      <c r="N1113" s="8"/>
      <c r="O1113" s="8"/>
      <c r="P1113" s="8"/>
      <c r="Q1113" s="8"/>
      <c r="R1113" s="8"/>
      <c r="S1113" s="8"/>
      <c r="T1113" s="8"/>
      <c r="U1113" s="8"/>
      <c r="V1113" s="8"/>
      <c r="W1113" s="8"/>
      <c r="X1113" s="8"/>
      <c r="Y1113" s="8"/>
      <c r="Z1113" s="8"/>
    </row>
    <row r="1114" spans="1:28" x14ac:dyDescent="0.3">
      <c r="A1114" s="64"/>
      <c r="B1114" s="8"/>
      <c r="C1114" s="7" t="s">
        <v>172</v>
      </c>
      <c r="D1114" s="15" t="s">
        <v>166</v>
      </c>
      <c r="E1114" s="9">
        <v>601913</v>
      </c>
      <c r="F1114" s="9">
        <v>601913</v>
      </c>
      <c r="G1114" s="8"/>
      <c r="H1114" s="9">
        <f t="shared" ref="H1114:H1128" si="610">F1114+G1114</f>
        <v>601913</v>
      </c>
      <c r="I1114" s="8"/>
      <c r="J1114" s="8"/>
      <c r="K1114" s="8"/>
      <c r="L1114" s="9"/>
      <c r="M1114" s="9">
        <f t="shared" ref="M1114:M1128" si="611">H1114+L1114</f>
        <v>601913</v>
      </c>
      <c r="N1114" s="9">
        <v>0</v>
      </c>
      <c r="O1114" s="8"/>
      <c r="P1114" s="9">
        <f t="shared" ref="P1114:P1128" si="612">N1114+O1114</f>
        <v>0</v>
      </c>
      <c r="Q1114" s="8"/>
      <c r="R1114" s="8"/>
      <c r="S1114" s="8"/>
      <c r="T1114" s="9"/>
      <c r="U1114" s="9">
        <f t="shared" ref="U1114:U1128" si="613">P1114+T1114</f>
        <v>0</v>
      </c>
      <c r="V1114" s="9">
        <f t="shared" ref="V1114:V1128" si="614">P1114+H1114</f>
        <v>601913</v>
      </c>
      <c r="W1114" s="9">
        <f t="shared" ref="W1114:W1128" si="615">E1114-V1114</f>
        <v>0</v>
      </c>
      <c r="X1114" s="9">
        <f t="shared" ref="X1114:X1128" si="616">+H1114+P1114</f>
        <v>601913</v>
      </c>
      <c r="Y1114" s="8"/>
      <c r="Z1114" s="9">
        <f t="shared" ref="Z1114:Z1128" si="617">+E1114-X1114</f>
        <v>0</v>
      </c>
      <c r="AA1114" s="8">
        <f t="shared" ref="AA1114:AA1128" si="618">+M1114+U1114</f>
        <v>601913</v>
      </c>
      <c r="AB1114" s="8">
        <f t="shared" ref="AB1114:AB1128" si="619">+E1114-AA1114</f>
        <v>0</v>
      </c>
    </row>
    <row r="1115" spans="1:28" x14ac:dyDescent="0.3">
      <c r="A1115" s="64"/>
      <c r="B1115" s="8"/>
      <c r="C1115" s="7" t="s">
        <v>57</v>
      </c>
      <c r="D1115" s="15" t="s">
        <v>268</v>
      </c>
      <c r="E1115" s="9">
        <v>13035026.859999999</v>
      </c>
      <c r="F1115" s="9">
        <v>12990970</v>
      </c>
      <c r="G1115" s="8"/>
      <c r="H1115" s="9">
        <f t="shared" si="610"/>
        <v>12990970</v>
      </c>
      <c r="I1115" s="8"/>
      <c r="J1115" s="8"/>
      <c r="K1115" s="8"/>
      <c r="L1115" s="9"/>
      <c r="M1115" s="9">
        <f t="shared" si="611"/>
        <v>12990970</v>
      </c>
      <c r="N1115" s="9">
        <v>44056.86</v>
      </c>
      <c r="O1115" s="8"/>
      <c r="P1115" s="9">
        <f t="shared" si="612"/>
        <v>44056.86</v>
      </c>
      <c r="Q1115" s="8"/>
      <c r="R1115" s="8"/>
      <c r="S1115" s="8"/>
      <c r="T1115" s="9"/>
      <c r="U1115" s="9">
        <f t="shared" si="613"/>
        <v>44056.86</v>
      </c>
      <c r="V1115" s="9">
        <f t="shared" si="614"/>
        <v>13035026.859999999</v>
      </c>
      <c r="W1115" s="9">
        <f t="shared" si="615"/>
        <v>0</v>
      </c>
      <c r="X1115" s="9">
        <f t="shared" si="616"/>
        <v>13035026.859999999</v>
      </c>
      <c r="Y1115" s="8"/>
      <c r="Z1115" s="9">
        <f t="shared" si="617"/>
        <v>0</v>
      </c>
      <c r="AA1115" s="8">
        <f t="shared" si="618"/>
        <v>13035026.859999999</v>
      </c>
      <c r="AB1115" s="8">
        <f t="shared" si="619"/>
        <v>0</v>
      </c>
    </row>
    <row r="1116" spans="1:28" x14ac:dyDescent="0.3">
      <c r="A1116" s="64"/>
      <c r="B1116" s="8"/>
      <c r="C1116" s="7" t="s">
        <v>53</v>
      </c>
      <c r="D1116" s="15" t="s">
        <v>68</v>
      </c>
      <c r="E1116" s="9">
        <v>1767770</v>
      </c>
      <c r="F1116" s="9">
        <v>0</v>
      </c>
      <c r="G1116" s="8"/>
      <c r="H1116" s="9">
        <f t="shared" si="610"/>
        <v>0</v>
      </c>
      <c r="I1116" s="8"/>
      <c r="J1116" s="8"/>
      <c r="K1116" s="8"/>
      <c r="L1116" s="9"/>
      <c r="M1116" s="9">
        <f t="shared" si="611"/>
        <v>0</v>
      </c>
      <c r="N1116" s="9">
        <v>1767770</v>
      </c>
      <c r="O1116" s="8"/>
      <c r="P1116" s="9">
        <f t="shared" si="612"/>
        <v>1767770</v>
      </c>
      <c r="Q1116" s="8"/>
      <c r="R1116" s="8"/>
      <c r="S1116" s="8"/>
      <c r="T1116" s="9"/>
      <c r="U1116" s="9">
        <f t="shared" si="613"/>
        <v>1767770</v>
      </c>
      <c r="V1116" s="9">
        <f t="shared" si="614"/>
        <v>1767770</v>
      </c>
      <c r="W1116" s="9">
        <f t="shared" si="615"/>
        <v>0</v>
      </c>
      <c r="X1116" s="9">
        <f t="shared" si="616"/>
        <v>1767770</v>
      </c>
      <c r="Y1116" s="8"/>
      <c r="Z1116" s="9">
        <f t="shared" si="617"/>
        <v>0</v>
      </c>
      <c r="AA1116" s="8">
        <f t="shared" si="618"/>
        <v>1767770</v>
      </c>
      <c r="AB1116" s="8">
        <f t="shared" si="619"/>
        <v>0</v>
      </c>
    </row>
    <row r="1117" spans="1:28" x14ac:dyDescent="0.3">
      <c r="A1117" s="64"/>
      <c r="B1117" s="8"/>
      <c r="C1117" s="7" t="s">
        <v>269</v>
      </c>
      <c r="D1117" s="15" t="s">
        <v>270</v>
      </c>
      <c r="E1117" s="9">
        <v>5950000</v>
      </c>
      <c r="F1117" s="9">
        <v>5950000</v>
      </c>
      <c r="G1117" s="8"/>
      <c r="H1117" s="9">
        <f t="shared" si="610"/>
        <v>5950000</v>
      </c>
      <c r="I1117" s="8"/>
      <c r="J1117" s="8"/>
      <c r="K1117" s="8"/>
      <c r="L1117" s="9"/>
      <c r="M1117" s="9">
        <f t="shared" si="611"/>
        <v>5950000</v>
      </c>
      <c r="N1117" s="9">
        <v>0</v>
      </c>
      <c r="O1117" s="8"/>
      <c r="P1117" s="9">
        <f t="shared" si="612"/>
        <v>0</v>
      </c>
      <c r="Q1117" s="8"/>
      <c r="R1117" s="8"/>
      <c r="S1117" s="8"/>
      <c r="T1117" s="9"/>
      <c r="U1117" s="9">
        <f t="shared" si="613"/>
        <v>0</v>
      </c>
      <c r="V1117" s="9">
        <f t="shared" si="614"/>
        <v>5950000</v>
      </c>
      <c r="W1117" s="9">
        <f t="shared" si="615"/>
        <v>0</v>
      </c>
      <c r="X1117" s="9">
        <f t="shared" si="616"/>
        <v>5950000</v>
      </c>
      <c r="Y1117" s="8"/>
      <c r="Z1117" s="9">
        <f t="shared" si="617"/>
        <v>0</v>
      </c>
      <c r="AA1117" s="8">
        <f t="shared" si="618"/>
        <v>5950000</v>
      </c>
      <c r="AB1117" s="8">
        <f t="shared" si="619"/>
        <v>0</v>
      </c>
    </row>
    <row r="1118" spans="1:28" x14ac:dyDescent="0.3">
      <c r="A1118" s="64"/>
      <c r="B1118" s="8"/>
      <c r="C1118" s="7" t="s">
        <v>57</v>
      </c>
      <c r="D1118" s="15" t="s">
        <v>58</v>
      </c>
      <c r="E1118" s="9">
        <v>3254409</v>
      </c>
      <c r="F1118" s="9">
        <v>3254409</v>
      </c>
      <c r="G1118" s="8"/>
      <c r="H1118" s="9">
        <f t="shared" si="610"/>
        <v>3254409</v>
      </c>
      <c r="I1118" s="8"/>
      <c r="J1118" s="8"/>
      <c r="K1118" s="8"/>
      <c r="L1118" s="9"/>
      <c r="M1118" s="9">
        <f t="shared" si="611"/>
        <v>3254409</v>
      </c>
      <c r="N1118" s="9">
        <v>0</v>
      </c>
      <c r="O1118" s="8"/>
      <c r="P1118" s="9">
        <f t="shared" si="612"/>
        <v>0</v>
      </c>
      <c r="Q1118" s="8"/>
      <c r="R1118" s="8"/>
      <c r="S1118" s="8"/>
      <c r="T1118" s="9"/>
      <c r="U1118" s="9">
        <f t="shared" si="613"/>
        <v>0</v>
      </c>
      <c r="V1118" s="9">
        <f t="shared" si="614"/>
        <v>3254409</v>
      </c>
      <c r="W1118" s="9">
        <f t="shared" si="615"/>
        <v>0</v>
      </c>
      <c r="X1118" s="9">
        <f t="shared" si="616"/>
        <v>3254409</v>
      </c>
      <c r="Y1118" s="8"/>
      <c r="Z1118" s="9">
        <f t="shared" si="617"/>
        <v>0</v>
      </c>
      <c r="AA1118" s="8">
        <f t="shared" si="618"/>
        <v>3254409</v>
      </c>
      <c r="AB1118" s="8">
        <f t="shared" si="619"/>
        <v>0</v>
      </c>
    </row>
    <row r="1119" spans="1:28" x14ac:dyDescent="0.3">
      <c r="A1119" s="64"/>
      <c r="B1119" s="8"/>
      <c r="C1119" s="7" t="s">
        <v>57</v>
      </c>
      <c r="D1119" s="15" t="s">
        <v>60</v>
      </c>
      <c r="E1119" s="9">
        <v>8844692.4800000004</v>
      </c>
      <c r="F1119" s="11">
        <v>8844692.4800000004</v>
      </c>
      <c r="G1119" s="8"/>
      <c r="H1119" s="9">
        <f t="shared" si="610"/>
        <v>8844692.4800000004</v>
      </c>
      <c r="I1119" s="8"/>
      <c r="J1119" s="8"/>
      <c r="K1119" s="8"/>
      <c r="L1119" s="9"/>
      <c r="M1119" s="9">
        <f t="shared" si="611"/>
        <v>8844692.4800000004</v>
      </c>
      <c r="N1119" s="9">
        <v>0</v>
      </c>
      <c r="O1119" s="8"/>
      <c r="P1119" s="9">
        <f t="shared" si="612"/>
        <v>0</v>
      </c>
      <c r="Q1119" s="8"/>
      <c r="R1119" s="8"/>
      <c r="S1119" s="8"/>
      <c r="T1119" s="9"/>
      <c r="U1119" s="9">
        <f t="shared" si="613"/>
        <v>0</v>
      </c>
      <c r="V1119" s="9">
        <f t="shared" si="614"/>
        <v>8844692.4800000004</v>
      </c>
      <c r="W1119" s="9">
        <f t="shared" si="615"/>
        <v>0</v>
      </c>
      <c r="X1119" s="9">
        <f t="shared" si="616"/>
        <v>8844692.4800000004</v>
      </c>
      <c r="Y1119" s="8"/>
      <c r="Z1119" s="9">
        <f t="shared" si="617"/>
        <v>0</v>
      </c>
      <c r="AA1119" s="8">
        <f t="shared" si="618"/>
        <v>8844692.4800000004</v>
      </c>
      <c r="AB1119" s="8">
        <f t="shared" si="619"/>
        <v>0</v>
      </c>
    </row>
    <row r="1120" spans="1:28" x14ac:dyDescent="0.3">
      <c r="A1120" s="64"/>
      <c r="B1120" s="8"/>
      <c r="C1120" s="14" t="s">
        <v>109</v>
      </c>
      <c r="D1120" s="21" t="s">
        <v>60</v>
      </c>
      <c r="E1120" s="9">
        <v>6692368</v>
      </c>
      <c r="F1120" s="11">
        <v>6692368</v>
      </c>
      <c r="G1120" s="8"/>
      <c r="H1120" s="9">
        <f t="shared" si="610"/>
        <v>6692368</v>
      </c>
      <c r="I1120" s="8"/>
      <c r="J1120" s="8"/>
      <c r="K1120" s="8"/>
      <c r="L1120" s="9"/>
      <c r="M1120" s="9">
        <f t="shared" si="611"/>
        <v>6692368</v>
      </c>
      <c r="N1120" s="9">
        <v>0</v>
      </c>
      <c r="O1120" s="8"/>
      <c r="P1120" s="9">
        <f t="shared" si="612"/>
        <v>0</v>
      </c>
      <c r="Q1120" s="8"/>
      <c r="R1120" s="8"/>
      <c r="S1120" s="8"/>
      <c r="T1120" s="9"/>
      <c r="U1120" s="9">
        <f t="shared" si="613"/>
        <v>0</v>
      </c>
      <c r="V1120" s="9">
        <f t="shared" si="614"/>
        <v>6692368</v>
      </c>
      <c r="W1120" s="9">
        <f t="shared" si="615"/>
        <v>0</v>
      </c>
      <c r="X1120" s="9">
        <f t="shared" si="616"/>
        <v>6692368</v>
      </c>
      <c r="Y1120" s="8"/>
      <c r="Z1120" s="9">
        <f t="shared" si="617"/>
        <v>0</v>
      </c>
      <c r="AA1120" s="8">
        <f t="shared" si="618"/>
        <v>6692368</v>
      </c>
      <c r="AB1120" s="8">
        <f t="shared" si="619"/>
        <v>0</v>
      </c>
    </row>
    <row r="1121" spans="1:28" x14ac:dyDescent="0.3">
      <c r="A1121" s="64"/>
      <c r="B1121" s="8"/>
      <c r="C1121" s="14" t="s">
        <v>95</v>
      </c>
      <c r="D1121" s="21" t="s">
        <v>73</v>
      </c>
      <c r="E1121" s="9">
        <f>7596960.72-78139.74</f>
        <v>7518820.9799999995</v>
      </c>
      <c r="F1121" s="11">
        <v>5604512</v>
      </c>
      <c r="G1121" s="8"/>
      <c r="H1121" s="9">
        <f t="shared" si="610"/>
        <v>5604512</v>
      </c>
      <c r="I1121" s="8"/>
      <c r="J1121" s="8"/>
      <c r="K1121" s="8"/>
      <c r="L1121" s="9"/>
      <c r="M1121" s="9">
        <f t="shared" si="611"/>
        <v>5604512</v>
      </c>
      <c r="N1121" s="11">
        <v>1914308.98</v>
      </c>
      <c r="O1121" s="8"/>
      <c r="P1121" s="9">
        <f t="shared" si="612"/>
        <v>1914308.98</v>
      </c>
      <c r="Q1121" s="8"/>
      <c r="R1121" s="8"/>
      <c r="S1121" s="8"/>
      <c r="T1121" s="9"/>
      <c r="U1121" s="9">
        <f t="shared" si="613"/>
        <v>1914308.98</v>
      </c>
      <c r="V1121" s="9">
        <f t="shared" si="614"/>
        <v>7518820.9800000004</v>
      </c>
      <c r="W1121" s="9">
        <f t="shared" si="615"/>
        <v>0</v>
      </c>
      <c r="X1121" s="9">
        <f t="shared" si="616"/>
        <v>7518820.9800000004</v>
      </c>
      <c r="Y1121" s="8"/>
      <c r="Z1121" s="9">
        <f t="shared" si="617"/>
        <v>0</v>
      </c>
      <c r="AA1121" s="8">
        <f t="shared" si="618"/>
        <v>7518820.9800000004</v>
      </c>
      <c r="AB1121" s="8">
        <f t="shared" si="619"/>
        <v>0</v>
      </c>
    </row>
    <row r="1122" spans="1:28" x14ac:dyDescent="0.3">
      <c r="A1122" s="64"/>
      <c r="B1122" s="8"/>
      <c r="C1122" s="7" t="s">
        <v>57</v>
      </c>
      <c r="D1122" s="21" t="s">
        <v>73</v>
      </c>
      <c r="E1122" s="9">
        <f>14809718.69+650041.86</f>
        <v>15459760.549999999</v>
      </c>
      <c r="F1122" s="11">
        <f>14809718.69+650041.86</f>
        <v>15459760.549999999</v>
      </c>
      <c r="G1122" s="8"/>
      <c r="H1122" s="9">
        <f t="shared" si="610"/>
        <v>15459760.549999999</v>
      </c>
      <c r="I1122" s="11"/>
      <c r="J1122" s="11"/>
      <c r="K1122" s="11"/>
      <c r="L1122" s="9"/>
      <c r="M1122" s="9">
        <f t="shared" si="611"/>
        <v>15459760.549999999</v>
      </c>
      <c r="N1122" s="9">
        <v>0</v>
      </c>
      <c r="O1122" s="8"/>
      <c r="P1122" s="9">
        <f t="shared" si="612"/>
        <v>0</v>
      </c>
      <c r="Q1122" s="8"/>
      <c r="R1122" s="8"/>
      <c r="S1122" s="8"/>
      <c r="T1122" s="9"/>
      <c r="U1122" s="9">
        <f t="shared" si="613"/>
        <v>0</v>
      </c>
      <c r="V1122" s="9">
        <f t="shared" si="614"/>
        <v>15459760.549999999</v>
      </c>
      <c r="W1122" s="9">
        <f t="shared" si="615"/>
        <v>0</v>
      </c>
      <c r="X1122" s="9">
        <f t="shared" si="616"/>
        <v>15459760.549999999</v>
      </c>
      <c r="Y1122" s="8"/>
      <c r="Z1122" s="9">
        <f t="shared" si="617"/>
        <v>0</v>
      </c>
      <c r="AA1122" s="8">
        <f t="shared" si="618"/>
        <v>15459760.549999999</v>
      </c>
      <c r="AB1122" s="8">
        <f t="shared" si="619"/>
        <v>0</v>
      </c>
    </row>
    <row r="1123" spans="1:28" x14ac:dyDescent="0.3">
      <c r="A1123" s="64"/>
      <c r="B1123" s="8"/>
      <c r="C1123" s="7" t="str">
        <f>+C1122</f>
        <v xml:space="preserve">  EXPANSION</v>
      </c>
      <c r="D1123" s="24" t="s">
        <v>61</v>
      </c>
      <c r="E1123" s="9">
        <f>1814890.23+5131766.09+1134106.28+1977738.55</f>
        <v>10058501.15</v>
      </c>
      <c r="F1123" s="11">
        <v>10058501.15</v>
      </c>
      <c r="G1123" s="8"/>
      <c r="H1123" s="9">
        <f>F1123+G1123</f>
        <v>10058501.15</v>
      </c>
      <c r="I1123" s="11"/>
      <c r="J1123" s="11"/>
      <c r="K1123" s="11"/>
      <c r="L1123" s="9"/>
      <c r="M1123" s="9">
        <f>H1123+L1123</f>
        <v>10058501.15</v>
      </c>
      <c r="N1123" s="9">
        <v>0</v>
      </c>
      <c r="O1123" s="8"/>
      <c r="P1123" s="9">
        <f>N1123+O1123</f>
        <v>0</v>
      </c>
      <c r="Q1123" s="8"/>
      <c r="R1123" s="8"/>
      <c r="S1123" s="8"/>
      <c r="T1123" s="9"/>
      <c r="U1123" s="9">
        <f>P1123+T1123</f>
        <v>0</v>
      </c>
      <c r="V1123" s="9">
        <f>P1123+H1123</f>
        <v>10058501.15</v>
      </c>
      <c r="W1123" s="9">
        <f>E1123-V1123</f>
        <v>0</v>
      </c>
      <c r="X1123" s="9">
        <f t="shared" si="616"/>
        <v>10058501.15</v>
      </c>
      <c r="Y1123" s="8"/>
      <c r="Z1123" s="9">
        <f t="shared" si="617"/>
        <v>0</v>
      </c>
      <c r="AA1123" s="8">
        <f t="shared" si="618"/>
        <v>10058501.15</v>
      </c>
      <c r="AB1123" s="8">
        <f t="shared" si="619"/>
        <v>0</v>
      </c>
    </row>
    <row r="1124" spans="1:28" x14ac:dyDescent="0.3">
      <c r="A1124" s="64"/>
      <c r="B1124" s="8"/>
      <c r="C1124" s="7" t="s">
        <v>924</v>
      </c>
      <c r="D1124" s="24" t="s">
        <v>1072</v>
      </c>
      <c r="E1124" s="9">
        <v>6334787.6200000001</v>
      </c>
      <c r="F1124" s="8">
        <v>6334787.6200000001</v>
      </c>
      <c r="G1124" s="8"/>
      <c r="H1124" s="9">
        <f>+F1124+G1124</f>
        <v>6334787.6200000001</v>
      </c>
      <c r="I1124" s="11"/>
      <c r="J1124" s="11"/>
      <c r="K1124" s="11"/>
      <c r="L1124" s="9"/>
      <c r="M1124" s="9">
        <f>+H1124+L1124</f>
        <v>6334787.6200000001</v>
      </c>
      <c r="N1124" s="9">
        <v>0</v>
      </c>
      <c r="O1124" s="8"/>
      <c r="P1124" s="9">
        <f>+N1124+O1124</f>
        <v>0</v>
      </c>
      <c r="Q1124" s="8"/>
      <c r="R1124" s="8"/>
      <c r="S1124" s="8"/>
      <c r="T1124" s="9"/>
      <c r="U1124" s="9">
        <f>+P1124+T1124</f>
        <v>0</v>
      </c>
      <c r="V1124" s="9"/>
      <c r="W1124" s="9"/>
      <c r="X1124" s="9">
        <f t="shared" si="616"/>
        <v>6334787.6200000001</v>
      </c>
      <c r="Y1124" s="8"/>
      <c r="Z1124" s="9">
        <f t="shared" si="617"/>
        <v>0</v>
      </c>
      <c r="AA1124" s="8">
        <f t="shared" si="618"/>
        <v>6334787.6200000001</v>
      </c>
      <c r="AB1124" s="8">
        <f t="shared" si="619"/>
        <v>0</v>
      </c>
    </row>
    <row r="1125" spans="1:28" x14ac:dyDescent="0.3">
      <c r="A1125" s="64"/>
      <c r="B1125" s="8"/>
      <c r="C1125" s="7" t="s">
        <v>930</v>
      </c>
      <c r="D1125" s="24" t="s">
        <v>1072</v>
      </c>
      <c r="E1125" s="9">
        <v>4346054.18</v>
      </c>
      <c r="F1125" s="8">
        <v>4346054.18</v>
      </c>
      <c r="G1125" s="8"/>
      <c r="H1125" s="9">
        <f>+F1125+G1125</f>
        <v>4346054.18</v>
      </c>
      <c r="I1125" s="11"/>
      <c r="J1125" s="11"/>
      <c r="K1125" s="11"/>
      <c r="L1125" s="9"/>
      <c r="M1125" s="9">
        <f>+H1125+L1125</f>
        <v>4346054.18</v>
      </c>
      <c r="N1125" s="9">
        <v>0</v>
      </c>
      <c r="O1125" s="8"/>
      <c r="P1125" s="9">
        <f>+N1125+O1125</f>
        <v>0</v>
      </c>
      <c r="Q1125" s="8"/>
      <c r="R1125" s="8"/>
      <c r="S1125" s="8"/>
      <c r="T1125" s="9"/>
      <c r="U1125" s="9">
        <f>+P1125+T1125</f>
        <v>0</v>
      </c>
      <c r="V1125" s="9"/>
      <c r="W1125" s="9"/>
      <c r="X1125" s="9">
        <f t="shared" si="616"/>
        <v>4346054.18</v>
      </c>
      <c r="Y1125" s="8"/>
      <c r="Z1125" s="9">
        <f t="shared" si="617"/>
        <v>0</v>
      </c>
      <c r="AA1125" s="8">
        <f t="shared" si="618"/>
        <v>4346054.18</v>
      </c>
      <c r="AB1125" s="8">
        <f t="shared" si="619"/>
        <v>0</v>
      </c>
    </row>
    <row r="1126" spans="1:28" x14ac:dyDescent="0.3">
      <c r="A1126" s="64"/>
      <c r="B1126" s="8"/>
      <c r="C1126" s="7" t="s">
        <v>1079</v>
      </c>
      <c r="D1126" s="24" t="s">
        <v>1072</v>
      </c>
      <c r="E1126" s="9">
        <f>5439634.64+1317652.44</f>
        <v>6757287.0800000001</v>
      </c>
      <c r="F1126" s="8">
        <f>5439634.64+1317652.44</f>
        <v>6757287.0800000001</v>
      </c>
      <c r="G1126" s="8"/>
      <c r="H1126" s="9">
        <f>+F1126+G1126</f>
        <v>6757287.0800000001</v>
      </c>
      <c r="I1126" s="11"/>
      <c r="J1126" s="11"/>
      <c r="K1126" s="11"/>
      <c r="L1126" s="9"/>
      <c r="M1126" s="9">
        <f>+H1126+L1126</f>
        <v>6757287.0800000001</v>
      </c>
      <c r="N1126" s="9">
        <v>0</v>
      </c>
      <c r="O1126" s="8"/>
      <c r="P1126" s="9">
        <f>+N1126+O1126</f>
        <v>0</v>
      </c>
      <c r="Q1126" s="8"/>
      <c r="R1126" s="8"/>
      <c r="S1126" s="8"/>
      <c r="T1126" s="9"/>
      <c r="U1126" s="9">
        <f>+P1126+T1126</f>
        <v>0</v>
      </c>
      <c r="V1126" s="9"/>
      <c r="W1126" s="9"/>
      <c r="X1126" s="9">
        <f t="shared" si="616"/>
        <v>6757287.0800000001</v>
      </c>
      <c r="Y1126" s="8"/>
      <c r="Z1126" s="9">
        <f t="shared" si="617"/>
        <v>0</v>
      </c>
      <c r="AA1126" s="8">
        <f t="shared" si="618"/>
        <v>6757287.0800000001</v>
      </c>
      <c r="AB1126" s="8">
        <f t="shared" si="619"/>
        <v>0</v>
      </c>
    </row>
    <row r="1127" spans="1:28" x14ac:dyDescent="0.3">
      <c r="A1127" s="64"/>
      <c r="B1127" s="8"/>
      <c r="C1127" s="7" t="s">
        <v>1176</v>
      </c>
      <c r="D1127" s="24" t="s">
        <v>1126</v>
      </c>
      <c r="E1127" s="9">
        <f>6638314.95+1317990.07</f>
        <v>7956305.0200000005</v>
      </c>
      <c r="F1127" s="8">
        <f>6638314.95+1317990.07</f>
        <v>7956305.0200000005</v>
      </c>
      <c r="G1127" s="8"/>
      <c r="H1127" s="9">
        <f>+F1127+G1127</f>
        <v>7956305.0200000005</v>
      </c>
      <c r="I1127" s="11"/>
      <c r="J1127" s="11"/>
      <c r="K1127" s="11"/>
      <c r="L1127" s="9"/>
      <c r="M1127" s="9">
        <f>+H1127+L1127</f>
        <v>7956305.0200000005</v>
      </c>
      <c r="N1127" s="9">
        <v>0</v>
      </c>
      <c r="O1127" s="8"/>
      <c r="P1127" s="9">
        <f>+N1127+O1127</f>
        <v>0</v>
      </c>
      <c r="Q1127" s="8"/>
      <c r="R1127" s="8"/>
      <c r="S1127" s="8"/>
      <c r="T1127" s="9"/>
      <c r="U1127" s="9">
        <f>+P1127+T1127</f>
        <v>0</v>
      </c>
      <c r="V1127" s="9"/>
      <c r="W1127" s="9"/>
      <c r="X1127" s="9">
        <f>+H1127+P1127</f>
        <v>7956305.0200000005</v>
      </c>
      <c r="Y1127" s="8"/>
      <c r="Z1127" s="9">
        <f>+E1127-X1127</f>
        <v>0</v>
      </c>
      <c r="AA1127" s="8">
        <f>+M1127+U1127</f>
        <v>7956305.0200000005</v>
      </c>
      <c r="AB1127" s="8">
        <f>+E1127-AA1127</f>
        <v>0</v>
      </c>
    </row>
    <row r="1128" spans="1:28" x14ac:dyDescent="0.3">
      <c r="A1128" s="64"/>
      <c r="B1128" s="8"/>
      <c r="C1128" s="14" t="s">
        <v>178</v>
      </c>
      <c r="D1128" s="14" t="s">
        <v>111</v>
      </c>
      <c r="E1128" s="9">
        <v>1873280</v>
      </c>
      <c r="F1128" s="11">
        <v>1873280</v>
      </c>
      <c r="G1128" s="8"/>
      <c r="H1128" s="9">
        <f t="shared" si="610"/>
        <v>1873280</v>
      </c>
      <c r="I1128" s="8"/>
      <c r="J1128" s="8"/>
      <c r="K1128" s="8"/>
      <c r="L1128" s="9"/>
      <c r="M1128" s="9">
        <f t="shared" si="611"/>
        <v>1873280</v>
      </c>
      <c r="N1128" s="9">
        <v>0</v>
      </c>
      <c r="O1128" s="8"/>
      <c r="P1128" s="9">
        <f t="shared" si="612"/>
        <v>0</v>
      </c>
      <c r="Q1128" s="8"/>
      <c r="R1128" s="8"/>
      <c r="S1128" s="8"/>
      <c r="T1128" s="9"/>
      <c r="U1128" s="9">
        <f t="shared" si="613"/>
        <v>0</v>
      </c>
      <c r="V1128" s="9">
        <f t="shared" si="614"/>
        <v>1873280</v>
      </c>
      <c r="W1128" s="9">
        <f t="shared" si="615"/>
        <v>0</v>
      </c>
      <c r="X1128" s="9">
        <f t="shared" si="616"/>
        <v>1873280</v>
      </c>
      <c r="Y1128" s="8"/>
      <c r="Z1128" s="9">
        <f t="shared" si="617"/>
        <v>0</v>
      </c>
      <c r="AA1128" s="8">
        <f t="shared" si="618"/>
        <v>1873280</v>
      </c>
      <c r="AB1128" s="8">
        <f t="shared" si="619"/>
        <v>0</v>
      </c>
    </row>
    <row r="1129" spans="1:28" x14ac:dyDescent="0.3">
      <c r="A1129" s="64"/>
      <c r="B1129" s="8"/>
      <c r="C1129" s="8"/>
      <c r="D1129" s="8"/>
      <c r="E1129" s="17" t="s">
        <v>29</v>
      </c>
      <c r="F1129" s="17" t="s">
        <v>29</v>
      </c>
      <c r="G1129" s="17" t="s">
        <v>29</v>
      </c>
      <c r="H1129" s="17" t="s">
        <v>29</v>
      </c>
      <c r="I1129" s="17" t="s">
        <v>29</v>
      </c>
      <c r="J1129" s="17" t="s">
        <v>29</v>
      </c>
      <c r="K1129" s="17" t="s">
        <v>29</v>
      </c>
      <c r="L1129" s="17" t="s">
        <v>29</v>
      </c>
      <c r="M1129" s="17" t="s">
        <v>29</v>
      </c>
      <c r="N1129" s="17" t="s">
        <v>29</v>
      </c>
      <c r="O1129" s="17" t="s">
        <v>29</v>
      </c>
      <c r="P1129" s="17" t="s">
        <v>29</v>
      </c>
      <c r="Q1129" s="17" t="s">
        <v>29</v>
      </c>
      <c r="R1129" s="17" t="s">
        <v>29</v>
      </c>
      <c r="S1129" s="17" t="s">
        <v>29</v>
      </c>
      <c r="T1129" s="17" t="s">
        <v>29</v>
      </c>
      <c r="U1129" s="17" t="s">
        <v>29</v>
      </c>
      <c r="V1129" s="17" t="s">
        <v>29</v>
      </c>
      <c r="W1129" s="17" t="s">
        <v>29</v>
      </c>
      <c r="X1129" s="17" t="s">
        <v>29</v>
      </c>
      <c r="Y1129" s="17" t="s">
        <v>29</v>
      </c>
      <c r="Z1129" s="17" t="s">
        <v>29</v>
      </c>
      <c r="AA1129" s="17" t="s">
        <v>29</v>
      </c>
      <c r="AB1129" s="17" t="s">
        <v>29</v>
      </c>
    </row>
    <row r="1130" spans="1:28" x14ac:dyDescent="0.3">
      <c r="A1130" s="64"/>
      <c r="B1130" s="8"/>
      <c r="C1130" s="8" t="s">
        <v>375</v>
      </c>
      <c r="D1130" s="8"/>
      <c r="E1130" s="9">
        <f t="shared" ref="E1130:AB1130" si="620">SUM(E1110:E1128)</f>
        <v>139723943.81999999</v>
      </c>
      <c r="F1130" s="9">
        <f t="shared" si="620"/>
        <v>135997807.97999999</v>
      </c>
      <c r="G1130" s="9">
        <f t="shared" si="620"/>
        <v>0</v>
      </c>
      <c r="H1130" s="9">
        <f t="shared" si="620"/>
        <v>135997807.97999999</v>
      </c>
      <c r="I1130" s="9">
        <f t="shared" si="620"/>
        <v>0</v>
      </c>
      <c r="J1130" s="9">
        <f t="shared" si="620"/>
        <v>0</v>
      </c>
      <c r="K1130" s="9">
        <f t="shared" si="620"/>
        <v>0</v>
      </c>
      <c r="L1130" s="9">
        <f t="shared" si="620"/>
        <v>0</v>
      </c>
      <c r="M1130" s="9">
        <f t="shared" si="620"/>
        <v>135997807.97999999</v>
      </c>
      <c r="N1130" s="9">
        <f t="shared" si="620"/>
        <v>3726135.84</v>
      </c>
      <c r="O1130" s="9">
        <f t="shared" si="620"/>
        <v>0</v>
      </c>
      <c r="P1130" s="9">
        <f t="shared" si="620"/>
        <v>3726135.84</v>
      </c>
      <c r="Q1130" s="9">
        <f t="shared" si="620"/>
        <v>0</v>
      </c>
      <c r="R1130" s="9">
        <f t="shared" si="620"/>
        <v>0</v>
      </c>
      <c r="S1130" s="9">
        <f t="shared" si="620"/>
        <v>0</v>
      </c>
      <c r="T1130" s="9">
        <f t="shared" si="620"/>
        <v>0</v>
      </c>
      <c r="U1130" s="9">
        <f t="shared" si="620"/>
        <v>3726135.84</v>
      </c>
      <c r="V1130" s="9">
        <f t="shared" si="620"/>
        <v>114329509.92</v>
      </c>
      <c r="W1130" s="9">
        <f t="shared" si="620"/>
        <v>0</v>
      </c>
      <c r="X1130" s="9">
        <f t="shared" si="620"/>
        <v>139723943.81999999</v>
      </c>
      <c r="Y1130" s="9">
        <f t="shared" si="620"/>
        <v>0</v>
      </c>
      <c r="Z1130" s="9">
        <f t="shared" si="620"/>
        <v>0</v>
      </c>
      <c r="AA1130" s="9">
        <f t="shared" si="620"/>
        <v>139723943.81999999</v>
      </c>
      <c r="AB1130" s="9">
        <f t="shared" si="620"/>
        <v>0</v>
      </c>
    </row>
    <row r="1131" spans="1:28" x14ac:dyDescent="0.3">
      <c r="A1131" s="64"/>
      <c r="B1131" s="8"/>
      <c r="C1131" s="8"/>
      <c r="D1131" s="8"/>
      <c r="E1131" s="17" t="s">
        <v>29</v>
      </c>
      <c r="F1131" s="17" t="s">
        <v>29</v>
      </c>
      <c r="G1131" s="17" t="s">
        <v>29</v>
      </c>
      <c r="H1131" s="17" t="s">
        <v>29</v>
      </c>
      <c r="I1131" s="17" t="s">
        <v>29</v>
      </c>
      <c r="J1131" s="17" t="s">
        <v>29</v>
      </c>
      <c r="K1131" s="17" t="s">
        <v>29</v>
      </c>
      <c r="L1131" s="17" t="s">
        <v>29</v>
      </c>
      <c r="M1131" s="17" t="s">
        <v>29</v>
      </c>
      <c r="N1131" s="17" t="s">
        <v>29</v>
      </c>
      <c r="O1131" s="17" t="s">
        <v>29</v>
      </c>
      <c r="P1131" s="17" t="s">
        <v>29</v>
      </c>
      <c r="Q1131" s="17" t="s">
        <v>29</v>
      </c>
      <c r="R1131" s="17" t="s">
        <v>29</v>
      </c>
      <c r="S1131" s="17" t="s">
        <v>29</v>
      </c>
      <c r="T1131" s="17" t="s">
        <v>29</v>
      </c>
      <c r="U1131" s="17" t="s">
        <v>29</v>
      </c>
      <c r="V1131" s="17" t="s">
        <v>29</v>
      </c>
      <c r="W1131" s="17" t="s">
        <v>29</v>
      </c>
      <c r="X1131" s="17" t="s">
        <v>29</v>
      </c>
      <c r="Y1131" s="17" t="s">
        <v>29</v>
      </c>
      <c r="Z1131" s="17" t="s">
        <v>29</v>
      </c>
      <c r="AA1131" s="17" t="s">
        <v>29</v>
      </c>
      <c r="AB1131" s="17" t="s">
        <v>29</v>
      </c>
    </row>
    <row r="1132" spans="1:28" x14ac:dyDescent="0.3">
      <c r="A1132" s="63" t="s">
        <v>990</v>
      </c>
      <c r="B1132" s="7" t="s">
        <v>271</v>
      </c>
      <c r="C1132" s="8"/>
      <c r="D1132" s="8"/>
      <c r="E1132" s="8"/>
      <c r="F1132" s="8"/>
      <c r="G1132" s="8"/>
      <c r="H1132" s="8"/>
      <c r="I1132" s="8"/>
      <c r="J1132" s="8"/>
      <c r="K1132" s="8"/>
      <c r="L1132" s="8"/>
      <c r="M1132" s="8"/>
      <c r="N1132" s="8"/>
      <c r="O1132" s="8"/>
      <c r="P1132" s="8"/>
      <c r="Q1132" s="8"/>
      <c r="R1132" s="8"/>
      <c r="S1132" s="8"/>
      <c r="T1132" s="8"/>
      <c r="U1132" s="8"/>
      <c r="V1132" s="8"/>
      <c r="W1132" s="8"/>
      <c r="X1132" s="8"/>
      <c r="Y1132" s="8"/>
      <c r="Z1132" s="8"/>
    </row>
    <row r="1133" spans="1:28" x14ac:dyDescent="0.3">
      <c r="A1133" s="64"/>
      <c r="B1133" s="8"/>
      <c r="C1133" s="7" t="s">
        <v>272</v>
      </c>
      <c r="D1133" s="15" t="s">
        <v>273</v>
      </c>
      <c r="E1133" s="9">
        <v>14602828.66</v>
      </c>
      <c r="F1133" s="9">
        <v>13013946.640000001</v>
      </c>
      <c r="G1133" s="8"/>
      <c r="H1133" s="9">
        <f t="shared" ref="H1133:H1142" si="621">F1133+G1133</f>
        <v>13013946.640000001</v>
      </c>
      <c r="I1133" s="8"/>
      <c r="J1133" s="8"/>
      <c r="K1133" s="8"/>
      <c r="L1133" s="9"/>
      <c r="M1133" s="9">
        <f t="shared" ref="M1133:M1142" si="622">H1133+L1133</f>
        <v>13013946.640000001</v>
      </c>
      <c r="N1133" s="9">
        <v>1588882.02</v>
      </c>
      <c r="O1133" s="8"/>
      <c r="P1133" s="9">
        <f t="shared" ref="P1133:P1142" si="623">N1133+O1133</f>
        <v>1588882.02</v>
      </c>
      <c r="Q1133" s="9"/>
      <c r="R1133" s="8"/>
      <c r="S1133" s="9"/>
      <c r="T1133" s="9"/>
      <c r="U1133" s="9">
        <f t="shared" ref="U1133:U1142" si="624">P1133+T1133</f>
        <v>1588882.02</v>
      </c>
      <c r="V1133" s="9">
        <f t="shared" ref="V1133:V1142" si="625">P1133+H1133</f>
        <v>14602828.66</v>
      </c>
      <c r="W1133" s="9">
        <f t="shared" ref="W1133:W1142" si="626">E1133-V1133</f>
        <v>0</v>
      </c>
      <c r="X1133" s="9">
        <f t="shared" ref="X1133:X1142" si="627">+H1133+P1133</f>
        <v>14602828.66</v>
      </c>
      <c r="Y1133" s="8"/>
      <c r="Z1133" s="9">
        <f t="shared" ref="Z1133:Z1142" si="628">+E1133-X1133</f>
        <v>0</v>
      </c>
      <c r="AA1133" s="8">
        <f t="shared" ref="AA1133:AA1142" si="629">+M1133+U1133</f>
        <v>14602828.66</v>
      </c>
      <c r="AB1133" s="8">
        <f t="shared" ref="AB1133:AB1142" si="630">+E1133-AA1133</f>
        <v>0</v>
      </c>
    </row>
    <row r="1134" spans="1:28" x14ac:dyDescent="0.3">
      <c r="A1134" s="64"/>
      <c r="B1134" s="8"/>
      <c r="C1134" s="7" t="s">
        <v>172</v>
      </c>
      <c r="D1134" s="15" t="s">
        <v>166</v>
      </c>
      <c r="E1134" s="9">
        <v>279332</v>
      </c>
      <c r="F1134" s="9">
        <v>279332</v>
      </c>
      <c r="G1134" s="8"/>
      <c r="H1134" s="9">
        <f t="shared" si="621"/>
        <v>279332</v>
      </c>
      <c r="I1134" s="8"/>
      <c r="J1134" s="8"/>
      <c r="K1134" s="8"/>
      <c r="L1134" s="9"/>
      <c r="M1134" s="9">
        <f t="shared" si="622"/>
        <v>279332</v>
      </c>
      <c r="N1134" s="9">
        <v>0</v>
      </c>
      <c r="O1134" s="8"/>
      <c r="P1134" s="9">
        <f t="shared" si="623"/>
        <v>0</v>
      </c>
      <c r="Q1134" s="8"/>
      <c r="R1134" s="8"/>
      <c r="S1134" s="8"/>
      <c r="T1134" s="9"/>
      <c r="U1134" s="9">
        <f t="shared" si="624"/>
        <v>0</v>
      </c>
      <c r="V1134" s="9">
        <f t="shared" si="625"/>
        <v>279332</v>
      </c>
      <c r="W1134" s="9">
        <f t="shared" si="626"/>
        <v>0</v>
      </c>
      <c r="X1134" s="9">
        <f t="shared" si="627"/>
        <v>279332</v>
      </c>
      <c r="Y1134" s="8"/>
      <c r="Z1134" s="9">
        <f t="shared" si="628"/>
        <v>0</v>
      </c>
      <c r="AA1134" s="8">
        <f t="shared" si="629"/>
        <v>279332</v>
      </c>
      <c r="AB1134" s="8">
        <f t="shared" si="630"/>
        <v>0</v>
      </c>
    </row>
    <row r="1135" spans="1:28" x14ac:dyDescent="0.3">
      <c r="A1135" s="64"/>
      <c r="B1135" s="8"/>
      <c r="C1135" s="7" t="s">
        <v>57</v>
      </c>
      <c r="D1135" s="15" t="s">
        <v>274</v>
      </c>
      <c r="E1135" s="9">
        <f>2236202.05+932038+1208700</f>
        <v>4376940.05</v>
      </c>
      <c r="F1135" s="9">
        <v>3591924.09</v>
      </c>
      <c r="G1135" s="8"/>
      <c r="H1135" s="9">
        <f t="shared" si="621"/>
        <v>3591924.09</v>
      </c>
      <c r="I1135" s="8"/>
      <c r="J1135" s="8"/>
      <c r="K1135" s="8"/>
      <c r="L1135" s="9"/>
      <c r="M1135" s="9">
        <f t="shared" si="622"/>
        <v>3591924.09</v>
      </c>
      <c r="N1135" s="9">
        <v>785015.96</v>
      </c>
      <c r="O1135" s="8"/>
      <c r="P1135" s="9">
        <f t="shared" si="623"/>
        <v>785015.96</v>
      </c>
      <c r="Q1135" s="9"/>
      <c r="R1135" s="8"/>
      <c r="S1135" s="9"/>
      <c r="T1135" s="9"/>
      <c r="U1135" s="9">
        <f t="shared" si="624"/>
        <v>785015.96</v>
      </c>
      <c r="V1135" s="9">
        <f t="shared" si="625"/>
        <v>4376940.05</v>
      </c>
      <c r="W1135" s="9">
        <f t="shared" si="626"/>
        <v>0</v>
      </c>
      <c r="X1135" s="9">
        <f t="shared" si="627"/>
        <v>4376940.05</v>
      </c>
      <c r="Y1135" s="8"/>
      <c r="Z1135" s="9">
        <f t="shared" si="628"/>
        <v>0</v>
      </c>
      <c r="AA1135" s="8">
        <f t="shared" si="629"/>
        <v>4376940.05</v>
      </c>
      <c r="AB1135" s="8">
        <f t="shared" si="630"/>
        <v>0</v>
      </c>
    </row>
    <row r="1136" spans="1:28" x14ac:dyDescent="0.3">
      <c r="A1136" s="64"/>
      <c r="B1136" s="8"/>
      <c r="C1136" s="7" t="s">
        <v>275</v>
      </c>
      <c r="D1136" s="21" t="s">
        <v>68</v>
      </c>
      <c r="E1136" s="9">
        <v>1325503</v>
      </c>
      <c r="F1136" s="9">
        <v>1325503</v>
      </c>
      <c r="G1136" s="8"/>
      <c r="H1136" s="9">
        <f t="shared" si="621"/>
        <v>1325503</v>
      </c>
      <c r="I1136" s="8"/>
      <c r="J1136" s="8"/>
      <c r="K1136" s="8"/>
      <c r="L1136" s="9"/>
      <c r="M1136" s="9">
        <f t="shared" si="622"/>
        <v>1325503</v>
      </c>
      <c r="N1136" s="9">
        <v>0</v>
      </c>
      <c r="O1136" s="8"/>
      <c r="P1136" s="9">
        <f t="shared" si="623"/>
        <v>0</v>
      </c>
      <c r="Q1136" s="8"/>
      <c r="R1136" s="8"/>
      <c r="S1136" s="8"/>
      <c r="T1136" s="9"/>
      <c r="U1136" s="9">
        <f t="shared" si="624"/>
        <v>0</v>
      </c>
      <c r="V1136" s="9">
        <f t="shared" si="625"/>
        <v>1325503</v>
      </c>
      <c r="W1136" s="9">
        <f t="shared" si="626"/>
        <v>0</v>
      </c>
      <c r="X1136" s="9">
        <f t="shared" si="627"/>
        <v>1325503</v>
      </c>
      <c r="Y1136" s="8"/>
      <c r="Z1136" s="9">
        <f t="shared" si="628"/>
        <v>0</v>
      </c>
      <c r="AA1136" s="8">
        <f t="shared" si="629"/>
        <v>1325503</v>
      </c>
      <c r="AB1136" s="8">
        <f t="shared" si="630"/>
        <v>0</v>
      </c>
    </row>
    <row r="1137" spans="1:28" x14ac:dyDescent="0.3">
      <c r="A1137" s="64"/>
      <c r="B1137" s="8"/>
      <c r="C1137" s="14" t="s">
        <v>276</v>
      </c>
      <c r="D1137" s="21" t="s">
        <v>68</v>
      </c>
      <c r="E1137" s="9">
        <v>303026.90000000002</v>
      </c>
      <c r="F1137" s="9">
        <v>0</v>
      </c>
      <c r="G1137" s="8"/>
      <c r="H1137" s="9">
        <f t="shared" si="621"/>
        <v>0</v>
      </c>
      <c r="I1137" s="8"/>
      <c r="J1137" s="8"/>
      <c r="K1137" s="8"/>
      <c r="L1137" s="9"/>
      <c r="M1137" s="9">
        <f t="shared" si="622"/>
        <v>0</v>
      </c>
      <c r="N1137" s="11">
        <v>303026.90000000002</v>
      </c>
      <c r="O1137" s="8"/>
      <c r="P1137" s="9">
        <f t="shared" si="623"/>
        <v>303026.90000000002</v>
      </c>
      <c r="Q1137" s="8"/>
      <c r="R1137" s="8"/>
      <c r="S1137" s="8"/>
      <c r="T1137" s="9"/>
      <c r="U1137" s="9">
        <f t="shared" si="624"/>
        <v>303026.90000000002</v>
      </c>
      <c r="V1137" s="9">
        <f t="shared" si="625"/>
        <v>303026.90000000002</v>
      </c>
      <c r="W1137" s="9">
        <f t="shared" si="626"/>
        <v>0</v>
      </c>
      <c r="X1137" s="9">
        <f t="shared" si="627"/>
        <v>303026.90000000002</v>
      </c>
      <c r="Y1137" s="8"/>
      <c r="Z1137" s="9">
        <f t="shared" si="628"/>
        <v>0</v>
      </c>
      <c r="AA1137" s="8">
        <f t="shared" si="629"/>
        <v>303026.90000000002</v>
      </c>
      <c r="AB1137" s="8">
        <f t="shared" si="630"/>
        <v>0</v>
      </c>
    </row>
    <row r="1138" spans="1:28" x14ac:dyDescent="0.3">
      <c r="A1138" s="64"/>
      <c r="B1138" s="8"/>
      <c r="C1138" s="7" t="s">
        <v>53</v>
      </c>
      <c r="D1138" s="15" t="s">
        <v>128</v>
      </c>
      <c r="E1138" s="9">
        <v>570941</v>
      </c>
      <c r="F1138" s="9">
        <v>0</v>
      </c>
      <c r="G1138" s="8"/>
      <c r="H1138" s="9">
        <f t="shared" si="621"/>
        <v>0</v>
      </c>
      <c r="I1138" s="8"/>
      <c r="J1138" s="8"/>
      <c r="K1138" s="8"/>
      <c r="L1138" s="9"/>
      <c r="M1138" s="9">
        <f t="shared" si="622"/>
        <v>0</v>
      </c>
      <c r="N1138" s="9">
        <v>570941</v>
      </c>
      <c r="O1138" s="8"/>
      <c r="P1138" s="9">
        <f t="shared" si="623"/>
        <v>570941</v>
      </c>
      <c r="Q1138" s="8"/>
      <c r="R1138" s="8"/>
      <c r="S1138" s="8"/>
      <c r="T1138" s="9"/>
      <c r="U1138" s="9">
        <f t="shared" si="624"/>
        <v>570941</v>
      </c>
      <c r="V1138" s="9">
        <f t="shared" si="625"/>
        <v>570941</v>
      </c>
      <c r="W1138" s="9">
        <f t="shared" si="626"/>
        <v>0</v>
      </c>
      <c r="X1138" s="9">
        <f t="shared" si="627"/>
        <v>570941</v>
      </c>
      <c r="Y1138" s="8"/>
      <c r="Z1138" s="9">
        <f t="shared" si="628"/>
        <v>0</v>
      </c>
      <c r="AA1138" s="8">
        <f t="shared" si="629"/>
        <v>570941</v>
      </c>
      <c r="AB1138" s="8">
        <f t="shared" si="630"/>
        <v>0</v>
      </c>
    </row>
    <row r="1139" spans="1:28" x14ac:dyDescent="0.3">
      <c r="A1139" s="64"/>
      <c r="B1139" s="8"/>
      <c r="C1139" s="7" t="s">
        <v>57</v>
      </c>
      <c r="D1139" s="15" t="s">
        <v>58</v>
      </c>
      <c r="E1139" s="9">
        <v>2416266</v>
      </c>
      <c r="F1139" s="9">
        <v>2416266</v>
      </c>
      <c r="G1139" s="8"/>
      <c r="H1139" s="9">
        <f t="shared" si="621"/>
        <v>2416266</v>
      </c>
      <c r="I1139" s="8"/>
      <c r="J1139" s="8"/>
      <c r="K1139" s="8"/>
      <c r="L1139" s="9"/>
      <c r="M1139" s="9">
        <f t="shared" si="622"/>
        <v>2416266</v>
      </c>
      <c r="N1139" s="9">
        <v>0</v>
      </c>
      <c r="O1139" s="8"/>
      <c r="P1139" s="9">
        <f t="shared" si="623"/>
        <v>0</v>
      </c>
      <c r="Q1139" s="8"/>
      <c r="R1139" s="8"/>
      <c r="S1139" s="8"/>
      <c r="T1139" s="9"/>
      <c r="U1139" s="9">
        <f t="shared" si="624"/>
        <v>0</v>
      </c>
      <c r="V1139" s="9">
        <f t="shared" si="625"/>
        <v>2416266</v>
      </c>
      <c r="W1139" s="9">
        <f t="shared" si="626"/>
        <v>0</v>
      </c>
      <c r="X1139" s="9">
        <f t="shared" si="627"/>
        <v>2416266</v>
      </c>
      <c r="Y1139" s="8"/>
      <c r="Z1139" s="9">
        <f t="shared" si="628"/>
        <v>0</v>
      </c>
      <c r="AA1139" s="8">
        <f t="shared" si="629"/>
        <v>2416266</v>
      </c>
      <c r="AB1139" s="8">
        <f t="shared" si="630"/>
        <v>0</v>
      </c>
    </row>
    <row r="1140" spans="1:28" x14ac:dyDescent="0.3">
      <c r="A1140" s="64"/>
      <c r="B1140" s="8"/>
      <c r="C1140" s="7" t="s">
        <v>57</v>
      </c>
      <c r="D1140" s="15" t="s">
        <v>60</v>
      </c>
      <c r="E1140" s="9">
        <v>3641313</v>
      </c>
      <c r="F1140" s="11">
        <v>3641313</v>
      </c>
      <c r="G1140" s="8"/>
      <c r="H1140" s="9">
        <f t="shared" si="621"/>
        <v>3641313</v>
      </c>
      <c r="I1140" s="8"/>
      <c r="J1140" s="8"/>
      <c r="K1140" s="8"/>
      <c r="L1140" s="9"/>
      <c r="M1140" s="9">
        <f t="shared" si="622"/>
        <v>3641313</v>
      </c>
      <c r="N1140" s="9">
        <v>0</v>
      </c>
      <c r="O1140" s="8"/>
      <c r="P1140" s="9">
        <f t="shared" si="623"/>
        <v>0</v>
      </c>
      <c r="Q1140" s="8"/>
      <c r="R1140" s="8"/>
      <c r="S1140" s="8"/>
      <c r="T1140" s="9"/>
      <c r="U1140" s="9">
        <f t="shared" si="624"/>
        <v>0</v>
      </c>
      <c r="V1140" s="9">
        <f t="shared" si="625"/>
        <v>3641313</v>
      </c>
      <c r="W1140" s="9">
        <f t="shared" si="626"/>
        <v>0</v>
      </c>
      <c r="X1140" s="9">
        <f t="shared" si="627"/>
        <v>3641313</v>
      </c>
      <c r="Y1140" s="8"/>
      <c r="Z1140" s="9">
        <f t="shared" si="628"/>
        <v>0</v>
      </c>
      <c r="AA1140" s="8">
        <f t="shared" si="629"/>
        <v>3641313</v>
      </c>
      <c r="AB1140" s="8">
        <f t="shared" si="630"/>
        <v>0</v>
      </c>
    </row>
    <row r="1141" spans="1:28" x14ac:dyDescent="0.3">
      <c r="A1141" s="64"/>
      <c r="B1141" s="8"/>
      <c r="C1141" s="14" t="s">
        <v>277</v>
      </c>
      <c r="D1141" s="21" t="s">
        <v>73</v>
      </c>
      <c r="E1141" s="9">
        <f>960000+539000</f>
        <v>1499000</v>
      </c>
      <c r="F1141" s="11">
        <f>960000+539000</f>
        <v>1499000</v>
      </c>
      <c r="G1141" s="8"/>
      <c r="H1141" s="9">
        <f t="shared" si="621"/>
        <v>1499000</v>
      </c>
      <c r="I1141" s="8"/>
      <c r="J1141" s="8"/>
      <c r="K1141" s="8"/>
      <c r="L1141" s="9"/>
      <c r="M1141" s="9">
        <f t="shared" si="622"/>
        <v>1499000</v>
      </c>
      <c r="N1141" s="11">
        <v>0</v>
      </c>
      <c r="O1141" s="8"/>
      <c r="P1141" s="9">
        <f t="shared" si="623"/>
        <v>0</v>
      </c>
      <c r="Q1141" s="8"/>
      <c r="R1141" s="8"/>
      <c r="S1141" s="8"/>
      <c r="T1141" s="9"/>
      <c r="U1141" s="9">
        <f t="shared" si="624"/>
        <v>0</v>
      </c>
      <c r="V1141" s="9">
        <f t="shared" si="625"/>
        <v>1499000</v>
      </c>
      <c r="W1141" s="9">
        <f t="shared" si="626"/>
        <v>0</v>
      </c>
      <c r="X1141" s="9">
        <f t="shared" si="627"/>
        <v>1499000</v>
      </c>
      <c r="Y1141" s="8"/>
      <c r="Z1141" s="9">
        <f t="shared" si="628"/>
        <v>0</v>
      </c>
      <c r="AA1141" s="8">
        <f t="shared" si="629"/>
        <v>1499000</v>
      </c>
      <c r="AB1141" s="8">
        <f t="shared" si="630"/>
        <v>0</v>
      </c>
    </row>
    <row r="1142" spans="1:28" x14ac:dyDescent="0.3">
      <c r="A1142" s="64"/>
      <c r="B1142" s="8"/>
      <c r="C1142" s="7" t="s">
        <v>57</v>
      </c>
      <c r="D1142" s="24" t="s">
        <v>61</v>
      </c>
      <c r="E1142" s="9">
        <f>768283.92+90390.74</f>
        <v>858674.66</v>
      </c>
      <c r="F1142" s="11">
        <v>768283.92</v>
      </c>
      <c r="G1142" s="8"/>
      <c r="H1142" s="9">
        <f t="shared" si="621"/>
        <v>768283.92</v>
      </c>
      <c r="I1142" s="8">
        <v>768283.92</v>
      </c>
      <c r="J1142" s="8">
        <v>768283.92</v>
      </c>
      <c r="K1142" s="8"/>
      <c r="L1142" s="9"/>
      <c r="M1142" s="9">
        <f t="shared" si="622"/>
        <v>768283.92</v>
      </c>
      <c r="N1142" s="11">
        <v>0</v>
      </c>
      <c r="O1142" s="8"/>
      <c r="P1142" s="9">
        <f t="shared" si="623"/>
        <v>0</v>
      </c>
      <c r="Q1142" s="8"/>
      <c r="R1142" s="8"/>
      <c r="S1142" s="8">
        <v>90390.74</v>
      </c>
      <c r="T1142" s="9">
        <v>90390.74</v>
      </c>
      <c r="U1142" s="9">
        <f t="shared" si="624"/>
        <v>90390.74</v>
      </c>
      <c r="V1142" s="9">
        <f t="shared" si="625"/>
        <v>768283.92</v>
      </c>
      <c r="W1142" s="9">
        <f t="shared" si="626"/>
        <v>90390.739999999991</v>
      </c>
      <c r="X1142" s="9">
        <f t="shared" si="627"/>
        <v>768283.92</v>
      </c>
      <c r="Y1142" s="8"/>
      <c r="Z1142" s="9">
        <f t="shared" si="628"/>
        <v>90390.739999999991</v>
      </c>
      <c r="AA1142" s="8">
        <f t="shared" si="629"/>
        <v>858674.66</v>
      </c>
      <c r="AB1142" s="8">
        <f t="shared" si="630"/>
        <v>0</v>
      </c>
    </row>
    <row r="1143" spans="1:28" x14ac:dyDescent="0.3">
      <c r="A1143" s="64"/>
      <c r="B1143" s="8"/>
      <c r="C1143" s="8"/>
      <c r="D1143" s="8"/>
      <c r="E1143" s="17" t="s">
        <v>29</v>
      </c>
      <c r="F1143" s="17" t="s">
        <v>29</v>
      </c>
      <c r="G1143" s="17" t="s">
        <v>29</v>
      </c>
      <c r="H1143" s="17" t="s">
        <v>29</v>
      </c>
      <c r="I1143" s="17" t="s">
        <v>29</v>
      </c>
      <c r="J1143" s="17" t="s">
        <v>29</v>
      </c>
      <c r="K1143" s="17" t="s">
        <v>29</v>
      </c>
      <c r="L1143" s="17" t="s">
        <v>29</v>
      </c>
      <c r="M1143" s="17" t="s">
        <v>29</v>
      </c>
      <c r="N1143" s="17" t="s">
        <v>29</v>
      </c>
      <c r="O1143" s="17" t="s">
        <v>29</v>
      </c>
      <c r="P1143" s="17" t="s">
        <v>29</v>
      </c>
      <c r="Q1143" s="17" t="s">
        <v>29</v>
      </c>
      <c r="R1143" s="17" t="s">
        <v>29</v>
      </c>
      <c r="S1143" s="17" t="s">
        <v>29</v>
      </c>
      <c r="T1143" s="17" t="s">
        <v>29</v>
      </c>
      <c r="U1143" s="17" t="s">
        <v>29</v>
      </c>
      <c r="V1143" s="17" t="s">
        <v>29</v>
      </c>
      <c r="W1143" s="17" t="s">
        <v>29</v>
      </c>
      <c r="X1143" s="17" t="s">
        <v>29</v>
      </c>
      <c r="Y1143" s="17" t="s">
        <v>29</v>
      </c>
      <c r="Z1143" s="17" t="s">
        <v>29</v>
      </c>
      <c r="AA1143" s="17" t="s">
        <v>29</v>
      </c>
      <c r="AB1143" s="17" t="s">
        <v>29</v>
      </c>
    </row>
    <row r="1144" spans="1:28" x14ac:dyDescent="0.3">
      <c r="A1144" s="64"/>
      <c r="B1144" s="8"/>
      <c r="C1144" s="8"/>
      <c r="D1144" s="8"/>
      <c r="E1144" s="9">
        <f t="shared" ref="E1144:AB1144" si="631">SUM(E1133:E1142)</f>
        <v>29873825.27</v>
      </c>
      <c r="F1144" s="9">
        <f t="shared" si="631"/>
        <v>26535568.650000002</v>
      </c>
      <c r="G1144" s="9">
        <f t="shared" si="631"/>
        <v>0</v>
      </c>
      <c r="H1144" s="9">
        <f t="shared" si="631"/>
        <v>26535568.650000002</v>
      </c>
      <c r="I1144" s="9">
        <f t="shared" si="631"/>
        <v>768283.92</v>
      </c>
      <c r="J1144" s="9">
        <f t="shared" si="631"/>
        <v>768283.92</v>
      </c>
      <c r="K1144" s="9">
        <f t="shared" si="631"/>
        <v>0</v>
      </c>
      <c r="L1144" s="9">
        <f t="shared" si="631"/>
        <v>0</v>
      </c>
      <c r="M1144" s="9">
        <f t="shared" si="631"/>
        <v>26535568.650000002</v>
      </c>
      <c r="N1144" s="9">
        <f t="shared" si="631"/>
        <v>3247865.88</v>
      </c>
      <c r="O1144" s="9">
        <f t="shared" si="631"/>
        <v>0</v>
      </c>
      <c r="P1144" s="9">
        <f t="shared" si="631"/>
        <v>3247865.88</v>
      </c>
      <c r="Q1144" s="9">
        <f t="shared" si="631"/>
        <v>0</v>
      </c>
      <c r="R1144" s="9">
        <f t="shared" si="631"/>
        <v>0</v>
      </c>
      <c r="S1144" s="9">
        <f t="shared" si="631"/>
        <v>90390.74</v>
      </c>
      <c r="T1144" s="9">
        <f t="shared" si="631"/>
        <v>90390.74</v>
      </c>
      <c r="U1144" s="9">
        <f t="shared" si="631"/>
        <v>3338256.62</v>
      </c>
      <c r="V1144" s="9">
        <f t="shared" si="631"/>
        <v>29783434.530000001</v>
      </c>
      <c r="W1144" s="9">
        <f t="shared" si="631"/>
        <v>90390.739999999991</v>
      </c>
      <c r="X1144" s="9">
        <f t="shared" si="631"/>
        <v>29783434.530000001</v>
      </c>
      <c r="Y1144" s="9">
        <f t="shared" si="631"/>
        <v>0</v>
      </c>
      <c r="Z1144" s="9">
        <f t="shared" si="631"/>
        <v>90390.739999999991</v>
      </c>
      <c r="AA1144" s="9">
        <f t="shared" si="631"/>
        <v>29873825.27</v>
      </c>
      <c r="AB1144" s="9">
        <f t="shared" si="631"/>
        <v>0</v>
      </c>
    </row>
    <row r="1145" spans="1:28" x14ac:dyDescent="0.3">
      <c r="A1145" s="64"/>
      <c r="B1145" s="8"/>
      <c r="C1145" s="8"/>
      <c r="D1145" s="8"/>
      <c r="E1145" s="17" t="s">
        <v>29</v>
      </c>
      <c r="F1145" s="17" t="s">
        <v>29</v>
      </c>
      <c r="G1145" s="17" t="s">
        <v>29</v>
      </c>
      <c r="H1145" s="17" t="s">
        <v>29</v>
      </c>
      <c r="I1145" s="17" t="s">
        <v>29</v>
      </c>
      <c r="J1145" s="17" t="s">
        <v>29</v>
      </c>
      <c r="K1145" s="17" t="s">
        <v>29</v>
      </c>
      <c r="L1145" s="17" t="s">
        <v>29</v>
      </c>
      <c r="M1145" s="17" t="s">
        <v>29</v>
      </c>
      <c r="N1145" s="17" t="s">
        <v>29</v>
      </c>
      <c r="O1145" s="17" t="s">
        <v>29</v>
      </c>
      <c r="P1145" s="17" t="s">
        <v>29</v>
      </c>
      <c r="Q1145" s="17" t="s">
        <v>29</v>
      </c>
      <c r="R1145" s="17" t="s">
        <v>29</v>
      </c>
      <c r="S1145" s="17" t="s">
        <v>29</v>
      </c>
      <c r="T1145" s="17" t="s">
        <v>29</v>
      </c>
      <c r="U1145" s="17" t="s">
        <v>29</v>
      </c>
      <c r="V1145" s="17" t="s">
        <v>29</v>
      </c>
      <c r="W1145" s="17" t="s">
        <v>29</v>
      </c>
      <c r="X1145" s="17" t="s">
        <v>29</v>
      </c>
      <c r="Y1145" s="17" t="s">
        <v>29</v>
      </c>
      <c r="Z1145" s="17" t="s">
        <v>29</v>
      </c>
      <c r="AA1145" s="17" t="s">
        <v>29</v>
      </c>
      <c r="AB1145" s="17" t="s">
        <v>29</v>
      </c>
    </row>
    <row r="1146" spans="1:28" x14ac:dyDescent="0.3">
      <c r="A1146" s="63" t="s">
        <v>991</v>
      </c>
      <c r="B1146" s="7" t="s">
        <v>278</v>
      </c>
      <c r="C1146" s="8"/>
      <c r="D1146" s="8"/>
      <c r="E1146" s="8"/>
      <c r="F1146" s="8"/>
      <c r="G1146" s="8"/>
      <c r="H1146" s="8"/>
      <c r="I1146" s="8"/>
      <c r="J1146" s="8"/>
      <c r="K1146" s="8"/>
      <c r="L1146" s="8"/>
      <c r="M1146" s="8"/>
      <c r="N1146" s="8"/>
      <c r="O1146" s="8"/>
      <c r="P1146" s="8"/>
      <c r="Q1146" s="8"/>
      <c r="R1146" s="8"/>
      <c r="S1146" s="8"/>
      <c r="T1146" s="8"/>
      <c r="U1146" s="8"/>
      <c r="V1146" s="8"/>
      <c r="W1146" s="8"/>
      <c r="X1146" s="8"/>
      <c r="Y1146" s="8"/>
      <c r="Z1146" s="8"/>
    </row>
    <row r="1147" spans="1:28" x14ac:dyDescent="0.3">
      <c r="A1147" s="64"/>
      <c r="B1147" s="8"/>
      <c r="C1147" s="8"/>
      <c r="D1147" s="15" t="s">
        <v>218</v>
      </c>
      <c r="E1147" s="8"/>
      <c r="F1147" s="8"/>
      <c r="G1147" s="8"/>
      <c r="H1147" s="8"/>
      <c r="I1147" s="8"/>
      <c r="J1147" s="8"/>
      <c r="K1147" s="8"/>
      <c r="L1147" s="8"/>
      <c r="M1147" s="8"/>
      <c r="N1147" s="8"/>
      <c r="O1147" s="8"/>
      <c r="P1147" s="8"/>
      <c r="Q1147" s="8"/>
      <c r="R1147" s="8"/>
      <c r="S1147" s="8"/>
      <c r="T1147" s="8"/>
      <c r="U1147" s="8"/>
      <c r="V1147" s="8"/>
      <c r="W1147" s="8"/>
      <c r="X1147" s="8"/>
      <c r="Y1147" s="8"/>
      <c r="Z1147" s="8"/>
    </row>
    <row r="1148" spans="1:28" x14ac:dyDescent="0.3">
      <c r="A1148" s="64"/>
      <c r="B1148" s="8"/>
      <c r="C1148" s="7" t="s">
        <v>279</v>
      </c>
      <c r="D1148" s="14" t="s">
        <v>65</v>
      </c>
      <c r="E1148" s="9">
        <v>9250523.8499999996</v>
      </c>
      <c r="F1148" s="9">
        <v>8210307.2400000002</v>
      </c>
      <c r="G1148" s="8"/>
      <c r="H1148" s="9">
        <f t="shared" ref="H1148:H1165" si="632">F1148+G1148</f>
        <v>8210307.2400000002</v>
      </c>
      <c r="I1148" s="8"/>
      <c r="J1148" s="8"/>
      <c r="K1148" s="8"/>
      <c r="L1148" s="9"/>
      <c r="M1148" s="9">
        <f t="shared" ref="M1148:M1165" si="633">H1148+L1148</f>
        <v>8210307.2400000002</v>
      </c>
      <c r="N1148" s="9">
        <f>427418.85+612797.76</f>
        <v>1040216.61</v>
      </c>
      <c r="O1148" s="8"/>
      <c r="P1148" s="9">
        <f t="shared" ref="P1148:P1165" si="634">N1148+O1148</f>
        <v>1040216.61</v>
      </c>
      <c r="Q1148" s="8"/>
      <c r="R1148" s="8"/>
      <c r="S1148" s="8"/>
      <c r="T1148" s="9"/>
      <c r="U1148" s="9">
        <f t="shared" ref="U1148:U1165" si="635">P1148+T1148</f>
        <v>1040216.61</v>
      </c>
      <c r="V1148" s="9">
        <f t="shared" ref="V1148:V1165" si="636">P1148+H1148</f>
        <v>9250523.8499999996</v>
      </c>
      <c r="W1148" s="9">
        <f t="shared" ref="W1148:W1165" si="637">E1148-V1148</f>
        <v>0</v>
      </c>
      <c r="X1148" s="9">
        <f t="shared" ref="X1148:X1165" si="638">+H1148+P1148</f>
        <v>9250523.8499999996</v>
      </c>
      <c r="Y1148" s="8"/>
      <c r="Z1148" s="9">
        <f t="shared" ref="Z1148:Z1165" si="639">+E1148-X1148</f>
        <v>0</v>
      </c>
      <c r="AA1148" s="8">
        <f t="shared" ref="AA1148:AA1165" si="640">+M1148+U1148</f>
        <v>9250523.8499999996</v>
      </c>
      <c r="AB1148" s="8">
        <f t="shared" ref="AB1148:AB1165" si="641">+E1148-AA1148</f>
        <v>0</v>
      </c>
    </row>
    <row r="1149" spans="1:28" x14ac:dyDescent="0.3">
      <c r="A1149" s="64"/>
      <c r="B1149" s="8"/>
      <c r="C1149" s="7" t="s">
        <v>172</v>
      </c>
      <c r="D1149" s="15" t="s">
        <v>166</v>
      </c>
      <c r="E1149" s="9">
        <v>1010957</v>
      </c>
      <c r="F1149" s="9">
        <v>1010957</v>
      </c>
      <c r="G1149" s="8"/>
      <c r="H1149" s="9">
        <f t="shared" si="632"/>
        <v>1010957</v>
      </c>
      <c r="I1149" s="8"/>
      <c r="J1149" s="8"/>
      <c r="K1149" s="8"/>
      <c r="L1149" s="9"/>
      <c r="M1149" s="9">
        <f t="shared" si="633"/>
        <v>1010957</v>
      </c>
      <c r="N1149" s="9">
        <v>0</v>
      </c>
      <c r="O1149" s="8"/>
      <c r="P1149" s="9">
        <f t="shared" si="634"/>
        <v>0</v>
      </c>
      <c r="Q1149" s="8"/>
      <c r="R1149" s="8"/>
      <c r="S1149" s="8"/>
      <c r="T1149" s="9"/>
      <c r="U1149" s="9">
        <f t="shared" si="635"/>
        <v>0</v>
      </c>
      <c r="V1149" s="9">
        <f t="shared" si="636"/>
        <v>1010957</v>
      </c>
      <c r="W1149" s="9">
        <f t="shared" si="637"/>
        <v>0</v>
      </c>
      <c r="X1149" s="9">
        <f t="shared" si="638"/>
        <v>1010957</v>
      </c>
      <c r="Y1149" s="8"/>
      <c r="Z1149" s="9">
        <f t="shared" si="639"/>
        <v>0</v>
      </c>
      <c r="AA1149" s="8">
        <f t="shared" si="640"/>
        <v>1010957</v>
      </c>
      <c r="AB1149" s="8">
        <f t="shared" si="641"/>
        <v>0</v>
      </c>
    </row>
    <row r="1150" spans="1:28" x14ac:dyDescent="0.3">
      <c r="A1150" s="64"/>
      <c r="B1150" s="8"/>
      <c r="C1150" s="7" t="s">
        <v>53</v>
      </c>
      <c r="D1150" s="15" t="s">
        <v>68</v>
      </c>
      <c r="E1150" s="9">
        <v>1953989</v>
      </c>
      <c r="F1150" s="9">
        <v>0</v>
      </c>
      <c r="G1150" s="8"/>
      <c r="H1150" s="9">
        <f t="shared" si="632"/>
        <v>0</v>
      </c>
      <c r="I1150" s="8"/>
      <c r="J1150" s="8"/>
      <c r="K1150" s="8"/>
      <c r="L1150" s="9"/>
      <c r="M1150" s="9">
        <f t="shared" si="633"/>
        <v>0</v>
      </c>
      <c r="N1150" s="9">
        <v>1953989</v>
      </c>
      <c r="O1150" s="8"/>
      <c r="P1150" s="9">
        <f t="shared" si="634"/>
        <v>1953989</v>
      </c>
      <c r="Q1150" s="8"/>
      <c r="R1150" s="8"/>
      <c r="S1150" s="8"/>
      <c r="T1150" s="9"/>
      <c r="U1150" s="9">
        <f t="shared" si="635"/>
        <v>1953989</v>
      </c>
      <c r="V1150" s="9">
        <f t="shared" si="636"/>
        <v>1953989</v>
      </c>
      <c r="W1150" s="9">
        <f t="shared" si="637"/>
        <v>0</v>
      </c>
      <c r="X1150" s="9">
        <f t="shared" si="638"/>
        <v>1953989</v>
      </c>
      <c r="Y1150" s="8"/>
      <c r="Z1150" s="9">
        <f t="shared" si="639"/>
        <v>0</v>
      </c>
      <c r="AA1150" s="8">
        <f t="shared" si="640"/>
        <v>1953989</v>
      </c>
      <c r="AB1150" s="8">
        <f t="shared" si="641"/>
        <v>0</v>
      </c>
    </row>
    <row r="1151" spans="1:28" x14ac:dyDescent="0.3">
      <c r="A1151" s="64"/>
      <c r="B1151" s="8"/>
      <c r="C1151" s="7" t="s">
        <v>280</v>
      </c>
      <c r="D1151" s="15" t="s">
        <v>68</v>
      </c>
      <c r="E1151" s="9">
        <v>1550000</v>
      </c>
      <c r="F1151" s="9">
        <v>1488159.96</v>
      </c>
      <c r="G1151" s="8"/>
      <c r="H1151" s="9">
        <f t="shared" si="632"/>
        <v>1488159.96</v>
      </c>
      <c r="I1151" s="8"/>
      <c r="J1151" s="8"/>
      <c r="K1151" s="8"/>
      <c r="L1151" s="9"/>
      <c r="M1151" s="9">
        <f t="shared" si="633"/>
        <v>1488159.96</v>
      </c>
      <c r="N1151" s="9">
        <v>61840.04</v>
      </c>
      <c r="O1151" s="8"/>
      <c r="P1151" s="9">
        <f t="shared" si="634"/>
        <v>61840.04</v>
      </c>
      <c r="Q1151" s="8"/>
      <c r="R1151" s="8"/>
      <c r="S1151" s="8"/>
      <c r="T1151" s="9"/>
      <c r="U1151" s="9">
        <f t="shared" si="635"/>
        <v>61840.04</v>
      </c>
      <c r="V1151" s="9">
        <f t="shared" si="636"/>
        <v>1550000</v>
      </c>
      <c r="W1151" s="9">
        <f t="shared" si="637"/>
        <v>0</v>
      </c>
      <c r="X1151" s="9">
        <f t="shared" si="638"/>
        <v>1550000</v>
      </c>
      <c r="Y1151" s="8"/>
      <c r="Z1151" s="9">
        <f t="shared" si="639"/>
        <v>0</v>
      </c>
      <c r="AA1151" s="8">
        <f t="shared" si="640"/>
        <v>1550000</v>
      </c>
      <c r="AB1151" s="8">
        <f t="shared" si="641"/>
        <v>0</v>
      </c>
    </row>
    <row r="1152" spans="1:28" x14ac:dyDescent="0.3">
      <c r="A1152" s="64"/>
      <c r="B1152" s="8"/>
      <c r="C1152" s="7" t="s">
        <v>281</v>
      </c>
      <c r="D1152" s="15" t="s">
        <v>173</v>
      </c>
      <c r="E1152" s="9">
        <v>4571576</v>
      </c>
      <c r="F1152" s="9">
        <v>4571576</v>
      </c>
      <c r="G1152" s="8"/>
      <c r="H1152" s="9">
        <f t="shared" si="632"/>
        <v>4571576</v>
      </c>
      <c r="I1152" s="8"/>
      <c r="J1152" s="8"/>
      <c r="K1152" s="8"/>
      <c r="L1152" s="9"/>
      <c r="M1152" s="9">
        <f t="shared" si="633"/>
        <v>4571576</v>
      </c>
      <c r="N1152" s="9">
        <v>0</v>
      </c>
      <c r="O1152" s="8"/>
      <c r="P1152" s="9">
        <f t="shared" si="634"/>
        <v>0</v>
      </c>
      <c r="Q1152" s="8"/>
      <c r="R1152" s="8"/>
      <c r="S1152" s="8"/>
      <c r="T1152" s="9"/>
      <c r="U1152" s="9">
        <f t="shared" si="635"/>
        <v>0</v>
      </c>
      <c r="V1152" s="9">
        <f t="shared" si="636"/>
        <v>4571576</v>
      </c>
      <c r="W1152" s="9">
        <f t="shared" si="637"/>
        <v>0</v>
      </c>
      <c r="X1152" s="9">
        <f t="shared" si="638"/>
        <v>4571576</v>
      </c>
      <c r="Y1152" s="8"/>
      <c r="Z1152" s="9">
        <f t="shared" si="639"/>
        <v>0</v>
      </c>
      <c r="AA1152" s="8">
        <f t="shared" si="640"/>
        <v>4571576</v>
      </c>
      <c r="AB1152" s="8">
        <f t="shared" si="641"/>
        <v>0</v>
      </c>
    </row>
    <row r="1153" spans="1:28" x14ac:dyDescent="0.3">
      <c r="A1153" s="64"/>
      <c r="B1153" s="8"/>
      <c r="C1153" s="7" t="s">
        <v>55</v>
      </c>
      <c r="D1153" s="15" t="s">
        <v>270</v>
      </c>
      <c r="E1153" s="9">
        <v>208887.9</v>
      </c>
      <c r="F1153" s="9">
        <v>0</v>
      </c>
      <c r="G1153" s="8"/>
      <c r="H1153" s="9">
        <f t="shared" si="632"/>
        <v>0</v>
      </c>
      <c r="I1153" s="8"/>
      <c r="J1153" s="8"/>
      <c r="K1153" s="8"/>
      <c r="L1153" s="9"/>
      <c r="M1153" s="9">
        <f t="shared" si="633"/>
        <v>0</v>
      </c>
      <c r="N1153" s="9">
        <v>208887.9</v>
      </c>
      <c r="O1153" s="8"/>
      <c r="P1153" s="9">
        <f t="shared" si="634"/>
        <v>208887.9</v>
      </c>
      <c r="Q1153" s="8"/>
      <c r="R1153" s="8"/>
      <c r="S1153" s="8"/>
      <c r="T1153" s="9"/>
      <c r="U1153" s="9">
        <f t="shared" si="635"/>
        <v>208887.9</v>
      </c>
      <c r="V1153" s="9">
        <f t="shared" si="636"/>
        <v>208887.9</v>
      </c>
      <c r="W1153" s="9">
        <f t="shared" si="637"/>
        <v>0</v>
      </c>
      <c r="X1153" s="9">
        <f t="shared" si="638"/>
        <v>208887.9</v>
      </c>
      <c r="Y1153" s="8"/>
      <c r="Z1153" s="9">
        <f t="shared" si="639"/>
        <v>0</v>
      </c>
      <c r="AA1153" s="8">
        <f t="shared" si="640"/>
        <v>208887.9</v>
      </c>
      <c r="AB1153" s="8">
        <f t="shared" si="641"/>
        <v>0</v>
      </c>
    </row>
    <row r="1154" spans="1:28" x14ac:dyDescent="0.3">
      <c r="A1154" s="64"/>
      <c r="B1154" s="8"/>
      <c r="C1154" s="7" t="s">
        <v>282</v>
      </c>
      <c r="D1154" s="15" t="s">
        <v>54</v>
      </c>
      <c r="E1154" s="9">
        <v>3620893</v>
      </c>
      <c r="F1154" s="9">
        <v>3620893</v>
      </c>
      <c r="G1154" s="8"/>
      <c r="H1154" s="9">
        <f t="shared" si="632"/>
        <v>3620893</v>
      </c>
      <c r="I1154" s="8"/>
      <c r="J1154" s="8"/>
      <c r="K1154" s="8"/>
      <c r="L1154" s="9"/>
      <c r="M1154" s="9">
        <f t="shared" si="633"/>
        <v>3620893</v>
      </c>
      <c r="N1154" s="9">
        <v>0</v>
      </c>
      <c r="O1154" s="8"/>
      <c r="P1154" s="9">
        <f t="shared" si="634"/>
        <v>0</v>
      </c>
      <c r="Q1154" s="8"/>
      <c r="R1154" s="8"/>
      <c r="S1154" s="8"/>
      <c r="T1154" s="9"/>
      <c r="U1154" s="9">
        <f t="shared" si="635"/>
        <v>0</v>
      </c>
      <c r="V1154" s="9">
        <f t="shared" si="636"/>
        <v>3620893</v>
      </c>
      <c r="W1154" s="9">
        <f t="shared" si="637"/>
        <v>0</v>
      </c>
      <c r="X1154" s="9">
        <f t="shared" si="638"/>
        <v>3620893</v>
      </c>
      <c r="Y1154" s="8"/>
      <c r="Z1154" s="9">
        <f t="shared" si="639"/>
        <v>0</v>
      </c>
      <c r="AA1154" s="8">
        <f t="shared" si="640"/>
        <v>3620893</v>
      </c>
      <c r="AB1154" s="8">
        <f t="shared" si="641"/>
        <v>0</v>
      </c>
    </row>
    <row r="1155" spans="1:28" x14ac:dyDescent="0.3">
      <c r="A1155" s="64"/>
      <c r="B1155" s="8"/>
      <c r="C1155" s="7" t="s">
        <v>283</v>
      </c>
      <c r="D1155" s="15" t="s">
        <v>85</v>
      </c>
      <c r="E1155" s="9">
        <v>1200000</v>
      </c>
      <c r="F1155" s="9">
        <v>1200000</v>
      </c>
      <c r="G1155" s="8"/>
      <c r="H1155" s="9">
        <f t="shared" si="632"/>
        <v>1200000</v>
      </c>
      <c r="I1155" s="8"/>
      <c r="J1155" s="8"/>
      <c r="K1155" s="8"/>
      <c r="L1155" s="9"/>
      <c r="M1155" s="9">
        <f t="shared" si="633"/>
        <v>1200000</v>
      </c>
      <c r="N1155" s="9">
        <v>0</v>
      </c>
      <c r="O1155" s="8"/>
      <c r="P1155" s="9">
        <f t="shared" si="634"/>
        <v>0</v>
      </c>
      <c r="Q1155" s="8"/>
      <c r="R1155" s="8"/>
      <c r="S1155" s="8"/>
      <c r="T1155" s="9"/>
      <c r="U1155" s="9">
        <f t="shared" si="635"/>
        <v>0</v>
      </c>
      <c r="V1155" s="9">
        <f t="shared" si="636"/>
        <v>1200000</v>
      </c>
      <c r="W1155" s="9">
        <f t="shared" si="637"/>
        <v>0</v>
      </c>
      <c r="X1155" s="9">
        <f t="shared" si="638"/>
        <v>1200000</v>
      </c>
      <c r="Y1155" s="8"/>
      <c r="Z1155" s="9">
        <f t="shared" si="639"/>
        <v>0</v>
      </c>
      <c r="AA1155" s="8">
        <f t="shared" si="640"/>
        <v>1200000</v>
      </c>
      <c r="AB1155" s="8">
        <f t="shared" si="641"/>
        <v>0</v>
      </c>
    </row>
    <row r="1156" spans="1:28" x14ac:dyDescent="0.3">
      <c r="A1156" s="64"/>
      <c r="B1156" s="8"/>
      <c r="C1156" s="7" t="s">
        <v>225</v>
      </c>
      <c r="D1156" s="15" t="s">
        <v>85</v>
      </c>
      <c r="E1156" s="9">
        <v>160000</v>
      </c>
      <c r="F1156" s="9">
        <v>160000</v>
      </c>
      <c r="G1156" s="8"/>
      <c r="H1156" s="9">
        <f t="shared" si="632"/>
        <v>160000</v>
      </c>
      <c r="I1156" s="8"/>
      <c r="J1156" s="8"/>
      <c r="K1156" s="8"/>
      <c r="L1156" s="9"/>
      <c r="M1156" s="9">
        <f t="shared" si="633"/>
        <v>160000</v>
      </c>
      <c r="N1156" s="9">
        <v>0</v>
      </c>
      <c r="O1156" s="8"/>
      <c r="P1156" s="9">
        <f t="shared" si="634"/>
        <v>0</v>
      </c>
      <c r="Q1156" s="8"/>
      <c r="R1156" s="8"/>
      <c r="S1156" s="8"/>
      <c r="T1156" s="9"/>
      <c r="U1156" s="9">
        <f t="shared" si="635"/>
        <v>0</v>
      </c>
      <c r="V1156" s="9">
        <f t="shared" si="636"/>
        <v>160000</v>
      </c>
      <c r="W1156" s="9">
        <f t="shared" si="637"/>
        <v>0</v>
      </c>
      <c r="X1156" s="9">
        <f t="shared" si="638"/>
        <v>160000</v>
      </c>
      <c r="Y1156" s="8"/>
      <c r="Z1156" s="9">
        <f t="shared" si="639"/>
        <v>0</v>
      </c>
      <c r="AA1156" s="8">
        <f t="shared" si="640"/>
        <v>160000</v>
      </c>
      <c r="AB1156" s="8">
        <f t="shared" si="641"/>
        <v>0</v>
      </c>
    </row>
    <row r="1157" spans="1:28" x14ac:dyDescent="0.3">
      <c r="A1157" s="64"/>
      <c r="B1157" s="8"/>
      <c r="C1157" s="7" t="s">
        <v>284</v>
      </c>
      <c r="D1157" s="15" t="s">
        <v>128</v>
      </c>
      <c r="E1157" s="9">
        <v>3000000</v>
      </c>
      <c r="F1157" s="9">
        <v>3000000</v>
      </c>
      <c r="G1157" s="8"/>
      <c r="H1157" s="9">
        <f t="shared" si="632"/>
        <v>3000000</v>
      </c>
      <c r="I1157" s="8"/>
      <c r="J1157" s="8"/>
      <c r="K1157" s="8"/>
      <c r="L1157" s="9"/>
      <c r="M1157" s="9">
        <f t="shared" si="633"/>
        <v>3000000</v>
      </c>
      <c r="N1157" s="9">
        <v>0</v>
      </c>
      <c r="O1157" s="8"/>
      <c r="P1157" s="9">
        <f t="shared" si="634"/>
        <v>0</v>
      </c>
      <c r="Q1157" s="8"/>
      <c r="R1157" s="8"/>
      <c r="S1157" s="8"/>
      <c r="T1157" s="9"/>
      <c r="U1157" s="9">
        <f t="shared" si="635"/>
        <v>0</v>
      </c>
      <c r="V1157" s="9">
        <f t="shared" si="636"/>
        <v>3000000</v>
      </c>
      <c r="W1157" s="9">
        <f t="shared" si="637"/>
        <v>0</v>
      </c>
      <c r="X1157" s="9">
        <f t="shared" si="638"/>
        <v>3000000</v>
      </c>
      <c r="Y1157" s="8"/>
      <c r="Z1157" s="9">
        <f t="shared" si="639"/>
        <v>0</v>
      </c>
      <c r="AA1157" s="8">
        <f t="shared" si="640"/>
        <v>3000000</v>
      </c>
      <c r="AB1157" s="8">
        <f t="shared" si="641"/>
        <v>0</v>
      </c>
    </row>
    <row r="1158" spans="1:28" x14ac:dyDescent="0.3">
      <c r="A1158" s="64"/>
      <c r="B1158" s="8"/>
      <c r="C1158" s="7" t="s">
        <v>57</v>
      </c>
      <c r="D1158" s="15" t="s">
        <v>58</v>
      </c>
      <c r="E1158" s="9">
        <v>1288820</v>
      </c>
      <c r="F1158" s="9">
        <v>1288820</v>
      </c>
      <c r="G1158" s="8"/>
      <c r="H1158" s="9">
        <f t="shared" si="632"/>
        <v>1288820</v>
      </c>
      <c r="I1158" s="8"/>
      <c r="J1158" s="8"/>
      <c r="K1158" s="8"/>
      <c r="L1158" s="9"/>
      <c r="M1158" s="9">
        <f t="shared" si="633"/>
        <v>1288820</v>
      </c>
      <c r="N1158" s="9">
        <v>0</v>
      </c>
      <c r="O1158" s="8"/>
      <c r="P1158" s="9">
        <f t="shared" si="634"/>
        <v>0</v>
      </c>
      <c r="Q1158" s="8"/>
      <c r="R1158" s="8"/>
      <c r="S1158" s="8"/>
      <c r="T1158" s="9"/>
      <c r="U1158" s="9">
        <f t="shared" si="635"/>
        <v>0</v>
      </c>
      <c r="V1158" s="9">
        <f t="shared" si="636"/>
        <v>1288820</v>
      </c>
      <c r="W1158" s="9">
        <f t="shared" si="637"/>
        <v>0</v>
      </c>
      <c r="X1158" s="9">
        <f t="shared" si="638"/>
        <v>1288820</v>
      </c>
      <c r="Y1158" s="8"/>
      <c r="Z1158" s="9">
        <f t="shared" si="639"/>
        <v>0</v>
      </c>
      <c r="AA1158" s="8">
        <f t="shared" si="640"/>
        <v>1288820</v>
      </c>
      <c r="AB1158" s="8">
        <f t="shared" si="641"/>
        <v>0</v>
      </c>
    </row>
    <row r="1159" spans="1:28" x14ac:dyDescent="0.3">
      <c r="A1159" s="64"/>
      <c r="B1159" s="8"/>
      <c r="C1159" s="7" t="s">
        <v>57</v>
      </c>
      <c r="D1159" s="15" t="s">
        <v>60</v>
      </c>
      <c r="E1159" s="9">
        <v>2063013.1</v>
      </c>
      <c r="F1159" s="11">
        <v>2063013.1</v>
      </c>
      <c r="G1159" s="8"/>
      <c r="H1159" s="9">
        <f t="shared" si="632"/>
        <v>2063013.1</v>
      </c>
      <c r="I1159" s="8"/>
      <c r="J1159" s="8"/>
      <c r="K1159" s="8"/>
      <c r="L1159" s="9"/>
      <c r="M1159" s="9">
        <f t="shared" si="633"/>
        <v>2063013.1</v>
      </c>
      <c r="N1159" s="9">
        <v>0</v>
      </c>
      <c r="O1159" s="8"/>
      <c r="P1159" s="9">
        <f t="shared" si="634"/>
        <v>0</v>
      </c>
      <c r="Q1159" s="8"/>
      <c r="R1159" s="8"/>
      <c r="S1159" s="8"/>
      <c r="T1159" s="9"/>
      <c r="U1159" s="9">
        <f t="shared" si="635"/>
        <v>0</v>
      </c>
      <c r="V1159" s="9">
        <f t="shared" si="636"/>
        <v>2063013.1</v>
      </c>
      <c r="W1159" s="9">
        <f t="shared" si="637"/>
        <v>0</v>
      </c>
      <c r="X1159" s="9">
        <f t="shared" si="638"/>
        <v>2063013.1</v>
      </c>
      <c r="Y1159" s="8"/>
      <c r="Z1159" s="9">
        <f t="shared" si="639"/>
        <v>0</v>
      </c>
      <c r="AA1159" s="8">
        <f t="shared" si="640"/>
        <v>2063013.1</v>
      </c>
      <c r="AB1159" s="8">
        <f t="shared" si="641"/>
        <v>0</v>
      </c>
    </row>
    <row r="1160" spans="1:28" x14ac:dyDescent="0.3">
      <c r="A1160" s="64"/>
      <c r="B1160" s="8"/>
      <c r="C1160" s="14" t="s">
        <v>109</v>
      </c>
      <c r="D1160" s="21" t="s">
        <v>60</v>
      </c>
      <c r="E1160" s="9">
        <v>2500000</v>
      </c>
      <c r="F1160" s="11">
        <v>2500000</v>
      </c>
      <c r="G1160" s="8"/>
      <c r="H1160" s="9">
        <f t="shared" si="632"/>
        <v>2500000</v>
      </c>
      <c r="I1160" s="8"/>
      <c r="J1160" s="8"/>
      <c r="K1160" s="8"/>
      <c r="L1160" s="9"/>
      <c r="M1160" s="9">
        <f t="shared" si="633"/>
        <v>2500000</v>
      </c>
      <c r="N1160" s="9">
        <v>0</v>
      </c>
      <c r="O1160" s="8"/>
      <c r="P1160" s="9">
        <f t="shared" si="634"/>
        <v>0</v>
      </c>
      <c r="Q1160" s="8"/>
      <c r="R1160" s="8"/>
      <c r="S1160" s="8"/>
      <c r="T1160" s="9"/>
      <c r="U1160" s="9">
        <f t="shared" si="635"/>
        <v>0</v>
      </c>
      <c r="V1160" s="9">
        <f t="shared" si="636"/>
        <v>2500000</v>
      </c>
      <c r="W1160" s="9">
        <f t="shared" si="637"/>
        <v>0</v>
      </c>
      <c r="X1160" s="9">
        <f t="shared" si="638"/>
        <v>2500000</v>
      </c>
      <c r="Y1160" s="8"/>
      <c r="Z1160" s="9">
        <f t="shared" si="639"/>
        <v>0</v>
      </c>
      <c r="AA1160" s="8">
        <f t="shared" si="640"/>
        <v>2500000</v>
      </c>
      <c r="AB1160" s="8">
        <f t="shared" si="641"/>
        <v>0</v>
      </c>
    </row>
    <row r="1161" spans="1:28" x14ac:dyDescent="0.3">
      <c r="A1161" s="64"/>
      <c r="B1161" s="8"/>
      <c r="C1161" s="7" t="s">
        <v>90</v>
      </c>
      <c r="D1161" s="16" t="s">
        <v>61</v>
      </c>
      <c r="E1161" s="9">
        <v>500000</v>
      </c>
      <c r="F1161" s="8">
        <v>500000</v>
      </c>
      <c r="G1161" s="8"/>
      <c r="H1161" s="9">
        <f t="shared" si="632"/>
        <v>500000</v>
      </c>
      <c r="I1161" s="8"/>
      <c r="J1161" s="8"/>
      <c r="K1161" s="8"/>
      <c r="L1161" s="9"/>
      <c r="M1161" s="9">
        <f t="shared" si="633"/>
        <v>500000</v>
      </c>
      <c r="N1161" s="9">
        <v>0</v>
      </c>
      <c r="O1161" s="8"/>
      <c r="P1161" s="9">
        <f t="shared" si="634"/>
        <v>0</v>
      </c>
      <c r="Q1161" s="8"/>
      <c r="R1161" s="8"/>
      <c r="S1161" s="8"/>
      <c r="T1161" s="9"/>
      <c r="U1161" s="9">
        <f t="shared" si="635"/>
        <v>0</v>
      </c>
      <c r="V1161" s="9">
        <f t="shared" si="636"/>
        <v>500000</v>
      </c>
      <c r="W1161" s="9">
        <f t="shared" si="637"/>
        <v>0</v>
      </c>
      <c r="X1161" s="9">
        <f t="shared" si="638"/>
        <v>500000</v>
      </c>
      <c r="Y1161" s="8"/>
      <c r="Z1161" s="9">
        <f t="shared" si="639"/>
        <v>0</v>
      </c>
      <c r="AA1161" s="8">
        <f t="shared" si="640"/>
        <v>500000</v>
      </c>
      <c r="AB1161" s="8">
        <f t="shared" si="641"/>
        <v>0</v>
      </c>
    </row>
    <row r="1162" spans="1:28" x14ac:dyDescent="0.3">
      <c r="A1162" s="64"/>
      <c r="B1162" s="8"/>
      <c r="C1162" s="7" t="s">
        <v>1234</v>
      </c>
      <c r="D1162" s="16" t="s">
        <v>1225</v>
      </c>
      <c r="E1162" s="9">
        <v>400000</v>
      </c>
      <c r="F1162" s="8">
        <v>400000</v>
      </c>
      <c r="G1162" s="8"/>
      <c r="H1162" s="9">
        <f>+F1162+G1162</f>
        <v>400000</v>
      </c>
      <c r="I1162" s="8"/>
      <c r="J1162" s="8"/>
      <c r="K1162" s="8"/>
      <c r="L1162" s="9"/>
      <c r="M1162" s="9">
        <f t="shared" si="633"/>
        <v>400000</v>
      </c>
      <c r="N1162" s="9">
        <v>0</v>
      </c>
      <c r="O1162" s="8"/>
      <c r="P1162" s="9">
        <f t="shared" si="634"/>
        <v>0</v>
      </c>
      <c r="Q1162" s="8"/>
      <c r="R1162" s="8"/>
      <c r="S1162" s="8"/>
      <c r="T1162" s="9"/>
      <c r="U1162" s="9">
        <f t="shared" si="635"/>
        <v>0</v>
      </c>
      <c r="V1162" s="9">
        <f t="shared" si="636"/>
        <v>400000</v>
      </c>
      <c r="W1162" s="9">
        <f t="shared" si="637"/>
        <v>0</v>
      </c>
      <c r="X1162" s="9">
        <f t="shared" si="638"/>
        <v>400000</v>
      </c>
      <c r="Y1162" s="8"/>
      <c r="Z1162" s="9">
        <f t="shared" si="639"/>
        <v>0</v>
      </c>
      <c r="AA1162" s="8">
        <f t="shared" si="640"/>
        <v>400000</v>
      </c>
      <c r="AB1162" s="8">
        <f t="shared" si="641"/>
        <v>0</v>
      </c>
    </row>
    <row r="1163" spans="1:28" x14ac:dyDescent="0.3">
      <c r="A1163" s="64"/>
      <c r="B1163" s="8"/>
      <c r="C1163" s="7" t="s">
        <v>1134</v>
      </c>
      <c r="D1163" s="16" t="s">
        <v>1126</v>
      </c>
      <c r="E1163" s="9">
        <f>815536.75+170000+223531.86</f>
        <v>1209068.6099999999</v>
      </c>
      <c r="F1163" s="8">
        <f>815536.75+393531.86</f>
        <v>1209068.6099999999</v>
      </c>
      <c r="G1163" s="8"/>
      <c r="H1163" s="9">
        <f>+F1163+G1163</f>
        <v>1209068.6099999999</v>
      </c>
      <c r="I1163" s="8"/>
      <c r="J1163" s="8"/>
      <c r="K1163" s="8"/>
      <c r="L1163" s="9"/>
      <c r="M1163" s="9">
        <f t="shared" si="633"/>
        <v>1209068.6099999999</v>
      </c>
      <c r="N1163" s="9">
        <v>0</v>
      </c>
      <c r="O1163" s="8"/>
      <c r="P1163" s="9">
        <f>+N1163+O1163</f>
        <v>0</v>
      </c>
      <c r="Q1163" s="8"/>
      <c r="R1163" s="8"/>
      <c r="S1163" s="8"/>
      <c r="T1163" s="9"/>
      <c r="U1163" s="9">
        <f t="shared" si="635"/>
        <v>0</v>
      </c>
      <c r="V1163" s="9">
        <f t="shared" si="636"/>
        <v>1209068.6099999999</v>
      </c>
      <c r="W1163" s="9">
        <f t="shared" si="637"/>
        <v>0</v>
      </c>
      <c r="X1163" s="9">
        <f t="shared" si="638"/>
        <v>1209068.6099999999</v>
      </c>
      <c r="Y1163" s="8"/>
      <c r="Z1163" s="9">
        <f t="shared" si="639"/>
        <v>0</v>
      </c>
      <c r="AA1163" s="8">
        <f t="shared" si="640"/>
        <v>1209068.6099999999</v>
      </c>
      <c r="AB1163" s="8">
        <f t="shared" si="641"/>
        <v>0</v>
      </c>
    </row>
    <row r="1164" spans="1:28" x14ac:dyDescent="0.3">
      <c r="A1164" s="64"/>
      <c r="B1164" s="8"/>
      <c r="C1164" s="7" t="s">
        <v>930</v>
      </c>
      <c r="D1164" s="16" t="s">
        <v>1072</v>
      </c>
      <c r="E1164" s="9">
        <v>775000</v>
      </c>
      <c r="F1164" s="8">
        <v>775000</v>
      </c>
      <c r="G1164" s="8"/>
      <c r="H1164" s="9">
        <f>+F1164+G1164</f>
        <v>775000</v>
      </c>
      <c r="I1164" s="8"/>
      <c r="J1164" s="8"/>
      <c r="K1164" s="8"/>
      <c r="L1164" s="9"/>
      <c r="M1164" s="9">
        <f>+H1164+L1164</f>
        <v>775000</v>
      </c>
      <c r="N1164" s="9">
        <v>0</v>
      </c>
      <c r="O1164" s="8"/>
      <c r="P1164" s="9">
        <f>+N1164+O1164</f>
        <v>0</v>
      </c>
      <c r="Q1164" s="8"/>
      <c r="R1164" s="8"/>
      <c r="S1164" s="8"/>
      <c r="T1164" s="9"/>
      <c r="U1164" s="9">
        <f>P1164+T1164</f>
        <v>0</v>
      </c>
      <c r="V1164" s="9">
        <f>P1164+H1164</f>
        <v>775000</v>
      </c>
      <c r="W1164" s="9">
        <f>E1164-V1164</f>
        <v>0</v>
      </c>
      <c r="X1164" s="9">
        <f t="shared" si="638"/>
        <v>775000</v>
      </c>
      <c r="Y1164" s="8"/>
      <c r="Z1164" s="9">
        <f t="shared" si="639"/>
        <v>0</v>
      </c>
      <c r="AA1164" s="8">
        <f t="shared" si="640"/>
        <v>775000</v>
      </c>
      <c r="AB1164" s="8">
        <f t="shared" si="641"/>
        <v>0</v>
      </c>
    </row>
    <row r="1165" spans="1:28" x14ac:dyDescent="0.3">
      <c r="A1165" s="64"/>
      <c r="B1165" s="8"/>
      <c r="C1165" s="7" t="s">
        <v>57</v>
      </c>
      <c r="D1165" s="16" t="s">
        <v>61</v>
      </c>
      <c r="E1165" s="9">
        <v>613010.14</v>
      </c>
      <c r="F1165" s="8">
        <v>613010.14</v>
      </c>
      <c r="G1165" s="8"/>
      <c r="H1165" s="9">
        <f t="shared" si="632"/>
        <v>613010.14</v>
      </c>
      <c r="I1165" s="8"/>
      <c r="J1165" s="8"/>
      <c r="K1165" s="8"/>
      <c r="L1165" s="9"/>
      <c r="M1165" s="9">
        <f t="shared" si="633"/>
        <v>613010.14</v>
      </c>
      <c r="N1165" s="9">
        <v>0</v>
      </c>
      <c r="O1165" s="8"/>
      <c r="P1165" s="9">
        <f t="shared" si="634"/>
        <v>0</v>
      </c>
      <c r="Q1165" s="8"/>
      <c r="R1165" s="8"/>
      <c r="S1165" s="8"/>
      <c r="T1165" s="9"/>
      <c r="U1165" s="9">
        <f t="shared" si="635"/>
        <v>0</v>
      </c>
      <c r="V1165" s="9">
        <f t="shared" si="636"/>
        <v>613010.14</v>
      </c>
      <c r="W1165" s="9">
        <f t="shared" si="637"/>
        <v>0</v>
      </c>
      <c r="X1165" s="9">
        <f t="shared" si="638"/>
        <v>613010.14</v>
      </c>
      <c r="Y1165" s="8"/>
      <c r="Z1165" s="9">
        <f t="shared" si="639"/>
        <v>0</v>
      </c>
      <c r="AA1165" s="8">
        <f t="shared" si="640"/>
        <v>613010.14</v>
      </c>
      <c r="AB1165" s="8">
        <f t="shared" si="641"/>
        <v>0</v>
      </c>
    </row>
    <row r="1166" spans="1:28" x14ac:dyDescent="0.3">
      <c r="A1166" s="64"/>
      <c r="B1166" s="8"/>
      <c r="C1166" s="8"/>
      <c r="D1166" s="8"/>
      <c r="E1166" s="17" t="s">
        <v>29</v>
      </c>
      <c r="F1166" s="17" t="s">
        <v>29</v>
      </c>
      <c r="G1166" s="17" t="s">
        <v>29</v>
      </c>
      <c r="H1166" s="17" t="s">
        <v>29</v>
      </c>
      <c r="I1166" s="17" t="s">
        <v>29</v>
      </c>
      <c r="J1166" s="17" t="s">
        <v>29</v>
      </c>
      <c r="K1166" s="17" t="s">
        <v>29</v>
      </c>
      <c r="L1166" s="17" t="s">
        <v>29</v>
      </c>
      <c r="M1166" s="17" t="s">
        <v>29</v>
      </c>
      <c r="N1166" s="17" t="s">
        <v>29</v>
      </c>
      <c r="O1166" s="17" t="s">
        <v>29</v>
      </c>
      <c r="P1166" s="17" t="s">
        <v>29</v>
      </c>
      <c r="Q1166" s="17" t="s">
        <v>29</v>
      </c>
      <c r="R1166" s="17" t="s">
        <v>29</v>
      </c>
      <c r="S1166" s="17" t="s">
        <v>29</v>
      </c>
      <c r="T1166" s="17" t="s">
        <v>29</v>
      </c>
      <c r="U1166" s="17" t="s">
        <v>29</v>
      </c>
      <c r="V1166" s="17" t="s">
        <v>29</v>
      </c>
      <c r="W1166" s="17" t="s">
        <v>29</v>
      </c>
      <c r="X1166" s="17" t="s">
        <v>29</v>
      </c>
      <c r="Y1166" s="17" t="s">
        <v>29</v>
      </c>
      <c r="Z1166" s="17" t="s">
        <v>29</v>
      </c>
      <c r="AA1166" s="17" t="s">
        <v>29</v>
      </c>
      <c r="AB1166" s="17" t="s">
        <v>29</v>
      </c>
    </row>
    <row r="1167" spans="1:28" x14ac:dyDescent="0.3">
      <c r="A1167" s="64"/>
      <c r="B1167" s="8"/>
      <c r="C1167" s="8"/>
      <c r="D1167" s="8"/>
      <c r="E1167" s="9">
        <f t="shared" ref="E1167:AB1167" si="642">SUM(E1148:E1165)</f>
        <v>35875738.600000001</v>
      </c>
      <c r="F1167" s="9">
        <f t="shared" si="642"/>
        <v>32610805.050000001</v>
      </c>
      <c r="G1167" s="9">
        <f t="shared" si="642"/>
        <v>0</v>
      </c>
      <c r="H1167" s="9">
        <f t="shared" si="642"/>
        <v>32610805.050000001</v>
      </c>
      <c r="I1167" s="9">
        <f t="shared" si="642"/>
        <v>0</v>
      </c>
      <c r="J1167" s="9">
        <f t="shared" si="642"/>
        <v>0</v>
      </c>
      <c r="K1167" s="9">
        <f t="shared" si="642"/>
        <v>0</v>
      </c>
      <c r="L1167" s="9">
        <f t="shared" si="642"/>
        <v>0</v>
      </c>
      <c r="M1167" s="9">
        <f t="shared" si="642"/>
        <v>32610805.050000001</v>
      </c>
      <c r="N1167" s="9">
        <f t="shared" si="642"/>
        <v>3264933.55</v>
      </c>
      <c r="O1167" s="9">
        <f t="shared" si="642"/>
        <v>0</v>
      </c>
      <c r="P1167" s="9">
        <f t="shared" si="642"/>
        <v>3264933.55</v>
      </c>
      <c r="Q1167" s="9">
        <f t="shared" si="642"/>
        <v>0</v>
      </c>
      <c r="R1167" s="9">
        <f t="shared" si="642"/>
        <v>0</v>
      </c>
      <c r="S1167" s="9">
        <f t="shared" si="642"/>
        <v>0</v>
      </c>
      <c r="T1167" s="9">
        <f t="shared" si="642"/>
        <v>0</v>
      </c>
      <c r="U1167" s="9">
        <f t="shared" si="642"/>
        <v>3264933.55</v>
      </c>
      <c r="V1167" s="9">
        <f t="shared" si="642"/>
        <v>35875738.600000001</v>
      </c>
      <c r="W1167" s="9">
        <f t="shared" si="642"/>
        <v>0</v>
      </c>
      <c r="X1167" s="9">
        <f t="shared" si="642"/>
        <v>35875738.600000001</v>
      </c>
      <c r="Y1167" s="9">
        <f t="shared" si="642"/>
        <v>0</v>
      </c>
      <c r="Z1167" s="9">
        <f t="shared" si="642"/>
        <v>0</v>
      </c>
      <c r="AA1167" s="9">
        <f t="shared" si="642"/>
        <v>35875738.600000001</v>
      </c>
      <c r="AB1167" s="9">
        <f t="shared" si="642"/>
        <v>0</v>
      </c>
    </row>
    <row r="1168" spans="1:28" x14ac:dyDescent="0.3">
      <c r="A1168" s="64"/>
      <c r="B1168" s="8"/>
      <c r="C1168" s="8"/>
      <c r="D1168" s="8"/>
      <c r="E1168" s="17" t="s">
        <v>29</v>
      </c>
      <c r="F1168" s="17" t="s">
        <v>29</v>
      </c>
      <c r="G1168" s="17" t="s">
        <v>29</v>
      </c>
      <c r="H1168" s="17" t="s">
        <v>29</v>
      </c>
      <c r="I1168" s="17" t="s">
        <v>29</v>
      </c>
      <c r="J1168" s="17" t="s">
        <v>29</v>
      </c>
      <c r="K1168" s="17" t="s">
        <v>29</v>
      </c>
      <c r="L1168" s="17" t="s">
        <v>29</v>
      </c>
      <c r="M1168" s="17" t="s">
        <v>29</v>
      </c>
      <c r="N1168" s="17" t="s">
        <v>29</v>
      </c>
      <c r="O1168" s="17" t="s">
        <v>29</v>
      </c>
      <c r="P1168" s="17" t="s">
        <v>29</v>
      </c>
      <c r="Q1168" s="17" t="s">
        <v>29</v>
      </c>
      <c r="R1168" s="17" t="s">
        <v>29</v>
      </c>
      <c r="S1168" s="17" t="s">
        <v>29</v>
      </c>
      <c r="T1168" s="17" t="s">
        <v>29</v>
      </c>
      <c r="U1168" s="17" t="s">
        <v>29</v>
      </c>
      <c r="V1168" s="17" t="s">
        <v>29</v>
      </c>
      <c r="W1168" s="17" t="s">
        <v>29</v>
      </c>
      <c r="X1168" s="17" t="s">
        <v>29</v>
      </c>
      <c r="Y1168" s="17" t="s">
        <v>29</v>
      </c>
      <c r="Z1168" s="17" t="s">
        <v>29</v>
      </c>
      <c r="AA1168" s="17" t="s">
        <v>29</v>
      </c>
      <c r="AB1168" s="17" t="s">
        <v>29</v>
      </c>
    </row>
    <row r="1169" spans="1:28" x14ac:dyDescent="0.3">
      <c r="A1169" s="64">
        <v>59</v>
      </c>
      <c r="B1169" s="7" t="s">
        <v>285</v>
      </c>
      <c r="C1169" s="8"/>
      <c r="D1169" s="8"/>
      <c r="E1169" s="8"/>
      <c r="F1169" s="8"/>
      <c r="G1169" s="8"/>
      <c r="H1169" s="8"/>
      <c r="I1169" s="8"/>
      <c r="J1169" s="8"/>
      <c r="K1169" s="8"/>
      <c r="L1169" s="8"/>
      <c r="M1169" s="8"/>
      <c r="N1169" s="8"/>
      <c r="O1169" s="8"/>
      <c r="P1169" s="8"/>
      <c r="Q1169" s="8"/>
      <c r="R1169" s="8"/>
      <c r="S1169" s="8"/>
      <c r="T1169" s="8"/>
      <c r="U1169" s="8"/>
      <c r="V1169" s="8"/>
      <c r="W1169" s="8"/>
      <c r="X1169" s="8"/>
      <c r="Y1169" s="8"/>
      <c r="Z1169" s="8"/>
    </row>
    <row r="1170" spans="1:28" x14ac:dyDescent="0.3">
      <c r="A1170" s="64"/>
      <c r="B1170" s="8"/>
      <c r="C1170" s="7" t="s">
        <v>286</v>
      </c>
      <c r="D1170" s="15" t="s">
        <v>287</v>
      </c>
      <c r="E1170" s="9">
        <v>5298149.67</v>
      </c>
      <c r="F1170" s="9">
        <v>4239832.58</v>
      </c>
      <c r="G1170" s="8"/>
      <c r="H1170" s="9">
        <f t="shared" ref="H1170:H1186" si="643">F1170+G1170</f>
        <v>4239832.58</v>
      </c>
      <c r="I1170" s="8"/>
      <c r="J1170" s="8"/>
      <c r="K1170" s="8"/>
      <c r="L1170" s="9"/>
      <c r="M1170" s="9">
        <f t="shared" ref="M1170:M1186" si="644">H1170+L1170</f>
        <v>4239832.58</v>
      </c>
      <c r="N1170" s="9">
        <f>0+1058317.09</f>
        <v>1058317.0900000001</v>
      </c>
      <c r="O1170" s="8"/>
      <c r="P1170" s="9">
        <f t="shared" ref="P1170:P1186" si="645">N1170+O1170</f>
        <v>1058317.0900000001</v>
      </c>
      <c r="Q1170" s="8"/>
      <c r="R1170" s="8"/>
      <c r="S1170" s="8"/>
      <c r="T1170" s="9"/>
      <c r="U1170" s="9">
        <f t="shared" ref="U1170:U1186" si="646">P1170+T1170</f>
        <v>1058317.0900000001</v>
      </c>
      <c r="V1170" s="9">
        <f t="shared" ref="V1170:V1186" si="647">P1170+H1170</f>
        <v>5298149.67</v>
      </c>
      <c r="W1170" s="9">
        <f t="shared" ref="W1170:W1186" si="648">E1170-V1170</f>
        <v>0</v>
      </c>
      <c r="X1170" s="9">
        <f t="shared" ref="X1170:X1186" si="649">+H1170+P1170</f>
        <v>5298149.67</v>
      </c>
      <c r="Y1170" s="8"/>
      <c r="Z1170" s="9">
        <f t="shared" ref="Z1170:Z1186" si="650">+E1170-X1170</f>
        <v>0</v>
      </c>
      <c r="AA1170" s="8">
        <f t="shared" ref="AA1170:AA1186" si="651">+M1170+U1170</f>
        <v>5298149.67</v>
      </c>
      <c r="AB1170" s="8">
        <f t="shared" ref="AB1170:AB1186" si="652">+E1170-AA1170</f>
        <v>0</v>
      </c>
    </row>
    <row r="1171" spans="1:28" x14ac:dyDescent="0.3">
      <c r="A1171" s="64"/>
      <c r="B1171" s="8"/>
      <c r="C1171" s="7" t="s">
        <v>280</v>
      </c>
      <c r="D1171" s="15" t="s">
        <v>288</v>
      </c>
      <c r="E1171" s="9">
        <v>3915000</v>
      </c>
      <c r="F1171" s="9">
        <v>3915000</v>
      </c>
      <c r="G1171" s="8"/>
      <c r="H1171" s="9">
        <f t="shared" si="643"/>
        <v>3915000</v>
      </c>
      <c r="I1171" s="8"/>
      <c r="J1171" s="8"/>
      <c r="K1171" s="8"/>
      <c r="L1171" s="9"/>
      <c r="M1171" s="9">
        <f t="shared" si="644"/>
        <v>3915000</v>
      </c>
      <c r="N1171" s="9">
        <v>0</v>
      </c>
      <c r="O1171" s="8"/>
      <c r="P1171" s="9">
        <f t="shared" si="645"/>
        <v>0</v>
      </c>
      <c r="Q1171" s="8"/>
      <c r="R1171" s="8"/>
      <c r="S1171" s="8"/>
      <c r="T1171" s="9"/>
      <c r="U1171" s="9">
        <f t="shared" si="646"/>
        <v>0</v>
      </c>
      <c r="V1171" s="9">
        <f t="shared" si="647"/>
        <v>3915000</v>
      </c>
      <c r="W1171" s="9">
        <f t="shared" si="648"/>
        <v>0</v>
      </c>
      <c r="X1171" s="9">
        <f t="shared" si="649"/>
        <v>3915000</v>
      </c>
      <c r="Y1171" s="8"/>
      <c r="Z1171" s="9">
        <f t="shared" si="650"/>
        <v>0</v>
      </c>
      <c r="AA1171" s="8">
        <f t="shared" si="651"/>
        <v>3915000</v>
      </c>
      <c r="AB1171" s="8">
        <f t="shared" si="652"/>
        <v>0</v>
      </c>
    </row>
    <row r="1172" spans="1:28" x14ac:dyDescent="0.3">
      <c r="A1172" s="64"/>
      <c r="B1172" s="8"/>
      <c r="C1172" s="7" t="s">
        <v>281</v>
      </c>
      <c r="D1172" s="15" t="s">
        <v>173</v>
      </c>
      <c r="E1172" s="9">
        <v>1705622.51</v>
      </c>
      <c r="F1172" s="9">
        <v>1128676.43</v>
      </c>
      <c r="G1172" s="8"/>
      <c r="H1172" s="9">
        <f t="shared" si="643"/>
        <v>1128676.43</v>
      </c>
      <c r="I1172" s="8"/>
      <c r="J1172" s="8"/>
      <c r="K1172" s="8"/>
      <c r="L1172" s="9"/>
      <c r="M1172" s="9">
        <f t="shared" si="644"/>
        <v>1128676.43</v>
      </c>
      <c r="N1172" s="9">
        <v>576946.07999999996</v>
      </c>
      <c r="O1172" s="8"/>
      <c r="P1172" s="9">
        <f t="shared" si="645"/>
        <v>576946.07999999996</v>
      </c>
      <c r="Q1172" s="9"/>
      <c r="R1172" s="8"/>
      <c r="S1172" s="9"/>
      <c r="T1172" s="9"/>
      <c r="U1172" s="9">
        <f t="shared" si="646"/>
        <v>576946.07999999996</v>
      </c>
      <c r="V1172" s="9">
        <f t="shared" si="647"/>
        <v>1705622.5099999998</v>
      </c>
      <c r="W1172" s="9">
        <f t="shared" si="648"/>
        <v>0</v>
      </c>
      <c r="X1172" s="9">
        <f t="shared" si="649"/>
        <v>1705622.5099999998</v>
      </c>
      <c r="Y1172" s="8"/>
      <c r="Z1172" s="9">
        <f t="shared" si="650"/>
        <v>0</v>
      </c>
      <c r="AA1172" s="8">
        <f t="shared" si="651"/>
        <v>1705622.5099999998</v>
      </c>
      <c r="AB1172" s="8">
        <f t="shared" si="652"/>
        <v>0</v>
      </c>
    </row>
    <row r="1173" spans="1:28" x14ac:dyDescent="0.3">
      <c r="A1173" s="64"/>
      <c r="B1173" s="8"/>
      <c r="C1173" s="7" t="s">
        <v>289</v>
      </c>
      <c r="D1173" s="15" t="s">
        <v>54</v>
      </c>
      <c r="E1173" s="9">
        <v>5779106.4000000004</v>
      </c>
      <c r="F1173" s="9">
        <v>5779106.4000000004</v>
      </c>
      <c r="G1173" s="8"/>
      <c r="H1173" s="9">
        <f t="shared" si="643"/>
        <v>5779106.4000000004</v>
      </c>
      <c r="I1173" s="8"/>
      <c r="J1173" s="8"/>
      <c r="K1173" s="8"/>
      <c r="L1173" s="9"/>
      <c r="M1173" s="9">
        <f t="shared" si="644"/>
        <v>5779106.4000000004</v>
      </c>
      <c r="N1173" s="9">
        <v>0</v>
      </c>
      <c r="O1173" s="8"/>
      <c r="P1173" s="9">
        <f t="shared" si="645"/>
        <v>0</v>
      </c>
      <c r="Q1173" s="8"/>
      <c r="R1173" s="8"/>
      <c r="S1173" s="8"/>
      <c r="T1173" s="9"/>
      <c r="U1173" s="9">
        <f t="shared" si="646"/>
        <v>0</v>
      </c>
      <c r="V1173" s="9">
        <f t="shared" si="647"/>
        <v>5779106.4000000004</v>
      </c>
      <c r="W1173" s="9">
        <f t="shared" si="648"/>
        <v>0</v>
      </c>
      <c r="X1173" s="9">
        <f t="shared" si="649"/>
        <v>5779106.4000000004</v>
      </c>
      <c r="Y1173" s="8"/>
      <c r="Z1173" s="9">
        <f t="shared" si="650"/>
        <v>0</v>
      </c>
      <c r="AA1173" s="8">
        <f t="shared" si="651"/>
        <v>5779106.4000000004</v>
      </c>
      <c r="AB1173" s="8">
        <f t="shared" si="652"/>
        <v>0</v>
      </c>
    </row>
    <row r="1174" spans="1:28" x14ac:dyDescent="0.3">
      <c r="A1174" s="64"/>
      <c r="B1174" s="8"/>
      <c r="C1174" s="7" t="s">
        <v>53</v>
      </c>
      <c r="D1174" s="15" t="s">
        <v>54</v>
      </c>
      <c r="E1174" s="9">
        <v>1953989</v>
      </c>
      <c r="F1174" s="9">
        <v>0</v>
      </c>
      <c r="G1174" s="8"/>
      <c r="H1174" s="9">
        <f t="shared" si="643"/>
        <v>0</v>
      </c>
      <c r="I1174" s="8"/>
      <c r="J1174" s="8"/>
      <c r="K1174" s="8"/>
      <c r="L1174" s="9"/>
      <c r="M1174" s="9">
        <f t="shared" si="644"/>
        <v>0</v>
      </c>
      <c r="N1174" s="9">
        <v>1953989</v>
      </c>
      <c r="O1174" s="8"/>
      <c r="P1174" s="9">
        <f t="shared" si="645"/>
        <v>1953989</v>
      </c>
      <c r="Q1174" s="8"/>
      <c r="R1174" s="8"/>
      <c r="S1174" s="8"/>
      <c r="T1174" s="9"/>
      <c r="U1174" s="9">
        <f t="shared" si="646"/>
        <v>1953989</v>
      </c>
      <c r="V1174" s="9">
        <f t="shared" si="647"/>
        <v>1953989</v>
      </c>
      <c r="W1174" s="9">
        <f t="shared" si="648"/>
        <v>0</v>
      </c>
      <c r="X1174" s="9">
        <f t="shared" si="649"/>
        <v>1953989</v>
      </c>
      <c r="Y1174" s="8"/>
      <c r="Z1174" s="9">
        <f t="shared" si="650"/>
        <v>0</v>
      </c>
      <c r="AA1174" s="8">
        <f t="shared" si="651"/>
        <v>1953989</v>
      </c>
      <c r="AB1174" s="8">
        <f t="shared" si="652"/>
        <v>0</v>
      </c>
    </row>
    <row r="1175" spans="1:28" x14ac:dyDescent="0.3">
      <c r="A1175" s="64"/>
      <c r="B1175" s="8"/>
      <c r="C1175" s="7" t="s">
        <v>290</v>
      </c>
      <c r="D1175" s="15" t="s">
        <v>54</v>
      </c>
      <c r="E1175" s="9">
        <f>950000-114281</f>
        <v>835719</v>
      </c>
      <c r="F1175" s="9">
        <v>835719</v>
      </c>
      <c r="G1175" s="8"/>
      <c r="H1175" s="9">
        <f t="shared" si="643"/>
        <v>835719</v>
      </c>
      <c r="I1175" s="8"/>
      <c r="J1175" s="8"/>
      <c r="K1175" s="8"/>
      <c r="L1175" s="9"/>
      <c r="M1175" s="9">
        <f t="shared" si="644"/>
        <v>835719</v>
      </c>
      <c r="N1175" s="9">
        <v>0</v>
      </c>
      <c r="O1175" s="8"/>
      <c r="P1175" s="9">
        <f t="shared" si="645"/>
        <v>0</v>
      </c>
      <c r="Q1175" s="8"/>
      <c r="R1175" s="8"/>
      <c r="S1175" s="8"/>
      <c r="T1175" s="9"/>
      <c r="U1175" s="9">
        <f t="shared" si="646"/>
        <v>0</v>
      </c>
      <c r="V1175" s="9">
        <f t="shared" si="647"/>
        <v>835719</v>
      </c>
      <c r="W1175" s="9">
        <f t="shared" si="648"/>
        <v>0</v>
      </c>
      <c r="X1175" s="9">
        <f t="shared" si="649"/>
        <v>835719</v>
      </c>
      <c r="Y1175" s="8"/>
      <c r="Z1175" s="9">
        <f t="shared" si="650"/>
        <v>0</v>
      </c>
      <c r="AA1175" s="8">
        <f t="shared" si="651"/>
        <v>835719</v>
      </c>
      <c r="AB1175" s="8">
        <f t="shared" si="652"/>
        <v>0</v>
      </c>
    </row>
    <row r="1176" spans="1:28" x14ac:dyDescent="0.3">
      <c r="A1176" s="64"/>
      <c r="B1176" s="8"/>
      <c r="C1176" s="7" t="s">
        <v>283</v>
      </c>
      <c r="D1176" s="15" t="s">
        <v>105</v>
      </c>
      <c r="E1176" s="9">
        <f>6000000-134604</f>
        <v>5865396</v>
      </c>
      <c r="F1176" s="9">
        <v>5865396</v>
      </c>
      <c r="G1176" s="8"/>
      <c r="H1176" s="9">
        <f t="shared" si="643"/>
        <v>5865396</v>
      </c>
      <c r="I1176" s="8"/>
      <c r="J1176" s="8"/>
      <c r="K1176" s="8"/>
      <c r="L1176" s="9"/>
      <c r="M1176" s="9">
        <f t="shared" si="644"/>
        <v>5865396</v>
      </c>
      <c r="N1176" s="9">
        <v>0</v>
      </c>
      <c r="O1176" s="8"/>
      <c r="P1176" s="9">
        <f t="shared" si="645"/>
        <v>0</v>
      </c>
      <c r="Q1176" s="8"/>
      <c r="R1176" s="8"/>
      <c r="S1176" s="8"/>
      <c r="T1176" s="9"/>
      <c r="U1176" s="9">
        <f t="shared" si="646"/>
        <v>0</v>
      </c>
      <c r="V1176" s="9">
        <f t="shared" si="647"/>
        <v>5865396</v>
      </c>
      <c r="W1176" s="9">
        <f t="shared" si="648"/>
        <v>0</v>
      </c>
      <c r="X1176" s="9">
        <f t="shared" si="649"/>
        <v>5865396</v>
      </c>
      <c r="Y1176" s="8"/>
      <c r="Z1176" s="9">
        <f t="shared" si="650"/>
        <v>0</v>
      </c>
      <c r="AA1176" s="8">
        <f t="shared" si="651"/>
        <v>5865396</v>
      </c>
      <c r="AB1176" s="8">
        <f t="shared" si="652"/>
        <v>0</v>
      </c>
    </row>
    <row r="1177" spans="1:28" x14ac:dyDescent="0.3">
      <c r="A1177" s="64"/>
      <c r="B1177" s="8"/>
      <c r="C1177" s="7" t="s">
        <v>55</v>
      </c>
      <c r="D1177" s="15" t="s">
        <v>85</v>
      </c>
      <c r="E1177" s="9">
        <v>283050</v>
      </c>
      <c r="F1177" s="9">
        <v>0</v>
      </c>
      <c r="G1177" s="8"/>
      <c r="H1177" s="9">
        <f t="shared" si="643"/>
        <v>0</v>
      </c>
      <c r="I1177" s="8"/>
      <c r="J1177" s="8"/>
      <c r="K1177" s="8"/>
      <c r="L1177" s="9"/>
      <c r="M1177" s="9">
        <f t="shared" si="644"/>
        <v>0</v>
      </c>
      <c r="N1177" s="9">
        <v>283050</v>
      </c>
      <c r="O1177" s="8"/>
      <c r="P1177" s="9">
        <f t="shared" si="645"/>
        <v>283050</v>
      </c>
      <c r="Q1177" s="8"/>
      <c r="R1177" s="8"/>
      <c r="S1177" s="8"/>
      <c r="T1177" s="9"/>
      <c r="U1177" s="9">
        <f t="shared" si="646"/>
        <v>283050</v>
      </c>
      <c r="V1177" s="9">
        <f t="shared" si="647"/>
        <v>283050</v>
      </c>
      <c r="W1177" s="9">
        <f t="shared" si="648"/>
        <v>0</v>
      </c>
      <c r="X1177" s="9">
        <f t="shared" si="649"/>
        <v>283050</v>
      </c>
      <c r="Y1177" s="8"/>
      <c r="Z1177" s="9">
        <f t="shared" si="650"/>
        <v>0</v>
      </c>
      <c r="AA1177" s="8">
        <f t="shared" si="651"/>
        <v>283050</v>
      </c>
      <c r="AB1177" s="8">
        <f t="shared" si="652"/>
        <v>0</v>
      </c>
    </row>
    <row r="1178" spans="1:28" x14ac:dyDescent="0.3">
      <c r="A1178" s="64"/>
      <c r="B1178" s="8"/>
      <c r="C1178" s="7" t="s">
        <v>248</v>
      </c>
      <c r="D1178" s="15" t="s">
        <v>85</v>
      </c>
      <c r="E1178" s="9">
        <v>120000</v>
      </c>
      <c r="F1178" s="9">
        <v>120000</v>
      </c>
      <c r="G1178" s="8"/>
      <c r="H1178" s="9">
        <f t="shared" si="643"/>
        <v>120000</v>
      </c>
      <c r="I1178" s="8"/>
      <c r="J1178" s="8"/>
      <c r="K1178" s="8"/>
      <c r="L1178" s="9"/>
      <c r="M1178" s="9">
        <f t="shared" si="644"/>
        <v>120000</v>
      </c>
      <c r="N1178" s="9">
        <v>0</v>
      </c>
      <c r="O1178" s="8"/>
      <c r="P1178" s="9">
        <f t="shared" si="645"/>
        <v>0</v>
      </c>
      <c r="Q1178" s="8"/>
      <c r="R1178" s="8"/>
      <c r="S1178" s="8"/>
      <c r="T1178" s="9"/>
      <c r="U1178" s="9">
        <f t="shared" si="646"/>
        <v>0</v>
      </c>
      <c r="V1178" s="9">
        <f t="shared" si="647"/>
        <v>120000</v>
      </c>
      <c r="W1178" s="9">
        <f t="shared" si="648"/>
        <v>0</v>
      </c>
      <c r="X1178" s="9">
        <f t="shared" si="649"/>
        <v>120000</v>
      </c>
      <c r="Y1178" s="8"/>
      <c r="Z1178" s="9">
        <f t="shared" si="650"/>
        <v>0</v>
      </c>
      <c r="AA1178" s="8">
        <f t="shared" si="651"/>
        <v>120000</v>
      </c>
      <c r="AB1178" s="8">
        <f t="shared" si="652"/>
        <v>0</v>
      </c>
    </row>
    <row r="1179" spans="1:28" x14ac:dyDescent="0.3">
      <c r="A1179" s="64"/>
      <c r="B1179" s="8"/>
      <c r="C1179" s="7" t="s">
        <v>284</v>
      </c>
      <c r="D1179" s="15" t="s">
        <v>128</v>
      </c>
      <c r="E1179" s="9">
        <v>5000000</v>
      </c>
      <c r="F1179" s="9">
        <v>5000000</v>
      </c>
      <c r="G1179" s="8"/>
      <c r="H1179" s="9">
        <f t="shared" si="643"/>
        <v>5000000</v>
      </c>
      <c r="I1179" s="8"/>
      <c r="J1179" s="8"/>
      <c r="K1179" s="8"/>
      <c r="L1179" s="9"/>
      <c r="M1179" s="9">
        <f t="shared" si="644"/>
        <v>5000000</v>
      </c>
      <c r="N1179" s="9">
        <v>0</v>
      </c>
      <c r="O1179" s="8"/>
      <c r="P1179" s="9">
        <f t="shared" si="645"/>
        <v>0</v>
      </c>
      <c r="Q1179" s="8"/>
      <c r="R1179" s="8"/>
      <c r="S1179" s="8"/>
      <c r="T1179" s="9"/>
      <c r="U1179" s="9">
        <f t="shared" si="646"/>
        <v>0</v>
      </c>
      <c r="V1179" s="9">
        <f t="shared" si="647"/>
        <v>5000000</v>
      </c>
      <c r="W1179" s="9">
        <f t="shared" si="648"/>
        <v>0</v>
      </c>
      <c r="X1179" s="9">
        <f t="shared" si="649"/>
        <v>5000000</v>
      </c>
      <c r="Y1179" s="8"/>
      <c r="Z1179" s="9">
        <f t="shared" si="650"/>
        <v>0</v>
      </c>
      <c r="AA1179" s="8">
        <f t="shared" si="651"/>
        <v>5000000</v>
      </c>
      <c r="AB1179" s="8">
        <f t="shared" si="652"/>
        <v>0</v>
      </c>
    </row>
    <row r="1180" spans="1:28" x14ac:dyDescent="0.3">
      <c r="A1180" s="64"/>
      <c r="B1180" s="8"/>
      <c r="C1180" s="7" t="s">
        <v>57</v>
      </c>
      <c r="D1180" s="15" t="s">
        <v>58</v>
      </c>
      <c r="E1180" s="9">
        <v>1229926</v>
      </c>
      <c r="F1180" s="9">
        <v>1229926</v>
      </c>
      <c r="G1180" s="8"/>
      <c r="H1180" s="9">
        <f t="shared" si="643"/>
        <v>1229926</v>
      </c>
      <c r="I1180" s="8"/>
      <c r="J1180" s="8"/>
      <c r="K1180" s="8"/>
      <c r="L1180" s="9"/>
      <c r="M1180" s="9">
        <f t="shared" si="644"/>
        <v>1229926</v>
      </c>
      <c r="N1180" s="9">
        <v>0</v>
      </c>
      <c r="O1180" s="8"/>
      <c r="P1180" s="9">
        <f t="shared" si="645"/>
        <v>0</v>
      </c>
      <c r="Q1180" s="8"/>
      <c r="R1180" s="8"/>
      <c r="S1180" s="8"/>
      <c r="T1180" s="9"/>
      <c r="U1180" s="9">
        <f t="shared" si="646"/>
        <v>0</v>
      </c>
      <c r="V1180" s="9">
        <f t="shared" si="647"/>
        <v>1229926</v>
      </c>
      <c r="W1180" s="9">
        <f t="shared" si="648"/>
        <v>0</v>
      </c>
      <c r="X1180" s="9">
        <f t="shared" si="649"/>
        <v>1229926</v>
      </c>
      <c r="Y1180" s="8"/>
      <c r="Z1180" s="9">
        <f t="shared" si="650"/>
        <v>0</v>
      </c>
      <c r="AA1180" s="8">
        <f t="shared" si="651"/>
        <v>1229926</v>
      </c>
      <c r="AB1180" s="8">
        <f t="shared" si="652"/>
        <v>0</v>
      </c>
    </row>
    <row r="1181" spans="1:28" x14ac:dyDescent="0.3">
      <c r="A1181" s="64"/>
      <c r="B1181" s="8"/>
      <c r="C1181" s="14" t="s">
        <v>109</v>
      </c>
      <c r="D1181" s="21" t="s">
        <v>60</v>
      </c>
      <c r="E1181" s="9">
        <v>2500000</v>
      </c>
      <c r="F1181" s="11">
        <v>2500000</v>
      </c>
      <c r="G1181" s="8"/>
      <c r="H1181" s="9">
        <f t="shared" si="643"/>
        <v>2500000</v>
      </c>
      <c r="I1181" s="8"/>
      <c r="J1181" s="8"/>
      <c r="K1181" s="8"/>
      <c r="L1181" s="9"/>
      <c r="M1181" s="9">
        <f t="shared" si="644"/>
        <v>2500000</v>
      </c>
      <c r="N1181" s="9">
        <v>0</v>
      </c>
      <c r="O1181" s="8"/>
      <c r="P1181" s="9">
        <f t="shared" si="645"/>
        <v>0</v>
      </c>
      <c r="Q1181" s="8"/>
      <c r="R1181" s="8"/>
      <c r="S1181" s="8"/>
      <c r="T1181" s="9"/>
      <c r="U1181" s="9">
        <f t="shared" si="646"/>
        <v>0</v>
      </c>
      <c r="V1181" s="9">
        <f t="shared" si="647"/>
        <v>2500000</v>
      </c>
      <c r="W1181" s="9">
        <f t="shared" si="648"/>
        <v>0</v>
      </c>
      <c r="X1181" s="9">
        <f t="shared" si="649"/>
        <v>2500000</v>
      </c>
      <c r="Y1181" s="8"/>
      <c r="Z1181" s="9">
        <f t="shared" si="650"/>
        <v>0</v>
      </c>
      <c r="AA1181" s="8">
        <f t="shared" si="651"/>
        <v>2500000</v>
      </c>
      <c r="AB1181" s="8">
        <f t="shared" si="652"/>
        <v>0</v>
      </c>
    </row>
    <row r="1182" spans="1:28" x14ac:dyDescent="0.3">
      <c r="A1182" s="64"/>
      <c r="B1182" s="8"/>
      <c r="C1182" s="14" t="s">
        <v>291</v>
      </c>
      <c r="D1182" s="21" t="s">
        <v>73</v>
      </c>
      <c r="E1182" s="11">
        <f>650254+1261194.49+288551.51</f>
        <v>2200000</v>
      </c>
      <c r="F1182" s="11">
        <f>650254+1261194.49+288551.51</f>
        <v>2200000</v>
      </c>
      <c r="G1182" s="11"/>
      <c r="H1182" s="9">
        <f t="shared" si="643"/>
        <v>2200000</v>
      </c>
      <c r="I1182" s="8"/>
      <c r="J1182" s="8"/>
      <c r="K1182" s="8"/>
      <c r="L1182" s="9"/>
      <c r="M1182" s="9">
        <f t="shared" si="644"/>
        <v>2200000</v>
      </c>
      <c r="N1182" s="11">
        <v>0</v>
      </c>
      <c r="O1182" s="8"/>
      <c r="P1182" s="9">
        <f t="shared" si="645"/>
        <v>0</v>
      </c>
      <c r="Q1182" s="8"/>
      <c r="R1182" s="8"/>
      <c r="S1182" s="8"/>
      <c r="T1182" s="9"/>
      <c r="U1182" s="9">
        <f t="shared" si="646"/>
        <v>0</v>
      </c>
      <c r="V1182" s="9">
        <f t="shared" si="647"/>
        <v>2200000</v>
      </c>
      <c r="W1182" s="9">
        <f t="shared" si="648"/>
        <v>0</v>
      </c>
      <c r="X1182" s="9">
        <f t="shared" si="649"/>
        <v>2200000</v>
      </c>
      <c r="Y1182" s="8"/>
      <c r="Z1182" s="9">
        <f t="shared" si="650"/>
        <v>0</v>
      </c>
      <c r="AA1182" s="8">
        <f t="shared" si="651"/>
        <v>2200000</v>
      </c>
      <c r="AB1182" s="8">
        <f t="shared" si="652"/>
        <v>0</v>
      </c>
    </row>
    <row r="1183" spans="1:28" x14ac:dyDescent="0.3">
      <c r="A1183" s="64"/>
      <c r="B1183" s="8"/>
      <c r="C1183" s="7" t="s">
        <v>122</v>
      </c>
      <c r="D1183" s="8"/>
      <c r="E1183" s="9">
        <v>794022.42</v>
      </c>
      <c r="F1183" s="9">
        <v>794022.42</v>
      </c>
      <c r="G1183" s="8"/>
      <c r="H1183" s="9">
        <f t="shared" si="643"/>
        <v>794022.42</v>
      </c>
      <c r="I1183" s="8"/>
      <c r="J1183" s="8"/>
      <c r="K1183" s="8"/>
      <c r="L1183" s="9"/>
      <c r="M1183" s="9">
        <f t="shared" si="644"/>
        <v>794022.42</v>
      </c>
      <c r="N1183" s="9">
        <v>0</v>
      </c>
      <c r="O1183" s="8"/>
      <c r="P1183" s="9">
        <f t="shared" si="645"/>
        <v>0</v>
      </c>
      <c r="Q1183" s="8"/>
      <c r="R1183" s="8"/>
      <c r="S1183" s="8"/>
      <c r="T1183" s="9"/>
      <c r="U1183" s="9">
        <f t="shared" si="646"/>
        <v>0</v>
      </c>
      <c r="V1183" s="9">
        <f t="shared" si="647"/>
        <v>794022.42</v>
      </c>
      <c r="W1183" s="9">
        <f t="shared" si="648"/>
        <v>0</v>
      </c>
      <c r="X1183" s="9">
        <f t="shared" si="649"/>
        <v>794022.42</v>
      </c>
      <c r="Y1183" s="8"/>
      <c r="Z1183" s="9">
        <f t="shared" si="650"/>
        <v>0</v>
      </c>
      <c r="AA1183" s="8">
        <f t="shared" si="651"/>
        <v>794022.42</v>
      </c>
      <c r="AB1183" s="8">
        <f t="shared" si="652"/>
        <v>0</v>
      </c>
    </row>
    <row r="1184" spans="1:28" x14ac:dyDescent="0.3">
      <c r="A1184" s="64"/>
      <c r="B1184" s="8"/>
      <c r="C1184" s="7" t="s">
        <v>924</v>
      </c>
      <c r="D1184" s="8"/>
      <c r="E1184" s="9">
        <f>836000+4722.32</f>
        <v>840722.32</v>
      </c>
      <c r="F1184" s="8">
        <v>836000</v>
      </c>
      <c r="G1184" s="8"/>
      <c r="H1184" s="9">
        <f>F1184+G1184</f>
        <v>836000</v>
      </c>
      <c r="I1184" s="8"/>
      <c r="J1184" s="8"/>
      <c r="K1184" s="8"/>
      <c r="L1184" s="9"/>
      <c r="M1184" s="9">
        <f>H1184+L1184</f>
        <v>836000</v>
      </c>
      <c r="N1184" s="9">
        <v>4722.32</v>
      </c>
      <c r="O1184" s="8"/>
      <c r="P1184" s="9">
        <f>N1184+O1184</f>
        <v>4722.32</v>
      </c>
      <c r="Q1184" s="8"/>
      <c r="R1184" s="8"/>
      <c r="S1184" s="8"/>
      <c r="T1184" s="9"/>
      <c r="U1184" s="9">
        <f>P1184+T1184</f>
        <v>4722.32</v>
      </c>
      <c r="V1184" s="9">
        <f>P1184+H1184</f>
        <v>840722.32</v>
      </c>
      <c r="W1184" s="9">
        <f>E1184-V1184</f>
        <v>0</v>
      </c>
      <c r="X1184" s="9">
        <f t="shared" si="649"/>
        <v>840722.32</v>
      </c>
      <c r="Y1184" s="8"/>
      <c r="Z1184" s="9">
        <f t="shared" si="650"/>
        <v>0</v>
      </c>
      <c r="AA1184" s="8">
        <f t="shared" si="651"/>
        <v>840722.32</v>
      </c>
      <c r="AB1184" s="8">
        <f t="shared" si="652"/>
        <v>0</v>
      </c>
    </row>
    <row r="1185" spans="1:28" x14ac:dyDescent="0.3">
      <c r="A1185" s="64"/>
      <c r="B1185" s="8"/>
      <c r="C1185" s="7" t="s">
        <v>1134</v>
      </c>
      <c r="D1185" s="23" t="s">
        <v>1126</v>
      </c>
      <c r="E1185" s="9">
        <v>875157.01</v>
      </c>
      <c r="F1185" s="8">
        <v>875157.01</v>
      </c>
      <c r="G1185" s="8"/>
      <c r="H1185" s="9">
        <f>F1185+G1185</f>
        <v>875157.01</v>
      </c>
      <c r="I1185" s="8"/>
      <c r="J1185" s="8"/>
      <c r="K1185" s="8"/>
      <c r="L1185" s="9"/>
      <c r="M1185" s="9">
        <f>H1185+L1185</f>
        <v>875157.01</v>
      </c>
      <c r="N1185" s="9">
        <v>0</v>
      </c>
      <c r="O1185" s="8"/>
      <c r="P1185" s="9">
        <f>N1185+O1185</f>
        <v>0</v>
      </c>
      <c r="Q1185" s="8"/>
      <c r="R1185" s="8"/>
      <c r="S1185" s="8"/>
      <c r="T1185" s="9"/>
      <c r="U1185" s="9">
        <f>P1185+T1185</f>
        <v>0</v>
      </c>
      <c r="V1185" s="9">
        <f>P1185+H1185</f>
        <v>875157.01</v>
      </c>
      <c r="W1185" s="9"/>
      <c r="X1185" s="9">
        <f t="shared" si="649"/>
        <v>875157.01</v>
      </c>
      <c r="Y1185" s="8"/>
      <c r="Z1185" s="9">
        <f t="shared" si="650"/>
        <v>0</v>
      </c>
      <c r="AA1185" s="8">
        <f t="shared" si="651"/>
        <v>875157.01</v>
      </c>
      <c r="AB1185" s="8">
        <f t="shared" si="652"/>
        <v>0</v>
      </c>
    </row>
    <row r="1186" spans="1:28" x14ac:dyDescent="0.3">
      <c r="A1186" s="64"/>
      <c r="B1186" s="8"/>
      <c r="C1186" s="7" t="s">
        <v>90</v>
      </c>
      <c r="D1186" s="23" t="s">
        <v>61</v>
      </c>
      <c r="E1186" s="9">
        <v>300000</v>
      </c>
      <c r="F1186" s="9">
        <v>300000</v>
      </c>
      <c r="G1186" s="8"/>
      <c r="H1186" s="9">
        <f t="shared" si="643"/>
        <v>300000</v>
      </c>
      <c r="I1186" s="8">
        <v>300000</v>
      </c>
      <c r="J1186" s="8">
        <v>300000</v>
      </c>
      <c r="K1186" s="8"/>
      <c r="L1186" s="9"/>
      <c r="M1186" s="9">
        <f t="shared" si="644"/>
        <v>300000</v>
      </c>
      <c r="N1186" s="9">
        <v>0</v>
      </c>
      <c r="O1186" s="8"/>
      <c r="P1186" s="9">
        <f t="shared" si="645"/>
        <v>0</v>
      </c>
      <c r="Q1186" s="8"/>
      <c r="R1186" s="8"/>
      <c r="S1186" s="8"/>
      <c r="T1186" s="9"/>
      <c r="U1186" s="9">
        <f t="shared" si="646"/>
        <v>0</v>
      </c>
      <c r="V1186" s="9">
        <f t="shared" si="647"/>
        <v>300000</v>
      </c>
      <c r="W1186" s="9">
        <f t="shared" si="648"/>
        <v>0</v>
      </c>
      <c r="X1186" s="9">
        <f t="shared" si="649"/>
        <v>300000</v>
      </c>
      <c r="Y1186" s="8"/>
      <c r="Z1186" s="9">
        <f t="shared" si="650"/>
        <v>0</v>
      </c>
      <c r="AA1186" s="8">
        <f t="shared" si="651"/>
        <v>300000</v>
      </c>
      <c r="AB1186" s="8">
        <f t="shared" si="652"/>
        <v>0</v>
      </c>
    </row>
    <row r="1187" spans="1:28" x14ac:dyDescent="0.3">
      <c r="A1187" s="64"/>
      <c r="B1187" s="8"/>
      <c r="C1187" s="8"/>
      <c r="D1187" s="8"/>
      <c r="E1187" s="17" t="s">
        <v>29</v>
      </c>
      <c r="F1187" s="17" t="s">
        <v>29</v>
      </c>
      <c r="G1187" s="17" t="s">
        <v>29</v>
      </c>
      <c r="H1187" s="17" t="s">
        <v>29</v>
      </c>
      <c r="I1187" s="17" t="s">
        <v>29</v>
      </c>
      <c r="J1187" s="17" t="s">
        <v>29</v>
      </c>
      <c r="K1187" s="17" t="s">
        <v>29</v>
      </c>
      <c r="L1187" s="17" t="s">
        <v>29</v>
      </c>
      <c r="M1187" s="17" t="s">
        <v>29</v>
      </c>
      <c r="N1187" s="17" t="s">
        <v>29</v>
      </c>
      <c r="O1187" s="17" t="s">
        <v>29</v>
      </c>
      <c r="P1187" s="17" t="s">
        <v>29</v>
      </c>
      <c r="Q1187" s="17" t="s">
        <v>29</v>
      </c>
      <c r="R1187" s="17" t="s">
        <v>29</v>
      </c>
      <c r="S1187" s="17" t="s">
        <v>29</v>
      </c>
      <c r="T1187" s="17" t="s">
        <v>29</v>
      </c>
      <c r="U1187" s="17" t="s">
        <v>29</v>
      </c>
      <c r="V1187" s="17" t="s">
        <v>29</v>
      </c>
      <c r="W1187" s="17" t="s">
        <v>29</v>
      </c>
      <c r="X1187" s="17" t="s">
        <v>29</v>
      </c>
      <c r="Y1187" s="17" t="s">
        <v>29</v>
      </c>
      <c r="Z1187" s="17" t="s">
        <v>29</v>
      </c>
      <c r="AA1187" s="17" t="s">
        <v>29</v>
      </c>
      <c r="AB1187" s="17" t="s">
        <v>29</v>
      </c>
    </row>
    <row r="1188" spans="1:28" x14ac:dyDescent="0.3">
      <c r="A1188" s="64"/>
      <c r="B1188" s="8"/>
      <c r="C1188" s="8"/>
      <c r="D1188" s="8"/>
      <c r="E1188" s="9">
        <f t="shared" ref="E1188:AB1188" si="653">SUM(E1170:E1186)</f>
        <v>39495860.329999998</v>
      </c>
      <c r="F1188" s="9">
        <f t="shared" si="653"/>
        <v>35618835.839999996</v>
      </c>
      <c r="G1188" s="9">
        <f t="shared" si="653"/>
        <v>0</v>
      </c>
      <c r="H1188" s="9">
        <f t="shared" si="653"/>
        <v>35618835.839999996</v>
      </c>
      <c r="I1188" s="9">
        <f t="shared" si="653"/>
        <v>300000</v>
      </c>
      <c r="J1188" s="9">
        <f t="shared" si="653"/>
        <v>300000</v>
      </c>
      <c r="K1188" s="9">
        <f t="shared" si="653"/>
        <v>0</v>
      </c>
      <c r="L1188" s="9">
        <f t="shared" si="653"/>
        <v>0</v>
      </c>
      <c r="M1188" s="9">
        <f t="shared" si="653"/>
        <v>35618835.839999996</v>
      </c>
      <c r="N1188" s="9">
        <f t="shared" si="653"/>
        <v>3877024.4899999998</v>
      </c>
      <c r="O1188" s="9">
        <f t="shared" si="653"/>
        <v>0</v>
      </c>
      <c r="P1188" s="9">
        <f t="shared" si="653"/>
        <v>3877024.4899999998</v>
      </c>
      <c r="Q1188" s="9">
        <f t="shared" si="653"/>
        <v>0</v>
      </c>
      <c r="R1188" s="9">
        <f t="shared" si="653"/>
        <v>0</v>
      </c>
      <c r="S1188" s="9">
        <f t="shared" si="653"/>
        <v>0</v>
      </c>
      <c r="T1188" s="9">
        <f t="shared" si="653"/>
        <v>0</v>
      </c>
      <c r="U1188" s="9">
        <f t="shared" si="653"/>
        <v>3877024.4899999998</v>
      </c>
      <c r="V1188" s="9">
        <f t="shared" si="653"/>
        <v>39495860.329999998</v>
      </c>
      <c r="W1188" s="9">
        <f t="shared" si="653"/>
        <v>0</v>
      </c>
      <c r="X1188" s="9">
        <f t="shared" si="653"/>
        <v>39495860.329999998</v>
      </c>
      <c r="Y1188" s="9">
        <f t="shared" si="653"/>
        <v>0</v>
      </c>
      <c r="Z1188" s="9">
        <f t="shared" si="653"/>
        <v>0</v>
      </c>
      <c r="AA1188" s="9">
        <f t="shared" si="653"/>
        <v>39495860.329999998</v>
      </c>
      <c r="AB1188" s="9">
        <f t="shared" si="653"/>
        <v>0</v>
      </c>
    </row>
    <row r="1189" spans="1:28" x14ac:dyDescent="0.3">
      <c r="A1189" s="64"/>
      <c r="B1189" s="8"/>
      <c r="C1189" s="8"/>
      <c r="D1189" s="8"/>
      <c r="E1189" s="17" t="s">
        <v>29</v>
      </c>
      <c r="F1189" s="17" t="s">
        <v>29</v>
      </c>
      <c r="G1189" s="17" t="s">
        <v>29</v>
      </c>
      <c r="H1189" s="17" t="s">
        <v>29</v>
      </c>
      <c r="I1189" s="17" t="s">
        <v>29</v>
      </c>
      <c r="J1189" s="17" t="s">
        <v>29</v>
      </c>
      <c r="K1189" s="17" t="s">
        <v>29</v>
      </c>
      <c r="L1189" s="17" t="s">
        <v>29</v>
      </c>
      <c r="M1189" s="17" t="s">
        <v>29</v>
      </c>
      <c r="N1189" s="17" t="s">
        <v>29</v>
      </c>
      <c r="O1189" s="17" t="s">
        <v>29</v>
      </c>
      <c r="P1189" s="17" t="s">
        <v>29</v>
      </c>
      <c r="Q1189" s="17" t="s">
        <v>29</v>
      </c>
      <c r="R1189" s="17" t="s">
        <v>29</v>
      </c>
      <c r="S1189" s="17" t="s">
        <v>29</v>
      </c>
      <c r="T1189" s="17" t="s">
        <v>29</v>
      </c>
      <c r="U1189" s="17" t="s">
        <v>29</v>
      </c>
      <c r="V1189" s="17" t="s">
        <v>29</v>
      </c>
      <c r="W1189" s="17" t="s">
        <v>29</v>
      </c>
      <c r="X1189" s="17" t="s">
        <v>29</v>
      </c>
      <c r="Y1189" s="17" t="s">
        <v>29</v>
      </c>
      <c r="Z1189" s="17" t="s">
        <v>29</v>
      </c>
      <c r="AA1189" s="17" t="s">
        <v>29</v>
      </c>
      <c r="AB1189" s="17" t="s">
        <v>29</v>
      </c>
    </row>
    <row r="1190" spans="1:28" x14ac:dyDescent="0.3">
      <c r="A1190" s="64"/>
      <c r="B1190" s="8"/>
      <c r="C1190" s="7" t="s">
        <v>292</v>
      </c>
      <c r="D1190" s="8"/>
      <c r="E1190" s="9">
        <f t="shared" ref="E1190:AB1190" si="654">E1188+E1167+E1144+E1130+E1107+E1086+E1066+E1050+E1034+E1014+E990+E985</f>
        <v>629598943.57000005</v>
      </c>
      <c r="F1190" s="9">
        <f t="shared" si="654"/>
        <v>514755831.01999992</v>
      </c>
      <c r="G1190" s="9">
        <f t="shared" si="654"/>
        <v>250000</v>
      </c>
      <c r="H1190" s="9">
        <f t="shared" si="654"/>
        <v>515005831.01999992</v>
      </c>
      <c r="I1190" s="9">
        <f t="shared" si="654"/>
        <v>13430469.43</v>
      </c>
      <c r="J1190" s="9">
        <f t="shared" si="654"/>
        <v>13430469.43</v>
      </c>
      <c r="K1190" s="9">
        <f t="shared" si="654"/>
        <v>0</v>
      </c>
      <c r="L1190" s="9">
        <f t="shared" si="654"/>
        <v>0</v>
      </c>
      <c r="M1190" s="9">
        <f t="shared" si="654"/>
        <v>515005831.01999992</v>
      </c>
      <c r="N1190" s="9">
        <f t="shared" si="654"/>
        <v>113880271.39999999</v>
      </c>
      <c r="O1190" s="9">
        <f t="shared" si="654"/>
        <v>0</v>
      </c>
      <c r="P1190" s="9">
        <f t="shared" si="654"/>
        <v>113880271.39999999</v>
      </c>
      <c r="Q1190" s="9">
        <f t="shared" si="654"/>
        <v>37806.410000000003</v>
      </c>
      <c r="R1190" s="9">
        <f t="shared" si="654"/>
        <v>0</v>
      </c>
      <c r="S1190" s="9">
        <f t="shared" si="654"/>
        <v>90390.74</v>
      </c>
      <c r="T1190" s="9">
        <f t="shared" si="654"/>
        <v>128197.15000000001</v>
      </c>
      <c r="U1190" s="9">
        <f t="shared" si="654"/>
        <v>114008468.54999998</v>
      </c>
      <c r="V1190" s="9">
        <f t="shared" si="654"/>
        <v>591426274.62</v>
      </c>
      <c r="W1190" s="9">
        <f t="shared" si="654"/>
        <v>712841.15</v>
      </c>
      <c r="X1190" s="9">
        <f t="shared" si="654"/>
        <v>628886102.42000008</v>
      </c>
      <c r="Y1190" s="9">
        <f t="shared" si="654"/>
        <v>0</v>
      </c>
      <c r="Z1190" s="9">
        <f t="shared" si="654"/>
        <v>712841.15</v>
      </c>
      <c r="AA1190" s="9">
        <f t="shared" si="654"/>
        <v>629014299.57000005</v>
      </c>
      <c r="AB1190" s="9">
        <f t="shared" si="654"/>
        <v>584644</v>
      </c>
    </row>
    <row r="1191" spans="1:28" x14ac:dyDescent="0.3">
      <c r="A1191" s="64"/>
      <c r="B1191" s="8"/>
      <c r="C1191" s="8"/>
      <c r="D1191" s="8"/>
      <c r="E1191" s="17" t="s">
        <v>114</v>
      </c>
      <c r="F1191" s="17" t="s">
        <v>114</v>
      </c>
      <c r="G1191" s="17" t="s">
        <v>114</v>
      </c>
      <c r="H1191" s="17" t="s">
        <v>114</v>
      </c>
      <c r="I1191" s="17" t="s">
        <v>114</v>
      </c>
      <c r="J1191" s="17" t="s">
        <v>114</v>
      </c>
      <c r="K1191" s="17" t="s">
        <v>114</v>
      </c>
      <c r="L1191" s="17" t="s">
        <v>114</v>
      </c>
      <c r="M1191" s="17" t="s">
        <v>114</v>
      </c>
      <c r="N1191" s="17" t="s">
        <v>114</v>
      </c>
      <c r="O1191" s="17" t="s">
        <v>114</v>
      </c>
      <c r="P1191" s="17" t="s">
        <v>114</v>
      </c>
      <c r="Q1191" s="17" t="s">
        <v>114</v>
      </c>
      <c r="R1191" s="17" t="s">
        <v>114</v>
      </c>
      <c r="S1191" s="17" t="s">
        <v>114</v>
      </c>
      <c r="T1191" s="17" t="s">
        <v>114</v>
      </c>
      <c r="U1191" s="17" t="s">
        <v>114</v>
      </c>
      <c r="V1191" s="17" t="s">
        <v>114</v>
      </c>
      <c r="W1191" s="17" t="s">
        <v>114</v>
      </c>
      <c r="X1191" s="17" t="s">
        <v>114</v>
      </c>
      <c r="Y1191" s="17" t="s">
        <v>114</v>
      </c>
      <c r="Z1191" s="17" t="s">
        <v>114</v>
      </c>
      <c r="AA1191" s="17" t="s">
        <v>114</v>
      </c>
      <c r="AB1191" s="17" t="s">
        <v>114</v>
      </c>
    </row>
    <row r="1192" spans="1:28" x14ac:dyDescent="0.3">
      <c r="A1192" s="64"/>
      <c r="B1192" s="8"/>
      <c r="C1192" s="8"/>
      <c r="D1192" s="8"/>
      <c r="E1192" s="17"/>
      <c r="F1192" s="17"/>
      <c r="G1192" s="17"/>
      <c r="H1192" s="17"/>
      <c r="I1192" s="17"/>
      <c r="J1192" s="17"/>
      <c r="K1192" s="17"/>
      <c r="L1192" s="17"/>
      <c r="M1192" s="17"/>
      <c r="N1192" s="17"/>
      <c r="O1192" s="17"/>
      <c r="P1192" s="17"/>
      <c r="Q1192" s="17"/>
      <c r="R1192" s="17"/>
      <c r="S1192" s="17"/>
      <c r="T1192" s="17"/>
      <c r="U1192" s="17"/>
      <c r="V1192" s="17"/>
      <c r="W1192" s="17"/>
      <c r="X1192" s="17"/>
      <c r="Y1192" s="17"/>
      <c r="Z1192" s="17"/>
      <c r="AA1192" s="58"/>
    </row>
    <row r="1193" spans="1:28" x14ac:dyDescent="0.3">
      <c r="A1193" s="64"/>
      <c r="B1193" s="8"/>
      <c r="C1193" s="8"/>
      <c r="D1193" s="8"/>
      <c r="E1193" s="17"/>
      <c r="F1193" s="17"/>
      <c r="G1193" s="17"/>
      <c r="H1193" s="17"/>
      <c r="I1193" s="17"/>
      <c r="J1193" s="17"/>
      <c r="K1193" s="17"/>
      <c r="L1193" s="17"/>
      <c r="M1193" s="17"/>
      <c r="N1193" s="17"/>
      <c r="O1193" s="17"/>
      <c r="P1193" s="17"/>
      <c r="Q1193" s="17"/>
      <c r="R1193" s="17"/>
      <c r="S1193" s="17"/>
      <c r="T1193" s="17"/>
      <c r="U1193" s="17"/>
      <c r="V1193" s="17"/>
      <c r="W1193" s="17"/>
      <c r="X1193" s="17"/>
      <c r="Y1193" s="17"/>
      <c r="Z1193" s="17"/>
    </row>
    <row r="1194" spans="1:28" x14ac:dyDescent="0.3">
      <c r="A1194" s="64"/>
      <c r="B1194" s="7" t="s">
        <v>673</v>
      </c>
      <c r="C1194" s="8"/>
      <c r="D1194" s="8"/>
      <c r="E1194" s="8"/>
      <c r="F1194" s="8"/>
      <c r="G1194" s="8"/>
      <c r="H1194" s="8"/>
      <c r="I1194" s="8"/>
      <c r="J1194" s="8"/>
      <c r="K1194" s="8"/>
      <c r="L1194" s="8"/>
      <c r="M1194" s="8"/>
      <c r="N1194" s="8"/>
      <c r="O1194" s="8"/>
      <c r="P1194" s="8"/>
      <c r="Q1194" s="8"/>
      <c r="R1194" s="17"/>
      <c r="S1194" s="17"/>
      <c r="T1194" s="17"/>
      <c r="U1194" s="17"/>
      <c r="V1194" s="17"/>
      <c r="W1194" s="17"/>
      <c r="X1194" s="17"/>
      <c r="Y1194" s="17"/>
      <c r="Z1194" s="17"/>
    </row>
    <row r="1195" spans="1:28" x14ac:dyDescent="0.3">
      <c r="A1195" s="64"/>
      <c r="B1195" s="7"/>
      <c r="C1195" s="8"/>
      <c r="D1195" s="8"/>
      <c r="E1195" s="8"/>
      <c r="F1195" s="8"/>
      <c r="G1195" s="8"/>
      <c r="H1195" s="8"/>
      <c r="I1195" s="8"/>
      <c r="J1195" s="8"/>
      <c r="K1195" s="8"/>
      <c r="L1195" s="8"/>
      <c r="M1195" s="8"/>
      <c r="N1195" s="8"/>
      <c r="O1195" s="8"/>
      <c r="P1195" s="8"/>
      <c r="Q1195" s="8"/>
      <c r="R1195" s="17"/>
      <c r="S1195" s="17"/>
      <c r="T1195" s="17"/>
      <c r="U1195" s="17"/>
      <c r="V1195" s="17"/>
      <c r="W1195" s="17"/>
      <c r="X1195" s="17"/>
      <c r="Y1195" s="17"/>
      <c r="Z1195" s="17"/>
    </row>
    <row r="1196" spans="1:28" x14ac:dyDescent="0.3">
      <c r="A1196" s="63" t="s">
        <v>992</v>
      </c>
      <c r="B1196" s="7" t="s">
        <v>674</v>
      </c>
      <c r="C1196" s="8"/>
      <c r="D1196" s="8"/>
      <c r="E1196" s="8"/>
      <c r="F1196" s="8"/>
      <c r="G1196" s="8"/>
      <c r="H1196" s="8"/>
      <c r="I1196" s="8"/>
      <c r="J1196" s="8"/>
      <c r="K1196" s="8"/>
      <c r="L1196" s="8"/>
      <c r="M1196" s="8"/>
      <c r="N1196" s="8"/>
      <c r="O1196" s="8"/>
      <c r="P1196" s="8"/>
      <c r="Q1196" s="8"/>
      <c r="R1196" s="17"/>
      <c r="S1196" s="17"/>
      <c r="T1196" s="17"/>
      <c r="U1196" s="17"/>
      <c r="V1196" s="17"/>
      <c r="W1196" s="17"/>
      <c r="X1196" s="17"/>
      <c r="Y1196" s="17"/>
      <c r="Z1196" s="17"/>
    </row>
    <row r="1197" spans="1:28" x14ac:dyDescent="0.3">
      <c r="A1197" s="64"/>
      <c r="B1197" s="8"/>
      <c r="C1197" s="7" t="s">
        <v>675</v>
      </c>
      <c r="D1197" s="15" t="s">
        <v>76</v>
      </c>
      <c r="E1197" s="9">
        <v>2232040.2200000002</v>
      </c>
      <c r="F1197" s="9">
        <v>1833695.69</v>
      </c>
      <c r="G1197" s="8"/>
      <c r="H1197" s="9">
        <f t="shared" ref="H1197:H1213" si="655">F1197+G1197</f>
        <v>1833695.69</v>
      </c>
      <c r="I1197" s="8"/>
      <c r="J1197" s="9">
        <f t="shared" ref="J1197:J1213" si="656">H1197+I1197</f>
        <v>1833695.69</v>
      </c>
      <c r="K1197" s="9">
        <v>398344.53</v>
      </c>
      <c r="L1197" s="8"/>
      <c r="M1197" s="9">
        <f>+H1197+L1197</f>
        <v>1833695.69</v>
      </c>
      <c r="N1197" s="8">
        <v>398344.53</v>
      </c>
      <c r="O1197" s="9"/>
      <c r="P1197" s="9">
        <f>+N1197+O1197</f>
        <v>398344.53</v>
      </c>
      <c r="Q1197" s="9">
        <f t="shared" ref="Q1197:Q1213" si="657">E1197-P1197</f>
        <v>1833695.6900000002</v>
      </c>
      <c r="R1197" s="17"/>
      <c r="S1197" s="17"/>
      <c r="T1197" s="17"/>
      <c r="U1197" s="9">
        <f t="shared" ref="U1197:U1213" si="658">P1197+T1197</f>
        <v>398344.53</v>
      </c>
      <c r="V1197" s="9">
        <f t="shared" ref="V1197:V1213" si="659">P1197+H1197</f>
        <v>2232040.2199999997</v>
      </c>
      <c r="W1197" s="9">
        <f t="shared" ref="W1197:W1213" si="660">E1197-V1197</f>
        <v>0</v>
      </c>
      <c r="X1197" s="9">
        <f t="shared" ref="X1197:X1213" si="661">+H1197+P1197</f>
        <v>2232040.2199999997</v>
      </c>
      <c r="Y1197" s="8"/>
      <c r="Z1197" s="9">
        <f t="shared" ref="Z1197:Z1213" si="662">+E1197-X1197</f>
        <v>0</v>
      </c>
      <c r="AA1197" s="8">
        <f t="shared" ref="AA1197:AA1213" si="663">+M1197+U1197</f>
        <v>2232040.2199999997</v>
      </c>
      <c r="AB1197" s="8">
        <f t="shared" ref="AB1197:AB1213" si="664">+E1197-AA1197</f>
        <v>0</v>
      </c>
    </row>
    <row r="1198" spans="1:28" x14ac:dyDescent="0.3">
      <c r="A1198" s="64"/>
      <c r="B1198" s="8"/>
      <c r="C1198" s="7" t="s">
        <v>539</v>
      </c>
      <c r="D1198" s="15" t="s">
        <v>68</v>
      </c>
      <c r="E1198" s="9">
        <f>3096630+189238.5+344070</f>
        <v>3629938.5</v>
      </c>
      <c r="F1198" s="8"/>
      <c r="G1198" s="8"/>
      <c r="H1198" s="9">
        <f t="shared" si="655"/>
        <v>0</v>
      </c>
      <c r="I1198" s="8"/>
      <c r="J1198" s="9">
        <f t="shared" si="656"/>
        <v>0</v>
      </c>
      <c r="K1198" s="9">
        <f>3285868.5+344070</f>
        <v>3629938.5</v>
      </c>
      <c r="L1198" s="8"/>
      <c r="M1198" s="9">
        <f t="shared" ref="M1198:M1213" si="665">+H1198+L1198</f>
        <v>0</v>
      </c>
      <c r="N1198" s="8">
        <v>3629938.5</v>
      </c>
      <c r="O1198" s="9"/>
      <c r="P1198" s="9">
        <f t="shared" ref="P1198:P1213" si="666">+N1198+O1198</f>
        <v>3629938.5</v>
      </c>
      <c r="Q1198" s="9">
        <f t="shared" si="657"/>
        <v>0</v>
      </c>
      <c r="R1198" s="17"/>
      <c r="S1198" s="17"/>
      <c r="T1198" s="17"/>
      <c r="U1198" s="9">
        <f t="shared" si="658"/>
        <v>3629938.5</v>
      </c>
      <c r="V1198" s="9">
        <f t="shared" si="659"/>
        <v>3629938.5</v>
      </c>
      <c r="W1198" s="9">
        <f t="shared" si="660"/>
        <v>0</v>
      </c>
      <c r="X1198" s="9">
        <f t="shared" si="661"/>
        <v>3629938.5</v>
      </c>
      <c r="Y1198" s="8"/>
      <c r="Z1198" s="9">
        <f t="shared" si="662"/>
        <v>0</v>
      </c>
      <c r="AA1198" s="8">
        <f t="shared" si="663"/>
        <v>3629938.5</v>
      </c>
      <c r="AB1198" s="8">
        <f t="shared" si="664"/>
        <v>0</v>
      </c>
    </row>
    <row r="1199" spans="1:28" x14ac:dyDescent="0.3">
      <c r="A1199" s="64"/>
      <c r="B1199" s="8"/>
      <c r="C1199" s="7" t="s">
        <v>535</v>
      </c>
      <c r="D1199" s="15" t="s">
        <v>68</v>
      </c>
      <c r="E1199" s="9">
        <f>4571400-4125292.58</f>
        <v>446107.41999999993</v>
      </c>
      <c r="F1199" s="8"/>
      <c r="G1199" s="8"/>
      <c r="H1199" s="9">
        <f t="shared" si="655"/>
        <v>0</v>
      </c>
      <c r="I1199" s="8"/>
      <c r="J1199" s="9">
        <f t="shared" si="656"/>
        <v>0</v>
      </c>
      <c r="K1199" s="9">
        <f>47162.65+398944.77</f>
        <v>446107.42000000004</v>
      </c>
      <c r="L1199" s="8"/>
      <c r="M1199" s="9">
        <f t="shared" si="665"/>
        <v>0</v>
      </c>
      <c r="N1199" s="8">
        <v>446107.42</v>
      </c>
      <c r="O1199" s="9"/>
      <c r="P1199" s="9">
        <f t="shared" si="666"/>
        <v>446107.42</v>
      </c>
      <c r="Q1199" s="9">
        <f t="shared" si="657"/>
        <v>0</v>
      </c>
      <c r="R1199" s="17"/>
      <c r="S1199" s="17"/>
      <c r="T1199" s="17"/>
      <c r="U1199" s="9">
        <f t="shared" si="658"/>
        <v>446107.42</v>
      </c>
      <c r="V1199" s="9">
        <f t="shared" si="659"/>
        <v>446107.42</v>
      </c>
      <c r="W1199" s="9">
        <f t="shared" si="660"/>
        <v>0</v>
      </c>
      <c r="X1199" s="9">
        <f t="shared" si="661"/>
        <v>446107.42</v>
      </c>
      <c r="Y1199" s="8"/>
      <c r="Z1199" s="9">
        <f t="shared" si="662"/>
        <v>0</v>
      </c>
      <c r="AA1199" s="8">
        <f t="shared" si="663"/>
        <v>446107.42</v>
      </c>
      <c r="AB1199" s="8">
        <f t="shared" si="664"/>
        <v>0</v>
      </c>
    </row>
    <row r="1200" spans="1:28" x14ac:dyDescent="0.3">
      <c r="A1200" s="64"/>
      <c r="B1200" s="8"/>
      <c r="C1200" s="7" t="s">
        <v>545</v>
      </c>
      <c r="D1200" s="15" t="s">
        <v>54</v>
      </c>
      <c r="E1200" s="9">
        <v>1953989</v>
      </c>
      <c r="F1200" s="8"/>
      <c r="G1200" s="8"/>
      <c r="H1200" s="9">
        <f t="shared" si="655"/>
        <v>0</v>
      </c>
      <c r="I1200" s="8"/>
      <c r="J1200" s="9">
        <f t="shared" si="656"/>
        <v>0</v>
      </c>
      <c r="K1200" s="9">
        <v>1953989</v>
      </c>
      <c r="L1200" s="8"/>
      <c r="M1200" s="9">
        <f t="shared" si="665"/>
        <v>0</v>
      </c>
      <c r="N1200" s="8">
        <v>1953989</v>
      </c>
      <c r="O1200" s="9"/>
      <c r="P1200" s="9">
        <f t="shared" si="666"/>
        <v>1953989</v>
      </c>
      <c r="Q1200" s="9">
        <f t="shared" si="657"/>
        <v>0</v>
      </c>
      <c r="R1200" s="17"/>
      <c r="S1200" s="17"/>
      <c r="T1200" s="17"/>
      <c r="U1200" s="9">
        <f t="shared" si="658"/>
        <v>1953989</v>
      </c>
      <c r="V1200" s="9">
        <f t="shared" si="659"/>
        <v>1953989</v>
      </c>
      <c r="W1200" s="9">
        <f t="shared" si="660"/>
        <v>0</v>
      </c>
      <c r="X1200" s="9">
        <f t="shared" si="661"/>
        <v>1953989</v>
      </c>
      <c r="Y1200" s="8"/>
      <c r="Z1200" s="9">
        <f t="shared" si="662"/>
        <v>0</v>
      </c>
      <c r="AA1200" s="8">
        <f t="shared" si="663"/>
        <v>1953989</v>
      </c>
      <c r="AB1200" s="8">
        <f t="shared" si="664"/>
        <v>0</v>
      </c>
    </row>
    <row r="1201" spans="1:28" x14ac:dyDescent="0.3">
      <c r="A1201" s="64"/>
      <c r="B1201" s="8"/>
      <c r="C1201" s="7" t="s">
        <v>557</v>
      </c>
      <c r="D1201" s="15" t="s">
        <v>54</v>
      </c>
      <c r="E1201" s="9">
        <v>5307000</v>
      </c>
      <c r="F1201" s="9">
        <f>3714900+1592100</f>
        <v>5307000</v>
      </c>
      <c r="G1201" s="8"/>
      <c r="H1201" s="9">
        <f t="shared" si="655"/>
        <v>5307000</v>
      </c>
      <c r="I1201" s="8"/>
      <c r="J1201" s="9">
        <f t="shared" si="656"/>
        <v>5307000</v>
      </c>
      <c r="K1201" s="8"/>
      <c r="L1201" s="8"/>
      <c r="M1201" s="9">
        <f t="shared" si="665"/>
        <v>5307000</v>
      </c>
      <c r="N1201" s="8"/>
      <c r="O1201" s="9"/>
      <c r="P1201" s="9">
        <f t="shared" si="666"/>
        <v>0</v>
      </c>
      <c r="Q1201" s="9">
        <f t="shared" si="657"/>
        <v>5307000</v>
      </c>
      <c r="R1201" s="17"/>
      <c r="S1201" s="17"/>
      <c r="T1201" s="17"/>
      <c r="U1201" s="9">
        <f t="shared" si="658"/>
        <v>0</v>
      </c>
      <c r="V1201" s="9">
        <f t="shared" si="659"/>
        <v>5307000</v>
      </c>
      <c r="W1201" s="9">
        <f t="shared" si="660"/>
        <v>0</v>
      </c>
      <c r="X1201" s="9">
        <f t="shared" si="661"/>
        <v>5307000</v>
      </c>
      <c r="Y1201" s="8"/>
      <c r="Z1201" s="9">
        <f t="shared" si="662"/>
        <v>0</v>
      </c>
      <c r="AA1201" s="8">
        <f t="shared" si="663"/>
        <v>5307000</v>
      </c>
      <c r="AB1201" s="8">
        <f t="shared" si="664"/>
        <v>0</v>
      </c>
    </row>
    <row r="1202" spans="1:28" x14ac:dyDescent="0.3">
      <c r="A1202" s="64"/>
      <c r="B1202" s="8"/>
      <c r="C1202" s="7" t="s">
        <v>535</v>
      </c>
      <c r="D1202" s="15" t="s">
        <v>108</v>
      </c>
      <c r="E1202" s="9">
        <f>2000000+4610502.88</f>
        <v>6610502.8799999999</v>
      </c>
      <c r="F1202" s="9">
        <v>6610502.8799999999</v>
      </c>
      <c r="G1202" s="8"/>
      <c r="H1202" s="9">
        <f t="shared" si="655"/>
        <v>6610502.8799999999</v>
      </c>
      <c r="I1202" s="8"/>
      <c r="J1202" s="9">
        <f t="shared" si="656"/>
        <v>6610502.8799999999</v>
      </c>
      <c r="K1202" s="8"/>
      <c r="L1202" s="8"/>
      <c r="M1202" s="9">
        <f t="shared" si="665"/>
        <v>6610502.8799999999</v>
      </c>
      <c r="N1202" s="8"/>
      <c r="O1202" s="9"/>
      <c r="P1202" s="9">
        <f t="shared" si="666"/>
        <v>0</v>
      </c>
      <c r="Q1202" s="9">
        <f t="shared" si="657"/>
        <v>6610502.8799999999</v>
      </c>
      <c r="R1202" s="17"/>
      <c r="S1202" s="17"/>
      <c r="T1202" s="17"/>
      <c r="U1202" s="9">
        <f t="shared" si="658"/>
        <v>0</v>
      </c>
      <c r="V1202" s="9">
        <f t="shared" si="659"/>
        <v>6610502.8799999999</v>
      </c>
      <c r="W1202" s="9">
        <f t="shared" si="660"/>
        <v>0</v>
      </c>
      <c r="X1202" s="9">
        <f t="shared" si="661"/>
        <v>6610502.8799999999</v>
      </c>
      <c r="Y1202" s="8"/>
      <c r="Z1202" s="9">
        <f t="shared" si="662"/>
        <v>0</v>
      </c>
      <c r="AA1202" s="8">
        <f t="shared" si="663"/>
        <v>6610502.8799999999</v>
      </c>
      <c r="AB1202" s="8">
        <f t="shared" si="664"/>
        <v>0</v>
      </c>
    </row>
    <row r="1203" spans="1:28" x14ac:dyDescent="0.3">
      <c r="A1203" s="64"/>
      <c r="B1203" s="8"/>
      <c r="C1203" s="7" t="s">
        <v>1193</v>
      </c>
      <c r="D1203" s="16" t="s">
        <v>1126</v>
      </c>
      <c r="E1203" s="9">
        <f>300000+99402</f>
        <v>399402</v>
      </c>
      <c r="F1203" s="9">
        <f>+E1203</f>
        <v>399402</v>
      </c>
      <c r="G1203" s="8"/>
      <c r="H1203" s="9">
        <f>+F1203+G1203</f>
        <v>399402</v>
      </c>
      <c r="I1203" s="8"/>
      <c r="J1203" s="9">
        <f t="shared" si="656"/>
        <v>399402</v>
      </c>
      <c r="K1203" s="8"/>
      <c r="L1203" s="8"/>
      <c r="M1203" s="9">
        <f t="shared" si="665"/>
        <v>399402</v>
      </c>
      <c r="N1203" s="8"/>
      <c r="O1203" s="9"/>
      <c r="P1203" s="9">
        <f>+N1203+O1203</f>
        <v>0</v>
      </c>
      <c r="Q1203" s="9">
        <f t="shared" si="657"/>
        <v>399402</v>
      </c>
      <c r="R1203" s="17"/>
      <c r="S1203" s="17"/>
      <c r="T1203" s="17"/>
      <c r="U1203" s="9">
        <f t="shared" si="658"/>
        <v>0</v>
      </c>
      <c r="V1203" s="9">
        <f t="shared" si="659"/>
        <v>399402</v>
      </c>
      <c r="W1203" s="9">
        <f t="shared" si="660"/>
        <v>0</v>
      </c>
      <c r="X1203" s="9">
        <f t="shared" si="661"/>
        <v>399402</v>
      </c>
      <c r="Y1203" s="8"/>
      <c r="Z1203" s="9">
        <f t="shared" si="662"/>
        <v>0</v>
      </c>
      <c r="AA1203" s="8">
        <f t="shared" si="663"/>
        <v>399402</v>
      </c>
      <c r="AB1203" s="8">
        <f t="shared" si="664"/>
        <v>0</v>
      </c>
    </row>
    <row r="1204" spans="1:28" x14ac:dyDescent="0.3">
      <c r="A1204" s="64"/>
      <c r="B1204" s="8"/>
      <c r="C1204" s="7" t="s">
        <v>535</v>
      </c>
      <c r="D1204" s="15" t="s">
        <v>58</v>
      </c>
      <c r="E1204" s="9">
        <f>1052421.97+4434417+2092456.84-1052421.97</f>
        <v>6526873.8399999999</v>
      </c>
      <c r="F1204" s="9">
        <v>6526873.8399999999</v>
      </c>
      <c r="G1204" s="8"/>
      <c r="H1204" s="9">
        <f t="shared" si="655"/>
        <v>6526873.8399999999</v>
      </c>
      <c r="I1204" s="8"/>
      <c r="J1204" s="9">
        <f t="shared" si="656"/>
        <v>6526873.8399999999</v>
      </c>
      <c r="K1204" s="8"/>
      <c r="L1204" s="8"/>
      <c r="M1204" s="9">
        <f t="shared" si="665"/>
        <v>6526873.8399999999</v>
      </c>
      <c r="N1204" s="8"/>
      <c r="O1204" s="9"/>
      <c r="P1204" s="9">
        <f t="shared" si="666"/>
        <v>0</v>
      </c>
      <c r="Q1204" s="9">
        <f t="shared" si="657"/>
        <v>6526873.8399999999</v>
      </c>
      <c r="R1204" s="17"/>
      <c r="S1204" s="17"/>
      <c r="T1204" s="17"/>
      <c r="U1204" s="9">
        <f t="shared" si="658"/>
        <v>0</v>
      </c>
      <c r="V1204" s="9">
        <f t="shared" si="659"/>
        <v>6526873.8399999999</v>
      </c>
      <c r="W1204" s="9">
        <f t="shared" si="660"/>
        <v>0</v>
      </c>
      <c r="X1204" s="9">
        <f t="shared" si="661"/>
        <v>6526873.8399999999</v>
      </c>
      <c r="Y1204" s="8"/>
      <c r="Z1204" s="9">
        <f t="shared" si="662"/>
        <v>0</v>
      </c>
      <c r="AA1204" s="8">
        <f t="shared" si="663"/>
        <v>6526873.8399999999</v>
      </c>
      <c r="AB1204" s="8">
        <f t="shared" si="664"/>
        <v>0</v>
      </c>
    </row>
    <row r="1205" spans="1:28" x14ac:dyDescent="0.3">
      <c r="A1205" s="64"/>
      <c r="B1205" s="8"/>
      <c r="C1205" s="7" t="s">
        <v>535</v>
      </c>
      <c r="D1205" s="15" t="s">
        <v>60</v>
      </c>
      <c r="E1205" s="9">
        <f>3004026+1237231</f>
        <v>4241257</v>
      </c>
      <c r="F1205" s="9">
        <f>3004026+1237231</f>
        <v>4241257</v>
      </c>
      <c r="G1205" s="8"/>
      <c r="H1205" s="9">
        <f t="shared" si="655"/>
        <v>4241257</v>
      </c>
      <c r="I1205" s="9"/>
      <c r="J1205" s="9">
        <f t="shared" si="656"/>
        <v>4241257</v>
      </c>
      <c r="K1205" s="8"/>
      <c r="L1205" s="8"/>
      <c r="M1205" s="9">
        <f t="shared" si="665"/>
        <v>4241257</v>
      </c>
      <c r="N1205" s="8"/>
      <c r="O1205" s="9"/>
      <c r="P1205" s="9">
        <f t="shared" si="666"/>
        <v>0</v>
      </c>
      <c r="Q1205" s="9">
        <f t="shared" si="657"/>
        <v>4241257</v>
      </c>
      <c r="R1205" s="17"/>
      <c r="S1205" s="17"/>
      <c r="T1205" s="17"/>
      <c r="U1205" s="9">
        <f t="shared" si="658"/>
        <v>0</v>
      </c>
      <c r="V1205" s="9">
        <f t="shared" si="659"/>
        <v>4241257</v>
      </c>
      <c r="W1205" s="9">
        <f t="shared" si="660"/>
        <v>0</v>
      </c>
      <c r="X1205" s="9">
        <f t="shared" si="661"/>
        <v>4241257</v>
      </c>
      <c r="Y1205" s="8"/>
      <c r="Z1205" s="9">
        <f t="shared" si="662"/>
        <v>0</v>
      </c>
      <c r="AA1205" s="8">
        <f t="shared" si="663"/>
        <v>4241257</v>
      </c>
      <c r="AB1205" s="8">
        <f t="shared" si="664"/>
        <v>0</v>
      </c>
    </row>
    <row r="1206" spans="1:28" x14ac:dyDescent="0.3">
      <c r="A1206" s="64"/>
      <c r="B1206" s="8"/>
      <c r="C1206" s="14" t="s">
        <v>535</v>
      </c>
      <c r="D1206" s="21" t="s">
        <v>73</v>
      </c>
      <c r="E1206" s="11">
        <f>4986660+541095.84</f>
        <v>5527755.8399999999</v>
      </c>
      <c r="F1206" s="11">
        <f>4986660+541095.84</f>
        <v>5527755.8399999999</v>
      </c>
      <c r="G1206" s="8"/>
      <c r="H1206" s="9">
        <f t="shared" si="655"/>
        <v>5527755.8399999999</v>
      </c>
      <c r="I1206" s="8"/>
      <c r="J1206" s="9">
        <f t="shared" si="656"/>
        <v>5527755.8399999999</v>
      </c>
      <c r="K1206" s="8"/>
      <c r="L1206" s="8"/>
      <c r="M1206" s="9">
        <f t="shared" si="665"/>
        <v>5527755.8399999999</v>
      </c>
      <c r="N1206" s="8"/>
      <c r="O1206" s="9"/>
      <c r="P1206" s="9">
        <f t="shared" si="666"/>
        <v>0</v>
      </c>
      <c r="Q1206" s="9">
        <f t="shared" si="657"/>
        <v>5527755.8399999999</v>
      </c>
      <c r="R1206" s="17"/>
      <c r="S1206" s="17"/>
      <c r="T1206" s="17"/>
      <c r="U1206" s="9">
        <f t="shared" si="658"/>
        <v>0</v>
      </c>
      <c r="V1206" s="9">
        <f t="shared" si="659"/>
        <v>5527755.8399999999</v>
      </c>
      <c r="W1206" s="9">
        <f t="shared" si="660"/>
        <v>0</v>
      </c>
      <c r="X1206" s="9">
        <f t="shared" si="661"/>
        <v>5527755.8399999999</v>
      </c>
      <c r="Y1206" s="8"/>
      <c r="Z1206" s="9">
        <f t="shared" si="662"/>
        <v>0</v>
      </c>
      <c r="AA1206" s="8">
        <f t="shared" si="663"/>
        <v>5527755.8399999999</v>
      </c>
      <c r="AB1206" s="8">
        <f t="shared" si="664"/>
        <v>0</v>
      </c>
    </row>
    <row r="1207" spans="1:28" x14ac:dyDescent="0.3">
      <c r="A1207" s="64"/>
      <c r="B1207" s="8"/>
      <c r="C1207" s="14" t="s">
        <v>535</v>
      </c>
      <c r="D1207" s="21" t="s">
        <v>61</v>
      </c>
      <c r="E1207" s="11">
        <f>553350.77+3894649.23</f>
        <v>4448000</v>
      </c>
      <c r="F1207" s="11">
        <f>553350.77+3894649.23</f>
        <v>4448000</v>
      </c>
      <c r="G1207" s="8"/>
      <c r="H1207" s="9">
        <f t="shared" si="655"/>
        <v>4448000</v>
      </c>
      <c r="I1207" s="8"/>
      <c r="J1207" s="9">
        <f t="shared" si="656"/>
        <v>4448000</v>
      </c>
      <c r="K1207" s="8"/>
      <c r="L1207" s="8"/>
      <c r="M1207" s="9">
        <f t="shared" si="665"/>
        <v>4448000</v>
      </c>
      <c r="N1207" s="8"/>
      <c r="O1207" s="9"/>
      <c r="P1207" s="9">
        <f t="shared" si="666"/>
        <v>0</v>
      </c>
      <c r="Q1207" s="9">
        <f t="shared" si="657"/>
        <v>4448000</v>
      </c>
      <c r="R1207" s="17"/>
      <c r="S1207" s="17"/>
      <c r="T1207" s="17"/>
      <c r="U1207" s="9">
        <f t="shared" si="658"/>
        <v>0</v>
      </c>
      <c r="V1207" s="9">
        <f t="shared" si="659"/>
        <v>4448000</v>
      </c>
      <c r="W1207" s="9">
        <f t="shared" si="660"/>
        <v>0</v>
      </c>
      <c r="X1207" s="9">
        <f t="shared" si="661"/>
        <v>4448000</v>
      </c>
      <c r="Y1207" s="8"/>
      <c r="Z1207" s="9">
        <f t="shared" si="662"/>
        <v>0</v>
      </c>
      <c r="AA1207" s="8">
        <f t="shared" si="663"/>
        <v>4448000</v>
      </c>
      <c r="AB1207" s="8">
        <f t="shared" si="664"/>
        <v>0</v>
      </c>
    </row>
    <row r="1208" spans="1:28" x14ac:dyDescent="0.3">
      <c r="A1208" s="64"/>
      <c r="B1208" s="8"/>
      <c r="C1208" s="45" t="s">
        <v>933</v>
      </c>
      <c r="D1208" s="24" t="s">
        <v>1072</v>
      </c>
      <c r="E1208" s="11">
        <v>3544000</v>
      </c>
      <c r="F1208" s="11">
        <v>3544000</v>
      </c>
      <c r="G1208" s="8"/>
      <c r="H1208" s="9">
        <f>+F1208+G1208</f>
        <v>3544000</v>
      </c>
      <c r="I1208" s="8"/>
      <c r="J1208" s="9">
        <f t="shared" si="656"/>
        <v>3544000</v>
      </c>
      <c r="K1208" s="8"/>
      <c r="L1208" s="8"/>
      <c r="M1208" s="9">
        <f t="shared" si="665"/>
        <v>3544000</v>
      </c>
      <c r="N1208" s="8"/>
      <c r="O1208" s="9"/>
      <c r="P1208" s="9">
        <f>+N1208+O1208</f>
        <v>0</v>
      </c>
      <c r="Q1208" s="9"/>
      <c r="R1208" s="17"/>
      <c r="S1208" s="17"/>
      <c r="T1208" s="17"/>
      <c r="U1208" s="9">
        <f t="shared" si="658"/>
        <v>0</v>
      </c>
      <c r="V1208" s="9">
        <f t="shared" si="659"/>
        <v>3544000</v>
      </c>
      <c r="W1208" s="9"/>
      <c r="X1208" s="9">
        <f t="shared" si="661"/>
        <v>3544000</v>
      </c>
      <c r="Y1208" s="8"/>
      <c r="Z1208" s="9">
        <f t="shared" si="662"/>
        <v>0</v>
      </c>
      <c r="AA1208" s="8">
        <f t="shared" si="663"/>
        <v>3544000</v>
      </c>
      <c r="AB1208" s="8">
        <f t="shared" si="664"/>
        <v>0</v>
      </c>
    </row>
    <row r="1209" spans="1:28" x14ac:dyDescent="0.3">
      <c r="A1209" s="64"/>
      <c r="B1209" s="8"/>
      <c r="C1209" s="14" t="s">
        <v>1173</v>
      </c>
      <c r="D1209" s="24" t="s">
        <v>1126</v>
      </c>
      <c r="E1209" s="11">
        <v>6850130.5499999998</v>
      </c>
      <c r="F1209" s="8">
        <v>6850130.5499999998</v>
      </c>
      <c r="G1209" s="8"/>
      <c r="H1209" s="9">
        <f>+F1209+G1209</f>
        <v>6850130.5499999998</v>
      </c>
      <c r="I1209" s="8"/>
      <c r="J1209" s="9">
        <f t="shared" si="656"/>
        <v>6850130.5499999998</v>
      </c>
      <c r="K1209" s="8"/>
      <c r="L1209" s="8"/>
      <c r="M1209" s="9">
        <f t="shared" si="665"/>
        <v>6850130.5499999998</v>
      </c>
      <c r="N1209" s="8"/>
      <c r="O1209" s="9"/>
      <c r="P1209" s="9">
        <f>+N1209+O1209</f>
        <v>0</v>
      </c>
      <c r="Q1209" s="9"/>
      <c r="R1209" s="17"/>
      <c r="S1209" s="17"/>
      <c r="T1209" s="17"/>
      <c r="U1209" s="9">
        <f t="shared" si="658"/>
        <v>0</v>
      </c>
      <c r="V1209" s="9">
        <f t="shared" si="659"/>
        <v>6850130.5499999998</v>
      </c>
      <c r="W1209" s="9"/>
      <c r="X1209" s="9">
        <f t="shared" si="661"/>
        <v>6850130.5499999998</v>
      </c>
      <c r="Y1209" s="8"/>
      <c r="Z1209" s="9">
        <f t="shared" si="662"/>
        <v>0</v>
      </c>
      <c r="AA1209" s="8">
        <f t="shared" si="663"/>
        <v>6850130.5499999998</v>
      </c>
      <c r="AB1209" s="8">
        <f t="shared" si="664"/>
        <v>0</v>
      </c>
    </row>
    <row r="1210" spans="1:28" x14ac:dyDescent="0.3">
      <c r="A1210" s="64"/>
      <c r="B1210" s="8"/>
      <c r="C1210" s="14" t="s">
        <v>1245</v>
      </c>
      <c r="D1210" s="24" t="s">
        <v>1225</v>
      </c>
      <c r="E1210" s="11">
        <v>5394530.7999999998</v>
      </c>
      <c r="F1210" s="8"/>
      <c r="G1210" s="8">
        <f>+E1210+F1210</f>
        <v>5394530.7999999998</v>
      </c>
      <c r="H1210" s="9">
        <f>+F1210+G1210</f>
        <v>5394530.7999999998</v>
      </c>
      <c r="I1210" s="8"/>
      <c r="J1210" s="9"/>
      <c r="K1210" s="8"/>
      <c r="L1210" s="8"/>
      <c r="M1210" s="9">
        <f>+H1210+L1210</f>
        <v>5394530.7999999998</v>
      </c>
      <c r="N1210" s="8"/>
      <c r="O1210" s="9"/>
      <c r="P1210" s="9">
        <f>+N1210+O1210</f>
        <v>0</v>
      </c>
      <c r="Q1210" s="9"/>
      <c r="R1210" s="17"/>
      <c r="S1210" s="17"/>
      <c r="T1210" s="17"/>
      <c r="U1210" s="9">
        <f t="shared" si="658"/>
        <v>0</v>
      </c>
      <c r="V1210" s="9">
        <f t="shared" si="659"/>
        <v>5394530.7999999998</v>
      </c>
      <c r="W1210" s="9"/>
      <c r="X1210" s="9">
        <f t="shared" si="661"/>
        <v>5394530.7999999998</v>
      </c>
      <c r="Y1210" s="8"/>
      <c r="Z1210" s="9">
        <f t="shared" si="662"/>
        <v>0</v>
      </c>
      <c r="AA1210" s="8">
        <f t="shared" si="663"/>
        <v>5394530.7999999998</v>
      </c>
      <c r="AB1210" s="8">
        <f t="shared" si="664"/>
        <v>0</v>
      </c>
    </row>
    <row r="1211" spans="1:28" x14ac:dyDescent="0.3">
      <c r="A1211" s="64"/>
      <c r="B1211" s="8"/>
      <c r="C1211" s="7" t="s">
        <v>577</v>
      </c>
      <c r="D1211" s="8"/>
      <c r="E1211" s="9">
        <v>1089334.3899999999</v>
      </c>
      <c r="F1211" s="9">
        <v>1089334.3899999999</v>
      </c>
      <c r="G1211" s="8"/>
      <c r="H1211" s="9">
        <f t="shared" si="655"/>
        <v>1089334.3899999999</v>
      </c>
      <c r="I1211" s="8"/>
      <c r="J1211" s="9">
        <f t="shared" si="656"/>
        <v>1089334.3899999999</v>
      </c>
      <c r="K1211" s="8"/>
      <c r="L1211" s="8"/>
      <c r="M1211" s="9">
        <f t="shared" si="665"/>
        <v>1089334.3899999999</v>
      </c>
      <c r="N1211" s="8"/>
      <c r="O1211" s="9"/>
      <c r="P1211" s="9">
        <f t="shared" si="666"/>
        <v>0</v>
      </c>
      <c r="Q1211" s="9">
        <f t="shared" si="657"/>
        <v>1089334.3899999999</v>
      </c>
      <c r="R1211" s="17"/>
      <c r="S1211" s="17"/>
      <c r="T1211" s="17"/>
      <c r="U1211" s="9">
        <f t="shared" si="658"/>
        <v>0</v>
      </c>
      <c r="V1211" s="9">
        <f t="shared" si="659"/>
        <v>1089334.3899999999</v>
      </c>
      <c r="W1211" s="9">
        <f t="shared" si="660"/>
        <v>0</v>
      </c>
      <c r="X1211" s="9">
        <f t="shared" si="661"/>
        <v>1089334.3899999999</v>
      </c>
      <c r="Y1211" s="8"/>
      <c r="Z1211" s="9">
        <f t="shared" si="662"/>
        <v>0</v>
      </c>
      <c r="AA1211" s="8">
        <f t="shared" si="663"/>
        <v>1089334.3899999999</v>
      </c>
      <c r="AB1211" s="8">
        <f t="shared" si="664"/>
        <v>0</v>
      </c>
    </row>
    <row r="1212" spans="1:28" x14ac:dyDescent="0.3">
      <c r="A1212" s="64"/>
      <c r="B1212" s="8"/>
      <c r="C1212" s="7" t="s">
        <v>677</v>
      </c>
      <c r="D1212" s="8"/>
      <c r="E1212" s="9">
        <f>1000000-260789-112761</f>
        <v>626450</v>
      </c>
      <c r="F1212" s="9">
        <v>626450</v>
      </c>
      <c r="G1212" s="8"/>
      <c r="H1212" s="9">
        <f t="shared" si="655"/>
        <v>626450</v>
      </c>
      <c r="I1212" s="8"/>
      <c r="J1212" s="9">
        <f t="shared" si="656"/>
        <v>626450</v>
      </c>
      <c r="K1212" s="8"/>
      <c r="L1212" s="8"/>
      <c r="M1212" s="9">
        <f t="shared" si="665"/>
        <v>626450</v>
      </c>
      <c r="N1212" s="8"/>
      <c r="O1212" s="9"/>
      <c r="P1212" s="9">
        <f t="shared" si="666"/>
        <v>0</v>
      </c>
      <c r="Q1212" s="9">
        <f t="shared" si="657"/>
        <v>626450</v>
      </c>
      <c r="R1212" s="17"/>
      <c r="S1212" s="17"/>
      <c r="T1212" s="17"/>
      <c r="U1212" s="9">
        <f t="shared" si="658"/>
        <v>0</v>
      </c>
      <c r="V1212" s="9">
        <f t="shared" si="659"/>
        <v>626450</v>
      </c>
      <c r="W1212" s="9">
        <f t="shared" si="660"/>
        <v>0</v>
      </c>
      <c r="X1212" s="9">
        <f t="shared" si="661"/>
        <v>626450</v>
      </c>
      <c r="Y1212" s="8"/>
      <c r="Z1212" s="9">
        <f t="shared" si="662"/>
        <v>0</v>
      </c>
      <c r="AA1212" s="8">
        <f t="shared" si="663"/>
        <v>626450</v>
      </c>
      <c r="AB1212" s="8">
        <f t="shared" si="664"/>
        <v>0</v>
      </c>
    </row>
    <row r="1213" spans="1:28" x14ac:dyDescent="0.3">
      <c r="A1213" s="64"/>
      <c r="B1213" s="8"/>
      <c r="C1213" s="7" t="s">
        <v>678</v>
      </c>
      <c r="D1213" s="8"/>
      <c r="E1213" s="9">
        <v>1654060.25</v>
      </c>
      <c r="F1213" s="9">
        <v>1654060.25</v>
      </c>
      <c r="G1213" s="8"/>
      <c r="H1213" s="9">
        <f t="shared" si="655"/>
        <v>1654060.25</v>
      </c>
      <c r="I1213" s="9"/>
      <c r="J1213" s="9">
        <f t="shared" si="656"/>
        <v>1654060.25</v>
      </c>
      <c r="K1213" s="8"/>
      <c r="L1213" s="8"/>
      <c r="M1213" s="9">
        <f t="shared" si="665"/>
        <v>1654060.25</v>
      </c>
      <c r="N1213" s="8"/>
      <c r="O1213" s="9"/>
      <c r="P1213" s="9">
        <f t="shared" si="666"/>
        <v>0</v>
      </c>
      <c r="Q1213" s="9">
        <f t="shared" si="657"/>
        <v>1654060.25</v>
      </c>
      <c r="R1213" s="17"/>
      <c r="S1213" s="17"/>
      <c r="T1213" s="17"/>
      <c r="U1213" s="9">
        <f t="shared" si="658"/>
        <v>0</v>
      </c>
      <c r="V1213" s="9">
        <f t="shared" si="659"/>
        <v>1654060.25</v>
      </c>
      <c r="W1213" s="9">
        <f t="shared" si="660"/>
        <v>0</v>
      </c>
      <c r="X1213" s="9">
        <f t="shared" si="661"/>
        <v>1654060.25</v>
      </c>
      <c r="Y1213" s="8"/>
      <c r="Z1213" s="9">
        <f t="shared" si="662"/>
        <v>0</v>
      </c>
      <c r="AA1213" s="8">
        <f t="shared" si="663"/>
        <v>1654060.25</v>
      </c>
      <c r="AB1213" s="8">
        <f t="shared" si="664"/>
        <v>0</v>
      </c>
    </row>
    <row r="1214" spans="1:28" x14ac:dyDescent="0.3">
      <c r="A1214" s="64"/>
      <c r="B1214" s="8"/>
      <c r="C1214" s="8"/>
      <c r="D1214" s="8"/>
      <c r="E1214" s="17" t="s">
        <v>29</v>
      </c>
      <c r="F1214" s="17" t="s">
        <v>29</v>
      </c>
      <c r="G1214" s="17" t="s">
        <v>29</v>
      </c>
      <c r="H1214" s="17" t="s">
        <v>29</v>
      </c>
      <c r="I1214" s="17" t="s">
        <v>29</v>
      </c>
      <c r="J1214" s="17" t="s">
        <v>29</v>
      </c>
      <c r="K1214" s="17" t="s">
        <v>29</v>
      </c>
      <c r="L1214" s="17" t="s">
        <v>29</v>
      </c>
      <c r="M1214" s="17" t="s">
        <v>29</v>
      </c>
      <c r="N1214" s="17" t="s">
        <v>29</v>
      </c>
      <c r="O1214" s="17" t="s">
        <v>29</v>
      </c>
      <c r="P1214" s="17" t="s">
        <v>29</v>
      </c>
      <c r="Q1214" s="17" t="s">
        <v>29</v>
      </c>
      <c r="R1214" s="17" t="s">
        <v>29</v>
      </c>
      <c r="S1214" s="17" t="s">
        <v>29</v>
      </c>
      <c r="T1214" s="17" t="s">
        <v>29</v>
      </c>
      <c r="U1214" s="17" t="s">
        <v>29</v>
      </c>
      <c r="V1214" s="17" t="s">
        <v>29</v>
      </c>
      <c r="W1214" s="17" t="s">
        <v>29</v>
      </c>
      <c r="X1214" s="17" t="s">
        <v>29</v>
      </c>
      <c r="Y1214" s="17" t="s">
        <v>29</v>
      </c>
      <c r="Z1214" s="17" t="s">
        <v>29</v>
      </c>
      <c r="AA1214" s="17" t="s">
        <v>29</v>
      </c>
      <c r="AB1214" s="17" t="s">
        <v>29</v>
      </c>
    </row>
    <row r="1215" spans="1:28" x14ac:dyDescent="0.3">
      <c r="A1215" s="64"/>
      <c r="B1215" s="8"/>
      <c r="C1215" s="8"/>
      <c r="D1215" s="8"/>
      <c r="E1215" s="9">
        <f t="shared" ref="E1215:Q1215" si="667">SUM(E1197:E1214)</f>
        <v>60481372.689999998</v>
      </c>
      <c r="F1215" s="9">
        <f t="shared" si="667"/>
        <v>48658462.439999998</v>
      </c>
      <c r="G1215" s="9">
        <f t="shared" si="667"/>
        <v>5394530.7999999998</v>
      </c>
      <c r="H1215" s="9">
        <f t="shared" si="667"/>
        <v>54052993.239999995</v>
      </c>
      <c r="I1215" s="9">
        <f t="shared" si="667"/>
        <v>0</v>
      </c>
      <c r="J1215" s="9">
        <f t="shared" si="667"/>
        <v>48658462.439999998</v>
      </c>
      <c r="K1215" s="9">
        <f t="shared" si="667"/>
        <v>6428379.4500000002</v>
      </c>
      <c r="L1215" s="9">
        <f t="shared" si="667"/>
        <v>0</v>
      </c>
      <c r="M1215" s="9">
        <f t="shared" si="667"/>
        <v>54052993.239999995</v>
      </c>
      <c r="N1215" s="9">
        <f t="shared" si="667"/>
        <v>6428379.4500000002</v>
      </c>
      <c r="O1215" s="9">
        <f t="shared" si="667"/>
        <v>0</v>
      </c>
      <c r="P1215" s="9">
        <f t="shared" si="667"/>
        <v>6428379.4500000002</v>
      </c>
      <c r="Q1215" s="9">
        <f t="shared" si="667"/>
        <v>38264331.890000001</v>
      </c>
      <c r="R1215" s="17"/>
      <c r="S1215" s="17"/>
      <c r="T1215" s="9">
        <f t="shared" ref="T1215:Z1215" si="668">SUM(T1197:T1214)</f>
        <v>0</v>
      </c>
      <c r="U1215" s="9">
        <f t="shared" si="668"/>
        <v>6428379.4500000002</v>
      </c>
      <c r="V1215" s="9">
        <f t="shared" si="668"/>
        <v>60481372.689999998</v>
      </c>
      <c r="W1215" s="9">
        <f t="shared" si="668"/>
        <v>0</v>
      </c>
      <c r="X1215" s="9">
        <f t="shared" si="668"/>
        <v>60481372.689999998</v>
      </c>
      <c r="Y1215" s="9">
        <f t="shared" si="668"/>
        <v>0</v>
      </c>
      <c r="Z1215" s="9">
        <f t="shared" si="668"/>
        <v>0</v>
      </c>
      <c r="AA1215" s="9">
        <f>SUM(AA1197:AA1214)</f>
        <v>60481372.689999998</v>
      </c>
      <c r="AB1215" s="9">
        <f>SUM(AB1197:AB1214)</f>
        <v>0</v>
      </c>
    </row>
    <row r="1216" spans="1:28" x14ac:dyDescent="0.3">
      <c r="A1216" s="64"/>
      <c r="B1216" s="8"/>
      <c r="C1216" s="8"/>
      <c r="D1216" s="8"/>
      <c r="E1216" s="17" t="s">
        <v>29</v>
      </c>
      <c r="F1216" s="17" t="s">
        <v>29</v>
      </c>
      <c r="G1216" s="17" t="s">
        <v>29</v>
      </c>
      <c r="H1216" s="17" t="s">
        <v>29</v>
      </c>
      <c r="I1216" s="17" t="s">
        <v>29</v>
      </c>
      <c r="J1216" s="17" t="s">
        <v>29</v>
      </c>
      <c r="K1216" s="17" t="s">
        <v>29</v>
      </c>
      <c r="L1216" s="17" t="s">
        <v>29</v>
      </c>
      <c r="M1216" s="17" t="s">
        <v>29</v>
      </c>
      <c r="N1216" s="17" t="s">
        <v>29</v>
      </c>
      <c r="O1216" s="17" t="s">
        <v>29</v>
      </c>
      <c r="P1216" s="17" t="s">
        <v>29</v>
      </c>
      <c r="Q1216" s="17" t="s">
        <v>29</v>
      </c>
      <c r="R1216" s="17" t="s">
        <v>29</v>
      </c>
      <c r="S1216" s="17" t="s">
        <v>29</v>
      </c>
      <c r="T1216" s="17" t="s">
        <v>29</v>
      </c>
      <c r="U1216" s="17" t="s">
        <v>29</v>
      </c>
      <c r="V1216" s="17" t="s">
        <v>29</v>
      </c>
      <c r="W1216" s="17" t="s">
        <v>29</v>
      </c>
      <c r="X1216" s="17" t="s">
        <v>29</v>
      </c>
      <c r="Y1216" s="17" t="s">
        <v>29</v>
      </c>
      <c r="Z1216" s="17" t="s">
        <v>29</v>
      </c>
      <c r="AA1216" s="17" t="s">
        <v>29</v>
      </c>
      <c r="AB1216" s="17" t="s">
        <v>29</v>
      </c>
    </row>
    <row r="1217" spans="1:28" x14ac:dyDescent="0.3">
      <c r="A1217" s="63" t="s">
        <v>993</v>
      </c>
      <c r="B1217" s="7" t="s">
        <v>679</v>
      </c>
      <c r="C1217" s="8"/>
      <c r="D1217" s="8"/>
      <c r="E1217" s="8"/>
      <c r="F1217" s="8"/>
      <c r="G1217" s="8"/>
      <c r="H1217" s="8"/>
      <c r="I1217" s="8"/>
      <c r="J1217" s="8"/>
      <c r="K1217" s="8"/>
      <c r="L1217" s="8"/>
      <c r="M1217" s="8"/>
      <c r="N1217" s="8"/>
      <c r="O1217" s="8"/>
      <c r="P1217" s="8"/>
      <c r="Q1217" s="8"/>
      <c r="R1217" s="17"/>
      <c r="S1217" s="17"/>
      <c r="T1217" s="17"/>
      <c r="U1217" s="17"/>
      <c r="V1217" s="17"/>
      <c r="W1217" s="17"/>
      <c r="X1217" s="17"/>
      <c r="Y1217" s="17"/>
      <c r="Z1217" s="17"/>
    </row>
    <row r="1218" spans="1:28" x14ac:dyDescent="0.3">
      <c r="A1218" s="64"/>
      <c r="B1218" s="8"/>
      <c r="C1218" s="7" t="s">
        <v>680</v>
      </c>
      <c r="D1218" s="15" t="s">
        <v>166</v>
      </c>
      <c r="E1218" s="9">
        <v>1265000</v>
      </c>
      <c r="F1218" s="9">
        <v>1265000</v>
      </c>
      <c r="G1218" s="8"/>
      <c r="H1218" s="9">
        <f t="shared" ref="H1218:H1243" si="669">F1218+G1218</f>
        <v>1265000</v>
      </c>
      <c r="I1218" s="8"/>
      <c r="J1218" s="9">
        <f t="shared" ref="J1218:J1243" si="670">H1218+I1218</f>
        <v>1265000</v>
      </c>
      <c r="K1218" s="8"/>
      <c r="L1218" s="8"/>
      <c r="M1218" s="9">
        <f>+H1218+L1218</f>
        <v>1265000</v>
      </c>
      <c r="N1218" s="8"/>
      <c r="O1218" s="9"/>
      <c r="P1218" s="9">
        <f>+N1218+O1218</f>
        <v>0</v>
      </c>
      <c r="Q1218" s="9">
        <f t="shared" ref="Q1218:Q1243" si="671">E1218-P1218</f>
        <v>1265000</v>
      </c>
      <c r="R1218" s="17"/>
      <c r="S1218" s="17"/>
      <c r="T1218" s="17"/>
      <c r="U1218" s="9">
        <f t="shared" ref="U1218:U1243" si="672">P1218+T1218</f>
        <v>0</v>
      </c>
      <c r="V1218" s="9">
        <f t="shared" ref="V1218:V1243" si="673">P1218+H1218</f>
        <v>1265000</v>
      </c>
      <c r="W1218" s="9">
        <f t="shared" ref="W1218:W1243" si="674">E1218-V1218</f>
        <v>0</v>
      </c>
      <c r="X1218" s="9">
        <f t="shared" ref="X1218:X1243" si="675">+H1218+P1218</f>
        <v>1265000</v>
      </c>
      <c r="Y1218" s="8"/>
      <c r="Z1218" s="9">
        <f t="shared" ref="Z1218:Z1243" si="676">+E1218-X1218</f>
        <v>0</v>
      </c>
      <c r="AA1218" s="8">
        <f t="shared" ref="AA1218:AA1243" si="677">+M1218+U1218</f>
        <v>1265000</v>
      </c>
      <c r="AB1218" s="8">
        <f t="shared" ref="AB1218:AB1243" si="678">+E1218-AA1218</f>
        <v>0</v>
      </c>
    </row>
    <row r="1219" spans="1:28" x14ac:dyDescent="0.3">
      <c r="A1219" s="64"/>
      <c r="B1219" s="8"/>
      <c r="C1219" s="7" t="s">
        <v>535</v>
      </c>
      <c r="D1219" s="15" t="s">
        <v>68</v>
      </c>
      <c r="E1219" s="9">
        <f>3166350-784231.41</f>
        <v>2382118.59</v>
      </c>
      <c r="F1219" s="9">
        <v>1936000</v>
      </c>
      <c r="G1219" s="8"/>
      <c r="H1219" s="9">
        <f t="shared" si="669"/>
        <v>1936000</v>
      </c>
      <c r="I1219" s="8"/>
      <c r="J1219" s="9">
        <f t="shared" si="670"/>
        <v>1936000</v>
      </c>
      <c r="K1219" s="9">
        <f>124998.68+321119.91</f>
        <v>446118.58999999997</v>
      </c>
      <c r="L1219" s="8"/>
      <c r="M1219" s="9">
        <f t="shared" ref="M1219:M1243" si="679">+H1219+L1219</f>
        <v>1936000</v>
      </c>
      <c r="N1219" s="8">
        <v>446118.59</v>
      </c>
      <c r="O1219" s="9"/>
      <c r="P1219" s="9">
        <f t="shared" ref="P1219:P1243" si="680">+N1219+O1219</f>
        <v>446118.59</v>
      </c>
      <c r="Q1219" s="9">
        <f t="shared" si="671"/>
        <v>1935999.9999999998</v>
      </c>
      <c r="R1219" s="17"/>
      <c r="S1219" s="17"/>
      <c r="T1219" s="17"/>
      <c r="U1219" s="9">
        <f t="shared" si="672"/>
        <v>446118.59</v>
      </c>
      <c r="V1219" s="9">
        <f t="shared" si="673"/>
        <v>2382118.59</v>
      </c>
      <c r="W1219" s="9">
        <f t="shared" si="674"/>
        <v>0</v>
      </c>
      <c r="X1219" s="9">
        <f t="shared" si="675"/>
        <v>2382118.59</v>
      </c>
      <c r="Y1219" s="8"/>
      <c r="Z1219" s="9">
        <f t="shared" si="676"/>
        <v>0</v>
      </c>
      <c r="AA1219" s="8">
        <f t="shared" si="677"/>
        <v>2382118.59</v>
      </c>
      <c r="AB1219" s="8">
        <f t="shared" si="678"/>
        <v>0</v>
      </c>
    </row>
    <row r="1220" spans="1:28" x14ac:dyDescent="0.3">
      <c r="A1220" s="64"/>
      <c r="B1220" s="8"/>
      <c r="C1220" s="7" t="s">
        <v>539</v>
      </c>
      <c r="D1220" s="15" t="s">
        <v>68</v>
      </c>
      <c r="E1220" s="9">
        <v>395680.5</v>
      </c>
      <c r="F1220" s="8"/>
      <c r="G1220" s="8"/>
      <c r="H1220" s="9">
        <f t="shared" si="669"/>
        <v>0</v>
      </c>
      <c r="I1220" s="8"/>
      <c r="J1220" s="9">
        <f t="shared" si="670"/>
        <v>0</v>
      </c>
      <c r="K1220" s="9">
        <v>395680.5</v>
      </c>
      <c r="L1220" s="8"/>
      <c r="M1220" s="9">
        <f t="shared" si="679"/>
        <v>0</v>
      </c>
      <c r="N1220" s="8">
        <v>395680.5</v>
      </c>
      <c r="O1220" s="9"/>
      <c r="P1220" s="9">
        <f t="shared" si="680"/>
        <v>395680.5</v>
      </c>
      <c r="Q1220" s="9">
        <f t="shared" si="671"/>
        <v>0</v>
      </c>
      <c r="R1220" s="17"/>
      <c r="S1220" s="17"/>
      <c r="T1220" s="17"/>
      <c r="U1220" s="9">
        <f t="shared" si="672"/>
        <v>395680.5</v>
      </c>
      <c r="V1220" s="9">
        <f t="shared" si="673"/>
        <v>395680.5</v>
      </c>
      <c r="W1220" s="9">
        <f t="shared" si="674"/>
        <v>0</v>
      </c>
      <c r="X1220" s="9">
        <f t="shared" si="675"/>
        <v>395680.5</v>
      </c>
      <c r="Y1220" s="8"/>
      <c r="Z1220" s="9">
        <f t="shared" si="676"/>
        <v>0</v>
      </c>
      <c r="AA1220" s="8">
        <f t="shared" si="677"/>
        <v>395680.5</v>
      </c>
      <c r="AB1220" s="8">
        <f t="shared" si="678"/>
        <v>0</v>
      </c>
    </row>
    <row r="1221" spans="1:28" x14ac:dyDescent="0.3">
      <c r="A1221" s="64"/>
      <c r="B1221" s="8"/>
      <c r="C1221" s="7" t="s">
        <v>557</v>
      </c>
      <c r="D1221" s="15" t="s">
        <v>68</v>
      </c>
      <c r="E1221" s="9">
        <f>5024550-4368847.43</f>
        <v>655702.5700000003</v>
      </c>
      <c r="F1221" s="9">
        <v>594058.99</v>
      </c>
      <c r="G1221" s="8"/>
      <c r="H1221" s="9">
        <f t="shared" si="669"/>
        <v>594058.99</v>
      </c>
      <c r="I1221" s="8"/>
      <c r="J1221" s="9">
        <f t="shared" si="670"/>
        <v>594058.99</v>
      </c>
      <c r="K1221" s="9">
        <f>61413.93+229.65</f>
        <v>61643.58</v>
      </c>
      <c r="L1221" s="8"/>
      <c r="M1221" s="9">
        <f t="shared" si="679"/>
        <v>594058.99</v>
      </c>
      <c r="N1221" s="8">
        <v>61643.58</v>
      </c>
      <c r="O1221" s="9"/>
      <c r="P1221" s="9">
        <f t="shared" si="680"/>
        <v>61643.58</v>
      </c>
      <c r="Q1221" s="9">
        <f t="shared" si="671"/>
        <v>594058.99000000034</v>
      </c>
      <c r="R1221" s="17"/>
      <c r="S1221" s="17"/>
      <c r="T1221" s="17"/>
      <c r="U1221" s="9">
        <f t="shared" si="672"/>
        <v>61643.58</v>
      </c>
      <c r="V1221" s="9">
        <f t="shared" si="673"/>
        <v>655702.56999999995</v>
      </c>
      <c r="W1221" s="9">
        <f t="shared" si="674"/>
        <v>0</v>
      </c>
      <c r="X1221" s="9">
        <f t="shared" si="675"/>
        <v>655702.56999999995</v>
      </c>
      <c r="Y1221" s="8"/>
      <c r="Z1221" s="9">
        <f t="shared" si="676"/>
        <v>0</v>
      </c>
      <c r="AA1221" s="8">
        <f t="shared" si="677"/>
        <v>655702.56999999995</v>
      </c>
      <c r="AB1221" s="8">
        <f t="shared" si="678"/>
        <v>0</v>
      </c>
    </row>
    <row r="1222" spans="1:28" x14ac:dyDescent="0.3">
      <c r="A1222" s="64"/>
      <c r="B1222" s="8"/>
      <c r="C1222" s="7" t="s">
        <v>545</v>
      </c>
      <c r="D1222" s="15" t="s">
        <v>54</v>
      </c>
      <c r="E1222" s="9">
        <v>1767770</v>
      </c>
      <c r="F1222" s="8"/>
      <c r="G1222" s="8"/>
      <c r="H1222" s="9">
        <f t="shared" si="669"/>
        <v>0</v>
      </c>
      <c r="I1222" s="8"/>
      <c r="J1222" s="9">
        <f t="shared" si="670"/>
        <v>0</v>
      </c>
      <c r="K1222" s="9">
        <v>1767770</v>
      </c>
      <c r="L1222" s="8"/>
      <c r="M1222" s="9">
        <f t="shared" si="679"/>
        <v>0</v>
      </c>
      <c r="N1222" s="8">
        <v>1767770</v>
      </c>
      <c r="O1222" s="9"/>
      <c r="P1222" s="9">
        <f t="shared" si="680"/>
        <v>1767770</v>
      </c>
      <c r="Q1222" s="9">
        <f t="shared" si="671"/>
        <v>0</v>
      </c>
      <c r="R1222" s="17"/>
      <c r="S1222" s="17"/>
      <c r="T1222" s="17"/>
      <c r="U1222" s="9">
        <f t="shared" si="672"/>
        <v>1767770</v>
      </c>
      <c r="V1222" s="9">
        <f t="shared" si="673"/>
        <v>1767770</v>
      </c>
      <c r="W1222" s="9">
        <f t="shared" si="674"/>
        <v>0</v>
      </c>
      <c r="X1222" s="9">
        <f t="shared" si="675"/>
        <v>1767770</v>
      </c>
      <c r="Y1222" s="8"/>
      <c r="Z1222" s="9">
        <f t="shared" si="676"/>
        <v>0</v>
      </c>
      <c r="AA1222" s="8">
        <f t="shared" si="677"/>
        <v>1767770</v>
      </c>
      <c r="AB1222" s="8">
        <f t="shared" si="678"/>
        <v>0</v>
      </c>
    </row>
    <row r="1223" spans="1:28" x14ac:dyDescent="0.3">
      <c r="A1223" s="64"/>
      <c r="B1223" s="8"/>
      <c r="C1223" s="7" t="s">
        <v>535</v>
      </c>
      <c r="D1223" s="15" t="s">
        <v>54</v>
      </c>
      <c r="E1223" s="9">
        <f>720000-36000</f>
        <v>684000</v>
      </c>
      <c r="F1223" s="9">
        <v>684000</v>
      </c>
      <c r="G1223" s="8"/>
      <c r="H1223" s="9">
        <f t="shared" si="669"/>
        <v>684000</v>
      </c>
      <c r="I1223" s="8"/>
      <c r="J1223" s="9">
        <f t="shared" si="670"/>
        <v>684000</v>
      </c>
      <c r="K1223" s="8"/>
      <c r="L1223" s="8"/>
      <c r="M1223" s="9">
        <f t="shared" si="679"/>
        <v>684000</v>
      </c>
      <c r="N1223" s="8"/>
      <c r="O1223" s="9"/>
      <c r="P1223" s="9">
        <f t="shared" si="680"/>
        <v>0</v>
      </c>
      <c r="Q1223" s="9">
        <f t="shared" si="671"/>
        <v>684000</v>
      </c>
      <c r="R1223" s="17"/>
      <c r="S1223" s="17"/>
      <c r="T1223" s="17"/>
      <c r="U1223" s="9">
        <f t="shared" si="672"/>
        <v>0</v>
      </c>
      <c r="V1223" s="9">
        <f t="shared" si="673"/>
        <v>684000</v>
      </c>
      <c r="W1223" s="9">
        <f t="shared" si="674"/>
        <v>0</v>
      </c>
      <c r="X1223" s="9">
        <f t="shared" si="675"/>
        <v>684000</v>
      </c>
      <c r="Y1223" s="8"/>
      <c r="Z1223" s="9">
        <f t="shared" si="676"/>
        <v>0</v>
      </c>
      <c r="AA1223" s="8">
        <f t="shared" si="677"/>
        <v>684000</v>
      </c>
      <c r="AB1223" s="8">
        <f t="shared" si="678"/>
        <v>0</v>
      </c>
    </row>
    <row r="1224" spans="1:28" x14ac:dyDescent="0.3">
      <c r="A1224" s="64"/>
      <c r="B1224" s="8"/>
      <c r="C1224" s="7" t="s">
        <v>535</v>
      </c>
      <c r="D1224" s="15" t="s">
        <v>85</v>
      </c>
      <c r="E1224" s="9">
        <v>2545940</v>
      </c>
      <c r="F1224" s="9">
        <f>2000000+545940</f>
        <v>2545940</v>
      </c>
      <c r="G1224" s="8"/>
      <c r="H1224" s="9">
        <f t="shared" si="669"/>
        <v>2545940</v>
      </c>
      <c r="I1224" s="8"/>
      <c r="J1224" s="9">
        <f t="shared" si="670"/>
        <v>2545940</v>
      </c>
      <c r="K1224" s="8"/>
      <c r="L1224" s="8"/>
      <c r="M1224" s="9">
        <f t="shared" si="679"/>
        <v>2545940</v>
      </c>
      <c r="N1224" s="8"/>
      <c r="O1224" s="9"/>
      <c r="P1224" s="9">
        <f t="shared" si="680"/>
        <v>0</v>
      </c>
      <c r="Q1224" s="9">
        <f t="shared" si="671"/>
        <v>2545940</v>
      </c>
      <c r="R1224" s="17"/>
      <c r="S1224" s="17"/>
      <c r="T1224" s="17"/>
      <c r="U1224" s="9">
        <f t="shared" si="672"/>
        <v>0</v>
      </c>
      <c r="V1224" s="9">
        <f t="shared" si="673"/>
        <v>2545940</v>
      </c>
      <c r="W1224" s="9">
        <f t="shared" si="674"/>
        <v>0</v>
      </c>
      <c r="X1224" s="9">
        <f t="shared" si="675"/>
        <v>2545940</v>
      </c>
      <c r="Y1224" s="8"/>
      <c r="Z1224" s="9">
        <f t="shared" si="676"/>
        <v>0</v>
      </c>
      <c r="AA1224" s="8">
        <f t="shared" si="677"/>
        <v>2545940</v>
      </c>
      <c r="AB1224" s="8">
        <f t="shared" si="678"/>
        <v>0</v>
      </c>
    </row>
    <row r="1225" spans="1:28" x14ac:dyDescent="0.3">
      <c r="A1225" s="64"/>
      <c r="B1225" s="8"/>
      <c r="C1225" s="7" t="s">
        <v>681</v>
      </c>
      <c r="D1225" s="15" t="s">
        <v>85</v>
      </c>
      <c r="E1225" s="9">
        <v>1185000</v>
      </c>
      <c r="F1225" s="9">
        <v>1185000</v>
      </c>
      <c r="G1225" s="8"/>
      <c r="H1225" s="9">
        <f t="shared" si="669"/>
        <v>1185000</v>
      </c>
      <c r="I1225" s="8"/>
      <c r="J1225" s="9">
        <f t="shared" si="670"/>
        <v>1185000</v>
      </c>
      <c r="K1225" s="8"/>
      <c r="L1225" s="8"/>
      <c r="M1225" s="9">
        <f t="shared" si="679"/>
        <v>1185000</v>
      </c>
      <c r="N1225" s="8"/>
      <c r="O1225" s="9"/>
      <c r="P1225" s="9">
        <f t="shared" si="680"/>
        <v>0</v>
      </c>
      <c r="Q1225" s="9">
        <f t="shared" si="671"/>
        <v>1185000</v>
      </c>
      <c r="R1225" s="17"/>
      <c r="S1225" s="17"/>
      <c r="T1225" s="17"/>
      <c r="U1225" s="9">
        <f t="shared" si="672"/>
        <v>0</v>
      </c>
      <c r="V1225" s="9">
        <f t="shared" si="673"/>
        <v>1185000</v>
      </c>
      <c r="W1225" s="9">
        <f t="shared" si="674"/>
        <v>0</v>
      </c>
      <c r="X1225" s="9">
        <f t="shared" si="675"/>
        <v>1185000</v>
      </c>
      <c r="Y1225" s="8"/>
      <c r="Z1225" s="9">
        <f t="shared" si="676"/>
        <v>0</v>
      </c>
      <c r="AA1225" s="8">
        <f t="shared" si="677"/>
        <v>1185000</v>
      </c>
      <c r="AB1225" s="8">
        <f t="shared" si="678"/>
        <v>0</v>
      </c>
    </row>
    <row r="1226" spans="1:28" x14ac:dyDescent="0.3">
      <c r="A1226" s="64"/>
      <c r="B1226" s="8"/>
      <c r="C1226" s="7" t="s">
        <v>557</v>
      </c>
      <c r="D1226" s="15" t="s">
        <v>85</v>
      </c>
      <c r="E1226" s="9">
        <v>2249000</v>
      </c>
      <c r="F1226" s="9">
        <f>2000000+249000</f>
        <v>2249000</v>
      </c>
      <c r="G1226" s="8"/>
      <c r="H1226" s="9">
        <f t="shared" si="669"/>
        <v>2249000</v>
      </c>
      <c r="I1226" s="8"/>
      <c r="J1226" s="9">
        <f t="shared" si="670"/>
        <v>2249000</v>
      </c>
      <c r="K1226" s="8"/>
      <c r="L1226" s="8"/>
      <c r="M1226" s="9">
        <f t="shared" si="679"/>
        <v>2249000</v>
      </c>
      <c r="N1226" s="8"/>
      <c r="O1226" s="9"/>
      <c r="P1226" s="9">
        <f t="shared" si="680"/>
        <v>0</v>
      </c>
      <c r="Q1226" s="9">
        <f t="shared" si="671"/>
        <v>2249000</v>
      </c>
      <c r="R1226" s="17"/>
      <c r="S1226" s="17"/>
      <c r="T1226" s="17"/>
      <c r="U1226" s="9">
        <f t="shared" si="672"/>
        <v>0</v>
      </c>
      <c r="V1226" s="9">
        <f t="shared" si="673"/>
        <v>2249000</v>
      </c>
      <c r="W1226" s="9">
        <f t="shared" si="674"/>
        <v>0</v>
      </c>
      <c r="X1226" s="9">
        <f t="shared" si="675"/>
        <v>2249000</v>
      </c>
      <c r="Y1226" s="8"/>
      <c r="Z1226" s="9">
        <f t="shared" si="676"/>
        <v>0</v>
      </c>
      <c r="AA1226" s="8">
        <f t="shared" si="677"/>
        <v>2249000</v>
      </c>
      <c r="AB1226" s="8">
        <f t="shared" si="678"/>
        <v>0</v>
      </c>
    </row>
    <row r="1227" spans="1:28" x14ac:dyDescent="0.3">
      <c r="A1227" s="64"/>
      <c r="B1227" s="8"/>
      <c r="C1227" s="7" t="s">
        <v>682</v>
      </c>
      <c r="D1227" s="15" t="s">
        <v>128</v>
      </c>
      <c r="E1227" s="9">
        <f>100000-100000</f>
        <v>0</v>
      </c>
      <c r="F1227" s="8"/>
      <c r="G1227" s="8"/>
      <c r="H1227" s="9">
        <f t="shared" si="669"/>
        <v>0</v>
      </c>
      <c r="I1227" s="8"/>
      <c r="J1227" s="9">
        <f t="shared" si="670"/>
        <v>0</v>
      </c>
      <c r="K1227" s="8"/>
      <c r="L1227" s="8"/>
      <c r="M1227" s="9">
        <f t="shared" si="679"/>
        <v>0</v>
      </c>
      <c r="N1227" s="8"/>
      <c r="O1227" s="9"/>
      <c r="P1227" s="9">
        <f t="shared" si="680"/>
        <v>0</v>
      </c>
      <c r="Q1227" s="9">
        <f t="shared" si="671"/>
        <v>0</v>
      </c>
      <c r="R1227" s="17"/>
      <c r="S1227" s="17"/>
      <c r="T1227" s="17"/>
      <c r="U1227" s="9">
        <f t="shared" si="672"/>
        <v>0</v>
      </c>
      <c r="V1227" s="9">
        <f t="shared" si="673"/>
        <v>0</v>
      </c>
      <c r="W1227" s="9">
        <f t="shared" si="674"/>
        <v>0</v>
      </c>
      <c r="X1227" s="9">
        <f t="shared" si="675"/>
        <v>0</v>
      </c>
      <c r="Y1227" s="8"/>
      <c r="Z1227" s="9">
        <f t="shared" si="676"/>
        <v>0</v>
      </c>
      <c r="AA1227" s="8">
        <f t="shared" si="677"/>
        <v>0</v>
      </c>
      <c r="AB1227" s="8">
        <f t="shared" si="678"/>
        <v>0</v>
      </c>
    </row>
    <row r="1228" spans="1:28" x14ac:dyDescent="0.3">
      <c r="A1228" s="64"/>
      <c r="B1228" s="8"/>
      <c r="C1228" s="7" t="s">
        <v>535</v>
      </c>
      <c r="D1228" s="15" t="s">
        <v>88</v>
      </c>
      <c r="E1228" s="9">
        <v>1854932</v>
      </c>
      <c r="F1228" s="9">
        <v>1854932</v>
      </c>
      <c r="G1228" s="8"/>
      <c r="H1228" s="9">
        <f t="shared" si="669"/>
        <v>1854932</v>
      </c>
      <c r="I1228" s="8"/>
      <c r="J1228" s="9">
        <f t="shared" si="670"/>
        <v>1854932</v>
      </c>
      <c r="K1228" s="8"/>
      <c r="L1228" s="8"/>
      <c r="M1228" s="9">
        <f t="shared" si="679"/>
        <v>1854932</v>
      </c>
      <c r="N1228" s="8"/>
      <c r="O1228" s="9"/>
      <c r="P1228" s="9">
        <f t="shared" si="680"/>
        <v>0</v>
      </c>
      <c r="Q1228" s="9">
        <f t="shared" si="671"/>
        <v>1854932</v>
      </c>
      <c r="R1228" s="17"/>
      <c r="S1228" s="17"/>
      <c r="T1228" s="17"/>
      <c r="U1228" s="9">
        <f t="shared" si="672"/>
        <v>0</v>
      </c>
      <c r="V1228" s="9">
        <f t="shared" si="673"/>
        <v>1854932</v>
      </c>
      <c r="W1228" s="9">
        <f t="shared" si="674"/>
        <v>0</v>
      </c>
      <c r="X1228" s="9">
        <f t="shared" si="675"/>
        <v>1854932</v>
      </c>
      <c r="Y1228" s="8"/>
      <c r="Z1228" s="9">
        <f t="shared" si="676"/>
        <v>0</v>
      </c>
      <c r="AA1228" s="8">
        <f t="shared" si="677"/>
        <v>1854932</v>
      </c>
      <c r="AB1228" s="8">
        <f t="shared" si="678"/>
        <v>0</v>
      </c>
    </row>
    <row r="1229" spans="1:28" x14ac:dyDescent="0.3">
      <c r="A1229" s="64"/>
      <c r="B1229" s="8"/>
      <c r="C1229" s="7" t="s">
        <v>683</v>
      </c>
      <c r="D1229" s="15" t="s">
        <v>88</v>
      </c>
      <c r="E1229" s="9">
        <v>250000</v>
      </c>
      <c r="F1229" s="9">
        <v>250000</v>
      </c>
      <c r="G1229" s="8"/>
      <c r="H1229" s="9">
        <f t="shared" si="669"/>
        <v>250000</v>
      </c>
      <c r="I1229" s="8"/>
      <c r="J1229" s="9">
        <f t="shared" si="670"/>
        <v>250000</v>
      </c>
      <c r="K1229" s="8"/>
      <c r="L1229" s="8"/>
      <c r="M1229" s="9">
        <f t="shared" si="679"/>
        <v>250000</v>
      </c>
      <c r="N1229" s="8"/>
      <c r="O1229" s="9"/>
      <c r="P1229" s="9">
        <f t="shared" si="680"/>
        <v>0</v>
      </c>
      <c r="Q1229" s="9">
        <f t="shared" si="671"/>
        <v>250000</v>
      </c>
      <c r="R1229" s="17"/>
      <c r="S1229" s="17"/>
      <c r="T1229" s="17"/>
      <c r="U1229" s="9">
        <f t="shared" si="672"/>
        <v>0</v>
      </c>
      <c r="V1229" s="9">
        <f t="shared" si="673"/>
        <v>250000</v>
      </c>
      <c r="W1229" s="9">
        <f t="shared" si="674"/>
        <v>0</v>
      </c>
      <c r="X1229" s="9">
        <f t="shared" si="675"/>
        <v>250000</v>
      </c>
      <c r="Y1229" s="8"/>
      <c r="Z1229" s="9">
        <f t="shared" si="676"/>
        <v>0</v>
      </c>
      <c r="AA1229" s="8">
        <f t="shared" si="677"/>
        <v>250000</v>
      </c>
      <c r="AB1229" s="8">
        <f t="shared" si="678"/>
        <v>0</v>
      </c>
    </row>
    <row r="1230" spans="1:28" x14ac:dyDescent="0.3">
      <c r="A1230" s="64"/>
      <c r="B1230" s="8"/>
      <c r="C1230" s="7" t="s">
        <v>535</v>
      </c>
      <c r="D1230" s="15" t="s">
        <v>108</v>
      </c>
      <c r="E1230" s="9">
        <v>2000000</v>
      </c>
      <c r="F1230" s="9">
        <v>2000000</v>
      </c>
      <c r="G1230" s="8"/>
      <c r="H1230" s="9">
        <f t="shared" si="669"/>
        <v>2000000</v>
      </c>
      <c r="I1230" s="8"/>
      <c r="J1230" s="9">
        <f t="shared" si="670"/>
        <v>2000000</v>
      </c>
      <c r="K1230" s="8"/>
      <c r="L1230" s="8"/>
      <c r="M1230" s="9">
        <f t="shared" si="679"/>
        <v>2000000</v>
      </c>
      <c r="N1230" s="8"/>
      <c r="O1230" s="9"/>
      <c r="P1230" s="9">
        <f t="shared" si="680"/>
        <v>0</v>
      </c>
      <c r="Q1230" s="9">
        <f t="shared" si="671"/>
        <v>2000000</v>
      </c>
      <c r="R1230" s="17"/>
      <c r="S1230" s="17"/>
      <c r="T1230" s="17"/>
      <c r="U1230" s="9">
        <f t="shared" si="672"/>
        <v>0</v>
      </c>
      <c r="V1230" s="9">
        <f t="shared" si="673"/>
        <v>2000000</v>
      </c>
      <c r="W1230" s="9">
        <f t="shared" si="674"/>
        <v>0</v>
      </c>
      <c r="X1230" s="9">
        <f t="shared" si="675"/>
        <v>2000000</v>
      </c>
      <c r="Y1230" s="8"/>
      <c r="Z1230" s="9">
        <f t="shared" si="676"/>
        <v>0</v>
      </c>
      <c r="AA1230" s="8">
        <f t="shared" si="677"/>
        <v>2000000</v>
      </c>
      <c r="AB1230" s="8">
        <f t="shared" si="678"/>
        <v>0</v>
      </c>
    </row>
    <row r="1231" spans="1:28" x14ac:dyDescent="0.3">
      <c r="A1231" s="64"/>
      <c r="B1231" s="8"/>
      <c r="C1231" s="7" t="s">
        <v>535</v>
      </c>
      <c r="D1231" s="15" t="s">
        <v>58</v>
      </c>
      <c r="E1231" s="9">
        <v>1853600</v>
      </c>
      <c r="F1231" s="9">
        <v>1853600</v>
      </c>
      <c r="G1231" s="8"/>
      <c r="H1231" s="9">
        <f t="shared" si="669"/>
        <v>1853600</v>
      </c>
      <c r="I1231" s="8"/>
      <c r="J1231" s="9">
        <f t="shared" si="670"/>
        <v>1853600</v>
      </c>
      <c r="K1231" s="8"/>
      <c r="L1231" s="8"/>
      <c r="M1231" s="9">
        <f t="shared" si="679"/>
        <v>1853600</v>
      </c>
      <c r="N1231" s="8"/>
      <c r="O1231" s="9"/>
      <c r="P1231" s="9">
        <f t="shared" si="680"/>
        <v>0</v>
      </c>
      <c r="Q1231" s="9">
        <f t="shared" si="671"/>
        <v>1853600</v>
      </c>
      <c r="R1231" s="17"/>
      <c r="S1231" s="17"/>
      <c r="T1231" s="17"/>
      <c r="U1231" s="9">
        <f t="shared" si="672"/>
        <v>0</v>
      </c>
      <c r="V1231" s="9">
        <f t="shared" si="673"/>
        <v>1853600</v>
      </c>
      <c r="W1231" s="9">
        <f t="shared" si="674"/>
        <v>0</v>
      </c>
      <c r="X1231" s="9">
        <f t="shared" si="675"/>
        <v>1853600</v>
      </c>
      <c r="Y1231" s="8"/>
      <c r="Z1231" s="9">
        <f t="shared" si="676"/>
        <v>0</v>
      </c>
      <c r="AA1231" s="8">
        <f t="shared" si="677"/>
        <v>1853600</v>
      </c>
      <c r="AB1231" s="8">
        <f t="shared" si="678"/>
        <v>0</v>
      </c>
    </row>
    <row r="1232" spans="1:28" x14ac:dyDescent="0.3">
      <c r="A1232" s="64"/>
      <c r="B1232" s="8"/>
      <c r="C1232" s="7" t="s">
        <v>535</v>
      </c>
      <c r="D1232" s="15" t="s">
        <v>60</v>
      </c>
      <c r="E1232" s="9">
        <f>2621140.19+6263009</f>
        <v>8884149.1899999995</v>
      </c>
      <c r="F1232" s="9">
        <f>2621140.19+6263009</f>
        <v>8884149.1899999995</v>
      </c>
      <c r="G1232" s="8"/>
      <c r="H1232" s="9">
        <f t="shared" si="669"/>
        <v>8884149.1899999995</v>
      </c>
      <c r="I1232" s="8"/>
      <c r="J1232" s="9">
        <f t="shared" si="670"/>
        <v>8884149.1899999995</v>
      </c>
      <c r="K1232" s="8"/>
      <c r="L1232" s="8"/>
      <c r="M1232" s="9">
        <f t="shared" si="679"/>
        <v>8884149.1899999995</v>
      </c>
      <c r="N1232" s="8"/>
      <c r="O1232" s="9"/>
      <c r="P1232" s="9">
        <f t="shared" si="680"/>
        <v>0</v>
      </c>
      <c r="Q1232" s="9">
        <f t="shared" si="671"/>
        <v>8884149.1899999995</v>
      </c>
      <c r="R1232" s="17"/>
      <c r="S1232" s="17"/>
      <c r="T1232" s="17"/>
      <c r="U1232" s="9">
        <f t="shared" si="672"/>
        <v>0</v>
      </c>
      <c r="V1232" s="9">
        <f t="shared" si="673"/>
        <v>8884149.1899999995</v>
      </c>
      <c r="W1232" s="9">
        <f t="shared" si="674"/>
        <v>0</v>
      </c>
      <c r="X1232" s="9">
        <f t="shared" si="675"/>
        <v>8884149.1899999995</v>
      </c>
      <c r="Y1232" s="8"/>
      <c r="Z1232" s="9">
        <f t="shared" si="676"/>
        <v>0</v>
      </c>
      <c r="AA1232" s="8">
        <f t="shared" si="677"/>
        <v>8884149.1899999995</v>
      </c>
      <c r="AB1232" s="8">
        <f t="shared" si="678"/>
        <v>0</v>
      </c>
    </row>
    <row r="1233" spans="1:28" x14ac:dyDescent="0.3">
      <c r="A1233" s="64"/>
      <c r="B1233" s="8"/>
      <c r="C1233" s="14" t="s">
        <v>684</v>
      </c>
      <c r="D1233" s="15" t="s">
        <v>60</v>
      </c>
      <c r="E1233" s="11">
        <v>149654.93</v>
      </c>
      <c r="F1233" s="11">
        <v>149654.93</v>
      </c>
      <c r="G1233" s="8"/>
      <c r="H1233" s="9">
        <f t="shared" si="669"/>
        <v>149654.93</v>
      </c>
      <c r="I1233" s="8"/>
      <c r="J1233" s="9">
        <f t="shared" si="670"/>
        <v>149654.93</v>
      </c>
      <c r="K1233" s="8"/>
      <c r="L1233" s="8"/>
      <c r="M1233" s="9">
        <f t="shared" si="679"/>
        <v>149654.93</v>
      </c>
      <c r="N1233" s="8"/>
      <c r="O1233" s="9"/>
      <c r="P1233" s="9">
        <f t="shared" si="680"/>
        <v>0</v>
      </c>
      <c r="Q1233" s="9">
        <f t="shared" si="671"/>
        <v>149654.93</v>
      </c>
      <c r="R1233" s="17"/>
      <c r="S1233" s="17"/>
      <c r="T1233" s="17"/>
      <c r="U1233" s="9">
        <f t="shared" si="672"/>
        <v>0</v>
      </c>
      <c r="V1233" s="9">
        <f t="shared" si="673"/>
        <v>149654.93</v>
      </c>
      <c r="W1233" s="9">
        <f t="shared" si="674"/>
        <v>0</v>
      </c>
      <c r="X1233" s="9">
        <f t="shared" si="675"/>
        <v>149654.93</v>
      </c>
      <c r="Y1233" s="8"/>
      <c r="Z1233" s="9">
        <f t="shared" si="676"/>
        <v>0</v>
      </c>
      <c r="AA1233" s="8">
        <f t="shared" si="677"/>
        <v>149654.93</v>
      </c>
      <c r="AB1233" s="8">
        <f t="shared" si="678"/>
        <v>0</v>
      </c>
    </row>
    <row r="1234" spans="1:28" x14ac:dyDescent="0.3">
      <c r="A1234" s="64"/>
      <c r="B1234" s="8"/>
      <c r="C1234" s="7" t="s">
        <v>535</v>
      </c>
      <c r="D1234" s="15" t="s">
        <v>73</v>
      </c>
      <c r="E1234" s="9">
        <f>6395000+705859.43+498268+1757877</f>
        <v>9357004.4299999997</v>
      </c>
      <c r="F1234" s="9">
        <f>6395000+705859.43+2256145</f>
        <v>9357004.4299999997</v>
      </c>
      <c r="G1234" s="8"/>
      <c r="H1234" s="9">
        <f t="shared" si="669"/>
        <v>9357004.4299999997</v>
      </c>
      <c r="I1234" s="8"/>
      <c r="J1234" s="9">
        <f t="shared" si="670"/>
        <v>9357004.4299999997</v>
      </c>
      <c r="K1234" s="8"/>
      <c r="L1234" s="8"/>
      <c r="M1234" s="9">
        <f t="shared" si="679"/>
        <v>9357004.4299999997</v>
      </c>
      <c r="N1234" s="8"/>
      <c r="O1234" s="9"/>
      <c r="P1234" s="9">
        <f t="shared" si="680"/>
        <v>0</v>
      </c>
      <c r="Q1234" s="9">
        <f t="shared" si="671"/>
        <v>9357004.4299999997</v>
      </c>
      <c r="R1234" s="17"/>
      <c r="S1234" s="17"/>
      <c r="T1234" s="17"/>
      <c r="U1234" s="9">
        <f t="shared" si="672"/>
        <v>0</v>
      </c>
      <c r="V1234" s="9">
        <f t="shared" si="673"/>
        <v>9357004.4299999997</v>
      </c>
      <c r="W1234" s="9">
        <f t="shared" si="674"/>
        <v>0</v>
      </c>
      <c r="X1234" s="9">
        <f t="shared" si="675"/>
        <v>9357004.4299999997</v>
      </c>
      <c r="Y1234" s="8"/>
      <c r="Z1234" s="9">
        <f t="shared" si="676"/>
        <v>0</v>
      </c>
      <c r="AA1234" s="8">
        <f t="shared" si="677"/>
        <v>9357004.4299999997</v>
      </c>
      <c r="AB1234" s="8">
        <f t="shared" si="678"/>
        <v>0</v>
      </c>
    </row>
    <row r="1235" spans="1:28" x14ac:dyDescent="0.3">
      <c r="A1235" s="64"/>
      <c r="B1235" s="8"/>
      <c r="C1235" s="7" t="s">
        <v>535</v>
      </c>
      <c r="D1235" s="15" t="s">
        <v>61</v>
      </c>
      <c r="E1235" s="11">
        <f>1523491.55+6367499.85+114495.11+372424.54+119125.96</f>
        <v>8497037.0099999998</v>
      </c>
      <c r="F1235" s="11">
        <f>1523491.55+6367499.85</f>
        <v>7890991.3999999994</v>
      </c>
      <c r="G1235" s="8"/>
      <c r="H1235" s="9">
        <f t="shared" si="669"/>
        <v>7890991.3999999994</v>
      </c>
      <c r="I1235" s="8"/>
      <c r="J1235" s="9">
        <f t="shared" si="670"/>
        <v>7890991.3999999994</v>
      </c>
      <c r="K1235" s="8"/>
      <c r="L1235" s="8"/>
      <c r="M1235" s="9">
        <f t="shared" si="679"/>
        <v>7890991.3999999994</v>
      </c>
      <c r="N1235" s="11"/>
      <c r="O1235" s="9"/>
      <c r="P1235" s="9">
        <f t="shared" si="680"/>
        <v>0</v>
      </c>
      <c r="Q1235" s="9">
        <f t="shared" si="671"/>
        <v>8497037.0099999998</v>
      </c>
      <c r="R1235" s="17"/>
      <c r="S1235" s="17"/>
      <c r="T1235" s="18">
        <v>606045.61</v>
      </c>
      <c r="U1235" s="9">
        <f t="shared" si="672"/>
        <v>606045.61</v>
      </c>
      <c r="V1235" s="9">
        <f t="shared" si="673"/>
        <v>7890991.3999999994</v>
      </c>
      <c r="W1235" s="9">
        <f t="shared" si="674"/>
        <v>606045.61000000034</v>
      </c>
      <c r="X1235" s="9">
        <f t="shared" si="675"/>
        <v>7890991.3999999994</v>
      </c>
      <c r="Y1235" s="8"/>
      <c r="Z1235" s="9">
        <f t="shared" si="676"/>
        <v>606045.61000000034</v>
      </c>
      <c r="AA1235" s="8">
        <f t="shared" si="677"/>
        <v>8497037.0099999998</v>
      </c>
      <c r="AB1235" s="8">
        <f t="shared" si="678"/>
        <v>0</v>
      </c>
    </row>
    <row r="1236" spans="1:28" x14ac:dyDescent="0.3">
      <c r="A1236" s="64"/>
      <c r="B1236" s="8"/>
      <c r="C1236" s="7" t="s">
        <v>1156</v>
      </c>
      <c r="D1236" s="16" t="s">
        <v>1126</v>
      </c>
      <c r="E1236" s="11">
        <v>836480.76</v>
      </c>
      <c r="F1236" s="11">
        <v>836480.76</v>
      </c>
      <c r="G1236" s="8"/>
      <c r="H1236" s="9">
        <f>+F1236+G1236</f>
        <v>836480.76</v>
      </c>
      <c r="I1236" s="8"/>
      <c r="J1236" s="9">
        <f t="shared" si="670"/>
        <v>836480.76</v>
      </c>
      <c r="K1236" s="8"/>
      <c r="L1236" s="8"/>
      <c r="M1236" s="9">
        <f t="shared" si="679"/>
        <v>836480.76</v>
      </c>
      <c r="N1236" s="11"/>
      <c r="O1236" s="9"/>
      <c r="P1236" s="9">
        <v>0</v>
      </c>
      <c r="Q1236" s="9"/>
      <c r="R1236" s="17"/>
      <c r="S1236" s="17"/>
      <c r="T1236" s="18"/>
      <c r="U1236" s="9">
        <f>+P1236+T1236</f>
        <v>0</v>
      </c>
      <c r="V1236" s="9"/>
      <c r="W1236" s="9"/>
      <c r="X1236" s="9">
        <f>+H1236+P1236</f>
        <v>836480.76</v>
      </c>
      <c r="Y1236" s="8"/>
      <c r="Z1236" s="9">
        <f>+E1236-X1236</f>
        <v>0</v>
      </c>
      <c r="AA1236" s="8">
        <f>+M1236+U1236</f>
        <v>836480.76</v>
      </c>
      <c r="AB1236" s="8">
        <f>+E1236-AA1236</f>
        <v>0</v>
      </c>
    </row>
    <row r="1237" spans="1:28" x14ac:dyDescent="0.3">
      <c r="A1237" s="64"/>
      <c r="B1237" s="8"/>
      <c r="C1237" s="7" t="s">
        <v>898</v>
      </c>
      <c r="D1237" s="16" t="s">
        <v>1126</v>
      </c>
      <c r="E1237" s="11">
        <v>599479.73</v>
      </c>
      <c r="F1237" s="11"/>
      <c r="G1237" s="8"/>
      <c r="H1237" s="9"/>
      <c r="I1237" s="8"/>
      <c r="J1237" s="9"/>
      <c r="K1237" s="8"/>
      <c r="L1237" s="8"/>
      <c r="M1237" s="9"/>
      <c r="N1237" s="11">
        <v>599479.73</v>
      </c>
      <c r="O1237" s="9"/>
      <c r="P1237" s="9">
        <f>+N1237+O1237</f>
        <v>599479.73</v>
      </c>
      <c r="Q1237" s="9"/>
      <c r="R1237" s="17"/>
      <c r="S1237" s="17"/>
      <c r="T1237" s="18"/>
      <c r="U1237" s="9">
        <f>+P1237+T1237</f>
        <v>599479.73</v>
      </c>
      <c r="V1237" s="9"/>
      <c r="W1237" s="9"/>
      <c r="X1237" s="9">
        <f>+H1237+P1237</f>
        <v>599479.73</v>
      </c>
      <c r="Y1237" s="8"/>
      <c r="Z1237" s="9">
        <f>+E1237-X1237</f>
        <v>0</v>
      </c>
      <c r="AA1237" s="8">
        <f>+M1237+U1237</f>
        <v>599479.73</v>
      </c>
      <c r="AB1237" s="8">
        <f>+E1237-AA1237</f>
        <v>0</v>
      </c>
    </row>
    <row r="1238" spans="1:28" x14ac:dyDescent="0.3">
      <c r="A1238" s="64"/>
      <c r="B1238" s="8"/>
      <c r="C1238" s="7" t="s">
        <v>1062</v>
      </c>
      <c r="D1238" s="15"/>
      <c r="E1238" s="11">
        <v>475000</v>
      </c>
      <c r="F1238" s="8">
        <v>475000</v>
      </c>
      <c r="G1238" s="8"/>
      <c r="H1238" s="9">
        <f t="shared" si="669"/>
        <v>475000</v>
      </c>
      <c r="I1238" s="8"/>
      <c r="J1238" s="9"/>
      <c r="K1238" s="8"/>
      <c r="L1238" s="8"/>
      <c r="M1238" s="9">
        <f t="shared" si="679"/>
        <v>475000</v>
      </c>
      <c r="N1238" s="11"/>
      <c r="O1238" s="9"/>
      <c r="P1238" s="9">
        <f t="shared" si="680"/>
        <v>0</v>
      </c>
      <c r="Q1238" s="9"/>
      <c r="R1238" s="17"/>
      <c r="S1238" s="17"/>
      <c r="T1238" s="18"/>
      <c r="U1238" s="9">
        <f>P1238+T1238</f>
        <v>0</v>
      </c>
      <c r="V1238" s="9">
        <f>P1238+H1238</f>
        <v>475000</v>
      </c>
      <c r="W1238" s="9">
        <f>E1238-V1238</f>
        <v>0</v>
      </c>
      <c r="X1238" s="9">
        <f t="shared" si="675"/>
        <v>475000</v>
      </c>
      <c r="Y1238" s="8"/>
      <c r="Z1238" s="9">
        <f t="shared" si="676"/>
        <v>0</v>
      </c>
      <c r="AA1238" s="8">
        <f t="shared" si="677"/>
        <v>475000</v>
      </c>
      <c r="AB1238" s="8">
        <f t="shared" si="678"/>
        <v>0</v>
      </c>
    </row>
    <row r="1239" spans="1:28" x14ac:dyDescent="0.3">
      <c r="A1239" s="64"/>
      <c r="B1239" s="8"/>
      <c r="C1239" s="7" t="s">
        <v>1155</v>
      </c>
      <c r="D1239" s="16" t="s">
        <v>1126</v>
      </c>
      <c r="E1239" s="11">
        <v>248088.26</v>
      </c>
      <c r="F1239" s="8">
        <v>248088.26</v>
      </c>
      <c r="G1239" s="8"/>
      <c r="H1239" s="9">
        <f>+F1239+G1239</f>
        <v>248088.26</v>
      </c>
      <c r="I1239" s="8"/>
      <c r="J1239" s="9"/>
      <c r="K1239" s="8"/>
      <c r="L1239" s="8"/>
      <c r="M1239" s="9">
        <f t="shared" si="679"/>
        <v>248088.26</v>
      </c>
      <c r="N1239" s="11"/>
      <c r="O1239" s="9"/>
      <c r="P1239" s="9">
        <f>+N1239+O1239</f>
        <v>0</v>
      </c>
      <c r="Q1239" s="9"/>
      <c r="R1239" s="17"/>
      <c r="S1239" s="17"/>
      <c r="T1239" s="18"/>
      <c r="U1239" s="9">
        <f>P1239+T1239</f>
        <v>0</v>
      </c>
      <c r="V1239" s="9">
        <f>P1239+H1239</f>
        <v>248088.26</v>
      </c>
      <c r="W1239" s="9">
        <f>E1239-V1239</f>
        <v>0</v>
      </c>
      <c r="X1239" s="9">
        <f t="shared" si="675"/>
        <v>248088.26</v>
      </c>
      <c r="Y1239" s="8"/>
      <c r="Z1239" s="9">
        <f t="shared" si="676"/>
        <v>0</v>
      </c>
      <c r="AA1239" s="8">
        <f t="shared" si="677"/>
        <v>248088.26</v>
      </c>
      <c r="AB1239" s="8">
        <f t="shared" si="678"/>
        <v>0</v>
      </c>
    </row>
    <row r="1240" spans="1:28" x14ac:dyDescent="0.3">
      <c r="A1240" s="64"/>
      <c r="B1240" s="8"/>
      <c r="C1240" s="13" t="s">
        <v>1205</v>
      </c>
      <c r="D1240" s="16" t="s">
        <v>1126</v>
      </c>
      <c r="E1240" s="11">
        <f>277256.81+4091</f>
        <v>281347.81</v>
      </c>
      <c r="F1240" s="8">
        <v>277256.81</v>
      </c>
      <c r="G1240" s="11"/>
      <c r="H1240" s="9">
        <f>+F1240+G1240</f>
        <v>277256.81</v>
      </c>
      <c r="I1240" s="8"/>
      <c r="J1240" s="9"/>
      <c r="K1240" s="8"/>
      <c r="L1240" s="8"/>
      <c r="M1240" s="9">
        <f>+H1240+L1240</f>
        <v>277256.81</v>
      </c>
      <c r="N1240" s="11">
        <v>4091</v>
      </c>
      <c r="O1240" s="9"/>
      <c r="P1240" s="9">
        <f>+N1240+O1240</f>
        <v>4091</v>
      </c>
      <c r="Q1240" s="9"/>
      <c r="R1240" s="17"/>
      <c r="S1240" s="17"/>
      <c r="T1240" s="18"/>
      <c r="U1240" s="9">
        <f>P1240+T1240</f>
        <v>4091</v>
      </c>
      <c r="V1240" s="9">
        <f>P1240+H1240</f>
        <v>281347.81</v>
      </c>
      <c r="W1240" s="9">
        <f>E1240-V1240</f>
        <v>0</v>
      </c>
      <c r="X1240" s="9">
        <f t="shared" si="675"/>
        <v>281347.81</v>
      </c>
      <c r="Y1240" s="8"/>
      <c r="Z1240" s="9">
        <f t="shared" si="676"/>
        <v>0</v>
      </c>
      <c r="AA1240" s="8">
        <f t="shared" si="677"/>
        <v>281347.81</v>
      </c>
      <c r="AB1240" s="8">
        <f t="shared" si="678"/>
        <v>0</v>
      </c>
    </row>
    <row r="1241" spans="1:28" x14ac:dyDescent="0.3">
      <c r="A1241" s="64"/>
      <c r="B1241" s="8"/>
      <c r="C1241" s="7" t="s">
        <v>1173</v>
      </c>
      <c r="D1241" s="16" t="s">
        <v>1126</v>
      </c>
      <c r="E1241" s="11">
        <f>4240270.3+2630075.44</f>
        <v>6870345.7400000002</v>
      </c>
      <c r="F1241" s="8">
        <f>4240270.3+2630075.44</f>
        <v>6870345.7400000002</v>
      </c>
      <c r="G1241" s="8"/>
      <c r="H1241" s="9">
        <f>+F1241+G1241</f>
        <v>6870345.7400000002</v>
      </c>
      <c r="I1241" s="8"/>
      <c r="J1241" s="9"/>
      <c r="K1241" s="8"/>
      <c r="L1241" s="8"/>
      <c r="M1241" s="9">
        <f>+H1241+L1241</f>
        <v>6870345.7400000002</v>
      </c>
      <c r="N1241" s="11"/>
      <c r="O1241" s="9"/>
      <c r="P1241" s="9">
        <f>+N1241+O1241</f>
        <v>0</v>
      </c>
      <c r="Q1241" s="9"/>
      <c r="R1241" s="17"/>
      <c r="S1241" s="17"/>
      <c r="T1241" s="18"/>
      <c r="U1241" s="9">
        <f>P1241+T1241</f>
        <v>0</v>
      </c>
      <c r="V1241" s="9">
        <f>P1241+H1241</f>
        <v>6870345.7400000002</v>
      </c>
      <c r="W1241" s="9">
        <f>E1241-V1241</f>
        <v>0</v>
      </c>
      <c r="X1241" s="9">
        <f t="shared" si="675"/>
        <v>6870345.7400000002</v>
      </c>
      <c r="Y1241" s="8"/>
      <c r="Z1241" s="9">
        <f t="shared" si="676"/>
        <v>0</v>
      </c>
      <c r="AA1241" s="8">
        <f t="shared" si="677"/>
        <v>6870345.7400000002</v>
      </c>
      <c r="AB1241" s="8">
        <f t="shared" si="678"/>
        <v>0</v>
      </c>
    </row>
    <row r="1242" spans="1:28" x14ac:dyDescent="0.3">
      <c r="A1242" s="64"/>
      <c r="B1242" s="8"/>
      <c r="C1242" s="7" t="s">
        <v>1080</v>
      </c>
      <c r="D1242" s="16" t="s">
        <v>1072</v>
      </c>
      <c r="E1242" s="11">
        <v>6916499.7300000004</v>
      </c>
      <c r="F1242" s="8">
        <v>6916499.7300000004</v>
      </c>
      <c r="G1242" s="8"/>
      <c r="H1242" s="9">
        <f>+F1242+G1242</f>
        <v>6916499.7300000004</v>
      </c>
      <c r="I1242" s="8"/>
      <c r="J1242" s="9"/>
      <c r="K1242" s="8"/>
      <c r="L1242" s="8"/>
      <c r="M1242" s="9">
        <f>+H1242+L1242</f>
        <v>6916499.7300000004</v>
      </c>
      <c r="N1242" s="11"/>
      <c r="O1242" s="9"/>
      <c r="P1242" s="9">
        <f t="shared" si="680"/>
        <v>0</v>
      </c>
      <c r="Q1242" s="9"/>
      <c r="R1242" s="17"/>
      <c r="S1242" s="17"/>
      <c r="T1242" s="18"/>
      <c r="U1242" s="9">
        <f>+P1242+T1242</f>
        <v>0</v>
      </c>
      <c r="V1242" s="9"/>
      <c r="W1242" s="9"/>
      <c r="X1242" s="9">
        <f t="shared" si="675"/>
        <v>6916499.7300000004</v>
      </c>
      <c r="Y1242" s="8"/>
      <c r="Z1242" s="9">
        <f t="shared" si="676"/>
        <v>0</v>
      </c>
      <c r="AA1242" s="8">
        <f t="shared" si="677"/>
        <v>6916499.7300000004</v>
      </c>
      <c r="AB1242" s="8">
        <f t="shared" si="678"/>
        <v>0</v>
      </c>
    </row>
    <row r="1243" spans="1:28" x14ac:dyDescent="0.3">
      <c r="A1243" s="64"/>
      <c r="B1243" s="8"/>
      <c r="C1243" s="7" t="s">
        <v>678</v>
      </c>
      <c r="D1243" s="8"/>
      <c r="E1243" s="9">
        <f>2500000+1841781.32</f>
        <v>4341781.32</v>
      </c>
      <c r="F1243" s="9">
        <f>2500000+1841781.32</f>
        <v>4341781.32</v>
      </c>
      <c r="G1243" s="9"/>
      <c r="H1243" s="9">
        <f t="shared" si="669"/>
        <v>4341781.32</v>
      </c>
      <c r="I1243" s="8"/>
      <c r="J1243" s="9">
        <f t="shared" si="670"/>
        <v>4341781.32</v>
      </c>
      <c r="K1243" s="8"/>
      <c r="L1243" s="8"/>
      <c r="M1243" s="9">
        <f t="shared" si="679"/>
        <v>4341781.32</v>
      </c>
      <c r="N1243" s="8"/>
      <c r="O1243" s="9"/>
      <c r="P1243" s="9">
        <f t="shared" si="680"/>
        <v>0</v>
      </c>
      <c r="Q1243" s="9">
        <f t="shared" si="671"/>
        <v>4341781.32</v>
      </c>
      <c r="R1243" s="17"/>
      <c r="S1243" s="17"/>
      <c r="T1243" s="17"/>
      <c r="U1243" s="9">
        <f t="shared" si="672"/>
        <v>0</v>
      </c>
      <c r="V1243" s="9">
        <f t="shared" si="673"/>
        <v>4341781.32</v>
      </c>
      <c r="W1243" s="9">
        <f t="shared" si="674"/>
        <v>0</v>
      </c>
      <c r="X1243" s="9">
        <f t="shared" si="675"/>
        <v>4341781.32</v>
      </c>
      <c r="Y1243" s="8"/>
      <c r="Z1243" s="9">
        <f t="shared" si="676"/>
        <v>0</v>
      </c>
      <c r="AA1243" s="8">
        <f t="shared" si="677"/>
        <v>4341781.32</v>
      </c>
      <c r="AB1243" s="8">
        <f t="shared" si="678"/>
        <v>0</v>
      </c>
    </row>
    <row r="1244" spans="1:28" x14ac:dyDescent="0.3">
      <c r="A1244" s="64"/>
      <c r="B1244" s="8"/>
      <c r="C1244" s="8"/>
      <c r="D1244" s="8"/>
      <c r="E1244" s="17" t="s">
        <v>29</v>
      </c>
      <c r="F1244" s="17" t="s">
        <v>29</v>
      </c>
      <c r="G1244" s="17" t="s">
        <v>29</v>
      </c>
      <c r="H1244" s="17" t="s">
        <v>29</v>
      </c>
      <c r="I1244" s="17" t="s">
        <v>29</v>
      </c>
      <c r="J1244" s="17" t="s">
        <v>29</v>
      </c>
      <c r="K1244" s="17" t="s">
        <v>29</v>
      </c>
      <c r="L1244" s="17" t="s">
        <v>29</v>
      </c>
      <c r="M1244" s="17" t="s">
        <v>29</v>
      </c>
      <c r="N1244" s="17" t="s">
        <v>29</v>
      </c>
      <c r="O1244" s="17" t="s">
        <v>29</v>
      </c>
      <c r="P1244" s="17" t="s">
        <v>29</v>
      </c>
      <c r="Q1244" s="17" t="s">
        <v>29</v>
      </c>
      <c r="R1244" s="17" t="s">
        <v>29</v>
      </c>
      <c r="S1244" s="17" t="s">
        <v>29</v>
      </c>
      <c r="T1244" s="17" t="s">
        <v>29</v>
      </c>
      <c r="U1244" s="17" t="s">
        <v>29</v>
      </c>
      <c r="V1244" s="17" t="s">
        <v>29</v>
      </c>
      <c r="W1244" s="17" t="s">
        <v>29</v>
      </c>
      <c r="X1244" s="17" t="s">
        <v>29</v>
      </c>
      <c r="Y1244" s="17" t="s">
        <v>29</v>
      </c>
      <c r="Z1244" s="17" t="s">
        <v>29</v>
      </c>
      <c r="AA1244" s="17" t="s">
        <v>29</v>
      </c>
      <c r="AB1244" s="17" t="s">
        <v>29</v>
      </c>
    </row>
    <row r="1245" spans="1:28" x14ac:dyDescent="0.3">
      <c r="A1245" s="64"/>
      <c r="B1245" s="8"/>
      <c r="C1245" s="8"/>
      <c r="D1245" s="8"/>
      <c r="E1245" s="9">
        <f t="shared" ref="E1245:Q1245" si="681">SUM(E1218:E1244)</f>
        <v>66545612.57</v>
      </c>
      <c r="F1245" s="9">
        <f t="shared" si="681"/>
        <v>62664783.559999995</v>
      </c>
      <c r="G1245" s="9">
        <f t="shared" si="681"/>
        <v>0</v>
      </c>
      <c r="H1245" s="9">
        <f t="shared" si="681"/>
        <v>62664783.559999995</v>
      </c>
      <c r="I1245" s="9">
        <f t="shared" si="681"/>
        <v>0</v>
      </c>
      <c r="J1245" s="9">
        <f t="shared" si="681"/>
        <v>47877593.019999996</v>
      </c>
      <c r="K1245" s="9">
        <f t="shared" si="681"/>
        <v>2671212.67</v>
      </c>
      <c r="L1245" s="9">
        <f t="shared" si="681"/>
        <v>0</v>
      </c>
      <c r="M1245" s="9">
        <f t="shared" si="681"/>
        <v>62664783.559999995</v>
      </c>
      <c r="N1245" s="9">
        <f t="shared" si="681"/>
        <v>3274783.4</v>
      </c>
      <c r="O1245" s="9">
        <f t="shared" si="681"/>
        <v>0</v>
      </c>
      <c r="P1245" s="9">
        <f t="shared" si="681"/>
        <v>3274783.4</v>
      </c>
      <c r="Q1245" s="9">
        <f t="shared" si="681"/>
        <v>47647157.869999997</v>
      </c>
      <c r="R1245" s="17"/>
      <c r="S1245" s="17"/>
      <c r="T1245" s="9">
        <f t="shared" ref="T1245:Z1245" si="682">SUM(T1218:T1244)</f>
        <v>606045.61</v>
      </c>
      <c r="U1245" s="9">
        <f t="shared" si="682"/>
        <v>3880829.01</v>
      </c>
      <c r="V1245" s="9">
        <f t="shared" si="682"/>
        <v>57587106.740000002</v>
      </c>
      <c r="W1245" s="9">
        <f t="shared" si="682"/>
        <v>606045.61000000034</v>
      </c>
      <c r="X1245" s="9">
        <f t="shared" si="682"/>
        <v>65939566.960000001</v>
      </c>
      <c r="Y1245" s="9">
        <f t="shared" si="682"/>
        <v>0</v>
      </c>
      <c r="Z1245" s="9">
        <f t="shared" si="682"/>
        <v>606045.61000000034</v>
      </c>
      <c r="AA1245" s="9">
        <f>SUM(AA1218:AA1244)</f>
        <v>66545612.57</v>
      </c>
      <c r="AB1245" s="9">
        <f>SUM(AB1218:AB1244)</f>
        <v>0</v>
      </c>
    </row>
    <row r="1246" spans="1:28" x14ac:dyDescent="0.3">
      <c r="A1246" s="64"/>
      <c r="B1246" s="8"/>
      <c r="C1246" s="8"/>
      <c r="D1246" s="8"/>
      <c r="E1246" s="17" t="s">
        <v>29</v>
      </c>
      <c r="F1246" s="17" t="s">
        <v>29</v>
      </c>
      <c r="G1246" s="17" t="s">
        <v>29</v>
      </c>
      <c r="H1246" s="17" t="s">
        <v>29</v>
      </c>
      <c r="I1246" s="17" t="s">
        <v>29</v>
      </c>
      <c r="J1246" s="17" t="s">
        <v>29</v>
      </c>
      <c r="K1246" s="17" t="s">
        <v>29</v>
      </c>
      <c r="L1246" s="17" t="s">
        <v>29</v>
      </c>
      <c r="M1246" s="17" t="s">
        <v>29</v>
      </c>
      <c r="N1246" s="17" t="s">
        <v>29</v>
      </c>
      <c r="O1246" s="17" t="s">
        <v>29</v>
      </c>
      <c r="P1246" s="17" t="s">
        <v>29</v>
      </c>
      <c r="Q1246" s="17" t="s">
        <v>29</v>
      </c>
      <c r="R1246" s="17" t="s">
        <v>29</v>
      </c>
      <c r="S1246" s="17" t="s">
        <v>29</v>
      </c>
      <c r="T1246" s="17" t="s">
        <v>29</v>
      </c>
      <c r="U1246" s="17" t="s">
        <v>29</v>
      </c>
      <c r="V1246" s="17" t="s">
        <v>29</v>
      </c>
      <c r="W1246" s="17" t="s">
        <v>29</v>
      </c>
      <c r="X1246" s="17" t="s">
        <v>29</v>
      </c>
      <c r="Y1246" s="17" t="s">
        <v>29</v>
      </c>
      <c r="Z1246" s="17" t="s">
        <v>29</v>
      </c>
      <c r="AA1246" s="17" t="s">
        <v>29</v>
      </c>
      <c r="AB1246" s="17" t="s">
        <v>29</v>
      </c>
    </row>
    <row r="1247" spans="1:28" x14ac:dyDescent="0.3">
      <c r="A1247" s="63" t="s">
        <v>994</v>
      </c>
      <c r="B1247" s="7" t="s">
        <v>685</v>
      </c>
      <c r="C1247" s="8"/>
      <c r="D1247" s="8"/>
      <c r="E1247" s="8"/>
      <c r="F1247" s="8"/>
      <c r="G1247" s="8"/>
      <c r="H1247" s="8"/>
      <c r="I1247" s="8"/>
      <c r="J1247" s="8"/>
      <c r="K1247" s="8"/>
      <c r="L1247" s="8"/>
      <c r="M1247" s="8"/>
      <c r="N1247" s="8"/>
      <c r="O1247" s="8"/>
      <c r="P1247" s="8"/>
      <c r="Q1247" s="8"/>
      <c r="R1247" s="17"/>
      <c r="S1247" s="17"/>
      <c r="T1247" s="17"/>
      <c r="U1247" s="17"/>
      <c r="V1247" s="17"/>
      <c r="W1247" s="17"/>
      <c r="X1247" s="17"/>
      <c r="Y1247" s="17"/>
      <c r="Z1247" s="17"/>
    </row>
    <row r="1248" spans="1:28" x14ac:dyDescent="0.3">
      <c r="A1248" s="64"/>
      <c r="B1248" s="8"/>
      <c r="C1248" s="7" t="s">
        <v>539</v>
      </c>
      <c r="D1248" s="15" t="s">
        <v>68</v>
      </c>
      <c r="E1248" s="9">
        <f>1073231.25+107386.75+395183.24</f>
        <v>1575801.24</v>
      </c>
      <c r="F1248" s="8"/>
      <c r="G1248" s="8"/>
      <c r="H1248" s="9">
        <f t="shared" ref="H1248:H1280" si="683">F1248+G1248</f>
        <v>0</v>
      </c>
      <c r="I1248" s="8"/>
      <c r="J1248" s="9">
        <f t="shared" ref="J1248:J1280" si="684">H1248+I1248</f>
        <v>0</v>
      </c>
      <c r="K1248" s="9">
        <f>1073231.25+502569.99</f>
        <v>1575801.24</v>
      </c>
      <c r="L1248" s="8"/>
      <c r="M1248" s="9">
        <f>+H1248+L1248</f>
        <v>0</v>
      </c>
      <c r="N1248" s="8">
        <v>1575801.24</v>
      </c>
      <c r="O1248" s="9"/>
      <c r="P1248" s="9">
        <f>+N1248+O1248</f>
        <v>1575801.24</v>
      </c>
      <c r="Q1248" s="9">
        <f t="shared" ref="Q1248:Q1280" si="685">E1248-P1248</f>
        <v>0</v>
      </c>
      <c r="R1248" s="17"/>
      <c r="S1248" s="17"/>
      <c r="T1248" s="17"/>
      <c r="U1248" s="9">
        <f t="shared" ref="U1248:U1280" si="686">P1248+T1248</f>
        <v>1575801.24</v>
      </c>
      <c r="V1248" s="9">
        <f t="shared" ref="V1248:V1280" si="687">P1248+H1248</f>
        <v>1575801.24</v>
      </c>
      <c r="W1248" s="9">
        <f t="shared" ref="W1248:W1280" si="688">E1248-V1248</f>
        <v>0</v>
      </c>
      <c r="X1248" s="9">
        <f t="shared" ref="X1248:X1280" si="689">+H1248+P1248</f>
        <v>1575801.24</v>
      </c>
      <c r="Y1248" s="8"/>
      <c r="Z1248" s="9">
        <f t="shared" ref="Z1248:Z1280" si="690">+E1248-X1248</f>
        <v>0</v>
      </c>
      <c r="AA1248" s="8">
        <f t="shared" ref="AA1248:AA1280" si="691">+M1248+U1248</f>
        <v>1575801.24</v>
      </c>
      <c r="AB1248" s="8">
        <f t="shared" ref="AB1248:AB1280" si="692">+E1248-AA1248</f>
        <v>0</v>
      </c>
    </row>
    <row r="1249" spans="1:28" x14ac:dyDescent="0.3">
      <c r="A1249" s="64"/>
      <c r="B1249" s="8"/>
      <c r="C1249" s="7" t="s">
        <v>535</v>
      </c>
      <c r="D1249" s="15" t="s">
        <v>68</v>
      </c>
      <c r="E1249" s="9">
        <f>929100-876527.77</f>
        <v>52572.229999999981</v>
      </c>
      <c r="F1249" s="8"/>
      <c r="G1249" s="8"/>
      <c r="H1249" s="9">
        <f t="shared" si="683"/>
        <v>0</v>
      </c>
      <c r="I1249" s="8"/>
      <c r="J1249" s="9">
        <f t="shared" si="684"/>
        <v>0</v>
      </c>
      <c r="K1249" s="9">
        <v>52572.23</v>
      </c>
      <c r="L1249" s="8"/>
      <c r="M1249" s="9">
        <f t="shared" ref="M1249:M1280" si="693">+H1249+L1249</f>
        <v>0</v>
      </c>
      <c r="N1249" s="8">
        <v>52572.23</v>
      </c>
      <c r="O1249" s="9"/>
      <c r="P1249" s="9">
        <f t="shared" ref="P1249:P1280" si="694">+N1249+O1249</f>
        <v>52572.23</v>
      </c>
      <c r="Q1249" s="9">
        <f t="shared" si="685"/>
        <v>0</v>
      </c>
      <c r="R1249" s="17"/>
      <c r="S1249" s="17"/>
      <c r="T1249" s="17"/>
      <c r="U1249" s="9">
        <f t="shared" si="686"/>
        <v>52572.23</v>
      </c>
      <c r="V1249" s="9">
        <f t="shared" si="687"/>
        <v>52572.23</v>
      </c>
      <c r="W1249" s="9">
        <f t="shared" si="688"/>
        <v>0</v>
      </c>
      <c r="X1249" s="9">
        <f t="shared" si="689"/>
        <v>52572.23</v>
      </c>
      <c r="Y1249" s="8"/>
      <c r="Z1249" s="9">
        <f t="shared" si="690"/>
        <v>0</v>
      </c>
      <c r="AA1249" s="8">
        <f t="shared" si="691"/>
        <v>52572.23</v>
      </c>
      <c r="AB1249" s="8">
        <f t="shared" si="692"/>
        <v>0</v>
      </c>
    </row>
    <row r="1250" spans="1:28" x14ac:dyDescent="0.3">
      <c r="A1250" s="64"/>
      <c r="B1250" s="8"/>
      <c r="C1250" s="7" t="s">
        <v>686</v>
      </c>
      <c r="D1250" s="15" t="s">
        <v>68</v>
      </c>
      <c r="E1250" s="9">
        <f>595000+3655000-170858+170858-395211.89</f>
        <v>3854788.11</v>
      </c>
      <c r="F1250" s="9">
        <f>481153.11+2697055+676580</f>
        <v>3854788.11</v>
      </c>
      <c r="G1250" s="8"/>
      <c r="H1250" s="9">
        <f t="shared" si="683"/>
        <v>3854788.11</v>
      </c>
      <c r="I1250" s="8"/>
      <c r="J1250" s="9">
        <f t="shared" si="684"/>
        <v>3854788.11</v>
      </c>
      <c r="K1250" s="8"/>
      <c r="L1250" s="8"/>
      <c r="M1250" s="9">
        <f t="shared" si="693"/>
        <v>3854788.11</v>
      </c>
      <c r="N1250" s="8"/>
      <c r="O1250" s="9"/>
      <c r="P1250" s="9">
        <f t="shared" si="694"/>
        <v>0</v>
      </c>
      <c r="Q1250" s="9">
        <f t="shared" si="685"/>
        <v>3854788.11</v>
      </c>
      <c r="R1250" s="17"/>
      <c r="S1250" s="17"/>
      <c r="T1250" s="17"/>
      <c r="U1250" s="9">
        <f t="shared" si="686"/>
        <v>0</v>
      </c>
      <c r="V1250" s="9">
        <f t="shared" si="687"/>
        <v>3854788.11</v>
      </c>
      <c r="W1250" s="9">
        <f t="shared" si="688"/>
        <v>0</v>
      </c>
      <c r="X1250" s="9">
        <f t="shared" si="689"/>
        <v>3854788.11</v>
      </c>
      <c r="Y1250" s="8"/>
      <c r="Z1250" s="9">
        <f t="shared" si="690"/>
        <v>0</v>
      </c>
      <c r="AA1250" s="8">
        <f t="shared" si="691"/>
        <v>3854788.11</v>
      </c>
      <c r="AB1250" s="8">
        <f t="shared" si="692"/>
        <v>0</v>
      </c>
    </row>
    <row r="1251" spans="1:28" x14ac:dyDescent="0.3">
      <c r="A1251" s="64"/>
      <c r="B1251" s="8"/>
      <c r="C1251" s="7" t="s">
        <v>604</v>
      </c>
      <c r="D1251" s="15" t="s">
        <v>68</v>
      </c>
      <c r="E1251" s="9">
        <v>340000</v>
      </c>
      <c r="F1251" s="9">
        <v>340000</v>
      </c>
      <c r="G1251" s="8"/>
      <c r="H1251" s="9">
        <f t="shared" si="683"/>
        <v>340000</v>
      </c>
      <c r="I1251" s="8"/>
      <c r="J1251" s="9">
        <f t="shared" si="684"/>
        <v>340000</v>
      </c>
      <c r="K1251" s="8"/>
      <c r="L1251" s="8"/>
      <c r="M1251" s="9">
        <f t="shared" si="693"/>
        <v>340000</v>
      </c>
      <c r="N1251" s="8"/>
      <c r="O1251" s="9"/>
      <c r="P1251" s="9">
        <f t="shared" si="694"/>
        <v>0</v>
      </c>
      <c r="Q1251" s="9">
        <f t="shared" si="685"/>
        <v>340000</v>
      </c>
      <c r="R1251" s="17"/>
      <c r="S1251" s="17"/>
      <c r="T1251" s="17"/>
      <c r="U1251" s="9">
        <f t="shared" si="686"/>
        <v>0</v>
      </c>
      <c r="V1251" s="9">
        <f t="shared" si="687"/>
        <v>340000</v>
      </c>
      <c r="W1251" s="9">
        <f t="shared" si="688"/>
        <v>0</v>
      </c>
      <c r="X1251" s="9">
        <f t="shared" si="689"/>
        <v>340000</v>
      </c>
      <c r="Y1251" s="8"/>
      <c r="Z1251" s="9">
        <f t="shared" si="690"/>
        <v>0</v>
      </c>
      <c r="AA1251" s="8">
        <f t="shared" si="691"/>
        <v>340000</v>
      </c>
      <c r="AB1251" s="8">
        <f t="shared" si="692"/>
        <v>0</v>
      </c>
    </row>
    <row r="1252" spans="1:28" x14ac:dyDescent="0.3">
      <c r="A1252" s="64"/>
      <c r="B1252" s="8"/>
      <c r="C1252" s="7" t="s">
        <v>535</v>
      </c>
      <c r="D1252" s="15" t="s">
        <v>54</v>
      </c>
      <c r="E1252" s="9">
        <f>300000-15000</f>
        <v>285000</v>
      </c>
      <c r="F1252" s="9">
        <v>285000</v>
      </c>
      <c r="G1252" s="8"/>
      <c r="H1252" s="9">
        <f t="shared" si="683"/>
        <v>285000</v>
      </c>
      <c r="I1252" s="8"/>
      <c r="J1252" s="9">
        <f t="shared" si="684"/>
        <v>285000</v>
      </c>
      <c r="K1252" s="8"/>
      <c r="L1252" s="8"/>
      <c r="M1252" s="9">
        <f t="shared" si="693"/>
        <v>285000</v>
      </c>
      <c r="N1252" s="8"/>
      <c r="O1252" s="9"/>
      <c r="P1252" s="9">
        <f t="shared" si="694"/>
        <v>0</v>
      </c>
      <c r="Q1252" s="9">
        <f t="shared" si="685"/>
        <v>285000</v>
      </c>
      <c r="R1252" s="17"/>
      <c r="S1252" s="17"/>
      <c r="T1252" s="17"/>
      <c r="U1252" s="9">
        <f t="shared" si="686"/>
        <v>0</v>
      </c>
      <c r="V1252" s="9">
        <f t="shared" si="687"/>
        <v>285000</v>
      </c>
      <c r="W1252" s="9">
        <f t="shared" si="688"/>
        <v>0</v>
      </c>
      <c r="X1252" s="9">
        <f t="shared" si="689"/>
        <v>285000</v>
      </c>
      <c r="Y1252" s="8"/>
      <c r="Z1252" s="9">
        <f t="shared" si="690"/>
        <v>0</v>
      </c>
      <c r="AA1252" s="8">
        <f t="shared" si="691"/>
        <v>285000</v>
      </c>
      <c r="AB1252" s="8">
        <f t="shared" si="692"/>
        <v>0</v>
      </c>
    </row>
    <row r="1253" spans="1:28" x14ac:dyDescent="0.3">
      <c r="A1253" s="64"/>
      <c r="B1253" s="8"/>
      <c r="C1253" s="7" t="s">
        <v>545</v>
      </c>
      <c r="D1253" s="15" t="s">
        <v>54</v>
      </c>
      <c r="E1253" s="9">
        <v>2306106</v>
      </c>
      <c r="F1253" s="8"/>
      <c r="G1253" s="8"/>
      <c r="H1253" s="9">
        <f t="shared" si="683"/>
        <v>0</v>
      </c>
      <c r="I1253" s="8"/>
      <c r="J1253" s="9">
        <f t="shared" si="684"/>
        <v>0</v>
      </c>
      <c r="K1253" s="9">
        <v>2306106</v>
      </c>
      <c r="L1253" s="8"/>
      <c r="M1253" s="9">
        <f t="shared" si="693"/>
        <v>0</v>
      </c>
      <c r="N1253" s="8">
        <v>2306106</v>
      </c>
      <c r="O1253" s="9"/>
      <c r="P1253" s="9">
        <f t="shared" si="694"/>
        <v>2306106</v>
      </c>
      <c r="Q1253" s="9">
        <f t="shared" si="685"/>
        <v>0</v>
      </c>
      <c r="R1253" s="17"/>
      <c r="S1253" s="17"/>
      <c r="T1253" s="17"/>
      <c r="U1253" s="9">
        <f t="shared" si="686"/>
        <v>2306106</v>
      </c>
      <c r="V1253" s="9">
        <f t="shared" si="687"/>
        <v>2306106</v>
      </c>
      <c r="W1253" s="9">
        <f t="shared" si="688"/>
        <v>0</v>
      </c>
      <c r="X1253" s="9">
        <f t="shared" si="689"/>
        <v>2306106</v>
      </c>
      <c r="Y1253" s="8"/>
      <c r="Z1253" s="9">
        <f t="shared" si="690"/>
        <v>0</v>
      </c>
      <c r="AA1253" s="8">
        <f t="shared" si="691"/>
        <v>2306106</v>
      </c>
      <c r="AB1253" s="8">
        <f t="shared" si="692"/>
        <v>0</v>
      </c>
    </row>
    <row r="1254" spans="1:28" x14ac:dyDescent="0.3">
      <c r="A1254" s="64"/>
      <c r="B1254" s="8"/>
      <c r="C1254" s="7" t="s">
        <v>655</v>
      </c>
      <c r="D1254" s="15" t="s">
        <v>54</v>
      </c>
      <c r="E1254" s="9">
        <v>955345.62</v>
      </c>
      <c r="F1254" s="8"/>
      <c r="G1254" s="8"/>
      <c r="H1254" s="9">
        <f t="shared" si="683"/>
        <v>0</v>
      </c>
      <c r="I1254" s="8"/>
      <c r="J1254" s="9">
        <f t="shared" si="684"/>
        <v>0</v>
      </c>
      <c r="K1254" s="9">
        <v>955345.62</v>
      </c>
      <c r="L1254" s="8"/>
      <c r="M1254" s="9">
        <f t="shared" si="693"/>
        <v>0</v>
      </c>
      <c r="N1254" s="8">
        <v>955345.62</v>
      </c>
      <c r="O1254" s="9"/>
      <c r="P1254" s="9">
        <f t="shared" si="694"/>
        <v>955345.62</v>
      </c>
      <c r="Q1254" s="9">
        <f t="shared" si="685"/>
        <v>0</v>
      </c>
      <c r="R1254" s="17"/>
      <c r="S1254" s="17"/>
      <c r="T1254" s="17"/>
      <c r="U1254" s="9">
        <f t="shared" si="686"/>
        <v>955345.62</v>
      </c>
      <c r="V1254" s="9">
        <f t="shared" si="687"/>
        <v>955345.62</v>
      </c>
      <c r="W1254" s="9">
        <f t="shared" si="688"/>
        <v>0</v>
      </c>
      <c r="X1254" s="9">
        <f t="shared" si="689"/>
        <v>955345.62</v>
      </c>
      <c r="Y1254" s="8"/>
      <c r="Z1254" s="9">
        <f t="shared" si="690"/>
        <v>0</v>
      </c>
      <c r="AA1254" s="8">
        <f t="shared" si="691"/>
        <v>955345.62</v>
      </c>
      <c r="AB1254" s="8">
        <f t="shared" si="692"/>
        <v>0</v>
      </c>
    </row>
    <row r="1255" spans="1:28" x14ac:dyDescent="0.3">
      <c r="A1255" s="64"/>
      <c r="B1255" s="8"/>
      <c r="C1255" s="7" t="s">
        <v>687</v>
      </c>
      <c r="D1255" s="15" t="s">
        <v>85</v>
      </c>
      <c r="E1255" s="9">
        <v>100000</v>
      </c>
      <c r="F1255" s="9">
        <v>100000</v>
      </c>
      <c r="G1255" s="8"/>
      <c r="H1255" s="9">
        <f t="shared" si="683"/>
        <v>100000</v>
      </c>
      <c r="I1255" s="8"/>
      <c r="J1255" s="9">
        <f t="shared" si="684"/>
        <v>100000</v>
      </c>
      <c r="K1255" s="8"/>
      <c r="L1255" s="8"/>
      <c r="M1255" s="9">
        <f t="shared" si="693"/>
        <v>100000</v>
      </c>
      <c r="N1255" s="8"/>
      <c r="O1255" s="9"/>
      <c r="P1255" s="9">
        <f t="shared" si="694"/>
        <v>0</v>
      </c>
      <c r="Q1255" s="9">
        <f t="shared" si="685"/>
        <v>100000</v>
      </c>
      <c r="R1255" s="17"/>
      <c r="S1255" s="17"/>
      <c r="T1255" s="17"/>
      <c r="U1255" s="9">
        <f t="shared" si="686"/>
        <v>0</v>
      </c>
      <c r="V1255" s="9">
        <f t="shared" si="687"/>
        <v>100000</v>
      </c>
      <c r="W1255" s="9">
        <f t="shared" si="688"/>
        <v>0</v>
      </c>
      <c r="X1255" s="9">
        <f t="shared" si="689"/>
        <v>100000</v>
      </c>
      <c r="Y1255" s="8"/>
      <c r="Z1255" s="9">
        <f t="shared" si="690"/>
        <v>0</v>
      </c>
      <c r="AA1255" s="8">
        <f t="shared" si="691"/>
        <v>100000</v>
      </c>
      <c r="AB1255" s="8">
        <f t="shared" si="692"/>
        <v>0</v>
      </c>
    </row>
    <row r="1256" spans="1:28" x14ac:dyDescent="0.3">
      <c r="A1256" s="64"/>
      <c r="B1256" s="7" t="s">
        <v>688</v>
      </c>
      <c r="C1256" s="8"/>
      <c r="D1256" s="8"/>
      <c r="E1256" s="9">
        <v>400000</v>
      </c>
      <c r="F1256" s="9">
        <v>400000</v>
      </c>
      <c r="G1256" s="8"/>
      <c r="H1256" s="9">
        <f t="shared" si="683"/>
        <v>400000</v>
      </c>
      <c r="I1256" s="8"/>
      <c r="J1256" s="9">
        <f t="shared" si="684"/>
        <v>400000</v>
      </c>
      <c r="K1256" s="8"/>
      <c r="L1256" s="8"/>
      <c r="M1256" s="9">
        <f t="shared" si="693"/>
        <v>400000</v>
      </c>
      <c r="N1256" s="8"/>
      <c r="O1256" s="9"/>
      <c r="P1256" s="9">
        <f t="shared" si="694"/>
        <v>0</v>
      </c>
      <c r="Q1256" s="9">
        <f t="shared" si="685"/>
        <v>400000</v>
      </c>
      <c r="R1256" s="17"/>
      <c r="S1256" s="17"/>
      <c r="T1256" s="17"/>
      <c r="U1256" s="9">
        <f t="shared" si="686"/>
        <v>0</v>
      </c>
      <c r="V1256" s="9">
        <f t="shared" si="687"/>
        <v>400000</v>
      </c>
      <c r="W1256" s="9">
        <f t="shared" si="688"/>
        <v>0</v>
      </c>
      <c r="X1256" s="9">
        <f t="shared" si="689"/>
        <v>400000</v>
      </c>
      <c r="Y1256" s="8"/>
      <c r="Z1256" s="9">
        <f t="shared" si="690"/>
        <v>0</v>
      </c>
      <c r="AA1256" s="8">
        <f t="shared" si="691"/>
        <v>400000</v>
      </c>
      <c r="AB1256" s="8">
        <f t="shared" si="692"/>
        <v>0</v>
      </c>
    </row>
    <row r="1257" spans="1:28" x14ac:dyDescent="0.3">
      <c r="A1257" s="64"/>
      <c r="B1257" s="7" t="s">
        <v>688</v>
      </c>
      <c r="C1257" s="8"/>
      <c r="D1257" s="8"/>
      <c r="E1257" s="9">
        <f>160000-160000</f>
        <v>0</v>
      </c>
      <c r="F1257" s="8"/>
      <c r="G1257" s="8"/>
      <c r="H1257" s="9">
        <f t="shared" si="683"/>
        <v>0</v>
      </c>
      <c r="I1257" s="8"/>
      <c r="J1257" s="9">
        <f t="shared" si="684"/>
        <v>0</v>
      </c>
      <c r="K1257" s="8"/>
      <c r="L1257" s="8"/>
      <c r="M1257" s="9">
        <f t="shared" si="693"/>
        <v>0</v>
      </c>
      <c r="N1257" s="8"/>
      <c r="O1257" s="9"/>
      <c r="P1257" s="9">
        <f t="shared" si="694"/>
        <v>0</v>
      </c>
      <c r="Q1257" s="9">
        <f t="shared" si="685"/>
        <v>0</v>
      </c>
      <c r="R1257" s="17"/>
      <c r="S1257" s="17"/>
      <c r="T1257" s="17"/>
      <c r="U1257" s="9">
        <f t="shared" si="686"/>
        <v>0</v>
      </c>
      <c r="V1257" s="9">
        <f t="shared" si="687"/>
        <v>0</v>
      </c>
      <c r="W1257" s="9">
        <f t="shared" si="688"/>
        <v>0</v>
      </c>
      <c r="X1257" s="9">
        <f t="shared" si="689"/>
        <v>0</v>
      </c>
      <c r="Y1257" s="8"/>
      <c r="Z1257" s="9">
        <f t="shared" si="690"/>
        <v>0</v>
      </c>
      <c r="AA1257" s="8">
        <f t="shared" si="691"/>
        <v>0</v>
      </c>
      <c r="AB1257" s="8">
        <f t="shared" si="692"/>
        <v>0</v>
      </c>
    </row>
    <row r="1258" spans="1:28" x14ac:dyDescent="0.3">
      <c r="A1258" s="64"/>
      <c r="B1258" s="8"/>
      <c r="C1258" s="7" t="s">
        <v>535</v>
      </c>
      <c r="D1258" s="15" t="s">
        <v>88</v>
      </c>
      <c r="E1258" s="9">
        <v>3036399.29</v>
      </c>
      <c r="F1258" s="9">
        <f>1924709.32+1111689.97</f>
        <v>3036399.29</v>
      </c>
      <c r="G1258" s="8"/>
      <c r="H1258" s="9">
        <f t="shared" si="683"/>
        <v>3036399.29</v>
      </c>
      <c r="I1258" s="8"/>
      <c r="J1258" s="9">
        <f t="shared" si="684"/>
        <v>3036399.29</v>
      </c>
      <c r="K1258" s="8"/>
      <c r="L1258" s="8"/>
      <c r="M1258" s="9">
        <f t="shared" si="693"/>
        <v>3036399.29</v>
      </c>
      <c r="N1258" s="8"/>
      <c r="O1258" s="9"/>
      <c r="P1258" s="9">
        <f t="shared" si="694"/>
        <v>0</v>
      </c>
      <c r="Q1258" s="9">
        <f t="shared" si="685"/>
        <v>3036399.29</v>
      </c>
      <c r="R1258" s="17"/>
      <c r="S1258" s="17"/>
      <c r="T1258" s="17"/>
      <c r="U1258" s="9">
        <f t="shared" si="686"/>
        <v>0</v>
      </c>
      <c r="V1258" s="9">
        <f t="shared" si="687"/>
        <v>3036399.29</v>
      </c>
      <c r="W1258" s="9">
        <f t="shared" si="688"/>
        <v>0</v>
      </c>
      <c r="X1258" s="9">
        <f t="shared" si="689"/>
        <v>3036399.29</v>
      </c>
      <c r="Y1258" s="8"/>
      <c r="Z1258" s="9">
        <f t="shared" si="690"/>
        <v>0</v>
      </c>
      <c r="AA1258" s="8">
        <f t="shared" si="691"/>
        <v>3036399.29</v>
      </c>
      <c r="AB1258" s="8">
        <f t="shared" si="692"/>
        <v>0</v>
      </c>
    </row>
    <row r="1259" spans="1:28" x14ac:dyDescent="0.3">
      <c r="A1259" s="64"/>
      <c r="B1259" s="7" t="s">
        <v>642</v>
      </c>
      <c r="C1259" s="7" t="s">
        <v>535</v>
      </c>
      <c r="D1259" s="15" t="s">
        <v>108</v>
      </c>
      <c r="E1259" s="9">
        <v>1517474</v>
      </c>
      <c r="F1259" s="9">
        <v>1517474</v>
      </c>
      <c r="G1259" s="8"/>
      <c r="H1259" s="9">
        <f t="shared" si="683"/>
        <v>1517474</v>
      </c>
      <c r="I1259" s="8"/>
      <c r="J1259" s="9">
        <f t="shared" si="684"/>
        <v>1517474</v>
      </c>
      <c r="K1259" s="8"/>
      <c r="L1259" s="8"/>
      <c r="M1259" s="9">
        <f t="shared" si="693"/>
        <v>1517474</v>
      </c>
      <c r="N1259" s="8"/>
      <c r="O1259" s="9"/>
      <c r="P1259" s="9">
        <f t="shared" si="694"/>
        <v>0</v>
      </c>
      <c r="Q1259" s="9">
        <f t="shared" si="685"/>
        <v>1517474</v>
      </c>
      <c r="R1259" s="17"/>
      <c r="S1259" s="17"/>
      <c r="T1259" s="17"/>
      <c r="U1259" s="9">
        <f t="shared" si="686"/>
        <v>0</v>
      </c>
      <c r="V1259" s="9">
        <f t="shared" si="687"/>
        <v>1517474</v>
      </c>
      <c r="W1259" s="9">
        <f t="shared" si="688"/>
        <v>0</v>
      </c>
      <c r="X1259" s="9">
        <f t="shared" si="689"/>
        <v>1517474</v>
      </c>
      <c r="Y1259" s="8"/>
      <c r="Z1259" s="9">
        <f t="shared" si="690"/>
        <v>0</v>
      </c>
      <c r="AA1259" s="8">
        <f t="shared" si="691"/>
        <v>1517474</v>
      </c>
      <c r="AB1259" s="8">
        <f t="shared" si="692"/>
        <v>0</v>
      </c>
    </row>
    <row r="1260" spans="1:28" x14ac:dyDescent="0.3">
      <c r="A1260" s="64"/>
      <c r="B1260" s="8"/>
      <c r="C1260" s="7" t="s">
        <v>535</v>
      </c>
      <c r="D1260" s="15" t="s">
        <v>108</v>
      </c>
      <c r="E1260" s="9">
        <v>10685838.689999999</v>
      </c>
      <c r="F1260" s="9">
        <v>10685838.689999999</v>
      </c>
      <c r="G1260" s="8"/>
      <c r="H1260" s="9">
        <f t="shared" si="683"/>
        <v>10685838.689999999</v>
      </c>
      <c r="I1260" s="8"/>
      <c r="J1260" s="9">
        <f t="shared" si="684"/>
        <v>10685838.689999999</v>
      </c>
      <c r="K1260" s="8"/>
      <c r="L1260" s="8"/>
      <c r="M1260" s="9">
        <f t="shared" si="693"/>
        <v>10685838.689999999</v>
      </c>
      <c r="N1260" s="8"/>
      <c r="O1260" s="9"/>
      <c r="P1260" s="9">
        <f t="shared" si="694"/>
        <v>0</v>
      </c>
      <c r="Q1260" s="9">
        <f t="shared" si="685"/>
        <v>10685838.689999999</v>
      </c>
      <c r="R1260" s="17"/>
      <c r="S1260" s="17"/>
      <c r="T1260" s="17"/>
      <c r="U1260" s="9">
        <f t="shared" si="686"/>
        <v>0</v>
      </c>
      <c r="V1260" s="9">
        <f t="shared" si="687"/>
        <v>10685838.689999999</v>
      </c>
      <c r="W1260" s="9">
        <f t="shared" si="688"/>
        <v>0</v>
      </c>
      <c r="X1260" s="9">
        <f t="shared" si="689"/>
        <v>10685838.689999999</v>
      </c>
      <c r="Y1260" s="8"/>
      <c r="Z1260" s="9">
        <f t="shared" si="690"/>
        <v>0</v>
      </c>
      <c r="AA1260" s="8">
        <f t="shared" si="691"/>
        <v>10685838.689999999</v>
      </c>
      <c r="AB1260" s="8">
        <f t="shared" si="692"/>
        <v>0</v>
      </c>
    </row>
    <row r="1261" spans="1:28" x14ac:dyDescent="0.3">
      <c r="A1261" s="64"/>
      <c r="B1261" s="8"/>
      <c r="C1261" s="7" t="s">
        <v>535</v>
      </c>
      <c r="D1261" s="15" t="s">
        <v>58</v>
      </c>
      <c r="E1261" s="9">
        <f>1761053+2000000+3000000+503740-579894</f>
        <v>6684899</v>
      </c>
      <c r="F1261" s="9">
        <f>4264793+2420106</f>
        <v>6684899</v>
      </c>
      <c r="G1261" s="8"/>
      <c r="H1261" s="9">
        <f t="shared" si="683"/>
        <v>6684899</v>
      </c>
      <c r="I1261" s="8"/>
      <c r="J1261" s="9">
        <f t="shared" si="684"/>
        <v>6684899</v>
      </c>
      <c r="K1261" s="8"/>
      <c r="L1261" s="8"/>
      <c r="M1261" s="9">
        <f t="shared" si="693"/>
        <v>6684899</v>
      </c>
      <c r="N1261" s="8"/>
      <c r="O1261" s="9"/>
      <c r="P1261" s="9">
        <f t="shared" si="694"/>
        <v>0</v>
      </c>
      <c r="Q1261" s="9">
        <f t="shared" si="685"/>
        <v>6684899</v>
      </c>
      <c r="R1261" s="17"/>
      <c r="S1261" s="17"/>
      <c r="T1261" s="17"/>
      <c r="U1261" s="9">
        <f t="shared" si="686"/>
        <v>0</v>
      </c>
      <c r="V1261" s="9">
        <f t="shared" si="687"/>
        <v>6684899</v>
      </c>
      <c r="W1261" s="9">
        <f t="shared" si="688"/>
        <v>0</v>
      </c>
      <c r="X1261" s="9">
        <f t="shared" si="689"/>
        <v>6684899</v>
      </c>
      <c r="Y1261" s="8"/>
      <c r="Z1261" s="9">
        <f t="shared" si="690"/>
        <v>0</v>
      </c>
      <c r="AA1261" s="8">
        <f t="shared" si="691"/>
        <v>6684899</v>
      </c>
      <c r="AB1261" s="8">
        <f t="shared" si="692"/>
        <v>0</v>
      </c>
    </row>
    <row r="1262" spans="1:28" x14ac:dyDescent="0.3">
      <c r="A1262" s="64"/>
      <c r="B1262" s="8"/>
      <c r="C1262" s="7" t="s">
        <v>535</v>
      </c>
      <c r="D1262" s="15" t="s">
        <v>60</v>
      </c>
      <c r="E1262" s="9">
        <v>746750</v>
      </c>
      <c r="F1262" s="9">
        <v>746750</v>
      </c>
      <c r="G1262" s="8"/>
      <c r="H1262" s="9">
        <f t="shared" si="683"/>
        <v>746750</v>
      </c>
      <c r="I1262" s="8"/>
      <c r="J1262" s="9">
        <f t="shared" si="684"/>
        <v>746750</v>
      </c>
      <c r="K1262" s="8"/>
      <c r="L1262" s="8"/>
      <c r="M1262" s="9">
        <f t="shared" si="693"/>
        <v>746750</v>
      </c>
      <c r="N1262" s="8"/>
      <c r="O1262" s="9"/>
      <c r="P1262" s="9">
        <f t="shared" si="694"/>
        <v>0</v>
      </c>
      <c r="Q1262" s="9">
        <f t="shared" si="685"/>
        <v>746750</v>
      </c>
      <c r="R1262" s="17"/>
      <c r="S1262" s="17"/>
      <c r="T1262" s="17"/>
      <c r="U1262" s="9">
        <f t="shared" si="686"/>
        <v>0</v>
      </c>
      <c r="V1262" s="9">
        <f t="shared" si="687"/>
        <v>746750</v>
      </c>
      <c r="W1262" s="9">
        <f t="shared" si="688"/>
        <v>0</v>
      </c>
      <c r="X1262" s="9">
        <f t="shared" si="689"/>
        <v>746750</v>
      </c>
      <c r="Y1262" s="8"/>
      <c r="Z1262" s="9">
        <f t="shared" si="690"/>
        <v>0</v>
      </c>
      <c r="AA1262" s="8">
        <f t="shared" si="691"/>
        <v>746750</v>
      </c>
      <c r="AB1262" s="8">
        <f t="shared" si="692"/>
        <v>0</v>
      </c>
    </row>
    <row r="1263" spans="1:28" x14ac:dyDescent="0.3">
      <c r="A1263" s="64"/>
      <c r="B1263" s="8"/>
      <c r="C1263" s="14" t="s">
        <v>689</v>
      </c>
      <c r="D1263" s="21" t="s">
        <v>194</v>
      </c>
      <c r="E1263" s="11">
        <v>283521.93</v>
      </c>
      <c r="F1263" s="11">
        <v>283521.93</v>
      </c>
      <c r="G1263" s="8"/>
      <c r="H1263" s="9">
        <f t="shared" si="683"/>
        <v>283521.93</v>
      </c>
      <c r="I1263" s="8"/>
      <c r="J1263" s="9">
        <f t="shared" si="684"/>
        <v>283521.93</v>
      </c>
      <c r="K1263" s="8"/>
      <c r="L1263" s="8"/>
      <c r="M1263" s="9">
        <f t="shared" si="693"/>
        <v>283521.93</v>
      </c>
      <c r="N1263" s="8"/>
      <c r="O1263" s="9"/>
      <c r="P1263" s="9">
        <f t="shared" si="694"/>
        <v>0</v>
      </c>
      <c r="Q1263" s="9">
        <f t="shared" si="685"/>
        <v>283521.93</v>
      </c>
      <c r="R1263" s="17"/>
      <c r="S1263" s="17"/>
      <c r="T1263" s="17"/>
      <c r="U1263" s="9">
        <f t="shared" si="686"/>
        <v>0</v>
      </c>
      <c r="V1263" s="9">
        <f t="shared" si="687"/>
        <v>283521.93</v>
      </c>
      <c r="W1263" s="9">
        <f t="shared" si="688"/>
        <v>0</v>
      </c>
      <c r="X1263" s="9">
        <f t="shared" si="689"/>
        <v>283521.93</v>
      </c>
      <c r="Y1263" s="8"/>
      <c r="Z1263" s="9">
        <f t="shared" si="690"/>
        <v>0</v>
      </c>
      <c r="AA1263" s="8">
        <f t="shared" si="691"/>
        <v>283521.93</v>
      </c>
      <c r="AB1263" s="8">
        <f t="shared" si="692"/>
        <v>0</v>
      </c>
    </row>
    <row r="1264" spans="1:28" x14ac:dyDescent="0.3">
      <c r="A1264" s="64"/>
      <c r="B1264" s="8"/>
      <c r="C1264" s="7" t="s">
        <v>535</v>
      </c>
      <c r="D1264" s="15" t="s">
        <v>73</v>
      </c>
      <c r="E1264" s="9">
        <f>690309+108691</f>
        <v>799000</v>
      </c>
      <c r="F1264" s="9">
        <f>690309+108691</f>
        <v>799000</v>
      </c>
      <c r="G1264" s="9"/>
      <c r="H1264" s="9">
        <f t="shared" si="683"/>
        <v>799000</v>
      </c>
      <c r="I1264" s="9">
        <v>0</v>
      </c>
      <c r="J1264" s="9">
        <f t="shared" si="684"/>
        <v>799000</v>
      </c>
      <c r="K1264" s="8"/>
      <c r="L1264" s="8"/>
      <c r="M1264" s="9">
        <f t="shared" si="693"/>
        <v>799000</v>
      </c>
      <c r="N1264" s="8"/>
      <c r="O1264" s="9"/>
      <c r="P1264" s="9">
        <f t="shared" si="694"/>
        <v>0</v>
      </c>
      <c r="Q1264" s="9">
        <f t="shared" si="685"/>
        <v>799000</v>
      </c>
      <c r="R1264" s="17"/>
      <c r="S1264" s="17"/>
      <c r="T1264" s="17"/>
      <c r="U1264" s="9">
        <f t="shared" si="686"/>
        <v>0</v>
      </c>
      <c r="V1264" s="9">
        <f t="shared" si="687"/>
        <v>799000</v>
      </c>
      <c r="W1264" s="9">
        <f t="shared" si="688"/>
        <v>0</v>
      </c>
      <c r="X1264" s="9">
        <f t="shared" si="689"/>
        <v>799000</v>
      </c>
      <c r="Y1264" s="8"/>
      <c r="Z1264" s="9">
        <f t="shared" si="690"/>
        <v>0</v>
      </c>
      <c r="AA1264" s="8">
        <f t="shared" si="691"/>
        <v>799000</v>
      </c>
      <c r="AB1264" s="8">
        <f t="shared" si="692"/>
        <v>0</v>
      </c>
    </row>
    <row r="1265" spans="1:28" x14ac:dyDescent="0.3">
      <c r="A1265" s="64"/>
      <c r="B1265" s="8"/>
      <c r="C1265" s="14" t="s">
        <v>690</v>
      </c>
      <c r="D1265" s="21" t="s">
        <v>73</v>
      </c>
      <c r="E1265" s="11">
        <v>272225</v>
      </c>
      <c r="F1265" s="11">
        <v>272225</v>
      </c>
      <c r="G1265" s="8"/>
      <c r="H1265" s="9">
        <f t="shared" si="683"/>
        <v>272225</v>
      </c>
      <c r="I1265" s="8"/>
      <c r="J1265" s="9">
        <f t="shared" si="684"/>
        <v>272225</v>
      </c>
      <c r="K1265" s="8"/>
      <c r="L1265" s="8"/>
      <c r="M1265" s="9">
        <f t="shared" si="693"/>
        <v>272225</v>
      </c>
      <c r="N1265" s="8"/>
      <c r="O1265" s="9"/>
      <c r="P1265" s="9">
        <f t="shared" si="694"/>
        <v>0</v>
      </c>
      <c r="Q1265" s="9">
        <f t="shared" si="685"/>
        <v>272225</v>
      </c>
      <c r="R1265" s="17"/>
      <c r="S1265" s="17"/>
      <c r="T1265" s="17"/>
      <c r="U1265" s="9">
        <f t="shared" si="686"/>
        <v>0</v>
      </c>
      <c r="V1265" s="9">
        <f t="shared" si="687"/>
        <v>272225</v>
      </c>
      <c r="W1265" s="9">
        <f t="shared" si="688"/>
        <v>0</v>
      </c>
      <c r="X1265" s="9">
        <f t="shared" si="689"/>
        <v>272225</v>
      </c>
      <c r="Y1265" s="8"/>
      <c r="Z1265" s="9">
        <f t="shared" si="690"/>
        <v>0</v>
      </c>
      <c r="AA1265" s="8">
        <f t="shared" si="691"/>
        <v>272225</v>
      </c>
      <c r="AB1265" s="8">
        <f t="shared" si="692"/>
        <v>0</v>
      </c>
    </row>
    <row r="1266" spans="1:28" x14ac:dyDescent="0.3">
      <c r="A1266" s="64"/>
      <c r="B1266" s="8"/>
      <c r="C1266" s="14" t="s">
        <v>691</v>
      </c>
      <c r="D1266" s="21" t="s">
        <v>73</v>
      </c>
      <c r="E1266" s="11">
        <v>443565.67</v>
      </c>
      <c r="F1266" s="11">
        <v>443565.67</v>
      </c>
      <c r="G1266" s="8"/>
      <c r="H1266" s="9">
        <f t="shared" si="683"/>
        <v>443565.67</v>
      </c>
      <c r="I1266" s="11">
        <v>0</v>
      </c>
      <c r="J1266" s="9">
        <f t="shared" si="684"/>
        <v>443565.67</v>
      </c>
      <c r="K1266" s="8"/>
      <c r="L1266" s="8"/>
      <c r="M1266" s="9">
        <f t="shared" si="693"/>
        <v>443565.67</v>
      </c>
      <c r="N1266" s="8"/>
      <c r="O1266" s="9"/>
      <c r="P1266" s="9">
        <f t="shared" si="694"/>
        <v>0</v>
      </c>
      <c r="Q1266" s="9">
        <f t="shared" si="685"/>
        <v>443565.67</v>
      </c>
      <c r="R1266" s="17"/>
      <c r="S1266" s="17"/>
      <c r="T1266" s="17"/>
      <c r="U1266" s="9">
        <f t="shared" si="686"/>
        <v>0</v>
      </c>
      <c r="V1266" s="9">
        <f t="shared" si="687"/>
        <v>443565.67</v>
      </c>
      <c r="W1266" s="9">
        <f t="shared" si="688"/>
        <v>0</v>
      </c>
      <c r="X1266" s="9">
        <f t="shared" si="689"/>
        <v>443565.67</v>
      </c>
      <c r="Y1266" s="8"/>
      <c r="Z1266" s="9">
        <f t="shared" si="690"/>
        <v>0</v>
      </c>
      <c r="AA1266" s="8">
        <f t="shared" si="691"/>
        <v>443565.67</v>
      </c>
      <c r="AB1266" s="8">
        <f t="shared" si="692"/>
        <v>0</v>
      </c>
    </row>
    <row r="1267" spans="1:28" x14ac:dyDescent="0.3">
      <c r="A1267" s="64"/>
      <c r="B1267" s="8"/>
      <c r="C1267" s="7" t="s">
        <v>535</v>
      </c>
      <c r="D1267" s="15" t="s">
        <v>61</v>
      </c>
      <c r="E1267" s="11">
        <f>33145+631854.8+1574860.12</f>
        <v>2239859.92</v>
      </c>
      <c r="F1267" s="11">
        <f>33145+631854.8+1574860.12</f>
        <v>2239859.92</v>
      </c>
      <c r="G1267" s="11"/>
      <c r="H1267" s="9">
        <f t="shared" si="683"/>
        <v>2239859.92</v>
      </c>
      <c r="I1267" s="8"/>
      <c r="J1267" s="9">
        <f t="shared" si="684"/>
        <v>2239859.92</v>
      </c>
      <c r="K1267" s="8"/>
      <c r="L1267" s="8"/>
      <c r="M1267" s="9">
        <f t="shared" si="693"/>
        <v>2239859.92</v>
      </c>
      <c r="N1267" s="8"/>
      <c r="O1267" s="9"/>
      <c r="P1267" s="9">
        <f t="shared" si="694"/>
        <v>0</v>
      </c>
      <c r="Q1267" s="9">
        <f t="shared" si="685"/>
        <v>2239859.92</v>
      </c>
      <c r="R1267" s="17"/>
      <c r="S1267" s="17"/>
      <c r="T1267" s="17"/>
      <c r="U1267" s="9">
        <f t="shared" si="686"/>
        <v>0</v>
      </c>
      <c r="V1267" s="9">
        <f t="shared" si="687"/>
        <v>2239859.92</v>
      </c>
      <c r="W1267" s="9">
        <f t="shared" si="688"/>
        <v>0</v>
      </c>
      <c r="X1267" s="9">
        <f t="shared" si="689"/>
        <v>2239859.92</v>
      </c>
      <c r="Y1267" s="8"/>
      <c r="Z1267" s="9">
        <f t="shared" si="690"/>
        <v>0</v>
      </c>
      <c r="AA1267" s="8">
        <f t="shared" si="691"/>
        <v>2239859.92</v>
      </c>
      <c r="AB1267" s="8">
        <f t="shared" si="692"/>
        <v>0</v>
      </c>
    </row>
    <row r="1268" spans="1:28" x14ac:dyDescent="0.3">
      <c r="A1268" s="64"/>
      <c r="B1268" s="8"/>
      <c r="C1268" s="7" t="s">
        <v>621</v>
      </c>
      <c r="D1268" s="15" t="s">
        <v>61</v>
      </c>
      <c r="E1268" s="11">
        <f>441000+193593.23</f>
        <v>634593.23</v>
      </c>
      <c r="F1268" s="11">
        <f>441000+193593.23</f>
        <v>634593.23</v>
      </c>
      <c r="G1268" s="11"/>
      <c r="H1268" s="9">
        <f t="shared" si="683"/>
        <v>634593.23</v>
      </c>
      <c r="I1268" s="8"/>
      <c r="J1268" s="9">
        <f t="shared" si="684"/>
        <v>634593.23</v>
      </c>
      <c r="K1268" s="8"/>
      <c r="L1268" s="8"/>
      <c r="M1268" s="9">
        <f t="shared" si="693"/>
        <v>634593.23</v>
      </c>
      <c r="N1268" s="8"/>
      <c r="O1268" s="9"/>
      <c r="P1268" s="9">
        <f t="shared" si="694"/>
        <v>0</v>
      </c>
      <c r="Q1268" s="9">
        <f t="shared" si="685"/>
        <v>634593.23</v>
      </c>
      <c r="R1268" s="17"/>
      <c r="S1268" s="17"/>
      <c r="T1268" s="17"/>
      <c r="U1268" s="9">
        <f t="shared" si="686"/>
        <v>0</v>
      </c>
      <c r="V1268" s="9">
        <f t="shared" si="687"/>
        <v>634593.23</v>
      </c>
      <c r="W1268" s="9">
        <f t="shared" si="688"/>
        <v>0</v>
      </c>
      <c r="X1268" s="9">
        <f t="shared" si="689"/>
        <v>634593.23</v>
      </c>
      <c r="Y1268" s="8"/>
      <c r="Z1268" s="9">
        <f t="shared" si="690"/>
        <v>0</v>
      </c>
      <c r="AA1268" s="8">
        <f t="shared" si="691"/>
        <v>634593.23</v>
      </c>
      <c r="AB1268" s="8">
        <f t="shared" si="692"/>
        <v>0</v>
      </c>
    </row>
    <row r="1269" spans="1:28" x14ac:dyDescent="0.3">
      <c r="A1269" s="64"/>
      <c r="B1269" s="8"/>
      <c r="C1269" s="14" t="s">
        <v>692</v>
      </c>
      <c r="D1269" s="15" t="s">
        <v>61</v>
      </c>
      <c r="E1269" s="11">
        <v>3161985.42</v>
      </c>
      <c r="F1269" s="8">
        <v>3161985.42</v>
      </c>
      <c r="G1269" s="11"/>
      <c r="H1269" s="9">
        <f t="shared" si="683"/>
        <v>3161985.42</v>
      </c>
      <c r="I1269" s="8"/>
      <c r="J1269" s="9">
        <f t="shared" si="684"/>
        <v>3161985.42</v>
      </c>
      <c r="K1269" s="8"/>
      <c r="L1269" s="8"/>
      <c r="M1269" s="9">
        <f t="shared" si="693"/>
        <v>3161985.42</v>
      </c>
      <c r="N1269" s="8"/>
      <c r="O1269" s="9"/>
      <c r="P1269" s="9">
        <f t="shared" si="694"/>
        <v>0</v>
      </c>
      <c r="Q1269" s="9">
        <f t="shared" si="685"/>
        <v>3161985.42</v>
      </c>
      <c r="R1269" s="17"/>
      <c r="S1269" s="17"/>
      <c r="T1269" s="17"/>
      <c r="U1269" s="9">
        <f t="shared" si="686"/>
        <v>0</v>
      </c>
      <c r="V1269" s="9">
        <f t="shared" si="687"/>
        <v>3161985.42</v>
      </c>
      <c r="W1269" s="9">
        <f t="shared" si="688"/>
        <v>0</v>
      </c>
      <c r="X1269" s="9">
        <f t="shared" si="689"/>
        <v>3161985.42</v>
      </c>
      <c r="Y1269" s="8"/>
      <c r="Z1269" s="9">
        <f t="shared" si="690"/>
        <v>0</v>
      </c>
      <c r="AA1269" s="8">
        <f t="shared" si="691"/>
        <v>3161985.42</v>
      </c>
      <c r="AB1269" s="8">
        <f t="shared" si="692"/>
        <v>0</v>
      </c>
    </row>
    <row r="1270" spans="1:28" x14ac:dyDescent="0.3">
      <c r="A1270" s="64"/>
      <c r="B1270" s="8"/>
      <c r="C1270" s="14" t="s">
        <v>693</v>
      </c>
      <c r="D1270" s="15" t="s">
        <v>61</v>
      </c>
      <c r="E1270" s="11">
        <v>1433526.5</v>
      </c>
      <c r="F1270" s="8">
        <v>1433526.5</v>
      </c>
      <c r="G1270" s="11"/>
      <c r="H1270" s="9">
        <f t="shared" si="683"/>
        <v>1433526.5</v>
      </c>
      <c r="I1270" s="8"/>
      <c r="J1270" s="9">
        <f t="shared" si="684"/>
        <v>1433526.5</v>
      </c>
      <c r="K1270" s="8"/>
      <c r="L1270" s="8"/>
      <c r="M1270" s="9">
        <f t="shared" si="693"/>
        <v>1433526.5</v>
      </c>
      <c r="N1270" s="8"/>
      <c r="O1270" s="9"/>
      <c r="P1270" s="9">
        <f t="shared" si="694"/>
        <v>0</v>
      </c>
      <c r="Q1270" s="9">
        <f t="shared" si="685"/>
        <v>1433526.5</v>
      </c>
      <c r="R1270" s="17"/>
      <c r="S1270" s="17"/>
      <c r="T1270" s="17"/>
      <c r="U1270" s="9">
        <f t="shared" si="686"/>
        <v>0</v>
      </c>
      <c r="V1270" s="9">
        <f t="shared" si="687"/>
        <v>1433526.5</v>
      </c>
      <c r="W1270" s="9">
        <f t="shared" si="688"/>
        <v>0</v>
      </c>
      <c r="X1270" s="9">
        <f t="shared" si="689"/>
        <v>1433526.5</v>
      </c>
      <c r="Y1270" s="8"/>
      <c r="Z1270" s="9">
        <f t="shared" si="690"/>
        <v>0</v>
      </c>
      <c r="AA1270" s="8">
        <f t="shared" si="691"/>
        <v>1433526.5</v>
      </c>
      <c r="AB1270" s="8">
        <f t="shared" si="692"/>
        <v>0</v>
      </c>
    </row>
    <row r="1271" spans="1:28" x14ac:dyDescent="0.3">
      <c r="A1271" s="64"/>
      <c r="B1271" s="8"/>
      <c r="C1271" s="45" t="s">
        <v>1081</v>
      </c>
      <c r="D1271" s="16" t="s">
        <v>1072</v>
      </c>
      <c r="E1271" s="11">
        <v>3018363.61</v>
      </c>
      <c r="F1271" s="8">
        <v>3018363.61</v>
      </c>
      <c r="G1271" s="11"/>
      <c r="H1271" s="9">
        <f>+F1271+G1271</f>
        <v>3018363.61</v>
      </c>
      <c r="I1271" s="8"/>
      <c r="J1271" s="9"/>
      <c r="K1271" s="8"/>
      <c r="L1271" s="8"/>
      <c r="M1271" s="9">
        <f>+H1271+L1271</f>
        <v>3018363.61</v>
      </c>
      <c r="N1271" s="8"/>
      <c r="O1271" s="9"/>
      <c r="P1271" s="9">
        <f t="shared" si="694"/>
        <v>0</v>
      </c>
      <c r="Q1271" s="9"/>
      <c r="R1271" s="17"/>
      <c r="S1271" s="17"/>
      <c r="T1271" s="17"/>
      <c r="U1271" s="9">
        <f>P1271+T1271</f>
        <v>0</v>
      </c>
      <c r="V1271" s="9">
        <f>P1271+H1271</f>
        <v>3018363.61</v>
      </c>
      <c r="W1271" s="9">
        <f>E1271-V1271</f>
        <v>0</v>
      </c>
      <c r="X1271" s="9">
        <f t="shared" si="689"/>
        <v>3018363.61</v>
      </c>
      <c r="Y1271" s="8"/>
      <c r="Z1271" s="9">
        <f t="shared" si="690"/>
        <v>0</v>
      </c>
      <c r="AA1271" s="8">
        <f t="shared" si="691"/>
        <v>3018363.61</v>
      </c>
      <c r="AB1271" s="8">
        <f t="shared" si="692"/>
        <v>0</v>
      </c>
    </row>
    <row r="1272" spans="1:28" x14ac:dyDescent="0.3">
      <c r="A1272" s="64"/>
      <c r="B1272" s="8"/>
      <c r="C1272" s="7" t="s">
        <v>569</v>
      </c>
      <c r="D1272" s="8"/>
      <c r="E1272" s="9">
        <v>1183806</v>
      </c>
      <c r="F1272" s="9">
        <v>1183806</v>
      </c>
      <c r="G1272" s="8"/>
      <c r="H1272" s="9">
        <f t="shared" si="683"/>
        <v>1183806</v>
      </c>
      <c r="I1272" s="8"/>
      <c r="J1272" s="9">
        <f t="shared" si="684"/>
        <v>1183806</v>
      </c>
      <c r="K1272" s="8"/>
      <c r="L1272" s="8"/>
      <c r="M1272" s="9">
        <f t="shared" si="693"/>
        <v>1183806</v>
      </c>
      <c r="N1272" s="8"/>
      <c r="O1272" s="9"/>
      <c r="P1272" s="9">
        <f t="shared" si="694"/>
        <v>0</v>
      </c>
      <c r="Q1272" s="9">
        <f t="shared" si="685"/>
        <v>1183806</v>
      </c>
      <c r="R1272" s="17"/>
      <c r="S1272" s="17"/>
      <c r="T1272" s="17"/>
      <c r="U1272" s="9">
        <f t="shared" si="686"/>
        <v>0</v>
      </c>
      <c r="V1272" s="9">
        <f t="shared" si="687"/>
        <v>1183806</v>
      </c>
      <c r="W1272" s="9">
        <f t="shared" si="688"/>
        <v>0</v>
      </c>
      <c r="X1272" s="9">
        <f t="shared" si="689"/>
        <v>1183806</v>
      </c>
      <c r="Y1272" s="8"/>
      <c r="Z1272" s="9">
        <f t="shared" si="690"/>
        <v>0</v>
      </c>
      <c r="AA1272" s="8">
        <f t="shared" si="691"/>
        <v>1183806</v>
      </c>
      <c r="AB1272" s="8">
        <f t="shared" si="692"/>
        <v>0</v>
      </c>
    </row>
    <row r="1273" spans="1:28" x14ac:dyDescent="0.3">
      <c r="A1273" s="64"/>
      <c r="B1273" s="8"/>
      <c r="C1273" s="7" t="s">
        <v>694</v>
      </c>
      <c r="D1273" s="8"/>
      <c r="E1273" s="9">
        <v>400000</v>
      </c>
      <c r="F1273" s="9">
        <v>400000</v>
      </c>
      <c r="G1273" s="8"/>
      <c r="H1273" s="9">
        <f t="shared" si="683"/>
        <v>400000</v>
      </c>
      <c r="I1273" s="8"/>
      <c r="J1273" s="9">
        <f t="shared" si="684"/>
        <v>400000</v>
      </c>
      <c r="K1273" s="8"/>
      <c r="L1273" s="8"/>
      <c r="M1273" s="9">
        <f t="shared" si="693"/>
        <v>400000</v>
      </c>
      <c r="N1273" s="8"/>
      <c r="O1273" s="9"/>
      <c r="P1273" s="9">
        <f t="shared" si="694"/>
        <v>0</v>
      </c>
      <c r="Q1273" s="9">
        <f t="shared" si="685"/>
        <v>400000</v>
      </c>
      <c r="R1273" s="17"/>
      <c r="S1273" s="17"/>
      <c r="T1273" s="17"/>
      <c r="U1273" s="9">
        <f t="shared" si="686"/>
        <v>0</v>
      </c>
      <c r="V1273" s="9">
        <f t="shared" si="687"/>
        <v>400000</v>
      </c>
      <c r="W1273" s="9">
        <f t="shared" si="688"/>
        <v>0</v>
      </c>
      <c r="X1273" s="9">
        <f t="shared" si="689"/>
        <v>400000</v>
      </c>
      <c r="Y1273" s="8"/>
      <c r="Z1273" s="9">
        <f t="shared" si="690"/>
        <v>0</v>
      </c>
      <c r="AA1273" s="8">
        <f t="shared" si="691"/>
        <v>400000</v>
      </c>
      <c r="AB1273" s="8">
        <f t="shared" si="692"/>
        <v>0</v>
      </c>
    </row>
    <row r="1274" spans="1:28" x14ac:dyDescent="0.3">
      <c r="A1274" s="64"/>
      <c r="B1274" s="8"/>
      <c r="C1274" s="7" t="s">
        <v>1216</v>
      </c>
      <c r="D1274" s="23" t="s">
        <v>1126</v>
      </c>
      <c r="E1274" s="9">
        <v>56434.33</v>
      </c>
      <c r="F1274" s="9">
        <v>56434.33</v>
      </c>
      <c r="G1274" s="8"/>
      <c r="H1274" s="9">
        <f t="shared" ref="H1274:H1279" si="695">+F1274+G1274</f>
        <v>56434.33</v>
      </c>
      <c r="I1274" s="8"/>
      <c r="J1274" s="9">
        <f t="shared" si="684"/>
        <v>56434.33</v>
      </c>
      <c r="K1274" s="8"/>
      <c r="L1274" s="8"/>
      <c r="M1274" s="9">
        <f t="shared" si="693"/>
        <v>56434.33</v>
      </c>
      <c r="N1274" s="8"/>
      <c r="O1274" s="9"/>
      <c r="P1274" s="9">
        <f>+N1274+O1274</f>
        <v>0</v>
      </c>
      <c r="Q1274" s="9">
        <f t="shared" si="685"/>
        <v>56434.33</v>
      </c>
      <c r="R1274" s="17"/>
      <c r="S1274" s="17"/>
      <c r="T1274" s="17"/>
      <c r="U1274" s="9">
        <f t="shared" si="686"/>
        <v>0</v>
      </c>
      <c r="V1274" s="9">
        <f t="shared" si="687"/>
        <v>56434.33</v>
      </c>
      <c r="W1274" s="9">
        <f t="shared" si="688"/>
        <v>0</v>
      </c>
      <c r="X1274" s="9">
        <f t="shared" si="689"/>
        <v>56434.33</v>
      </c>
      <c r="Y1274" s="8"/>
      <c r="Z1274" s="9">
        <f t="shared" si="690"/>
        <v>0</v>
      </c>
      <c r="AA1274" s="8">
        <f t="shared" si="691"/>
        <v>56434.33</v>
      </c>
      <c r="AB1274" s="8">
        <f t="shared" si="692"/>
        <v>0</v>
      </c>
    </row>
    <row r="1275" spans="1:28" x14ac:dyDescent="0.3">
      <c r="A1275" s="64"/>
      <c r="B1275" s="8"/>
      <c r="C1275" s="7" t="s">
        <v>929</v>
      </c>
      <c r="D1275" s="8"/>
      <c r="E1275" s="9">
        <v>489000</v>
      </c>
      <c r="F1275" s="9">
        <v>489000</v>
      </c>
      <c r="G1275" s="8"/>
      <c r="H1275" s="9">
        <f t="shared" si="695"/>
        <v>489000</v>
      </c>
      <c r="I1275" s="8"/>
      <c r="J1275" s="9"/>
      <c r="K1275" s="8"/>
      <c r="L1275" s="8"/>
      <c r="M1275" s="9">
        <f>+H1275+L1275</f>
        <v>489000</v>
      </c>
      <c r="N1275" s="8"/>
      <c r="O1275" s="9"/>
      <c r="P1275" s="9">
        <v>0</v>
      </c>
      <c r="Q1275" s="9"/>
      <c r="R1275" s="17"/>
      <c r="S1275" s="17"/>
      <c r="T1275" s="17"/>
      <c r="U1275" s="9">
        <v>0</v>
      </c>
      <c r="V1275" s="9"/>
      <c r="W1275" s="9"/>
      <c r="X1275" s="9">
        <f t="shared" si="689"/>
        <v>489000</v>
      </c>
      <c r="Y1275" s="8"/>
      <c r="Z1275" s="9">
        <f t="shared" si="690"/>
        <v>0</v>
      </c>
      <c r="AA1275" s="8">
        <f t="shared" si="691"/>
        <v>489000</v>
      </c>
      <c r="AB1275" s="8">
        <f t="shared" si="692"/>
        <v>0</v>
      </c>
    </row>
    <row r="1276" spans="1:28" x14ac:dyDescent="0.3">
      <c r="A1276" s="64"/>
      <c r="B1276" s="8"/>
      <c r="C1276" s="7" t="s">
        <v>1258</v>
      </c>
      <c r="D1276" s="23" t="s">
        <v>1126</v>
      </c>
      <c r="E1276" s="9">
        <v>508000</v>
      </c>
      <c r="F1276" s="9">
        <v>508000</v>
      </c>
      <c r="G1276" s="8"/>
      <c r="H1276" s="9">
        <f t="shared" si="695"/>
        <v>508000</v>
      </c>
      <c r="I1276" s="8"/>
      <c r="J1276" s="9"/>
      <c r="K1276" s="8"/>
      <c r="L1276" s="8"/>
      <c r="M1276" s="9">
        <f>+H1276+L1276</f>
        <v>508000</v>
      </c>
      <c r="N1276" s="8"/>
      <c r="O1276" s="9"/>
      <c r="P1276" s="9">
        <f>+N1276+O1276</f>
        <v>0</v>
      </c>
      <c r="Q1276" s="9"/>
      <c r="R1276" s="17"/>
      <c r="S1276" s="17"/>
      <c r="T1276" s="17"/>
      <c r="U1276" s="9">
        <f>+P1276+T1276</f>
        <v>0</v>
      </c>
      <c r="V1276" s="9"/>
      <c r="W1276" s="9"/>
      <c r="X1276" s="9">
        <f>+H1276+P1276</f>
        <v>508000</v>
      </c>
      <c r="Y1276" s="8"/>
      <c r="Z1276" s="9">
        <f>+E1276-X1276</f>
        <v>0</v>
      </c>
      <c r="AA1276" s="8">
        <f>+M1276+U1276</f>
        <v>508000</v>
      </c>
      <c r="AB1276" s="8">
        <f>+E1276-AA1276</f>
        <v>0</v>
      </c>
    </row>
    <row r="1277" spans="1:28" x14ac:dyDescent="0.3">
      <c r="A1277" s="64"/>
      <c r="B1277" s="8"/>
      <c r="C1277" s="7" t="s">
        <v>1259</v>
      </c>
      <c r="D1277" s="23" t="s">
        <v>1225</v>
      </c>
      <c r="E1277" s="9">
        <f>1384936.83+811481.06</f>
        <v>2196417.89</v>
      </c>
      <c r="F1277" s="9"/>
      <c r="G1277" s="8">
        <f>1384936.83+811481.06</f>
        <v>2196417.89</v>
      </c>
      <c r="H1277" s="9">
        <f t="shared" si="695"/>
        <v>2196417.89</v>
      </c>
      <c r="I1277" s="8"/>
      <c r="J1277" s="9"/>
      <c r="K1277" s="8"/>
      <c r="L1277" s="8"/>
      <c r="M1277" s="9">
        <f>+H1277+L1277</f>
        <v>2196417.89</v>
      </c>
      <c r="N1277" s="8"/>
      <c r="O1277" s="9"/>
      <c r="P1277" s="9">
        <f>+N1277+O1277</f>
        <v>0</v>
      </c>
      <c r="Q1277" s="9"/>
      <c r="R1277" s="17"/>
      <c r="S1277" s="17"/>
      <c r="T1277" s="17"/>
      <c r="U1277" s="9">
        <f>+P1277+T1277</f>
        <v>0</v>
      </c>
      <c r="V1277" s="9"/>
      <c r="W1277" s="9"/>
      <c r="X1277" s="9">
        <f>+H1277+P1277</f>
        <v>2196417.89</v>
      </c>
      <c r="Y1277" s="8"/>
      <c r="Z1277" s="9">
        <f>+E1277-X1277</f>
        <v>0</v>
      </c>
      <c r="AA1277" s="8">
        <f>+M1277+U1277</f>
        <v>2196417.89</v>
      </c>
      <c r="AB1277" s="8">
        <f>+E1277-AA1277</f>
        <v>0</v>
      </c>
    </row>
    <row r="1278" spans="1:28" x14ac:dyDescent="0.3">
      <c r="A1278" s="64"/>
      <c r="B1278" s="8"/>
      <c r="C1278" s="7" t="s">
        <v>1240</v>
      </c>
      <c r="D1278" s="23" t="s">
        <v>1225</v>
      </c>
      <c r="E1278" s="9">
        <v>1424394.09</v>
      </c>
      <c r="F1278" s="9">
        <v>1424394.09</v>
      </c>
      <c r="G1278" s="8"/>
      <c r="H1278" s="9">
        <f t="shared" si="695"/>
        <v>1424394.09</v>
      </c>
      <c r="I1278" s="8"/>
      <c r="J1278" s="9"/>
      <c r="K1278" s="8"/>
      <c r="L1278" s="8"/>
      <c r="M1278" s="9">
        <f>+H1278+L1278</f>
        <v>1424394.09</v>
      </c>
      <c r="N1278" s="8"/>
      <c r="O1278" s="9"/>
      <c r="P1278" s="9">
        <f>+N1278+O1278</f>
        <v>0</v>
      </c>
      <c r="Q1278" s="9"/>
      <c r="R1278" s="17"/>
      <c r="S1278" s="17"/>
      <c r="T1278" s="17"/>
      <c r="U1278" s="9">
        <f>+P1278+T1278</f>
        <v>0</v>
      </c>
      <c r="V1278" s="9"/>
      <c r="W1278" s="9"/>
      <c r="X1278" s="9">
        <f>+H1278+P1278</f>
        <v>1424394.09</v>
      </c>
      <c r="Y1278" s="8"/>
      <c r="Z1278" s="9">
        <f>+E1278-X1278</f>
        <v>0</v>
      </c>
      <c r="AA1278" s="8">
        <f>+M1278+U1278</f>
        <v>1424394.09</v>
      </c>
      <c r="AB1278" s="8">
        <f>+E1278-AA1278</f>
        <v>0</v>
      </c>
    </row>
    <row r="1279" spans="1:28" x14ac:dyDescent="0.3">
      <c r="A1279" s="64"/>
      <c r="B1279" s="8"/>
      <c r="C1279" s="41" t="s">
        <v>1206</v>
      </c>
      <c r="D1279" s="23" t="s">
        <v>1126</v>
      </c>
      <c r="E1279" s="9">
        <f>350094.84+136116.02</f>
        <v>486210.86</v>
      </c>
      <c r="F1279" s="9">
        <f>350094.84+136116.02</f>
        <v>486210.86</v>
      </c>
      <c r="G1279" s="8"/>
      <c r="H1279" s="9">
        <f t="shared" si="695"/>
        <v>486210.86</v>
      </c>
      <c r="I1279" s="8"/>
      <c r="J1279" s="9"/>
      <c r="K1279" s="8"/>
      <c r="L1279" s="8"/>
      <c r="M1279" s="9">
        <f>+H1279+L1279</f>
        <v>486210.86</v>
      </c>
      <c r="N1279" s="8"/>
      <c r="O1279" s="9"/>
      <c r="P1279" s="9">
        <v>0</v>
      </c>
      <c r="Q1279" s="9"/>
      <c r="R1279" s="17"/>
      <c r="S1279" s="17"/>
      <c r="T1279" s="17"/>
      <c r="U1279" s="9">
        <f>+P1279+T1279</f>
        <v>0</v>
      </c>
      <c r="V1279" s="9"/>
      <c r="W1279" s="9"/>
      <c r="X1279" s="9">
        <f>+H1279+P1279</f>
        <v>486210.86</v>
      </c>
      <c r="Y1279" s="8"/>
      <c r="Z1279" s="9">
        <f>+E1279-X1279</f>
        <v>0</v>
      </c>
      <c r="AA1279" s="8">
        <f>+M1279+U1279</f>
        <v>486210.86</v>
      </c>
      <c r="AB1279" s="8">
        <f>+E1279-AA1279</f>
        <v>0</v>
      </c>
    </row>
    <row r="1280" spans="1:28" x14ac:dyDescent="0.3">
      <c r="A1280" s="64"/>
      <c r="B1280" s="8"/>
      <c r="C1280" s="7" t="s">
        <v>678</v>
      </c>
      <c r="D1280" s="57"/>
      <c r="E1280" s="9">
        <f>2500000+2500000+1332906.88</f>
        <v>6332906.8799999999</v>
      </c>
      <c r="F1280" s="9">
        <f>5000000+1332906.88</f>
        <v>6332906.8799999999</v>
      </c>
      <c r="G1280" s="8"/>
      <c r="H1280" s="9">
        <f t="shared" si="683"/>
        <v>6332906.8799999999</v>
      </c>
      <c r="I1280" s="8"/>
      <c r="J1280" s="9">
        <f t="shared" si="684"/>
        <v>6332906.8799999999</v>
      </c>
      <c r="K1280" s="8"/>
      <c r="L1280" s="8"/>
      <c r="M1280" s="9">
        <f t="shared" si="693"/>
        <v>6332906.8799999999</v>
      </c>
      <c r="N1280" s="8"/>
      <c r="O1280" s="9"/>
      <c r="P1280" s="9">
        <f t="shared" si="694"/>
        <v>0</v>
      </c>
      <c r="Q1280" s="9">
        <f t="shared" si="685"/>
        <v>6332906.8799999999</v>
      </c>
      <c r="R1280" s="17"/>
      <c r="S1280" s="17"/>
      <c r="T1280" s="17"/>
      <c r="U1280" s="9">
        <f t="shared" si="686"/>
        <v>0</v>
      </c>
      <c r="V1280" s="9">
        <f t="shared" si="687"/>
        <v>6332906.8799999999</v>
      </c>
      <c r="W1280" s="9">
        <f t="shared" si="688"/>
        <v>0</v>
      </c>
      <c r="X1280" s="9">
        <f t="shared" si="689"/>
        <v>6332906.8799999999</v>
      </c>
      <c r="Y1280" s="8"/>
      <c r="Z1280" s="9">
        <f t="shared" si="690"/>
        <v>0</v>
      </c>
      <c r="AA1280" s="8">
        <f t="shared" si="691"/>
        <v>6332906.8799999999</v>
      </c>
      <c r="AB1280" s="8">
        <f t="shared" si="692"/>
        <v>0</v>
      </c>
    </row>
    <row r="1281" spans="1:28" x14ac:dyDescent="0.3">
      <c r="A1281" s="64"/>
      <c r="B1281" s="8"/>
      <c r="C1281" s="8"/>
      <c r="D1281" s="8"/>
      <c r="E1281" s="17" t="s">
        <v>29</v>
      </c>
      <c r="F1281" s="17" t="s">
        <v>29</v>
      </c>
      <c r="G1281" s="17" t="s">
        <v>29</v>
      </c>
      <c r="H1281" s="17" t="s">
        <v>29</v>
      </c>
      <c r="I1281" s="17" t="s">
        <v>29</v>
      </c>
      <c r="J1281" s="17" t="s">
        <v>29</v>
      </c>
      <c r="K1281" s="17" t="s">
        <v>29</v>
      </c>
      <c r="L1281" s="17" t="s">
        <v>29</v>
      </c>
      <c r="M1281" s="17" t="s">
        <v>29</v>
      </c>
      <c r="N1281" s="17" t="s">
        <v>29</v>
      </c>
      <c r="O1281" s="17" t="s">
        <v>29</v>
      </c>
      <c r="P1281" s="17" t="s">
        <v>29</v>
      </c>
      <c r="Q1281" s="17" t="s">
        <v>29</v>
      </c>
      <c r="R1281" s="17" t="s">
        <v>29</v>
      </c>
      <c r="S1281" s="17" t="s">
        <v>29</v>
      </c>
      <c r="T1281" s="17" t="s">
        <v>29</v>
      </c>
      <c r="U1281" s="17" t="s">
        <v>29</v>
      </c>
      <c r="V1281" s="17" t="s">
        <v>29</v>
      </c>
      <c r="W1281" s="17" t="s">
        <v>29</v>
      </c>
      <c r="X1281" s="17" t="s">
        <v>29</v>
      </c>
      <c r="Y1281" s="17" t="s">
        <v>29</v>
      </c>
      <c r="Z1281" s="17" t="s">
        <v>29</v>
      </c>
      <c r="AA1281" s="17" t="s">
        <v>29</v>
      </c>
      <c r="AB1281" s="17" t="s">
        <v>29</v>
      </c>
    </row>
    <row r="1282" spans="1:28" x14ac:dyDescent="0.3">
      <c r="A1282" s="64"/>
      <c r="B1282" s="8"/>
      <c r="C1282" s="8"/>
      <c r="D1282" s="8"/>
      <c r="E1282" s="9">
        <f t="shared" ref="E1282:Q1282" si="696">SUM(E1248:E1281)</f>
        <v>57904785.510000005</v>
      </c>
      <c r="F1282" s="9">
        <f t="shared" si="696"/>
        <v>50818542.530000001</v>
      </c>
      <c r="G1282" s="9">
        <f t="shared" si="696"/>
        <v>2196417.89</v>
      </c>
      <c r="H1282" s="9">
        <f t="shared" si="696"/>
        <v>53014960.420000002</v>
      </c>
      <c r="I1282" s="9">
        <f t="shared" si="696"/>
        <v>0</v>
      </c>
      <c r="J1282" s="9">
        <f t="shared" si="696"/>
        <v>44892573.969999999</v>
      </c>
      <c r="K1282" s="9">
        <f t="shared" si="696"/>
        <v>4889825.09</v>
      </c>
      <c r="L1282" s="9">
        <f t="shared" si="696"/>
        <v>0</v>
      </c>
      <c r="M1282" s="9">
        <f t="shared" si="696"/>
        <v>53014960.420000002</v>
      </c>
      <c r="N1282" s="9">
        <f t="shared" si="696"/>
        <v>4889825.09</v>
      </c>
      <c r="O1282" s="9">
        <f t="shared" si="696"/>
        <v>0</v>
      </c>
      <c r="P1282" s="9">
        <f t="shared" si="696"/>
        <v>4889825.09</v>
      </c>
      <c r="Q1282" s="9">
        <f t="shared" si="696"/>
        <v>44892573.969999999</v>
      </c>
      <c r="R1282" s="17"/>
      <c r="S1282" s="17"/>
      <c r="T1282" s="9">
        <f t="shared" ref="T1282:Z1282" si="697">SUM(T1248:T1281)</f>
        <v>0</v>
      </c>
      <c r="U1282" s="9">
        <f t="shared" si="697"/>
        <v>4889825.09</v>
      </c>
      <c r="V1282" s="9">
        <f t="shared" si="697"/>
        <v>52800762.670000002</v>
      </c>
      <c r="W1282" s="9">
        <f t="shared" si="697"/>
        <v>0</v>
      </c>
      <c r="X1282" s="9">
        <f t="shared" si="697"/>
        <v>57904785.510000005</v>
      </c>
      <c r="Y1282" s="9">
        <f t="shared" si="697"/>
        <v>0</v>
      </c>
      <c r="Z1282" s="9">
        <f t="shared" si="697"/>
        <v>0</v>
      </c>
      <c r="AA1282" s="9">
        <f>SUM(AA1248:AA1281)</f>
        <v>57904785.510000005</v>
      </c>
      <c r="AB1282" s="9">
        <f>SUM(AB1248:AB1281)</f>
        <v>0</v>
      </c>
    </row>
    <row r="1283" spans="1:28" x14ac:dyDescent="0.3">
      <c r="A1283" s="64"/>
      <c r="B1283" s="8"/>
      <c r="C1283" s="8"/>
      <c r="D1283" s="8"/>
      <c r="E1283" s="17" t="s">
        <v>29</v>
      </c>
      <c r="F1283" s="17" t="s">
        <v>29</v>
      </c>
      <c r="G1283" s="17" t="s">
        <v>29</v>
      </c>
      <c r="H1283" s="17" t="s">
        <v>29</v>
      </c>
      <c r="I1283" s="17" t="s">
        <v>29</v>
      </c>
      <c r="J1283" s="17" t="s">
        <v>29</v>
      </c>
      <c r="K1283" s="17" t="s">
        <v>29</v>
      </c>
      <c r="L1283" s="17" t="s">
        <v>29</v>
      </c>
      <c r="M1283" s="17" t="s">
        <v>29</v>
      </c>
      <c r="N1283" s="17" t="s">
        <v>29</v>
      </c>
      <c r="O1283" s="17" t="s">
        <v>29</v>
      </c>
      <c r="P1283" s="17" t="s">
        <v>29</v>
      </c>
      <c r="Q1283" s="17" t="s">
        <v>29</v>
      </c>
      <c r="R1283" s="17" t="s">
        <v>29</v>
      </c>
      <c r="S1283" s="17" t="s">
        <v>29</v>
      </c>
      <c r="T1283" s="17" t="s">
        <v>29</v>
      </c>
      <c r="U1283" s="17" t="s">
        <v>29</v>
      </c>
      <c r="V1283" s="17" t="s">
        <v>29</v>
      </c>
      <c r="W1283" s="17" t="s">
        <v>29</v>
      </c>
      <c r="X1283" s="17" t="s">
        <v>29</v>
      </c>
      <c r="Y1283" s="17" t="s">
        <v>29</v>
      </c>
      <c r="Z1283" s="17" t="s">
        <v>29</v>
      </c>
      <c r="AA1283" s="17" t="s">
        <v>29</v>
      </c>
      <c r="AB1283" s="17" t="s">
        <v>29</v>
      </c>
    </row>
    <row r="1284" spans="1:28" x14ac:dyDescent="0.3">
      <c r="A1284" s="63" t="s">
        <v>995</v>
      </c>
      <c r="B1284" s="7" t="s">
        <v>695</v>
      </c>
      <c r="C1284" s="8"/>
      <c r="D1284" s="8"/>
      <c r="E1284" s="8"/>
      <c r="F1284" s="8"/>
      <c r="G1284" s="8"/>
      <c r="H1284" s="8"/>
      <c r="I1284" s="8"/>
      <c r="J1284" s="8"/>
      <c r="K1284" s="8"/>
      <c r="L1284" s="8"/>
      <c r="M1284" s="8"/>
      <c r="N1284" s="8"/>
      <c r="O1284" s="8"/>
      <c r="P1284" s="8"/>
      <c r="Q1284" s="8"/>
      <c r="R1284" s="17"/>
      <c r="S1284" s="17"/>
      <c r="T1284" s="17"/>
      <c r="U1284" s="17"/>
      <c r="V1284" s="17"/>
      <c r="W1284" s="17"/>
      <c r="X1284" s="17"/>
      <c r="Y1284" s="17"/>
      <c r="Z1284" s="17"/>
    </row>
    <row r="1285" spans="1:28" x14ac:dyDescent="0.3">
      <c r="A1285" s="64"/>
      <c r="B1285" s="8"/>
      <c r="C1285" s="7" t="s">
        <v>539</v>
      </c>
      <c r="D1285" s="15" t="s">
        <v>68</v>
      </c>
      <c r="E1285" s="9">
        <f>1515134.5+977545.6+3054830+154720.5+1891304+323425.8+1032210+1889255.1+859094+129731.25+982812.5</f>
        <v>12810063.249999998</v>
      </c>
      <c r="F1285" s="8"/>
      <c r="G1285" s="8"/>
      <c r="H1285" s="9">
        <f t="shared" ref="H1285:H1308" si="698">F1285+G1285</f>
        <v>0</v>
      </c>
      <c r="I1285" s="8"/>
      <c r="J1285" s="9">
        <f t="shared" ref="J1285:J1308" si="699">H1285+I1285</f>
        <v>0</v>
      </c>
      <c r="K1285" s="9">
        <f>7593534.6+323425.8+1032210+1899255.1-10000+859094+1112543.75</f>
        <v>12810063.249999998</v>
      </c>
      <c r="L1285" s="8"/>
      <c r="M1285" s="9">
        <f>+H1285+L1285</f>
        <v>0</v>
      </c>
      <c r="N1285" s="8">
        <v>12810063.25</v>
      </c>
      <c r="O1285" s="9"/>
      <c r="P1285" s="9">
        <f>+N1285+O1285</f>
        <v>12810063.25</v>
      </c>
      <c r="Q1285" s="9">
        <f t="shared" ref="Q1285:Q1308" si="700">E1285-P1285</f>
        <v>0</v>
      </c>
      <c r="R1285" s="17"/>
      <c r="S1285" s="17"/>
      <c r="T1285" s="17"/>
      <c r="U1285" s="9">
        <f t="shared" ref="U1285:U1308" si="701">P1285+T1285</f>
        <v>12810063.25</v>
      </c>
      <c r="V1285" s="9">
        <f t="shared" ref="V1285:V1308" si="702">P1285+H1285</f>
        <v>12810063.25</v>
      </c>
      <c r="W1285" s="9">
        <f t="shared" ref="W1285:W1308" si="703">E1285-V1285</f>
        <v>0</v>
      </c>
      <c r="X1285" s="9">
        <f t="shared" ref="X1285:X1308" si="704">+H1285+P1285</f>
        <v>12810063.25</v>
      </c>
      <c r="Y1285" s="8"/>
      <c r="Z1285" s="9">
        <f t="shared" ref="Z1285:Z1308" si="705">+E1285-X1285</f>
        <v>0</v>
      </c>
      <c r="AA1285" s="8">
        <f t="shared" ref="AA1285:AA1308" si="706">+M1285+U1285</f>
        <v>12810063.25</v>
      </c>
      <c r="AB1285" s="8">
        <f t="shared" ref="AB1285:AB1308" si="707">+E1285-AA1285</f>
        <v>0</v>
      </c>
    </row>
    <row r="1286" spans="1:28" x14ac:dyDescent="0.3">
      <c r="A1286" s="64"/>
      <c r="B1286" s="8"/>
      <c r="C1286" s="7" t="s">
        <v>535</v>
      </c>
      <c r="D1286" s="15" t="s">
        <v>68</v>
      </c>
      <c r="E1286" s="9">
        <v>1448750</v>
      </c>
      <c r="F1286" s="9">
        <v>910323</v>
      </c>
      <c r="G1286" s="8"/>
      <c r="H1286" s="9">
        <f t="shared" si="698"/>
        <v>910323</v>
      </c>
      <c r="I1286" s="8"/>
      <c r="J1286" s="9">
        <f t="shared" si="699"/>
        <v>910323</v>
      </c>
      <c r="K1286" s="9">
        <v>538427</v>
      </c>
      <c r="L1286" s="8"/>
      <c r="M1286" s="9">
        <f t="shared" ref="M1286:M1308" si="708">+H1286+L1286</f>
        <v>910323</v>
      </c>
      <c r="N1286" s="8">
        <v>538427</v>
      </c>
      <c r="O1286" s="9"/>
      <c r="P1286" s="9">
        <f t="shared" ref="P1286:P1308" si="709">+N1286+O1286</f>
        <v>538427</v>
      </c>
      <c r="Q1286" s="9">
        <f t="shared" si="700"/>
        <v>910323</v>
      </c>
      <c r="R1286" s="17"/>
      <c r="S1286" s="17"/>
      <c r="T1286" s="17"/>
      <c r="U1286" s="9">
        <f t="shared" si="701"/>
        <v>538427</v>
      </c>
      <c r="V1286" s="9">
        <f t="shared" si="702"/>
        <v>1448750</v>
      </c>
      <c r="W1286" s="9">
        <f t="shared" si="703"/>
        <v>0</v>
      </c>
      <c r="X1286" s="9">
        <f t="shared" si="704"/>
        <v>1448750</v>
      </c>
      <c r="Y1286" s="8"/>
      <c r="Z1286" s="9">
        <f t="shared" si="705"/>
        <v>0</v>
      </c>
      <c r="AA1286" s="8">
        <f t="shared" si="706"/>
        <v>1448750</v>
      </c>
      <c r="AB1286" s="8">
        <f t="shared" si="707"/>
        <v>0</v>
      </c>
    </row>
    <row r="1287" spans="1:28" x14ac:dyDescent="0.3">
      <c r="A1287" s="64"/>
      <c r="B1287" s="8"/>
      <c r="C1287" s="7" t="s">
        <v>535</v>
      </c>
      <c r="D1287" s="15" t="s">
        <v>54</v>
      </c>
      <c r="E1287" s="9">
        <f>660000-33000</f>
        <v>627000</v>
      </c>
      <c r="F1287" s="9">
        <v>467177</v>
      </c>
      <c r="G1287" s="8"/>
      <c r="H1287" s="9">
        <f t="shared" si="698"/>
        <v>467177</v>
      </c>
      <c r="I1287" s="8"/>
      <c r="J1287" s="9">
        <f t="shared" si="699"/>
        <v>467177</v>
      </c>
      <c r="K1287" s="9">
        <v>159823</v>
      </c>
      <c r="L1287" s="8"/>
      <c r="M1287" s="9">
        <f t="shared" si="708"/>
        <v>467177</v>
      </c>
      <c r="N1287" s="8">
        <v>159823</v>
      </c>
      <c r="O1287" s="9"/>
      <c r="P1287" s="9">
        <f t="shared" si="709"/>
        <v>159823</v>
      </c>
      <c r="Q1287" s="9">
        <f t="shared" si="700"/>
        <v>467177</v>
      </c>
      <c r="R1287" s="17"/>
      <c r="S1287" s="17"/>
      <c r="T1287" s="17"/>
      <c r="U1287" s="9">
        <f t="shared" si="701"/>
        <v>159823</v>
      </c>
      <c r="V1287" s="9">
        <f t="shared" si="702"/>
        <v>627000</v>
      </c>
      <c r="W1287" s="9">
        <f t="shared" si="703"/>
        <v>0</v>
      </c>
      <c r="X1287" s="9">
        <f t="shared" si="704"/>
        <v>627000</v>
      </c>
      <c r="Y1287" s="8"/>
      <c r="Z1287" s="9">
        <f t="shared" si="705"/>
        <v>0</v>
      </c>
      <c r="AA1287" s="8">
        <f t="shared" si="706"/>
        <v>627000</v>
      </c>
      <c r="AB1287" s="8">
        <f t="shared" si="707"/>
        <v>0</v>
      </c>
    </row>
    <row r="1288" spans="1:28" x14ac:dyDescent="0.3">
      <c r="A1288" s="64"/>
      <c r="B1288" s="8"/>
      <c r="C1288" s="7" t="s">
        <v>696</v>
      </c>
      <c r="D1288" s="15" t="s">
        <v>54</v>
      </c>
      <c r="E1288" s="9">
        <f>64700+220300</f>
        <v>285000</v>
      </c>
      <c r="F1288" s="9">
        <f>64700+220300</f>
        <v>285000</v>
      </c>
      <c r="G1288" s="8"/>
      <c r="H1288" s="9">
        <f t="shared" si="698"/>
        <v>285000</v>
      </c>
      <c r="I1288" s="8"/>
      <c r="J1288" s="9">
        <f t="shared" si="699"/>
        <v>285000</v>
      </c>
      <c r="K1288" s="8"/>
      <c r="L1288" s="8"/>
      <c r="M1288" s="9">
        <f t="shared" si="708"/>
        <v>285000</v>
      </c>
      <c r="N1288" s="8"/>
      <c r="O1288" s="9"/>
      <c r="P1288" s="9">
        <f t="shared" si="709"/>
        <v>0</v>
      </c>
      <c r="Q1288" s="9">
        <f t="shared" si="700"/>
        <v>285000</v>
      </c>
      <c r="R1288" s="17"/>
      <c r="S1288" s="17"/>
      <c r="T1288" s="17"/>
      <c r="U1288" s="9">
        <f t="shared" si="701"/>
        <v>0</v>
      </c>
      <c r="V1288" s="9">
        <f t="shared" si="702"/>
        <v>285000</v>
      </c>
      <c r="W1288" s="9">
        <f t="shared" si="703"/>
        <v>0</v>
      </c>
      <c r="X1288" s="9">
        <f t="shared" si="704"/>
        <v>285000</v>
      </c>
      <c r="Y1288" s="8"/>
      <c r="Z1288" s="9">
        <f t="shared" si="705"/>
        <v>0</v>
      </c>
      <c r="AA1288" s="8">
        <f t="shared" si="706"/>
        <v>285000</v>
      </c>
      <c r="AB1288" s="8">
        <f t="shared" si="707"/>
        <v>0</v>
      </c>
    </row>
    <row r="1289" spans="1:28" x14ac:dyDescent="0.3">
      <c r="A1289" s="64"/>
      <c r="B1289" s="8"/>
      <c r="C1289" s="7" t="s">
        <v>545</v>
      </c>
      <c r="D1289" s="15" t="s">
        <v>54</v>
      </c>
      <c r="E1289" s="9">
        <v>1953989</v>
      </c>
      <c r="F1289" s="8"/>
      <c r="G1289" s="8"/>
      <c r="H1289" s="9">
        <f t="shared" si="698"/>
        <v>0</v>
      </c>
      <c r="I1289" s="8"/>
      <c r="J1289" s="9">
        <f t="shared" si="699"/>
        <v>0</v>
      </c>
      <c r="K1289" s="9">
        <v>1953989</v>
      </c>
      <c r="L1289" s="8"/>
      <c r="M1289" s="9">
        <f t="shared" si="708"/>
        <v>0</v>
      </c>
      <c r="N1289" s="8">
        <v>1953989</v>
      </c>
      <c r="O1289" s="9"/>
      <c r="P1289" s="9">
        <f t="shared" si="709"/>
        <v>1953989</v>
      </c>
      <c r="Q1289" s="9">
        <f t="shared" si="700"/>
        <v>0</v>
      </c>
      <c r="R1289" s="17"/>
      <c r="S1289" s="17"/>
      <c r="T1289" s="17"/>
      <c r="U1289" s="9">
        <f t="shared" si="701"/>
        <v>1953989</v>
      </c>
      <c r="V1289" s="9">
        <f t="shared" si="702"/>
        <v>1953989</v>
      </c>
      <c r="W1289" s="9">
        <f t="shared" si="703"/>
        <v>0</v>
      </c>
      <c r="X1289" s="9">
        <f t="shared" si="704"/>
        <v>1953989</v>
      </c>
      <c r="Y1289" s="8"/>
      <c r="Z1289" s="9">
        <f t="shared" si="705"/>
        <v>0</v>
      </c>
      <c r="AA1289" s="8">
        <f t="shared" si="706"/>
        <v>1953989</v>
      </c>
      <c r="AB1289" s="8">
        <f t="shared" si="707"/>
        <v>0</v>
      </c>
    </row>
    <row r="1290" spans="1:28" x14ac:dyDescent="0.3">
      <c r="A1290" s="64"/>
      <c r="B1290" s="8"/>
      <c r="C1290" s="7" t="s">
        <v>655</v>
      </c>
      <c r="D1290" s="15" t="s">
        <v>54</v>
      </c>
      <c r="E1290" s="9">
        <v>955345.62</v>
      </c>
      <c r="F1290" s="8"/>
      <c r="G1290" s="8"/>
      <c r="H1290" s="9">
        <f t="shared" si="698"/>
        <v>0</v>
      </c>
      <c r="I1290" s="8"/>
      <c r="J1290" s="9">
        <f t="shared" si="699"/>
        <v>0</v>
      </c>
      <c r="K1290" s="9">
        <v>955345.62</v>
      </c>
      <c r="L1290" s="8"/>
      <c r="M1290" s="9">
        <f t="shared" si="708"/>
        <v>0</v>
      </c>
      <c r="N1290" s="8">
        <v>955345.62</v>
      </c>
      <c r="O1290" s="9"/>
      <c r="P1290" s="9">
        <f t="shared" si="709"/>
        <v>955345.62</v>
      </c>
      <c r="Q1290" s="9">
        <f t="shared" si="700"/>
        <v>0</v>
      </c>
      <c r="R1290" s="17"/>
      <c r="S1290" s="17"/>
      <c r="T1290" s="17"/>
      <c r="U1290" s="9">
        <f t="shared" si="701"/>
        <v>955345.62</v>
      </c>
      <c r="V1290" s="9">
        <f t="shared" si="702"/>
        <v>955345.62</v>
      </c>
      <c r="W1290" s="9">
        <f t="shared" si="703"/>
        <v>0</v>
      </c>
      <c r="X1290" s="9">
        <f t="shared" si="704"/>
        <v>955345.62</v>
      </c>
      <c r="Y1290" s="8"/>
      <c r="Z1290" s="9">
        <f t="shared" si="705"/>
        <v>0</v>
      </c>
      <c r="AA1290" s="8">
        <f t="shared" si="706"/>
        <v>955345.62</v>
      </c>
      <c r="AB1290" s="8">
        <f t="shared" si="707"/>
        <v>0</v>
      </c>
    </row>
    <row r="1291" spans="1:28" x14ac:dyDescent="0.3">
      <c r="A1291" s="64"/>
      <c r="B1291" s="8"/>
      <c r="C1291" s="7" t="s">
        <v>535</v>
      </c>
      <c r="D1291" s="15" t="s">
        <v>85</v>
      </c>
      <c r="E1291" s="9">
        <v>1186200.05</v>
      </c>
      <c r="F1291" s="9">
        <v>1057666</v>
      </c>
      <c r="G1291" s="8"/>
      <c r="H1291" s="9">
        <f t="shared" si="698"/>
        <v>1057666</v>
      </c>
      <c r="I1291" s="8"/>
      <c r="J1291" s="9">
        <f t="shared" si="699"/>
        <v>1057666</v>
      </c>
      <c r="K1291" s="9">
        <v>128534.05</v>
      </c>
      <c r="L1291" s="8"/>
      <c r="M1291" s="9">
        <f t="shared" si="708"/>
        <v>1057666</v>
      </c>
      <c r="N1291" s="8">
        <v>128534.05</v>
      </c>
      <c r="O1291" s="9"/>
      <c r="P1291" s="9">
        <f t="shared" si="709"/>
        <v>128534.05</v>
      </c>
      <c r="Q1291" s="9">
        <f t="shared" si="700"/>
        <v>1057666</v>
      </c>
      <c r="R1291" s="17"/>
      <c r="S1291" s="17"/>
      <c r="T1291" s="17"/>
      <c r="U1291" s="9">
        <f t="shared" si="701"/>
        <v>128534.05</v>
      </c>
      <c r="V1291" s="9">
        <f t="shared" si="702"/>
        <v>1186200.05</v>
      </c>
      <c r="W1291" s="9">
        <f t="shared" si="703"/>
        <v>0</v>
      </c>
      <c r="X1291" s="9">
        <f t="shared" si="704"/>
        <v>1186200.05</v>
      </c>
      <c r="Y1291" s="8"/>
      <c r="Z1291" s="9">
        <f t="shared" si="705"/>
        <v>0</v>
      </c>
      <c r="AA1291" s="8">
        <f t="shared" si="706"/>
        <v>1186200.05</v>
      </c>
      <c r="AB1291" s="8">
        <f t="shared" si="707"/>
        <v>0</v>
      </c>
    </row>
    <row r="1292" spans="1:28" x14ac:dyDescent="0.3">
      <c r="A1292" s="64"/>
      <c r="B1292" s="8"/>
      <c r="C1292" s="7" t="s">
        <v>667</v>
      </c>
      <c r="D1292" s="15" t="s">
        <v>85</v>
      </c>
      <c r="E1292" s="9">
        <v>80000</v>
      </c>
      <c r="F1292" s="9">
        <v>80000</v>
      </c>
      <c r="G1292" s="8"/>
      <c r="H1292" s="9">
        <f t="shared" si="698"/>
        <v>80000</v>
      </c>
      <c r="I1292" s="8"/>
      <c r="J1292" s="9">
        <f t="shared" si="699"/>
        <v>80000</v>
      </c>
      <c r="K1292" s="8"/>
      <c r="L1292" s="8"/>
      <c r="M1292" s="9">
        <f t="shared" si="708"/>
        <v>80000</v>
      </c>
      <c r="N1292" s="8"/>
      <c r="O1292" s="9"/>
      <c r="P1292" s="9">
        <f t="shared" si="709"/>
        <v>0</v>
      </c>
      <c r="Q1292" s="9">
        <f t="shared" si="700"/>
        <v>80000</v>
      </c>
      <c r="R1292" s="17"/>
      <c r="S1292" s="17"/>
      <c r="T1292" s="17"/>
      <c r="U1292" s="9">
        <f t="shared" si="701"/>
        <v>0</v>
      </c>
      <c r="V1292" s="9">
        <f t="shared" si="702"/>
        <v>80000</v>
      </c>
      <c r="W1292" s="9">
        <f t="shared" si="703"/>
        <v>0</v>
      </c>
      <c r="X1292" s="9">
        <f t="shared" si="704"/>
        <v>80000</v>
      </c>
      <c r="Y1292" s="8"/>
      <c r="Z1292" s="9">
        <f t="shared" si="705"/>
        <v>0</v>
      </c>
      <c r="AA1292" s="8">
        <f t="shared" si="706"/>
        <v>80000</v>
      </c>
      <c r="AB1292" s="8">
        <f t="shared" si="707"/>
        <v>0</v>
      </c>
    </row>
    <row r="1293" spans="1:28" x14ac:dyDescent="0.3">
      <c r="A1293" s="64"/>
      <c r="B1293" s="8"/>
      <c r="C1293" s="7" t="s">
        <v>697</v>
      </c>
      <c r="D1293" s="15" t="s">
        <v>85</v>
      </c>
      <c r="E1293" s="9">
        <f>240000+37600</f>
        <v>277600</v>
      </c>
      <c r="F1293" s="8"/>
      <c r="G1293" s="8"/>
      <c r="H1293" s="9">
        <f t="shared" si="698"/>
        <v>0</v>
      </c>
      <c r="I1293" s="8"/>
      <c r="J1293" s="9">
        <f t="shared" si="699"/>
        <v>0</v>
      </c>
      <c r="K1293" s="8"/>
      <c r="L1293" s="8"/>
      <c r="M1293" s="9">
        <f t="shared" si="708"/>
        <v>0</v>
      </c>
      <c r="N1293" s="8"/>
      <c r="O1293" s="9"/>
      <c r="P1293" s="9">
        <f t="shared" si="709"/>
        <v>0</v>
      </c>
      <c r="Q1293" s="9">
        <f t="shared" si="700"/>
        <v>277600</v>
      </c>
      <c r="R1293" s="17"/>
      <c r="S1293" s="17"/>
      <c r="T1293" s="17"/>
      <c r="U1293" s="9">
        <f t="shared" si="701"/>
        <v>0</v>
      </c>
      <c r="V1293" s="9">
        <f t="shared" si="702"/>
        <v>0</v>
      </c>
      <c r="W1293" s="9">
        <f t="shared" si="703"/>
        <v>277600</v>
      </c>
      <c r="X1293" s="9">
        <f t="shared" si="704"/>
        <v>0</v>
      </c>
      <c r="Y1293" s="8"/>
      <c r="Z1293" s="9">
        <f t="shared" si="705"/>
        <v>277600</v>
      </c>
      <c r="AA1293" s="8">
        <f t="shared" si="706"/>
        <v>0</v>
      </c>
      <c r="AB1293" s="8">
        <f t="shared" si="707"/>
        <v>277600</v>
      </c>
    </row>
    <row r="1294" spans="1:28" x14ac:dyDescent="0.3">
      <c r="A1294" s="64"/>
      <c r="B1294" s="8"/>
      <c r="C1294" s="7" t="s">
        <v>698</v>
      </c>
      <c r="D1294" s="15" t="s">
        <v>128</v>
      </c>
      <c r="E1294" s="9">
        <f>800000+800000</f>
        <v>1600000</v>
      </c>
      <c r="F1294" s="9">
        <f>800000+800000</f>
        <v>1600000</v>
      </c>
      <c r="G1294" s="8"/>
      <c r="H1294" s="9">
        <f t="shared" si="698"/>
        <v>1600000</v>
      </c>
      <c r="I1294" s="8"/>
      <c r="J1294" s="9">
        <f t="shared" si="699"/>
        <v>1600000</v>
      </c>
      <c r="K1294" s="8"/>
      <c r="L1294" s="8"/>
      <c r="M1294" s="9">
        <f t="shared" si="708"/>
        <v>1600000</v>
      </c>
      <c r="N1294" s="8"/>
      <c r="O1294" s="9"/>
      <c r="P1294" s="9">
        <f t="shared" si="709"/>
        <v>0</v>
      </c>
      <c r="Q1294" s="9">
        <f t="shared" si="700"/>
        <v>1600000</v>
      </c>
      <c r="R1294" s="17"/>
      <c r="S1294" s="17"/>
      <c r="T1294" s="17"/>
      <c r="U1294" s="9">
        <f t="shared" si="701"/>
        <v>0</v>
      </c>
      <c r="V1294" s="9">
        <f t="shared" si="702"/>
        <v>1600000</v>
      </c>
      <c r="W1294" s="9">
        <f t="shared" si="703"/>
        <v>0</v>
      </c>
      <c r="X1294" s="9">
        <f t="shared" si="704"/>
        <v>1600000</v>
      </c>
      <c r="Y1294" s="8"/>
      <c r="Z1294" s="9">
        <f t="shared" si="705"/>
        <v>0</v>
      </c>
      <c r="AA1294" s="8">
        <f t="shared" si="706"/>
        <v>1600000</v>
      </c>
      <c r="AB1294" s="8">
        <f t="shared" si="707"/>
        <v>0</v>
      </c>
    </row>
    <row r="1295" spans="1:28" x14ac:dyDescent="0.3">
      <c r="A1295" s="64"/>
      <c r="B1295" s="8"/>
      <c r="C1295" s="7" t="s">
        <v>699</v>
      </c>
      <c r="D1295" s="15" t="s">
        <v>128</v>
      </c>
      <c r="E1295" s="9">
        <v>800000</v>
      </c>
      <c r="F1295" s="9">
        <v>800000</v>
      </c>
      <c r="G1295" s="8"/>
      <c r="H1295" s="9">
        <f t="shared" si="698"/>
        <v>800000</v>
      </c>
      <c r="I1295" s="8"/>
      <c r="J1295" s="9">
        <f t="shared" si="699"/>
        <v>800000</v>
      </c>
      <c r="K1295" s="8"/>
      <c r="L1295" s="8"/>
      <c r="M1295" s="9">
        <f t="shared" si="708"/>
        <v>800000</v>
      </c>
      <c r="N1295" s="8"/>
      <c r="O1295" s="9"/>
      <c r="P1295" s="9">
        <f t="shared" si="709"/>
        <v>0</v>
      </c>
      <c r="Q1295" s="9">
        <f t="shared" si="700"/>
        <v>800000</v>
      </c>
      <c r="R1295" s="17"/>
      <c r="S1295" s="17"/>
      <c r="T1295" s="17"/>
      <c r="U1295" s="9">
        <f t="shared" si="701"/>
        <v>0</v>
      </c>
      <c r="V1295" s="9">
        <f t="shared" si="702"/>
        <v>800000</v>
      </c>
      <c r="W1295" s="9">
        <f t="shared" si="703"/>
        <v>0</v>
      </c>
      <c r="X1295" s="9">
        <f t="shared" si="704"/>
        <v>800000</v>
      </c>
      <c r="Y1295" s="8"/>
      <c r="Z1295" s="9">
        <f t="shared" si="705"/>
        <v>0</v>
      </c>
      <c r="AA1295" s="8">
        <f t="shared" si="706"/>
        <v>800000</v>
      </c>
      <c r="AB1295" s="8">
        <f t="shared" si="707"/>
        <v>0</v>
      </c>
    </row>
    <row r="1296" spans="1:28" x14ac:dyDescent="0.3">
      <c r="A1296" s="64"/>
      <c r="B1296" s="8"/>
      <c r="C1296" s="7" t="s">
        <v>535</v>
      </c>
      <c r="D1296" s="15" t="s">
        <v>128</v>
      </c>
      <c r="E1296" s="9">
        <v>859500</v>
      </c>
      <c r="F1296" s="9">
        <v>859500</v>
      </c>
      <c r="G1296" s="8"/>
      <c r="H1296" s="9">
        <f t="shared" si="698"/>
        <v>859500</v>
      </c>
      <c r="I1296" s="8"/>
      <c r="J1296" s="9">
        <f t="shared" si="699"/>
        <v>859500</v>
      </c>
      <c r="K1296" s="8"/>
      <c r="L1296" s="8"/>
      <c r="M1296" s="9">
        <f t="shared" si="708"/>
        <v>859500</v>
      </c>
      <c r="N1296" s="8"/>
      <c r="O1296" s="9"/>
      <c r="P1296" s="9">
        <f t="shared" si="709"/>
        <v>0</v>
      </c>
      <c r="Q1296" s="9">
        <f t="shared" si="700"/>
        <v>859500</v>
      </c>
      <c r="R1296" s="17"/>
      <c r="S1296" s="17"/>
      <c r="T1296" s="17"/>
      <c r="U1296" s="9">
        <f t="shared" si="701"/>
        <v>0</v>
      </c>
      <c r="V1296" s="9">
        <f t="shared" si="702"/>
        <v>859500</v>
      </c>
      <c r="W1296" s="9">
        <f t="shared" si="703"/>
        <v>0</v>
      </c>
      <c r="X1296" s="9">
        <f t="shared" si="704"/>
        <v>859500</v>
      </c>
      <c r="Y1296" s="8"/>
      <c r="Z1296" s="9">
        <f t="shared" si="705"/>
        <v>0</v>
      </c>
      <c r="AA1296" s="8">
        <f t="shared" si="706"/>
        <v>859500</v>
      </c>
      <c r="AB1296" s="8">
        <f t="shared" si="707"/>
        <v>0</v>
      </c>
    </row>
    <row r="1297" spans="1:28" x14ac:dyDescent="0.3">
      <c r="A1297" s="64"/>
      <c r="B1297" s="8"/>
      <c r="C1297" s="7" t="s">
        <v>535</v>
      </c>
      <c r="D1297" s="15" t="s">
        <v>88</v>
      </c>
      <c r="E1297" s="9">
        <f>1596370+1914737.72+1500000+2033372</f>
        <v>7044479.7199999997</v>
      </c>
      <c r="F1297" s="9">
        <f>1500000+1596370+1914737.72+2033372</f>
        <v>7044479.7199999997</v>
      </c>
      <c r="G1297" s="8"/>
      <c r="H1297" s="9">
        <f t="shared" si="698"/>
        <v>7044479.7199999997</v>
      </c>
      <c r="I1297" s="8"/>
      <c r="J1297" s="9">
        <f t="shared" si="699"/>
        <v>7044479.7199999997</v>
      </c>
      <c r="K1297" s="8"/>
      <c r="L1297" s="8"/>
      <c r="M1297" s="9">
        <f t="shared" si="708"/>
        <v>7044479.7199999997</v>
      </c>
      <c r="N1297" s="8"/>
      <c r="O1297" s="9"/>
      <c r="P1297" s="9">
        <f t="shared" si="709"/>
        <v>0</v>
      </c>
      <c r="Q1297" s="9">
        <f t="shared" si="700"/>
        <v>7044479.7199999997</v>
      </c>
      <c r="R1297" s="17"/>
      <c r="S1297" s="17"/>
      <c r="T1297" s="17"/>
      <c r="U1297" s="9">
        <f t="shared" si="701"/>
        <v>0</v>
      </c>
      <c r="V1297" s="9">
        <f t="shared" si="702"/>
        <v>7044479.7199999997</v>
      </c>
      <c r="W1297" s="9">
        <f t="shared" si="703"/>
        <v>0</v>
      </c>
      <c r="X1297" s="9">
        <f t="shared" si="704"/>
        <v>7044479.7199999997</v>
      </c>
      <c r="Y1297" s="8"/>
      <c r="Z1297" s="9">
        <f t="shared" si="705"/>
        <v>0</v>
      </c>
      <c r="AA1297" s="8">
        <f t="shared" si="706"/>
        <v>7044479.7199999997</v>
      </c>
      <c r="AB1297" s="8">
        <f t="shared" si="707"/>
        <v>0</v>
      </c>
    </row>
    <row r="1298" spans="1:28" x14ac:dyDescent="0.3">
      <c r="A1298" s="64"/>
      <c r="B1298" s="8"/>
      <c r="C1298" s="7" t="s">
        <v>535</v>
      </c>
      <c r="D1298" s="15" t="s">
        <v>108</v>
      </c>
      <c r="E1298" s="9">
        <v>1543038</v>
      </c>
      <c r="F1298" s="9">
        <v>1543038</v>
      </c>
      <c r="G1298" s="8"/>
      <c r="H1298" s="9">
        <f t="shared" si="698"/>
        <v>1543038</v>
      </c>
      <c r="I1298" s="8"/>
      <c r="J1298" s="9">
        <f t="shared" si="699"/>
        <v>1543038</v>
      </c>
      <c r="K1298" s="8"/>
      <c r="L1298" s="8"/>
      <c r="M1298" s="9">
        <f t="shared" si="708"/>
        <v>1543038</v>
      </c>
      <c r="N1298" s="8"/>
      <c r="O1298" s="9"/>
      <c r="P1298" s="9">
        <f t="shared" si="709"/>
        <v>0</v>
      </c>
      <c r="Q1298" s="9">
        <f t="shared" si="700"/>
        <v>1543038</v>
      </c>
      <c r="R1298" s="17"/>
      <c r="S1298" s="17"/>
      <c r="T1298" s="17"/>
      <c r="U1298" s="9">
        <f t="shared" si="701"/>
        <v>0</v>
      </c>
      <c r="V1298" s="9">
        <f t="shared" si="702"/>
        <v>1543038</v>
      </c>
      <c r="W1298" s="9">
        <f t="shared" si="703"/>
        <v>0</v>
      </c>
      <c r="X1298" s="9">
        <f t="shared" si="704"/>
        <v>1543038</v>
      </c>
      <c r="Y1298" s="8"/>
      <c r="Z1298" s="9">
        <f t="shared" si="705"/>
        <v>0</v>
      </c>
      <c r="AA1298" s="8">
        <f t="shared" si="706"/>
        <v>1543038</v>
      </c>
      <c r="AB1298" s="8">
        <f t="shared" si="707"/>
        <v>0</v>
      </c>
    </row>
    <row r="1299" spans="1:28" x14ac:dyDescent="0.3">
      <c r="A1299" s="64"/>
      <c r="B1299" s="8"/>
      <c r="C1299" s="7" t="s">
        <v>535</v>
      </c>
      <c r="D1299" s="15" t="s">
        <v>58</v>
      </c>
      <c r="E1299" s="9">
        <f>2118990+1489380+2255000+2458490</f>
        <v>8321860</v>
      </c>
      <c r="F1299" s="9">
        <v>6832480</v>
      </c>
      <c r="G1299" s="8"/>
      <c r="H1299" s="9">
        <f t="shared" si="698"/>
        <v>6832480</v>
      </c>
      <c r="I1299" s="9">
        <f>2118990+1489380-2118990+2458490+2255000-2458490-2255000</f>
        <v>1489380</v>
      </c>
      <c r="J1299" s="9">
        <f t="shared" si="699"/>
        <v>8321860</v>
      </c>
      <c r="K1299" s="8"/>
      <c r="L1299" s="8">
        <v>1489380</v>
      </c>
      <c r="M1299" s="9">
        <f t="shared" si="708"/>
        <v>8321860</v>
      </c>
      <c r="N1299" s="8"/>
      <c r="O1299" s="9"/>
      <c r="P1299" s="9">
        <f t="shared" si="709"/>
        <v>0</v>
      </c>
      <c r="Q1299" s="9">
        <f t="shared" si="700"/>
        <v>8321860</v>
      </c>
      <c r="R1299" s="17"/>
      <c r="S1299" s="17"/>
      <c r="T1299" s="17"/>
      <c r="U1299" s="9">
        <f t="shared" si="701"/>
        <v>0</v>
      </c>
      <c r="V1299" s="9">
        <f t="shared" si="702"/>
        <v>6832480</v>
      </c>
      <c r="W1299" s="9">
        <f t="shared" si="703"/>
        <v>1489380</v>
      </c>
      <c r="X1299" s="9">
        <f t="shared" si="704"/>
        <v>6832480</v>
      </c>
      <c r="Y1299" s="8"/>
      <c r="Z1299" s="9">
        <f t="shared" si="705"/>
        <v>1489380</v>
      </c>
      <c r="AA1299" s="8">
        <f t="shared" si="706"/>
        <v>8321860</v>
      </c>
      <c r="AB1299" s="8">
        <f t="shared" si="707"/>
        <v>0</v>
      </c>
    </row>
    <row r="1300" spans="1:28" x14ac:dyDescent="0.3">
      <c r="A1300" s="64"/>
      <c r="B1300" s="8"/>
      <c r="C1300" s="7" t="s">
        <v>535</v>
      </c>
      <c r="D1300" s="15" t="s">
        <v>60</v>
      </c>
      <c r="E1300" s="9">
        <v>1296450</v>
      </c>
      <c r="F1300" s="9">
        <v>1296450</v>
      </c>
      <c r="G1300" s="8"/>
      <c r="H1300" s="9">
        <f t="shared" si="698"/>
        <v>1296450</v>
      </c>
      <c r="I1300" s="8"/>
      <c r="J1300" s="9">
        <f t="shared" si="699"/>
        <v>1296450</v>
      </c>
      <c r="K1300" s="8"/>
      <c r="L1300" s="8"/>
      <c r="M1300" s="9">
        <f t="shared" si="708"/>
        <v>1296450</v>
      </c>
      <c r="N1300" s="8"/>
      <c r="O1300" s="9"/>
      <c r="P1300" s="9">
        <f t="shared" si="709"/>
        <v>0</v>
      </c>
      <c r="Q1300" s="9">
        <f t="shared" si="700"/>
        <v>1296450</v>
      </c>
      <c r="R1300" s="17"/>
      <c r="S1300" s="17"/>
      <c r="T1300" s="17"/>
      <c r="U1300" s="9">
        <f t="shared" si="701"/>
        <v>0</v>
      </c>
      <c r="V1300" s="9">
        <f t="shared" si="702"/>
        <v>1296450</v>
      </c>
      <c r="W1300" s="9">
        <f t="shared" si="703"/>
        <v>0</v>
      </c>
      <c r="X1300" s="9">
        <f t="shared" si="704"/>
        <v>1296450</v>
      </c>
      <c r="Y1300" s="8"/>
      <c r="Z1300" s="9">
        <f t="shared" si="705"/>
        <v>0</v>
      </c>
      <c r="AA1300" s="8">
        <f t="shared" si="706"/>
        <v>1296450</v>
      </c>
      <c r="AB1300" s="8">
        <f t="shared" si="707"/>
        <v>0</v>
      </c>
    </row>
    <row r="1301" spans="1:28" x14ac:dyDescent="0.3">
      <c r="A1301" s="64"/>
      <c r="B1301" s="8"/>
      <c r="C1301" s="7" t="s">
        <v>535</v>
      </c>
      <c r="D1301" s="15" t="s">
        <v>73</v>
      </c>
      <c r="E1301" s="9">
        <v>1284730</v>
      </c>
      <c r="F1301" s="9">
        <v>1284730</v>
      </c>
      <c r="G1301" s="8"/>
      <c r="H1301" s="9">
        <f t="shared" si="698"/>
        <v>1284730</v>
      </c>
      <c r="I1301" s="8"/>
      <c r="J1301" s="9">
        <f t="shared" si="699"/>
        <v>1284730</v>
      </c>
      <c r="K1301" s="8"/>
      <c r="L1301" s="8"/>
      <c r="M1301" s="9">
        <f t="shared" si="708"/>
        <v>1284730</v>
      </c>
      <c r="N1301" s="8"/>
      <c r="O1301" s="9"/>
      <c r="P1301" s="9">
        <f t="shared" si="709"/>
        <v>0</v>
      </c>
      <c r="Q1301" s="9">
        <f t="shared" si="700"/>
        <v>1284730</v>
      </c>
      <c r="R1301" s="17"/>
      <c r="S1301" s="17"/>
      <c r="T1301" s="17"/>
      <c r="U1301" s="9">
        <f t="shared" si="701"/>
        <v>0</v>
      </c>
      <c r="V1301" s="9">
        <f t="shared" si="702"/>
        <v>1284730</v>
      </c>
      <c r="W1301" s="9">
        <f t="shared" si="703"/>
        <v>0</v>
      </c>
      <c r="X1301" s="9">
        <f t="shared" si="704"/>
        <v>1284730</v>
      </c>
      <c r="Y1301" s="8"/>
      <c r="Z1301" s="9">
        <f t="shared" si="705"/>
        <v>0</v>
      </c>
      <c r="AA1301" s="8">
        <f t="shared" si="706"/>
        <v>1284730</v>
      </c>
      <c r="AB1301" s="8">
        <f t="shared" si="707"/>
        <v>0</v>
      </c>
    </row>
    <row r="1302" spans="1:28" x14ac:dyDescent="0.3">
      <c r="A1302" s="64"/>
      <c r="B1302" s="8"/>
      <c r="C1302" s="7" t="s">
        <v>535</v>
      </c>
      <c r="D1302" s="15" t="s">
        <v>61</v>
      </c>
      <c r="E1302" s="11">
        <f>69314.43+830685.57</f>
        <v>900000</v>
      </c>
      <c r="F1302" s="11">
        <f>69314.43+830685.57</f>
        <v>900000</v>
      </c>
      <c r="G1302" s="8"/>
      <c r="H1302" s="9">
        <f t="shared" si="698"/>
        <v>900000</v>
      </c>
      <c r="I1302" s="8"/>
      <c r="J1302" s="9">
        <f t="shared" si="699"/>
        <v>900000</v>
      </c>
      <c r="K1302" s="8"/>
      <c r="L1302" s="8"/>
      <c r="M1302" s="9">
        <f t="shared" si="708"/>
        <v>900000</v>
      </c>
      <c r="N1302" s="8"/>
      <c r="O1302" s="9"/>
      <c r="P1302" s="9">
        <f t="shared" si="709"/>
        <v>0</v>
      </c>
      <c r="Q1302" s="9">
        <f t="shared" si="700"/>
        <v>900000</v>
      </c>
      <c r="R1302" s="17"/>
      <c r="S1302" s="17"/>
      <c r="T1302" s="17"/>
      <c r="U1302" s="9">
        <f t="shared" si="701"/>
        <v>0</v>
      </c>
      <c r="V1302" s="9">
        <f t="shared" si="702"/>
        <v>900000</v>
      </c>
      <c r="W1302" s="9">
        <f t="shared" si="703"/>
        <v>0</v>
      </c>
      <c r="X1302" s="9">
        <f t="shared" si="704"/>
        <v>900000</v>
      </c>
      <c r="Y1302" s="8"/>
      <c r="Z1302" s="9">
        <f t="shared" si="705"/>
        <v>0</v>
      </c>
      <c r="AA1302" s="8">
        <f t="shared" si="706"/>
        <v>900000</v>
      </c>
      <c r="AB1302" s="8">
        <f t="shared" si="707"/>
        <v>0</v>
      </c>
    </row>
    <row r="1303" spans="1:28" x14ac:dyDescent="0.3">
      <c r="A1303" s="64"/>
      <c r="B1303" s="8"/>
      <c r="C1303" s="7" t="s">
        <v>929</v>
      </c>
      <c r="D1303" s="16" t="s">
        <v>1072</v>
      </c>
      <c r="E1303" s="11">
        <f>2161362+600000+227000</f>
        <v>2988362</v>
      </c>
      <c r="F1303" s="8">
        <f>2161362+600000+227000</f>
        <v>2988362</v>
      </c>
      <c r="G1303" s="8"/>
      <c r="H1303" s="9">
        <f>+F1303+G1303</f>
        <v>2988362</v>
      </c>
      <c r="I1303" s="8"/>
      <c r="J1303" s="9"/>
      <c r="K1303" s="8"/>
      <c r="L1303" s="8"/>
      <c r="M1303" s="9">
        <f>+H1303+L1303</f>
        <v>2988362</v>
      </c>
      <c r="N1303" s="8"/>
      <c r="O1303" s="9"/>
      <c r="P1303" s="9">
        <f>+N1303+O1303</f>
        <v>0</v>
      </c>
      <c r="Q1303" s="9"/>
      <c r="R1303" s="17"/>
      <c r="S1303" s="17"/>
      <c r="T1303" s="17"/>
      <c r="U1303" s="9">
        <f>P1303+T1303</f>
        <v>0</v>
      </c>
      <c r="V1303" s="9">
        <f>P1303+H1303</f>
        <v>2988362</v>
      </c>
      <c r="W1303" s="9">
        <f>E1303-V1303</f>
        <v>0</v>
      </c>
      <c r="X1303" s="9">
        <f t="shared" si="704"/>
        <v>2988362</v>
      </c>
      <c r="Y1303" s="8"/>
      <c r="Z1303" s="9">
        <f t="shared" si="705"/>
        <v>0</v>
      </c>
      <c r="AA1303" s="8">
        <f t="shared" si="706"/>
        <v>2988362</v>
      </c>
      <c r="AB1303" s="8">
        <f t="shared" si="707"/>
        <v>0</v>
      </c>
    </row>
    <row r="1304" spans="1:28" x14ac:dyDescent="0.3">
      <c r="A1304" s="64"/>
      <c r="B1304" s="8"/>
      <c r="C1304" s="7" t="s">
        <v>569</v>
      </c>
      <c r="D1304" s="8"/>
      <c r="E1304" s="9">
        <v>1704530</v>
      </c>
      <c r="F1304" s="9">
        <v>1704530</v>
      </c>
      <c r="G1304" s="8"/>
      <c r="H1304" s="9">
        <f t="shared" si="698"/>
        <v>1704530</v>
      </c>
      <c r="I1304" s="8"/>
      <c r="J1304" s="9">
        <f t="shared" si="699"/>
        <v>1704530</v>
      </c>
      <c r="K1304" s="8"/>
      <c r="L1304" s="8"/>
      <c r="M1304" s="9">
        <f t="shared" si="708"/>
        <v>1704530</v>
      </c>
      <c r="N1304" s="8"/>
      <c r="O1304" s="9"/>
      <c r="P1304" s="9">
        <f t="shared" si="709"/>
        <v>0</v>
      </c>
      <c r="Q1304" s="9">
        <f t="shared" si="700"/>
        <v>1704530</v>
      </c>
      <c r="R1304" s="17"/>
      <c r="S1304" s="17"/>
      <c r="T1304" s="17"/>
      <c r="U1304" s="9">
        <f t="shared" si="701"/>
        <v>0</v>
      </c>
      <c r="V1304" s="9">
        <f t="shared" si="702"/>
        <v>1704530</v>
      </c>
      <c r="W1304" s="9">
        <f t="shared" si="703"/>
        <v>0</v>
      </c>
      <c r="X1304" s="9">
        <f t="shared" si="704"/>
        <v>1704530</v>
      </c>
      <c r="Y1304" s="8"/>
      <c r="Z1304" s="9">
        <f t="shared" si="705"/>
        <v>0</v>
      </c>
      <c r="AA1304" s="8">
        <f t="shared" si="706"/>
        <v>1704530</v>
      </c>
      <c r="AB1304" s="8">
        <f t="shared" si="707"/>
        <v>0</v>
      </c>
    </row>
    <row r="1305" spans="1:28" x14ac:dyDescent="0.3">
      <c r="A1305" s="64"/>
      <c r="B1305" s="8"/>
      <c r="C1305" s="7" t="s">
        <v>700</v>
      </c>
      <c r="D1305" s="8"/>
      <c r="E1305" s="9">
        <v>274977.62</v>
      </c>
      <c r="F1305" s="9">
        <f>63856.97+161782</f>
        <v>225638.97</v>
      </c>
      <c r="G1305" s="8"/>
      <c r="H1305" s="9">
        <f t="shared" si="698"/>
        <v>225638.97</v>
      </c>
      <c r="I1305" s="8"/>
      <c r="J1305" s="9">
        <f t="shared" si="699"/>
        <v>225638.97</v>
      </c>
      <c r="K1305" s="9">
        <v>49338.65</v>
      </c>
      <c r="L1305" s="8"/>
      <c r="M1305" s="9">
        <f t="shared" si="708"/>
        <v>225638.97</v>
      </c>
      <c r="N1305" s="8">
        <v>49338.65</v>
      </c>
      <c r="O1305" s="9"/>
      <c r="P1305" s="9">
        <f t="shared" si="709"/>
        <v>49338.65</v>
      </c>
      <c r="Q1305" s="9">
        <f t="shared" si="700"/>
        <v>225638.97</v>
      </c>
      <c r="R1305" s="17"/>
      <c r="S1305" s="17"/>
      <c r="T1305" s="17"/>
      <c r="U1305" s="9">
        <f t="shared" si="701"/>
        <v>49338.65</v>
      </c>
      <c r="V1305" s="9">
        <f t="shared" si="702"/>
        <v>274977.62</v>
      </c>
      <c r="W1305" s="9">
        <f t="shared" si="703"/>
        <v>0</v>
      </c>
      <c r="X1305" s="9">
        <f t="shared" si="704"/>
        <v>274977.62</v>
      </c>
      <c r="Y1305" s="8"/>
      <c r="Z1305" s="9">
        <f t="shared" si="705"/>
        <v>0</v>
      </c>
      <c r="AA1305" s="8">
        <f t="shared" si="706"/>
        <v>274977.62</v>
      </c>
      <c r="AB1305" s="8">
        <f t="shared" si="707"/>
        <v>0</v>
      </c>
    </row>
    <row r="1306" spans="1:28" x14ac:dyDescent="0.3">
      <c r="A1306" s="64"/>
      <c r="B1306" s="8"/>
      <c r="C1306" s="7" t="s">
        <v>701</v>
      </c>
      <c r="D1306" s="8"/>
      <c r="E1306" s="9">
        <f>200000-200000</f>
        <v>0</v>
      </c>
      <c r="F1306" s="8"/>
      <c r="G1306" s="8"/>
      <c r="H1306" s="9">
        <f t="shared" si="698"/>
        <v>0</v>
      </c>
      <c r="I1306" s="8"/>
      <c r="J1306" s="9">
        <f t="shared" si="699"/>
        <v>0</v>
      </c>
      <c r="K1306" s="8"/>
      <c r="L1306" s="8"/>
      <c r="M1306" s="9">
        <f t="shared" si="708"/>
        <v>0</v>
      </c>
      <c r="N1306" s="8"/>
      <c r="O1306" s="9"/>
      <c r="P1306" s="9">
        <f t="shared" si="709"/>
        <v>0</v>
      </c>
      <c r="Q1306" s="9">
        <f t="shared" si="700"/>
        <v>0</v>
      </c>
      <c r="R1306" s="17"/>
      <c r="S1306" s="17"/>
      <c r="T1306" s="17"/>
      <c r="U1306" s="9">
        <f t="shared" si="701"/>
        <v>0</v>
      </c>
      <c r="V1306" s="9">
        <f t="shared" si="702"/>
        <v>0</v>
      </c>
      <c r="W1306" s="9">
        <f t="shared" si="703"/>
        <v>0</v>
      </c>
      <c r="X1306" s="9">
        <f t="shared" si="704"/>
        <v>0</v>
      </c>
      <c r="Y1306" s="8"/>
      <c r="Z1306" s="9">
        <f t="shared" si="705"/>
        <v>0</v>
      </c>
      <c r="AA1306" s="8">
        <f t="shared" si="706"/>
        <v>0</v>
      </c>
      <c r="AB1306" s="8">
        <f t="shared" si="707"/>
        <v>0</v>
      </c>
    </row>
    <row r="1307" spans="1:28" x14ac:dyDescent="0.3">
      <c r="A1307" s="64"/>
      <c r="B1307" s="8"/>
      <c r="C1307" s="7" t="s">
        <v>702</v>
      </c>
      <c r="D1307" s="8"/>
      <c r="E1307" s="9">
        <v>87630</v>
      </c>
      <c r="F1307" s="8"/>
      <c r="G1307" s="8"/>
      <c r="H1307" s="9">
        <f t="shared" si="698"/>
        <v>0</v>
      </c>
      <c r="I1307" s="8"/>
      <c r="J1307" s="9">
        <f t="shared" si="699"/>
        <v>0</v>
      </c>
      <c r="K1307" s="9">
        <v>87630</v>
      </c>
      <c r="L1307" s="8"/>
      <c r="M1307" s="9">
        <f t="shared" si="708"/>
        <v>0</v>
      </c>
      <c r="N1307" s="8">
        <v>87630</v>
      </c>
      <c r="O1307" s="9"/>
      <c r="P1307" s="9">
        <f t="shared" si="709"/>
        <v>87630</v>
      </c>
      <c r="Q1307" s="9">
        <f t="shared" si="700"/>
        <v>0</v>
      </c>
      <c r="R1307" s="17"/>
      <c r="S1307" s="17"/>
      <c r="T1307" s="17"/>
      <c r="U1307" s="9">
        <f t="shared" si="701"/>
        <v>87630</v>
      </c>
      <c r="V1307" s="9">
        <f t="shared" si="702"/>
        <v>87630</v>
      </c>
      <c r="W1307" s="9">
        <f t="shared" si="703"/>
        <v>0</v>
      </c>
      <c r="X1307" s="9">
        <f t="shared" si="704"/>
        <v>87630</v>
      </c>
      <c r="Y1307" s="8"/>
      <c r="Z1307" s="9">
        <f t="shared" si="705"/>
        <v>0</v>
      </c>
      <c r="AA1307" s="8">
        <f t="shared" si="706"/>
        <v>87630</v>
      </c>
      <c r="AB1307" s="8">
        <f t="shared" si="707"/>
        <v>0</v>
      </c>
    </row>
    <row r="1308" spans="1:28" x14ac:dyDescent="0.3">
      <c r="A1308" s="64"/>
      <c r="B1308" s="8"/>
      <c r="C1308" s="7" t="s">
        <v>678</v>
      </c>
      <c r="D1308" s="8"/>
      <c r="E1308" s="9">
        <f>2500000+2500000+2500000</f>
        <v>7500000</v>
      </c>
      <c r="F1308" s="9">
        <f>5000000+2500000</f>
        <v>7500000</v>
      </c>
      <c r="G1308" s="8"/>
      <c r="H1308" s="9">
        <f t="shared" si="698"/>
        <v>7500000</v>
      </c>
      <c r="I1308" s="8"/>
      <c r="J1308" s="9">
        <f t="shared" si="699"/>
        <v>7500000</v>
      </c>
      <c r="K1308" s="8"/>
      <c r="L1308" s="8"/>
      <c r="M1308" s="9">
        <f t="shared" si="708"/>
        <v>7500000</v>
      </c>
      <c r="N1308" s="8"/>
      <c r="O1308" s="9"/>
      <c r="P1308" s="9">
        <f t="shared" si="709"/>
        <v>0</v>
      </c>
      <c r="Q1308" s="9">
        <f t="shared" si="700"/>
        <v>7500000</v>
      </c>
      <c r="R1308" s="17"/>
      <c r="S1308" s="17"/>
      <c r="T1308" s="17"/>
      <c r="U1308" s="9">
        <f t="shared" si="701"/>
        <v>0</v>
      </c>
      <c r="V1308" s="9">
        <f t="shared" si="702"/>
        <v>7500000</v>
      </c>
      <c r="W1308" s="9">
        <f t="shared" si="703"/>
        <v>0</v>
      </c>
      <c r="X1308" s="9">
        <f t="shared" si="704"/>
        <v>7500000</v>
      </c>
      <c r="Y1308" s="8"/>
      <c r="Z1308" s="9">
        <f t="shared" si="705"/>
        <v>0</v>
      </c>
      <c r="AA1308" s="8">
        <f t="shared" si="706"/>
        <v>7500000</v>
      </c>
      <c r="AB1308" s="8">
        <f t="shared" si="707"/>
        <v>0</v>
      </c>
    </row>
    <row r="1309" spans="1:28" x14ac:dyDescent="0.3">
      <c r="A1309" s="64"/>
      <c r="B1309" s="8"/>
      <c r="C1309" s="8"/>
      <c r="D1309" s="8"/>
      <c r="E1309" s="17" t="s">
        <v>29</v>
      </c>
      <c r="F1309" s="17" t="s">
        <v>29</v>
      </c>
      <c r="G1309" s="17" t="s">
        <v>29</v>
      </c>
      <c r="H1309" s="17" t="s">
        <v>29</v>
      </c>
      <c r="I1309" s="17" t="s">
        <v>29</v>
      </c>
      <c r="J1309" s="17" t="s">
        <v>29</v>
      </c>
      <c r="K1309" s="17" t="s">
        <v>29</v>
      </c>
      <c r="L1309" s="17" t="s">
        <v>29</v>
      </c>
      <c r="M1309" s="17" t="s">
        <v>29</v>
      </c>
      <c r="N1309" s="17" t="s">
        <v>29</v>
      </c>
      <c r="O1309" s="17" t="s">
        <v>29</v>
      </c>
      <c r="P1309" s="17" t="s">
        <v>29</v>
      </c>
      <c r="Q1309" s="17" t="s">
        <v>29</v>
      </c>
      <c r="R1309" s="17" t="s">
        <v>29</v>
      </c>
      <c r="S1309" s="17" t="s">
        <v>29</v>
      </c>
      <c r="T1309" s="17" t="s">
        <v>29</v>
      </c>
      <c r="U1309" s="17" t="s">
        <v>29</v>
      </c>
      <c r="V1309" s="17" t="s">
        <v>29</v>
      </c>
      <c r="W1309" s="17" t="s">
        <v>29</v>
      </c>
      <c r="X1309" s="17" t="s">
        <v>29</v>
      </c>
      <c r="Y1309" s="17" t="s">
        <v>29</v>
      </c>
      <c r="Z1309" s="17" t="s">
        <v>29</v>
      </c>
      <c r="AA1309" s="17" t="s">
        <v>29</v>
      </c>
      <c r="AB1309" s="17" t="s">
        <v>29</v>
      </c>
    </row>
    <row r="1310" spans="1:28" x14ac:dyDescent="0.3">
      <c r="A1310" s="64"/>
      <c r="B1310" s="8"/>
      <c r="C1310" s="8"/>
      <c r="D1310" s="8"/>
      <c r="E1310" s="9">
        <f t="shared" ref="E1310:Q1310" si="710">SUM(E1285:E1309)</f>
        <v>55829505.259999998</v>
      </c>
      <c r="F1310" s="9">
        <f t="shared" si="710"/>
        <v>37379374.689999998</v>
      </c>
      <c r="G1310" s="9">
        <f t="shared" si="710"/>
        <v>0</v>
      </c>
      <c r="H1310" s="9">
        <f t="shared" si="710"/>
        <v>37379374.689999998</v>
      </c>
      <c r="I1310" s="9">
        <f t="shared" si="710"/>
        <v>1489380</v>
      </c>
      <c r="J1310" s="9">
        <f t="shared" si="710"/>
        <v>35880392.689999998</v>
      </c>
      <c r="K1310" s="9">
        <f t="shared" si="710"/>
        <v>16683150.569999998</v>
      </c>
      <c r="L1310" s="9">
        <f t="shared" si="710"/>
        <v>1489380</v>
      </c>
      <c r="M1310" s="9">
        <f t="shared" si="710"/>
        <v>38868754.689999998</v>
      </c>
      <c r="N1310" s="9">
        <f t="shared" si="710"/>
        <v>16683150.57</v>
      </c>
      <c r="O1310" s="9">
        <f t="shared" si="710"/>
        <v>0</v>
      </c>
      <c r="P1310" s="9">
        <f t="shared" si="710"/>
        <v>16683150.57</v>
      </c>
      <c r="Q1310" s="9">
        <f t="shared" si="710"/>
        <v>36157992.689999998</v>
      </c>
      <c r="R1310" s="17"/>
      <c r="S1310" s="17"/>
      <c r="T1310" s="9">
        <f t="shared" ref="T1310:Z1310" si="711">SUM(T1285:T1309)</f>
        <v>0</v>
      </c>
      <c r="U1310" s="9">
        <f t="shared" si="711"/>
        <v>16683150.57</v>
      </c>
      <c r="V1310" s="9">
        <f t="shared" si="711"/>
        <v>54062525.259999998</v>
      </c>
      <c r="W1310" s="9">
        <f t="shared" si="711"/>
        <v>1766980</v>
      </c>
      <c r="X1310" s="9">
        <f t="shared" si="711"/>
        <v>54062525.259999998</v>
      </c>
      <c r="Y1310" s="9">
        <f t="shared" si="711"/>
        <v>0</v>
      </c>
      <c r="Z1310" s="9">
        <f t="shared" si="711"/>
        <v>1766980</v>
      </c>
      <c r="AA1310" s="9">
        <f>SUM(AA1285:AA1309)</f>
        <v>55551905.259999998</v>
      </c>
      <c r="AB1310" s="9">
        <f>SUM(AB1285:AB1309)</f>
        <v>277600</v>
      </c>
    </row>
    <row r="1311" spans="1:28" x14ac:dyDescent="0.3">
      <c r="A1311" s="64"/>
      <c r="B1311" s="8"/>
      <c r="C1311" s="8"/>
      <c r="D1311" s="8"/>
      <c r="E1311" s="17" t="s">
        <v>29</v>
      </c>
      <c r="F1311" s="17" t="s">
        <v>29</v>
      </c>
      <c r="G1311" s="17" t="s">
        <v>29</v>
      </c>
      <c r="H1311" s="17" t="s">
        <v>29</v>
      </c>
      <c r="I1311" s="17" t="s">
        <v>29</v>
      </c>
      <c r="J1311" s="17" t="s">
        <v>29</v>
      </c>
      <c r="K1311" s="17" t="s">
        <v>29</v>
      </c>
      <c r="L1311" s="17" t="s">
        <v>29</v>
      </c>
      <c r="M1311" s="17" t="s">
        <v>29</v>
      </c>
      <c r="N1311" s="17" t="s">
        <v>29</v>
      </c>
      <c r="O1311" s="17" t="s">
        <v>29</v>
      </c>
      <c r="P1311" s="17" t="s">
        <v>29</v>
      </c>
      <c r="Q1311" s="17" t="s">
        <v>29</v>
      </c>
      <c r="R1311" s="17" t="s">
        <v>29</v>
      </c>
      <c r="S1311" s="17" t="s">
        <v>29</v>
      </c>
      <c r="T1311" s="17" t="s">
        <v>29</v>
      </c>
      <c r="U1311" s="17" t="s">
        <v>29</v>
      </c>
      <c r="V1311" s="17" t="s">
        <v>29</v>
      </c>
      <c r="W1311" s="17" t="s">
        <v>29</v>
      </c>
      <c r="X1311" s="17" t="s">
        <v>29</v>
      </c>
      <c r="Y1311" s="17" t="s">
        <v>29</v>
      </c>
      <c r="Z1311" s="17" t="s">
        <v>29</v>
      </c>
      <c r="AA1311" s="17" t="s">
        <v>29</v>
      </c>
      <c r="AB1311" s="17" t="s">
        <v>29</v>
      </c>
    </row>
    <row r="1312" spans="1:28" x14ac:dyDescent="0.3">
      <c r="A1312" s="63" t="s">
        <v>996</v>
      </c>
      <c r="B1312" s="7" t="s">
        <v>703</v>
      </c>
      <c r="C1312" s="8"/>
      <c r="D1312" s="8"/>
      <c r="E1312" s="8"/>
      <c r="F1312" s="8"/>
      <c r="G1312" s="8"/>
      <c r="H1312" s="8"/>
      <c r="I1312" s="8"/>
      <c r="J1312" s="8"/>
      <c r="K1312" s="8"/>
      <c r="L1312" s="8"/>
      <c r="M1312" s="8"/>
      <c r="N1312" s="8"/>
      <c r="O1312" s="8"/>
      <c r="P1312" s="8"/>
      <c r="Q1312" s="8"/>
      <c r="R1312" s="17"/>
      <c r="S1312" s="17"/>
      <c r="T1312" s="17"/>
      <c r="U1312" s="17"/>
      <c r="V1312" s="17"/>
      <c r="W1312" s="17"/>
      <c r="X1312" s="17"/>
      <c r="Y1312" s="17"/>
      <c r="Z1312" s="17"/>
    </row>
    <row r="1313" spans="1:28" x14ac:dyDescent="0.3">
      <c r="A1313" s="64"/>
      <c r="B1313" s="8"/>
      <c r="C1313" s="7" t="s">
        <v>539</v>
      </c>
      <c r="D1313" s="15" t="s">
        <v>68</v>
      </c>
      <c r="E1313" s="9">
        <f>196562.5+786250</f>
        <v>982812.5</v>
      </c>
      <c r="F1313" s="8"/>
      <c r="G1313" s="8"/>
      <c r="H1313" s="9">
        <f t="shared" ref="H1313:H1338" si="712">F1313+G1313</f>
        <v>0</v>
      </c>
      <c r="I1313" s="8"/>
      <c r="J1313" s="9">
        <f t="shared" ref="J1313:J1338" si="713">H1313+I1313</f>
        <v>0</v>
      </c>
      <c r="K1313" s="9">
        <f>196562.5+786250</f>
        <v>982812.5</v>
      </c>
      <c r="L1313" s="8"/>
      <c r="M1313" s="9">
        <f>+H1313+L1313</f>
        <v>0</v>
      </c>
      <c r="N1313" s="8">
        <v>982812.5</v>
      </c>
      <c r="O1313" s="9"/>
      <c r="P1313" s="9">
        <f>+N1313+O1313</f>
        <v>982812.5</v>
      </c>
      <c r="Q1313" s="9">
        <f t="shared" ref="Q1313:Q1338" si="714">E1313-P1313</f>
        <v>0</v>
      </c>
      <c r="R1313" s="17"/>
      <c r="S1313" s="17"/>
      <c r="T1313" s="17"/>
      <c r="U1313" s="9">
        <f t="shared" ref="U1313:U1338" si="715">P1313+T1313</f>
        <v>982812.5</v>
      </c>
      <c r="V1313" s="9">
        <f t="shared" ref="V1313:V1338" si="716">P1313+H1313</f>
        <v>982812.5</v>
      </c>
      <c r="W1313" s="9">
        <f t="shared" ref="W1313:W1338" si="717">E1313-V1313</f>
        <v>0</v>
      </c>
      <c r="X1313" s="9">
        <f t="shared" ref="X1313:X1338" si="718">+H1313+P1313</f>
        <v>982812.5</v>
      </c>
      <c r="Y1313" s="8"/>
      <c r="Z1313" s="9">
        <f t="shared" ref="Z1313:Z1338" si="719">+E1313-X1313</f>
        <v>0</v>
      </c>
      <c r="AA1313" s="8">
        <f t="shared" ref="AA1313:AA1338" si="720">+M1313+U1313</f>
        <v>982812.5</v>
      </c>
      <c r="AB1313" s="8">
        <f t="shared" ref="AB1313:AB1338" si="721">+E1313-AA1313</f>
        <v>0</v>
      </c>
    </row>
    <row r="1314" spans="1:28" x14ac:dyDescent="0.3">
      <c r="A1314" s="64"/>
      <c r="B1314" s="8"/>
      <c r="C1314" s="7" t="s">
        <v>704</v>
      </c>
      <c r="D1314" s="15" t="s">
        <v>68</v>
      </c>
      <c r="E1314" s="9">
        <v>2550000</v>
      </c>
      <c r="F1314" s="9">
        <v>2550000</v>
      </c>
      <c r="G1314" s="8"/>
      <c r="H1314" s="9">
        <f t="shared" si="712"/>
        <v>2550000</v>
      </c>
      <c r="I1314" s="8"/>
      <c r="J1314" s="9">
        <f t="shared" si="713"/>
        <v>2550000</v>
      </c>
      <c r="K1314" s="8"/>
      <c r="L1314" s="8"/>
      <c r="M1314" s="9">
        <f t="shared" ref="M1314:M1338" si="722">+H1314+L1314</f>
        <v>2550000</v>
      </c>
      <c r="N1314" s="8"/>
      <c r="O1314" s="9"/>
      <c r="P1314" s="9">
        <f t="shared" ref="P1314:P1338" si="723">+N1314+O1314</f>
        <v>0</v>
      </c>
      <c r="Q1314" s="9">
        <f t="shared" si="714"/>
        <v>2550000</v>
      </c>
      <c r="R1314" s="17"/>
      <c r="S1314" s="17"/>
      <c r="T1314" s="17"/>
      <c r="U1314" s="9">
        <f t="shared" si="715"/>
        <v>0</v>
      </c>
      <c r="V1314" s="9">
        <f t="shared" si="716"/>
        <v>2550000</v>
      </c>
      <c r="W1314" s="9">
        <f t="shared" si="717"/>
        <v>0</v>
      </c>
      <c r="X1314" s="9">
        <f t="shared" si="718"/>
        <v>2550000</v>
      </c>
      <c r="Y1314" s="8"/>
      <c r="Z1314" s="9">
        <f t="shared" si="719"/>
        <v>0</v>
      </c>
      <c r="AA1314" s="8">
        <f t="shared" si="720"/>
        <v>2550000</v>
      </c>
      <c r="AB1314" s="8">
        <f t="shared" si="721"/>
        <v>0</v>
      </c>
    </row>
    <row r="1315" spans="1:28" x14ac:dyDescent="0.3">
      <c r="A1315" s="64"/>
      <c r="B1315" s="8"/>
      <c r="C1315" s="7" t="s">
        <v>535</v>
      </c>
      <c r="D1315" s="15" t="s">
        <v>54</v>
      </c>
      <c r="E1315" s="9">
        <f>959000-47950</f>
        <v>911050</v>
      </c>
      <c r="F1315" s="9">
        <v>911050</v>
      </c>
      <c r="G1315" s="8"/>
      <c r="H1315" s="9">
        <f t="shared" si="712"/>
        <v>911050</v>
      </c>
      <c r="I1315" s="8"/>
      <c r="J1315" s="9">
        <f t="shared" si="713"/>
        <v>911050</v>
      </c>
      <c r="K1315" s="8"/>
      <c r="L1315" s="8"/>
      <c r="M1315" s="9">
        <f t="shared" si="722"/>
        <v>911050</v>
      </c>
      <c r="N1315" s="8"/>
      <c r="O1315" s="9"/>
      <c r="P1315" s="9">
        <f t="shared" si="723"/>
        <v>0</v>
      </c>
      <c r="Q1315" s="9">
        <f t="shared" si="714"/>
        <v>911050</v>
      </c>
      <c r="R1315" s="17"/>
      <c r="S1315" s="17"/>
      <c r="T1315" s="17"/>
      <c r="U1315" s="9">
        <f t="shared" si="715"/>
        <v>0</v>
      </c>
      <c r="V1315" s="9">
        <f t="shared" si="716"/>
        <v>911050</v>
      </c>
      <c r="W1315" s="9">
        <f t="shared" si="717"/>
        <v>0</v>
      </c>
      <c r="X1315" s="9">
        <f t="shared" si="718"/>
        <v>911050</v>
      </c>
      <c r="Y1315" s="8"/>
      <c r="Z1315" s="9">
        <f t="shared" si="719"/>
        <v>0</v>
      </c>
      <c r="AA1315" s="8">
        <f t="shared" si="720"/>
        <v>911050</v>
      </c>
      <c r="AB1315" s="8">
        <f t="shared" si="721"/>
        <v>0</v>
      </c>
    </row>
    <row r="1316" spans="1:28" x14ac:dyDescent="0.3">
      <c r="A1316" s="64"/>
      <c r="B1316" s="8"/>
      <c r="C1316" s="7" t="s">
        <v>704</v>
      </c>
      <c r="D1316" s="15" t="s">
        <v>54</v>
      </c>
      <c r="E1316" s="9">
        <f>1358690+5874681-1133371-115000</f>
        <v>5985000</v>
      </c>
      <c r="F1316" s="9">
        <v>5985000</v>
      </c>
      <c r="G1316" s="8"/>
      <c r="H1316" s="9">
        <f t="shared" si="712"/>
        <v>5985000</v>
      </c>
      <c r="I1316" s="8"/>
      <c r="J1316" s="9">
        <f t="shared" si="713"/>
        <v>5985000</v>
      </c>
      <c r="K1316" s="8"/>
      <c r="L1316" s="8"/>
      <c r="M1316" s="9">
        <f t="shared" si="722"/>
        <v>5985000</v>
      </c>
      <c r="N1316" s="8"/>
      <c r="O1316" s="9"/>
      <c r="P1316" s="9">
        <f t="shared" si="723"/>
        <v>0</v>
      </c>
      <c r="Q1316" s="9">
        <f t="shared" si="714"/>
        <v>5985000</v>
      </c>
      <c r="R1316" s="17"/>
      <c r="S1316" s="17"/>
      <c r="T1316" s="17"/>
      <c r="U1316" s="9">
        <f t="shared" si="715"/>
        <v>0</v>
      </c>
      <c r="V1316" s="9">
        <f t="shared" si="716"/>
        <v>5985000</v>
      </c>
      <c r="W1316" s="9">
        <f t="shared" si="717"/>
        <v>0</v>
      </c>
      <c r="X1316" s="9">
        <f t="shared" si="718"/>
        <v>5985000</v>
      </c>
      <c r="Y1316" s="8"/>
      <c r="Z1316" s="9">
        <f t="shared" si="719"/>
        <v>0</v>
      </c>
      <c r="AA1316" s="8">
        <f t="shared" si="720"/>
        <v>5985000</v>
      </c>
      <c r="AB1316" s="8">
        <f t="shared" si="721"/>
        <v>0</v>
      </c>
    </row>
    <row r="1317" spans="1:28" x14ac:dyDescent="0.3">
      <c r="A1317" s="64"/>
      <c r="B1317" s="8"/>
      <c r="C1317" s="7" t="s">
        <v>696</v>
      </c>
      <c r="D1317" s="15" t="s">
        <v>54</v>
      </c>
      <c r="E1317" s="9">
        <v>190000</v>
      </c>
      <c r="F1317" s="9">
        <v>190000</v>
      </c>
      <c r="G1317" s="8"/>
      <c r="H1317" s="9">
        <f t="shared" si="712"/>
        <v>190000</v>
      </c>
      <c r="I1317" s="8"/>
      <c r="J1317" s="9">
        <f t="shared" si="713"/>
        <v>190000</v>
      </c>
      <c r="K1317" s="8"/>
      <c r="L1317" s="8"/>
      <c r="M1317" s="9">
        <f t="shared" si="722"/>
        <v>190000</v>
      </c>
      <c r="N1317" s="8"/>
      <c r="O1317" s="9"/>
      <c r="P1317" s="9">
        <f t="shared" si="723"/>
        <v>0</v>
      </c>
      <c r="Q1317" s="9">
        <f t="shared" si="714"/>
        <v>190000</v>
      </c>
      <c r="R1317" s="17"/>
      <c r="S1317" s="17"/>
      <c r="T1317" s="17"/>
      <c r="U1317" s="9">
        <f t="shared" si="715"/>
        <v>0</v>
      </c>
      <c r="V1317" s="9">
        <f t="shared" si="716"/>
        <v>190000</v>
      </c>
      <c r="W1317" s="9">
        <f t="shared" si="717"/>
        <v>0</v>
      </c>
      <c r="X1317" s="9">
        <f t="shared" si="718"/>
        <v>190000</v>
      </c>
      <c r="Y1317" s="8"/>
      <c r="Z1317" s="9">
        <f t="shared" si="719"/>
        <v>0</v>
      </c>
      <c r="AA1317" s="8">
        <f t="shared" si="720"/>
        <v>190000</v>
      </c>
      <c r="AB1317" s="8">
        <f t="shared" si="721"/>
        <v>0</v>
      </c>
    </row>
    <row r="1318" spans="1:28" x14ac:dyDescent="0.3">
      <c r="A1318" s="64"/>
      <c r="B1318" s="8"/>
      <c r="C1318" s="7" t="s">
        <v>655</v>
      </c>
      <c r="D1318" s="15" t="s">
        <v>54</v>
      </c>
      <c r="E1318" s="9">
        <v>955345.62</v>
      </c>
      <c r="F1318" s="8"/>
      <c r="G1318" s="8"/>
      <c r="H1318" s="9">
        <f t="shared" si="712"/>
        <v>0</v>
      </c>
      <c r="I1318" s="8"/>
      <c r="J1318" s="9">
        <f t="shared" si="713"/>
        <v>0</v>
      </c>
      <c r="K1318" s="9">
        <v>955345.62</v>
      </c>
      <c r="L1318" s="8"/>
      <c r="M1318" s="9">
        <f t="shared" si="722"/>
        <v>0</v>
      </c>
      <c r="N1318" s="8">
        <v>955345.62</v>
      </c>
      <c r="O1318" s="9"/>
      <c r="P1318" s="9">
        <f t="shared" si="723"/>
        <v>955345.62</v>
      </c>
      <c r="Q1318" s="9">
        <f t="shared" si="714"/>
        <v>0</v>
      </c>
      <c r="R1318" s="17"/>
      <c r="S1318" s="17"/>
      <c r="T1318" s="17"/>
      <c r="U1318" s="9">
        <f t="shared" si="715"/>
        <v>955345.62</v>
      </c>
      <c r="V1318" s="9">
        <f t="shared" si="716"/>
        <v>955345.62</v>
      </c>
      <c r="W1318" s="9">
        <f t="shared" si="717"/>
        <v>0</v>
      </c>
      <c r="X1318" s="9">
        <f t="shared" si="718"/>
        <v>955345.62</v>
      </c>
      <c r="Y1318" s="8"/>
      <c r="Z1318" s="9">
        <f t="shared" si="719"/>
        <v>0</v>
      </c>
      <c r="AA1318" s="8">
        <f t="shared" si="720"/>
        <v>955345.62</v>
      </c>
      <c r="AB1318" s="8">
        <f t="shared" si="721"/>
        <v>0</v>
      </c>
    </row>
    <row r="1319" spans="1:28" x14ac:dyDescent="0.3">
      <c r="A1319" s="64"/>
      <c r="B1319" s="8"/>
      <c r="C1319" s="7" t="s">
        <v>545</v>
      </c>
      <c r="D1319" s="15" t="s">
        <v>54</v>
      </c>
      <c r="E1319" s="9">
        <v>1953989</v>
      </c>
      <c r="F1319" s="8"/>
      <c r="G1319" s="8"/>
      <c r="H1319" s="9">
        <f t="shared" si="712"/>
        <v>0</v>
      </c>
      <c r="I1319" s="8"/>
      <c r="J1319" s="9">
        <f t="shared" si="713"/>
        <v>0</v>
      </c>
      <c r="K1319" s="9">
        <v>1953989</v>
      </c>
      <c r="L1319" s="8"/>
      <c r="M1319" s="9">
        <f t="shared" si="722"/>
        <v>0</v>
      </c>
      <c r="N1319" s="8">
        <v>1953989</v>
      </c>
      <c r="O1319" s="9"/>
      <c r="P1319" s="9">
        <f t="shared" si="723"/>
        <v>1953989</v>
      </c>
      <c r="Q1319" s="9">
        <f t="shared" si="714"/>
        <v>0</v>
      </c>
      <c r="R1319" s="17"/>
      <c r="S1319" s="17"/>
      <c r="T1319" s="17"/>
      <c r="U1319" s="9">
        <f t="shared" si="715"/>
        <v>1953989</v>
      </c>
      <c r="V1319" s="9">
        <f t="shared" si="716"/>
        <v>1953989</v>
      </c>
      <c r="W1319" s="9">
        <f t="shared" si="717"/>
        <v>0</v>
      </c>
      <c r="X1319" s="9">
        <f t="shared" si="718"/>
        <v>1953989</v>
      </c>
      <c r="Y1319" s="8"/>
      <c r="Z1319" s="9">
        <f t="shared" si="719"/>
        <v>0</v>
      </c>
      <c r="AA1319" s="8">
        <f t="shared" si="720"/>
        <v>1953989</v>
      </c>
      <c r="AB1319" s="8">
        <f t="shared" si="721"/>
        <v>0</v>
      </c>
    </row>
    <row r="1320" spans="1:28" x14ac:dyDescent="0.3">
      <c r="A1320" s="64"/>
      <c r="B1320" s="8"/>
      <c r="C1320" s="7" t="s">
        <v>535</v>
      </c>
      <c r="D1320" s="15" t="s">
        <v>85</v>
      </c>
      <c r="E1320" s="9">
        <f>5514000-551400</f>
        <v>4962600</v>
      </c>
      <c r="F1320" s="9">
        <f>3519938+1442662</f>
        <v>4962600</v>
      </c>
      <c r="G1320" s="8"/>
      <c r="H1320" s="9">
        <f t="shared" si="712"/>
        <v>4962600</v>
      </c>
      <c r="I1320" s="8"/>
      <c r="J1320" s="9">
        <f t="shared" si="713"/>
        <v>4962600</v>
      </c>
      <c r="K1320" s="8"/>
      <c r="L1320" s="8"/>
      <c r="M1320" s="9">
        <f t="shared" si="722"/>
        <v>4962600</v>
      </c>
      <c r="N1320" s="8"/>
      <c r="O1320" s="9"/>
      <c r="P1320" s="9">
        <f t="shared" si="723"/>
        <v>0</v>
      </c>
      <c r="Q1320" s="9">
        <f t="shared" si="714"/>
        <v>4962600</v>
      </c>
      <c r="R1320" s="17"/>
      <c r="S1320" s="17"/>
      <c r="T1320" s="17"/>
      <c r="U1320" s="9">
        <f t="shared" si="715"/>
        <v>0</v>
      </c>
      <c r="V1320" s="9">
        <f t="shared" si="716"/>
        <v>4962600</v>
      </c>
      <c r="W1320" s="9">
        <f t="shared" si="717"/>
        <v>0</v>
      </c>
      <c r="X1320" s="9">
        <f t="shared" si="718"/>
        <v>4962600</v>
      </c>
      <c r="Y1320" s="8"/>
      <c r="Z1320" s="9">
        <f t="shared" si="719"/>
        <v>0</v>
      </c>
      <c r="AA1320" s="8">
        <f t="shared" si="720"/>
        <v>4962600</v>
      </c>
      <c r="AB1320" s="8">
        <f t="shared" si="721"/>
        <v>0</v>
      </c>
    </row>
    <row r="1321" spans="1:28" x14ac:dyDescent="0.3">
      <c r="A1321" s="64"/>
      <c r="B1321" s="8"/>
      <c r="C1321" s="7" t="s">
        <v>650</v>
      </c>
      <c r="D1321" s="15" t="s">
        <v>85</v>
      </c>
      <c r="E1321" s="9">
        <f>80000+80000</f>
        <v>160000</v>
      </c>
      <c r="F1321" s="9">
        <f>80000+80000</f>
        <v>160000</v>
      </c>
      <c r="G1321" s="8"/>
      <c r="H1321" s="9">
        <f t="shared" si="712"/>
        <v>160000</v>
      </c>
      <c r="I1321" s="8"/>
      <c r="J1321" s="9">
        <f t="shared" si="713"/>
        <v>160000</v>
      </c>
      <c r="K1321" s="8"/>
      <c r="L1321" s="8"/>
      <c r="M1321" s="9">
        <f t="shared" si="722"/>
        <v>160000</v>
      </c>
      <c r="N1321" s="8"/>
      <c r="O1321" s="9"/>
      <c r="P1321" s="9">
        <f t="shared" si="723"/>
        <v>0</v>
      </c>
      <c r="Q1321" s="9">
        <f t="shared" si="714"/>
        <v>160000</v>
      </c>
      <c r="R1321" s="17"/>
      <c r="S1321" s="17"/>
      <c r="T1321" s="17"/>
      <c r="U1321" s="9">
        <f t="shared" si="715"/>
        <v>0</v>
      </c>
      <c r="V1321" s="9">
        <f t="shared" si="716"/>
        <v>160000</v>
      </c>
      <c r="W1321" s="9">
        <f t="shared" si="717"/>
        <v>0</v>
      </c>
      <c r="X1321" s="9">
        <f t="shared" si="718"/>
        <v>160000</v>
      </c>
      <c r="Y1321" s="8"/>
      <c r="Z1321" s="9">
        <f t="shared" si="719"/>
        <v>0</v>
      </c>
      <c r="AA1321" s="8">
        <f t="shared" si="720"/>
        <v>160000</v>
      </c>
      <c r="AB1321" s="8">
        <f t="shared" si="721"/>
        <v>0</v>
      </c>
    </row>
    <row r="1322" spans="1:28" x14ac:dyDescent="0.3">
      <c r="A1322" s="64"/>
      <c r="B1322" s="8"/>
      <c r="C1322" s="7" t="s">
        <v>697</v>
      </c>
      <c r="D1322" s="15" t="s">
        <v>85</v>
      </c>
      <c r="E1322" s="9">
        <v>14000</v>
      </c>
      <c r="F1322" s="9">
        <v>14000</v>
      </c>
      <c r="G1322" s="8"/>
      <c r="H1322" s="9">
        <f t="shared" si="712"/>
        <v>14000</v>
      </c>
      <c r="I1322" s="8"/>
      <c r="J1322" s="9">
        <f t="shared" si="713"/>
        <v>14000</v>
      </c>
      <c r="K1322" s="8"/>
      <c r="L1322" s="8"/>
      <c r="M1322" s="9">
        <f t="shared" si="722"/>
        <v>14000</v>
      </c>
      <c r="N1322" s="8"/>
      <c r="O1322" s="9"/>
      <c r="P1322" s="9">
        <f t="shared" si="723"/>
        <v>0</v>
      </c>
      <c r="Q1322" s="9">
        <f t="shared" si="714"/>
        <v>14000</v>
      </c>
      <c r="R1322" s="17"/>
      <c r="S1322" s="17"/>
      <c r="T1322" s="17"/>
      <c r="U1322" s="9">
        <f t="shared" si="715"/>
        <v>0</v>
      </c>
      <c r="V1322" s="9">
        <f t="shared" si="716"/>
        <v>14000</v>
      </c>
      <c r="W1322" s="9">
        <f t="shared" si="717"/>
        <v>0</v>
      </c>
      <c r="X1322" s="9">
        <f t="shared" si="718"/>
        <v>14000</v>
      </c>
      <c r="Y1322" s="8"/>
      <c r="Z1322" s="9">
        <f t="shared" si="719"/>
        <v>0</v>
      </c>
      <c r="AA1322" s="8">
        <f t="shared" si="720"/>
        <v>14000</v>
      </c>
      <c r="AB1322" s="8">
        <f t="shared" si="721"/>
        <v>0</v>
      </c>
    </row>
    <row r="1323" spans="1:28" x14ac:dyDescent="0.3">
      <c r="A1323" s="64"/>
      <c r="B1323" s="8"/>
      <c r="C1323" s="7" t="s">
        <v>535</v>
      </c>
      <c r="D1323" s="15" t="s">
        <v>88</v>
      </c>
      <c r="E1323" s="9">
        <f>2000000+2000000</f>
        <v>4000000</v>
      </c>
      <c r="F1323" s="9">
        <v>4000000</v>
      </c>
      <c r="G1323" s="8"/>
      <c r="H1323" s="9">
        <f t="shared" si="712"/>
        <v>4000000</v>
      </c>
      <c r="I1323" s="8"/>
      <c r="J1323" s="9">
        <f t="shared" si="713"/>
        <v>4000000</v>
      </c>
      <c r="K1323" s="8"/>
      <c r="L1323" s="8"/>
      <c r="M1323" s="9">
        <f t="shared" si="722"/>
        <v>4000000</v>
      </c>
      <c r="N1323" s="8"/>
      <c r="O1323" s="9"/>
      <c r="P1323" s="9">
        <f t="shared" si="723"/>
        <v>0</v>
      </c>
      <c r="Q1323" s="9">
        <f t="shared" si="714"/>
        <v>4000000</v>
      </c>
      <c r="R1323" s="17"/>
      <c r="S1323" s="17"/>
      <c r="T1323" s="17"/>
      <c r="U1323" s="9">
        <f t="shared" si="715"/>
        <v>0</v>
      </c>
      <c r="V1323" s="9">
        <f t="shared" si="716"/>
        <v>4000000</v>
      </c>
      <c r="W1323" s="9">
        <f t="shared" si="717"/>
        <v>0</v>
      </c>
      <c r="X1323" s="9">
        <f t="shared" si="718"/>
        <v>4000000</v>
      </c>
      <c r="Y1323" s="8"/>
      <c r="Z1323" s="9">
        <f t="shared" si="719"/>
        <v>0</v>
      </c>
      <c r="AA1323" s="8">
        <f t="shared" si="720"/>
        <v>4000000</v>
      </c>
      <c r="AB1323" s="8">
        <f t="shared" si="721"/>
        <v>0</v>
      </c>
    </row>
    <row r="1324" spans="1:28" x14ac:dyDescent="0.3">
      <c r="A1324" s="64"/>
      <c r="B1324" s="8"/>
      <c r="C1324" s="7" t="s">
        <v>705</v>
      </c>
      <c r="D1324" s="15" t="s">
        <v>88</v>
      </c>
      <c r="E1324" s="9">
        <v>969388</v>
      </c>
      <c r="F1324" s="9">
        <v>969388</v>
      </c>
      <c r="G1324" s="9"/>
      <c r="H1324" s="9">
        <f t="shared" si="712"/>
        <v>969388</v>
      </c>
      <c r="I1324" s="9">
        <v>0</v>
      </c>
      <c r="J1324" s="9">
        <f t="shared" si="713"/>
        <v>969388</v>
      </c>
      <c r="K1324" s="8"/>
      <c r="L1324" s="8"/>
      <c r="M1324" s="9">
        <f t="shared" si="722"/>
        <v>969388</v>
      </c>
      <c r="N1324" s="8"/>
      <c r="O1324" s="9"/>
      <c r="P1324" s="9">
        <f t="shared" si="723"/>
        <v>0</v>
      </c>
      <c r="Q1324" s="9">
        <f t="shared" si="714"/>
        <v>969388</v>
      </c>
      <c r="R1324" s="17"/>
      <c r="S1324" s="17"/>
      <c r="T1324" s="17"/>
      <c r="U1324" s="9">
        <f t="shared" si="715"/>
        <v>0</v>
      </c>
      <c r="V1324" s="9">
        <f t="shared" si="716"/>
        <v>969388</v>
      </c>
      <c r="W1324" s="9">
        <f t="shared" si="717"/>
        <v>0</v>
      </c>
      <c r="X1324" s="9">
        <f t="shared" si="718"/>
        <v>969388</v>
      </c>
      <c r="Y1324" s="8"/>
      <c r="Z1324" s="9">
        <f t="shared" si="719"/>
        <v>0</v>
      </c>
      <c r="AA1324" s="8">
        <f t="shared" si="720"/>
        <v>969388</v>
      </c>
      <c r="AB1324" s="8">
        <f t="shared" si="721"/>
        <v>0</v>
      </c>
    </row>
    <row r="1325" spans="1:28" x14ac:dyDescent="0.3">
      <c r="A1325" s="64"/>
      <c r="B1325" s="8"/>
      <c r="C1325" s="7" t="s">
        <v>535</v>
      </c>
      <c r="D1325" s="15" t="s">
        <v>108</v>
      </c>
      <c r="E1325" s="9">
        <f>272391+1112303</f>
        <v>1384694</v>
      </c>
      <c r="F1325" s="9">
        <v>1384694</v>
      </c>
      <c r="G1325" s="8"/>
      <c r="H1325" s="9">
        <f t="shared" si="712"/>
        <v>1384694</v>
      </c>
      <c r="I1325" s="8"/>
      <c r="J1325" s="9">
        <f t="shared" si="713"/>
        <v>1384694</v>
      </c>
      <c r="K1325" s="8"/>
      <c r="L1325" s="8"/>
      <c r="M1325" s="9">
        <f t="shared" si="722"/>
        <v>1384694</v>
      </c>
      <c r="N1325" s="8"/>
      <c r="O1325" s="9"/>
      <c r="P1325" s="9">
        <f t="shared" si="723"/>
        <v>0</v>
      </c>
      <c r="Q1325" s="9">
        <f t="shared" si="714"/>
        <v>1384694</v>
      </c>
      <c r="R1325" s="17"/>
      <c r="S1325" s="17"/>
      <c r="T1325" s="17"/>
      <c r="U1325" s="9">
        <f t="shared" si="715"/>
        <v>0</v>
      </c>
      <c r="V1325" s="9">
        <f t="shared" si="716"/>
        <v>1384694</v>
      </c>
      <c r="W1325" s="9">
        <f t="shared" si="717"/>
        <v>0</v>
      </c>
      <c r="X1325" s="9">
        <f t="shared" si="718"/>
        <v>1384694</v>
      </c>
      <c r="Y1325" s="8"/>
      <c r="Z1325" s="9">
        <f t="shared" si="719"/>
        <v>0</v>
      </c>
      <c r="AA1325" s="8">
        <f t="shared" si="720"/>
        <v>1384694</v>
      </c>
      <c r="AB1325" s="8">
        <f t="shared" si="721"/>
        <v>0</v>
      </c>
    </row>
    <row r="1326" spans="1:28" x14ac:dyDescent="0.3">
      <c r="A1326" s="64"/>
      <c r="B1326" s="8"/>
      <c r="C1326" s="7" t="s">
        <v>535</v>
      </c>
      <c r="D1326" s="15" t="s">
        <v>58</v>
      </c>
      <c r="E1326" s="9">
        <f>1044543+1036400</f>
        <v>2080943</v>
      </c>
      <c r="F1326" s="9">
        <v>2080943</v>
      </c>
      <c r="G1326" s="8"/>
      <c r="H1326" s="9">
        <f t="shared" si="712"/>
        <v>2080943</v>
      </c>
      <c r="I1326" s="8"/>
      <c r="J1326" s="9">
        <f t="shared" si="713"/>
        <v>2080943</v>
      </c>
      <c r="K1326" s="8"/>
      <c r="L1326" s="8"/>
      <c r="M1326" s="9">
        <f t="shared" si="722"/>
        <v>2080943</v>
      </c>
      <c r="N1326" s="8"/>
      <c r="O1326" s="9"/>
      <c r="P1326" s="9">
        <f t="shared" si="723"/>
        <v>0</v>
      </c>
      <c r="Q1326" s="9">
        <f t="shared" si="714"/>
        <v>2080943</v>
      </c>
      <c r="R1326" s="17"/>
      <c r="S1326" s="17"/>
      <c r="T1326" s="17"/>
      <c r="U1326" s="9">
        <f t="shared" si="715"/>
        <v>0</v>
      </c>
      <c r="V1326" s="9">
        <f t="shared" si="716"/>
        <v>2080943</v>
      </c>
      <c r="W1326" s="9">
        <f t="shared" si="717"/>
        <v>0</v>
      </c>
      <c r="X1326" s="9">
        <f t="shared" si="718"/>
        <v>2080943</v>
      </c>
      <c r="Y1326" s="8"/>
      <c r="Z1326" s="9">
        <f t="shared" si="719"/>
        <v>0</v>
      </c>
      <c r="AA1326" s="8">
        <f t="shared" si="720"/>
        <v>2080943</v>
      </c>
      <c r="AB1326" s="8">
        <f t="shared" si="721"/>
        <v>0</v>
      </c>
    </row>
    <row r="1327" spans="1:28" x14ac:dyDescent="0.3">
      <c r="A1327" s="64"/>
      <c r="B1327" s="8"/>
      <c r="C1327" s="7" t="s">
        <v>706</v>
      </c>
      <c r="D1327" s="15" t="s">
        <v>58</v>
      </c>
      <c r="E1327" s="9">
        <v>1140569</v>
      </c>
      <c r="F1327" s="9">
        <v>1140569</v>
      </c>
      <c r="G1327" s="8"/>
      <c r="H1327" s="9">
        <f t="shared" si="712"/>
        <v>1140569</v>
      </c>
      <c r="I1327" s="8"/>
      <c r="J1327" s="9">
        <f t="shared" si="713"/>
        <v>1140569</v>
      </c>
      <c r="K1327" s="8"/>
      <c r="L1327" s="8"/>
      <c r="M1327" s="9">
        <f t="shared" si="722"/>
        <v>1140569</v>
      </c>
      <c r="N1327" s="8"/>
      <c r="O1327" s="9"/>
      <c r="P1327" s="9">
        <f t="shared" si="723"/>
        <v>0</v>
      </c>
      <c r="Q1327" s="9">
        <f t="shared" si="714"/>
        <v>1140569</v>
      </c>
      <c r="R1327" s="17"/>
      <c r="S1327" s="17"/>
      <c r="T1327" s="17"/>
      <c r="U1327" s="9">
        <f t="shared" si="715"/>
        <v>0</v>
      </c>
      <c r="V1327" s="9">
        <f t="shared" si="716"/>
        <v>1140569</v>
      </c>
      <c r="W1327" s="9">
        <f t="shared" si="717"/>
        <v>0</v>
      </c>
      <c r="X1327" s="9">
        <f t="shared" si="718"/>
        <v>1140569</v>
      </c>
      <c r="Y1327" s="8"/>
      <c r="Z1327" s="9">
        <f t="shared" si="719"/>
        <v>0</v>
      </c>
      <c r="AA1327" s="8">
        <f t="shared" si="720"/>
        <v>1140569</v>
      </c>
      <c r="AB1327" s="8">
        <f t="shared" si="721"/>
        <v>0</v>
      </c>
    </row>
    <row r="1328" spans="1:28" x14ac:dyDescent="0.3">
      <c r="A1328" s="64"/>
      <c r="B1328" s="8"/>
      <c r="C1328" s="7" t="s">
        <v>535</v>
      </c>
      <c r="D1328" s="21" t="s">
        <v>60</v>
      </c>
      <c r="E1328" s="9">
        <f>3124224+2675418</f>
        <v>5799642</v>
      </c>
      <c r="F1328" s="9">
        <v>5799642</v>
      </c>
      <c r="G1328" s="8"/>
      <c r="H1328" s="9">
        <f t="shared" si="712"/>
        <v>5799642</v>
      </c>
      <c r="I1328" s="8"/>
      <c r="J1328" s="9">
        <f t="shared" si="713"/>
        <v>5799642</v>
      </c>
      <c r="K1328" s="8"/>
      <c r="L1328" s="8"/>
      <c r="M1328" s="9">
        <f t="shared" si="722"/>
        <v>5799642</v>
      </c>
      <c r="N1328" s="8"/>
      <c r="O1328" s="9"/>
      <c r="P1328" s="9">
        <f t="shared" si="723"/>
        <v>0</v>
      </c>
      <c r="Q1328" s="9">
        <f t="shared" si="714"/>
        <v>5799642</v>
      </c>
      <c r="R1328" s="17"/>
      <c r="S1328" s="17"/>
      <c r="T1328" s="17"/>
      <c r="U1328" s="9">
        <f t="shared" si="715"/>
        <v>0</v>
      </c>
      <c r="V1328" s="9">
        <f t="shared" si="716"/>
        <v>5799642</v>
      </c>
      <c r="W1328" s="9">
        <f t="shared" si="717"/>
        <v>0</v>
      </c>
      <c r="X1328" s="9">
        <f t="shared" si="718"/>
        <v>5799642</v>
      </c>
      <c r="Y1328" s="8"/>
      <c r="Z1328" s="9">
        <f t="shared" si="719"/>
        <v>0</v>
      </c>
      <c r="AA1328" s="8">
        <f t="shared" si="720"/>
        <v>5799642</v>
      </c>
      <c r="AB1328" s="8">
        <f t="shared" si="721"/>
        <v>0</v>
      </c>
    </row>
    <row r="1329" spans="1:28" x14ac:dyDescent="0.3">
      <c r="A1329" s="64"/>
      <c r="B1329" s="8"/>
      <c r="C1329" s="14" t="s">
        <v>535</v>
      </c>
      <c r="D1329" s="21" t="s">
        <v>73</v>
      </c>
      <c r="E1329" s="11">
        <v>6352000</v>
      </c>
      <c r="F1329" s="11">
        <v>6352000</v>
      </c>
      <c r="G1329" s="8"/>
      <c r="H1329" s="9">
        <f t="shared" si="712"/>
        <v>6352000</v>
      </c>
      <c r="I1329" s="8"/>
      <c r="J1329" s="9">
        <f t="shared" si="713"/>
        <v>6352000</v>
      </c>
      <c r="K1329" s="8"/>
      <c r="L1329" s="8"/>
      <c r="M1329" s="9">
        <f t="shared" si="722"/>
        <v>6352000</v>
      </c>
      <c r="N1329" s="8"/>
      <c r="O1329" s="9"/>
      <c r="P1329" s="9">
        <f t="shared" si="723"/>
        <v>0</v>
      </c>
      <c r="Q1329" s="9">
        <f t="shared" si="714"/>
        <v>6352000</v>
      </c>
      <c r="R1329" s="17"/>
      <c r="S1329" s="17"/>
      <c r="T1329" s="17"/>
      <c r="U1329" s="9">
        <f t="shared" si="715"/>
        <v>0</v>
      </c>
      <c r="V1329" s="9">
        <f t="shared" si="716"/>
        <v>6352000</v>
      </c>
      <c r="W1329" s="9">
        <f t="shared" si="717"/>
        <v>0</v>
      </c>
      <c r="X1329" s="9">
        <f t="shared" si="718"/>
        <v>6352000</v>
      </c>
      <c r="Y1329" s="8"/>
      <c r="Z1329" s="9">
        <f t="shared" si="719"/>
        <v>0</v>
      </c>
      <c r="AA1329" s="8">
        <f t="shared" si="720"/>
        <v>6352000</v>
      </c>
      <c r="AB1329" s="8">
        <f t="shared" si="721"/>
        <v>0</v>
      </c>
    </row>
    <row r="1330" spans="1:28" x14ac:dyDescent="0.3">
      <c r="A1330" s="64"/>
      <c r="B1330" s="8"/>
      <c r="C1330" s="14" t="s">
        <v>535</v>
      </c>
      <c r="D1330" s="21" t="s">
        <v>61</v>
      </c>
      <c r="E1330" s="11">
        <f>3836000+87599.81</f>
        <v>3923599.81</v>
      </c>
      <c r="F1330" s="11">
        <v>3836000</v>
      </c>
      <c r="G1330" s="8"/>
      <c r="H1330" s="9">
        <f t="shared" si="712"/>
        <v>3836000</v>
      </c>
      <c r="I1330" s="8"/>
      <c r="J1330" s="9">
        <f t="shared" si="713"/>
        <v>3836000</v>
      </c>
      <c r="K1330" s="8"/>
      <c r="L1330" s="8"/>
      <c r="M1330" s="9">
        <f t="shared" si="722"/>
        <v>3836000</v>
      </c>
      <c r="N1330" s="11"/>
      <c r="O1330" s="9"/>
      <c r="P1330" s="9">
        <f t="shared" si="723"/>
        <v>0</v>
      </c>
      <c r="Q1330" s="9">
        <f t="shared" si="714"/>
        <v>3923599.81</v>
      </c>
      <c r="R1330" s="17"/>
      <c r="S1330" s="17"/>
      <c r="T1330" s="18">
        <v>87599.81</v>
      </c>
      <c r="U1330" s="9">
        <f t="shared" si="715"/>
        <v>87599.81</v>
      </c>
      <c r="V1330" s="9">
        <f t="shared" si="716"/>
        <v>3836000</v>
      </c>
      <c r="W1330" s="9">
        <f t="shared" si="717"/>
        <v>87599.810000000056</v>
      </c>
      <c r="X1330" s="9">
        <f t="shared" si="718"/>
        <v>3836000</v>
      </c>
      <c r="Y1330" s="8"/>
      <c r="Z1330" s="9">
        <f t="shared" si="719"/>
        <v>87599.810000000056</v>
      </c>
      <c r="AA1330" s="8">
        <f t="shared" si="720"/>
        <v>3923599.81</v>
      </c>
      <c r="AB1330" s="8">
        <f t="shared" si="721"/>
        <v>0</v>
      </c>
    </row>
    <row r="1331" spans="1:28" x14ac:dyDescent="0.3">
      <c r="A1331" s="64"/>
      <c r="B1331" s="8"/>
      <c r="C1331" s="45" t="s">
        <v>1072</v>
      </c>
      <c r="D1331" s="21"/>
      <c r="E1331" s="11">
        <v>3074000</v>
      </c>
      <c r="F1331" s="11">
        <v>3074000</v>
      </c>
      <c r="G1331" s="8"/>
      <c r="H1331" s="9">
        <f>+F1331+G1331</f>
        <v>3074000</v>
      </c>
      <c r="I1331" s="8"/>
      <c r="J1331" s="9"/>
      <c r="K1331" s="8"/>
      <c r="L1331" s="8"/>
      <c r="M1331" s="9">
        <f>+H1331+L1331</f>
        <v>3074000</v>
      </c>
      <c r="N1331" s="11"/>
      <c r="O1331" s="9"/>
      <c r="P1331" s="9">
        <f t="shared" si="723"/>
        <v>0</v>
      </c>
      <c r="Q1331" s="9"/>
      <c r="R1331" s="17"/>
      <c r="S1331" s="17"/>
      <c r="T1331" s="18"/>
      <c r="U1331" s="9">
        <f>+P1331+T1331</f>
        <v>0</v>
      </c>
      <c r="V1331" s="9"/>
      <c r="W1331" s="9"/>
      <c r="X1331" s="9">
        <f t="shared" si="718"/>
        <v>3074000</v>
      </c>
      <c r="Y1331" s="8"/>
      <c r="Z1331" s="9">
        <f t="shared" si="719"/>
        <v>0</v>
      </c>
      <c r="AA1331" s="8">
        <f t="shared" si="720"/>
        <v>3074000</v>
      </c>
      <c r="AB1331" s="8">
        <f t="shared" si="721"/>
        <v>0</v>
      </c>
    </row>
    <row r="1332" spans="1:28" x14ac:dyDescent="0.3">
      <c r="A1332" s="64"/>
      <c r="B1332" s="8"/>
      <c r="C1332" s="14" t="s">
        <v>1173</v>
      </c>
      <c r="D1332" s="24" t="s">
        <v>1126</v>
      </c>
      <c r="E1332" s="11">
        <v>5126000</v>
      </c>
      <c r="F1332" s="8">
        <v>5126000</v>
      </c>
      <c r="G1332" s="8"/>
      <c r="H1332" s="9">
        <f>+F1332+G1332</f>
        <v>5126000</v>
      </c>
      <c r="I1332" s="8"/>
      <c r="J1332" s="9"/>
      <c r="K1332" s="8"/>
      <c r="L1332" s="8"/>
      <c r="M1332" s="9">
        <f>+H1332+L1332</f>
        <v>5126000</v>
      </c>
      <c r="N1332" s="11"/>
      <c r="O1332" s="9"/>
      <c r="P1332" s="9">
        <f>+N1332+O1332</f>
        <v>0</v>
      </c>
      <c r="Q1332" s="9"/>
      <c r="R1332" s="17"/>
      <c r="S1332" s="17"/>
      <c r="T1332" s="18"/>
      <c r="U1332" s="9">
        <f>+P1332+T1332</f>
        <v>0</v>
      </c>
      <c r="V1332" s="9"/>
      <c r="W1332" s="9"/>
      <c r="X1332" s="9">
        <f t="shared" si="718"/>
        <v>5126000</v>
      </c>
      <c r="Y1332" s="8"/>
      <c r="Z1332" s="9">
        <f t="shared" si="719"/>
        <v>0</v>
      </c>
      <c r="AA1332" s="8">
        <f t="shared" si="720"/>
        <v>5126000</v>
      </c>
      <c r="AB1332" s="8">
        <f t="shared" si="721"/>
        <v>0</v>
      </c>
    </row>
    <row r="1333" spans="1:28" x14ac:dyDescent="0.3">
      <c r="A1333" s="64"/>
      <c r="B1333" s="8"/>
      <c r="C1333" s="14" t="s">
        <v>1245</v>
      </c>
      <c r="D1333" s="24" t="s">
        <v>1225</v>
      </c>
      <c r="E1333" s="11">
        <v>2385721.27</v>
      </c>
      <c r="F1333" s="8">
        <v>2385721.27</v>
      </c>
      <c r="G1333" s="8"/>
      <c r="H1333" s="9">
        <f>+F1333+G1333</f>
        <v>2385721.27</v>
      </c>
      <c r="I1333" s="8"/>
      <c r="J1333" s="9"/>
      <c r="K1333" s="8"/>
      <c r="L1333" s="8"/>
      <c r="M1333" s="9">
        <f>+H1333+L1333</f>
        <v>2385721.27</v>
      </c>
      <c r="N1333" s="11"/>
      <c r="O1333" s="9"/>
      <c r="P1333" s="9">
        <f>+N1333+O1333</f>
        <v>0</v>
      </c>
      <c r="Q1333" s="9"/>
      <c r="R1333" s="17"/>
      <c r="S1333" s="17"/>
      <c r="T1333" s="18"/>
      <c r="U1333" s="9">
        <f>+P1333+T1333</f>
        <v>0</v>
      </c>
      <c r="V1333" s="9"/>
      <c r="W1333" s="9"/>
      <c r="X1333" s="9">
        <f t="shared" si="718"/>
        <v>2385721.27</v>
      </c>
      <c r="Y1333" s="8"/>
      <c r="Z1333" s="9">
        <f t="shared" si="719"/>
        <v>0</v>
      </c>
      <c r="AA1333" s="8">
        <f>+M1333+U1333</f>
        <v>2385721.27</v>
      </c>
      <c r="AB1333" s="8">
        <f>+E1333-AA1333</f>
        <v>0</v>
      </c>
    </row>
    <row r="1334" spans="1:28" x14ac:dyDescent="0.3">
      <c r="A1334" s="64"/>
      <c r="B1334" s="8"/>
      <c r="C1334" s="7" t="s">
        <v>577</v>
      </c>
      <c r="D1334" s="8"/>
      <c r="E1334" s="9">
        <v>4005015</v>
      </c>
      <c r="F1334" s="9">
        <v>4005015</v>
      </c>
      <c r="G1334" s="8"/>
      <c r="H1334" s="9">
        <f t="shared" si="712"/>
        <v>4005015</v>
      </c>
      <c r="I1334" s="8"/>
      <c r="J1334" s="9">
        <f t="shared" si="713"/>
        <v>4005015</v>
      </c>
      <c r="K1334" s="8"/>
      <c r="L1334" s="8"/>
      <c r="M1334" s="9">
        <f t="shared" si="722"/>
        <v>4005015</v>
      </c>
      <c r="N1334" s="8"/>
      <c r="O1334" s="9"/>
      <c r="P1334" s="9">
        <f t="shared" si="723"/>
        <v>0</v>
      </c>
      <c r="Q1334" s="9">
        <f t="shared" si="714"/>
        <v>4005015</v>
      </c>
      <c r="R1334" s="17"/>
      <c r="S1334" s="17"/>
      <c r="T1334" s="17"/>
      <c r="U1334" s="9">
        <f t="shared" si="715"/>
        <v>0</v>
      </c>
      <c r="V1334" s="9">
        <f t="shared" si="716"/>
        <v>4005015</v>
      </c>
      <c r="W1334" s="9">
        <f t="shared" si="717"/>
        <v>0</v>
      </c>
      <c r="X1334" s="9">
        <f t="shared" si="718"/>
        <v>4005015</v>
      </c>
      <c r="Y1334" s="8"/>
      <c r="Z1334" s="9">
        <f t="shared" si="719"/>
        <v>0</v>
      </c>
      <c r="AA1334" s="8">
        <f t="shared" si="720"/>
        <v>4005015</v>
      </c>
      <c r="AB1334" s="8">
        <f t="shared" si="721"/>
        <v>0</v>
      </c>
    </row>
    <row r="1335" spans="1:28" x14ac:dyDescent="0.3">
      <c r="A1335" s="64"/>
      <c r="B1335" s="8"/>
      <c r="C1335" s="7" t="s">
        <v>707</v>
      </c>
      <c r="D1335" s="8"/>
      <c r="E1335" s="9">
        <v>600000</v>
      </c>
      <c r="F1335" s="9">
        <v>600000</v>
      </c>
      <c r="G1335" s="8"/>
      <c r="H1335" s="9">
        <f t="shared" si="712"/>
        <v>600000</v>
      </c>
      <c r="I1335" s="8"/>
      <c r="J1335" s="9">
        <f t="shared" si="713"/>
        <v>600000</v>
      </c>
      <c r="K1335" s="8"/>
      <c r="L1335" s="8"/>
      <c r="M1335" s="9">
        <f t="shared" si="722"/>
        <v>600000</v>
      </c>
      <c r="N1335" s="8"/>
      <c r="O1335" s="9"/>
      <c r="P1335" s="9">
        <f t="shared" si="723"/>
        <v>0</v>
      </c>
      <c r="Q1335" s="9">
        <f t="shared" si="714"/>
        <v>600000</v>
      </c>
      <c r="R1335" s="17"/>
      <c r="S1335" s="17"/>
      <c r="T1335" s="17"/>
      <c r="U1335" s="9">
        <f t="shared" si="715"/>
        <v>0</v>
      </c>
      <c r="V1335" s="9">
        <f t="shared" si="716"/>
        <v>600000</v>
      </c>
      <c r="W1335" s="9">
        <f t="shared" si="717"/>
        <v>0</v>
      </c>
      <c r="X1335" s="9">
        <f t="shared" si="718"/>
        <v>600000</v>
      </c>
      <c r="Y1335" s="8"/>
      <c r="Z1335" s="9">
        <f t="shared" si="719"/>
        <v>0</v>
      </c>
      <c r="AA1335" s="8">
        <f t="shared" si="720"/>
        <v>600000</v>
      </c>
      <c r="AB1335" s="8">
        <f t="shared" si="721"/>
        <v>0</v>
      </c>
    </row>
    <row r="1336" spans="1:28" x14ac:dyDescent="0.3">
      <c r="A1336" s="64"/>
      <c r="B1336" s="8"/>
      <c r="C1336" s="7" t="s">
        <v>708</v>
      </c>
      <c r="D1336" s="8"/>
      <c r="E1336" s="9">
        <v>1050000</v>
      </c>
      <c r="F1336" s="9">
        <v>1050000</v>
      </c>
      <c r="G1336" s="8"/>
      <c r="H1336" s="9">
        <f t="shared" si="712"/>
        <v>1050000</v>
      </c>
      <c r="I1336" s="8"/>
      <c r="J1336" s="9">
        <f t="shared" si="713"/>
        <v>1050000</v>
      </c>
      <c r="K1336" s="8"/>
      <c r="L1336" s="8"/>
      <c r="M1336" s="9">
        <f t="shared" si="722"/>
        <v>1050000</v>
      </c>
      <c r="N1336" s="8"/>
      <c r="O1336" s="9"/>
      <c r="P1336" s="9">
        <f t="shared" si="723"/>
        <v>0</v>
      </c>
      <c r="Q1336" s="9">
        <f t="shared" si="714"/>
        <v>1050000</v>
      </c>
      <c r="R1336" s="17"/>
      <c r="S1336" s="17"/>
      <c r="T1336" s="17"/>
      <c r="U1336" s="9">
        <f t="shared" si="715"/>
        <v>0</v>
      </c>
      <c r="V1336" s="9">
        <f t="shared" si="716"/>
        <v>1050000</v>
      </c>
      <c r="W1336" s="9">
        <f t="shared" si="717"/>
        <v>0</v>
      </c>
      <c r="X1336" s="9">
        <f t="shared" si="718"/>
        <v>1050000</v>
      </c>
      <c r="Y1336" s="8"/>
      <c r="Z1336" s="9">
        <f t="shared" si="719"/>
        <v>0</v>
      </c>
      <c r="AA1336" s="8">
        <f t="shared" si="720"/>
        <v>1050000</v>
      </c>
      <c r="AB1336" s="8">
        <f t="shared" si="721"/>
        <v>0</v>
      </c>
    </row>
    <row r="1337" spans="1:28" x14ac:dyDescent="0.3">
      <c r="A1337" s="64"/>
      <c r="B1337" s="15" t="s">
        <v>709</v>
      </c>
      <c r="C1337" s="7" t="s">
        <v>710</v>
      </c>
      <c r="D1337" s="8"/>
      <c r="E1337" s="9">
        <v>2000000</v>
      </c>
      <c r="F1337" s="9">
        <v>2000000</v>
      </c>
      <c r="G1337" s="8"/>
      <c r="H1337" s="9">
        <f t="shared" si="712"/>
        <v>2000000</v>
      </c>
      <c r="I1337" s="8"/>
      <c r="J1337" s="9">
        <f t="shared" si="713"/>
        <v>2000000</v>
      </c>
      <c r="K1337" s="8"/>
      <c r="L1337" s="8"/>
      <c r="M1337" s="9">
        <f t="shared" si="722"/>
        <v>2000000</v>
      </c>
      <c r="N1337" s="8"/>
      <c r="O1337" s="9"/>
      <c r="P1337" s="9">
        <f t="shared" si="723"/>
        <v>0</v>
      </c>
      <c r="Q1337" s="9">
        <f t="shared" si="714"/>
        <v>2000000</v>
      </c>
      <c r="R1337" s="17"/>
      <c r="S1337" s="17"/>
      <c r="T1337" s="17"/>
      <c r="U1337" s="9">
        <f t="shared" si="715"/>
        <v>0</v>
      </c>
      <c r="V1337" s="9">
        <f t="shared" si="716"/>
        <v>2000000</v>
      </c>
      <c r="W1337" s="9">
        <f t="shared" si="717"/>
        <v>0</v>
      </c>
      <c r="X1337" s="9">
        <f t="shared" si="718"/>
        <v>2000000</v>
      </c>
      <c r="Y1337" s="8"/>
      <c r="Z1337" s="9">
        <f t="shared" si="719"/>
        <v>0</v>
      </c>
      <c r="AA1337" s="8">
        <f t="shared" si="720"/>
        <v>2000000</v>
      </c>
      <c r="AB1337" s="8">
        <f t="shared" si="721"/>
        <v>0</v>
      </c>
    </row>
    <row r="1338" spans="1:28" x14ac:dyDescent="0.3">
      <c r="A1338" s="64"/>
      <c r="B1338" s="8"/>
      <c r="C1338" s="7" t="s">
        <v>678</v>
      </c>
      <c r="D1338" s="8"/>
      <c r="E1338" s="9">
        <f>2500000+2500000</f>
        <v>5000000</v>
      </c>
      <c r="F1338" s="9">
        <v>5000000</v>
      </c>
      <c r="G1338" s="8"/>
      <c r="H1338" s="9">
        <f t="shared" si="712"/>
        <v>5000000</v>
      </c>
      <c r="I1338" s="8"/>
      <c r="J1338" s="9">
        <f t="shared" si="713"/>
        <v>5000000</v>
      </c>
      <c r="K1338" s="8"/>
      <c r="L1338" s="8"/>
      <c r="M1338" s="9">
        <f t="shared" si="722"/>
        <v>5000000</v>
      </c>
      <c r="N1338" s="8"/>
      <c r="O1338" s="9"/>
      <c r="P1338" s="9">
        <f t="shared" si="723"/>
        <v>0</v>
      </c>
      <c r="Q1338" s="9">
        <f t="shared" si="714"/>
        <v>5000000</v>
      </c>
      <c r="R1338" s="17"/>
      <c r="S1338" s="17"/>
      <c r="T1338" s="17"/>
      <c r="U1338" s="9">
        <f t="shared" si="715"/>
        <v>0</v>
      </c>
      <c r="V1338" s="9">
        <f t="shared" si="716"/>
        <v>5000000</v>
      </c>
      <c r="W1338" s="9">
        <f t="shared" si="717"/>
        <v>0</v>
      </c>
      <c r="X1338" s="9">
        <f t="shared" si="718"/>
        <v>5000000</v>
      </c>
      <c r="Y1338" s="8"/>
      <c r="Z1338" s="9">
        <f t="shared" si="719"/>
        <v>0</v>
      </c>
      <c r="AA1338" s="8">
        <f t="shared" si="720"/>
        <v>5000000</v>
      </c>
      <c r="AB1338" s="8">
        <f t="shared" si="721"/>
        <v>0</v>
      </c>
    </row>
    <row r="1339" spans="1:28" x14ac:dyDescent="0.3">
      <c r="A1339" s="64"/>
      <c r="B1339" s="8"/>
      <c r="C1339" s="8"/>
      <c r="D1339" s="8"/>
      <c r="E1339" s="17" t="s">
        <v>29</v>
      </c>
      <c r="F1339" s="17" t="s">
        <v>29</v>
      </c>
      <c r="G1339" s="17" t="s">
        <v>29</v>
      </c>
      <c r="H1339" s="17" t="s">
        <v>29</v>
      </c>
      <c r="I1339" s="17" t="s">
        <v>29</v>
      </c>
      <c r="J1339" s="17" t="s">
        <v>29</v>
      </c>
      <c r="K1339" s="17" t="s">
        <v>29</v>
      </c>
      <c r="L1339" s="17" t="s">
        <v>29</v>
      </c>
      <c r="M1339" s="17" t="s">
        <v>29</v>
      </c>
      <c r="N1339" s="17" t="s">
        <v>29</v>
      </c>
      <c r="O1339" s="17" t="s">
        <v>29</v>
      </c>
      <c r="P1339" s="17" t="s">
        <v>29</v>
      </c>
      <c r="Q1339" s="17" t="s">
        <v>29</v>
      </c>
      <c r="R1339" s="17" t="s">
        <v>29</v>
      </c>
      <c r="S1339" s="17" t="s">
        <v>29</v>
      </c>
      <c r="T1339" s="17" t="s">
        <v>29</v>
      </c>
      <c r="U1339" s="17" t="s">
        <v>29</v>
      </c>
      <c r="V1339" s="17" t="s">
        <v>29</v>
      </c>
      <c r="W1339" s="17" t="s">
        <v>29</v>
      </c>
      <c r="X1339" s="17" t="s">
        <v>29</v>
      </c>
      <c r="Y1339" s="17" t="s">
        <v>29</v>
      </c>
      <c r="Z1339" s="17" t="s">
        <v>29</v>
      </c>
      <c r="AA1339" s="17" t="s">
        <v>29</v>
      </c>
      <c r="AB1339" s="17" t="s">
        <v>29</v>
      </c>
    </row>
    <row r="1340" spans="1:28" x14ac:dyDescent="0.3">
      <c r="A1340" s="64"/>
      <c r="B1340" s="8"/>
      <c r="C1340" s="8"/>
      <c r="D1340" s="8"/>
      <c r="E1340" s="9">
        <f t="shared" ref="E1340:Q1340" si="724">SUM(E1313:E1339)</f>
        <v>67556369.200000003</v>
      </c>
      <c r="F1340" s="9">
        <f t="shared" si="724"/>
        <v>63576622.270000003</v>
      </c>
      <c r="G1340" s="9">
        <f t="shared" si="724"/>
        <v>0</v>
      </c>
      <c r="H1340" s="9">
        <f t="shared" si="724"/>
        <v>63576622.270000003</v>
      </c>
      <c r="I1340" s="9">
        <f t="shared" si="724"/>
        <v>0</v>
      </c>
      <c r="J1340" s="9">
        <f t="shared" si="724"/>
        <v>52990901</v>
      </c>
      <c r="K1340" s="9">
        <f t="shared" si="724"/>
        <v>3892147.12</v>
      </c>
      <c r="L1340" s="9">
        <f t="shared" si="724"/>
        <v>0</v>
      </c>
      <c r="M1340" s="9">
        <f t="shared" si="724"/>
        <v>63576622.270000003</v>
      </c>
      <c r="N1340" s="9">
        <f t="shared" si="724"/>
        <v>3892147.12</v>
      </c>
      <c r="O1340" s="9">
        <f t="shared" si="724"/>
        <v>0</v>
      </c>
      <c r="P1340" s="9">
        <f t="shared" si="724"/>
        <v>3892147.12</v>
      </c>
      <c r="Q1340" s="9">
        <f t="shared" si="724"/>
        <v>53078500.810000002</v>
      </c>
      <c r="R1340" s="17"/>
      <c r="S1340" s="17"/>
      <c r="T1340" s="9">
        <f t="shared" ref="T1340:Z1340" si="725">SUM(T1313:T1339)</f>
        <v>87599.81</v>
      </c>
      <c r="U1340" s="9">
        <f t="shared" si="725"/>
        <v>3979746.93</v>
      </c>
      <c r="V1340" s="9">
        <f t="shared" si="725"/>
        <v>56883048.119999997</v>
      </c>
      <c r="W1340" s="9">
        <f t="shared" si="725"/>
        <v>87599.810000000056</v>
      </c>
      <c r="X1340" s="9">
        <f t="shared" si="725"/>
        <v>67468769.390000001</v>
      </c>
      <c r="Y1340" s="9">
        <f t="shared" si="725"/>
        <v>0</v>
      </c>
      <c r="Z1340" s="9">
        <f t="shared" si="725"/>
        <v>87599.810000000056</v>
      </c>
      <c r="AA1340" s="9">
        <f>SUM(AA1313:AA1339)</f>
        <v>67556369.200000003</v>
      </c>
      <c r="AB1340" s="9">
        <f>SUM(AB1313:AB1339)</f>
        <v>0</v>
      </c>
    </row>
    <row r="1341" spans="1:28" x14ac:dyDescent="0.3">
      <c r="A1341" s="64"/>
      <c r="B1341" s="8"/>
      <c r="C1341" s="8"/>
      <c r="D1341" s="8"/>
      <c r="E1341" s="17" t="s">
        <v>29</v>
      </c>
      <c r="F1341" s="17" t="s">
        <v>29</v>
      </c>
      <c r="G1341" s="17" t="s">
        <v>29</v>
      </c>
      <c r="H1341" s="17" t="s">
        <v>29</v>
      </c>
      <c r="I1341" s="17" t="s">
        <v>29</v>
      </c>
      <c r="J1341" s="17" t="s">
        <v>29</v>
      </c>
      <c r="K1341" s="17" t="s">
        <v>29</v>
      </c>
      <c r="L1341" s="17" t="s">
        <v>29</v>
      </c>
      <c r="M1341" s="17" t="s">
        <v>29</v>
      </c>
      <c r="N1341" s="17" t="s">
        <v>29</v>
      </c>
      <c r="O1341" s="17" t="s">
        <v>29</v>
      </c>
      <c r="P1341" s="17" t="s">
        <v>29</v>
      </c>
      <c r="Q1341" s="17" t="s">
        <v>29</v>
      </c>
      <c r="R1341" s="17" t="s">
        <v>29</v>
      </c>
      <c r="S1341" s="17" t="s">
        <v>29</v>
      </c>
      <c r="T1341" s="17" t="s">
        <v>29</v>
      </c>
      <c r="U1341" s="17" t="s">
        <v>29</v>
      </c>
      <c r="V1341" s="17" t="s">
        <v>29</v>
      </c>
      <c r="W1341" s="17" t="s">
        <v>29</v>
      </c>
      <c r="X1341" s="17" t="s">
        <v>29</v>
      </c>
      <c r="Y1341" s="17" t="s">
        <v>29</v>
      </c>
      <c r="Z1341" s="17" t="s">
        <v>29</v>
      </c>
      <c r="AA1341" s="17" t="s">
        <v>29</v>
      </c>
      <c r="AB1341" s="17" t="s">
        <v>29</v>
      </c>
    </row>
    <row r="1342" spans="1:28" x14ac:dyDescent="0.3">
      <c r="A1342" s="63" t="s">
        <v>997</v>
      </c>
      <c r="B1342" s="7" t="s">
        <v>711</v>
      </c>
      <c r="C1342" s="8"/>
      <c r="D1342" s="8"/>
      <c r="E1342" s="8"/>
      <c r="F1342" s="8"/>
      <c r="G1342" s="8"/>
      <c r="H1342" s="8"/>
      <c r="I1342" s="8"/>
      <c r="J1342" s="8"/>
      <c r="K1342" s="8"/>
      <c r="L1342" s="8"/>
      <c r="M1342" s="8"/>
      <c r="N1342" s="8"/>
      <c r="O1342" s="8"/>
      <c r="P1342" s="8"/>
      <c r="Q1342" s="8"/>
      <c r="R1342" s="17"/>
      <c r="S1342" s="17"/>
      <c r="T1342" s="17"/>
      <c r="U1342" s="17"/>
      <c r="V1342" s="17"/>
      <c r="W1342" s="17"/>
      <c r="X1342" s="17"/>
      <c r="Y1342" s="17"/>
      <c r="Z1342" s="17"/>
    </row>
    <row r="1343" spans="1:28" x14ac:dyDescent="0.3">
      <c r="A1343" s="64"/>
      <c r="B1343" s="8"/>
      <c r="C1343" s="7" t="s">
        <v>535</v>
      </c>
      <c r="D1343" s="15" t="s">
        <v>68</v>
      </c>
      <c r="E1343" s="9">
        <f>1635900-859562.92</f>
        <v>776337.08</v>
      </c>
      <c r="F1343" s="9">
        <v>776337.08</v>
      </c>
      <c r="G1343" s="8"/>
      <c r="H1343" s="9">
        <f t="shared" ref="H1343:H1374" si="726">F1343+G1343</f>
        <v>776337.08</v>
      </c>
      <c r="I1343" s="8"/>
      <c r="J1343" s="9">
        <f t="shared" ref="J1343:J1374" si="727">H1343+I1343</f>
        <v>776337.08</v>
      </c>
      <c r="K1343" s="8"/>
      <c r="L1343" s="8"/>
      <c r="M1343" s="9">
        <f>+H1343+L1343</f>
        <v>776337.08</v>
      </c>
      <c r="N1343" s="8"/>
      <c r="O1343" s="9"/>
      <c r="P1343" s="9">
        <f>+N1343+O1343</f>
        <v>0</v>
      </c>
      <c r="Q1343" s="9">
        <f t="shared" ref="Q1343:Q1374" si="728">E1343-P1343</f>
        <v>776337.08</v>
      </c>
      <c r="R1343" s="17"/>
      <c r="S1343" s="17"/>
      <c r="T1343" s="17"/>
      <c r="U1343" s="9">
        <f t="shared" ref="U1343:U1374" si="729">P1343+T1343</f>
        <v>0</v>
      </c>
      <c r="V1343" s="9">
        <f t="shared" ref="V1343:V1374" si="730">P1343+H1343</f>
        <v>776337.08</v>
      </c>
      <c r="W1343" s="9">
        <f t="shared" ref="W1343:W1374" si="731">E1343-V1343</f>
        <v>0</v>
      </c>
      <c r="X1343" s="9">
        <f t="shared" ref="X1343:X1374" si="732">+H1343+P1343</f>
        <v>776337.08</v>
      </c>
      <c r="Y1343" s="8"/>
      <c r="Z1343" s="9">
        <f t="shared" ref="Z1343:Z1374" si="733">+E1343-X1343</f>
        <v>0</v>
      </c>
      <c r="AA1343" s="8">
        <f t="shared" ref="AA1343:AA1374" si="734">+M1343+U1343</f>
        <v>776337.08</v>
      </c>
      <c r="AB1343" s="8">
        <f t="shared" ref="AB1343:AB1374" si="735">+E1343-AA1343</f>
        <v>0</v>
      </c>
    </row>
    <row r="1344" spans="1:28" x14ac:dyDescent="0.3">
      <c r="A1344" s="64"/>
      <c r="B1344" s="8"/>
      <c r="C1344" s="7" t="s">
        <v>712</v>
      </c>
      <c r="D1344" s="15" t="s">
        <v>68</v>
      </c>
      <c r="E1344" s="9">
        <f>850000-104651.88</f>
        <v>745348.12</v>
      </c>
      <c r="F1344" s="9">
        <v>597789.66</v>
      </c>
      <c r="G1344" s="8"/>
      <c r="H1344" s="9">
        <f t="shared" si="726"/>
        <v>597789.66</v>
      </c>
      <c r="I1344" s="8"/>
      <c r="J1344" s="9">
        <f t="shared" si="727"/>
        <v>597789.66</v>
      </c>
      <c r="K1344" s="9">
        <f>13172.76+134385.7</f>
        <v>147558.46000000002</v>
      </c>
      <c r="L1344" s="8"/>
      <c r="M1344" s="9">
        <f t="shared" ref="M1344:M1374" si="736">+H1344+L1344</f>
        <v>597789.66</v>
      </c>
      <c r="N1344" s="8">
        <v>147558.46</v>
      </c>
      <c r="O1344" s="9"/>
      <c r="P1344" s="9">
        <f t="shared" ref="P1344:P1374" si="737">+N1344+O1344</f>
        <v>147558.46</v>
      </c>
      <c r="Q1344" s="9">
        <f t="shared" si="728"/>
        <v>597789.66</v>
      </c>
      <c r="R1344" s="17"/>
      <c r="S1344" s="17"/>
      <c r="T1344" s="17"/>
      <c r="U1344" s="9">
        <f t="shared" si="729"/>
        <v>147558.46</v>
      </c>
      <c r="V1344" s="9">
        <f t="shared" si="730"/>
        <v>745348.12</v>
      </c>
      <c r="W1344" s="9">
        <f t="shared" si="731"/>
        <v>0</v>
      </c>
      <c r="X1344" s="9">
        <f t="shared" si="732"/>
        <v>745348.12</v>
      </c>
      <c r="Y1344" s="8"/>
      <c r="Z1344" s="9">
        <f t="shared" si="733"/>
        <v>0</v>
      </c>
      <c r="AA1344" s="8">
        <f t="shared" si="734"/>
        <v>745348.12</v>
      </c>
      <c r="AB1344" s="8">
        <f t="shared" si="735"/>
        <v>0</v>
      </c>
    </row>
    <row r="1345" spans="1:28" x14ac:dyDescent="0.3">
      <c r="A1345" s="64"/>
      <c r="B1345" s="8"/>
      <c r="C1345" s="7" t="s">
        <v>539</v>
      </c>
      <c r="D1345" s="15" t="s">
        <v>68</v>
      </c>
      <c r="E1345" s="9">
        <f>1847756+1179375</f>
        <v>3027131</v>
      </c>
      <c r="F1345" s="8"/>
      <c r="G1345" s="8"/>
      <c r="H1345" s="9">
        <f t="shared" si="726"/>
        <v>0</v>
      </c>
      <c r="I1345" s="8"/>
      <c r="J1345" s="9">
        <f t="shared" si="727"/>
        <v>0</v>
      </c>
      <c r="K1345" s="9">
        <f>1847756+1179375</f>
        <v>3027131</v>
      </c>
      <c r="L1345" s="8"/>
      <c r="M1345" s="9">
        <f t="shared" si="736"/>
        <v>0</v>
      </c>
      <c r="N1345" s="8">
        <v>3027131</v>
      </c>
      <c r="O1345" s="9"/>
      <c r="P1345" s="9">
        <f t="shared" si="737"/>
        <v>3027131</v>
      </c>
      <c r="Q1345" s="9">
        <f t="shared" si="728"/>
        <v>0</v>
      </c>
      <c r="R1345" s="17"/>
      <c r="S1345" s="17"/>
      <c r="T1345" s="17"/>
      <c r="U1345" s="9">
        <f t="shared" si="729"/>
        <v>3027131</v>
      </c>
      <c r="V1345" s="9">
        <f t="shared" si="730"/>
        <v>3027131</v>
      </c>
      <c r="W1345" s="9">
        <f t="shared" si="731"/>
        <v>0</v>
      </c>
      <c r="X1345" s="9">
        <f t="shared" si="732"/>
        <v>3027131</v>
      </c>
      <c r="Y1345" s="8"/>
      <c r="Z1345" s="9">
        <f t="shared" si="733"/>
        <v>0</v>
      </c>
      <c r="AA1345" s="8">
        <f t="shared" si="734"/>
        <v>3027131</v>
      </c>
      <c r="AB1345" s="8">
        <f t="shared" si="735"/>
        <v>0</v>
      </c>
    </row>
    <row r="1346" spans="1:28" x14ac:dyDescent="0.3">
      <c r="A1346" s="64"/>
      <c r="B1346" s="8"/>
      <c r="C1346" s="7" t="s">
        <v>535</v>
      </c>
      <c r="D1346" s="15" t="s">
        <v>54</v>
      </c>
      <c r="E1346" s="9">
        <f>839000-41950</f>
        <v>797050</v>
      </c>
      <c r="F1346" s="9">
        <v>797050</v>
      </c>
      <c r="G1346" s="8"/>
      <c r="H1346" s="9">
        <f t="shared" si="726"/>
        <v>797050</v>
      </c>
      <c r="I1346" s="8"/>
      <c r="J1346" s="9">
        <f t="shared" si="727"/>
        <v>797050</v>
      </c>
      <c r="K1346" s="8"/>
      <c r="L1346" s="8"/>
      <c r="M1346" s="9">
        <f t="shared" si="736"/>
        <v>797050</v>
      </c>
      <c r="N1346" s="8"/>
      <c r="O1346" s="9"/>
      <c r="P1346" s="9">
        <f t="shared" si="737"/>
        <v>0</v>
      </c>
      <c r="Q1346" s="9">
        <f t="shared" si="728"/>
        <v>797050</v>
      </c>
      <c r="R1346" s="17"/>
      <c r="S1346" s="17"/>
      <c r="T1346" s="17"/>
      <c r="U1346" s="9">
        <f t="shared" si="729"/>
        <v>0</v>
      </c>
      <c r="V1346" s="9">
        <f t="shared" si="730"/>
        <v>797050</v>
      </c>
      <c r="W1346" s="9">
        <f t="shared" si="731"/>
        <v>0</v>
      </c>
      <c r="X1346" s="9">
        <f t="shared" si="732"/>
        <v>797050</v>
      </c>
      <c r="Y1346" s="8"/>
      <c r="Z1346" s="9">
        <f t="shared" si="733"/>
        <v>0</v>
      </c>
      <c r="AA1346" s="8">
        <f t="shared" si="734"/>
        <v>797050</v>
      </c>
      <c r="AB1346" s="8">
        <f t="shared" si="735"/>
        <v>0</v>
      </c>
    </row>
    <row r="1347" spans="1:28" x14ac:dyDescent="0.3">
      <c r="A1347" s="64"/>
      <c r="B1347" s="8"/>
      <c r="C1347" s="7" t="s">
        <v>545</v>
      </c>
      <c r="D1347" s="15" t="s">
        <v>54</v>
      </c>
      <c r="E1347" s="9">
        <v>1767770</v>
      </c>
      <c r="F1347" s="8"/>
      <c r="G1347" s="8"/>
      <c r="H1347" s="9">
        <f t="shared" si="726"/>
        <v>0</v>
      </c>
      <c r="I1347" s="8"/>
      <c r="J1347" s="9">
        <f t="shared" si="727"/>
        <v>0</v>
      </c>
      <c r="K1347" s="9">
        <v>1767770</v>
      </c>
      <c r="L1347" s="8"/>
      <c r="M1347" s="9">
        <f t="shared" si="736"/>
        <v>0</v>
      </c>
      <c r="N1347" s="8">
        <v>1767770</v>
      </c>
      <c r="O1347" s="9"/>
      <c r="P1347" s="9">
        <f t="shared" si="737"/>
        <v>1767770</v>
      </c>
      <c r="Q1347" s="9">
        <f t="shared" si="728"/>
        <v>0</v>
      </c>
      <c r="R1347" s="17"/>
      <c r="S1347" s="17"/>
      <c r="T1347" s="17"/>
      <c r="U1347" s="9">
        <f t="shared" si="729"/>
        <v>1767770</v>
      </c>
      <c r="V1347" s="9">
        <f t="shared" si="730"/>
        <v>1767770</v>
      </c>
      <c r="W1347" s="9">
        <f t="shared" si="731"/>
        <v>0</v>
      </c>
      <c r="X1347" s="9">
        <f t="shared" si="732"/>
        <v>1767770</v>
      </c>
      <c r="Y1347" s="8"/>
      <c r="Z1347" s="9">
        <f t="shared" si="733"/>
        <v>0</v>
      </c>
      <c r="AA1347" s="8">
        <f t="shared" si="734"/>
        <v>1767770</v>
      </c>
      <c r="AB1347" s="8">
        <f t="shared" si="735"/>
        <v>0</v>
      </c>
    </row>
    <row r="1348" spans="1:28" x14ac:dyDescent="0.3">
      <c r="A1348" s="64"/>
      <c r="B1348" s="8"/>
      <c r="C1348" s="7" t="s">
        <v>557</v>
      </c>
      <c r="D1348" s="15" t="s">
        <v>54</v>
      </c>
      <c r="E1348" s="9">
        <v>3130450</v>
      </c>
      <c r="F1348" s="9">
        <v>3130450</v>
      </c>
      <c r="G1348" s="8"/>
      <c r="H1348" s="9">
        <f t="shared" si="726"/>
        <v>3130450</v>
      </c>
      <c r="I1348" s="8"/>
      <c r="J1348" s="9">
        <f t="shared" si="727"/>
        <v>3130450</v>
      </c>
      <c r="K1348" s="8"/>
      <c r="L1348" s="8"/>
      <c r="M1348" s="9">
        <f t="shared" si="736"/>
        <v>3130450</v>
      </c>
      <c r="N1348" s="8"/>
      <c r="O1348" s="9"/>
      <c r="P1348" s="9">
        <f t="shared" si="737"/>
        <v>0</v>
      </c>
      <c r="Q1348" s="9">
        <f t="shared" si="728"/>
        <v>3130450</v>
      </c>
      <c r="R1348" s="17"/>
      <c r="S1348" s="17"/>
      <c r="T1348" s="17"/>
      <c r="U1348" s="9">
        <f t="shared" si="729"/>
        <v>0</v>
      </c>
      <c r="V1348" s="9">
        <f t="shared" si="730"/>
        <v>3130450</v>
      </c>
      <c r="W1348" s="9">
        <f t="shared" si="731"/>
        <v>0</v>
      </c>
      <c r="X1348" s="9">
        <f t="shared" si="732"/>
        <v>3130450</v>
      </c>
      <c r="Y1348" s="8"/>
      <c r="Z1348" s="9">
        <f t="shared" si="733"/>
        <v>0</v>
      </c>
      <c r="AA1348" s="8">
        <f t="shared" si="734"/>
        <v>3130450</v>
      </c>
      <c r="AB1348" s="8">
        <f t="shared" si="735"/>
        <v>0</v>
      </c>
    </row>
    <row r="1349" spans="1:28" x14ac:dyDescent="0.3">
      <c r="A1349" s="64"/>
      <c r="B1349" s="8"/>
      <c r="C1349" s="7" t="s">
        <v>704</v>
      </c>
      <c r="D1349" s="15" t="s">
        <v>54</v>
      </c>
      <c r="E1349" s="9">
        <f>1500000+115000-115000</f>
        <v>1500000</v>
      </c>
      <c r="F1349" s="9">
        <v>1500000</v>
      </c>
      <c r="G1349" s="8"/>
      <c r="H1349" s="9">
        <f t="shared" si="726"/>
        <v>1500000</v>
      </c>
      <c r="I1349" s="8"/>
      <c r="J1349" s="9">
        <f t="shared" si="727"/>
        <v>1500000</v>
      </c>
      <c r="K1349" s="8"/>
      <c r="L1349" s="8"/>
      <c r="M1349" s="9">
        <f t="shared" si="736"/>
        <v>1500000</v>
      </c>
      <c r="N1349" s="8"/>
      <c r="O1349" s="9"/>
      <c r="P1349" s="9">
        <f t="shared" si="737"/>
        <v>0</v>
      </c>
      <c r="Q1349" s="9">
        <f t="shared" si="728"/>
        <v>1500000</v>
      </c>
      <c r="R1349" s="17"/>
      <c r="S1349" s="17"/>
      <c r="T1349" s="17"/>
      <c r="U1349" s="9">
        <f t="shared" si="729"/>
        <v>0</v>
      </c>
      <c r="V1349" s="9">
        <f t="shared" si="730"/>
        <v>1500000</v>
      </c>
      <c r="W1349" s="9">
        <f t="shared" si="731"/>
        <v>0</v>
      </c>
      <c r="X1349" s="9">
        <f t="shared" si="732"/>
        <v>1500000</v>
      </c>
      <c r="Y1349" s="8"/>
      <c r="Z1349" s="9">
        <f t="shared" si="733"/>
        <v>0</v>
      </c>
      <c r="AA1349" s="8">
        <f t="shared" si="734"/>
        <v>1500000</v>
      </c>
      <c r="AB1349" s="8">
        <f t="shared" si="735"/>
        <v>0</v>
      </c>
    </row>
    <row r="1350" spans="1:28" x14ac:dyDescent="0.3">
      <c r="A1350" s="64"/>
      <c r="B1350" s="8"/>
      <c r="C1350" s="7" t="s">
        <v>713</v>
      </c>
      <c r="D1350" s="15" t="s">
        <v>54</v>
      </c>
      <c r="E1350" s="9">
        <f>687540+2341060</f>
        <v>3028600</v>
      </c>
      <c r="F1350" s="9">
        <v>3028600</v>
      </c>
      <c r="G1350" s="8"/>
      <c r="H1350" s="9">
        <f t="shared" si="726"/>
        <v>3028600</v>
      </c>
      <c r="I1350" s="8"/>
      <c r="J1350" s="9">
        <f t="shared" si="727"/>
        <v>3028600</v>
      </c>
      <c r="K1350" s="8"/>
      <c r="L1350" s="8"/>
      <c r="M1350" s="9">
        <f t="shared" si="736"/>
        <v>3028600</v>
      </c>
      <c r="N1350" s="8"/>
      <c r="O1350" s="9"/>
      <c r="P1350" s="9">
        <f t="shared" si="737"/>
        <v>0</v>
      </c>
      <c r="Q1350" s="9">
        <f t="shared" si="728"/>
        <v>3028600</v>
      </c>
      <c r="R1350" s="17"/>
      <c r="S1350" s="17"/>
      <c r="T1350" s="17"/>
      <c r="U1350" s="9">
        <f t="shared" si="729"/>
        <v>0</v>
      </c>
      <c r="V1350" s="9">
        <f t="shared" si="730"/>
        <v>3028600</v>
      </c>
      <c r="W1350" s="9">
        <f t="shared" si="731"/>
        <v>0</v>
      </c>
      <c r="X1350" s="9">
        <f t="shared" si="732"/>
        <v>3028600</v>
      </c>
      <c r="Y1350" s="8"/>
      <c r="Z1350" s="9">
        <f t="shared" si="733"/>
        <v>0</v>
      </c>
      <c r="AA1350" s="8">
        <f t="shared" si="734"/>
        <v>3028600</v>
      </c>
      <c r="AB1350" s="8">
        <f t="shared" si="735"/>
        <v>0</v>
      </c>
    </row>
    <row r="1351" spans="1:28" x14ac:dyDescent="0.3">
      <c r="A1351" s="64"/>
      <c r="B1351" s="8"/>
      <c r="C1351" s="7" t="s">
        <v>696</v>
      </c>
      <c r="D1351" s="15" t="s">
        <v>54</v>
      </c>
      <c r="E1351" s="9">
        <v>237500</v>
      </c>
      <c r="F1351" s="9">
        <v>228737</v>
      </c>
      <c r="G1351" s="8"/>
      <c r="H1351" s="9">
        <f t="shared" si="726"/>
        <v>228737</v>
      </c>
      <c r="I1351" s="8"/>
      <c r="J1351" s="9">
        <f t="shared" si="727"/>
        <v>228737</v>
      </c>
      <c r="K1351" s="8"/>
      <c r="L1351" s="8"/>
      <c r="M1351" s="9">
        <f t="shared" si="736"/>
        <v>228737</v>
      </c>
      <c r="N1351" s="8"/>
      <c r="O1351" s="9"/>
      <c r="P1351" s="9">
        <f t="shared" si="737"/>
        <v>0</v>
      </c>
      <c r="Q1351" s="9">
        <f t="shared" si="728"/>
        <v>237500</v>
      </c>
      <c r="R1351" s="17"/>
      <c r="S1351" s="17"/>
      <c r="T1351" s="17"/>
      <c r="U1351" s="9">
        <f t="shared" si="729"/>
        <v>0</v>
      </c>
      <c r="V1351" s="9">
        <f t="shared" si="730"/>
        <v>228737</v>
      </c>
      <c r="W1351" s="9">
        <f t="shared" si="731"/>
        <v>8763</v>
      </c>
      <c r="X1351" s="9">
        <f t="shared" si="732"/>
        <v>228737</v>
      </c>
      <c r="Y1351" s="8"/>
      <c r="Z1351" s="9">
        <f t="shared" si="733"/>
        <v>8763</v>
      </c>
      <c r="AA1351" s="8">
        <f t="shared" si="734"/>
        <v>228737</v>
      </c>
      <c r="AB1351" s="8">
        <f t="shared" si="735"/>
        <v>8763</v>
      </c>
    </row>
    <row r="1352" spans="1:28" x14ac:dyDescent="0.3">
      <c r="A1352" s="64"/>
      <c r="B1352" s="8"/>
      <c r="C1352" s="7" t="s">
        <v>714</v>
      </c>
      <c r="D1352" s="15" t="s">
        <v>85</v>
      </c>
      <c r="E1352" s="9">
        <v>2400000</v>
      </c>
      <c r="F1352" s="9">
        <v>2138377</v>
      </c>
      <c r="G1352" s="8"/>
      <c r="H1352" s="9">
        <f t="shared" si="726"/>
        <v>2138377</v>
      </c>
      <c r="I1352" s="8"/>
      <c r="J1352" s="9">
        <f t="shared" si="727"/>
        <v>2138377</v>
      </c>
      <c r="K1352" s="8"/>
      <c r="L1352" s="8"/>
      <c r="M1352" s="9">
        <f t="shared" si="736"/>
        <v>2138377</v>
      </c>
      <c r="N1352" s="8"/>
      <c r="O1352" s="9"/>
      <c r="P1352" s="9">
        <f t="shared" si="737"/>
        <v>0</v>
      </c>
      <c r="Q1352" s="9">
        <f t="shared" si="728"/>
        <v>2400000</v>
      </c>
      <c r="R1352" s="17"/>
      <c r="S1352" s="17"/>
      <c r="T1352" s="17"/>
      <c r="U1352" s="9">
        <f t="shared" si="729"/>
        <v>0</v>
      </c>
      <c r="V1352" s="9">
        <f t="shared" si="730"/>
        <v>2138377</v>
      </c>
      <c r="W1352" s="9">
        <f t="shared" si="731"/>
        <v>261623</v>
      </c>
      <c r="X1352" s="9">
        <f t="shared" si="732"/>
        <v>2138377</v>
      </c>
      <c r="Y1352" s="8"/>
      <c r="Z1352" s="9">
        <f t="shared" si="733"/>
        <v>261623</v>
      </c>
      <c r="AA1352" s="8">
        <f t="shared" si="734"/>
        <v>2138377</v>
      </c>
      <c r="AB1352" s="8">
        <f t="shared" si="735"/>
        <v>261623</v>
      </c>
    </row>
    <row r="1353" spans="1:28" x14ac:dyDescent="0.3">
      <c r="A1353" s="64"/>
      <c r="B1353" s="8"/>
      <c r="C1353" s="7" t="s">
        <v>671</v>
      </c>
      <c r="D1353" s="15" t="s">
        <v>85</v>
      </c>
      <c r="E1353" s="9">
        <v>42000</v>
      </c>
      <c r="F1353" s="8"/>
      <c r="G1353" s="8"/>
      <c r="H1353" s="9">
        <f t="shared" si="726"/>
        <v>0</v>
      </c>
      <c r="I1353" s="8"/>
      <c r="J1353" s="9">
        <f t="shared" si="727"/>
        <v>0</v>
      </c>
      <c r="K1353" s="8"/>
      <c r="L1353" s="8"/>
      <c r="M1353" s="9">
        <f t="shared" si="736"/>
        <v>0</v>
      </c>
      <c r="N1353" s="8"/>
      <c r="O1353" s="9"/>
      <c r="P1353" s="9">
        <f t="shared" si="737"/>
        <v>0</v>
      </c>
      <c r="Q1353" s="9">
        <f t="shared" si="728"/>
        <v>42000</v>
      </c>
      <c r="R1353" s="17"/>
      <c r="S1353" s="17"/>
      <c r="T1353" s="17"/>
      <c r="U1353" s="9">
        <f t="shared" si="729"/>
        <v>0</v>
      </c>
      <c r="V1353" s="9">
        <f t="shared" si="730"/>
        <v>0</v>
      </c>
      <c r="W1353" s="9">
        <f t="shared" si="731"/>
        <v>42000</v>
      </c>
      <c r="X1353" s="9">
        <f t="shared" si="732"/>
        <v>0</v>
      </c>
      <c r="Y1353" s="8"/>
      <c r="Z1353" s="9">
        <f t="shared" si="733"/>
        <v>42000</v>
      </c>
      <c r="AA1353" s="8">
        <f t="shared" si="734"/>
        <v>0</v>
      </c>
      <c r="AB1353" s="8">
        <f t="shared" si="735"/>
        <v>42000</v>
      </c>
    </row>
    <row r="1354" spans="1:28" x14ac:dyDescent="0.3">
      <c r="A1354" s="64"/>
      <c r="B1354" s="8"/>
      <c r="C1354" s="7" t="s">
        <v>535</v>
      </c>
      <c r="D1354" s="15" t="s">
        <v>88</v>
      </c>
      <c r="E1354" s="9">
        <f>1519316.22+1126192.15+1490000</f>
        <v>4135508.37</v>
      </c>
      <c r="F1354" s="9">
        <v>4135508.37</v>
      </c>
      <c r="G1354" s="8"/>
      <c r="H1354" s="9">
        <f t="shared" si="726"/>
        <v>4135508.37</v>
      </c>
      <c r="I1354" s="8"/>
      <c r="J1354" s="9">
        <f t="shared" si="727"/>
        <v>4135508.37</v>
      </c>
      <c r="K1354" s="8"/>
      <c r="L1354" s="8"/>
      <c r="M1354" s="9">
        <f t="shared" si="736"/>
        <v>4135508.37</v>
      </c>
      <c r="N1354" s="8"/>
      <c r="O1354" s="9"/>
      <c r="P1354" s="9">
        <f t="shared" si="737"/>
        <v>0</v>
      </c>
      <c r="Q1354" s="9">
        <f t="shared" si="728"/>
        <v>4135508.37</v>
      </c>
      <c r="R1354" s="17"/>
      <c r="S1354" s="17"/>
      <c r="T1354" s="17"/>
      <c r="U1354" s="9">
        <f t="shared" si="729"/>
        <v>0</v>
      </c>
      <c r="V1354" s="9">
        <f t="shared" si="730"/>
        <v>4135508.37</v>
      </c>
      <c r="W1354" s="9">
        <f t="shared" si="731"/>
        <v>0</v>
      </c>
      <c r="X1354" s="9">
        <f t="shared" si="732"/>
        <v>4135508.37</v>
      </c>
      <c r="Y1354" s="8"/>
      <c r="Z1354" s="9">
        <f t="shared" si="733"/>
        <v>0</v>
      </c>
      <c r="AA1354" s="8">
        <f t="shared" si="734"/>
        <v>4135508.37</v>
      </c>
      <c r="AB1354" s="8">
        <f t="shared" si="735"/>
        <v>0</v>
      </c>
    </row>
    <row r="1355" spans="1:28" x14ac:dyDescent="0.3">
      <c r="A1355" s="64"/>
      <c r="B1355" s="8"/>
      <c r="C1355" s="7" t="s">
        <v>715</v>
      </c>
      <c r="D1355" s="15" t="s">
        <v>108</v>
      </c>
      <c r="E1355" s="9">
        <v>2208088.31</v>
      </c>
      <c r="F1355" s="9">
        <v>2208088.31</v>
      </c>
      <c r="G1355" s="8"/>
      <c r="H1355" s="9">
        <f t="shared" si="726"/>
        <v>2208088.31</v>
      </c>
      <c r="I1355" s="8"/>
      <c r="J1355" s="9">
        <f t="shared" si="727"/>
        <v>2208088.31</v>
      </c>
      <c r="K1355" s="8"/>
      <c r="L1355" s="8"/>
      <c r="M1355" s="9">
        <f t="shared" si="736"/>
        <v>2208088.31</v>
      </c>
      <c r="N1355" s="8"/>
      <c r="O1355" s="9"/>
      <c r="P1355" s="9">
        <f t="shared" si="737"/>
        <v>0</v>
      </c>
      <c r="Q1355" s="9">
        <f t="shared" si="728"/>
        <v>2208088.31</v>
      </c>
      <c r="R1355" s="17"/>
      <c r="S1355" s="17"/>
      <c r="T1355" s="17"/>
      <c r="U1355" s="9">
        <f t="shared" si="729"/>
        <v>0</v>
      </c>
      <c r="V1355" s="9">
        <f t="shared" si="730"/>
        <v>2208088.31</v>
      </c>
      <c r="W1355" s="9">
        <f t="shared" si="731"/>
        <v>0</v>
      </c>
      <c r="X1355" s="9">
        <f t="shared" si="732"/>
        <v>2208088.31</v>
      </c>
      <c r="Y1355" s="8"/>
      <c r="Z1355" s="9">
        <f t="shared" si="733"/>
        <v>0</v>
      </c>
      <c r="AA1355" s="8">
        <f t="shared" si="734"/>
        <v>2208088.31</v>
      </c>
      <c r="AB1355" s="8">
        <f t="shared" si="735"/>
        <v>0</v>
      </c>
    </row>
    <row r="1356" spans="1:28" x14ac:dyDescent="0.3">
      <c r="A1356" s="64"/>
      <c r="B1356" s="8"/>
      <c r="C1356" s="7" t="s">
        <v>715</v>
      </c>
      <c r="D1356" s="15" t="s">
        <v>58</v>
      </c>
      <c r="E1356" s="9">
        <v>1944431</v>
      </c>
      <c r="F1356" s="9">
        <v>1944431</v>
      </c>
      <c r="G1356" s="8"/>
      <c r="H1356" s="9">
        <f t="shared" si="726"/>
        <v>1944431</v>
      </c>
      <c r="I1356" s="8"/>
      <c r="J1356" s="9">
        <f t="shared" si="727"/>
        <v>1944431</v>
      </c>
      <c r="K1356" s="8"/>
      <c r="L1356" s="8"/>
      <c r="M1356" s="9">
        <f t="shared" si="736"/>
        <v>1944431</v>
      </c>
      <c r="N1356" s="8"/>
      <c r="O1356" s="9"/>
      <c r="P1356" s="9">
        <f t="shared" si="737"/>
        <v>0</v>
      </c>
      <c r="Q1356" s="9">
        <f t="shared" si="728"/>
        <v>1944431</v>
      </c>
      <c r="R1356" s="17"/>
      <c r="S1356" s="17"/>
      <c r="T1356" s="17"/>
      <c r="U1356" s="9">
        <f t="shared" si="729"/>
        <v>0</v>
      </c>
      <c r="V1356" s="9">
        <f t="shared" si="730"/>
        <v>1944431</v>
      </c>
      <c r="W1356" s="9">
        <f t="shared" si="731"/>
        <v>0</v>
      </c>
      <c r="X1356" s="9">
        <f t="shared" si="732"/>
        <v>1944431</v>
      </c>
      <c r="Y1356" s="8"/>
      <c r="Z1356" s="9">
        <f t="shared" si="733"/>
        <v>0</v>
      </c>
      <c r="AA1356" s="8">
        <f t="shared" si="734"/>
        <v>1944431</v>
      </c>
      <c r="AB1356" s="8">
        <f t="shared" si="735"/>
        <v>0</v>
      </c>
    </row>
    <row r="1357" spans="1:28" x14ac:dyDescent="0.3">
      <c r="A1357" s="64"/>
      <c r="B1357" s="8"/>
      <c r="C1357" s="7" t="s">
        <v>535</v>
      </c>
      <c r="D1357" s="15" t="s">
        <v>58</v>
      </c>
      <c r="E1357" s="9">
        <f>2500000+2053867+1062015.02+1000000</f>
        <v>6615882.0199999996</v>
      </c>
      <c r="F1357" s="9">
        <v>6615882.0199999996</v>
      </c>
      <c r="G1357" s="8"/>
      <c r="H1357" s="9">
        <f t="shared" si="726"/>
        <v>6615882.0199999996</v>
      </c>
      <c r="I1357" s="8"/>
      <c r="J1357" s="9">
        <f t="shared" si="727"/>
        <v>6615882.0199999996</v>
      </c>
      <c r="K1357" s="8"/>
      <c r="L1357" s="8"/>
      <c r="M1357" s="9">
        <f t="shared" si="736"/>
        <v>6615882.0199999996</v>
      </c>
      <c r="N1357" s="8"/>
      <c r="O1357" s="9"/>
      <c r="P1357" s="9">
        <f t="shared" si="737"/>
        <v>0</v>
      </c>
      <c r="Q1357" s="9">
        <f t="shared" si="728"/>
        <v>6615882.0199999996</v>
      </c>
      <c r="R1357" s="17"/>
      <c r="S1357" s="17"/>
      <c r="T1357" s="17"/>
      <c r="U1357" s="9">
        <f t="shared" si="729"/>
        <v>0</v>
      </c>
      <c r="V1357" s="9">
        <f t="shared" si="730"/>
        <v>6615882.0199999996</v>
      </c>
      <c r="W1357" s="9">
        <f t="shared" si="731"/>
        <v>0</v>
      </c>
      <c r="X1357" s="9">
        <f t="shared" si="732"/>
        <v>6615882.0199999996</v>
      </c>
      <c r="Y1357" s="8"/>
      <c r="Z1357" s="9">
        <f t="shared" si="733"/>
        <v>0</v>
      </c>
      <c r="AA1357" s="8">
        <f t="shared" si="734"/>
        <v>6615882.0199999996</v>
      </c>
      <c r="AB1357" s="8">
        <f t="shared" si="735"/>
        <v>0</v>
      </c>
    </row>
    <row r="1358" spans="1:28" x14ac:dyDescent="0.3">
      <c r="A1358" s="64"/>
      <c r="B1358" s="8"/>
      <c r="C1358" s="7" t="s">
        <v>535</v>
      </c>
      <c r="D1358" s="15" t="s">
        <v>60</v>
      </c>
      <c r="E1358" s="9">
        <f>401051.23+2227266+939985+517038+637500</f>
        <v>4722840.2300000004</v>
      </c>
      <c r="F1358" s="9">
        <f>401051.23+2227266+1457023+637500</f>
        <v>4722840.2300000004</v>
      </c>
      <c r="G1358" s="9"/>
      <c r="H1358" s="9">
        <f t="shared" si="726"/>
        <v>4722840.2300000004</v>
      </c>
      <c r="I1358" s="9"/>
      <c r="J1358" s="9">
        <f t="shared" si="727"/>
        <v>4722840.2300000004</v>
      </c>
      <c r="K1358" s="8"/>
      <c r="L1358" s="8"/>
      <c r="M1358" s="9">
        <f t="shared" si="736"/>
        <v>4722840.2300000004</v>
      </c>
      <c r="N1358" s="8"/>
      <c r="O1358" s="9"/>
      <c r="P1358" s="9">
        <f t="shared" si="737"/>
        <v>0</v>
      </c>
      <c r="Q1358" s="9">
        <f t="shared" si="728"/>
        <v>4722840.2300000004</v>
      </c>
      <c r="R1358" s="17"/>
      <c r="S1358" s="17"/>
      <c r="T1358" s="17"/>
      <c r="U1358" s="9">
        <f t="shared" si="729"/>
        <v>0</v>
      </c>
      <c r="V1358" s="9">
        <f t="shared" si="730"/>
        <v>4722840.2300000004</v>
      </c>
      <c r="W1358" s="9">
        <f t="shared" si="731"/>
        <v>0</v>
      </c>
      <c r="X1358" s="9">
        <f t="shared" si="732"/>
        <v>4722840.2300000004</v>
      </c>
      <c r="Y1358" s="8"/>
      <c r="Z1358" s="9">
        <f t="shared" si="733"/>
        <v>0</v>
      </c>
      <c r="AA1358" s="8">
        <f t="shared" si="734"/>
        <v>4722840.2300000004</v>
      </c>
      <c r="AB1358" s="8">
        <f t="shared" si="735"/>
        <v>0</v>
      </c>
    </row>
    <row r="1359" spans="1:28" x14ac:dyDescent="0.3">
      <c r="A1359" s="64"/>
      <c r="B1359" s="8"/>
      <c r="C1359" s="7" t="s">
        <v>716</v>
      </c>
      <c r="D1359" s="21" t="s">
        <v>60</v>
      </c>
      <c r="E1359" s="9">
        <v>212175</v>
      </c>
      <c r="F1359" s="9">
        <v>212175</v>
      </c>
      <c r="G1359" s="8"/>
      <c r="H1359" s="9">
        <f t="shared" si="726"/>
        <v>212175</v>
      </c>
      <c r="I1359" s="8"/>
      <c r="J1359" s="9">
        <f t="shared" si="727"/>
        <v>212175</v>
      </c>
      <c r="K1359" s="8"/>
      <c r="L1359" s="8"/>
      <c r="M1359" s="9">
        <f t="shared" si="736"/>
        <v>212175</v>
      </c>
      <c r="N1359" s="8"/>
      <c r="O1359" s="9"/>
      <c r="P1359" s="9">
        <f t="shared" si="737"/>
        <v>0</v>
      </c>
      <c r="Q1359" s="9">
        <f t="shared" si="728"/>
        <v>212175</v>
      </c>
      <c r="R1359" s="17"/>
      <c r="S1359" s="17"/>
      <c r="T1359" s="17"/>
      <c r="U1359" s="9">
        <f t="shared" si="729"/>
        <v>0</v>
      </c>
      <c r="V1359" s="9">
        <f t="shared" si="730"/>
        <v>212175</v>
      </c>
      <c r="W1359" s="9">
        <f t="shared" si="731"/>
        <v>0</v>
      </c>
      <c r="X1359" s="9">
        <f t="shared" si="732"/>
        <v>212175</v>
      </c>
      <c r="Y1359" s="8"/>
      <c r="Z1359" s="9">
        <f t="shared" si="733"/>
        <v>0</v>
      </c>
      <c r="AA1359" s="8">
        <f t="shared" si="734"/>
        <v>212175</v>
      </c>
      <c r="AB1359" s="8">
        <f t="shared" si="735"/>
        <v>0</v>
      </c>
    </row>
    <row r="1360" spans="1:28" x14ac:dyDescent="0.3">
      <c r="A1360" s="64"/>
      <c r="B1360" s="8"/>
      <c r="C1360" s="7" t="s">
        <v>535</v>
      </c>
      <c r="D1360" s="21" t="s">
        <v>73</v>
      </c>
      <c r="E1360" s="9">
        <f>2606328+1865000</f>
        <v>4471328</v>
      </c>
      <c r="F1360" s="9">
        <f>2606328+1865000</f>
        <v>4471328</v>
      </c>
      <c r="G1360" s="8"/>
      <c r="H1360" s="9">
        <f t="shared" si="726"/>
        <v>4471328</v>
      </c>
      <c r="I1360" s="8"/>
      <c r="J1360" s="9">
        <f t="shared" si="727"/>
        <v>4471328</v>
      </c>
      <c r="K1360" s="8"/>
      <c r="L1360" s="8"/>
      <c r="M1360" s="9">
        <f t="shared" si="736"/>
        <v>4471328</v>
      </c>
      <c r="N1360" s="8"/>
      <c r="O1360" s="9"/>
      <c r="P1360" s="9">
        <f t="shared" si="737"/>
        <v>0</v>
      </c>
      <c r="Q1360" s="9">
        <f t="shared" si="728"/>
        <v>4471328</v>
      </c>
      <c r="R1360" s="17"/>
      <c r="S1360" s="17"/>
      <c r="T1360" s="17"/>
      <c r="U1360" s="9">
        <f t="shared" si="729"/>
        <v>0</v>
      </c>
      <c r="V1360" s="9">
        <f t="shared" si="730"/>
        <v>4471328</v>
      </c>
      <c r="W1360" s="9">
        <f t="shared" si="731"/>
        <v>0</v>
      </c>
      <c r="X1360" s="9">
        <f t="shared" si="732"/>
        <v>4471328</v>
      </c>
      <c r="Y1360" s="8"/>
      <c r="Z1360" s="9">
        <f t="shared" si="733"/>
        <v>0</v>
      </c>
      <c r="AA1360" s="8">
        <f t="shared" si="734"/>
        <v>4471328</v>
      </c>
      <c r="AB1360" s="8">
        <f t="shared" si="735"/>
        <v>0</v>
      </c>
    </row>
    <row r="1361" spans="1:28" x14ac:dyDescent="0.3">
      <c r="A1361" s="64"/>
      <c r="B1361" s="8"/>
      <c r="C1361" s="7" t="s">
        <v>535</v>
      </c>
      <c r="D1361" s="21" t="s">
        <v>61</v>
      </c>
      <c r="E1361" s="11">
        <f>2889204.23+461209.83+202302.71</f>
        <v>3552716.77</v>
      </c>
      <c r="F1361" s="11">
        <f>2889204.23+461209.83+202302.71</f>
        <v>3552716.77</v>
      </c>
      <c r="G1361" s="8"/>
      <c r="H1361" s="9">
        <f t="shared" si="726"/>
        <v>3552716.77</v>
      </c>
      <c r="I1361" s="8"/>
      <c r="J1361" s="9">
        <f t="shared" si="727"/>
        <v>3552716.77</v>
      </c>
      <c r="K1361" s="8"/>
      <c r="L1361" s="8"/>
      <c r="M1361" s="9">
        <f t="shared" si="736"/>
        <v>3552716.77</v>
      </c>
      <c r="N1361" s="8"/>
      <c r="O1361" s="9"/>
      <c r="P1361" s="9">
        <f t="shared" si="737"/>
        <v>0</v>
      </c>
      <c r="Q1361" s="9">
        <f t="shared" si="728"/>
        <v>3552716.77</v>
      </c>
      <c r="R1361" s="17"/>
      <c r="S1361" s="17"/>
      <c r="T1361" s="17"/>
      <c r="U1361" s="9">
        <f t="shared" si="729"/>
        <v>0</v>
      </c>
      <c r="V1361" s="9">
        <f t="shared" si="730"/>
        <v>3552716.77</v>
      </c>
      <c r="W1361" s="9">
        <f t="shared" si="731"/>
        <v>0</v>
      </c>
      <c r="X1361" s="9">
        <f t="shared" si="732"/>
        <v>3552716.77</v>
      </c>
      <c r="Y1361" s="8"/>
      <c r="Z1361" s="9">
        <f t="shared" si="733"/>
        <v>0</v>
      </c>
      <c r="AA1361" s="8">
        <f t="shared" si="734"/>
        <v>3552716.77</v>
      </c>
      <c r="AB1361" s="8">
        <f t="shared" si="735"/>
        <v>0</v>
      </c>
    </row>
    <row r="1362" spans="1:28" x14ac:dyDescent="0.3">
      <c r="A1362" s="64"/>
      <c r="B1362" s="8"/>
      <c r="C1362" s="7" t="s">
        <v>1178</v>
      </c>
      <c r="D1362" s="24" t="s">
        <v>1126</v>
      </c>
      <c r="E1362" s="11">
        <v>500000</v>
      </c>
      <c r="F1362" s="8">
        <v>500000</v>
      </c>
      <c r="G1362" s="8"/>
      <c r="H1362" s="9">
        <f>+F1362+G1362</f>
        <v>500000</v>
      </c>
      <c r="I1362" s="8"/>
      <c r="J1362" s="9">
        <f t="shared" si="727"/>
        <v>500000</v>
      </c>
      <c r="K1362" s="8"/>
      <c r="L1362" s="8"/>
      <c r="M1362" s="9">
        <f t="shared" si="736"/>
        <v>500000</v>
      </c>
      <c r="N1362" s="8"/>
      <c r="O1362" s="9"/>
      <c r="P1362" s="9">
        <f>+N1362+O1362</f>
        <v>0</v>
      </c>
      <c r="Q1362" s="9"/>
      <c r="R1362" s="17"/>
      <c r="S1362" s="17"/>
      <c r="T1362" s="17"/>
      <c r="U1362" s="9">
        <f t="shared" si="729"/>
        <v>0</v>
      </c>
      <c r="V1362" s="9">
        <f t="shared" si="730"/>
        <v>500000</v>
      </c>
      <c r="W1362" s="9"/>
      <c r="X1362" s="9">
        <f t="shared" si="732"/>
        <v>500000</v>
      </c>
      <c r="Y1362" s="8"/>
      <c r="Z1362" s="9">
        <f t="shared" si="733"/>
        <v>0</v>
      </c>
      <c r="AA1362" s="8">
        <f t="shared" si="734"/>
        <v>500000</v>
      </c>
      <c r="AB1362" s="8">
        <f t="shared" si="735"/>
        <v>0</v>
      </c>
    </row>
    <row r="1363" spans="1:28" x14ac:dyDescent="0.3">
      <c r="A1363" s="64"/>
      <c r="B1363" s="8"/>
      <c r="C1363" s="7" t="s">
        <v>1180</v>
      </c>
      <c r="D1363" s="24" t="s">
        <v>1126</v>
      </c>
      <c r="E1363" s="11">
        <v>283381.99</v>
      </c>
      <c r="F1363" s="8">
        <v>283381.99</v>
      </c>
      <c r="G1363" s="8"/>
      <c r="H1363" s="9">
        <f>+F1363+G1363</f>
        <v>283381.99</v>
      </c>
      <c r="I1363" s="8"/>
      <c r="J1363" s="9">
        <f t="shared" si="727"/>
        <v>283381.99</v>
      </c>
      <c r="K1363" s="8"/>
      <c r="L1363" s="8"/>
      <c r="M1363" s="9">
        <f t="shared" si="736"/>
        <v>283381.99</v>
      </c>
      <c r="N1363" s="8"/>
      <c r="O1363" s="9"/>
      <c r="P1363" s="9">
        <f>+N1363+O1363</f>
        <v>0</v>
      </c>
      <c r="Q1363" s="9"/>
      <c r="R1363" s="17"/>
      <c r="S1363" s="17"/>
      <c r="T1363" s="17"/>
      <c r="U1363" s="9">
        <f t="shared" si="729"/>
        <v>0</v>
      </c>
      <c r="V1363" s="9">
        <f t="shared" si="730"/>
        <v>283381.99</v>
      </c>
      <c r="W1363" s="9"/>
      <c r="X1363" s="9">
        <f t="shared" si="732"/>
        <v>283381.99</v>
      </c>
      <c r="Y1363" s="8"/>
      <c r="Z1363" s="9">
        <f t="shared" si="733"/>
        <v>0</v>
      </c>
      <c r="AA1363" s="8">
        <f t="shared" si="734"/>
        <v>283381.99</v>
      </c>
      <c r="AB1363" s="8">
        <f t="shared" si="735"/>
        <v>0</v>
      </c>
    </row>
    <row r="1364" spans="1:28" x14ac:dyDescent="0.3">
      <c r="A1364" s="64"/>
      <c r="B1364" s="8"/>
      <c r="C1364" s="7" t="s">
        <v>933</v>
      </c>
      <c r="D1364" s="24" t="s">
        <v>1072</v>
      </c>
      <c r="E1364" s="11">
        <v>982356.6</v>
      </c>
      <c r="F1364" s="8">
        <v>982356.6</v>
      </c>
      <c r="G1364" s="8"/>
      <c r="H1364" s="9">
        <f>+F1364+G1364</f>
        <v>982356.6</v>
      </c>
      <c r="I1364" s="8"/>
      <c r="J1364" s="9">
        <f t="shared" si="727"/>
        <v>982356.6</v>
      </c>
      <c r="K1364" s="8"/>
      <c r="L1364" s="8"/>
      <c r="M1364" s="9">
        <f t="shared" si="736"/>
        <v>982356.6</v>
      </c>
      <c r="N1364" s="8"/>
      <c r="O1364" s="9"/>
      <c r="P1364" s="9">
        <f>+N1364+O1364</f>
        <v>0</v>
      </c>
      <c r="Q1364" s="9"/>
      <c r="R1364" s="17"/>
      <c r="S1364" s="17"/>
      <c r="T1364" s="17"/>
      <c r="U1364" s="9">
        <f t="shared" si="729"/>
        <v>0</v>
      </c>
      <c r="V1364" s="9">
        <f t="shared" si="730"/>
        <v>982356.6</v>
      </c>
      <c r="W1364" s="9"/>
      <c r="X1364" s="9">
        <f t="shared" si="732"/>
        <v>982356.6</v>
      </c>
      <c r="Y1364" s="8"/>
      <c r="Z1364" s="9">
        <f t="shared" si="733"/>
        <v>0</v>
      </c>
      <c r="AA1364" s="8">
        <f t="shared" si="734"/>
        <v>982356.6</v>
      </c>
      <c r="AB1364" s="8">
        <f t="shared" si="735"/>
        <v>0</v>
      </c>
    </row>
    <row r="1365" spans="1:28" x14ac:dyDescent="0.3">
      <c r="A1365" s="64"/>
      <c r="B1365" s="8"/>
      <c r="C1365" s="7" t="s">
        <v>1177</v>
      </c>
      <c r="D1365" s="24" t="s">
        <v>1126</v>
      </c>
      <c r="E1365" s="11">
        <v>1000000</v>
      </c>
      <c r="F1365" s="8">
        <v>1000000</v>
      </c>
      <c r="G1365" s="8"/>
      <c r="H1365" s="9">
        <f>+F1365+G1365</f>
        <v>1000000</v>
      </c>
      <c r="I1365" s="8"/>
      <c r="J1365" s="9">
        <f t="shared" si="727"/>
        <v>1000000</v>
      </c>
      <c r="K1365" s="8"/>
      <c r="L1365" s="8"/>
      <c r="M1365" s="9">
        <f t="shared" si="736"/>
        <v>1000000</v>
      </c>
      <c r="N1365" s="8"/>
      <c r="O1365" s="9"/>
      <c r="P1365" s="9">
        <f>+N1365+O1365</f>
        <v>0</v>
      </c>
      <c r="Q1365" s="9"/>
      <c r="R1365" s="17"/>
      <c r="S1365" s="17"/>
      <c r="T1365" s="17"/>
      <c r="U1365" s="9">
        <f t="shared" si="729"/>
        <v>0</v>
      </c>
      <c r="V1365" s="9">
        <f t="shared" si="730"/>
        <v>1000000</v>
      </c>
      <c r="W1365" s="9"/>
      <c r="X1365" s="9">
        <f t="shared" si="732"/>
        <v>1000000</v>
      </c>
      <c r="Y1365" s="8"/>
      <c r="Z1365" s="9">
        <f t="shared" si="733"/>
        <v>0</v>
      </c>
      <c r="AA1365" s="8">
        <f t="shared" si="734"/>
        <v>1000000</v>
      </c>
      <c r="AB1365" s="8">
        <f t="shared" si="735"/>
        <v>0</v>
      </c>
    </row>
    <row r="1366" spans="1:28" x14ac:dyDescent="0.3">
      <c r="A1366" s="64"/>
      <c r="B1366" s="8"/>
      <c r="C1366" s="7" t="s">
        <v>1252</v>
      </c>
      <c r="D1366" s="24" t="s">
        <v>1225</v>
      </c>
      <c r="E1366" s="11">
        <v>500000</v>
      </c>
      <c r="F1366" s="8">
        <v>500000</v>
      </c>
      <c r="G1366" s="8"/>
      <c r="H1366" s="9">
        <f>+F1366+G1366</f>
        <v>500000</v>
      </c>
      <c r="I1366" s="8"/>
      <c r="J1366" s="9">
        <f t="shared" si="727"/>
        <v>500000</v>
      </c>
      <c r="K1366" s="8"/>
      <c r="L1366" s="8"/>
      <c r="M1366" s="9">
        <f t="shared" si="736"/>
        <v>500000</v>
      </c>
      <c r="N1366" s="8"/>
      <c r="O1366" s="9"/>
      <c r="P1366" s="9">
        <f>+N1366+O1366</f>
        <v>0</v>
      </c>
      <c r="Q1366" s="9"/>
      <c r="R1366" s="17"/>
      <c r="S1366" s="17"/>
      <c r="T1366" s="17"/>
      <c r="U1366" s="9">
        <f t="shared" si="729"/>
        <v>0</v>
      </c>
      <c r="V1366" s="9">
        <f t="shared" si="730"/>
        <v>500000</v>
      </c>
      <c r="W1366" s="9"/>
      <c r="X1366" s="9">
        <f t="shared" si="732"/>
        <v>500000</v>
      </c>
      <c r="Y1366" s="8"/>
      <c r="Z1366" s="9">
        <f t="shared" si="733"/>
        <v>0</v>
      </c>
      <c r="AA1366" s="8">
        <f t="shared" si="734"/>
        <v>500000</v>
      </c>
      <c r="AB1366" s="8">
        <f t="shared" si="735"/>
        <v>0</v>
      </c>
    </row>
    <row r="1367" spans="1:28" x14ac:dyDescent="0.3">
      <c r="A1367" s="64"/>
      <c r="B1367" s="8"/>
      <c r="C1367" s="7" t="s">
        <v>577</v>
      </c>
      <c r="D1367" s="8"/>
      <c r="E1367" s="9">
        <f>8191676.83+724923</f>
        <v>8916599.8300000001</v>
      </c>
      <c r="F1367" s="9">
        <f>8191676.83+724923</f>
        <v>8916599.8300000001</v>
      </c>
      <c r="G1367" s="8"/>
      <c r="H1367" s="9">
        <f t="shared" si="726"/>
        <v>8916599.8300000001</v>
      </c>
      <c r="I1367" s="8"/>
      <c r="J1367" s="9">
        <f t="shared" si="727"/>
        <v>8916599.8300000001</v>
      </c>
      <c r="K1367" s="8"/>
      <c r="L1367" s="8"/>
      <c r="M1367" s="9">
        <f t="shared" si="736"/>
        <v>8916599.8300000001</v>
      </c>
      <c r="N1367" s="8"/>
      <c r="O1367" s="9"/>
      <c r="P1367" s="9">
        <f t="shared" si="737"/>
        <v>0</v>
      </c>
      <c r="Q1367" s="9">
        <f t="shared" si="728"/>
        <v>8916599.8300000001</v>
      </c>
      <c r="R1367" s="17"/>
      <c r="S1367" s="17"/>
      <c r="T1367" s="17"/>
      <c r="U1367" s="9">
        <f t="shared" si="729"/>
        <v>0</v>
      </c>
      <c r="V1367" s="9">
        <f t="shared" si="730"/>
        <v>8916599.8300000001</v>
      </c>
      <c r="W1367" s="9">
        <f t="shared" si="731"/>
        <v>0</v>
      </c>
      <c r="X1367" s="9">
        <f t="shared" si="732"/>
        <v>8916599.8300000001</v>
      </c>
      <c r="Y1367" s="8"/>
      <c r="Z1367" s="9">
        <f t="shared" si="733"/>
        <v>0</v>
      </c>
      <c r="AA1367" s="8">
        <f t="shared" si="734"/>
        <v>8916599.8300000001</v>
      </c>
      <c r="AB1367" s="8">
        <f t="shared" si="735"/>
        <v>0</v>
      </c>
    </row>
    <row r="1368" spans="1:28" x14ac:dyDescent="0.3">
      <c r="A1368" s="64"/>
      <c r="B1368" s="8"/>
      <c r="C1368" s="7" t="s">
        <v>550</v>
      </c>
      <c r="D1368" s="8"/>
      <c r="E1368" s="9">
        <v>497399</v>
      </c>
      <c r="F1368" s="9">
        <v>497399</v>
      </c>
      <c r="G1368" s="8"/>
      <c r="H1368" s="9">
        <f t="shared" si="726"/>
        <v>497399</v>
      </c>
      <c r="I1368" s="8"/>
      <c r="J1368" s="9">
        <f t="shared" si="727"/>
        <v>497399</v>
      </c>
      <c r="K1368" s="8"/>
      <c r="L1368" s="8"/>
      <c r="M1368" s="9">
        <f t="shared" si="736"/>
        <v>497399</v>
      </c>
      <c r="N1368" s="8"/>
      <c r="O1368" s="9"/>
      <c r="P1368" s="9">
        <f t="shared" si="737"/>
        <v>0</v>
      </c>
      <c r="Q1368" s="9">
        <f t="shared" si="728"/>
        <v>497399</v>
      </c>
      <c r="R1368" s="17"/>
      <c r="S1368" s="17"/>
      <c r="T1368" s="17"/>
      <c r="U1368" s="9">
        <f t="shared" si="729"/>
        <v>0</v>
      </c>
      <c r="V1368" s="9">
        <f t="shared" si="730"/>
        <v>497399</v>
      </c>
      <c r="W1368" s="9">
        <f t="shared" si="731"/>
        <v>0</v>
      </c>
      <c r="X1368" s="9">
        <f t="shared" si="732"/>
        <v>497399</v>
      </c>
      <c r="Y1368" s="8"/>
      <c r="Z1368" s="9">
        <f t="shared" si="733"/>
        <v>0</v>
      </c>
      <c r="AA1368" s="8">
        <f t="shared" si="734"/>
        <v>497399</v>
      </c>
      <c r="AB1368" s="8">
        <f t="shared" si="735"/>
        <v>0</v>
      </c>
    </row>
    <row r="1369" spans="1:28" x14ac:dyDescent="0.3">
      <c r="A1369" s="64"/>
      <c r="B1369" s="8"/>
      <c r="C1369" s="7" t="s">
        <v>569</v>
      </c>
      <c r="D1369" s="8"/>
      <c r="E1369" s="9">
        <v>813511</v>
      </c>
      <c r="F1369" s="9">
        <v>813511</v>
      </c>
      <c r="G1369" s="8"/>
      <c r="H1369" s="9">
        <f t="shared" si="726"/>
        <v>813511</v>
      </c>
      <c r="I1369" s="8"/>
      <c r="J1369" s="9">
        <f t="shared" si="727"/>
        <v>813511</v>
      </c>
      <c r="K1369" s="8"/>
      <c r="L1369" s="8"/>
      <c r="M1369" s="9">
        <f t="shared" si="736"/>
        <v>813511</v>
      </c>
      <c r="N1369" s="8"/>
      <c r="O1369" s="9"/>
      <c r="P1369" s="9">
        <f t="shared" si="737"/>
        <v>0</v>
      </c>
      <c r="Q1369" s="9">
        <f t="shared" si="728"/>
        <v>813511</v>
      </c>
      <c r="R1369" s="17"/>
      <c r="S1369" s="17"/>
      <c r="T1369" s="17"/>
      <c r="U1369" s="9">
        <f t="shared" si="729"/>
        <v>0</v>
      </c>
      <c r="V1369" s="9">
        <f t="shared" si="730"/>
        <v>813511</v>
      </c>
      <c r="W1369" s="9">
        <f t="shared" si="731"/>
        <v>0</v>
      </c>
      <c r="X1369" s="9">
        <f t="shared" si="732"/>
        <v>813511</v>
      </c>
      <c r="Y1369" s="8"/>
      <c r="Z1369" s="9">
        <f t="shared" si="733"/>
        <v>0</v>
      </c>
      <c r="AA1369" s="8">
        <f t="shared" si="734"/>
        <v>813511</v>
      </c>
      <c r="AB1369" s="8">
        <f t="shared" si="735"/>
        <v>0</v>
      </c>
    </row>
    <row r="1370" spans="1:28" x14ac:dyDescent="0.3">
      <c r="A1370" s="64"/>
      <c r="B1370" s="8"/>
      <c r="C1370" s="7" t="s">
        <v>717</v>
      </c>
      <c r="D1370" s="8"/>
      <c r="E1370" s="9">
        <v>300000</v>
      </c>
      <c r="F1370" s="9">
        <v>300000</v>
      </c>
      <c r="G1370" s="8"/>
      <c r="H1370" s="9">
        <f t="shared" si="726"/>
        <v>300000</v>
      </c>
      <c r="I1370" s="8"/>
      <c r="J1370" s="9">
        <f t="shared" si="727"/>
        <v>300000</v>
      </c>
      <c r="K1370" s="8"/>
      <c r="L1370" s="8"/>
      <c r="M1370" s="9">
        <f t="shared" si="736"/>
        <v>300000</v>
      </c>
      <c r="N1370" s="8"/>
      <c r="O1370" s="9"/>
      <c r="P1370" s="9">
        <f t="shared" si="737"/>
        <v>0</v>
      </c>
      <c r="Q1370" s="9">
        <f t="shared" si="728"/>
        <v>300000</v>
      </c>
      <c r="R1370" s="17"/>
      <c r="S1370" s="17"/>
      <c r="T1370" s="17"/>
      <c r="U1370" s="9">
        <f t="shared" si="729"/>
        <v>0</v>
      </c>
      <c r="V1370" s="9">
        <f t="shared" si="730"/>
        <v>300000</v>
      </c>
      <c r="W1370" s="9">
        <f t="shared" si="731"/>
        <v>0</v>
      </c>
      <c r="X1370" s="9">
        <f t="shared" si="732"/>
        <v>300000</v>
      </c>
      <c r="Y1370" s="8"/>
      <c r="Z1370" s="9">
        <f t="shared" si="733"/>
        <v>0</v>
      </c>
      <c r="AA1370" s="8">
        <f t="shared" si="734"/>
        <v>300000</v>
      </c>
      <c r="AB1370" s="8">
        <f t="shared" si="735"/>
        <v>0</v>
      </c>
    </row>
    <row r="1371" spans="1:28" x14ac:dyDescent="0.3">
      <c r="A1371" s="64"/>
      <c r="B1371" s="8"/>
      <c r="C1371" s="7" t="s">
        <v>718</v>
      </c>
      <c r="D1371" s="8"/>
      <c r="E1371" s="9">
        <v>500000</v>
      </c>
      <c r="F1371" s="9">
        <v>497436</v>
      </c>
      <c r="G1371" s="8"/>
      <c r="H1371" s="9">
        <f t="shared" si="726"/>
        <v>497436</v>
      </c>
      <c r="I1371" s="8"/>
      <c r="J1371" s="9">
        <f t="shared" si="727"/>
        <v>497436</v>
      </c>
      <c r="K1371" s="8"/>
      <c r="L1371" s="8"/>
      <c r="M1371" s="9">
        <f t="shared" si="736"/>
        <v>497436</v>
      </c>
      <c r="N1371" s="8"/>
      <c r="O1371" s="9"/>
      <c r="P1371" s="9">
        <f t="shared" si="737"/>
        <v>0</v>
      </c>
      <c r="Q1371" s="9">
        <f t="shared" si="728"/>
        <v>500000</v>
      </c>
      <c r="R1371" s="17"/>
      <c r="S1371" s="17"/>
      <c r="T1371" s="17"/>
      <c r="U1371" s="9">
        <f t="shared" si="729"/>
        <v>0</v>
      </c>
      <c r="V1371" s="9">
        <f t="shared" si="730"/>
        <v>497436</v>
      </c>
      <c r="W1371" s="9">
        <f t="shared" si="731"/>
        <v>2564</v>
      </c>
      <c r="X1371" s="9">
        <f t="shared" si="732"/>
        <v>497436</v>
      </c>
      <c r="Y1371" s="8"/>
      <c r="Z1371" s="9">
        <f t="shared" si="733"/>
        <v>2564</v>
      </c>
      <c r="AA1371" s="8">
        <f t="shared" si="734"/>
        <v>497436</v>
      </c>
      <c r="AB1371" s="8">
        <f t="shared" si="735"/>
        <v>2564</v>
      </c>
    </row>
    <row r="1372" spans="1:28" x14ac:dyDescent="0.3">
      <c r="A1372" s="64"/>
      <c r="B1372" s="8"/>
      <c r="C1372" s="7" t="s">
        <v>702</v>
      </c>
      <c r="D1372" s="8"/>
      <c r="E1372" s="9">
        <v>300000</v>
      </c>
      <c r="F1372" s="8"/>
      <c r="G1372" s="8"/>
      <c r="H1372" s="9">
        <f t="shared" si="726"/>
        <v>0</v>
      </c>
      <c r="I1372" s="8"/>
      <c r="J1372" s="9">
        <f t="shared" si="727"/>
        <v>0</v>
      </c>
      <c r="K1372" s="9">
        <v>300000</v>
      </c>
      <c r="L1372" s="8"/>
      <c r="M1372" s="9">
        <f t="shared" si="736"/>
        <v>0</v>
      </c>
      <c r="N1372" s="8">
        <v>300000</v>
      </c>
      <c r="O1372" s="9"/>
      <c r="P1372" s="9">
        <f t="shared" si="737"/>
        <v>300000</v>
      </c>
      <c r="Q1372" s="9">
        <f t="shared" si="728"/>
        <v>0</v>
      </c>
      <c r="R1372" s="17"/>
      <c r="S1372" s="17"/>
      <c r="T1372" s="17"/>
      <c r="U1372" s="9">
        <f t="shared" si="729"/>
        <v>300000</v>
      </c>
      <c r="V1372" s="9">
        <f t="shared" si="730"/>
        <v>300000</v>
      </c>
      <c r="W1372" s="9">
        <f t="shared" si="731"/>
        <v>0</v>
      </c>
      <c r="X1372" s="9">
        <f t="shared" si="732"/>
        <v>300000</v>
      </c>
      <c r="Y1372" s="8"/>
      <c r="Z1372" s="9">
        <f t="shared" si="733"/>
        <v>0</v>
      </c>
      <c r="AA1372" s="8">
        <f t="shared" si="734"/>
        <v>300000</v>
      </c>
      <c r="AB1372" s="8">
        <f t="shared" si="735"/>
        <v>0</v>
      </c>
    </row>
    <row r="1373" spans="1:28" x14ac:dyDescent="0.3">
      <c r="A1373" s="64"/>
      <c r="B1373" s="8"/>
      <c r="C1373" s="7" t="s">
        <v>551</v>
      </c>
      <c r="D1373" s="8"/>
      <c r="E1373" s="9">
        <v>387148.15</v>
      </c>
      <c r="F1373" s="9">
        <v>387148.15</v>
      </c>
      <c r="G1373" s="8"/>
      <c r="H1373" s="9">
        <f t="shared" si="726"/>
        <v>387148.15</v>
      </c>
      <c r="I1373" s="8"/>
      <c r="J1373" s="9">
        <f t="shared" si="727"/>
        <v>387148.15</v>
      </c>
      <c r="K1373" s="8"/>
      <c r="L1373" s="8"/>
      <c r="M1373" s="9">
        <f t="shared" si="736"/>
        <v>387148.15</v>
      </c>
      <c r="N1373" s="8"/>
      <c r="O1373" s="9"/>
      <c r="P1373" s="9">
        <f t="shared" si="737"/>
        <v>0</v>
      </c>
      <c r="Q1373" s="9">
        <f t="shared" si="728"/>
        <v>387148.15</v>
      </c>
      <c r="R1373" s="17"/>
      <c r="S1373" s="17"/>
      <c r="T1373" s="17"/>
      <c r="U1373" s="9">
        <f t="shared" si="729"/>
        <v>0</v>
      </c>
      <c r="V1373" s="9">
        <f t="shared" si="730"/>
        <v>387148.15</v>
      </c>
      <c r="W1373" s="9">
        <f t="shared" si="731"/>
        <v>0</v>
      </c>
      <c r="X1373" s="9">
        <f t="shared" si="732"/>
        <v>387148.15</v>
      </c>
      <c r="Y1373" s="8"/>
      <c r="Z1373" s="9">
        <f t="shared" si="733"/>
        <v>0</v>
      </c>
      <c r="AA1373" s="8">
        <f t="shared" si="734"/>
        <v>387148.15</v>
      </c>
      <c r="AB1373" s="8">
        <f t="shared" si="735"/>
        <v>0</v>
      </c>
    </row>
    <row r="1374" spans="1:28" x14ac:dyDescent="0.3">
      <c r="A1374" s="64"/>
      <c r="B1374" s="8"/>
      <c r="C1374" s="7" t="s">
        <v>678</v>
      </c>
      <c r="D1374" s="8"/>
      <c r="E1374" s="9">
        <f>2500000+2500000</f>
        <v>5000000</v>
      </c>
      <c r="F1374" s="9">
        <v>5000000</v>
      </c>
      <c r="G1374" s="8"/>
      <c r="H1374" s="9">
        <f t="shared" si="726"/>
        <v>5000000</v>
      </c>
      <c r="I1374" s="8"/>
      <c r="J1374" s="9">
        <f t="shared" si="727"/>
        <v>5000000</v>
      </c>
      <c r="K1374" s="8"/>
      <c r="L1374" s="8"/>
      <c r="M1374" s="9">
        <f t="shared" si="736"/>
        <v>5000000</v>
      </c>
      <c r="N1374" s="8"/>
      <c r="O1374" s="9"/>
      <c r="P1374" s="9">
        <f t="shared" si="737"/>
        <v>0</v>
      </c>
      <c r="Q1374" s="9">
        <f t="shared" si="728"/>
        <v>5000000</v>
      </c>
      <c r="R1374" s="17"/>
      <c r="S1374" s="17"/>
      <c r="T1374" s="17"/>
      <c r="U1374" s="9">
        <f t="shared" si="729"/>
        <v>0</v>
      </c>
      <c r="V1374" s="9">
        <f t="shared" si="730"/>
        <v>5000000</v>
      </c>
      <c r="W1374" s="9">
        <f t="shared" si="731"/>
        <v>0</v>
      </c>
      <c r="X1374" s="9">
        <f t="shared" si="732"/>
        <v>5000000</v>
      </c>
      <c r="Y1374" s="8"/>
      <c r="Z1374" s="9">
        <f t="shared" si="733"/>
        <v>0</v>
      </c>
      <c r="AA1374" s="8">
        <f t="shared" si="734"/>
        <v>5000000</v>
      </c>
      <c r="AB1374" s="8">
        <f t="shared" si="735"/>
        <v>0</v>
      </c>
    </row>
    <row r="1375" spans="1:28" x14ac:dyDescent="0.3">
      <c r="A1375" s="64"/>
      <c r="B1375" s="8"/>
      <c r="C1375" s="8"/>
      <c r="D1375" s="8"/>
      <c r="E1375" s="17" t="s">
        <v>29</v>
      </c>
      <c r="F1375" s="17" t="s">
        <v>29</v>
      </c>
      <c r="G1375" s="17" t="s">
        <v>29</v>
      </c>
      <c r="H1375" s="17" t="s">
        <v>29</v>
      </c>
      <c r="I1375" s="17" t="s">
        <v>29</v>
      </c>
      <c r="J1375" s="17" t="s">
        <v>29</v>
      </c>
      <c r="K1375" s="17" t="s">
        <v>29</v>
      </c>
      <c r="L1375" s="17" t="s">
        <v>29</v>
      </c>
      <c r="M1375" s="17" t="s">
        <v>29</v>
      </c>
      <c r="N1375" s="17" t="s">
        <v>29</v>
      </c>
      <c r="O1375" s="17" t="s">
        <v>29</v>
      </c>
      <c r="P1375" s="17" t="s">
        <v>29</v>
      </c>
      <c r="Q1375" s="17" t="s">
        <v>29</v>
      </c>
      <c r="R1375" s="17" t="s">
        <v>29</v>
      </c>
      <c r="S1375" s="17" t="s">
        <v>29</v>
      </c>
      <c r="T1375" s="17" t="s">
        <v>29</v>
      </c>
      <c r="U1375" s="17" t="s">
        <v>29</v>
      </c>
      <c r="V1375" s="17" t="s">
        <v>29</v>
      </c>
      <c r="W1375" s="17" t="s">
        <v>29</v>
      </c>
      <c r="X1375" s="17" t="s">
        <v>29</v>
      </c>
      <c r="Y1375" s="17" t="s">
        <v>29</v>
      </c>
      <c r="Z1375" s="17" t="s">
        <v>29</v>
      </c>
      <c r="AA1375" s="17" t="s">
        <v>29</v>
      </c>
      <c r="AB1375" s="17" t="s">
        <v>29</v>
      </c>
    </row>
    <row r="1376" spans="1:28" x14ac:dyDescent="0.3">
      <c r="A1376" s="64"/>
      <c r="B1376" s="8"/>
      <c r="C1376" s="8"/>
      <c r="D1376" s="8"/>
      <c r="E1376" s="9">
        <f t="shared" ref="E1376:Q1376" si="738">SUM(E1343:E1375)</f>
        <v>65295552.469999999</v>
      </c>
      <c r="F1376" s="9">
        <f t="shared" si="738"/>
        <v>59738143.010000005</v>
      </c>
      <c r="G1376" s="9">
        <f t="shared" si="738"/>
        <v>0</v>
      </c>
      <c r="H1376" s="9">
        <f t="shared" si="738"/>
        <v>59738143.010000005</v>
      </c>
      <c r="I1376" s="9">
        <f t="shared" si="738"/>
        <v>0</v>
      </c>
      <c r="J1376" s="9">
        <f t="shared" si="738"/>
        <v>59738143.010000005</v>
      </c>
      <c r="K1376" s="9">
        <f t="shared" si="738"/>
        <v>5242459.46</v>
      </c>
      <c r="L1376" s="9">
        <f t="shared" si="738"/>
        <v>0</v>
      </c>
      <c r="M1376" s="9">
        <f t="shared" si="738"/>
        <v>59738143.010000005</v>
      </c>
      <c r="N1376" s="9">
        <f t="shared" si="738"/>
        <v>5242459.46</v>
      </c>
      <c r="O1376" s="9">
        <f t="shared" si="738"/>
        <v>0</v>
      </c>
      <c r="P1376" s="9">
        <f t="shared" si="738"/>
        <v>5242459.46</v>
      </c>
      <c r="Q1376" s="9">
        <f t="shared" si="738"/>
        <v>56787354.420000002</v>
      </c>
      <c r="R1376" s="17"/>
      <c r="S1376" s="17"/>
      <c r="T1376" s="9">
        <f t="shared" ref="T1376:Z1376" si="739">SUM(T1343:T1375)</f>
        <v>0</v>
      </c>
      <c r="U1376" s="9">
        <f t="shared" si="739"/>
        <v>5242459.46</v>
      </c>
      <c r="V1376" s="9">
        <f t="shared" si="739"/>
        <v>64980602.469999999</v>
      </c>
      <c r="W1376" s="9">
        <f t="shared" si="739"/>
        <v>314950</v>
      </c>
      <c r="X1376" s="9">
        <f t="shared" si="739"/>
        <v>64980602.469999999</v>
      </c>
      <c r="Y1376" s="9">
        <f t="shared" si="739"/>
        <v>0</v>
      </c>
      <c r="Z1376" s="9">
        <f t="shared" si="739"/>
        <v>314950</v>
      </c>
      <c r="AA1376" s="9">
        <f>SUM(AA1343:AA1375)</f>
        <v>64980602.469999999</v>
      </c>
      <c r="AB1376" s="9">
        <f>SUM(AB1343:AB1375)</f>
        <v>314950</v>
      </c>
    </row>
    <row r="1377" spans="1:28" x14ac:dyDescent="0.3">
      <c r="A1377" s="64"/>
      <c r="B1377" s="8"/>
      <c r="C1377" s="8"/>
      <c r="D1377" s="8"/>
      <c r="E1377" s="17" t="s">
        <v>29</v>
      </c>
      <c r="F1377" s="17" t="s">
        <v>29</v>
      </c>
      <c r="G1377" s="17" t="s">
        <v>29</v>
      </c>
      <c r="H1377" s="17" t="s">
        <v>29</v>
      </c>
      <c r="I1377" s="17" t="s">
        <v>29</v>
      </c>
      <c r="J1377" s="17" t="s">
        <v>29</v>
      </c>
      <c r="K1377" s="17" t="s">
        <v>29</v>
      </c>
      <c r="L1377" s="17" t="s">
        <v>29</v>
      </c>
      <c r="M1377" s="17" t="s">
        <v>29</v>
      </c>
      <c r="N1377" s="17" t="s">
        <v>29</v>
      </c>
      <c r="O1377" s="17" t="s">
        <v>29</v>
      </c>
      <c r="P1377" s="17" t="s">
        <v>29</v>
      </c>
      <c r="Q1377" s="17" t="s">
        <v>29</v>
      </c>
      <c r="R1377" s="17" t="s">
        <v>29</v>
      </c>
      <c r="S1377" s="17" t="s">
        <v>29</v>
      </c>
      <c r="T1377" s="17" t="s">
        <v>29</v>
      </c>
      <c r="U1377" s="17" t="s">
        <v>29</v>
      </c>
      <c r="V1377" s="17" t="s">
        <v>29</v>
      </c>
      <c r="W1377" s="17" t="s">
        <v>29</v>
      </c>
      <c r="X1377" s="17" t="s">
        <v>29</v>
      </c>
      <c r="Y1377" s="17" t="s">
        <v>29</v>
      </c>
      <c r="Z1377" s="17" t="s">
        <v>29</v>
      </c>
      <c r="AA1377" s="17" t="s">
        <v>29</v>
      </c>
      <c r="AB1377" s="17" t="s">
        <v>29</v>
      </c>
    </row>
    <row r="1378" spans="1:28" x14ac:dyDescent="0.3">
      <c r="A1378" s="63" t="s">
        <v>998</v>
      </c>
      <c r="B1378" s="7" t="s">
        <v>719</v>
      </c>
      <c r="C1378" s="8"/>
      <c r="D1378" s="8"/>
      <c r="E1378" s="8"/>
      <c r="F1378" s="8"/>
      <c r="G1378" s="8"/>
      <c r="H1378" s="8"/>
      <c r="I1378" s="8"/>
      <c r="J1378" s="8"/>
      <c r="K1378" s="8"/>
      <c r="L1378" s="8"/>
      <c r="M1378" s="8"/>
      <c r="N1378" s="8"/>
      <c r="O1378" s="8"/>
      <c r="P1378" s="8"/>
      <c r="Q1378" s="8"/>
      <c r="R1378" s="17"/>
      <c r="S1378" s="17"/>
      <c r="T1378" s="17"/>
      <c r="U1378" s="17"/>
      <c r="V1378" s="17"/>
      <c r="W1378" s="17"/>
      <c r="X1378" s="17"/>
      <c r="Y1378" s="17"/>
      <c r="Z1378" s="17"/>
    </row>
    <row r="1379" spans="1:28" x14ac:dyDescent="0.3">
      <c r="A1379" s="64"/>
      <c r="B1379" s="8"/>
      <c r="C1379" s="7" t="s">
        <v>720</v>
      </c>
      <c r="D1379" s="15" t="s">
        <v>78</v>
      </c>
      <c r="E1379" s="9">
        <f>490200-174893.29-72763.09</f>
        <v>242543.61999999997</v>
      </c>
      <c r="F1379" s="9">
        <v>84600</v>
      </c>
      <c r="G1379" s="8"/>
      <c r="H1379" s="9">
        <f t="shared" ref="H1379:H1401" si="740">F1379+G1379</f>
        <v>84600</v>
      </c>
      <c r="I1379" s="8"/>
      <c r="J1379" s="9">
        <f t="shared" ref="J1379:J1401" si="741">H1379+I1379</f>
        <v>84600</v>
      </c>
      <c r="K1379" s="9">
        <v>157943.62</v>
      </c>
      <c r="L1379" s="8"/>
      <c r="M1379" s="9">
        <f>+H1379+L1379</f>
        <v>84600</v>
      </c>
      <c r="N1379" s="8">
        <v>157943.62</v>
      </c>
      <c r="O1379" s="9"/>
      <c r="P1379" s="9">
        <f>+N1379+O1379</f>
        <v>157943.62</v>
      </c>
      <c r="Q1379" s="9">
        <f t="shared" ref="Q1379:Q1401" si="742">E1379-P1379</f>
        <v>84599.999999999971</v>
      </c>
      <c r="R1379" s="17"/>
      <c r="S1379" s="17"/>
      <c r="T1379" s="17"/>
      <c r="U1379" s="9">
        <f t="shared" ref="U1379:U1401" si="743">P1379+T1379</f>
        <v>157943.62</v>
      </c>
      <c r="V1379" s="9">
        <f t="shared" ref="V1379:V1401" si="744">P1379+H1379</f>
        <v>242543.62</v>
      </c>
      <c r="W1379" s="9">
        <f t="shared" ref="W1379:W1401" si="745">E1379-V1379</f>
        <v>0</v>
      </c>
      <c r="X1379" s="9">
        <f t="shared" ref="X1379:X1401" si="746">+H1379+P1379</f>
        <v>242543.62</v>
      </c>
      <c r="Y1379" s="8"/>
      <c r="Z1379" s="9">
        <f t="shared" ref="Z1379:Z1401" si="747">+E1379-X1379</f>
        <v>0</v>
      </c>
      <c r="AA1379" s="8">
        <f t="shared" ref="AA1379:AA1401" si="748">+M1379+U1379</f>
        <v>242543.62</v>
      </c>
      <c r="AB1379" s="8">
        <f t="shared" ref="AB1379:AB1401" si="749">+E1379-AA1379</f>
        <v>0</v>
      </c>
    </row>
    <row r="1380" spans="1:28" x14ac:dyDescent="0.3">
      <c r="A1380" s="64"/>
      <c r="B1380" s="8"/>
      <c r="C1380" s="7" t="s">
        <v>535</v>
      </c>
      <c r="D1380" s="15" t="s">
        <v>68</v>
      </c>
      <c r="E1380" s="9">
        <f>2915550-2172458.47</f>
        <v>743091.5299999998</v>
      </c>
      <c r="F1380" s="9">
        <f>809454.45-213062</f>
        <v>596392.44999999995</v>
      </c>
      <c r="G1380" s="8"/>
      <c r="H1380" s="9">
        <f t="shared" si="740"/>
        <v>596392.44999999995</v>
      </c>
      <c r="I1380" s="8"/>
      <c r="J1380" s="9">
        <f t="shared" si="741"/>
        <v>596392.44999999995</v>
      </c>
      <c r="K1380" s="9">
        <f>121782.87+24916.21</f>
        <v>146699.07999999999</v>
      </c>
      <c r="L1380" s="8"/>
      <c r="M1380" s="9">
        <f t="shared" ref="M1380:M1401" si="750">+H1380+L1380</f>
        <v>596392.44999999995</v>
      </c>
      <c r="N1380" s="8">
        <v>146699.07999999999</v>
      </c>
      <c r="O1380" s="9"/>
      <c r="P1380" s="9">
        <f t="shared" ref="P1380:P1401" si="751">+N1380+O1380</f>
        <v>146699.07999999999</v>
      </c>
      <c r="Q1380" s="9">
        <f t="shared" si="742"/>
        <v>596392.44999999984</v>
      </c>
      <c r="R1380" s="17"/>
      <c r="S1380" s="17"/>
      <c r="T1380" s="17"/>
      <c r="U1380" s="9">
        <f t="shared" si="743"/>
        <v>146699.07999999999</v>
      </c>
      <c r="V1380" s="9">
        <f t="shared" si="744"/>
        <v>743091.52999999991</v>
      </c>
      <c r="W1380" s="9">
        <f t="shared" si="745"/>
        <v>0</v>
      </c>
      <c r="X1380" s="9">
        <f t="shared" si="746"/>
        <v>743091.52999999991</v>
      </c>
      <c r="Y1380" s="8"/>
      <c r="Z1380" s="9">
        <f t="shared" si="747"/>
        <v>0</v>
      </c>
      <c r="AA1380" s="8">
        <f t="shared" si="748"/>
        <v>743091.52999999991</v>
      </c>
      <c r="AB1380" s="8">
        <f t="shared" si="749"/>
        <v>0</v>
      </c>
    </row>
    <row r="1381" spans="1:28" x14ac:dyDescent="0.3">
      <c r="A1381" s="64"/>
      <c r="B1381" s="8"/>
      <c r="C1381" s="7" t="s">
        <v>539</v>
      </c>
      <c r="D1381" s="15" t="s">
        <v>68</v>
      </c>
      <c r="E1381" s="9">
        <f>715665.6+1718188+1721887.5+300682.9</f>
        <v>4456424</v>
      </c>
      <c r="F1381" s="8"/>
      <c r="G1381" s="8"/>
      <c r="H1381" s="9">
        <f t="shared" si="740"/>
        <v>0</v>
      </c>
      <c r="I1381" s="8"/>
      <c r="J1381" s="9">
        <f t="shared" si="741"/>
        <v>0</v>
      </c>
      <c r="K1381" s="9">
        <f>715665.6+3740758.4</f>
        <v>4456424</v>
      </c>
      <c r="L1381" s="8"/>
      <c r="M1381" s="9">
        <f t="shared" si="750"/>
        <v>0</v>
      </c>
      <c r="N1381" s="8">
        <v>4456424</v>
      </c>
      <c r="O1381" s="9"/>
      <c r="P1381" s="9">
        <f t="shared" si="751"/>
        <v>4456424</v>
      </c>
      <c r="Q1381" s="9">
        <f t="shared" si="742"/>
        <v>0</v>
      </c>
      <c r="R1381" s="17"/>
      <c r="S1381" s="17"/>
      <c r="T1381" s="17"/>
      <c r="U1381" s="9">
        <f t="shared" si="743"/>
        <v>4456424</v>
      </c>
      <c r="V1381" s="9">
        <f t="shared" si="744"/>
        <v>4456424</v>
      </c>
      <c r="W1381" s="9">
        <f t="shared" si="745"/>
        <v>0</v>
      </c>
      <c r="X1381" s="9">
        <f t="shared" si="746"/>
        <v>4456424</v>
      </c>
      <c r="Y1381" s="8"/>
      <c r="Z1381" s="9">
        <f t="shared" si="747"/>
        <v>0</v>
      </c>
      <c r="AA1381" s="8">
        <f t="shared" si="748"/>
        <v>4456424</v>
      </c>
      <c r="AB1381" s="8">
        <f t="shared" si="749"/>
        <v>0</v>
      </c>
    </row>
    <row r="1382" spans="1:28" x14ac:dyDescent="0.3">
      <c r="A1382" s="64"/>
      <c r="B1382" s="8"/>
      <c r="C1382" s="7" t="s">
        <v>557</v>
      </c>
      <c r="D1382" s="15" t="s">
        <v>68</v>
      </c>
      <c r="E1382" s="9">
        <f>3170150-1112301.4</f>
        <v>2057848.6</v>
      </c>
      <c r="F1382" s="9">
        <v>1932093</v>
      </c>
      <c r="G1382" s="8"/>
      <c r="H1382" s="9">
        <f t="shared" si="740"/>
        <v>1932093</v>
      </c>
      <c r="I1382" s="8"/>
      <c r="J1382" s="9">
        <f t="shared" si="741"/>
        <v>1932093</v>
      </c>
      <c r="K1382" s="9">
        <v>125755.6</v>
      </c>
      <c r="L1382" s="8"/>
      <c r="M1382" s="9">
        <f t="shared" si="750"/>
        <v>1932093</v>
      </c>
      <c r="N1382" s="8">
        <v>125755.6</v>
      </c>
      <c r="O1382" s="9"/>
      <c r="P1382" s="9">
        <f t="shared" si="751"/>
        <v>125755.6</v>
      </c>
      <c r="Q1382" s="9">
        <f t="shared" si="742"/>
        <v>1932093</v>
      </c>
      <c r="R1382" s="17"/>
      <c r="S1382" s="17"/>
      <c r="T1382" s="17"/>
      <c r="U1382" s="9">
        <f t="shared" si="743"/>
        <v>125755.6</v>
      </c>
      <c r="V1382" s="9">
        <f t="shared" si="744"/>
        <v>2057848.6</v>
      </c>
      <c r="W1382" s="9">
        <f t="shared" si="745"/>
        <v>0</v>
      </c>
      <c r="X1382" s="9">
        <f t="shared" si="746"/>
        <v>2057848.6</v>
      </c>
      <c r="Y1382" s="8"/>
      <c r="Z1382" s="9">
        <f t="shared" si="747"/>
        <v>0</v>
      </c>
      <c r="AA1382" s="8">
        <f t="shared" si="748"/>
        <v>2057848.6</v>
      </c>
      <c r="AB1382" s="8">
        <f t="shared" si="749"/>
        <v>0</v>
      </c>
    </row>
    <row r="1383" spans="1:28" x14ac:dyDescent="0.3">
      <c r="A1383" s="64"/>
      <c r="B1383" s="8"/>
      <c r="C1383" s="7" t="s">
        <v>535</v>
      </c>
      <c r="D1383" s="15" t="s">
        <v>54</v>
      </c>
      <c r="E1383" s="9">
        <v>570000</v>
      </c>
      <c r="F1383" s="9">
        <v>570000</v>
      </c>
      <c r="G1383" s="8"/>
      <c r="H1383" s="9">
        <f t="shared" si="740"/>
        <v>570000</v>
      </c>
      <c r="I1383" s="8"/>
      <c r="J1383" s="9">
        <f t="shared" si="741"/>
        <v>570000</v>
      </c>
      <c r="K1383" s="8"/>
      <c r="L1383" s="8"/>
      <c r="M1383" s="9">
        <f t="shared" si="750"/>
        <v>570000</v>
      </c>
      <c r="N1383" s="8"/>
      <c r="O1383" s="9"/>
      <c r="P1383" s="9">
        <f t="shared" si="751"/>
        <v>0</v>
      </c>
      <c r="Q1383" s="9">
        <f t="shared" si="742"/>
        <v>570000</v>
      </c>
      <c r="R1383" s="17"/>
      <c r="S1383" s="17"/>
      <c r="T1383" s="17"/>
      <c r="U1383" s="9">
        <f t="shared" si="743"/>
        <v>0</v>
      </c>
      <c r="V1383" s="9">
        <f t="shared" si="744"/>
        <v>570000</v>
      </c>
      <c r="W1383" s="9">
        <f t="shared" si="745"/>
        <v>0</v>
      </c>
      <c r="X1383" s="9">
        <f t="shared" si="746"/>
        <v>570000</v>
      </c>
      <c r="Y1383" s="8"/>
      <c r="Z1383" s="9">
        <f t="shared" si="747"/>
        <v>0</v>
      </c>
      <c r="AA1383" s="8">
        <f t="shared" si="748"/>
        <v>570000</v>
      </c>
      <c r="AB1383" s="8">
        <f t="shared" si="749"/>
        <v>0</v>
      </c>
    </row>
    <row r="1384" spans="1:28" x14ac:dyDescent="0.3">
      <c r="A1384" s="64"/>
      <c r="B1384" s="8"/>
      <c r="C1384" s="7" t="s">
        <v>545</v>
      </c>
      <c r="D1384" s="15" t="s">
        <v>54</v>
      </c>
      <c r="E1384" s="9">
        <v>1767770</v>
      </c>
      <c r="F1384" s="8"/>
      <c r="G1384" s="8"/>
      <c r="H1384" s="9">
        <f t="shared" si="740"/>
        <v>0</v>
      </c>
      <c r="I1384" s="8"/>
      <c r="J1384" s="9">
        <f t="shared" si="741"/>
        <v>0</v>
      </c>
      <c r="K1384" s="9">
        <v>1767770</v>
      </c>
      <c r="L1384" s="8"/>
      <c r="M1384" s="9">
        <f t="shared" si="750"/>
        <v>0</v>
      </c>
      <c r="N1384" s="8">
        <v>1767770</v>
      </c>
      <c r="O1384" s="9"/>
      <c r="P1384" s="9">
        <f t="shared" si="751"/>
        <v>1767770</v>
      </c>
      <c r="Q1384" s="9">
        <f t="shared" si="742"/>
        <v>0</v>
      </c>
      <c r="R1384" s="17"/>
      <c r="S1384" s="17"/>
      <c r="T1384" s="17"/>
      <c r="U1384" s="9">
        <f t="shared" si="743"/>
        <v>1767770</v>
      </c>
      <c r="V1384" s="9">
        <f t="shared" si="744"/>
        <v>1767770</v>
      </c>
      <c r="W1384" s="9">
        <f t="shared" si="745"/>
        <v>0</v>
      </c>
      <c r="X1384" s="9">
        <f t="shared" si="746"/>
        <v>1767770</v>
      </c>
      <c r="Y1384" s="8"/>
      <c r="Z1384" s="9">
        <f t="shared" si="747"/>
        <v>0</v>
      </c>
      <c r="AA1384" s="8">
        <f t="shared" si="748"/>
        <v>1767770</v>
      </c>
      <c r="AB1384" s="8">
        <f t="shared" si="749"/>
        <v>0</v>
      </c>
    </row>
    <row r="1385" spans="1:28" x14ac:dyDescent="0.3">
      <c r="A1385" s="64"/>
      <c r="B1385" s="8"/>
      <c r="C1385" s="7" t="s">
        <v>535</v>
      </c>
      <c r="D1385" s="15" t="s">
        <v>85</v>
      </c>
      <c r="E1385" s="9">
        <v>2000000</v>
      </c>
      <c r="F1385" s="9">
        <v>2000000</v>
      </c>
      <c r="G1385" s="8"/>
      <c r="H1385" s="9">
        <f t="shared" si="740"/>
        <v>2000000</v>
      </c>
      <c r="I1385" s="8"/>
      <c r="J1385" s="9">
        <f t="shared" si="741"/>
        <v>2000000</v>
      </c>
      <c r="K1385" s="8"/>
      <c r="L1385" s="8"/>
      <c r="M1385" s="9">
        <f t="shared" si="750"/>
        <v>2000000</v>
      </c>
      <c r="N1385" s="8"/>
      <c r="O1385" s="9"/>
      <c r="P1385" s="9">
        <f t="shared" si="751"/>
        <v>0</v>
      </c>
      <c r="Q1385" s="9">
        <f t="shared" si="742"/>
        <v>2000000</v>
      </c>
      <c r="R1385" s="17"/>
      <c r="S1385" s="17"/>
      <c r="T1385" s="17"/>
      <c r="U1385" s="9">
        <f t="shared" si="743"/>
        <v>0</v>
      </c>
      <c r="V1385" s="9">
        <f t="shared" si="744"/>
        <v>2000000</v>
      </c>
      <c r="W1385" s="9">
        <f t="shared" si="745"/>
        <v>0</v>
      </c>
      <c r="X1385" s="9">
        <f t="shared" si="746"/>
        <v>2000000</v>
      </c>
      <c r="Y1385" s="8"/>
      <c r="Z1385" s="9">
        <f t="shared" si="747"/>
        <v>0</v>
      </c>
      <c r="AA1385" s="8">
        <f t="shared" si="748"/>
        <v>2000000</v>
      </c>
      <c r="AB1385" s="8">
        <f t="shared" si="749"/>
        <v>0</v>
      </c>
    </row>
    <row r="1386" spans="1:28" x14ac:dyDescent="0.3">
      <c r="A1386" s="64"/>
      <c r="B1386" s="8"/>
      <c r="C1386" s="7" t="s">
        <v>557</v>
      </c>
      <c r="D1386" s="15" t="s">
        <v>85</v>
      </c>
      <c r="E1386" s="9">
        <v>2000000</v>
      </c>
      <c r="F1386" s="9">
        <v>2000000</v>
      </c>
      <c r="G1386" s="8"/>
      <c r="H1386" s="9">
        <f t="shared" si="740"/>
        <v>2000000</v>
      </c>
      <c r="I1386" s="8"/>
      <c r="J1386" s="9">
        <f t="shared" si="741"/>
        <v>2000000</v>
      </c>
      <c r="K1386" s="8"/>
      <c r="L1386" s="8"/>
      <c r="M1386" s="9">
        <f t="shared" si="750"/>
        <v>2000000</v>
      </c>
      <c r="N1386" s="8"/>
      <c r="O1386" s="9"/>
      <c r="P1386" s="9">
        <f t="shared" si="751"/>
        <v>0</v>
      </c>
      <c r="Q1386" s="9">
        <f t="shared" si="742"/>
        <v>2000000</v>
      </c>
      <c r="R1386" s="17"/>
      <c r="S1386" s="17"/>
      <c r="T1386" s="17"/>
      <c r="U1386" s="9">
        <f t="shared" si="743"/>
        <v>0</v>
      </c>
      <c r="V1386" s="9">
        <f t="shared" si="744"/>
        <v>2000000</v>
      </c>
      <c r="W1386" s="9">
        <f t="shared" si="745"/>
        <v>0</v>
      </c>
      <c r="X1386" s="9">
        <f t="shared" si="746"/>
        <v>2000000</v>
      </c>
      <c r="Y1386" s="8"/>
      <c r="Z1386" s="9">
        <f t="shared" si="747"/>
        <v>0</v>
      </c>
      <c r="AA1386" s="8">
        <f t="shared" si="748"/>
        <v>2000000</v>
      </c>
      <c r="AB1386" s="8">
        <f t="shared" si="749"/>
        <v>0</v>
      </c>
    </row>
    <row r="1387" spans="1:28" x14ac:dyDescent="0.3">
      <c r="A1387" s="64"/>
      <c r="B1387" s="8"/>
      <c r="C1387" s="7" t="s">
        <v>566</v>
      </c>
      <c r="D1387" s="15" t="s">
        <v>128</v>
      </c>
      <c r="E1387" s="9">
        <v>786000</v>
      </c>
      <c r="F1387" s="9">
        <v>786000</v>
      </c>
      <c r="G1387" s="8"/>
      <c r="H1387" s="9">
        <f t="shared" si="740"/>
        <v>786000</v>
      </c>
      <c r="I1387" s="8"/>
      <c r="J1387" s="9">
        <f t="shared" si="741"/>
        <v>786000</v>
      </c>
      <c r="K1387" s="8"/>
      <c r="L1387" s="8"/>
      <c r="M1387" s="9">
        <f t="shared" si="750"/>
        <v>786000</v>
      </c>
      <c r="N1387" s="8"/>
      <c r="O1387" s="9"/>
      <c r="P1387" s="9">
        <f t="shared" si="751"/>
        <v>0</v>
      </c>
      <c r="Q1387" s="9">
        <f t="shared" si="742"/>
        <v>786000</v>
      </c>
      <c r="R1387" s="17"/>
      <c r="S1387" s="17"/>
      <c r="T1387" s="17"/>
      <c r="U1387" s="9">
        <f t="shared" si="743"/>
        <v>0</v>
      </c>
      <c r="V1387" s="9">
        <f t="shared" si="744"/>
        <v>786000</v>
      </c>
      <c r="W1387" s="9">
        <f t="shared" si="745"/>
        <v>0</v>
      </c>
      <c r="X1387" s="9">
        <f t="shared" si="746"/>
        <v>786000</v>
      </c>
      <c r="Y1387" s="8"/>
      <c r="Z1387" s="9">
        <f t="shared" si="747"/>
        <v>0</v>
      </c>
      <c r="AA1387" s="8">
        <f t="shared" si="748"/>
        <v>786000</v>
      </c>
      <c r="AB1387" s="8">
        <f t="shared" si="749"/>
        <v>0</v>
      </c>
    </row>
    <row r="1388" spans="1:28" x14ac:dyDescent="0.3">
      <c r="A1388" s="64"/>
      <c r="B1388" s="8"/>
      <c r="C1388" s="7" t="s">
        <v>535</v>
      </c>
      <c r="D1388" s="15" t="s">
        <v>88</v>
      </c>
      <c r="E1388" s="9">
        <v>1694141</v>
      </c>
      <c r="F1388" s="9">
        <v>1694141</v>
      </c>
      <c r="G1388" s="8"/>
      <c r="H1388" s="9">
        <f t="shared" si="740"/>
        <v>1694141</v>
      </c>
      <c r="I1388" s="8"/>
      <c r="J1388" s="9">
        <f t="shared" si="741"/>
        <v>1694141</v>
      </c>
      <c r="K1388" s="8"/>
      <c r="L1388" s="8"/>
      <c r="M1388" s="9">
        <f t="shared" si="750"/>
        <v>1694141</v>
      </c>
      <c r="N1388" s="8"/>
      <c r="O1388" s="9"/>
      <c r="P1388" s="9">
        <f t="shared" si="751"/>
        <v>0</v>
      </c>
      <c r="Q1388" s="9">
        <f t="shared" si="742"/>
        <v>1694141</v>
      </c>
      <c r="R1388" s="17"/>
      <c r="S1388" s="17"/>
      <c r="T1388" s="17"/>
      <c r="U1388" s="9">
        <f t="shared" si="743"/>
        <v>0</v>
      </c>
      <c r="V1388" s="9">
        <f t="shared" si="744"/>
        <v>1694141</v>
      </c>
      <c r="W1388" s="9">
        <f t="shared" si="745"/>
        <v>0</v>
      </c>
      <c r="X1388" s="9">
        <f t="shared" si="746"/>
        <v>1694141</v>
      </c>
      <c r="Y1388" s="8"/>
      <c r="Z1388" s="9">
        <f t="shared" si="747"/>
        <v>0</v>
      </c>
      <c r="AA1388" s="8">
        <f t="shared" si="748"/>
        <v>1694141</v>
      </c>
      <c r="AB1388" s="8">
        <f t="shared" si="749"/>
        <v>0</v>
      </c>
    </row>
    <row r="1389" spans="1:28" x14ac:dyDescent="0.3">
      <c r="A1389" s="64"/>
      <c r="B1389" s="8"/>
      <c r="C1389" s="7" t="s">
        <v>535</v>
      </c>
      <c r="D1389" s="15" t="s">
        <v>58</v>
      </c>
      <c r="E1389" s="9">
        <f>1822076.05+2489575</f>
        <v>4311651.05</v>
      </c>
      <c r="F1389" s="9">
        <v>4311651.05</v>
      </c>
      <c r="G1389" s="8"/>
      <c r="H1389" s="9">
        <f t="shared" si="740"/>
        <v>4311651.05</v>
      </c>
      <c r="I1389" s="8"/>
      <c r="J1389" s="9">
        <f t="shared" si="741"/>
        <v>4311651.05</v>
      </c>
      <c r="K1389" s="8"/>
      <c r="L1389" s="8"/>
      <c r="M1389" s="9">
        <f t="shared" si="750"/>
        <v>4311651.05</v>
      </c>
      <c r="N1389" s="8"/>
      <c r="O1389" s="9"/>
      <c r="P1389" s="9">
        <f t="shared" si="751"/>
        <v>0</v>
      </c>
      <c r="Q1389" s="9">
        <f t="shared" si="742"/>
        <v>4311651.05</v>
      </c>
      <c r="R1389" s="17"/>
      <c r="S1389" s="17"/>
      <c r="T1389" s="17"/>
      <c r="U1389" s="9">
        <f t="shared" si="743"/>
        <v>0</v>
      </c>
      <c r="V1389" s="9">
        <f t="shared" si="744"/>
        <v>4311651.05</v>
      </c>
      <c r="W1389" s="9">
        <f t="shared" si="745"/>
        <v>0</v>
      </c>
      <c r="X1389" s="9">
        <f t="shared" si="746"/>
        <v>4311651.05</v>
      </c>
      <c r="Y1389" s="8"/>
      <c r="Z1389" s="9">
        <f t="shared" si="747"/>
        <v>0</v>
      </c>
      <c r="AA1389" s="8">
        <f t="shared" si="748"/>
        <v>4311651.05</v>
      </c>
      <c r="AB1389" s="8">
        <f t="shared" si="749"/>
        <v>0</v>
      </c>
    </row>
    <row r="1390" spans="1:28" x14ac:dyDescent="0.3">
      <c r="A1390" s="64"/>
      <c r="B1390" s="8"/>
      <c r="C1390" s="7" t="s">
        <v>721</v>
      </c>
      <c r="D1390" s="21" t="s">
        <v>60</v>
      </c>
      <c r="E1390" s="9">
        <f>2800000+1500000</f>
        <v>4300000</v>
      </c>
      <c r="F1390" s="9">
        <f>2800000+1500000</f>
        <v>4300000</v>
      </c>
      <c r="G1390" s="8"/>
      <c r="H1390" s="9">
        <f t="shared" si="740"/>
        <v>4300000</v>
      </c>
      <c r="I1390" s="8"/>
      <c r="J1390" s="9">
        <f t="shared" si="741"/>
        <v>4300000</v>
      </c>
      <c r="K1390" s="8"/>
      <c r="L1390" s="8"/>
      <c r="M1390" s="9">
        <f t="shared" si="750"/>
        <v>4300000</v>
      </c>
      <c r="N1390" s="8"/>
      <c r="O1390" s="9"/>
      <c r="P1390" s="9">
        <f t="shared" si="751"/>
        <v>0</v>
      </c>
      <c r="Q1390" s="9">
        <f t="shared" si="742"/>
        <v>4300000</v>
      </c>
      <c r="R1390" s="17"/>
      <c r="S1390" s="17"/>
      <c r="T1390" s="17"/>
      <c r="U1390" s="9">
        <f t="shared" si="743"/>
        <v>0</v>
      </c>
      <c r="V1390" s="9">
        <f t="shared" si="744"/>
        <v>4300000</v>
      </c>
      <c r="W1390" s="9">
        <f t="shared" si="745"/>
        <v>0</v>
      </c>
      <c r="X1390" s="9">
        <f t="shared" si="746"/>
        <v>4300000</v>
      </c>
      <c r="Y1390" s="8"/>
      <c r="Z1390" s="9">
        <f t="shared" si="747"/>
        <v>0</v>
      </c>
      <c r="AA1390" s="8">
        <f t="shared" si="748"/>
        <v>4300000</v>
      </c>
      <c r="AB1390" s="8">
        <f t="shared" si="749"/>
        <v>0</v>
      </c>
    </row>
    <row r="1391" spans="1:28" x14ac:dyDescent="0.3">
      <c r="A1391" s="64"/>
      <c r="B1391" s="8"/>
      <c r="C1391" s="7" t="s">
        <v>535</v>
      </c>
      <c r="D1391" s="21" t="s">
        <v>60</v>
      </c>
      <c r="E1391" s="9">
        <f>632082+1481068</f>
        <v>2113150</v>
      </c>
      <c r="F1391" s="9">
        <v>2113150</v>
      </c>
      <c r="G1391" s="8"/>
      <c r="H1391" s="9">
        <f t="shared" si="740"/>
        <v>2113150</v>
      </c>
      <c r="I1391" s="8"/>
      <c r="J1391" s="9">
        <f t="shared" si="741"/>
        <v>2113150</v>
      </c>
      <c r="K1391" s="8"/>
      <c r="L1391" s="8"/>
      <c r="M1391" s="9">
        <f t="shared" si="750"/>
        <v>2113150</v>
      </c>
      <c r="N1391" s="8"/>
      <c r="O1391" s="9"/>
      <c r="P1391" s="9">
        <f t="shared" si="751"/>
        <v>0</v>
      </c>
      <c r="Q1391" s="9">
        <f t="shared" si="742"/>
        <v>2113150</v>
      </c>
      <c r="R1391" s="17"/>
      <c r="S1391" s="17"/>
      <c r="T1391" s="17"/>
      <c r="U1391" s="9">
        <f t="shared" si="743"/>
        <v>0</v>
      </c>
      <c r="V1391" s="9">
        <f t="shared" si="744"/>
        <v>2113150</v>
      </c>
      <c r="W1391" s="9">
        <f t="shared" si="745"/>
        <v>0</v>
      </c>
      <c r="X1391" s="9">
        <f t="shared" si="746"/>
        <v>2113150</v>
      </c>
      <c r="Y1391" s="8"/>
      <c r="Z1391" s="9">
        <f t="shared" si="747"/>
        <v>0</v>
      </c>
      <c r="AA1391" s="8">
        <f t="shared" si="748"/>
        <v>2113150</v>
      </c>
      <c r="AB1391" s="8">
        <f t="shared" si="749"/>
        <v>0</v>
      </c>
    </row>
    <row r="1392" spans="1:28" x14ac:dyDescent="0.3">
      <c r="A1392" s="64"/>
      <c r="B1392" s="8"/>
      <c r="C1392" s="7" t="s">
        <v>535</v>
      </c>
      <c r="D1392" s="21" t="s">
        <v>73</v>
      </c>
      <c r="E1392" s="9">
        <f>888000+999774.4</f>
        <v>1887774.4</v>
      </c>
      <c r="F1392" s="9">
        <f>888000+999774.4</f>
        <v>1887774.4</v>
      </c>
      <c r="G1392" s="9"/>
      <c r="H1392" s="9">
        <f t="shared" si="740"/>
        <v>1887774.4</v>
      </c>
      <c r="I1392" s="9"/>
      <c r="J1392" s="9">
        <f t="shared" si="741"/>
        <v>1887774.4</v>
      </c>
      <c r="K1392" s="8"/>
      <c r="L1392" s="8"/>
      <c r="M1392" s="9">
        <f t="shared" si="750"/>
        <v>1887774.4</v>
      </c>
      <c r="N1392" s="8"/>
      <c r="O1392" s="9"/>
      <c r="P1392" s="9">
        <f t="shared" si="751"/>
        <v>0</v>
      </c>
      <c r="Q1392" s="9">
        <f t="shared" si="742"/>
        <v>1887774.4</v>
      </c>
      <c r="R1392" s="17"/>
      <c r="S1392" s="17"/>
      <c r="T1392" s="17"/>
      <c r="U1392" s="9">
        <f t="shared" si="743"/>
        <v>0</v>
      </c>
      <c r="V1392" s="9">
        <f t="shared" si="744"/>
        <v>1887774.4</v>
      </c>
      <c r="W1392" s="9">
        <f t="shared" si="745"/>
        <v>0</v>
      </c>
      <c r="X1392" s="9">
        <f t="shared" si="746"/>
        <v>1887774.4</v>
      </c>
      <c r="Y1392" s="8"/>
      <c r="Z1392" s="9">
        <f t="shared" si="747"/>
        <v>0</v>
      </c>
      <c r="AA1392" s="8">
        <f t="shared" si="748"/>
        <v>1887774.4</v>
      </c>
      <c r="AB1392" s="8">
        <f t="shared" si="749"/>
        <v>0</v>
      </c>
    </row>
    <row r="1393" spans="1:28" x14ac:dyDescent="0.3">
      <c r="A1393" s="64"/>
      <c r="B1393" s="8"/>
      <c r="C1393" s="14" t="s">
        <v>721</v>
      </c>
      <c r="D1393" s="21" t="s">
        <v>73</v>
      </c>
      <c r="E1393" s="11">
        <f>3751328.37+998671.63</f>
        <v>4750000</v>
      </c>
      <c r="F1393" s="11">
        <f>3751328.37+998671.63</f>
        <v>4750000</v>
      </c>
      <c r="G1393" s="9"/>
      <c r="H1393" s="9">
        <f t="shared" si="740"/>
        <v>4750000</v>
      </c>
      <c r="I1393" s="9"/>
      <c r="J1393" s="9">
        <f t="shared" si="741"/>
        <v>4750000</v>
      </c>
      <c r="K1393" s="8"/>
      <c r="L1393" s="8"/>
      <c r="M1393" s="9">
        <f t="shared" si="750"/>
        <v>4750000</v>
      </c>
      <c r="N1393" s="8"/>
      <c r="O1393" s="9"/>
      <c r="P1393" s="9">
        <f t="shared" si="751"/>
        <v>0</v>
      </c>
      <c r="Q1393" s="9">
        <f t="shared" si="742"/>
        <v>4750000</v>
      </c>
      <c r="R1393" s="17"/>
      <c r="S1393" s="17"/>
      <c r="T1393" s="17"/>
      <c r="U1393" s="9">
        <f t="shared" si="743"/>
        <v>0</v>
      </c>
      <c r="V1393" s="9">
        <f t="shared" si="744"/>
        <v>4750000</v>
      </c>
      <c r="W1393" s="9">
        <f t="shared" si="745"/>
        <v>0</v>
      </c>
      <c r="X1393" s="9">
        <f t="shared" si="746"/>
        <v>4750000</v>
      </c>
      <c r="Y1393" s="8"/>
      <c r="Z1393" s="9">
        <f t="shared" si="747"/>
        <v>0</v>
      </c>
      <c r="AA1393" s="8">
        <f t="shared" si="748"/>
        <v>4750000</v>
      </c>
      <c r="AB1393" s="8">
        <f t="shared" si="749"/>
        <v>0</v>
      </c>
    </row>
    <row r="1394" spans="1:28" x14ac:dyDescent="0.3">
      <c r="A1394" s="64"/>
      <c r="B1394" s="8"/>
      <c r="C1394" s="14" t="s">
        <v>535</v>
      </c>
      <c r="D1394" s="21" t="s">
        <v>61</v>
      </c>
      <c r="E1394" s="11">
        <v>2438000</v>
      </c>
      <c r="F1394" s="11">
        <v>2438000</v>
      </c>
      <c r="G1394" s="8"/>
      <c r="H1394" s="9">
        <f t="shared" si="740"/>
        <v>2438000</v>
      </c>
      <c r="I1394" s="8"/>
      <c r="J1394" s="9">
        <f t="shared" si="741"/>
        <v>2438000</v>
      </c>
      <c r="K1394" s="8"/>
      <c r="L1394" s="8"/>
      <c r="M1394" s="9">
        <f t="shared" si="750"/>
        <v>2438000</v>
      </c>
      <c r="N1394" s="8"/>
      <c r="O1394" s="9"/>
      <c r="P1394" s="9">
        <f t="shared" si="751"/>
        <v>0</v>
      </c>
      <c r="Q1394" s="9">
        <f t="shared" si="742"/>
        <v>2438000</v>
      </c>
      <c r="R1394" s="17"/>
      <c r="S1394" s="17"/>
      <c r="T1394" s="17"/>
      <c r="U1394" s="9">
        <f t="shared" si="743"/>
        <v>0</v>
      </c>
      <c r="V1394" s="9">
        <f t="shared" si="744"/>
        <v>2438000</v>
      </c>
      <c r="W1394" s="9">
        <f t="shared" si="745"/>
        <v>0</v>
      </c>
      <c r="X1394" s="9">
        <f t="shared" si="746"/>
        <v>2438000</v>
      </c>
      <c r="Y1394" s="8"/>
      <c r="Z1394" s="9">
        <f t="shared" si="747"/>
        <v>0</v>
      </c>
      <c r="AA1394" s="8">
        <f t="shared" si="748"/>
        <v>2438000</v>
      </c>
      <c r="AB1394" s="8">
        <f t="shared" si="749"/>
        <v>0</v>
      </c>
    </row>
    <row r="1395" spans="1:28" x14ac:dyDescent="0.3">
      <c r="A1395" s="64"/>
      <c r="B1395" s="8"/>
      <c r="C1395" s="14" t="s">
        <v>1140</v>
      </c>
      <c r="D1395" s="24" t="s">
        <v>1126</v>
      </c>
      <c r="E1395" s="11">
        <v>500000</v>
      </c>
      <c r="F1395" s="11">
        <v>500000</v>
      </c>
      <c r="G1395" s="8"/>
      <c r="H1395" s="9">
        <f>+F1395+G1395</f>
        <v>500000</v>
      </c>
      <c r="I1395" s="8"/>
      <c r="J1395" s="9">
        <f t="shared" si="741"/>
        <v>500000</v>
      </c>
      <c r="K1395" s="8"/>
      <c r="L1395" s="8"/>
      <c r="M1395" s="9">
        <f t="shared" si="750"/>
        <v>500000</v>
      </c>
      <c r="N1395" s="8"/>
      <c r="O1395" s="9"/>
      <c r="P1395" s="9">
        <f>+N1395+O1395</f>
        <v>0</v>
      </c>
      <c r="Q1395" s="9">
        <f t="shared" si="742"/>
        <v>500000</v>
      </c>
      <c r="R1395" s="17"/>
      <c r="S1395" s="17"/>
      <c r="T1395" s="17"/>
      <c r="U1395" s="9">
        <f t="shared" si="743"/>
        <v>0</v>
      </c>
      <c r="V1395" s="9">
        <f t="shared" si="744"/>
        <v>500000</v>
      </c>
      <c r="W1395" s="9">
        <f t="shared" si="745"/>
        <v>0</v>
      </c>
      <c r="X1395" s="9">
        <f t="shared" si="746"/>
        <v>500000</v>
      </c>
      <c r="Y1395" s="8"/>
      <c r="Z1395" s="9">
        <f t="shared" si="747"/>
        <v>0</v>
      </c>
      <c r="AA1395" s="8">
        <f t="shared" si="748"/>
        <v>500000</v>
      </c>
      <c r="AB1395" s="8">
        <f t="shared" si="749"/>
        <v>0</v>
      </c>
    </row>
    <row r="1396" spans="1:28" x14ac:dyDescent="0.3">
      <c r="A1396" s="64"/>
      <c r="B1396" s="8"/>
      <c r="C1396" s="14" t="s">
        <v>933</v>
      </c>
      <c r="D1396" s="24" t="s">
        <v>1072</v>
      </c>
      <c r="E1396" s="11">
        <v>1172000</v>
      </c>
      <c r="F1396" s="11">
        <v>1172000</v>
      </c>
      <c r="G1396" s="8"/>
      <c r="H1396" s="9">
        <f>+F1396+G1396</f>
        <v>1172000</v>
      </c>
      <c r="I1396" s="8"/>
      <c r="J1396" s="9">
        <f t="shared" si="741"/>
        <v>1172000</v>
      </c>
      <c r="K1396" s="8"/>
      <c r="L1396" s="8"/>
      <c r="M1396" s="9">
        <f t="shared" si="750"/>
        <v>1172000</v>
      </c>
      <c r="N1396" s="8"/>
      <c r="O1396" s="9"/>
      <c r="P1396" s="9">
        <v>0</v>
      </c>
      <c r="Q1396" s="9"/>
      <c r="R1396" s="17"/>
      <c r="S1396" s="17"/>
      <c r="T1396" s="17"/>
      <c r="U1396" s="9">
        <f>P1396+T1396</f>
        <v>0</v>
      </c>
      <c r="V1396" s="9">
        <f>P1396+H1396</f>
        <v>1172000</v>
      </c>
      <c r="W1396" s="9">
        <f>E1396-V1396</f>
        <v>0</v>
      </c>
      <c r="X1396" s="9">
        <f t="shared" si="746"/>
        <v>1172000</v>
      </c>
      <c r="Y1396" s="8"/>
      <c r="Z1396" s="9">
        <f t="shared" si="747"/>
        <v>0</v>
      </c>
      <c r="AA1396" s="8">
        <f t="shared" si="748"/>
        <v>1172000</v>
      </c>
      <c r="AB1396" s="8">
        <f t="shared" si="749"/>
        <v>0</v>
      </c>
    </row>
    <row r="1397" spans="1:28" x14ac:dyDescent="0.3">
      <c r="A1397" s="64"/>
      <c r="B1397" s="8"/>
      <c r="C1397" s="14" t="s">
        <v>1203</v>
      </c>
      <c r="D1397" s="24" t="s">
        <v>1126</v>
      </c>
      <c r="E1397" s="11">
        <v>1000000</v>
      </c>
      <c r="F1397" s="11">
        <v>1000000</v>
      </c>
      <c r="G1397" s="8"/>
      <c r="H1397" s="9">
        <f>+F1397+G1397</f>
        <v>1000000</v>
      </c>
      <c r="I1397" s="8"/>
      <c r="J1397" s="9"/>
      <c r="K1397" s="8"/>
      <c r="L1397" s="8"/>
      <c r="M1397" s="9">
        <f>+H1397+L1397</f>
        <v>1000000</v>
      </c>
      <c r="N1397" s="8"/>
      <c r="O1397" s="9"/>
      <c r="P1397" s="9">
        <f>+N1397+O1397</f>
        <v>0</v>
      </c>
      <c r="Q1397" s="9"/>
      <c r="R1397" s="17"/>
      <c r="S1397" s="17"/>
      <c r="T1397" s="17"/>
      <c r="U1397" s="9">
        <f>+P1397+T1397</f>
        <v>0</v>
      </c>
      <c r="V1397" s="9"/>
      <c r="W1397" s="9"/>
      <c r="X1397" s="9">
        <f>+H1397+P1397</f>
        <v>1000000</v>
      </c>
      <c r="Y1397" s="8"/>
      <c r="Z1397" s="9">
        <f>+E1397-X1397</f>
        <v>0</v>
      </c>
      <c r="AA1397" s="8">
        <f t="shared" si="748"/>
        <v>1000000</v>
      </c>
      <c r="AB1397" s="8">
        <f t="shared" si="749"/>
        <v>0</v>
      </c>
    </row>
    <row r="1398" spans="1:28" x14ac:dyDescent="0.3">
      <c r="A1398" s="64"/>
      <c r="B1398" s="8"/>
      <c r="C1398" s="7" t="s">
        <v>550</v>
      </c>
      <c r="D1398" s="8"/>
      <c r="E1398" s="9">
        <v>742295</v>
      </c>
      <c r="F1398" s="9">
        <v>742295</v>
      </c>
      <c r="G1398" s="8"/>
      <c r="H1398" s="9">
        <f t="shared" si="740"/>
        <v>742295</v>
      </c>
      <c r="I1398" s="8"/>
      <c r="J1398" s="9">
        <f t="shared" si="741"/>
        <v>742295</v>
      </c>
      <c r="K1398" s="8"/>
      <c r="L1398" s="8"/>
      <c r="M1398" s="9">
        <f t="shared" si="750"/>
        <v>742295</v>
      </c>
      <c r="N1398" s="8"/>
      <c r="O1398" s="9"/>
      <c r="P1398" s="9">
        <f t="shared" si="751"/>
        <v>0</v>
      </c>
      <c r="Q1398" s="9">
        <f t="shared" si="742"/>
        <v>742295</v>
      </c>
      <c r="R1398" s="17"/>
      <c r="S1398" s="17"/>
      <c r="T1398" s="17"/>
      <c r="U1398" s="9">
        <f t="shared" si="743"/>
        <v>0</v>
      </c>
      <c r="V1398" s="9">
        <f t="shared" si="744"/>
        <v>742295</v>
      </c>
      <c r="W1398" s="9">
        <f t="shared" si="745"/>
        <v>0</v>
      </c>
      <c r="X1398" s="9">
        <f t="shared" si="746"/>
        <v>742295</v>
      </c>
      <c r="Y1398" s="8"/>
      <c r="Z1398" s="9">
        <f t="shared" si="747"/>
        <v>0</v>
      </c>
      <c r="AA1398" s="8">
        <f t="shared" si="748"/>
        <v>742295</v>
      </c>
      <c r="AB1398" s="8">
        <f t="shared" si="749"/>
        <v>0</v>
      </c>
    </row>
    <row r="1399" spans="1:28" x14ac:dyDescent="0.3">
      <c r="A1399" s="64"/>
      <c r="B1399" s="8"/>
      <c r="C1399" s="7" t="s">
        <v>702</v>
      </c>
      <c r="D1399" s="8"/>
      <c r="E1399" s="9">
        <v>300000</v>
      </c>
      <c r="F1399" s="8"/>
      <c r="H1399" s="9">
        <f>+F1399+G1399</f>
        <v>0</v>
      </c>
      <c r="I1399" s="8"/>
      <c r="J1399" s="9">
        <f t="shared" si="741"/>
        <v>0</v>
      </c>
      <c r="K1399" s="9">
        <v>300000</v>
      </c>
      <c r="L1399" s="8"/>
      <c r="M1399" s="9">
        <f t="shared" si="750"/>
        <v>0</v>
      </c>
      <c r="N1399" s="8">
        <v>300000</v>
      </c>
      <c r="O1399" s="9"/>
      <c r="P1399" s="9">
        <f t="shared" si="751"/>
        <v>300000</v>
      </c>
      <c r="Q1399" s="9">
        <f t="shared" si="742"/>
        <v>0</v>
      </c>
      <c r="R1399" s="17"/>
      <c r="S1399" s="17"/>
      <c r="T1399" s="17"/>
      <c r="U1399" s="9">
        <f t="shared" si="743"/>
        <v>300000</v>
      </c>
      <c r="V1399" s="9">
        <f t="shared" si="744"/>
        <v>300000</v>
      </c>
      <c r="W1399" s="9">
        <f t="shared" si="745"/>
        <v>0</v>
      </c>
      <c r="X1399" s="9">
        <f t="shared" si="746"/>
        <v>300000</v>
      </c>
      <c r="Y1399" s="8"/>
      <c r="Z1399" s="9">
        <f t="shared" si="747"/>
        <v>0</v>
      </c>
      <c r="AA1399" s="8">
        <f t="shared" si="748"/>
        <v>300000</v>
      </c>
      <c r="AB1399" s="8">
        <f t="shared" si="749"/>
        <v>0</v>
      </c>
    </row>
    <row r="1400" spans="1:28" x14ac:dyDescent="0.3">
      <c r="A1400" s="64"/>
      <c r="B1400" s="8"/>
      <c r="C1400" s="7" t="s">
        <v>592</v>
      </c>
      <c r="D1400" s="8"/>
      <c r="E1400" s="9">
        <f>541000-229556.6-98381.4</f>
        <v>213062.00000000003</v>
      </c>
      <c r="F1400" s="9">
        <v>213062</v>
      </c>
      <c r="G1400" s="8"/>
      <c r="H1400" s="9">
        <f t="shared" si="740"/>
        <v>213062</v>
      </c>
      <c r="I1400" s="8"/>
      <c r="J1400" s="9">
        <f t="shared" si="741"/>
        <v>213062</v>
      </c>
      <c r="K1400" s="8"/>
      <c r="L1400" s="8"/>
      <c r="M1400" s="9">
        <f t="shared" si="750"/>
        <v>213062</v>
      </c>
      <c r="N1400" s="8"/>
      <c r="O1400" s="9"/>
      <c r="P1400" s="9">
        <f t="shared" si="751"/>
        <v>0</v>
      </c>
      <c r="Q1400" s="9">
        <f t="shared" si="742"/>
        <v>213062.00000000003</v>
      </c>
      <c r="R1400" s="17"/>
      <c r="S1400" s="17"/>
      <c r="T1400" s="17"/>
      <c r="U1400" s="9">
        <f t="shared" si="743"/>
        <v>0</v>
      </c>
      <c r="V1400" s="9">
        <f t="shared" si="744"/>
        <v>213062</v>
      </c>
      <c r="W1400" s="9">
        <f t="shared" si="745"/>
        <v>0</v>
      </c>
      <c r="X1400" s="9">
        <f t="shared" si="746"/>
        <v>213062</v>
      </c>
      <c r="Y1400" s="8"/>
      <c r="Z1400" s="9">
        <f t="shared" si="747"/>
        <v>0</v>
      </c>
      <c r="AA1400" s="8">
        <f t="shared" si="748"/>
        <v>213062</v>
      </c>
      <c r="AB1400" s="8">
        <f t="shared" si="749"/>
        <v>0</v>
      </c>
    </row>
    <row r="1401" spans="1:28" x14ac:dyDescent="0.3">
      <c r="A1401" s="64"/>
      <c r="B1401" s="8"/>
      <c r="C1401" s="7" t="s">
        <v>678</v>
      </c>
      <c r="D1401" s="8"/>
      <c r="E1401" s="9">
        <f>5000000+2356912.31-2356912.31+2181109.25</f>
        <v>7181109.25</v>
      </c>
      <c r="F1401" s="9">
        <f>2500000+2500000+2181109.25</f>
        <v>7181109.25</v>
      </c>
      <c r="G1401" s="8"/>
      <c r="H1401" s="9">
        <f t="shared" si="740"/>
        <v>7181109.25</v>
      </c>
      <c r="I1401" s="9">
        <f>2356912.31-2356912.31</f>
        <v>0</v>
      </c>
      <c r="J1401" s="9">
        <f t="shared" si="741"/>
        <v>7181109.25</v>
      </c>
      <c r="K1401" s="8"/>
      <c r="L1401" s="8"/>
      <c r="M1401" s="9">
        <f t="shared" si="750"/>
        <v>7181109.25</v>
      </c>
      <c r="N1401" s="8"/>
      <c r="O1401" s="9"/>
      <c r="P1401" s="9">
        <f t="shared" si="751"/>
        <v>0</v>
      </c>
      <c r="Q1401" s="9">
        <f t="shared" si="742"/>
        <v>7181109.25</v>
      </c>
      <c r="R1401" s="17"/>
      <c r="S1401" s="17"/>
      <c r="T1401" s="17"/>
      <c r="U1401" s="9">
        <f t="shared" si="743"/>
        <v>0</v>
      </c>
      <c r="V1401" s="9">
        <f t="shared" si="744"/>
        <v>7181109.25</v>
      </c>
      <c r="W1401" s="9">
        <f t="shared" si="745"/>
        <v>0</v>
      </c>
      <c r="X1401" s="9">
        <f t="shared" si="746"/>
        <v>7181109.25</v>
      </c>
      <c r="Y1401" s="8"/>
      <c r="Z1401" s="9">
        <f t="shared" si="747"/>
        <v>0</v>
      </c>
      <c r="AA1401" s="8">
        <f t="shared" si="748"/>
        <v>7181109.25</v>
      </c>
      <c r="AB1401" s="8">
        <f t="shared" si="749"/>
        <v>0</v>
      </c>
    </row>
    <row r="1402" spans="1:28" x14ac:dyDescent="0.3">
      <c r="A1402" s="64"/>
      <c r="B1402" s="8"/>
      <c r="C1402" s="8"/>
      <c r="D1402" s="8"/>
      <c r="E1402" s="17" t="s">
        <v>29</v>
      </c>
      <c r="F1402" s="17" t="s">
        <v>29</v>
      </c>
      <c r="G1402" s="17" t="s">
        <v>29</v>
      </c>
      <c r="H1402" s="17" t="s">
        <v>29</v>
      </c>
      <c r="I1402" s="17" t="s">
        <v>29</v>
      </c>
      <c r="J1402" s="17" t="s">
        <v>29</v>
      </c>
      <c r="K1402" s="17" t="s">
        <v>29</v>
      </c>
      <c r="L1402" s="17" t="s">
        <v>29</v>
      </c>
      <c r="M1402" s="17" t="s">
        <v>29</v>
      </c>
      <c r="N1402" s="17" t="s">
        <v>29</v>
      </c>
      <c r="O1402" s="17" t="s">
        <v>29</v>
      </c>
      <c r="P1402" s="17" t="s">
        <v>29</v>
      </c>
      <c r="Q1402" s="17" t="s">
        <v>29</v>
      </c>
      <c r="R1402" s="17" t="s">
        <v>29</v>
      </c>
      <c r="S1402" s="17" t="s">
        <v>29</v>
      </c>
      <c r="T1402" s="17" t="s">
        <v>29</v>
      </c>
      <c r="U1402" s="17" t="s">
        <v>29</v>
      </c>
      <c r="V1402" s="17" t="s">
        <v>29</v>
      </c>
      <c r="W1402" s="17" t="s">
        <v>29</v>
      </c>
      <c r="X1402" s="17" t="s">
        <v>29</v>
      </c>
      <c r="Y1402" s="17" t="s">
        <v>29</v>
      </c>
      <c r="Z1402" s="17" t="s">
        <v>29</v>
      </c>
      <c r="AA1402" s="17" t="s">
        <v>29</v>
      </c>
      <c r="AB1402" s="17" t="s">
        <v>29</v>
      </c>
    </row>
    <row r="1403" spans="1:28" x14ac:dyDescent="0.3">
      <c r="A1403" s="64"/>
      <c r="B1403" s="8"/>
      <c r="C1403" s="8"/>
      <c r="D1403" s="8"/>
      <c r="E1403" s="9">
        <f t="shared" ref="E1403:Q1403" si="752">SUM(E1379:E1402)</f>
        <v>47226860.450000003</v>
      </c>
      <c r="F1403" s="9">
        <f t="shared" si="752"/>
        <v>40272268.149999999</v>
      </c>
      <c r="G1403" s="9">
        <f t="shared" si="752"/>
        <v>0</v>
      </c>
      <c r="H1403" s="9">
        <f t="shared" si="752"/>
        <v>40272268.149999999</v>
      </c>
      <c r="I1403" s="9">
        <f t="shared" si="752"/>
        <v>0</v>
      </c>
      <c r="J1403" s="9">
        <f t="shared" si="752"/>
        <v>39272268.149999999</v>
      </c>
      <c r="K1403" s="9">
        <f t="shared" si="752"/>
        <v>6954592.2999999998</v>
      </c>
      <c r="L1403" s="9">
        <f t="shared" si="752"/>
        <v>0</v>
      </c>
      <c r="M1403" s="9">
        <f t="shared" si="752"/>
        <v>40272268.149999999</v>
      </c>
      <c r="N1403" s="9">
        <f t="shared" si="752"/>
        <v>6954592.2999999998</v>
      </c>
      <c r="O1403" s="9">
        <f t="shared" si="752"/>
        <v>0</v>
      </c>
      <c r="P1403" s="9">
        <f t="shared" si="752"/>
        <v>6954592.2999999998</v>
      </c>
      <c r="Q1403" s="9">
        <f t="shared" si="752"/>
        <v>38100268.149999999</v>
      </c>
      <c r="R1403" s="17"/>
      <c r="S1403" s="17"/>
      <c r="T1403" s="9">
        <f t="shared" ref="T1403:Z1403" si="753">SUM(T1379:T1402)</f>
        <v>0</v>
      </c>
      <c r="U1403" s="9">
        <f t="shared" si="753"/>
        <v>6954592.2999999998</v>
      </c>
      <c r="V1403" s="9">
        <f t="shared" si="753"/>
        <v>46226860.450000003</v>
      </c>
      <c r="W1403" s="9">
        <f t="shared" si="753"/>
        <v>0</v>
      </c>
      <c r="X1403" s="9">
        <f t="shared" si="753"/>
        <v>47226860.450000003</v>
      </c>
      <c r="Y1403" s="9">
        <f t="shared" si="753"/>
        <v>0</v>
      </c>
      <c r="Z1403" s="9">
        <f t="shared" si="753"/>
        <v>0</v>
      </c>
      <c r="AA1403" s="9">
        <f>SUM(AA1379:AA1402)</f>
        <v>47226860.450000003</v>
      </c>
      <c r="AB1403" s="9">
        <f>SUM(AB1379:AB1402)</f>
        <v>0</v>
      </c>
    </row>
    <row r="1404" spans="1:28" x14ac:dyDescent="0.3">
      <c r="A1404" s="64"/>
      <c r="B1404" s="8"/>
      <c r="C1404" s="8"/>
      <c r="D1404" s="8"/>
      <c r="E1404" s="17" t="s">
        <v>29</v>
      </c>
      <c r="F1404" s="17" t="s">
        <v>29</v>
      </c>
      <c r="G1404" s="17" t="s">
        <v>29</v>
      </c>
      <c r="H1404" s="17" t="s">
        <v>29</v>
      </c>
      <c r="I1404" s="17" t="s">
        <v>29</v>
      </c>
      <c r="J1404" s="17" t="s">
        <v>29</v>
      </c>
      <c r="K1404" s="17" t="s">
        <v>29</v>
      </c>
      <c r="L1404" s="17" t="s">
        <v>29</v>
      </c>
      <c r="M1404" s="17" t="s">
        <v>29</v>
      </c>
      <c r="N1404" s="17" t="s">
        <v>29</v>
      </c>
      <c r="O1404" s="17" t="s">
        <v>29</v>
      </c>
      <c r="P1404" s="17" t="s">
        <v>29</v>
      </c>
      <c r="Q1404" s="17" t="s">
        <v>29</v>
      </c>
      <c r="R1404" s="17" t="s">
        <v>29</v>
      </c>
      <c r="S1404" s="17" t="s">
        <v>29</v>
      </c>
      <c r="T1404" s="17" t="s">
        <v>29</v>
      </c>
      <c r="U1404" s="17" t="s">
        <v>29</v>
      </c>
      <c r="V1404" s="17" t="s">
        <v>29</v>
      </c>
      <c r="W1404" s="17" t="s">
        <v>29</v>
      </c>
      <c r="X1404" s="17" t="s">
        <v>29</v>
      </c>
      <c r="Y1404" s="17" t="s">
        <v>29</v>
      </c>
      <c r="Z1404" s="17" t="s">
        <v>29</v>
      </c>
      <c r="AA1404" s="17" t="s">
        <v>29</v>
      </c>
      <c r="AB1404" s="17" t="s">
        <v>29</v>
      </c>
    </row>
    <row r="1405" spans="1:28" x14ac:dyDescent="0.3">
      <c r="A1405" s="63" t="s">
        <v>999</v>
      </c>
      <c r="B1405" s="7" t="s">
        <v>722</v>
      </c>
      <c r="C1405" s="8"/>
      <c r="D1405" s="8"/>
      <c r="E1405" s="8"/>
      <c r="F1405" s="8"/>
      <c r="G1405" s="8"/>
      <c r="H1405" s="8"/>
      <c r="I1405" s="8"/>
      <c r="J1405" s="8"/>
      <c r="K1405" s="8"/>
      <c r="L1405" s="8"/>
      <c r="M1405" s="8"/>
      <c r="N1405" s="8"/>
      <c r="O1405" s="8"/>
      <c r="P1405" s="8"/>
      <c r="Q1405" s="8"/>
      <c r="R1405" s="17"/>
      <c r="S1405" s="17"/>
      <c r="T1405" s="17"/>
      <c r="U1405" s="17"/>
      <c r="V1405" s="17"/>
      <c r="W1405" s="17"/>
      <c r="X1405" s="17"/>
      <c r="Y1405" s="17"/>
      <c r="Z1405" s="17"/>
    </row>
    <row r="1406" spans="1:28" x14ac:dyDescent="0.3">
      <c r="A1406" s="64"/>
      <c r="B1406" s="8"/>
      <c r="C1406" s="7" t="s">
        <v>535</v>
      </c>
      <c r="D1406" s="15" t="s">
        <v>68</v>
      </c>
      <c r="E1406" s="9">
        <f>1573200-190852</f>
        <v>1382348</v>
      </c>
      <c r="F1406" s="9">
        <v>1382348</v>
      </c>
      <c r="G1406" s="8"/>
      <c r="H1406" s="9">
        <f t="shared" ref="H1406:H1432" si="754">F1406+G1406</f>
        <v>1382348</v>
      </c>
      <c r="I1406" s="8"/>
      <c r="J1406" s="9">
        <f t="shared" ref="J1406:J1432" si="755">H1406+I1406</f>
        <v>1382348</v>
      </c>
      <c r="K1406" s="8"/>
      <c r="L1406" s="8"/>
      <c r="M1406" s="9">
        <f>+H1406+L1406</f>
        <v>1382348</v>
      </c>
      <c r="N1406" s="8"/>
      <c r="O1406" s="9"/>
      <c r="P1406" s="9">
        <f>+N1406+O1406</f>
        <v>0</v>
      </c>
      <c r="Q1406" s="9">
        <f t="shared" ref="Q1406:Q1432" si="756">E1406-P1406</f>
        <v>1382348</v>
      </c>
      <c r="R1406" s="17"/>
      <c r="S1406" s="17"/>
      <c r="T1406" s="17"/>
      <c r="U1406" s="9">
        <f t="shared" ref="U1406:U1432" si="757">P1406+T1406</f>
        <v>0</v>
      </c>
      <c r="V1406" s="9">
        <f t="shared" ref="V1406:V1432" si="758">P1406+H1406</f>
        <v>1382348</v>
      </c>
      <c r="W1406" s="9">
        <f t="shared" ref="W1406:W1432" si="759">E1406-V1406</f>
        <v>0</v>
      </c>
      <c r="X1406" s="9">
        <f t="shared" ref="X1406:X1432" si="760">+H1406+P1406</f>
        <v>1382348</v>
      </c>
      <c r="Y1406" s="8"/>
      <c r="Z1406" s="9">
        <f t="shared" ref="Z1406:Z1432" si="761">+E1406-X1406</f>
        <v>0</v>
      </c>
      <c r="AA1406" s="8">
        <f t="shared" ref="AA1406:AA1432" si="762">+M1406+U1406</f>
        <v>1382348</v>
      </c>
      <c r="AB1406" s="8">
        <f t="shared" ref="AB1406:AB1432" si="763">+E1406-AA1406</f>
        <v>0</v>
      </c>
    </row>
    <row r="1407" spans="1:28" x14ac:dyDescent="0.3">
      <c r="A1407" s="64"/>
      <c r="B1407" s="8"/>
      <c r="C1407" s="7" t="s">
        <v>723</v>
      </c>
      <c r="D1407" s="15" t="s">
        <v>68</v>
      </c>
      <c r="E1407" s="9">
        <f>178500-32162</f>
        <v>146338</v>
      </c>
      <c r="F1407" s="9">
        <v>146338</v>
      </c>
      <c r="G1407" s="8"/>
      <c r="H1407" s="9">
        <f t="shared" si="754"/>
        <v>146338</v>
      </c>
      <c r="I1407" s="8"/>
      <c r="J1407" s="9">
        <f t="shared" si="755"/>
        <v>146338</v>
      </c>
      <c r="K1407" s="8"/>
      <c r="L1407" s="8"/>
      <c r="M1407" s="9">
        <f t="shared" ref="M1407:M1432" si="764">+H1407+L1407</f>
        <v>146338</v>
      </c>
      <c r="N1407" s="8"/>
      <c r="O1407" s="9"/>
      <c r="P1407" s="9">
        <f t="shared" ref="P1407:P1432" si="765">+N1407+O1407</f>
        <v>0</v>
      </c>
      <c r="Q1407" s="9">
        <f t="shared" si="756"/>
        <v>146338</v>
      </c>
      <c r="R1407" s="17"/>
      <c r="S1407" s="17"/>
      <c r="T1407" s="17"/>
      <c r="U1407" s="9">
        <f t="shared" si="757"/>
        <v>0</v>
      </c>
      <c r="V1407" s="9">
        <f t="shared" si="758"/>
        <v>146338</v>
      </c>
      <c r="W1407" s="9">
        <f t="shared" si="759"/>
        <v>0</v>
      </c>
      <c r="X1407" s="9">
        <f t="shared" si="760"/>
        <v>146338</v>
      </c>
      <c r="Y1407" s="8"/>
      <c r="Z1407" s="9">
        <f t="shared" si="761"/>
        <v>0</v>
      </c>
      <c r="AA1407" s="8">
        <f t="shared" si="762"/>
        <v>146338</v>
      </c>
      <c r="AB1407" s="8">
        <f t="shared" si="763"/>
        <v>0</v>
      </c>
    </row>
    <row r="1408" spans="1:28" x14ac:dyDescent="0.3">
      <c r="A1408" s="64"/>
      <c r="B1408" s="8"/>
      <c r="C1408" s="7" t="s">
        <v>539</v>
      </c>
      <c r="D1408" s="15" t="s">
        <v>68</v>
      </c>
      <c r="E1408" s="9">
        <f>1965625+393125+1215797</f>
        <v>3574547</v>
      </c>
      <c r="F1408" s="8"/>
      <c r="G1408" s="8"/>
      <c r="H1408" s="9">
        <f t="shared" si="754"/>
        <v>0</v>
      </c>
      <c r="I1408" s="8"/>
      <c r="J1408" s="9">
        <f t="shared" si="755"/>
        <v>0</v>
      </c>
      <c r="K1408" s="9">
        <f>1965625+393125+1215797</f>
        <v>3574547</v>
      </c>
      <c r="L1408" s="8"/>
      <c r="M1408" s="9">
        <f t="shared" si="764"/>
        <v>0</v>
      </c>
      <c r="N1408" s="8">
        <v>3574547</v>
      </c>
      <c r="O1408" s="9"/>
      <c r="P1408" s="9">
        <f t="shared" si="765"/>
        <v>3574547</v>
      </c>
      <c r="Q1408" s="9">
        <f t="shared" si="756"/>
        <v>0</v>
      </c>
      <c r="R1408" s="17"/>
      <c r="S1408" s="17"/>
      <c r="T1408" s="17"/>
      <c r="U1408" s="9">
        <f t="shared" si="757"/>
        <v>3574547</v>
      </c>
      <c r="V1408" s="9">
        <f t="shared" si="758"/>
        <v>3574547</v>
      </c>
      <c r="W1408" s="9">
        <f t="shared" si="759"/>
        <v>0</v>
      </c>
      <c r="X1408" s="9">
        <f t="shared" si="760"/>
        <v>3574547</v>
      </c>
      <c r="Y1408" s="8"/>
      <c r="Z1408" s="9">
        <f t="shared" si="761"/>
        <v>0</v>
      </c>
      <c r="AA1408" s="8">
        <f t="shared" si="762"/>
        <v>3574547</v>
      </c>
      <c r="AB1408" s="8">
        <f t="shared" si="763"/>
        <v>0</v>
      </c>
    </row>
    <row r="1409" spans="1:28" x14ac:dyDescent="0.3">
      <c r="A1409" s="64"/>
      <c r="B1409" s="8"/>
      <c r="C1409" s="7" t="s">
        <v>724</v>
      </c>
      <c r="D1409" s="15" t="s">
        <v>54</v>
      </c>
      <c r="E1409" s="9">
        <f>43133+146867</f>
        <v>190000</v>
      </c>
      <c r="F1409" s="9">
        <v>190000</v>
      </c>
      <c r="G1409" s="8"/>
      <c r="H1409" s="9">
        <f t="shared" si="754"/>
        <v>190000</v>
      </c>
      <c r="I1409" s="8"/>
      <c r="J1409" s="9">
        <f t="shared" si="755"/>
        <v>190000</v>
      </c>
      <c r="K1409" s="8"/>
      <c r="L1409" s="8"/>
      <c r="M1409" s="9">
        <f t="shared" si="764"/>
        <v>190000</v>
      </c>
      <c r="N1409" s="8"/>
      <c r="O1409" s="9"/>
      <c r="P1409" s="9">
        <f t="shared" si="765"/>
        <v>0</v>
      </c>
      <c r="Q1409" s="9">
        <f t="shared" si="756"/>
        <v>190000</v>
      </c>
      <c r="R1409" s="17"/>
      <c r="S1409" s="17"/>
      <c r="T1409" s="17"/>
      <c r="U1409" s="9">
        <f t="shared" si="757"/>
        <v>0</v>
      </c>
      <c r="V1409" s="9">
        <f t="shared" si="758"/>
        <v>190000</v>
      </c>
      <c r="W1409" s="9">
        <f t="shared" si="759"/>
        <v>0</v>
      </c>
      <c r="X1409" s="9">
        <f t="shared" si="760"/>
        <v>190000</v>
      </c>
      <c r="Y1409" s="8"/>
      <c r="Z1409" s="9">
        <f t="shared" si="761"/>
        <v>0</v>
      </c>
      <c r="AA1409" s="8">
        <f t="shared" si="762"/>
        <v>190000</v>
      </c>
      <c r="AB1409" s="8">
        <f t="shared" si="763"/>
        <v>0</v>
      </c>
    </row>
    <row r="1410" spans="1:28" x14ac:dyDescent="0.3">
      <c r="A1410" s="64"/>
      <c r="B1410" s="8"/>
      <c r="C1410" s="7" t="s">
        <v>545</v>
      </c>
      <c r="D1410" s="15" t="s">
        <v>54</v>
      </c>
      <c r="E1410" s="9">
        <v>1953989</v>
      </c>
      <c r="F1410" s="8"/>
      <c r="G1410" s="8"/>
      <c r="H1410" s="9">
        <f t="shared" si="754"/>
        <v>0</v>
      </c>
      <c r="I1410" s="8"/>
      <c r="J1410" s="9">
        <f t="shared" si="755"/>
        <v>0</v>
      </c>
      <c r="K1410" s="9">
        <v>1953989</v>
      </c>
      <c r="L1410" s="8"/>
      <c r="M1410" s="9">
        <f t="shared" si="764"/>
        <v>0</v>
      </c>
      <c r="N1410" s="8">
        <v>1953989</v>
      </c>
      <c r="O1410" s="9"/>
      <c r="P1410" s="9">
        <f t="shared" si="765"/>
        <v>1953989</v>
      </c>
      <c r="Q1410" s="9">
        <f t="shared" si="756"/>
        <v>0</v>
      </c>
      <c r="R1410" s="17"/>
      <c r="S1410" s="17"/>
      <c r="T1410" s="17"/>
      <c r="U1410" s="9">
        <f t="shared" si="757"/>
        <v>1953989</v>
      </c>
      <c r="V1410" s="9">
        <f t="shared" si="758"/>
        <v>1953989</v>
      </c>
      <c r="W1410" s="9">
        <f t="shared" si="759"/>
        <v>0</v>
      </c>
      <c r="X1410" s="9">
        <f t="shared" si="760"/>
        <v>1953989</v>
      </c>
      <c r="Y1410" s="8"/>
      <c r="Z1410" s="9">
        <f t="shared" si="761"/>
        <v>0</v>
      </c>
      <c r="AA1410" s="8">
        <f t="shared" si="762"/>
        <v>1953989</v>
      </c>
      <c r="AB1410" s="8">
        <f t="shared" si="763"/>
        <v>0</v>
      </c>
    </row>
    <row r="1411" spans="1:28" x14ac:dyDescent="0.3">
      <c r="A1411" s="64"/>
      <c r="B1411" s="8"/>
      <c r="C1411" s="7" t="s">
        <v>725</v>
      </c>
      <c r="D1411" s="15" t="s">
        <v>54</v>
      </c>
      <c r="E1411" s="9">
        <v>955345.62</v>
      </c>
      <c r="F1411" s="8"/>
      <c r="G1411" s="8"/>
      <c r="H1411" s="9">
        <f t="shared" si="754"/>
        <v>0</v>
      </c>
      <c r="I1411" s="8"/>
      <c r="J1411" s="9">
        <f t="shared" si="755"/>
        <v>0</v>
      </c>
      <c r="K1411" s="9">
        <v>955345.62</v>
      </c>
      <c r="L1411" s="8"/>
      <c r="M1411" s="9">
        <f t="shared" si="764"/>
        <v>0</v>
      </c>
      <c r="N1411" s="8">
        <v>955345.62</v>
      </c>
      <c r="O1411" s="9"/>
      <c r="P1411" s="9">
        <f t="shared" si="765"/>
        <v>955345.62</v>
      </c>
      <c r="Q1411" s="9">
        <f t="shared" si="756"/>
        <v>0</v>
      </c>
      <c r="R1411" s="17"/>
      <c r="S1411" s="17"/>
      <c r="T1411" s="17"/>
      <c r="U1411" s="9">
        <f t="shared" si="757"/>
        <v>955345.62</v>
      </c>
      <c r="V1411" s="9">
        <f t="shared" si="758"/>
        <v>955345.62</v>
      </c>
      <c r="W1411" s="9">
        <f t="shared" si="759"/>
        <v>0</v>
      </c>
      <c r="X1411" s="9">
        <f t="shared" si="760"/>
        <v>955345.62</v>
      </c>
      <c r="Y1411" s="8"/>
      <c r="Z1411" s="9">
        <f t="shared" si="761"/>
        <v>0</v>
      </c>
      <c r="AA1411" s="8">
        <f t="shared" si="762"/>
        <v>955345.62</v>
      </c>
      <c r="AB1411" s="8">
        <f t="shared" si="763"/>
        <v>0</v>
      </c>
    </row>
    <row r="1412" spans="1:28" x14ac:dyDescent="0.3">
      <c r="A1412" s="64"/>
      <c r="B1412" s="8"/>
      <c r="C1412" s="7" t="s">
        <v>535</v>
      </c>
      <c r="D1412" s="15" t="s">
        <v>85</v>
      </c>
      <c r="E1412" s="9">
        <v>2555000</v>
      </c>
      <c r="F1412" s="9">
        <v>2555000</v>
      </c>
      <c r="G1412" s="8"/>
      <c r="H1412" s="9">
        <f t="shared" si="754"/>
        <v>2555000</v>
      </c>
      <c r="I1412" s="8"/>
      <c r="J1412" s="9">
        <f t="shared" si="755"/>
        <v>2555000</v>
      </c>
      <c r="K1412" s="8"/>
      <c r="L1412" s="8"/>
      <c r="M1412" s="9">
        <f t="shared" si="764"/>
        <v>2555000</v>
      </c>
      <c r="N1412" s="8"/>
      <c r="O1412" s="9"/>
      <c r="P1412" s="9">
        <f t="shared" si="765"/>
        <v>0</v>
      </c>
      <c r="Q1412" s="9">
        <f t="shared" si="756"/>
        <v>2555000</v>
      </c>
      <c r="R1412" s="17"/>
      <c r="S1412" s="17"/>
      <c r="T1412" s="17"/>
      <c r="U1412" s="9">
        <f t="shared" si="757"/>
        <v>0</v>
      </c>
      <c r="V1412" s="9">
        <f t="shared" si="758"/>
        <v>2555000</v>
      </c>
      <c r="W1412" s="9">
        <f t="shared" si="759"/>
        <v>0</v>
      </c>
      <c r="X1412" s="9">
        <f t="shared" si="760"/>
        <v>2555000</v>
      </c>
      <c r="Y1412" s="8"/>
      <c r="Z1412" s="9">
        <f t="shared" si="761"/>
        <v>0</v>
      </c>
      <c r="AA1412" s="8">
        <f t="shared" si="762"/>
        <v>2555000</v>
      </c>
      <c r="AB1412" s="8">
        <f t="shared" si="763"/>
        <v>0</v>
      </c>
    </row>
    <row r="1413" spans="1:28" x14ac:dyDescent="0.3">
      <c r="A1413" s="64"/>
      <c r="B1413" s="8"/>
      <c r="C1413" s="7" t="s">
        <v>557</v>
      </c>
      <c r="D1413" s="15" t="s">
        <v>85</v>
      </c>
      <c r="E1413" s="9">
        <v>2721361.48</v>
      </c>
      <c r="F1413" s="9">
        <f>2000000+531940+189421.48</f>
        <v>2721361.48</v>
      </c>
      <c r="G1413" s="8"/>
      <c r="H1413" s="9">
        <f t="shared" si="754"/>
        <v>2721361.48</v>
      </c>
      <c r="I1413" s="8"/>
      <c r="J1413" s="9">
        <f t="shared" si="755"/>
        <v>2721361.48</v>
      </c>
      <c r="K1413" s="8"/>
      <c r="L1413" s="8"/>
      <c r="M1413" s="9">
        <f t="shared" si="764"/>
        <v>2721361.48</v>
      </c>
      <c r="N1413" s="8"/>
      <c r="O1413" s="9"/>
      <c r="P1413" s="9">
        <f t="shared" si="765"/>
        <v>0</v>
      </c>
      <c r="Q1413" s="9">
        <f t="shared" si="756"/>
        <v>2721361.48</v>
      </c>
      <c r="R1413" s="17"/>
      <c r="S1413" s="17"/>
      <c r="T1413" s="17"/>
      <c r="U1413" s="9">
        <f t="shared" si="757"/>
        <v>0</v>
      </c>
      <c r="V1413" s="9">
        <f t="shared" si="758"/>
        <v>2721361.48</v>
      </c>
      <c r="W1413" s="9">
        <f t="shared" si="759"/>
        <v>0</v>
      </c>
      <c r="X1413" s="9">
        <f t="shared" si="760"/>
        <v>2721361.48</v>
      </c>
      <c r="Y1413" s="8"/>
      <c r="Z1413" s="9">
        <f t="shared" si="761"/>
        <v>0</v>
      </c>
      <c r="AA1413" s="8">
        <f t="shared" si="762"/>
        <v>2721361.48</v>
      </c>
      <c r="AB1413" s="8">
        <f t="shared" si="763"/>
        <v>0</v>
      </c>
    </row>
    <row r="1414" spans="1:28" x14ac:dyDescent="0.3">
      <c r="A1414" s="64"/>
      <c r="B1414" s="8"/>
      <c r="C1414" s="7" t="s">
        <v>726</v>
      </c>
      <c r="D1414" s="15" t="s">
        <v>85</v>
      </c>
      <c r="E1414" s="9">
        <v>80000</v>
      </c>
      <c r="F1414" s="9">
        <v>80000</v>
      </c>
      <c r="G1414" s="8"/>
      <c r="H1414" s="9">
        <f t="shared" si="754"/>
        <v>80000</v>
      </c>
      <c r="I1414" s="8"/>
      <c r="J1414" s="9">
        <f t="shared" si="755"/>
        <v>80000</v>
      </c>
      <c r="K1414" s="8"/>
      <c r="L1414" s="8"/>
      <c r="M1414" s="9">
        <f t="shared" si="764"/>
        <v>80000</v>
      </c>
      <c r="N1414" s="8"/>
      <c r="O1414" s="9"/>
      <c r="P1414" s="9">
        <f t="shared" si="765"/>
        <v>0</v>
      </c>
      <c r="Q1414" s="9">
        <f t="shared" si="756"/>
        <v>80000</v>
      </c>
      <c r="R1414" s="17"/>
      <c r="S1414" s="17"/>
      <c r="T1414" s="17"/>
      <c r="U1414" s="9">
        <f t="shared" si="757"/>
        <v>0</v>
      </c>
      <c r="V1414" s="9">
        <f t="shared" si="758"/>
        <v>80000</v>
      </c>
      <c r="W1414" s="9">
        <f t="shared" si="759"/>
        <v>0</v>
      </c>
      <c r="X1414" s="9">
        <f t="shared" si="760"/>
        <v>80000</v>
      </c>
      <c r="Y1414" s="8"/>
      <c r="Z1414" s="9">
        <f t="shared" si="761"/>
        <v>0</v>
      </c>
      <c r="AA1414" s="8">
        <f t="shared" si="762"/>
        <v>80000</v>
      </c>
      <c r="AB1414" s="8">
        <f t="shared" si="763"/>
        <v>0</v>
      </c>
    </row>
    <row r="1415" spans="1:28" x14ac:dyDescent="0.3">
      <c r="A1415" s="64"/>
      <c r="B1415" s="8"/>
      <c r="C1415" s="7" t="s">
        <v>727</v>
      </c>
      <c r="D1415" s="15" t="s">
        <v>85</v>
      </c>
      <c r="E1415" s="9">
        <f>80000+120000-13450</f>
        <v>186550</v>
      </c>
      <c r="F1415" s="9">
        <f>66550+120000</f>
        <v>186550</v>
      </c>
      <c r="G1415" s="8"/>
      <c r="H1415" s="9">
        <f t="shared" si="754"/>
        <v>186550</v>
      </c>
      <c r="I1415" s="8"/>
      <c r="J1415" s="9">
        <f t="shared" si="755"/>
        <v>186550</v>
      </c>
      <c r="K1415" s="8"/>
      <c r="L1415" s="8"/>
      <c r="M1415" s="9">
        <f t="shared" si="764"/>
        <v>186550</v>
      </c>
      <c r="N1415" s="8"/>
      <c r="O1415" s="9"/>
      <c r="P1415" s="9">
        <f t="shared" si="765"/>
        <v>0</v>
      </c>
      <c r="Q1415" s="9">
        <f t="shared" si="756"/>
        <v>186550</v>
      </c>
      <c r="R1415" s="17"/>
      <c r="S1415" s="17"/>
      <c r="T1415" s="17"/>
      <c r="U1415" s="9">
        <f t="shared" si="757"/>
        <v>0</v>
      </c>
      <c r="V1415" s="9">
        <f t="shared" si="758"/>
        <v>186550</v>
      </c>
      <c r="W1415" s="9">
        <f t="shared" si="759"/>
        <v>0</v>
      </c>
      <c r="X1415" s="9">
        <f t="shared" si="760"/>
        <v>186550</v>
      </c>
      <c r="Y1415" s="8"/>
      <c r="Z1415" s="9">
        <f t="shared" si="761"/>
        <v>0</v>
      </c>
      <c r="AA1415" s="8">
        <f t="shared" si="762"/>
        <v>186550</v>
      </c>
      <c r="AB1415" s="8">
        <f t="shared" si="763"/>
        <v>0</v>
      </c>
    </row>
    <row r="1416" spans="1:28" x14ac:dyDescent="0.3">
      <c r="A1416" s="64"/>
      <c r="B1416" s="8"/>
      <c r="C1416" s="7" t="s">
        <v>671</v>
      </c>
      <c r="D1416" s="15" t="s">
        <v>85</v>
      </c>
      <c r="E1416" s="9">
        <f>320000-320000</f>
        <v>0</v>
      </c>
      <c r="F1416" s="8"/>
      <c r="G1416" s="8"/>
      <c r="H1416" s="9">
        <f t="shared" si="754"/>
        <v>0</v>
      </c>
      <c r="I1416" s="8"/>
      <c r="J1416" s="9">
        <f t="shared" si="755"/>
        <v>0</v>
      </c>
      <c r="K1416" s="8"/>
      <c r="L1416" s="8"/>
      <c r="M1416" s="9">
        <f t="shared" si="764"/>
        <v>0</v>
      </c>
      <c r="N1416" s="8"/>
      <c r="O1416" s="9"/>
      <c r="P1416" s="9">
        <f t="shared" si="765"/>
        <v>0</v>
      </c>
      <c r="Q1416" s="9">
        <f t="shared" si="756"/>
        <v>0</v>
      </c>
      <c r="R1416" s="17"/>
      <c r="S1416" s="17"/>
      <c r="T1416" s="17"/>
      <c r="U1416" s="9">
        <f t="shared" si="757"/>
        <v>0</v>
      </c>
      <c r="V1416" s="9">
        <f t="shared" si="758"/>
        <v>0</v>
      </c>
      <c r="W1416" s="9">
        <f t="shared" si="759"/>
        <v>0</v>
      </c>
      <c r="X1416" s="9">
        <f t="shared" si="760"/>
        <v>0</v>
      </c>
      <c r="Y1416" s="8"/>
      <c r="Z1416" s="9">
        <f t="shared" si="761"/>
        <v>0</v>
      </c>
      <c r="AA1416" s="8">
        <f t="shared" si="762"/>
        <v>0</v>
      </c>
      <c r="AB1416" s="8">
        <f t="shared" si="763"/>
        <v>0</v>
      </c>
    </row>
    <row r="1417" spans="1:28" x14ac:dyDescent="0.3">
      <c r="A1417" s="64"/>
      <c r="B1417" s="8"/>
      <c r="C1417" s="7" t="s">
        <v>535</v>
      </c>
      <c r="D1417" s="15" t="s">
        <v>128</v>
      </c>
      <c r="E1417" s="9">
        <v>1845000</v>
      </c>
      <c r="F1417" s="9">
        <v>1845000</v>
      </c>
      <c r="G1417" s="8"/>
      <c r="H1417" s="9">
        <f t="shared" si="754"/>
        <v>1845000</v>
      </c>
      <c r="I1417" s="8"/>
      <c r="J1417" s="9">
        <f t="shared" si="755"/>
        <v>1845000</v>
      </c>
      <c r="K1417" s="8"/>
      <c r="L1417" s="8"/>
      <c r="M1417" s="9">
        <f t="shared" si="764"/>
        <v>1845000</v>
      </c>
      <c r="N1417" s="8"/>
      <c r="O1417" s="9"/>
      <c r="P1417" s="9">
        <f t="shared" si="765"/>
        <v>0</v>
      </c>
      <c r="Q1417" s="9">
        <f t="shared" si="756"/>
        <v>1845000</v>
      </c>
      <c r="R1417" s="17"/>
      <c r="S1417" s="17"/>
      <c r="T1417" s="17"/>
      <c r="U1417" s="9">
        <f t="shared" si="757"/>
        <v>0</v>
      </c>
      <c r="V1417" s="9">
        <f t="shared" si="758"/>
        <v>1845000</v>
      </c>
      <c r="W1417" s="9">
        <f t="shared" si="759"/>
        <v>0</v>
      </c>
      <c r="X1417" s="9">
        <f t="shared" si="760"/>
        <v>1845000</v>
      </c>
      <c r="Y1417" s="8"/>
      <c r="Z1417" s="9">
        <f t="shared" si="761"/>
        <v>0</v>
      </c>
      <c r="AA1417" s="8">
        <f t="shared" si="762"/>
        <v>1845000</v>
      </c>
      <c r="AB1417" s="8">
        <f t="shared" si="763"/>
        <v>0</v>
      </c>
    </row>
    <row r="1418" spans="1:28" x14ac:dyDescent="0.3">
      <c r="A1418" s="64"/>
      <c r="B1418" s="8"/>
      <c r="C1418" s="7" t="s">
        <v>535</v>
      </c>
      <c r="D1418" s="15" t="s">
        <v>88</v>
      </c>
      <c r="E1418" s="9">
        <f>3835491.92+1244400</f>
        <v>5079891.92</v>
      </c>
      <c r="F1418" s="9">
        <f>3835491.92+1244400</f>
        <v>5079891.92</v>
      </c>
      <c r="G1418" s="8"/>
      <c r="H1418" s="9">
        <f t="shared" si="754"/>
        <v>5079891.92</v>
      </c>
      <c r="I1418" s="8"/>
      <c r="J1418" s="9">
        <f t="shared" si="755"/>
        <v>5079891.92</v>
      </c>
      <c r="K1418" s="8"/>
      <c r="L1418" s="8"/>
      <c r="M1418" s="9">
        <f t="shared" si="764"/>
        <v>5079891.92</v>
      </c>
      <c r="N1418" s="8"/>
      <c r="O1418" s="9"/>
      <c r="P1418" s="9">
        <f t="shared" si="765"/>
        <v>0</v>
      </c>
      <c r="Q1418" s="9">
        <f t="shared" si="756"/>
        <v>5079891.92</v>
      </c>
      <c r="R1418" s="17"/>
      <c r="S1418" s="17"/>
      <c r="T1418" s="17"/>
      <c r="U1418" s="9">
        <f t="shared" si="757"/>
        <v>0</v>
      </c>
      <c r="V1418" s="9">
        <f t="shared" si="758"/>
        <v>5079891.92</v>
      </c>
      <c r="W1418" s="9">
        <f t="shared" si="759"/>
        <v>0</v>
      </c>
      <c r="X1418" s="9">
        <f t="shared" si="760"/>
        <v>5079891.92</v>
      </c>
      <c r="Y1418" s="8"/>
      <c r="Z1418" s="9">
        <f t="shared" si="761"/>
        <v>0</v>
      </c>
      <c r="AA1418" s="8">
        <f t="shared" si="762"/>
        <v>5079891.92</v>
      </c>
      <c r="AB1418" s="8">
        <f t="shared" si="763"/>
        <v>0</v>
      </c>
    </row>
    <row r="1419" spans="1:28" x14ac:dyDescent="0.3">
      <c r="A1419" s="64"/>
      <c r="B1419" s="8"/>
      <c r="C1419" s="7" t="s">
        <v>535</v>
      </c>
      <c r="D1419" s="15" t="s">
        <v>108</v>
      </c>
      <c r="E1419" s="9">
        <v>2000000</v>
      </c>
      <c r="F1419" s="9">
        <v>2000000</v>
      </c>
      <c r="G1419" s="8"/>
      <c r="H1419" s="9">
        <f t="shared" si="754"/>
        <v>2000000</v>
      </c>
      <c r="I1419" s="8"/>
      <c r="J1419" s="9">
        <f t="shared" si="755"/>
        <v>2000000</v>
      </c>
      <c r="K1419" s="8"/>
      <c r="L1419" s="8"/>
      <c r="M1419" s="9">
        <f t="shared" si="764"/>
        <v>2000000</v>
      </c>
      <c r="N1419" s="8"/>
      <c r="O1419" s="9"/>
      <c r="P1419" s="9">
        <f t="shared" si="765"/>
        <v>0</v>
      </c>
      <c r="Q1419" s="9">
        <f t="shared" si="756"/>
        <v>2000000</v>
      </c>
      <c r="R1419" s="17"/>
      <c r="S1419" s="17"/>
      <c r="T1419" s="17"/>
      <c r="U1419" s="9">
        <f t="shared" si="757"/>
        <v>0</v>
      </c>
      <c r="V1419" s="9">
        <f t="shared" si="758"/>
        <v>2000000</v>
      </c>
      <c r="W1419" s="9">
        <f t="shared" si="759"/>
        <v>0</v>
      </c>
      <c r="X1419" s="9">
        <f t="shared" si="760"/>
        <v>2000000</v>
      </c>
      <c r="Y1419" s="8"/>
      <c r="Z1419" s="9">
        <f t="shared" si="761"/>
        <v>0</v>
      </c>
      <c r="AA1419" s="8">
        <f t="shared" si="762"/>
        <v>2000000</v>
      </c>
      <c r="AB1419" s="8">
        <f t="shared" si="763"/>
        <v>0</v>
      </c>
    </row>
    <row r="1420" spans="1:28" x14ac:dyDescent="0.3">
      <c r="A1420" s="64"/>
      <c r="B1420" s="8"/>
      <c r="C1420" s="7" t="s">
        <v>728</v>
      </c>
      <c r="D1420" s="15" t="s">
        <v>108</v>
      </c>
      <c r="E1420" s="9">
        <v>800000</v>
      </c>
      <c r="F1420" s="9">
        <v>800000</v>
      </c>
      <c r="G1420" s="8"/>
      <c r="H1420" s="9">
        <f t="shared" si="754"/>
        <v>800000</v>
      </c>
      <c r="I1420" s="8"/>
      <c r="J1420" s="9">
        <f t="shared" si="755"/>
        <v>800000</v>
      </c>
      <c r="K1420" s="8"/>
      <c r="L1420" s="8"/>
      <c r="M1420" s="9">
        <f t="shared" si="764"/>
        <v>800000</v>
      </c>
      <c r="N1420" s="8"/>
      <c r="O1420" s="9"/>
      <c r="P1420" s="9">
        <f t="shared" si="765"/>
        <v>0</v>
      </c>
      <c r="Q1420" s="9">
        <f t="shared" si="756"/>
        <v>800000</v>
      </c>
      <c r="R1420" s="17"/>
      <c r="S1420" s="17"/>
      <c r="T1420" s="17"/>
      <c r="U1420" s="9">
        <f t="shared" si="757"/>
        <v>0</v>
      </c>
      <c r="V1420" s="9">
        <f t="shared" si="758"/>
        <v>800000</v>
      </c>
      <c r="W1420" s="9">
        <f t="shared" si="759"/>
        <v>0</v>
      </c>
      <c r="X1420" s="9">
        <f t="shared" si="760"/>
        <v>800000</v>
      </c>
      <c r="Y1420" s="8"/>
      <c r="Z1420" s="9">
        <f t="shared" si="761"/>
        <v>0</v>
      </c>
      <c r="AA1420" s="8">
        <f t="shared" si="762"/>
        <v>800000</v>
      </c>
      <c r="AB1420" s="8">
        <f t="shared" si="763"/>
        <v>0</v>
      </c>
    </row>
    <row r="1421" spans="1:28" x14ac:dyDescent="0.3">
      <c r="A1421" s="64"/>
      <c r="B1421" s="8"/>
      <c r="C1421" s="7" t="s">
        <v>729</v>
      </c>
      <c r="D1421" s="15" t="s">
        <v>108</v>
      </c>
      <c r="E1421" s="9">
        <v>3800000</v>
      </c>
      <c r="F1421" s="9">
        <v>3800000</v>
      </c>
      <c r="G1421" s="8"/>
      <c r="H1421" s="9">
        <f t="shared" si="754"/>
        <v>3800000</v>
      </c>
      <c r="I1421" s="8"/>
      <c r="J1421" s="9">
        <f t="shared" si="755"/>
        <v>3800000</v>
      </c>
      <c r="K1421" s="8"/>
      <c r="L1421" s="8"/>
      <c r="M1421" s="9">
        <f t="shared" si="764"/>
        <v>3800000</v>
      </c>
      <c r="N1421" s="8"/>
      <c r="O1421" s="9"/>
      <c r="P1421" s="9">
        <f t="shared" si="765"/>
        <v>0</v>
      </c>
      <c r="Q1421" s="9">
        <f t="shared" si="756"/>
        <v>3800000</v>
      </c>
      <c r="R1421" s="17"/>
      <c r="S1421" s="17"/>
      <c r="T1421" s="17"/>
      <c r="U1421" s="9">
        <f t="shared" si="757"/>
        <v>0</v>
      </c>
      <c r="V1421" s="9">
        <f t="shared" si="758"/>
        <v>3800000</v>
      </c>
      <c r="W1421" s="9">
        <f t="shared" si="759"/>
        <v>0</v>
      </c>
      <c r="X1421" s="9">
        <f t="shared" si="760"/>
        <v>3800000</v>
      </c>
      <c r="Y1421" s="8"/>
      <c r="Z1421" s="9">
        <f t="shared" si="761"/>
        <v>0</v>
      </c>
      <c r="AA1421" s="8">
        <f t="shared" si="762"/>
        <v>3800000</v>
      </c>
      <c r="AB1421" s="8">
        <f t="shared" si="763"/>
        <v>0</v>
      </c>
    </row>
    <row r="1422" spans="1:28" x14ac:dyDescent="0.3">
      <c r="A1422" s="64"/>
      <c r="B1422" s="8"/>
      <c r="C1422" s="7" t="s">
        <v>535</v>
      </c>
      <c r="D1422" s="21" t="s">
        <v>60</v>
      </c>
      <c r="E1422" s="9">
        <f>232125+3103685+538867+712050+862222</f>
        <v>5448949</v>
      </c>
      <c r="F1422" s="9">
        <f>232125+3103685+538867+1574272</f>
        <v>5448949</v>
      </c>
      <c r="G1422" s="9"/>
      <c r="H1422" s="9">
        <f t="shared" si="754"/>
        <v>5448949</v>
      </c>
      <c r="I1422" s="9"/>
      <c r="J1422" s="9">
        <f t="shared" si="755"/>
        <v>5448949</v>
      </c>
      <c r="K1422" s="8"/>
      <c r="L1422" s="8"/>
      <c r="M1422" s="9">
        <f t="shared" si="764"/>
        <v>5448949</v>
      </c>
      <c r="N1422" s="8"/>
      <c r="O1422" s="9"/>
      <c r="P1422" s="9">
        <f t="shared" si="765"/>
        <v>0</v>
      </c>
      <c r="Q1422" s="9">
        <f t="shared" si="756"/>
        <v>5448949</v>
      </c>
      <c r="R1422" s="17"/>
      <c r="S1422" s="17"/>
      <c r="T1422" s="17"/>
      <c r="U1422" s="9">
        <f t="shared" si="757"/>
        <v>0</v>
      </c>
      <c r="V1422" s="9">
        <f t="shared" si="758"/>
        <v>5448949</v>
      </c>
      <c r="W1422" s="9">
        <f t="shared" si="759"/>
        <v>0</v>
      </c>
      <c r="X1422" s="9">
        <f t="shared" si="760"/>
        <v>5448949</v>
      </c>
      <c r="Y1422" s="8"/>
      <c r="Z1422" s="9">
        <f t="shared" si="761"/>
        <v>0</v>
      </c>
      <c r="AA1422" s="8">
        <f t="shared" si="762"/>
        <v>5448949</v>
      </c>
      <c r="AB1422" s="8">
        <f t="shared" si="763"/>
        <v>0</v>
      </c>
    </row>
    <row r="1423" spans="1:28" x14ac:dyDescent="0.3">
      <c r="A1423" s="64"/>
      <c r="B1423" s="8"/>
      <c r="C1423" s="7" t="s">
        <v>730</v>
      </c>
      <c r="D1423" s="21" t="s">
        <v>194</v>
      </c>
      <c r="E1423" s="11">
        <v>751372.14</v>
      </c>
      <c r="F1423" s="11">
        <v>751372.14</v>
      </c>
      <c r="G1423" s="8"/>
      <c r="H1423" s="9">
        <f t="shared" si="754"/>
        <v>751372.14</v>
      </c>
      <c r="I1423" s="9"/>
      <c r="J1423" s="9">
        <f t="shared" si="755"/>
        <v>751372.14</v>
      </c>
      <c r="K1423" s="8"/>
      <c r="L1423" s="8"/>
      <c r="M1423" s="9">
        <f t="shared" si="764"/>
        <v>751372.14</v>
      </c>
      <c r="N1423" s="8"/>
      <c r="O1423" s="9"/>
      <c r="P1423" s="9">
        <f t="shared" si="765"/>
        <v>0</v>
      </c>
      <c r="Q1423" s="9">
        <f t="shared" si="756"/>
        <v>751372.14</v>
      </c>
      <c r="R1423" s="17"/>
      <c r="S1423" s="17"/>
      <c r="T1423" s="17"/>
      <c r="U1423" s="9">
        <f t="shared" si="757"/>
        <v>0</v>
      </c>
      <c r="V1423" s="9">
        <f t="shared" si="758"/>
        <v>751372.14</v>
      </c>
      <c r="W1423" s="9">
        <f t="shared" si="759"/>
        <v>0</v>
      </c>
      <c r="X1423" s="9">
        <f t="shared" si="760"/>
        <v>751372.14</v>
      </c>
      <c r="Y1423" s="8"/>
      <c r="Z1423" s="9">
        <f t="shared" si="761"/>
        <v>0</v>
      </c>
      <c r="AA1423" s="8">
        <f t="shared" si="762"/>
        <v>751372.14</v>
      </c>
      <c r="AB1423" s="8">
        <f t="shared" si="763"/>
        <v>0</v>
      </c>
    </row>
    <row r="1424" spans="1:28" x14ac:dyDescent="0.3">
      <c r="A1424" s="64"/>
      <c r="B1424" s="8"/>
      <c r="C1424" s="7" t="s">
        <v>535</v>
      </c>
      <c r="D1424" s="21" t="s">
        <v>73</v>
      </c>
      <c r="E1424" s="9">
        <f>4169628.3+698857.29+776161.67</f>
        <v>5644647.2599999998</v>
      </c>
      <c r="F1424" s="9">
        <f>4169628.3+698857.29+776161.67</f>
        <v>5644647.2599999998</v>
      </c>
      <c r="G1424" s="9"/>
      <c r="H1424" s="9">
        <f t="shared" si="754"/>
        <v>5644647.2599999998</v>
      </c>
      <c r="I1424" s="9"/>
      <c r="J1424" s="9">
        <f t="shared" si="755"/>
        <v>5644647.2599999998</v>
      </c>
      <c r="K1424" s="8"/>
      <c r="L1424" s="8"/>
      <c r="M1424" s="9">
        <f t="shared" si="764"/>
        <v>5644647.2599999998</v>
      </c>
      <c r="N1424" s="8"/>
      <c r="O1424" s="9"/>
      <c r="P1424" s="9">
        <f t="shared" si="765"/>
        <v>0</v>
      </c>
      <c r="Q1424" s="9">
        <f t="shared" si="756"/>
        <v>5644647.2599999998</v>
      </c>
      <c r="R1424" s="17"/>
      <c r="S1424" s="17"/>
      <c r="T1424" s="17"/>
      <c r="U1424" s="9">
        <f t="shared" si="757"/>
        <v>0</v>
      </c>
      <c r="V1424" s="9">
        <f t="shared" si="758"/>
        <v>5644647.2599999998</v>
      </c>
      <c r="W1424" s="9">
        <f t="shared" si="759"/>
        <v>0</v>
      </c>
      <c r="X1424" s="9">
        <f t="shared" si="760"/>
        <v>5644647.2599999998</v>
      </c>
      <c r="Y1424" s="8"/>
      <c r="Z1424" s="9">
        <f t="shared" si="761"/>
        <v>0</v>
      </c>
      <c r="AA1424" s="8">
        <f t="shared" si="762"/>
        <v>5644647.2599999998</v>
      </c>
      <c r="AB1424" s="8">
        <f t="shared" si="763"/>
        <v>0</v>
      </c>
    </row>
    <row r="1425" spans="1:28" x14ac:dyDescent="0.3">
      <c r="A1425" s="64"/>
      <c r="B1425" s="8"/>
      <c r="C1425" s="14" t="s">
        <v>621</v>
      </c>
      <c r="D1425" s="21" t="s">
        <v>73</v>
      </c>
      <c r="E1425" s="11">
        <v>2299712</v>
      </c>
      <c r="F1425" s="11">
        <v>2299712</v>
      </c>
      <c r="G1425" s="8"/>
      <c r="H1425" s="9">
        <f t="shared" si="754"/>
        <v>2299712</v>
      </c>
      <c r="I1425" s="9"/>
      <c r="J1425" s="9">
        <f t="shared" si="755"/>
        <v>2299712</v>
      </c>
      <c r="K1425" s="8"/>
      <c r="L1425" s="8"/>
      <c r="M1425" s="9">
        <f t="shared" si="764"/>
        <v>2299712</v>
      </c>
      <c r="N1425" s="8"/>
      <c r="O1425" s="9"/>
      <c r="P1425" s="9">
        <f t="shared" si="765"/>
        <v>0</v>
      </c>
      <c r="Q1425" s="9">
        <f t="shared" si="756"/>
        <v>2299712</v>
      </c>
      <c r="R1425" s="17"/>
      <c r="S1425" s="17"/>
      <c r="T1425" s="17"/>
      <c r="U1425" s="9">
        <f t="shared" si="757"/>
        <v>0</v>
      </c>
      <c r="V1425" s="9">
        <f t="shared" si="758"/>
        <v>2299712</v>
      </c>
      <c r="W1425" s="9">
        <f t="shared" si="759"/>
        <v>0</v>
      </c>
      <c r="X1425" s="9">
        <f t="shared" si="760"/>
        <v>2299712</v>
      </c>
      <c r="Y1425" s="8"/>
      <c r="Z1425" s="9">
        <f t="shared" si="761"/>
        <v>0</v>
      </c>
      <c r="AA1425" s="8">
        <f t="shared" si="762"/>
        <v>2299712</v>
      </c>
      <c r="AB1425" s="8">
        <f t="shared" si="763"/>
        <v>0</v>
      </c>
    </row>
    <row r="1426" spans="1:28" x14ac:dyDescent="0.3">
      <c r="A1426" s="64"/>
      <c r="B1426" s="8"/>
      <c r="C1426" s="14" t="s">
        <v>535</v>
      </c>
      <c r="D1426" s="21" t="s">
        <v>61</v>
      </c>
      <c r="E1426" s="11">
        <f>1847129.86+1094019.96+957260.78+1476279.4+1107949.3+678304+909601.55+1322546.99</f>
        <v>9393091.8399999999</v>
      </c>
      <c r="F1426" s="11">
        <f>1847129.86+1094019.96+957260.78+5494681.24</f>
        <v>9393091.8399999999</v>
      </c>
      <c r="G1426" s="11"/>
      <c r="H1426" s="9">
        <f t="shared" si="754"/>
        <v>9393091.8399999999</v>
      </c>
      <c r="I1426" s="8"/>
      <c r="J1426" s="9">
        <f t="shared" si="755"/>
        <v>9393091.8399999999</v>
      </c>
      <c r="K1426" s="8"/>
      <c r="L1426" s="8"/>
      <c r="M1426" s="9">
        <f t="shared" si="764"/>
        <v>9393091.8399999999</v>
      </c>
      <c r="N1426" s="8"/>
      <c r="O1426" s="9"/>
      <c r="P1426" s="9">
        <f t="shared" si="765"/>
        <v>0</v>
      </c>
      <c r="Q1426" s="9">
        <f t="shared" si="756"/>
        <v>9393091.8399999999</v>
      </c>
      <c r="R1426" s="17"/>
      <c r="S1426" s="17"/>
      <c r="T1426" s="17"/>
      <c r="U1426" s="9">
        <f t="shared" si="757"/>
        <v>0</v>
      </c>
      <c r="V1426" s="9">
        <f t="shared" si="758"/>
        <v>9393091.8399999999</v>
      </c>
      <c r="W1426" s="9">
        <f t="shared" si="759"/>
        <v>0</v>
      </c>
      <c r="X1426" s="9">
        <f t="shared" si="760"/>
        <v>9393091.8399999999</v>
      </c>
      <c r="Y1426" s="8"/>
      <c r="Z1426" s="9">
        <f t="shared" si="761"/>
        <v>0</v>
      </c>
      <c r="AA1426" s="8">
        <f t="shared" si="762"/>
        <v>9393091.8399999999</v>
      </c>
      <c r="AB1426" s="8">
        <f t="shared" si="763"/>
        <v>0</v>
      </c>
    </row>
    <row r="1427" spans="1:28" x14ac:dyDescent="0.3">
      <c r="A1427" s="64"/>
      <c r="B1427" s="8"/>
      <c r="C1427" s="14" t="s">
        <v>621</v>
      </c>
      <c r="D1427" s="21" t="s">
        <v>61</v>
      </c>
      <c r="E1427" s="11">
        <v>1444907.17</v>
      </c>
      <c r="F1427" s="11">
        <v>1444907.17</v>
      </c>
      <c r="G1427" s="8"/>
      <c r="H1427" s="9">
        <f t="shared" si="754"/>
        <v>1444907.17</v>
      </c>
      <c r="I1427" s="8"/>
      <c r="J1427" s="9">
        <f t="shared" si="755"/>
        <v>1444907.17</v>
      </c>
      <c r="K1427" s="8"/>
      <c r="L1427" s="8"/>
      <c r="M1427" s="9">
        <f t="shared" si="764"/>
        <v>1444907.17</v>
      </c>
      <c r="N1427" s="8"/>
      <c r="O1427" s="9"/>
      <c r="P1427" s="9">
        <f t="shared" si="765"/>
        <v>0</v>
      </c>
      <c r="Q1427" s="9">
        <f t="shared" si="756"/>
        <v>1444907.17</v>
      </c>
      <c r="R1427" s="17"/>
      <c r="S1427" s="17"/>
      <c r="T1427" s="17"/>
      <c r="U1427" s="9">
        <f t="shared" si="757"/>
        <v>0</v>
      </c>
      <c r="V1427" s="9">
        <f t="shared" si="758"/>
        <v>1444907.17</v>
      </c>
      <c r="W1427" s="9">
        <f t="shared" si="759"/>
        <v>0</v>
      </c>
      <c r="X1427" s="9">
        <f t="shared" si="760"/>
        <v>1444907.17</v>
      </c>
      <c r="Y1427" s="8"/>
      <c r="Z1427" s="9">
        <f t="shared" si="761"/>
        <v>0</v>
      </c>
      <c r="AA1427" s="8">
        <f t="shared" si="762"/>
        <v>1444907.17</v>
      </c>
      <c r="AB1427" s="8">
        <f t="shared" si="763"/>
        <v>0</v>
      </c>
    </row>
    <row r="1428" spans="1:28" x14ac:dyDescent="0.3">
      <c r="A1428" s="64"/>
      <c r="B1428" s="8"/>
      <c r="C1428" s="14" t="s">
        <v>929</v>
      </c>
      <c r="D1428" s="24" t="s">
        <v>1072</v>
      </c>
      <c r="E1428" s="11">
        <f>702651+746349+2508643.1</f>
        <v>3957643.1</v>
      </c>
      <c r="F1428" s="8">
        <f>702651+746349+2508643.1</f>
        <v>3957643.1</v>
      </c>
      <c r="G1428" s="8"/>
      <c r="H1428" s="9">
        <f>+F1428+G1428</f>
        <v>3957643.1</v>
      </c>
      <c r="I1428" s="8"/>
      <c r="J1428" s="9"/>
      <c r="K1428" s="8"/>
      <c r="L1428" s="8"/>
      <c r="M1428" s="9">
        <f>+H1428+L1428</f>
        <v>3957643.1</v>
      </c>
      <c r="N1428" s="8"/>
      <c r="O1428" s="9"/>
      <c r="P1428" s="9">
        <f>+N1428+O1428</f>
        <v>0</v>
      </c>
      <c r="Q1428" s="9"/>
      <c r="R1428" s="17"/>
      <c r="S1428" s="17"/>
      <c r="T1428" s="17"/>
      <c r="U1428" s="9">
        <f>P1428+T1428</f>
        <v>0</v>
      </c>
      <c r="V1428" s="9">
        <f>P1428+H1428</f>
        <v>3957643.1</v>
      </c>
      <c r="W1428" s="9">
        <f>E1428-V1428</f>
        <v>0</v>
      </c>
      <c r="X1428" s="9">
        <f t="shared" si="760"/>
        <v>3957643.1</v>
      </c>
      <c r="Y1428" s="8"/>
      <c r="Z1428" s="9">
        <f t="shared" si="761"/>
        <v>0</v>
      </c>
      <c r="AA1428" s="8">
        <f t="shared" si="762"/>
        <v>3957643.1</v>
      </c>
      <c r="AB1428" s="8">
        <f t="shared" si="763"/>
        <v>0</v>
      </c>
    </row>
    <row r="1429" spans="1:28" x14ac:dyDescent="0.3">
      <c r="A1429" s="64"/>
      <c r="B1429" s="8"/>
      <c r="C1429" s="14" t="s">
        <v>1203</v>
      </c>
      <c r="D1429" s="24" t="s">
        <v>1126</v>
      </c>
      <c r="E1429" s="11">
        <f>5853871.48+2893642.8</f>
        <v>8747514.2800000012</v>
      </c>
      <c r="F1429" s="8">
        <f>5853871.48+2893642.8</f>
        <v>8747514.2800000012</v>
      </c>
      <c r="G1429" s="8"/>
      <c r="H1429" s="9">
        <f>+F1429+G1429</f>
        <v>8747514.2800000012</v>
      </c>
      <c r="I1429" s="8"/>
      <c r="J1429" s="9"/>
      <c r="K1429" s="8"/>
      <c r="L1429" s="8"/>
      <c r="M1429" s="9">
        <f>+H1429+L1429</f>
        <v>8747514.2800000012</v>
      </c>
      <c r="N1429" s="8"/>
      <c r="O1429" s="9"/>
      <c r="P1429" s="9">
        <f>+N1429+O1429</f>
        <v>0</v>
      </c>
      <c r="Q1429" s="9"/>
      <c r="R1429" s="17"/>
      <c r="S1429" s="17"/>
      <c r="T1429" s="17"/>
      <c r="U1429" s="9">
        <f>P1429+T1429</f>
        <v>0</v>
      </c>
      <c r="V1429" s="9">
        <f>P1429+H1429</f>
        <v>8747514.2800000012</v>
      </c>
      <c r="W1429" s="9"/>
      <c r="X1429" s="9">
        <f t="shared" si="760"/>
        <v>8747514.2800000012</v>
      </c>
      <c r="Y1429" s="8"/>
      <c r="Z1429" s="9">
        <f t="shared" si="761"/>
        <v>0</v>
      </c>
      <c r="AA1429" s="8">
        <f t="shared" si="762"/>
        <v>8747514.2800000012</v>
      </c>
      <c r="AB1429" s="8">
        <f t="shared" si="763"/>
        <v>0</v>
      </c>
    </row>
    <row r="1430" spans="1:28" x14ac:dyDescent="0.3">
      <c r="A1430" s="64"/>
      <c r="B1430" s="8"/>
      <c r="C1430" s="7" t="s">
        <v>577</v>
      </c>
      <c r="D1430" s="8"/>
      <c r="E1430" s="9">
        <v>39027.11</v>
      </c>
      <c r="F1430" s="8"/>
      <c r="G1430" s="8"/>
      <c r="H1430" s="9">
        <f t="shared" si="754"/>
        <v>0</v>
      </c>
      <c r="I1430" s="8"/>
      <c r="J1430" s="9">
        <f t="shared" si="755"/>
        <v>0</v>
      </c>
      <c r="K1430" s="9">
        <v>39027.11</v>
      </c>
      <c r="L1430" s="8"/>
      <c r="M1430" s="9">
        <f t="shared" si="764"/>
        <v>0</v>
      </c>
      <c r="N1430" s="8">
        <v>39027.11</v>
      </c>
      <c r="O1430" s="9"/>
      <c r="P1430" s="9">
        <f t="shared" si="765"/>
        <v>39027.11</v>
      </c>
      <c r="Q1430" s="9">
        <f t="shared" si="756"/>
        <v>0</v>
      </c>
      <c r="R1430" s="17"/>
      <c r="S1430" s="17"/>
      <c r="T1430" s="17"/>
      <c r="U1430" s="9">
        <f t="shared" si="757"/>
        <v>39027.11</v>
      </c>
      <c r="V1430" s="9">
        <f t="shared" si="758"/>
        <v>39027.11</v>
      </c>
      <c r="W1430" s="9">
        <f t="shared" si="759"/>
        <v>0</v>
      </c>
      <c r="X1430" s="9">
        <f t="shared" si="760"/>
        <v>39027.11</v>
      </c>
      <c r="Y1430" s="8"/>
      <c r="Z1430" s="9">
        <f t="shared" si="761"/>
        <v>0</v>
      </c>
      <c r="AA1430" s="8">
        <f t="shared" si="762"/>
        <v>39027.11</v>
      </c>
      <c r="AB1430" s="8">
        <f t="shared" si="763"/>
        <v>0</v>
      </c>
    </row>
    <row r="1431" spans="1:28" x14ac:dyDescent="0.3">
      <c r="A1431" s="64"/>
      <c r="B1431" s="8"/>
      <c r="C1431" s="7" t="s">
        <v>592</v>
      </c>
      <c r="D1431" s="8"/>
      <c r="E1431" s="9">
        <f>2500000-255980.75</f>
        <v>2244019.25</v>
      </c>
      <c r="F1431" s="9">
        <v>2241907</v>
      </c>
      <c r="G1431" s="8"/>
      <c r="H1431" s="9">
        <f t="shared" si="754"/>
        <v>2241907</v>
      </c>
      <c r="I1431" s="8"/>
      <c r="J1431" s="9">
        <f t="shared" si="755"/>
        <v>2241907</v>
      </c>
      <c r="K1431" s="9">
        <v>2112.25</v>
      </c>
      <c r="L1431" s="8"/>
      <c r="M1431" s="9">
        <f t="shared" si="764"/>
        <v>2241907</v>
      </c>
      <c r="N1431" s="8">
        <v>2112.25</v>
      </c>
      <c r="O1431" s="9"/>
      <c r="P1431" s="9">
        <f t="shared" si="765"/>
        <v>2112.25</v>
      </c>
      <c r="Q1431" s="9">
        <f t="shared" si="756"/>
        <v>2241907</v>
      </c>
      <c r="R1431" s="17"/>
      <c r="S1431" s="17"/>
      <c r="T1431" s="17"/>
      <c r="U1431" s="9">
        <f t="shared" si="757"/>
        <v>2112.25</v>
      </c>
      <c r="V1431" s="9">
        <f t="shared" si="758"/>
        <v>2244019.25</v>
      </c>
      <c r="W1431" s="9">
        <f t="shared" si="759"/>
        <v>0</v>
      </c>
      <c r="X1431" s="9">
        <f t="shared" si="760"/>
        <v>2244019.25</v>
      </c>
      <c r="Y1431" s="8"/>
      <c r="Z1431" s="9">
        <f t="shared" si="761"/>
        <v>0</v>
      </c>
      <c r="AA1431" s="8">
        <f t="shared" si="762"/>
        <v>2244019.25</v>
      </c>
      <c r="AB1431" s="8">
        <f t="shared" si="763"/>
        <v>0</v>
      </c>
    </row>
    <row r="1432" spans="1:28" x14ac:dyDescent="0.3">
      <c r="A1432" s="64"/>
      <c r="B1432" s="8"/>
      <c r="C1432" s="7" t="s">
        <v>678</v>
      </c>
      <c r="D1432" s="8"/>
      <c r="E1432" s="9">
        <f>2500000+2500000+2500000+732744.99-312053.9+1860363.22</f>
        <v>9781054.3100000005</v>
      </c>
      <c r="F1432" s="9">
        <f>2500000+2500000+2920691.09</f>
        <v>7920691.0899999999</v>
      </c>
      <c r="G1432" s="8"/>
      <c r="H1432" s="9">
        <f t="shared" si="754"/>
        <v>7920691.0899999999</v>
      </c>
      <c r="I1432" s="9">
        <v>1860363.22</v>
      </c>
      <c r="J1432" s="9">
        <f t="shared" si="755"/>
        <v>9781054.3100000005</v>
      </c>
      <c r="K1432" s="8"/>
      <c r="L1432" s="8">
        <v>1860363.22</v>
      </c>
      <c r="M1432" s="9">
        <f t="shared" si="764"/>
        <v>9781054.3100000005</v>
      </c>
      <c r="N1432" s="8"/>
      <c r="O1432" s="9"/>
      <c r="P1432" s="9">
        <f t="shared" si="765"/>
        <v>0</v>
      </c>
      <c r="Q1432" s="9">
        <f t="shared" si="756"/>
        <v>9781054.3100000005</v>
      </c>
      <c r="R1432" s="17"/>
      <c r="S1432" s="17"/>
      <c r="T1432" s="17"/>
      <c r="U1432" s="9">
        <f t="shared" si="757"/>
        <v>0</v>
      </c>
      <c r="V1432" s="9">
        <f t="shared" si="758"/>
        <v>7920691.0899999999</v>
      </c>
      <c r="W1432" s="9">
        <f t="shared" si="759"/>
        <v>1860363.2200000007</v>
      </c>
      <c r="X1432" s="9">
        <f t="shared" si="760"/>
        <v>7920691.0899999999</v>
      </c>
      <c r="Y1432" s="8"/>
      <c r="Z1432" s="9">
        <f t="shared" si="761"/>
        <v>1860363.2200000007</v>
      </c>
      <c r="AA1432" s="8">
        <f t="shared" si="762"/>
        <v>9781054.3100000005</v>
      </c>
      <c r="AB1432" s="8">
        <f t="shared" si="763"/>
        <v>0</v>
      </c>
    </row>
    <row r="1433" spans="1:28" x14ac:dyDescent="0.3">
      <c r="A1433" s="64"/>
      <c r="B1433" s="8"/>
      <c r="C1433" s="8"/>
      <c r="D1433" s="8"/>
      <c r="E1433" s="17" t="s">
        <v>29</v>
      </c>
      <c r="F1433" s="17" t="s">
        <v>29</v>
      </c>
      <c r="G1433" s="17" t="s">
        <v>29</v>
      </c>
      <c r="H1433" s="17" t="s">
        <v>29</v>
      </c>
      <c r="I1433" s="17" t="s">
        <v>29</v>
      </c>
      <c r="J1433" s="17" t="s">
        <v>29</v>
      </c>
      <c r="K1433" s="17" t="s">
        <v>29</v>
      </c>
      <c r="L1433" s="17" t="s">
        <v>29</v>
      </c>
      <c r="M1433" s="17" t="s">
        <v>29</v>
      </c>
      <c r="N1433" s="17" t="s">
        <v>29</v>
      </c>
      <c r="O1433" s="17" t="s">
        <v>29</v>
      </c>
      <c r="P1433" s="17" t="s">
        <v>29</v>
      </c>
      <c r="Q1433" s="17" t="s">
        <v>29</v>
      </c>
      <c r="R1433" s="17" t="s">
        <v>29</v>
      </c>
      <c r="S1433" s="17" t="s">
        <v>29</v>
      </c>
      <c r="T1433" s="17" t="s">
        <v>29</v>
      </c>
      <c r="U1433" s="17" t="s">
        <v>29</v>
      </c>
      <c r="V1433" s="17" t="s">
        <v>29</v>
      </c>
      <c r="W1433" s="17" t="s">
        <v>29</v>
      </c>
      <c r="X1433" s="17" t="s">
        <v>29</v>
      </c>
      <c r="Y1433" s="17" t="s">
        <v>29</v>
      </c>
      <c r="Z1433" s="17" t="s">
        <v>29</v>
      </c>
      <c r="AA1433" s="17" t="s">
        <v>29</v>
      </c>
      <c r="AB1433" s="17" t="s">
        <v>29</v>
      </c>
    </row>
    <row r="1434" spans="1:28" x14ac:dyDescent="0.3">
      <c r="A1434" s="64"/>
      <c r="B1434" s="8"/>
      <c r="C1434" s="8"/>
      <c r="D1434" s="8"/>
      <c r="E1434" s="9">
        <f t="shared" ref="E1434:Q1434" si="766">SUM(E1406:E1433)</f>
        <v>77022308.480000019</v>
      </c>
      <c r="F1434" s="9">
        <f t="shared" si="766"/>
        <v>68636924.280000001</v>
      </c>
      <c r="G1434" s="9">
        <f t="shared" si="766"/>
        <v>0</v>
      </c>
      <c r="H1434" s="9">
        <f t="shared" si="766"/>
        <v>68636924.280000001</v>
      </c>
      <c r="I1434" s="9">
        <f t="shared" si="766"/>
        <v>1860363.22</v>
      </c>
      <c r="J1434" s="9">
        <f t="shared" si="766"/>
        <v>57792130.120000005</v>
      </c>
      <c r="K1434" s="9">
        <f t="shared" si="766"/>
        <v>6525020.9800000004</v>
      </c>
      <c r="L1434" s="9">
        <f t="shared" si="766"/>
        <v>1860363.22</v>
      </c>
      <c r="M1434" s="9">
        <f t="shared" si="766"/>
        <v>70497287.5</v>
      </c>
      <c r="N1434" s="9">
        <f t="shared" si="766"/>
        <v>6525020.9800000004</v>
      </c>
      <c r="O1434" s="9">
        <f t="shared" si="766"/>
        <v>0</v>
      </c>
      <c r="P1434" s="9">
        <f t="shared" si="766"/>
        <v>6525020.9800000004</v>
      </c>
      <c r="Q1434" s="9">
        <f t="shared" si="766"/>
        <v>57792130.120000005</v>
      </c>
      <c r="R1434" s="17"/>
      <c r="S1434" s="17"/>
      <c r="T1434" s="9">
        <f t="shared" ref="T1434:Z1434" si="767">SUM(T1406:T1433)</f>
        <v>0</v>
      </c>
      <c r="U1434" s="9">
        <f t="shared" si="767"/>
        <v>6525020.9800000004</v>
      </c>
      <c r="V1434" s="9">
        <f t="shared" si="767"/>
        <v>75161945.26000002</v>
      </c>
      <c r="W1434" s="9">
        <f t="shared" si="767"/>
        <v>1860363.2200000007</v>
      </c>
      <c r="X1434" s="9">
        <f t="shared" si="767"/>
        <v>75161945.26000002</v>
      </c>
      <c r="Y1434" s="9">
        <f t="shared" si="767"/>
        <v>0</v>
      </c>
      <c r="Z1434" s="9">
        <f t="shared" si="767"/>
        <v>1860363.2200000007</v>
      </c>
      <c r="AA1434" s="9">
        <f>SUM(AA1406:AA1433)</f>
        <v>77022308.480000019</v>
      </c>
      <c r="AB1434" s="9">
        <f>SUM(AB1406:AB1433)</f>
        <v>0</v>
      </c>
    </row>
    <row r="1435" spans="1:28" x14ac:dyDescent="0.3">
      <c r="A1435" s="64"/>
      <c r="B1435" s="8"/>
      <c r="C1435" s="8"/>
      <c r="D1435" s="8"/>
      <c r="E1435" s="17" t="s">
        <v>29</v>
      </c>
      <c r="F1435" s="17" t="s">
        <v>29</v>
      </c>
      <c r="G1435" s="17" t="s">
        <v>29</v>
      </c>
      <c r="H1435" s="17" t="s">
        <v>29</v>
      </c>
      <c r="I1435" s="17" t="s">
        <v>29</v>
      </c>
      <c r="J1435" s="17" t="s">
        <v>29</v>
      </c>
      <c r="K1435" s="17" t="s">
        <v>29</v>
      </c>
      <c r="L1435" s="17" t="s">
        <v>29</v>
      </c>
      <c r="M1435" s="17" t="s">
        <v>29</v>
      </c>
      <c r="N1435" s="17" t="s">
        <v>29</v>
      </c>
      <c r="O1435" s="17" t="s">
        <v>29</v>
      </c>
      <c r="P1435" s="17" t="s">
        <v>29</v>
      </c>
      <c r="Q1435" s="17" t="s">
        <v>29</v>
      </c>
      <c r="R1435" s="17" t="s">
        <v>29</v>
      </c>
      <c r="S1435" s="17" t="s">
        <v>29</v>
      </c>
      <c r="T1435" s="17" t="s">
        <v>29</v>
      </c>
      <c r="U1435" s="17" t="s">
        <v>29</v>
      </c>
      <c r="V1435" s="17" t="s">
        <v>29</v>
      </c>
      <c r="W1435" s="17" t="s">
        <v>29</v>
      </c>
      <c r="X1435" s="17" t="s">
        <v>29</v>
      </c>
      <c r="Y1435" s="17" t="s">
        <v>29</v>
      </c>
      <c r="Z1435" s="17" t="s">
        <v>29</v>
      </c>
      <c r="AA1435" s="17" t="s">
        <v>29</v>
      </c>
      <c r="AB1435" s="17" t="s">
        <v>29</v>
      </c>
    </row>
    <row r="1436" spans="1:28" x14ac:dyDescent="0.3">
      <c r="A1436" s="63" t="s">
        <v>1000</v>
      </c>
      <c r="B1436" s="7" t="s">
        <v>731</v>
      </c>
      <c r="C1436" s="8"/>
      <c r="D1436" s="8"/>
      <c r="E1436" s="8"/>
      <c r="F1436" s="8"/>
      <c r="G1436" s="8"/>
      <c r="H1436" s="8"/>
      <c r="I1436" s="8"/>
      <c r="J1436" s="8"/>
      <c r="K1436" s="8"/>
      <c r="L1436" s="8"/>
      <c r="M1436" s="8"/>
      <c r="N1436" s="8"/>
      <c r="O1436" s="8"/>
      <c r="P1436" s="8"/>
      <c r="Q1436" s="8"/>
      <c r="R1436" s="17"/>
      <c r="S1436" s="17"/>
      <c r="T1436" s="17"/>
      <c r="U1436" s="17"/>
      <c r="V1436" s="17"/>
      <c r="W1436" s="17"/>
      <c r="X1436" s="17"/>
      <c r="Y1436" s="17"/>
      <c r="Z1436" s="17"/>
    </row>
    <row r="1437" spans="1:28" x14ac:dyDescent="0.3">
      <c r="A1437" s="64"/>
      <c r="B1437" s="8"/>
      <c r="C1437" s="7" t="s">
        <v>535</v>
      </c>
      <c r="D1437" s="15" t="s">
        <v>78</v>
      </c>
      <c r="E1437" s="9">
        <f>1425000-102143.77</f>
        <v>1322856.23</v>
      </c>
      <c r="F1437" s="9">
        <v>785800</v>
      </c>
      <c r="G1437" s="8"/>
      <c r="H1437" s="9">
        <f t="shared" ref="H1437:H1470" si="768">F1437+G1437</f>
        <v>785800</v>
      </c>
      <c r="I1437" s="8"/>
      <c r="J1437" s="9">
        <f t="shared" ref="J1437:J1470" si="769">H1437+I1437</f>
        <v>785800</v>
      </c>
      <c r="K1437" s="9">
        <v>537056.23</v>
      </c>
      <c r="L1437" s="8"/>
      <c r="M1437" s="9">
        <f>+H1437+L1437</f>
        <v>785800</v>
      </c>
      <c r="N1437" s="8">
        <v>537056.23</v>
      </c>
      <c r="O1437" s="9"/>
      <c r="P1437" s="9">
        <f>+N1437+O1437</f>
        <v>537056.23</v>
      </c>
      <c r="Q1437" s="9">
        <f t="shared" ref="Q1437:Q1470" si="770">E1437-P1437</f>
        <v>785800</v>
      </c>
      <c r="R1437" s="17"/>
      <c r="S1437" s="17"/>
      <c r="T1437" s="17"/>
      <c r="U1437" s="9">
        <f t="shared" ref="U1437:U1470" si="771">P1437+T1437</f>
        <v>537056.23</v>
      </c>
      <c r="V1437" s="9">
        <f t="shared" ref="V1437:V1470" si="772">P1437+H1437</f>
        <v>1322856.23</v>
      </c>
      <c r="W1437" s="9">
        <f t="shared" ref="W1437:W1470" si="773">E1437-V1437</f>
        <v>0</v>
      </c>
      <c r="X1437" s="9">
        <f t="shared" ref="X1437:X1470" si="774">+H1437+P1437</f>
        <v>1322856.23</v>
      </c>
      <c r="Y1437" s="8"/>
      <c r="Z1437" s="9">
        <f t="shared" ref="Z1437:Z1470" si="775">+E1437-X1437</f>
        <v>0</v>
      </c>
      <c r="AA1437" s="8">
        <f t="shared" ref="AA1437:AA1470" si="776">+M1437+U1437</f>
        <v>1322856.23</v>
      </c>
      <c r="AB1437" s="8">
        <f t="shared" ref="AB1437:AB1470" si="777">+E1437-AA1437</f>
        <v>0</v>
      </c>
    </row>
    <row r="1438" spans="1:28" x14ac:dyDescent="0.3">
      <c r="A1438" s="64"/>
      <c r="B1438" s="8"/>
      <c r="C1438" s="7" t="s">
        <v>604</v>
      </c>
      <c r="D1438" s="15" t="s">
        <v>68</v>
      </c>
      <c r="E1438" s="9">
        <v>850000</v>
      </c>
      <c r="F1438" s="9">
        <v>850000</v>
      </c>
      <c r="G1438" s="8"/>
      <c r="H1438" s="9">
        <f t="shared" si="768"/>
        <v>850000</v>
      </c>
      <c r="I1438" s="8"/>
      <c r="J1438" s="9">
        <f t="shared" si="769"/>
        <v>850000</v>
      </c>
      <c r="K1438" s="8"/>
      <c r="L1438" s="8"/>
      <c r="M1438" s="9">
        <f t="shared" ref="M1438:M1470" si="778">+H1438+L1438</f>
        <v>850000</v>
      </c>
      <c r="N1438" s="8"/>
      <c r="O1438" s="9"/>
      <c r="P1438" s="9">
        <f t="shared" ref="P1438:P1470" si="779">+N1438+O1438</f>
        <v>0</v>
      </c>
      <c r="Q1438" s="9">
        <f t="shared" si="770"/>
        <v>850000</v>
      </c>
      <c r="R1438" s="17"/>
      <c r="S1438" s="17"/>
      <c r="T1438" s="17"/>
      <c r="U1438" s="9">
        <f t="shared" si="771"/>
        <v>0</v>
      </c>
      <c r="V1438" s="9">
        <f t="shared" si="772"/>
        <v>850000</v>
      </c>
      <c r="W1438" s="9">
        <f t="shared" si="773"/>
        <v>0</v>
      </c>
      <c r="X1438" s="9">
        <f t="shared" si="774"/>
        <v>850000</v>
      </c>
      <c r="Y1438" s="8"/>
      <c r="Z1438" s="9">
        <f t="shared" si="775"/>
        <v>0</v>
      </c>
      <c r="AA1438" s="8">
        <f t="shared" si="776"/>
        <v>850000</v>
      </c>
      <c r="AB1438" s="8">
        <f t="shared" si="777"/>
        <v>0</v>
      </c>
    </row>
    <row r="1439" spans="1:28" x14ac:dyDescent="0.3">
      <c r="A1439" s="64"/>
      <c r="B1439" s="8"/>
      <c r="C1439" s="7" t="s">
        <v>604</v>
      </c>
      <c r="D1439" s="15" t="s">
        <v>68</v>
      </c>
      <c r="E1439" s="9">
        <f>340000-22583.81</f>
        <v>317416.19</v>
      </c>
      <c r="F1439" s="9">
        <v>239600</v>
      </c>
      <c r="G1439" s="8"/>
      <c r="H1439" s="9">
        <f t="shared" si="768"/>
        <v>239600</v>
      </c>
      <c r="I1439" s="8"/>
      <c r="J1439" s="9">
        <f t="shared" si="769"/>
        <v>239600</v>
      </c>
      <c r="K1439" s="9">
        <v>77816.19</v>
      </c>
      <c r="L1439" s="8"/>
      <c r="M1439" s="9">
        <f t="shared" si="778"/>
        <v>239600</v>
      </c>
      <c r="N1439" s="8">
        <v>77816.19</v>
      </c>
      <c r="O1439" s="9"/>
      <c r="P1439" s="9">
        <f t="shared" si="779"/>
        <v>77816.19</v>
      </c>
      <c r="Q1439" s="9">
        <f t="shared" si="770"/>
        <v>239600</v>
      </c>
      <c r="R1439" s="17"/>
      <c r="S1439" s="17"/>
      <c r="T1439" s="17"/>
      <c r="U1439" s="9">
        <f t="shared" si="771"/>
        <v>77816.19</v>
      </c>
      <c r="V1439" s="9">
        <f t="shared" si="772"/>
        <v>317416.19</v>
      </c>
      <c r="W1439" s="9">
        <f t="shared" si="773"/>
        <v>0</v>
      </c>
      <c r="X1439" s="9">
        <f t="shared" si="774"/>
        <v>317416.19</v>
      </c>
      <c r="Y1439" s="8"/>
      <c r="Z1439" s="9">
        <f t="shared" si="775"/>
        <v>0</v>
      </c>
      <c r="AA1439" s="8">
        <f t="shared" si="776"/>
        <v>317416.19</v>
      </c>
      <c r="AB1439" s="8">
        <f t="shared" si="777"/>
        <v>0</v>
      </c>
    </row>
    <row r="1440" spans="1:28" x14ac:dyDescent="0.3">
      <c r="A1440" s="64"/>
      <c r="B1440" s="8"/>
      <c r="C1440" s="7" t="s">
        <v>732</v>
      </c>
      <c r="D1440" s="15" t="s">
        <v>68</v>
      </c>
      <c r="E1440" s="9">
        <v>1700000</v>
      </c>
      <c r="F1440" s="9">
        <v>1700000</v>
      </c>
      <c r="G1440" s="8"/>
      <c r="H1440" s="9">
        <f t="shared" si="768"/>
        <v>1700000</v>
      </c>
      <c r="I1440" s="8"/>
      <c r="J1440" s="9">
        <f t="shared" si="769"/>
        <v>1700000</v>
      </c>
      <c r="K1440" s="8"/>
      <c r="L1440" s="8"/>
      <c r="M1440" s="9">
        <f t="shared" si="778"/>
        <v>1700000</v>
      </c>
      <c r="N1440" s="8"/>
      <c r="O1440" s="9"/>
      <c r="P1440" s="9">
        <f t="shared" si="779"/>
        <v>0</v>
      </c>
      <c r="Q1440" s="9">
        <f t="shared" si="770"/>
        <v>1700000</v>
      </c>
      <c r="R1440" s="17"/>
      <c r="S1440" s="17"/>
      <c r="T1440" s="17"/>
      <c r="U1440" s="9">
        <f t="shared" si="771"/>
        <v>0</v>
      </c>
      <c r="V1440" s="9">
        <f t="shared" si="772"/>
        <v>1700000</v>
      </c>
      <c r="W1440" s="9">
        <f t="shared" si="773"/>
        <v>0</v>
      </c>
      <c r="X1440" s="9">
        <f t="shared" si="774"/>
        <v>1700000</v>
      </c>
      <c r="Y1440" s="8"/>
      <c r="Z1440" s="9">
        <f t="shared" si="775"/>
        <v>0</v>
      </c>
      <c r="AA1440" s="8">
        <f t="shared" si="776"/>
        <v>1700000</v>
      </c>
      <c r="AB1440" s="8">
        <f t="shared" si="777"/>
        <v>0</v>
      </c>
    </row>
    <row r="1441" spans="1:28" x14ac:dyDescent="0.3">
      <c r="A1441" s="64"/>
      <c r="B1441" s="8"/>
      <c r="C1441" s="7" t="s">
        <v>686</v>
      </c>
      <c r="D1441" s="15" t="s">
        <v>68</v>
      </c>
      <c r="E1441" s="9">
        <f>170858-53988</f>
        <v>116870</v>
      </c>
      <c r="F1441" s="9">
        <v>116870</v>
      </c>
      <c r="G1441" s="8"/>
      <c r="H1441" s="9">
        <f t="shared" si="768"/>
        <v>116870</v>
      </c>
      <c r="I1441" s="8"/>
      <c r="J1441" s="9">
        <f t="shared" si="769"/>
        <v>116870</v>
      </c>
      <c r="K1441" s="8"/>
      <c r="L1441" s="8"/>
      <c r="M1441" s="9">
        <f t="shared" si="778"/>
        <v>116870</v>
      </c>
      <c r="N1441" s="8"/>
      <c r="O1441" s="9"/>
      <c r="P1441" s="9">
        <f t="shared" si="779"/>
        <v>0</v>
      </c>
      <c r="Q1441" s="9">
        <f t="shared" si="770"/>
        <v>116870</v>
      </c>
      <c r="R1441" s="17"/>
      <c r="S1441" s="17"/>
      <c r="T1441" s="17"/>
      <c r="U1441" s="9">
        <f t="shared" si="771"/>
        <v>0</v>
      </c>
      <c r="V1441" s="9">
        <f t="shared" si="772"/>
        <v>116870</v>
      </c>
      <c r="W1441" s="9">
        <f t="shared" si="773"/>
        <v>0</v>
      </c>
      <c r="X1441" s="9">
        <f t="shared" si="774"/>
        <v>116870</v>
      </c>
      <c r="Y1441" s="8"/>
      <c r="Z1441" s="9">
        <f t="shared" si="775"/>
        <v>0</v>
      </c>
      <c r="AA1441" s="8">
        <f t="shared" si="776"/>
        <v>116870</v>
      </c>
      <c r="AB1441" s="8">
        <f t="shared" si="777"/>
        <v>0</v>
      </c>
    </row>
    <row r="1442" spans="1:28" x14ac:dyDescent="0.3">
      <c r="A1442" s="64"/>
      <c r="B1442" s="8"/>
      <c r="C1442" s="7" t="s">
        <v>535</v>
      </c>
      <c r="D1442" s="15" t="s">
        <v>54</v>
      </c>
      <c r="E1442" s="9">
        <f>540000-27000</f>
        <v>513000</v>
      </c>
      <c r="F1442" s="9">
        <v>513000</v>
      </c>
      <c r="G1442" s="8"/>
      <c r="H1442" s="9">
        <f t="shared" si="768"/>
        <v>513000</v>
      </c>
      <c r="I1442" s="8"/>
      <c r="J1442" s="9">
        <f t="shared" si="769"/>
        <v>513000</v>
      </c>
      <c r="K1442" s="8"/>
      <c r="L1442" s="8"/>
      <c r="M1442" s="9">
        <f t="shared" si="778"/>
        <v>513000</v>
      </c>
      <c r="N1442" s="8"/>
      <c r="O1442" s="9"/>
      <c r="P1442" s="9">
        <f t="shared" si="779"/>
        <v>0</v>
      </c>
      <c r="Q1442" s="9">
        <f t="shared" si="770"/>
        <v>513000</v>
      </c>
      <c r="R1442" s="17"/>
      <c r="S1442" s="17"/>
      <c r="T1442" s="17"/>
      <c r="U1442" s="9">
        <f t="shared" si="771"/>
        <v>0</v>
      </c>
      <c r="V1442" s="9">
        <f t="shared" si="772"/>
        <v>513000</v>
      </c>
      <c r="W1442" s="9">
        <f t="shared" si="773"/>
        <v>0</v>
      </c>
      <c r="X1442" s="9">
        <f t="shared" si="774"/>
        <v>513000</v>
      </c>
      <c r="Y1442" s="8"/>
      <c r="Z1442" s="9">
        <f t="shared" si="775"/>
        <v>0</v>
      </c>
      <c r="AA1442" s="8">
        <f t="shared" si="776"/>
        <v>513000</v>
      </c>
      <c r="AB1442" s="8">
        <f t="shared" si="777"/>
        <v>0</v>
      </c>
    </row>
    <row r="1443" spans="1:28" x14ac:dyDescent="0.3">
      <c r="A1443" s="64"/>
      <c r="B1443" s="8"/>
      <c r="C1443" s="7" t="s">
        <v>604</v>
      </c>
      <c r="D1443" s="15" t="s">
        <v>54</v>
      </c>
      <c r="E1443" s="9">
        <v>285000</v>
      </c>
      <c r="F1443" s="9">
        <v>285000</v>
      </c>
      <c r="G1443" s="8"/>
      <c r="H1443" s="9">
        <f t="shared" si="768"/>
        <v>285000</v>
      </c>
      <c r="I1443" s="8"/>
      <c r="J1443" s="9">
        <f t="shared" si="769"/>
        <v>285000</v>
      </c>
      <c r="K1443" s="8"/>
      <c r="L1443" s="8"/>
      <c r="M1443" s="9">
        <f t="shared" si="778"/>
        <v>285000</v>
      </c>
      <c r="N1443" s="8"/>
      <c r="O1443" s="9"/>
      <c r="P1443" s="9">
        <f t="shared" si="779"/>
        <v>0</v>
      </c>
      <c r="Q1443" s="9">
        <f t="shared" si="770"/>
        <v>285000</v>
      </c>
      <c r="R1443" s="17"/>
      <c r="S1443" s="17"/>
      <c r="T1443" s="17"/>
      <c r="U1443" s="9">
        <f t="shared" si="771"/>
        <v>0</v>
      </c>
      <c r="V1443" s="9">
        <f t="shared" si="772"/>
        <v>285000</v>
      </c>
      <c r="W1443" s="9">
        <f t="shared" si="773"/>
        <v>0</v>
      </c>
      <c r="X1443" s="9">
        <f t="shared" si="774"/>
        <v>285000</v>
      </c>
      <c r="Y1443" s="8"/>
      <c r="Z1443" s="9">
        <f t="shared" si="775"/>
        <v>0</v>
      </c>
      <c r="AA1443" s="8">
        <f t="shared" si="776"/>
        <v>285000</v>
      </c>
      <c r="AB1443" s="8">
        <f t="shared" si="777"/>
        <v>0</v>
      </c>
    </row>
    <row r="1444" spans="1:28" x14ac:dyDescent="0.3">
      <c r="A1444" s="64"/>
      <c r="B1444" s="8"/>
      <c r="C1444" s="7" t="s">
        <v>733</v>
      </c>
      <c r="D1444" s="15" t="s">
        <v>54</v>
      </c>
      <c r="E1444" s="9">
        <f>376335+1281415+121125-170265</f>
        <v>1608610</v>
      </c>
      <c r="F1444" s="9">
        <v>1608610</v>
      </c>
      <c r="G1444" s="8"/>
      <c r="H1444" s="9">
        <f t="shared" si="768"/>
        <v>1608610</v>
      </c>
      <c r="I1444" s="8"/>
      <c r="J1444" s="9">
        <f t="shared" si="769"/>
        <v>1608610</v>
      </c>
      <c r="K1444" s="8"/>
      <c r="L1444" s="8"/>
      <c r="M1444" s="9">
        <f t="shared" si="778"/>
        <v>1608610</v>
      </c>
      <c r="N1444" s="8"/>
      <c r="O1444" s="9"/>
      <c r="P1444" s="9">
        <f t="shared" si="779"/>
        <v>0</v>
      </c>
      <c r="Q1444" s="9">
        <f t="shared" si="770"/>
        <v>1608610</v>
      </c>
      <c r="R1444" s="17"/>
      <c r="S1444" s="17"/>
      <c r="T1444" s="17"/>
      <c r="U1444" s="9">
        <f t="shared" si="771"/>
        <v>0</v>
      </c>
      <c r="V1444" s="9">
        <f t="shared" si="772"/>
        <v>1608610</v>
      </c>
      <c r="W1444" s="9">
        <f t="shared" si="773"/>
        <v>0</v>
      </c>
      <c r="X1444" s="9">
        <f t="shared" si="774"/>
        <v>1608610</v>
      </c>
      <c r="Y1444" s="8"/>
      <c r="Z1444" s="9">
        <f t="shared" si="775"/>
        <v>0</v>
      </c>
      <c r="AA1444" s="8">
        <f t="shared" si="776"/>
        <v>1608610</v>
      </c>
      <c r="AB1444" s="8">
        <f t="shared" si="777"/>
        <v>0</v>
      </c>
    </row>
    <row r="1445" spans="1:28" x14ac:dyDescent="0.3">
      <c r="A1445" s="64"/>
      <c r="B1445" s="8"/>
      <c r="C1445" s="7" t="s">
        <v>733</v>
      </c>
      <c r="D1445" s="15" t="s">
        <v>54</v>
      </c>
      <c r="E1445" s="9">
        <f>121125-121125</f>
        <v>0</v>
      </c>
      <c r="F1445" s="8"/>
      <c r="G1445" s="8"/>
      <c r="H1445" s="9">
        <f t="shared" si="768"/>
        <v>0</v>
      </c>
      <c r="I1445" s="8"/>
      <c r="J1445" s="9">
        <f t="shared" si="769"/>
        <v>0</v>
      </c>
      <c r="K1445" s="8"/>
      <c r="L1445" s="8"/>
      <c r="M1445" s="9">
        <f t="shared" si="778"/>
        <v>0</v>
      </c>
      <c r="N1445" s="8"/>
      <c r="O1445" s="9"/>
      <c r="P1445" s="9">
        <f t="shared" si="779"/>
        <v>0</v>
      </c>
      <c r="Q1445" s="9">
        <f t="shared" si="770"/>
        <v>0</v>
      </c>
      <c r="R1445" s="17"/>
      <c r="S1445" s="17"/>
      <c r="T1445" s="17"/>
      <c r="U1445" s="9">
        <f t="shared" si="771"/>
        <v>0</v>
      </c>
      <c r="V1445" s="9">
        <f t="shared" si="772"/>
        <v>0</v>
      </c>
      <c r="W1445" s="9">
        <f t="shared" si="773"/>
        <v>0</v>
      </c>
      <c r="X1445" s="9">
        <f t="shared" si="774"/>
        <v>0</v>
      </c>
      <c r="Y1445" s="8"/>
      <c r="Z1445" s="9">
        <f t="shared" si="775"/>
        <v>0</v>
      </c>
      <c r="AA1445" s="8">
        <f t="shared" si="776"/>
        <v>0</v>
      </c>
      <c r="AB1445" s="8">
        <f t="shared" si="777"/>
        <v>0</v>
      </c>
    </row>
    <row r="1446" spans="1:28" x14ac:dyDescent="0.3">
      <c r="A1446" s="64"/>
      <c r="B1446" s="8"/>
      <c r="C1446" s="7" t="s">
        <v>545</v>
      </c>
      <c r="D1446" s="15" t="s">
        <v>54</v>
      </c>
      <c r="E1446" s="9">
        <v>1953989</v>
      </c>
      <c r="F1446" s="8"/>
      <c r="G1446" s="8"/>
      <c r="H1446" s="9">
        <f t="shared" si="768"/>
        <v>0</v>
      </c>
      <c r="I1446" s="8"/>
      <c r="J1446" s="9">
        <f t="shared" si="769"/>
        <v>0</v>
      </c>
      <c r="K1446" s="9">
        <v>1953989</v>
      </c>
      <c r="L1446" s="8"/>
      <c r="M1446" s="9">
        <f t="shared" si="778"/>
        <v>0</v>
      </c>
      <c r="N1446" s="8">
        <v>1953989</v>
      </c>
      <c r="O1446" s="9"/>
      <c r="P1446" s="9">
        <f t="shared" si="779"/>
        <v>1953989</v>
      </c>
      <c r="Q1446" s="9">
        <f t="shared" si="770"/>
        <v>0</v>
      </c>
      <c r="R1446" s="17"/>
      <c r="S1446" s="17"/>
      <c r="T1446" s="17"/>
      <c r="U1446" s="9">
        <f t="shared" si="771"/>
        <v>1953989</v>
      </c>
      <c r="V1446" s="9">
        <f t="shared" si="772"/>
        <v>1953989</v>
      </c>
      <c r="W1446" s="9">
        <f t="shared" si="773"/>
        <v>0</v>
      </c>
      <c r="X1446" s="9">
        <f t="shared" si="774"/>
        <v>1953989</v>
      </c>
      <c r="Y1446" s="8"/>
      <c r="Z1446" s="9">
        <f t="shared" si="775"/>
        <v>0</v>
      </c>
      <c r="AA1446" s="8">
        <f t="shared" si="776"/>
        <v>1953989</v>
      </c>
      <c r="AB1446" s="8">
        <f t="shared" si="777"/>
        <v>0</v>
      </c>
    </row>
    <row r="1447" spans="1:28" x14ac:dyDescent="0.3">
      <c r="A1447" s="64"/>
      <c r="B1447" s="8"/>
      <c r="C1447" s="7" t="s">
        <v>612</v>
      </c>
      <c r="D1447" s="15" t="s">
        <v>85</v>
      </c>
      <c r="E1447" s="9">
        <v>125683</v>
      </c>
      <c r="F1447" s="9">
        <v>125683</v>
      </c>
      <c r="G1447" s="8"/>
      <c r="H1447" s="9">
        <f t="shared" si="768"/>
        <v>125683</v>
      </c>
      <c r="I1447" s="8"/>
      <c r="J1447" s="9">
        <f t="shared" si="769"/>
        <v>125683</v>
      </c>
      <c r="K1447" s="8"/>
      <c r="L1447" s="8"/>
      <c r="M1447" s="9">
        <f t="shared" si="778"/>
        <v>125683</v>
      </c>
      <c r="N1447" s="8"/>
      <c r="O1447" s="9"/>
      <c r="P1447" s="9">
        <f t="shared" si="779"/>
        <v>0</v>
      </c>
      <c r="Q1447" s="9">
        <f t="shared" si="770"/>
        <v>125683</v>
      </c>
      <c r="R1447" s="17"/>
      <c r="S1447" s="17"/>
      <c r="T1447" s="17"/>
      <c r="U1447" s="9">
        <f t="shared" si="771"/>
        <v>0</v>
      </c>
      <c r="V1447" s="9">
        <f t="shared" si="772"/>
        <v>125683</v>
      </c>
      <c r="W1447" s="9">
        <f t="shared" si="773"/>
        <v>0</v>
      </c>
      <c r="X1447" s="9">
        <f t="shared" si="774"/>
        <v>125683</v>
      </c>
      <c r="Y1447" s="8"/>
      <c r="Z1447" s="9">
        <f t="shared" si="775"/>
        <v>0</v>
      </c>
      <c r="AA1447" s="8">
        <f t="shared" si="776"/>
        <v>125683</v>
      </c>
      <c r="AB1447" s="8">
        <f t="shared" si="777"/>
        <v>0</v>
      </c>
    </row>
    <row r="1448" spans="1:28" x14ac:dyDescent="0.3">
      <c r="A1448" s="64"/>
      <c r="B1448" s="8"/>
      <c r="C1448" s="7" t="s">
        <v>667</v>
      </c>
      <c r="D1448" s="15" t="s">
        <v>85</v>
      </c>
      <c r="E1448" s="9">
        <f>160000+400000-220000</f>
        <v>340000</v>
      </c>
      <c r="F1448" s="9">
        <v>340000</v>
      </c>
      <c r="G1448" s="8"/>
      <c r="H1448" s="9">
        <f t="shared" si="768"/>
        <v>340000</v>
      </c>
      <c r="I1448" s="8"/>
      <c r="J1448" s="9">
        <f t="shared" si="769"/>
        <v>340000</v>
      </c>
      <c r="K1448" s="8"/>
      <c r="L1448" s="8"/>
      <c r="M1448" s="9">
        <f t="shared" si="778"/>
        <v>340000</v>
      </c>
      <c r="N1448" s="8"/>
      <c r="O1448" s="9"/>
      <c r="P1448" s="9">
        <f t="shared" si="779"/>
        <v>0</v>
      </c>
      <c r="Q1448" s="9">
        <f t="shared" si="770"/>
        <v>340000</v>
      </c>
      <c r="R1448" s="17"/>
      <c r="S1448" s="17"/>
      <c r="T1448" s="17"/>
      <c r="U1448" s="9">
        <f t="shared" si="771"/>
        <v>0</v>
      </c>
      <c r="V1448" s="9">
        <f t="shared" si="772"/>
        <v>340000</v>
      </c>
      <c r="W1448" s="9">
        <f t="shared" si="773"/>
        <v>0</v>
      </c>
      <c r="X1448" s="9">
        <f t="shared" si="774"/>
        <v>340000</v>
      </c>
      <c r="Y1448" s="8"/>
      <c r="Z1448" s="9">
        <f t="shared" si="775"/>
        <v>0</v>
      </c>
      <c r="AA1448" s="8">
        <f t="shared" si="776"/>
        <v>340000</v>
      </c>
      <c r="AB1448" s="8">
        <f t="shared" si="777"/>
        <v>0</v>
      </c>
    </row>
    <row r="1449" spans="1:28" x14ac:dyDescent="0.3">
      <c r="A1449" s="64"/>
      <c r="B1449" s="8"/>
      <c r="C1449" s="7" t="s">
        <v>734</v>
      </c>
      <c r="D1449" s="15" t="s">
        <v>85</v>
      </c>
      <c r="E1449" s="9">
        <v>1599014</v>
      </c>
      <c r="F1449" s="9">
        <f>1181942+417072</f>
        <v>1599014</v>
      </c>
      <c r="G1449" s="8"/>
      <c r="H1449" s="9">
        <f t="shared" si="768"/>
        <v>1599014</v>
      </c>
      <c r="I1449" s="8"/>
      <c r="J1449" s="9">
        <f t="shared" si="769"/>
        <v>1599014</v>
      </c>
      <c r="K1449" s="8"/>
      <c r="L1449" s="8"/>
      <c r="M1449" s="9">
        <f t="shared" si="778"/>
        <v>1599014</v>
      </c>
      <c r="N1449" s="8"/>
      <c r="O1449" s="9"/>
      <c r="P1449" s="9">
        <f t="shared" si="779"/>
        <v>0</v>
      </c>
      <c r="Q1449" s="9">
        <f t="shared" si="770"/>
        <v>1599014</v>
      </c>
      <c r="R1449" s="17"/>
      <c r="S1449" s="17"/>
      <c r="T1449" s="17"/>
      <c r="U1449" s="9">
        <f t="shared" si="771"/>
        <v>0</v>
      </c>
      <c r="V1449" s="9">
        <f t="shared" si="772"/>
        <v>1599014</v>
      </c>
      <c r="W1449" s="9">
        <f t="shared" si="773"/>
        <v>0</v>
      </c>
      <c r="X1449" s="9">
        <f t="shared" si="774"/>
        <v>1599014</v>
      </c>
      <c r="Y1449" s="8"/>
      <c r="Z1449" s="9">
        <f t="shared" si="775"/>
        <v>0</v>
      </c>
      <c r="AA1449" s="8">
        <f t="shared" si="776"/>
        <v>1599014</v>
      </c>
      <c r="AB1449" s="8">
        <f t="shared" si="777"/>
        <v>0</v>
      </c>
    </row>
    <row r="1450" spans="1:28" x14ac:dyDescent="0.3">
      <c r="A1450" s="64"/>
      <c r="B1450" s="8"/>
      <c r="C1450" s="7" t="s">
        <v>535</v>
      </c>
      <c r="D1450" s="15" t="s">
        <v>128</v>
      </c>
      <c r="E1450" s="9">
        <f>1858728+1621284</f>
        <v>3480012</v>
      </c>
      <c r="F1450" s="9">
        <f>1858728+1621284</f>
        <v>3480012</v>
      </c>
      <c r="G1450" s="8"/>
      <c r="H1450" s="9">
        <f t="shared" si="768"/>
        <v>3480012</v>
      </c>
      <c r="I1450" s="8"/>
      <c r="J1450" s="9">
        <f t="shared" si="769"/>
        <v>3480012</v>
      </c>
      <c r="K1450" s="8"/>
      <c r="L1450" s="8"/>
      <c r="M1450" s="9">
        <f t="shared" si="778"/>
        <v>3480012</v>
      </c>
      <c r="N1450" s="8"/>
      <c r="O1450" s="9"/>
      <c r="P1450" s="9">
        <f t="shared" si="779"/>
        <v>0</v>
      </c>
      <c r="Q1450" s="9">
        <f t="shared" si="770"/>
        <v>3480012</v>
      </c>
      <c r="R1450" s="17"/>
      <c r="S1450" s="17"/>
      <c r="T1450" s="17"/>
      <c r="U1450" s="9">
        <f t="shared" si="771"/>
        <v>0</v>
      </c>
      <c r="V1450" s="9">
        <f t="shared" si="772"/>
        <v>3480012</v>
      </c>
      <c r="W1450" s="9">
        <f t="shared" si="773"/>
        <v>0</v>
      </c>
      <c r="X1450" s="9">
        <f t="shared" si="774"/>
        <v>3480012</v>
      </c>
      <c r="Y1450" s="8"/>
      <c r="Z1450" s="9">
        <f t="shared" si="775"/>
        <v>0</v>
      </c>
      <c r="AA1450" s="8">
        <f t="shared" si="776"/>
        <v>3480012</v>
      </c>
      <c r="AB1450" s="8">
        <f t="shared" si="777"/>
        <v>0</v>
      </c>
    </row>
    <row r="1451" spans="1:28" x14ac:dyDescent="0.3">
      <c r="A1451" s="64"/>
      <c r="B1451" s="8"/>
      <c r="C1451" s="7" t="s">
        <v>535</v>
      </c>
      <c r="D1451" s="15" t="s">
        <v>88</v>
      </c>
      <c r="E1451" s="9">
        <v>1512631.68</v>
      </c>
      <c r="F1451" s="9">
        <f>1512631.68+2438878.78-2438878.78</f>
        <v>1512631.6800000002</v>
      </c>
      <c r="G1451" s="8"/>
      <c r="H1451" s="9">
        <f t="shared" si="768"/>
        <v>1512631.6800000002</v>
      </c>
      <c r="I1451" s="8"/>
      <c r="J1451" s="9">
        <f t="shared" si="769"/>
        <v>1512631.6800000002</v>
      </c>
      <c r="K1451" s="8"/>
      <c r="L1451" s="8"/>
      <c r="M1451" s="9">
        <f t="shared" si="778"/>
        <v>1512631.6800000002</v>
      </c>
      <c r="N1451" s="8"/>
      <c r="O1451" s="9"/>
      <c r="P1451" s="9">
        <f t="shared" si="779"/>
        <v>0</v>
      </c>
      <c r="Q1451" s="9">
        <f t="shared" si="770"/>
        <v>1512631.68</v>
      </c>
      <c r="R1451" s="17"/>
      <c r="S1451" s="17"/>
      <c r="T1451" s="17"/>
      <c r="U1451" s="9">
        <f t="shared" si="771"/>
        <v>0</v>
      </c>
      <c r="V1451" s="9">
        <f t="shared" si="772"/>
        <v>1512631.6800000002</v>
      </c>
      <c r="W1451" s="9">
        <f t="shared" si="773"/>
        <v>0</v>
      </c>
      <c r="X1451" s="9">
        <f t="shared" si="774"/>
        <v>1512631.6800000002</v>
      </c>
      <c r="Y1451" s="8"/>
      <c r="Z1451" s="9">
        <f t="shared" si="775"/>
        <v>0</v>
      </c>
      <c r="AA1451" s="8">
        <f t="shared" si="776"/>
        <v>1512631.6800000002</v>
      </c>
      <c r="AB1451" s="8">
        <f t="shared" si="777"/>
        <v>0</v>
      </c>
    </row>
    <row r="1452" spans="1:28" x14ac:dyDescent="0.3">
      <c r="A1452" s="64"/>
      <c r="B1452" s="7" t="s">
        <v>642</v>
      </c>
      <c r="C1452" s="7" t="s">
        <v>535</v>
      </c>
      <c r="D1452" s="15" t="s">
        <v>108</v>
      </c>
      <c r="E1452" s="9">
        <v>1039226.55</v>
      </c>
      <c r="F1452" s="9">
        <v>1039226.55</v>
      </c>
      <c r="G1452" s="8"/>
      <c r="H1452" s="9">
        <f t="shared" si="768"/>
        <v>1039226.55</v>
      </c>
      <c r="I1452" s="8"/>
      <c r="J1452" s="9">
        <f t="shared" si="769"/>
        <v>1039226.55</v>
      </c>
      <c r="K1452" s="8"/>
      <c r="L1452" s="8"/>
      <c r="M1452" s="9">
        <f t="shared" si="778"/>
        <v>1039226.55</v>
      </c>
      <c r="N1452" s="8"/>
      <c r="O1452" s="9"/>
      <c r="P1452" s="9">
        <f t="shared" si="779"/>
        <v>0</v>
      </c>
      <c r="Q1452" s="9">
        <f t="shared" si="770"/>
        <v>1039226.55</v>
      </c>
      <c r="R1452" s="17"/>
      <c r="S1452" s="17"/>
      <c r="T1452" s="17"/>
      <c r="U1452" s="9">
        <f t="shared" si="771"/>
        <v>0</v>
      </c>
      <c r="V1452" s="9">
        <f t="shared" si="772"/>
        <v>1039226.55</v>
      </c>
      <c r="W1452" s="9">
        <f t="shared" si="773"/>
        <v>0</v>
      </c>
      <c r="X1452" s="9">
        <f t="shared" si="774"/>
        <v>1039226.55</v>
      </c>
      <c r="Y1452" s="8"/>
      <c r="Z1452" s="9">
        <f t="shared" si="775"/>
        <v>0</v>
      </c>
      <c r="AA1452" s="8">
        <f t="shared" si="776"/>
        <v>1039226.55</v>
      </c>
      <c r="AB1452" s="8">
        <f t="shared" si="777"/>
        <v>0</v>
      </c>
    </row>
    <row r="1453" spans="1:28" x14ac:dyDescent="0.3">
      <c r="A1453" s="64"/>
      <c r="B1453" s="8"/>
      <c r="C1453" s="7" t="s">
        <v>535</v>
      </c>
      <c r="D1453" s="15" t="s">
        <v>58</v>
      </c>
      <c r="E1453" s="9">
        <v>1659191</v>
      </c>
      <c r="F1453" s="9">
        <v>1659191</v>
      </c>
      <c r="G1453" s="8"/>
      <c r="H1453" s="9">
        <f t="shared" si="768"/>
        <v>1659191</v>
      </c>
      <c r="I1453" s="8"/>
      <c r="J1453" s="9">
        <f t="shared" si="769"/>
        <v>1659191</v>
      </c>
      <c r="K1453" s="8"/>
      <c r="L1453" s="8"/>
      <c r="M1453" s="9">
        <f t="shared" si="778"/>
        <v>1659191</v>
      </c>
      <c r="N1453" s="8"/>
      <c r="O1453" s="9"/>
      <c r="P1453" s="9">
        <f t="shared" si="779"/>
        <v>0</v>
      </c>
      <c r="Q1453" s="9">
        <f t="shared" si="770"/>
        <v>1659191</v>
      </c>
      <c r="R1453" s="17"/>
      <c r="S1453" s="17"/>
      <c r="T1453" s="17"/>
      <c r="U1453" s="9">
        <f t="shared" si="771"/>
        <v>0</v>
      </c>
      <c r="V1453" s="9">
        <f t="shared" si="772"/>
        <v>1659191</v>
      </c>
      <c r="W1453" s="9">
        <f t="shared" si="773"/>
        <v>0</v>
      </c>
      <c r="X1453" s="9">
        <f t="shared" si="774"/>
        <v>1659191</v>
      </c>
      <c r="Y1453" s="8"/>
      <c r="Z1453" s="9">
        <f t="shared" si="775"/>
        <v>0</v>
      </c>
      <c r="AA1453" s="8">
        <f t="shared" si="776"/>
        <v>1659191</v>
      </c>
      <c r="AB1453" s="8">
        <f t="shared" si="777"/>
        <v>0</v>
      </c>
    </row>
    <row r="1454" spans="1:28" x14ac:dyDescent="0.3">
      <c r="A1454" s="64"/>
      <c r="B1454" s="8"/>
      <c r="C1454" s="7" t="s">
        <v>735</v>
      </c>
      <c r="D1454" s="21" t="s">
        <v>60</v>
      </c>
      <c r="E1454" s="9">
        <f>1000000+461244.22</f>
        <v>1461244.22</v>
      </c>
      <c r="F1454" s="9">
        <f>1000000+461244.22</f>
        <v>1461244.22</v>
      </c>
      <c r="G1454" s="8"/>
      <c r="H1454" s="9">
        <f t="shared" si="768"/>
        <v>1461244.22</v>
      </c>
      <c r="I1454" s="8"/>
      <c r="J1454" s="9">
        <f t="shared" si="769"/>
        <v>1461244.22</v>
      </c>
      <c r="K1454" s="8"/>
      <c r="L1454" s="8"/>
      <c r="M1454" s="9">
        <f t="shared" si="778"/>
        <v>1461244.22</v>
      </c>
      <c r="N1454" s="8"/>
      <c r="O1454" s="9"/>
      <c r="P1454" s="9">
        <f t="shared" si="779"/>
        <v>0</v>
      </c>
      <c r="Q1454" s="9">
        <f t="shared" si="770"/>
        <v>1461244.22</v>
      </c>
      <c r="R1454" s="17"/>
      <c r="S1454" s="17"/>
      <c r="T1454" s="17"/>
      <c r="U1454" s="9">
        <f t="shared" si="771"/>
        <v>0</v>
      </c>
      <c r="V1454" s="9">
        <f t="shared" si="772"/>
        <v>1461244.22</v>
      </c>
      <c r="W1454" s="9">
        <f t="shared" si="773"/>
        <v>0</v>
      </c>
      <c r="X1454" s="9">
        <f t="shared" si="774"/>
        <v>1461244.22</v>
      </c>
      <c r="Y1454" s="8"/>
      <c r="Z1454" s="9">
        <f t="shared" si="775"/>
        <v>0</v>
      </c>
      <c r="AA1454" s="8">
        <f t="shared" si="776"/>
        <v>1461244.22</v>
      </c>
      <c r="AB1454" s="8">
        <f t="shared" si="777"/>
        <v>0</v>
      </c>
    </row>
    <row r="1455" spans="1:28" x14ac:dyDescent="0.3">
      <c r="A1455" s="64"/>
      <c r="B1455" s="8"/>
      <c r="C1455" s="7" t="s">
        <v>535</v>
      </c>
      <c r="D1455" s="21" t="s">
        <v>60</v>
      </c>
      <c r="E1455" s="9">
        <v>1441286</v>
      </c>
      <c r="F1455" s="9">
        <v>1441286</v>
      </c>
      <c r="G1455" s="8"/>
      <c r="H1455" s="9">
        <f t="shared" si="768"/>
        <v>1441286</v>
      </c>
      <c r="I1455" s="8"/>
      <c r="J1455" s="9">
        <f t="shared" si="769"/>
        <v>1441286</v>
      </c>
      <c r="K1455" s="8"/>
      <c r="L1455" s="8"/>
      <c r="M1455" s="9">
        <f t="shared" si="778"/>
        <v>1441286</v>
      </c>
      <c r="N1455" s="8"/>
      <c r="O1455" s="9"/>
      <c r="P1455" s="9">
        <f t="shared" si="779"/>
        <v>0</v>
      </c>
      <c r="Q1455" s="9">
        <f t="shared" si="770"/>
        <v>1441286</v>
      </c>
      <c r="R1455" s="17"/>
      <c r="S1455" s="17"/>
      <c r="T1455" s="17"/>
      <c r="U1455" s="9">
        <f t="shared" si="771"/>
        <v>0</v>
      </c>
      <c r="V1455" s="9">
        <f t="shared" si="772"/>
        <v>1441286</v>
      </c>
      <c r="W1455" s="9">
        <f t="shared" si="773"/>
        <v>0</v>
      </c>
      <c r="X1455" s="9">
        <f t="shared" si="774"/>
        <v>1441286</v>
      </c>
      <c r="Y1455" s="8"/>
      <c r="Z1455" s="9">
        <f t="shared" si="775"/>
        <v>0</v>
      </c>
      <c r="AA1455" s="8">
        <f t="shared" si="776"/>
        <v>1441286</v>
      </c>
      <c r="AB1455" s="8">
        <f t="shared" si="777"/>
        <v>0</v>
      </c>
    </row>
    <row r="1456" spans="1:28" x14ac:dyDescent="0.3">
      <c r="A1456" s="64"/>
      <c r="B1456" s="8"/>
      <c r="C1456" s="14" t="s">
        <v>736</v>
      </c>
      <c r="D1456" s="21" t="s">
        <v>60</v>
      </c>
      <c r="E1456" s="11">
        <v>5000000</v>
      </c>
      <c r="F1456" s="11">
        <v>5000000</v>
      </c>
      <c r="G1456" s="8"/>
      <c r="H1456" s="9">
        <f t="shared" si="768"/>
        <v>5000000</v>
      </c>
      <c r="I1456" s="8"/>
      <c r="J1456" s="9">
        <f t="shared" si="769"/>
        <v>5000000</v>
      </c>
      <c r="K1456" s="8"/>
      <c r="L1456" s="8"/>
      <c r="M1456" s="9">
        <f t="shared" si="778"/>
        <v>5000000</v>
      </c>
      <c r="N1456" s="8"/>
      <c r="O1456" s="9"/>
      <c r="P1456" s="9">
        <f t="shared" si="779"/>
        <v>0</v>
      </c>
      <c r="Q1456" s="9">
        <f t="shared" si="770"/>
        <v>5000000</v>
      </c>
      <c r="R1456" s="17"/>
      <c r="S1456" s="17"/>
      <c r="T1456" s="17"/>
      <c r="U1456" s="9">
        <f t="shared" si="771"/>
        <v>0</v>
      </c>
      <c r="V1456" s="9">
        <f t="shared" si="772"/>
        <v>5000000</v>
      </c>
      <c r="W1456" s="9">
        <f t="shared" si="773"/>
        <v>0</v>
      </c>
      <c r="X1456" s="9">
        <f t="shared" si="774"/>
        <v>5000000</v>
      </c>
      <c r="Y1456" s="8"/>
      <c r="Z1456" s="9">
        <f t="shared" si="775"/>
        <v>0</v>
      </c>
      <c r="AA1456" s="8">
        <f t="shared" si="776"/>
        <v>5000000</v>
      </c>
      <c r="AB1456" s="8">
        <f t="shared" si="777"/>
        <v>0</v>
      </c>
    </row>
    <row r="1457" spans="1:28" x14ac:dyDescent="0.3">
      <c r="A1457" s="64"/>
      <c r="B1457" s="8"/>
      <c r="C1457" s="7" t="s">
        <v>535</v>
      </c>
      <c r="D1457" s="21" t="s">
        <v>73</v>
      </c>
      <c r="E1457" s="9">
        <f>459397+485603</f>
        <v>945000</v>
      </c>
      <c r="F1457" s="9">
        <f>459397+485603</f>
        <v>945000</v>
      </c>
      <c r="G1457" s="9"/>
      <c r="H1457" s="9">
        <f t="shared" si="768"/>
        <v>945000</v>
      </c>
      <c r="I1457" s="9"/>
      <c r="J1457" s="9">
        <f t="shared" si="769"/>
        <v>945000</v>
      </c>
      <c r="K1457" s="8"/>
      <c r="L1457" s="8"/>
      <c r="M1457" s="9">
        <f t="shared" si="778"/>
        <v>945000</v>
      </c>
      <c r="N1457" s="8"/>
      <c r="O1457" s="9"/>
      <c r="P1457" s="9">
        <f t="shared" si="779"/>
        <v>0</v>
      </c>
      <c r="Q1457" s="9">
        <f t="shared" si="770"/>
        <v>945000</v>
      </c>
      <c r="R1457" s="17"/>
      <c r="S1457" s="17"/>
      <c r="T1457" s="17"/>
      <c r="U1457" s="9">
        <f t="shared" si="771"/>
        <v>0</v>
      </c>
      <c r="V1457" s="9">
        <f t="shared" si="772"/>
        <v>945000</v>
      </c>
      <c r="W1457" s="9">
        <f t="shared" si="773"/>
        <v>0</v>
      </c>
      <c r="X1457" s="9">
        <f t="shared" si="774"/>
        <v>945000</v>
      </c>
      <c r="Y1457" s="8"/>
      <c r="Z1457" s="9">
        <f t="shared" si="775"/>
        <v>0</v>
      </c>
      <c r="AA1457" s="8">
        <f t="shared" si="776"/>
        <v>945000</v>
      </c>
      <c r="AB1457" s="8">
        <f t="shared" si="777"/>
        <v>0</v>
      </c>
    </row>
    <row r="1458" spans="1:28" x14ac:dyDescent="0.3">
      <c r="A1458" s="64"/>
      <c r="B1458" s="8"/>
      <c r="C1458" s="14" t="s">
        <v>737</v>
      </c>
      <c r="D1458" s="21" t="s">
        <v>73</v>
      </c>
      <c r="E1458" s="11">
        <f>518320+79962.02+322733.25+286249.38+53510.35</f>
        <v>1260775</v>
      </c>
      <c r="F1458" s="11">
        <f>518320+742455</f>
        <v>1260775</v>
      </c>
      <c r="G1458" s="8"/>
      <c r="H1458" s="9">
        <f t="shared" si="768"/>
        <v>1260775</v>
      </c>
      <c r="I1458" s="8"/>
      <c r="J1458" s="9">
        <f t="shared" si="769"/>
        <v>1260775</v>
      </c>
      <c r="K1458" s="8"/>
      <c r="L1458" s="8"/>
      <c r="M1458" s="9">
        <f t="shared" si="778"/>
        <v>1260775</v>
      </c>
      <c r="N1458" s="8"/>
      <c r="O1458" s="9"/>
      <c r="P1458" s="9">
        <f t="shared" si="779"/>
        <v>0</v>
      </c>
      <c r="Q1458" s="9">
        <f t="shared" si="770"/>
        <v>1260775</v>
      </c>
      <c r="R1458" s="17"/>
      <c r="S1458" s="17"/>
      <c r="T1458" s="17"/>
      <c r="U1458" s="9">
        <f t="shared" si="771"/>
        <v>0</v>
      </c>
      <c r="V1458" s="9">
        <f t="shared" si="772"/>
        <v>1260775</v>
      </c>
      <c r="W1458" s="9">
        <f t="shared" si="773"/>
        <v>0</v>
      </c>
      <c r="X1458" s="9">
        <f t="shared" si="774"/>
        <v>1260775</v>
      </c>
      <c r="Y1458" s="8"/>
      <c r="Z1458" s="9">
        <f t="shared" si="775"/>
        <v>0</v>
      </c>
      <c r="AA1458" s="8">
        <f t="shared" si="776"/>
        <v>1260775</v>
      </c>
      <c r="AB1458" s="8">
        <f t="shared" si="777"/>
        <v>0</v>
      </c>
    </row>
    <row r="1459" spans="1:28" x14ac:dyDescent="0.3">
      <c r="A1459" s="64"/>
      <c r="B1459" s="8"/>
      <c r="C1459" s="45" t="s">
        <v>1141</v>
      </c>
      <c r="D1459" s="24" t="s">
        <v>1126</v>
      </c>
      <c r="E1459" s="11">
        <v>98861.92</v>
      </c>
      <c r="F1459" s="11">
        <v>98861.92</v>
      </c>
      <c r="G1459" s="8"/>
      <c r="H1459" s="9">
        <f>+F1459+G1459</f>
        <v>98861.92</v>
      </c>
      <c r="I1459" s="8"/>
      <c r="J1459" s="9">
        <f t="shared" si="769"/>
        <v>98861.92</v>
      </c>
      <c r="K1459" s="8"/>
      <c r="L1459" s="8"/>
      <c r="M1459" s="9">
        <f t="shared" si="778"/>
        <v>98861.92</v>
      </c>
      <c r="N1459" s="8"/>
      <c r="O1459" s="9"/>
      <c r="P1459" s="9">
        <f>+N1459+O1459</f>
        <v>0</v>
      </c>
      <c r="Q1459" s="9"/>
      <c r="R1459" s="17"/>
      <c r="S1459" s="17"/>
      <c r="T1459" s="17"/>
      <c r="U1459" s="9">
        <f t="shared" si="771"/>
        <v>0</v>
      </c>
      <c r="V1459" s="9">
        <f t="shared" si="772"/>
        <v>98861.92</v>
      </c>
      <c r="W1459" s="9"/>
      <c r="X1459" s="9">
        <f t="shared" si="774"/>
        <v>98861.92</v>
      </c>
      <c r="Y1459" s="8"/>
      <c r="Z1459" s="9">
        <f>+E1459-X1459</f>
        <v>0</v>
      </c>
      <c r="AA1459" s="8">
        <f>+M1459+U1459</f>
        <v>98861.92</v>
      </c>
      <c r="AB1459" s="8">
        <f>+E1459-AA1459</f>
        <v>0</v>
      </c>
    </row>
    <row r="1460" spans="1:28" x14ac:dyDescent="0.3">
      <c r="A1460" s="64"/>
      <c r="B1460" s="8"/>
      <c r="C1460" s="14" t="s">
        <v>1159</v>
      </c>
      <c r="D1460" s="24" t="s">
        <v>1126</v>
      </c>
      <c r="E1460" s="11">
        <v>1000000</v>
      </c>
      <c r="F1460" s="11">
        <v>1000000</v>
      </c>
      <c r="G1460" s="8"/>
      <c r="H1460" s="9">
        <f>+F1460+G1460</f>
        <v>1000000</v>
      </c>
      <c r="I1460" s="8"/>
      <c r="J1460" s="9">
        <f t="shared" si="769"/>
        <v>1000000</v>
      </c>
      <c r="K1460" s="8"/>
      <c r="L1460" s="8"/>
      <c r="M1460" s="9">
        <f t="shared" si="778"/>
        <v>1000000</v>
      </c>
      <c r="N1460" s="8"/>
      <c r="O1460" s="9"/>
      <c r="P1460" s="9">
        <f>+N1460+O1460</f>
        <v>0</v>
      </c>
      <c r="Q1460" s="9"/>
      <c r="R1460" s="17"/>
      <c r="S1460" s="17"/>
      <c r="T1460" s="17"/>
      <c r="U1460" s="9">
        <f t="shared" si="771"/>
        <v>0</v>
      </c>
      <c r="V1460" s="9">
        <f t="shared" si="772"/>
        <v>1000000</v>
      </c>
      <c r="W1460" s="9"/>
      <c r="X1460" s="9">
        <f t="shared" si="774"/>
        <v>1000000</v>
      </c>
      <c r="Y1460" s="8"/>
      <c r="Z1460" s="9">
        <f>+E1460-X1460</f>
        <v>0</v>
      </c>
      <c r="AA1460" s="8">
        <f>+M1460+U1460</f>
        <v>1000000</v>
      </c>
      <c r="AB1460" s="8">
        <f>+E1460-AA1460</f>
        <v>0</v>
      </c>
    </row>
    <row r="1461" spans="1:28" x14ac:dyDescent="0.3">
      <c r="A1461" s="64"/>
      <c r="B1461" s="8"/>
      <c r="C1461" s="7" t="s">
        <v>535</v>
      </c>
      <c r="D1461" s="21" t="s">
        <v>61</v>
      </c>
      <c r="E1461" s="11">
        <v>1692727.99</v>
      </c>
      <c r="F1461" s="11">
        <v>1692727.99</v>
      </c>
      <c r="G1461" s="8"/>
      <c r="H1461" s="9">
        <f t="shared" si="768"/>
        <v>1692727.99</v>
      </c>
      <c r="I1461" s="8"/>
      <c r="J1461" s="9">
        <f t="shared" si="769"/>
        <v>1692727.99</v>
      </c>
      <c r="K1461" s="8"/>
      <c r="L1461" s="8"/>
      <c r="M1461" s="9">
        <f t="shared" si="778"/>
        <v>1692727.99</v>
      </c>
      <c r="N1461" s="8"/>
      <c r="O1461" s="9"/>
      <c r="P1461" s="9">
        <f t="shared" si="779"/>
        <v>0</v>
      </c>
      <c r="Q1461" s="9">
        <f t="shared" si="770"/>
        <v>1692727.99</v>
      </c>
      <c r="R1461" s="17"/>
      <c r="S1461" s="17"/>
      <c r="T1461" s="17"/>
      <c r="U1461" s="9">
        <f t="shared" si="771"/>
        <v>0</v>
      </c>
      <c r="V1461" s="9">
        <f t="shared" si="772"/>
        <v>1692727.99</v>
      </c>
      <c r="W1461" s="9">
        <f t="shared" si="773"/>
        <v>0</v>
      </c>
      <c r="X1461" s="9">
        <f t="shared" si="774"/>
        <v>1692727.99</v>
      </c>
      <c r="Y1461" s="8"/>
      <c r="Z1461" s="9">
        <f t="shared" si="775"/>
        <v>0</v>
      </c>
      <c r="AA1461" s="8">
        <f t="shared" si="776"/>
        <v>1692727.99</v>
      </c>
      <c r="AB1461" s="8">
        <f t="shared" si="777"/>
        <v>0</v>
      </c>
    </row>
    <row r="1462" spans="1:28" x14ac:dyDescent="0.3">
      <c r="A1462" s="64"/>
      <c r="B1462" s="8"/>
      <c r="C1462" s="14" t="s">
        <v>738</v>
      </c>
      <c r="D1462" s="21" t="s">
        <v>61</v>
      </c>
      <c r="E1462" s="11">
        <f>489846.72+182476.75+894150.03+881636.39</f>
        <v>2448109.89</v>
      </c>
      <c r="F1462" s="8">
        <f>1566473.5+881636.39</f>
        <v>2448109.89</v>
      </c>
      <c r="G1462" s="11"/>
      <c r="H1462" s="9">
        <f t="shared" si="768"/>
        <v>2448109.89</v>
      </c>
      <c r="I1462" s="8"/>
      <c r="J1462" s="9">
        <f t="shared" si="769"/>
        <v>2448109.89</v>
      </c>
      <c r="K1462" s="8"/>
      <c r="L1462" s="8"/>
      <c r="M1462" s="9">
        <f t="shared" si="778"/>
        <v>2448109.89</v>
      </c>
      <c r="N1462" s="8"/>
      <c r="O1462" s="9"/>
      <c r="P1462" s="9">
        <f t="shared" si="779"/>
        <v>0</v>
      </c>
      <c r="Q1462" s="9">
        <f t="shared" si="770"/>
        <v>2448109.89</v>
      </c>
      <c r="R1462" s="17"/>
      <c r="S1462" s="17"/>
      <c r="T1462" s="17"/>
      <c r="U1462" s="9">
        <f t="shared" si="771"/>
        <v>0</v>
      </c>
      <c r="V1462" s="9">
        <f t="shared" si="772"/>
        <v>2448109.89</v>
      </c>
      <c r="W1462" s="9">
        <f t="shared" si="773"/>
        <v>0</v>
      </c>
      <c r="X1462" s="9">
        <f t="shared" si="774"/>
        <v>2448109.89</v>
      </c>
      <c r="Y1462" s="8"/>
      <c r="Z1462" s="9">
        <f t="shared" si="775"/>
        <v>0</v>
      </c>
      <c r="AA1462" s="8">
        <f t="shared" si="776"/>
        <v>2448109.89</v>
      </c>
      <c r="AB1462" s="8">
        <f t="shared" si="777"/>
        <v>0</v>
      </c>
    </row>
    <row r="1463" spans="1:28" x14ac:dyDescent="0.3">
      <c r="A1463" s="64"/>
      <c r="B1463" s="8"/>
      <c r="C1463" s="7" t="s">
        <v>739</v>
      </c>
      <c r="D1463" s="8"/>
      <c r="E1463" s="9">
        <f>700000-132175</f>
        <v>567825</v>
      </c>
      <c r="F1463" s="9">
        <v>567825</v>
      </c>
      <c r="G1463" s="8"/>
      <c r="H1463" s="9">
        <f t="shared" si="768"/>
        <v>567825</v>
      </c>
      <c r="I1463" s="8"/>
      <c r="J1463" s="9">
        <f t="shared" si="769"/>
        <v>567825</v>
      </c>
      <c r="K1463" s="8"/>
      <c r="L1463" s="8"/>
      <c r="M1463" s="9">
        <f t="shared" si="778"/>
        <v>567825</v>
      </c>
      <c r="N1463" s="8"/>
      <c r="O1463" s="9"/>
      <c r="P1463" s="9">
        <f t="shared" si="779"/>
        <v>0</v>
      </c>
      <c r="Q1463" s="9">
        <f t="shared" si="770"/>
        <v>567825</v>
      </c>
      <c r="R1463" s="17"/>
      <c r="S1463" s="17"/>
      <c r="T1463" s="17"/>
      <c r="U1463" s="9">
        <f t="shared" si="771"/>
        <v>0</v>
      </c>
      <c r="V1463" s="9">
        <f t="shared" si="772"/>
        <v>567825</v>
      </c>
      <c r="W1463" s="9">
        <f t="shared" si="773"/>
        <v>0</v>
      </c>
      <c r="X1463" s="9">
        <f t="shared" si="774"/>
        <v>567825</v>
      </c>
      <c r="Y1463" s="8"/>
      <c r="Z1463" s="9">
        <f t="shared" si="775"/>
        <v>0</v>
      </c>
      <c r="AA1463" s="8">
        <f t="shared" si="776"/>
        <v>567825</v>
      </c>
      <c r="AB1463" s="8">
        <f t="shared" si="777"/>
        <v>0</v>
      </c>
    </row>
    <row r="1464" spans="1:28" x14ac:dyDescent="0.3">
      <c r="A1464" s="64"/>
      <c r="B1464" s="8"/>
      <c r="C1464" s="7" t="s">
        <v>739</v>
      </c>
      <c r="D1464" s="8"/>
      <c r="E1464" s="9">
        <f>1630000-427796</f>
        <v>1202204</v>
      </c>
      <c r="F1464" s="9">
        <v>1202204</v>
      </c>
      <c r="G1464" s="8"/>
      <c r="H1464" s="9">
        <f t="shared" si="768"/>
        <v>1202204</v>
      </c>
      <c r="I1464" s="8"/>
      <c r="J1464" s="9">
        <f t="shared" si="769"/>
        <v>1202204</v>
      </c>
      <c r="K1464" s="8"/>
      <c r="L1464" s="8"/>
      <c r="M1464" s="9">
        <f t="shared" si="778"/>
        <v>1202204</v>
      </c>
      <c r="N1464" s="8"/>
      <c r="O1464" s="9"/>
      <c r="P1464" s="9">
        <f t="shared" si="779"/>
        <v>0</v>
      </c>
      <c r="Q1464" s="9">
        <f t="shared" si="770"/>
        <v>1202204</v>
      </c>
      <c r="R1464" s="17"/>
      <c r="S1464" s="17"/>
      <c r="T1464" s="17"/>
      <c r="U1464" s="9">
        <f t="shared" si="771"/>
        <v>0</v>
      </c>
      <c r="V1464" s="9">
        <f t="shared" si="772"/>
        <v>1202204</v>
      </c>
      <c r="W1464" s="9">
        <f t="shared" si="773"/>
        <v>0</v>
      </c>
      <c r="X1464" s="9">
        <f t="shared" si="774"/>
        <v>1202204</v>
      </c>
      <c r="Y1464" s="8"/>
      <c r="Z1464" s="9">
        <f t="shared" si="775"/>
        <v>0</v>
      </c>
      <c r="AA1464" s="8">
        <f t="shared" si="776"/>
        <v>1202204</v>
      </c>
      <c r="AB1464" s="8">
        <f t="shared" si="777"/>
        <v>0</v>
      </c>
    </row>
    <row r="1465" spans="1:28" x14ac:dyDescent="0.3">
      <c r="A1465" s="64"/>
      <c r="B1465" s="8"/>
      <c r="C1465" s="7" t="s">
        <v>1116</v>
      </c>
      <c r="D1465" s="23" t="s">
        <v>1126</v>
      </c>
      <c r="E1465" s="9">
        <v>845246.4</v>
      </c>
      <c r="F1465" s="9">
        <v>845246.4</v>
      </c>
      <c r="G1465" s="8"/>
      <c r="H1465" s="9">
        <f>+F1465+G1465</f>
        <v>845246.4</v>
      </c>
      <c r="I1465" s="8"/>
      <c r="J1465" s="9">
        <f t="shared" si="769"/>
        <v>845246.4</v>
      </c>
      <c r="K1465" s="8"/>
      <c r="L1465" s="8"/>
      <c r="M1465" s="9">
        <f t="shared" si="778"/>
        <v>845246.4</v>
      </c>
      <c r="N1465" s="8"/>
      <c r="O1465" s="9"/>
      <c r="P1465" s="9">
        <f>+N14143</f>
        <v>0</v>
      </c>
      <c r="Q1465" s="9"/>
      <c r="R1465" s="17"/>
      <c r="S1465" s="17"/>
      <c r="T1465" s="17"/>
      <c r="U1465" s="9">
        <f t="shared" si="771"/>
        <v>0</v>
      </c>
      <c r="V1465" s="9">
        <f t="shared" si="772"/>
        <v>845246.4</v>
      </c>
      <c r="W1465" s="9"/>
      <c r="X1465" s="9">
        <f t="shared" si="774"/>
        <v>845246.4</v>
      </c>
      <c r="Y1465" s="8"/>
      <c r="Z1465" s="9">
        <f t="shared" si="775"/>
        <v>0</v>
      </c>
      <c r="AA1465" s="8">
        <f t="shared" si="776"/>
        <v>845246.4</v>
      </c>
      <c r="AB1465" s="8">
        <f t="shared" si="777"/>
        <v>0</v>
      </c>
    </row>
    <row r="1466" spans="1:28" x14ac:dyDescent="0.3">
      <c r="A1466" s="64"/>
      <c r="B1466" s="8"/>
      <c r="C1466" s="7" t="s">
        <v>933</v>
      </c>
      <c r="D1466" s="23" t="s">
        <v>1072</v>
      </c>
      <c r="E1466" s="9">
        <f>1023000+267898.61</f>
        <v>1290898.6099999999</v>
      </c>
      <c r="F1466" s="9">
        <f>1023000+267898.61</f>
        <v>1290898.6099999999</v>
      </c>
      <c r="G1466" s="8"/>
      <c r="H1466" s="9">
        <f>+F1466+G1466</f>
        <v>1290898.6099999999</v>
      </c>
      <c r="I1466" s="8"/>
      <c r="J1466" s="9">
        <f t="shared" si="769"/>
        <v>1290898.6099999999</v>
      </c>
      <c r="K1466" s="8"/>
      <c r="L1466" s="8"/>
      <c r="M1466" s="9">
        <f t="shared" si="778"/>
        <v>1290898.6099999999</v>
      </c>
      <c r="N1466" s="8"/>
      <c r="O1466" s="9"/>
      <c r="P1466" s="9">
        <f>+N1466+O1466</f>
        <v>0</v>
      </c>
      <c r="Q1466" s="9"/>
      <c r="R1466" s="17"/>
      <c r="S1466" s="17"/>
      <c r="T1466" s="17"/>
      <c r="U1466" s="9">
        <f t="shared" si="771"/>
        <v>0</v>
      </c>
      <c r="V1466" s="9">
        <f t="shared" si="772"/>
        <v>1290898.6099999999</v>
      </c>
      <c r="W1466" s="9"/>
      <c r="X1466" s="9">
        <f t="shared" si="774"/>
        <v>1290898.6099999999</v>
      </c>
      <c r="Y1466" s="8"/>
      <c r="Z1466" s="9">
        <f t="shared" si="775"/>
        <v>0</v>
      </c>
      <c r="AA1466" s="8">
        <f t="shared" si="776"/>
        <v>1290898.6099999999</v>
      </c>
      <c r="AB1466" s="8">
        <f t="shared" si="777"/>
        <v>0</v>
      </c>
    </row>
    <row r="1467" spans="1:28" x14ac:dyDescent="0.3">
      <c r="A1467" s="64"/>
      <c r="B1467" s="8"/>
      <c r="C1467" s="7" t="s">
        <v>1219</v>
      </c>
      <c r="D1467" s="23" t="s">
        <v>1229</v>
      </c>
      <c r="E1467" s="9">
        <f>1439324.44+174582.11</f>
        <v>1613906.5499999998</v>
      </c>
      <c r="F1467" s="9">
        <f>1439324.44+174582.11</f>
        <v>1613906.5499999998</v>
      </c>
      <c r="G1467" s="8"/>
      <c r="H1467" s="9">
        <f>+F1467+G1467</f>
        <v>1613906.5499999998</v>
      </c>
      <c r="I1467" s="8"/>
      <c r="J1467" s="9"/>
      <c r="K1467" s="8"/>
      <c r="L1467" s="8"/>
      <c r="M1467" s="9">
        <f>+H1467+L1467</f>
        <v>1613906.5499999998</v>
      </c>
      <c r="N1467" s="8"/>
      <c r="O1467" s="9"/>
      <c r="P1467" s="9">
        <f>+N1467+O1467</f>
        <v>0</v>
      </c>
      <c r="Q1467" s="9"/>
      <c r="R1467" s="17"/>
      <c r="S1467" s="17"/>
      <c r="T1467" s="17"/>
      <c r="U1467" s="9">
        <f t="shared" si="771"/>
        <v>0</v>
      </c>
      <c r="V1467" s="9">
        <f t="shared" si="772"/>
        <v>1613906.5499999998</v>
      </c>
      <c r="W1467" s="9"/>
      <c r="X1467" s="9">
        <f t="shared" si="774"/>
        <v>1613906.5499999998</v>
      </c>
      <c r="Y1467" s="8"/>
      <c r="Z1467" s="9">
        <f t="shared" si="775"/>
        <v>0</v>
      </c>
      <c r="AA1467" s="8">
        <f t="shared" si="776"/>
        <v>1613906.5499999998</v>
      </c>
      <c r="AB1467" s="8">
        <f t="shared" si="777"/>
        <v>0</v>
      </c>
    </row>
    <row r="1468" spans="1:28" x14ac:dyDescent="0.3">
      <c r="A1468" s="64"/>
      <c r="B1468" s="8"/>
      <c r="C1468" s="41" t="s">
        <v>1226</v>
      </c>
      <c r="D1468" s="23" t="s">
        <v>1225</v>
      </c>
      <c r="E1468" s="9">
        <v>2000000</v>
      </c>
      <c r="F1468" s="9">
        <v>2000000</v>
      </c>
      <c r="G1468" s="8"/>
      <c r="H1468" s="9">
        <f>+F1468+G1468</f>
        <v>2000000</v>
      </c>
      <c r="I1468" s="8"/>
      <c r="J1468" s="9"/>
      <c r="K1468" s="8"/>
      <c r="L1468" s="8"/>
      <c r="M1468" s="9">
        <f>+H1468+L1468</f>
        <v>2000000</v>
      </c>
      <c r="N1468" s="8"/>
      <c r="O1468" s="9"/>
      <c r="P1468" s="9">
        <f>+N1468+O1468</f>
        <v>0</v>
      </c>
      <c r="Q1468" s="9"/>
      <c r="R1468" s="17"/>
      <c r="S1468" s="17"/>
      <c r="T1468" s="17"/>
      <c r="U1468" s="9">
        <f t="shared" si="771"/>
        <v>0</v>
      </c>
      <c r="V1468" s="9"/>
      <c r="W1468" s="9"/>
      <c r="X1468" s="9">
        <f>+H1468+P1468</f>
        <v>2000000</v>
      </c>
      <c r="Y1468" s="8"/>
      <c r="Z1468" s="9">
        <f>+E1468-X1468</f>
        <v>0</v>
      </c>
      <c r="AA1468" s="8">
        <f>+M1468+U1468</f>
        <v>2000000</v>
      </c>
      <c r="AB1468" s="8">
        <f>+E1468-AA1468</f>
        <v>0</v>
      </c>
    </row>
    <row r="1469" spans="1:28" x14ac:dyDescent="0.3">
      <c r="A1469" s="64"/>
      <c r="B1469" s="8"/>
      <c r="C1469" s="7" t="s">
        <v>1245</v>
      </c>
      <c r="D1469" s="23" t="s">
        <v>1225</v>
      </c>
      <c r="E1469" s="9">
        <v>7485270.1600000001</v>
      </c>
      <c r="F1469" s="9">
        <v>7485270.1600000001</v>
      </c>
      <c r="G1469" s="8"/>
      <c r="H1469" s="9">
        <f>+F1469+G1469</f>
        <v>7485270.1600000001</v>
      </c>
      <c r="I1469" s="8"/>
      <c r="J1469" s="9"/>
      <c r="K1469" s="8"/>
      <c r="L1469" s="8"/>
      <c r="M1469" s="9">
        <f>+H1469+L1469</f>
        <v>7485270.1600000001</v>
      </c>
      <c r="N1469" s="8"/>
      <c r="O1469" s="9"/>
      <c r="P1469" s="9">
        <f>+N1469+O1469</f>
        <v>0</v>
      </c>
      <c r="Q1469" s="9"/>
      <c r="R1469" s="17"/>
      <c r="S1469" s="17"/>
      <c r="T1469" s="17"/>
      <c r="U1469" s="9">
        <f t="shared" si="771"/>
        <v>0</v>
      </c>
      <c r="V1469" s="9"/>
      <c r="W1469" s="9"/>
      <c r="X1469" s="9">
        <f>+H1469+P1469</f>
        <v>7485270.1600000001</v>
      </c>
      <c r="Y1469" s="8"/>
      <c r="Z1469" s="9">
        <f>+E1469-X1469</f>
        <v>0</v>
      </c>
      <c r="AA1469" s="8">
        <f>+M1469+U1469</f>
        <v>7485270.1600000001</v>
      </c>
      <c r="AB1469" s="8">
        <f>+E1469-AA1469</f>
        <v>0</v>
      </c>
    </row>
    <row r="1470" spans="1:28" x14ac:dyDescent="0.3">
      <c r="A1470" s="64"/>
      <c r="B1470" s="8"/>
      <c r="C1470" s="7" t="s">
        <v>678</v>
      </c>
      <c r="D1470" s="8"/>
      <c r="E1470" s="9">
        <f>2241713.23+2500000</f>
        <v>4741713.2300000004</v>
      </c>
      <c r="F1470" s="9">
        <v>4741713.2300000004</v>
      </c>
      <c r="G1470" s="8"/>
      <c r="H1470" s="9">
        <f t="shared" si="768"/>
        <v>4741713.2300000004</v>
      </c>
      <c r="I1470" s="8"/>
      <c r="J1470" s="9">
        <f t="shared" si="769"/>
        <v>4741713.2300000004</v>
      </c>
      <c r="K1470" s="8"/>
      <c r="L1470" s="8"/>
      <c r="M1470" s="9">
        <f t="shared" si="778"/>
        <v>4741713.2300000004</v>
      </c>
      <c r="N1470" s="8"/>
      <c r="O1470" s="9"/>
      <c r="P1470" s="9">
        <f t="shared" si="779"/>
        <v>0</v>
      </c>
      <c r="Q1470" s="9">
        <f t="shared" si="770"/>
        <v>4741713.2300000004</v>
      </c>
      <c r="R1470" s="17"/>
      <c r="S1470" s="17"/>
      <c r="T1470" s="17"/>
      <c r="U1470" s="9">
        <f t="shared" si="771"/>
        <v>0</v>
      </c>
      <c r="V1470" s="9">
        <f t="shared" si="772"/>
        <v>4741713.2300000004</v>
      </c>
      <c r="W1470" s="9">
        <f t="shared" si="773"/>
        <v>0</v>
      </c>
      <c r="X1470" s="9">
        <f t="shared" si="774"/>
        <v>4741713.2300000004</v>
      </c>
      <c r="Y1470" s="8"/>
      <c r="Z1470" s="9">
        <f t="shared" si="775"/>
        <v>0</v>
      </c>
      <c r="AA1470" s="8">
        <f t="shared" si="776"/>
        <v>4741713.2300000004</v>
      </c>
      <c r="AB1470" s="8">
        <f t="shared" si="777"/>
        <v>0</v>
      </c>
    </row>
    <row r="1471" spans="1:28" x14ac:dyDescent="0.3">
      <c r="A1471" s="64"/>
      <c r="B1471" s="8"/>
      <c r="C1471" s="8"/>
      <c r="D1471" s="8"/>
      <c r="E1471" s="17" t="s">
        <v>29</v>
      </c>
      <c r="F1471" s="17" t="s">
        <v>29</v>
      </c>
      <c r="G1471" s="17" t="s">
        <v>29</v>
      </c>
      <c r="H1471" s="17" t="s">
        <v>29</v>
      </c>
      <c r="I1471" s="17" t="s">
        <v>29</v>
      </c>
      <c r="J1471" s="17" t="s">
        <v>29</v>
      </c>
      <c r="K1471" s="17" t="s">
        <v>29</v>
      </c>
      <c r="L1471" s="17" t="s">
        <v>29</v>
      </c>
      <c r="M1471" s="17" t="s">
        <v>29</v>
      </c>
      <c r="N1471" s="17" t="s">
        <v>29</v>
      </c>
      <c r="O1471" s="17" t="s">
        <v>29</v>
      </c>
      <c r="P1471" s="17" t="s">
        <v>29</v>
      </c>
      <c r="Q1471" s="17" t="s">
        <v>29</v>
      </c>
      <c r="R1471" s="17" t="s">
        <v>29</v>
      </c>
      <c r="S1471" s="17" t="s">
        <v>29</v>
      </c>
      <c r="T1471" s="17" t="s">
        <v>29</v>
      </c>
      <c r="U1471" s="17" t="s">
        <v>29</v>
      </c>
      <c r="V1471" s="17" t="s">
        <v>29</v>
      </c>
      <c r="W1471" s="17" t="s">
        <v>29</v>
      </c>
      <c r="X1471" s="17" t="s">
        <v>29</v>
      </c>
      <c r="Y1471" s="17" t="s">
        <v>29</v>
      </c>
      <c r="Z1471" s="17" t="s">
        <v>29</v>
      </c>
      <c r="AA1471" s="17" t="s">
        <v>29</v>
      </c>
      <c r="AB1471" s="17" t="s">
        <v>29</v>
      </c>
    </row>
    <row r="1472" spans="1:28" x14ac:dyDescent="0.3">
      <c r="A1472" s="64"/>
      <c r="B1472" s="8"/>
      <c r="C1472" s="8"/>
      <c r="D1472" s="8"/>
      <c r="E1472" s="9">
        <f t="shared" ref="E1472:Q1472" si="780">SUM(E1437:E1471)</f>
        <v>53518568.61999999</v>
      </c>
      <c r="F1472" s="9">
        <f t="shared" si="780"/>
        <v>50949707.200000003</v>
      </c>
      <c r="G1472" s="9">
        <f t="shared" si="780"/>
        <v>0</v>
      </c>
      <c r="H1472" s="9">
        <f t="shared" si="780"/>
        <v>50949707.200000003</v>
      </c>
      <c r="I1472" s="9">
        <f t="shared" si="780"/>
        <v>0</v>
      </c>
      <c r="J1472" s="9">
        <f t="shared" si="780"/>
        <v>39850530.489999995</v>
      </c>
      <c r="K1472" s="9">
        <f t="shared" si="780"/>
        <v>2568861.42</v>
      </c>
      <c r="L1472" s="9">
        <f t="shared" si="780"/>
        <v>0</v>
      </c>
      <c r="M1472" s="9">
        <f t="shared" si="780"/>
        <v>50949707.200000003</v>
      </c>
      <c r="N1472" s="9">
        <f t="shared" si="780"/>
        <v>2568861.42</v>
      </c>
      <c r="O1472" s="9">
        <f t="shared" si="780"/>
        <v>0</v>
      </c>
      <c r="P1472" s="9">
        <f t="shared" si="780"/>
        <v>2568861.42</v>
      </c>
      <c r="Q1472" s="9">
        <f t="shared" si="780"/>
        <v>36615523.560000002</v>
      </c>
      <c r="R1472" s="17"/>
      <c r="S1472" s="17"/>
      <c r="T1472" s="9">
        <f t="shared" ref="T1472:Z1472" si="781">SUM(T1437:T1471)</f>
        <v>0</v>
      </c>
      <c r="U1472" s="9">
        <f t="shared" si="781"/>
        <v>2568861.42</v>
      </c>
      <c r="V1472" s="9">
        <f t="shared" si="781"/>
        <v>44033298.459999993</v>
      </c>
      <c r="W1472" s="9">
        <f t="shared" si="781"/>
        <v>0</v>
      </c>
      <c r="X1472" s="9">
        <f t="shared" si="781"/>
        <v>53518568.61999999</v>
      </c>
      <c r="Y1472" s="9">
        <f t="shared" si="781"/>
        <v>0</v>
      </c>
      <c r="Z1472" s="9">
        <f t="shared" si="781"/>
        <v>0</v>
      </c>
      <c r="AA1472" s="9">
        <f>SUM(AA1437:AA1471)</f>
        <v>53518568.61999999</v>
      </c>
      <c r="AB1472" s="9">
        <f>SUM(AB1437:AB1471)</f>
        <v>0</v>
      </c>
    </row>
    <row r="1473" spans="1:28" x14ac:dyDescent="0.3">
      <c r="A1473" s="64"/>
      <c r="B1473" s="8"/>
      <c r="C1473" s="8"/>
      <c r="D1473" s="8"/>
      <c r="E1473" s="17" t="s">
        <v>29</v>
      </c>
      <c r="F1473" s="17" t="s">
        <v>29</v>
      </c>
      <c r="G1473" s="17" t="s">
        <v>29</v>
      </c>
      <c r="H1473" s="17" t="s">
        <v>29</v>
      </c>
      <c r="I1473" s="17" t="s">
        <v>29</v>
      </c>
      <c r="J1473" s="17" t="s">
        <v>29</v>
      </c>
      <c r="K1473" s="17" t="s">
        <v>29</v>
      </c>
      <c r="L1473" s="17" t="s">
        <v>29</v>
      </c>
      <c r="M1473" s="17" t="s">
        <v>29</v>
      </c>
      <c r="N1473" s="17" t="s">
        <v>29</v>
      </c>
      <c r="O1473" s="17" t="s">
        <v>29</v>
      </c>
      <c r="P1473" s="17" t="s">
        <v>29</v>
      </c>
      <c r="Q1473" s="17" t="s">
        <v>29</v>
      </c>
      <c r="R1473" s="17" t="s">
        <v>29</v>
      </c>
      <c r="S1473" s="17" t="s">
        <v>29</v>
      </c>
      <c r="T1473" s="17" t="s">
        <v>29</v>
      </c>
      <c r="U1473" s="17" t="s">
        <v>29</v>
      </c>
      <c r="V1473" s="17" t="s">
        <v>29</v>
      </c>
      <c r="W1473" s="17" t="s">
        <v>29</v>
      </c>
      <c r="X1473" s="17" t="s">
        <v>29</v>
      </c>
      <c r="Y1473" s="17" t="s">
        <v>29</v>
      </c>
      <c r="Z1473" s="17" t="s">
        <v>29</v>
      </c>
      <c r="AA1473" s="17" t="s">
        <v>29</v>
      </c>
      <c r="AB1473" s="17" t="s">
        <v>29</v>
      </c>
    </row>
    <row r="1474" spans="1:28" x14ac:dyDescent="0.3">
      <c r="A1474" s="63" t="s">
        <v>1001</v>
      </c>
      <c r="B1474" s="7" t="s">
        <v>740</v>
      </c>
      <c r="C1474" s="8"/>
      <c r="D1474" s="8"/>
      <c r="E1474" s="8"/>
      <c r="F1474" s="8"/>
      <c r="G1474" s="8"/>
      <c r="H1474" s="8"/>
      <c r="I1474" s="8"/>
      <c r="J1474" s="8"/>
      <c r="K1474" s="8"/>
      <c r="L1474" s="8"/>
      <c r="M1474" s="8"/>
      <c r="N1474" s="8"/>
      <c r="O1474" s="8"/>
      <c r="P1474" s="8"/>
      <c r="Q1474" s="8"/>
      <c r="R1474" s="17"/>
      <c r="S1474" s="17"/>
      <c r="T1474" s="17"/>
      <c r="U1474" s="17"/>
      <c r="V1474" s="17"/>
      <c r="W1474" s="17"/>
      <c r="X1474" s="17"/>
      <c r="Y1474" s="17"/>
      <c r="Z1474" s="17"/>
    </row>
    <row r="1475" spans="1:28" x14ac:dyDescent="0.3">
      <c r="A1475" s="64"/>
      <c r="B1475" s="8"/>
      <c r="C1475" s="7" t="s">
        <v>535</v>
      </c>
      <c r="D1475" s="15" t="s">
        <v>68</v>
      </c>
      <c r="E1475" s="9">
        <f>3874100-2426968.19+246</f>
        <v>1447377.81</v>
      </c>
      <c r="F1475" s="9">
        <v>998400</v>
      </c>
      <c r="G1475" s="8"/>
      <c r="H1475" s="9">
        <f t="shared" ref="H1475:H1496" si="782">F1475+G1475</f>
        <v>998400</v>
      </c>
      <c r="I1475" s="8"/>
      <c r="J1475" s="9">
        <f t="shared" ref="J1475:J1496" si="783">H1475+I1475</f>
        <v>998400</v>
      </c>
      <c r="K1475" s="9">
        <f>448731.81+246</f>
        <v>448977.81</v>
      </c>
      <c r="L1475" s="8"/>
      <c r="M1475" s="9">
        <f>+H1475+L1475</f>
        <v>998400</v>
      </c>
      <c r="N1475" s="8">
        <v>448977.81</v>
      </c>
      <c r="O1475" s="9"/>
      <c r="P1475" s="9">
        <f>+N1475+O1475</f>
        <v>448977.81</v>
      </c>
      <c r="Q1475" s="9">
        <f t="shared" ref="Q1475:Q1496" si="784">E1475-P1475</f>
        <v>998400</v>
      </c>
      <c r="R1475" s="17"/>
      <c r="S1475" s="17"/>
      <c r="T1475" s="17"/>
      <c r="U1475" s="9">
        <f t="shared" ref="U1475:U1496" si="785">P1475+T1475</f>
        <v>448977.81</v>
      </c>
      <c r="V1475" s="9">
        <f t="shared" ref="V1475:V1496" si="786">P1475+H1475</f>
        <v>1447377.81</v>
      </c>
      <c r="W1475" s="9">
        <f t="shared" ref="W1475:W1496" si="787">E1475-V1475</f>
        <v>0</v>
      </c>
      <c r="X1475" s="9">
        <f t="shared" ref="X1475:X1496" si="788">+H1475+P1475</f>
        <v>1447377.81</v>
      </c>
      <c r="Y1475" s="8"/>
      <c r="Z1475" s="9">
        <f t="shared" ref="Z1475:Z1496" si="789">+E1475-X1475</f>
        <v>0</v>
      </c>
      <c r="AA1475" s="8">
        <f t="shared" ref="AA1475:AA1496" si="790">+M1475+U1475</f>
        <v>1447377.81</v>
      </c>
      <c r="AB1475" s="8">
        <f t="shared" ref="AB1475:AB1496" si="791">+E1475-AA1475</f>
        <v>0</v>
      </c>
    </row>
    <row r="1476" spans="1:28" x14ac:dyDescent="0.3">
      <c r="A1476" s="64"/>
      <c r="B1476" s="8"/>
      <c r="C1476" s="7" t="s">
        <v>704</v>
      </c>
      <c r="D1476" s="15" t="s">
        <v>68</v>
      </c>
      <c r="E1476" s="9">
        <v>5100000</v>
      </c>
      <c r="F1476" s="9">
        <v>3280019.02</v>
      </c>
      <c r="G1476" s="8"/>
      <c r="H1476" s="9">
        <f t="shared" si="782"/>
        <v>3280019.02</v>
      </c>
      <c r="I1476" s="8"/>
      <c r="J1476" s="9">
        <f t="shared" si="783"/>
        <v>3280019.02</v>
      </c>
      <c r="K1476" s="9">
        <f>73571.01+668723.63+1061947.88</f>
        <v>1804242.52</v>
      </c>
      <c r="L1476" s="8"/>
      <c r="M1476" s="9">
        <f t="shared" ref="M1476:M1496" si="792">+H1476+L1476</f>
        <v>3280019.02</v>
      </c>
      <c r="N1476" s="8">
        <v>1804242.52</v>
      </c>
      <c r="O1476" s="9"/>
      <c r="P1476" s="9">
        <f t="shared" ref="P1476:P1496" si="793">+N1476+O1476</f>
        <v>1804242.52</v>
      </c>
      <c r="Q1476" s="9">
        <f t="shared" si="784"/>
        <v>3295757.48</v>
      </c>
      <c r="R1476" s="17"/>
      <c r="S1476" s="17"/>
      <c r="T1476" s="17"/>
      <c r="U1476" s="9">
        <f t="shared" si="785"/>
        <v>1804242.52</v>
      </c>
      <c r="V1476" s="9">
        <f t="shared" si="786"/>
        <v>5084261.54</v>
      </c>
      <c r="W1476" s="9">
        <f t="shared" si="787"/>
        <v>15738.459999999963</v>
      </c>
      <c r="X1476" s="9">
        <f t="shared" si="788"/>
        <v>5084261.54</v>
      </c>
      <c r="Y1476" s="8"/>
      <c r="Z1476" s="9">
        <f t="shared" si="789"/>
        <v>15738.459999999963</v>
      </c>
      <c r="AA1476" s="8">
        <f t="shared" si="790"/>
        <v>5084261.54</v>
      </c>
      <c r="AB1476" s="8">
        <f t="shared" si="791"/>
        <v>15738.459999999963</v>
      </c>
    </row>
    <row r="1477" spans="1:28" x14ac:dyDescent="0.3">
      <c r="A1477" s="64"/>
      <c r="B1477" s="8"/>
      <c r="C1477" s="7" t="s">
        <v>535</v>
      </c>
      <c r="D1477" s="15" t="s">
        <v>54</v>
      </c>
      <c r="E1477" s="9">
        <f>208000-10400</f>
        <v>197600</v>
      </c>
      <c r="F1477" s="9">
        <v>197600</v>
      </c>
      <c r="G1477" s="8"/>
      <c r="H1477" s="9">
        <f t="shared" si="782"/>
        <v>197600</v>
      </c>
      <c r="I1477" s="8"/>
      <c r="J1477" s="9">
        <f t="shared" si="783"/>
        <v>197600</v>
      </c>
      <c r="K1477" s="8"/>
      <c r="L1477" s="8"/>
      <c r="M1477" s="9">
        <f t="shared" si="792"/>
        <v>197600</v>
      </c>
      <c r="N1477" s="8"/>
      <c r="O1477" s="9"/>
      <c r="P1477" s="9">
        <f t="shared" si="793"/>
        <v>0</v>
      </c>
      <c r="Q1477" s="9">
        <f t="shared" si="784"/>
        <v>197600</v>
      </c>
      <c r="R1477" s="17"/>
      <c r="S1477" s="17"/>
      <c r="T1477" s="17"/>
      <c r="U1477" s="9">
        <f t="shared" si="785"/>
        <v>0</v>
      </c>
      <c r="V1477" s="9">
        <f t="shared" si="786"/>
        <v>197600</v>
      </c>
      <c r="W1477" s="9">
        <f t="shared" si="787"/>
        <v>0</v>
      </c>
      <c r="X1477" s="9">
        <f t="shared" si="788"/>
        <v>197600</v>
      </c>
      <c r="Y1477" s="8"/>
      <c r="Z1477" s="9">
        <f t="shared" si="789"/>
        <v>0</v>
      </c>
      <c r="AA1477" s="8">
        <f t="shared" si="790"/>
        <v>197600</v>
      </c>
      <c r="AB1477" s="8">
        <f t="shared" si="791"/>
        <v>0</v>
      </c>
    </row>
    <row r="1478" spans="1:28" x14ac:dyDescent="0.3">
      <c r="A1478" s="64"/>
      <c r="B1478" s="8"/>
      <c r="C1478" s="7" t="s">
        <v>603</v>
      </c>
      <c r="D1478" s="15" t="s">
        <v>54</v>
      </c>
      <c r="E1478" s="9">
        <f>215565+734435</f>
        <v>950000</v>
      </c>
      <c r="F1478" s="9">
        <v>856535</v>
      </c>
      <c r="G1478" s="8"/>
      <c r="H1478" s="9">
        <f t="shared" si="782"/>
        <v>856535</v>
      </c>
      <c r="I1478" s="8"/>
      <c r="J1478" s="9">
        <f t="shared" si="783"/>
        <v>856535</v>
      </c>
      <c r="K1478" s="8"/>
      <c r="L1478" s="8"/>
      <c r="M1478" s="9">
        <f t="shared" si="792"/>
        <v>856535</v>
      </c>
      <c r="N1478" s="8"/>
      <c r="O1478" s="9"/>
      <c r="P1478" s="9">
        <f t="shared" si="793"/>
        <v>0</v>
      </c>
      <c r="Q1478" s="9">
        <f t="shared" si="784"/>
        <v>950000</v>
      </c>
      <c r="R1478" s="17"/>
      <c r="S1478" s="17"/>
      <c r="T1478" s="17"/>
      <c r="U1478" s="9">
        <f t="shared" si="785"/>
        <v>0</v>
      </c>
      <c r="V1478" s="9">
        <f t="shared" si="786"/>
        <v>856535</v>
      </c>
      <c r="W1478" s="9">
        <f t="shared" si="787"/>
        <v>93465</v>
      </c>
      <c r="X1478" s="9">
        <f t="shared" si="788"/>
        <v>856535</v>
      </c>
      <c r="Y1478" s="8"/>
      <c r="Z1478" s="9">
        <f t="shared" si="789"/>
        <v>93465</v>
      </c>
      <c r="AA1478" s="8">
        <f t="shared" si="790"/>
        <v>856535</v>
      </c>
      <c r="AB1478" s="8">
        <f t="shared" si="791"/>
        <v>93465</v>
      </c>
    </row>
    <row r="1479" spans="1:28" x14ac:dyDescent="0.3">
      <c r="A1479" s="64"/>
      <c r="B1479" s="8"/>
      <c r="C1479" s="7" t="s">
        <v>540</v>
      </c>
      <c r="D1479" s="15" t="s">
        <v>54</v>
      </c>
      <c r="E1479" s="9">
        <v>570941</v>
      </c>
      <c r="F1479" s="8"/>
      <c r="G1479" s="8"/>
      <c r="H1479" s="9">
        <f t="shared" si="782"/>
        <v>0</v>
      </c>
      <c r="I1479" s="8"/>
      <c r="J1479" s="9">
        <f t="shared" si="783"/>
        <v>0</v>
      </c>
      <c r="K1479" s="9">
        <v>570941</v>
      </c>
      <c r="L1479" s="8"/>
      <c r="M1479" s="9">
        <f t="shared" si="792"/>
        <v>0</v>
      </c>
      <c r="N1479" s="8">
        <v>570941</v>
      </c>
      <c r="O1479" s="9"/>
      <c r="P1479" s="9">
        <f t="shared" si="793"/>
        <v>570941</v>
      </c>
      <c r="Q1479" s="9">
        <f t="shared" si="784"/>
        <v>0</v>
      </c>
      <c r="R1479" s="17"/>
      <c r="S1479" s="17"/>
      <c r="T1479" s="17"/>
      <c r="U1479" s="9">
        <f t="shared" si="785"/>
        <v>570941</v>
      </c>
      <c r="V1479" s="9">
        <f t="shared" si="786"/>
        <v>570941</v>
      </c>
      <c r="W1479" s="9">
        <f t="shared" si="787"/>
        <v>0</v>
      </c>
      <c r="X1479" s="9">
        <f t="shared" si="788"/>
        <v>570941</v>
      </c>
      <c r="Y1479" s="8"/>
      <c r="Z1479" s="9">
        <f t="shared" si="789"/>
        <v>0</v>
      </c>
      <c r="AA1479" s="8">
        <f t="shared" si="790"/>
        <v>570941</v>
      </c>
      <c r="AB1479" s="8">
        <f t="shared" si="791"/>
        <v>0</v>
      </c>
    </row>
    <row r="1480" spans="1:28" x14ac:dyDescent="0.3">
      <c r="A1480" s="64"/>
      <c r="B1480" s="8"/>
      <c r="C1480" s="7" t="s">
        <v>535</v>
      </c>
      <c r="D1480" s="15" t="s">
        <v>85</v>
      </c>
      <c r="E1480" s="9">
        <v>1672597</v>
      </c>
      <c r="F1480" s="9">
        <f>1227697+444900</f>
        <v>1672597</v>
      </c>
      <c r="G1480" s="8"/>
      <c r="H1480" s="9">
        <f t="shared" si="782"/>
        <v>1672597</v>
      </c>
      <c r="I1480" s="8"/>
      <c r="J1480" s="9">
        <f t="shared" si="783"/>
        <v>1672597</v>
      </c>
      <c r="K1480" s="8"/>
      <c r="L1480" s="8"/>
      <c r="M1480" s="9">
        <f t="shared" si="792"/>
        <v>1672597</v>
      </c>
      <c r="N1480" s="8"/>
      <c r="O1480" s="9"/>
      <c r="P1480" s="9">
        <f t="shared" si="793"/>
        <v>0</v>
      </c>
      <c r="Q1480" s="9">
        <f t="shared" si="784"/>
        <v>1672597</v>
      </c>
      <c r="R1480" s="17"/>
      <c r="S1480" s="17"/>
      <c r="T1480" s="17"/>
      <c r="U1480" s="9">
        <f t="shared" si="785"/>
        <v>0</v>
      </c>
      <c r="V1480" s="9">
        <f t="shared" si="786"/>
        <v>1672597</v>
      </c>
      <c r="W1480" s="9">
        <f t="shared" si="787"/>
        <v>0</v>
      </c>
      <c r="X1480" s="9">
        <f t="shared" si="788"/>
        <v>1672597</v>
      </c>
      <c r="Y1480" s="8"/>
      <c r="Z1480" s="9">
        <f t="shared" si="789"/>
        <v>0</v>
      </c>
      <c r="AA1480" s="8">
        <f t="shared" si="790"/>
        <v>1672597</v>
      </c>
      <c r="AB1480" s="8">
        <f t="shared" si="791"/>
        <v>0</v>
      </c>
    </row>
    <row r="1481" spans="1:28" x14ac:dyDescent="0.3">
      <c r="A1481" s="64"/>
      <c r="B1481" s="8"/>
      <c r="C1481" s="7" t="s">
        <v>667</v>
      </c>
      <c r="D1481" s="15" t="s">
        <v>85</v>
      </c>
      <c r="E1481" s="9">
        <v>120000</v>
      </c>
      <c r="F1481" s="9">
        <v>120000</v>
      </c>
      <c r="G1481" s="8"/>
      <c r="H1481" s="9">
        <f t="shared" si="782"/>
        <v>120000</v>
      </c>
      <c r="I1481" s="8"/>
      <c r="J1481" s="9">
        <f t="shared" si="783"/>
        <v>120000</v>
      </c>
      <c r="K1481" s="8"/>
      <c r="L1481" s="8"/>
      <c r="M1481" s="9">
        <f t="shared" si="792"/>
        <v>120000</v>
      </c>
      <c r="N1481" s="8"/>
      <c r="O1481" s="9"/>
      <c r="P1481" s="9">
        <f t="shared" si="793"/>
        <v>0</v>
      </c>
      <c r="Q1481" s="9">
        <f t="shared" si="784"/>
        <v>120000</v>
      </c>
      <c r="R1481" s="17"/>
      <c r="S1481" s="17"/>
      <c r="T1481" s="17"/>
      <c r="U1481" s="9">
        <f t="shared" si="785"/>
        <v>0</v>
      </c>
      <c r="V1481" s="9">
        <f t="shared" si="786"/>
        <v>120000</v>
      </c>
      <c r="W1481" s="9">
        <f t="shared" si="787"/>
        <v>0</v>
      </c>
      <c r="X1481" s="9">
        <f t="shared" si="788"/>
        <v>120000</v>
      </c>
      <c r="Y1481" s="8"/>
      <c r="Z1481" s="9">
        <f t="shared" si="789"/>
        <v>0</v>
      </c>
      <c r="AA1481" s="8">
        <f t="shared" si="790"/>
        <v>120000</v>
      </c>
      <c r="AB1481" s="8">
        <f t="shared" si="791"/>
        <v>0</v>
      </c>
    </row>
    <row r="1482" spans="1:28" x14ac:dyDescent="0.3">
      <c r="A1482" s="64"/>
      <c r="B1482" s="8"/>
      <c r="C1482" s="7" t="s">
        <v>535</v>
      </c>
      <c r="D1482" s="15" t="s">
        <v>128</v>
      </c>
      <c r="E1482" s="9">
        <f>744300+2340602.66</f>
        <v>3084902.66</v>
      </c>
      <c r="F1482" s="9">
        <f>584987+2499915.66</f>
        <v>3084902.66</v>
      </c>
      <c r="G1482" s="8"/>
      <c r="H1482" s="9">
        <f t="shared" si="782"/>
        <v>3084902.66</v>
      </c>
      <c r="I1482" s="8"/>
      <c r="J1482" s="9">
        <f t="shared" si="783"/>
        <v>3084902.66</v>
      </c>
      <c r="K1482" s="8"/>
      <c r="L1482" s="8"/>
      <c r="M1482" s="9">
        <f t="shared" si="792"/>
        <v>3084902.66</v>
      </c>
      <c r="N1482" s="8"/>
      <c r="O1482" s="9"/>
      <c r="P1482" s="9">
        <f t="shared" si="793"/>
        <v>0</v>
      </c>
      <c r="Q1482" s="9">
        <f t="shared" si="784"/>
        <v>3084902.66</v>
      </c>
      <c r="R1482" s="17"/>
      <c r="S1482" s="17"/>
      <c r="T1482" s="17"/>
      <c r="U1482" s="9">
        <f t="shared" si="785"/>
        <v>0</v>
      </c>
      <c r="V1482" s="9">
        <f t="shared" si="786"/>
        <v>3084902.66</v>
      </c>
      <c r="W1482" s="9">
        <f t="shared" si="787"/>
        <v>0</v>
      </c>
      <c r="X1482" s="9">
        <f t="shared" si="788"/>
        <v>3084902.66</v>
      </c>
      <c r="Y1482" s="8"/>
      <c r="Z1482" s="9">
        <f t="shared" si="789"/>
        <v>0</v>
      </c>
      <c r="AA1482" s="8">
        <f t="shared" si="790"/>
        <v>3084902.66</v>
      </c>
      <c r="AB1482" s="8">
        <f t="shared" si="791"/>
        <v>0</v>
      </c>
    </row>
    <row r="1483" spans="1:28" x14ac:dyDescent="0.3">
      <c r="A1483" s="64"/>
      <c r="B1483" s="8"/>
      <c r="C1483" s="7" t="s">
        <v>741</v>
      </c>
      <c r="D1483" s="15" t="s">
        <v>128</v>
      </c>
      <c r="E1483" s="9">
        <f>240000+316000+160000</f>
        <v>716000</v>
      </c>
      <c r="F1483" s="9">
        <f>240000+476000</f>
        <v>716000</v>
      </c>
      <c r="G1483" s="8"/>
      <c r="H1483" s="9">
        <f t="shared" si="782"/>
        <v>716000</v>
      </c>
      <c r="I1483" s="8"/>
      <c r="J1483" s="9">
        <f t="shared" si="783"/>
        <v>716000</v>
      </c>
      <c r="K1483" s="8"/>
      <c r="L1483" s="8"/>
      <c r="M1483" s="9">
        <f t="shared" si="792"/>
        <v>716000</v>
      </c>
      <c r="N1483" s="8"/>
      <c r="O1483" s="9"/>
      <c r="P1483" s="9">
        <f t="shared" si="793"/>
        <v>0</v>
      </c>
      <c r="Q1483" s="9">
        <f t="shared" si="784"/>
        <v>716000</v>
      </c>
      <c r="R1483" s="17"/>
      <c r="S1483" s="17"/>
      <c r="T1483" s="17"/>
      <c r="U1483" s="9">
        <f t="shared" si="785"/>
        <v>0</v>
      </c>
      <c r="V1483" s="9">
        <f t="shared" si="786"/>
        <v>716000</v>
      </c>
      <c r="W1483" s="9">
        <f t="shared" si="787"/>
        <v>0</v>
      </c>
      <c r="X1483" s="9">
        <f t="shared" si="788"/>
        <v>716000</v>
      </c>
      <c r="Y1483" s="8"/>
      <c r="Z1483" s="9">
        <f t="shared" si="789"/>
        <v>0</v>
      </c>
      <c r="AA1483" s="8">
        <f t="shared" si="790"/>
        <v>716000</v>
      </c>
      <c r="AB1483" s="8">
        <f t="shared" si="791"/>
        <v>0</v>
      </c>
    </row>
    <row r="1484" spans="1:28" x14ac:dyDescent="0.3">
      <c r="A1484" s="64"/>
      <c r="B1484" s="8"/>
      <c r="C1484" s="7" t="s">
        <v>535</v>
      </c>
      <c r="D1484" s="15" t="s">
        <v>88</v>
      </c>
      <c r="E1484" s="9">
        <f>809727+537680+896556+899460.12+1403904.61+1039473+333187.55-18709.31</f>
        <v>5901278.9700000007</v>
      </c>
      <c r="F1484" s="9">
        <v>5901278.9699999997</v>
      </c>
      <c r="G1484" s="8"/>
      <c r="H1484" s="9">
        <f t="shared" si="782"/>
        <v>5901278.9699999997</v>
      </c>
      <c r="I1484" s="8"/>
      <c r="J1484" s="9">
        <f t="shared" si="783"/>
        <v>5901278.9699999997</v>
      </c>
      <c r="K1484" s="8"/>
      <c r="L1484" s="8"/>
      <c r="M1484" s="9">
        <f t="shared" si="792"/>
        <v>5901278.9699999997</v>
      </c>
      <c r="N1484" s="8"/>
      <c r="O1484" s="9"/>
      <c r="P1484" s="9">
        <f t="shared" si="793"/>
        <v>0</v>
      </c>
      <c r="Q1484" s="9">
        <f t="shared" si="784"/>
        <v>5901278.9700000007</v>
      </c>
      <c r="R1484" s="17"/>
      <c r="S1484" s="17"/>
      <c r="T1484" s="17"/>
      <c r="U1484" s="9">
        <f t="shared" si="785"/>
        <v>0</v>
      </c>
      <c r="V1484" s="9">
        <f t="shared" si="786"/>
        <v>5901278.9699999997</v>
      </c>
      <c r="W1484" s="9">
        <f t="shared" si="787"/>
        <v>0</v>
      </c>
      <c r="X1484" s="9">
        <f t="shared" si="788"/>
        <v>5901278.9699999997</v>
      </c>
      <c r="Y1484" s="8"/>
      <c r="Z1484" s="9">
        <f t="shared" si="789"/>
        <v>0</v>
      </c>
      <c r="AA1484" s="8">
        <f t="shared" si="790"/>
        <v>5901278.9699999997</v>
      </c>
      <c r="AB1484" s="8">
        <f t="shared" si="791"/>
        <v>0</v>
      </c>
    </row>
    <row r="1485" spans="1:28" x14ac:dyDescent="0.3">
      <c r="A1485" s="64"/>
      <c r="B1485" s="8"/>
      <c r="C1485" s="7" t="s">
        <v>603</v>
      </c>
      <c r="D1485" s="15" t="s">
        <v>108</v>
      </c>
      <c r="E1485" s="9">
        <v>93465</v>
      </c>
      <c r="F1485" s="9">
        <v>93465</v>
      </c>
      <c r="G1485" s="8"/>
      <c r="H1485" s="9">
        <f t="shared" si="782"/>
        <v>93465</v>
      </c>
      <c r="I1485" s="8"/>
      <c r="J1485" s="9">
        <f t="shared" si="783"/>
        <v>93465</v>
      </c>
      <c r="K1485" s="8"/>
      <c r="L1485" s="8"/>
      <c r="M1485" s="9">
        <f t="shared" si="792"/>
        <v>93465</v>
      </c>
      <c r="N1485" s="8"/>
      <c r="O1485" s="9"/>
      <c r="P1485" s="9">
        <f t="shared" si="793"/>
        <v>0</v>
      </c>
      <c r="Q1485" s="9">
        <f t="shared" si="784"/>
        <v>93465</v>
      </c>
      <c r="R1485" s="17"/>
      <c r="S1485" s="17"/>
      <c r="T1485" s="17"/>
      <c r="U1485" s="9">
        <f t="shared" si="785"/>
        <v>0</v>
      </c>
      <c r="V1485" s="9">
        <f t="shared" si="786"/>
        <v>93465</v>
      </c>
      <c r="W1485" s="9">
        <f t="shared" si="787"/>
        <v>0</v>
      </c>
      <c r="X1485" s="9">
        <f t="shared" si="788"/>
        <v>93465</v>
      </c>
      <c r="Y1485" s="8"/>
      <c r="Z1485" s="9">
        <f t="shared" si="789"/>
        <v>0</v>
      </c>
      <c r="AA1485" s="8">
        <f t="shared" si="790"/>
        <v>93465</v>
      </c>
      <c r="AB1485" s="8">
        <f t="shared" si="791"/>
        <v>0</v>
      </c>
    </row>
    <row r="1486" spans="1:28" x14ac:dyDescent="0.3">
      <c r="A1486" s="64"/>
      <c r="B1486" s="8"/>
      <c r="C1486" s="7" t="s">
        <v>535</v>
      </c>
      <c r="D1486" s="15" t="s">
        <v>58</v>
      </c>
      <c r="E1486" s="9">
        <f>1908374+621469+1018543</f>
        <v>3548386</v>
      </c>
      <c r="F1486" s="9">
        <v>3548386</v>
      </c>
      <c r="G1486" s="8"/>
      <c r="H1486" s="9">
        <f t="shared" si="782"/>
        <v>3548386</v>
      </c>
      <c r="I1486" s="8"/>
      <c r="J1486" s="9">
        <f t="shared" si="783"/>
        <v>3548386</v>
      </c>
      <c r="K1486" s="8"/>
      <c r="L1486" s="8"/>
      <c r="M1486" s="9">
        <f t="shared" si="792"/>
        <v>3548386</v>
      </c>
      <c r="N1486" s="8"/>
      <c r="O1486" s="9"/>
      <c r="P1486" s="9">
        <f t="shared" si="793"/>
        <v>0</v>
      </c>
      <c r="Q1486" s="9">
        <f t="shared" si="784"/>
        <v>3548386</v>
      </c>
      <c r="R1486" s="17"/>
      <c r="S1486" s="17"/>
      <c r="T1486" s="17"/>
      <c r="U1486" s="9">
        <f t="shared" si="785"/>
        <v>0</v>
      </c>
      <c r="V1486" s="9">
        <f t="shared" si="786"/>
        <v>3548386</v>
      </c>
      <c r="W1486" s="9">
        <f t="shared" si="787"/>
        <v>0</v>
      </c>
      <c r="X1486" s="9">
        <f t="shared" si="788"/>
        <v>3548386</v>
      </c>
      <c r="Y1486" s="8"/>
      <c r="Z1486" s="9">
        <f t="shared" si="789"/>
        <v>0</v>
      </c>
      <c r="AA1486" s="8">
        <f t="shared" si="790"/>
        <v>3548386</v>
      </c>
      <c r="AB1486" s="8">
        <f t="shared" si="791"/>
        <v>0</v>
      </c>
    </row>
    <row r="1487" spans="1:28" x14ac:dyDescent="0.3">
      <c r="A1487" s="64"/>
      <c r="B1487" s="8"/>
      <c r="C1487" s="14" t="s">
        <v>742</v>
      </c>
      <c r="D1487" s="15" t="s">
        <v>58</v>
      </c>
      <c r="E1487" s="11">
        <v>150000</v>
      </c>
      <c r="F1487" s="11">
        <v>150000</v>
      </c>
      <c r="G1487" s="8"/>
      <c r="H1487" s="9">
        <f t="shared" si="782"/>
        <v>150000</v>
      </c>
      <c r="I1487" s="8"/>
      <c r="J1487" s="9">
        <f t="shared" si="783"/>
        <v>150000</v>
      </c>
      <c r="K1487" s="8"/>
      <c r="L1487" s="8"/>
      <c r="M1487" s="9">
        <f t="shared" si="792"/>
        <v>150000</v>
      </c>
      <c r="N1487" s="8"/>
      <c r="O1487" s="9"/>
      <c r="P1487" s="9">
        <f t="shared" si="793"/>
        <v>0</v>
      </c>
      <c r="Q1487" s="9">
        <f t="shared" si="784"/>
        <v>150000</v>
      </c>
      <c r="R1487" s="17"/>
      <c r="S1487" s="17"/>
      <c r="T1487" s="17"/>
      <c r="U1487" s="9">
        <f t="shared" si="785"/>
        <v>0</v>
      </c>
      <c r="V1487" s="9">
        <f t="shared" si="786"/>
        <v>150000</v>
      </c>
      <c r="W1487" s="9">
        <f t="shared" si="787"/>
        <v>0</v>
      </c>
      <c r="X1487" s="9">
        <f t="shared" si="788"/>
        <v>150000</v>
      </c>
      <c r="Y1487" s="8"/>
      <c r="Z1487" s="9">
        <f t="shared" si="789"/>
        <v>0</v>
      </c>
      <c r="AA1487" s="8">
        <f t="shared" si="790"/>
        <v>150000</v>
      </c>
      <c r="AB1487" s="8">
        <f t="shared" si="791"/>
        <v>0</v>
      </c>
    </row>
    <row r="1488" spans="1:28" x14ac:dyDescent="0.3">
      <c r="A1488" s="64"/>
      <c r="B1488" s="8"/>
      <c r="C1488" s="7" t="s">
        <v>743</v>
      </c>
      <c r="D1488" s="15" t="s">
        <v>60</v>
      </c>
      <c r="E1488" s="9">
        <v>878000</v>
      </c>
      <c r="F1488" s="9">
        <v>878000</v>
      </c>
      <c r="G1488" s="8"/>
      <c r="H1488" s="9">
        <f t="shared" si="782"/>
        <v>878000</v>
      </c>
      <c r="I1488" s="8"/>
      <c r="J1488" s="9">
        <f t="shared" si="783"/>
        <v>878000</v>
      </c>
      <c r="K1488" s="8"/>
      <c r="L1488" s="8"/>
      <c r="M1488" s="9">
        <f t="shared" si="792"/>
        <v>878000</v>
      </c>
      <c r="N1488" s="8"/>
      <c r="O1488" s="9"/>
      <c r="P1488" s="9">
        <f t="shared" si="793"/>
        <v>0</v>
      </c>
      <c r="Q1488" s="9">
        <f t="shared" si="784"/>
        <v>878000</v>
      </c>
      <c r="R1488" s="17"/>
      <c r="S1488" s="17"/>
      <c r="T1488" s="17"/>
      <c r="U1488" s="9">
        <f t="shared" si="785"/>
        <v>0</v>
      </c>
      <c r="V1488" s="9">
        <f t="shared" si="786"/>
        <v>878000</v>
      </c>
      <c r="W1488" s="9">
        <f t="shared" si="787"/>
        <v>0</v>
      </c>
      <c r="X1488" s="9">
        <f t="shared" si="788"/>
        <v>878000</v>
      </c>
      <c r="Y1488" s="8"/>
      <c r="Z1488" s="9">
        <f t="shared" si="789"/>
        <v>0</v>
      </c>
      <c r="AA1488" s="8">
        <f t="shared" si="790"/>
        <v>878000</v>
      </c>
      <c r="AB1488" s="8">
        <f t="shared" si="791"/>
        <v>0</v>
      </c>
    </row>
    <row r="1489" spans="1:28" x14ac:dyDescent="0.3">
      <c r="A1489" s="64"/>
      <c r="B1489" s="8"/>
      <c r="C1489" s="7" t="s">
        <v>743</v>
      </c>
      <c r="D1489" s="15" t="s">
        <v>73</v>
      </c>
      <c r="E1489" s="9">
        <f>1282000+826239.68+1308401.32</f>
        <v>3416641</v>
      </c>
      <c r="F1489" s="9">
        <f>1282000+2134641</f>
        <v>3416641</v>
      </c>
      <c r="G1489" s="8"/>
      <c r="H1489" s="9">
        <f t="shared" si="782"/>
        <v>3416641</v>
      </c>
      <c r="I1489" s="8"/>
      <c r="J1489" s="9">
        <f t="shared" si="783"/>
        <v>3416641</v>
      </c>
      <c r="K1489" s="8"/>
      <c r="L1489" s="8"/>
      <c r="M1489" s="9">
        <f t="shared" si="792"/>
        <v>3416641</v>
      </c>
      <c r="N1489" s="8"/>
      <c r="O1489" s="9"/>
      <c r="P1489" s="9">
        <f t="shared" si="793"/>
        <v>0</v>
      </c>
      <c r="Q1489" s="9">
        <f t="shared" si="784"/>
        <v>3416641</v>
      </c>
      <c r="R1489" s="17"/>
      <c r="S1489" s="17"/>
      <c r="T1489" s="17"/>
      <c r="U1489" s="9">
        <f t="shared" si="785"/>
        <v>0</v>
      </c>
      <c r="V1489" s="9">
        <f t="shared" si="786"/>
        <v>3416641</v>
      </c>
      <c r="W1489" s="9">
        <f t="shared" si="787"/>
        <v>0</v>
      </c>
      <c r="X1489" s="9">
        <f t="shared" si="788"/>
        <v>3416641</v>
      </c>
      <c r="Y1489" s="8"/>
      <c r="Z1489" s="9">
        <f t="shared" si="789"/>
        <v>0</v>
      </c>
      <c r="AA1489" s="8">
        <f t="shared" si="790"/>
        <v>3416641</v>
      </c>
      <c r="AB1489" s="8">
        <f t="shared" si="791"/>
        <v>0</v>
      </c>
    </row>
    <row r="1490" spans="1:28" x14ac:dyDescent="0.3">
      <c r="A1490" s="64"/>
      <c r="B1490" s="8"/>
      <c r="C1490" s="7" t="s">
        <v>743</v>
      </c>
      <c r="D1490" s="15" t="s">
        <v>61</v>
      </c>
      <c r="E1490" s="11">
        <v>719000</v>
      </c>
      <c r="F1490" s="11">
        <v>719000</v>
      </c>
      <c r="G1490" s="8"/>
      <c r="H1490" s="9">
        <f t="shared" si="782"/>
        <v>719000</v>
      </c>
      <c r="I1490" s="8"/>
      <c r="J1490" s="9">
        <f t="shared" si="783"/>
        <v>719000</v>
      </c>
      <c r="K1490" s="8"/>
      <c r="L1490" s="8"/>
      <c r="M1490" s="9">
        <f t="shared" si="792"/>
        <v>719000</v>
      </c>
      <c r="N1490" s="8"/>
      <c r="O1490" s="9"/>
      <c r="P1490" s="9">
        <f t="shared" si="793"/>
        <v>0</v>
      </c>
      <c r="Q1490" s="9">
        <f t="shared" si="784"/>
        <v>719000</v>
      </c>
      <c r="R1490" s="17"/>
      <c r="S1490" s="17"/>
      <c r="T1490" s="17"/>
      <c r="U1490" s="9">
        <f t="shared" si="785"/>
        <v>0</v>
      </c>
      <c r="V1490" s="9">
        <f t="shared" si="786"/>
        <v>719000</v>
      </c>
      <c r="W1490" s="9">
        <f t="shared" si="787"/>
        <v>0</v>
      </c>
      <c r="X1490" s="9">
        <f t="shared" si="788"/>
        <v>719000</v>
      </c>
      <c r="Y1490" s="8"/>
      <c r="Z1490" s="9">
        <f t="shared" si="789"/>
        <v>0</v>
      </c>
      <c r="AA1490" s="8">
        <f t="shared" si="790"/>
        <v>719000</v>
      </c>
      <c r="AB1490" s="8">
        <f t="shared" si="791"/>
        <v>0</v>
      </c>
    </row>
    <row r="1491" spans="1:28" x14ac:dyDescent="0.3">
      <c r="A1491" s="64"/>
      <c r="B1491" s="8"/>
      <c r="C1491" s="7" t="s">
        <v>933</v>
      </c>
      <c r="D1491" s="16" t="s">
        <v>1072</v>
      </c>
      <c r="E1491" s="11">
        <v>1718000</v>
      </c>
      <c r="F1491" s="11">
        <v>1718000</v>
      </c>
      <c r="G1491" s="8"/>
      <c r="H1491" s="9">
        <f>+F1491+G1491</f>
        <v>1718000</v>
      </c>
      <c r="I1491" s="8"/>
      <c r="J1491" s="9">
        <f t="shared" si="783"/>
        <v>1718000</v>
      </c>
      <c r="K1491" s="8"/>
      <c r="L1491" s="8"/>
      <c r="M1491" s="9">
        <f t="shared" si="792"/>
        <v>1718000</v>
      </c>
      <c r="N1491" s="8"/>
      <c r="O1491" s="9"/>
      <c r="P1491" s="9">
        <f>+N1491+O1491</f>
        <v>0</v>
      </c>
      <c r="Q1491" s="9">
        <f t="shared" si="784"/>
        <v>1718000</v>
      </c>
      <c r="R1491" s="17"/>
      <c r="S1491" s="17"/>
      <c r="T1491" s="17"/>
      <c r="U1491" s="9">
        <f t="shared" si="785"/>
        <v>0</v>
      </c>
      <c r="V1491" s="9">
        <f t="shared" si="786"/>
        <v>1718000</v>
      </c>
      <c r="W1491" s="9">
        <f t="shared" si="787"/>
        <v>0</v>
      </c>
      <c r="X1491" s="9">
        <f t="shared" si="788"/>
        <v>1718000</v>
      </c>
      <c r="Y1491" s="8"/>
      <c r="Z1491" s="9">
        <f t="shared" si="789"/>
        <v>0</v>
      </c>
      <c r="AA1491" s="8">
        <f t="shared" si="790"/>
        <v>1718000</v>
      </c>
      <c r="AB1491" s="8">
        <f t="shared" si="791"/>
        <v>0</v>
      </c>
    </row>
    <row r="1492" spans="1:28" x14ac:dyDescent="0.3">
      <c r="A1492" s="64"/>
      <c r="B1492" s="8"/>
      <c r="C1492" s="7" t="s">
        <v>1203</v>
      </c>
      <c r="D1492" s="16" t="s">
        <v>1126</v>
      </c>
      <c r="E1492" s="11">
        <v>1424544.01</v>
      </c>
      <c r="F1492" s="11">
        <v>1424544.01</v>
      </c>
      <c r="G1492" s="8"/>
      <c r="H1492" s="9">
        <f>+F1492+G1492</f>
        <v>1424544.01</v>
      </c>
      <c r="I1492" s="8"/>
      <c r="J1492" s="9">
        <f t="shared" si="783"/>
        <v>1424544.01</v>
      </c>
      <c r="K1492" s="8"/>
      <c r="L1492" s="8"/>
      <c r="M1492" s="9">
        <f t="shared" si="792"/>
        <v>1424544.01</v>
      </c>
      <c r="N1492" s="8"/>
      <c r="O1492" s="9"/>
      <c r="P1492" s="9">
        <f>+N1492+O1492</f>
        <v>0</v>
      </c>
      <c r="Q1492" s="9">
        <f t="shared" si="784"/>
        <v>1424544.01</v>
      </c>
      <c r="R1492" s="17"/>
      <c r="S1492" s="17"/>
      <c r="T1492" s="17"/>
      <c r="U1492" s="9">
        <f t="shared" si="785"/>
        <v>0</v>
      </c>
      <c r="V1492" s="9">
        <f t="shared" si="786"/>
        <v>1424544.01</v>
      </c>
      <c r="W1492" s="9">
        <f t="shared" si="787"/>
        <v>0</v>
      </c>
      <c r="X1492" s="9">
        <f t="shared" si="788"/>
        <v>1424544.01</v>
      </c>
      <c r="Y1492" s="8"/>
      <c r="Z1492" s="9">
        <f t="shared" si="789"/>
        <v>0</v>
      </c>
      <c r="AA1492" s="8">
        <f t="shared" si="790"/>
        <v>1424544.01</v>
      </c>
      <c r="AB1492" s="8">
        <f t="shared" si="791"/>
        <v>0</v>
      </c>
    </row>
    <row r="1493" spans="1:28" x14ac:dyDescent="0.3">
      <c r="A1493" s="64"/>
      <c r="B1493" s="8"/>
      <c r="C1493" s="7" t="s">
        <v>598</v>
      </c>
      <c r="D1493" s="8"/>
      <c r="E1493" s="9">
        <v>792768.58</v>
      </c>
      <c r="F1493" s="9">
        <v>792768.58</v>
      </c>
      <c r="G1493" s="8"/>
      <c r="H1493" s="9">
        <f t="shared" si="782"/>
        <v>792768.58</v>
      </c>
      <c r="I1493" s="8"/>
      <c r="J1493" s="9">
        <f t="shared" si="783"/>
        <v>792768.58</v>
      </c>
      <c r="K1493" s="8"/>
      <c r="L1493" s="8"/>
      <c r="M1493" s="9">
        <f t="shared" si="792"/>
        <v>792768.58</v>
      </c>
      <c r="N1493" s="8"/>
      <c r="O1493" s="9"/>
      <c r="P1493" s="9">
        <f t="shared" si="793"/>
        <v>0</v>
      </c>
      <c r="Q1493" s="9">
        <f t="shared" si="784"/>
        <v>792768.58</v>
      </c>
      <c r="R1493" s="17"/>
      <c r="S1493" s="17"/>
      <c r="T1493" s="17"/>
      <c r="U1493" s="9">
        <f t="shared" si="785"/>
        <v>0</v>
      </c>
      <c r="V1493" s="9">
        <f t="shared" si="786"/>
        <v>792768.58</v>
      </c>
      <c r="W1493" s="9">
        <f t="shared" si="787"/>
        <v>0</v>
      </c>
      <c r="X1493" s="9">
        <f t="shared" si="788"/>
        <v>792768.58</v>
      </c>
      <c r="Y1493" s="8"/>
      <c r="Z1493" s="9">
        <f t="shared" si="789"/>
        <v>0</v>
      </c>
      <c r="AA1493" s="8">
        <f t="shared" si="790"/>
        <v>792768.58</v>
      </c>
      <c r="AB1493" s="8">
        <f t="shared" si="791"/>
        <v>0</v>
      </c>
    </row>
    <row r="1494" spans="1:28" x14ac:dyDescent="0.3">
      <c r="A1494" s="64"/>
      <c r="B1494" s="8"/>
      <c r="C1494" s="7" t="s">
        <v>569</v>
      </c>
      <c r="D1494" s="8"/>
      <c r="E1494" s="9">
        <v>424000</v>
      </c>
      <c r="F1494" s="9">
        <v>424000</v>
      </c>
      <c r="G1494" s="8"/>
      <c r="H1494" s="9">
        <f t="shared" si="782"/>
        <v>424000</v>
      </c>
      <c r="I1494" s="8"/>
      <c r="J1494" s="9">
        <f t="shared" si="783"/>
        <v>424000</v>
      </c>
      <c r="K1494" s="8"/>
      <c r="L1494" s="8"/>
      <c r="M1494" s="9">
        <f t="shared" si="792"/>
        <v>424000</v>
      </c>
      <c r="N1494" s="8"/>
      <c r="O1494" s="9"/>
      <c r="P1494" s="9">
        <f t="shared" si="793"/>
        <v>0</v>
      </c>
      <c r="Q1494" s="9">
        <f t="shared" si="784"/>
        <v>424000</v>
      </c>
      <c r="R1494" s="17"/>
      <c r="S1494" s="17"/>
      <c r="T1494" s="17"/>
      <c r="U1494" s="9">
        <f t="shared" si="785"/>
        <v>0</v>
      </c>
      <c r="V1494" s="9">
        <f t="shared" si="786"/>
        <v>424000</v>
      </c>
      <c r="W1494" s="9">
        <f t="shared" si="787"/>
        <v>0</v>
      </c>
      <c r="X1494" s="9">
        <f t="shared" si="788"/>
        <v>424000</v>
      </c>
      <c r="Y1494" s="8"/>
      <c r="Z1494" s="9">
        <f t="shared" si="789"/>
        <v>0</v>
      </c>
      <c r="AA1494" s="8">
        <f t="shared" si="790"/>
        <v>424000</v>
      </c>
      <c r="AB1494" s="8">
        <f t="shared" si="791"/>
        <v>0</v>
      </c>
    </row>
    <row r="1495" spans="1:28" x14ac:dyDescent="0.3">
      <c r="A1495" s="64"/>
      <c r="B1495" s="8"/>
      <c r="C1495" s="7" t="s">
        <v>702</v>
      </c>
      <c r="D1495" s="8"/>
      <c r="E1495" s="9">
        <v>300000</v>
      </c>
      <c r="F1495" s="8"/>
      <c r="G1495" s="8"/>
      <c r="H1495" s="9">
        <f t="shared" si="782"/>
        <v>0</v>
      </c>
      <c r="I1495" s="8"/>
      <c r="J1495" s="9">
        <f t="shared" si="783"/>
        <v>0</v>
      </c>
      <c r="K1495" s="9">
        <v>300000</v>
      </c>
      <c r="L1495" s="8"/>
      <c r="M1495" s="9">
        <f t="shared" si="792"/>
        <v>0</v>
      </c>
      <c r="N1495" s="8">
        <v>300000</v>
      </c>
      <c r="O1495" s="9"/>
      <c r="P1495" s="9">
        <f t="shared" si="793"/>
        <v>300000</v>
      </c>
      <c r="Q1495" s="9">
        <f t="shared" si="784"/>
        <v>0</v>
      </c>
      <c r="R1495" s="17"/>
      <c r="S1495" s="17"/>
      <c r="T1495" s="17"/>
      <c r="U1495" s="9">
        <f t="shared" si="785"/>
        <v>300000</v>
      </c>
      <c r="V1495" s="9">
        <f t="shared" si="786"/>
        <v>300000</v>
      </c>
      <c r="W1495" s="9">
        <f t="shared" si="787"/>
        <v>0</v>
      </c>
      <c r="X1495" s="9">
        <f t="shared" si="788"/>
        <v>300000</v>
      </c>
      <c r="Y1495" s="8"/>
      <c r="Z1495" s="9">
        <f t="shared" si="789"/>
        <v>0</v>
      </c>
      <c r="AA1495" s="8">
        <f t="shared" si="790"/>
        <v>300000</v>
      </c>
      <c r="AB1495" s="8">
        <f t="shared" si="791"/>
        <v>0</v>
      </c>
    </row>
    <row r="1496" spans="1:28" x14ac:dyDescent="0.3">
      <c r="A1496" s="64"/>
      <c r="B1496" s="8"/>
      <c r="C1496" s="7" t="s">
        <v>678</v>
      </c>
      <c r="D1496" s="8"/>
      <c r="E1496" s="9">
        <v>2500000</v>
      </c>
      <c r="F1496" s="9">
        <v>2500000</v>
      </c>
      <c r="G1496" s="8"/>
      <c r="H1496" s="9">
        <f t="shared" si="782"/>
        <v>2500000</v>
      </c>
      <c r="I1496" s="8"/>
      <c r="J1496" s="9">
        <f t="shared" si="783"/>
        <v>2500000</v>
      </c>
      <c r="K1496" s="8"/>
      <c r="L1496" s="8"/>
      <c r="M1496" s="9">
        <f t="shared" si="792"/>
        <v>2500000</v>
      </c>
      <c r="N1496" s="8"/>
      <c r="O1496" s="9"/>
      <c r="P1496" s="9">
        <f t="shared" si="793"/>
        <v>0</v>
      </c>
      <c r="Q1496" s="9">
        <f t="shared" si="784"/>
        <v>2500000</v>
      </c>
      <c r="R1496" s="17"/>
      <c r="S1496" s="17"/>
      <c r="T1496" s="17"/>
      <c r="U1496" s="9">
        <f t="shared" si="785"/>
        <v>0</v>
      </c>
      <c r="V1496" s="9">
        <f t="shared" si="786"/>
        <v>2500000</v>
      </c>
      <c r="W1496" s="9">
        <f t="shared" si="787"/>
        <v>0</v>
      </c>
      <c r="X1496" s="9">
        <f t="shared" si="788"/>
        <v>2500000</v>
      </c>
      <c r="Y1496" s="8"/>
      <c r="Z1496" s="9">
        <f t="shared" si="789"/>
        <v>0</v>
      </c>
      <c r="AA1496" s="8">
        <f t="shared" si="790"/>
        <v>2500000</v>
      </c>
      <c r="AB1496" s="8">
        <f t="shared" si="791"/>
        <v>0</v>
      </c>
    </row>
    <row r="1497" spans="1:28" x14ac:dyDescent="0.3">
      <c r="A1497" s="64"/>
      <c r="B1497" s="8"/>
      <c r="C1497" s="8"/>
      <c r="D1497" s="8"/>
      <c r="E1497" s="17" t="s">
        <v>29</v>
      </c>
      <c r="F1497" s="17" t="s">
        <v>29</v>
      </c>
      <c r="G1497" s="17" t="s">
        <v>29</v>
      </c>
      <c r="H1497" s="17" t="s">
        <v>29</v>
      </c>
      <c r="I1497" s="17" t="s">
        <v>29</v>
      </c>
      <c r="J1497" s="17" t="s">
        <v>29</v>
      </c>
      <c r="K1497" s="17" t="s">
        <v>29</v>
      </c>
      <c r="L1497" s="17" t="s">
        <v>29</v>
      </c>
      <c r="M1497" s="17" t="s">
        <v>29</v>
      </c>
      <c r="N1497" s="17" t="s">
        <v>29</v>
      </c>
      <c r="O1497" s="17" t="s">
        <v>29</v>
      </c>
      <c r="P1497" s="17" t="s">
        <v>29</v>
      </c>
      <c r="Q1497" s="17" t="s">
        <v>29</v>
      </c>
      <c r="R1497" s="17" t="s">
        <v>29</v>
      </c>
      <c r="S1497" s="17" t="s">
        <v>29</v>
      </c>
      <c r="T1497" s="17" t="s">
        <v>29</v>
      </c>
      <c r="U1497" s="17" t="s">
        <v>29</v>
      </c>
      <c r="V1497" s="17" t="s">
        <v>29</v>
      </c>
      <c r="W1497" s="17" t="s">
        <v>29</v>
      </c>
      <c r="X1497" s="17" t="s">
        <v>29</v>
      </c>
      <c r="Y1497" s="17" t="s">
        <v>29</v>
      </c>
      <c r="Z1497" s="17" t="s">
        <v>29</v>
      </c>
      <c r="AA1497" s="17" t="s">
        <v>29</v>
      </c>
      <c r="AB1497" s="17" t="s">
        <v>29</v>
      </c>
    </row>
    <row r="1498" spans="1:28" x14ac:dyDescent="0.3">
      <c r="A1498" s="64"/>
      <c r="B1498" s="8"/>
      <c r="C1498" s="8"/>
      <c r="D1498" s="8"/>
      <c r="E1498" s="9">
        <f t="shared" ref="E1498:Q1498" si="794">SUM(E1475:E1497)</f>
        <v>35725502.030000001</v>
      </c>
      <c r="F1498" s="9">
        <f t="shared" si="794"/>
        <v>32492137.239999998</v>
      </c>
      <c r="G1498" s="9">
        <f>SUM(G1475:G1496)</f>
        <v>0</v>
      </c>
      <c r="H1498" s="9">
        <f t="shared" si="794"/>
        <v>32492137.239999998</v>
      </c>
      <c r="I1498" s="9">
        <f t="shared" si="794"/>
        <v>0</v>
      </c>
      <c r="J1498" s="9">
        <f t="shared" si="794"/>
        <v>32492137.239999998</v>
      </c>
      <c r="K1498" s="9">
        <f t="shared" si="794"/>
        <v>3124161.33</v>
      </c>
      <c r="L1498" s="9">
        <f t="shared" si="794"/>
        <v>0</v>
      </c>
      <c r="M1498" s="9">
        <f t="shared" si="794"/>
        <v>32492137.239999998</v>
      </c>
      <c r="N1498" s="9">
        <f t="shared" si="794"/>
        <v>3124161.33</v>
      </c>
      <c r="O1498" s="9"/>
      <c r="P1498" s="9">
        <f t="shared" si="794"/>
        <v>3124161.33</v>
      </c>
      <c r="Q1498" s="9">
        <f t="shared" si="794"/>
        <v>32601340.699999999</v>
      </c>
      <c r="R1498" s="17"/>
      <c r="S1498" s="17"/>
      <c r="T1498" s="9">
        <f t="shared" ref="T1498:Z1498" si="795">SUM(T1475:T1497)</f>
        <v>0</v>
      </c>
      <c r="U1498" s="9">
        <f t="shared" si="795"/>
        <v>3124161.33</v>
      </c>
      <c r="V1498" s="9">
        <f t="shared" si="795"/>
        <v>35616298.57</v>
      </c>
      <c r="W1498" s="9">
        <f t="shared" si="795"/>
        <v>109203.45999999996</v>
      </c>
      <c r="X1498" s="9">
        <f t="shared" si="795"/>
        <v>35616298.57</v>
      </c>
      <c r="Y1498" s="9">
        <f t="shared" si="795"/>
        <v>0</v>
      </c>
      <c r="Z1498" s="9">
        <f t="shared" si="795"/>
        <v>109203.45999999996</v>
      </c>
      <c r="AA1498" s="9">
        <f>SUM(AA1475:AA1497)</f>
        <v>35616298.57</v>
      </c>
      <c r="AB1498" s="9">
        <f>SUM(AB1475:AB1497)</f>
        <v>109203.45999999996</v>
      </c>
    </row>
    <row r="1499" spans="1:28" x14ac:dyDescent="0.3">
      <c r="A1499" s="64"/>
      <c r="B1499" s="8"/>
      <c r="C1499" s="8"/>
      <c r="D1499" s="8"/>
      <c r="E1499" s="17" t="s">
        <v>29</v>
      </c>
      <c r="F1499" s="17" t="s">
        <v>29</v>
      </c>
      <c r="G1499" s="17" t="s">
        <v>29</v>
      </c>
      <c r="H1499" s="17" t="s">
        <v>29</v>
      </c>
      <c r="I1499" s="17" t="s">
        <v>29</v>
      </c>
      <c r="J1499" s="17" t="s">
        <v>29</v>
      </c>
      <c r="K1499" s="17" t="s">
        <v>29</v>
      </c>
      <c r="L1499" s="17" t="s">
        <v>29</v>
      </c>
      <c r="M1499" s="17" t="s">
        <v>29</v>
      </c>
      <c r="N1499" s="17" t="s">
        <v>29</v>
      </c>
      <c r="O1499" s="17" t="s">
        <v>29</v>
      </c>
      <c r="P1499" s="17" t="s">
        <v>29</v>
      </c>
      <c r="Q1499" s="17" t="s">
        <v>29</v>
      </c>
      <c r="R1499" s="17" t="s">
        <v>29</v>
      </c>
      <c r="S1499" s="17" t="s">
        <v>29</v>
      </c>
      <c r="T1499" s="17" t="s">
        <v>29</v>
      </c>
      <c r="U1499" s="17" t="s">
        <v>29</v>
      </c>
      <c r="V1499" s="17" t="s">
        <v>29</v>
      </c>
      <c r="W1499" s="17" t="s">
        <v>29</v>
      </c>
      <c r="X1499" s="17" t="s">
        <v>29</v>
      </c>
      <c r="Y1499" s="17" t="s">
        <v>29</v>
      </c>
      <c r="Z1499" s="17" t="s">
        <v>29</v>
      </c>
      <c r="AA1499" s="17" t="s">
        <v>29</v>
      </c>
      <c r="AB1499" s="17" t="s">
        <v>29</v>
      </c>
    </row>
    <row r="1500" spans="1:28" x14ac:dyDescent="0.3">
      <c r="A1500" s="64"/>
      <c r="B1500" s="8"/>
      <c r="C1500" s="7" t="s">
        <v>744</v>
      </c>
      <c r="D1500" s="8"/>
      <c r="E1500" s="8"/>
      <c r="F1500" s="8"/>
      <c r="G1500" s="8"/>
      <c r="H1500" s="8"/>
      <c r="I1500" s="8"/>
      <c r="J1500" s="8"/>
      <c r="K1500" s="8"/>
      <c r="L1500" s="8"/>
      <c r="M1500" s="8"/>
      <c r="N1500" s="8"/>
      <c r="O1500" s="8"/>
      <c r="P1500" s="8"/>
      <c r="Q1500" s="8"/>
      <c r="R1500" s="17"/>
      <c r="S1500" s="17"/>
      <c r="T1500" s="17"/>
      <c r="U1500" s="17"/>
      <c r="V1500" s="17"/>
      <c r="W1500" s="17"/>
      <c r="X1500" s="17"/>
      <c r="Y1500" s="17"/>
      <c r="Z1500" s="17"/>
    </row>
    <row r="1501" spans="1:28" x14ac:dyDescent="0.3">
      <c r="A1501" s="64"/>
      <c r="B1501" s="8"/>
      <c r="C1501" s="7" t="s">
        <v>745</v>
      </c>
      <c r="D1501" s="15" t="s">
        <v>54</v>
      </c>
      <c r="E1501" s="9">
        <v>95000</v>
      </c>
      <c r="F1501" s="9">
        <v>95000</v>
      </c>
      <c r="G1501" s="8"/>
      <c r="H1501" s="9">
        <f>F1501+G1501</f>
        <v>95000</v>
      </c>
      <c r="I1501" s="8"/>
      <c r="J1501" s="9">
        <f>H1501+I1501</f>
        <v>95000</v>
      </c>
      <c r="K1501" s="8"/>
      <c r="L1501" s="8"/>
      <c r="M1501" s="9">
        <f>+H1501+L1501</f>
        <v>95000</v>
      </c>
      <c r="N1501" s="8"/>
      <c r="O1501" s="9"/>
      <c r="P1501" s="9">
        <f>+N1501+O1501</f>
        <v>0</v>
      </c>
      <c r="Q1501" s="9">
        <f>E1501-P1501</f>
        <v>95000</v>
      </c>
      <c r="R1501" s="17"/>
      <c r="S1501" s="17"/>
      <c r="T1501" s="17"/>
      <c r="U1501" s="9">
        <f>P1501+T1501</f>
        <v>0</v>
      </c>
      <c r="V1501" s="9">
        <f>P1501+H1501</f>
        <v>95000</v>
      </c>
      <c r="W1501" s="9">
        <f>E1501-V1501</f>
        <v>0</v>
      </c>
      <c r="X1501" s="9">
        <f>+H1501+P1501</f>
        <v>95000</v>
      </c>
      <c r="Y1501" s="8"/>
      <c r="Z1501" s="9">
        <f>+E1501-X1501</f>
        <v>0</v>
      </c>
      <c r="AA1501" s="8">
        <f>+M1501+U1501</f>
        <v>95000</v>
      </c>
      <c r="AB1501" s="8">
        <f>+E1501-AA1501</f>
        <v>0</v>
      </c>
    </row>
    <row r="1502" spans="1:28" x14ac:dyDescent="0.3">
      <c r="A1502" s="64"/>
      <c r="B1502" s="8"/>
      <c r="C1502" s="8"/>
      <c r="D1502" s="8"/>
      <c r="E1502" s="17" t="s">
        <v>29</v>
      </c>
      <c r="F1502" s="17" t="s">
        <v>29</v>
      </c>
      <c r="G1502" s="17" t="s">
        <v>29</v>
      </c>
      <c r="H1502" s="17" t="s">
        <v>29</v>
      </c>
      <c r="I1502" s="17" t="s">
        <v>29</v>
      </c>
      <c r="J1502" s="17" t="s">
        <v>29</v>
      </c>
      <c r="K1502" s="17" t="s">
        <v>29</v>
      </c>
      <c r="L1502" s="17" t="s">
        <v>29</v>
      </c>
      <c r="M1502" s="17" t="s">
        <v>29</v>
      </c>
      <c r="N1502" s="17" t="s">
        <v>29</v>
      </c>
      <c r="O1502" s="17" t="s">
        <v>29</v>
      </c>
      <c r="P1502" s="17" t="s">
        <v>29</v>
      </c>
      <c r="Q1502" s="17" t="s">
        <v>29</v>
      </c>
      <c r="R1502" s="17" t="s">
        <v>29</v>
      </c>
      <c r="S1502" s="17" t="s">
        <v>29</v>
      </c>
      <c r="T1502" s="17" t="s">
        <v>29</v>
      </c>
      <c r="U1502" s="17" t="s">
        <v>29</v>
      </c>
      <c r="V1502" s="17" t="s">
        <v>29</v>
      </c>
      <c r="W1502" s="17" t="s">
        <v>29</v>
      </c>
      <c r="X1502" s="17" t="s">
        <v>29</v>
      </c>
      <c r="Y1502" s="17" t="s">
        <v>29</v>
      </c>
      <c r="Z1502" s="17" t="s">
        <v>29</v>
      </c>
      <c r="AA1502" s="17" t="s">
        <v>29</v>
      </c>
      <c r="AB1502" s="17" t="s">
        <v>29</v>
      </c>
    </row>
    <row r="1503" spans="1:28" x14ac:dyDescent="0.3">
      <c r="A1503" s="64"/>
      <c r="B1503" s="8"/>
      <c r="C1503" s="7" t="s">
        <v>746</v>
      </c>
      <c r="D1503" s="8"/>
      <c r="E1503" s="8"/>
      <c r="F1503" s="8"/>
      <c r="G1503" s="8"/>
      <c r="H1503" s="8"/>
      <c r="I1503" s="8"/>
      <c r="J1503" s="8"/>
      <c r="K1503" s="8"/>
      <c r="L1503" s="8"/>
      <c r="M1503" s="8"/>
      <c r="N1503" s="8"/>
      <c r="O1503" s="8"/>
      <c r="P1503" s="8"/>
      <c r="Q1503" s="8"/>
      <c r="R1503" s="17"/>
      <c r="S1503" s="17"/>
      <c r="T1503" s="17"/>
      <c r="U1503" s="17"/>
      <c r="V1503" s="17"/>
      <c r="W1503" s="17"/>
      <c r="X1503" s="17"/>
      <c r="Y1503" s="17"/>
      <c r="Z1503" s="17"/>
    </row>
    <row r="1504" spans="1:28" x14ac:dyDescent="0.3">
      <c r="A1504" s="64"/>
      <c r="B1504" s="8"/>
      <c r="C1504" s="7" t="s">
        <v>745</v>
      </c>
      <c r="D1504" s="15" t="s">
        <v>54</v>
      </c>
      <c r="E1504" s="9">
        <v>285000</v>
      </c>
      <c r="F1504" s="9">
        <v>285000</v>
      </c>
      <c r="G1504" s="8"/>
      <c r="H1504" s="9">
        <f>F1504+G1504</f>
        <v>285000</v>
      </c>
      <c r="I1504" s="8"/>
      <c r="J1504" s="9">
        <f>H1504+I1504</f>
        <v>285000</v>
      </c>
      <c r="K1504" s="8"/>
      <c r="L1504" s="8"/>
      <c r="M1504" s="9">
        <f>+H1504+L1504</f>
        <v>285000</v>
      </c>
      <c r="N1504" s="8"/>
      <c r="O1504" s="9"/>
      <c r="P1504" s="9">
        <f>+N1504+O1504</f>
        <v>0</v>
      </c>
      <c r="Q1504" s="9">
        <f>E1504-P1504</f>
        <v>285000</v>
      </c>
      <c r="R1504" s="17"/>
      <c r="S1504" s="17"/>
      <c r="T1504" s="17"/>
      <c r="U1504" s="9">
        <f>P1504+T1504</f>
        <v>0</v>
      </c>
      <c r="V1504" s="9">
        <f>P1504+H1504</f>
        <v>285000</v>
      </c>
      <c r="W1504" s="9">
        <f>E1504-V1504</f>
        <v>0</v>
      </c>
      <c r="X1504" s="9">
        <f>+H1504+P1504</f>
        <v>285000</v>
      </c>
      <c r="Y1504" s="8"/>
      <c r="Z1504" s="9">
        <f>+E1504-X1504</f>
        <v>0</v>
      </c>
      <c r="AA1504" s="8">
        <f>+M1504+U1504</f>
        <v>285000</v>
      </c>
      <c r="AB1504" s="8">
        <f>+E1504-AA1504</f>
        <v>0</v>
      </c>
    </row>
    <row r="1505" spans="1:28" x14ac:dyDescent="0.3">
      <c r="A1505" s="64"/>
      <c r="B1505" s="8"/>
      <c r="C1505" s="8"/>
      <c r="D1505" s="8"/>
      <c r="E1505" s="17" t="s">
        <v>29</v>
      </c>
      <c r="F1505" s="17" t="s">
        <v>29</v>
      </c>
      <c r="G1505" s="17" t="s">
        <v>29</v>
      </c>
      <c r="H1505" s="17" t="s">
        <v>29</v>
      </c>
      <c r="I1505" s="17" t="s">
        <v>29</v>
      </c>
      <c r="J1505" s="17" t="s">
        <v>29</v>
      </c>
      <c r="K1505" s="17" t="s">
        <v>29</v>
      </c>
      <c r="L1505" s="17" t="s">
        <v>29</v>
      </c>
      <c r="M1505" s="17" t="s">
        <v>29</v>
      </c>
      <c r="N1505" s="17" t="s">
        <v>29</v>
      </c>
      <c r="O1505" s="17" t="s">
        <v>29</v>
      </c>
      <c r="P1505" s="17" t="s">
        <v>29</v>
      </c>
      <c r="Q1505" s="17" t="s">
        <v>29</v>
      </c>
      <c r="R1505" s="17" t="s">
        <v>29</v>
      </c>
      <c r="S1505" s="17" t="s">
        <v>29</v>
      </c>
      <c r="T1505" s="17" t="s">
        <v>29</v>
      </c>
      <c r="U1505" s="17" t="s">
        <v>29</v>
      </c>
      <c r="V1505" s="17" t="s">
        <v>29</v>
      </c>
      <c r="W1505" s="17" t="s">
        <v>29</v>
      </c>
      <c r="X1505" s="17" t="s">
        <v>29</v>
      </c>
      <c r="Y1505" s="17" t="s">
        <v>29</v>
      </c>
      <c r="Z1505" s="17" t="s">
        <v>29</v>
      </c>
      <c r="AA1505" s="17" t="s">
        <v>29</v>
      </c>
      <c r="AB1505" s="17" t="s">
        <v>29</v>
      </c>
    </row>
    <row r="1506" spans="1:28" x14ac:dyDescent="0.3">
      <c r="A1506" s="64"/>
      <c r="B1506" s="8"/>
      <c r="C1506" s="7" t="s">
        <v>747</v>
      </c>
      <c r="D1506" s="8"/>
      <c r="E1506" s="8"/>
      <c r="F1506" s="8"/>
      <c r="G1506" s="8"/>
      <c r="H1506" s="8"/>
      <c r="I1506" s="8"/>
      <c r="J1506" s="8"/>
      <c r="K1506" s="8"/>
      <c r="L1506" s="8"/>
      <c r="M1506" s="8"/>
      <c r="N1506" s="8"/>
      <c r="O1506" s="8"/>
      <c r="P1506" s="8"/>
      <c r="Q1506" s="8"/>
      <c r="R1506" s="17"/>
      <c r="S1506" s="17"/>
      <c r="T1506" s="17"/>
      <c r="U1506" s="17"/>
      <c r="V1506" s="17"/>
      <c r="W1506" s="17"/>
      <c r="X1506" s="17"/>
      <c r="Y1506" s="17"/>
      <c r="Z1506" s="17"/>
    </row>
    <row r="1507" spans="1:28" x14ac:dyDescent="0.3">
      <c r="A1507" s="64"/>
      <c r="B1507" s="8"/>
      <c r="C1507" s="7" t="s">
        <v>745</v>
      </c>
      <c r="D1507" s="15" t="s">
        <v>54</v>
      </c>
      <c r="E1507" s="9">
        <v>237500</v>
      </c>
      <c r="F1507" s="9">
        <v>237500</v>
      </c>
      <c r="G1507" s="8"/>
      <c r="H1507" s="9">
        <f>F1507+G1507</f>
        <v>237500</v>
      </c>
      <c r="I1507" s="8"/>
      <c r="J1507" s="9">
        <f>H1507+I1507</f>
        <v>237500</v>
      </c>
      <c r="K1507" s="8"/>
      <c r="L1507" s="8"/>
      <c r="M1507" s="9">
        <f>+H1507+L1507</f>
        <v>237500</v>
      </c>
      <c r="N1507" s="8"/>
      <c r="O1507" s="9"/>
      <c r="P1507" s="9">
        <f>+N1507+O1507</f>
        <v>0</v>
      </c>
      <c r="Q1507" s="9">
        <f>E1507-P1507</f>
        <v>237500</v>
      </c>
      <c r="R1507" s="17"/>
      <c r="S1507" s="17"/>
      <c r="T1507" s="17"/>
      <c r="U1507" s="9">
        <f>P1507+T1507</f>
        <v>0</v>
      </c>
      <c r="V1507" s="9">
        <f>P1507+H1507</f>
        <v>237500</v>
      </c>
      <c r="W1507" s="9">
        <f>E1507-V1507</f>
        <v>0</v>
      </c>
      <c r="X1507" s="9">
        <f>+H1507+P1507</f>
        <v>237500</v>
      </c>
      <c r="Y1507" s="8"/>
      <c r="Z1507" s="9">
        <f>+E1507-X1507</f>
        <v>0</v>
      </c>
      <c r="AA1507" s="8">
        <f>+M1507+U1507</f>
        <v>237500</v>
      </c>
      <c r="AB1507" s="8">
        <f>+E1507-AA1507</f>
        <v>0</v>
      </c>
    </row>
    <row r="1508" spans="1:28" x14ac:dyDescent="0.3">
      <c r="A1508" s="64"/>
      <c r="B1508" s="8"/>
      <c r="C1508" s="8"/>
      <c r="D1508" s="8"/>
      <c r="E1508" s="17" t="s">
        <v>29</v>
      </c>
      <c r="F1508" s="17" t="s">
        <v>29</v>
      </c>
      <c r="G1508" s="17" t="s">
        <v>29</v>
      </c>
      <c r="H1508" s="17" t="s">
        <v>29</v>
      </c>
      <c r="I1508" s="17" t="s">
        <v>29</v>
      </c>
      <c r="J1508" s="17" t="s">
        <v>29</v>
      </c>
      <c r="K1508" s="17" t="s">
        <v>29</v>
      </c>
      <c r="L1508" s="17" t="s">
        <v>29</v>
      </c>
      <c r="M1508" s="17" t="s">
        <v>29</v>
      </c>
      <c r="N1508" s="17" t="s">
        <v>29</v>
      </c>
      <c r="O1508" s="17" t="s">
        <v>29</v>
      </c>
      <c r="P1508" s="17" t="s">
        <v>29</v>
      </c>
      <c r="Q1508" s="17" t="s">
        <v>29</v>
      </c>
      <c r="R1508" s="17" t="s">
        <v>29</v>
      </c>
      <c r="S1508" s="17" t="s">
        <v>29</v>
      </c>
      <c r="T1508" s="17" t="s">
        <v>29</v>
      </c>
      <c r="U1508" s="17" t="s">
        <v>29</v>
      </c>
      <c r="V1508" s="17" t="s">
        <v>29</v>
      </c>
      <c r="W1508" s="17" t="s">
        <v>29</v>
      </c>
      <c r="X1508" s="17" t="s">
        <v>29</v>
      </c>
      <c r="Y1508" s="17" t="s">
        <v>29</v>
      </c>
      <c r="Z1508" s="17" t="s">
        <v>29</v>
      </c>
      <c r="AA1508" s="17" t="s">
        <v>29</v>
      </c>
      <c r="AB1508" s="17" t="s">
        <v>29</v>
      </c>
    </row>
    <row r="1509" spans="1:28" x14ac:dyDescent="0.3">
      <c r="A1509" s="64"/>
      <c r="B1509" s="8"/>
      <c r="C1509" s="7" t="s">
        <v>748</v>
      </c>
      <c r="D1509" s="8"/>
      <c r="E1509" s="8"/>
      <c r="F1509" s="8"/>
      <c r="G1509" s="8"/>
      <c r="H1509" s="8"/>
      <c r="I1509" s="8"/>
      <c r="J1509" s="8"/>
      <c r="K1509" s="8"/>
      <c r="L1509" s="8"/>
      <c r="M1509" s="8"/>
      <c r="N1509" s="8"/>
      <c r="O1509" s="8"/>
      <c r="P1509" s="8"/>
      <c r="Q1509" s="8"/>
      <c r="R1509" s="17"/>
      <c r="S1509" s="17"/>
      <c r="T1509" s="17"/>
      <c r="U1509" s="17"/>
      <c r="V1509" s="17"/>
      <c r="W1509" s="17"/>
      <c r="X1509" s="17"/>
      <c r="Y1509" s="17"/>
      <c r="Z1509" s="17"/>
    </row>
    <row r="1510" spans="1:28" x14ac:dyDescent="0.3">
      <c r="A1510" s="64"/>
      <c r="B1510" s="8"/>
      <c r="C1510" s="7" t="s">
        <v>745</v>
      </c>
      <c r="D1510" s="15" t="s">
        <v>54</v>
      </c>
      <c r="E1510" s="9">
        <v>285000</v>
      </c>
      <c r="F1510" s="9">
        <v>285000</v>
      </c>
      <c r="G1510" s="8"/>
      <c r="H1510" s="9">
        <f>F1510+G1510</f>
        <v>285000</v>
      </c>
      <c r="I1510" s="8"/>
      <c r="J1510" s="9">
        <f>H1510+I1510</f>
        <v>285000</v>
      </c>
      <c r="K1510" s="8"/>
      <c r="L1510" s="8"/>
      <c r="M1510" s="9">
        <f>+H1510+L1510</f>
        <v>285000</v>
      </c>
      <c r="N1510" s="8"/>
      <c r="O1510" s="9"/>
      <c r="P1510" s="9">
        <f>+N1510+O1510</f>
        <v>0</v>
      </c>
      <c r="Q1510" s="9">
        <f>E1510-P1510</f>
        <v>285000</v>
      </c>
      <c r="R1510" s="17"/>
      <c r="S1510" s="17"/>
      <c r="T1510" s="17"/>
      <c r="U1510" s="9">
        <f>P1510+T1510</f>
        <v>0</v>
      </c>
      <c r="V1510" s="9">
        <f>P1510+H1510</f>
        <v>285000</v>
      </c>
      <c r="W1510" s="9">
        <f>E1510-V1510</f>
        <v>0</v>
      </c>
      <c r="X1510" s="9">
        <f>+H1510+P1510</f>
        <v>285000</v>
      </c>
      <c r="Y1510" s="8"/>
      <c r="Z1510" s="9">
        <f>+E1510-X1510</f>
        <v>0</v>
      </c>
      <c r="AA1510" s="8">
        <f>+M1510+U1510</f>
        <v>285000</v>
      </c>
      <c r="AB1510" s="8">
        <f>+E1510-AA1510</f>
        <v>0</v>
      </c>
    </row>
    <row r="1511" spans="1:28" x14ac:dyDescent="0.3">
      <c r="A1511" s="64"/>
      <c r="B1511" s="8"/>
      <c r="C1511" s="8"/>
      <c r="D1511" s="8"/>
      <c r="E1511" s="17" t="s">
        <v>29</v>
      </c>
      <c r="F1511" s="17" t="s">
        <v>29</v>
      </c>
      <c r="G1511" s="17" t="s">
        <v>29</v>
      </c>
      <c r="H1511" s="17" t="s">
        <v>29</v>
      </c>
      <c r="I1511" s="17" t="s">
        <v>29</v>
      </c>
      <c r="J1511" s="17" t="s">
        <v>29</v>
      </c>
      <c r="K1511" s="17" t="s">
        <v>29</v>
      </c>
      <c r="L1511" s="17" t="s">
        <v>29</v>
      </c>
      <c r="M1511" s="17" t="s">
        <v>29</v>
      </c>
      <c r="N1511" s="17" t="s">
        <v>29</v>
      </c>
      <c r="O1511" s="17" t="s">
        <v>29</v>
      </c>
      <c r="P1511" s="17" t="s">
        <v>29</v>
      </c>
      <c r="Q1511" s="17" t="s">
        <v>29</v>
      </c>
      <c r="R1511" s="17" t="s">
        <v>29</v>
      </c>
      <c r="S1511" s="17" t="s">
        <v>29</v>
      </c>
      <c r="T1511" s="17" t="s">
        <v>29</v>
      </c>
      <c r="U1511" s="17" t="s">
        <v>29</v>
      </c>
      <c r="V1511" s="17" t="s">
        <v>29</v>
      </c>
      <c r="W1511" s="17" t="s">
        <v>29</v>
      </c>
      <c r="X1511" s="17" t="s">
        <v>29</v>
      </c>
      <c r="Y1511" s="17" t="s">
        <v>29</v>
      </c>
      <c r="Z1511" s="17" t="s">
        <v>29</v>
      </c>
      <c r="AA1511" s="17" t="s">
        <v>29</v>
      </c>
      <c r="AB1511" s="17" t="s">
        <v>29</v>
      </c>
    </row>
    <row r="1512" spans="1:28" x14ac:dyDescent="0.3">
      <c r="A1512" s="64"/>
      <c r="B1512" s="8"/>
      <c r="C1512" s="7" t="s">
        <v>749</v>
      </c>
      <c r="D1512" s="8"/>
      <c r="E1512" s="8"/>
      <c r="F1512" s="8"/>
      <c r="G1512" s="8"/>
      <c r="H1512" s="8"/>
      <c r="I1512" s="8"/>
      <c r="J1512" s="8"/>
      <c r="K1512" s="8"/>
      <c r="L1512" s="8"/>
      <c r="M1512" s="8"/>
      <c r="N1512" s="8"/>
      <c r="O1512" s="8"/>
      <c r="P1512" s="8"/>
      <c r="Q1512" s="8"/>
      <c r="R1512" s="17"/>
      <c r="S1512" s="17"/>
      <c r="T1512" s="17"/>
      <c r="U1512" s="17"/>
      <c r="V1512" s="17"/>
      <c r="W1512" s="17"/>
      <c r="X1512" s="17"/>
      <c r="Y1512" s="17"/>
      <c r="Z1512" s="17"/>
    </row>
    <row r="1513" spans="1:28" x14ac:dyDescent="0.3">
      <c r="A1513" s="64"/>
      <c r="B1513" s="8"/>
      <c r="C1513" s="7" t="s">
        <v>745</v>
      </c>
      <c r="D1513" s="15" t="s">
        <v>54</v>
      </c>
      <c r="E1513" s="9">
        <v>475000</v>
      </c>
      <c r="F1513" s="9">
        <v>475000</v>
      </c>
      <c r="G1513" s="8"/>
      <c r="H1513" s="9">
        <f>F1513+G1513</f>
        <v>475000</v>
      </c>
      <c r="I1513" s="8"/>
      <c r="J1513" s="9">
        <f>H1513+I1513</f>
        <v>475000</v>
      </c>
      <c r="K1513" s="8"/>
      <c r="L1513" s="8"/>
      <c r="M1513" s="9">
        <f>+H1513+L1513</f>
        <v>475000</v>
      </c>
      <c r="N1513" s="8"/>
      <c r="O1513" s="9"/>
      <c r="P1513" s="9">
        <f>+N1513+O1513</f>
        <v>0</v>
      </c>
      <c r="Q1513" s="9">
        <f>E1513-P1513</f>
        <v>475000</v>
      </c>
      <c r="R1513" s="17"/>
      <c r="S1513" s="17"/>
      <c r="T1513" s="17"/>
      <c r="U1513" s="9">
        <f>P1513+T1513</f>
        <v>0</v>
      </c>
      <c r="V1513" s="9">
        <f>P1513+H1513</f>
        <v>475000</v>
      </c>
      <c r="W1513" s="9">
        <f>E1513-V1513</f>
        <v>0</v>
      </c>
      <c r="X1513" s="9">
        <f>+H1513+P1513</f>
        <v>475000</v>
      </c>
      <c r="Y1513" s="8"/>
      <c r="Z1513" s="9">
        <f>+E1513-X1513</f>
        <v>0</v>
      </c>
      <c r="AA1513" s="8">
        <f>+M1513+U1513</f>
        <v>475000</v>
      </c>
      <c r="AB1513" s="8">
        <f>+E1513-AA1513</f>
        <v>0</v>
      </c>
    </row>
    <row r="1514" spans="1:28" x14ac:dyDescent="0.3">
      <c r="A1514" s="64"/>
      <c r="B1514" s="8"/>
      <c r="C1514" s="8"/>
      <c r="D1514" s="8"/>
      <c r="E1514" s="17" t="s">
        <v>29</v>
      </c>
      <c r="F1514" s="17" t="s">
        <v>29</v>
      </c>
      <c r="G1514" s="17" t="s">
        <v>29</v>
      </c>
      <c r="H1514" s="17" t="s">
        <v>29</v>
      </c>
      <c r="I1514" s="17" t="s">
        <v>29</v>
      </c>
      <c r="J1514" s="17" t="s">
        <v>29</v>
      </c>
      <c r="K1514" s="17" t="s">
        <v>29</v>
      </c>
      <c r="L1514" s="17" t="s">
        <v>29</v>
      </c>
      <c r="M1514" s="17" t="s">
        <v>29</v>
      </c>
      <c r="N1514" s="17" t="s">
        <v>29</v>
      </c>
      <c r="O1514" s="17" t="s">
        <v>29</v>
      </c>
      <c r="P1514" s="17" t="s">
        <v>29</v>
      </c>
      <c r="Q1514" s="17" t="s">
        <v>29</v>
      </c>
      <c r="R1514" s="17" t="s">
        <v>29</v>
      </c>
      <c r="S1514" s="17" t="s">
        <v>29</v>
      </c>
      <c r="T1514" s="17" t="s">
        <v>29</v>
      </c>
      <c r="U1514" s="17" t="s">
        <v>29</v>
      </c>
      <c r="V1514" s="17" t="s">
        <v>29</v>
      </c>
      <c r="W1514" s="17" t="s">
        <v>29</v>
      </c>
      <c r="X1514" s="17" t="s">
        <v>29</v>
      </c>
      <c r="Y1514" s="17" t="s">
        <v>29</v>
      </c>
      <c r="Z1514" s="17" t="s">
        <v>29</v>
      </c>
      <c r="AA1514" s="17" t="s">
        <v>29</v>
      </c>
      <c r="AB1514" s="17" t="s">
        <v>29</v>
      </c>
    </row>
    <row r="1515" spans="1:28" x14ac:dyDescent="0.3">
      <c r="A1515" s="64"/>
      <c r="B1515" s="8"/>
      <c r="C1515" s="7" t="s">
        <v>750</v>
      </c>
      <c r="D1515" s="8"/>
      <c r="E1515" s="8"/>
      <c r="F1515" s="8"/>
      <c r="G1515" s="8"/>
      <c r="H1515" s="8"/>
      <c r="I1515" s="8"/>
      <c r="J1515" s="8"/>
      <c r="K1515" s="8"/>
      <c r="L1515" s="8"/>
      <c r="M1515" s="8"/>
      <c r="N1515" s="8"/>
      <c r="O1515" s="8"/>
      <c r="P1515" s="8"/>
      <c r="Q1515" s="8"/>
      <c r="R1515" s="17"/>
      <c r="S1515" s="17"/>
      <c r="T1515" s="17"/>
      <c r="U1515" s="17"/>
      <c r="V1515" s="17"/>
      <c r="W1515" s="17"/>
      <c r="X1515" s="17"/>
      <c r="Y1515" s="17"/>
      <c r="Z1515" s="17"/>
    </row>
    <row r="1516" spans="1:28" x14ac:dyDescent="0.3">
      <c r="A1516" s="64"/>
      <c r="B1516" s="8"/>
      <c r="C1516" s="7" t="s">
        <v>745</v>
      </c>
      <c r="D1516" s="15" t="s">
        <v>54</v>
      </c>
      <c r="E1516" s="9">
        <v>190000</v>
      </c>
      <c r="F1516" s="9">
        <v>190000</v>
      </c>
      <c r="G1516" s="8"/>
      <c r="H1516" s="9">
        <f>F1516+G1516</f>
        <v>190000</v>
      </c>
      <c r="I1516" s="8"/>
      <c r="J1516" s="9">
        <f>H1516+I1516</f>
        <v>190000</v>
      </c>
      <c r="K1516" s="8"/>
      <c r="L1516" s="8"/>
      <c r="M1516" s="9">
        <f>+H1516+L1516</f>
        <v>190000</v>
      </c>
      <c r="N1516" s="8"/>
      <c r="O1516" s="9"/>
      <c r="P1516" s="9">
        <f>+N1516+O1516</f>
        <v>0</v>
      </c>
      <c r="Q1516" s="9">
        <f>E1516-P1516</f>
        <v>190000</v>
      </c>
      <c r="R1516" s="17"/>
      <c r="S1516" s="17"/>
      <c r="T1516" s="17"/>
      <c r="U1516" s="9">
        <f>P1516+T1516</f>
        <v>0</v>
      </c>
      <c r="V1516" s="9">
        <f>P1516+H1516</f>
        <v>190000</v>
      </c>
      <c r="W1516" s="9">
        <f>E1516-V1516</f>
        <v>0</v>
      </c>
      <c r="X1516" s="9">
        <f>+H1516+P1516</f>
        <v>190000</v>
      </c>
      <c r="Y1516" s="8"/>
      <c r="Z1516" s="9">
        <f>+E1516-X1516</f>
        <v>0</v>
      </c>
      <c r="AA1516" s="8">
        <f>+M1516+U1516</f>
        <v>190000</v>
      </c>
      <c r="AB1516" s="8">
        <f>+E1516-AA1516</f>
        <v>0</v>
      </c>
    </row>
    <row r="1517" spans="1:28" x14ac:dyDescent="0.3">
      <c r="A1517" s="64"/>
      <c r="B1517" s="8"/>
      <c r="C1517" s="8"/>
      <c r="D1517" s="8"/>
      <c r="E1517" s="17" t="s">
        <v>29</v>
      </c>
      <c r="F1517" s="17" t="s">
        <v>29</v>
      </c>
      <c r="G1517" s="17" t="s">
        <v>29</v>
      </c>
      <c r="H1517" s="17" t="s">
        <v>29</v>
      </c>
      <c r="I1517" s="17" t="s">
        <v>29</v>
      </c>
      <c r="J1517" s="17" t="s">
        <v>29</v>
      </c>
      <c r="K1517" s="17" t="s">
        <v>29</v>
      </c>
      <c r="L1517" s="17" t="s">
        <v>29</v>
      </c>
      <c r="M1517" s="17" t="s">
        <v>29</v>
      </c>
      <c r="N1517" s="17" t="s">
        <v>29</v>
      </c>
      <c r="O1517" s="17" t="s">
        <v>29</v>
      </c>
      <c r="P1517" s="17" t="s">
        <v>29</v>
      </c>
      <c r="Q1517" s="17" t="s">
        <v>29</v>
      </c>
      <c r="R1517" s="17" t="s">
        <v>29</v>
      </c>
      <c r="S1517" s="17" t="s">
        <v>29</v>
      </c>
      <c r="T1517" s="17" t="s">
        <v>29</v>
      </c>
      <c r="U1517" s="17" t="s">
        <v>29</v>
      </c>
      <c r="V1517" s="17" t="s">
        <v>29</v>
      </c>
      <c r="W1517" s="17" t="s">
        <v>29</v>
      </c>
      <c r="X1517" s="17" t="s">
        <v>29</v>
      </c>
      <c r="Y1517" s="17" t="s">
        <v>29</v>
      </c>
      <c r="Z1517" s="17" t="s">
        <v>29</v>
      </c>
      <c r="AA1517" s="17" t="s">
        <v>29</v>
      </c>
      <c r="AB1517" s="17" t="s">
        <v>29</v>
      </c>
    </row>
    <row r="1518" spans="1:28" x14ac:dyDescent="0.3">
      <c r="A1518" s="64"/>
      <c r="B1518" s="8"/>
      <c r="C1518" s="7" t="s">
        <v>751</v>
      </c>
      <c r="D1518" s="8"/>
      <c r="E1518" s="8"/>
      <c r="F1518" s="8"/>
      <c r="G1518" s="8"/>
      <c r="H1518" s="8"/>
      <c r="I1518" s="8"/>
      <c r="J1518" s="8"/>
      <c r="K1518" s="8"/>
      <c r="L1518" s="8"/>
      <c r="M1518" s="8"/>
      <c r="N1518" s="8"/>
      <c r="O1518" s="8"/>
      <c r="P1518" s="8"/>
      <c r="Q1518" s="8"/>
      <c r="R1518" s="17"/>
      <c r="S1518" s="17"/>
      <c r="T1518" s="17"/>
      <c r="U1518" s="17"/>
      <c r="V1518" s="17"/>
      <c r="W1518" s="17"/>
      <c r="X1518" s="17"/>
      <c r="Y1518" s="17"/>
      <c r="Z1518" s="17"/>
    </row>
    <row r="1519" spans="1:28" x14ac:dyDescent="0.3">
      <c r="A1519" s="64"/>
      <c r="B1519" s="8"/>
      <c r="C1519" s="7" t="s">
        <v>745</v>
      </c>
      <c r="D1519" s="15" t="s">
        <v>54</v>
      </c>
      <c r="E1519" s="9">
        <v>190000</v>
      </c>
      <c r="F1519" s="9">
        <v>190000</v>
      </c>
      <c r="G1519" s="8"/>
      <c r="H1519" s="9">
        <f>F1519+G1519</f>
        <v>190000</v>
      </c>
      <c r="I1519" s="8"/>
      <c r="J1519" s="9">
        <f>H1519+I1519</f>
        <v>190000</v>
      </c>
      <c r="K1519" s="8"/>
      <c r="L1519" s="8"/>
      <c r="M1519" s="9">
        <f>+H1519+L1519</f>
        <v>190000</v>
      </c>
      <c r="N1519" s="8"/>
      <c r="O1519" s="9"/>
      <c r="P1519" s="9">
        <f>+N1519+O1519</f>
        <v>0</v>
      </c>
      <c r="Q1519" s="9">
        <f>E1519-P1519</f>
        <v>190000</v>
      </c>
      <c r="R1519" s="17"/>
      <c r="S1519" s="17"/>
      <c r="T1519" s="17"/>
      <c r="U1519" s="9">
        <f>P1519+T1519</f>
        <v>0</v>
      </c>
      <c r="V1519" s="9">
        <f>P1519+H1519</f>
        <v>190000</v>
      </c>
      <c r="W1519" s="9">
        <f>E1519-V1519</f>
        <v>0</v>
      </c>
      <c r="X1519" s="9">
        <f>+H1519+P1519</f>
        <v>190000</v>
      </c>
      <c r="Y1519" s="8"/>
      <c r="Z1519" s="9">
        <f>+E1519-X1519</f>
        <v>0</v>
      </c>
      <c r="AA1519" s="8">
        <f>+M1519+U1519</f>
        <v>190000</v>
      </c>
      <c r="AB1519" s="8">
        <f>+E1519-AA1519</f>
        <v>0</v>
      </c>
    </row>
    <row r="1520" spans="1:28" x14ac:dyDescent="0.3">
      <c r="A1520" s="64"/>
      <c r="B1520" s="8"/>
      <c r="C1520" s="8"/>
      <c r="D1520" s="8"/>
      <c r="E1520" s="17" t="s">
        <v>29</v>
      </c>
      <c r="F1520" s="17" t="s">
        <v>29</v>
      </c>
      <c r="G1520" s="17" t="s">
        <v>29</v>
      </c>
      <c r="H1520" s="17" t="s">
        <v>29</v>
      </c>
      <c r="I1520" s="17" t="s">
        <v>29</v>
      </c>
      <c r="J1520" s="17" t="s">
        <v>29</v>
      </c>
      <c r="K1520" s="17" t="s">
        <v>29</v>
      </c>
      <c r="L1520" s="17" t="s">
        <v>29</v>
      </c>
      <c r="M1520" s="17" t="s">
        <v>29</v>
      </c>
      <c r="N1520" s="17" t="s">
        <v>29</v>
      </c>
      <c r="O1520" s="17" t="s">
        <v>29</v>
      </c>
      <c r="P1520" s="17" t="s">
        <v>29</v>
      </c>
      <c r="Q1520" s="17" t="s">
        <v>29</v>
      </c>
      <c r="R1520" s="17" t="s">
        <v>29</v>
      </c>
      <c r="S1520" s="17" t="s">
        <v>29</v>
      </c>
      <c r="T1520" s="17" t="s">
        <v>29</v>
      </c>
      <c r="U1520" s="17" t="s">
        <v>29</v>
      </c>
      <c r="V1520" s="17" t="s">
        <v>29</v>
      </c>
      <c r="W1520" s="17" t="s">
        <v>29</v>
      </c>
      <c r="X1520" s="17" t="s">
        <v>29</v>
      </c>
      <c r="Y1520" s="17" t="s">
        <v>29</v>
      </c>
      <c r="Z1520" s="17" t="s">
        <v>29</v>
      </c>
      <c r="AA1520" s="17" t="s">
        <v>29</v>
      </c>
      <c r="AB1520" s="17" t="s">
        <v>29</v>
      </c>
    </row>
    <row r="1521" spans="1:28" x14ac:dyDescent="0.3">
      <c r="A1521" s="64"/>
      <c r="B1521" s="8"/>
      <c r="C1521" s="7" t="s">
        <v>752</v>
      </c>
      <c r="D1521" s="8"/>
      <c r="E1521" s="8"/>
      <c r="F1521" s="8"/>
      <c r="G1521" s="8"/>
      <c r="H1521" s="8"/>
      <c r="I1521" s="8"/>
      <c r="J1521" s="8"/>
      <c r="K1521" s="8"/>
      <c r="L1521" s="8"/>
      <c r="M1521" s="8"/>
      <c r="N1521" s="8"/>
      <c r="O1521" s="8"/>
      <c r="P1521" s="8"/>
      <c r="Q1521" s="8"/>
      <c r="R1521" s="17"/>
      <c r="S1521" s="17"/>
      <c r="T1521" s="17"/>
      <c r="U1521" s="17"/>
      <c r="V1521" s="17"/>
      <c r="W1521" s="17"/>
      <c r="X1521" s="17"/>
      <c r="Y1521" s="17"/>
      <c r="Z1521" s="17"/>
    </row>
    <row r="1522" spans="1:28" x14ac:dyDescent="0.3">
      <c r="A1522" s="64"/>
      <c r="B1522" s="8"/>
      <c r="C1522" s="7" t="s">
        <v>745</v>
      </c>
      <c r="D1522" s="15" t="s">
        <v>54</v>
      </c>
      <c r="E1522" s="9">
        <v>137750</v>
      </c>
      <c r="F1522" s="9">
        <v>137750</v>
      </c>
      <c r="G1522" s="8"/>
      <c r="H1522" s="9">
        <f>F1522+G1522</f>
        <v>137750</v>
      </c>
      <c r="I1522" s="8"/>
      <c r="J1522" s="9">
        <f>H1522+I1522</f>
        <v>137750</v>
      </c>
      <c r="K1522" s="8"/>
      <c r="L1522" s="8"/>
      <c r="M1522" s="9">
        <f>+H1522+L1522</f>
        <v>137750</v>
      </c>
      <c r="N1522" s="8"/>
      <c r="O1522" s="9"/>
      <c r="P1522" s="9">
        <f>+N1522+O1522</f>
        <v>0</v>
      </c>
      <c r="Q1522" s="9">
        <f>E1522-P1522</f>
        <v>137750</v>
      </c>
      <c r="R1522" s="17"/>
      <c r="S1522" s="17"/>
      <c r="T1522" s="17"/>
      <c r="U1522" s="9">
        <f>P1522+T1522</f>
        <v>0</v>
      </c>
      <c r="V1522" s="9">
        <f>P1522+H1522</f>
        <v>137750</v>
      </c>
      <c r="W1522" s="9">
        <f>E1522-V1522</f>
        <v>0</v>
      </c>
      <c r="X1522" s="9">
        <f>+H1522+P1522</f>
        <v>137750</v>
      </c>
      <c r="Y1522" s="8"/>
      <c r="Z1522" s="9">
        <f>+E1522-X1522</f>
        <v>0</v>
      </c>
      <c r="AA1522" s="8">
        <f>+M1522+U1522</f>
        <v>137750</v>
      </c>
      <c r="AB1522" s="8">
        <f>+E1522-AA1522</f>
        <v>0</v>
      </c>
    </row>
    <row r="1523" spans="1:28" x14ac:dyDescent="0.3">
      <c r="A1523" s="64"/>
      <c r="B1523" s="8"/>
      <c r="C1523" s="8"/>
      <c r="D1523" s="8"/>
      <c r="E1523" s="17" t="s">
        <v>29</v>
      </c>
      <c r="F1523" s="17" t="s">
        <v>29</v>
      </c>
      <c r="G1523" s="17" t="s">
        <v>29</v>
      </c>
      <c r="H1523" s="17" t="s">
        <v>29</v>
      </c>
      <c r="I1523" s="17" t="s">
        <v>29</v>
      </c>
      <c r="J1523" s="17" t="s">
        <v>29</v>
      </c>
      <c r="K1523" s="17" t="s">
        <v>29</v>
      </c>
      <c r="L1523" s="17" t="s">
        <v>29</v>
      </c>
      <c r="M1523" s="17" t="s">
        <v>29</v>
      </c>
      <c r="N1523" s="17" t="s">
        <v>29</v>
      </c>
      <c r="O1523" s="17" t="s">
        <v>29</v>
      </c>
      <c r="P1523" s="17" t="s">
        <v>29</v>
      </c>
      <c r="Q1523" s="17" t="s">
        <v>29</v>
      </c>
      <c r="R1523" s="17" t="s">
        <v>29</v>
      </c>
      <c r="S1523" s="17" t="s">
        <v>29</v>
      </c>
      <c r="T1523" s="17" t="s">
        <v>29</v>
      </c>
      <c r="U1523" s="17" t="s">
        <v>29</v>
      </c>
      <c r="V1523" s="17" t="s">
        <v>29</v>
      </c>
      <c r="W1523" s="17" t="s">
        <v>29</v>
      </c>
      <c r="X1523" s="17" t="s">
        <v>29</v>
      </c>
      <c r="Y1523" s="17" t="s">
        <v>29</v>
      </c>
      <c r="Z1523" s="17" t="s">
        <v>29</v>
      </c>
      <c r="AA1523" s="17" t="s">
        <v>29</v>
      </c>
      <c r="AB1523" s="17" t="s">
        <v>29</v>
      </c>
    </row>
    <row r="1524" spans="1:28" x14ac:dyDescent="0.3">
      <c r="A1524" s="64"/>
      <c r="B1524" s="8"/>
      <c r="C1524" s="7" t="s">
        <v>753</v>
      </c>
      <c r="D1524" s="8"/>
      <c r="E1524" s="8"/>
      <c r="F1524" s="8"/>
      <c r="G1524" s="8"/>
      <c r="H1524" s="8"/>
      <c r="I1524" s="8"/>
      <c r="J1524" s="8"/>
      <c r="K1524" s="8"/>
      <c r="L1524" s="8"/>
      <c r="M1524" s="8"/>
      <c r="N1524" s="8"/>
      <c r="O1524" s="8"/>
      <c r="P1524" s="8"/>
      <c r="Q1524" s="8"/>
      <c r="R1524" s="17"/>
      <c r="S1524" s="17"/>
      <c r="T1524" s="17"/>
      <c r="U1524" s="17"/>
      <c r="V1524" s="17"/>
      <c r="W1524" s="17"/>
      <c r="X1524" s="17"/>
      <c r="Y1524" s="17"/>
      <c r="Z1524" s="17"/>
    </row>
    <row r="1525" spans="1:28" x14ac:dyDescent="0.3">
      <c r="A1525" s="64"/>
      <c r="B1525" s="8"/>
      <c r="C1525" s="7" t="s">
        <v>745</v>
      </c>
      <c r="D1525" s="15" t="s">
        <v>54</v>
      </c>
      <c r="E1525" s="9">
        <v>190000</v>
      </c>
      <c r="F1525" s="9">
        <v>190000</v>
      </c>
      <c r="G1525" s="8"/>
      <c r="H1525" s="9">
        <f>F1525+G1525</f>
        <v>190000</v>
      </c>
      <c r="I1525" s="8"/>
      <c r="J1525" s="9">
        <f>H1525+I1525</f>
        <v>190000</v>
      </c>
      <c r="K1525" s="8"/>
      <c r="L1525" s="8"/>
      <c r="M1525" s="9">
        <f>+H1525+L1525</f>
        <v>190000</v>
      </c>
      <c r="N1525" s="8"/>
      <c r="O1525" s="9"/>
      <c r="P1525" s="9">
        <f>+N1525+O1525</f>
        <v>0</v>
      </c>
      <c r="Q1525" s="9">
        <f>E1525-P1525</f>
        <v>190000</v>
      </c>
      <c r="R1525" s="17"/>
      <c r="S1525" s="17"/>
      <c r="T1525" s="17"/>
      <c r="U1525" s="9">
        <f>P1525+T1525</f>
        <v>0</v>
      </c>
      <c r="V1525" s="9">
        <f>P1525+H1525</f>
        <v>190000</v>
      </c>
      <c r="W1525" s="9">
        <f>E1525-V1525</f>
        <v>0</v>
      </c>
      <c r="X1525" s="9">
        <f>+H1525+P1525</f>
        <v>190000</v>
      </c>
      <c r="Y1525" s="8"/>
      <c r="Z1525" s="9">
        <f>+E1525-X1525</f>
        <v>0</v>
      </c>
      <c r="AA1525" s="8">
        <f>+M1525+U1525</f>
        <v>190000</v>
      </c>
      <c r="AB1525" s="8">
        <f>+E1525-AA1525</f>
        <v>0</v>
      </c>
    </row>
    <row r="1526" spans="1:28" x14ac:dyDescent="0.3">
      <c r="A1526" s="64"/>
      <c r="B1526" s="8"/>
      <c r="C1526" s="8"/>
      <c r="D1526" s="8"/>
      <c r="E1526" s="17" t="s">
        <v>29</v>
      </c>
      <c r="F1526" s="17" t="s">
        <v>29</v>
      </c>
      <c r="G1526" s="17" t="s">
        <v>29</v>
      </c>
      <c r="H1526" s="17" t="s">
        <v>29</v>
      </c>
      <c r="I1526" s="17" t="s">
        <v>29</v>
      </c>
      <c r="J1526" s="17" t="s">
        <v>29</v>
      </c>
      <c r="K1526" s="17" t="s">
        <v>29</v>
      </c>
      <c r="L1526" s="17" t="s">
        <v>29</v>
      </c>
      <c r="M1526" s="17" t="s">
        <v>29</v>
      </c>
      <c r="N1526" s="17" t="s">
        <v>29</v>
      </c>
      <c r="O1526" s="17" t="s">
        <v>29</v>
      </c>
      <c r="P1526" s="17" t="s">
        <v>29</v>
      </c>
      <c r="Q1526" s="17" t="s">
        <v>29</v>
      </c>
      <c r="R1526" s="17" t="s">
        <v>29</v>
      </c>
      <c r="S1526" s="17" t="s">
        <v>29</v>
      </c>
      <c r="T1526" s="17" t="s">
        <v>29</v>
      </c>
      <c r="U1526" s="17" t="s">
        <v>29</v>
      </c>
      <c r="V1526" s="17" t="s">
        <v>29</v>
      </c>
      <c r="W1526" s="17" t="s">
        <v>29</v>
      </c>
      <c r="X1526" s="17" t="s">
        <v>29</v>
      </c>
      <c r="Y1526" s="17" t="s">
        <v>29</v>
      </c>
      <c r="Z1526" s="17" t="s">
        <v>29</v>
      </c>
      <c r="AA1526" s="17" t="s">
        <v>29</v>
      </c>
      <c r="AB1526" s="17" t="s">
        <v>29</v>
      </c>
    </row>
    <row r="1527" spans="1:28" x14ac:dyDescent="0.3">
      <c r="A1527" s="64"/>
      <c r="B1527" s="8"/>
      <c r="C1527" s="7" t="s">
        <v>754</v>
      </c>
      <c r="D1527" s="8"/>
      <c r="E1527" s="8"/>
      <c r="F1527" s="8"/>
      <c r="G1527" s="8"/>
      <c r="H1527" s="8"/>
      <c r="I1527" s="8"/>
      <c r="J1527" s="8"/>
      <c r="K1527" s="8"/>
      <c r="L1527" s="8"/>
      <c r="M1527" s="8"/>
      <c r="N1527" s="8"/>
      <c r="O1527" s="8"/>
      <c r="P1527" s="8"/>
      <c r="Q1527" s="8"/>
      <c r="R1527" s="17"/>
      <c r="S1527" s="17"/>
      <c r="T1527" s="17"/>
      <c r="U1527" s="17"/>
      <c r="V1527" s="17"/>
      <c r="W1527" s="17"/>
      <c r="X1527" s="17"/>
      <c r="Y1527" s="17"/>
      <c r="Z1527" s="17"/>
    </row>
    <row r="1528" spans="1:28" x14ac:dyDescent="0.3">
      <c r="A1528" s="64"/>
      <c r="B1528" s="8"/>
      <c r="C1528" s="7" t="s">
        <v>745</v>
      </c>
      <c r="D1528" s="15" t="s">
        <v>54</v>
      </c>
      <c r="E1528" s="9">
        <v>95000</v>
      </c>
      <c r="F1528" s="9">
        <v>95000</v>
      </c>
      <c r="G1528" s="8"/>
      <c r="H1528" s="9">
        <f>F1528+G1528</f>
        <v>95000</v>
      </c>
      <c r="I1528" s="8"/>
      <c r="J1528" s="9">
        <f>H1528+I1528</f>
        <v>95000</v>
      </c>
      <c r="K1528" s="8"/>
      <c r="L1528" s="8"/>
      <c r="M1528" s="9">
        <f>+H1528+L1528</f>
        <v>95000</v>
      </c>
      <c r="N1528" s="8"/>
      <c r="O1528" s="9"/>
      <c r="P1528" s="9">
        <f>+N1528+O1528</f>
        <v>0</v>
      </c>
      <c r="Q1528" s="9">
        <f>E1528-P1528</f>
        <v>95000</v>
      </c>
      <c r="R1528" s="17"/>
      <c r="S1528" s="17"/>
      <c r="T1528" s="17"/>
      <c r="U1528" s="9">
        <f>P1528+T1528</f>
        <v>0</v>
      </c>
      <c r="V1528" s="9">
        <f>P1528+H1528</f>
        <v>95000</v>
      </c>
      <c r="W1528" s="9">
        <f>E1528-V1528</f>
        <v>0</v>
      </c>
      <c r="X1528" s="9">
        <f>+H1528+P1528</f>
        <v>95000</v>
      </c>
      <c r="Y1528" s="8"/>
      <c r="Z1528" s="9">
        <f>+E1528-X1528</f>
        <v>0</v>
      </c>
      <c r="AA1528" s="8">
        <f>+M1528+U1528</f>
        <v>95000</v>
      </c>
      <c r="AB1528" s="8">
        <f>+E1528-AA1528</f>
        <v>0</v>
      </c>
    </row>
    <row r="1529" spans="1:28" x14ac:dyDescent="0.3">
      <c r="A1529" s="64"/>
      <c r="B1529" s="8"/>
      <c r="C1529" s="8"/>
      <c r="D1529" s="8"/>
      <c r="E1529" s="17" t="s">
        <v>29</v>
      </c>
      <c r="F1529" s="17" t="s">
        <v>29</v>
      </c>
      <c r="G1529" s="17" t="s">
        <v>29</v>
      </c>
      <c r="H1529" s="17" t="s">
        <v>29</v>
      </c>
      <c r="I1529" s="17" t="s">
        <v>29</v>
      </c>
      <c r="J1529" s="17" t="s">
        <v>29</v>
      </c>
      <c r="K1529" s="17" t="s">
        <v>29</v>
      </c>
      <c r="L1529" s="17" t="s">
        <v>29</v>
      </c>
      <c r="M1529" s="17" t="s">
        <v>29</v>
      </c>
      <c r="N1529" s="17" t="s">
        <v>29</v>
      </c>
      <c r="O1529" s="17" t="s">
        <v>29</v>
      </c>
      <c r="P1529" s="17" t="s">
        <v>29</v>
      </c>
      <c r="Q1529" s="17" t="s">
        <v>29</v>
      </c>
      <c r="R1529" s="17" t="s">
        <v>29</v>
      </c>
      <c r="S1529" s="17" t="s">
        <v>29</v>
      </c>
      <c r="T1529" s="17" t="s">
        <v>29</v>
      </c>
      <c r="U1529" s="17" t="s">
        <v>29</v>
      </c>
      <c r="V1529" s="17" t="s">
        <v>29</v>
      </c>
      <c r="W1529" s="17" t="s">
        <v>29</v>
      </c>
      <c r="X1529" s="17" t="s">
        <v>29</v>
      </c>
      <c r="Y1529" s="17" t="s">
        <v>29</v>
      </c>
      <c r="Z1529" s="17" t="s">
        <v>29</v>
      </c>
      <c r="AA1529" s="17" t="s">
        <v>29</v>
      </c>
      <c r="AB1529" s="17" t="s">
        <v>29</v>
      </c>
    </row>
    <row r="1530" spans="1:28" x14ac:dyDescent="0.3">
      <c r="A1530" s="64"/>
      <c r="B1530" s="8"/>
      <c r="C1530" s="7" t="s">
        <v>755</v>
      </c>
      <c r="D1530" s="8"/>
      <c r="E1530" s="8"/>
      <c r="F1530" s="8"/>
      <c r="G1530" s="8"/>
      <c r="H1530" s="8"/>
      <c r="I1530" s="8"/>
      <c r="J1530" s="8"/>
      <c r="K1530" s="8"/>
      <c r="L1530" s="8"/>
      <c r="M1530" s="8"/>
      <c r="N1530" s="8"/>
      <c r="O1530" s="8"/>
      <c r="P1530" s="8"/>
      <c r="Q1530" s="8"/>
      <c r="R1530" s="17"/>
      <c r="S1530" s="17"/>
      <c r="T1530" s="17"/>
      <c r="U1530" s="17"/>
      <c r="V1530" s="17"/>
      <c r="W1530" s="17"/>
      <c r="X1530" s="17"/>
      <c r="Y1530" s="17"/>
      <c r="Z1530" s="17"/>
    </row>
    <row r="1531" spans="1:28" x14ac:dyDescent="0.3">
      <c r="A1531" s="64"/>
      <c r="B1531" s="8"/>
      <c r="C1531" s="7" t="s">
        <v>745</v>
      </c>
      <c r="D1531" s="15" t="s">
        <v>54</v>
      </c>
      <c r="E1531" s="9">
        <v>190000</v>
      </c>
      <c r="F1531" s="9">
        <v>190000</v>
      </c>
      <c r="G1531" s="8"/>
      <c r="H1531" s="9">
        <f>F1531+G1531</f>
        <v>190000</v>
      </c>
      <c r="I1531" s="8"/>
      <c r="J1531" s="9">
        <f>H1531+I1531</f>
        <v>190000</v>
      </c>
      <c r="K1531" s="8"/>
      <c r="L1531" s="8"/>
      <c r="M1531" s="9">
        <f>+H1531+L1531</f>
        <v>190000</v>
      </c>
      <c r="N1531" s="8"/>
      <c r="O1531" s="9"/>
      <c r="P1531" s="9">
        <f>+N1531+O1531</f>
        <v>0</v>
      </c>
      <c r="Q1531" s="9">
        <f>E1531-P1531</f>
        <v>190000</v>
      </c>
      <c r="R1531" s="17"/>
      <c r="S1531" s="17"/>
      <c r="T1531" s="17"/>
      <c r="U1531" s="9">
        <f>P1531+T1531</f>
        <v>0</v>
      </c>
      <c r="V1531" s="9">
        <f>P1531+H1531</f>
        <v>190000</v>
      </c>
      <c r="W1531" s="9">
        <f>E1531-V1531</f>
        <v>0</v>
      </c>
      <c r="X1531" s="9">
        <f>+H1531+P1531</f>
        <v>190000</v>
      </c>
      <c r="Y1531" s="8"/>
      <c r="Z1531" s="9">
        <f>+E1531-X1531</f>
        <v>0</v>
      </c>
      <c r="AA1531" s="8">
        <f>+M1531+U1531</f>
        <v>190000</v>
      </c>
      <c r="AB1531" s="8">
        <f>+E1531-AA1531</f>
        <v>0</v>
      </c>
    </row>
    <row r="1532" spans="1:28" x14ac:dyDescent="0.3">
      <c r="A1532" s="64"/>
      <c r="B1532" s="8"/>
      <c r="C1532" s="8"/>
      <c r="D1532" s="8"/>
      <c r="E1532" s="17" t="s">
        <v>29</v>
      </c>
      <c r="F1532" s="17" t="s">
        <v>29</v>
      </c>
      <c r="G1532" s="17" t="s">
        <v>29</v>
      </c>
      <c r="H1532" s="17" t="s">
        <v>29</v>
      </c>
      <c r="I1532" s="17" t="s">
        <v>29</v>
      </c>
      <c r="J1532" s="17" t="s">
        <v>29</v>
      </c>
      <c r="K1532" s="17" t="s">
        <v>29</v>
      </c>
      <c r="L1532" s="17" t="s">
        <v>29</v>
      </c>
      <c r="M1532" s="17" t="s">
        <v>29</v>
      </c>
      <c r="N1532" s="17" t="s">
        <v>29</v>
      </c>
      <c r="O1532" s="17" t="s">
        <v>29</v>
      </c>
      <c r="P1532" s="17" t="s">
        <v>29</v>
      </c>
      <c r="Q1532" s="17" t="s">
        <v>29</v>
      </c>
      <c r="R1532" s="17" t="s">
        <v>29</v>
      </c>
      <c r="S1532" s="17" t="s">
        <v>29</v>
      </c>
      <c r="T1532" s="17" t="s">
        <v>29</v>
      </c>
      <c r="U1532" s="17" t="s">
        <v>29</v>
      </c>
      <c r="V1532" s="17" t="s">
        <v>29</v>
      </c>
      <c r="W1532" s="17" t="s">
        <v>29</v>
      </c>
      <c r="X1532" s="17" t="s">
        <v>29</v>
      </c>
      <c r="Y1532" s="17" t="s">
        <v>29</v>
      </c>
      <c r="Z1532" s="17" t="s">
        <v>29</v>
      </c>
      <c r="AA1532" s="17" t="s">
        <v>29</v>
      </c>
      <c r="AB1532" s="17" t="s">
        <v>29</v>
      </c>
    </row>
    <row r="1533" spans="1:28" x14ac:dyDescent="0.3">
      <c r="A1533" s="64"/>
      <c r="B1533" s="8"/>
      <c r="C1533" s="7" t="s">
        <v>756</v>
      </c>
      <c r="D1533" s="8"/>
      <c r="E1533" s="8"/>
      <c r="F1533" s="8"/>
      <c r="G1533" s="8"/>
      <c r="H1533" s="8"/>
      <c r="I1533" s="8"/>
      <c r="J1533" s="8"/>
      <c r="K1533" s="8"/>
      <c r="L1533" s="8"/>
      <c r="M1533" s="8"/>
      <c r="N1533" s="8"/>
      <c r="O1533" s="8"/>
      <c r="P1533" s="8"/>
      <c r="Q1533" s="8"/>
      <c r="R1533" s="17"/>
      <c r="S1533" s="17"/>
      <c r="T1533" s="17"/>
      <c r="U1533" s="17"/>
      <c r="V1533" s="17"/>
      <c r="W1533" s="17"/>
      <c r="X1533" s="17"/>
      <c r="Y1533" s="17"/>
      <c r="Z1533" s="17"/>
    </row>
    <row r="1534" spans="1:28" x14ac:dyDescent="0.3">
      <c r="A1534" s="64"/>
      <c r="B1534" s="8"/>
      <c r="C1534" s="7" t="s">
        <v>745</v>
      </c>
      <c r="D1534" s="15" t="s">
        <v>54</v>
      </c>
      <c r="E1534" s="9">
        <v>95000</v>
      </c>
      <c r="F1534" s="9">
        <v>95000</v>
      </c>
      <c r="G1534" s="8"/>
      <c r="H1534" s="9">
        <f>F1534+G1534</f>
        <v>95000</v>
      </c>
      <c r="I1534" s="8"/>
      <c r="J1534" s="9">
        <f>H1534+I1534</f>
        <v>95000</v>
      </c>
      <c r="K1534" s="8"/>
      <c r="L1534" s="8"/>
      <c r="M1534" s="9">
        <f>+H1534+L1534</f>
        <v>95000</v>
      </c>
      <c r="N1534" s="8"/>
      <c r="O1534" s="9"/>
      <c r="P1534" s="9">
        <f>+N1534+O1534</f>
        <v>0</v>
      </c>
      <c r="Q1534" s="9">
        <f>E1534-P1534</f>
        <v>95000</v>
      </c>
      <c r="R1534" s="17"/>
      <c r="S1534" s="17"/>
      <c r="T1534" s="17"/>
      <c r="U1534" s="9">
        <f>P1534+T1534</f>
        <v>0</v>
      </c>
      <c r="V1534" s="9">
        <f>P1534+H1534</f>
        <v>95000</v>
      </c>
      <c r="W1534" s="9">
        <f>E1534-V1534</f>
        <v>0</v>
      </c>
      <c r="X1534" s="9">
        <f>+H1534+P1534</f>
        <v>95000</v>
      </c>
      <c r="Y1534" s="8"/>
      <c r="Z1534" s="9">
        <f>+E1534-X1534</f>
        <v>0</v>
      </c>
      <c r="AA1534" s="8">
        <f>+M1534+U1534</f>
        <v>95000</v>
      </c>
      <c r="AB1534" s="8">
        <f>+E1534-AA1534</f>
        <v>0</v>
      </c>
    </row>
    <row r="1535" spans="1:28" x14ac:dyDescent="0.3">
      <c r="A1535" s="64"/>
      <c r="B1535" s="8"/>
      <c r="C1535" s="8"/>
      <c r="D1535" s="8"/>
      <c r="E1535" s="17" t="s">
        <v>29</v>
      </c>
      <c r="F1535" s="17" t="s">
        <v>29</v>
      </c>
      <c r="G1535" s="17" t="s">
        <v>29</v>
      </c>
      <c r="H1535" s="17" t="s">
        <v>29</v>
      </c>
      <c r="I1535" s="17" t="s">
        <v>29</v>
      </c>
      <c r="J1535" s="17" t="s">
        <v>29</v>
      </c>
      <c r="K1535" s="17" t="s">
        <v>29</v>
      </c>
      <c r="L1535" s="17" t="s">
        <v>29</v>
      </c>
      <c r="M1535" s="17" t="s">
        <v>29</v>
      </c>
      <c r="N1535" s="17" t="s">
        <v>29</v>
      </c>
      <c r="O1535" s="17" t="s">
        <v>29</v>
      </c>
      <c r="P1535" s="17" t="s">
        <v>29</v>
      </c>
      <c r="Q1535" s="17" t="s">
        <v>29</v>
      </c>
      <c r="R1535" s="17" t="s">
        <v>29</v>
      </c>
      <c r="S1535" s="17" t="s">
        <v>29</v>
      </c>
      <c r="T1535" s="17" t="s">
        <v>29</v>
      </c>
      <c r="U1535" s="17" t="s">
        <v>29</v>
      </c>
      <c r="V1535" s="17" t="s">
        <v>29</v>
      </c>
      <c r="W1535" s="17" t="s">
        <v>29</v>
      </c>
      <c r="X1535" s="17" t="s">
        <v>29</v>
      </c>
      <c r="Y1535" s="17" t="s">
        <v>29</v>
      </c>
      <c r="Z1535" s="17" t="s">
        <v>29</v>
      </c>
      <c r="AA1535" s="17" t="s">
        <v>29</v>
      </c>
      <c r="AB1535" s="17" t="s">
        <v>29</v>
      </c>
    </row>
    <row r="1536" spans="1:28" x14ac:dyDescent="0.3">
      <c r="A1536" s="64"/>
      <c r="B1536" s="8"/>
      <c r="C1536" s="7" t="s">
        <v>757</v>
      </c>
      <c r="D1536" s="8"/>
      <c r="E1536" s="8"/>
      <c r="F1536" s="8"/>
      <c r="G1536" s="8"/>
      <c r="H1536" s="8"/>
      <c r="I1536" s="8"/>
      <c r="J1536" s="8"/>
      <c r="K1536" s="8"/>
      <c r="L1536" s="8"/>
      <c r="M1536" s="8"/>
      <c r="N1536" s="8"/>
      <c r="O1536" s="8"/>
      <c r="P1536" s="8"/>
      <c r="Q1536" s="8"/>
      <c r="R1536" s="17"/>
      <c r="S1536" s="17"/>
      <c r="T1536" s="17"/>
      <c r="U1536" s="17"/>
      <c r="V1536" s="17"/>
      <c r="W1536" s="17"/>
      <c r="X1536" s="17"/>
      <c r="Y1536" s="17"/>
      <c r="Z1536" s="17"/>
    </row>
    <row r="1537" spans="1:28" x14ac:dyDescent="0.3">
      <c r="A1537" s="64"/>
      <c r="B1537" s="8"/>
      <c r="C1537" s="7" t="s">
        <v>745</v>
      </c>
      <c r="D1537" s="15" t="s">
        <v>54</v>
      </c>
      <c r="E1537" s="9">
        <v>475000</v>
      </c>
      <c r="F1537" s="9">
        <f>421896+53104</f>
        <v>475000</v>
      </c>
      <c r="G1537" s="8"/>
      <c r="H1537" s="9">
        <f>F1537+G1537</f>
        <v>475000</v>
      </c>
      <c r="I1537" s="8"/>
      <c r="J1537" s="9">
        <f>H1537+I1537</f>
        <v>475000</v>
      </c>
      <c r="K1537" s="8"/>
      <c r="L1537" s="8"/>
      <c r="M1537" s="9">
        <f>+H1537+L1537</f>
        <v>475000</v>
      </c>
      <c r="N1537" s="8"/>
      <c r="O1537" s="9"/>
      <c r="P1537" s="9">
        <f>+N1537+O1537</f>
        <v>0</v>
      </c>
      <c r="Q1537" s="9">
        <f>E1537-P1537</f>
        <v>475000</v>
      </c>
      <c r="R1537" s="17"/>
      <c r="S1537" s="17"/>
      <c r="T1537" s="17"/>
      <c r="U1537" s="9">
        <f>P1537+T1537</f>
        <v>0</v>
      </c>
      <c r="V1537" s="9">
        <f>P1537+H1537</f>
        <v>475000</v>
      </c>
      <c r="W1537" s="9">
        <f>E1537-V1537</f>
        <v>0</v>
      </c>
      <c r="X1537" s="9">
        <f>+H1537+P1537</f>
        <v>475000</v>
      </c>
      <c r="Y1537" s="8"/>
      <c r="Z1537" s="9">
        <f>+E1537-X1537</f>
        <v>0</v>
      </c>
      <c r="AA1537" s="8">
        <f>+M1537+U1537</f>
        <v>475000</v>
      </c>
      <c r="AB1537" s="8">
        <f>+E1537-AA1537</f>
        <v>0</v>
      </c>
    </row>
    <row r="1538" spans="1:28" x14ac:dyDescent="0.3">
      <c r="A1538" s="64"/>
      <c r="B1538" s="8"/>
      <c r="C1538" s="8"/>
      <c r="D1538" s="8"/>
      <c r="E1538" s="17" t="s">
        <v>29</v>
      </c>
      <c r="F1538" s="17" t="s">
        <v>29</v>
      </c>
      <c r="G1538" s="17" t="s">
        <v>29</v>
      </c>
      <c r="H1538" s="17" t="s">
        <v>29</v>
      </c>
      <c r="I1538" s="17" t="s">
        <v>29</v>
      </c>
      <c r="J1538" s="17" t="s">
        <v>29</v>
      </c>
      <c r="K1538" s="17" t="s">
        <v>29</v>
      </c>
      <c r="L1538" s="17" t="s">
        <v>29</v>
      </c>
      <c r="M1538" s="17" t="s">
        <v>29</v>
      </c>
      <c r="N1538" s="17" t="s">
        <v>29</v>
      </c>
      <c r="O1538" s="17" t="s">
        <v>29</v>
      </c>
      <c r="P1538" s="17" t="s">
        <v>29</v>
      </c>
      <c r="Q1538" s="17" t="s">
        <v>29</v>
      </c>
      <c r="R1538" s="17" t="s">
        <v>29</v>
      </c>
      <c r="S1538" s="17" t="s">
        <v>29</v>
      </c>
      <c r="T1538" s="17" t="s">
        <v>29</v>
      </c>
      <c r="U1538" s="17" t="s">
        <v>29</v>
      </c>
      <c r="V1538" s="17" t="s">
        <v>29</v>
      </c>
      <c r="W1538" s="17" t="s">
        <v>29</v>
      </c>
      <c r="X1538" s="17" t="s">
        <v>29</v>
      </c>
      <c r="Y1538" s="17" t="s">
        <v>29</v>
      </c>
      <c r="Z1538" s="17" t="s">
        <v>29</v>
      </c>
      <c r="AA1538" s="17" t="s">
        <v>29</v>
      </c>
      <c r="AB1538" s="17" t="s">
        <v>29</v>
      </c>
    </row>
    <row r="1539" spans="1:28" x14ac:dyDescent="0.3">
      <c r="A1539" s="64"/>
      <c r="B1539" s="8"/>
      <c r="C1539" s="7" t="s">
        <v>758</v>
      </c>
      <c r="D1539" s="8"/>
      <c r="E1539" s="8"/>
      <c r="F1539" s="8"/>
      <c r="G1539" s="8"/>
      <c r="H1539" s="8"/>
      <c r="I1539" s="8"/>
      <c r="J1539" s="8"/>
      <c r="K1539" s="8"/>
      <c r="L1539" s="8"/>
      <c r="M1539" s="8"/>
      <c r="N1539" s="8"/>
      <c r="O1539" s="8"/>
      <c r="P1539" s="8"/>
      <c r="Q1539" s="8"/>
      <c r="R1539" s="17"/>
      <c r="S1539" s="17"/>
      <c r="T1539" s="17"/>
      <c r="U1539" s="17"/>
      <c r="V1539" s="17"/>
      <c r="W1539" s="17"/>
      <c r="X1539" s="17"/>
      <c r="Y1539" s="17"/>
      <c r="Z1539" s="17"/>
    </row>
    <row r="1540" spans="1:28" x14ac:dyDescent="0.3">
      <c r="A1540" s="64"/>
      <c r="B1540" s="8"/>
      <c r="C1540" s="7" t="s">
        <v>745</v>
      </c>
      <c r="D1540" s="15" t="s">
        <v>54</v>
      </c>
      <c r="E1540" s="9">
        <v>285000</v>
      </c>
      <c r="F1540" s="9">
        <v>285000</v>
      </c>
      <c r="G1540" s="8"/>
      <c r="H1540" s="9">
        <f>F1540+G1540</f>
        <v>285000</v>
      </c>
      <c r="I1540" s="8"/>
      <c r="J1540" s="9">
        <f>H1540+I1540</f>
        <v>285000</v>
      </c>
      <c r="K1540" s="8"/>
      <c r="L1540" s="8"/>
      <c r="M1540" s="9">
        <f>+H1540+L1540</f>
        <v>285000</v>
      </c>
      <c r="N1540" s="8"/>
      <c r="O1540" s="9"/>
      <c r="P1540" s="9">
        <f>+N1540+O1540</f>
        <v>0</v>
      </c>
      <c r="Q1540" s="9">
        <f>E1540-P1540</f>
        <v>285000</v>
      </c>
      <c r="R1540" s="17"/>
      <c r="S1540" s="17"/>
      <c r="T1540" s="17"/>
      <c r="U1540" s="9">
        <f>P1540+T1540</f>
        <v>0</v>
      </c>
      <c r="V1540" s="9">
        <f>P1540+H1540</f>
        <v>285000</v>
      </c>
      <c r="W1540" s="9">
        <f>E1540-V1540</f>
        <v>0</v>
      </c>
      <c r="X1540" s="9">
        <f>+H1540+P1540</f>
        <v>285000</v>
      </c>
      <c r="Y1540" s="8"/>
      <c r="Z1540" s="9">
        <f>+E1540-X1540</f>
        <v>0</v>
      </c>
      <c r="AA1540" s="8">
        <f>+M1540+U1540</f>
        <v>285000</v>
      </c>
      <c r="AB1540" s="8">
        <f>+E1540-AA1540</f>
        <v>0</v>
      </c>
    </row>
    <row r="1541" spans="1:28" x14ac:dyDescent="0.3">
      <c r="A1541" s="64"/>
      <c r="B1541" s="8"/>
      <c r="C1541" s="8"/>
      <c r="D1541" s="8"/>
      <c r="E1541" s="17" t="s">
        <v>29</v>
      </c>
      <c r="F1541" s="17" t="s">
        <v>29</v>
      </c>
      <c r="G1541" s="17" t="s">
        <v>29</v>
      </c>
      <c r="H1541" s="17" t="s">
        <v>29</v>
      </c>
      <c r="I1541" s="17" t="s">
        <v>29</v>
      </c>
      <c r="J1541" s="17" t="s">
        <v>29</v>
      </c>
      <c r="K1541" s="17" t="s">
        <v>29</v>
      </c>
      <c r="L1541" s="17" t="s">
        <v>29</v>
      </c>
      <c r="M1541" s="17" t="s">
        <v>29</v>
      </c>
      <c r="N1541" s="17" t="s">
        <v>29</v>
      </c>
      <c r="O1541" s="17" t="s">
        <v>29</v>
      </c>
      <c r="P1541" s="17" t="s">
        <v>29</v>
      </c>
      <c r="Q1541" s="17" t="s">
        <v>29</v>
      </c>
      <c r="R1541" s="17" t="s">
        <v>29</v>
      </c>
      <c r="S1541" s="17" t="s">
        <v>29</v>
      </c>
      <c r="T1541" s="17" t="s">
        <v>29</v>
      </c>
      <c r="U1541" s="17" t="s">
        <v>29</v>
      </c>
      <c r="V1541" s="17" t="s">
        <v>29</v>
      </c>
      <c r="W1541" s="17" t="s">
        <v>29</v>
      </c>
      <c r="X1541" s="17" t="s">
        <v>29</v>
      </c>
      <c r="Y1541" s="17" t="s">
        <v>29</v>
      </c>
      <c r="Z1541" s="17" t="s">
        <v>29</v>
      </c>
      <c r="AA1541" s="17" t="s">
        <v>29</v>
      </c>
      <c r="AB1541" s="17" t="s">
        <v>29</v>
      </c>
    </row>
    <row r="1542" spans="1:28" x14ac:dyDescent="0.3">
      <c r="A1542" s="64"/>
      <c r="B1542" s="8"/>
      <c r="C1542" s="8"/>
      <c r="D1542" s="8"/>
      <c r="E1542" s="9">
        <f t="shared" ref="E1542:AB1542" si="796">SUM(E1501:E1540)</f>
        <v>3225250</v>
      </c>
      <c r="F1542" s="9">
        <f t="shared" si="796"/>
        <v>3225250</v>
      </c>
      <c r="G1542" s="9"/>
      <c r="H1542" s="9">
        <f t="shared" si="796"/>
        <v>3225250</v>
      </c>
      <c r="I1542" s="9">
        <f t="shared" si="796"/>
        <v>0</v>
      </c>
      <c r="J1542" s="9">
        <f t="shared" si="796"/>
        <v>3225250</v>
      </c>
      <c r="K1542" s="9">
        <f t="shared" si="796"/>
        <v>0</v>
      </c>
      <c r="L1542" s="9">
        <f t="shared" si="796"/>
        <v>0</v>
      </c>
      <c r="M1542" s="9">
        <f t="shared" si="796"/>
        <v>3225250</v>
      </c>
      <c r="N1542" s="9">
        <f t="shared" si="796"/>
        <v>0</v>
      </c>
      <c r="O1542" s="9">
        <f t="shared" si="796"/>
        <v>0</v>
      </c>
      <c r="P1542" s="9">
        <f t="shared" si="796"/>
        <v>0</v>
      </c>
      <c r="Q1542" s="9">
        <f t="shared" si="796"/>
        <v>3225250</v>
      </c>
      <c r="R1542" s="9">
        <f t="shared" si="796"/>
        <v>0</v>
      </c>
      <c r="S1542" s="9">
        <f t="shared" si="796"/>
        <v>0</v>
      </c>
      <c r="T1542" s="9">
        <f t="shared" si="796"/>
        <v>0</v>
      </c>
      <c r="U1542" s="9">
        <f t="shared" si="796"/>
        <v>0</v>
      </c>
      <c r="V1542" s="9">
        <f t="shared" si="796"/>
        <v>3225250</v>
      </c>
      <c r="W1542" s="9">
        <f t="shared" si="796"/>
        <v>0</v>
      </c>
      <c r="X1542" s="9">
        <f t="shared" si="796"/>
        <v>3225250</v>
      </c>
      <c r="Y1542" s="9">
        <f t="shared" si="796"/>
        <v>0</v>
      </c>
      <c r="Z1542" s="9">
        <f t="shared" si="796"/>
        <v>0</v>
      </c>
      <c r="AA1542" s="9">
        <f t="shared" si="796"/>
        <v>3225250</v>
      </c>
      <c r="AB1542" s="9">
        <f t="shared" si="796"/>
        <v>0</v>
      </c>
    </row>
    <row r="1543" spans="1:28" x14ac:dyDescent="0.3">
      <c r="A1543" s="64"/>
      <c r="B1543" s="8"/>
      <c r="C1543" s="8"/>
      <c r="D1543" s="8"/>
      <c r="E1543" s="17" t="s">
        <v>29</v>
      </c>
      <c r="F1543" s="17" t="s">
        <v>29</v>
      </c>
      <c r="G1543" s="17" t="s">
        <v>29</v>
      </c>
      <c r="H1543" s="17" t="s">
        <v>29</v>
      </c>
      <c r="I1543" s="17" t="s">
        <v>29</v>
      </c>
      <c r="J1543" s="17" t="s">
        <v>29</v>
      </c>
      <c r="K1543" s="17" t="s">
        <v>29</v>
      </c>
      <c r="L1543" s="17" t="s">
        <v>29</v>
      </c>
      <c r="M1543" s="17" t="s">
        <v>29</v>
      </c>
      <c r="N1543" s="17" t="s">
        <v>29</v>
      </c>
      <c r="O1543" s="17" t="s">
        <v>29</v>
      </c>
      <c r="P1543" s="17" t="s">
        <v>29</v>
      </c>
      <c r="Q1543" s="17" t="s">
        <v>29</v>
      </c>
      <c r="R1543" s="17" t="s">
        <v>29</v>
      </c>
      <c r="S1543" s="17" t="s">
        <v>29</v>
      </c>
      <c r="T1543" s="17" t="s">
        <v>29</v>
      </c>
      <c r="U1543" s="17" t="s">
        <v>29</v>
      </c>
      <c r="V1543" s="17" t="s">
        <v>29</v>
      </c>
      <c r="W1543" s="17" t="s">
        <v>29</v>
      </c>
      <c r="X1543" s="17" t="s">
        <v>29</v>
      </c>
      <c r="Y1543" s="17" t="s">
        <v>29</v>
      </c>
      <c r="Z1543" s="17" t="s">
        <v>29</v>
      </c>
      <c r="AA1543" s="17" t="s">
        <v>29</v>
      </c>
      <c r="AB1543" s="17" t="s">
        <v>29</v>
      </c>
    </row>
    <row r="1544" spans="1:28" x14ac:dyDescent="0.3">
      <c r="A1544" s="64"/>
      <c r="B1544" s="7" t="s">
        <v>759</v>
      </c>
      <c r="C1544" s="8"/>
      <c r="D1544" s="8"/>
      <c r="E1544" s="9">
        <f t="shared" ref="E1544:AB1544" si="797">E1215+E1245+E1282+E1310+E1340+E1376+E1403+E1434+E1472+E1498+E1542</f>
        <v>590331687.27999985</v>
      </c>
      <c r="F1544" s="9">
        <f t="shared" si="797"/>
        <v>518412215.36999995</v>
      </c>
      <c r="G1544" s="9">
        <f t="shared" si="797"/>
        <v>7590948.6899999995</v>
      </c>
      <c r="H1544" s="9">
        <f t="shared" si="797"/>
        <v>526003164.05999988</v>
      </c>
      <c r="I1544" s="9">
        <f t="shared" si="797"/>
        <v>3349743.2199999997</v>
      </c>
      <c r="J1544" s="9">
        <f t="shared" si="797"/>
        <v>462670382.13</v>
      </c>
      <c r="K1544" s="9">
        <f t="shared" si="797"/>
        <v>58979810.390000001</v>
      </c>
      <c r="L1544" s="9">
        <f t="shared" si="797"/>
        <v>3349743.2199999997</v>
      </c>
      <c r="M1544" s="9">
        <f t="shared" si="797"/>
        <v>529352907.27999991</v>
      </c>
      <c r="N1544" s="9">
        <f t="shared" si="797"/>
        <v>59583381.11999999</v>
      </c>
      <c r="O1544" s="9">
        <f t="shared" si="797"/>
        <v>0</v>
      </c>
      <c r="P1544" s="9">
        <f t="shared" si="797"/>
        <v>59583381.11999999</v>
      </c>
      <c r="Q1544" s="9">
        <f t="shared" si="797"/>
        <v>445162424.17999995</v>
      </c>
      <c r="R1544" s="9">
        <f t="shared" si="797"/>
        <v>0</v>
      </c>
      <c r="S1544" s="9">
        <f t="shared" si="797"/>
        <v>0</v>
      </c>
      <c r="T1544" s="9">
        <f t="shared" si="797"/>
        <v>693645.41999999993</v>
      </c>
      <c r="U1544" s="9">
        <f t="shared" si="797"/>
        <v>60277026.540000007</v>
      </c>
      <c r="V1544" s="9">
        <f t="shared" si="797"/>
        <v>551059070.69000006</v>
      </c>
      <c r="W1544" s="9">
        <f t="shared" si="797"/>
        <v>4745142.1000000006</v>
      </c>
      <c r="X1544" s="9">
        <f t="shared" si="797"/>
        <v>585586545.18000007</v>
      </c>
      <c r="Y1544" s="9">
        <f t="shared" si="797"/>
        <v>0</v>
      </c>
      <c r="Z1544" s="9">
        <f t="shared" si="797"/>
        <v>4745142.1000000006</v>
      </c>
      <c r="AA1544" s="9">
        <f t="shared" si="797"/>
        <v>589629933.81999993</v>
      </c>
      <c r="AB1544" s="9">
        <f t="shared" si="797"/>
        <v>701753.46</v>
      </c>
    </row>
    <row r="1545" spans="1:28" x14ac:dyDescent="0.3">
      <c r="A1545" s="64"/>
      <c r="B1545" s="8"/>
      <c r="C1545" s="8"/>
      <c r="D1545" s="8"/>
      <c r="E1545" s="17" t="s">
        <v>114</v>
      </c>
      <c r="F1545" s="17" t="s">
        <v>114</v>
      </c>
      <c r="G1545" s="17" t="s">
        <v>114</v>
      </c>
      <c r="H1545" s="17" t="s">
        <v>114</v>
      </c>
      <c r="I1545" s="17" t="s">
        <v>114</v>
      </c>
      <c r="J1545" s="17" t="s">
        <v>114</v>
      </c>
      <c r="K1545" s="17" t="s">
        <v>114</v>
      </c>
      <c r="L1545" s="17" t="s">
        <v>114</v>
      </c>
      <c r="M1545" s="17" t="s">
        <v>114</v>
      </c>
      <c r="N1545" s="17" t="s">
        <v>114</v>
      </c>
      <c r="O1545" s="17" t="s">
        <v>114</v>
      </c>
      <c r="P1545" s="17" t="s">
        <v>114</v>
      </c>
      <c r="Q1545" s="17" t="s">
        <v>114</v>
      </c>
      <c r="R1545" s="17" t="s">
        <v>114</v>
      </c>
      <c r="S1545" s="17" t="s">
        <v>114</v>
      </c>
      <c r="T1545" s="17" t="s">
        <v>114</v>
      </c>
      <c r="U1545" s="17" t="s">
        <v>114</v>
      </c>
      <c r="V1545" s="17" t="s">
        <v>114</v>
      </c>
      <c r="W1545" s="17" t="s">
        <v>114</v>
      </c>
      <c r="X1545" s="17" t="s">
        <v>114</v>
      </c>
      <c r="Y1545" s="17" t="s">
        <v>114</v>
      </c>
      <c r="Z1545" s="17" t="s">
        <v>114</v>
      </c>
      <c r="AA1545" s="17" t="s">
        <v>114</v>
      </c>
      <c r="AB1545" s="17" t="s">
        <v>114</v>
      </c>
    </row>
    <row r="1546" spans="1:28" x14ac:dyDescent="0.3">
      <c r="A1546" s="64"/>
      <c r="B1546" s="8"/>
      <c r="C1546" s="8"/>
      <c r="D1546" s="8"/>
      <c r="E1546" s="18"/>
      <c r="F1546" s="17"/>
      <c r="G1546" s="17"/>
      <c r="H1546" s="17"/>
      <c r="I1546" s="17"/>
      <c r="J1546" s="17"/>
      <c r="K1546" s="17"/>
      <c r="L1546" s="17"/>
      <c r="M1546" s="17"/>
      <c r="N1546" s="17"/>
      <c r="O1546" s="17"/>
      <c r="P1546" s="17"/>
      <c r="Q1546" s="17"/>
      <c r="R1546" s="17"/>
      <c r="S1546" s="17"/>
      <c r="T1546" s="17"/>
      <c r="U1546" s="17"/>
      <c r="V1546" s="17"/>
      <c r="W1546" s="17"/>
      <c r="X1546" s="17"/>
      <c r="Y1546" s="17"/>
      <c r="Z1546" s="17"/>
      <c r="AA1546" s="58"/>
    </row>
    <row r="1547" spans="1:28" x14ac:dyDescent="0.3">
      <c r="A1547" s="64"/>
      <c r="B1547" s="8"/>
      <c r="C1547" s="8"/>
      <c r="D1547" s="8"/>
      <c r="E1547" s="17"/>
      <c r="F1547" s="17"/>
      <c r="G1547" s="17"/>
      <c r="H1547" s="17"/>
      <c r="I1547" s="17"/>
      <c r="J1547" s="17"/>
      <c r="K1547" s="17"/>
      <c r="L1547" s="17"/>
      <c r="M1547" s="17"/>
      <c r="N1547" s="17"/>
      <c r="O1547" s="17"/>
      <c r="P1547" s="17"/>
      <c r="Q1547" s="17"/>
      <c r="R1547" s="17"/>
      <c r="S1547" s="17"/>
      <c r="T1547" s="17"/>
      <c r="U1547" s="17"/>
      <c r="V1547" s="17"/>
      <c r="W1547" s="17"/>
      <c r="X1547" s="17"/>
      <c r="Y1547" s="17"/>
      <c r="Z1547" s="17"/>
    </row>
    <row r="1548" spans="1:28" x14ac:dyDescent="0.3">
      <c r="A1548" s="64"/>
      <c r="B1548" s="7" t="s">
        <v>293</v>
      </c>
      <c r="C1548" s="8"/>
      <c r="D1548" s="8"/>
      <c r="E1548" s="8"/>
      <c r="F1548" s="8"/>
      <c r="G1548" s="8"/>
      <c r="H1548" s="8"/>
      <c r="I1548" s="8"/>
      <c r="J1548" s="8"/>
      <c r="K1548" s="8"/>
      <c r="L1548" s="8"/>
      <c r="M1548" s="8"/>
      <c r="N1548" s="8"/>
      <c r="O1548" s="8"/>
      <c r="P1548" s="8"/>
      <c r="Q1548" s="8"/>
      <c r="R1548" s="8"/>
      <c r="S1548" s="8"/>
      <c r="T1548" s="8"/>
      <c r="U1548" s="8"/>
      <c r="V1548" s="8"/>
      <c r="W1548" s="8"/>
      <c r="X1548" s="8"/>
      <c r="Y1548" s="8"/>
      <c r="Z1548" s="8"/>
    </row>
    <row r="1549" spans="1:28" x14ac:dyDescent="0.3">
      <c r="A1549" s="64"/>
      <c r="B1549" s="8"/>
      <c r="C1549" s="7"/>
      <c r="D1549" s="8"/>
      <c r="E1549" s="8"/>
      <c r="F1549" s="8"/>
      <c r="G1549" s="8"/>
      <c r="H1549" s="8"/>
      <c r="I1549" s="8"/>
      <c r="J1549" s="8"/>
      <c r="K1549" s="8"/>
      <c r="L1549" s="8"/>
      <c r="M1549" s="8"/>
      <c r="N1549" s="8"/>
      <c r="O1549" s="8"/>
      <c r="P1549" s="8"/>
      <c r="Q1549" s="8"/>
      <c r="R1549" s="8"/>
      <c r="S1549" s="8"/>
      <c r="T1549" s="8"/>
      <c r="U1549" s="8"/>
      <c r="V1549" s="8"/>
      <c r="W1549" s="8"/>
      <c r="X1549" s="8"/>
      <c r="Y1549" s="8"/>
      <c r="Z1549" s="8"/>
    </row>
    <row r="1550" spans="1:28" x14ac:dyDescent="0.3">
      <c r="A1550" s="63" t="s">
        <v>1002</v>
      </c>
      <c r="B1550" s="7" t="s">
        <v>294</v>
      </c>
      <c r="C1550" s="8"/>
      <c r="D1550" s="8"/>
      <c r="E1550" s="8"/>
      <c r="F1550" s="8"/>
      <c r="G1550" s="8"/>
      <c r="H1550" s="8"/>
      <c r="I1550" s="8"/>
      <c r="J1550" s="8"/>
      <c r="K1550" s="8"/>
      <c r="L1550" s="8"/>
      <c r="M1550" s="8"/>
      <c r="N1550" s="8"/>
      <c r="O1550" s="8"/>
      <c r="P1550" s="8"/>
      <c r="Q1550" s="8"/>
      <c r="R1550" s="8"/>
      <c r="S1550" s="8"/>
      <c r="T1550" s="8"/>
      <c r="U1550" s="8"/>
      <c r="V1550" s="8"/>
      <c r="W1550" s="8"/>
      <c r="X1550" s="8"/>
      <c r="Y1550" s="8"/>
      <c r="Z1550" s="8"/>
    </row>
    <row r="1551" spans="1:28" x14ac:dyDescent="0.3">
      <c r="A1551" s="64"/>
      <c r="B1551" s="8"/>
      <c r="C1551" s="7" t="s">
        <v>295</v>
      </c>
      <c r="D1551" s="15" t="s">
        <v>296</v>
      </c>
      <c r="E1551" s="9">
        <v>190000</v>
      </c>
      <c r="F1551" s="9">
        <v>190000</v>
      </c>
      <c r="G1551" s="8"/>
      <c r="H1551" s="9">
        <f t="shared" ref="H1551:H1569" si="798">F1551+G1551</f>
        <v>190000</v>
      </c>
      <c r="I1551" s="8"/>
      <c r="J1551" s="8"/>
      <c r="K1551" s="8"/>
      <c r="L1551" s="9"/>
      <c r="M1551" s="9">
        <f t="shared" ref="M1551:M1569" si="799">H1551+L1551</f>
        <v>190000</v>
      </c>
      <c r="N1551" s="9">
        <v>0</v>
      </c>
      <c r="O1551" s="8"/>
      <c r="P1551" s="9">
        <f t="shared" ref="P1551:P1569" si="800">N1551+O1551</f>
        <v>0</v>
      </c>
      <c r="Q1551" s="8"/>
      <c r="R1551" s="8"/>
      <c r="S1551" s="8"/>
      <c r="T1551" s="9"/>
      <c r="U1551" s="9">
        <f t="shared" ref="U1551:U1569" si="801">P1551+T1551</f>
        <v>0</v>
      </c>
      <c r="V1551" s="9">
        <f t="shared" ref="V1551:V1569" si="802">P1551+H1551</f>
        <v>190000</v>
      </c>
      <c r="W1551" s="9">
        <f t="shared" ref="W1551:W1569" si="803">E1551-V1551</f>
        <v>0</v>
      </c>
      <c r="X1551" s="9">
        <f t="shared" ref="X1551:X1569" si="804">+H1551+P1551</f>
        <v>190000</v>
      </c>
      <c r="Y1551" s="8"/>
      <c r="Z1551" s="9">
        <f t="shared" ref="Z1551:Z1569" si="805">+E1551-X1551</f>
        <v>0</v>
      </c>
      <c r="AA1551" s="8">
        <f t="shared" ref="AA1551:AA1569" si="806">+M1551+U1551</f>
        <v>190000</v>
      </c>
      <c r="AB1551" s="8">
        <f t="shared" ref="AB1551:AB1569" si="807">+E1551-AA1551</f>
        <v>0</v>
      </c>
    </row>
    <row r="1552" spans="1:28" x14ac:dyDescent="0.3">
      <c r="A1552" s="64"/>
      <c r="B1552" s="8"/>
      <c r="C1552" s="7" t="s">
        <v>297</v>
      </c>
      <c r="D1552" s="21" t="s">
        <v>78</v>
      </c>
      <c r="E1552" s="9">
        <v>894329.86</v>
      </c>
      <c r="F1552" s="9">
        <v>445822</v>
      </c>
      <c r="G1552" s="8"/>
      <c r="H1552" s="9">
        <f t="shared" si="798"/>
        <v>445822</v>
      </c>
      <c r="I1552" s="8"/>
      <c r="J1552" s="8"/>
      <c r="K1552" s="8"/>
      <c r="L1552" s="9"/>
      <c r="M1552" s="9">
        <f t="shared" si="799"/>
        <v>445822</v>
      </c>
      <c r="N1552" s="9">
        <v>448507.86</v>
      </c>
      <c r="O1552" s="8"/>
      <c r="P1552" s="9">
        <f t="shared" si="800"/>
        <v>448507.86</v>
      </c>
      <c r="Q1552" s="8"/>
      <c r="R1552" s="8"/>
      <c r="S1552" s="8"/>
      <c r="T1552" s="9"/>
      <c r="U1552" s="9">
        <f t="shared" si="801"/>
        <v>448507.86</v>
      </c>
      <c r="V1552" s="9">
        <f t="shared" si="802"/>
        <v>894329.86</v>
      </c>
      <c r="W1552" s="9">
        <f t="shared" si="803"/>
        <v>0</v>
      </c>
      <c r="X1552" s="9">
        <f t="shared" si="804"/>
        <v>894329.86</v>
      </c>
      <c r="Y1552" s="8"/>
      <c r="Z1552" s="9">
        <f t="shared" si="805"/>
        <v>0</v>
      </c>
      <c r="AA1552" s="8">
        <f t="shared" si="806"/>
        <v>894329.86</v>
      </c>
      <c r="AB1552" s="8">
        <f t="shared" si="807"/>
        <v>0</v>
      </c>
    </row>
    <row r="1553" spans="1:28" x14ac:dyDescent="0.3">
      <c r="A1553" s="64"/>
      <c r="B1553" s="8"/>
      <c r="C1553" s="7" t="s">
        <v>298</v>
      </c>
      <c r="D1553" s="15" t="s">
        <v>78</v>
      </c>
      <c r="E1553" s="9">
        <f>127500-500</f>
        <v>127000</v>
      </c>
      <c r="F1553" s="9">
        <v>127000</v>
      </c>
      <c r="G1553" s="8"/>
      <c r="H1553" s="9">
        <f t="shared" si="798"/>
        <v>127000</v>
      </c>
      <c r="I1553" s="8"/>
      <c r="J1553" s="8"/>
      <c r="K1553" s="8"/>
      <c r="L1553" s="9"/>
      <c r="M1553" s="9">
        <f t="shared" si="799"/>
        <v>127000</v>
      </c>
      <c r="N1553" s="9">
        <v>0</v>
      </c>
      <c r="O1553" s="8"/>
      <c r="P1553" s="9">
        <f t="shared" si="800"/>
        <v>0</v>
      </c>
      <c r="Q1553" s="8"/>
      <c r="R1553" s="8"/>
      <c r="S1553" s="8"/>
      <c r="T1553" s="9"/>
      <c r="U1553" s="9">
        <f t="shared" si="801"/>
        <v>0</v>
      </c>
      <c r="V1553" s="9">
        <f t="shared" si="802"/>
        <v>127000</v>
      </c>
      <c r="W1553" s="9">
        <f t="shared" si="803"/>
        <v>0</v>
      </c>
      <c r="X1553" s="9">
        <f t="shared" si="804"/>
        <v>127000</v>
      </c>
      <c r="Y1553" s="8"/>
      <c r="Z1553" s="9">
        <f t="shared" si="805"/>
        <v>0</v>
      </c>
      <c r="AA1553" s="8">
        <f t="shared" si="806"/>
        <v>127000</v>
      </c>
      <c r="AB1553" s="8">
        <f t="shared" si="807"/>
        <v>0</v>
      </c>
    </row>
    <row r="1554" spans="1:28" x14ac:dyDescent="0.3">
      <c r="A1554" s="64"/>
      <c r="B1554" s="8"/>
      <c r="C1554" s="7" t="s">
        <v>1082</v>
      </c>
      <c r="D1554" s="16" t="s">
        <v>1072</v>
      </c>
      <c r="E1554" s="9">
        <v>277998.98</v>
      </c>
      <c r="F1554" s="9"/>
      <c r="G1554" s="8"/>
      <c r="H1554" s="9"/>
      <c r="I1554" s="8"/>
      <c r="J1554" s="8"/>
      <c r="K1554" s="8"/>
      <c r="L1554" s="9"/>
      <c r="M1554" s="9"/>
      <c r="N1554" s="9">
        <v>277998.98</v>
      </c>
      <c r="O1554" s="8"/>
      <c r="P1554" s="9">
        <f>+N1554+O1554</f>
        <v>277998.98</v>
      </c>
      <c r="Q1554" s="8"/>
      <c r="R1554" s="8"/>
      <c r="S1554" s="8"/>
      <c r="T1554" s="9"/>
      <c r="U1554" s="9">
        <f>P1554+T1554</f>
        <v>277998.98</v>
      </c>
      <c r="V1554" s="9">
        <f>P1554+H1554</f>
        <v>277998.98</v>
      </c>
      <c r="W1554" s="9">
        <f>E1554-V1554</f>
        <v>0</v>
      </c>
      <c r="X1554" s="9">
        <f t="shared" si="804"/>
        <v>277998.98</v>
      </c>
      <c r="Y1554" s="8"/>
      <c r="Z1554" s="9">
        <f t="shared" si="805"/>
        <v>0</v>
      </c>
      <c r="AA1554" s="8">
        <f t="shared" si="806"/>
        <v>277998.98</v>
      </c>
      <c r="AB1554" s="8">
        <f t="shared" si="807"/>
        <v>0</v>
      </c>
    </row>
    <row r="1555" spans="1:28" x14ac:dyDescent="0.3">
      <c r="A1555" s="64"/>
      <c r="B1555" s="8"/>
      <c r="C1555" s="7" t="s">
        <v>57</v>
      </c>
      <c r="D1555" s="15" t="s">
        <v>152</v>
      </c>
      <c r="E1555" s="9">
        <v>3848948.86</v>
      </c>
      <c r="F1555" s="9">
        <v>3301952</v>
      </c>
      <c r="G1555" s="8"/>
      <c r="H1555" s="9">
        <f t="shared" si="798"/>
        <v>3301952</v>
      </c>
      <c r="I1555" s="8"/>
      <c r="J1555" s="8"/>
      <c r="K1555" s="8"/>
      <c r="L1555" s="9"/>
      <c r="M1555" s="9">
        <f t="shared" si="799"/>
        <v>3301952</v>
      </c>
      <c r="N1555" s="9">
        <v>546996.86</v>
      </c>
      <c r="O1555" s="8"/>
      <c r="P1555" s="9">
        <f t="shared" si="800"/>
        <v>546996.86</v>
      </c>
      <c r="Q1555" s="8"/>
      <c r="R1555" s="8"/>
      <c r="S1555" s="8"/>
      <c r="T1555" s="9"/>
      <c r="U1555" s="9">
        <f t="shared" si="801"/>
        <v>546996.86</v>
      </c>
      <c r="V1555" s="9">
        <f t="shared" si="802"/>
        <v>3848948.86</v>
      </c>
      <c r="W1555" s="9">
        <f t="shared" si="803"/>
        <v>0</v>
      </c>
      <c r="X1555" s="9">
        <f t="shared" si="804"/>
        <v>3848948.86</v>
      </c>
      <c r="Y1555" s="8"/>
      <c r="Z1555" s="9">
        <f t="shared" si="805"/>
        <v>0</v>
      </c>
      <c r="AA1555" s="8">
        <f t="shared" si="806"/>
        <v>3848948.86</v>
      </c>
      <c r="AB1555" s="8">
        <f t="shared" si="807"/>
        <v>0</v>
      </c>
    </row>
    <row r="1556" spans="1:28" x14ac:dyDescent="0.3">
      <c r="A1556" s="64"/>
      <c r="B1556" s="8"/>
      <c r="C1556" s="7" t="s">
        <v>53</v>
      </c>
      <c r="D1556" s="15" t="s">
        <v>68</v>
      </c>
      <c r="E1556" s="9">
        <v>1953989</v>
      </c>
      <c r="F1556" s="9">
        <v>0</v>
      </c>
      <c r="G1556" s="8"/>
      <c r="H1556" s="9">
        <f t="shared" si="798"/>
        <v>0</v>
      </c>
      <c r="I1556" s="8"/>
      <c r="J1556" s="8"/>
      <c r="K1556" s="8"/>
      <c r="L1556" s="9"/>
      <c r="M1556" s="9">
        <f t="shared" si="799"/>
        <v>0</v>
      </c>
      <c r="N1556" s="9">
        <v>1953989</v>
      </c>
      <c r="O1556" s="8"/>
      <c r="P1556" s="9">
        <f t="shared" si="800"/>
        <v>1953989</v>
      </c>
      <c r="Q1556" s="8"/>
      <c r="R1556" s="8"/>
      <c r="S1556" s="8"/>
      <c r="T1556" s="9"/>
      <c r="U1556" s="9">
        <f t="shared" si="801"/>
        <v>1953989</v>
      </c>
      <c r="V1556" s="9">
        <f t="shared" si="802"/>
        <v>1953989</v>
      </c>
      <c r="W1556" s="9">
        <f t="shared" si="803"/>
        <v>0</v>
      </c>
      <c r="X1556" s="9">
        <f t="shared" si="804"/>
        <v>1953989</v>
      </c>
      <c r="Y1556" s="8"/>
      <c r="Z1556" s="9">
        <f t="shared" si="805"/>
        <v>0</v>
      </c>
      <c r="AA1556" s="8">
        <f t="shared" si="806"/>
        <v>1953989</v>
      </c>
      <c r="AB1556" s="8">
        <f t="shared" si="807"/>
        <v>0</v>
      </c>
    </row>
    <row r="1557" spans="1:28" x14ac:dyDescent="0.3">
      <c r="A1557" s="64"/>
      <c r="B1557" s="8"/>
      <c r="C1557" s="7" t="s">
        <v>69</v>
      </c>
      <c r="D1557" s="15" t="s">
        <v>54</v>
      </c>
      <c r="E1557" s="9">
        <v>955345.62</v>
      </c>
      <c r="F1557" s="9">
        <v>0</v>
      </c>
      <c r="G1557" s="8"/>
      <c r="H1557" s="9">
        <f t="shared" si="798"/>
        <v>0</v>
      </c>
      <c r="I1557" s="8"/>
      <c r="J1557" s="8"/>
      <c r="K1557" s="8"/>
      <c r="L1557" s="9"/>
      <c r="M1557" s="9">
        <f t="shared" si="799"/>
        <v>0</v>
      </c>
      <c r="N1557" s="9">
        <v>955345.62</v>
      </c>
      <c r="O1557" s="8"/>
      <c r="P1557" s="9">
        <f t="shared" si="800"/>
        <v>955345.62</v>
      </c>
      <c r="Q1557" s="8"/>
      <c r="R1557" s="8"/>
      <c r="S1557" s="8"/>
      <c r="T1557" s="9"/>
      <c r="U1557" s="9">
        <f t="shared" si="801"/>
        <v>955345.62</v>
      </c>
      <c r="V1557" s="9">
        <f t="shared" si="802"/>
        <v>955345.62</v>
      </c>
      <c r="W1557" s="9">
        <f t="shared" si="803"/>
        <v>0</v>
      </c>
      <c r="X1557" s="9">
        <f t="shared" si="804"/>
        <v>955345.62</v>
      </c>
      <c r="Y1557" s="8"/>
      <c r="Z1557" s="9">
        <f t="shared" si="805"/>
        <v>0</v>
      </c>
      <c r="AA1557" s="8">
        <f t="shared" si="806"/>
        <v>955345.62</v>
      </c>
      <c r="AB1557" s="8">
        <f t="shared" si="807"/>
        <v>0</v>
      </c>
    </row>
    <row r="1558" spans="1:28" x14ac:dyDescent="0.3">
      <c r="A1558" s="64"/>
      <c r="B1558" s="8"/>
      <c r="C1558" s="7" t="s">
        <v>299</v>
      </c>
      <c r="D1558" s="15" t="s">
        <v>54</v>
      </c>
      <c r="E1558" s="9">
        <v>1900000</v>
      </c>
      <c r="F1558" s="9">
        <v>1900000</v>
      </c>
      <c r="G1558" s="8"/>
      <c r="H1558" s="9">
        <f t="shared" si="798"/>
        <v>1900000</v>
      </c>
      <c r="I1558" s="8"/>
      <c r="J1558" s="8"/>
      <c r="K1558" s="8"/>
      <c r="L1558" s="9"/>
      <c r="M1558" s="9">
        <f t="shared" si="799"/>
        <v>1900000</v>
      </c>
      <c r="N1558" s="9">
        <v>0</v>
      </c>
      <c r="O1558" s="8"/>
      <c r="P1558" s="9">
        <f t="shared" si="800"/>
        <v>0</v>
      </c>
      <c r="Q1558" s="8"/>
      <c r="R1558" s="8"/>
      <c r="S1558" s="8"/>
      <c r="T1558" s="9"/>
      <c r="U1558" s="9">
        <f t="shared" si="801"/>
        <v>0</v>
      </c>
      <c r="V1558" s="9">
        <f t="shared" si="802"/>
        <v>1900000</v>
      </c>
      <c r="W1558" s="9">
        <f t="shared" si="803"/>
        <v>0</v>
      </c>
      <c r="X1558" s="9">
        <f t="shared" si="804"/>
        <v>1900000</v>
      </c>
      <c r="Y1558" s="8"/>
      <c r="Z1558" s="9">
        <f t="shared" si="805"/>
        <v>0</v>
      </c>
      <c r="AA1558" s="8">
        <f t="shared" si="806"/>
        <v>1900000</v>
      </c>
      <c r="AB1558" s="8">
        <f t="shared" si="807"/>
        <v>0</v>
      </c>
    </row>
    <row r="1559" spans="1:28" x14ac:dyDescent="0.3">
      <c r="A1559" s="64"/>
      <c r="B1559" s="8"/>
      <c r="C1559" s="7" t="s">
        <v>300</v>
      </c>
      <c r="D1559" s="15" t="s">
        <v>54</v>
      </c>
      <c r="E1559" s="9">
        <v>570000</v>
      </c>
      <c r="F1559" s="9">
        <v>570000</v>
      </c>
      <c r="G1559" s="8"/>
      <c r="H1559" s="9">
        <f t="shared" si="798"/>
        <v>570000</v>
      </c>
      <c r="I1559" s="8"/>
      <c r="J1559" s="8"/>
      <c r="K1559" s="8"/>
      <c r="L1559" s="9"/>
      <c r="M1559" s="9">
        <f t="shared" si="799"/>
        <v>570000</v>
      </c>
      <c r="N1559" s="9">
        <v>0</v>
      </c>
      <c r="O1559" s="8"/>
      <c r="P1559" s="9">
        <f t="shared" si="800"/>
        <v>0</v>
      </c>
      <c r="Q1559" s="8"/>
      <c r="R1559" s="8"/>
      <c r="S1559" s="8"/>
      <c r="T1559" s="9"/>
      <c r="U1559" s="9">
        <f t="shared" si="801"/>
        <v>0</v>
      </c>
      <c r="V1559" s="9">
        <f t="shared" si="802"/>
        <v>570000</v>
      </c>
      <c r="W1559" s="9">
        <f t="shared" si="803"/>
        <v>0</v>
      </c>
      <c r="X1559" s="9">
        <f t="shared" si="804"/>
        <v>570000</v>
      </c>
      <c r="Y1559" s="8"/>
      <c r="Z1559" s="9">
        <f t="shared" si="805"/>
        <v>0</v>
      </c>
      <c r="AA1559" s="8">
        <f t="shared" si="806"/>
        <v>570000</v>
      </c>
      <c r="AB1559" s="8">
        <f t="shared" si="807"/>
        <v>0</v>
      </c>
    </row>
    <row r="1560" spans="1:28" x14ac:dyDescent="0.3">
      <c r="A1560" s="64"/>
      <c r="B1560" s="8"/>
      <c r="C1560" s="7" t="s">
        <v>301</v>
      </c>
      <c r="D1560" s="15" t="s">
        <v>234</v>
      </c>
      <c r="E1560" s="9">
        <v>799500</v>
      </c>
      <c r="F1560" s="9">
        <v>765247</v>
      </c>
      <c r="G1560" s="8"/>
      <c r="H1560" s="9">
        <f t="shared" si="798"/>
        <v>765247</v>
      </c>
      <c r="I1560" s="8"/>
      <c r="J1560" s="8"/>
      <c r="K1560" s="8"/>
      <c r="L1560" s="9"/>
      <c r="M1560" s="9">
        <f t="shared" si="799"/>
        <v>765247</v>
      </c>
      <c r="N1560" s="9">
        <v>0</v>
      </c>
      <c r="O1560" s="8"/>
      <c r="P1560" s="9">
        <f t="shared" si="800"/>
        <v>0</v>
      </c>
      <c r="Q1560" s="8"/>
      <c r="R1560" s="8"/>
      <c r="S1560" s="8"/>
      <c r="T1560" s="9"/>
      <c r="U1560" s="9">
        <f t="shared" si="801"/>
        <v>0</v>
      </c>
      <c r="V1560" s="9">
        <f t="shared" si="802"/>
        <v>765247</v>
      </c>
      <c r="W1560" s="9">
        <f t="shared" si="803"/>
        <v>34253</v>
      </c>
      <c r="X1560" s="9">
        <f t="shared" si="804"/>
        <v>765247</v>
      </c>
      <c r="Y1560" s="8"/>
      <c r="Z1560" s="9">
        <f t="shared" si="805"/>
        <v>34253</v>
      </c>
      <c r="AA1560" s="8">
        <f t="shared" si="806"/>
        <v>765247</v>
      </c>
      <c r="AB1560" s="8">
        <f t="shared" si="807"/>
        <v>34253</v>
      </c>
    </row>
    <row r="1561" spans="1:28" x14ac:dyDescent="0.3">
      <c r="A1561" s="64"/>
      <c r="B1561" s="8"/>
      <c r="C1561" s="7" t="s">
        <v>302</v>
      </c>
      <c r="D1561" s="15" t="s">
        <v>85</v>
      </c>
      <c r="E1561" s="9">
        <v>120000</v>
      </c>
      <c r="F1561" s="9">
        <v>120000</v>
      </c>
      <c r="G1561" s="8"/>
      <c r="H1561" s="9">
        <f t="shared" si="798"/>
        <v>120000</v>
      </c>
      <c r="I1561" s="8"/>
      <c r="J1561" s="8"/>
      <c r="K1561" s="8"/>
      <c r="L1561" s="9"/>
      <c r="M1561" s="9">
        <f t="shared" si="799"/>
        <v>120000</v>
      </c>
      <c r="N1561" s="9">
        <v>0</v>
      </c>
      <c r="O1561" s="8"/>
      <c r="P1561" s="9">
        <f t="shared" si="800"/>
        <v>0</v>
      </c>
      <c r="Q1561" s="8"/>
      <c r="R1561" s="8"/>
      <c r="S1561" s="8"/>
      <c r="T1561" s="9"/>
      <c r="U1561" s="9">
        <f t="shared" si="801"/>
        <v>0</v>
      </c>
      <c r="V1561" s="9">
        <f t="shared" si="802"/>
        <v>120000</v>
      </c>
      <c r="W1561" s="9">
        <f t="shared" si="803"/>
        <v>0</v>
      </c>
      <c r="X1561" s="9">
        <f t="shared" si="804"/>
        <v>120000</v>
      </c>
      <c r="Y1561" s="8"/>
      <c r="Z1561" s="9">
        <f t="shared" si="805"/>
        <v>0</v>
      </c>
      <c r="AA1561" s="8">
        <f t="shared" si="806"/>
        <v>120000</v>
      </c>
      <c r="AB1561" s="8">
        <f t="shared" si="807"/>
        <v>0</v>
      </c>
    </row>
    <row r="1562" spans="1:28" x14ac:dyDescent="0.3">
      <c r="A1562" s="64"/>
      <c r="B1562" s="8"/>
      <c r="C1562" s="7" t="s">
        <v>55</v>
      </c>
      <c r="D1562" s="15" t="s">
        <v>88</v>
      </c>
      <c r="E1562" s="9">
        <v>822672</v>
      </c>
      <c r="F1562" s="9">
        <v>0</v>
      </c>
      <c r="G1562" s="8"/>
      <c r="H1562" s="9">
        <f t="shared" si="798"/>
        <v>0</v>
      </c>
      <c r="I1562" s="8"/>
      <c r="J1562" s="8"/>
      <c r="K1562" s="8"/>
      <c r="L1562" s="9"/>
      <c r="M1562" s="9">
        <f t="shared" si="799"/>
        <v>0</v>
      </c>
      <c r="N1562" s="9">
        <v>822672</v>
      </c>
      <c r="O1562" s="8"/>
      <c r="P1562" s="9">
        <f t="shared" si="800"/>
        <v>822672</v>
      </c>
      <c r="Q1562" s="8"/>
      <c r="R1562" s="8"/>
      <c r="S1562" s="8"/>
      <c r="T1562" s="9"/>
      <c r="U1562" s="9">
        <f t="shared" si="801"/>
        <v>822672</v>
      </c>
      <c r="V1562" s="9">
        <f t="shared" si="802"/>
        <v>822672</v>
      </c>
      <c r="W1562" s="9">
        <f t="shared" si="803"/>
        <v>0</v>
      </c>
      <c r="X1562" s="9">
        <f t="shared" si="804"/>
        <v>822672</v>
      </c>
      <c r="Y1562" s="8"/>
      <c r="Z1562" s="9">
        <f t="shared" si="805"/>
        <v>0</v>
      </c>
      <c r="AA1562" s="8">
        <f t="shared" si="806"/>
        <v>822672</v>
      </c>
      <c r="AB1562" s="8">
        <f t="shared" si="807"/>
        <v>0</v>
      </c>
    </row>
    <row r="1563" spans="1:28" x14ac:dyDescent="0.3">
      <c r="A1563" s="64"/>
      <c r="B1563" s="8"/>
      <c r="C1563" s="7" t="s">
        <v>153</v>
      </c>
      <c r="D1563" s="15" t="s">
        <v>88</v>
      </c>
      <c r="E1563" s="9">
        <v>187692.64</v>
      </c>
      <c r="F1563" s="9">
        <v>187692.64</v>
      </c>
      <c r="G1563" s="8"/>
      <c r="H1563" s="9">
        <f t="shared" si="798"/>
        <v>187692.64</v>
      </c>
      <c r="I1563" s="8"/>
      <c r="J1563" s="8"/>
      <c r="K1563" s="8"/>
      <c r="L1563" s="9"/>
      <c r="M1563" s="9">
        <f t="shared" si="799"/>
        <v>187692.64</v>
      </c>
      <c r="N1563" s="9">
        <v>0</v>
      </c>
      <c r="O1563" s="8"/>
      <c r="P1563" s="9">
        <f t="shared" si="800"/>
        <v>0</v>
      </c>
      <c r="Q1563" s="8"/>
      <c r="R1563" s="8"/>
      <c r="S1563" s="8"/>
      <c r="T1563" s="9"/>
      <c r="U1563" s="9">
        <f t="shared" si="801"/>
        <v>0</v>
      </c>
      <c r="V1563" s="9">
        <f t="shared" si="802"/>
        <v>187692.64</v>
      </c>
      <c r="W1563" s="9">
        <f t="shared" si="803"/>
        <v>0</v>
      </c>
      <c r="X1563" s="9">
        <f t="shared" si="804"/>
        <v>187692.64</v>
      </c>
      <c r="Y1563" s="8"/>
      <c r="Z1563" s="9">
        <f t="shared" si="805"/>
        <v>0</v>
      </c>
      <c r="AA1563" s="8">
        <f t="shared" si="806"/>
        <v>187692.64</v>
      </c>
      <c r="AB1563" s="8">
        <f t="shared" si="807"/>
        <v>0</v>
      </c>
    </row>
    <row r="1564" spans="1:28" x14ac:dyDescent="0.3">
      <c r="A1564" s="64"/>
      <c r="B1564" s="8"/>
      <c r="C1564" s="7" t="s">
        <v>1137</v>
      </c>
      <c r="D1564" s="15" t="s">
        <v>58</v>
      </c>
      <c r="E1564" s="9">
        <v>1050000</v>
      </c>
      <c r="F1564" s="9">
        <v>1050000</v>
      </c>
      <c r="G1564" s="8"/>
      <c r="H1564" s="9">
        <f t="shared" si="798"/>
        <v>1050000</v>
      </c>
      <c r="I1564" s="9"/>
      <c r="J1564" s="8"/>
      <c r="K1564" s="8"/>
      <c r="L1564" s="9"/>
      <c r="M1564" s="9">
        <f t="shared" si="799"/>
        <v>1050000</v>
      </c>
      <c r="N1564" s="9">
        <v>0</v>
      </c>
      <c r="O1564" s="8"/>
      <c r="P1564" s="9">
        <f t="shared" si="800"/>
        <v>0</v>
      </c>
      <c r="Q1564" s="8"/>
      <c r="R1564" s="8"/>
      <c r="S1564" s="8"/>
      <c r="T1564" s="9"/>
      <c r="U1564" s="9">
        <f t="shared" si="801"/>
        <v>0</v>
      </c>
      <c r="V1564" s="9">
        <f t="shared" si="802"/>
        <v>1050000</v>
      </c>
      <c r="W1564" s="9">
        <f t="shared" si="803"/>
        <v>0</v>
      </c>
      <c r="X1564" s="9">
        <f t="shared" si="804"/>
        <v>1050000</v>
      </c>
      <c r="Y1564" s="8"/>
      <c r="Z1564" s="9">
        <f t="shared" si="805"/>
        <v>0</v>
      </c>
      <c r="AA1564" s="8">
        <f t="shared" si="806"/>
        <v>1050000</v>
      </c>
      <c r="AB1564" s="8">
        <f t="shared" si="807"/>
        <v>0</v>
      </c>
    </row>
    <row r="1565" spans="1:28" x14ac:dyDescent="0.3">
      <c r="A1565" s="64"/>
      <c r="B1565" s="8"/>
      <c r="C1565" s="14" t="s">
        <v>109</v>
      </c>
      <c r="D1565" s="21" t="s">
        <v>60</v>
      </c>
      <c r="E1565" s="9">
        <v>2500000</v>
      </c>
      <c r="F1565" s="11">
        <v>2500000</v>
      </c>
      <c r="G1565" s="8"/>
      <c r="H1565" s="9">
        <f t="shared" si="798"/>
        <v>2500000</v>
      </c>
      <c r="I1565" s="8"/>
      <c r="J1565" s="8"/>
      <c r="K1565" s="8"/>
      <c r="L1565" s="9"/>
      <c r="M1565" s="9">
        <f t="shared" si="799"/>
        <v>2500000</v>
      </c>
      <c r="N1565" s="9">
        <v>0</v>
      </c>
      <c r="O1565" s="8"/>
      <c r="P1565" s="9">
        <f t="shared" si="800"/>
        <v>0</v>
      </c>
      <c r="Q1565" s="8"/>
      <c r="R1565" s="8"/>
      <c r="S1565" s="8"/>
      <c r="T1565" s="9"/>
      <c r="U1565" s="9">
        <f t="shared" si="801"/>
        <v>0</v>
      </c>
      <c r="V1565" s="9">
        <f t="shared" si="802"/>
        <v>2500000</v>
      </c>
      <c r="W1565" s="9">
        <f t="shared" si="803"/>
        <v>0</v>
      </c>
      <c r="X1565" s="9">
        <f t="shared" si="804"/>
        <v>2500000</v>
      </c>
      <c r="Y1565" s="8"/>
      <c r="Z1565" s="9">
        <f t="shared" si="805"/>
        <v>0</v>
      </c>
      <c r="AA1565" s="8">
        <f t="shared" si="806"/>
        <v>2500000</v>
      </c>
      <c r="AB1565" s="8">
        <f t="shared" si="807"/>
        <v>0</v>
      </c>
    </row>
    <row r="1566" spans="1:28" x14ac:dyDescent="0.3">
      <c r="A1566" s="64"/>
      <c r="B1566" s="8"/>
      <c r="C1566" s="7" t="s">
        <v>122</v>
      </c>
      <c r="D1566" s="8"/>
      <c r="E1566" s="9">
        <v>228463</v>
      </c>
      <c r="F1566" s="9">
        <v>228463</v>
      </c>
      <c r="G1566" s="8"/>
      <c r="H1566" s="9">
        <f t="shared" si="798"/>
        <v>228463</v>
      </c>
      <c r="I1566" s="8"/>
      <c r="J1566" s="8"/>
      <c r="K1566" s="8"/>
      <c r="L1566" s="9"/>
      <c r="M1566" s="9">
        <f t="shared" si="799"/>
        <v>228463</v>
      </c>
      <c r="N1566" s="9">
        <v>0</v>
      </c>
      <c r="O1566" s="8"/>
      <c r="P1566" s="9">
        <f t="shared" si="800"/>
        <v>0</v>
      </c>
      <c r="Q1566" s="8"/>
      <c r="R1566" s="8"/>
      <c r="S1566" s="8"/>
      <c r="T1566" s="9"/>
      <c r="U1566" s="9">
        <f t="shared" si="801"/>
        <v>0</v>
      </c>
      <c r="V1566" s="9">
        <f t="shared" si="802"/>
        <v>228463</v>
      </c>
      <c r="W1566" s="9">
        <f t="shared" si="803"/>
        <v>0</v>
      </c>
      <c r="X1566" s="9">
        <f t="shared" si="804"/>
        <v>228463</v>
      </c>
      <c r="Y1566" s="8"/>
      <c r="Z1566" s="9">
        <f t="shared" si="805"/>
        <v>0</v>
      </c>
      <c r="AA1566" s="8">
        <f t="shared" si="806"/>
        <v>228463</v>
      </c>
      <c r="AB1566" s="8">
        <f t="shared" si="807"/>
        <v>0</v>
      </c>
    </row>
    <row r="1567" spans="1:28" x14ac:dyDescent="0.3">
      <c r="A1567" s="64"/>
      <c r="B1567" s="8"/>
      <c r="C1567" s="7" t="s">
        <v>930</v>
      </c>
      <c r="D1567" s="8"/>
      <c r="E1567" s="9">
        <v>1218491.24</v>
      </c>
      <c r="F1567" s="8">
        <v>1218491.24</v>
      </c>
      <c r="G1567" s="8"/>
      <c r="H1567" s="9">
        <f>+F1567+G1567</f>
        <v>1218491.24</v>
      </c>
      <c r="I1567" s="8"/>
      <c r="J1567" s="8"/>
      <c r="K1567" s="8"/>
      <c r="L1567" s="9"/>
      <c r="M1567" s="9">
        <f>+H1567+L1567</f>
        <v>1218491.24</v>
      </c>
      <c r="N1567" s="9">
        <v>0</v>
      </c>
      <c r="O1567" s="8"/>
      <c r="P1567" s="9">
        <f>+N1567+O1567</f>
        <v>0</v>
      </c>
      <c r="Q1567" s="8"/>
      <c r="R1567" s="8"/>
      <c r="S1567" s="8"/>
      <c r="T1567" s="9"/>
      <c r="U1567" s="9">
        <f>P1567+T1567</f>
        <v>0</v>
      </c>
      <c r="V1567" s="9">
        <f>P1567+H1567</f>
        <v>1218491.24</v>
      </c>
      <c r="W1567" s="9">
        <f>E1567-V1567</f>
        <v>0</v>
      </c>
      <c r="X1567" s="9">
        <f t="shared" si="804"/>
        <v>1218491.24</v>
      </c>
      <c r="Y1567" s="8"/>
      <c r="Z1567" s="9">
        <f t="shared" si="805"/>
        <v>0</v>
      </c>
      <c r="AA1567" s="8">
        <f t="shared" si="806"/>
        <v>1218491.24</v>
      </c>
      <c r="AB1567" s="8">
        <f t="shared" si="807"/>
        <v>0</v>
      </c>
    </row>
    <row r="1568" spans="1:28" x14ac:dyDescent="0.3">
      <c r="A1568" s="64"/>
      <c r="B1568" s="8"/>
      <c r="C1568" s="7" t="s">
        <v>1158</v>
      </c>
      <c r="D1568" s="23" t="s">
        <v>1126</v>
      </c>
      <c r="E1568" s="9">
        <v>225000</v>
      </c>
      <c r="F1568" s="8">
        <v>225000</v>
      </c>
      <c r="G1568" s="8"/>
      <c r="H1568" s="9">
        <f>+F1568+G1568</f>
        <v>225000</v>
      </c>
      <c r="I1568" s="8"/>
      <c r="J1568" s="8"/>
      <c r="K1568" s="8"/>
      <c r="L1568" s="9"/>
      <c r="M1568" s="9">
        <f>+H1568+L1568</f>
        <v>225000</v>
      </c>
      <c r="N1568" s="9">
        <v>0</v>
      </c>
      <c r="O1568" s="8"/>
      <c r="P1568" s="9">
        <f>+N1568+O1568</f>
        <v>0</v>
      </c>
      <c r="Q1568" s="8"/>
      <c r="R1568" s="8"/>
      <c r="S1568" s="8"/>
      <c r="T1568" s="9"/>
      <c r="U1568" s="9">
        <f>P1568+T1568</f>
        <v>0</v>
      </c>
      <c r="V1568" s="9">
        <f>P1568+H1568</f>
        <v>225000</v>
      </c>
      <c r="W1568" s="9">
        <f>E1568-V1568</f>
        <v>0</v>
      </c>
      <c r="X1568" s="9">
        <f t="shared" si="804"/>
        <v>225000</v>
      </c>
      <c r="Y1568" s="8"/>
      <c r="Z1568" s="9">
        <f t="shared" si="805"/>
        <v>0</v>
      </c>
      <c r="AA1568" s="8">
        <f t="shared" si="806"/>
        <v>225000</v>
      </c>
      <c r="AB1568" s="8">
        <f t="shared" si="807"/>
        <v>0</v>
      </c>
    </row>
    <row r="1569" spans="1:28" x14ac:dyDescent="0.3">
      <c r="A1569" s="64"/>
      <c r="B1569" s="8"/>
      <c r="C1569" s="7" t="s">
        <v>57</v>
      </c>
      <c r="D1569" s="23" t="s">
        <v>61</v>
      </c>
      <c r="E1569" s="9">
        <v>1561000</v>
      </c>
      <c r="F1569" s="8">
        <v>1561000</v>
      </c>
      <c r="G1569" s="8"/>
      <c r="H1569" s="9">
        <f t="shared" si="798"/>
        <v>1561000</v>
      </c>
      <c r="I1569" s="8"/>
      <c r="J1569" s="8"/>
      <c r="K1569" s="8"/>
      <c r="L1569" s="9"/>
      <c r="M1569" s="9">
        <f t="shared" si="799"/>
        <v>1561000</v>
      </c>
      <c r="N1569" s="9">
        <v>0</v>
      </c>
      <c r="O1569" s="8"/>
      <c r="P1569" s="9">
        <f t="shared" si="800"/>
        <v>0</v>
      </c>
      <c r="Q1569" s="8"/>
      <c r="R1569" s="8"/>
      <c r="S1569" s="8"/>
      <c r="T1569" s="9"/>
      <c r="U1569" s="9">
        <f t="shared" si="801"/>
        <v>0</v>
      </c>
      <c r="V1569" s="9">
        <f t="shared" si="802"/>
        <v>1561000</v>
      </c>
      <c r="W1569" s="9">
        <f t="shared" si="803"/>
        <v>0</v>
      </c>
      <c r="X1569" s="9">
        <f t="shared" si="804"/>
        <v>1561000</v>
      </c>
      <c r="Y1569" s="8"/>
      <c r="Z1569" s="9">
        <f t="shared" si="805"/>
        <v>0</v>
      </c>
      <c r="AA1569" s="8">
        <f t="shared" si="806"/>
        <v>1561000</v>
      </c>
      <c r="AB1569" s="8">
        <f t="shared" si="807"/>
        <v>0</v>
      </c>
    </row>
    <row r="1570" spans="1:28" x14ac:dyDescent="0.3">
      <c r="A1570" s="64"/>
      <c r="B1570" s="8"/>
      <c r="C1570" s="8"/>
      <c r="D1570" s="8"/>
      <c r="E1570" s="17" t="s">
        <v>29</v>
      </c>
      <c r="F1570" s="17" t="s">
        <v>29</v>
      </c>
      <c r="G1570" s="17" t="s">
        <v>29</v>
      </c>
      <c r="H1570" s="17" t="s">
        <v>29</v>
      </c>
      <c r="I1570" s="17" t="s">
        <v>29</v>
      </c>
      <c r="J1570" s="17" t="s">
        <v>29</v>
      </c>
      <c r="K1570" s="17" t="s">
        <v>29</v>
      </c>
      <c r="L1570" s="17" t="s">
        <v>29</v>
      </c>
      <c r="M1570" s="17" t="s">
        <v>29</v>
      </c>
      <c r="N1570" s="17" t="s">
        <v>29</v>
      </c>
      <c r="O1570" s="17" t="s">
        <v>29</v>
      </c>
      <c r="P1570" s="17" t="s">
        <v>29</v>
      </c>
      <c r="Q1570" s="17" t="s">
        <v>29</v>
      </c>
      <c r="R1570" s="17" t="s">
        <v>29</v>
      </c>
      <c r="S1570" s="17" t="s">
        <v>29</v>
      </c>
      <c r="T1570" s="17" t="s">
        <v>29</v>
      </c>
      <c r="U1570" s="17" t="s">
        <v>29</v>
      </c>
      <c r="V1570" s="17" t="s">
        <v>29</v>
      </c>
      <c r="W1570" s="17" t="s">
        <v>29</v>
      </c>
      <c r="X1570" s="17" t="s">
        <v>29</v>
      </c>
      <c r="Y1570" s="17" t="s">
        <v>29</v>
      </c>
      <c r="Z1570" s="17" t="s">
        <v>29</v>
      </c>
      <c r="AA1570" s="17" t="s">
        <v>29</v>
      </c>
      <c r="AB1570" s="17" t="s">
        <v>29</v>
      </c>
    </row>
    <row r="1571" spans="1:28" x14ac:dyDescent="0.3">
      <c r="A1571" s="64"/>
      <c r="B1571" s="8"/>
      <c r="C1571" s="8"/>
      <c r="D1571" s="8"/>
      <c r="E1571" s="9">
        <f t="shared" ref="E1571:AB1571" si="808">SUM(E1551:E1569)</f>
        <v>19430431.199999999</v>
      </c>
      <c r="F1571" s="9">
        <f t="shared" si="808"/>
        <v>14390667.880000001</v>
      </c>
      <c r="G1571" s="9">
        <f t="shared" si="808"/>
        <v>0</v>
      </c>
      <c r="H1571" s="9">
        <f t="shared" si="808"/>
        <v>14390667.880000001</v>
      </c>
      <c r="I1571" s="9">
        <f t="shared" si="808"/>
        <v>0</v>
      </c>
      <c r="J1571" s="9">
        <f t="shared" si="808"/>
        <v>0</v>
      </c>
      <c r="K1571" s="9">
        <f t="shared" si="808"/>
        <v>0</v>
      </c>
      <c r="L1571" s="9">
        <f t="shared" si="808"/>
        <v>0</v>
      </c>
      <c r="M1571" s="9">
        <f t="shared" si="808"/>
        <v>14390667.880000001</v>
      </c>
      <c r="N1571" s="9">
        <f t="shared" si="808"/>
        <v>5005510.32</v>
      </c>
      <c r="O1571" s="9">
        <f t="shared" si="808"/>
        <v>0</v>
      </c>
      <c r="P1571" s="9">
        <f t="shared" si="808"/>
        <v>5005510.32</v>
      </c>
      <c r="Q1571" s="9">
        <f t="shared" si="808"/>
        <v>0</v>
      </c>
      <c r="R1571" s="9">
        <f t="shared" si="808"/>
        <v>0</v>
      </c>
      <c r="S1571" s="9">
        <f t="shared" si="808"/>
        <v>0</v>
      </c>
      <c r="T1571" s="9">
        <f t="shared" si="808"/>
        <v>0</v>
      </c>
      <c r="U1571" s="9">
        <f t="shared" si="808"/>
        <v>5005510.32</v>
      </c>
      <c r="V1571" s="9">
        <f t="shared" si="808"/>
        <v>19396178.199999999</v>
      </c>
      <c r="W1571" s="9">
        <f t="shared" si="808"/>
        <v>34253</v>
      </c>
      <c r="X1571" s="9">
        <f t="shared" si="808"/>
        <v>19396178.199999999</v>
      </c>
      <c r="Y1571" s="9">
        <f t="shared" si="808"/>
        <v>0</v>
      </c>
      <c r="Z1571" s="9">
        <f t="shared" si="808"/>
        <v>34253</v>
      </c>
      <c r="AA1571" s="9">
        <f t="shared" si="808"/>
        <v>19396178.199999999</v>
      </c>
      <c r="AB1571" s="9">
        <f t="shared" si="808"/>
        <v>34253</v>
      </c>
    </row>
    <row r="1572" spans="1:28" x14ac:dyDescent="0.3">
      <c r="A1572" s="64"/>
      <c r="B1572" s="8"/>
      <c r="C1572" s="8"/>
      <c r="D1572" s="8"/>
      <c r="E1572" s="17" t="s">
        <v>29</v>
      </c>
      <c r="F1572" s="17" t="s">
        <v>29</v>
      </c>
      <c r="G1572" s="17" t="s">
        <v>29</v>
      </c>
      <c r="H1572" s="17" t="s">
        <v>29</v>
      </c>
      <c r="I1572" s="17" t="s">
        <v>29</v>
      </c>
      <c r="J1572" s="17" t="s">
        <v>29</v>
      </c>
      <c r="K1572" s="17" t="s">
        <v>29</v>
      </c>
      <c r="L1572" s="17" t="s">
        <v>29</v>
      </c>
      <c r="M1572" s="17" t="s">
        <v>29</v>
      </c>
      <c r="N1572" s="17" t="s">
        <v>29</v>
      </c>
      <c r="O1572" s="17" t="s">
        <v>29</v>
      </c>
      <c r="P1572" s="17" t="s">
        <v>29</v>
      </c>
      <c r="Q1572" s="17" t="s">
        <v>29</v>
      </c>
      <c r="R1572" s="17" t="s">
        <v>29</v>
      </c>
      <c r="S1572" s="17" t="s">
        <v>29</v>
      </c>
      <c r="T1572" s="17" t="s">
        <v>29</v>
      </c>
      <c r="U1572" s="17" t="s">
        <v>29</v>
      </c>
      <c r="V1572" s="17" t="s">
        <v>29</v>
      </c>
      <c r="W1572" s="17" t="s">
        <v>29</v>
      </c>
      <c r="X1572" s="17" t="s">
        <v>29</v>
      </c>
      <c r="Y1572" s="17" t="s">
        <v>29</v>
      </c>
      <c r="Z1572" s="17" t="s">
        <v>29</v>
      </c>
      <c r="AA1572" s="17" t="s">
        <v>29</v>
      </c>
      <c r="AB1572" s="17" t="s">
        <v>29</v>
      </c>
    </row>
    <row r="1573" spans="1:28" x14ac:dyDescent="0.3">
      <c r="A1573" s="63" t="s">
        <v>1003</v>
      </c>
      <c r="B1573" s="7" t="s">
        <v>303</v>
      </c>
      <c r="C1573" s="8"/>
      <c r="D1573" s="15" t="s">
        <v>304</v>
      </c>
      <c r="E1573" s="8"/>
      <c r="F1573" s="8"/>
      <c r="G1573" s="8"/>
      <c r="H1573" s="8"/>
      <c r="I1573" s="8"/>
      <c r="J1573" s="8"/>
      <c r="K1573" s="8"/>
      <c r="L1573" s="8"/>
      <c r="M1573" s="8"/>
      <c r="N1573" s="8"/>
      <c r="O1573" s="8"/>
      <c r="P1573" s="8"/>
      <c r="Q1573" s="8"/>
      <c r="R1573" s="8"/>
      <c r="S1573" s="8"/>
      <c r="T1573" s="8"/>
      <c r="U1573" s="8"/>
      <c r="V1573" s="8"/>
      <c r="W1573" s="8"/>
      <c r="X1573" s="8"/>
      <c r="Y1573" s="8"/>
      <c r="Z1573" s="8"/>
    </row>
    <row r="1574" spans="1:28" x14ac:dyDescent="0.3">
      <c r="A1574" s="64"/>
      <c r="B1574" s="8"/>
      <c r="C1574" s="7" t="s">
        <v>305</v>
      </c>
      <c r="D1574" s="14" t="s">
        <v>52</v>
      </c>
      <c r="E1574" s="9">
        <v>16277629.960000001</v>
      </c>
      <c r="F1574" s="9">
        <v>15424535.18</v>
      </c>
      <c r="G1574" s="8"/>
      <c r="H1574" s="9">
        <f t="shared" ref="H1574:H1593" si="809">F1574+G1574</f>
        <v>15424535.18</v>
      </c>
      <c r="I1574" s="8"/>
      <c r="J1574" s="8"/>
      <c r="K1574" s="8"/>
      <c r="L1574" s="9"/>
      <c r="M1574" s="9">
        <f t="shared" ref="M1574:M1593" si="810">H1574+L1574</f>
        <v>15424535.18</v>
      </c>
      <c r="N1574" s="9">
        <v>853094.78</v>
      </c>
      <c r="O1574" s="8"/>
      <c r="P1574" s="9">
        <f t="shared" ref="P1574:P1593" si="811">N1574+O1574</f>
        <v>853094.78</v>
      </c>
      <c r="Q1574" s="8"/>
      <c r="R1574" s="8"/>
      <c r="S1574" s="8"/>
      <c r="T1574" s="9"/>
      <c r="U1574" s="9">
        <f t="shared" ref="U1574:U1593" si="812">P1574+T1574</f>
        <v>853094.78</v>
      </c>
      <c r="V1574" s="9">
        <f t="shared" ref="V1574:V1593" si="813">P1574+H1574</f>
        <v>16277629.959999999</v>
      </c>
      <c r="W1574" s="9">
        <f t="shared" ref="W1574:W1593" si="814">E1574-V1574</f>
        <v>0</v>
      </c>
      <c r="X1574" s="9">
        <f t="shared" ref="X1574:X1593" si="815">+H1574+P1574</f>
        <v>16277629.959999999</v>
      </c>
      <c r="Y1574" s="8"/>
      <c r="Z1574" s="9">
        <f t="shared" ref="Z1574:Z1593" si="816">+E1574-X1574</f>
        <v>0</v>
      </c>
      <c r="AA1574" s="8">
        <f t="shared" ref="AA1574:AA1593" si="817">+M1574+U1574</f>
        <v>16277629.959999999</v>
      </c>
      <c r="AB1574" s="8">
        <f t="shared" ref="AB1574:AB1593" si="818">+E1574-AA1574</f>
        <v>0</v>
      </c>
    </row>
    <row r="1575" spans="1:28" x14ac:dyDescent="0.3">
      <c r="A1575" s="64"/>
      <c r="B1575" s="8"/>
      <c r="C1575" s="7" t="s">
        <v>172</v>
      </c>
      <c r="D1575" s="15" t="s">
        <v>166</v>
      </c>
      <c r="E1575" s="9">
        <v>663839</v>
      </c>
      <c r="F1575" s="9">
        <v>663839</v>
      </c>
      <c r="G1575" s="8"/>
      <c r="H1575" s="9">
        <f t="shared" si="809"/>
        <v>663839</v>
      </c>
      <c r="I1575" s="8"/>
      <c r="J1575" s="8"/>
      <c r="K1575" s="8"/>
      <c r="L1575" s="9"/>
      <c r="M1575" s="9">
        <f t="shared" si="810"/>
        <v>663839</v>
      </c>
      <c r="N1575" s="9">
        <v>0</v>
      </c>
      <c r="O1575" s="8"/>
      <c r="P1575" s="9">
        <f t="shared" si="811"/>
        <v>0</v>
      </c>
      <c r="Q1575" s="8"/>
      <c r="R1575" s="8"/>
      <c r="S1575" s="8"/>
      <c r="T1575" s="9"/>
      <c r="U1575" s="9">
        <f t="shared" si="812"/>
        <v>0</v>
      </c>
      <c r="V1575" s="9">
        <f t="shared" si="813"/>
        <v>663839</v>
      </c>
      <c r="W1575" s="9">
        <f t="shared" si="814"/>
        <v>0</v>
      </c>
      <c r="X1575" s="9">
        <f t="shared" si="815"/>
        <v>663839</v>
      </c>
      <c r="Y1575" s="8"/>
      <c r="Z1575" s="9">
        <f t="shared" si="816"/>
        <v>0</v>
      </c>
      <c r="AA1575" s="8">
        <f t="shared" si="817"/>
        <v>663839</v>
      </c>
      <c r="AB1575" s="8">
        <f t="shared" si="818"/>
        <v>0</v>
      </c>
    </row>
    <row r="1576" spans="1:28" x14ac:dyDescent="0.3">
      <c r="A1576" s="64"/>
      <c r="B1576" s="8"/>
      <c r="C1576" s="7" t="s">
        <v>295</v>
      </c>
      <c r="D1576" s="15" t="s">
        <v>306</v>
      </c>
      <c r="E1576" s="9">
        <v>60000</v>
      </c>
      <c r="F1576" s="9">
        <v>0</v>
      </c>
      <c r="G1576" s="8"/>
      <c r="H1576" s="9">
        <f t="shared" si="809"/>
        <v>0</v>
      </c>
      <c r="I1576" s="8"/>
      <c r="J1576" s="8"/>
      <c r="K1576" s="8"/>
      <c r="L1576" s="9"/>
      <c r="M1576" s="9">
        <f t="shared" si="810"/>
        <v>0</v>
      </c>
      <c r="N1576" s="9">
        <v>0</v>
      </c>
      <c r="O1576" s="8"/>
      <c r="P1576" s="9">
        <f t="shared" si="811"/>
        <v>0</v>
      </c>
      <c r="Q1576" s="8"/>
      <c r="R1576" s="8"/>
      <c r="S1576" s="8"/>
      <c r="T1576" s="9"/>
      <c r="U1576" s="9">
        <f t="shared" si="812"/>
        <v>0</v>
      </c>
      <c r="V1576" s="9">
        <f t="shared" si="813"/>
        <v>0</v>
      </c>
      <c r="W1576" s="9">
        <f t="shared" si="814"/>
        <v>60000</v>
      </c>
      <c r="X1576" s="9">
        <f t="shared" si="815"/>
        <v>0</v>
      </c>
      <c r="Y1576" s="8"/>
      <c r="Z1576" s="9">
        <f t="shared" si="816"/>
        <v>60000</v>
      </c>
      <c r="AA1576" s="8">
        <f t="shared" si="817"/>
        <v>0</v>
      </c>
      <c r="AB1576" s="8">
        <f t="shared" si="818"/>
        <v>60000</v>
      </c>
    </row>
    <row r="1577" spans="1:28" x14ac:dyDescent="0.3">
      <c r="A1577" s="64"/>
      <c r="B1577" s="8"/>
      <c r="C1577" s="7" t="s">
        <v>53</v>
      </c>
      <c r="D1577" s="15" t="s">
        <v>54</v>
      </c>
      <c r="E1577" s="9">
        <v>1767770</v>
      </c>
      <c r="F1577" s="9">
        <v>0</v>
      </c>
      <c r="G1577" s="8"/>
      <c r="H1577" s="9">
        <f t="shared" si="809"/>
        <v>0</v>
      </c>
      <c r="I1577" s="8"/>
      <c r="J1577" s="8"/>
      <c r="K1577" s="8"/>
      <c r="L1577" s="9"/>
      <c r="M1577" s="9">
        <f t="shared" si="810"/>
        <v>0</v>
      </c>
      <c r="N1577" s="9">
        <v>1767770</v>
      </c>
      <c r="O1577" s="8"/>
      <c r="P1577" s="9">
        <f t="shared" si="811"/>
        <v>1767770</v>
      </c>
      <c r="Q1577" s="8"/>
      <c r="R1577" s="8"/>
      <c r="S1577" s="8"/>
      <c r="T1577" s="9"/>
      <c r="U1577" s="9">
        <f t="shared" si="812"/>
        <v>1767770</v>
      </c>
      <c r="V1577" s="9">
        <f t="shared" si="813"/>
        <v>1767770</v>
      </c>
      <c r="W1577" s="9">
        <f t="shared" si="814"/>
        <v>0</v>
      </c>
      <c r="X1577" s="9">
        <f t="shared" si="815"/>
        <v>1767770</v>
      </c>
      <c r="Y1577" s="8"/>
      <c r="Z1577" s="9">
        <f t="shared" si="816"/>
        <v>0</v>
      </c>
      <c r="AA1577" s="8">
        <f t="shared" si="817"/>
        <v>1767770</v>
      </c>
      <c r="AB1577" s="8">
        <f t="shared" si="818"/>
        <v>0</v>
      </c>
    </row>
    <row r="1578" spans="1:28" x14ac:dyDescent="0.3">
      <c r="A1578" s="64"/>
      <c r="B1578" s="8"/>
      <c r="C1578" s="7" t="s">
        <v>307</v>
      </c>
      <c r="D1578" s="15" t="s">
        <v>308</v>
      </c>
      <c r="E1578" s="9">
        <v>1750000</v>
      </c>
      <c r="F1578" s="9">
        <v>1750000</v>
      </c>
      <c r="G1578" s="8"/>
      <c r="H1578" s="9">
        <f t="shared" si="809"/>
        <v>1750000</v>
      </c>
      <c r="I1578" s="8"/>
      <c r="J1578" s="8"/>
      <c r="K1578" s="8"/>
      <c r="L1578" s="9"/>
      <c r="M1578" s="9">
        <f t="shared" si="810"/>
        <v>1750000</v>
      </c>
      <c r="N1578" s="9">
        <v>0</v>
      </c>
      <c r="O1578" s="8"/>
      <c r="P1578" s="9">
        <f t="shared" si="811"/>
        <v>0</v>
      </c>
      <c r="Q1578" s="8"/>
      <c r="R1578" s="8"/>
      <c r="S1578" s="8"/>
      <c r="T1578" s="9"/>
      <c r="U1578" s="9">
        <f t="shared" si="812"/>
        <v>0</v>
      </c>
      <c r="V1578" s="9">
        <f t="shared" si="813"/>
        <v>1750000</v>
      </c>
      <c r="W1578" s="9">
        <f t="shared" si="814"/>
        <v>0</v>
      </c>
      <c r="X1578" s="9">
        <f t="shared" si="815"/>
        <v>1750000</v>
      </c>
      <c r="Y1578" s="8"/>
      <c r="Z1578" s="9">
        <f t="shared" si="816"/>
        <v>0</v>
      </c>
      <c r="AA1578" s="8">
        <f t="shared" si="817"/>
        <v>1750000</v>
      </c>
      <c r="AB1578" s="8">
        <f t="shared" si="818"/>
        <v>0</v>
      </c>
    </row>
    <row r="1579" spans="1:28" x14ac:dyDescent="0.3">
      <c r="A1579" s="64"/>
      <c r="B1579" s="8"/>
      <c r="C1579" s="7" t="s">
        <v>300</v>
      </c>
      <c r="D1579" s="15" t="s">
        <v>234</v>
      </c>
      <c r="E1579" s="9">
        <v>605000</v>
      </c>
      <c r="F1579" s="9">
        <v>605000</v>
      </c>
      <c r="G1579" s="8"/>
      <c r="H1579" s="9">
        <f t="shared" si="809"/>
        <v>605000</v>
      </c>
      <c r="I1579" s="8"/>
      <c r="J1579" s="8"/>
      <c r="K1579" s="8"/>
      <c r="L1579" s="9"/>
      <c r="M1579" s="9">
        <f t="shared" si="810"/>
        <v>605000</v>
      </c>
      <c r="N1579" s="9">
        <v>0</v>
      </c>
      <c r="O1579" s="8"/>
      <c r="P1579" s="9">
        <f t="shared" si="811"/>
        <v>0</v>
      </c>
      <c r="Q1579" s="8"/>
      <c r="R1579" s="8"/>
      <c r="S1579" s="8"/>
      <c r="T1579" s="9"/>
      <c r="U1579" s="9">
        <f t="shared" si="812"/>
        <v>0</v>
      </c>
      <c r="V1579" s="9">
        <f t="shared" si="813"/>
        <v>605000</v>
      </c>
      <c r="W1579" s="9">
        <f t="shared" si="814"/>
        <v>0</v>
      </c>
      <c r="X1579" s="9">
        <f t="shared" si="815"/>
        <v>605000</v>
      </c>
      <c r="Y1579" s="8"/>
      <c r="Z1579" s="9">
        <f t="shared" si="816"/>
        <v>0</v>
      </c>
      <c r="AA1579" s="8">
        <f t="shared" si="817"/>
        <v>605000</v>
      </c>
      <c r="AB1579" s="8">
        <f t="shared" si="818"/>
        <v>0</v>
      </c>
    </row>
    <row r="1580" spans="1:28" x14ac:dyDescent="0.3">
      <c r="A1580" s="64"/>
      <c r="B1580" s="8"/>
      <c r="C1580" s="7" t="s">
        <v>106</v>
      </c>
      <c r="D1580" s="15" t="s">
        <v>234</v>
      </c>
      <c r="E1580" s="9">
        <v>307500</v>
      </c>
      <c r="F1580" s="9">
        <v>219040</v>
      </c>
      <c r="G1580" s="8"/>
      <c r="H1580" s="9">
        <f t="shared" si="809"/>
        <v>219040</v>
      </c>
      <c r="I1580" s="8"/>
      <c r="J1580" s="8"/>
      <c r="K1580" s="8"/>
      <c r="L1580" s="9"/>
      <c r="M1580" s="9">
        <f t="shared" si="810"/>
        <v>219040</v>
      </c>
      <c r="N1580" s="9">
        <v>0</v>
      </c>
      <c r="O1580" s="8"/>
      <c r="P1580" s="9">
        <f t="shared" si="811"/>
        <v>0</v>
      </c>
      <c r="Q1580" s="8"/>
      <c r="R1580" s="8"/>
      <c r="S1580" s="8"/>
      <c r="T1580" s="9"/>
      <c r="U1580" s="9">
        <f t="shared" si="812"/>
        <v>0</v>
      </c>
      <c r="V1580" s="9">
        <f t="shared" si="813"/>
        <v>219040</v>
      </c>
      <c r="W1580" s="9">
        <f t="shared" si="814"/>
        <v>88460</v>
      </c>
      <c r="X1580" s="9">
        <f t="shared" si="815"/>
        <v>219040</v>
      </c>
      <c r="Y1580" s="8"/>
      <c r="Z1580" s="9">
        <f t="shared" si="816"/>
        <v>88460</v>
      </c>
      <c r="AA1580" s="8">
        <f t="shared" si="817"/>
        <v>219040</v>
      </c>
      <c r="AB1580" s="8">
        <f t="shared" si="818"/>
        <v>88460</v>
      </c>
    </row>
    <row r="1581" spans="1:28" x14ac:dyDescent="0.3">
      <c r="A1581" s="64"/>
      <c r="B1581" s="8"/>
      <c r="C1581" s="7" t="s">
        <v>309</v>
      </c>
      <c r="D1581" s="15" t="s">
        <v>234</v>
      </c>
      <c r="E1581" s="9">
        <v>2700000</v>
      </c>
      <c r="F1581" s="9">
        <v>2700000</v>
      </c>
      <c r="G1581" s="8"/>
      <c r="H1581" s="9">
        <f t="shared" si="809"/>
        <v>2700000</v>
      </c>
      <c r="I1581" s="8"/>
      <c r="J1581" s="8"/>
      <c r="K1581" s="8"/>
      <c r="L1581" s="9"/>
      <c r="M1581" s="9">
        <f t="shared" si="810"/>
        <v>2700000</v>
      </c>
      <c r="N1581" s="9">
        <v>0</v>
      </c>
      <c r="O1581" s="8"/>
      <c r="P1581" s="9">
        <f t="shared" si="811"/>
        <v>0</v>
      </c>
      <c r="Q1581" s="8"/>
      <c r="R1581" s="8"/>
      <c r="S1581" s="8"/>
      <c r="T1581" s="9"/>
      <c r="U1581" s="9">
        <f t="shared" si="812"/>
        <v>0</v>
      </c>
      <c r="V1581" s="9">
        <f t="shared" si="813"/>
        <v>2700000</v>
      </c>
      <c r="W1581" s="9">
        <f t="shared" si="814"/>
        <v>0</v>
      </c>
      <c r="X1581" s="9">
        <f t="shared" si="815"/>
        <v>2700000</v>
      </c>
      <c r="Y1581" s="8"/>
      <c r="Z1581" s="9">
        <f t="shared" si="816"/>
        <v>0</v>
      </c>
      <c r="AA1581" s="8">
        <f t="shared" si="817"/>
        <v>2700000</v>
      </c>
      <c r="AB1581" s="8">
        <f t="shared" si="818"/>
        <v>0</v>
      </c>
    </row>
    <row r="1582" spans="1:28" x14ac:dyDescent="0.3">
      <c r="A1582" s="64"/>
      <c r="B1582" s="8"/>
      <c r="C1582" s="7" t="s">
        <v>302</v>
      </c>
      <c r="D1582" s="15" t="s">
        <v>85</v>
      </c>
      <c r="E1582" s="9">
        <v>200000</v>
      </c>
      <c r="F1582" s="9">
        <v>200000</v>
      </c>
      <c r="G1582" s="8"/>
      <c r="H1582" s="9">
        <f t="shared" si="809"/>
        <v>200000</v>
      </c>
      <c r="I1582" s="8"/>
      <c r="J1582" s="8"/>
      <c r="K1582" s="8"/>
      <c r="L1582" s="9"/>
      <c r="M1582" s="9">
        <f t="shared" si="810"/>
        <v>200000</v>
      </c>
      <c r="N1582" s="9">
        <v>0</v>
      </c>
      <c r="O1582" s="8"/>
      <c r="P1582" s="9">
        <f t="shared" si="811"/>
        <v>0</v>
      </c>
      <c r="Q1582" s="8"/>
      <c r="R1582" s="8"/>
      <c r="S1582" s="8"/>
      <c r="T1582" s="9"/>
      <c r="U1582" s="9">
        <f t="shared" si="812"/>
        <v>0</v>
      </c>
      <c r="V1582" s="9">
        <f t="shared" si="813"/>
        <v>200000</v>
      </c>
      <c r="W1582" s="9">
        <f t="shared" si="814"/>
        <v>0</v>
      </c>
      <c r="X1582" s="9">
        <f t="shared" si="815"/>
        <v>200000</v>
      </c>
      <c r="Y1582" s="8"/>
      <c r="Z1582" s="9">
        <f t="shared" si="816"/>
        <v>0</v>
      </c>
      <c r="AA1582" s="8">
        <f t="shared" si="817"/>
        <v>200000</v>
      </c>
      <c r="AB1582" s="8">
        <f t="shared" si="818"/>
        <v>0</v>
      </c>
    </row>
    <row r="1583" spans="1:28" x14ac:dyDescent="0.3">
      <c r="A1583" s="64"/>
      <c r="B1583" s="8"/>
      <c r="C1583" s="7" t="s">
        <v>55</v>
      </c>
      <c r="D1583" s="15" t="s">
        <v>88</v>
      </c>
      <c r="E1583" s="9">
        <v>812323.5</v>
      </c>
      <c r="F1583" s="9">
        <v>0</v>
      </c>
      <c r="G1583" s="8"/>
      <c r="H1583" s="9">
        <f t="shared" si="809"/>
        <v>0</v>
      </c>
      <c r="I1583" s="8"/>
      <c r="J1583" s="8"/>
      <c r="K1583" s="8"/>
      <c r="L1583" s="9"/>
      <c r="M1583" s="9">
        <f t="shared" si="810"/>
        <v>0</v>
      </c>
      <c r="N1583" s="9">
        <v>812323.5</v>
      </c>
      <c r="O1583" s="8"/>
      <c r="P1583" s="9">
        <f t="shared" si="811"/>
        <v>812323.5</v>
      </c>
      <c r="Q1583" s="8"/>
      <c r="R1583" s="8"/>
      <c r="S1583" s="8"/>
      <c r="T1583" s="9"/>
      <c r="U1583" s="9">
        <f t="shared" si="812"/>
        <v>812323.5</v>
      </c>
      <c r="V1583" s="9">
        <f t="shared" si="813"/>
        <v>812323.5</v>
      </c>
      <c r="W1583" s="9">
        <f t="shared" si="814"/>
        <v>0</v>
      </c>
      <c r="X1583" s="9">
        <f t="shared" si="815"/>
        <v>812323.5</v>
      </c>
      <c r="Y1583" s="8"/>
      <c r="Z1583" s="9">
        <f t="shared" si="816"/>
        <v>0</v>
      </c>
      <c r="AA1583" s="8">
        <f t="shared" si="817"/>
        <v>812323.5</v>
      </c>
      <c r="AB1583" s="8">
        <f t="shared" si="818"/>
        <v>0</v>
      </c>
    </row>
    <row r="1584" spans="1:28" x14ac:dyDescent="0.3">
      <c r="A1584" s="64"/>
      <c r="B1584" s="8"/>
      <c r="C1584" s="7" t="s">
        <v>57</v>
      </c>
      <c r="D1584" s="15" t="s">
        <v>58</v>
      </c>
      <c r="E1584" s="9">
        <v>8148000</v>
      </c>
      <c r="F1584" s="9">
        <v>8148000</v>
      </c>
      <c r="G1584" s="8"/>
      <c r="H1584" s="9">
        <f t="shared" si="809"/>
        <v>8148000</v>
      </c>
      <c r="I1584" s="8"/>
      <c r="J1584" s="8"/>
      <c r="K1584" s="8"/>
      <c r="L1584" s="9"/>
      <c r="M1584" s="9">
        <f t="shared" si="810"/>
        <v>8148000</v>
      </c>
      <c r="N1584" s="9">
        <v>0</v>
      </c>
      <c r="O1584" s="8"/>
      <c r="P1584" s="9">
        <f t="shared" si="811"/>
        <v>0</v>
      </c>
      <c r="Q1584" s="8"/>
      <c r="R1584" s="8"/>
      <c r="S1584" s="8"/>
      <c r="T1584" s="9"/>
      <c r="U1584" s="9">
        <f t="shared" si="812"/>
        <v>0</v>
      </c>
      <c r="V1584" s="9">
        <f t="shared" si="813"/>
        <v>8148000</v>
      </c>
      <c r="W1584" s="9">
        <f t="shared" si="814"/>
        <v>0</v>
      </c>
      <c r="X1584" s="9">
        <f t="shared" si="815"/>
        <v>8148000</v>
      </c>
      <c r="Y1584" s="8"/>
      <c r="Z1584" s="9">
        <f t="shared" si="816"/>
        <v>0</v>
      </c>
      <c r="AA1584" s="8">
        <f t="shared" si="817"/>
        <v>8148000</v>
      </c>
      <c r="AB1584" s="8">
        <f t="shared" si="818"/>
        <v>0</v>
      </c>
    </row>
    <row r="1585" spans="1:28" x14ac:dyDescent="0.3">
      <c r="A1585" s="64"/>
      <c r="B1585" s="8"/>
      <c r="C1585" s="14" t="s">
        <v>310</v>
      </c>
      <c r="D1585" s="21" t="s">
        <v>58</v>
      </c>
      <c r="E1585" s="9">
        <v>500000</v>
      </c>
      <c r="F1585" s="11">
        <v>500000</v>
      </c>
      <c r="G1585" s="8"/>
      <c r="H1585" s="9">
        <f t="shared" si="809"/>
        <v>500000</v>
      </c>
      <c r="I1585" s="8"/>
      <c r="J1585" s="8"/>
      <c r="K1585" s="8"/>
      <c r="L1585" s="9"/>
      <c r="M1585" s="9">
        <f t="shared" si="810"/>
        <v>500000</v>
      </c>
      <c r="N1585" s="9">
        <v>0</v>
      </c>
      <c r="O1585" s="8"/>
      <c r="P1585" s="9">
        <f t="shared" si="811"/>
        <v>0</v>
      </c>
      <c r="Q1585" s="8"/>
      <c r="R1585" s="8"/>
      <c r="S1585" s="8"/>
      <c r="T1585" s="9"/>
      <c r="U1585" s="9">
        <f t="shared" si="812"/>
        <v>0</v>
      </c>
      <c r="V1585" s="9">
        <f t="shared" si="813"/>
        <v>500000</v>
      </c>
      <c r="W1585" s="9">
        <f t="shared" si="814"/>
        <v>0</v>
      </c>
      <c r="X1585" s="9">
        <f t="shared" si="815"/>
        <v>500000</v>
      </c>
      <c r="Y1585" s="8"/>
      <c r="Z1585" s="9">
        <f t="shared" si="816"/>
        <v>0</v>
      </c>
      <c r="AA1585" s="8">
        <f t="shared" si="817"/>
        <v>500000</v>
      </c>
      <c r="AB1585" s="8">
        <f t="shared" si="818"/>
        <v>0</v>
      </c>
    </row>
    <row r="1586" spans="1:28" x14ac:dyDescent="0.3">
      <c r="A1586" s="64"/>
      <c r="B1586" s="8"/>
      <c r="C1586" s="14" t="s">
        <v>311</v>
      </c>
      <c r="D1586" s="21" t="s">
        <v>60</v>
      </c>
      <c r="E1586" s="9">
        <v>400000</v>
      </c>
      <c r="F1586" s="11">
        <v>400000</v>
      </c>
      <c r="G1586" s="8"/>
      <c r="H1586" s="9">
        <f t="shared" si="809"/>
        <v>400000</v>
      </c>
      <c r="I1586" s="8"/>
      <c r="J1586" s="8"/>
      <c r="K1586" s="8"/>
      <c r="L1586" s="9"/>
      <c r="M1586" s="9">
        <f t="shared" si="810"/>
        <v>400000</v>
      </c>
      <c r="N1586" s="9">
        <v>0</v>
      </c>
      <c r="O1586" s="8"/>
      <c r="P1586" s="9">
        <f t="shared" si="811"/>
        <v>0</v>
      </c>
      <c r="Q1586" s="8"/>
      <c r="R1586" s="8"/>
      <c r="S1586" s="8"/>
      <c r="T1586" s="9"/>
      <c r="U1586" s="9">
        <f t="shared" si="812"/>
        <v>0</v>
      </c>
      <c r="V1586" s="9">
        <f t="shared" si="813"/>
        <v>400000</v>
      </c>
      <c r="W1586" s="9">
        <f t="shared" si="814"/>
        <v>0</v>
      </c>
      <c r="X1586" s="9">
        <f t="shared" si="815"/>
        <v>400000</v>
      </c>
      <c r="Y1586" s="8"/>
      <c r="Z1586" s="9">
        <f t="shared" si="816"/>
        <v>0</v>
      </c>
      <c r="AA1586" s="8">
        <f t="shared" si="817"/>
        <v>400000</v>
      </c>
      <c r="AB1586" s="8">
        <f t="shared" si="818"/>
        <v>0</v>
      </c>
    </row>
    <row r="1587" spans="1:28" x14ac:dyDescent="0.3">
      <c r="A1587" s="64"/>
      <c r="B1587" s="8"/>
      <c r="C1587" s="14" t="s">
        <v>109</v>
      </c>
      <c r="D1587" s="21" t="s">
        <v>60</v>
      </c>
      <c r="E1587" s="9">
        <v>2500000</v>
      </c>
      <c r="F1587" s="11">
        <v>2500000</v>
      </c>
      <c r="G1587" s="8"/>
      <c r="H1587" s="9">
        <f t="shared" si="809"/>
        <v>2500000</v>
      </c>
      <c r="I1587" s="8"/>
      <c r="J1587" s="8"/>
      <c r="K1587" s="8"/>
      <c r="L1587" s="9"/>
      <c r="M1587" s="9">
        <f t="shared" si="810"/>
        <v>2500000</v>
      </c>
      <c r="N1587" s="9">
        <v>0</v>
      </c>
      <c r="O1587" s="8"/>
      <c r="P1587" s="9">
        <f t="shared" si="811"/>
        <v>0</v>
      </c>
      <c r="Q1587" s="8"/>
      <c r="R1587" s="8"/>
      <c r="S1587" s="8"/>
      <c r="T1587" s="9"/>
      <c r="U1587" s="9">
        <f t="shared" si="812"/>
        <v>0</v>
      </c>
      <c r="V1587" s="9">
        <f t="shared" si="813"/>
        <v>2500000</v>
      </c>
      <c r="W1587" s="9">
        <f t="shared" si="814"/>
        <v>0</v>
      </c>
      <c r="X1587" s="9">
        <f t="shared" si="815"/>
        <v>2500000</v>
      </c>
      <c r="Y1587" s="8"/>
      <c r="Z1587" s="9">
        <f t="shared" si="816"/>
        <v>0</v>
      </c>
      <c r="AA1587" s="8">
        <f t="shared" si="817"/>
        <v>2500000</v>
      </c>
      <c r="AB1587" s="8">
        <f t="shared" si="818"/>
        <v>0</v>
      </c>
    </row>
    <row r="1588" spans="1:28" x14ac:dyDescent="0.3">
      <c r="A1588" s="64"/>
      <c r="B1588" s="8"/>
      <c r="C1588" s="7" t="s">
        <v>57</v>
      </c>
      <c r="D1588" s="15" t="s">
        <v>60</v>
      </c>
      <c r="E1588" s="9">
        <v>3023000</v>
      </c>
      <c r="F1588" s="11">
        <v>3023000</v>
      </c>
      <c r="G1588" s="8"/>
      <c r="H1588" s="9">
        <f t="shared" si="809"/>
        <v>3023000</v>
      </c>
      <c r="I1588" s="8"/>
      <c r="J1588" s="8"/>
      <c r="K1588" s="8"/>
      <c r="L1588" s="9"/>
      <c r="M1588" s="9">
        <f t="shared" si="810"/>
        <v>3023000</v>
      </c>
      <c r="N1588" s="9">
        <v>0</v>
      </c>
      <c r="O1588" s="8"/>
      <c r="P1588" s="9">
        <f t="shared" si="811"/>
        <v>0</v>
      </c>
      <c r="Q1588" s="8"/>
      <c r="R1588" s="8"/>
      <c r="S1588" s="8"/>
      <c r="T1588" s="9"/>
      <c r="U1588" s="9">
        <f t="shared" si="812"/>
        <v>0</v>
      </c>
      <c r="V1588" s="9">
        <f t="shared" si="813"/>
        <v>3023000</v>
      </c>
      <c r="W1588" s="9">
        <f t="shared" si="814"/>
        <v>0</v>
      </c>
      <c r="X1588" s="9">
        <f t="shared" si="815"/>
        <v>3023000</v>
      </c>
      <c r="Y1588" s="8"/>
      <c r="Z1588" s="9">
        <f t="shared" si="816"/>
        <v>0</v>
      </c>
      <c r="AA1588" s="8">
        <f t="shared" si="817"/>
        <v>3023000</v>
      </c>
      <c r="AB1588" s="8">
        <f t="shared" si="818"/>
        <v>0</v>
      </c>
    </row>
    <row r="1589" spans="1:28" x14ac:dyDescent="0.3">
      <c r="A1589" s="64"/>
      <c r="B1589" s="8"/>
      <c r="C1589" s="7" t="s">
        <v>57</v>
      </c>
      <c r="D1589" s="15" t="s">
        <v>73</v>
      </c>
      <c r="E1589" s="9">
        <v>912019</v>
      </c>
      <c r="F1589" s="11">
        <v>912019</v>
      </c>
      <c r="G1589" s="8"/>
      <c r="H1589" s="9">
        <f t="shared" si="809"/>
        <v>912019</v>
      </c>
      <c r="I1589" s="8"/>
      <c r="J1589" s="8"/>
      <c r="K1589" s="8"/>
      <c r="L1589" s="9"/>
      <c r="M1589" s="9">
        <f t="shared" si="810"/>
        <v>912019</v>
      </c>
      <c r="N1589" s="9">
        <v>0</v>
      </c>
      <c r="O1589" s="8"/>
      <c r="P1589" s="9">
        <f t="shared" si="811"/>
        <v>0</v>
      </c>
      <c r="Q1589" s="8"/>
      <c r="R1589" s="8"/>
      <c r="S1589" s="8"/>
      <c r="T1589" s="9"/>
      <c r="U1589" s="9">
        <f t="shared" si="812"/>
        <v>0</v>
      </c>
      <c r="V1589" s="9">
        <f t="shared" si="813"/>
        <v>912019</v>
      </c>
      <c r="W1589" s="9">
        <f t="shared" si="814"/>
        <v>0</v>
      </c>
      <c r="X1589" s="9">
        <f t="shared" si="815"/>
        <v>912019</v>
      </c>
      <c r="Y1589" s="8"/>
      <c r="Z1589" s="9">
        <f t="shared" si="816"/>
        <v>0</v>
      </c>
      <c r="AA1589" s="8">
        <f t="shared" si="817"/>
        <v>912019</v>
      </c>
      <c r="AB1589" s="8">
        <f t="shared" si="818"/>
        <v>0</v>
      </c>
    </row>
    <row r="1590" spans="1:28" x14ac:dyDescent="0.3">
      <c r="A1590" s="64"/>
      <c r="B1590" s="8"/>
      <c r="C1590" s="7" t="s">
        <v>930</v>
      </c>
      <c r="D1590" s="15"/>
      <c r="E1590" s="9">
        <v>2129834.2200000002</v>
      </c>
      <c r="F1590" s="8">
        <v>2129834.2200000002</v>
      </c>
      <c r="G1590" s="8"/>
      <c r="H1590" s="9">
        <f>+F1590+G1590</f>
        <v>2129834.2200000002</v>
      </c>
      <c r="I1590" s="8"/>
      <c r="J1590" s="8"/>
      <c r="K1590" s="8"/>
      <c r="L1590" s="9"/>
      <c r="M1590" s="9">
        <f>+H1590+L1590</f>
        <v>2129834.2200000002</v>
      </c>
      <c r="N1590" s="9">
        <v>0</v>
      </c>
      <c r="O1590" s="8"/>
      <c r="P1590" s="9">
        <f>+N1590+O1590</f>
        <v>0</v>
      </c>
      <c r="Q1590" s="8"/>
      <c r="R1590" s="8"/>
      <c r="S1590" s="8"/>
      <c r="T1590" s="9"/>
      <c r="U1590" s="9">
        <f>P1590+T1590</f>
        <v>0</v>
      </c>
      <c r="V1590" s="9">
        <f>P1590+H1590</f>
        <v>2129834.2200000002</v>
      </c>
      <c r="W1590" s="9">
        <f>E1590-V1590</f>
        <v>0</v>
      </c>
      <c r="X1590" s="9">
        <f t="shared" si="815"/>
        <v>2129834.2200000002</v>
      </c>
      <c r="Y1590" s="8"/>
      <c r="Z1590" s="9">
        <f t="shared" si="816"/>
        <v>0</v>
      </c>
      <c r="AA1590" s="8">
        <f t="shared" si="817"/>
        <v>2129834.2200000002</v>
      </c>
      <c r="AB1590" s="8">
        <f t="shared" si="818"/>
        <v>0</v>
      </c>
    </row>
    <row r="1591" spans="1:28" x14ac:dyDescent="0.3">
      <c r="A1591" s="64"/>
      <c r="B1591" s="8"/>
      <c r="C1591" s="7" t="s">
        <v>1188</v>
      </c>
      <c r="D1591" s="16" t="s">
        <v>1126</v>
      </c>
      <c r="E1591" s="9">
        <v>250000</v>
      </c>
      <c r="F1591" s="8">
        <v>250000</v>
      </c>
      <c r="G1591" s="8"/>
      <c r="H1591" s="9">
        <f>+F1591+G1591</f>
        <v>250000</v>
      </c>
      <c r="I1591" s="8"/>
      <c r="J1591" s="8"/>
      <c r="K1591" s="8"/>
      <c r="L1591" s="9"/>
      <c r="M1591" s="9">
        <f>+H1591+L1591</f>
        <v>250000</v>
      </c>
      <c r="N1591" s="9">
        <v>0</v>
      </c>
      <c r="O1591" s="8"/>
      <c r="P1591" s="9">
        <f>+N1591+O1591</f>
        <v>0</v>
      </c>
      <c r="Q1591" s="8"/>
      <c r="R1591" s="8"/>
      <c r="S1591" s="8"/>
      <c r="T1591" s="9"/>
      <c r="U1591" s="9">
        <f>P1591+T1591</f>
        <v>0</v>
      </c>
      <c r="V1591" s="9">
        <f>P1591+H1591</f>
        <v>250000</v>
      </c>
      <c r="W1591" s="9">
        <f>E1591-V1591</f>
        <v>0</v>
      </c>
      <c r="X1591" s="9">
        <f t="shared" si="815"/>
        <v>250000</v>
      </c>
      <c r="Y1591" s="8"/>
      <c r="Z1591" s="9">
        <f t="shared" si="816"/>
        <v>0</v>
      </c>
      <c r="AA1591" s="8">
        <f t="shared" si="817"/>
        <v>250000</v>
      </c>
      <c r="AB1591" s="8">
        <f t="shared" si="818"/>
        <v>0</v>
      </c>
    </row>
    <row r="1592" spans="1:28" x14ac:dyDescent="0.3">
      <c r="A1592" s="64"/>
      <c r="B1592" s="8"/>
      <c r="C1592" s="7" t="s">
        <v>1262</v>
      </c>
      <c r="D1592" s="16" t="s">
        <v>1225</v>
      </c>
      <c r="E1592" s="9">
        <v>330000</v>
      </c>
      <c r="F1592" s="8"/>
      <c r="G1592" s="8">
        <v>330000</v>
      </c>
      <c r="H1592" s="9">
        <f>+F1592+G1592</f>
        <v>330000</v>
      </c>
      <c r="I1592" s="8"/>
      <c r="J1592" s="8"/>
      <c r="K1592" s="8"/>
      <c r="L1592" s="9"/>
      <c r="M1592" s="9">
        <f>+H1592+L1592</f>
        <v>330000</v>
      </c>
      <c r="N1592" s="9">
        <v>0</v>
      </c>
      <c r="O1592" s="8"/>
      <c r="P1592" s="9">
        <f>+N1592+O1592</f>
        <v>0</v>
      </c>
      <c r="Q1592" s="8"/>
      <c r="R1592" s="8"/>
      <c r="S1592" s="8"/>
      <c r="T1592" s="9"/>
      <c r="U1592" s="9">
        <f>+P1592+T1592</f>
        <v>0</v>
      </c>
      <c r="V1592" s="9"/>
      <c r="W1592" s="9"/>
      <c r="X1592" s="9">
        <f>+H1592+P1592</f>
        <v>330000</v>
      </c>
      <c r="Y1592" s="8"/>
      <c r="Z1592" s="9">
        <f>+E1592-X1592</f>
        <v>0</v>
      </c>
      <c r="AA1592" s="8">
        <f>+M1592+U1592</f>
        <v>330000</v>
      </c>
      <c r="AB1592" s="8">
        <f>+E1592-AA1592</f>
        <v>0</v>
      </c>
    </row>
    <row r="1593" spans="1:28" x14ac:dyDescent="0.3">
      <c r="A1593" s="64"/>
      <c r="B1593" s="8"/>
      <c r="C1593" s="7" t="s">
        <v>57</v>
      </c>
      <c r="D1593" s="16" t="s">
        <v>61</v>
      </c>
      <c r="E1593" s="9">
        <v>794000</v>
      </c>
      <c r="F1593" s="8">
        <v>794000</v>
      </c>
      <c r="G1593" s="8"/>
      <c r="H1593" s="9">
        <f t="shared" si="809"/>
        <v>794000</v>
      </c>
      <c r="I1593" s="8"/>
      <c r="J1593" s="8"/>
      <c r="K1593" s="8"/>
      <c r="L1593" s="9"/>
      <c r="M1593" s="9">
        <f t="shared" si="810"/>
        <v>794000</v>
      </c>
      <c r="N1593" s="9">
        <v>0</v>
      </c>
      <c r="O1593" s="8"/>
      <c r="P1593" s="9">
        <f t="shared" si="811"/>
        <v>0</v>
      </c>
      <c r="Q1593" s="8"/>
      <c r="R1593" s="8"/>
      <c r="S1593" s="8"/>
      <c r="T1593" s="9"/>
      <c r="U1593" s="9">
        <f t="shared" si="812"/>
        <v>0</v>
      </c>
      <c r="V1593" s="9">
        <f t="shared" si="813"/>
        <v>794000</v>
      </c>
      <c r="W1593" s="9">
        <f t="shared" si="814"/>
        <v>0</v>
      </c>
      <c r="X1593" s="9">
        <f t="shared" si="815"/>
        <v>794000</v>
      </c>
      <c r="Y1593" s="8"/>
      <c r="Z1593" s="9">
        <f t="shared" si="816"/>
        <v>0</v>
      </c>
      <c r="AA1593" s="8">
        <f t="shared" si="817"/>
        <v>794000</v>
      </c>
      <c r="AB1593" s="8">
        <f t="shared" si="818"/>
        <v>0</v>
      </c>
    </row>
    <row r="1594" spans="1:28" x14ac:dyDescent="0.3">
      <c r="A1594" s="64"/>
      <c r="B1594" s="8"/>
      <c r="C1594" s="8"/>
      <c r="D1594" s="8"/>
      <c r="E1594" s="17" t="s">
        <v>29</v>
      </c>
      <c r="F1594" s="17" t="s">
        <v>29</v>
      </c>
      <c r="G1594" s="17" t="s">
        <v>29</v>
      </c>
      <c r="H1594" s="17" t="s">
        <v>29</v>
      </c>
      <c r="I1594" s="17" t="s">
        <v>29</v>
      </c>
      <c r="J1594" s="17" t="s">
        <v>29</v>
      </c>
      <c r="K1594" s="17" t="s">
        <v>29</v>
      </c>
      <c r="L1594" s="17" t="s">
        <v>29</v>
      </c>
      <c r="M1594" s="17" t="s">
        <v>29</v>
      </c>
      <c r="N1594" s="17" t="s">
        <v>29</v>
      </c>
      <c r="O1594" s="17" t="s">
        <v>29</v>
      </c>
      <c r="P1594" s="17" t="s">
        <v>29</v>
      </c>
      <c r="Q1594" s="17" t="s">
        <v>29</v>
      </c>
      <c r="R1594" s="17" t="s">
        <v>29</v>
      </c>
      <c r="S1594" s="17" t="s">
        <v>29</v>
      </c>
      <c r="T1594" s="17" t="s">
        <v>29</v>
      </c>
      <c r="U1594" s="17" t="s">
        <v>29</v>
      </c>
      <c r="V1594" s="17" t="s">
        <v>29</v>
      </c>
      <c r="W1594" s="17" t="s">
        <v>29</v>
      </c>
      <c r="X1594" s="17" t="s">
        <v>29</v>
      </c>
      <c r="Y1594" s="17" t="s">
        <v>29</v>
      </c>
      <c r="Z1594" s="17" t="s">
        <v>29</v>
      </c>
      <c r="AA1594" s="17" t="s">
        <v>29</v>
      </c>
      <c r="AB1594" s="17" t="s">
        <v>29</v>
      </c>
    </row>
    <row r="1595" spans="1:28" x14ac:dyDescent="0.3">
      <c r="A1595" s="64"/>
      <c r="B1595" s="8"/>
      <c r="C1595" s="8"/>
      <c r="D1595" s="8"/>
      <c r="E1595" s="9">
        <f t="shared" ref="E1595:AB1595" si="819">SUM(E1574:E1593)</f>
        <v>44130915.68</v>
      </c>
      <c r="F1595" s="9">
        <f t="shared" si="819"/>
        <v>40219267.399999999</v>
      </c>
      <c r="G1595" s="9">
        <f t="shared" si="819"/>
        <v>330000</v>
      </c>
      <c r="H1595" s="9">
        <f t="shared" si="819"/>
        <v>40549267.399999999</v>
      </c>
      <c r="I1595" s="9">
        <f t="shared" si="819"/>
        <v>0</v>
      </c>
      <c r="J1595" s="9">
        <f t="shared" si="819"/>
        <v>0</v>
      </c>
      <c r="K1595" s="9">
        <f t="shared" si="819"/>
        <v>0</v>
      </c>
      <c r="L1595" s="9">
        <f t="shared" si="819"/>
        <v>0</v>
      </c>
      <c r="M1595" s="9">
        <f t="shared" si="819"/>
        <v>40549267.399999999</v>
      </c>
      <c r="N1595" s="9">
        <f t="shared" si="819"/>
        <v>3433188.2800000003</v>
      </c>
      <c r="O1595" s="9">
        <f t="shared" si="819"/>
        <v>0</v>
      </c>
      <c r="P1595" s="9">
        <f t="shared" si="819"/>
        <v>3433188.2800000003</v>
      </c>
      <c r="Q1595" s="9">
        <f t="shared" si="819"/>
        <v>0</v>
      </c>
      <c r="R1595" s="9">
        <f t="shared" si="819"/>
        <v>0</v>
      </c>
      <c r="S1595" s="9">
        <f t="shared" si="819"/>
        <v>0</v>
      </c>
      <c r="T1595" s="9">
        <f t="shared" si="819"/>
        <v>0</v>
      </c>
      <c r="U1595" s="9">
        <f t="shared" si="819"/>
        <v>3433188.2800000003</v>
      </c>
      <c r="V1595" s="9">
        <f t="shared" si="819"/>
        <v>43652455.68</v>
      </c>
      <c r="W1595" s="9">
        <f t="shared" si="819"/>
        <v>148460</v>
      </c>
      <c r="X1595" s="9">
        <f t="shared" si="819"/>
        <v>43982455.68</v>
      </c>
      <c r="Y1595" s="9">
        <f t="shared" si="819"/>
        <v>0</v>
      </c>
      <c r="Z1595" s="9">
        <f t="shared" si="819"/>
        <v>148460</v>
      </c>
      <c r="AA1595" s="9">
        <f t="shared" si="819"/>
        <v>43982455.68</v>
      </c>
      <c r="AB1595" s="9">
        <f t="shared" si="819"/>
        <v>148460</v>
      </c>
    </row>
    <row r="1596" spans="1:28" x14ac:dyDescent="0.3">
      <c r="A1596" s="64"/>
      <c r="B1596" s="8"/>
      <c r="C1596" s="8"/>
      <c r="D1596" s="8"/>
      <c r="E1596" s="17" t="s">
        <v>29</v>
      </c>
      <c r="F1596" s="17" t="s">
        <v>29</v>
      </c>
      <c r="G1596" s="17" t="s">
        <v>29</v>
      </c>
      <c r="H1596" s="17" t="s">
        <v>29</v>
      </c>
      <c r="I1596" s="17" t="s">
        <v>29</v>
      </c>
      <c r="J1596" s="17" t="s">
        <v>29</v>
      </c>
      <c r="K1596" s="17" t="s">
        <v>29</v>
      </c>
      <c r="L1596" s="17" t="s">
        <v>29</v>
      </c>
      <c r="M1596" s="17" t="s">
        <v>29</v>
      </c>
      <c r="N1596" s="17" t="s">
        <v>29</v>
      </c>
      <c r="O1596" s="17" t="s">
        <v>29</v>
      </c>
      <c r="P1596" s="17" t="s">
        <v>29</v>
      </c>
      <c r="Q1596" s="17" t="s">
        <v>29</v>
      </c>
      <c r="R1596" s="17" t="s">
        <v>29</v>
      </c>
      <c r="S1596" s="17" t="s">
        <v>29</v>
      </c>
      <c r="T1596" s="17" t="s">
        <v>29</v>
      </c>
      <c r="U1596" s="17" t="s">
        <v>29</v>
      </c>
      <c r="V1596" s="17" t="s">
        <v>29</v>
      </c>
      <c r="W1596" s="17" t="s">
        <v>29</v>
      </c>
      <c r="X1596" s="17" t="s">
        <v>29</v>
      </c>
      <c r="Y1596" s="17" t="s">
        <v>29</v>
      </c>
      <c r="Z1596" s="17" t="s">
        <v>29</v>
      </c>
      <c r="AA1596" s="17" t="s">
        <v>29</v>
      </c>
      <c r="AB1596" s="17" t="s">
        <v>29</v>
      </c>
    </row>
    <row r="1597" spans="1:28" x14ac:dyDescent="0.3">
      <c r="A1597" s="63" t="s">
        <v>1004</v>
      </c>
      <c r="B1597" s="7" t="s">
        <v>312</v>
      </c>
      <c r="C1597" s="8"/>
      <c r="D1597" s="8"/>
      <c r="E1597" s="8"/>
      <c r="F1597" s="8"/>
      <c r="G1597" s="8"/>
      <c r="H1597" s="8"/>
      <c r="I1597" s="8"/>
      <c r="J1597" s="8"/>
      <c r="K1597" s="8"/>
      <c r="L1597" s="8"/>
      <c r="M1597" s="8"/>
      <c r="N1597" s="8"/>
      <c r="O1597" s="8"/>
      <c r="P1597" s="8"/>
      <c r="Q1597" s="8"/>
      <c r="R1597" s="8"/>
      <c r="S1597" s="8"/>
      <c r="T1597" s="8"/>
      <c r="U1597" s="8"/>
      <c r="V1597" s="8"/>
      <c r="W1597" s="8"/>
      <c r="X1597" s="8"/>
      <c r="Y1597" s="8"/>
      <c r="Z1597" s="8"/>
    </row>
    <row r="1598" spans="1:28" x14ac:dyDescent="0.3">
      <c r="A1598" s="64"/>
      <c r="B1598" s="8"/>
      <c r="C1598" s="8"/>
      <c r="D1598" s="15" t="s">
        <v>79</v>
      </c>
      <c r="E1598" s="8"/>
      <c r="F1598" s="8"/>
      <c r="G1598" s="8"/>
      <c r="H1598" s="8"/>
      <c r="I1598" s="8"/>
      <c r="J1598" s="8"/>
      <c r="K1598" s="8"/>
      <c r="L1598" s="8"/>
      <c r="M1598" s="8"/>
      <c r="N1598" s="8"/>
      <c r="O1598" s="8"/>
      <c r="P1598" s="8"/>
      <c r="Q1598" s="8"/>
      <c r="R1598" s="8"/>
      <c r="S1598" s="8"/>
      <c r="T1598" s="8"/>
      <c r="U1598" s="8"/>
      <c r="V1598" s="8"/>
      <c r="W1598" s="8"/>
      <c r="X1598" s="8"/>
      <c r="Y1598" s="8"/>
      <c r="Z1598" s="8"/>
    </row>
    <row r="1599" spans="1:28" x14ac:dyDescent="0.3">
      <c r="A1599" s="64"/>
      <c r="B1599" s="8"/>
      <c r="C1599" s="7" t="s">
        <v>313</v>
      </c>
      <c r="D1599" s="14" t="s">
        <v>314</v>
      </c>
      <c r="E1599" s="9">
        <v>18444555.510000002</v>
      </c>
      <c r="F1599" s="9">
        <v>17305505.890000001</v>
      </c>
      <c r="G1599" s="8"/>
      <c r="H1599" s="9">
        <f t="shared" ref="H1599:H1606" si="820">F1599+G1599</f>
        <v>17305505.890000001</v>
      </c>
      <c r="I1599" s="8"/>
      <c r="J1599" s="8"/>
      <c r="K1599" s="8"/>
      <c r="L1599" s="9"/>
      <c r="M1599" s="9">
        <f t="shared" ref="M1599:M1606" si="821">H1599+L1599</f>
        <v>17305505.890000001</v>
      </c>
      <c r="N1599" s="9">
        <v>1139049.6200000001</v>
      </c>
      <c r="O1599" s="8"/>
      <c r="P1599" s="9">
        <f t="shared" ref="P1599:P1606" si="822">N1599+O1599</f>
        <v>1139049.6200000001</v>
      </c>
      <c r="Q1599" s="8"/>
      <c r="R1599" s="8"/>
      <c r="S1599" s="8"/>
      <c r="T1599" s="9"/>
      <c r="U1599" s="9">
        <f t="shared" ref="U1599:U1606" si="823">P1599+T1599</f>
        <v>1139049.6200000001</v>
      </c>
      <c r="V1599" s="9">
        <f t="shared" ref="V1599:V1606" si="824">P1599+H1599</f>
        <v>18444555.510000002</v>
      </c>
      <c r="W1599" s="9">
        <f t="shared" ref="W1599:W1606" si="825">E1599-V1599</f>
        <v>0</v>
      </c>
      <c r="X1599" s="9">
        <f t="shared" ref="X1599:X1606" si="826">+H1599+P1599</f>
        <v>18444555.510000002</v>
      </c>
      <c r="Y1599" s="8"/>
      <c r="Z1599" s="9">
        <f t="shared" ref="Z1599:Z1606" si="827">+E1599-X1599</f>
        <v>0</v>
      </c>
      <c r="AA1599" s="8">
        <f t="shared" ref="AA1599:AA1606" si="828">+M1599+U1599</f>
        <v>18444555.510000002</v>
      </c>
      <c r="AB1599" s="8">
        <f t="shared" ref="AB1599:AB1606" si="829">+E1599-AA1599</f>
        <v>0</v>
      </c>
    </row>
    <row r="1600" spans="1:28" x14ac:dyDescent="0.3">
      <c r="A1600" s="64"/>
      <c r="B1600" s="8"/>
      <c r="C1600" s="7" t="s">
        <v>53</v>
      </c>
      <c r="D1600" s="15" t="s">
        <v>54</v>
      </c>
      <c r="E1600" s="9">
        <v>1953989</v>
      </c>
      <c r="F1600" s="9">
        <v>0</v>
      </c>
      <c r="G1600" s="8"/>
      <c r="H1600" s="9">
        <f t="shared" si="820"/>
        <v>0</v>
      </c>
      <c r="I1600" s="8"/>
      <c r="J1600" s="8"/>
      <c r="K1600" s="8"/>
      <c r="L1600" s="9"/>
      <c r="M1600" s="9">
        <f t="shared" si="821"/>
        <v>0</v>
      </c>
      <c r="N1600" s="9">
        <v>1953989</v>
      </c>
      <c r="O1600" s="8"/>
      <c r="P1600" s="9">
        <f t="shared" si="822"/>
        <v>1953989</v>
      </c>
      <c r="Q1600" s="8"/>
      <c r="R1600" s="8"/>
      <c r="S1600" s="8"/>
      <c r="T1600" s="9"/>
      <c r="U1600" s="9">
        <f t="shared" si="823"/>
        <v>1953989</v>
      </c>
      <c r="V1600" s="9">
        <f t="shared" si="824"/>
        <v>1953989</v>
      </c>
      <c r="W1600" s="9">
        <f t="shared" si="825"/>
        <v>0</v>
      </c>
      <c r="X1600" s="9">
        <f t="shared" si="826"/>
        <v>1953989</v>
      </c>
      <c r="Y1600" s="8"/>
      <c r="Z1600" s="9">
        <f t="shared" si="827"/>
        <v>0</v>
      </c>
      <c r="AA1600" s="8">
        <f t="shared" si="828"/>
        <v>1953989</v>
      </c>
      <c r="AB1600" s="8">
        <f t="shared" si="829"/>
        <v>0</v>
      </c>
    </row>
    <row r="1601" spans="1:28" x14ac:dyDescent="0.3">
      <c r="A1601" s="64"/>
      <c r="B1601" s="8"/>
      <c r="C1601" s="7" t="s">
        <v>315</v>
      </c>
      <c r="D1601" s="15" t="s">
        <v>54</v>
      </c>
      <c r="E1601" s="9">
        <f>2500000-244120</f>
        <v>2255880</v>
      </c>
      <c r="F1601" s="9">
        <v>2255880</v>
      </c>
      <c r="G1601" s="8"/>
      <c r="H1601" s="9">
        <f t="shared" si="820"/>
        <v>2255880</v>
      </c>
      <c r="I1601" s="8"/>
      <c r="J1601" s="8"/>
      <c r="K1601" s="8"/>
      <c r="L1601" s="9"/>
      <c r="M1601" s="9">
        <f t="shared" si="821"/>
        <v>2255880</v>
      </c>
      <c r="N1601" s="9">
        <v>0</v>
      </c>
      <c r="O1601" s="8"/>
      <c r="P1601" s="9">
        <f t="shared" si="822"/>
        <v>0</v>
      </c>
      <c r="Q1601" s="8"/>
      <c r="R1601" s="8"/>
      <c r="S1601" s="8"/>
      <c r="T1601" s="9"/>
      <c r="U1601" s="9">
        <f t="shared" si="823"/>
        <v>0</v>
      </c>
      <c r="V1601" s="9">
        <f t="shared" si="824"/>
        <v>2255880</v>
      </c>
      <c r="W1601" s="9">
        <f t="shared" si="825"/>
        <v>0</v>
      </c>
      <c r="X1601" s="9">
        <f t="shared" si="826"/>
        <v>2255880</v>
      </c>
      <c r="Y1601" s="8"/>
      <c r="Z1601" s="9">
        <f t="shared" si="827"/>
        <v>0</v>
      </c>
      <c r="AA1601" s="8">
        <f t="shared" si="828"/>
        <v>2255880</v>
      </c>
      <c r="AB1601" s="8">
        <f t="shared" si="829"/>
        <v>0</v>
      </c>
    </row>
    <row r="1602" spans="1:28" x14ac:dyDescent="0.3">
      <c r="A1602" s="64"/>
      <c r="B1602" s="8"/>
      <c r="C1602" s="7" t="s">
        <v>316</v>
      </c>
      <c r="D1602" s="15" t="s">
        <v>234</v>
      </c>
      <c r="E1602" s="9">
        <v>721400</v>
      </c>
      <c r="F1602" s="9">
        <v>685413.73</v>
      </c>
      <c r="G1602" s="8"/>
      <c r="H1602" s="9">
        <f t="shared" si="820"/>
        <v>685413.73</v>
      </c>
      <c r="I1602" s="8"/>
      <c r="J1602" s="8"/>
      <c r="K1602" s="8"/>
      <c r="L1602" s="9"/>
      <c r="M1602" s="9">
        <f t="shared" si="821"/>
        <v>685413.73</v>
      </c>
      <c r="N1602" s="9">
        <v>0</v>
      </c>
      <c r="O1602" s="8"/>
      <c r="P1602" s="9">
        <f t="shared" si="822"/>
        <v>0</v>
      </c>
      <c r="Q1602" s="8"/>
      <c r="R1602" s="8"/>
      <c r="S1602" s="8"/>
      <c r="T1602" s="9"/>
      <c r="U1602" s="9">
        <f t="shared" si="823"/>
        <v>0</v>
      </c>
      <c r="V1602" s="9">
        <f t="shared" si="824"/>
        <v>685413.73</v>
      </c>
      <c r="W1602" s="9">
        <f t="shared" si="825"/>
        <v>35986.270000000019</v>
      </c>
      <c r="X1602" s="9">
        <f t="shared" si="826"/>
        <v>685413.73</v>
      </c>
      <c r="Y1602" s="8"/>
      <c r="Z1602" s="9">
        <f t="shared" si="827"/>
        <v>35986.270000000019</v>
      </c>
      <c r="AA1602" s="8">
        <f t="shared" si="828"/>
        <v>685413.73</v>
      </c>
      <c r="AB1602" s="8">
        <f t="shared" si="829"/>
        <v>35986.270000000019</v>
      </c>
    </row>
    <row r="1603" spans="1:28" x14ac:dyDescent="0.3">
      <c r="A1603" s="64"/>
      <c r="B1603" s="8"/>
      <c r="C1603" s="7" t="s">
        <v>300</v>
      </c>
      <c r="D1603" s="15" t="s">
        <v>85</v>
      </c>
      <c r="E1603" s="9">
        <v>160000</v>
      </c>
      <c r="F1603" s="9">
        <v>160000</v>
      </c>
      <c r="G1603" s="8"/>
      <c r="H1603" s="9">
        <f t="shared" si="820"/>
        <v>160000</v>
      </c>
      <c r="I1603" s="8"/>
      <c r="J1603" s="8"/>
      <c r="K1603" s="8"/>
      <c r="L1603" s="9"/>
      <c r="M1603" s="9">
        <f t="shared" si="821"/>
        <v>160000</v>
      </c>
      <c r="N1603" s="9">
        <v>0</v>
      </c>
      <c r="O1603" s="8"/>
      <c r="P1603" s="9">
        <f t="shared" si="822"/>
        <v>0</v>
      </c>
      <c r="Q1603" s="8"/>
      <c r="R1603" s="8"/>
      <c r="S1603" s="8"/>
      <c r="T1603" s="9"/>
      <c r="U1603" s="9">
        <f t="shared" si="823"/>
        <v>0</v>
      </c>
      <c r="V1603" s="9">
        <f t="shared" si="824"/>
        <v>160000</v>
      </c>
      <c r="W1603" s="9">
        <f t="shared" si="825"/>
        <v>0</v>
      </c>
      <c r="X1603" s="9">
        <f t="shared" si="826"/>
        <v>160000</v>
      </c>
      <c r="Y1603" s="8"/>
      <c r="Z1603" s="9">
        <f t="shared" si="827"/>
        <v>0</v>
      </c>
      <c r="AA1603" s="8">
        <f t="shared" si="828"/>
        <v>160000</v>
      </c>
      <c r="AB1603" s="8">
        <f t="shared" si="829"/>
        <v>0</v>
      </c>
    </row>
    <row r="1604" spans="1:28" x14ac:dyDescent="0.3">
      <c r="A1604" s="64"/>
      <c r="B1604" s="8"/>
      <c r="C1604" s="7" t="s">
        <v>317</v>
      </c>
      <c r="D1604" s="15" t="s">
        <v>85</v>
      </c>
      <c r="E1604" s="9">
        <f>4400000-59007</f>
        <v>4340993</v>
      </c>
      <c r="F1604" s="9">
        <v>4340993</v>
      </c>
      <c r="G1604" s="8"/>
      <c r="H1604" s="9">
        <f t="shared" si="820"/>
        <v>4340993</v>
      </c>
      <c r="I1604" s="8"/>
      <c r="J1604" s="8"/>
      <c r="K1604" s="8"/>
      <c r="L1604" s="9"/>
      <c r="M1604" s="9">
        <f t="shared" si="821"/>
        <v>4340993</v>
      </c>
      <c r="N1604" s="9">
        <v>0</v>
      </c>
      <c r="O1604" s="8"/>
      <c r="P1604" s="9">
        <f t="shared" si="822"/>
        <v>0</v>
      </c>
      <c r="Q1604" s="8"/>
      <c r="R1604" s="8"/>
      <c r="S1604" s="8"/>
      <c r="T1604" s="9"/>
      <c r="U1604" s="9">
        <f t="shared" si="823"/>
        <v>0</v>
      </c>
      <c r="V1604" s="9">
        <f t="shared" si="824"/>
        <v>4340993</v>
      </c>
      <c r="W1604" s="9">
        <f t="shared" si="825"/>
        <v>0</v>
      </c>
      <c r="X1604" s="9">
        <f t="shared" si="826"/>
        <v>4340993</v>
      </c>
      <c r="Y1604" s="8"/>
      <c r="Z1604" s="9">
        <f t="shared" si="827"/>
        <v>0</v>
      </c>
      <c r="AA1604" s="8">
        <f t="shared" si="828"/>
        <v>4340993</v>
      </c>
      <c r="AB1604" s="8">
        <f t="shared" si="829"/>
        <v>0</v>
      </c>
    </row>
    <row r="1605" spans="1:28" x14ac:dyDescent="0.3">
      <c r="A1605" s="64"/>
      <c r="B1605" s="8"/>
      <c r="C1605" s="7" t="s">
        <v>302</v>
      </c>
      <c r="D1605" s="15" t="s">
        <v>85</v>
      </c>
      <c r="E1605" s="9">
        <v>320000</v>
      </c>
      <c r="F1605" s="9">
        <v>320000</v>
      </c>
      <c r="G1605" s="8"/>
      <c r="H1605" s="9">
        <f t="shared" si="820"/>
        <v>320000</v>
      </c>
      <c r="I1605" s="8"/>
      <c r="J1605" s="8"/>
      <c r="K1605" s="8"/>
      <c r="L1605" s="9"/>
      <c r="M1605" s="9">
        <f t="shared" si="821"/>
        <v>320000</v>
      </c>
      <c r="N1605" s="9">
        <v>0</v>
      </c>
      <c r="O1605" s="8"/>
      <c r="P1605" s="9">
        <f t="shared" si="822"/>
        <v>0</v>
      </c>
      <c r="Q1605" s="8"/>
      <c r="R1605" s="8"/>
      <c r="S1605" s="8"/>
      <c r="T1605" s="9"/>
      <c r="U1605" s="9">
        <f t="shared" si="823"/>
        <v>0</v>
      </c>
      <c r="V1605" s="9">
        <f t="shared" si="824"/>
        <v>320000</v>
      </c>
      <c r="W1605" s="9">
        <f t="shared" si="825"/>
        <v>0</v>
      </c>
      <c r="X1605" s="9">
        <f t="shared" si="826"/>
        <v>320000</v>
      </c>
      <c r="Y1605" s="8"/>
      <c r="Z1605" s="9">
        <f t="shared" si="827"/>
        <v>0</v>
      </c>
      <c r="AA1605" s="8">
        <f t="shared" si="828"/>
        <v>320000</v>
      </c>
      <c r="AB1605" s="8">
        <f t="shared" si="829"/>
        <v>0</v>
      </c>
    </row>
    <row r="1606" spans="1:28" x14ac:dyDescent="0.3">
      <c r="A1606" s="64"/>
      <c r="B1606" s="8"/>
      <c r="C1606" s="7" t="s">
        <v>318</v>
      </c>
      <c r="D1606" s="15" t="s">
        <v>85</v>
      </c>
      <c r="E1606" s="9">
        <v>6331086</v>
      </c>
      <c r="F1606" s="9">
        <v>6331086</v>
      </c>
      <c r="G1606" s="8"/>
      <c r="H1606" s="9">
        <f t="shared" si="820"/>
        <v>6331086</v>
      </c>
      <c r="I1606" s="8"/>
      <c r="J1606" s="8"/>
      <c r="K1606" s="8"/>
      <c r="L1606" s="9"/>
      <c r="M1606" s="9">
        <f t="shared" si="821"/>
        <v>6331086</v>
      </c>
      <c r="N1606" s="9">
        <v>0</v>
      </c>
      <c r="O1606" s="8"/>
      <c r="P1606" s="9">
        <f t="shared" si="822"/>
        <v>0</v>
      </c>
      <c r="Q1606" s="8"/>
      <c r="R1606" s="8"/>
      <c r="S1606" s="8"/>
      <c r="T1606" s="9"/>
      <c r="U1606" s="9">
        <f t="shared" si="823"/>
        <v>0</v>
      </c>
      <c r="V1606" s="9">
        <f t="shared" si="824"/>
        <v>6331086</v>
      </c>
      <c r="W1606" s="9">
        <f t="shared" si="825"/>
        <v>0</v>
      </c>
      <c r="X1606" s="9">
        <f t="shared" si="826"/>
        <v>6331086</v>
      </c>
      <c r="Y1606" s="8"/>
      <c r="Z1606" s="9">
        <f t="shared" si="827"/>
        <v>0</v>
      </c>
      <c r="AA1606" s="8">
        <f t="shared" si="828"/>
        <v>6331086</v>
      </c>
      <c r="AB1606" s="8">
        <f t="shared" si="829"/>
        <v>0</v>
      </c>
    </row>
    <row r="1607" spans="1:28" x14ac:dyDescent="0.3">
      <c r="A1607" s="64"/>
      <c r="B1607" s="8"/>
      <c r="C1607" s="7" t="s">
        <v>319</v>
      </c>
      <c r="D1607" s="8"/>
      <c r="E1607" s="8"/>
      <c r="F1607" s="8"/>
      <c r="G1607" s="8"/>
      <c r="H1607" s="8"/>
      <c r="I1607" s="8"/>
      <c r="J1607" s="8"/>
      <c r="K1607" s="8"/>
      <c r="L1607" s="8"/>
      <c r="M1607" s="8"/>
      <c r="N1607" s="8"/>
      <c r="O1607" s="8"/>
      <c r="P1607" s="8"/>
      <c r="Q1607" s="8"/>
      <c r="R1607" s="8"/>
      <c r="S1607" s="8"/>
      <c r="T1607" s="8"/>
      <c r="U1607" s="8"/>
      <c r="V1607" s="8"/>
      <c r="W1607" s="8"/>
      <c r="X1607" s="8"/>
      <c r="Y1607" s="8"/>
      <c r="Z1607" s="8"/>
    </row>
    <row r="1608" spans="1:28" x14ac:dyDescent="0.3">
      <c r="A1608" s="64"/>
      <c r="B1608" s="8"/>
      <c r="C1608" s="14" t="s">
        <v>109</v>
      </c>
      <c r="D1608" s="21" t="s">
        <v>60</v>
      </c>
      <c r="E1608" s="9">
        <v>6977373</v>
      </c>
      <c r="F1608" s="11">
        <v>6977373</v>
      </c>
      <c r="G1608" s="8"/>
      <c r="H1608" s="9">
        <f t="shared" ref="H1608:H1619" si="830">F1608+G1608</f>
        <v>6977373</v>
      </c>
      <c r="I1608" s="8"/>
      <c r="J1608" s="8"/>
      <c r="K1608" s="8"/>
      <c r="L1608" s="9"/>
      <c r="M1608" s="9">
        <f t="shared" ref="M1608:M1619" si="831">H1608+L1608</f>
        <v>6977373</v>
      </c>
      <c r="N1608" s="9">
        <v>0</v>
      </c>
      <c r="O1608" s="8"/>
      <c r="P1608" s="9">
        <f t="shared" ref="P1608:P1619" si="832">N1608+O1608</f>
        <v>0</v>
      </c>
      <c r="Q1608" s="8"/>
      <c r="R1608" s="8"/>
      <c r="S1608" s="8"/>
      <c r="T1608" s="9"/>
      <c r="U1608" s="9">
        <f t="shared" ref="U1608:U1619" si="833">P1608+T1608</f>
        <v>0</v>
      </c>
      <c r="V1608" s="9">
        <f t="shared" ref="V1608:V1619" si="834">P1608+H1608</f>
        <v>6977373</v>
      </c>
      <c r="W1608" s="9">
        <f t="shared" ref="W1608:W1619" si="835">E1608-V1608</f>
        <v>0</v>
      </c>
      <c r="X1608" s="9">
        <f t="shared" ref="X1608:X1619" si="836">+H1608+P1608</f>
        <v>6977373</v>
      </c>
      <c r="Y1608" s="8"/>
      <c r="Z1608" s="9">
        <f t="shared" ref="Z1608:Z1619" si="837">+E1608-X1608</f>
        <v>0</v>
      </c>
      <c r="AA1608" s="8">
        <f t="shared" ref="AA1608:AA1619" si="838">+M1608+U1608</f>
        <v>6977373</v>
      </c>
      <c r="AB1608" s="8">
        <f t="shared" ref="AB1608:AB1619" si="839">+E1608-AA1608</f>
        <v>0</v>
      </c>
    </row>
    <row r="1609" spans="1:28" x14ac:dyDescent="0.3">
      <c r="A1609" s="64"/>
      <c r="B1609" s="8"/>
      <c r="C1609" s="14" t="s">
        <v>57</v>
      </c>
      <c r="D1609" s="21" t="s">
        <v>60</v>
      </c>
      <c r="E1609" s="9">
        <v>2642751</v>
      </c>
      <c r="F1609" s="11">
        <v>2642751</v>
      </c>
      <c r="G1609" s="8"/>
      <c r="H1609" s="9">
        <f t="shared" si="830"/>
        <v>2642751</v>
      </c>
      <c r="I1609" s="8"/>
      <c r="J1609" s="8"/>
      <c r="K1609" s="8"/>
      <c r="L1609" s="9"/>
      <c r="M1609" s="9">
        <f t="shared" si="831"/>
        <v>2642751</v>
      </c>
      <c r="N1609" s="9">
        <v>0</v>
      </c>
      <c r="O1609" s="8"/>
      <c r="P1609" s="9">
        <f t="shared" si="832"/>
        <v>0</v>
      </c>
      <c r="Q1609" s="8"/>
      <c r="R1609" s="8"/>
      <c r="S1609" s="8"/>
      <c r="T1609" s="9"/>
      <c r="U1609" s="9">
        <f t="shared" si="833"/>
        <v>0</v>
      </c>
      <c r="V1609" s="9">
        <f t="shared" si="834"/>
        <v>2642751</v>
      </c>
      <c r="W1609" s="9">
        <f t="shared" si="835"/>
        <v>0</v>
      </c>
      <c r="X1609" s="9">
        <f t="shared" si="836"/>
        <v>2642751</v>
      </c>
      <c r="Y1609" s="8"/>
      <c r="Z1609" s="9">
        <f t="shared" si="837"/>
        <v>0</v>
      </c>
      <c r="AA1609" s="8">
        <f t="shared" si="838"/>
        <v>2642751</v>
      </c>
      <c r="AB1609" s="8">
        <f t="shared" si="839"/>
        <v>0</v>
      </c>
    </row>
    <row r="1610" spans="1:28" x14ac:dyDescent="0.3">
      <c r="A1610" s="64"/>
      <c r="B1610" s="8"/>
      <c r="C1610" s="14" t="s">
        <v>320</v>
      </c>
      <c r="D1610" s="21" t="s">
        <v>60</v>
      </c>
      <c r="E1610" s="9">
        <v>379847</v>
      </c>
      <c r="F1610" s="11">
        <v>379847</v>
      </c>
      <c r="G1610" s="8"/>
      <c r="H1610" s="9">
        <f t="shared" si="830"/>
        <v>379847</v>
      </c>
      <c r="I1610" s="8">
        <v>379847</v>
      </c>
      <c r="J1610" s="8">
        <v>379847</v>
      </c>
      <c r="K1610" s="8"/>
      <c r="L1610" s="9"/>
      <c r="M1610" s="9">
        <f t="shared" si="831"/>
        <v>379847</v>
      </c>
      <c r="N1610" s="9">
        <v>0</v>
      </c>
      <c r="O1610" s="8"/>
      <c r="P1610" s="9">
        <f t="shared" si="832"/>
        <v>0</v>
      </c>
      <c r="Q1610" s="8"/>
      <c r="R1610" s="8"/>
      <c r="S1610" s="8"/>
      <c r="T1610" s="9"/>
      <c r="U1610" s="9">
        <f t="shared" si="833"/>
        <v>0</v>
      </c>
      <c r="V1610" s="9">
        <f t="shared" si="834"/>
        <v>379847</v>
      </c>
      <c r="W1610" s="9">
        <f t="shared" si="835"/>
        <v>0</v>
      </c>
      <c r="X1610" s="9">
        <f t="shared" si="836"/>
        <v>379847</v>
      </c>
      <c r="Y1610" s="8"/>
      <c r="Z1610" s="9">
        <f t="shared" si="837"/>
        <v>0</v>
      </c>
      <c r="AA1610" s="8">
        <f t="shared" si="838"/>
        <v>379847</v>
      </c>
      <c r="AB1610" s="8">
        <f t="shared" si="839"/>
        <v>0</v>
      </c>
    </row>
    <row r="1611" spans="1:28" x14ac:dyDescent="0.3">
      <c r="A1611" s="64"/>
      <c r="B1611" s="8"/>
      <c r="C1611" s="14" t="s">
        <v>57</v>
      </c>
      <c r="D1611" s="21" t="s">
        <v>73</v>
      </c>
      <c r="E1611" s="9">
        <v>3857000</v>
      </c>
      <c r="F1611" s="11">
        <f>2030000+1827000</f>
        <v>3857000</v>
      </c>
      <c r="G1611" s="8"/>
      <c r="H1611" s="9">
        <f t="shared" si="830"/>
        <v>3857000</v>
      </c>
      <c r="I1611" s="8"/>
      <c r="J1611" s="8"/>
      <c r="K1611" s="8"/>
      <c r="L1611" s="9"/>
      <c r="M1611" s="9">
        <f t="shared" si="831"/>
        <v>3857000</v>
      </c>
      <c r="N1611" s="9">
        <v>0</v>
      </c>
      <c r="O1611" s="8"/>
      <c r="P1611" s="9">
        <f t="shared" si="832"/>
        <v>0</v>
      </c>
      <c r="Q1611" s="8"/>
      <c r="R1611" s="8"/>
      <c r="S1611" s="8"/>
      <c r="T1611" s="9"/>
      <c r="U1611" s="9">
        <f t="shared" si="833"/>
        <v>0</v>
      </c>
      <c r="V1611" s="9">
        <f t="shared" si="834"/>
        <v>3857000</v>
      </c>
      <c r="W1611" s="9">
        <f t="shared" si="835"/>
        <v>0</v>
      </c>
      <c r="X1611" s="9">
        <f t="shared" si="836"/>
        <v>3857000</v>
      </c>
      <c r="Y1611" s="8"/>
      <c r="Z1611" s="9">
        <f t="shared" si="837"/>
        <v>0</v>
      </c>
      <c r="AA1611" s="8">
        <f t="shared" si="838"/>
        <v>3857000</v>
      </c>
      <c r="AB1611" s="8">
        <f t="shared" si="839"/>
        <v>0</v>
      </c>
    </row>
    <row r="1612" spans="1:28" x14ac:dyDescent="0.3">
      <c r="A1612" s="64"/>
      <c r="B1612" s="8"/>
      <c r="C1612" s="14" t="s">
        <v>95</v>
      </c>
      <c r="D1612" s="21" t="s">
        <v>73</v>
      </c>
      <c r="E1612" s="9">
        <v>272403.64</v>
      </c>
      <c r="F1612" s="11">
        <v>272403.64</v>
      </c>
      <c r="G1612" s="8"/>
      <c r="H1612" s="9">
        <f t="shared" si="830"/>
        <v>272403.64</v>
      </c>
      <c r="I1612" s="8"/>
      <c r="J1612" s="8"/>
      <c r="K1612" s="8"/>
      <c r="L1612" s="9"/>
      <c r="M1612" s="9">
        <f t="shared" si="831"/>
        <v>272403.64</v>
      </c>
      <c r="N1612" s="9">
        <v>0</v>
      </c>
      <c r="O1612" s="8"/>
      <c r="P1612" s="9">
        <f t="shared" si="832"/>
        <v>0</v>
      </c>
      <c r="Q1612" s="8"/>
      <c r="R1612" s="8"/>
      <c r="S1612" s="8"/>
      <c r="T1612" s="9"/>
      <c r="U1612" s="9">
        <f t="shared" si="833"/>
        <v>0</v>
      </c>
      <c r="V1612" s="9">
        <f t="shared" si="834"/>
        <v>272403.64</v>
      </c>
      <c r="W1612" s="9">
        <f t="shared" si="835"/>
        <v>0</v>
      </c>
      <c r="X1612" s="9">
        <f t="shared" si="836"/>
        <v>272403.64</v>
      </c>
      <c r="Y1612" s="8"/>
      <c r="Z1612" s="9">
        <f t="shared" si="837"/>
        <v>0</v>
      </c>
      <c r="AA1612" s="8">
        <f t="shared" si="838"/>
        <v>272403.64</v>
      </c>
      <c r="AB1612" s="8">
        <f t="shared" si="839"/>
        <v>0</v>
      </c>
    </row>
    <row r="1613" spans="1:28" x14ac:dyDescent="0.3">
      <c r="A1613" s="64"/>
      <c r="B1613" s="8"/>
      <c r="C1613" s="14" t="s">
        <v>57</v>
      </c>
      <c r="D1613" s="24" t="s">
        <v>61</v>
      </c>
      <c r="E1613" s="9">
        <v>2377409.31</v>
      </c>
      <c r="F1613" s="8">
        <v>2377409.31</v>
      </c>
      <c r="G1613" s="8"/>
      <c r="H1613" s="9">
        <f t="shared" si="830"/>
        <v>2377409.31</v>
      </c>
      <c r="I1613" s="8"/>
      <c r="J1613" s="8"/>
      <c r="K1613" s="8"/>
      <c r="L1613" s="9"/>
      <c r="M1613" s="9">
        <f t="shared" si="831"/>
        <v>2377409.31</v>
      </c>
      <c r="N1613" s="9">
        <v>0</v>
      </c>
      <c r="O1613" s="8"/>
      <c r="P1613" s="9">
        <f t="shared" si="832"/>
        <v>0</v>
      </c>
      <c r="Q1613" s="8"/>
      <c r="R1613" s="8"/>
      <c r="S1613" s="8"/>
      <c r="T1613" s="9"/>
      <c r="U1613" s="9">
        <f t="shared" si="833"/>
        <v>0</v>
      </c>
      <c r="V1613" s="9">
        <f t="shared" si="834"/>
        <v>2377409.31</v>
      </c>
      <c r="W1613" s="9">
        <f t="shared" si="835"/>
        <v>0</v>
      </c>
      <c r="X1613" s="9">
        <f t="shared" si="836"/>
        <v>2377409.31</v>
      </c>
      <c r="Y1613" s="8"/>
      <c r="Z1613" s="9">
        <f t="shared" si="837"/>
        <v>0</v>
      </c>
      <c r="AA1613" s="8">
        <f t="shared" si="838"/>
        <v>2377409.31</v>
      </c>
      <c r="AB1613" s="8">
        <f t="shared" si="839"/>
        <v>0</v>
      </c>
    </row>
    <row r="1614" spans="1:28" x14ac:dyDescent="0.3">
      <c r="A1614" s="64"/>
      <c r="B1614" s="8"/>
      <c r="C1614" s="14" t="s">
        <v>1248</v>
      </c>
      <c r="D1614" s="24" t="s">
        <v>1225</v>
      </c>
      <c r="E1614" s="9">
        <v>710134.28</v>
      </c>
      <c r="F1614" s="8">
        <v>710134.28</v>
      </c>
      <c r="G1614" s="8"/>
      <c r="H1614" s="9">
        <f>+F1614+G1614</f>
        <v>710134.28</v>
      </c>
      <c r="I1614" s="8"/>
      <c r="J1614" s="8"/>
      <c r="K1614" s="8"/>
      <c r="L1614" s="9"/>
      <c r="M1614" s="9">
        <f t="shared" si="831"/>
        <v>710134.28</v>
      </c>
      <c r="N1614" s="9">
        <v>0</v>
      </c>
      <c r="O1614" s="8"/>
      <c r="P1614" s="9">
        <f t="shared" si="832"/>
        <v>0</v>
      </c>
      <c r="Q1614" s="8"/>
      <c r="R1614" s="8"/>
      <c r="S1614" s="8"/>
      <c r="T1614" s="9"/>
      <c r="U1614" s="9">
        <f t="shared" si="833"/>
        <v>0</v>
      </c>
      <c r="V1614" s="9">
        <f t="shared" si="834"/>
        <v>710134.28</v>
      </c>
      <c r="W1614" s="9">
        <f t="shared" si="835"/>
        <v>0</v>
      </c>
      <c r="X1614" s="9">
        <f t="shared" si="836"/>
        <v>710134.28</v>
      </c>
      <c r="Y1614" s="8"/>
      <c r="Z1614" s="9">
        <f t="shared" si="837"/>
        <v>0</v>
      </c>
      <c r="AA1614" s="8">
        <f t="shared" si="838"/>
        <v>710134.28</v>
      </c>
      <c r="AB1614" s="8">
        <f t="shared" si="839"/>
        <v>0</v>
      </c>
    </row>
    <row r="1615" spans="1:28" x14ac:dyDescent="0.3">
      <c r="A1615" s="64"/>
      <c r="B1615" s="8"/>
      <c r="C1615" s="14" t="s">
        <v>1138</v>
      </c>
      <c r="D1615" s="24" t="s">
        <v>1126</v>
      </c>
      <c r="E1615" s="9">
        <v>3350688.89</v>
      </c>
      <c r="F1615" s="8">
        <v>3350688.89</v>
      </c>
      <c r="G1615" s="8"/>
      <c r="H1615" s="9">
        <f>+F1615+G1615</f>
        <v>3350688.89</v>
      </c>
      <c r="I1615" s="8"/>
      <c r="J1615" s="8"/>
      <c r="K1615" s="8"/>
      <c r="L1615" s="9"/>
      <c r="M1615" s="9">
        <f t="shared" si="831"/>
        <v>3350688.89</v>
      </c>
      <c r="N1615" s="9">
        <v>0</v>
      </c>
      <c r="O1615" s="8"/>
      <c r="P1615" s="9">
        <f t="shared" si="832"/>
        <v>0</v>
      </c>
      <c r="Q1615" s="8"/>
      <c r="R1615" s="8"/>
      <c r="S1615" s="8"/>
      <c r="T1615" s="9"/>
      <c r="U1615" s="9">
        <f t="shared" si="833"/>
        <v>0</v>
      </c>
      <c r="V1615" s="9">
        <f t="shared" si="834"/>
        <v>3350688.89</v>
      </c>
      <c r="W1615" s="9">
        <f t="shared" si="835"/>
        <v>0</v>
      </c>
      <c r="X1615" s="9">
        <f t="shared" si="836"/>
        <v>3350688.89</v>
      </c>
      <c r="Y1615" s="8"/>
      <c r="Z1615" s="9">
        <f t="shared" si="837"/>
        <v>0</v>
      </c>
      <c r="AA1615" s="8">
        <f t="shared" si="838"/>
        <v>3350688.89</v>
      </c>
      <c r="AB1615" s="8">
        <f t="shared" si="839"/>
        <v>0</v>
      </c>
    </row>
    <row r="1616" spans="1:28" x14ac:dyDescent="0.3">
      <c r="A1616" s="64"/>
      <c r="B1616" s="8"/>
      <c r="C1616" s="14" t="s">
        <v>930</v>
      </c>
      <c r="D1616" s="24" t="s">
        <v>1072</v>
      </c>
      <c r="E1616" s="9">
        <v>1897000</v>
      </c>
      <c r="F1616" s="8">
        <v>1897000</v>
      </c>
      <c r="G1616" s="8"/>
      <c r="H1616" s="9">
        <f>+F1616+G1616</f>
        <v>1897000</v>
      </c>
      <c r="I1616" s="8"/>
      <c r="J1616" s="8"/>
      <c r="K1616" s="8"/>
      <c r="L1616" s="9"/>
      <c r="M1616" s="9">
        <f>+H1616+L1616</f>
        <v>1897000</v>
      </c>
      <c r="N1616" s="9">
        <v>0</v>
      </c>
      <c r="O1616" s="8"/>
      <c r="P1616" s="9">
        <f>+N1616+O1616</f>
        <v>0</v>
      </c>
      <c r="Q1616" s="8"/>
      <c r="R1616" s="8"/>
      <c r="S1616" s="8"/>
      <c r="T1616" s="9"/>
      <c r="U1616" s="9">
        <f>P1616+T1616</f>
        <v>0</v>
      </c>
      <c r="V1616" s="9">
        <f>P1616+H1616</f>
        <v>1897000</v>
      </c>
      <c r="W1616" s="9">
        <f>E1616-V1616</f>
        <v>0</v>
      </c>
      <c r="X1616" s="9">
        <f t="shared" si="836"/>
        <v>1897000</v>
      </c>
      <c r="Y1616" s="8"/>
      <c r="Z1616" s="9">
        <f t="shared" si="837"/>
        <v>0</v>
      </c>
      <c r="AA1616" s="8">
        <f t="shared" si="838"/>
        <v>1897000</v>
      </c>
      <c r="AB1616" s="8">
        <f t="shared" si="839"/>
        <v>0</v>
      </c>
    </row>
    <row r="1617" spans="1:28" x14ac:dyDescent="0.3">
      <c r="A1617" s="64"/>
      <c r="B1617" s="8"/>
      <c r="C1617" s="14" t="s">
        <v>1241</v>
      </c>
      <c r="D1617" s="24" t="s">
        <v>1225</v>
      </c>
      <c r="E1617" s="9">
        <v>400000</v>
      </c>
      <c r="F1617" s="8">
        <v>400000</v>
      </c>
      <c r="G1617" s="8"/>
      <c r="H1617" s="9">
        <f>+F1617+G1617</f>
        <v>400000</v>
      </c>
      <c r="I1617" s="8"/>
      <c r="J1617" s="8"/>
      <c r="K1617" s="8"/>
      <c r="L1617" s="9"/>
      <c r="M1617" s="9">
        <f>+H1617+L1617</f>
        <v>400000</v>
      </c>
      <c r="N1617" s="9">
        <v>0</v>
      </c>
      <c r="O1617" s="8"/>
      <c r="P1617" s="9">
        <f>+N1617+O1617</f>
        <v>0</v>
      </c>
      <c r="Q1617" s="8"/>
      <c r="R1617" s="8"/>
      <c r="S1617" s="8"/>
      <c r="T1617" s="9"/>
      <c r="U1617" s="9">
        <f>P1617+T1617</f>
        <v>0</v>
      </c>
      <c r="V1617" s="9">
        <f>P1617+H1617</f>
        <v>400000</v>
      </c>
      <c r="W1617" s="9">
        <f>E1617-V1617</f>
        <v>0</v>
      </c>
      <c r="X1617" s="9">
        <f t="shared" si="836"/>
        <v>400000</v>
      </c>
      <c r="Y1617" s="8"/>
      <c r="Z1617" s="9">
        <f t="shared" si="837"/>
        <v>0</v>
      </c>
      <c r="AA1617" s="8">
        <f t="shared" si="838"/>
        <v>400000</v>
      </c>
      <c r="AB1617" s="8">
        <f t="shared" si="839"/>
        <v>0</v>
      </c>
    </row>
    <row r="1618" spans="1:28" x14ac:dyDescent="0.3">
      <c r="A1618" s="64"/>
      <c r="B1618" s="8"/>
      <c r="C1618" s="81" t="s">
        <v>1256</v>
      </c>
      <c r="D1618" s="24" t="s">
        <v>1225</v>
      </c>
      <c r="E1618" s="9">
        <v>500000</v>
      </c>
      <c r="F1618" s="8"/>
      <c r="G1618" s="8">
        <v>500000</v>
      </c>
      <c r="H1618" s="9">
        <f>+F1618+G1618</f>
        <v>500000</v>
      </c>
      <c r="I1618" s="8"/>
      <c r="J1618" s="8"/>
      <c r="K1618" s="8"/>
      <c r="L1618" s="9"/>
      <c r="M1618" s="9">
        <f>+H1618+L1618</f>
        <v>500000</v>
      </c>
      <c r="N1618" s="9">
        <v>0</v>
      </c>
      <c r="O1618" s="8"/>
      <c r="P1618" s="9">
        <f>+N1618+O1618</f>
        <v>0</v>
      </c>
      <c r="Q1618" s="8"/>
      <c r="R1618" s="8"/>
      <c r="S1618" s="8"/>
      <c r="T1618" s="9"/>
      <c r="U1618" s="9">
        <f>+P1618+T1618</f>
        <v>0</v>
      </c>
      <c r="V1618" s="9"/>
      <c r="W1618" s="9"/>
      <c r="X1618" s="9">
        <f>+H1618+P1618</f>
        <v>500000</v>
      </c>
      <c r="Y1618" s="8"/>
      <c r="Z1618" s="9">
        <f>+E1618-X1618</f>
        <v>0</v>
      </c>
      <c r="AA1618" s="8">
        <f>+M1618+U1618</f>
        <v>500000</v>
      </c>
      <c r="AB1618" s="8">
        <f>+E1618-AA1618</f>
        <v>0</v>
      </c>
    </row>
    <row r="1619" spans="1:28" x14ac:dyDescent="0.3">
      <c r="A1619" s="64"/>
      <c r="B1619" s="8"/>
      <c r="C1619" s="7" t="s">
        <v>321</v>
      </c>
      <c r="D1619" s="8"/>
      <c r="E1619" s="9">
        <v>2308570</v>
      </c>
      <c r="F1619" s="9">
        <v>2308570</v>
      </c>
      <c r="G1619" s="8"/>
      <c r="H1619" s="9">
        <f t="shared" si="830"/>
        <v>2308570</v>
      </c>
      <c r="I1619" s="8"/>
      <c r="J1619" s="8"/>
      <c r="K1619" s="8"/>
      <c r="L1619" s="9"/>
      <c r="M1619" s="9">
        <f t="shared" si="831"/>
        <v>2308570</v>
      </c>
      <c r="N1619" s="9">
        <v>0</v>
      </c>
      <c r="O1619" s="8"/>
      <c r="P1619" s="9">
        <f t="shared" si="832"/>
        <v>0</v>
      </c>
      <c r="Q1619" s="8"/>
      <c r="R1619" s="8"/>
      <c r="S1619" s="8"/>
      <c r="T1619" s="9"/>
      <c r="U1619" s="9">
        <f t="shared" si="833"/>
        <v>0</v>
      </c>
      <c r="V1619" s="9">
        <f t="shared" si="834"/>
        <v>2308570</v>
      </c>
      <c r="W1619" s="9">
        <f t="shared" si="835"/>
        <v>0</v>
      </c>
      <c r="X1619" s="9">
        <f t="shared" si="836"/>
        <v>2308570</v>
      </c>
      <c r="Y1619" s="8"/>
      <c r="Z1619" s="9">
        <f t="shared" si="837"/>
        <v>0</v>
      </c>
      <c r="AA1619" s="8">
        <f t="shared" si="838"/>
        <v>2308570</v>
      </c>
      <c r="AB1619" s="8">
        <f t="shared" si="839"/>
        <v>0</v>
      </c>
    </row>
    <row r="1620" spans="1:28" x14ac:dyDescent="0.3">
      <c r="A1620" s="64"/>
      <c r="B1620" s="8"/>
      <c r="C1620" s="8"/>
      <c r="D1620" s="8"/>
      <c r="E1620" s="17" t="s">
        <v>29</v>
      </c>
      <c r="F1620" s="17" t="s">
        <v>29</v>
      </c>
      <c r="G1620" s="17" t="s">
        <v>29</v>
      </c>
      <c r="H1620" s="17" t="s">
        <v>29</v>
      </c>
      <c r="I1620" s="17" t="s">
        <v>29</v>
      </c>
      <c r="J1620" s="17" t="s">
        <v>29</v>
      </c>
      <c r="K1620" s="17" t="s">
        <v>29</v>
      </c>
      <c r="L1620" s="17" t="s">
        <v>29</v>
      </c>
      <c r="M1620" s="17" t="s">
        <v>29</v>
      </c>
      <c r="N1620" s="17" t="s">
        <v>29</v>
      </c>
      <c r="O1620" s="17" t="s">
        <v>29</v>
      </c>
      <c r="P1620" s="17" t="s">
        <v>29</v>
      </c>
      <c r="Q1620" s="17" t="s">
        <v>29</v>
      </c>
      <c r="R1620" s="17" t="s">
        <v>29</v>
      </c>
      <c r="S1620" s="17" t="s">
        <v>29</v>
      </c>
      <c r="T1620" s="17" t="s">
        <v>29</v>
      </c>
      <c r="U1620" s="17" t="s">
        <v>29</v>
      </c>
      <c r="V1620" s="17" t="s">
        <v>29</v>
      </c>
      <c r="W1620" s="17" t="s">
        <v>29</v>
      </c>
      <c r="X1620" s="17" t="s">
        <v>29</v>
      </c>
      <c r="Y1620" s="17" t="s">
        <v>29</v>
      </c>
      <c r="Z1620" s="17" t="s">
        <v>29</v>
      </c>
      <c r="AA1620" s="17" t="s">
        <v>29</v>
      </c>
      <c r="AB1620" s="17" t="s">
        <v>29</v>
      </c>
    </row>
    <row r="1621" spans="1:28" x14ac:dyDescent="0.3">
      <c r="A1621" s="64"/>
      <c r="B1621" s="8"/>
      <c r="C1621" s="8"/>
      <c r="D1621" s="8"/>
      <c r="E1621" s="9">
        <f t="shared" ref="E1621:AB1621" si="840">SUM(E1599:E1619)</f>
        <v>60201080.63000001</v>
      </c>
      <c r="F1621" s="9">
        <f t="shared" si="840"/>
        <v>56572055.74000001</v>
      </c>
      <c r="G1621" s="9">
        <f t="shared" si="840"/>
        <v>500000</v>
      </c>
      <c r="H1621" s="9">
        <f t="shared" si="840"/>
        <v>57072055.74000001</v>
      </c>
      <c r="I1621" s="9">
        <f t="shared" si="840"/>
        <v>379847</v>
      </c>
      <c r="J1621" s="9">
        <f t="shared" si="840"/>
        <v>379847</v>
      </c>
      <c r="K1621" s="9">
        <f t="shared" si="840"/>
        <v>0</v>
      </c>
      <c r="L1621" s="9">
        <f t="shared" si="840"/>
        <v>0</v>
      </c>
      <c r="M1621" s="9">
        <f t="shared" si="840"/>
        <v>57072055.74000001</v>
      </c>
      <c r="N1621" s="9">
        <f t="shared" si="840"/>
        <v>3093038.62</v>
      </c>
      <c r="O1621" s="9">
        <f t="shared" si="840"/>
        <v>0</v>
      </c>
      <c r="P1621" s="9">
        <f t="shared" si="840"/>
        <v>3093038.62</v>
      </c>
      <c r="Q1621" s="9">
        <f t="shared" si="840"/>
        <v>0</v>
      </c>
      <c r="R1621" s="9">
        <f t="shared" si="840"/>
        <v>0</v>
      </c>
      <c r="S1621" s="9">
        <f t="shared" si="840"/>
        <v>0</v>
      </c>
      <c r="T1621" s="9">
        <f t="shared" si="840"/>
        <v>0</v>
      </c>
      <c r="U1621" s="9">
        <f t="shared" si="840"/>
        <v>3093038.62</v>
      </c>
      <c r="V1621" s="9">
        <f t="shared" si="840"/>
        <v>59665094.360000007</v>
      </c>
      <c r="W1621" s="9">
        <f t="shared" si="840"/>
        <v>35986.270000000019</v>
      </c>
      <c r="X1621" s="9">
        <f t="shared" si="840"/>
        <v>60165094.360000007</v>
      </c>
      <c r="Y1621" s="9">
        <f t="shared" si="840"/>
        <v>0</v>
      </c>
      <c r="Z1621" s="9">
        <f t="shared" si="840"/>
        <v>35986.270000000019</v>
      </c>
      <c r="AA1621" s="9">
        <f t="shared" si="840"/>
        <v>60165094.360000007</v>
      </c>
      <c r="AB1621" s="9">
        <f t="shared" si="840"/>
        <v>35986.270000000019</v>
      </c>
    </row>
    <row r="1622" spans="1:28" x14ac:dyDescent="0.3">
      <c r="A1622" s="64"/>
      <c r="B1622" s="8"/>
      <c r="C1622" s="8"/>
      <c r="D1622" s="8"/>
      <c r="E1622" s="17" t="s">
        <v>29</v>
      </c>
      <c r="F1622" s="17" t="s">
        <v>29</v>
      </c>
      <c r="G1622" s="17" t="s">
        <v>29</v>
      </c>
      <c r="H1622" s="17" t="s">
        <v>29</v>
      </c>
      <c r="I1622" s="17" t="s">
        <v>29</v>
      </c>
      <c r="J1622" s="17" t="s">
        <v>29</v>
      </c>
      <c r="K1622" s="17" t="s">
        <v>29</v>
      </c>
      <c r="L1622" s="17" t="s">
        <v>29</v>
      </c>
      <c r="M1622" s="17" t="s">
        <v>29</v>
      </c>
      <c r="N1622" s="17" t="s">
        <v>29</v>
      </c>
      <c r="O1622" s="17" t="s">
        <v>29</v>
      </c>
      <c r="P1622" s="17" t="s">
        <v>29</v>
      </c>
      <c r="Q1622" s="17" t="s">
        <v>29</v>
      </c>
      <c r="R1622" s="17" t="s">
        <v>29</v>
      </c>
      <c r="S1622" s="17" t="s">
        <v>29</v>
      </c>
      <c r="T1622" s="17" t="s">
        <v>29</v>
      </c>
      <c r="U1622" s="17" t="s">
        <v>29</v>
      </c>
      <c r="V1622" s="17" t="s">
        <v>29</v>
      </c>
      <c r="W1622" s="17" t="s">
        <v>29</v>
      </c>
      <c r="X1622" s="17" t="s">
        <v>29</v>
      </c>
      <c r="Y1622" s="17" t="s">
        <v>29</v>
      </c>
      <c r="Z1622" s="17" t="s">
        <v>29</v>
      </c>
      <c r="AA1622" s="17" t="s">
        <v>29</v>
      </c>
      <c r="AB1622" s="17" t="s">
        <v>29</v>
      </c>
    </row>
    <row r="1623" spans="1:28" x14ac:dyDescent="0.3">
      <c r="A1623" s="63" t="s">
        <v>1005</v>
      </c>
      <c r="B1623" s="7" t="s">
        <v>322</v>
      </c>
      <c r="C1623" s="8"/>
      <c r="D1623" s="8"/>
      <c r="E1623" s="8"/>
      <c r="F1623" s="8"/>
      <c r="G1623" s="8"/>
      <c r="H1623" s="8"/>
      <c r="I1623" s="8"/>
      <c r="J1623" s="8"/>
      <c r="K1623" s="8"/>
      <c r="L1623" s="8"/>
      <c r="M1623" s="8"/>
      <c r="N1623" s="8"/>
      <c r="O1623" s="8"/>
      <c r="P1623" s="8"/>
      <c r="Q1623" s="8"/>
      <c r="R1623" s="8"/>
      <c r="S1623" s="8"/>
      <c r="T1623" s="8"/>
      <c r="U1623" s="8"/>
      <c r="V1623" s="8"/>
      <c r="W1623" s="8"/>
      <c r="X1623" s="8"/>
      <c r="Y1623" s="8"/>
      <c r="Z1623" s="8"/>
    </row>
    <row r="1624" spans="1:28" x14ac:dyDescent="0.3">
      <c r="A1624" s="64"/>
      <c r="B1624" s="8"/>
      <c r="C1624" s="7" t="s">
        <v>323</v>
      </c>
      <c r="D1624" s="15" t="s">
        <v>68</v>
      </c>
      <c r="E1624" s="9">
        <v>700000</v>
      </c>
      <c r="F1624" s="9">
        <v>700000</v>
      </c>
      <c r="G1624" s="8"/>
      <c r="H1624" s="9">
        <f t="shared" ref="H1624:H1640" si="841">F1624+G1624</f>
        <v>700000</v>
      </c>
      <c r="I1624" s="8"/>
      <c r="J1624" s="8"/>
      <c r="K1624" s="8"/>
      <c r="L1624" s="9"/>
      <c r="M1624" s="9">
        <f t="shared" ref="M1624:M1640" si="842">H1624+L1624</f>
        <v>700000</v>
      </c>
      <c r="N1624" s="9">
        <v>0</v>
      </c>
      <c r="O1624" s="8"/>
      <c r="P1624" s="9">
        <f t="shared" ref="P1624:P1636" si="843">N1624+O1624</f>
        <v>0</v>
      </c>
      <c r="Q1624" s="8"/>
      <c r="R1624" s="8"/>
      <c r="S1624" s="8"/>
      <c r="T1624" s="9"/>
      <c r="U1624" s="9">
        <f t="shared" ref="U1624:U1640" si="844">P1624+T1624</f>
        <v>0</v>
      </c>
      <c r="V1624" s="9">
        <f t="shared" ref="V1624:V1640" si="845">P1624+H1624</f>
        <v>700000</v>
      </c>
      <c r="W1624" s="9">
        <f t="shared" ref="W1624:W1640" si="846">E1624-V1624</f>
        <v>0</v>
      </c>
      <c r="X1624" s="9">
        <f t="shared" ref="X1624:X1640" si="847">+H1624+P1624</f>
        <v>700000</v>
      </c>
      <c r="Y1624" s="8"/>
      <c r="Z1624" s="9">
        <f t="shared" ref="Z1624:Z1640" si="848">+E1624-X1624</f>
        <v>0</v>
      </c>
      <c r="AA1624" s="8">
        <f t="shared" ref="AA1624:AA1640" si="849">+M1624+U1624</f>
        <v>700000</v>
      </c>
      <c r="AB1624" s="8">
        <f t="shared" ref="AB1624:AB1640" si="850">+E1624-AA1624</f>
        <v>0</v>
      </c>
    </row>
    <row r="1625" spans="1:28" x14ac:dyDescent="0.3">
      <c r="A1625" s="64"/>
      <c r="B1625" s="8"/>
      <c r="C1625" s="7" t="s">
        <v>324</v>
      </c>
      <c r="D1625" s="15" t="s">
        <v>68</v>
      </c>
      <c r="E1625" s="9">
        <v>40000</v>
      </c>
      <c r="F1625" s="9">
        <v>40000</v>
      </c>
      <c r="G1625" s="8"/>
      <c r="H1625" s="9">
        <f t="shared" si="841"/>
        <v>40000</v>
      </c>
      <c r="I1625" s="8"/>
      <c r="J1625" s="8"/>
      <c r="K1625" s="8"/>
      <c r="L1625" s="9"/>
      <c r="M1625" s="9">
        <f t="shared" si="842"/>
        <v>40000</v>
      </c>
      <c r="N1625" s="9">
        <v>0</v>
      </c>
      <c r="O1625" s="8"/>
      <c r="P1625" s="9">
        <f t="shared" si="843"/>
        <v>0</v>
      </c>
      <c r="Q1625" s="8"/>
      <c r="R1625" s="8"/>
      <c r="S1625" s="8"/>
      <c r="T1625" s="9"/>
      <c r="U1625" s="9">
        <f t="shared" si="844"/>
        <v>0</v>
      </c>
      <c r="V1625" s="9">
        <f t="shared" si="845"/>
        <v>40000</v>
      </c>
      <c r="W1625" s="9">
        <f t="shared" si="846"/>
        <v>0</v>
      </c>
      <c r="X1625" s="9">
        <f t="shared" si="847"/>
        <v>40000</v>
      </c>
      <c r="Y1625" s="8"/>
      <c r="Z1625" s="9">
        <f t="shared" si="848"/>
        <v>0</v>
      </c>
      <c r="AA1625" s="8">
        <f t="shared" si="849"/>
        <v>40000</v>
      </c>
      <c r="AB1625" s="8">
        <f t="shared" si="850"/>
        <v>0</v>
      </c>
    </row>
    <row r="1626" spans="1:28" x14ac:dyDescent="0.3">
      <c r="A1626" s="64"/>
      <c r="B1626" s="8"/>
      <c r="C1626" s="7" t="s">
        <v>174</v>
      </c>
      <c r="D1626" s="15" t="s">
        <v>325</v>
      </c>
      <c r="E1626" s="9">
        <v>4274731.0199999996</v>
      </c>
      <c r="F1626" s="9">
        <v>4026438</v>
      </c>
      <c r="G1626" s="8"/>
      <c r="H1626" s="9">
        <f t="shared" si="841"/>
        <v>4026438</v>
      </c>
      <c r="I1626" s="8"/>
      <c r="J1626" s="8"/>
      <c r="K1626" s="8"/>
      <c r="L1626" s="9"/>
      <c r="M1626" s="9">
        <f t="shared" si="842"/>
        <v>4026438</v>
      </c>
      <c r="N1626" s="9">
        <v>248293.02</v>
      </c>
      <c r="O1626" s="8"/>
      <c r="P1626" s="9">
        <f t="shared" si="843"/>
        <v>248293.02</v>
      </c>
      <c r="Q1626" s="8"/>
      <c r="R1626" s="8"/>
      <c r="S1626" s="8"/>
      <c r="T1626" s="9"/>
      <c r="U1626" s="9">
        <f t="shared" si="844"/>
        <v>248293.02</v>
      </c>
      <c r="V1626" s="9">
        <f t="shared" si="845"/>
        <v>4274731.0199999996</v>
      </c>
      <c r="W1626" s="9">
        <f t="shared" si="846"/>
        <v>0</v>
      </c>
      <c r="X1626" s="9">
        <f t="shared" si="847"/>
        <v>4274731.0199999996</v>
      </c>
      <c r="Y1626" s="8"/>
      <c r="Z1626" s="9">
        <f t="shared" si="848"/>
        <v>0</v>
      </c>
      <c r="AA1626" s="8">
        <f t="shared" si="849"/>
        <v>4274731.0199999996</v>
      </c>
      <c r="AB1626" s="8">
        <f t="shared" si="850"/>
        <v>0</v>
      </c>
    </row>
    <row r="1627" spans="1:28" x14ac:dyDescent="0.3">
      <c r="A1627" s="64"/>
      <c r="B1627" s="8"/>
      <c r="C1627" s="7" t="s">
        <v>326</v>
      </c>
      <c r="D1627" s="15" t="s">
        <v>68</v>
      </c>
      <c r="E1627" s="9">
        <f>8260000-515370</f>
        <v>7744630</v>
      </c>
      <c r="F1627" s="9">
        <v>7473567.9500000002</v>
      </c>
      <c r="G1627" s="8"/>
      <c r="H1627" s="9">
        <f t="shared" si="841"/>
        <v>7473567.9500000002</v>
      </c>
      <c r="I1627" s="8"/>
      <c r="J1627" s="8"/>
      <c r="K1627" s="8"/>
      <c r="L1627" s="9"/>
      <c r="M1627" s="9">
        <f t="shared" si="842"/>
        <v>7473567.9500000002</v>
      </c>
      <c r="N1627" s="9">
        <v>0</v>
      </c>
      <c r="O1627" s="8"/>
      <c r="P1627" s="9">
        <f t="shared" si="843"/>
        <v>0</v>
      </c>
      <c r="Q1627" s="8"/>
      <c r="R1627" s="8"/>
      <c r="S1627" s="8"/>
      <c r="T1627" s="9"/>
      <c r="U1627" s="9">
        <f t="shared" si="844"/>
        <v>0</v>
      </c>
      <c r="V1627" s="9">
        <f t="shared" si="845"/>
        <v>7473567.9500000002</v>
      </c>
      <c r="W1627" s="9">
        <f t="shared" si="846"/>
        <v>271062.04999999981</v>
      </c>
      <c r="X1627" s="9">
        <f t="shared" si="847"/>
        <v>7473567.9500000002</v>
      </c>
      <c r="Y1627" s="8"/>
      <c r="Z1627" s="9">
        <f t="shared" si="848"/>
        <v>271062.04999999981</v>
      </c>
      <c r="AA1627" s="8">
        <f t="shared" si="849"/>
        <v>7473567.9500000002</v>
      </c>
      <c r="AB1627" s="8">
        <f t="shared" si="850"/>
        <v>271062.04999999981</v>
      </c>
    </row>
    <row r="1628" spans="1:28" x14ac:dyDescent="0.3">
      <c r="A1628" s="64"/>
      <c r="B1628" s="8"/>
      <c r="C1628" s="7" t="s">
        <v>53</v>
      </c>
      <c r="D1628" s="15" t="s">
        <v>54</v>
      </c>
      <c r="E1628" s="9">
        <v>1953989</v>
      </c>
      <c r="F1628" s="9">
        <v>0</v>
      </c>
      <c r="G1628" s="8"/>
      <c r="H1628" s="9">
        <f t="shared" si="841"/>
        <v>0</v>
      </c>
      <c r="I1628" s="8"/>
      <c r="J1628" s="8"/>
      <c r="K1628" s="8"/>
      <c r="L1628" s="9"/>
      <c r="M1628" s="9">
        <f t="shared" si="842"/>
        <v>0</v>
      </c>
      <c r="N1628" s="9">
        <v>1953989</v>
      </c>
      <c r="O1628" s="8"/>
      <c r="P1628" s="9">
        <f t="shared" si="843"/>
        <v>1953989</v>
      </c>
      <c r="Q1628" s="8"/>
      <c r="R1628" s="8"/>
      <c r="S1628" s="8"/>
      <c r="T1628" s="9"/>
      <c r="U1628" s="9">
        <f t="shared" si="844"/>
        <v>1953989</v>
      </c>
      <c r="V1628" s="9">
        <f t="shared" si="845"/>
        <v>1953989</v>
      </c>
      <c r="W1628" s="9">
        <f t="shared" si="846"/>
        <v>0</v>
      </c>
      <c r="X1628" s="9">
        <f t="shared" si="847"/>
        <v>1953989</v>
      </c>
      <c r="Y1628" s="8"/>
      <c r="Z1628" s="9">
        <f t="shared" si="848"/>
        <v>0</v>
      </c>
      <c r="AA1628" s="8">
        <f t="shared" si="849"/>
        <v>1953989</v>
      </c>
      <c r="AB1628" s="8">
        <f t="shared" si="850"/>
        <v>0</v>
      </c>
    </row>
    <row r="1629" spans="1:28" x14ac:dyDescent="0.3">
      <c r="A1629" s="64"/>
      <c r="B1629" s="8"/>
      <c r="C1629" s="7" t="s">
        <v>326</v>
      </c>
      <c r="D1629" s="15" t="s">
        <v>234</v>
      </c>
      <c r="E1629" s="9">
        <v>419600</v>
      </c>
      <c r="F1629" s="9">
        <v>229600</v>
      </c>
      <c r="G1629" s="8"/>
      <c r="H1629" s="9">
        <f t="shared" si="841"/>
        <v>229600</v>
      </c>
      <c r="I1629" s="8"/>
      <c r="J1629" s="8"/>
      <c r="K1629" s="8"/>
      <c r="L1629" s="9"/>
      <c r="M1629" s="9">
        <f t="shared" si="842"/>
        <v>229600</v>
      </c>
      <c r="N1629" s="9">
        <v>0</v>
      </c>
      <c r="O1629" s="8"/>
      <c r="P1629" s="9">
        <f t="shared" si="843"/>
        <v>0</v>
      </c>
      <c r="Q1629" s="8"/>
      <c r="R1629" s="8"/>
      <c r="S1629" s="8"/>
      <c r="T1629" s="9"/>
      <c r="U1629" s="9">
        <f t="shared" si="844"/>
        <v>0</v>
      </c>
      <c r="V1629" s="9">
        <f t="shared" si="845"/>
        <v>229600</v>
      </c>
      <c r="W1629" s="9">
        <f t="shared" si="846"/>
        <v>190000</v>
      </c>
      <c r="X1629" s="9">
        <f t="shared" si="847"/>
        <v>229600</v>
      </c>
      <c r="Y1629" s="8"/>
      <c r="Z1629" s="9">
        <f t="shared" si="848"/>
        <v>190000</v>
      </c>
      <c r="AA1629" s="8">
        <f t="shared" si="849"/>
        <v>229600</v>
      </c>
      <c r="AB1629" s="8">
        <f t="shared" si="850"/>
        <v>190000</v>
      </c>
    </row>
    <row r="1630" spans="1:28" x14ac:dyDescent="0.3">
      <c r="A1630" s="64"/>
      <c r="B1630" s="8"/>
      <c r="C1630" s="7" t="s">
        <v>300</v>
      </c>
      <c r="D1630" s="15" t="s">
        <v>85</v>
      </c>
      <c r="E1630" s="9">
        <v>80000</v>
      </c>
      <c r="F1630" s="9">
        <v>0</v>
      </c>
      <c r="G1630" s="8"/>
      <c r="H1630" s="9">
        <f t="shared" si="841"/>
        <v>0</v>
      </c>
      <c r="I1630" s="8"/>
      <c r="J1630" s="8"/>
      <c r="K1630" s="8"/>
      <c r="L1630" s="9"/>
      <c r="M1630" s="9">
        <f t="shared" si="842"/>
        <v>0</v>
      </c>
      <c r="N1630" s="9">
        <v>0</v>
      </c>
      <c r="O1630" s="8"/>
      <c r="P1630" s="9">
        <f t="shared" si="843"/>
        <v>0</v>
      </c>
      <c r="Q1630" s="8"/>
      <c r="R1630" s="8"/>
      <c r="S1630" s="8"/>
      <c r="T1630" s="9"/>
      <c r="U1630" s="9">
        <f t="shared" si="844"/>
        <v>0</v>
      </c>
      <c r="V1630" s="9">
        <f t="shared" si="845"/>
        <v>0</v>
      </c>
      <c r="W1630" s="9">
        <f t="shared" si="846"/>
        <v>80000</v>
      </c>
      <c r="X1630" s="9">
        <f t="shared" si="847"/>
        <v>0</v>
      </c>
      <c r="Y1630" s="8"/>
      <c r="Z1630" s="9">
        <f t="shared" si="848"/>
        <v>80000</v>
      </c>
      <c r="AA1630" s="8">
        <f t="shared" si="849"/>
        <v>0</v>
      </c>
      <c r="AB1630" s="8">
        <f t="shared" si="850"/>
        <v>80000</v>
      </c>
    </row>
    <row r="1631" spans="1:28" x14ac:dyDescent="0.3">
      <c r="A1631" s="64"/>
      <c r="B1631" s="8"/>
      <c r="C1631" s="7" t="s">
        <v>302</v>
      </c>
      <c r="D1631" s="15" t="s">
        <v>85</v>
      </c>
      <c r="E1631" s="9">
        <v>200000</v>
      </c>
      <c r="F1631" s="9">
        <v>0</v>
      </c>
      <c r="G1631" s="8"/>
      <c r="H1631" s="9">
        <f t="shared" si="841"/>
        <v>0</v>
      </c>
      <c r="I1631" s="8"/>
      <c r="J1631" s="8"/>
      <c r="K1631" s="8"/>
      <c r="L1631" s="9"/>
      <c r="M1631" s="9">
        <f t="shared" si="842"/>
        <v>0</v>
      </c>
      <c r="N1631" s="9">
        <v>0</v>
      </c>
      <c r="O1631" s="8"/>
      <c r="P1631" s="9">
        <f t="shared" si="843"/>
        <v>0</v>
      </c>
      <c r="Q1631" s="8"/>
      <c r="R1631" s="8"/>
      <c r="S1631" s="8"/>
      <c r="T1631" s="9"/>
      <c r="U1631" s="9">
        <f t="shared" si="844"/>
        <v>0</v>
      </c>
      <c r="V1631" s="9">
        <f t="shared" si="845"/>
        <v>0</v>
      </c>
      <c r="W1631" s="9">
        <f t="shared" si="846"/>
        <v>200000</v>
      </c>
      <c r="X1631" s="9">
        <f t="shared" si="847"/>
        <v>0</v>
      </c>
      <c r="Y1631" s="8"/>
      <c r="Z1631" s="9">
        <f t="shared" si="848"/>
        <v>200000</v>
      </c>
      <c r="AA1631" s="8">
        <f t="shared" si="849"/>
        <v>0</v>
      </c>
      <c r="AB1631" s="8">
        <f t="shared" si="850"/>
        <v>200000</v>
      </c>
    </row>
    <row r="1632" spans="1:28" x14ac:dyDescent="0.3">
      <c r="A1632" s="64"/>
      <c r="B1632" s="8"/>
      <c r="C1632" s="14" t="s">
        <v>109</v>
      </c>
      <c r="D1632" s="21" t="s">
        <v>60</v>
      </c>
      <c r="E1632" s="9">
        <v>2500000</v>
      </c>
      <c r="F1632" s="11">
        <v>2500000</v>
      </c>
      <c r="G1632" s="8"/>
      <c r="H1632" s="9">
        <f t="shared" si="841"/>
        <v>2500000</v>
      </c>
      <c r="I1632" s="8"/>
      <c r="J1632" s="8"/>
      <c r="K1632" s="8"/>
      <c r="L1632" s="9"/>
      <c r="M1632" s="9">
        <f t="shared" si="842"/>
        <v>2500000</v>
      </c>
      <c r="N1632" s="9">
        <v>0</v>
      </c>
      <c r="O1632" s="8"/>
      <c r="P1632" s="9">
        <f t="shared" si="843"/>
        <v>0</v>
      </c>
      <c r="Q1632" s="8"/>
      <c r="R1632" s="8"/>
      <c r="S1632" s="8"/>
      <c r="T1632" s="9"/>
      <c r="U1632" s="9">
        <f t="shared" si="844"/>
        <v>0</v>
      </c>
      <c r="V1632" s="9">
        <f t="shared" si="845"/>
        <v>2500000</v>
      </c>
      <c r="W1632" s="9">
        <f t="shared" si="846"/>
        <v>0</v>
      </c>
      <c r="X1632" s="9">
        <f t="shared" si="847"/>
        <v>2500000</v>
      </c>
      <c r="Y1632" s="8"/>
      <c r="Z1632" s="9">
        <f t="shared" si="848"/>
        <v>0</v>
      </c>
      <c r="AA1632" s="8">
        <f t="shared" si="849"/>
        <v>2500000</v>
      </c>
      <c r="AB1632" s="8">
        <f t="shared" si="850"/>
        <v>0</v>
      </c>
    </row>
    <row r="1633" spans="1:28" x14ac:dyDescent="0.3">
      <c r="A1633" s="64"/>
      <c r="B1633" s="8"/>
      <c r="C1633" s="14" t="s">
        <v>57</v>
      </c>
      <c r="D1633" s="21" t="s">
        <v>60</v>
      </c>
      <c r="E1633" s="9">
        <v>2404000</v>
      </c>
      <c r="F1633" s="11">
        <v>2404000</v>
      </c>
      <c r="G1633" s="8"/>
      <c r="H1633" s="9">
        <f t="shared" si="841"/>
        <v>2404000</v>
      </c>
      <c r="I1633" s="8"/>
      <c r="J1633" s="8"/>
      <c r="K1633" s="8"/>
      <c r="L1633" s="9"/>
      <c r="M1633" s="9">
        <f t="shared" si="842"/>
        <v>2404000</v>
      </c>
      <c r="N1633" s="9">
        <v>0</v>
      </c>
      <c r="O1633" s="8"/>
      <c r="P1633" s="9">
        <f t="shared" si="843"/>
        <v>0</v>
      </c>
      <c r="Q1633" s="8"/>
      <c r="R1633" s="8"/>
      <c r="S1633" s="8"/>
      <c r="T1633" s="9"/>
      <c r="U1633" s="9">
        <f t="shared" si="844"/>
        <v>0</v>
      </c>
      <c r="V1633" s="9">
        <f t="shared" si="845"/>
        <v>2404000</v>
      </c>
      <c r="W1633" s="9">
        <f t="shared" si="846"/>
        <v>0</v>
      </c>
      <c r="X1633" s="9">
        <f t="shared" si="847"/>
        <v>2404000</v>
      </c>
      <c r="Y1633" s="8"/>
      <c r="Z1633" s="9">
        <f t="shared" si="848"/>
        <v>0</v>
      </c>
      <c r="AA1633" s="8">
        <f t="shared" si="849"/>
        <v>2404000</v>
      </c>
      <c r="AB1633" s="8">
        <f t="shared" si="850"/>
        <v>0</v>
      </c>
    </row>
    <row r="1634" spans="1:28" x14ac:dyDescent="0.3">
      <c r="A1634" s="64"/>
      <c r="B1634" s="8"/>
      <c r="C1634" s="14" t="s">
        <v>327</v>
      </c>
      <c r="D1634" s="21" t="s">
        <v>194</v>
      </c>
      <c r="E1634" s="9">
        <f>3605481.56+1155000+2617165</f>
        <v>7377646.5600000005</v>
      </c>
      <c r="F1634" s="11">
        <f>3605481.56+1155000+2617165</f>
        <v>7377646.5600000005</v>
      </c>
      <c r="G1634" s="8"/>
      <c r="H1634" s="9">
        <f t="shared" si="841"/>
        <v>7377646.5600000005</v>
      </c>
      <c r="I1634" s="8"/>
      <c r="J1634" s="8"/>
      <c r="K1634" s="8"/>
      <c r="L1634" s="9"/>
      <c r="M1634" s="9">
        <f t="shared" si="842"/>
        <v>7377646.5600000005</v>
      </c>
      <c r="N1634" s="9">
        <v>0</v>
      </c>
      <c r="O1634" s="8"/>
      <c r="P1634" s="9">
        <f t="shared" si="843"/>
        <v>0</v>
      </c>
      <c r="Q1634" s="8"/>
      <c r="R1634" s="8"/>
      <c r="S1634" s="8"/>
      <c r="T1634" s="9"/>
      <c r="U1634" s="9">
        <f t="shared" si="844"/>
        <v>0</v>
      </c>
      <c r="V1634" s="9">
        <f t="shared" si="845"/>
        <v>7377646.5600000005</v>
      </c>
      <c r="W1634" s="9">
        <f t="shared" si="846"/>
        <v>0</v>
      </c>
      <c r="X1634" s="9">
        <f t="shared" si="847"/>
        <v>7377646.5600000005</v>
      </c>
      <c r="Y1634" s="8"/>
      <c r="Z1634" s="9">
        <f t="shared" si="848"/>
        <v>0</v>
      </c>
      <c r="AA1634" s="8">
        <f t="shared" si="849"/>
        <v>7377646.5600000005</v>
      </c>
      <c r="AB1634" s="8">
        <f t="shared" si="850"/>
        <v>0</v>
      </c>
    </row>
    <row r="1635" spans="1:28" x14ac:dyDescent="0.3">
      <c r="A1635" s="64"/>
      <c r="B1635" s="8"/>
      <c r="C1635" s="14" t="s">
        <v>1223</v>
      </c>
      <c r="D1635" s="24" t="s">
        <v>1126</v>
      </c>
      <c r="E1635" s="9">
        <v>800000</v>
      </c>
      <c r="F1635" s="11">
        <v>800000</v>
      </c>
      <c r="G1635" s="8"/>
      <c r="H1635" s="9">
        <f>+F1635+G1635</f>
        <v>800000</v>
      </c>
      <c r="I1635" s="8"/>
      <c r="J1635" s="8"/>
      <c r="K1635" s="8"/>
      <c r="L1635" s="9"/>
      <c r="M1635" s="9">
        <f t="shared" si="842"/>
        <v>800000</v>
      </c>
      <c r="N1635" s="9">
        <v>0</v>
      </c>
      <c r="O1635" s="8"/>
      <c r="P1635" s="9">
        <f t="shared" si="843"/>
        <v>0</v>
      </c>
      <c r="Q1635" s="8"/>
      <c r="R1635" s="8"/>
      <c r="S1635" s="8"/>
      <c r="T1635" s="9"/>
      <c r="U1635" s="9">
        <f t="shared" si="844"/>
        <v>0</v>
      </c>
      <c r="V1635" s="9">
        <f t="shared" si="845"/>
        <v>800000</v>
      </c>
      <c r="W1635" s="9"/>
      <c r="X1635" s="9">
        <f t="shared" si="847"/>
        <v>800000</v>
      </c>
      <c r="Y1635" s="8"/>
      <c r="Z1635" s="9">
        <f t="shared" si="848"/>
        <v>0</v>
      </c>
      <c r="AA1635" s="8">
        <f t="shared" si="849"/>
        <v>800000</v>
      </c>
      <c r="AB1635" s="8">
        <f t="shared" si="850"/>
        <v>0</v>
      </c>
    </row>
    <row r="1636" spans="1:28" x14ac:dyDescent="0.3">
      <c r="A1636" s="64"/>
      <c r="B1636" s="8"/>
      <c r="C1636" s="7" t="s">
        <v>122</v>
      </c>
      <c r="D1636" s="8"/>
      <c r="E1636" s="9">
        <v>1015387</v>
      </c>
      <c r="F1636" s="9">
        <v>1015387</v>
      </c>
      <c r="G1636" s="8"/>
      <c r="H1636" s="9">
        <f t="shared" si="841"/>
        <v>1015387</v>
      </c>
      <c r="I1636" s="8"/>
      <c r="J1636" s="8"/>
      <c r="K1636" s="8"/>
      <c r="L1636" s="9"/>
      <c r="M1636" s="9">
        <f t="shared" si="842"/>
        <v>1015387</v>
      </c>
      <c r="N1636" s="9">
        <v>0</v>
      </c>
      <c r="O1636" s="8"/>
      <c r="P1636" s="9">
        <f t="shared" si="843"/>
        <v>0</v>
      </c>
      <c r="Q1636" s="8"/>
      <c r="R1636" s="8"/>
      <c r="S1636" s="8"/>
      <c r="T1636" s="9"/>
      <c r="U1636" s="9">
        <f t="shared" si="844"/>
        <v>0</v>
      </c>
      <c r="V1636" s="9">
        <f t="shared" si="845"/>
        <v>1015387</v>
      </c>
      <c r="W1636" s="9">
        <f t="shared" si="846"/>
        <v>0</v>
      </c>
      <c r="X1636" s="9">
        <f t="shared" si="847"/>
        <v>1015387</v>
      </c>
      <c r="Y1636" s="8"/>
      <c r="Z1636" s="9">
        <f t="shared" si="848"/>
        <v>0</v>
      </c>
      <c r="AA1636" s="8">
        <f t="shared" si="849"/>
        <v>1015387</v>
      </c>
      <c r="AB1636" s="8">
        <f t="shared" si="850"/>
        <v>0</v>
      </c>
    </row>
    <row r="1637" spans="1:28" x14ac:dyDescent="0.3">
      <c r="A1637" s="64"/>
      <c r="B1637" s="8"/>
      <c r="C1637" s="7" t="s">
        <v>1063</v>
      </c>
      <c r="D1637" s="23" t="s">
        <v>1072</v>
      </c>
      <c r="E1637" s="9">
        <v>1116843.22</v>
      </c>
      <c r="F1637" s="9">
        <v>1116843.22</v>
      </c>
      <c r="G1637" s="8"/>
      <c r="H1637" s="9">
        <f>+F1637+G1637</f>
        <v>1116843.22</v>
      </c>
      <c r="I1637" s="8"/>
      <c r="J1637" s="8"/>
      <c r="K1637" s="8"/>
      <c r="L1637" s="9"/>
      <c r="M1637" s="9">
        <f>+H1637+L1637</f>
        <v>1116843.22</v>
      </c>
      <c r="N1637" s="9">
        <v>0</v>
      </c>
      <c r="O1637" s="8"/>
      <c r="P1637" s="9">
        <v>0</v>
      </c>
      <c r="Q1637" s="8"/>
      <c r="R1637" s="8"/>
      <c r="S1637" s="8"/>
      <c r="T1637" s="9"/>
      <c r="U1637" s="9">
        <f>P1637+T1637</f>
        <v>0</v>
      </c>
      <c r="V1637" s="9">
        <f>P1637+H1637</f>
        <v>1116843.22</v>
      </c>
      <c r="W1637" s="9">
        <f>E1637-V1637</f>
        <v>0</v>
      </c>
      <c r="X1637" s="9">
        <f t="shared" si="847"/>
        <v>1116843.22</v>
      </c>
      <c r="Y1637" s="8"/>
      <c r="Z1637" s="9">
        <f t="shared" si="848"/>
        <v>0</v>
      </c>
      <c r="AA1637" s="8">
        <f t="shared" si="849"/>
        <v>1116843.22</v>
      </c>
      <c r="AB1637" s="8">
        <f t="shared" si="850"/>
        <v>0</v>
      </c>
    </row>
    <row r="1638" spans="1:28" x14ac:dyDescent="0.3">
      <c r="A1638" s="64"/>
      <c r="B1638" s="8"/>
      <c r="C1638" s="7" t="s">
        <v>1095</v>
      </c>
      <c r="D1638" s="23" t="s">
        <v>1072</v>
      </c>
      <c r="E1638" s="9">
        <v>1272000</v>
      </c>
      <c r="F1638" s="9">
        <v>1272000</v>
      </c>
      <c r="G1638" s="8"/>
      <c r="H1638" s="9">
        <f>+F1638+G1638</f>
        <v>1272000</v>
      </c>
      <c r="I1638" s="8"/>
      <c r="J1638" s="8"/>
      <c r="K1638" s="8"/>
      <c r="L1638" s="9"/>
      <c r="M1638" s="9">
        <f>+H1638+L1638</f>
        <v>1272000</v>
      </c>
      <c r="N1638" s="9">
        <v>0</v>
      </c>
      <c r="O1638" s="8"/>
      <c r="P1638" s="9">
        <f>+N1638+O1638</f>
        <v>0</v>
      </c>
      <c r="Q1638" s="8"/>
      <c r="R1638" s="8"/>
      <c r="S1638" s="8"/>
      <c r="T1638" s="9"/>
      <c r="U1638" s="9">
        <f>P1638+T1638</f>
        <v>0</v>
      </c>
      <c r="V1638" s="9">
        <f>P1638+H1638</f>
        <v>1272000</v>
      </c>
      <c r="W1638" s="9">
        <f>E1638-V1638</f>
        <v>0</v>
      </c>
      <c r="X1638" s="9">
        <f t="shared" si="847"/>
        <v>1272000</v>
      </c>
      <c r="Y1638" s="8"/>
      <c r="Z1638" s="9">
        <f t="shared" si="848"/>
        <v>0</v>
      </c>
      <c r="AA1638" s="8">
        <f t="shared" si="849"/>
        <v>1272000</v>
      </c>
      <c r="AB1638" s="8">
        <f t="shared" si="850"/>
        <v>0</v>
      </c>
    </row>
    <row r="1639" spans="1:28" x14ac:dyDescent="0.3">
      <c r="A1639" s="64"/>
      <c r="B1639" s="8"/>
      <c r="C1639" s="7" t="s">
        <v>1239</v>
      </c>
      <c r="D1639" s="23" t="s">
        <v>1225</v>
      </c>
      <c r="E1639" s="9">
        <v>1200000</v>
      </c>
      <c r="F1639" s="9">
        <v>1200000</v>
      </c>
      <c r="G1639" s="8"/>
      <c r="H1639" s="9">
        <f>+F1639+G1639</f>
        <v>1200000</v>
      </c>
      <c r="I1639" s="8"/>
      <c r="J1639" s="8"/>
      <c r="K1639" s="8"/>
      <c r="L1639" s="9"/>
      <c r="M1639" s="9">
        <f>+H1639+L1639</f>
        <v>1200000</v>
      </c>
      <c r="N1639" s="9">
        <v>0</v>
      </c>
      <c r="O1639" s="8"/>
      <c r="P1639" s="9">
        <f>+N1639+O1639</f>
        <v>0</v>
      </c>
      <c r="Q1639" s="8"/>
      <c r="R1639" s="8"/>
      <c r="S1639" s="8"/>
      <c r="T1639" s="9"/>
      <c r="U1639" s="9">
        <f>+P1639+T1639</f>
        <v>0</v>
      </c>
      <c r="V1639" s="9"/>
      <c r="W1639" s="9"/>
      <c r="X1639" s="9">
        <f>+H1639+P1639</f>
        <v>1200000</v>
      </c>
      <c r="Y1639" s="8"/>
      <c r="Z1639" s="9">
        <f>+E1639-X1639</f>
        <v>0</v>
      </c>
      <c r="AA1639" s="8">
        <f t="shared" si="849"/>
        <v>1200000</v>
      </c>
      <c r="AB1639" s="8">
        <f t="shared" si="850"/>
        <v>0</v>
      </c>
    </row>
    <row r="1640" spans="1:28" x14ac:dyDescent="0.3">
      <c r="A1640" s="64"/>
      <c r="B1640" s="8"/>
      <c r="C1640" s="14" t="s">
        <v>57</v>
      </c>
      <c r="D1640" s="24" t="s">
        <v>61</v>
      </c>
      <c r="E1640" s="9">
        <f>347833+3054167+48788.51</f>
        <v>3450788.51</v>
      </c>
      <c r="F1640" s="8">
        <f>347833+3054167</f>
        <v>3402000</v>
      </c>
      <c r="G1640" s="8"/>
      <c r="H1640" s="9">
        <f t="shared" si="841"/>
        <v>3402000</v>
      </c>
      <c r="I1640" s="8">
        <v>3054167</v>
      </c>
      <c r="J1640" s="8"/>
      <c r="K1640" s="8"/>
      <c r="L1640" s="9"/>
      <c r="M1640" s="9">
        <f t="shared" si="842"/>
        <v>3402000</v>
      </c>
      <c r="N1640" s="9">
        <v>0</v>
      </c>
      <c r="O1640" s="8"/>
      <c r="P1640" s="9">
        <f>+N1640+O1640</f>
        <v>0</v>
      </c>
      <c r="Q1640" s="8">
        <v>48788.51</v>
      </c>
      <c r="R1640" s="8"/>
      <c r="S1640" s="8"/>
      <c r="T1640" s="9">
        <v>48788.51</v>
      </c>
      <c r="U1640" s="9">
        <f t="shared" si="844"/>
        <v>48788.51</v>
      </c>
      <c r="V1640" s="9">
        <f t="shared" si="845"/>
        <v>3402000</v>
      </c>
      <c r="W1640" s="9">
        <f t="shared" si="846"/>
        <v>48788.509999999776</v>
      </c>
      <c r="X1640" s="9">
        <f t="shared" si="847"/>
        <v>3402000</v>
      </c>
      <c r="Y1640" s="8"/>
      <c r="Z1640" s="9">
        <f t="shared" si="848"/>
        <v>48788.509999999776</v>
      </c>
      <c r="AA1640" s="8">
        <f t="shared" si="849"/>
        <v>3450788.51</v>
      </c>
      <c r="AB1640" s="8">
        <f t="shared" si="850"/>
        <v>0</v>
      </c>
    </row>
    <row r="1641" spans="1:28" x14ac:dyDescent="0.3">
      <c r="A1641" s="64"/>
      <c r="B1641" s="8"/>
      <c r="C1641" s="8"/>
      <c r="D1641" s="8"/>
      <c r="E1641" s="17" t="s">
        <v>29</v>
      </c>
      <c r="F1641" s="17" t="s">
        <v>29</v>
      </c>
      <c r="G1641" s="17" t="s">
        <v>29</v>
      </c>
      <c r="H1641" s="17" t="s">
        <v>29</v>
      </c>
      <c r="I1641" s="17" t="s">
        <v>29</v>
      </c>
      <c r="J1641" s="17" t="s">
        <v>29</v>
      </c>
      <c r="K1641" s="17" t="s">
        <v>29</v>
      </c>
      <c r="L1641" s="17" t="s">
        <v>29</v>
      </c>
      <c r="M1641" s="17" t="s">
        <v>29</v>
      </c>
      <c r="N1641" s="17" t="s">
        <v>29</v>
      </c>
      <c r="O1641" s="17" t="s">
        <v>29</v>
      </c>
      <c r="P1641" s="17" t="s">
        <v>29</v>
      </c>
      <c r="Q1641" s="17" t="s">
        <v>29</v>
      </c>
      <c r="R1641" s="17" t="s">
        <v>29</v>
      </c>
      <c r="S1641" s="17" t="s">
        <v>29</v>
      </c>
      <c r="T1641" s="17" t="s">
        <v>29</v>
      </c>
      <c r="U1641" s="17" t="s">
        <v>29</v>
      </c>
      <c r="V1641" s="17" t="s">
        <v>29</v>
      </c>
      <c r="W1641" s="17" t="s">
        <v>29</v>
      </c>
      <c r="X1641" s="17" t="s">
        <v>29</v>
      </c>
      <c r="Y1641" s="17" t="s">
        <v>29</v>
      </c>
      <c r="Z1641" s="17" t="s">
        <v>29</v>
      </c>
      <c r="AA1641" s="17" t="s">
        <v>29</v>
      </c>
      <c r="AB1641" s="17" t="s">
        <v>29</v>
      </c>
    </row>
    <row r="1642" spans="1:28" x14ac:dyDescent="0.3">
      <c r="A1642" s="64"/>
      <c r="B1642" s="8"/>
      <c r="C1642" s="8"/>
      <c r="D1642" s="8"/>
      <c r="E1642" s="9">
        <f t="shared" ref="E1642:AB1642" si="851">SUM(E1624:E1640)</f>
        <v>36549615.309999995</v>
      </c>
      <c r="F1642" s="9">
        <f t="shared" si="851"/>
        <v>33557482.729999997</v>
      </c>
      <c r="G1642" s="9">
        <f t="shared" si="851"/>
        <v>0</v>
      </c>
      <c r="H1642" s="9">
        <f t="shared" si="851"/>
        <v>33557482.729999997</v>
      </c>
      <c r="I1642" s="9">
        <f t="shared" si="851"/>
        <v>3054167</v>
      </c>
      <c r="J1642" s="9">
        <f t="shared" si="851"/>
        <v>0</v>
      </c>
      <c r="K1642" s="9">
        <f t="shared" si="851"/>
        <v>0</v>
      </c>
      <c r="L1642" s="9">
        <f t="shared" si="851"/>
        <v>0</v>
      </c>
      <c r="M1642" s="9">
        <f t="shared" si="851"/>
        <v>33557482.729999997</v>
      </c>
      <c r="N1642" s="9">
        <f t="shared" si="851"/>
        <v>2202282.02</v>
      </c>
      <c r="O1642" s="9">
        <f t="shared" si="851"/>
        <v>0</v>
      </c>
      <c r="P1642" s="9">
        <f t="shared" si="851"/>
        <v>2202282.02</v>
      </c>
      <c r="Q1642" s="9">
        <f t="shared" si="851"/>
        <v>48788.51</v>
      </c>
      <c r="R1642" s="9">
        <f t="shared" si="851"/>
        <v>0</v>
      </c>
      <c r="S1642" s="9">
        <f t="shared" si="851"/>
        <v>0</v>
      </c>
      <c r="T1642" s="9">
        <f t="shared" si="851"/>
        <v>48788.51</v>
      </c>
      <c r="U1642" s="9">
        <f t="shared" si="851"/>
        <v>2251070.5299999998</v>
      </c>
      <c r="V1642" s="9">
        <f t="shared" si="851"/>
        <v>34559764.75</v>
      </c>
      <c r="W1642" s="9">
        <f t="shared" si="851"/>
        <v>789850.55999999959</v>
      </c>
      <c r="X1642" s="9">
        <f t="shared" si="851"/>
        <v>35759764.75</v>
      </c>
      <c r="Y1642" s="9">
        <f t="shared" si="851"/>
        <v>0</v>
      </c>
      <c r="Z1642" s="9">
        <f t="shared" si="851"/>
        <v>789850.55999999959</v>
      </c>
      <c r="AA1642" s="9">
        <f t="shared" si="851"/>
        <v>35808553.259999998</v>
      </c>
      <c r="AB1642" s="9">
        <f t="shared" si="851"/>
        <v>741062.04999999981</v>
      </c>
    </row>
    <row r="1643" spans="1:28" x14ac:dyDescent="0.3">
      <c r="A1643" s="64"/>
      <c r="B1643" s="8"/>
      <c r="C1643" s="8"/>
      <c r="D1643" s="8"/>
      <c r="E1643" s="17" t="s">
        <v>29</v>
      </c>
      <c r="F1643" s="17" t="s">
        <v>29</v>
      </c>
      <c r="G1643" s="17" t="s">
        <v>29</v>
      </c>
      <c r="H1643" s="17" t="s">
        <v>29</v>
      </c>
      <c r="I1643" s="17" t="s">
        <v>29</v>
      </c>
      <c r="J1643" s="17" t="s">
        <v>29</v>
      </c>
      <c r="K1643" s="17" t="s">
        <v>29</v>
      </c>
      <c r="L1643" s="17" t="s">
        <v>29</v>
      </c>
      <c r="M1643" s="17" t="s">
        <v>29</v>
      </c>
      <c r="N1643" s="17" t="s">
        <v>29</v>
      </c>
      <c r="O1643" s="17" t="s">
        <v>29</v>
      </c>
      <c r="P1643" s="17" t="s">
        <v>29</v>
      </c>
      <c r="Q1643" s="17" t="s">
        <v>29</v>
      </c>
      <c r="R1643" s="17" t="s">
        <v>29</v>
      </c>
      <c r="S1643" s="17" t="s">
        <v>29</v>
      </c>
      <c r="T1643" s="17" t="s">
        <v>29</v>
      </c>
      <c r="U1643" s="17" t="s">
        <v>29</v>
      </c>
      <c r="V1643" s="17" t="s">
        <v>29</v>
      </c>
      <c r="W1643" s="17" t="s">
        <v>29</v>
      </c>
      <c r="X1643" s="17" t="s">
        <v>29</v>
      </c>
      <c r="Y1643" s="17" t="s">
        <v>29</v>
      </c>
      <c r="Z1643" s="17" t="s">
        <v>29</v>
      </c>
      <c r="AA1643" s="17" t="s">
        <v>29</v>
      </c>
      <c r="AB1643" s="17" t="s">
        <v>29</v>
      </c>
    </row>
    <row r="1644" spans="1:28" x14ac:dyDescent="0.3">
      <c r="A1644" s="63" t="s">
        <v>1006</v>
      </c>
      <c r="B1644" s="7" t="s">
        <v>328</v>
      </c>
      <c r="C1644" s="8"/>
      <c r="D1644" s="8"/>
      <c r="E1644" s="8"/>
      <c r="F1644" s="8"/>
      <c r="G1644" s="8"/>
      <c r="H1644" s="8"/>
      <c r="I1644" s="8"/>
      <c r="J1644" s="8"/>
      <c r="K1644" s="8"/>
      <c r="L1644" s="8"/>
      <c r="M1644" s="8"/>
      <c r="N1644" s="8"/>
      <c r="O1644" s="8"/>
      <c r="P1644" s="8"/>
      <c r="Q1644" s="8"/>
      <c r="R1644" s="8"/>
      <c r="S1644" s="8"/>
      <c r="T1644" s="8"/>
      <c r="U1644" s="8"/>
      <c r="V1644" s="8"/>
      <c r="W1644" s="8"/>
      <c r="X1644" s="8"/>
      <c r="Y1644" s="8"/>
      <c r="Z1644" s="8"/>
    </row>
    <row r="1645" spans="1:28" x14ac:dyDescent="0.3">
      <c r="A1645" s="64"/>
      <c r="B1645" s="8"/>
      <c r="C1645" s="7" t="s">
        <v>329</v>
      </c>
      <c r="D1645" s="15" t="s">
        <v>68</v>
      </c>
      <c r="E1645" s="9">
        <f>1700000-1700000</f>
        <v>0</v>
      </c>
      <c r="F1645" s="9">
        <v>0</v>
      </c>
      <c r="G1645" s="8"/>
      <c r="H1645" s="9">
        <f t="shared" ref="H1645:H1650" si="852">F1645+G1645</f>
        <v>0</v>
      </c>
      <c r="I1645" s="8"/>
      <c r="J1645" s="8"/>
      <c r="K1645" s="8"/>
      <c r="L1645" s="9"/>
      <c r="M1645" s="9">
        <f t="shared" ref="M1645:M1650" si="853">H1645+L1645</f>
        <v>0</v>
      </c>
      <c r="N1645" s="9">
        <v>0</v>
      </c>
      <c r="O1645" s="8"/>
      <c r="P1645" s="9">
        <f t="shared" ref="P1645:P1650" si="854">N1645+O1645</f>
        <v>0</v>
      </c>
      <c r="Q1645" s="8"/>
      <c r="R1645" s="8"/>
      <c r="S1645" s="8"/>
      <c r="T1645" s="9"/>
      <c r="U1645" s="9">
        <f t="shared" ref="U1645:U1650" si="855">P1645+T1645</f>
        <v>0</v>
      </c>
      <c r="V1645" s="9">
        <f t="shared" ref="V1645:V1650" si="856">P1645+H1645</f>
        <v>0</v>
      </c>
      <c r="W1645" s="9">
        <f t="shared" ref="W1645:W1650" si="857">E1645-V1645</f>
        <v>0</v>
      </c>
      <c r="X1645" s="9">
        <f t="shared" ref="X1645:X1650" si="858">+H1645+P1645</f>
        <v>0</v>
      </c>
      <c r="Y1645" s="8"/>
      <c r="Z1645" s="9">
        <f t="shared" ref="Z1645:Z1650" si="859">+E1645-X1645</f>
        <v>0</v>
      </c>
      <c r="AA1645" s="8">
        <f t="shared" ref="AA1645:AA1650" si="860">+M1645+U1645</f>
        <v>0</v>
      </c>
      <c r="AB1645" s="8">
        <f t="shared" ref="AB1645:AB1650" si="861">+E1645-AA1645</f>
        <v>0</v>
      </c>
    </row>
    <row r="1646" spans="1:28" x14ac:dyDescent="0.3">
      <c r="A1646" s="64"/>
      <c r="B1646" s="8"/>
      <c r="C1646" s="7" t="s">
        <v>330</v>
      </c>
      <c r="D1646" s="15" t="s">
        <v>234</v>
      </c>
      <c r="E1646" s="9">
        <v>14339600</v>
      </c>
      <c r="F1646" s="9">
        <v>14313752.109999999</v>
      </c>
      <c r="G1646" s="8"/>
      <c r="H1646" s="9">
        <f t="shared" si="852"/>
        <v>14313752.109999999</v>
      </c>
      <c r="I1646" s="8"/>
      <c r="J1646" s="8"/>
      <c r="K1646" s="8"/>
      <c r="L1646" s="9"/>
      <c r="M1646" s="9">
        <f t="shared" si="853"/>
        <v>14313752.109999999</v>
      </c>
      <c r="N1646" s="9">
        <v>0</v>
      </c>
      <c r="O1646" s="8"/>
      <c r="P1646" s="9">
        <f t="shared" si="854"/>
        <v>0</v>
      </c>
      <c r="Q1646" s="8"/>
      <c r="R1646" s="8"/>
      <c r="S1646" s="8"/>
      <c r="T1646" s="9"/>
      <c r="U1646" s="9">
        <f t="shared" si="855"/>
        <v>0</v>
      </c>
      <c r="V1646" s="9">
        <f t="shared" si="856"/>
        <v>14313752.109999999</v>
      </c>
      <c r="W1646" s="9">
        <f t="shared" si="857"/>
        <v>25847.890000000596</v>
      </c>
      <c r="X1646" s="9">
        <f t="shared" si="858"/>
        <v>14313752.109999999</v>
      </c>
      <c r="Y1646" s="8"/>
      <c r="Z1646" s="9">
        <f t="shared" si="859"/>
        <v>25847.890000000596</v>
      </c>
      <c r="AA1646" s="8">
        <f t="shared" si="860"/>
        <v>14313752.109999999</v>
      </c>
      <c r="AB1646" s="8">
        <f t="shared" si="861"/>
        <v>25847.890000000596</v>
      </c>
    </row>
    <row r="1647" spans="1:28" x14ac:dyDescent="0.3">
      <c r="A1647" s="64"/>
      <c r="B1647" s="8"/>
      <c r="C1647" s="7" t="s">
        <v>57</v>
      </c>
      <c r="D1647" s="15" t="s">
        <v>105</v>
      </c>
      <c r="E1647" s="9">
        <v>3210821</v>
      </c>
      <c r="F1647" s="9">
        <v>3210821</v>
      </c>
      <c r="G1647" s="8"/>
      <c r="H1647" s="9">
        <f t="shared" si="852"/>
        <v>3210821</v>
      </c>
      <c r="I1647" s="8"/>
      <c r="J1647" s="8"/>
      <c r="K1647" s="8"/>
      <c r="L1647" s="9"/>
      <c r="M1647" s="9">
        <f t="shared" si="853"/>
        <v>3210821</v>
      </c>
      <c r="N1647" s="9">
        <v>0</v>
      </c>
      <c r="O1647" s="8"/>
      <c r="P1647" s="9">
        <f t="shared" si="854"/>
        <v>0</v>
      </c>
      <c r="Q1647" s="8"/>
      <c r="R1647" s="8"/>
      <c r="S1647" s="8"/>
      <c r="T1647" s="9"/>
      <c r="U1647" s="9">
        <f t="shared" si="855"/>
        <v>0</v>
      </c>
      <c r="V1647" s="9">
        <f t="shared" si="856"/>
        <v>3210821</v>
      </c>
      <c r="W1647" s="9">
        <f t="shared" si="857"/>
        <v>0</v>
      </c>
      <c r="X1647" s="9">
        <f t="shared" si="858"/>
        <v>3210821</v>
      </c>
      <c r="Y1647" s="8"/>
      <c r="Z1647" s="9">
        <f t="shared" si="859"/>
        <v>0</v>
      </c>
      <c r="AA1647" s="8">
        <f t="shared" si="860"/>
        <v>3210821</v>
      </c>
      <c r="AB1647" s="8">
        <f t="shared" si="861"/>
        <v>0</v>
      </c>
    </row>
    <row r="1648" spans="1:28" x14ac:dyDescent="0.3">
      <c r="A1648" s="64"/>
      <c r="B1648" s="8"/>
      <c r="C1648" s="7" t="s">
        <v>192</v>
      </c>
      <c r="D1648" s="15" t="s">
        <v>128</v>
      </c>
      <c r="E1648" s="9">
        <v>955345.62</v>
      </c>
      <c r="F1648" s="9">
        <v>0</v>
      </c>
      <c r="G1648" s="8"/>
      <c r="H1648" s="9">
        <f t="shared" si="852"/>
        <v>0</v>
      </c>
      <c r="I1648" s="8"/>
      <c r="J1648" s="8"/>
      <c r="K1648" s="8"/>
      <c r="L1648" s="9"/>
      <c r="M1648" s="9">
        <f t="shared" si="853"/>
        <v>0</v>
      </c>
      <c r="N1648" s="9">
        <v>955345.62</v>
      </c>
      <c r="O1648" s="8"/>
      <c r="P1648" s="9">
        <f t="shared" si="854"/>
        <v>955345.62</v>
      </c>
      <c r="Q1648" s="8"/>
      <c r="R1648" s="8"/>
      <c r="S1648" s="8"/>
      <c r="T1648" s="9"/>
      <c r="U1648" s="9">
        <f t="shared" si="855"/>
        <v>955345.62</v>
      </c>
      <c r="V1648" s="9">
        <f t="shared" si="856"/>
        <v>955345.62</v>
      </c>
      <c r="W1648" s="9">
        <f t="shared" si="857"/>
        <v>0</v>
      </c>
      <c r="X1648" s="9">
        <f t="shared" si="858"/>
        <v>955345.62</v>
      </c>
      <c r="Y1648" s="8"/>
      <c r="Z1648" s="9">
        <f t="shared" si="859"/>
        <v>0</v>
      </c>
      <c r="AA1648" s="8">
        <f t="shared" si="860"/>
        <v>955345.62</v>
      </c>
      <c r="AB1648" s="8">
        <f t="shared" si="861"/>
        <v>0</v>
      </c>
    </row>
    <row r="1649" spans="1:28" x14ac:dyDescent="0.3">
      <c r="A1649" s="64"/>
      <c r="B1649" s="8"/>
      <c r="C1649" s="7" t="s">
        <v>331</v>
      </c>
      <c r="D1649" s="15" t="s">
        <v>85</v>
      </c>
      <c r="E1649" s="9">
        <v>1550885</v>
      </c>
      <c r="F1649" s="9">
        <v>1550885</v>
      </c>
      <c r="G1649" s="8"/>
      <c r="H1649" s="9">
        <f t="shared" si="852"/>
        <v>1550885</v>
      </c>
      <c r="I1649" s="8"/>
      <c r="J1649" s="8"/>
      <c r="K1649" s="8"/>
      <c r="L1649" s="9"/>
      <c r="M1649" s="9">
        <f t="shared" si="853"/>
        <v>1550885</v>
      </c>
      <c r="N1649" s="9">
        <v>0</v>
      </c>
      <c r="O1649" s="8"/>
      <c r="P1649" s="9">
        <f t="shared" si="854"/>
        <v>0</v>
      </c>
      <c r="Q1649" s="8"/>
      <c r="R1649" s="8"/>
      <c r="S1649" s="8"/>
      <c r="T1649" s="9"/>
      <c r="U1649" s="9">
        <f t="shared" si="855"/>
        <v>0</v>
      </c>
      <c r="V1649" s="9">
        <f t="shared" si="856"/>
        <v>1550885</v>
      </c>
      <c r="W1649" s="9">
        <f t="shared" si="857"/>
        <v>0</v>
      </c>
      <c r="X1649" s="9">
        <f t="shared" si="858"/>
        <v>1550885</v>
      </c>
      <c r="Y1649" s="8"/>
      <c r="Z1649" s="9">
        <f t="shared" si="859"/>
        <v>0</v>
      </c>
      <c r="AA1649" s="8">
        <f t="shared" si="860"/>
        <v>1550885</v>
      </c>
      <c r="AB1649" s="8">
        <f t="shared" si="861"/>
        <v>0</v>
      </c>
    </row>
    <row r="1650" spans="1:28" x14ac:dyDescent="0.3">
      <c r="A1650" s="64"/>
      <c r="B1650" s="8"/>
      <c r="C1650" s="7" t="s">
        <v>318</v>
      </c>
      <c r="D1650" s="15" t="s">
        <v>85</v>
      </c>
      <c r="E1650" s="9">
        <v>4428206</v>
      </c>
      <c r="F1650" s="9">
        <v>4258124</v>
      </c>
      <c r="G1650" s="8"/>
      <c r="H1650" s="9">
        <f t="shared" si="852"/>
        <v>4258124</v>
      </c>
      <c r="I1650" s="8"/>
      <c r="J1650" s="8"/>
      <c r="K1650" s="8"/>
      <c r="L1650" s="9"/>
      <c r="M1650" s="9">
        <f t="shared" si="853"/>
        <v>4258124</v>
      </c>
      <c r="N1650" s="9">
        <v>0</v>
      </c>
      <c r="O1650" s="8"/>
      <c r="P1650" s="9">
        <f t="shared" si="854"/>
        <v>0</v>
      </c>
      <c r="Q1650" s="8"/>
      <c r="R1650" s="8"/>
      <c r="S1650" s="8"/>
      <c r="T1650" s="9"/>
      <c r="U1650" s="9">
        <f t="shared" si="855"/>
        <v>0</v>
      </c>
      <c r="V1650" s="9">
        <f t="shared" si="856"/>
        <v>4258124</v>
      </c>
      <c r="W1650" s="9">
        <f t="shared" si="857"/>
        <v>170082</v>
      </c>
      <c r="X1650" s="9">
        <f t="shared" si="858"/>
        <v>4258124</v>
      </c>
      <c r="Y1650" s="8"/>
      <c r="Z1650" s="9">
        <f t="shared" si="859"/>
        <v>170082</v>
      </c>
      <c r="AA1650" s="8">
        <f t="shared" si="860"/>
        <v>4258124</v>
      </c>
      <c r="AB1650" s="8">
        <f t="shared" si="861"/>
        <v>170082</v>
      </c>
    </row>
    <row r="1651" spans="1:28" x14ac:dyDescent="0.3">
      <c r="A1651" s="64"/>
      <c r="B1651" s="8"/>
      <c r="C1651" s="7" t="s">
        <v>332</v>
      </c>
      <c r="D1651" s="8"/>
      <c r="E1651" s="8"/>
      <c r="F1651" s="8"/>
      <c r="G1651" s="8"/>
      <c r="H1651" s="8"/>
      <c r="I1651" s="8"/>
      <c r="J1651" s="8"/>
      <c r="K1651" s="8"/>
      <c r="L1651" s="8"/>
      <c r="M1651" s="8"/>
      <c r="N1651" s="8"/>
      <c r="O1651" s="8"/>
      <c r="P1651" s="8"/>
      <c r="Q1651" s="8"/>
      <c r="R1651" s="8"/>
      <c r="S1651" s="8"/>
      <c r="T1651" s="8"/>
      <c r="U1651" s="8"/>
      <c r="V1651" s="8"/>
      <c r="W1651" s="8"/>
      <c r="X1651" s="8"/>
      <c r="Y1651" s="8"/>
      <c r="Z1651" s="8"/>
    </row>
    <row r="1652" spans="1:28" x14ac:dyDescent="0.3">
      <c r="A1652" s="64"/>
      <c r="B1652" s="8"/>
      <c r="C1652" s="7" t="s">
        <v>333</v>
      </c>
      <c r="D1652" s="15" t="s">
        <v>58</v>
      </c>
      <c r="E1652" s="9">
        <v>700000</v>
      </c>
      <c r="F1652" s="9">
        <v>700000</v>
      </c>
      <c r="G1652" s="8"/>
      <c r="H1652" s="9">
        <f t="shared" ref="H1652:H1660" si="862">F1652+G1652</f>
        <v>700000</v>
      </c>
      <c r="I1652" s="9"/>
      <c r="J1652" s="9"/>
      <c r="K1652" s="8"/>
      <c r="L1652" s="9"/>
      <c r="M1652" s="9">
        <f t="shared" ref="M1652:M1660" si="863">H1652+L1652</f>
        <v>700000</v>
      </c>
      <c r="N1652" s="9">
        <v>0</v>
      </c>
      <c r="O1652" s="8"/>
      <c r="P1652" s="9">
        <f t="shared" ref="P1652:P1660" si="864">N1652+O1652</f>
        <v>0</v>
      </c>
      <c r="Q1652" s="8"/>
      <c r="R1652" s="8"/>
      <c r="S1652" s="8"/>
      <c r="T1652" s="9"/>
      <c r="U1652" s="9">
        <f t="shared" ref="U1652:U1660" si="865">P1652+T1652</f>
        <v>0</v>
      </c>
      <c r="V1652" s="9">
        <f t="shared" ref="V1652:V1660" si="866">P1652+H1652</f>
        <v>700000</v>
      </c>
      <c r="W1652" s="9">
        <f t="shared" ref="W1652:W1660" si="867">E1652-V1652</f>
        <v>0</v>
      </c>
      <c r="X1652" s="9">
        <f t="shared" ref="X1652:X1660" si="868">+H1652+P1652</f>
        <v>700000</v>
      </c>
      <c r="Y1652" s="8"/>
      <c r="Z1652" s="9">
        <f t="shared" ref="Z1652:Z1660" si="869">+E1652-X1652</f>
        <v>0</v>
      </c>
      <c r="AA1652" s="8">
        <f t="shared" ref="AA1652:AA1660" si="870">+M1652+U1652</f>
        <v>700000</v>
      </c>
      <c r="AB1652" s="8">
        <f t="shared" ref="AB1652:AB1660" si="871">+E1652-AA1652</f>
        <v>0</v>
      </c>
    </row>
    <row r="1653" spans="1:28" x14ac:dyDescent="0.3">
      <c r="A1653" s="64"/>
      <c r="B1653" s="8"/>
      <c r="C1653" s="14" t="s">
        <v>109</v>
      </c>
      <c r="D1653" s="21" t="s">
        <v>60</v>
      </c>
      <c r="E1653" s="9">
        <v>2500000</v>
      </c>
      <c r="F1653" s="11">
        <v>2500000</v>
      </c>
      <c r="G1653" s="8"/>
      <c r="H1653" s="9">
        <f t="shared" si="862"/>
        <v>2500000</v>
      </c>
      <c r="I1653" s="8"/>
      <c r="J1653" s="8"/>
      <c r="K1653" s="8"/>
      <c r="L1653" s="9"/>
      <c r="M1653" s="9">
        <f t="shared" si="863"/>
        <v>2500000</v>
      </c>
      <c r="N1653" s="9">
        <v>0</v>
      </c>
      <c r="O1653" s="8"/>
      <c r="P1653" s="9">
        <f t="shared" si="864"/>
        <v>0</v>
      </c>
      <c r="Q1653" s="8"/>
      <c r="R1653" s="8"/>
      <c r="S1653" s="8"/>
      <c r="T1653" s="9"/>
      <c r="U1653" s="9">
        <f t="shared" si="865"/>
        <v>0</v>
      </c>
      <c r="V1653" s="9">
        <f t="shared" si="866"/>
        <v>2500000</v>
      </c>
      <c r="W1653" s="9">
        <f t="shared" si="867"/>
        <v>0</v>
      </c>
      <c r="X1653" s="9">
        <f t="shared" si="868"/>
        <v>2500000</v>
      </c>
      <c r="Y1653" s="8"/>
      <c r="Z1653" s="9">
        <f t="shared" si="869"/>
        <v>0</v>
      </c>
      <c r="AA1653" s="8">
        <f t="shared" si="870"/>
        <v>2500000</v>
      </c>
      <c r="AB1653" s="8">
        <f t="shared" si="871"/>
        <v>0</v>
      </c>
    </row>
    <row r="1654" spans="1:28" x14ac:dyDescent="0.3">
      <c r="A1654" s="64"/>
      <c r="B1654" s="8"/>
      <c r="C1654" s="14" t="s">
        <v>57</v>
      </c>
      <c r="D1654" s="21" t="s">
        <v>60</v>
      </c>
      <c r="E1654" s="9">
        <v>1098000</v>
      </c>
      <c r="F1654" s="11">
        <v>1098000</v>
      </c>
      <c r="G1654" s="8"/>
      <c r="H1654" s="9">
        <f t="shared" si="862"/>
        <v>1098000</v>
      </c>
      <c r="I1654" s="8"/>
      <c r="J1654" s="8"/>
      <c r="K1654" s="8"/>
      <c r="L1654" s="9"/>
      <c r="M1654" s="9">
        <f t="shared" si="863"/>
        <v>1098000</v>
      </c>
      <c r="N1654" s="9">
        <v>0</v>
      </c>
      <c r="O1654" s="8"/>
      <c r="P1654" s="9">
        <f t="shared" si="864"/>
        <v>0</v>
      </c>
      <c r="Q1654" s="8"/>
      <c r="R1654" s="8"/>
      <c r="S1654" s="8"/>
      <c r="T1654" s="9"/>
      <c r="U1654" s="9">
        <f t="shared" si="865"/>
        <v>0</v>
      </c>
      <c r="V1654" s="9">
        <f t="shared" si="866"/>
        <v>1098000</v>
      </c>
      <c r="W1654" s="9">
        <f t="shared" si="867"/>
        <v>0</v>
      </c>
      <c r="X1654" s="9">
        <f t="shared" si="868"/>
        <v>1098000</v>
      </c>
      <c r="Y1654" s="8"/>
      <c r="Z1654" s="9">
        <f t="shared" si="869"/>
        <v>0</v>
      </c>
      <c r="AA1654" s="8">
        <f t="shared" si="870"/>
        <v>1098000</v>
      </c>
      <c r="AB1654" s="8">
        <f t="shared" si="871"/>
        <v>0</v>
      </c>
    </row>
    <row r="1655" spans="1:28" x14ac:dyDescent="0.3">
      <c r="A1655" s="64"/>
      <c r="B1655" s="8"/>
      <c r="C1655" s="14" t="s">
        <v>57</v>
      </c>
      <c r="D1655" s="21" t="s">
        <v>73</v>
      </c>
      <c r="E1655" s="9">
        <v>4098000</v>
      </c>
      <c r="F1655" s="11">
        <v>4098000</v>
      </c>
      <c r="G1655" s="8"/>
      <c r="H1655" s="9">
        <f t="shared" si="862"/>
        <v>4098000</v>
      </c>
      <c r="I1655" s="8"/>
      <c r="J1655" s="8"/>
      <c r="K1655" s="8"/>
      <c r="L1655" s="9"/>
      <c r="M1655" s="9">
        <f t="shared" si="863"/>
        <v>4098000</v>
      </c>
      <c r="N1655" s="9">
        <v>0</v>
      </c>
      <c r="O1655" s="8"/>
      <c r="P1655" s="9">
        <f t="shared" si="864"/>
        <v>0</v>
      </c>
      <c r="Q1655" s="8"/>
      <c r="R1655" s="8"/>
      <c r="S1655" s="8"/>
      <c r="T1655" s="9"/>
      <c r="U1655" s="9">
        <f t="shared" si="865"/>
        <v>0</v>
      </c>
      <c r="V1655" s="9">
        <f t="shared" si="866"/>
        <v>4098000</v>
      </c>
      <c r="W1655" s="9">
        <f t="shared" si="867"/>
        <v>0</v>
      </c>
      <c r="X1655" s="9">
        <f t="shared" si="868"/>
        <v>4098000</v>
      </c>
      <c r="Y1655" s="8"/>
      <c r="Z1655" s="9">
        <f t="shared" si="869"/>
        <v>0</v>
      </c>
      <c r="AA1655" s="8">
        <f t="shared" si="870"/>
        <v>4098000</v>
      </c>
      <c r="AB1655" s="8">
        <f t="shared" si="871"/>
        <v>0</v>
      </c>
    </row>
    <row r="1656" spans="1:28" x14ac:dyDescent="0.3">
      <c r="A1656" s="64"/>
      <c r="B1656" s="8"/>
      <c r="C1656" s="7" t="s">
        <v>122</v>
      </c>
      <c r="D1656" s="8"/>
      <c r="E1656" s="9">
        <v>977775</v>
      </c>
      <c r="F1656" s="9">
        <v>977775</v>
      </c>
      <c r="G1656" s="8"/>
      <c r="H1656" s="9">
        <f t="shared" si="862"/>
        <v>977775</v>
      </c>
      <c r="I1656" s="8"/>
      <c r="J1656" s="8"/>
      <c r="K1656" s="8"/>
      <c r="L1656" s="9"/>
      <c r="M1656" s="9">
        <f t="shared" si="863"/>
        <v>977775</v>
      </c>
      <c r="N1656" s="9">
        <v>0</v>
      </c>
      <c r="O1656" s="8"/>
      <c r="P1656" s="9">
        <f t="shared" si="864"/>
        <v>0</v>
      </c>
      <c r="Q1656" s="8"/>
      <c r="R1656" s="8"/>
      <c r="S1656" s="8"/>
      <c r="T1656" s="9"/>
      <c r="U1656" s="9">
        <f t="shared" si="865"/>
        <v>0</v>
      </c>
      <c r="V1656" s="9">
        <f t="shared" si="866"/>
        <v>977775</v>
      </c>
      <c r="W1656" s="9">
        <f t="shared" si="867"/>
        <v>0</v>
      </c>
      <c r="X1656" s="9">
        <f t="shared" si="868"/>
        <v>977775</v>
      </c>
      <c r="Y1656" s="8"/>
      <c r="Z1656" s="9">
        <f t="shared" si="869"/>
        <v>0</v>
      </c>
      <c r="AA1656" s="8">
        <f t="shared" si="870"/>
        <v>977775</v>
      </c>
      <c r="AB1656" s="8">
        <f t="shared" si="871"/>
        <v>0</v>
      </c>
    </row>
    <row r="1657" spans="1:28" x14ac:dyDescent="0.3">
      <c r="A1657" s="64"/>
      <c r="B1657" s="8"/>
      <c r="C1657" s="7" t="s">
        <v>1183</v>
      </c>
      <c r="D1657" s="23" t="s">
        <v>1126</v>
      </c>
      <c r="E1657" s="9">
        <v>2539001.38</v>
      </c>
      <c r="F1657" s="8">
        <v>2539001.38</v>
      </c>
      <c r="G1657" s="8"/>
      <c r="H1657" s="9">
        <f>+F1657+G1657</f>
        <v>2539001.38</v>
      </c>
      <c r="I1657" s="8"/>
      <c r="J1657" s="8"/>
      <c r="K1657" s="8"/>
      <c r="L1657" s="9"/>
      <c r="M1657" s="9">
        <f t="shared" si="863"/>
        <v>2539001.38</v>
      </c>
      <c r="N1657" s="9">
        <v>0</v>
      </c>
      <c r="O1657" s="8"/>
      <c r="P1657" s="9">
        <f t="shared" si="864"/>
        <v>0</v>
      </c>
      <c r="Q1657" s="8"/>
      <c r="R1657" s="8"/>
      <c r="S1657" s="8"/>
      <c r="T1657" s="9"/>
      <c r="U1657" s="9">
        <f t="shared" si="865"/>
        <v>0</v>
      </c>
      <c r="V1657" s="9">
        <f t="shared" si="866"/>
        <v>2539001.38</v>
      </c>
      <c r="W1657" s="9">
        <f t="shared" si="867"/>
        <v>0</v>
      </c>
      <c r="X1657" s="9">
        <f t="shared" si="868"/>
        <v>2539001.38</v>
      </c>
      <c r="Y1657" s="8"/>
      <c r="Z1657" s="9">
        <f t="shared" si="869"/>
        <v>0</v>
      </c>
      <c r="AA1657" s="8">
        <f t="shared" si="870"/>
        <v>2539001.38</v>
      </c>
      <c r="AB1657" s="8">
        <f t="shared" si="871"/>
        <v>0</v>
      </c>
    </row>
    <row r="1658" spans="1:28" x14ac:dyDescent="0.3">
      <c r="A1658" s="64"/>
      <c r="B1658" s="8"/>
      <c r="C1658" s="7" t="s">
        <v>1200</v>
      </c>
      <c r="D1658" s="23" t="s">
        <v>1126</v>
      </c>
      <c r="E1658" s="9">
        <v>333180.82</v>
      </c>
      <c r="F1658" s="8">
        <v>333180.82</v>
      </c>
      <c r="G1658" s="8"/>
      <c r="H1658" s="9">
        <f>+F1658+G1658</f>
        <v>333180.82</v>
      </c>
      <c r="I1658" s="8"/>
      <c r="J1658" s="8"/>
      <c r="K1658" s="8"/>
      <c r="L1658" s="9"/>
      <c r="M1658" s="9">
        <f t="shared" si="863"/>
        <v>333180.82</v>
      </c>
      <c r="N1658" s="9">
        <v>0</v>
      </c>
      <c r="O1658" s="8"/>
      <c r="P1658" s="9">
        <f t="shared" si="864"/>
        <v>0</v>
      </c>
      <c r="Q1658" s="8"/>
      <c r="R1658" s="8"/>
      <c r="S1658" s="8"/>
      <c r="T1658" s="9"/>
      <c r="U1658" s="9">
        <f t="shared" si="865"/>
        <v>0</v>
      </c>
      <c r="V1658" s="9">
        <f t="shared" si="866"/>
        <v>333180.82</v>
      </c>
      <c r="W1658" s="9">
        <f t="shared" si="867"/>
        <v>0</v>
      </c>
      <c r="X1658" s="9">
        <f t="shared" si="868"/>
        <v>333180.82</v>
      </c>
      <c r="Y1658" s="8"/>
      <c r="Z1658" s="9">
        <f t="shared" si="869"/>
        <v>0</v>
      </c>
      <c r="AA1658" s="8">
        <f t="shared" si="870"/>
        <v>333180.82</v>
      </c>
      <c r="AB1658" s="8">
        <f t="shared" si="871"/>
        <v>0</v>
      </c>
    </row>
    <row r="1659" spans="1:28" x14ac:dyDescent="0.3">
      <c r="A1659" s="64"/>
      <c r="B1659" s="8"/>
      <c r="C1659" s="7" t="s">
        <v>1222</v>
      </c>
      <c r="D1659" s="23" t="s">
        <v>1126</v>
      </c>
      <c r="E1659" s="9">
        <v>288369.64</v>
      </c>
      <c r="F1659" s="8">
        <v>288369.64</v>
      </c>
      <c r="G1659" s="8"/>
      <c r="H1659" s="9">
        <f>+F1659+G1659</f>
        <v>288369.64</v>
      </c>
      <c r="I1659" s="8"/>
      <c r="J1659" s="8"/>
      <c r="K1659" s="8"/>
      <c r="L1659" s="9"/>
      <c r="M1659" s="9">
        <f>+H1659+L1659</f>
        <v>288369.64</v>
      </c>
      <c r="N1659" s="9">
        <v>0</v>
      </c>
      <c r="O1659" s="8"/>
      <c r="P1659" s="9">
        <f t="shared" si="864"/>
        <v>0</v>
      </c>
      <c r="Q1659" s="8"/>
      <c r="R1659" s="8"/>
      <c r="S1659" s="8"/>
      <c r="T1659" s="9"/>
      <c r="U1659" s="9">
        <f t="shared" si="865"/>
        <v>0</v>
      </c>
      <c r="V1659" s="9">
        <f t="shared" si="866"/>
        <v>288369.64</v>
      </c>
      <c r="W1659" s="9">
        <f t="shared" si="867"/>
        <v>0</v>
      </c>
      <c r="X1659" s="9">
        <f t="shared" si="868"/>
        <v>288369.64</v>
      </c>
      <c r="Y1659" s="8"/>
      <c r="Z1659" s="9">
        <f t="shared" si="869"/>
        <v>0</v>
      </c>
      <c r="AA1659" s="8">
        <f t="shared" si="870"/>
        <v>288369.64</v>
      </c>
      <c r="AB1659" s="8">
        <f t="shared" si="871"/>
        <v>0</v>
      </c>
    </row>
    <row r="1660" spans="1:28" x14ac:dyDescent="0.3">
      <c r="A1660" s="64"/>
      <c r="B1660" s="8"/>
      <c r="C1660" s="14" t="s">
        <v>57</v>
      </c>
      <c r="D1660" s="24" t="s">
        <v>61</v>
      </c>
      <c r="E1660" s="9">
        <f>1591745+3054167</f>
        <v>4645912</v>
      </c>
      <c r="F1660" s="8">
        <f>1591745</f>
        <v>1591745</v>
      </c>
      <c r="G1660" s="8"/>
      <c r="H1660" s="9">
        <f t="shared" si="862"/>
        <v>1591745</v>
      </c>
      <c r="I1660" s="8"/>
      <c r="J1660" s="8"/>
      <c r="K1660" s="8"/>
      <c r="L1660" s="9"/>
      <c r="M1660" s="9">
        <f t="shared" si="863"/>
        <v>1591745</v>
      </c>
      <c r="N1660" s="9">
        <v>0</v>
      </c>
      <c r="O1660" s="8"/>
      <c r="P1660" s="9">
        <f t="shared" si="864"/>
        <v>0</v>
      </c>
      <c r="Q1660" s="8"/>
      <c r="R1660" s="8"/>
      <c r="S1660" s="8"/>
      <c r="T1660" s="9"/>
      <c r="U1660" s="9">
        <f t="shared" si="865"/>
        <v>0</v>
      </c>
      <c r="V1660" s="9">
        <f t="shared" si="866"/>
        <v>1591745</v>
      </c>
      <c r="W1660" s="9">
        <f t="shared" si="867"/>
        <v>3054167</v>
      </c>
      <c r="X1660" s="9">
        <f t="shared" si="868"/>
        <v>1591745</v>
      </c>
      <c r="Y1660" s="8"/>
      <c r="Z1660" s="9">
        <f t="shared" si="869"/>
        <v>3054167</v>
      </c>
      <c r="AA1660" s="8">
        <f t="shared" si="870"/>
        <v>1591745</v>
      </c>
      <c r="AB1660" s="8">
        <f t="shared" si="871"/>
        <v>3054167</v>
      </c>
    </row>
    <row r="1661" spans="1:28" x14ac:dyDescent="0.3">
      <c r="A1661" s="64"/>
      <c r="B1661" s="8"/>
      <c r="C1661" s="8"/>
      <c r="D1661" s="8"/>
      <c r="E1661" s="17" t="s">
        <v>29</v>
      </c>
      <c r="F1661" s="17" t="s">
        <v>29</v>
      </c>
      <c r="G1661" s="17" t="s">
        <v>29</v>
      </c>
      <c r="H1661" s="17" t="s">
        <v>29</v>
      </c>
      <c r="I1661" s="17" t="s">
        <v>29</v>
      </c>
      <c r="J1661" s="17" t="s">
        <v>29</v>
      </c>
      <c r="K1661" s="17" t="s">
        <v>29</v>
      </c>
      <c r="L1661" s="17" t="s">
        <v>29</v>
      </c>
      <c r="M1661" s="17" t="s">
        <v>29</v>
      </c>
      <c r="N1661" s="17" t="s">
        <v>29</v>
      </c>
      <c r="O1661" s="17" t="s">
        <v>29</v>
      </c>
      <c r="P1661" s="17" t="s">
        <v>29</v>
      </c>
      <c r="Q1661" s="17" t="s">
        <v>29</v>
      </c>
      <c r="R1661" s="17" t="s">
        <v>29</v>
      </c>
      <c r="S1661" s="17" t="s">
        <v>29</v>
      </c>
      <c r="T1661" s="17" t="s">
        <v>29</v>
      </c>
      <c r="U1661" s="17" t="s">
        <v>29</v>
      </c>
      <c r="V1661" s="17" t="s">
        <v>29</v>
      </c>
      <c r="W1661" s="17" t="s">
        <v>29</v>
      </c>
      <c r="X1661" s="17" t="s">
        <v>29</v>
      </c>
      <c r="Y1661" s="17" t="s">
        <v>29</v>
      </c>
      <c r="Z1661" s="17" t="s">
        <v>29</v>
      </c>
      <c r="AA1661" s="17" t="s">
        <v>29</v>
      </c>
      <c r="AB1661" s="17" t="s">
        <v>29</v>
      </c>
    </row>
    <row r="1662" spans="1:28" x14ac:dyDescent="0.3">
      <c r="A1662" s="64"/>
      <c r="B1662" s="8"/>
      <c r="C1662" s="8"/>
      <c r="D1662" s="8"/>
      <c r="E1662" s="9">
        <f t="shared" ref="E1662:AB1662" si="872">SUM(E1645:E1660)</f>
        <v>41665096.460000008</v>
      </c>
      <c r="F1662" s="9">
        <f t="shared" si="872"/>
        <v>37459653.950000003</v>
      </c>
      <c r="G1662" s="9">
        <f t="shared" si="872"/>
        <v>0</v>
      </c>
      <c r="H1662" s="9">
        <f t="shared" si="872"/>
        <v>37459653.950000003</v>
      </c>
      <c r="I1662" s="9">
        <f t="shared" si="872"/>
        <v>0</v>
      </c>
      <c r="J1662" s="9">
        <f t="shared" si="872"/>
        <v>0</v>
      </c>
      <c r="K1662" s="9">
        <f t="shared" si="872"/>
        <v>0</v>
      </c>
      <c r="L1662" s="9">
        <f t="shared" si="872"/>
        <v>0</v>
      </c>
      <c r="M1662" s="9">
        <f t="shared" si="872"/>
        <v>37459653.950000003</v>
      </c>
      <c r="N1662" s="9">
        <f t="shared" si="872"/>
        <v>955345.62</v>
      </c>
      <c r="O1662" s="9">
        <f t="shared" si="872"/>
        <v>0</v>
      </c>
      <c r="P1662" s="9">
        <f t="shared" si="872"/>
        <v>955345.62</v>
      </c>
      <c r="Q1662" s="9">
        <f t="shared" si="872"/>
        <v>0</v>
      </c>
      <c r="R1662" s="9">
        <f t="shared" si="872"/>
        <v>0</v>
      </c>
      <c r="S1662" s="9">
        <f t="shared" si="872"/>
        <v>0</v>
      </c>
      <c r="T1662" s="9">
        <f t="shared" si="872"/>
        <v>0</v>
      </c>
      <c r="U1662" s="9">
        <f t="shared" si="872"/>
        <v>955345.62</v>
      </c>
      <c r="V1662" s="9">
        <f t="shared" si="872"/>
        <v>38414999.570000008</v>
      </c>
      <c r="W1662" s="9">
        <f t="shared" si="872"/>
        <v>3250096.8900000006</v>
      </c>
      <c r="X1662" s="9">
        <f t="shared" si="872"/>
        <v>38414999.570000008</v>
      </c>
      <c r="Y1662" s="9">
        <f t="shared" si="872"/>
        <v>0</v>
      </c>
      <c r="Z1662" s="9">
        <f t="shared" si="872"/>
        <v>3250096.8900000006</v>
      </c>
      <c r="AA1662" s="9">
        <f t="shared" si="872"/>
        <v>38414999.570000008</v>
      </c>
      <c r="AB1662" s="9">
        <f t="shared" si="872"/>
        <v>3250096.8900000006</v>
      </c>
    </row>
    <row r="1663" spans="1:28" x14ac:dyDescent="0.3">
      <c r="A1663" s="64"/>
      <c r="B1663" s="8"/>
      <c r="C1663" s="8"/>
      <c r="D1663" s="8"/>
      <c r="E1663" s="17" t="s">
        <v>29</v>
      </c>
      <c r="F1663" s="17" t="s">
        <v>29</v>
      </c>
      <c r="G1663" s="17" t="s">
        <v>29</v>
      </c>
      <c r="H1663" s="17" t="s">
        <v>29</v>
      </c>
      <c r="I1663" s="17" t="s">
        <v>29</v>
      </c>
      <c r="J1663" s="17" t="s">
        <v>29</v>
      </c>
      <c r="K1663" s="17" t="s">
        <v>29</v>
      </c>
      <c r="L1663" s="17" t="s">
        <v>29</v>
      </c>
      <c r="M1663" s="17" t="s">
        <v>29</v>
      </c>
      <c r="N1663" s="17" t="s">
        <v>29</v>
      </c>
      <c r="O1663" s="17" t="s">
        <v>29</v>
      </c>
      <c r="P1663" s="17" t="s">
        <v>29</v>
      </c>
      <c r="Q1663" s="17" t="s">
        <v>29</v>
      </c>
      <c r="R1663" s="17" t="s">
        <v>29</v>
      </c>
      <c r="S1663" s="17" t="s">
        <v>29</v>
      </c>
      <c r="T1663" s="17" t="s">
        <v>29</v>
      </c>
      <c r="U1663" s="17" t="s">
        <v>29</v>
      </c>
      <c r="V1663" s="17" t="s">
        <v>29</v>
      </c>
      <c r="W1663" s="17" t="s">
        <v>29</v>
      </c>
      <c r="X1663" s="17" t="s">
        <v>29</v>
      </c>
      <c r="Y1663" s="17" t="s">
        <v>29</v>
      </c>
      <c r="Z1663" s="17" t="s">
        <v>29</v>
      </c>
      <c r="AA1663" s="17" t="s">
        <v>29</v>
      </c>
      <c r="AB1663" s="17" t="s">
        <v>29</v>
      </c>
    </row>
    <row r="1664" spans="1:28" x14ac:dyDescent="0.3">
      <c r="A1664" s="63" t="s">
        <v>1007</v>
      </c>
      <c r="B1664" s="7" t="s">
        <v>334</v>
      </c>
      <c r="C1664" s="8"/>
      <c r="D1664" s="8"/>
      <c r="E1664" s="8"/>
      <c r="F1664" s="8"/>
      <c r="G1664" s="8"/>
      <c r="H1664" s="8"/>
      <c r="I1664" s="8"/>
      <c r="J1664" s="8"/>
      <c r="K1664" s="8"/>
      <c r="L1664" s="8"/>
      <c r="M1664" s="8"/>
      <c r="N1664" s="8"/>
      <c r="O1664" s="8"/>
      <c r="P1664" s="8"/>
      <c r="Q1664" s="8"/>
      <c r="R1664" s="8"/>
      <c r="S1664" s="8"/>
      <c r="T1664" s="8"/>
      <c r="U1664" s="8"/>
      <c r="V1664" s="8"/>
      <c r="W1664" s="8"/>
      <c r="X1664" s="8"/>
      <c r="Y1664" s="8"/>
      <c r="Z1664" s="8"/>
    </row>
    <row r="1665" spans="1:28" x14ac:dyDescent="0.3">
      <c r="A1665" s="64"/>
      <c r="B1665" s="8"/>
      <c r="C1665" s="7" t="s">
        <v>53</v>
      </c>
      <c r="D1665" s="15" t="s">
        <v>68</v>
      </c>
      <c r="E1665" s="9">
        <v>1767770</v>
      </c>
      <c r="F1665" s="9">
        <v>0</v>
      </c>
      <c r="G1665" s="8"/>
      <c r="H1665" s="9">
        <f t="shared" ref="H1665:H1678" si="873">F1665+G1665</f>
        <v>0</v>
      </c>
      <c r="I1665" s="8"/>
      <c r="J1665" s="8"/>
      <c r="K1665" s="8"/>
      <c r="L1665" s="9"/>
      <c r="M1665" s="9">
        <f t="shared" ref="M1665:M1678" si="874">H1665+L1665</f>
        <v>0</v>
      </c>
      <c r="N1665" s="9">
        <v>1767770</v>
      </c>
      <c r="O1665" s="8"/>
      <c r="P1665" s="9">
        <f t="shared" ref="P1665:P1678" si="875">N1665+O1665</f>
        <v>1767770</v>
      </c>
      <c r="Q1665" s="8"/>
      <c r="R1665" s="8"/>
      <c r="S1665" s="8"/>
      <c r="T1665" s="9"/>
      <c r="U1665" s="9">
        <f t="shared" ref="U1665:U1678" si="876">P1665+T1665</f>
        <v>1767770</v>
      </c>
      <c r="V1665" s="9">
        <f t="shared" ref="V1665:V1678" si="877">P1665+H1665</f>
        <v>1767770</v>
      </c>
      <c r="W1665" s="9">
        <f t="shared" ref="W1665:W1678" si="878">E1665-V1665</f>
        <v>0</v>
      </c>
      <c r="X1665" s="9">
        <f t="shared" ref="X1665:X1679" si="879">+H1665+P1665</f>
        <v>1767770</v>
      </c>
      <c r="Y1665" s="8"/>
      <c r="Z1665" s="9">
        <f t="shared" ref="Z1665:Z1679" si="880">+E1665-X1665</f>
        <v>0</v>
      </c>
      <c r="AA1665" s="8">
        <f t="shared" ref="AA1665:AA1679" si="881">+M1665+U1665</f>
        <v>1767770</v>
      </c>
      <c r="AB1665" s="8">
        <f t="shared" ref="AB1665:AB1679" si="882">+E1665-AA1665</f>
        <v>0</v>
      </c>
    </row>
    <row r="1666" spans="1:28" x14ac:dyDescent="0.3">
      <c r="A1666" s="64"/>
      <c r="B1666" s="8"/>
      <c r="C1666" s="7" t="s">
        <v>57</v>
      </c>
      <c r="D1666" s="15" t="s">
        <v>335</v>
      </c>
      <c r="E1666" s="9">
        <v>11818841.08</v>
      </c>
      <c r="F1666" s="9">
        <v>11818841.08</v>
      </c>
      <c r="G1666" s="8"/>
      <c r="H1666" s="9">
        <f t="shared" si="873"/>
        <v>11818841.08</v>
      </c>
      <c r="I1666" s="8"/>
      <c r="J1666" s="8"/>
      <c r="K1666" s="8"/>
      <c r="L1666" s="9"/>
      <c r="M1666" s="9">
        <f t="shared" si="874"/>
        <v>11818841.08</v>
      </c>
      <c r="N1666" s="9">
        <v>0</v>
      </c>
      <c r="O1666" s="8"/>
      <c r="P1666" s="9">
        <f t="shared" si="875"/>
        <v>0</v>
      </c>
      <c r="Q1666" s="8"/>
      <c r="R1666" s="8"/>
      <c r="S1666" s="8"/>
      <c r="T1666" s="9"/>
      <c r="U1666" s="9">
        <f t="shared" si="876"/>
        <v>0</v>
      </c>
      <c r="V1666" s="9">
        <f t="shared" si="877"/>
        <v>11818841.08</v>
      </c>
      <c r="W1666" s="9">
        <f t="shared" si="878"/>
        <v>0</v>
      </c>
      <c r="X1666" s="9">
        <f t="shared" si="879"/>
        <v>11818841.08</v>
      </c>
      <c r="Y1666" s="8"/>
      <c r="Z1666" s="9">
        <f t="shared" si="880"/>
        <v>0</v>
      </c>
      <c r="AA1666" s="8">
        <f t="shared" si="881"/>
        <v>11818841.08</v>
      </c>
      <c r="AB1666" s="8">
        <f t="shared" si="882"/>
        <v>0</v>
      </c>
    </row>
    <row r="1667" spans="1:28" x14ac:dyDescent="0.3">
      <c r="A1667" s="64"/>
      <c r="B1667" s="8"/>
      <c r="C1667" s="7" t="s">
        <v>336</v>
      </c>
      <c r="D1667" s="15" t="s">
        <v>108</v>
      </c>
      <c r="E1667" s="9">
        <v>500000</v>
      </c>
      <c r="F1667" s="9">
        <v>500000</v>
      </c>
      <c r="G1667" s="8"/>
      <c r="H1667" s="9">
        <f t="shared" si="873"/>
        <v>500000</v>
      </c>
      <c r="I1667" s="8"/>
      <c r="J1667" s="8"/>
      <c r="K1667" s="8"/>
      <c r="L1667" s="9"/>
      <c r="M1667" s="9">
        <f t="shared" si="874"/>
        <v>500000</v>
      </c>
      <c r="N1667" s="9">
        <v>0</v>
      </c>
      <c r="O1667" s="8"/>
      <c r="P1667" s="9">
        <f t="shared" si="875"/>
        <v>0</v>
      </c>
      <c r="Q1667" s="8"/>
      <c r="R1667" s="8"/>
      <c r="S1667" s="8"/>
      <c r="T1667" s="9"/>
      <c r="U1667" s="9">
        <f t="shared" si="876"/>
        <v>0</v>
      </c>
      <c r="V1667" s="9">
        <f t="shared" si="877"/>
        <v>500000</v>
      </c>
      <c r="W1667" s="9">
        <f t="shared" si="878"/>
        <v>0</v>
      </c>
      <c r="X1667" s="9">
        <f t="shared" si="879"/>
        <v>500000</v>
      </c>
      <c r="Y1667" s="8"/>
      <c r="Z1667" s="9">
        <f t="shared" si="880"/>
        <v>0</v>
      </c>
      <c r="AA1667" s="8">
        <f t="shared" si="881"/>
        <v>500000</v>
      </c>
      <c r="AB1667" s="8">
        <f t="shared" si="882"/>
        <v>0</v>
      </c>
    </row>
    <row r="1668" spans="1:28" x14ac:dyDescent="0.3">
      <c r="A1668" s="64"/>
      <c r="B1668" s="8"/>
      <c r="C1668" s="7" t="s">
        <v>337</v>
      </c>
      <c r="D1668" s="15" t="s">
        <v>108</v>
      </c>
      <c r="E1668" s="9">
        <v>277261.5</v>
      </c>
      <c r="F1668" s="8">
        <v>277261.5</v>
      </c>
      <c r="G1668" s="8"/>
      <c r="H1668" s="9">
        <f t="shared" si="873"/>
        <v>277261.5</v>
      </c>
      <c r="I1668" s="8"/>
      <c r="J1668" s="8"/>
      <c r="K1668" s="8"/>
      <c r="L1668" s="9"/>
      <c r="M1668" s="9">
        <f t="shared" si="874"/>
        <v>277261.5</v>
      </c>
      <c r="N1668" s="9">
        <v>0</v>
      </c>
      <c r="O1668" s="8"/>
      <c r="P1668" s="9">
        <f t="shared" si="875"/>
        <v>0</v>
      </c>
      <c r="Q1668" s="8"/>
      <c r="R1668" s="8"/>
      <c r="S1668" s="8"/>
      <c r="T1668" s="9"/>
      <c r="U1668" s="9">
        <f t="shared" si="876"/>
        <v>0</v>
      </c>
      <c r="V1668" s="9">
        <f t="shared" si="877"/>
        <v>277261.5</v>
      </c>
      <c r="W1668" s="9">
        <f t="shared" si="878"/>
        <v>0</v>
      </c>
      <c r="X1668" s="9">
        <f t="shared" si="879"/>
        <v>277261.5</v>
      </c>
      <c r="Y1668" s="8"/>
      <c r="Z1668" s="9">
        <f t="shared" si="880"/>
        <v>0</v>
      </c>
      <c r="AA1668" s="8">
        <f t="shared" si="881"/>
        <v>277261.5</v>
      </c>
      <c r="AB1668" s="8">
        <f t="shared" si="882"/>
        <v>0</v>
      </c>
    </row>
    <row r="1669" spans="1:28" x14ac:dyDescent="0.3">
      <c r="A1669" s="64"/>
      <c r="B1669" s="8"/>
      <c r="C1669" s="7" t="s">
        <v>57</v>
      </c>
      <c r="D1669" s="15" t="s">
        <v>58</v>
      </c>
      <c r="E1669" s="9">
        <v>8498155</v>
      </c>
      <c r="F1669" s="9">
        <v>8498155</v>
      </c>
      <c r="G1669" s="8"/>
      <c r="H1669" s="9">
        <f t="shared" si="873"/>
        <v>8498155</v>
      </c>
      <c r="I1669" s="8"/>
      <c r="J1669" s="8"/>
      <c r="K1669" s="8"/>
      <c r="L1669" s="9"/>
      <c r="M1669" s="9">
        <f t="shared" si="874"/>
        <v>8498155</v>
      </c>
      <c r="N1669" s="9">
        <v>0</v>
      </c>
      <c r="O1669" s="8"/>
      <c r="P1669" s="9">
        <f t="shared" si="875"/>
        <v>0</v>
      </c>
      <c r="Q1669" s="8"/>
      <c r="R1669" s="8"/>
      <c r="S1669" s="8"/>
      <c r="T1669" s="9"/>
      <c r="U1669" s="9">
        <f t="shared" si="876"/>
        <v>0</v>
      </c>
      <c r="V1669" s="9">
        <f t="shared" si="877"/>
        <v>8498155</v>
      </c>
      <c r="W1669" s="9">
        <f t="shared" si="878"/>
        <v>0</v>
      </c>
      <c r="X1669" s="9">
        <f t="shared" si="879"/>
        <v>8498155</v>
      </c>
      <c r="Y1669" s="8"/>
      <c r="Z1669" s="9">
        <f t="shared" si="880"/>
        <v>0</v>
      </c>
      <c r="AA1669" s="8">
        <f t="shared" si="881"/>
        <v>8498155</v>
      </c>
      <c r="AB1669" s="8">
        <f t="shared" si="882"/>
        <v>0</v>
      </c>
    </row>
    <row r="1670" spans="1:28" x14ac:dyDescent="0.3">
      <c r="A1670" s="64"/>
      <c r="B1670" s="8"/>
      <c r="C1670" s="7" t="s">
        <v>57</v>
      </c>
      <c r="D1670" s="15" t="s">
        <v>60</v>
      </c>
      <c r="E1670" s="9">
        <v>5563875</v>
      </c>
      <c r="F1670" s="11">
        <v>5563875</v>
      </c>
      <c r="G1670" s="8"/>
      <c r="H1670" s="9">
        <f t="shared" si="873"/>
        <v>5563875</v>
      </c>
      <c r="I1670" s="8"/>
      <c r="J1670" s="8"/>
      <c r="K1670" s="8"/>
      <c r="L1670" s="9"/>
      <c r="M1670" s="9">
        <f t="shared" si="874"/>
        <v>5563875</v>
      </c>
      <c r="N1670" s="9">
        <v>0</v>
      </c>
      <c r="O1670" s="8"/>
      <c r="P1670" s="9">
        <f t="shared" si="875"/>
        <v>0</v>
      </c>
      <c r="Q1670" s="8"/>
      <c r="R1670" s="8"/>
      <c r="S1670" s="8"/>
      <c r="T1670" s="9"/>
      <c r="U1670" s="9">
        <f t="shared" si="876"/>
        <v>0</v>
      </c>
      <c r="V1670" s="9">
        <f t="shared" si="877"/>
        <v>5563875</v>
      </c>
      <c r="W1670" s="9">
        <f t="shared" si="878"/>
        <v>0</v>
      </c>
      <c r="X1670" s="9">
        <f t="shared" si="879"/>
        <v>5563875</v>
      </c>
      <c r="Y1670" s="8"/>
      <c r="Z1670" s="9">
        <f t="shared" si="880"/>
        <v>0</v>
      </c>
      <c r="AA1670" s="8">
        <f t="shared" si="881"/>
        <v>5563875</v>
      </c>
      <c r="AB1670" s="8">
        <f t="shared" si="882"/>
        <v>0</v>
      </c>
    </row>
    <row r="1671" spans="1:28" x14ac:dyDescent="0.3">
      <c r="A1671" s="64"/>
      <c r="B1671" s="8"/>
      <c r="C1671" s="14" t="s">
        <v>109</v>
      </c>
      <c r="D1671" s="21" t="s">
        <v>60</v>
      </c>
      <c r="E1671" s="9">
        <v>4605244.05</v>
      </c>
      <c r="F1671" s="11">
        <v>4605244.05</v>
      </c>
      <c r="G1671" s="8"/>
      <c r="H1671" s="9">
        <f t="shared" si="873"/>
        <v>4605244.05</v>
      </c>
      <c r="I1671" s="8"/>
      <c r="J1671" s="8"/>
      <c r="K1671" s="8"/>
      <c r="L1671" s="9"/>
      <c r="M1671" s="9">
        <f t="shared" si="874"/>
        <v>4605244.05</v>
      </c>
      <c r="N1671" s="9">
        <v>0</v>
      </c>
      <c r="O1671" s="8"/>
      <c r="P1671" s="9">
        <f t="shared" si="875"/>
        <v>0</v>
      </c>
      <c r="Q1671" s="8"/>
      <c r="R1671" s="8"/>
      <c r="S1671" s="8"/>
      <c r="T1671" s="9"/>
      <c r="U1671" s="9">
        <f t="shared" si="876"/>
        <v>0</v>
      </c>
      <c r="V1671" s="9">
        <f t="shared" si="877"/>
        <v>4605244.05</v>
      </c>
      <c r="W1671" s="9">
        <f t="shared" si="878"/>
        <v>0</v>
      </c>
      <c r="X1671" s="9">
        <f t="shared" si="879"/>
        <v>4605244.05</v>
      </c>
      <c r="Y1671" s="8"/>
      <c r="Z1671" s="9">
        <f t="shared" si="880"/>
        <v>0</v>
      </c>
      <c r="AA1671" s="8">
        <f t="shared" si="881"/>
        <v>4605244.05</v>
      </c>
      <c r="AB1671" s="8">
        <f t="shared" si="882"/>
        <v>0</v>
      </c>
    </row>
    <row r="1672" spans="1:28" x14ac:dyDescent="0.3">
      <c r="A1672" s="64"/>
      <c r="B1672" s="8"/>
      <c r="C1672" s="7" t="s">
        <v>57</v>
      </c>
      <c r="D1672" s="15" t="s">
        <v>73</v>
      </c>
      <c r="E1672" s="9">
        <v>3293034</v>
      </c>
      <c r="F1672" s="11">
        <v>3293034</v>
      </c>
      <c r="G1672" s="8"/>
      <c r="H1672" s="9">
        <f t="shared" si="873"/>
        <v>3293034</v>
      </c>
      <c r="I1672" s="8"/>
      <c r="J1672" s="8"/>
      <c r="K1672" s="8"/>
      <c r="L1672" s="9"/>
      <c r="M1672" s="9">
        <f t="shared" si="874"/>
        <v>3293034</v>
      </c>
      <c r="N1672" s="9">
        <v>0</v>
      </c>
      <c r="O1672" s="8"/>
      <c r="P1672" s="9">
        <f t="shared" si="875"/>
        <v>0</v>
      </c>
      <c r="Q1672" s="8"/>
      <c r="R1672" s="8"/>
      <c r="S1672" s="8"/>
      <c r="T1672" s="9"/>
      <c r="U1672" s="9">
        <f t="shared" si="876"/>
        <v>0</v>
      </c>
      <c r="V1672" s="9">
        <f t="shared" si="877"/>
        <v>3293034</v>
      </c>
      <c r="W1672" s="9">
        <f t="shared" si="878"/>
        <v>0</v>
      </c>
      <c r="X1672" s="9">
        <f t="shared" si="879"/>
        <v>3293034</v>
      </c>
      <c r="Y1672" s="8"/>
      <c r="Z1672" s="9">
        <f t="shared" si="880"/>
        <v>0</v>
      </c>
      <c r="AA1672" s="8">
        <f t="shared" si="881"/>
        <v>3293034</v>
      </c>
      <c r="AB1672" s="8">
        <f t="shared" si="882"/>
        <v>0</v>
      </c>
    </row>
    <row r="1673" spans="1:28" x14ac:dyDescent="0.3">
      <c r="A1673" s="64"/>
      <c r="B1673" s="8"/>
      <c r="C1673" s="7" t="s">
        <v>57</v>
      </c>
      <c r="D1673" s="16" t="s">
        <v>61</v>
      </c>
      <c r="E1673" s="9">
        <v>750000</v>
      </c>
      <c r="F1673" s="8">
        <v>750000</v>
      </c>
      <c r="G1673" s="8"/>
      <c r="H1673" s="9">
        <f t="shared" si="873"/>
        <v>750000</v>
      </c>
      <c r="I1673" s="8"/>
      <c r="J1673" s="8"/>
      <c r="K1673" s="8"/>
      <c r="L1673" s="9"/>
      <c r="M1673" s="9">
        <f t="shared" si="874"/>
        <v>750000</v>
      </c>
      <c r="N1673" s="9">
        <v>0</v>
      </c>
      <c r="O1673" s="8"/>
      <c r="P1673" s="9">
        <f t="shared" si="875"/>
        <v>0</v>
      </c>
      <c r="Q1673" s="8"/>
      <c r="R1673" s="8"/>
      <c r="S1673" s="8"/>
      <c r="T1673" s="9"/>
      <c r="U1673" s="9">
        <f t="shared" si="876"/>
        <v>0</v>
      </c>
      <c r="V1673" s="9">
        <f t="shared" si="877"/>
        <v>750000</v>
      </c>
      <c r="W1673" s="9">
        <f t="shared" si="878"/>
        <v>0</v>
      </c>
      <c r="X1673" s="9">
        <f t="shared" si="879"/>
        <v>750000</v>
      </c>
      <c r="Y1673" s="8"/>
      <c r="Z1673" s="9">
        <f t="shared" si="880"/>
        <v>0</v>
      </c>
      <c r="AA1673" s="8">
        <f t="shared" si="881"/>
        <v>750000</v>
      </c>
      <c r="AB1673" s="8">
        <f t="shared" si="882"/>
        <v>0</v>
      </c>
    </row>
    <row r="1674" spans="1:28" x14ac:dyDescent="0.3">
      <c r="A1674" s="64"/>
      <c r="B1674" s="8"/>
      <c r="C1674" s="7" t="s">
        <v>1165</v>
      </c>
      <c r="D1674" s="16" t="s">
        <v>1126</v>
      </c>
      <c r="E1674" s="9">
        <v>300000</v>
      </c>
      <c r="F1674" s="8">
        <v>300000</v>
      </c>
      <c r="G1674" s="8"/>
      <c r="H1674" s="9">
        <f>+F1674+G1674</f>
        <v>300000</v>
      </c>
      <c r="I1674" s="8"/>
      <c r="J1674" s="8"/>
      <c r="K1674" s="8"/>
      <c r="L1674" s="9"/>
      <c r="M1674" s="9">
        <f t="shared" si="874"/>
        <v>300000</v>
      </c>
      <c r="N1674" s="9">
        <v>0</v>
      </c>
      <c r="O1674" s="8"/>
      <c r="P1674" s="9">
        <f t="shared" si="875"/>
        <v>0</v>
      </c>
      <c r="Q1674" s="8"/>
      <c r="R1674" s="8"/>
      <c r="S1674" s="8"/>
      <c r="T1674" s="9"/>
      <c r="U1674" s="9">
        <f t="shared" si="876"/>
        <v>0</v>
      </c>
      <c r="V1674" s="9">
        <f t="shared" si="877"/>
        <v>300000</v>
      </c>
      <c r="W1674" s="9">
        <f t="shared" si="878"/>
        <v>0</v>
      </c>
      <c r="X1674" s="9">
        <f t="shared" si="879"/>
        <v>300000</v>
      </c>
      <c r="Y1674" s="8"/>
      <c r="Z1674" s="9">
        <f t="shared" si="880"/>
        <v>0</v>
      </c>
      <c r="AA1674" s="8">
        <f t="shared" si="881"/>
        <v>300000</v>
      </c>
      <c r="AB1674" s="8">
        <f t="shared" si="882"/>
        <v>0</v>
      </c>
    </row>
    <row r="1675" spans="1:28" x14ac:dyDescent="0.3">
      <c r="A1675" s="64"/>
      <c r="B1675" s="8"/>
      <c r="C1675" s="7" t="s">
        <v>930</v>
      </c>
      <c r="D1675" s="16" t="s">
        <v>1072</v>
      </c>
      <c r="E1675" s="9">
        <f>1325685.46+3119253.08</f>
        <v>4444938.54</v>
      </c>
      <c r="F1675" s="9">
        <f>1325685.46+3119253.078</f>
        <v>4444938.5380000006</v>
      </c>
      <c r="G1675" s="8"/>
      <c r="H1675" s="9">
        <f>+F1675+G1675</f>
        <v>4444938.5380000006</v>
      </c>
      <c r="I1675" s="8"/>
      <c r="J1675" s="8"/>
      <c r="K1675" s="8"/>
      <c r="L1675" s="9"/>
      <c r="M1675" s="9">
        <f>+H1675+L1675</f>
        <v>4444938.5380000006</v>
      </c>
      <c r="N1675" s="9">
        <v>0</v>
      </c>
      <c r="O1675" s="8"/>
      <c r="P1675" s="9">
        <f>+N1675+O1675</f>
        <v>0</v>
      </c>
      <c r="Q1675" s="8"/>
      <c r="R1675" s="8"/>
      <c r="S1675" s="8"/>
      <c r="T1675" s="9"/>
      <c r="U1675" s="9">
        <f>P1675+T1675</f>
        <v>0</v>
      </c>
      <c r="V1675" s="9">
        <f>P1675+H1675</f>
        <v>4444938.5380000006</v>
      </c>
      <c r="W1675" s="9">
        <f>E1675-V1675</f>
        <v>1.9999993965029716E-3</v>
      </c>
      <c r="X1675" s="9">
        <f t="shared" si="879"/>
        <v>4444938.5380000006</v>
      </c>
      <c r="Y1675" s="8"/>
      <c r="Z1675" s="9">
        <f t="shared" si="880"/>
        <v>1.9999993965029716E-3</v>
      </c>
      <c r="AA1675" s="8">
        <f t="shared" si="881"/>
        <v>4444938.5380000006</v>
      </c>
      <c r="AB1675" s="8">
        <f t="shared" si="882"/>
        <v>1.9999993965029716E-3</v>
      </c>
    </row>
    <row r="1676" spans="1:28" x14ac:dyDescent="0.3">
      <c r="A1676" s="64"/>
      <c r="B1676" s="8"/>
      <c r="C1676" s="7" t="s">
        <v>1194</v>
      </c>
      <c r="D1676" s="16" t="s">
        <v>1126</v>
      </c>
      <c r="E1676" s="9">
        <v>1040210.88</v>
      </c>
      <c r="F1676" s="9">
        <v>1040210.88</v>
      </c>
      <c r="G1676" s="8"/>
      <c r="H1676" s="9">
        <f>+F1676+G1676</f>
        <v>1040210.88</v>
      </c>
      <c r="I1676" s="8"/>
      <c r="J1676" s="8"/>
      <c r="K1676" s="8"/>
      <c r="L1676" s="9"/>
      <c r="M1676" s="9">
        <f>+H1676+L1676</f>
        <v>1040210.88</v>
      </c>
      <c r="N1676" s="9">
        <f>+N1675</f>
        <v>0</v>
      </c>
      <c r="O1676" s="8"/>
      <c r="P1676" s="9">
        <f>+N1676+O1676</f>
        <v>0</v>
      </c>
      <c r="Q1676" s="8"/>
      <c r="R1676" s="8"/>
      <c r="S1676" s="8"/>
      <c r="T1676" s="9"/>
      <c r="U1676" s="9">
        <f>P1676+T1676</f>
        <v>0</v>
      </c>
      <c r="V1676" s="9">
        <f>P1676+H1676</f>
        <v>1040210.88</v>
      </c>
      <c r="W1676" s="9"/>
      <c r="X1676" s="9">
        <f t="shared" si="879"/>
        <v>1040210.88</v>
      </c>
      <c r="Y1676" s="8"/>
      <c r="Z1676" s="9">
        <f t="shared" si="880"/>
        <v>0</v>
      </c>
      <c r="AA1676" s="8">
        <f t="shared" si="881"/>
        <v>1040210.88</v>
      </c>
      <c r="AB1676" s="8">
        <f t="shared" si="882"/>
        <v>0</v>
      </c>
    </row>
    <row r="1677" spans="1:28" x14ac:dyDescent="0.3">
      <c r="A1677" s="64"/>
      <c r="B1677" s="8"/>
      <c r="C1677" s="7" t="s">
        <v>1227</v>
      </c>
      <c r="D1677" s="23" t="s">
        <v>1225</v>
      </c>
      <c r="E1677" s="9">
        <f>324013.66+1800000</f>
        <v>2124013.66</v>
      </c>
      <c r="F1677" s="8">
        <v>324013.65999999997</v>
      </c>
      <c r="G1677" s="8">
        <v>1800000</v>
      </c>
      <c r="H1677" s="9">
        <f>+F1677+G1677</f>
        <v>2124013.66</v>
      </c>
      <c r="I1677" s="8"/>
      <c r="J1677" s="8"/>
      <c r="K1677" s="8"/>
      <c r="L1677" s="9"/>
      <c r="M1677" s="9">
        <f>+H1677+L1677</f>
        <v>2124013.66</v>
      </c>
      <c r="N1677" s="9">
        <v>0</v>
      </c>
      <c r="O1677" s="8"/>
      <c r="P1677" s="9">
        <f>N1677+O1677</f>
        <v>0</v>
      </c>
      <c r="Q1677" s="8"/>
      <c r="R1677" s="8"/>
      <c r="S1677" s="8"/>
      <c r="T1677" s="9"/>
      <c r="U1677" s="9">
        <f>P1677+T1677</f>
        <v>0</v>
      </c>
      <c r="V1677" s="9">
        <f>P1677+H1677</f>
        <v>2124013.66</v>
      </c>
      <c r="W1677" s="9">
        <f>E1677-V1677</f>
        <v>0</v>
      </c>
      <c r="X1677" s="9">
        <f t="shared" si="879"/>
        <v>2124013.66</v>
      </c>
      <c r="Y1677" s="8"/>
      <c r="Z1677" s="9">
        <f t="shared" si="880"/>
        <v>0</v>
      </c>
      <c r="AA1677" s="8">
        <f t="shared" si="881"/>
        <v>2124013.66</v>
      </c>
      <c r="AB1677" s="8">
        <f t="shared" si="882"/>
        <v>0</v>
      </c>
    </row>
    <row r="1678" spans="1:28" x14ac:dyDescent="0.3">
      <c r="A1678" s="64"/>
      <c r="B1678" s="8"/>
      <c r="C1678" s="7" t="s">
        <v>338</v>
      </c>
      <c r="D1678" s="16" t="s">
        <v>61</v>
      </c>
      <c r="E1678" s="9">
        <v>500000</v>
      </c>
      <c r="F1678" s="8">
        <v>500000</v>
      </c>
      <c r="G1678" s="8"/>
      <c r="H1678" s="9">
        <f t="shared" si="873"/>
        <v>500000</v>
      </c>
      <c r="I1678" s="8">
        <v>500000</v>
      </c>
      <c r="J1678" s="8">
        <v>500000</v>
      </c>
      <c r="K1678" s="8"/>
      <c r="L1678" s="9"/>
      <c r="M1678" s="9">
        <f t="shared" si="874"/>
        <v>500000</v>
      </c>
      <c r="N1678" s="9">
        <v>0</v>
      </c>
      <c r="O1678" s="8"/>
      <c r="P1678" s="9">
        <f t="shared" si="875"/>
        <v>0</v>
      </c>
      <c r="Q1678" s="8"/>
      <c r="R1678" s="8"/>
      <c r="S1678" s="8"/>
      <c r="T1678" s="9"/>
      <c r="U1678" s="9">
        <f t="shared" si="876"/>
        <v>0</v>
      </c>
      <c r="V1678" s="9">
        <f t="shared" si="877"/>
        <v>500000</v>
      </c>
      <c r="W1678" s="9">
        <f t="shared" si="878"/>
        <v>0</v>
      </c>
      <c r="X1678" s="9">
        <f t="shared" si="879"/>
        <v>500000</v>
      </c>
      <c r="Y1678" s="8"/>
      <c r="Z1678" s="9">
        <f t="shared" si="880"/>
        <v>0</v>
      </c>
      <c r="AA1678" s="8">
        <f t="shared" si="881"/>
        <v>500000</v>
      </c>
      <c r="AB1678" s="8">
        <f t="shared" si="882"/>
        <v>0</v>
      </c>
    </row>
    <row r="1679" spans="1:28" x14ac:dyDescent="0.3">
      <c r="A1679" s="64"/>
      <c r="B1679" s="8"/>
      <c r="C1679" s="7" t="s">
        <v>507</v>
      </c>
      <c r="D1679" s="16"/>
      <c r="E1679" s="9">
        <v>2626083.9900000002</v>
      </c>
      <c r="F1679" s="8">
        <v>2626083.9900000002</v>
      </c>
      <c r="G1679" s="8"/>
      <c r="H1679" s="9">
        <f>F1679+G1679</f>
        <v>2626083.9900000002</v>
      </c>
      <c r="I1679" s="8">
        <v>500000</v>
      </c>
      <c r="J1679" s="8">
        <v>500000</v>
      </c>
      <c r="K1679" s="8"/>
      <c r="L1679" s="9"/>
      <c r="M1679" s="9">
        <f>H1679+L1679</f>
        <v>2626083.9900000002</v>
      </c>
      <c r="N1679" s="9">
        <v>0</v>
      </c>
      <c r="O1679" s="8"/>
      <c r="P1679" s="9">
        <f>N1679+O1679</f>
        <v>0</v>
      </c>
      <c r="Q1679" s="8"/>
      <c r="R1679" s="8"/>
      <c r="S1679" s="8"/>
      <c r="T1679" s="9"/>
      <c r="U1679" s="9">
        <f>P1679+T1679</f>
        <v>0</v>
      </c>
      <c r="V1679" s="9">
        <f>P1679+H1679</f>
        <v>2626083.9900000002</v>
      </c>
      <c r="W1679" s="9">
        <f>E1679-V1679</f>
        <v>0</v>
      </c>
      <c r="X1679" s="9">
        <f t="shared" si="879"/>
        <v>2626083.9900000002</v>
      </c>
      <c r="Y1679" s="8"/>
      <c r="Z1679" s="9">
        <f t="shared" si="880"/>
        <v>0</v>
      </c>
      <c r="AA1679" s="8">
        <f t="shared" si="881"/>
        <v>2626083.9900000002</v>
      </c>
      <c r="AB1679" s="8">
        <f t="shared" si="882"/>
        <v>0</v>
      </c>
    </row>
    <row r="1680" spans="1:28" x14ac:dyDescent="0.3">
      <c r="A1680" s="64"/>
      <c r="B1680" s="8"/>
      <c r="C1680" s="8"/>
      <c r="D1680" s="8"/>
      <c r="E1680" s="17" t="s">
        <v>29</v>
      </c>
      <c r="F1680" s="17" t="s">
        <v>29</v>
      </c>
      <c r="G1680" s="17" t="s">
        <v>29</v>
      </c>
      <c r="H1680" s="17" t="s">
        <v>29</v>
      </c>
      <c r="I1680" s="17" t="s">
        <v>29</v>
      </c>
      <c r="J1680" s="17" t="s">
        <v>29</v>
      </c>
      <c r="K1680" s="17" t="s">
        <v>29</v>
      </c>
      <c r="L1680" s="17" t="s">
        <v>29</v>
      </c>
      <c r="M1680" s="17" t="s">
        <v>29</v>
      </c>
      <c r="N1680" s="17" t="s">
        <v>29</v>
      </c>
      <c r="O1680" s="17" t="s">
        <v>29</v>
      </c>
      <c r="P1680" s="17" t="s">
        <v>29</v>
      </c>
      <c r="Q1680" s="17" t="s">
        <v>29</v>
      </c>
      <c r="R1680" s="17" t="s">
        <v>29</v>
      </c>
      <c r="S1680" s="17" t="s">
        <v>29</v>
      </c>
      <c r="T1680" s="17" t="s">
        <v>29</v>
      </c>
      <c r="U1680" s="17" t="s">
        <v>29</v>
      </c>
      <c r="V1680" s="17" t="s">
        <v>29</v>
      </c>
      <c r="W1680" s="17" t="s">
        <v>29</v>
      </c>
      <c r="X1680" s="17" t="s">
        <v>29</v>
      </c>
      <c r="Y1680" s="17" t="s">
        <v>29</v>
      </c>
      <c r="Z1680" s="17" t="s">
        <v>29</v>
      </c>
      <c r="AA1680" s="17" t="s">
        <v>29</v>
      </c>
      <c r="AB1680" s="17" t="s">
        <v>29</v>
      </c>
    </row>
    <row r="1681" spans="1:28" x14ac:dyDescent="0.3">
      <c r="A1681" s="64"/>
      <c r="B1681" s="8"/>
      <c r="C1681" s="8"/>
      <c r="D1681" s="8"/>
      <c r="E1681" s="9">
        <f>SUM(E1665:E1679)</f>
        <v>48109427.699999996</v>
      </c>
      <c r="F1681" s="9">
        <f t="shared" ref="F1681:AB1681" si="883">SUM(F1665:F1679)</f>
        <v>44541657.697999999</v>
      </c>
      <c r="G1681" s="9">
        <f t="shared" si="883"/>
        <v>1800000</v>
      </c>
      <c r="H1681" s="9">
        <f t="shared" si="883"/>
        <v>46341657.698000006</v>
      </c>
      <c r="I1681" s="9">
        <f t="shared" si="883"/>
        <v>1000000</v>
      </c>
      <c r="J1681" s="9">
        <f t="shared" si="883"/>
        <v>1000000</v>
      </c>
      <c r="K1681" s="9">
        <f t="shared" si="883"/>
        <v>0</v>
      </c>
      <c r="L1681" s="9">
        <f t="shared" si="883"/>
        <v>0</v>
      </c>
      <c r="M1681" s="9">
        <f t="shared" si="883"/>
        <v>46341657.698000006</v>
      </c>
      <c r="N1681" s="9">
        <f t="shared" si="883"/>
        <v>1767770</v>
      </c>
      <c r="O1681" s="9">
        <f t="shared" si="883"/>
        <v>0</v>
      </c>
      <c r="P1681" s="9">
        <f t="shared" si="883"/>
        <v>1767770</v>
      </c>
      <c r="Q1681" s="9">
        <f t="shared" si="883"/>
        <v>0</v>
      </c>
      <c r="R1681" s="9">
        <f t="shared" si="883"/>
        <v>0</v>
      </c>
      <c r="S1681" s="9">
        <f t="shared" si="883"/>
        <v>0</v>
      </c>
      <c r="T1681" s="9">
        <f t="shared" si="883"/>
        <v>0</v>
      </c>
      <c r="U1681" s="9">
        <f t="shared" si="883"/>
        <v>1767770</v>
      </c>
      <c r="V1681" s="9">
        <f t="shared" si="883"/>
        <v>48109427.698000006</v>
      </c>
      <c r="W1681" s="9">
        <f t="shared" si="883"/>
        <v>1.9999993965029716E-3</v>
      </c>
      <c r="X1681" s="9">
        <f t="shared" si="883"/>
        <v>48109427.698000006</v>
      </c>
      <c r="Y1681" s="9">
        <f t="shared" si="883"/>
        <v>0</v>
      </c>
      <c r="Z1681" s="9">
        <f t="shared" si="883"/>
        <v>1.9999993965029716E-3</v>
      </c>
      <c r="AA1681" s="9">
        <f t="shared" si="883"/>
        <v>48109427.698000006</v>
      </c>
      <c r="AB1681" s="9">
        <f t="shared" si="883"/>
        <v>1.9999993965029716E-3</v>
      </c>
    </row>
    <row r="1682" spans="1:28" x14ac:dyDescent="0.3">
      <c r="A1682" s="64"/>
      <c r="B1682" s="8"/>
      <c r="C1682" s="8"/>
      <c r="D1682" s="8"/>
      <c r="E1682" s="17" t="s">
        <v>29</v>
      </c>
      <c r="F1682" s="17" t="s">
        <v>29</v>
      </c>
      <c r="G1682" s="17" t="s">
        <v>29</v>
      </c>
      <c r="H1682" s="17" t="s">
        <v>29</v>
      </c>
      <c r="I1682" s="17" t="s">
        <v>29</v>
      </c>
      <c r="J1682" s="17" t="s">
        <v>29</v>
      </c>
      <c r="K1682" s="17" t="s">
        <v>29</v>
      </c>
      <c r="L1682" s="17" t="s">
        <v>29</v>
      </c>
      <c r="M1682" s="17" t="s">
        <v>29</v>
      </c>
      <c r="N1682" s="17" t="s">
        <v>29</v>
      </c>
      <c r="O1682" s="17" t="s">
        <v>29</v>
      </c>
      <c r="P1682" s="17" t="s">
        <v>29</v>
      </c>
      <c r="Q1682" s="17" t="s">
        <v>29</v>
      </c>
      <c r="R1682" s="17" t="s">
        <v>29</v>
      </c>
      <c r="S1682" s="17" t="s">
        <v>29</v>
      </c>
      <c r="T1682" s="17" t="s">
        <v>29</v>
      </c>
      <c r="U1682" s="17" t="s">
        <v>29</v>
      </c>
      <c r="V1682" s="17" t="s">
        <v>29</v>
      </c>
      <c r="W1682" s="17" t="s">
        <v>29</v>
      </c>
      <c r="X1682" s="17" t="s">
        <v>29</v>
      </c>
      <c r="Y1682" s="17" t="s">
        <v>29</v>
      </c>
      <c r="Z1682" s="17" t="s">
        <v>29</v>
      </c>
      <c r="AA1682" s="17" t="s">
        <v>29</v>
      </c>
      <c r="AB1682" s="17" t="s">
        <v>29</v>
      </c>
    </row>
    <row r="1683" spans="1:28" x14ac:dyDescent="0.3">
      <c r="A1683" s="63" t="s">
        <v>1008</v>
      </c>
      <c r="B1683" s="7" t="s">
        <v>339</v>
      </c>
      <c r="C1683" s="8"/>
      <c r="D1683" s="8"/>
      <c r="E1683" s="8"/>
      <c r="F1683" s="8"/>
      <c r="G1683" s="8"/>
      <c r="H1683" s="8"/>
      <c r="I1683" s="8"/>
      <c r="J1683" s="8"/>
      <c r="K1683" s="8"/>
      <c r="L1683" s="8"/>
      <c r="M1683" s="8"/>
      <c r="N1683" s="8"/>
      <c r="O1683" s="8"/>
      <c r="P1683" s="8"/>
      <c r="Q1683" s="8"/>
      <c r="R1683" s="8"/>
      <c r="S1683" s="8"/>
      <c r="T1683" s="8"/>
      <c r="U1683" s="8"/>
      <c r="V1683" s="8"/>
      <c r="W1683" s="8"/>
      <c r="X1683" s="8"/>
      <c r="Y1683" s="8"/>
      <c r="Z1683" s="8"/>
    </row>
    <row r="1684" spans="1:28" x14ac:dyDescent="0.3">
      <c r="A1684" s="64"/>
      <c r="B1684" s="8"/>
      <c r="C1684" s="7" t="s">
        <v>57</v>
      </c>
      <c r="D1684" s="15" t="s">
        <v>340</v>
      </c>
      <c r="E1684" s="9">
        <v>10504917.84</v>
      </c>
      <c r="F1684" s="9">
        <v>10500000</v>
      </c>
      <c r="G1684" s="8"/>
      <c r="H1684" s="9">
        <f t="shared" ref="H1684:H1693" si="884">F1684+G1684</f>
        <v>10500000</v>
      </c>
      <c r="I1684" s="8"/>
      <c r="J1684" s="8"/>
      <c r="K1684" s="8"/>
      <c r="L1684" s="9"/>
      <c r="M1684" s="9">
        <f t="shared" ref="M1684:M1695" si="885">H1684+L1684</f>
        <v>10500000</v>
      </c>
      <c r="N1684" s="9">
        <v>4917.84</v>
      </c>
      <c r="O1684" s="8"/>
      <c r="P1684" s="9">
        <f t="shared" ref="P1684:P1696" si="886">N1684+O1684</f>
        <v>4917.84</v>
      </c>
      <c r="Q1684" s="8"/>
      <c r="R1684" s="8"/>
      <c r="S1684" s="8"/>
      <c r="T1684" s="9"/>
      <c r="U1684" s="9">
        <f t="shared" ref="U1684:U1696" si="887">P1684+T1684</f>
        <v>4917.84</v>
      </c>
      <c r="V1684" s="9">
        <f t="shared" ref="V1684:V1696" si="888">P1684+H1684</f>
        <v>10504917.84</v>
      </c>
      <c r="W1684" s="9">
        <f t="shared" ref="W1684:W1696" si="889">E1684-V1684</f>
        <v>0</v>
      </c>
      <c r="X1684" s="9">
        <f t="shared" ref="X1684:X1698" si="890">+H1684+P1684</f>
        <v>10504917.84</v>
      </c>
      <c r="Y1684" s="8"/>
      <c r="Z1684" s="9">
        <f t="shared" ref="Z1684:Z1698" si="891">+E1684-X1684</f>
        <v>0</v>
      </c>
      <c r="AA1684" s="8">
        <f t="shared" ref="AA1684:AA1698" si="892">+M1684+U1684</f>
        <v>10504917.84</v>
      </c>
      <c r="AB1684" s="8">
        <f t="shared" ref="AB1684:AB1698" si="893">+E1684-AA1684</f>
        <v>0</v>
      </c>
    </row>
    <row r="1685" spans="1:28" x14ac:dyDescent="0.3">
      <c r="A1685" s="64"/>
      <c r="B1685" s="8"/>
      <c r="C1685" s="7" t="s">
        <v>53</v>
      </c>
      <c r="D1685" s="15" t="s">
        <v>54</v>
      </c>
      <c r="E1685" s="9">
        <v>1953989</v>
      </c>
      <c r="F1685" s="9">
        <v>0</v>
      </c>
      <c r="G1685" s="8"/>
      <c r="H1685" s="9">
        <f t="shared" si="884"/>
        <v>0</v>
      </c>
      <c r="I1685" s="8"/>
      <c r="J1685" s="8"/>
      <c r="K1685" s="8"/>
      <c r="L1685" s="9"/>
      <c r="M1685" s="9">
        <f t="shared" si="885"/>
        <v>0</v>
      </c>
      <c r="N1685" s="9">
        <v>1953989</v>
      </c>
      <c r="O1685" s="8"/>
      <c r="P1685" s="9">
        <f t="shared" si="886"/>
        <v>1953989</v>
      </c>
      <c r="Q1685" s="8"/>
      <c r="R1685" s="8"/>
      <c r="S1685" s="8"/>
      <c r="T1685" s="9"/>
      <c r="U1685" s="9">
        <f t="shared" si="887"/>
        <v>1953989</v>
      </c>
      <c r="V1685" s="9">
        <f t="shared" si="888"/>
        <v>1953989</v>
      </c>
      <c r="W1685" s="9">
        <f t="shared" si="889"/>
        <v>0</v>
      </c>
      <c r="X1685" s="9">
        <f t="shared" si="890"/>
        <v>1953989</v>
      </c>
      <c r="Y1685" s="8"/>
      <c r="Z1685" s="9">
        <f t="shared" si="891"/>
        <v>0</v>
      </c>
      <c r="AA1685" s="8">
        <f t="shared" si="892"/>
        <v>1953989</v>
      </c>
      <c r="AB1685" s="8">
        <f t="shared" si="893"/>
        <v>0</v>
      </c>
    </row>
    <row r="1686" spans="1:28" x14ac:dyDescent="0.3">
      <c r="A1686" s="64"/>
      <c r="B1686" s="8"/>
      <c r="C1686" s="7" t="s">
        <v>330</v>
      </c>
      <c r="D1686" s="15" t="s">
        <v>54</v>
      </c>
      <c r="E1686" s="9">
        <v>0</v>
      </c>
      <c r="F1686" s="9">
        <v>0</v>
      </c>
      <c r="G1686" s="8"/>
      <c r="H1686" s="9">
        <f t="shared" si="884"/>
        <v>0</v>
      </c>
      <c r="I1686" s="9"/>
      <c r="J1686" s="8"/>
      <c r="K1686" s="8"/>
      <c r="L1686" s="9"/>
      <c r="M1686" s="9">
        <f t="shared" si="885"/>
        <v>0</v>
      </c>
      <c r="N1686" s="9">
        <v>0</v>
      </c>
      <c r="O1686" s="8"/>
      <c r="P1686" s="9">
        <f t="shared" si="886"/>
        <v>0</v>
      </c>
      <c r="Q1686" s="8"/>
      <c r="R1686" s="8"/>
      <c r="S1686" s="8"/>
      <c r="T1686" s="9"/>
      <c r="U1686" s="9">
        <f t="shared" si="887"/>
        <v>0</v>
      </c>
      <c r="V1686" s="9">
        <f t="shared" si="888"/>
        <v>0</v>
      </c>
      <c r="W1686" s="9">
        <f t="shared" si="889"/>
        <v>0</v>
      </c>
      <c r="X1686" s="9">
        <f t="shared" si="890"/>
        <v>0</v>
      </c>
      <c r="Y1686" s="8"/>
      <c r="Z1686" s="9">
        <f t="shared" si="891"/>
        <v>0</v>
      </c>
      <c r="AA1686" s="8">
        <f t="shared" si="892"/>
        <v>0</v>
      </c>
      <c r="AB1686" s="8">
        <f t="shared" si="893"/>
        <v>0</v>
      </c>
    </row>
    <row r="1687" spans="1:28" x14ac:dyDescent="0.3">
      <c r="A1687" s="64" t="s">
        <v>1107</v>
      </c>
      <c r="B1687" s="8"/>
      <c r="C1687" s="7" t="s">
        <v>55</v>
      </c>
      <c r="D1687" s="15" t="s">
        <v>88</v>
      </c>
      <c r="E1687" s="9">
        <v>688140</v>
      </c>
      <c r="F1687" s="9">
        <v>0</v>
      </c>
      <c r="G1687" s="8"/>
      <c r="H1687" s="9">
        <f t="shared" si="884"/>
        <v>0</v>
      </c>
      <c r="I1687" s="8"/>
      <c r="J1687" s="8"/>
      <c r="K1687" s="8"/>
      <c r="L1687" s="9"/>
      <c r="M1687" s="9">
        <f t="shared" si="885"/>
        <v>0</v>
      </c>
      <c r="N1687" s="9">
        <v>688140</v>
      </c>
      <c r="O1687" s="8"/>
      <c r="P1687" s="9">
        <f t="shared" si="886"/>
        <v>688140</v>
      </c>
      <c r="Q1687" s="8"/>
      <c r="R1687" s="8"/>
      <c r="S1687" s="8"/>
      <c r="T1687" s="9"/>
      <c r="U1687" s="9">
        <f t="shared" si="887"/>
        <v>688140</v>
      </c>
      <c r="V1687" s="9">
        <f t="shared" si="888"/>
        <v>688140</v>
      </c>
      <c r="W1687" s="9">
        <f t="shared" si="889"/>
        <v>0</v>
      </c>
      <c r="X1687" s="9">
        <f t="shared" si="890"/>
        <v>688140</v>
      </c>
      <c r="Y1687" s="8"/>
      <c r="Z1687" s="9">
        <f t="shared" si="891"/>
        <v>0</v>
      </c>
      <c r="AA1687" s="8">
        <f t="shared" si="892"/>
        <v>688140</v>
      </c>
      <c r="AB1687" s="8">
        <f t="shared" si="893"/>
        <v>0</v>
      </c>
    </row>
    <row r="1688" spans="1:28" x14ac:dyDescent="0.3">
      <c r="A1688" s="64"/>
      <c r="B1688" s="8"/>
      <c r="C1688" s="7" t="s">
        <v>341</v>
      </c>
      <c r="D1688" s="15" t="s">
        <v>88</v>
      </c>
      <c r="E1688" s="9">
        <v>4465244.1600000001</v>
      </c>
      <c r="F1688" s="9">
        <v>4465244.1600000001</v>
      </c>
      <c r="G1688" s="8"/>
      <c r="H1688" s="9">
        <f t="shared" si="884"/>
        <v>4465244.1600000001</v>
      </c>
      <c r="I1688" s="8"/>
      <c r="J1688" s="8"/>
      <c r="K1688" s="8"/>
      <c r="L1688" s="9"/>
      <c r="M1688" s="9">
        <f t="shared" si="885"/>
        <v>4465244.1600000001</v>
      </c>
      <c r="N1688" s="9">
        <v>0</v>
      </c>
      <c r="O1688" s="8"/>
      <c r="P1688" s="9">
        <f t="shared" si="886"/>
        <v>0</v>
      </c>
      <c r="Q1688" s="8"/>
      <c r="R1688" s="8"/>
      <c r="S1688" s="8"/>
      <c r="T1688" s="9"/>
      <c r="U1688" s="9">
        <f t="shared" si="887"/>
        <v>0</v>
      </c>
      <c r="V1688" s="9">
        <f t="shared" si="888"/>
        <v>4465244.1600000001</v>
      </c>
      <c r="W1688" s="9">
        <f t="shared" si="889"/>
        <v>0</v>
      </c>
      <c r="X1688" s="9">
        <f t="shared" si="890"/>
        <v>4465244.1600000001</v>
      </c>
      <c r="Y1688" s="8"/>
      <c r="Z1688" s="9">
        <f t="shared" si="891"/>
        <v>0</v>
      </c>
      <c r="AA1688" s="8">
        <f t="shared" si="892"/>
        <v>4465244.1600000001</v>
      </c>
      <c r="AB1688" s="8">
        <f t="shared" si="893"/>
        <v>0</v>
      </c>
    </row>
    <row r="1689" spans="1:28" x14ac:dyDescent="0.3">
      <c r="A1689" s="64"/>
      <c r="B1689" s="8"/>
      <c r="C1689" s="7" t="s">
        <v>57</v>
      </c>
      <c r="D1689" s="15" t="s">
        <v>58</v>
      </c>
      <c r="E1689" s="9">
        <v>5372492.0599999996</v>
      </c>
      <c r="F1689" s="9">
        <v>5372492.0599999996</v>
      </c>
      <c r="G1689" s="8"/>
      <c r="H1689" s="9">
        <f t="shared" si="884"/>
        <v>5372492.0599999996</v>
      </c>
      <c r="I1689" s="8"/>
      <c r="J1689" s="8"/>
      <c r="K1689" s="8"/>
      <c r="L1689" s="9"/>
      <c r="M1689" s="9">
        <f t="shared" si="885"/>
        <v>5372492.0599999996</v>
      </c>
      <c r="N1689" s="9">
        <v>0</v>
      </c>
      <c r="O1689" s="8"/>
      <c r="P1689" s="9">
        <f t="shared" si="886"/>
        <v>0</v>
      </c>
      <c r="Q1689" s="8"/>
      <c r="R1689" s="8"/>
      <c r="S1689" s="8"/>
      <c r="T1689" s="9"/>
      <c r="U1689" s="9">
        <f t="shared" si="887"/>
        <v>0</v>
      </c>
      <c r="V1689" s="9">
        <f t="shared" si="888"/>
        <v>5372492.0599999996</v>
      </c>
      <c r="W1689" s="9">
        <f t="shared" si="889"/>
        <v>0</v>
      </c>
      <c r="X1689" s="9">
        <f t="shared" si="890"/>
        <v>5372492.0599999996</v>
      </c>
      <c r="Y1689" s="8"/>
      <c r="Z1689" s="9">
        <f t="shared" si="891"/>
        <v>0</v>
      </c>
      <c r="AA1689" s="8">
        <f t="shared" si="892"/>
        <v>5372492.0599999996</v>
      </c>
      <c r="AB1689" s="8">
        <f t="shared" si="893"/>
        <v>0</v>
      </c>
    </row>
    <row r="1690" spans="1:28" x14ac:dyDescent="0.3">
      <c r="A1690" s="64"/>
      <c r="B1690" s="8"/>
      <c r="C1690" s="7" t="s">
        <v>57</v>
      </c>
      <c r="D1690" s="15" t="s">
        <v>60</v>
      </c>
      <c r="E1690" s="9">
        <v>4347365</v>
      </c>
      <c r="F1690" s="11">
        <v>4347365</v>
      </c>
      <c r="G1690" s="8"/>
      <c r="H1690" s="9">
        <f t="shared" si="884"/>
        <v>4347365</v>
      </c>
      <c r="I1690" s="8"/>
      <c r="J1690" s="8"/>
      <c r="K1690" s="8"/>
      <c r="L1690" s="9"/>
      <c r="M1690" s="9">
        <f t="shared" si="885"/>
        <v>4347365</v>
      </c>
      <c r="N1690" s="9">
        <v>0</v>
      </c>
      <c r="O1690" s="8"/>
      <c r="P1690" s="9">
        <f t="shared" si="886"/>
        <v>0</v>
      </c>
      <c r="Q1690" s="8"/>
      <c r="R1690" s="8"/>
      <c r="S1690" s="8"/>
      <c r="T1690" s="9"/>
      <c r="U1690" s="9">
        <f t="shared" si="887"/>
        <v>0</v>
      </c>
      <c r="V1690" s="9">
        <f t="shared" si="888"/>
        <v>4347365</v>
      </c>
      <c r="W1690" s="9">
        <f t="shared" si="889"/>
        <v>0</v>
      </c>
      <c r="X1690" s="9">
        <f t="shared" si="890"/>
        <v>4347365</v>
      </c>
      <c r="Y1690" s="8"/>
      <c r="Z1690" s="9">
        <f t="shared" si="891"/>
        <v>0</v>
      </c>
      <c r="AA1690" s="8">
        <f t="shared" si="892"/>
        <v>4347365</v>
      </c>
      <c r="AB1690" s="8">
        <f t="shared" si="893"/>
        <v>0</v>
      </c>
    </row>
    <row r="1691" spans="1:28" x14ac:dyDescent="0.3">
      <c r="A1691" s="64"/>
      <c r="B1691" s="8"/>
      <c r="C1691" s="7" t="s">
        <v>57</v>
      </c>
      <c r="D1691" s="15" t="s">
        <v>73</v>
      </c>
      <c r="E1691" s="9">
        <v>1141000</v>
      </c>
      <c r="F1691" s="11">
        <v>1141000</v>
      </c>
      <c r="G1691" s="8"/>
      <c r="H1691" s="9">
        <f t="shared" si="884"/>
        <v>1141000</v>
      </c>
      <c r="I1691" s="8"/>
      <c r="J1691" s="8"/>
      <c r="K1691" s="8"/>
      <c r="L1691" s="9"/>
      <c r="M1691" s="9">
        <f t="shared" si="885"/>
        <v>1141000</v>
      </c>
      <c r="N1691" s="9">
        <v>0</v>
      </c>
      <c r="O1691" s="8"/>
      <c r="P1691" s="9">
        <f t="shared" si="886"/>
        <v>0</v>
      </c>
      <c r="Q1691" s="8"/>
      <c r="R1691" s="8"/>
      <c r="S1691" s="8"/>
      <c r="T1691" s="9"/>
      <c r="U1691" s="9">
        <f t="shared" si="887"/>
        <v>0</v>
      </c>
      <c r="V1691" s="9">
        <f t="shared" si="888"/>
        <v>1141000</v>
      </c>
      <c r="W1691" s="9">
        <f t="shared" si="889"/>
        <v>0</v>
      </c>
      <c r="X1691" s="9">
        <f t="shared" si="890"/>
        <v>1141000</v>
      </c>
      <c r="Y1691" s="8"/>
      <c r="Z1691" s="9">
        <f t="shared" si="891"/>
        <v>0</v>
      </c>
      <c r="AA1691" s="8">
        <f t="shared" si="892"/>
        <v>1141000</v>
      </c>
      <c r="AB1691" s="8">
        <f t="shared" si="893"/>
        <v>0</v>
      </c>
    </row>
    <row r="1692" spans="1:28" x14ac:dyDescent="0.3">
      <c r="A1692" s="64"/>
      <c r="B1692" s="8"/>
      <c r="C1692" s="14" t="s">
        <v>109</v>
      </c>
      <c r="D1692" s="21" t="s">
        <v>60</v>
      </c>
      <c r="E1692" s="9">
        <v>5000000</v>
      </c>
      <c r="F1692" s="11">
        <v>5000000</v>
      </c>
      <c r="G1692" s="8"/>
      <c r="H1692" s="9">
        <f t="shared" si="884"/>
        <v>5000000</v>
      </c>
      <c r="I1692" s="8"/>
      <c r="J1692" s="8"/>
      <c r="K1692" s="8"/>
      <c r="L1692" s="9"/>
      <c r="M1692" s="9">
        <f t="shared" si="885"/>
        <v>5000000</v>
      </c>
      <c r="N1692" s="9">
        <v>0</v>
      </c>
      <c r="O1692" s="8"/>
      <c r="P1692" s="9">
        <f t="shared" si="886"/>
        <v>0</v>
      </c>
      <c r="Q1692" s="8"/>
      <c r="R1692" s="8"/>
      <c r="S1692" s="8"/>
      <c r="T1692" s="9"/>
      <c r="U1692" s="9">
        <f t="shared" si="887"/>
        <v>0</v>
      </c>
      <c r="V1692" s="9">
        <f t="shared" si="888"/>
        <v>5000000</v>
      </c>
      <c r="W1692" s="9">
        <f t="shared" si="889"/>
        <v>0</v>
      </c>
      <c r="X1692" s="9">
        <f t="shared" si="890"/>
        <v>5000000</v>
      </c>
      <c r="Y1692" s="8"/>
      <c r="Z1692" s="9">
        <f t="shared" si="891"/>
        <v>0</v>
      </c>
      <c r="AA1692" s="8">
        <f t="shared" si="892"/>
        <v>5000000</v>
      </c>
      <c r="AB1692" s="8">
        <f t="shared" si="893"/>
        <v>0</v>
      </c>
    </row>
    <row r="1693" spans="1:28" x14ac:dyDescent="0.3">
      <c r="A1693" s="64"/>
      <c r="B1693" s="8"/>
      <c r="C1693" s="7" t="s">
        <v>342</v>
      </c>
      <c r="D1693" s="16" t="s">
        <v>194</v>
      </c>
      <c r="E1693" s="9">
        <v>2921917.12</v>
      </c>
      <c r="F1693" s="11">
        <v>2921917.12</v>
      </c>
      <c r="G1693" s="8"/>
      <c r="H1693" s="9">
        <f t="shared" si="884"/>
        <v>2921917.12</v>
      </c>
      <c r="I1693" s="8"/>
      <c r="J1693" s="8"/>
      <c r="K1693" s="8"/>
      <c r="L1693" s="9"/>
      <c r="M1693" s="9">
        <f t="shared" si="885"/>
        <v>2921917.12</v>
      </c>
      <c r="N1693" s="9">
        <v>0</v>
      </c>
      <c r="O1693" s="8"/>
      <c r="P1693" s="9">
        <f t="shared" si="886"/>
        <v>0</v>
      </c>
      <c r="Q1693" s="8"/>
      <c r="R1693" s="8"/>
      <c r="S1693" s="8"/>
      <c r="T1693" s="9"/>
      <c r="U1693" s="9">
        <f t="shared" si="887"/>
        <v>0</v>
      </c>
      <c r="V1693" s="9">
        <f t="shared" si="888"/>
        <v>2921917.12</v>
      </c>
      <c r="W1693" s="9">
        <f t="shared" si="889"/>
        <v>0</v>
      </c>
      <c r="X1693" s="9">
        <f t="shared" si="890"/>
        <v>2921917.12</v>
      </c>
      <c r="Y1693" s="8"/>
      <c r="Z1693" s="9">
        <f t="shared" si="891"/>
        <v>0</v>
      </c>
      <c r="AA1693" s="8">
        <f t="shared" si="892"/>
        <v>2921917.12</v>
      </c>
      <c r="AB1693" s="8">
        <f t="shared" si="893"/>
        <v>0</v>
      </c>
    </row>
    <row r="1694" spans="1:28" x14ac:dyDescent="0.3">
      <c r="A1694" s="64"/>
      <c r="B1694" s="8"/>
      <c r="C1694" s="7" t="s">
        <v>1166</v>
      </c>
      <c r="D1694" s="16" t="s">
        <v>1126</v>
      </c>
      <c r="E1694" s="9">
        <v>300000</v>
      </c>
      <c r="F1694" s="11">
        <v>300000</v>
      </c>
      <c r="G1694" s="8"/>
      <c r="H1694" s="9">
        <f>+F1694+G1694</f>
        <v>300000</v>
      </c>
      <c r="I1694" s="8"/>
      <c r="J1694" s="8"/>
      <c r="K1694" s="8"/>
      <c r="L1694" s="9"/>
      <c r="M1694" s="9">
        <f t="shared" si="885"/>
        <v>300000</v>
      </c>
      <c r="N1694" s="9">
        <v>0</v>
      </c>
      <c r="O1694" s="8"/>
      <c r="P1694" s="9">
        <f t="shared" si="886"/>
        <v>0</v>
      </c>
      <c r="Q1694" s="8"/>
      <c r="R1694" s="8"/>
      <c r="S1694" s="8"/>
      <c r="T1694" s="9"/>
      <c r="U1694" s="9">
        <f t="shared" si="887"/>
        <v>0</v>
      </c>
      <c r="V1694" s="9">
        <f t="shared" si="888"/>
        <v>300000</v>
      </c>
      <c r="W1694" s="9">
        <f t="shared" si="889"/>
        <v>0</v>
      </c>
      <c r="X1694" s="9">
        <f t="shared" si="890"/>
        <v>300000</v>
      </c>
      <c r="Y1694" s="8"/>
      <c r="Z1694" s="9">
        <f t="shared" si="891"/>
        <v>0</v>
      </c>
      <c r="AA1694" s="8">
        <f t="shared" si="892"/>
        <v>300000</v>
      </c>
      <c r="AB1694" s="8">
        <f t="shared" si="893"/>
        <v>0</v>
      </c>
    </row>
    <row r="1695" spans="1:28" x14ac:dyDescent="0.3">
      <c r="A1695" s="64"/>
      <c r="B1695" s="8"/>
      <c r="C1695" s="7" t="s">
        <v>1157</v>
      </c>
      <c r="D1695" s="16" t="s">
        <v>1126</v>
      </c>
      <c r="E1695" s="9">
        <v>750000</v>
      </c>
      <c r="F1695" s="11">
        <v>750000</v>
      </c>
      <c r="G1695" s="8"/>
      <c r="H1695" s="9">
        <f>+F1695+G1695</f>
        <v>750000</v>
      </c>
      <c r="I1695" s="8"/>
      <c r="J1695" s="8"/>
      <c r="K1695" s="8"/>
      <c r="L1695" s="9"/>
      <c r="M1695" s="9">
        <f t="shared" si="885"/>
        <v>750000</v>
      </c>
      <c r="N1695" s="9">
        <v>0</v>
      </c>
      <c r="O1695" s="8"/>
      <c r="P1695" s="9">
        <f t="shared" si="886"/>
        <v>0</v>
      </c>
      <c r="Q1695" s="8"/>
      <c r="R1695" s="8"/>
      <c r="S1695" s="8"/>
      <c r="T1695" s="9"/>
      <c r="U1695" s="9">
        <f t="shared" si="887"/>
        <v>0</v>
      </c>
      <c r="V1695" s="9">
        <f t="shared" si="888"/>
        <v>750000</v>
      </c>
      <c r="W1695" s="9">
        <f t="shared" si="889"/>
        <v>0</v>
      </c>
      <c r="X1695" s="9">
        <f t="shared" si="890"/>
        <v>750000</v>
      </c>
      <c r="Y1695" s="8"/>
      <c r="Z1695" s="9">
        <f t="shared" si="891"/>
        <v>0</v>
      </c>
      <c r="AA1695" s="8">
        <f t="shared" si="892"/>
        <v>750000</v>
      </c>
      <c r="AB1695" s="8">
        <f t="shared" si="893"/>
        <v>0</v>
      </c>
    </row>
    <row r="1696" spans="1:28" x14ac:dyDescent="0.3">
      <c r="A1696" s="64"/>
      <c r="B1696" s="8"/>
      <c r="C1696" s="7" t="s">
        <v>1167</v>
      </c>
      <c r="D1696" s="16" t="s">
        <v>1126</v>
      </c>
      <c r="E1696" s="9">
        <v>200000</v>
      </c>
      <c r="F1696" s="11">
        <v>200000</v>
      </c>
      <c r="G1696" s="8"/>
      <c r="H1696" s="9">
        <f>+F1696+G1696</f>
        <v>200000</v>
      </c>
      <c r="I1696" s="8"/>
      <c r="J1696" s="8"/>
      <c r="K1696" s="8"/>
      <c r="L1696" s="9"/>
      <c r="M1696" s="9">
        <f>+H1696+L1696</f>
        <v>200000</v>
      </c>
      <c r="N1696" s="9">
        <v>0</v>
      </c>
      <c r="O1696" s="8"/>
      <c r="P1696" s="9">
        <f t="shared" si="886"/>
        <v>0</v>
      </c>
      <c r="Q1696" s="8"/>
      <c r="R1696" s="8"/>
      <c r="S1696" s="8"/>
      <c r="T1696" s="9"/>
      <c r="U1696" s="9">
        <f t="shared" si="887"/>
        <v>0</v>
      </c>
      <c r="V1696" s="9">
        <f t="shared" si="888"/>
        <v>200000</v>
      </c>
      <c r="W1696" s="9">
        <f t="shared" si="889"/>
        <v>0</v>
      </c>
      <c r="X1696" s="9">
        <f t="shared" si="890"/>
        <v>200000</v>
      </c>
      <c r="Y1696" s="8"/>
      <c r="Z1696" s="9">
        <f t="shared" si="891"/>
        <v>0</v>
      </c>
      <c r="AA1696" s="8">
        <f t="shared" si="892"/>
        <v>200000</v>
      </c>
      <c r="AB1696" s="8">
        <f t="shared" si="893"/>
        <v>0</v>
      </c>
    </row>
    <row r="1697" spans="1:28" x14ac:dyDescent="0.3">
      <c r="A1697" s="64"/>
      <c r="B1697" s="8"/>
      <c r="C1697" s="7" t="s">
        <v>930</v>
      </c>
      <c r="D1697" s="16" t="s">
        <v>1072</v>
      </c>
      <c r="E1697" s="9">
        <v>3755000</v>
      </c>
      <c r="F1697" s="9">
        <v>3755000</v>
      </c>
      <c r="G1697" s="8"/>
      <c r="H1697" s="9">
        <f>+F1697+G1697</f>
        <v>3755000</v>
      </c>
      <c r="I1697" s="8"/>
      <c r="J1697" s="8"/>
      <c r="K1697" s="8"/>
      <c r="L1697" s="9"/>
      <c r="M1697" s="9">
        <f>+H1697+L1697</f>
        <v>3755000</v>
      </c>
      <c r="N1697" s="9">
        <v>0</v>
      </c>
      <c r="O1697" s="8"/>
      <c r="P1697" s="9">
        <f>+N1697+O1697</f>
        <v>0</v>
      </c>
      <c r="Q1697" s="8"/>
      <c r="R1697" s="8"/>
      <c r="S1697" s="8"/>
      <c r="T1697" s="9"/>
      <c r="U1697" s="9">
        <f>P1697+T1697</f>
        <v>0</v>
      </c>
      <c r="V1697" s="9">
        <f>P1697+H1697</f>
        <v>3755000</v>
      </c>
      <c r="W1697" s="9">
        <f>E1697-V1697</f>
        <v>0</v>
      </c>
      <c r="X1697" s="9">
        <f t="shared" si="890"/>
        <v>3755000</v>
      </c>
      <c r="Y1697" s="8"/>
      <c r="Z1697" s="9">
        <f t="shared" si="891"/>
        <v>0</v>
      </c>
      <c r="AA1697" s="8">
        <f t="shared" si="892"/>
        <v>3755000</v>
      </c>
      <c r="AB1697" s="8">
        <f t="shared" si="893"/>
        <v>0</v>
      </c>
    </row>
    <row r="1698" spans="1:28" x14ac:dyDescent="0.3">
      <c r="A1698" s="64"/>
      <c r="B1698" s="8"/>
      <c r="C1698" s="7" t="s">
        <v>924</v>
      </c>
      <c r="D1698" s="16" t="s">
        <v>61</v>
      </c>
      <c r="E1698" s="9">
        <f>24806.55+1110595.97</f>
        <v>1135402.52</v>
      </c>
      <c r="F1698" s="8">
        <v>1110595.97</v>
      </c>
      <c r="G1698" s="8"/>
      <c r="H1698" s="9">
        <f>F1698+G1698</f>
        <v>1110595.97</v>
      </c>
      <c r="I1698" s="8"/>
      <c r="J1698" s="8"/>
      <c r="K1698" s="8"/>
      <c r="L1698" s="9"/>
      <c r="M1698" s="9">
        <f>H1698+L1698</f>
        <v>1110595.97</v>
      </c>
      <c r="N1698" s="9">
        <v>23379.4</v>
      </c>
      <c r="O1698" s="8"/>
      <c r="P1698" s="9">
        <f>N1698+O1698</f>
        <v>23379.4</v>
      </c>
      <c r="Q1698" s="8">
        <v>24806.55</v>
      </c>
      <c r="R1698" s="8"/>
      <c r="S1698" s="8"/>
      <c r="T1698" s="9">
        <v>1427.15</v>
      </c>
      <c r="U1698" s="9">
        <f>P1698+T1698</f>
        <v>24806.550000000003</v>
      </c>
      <c r="V1698" s="9">
        <f>P1698+H1698</f>
        <v>1133975.3699999999</v>
      </c>
      <c r="W1698" s="9">
        <f>E1698-V1698</f>
        <v>1427.1500000001397</v>
      </c>
      <c r="X1698" s="9">
        <f t="shared" si="890"/>
        <v>1133975.3699999999</v>
      </c>
      <c r="Y1698" s="8"/>
      <c r="Z1698" s="9">
        <f t="shared" si="891"/>
        <v>1427.1500000001397</v>
      </c>
      <c r="AA1698" s="8">
        <f t="shared" si="892"/>
        <v>1135402.52</v>
      </c>
      <c r="AB1698" s="8">
        <f t="shared" si="893"/>
        <v>0</v>
      </c>
    </row>
    <row r="1699" spans="1:28" x14ac:dyDescent="0.3">
      <c r="A1699" s="64"/>
      <c r="B1699" s="8"/>
      <c r="C1699" s="8"/>
      <c r="D1699" s="8"/>
      <c r="E1699" s="17" t="s">
        <v>29</v>
      </c>
      <c r="F1699" s="17" t="s">
        <v>29</v>
      </c>
      <c r="G1699" s="17" t="s">
        <v>29</v>
      </c>
      <c r="H1699" s="17" t="s">
        <v>29</v>
      </c>
      <c r="I1699" s="17" t="s">
        <v>29</v>
      </c>
      <c r="J1699" s="17" t="s">
        <v>29</v>
      </c>
      <c r="K1699" s="17" t="s">
        <v>29</v>
      </c>
      <c r="L1699" s="17" t="s">
        <v>29</v>
      </c>
      <c r="M1699" s="17" t="s">
        <v>29</v>
      </c>
      <c r="N1699" s="17" t="s">
        <v>29</v>
      </c>
      <c r="O1699" s="17" t="s">
        <v>29</v>
      </c>
      <c r="P1699" s="17" t="s">
        <v>29</v>
      </c>
      <c r="Q1699" s="17" t="s">
        <v>29</v>
      </c>
      <c r="R1699" s="17" t="s">
        <v>29</v>
      </c>
      <c r="S1699" s="17" t="s">
        <v>29</v>
      </c>
      <c r="T1699" s="17" t="s">
        <v>29</v>
      </c>
      <c r="U1699" s="17" t="s">
        <v>29</v>
      </c>
      <c r="V1699" s="17" t="s">
        <v>29</v>
      </c>
      <c r="W1699" s="17" t="s">
        <v>29</v>
      </c>
      <c r="X1699" s="17" t="s">
        <v>29</v>
      </c>
      <c r="Y1699" s="17" t="s">
        <v>29</v>
      </c>
      <c r="Z1699" s="17" t="s">
        <v>29</v>
      </c>
      <c r="AA1699" s="17" t="s">
        <v>29</v>
      </c>
      <c r="AB1699" s="17" t="s">
        <v>29</v>
      </c>
    </row>
    <row r="1700" spans="1:28" x14ac:dyDescent="0.3">
      <c r="A1700" s="64"/>
      <c r="B1700" s="8"/>
      <c r="C1700" s="8"/>
      <c r="D1700" s="8"/>
      <c r="E1700" s="9">
        <f t="shared" ref="E1700:AB1700" si="894">SUM(E1684:E1698)</f>
        <v>42535467.700000003</v>
      </c>
      <c r="F1700" s="9">
        <f t="shared" si="894"/>
        <v>39863614.309999995</v>
      </c>
      <c r="G1700" s="9">
        <f t="shared" si="894"/>
        <v>0</v>
      </c>
      <c r="H1700" s="9">
        <f t="shared" si="894"/>
        <v>39863614.309999995</v>
      </c>
      <c r="I1700" s="9">
        <f t="shared" si="894"/>
        <v>0</v>
      </c>
      <c r="J1700" s="9">
        <f t="shared" si="894"/>
        <v>0</v>
      </c>
      <c r="K1700" s="9">
        <f t="shared" si="894"/>
        <v>0</v>
      </c>
      <c r="L1700" s="9">
        <f t="shared" si="894"/>
        <v>0</v>
      </c>
      <c r="M1700" s="9">
        <f t="shared" si="894"/>
        <v>39863614.309999995</v>
      </c>
      <c r="N1700" s="9">
        <f t="shared" si="894"/>
        <v>2670426.2399999998</v>
      </c>
      <c r="O1700" s="9">
        <f t="shared" si="894"/>
        <v>0</v>
      </c>
      <c r="P1700" s="9">
        <f t="shared" si="894"/>
        <v>2670426.2399999998</v>
      </c>
      <c r="Q1700" s="9">
        <f t="shared" si="894"/>
        <v>24806.55</v>
      </c>
      <c r="R1700" s="9">
        <f t="shared" si="894"/>
        <v>0</v>
      </c>
      <c r="S1700" s="9">
        <f t="shared" si="894"/>
        <v>0</v>
      </c>
      <c r="T1700" s="9">
        <f t="shared" si="894"/>
        <v>1427.15</v>
      </c>
      <c r="U1700" s="9">
        <f t="shared" si="894"/>
        <v>2671853.3899999997</v>
      </c>
      <c r="V1700" s="9">
        <f t="shared" si="894"/>
        <v>42534040.549999997</v>
      </c>
      <c r="W1700" s="9">
        <f t="shared" si="894"/>
        <v>1427.1500000001397</v>
      </c>
      <c r="X1700" s="9">
        <f t="shared" si="894"/>
        <v>42534040.549999997</v>
      </c>
      <c r="Y1700" s="9">
        <f t="shared" si="894"/>
        <v>0</v>
      </c>
      <c r="Z1700" s="9">
        <f t="shared" si="894"/>
        <v>1427.1500000001397</v>
      </c>
      <c r="AA1700" s="9">
        <f t="shared" si="894"/>
        <v>42535467.700000003</v>
      </c>
      <c r="AB1700" s="9">
        <f t="shared" si="894"/>
        <v>0</v>
      </c>
    </row>
    <row r="1701" spans="1:28" x14ac:dyDescent="0.3">
      <c r="A1701" s="64"/>
      <c r="B1701" s="8"/>
      <c r="C1701" s="8"/>
      <c r="D1701" s="8"/>
      <c r="E1701" s="17" t="s">
        <v>29</v>
      </c>
      <c r="F1701" s="17" t="s">
        <v>29</v>
      </c>
      <c r="G1701" s="17" t="s">
        <v>29</v>
      </c>
      <c r="H1701" s="17" t="s">
        <v>29</v>
      </c>
      <c r="I1701" s="17" t="s">
        <v>29</v>
      </c>
      <c r="J1701" s="17" t="s">
        <v>29</v>
      </c>
      <c r="K1701" s="17" t="s">
        <v>29</v>
      </c>
      <c r="L1701" s="17" t="s">
        <v>29</v>
      </c>
      <c r="M1701" s="17" t="s">
        <v>29</v>
      </c>
      <c r="N1701" s="17" t="s">
        <v>29</v>
      </c>
      <c r="O1701" s="17" t="s">
        <v>29</v>
      </c>
      <c r="P1701" s="17" t="s">
        <v>29</v>
      </c>
      <c r="Q1701" s="17" t="s">
        <v>29</v>
      </c>
      <c r="R1701" s="17" t="s">
        <v>29</v>
      </c>
      <c r="S1701" s="17" t="s">
        <v>29</v>
      </c>
      <c r="T1701" s="17" t="s">
        <v>29</v>
      </c>
      <c r="U1701" s="17" t="s">
        <v>29</v>
      </c>
      <c r="V1701" s="17" t="s">
        <v>29</v>
      </c>
      <c r="W1701" s="17" t="s">
        <v>29</v>
      </c>
      <c r="X1701" s="17" t="s">
        <v>29</v>
      </c>
      <c r="Y1701" s="17" t="s">
        <v>29</v>
      </c>
      <c r="Z1701" s="17" t="s">
        <v>29</v>
      </c>
      <c r="AA1701" s="17" t="s">
        <v>29</v>
      </c>
      <c r="AB1701" s="17" t="s">
        <v>29</v>
      </c>
    </row>
    <row r="1702" spans="1:28" x14ac:dyDescent="0.3">
      <c r="A1702" s="63" t="s">
        <v>1009</v>
      </c>
      <c r="B1702" s="7" t="s">
        <v>343</v>
      </c>
      <c r="C1702" s="8"/>
      <c r="D1702" s="8"/>
      <c r="E1702" s="8"/>
      <c r="F1702" s="8"/>
      <c r="G1702" s="8"/>
      <c r="H1702" s="8"/>
      <c r="I1702" s="8"/>
      <c r="J1702" s="8"/>
      <c r="K1702" s="8"/>
      <c r="L1702" s="8"/>
      <c r="M1702" s="8"/>
      <c r="N1702" s="8"/>
      <c r="O1702" s="8"/>
      <c r="P1702" s="8"/>
      <c r="Q1702" s="8"/>
      <c r="R1702" s="8"/>
      <c r="S1702" s="8"/>
      <c r="T1702" s="8"/>
      <c r="U1702" s="8"/>
      <c r="V1702" s="8"/>
      <c r="W1702" s="8"/>
      <c r="X1702" s="8"/>
      <c r="Y1702" s="8"/>
      <c r="Z1702" s="8"/>
    </row>
    <row r="1703" spans="1:28" x14ac:dyDescent="0.3">
      <c r="A1703" s="64"/>
      <c r="B1703" s="8"/>
      <c r="C1703" s="7" t="s">
        <v>344</v>
      </c>
      <c r="D1703" s="15" t="s">
        <v>166</v>
      </c>
      <c r="E1703" s="9">
        <v>5173650</v>
      </c>
      <c r="F1703" s="9">
        <v>5173650</v>
      </c>
      <c r="G1703" s="8"/>
      <c r="H1703" s="9">
        <f t="shared" ref="H1703:H1710" si="895">F1703+G1703</f>
        <v>5173650</v>
      </c>
      <c r="I1703" s="8"/>
      <c r="J1703" s="8"/>
      <c r="K1703" s="8"/>
      <c r="L1703" s="9"/>
      <c r="M1703" s="9">
        <f t="shared" ref="M1703:M1710" si="896">H1703+L1703</f>
        <v>5173650</v>
      </c>
      <c r="N1703" s="9">
        <v>0</v>
      </c>
      <c r="O1703" s="8"/>
      <c r="P1703" s="9">
        <f t="shared" ref="P1703:P1710" si="897">N1703+O1703</f>
        <v>0</v>
      </c>
      <c r="Q1703" s="8"/>
      <c r="R1703" s="8"/>
      <c r="S1703" s="8"/>
      <c r="T1703" s="9"/>
      <c r="U1703" s="9">
        <f t="shared" ref="U1703:U1710" si="898">P1703+T1703</f>
        <v>0</v>
      </c>
      <c r="V1703" s="9">
        <f t="shared" ref="V1703:V1710" si="899">P1703+H1703</f>
        <v>5173650</v>
      </c>
      <c r="W1703" s="9">
        <f t="shared" ref="W1703:W1710" si="900">E1703-V1703</f>
        <v>0</v>
      </c>
      <c r="X1703" s="9">
        <f t="shared" ref="X1703:X1710" si="901">+H1703+P1703</f>
        <v>5173650</v>
      </c>
      <c r="Y1703" s="8"/>
      <c r="Z1703" s="9">
        <f t="shared" ref="Z1703:Z1710" si="902">+E1703-X1703</f>
        <v>0</v>
      </c>
      <c r="AA1703" s="8">
        <f t="shared" ref="AA1703:AA1710" si="903">+M1703+U1703</f>
        <v>5173650</v>
      </c>
      <c r="AB1703" s="8">
        <f t="shared" ref="AB1703:AB1710" si="904">+E1703-AA1703</f>
        <v>0</v>
      </c>
    </row>
    <row r="1704" spans="1:28" x14ac:dyDescent="0.3">
      <c r="A1704" s="64"/>
      <c r="B1704" s="8"/>
      <c r="C1704" s="7" t="s">
        <v>57</v>
      </c>
      <c r="D1704" s="15" t="s">
        <v>68</v>
      </c>
      <c r="E1704" s="9">
        <v>490596.12</v>
      </c>
      <c r="F1704" s="9">
        <v>0</v>
      </c>
      <c r="G1704" s="8"/>
      <c r="H1704" s="9">
        <f t="shared" si="895"/>
        <v>0</v>
      </c>
      <c r="I1704" s="8"/>
      <c r="J1704" s="8"/>
      <c r="K1704" s="8"/>
      <c r="L1704" s="9"/>
      <c r="M1704" s="9">
        <f t="shared" si="896"/>
        <v>0</v>
      </c>
      <c r="N1704" s="9">
        <v>490596.12</v>
      </c>
      <c r="O1704" s="8"/>
      <c r="P1704" s="9">
        <f t="shared" si="897"/>
        <v>490596.12</v>
      </c>
      <c r="Q1704" s="8"/>
      <c r="R1704" s="8"/>
      <c r="S1704" s="8"/>
      <c r="T1704" s="9"/>
      <c r="U1704" s="9">
        <f t="shared" si="898"/>
        <v>490596.12</v>
      </c>
      <c r="V1704" s="9">
        <f t="shared" si="899"/>
        <v>490596.12</v>
      </c>
      <c r="W1704" s="9">
        <f t="shared" si="900"/>
        <v>0</v>
      </c>
      <c r="X1704" s="9">
        <f t="shared" si="901"/>
        <v>490596.12</v>
      </c>
      <c r="Y1704" s="8"/>
      <c r="Z1704" s="9">
        <f t="shared" si="902"/>
        <v>0</v>
      </c>
      <c r="AA1704" s="8">
        <f t="shared" si="903"/>
        <v>490596.12</v>
      </c>
      <c r="AB1704" s="8">
        <f t="shared" si="904"/>
        <v>0</v>
      </c>
    </row>
    <row r="1705" spans="1:28" x14ac:dyDescent="0.3">
      <c r="A1705" s="64"/>
      <c r="B1705" s="8"/>
      <c r="C1705" s="7" t="s">
        <v>53</v>
      </c>
      <c r="D1705" s="15" t="s">
        <v>54</v>
      </c>
      <c r="E1705" s="9">
        <v>570941</v>
      </c>
      <c r="F1705" s="9">
        <v>0</v>
      </c>
      <c r="G1705" s="8"/>
      <c r="H1705" s="9">
        <f t="shared" si="895"/>
        <v>0</v>
      </c>
      <c r="I1705" s="8"/>
      <c r="J1705" s="8"/>
      <c r="K1705" s="8"/>
      <c r="L1705" s="9"/>
      <c r="M1705" s="9">
        <f t="shared" si="896"/>
        <v>0</v>
      </c>
      <c r="N1705" s="9">
        <v>570941</v>
      </c>
      <c r="O1705" s="8"/>
      <c r="P1705" s="9">
        <f t="shared" si="897"/>
        <v>570941</v>
      </c>
      <c r="Q1705" s="8"/>
      <c r="R1705" s="8"/>
      <c r="S1705" s="8"/>
      <c r="T1705" s="9"/>
      <c r="U1705" s="9">
        <f t="shared" si="898"/>
        <v>570941</v>
      </c>
      <c r="V1705" s="9">
        <f t="shared" si="899"/>
        <v>570941</v>
      </c>
      <c r="W1705" s="9">
        <f t="shared" si="900"/>
        <v>0</v>
      </c>
      <c r="X1705" s="9">
        <f t="shared" si="901"/>
        <v>570941</v>
      </c>
      <c r="Y1705" s="8"/>
      <c r="Z1705" s="9">
        <f t="shared" si="902"/>
        <v>0</v>
      </c>
      <c r="AA1705" s="8">
        <f t="shared" si="903"/>
        <v>570941</v>
      </c>
      <c r="AB1705" s="8">
        <f t="shared" si="904"/>
        <v>0</v>
      </c>
    </row>
    <row r="1706" spans="1:28" x14ac:dyDescent="0.3">
      <c r="A1706" s="64"/>
      <c r="B1706" s="8"/>
      <c r="C1706" s="7" t="s">
        <v>345</v>
      </c>
      <c r="D1706" s="15" t="s">
        <v>54</v>
      </c>
      <c r="E1706" s="9">
        <v>104000</v>
      </c>
      <c r="F1706" s="9">
        <v>104000</v>
      </c>
      <c r="G1706" s="8"/>
      <c r="H1706" s="9">
        <f t="shared" si="895"/>
        <v>104000</v>
      </c>
      <c r="I1706" s="8"/>
      <c r="J1706" s="8"/>
      <c r="K1706" s="8"/>
      <c r="L1706" s="9"/>
      <c r="M1706" s="9">
        <f t="shared" si="896"/>
        <v>104000</v>
      </c>
      <c r="N1706" s="9">
        <v>0</v>
      </c>
      <c r="O1706" s="8"/>
      <c r="P1706" s="9">
        <f t="shared" si="897"/>
        <v>0</v>
      </c>
      <c r="Q1706" s="8"/>
      <c r="R1706" s="8"/>
      <c r="S1706" s="8"/>
      <c r="T1706" s="9"/>
      <c r="U1706" s="9">
        <f t="shared" si="898"/>
        <v>0</v>
      </c>
      <c r="V1706" s="9">
        <f t="shared" si="899"/>
        <v>104000</v>
      </c>
      <c r="W1706" s="9">
        <f t="shared" si="900"/>
        <v>0</v>
      </c>
      <c r="X1706" s="9">
        <f t="shared" si="901"/>
        <v>104000</v>
      </c>
      <c r="Y1706" s="8"/>
      <c r="Z1706" s="9">
        <f t="shared" si="902"/>
        <v>0</v>
      </c>
      <c r="AA1706" s="8">
        <f t="shared" si="903"/>
        <v>104000</v>
      </c>
      <c r="AB1706" s="8">
        <f t="shared" si="904"/>
        <v>0</v>
      </c>
    </row>
    <row r="1707" spans="1:28" x14ac:dyDescent="0.3">
      <c r="A1707" s="64"/>
      <c r="B1707" s="8"/>
      <c r="C1707" s="7" t="s">
        <v>57</v>
      </c>
      <c r="D1707" s="15" t="s">
        <v>85</v>
      </c>
      <c r="E1707" s="9">
        <v>450000</v>
      </c>
      <c r="F1707" s="9">
        <v>450000</v>
      </c>
      <c r="G1707" s="8"/>
      <c r="H1707" s="9">
        <f t="shared" si="895"/>
        <v>450000</v>
      </c>
      <c r="I1707" s="8"/>
      <c r="J1707" s="8"/>
      <c r="K1707" s="8"/>
      <c r="L1707" s="9"/>
      <c r="M1707" s="9">
        <f t="shared" si="896"/>
        <v>450000</v>
      </c>
      <c r="N1707" s="9">
        <v>0</v>
      </c>
      <c r="O1707" s="8"/>
      <c r="P1707" s="9">
        <f t="shared" si="897"/>
        <v>0</v>
      </c>
      <c r="Q1707" s="8"/>
      <c r="R1707" s="8"/>
      <c r="S1707" s="8"/>
      <c r="T1707" s="9"/>
      <c r="U1707" s="9">
        <f t="shared" si="898"/>
        <v>0</v>
      </c>
      <c r="V1707" s="9">
        <f t="shared" si="899"/>
        <v>450000</v>
      </c>
      <c r="W1707" s="9">
        <f t="shared" si="900"/>
        <v>0</v>
      </c>
      <c r="X1707" s="9">
        <f t="shared" si="901"/>
        <v>450000</v>
      </c>
      <c r="Y1707" s="8"/>
      <c r="Z1707" s="9">
        <f t="shared" si="902"/>
        <v>0</v>
      </c>
      <c r="AA1707" s="8">
        <f t="shared" si="903"/>
        <v>450000</v>
      </c>
      <c r="AB1707" s="8">
        <f t="shared" si="904"/>
        <v>0</v>
      </c>
    </row>
    <row r="1708" spans="1:28" x14ac:dyDescent="0.3">
      <c r="A1708" s="64"/>
      <c r="B1708" s="8"/>
      <c r="C1708" s="7" t="s">
        <v>346</v>
      </c>
      <c r="D1708" s="15" t="s">
        <v>85</v>
      </c>
      <c r="E1708" s="9">
        <v>102400</v>
      </c>
      <c r="F1708" s="9">
        <v>102400</v>
      </c>
      <c r="G1708" s="8"/>
      <c r="H1708" s="9">
        <f t="shared" si="895"/>
        <v>102400</v>
      </c>
      <c r="I1708" s="8"/>
      <c r="J1708" s="8"/>
      <c r="K1708" s="8"/>
      <c r="L1708" s="9"/>
      <c r="M1708" s="9">
        <f t="shared" si="896"/>
        <v>102400</v>
      </c>
      <c r="N1708" s="9">
        <v>0</v>
      </c>
      <c r="O1708" s="8"/>
      <c r="P1708" s="9">
        <f t="shared" si="897"/>
        <v>0</v>
      </c>
      <c r="Q1708" s="8"/>
      <c r="R1708" s="8"/>
      <c r="S1708" s="8"/>
      <c r="T1708" s="9"/>
      <c r="U1708" s="9">
        <f t="shared" si="898"/>
        <v>0</v>
      </c>
      <c r="V1708" s="9">
        <f t="shared" si="899"/>
        <v>102400</v>
      </c>
      <c r="W1708" s="9">
        <f t="shared" si="900"/>
        <v>0</v>
      </c>
      <c r="X1708" s="9">
        <f t="shared" si="901"/>
        <v>102400</v>
      </c>
      <c r="Y1708" s="8"/>
      <c r="Z1708" s="9">
        <f t="shared" si="902"/>
        <v>0</v>
      </c>
      <c r="AA1708" s="8">
        <f t="shared" si="903"/>
        <v>102400</v>
      </c>
      <c r="AB1708" s="8">
        <f t="shared" si="904"/>
        <v>0</v>
      </c>
    </row>
    <row r="1709" spans="1:28" x14ac:dyDescent="0.3">
      <c r="A1709" s="64"/>
      <c r="B1709" s="8"/>
      <c r="C1709" s="7" t="s">
        <v>57</v>
      </c>
      <c r="D1709" s="15" t="s">
        <v>60</v>
      </c>
      <c r="E1709" s="9">
        <v>2244287</v>
      </c>
      <c r="F1709" s="11">
        <v>2244287</v>
      </c>
      <c r="G1709" s="8"/>
      <c r="H1709" s="9">
        <f t="shared" si="895"/>
        <v>2244287</v>
      </c>
      <c r="I1709" s="8"/>
      <c r="J1709" s="8"/>
      <c r="K1709" s="8"/>
      <c r="L1709" s="9"/>
      <c r="M1709" s="9">
        <f t="shared" si="896"/>
        <v>2244287</v>
      </c>
      <c r="N1709" s="9">
        <v>0</v>
      </c>
      <c r="O1709" s="8"/>
      <c r="P1709" s="9">
        <f t="shared" si="897"/>
        <v>0</v>
      </c>
      <c r="Q1709" s="8"/>
      <c r="R1709" s="8"/>
      <c r="S1709" s="8"/>
      <c r="T1709" s="9"/>
      <c r="U1709" s="9">
        <f t="shared" si="898"/>
        <v>0</v>
      </c>
      <c r="V1709" s="9">
        <f t="shared" si="899"/>
        <v>2244287</v>
      </c>
      <c r="W1709" s="9">
        <f t="shared" si="900"/>
        <v>0</v>
      </c>
      <c r="X1709" s="9">
        <f t="shared" si="901"/>
        <v>2244287</v>
      </c>
      <c r="Y1709" s="8"/>
      <c r="Z1709" s="9">
        <f t="shared" si="902"/>
        <v>0</v>
      </c>
      <c r="AA1709" s="8">
        <f t="shared" si="903"/>
        <v>2244287</v>
      </c>
      <c r="AB1709" s="8">
        <f t="shared" si="904"/>
        <v>0</v>
      </c>
    </row>
    <row r="1710" spans="1:28" x14ac:dyDescent="0.3">
      <c r="A1710" s="64"/>
      <c r="B1710" s="8"/>
      <c r="C1710" s="7" t="s">
        <v>57</v>
      </c>
      <c r="D1710" s="16" t="s">
        <v>61</v>
      </c>
      <c r="E1710" s="9">
        <v>250000</v>
      </c>
      <c r="F1710" s="8">
        <v>250000</v>
      </c>
      <c r="G1710" s="8"/>
      <c r="H1710" s="9">
        <f t="shared" si="895"/>
        <v>250000</v>
      </c>
      <c r="I1710" s="8"/>
      <c r="J1710" s="8"/>
      <c r="K1710" s="8"/>
      <c r="L1710" s="9"/>
      <c r="M1710" s="9">
        <f t="shared" si="896"/>
        <v>250000</v>
      </c>
      <c r="N1710" s="9">
        <v>0</v>
      </c>
      <c r="O1710" s="8"/>
      <c r="P1710" s="9">
        <f t="shared" si="897"/>
        <v>0</v>
      </c>
      <c r="Q1710" s="8"/>
      <c r="R1710" s="8"/>
      <c r="S1710" s="8"/>
      <c r="T1710" s="9"/>
      <c r="U1710" s="9">
        <f t="shared" si="898"/>
        <v>0</v>
      </c>
      <c r="V1710" s="9">
        <f t="shared" si="899"/>
        <v>250000</v>
      </c>
      <c r="W1710" s="9">
        <f t="shared" si="900"/>
        <v>0</v>
      </c>
      <c r="X1710" s="9">
        <f t="shared" si="901"/>
        <v>250000</v>
      </c>
      <c r="Y1710" s="8"/>
      <c r="Z1710" s="9">
        <f t="shared" si="902"/>
        <v>0</v>
      </c>
      <c r="AA1710" s="8">
        <f t="shared" si="903"/>
        <v>250000</v>
      </c>
      <c r="AB1710" s="8">
        <f t="shared" si="904"/>
        <v>0</v>
      </c>
    </row>
    <row r="1711" spans="1:28" x14ac:dyDescent="0.3">
      <c r="A1711" s="64"/>
      <c r="B1711" s="8"/>
      <c r="C1711" s="8"/>
      <c r="D1711" s="8"/>
      <c r="E1711" s="17" t="s">
        <v>29</v>
      </c>
      <c r="F1711" s="17" t="s">
        <v>29</v>
      </c>
      <c r="G1711" s="17" t="s">
        <v>29</v>
      </c>
      <c r="H1711" s="17" t="s">
        <v>29</v>
      </c>
      <c r="I1711" s="17" t="s">
        <v>29</v>
      </c>
      <c r="J1711" s="17" t="s">
        <v>29</v>
      </c>
      <c r="K1711" s="17" t="s">
        <v>29</v>
      </c>
      <c r="L1711" s="17" t="s">
        <v>29</v>
      </c>
      <c r="M1711" s="17" t="s">
        <v>29</v>
      </c>
      <c r="N1711" s="17" t="s">
        <v>29</v>
      </c>
      <c r="O1711" s="17" t="s">
        <v>29</v>
      </c>
      <c r="P1711" s="17" t="s">
        <v>29</v>
      </c>
      <c r="Q1711" s="17" t="s">
        <v>29</v>
      </c>
      <c r="R1711" s="17" t="s">
        <v>29</v>
      </c>
      <c r="S1711" s="17" t="s">
        <v>29</v>
      </c>
      <c r="T1711" s="17" t="s">
        <v>29</v>
      </c>
      <c r="U1711" s="17" t="s">
        <v>29</v>
      </c>
      <c r="V1711" s="17" t="s">
        <v>29</v>
      </c>
      <c r="W1711" s="17" t="s">
        <v>29</v>
      </c>
      <c r="X1711" s="17" t="s">
        <v>29</v>
      </c>
      <c r="Y1711" s="17" t="s">
        <v>29</v>
      </c>
      <c r="Z1711" s="17" t="s">
        <v>29</v>
      </c>
      <c r="AA1711" s="17" t="s">
        <v>29</v>
      </c>
      <c r="AB1711" s="17" t="s">
        <v>29</v>
      </c>
    </row>
    <row r="1712" spans="1:28" x14ac:dyDescent="0.3">
      <c r="A1712" s="64"/>
      <c r="B1712" s="8"/>
      <c r="C1712" s="8"/>
      <c r="D1712" s="8"/>
      <c r="E1712" s="9">
        <f t="shared" ref="E1712:AB1712" si="905">SUM(E1703:E1710)</f>
        <v>9385874.120000001</v>
      </c>
      <c r="F1712" s="9">
        <f t="shared" si="905"/>
        <v>8324337</v>
      </c>
      <c r="G1712" s="9">
        <f t="shared" si="905"/>
        <v>0</v>
      </c>
      <c r="H1712" s="9">
        <f t="shared" si="905"/>
        <v>8324337</v>
      </c>
      <c r="I1712" s="9">
        <f t="shared" si="905"/>
        <v>0</v>
      </c>
      <c r="J1712" s="9">
        <f t="shared" si="905"/>
        <v>0</v>
      </c>
      <c r="K1712" s="9">
        <f t="shared" si="905"/>
        <v>0</v>
      </c>
      <c r="L1712" s="9">
        <f t="shared" si="905"/>
        <v>0</v>
      </c>
      <c r="M1712" s="9">
        <f t="shared" si="905"/>
        <v>8324337</v>
      </c>
      <c r="N1712" s="9">
        <f t="shared" si="905"/>
        <v>1061537.1200000001</v>
      </c>
      <c r="O1712" s="9">
        <f t="shared" si="905"/>
        <v>0</v>
      </c>
      <c r="P1712" s="9">
        <f t="shared" si="905"/>
        <v>1061537.1200000001</v>
      </c>
      <c r="Q1712" s="9">
        <f t="shared" si="905"/>
        <v>0</v>
      </c>
      <c r="R1712" s="9">
        <f t="shared" si="905"/>
        <v>0</v>
      </c>
      <c r="S1712" s="9">
        <f t="shared" si="905"/>
        <v>0</v>
      </c>
      <c r="T1712" s="9">
        <f t="shared" si="905"/>
        <v>0</v>
      </c>
      <c r="U1712" s="9">
        <f t="shared" si="905"/>
        <v>1061537.1200000001</v>
      </c>
      <c r="V1712" s="9">
        <f t="shared" si="905"/>
        <v>9385874.120000001</v>
      </c>
      <c r="W1712" s="9">
        <f t="shared" si="905"/>
        <v>0</v>
      </c>
      <c r="X1712" s="9">
        <f t="shared" si="905"/>
        <v>9385874.120000001</v>
      </c>
      <c r="Y1712" s="9">
        <f t="shared" si="905"/>
        <v>0</v>
      </c>
      <c r="Z1712" s="9">
        <f t="shared" si="905"/>
        <v>0</v>
      </c>
      <c r="AA1712" s="9">
        <f t="shared" si="905"/>
        <v>9385874.120000001</v>
      </c>
      <c r="AB1712" s="9">
        <f t="shared" si="905"/>
        <v>0</v>
      </c>
    </row>
    <row r="1713" spans="1:28" x14ac:dyDescent="0.3">
      <c r="A1713" s="64"/>
      <c r="B1713" s="8"/>
      <c r="C1713" s="8"/>
      <c r="D1713" s="8"/>
      <c r="E1713" s="17" t="s">
        <v>29</v>
      </c>
      <c r="F1713" s="17" t="s">
        <v>29</v>
      </c>
      <c r="G1713" s="17" t="s">
        <v>29</v>
      </c>
      <c r="H1713" s="17" t="s">
        <v>29</v>
      </c>
      <c r="I1713" s="17" t="s">
        <v>29</v>
      </c>
      <c r="J1713" s="17" t="s">
        <v>29</v>
      </c>
      <c r="K1713" s="17" t="s">
        <v>29</v>
      </c>
      <c r="L1713" s="17" t="s">
        <v>29</v>
      </c>
      <c r="M1713" s="17" t="s">
        <v>29</v>
      </c>
      <c r="N1713" s="17" t="s">
        <v>29</v>
      </c>
      <c r="O1713" s="17" t="s">
        <v>29</v>
      </c>
      <c r="P1713" s="17" t="s">
        <v>29</v>
      </c>
      <c r="Q1713" s="17" t="s">
        <v>29</v>
      </c>
      <c r="R1713" s="17" t="s">
        <v>29</v>
      </c>
      <c r="S1713" s="17" t="s">
        <v>29</v>
      </c>
      <c r="T1713" s="17" t="s">
        <v>29</v>
      </c>
      <c r="U1713" s="17" t="s">
        <v>29</v>
      </c>
      <c r="V1713" s="17" t="s">
        <v>29</v>
      </c>
      <c r="W1713" s="17" t="s">
        <v>29</v>
      </c>
      <c r="X1713" s="17" t="s">
        <v>29</v>
      </c>
      <c r="Y1713" s="17" t="s">
        <v>29</v>
      </c>
      <c r="Z1713" s="17" t="s">
        <v>29</v>
      </c>
      <c r="AA1713" s="17" t="s">
        <v>29</v>
      </c>
      <c r="AB1713" s="17" t="s">
        <v>29</v>
      </c>
    </row>
    <row r="1714" spans="1:28" x14ac:dyDescent="0.3">
      <c r="A1714" s="63" t="s">
        <v>1010</v>
      </c>
      <c r="B1714" s="7" t="s">
        <v>347</v>
      </c>
      <c r="C1714" s="8"/>
      <c r="D1714" s="8"/>
      <c r="E1714" s="8"/>
      <c r="F1714" s="8"/>
      <c r="G1714" s="8"/>
      <c r="H1714" s="8"/>
      <c r="I1714" s="8"/>
      <c r="J1714" s="8"/>
      <c r="K1714" s="8"/>
      <c r="L1714" s="8"/>
      <c r="M1714" s="8"/>
      <c r="N1714" s="8"/>
      <c r="O1714" s="8"/>
      <c r="P1714" s="8"/>
      <c r="Q1714" s="8"/>
      <c r="R1714" s="8"/>
      <c r="S1714" s="8"/>
      <c r="T1714" s="8"/>
      <c r="U1714" s="8"/>
      <c r="V1714" s="8"/>
      <c r="W1714" s="8"/>
      <c r="X1714" s="8"/>
      <c r="Y1714" s="8"/>
      <c r="Z1714" s="8"/>
    </row>
    <row r="1715" spans="1:28" x14ac:dyDescent="0.3">
      <c r="A1715" s="64"/>
      <c r="B1715" s="8"/>
      <c r="C1715" s="7" t="s">
        <v>348</v>
      </c>
      <c r="D1715" s="15" t="s">
        <v>166</v>
      </c>
      <c r="E1715" s="9">
        <v>1924000</v>
      </c>
      <c r="F1715" s="9">
        <v>1924000</v>
      </c>
      <c r="G1715" s="8"/>
      <c r="H1715" s="9">
        <f t="shared" ref="H1715:H1721" si="906">F1715+G1715</f>
        <v>1924000</v>
      </c>
      <c r="I1715" s="8"/>
      <c r="J1715" s="8"/>
      <c r="K1715" s="8"/>
      <c r="L1715" s="9"/>
      <c r="M1715" s="9">
        <f t="shared" ref="M1715:M1721" si="907">H1715+L1715</f>
        <v>1924000</v>
      </c>
      <c r="N1715" s="9">
        <v>0</v>
      </c>
      <c r="O1715" s="8"/>
      <c r="P1715" s="9">
        <f t="shared" ref="P1715:P1721" si="908">N1715+O1715</f>
        <v>0</v>
      </c>
      <c r="Q1715" s="8"/>
      <c r="R1715" s="8"/>
      <c r="S1715" s="8"/>
      <c r="T1715" s="9"/>
      <c r="U1715" s="9">
        <f t="shared" ref="U1715:U1721" si="909">P1715+T1715</f>
        <v>0</v>
      </c>
      <c r="V1715" s="9">
        <f t="shared" ref="V1715:V1721" si="910">P1715+H1715</f>
        <v>1924000</v>
      </c>
      <c r="W1715" s="9">
        <f t="shared" ref="W1715:W1721" si="911">E1715-V1715</f>
        <v>0</v>
      </c>
      <c r="X1715" s="9">
        <f t="shared" ref="X1715:X1721" si="912">+H1715+P1715</f>
        <v>1924000</v>
      </c>
      <c r="Y1715" s="8"/>
      <c r="Z1715" s="9">
        <f t="shared" ref="Z1715:Z1721" si="913">+E1715-X1715</f>
        <v>0</v>
      </c>
      <c r="AA1715" s="8">
        <f t="shared" ref="AA1715:AA1721" si="914">+M1715+U1715</f>
        <v>1924000</v>
      </c>
      <c r="AB1715" s="8">
        <f t="shared" ref="AB1715:AB1721" si="915">+E1715-AA1715</f>
        <v>0</v>
      </c>
    </row>
    <row r="1716" spans="1:28" x14ac:dyDescent="0.3">
      <c r="A1716" s="64"/>
      <c r="B1716" s="8"/>
      <c r="C1716" s="7" t="s">
        <v>57</v>
      </c>
      <c r="D1716" s="15" t="s">
        <v>68</v>
      </c>
      <c r="E1716" s="9">
        <v>548638.35</v>
      </c>
      <c r="F1716" s="9">
        <v>329833</v>
      </c>
      <c r="G1716" s="8"/>
      <c r="H1716" s="9">
        <f t="shared" si="906"/>
        <v>329833</v>
      </c>
      <c r="I1716" s="8"/>
      <c r="J1716" s="8"/>
      <c r="K1716" s="8"/>
      <c r="L1716" s="9"/>
      <c r="M1716" s="9">
        <f t="shared" si="907"/>
        <v>329833</v>
      </c>
      <c r="N1716" s="9">
        <v>218805.35</v>
      </c>
      <c r="O1716" s="8"/>
      <c r="P1716" s="9">
        <f t="shared" si="908"/>
        <v>218805.35</v>
      </c>
      <c r="Q1716" s="8"/>
      <c r="R1716" s="8"/>
      <c r="S1716" s="8"/>
      <c r="T1716" s="9"/>
      <c r="U1716" s="9">
        <f t="shared" si="909"/>
        <v>218805.35</v>
      </c>
      <c r="V1716" s="9">
        <f t="shared" si="910"/>
        <v>548638.35</v>
      </c>
      <c r="W1716" s="9">
        <f t="shared" si="911"/>
        <v>0</v>
      </c>
      <c r="X1716" s="9">
        <f t="shared" si="912"/>
        <v>548638.35</v>
      </c>
      <c r="Y1716" s="8"/>
      <c r="Z1716" s="9">
        <f t="shared" si="913"/>
        <v>0</v>
      </c>
      <c r="AA1716" s="8">
        <f t="shared" si="914"/>
        <v>548638.35</v>
      </c>
      <c r="AB1716" s="8">
        <f t="shared" si="915"/>
        <v>0</v>
      </c>
    </row>
    <row r="1717" spans="1:28" x14ac:dyDescent="0.3">
      <c r="A1717" s="64"/>
      <c r="B1717" s="8"/>
      <c r="C1717" s="7" t="s">
        <v>53</v>
      </c>
      <c r="D1717" s="15" t="s">
        <v>68</v>
      </c>
      <c r="E1717" s="9">
        <v>570941</v>
      </c>
      <c r="F1717" s="9">
        <v>0</v>
      </c>
      <c r="G1717" s="8"/>
      <c r="H1717" s="9">
        <f t="shared" si="906"/>
        <v>0</v>
      </c>
      <c r="I1717" s="8"/>
      <c r="J1717" s="8"/>
      <c r="K1717" s="8"/>
      <c r="L1717" s="9"/>
      <c r="M1717" s="9">
        <f t="shared" si="907"/>
        <v>0</v>
      </c>
      <c r="N1717" s="9">
        <v>570941</v>
      </c>
      <c r="O1717" s="8"/>
      <c r="P1717" s="9">
        <f t="shared" si="908"/>
        <v>570941</v>
      </c>
      <c r="Q1717" s="8"/>
      <c r="R1717" s="8"/>
      <c r="S1717" s="8"/>
      <c r="T1717" s="9"/>
      <c r="U1717" s="9">
        <f t="shared" si="909"/>
        <v>570941</v>
      </c>
      <c r="V1717" s="9">
        <f t="shared" si="910"/>
        <v>570941</v>
      </c>
      <c r="W1717" s="9">
        <f t="shared" si="911"/>
        <v>0</v>
      </c>
      <c r="X1717" s="9">
        <f t="shared" si="912"/>
        <v>570941</v>
      </c>
      <c r="Y1717" s="8"/>
      <c r="Z1717" s="9">
        <f t="shared" si="913"/>
        <v>0</v>
      </c>
      <c r="AA1717" s="8">
        <f t="shared" si="914"/>
        <v>570941</v>
      </c>
      <c r="AB1717" s="8">
        <f t="shared" si="915"/>
        <v>0</v>
      </c>
    </row>
    <row r="1718" spans="1:28" x14ac:dyDescent="0.3">
      <c r="A1718" s="64"/>
      <c r="B1718" s="8"/>
      <c r="C1718" s="7" t="s">
        <v>57</v>
      </c>
      <c r="D1718" s="15" t="s">
        <v>60</v>
      </c>
      <c r="E1718" s="9">
        <v>6401101</v>
      </c>
      <c r="F1718" s="11">
        <v>6401101</v>
      </c>
      <c r="G1718" s="8"/>
      <c r="H1718" s="9">
        <f t="shared" si="906"/>
        <v>6401101</v>
      </c>
      <c r="I1718" s="8"/>
      <c r="J1718" s="8"/>
      <c r="K1718" s="8"/>
      <c r="L1718" s="9"/>
      <c r="M1718" s="9">
        <f t="shared" si="907"/>
        <v>6401101</v>
      </c>
      <c r="N1718" s="9">
        <v>0</v>
      </c>
      <c r="O1718" s="8"/>
      <c r="P1718" s="9">
        <f t="shared" si="908"/>
        <v>0</v>
      </c>
      <c r="Q1718" s="8"/>
      <c r="R1718" s="8"/>
      <c r="S1718" s="8"/>
      <c r="T1718" s="9"/>
      <c r="U1718" s="9">
        <f t="shared" si="909"/>
        <v>0</v>
      </c>
      <c r="V1718" s="9">
        <f t="shared" si="910"/>
        <v>6401101</v>
      </c>
      <c r="W1718" s="9">
        <f t="shared" si="911"/>
        <v>0</v>
      </c>
      <c r="X1718" s="9">
        <f t="shared" si="912"/>
        <v>6401101</v>
      </c>
      <c r="Y1718" s="8"/>
      <c r="Z1718" s="9">
        <f t="shared" si="913"/>
        <v>0</v>
      </c>
      <c r="AA1718" s="8">
        <f t="shared" si="914"/>
        <v>6401101</v>
      </c>
      <c r="AB1718" s="8">
        <f t="shared" si="915"/>
        <v>0</v>
      </c>
    </row>
    <row r="1719" spans="1:28" x14ac:dyDescent="0.3">
      <c r="A1719" s="64"/>
      <c r="B1719" s="8"/>
      <c r="C1719" s="7" t="s">
        <v>924</v>
      </c>
      <c r="D1719" s="15"/>
      <c r="E1719" s="9">
        <v>281630</v>
      </c>
      <c r="F1719" s="8">
        <v>281630</v>
      </c>
      <c r="G1719" s="8"/>
      <c r="H1719" s="9">
        <f t="shared" si="906"/>
        <v>281630</v>
      </c>
      <c r="I1719" s="8"/>
      <c r="J1719" s="8"/>
      <c r="K1719" s="8"/>
      <c r="L1719" s="9"/>
      <c r="M1719" s="9">
        <f t="shared" si="907"/>
        <v>281630</v>
      </c>
      <c r="N1719" s="9">
        <v>0</v>
      </c>
      <c r="O1719" s="8"/>
      <c r="P1719" s="9">
        <f t="shared" si="908"/>
        <v>0</v>
      </c>
      <c r="Q1719" s="8"/>
      <c r="R1719" s="8"/>
      <c r="S1719" s="8"/>
      <c r="T1719" s="9"/>
      <c r="U1719" s="9">
        <f t="shared" si="909"/>
        <v>0</v>
      </c>
      <c r="V1719" s="9">
        <f t="shared" si="910"/>
        <v>281630</v>
      </c>
      <c r="W1719" s="9">
        <f t="shared" si="911"/>
        <v>0</v>
      </c>
      <c r="X1719" s="9">
        <f t="shared" si="912"/>
        <v>281630</v>
      </c>
      <c r="Y1719" s="8"/>
      <c r="Z1719" s="9">
        <f t="shared" si="913"/>
        <v>0</v>
      </c>
      <c r="AA1719" s="8">
        <f t="shared" si="914"/>
        <v>281630</v>
      </c>
      <c r="AB1719" s="8">
        <f t="shared" si="915"/>
        <v>0</v>
      </c>
    </row>
    <row r="1720" spans="1:28" x14ac:dyDescent="0.3">
      <c r="A1720" s="64"/>
      <c r="B1720" s="8"/>
      <c r="C1720" s="7" t="s">
        <v>930</v>
      </c>
      <c r="D1720" s="16" t="s">
        <v>1072</v>
      </c>
      <c r="E1720" s="9">
        <v>764124.92</v>
      </c>
      <c r="F1720" s="8">
        <v>764124.92</v>
      </c>
      <c r="G1720" s="8"/>
      <c r="H1720" s="9">
        <f>+F1720+G1720</f>
        <v>764124.92</v>
      </c>
      <c r="I1720" s="8"/>
      <c r="J1720" s="8"/>
      <c r="K1720" s="8"/>
      <c r="L1720" s="9"/>
      <c r="M1720" s="9">
        <f t="shared" si="907"/>
        <v>764124.92</v>
      </c>
      <c r="N1720" s="9">
        <v>0</v>
      </c>
      <c r="O1720" s="8"/>
      <c r="P1720" s="9">
        <f t="shared" si="908"/>
        <v>0</v>
      </c>
      <c r="Q1720" s="8"/>
      <c r="R1720" s="8"/>
      <c r="S1720" s="8"/>
      <c r="T1720" s="9"/>
      <c r="U1720" s="9">
        <f t="shared" si="909"/>
        <v>0</v>
      </c>
      <c r="V1720" s="9">
        <f t="shared" si="910"/>
        <v>764124.92</v>
      </c>
      <c r="W1720" s="9">
        <f t="shared" si="911"/>
        <v>0</v>
      </c>
      <c r="X1720" s="9">
        <f t="shared" si="912"/>
        <v>764124.92</v>
      </c>
      <c r="Y1720" s="8"/>
      <c r="Z1720" s="9">
        <f t="shared" si="913"/>
        <v>0</v>
      </c>
      <c r="AA1720" s="8">
        <f t="shared" si="914"/>
        <v>764124.92</v>
      </c>
      <c r="AB1720" s="8">
        <f t="shared" si="915"/>
        <v>0</v>
      </c>
    </row>
    <row r="1721" spans="1:28" x14ac:dyDescent="0.3">
      <c r="A1721" s="64"/>
      <c r="B1721" s="8"/>
      <c r="C1721" s="7" t="s">
        <v>57</v>
      </c>
      <c r="D1721" s="16" t="s">
        <v>61</v>
      </c>
      <c r="E1721" s="9">
        <v>281630</v>
      </c>
      <c r="F1721" s="8">
        <v>281630</v>
      </c>
      <c r="G1721" s="8"/>
      <c r="H1721" s="9">
        <f t="shared" si="906"/>
        <v>281630</v>
      </c>
      <c r="I1721" s="8"/>
      <c r="J1721" s="8"/>
      <c r="K1721" s="8"/>
      <c r="L1721" s="9"/>
      <c r="M1721" s="9">
        <f t="shared" si="907"/>
        <v>281630</v>
      </c>
      <c r="N1721" s="9">
        <v>0</v>
      </c>
      <c r="O1721" s="8"/>
      <c r="P1721" s="9">
        <f t="shared" si="908"/>
        <v>0</v>
      </c>
      <c r="Q1721" s="8"/>
      <c r="R1721" s="8"/>
      <c r="S1721" s="8"/>
      <c r="T1721" s="9"/>
      <c r="U1721" s="9">
        <f t="shared" si="909"/>
        <v>0</v>
      </c>
      <c r="V1721" s="9">
        <f t="shared" si="910"/>
        <v>281630</v>
      </c>
      <c r="W1721" s="9">
        <f t="shared" si="911"/>
        <v>0</v>
      </c>
      <c r="X1721" s="9">
        <f t="shared" si="912"/>
        <v>281630</v>
      </c>
      <c r="Y1721" s="8"/>
      <c r="Z1721" s="9">
        <f t="shared" si="913"/>
        <v>0</v>
      </c>
      <c r="AA1721" s="8">
        <f t="shared" si="914"/>
        <v>281630</v>
      </c>
      <c r="AB1721" s="8">
        <f t="shared" si="915"/>
        <v>0</v>
      </c>
    </row>
    <row r="1722" spans="1:28" x14ac:dyDescent="0.3">
      <c r="A1722" s="64"/>
      <c r="B1722" s="8"/>
      <c r="C1722" s="9"/>
      <c r="D1722" s="8"/>
      <c r="E1722" s="17" t="s">
        <v>29</v>
      </c>
      <c r="F1722" s="17" t="s">
        <v>29</v>
      </c>
      <c r="G1722" s="17" t="s">
        <v>29</v>
      </c>
      <c r="H1722" s="17" t="s">
        <v>29</v>
      </c>
      <c r="I1722" s="17" t="s">
        <v>29</v>
      </c>
      <c r="J1722" s="17" t="s">
        <v>29</v>
      </c>
      <c r="K1722" s="17" t="s">
        <v>29</v>
      </c>
      <c r="L1722" s="17" t="s">
        <v>29</v>
      </c>
      <c r="M1722" s="17" t="s">
        <v>29</v>
      </c>
      <c r="N1722" s="17" t="s">
        <v>29</v>
      </c>
      <c r="O1722" s="17" t="s">
        <v>29</v>
      </c>
      <c r="P1722" s="17" t="s">
        <v>29</v>
      </c>
      <c r="Q1722" s="17" t="s">
        <v>29</v>
      </c>
      <c r="R1722" s="17" t="s">
        <v>29</v>
      </c>
      <c r="S1722" s="17" t="s">
        <v>29</v>
      </c>
      <c r="T1722" s="17" t="s">
        <v>29</v>
      </c>
      <c r="U1722" s="17" t="s">
        <v>29</v>
      </c>
      <c r="V1722" s="17" t="s">
        <v>29</v>
      </c>
      <c r="W1722" s="17" t="s">
        <v>29</v>
      </c>
      <c r="X1722" s="17" t="s">
        <v>29</v>
      </c>
      <c r="Y1722" s="17" t="s">
        <v>29</v>
      </c>
      <c r="Z1722" s="17" t="s">
        <v>29</v>
      </c>
      <c r="AA1722" s="17" t="s">
        <v>29</v>
      </c>
      <c r="AB1722" s="17" t="s">
        <v>29</v>
      </c>
    </row>
    <row r="1723" spans="1:28" x14ac:dyDescent="0.3">
      <c r="A1723" s="64"/>
      <c r="B1723" s="8"/>
      <c r="C1723" s="9"/>
      <c r="D1723" s="8"/>
      <c r="E1723" s="9">
        <f t="shared" ref="E1723:AB1723" si="916">SUM(E1715:E1721)</f>
        <v>10772065.27</v>
      </c>
      <c r="F1723" s="9">
        <f t="shared" si="916"/>
        <v>9982318.9199999999</v>
      </c>
      <c r="G1723" s="9">
        <f t="shared" si="916"/>
        <v>0</v>
      </c>
      <c r="H1723" s="9">
        <f t="shared" si="916"/>
        <v>9982318.9199999999</v>
      </c>
      <c r="I1723" s="9">
        <f t="shared" si="916"/>
        <v>0</v>
      </c>
      <c r="J1723" s="9">
        <f t="shared" si="916"/>
        <v>0</v>
      </c>
      <c r="K1723" s="9">
        <f t="shared" si="916"/>
        <v>0</v>
      </c>
      <c r="L1723" s="9">
        <f t="shared" si="916"/>
        <v>0</v>
      </c>
      <c r="M1723" s="9">
        <f t="shared" si="916"/>
        <v>9982318.9199999999</v>
      </c>
      <c r="N1723" s="9">
        <f t="shared" si="916"/>
        <v>789746.35</v>
      </c>
      <c r="O1723" s="9">
        <f t="shared" si="916"/>
        <v>0</v>
      </c>
      <c r="P1723" s="9">
        <f t="shared" si="916"/>
        <v>789746.35</v>
      </c>
      <c r="Q1723" s="9">
        <f t="shared" si="916"/>
        <v>0</v>
      </c>
      <c r="R1723" s="9">
        <f t="shared" si="916"/>
        <v>0</v>
      </c>
      <c r="S1723" s="9">
        <f t="shared" si="916"/>
        <v>0</v>
      </c>
      <c r="T1723" s="9">
        <f t="shared" si="916"/>
        <v>0</v>
      </c>
      <c r="U1723" s="9">
        <f t="shared" si="916"/>
        <v>789746.35</v>
      </c>
      <c r="V1723" s="9">
        <f t="shared" si="916"/>
        <v>10772065.27</v>
      </c>
      <c r="W1723" s="9">
        <f t="shared" si="916"/>
        <v>0</v>
      </c>
      <c r="X1723" s="9">
        <f t="shared" si="916"/>
        <v>10772065.27</v>
      </c>
      <c r="Y1723" s="9">
        <f t="shared" si="916"/>
        <v>0</v>
      </c>
      <c r="Z1723" s="9">
        <f t="shared" si="916"/>
        <v>0</v>
      </c>
      <c r="AA1723" s="9">
        <f t="shared" si="916"/>
        <v>10772065.27</v>
      </c>
      <c r="AB1723" s="9">
        <f t="shared" si="916"/>
        <v>0</v>
      </c>
    </row>
    <row r="1724" spans="1:28" x14ac:dyDescent="0.3">
      <c r="A1724" s="64"/>
      <c r="B1724" s="8"/>
      <c r="C1724" s="8"/>
      <c r="D1724" s="8"/>
      <c r="E1724" s="17" t="s">
        <v>29</v>
      </c>
      <c r="F1724" s="17" t="s">
        <v>29</v>
      </c>
      <c r="G1724" s="17" t="s">
        <v>29</v>
      </c>
      <c r="H1724" s="17" t="s">
        <v>29</v>
      </c>
      <c r="I1724" s="17" t="s">
        <v>29</v>
      </c>
      <c r="J1724" s="17" t="s">
        <v>29</v>
      </c>
      <c r="K1724" s="17" t="s">
        <v>29</v>
      </c>
      <c r="L1724" s="17" t="s">
        <v>29</v>
      </c>
      <c r="M1724" s="17" t="s">
        <v>29</v>
      </c>
      <c r="N1724" s="17" t="s">
        <v>29</v>
      </c>
      <c r="O1724" s="17" t="s">
        <v>29</v>
      </c>
      <c r="P1724" s="17" t="s">
        <v>29</v>
      </c>
      <c r="Q1724" s="17" t="s">
        <v>29</v>
      </c>
      <c r="R1724" s="17" t="s">
        <v>29</v>
      </c>
      <c r="S1724" s="17" t="s">
        <v>29</v>
      </c>
      <c r="T1724" s="17" t="s">
        <v>29</v>
      </c>
      <c r="U1724" s="17" t="s">
        <v>29</v>
      </c>
      <c r="V1724" s="17" t="s">
        <v>29</v>
      </c>
      <c r="W1724" s="17" t="s">
        <v>29</v>
      </c>
      <c r="X1724" s="17" t="s">
        <v>29</v>
      </c>
      <c r="Y1724" s="17" t="s">
        <v>29</v>
      </c>
      <c r="Z1724" s="17" t="s">
        <v>29</v>
      </c>
      <c r="AA1724" s="17" t="s">
        <v>29</v>
      </c>
      <c r="AB1724" s="17" t="s">
        <v>29</v>
      </c>
    </row>
    <row r="1725" spans="1:28" x14ac:dyDescent="0.3">
      <c r="A1725" s="63" t="s">
        <v>1011</v>
      </c>
      <c r="B1725" s="7" t="s">
        <v>349</v>
      </c>
      <c r="C1725" s="8"/>
      <c r="D1725" s="8"/>
      <c r="E1725" s="8"/>
      <c r="F1725" s="8"/>
      <c r="G1725" s="8"/>
      <c r="H1725" s="8"/>
      <c r="I1725" s="8"/>
      <c r="J1725" s="8"/>
      <c r="K1725" s="8"/>
      <c r="L1725" s="8"/>
      <c r="M1725" s="8"/>
      <c r="N1725" s="8"/>
      <c r="O1725" s="8"/>
      <c r="P1725" s="8"/>
      <c r="Q1725" s="8"/>
      <c r="R1725" s="8"/>
      <c r="S1725" s="8"/>
      <c r="T1725" s="8"/>
      <c r="U1725" s="8"/>
      <c r="V1725" s="8"/>
      <c r="W1725" s="8"/>
      <c r="X1725" s="8"/>
      <c r="Y1725" s="8"/>
      <c r="Z1725" s="8"/>
    </row>
    <row r="1726" spans="1:28" x14ac:dyDescent="0.3">
      <c r="A1726" s="64"/>
      <c r="B1726" s="8"/>
      <c r="C1726" s="7" t="s">
        <v>57</v>
      </c>
      <c r="D1726" s="15" t="s">
        <v>68</v>
      </c>
      <c r="E1726" s="9">
        <v>323239</v>
      </c>
      <c r="F1726" s="9">
        <v>323239</v>
      </c>
      <c r="G1726" s="8"/>
      <c r="H1726" s="9">
        <f t="shared" ref="H1726:H1738" si="917">F1726+G1726</f>
        <v>323239</v>
      </c>
      <c r="I1726" s="8"/>
      <c r="J1726" s="8"/>
      <c r="K1726" s="8"/>
      <c r="L1726" s="9"/>
      <c r="M1726" s="9">
        <f t="shared" ref="M1726:M1738" si="918">H1726+L1726</f>
        <v>323239</v>
      </c>
      <c r="N1726" s="9">
        <v>0</v>
      </c>
      <c r="O1726" s="8"/>
      <c r="P1726" s="9">
        <f t="shared" ref="P1726:P1738" si="919">N1726+O1726</f>
        <v>0</v>
      </c>
      <c r="Q1726" s="8"/>
      <c r="R1726" s="8"/>
      <c r="S1726" s="8"/>
      <c r="T1726" s="9"/>
      <c r="U1726" s="9">
        <f t="shared" ref="U1726:U1738" si="920">P1726+T1726</f>
        <v>0</v>
      </c>
      <c r="V1726" s="9">
        <f t="shared" ref="V1726:V1738" si="921">P1726+H1726</f>
        <v>323239</v>
      </c>
      <c r="W1726" s="9">
        <f t="shared" ref="W1726:W1738" si="922">E1726-V1726</f>
        <v>0</v>
      </c>
      <c r="X1726" s="9">
        <f t="shared" ref="X1726:X1738" si="923">+H1726+P1726</f>
        <v>323239</v>
      </c>
      <c r="Y1726" s="8"/>
      <c r="Z1726" s="9">
        <f t="shared" ref="Z1726:Z1738" si="924">+E1726-X1726</f>
        <v>0</v>
      </c>
      <c r="AA1726" s="8">
        <f t="shared" ref="AA1726:AA1738" si="925">+M1726+U1726</f>
        <v>323239</v>
      </c>
      <c r="AB1726" s="8">
        <f t="shared" ref="AB1726:AB1738" si="926">+E1726-AA1726</f>
        <v>0</v>
      </c>
    </row>
    <row r="1727" spans="1:28" x14ac:dyDescent="0.3">
      <c r="A1727" s="64"/>
      <c r="B1727" s="8"/>
      <c r="C1727" s="7" t="s">
        <v>53</v>
      </c>
      <c r="D1727" s="15" t="s">
        <v>68</v>
      </c>
      <c r="E1727" s="9">
        <v>570941</v>
      </c>
      <c r="F1727" s="9">
        <v>0</v>
      </c>
      <c r="G1727" s="8"/>
      <c r="H1727" s="9">
        <f t="shared" si="917"/>
        <v>0</v>
      </c>
      <c r="I1727" s="8"/>
      <c r="J1727" s="8"/>
      <c r="K1727" s="8"/>
      <c r="L1727" s="9"/>
      <c r="M1727" s="9">
        <f t="shared" si="918"/>
        <v>0</v>
      </c>
      <c r="N1727" s="9">
        <v>570941</v>
      </c>
      <c r="O1727" s="8"/>
      <c r="P1727" s="9">
        <f t="shared" si="919"/>
        <v>570941</v>
      </c>
      <c r="Q1727" s="8"/>
      <c r="R1727" s="8"/>
      <c r="S1727" s="8"/>
      <c r="T1727" s="9"/>
      <c r="U1727" s="9">
        <f t="shared" si="920"/>
        <v>570941</v>
      </c>
      <c r="V1727" s="9">
        <f t="shared" si="921"/>
        <v>570941</v>
      </c>
      <c r="W1727" s="9">
        <f t="shared" si="922"/>
        <v>0</v>
      </c>
      <c r="X1727" s="9">
        <f t="shared" si="923"/>
        <v>570941</v>
      </c>
      <c r="Y1727" s="8"/>
      <c r="Z1727" s="9">
        <f t="shared" si="924"/>
        <v>0</v>
      </c>
      <c r="AA1727" s="8">
        <f t="shared" si="925"/>
        <v>570941</v>
      </c>
      <c r="AB1727" s="8">
        <f t="shared" si="926"/>
        <v>0</v>
      </c>
    </row>
    <row r="1728" spans="1:28" x14ac:dyDescent="0.3">
      <c r="A1728" s="64"/>
      <c r="B1728" s="8"/>
      <c r="C1728" s="7" t="s">
        <v>350</v>
      </c>
      <c r="D1728" s="15" t="s">
        <v>234</v>
      </c>
      <c r="E1728" s="9">
        <v>3989353</v>
      </c>
      <c r="F1728" s="9">
        <v>3989353</v>
      </c>
      <c r="G1728" s="8"/>
      <c r="H1728" s="9">
        <f t="shared" si="917"/>
        <v>3989353</v>
      </c>
      <c r="I1728" s="9"/>
      <c r="J1728" s="8"/>
      <c r="K1728" s="8"/>
      <c r="L1728" s="9"/>
      <c r="M1728" s="9">
        <f t="shared" si="918"/>
        <v>3989353</v>
      </c>
      <c r="N1728" s="9">
        <v>0</v>
      </c>
      <c r="O1728" s="8"/>
      <c r="P1728" s="9">
        <f t="shared" si="919"/>
        <v>0</v>
      </c>
      <c r="Q1728" s="8"/>
      <c r="R1728" s="8"/>
      <c r="S1728" s="8"/>
      <c r="T1728" s="9"/>
      <c r="U1728" s="9">
        <f t="shared" si="920"/>
        <v>0</v>
      </c>
      <c r="V1728" s="9">
        <f t="shared" si="921"/>
        <v>3989353</v>
      </c>
      <c r="W1728" s="9">
        <f t="shared" si="922"/>
        <v>0</v>
      </c>
      <c r="X1728" s="9">
        <f t="shared" si="923"/>
        <v>3989353</v>
      </c>
      <c r="Y1728" s="8"/>
      <c r="Z1728" s="9">
        <f t="shared" si="924"/>
        <v>0</v>
      </c>
      <c r="AA1728" s="8">
        <f t="shared" si="925"/>
        <v>3989353</v>
      </c>
      <c r="AB1728" s="8">
        <f t="shared" si="926"/>
        <v>0</v>
      </c>
    </row>
    <row r="1729" spans="1:28" x14ac:dyDescent="0.3">
      <c r="A1729" s="64"/>
      <c r="B1729" s="8"/>
      <c r="C1729" s="7" t="s">
        <v>57</v>
      </c>
      <c r="D1729" s="15" t="s">
        <v>54</v>
      </c>
      <c r="E1729" s="9">
        <v>137478</v>
      </c>
      <c r="F1729" s="9">
        <v>137478</v>
      </c>
      <c r="G1729" s="8"/>
      <c r="H1729" s="9">
        <f t="shared" si="917"/>
        <v>137478</v>
      </c>
      <c r="I1729" s="8"/>
      <c r="J1729" s="8"/>
      <c r="K1729" s="8"/>
      <c r="L1729" s="9"/>
      <c r="M1729" s="9">
        <f t="shared" si="918"/>
        <v>137478</v>
      </c>
      <c r="N1729" s="9">
        <v>0</v>
      </c>
      <c r="O1729" s="8"/>
      <c r="P1729" s="9">
        <f t="shared" si="919"/>
        <v>0</v>
      </c>
      <c r="Q1729" s="8"/>
      <c r="R1729" s="8"/>
      <c r="S1729" s="8"/>
      <c r="T1729" s="9"/>
      <c r="U1729" s="9">
        <f t="shared" si="920"/>
        <v>0</v>
      </c>
      <c r="V1729" s="9">
        <f t="shared" si="921"/>
        <v>137478</v>
      </c>
      <c r="W1729" s="9">
        <f t="shared" si="922"/>
        <v>0</v>
      </c>
      <c r="X1729" s="9">
        <f t="shared" si="923"/>
        <v>137478</v>
      </c>
      <c r="Y1729" s="8"/>
      <c r="Z1729" s="9">
        <f t="shared" si="924"/>
        <v>0</v>
      </c>
      <c r="AA1729" s="8">
        <f t="shared" si="925"/>
        <v>137478</v>
      </c>
      <c r="AB1729" s="8">
        <f t="shared" si="926"/>
        <v>0</v>
      </c>
    </row>
    <row r="1730" spans="1:28" x14ac:dyDescent="0.3">
      <c r="A1730" s="64"/>
      <c r="B1730" s="8"/>
      <c r="C1730" s="7" t="s">
        <v>351</v>
      </c>
      <c r="D1730" s="15" t="s">
        <v>234</v>
      </c>
      <c r="E1730" s="9">
        <v>232000</v>
      </c>
      <c r="F1730" s="9">
        <v>232000</v>
      </c>
      <c r="G1730" s="8"/>
      <c r="H1730" s="9">
        <f t="shared" si="917"/>
        <v>232000</v>
      </c>
      <c r="I1730" s="8"/>
      <c r="J1730" s="8"/>
      <c r="K1730" s="8"/>
      <c r="L1730" s="9"/>
      <c r="M1730" s="9">
        <f t="shared" si="918"/>
        <v>232000</v>
      </c>
      <c r="N1730" s="9">
        <v>0</v>
      </c>
      <c r="O1730" s="8"/>
      <c r="P1730" s="9">
        <f t="shared" si="919"/>
        <v>0</v>
      </c>
      <c r="Q1730" s="8"/>
      <c r="R1730" s="8"/>
      <c r="S1730" s="8"/>
      <c r="T1730" s="9"/>
      <c r="U1730" s="9">
        <f t="shared" si="920"/>
        <v>0</v>
      </c>
      <c r="V1730" s="9">
        <f t="shared" si="921"/>
        <v>232000</v>
      </c>
      <c r="W1730" s="9">
        <f t="shared" si="922"/>
        <v>0</v>
      </c>
      <c r="X1730" s="9">
        <f t="shared" si="923"/>
        <v>232000</v>
      </c>
      <c r="Y1730" s="8"/>
      <c r="Z1730" s="9">
        <f t="shared" si="924"/>
        <v>0</v>
      </c>
      <c r="AA1730" s="8">
        <f t="shared" si="925"/>
        <v>232000</v>
      </c>
      <c r="AB1730" s="8">
        <f t="shared" si="926"/>
        <v>0</v>
      </c>
    </row>
    <row r="1731" spans="1:28" x14ac:dyDescent="0.3">
      <c r="A1731" s="64"/>
      <c r="B1731" s="8"/>
      <c r="C1731" s="7" t="s">
        <v>57</v>
      </c>
      <c r="D1731" s="15" t="s">
        <v>85</v>
      </c>
      <c r="E1731" s="9">
        <v>900000</v>
      </c>
      <c r="F1731" s="9">
        <v>900000</v>
      </c>
      <c r="G1731" s="8"/>
      <c r="H1731" s="9">
        <f t="shared" si="917"/>
        <v>900000</v>
      </c>
      <c r="I1731" s="8"/>
      <c r="J1731" s="8"/>
      <c r="K1731" s="8"/>
      <c r="L1731" s="9"/>
      <c r="M1731" s="9">
        <f t="shared" si="918"/>
        <v>900000</v>
      </c>
      <c r="N1731" s="9">
        <v>0</v>
      </c>
      <c r="O1731" s="8"/>
      <c r="P1731" s="9">
        <f t="shared" si="919"/>
        <v>0</v>
      </c>
      <c r="Q1731" s="8"/>
      <c r="R1731" s="8"/>
      <c r="S1731" s="8"/>
      <c r="T1731" s="9"/>
      <c r="U1731" s="9">
        <f t="shared" si="920"/>
        <v>0</v>
      </c>
      <c r="V1731" s="9">
        <f t="shared" si="921"/>
        <v>900000</v>
      </c>
      <c r="W1731" s="9">
        <f t="shared" si="922"/>
        <v>0</v>
      </c>
      <c r="X1731" s="9">
        <f t="shared" si="923"/>
        <v>900000</v>
      </c>
      <c r="Y1731" s="8"/>
      <c r="Z1731" s="9">
        <f t="shared" si="924"/>
        <v>0</v>
      </c>
      <c r="AA1731" s="8">
        <f t="shared" si="925"/>
        <v>900000</v>
      </c>
      <c r="AB1731" s="8">
        <f t="shared" si="926"/>
        <v>0</v>
      </c>
    </row>
    <row r="1732" spans="1:28" x14ac:dyDescent="0.3">
      <c r="A1732" s="64"/>
      <c r="B1732" s="8"/>
      <c r="C1732" s="7" t="s">
        <v>302</v>
      </c>
      <c r="D1732" s="15" t="s">
        <v>85</v>
      </c>
      <c r="E1732" s="9">
        <v>160000</v>
      </c>
      <c r="F1732" s="9">
        <v>160000</v>
      </c>
      <c r="G1732" s="8"/>
      <c r="H1732" s="9">
        <f t="shared" si="917"/>
        <v>160000</v>
      </c>
      <c r="I1732" s="8"/>
      <c r="J1732" s="8"/>
      <c r="K1732" s="8"/>
      <c r="L1732" s="9"/>
      <c r="M1732" s="9">
        <f t="shared" si="918"/>
        <v>160000</v>
      </c>
      <c r="N1732" s="9">
        <v>0</v>
      </c>
      <c r="O1732" s="8"/>
      <c r="P1732" s="9">
        <f t="shared" si="919"/>
        <v>0</v>
      </c>
      <c r="Q1732" s="8"/>
      <c r="R1732" s="8"/>
      <c r="S1732" s="8"/>
      <c r="T1732" s="9"/>
      <c r="U1732" s="9">
        <f t="shared" si="920"/>
        <v>0</v>
      </c>
      <c r="V1732" s="9">
        <f t="shared" si="921"/>
        <v>160000</v>
      </c>
      <c r="W1732" s="9">
        <f t="shared" si="922"/>
        <v>0</v>
      </c>
      <c r="X1732" s="9">
        <f t="shared" si="923"/>
        <v>160000</v>
      </c>
      <c r="Y1732" s="8"/>
      <c r="Z1732" s="9">
        <f t="shared" si="924"/>
        <v>0</v>
      </c>
      <c r="AA1732" s="8">
        <f t="shared" si="925"/>
        <v>160000</v>
      </c>
      <c r="AB1732" s="8">
        <f t="shared" si="926"/>
        <v>0</v>
      </c>
    </row>
    <row r="1733" spans="1:28" x14ac:dyDescent="0.3">
      <c r="A1733" s="64"/>
      <c r="B1733" s="8"/>
      <c r="C1733" s="7" t="s">
        <v>57</v>
      </c>
      <c r="D1733" s="15" t="s">
        <v>128</v>
      </c>
      <c r="E1733" s="9">
        <v>594000</v>
      </c>
      <c r="F1733" s="9">
        <v>594000</v>
      </c>
      <c r="G1733" s="8"/>
      <c r="H1733" s="9">
        <f t="shared" si="917"/>
        <v>594000</v>
      </c>
      <c r="I1733" s="8"/>
      <c r="J1733" s="8"/>
      <c r="K1733" s="8"/>
      <c r="L1733" s="9"/>
      <c r="M1733" s="9">
        <f t="shared" si="918"/>
        <v>594000</v>
      </c>
      <c r="N1733" s="9">
        <v>0</v>
      </c>
      <c r="O1733" s="8"/>
      <c r="P1733" s="9">
        <f t="shared" si="919"/>
        <v>0</v>
      </c>
      <c r="Q1733" s="8"/>
      <c r="R1733" s="8"/>
      <c r="S1733" s="8"/>
      <c r="T1733" s="9"/>
      <c r="U1733" s="9">
        <f t="shared" si="920"/>
        <v>0</v>
      </c>
      <c r="V1733" s="9">
        <f t="shared" si="921"/>
        <v>594000</v>
      </c>
      <c r="W1733" s="9">
        <f t="shared" si="922"/>
        <v>0</v>
      </c>
      <c r="X1733" s="9">
        <f t="shared" si="923"/>
        <v>594000</v>
      </c>
      <c r="Y1733" s="8"/>
      <c r="Z1733" s="9">
        <f t="shared" si="924"/>
        <v>0</v>
      </c>
      <c r="AA1733" s="8">
        <f t="shared" si="925"/>
        <v>594000</v>
      </c>
      <c r="AB1733" s="8">
        <f t="shared" si="926"/>
        <v>0</v>
      </c>
    </row>
    <row r="1734" spans="1:28" x14ac:dyDescent="0.3">
      <c r="A1734" s="64"/>
      <c r="B1734" s="8"/>
      <c r="C1734" s="7" t="s">
        <v>57</v>
      </c>
      <c r="D1734" s="15" t="s">
        <v>60</v>
      </c>
      <c r="E1734" s="9">
        <v>777164</v>
      </c>
      <c r="F1734" s="11">
        <v>777164</v>
      </c>
      <c r="G1734" s="8"/>
      <c r="H1734" s="9">
        <f t="shared" si="917"/>
        <v>777164</v>
      </c>
      <c r="I1734" s="8"/>
      <c r="J1734" s="8"/>
      <c r="K1734" s="8"/>
      <c r="L1734" s="9"/>
      <c r="M1734" s="9">
        <f t="shared" si="918"/>
        <v>777164</v>
      </c>
      <c r="N1734" s="9">
        <v>0</v>
      </c>
      <c r="O1734" s="8"/>
      <c r="P1734" s="9">
        <f t="shared" si="919"/>
        <v>0</v>
      </c>
      <c r="Q1734" s="8"/>
      <c r="R1734" s="8"/>
      <c r="S1734" s="8"/>
      <c r="T1734" s="9"/>
      <c r="U1734" s="9">
        <f t="shared" si="920"/>
        <v>0</v>
      </c>
      <c r="V1734" s="9">
        <f t="shared" si="921"/>
        <v>777164</v>
      </c>
      <c r="W1734" s="9">
        <f t="shared" si="922"/>
        <v>0</v>
      </c>
      <c r="X1734" s="9">
        <f t="shared" si="923"/>
        <v>777164</v>
      </c>
      <c r="Y1734" s="8"/>
      <c r="Z1734" s="9">
        <f t="shared" si="924"/>
        <v>0</v>
      </c>
      <c r="AA1734" s="8">
        <f t="shared" si="925"/>
        <v>777164</v>
      </c>
      <c r="AB1734" s="8">
        <f t="shared" si="926"/>
        <v>0</v>
      </c>
    </row>
    <row r="1735" spans="1:28" x14ac:dyDescent="0.3">
      <c r="A1735" s="64"/>
      <c r="B1735" s="8"/>
      <c r="C1735" s="7" t="s">
        <v>57</v>
      </c>
      <c r="D1735" s="15" t="s">
        <v>73</v>
      </c>
      <c r="E1735" s="9">
        <v>1326000</v>
      </c>
      <c r="F1735" s="11">
        <v>1326000</v>
      </c>
      <c r="G1735" s="8"/>
      <c r="H1735" s="9">
        <f t="shared" si="917"/>
        <v>1326000</v>
      </c>
      <c r="I1735" s="8"/>
      <c r="J1735" s="8"/>
      <c r="K1735" s="8"/>
      <c r="L1735" s="9"/>
      <c r="M1735" s="9">
        <f t="shared" si="918"/>
        <v>1326000</v>
      </c>
      <c r="N1735" s="9">
        <v>0</v>
      </c>
      <c r="O1735" s="8"/>
      <c r="P1735" s="9">
        <f t="shared" si="919"/>
        <v>0</v>
      </c>
      <c r="Q1735" s="8"/>
      <c r="R1735" s="8"/>
      <c r="S1735" s="8"/>
      <c r="T1735" s="9"/>
      <c r="U1735" s="9">
        <f t="shared" si="920"/>
        <v>0</v>
      </c>
      <c r="V1735" s="9">
        <f t="shared" si="921"/>
        <v>1326000</v>
      </c>
      <c r="W1735" s="9">
        <f t="shared" si="922"/>
        <v>0</v>
      </c>
      <c r="X1735" s="9">
        <f t="shared" si="923"/>
        <v>1326000</v>
      </c>
      <c r="Y1735" s="8"/>
      <c r="Z1735" s="9">
        <f t="shared" si="924"/>
        <v>0</v>
      </c>
      <c r="AA1735" s="8">
        <f t="shared" si="925"/>
        <v>1326000</v>
      </c>
      <c r="AB1735" s="8">
        <f t="shared" si="926"/>
        <v>0</v>
      </c>
    </row>
    <row r="1736" spans="1:28" x14ac:dyDescent="0.3">
      <c r="A1736" s="64"/>
      <c r="B1736" s="8"/>
      <c r="C1736" s="7" t="s">
        <v>925</v>
      </c>
      <c r="D1736" s="15"/>
      <c r="E1736" s="9">
        <v>494678.84</v>
      </c>
      <c r="F1736" s="8">
        <v>494678.84</v>
      </c>
      <c r="G1736" s="8"/>
      <c r="H1736" s="9">
        <f>+F1736+G1736</f>
        <v>494678.84</v>
      </c>
      <c r="I1736" s="8"/>
      <c r="J1736" s="8"/>
      <c r="K1736" s="8"/>
      <c r="L1736" s="9"/>
      <c r="M1736" s="9">
        <f>+H1736+L1736</f>
        <v>494678.84</v>
      </c>
      <c r="N1736" s="9">
        <v>0</v>
      </c>
      <c r="O1736" s="8"/>
      <c r="P1736" s="9">
        <f>+N1736+O1736</f>
        <v>0</v>
      </c>
      <c r="Q1736" s="8"/>
      <c r="R1736" s="8"/>
      <c r="S1736" s="8"/>
      <c r="T1736" s="9"/>
      <c r="U1736" s="9">
        <f>P1736+T1736</f>
        <v>0</v>
      </c>
      <c r="V1736" s="9">
        <f>P1736+H1736</f>
        <v>494678.84</v>
      </c>
      <c r="W1736" s="9">
        <f>E1736-V1736</f>
        <v>0</v>
      </c>
      <c r="X1736" s="9">
        <f t="shared" si="923"/>
        <v>494678.84</v>
      </c>
      <c r="Y1736" s="8"/>
      <c r="Z1736" s="9">
        <f t="shared" si="924"/>
        <v>0</v>
      </c>
      <c r="AA1736" s="8">
        <f t="shared" si="925"/>
        <v>494678.84</v>
      </c>
      <c r="AB1736" s="8">
        <f t="shared" si="926"/>
        <v>0</v>
      </c>
    </row>
    <row r="1737" spans="1:28" x14ac:dyDescent="0.3">
      <c r="A1737" s="64"/>
      <c r="B1737" s="8"/>
      <c r="C1737" s="7" t="s">
        <v>930</v>
      </c>
      <c r="D1737" s="16" t="s">
        <v>1072</v>
      </c>
      <c r="E1737" s="9">
        <v>556195.92000000004</v>
      </c>
      <c r="F1737" s="8">
        <v>556195.92000000004</v>
      </c>
      <c r="G1737" s="8"/>
      <c r="H1737" s="9">
        <f>+F1737+G1737</f>
        <v>556195.92000000004</v>
      </c>
      <c r="I1737" s="8"/>
      <c r="J1737" s="8"/>
      <c r="K1737" s="8"/>
      <c r="L1737" s="9"/>
      <c r="M1737" s="9">
        <f>+H1737+L1737</f>
        <v>556195.92000000004</v>
      </c>
      <c r="N1737" s="9">
        <v>0</v>
      </c>
      <c r="O1737" s="8"/>
      <c r="P1737" s="9">
        <f>+N1737+O1737</f>
        <v>0</v>
      </c>
      <c r="Q1737" s="8"/>
      <c r="R1737" s="8"/>
      <c r="S1737" s="8"/>
      <c r="T1737" s="9"/>
      <c r="U1737" s="9">
        <f>P1737+T1737</f>
        <v>0</v>
      </c>
      <c r="V1737" s="9">
        <f>P1737+H1737</f>
        <v>556195.92000000004</v>
      </c>
      <c r="W1737" s="9">
        <f>E1737-V1737</f>
        <v>0</v>
      </c>
      <c r="X1737" s="9">
        <f t="shared" si="923"/>
        <v>556195.92000000004</v>
      </c>
      <c r="Y1737" s="8"/>
      <c r="Z1737" s="9">
        <f t="shared" si="924"/>
        <v>0</v>
      </c>
      <c r="AA1737" s="8">
        <f t="shared" si="925"/>
        <v>556195.92000000004</v>
      </c>
      <c r="AB1737" s="8">
        <f t="shared" si="926"/>
        <v>0</v>
      </c>
    </row>
    <row r="1738" spans="1:28" x14ac:dyDescent="0.3">
      <c r="A1738" s="64"/>
      <c r="B1738" s="8"/>
      <c r="C1738" s="7" t="s">
        <v>57</v>
      </c>
      <c r="D1738" s="16" t="s">
        <v>61</v>
      </c>
      <c r="E1738" s="9">
        <f>639172+5487.04</f>
        <v>644659.04</v>
      </c>
      <c r="F1738" s="11">
        <v>639172</v>
      </c>
      <c r="G1738" s="8"/>
      <c r="H1738" s="9">
        <f t="shared" si="917"/>
        <v>639172</v>
      </c>
      <c r="I1738" s="8">
        <v>639172</v>
      </c>
      <c r="J1738" s="8"/>
      <c r="K1738" s="8"/>
      <c r="L1738" s="9"/>
      <c r="M1738" s="9">
        <f t="shared" si="918"/>
        <v>639172</v>
      </c>
      <c r="N1738" s="9">
        <v>0</v>
      </c>
      <c r="O1738" s="8"/>
      <c r="P1738" s="9">
        <f t="shared" si="919"/>
        <v>0</v>
      </c>
      <c r="Q1738" s="8">
        <v>5487.04</v>
      </c>
      <c r="R1738" s="8"/>
      <c r="S1738" s="8"/>
      <c r="T1738" s="9">
        <v>5487.04</v>
      </c>
      <c r="U1738" s="9">
        <f t="shared" si="920"/>
        <v>5487.04</v>
      </c>
      <c r="V1738" s="9">
        <f t="shared" si="921"/>
        <v>639172</v>
      </c>
      <c r="W1738" s="9">
        <f t="shared" si="922"/>
        <v>5487.0400000000373</v>
      </c>
      <c r="X1738" s="9">
        <f t="shared" si="923"/>
        <v>639172</v>
      </c>
      <c r="Y1738" s="8"/>
      <c r="Z1738" s="9">
        <f t="shared" si="924"/>
        <v>5487.0400000000373</v>
      </c>
      <c r="AA1738" s="8">
        <f t="shared" si="925"/>
        <v>644659.04</v>
      </c>
      <c r="AB1738" s="8">
        <f t="shared" si="926"/>
        <v>0</v>
      </c>
    </row>
    <row r="1739" spans="1:28" x14ac:dyDescent="0.3">
      <c r="A1739" s="64"/>
      <c r="B1739" s="8"/>
      <c r="C1739" s="8"/>
      <c r="D1739" s="8"/>
      <c r="E1739" s="17" t="s">
        <v>29</v>
      </c>
      <c r="F1739" s="17" t="s">
        <v>29</v>
      </c>
      <c r="G1739" s="17" t="s">
        <v>29</v>
      </c>
      <c r="H1739" s="17" t="s">
        <v>29</v>
      </c>
      <c r="I1739" s="17" t="s">
        <v>29</v>
      </c>
      <c r="J1739" s="17" t="s">
        <v>29</v>
      </c>
      <c r="K1739" s="17" t="s">
        <v>29</v>
      </c>
      <c r="L1739" s="17" t="s">
        <v>29</v>
      </c>
      <c r="M1739" s="17" t="s">
        <v>29</v>
      </c>
      <c r="N1739" s="17" t="s">
        <v>29</v>
      </c>
      <c r="O1739" s="17" t="s">
        <v>29</v>
      </c>
      <c r="P1739" s="17" t="s">
        <v>29</v>
      </c>
      <c r="Q1739" s="17" t="s">
        <v>29</v>
      </c>
      <c r="R1739" s="17" t="s">
        <v>29</v>
      </c>
      <c r="S1739" s="17" t="s">
        <v>29</v>
      </c>
      <c r="T1739" s="17" t="s">
        <v>29</v>
      </c>
      <c r="U1739" s="17" t="s">
        <v>29</v>
      </c>
      <c r="V1739" s="17" t="s">
        <v>29</v>
      </c>
      <c r="W1739" s="17" t="s">
        <v>29</v>
      </c>
      <c r="X1739" s="17" t="s">
        <v>29</v>
      </c>
      <c r="Y1739" s="17" t="s">
        <v>29</v>
      </c>
      <c r="Z1739" s="17" t="s">
        <v>29</v>
      </c>
      <c r="AA1739" s="17" t="s">
        <v>29</v>
      </c>
      <c r="AB1739" s="17" t="s">
        <v>29</v>
      </c>
    </row>
    <row r="1740" spans="1:28" x14ac:dyDescent="0.3">
      <c r="A1740" s="64"/>
      <c r="B1740" s="8"/>
      <c r="C1740" s="8"/>
      <c r="D1740" s="8"/>
      <c r="E1740" s="9">
        <f t="shared" ref="E1740:AB1740" si="927">SUM(E1726:E1738)</f>
        <v>10705708.800000001</v>
      </c>
      <c r="F1740" s="9">
        <f t="shared" si="927"/>
        <v>10129280.76</v>
      </c>
      <c r="G1740" s="9">
        <f t="shared" si="927"/>
        <v>0</v>
      </c>
      <c r="H1740" s="9">
        <f t="shared" si="927"/>
        <v>10129280.76</v>
      </c>
      <c r="I1740" s="9">
        <f t="shared" si="927"/>
        <v>639172</v>
      </c>
      <c r="J1740" s="9">
        <f t="shared" si="927"/>
        <v>0</v>
      </c>
      <c r="K1740" s="9">
        <f t="shared" si="927"/>
        <v>0</v>
      </c>
      <c r="L1740" s="9">
        <f t="shared" si="927"/>
        <v>0</v>
      </c>
      <c r="M1740" s="9">
        <f t="shared" si="927"/>
        <v>10129280.76</v>
      </c>
      <c r="N1740" s="9">
        <f t="shared" si="927"/>
        <v>570941</v>
      </c>
      <c r="O1740" s="9">
        <f t="shared" si="927"/>
        <v>0</v>
      </c>
      <c r="P1740" s="9">
        <f t="shared" si="927"/>
        <v>570941</v>
      </c>
      <c r="Q1740" s="9">
        <f t="shared" si="927"/>
        <v>5487.04</v>
      </c>
      <c r="R1740" s="9">
        <f t="shared" si="927"/>
        <v>0</v>
      </c>
      <c r="S1740" s="9">
        <f t="shared" si="927"/>
        <v>0</v>
      </c>
      <c r="T1740" s="9">
        <f t="shared" si="927"/>
        <v>5487.04</v>
      </c>
      <c r="U1740" s="9">
        <f t="shared" si="927"/>
        <v>576428.04</v>
      </c>
      <c r="V1740" s="9">
        <f t="shared" si="927"/>
        <v>10700221.76</v>
      </c>
      <c r="W1740" s="9">
        <f t="shared" si="927"/>
        <v>5487.0400000000373</v>
      </c>
      <c r="X1740" s="9">
        <f t="shared" si="927"/>
        <v>10700221.76</v>
      </c>
      <c r="Y1740" s="9">
        <f t="shared" si="927"/>
        <v>0</v>
      </c>
      <c r="Z1740" s="9">
        <f t="shared" si="927"/>
        <v>5487.0400000000373</v>
      </c>
      <c r="AA1740" s="9">
        <f t="shared" si="927"/>
        <v>10705708.800000001</v>
      </c>
      <c r="AB1740" s="9">
        <f t="shared" si="927"/>
        <v>0</v>
      </c>
    </row>
    <row r="1741" spans="1:28" x14ac:dyDescent="0.3">
      <c r="A1741" s="64"/>
      <c r="B1741" s="8"/>
      <c r="C1741" s="8"/>
      <c r="D1741" s="8"/>
      <c r="E1741" s="17" t="s">
        <v>29</v>
      </c>
      <c r="F1741" s="17" t="s">
        <v>29</v>
      </c>
      <c r="G1741" s="17" t="s">
        <v>29</v>
      </c>
      <c r="H1741" s="17" t="s">
        <v>29</v>
      </c>
      <c r="I1741" s="17" t="s">
        <v>29</v>
      </c>
      <c r="J1741" s="17" t="s">
        <v>29</v>
      </c>
      <c r="K1741" s="17" t="s">
        <v>29</v>
      </c>
      <c r="L1741" s="17" t="s">
        <v>29</v>
      </c>
      <c r="M1741" s="17" t="s">
        <v>29</v>
      </c>
      <c r="N1741" s="17" t="s">
        <v>29</v>
      </c>
      <c r="O1741" s="17" t="s">
        <v>29</v>
      </c>
      <c r="P1741" s="17" t="s">
        <v>29</v>
      </c>
      <c r="Q1741" s="17" t="s">
        <v>29</v>
      </c>
      <c r="R1741" s="17" t="s">
        <v>29</v>
      </c>
      <c r="S1741" s="17" t="s">
        <v>29</v>
      </c>
      <c r="T1741" s="17" t="s">
        <v>29</v>
      </c>
      <c r="U1741" s="17" t="s">
        <v>29</v>
      </c>
      <c r="V1741" s="17" t="s">
        <v>29</v>
      </c>
      <c r="W1741" s="17" t="s">
        <v>29</v>
      </c>
      <c r="X1741" s="17" t="s">
        <v>29</v>
      </c>
      <c r="Y1741" s="17" t="s">
        <v>29</v>
      </c>
      <c r="Z1741" s="17" t="s">
        <v>29</v>
      </c>
      <c r="AA1741" s="17" t="s">
        <v>29</v>
      </c>
      <c r="AB1741" s="17" t="s">
        <v>29</v>
      </c>
    </row>
    <row r="1742" spans="1:28" x14ac:dyDescent="0.3">
      <c r="A1742" s="64"/>
      <c r="B1742" s="8"/>
      <c r="C1742" s="7" t="s">
        <v>352</v>
      </c>
      <c r="D1742" s="8"/>
      <c r="E1742" s="9">
        <f t="shared" ref="E1742:AB1742" si="928">E1740+E1723+E1712+E1700+E1681+E1662+E1642+E1621+E1595+E1571</f>
        <v>323485682.87</v>
      </c>
      <c r="F1742" s="9">
        <f t="shared" si="928"/>
        <v>295040336.38800001</v>
      </c>
      <c r="G1742" s="9">
        <f t="shared" si="928"/>
        <v>2630000</v>
      </c>
      <c r="H1742" s="9">
        <f t="shared" si="928"/>
        <v>297670336.38800001</v>
      </c>
      <c r="I1742" s="9">
        <f t="shared" si="928"/>
        <v>5073186</v>
      </c>
      <c r="J1742" s="9">
        <f t="shared" si="928"/>
        <v>1379847</v>
      </c>
      <c r="K1742" s="9">
        <f t="shared" si="928"/>
        <v>0</v>
      </c>
      <c r="L1742" s="9">
        <f t="shared" si="928"/>
        <v>0</v>
      </c>
      <c r="M1742" s="9">
        <f t="shared" si="928"/>
        <v>297670336.38800001</v>
      </c>
      <c r="N1742" s="9">
        <f t="shared" si="928"/>
        <v>21549785.57</v>
      </c>
      <c r="O1742" s="9">
        <f t="shared" si="928"/>
        <v>0</v>
      </c>
      <c r="P1742" s="9">
        <f t="shared" si="928"/>
        <v>21549785.57</v>
      </c>
      <c r="Q1742" s="9">
        <f t="shared" si="928"/>
        <v>79082.100000000006</v>
      </c>
      <c r="R1742" s="9">
        <f t="shared" si="928"/>
        <v>0</v>
      </c>
      <c r="S1742" s="9">
        <f t="shared" si="928"/>
        <v>0</v>
      </c>
      <c r="T1742" s="9">
        <f t="shared" si="928"/>
        <v>55702.700000000004</v>
      </c>
      <c r="U1742" s="9">
        <f t="shared" si="928"/>
        <v>21605488.270000003</v>
      </c>
      <c r="V1742" s="9">
        <f t="shared" si="928"/>
        <v>317190121.958</v>
      </c>
      <c r="W1742" s="9">
        <f t="shared" si="928"/>
        <v>4265560.9120000005</v>
      </c>
      <c r="X1742" s="9">
        <f t="shared" si="928"/>
        <v>319220121.958</v>
      </c>
      <c r="Y1742" s="9">
        <f t="shared" si="928"/>
        <v>0</v>
      </c>
      <c r="Z1742" s="9">
        <f t="shared" si="928"/>
        <v>4265560.9120000005</v>
      </c>
      <c r="AA1742" s="9">
        <f t="shared" si="928"/>
        <v>319275824.65799999</v>
      </c>
      <c r="AB1742" s="9">
        <f t="shared" si="928"/>
        <v>4209858.2119999994</v>
      </c>
    </row>
    <row r="1743" spans="1:28" x14ac:dyDescent="0.3">
      <c r="A1743" s="64"/>
      <c r="B1743" s="8"/>
      <c r="C1743" s="8"/>
      <c r="D1743" s="8"/>
      <c r="E1743" s="17" t="s">
        <v>114</v>
      </c>
      <c r="F1743" s="17" t="s">
        <v>114</v>
      </c>
      <c r="G1743" s="17" t="s">
        <v>114</v>
      </c>
      <c r="H1743" s="17" t="s">
        <v>114</v>
      </c>
      <c r="I1743" s="17" t="s">
        <v>114</v>
      </c>
      <c r="J1743" s="17" t="s">
        <v>114</v>
      </c>
      <c r="K1743" s="17" t="s">
        <v>114</v>
      </c>
      <c r="L1743" s="17" t="s">
        <v>114</v>
      </c>
      <c r="M1743" s="17" t="s">
        <v>114</v>
      </c>
      <c r="N1743" s="17" t="s">
        <v>114</v>
      </c>
      <c r="O1743" s="17" t="s">
        <v>114</v>
      </c>
      <c r="P1743" s="17" t="s">
        <v>114</v>
      </c>
      <c r="Q1743" s="17" t="s">
        <v>114</v>
      </c>
      <c r="R1743" s="17" t="s">
        <v>114</v>
      </c>
      <c r="S1743" s="17" t="s">
        <v>114</v>
      </c>
      <c r="T1743" s="17" t="s">
        <v>114</v>
      </c>
      <c r="U1743" s="17" t="s">
        <v>114</v>
      </c>
      <c r="V1743" s="17" t="s">
        <v>114</v>
      </c>
      <c r="W1743" s="17" t="s">
        <v>114</v>
      </c>
      <c r="X1743" s="17" t="s">
        <v>114</v>
      </c>
      <c r="Y1743" s="17" t="s">
        <v>114</v>
      </c>
      <c r="Z1743" s="17" t="s">
        <v>114</v>
      </c>
      <c r="AA1743" s="17" t="s">
        <v>114</v>
      </c>
      <c r="AB1743" s="17" t="s">
        <v>114</v>
      </c>
    </row>
    <row r="1744" spans="1:28" x14ac:dyDescent="0.3">
      <c r="A1744" s="64"/>
      <c r="B1744" s="8"/>
      <c r="C1744" s="8"/>
      <c r="D1744" s="8"/>
      <c r="E1744" s="17"/>
      <c r="F1744" s="17"/>
      <c r="G1744" s="17"/>
      <c r="H1744" s="17"/>
      <c r="I1744" s="17"/>
      <c r="J1744" s="17"/>
      <c r="K1744" s="17"/>
      <c r="L1744" s="17"/>
      <c r="M1744" s="17"/>
      <c r="N1744" s="17"/>
      <c r="O1744" s="17"/>
      <c r="P1744" s="17"/>
      <c r="Q1744" s="17"/>
      <c r="R1744" s="17"/>
      <c r="S1744" s="17"/>
      <c r="T1744" s="17"/>
      <c r="U1744" s="17"/>
      <c r="V1744" s="17"/>
      <c r="W1744" s="17"/>
      <c r="X1744" s="17"/>
      <c r="Y1744" s="17"/>
      <c r="Z1744" s="17"/>
      <c r="AA1744" s="58"/>
    </row>
    <row r="1745" spans="1:28" x14ac:dyDescent="0.3">
      <c r="A1745" s="64"/>
      <c r="B1745" s="8"/>
      <c r="C1745" s="8"/>
      <c r="D1745" s="8"/>
      <c r="E1745" s="17"/>
      <c r="F1745" s="17"/>
      <c r="G1745" s="17"/>
      <c r="H1745" s="17"/>
      <c r="I1745" s="17"/>
      <c r="J1745" s="17"/>
      <c r="K1745" s="17"/>
      <c r="L1745" s="17"/>
      <c r="M1745" s="17"/>
      <c r="N1745" s="17"/>
      <c r="O1745" s="17"/>
      <c r="P1745" s="17"/>
      <c r="Q1745" s="17"/>
      <c r="R1745" s="17"/>
      <c r="S1745" s="17"/>
      <c r="T1745" s="17"/>
      <c r="U1745" s="17"/>
      <c r="V1745" s="17"/>
      <c r="W1745" s="17"/>
      <c r="X1745" s="17"/>
      <c r="Y1745" s="17"/>
      <c r="Z1745" s="17"/>
    </row>
    <row r="1746" spans="1:28" x14ac:dyDescent="0.3">
      <c r="A1746" s="64"/>
      <c r="B1746" s="7" t="s">
        <v>760</v>
      </c>
      <c r="C1746" s="8"/>
      <c r="D1746" s="8"/>
      <c r="E1746" s="8"/>
      <c r="F1746" s="8"/>
      <c r="G1746" s="8"/>
      <c r="H1746" s="8"/>
      <c r="I1746" s="8"/>
      <c r="J1746" s="8"/>
      <c r="K1746" s="8"/>
      <c r="L1746" s="8"/>
      <c r="M1746" s="8"/>
      <c r="N1746" s="8"/>
      <c r="O1746" s="8"/>
      <c r="P1746" s="8"/>
      <c r="Q1746" s="8"/>
      <c r="R1746" s="17"/>
      <c r="S1746" s="17"/>
      <c r="T1746" s="17"/>
      <c r="U1746" s="17"/>
      <c r="V1746" s="17"/>
      <c r="W1746" s="17"/>
      <c r="X1746" s="17"/>
      <c r="Y1746" s="17"/>
      <c r="Z1746" s="17"/>
    </row>
    <row r="1747" spans="1:28" x14ac:dyDescent="0.3">
      <c r="A1747" s="64"/>
      <c r="B1747" s="7"/>
      <c r="C1747" s="8"/>
      <c r="D1747" s="8"/>
      <c r="E1747" s="8"/>
      <c r="F1747" s="8"/>
      <c r="G1747" s="8"/>
      <c r="H1747" s="8"/>
      <c r="I1747" s="8"/>
      <c r="J1747" s="8"/>
      <c r="K1747" s="8"/>
      <c r="L1747" s="8"/>
      <c r="M1747" s="8"/>
      <c r="N1747" s="8"/>
      <c r="O1747" s="8"/>
      <c r="P1747" s="8"/>
      <c r="Q1747" s="8"/>
      <c r="R1747" s="17"/>
      <c r="S1747" s="17"/>
      <c r="T1747" s="17"/>
      <c r="U1747" s="17"/>
      <c r="V1747" s="17"/>
      <c r="W1747" s="17"/>
      <c r="X1747" s="17"/>
      <c r="Y1747" s="17"/>
      <c r="Z1747" s="17"/>
    </row>
    <row r="1748" spans="1:28" x14ac:dyDescent="0.3">
      <c r="A1748" s="63" t="s">
        <v>1012</v>
      </c>
      <c r="B1748" s="7" t="s">
        <v>761</v>
      </c>
      <c r="C1748" s="8"/>
      <c r="D1748" s="8"/>
      <c r="E1748" s="8"/>
      <c r="F1748" s="8"/>
      <c r="G1748" s="8"/>
      <c r="H1748" s="8"/>
      <c r="I1748" s="8"/>
      <c r="J1748" s="8"/>
      <c r="K1748" s="8"/>
      <c r="L1748" s="8"/>
      <c r="M1748" s="8"/>
      <c r="N1748" s="8"/>
      <c r="O1748" s="8"/>
      <c r="P1748" s="8"/>
      <c r="Q1748" s="8"/>
      <c r="R1748" s="17"/>
      <c r="S1748" s="17"/>
      <c r="T1748" s="17"/>
      <c r="U1748" s="17"/>
      <c r="V1748" s="17"/>
      <c r="W1748" s="17"/>
      <c r="X1748" s="17"/>
      <c r="Y1748" s="17"/>
      <c r="Z1748" s="17"/>
    </row>
    <row r="1749" spans="1:28" x14ac:dyDescent="0.3">
      <c r="A1749" s="64"/>
      <c r="B1749" s="8"/>
      <c r="C1749" s="7" t="s">
        <v>535</v>
      </c>
      <c r="D1749" s="15" t="s">
        <v>68</v>
      </c>
      <c r="E1749" s="9">
        <f>1212200-992929.39</f>
        <v>219270.61</v>
      </c>
      <c r="F1749" s="9">
        <v>103895</v>
      </c>
      <c r="G1749" s="8"/>
      <c r="H1749" s="9">
        <f t="shared" ref="H1749:H1760" si="929">F1749+G1749</f>
        <v>103895</v>
      </c>
      <c r="I1749" s="8"/>
      <c r="J1749" s="9">
        <f t="shared" ref="J1749:J1760" si="930">H1749+I1749</f>
        <v>103895</v>
      </c>
      <c r="K1749" s="9">
        <v>115375.61</v>
      </c>
      <c r="L1749" s="8"/>
      <c r="M1749" s="9">
        <f>+H1749+L1749</f>
        <v>103895</v>
      </c>
      <c r="N1749" s="8">
        <v>115375.61</v>
      </c>
      <c r="O1749" s="9"/>
      <c r="P1749" s="9">
        <f>+N1749+O1749</f>
        <v>115375.61</v>
      </c>
      <c r="Q1749" s="9">
        <f t="shared" ref="Q1749:Q1760" si="931">E1749-P1749</f>
        <v>103894.99999999999</v>
      </c>
      <c r="R1749" s="17"/>
      <c r="S1749" s="17"/>
      <c r="T1749" s="17"/>
      <c r="U1749" s="18">
        <f>+P1749+T1749</f>
        <v>115375.61</v>
      </c>
      <c r="V1749" s="17"/>
      <c r="W1749" s="17"/>
      <c r="X1749" s="9">
        <f t="shared" ref="X1749:X1760" si="932">+H1749+P1749</f>
        <v>219270.61</v>
      </c>
      <c r="Y1749" s="8"/>
      <c r="Z1749" s="9">
        <f t="shared" ref="Z1749:Z1760" si="933">+E1749-X1749</f>
        <v>0</v>
      </c>
      <c r="AA1749" s="8">
        <f t="shared" ref="AA1749:AA1760" si="934">+M1749+U1749</f>
        <v>219270.61</v>
      </c>
      <c r="AB1749" s="8">
        <f t="shared" ref="AB1749:AB1760" si="935">+E1749-AA1749</f>
        <v>0</v>
      </c>
    </row>
    <row r="1750" spans="1:28" x14ac:dyDescent="0.3">
      <c r="A1750" s="64"/>
      <c r="B1750" s="8"/>
      <c r="C1750" s="7" t="s">
        <v>539</v>
      </c>
      <c r="D1750" s="15" t="s">
        <v>68</v>
      </c>
      <c r="E1750" s="9">
        <f>591800.4+167820.96</f>
        <v>759621.36</v>
      </c>
      <c r="F1750" s="8"/>
      <c r="G1750" s="8"/>
      <c r="H1750" s="9">
        <f t="shared" si="929"/>
        <v>0</v>
      </c>
      <c r="I1750" s="8"/>
      <c r="J1750" s="9">
        <f t="shared" si="930"/>
        <v>0</v>
      </c>
      <c r="K1750" s="9">
        <f>591800.4+167820.96</f>
        <v>759621.36</v>
      </c>
      <c r="L1750" s="8"/>
      <c r="M1750" s="9">
        <f t="shared" ref="M1750:M1760" si="936">+H1750+L1750</f>
        <v>0</v>
      </c>
      <c r="N1750" s="8">
        <v>759621.36</v>
      </c>
      <c r="O1750" s="9"/>
      <c r="P1750" s="9">
        <f t="shared" ref="P1750:P1760" si="937">+N1750+O1750</f>
        <v>759621.36</v>
      </c>
      <c r="Q1750" s="9">
        <f t="shared" si="931"/>
        <v>0</v>
      </c>
      <c r="R1750" s="17"/>
      <c r="S1750" s="17"/>
      <c r="T1750" s="17"/>
      <c r="U1750" s="18">
        <f t="shared" ref="U1750:U1760" si="938">+P1750+T1750</f>
        <v>759621.36</v>
      </c>
      <c r="V1750" s="17"/>
      <c r="W1750" s="17"/>
      <c r="X1750" s="9">
        <f t="shared" si="932"/>
        <v>759621.36</v>
      </c>
      <c r="Y1750" s="8"/>
      <c r="Z1750" s="9">
        <f t="shared" si="933"/>
        <v>0</v>
      </c>
      <c r="AA1750" s="8">
        <f t="shared" si="934"/>
        <v>759621.36</v>
      </c>
      <c r="AB1750" s="8">
        <f t="shared" si="935"/>
        <v>0</v>
      </c>
    </row>
    <row r="1751" spans="1:28" x14ac:dyDescent="0.3">
      <c r="A1751" s="64"/>
      <c r="B1751" s="8"/>
      <c r="C1751" s="7" t="s">
        <v>535</v>
      </c>
      <c r="D1751" s="15" t="s">
        <v>54</v>
      </c>
      <c r="E1751" s="9">
        <f>1747000-87350-820821</f>
        <v>838829</v>
      </c>
      <c r="F1751" s="9">
        <v>838829</v>
      </c>
      <c r="G1751" s="8"/>
      <c r="H1751" s="9">
        <f t="shared" si="929"/>
        <v>838829</v>
      </c>
      <c r="I1751" s="8"/>
      <c r="J1751" s="9">
        <f t="shared" si="930"/>
        <v>838829</v>
      </c>
      <c r="K1751" s="8"/>
      <c r="L1751" s="8"/>
      <c r="M1751" s="9">
        <f t="shared" si="936"/>
        <v>838829</v>
      </c>
      <c r="N1751" s="8"/>
      <c r="O1751" s="9"/>
      <c r="P1751" s="9">
        <f t="shared" si="937"/>
        <v>0</v>
      </c>
      <c r="Q1751" s="9">
        <f t="shared" si="931"/>
        <v>838829</v>
      </c>
      <c r="R1751" s="17"/>
      <c r="S1751" s="17"/>
      <c r="T1751" s="17"/>
      <c r="U1751" s="18">
        <f t="shared" si="938"/>
        <v>0</v>
      </c>
      <c r="V1751" s="17"/>
      <c r="W1751" s="17"/>
      <c r="X1751" s="9">
        <f t="shared" si="932"/>
        <v>838829</v>
      </c>
      <c r="Y1751" s="8"/>
      <c r="Z1751" s="9">
        <f t="shared" si="933"/>
        <v>0</v>
      </c>
      <c r="AA1751" s="8">
        <f t="shared" si="934"/>
        <v>838829</v>
      </c>
      <c r="AB1751" s="8">
        <f t="shared" si="935"/>
        <v>0</v>
      </c>
    </row>
    <row r="1752" spans="1:28" x14ac:dyDescent="0.3">
      <c r="A1752" s="64"/>
      <c r="B1752" s="8"/>
      <c r="C1752" s="7" t="s">
        <v>545</v>
      </c>
      <c r="D1752" s="15" t="s">
        <v>54</v>
      </c>
      <c r="E1752" s="9">
        <v>1953989</v>
      </c>
      <c r="F1752" s="8"/>
      <c r="G1752" s="8"/>
      <c r="H1752" s="9">
        <f t="shared" si="929"/>
        <v>0</v>
      </c>
      <c r="I1752" s="8"/>
      <c r="J1752" s="9">
        <f t="shared" si="930"/>
        <v>0</v>
      </c>
      <c r="K1752" s="9">
        <v>1953989</v>
      </c>
      <c r="L1752" s="8"/>
      <c r="M1752" s="9">
        <f t="shared" si="936"/>
        <v>0</v>
      </c>
      <c r="N1752" s="8">
        <v>1953989</v>
      </c>
      <c r="O1752" s="9"/>
      <c r="P1752" s="9">
        <f t="shared" si="937"/>
        <v>1953989</v>
      </c>
      <c r="Q1752" s="9">
        <f t="shared" si="931"/>
        <v>0</v>
      </c>
      <c r="R1752" s="17"/>
      <c r="S1752" s="17"/>
      <c r="T1752" s="17"/>
      <c r="U1752" s="18">
        <f t="shared" si="938"/>
        <v>1953989</v>
      </c>
      <c r="V1752" s="17"/>
      <c r="W1752" s="17"/>
      <c r="X1752" s="9">
        <f t="shared" si="932"/>
        <v>1953989</v>
      </c>
      <c r="Y1752" s="8"/>
      <c r="Z1752" s="9">
        <f t="shared" si="933"/>
        <v>0</v>
      </c>
      <c r="AA1752" s="8">
        <f t="shared" si="934"/>
        <v>1953989</v>
      </c>
      <c r="AB1752" s="8">
        <f t="shared" si="935"/>
        <v>0</v>
      </c>
    </row>
    <row r="1753" spans="1:28" x14ac:dyDescent="0.3">
      <c r="A1753" s="64"/>
      <c r="B1753" s="8"/>
      <c r="C1753" s="7" t="s">
        <v>535</v>
      </c>
      <c r="D1753" s="15" t="s">
        <v>85</v>
      </c>
      <c r="E1753" s="9">
        <v>2540389</v>
      </c>
      <c r="F1753" s="9">
        <v>2540389</v>
      </c>
      <c r="G1753" s="8"/>
      <c r="H1753" s="9">
        <f t="shared" si="929"/>
        <v>2540389</v>
      </c>
      <c r="I1753" s="8"/>
      <c r="J1753" s="9">
        <f t="shared" si="930"/>
        <v>2540389</v>
      </c>
      <c r="K1753" s="8"/>
      <c r="L1753" s="8"/>
      <c r="M1753" s="9">
        <f t="shared" si="936"/>
        <v>2540389</v>
      </c>
      <c r="N1753" s="8"/>
      <c r="O1753" s="9"/>
      <c r="P1753" s="9">
        <f t="shared" si="937"/>
        <v>0</v>
      </c>
      <c r="Q1753" s="9">
        <f t="shared" si="931"/>
        <v>2540389</v>
      </c>
      <c r="R1753" s="17"/>
      <c r="S1753" s="17"/>
      <c r="T1753" s="17"/>
      <c r="U1753" s="18">
        <f t="shared" si="938"/>
        <v>0</v>
      </c>
      <c r="V1753" s="17"/>
      <c r="W1753" s="17"/>
      <c r="X1753" s="9">
        <f t="shared" si="932"/>
        <v>2540389</v>
      </c>
      <c r="Y1753" s="8"/>
      <c r="Z1753" s="9">
        <f t="shared" si="933"/>
        <v>0</v>
      </c>
      <c r="AA1753" s="8">
        <f t="shared" si="934"/>
        <v>2540389</v>
      </c>
      <c r="AB1753" s="8">
        <f t="shared" si="935"/>
        <v>0</v>
      </c>
    </row>
    <row r="1754" spans="1:28" x14ac:dyDescent="0.3">
      <c r="A1754" s="64"/>
      <c r="B1754" s="8"/>
      <c r="C1754" s="7" t="s">
        <v>535</v>
      </c>
      <c r="D1754" s="15" t="s">
        <v>128</v>
      </c>
      <c r="E1754" s="9">
        <v>1200000</v>
      </c>
      <c r="F1754" s="9">
        <v>1200000</v>
      </c>
      <c r="G1754" s="8"/>
      <c r="H1754" s="9">
        <f t="shared" si="929"/>
        <v>1200000</v>
      </c>
      <c r="I1754" s="8"/>
      <c r="J1754" s="9">
        <f t="shared" si="930"/>
        <v>1200000</v>
      </c>
      <c r="K1754" s="8"/>
      <c r="L1754" s="8"/>
      <c r="M1754" s="9">
        <f t="shared" si="936"/>
        <v>1200000</v>
      </c>
      <c r="N1754" s="8"/>
      <c r="O1754" s="9"/>
      <c r="P1754" s="9">
        <f t="shared" si="937"/>
        <v>0</v>
      </c>
      <c r="Q1754" s="9">
        <f t="shared" si="931"/>
        <v>1200000</v>
      </c>
      <c r="R1754" s="17"/>
      <c r="S1754" s="17"/>
      <c r="T1754" s="17"/>
      <c r="U1754" s="18">
        <f t="shared" si="938"/>
        <v>0</v>
      </c>
      <c r="V1754" s="17"/>
      <c r="W1754" s="17"/>
      <c r="X1754" s="9">
        <f t="shared" si="932"/>
        <v>1200000</v>
      </c>
      <c r="Y1754" s="8"/>
      <c r="Z1754" s="9">
        <f t="shared" si="933"/>
        <v>0</v>
      </c>
      <c r="AA1754" s="8">
        <f t="shared" si="934"/>
        <v>1200000</v>
      </c>
      <c r="AB1754" s="8">
        <f t="shared" si="935"/>
        <v>0</v>
      </c>
    </row>
    <row r="1755" spans="1:28" x14ac:dyDescent="0.3">
      <c r="A1755" s="64"/>
      <c r="B1755" s="8"/>
      <c r="C1755" s="7" t="s">
        <v>535</v>
      </c>
      <c r="D1755" s="15" t="s">
        <v>60</v>
      </c>
      <c r="E1755" s="9">
        <f>2123694+210372</f>
        <v>2334066</v>
      </c>
      <c r="F1755" s="9">
        <f>2123694+210372</f>
        <v>2334066</v>
      </c>
      <c r="G1755" s="9"/>
      <c r="H1755" s="9">
        <f t="shared" si="929"/>
        <v>2334066</v>
      </c>
      <c r="I1755" s="9"/>
      <c r="J1755" s="9">
        <f t="shared" si="930"/>
        <v>2334066</v>
      </c>
      <c r="K1755" s="8"/>
      <c r="L1755" s="8"/>
      <c r="M1755" s="9">
        <f t="shared" si="936"/>
        <v>2334066</v>
      </c>
      <c r="N1755" s="8"/>
      <c r="O1755" s="9"/>
      <c r="P1755" s="9">
        <f t="shared" si="937"/>
        <v>0</v>
      </c>
      <c r="Q1755" s="9">
        <f t="shared" si="931"/>
        <v>2334066</v>
      </c>
      <c r="R1755" s="17"/>
      <c r="S1755" s="17"/>
      <c r="T1755" s="17"/>
      <c r="U1755" s="18">
        <f t="shared" si="938"/>
        <v>0</v>
      </c>
      <c r="V1755" s="17"/>
      <c r="W1755" s="17"/>
      <c r="X1755" s="9">
        <f t="shared" si="932"/>
        <v>2334066</v>
      </c>
      <c r="Y1755" s="8"/>
      <c r="Z1755" s="9">
        <f t="shared" si="933"/>
        <v>0</v>
      </c>
      <c r="AA1755" s="8">
        <f t="shared" si="934"/>
        <v>2334066</v>
      </c>
      <c r="AB1755" s="8">
        <f t="shared" si="935"/>
        <v>0</v>
      </c>
    </row>
    <row r="1756" spans="1:28" x14ac:dyDescent="0.3">
      <c r="A1756" s="64"/>
      <c r="B1756" s="8"/>
      <c r="C1756" s="14" t="s">
        <v>535</v>
      </c>
      <c r="D1756" s="21" t="s">
        <v>73</v>
      </c>
      <c r="E1756" s="11">
        <f>1257775.24+321240</f>
        <v>1579015.24</v>
      </c>
      <c r="F1756" s="11">
        <f>1257775.24+321240</f>
        <v>1579015.24</v>
      </c>
      <c r="G1756" s="8"/>
      <c r="H1756" s="9">
        <f t="shared" si="929"/>
        <v>1579015.24</v>
      </c>
      <c r="I1756" s="8"/>
      <c r="J1756" s="9">
        <f t="shared" si="930"/>
        <v>1579015.24</v>
      </c>
      <c r="K1756" s="8"/>
      <c r="L1756" s="8"/>
      <c r="M1756" s="9">
        <f t="shared" si="936"/>
        <v>1579015.24</v>
      </c>
      <c r="N1756" s="8"/>
      <c r="O1756" s="9"/>
      <c r="P1756" s="9">
        <f t="shared" si="937"/>
        <v>0</v>
      </c>
      <c r="Q1756" s="9">
        <f t="shared" si="931"/>
        <v>1579015.24</v>
      </c>
      <c r="R1756" s="17"/>
      <c r="S1756" s="17"/>
      <c r="T1756" s="17"/>
      <c r="U1756" s="18">
        <f t="shared" si="938"/>
        <v>0</v>
      </c>
      <c r="V1756" s="17"/>
      <c r="W1756" s="17"/>
      <c r="X1756" s="9">
        <f t="shared" si="932"/>
        <v>1579015.24</v>
      </c>
      <c r="Y1756" s="8"/>
      <c r="Z1756" s="9">
        <f t="shared" si="933"/>
        <v>0</v>
      </c>
      <c r="AA1756" s="8">
        <f t="shared" si="934"/>
        <v>1579015.24</v>
      </c>
      <c r="AB1756" s="8">
        <f t="shared" si="935"/>
        <v>0</v>
      </c>
    </row>
    <row r="1757" spans="1:28" x14ac:dyDescent="0.3">
      <c r="A1757" s="64"/>
      <c r="B1757" s="14" t="s">
        <v>762</v>
      </c>
      <c r="C1757" s="14" t="s">
        <v>535</v>
      </c>
      <c r="D1757" s="21" t="s">
        <v>61</v>
      </c>
      <c r="E1757" s="11">
        <v>1357218</v>
      </c>
      <c r="F1757" s="11">
        <v>1357218</v>
      </c>
      <c r="G1757" s="8"/>
      <c r="H1757" s="9">
        <f t="shared" si="929"/>
        <v>1357218</v>
      </c>
      <c r="I1757" s="8"/>
      <c r="J1757" s="9">
        <f t="shared" si="930"/>
        <v>1357218</v>
      </c>
      <c r="K1757" s="8"/>
      <c r="L1757" s="8"/>
      <c r="M1757" s="9">
        <f t="shared" si="936"/>
        <v>1357218</v>
      </c>
      <c r="N1757" s="8"/>
      <c r="O1757" s="9"/>
      <c r="P1757" s="9">
        <f t="shared" si="937"/>
        <v>0</v>
      </c>
      <c r="Q1757" s="9">
        <f t="shared" si="931"/>
        <v>1357218</v>
      </c>
      <c r="R1757" s="17"/>
      <c r="S1757" s="17"/>
      <c r="T1757" s="17"/>
      <c r="U1757" s="18">
        <f t="shared" si="938"/>
        <v>0</v>
      </c>
      <c r="V1757" s="17"/>
      <c r="W1757" s="17"/>
      <c r="X1757" s="9">
        <f t="shared" si="932"/>
        <v>1357218</v>
      </c>
      <c r="Y1757" s="8"/>
      <c r="Z1757" s="9">
        <f t="shared" si="933"/>
        <v>0</v>
      </c>
      <c r="AA1757" s="8">
        <f t="shared" si="934"/>
        <v>1357218</v>
      </c>
      <c r="AB1757" s="8">
        <f t="shared" si="935"/>
        <v>0</v>
      </c>
    </row>
    <row r="1758" spans="1:28" x14ac:dyDescent="0.3">
      <c r="A1758" s="64"/>
      <c r="B1758" s="14"/>
      <c r="C1758" s="14" t="s">
        <v>1120</v>
      </c>
      <c r="D1758" s="24" t="s">
        <v>1072</v>
      </c>
      <c r="E1758" s="11">
        <v>70000</v>
      </c>
      <c r="F1758" s="11">
        <v>70000</v>
      </c>
      <c r="G1758" s="8"/>
      <c r="H1758" s="9">
        <f>+F1758+G1758</f>
        <v>70000</v>
      </c>
      <c r="I1758" s="8"/>
      <c r="J1758" s="9">
        <f t="shared" si="930"/>
        <v>70000</v>
      </c>
      <c r="K1758" s="8"/>
      <c r="L1758" s="8"/>
      <c r="M1758" s="9">
        <f t="shared" si="936"/>
        <v>70000</v>
      </c>
      <c r="N1758" s="8"/>
      <c r="O1758" s="9"/>
      <c r="P1758" s="9">
        <f>+N1758+O1758</f>
        <v>0</v>
      </c>
      <c r="Q1758" s="9">
        <f t="shared" si="931"/>
        <v>70000</v>
      </c>
      <c r="R1758" s="17"/>
      <c r="S1758" s="17"/>
      <c r="T1758" s="17"/>
      <c r="U1758" s="18">
        <f t="shared" si="938"/>
        <v>0</v>
      </c>
      <c r="V1758" s="17"/>
      <c r="W1758" s="17"/>
      <c r="X1758" s="9">
        <f t="shared" si="932"/>
        <v>70000</v>
      </c>
      <c r="Y1758" s="8"/>
      <c r="Z1758" s="9">
        <f t="shared" si="933"/>
        <v>0</v>
      </c>
      <c r="AA1758" s="8">
        <f t="shared" si="934"/>
        <v>70000</v>
      </c>
      <c r="AB1758" s="8">
        <f t="shared" si="935"/>
        <v>0</v>
      </c>
    </row>
    <row r="1759" spans="1:28" x14ac:dyDescent="0.3">
      <c r="A1759" s="64"/>
      <c r="B1759" s="14"/>
      <c r="C1759" s="14" t="s">
        <v>933</v>
      </c>
      <c r="D1759" s="24" t="s">
        <v>1072</v>
      </c>
      <c r="E1759" s="11">
        <v>1139000</v>
      </c>
      <c r="F1759" s="11">
        <v>1139000</v>
      </c>
      <c r="G1759" s="8"/>
      <c r="H1759" s="9">
        <f>+F1759+G1759</f>
        <v>1139000</v>
      </c>
      <c r="I1759" s="8"/>
      <c r="J1759" s="9">
        <f t="shared" si="930"/>
        <v>1139000</v>
      </c>
      <c r="K1759" s="8"/>
      <c r="L1759" s="8"/>
      <c r="M1759" s="9">
        <f t="shared" si="936"/>
        <v>1139000</v>
      </c>
      <c r="N1759" s="8"/>
      <c r="O1759" s="9"/>
      <c r="P1759" s="9">
        <v>0</v>
      </c>
      <c r="Q1759" s="9"/>
      <c r="R1759" s="17"/>
      <c r="S1759" s="17"/>
      <c r="T1759" s="17"/>
      <c r="U1759" s="18">
        <f>+P1759+T1759</f>
        <v>0</v>
      </c>
      <c r="V1759" s="17"/>
      <c r="W1759" s="17"/>
      <c r="X1759" s="9">
        <f t="shared" si="932"/>
        <v>1139000</v>
      </c>
      <c r="Y1759" s="8"/>
      <c r="Z1759" s="9">
        <f t="shared" si="933"/>
        <v>0</v>
      </c>
      <c r="AA1759" s="8">
        <f t="shared" si="934"/>
        <v>1139000</v>
      </c>
      <c r="AB1759" s="8">
        <f t="shared" si="935"/>
        <v>0</v>
      </c>
    </row>
    <row r="1760" spans="1:28" x14ac:dyDescent="0.3">
      <c r="A1760" s="64"/>
      <c r="B1760" s="8"/>
      <c r="C1760" s="7" t="s">
        <v>592</v>
      </c>
      <c r="D1760" s="8"/>
      <c r="E1760" s="9">
        <v>373183.35</v>
      </c>
      <c r="F1760" s="9">
        <v>373183.35</v>
      </c>
      <c r="G1760" s="8"/>
      <c r="H1760" s="9">
        <f t="shared" si="929"/>
        <v>373183.35</v>
      </c>
      <c r="I1760" s="8"/>
      <c r="J1760" s="9">
        <f t="shared" si="930"/>
        <v>373183.35</v>
      </c>
      <c r="K1760" s="8"/>
      <c r="L1760" s="8"/>
      <c r="M1760" s="9">
        <f t="shared" si="936"/>
        <v>373183.35</v>
      </c>
      <c r="N1760" s="8"/>
      <c r="O1760" s="9"/>
      <c r="P1760" s="9">
        <f t="shared" si="937"/>
        <v>0</v>
      </c>
      <c r="Q1760" s="9">
        <f t="shared" si="931"/>
        <v>373183.35</v>
      </c>
      <c r="R1760" s="17"/>
      <c r="S1760" s="17"/>
      <c r="T1760" s="17"/>
      <c r="U1760" s="18">
        <f t="shared" si="938"/>
        <v>0</v>
      </c>
      <c r="V1760" s="17"/>
      <c r="W1760" s="17"/>
      <c r="X1760" s="9">
        <f t="shared" si="932"/>
        <v>373183.35</v>
      </c>
      <c r="Y1760" s="8"/>
      <c r="Z1760" s="9">
        <f t="shared" si="933"/>
        <v>0</v>
      </c>
      <c r="AA1760" s="8">
        <f t="shared" si="934"/>
        <v>373183.35</v>
      </c>
      <c r="AB1760" s="8">
        <f t="shared" si="935"/>
        <v>0</v>
      </c>
    </row>
    <row r="1761" spans="1:29" x14ac:dyDescent="0.3">
      <c r="A1761" s="64"/>
      <c r="B1761" s="8"/>
      <c r="C1761" s="8"/>
      <c r="D1761" s="8"/>
      <c r="E1761" s="17" t="s">
        <v>29</v>
      </c>
      <c r="F1761" s="17" t="s">
        <v>29</v>
      </c>
      <c r="G1761" s="17" t="s">
        <v>29</v>
      </c>
      <c r="H1761" s="17" t="s">
        <v>29</v>
      </c>
      <c r="I1761" s="17" t="s">
        <v>29</v>
      </c>
      <c r="J1761" s="17" t="s">
        <v>29</v>
      </c>
      <c r="K1761" s="17" t="s">
        <v>29</v>
      </c>
      <c r="L1761" s="17" t="s">
        <v>29</v>
      </c>
      <c r="M1761" s="17" t="s">
        <v>29</v>
      </c>
      <c r="N1761" s="17" t="s">
        <v>29</v>
      </c>
      <c r="O1761" s="17" t="s">
        <v>29</v>
      </c>
      <c r="P1761" s="17" t="s">
        <v>29</v>
      </c>
      <c r="Q1761" s="17" t="s">
        <v>29</v>
      </c>
      <c r="R1761" s="17"/>
      <c r="S1761" s="17"/>
      <c r="T1761" s="17"/>
      <c r="U1761" s="17" t="s">
        <v>29</v>
      </c>
      <c r="V1761" s="17" t="s">
        <v>29</v>
      </c>
      <c r="W1761" s="17" t="s">
        <v>29</v>
      </c>
      <c r="X1761" s="17"/>
      <c r="Y1761" s="17" t="s">
        <v>29</v>
      </c>
      <c r="Z1761" s="17"/>
      <c r="AA1761" s="17"/>
      <c r="AB1761" s="17"/>
      <c r="AC1761" s="17"/>
    </row>
    <row r="1762" spans="1:29" x14ac:dyDescent="0.3">
      <c r="A1762" s="64"/>
      <c r="B1762" s="8"/>
      <c r="C1762" s="8"/>
      <c r="D1762" s="8"/>
      <c r="E1762" s="9">
        <f t="shared" ref="E1762:Q1762" si="939">SUM(E1749:E1761)</f>
        <v>14364581.559999999</v>
      </c>
      <c r="F1762" s="9">
        <f t="shared" si="939"/>
        <v>11535595.59</v>
      </c>
      <c r="G1762" s="9">
        <f t="shared" si="939"/>
        <v>0</v>
      </c>
      <c r="H1762" s="9">
        <f t="shared" si="939"/>
        <v>11535595.59</v>
      </c>
      <c r="I1762" s="9">
        <f t="shared" si="939"/>
        <v>0</v>
      </c>
      <c r="J1762" s="9">
        <f t="shared" si="939"/>
        <v>11535595.59</v>
      </c>
      <c r="K1762" s="9">
        <f t="shared" si="939"/>
        <v>2828985.9699999997</v>
      </c>
      <c r="L1762" s="9">
        <f t="shared" si="939"/>
        <v>0</v>
      </c>
      <c r="M1762" s="9">
        <f t="shared" si="939"/>
        <v>11535595.59</v>
      </c>
      <c r="N1762" s="9">
        <f t="shared" si="939"/>
        <v>2828985.9699999997</v>
      </c>
      <c r="O1762" s="9">
        <f t="shared" si="939"/>
        <v>0</v>
      </c>
      <c r="P1762" s="9">
        <f t="shared" si="939"/>
        <v>2828985.9699999997</v>
      </c>
      <c r="Q1762" s="9">
        <f t="shared" si="939"/>
        <v>10396595.59</v>
      </c>
      <c r="R1762" s="17"/>
      <c r="S1762" s="17"/>
      <c r="T1762" s="9">
        <f>SUM(T1749:T1761)</f>
        <v>0</v>
      </c>
      <c r="U1762" s="9">
        <f>SUM(U1749:U1761)</f>
        <v>2828985.9699999997</v>
      </c>
      <c r="V1762" s="9">
        <f>SUM(V1749:V1761)</f>
        <v>0</v>
      </c>
      <c r="W1762" s="9">
        <f>SUM(W1749:W1761)</f>
        <v>0</v>
      </c>
      <c r="X1762" s="9">
        <f>+H1762+P1762</f>
        <v>14364581.559999999</v>
      </c>
      <c r="Y1762" s="8"/>
      <c r="Z1762" s="9">
        <f>+E1762-X1762</f>
        <v>0</v>
      </c>
      <c r="AA1762" s="9">
        <f>SUM(AA1749:AA1760)</f>
        <v>14364581.559999999</v>
      </c>
      <c r="AB1762" s="9">
        <f>+G1762-Z1762</f>
        <v>0</v>
      </c>
    </row>
    <row r="1763" spans="1:29" x14ac:dyDescent="0.3">
      <c r="A1763" s="64"/>
      <c r="B1763" s="8"/>
      <c r="C1763" s="8"/>
      <c r="D1763" s="8"/>
      <c r="E1763" s="17" t="s">
        <v>29</v>
      </c>
      <c r="F1763" s="17" t="s">
        <v>29</v>
      </c>
      <c r="G1763" s="17" t="s">
        <v>29</v>
      </c>
      <c r="H1763" s="17" t="s">
        <v>29</v>
      </c>
      <c r="I1763" s="17" t="s">
        <v>29</v>
      </c>
      <c r="J1763" s="17" t="s">
        <v>29</v>
      </c>
      <c r="K1763" s="17" t="s">
        <v>29</v>
      </c>
      <c r="L1763" s="17" t="s">
        <v>29</v>
      </c>
      <c r="M1763" s="17" t="s">
        <v>29</v>
      </c>
      <c r="N1763" s="17" t="s">
        <v>29</v>
      </c>
      <c r="O1763" s="17" t="s">
        <v>29</v>
      </c>
      <c r="P1763" s="17" t="s">
        <v>29</v>
      </c>
      <c r="Q1763" s="17" t="s">
        <v>29</v>
      </c>
      <c r="R1763" s="17"/>
      <c r="S1763" s="17"/>
      <c r="T1763" s="17"/>
      <c r="U1763" s="17" t="s">
        <v>29</v>
      </c>
      <c r="V1763" s="17" t="s">
        <v>29</v>
      </c>
      <c r="W1763" s="17" t="s">
        <v>29</v>
      </c>
      <c r="X1763" s="17" t="s">
        <v>29</v>
      </c>
      <c r="Y1763" s="17" t="s">
        <v>29</v>
      </c>
      <c r="Z1763" s="17"/>
      <c r="AA1763" s="17" t="s">
        <v>29</v>
      </c>
      <c r="AB1763" s="17" t="s">
        <v>29</v>
      </c>
      <c r="AC1763" s="17"/>
    </row>
    <row r="1764" spans="1:29" x14ac:dyDescent="0.3">
      <c r="A1764" s="63" t="s">
        <v>1013</v>
      </c>
      <c r="B1764" s="7" t="s">
        <v>763</v>
      </c>
      <c r="C1764" s="8"/>
      <c r="D1764" s="8"/>
      <c r="E1764" s="8"/>
      <c r="F1764" s="8"/>
      <c r="G1764" s="8"/>
      <c r="H1764" s="8"/>
      <c r="I1764" s="8"/>
      <c r="J1764" s="8"/>
      <c r="K1764" s="8"/>
      <c r="L1764" s="8"/>
      <c r="M1764" s="8"/>
      <c r="N1764" s="8"/>
      <c r="O1764" s="8"/>
      <c r="P1764" s="8"/>
      <c r="Q1764" s="8"/>
      <c r="R1764" s="17"/>
      <c r="S1764" s="17"/>
      <c r="T1764" s="17"/>
      <c r="U1764" s="17"/>
      <c r="V1764" s="17"/>
      <c r="W1764" s="17"/>
      <c r="X1764" s="17"/>
      <c r="Y1764" s="17"/>
      <c r="Z1764" s="60"/>
      <c r="AA1764" s="58"/>
    </row>
    <row r="1765" spans="1:29" x14ac:dyDescent="0.3">
      <c r="A1765" s="64"/>
      <c r="B1765" s="8"/>
      <c r="C1765" s="7" t="s">
        <v>535</v>
      </c>
      <c r="D1765" s="15" t="s">
        <v>68</v>
      </c>
      <c r="E1765" s="9">
        <f>1612150-456764.59</f>
        <v>1155385.4099999999</v>
      </c>
      <c r="F1765" s="9">
        <v>542544</v>
      </c>
      <c r="G1765" s="8"/>
      <c r="H1765" s="9">
        <f>F1765+G1765</f>
        <v>542544</v>
      </c>
      <c r="I1765" s="8"/>
      <c r="J1765" s="9">
        <f>H1765+I1765</f>
        <v>542544</v>
      </c>
      <c r="K1765" s="9">
        <v>612841.41</v>
      </c>
      <c r="L1765" s="8"/>
      <c r="M1765" s="9">
        <f>+H1765+L1765</f>
        <v>542544</v>
      </c>
      <c r="N1765" s="8">
        <v>612841.41</v>
      </c>
      <c r="O1765" s="9"/>
      <c r="P1765" s="9">
        <f>+N1765+O1765</f>
        <v>612841.41</v>
      </c>
      <c r="Q1765" s="9">
        <f>E1765-P1765</f>
        <v>542543.99999999988</v>
      </c>
      <c r="R1765" s="17"/>
      <c r="S1765" s="17"/>
      <c r="T1765" s="17"/>
      <c r="U1765" s="18">
        <f>+P1765+T1765</f>
        <v>612841.41</v>
      </c>
      <c r="V1765" s="17"/>
      <c r="W1765" s="17"/>
      <c r="X1765" s="9">
        <f>+H1765+P1765</f>
        <v>1155385.4100000001</v>
      </c>
      <c r="Y1765" s="8"/>
      <c r="Z1765" s="9">
        <f>+E1765-X1765</f>
        <v>0</v>
      </c>
      <c r="AA1765" s="8">
        <f>+M1765+U1765</f>
        <v>1155385.4100000001</v>
      </c>
      <c r="AB1765" s="8">
        <f>+E1765-AA1765</f>
        <v>0</v>
      </c>
    </row>
    <row r="1766" spans="1:29" x14ac:dyDescent="0.3">
      <c r="A1766" s="64"/>
      <c r="B1766" s="8"/>
      <c r="C1766" s="7" t="s">
        <v>539</v>
      </c>
      <c r="D1766" s="15" t="s">
        <v>68</v>
      </c>
      <c r="E1766" s="9">
        <v>314500</v>
      </c>
      <c r="F1766" s="8"/>
      <c r="G1766" s="8"/>
      <c r="H1766" s="9">
        <f>F1766+G1766</f>
        <v>0</v>
      </c>
      <c r="I1766" s="8"/>
      <c r="J1766" s="9">
        <f>H1766+I1766</f>
        <v>0</v>
      </c>
      <c r="K1766" s="9">
        <v>314500</v>
      </c>
      <c r="L1766" s="8"/>
      <c r="M1766" s="9">
        <f>+H1766+L1766</f>
        <v>0</v>
      </c>
      <c r="N1766" s="8">
        <v>314500</v>
      </c>
      <c r="O1766" s="9"/>
      <c r="P1766" s="9">
        <f>+N1766+O1766</f>
        <v>314500</v>
      </c>
      <c r="Q1766" s="9">
        <f>E1766-P1766</f>
        <v>0</v>
      </c>
      <c r="R1766" s="17"/>
      <c r="S1766" s="17"/>
      <c r="T1766" s="17"/>
      <c r="U1766" s="18">
        <f>+P1766+T1766</f>
        <v>314500</v>
      </c>
      <c r="V1766" s="17"/>
      <c r="W1766" s="17"/>
      <c r="X1766" s="9">
        <f>+H1766+P1766</f>
        <v>314500</v>
      </c>
      <c r="Y1766" s="8"/>
      <c r="Z1766" s="9">
        <f>+E1766-X1766</f>
        <v>0</v>
      </c>
      <c r="AA1766" s="8">
        <f>+M1766+U1766</f>
        <v>314500</v>
      </c>
      <c r="AB1766" s="8">
        <f>+E1766-AA1766</f>
        <v>0</v>
      </c>
    </row>
    <row r="1767" spans="1:29" x14ac:dyDescent="0.3">
      <c r="A1767" s="64"/>
      <c r="B1767" s="8"/>
      <c r="C1767" s="7" t="s">
        <v>535</v>
      </c>
      <c r="D1767" s="15" t="s">
        <v>54</v>
      </c>
      <c r="E1767" s="9">
        <v>408500</v>
      </c>
      <c r="F1767" s="9">
        <v>408500</v>
      </c>
      <c r="G1767" s="8"/>
      <c r="H1767" s="9">
        <f>F1767+G1767</f>
        <v>408500</v>
      </c>
      <c r="I1767" s="8"/>
      <c r="J1767" s="9">
        <f>H1767+I1767</f>
        <v>408500</v>
      </c>
      <c r="K1767" s="8"/>
      <c r="L1767" s="8"/>
      <c r="M1767" s="9">
        <f>+H1767+L1767</f>
        <v>408500</v>
      </c>
      <c r="N1767" s="8"/>
      <c r="O1767" s="9"/>
      <c r="P1767" s="9">
        <f>+N1767+O1767</f>
        <v>0</v>
      </c>
      <c r="Q1767" s="9">
        <f>E1767-P1767</f>
        <v>408500</v>
      </c>
      <c r="R1767" s="17"/>
      <c r="S1767" s="17"/>
      <c r="T1767" s="17"/>
      <c r="U1767" s="18">
        <f>+P1767+T1767</f>
        <v>0</v>
      </c>
      <c r="V1767" s="17"/>
      <c r="W1767" s="17"/>
      <c r="X1767" s="9">
        <f>+H1767+P1767</f>
        <v>408500</v>
      </c>
      <c r="Y1767" s="8"/>
      <c r="Z1767" s="9">
        <f>+E1767-X1767</f>
        <v>0</v>
      </c>
      <c r="AA1767" s="8">
        <f>+M1767+U1767</f>
        <v>408500</v>
      </c>
      <c r="AB1767" s="8">
        <f>+E1767-AA1767</f>
        <v>0</v>
      </c>
    </row>
    <row r="1768" spans="1:29" x14ac:dyDescent="0.3">
      <c r="A1768" s="64"/>
      <c r="B1768" s="8"/>
      <c r="C1768" s="7" t="s">
        <v>545</v>
      </c>
      <c r="D1768" s="15" t="s">
        <v>54</v>
      </c>
      <c r="E1768" s="9">
        <v>1953989</v>
      </c>
      <c r="F1768" s="8"/>
      <c r="G1768" s="8"/>
      <c r="H1768" s="9">
        <f>F1768+G1768</f>
        <v>0</v>
      </c>
      <c r="I1768" s="8"/>
      <c r="J1768" s="9">
        <f>H1768+I1768</f>
        <v>0</v>
      </c>
      <c r="K1768" s="9">
        <v>1953989</v>
      </c>
      <c r="L1768" s="8"/>
      <c r="M1768" s="9">
        <f>+H1768+L1768</f>
        <v>0</v>
      </c>
      <c r="N1768" s="8">
        <v>1953989</v>
      </c>
      <c r="O1768" s="9"/>
      <c r="P1768" s="9">
        <f>+N1768+O1768</f>
        <v>1953989</v>
      </c>
      <c r="Q1768" s="9">
        <f>E1768-P1768</f>
        <v>0</v>
      </c>
      <c r="R1768" s="17"/>
      <c r="S1768" s="17"/>
      <c r="T1768" s="17"/>
      <c r="U1768" s="18">
        <f>+P1768+T1768</f>
        <v>1953989</v>
      </c>
      <c r="V1768" s="17"/>
      <c r="W1768" s="17"/>
      <c r="X1768" s="9">
        <f>+H1768+P1768</f>
        <v>1953989</v>
      </c>
      <c r="Y1768" s="8"/>
      <c r="Z1768" s="9">
        <f>+E1768-X1768</f>
        <v>0</v>
      </c>
      <c r="AA1768" s="8">
        <f>+M1768+U1768</f>
        <v>1953989</v>
      </c>
      <c r="AB1768" s="8">
        <f>+E1768-AA1768</f>
        <v>0</v>
      </c>
    </row>
    <row r="1769" spans="1:29" x14ac:dyDescent="0.3">
      <c r="A1769" s="64"/>
      <c r="B1769" s="8"/>
      <c r="C1769" s="7" t="s">
        <v>535</v>
      </c>
      <c r="D1769" s="15" t="s">
        <v>85</v>
      </c>
      <c r="E1769" s="9">
        <v>716353</v>
      </c>
      <c r="F1769" s="9">
        <v>716353</v>
      </c>
      <c r="G1769" s="8"/>
      <c r="H1769" s="9">
        <f>F1769+G1769</f>
        <v>716353</v>
      </c>
      <c r="I1769" s="8"/>
      <c r="J1769" s="9">
        <f>H1769+I1769</f>
        <v>716353</v>
      </c>
      <c r="K1769" s="8"/>
      <c r="L1769" s="8"/>
      <c r="M1769" s="9">
        <f>+H1769+L1769</f>
        <v>716353</v>
      </c>
      <c r="N1769" s="8"/>
      <c r="O1769" s="9"/>
      <c r="P1769" s="9">
        <f>+N1769+O1769</f>
        <v>0</v>
      </c>
      <c r="Q1769" s="9">
        <f>E1769-P1769</f>
        <v>716353</v>
      </c>
      <c r="R1769" s="17"/>
      <c r="S1769" s="17"/>
      <c r="T1769" s="17"/>
      <c r="U1769" s="18">
        <f>+P1769+T1769</f>
        <v>0</v>
      </c>
      <c r="V1769" s="17"/>
      <c r="W1769" s="17"/>
      <c r="X1769" s="9">
        <f>+H1769+P1769</f>
        <v>716353</v>
      </c>
      <c r="Y1769" s="8"/>
      <c r="Z1769" s="9">
        <f>+E1769-X1769</f>
        <v>0</v>
      </c>
      <c r="AA1769" s="8">
        <f>+M1769+U1769</f>
        <v>716353</v>
      </c>
      <c r="AB1769" s="8">
        <f>+E1769-AA1769</f>
        <v>0</v>
      </c>
    </row>
    <row r="1770" spans="1:29" x14ac:dyDescent="0.3">
      <c r="A1770" s="64"/>
      <c r="B1770" s="8"/>
      <c r="C1770" s="8"/>
      <c r="D1770" s="8"/>
      <c r="E1770" s="17" t="s">
        <v>29</v>
      </c>
      <c r="F1770" s="17" t="s">
        <v>29</v>
      </c>
      <c r="G1770" s="17" t="s">
        <v>29</v>
      </c>
      <c r="H1770" s="17" t="s">
        <v>29</v>
      </c>
      <c r="I1770" s="17" t="s">
        <v>29</v>
      </c>
      <c r="J1770" s="17" t="s">
        <v>29</v>
      </c>
      <c r="K1770" s="17" t="s">
        <v>29</v>
      </c>
      <c r="L1770" s="17" t="s">
        <v>29</v>
      </c>
      <c r="M1770" s="17" t="s">
        <v>29</v>
      </c>
      <c r="N1770" s="17" t="s">
        <v>29</v>
      </c>
      <c r="O1770" s="17" t="s">
        <v>29</v>
      </c>
      <c r="P1770" s="17" t="s">
        <v>29</v>
      </c>
      <c r="Q1770" s="17" t="s">
        <v>29</v>
      </c>
      <c r="R1770" s="17"/>
      <c r="S1770" s="17"/>
      <c r="T1770" s="17"/>
      <c r="U1770" s="17" t="s">
        <v>29</v>
      </c>
      <c r="V1770" s="17" t="s">
        <v>29</v>
      </c>
      <c r="W1770" s="17" t="s">
        <v>29</v>
      </c>
      <c r="X1770" s="17" t="s">
        <v>29</v>
      </c>
      <c r="Y1770" s="17" t="s">
        <v>29</v>
      </c>
      <c r="Z1770" s="17"/>
      <c r="AA1770" s="17"/>
      <c r="AB1770" s="17"/>
    </row>
    <row r="1771" spans="1:29" x14ac:dyDescent="0.3">
      <c r="A1771" s="64"/>
      <c r="B1771" s="8"/>
      <c r="C1771" s="8"/>
      <c r="D1771" s="8"/>
      <c r="E1771" s="9">
        <f t="shared" ref="E1771:Q1771" si="940">SUM(E1765:E1770)</f>
        <v>4548727.41</v>
      </c>
      <c r="F1771" s="9">
        <f t="shared" si="940"/>
        <v>1667397</v>
      </c>
      <c r="G1771" s="9">
        <f t="shared" si="940"/>
        <v>0</v>
      </c>
      <c r="H1771" s="9">
        <f t="shared" si="940"/>
        <v>1667397</v>
      </c>
      <c r="I1771" s="9">
        <f t="shared" si="940"/>
        <v>0</v>
      </c>
      <c r="J1771" s="9">
        <f t="shared" si="940"/>
        <v>1667397</v>
      </c>
      <c r="K1771" s="9">
        <f t="shared" si="940"/>
        <v>2881330.41</v>
      </c>
      <c r="L1771" s="9">
        <f t="shared" si="940"/>
        <v>0</v>
      </c>
      <c r="M1771" s="9">
        <f t="shared" si="940"/>
        <v>1667397</v>
      </c>
      <c r="N1771" s="9">
        <f t="shared" si="940"/>
        <v>2881330.41</v>
      </c>
      <c r="O1771" s="9">
        <f t="shared" si="940"/>
        <v>0</v>
      </c>
      <c r="P1771" s="9">
        <f t="shared" si="940"/>
        <v>2881330.41</v>
      </c>
      <c r="Q1771" s="9">
        <f t="shared" si="940"/>
        <v>1667397</v>
      </c>
      <c r="R1771" s="17"/>
      <c r="S1771" s="17"/>
      <c r="T1771" s="9">
        <f>SUM(T1765:T1770)</f>
        <v>0</v>
      </c>
      <c r="U1771" s="9">
        <f>SUM(U1765:U1770)</f>
        <v>2881330.41</v>
      </c>
      <c r="V1771" s="9">
        <f>SUM(V1765:V1770)</f>
        <v>0</v>
      </c>
      <c r="W1771" s="9">
        <f>SUM(W1765:W1770)</f>
        <v>0</v>
      </c>
      <c r="X1771" s="9">
        <f>+H1771+P1771</f>
        <v>4548727.41</v>
      </c>
      <c r="Y1771" s="8"/>
      <c r="Z1771" s="9">
        <f>+E1771-X1771</f>
        <v>0</v>
      </c>
      <c r="AA1771" s="9">
        <f>SUM(AA1765:AA1769)</f>
        <v>4548727.41</v>
      </c>
      <c r="AB1771" s="9">
        <f>+G1771-Z1771</f>
        <v>0</v>
      </c>
    </row>
    <row r="1772" spans="1:29" x14ac:dyDescent="0.3">
      <c r="A1772" s="64"/>
      <c r="B1772" s="8"/>
      <c r="C1772" s="8"/>
      <c r="D1772" s="8"/>
      <c r="E1772" s="17" t="s">
        <v>29</v>
      </c>
      <c r="F1772" s="17" t="s">
        <v>29</v>
      </c>
      <c r="G1772" s="17" t="s">
        <v>29</v>
      </c>
      <c r="H1772" s="17" t="s">
        <v>29</v>
      </c>
      <c r="I1772" s="17" t="s">
        <v>29</v>
      </c>
      <c r="J1772" s="17" t="s">
        <v>29</v>
      </c>
      <c r="K1772" s="17" t="s">
        <v>29</v>
      </c>
      <c r="L1772" s="17" t="s">
        <v>29</v>
      </c>
      <c r="M1772" s="17" t="s">
        <v>29</v>
      </c>
      <c r="N1772" s="17" t="s">
        <v>29</v>
      </c>
      <c r="O1772" s="17" t="s">
        <v>29</v>
      </c>
      <c r="P1772" s="17" t="s">
        <v>29</v>
      </c>
      <c r="Q1772" s="17" t="s">
        <v>29</v>
      </c>
      <c r="R1772" s="17"/>
      <c r="S1772" s="17"/>
      <c r="T1772" s="17"/>
      <c r="U1772" s="17" t="s">
        <v>29</v>
      </c>
      <c r="V1772" s="17" t="s">
        <v>29</v>
      </c>
      <c r="W1772" s="17" t="s">
        <v>29</v>
      </c>
      <c r="X1772" s="17" t="s">
        <v>29</v>
      </c>
      <c r="Y1772" s="17" t="s">
        <v>29</v>
      </c>
      <c r="Z1772" s="17"/>
      <c r="AA1772" s="17"/>
      <c r="AB1772" s="17"/>
    </row>
    <row r="1773" spans="1:29" x14ac:dyDescent="0.3">
      <c r="A1773" s="63" t="s">
        <v>1014</v>
      </c>
      <c r="B1773" s="7" t="s">
        <v>764</v>
      </c>
      <c r="C1773" s="8"/>
      <c r="D1773" s="8"/>
      <c r="E1773" s="8"/>
      <c r="F1773" s="8"/>
      <c r="G1773" s="8"/>
      <c r="H1773" s="8"/>
      <c r="I1773" s="8"/>
      <c r="J1773" s="8"/>
      <c r="K1773" s="8"/>
      <c r="L1773" s="8"/>
      <c r="M1773" s="8"/>
      <c r="N1773" s="8"/>
      <c r="O1773" s="8"/>
      <c r="P1773" s="8"/>
      <c r="Q1773" s="8"/>
      <c r="R1773" s="17"/>
      <c r="S1773" s="17"/>
      <c r="T1773" s="17"/>
      <c r="U1773" s="18"/>
      <c r="V1773" s="17"/>
      <c r="W1773" s="17"/>
      <c r="X1773" s="18"/>
      <c r="Y1773" s="17"/>
      <c r="Z1773" s="61"/>
      <c r="AA1773" s="58"/>
    </row>
    <row r="1774" spans="1:29" x14ac:dyDescent="0.3">
      <c r="A1774" s="64"/>
      <c r="B1774" s="8"/>
      <c r="C1774" s="7" t="s">
        <v>539</v>
      </c>
      <c r="D1774" s="15" t="s">
        <v>68</v>
      </c>
      <c r="E1774" s="9">
        <f>214773.5+176906.25</f>
        <v>391679.75</v>
      </c>
      <c r="F1774" s="8"/>
      <c r="G1774" s="8"/>
      <c r="H1774" s="9">
        <f>+F1774+G1774</f>
        <v>0</v>
      </c>
      <c r="I1774" s="8"/>
      <c r="J1774" s="9">
        <f t="shared" ref="J1774:J1786" si="941">H1774+I1774</f>
        <v>0</v>
      </c>
      <c r="K1774" s="9">
        <f>214773.5+176906.25</f>
        <v>391679.75</v>
      </c>
      <c r="L1774" s="9"/>
      <c r="M1774" s="9">
        <f>+H1774+L1774</f>
        <v>0</v>
      </c>
      <c r="N1774" s="8">
        <v>391679.75</v>
      </c>
      <c r="O1774" s="9"/>
      <c r="P1774" s="9">
        <f>+N1774+O1774</f>
        <v>391679.75</v>
      </c>
      <c r="Q1774" s="9">
        <f t="shared" ref="Q1774:Q1786" si="942">E1774-P1774</f>
        <v>0</v>
      </c>
      <c r="R1774" s="17"/>
      <c r="S1774" s="17"/>
      <c r="T1774" s="17"/>
      <c r="U1774" s="18">
        <f>+P1774+T1774</f>
        <v>391679.75</v>
      </c>
      <c r="V1774" s="17"/>
      <c r="W1774" s="17"/>
      <c r="X1774" s="9">
        <f t="shared" ref="X1774:X1786" si="943">+H1774+P1774</f>
        <v>391679.75</v>
      </c>
      <c r="Y1774" s="8"/>
      <c r="Z1774" s="9">
        <f t="shared" ref="Z1774:Z1786" si="944">+E1774-X1774</f>
        <v>0</v>
      </c>
      <c r="AA1774" s="8">
        <f t="shared" ref="AA1774:AA1786" si="945">+M1774+U1774</f>
        <v>391679.75</v>
      </c>
      <c r="AB1774" s="8">
        <f t="shared" ref="AB1774:AB1786" si="946">+E1774-AA1774</f>
        <v>0</v>
      </c>
    </row>
    <row r="1775" spans="1:29" x14ac:dyDescent="0.3">
      <c r="A1775" s="64"/>
      <c r="B1775" s="8"/>
      <c r="C1775" s="7" t="s">
        <v>535</v>
      </c>
      <c r="D1775" s="15" t="s">
        <v>68</v>
      </c>
      <c r="E1775" s="9">
        <f>1772700-55700</f>
        <v>1717000</v>
      </c>
      <c r="F1775" s="9">
        <f>46830+549400</f>
        <v>596230</v>
      </c>
      <c r="G1775" s="8"/>
      <c r="H1775" s="9">
        <f t="shared" ref="H1775:H1786" si="947">+F1775+G1775</f>
        <v>596230</v>
      </c>
      <c r="I1775" s="8"/>
      <c r="J1775" s="9">
        <f t="shared" si="941"/>
        <v>596230</v>
      </c>
      <c r="K1775" s="9">
        <v>1120770</v>
      </c>
      <c r="L1775" s="8"/>
      <c r="M1775" s="9">
        <f t="shared" ref="M1775:M1786" si="948">+H1775+L1775</f>
        <v>596230</v>
      </c>
      <c r="N1775" s="8">
        <v>1120770</v>
      </c>
      <c r="O1775" s="9"/>
      <c r="P1775" s="9">
        <f t="shared" ref="P1775:P1786" si="949">+N1775+O1775</f>
        <v>1120770</v>
      </c>
      <c r="Q1775" s="9">
        <f t="shared" si="942"/>
        <v>596230</v>
      </c>
      <c r="R1775" s="17"/>
      <c r="S1775" s="17"/>
      <c r="T1775" s="17"/>
      <c r="U1775" s="18">
        <f t="shared" ref="U1775:U1786" si="950">+P1775+T1775</f>
        <v>1120770</v>
      </c>
      <c r="V1775" s="17"/>
      <c r="W1775" s="17"/>
      <c r="X1775" s="9">
        <f t="shared" si="943"/>
        <v>1717000</v>
      </c>
      <c r="Y1775" s="8"/>
      <c r="Z1775" s="9">
        <f t="shared" si="944"/>
        <v>0</v>
      </c>
      <c r="AA1775" s="8">
        <f t="shared" si="945"/>
        <v>1717000</v>
      </c>
      <c r="AB1775" s="8">
        <f t="shared" si="946"/>
        <v>0</v>
      </c>
    </row>
    <row r="1776" spans="1:29" x14ac:dyDescent="0.3">
      <c r="A1776" s="64"/>
      <c r="B1776" s="8"/>
      <c r="C1776" s="7" t="s">
        <v>545</v>
      </c>
      <c r="D1776" s="15" t="s">
        <v>54</v>
      </c>
      <c r="E1776" s="9">
        <v>1767770</v>
      </c>
      <c r="F1776" s="8"/>
      <c r="G1776" s="8"/>
      <c r="H1776" s="9">
        <f t="shared" si="947"/>
        <v>0</v>
      </c>
      <c r="I1776" s="8"/>
      <c r="J1776" s="9">
        <f t="shared" si="941"/>
        <v>0</v>
      </c>
      <c r="K1776" s="9">
        <v>1767770</v>
      </c>
      <c r="L1776" s="8"/>
      <c r="M1776" s="9">
        <f t="shared" si="948"/>
        <v>0</v>
      </c>
      <c r="N1776" s="8">
        <v>1767770</v>
      </c>
      <c r="O1776" s="9"/>
      <c r="P1776" s="9">
        <f t="shared" si="949"/>
        <v>1767770</v>
      </c>
      <c r="Q1776" s="9">
        <f t="shared" si="942"/>
        <v>0</v>
      </c>
      <c r="R1776" s="17"/>
      <c r="S1776" s="17"/>
      <c r="T1776" s="17"/>
      <c r="U1776" s="18">
        <f t="shared" si="950"/>
        <v>1767770</v>
      </c>
      <c r="V1776" s="17"/>
      <c r="W1776" s="17"/>
      <c r="X1776" s="9">
        <f t="shared" si="943"/>
        <v>1767770</v>
      </c>
      <c r="Y1776" s="8"/>
      <c r="Z1776" s="9">
        <f t="shared" si="944"/>
        <v>0</v>
      </c>
      <c r="AA1776" s="8">
        <f t="shared" si="945"/>
        <v>1767770</v>
      </c>
      <c r="AB1776" s="8">
        <f t="shared" si="946"/>
        <v>0</v>
      </c>
    </row>
    <row r="1777" spans="1:28" x14ac:dyDescent="0.3">
      <c r="A1777" s="64"/>
      <c r="B1777" s="8"/>
      <c r="C1777" s="7" t="s">
        <v>535</v>
      </c>
      <c r="D1777" s="15" t="s">
        <v>54</v>
      </c>
      <c r="E1777" s="9">
        <f>1311000-65550</f>
        <v>1245450</v>
      </c>
      <c r="F1777" s="9">
        <v>1245450</v>
      </c>
      <c r="G1777" s="8"/>
      <c r="H1777" s="9">
        <f t="shared" si="947"/>
        <v>1245450</v>
      </c>
      <c r="I1777" s="8"/>
      <c r="J1777" s="9">
        <f t="shared" si="941"/>
        <v>1245450</v>
      </c>
      <c r="K1777" s="8"/>
      <c r="L1777" s="8"/>
      <c r="M1777" s="9">
        <f t="shared" si="948"/>
        <v>1245450</v>
      </c>
      <c r="N1777" s="8"/>
      <c r="O1777" s="9"/>
      <c r="P1777" s="9">
        <f t="shared" si="949"/>
        <v>0</v>
      </c>
      <c r="Q1777" s="9">
        <f t="shared" si="942"/>
        <v>1245450</v>
      </c>
      <c r="R1777" s="17"/>
      <c r="S1777" s="17"/>
      <c r="T1777" s="17"/>
      <c r="U1777" s="18">
        <f t="shared" si="950"/>
        <v>0</v>
      </c>
      <c r="V1777" s="17"/>
      <c r="W1777" s="17"/>
      <c r="X1777" s="9">
        <f t="shared" si="943"/>
        <v>1245450</v>
      </c>
      <c r="Y1777" s="8"/>
      <c r="Z1777" s="9">
        <f t="shared" si="944"/>
        <v>0</v>
      </c>
      <c r="AA1777" s="8">
        <f t="shared" si="945"/>
        <v>1245450</v>
      </c>
      <c r="AB1777" s="8">
        <f t="shared" si="946"/>
        <v>0</v>
      </c>
    </row>
    <row r="1778" spans="1:28" x14ac:dyDescent="0.3">
      <c r="A1778" s="64"/>
      <c r="B1778" s="8"/>
      <c r="C1778" s="7" t="s">
        <v>535</v>
      </c>
      <c r="D1778" s="15" t="s">
        <v>85</v>
      </c>
      <c r="E1778" s="9">
        <f>2519000-251900</f>
        <v>2267100</v>
      </c>
      <c r="F1778" s="9">
        <f>2000000+267100</f>
        <v>2267100</v>
      </c>
      <c r="G1778" s="8"/>
      <c r="H1778" s="9">
        <f t="shared" si="947"/>
        <v>2267100</v>
      </c>
      <c r="I1778" s="8"/>
      <c r="J1778" s="9">
        <f t="shared" si="941"/>
        <v>2267100</v>
      </c>
      <c r="K1778" s="8"/>
      <c r="L1778" s="8"/>
      <c r="M1778" s="9">
        <f t="shared" si="948"/>
        <v>2267100</v>
      </c>
      <c r="N1778" s="8"/>
      <c r="O1778" s="9"/>
      <c r="P1778" s="9">
        <f t="shared" si="949"/>
        <v>0</v>
      </c>
      <c r="Q1778" s="9">
        <f t="shared" si="942"/>
        <v>2267100</v>
      </c>
      <c r="R1778" s="17"/>
      <c r="S1778" s="17"/>
      <c r="T1778" s="17"/>
      <c r="U1778" s="18">
        <f t="shared" si="950"/>
        <v>0</v>
      </c>
      <c r="V1778" s="17"/>
      <c r="W1778" s="17"/>
      <c r="X1778" s="9">
        <f t="shared" si="943"/>
        <v>2267100</v>
      </c>
      <c r="Y1778" s="8"/>
      <c r="Z1778" s="9">
        <f t="shared" si="944"/>
        <v>0</v>
      </c>
      <c r="AA1778" s="8">
        <f t="shared" si="945"/>
        <v>2267100</v>
      </c>
      <c r="AB1778" s="8">
        <f t="shared" si="946"/>
        <v>0</v>
      </c>
    </row>
    <row r="1779" spans="1:28" x14ac:dyDescent="0.3">
      <c r="A1779" s="64"/>
      <c r="B1779" s="8"/>
      <c r="C1779" s="7" t="s">
        <v>535</v>
      </c>
      <c r="D1779" s="15" t="s">
        <v>128</v>
      </c>
      <c r="E1779" s="9">
        <v>869945</v>
      </c>
      <c r="F1779" s="9">
        <v>869945</v>
      </c>
      <c r="G1779" s="8"/>
      <c r="H1779" s="9">
        <f t="shared" si="947"/>
        <v>869945</v>
      </c>
      <c r="I1779" s="8"/>
      <c r="J1779" s="9">
        <f t="shared" si="941"/>
        <v>869945</v>
      </c>
      <c r="K1779" s="8"/>
      <c r="L1779" s="8"/>
      <c r="M1779" s="9">
        <f t="shared" si="948"/>
        <v>869945</v>
      </c>
      <c r="N1779" s="8"/>
      <c r="O1779" s="9"/>
      <c r="P1779" s="9">
        <f t="shared" si="949"/>
        <v>0</v>
      </c>
      <c r="Q1779" s="9">
        <f t="shared" si="942"/>
        <v>869945</v>
      </c>
      <c r="R1779" s="17"/>
      <c r="S1779" s="17"/>
      <c r="T1779" s="17"/>
      <c r="U1779" s="18">
        <f t="shared" si="950"/>
        <v>0</v>
      </c>
      <c r="V1779" s="17"/>
      <c r="W1779" s="17"/>
      <c r="X1779" s="9">
        <f t="shared" si="943"/>
        <v>869945</v>
      </c>
      <c r="Y1779" s="8"/>
      <c r="Z1779" s="9">
        <f t="shared" si="944"/>
        <v>0</v>
      </c>
      <c r="AA1779" s="8">
        <f t="shared" si="945"/>
        <v>869945</v>
      </c>
      <c r="AB1779" s="8">
        <f t="shared" si="946"/>
        <v>0</v>
      </c>
    </row>
    <row r="1780" spans="1:28" x14ac:dyDescent="0.3">
      <c r="A1780" s="64"/>
      <c r="B1780" s="8"/>
      <c r="C1780" s="7" t="s">
        <v>535</v>
      </c>
      <c r="D1780" s="15" t="s">
        <v>88</v>
      </c>
      <c r="E1780" s="9">
        <v>2715295.35</v>
      </c>
      <c r="F1780" s="9">
        <f>1110078+1605217.35</f>
        <v>2715295.35</v>
      </c>
      <c r="G1780" s="8"/>
      <c r="H1780" s="9">
        <f t="shared" si="947"/>
        <v>2715295.35</v>
      </c>
      <c r="I1780" s="8"/>
      <c r="J1780" s="9">
        <f t="shared" si="941"/>
        <v>2715295.35</v>
      </c>
      <c r="K1780" s="8"/>
      <c r="L1780" s="8"/>
      <c r="M1780" s="9">
        <f t="shared" si="948"/>
        <v>2715295.35</v>
      </c>
      <c r="N1780" s="8"/>
      <c r="O1780" s="9"/>
      <c r="P1780" s="9">
        <f t="shared" si="949"/>
        <v>0</v>
      </c>
      <c r="Q1780" s="9">
        <f t="shared" si="942"/>
        <v>2715295.35</v>
      </c>
      <c r="R1780" s="17"/>
      <c r="S1780" s="17"/>
      <c r="T1780" s="17"/>
      <c r="U1780" s="18">
        <f t="shared" si="950"/>
        <v>0</v>
      </c>
      <c r="V1780" s="17"/>
      <c r="W1780" s="17"/>
      <c r="X1780" s="9">
        <f t="shared" si="943"/>
        <v>2715295.35</v>
      </c>
      <c r="Y1780" s="8"/>
      <c r="Z1780" s="9">
        <f t="shared" si="944"/>
        <v>0</v>
      </c>
      <c r="AA1780" s="8">
        <f t="shared" si="945"/>
        <v>2715295.35</v>
      </c>
      <c r="AB1780" s="8">
        <f t="shared" si="946"/>
        <v>0</v>
      </c>
    </row>
    <row r="1781" spans="1:28" x14ac:dyDescent="0.3">
      <c r="A1781" s="64"/>
      <c r="B1781" s="8"/>
      <c r="C1781" s="7" t="s">
        <v>535</v>
      </c>
      <c r="D1781" s="15" t="s">
        <v>58</v>
      </c>
      <c r="E1781" s="9">
        <v>2013000</v>
      </c>
      <c r="F1781" s="8"/>
      <c r="G1781" s="8"/>
      <c r="H1781" s="9">
        <f t="shared" si="947"/>
        <v>0</v>
      </c>
      <c r="I1781" s="9">
        <v>2013000</v>
      </c>
      <c r="J1781" s="9">
        <f t="shared" si="941"/>
        <v>2013000</v>
      </c>
      <c r="K1781" s="8"/>
      <c r="L1781" s="8">
        <v>2013000</v>
      </c>
      <c r="M1781" s="9">
        <f t="shared" si="948"/>
        <v>2013000</v>
      </c>
      <c r="N1781" s="8"/>
      <c r="O1781" s="9"/>
      <c r="P1781" s="9">
        <f t="shared" si="949"/>
        <v>0</v>
      </c>
      <c r="Q1781" s="9">
        <f t="shared" si="942"/>
        <v>2013000</v>
      </c>
      <c r="R1781" s="17"/>
      <c r="S1781" s="17"/>
      <c r="T1781" s="17"/>
      <c r="U1781" s="18">
        <f t="shared" si="950"/>
        <v>0</v>
      </c>
      <c r="V1781" s="17"/>
      <c r="W1781" s="17"/>
      <c r="X1781" s="9">
        <f t="shared" si="943"/>
        <v>0</v>
      </c>
      <c r="Y1781" s="8"/>
      <c r="Z1781" s="9">
        <f t="shared" si="944"/>
        <v>2013000</v>
      </c>
      <c r="AA1781" s="8">
        <f t="shared" si="945"/>
        <v>2013000</v>
      </c>
      <c r="AB1781" s="8">
        <f t="shared" si="946"/>
        <v>0</v>
      </c>
    </row>
    <row r="1782" spans="1:28" x14ac:dyDescent="0.3">
      <c r="A1782" s="64"/>
      <c r="B1782" s="8"/>
      <c r="C1782" s="14" t="s">
        <v>621</v>
      </c>
      <c r="D1782" s="21" t="s">
        <v>73</v>
      </c>
      <c r="E1782" s="11">
        <v>773722</v>
      </c>
      <c r="F1782" s="11">
        <v>773722</v>
      </c>
      <c r="G1782" s="8"/>
      <c r="H1782" s="9">
        <f t="shared" si="947"/>
        <v>773722</v>
      </c>
      <c r="I1782" s="8"/>
      <c r="J1782" s="9">
        <f t="shared" si="941"/>
        <v>773722</v>
      </c>
      <c r="K1782" s="8"/>
      <c r="L1782" s="8"/>
      <c r="M1782" s="9">
        <f t="shared" si="948"/>
        <v>773722</v>
      </c>
      <c r="N1782" s="8"/>
      <c r="O1782" s="9"/>
      <c r="P1782" s="9">
        <f t="shared" si="949"/>
        <v>0</v>
      </c>
      <c r="Q1782" s="9">
        <f t="shared" si="942"/>
        <v>773722</v>
      </c>
      <c r="R1782" s="17"/>
      <c r="S1782" s="17"/>
      <c r="T1782" s="17"/>
      <c r="U1782" s="18">
        <f t="shared" si="950"/>
        <v>0</v>
      </c>
      <c r="V1782" s="17"/>
      <c r="W1782" s="17"/>
      <c r="X1782" s="9">
        <f t="shared" si="943"/>
        <v>773722</v>
      </c>
      <c r="Y1782" s="8"/>
      <c r="Z1782" s="9">
        <f t="shared" si="944"/>
        <v>0</v>
      </c>
      <c r="AA1782" s="8">
        <f t="shared" si="945"/>
        <v>773722</v>
      </c>
      <c r="AB1782" s="8">
        <f t="shared" si="946"/>
        <v>0</v>
      </c>
    </row>
    <row r="1783" spans="1:28" x14ac:dyDescent="0.3">
      <c r="A1783" s="64"/>
      <c r="B1783" s="8"/>
      <c r="C1783" s="7" t="s">
        <v>535</v>
      </c>
      <c r="D1783" s="15" t="s">
        <v>61</v>
      </c>
      <c r="E1783" s="11">
        <v>780000</v>
      </c>
      <c r="F1783" s="11">
        <v>780000</v>
      </c>
      <c r="G1783" s="8"/>
      <c r="H1783" s="9">
        <f t="shared" si="947"/>
        <v>780000</v>
      </c>
      <c r="I1783" s="8"/>
      <c r="J1783" s="9">
        <f t="shared" si="941"/>
        <v>780000</v>
      </c>
      <c r="K1783" s="8"/>
      <c r="L1783" s="8"/>
      <c r="M1783" s="9">
        <f t="shared" si="948"/>
        <v>780000</v>
      </c>
      <c r="N1783" s="8"/>
      <c r="O1783" s="9"/>
      <c r="P1783" s="9">
        <f t="shared" si="949"/>
        <v>0</v>
      </c>
      <c r="Q1783" s="9">
        <f t="shared" si="942"/>
        <v>780000</v>
      </c>
      <c r="R1783" s="17"/>
      <c r="S1783" s="17"/>
      <c r="T1783" s="17"/>
      <c r="U1783" s="18">
        <f t="shared" si="950"/>
        <v>0</v>
      </c>
      <c r="V1783" s="17"/>
      <c r="W1783" s="17"/>
      <c r="X1783" s="9">
        <f t="shared" si="943"/>
        <v>780000</v>
      </c>
      <c r="Y1783" s="8"/>
      <c r="Z1783" s="9">
        <f t="shared" si="944"/>
        <v>0</v>
      </c>
      <c r="AA1783" s="8">
        <f t="shared" si="945"/>
        <v>780000</v>
      </c>
      <c r="AB1783" s="8">
        <f t="shared" si="946"/>
        <v>0</v>
      </c>
    </row>
    <row r="1784" spans="1:28" x14ac:dyDescent="0.3">
      <c r="A1784" s="64"/>
      <c r="B1784" s="8"/>
      <c r="C1784" s="7" t="s">
        <v>1119</v>
      </c>
      <c r="D1784" s="16" t="s">
        <v>1072</v>
      </c>
      <c r="E1784" s="11">
        <v>70000</v>
      </c>
      <c r="F1784" s="11">
        <v>70000</v>
      </c>
      <c r="G1784" s="8"/>
      <c r="H1784" s="9">
        <f>+F1784+G1784</f>
        <v>70000</v>
      </c>
      <c r="I1784" s="8"/>
      <c r="J1784" s="9">
        <f t="shared" si="941"/>
        <v>70000</v>
      </c>
      <c r="K1784" s="8"/>
      <c r="L1784" s="8"/>
      <c r="M1784" s="9">
        <f t="shared" si="948"/>
        <v>70000</v>
      </c>
      <c r="N1784" s="8"/>
      <c r="O1784" s="9"/>
      <c r="P1784" s="9">
        <f>+N1784+O1784</f>
        <v>0</v>
      </c>
      <c r="Q1784" s="9">
        <f t="shared" si="942"/>
        <v>70000</v>
      </c>
      <c r="R1784" s="17"/>
      <c r="S1784" s="17"/>
      <c r="T1784" s="17"/>
      <c r="U1784" s="18">
        <f t="shared" si="950"/>
        <v>0</v>
      </c>
      <c r="V1784" s="17"/>
      <c r="W1784" s="17"/>
      <c r="X1784" s="9">
        <f t="shared" si="943"/>
        <v>70000</v>
      </c>
      <c r="Y1784" s="8"/>
      <c r="Z1784" s="9">
        <f t="shared" si="944"/>
        <v>0</v>
      </c>
      <c r="AA1784" s="8">
        <f t="shared" si="945"/>
        <v>70000</v>
      </c>
      <c r="AB1784" s="8">
        <f t="shared" si="946"/>
        <v>0</v>
      </c>
    </row>
    <row r="1785" spans="1:28" x14ac:dyDescent="0.3">
      <c r="A1785" s="64"/>
      <c r="B1785" s="8"/>
      <c r="C1785" s="7" t="s">
        <v>592</v>
      </c>
      <c r="D1785" s="8"/>
      <c r="E1785" s="9">
        <f>1840000-1000000-371009.14</f>
        <v>468990.86</v>
      </c>
      <c r="F1785" s="9">
        <v>288362</v>
      </c>
      <c r="G1785" s="8"/>
      <c r="H1785" s="9">
        <f t="shared" si="947"/>
        <v>288362</v>
      </c>
      <c r="I1785" s="8"/>
      <c r="J1785" s="9">
        <f t="shared" si="941"/>
        <v>288362</v>
      </c>
      <c r="K1785" s="9">
        <v>180628.86</v>
      </c>
      <c r="L1785" s="8"/>
      <c r="M1785" s="9">
        <f t="shared" si="948"/>
        <v>288362</v>
      </c>
      <c r="N1785" s="8">
        <v>180628.86</v>
      </c>
      <c r="O1785" s="9"/>
      <c r="P1785" s="9">
        <f t="shared" si="949"/>
        <v>180628.86</v>
      </c>
      <c r="Q1785" s="9">
        <f t="shared" si="942"/>
        <v>288362</v>
      </c>
      <c r="R1785" s="17"/>
      <c r="S1785" s="17"/>
      <c r="T1785" s="17"/>
      <c r="U1785" s="18">
        <f t="shared" si="950"/>
        <v>180628.86</v>
      </c>
      <c r="V1785" s="17"/>
      <c r="W1785" s="17"/>
      <c r="X1785" s="9">
        <f t="shared" si="943"/>
        <v>468990.86</v>
      </c>
      <c r="Y1785" s="8"/>
      <c r="Z1785" s="9">
        <f t="shared" si="944"/>
        <v>0</v>
      </c>
      <c r="AA1785" s="8">
        <f t="shared" si="945"/>
        <v>468990.86</v>
      </c>
      <c r="AB1785" s="8">
        <f t="shared" si="946"/>
        <v>0</v>
      </c>
    </row>
    <row r="1786" spans="1:28" x14ac:dyDescent="0.3">
      <c r="A1786" s="64"/>
      <c r="B1786" s="8"/>
      <c r="C1786" s="7" t="s">
        <v>606</v>
      </c>
      <c r="D1786" s="8"/>
      <c r="E1786" s="9">
        <v>2500000</v>
      </c>
      <c r="F1786" s="9">
        <v>2500000</v>
      </c>
      <c r="G1786" s="8"/>
      <c r="H1786" s="9">
        <f t="shared" si="947"/>
        <v>2500000</v>
      </c>
      <c r="I1786" s="8"/>
      <c r="J1786" s="9">
        <f t="shared" si="941"/>
        <v>2500000</v>
      </c>
      <c r="K1786" s="8"/>
      <c r="L1786" s="8"/>
      <c r="M1786" s="9">
        <f t="shared" si="948"/>
        <v>2500000</v>
      </c>
      <c r="N1786" s="8"/>
      <c r="O1786" s="9"/>
      <c r="P1786" s="9">
        <f t="shared" si="949"/>
        <v>0</v>
      </c>
      <c r="Q1786" s="9">
        <f t="shared" si="942"/>
        <v>2500000</v>
      </c>
      <c r="R1786" s="17"/>
      <c r="S1786" s="17"/>
      <c r="T1786" s="17"/>
      <c r="U1786" s="18">
        <f t="shared" si="950"/>
        <v>0</v>
      </c>
      <c r="V1786" s="17"/>
      <c r="W1786" s="17"/>
      <c r="X1786" s="9">
        <f t="shared" si="943"/>
        <v>2500000</v>
      </c>
      <c r="Y1786" s="8"/>
      <c r="Z1786" s="9">
        <f t="shared" si="944"/>
        <v>0</v>
      </c>
      <c r="AA1786" s="8">
        <f t="shared" si="945"/>
        <v>2500000</v>
      </c>
      <c r="AB1786" s="8">
        <f t="shared" si="946"/>
        <v>0</v>
      </c>
    </row>
    <row r="1787" spans="1:28" x14ac:dyDescent="0.3">
      <c r="A1787" s="64"/>
      <c r="B1787" s="8"/>
      <c r="C1787" s="8"/>
      <c r="D1787" s="8"/>
      <c r="E1787" s="17" t="s">
        <v>29</v>
      </c>
      <c r="F1787" s="17" t="s">
        <v>29</v>
      </c>
      <c r="G1787" s="17" t="s">
        <v>29</v>
      </c>
      <c r="H1787" s="17" t="s">
        <v>29</v>
      </c>
      <c r="I1787" s="17" t="s">
        <v>29</v>
      </c>
      <c r="J1787" s="17" t="s">
        <v>29</v>
      </c>
      <c r="K1787" s="17" t="s">
        <v>29</v>
      </c>
      <c r="L1787" s="17" t="s">
        <v>29</v>
      </c>
      <c r="M1787" s="17" t="s">
        <v>29</v>
      </c>
      <c r="N1787" s="17" t="s">
        <v>29</v>
      </c>
      <c r="O1787" s="17" t="s">
        <v>29</v>
      </c>
      <c r="P1787" s="17" t="s">
        <v>29</v>
      </c>
      <c r="Q1787" s="17" t="s">
        <v>29</v>
      </c>
      <c r="R1787" s="17"/>
      <c r="S1787" s="17"/>
      <c r="T1787" s="17"/>
      <c r="U1787" s="17" t="s">
        <v>29</v>
      </c>
      <c r="V1787" s="17" t="s">
        <v>29</v>
      </c>
      <c r="W1787" s="17" t="s">
        <v>29</v>
      </c>
      <c r="X1787" s="17" t="s">
        <v>29</v>
      </c>
      <c r="Y1787" s="17" t="s">
        <v>29</v>
      </c>
      <c r="Z1787" s="17"/>
      <c r="AA1787" s="17"/>
      <c r="AB1787" s="17"/>
    </row>
    <row r="1788" spans="1:28" x14ac:dyDescent="0.3">
      <c r="A1788" s="64"/>
      <c r="B1788" s="8"/>
      <c r="C1788" s="8"/>
      <c r="D1788" s="8"/>
      <c r="E1788" s="9">
        <f t="shared" ref="E1788:Q1788" si="951">SUM(E1774:E1787)</f>
        <v>17579952.960000001</v>
      </c>
      <c r="F1788" s="9">
        <f t="shared" si="951"/>
        <v>12106104.35</v>
      </c>
      <c r="G1788" s="9">
        <f t="shared" si="951"/>
        <v>0</v>
      </c>
      <c r="H1788" s="9">
        <f t="shared" si="951"/>
        <v>12106104.35</v>
      </c>
      <c r="I1788" s="9">
        <f t="shared" si="951"/>
        <v>2013000</v>
      </c>
      <c r="J1788" s="9">
        <f t="shared" si="951"/>
        <v>14119104.35</v>
      </c>
      <c r="K1788" s="9">
        <f t="shared" si="951"/>
        <v>3460848.61</v>
      </c>
      <c r="L1788" s="9">
        <f t="shared" si="951"/>
        <v>2013000</v>
      </c>
      <c r="M1788" s="9">
        <f t="shared" si="951"/>
        <v>14119104.35</v>
      </c>
      <c r="N1788" s="9">
        <f t="shared" si="951"/>
        <v>3460848.61</v>
      </c>
      <c r="O1788" s="9">
        <f t="shared" si="951"/>
        <v>0</v>
      </c>
      <c r="P1788" s="9">
        <f t="shared" si="951"/>
        <v>3460848.61</v>
      </c>
      <c r="Q1788" s="9">
        <f t="shared" si="951"/>
        <v>14119104.35</v>
      </c>
      <c r="R1788" s="17"/>
      <c r="S1788" s="17"/>
      <c r="T1788" s="9">
        <f t="shared" ref="T1788:Z1788" si="952">SUM(T1774:T1787)</f>
        <v>0</v>
      </c>
      <c r="U1788" s="9">
        <f t="shared" si="952"/>
        <v>3460848.61</v>
      </c>
      <c r="V1788" s="9">
        <f t="shared" si="952"/>
        <v>0</v>
      </c>
      <c r="W1788" s="9">
        <f t="shared" si="952"/>
        <v>0</v>
      </c>
      <c r="X1788" s="9">
        <f t="shared" si="952"/>
        <v>15566952.959999999</v>
      </c>
      <c r="Y1788" s="9">
        <f t="shared" si="952"/>
        <v>0</v>
      </c>
      <c r="Z1788" s="9">
        <f t="shared" si="952"/>
        <v>2013000</v>
      </c>
      <c r="AA1788" s="9">
        <f>SUM(AA1774:AA1787)</f>
        <v>17579952.960000001</v>
      </c>
      <c r="AB1788" s="9">
        <f>SUM(AB1774:AB1787)</f>
        <v>0</v>
      </c>
    </row>
    <row r="1789" spans="1:28" x14ac:dyDescent="0.3">
      <c r="A1789" s="64"/>
      <c r="B1789" s="8"/>
      <c r="C1789" s="8"/>
      <c r="D1789" s="8"/>
      <c r="E1789" s="17" t="s">
        <v>29</v>
      </c>
      <c r="F1789" s="17" t="s">
        <v>29</v>
      </c>
      <c r="G1789" s="17" t="s">
        <v>29</v>
      </c>
      <c r="H1789" s="17" t="s">
        <v>29</v>
      </c>
      <c r="I1789" s="17" t="s">
        <v>29</v>
      </c>
      <c r="J1789" s="17" t="s">
        <v>29</v>
      </c>
      <c r="K1789" s="17" t="s">
        <v>29</v>
      </c>
      <c r="L1789" s="17" t="s">
        <v>29</v>
      </c>
      <c r="M1789" s="17" t="s">
        <v>29</v>
      </c>
      <c r="N1789" s="17" t="s">
        <v>29</v>
      </c>
      <c r="O1789" s="17" t="s">
        <v>29</v>
      </c>
      <c r="P1789" s="17" t="s">
        <v>29</v>
      </c>
      <c r="Q1789" s="17" t="s">
        <v>29</v>
      </c>
      <c r="R1789" s="17"/>
      <c r="S1789" s="17"/>
      <c r="T1789" s="17"/>
      <c r="U1789" s="17" t="s">
        <v>29</v>
      </c>
      <c r="V1789" s="17" t="s">
        <v>29</v>
      </c>
      <c r="W1789" s="17" t="s">
        <v>29</v>
      </c>
      <c r="X1789" s="17" t="s">
        <v>29</v>
      </c>
      <c r="Y1789" s="17" t="s">
        <v>29</v>
      </c>
      <c r="Z1789" s="17"/>
      <c r="AA1789" s="17"/>
      <c r="AB1789" s="17"/>
    </row>
    <row r="1790" spans="1:28" x14ac:dyDescent="0.3">
      <c r="A1790" s="63" t="s">
        <v>1015</v>
      </c>
      <c r="B1790" s="7" t="s">
        <v>765</v>
      </c>
      <c r="C1790" s="8"/>
      <c r="D1790" s="8"/>
      <c r="E1790" s="8"/>
      <c r="F1790" s="8"/>
      <c r="G1790" s="8"/>
      <c r="H1790" s="8"/>
      <c r="I1790" s="8"/>
      <c r="J1790" s="8"/>
      <c r="K1790" s="8"/>
      <c r="L1790" s="8"/>
      <c r="M1790" s="8"/>
      <c r="N1790" s="8"/>
      <c r="O1790" s="8"/>
      <c r="P1790" s="8"/>
      <c r="Q1790" s="8"/>
      <c r="R1790" s="17"/>
      <c r="S1790" s="17"/>
      <c r="T1790" s="17"/>
      <c r="U1790" s="17"/>
      <c r="V1790" s="17"/>
      <c r="W1790" s="17"/>
      <c r="X1790" s="17"/>
      <c r="Y1790" s="17"/>
      <c r="Z1790" s="17"/>
    </row>
    <row r="1791" spans="1:28" x14ac:dyDescent="0.3">
      <c r="A1791" s="64"/>
      <c r="B1791" s="8"/>
      <c r="C1791" s="7" t="s">
        <v>535</v>
      </c>
      <c r="D1791" s="15" t="s">
        <v>68</v>
      </c>
      <c r="E1791" s="9">
        <f>2433900-1097711.7</f>
        <v>1336188.3</v>
      </c>
      <c r="F1791" s="8"/>
      <c r="G1791" s="8"/>
      <c r="H1791" s="9">
        <f t="shared" ref="H1791:H1804" si="953">F1791+G1791</f>
        <v>0</v>
      </c>
      <c r="I1791" s="8"/>
      <c r="J1791" s="9">
        <f t="shared" ref="J1791:J1804" si="954">H1791+I1791</f>
        <v>0</v>
      </c>
      <c r="K1791" s="9">
        <v>1336188.3</v>
      </c>
      <c r="L1791" s="8"/>
      <c r="M1791" s="9">
        <f>+H1791+L1791</f>
        <v>0</v>
      </c>
      <c r="N1791" s="8">
        <v>1336188.3</v>
      </c>
      <c r="O1791" s="9"/>
      <c r="P1791" s="9">
        <f>+N1791+O1791</f>
        <v>1336188.3</v>
      </c>
      <c r="Q1791" s="9">
        <f t="shared" ref="Q1791:Q1804" si="955">E1791-P1791</f>
        <v>0</v>
      </c>
      <c r="R1791" s="17"/>
      <c r="S1791" s="17"/>
      <c r="T1791" s="17"/>
      <c r="U1791" s="18">
        <f t="shared" ref="U1791:U1804" si="956">+P1791+T1791</f>
        <v>1336188.3</v>
      </c>
      <c r="V1791" s="17"/>
      <c r="W1791" s="17"/>
      <c r="X1791" s="9">
        <f t="shared" ref="X1791:X1804" si="957">+H1791+P1791</f>
        <v>1336188.3</v>
      </c>
      <c r="Y1791" s="8"/>
      <c r="Z1791" s="9">
        <f t="shared" ref="Z1791:Z1804" si="958">+E1791-X1791</f>
        <v>0</v>
      </c>
      <c r="AA1791" s="8">
        <f t="shared" ref="AA1791:AA1804" si="959">+M1791+U1791</f>
        <v>1336188.3</v>
      </c>
      <c r="AB1791" s="8">
        <f t="shared" ref="AB1791:AB1804" si="960">+E1791-AA1791</f>
        <v>0</v>
      </c>
    </row>
    <row r="1792" spans="1:28" x14ac:dyDescent="0.3">
      <c r="A1792" s="64"/>
      <c r="B1792" s="8"/>
      <c r="C1792" s="7" t="s">
        <v>535</v>
      </c>
      <c r="D1792" s="15" t="s">
        <v>54</v>
      </c>
      <c r="E1792" s="9">
        <f>1202000-60100-271070</f>
        <v>870830</v>
      </c>
      <c r="F1792" s="9">
        <v>870830</v>
      </c>
      <c r="G1792" s="8"/>
      <c r="H1792" s="9">
        <f t="shared" si="953"/>
        <v>870830</v>
      </c>
      <c r="I1792" s="8"/>
      <c r="J1792" s="9">
        <f t="shared" si="954"/>
        <v>870830</v>
      </c>
      <c r="K1792" s="8"/>
      <c r="L1792" s="8"/>
      <c r="M1792" s="9">
        <f t="shared" ref="M1792:M1804" si="961">+H1792+L1792</f>
        <v>870830</v>
      </c>
      <c r="N1792" s="8"/>
      <c r="O1792" s="9"/>
      <c r="P1792" s="9">
        <f t="shared" ref="P1792:P1804" si="962">+N1792+O1792</f>
        <v>0</v>
      </c>
      <c r="Q1792" s="9">
        <f t="shared" si="955"/>
        <v>870830</v>
      </c>
      <c r="R1792" s="17"/>
      <c r="S1792" s="17"/>
      <c r="T1792" s="17"/>
      <c r="U1792" s="18">
        <f t="shared" si="956"/>
        <v>0</v>
      </c>
      <c r="V1792" s="17"/>
      <c r="W1792" s="17"/>
      <c r="X1792" s="9">
        <f t="shared" si="957"/>
        <v>870830</v>
      </c>
      <c r="Y1792" s="8"/>
      <c r="Z1792" s="9">
        <f t="shared" si="958"/>
        <v>0</v>
      </c>
      <c r="AA1792" s="8">
        <f t="shared" si="959"/>
        <v>870830</v>
      </c>
      <c r="AB1792" s="8">
        <f t="shared" si="960"/>
        <v>0</v>
      </c>
    </row>
    <row r="1793" spans="1:28" x14ac:dyDescent="0.3">
      <c r="A1793" s="64"/>
      <c r="B1793" s="8"/>
      <c r="C1793" s="7" t="s">
        <v>545</v>
      </c>
      <c r="D1793" s="15" t="s">
        <v>54</v>
      </c>
      <c r="E1793" s="9">
        <v>1767770</v>
      </c>
      <c r="F1793" s="8"/>
      <c r="G1793" s="8"/>
      <c r="H1793" s="9">
        <f t="shared" si="953"/>
        <v>0</v>
      </c>
      <c r="I1793" s="8"/>
      <c r="J1793" s="9">
        <f t="shared" si="954"/>
        <v>0</v>
      </c>
      <c r="K1793" s="9">
        <v>1767770</v>
      </c>
      <c r="L1793" s="8"/>
      <c r="M1793" s="9">
        <f t="shared" si="961"/>
        <v>0</v>
      </c>
      <c r="N1793" s="8">
        <v>1767770</v>
      </c>
      <c r="O1793" s="9"/>
      <c r="P1793" s="9">
        <f t="shared" si="962"/>
        <v>1767770</v>
      </c>
      <c r="Q1793" s="9">
        <f t="shared" si="955"/>
        <v>0</v>
      </c>
      <c r="R1793" s="17"/>
      <c r="S1793" s="17"/>
      <c r="T1793" s="17"/>
      <c r="U1793" s="18">
        <f t="shared" si="956"/>
        <v>1767770</v>
      </c>
      <c r="V1793" s="17"/>
      <c r="W1793" s="17"/>
      <c r="X1793" s="9">
        <f t="shared" si="957"/>
        <v>1767770</v>
      </c>
      <c r="Y1793" s="8"/>
      <c r="Z1793" s="9">
        <f t="shared" si="958"/>
        <v>0</v>
      </c>
      <c r="AA1793" s="8">
        <f t="shared" si="959"/>
        <v>1767770</v>
      </c>
      <c r="AB1793" s="8">
        <f t="shared" si="960"/>
        <v>0</v>
      </c>
    </row>
    <row r="1794" spans="1:28" x14ac:dyDescent="0.3">
      <c r="A1794" s="64"/>
      <c r="B1794" s="8"/>
      <c r="C1794" s="7" t="s">
        <v>535</v>
      </c>
      <c r="D1794" s="15" t="s">
        <v>85</v>
      </c>
      <c r="E1794" s="9">
        <v>1597040</v>
      </c>
      <c r="F1794" s="9">
        <v>1597040</v>
      </c>
      <c r="G1794" s="8"/>
      <c r="H1794" s="9">
        <f t="shared" si="953"/>
        <v>1597040</v>
      </c>
      <c r="I1794" s="8"/>
      <c r="J1794" s="9">
        <f t="shared" si="954"/>
        <v>1597040</v>
      </c>
      <c r="K1794" s="8"/>
      <c r="L1794" s="8"/>
      <c r="M1794" s="9">
        <f t="shared" si="961"/>
        <v>1597040</v>
      </c>
      <c r="N1794" s="8"/>
      <c r="O1794" s="9"/>
      <c r="P1794" s="9">
        <f t="shared" si="962"/>
        <v>0</v>
      </c>
      <c r="Q1794" s="9">
        <f t="shared" si="955"/>
        <v>1597040</v>
      </c>
      <c r="R1794" s="17"/>
      <c r="S1794" s="17"/>
      <c r="T1794" s="17"/>
      <c r="U1794" s="18">
        <f t="shared" si="956"/>
        <v>0</v>
      </c>
      <c r="V1794" s="17"/>
      <c r="W1794" s="17"/>
      <c r="X1794" s="9">
        <f t="shared" si="957"/>
        <v>1597040</v>
      </c>
      <c r="Y1794" s="8"/>
      <c r="Z1794" s="9">
        <f t="shared" si="958"/>
        <v>0</v>
      </c>
      <c r="AA1794" s="8">
        <f t="shared" si="959"/>
        <v>1597040</v>
      </c>
      <c r="AB1794" s="8">
        <f t="shared" si="960"/>
        <v>0</v>
      </c>
    </row>
    <row r="1795" spans="1:28" x14ac:dyDescent="0.3">
      <c r="A1795" s="64"/>
      <c r="B1795" s="8"/>
      <c r="C1795" s="7" t="s">
        <v>766</v>
      </c>
      <c r="D1795" s="15" t="s">
        <v>85</v>
      </c>
      <c r="E1795" s="9">
        <v>800000</v>
      </c>
      <c r="F1795" s="9">
        <v>800000</v>
      </c>
      <c r="G1795" s="8"/>
      <c r="H1795" s="9">
        <f t="shared" si="953"/>
        <v>800000</v>
      </c>
      <c r="I1795" s="8"/>
      <c r="J1795" s="9">
        <f t="shared" si="954"/>
        <v>800000</v>
      </c>
      <c r="K1795" s="8"/>
      <c r="L1795" s="8"/>
      <c r="M1795" s="9">
        <f t="shared" si="961"/>
        <v>800000</v>
      </c>
      <c r="N1795" s="8"/>
      <c r="O1795" s="9"/>
      <c r="P1795" s="9">
        <f t="shared" si="962"/>
        <v>0</v>
      </c>
      <c r="Q1795" s="9">
        <f t="shared" si="955"/>
        <v>800000</v>
      </c>
      <c r="R1795" s="17"/>
      <c r="S1795" s="17"/>
      <c r="T1795" s="17"/>
      <c r="U1795" s="18">
        <f t="shared" si="956"/>
        <v>0</v>
      </c>
      <c r="V1795" s="17"/>
      <c r="W1795" s="17"/>
      <c r="X1795" s="9">
        <f t="shared" si="957"/>
        <v>800000</v>
      </c>
      <c r="Y1795" s="8"/>
      <c r="Z1795" s="9">
        <f t="shared" si="958"/>
        <v>0</v>
      </c>
      <c r="AA1795" s="8">
        <f t="shared" si="959"/>
        <v>800000</v>
      </c>
      <c r="AB1795" s="8">
        <f t="shared" si="960"/>
        <v>0</v>
      </c>
    </row>
    <row r="1796" spans="1:28" x14ac:dyDescent="0.3">
      <c r="A1796" s="64"/>
      <c r="B1796" s="8"/>
      <c r="C1796" s="7" t="s">
        <v>535</v>
      </c>
      <c r="D1796" s="15" t="s">
        <v>128</v>
      </c>
      <c r="E1796" s="9">
        <v>1200000</v>
      </c>
      <c r="F1796" s="9">
        <v>1200000</v>
      </c>
      <c r="G1796" s="8"/>
      <c r="H1796" s="9">
        <f t="shared" si="953"/>
        <v>1200000</v>
      </c>
      <c r="I1796" s="8"/>
      <c r="J1796" s="9">
        <f t="shared" si="954"/>
        <v>1200000</v>
      </c>
      <c r="K1796" s="8"/>
      <c r="L1796" s="8"/>
      <c r="M1796" s="9">
        <f t="shared" si="961"/>
        <v>1200000</v>
      </c>
      <c r="N1796" s="8"/>
      <c r="O1796" s="9"/>
      <c r="P1796" s="9">
        <f t="shared" si="962"/>
        <v>0</v>
      </c>
      <c r="Q1796" s="9">
        <f t="shared" si="955"/>
        <v>1200000</v>
      </c>
      <c r="R1796" s="17"/>
      <c r="S1796" s="17"/>
      <c r="T1796" s="17"/>
      <c r="U1796" s="18">
        <f t="shared" si="956"/>
        <v>0</v>
      </c>
      <c r="V1796" s="17"/>
      <c r="W1796" s="17"/>
      <c r="X1796" s="9">
        <f t="shared" si="957"/>
        <v>1200000</v>
      </c>
      <c r="Y1796" s="8"/>
      <c r="Z1796" s="9">
        <f t="shared" si="958"/>
        <v>0</v>
      </c>
      <c r="AA1796" s="8">
        <f t="shared" si="959"/>
        <v>1200000</v>
      </c>
      <c r="AB1796" s="8">
        <f t="shared" si="960"/>
        <v>0</v>
      </c>
    </row>
    <row r="1797" spans="1:28" x14ac:dyDescent="0.3">
      <c r="A1797" s="64"/>
      <c r="B1797" s="8"/>
      <c r="C1797" s="7" t="s">
        <v>535</v>
      </c>
      <c r="D1797" s="21" t="s">
        <v>60</v>
      </c>
      <c r="E1797" s="9">
        <v>1922000</v>
      </c>
      <c r="F1797" s="9">
        <v>1922000</v>
      </c>
      <c r="G1797" s="8"/>
      <c r="H1797" s="9">
        <f t="shared" si="953"/>
        <v>1922000</v>
      </c>
      <c r="I1797" s="8"/>
      <c r="J1797" s="9">
        <f t="shared" si="954"/>
        <v>1922000</v>
      </c>
      <c r="K1797" s="8"/>
      <c r="L1797" s="8"/>
      <c r="M1797" s="9">
        <f t="shared" si="961"/>
        <v>1922000</v>
      </c>
      <c r="N1797" s="8"/>
      <c r="O1797" s="9"/>
      <c r="P1797" s="9">
        <f t="shared" si="962"/>
        <v>0</v>
      </c>
      <c r="Q1797" s="9">
        <f t="shared" si="955"/>
        <v>1922000</v>
      </c>
      <c r="R1797" s="17"/>
      <c r="S1797" s="17"/>
      <c r="T1797" s="17"/>
      <c r="U1797" s="18">
        <f t="shared" si="956"/>
        <v>0</v>
      </c>
      <c r="V1797" s="17"/>
      <c r="W1797" s="17"/>
      <c r="X1797" s="9">
        <f t="shared" si="957"/>
        <v>1922000</v>
      </c>
      <c r="Y1797" s="8"/>
      <c r="Z1797" s="9">
        <f t="shared" si="958"/>
        <v>0</v>
      </c>
      <c r="AA1797" s="8">
        <f t="shared" si="959"/>
        <v>1922000</v>
      </c>
      <c r="AB1797" s="8">
        <f t="shared" si="960"/>
        <v>0</v>
      </c>
    </row>
    <row r="1798" spans="1:28" x14ac:dyDescent="0.3">
      <c r="A1798" s="64"/>
      <c r="B1798" s="8"/>
      <c r="C1798" s="14" t="s">
        <v>535</v>
      </c>
      <c r="D1798" s="21" t="s">
        <v>73</v>
      </c>
      <c r="E1798" s="11">
        <v>612200</v>
      </c>
      <c r="F1798" s="11">
        <v>612200</v>
      </c>
      <c r="G1798" s="8"/>
      <c r="H1798" s="9">
        <f t="shared" si="953"/>
        <v>612200</v>
      </c>
      <c r="I1798" s="8"/>
      <c r="J1798" s="9">
        <f t="shared" si="954"/>
        <v>612200</v>
      </c>
      <c r="K1798" s="8"/>
      <c r="L1798" s="8"/>
      <c r="M1798" s="9">
        <f t="shared" si="961"/>
        <v>612200</v>
      </c>
      <c r="N1798" s="8"/>
      <c r="O1798" s="9"/>
      <c r="P1798" s="9">
        <f t="shared" si="962"/>
        <v>0</v>
      </c>
      <c r="Q1798" s="9">
        <f t="shared" si="955"/>
        <v>612200</v>
      </c>
      <c r="R1798" s="17"/>
      <c r="S1798" s="17"/>
      <c r="T1798" s="17"/>
      <c r="U1798" s="18">
        <f t="shared" si="956"/>
        <v>0</v>
      </c>
      <c r="V1798" s="17"/>
      <c r="W1798" s="17"/>
      <c r="X1798" s="9">
        <f t="shared" si="957"/>
        <v>612200</v>
      </c>
      <c r="Y1798" s="8"/>
      <c r="Z1798" s="9">
        <f t="shared" si="958"/>
        <v>0</v>
      </c>
      <c r="AA1798" s="8">
        <f t="shared" si="959"/>
        <v>612200</v>
      </c>
      <c r="AB1798" s="8">
        <f t="shared" si="960"/>
        <v>0</v>
      </c>
    </row>
    <row r="1799" spans="1:28" x14ac:dyDescent="0.3">
      <c r="A1799" s="64"/>
      <c r="B1799" s="8"/>
      <c r="C1799" s="14" t="s">
        <v>535</v>
      </c>
      <c r="D1799" s="21" t="s">
        <v>61</v>
      </c>
      <c r="E1799" s="11">
        <v>452792.12</v>
      </c>
      <c r="F1799" s="11">
        <v>452792.12</v>
      </c>
      <c r="G1799" s="8"/>
      <c r="H1799" s="9">
        <f t="shared" si="953"/>
        <v>452792.12</v>
      </c>
      <c r="I1799" s="8"/>
      <c r="J1799" s="9">
        <f t="shared" si="954"/>
        <v>452792.12</v>
      </c>
      <c r="K1799" s="8"/>
      <c r="L1799" s="8"/>
      <c r="M1799" s="9">
        <f t="shared" si="961"/>
        <v>452792.12</v>
      </c>
      <c r="N1799" s="8"/>
      <c r="O1799" s="9"/>
      <c r="P1799" s="9">
        <f t="shared" si="962"/>
        <v>0</v>
      </c>
      <c r="Q1799" s="9">
        <f t="shared" si="955"/>
        <v>452792.12</v>
      </c>
      <c r="R1799" s="17"/>
      <c r="S1799" s="17"/>
      <c r="T1799" s="17"/>
      <c r="U1799" s="18">
        <f t="shared" si="956"/>
        <v>0</v>
      </c>
      <c r="V1799" s="17"/>
      <c r="W1799" s="17"/>
      <c r="X1799" s="9">
        <f t="shared" si="957"/>
        <v>452792.12</v>
      </c>
      <c r="Y1799" s="8"/>
      <c r="Z1799" s="9">
        <f t="shared" si="958"/>
        <v>0</v>
      </c>
      <c r="AA1799" s="8">
        <f t="shared" si="959"/>
        <v>452792.12</v>
      </c>
      <c r="AB1799" s="8">
        <f t="shared" si="960"/>
        <v>0</v>
      </c>
    </row>
    <row r="1800" spans="1:28" x14ac:dyDescent="0.3">
      <c r="A1800" s="64"/>
      <c r="B1800" s="8"/>
      <c r="C1800" s="14" t="s">
        <v>933</v>
      </c>
      <c r="D1800" s="24" t="s">
        <v>1072</v>
      </c>
      <c r="E1800" s="11">
        <v>506000</v>
      </c>
      <c r="F1800" s="11">
        <v>506000</v>
      </c>
      <c r="G1800" s="8"/>
      <c r="H1800" s="9">
        <f>+F1800+G1800</f>
        <v>506000</v>
      </c>
      <c r="I1800" s="8"/>
      <c r="J1800" s="9">
        <f t="shared" si="954"/>
        <v>506000</v>
      </c>
      <c r="K1800" s="8"/>
      <c r="L1800" s="8"/>
      <c r="M1800" s="9">
        <f t="shared" si="961"/>
        <v>506000</v>
      </c>
      <c r="N1800" s="8"/>
      <c r="O1800" s="9"/>
      <c r="P1800" s="9">
        <f>+N1800+O1800</f>
        <v>0</v>
      </c>
      <c r="Q1800" s="9">
        <f t="shared" si="955"/>
        <v>506000</v>
      </c>
      <c r="R1800" s="17"/>
      <c r="S1800" s="17"/>
      <c r="T1800" s="17"/>
      <c r="U1800" s="18">
        <f t="shared" si="956"/>
        <v>0</v>
      </c>
      <c r="V1800" s="17"/>
      <c r="W1800" s="17"/>
      <c r="X1800" s="9">
        <f t="shared" si="957"/>
        <v>506000</v>
      </c>
      <c r="Y1800" s="8"/>
      <c r="Z1800" s="9">
        <f t="shared" si="958"/>
        <v>0</v>
      </c>
      <c r="AA1800" s="8">
        <f t="shared" si="959"/>
        <v>506000</v>
      </c>
      <c r="AB1800" s="8">
        <f t="shared" si="960"/>
        <v>0</v>
      </c>
    </row>
    <row r="1801" spans="1:28" x14ac:dyDescent="0.3">
      <c r="A1801" s="64"/>
      <c r="B1801" s="8"/>
      <c r="C1801" s="14" t="s">
        <v>1116</v>
      </c>
      <c r="D1801" s="24" t="s">
        <v>1126</v>
      </c>
      <c r="E1801" s="11">
        <v>1545414.66</v>
      </c>
      <c r="F1801" s="8">
        <v>1545414.66</v>
      </c>
      <c r="G1801" s="8"/>
      <c r="H1801" s="9">
        <f>+F1801+G1801</f>
        <v>1545414.66</v>
      </c>
      <c r="I1801" s="8"/>
      <c r="J1801" s="9">
        <f t="shared" si="954"/>
        <v>1545414.66</v>
      </c>
      <c r="K1801" s="8"/>
      <c r="L1801" s="8"/>
      <c r="M1801" s="9">
        <f t="shared" si="961"/>
        <v>1545414.66</v>
      </c>
      <c r="N1801" s="8"/>
      <c r="O1801" s="9"/>
      <c r="P1801" s="9">
        <f>+N1801+O1801</f>
        <v>0</v>
      </c>
      <c r="Q1801" s="9">
        <f t="shared" si="955"/>
        <v>1545414.66</v>
      </c>
      <c r="R1801" s="17"/>
      <c r="S1801" s="17"/>
      <c r="T1801" s="17"/>
      <c r="U1801" s="18">
        <f t="shared" si="956"/>
        <v>0</v>
      </c>
      <c r="V1801" s="17"/>
      <c r="W1801" s="17"/>
      <c r="X1801" s="9">
        <f t="shared" si="957"/>
        <v>1545414.66</v>
      </c>
      <c r="Y1801" s="8"/>
      <c r="Z1801" s="9">
        <f t="shared" si="958"/>
        <v>0</v>
      </c>
      <c r="AA1801" s="8">
        <f t="shared" si="959"/>
        <v>1545414.66</v>
      </c>
      <c r="AB1801" s="8">
        <f t="shared" si="960"/>
        <v>0</v>
      </c>
    </row>
    <row r="1802" spans="1:28" x14ac:dyDescent="0.3">
      <c r="A1802" s="64"/>
      <c r="B1802" s="8"/>
      <c r="C1802" s="7" t="s">
        <v>598</v>
      </c>
      <c r="D1802" s="8"/>
      <c r="E1802" s="9">
        <v>305284.03000000003</v>
      </c>
      <c r="F1802" s="9">
        <v>305284.03000000003</v>
      </c>
      <c r="G1802" s="8"/>
      <c r="H1802" s="9">
        <f t="shared" si="953"/>
        <v>305284.03000000003</v>
      </c>
      <c r="I1802" s="8"/>
      <c r="J1802" s="9">
        <f t="shared" si="954"/>
        <v>305284.03000000003</v>
      </c>
      <c r="K1802" s="8"/>
      <c r="L1802" s="8"/>
      <c r="M1802" s="9">
        <f t="shared" si="961"/>
        <v>305284.03000000003</v>
      </c>
      <c r="N1802" s="8"/>
      <c r="O1802" s="9"/>
      <c r="P1802" s="9">
        <f t="shared" si="962"/>
        <v>0</v>
      </c>
      <c r="Q1802" s="9">
        <f t="shared" si="955"/>
        <v>305284.03000000003</v>
      </c>
      <c r="R1802" s="17"/>
      <c r="S1802" s="17"/>
      <c r="T1802" s="17"/>
      <c r="U1802" s="18">
        <f t="shared" si="956"/>
        <v>0</v>
      </c>
      <c r="V1802" s="17"/>
      <c r="W1802" s="17"/>
      <c r="X1802" s="9">
        <f t="shared" si="957"/>
        <v>305284.03000000003</v>
      </c>
      <c r="Y1802" s="8"/>
      <c r="Z1802" s="9">
        <f t="shared" si="958"/>
        <v>0</v>
      </c>
      <c r="AA1802" s="8">
        <f t="shared" si="959"/>
        <v>305284.03000000003</v>
      </c>
      <c r="AB1802" s="8">
        <f t="shared" si="960"/>
        <v>0</v>
      </c>
    </row>
    <row r="1803" spans="1:28" x14ac:dyDescent="0.3">
      <c r="A1803" s="64"/>
      <c r="B1803" s="8"/>
      <c r="C1803" s="7" t="s">
        <v>550</v>
      </c>
      <c r="D1803" s="8"/>
      <c r="E1803" s="9">
        <v>296250</v>
      </c>
      <c r="F1803" s="9">
        <v>296250</v>
      </c>
      <c r="G1803" s="8"/>
      <c r="H1803" s="9">
        <f t="shared" si="953"/>
        <v>296250</v>
      </c>
      <c r="I1803" s="8"/>
      <c r="J1803" s="9">
        <f t="shared" si="954"/>
        <v>296250</v>
      </c>
      <c r="K1803" s="8"/>
      <c r="L1803" s="8"/>
      <c r="M1803" s="9">
        <f t="shared" si="961"/>
        <v>296250</v>
      </c>
      <c r="N1803" s="8"/>
      <c r="O1803" s="9"/>
      <c r="P1803" s="9">
        <f t="shared" si="962"/>
        <v>0</v>
      </c>
      <c r="Q1803" s="9">
        <f t="shared" si="955"/>
        <v>296250</v>
      </c>
      <c r="R1803" s="17"/>
      <c r="S1803" s="17"/>
      <c r="T1803" s="17"/>
      <c r="U1803" s="18">
        <f t="shared" si="956"/>
        <v>0</v>
      </c>
      <c r="V1803" s="17"/>
      <c r="W1803" s="17"/>
      <c r="X1803" s="9">
        <f t="shared" si="957"/>
        <v>296250</v>
      </c>
      <c r="Y1803" s="8"/>
      <c r="Z1803" s="9">
        <f t="shared" si="958"/>
        <v>0</v>
      </c>
      <c r="AA1803" s="8">
        <f t="shared" si="959"/>
        <v>296250</v>
      </c>
      <c r="AB1803" s="8">
        <f t="shared" si="960"/>
        <v>0</v>
      </c>
    </row>
    <row r="1804" spans="1:28" x14ac:dyDescent="0.3">
      <c r="A1804" s="64"/>
      <c r="B1804" s="8"/>
      <c r="C1804" s="7" t="s">
        <v>606</v>
      </c>
      <c r="D1804" s="8"/>
      <c r="E1804" s="9">
        <v>2500000</v>
      </c>
      <c r="F1804" s="9">
        <v>2500000</v>
      </c>
      <c r="G1804" s="8"/>
      <c r="H1804" s="9">
        <f t="shared" si="953"/>
        <v>2500000</v>
      </c>
      <c r="I1804" s="8"/>
      <c r="J1804" s="9">
        <f t="shared" si="954"/>
        <v>2500000</v>
      </c>
      <c r="K1804" s="8"/>
      <c r="L1804" s="8"/>
      <c r="M1804" s="9">
        <f t="shared" si="961"/>
        <v>2500000</v>
      </c>
      <c r="N1804" s="8"/>
      <c r="O1804" s="9"/>
      <c r="P1804" s="9">
        <f t="shared" si="962"/>
        <v>0</v>
      </c>
      <c r="Q1804" s="9">
        <f t="shared" si="955"/>
        <v>2500000</v>
      </c>
      <c r="R1804" s="17"/>
      <c r="S1804" s="17"/>
      <c r="T1804" s="17"/>
      <c r="U1804" s="18">
        <f t="shared" si="956"/>
        <v>0</v>
      </c>
      <c r="V1804" s="17"/>
      <c r="W1804" s="17"/>
      <c r="X1804" s="9">
        <f t="shared" si="957"/>
        <v>2500000</v>
      </c>
      <c r="Y1804" s="8"/>
      <c r="Z1804" s="9">
        <f t="shared" si="958"/>
        <v>0</v>
      </c>
      <c r="AA1804" s="8">
        <f t="shared" si="959"/>
        <v>2500000</v>
      </c>
      <c r="AB1804" s="8">
        <f t="shared" si="960"/>
        <v>0</v>
      </c>
    </row>
    <row r="1805" spans="1:28" x14ac:dyDescent="0.3">
      <c r="A1805" s="64"/>
      <c r="B1805" s="8"/>
      <c r="C1805" s="8"/>
      <c r="D1805" s="8"/>
      <c r="E1805" s="17" t="s">
        <v>29</v>
      </c>
      <c r="F1805" s="17" t="s">
        <v>29</v>
      </c>
      <c r="G1805" s="17" t="s">
        <v>29</v>
      </c>
      <c r="H1805" s="17" t="s">
        <v>29</v>
      </c>
      <c r="I1805" s="17" t="s">
        <v>29</v>
      </c>
      <c r="J1805" s="17" t="s">
        <v>29</v>
      </c>
      <c r="K1805" s="17" t="s">
        <v>29</v>
      </c>
      <c r="L1805" s="17" t="s">
        <v>29</v>
      </c>
      <c r="M1805" s="17" t="s">
        <v>29</v>
      </c>
      <c r="N1805" s="17" t="s">
        <v>29</v>
      </c>
      <c r="O1805" s="17" t="s">
        <v>29</v>
      </c>
      <c r="P1805" s="17" t="s">
        <v>29</v>
      </c>
      <c r="Q1805" s="17" t="s">
        <v>29</v>
      </c>
      <c r="R1805" s="17"/>
      <c r="S1805" s="17"/>
      <c r="T1805" s="17"/>
      <c r="U1805" s="17" t="s">
        <v>29</v>
      </c>
      <c r="V1805" s="17"/>
      <c r="W1805" s="17"/>
      <c r="X1805" s="17"/>
      <c r="Y1805" s="17"/>
      <c r="Z1805" s="17"/>
      <c r="AA1805" s="17" t="s">
        <v>29</v>
      </c>
      <c r="AB1805" s="17" t="s">
        <v>29</v>
      </c>
    </row>
    <row r="1806" spans="1:28" x14ac:dyDescent="0.3">
      <c r="A1806" s="64"/>
      <c r="B1806" s="8"/>
      <c r="C1806" s="8"/>
      <c r="D1806" s="8"/>
      <c r="E1806" s="9">
        <f t="shared" ref="E1806:Q1806" si="963">SUM(E1791:E1805)</f>
        <v>15711769.109999999</v>
      </c>
      <c r="F1806" s="9">
        <f t="shared" si="963"/>
        <v>12607810.809999999</v>
      </c>
      <c r="G1806" s="9">
        <f t="shared" si="963"/>
        <v>0</v>
      </c>
      <c r="H1806" s="9">
        <f t="shared" si="963"/>
        <v>12607810.809999999</v>
      </c>
      <c r="I1806" s="9">
        <f t="shared" si="963"/>
        <v>0</v>
      </c>
      <c r="J1806" s="9">
        <f t="shared" si="963"/>
        <v>12607810.809999999</v>
      </c>
      <c r="K1806" s="9">
        <f t="shared" si="963"/>
        <v>3103958.3</v>
      </c>
      <c r="L1806" s="9">
        <f t="shared" si="963"/>
        <v>0</v>
      </c>
      <c r="M1806" s="9">
        <f t="shared" si="963"/>
        <v>12607810.809999999</v>
      </c>
      <c r="N1806" s="9">
        <f t="shared" si="963"/>
        <v>3103958.3</v>
      </c>
      <c r="O1806" s="9">
        <f t="shared" si="963"/>
        <v>0</v>
      </c>
      <c r="P1806" s="9">
        <f t="shared" si="963"/>
        <v>3103958.3</v>
      </c>
      <c r="Q1806" s="9">
        <f t="shared" si="963"/>
        <v>12607810.809999999</v>
      </c>
      <c r="R1806" s="17"/>
      <c r="S1806" s="17"/>
      <c r="T1806" s="18">
        <v>0</v>
      </c>
      <c r="U1806" s="9">
        <f t="shared" ref="U1806:Z1806" si="964">SUM(U1791:U1805)</f>
        <v>3103958.3</v>
      </c>
      <c r="V1806" s="9">
        <f t="shared" si="964"/>
        <v>0</v>
      </c>
      <c r="W1806" s="9">
        <f t="shared" si="964"/>
        <v>0</v>
      </c>
      <c r="X1806" s="9">
        <f t="shared" si="964"/>
        <v>15711769.109999999</v>
      </c>
      <c r="Y1806" s="9">
        <f t="shared" si="964"/>
        <v>0</v>
      </c>
      <c r="Z1806" s="9">
        <f t="shared" si="964"/>
        <v>0</v>
      </c>
      <c r="AA1806" s="9">
        <f>SUM(AA1791:AA1805)</f>
        <v>15711769.109999999</v>
      </c>
      <c r="AB1806" s="9">
        <f>SUM(AB1791:AB1805)</f>
        <v>0</v>
      </c>
    </row>
    <row r="1807" spans="1:28" x14ac:dyDescent="0.3">
      <c r="A1807" s="64"/>
      <c r="B1807" s="8"/>
      <c r="C1807" s="8"/>
      <c r="D1807" s="8"/>
      <c r="E1807" s="17" t="s">
        <v>29</v>
      </c>
      <c r="F1807" s="17" t="s">
        <v>29</v>
      </c>
      <c r="G1807" s="17" t="s">
        <v>29</v>
      </c>
      <c r="H1807" s="17" t="s">
        <v>29</v>
      </c>
      <c r="I1807" s="17" t="s">
        <v>29</v>
      </c>
      <c r="J1807" s="17" t="s">
        <v>29</v>
      </c>
      <c r="K1807" s="17" t="s">
        <v>29</v>
      </c>
      <c r="L1807" s="17" t="s">
        <v>29</v>
      </c>
      <c r="M1807" s="17" t="s">
        <v>29</v>
      </c>
      <c r="N1807" s="17" t="s">
        <v>29</v>
      </c>
      <c r="O1807" s="17" t="s">
        <v>29</v>
      </c>
      <c r="P1807" s="17" t="s">
        <v>29</v>
      </c>
      <c r="Q1807" s="17" t="s">
        <v>29</v>
      </c>
      <c r="R1807" s="17"/>
      <c r="S1807" s="17"/>
      <c r="T1807" s="17"/>
      <c r="U1807" s="17" t="s">
        <v>29</v>
      </c>
      <c r="V1807" s="17" t="s">
        <v>29</v>
      </c>
      <c r="W1807" s="17" t="s">
        <v>29</v>
      </c>
      <c r="X1807" s="17" t="s">
        <v>29</v>
      </c>
      <c r="Y1807" s="17"/>
      <c r="Z1807" s="17"/>
      <c r="AA1807" s="17" t="s">
        <v>29</v>
      </c>
      <c r="AB1807" s="17" t="s">
        <v>29</v>
      </c>
    </row>
    <row r="1808" spans="1:28" x14ac:dyDescent="0.3">
      <c r="A1808" s="63" t="s">
        <v>1016</v>
      </c>
      <c r="B1808" s="7" t="s">
        <v>767</v>
      </c>
      <c r="C1808" s="8"/>
      <c r="D1808" s="8"/>
      <c r="E1808" s="8"/>
      <c r="F1808" s="8"/>
      <c r="G1808" s="8"/>
      <c r="H1808" s="8"/>
      <c r="I1808" s="8"/>
      <c r="J1808" s="8"/>
      <c r="K1808" s="8"/>
      <c r="L1808" s="8"/>
      <c r="M1808" s="8"/>
      <c r="N1808" s="8"/>
      <c r="O1808" s="8"/>
      <c r="P1808" s="8"/>
      <c r="Q1808" s="8"/>
      <c r="R1808" s="17"/>
      <c r="S1808" s="17"/>
      <c r="T1808" s="17"/>
      <c r="U1808" s="17"/>
      <c r="V1808" s="17"/>
      <c r="W1808" s="17"/>
      <c r="X1808" s="17"/>
      <c r="Y1808" s="17"/>
      <c r="Z1808" s="17"/>
    </row>
    <row r="1809" spans="1:28" x14ac:dyDescent="0.3">
      <c r="A1809" s="64"/>
      <c r="B1809" s="8"/>
      <c r="C1809" s="7" t="s">
        <v>535</v>
      </c>
      <c r="D1809" s="15" t="s">
        <v>68</v>
      </c>
      <c r="E1809" s="9">
        <f>2642900-2594582</f>
        <v>48318</v>
      </c>
      <c r="F1809" s="8"/>
      <c r="G1809" s="8"/>
      <c r="H1809" s="9">
        <f t="shared" ref="H1809:H1822" si="965">F1809+G1809</f>
        <v>0</v>
      </c>
      <c r="I1809" s="8"/>
      <c r="J1809" s="9">
        <f t="shared" ref="J1809:J1822" si="966">H1809+I1809</f>
        <v>0</v>
      </c>
      <c r="K1809" s="9">
        <v>48318</v>
      </c>
      <c r="L1809" s="8"/>
      <c r="M1809" s="9">
        <f>+H1809+L1809</f>
        <v>0</v>
      </c>
      <c r="N1809" s="8">
        <v>48318</v>
      </c>
      <c r="O1809" s="9"/>
      <c r="P1809" s="9">
        <f>+N1809+O1809</f>
        <v>48318</v>
      </c>
      <c r="Q1809" s="9">
        <f t="shared" ref="Q1809:Q1822" si="967">E1809-P1809</f>
        <v>0</v>
      </c>
      <c r="R1809" s="17"/>
      <c r="S1809" s="17"/>
      <c r="T1809" s="17"/>
      <c r="U1809" s="18">
        <f t="shared" ref="U1809:U1822" si="968">+P1809+T1809</f>
        <v>48318</v>
      </c>
      <c r="V1809" s="17"/>
      <c r="W1809" s="17"/>
      <c r="X1809" s="9">
        <f t="shared" ref="X1809:X1822" si="969">+H1809+P1809</f>
        <v>48318</v>
      </c>
      <c r="Y1809" s="8"/>
      <c r="Z1809" s="9">
        <f t="shared" ref="Z1809:Z1822" si="970">+E1809-X1809</f>
        <v>0</v>
      </c>
      <c r="AA1809" s="8">
        <f t="shared" ref="AA1809:AA1822" si="971">+M1809+U1809</f>
        <v>48318</v>
      </c>
      <c r="AB1809" s="8">
        <f t="shared" ref="AB1809:AB1822" si="972">+E1809-AA1809</f>
        <v>0</v>
      </c>
    </row>
    <row r="1810" spans="1:28" x14ac:dyDescent="0.3">
      <c r="A1810" s="64"/>
      <c r="B1810" s="8"/>
      <c r="C1810" s="7" t="s">
        <v>539</v>
      </c>
      <c r="D1810" s="15" t="s">
        <v>68</v>
      </c>
      <c r="E1810" s="9">
        <v>1224745.3500000001</v>
      </c>
      <c r="F1810" s="8"/>
      <c r="G1810" s="8"/>
      <c r="H1810" s="9">
        <f t="shared" si="965"/>
        <v>0</v>
      </c>
      <c r="I1810" s="8"/>
      <c r="J1810" s="9">
        <f t="shared" si="966"/>
        <v>0</v>
      </c>
      <c r="K1810" s="9">
        <v>1224745.3500000001</v>
      </c>
      <c r="L1810" s="8"/>
      <c r="M1810" s="9">
        <f t="shared" ref="M1810:M1822" si="973">+H1810+L1810</f>
        <v>0</v>
      </c>
      <c r="N1810" s="8">
        <v>1224745.3500000001</v>
      </c>
      <c r="O1810" s="9"/>
      <c r="P1810" s="9">
        <f t="shared" ref="P1810:P1822" si="974">+N1810+O1810</f>
        <v>1224745.3500000001</v>
      </c>
      <c r="Q1810" s="9">
        <f t="shared" si="967"/>
        <v>0</v>
      </c>
      <c r="R1810" s="17"/>
      <c r="S1810" s="17"/>
      <c r="T1810" s="17"/>
      <c r="U1810" s="18">
        <f t="shared" si="968"/>
        <v>1224745.3500000001</v>
      </c>
      <c r="V1810" s="17"/>
      <c r="W1810" s="17"/>
      <c r="X1810" s="9">
        <f t="shared" si="969"/>
        <v>1224745.3500000001</v>
      </c>
      <c r="Y1810" s="8"/>
      <c r="Z1810" s="9">
        <f t="shared" si="970"/>
        <v>0</v>
      </c>
      <c r="AA1810" s="8">
        <f t="shared" si="971"/>
        <v>1224745.3500000001</v>
      </c>
      <c r="AB1810" s="8">
        <f t="shared" si="972"/>
        <v>0</v>
      </c>
    </row>
    <row r="1811" spans="1:28" x14ac:dyDescent="0.3">
      <c r="A1811" s="64"/>
      <c r="B1811" s="8"/>
      <c r="C1811" s="7" t="s">
        <v>545</v>
      </c>
      <c r="D1811" s="15" t="s">
        <v>54</v>
      </c>
      <c r="E1811" s="9">
        <v>1953989</v>
      </c>
      <c r="F1811" s="8"/>
      <c r="G1811" s="8"/>
      <c r="H1811" s="9">
        <f t="shared" si="965"/>
        <v>0</v>
      </c>
      <c r="I1811" s="8"/>
      <c r="J1811" s="9">
        <f t="shared" si="966"/>
        <v>0</v>
      </c>
      <c r="K1811" s="9">
        <v>1953989</v>
      </c>
      <c r="L1811" s="8"/>
      <c r="M1811" s="9">
        <f t="shared" si="973"/>
        <v>0</v>
      </c>
      <c r="N1811" s="8">
        <v>1953989</v>
      </c>
      <c r="O1811" s="9"/>
      <c r="P1811" s="9">
        <f t="shared" si="974"/>
        <v>1953989</v>
      </c>
      <c r="Q1811" s="9">
        <f t="shared" si="967"/>
        <v>0</v>
      </c>
      <c r="R1811" s="17"/>
      <c r="S1811" s="17"/>
      <c r="T1811" s="17"/>
      <c r="U1811" s="18">
        <f t="shared" si="968"/>
        <v>1953989</v>
      </c>
      <c r="V1811" s="17"/>
      <c r="W1811" s="17"/>
      <c r="X1811" s="9">
        <f t="shared" si="969"/>
        <v>1953989</v>
      </c>
      <c r="Y1811" s="8"/>
      <c r="Z1811" s="9">
        <f t="shared" si="970"/>
        <v>0</v>
      </c>
      <c r="AA1811" s="8">
        <f t="shared" si="971"/>
        <v>1953989</v>
      </c>
      <c r="AB1811" s="8">
        <f t="shared" si="972"/>
        <v>0</v>
      </c>
    </row>
    <row r="1812" spans="1:28" x14ac:dyDescent="0.3">
      <c r="A1812" s="64"/>
      <c r="B1812" s="8"/>
      <c r="C1812" s="7" t="s">
        <v>535</v>
      </c>
      <c r="D1812" s="15" t="s">
        <v>85</v>
      </c>
      <c r="E1812" s="9">
        <v>2000000</v>
      </c>
      <c r="F1812" s="9">
        <v>2000000</v>
      </c>
      <c r="G1812" s="8"/>
      <c r="H1812" s="9">
        <f t="shared" si="965"/>
        <v>2000000</v>
      </c>
      <c r="I1812" s="8"/>
      <c r="J1812" s="9">
        <f t="shared" si="966"/>
        <v>2000000</v>
      </c>
      <c r="K1812" s="8"/>
      <c r="L1812" s="8"/>
      <c r="M1812" s="9">
        <f t="shared" si="973"/>
        <v>2000000</v>
      </c>
      <c r="N1812" s="8"/>
      <c r="O1812" s="9"/>
      <c r="P1812" s="9">
        <f t="shared" si="974"/>
        <v>0</v>
      </c>
      <c r="Q1812" s="9">
        <f t="shared" si="967"/>
        <v>2000000</v>
      </c>
      <c r="R1812" s="17"/>
      <c r="S1812" s="17"/>
      <c r="T1812" s="17"/>
      <c r="U1812" s="18">
        <f t="shared" si="968"/>
        <v>0</v>
      </c>
      <c r="V1812" s="17"/>
      <c r="W1812" s="17"/>
      <c r="X1812" s="9">
        <f t="shared" si="969"/>
        <v>2000000</v>
      </c>
      <c r="Y1812" s="8"/>
      <c r="Z1812" s="9">
        <f t="shared" si="970"/>
        <v>0</v>
      </c>
      <c r="AA1812" s="8">
        <f t="shared" si="971"/>
        <v>2000000</v>
      </c>
      <c r="AB1812" s="8">
        <f t="shared" si="972"/>
        <v>0</v>
      </c>
    </row>
    <row r="1813" spans="1:28" x14ac:dyDescent="0.3">
      <c r="A1813" s="64"/>
      <c r="B1813" s="8"/>
      <c r="C1813" s="7" t="s">
        <v>603</v>
      </c>
      <c r="D1813" s="15" t="s">
        <v>85</v>
      </c>
      <c r="E1813" s="9">
        <v>80000</v>
      </c>
      <c r="F1813" s="9">
        <v>80000</v>
      </c>
      <c r="G1813" s="8"/>
      <c r="H1813" s="9">
        <f t="shared" si="965"/>
        <v>80000</v>
      </c>
      <c r="I1813" s="8"/>
      <c r="J1813" s="9">
        <f t="shared" si="966"/>
        <v>80000</v>
      </c>
      <c r="K1813" s="8"/>
      <c r="L1813" s="8"/>
      <c r="M1813" s="9">
        <f t="shared" si="973"/>
        <v>80000</v>
      </c>
      <c r="N1813" s="8"/>
      <c r="O1813" s="9"/>
      <c r="P1813" s="9">
        <f t="shared" si="974"/>
        <v>0</v>
      </c>
      <c r="Q1813" s="9">
        <f t="shared" si="967"/>
        <v>80000</v>
      </c>
      <c r="R1813" s="17"/>
      <c r="S1813" s="17"/>
      <c r="T1813" s="17"/>
      <c r="U1813" s="18">
        <f t="shared" si="968"/>
        <v>0</v>
      </c>
      <c r="V1813" s="17"/>
      <c r="W1813" s="17"/>
      <c r="X1813" s="9">
        <f t="shared" si="969"/>
        <v>80000</v>
      </c>
      <c r="Y1813" s="8"/>
      <c r="Z1813" s="9">
        <f t="shared" si="970"/>
        <v>0</v>
      </c>
      <c r="AA1813" s="8">
        <f t="shared" si="971"/>
        <v>80000</v>
      </c>
      <c r="AB1813" s="8">
        <f t="shared" si="972"/>
        <v>0</v>
      </c>
    </row>
    <row r="1814" spans="1:28" x14ac:dyDescent="0.3">
      <c r="A1814" s="64"/>
      <c r="B1814" s="8"/>
      <c r="C1814" s="7" t="s">
        <v>535</v>
      </c>
      <c r="D1814" s="15" t="s">
        <v>128</v>
      </c>
      <c r="E1814" s="9">
        <v>2400000</v>
      </c>
      <c r="F1814" s="9">
        <f>1200000+1200000</f>
        <v>2400000</v>
      </c>
      <c r="G1814" s="8"/>
      <c r="H1814" s="9">
        <f t="shared" si="965"/>
        <v>2400000</v>
      </c>
      <c r="I1814" s="8"/>
      <c r="J1814" s="9">
        <f t="shared" si="966"/>
        <v>2400000</v>
      </c>
      <c r="K1814" s="8"/>
      <c r="L1814" s="8"/>
      <c r="M1814" s="9">
        <f t="shared" si="973"/>
        <v>2400000</v>
      </c>
      <c r="N1814" s="8"/>
      <c r="O1814" s="9"/>
      <c r="P1814" s="9">
        <f t="shared" si="974"/>
        <v>0</v>
      </c>
      <c r="Q1814" s="9">
        <f t="shared" si="967"/>
        <v>2400000</v>
      </c>
      <c r="R1814" s="17"/>
      <c r="S1814" s="17"/>
      <c r="T1814" s="17"/>
      <c r="U1814" s="18">
        <f t="shared" si="968"/>
        <v>0</v>
      </c>
      <c r="V1814" s="17"/>
      <c r="W1814" s="17"/>
      <c r="X1814" s="9">
        <f t="shared" si="969"/>
        <v>2400000</v>
      </c>
      <c r="Y1814" s="8"/>
      <c r="Z1814" s="9">
        <f t="shared" si="970"/>
        <v>0</v>
      </c>
      <c r="AA1814" s="8">
        <f t="shared" si="971"/>
        <v>2400000</v>
      </c>
      <c r="AB1814" s="8">
        <f t="shared" si="972"/>
        <v>0</v>
      </c>
    </row>
    <row r="1815" spans="1:28" x14ac:dyDescent="0.3">
      <c r="A1815" s="64"/>
      <c r="B1815" s="8"/>
      <c r="C1815" s="7" t="s">
        <v>535</v>
      </c>
      <c r="D1815" s="15" t="s">
        <v>108</v>
      </c>
      <c r="E1815" s="9">
        <v>5540847.5099999998</v>
      </c>
      <c r="F1815" s="9">
        <v>5540847.5099999998</v>
      </c>
      <c r="G1815" s="8"/>
      <c r="H1815" s="9">
        <f t="shared" si="965"/>
        <v>5540847.5099999998</v>
      </c>
      <c r="I1815" s="8"/>
      <c r="J1815" s="9">
        <f t="shared" si="966"/>
        <v>5540847.5099999998</v>
      </c>
      <c r="K1815" s="8"/>
      <c r="L1815" s="8"/>
      <c r="M1815" s="9">
        <f t="shared" si="973"/>
        <v>5540847.5099999998</v>
      </c>
      <c r="N1815" s="8"/>
      <c r="O1815" s="9"/>
      <c r="P1815" s="9">
        <f t="shared" si="974"/>
        <v>0</v>
      </c>
      <c r="Q1815" s="9">
        <f t="shared" si="967"/>
        <v>5540847.5099999998</v>
      </c>
      <c r="R1815" s="17"/>
      <c r="S1815" s="17"/>
      <c r="T1815" s="17"/>
      <c r="U1815" s="18">
        <f t="shared" si="968"/>
        <v>0</v>
      </c>
      <c r="V1815" s="17"/>
      <c r="W1815" s="17"/>
      <c r="X1815" s="9">
        <f t="shared" si="969"/>
        <v>5540847.5099999998</v>
      </c>
      <c r="Y1815" s="8"/>
      <c r="Z1815" s="9">
        <f t="shared" si="970"/>
        <v>0</v>
      </c>
      <c r="AA1815" s="8">
        <f t="shared" si="971"/>
        <v>5540847.5099999998</v>
      </c>
      <c r="AB1815" s="8">
        <f t="shared" si="972"/>
        <v>0</v>
      </c>
    </row>
    <row r="1816" spans="1:28" x14ac:dyDescent="0.3">
      <c r="A1816" s="64"/>
      <c r="B1816" s="8"/>
      <c r="C1816" s="7" t="s">
        <v>535</v>
      </c>
      <c r="D1816" s="15" t="s">
        <v>58</v>
      </c>
      <c r="E1816" s="9">
        <v>2116018</v>
      </c>
      <c r="F1816" s="9">
        <v>2116018</v>
      </c>
      <c r="G1816" s="8"/>
      <c r="H1816" s="9">
        <f t="shared" si="965"/>
        <v>2116018</v>
      </c>
      <c r="I1816" s="8"/>
      <c r="J1816" s="9">
        <f t="shared" si="966"/>
        <v>2116018</v>
      </c>
      <c r="K1816" s="8"/>
      <c r="L1816" s="8"/>
      <c r="M1816" s="9">
        <f t="shared" si="973"/>
        <v>2116018</v>
      </c>
      <c r="N1816" s="8"/>
      <c r="O1816" s="9"/>
      <c r="P1816" s="9">
        <f t="shared" si="974"/>
        <v>0</v>
      </c>
      <c r="Q1816" s="9">
        <f t="shared" si="967"/>
        <v>2116018</v>
      </c>
      <c r="R1816" s="17"/>
      <c r="S1816" s="17"/>
      <c r="T1816" s="17"/>
      <c r="U1816" s="18">
        <f t="shared" si="968"/>
        <v>0</v>
      </c>
      <c r="V1816" s="17"/>
      <c r="W1816" s="17"/>
      <c r="X1816" s="9">
        <f t="shared" si="969"/>
        <v>2116018</v>
      </c>
      <c r="Y1816" s="8"/>
      <c r="Z1816" s="9">
        <f t="shared" si="970"/>
        <v>0</v>
      </c>
      <c r="AA1816" s="8">
        <f t="shared" si="971"/>
        <v>2116018</v>
      </c>
      <c r="AB1816" s="8">
        <f t="shared" si="972"/>
        <v>0</v>
      </c>
    </row>
    <row r="1817" spans="1:28" x14ac:dyDescent="0.3">
      <c r="A1817" s="64"/>
      <c r="B1817" s="8"/>
      <c r="C1817" s="7" t="s">
        <v>535</v>
      </c>
      <c r="D1817" s="15" t="s">
        <v>60</v>
      </c>
      <c r="E1817" s="9">
        <v>615000</v>
      </c>
      <c r="F1817" s="9">
        <v>615000</v>
      </c>
      <c r="G1817" s="8"/>
      <c r="H1817" s="9">
        <f t="shared" si="965"/>
        <v>615000</v>
      </c>
      <c r="I1817" s="8"/>
      <c r="J1817" s="9">
        <f t="shared" si="966"/>
        <v>615000</v>
      </c>
      <c r="K1817" s="8"/>
      <c r="L1817" s="8"/>
      <c r="M1817" s="9">
        <f t="shared" si="973"/>
        <v>615000</v>
      </c>
      <c r="N1817" s="8"/>
      <c r="O1817" s="9"/>
      <c r="P1817" s="9">
        <f t="shared" si="974"/>
        <v>0</v>
      </c>
      <c r="Q1817" s="9">
        <f t="shared" si="967"/>
        <v>615000</v>
      </c>
      <c r="R1817" s="17"/>
      <c r="S1817" s="17"/>
      <c r="T1817" s="17"/>
      <c r="U1817" s="18">
        <f t="shared" si="968"/>
        <v>0</v>
      </c>
      <c r="V1817" s="17"/>
      <c r="W1817" s="17"/>
      <c r="X1817" s="9">
        <f t="shared" si="969"/>
        <v>615000</v>
      </c>
      <c r="Y1817" s="8"/>
      <c r="Z1817" s="9">
        <f t="shared" si="970"/>
        <v>0</v>
      </c>
      <c r="AA1817" s="8">
        <f t="shared" si="971"/>
        <v>615000</v>
      </c>
      <c r="AB1817" s="8">
        <f t="shared" si="972"/>
        <v>0</v>
      </c>
    </row>
    <row r="1818" spans="1:28" x14ac:dyDescent="0.3">
      <c r="A1818" s="64"/>
      <c r="B1818" s="8"/>
      <c r="C1818" s="14" t="s">
        <v>535</v>
      </c>
      <c r="D1818" s="21" t="s">
        <v>73</v>
      </c>
      <c r="E1818" s="9">
        <v>1478445</v>
      </c>
      <c r="F1818" s="11">
        <v>1478445</v>
      </c>
      <c r="G1818" s="8"/>
      <c r="H1818" s="9">
        <f t="shared" si="965"/>
        <v>1478445</v>
      </c>
      <c r="I1818" s="8"/>
      <c r="J1818" s="9">
        <f t="shared" si="966"/>
        <v>1478445</v>
      </c>
      <c r="K1818" s="8"/>
      <c r="L1818" s="8"/>
      <c r="M1818" s="9">
        <f t="shared" si="973"/>
        <v>1478445</v>
      </c>
      <c r="N1818" s="8"/>
      <c r="O1818" s="9"/>
      <c r="P1818" s="9">
        <f t="shared" si="974"/>
        <v>0</v>
      </c>
      <c r="Q1818" s="9">
        <f t="shared" si="967"/>
        <v>1478445</v>
      </c>
      <c r="R1818" s="17"/>
      <c r="S1818" s="17"/>
      <c r="T1818" s="17"/>
      <c r="U1818" s="18">
        <f t="shared" si="968"/>
        <v>0</v>
      </c>
      <c r="V1818" s="17"/>
      <c r="W1818" s="17"/>
      <c r="X1818" s="9">
        <f t="shared" si="969"/>
        <v>1478445</v>
      </c>
      <c r="Y1818" s="8"/>
      <c r="Z1818" s="9">
        <f t="shared" si="970"/>
        <v>0</v>
      </c>
      <c r="AA1818" s="8">
        <f t="shared" si="971"/>
        <v>1478445</v>
      </c>
      <c r="AB1818" s="8">
        <f t="shared" si="972"/>
        <v>0</v>
      </c>
    </row>
    <row r="1819" spans="1:28" x14ac:dyDescent="0.3">
      <c r="A1819" s="64"/>
      <c r="B1819" s="8"/>
      <c r="C1819" s="14" t="s">
        <v>535</v>
      </c>
      <c r="D1819" s="21" t="s">
        <v>61</v>
      </c>
      <c r="E1819" s="11">
        <f>844741.81+632364.37</f>
        <v>1477106.1800000002</v>
      </c>
      <c r="F1819" s="11">
        <f>844741.81+632364.37</f>
        <v>1477106.1800000002</v>
      </c>
      <c r="G1819" s="8"/>
      <c r="H1819" s="9">
        <f t="shared" si="965"/>
        <v>1477106.1800000002</v>
      </c>
      <c r="I1819" s="8"/>
      <c r="J1819" s="9">
        <f t="shared" si="966"/>
        <v>1477106.1800000002</v>
      </c>
      <c r="K1819" s="8"/>
      <c r="L1819" s="8"/>
      <c r="M1819" s="9">
        <f t="shared" si="973"/>
        <v>1477106.1800000002</v>
      </c>
      <c r="N1819" s="8"/>
      <c r="O1819" s="9"/>
      <c r="P1819" s="9">
        <f t="shared" si="974"/>
        <v>0</v>
      </c>
      <c r="Q1819" s="9">
        <f t="shared" si="967"/>
        <v>1477106.1800000002</v>
      </c>
      <c r="R1819" s="17"/>
      <c r="S1819" s="17"/>
      <c r="T1819" s="17"/>
      <c r="U1819" s="18">
        <f t="shared" si="968"/>
        <v>0</v>
      </c>
      <c r="V1819" s="17"/>
      <c r="W1819" s="17"/>
      <c r="X1819" s="9">
        <f t="shared" si="969"/>
        <v>1477106.1800000002</v>
      </c>
      <c r="Y1819" s="8"/>
      <c r="Z1819" s="9">
        <f t="shared" si="970"/>
        <v>0</v>
      </c>
      <c r="AA1819" s="8">
        <f t="shared" si="971"/>
        <v>1477106.1800000002</v>
      </c>
      <c r="AB1819" s="8">
        <f t="shared" si="972"/>
        <v>0</v>
      </c>
    </row>
    <row r="1820" spans="1:28" x14ac:dyDescent="0.3">
      <c r="A1820" s="64"/>
      <c r="B1820" s="8"/>
      <c r="C1820" s="14" t="s">
        <v>933</v>
      </c>
      <c r="D1820" s="24" t="s">
        <v>1072</v>
      </c>
      <c r="E1820" s="11">
        <f>503545+770455</f>
        <v>1274000</v>
      </c>
      <c r="F1820" s="11">
        <f>503545+770455</f>
        <v>1274000</v>
      </c>
      <c r="G1820" s="8"/>
      <c r="H1820" s="9">
        <f>+F1820+G1820</f>
        <v>1274000</v>
      </c>
      <c r="I1820" s="8"/>
      <c r="J1820" s="9"/>
      <c r="K1820" s="8"/>
      <c r="L1820" s="8"/>
      <c r="M1820" s="9">
        <f>+H1820+L1820</f>
        <v>1274000</v>
      </c>
      <c r="N1820" s="8"/>
      <c r="O1820" s="9"/>
      <c r="P1820" s="9">
        <f>+N1820+O1820</f>
        <v>0</v>
      </c>
      <c r="Q1820" s="9"/>
      <c r="R1820" s="17"/>
      <c r="S1820" s="17"/>
      <c r="T1820" s="17"/>
      <c r="U1820" s="18">
        <f t="shared" si="968"/>
        <v>0</v>
      </c>
      <c r="V1820" s="17"/>
      <c r="W1820" s="17"/>
      <c r="X1820" s="9">
        <f t="shared" si="969"/>
        <v>1274000</v>
      </c>
      <c r="Y1820" s="8"/>
      <c r="Z1820" s="9">
        <f t="shared" si="970"/>
        <v>0</v>
      </c>
      <c r="AA1820" s="8">
        <f t="shared" si="971"/>
        <v>1274000</v>
      </c>
      <c r="AB1820" s="8">
        <f t="shared" si="972"/>
        <v>0</v>
      </c>
    </row>
    <row r="1821" spans="1:28" x14ac:dyDescent="0.3">
      <c r="A1821" s="64"/>
      <c r="B1821" s="8"/>
      <c r="C1821" s="7" t="s">
        <v>551</v>
      </c>
      <c r="D1821" s="8"/>
      <c r="E1821" s="9">
        <v>3106637.89</v>
      </c>
      <c r="F1821" s="9">
        <v>3106637.89</v>
      </c>
      <c r="G1821" s="8"/>
      <c r="H1821" s="9">
        <f t="shared" si="965"/>
        <v>3106637.89</v>
      </c>
      <c r="I1821" s="8"/>
      <c r="J1821" s="9">
        <f t="shared" si="966"/>
        <v>3106637.89</v>
      </c>
      <c r="K1821" s="8"/>
      <c r="L1821" s="8"/>
      <c r="M1821" s="9">
        <f t="shared" si="973"/>
        <v>3106637.89</v>
      </c>
      <c r="N1821" s="8"/>
      <c r="O1821" s="9"/>
      <c r="P1821" s="9">
        <f t="shared" si="974"/>
        <v>0</v>
      </c>
      <c r="Q1821" s="9">
        <f t="shared" si="967"/>
        <v>3106637.89</v>
      </c>
      <c r="R1821" s="17"/>
      <c r="S1821" s="17"/>
      <c r="T1821" s="17"/>
      <c r="U1821" s="18">
        <f t="shared" si="968"/>
        <v>0</v>
      </c>
      <c r="V1821" s="17"/>
      <c r="W1821" s="17"/>
      <c r="X1821" s="9">
        <f t="shared" si="969"/>
        <v>3106637.89</v>
      </c>
      <c r="Y1821" s="8"/>
      <c r="Z1821" s="9">
        <f t="shared" si="970"/>
        <v>0</v>
      </c>
      <c r="AA1821" s="8">
        <f t="shared" si="971"/>
        <v>3106637.89</v>
      </c>
      <c r="AB1821" s="8">
        <f t="shared" si="972"/>
        <v>0</v>
      </c>
    </row>
    <row r="1822" spans="1:28" x14ac:dyDescent="0.3">
      <c r="A1822" s="64"/>
      <c r="B1822" s="8"/>
      <c r="C1822" s="7" t="s">
        <v>606</v>
      </c>
      <c r="D1822" s="8"/>
      <c r="E1822" s="9">
        <f>2500000+2500000+1387570.42+1914819.62</f>
        <v>8302390.04</v>
      </c>
      <c r="F1822" s="9">
        <v>5000000</v>
      </c>
      <c r="G1822" s="8"/>
      <c r="H1822" s="9">
        <f t="shared" si="965"/>
        <v>5000000</v>
      </c>
      <c r="I1822" s="9">
        <f>1387570.42+1914819.62</f>
        <v>3302390.04</v>
      </c>
      <c r="J1822" s="9">
        <f t="shared" si="966"/>
        <v>8302390.04</v>
      </c>
      <c r="K1822" s="8"/>
      <c r="L1822" s="8">
        <v>3302390.04</v>
      </c>
      <c r="M1822" s="9">
        <f t="shared" si="973"/>
        <v>8302390.04</v>
      </c>
      <c r="N1822" s="8"/>
      <c r="O1822" s="9"/>
      <c r="P1822" s="9">
        <f t="shared" si="974"/>
        <v>0</v>
      </c>
      <c r="Q1822" s="9">
        <f t="shared" si="967"/>
        <v>8302390.04</v>
      </c>
      <c r="R1822" s="17"/>
      <c r="S1822" s="17"/>
      <c r="T1822" s="17"/>
      <c r="U1822" s="18">
        <f t="shared" si="968"/>
        <v>0</v>
      </c>
      <c r="V1822" s="17"/>
      <c r="W1822" s="17"/>
      <c r="X1822" s="9">
        <f t="shared" si="969"/>
        <v>5000000</v>
      </c>
      <c r="Y1822" s="8"/>
      <c r="Z1822" s="9">
        <f t="shared" si="970"/>
        <v>3302390.04</v>
      </c>
      <c r="AA1822" s="8">
        <f t="shared" si="971"/>
        <v>8302390.04</v>
      </c>
      <c r="AB1822" s="8">
        <f t="shared" si="972"/>
        <v>0</v>
      </c>
    </row>
    <row r="1823" spans="1:28" x14ac:dyDescent="0.3">
      <c r="A1823" s="64"/>
      <c r="B1823" s="8"/>
      <c r="C1823" s="8"/>
      <c r="D1823" s="8"/>
      <c r="E1823" s="17" t="s">
        <v>29</v>
      </c>
      <c r="F1823" s="17" t="s">
        <v>29</v>
      </c>
      <c r="G1823" s="17" t="s">
        <v>29</v>
      </c>
      <c r="H1823" s="17" t="s">
        <v>29</v>
      </c>
      <c r="I1823" s="17" t="s">
        <v>29</v>
      </c>
      <c r="J1823" s="17" t="s">
        <v>29</v>
      </c>
      <c r="K1823" s="17" t="s">
        <v>29</v>
      </c>
      <c r="L1823" s="17" t="s">
        <v>29</v>
      </c>
      <c r="M1823" s="17" t="s">
        <v>29</v>
      </c>
      <c r="N1823" s="17" t="s">
        <v>29</v>
      </c>
      <c r="O1823" s="17" t="s">
        <v>29</v>
      </c>
      <c r="P1823" s="17" t="s">
        <v>29</v>
      </c>
      <c r="Q1823" s="17" t="s">
        <v>29</v>
      </c>
      <c r="R1823" s="17"/>
      <c r="S1823" s="17"/>
      <c r="T1823" s="17"/>
      <c r="U1823" s="17"/>
      <c r="V1823" s="17"/>
      <c r="W1823" s="17"/>
      <c r="X1823" s="17"/>
      <c r="Y1823" s="17"/>
      <c r="Z1823" s="17"/>
      <c r="AA1823" s="17" t="s">
        <v>29</v>
      </c>
      <c r="AB1823" s="17" t="s">
        <v>29</v>
      </c>
    </row>
    <row r="1824" spans="1:28" x14ac:dyDescent="0.3">
      <c r="A1824" s="64"/>
      <c r="B1824" s="8"/>
      <c r="C1824" s="8"/>
      <c r="D1824" s="8"/>
      <c r="E1824" s="9">
        <f t="shared" ref="E1824:Q1824" si="975">SUM(E1809:E1823)</f>
        <v>31617496.969999999</v>
      </c>
      <c r="F1824" s="9">
        <f t="shared" si="975"/>
        <v>25088054.579999998</v>
      </c>
      <c r="G1824" s="9">
        <f t="shared" si="975"/>
        <v>0</v>
      </c>
      <c r="H1824" s="9">
        <f t="shared" si="975"/>
        <v>25088054.579999998</v>
      </c>
      <c r="I1824" s="9">
        <f t="shared" si="975"/>
        <v>3302390.04</v>
      </c>
      <c r="J1824" s="9">
        <f t="shared" si="975"/>
        <v>27116444.619999997</v>
      </c>
      <c r="K1824" s="9">
        <f t="shared" si="975"/>
        <v>3227052.35</v>
      </c>
      <c r="L1824" s="9">
        <f t="shared" si="975"/>
        <v>3302390.04</v>
      </c>
      <c r="M1824" s="9">
        <f t="shared" si="975"/>
        <v>28390444.619999997</v>
      </c>
      <c r="N1824" s="9">
        <f t="shared" si="975"/>
        <v>3227052.35</v>
      </c>
      <c r="O1824" s="9">
        <f t="shared" si="975"/>
        <v>0</v>
      </c>
      <c r="P1824" s="9">
        <f t="shared" si="975"/>
        <v>3227052.35</v>
      </c>
      <c r="Q1824" s="9">
        <f t="shared" si="975"/>
        <v>27116444.619999997</v>
      </c>
      <c r="R1824" s="17"/>
      <c r="S1824" s="17"/>
      <c r="T1824" s="9">
        <f t="shared" ref="T1824:Z1824" si="976">SUM(T1809:T1823)</f>
        <v>0</v>
      </c>
      <c r="U1824" s="9">
        <f t="shared" si="976"/>
        <v>3227052.35</v>
      </c>
      <c r="V1824" s="9">
        <f t="shared" si="976"/>
        <v>0</v>
      </c>
      <c r="W1824" s="9">
        <f t="shared" si="976"/>
        <v>0</v>
      </c>
      <c r="X1824" s="9">
        <f t="shared" si="976"/>
        <v>28315106.93</v>
      </c>
      <c r="Y1824" s="9">
        <f t="shared" si="976"/>
        <v>0</v>
      </c>
      <c r="Z1824" s="9">
        <f t="shared" si="976"/>
        <v>3302390.04</v>
      </c>
      <c r="AA1824" s="9">
        <f>SUM(AA1809:AA1823)</f>
        <v>31617496.969999999</v>
      </c>
      <c r="AB1824" s="9">
        <f>SUM(AB1809:AB1823)</f>
        <v>0</v>
      </c>
    </row>
    <row r="1825" spans="1:28" x14ac:dyDescent="0.3">
      <c r="A1825" s="64"/>
      <c r="B1825" s="8"/>
      <c r="C1825" s="8"/>
      <c r="D1825" s="8"/>
      <c r="E1825" s="17" t="s">
        <v>29</v>
      </c>
      <c r="F1825" s="17" t="s">
        <v>29</v>
      </c>
      <c r="G1825" s="17" t="s">
        <v>29</v>
      </c>
      <c r="H1825" s="17" t="s">
        <v>29</v>
      </c>
      <c r="I1825" s="17" t="s">
        <v>29</v>
      </c>
      <c r="J1825" s="17" t="s">
        <v>29</v>
      </c>
      <c r="K1825" s="17" t="s">
        <v>29</v>
      </c>
      <c r="L1825" s="17" t="s">
        <v>29</v>
      </c>
      <c r="M1825" s="17" t="s">
        <v>29</v>
      </c>
      <c r="N1825" s="17" t="s">
        <v>29</v>
      </c>
      <c r="O1825" s="17" t="s">
        <v>29</v>
      </c>
      <c r="P1825" s="17" t="s">
        <v>29</v>
      </c>
      <c r="Q1825" s="17" t="s">
        <v>29</v>
      </c>
      <c r="R1825" s="17"/>
      <c r="S1825" s="17"/>
      <c r="T1825" s="17"/>
      <c r="U1825" s="17"/>
      <c r="V1825" s="17"/>
      <c r="W1825" s="17"/>
      <c r="X1825" s="17"/>
      <c r="Y1825" s="17"/>
      <c r="Z1825" s="17"/>
      <c r="AA1825" s="17" t="s">
        <v>29</v>
      </c>
      <c r="AB1825" s="17" t="s">
        <v>29</v>
      </c>
    </row>
    <row r="1826" spans="1:28" x14ac:dyDescent="0.3">
      <c r="A1826" s="63" t="s">
        <v>1017</v>
      </c>
      <c r="B1826" s="7" t="s">
        <v>768</v>
      </c>
      <c r="C1826" s="8"/>
      <c r="D1826" s="8"/>
      <c r="E1826" s="8"/>
      <c r="F1826" s="8"/>
      <c r="G1826" s="8"/>
      <c r="H1826" s="8"/>
      <c r="I1826" s="8"/>
      <c r="J1826" s="8"/>
      <c r="K1826" s="8"/>
      <c r="L1826" s="8"/>
      <c r="M1826" s="8"/>
      <c r="N1826" s="8"/>
      <c r="O1826" s="8"/>
      <c r="P1826" s="8"/>
      <c r="Q1826" s="8"/>
      <c r="R1826" s="17"/>
      <c r="S1826" s="17"/>
      <c r="T1826" s="17"/>
      <c r="U1826" s="17"/>
      <c r="V1826" s="17"/>
      <c r="W1826" s="17"/>
      <c r="X1826" s="17"/>
      <c r="Y1826" s="17"/>
      <c r="Z1826" s="17"/>
    </row>
    <row r="1827" spans="1:28" x14ac:dyDescent="0.3">
      <c r="A1827" s="64"/>
      <c r="B1827" s="8"/>
      <c r="C1827" s="7" t="s">
        <v>769</v>
      </c>
      <c r="D1827" s="15" t="s">
        <v>166</v>
      </c>
      <c r="E1827" s="9">
        <v>3163000</v>
      </c>
      <c r="F1827" s="9">
        <v>3163000</v>
      </c>
      <c r="G1827" s="8"/>
      <c r="H1827" s="9">
        <f t="shared" ref="H1827:H1845" si="977">F1827+G1827</f>
        <v>3163000</v>
      </c>
      <c r="I1827" s="8"/>
      <c r="J1827" s="9">
        <f t="shared" ref="J1827:J1845" si="978">H1827+I1827</f>
        <v>3163000</v>
      </c>
      <c r="K1827" s="8"/>
      <c r="L1827" s="8"/>
      <c r="M1827" s="9">
        <f>+H1827+L1827</f>
        <v>3163000</v>
      </c>
      <c r="N1827" s="8"/>
      <c r="O1827" s="9"/>
      <c r="P1827" s="9">
        <f>+N1827+O1827</f>
        <v>0</v>
      </c>
      <c r="Q1827" s="9">
        <f t="shared" ref="Q1827:Q1845" si="979">E1827-P1827</f>
        <v>3163000</v>
      </c>
      <c r="R1827" s="17"/>
      <c r="S1827" s="17"/>
      <c r="T1827" s="17"/>
      <c r="U1827" s="18">
        <f t="shared" ref="U1827:U1845" si="980">+P1827+T1827</f>
        <v>0</v>
      </c>
      <c r="V1827" s="17"/>
      <c r="W1827" s="17"/>
      <c r="X1827" s="9">
        <f t="shared" ref="X1827:X1845" si="981">+H1827+P1827</f>
        <v>3163000</v>
      </c>
      <c r="Y1827" s="8"/>
      <c r="Z1827" s="9">
        <f t="shared" ref="Z1827:Z1845" si="982">+E1827-X1827</f>
        <v>0</v>
      </c>
      <c r="AA1827" s="8">
        <f t="shared" ref="AA1827:AA1845" si="983">+M1827+U1827</f>
        <v>3163000</v>
      </c>
      <c r="AB1827" s="8">
        <f t="shared" ref="AB1827:AB1845" si="984">+E1827-AA1827</f>
        <v>0</v>
      </c>
    </row>
    <row r="1828" spans="1:28" x14ac:dyDescent="0.3">
      <c r="A1828" s="64"/>
      <c r="B1828" s="8"/>
      <c r="C1828" s="7" t="s">
        <v>535</v>
      </c>
      <c r="D1828" s="15" t="s">
        <v>68</v>
      </c>
      <c r="E1828" s="9">
        <f>5922300-187300</f>
        <v>5735000</v>
      </c>
      <c r="F1828" s="9">
        <v>5735000</v>
      </c>
      <c r="G1828" s="8"/>
      <c r="H1828" s="9">
        <f t="shared" si="977"/>
        <v>5735000</v>
      </c>
      <c r="I1828" s="8"/>
      <c r="J1828" s="9">
        <f t="shared" si="978"/>
        <v>5735000</v>
      </c>
      <c r="K1828" s="8"/>
      <c r="L1828" s="8"/>
      <c r="M1828" s="9">
        <f t="shared" ref="M1828:M1845" si="985">+H1828+L1828</f>
        <v>5735000</v>
      </c>
      <c r="N1828" s="8"/>
      <c r="O1828" s="9"/>
      <c r="P1828" s="9">
        <f t="shared" ref="P1828:P1845" si="986">+N1828+O1828</f>
        <v>0</v>
      </c>
      <c r="Q1828" s="9">
        <f t="shared" si="979"/>
        <v>5735000</v>
      </c>
      <c r="R1828" s="17"/>
      <c r="S1828" s="17"/>
      <c r="T1828" s="17"/>
      <c r="U1828" s="18">
        <f t="shared" si="980"/>
        <v>0</v>
      </c>
      <c r="V1828" s="17"/>
      <c r="W1828" s="17"/>
      <c r="X1828" s="9">
        <f t="shared" si="981"/>
        <v>5735000</v>
      </c>
      <c r="Y1828" s="8"/>
      <c r="Z1828" s="9">
        <f t="shared" si="982"/>
        <v>0</v>
      </c>
      <c r="AA1828" s="8">
        <f t="shared" si="983"/>
        <v>5735000</v>
      </c>
      <c r="AB1828" s="8">
        <f t="shared" si="984"/>
        <v>0</v>
      </c>
    </row>
    <row r="1829" spans="1:28" x14ac:dyDescent="0.3">
      <c r="A1829" s="64"/>
      <c r="B1829" s="8"/>
      <c r="C1829" s="7" t="s">
        <v>535</v>
      </c>
      <c r="D1829" s="15" t="s">
        <v>54</v>
      </c>
      <c r="E1829" s="9">
        <f>1303000-65150-188408.25</f>
        <v>1049441.75</v>
      </c>
      <c r="F1829" s="9">
        <f>912665+136776.75</f>
        <v>1049441.75</v>
      </c>
      <c r="G1829" s="8"/>
      <c r="H1829" s="9">
        <f t="shared" si="977"/>
        <v>1049441.75</v>
      </c>
      <c r="I1829" s="8"/>
      <c r="J1829" s="9">
        <f t="shared" si="978"/>
        <v>1049441.75</v>
      </c>
      <c r="K1829" s="8"/>
      <c r="L1829" s="8"/>
      <c r="M1829" s="9">
        <f t="shared" si="985"/>
        <v>1049441.75</v>
      </c>
      <c r="N1829" s="8"/>
      <c r="O1829" s="9"/>
      <c r="P1829" s="9">
        <f t="shared" si="986"/>
        <v>0</v>
      </c>
      <c r="Q1829" s="9">
        <f t="shared" si="979"/>
        <v>1049441.75</v>
      </c>
      <c r="R1829" s="17"/>
      <c r="S1829" s="17"/>
      <c r="T1829" s="17"/>
      <c r="U1829" s="18">
        <f t="shared" si="980"/>
        <v>0</v>
      </c>
      <c r="V1829" s="17"/>
      <c r="W1829" s="17"/>
      <c r="X1829" s="9">
        <f t="shared" si="981"/>
        <v>1049441.75</v>
      </c>
      <c r="Y1829" s="8"/>
      <c r="Z1829" s="9">
        <f t="shared" si="982"/>
        <v>0</v>
      </c>
      <c r="AA1829" s="8">
        <f t="shared" si="983"/>
        <v>1049441.75</v>
      </c>
      <c r="AB1829" s="8">
        <f t="shared" si="984"/>
        <v>0</v>
      </c>
    </row>
    <row r="1830" spans="1:28" x14ac:dyDescent="0.3">
      <c r="A1830" s="64"/>
      <c r="B1830" s="8"/>
      <c r="C1830" s="7" t="s">
        <v>545</v>
      </c>
      <c r="D1830" s="15" t="s">
        <v>54</v>
      </c>
      <c r="E1830" s="9">
        <v>1953989</v>
      </c>
      <c r="F1830" s="8"/>
      <c r="G1830" s="8"/>
      <c r="H1830" s="9">
        <f t="shared" si="977"/>
        <v>0</v>
      </c>
      <c r="I1830" s="8"/>
      <c r="J1830" s="9">
        <f t="shared" si="978"/>
        <v>0</v>
      </c>
      <c r="K1830" s="9">
        <v>1953989</v>
      </c>
      <c r="L1830" s="8"/>
      <c r="M1830" s="9">
        <f t="shared" si="985"/>
        <v>0</v>
      </c>
      <c r="N1830" s="8">
        <v>1953989</v>
      </c>
      <c r="O1830" s="9"/>
      <c r="P1830" s="9">
        <f t="shared" si="986"/>
        <v>1953989</v>
      </c>
      <c r="Q1830" s="9">
        <f t="shared" si="979"/>
        <v>0</v>
      </c>
      <c r="R1830" s="17"/>
      <c r="S1830" s="17"/>
      <c r="T1830" s="17"/>
      <c r="U1830" s="18">
        <f t="shared" si="980"/>
        <v>1953989</v>
      </c>
      <c r="V1830" s="17"/>
      <c r="W1830" s="17"/>
      <c r="X1830" s="9">
        <f t="shared" si="981"/>
        <v>1953989</v>
      </c>
      <c r="Y1830" s="8"/>
      <c r="Z1830" s="9">
        <f t="shared" si="982"/>
        <v>0</v>
      </c>
      <c r="AA1830" s="8">
        <f t="shared" si="983"/>
        <v>1953989</v>
      </c>
      <c r="AB1830" s="8">
        <f t="shared" si="984"/>
        <v>0</v>
      </c>
    </row>
    <row r="1831" spans="1:28" x14ac:dyDescent="0.3">
      <c r="A1831" s="64"/>
      <c r="B1831" s="8"/>
      <c r="C1831" s="7" t="s">
        <v>535</v>
      </c>
      <c r="D1831" s="15" t="s">
        <v>85</v>
      </c>
      <c r="E1831" s="9">
        <v>2000000</v>
      </c>
      <c r="F1831" s="9">
        <v>2000000</v>
      </c>
      <c r="G1831" s="8"/>
      <c r="H1831" s="9">
        <f t="shared" si="977"/>
        <v>2000000</v>
      </c>
      <c r="I1831" s="8"/>
      <c r="J1831" s="9">
        <f t="shared" si="978"/>
        <v>2000000</v>
      </c>
      <c r="K1831" s="8"/>
      <c r="L1831" s="8"/>
      <c r="M1831" s="9">
        <f t="shared" si="985"/>
        <v>2000000</v>
      </c>
      <c r="N1831" s="8"/>
      <c r="O1831" s="9"/>
      <c r="P1831" s="9">
        <f t="shared" si="986"/>
        <v>0</v>
      </c>
      <c r="Q1831" s="9">
        <f t="shared" si="979"/>
        <v>2000000</v>
      </c>
      <c r="R1831" s="17"/>
      <c r="S1831" s="17"/>
      <c r="T1831" s="17"/>
      <c r="U1831" s="18">
        <f t="shared" si="980"/>
        <v>0</v>
      </c>
      <c r="V1831" s="17"/>
      <c r="W1831" s="17"/>
      <c r="X1831" s="9">
        <f t="shared" si="981"/>
        <v>2000000</v>
      </c>
      <c r="Y1831" s="8"/>
      <c r="Z1831" s="9">
        <f t="shared" si="982"/>
        <v>0</v>
      </c>
      <c r="AA1831" s="8">
        <f t="shared" si="983"/>
        <v>2000000</v>
      </c>
      <c r="AB1831" s="8">
        <f t="shared" si="984"/>
        <v>0</v>
      </c>
    </row>
    <row r="1832" spans="1:28" x14ac:dyDescent="0.3">
      <c r="A1832" s="64"/>
      <c r="B1832" s="8"/>
      <c r="C1832" s="7" t="s">
        <v>770</v>
      </c>
      <c r="D1832" s="15" t="s">
        <v>85</v>
      </c>
      <c r="E1832" s="9">
        <v>1000000</v>
      </c>
      <c r="F1832" s="9">
        <f>592953+407047</f>
        <v>1000000</v>
      </c>
      <c r="G1832" s="8"/>
      <c r="H1832" s="9">
        <f t="shared" si="977"/>
        <v>1000000</v>
      </c>
      <c r="I1832" s="8"/>
      <c r="J1832" s="9">
        <f t="shared" si="978"/>
        <v>1000000</v>
      </c>
      <c r="K1832" s="8"/>
      <c r="L1832" s="8"/>
      <c r="M1832" s="9">
        <f t="shared" si="985"/>
        <v>1000000</v>
      </c>
      <c r="N1832" s="8"/>
      <c r="O1832" s="9"/>
      <c r="P1832" s="9">
        <f t="shared" si="986"/>
        <v>0</v>
      </c>
      <c r="Q1832" s="9">
        <f t="shared" si="979"/>
        <v>1000000</v>
      </c>
      <c r="R1832" s="17"/>
      <c r="S1832" s="17"/>
      <c r="T1832" s="17"/>
      <c r="U1832" s="18">
        <f t="shared" si="980"/>
        <v>0</v>
      </c>
      <c r="V1832" s="17"/>
      <c r="W1832" s="17"/>
      <c r="X1832" s="9">
        <f t="shared" si="981"/>
        <v>1000000</v>
      </c>
      <c r="Y1832" s="8"/>
      <c r="Z1832" s="9">
        <f t="shared" si="982"/>
        <v>0</v>
      </c>
      <c r="AA1832" s="8">
        <f t="shared" si="983"/>
        <v>1000000</v>
      </c>
      <c r="AB1832" s="8">
        <f t="shared" si="984"/>
        <v>0</v>
      </c>
    </row>
    <row r="1833" spans="1:28" x14ac:dyDescent="0.3">
      <c r="A1833" s="64"/>
      <c r="B1833" s="8"/>
      <c r="C1833" s="7" t="s">
        <v>771</v>
      </c>
      <c r="D1833" s="15" t="s">
        <v>85</v>
      </c>
      <c r="E1833" s="9">
        <v>800000</v>
      </c>
      <c r="F1833" s="9">
        <v>800000</v>
      </c>
      <c r="G1833" s="8"/>
      <c r="H1833" s="9">
        <f t="shared" si="977"/>
        <v>800000</v>
      </c>
      <c r="I1833" s="8"/>
      <c r="J1833" s="9">
        <f t="shared" si="978"/>
        <v>800000</v>
      </c>
      <c r="K1833" s="8"/>
      <c r="L1833" s="8"/>
      <c r="M1833" s="9">
        <f t="shared" si="985"/>
        <v>800000</v>
      </c>
      <c r="N1833" s="8"/>
      <c r="O1833" s="9"/>
      <c r="P1833" s="9">
        <f t="shared" si="986"/>
        <v>0</v>
      </c>
      <c r="Q1833" s="9">
        <f t="shared" si="979"/>
        <v>800000</v>
      </c>
      <c r="R1833" s="17"/>
      <c r="S1833" s="17"/>
      <c r="T1833" s="17"/>
      <c r="U1833" s="18">
        <f t="shared" si="980"/>
        <v>0</v>
      </c>
      <c r="V1833" s="17"/>
      <c r="W1833" s="17"/>
      <c r="X1833" s="9">
        <f t="shared" si="981"/>
        <v>800000</v>
      </c>
      <c r="Y1833" s="8"/>
      <c r="Z1833" s="9">
        <f t="shared" si="982"/>
        <v>0</v>
      </c>
      <c r="AA1833" s="8">
        <f t="shared" si="983"/>
        <v>800000</v>
      </c>
      <c r="AB1833" s="8">
        <f t="shared" si="984"/>
        <v>0</v>
      </c>
    </row>
    <row r="1834" spans="1:28" x14ac:dyDescent="0.3">
      <c r="A1834" s="64"/>
      <c r="B1834" s="8"/>
      <c r="C1834" s="7" t="s">
        <v>535</v>
      </c>
      <c r="D1834" s="15" t="s">
        <v>88</v>
      </c>
      <c r="E1834" s="9">
        <f>1500000+1351800</f>
        <v>2851800</v>
      </c>
      <c r="F1834" s="9">
        <f>1500000+1351800</f>
        <v>2851800</v>
      </c>
      <c r="G1834" s="8"/>
      <c r="H1834" s="9">
        <f t="shared" si="977"/>
        <v>2851800</v>
      </c>
      <c r="I1834" s="8"/>
      <c r="J1834" s="9">
        <f t="shared" si="978"/>
        <v>2851800</v>
      </c>
      <c r="K1834" s="8"/>
      <c r="L1834" s="8"/>
      <c r="M1834" s="9">
        <f t="shared" si="985"/>
        <v>2851800</v>
      </c>
      <c r="N1834" s="8"/>
      <c r="O1834" s="9"/>
      <c r="P1834" s="9">
        <f t="shared" si="986"/>
        <v>0</v>
      </c>
      <c r="Q1834" s="9">
        <f t="shared" si="979"/>
        <v>2851800</v>
      </c>
      <c r="R1834" s="17"/>
      <c r="S1834" s="17"/>
      <c r="T1834" s="17"/>
      <c r="U1834" s="18">
        <f t="shared" si="980"/>
        <v>0</v>
      </c>
      <c r="V1834" s="17"/>
      <c r="W1834" s="17"/>
      <c r="X1834" s="9">
        <f t="shared" si="981"/>
        <v>2851800</v>
      </c>
      <c r="Y1834" s="8"/>
      <c r="Z1834" s="9">
        <f t="shared" si="982"/>
        <v>0</v>
      </c>
      <c r="AA1834" s="8">
        <f t="shared" si="983"/>
        <v>2851800</v>
      </c>
      <c r="AB1834" s="8">
        <f t="shared" si="984"/>
        <v>0</v>
      </c>
    </row>
    <row r="1835" spans="1:28" x14ac:dyDescent="0.3">
      <c r="A1835" s="64"/>
      <c r="B1835" s="8"/>
      <c r="C1835" s="7" t="s">
        <v>535</v>
      </c>
      <c r="D1835" s="15" t="s">
        <v>58</v>
      </c>
      <c r="E1835" s="9">
        <v>2183885</v>
      </c>
      <c r="F1835" s="9">
        <v>2183885</v>
      </c>
      <c r="G1835" s="8"/>
      <c r="H1835" s="9">
        <f t="shared" si="977"/>
        <v>2183885</v>
      </c>
      <c r="I1835" s="8"/>
      <c r="J1835" s="9">
        <f t="shared" si="978"/>
        <v>2183885</v>
      </c>
      <c r="K1835" s="8"/>
      <c r="L1835" s="8"/>
      <c r="M1835" s="9">
        <f t="shared" si="985"/>
        <v>2183885</v>
      </c>
      <c r="N1835" s="8"/>
      <c r="O1835" s="9"/>
      <c r="P1835" s="9">
        <f t="shared" si="986"/>
        <v>0</v>
      </c>
      <c r="Q1835" s="9">
        <f t="shared" si="979"/>
        <v>2183885</v>
      </c>
      <c r="R1835" s="17"/>
      <c r="S1835" s="17"/>
      <c r="T1835" s="17"/>
      <c r="U1835" s="18">
        <f t="shared" si="980"/>
        <v>0</v>
      </c>
      <c r="V1835" s="17"/>
      <c r="W1835" s="17"/>
      <c r="X1835" s="9">
        <f t="shared" si="981"/>
        <v>2183885</v>
      </c>
      <c r="Y1835" s="8"/>
      <c r="Z1835" s="9">
        <f t="shared" si="982"/>
        <v>0</v>
      </c>
      <c r="AA1835" s="8">
        <f t="shared" si="983"/>
        <v>2183885</v>
      </c>
      <c r="AB1835" s="8">
        <f t="shared" si="984"/>
        <v>0</v>
      </c>
    </row>
    <row r="1836" spans="1:28" x14ac:dyDescent="0.3">
      <c r="A1836" s="64"/>
      <c r="B1836" s="8"/>
      <c r="C1836" s="7" t="s">
        <v>535</v>
      </c>
      <c r="D1836" s="21" t="s">
        <v>60</v>
      </c>
      <c r="E1836" s="9">
        <f>2033115+1330425</f>
        <v>3363540</v>
      </c>
      <c r="F1836" s="9">
        <v>3363540</v>
      </c>
      <c r="G1836" s="8"/>
      <c r="H1836" s="9">
        <f t="shared" si="977"/>
        <v>3363540</v>
      </c>
      <c r="I1836" s="8"/>
      <c r="J1836" s="9">
        <f t="shared" si="978"/>
        <v>3363540</v>
      </c>
      <c r="K1836" s="8"/>
      <c r="L1836" s="8"/>
      <c r="M1836" s="9">
        <f t="shared" si="985"/>
        <v>3363540</v>
      </c>
      <c r="N1836" s="8"/>
      <c r="O1836" s="9"/>
      <c r="P1836" s="9">
        <f t="shared" si="986"/>
        <v>0</v>
      </c>
      <c r="Q1836" s="9">
        <f t="shared" si="979"/>
        <v>3363540</v>
      </c>
      <c r="R1836" s="17"/>
      <c r="S1836" s="17"/>
      <c r="T1836" s="17"/>
      <c r="U1836" s="18">
        <f t="shared" si="980"/>
        <v>0</v>
      </c>
      <c r="V1836" s="17"/>
      <c r="W1836" s="17"/>
      <c r="X1836" s="9">
        <f t="shared" si="981"/>
        <v>3363540</v>
      </c>
      <c r="Y1836" s="8"/>
      <c r="Z1836" s="9">
        <f t="shared" si="982"/>
        <v>0</v>
      </c>
      <c r="AA1836" s="8">
        <f t="shared" si="983"/>
        <v>3363540</v>
      </c>
      <c r="AB1836" s="8">
        <f t="shared" si="984"/>
        <v>0</v>
      </c>
    </row>
    <row r="1837" spans="1:28" x14ac:dyDescent="0.3">
      <c r="A1837" s="64"/>
      <c r="B1837" s="8"/>
      <c r="C1837" s="14" t="s">
        <v>661</v>
      </c>
      <c r="D1837" s="21" t="s">
        <v>772</v>
      </c>
      <c r="E1837" s="11">
        <v>579000</v>
      </c>
      <c r="F1837" s="11">
        <v>579000</v>
      </c>
      <c r="G1837" s="8"/>
      <c r="H1837" s="9">
        <f t="shared" si="977"/>
        <v>579000</v>
      </c>
      <c r="I1837" s="8"/>
      <c r="J1837" s="9">
        <f t="shared" si="978"/>
        <v>579000</v>
      </c>
      <c r="K1837" s="8"/>
      <c r="L1837" s="8"/>
      <c r="M1837" s="9">
        <f t="shared" si="985"/>
        <v>579000</v>
      </c>
      <c r="N1837" s="8"/>
      <c r="O1837" s="9"/>
      <c r="P1837" s="9">
        <f t="shared" si="986"/>
        <v>0</v>
      </c>
      <c r="Q1837" s="9">
        <f t="shared" si="979"/>
        <v>579000</v>
      </c>
      <c r="R1837" s="17"/>
      <c r="S1837" s="17"/>
      <c r="T1837" s="17"/>
      <c r="U1837" s="18">
        <f t="shared" si="980"/>
        <v>0</v>
      </c>
      <c r="V1837" s="17"/>
      <c r="W1837" s="17"/>
      <c r="X1837" s="9">
        <f t="shared" si="981"/>
        <v>579000</v>
      </c>
      <c r="Y1837" s="8"/>
      <c r="Z1837" s="9">
        <f t="shared" si="982"/>
        <v>0</v>
      </c>
      <c r="AA1837" s="8">
        <f t="shared" si="983"/>
        <v>579000</v>
      </c>
      <c r="AB1837" s="8">
        <f t="shared" si="984"/>
        <v>0</v>
      </c>
    </row>
    <row r="1838" spans="1:28" x14ac:dyDescent="0.3">
      <c r="A1838" s="64"/>
      <c r="B1838" s="8"/>
      <c r="C1838" s="7" t="s">
        <v>535</v>
      </c>
      <c r="D1838" s="21" t="s">
        <v>73</v>
      </c>
      <c r="E1838" s="9">
        <f>7522632+232135.7</f>
        <v>7754767.7000000002</v>
      </c>
      <c r="F1838" s="9">
        <f>7522632+232135.7</f>
        <v>7754767.7000000002</v>
      </c>
      <c r="G1838" s="8"/>
      <c r="H1838" s="9">
        <f t="shared" si="977"/>
        <v>7754767.7000000002</v>
      </c>
      <c r="I1838" s="8"/>
      <c r="J1838" s="9">
        <f t="shared" si="978"/>
        <v>7754767.7000000002</v>
      </c>
      <c r="K1838" s="8"/>
      <c r="L1838" s="8"/>
      <c r="M1838" s="9">
        <f t="shared" si="985"/>
        <v>7754767.7000000002</v>
      </c>
      <c r="N1838" s="8"/>
      <c r="O1838" s="9"/>
      <c r="P1838" s="9">
        <f t="shared" si="986"/>
        <v>0</v>
      </c>
      <c r="Q1838" s="9">
        <f t="shared" si="979"/>
        <v>7754767.7000000002</v>
      </c>
      <c r="R1838" s="17"/>
      <c r="S1838" s="17"/>
      <c r="T1838" s="17"/>
      <c r="U1838" s="18">
        <f t="shared" si="980"/>
        <v>0</v>
      </c>
      <c r="V1838" s="17"/>
      <c r="W1838" s="17"/>
      <c r="X1838" s="9">
        <f t="shared" si="981"/>
        <v>7754767.7000000002</v>
      </c>
      <c r="Y1838" s="8"/>
      <c r="Z1838" s="9">
        <f t="shared" si="982"/>
        <v>0</v>
      </c>
      <c r="AA1838" s="8">
        <f t="shared" si="983"/>
        <v>7754767.7000000002</v>
      </c>
      <c r="AB1838" s="8">
        <f t="shared" si="984"/>
        <v>0</v>
      </c>
    </row>
    <row r="1839" spans="1:28" x14ac:dyDescent="0.3">
      <c r="A1839" s="64"/>
      <c r="B1839" s="14" t="s">
        <v>762</v>
      </c>
      <c r="C1839" s="7" t="s">
        <v>535</v>
      </c>
      <c r="D1839" s="21" t="s">
        <v>61</v>
      </c>
      <c r="E1839" s="11">
        <v>1355346</v>
      </c>
      <c r="F1839" s="11">
        <v>1355346</v>
      </c>
      <c r="G1839" s="8"/>
      <c r="H1839" s="9">
        <f t="shared" si="977"/>
        <v>1355346</v>
      </c>
      <c r="I1839" s="8"/>
      <c r="J1839" s="9">
        <f t="shared" si="978"/>
        <v>1355346</v>
      </c>
      <c r="K1839" s="8"/>
      <c r="L1839" s="8"/>
      <c r="M1839" s="9">
        <f t="shared" si="985"/>
        <v>1355346</v>
      </c>
      <c r="N1839" s="8"/>
      <c r="O1839" s="9"/>
      <c r="P1839" s="9">
        <f t="shared" si="986"/>
        <v>0</v>
      </c>
      <c r="Q1839" s="9">
        <f t="shared" si="979"/>
        <v>1355346</v>
      </c>
      <c r="R1839" s="17"/>
      <c r="S1839" s="17"/>
      <c r="T1839" s="17"/>
      <c r="U1839" s="18">
        <f t="shared" si="980"/>
        <v>0</v>
      </c>
      <c r="V1839" s="17"/>
      <c r="W1839" s="17"/>
      <c r="X1839" s="9">
        <f t="shared" si="981"/>
        <v>1355346</v>
      </c>
      <c r="Y1839" s="8"/>
      <c r="Z1839" s="9">
        <f t="shared" si="982"/>
        <v>0</v>
      </c>
      <c r="AA1839" s="8">
        <f t="shared" si="983"/>
        <v>1355346</v>
      </c>
      <c r="AB1839" s="8">
        <f t="shared" si="984"/>
        <v>0</v>
      </c>
    </row>
    <row r="1840" spans="1:28" x14ac:dyDescent="0.3">
      <c r="A1840" s="64"/>
      <c r="B1840" s="14"/>
      <c r="C1840" s="13" t="s">
        <v>933</v>
      </c>
      <c r="D1840" s="21"/>
      <c r="E1840" s="11">
        <v>1772000</v>
      </c>
      <c r="F1840" s="8">
        <v>1772000</v>
      </c>
      <c r="G1840" s="8"/>
      <c r="H1840" s="9">
        <f t="shared" si="977"/>
        <v>1772000</v>
      </c>
      <c r="I1840" s="8"/>
      <c r="J1840" s="9"/>
      <c r="K1840" s="8"/>
      <c r="L1840" s="8"/>
      <c r="M1840" s="9">
        <f t="shared" si="985"/>
        <v>1772000</v>
      </c>
      <c r="N1840" s="8"/>
      <c r="O1840" s="9"/>
      <c r="P1840" s="9">
        <f t="shared" si="986"/>
        <v>0</v>
      </c>
      <c r="Q1840" s="9"/>
      <c r="R1840" s="17"/>
      <c r="S1840" s="17"/>
      <c r="T1840" s="17"/>
      <c r="U1840" s="18">
        <f>+P1840+T1840</f>
        <v>0</v>
      </c>
      <c r="V1840" s="17"/>
      <c r="W1840" s="17"/>
      <c r="X1840" s="9">
        <f t="shared" si="981"/>
        <v>1772000</v>
      </c>
      <c r="Y1840" s="8"/>
      <c r="Z1840" s="9">
        <f t="shared" si="982"/>
        <v>0</v>
      </c>
      <c r="AA1840" s="8">
        <f t="shared" si="983"/>
        <v>1772000</v>
      </c>
      <c r="AB1840" s="8">
        <f t="shared" si="984"/>
        <v>0</v>
      </c>
    </row>
    <row r="1841" spans="1:28" x14ac:dyDescent="0.3">
      <c r="A1841" s="64"/>
      <c r="B1841" s="14"/>
      <c r="C1841" s="7" t="s">
        <v>1173</v>
      </c>
      <c r="D1841" s="24" t="s">
        <v>1126</v>
      </c>
      <c r="E1841" s="11">
        <v>1206129.07</v>
      </c>
      <c r="F1841" s="8">
        <v>1206129.07</v>
      </c>
      <c r="G1841" s="8"/>
      <c r="H1841" s="9">
        <f>+F1841+G1841</f>
        <v>1206129.07</v>
      </c>
      <c r="I1841" s="8"/>
      <c r="J1841" s="9"/>
      <c r="K1841" s="8"/>
      <c r="L1841" s="8"/>
      <c r="M1841" s="9">
        <f t="shared" si="985"/>
        <v>1206129.07</v>
      </c>
      <c r="N1841" s="8"/>
      <c r="O1841" s="9"/>
      <c r="P1841" s="9">
        <f>+N1841+O1841</f>
        <v>0</v>
      </c>
      <c r="Q1841" s="9"/>
      <c r="R1841" s="17"/>
      <c r="S1841" s="17"/>
      <c r="T1841" s="17"/>
      <c r="U1841" s="18">
        <f>+P1841+T1841</f>
        <v>0</v>
      </c>
      <c r="V1841" s="17"/>
      <c r="W1841" s="17"/>
      <c r="X1841" s="9">
        <f t="shared" si="981"/>
        <v>1206129.07</v>
      </c>
      <c r="Y1841" s="8"/>
      <c r="Z1841" s="9">
        <f t="shared" si="982"/>
        <v>0</v>
      </c>
      <c r="AA1841" s="8">
        <f t="shared" si="983"/>
        <v>1206129.07</v>
      </c>
      <c r="AB1841" s="8">
        <f t="shared" si="984"/>
        <v>0</v>
      </c>
    </row>
    <row r="1842" spans="1:28" x14ac:dyDescent="0.3">
      <c r="A1842" s="64"/>
      <c r="B1842" s="14"/>
      <c r="C1842" s="7" t="s">
        <v>1243</v>
      </c>
      <c r="D1842" s="24" t="s">
        <v>1225</v>
      </c>
      <c r="E1842" s="11">
        <v>100000</v>
      </c>
      <c r="F1842" s="8">
        <v>100000</v>
      </c>
      <c r="G1842" s="8"/>
      <c r="H1842" s="9">
        <f>+F1842+G1842</f>
        <v>100000</v>
      </c>
      <c r="I1842" s="8"/>
      <c r="J1842" s="9"/>
      <c r="K1842" s="8"/>
      <c r="L1842" s="8"/>
      <c r="M1842" s="9">
        <f t="shared" si="985"/>
        <v>100000</v>
      </c>
      <c r="N1842" s="8"/>
      <c r="O1842" s="9"/>
      <c r="P1842" s="9">
        <f>+N1842+O1842</f>
        <v>0</v>
      </c>
      <c r="Q1842" s="9"/>
      <c r="R1842" s="17"/>
      <c r="S1842" s="17"/>
      <c r="T1842" s="17"/>
      <c r="U1842" s="18">
        <f>+P1842+T1842</f>
        <v>0</v>
      </c>
      <c r="V1842" s="17"/>
      <c r="W1842" s="17"/>
      <c r="X1842" s="9">
        <f t="shared" si="981"/>
        <v>100000</v>
      </c>
      <c r="Y1842" s="8"/>
      <c r="Z1842" s="9">
        <f t="shared" si="982"/>
        <v>0</v>
      </c>
      <c r="AA1842" s="8">
        <f t="shared" si="983"/>
        <v>100000</v>
      </c>
      <c r="AB1842" s="8">
        <f t="shared" si="984"/>
        <v>0</v>
      </c>
    </row>
    <row r="1843" spans="1:28" x14ac:dyDescent="0.3">
      <c r="A1843" s="64"/>
      <c r="B1843" s="8"/>
      <c r="C1843" s="7" t="s">
        <v>550</v>
      </c>
      <c r="D1843" s="8"/>
      <c r="E1843" s="9">
        <v>721395</v>
      </c>
      <c r="F1843" s="9">
        <v>721395</v>
      </c>
      <c r="G1843" s="8"/>
      <c r="H1843" s="9">
        <f t="shared" si="977"/>
        <v>721395</v>
      </c>
      <c r="I1843" s="8"/>
      <c r="J1843" s="9">
        <f t="shared" si="978"/>
        <v>721395</v>
      </c>
      <c r="K1843" s="8"/>
      <c r="L1843" s="8"/>
      <c r="M1843" s="9">
        <f t="shared" si="985"/>
        <v>721395</v>
      </c>
      <c r="N1843" s="8"/>
      <c r="O1843" s="9"/>
      <c r="P1843" s="9">
        <f t="shared" si="986"/>
        <v>0</v>
      </c>
      <c r="Q1843" s="9">
        <f t="shared" si="979"/>
        <v>721395</v>
      </c>
      <c r="R1843" s="17"/>
      <c r="S1843" s="17"/>
      <c r="T1843" s="17"/>
      <c r="U1843" s="18">
        <f t="shared" si="980"/>
        <v>0</v>
      </c>
      <c r="V1843" s="17"/>
      <c r="W1843" s="17"/>
      <c r="X1843" s="9">
        <f t="shared" si="981"/>
        <v>721395</v>
      </c>
      <c r="Y1843" s="8"/>
      <c r="Z1843" s="9">
        <f t="shared" si="982"/>
        <v>0</v>
      </c>
      <c r="AA1843" s="8">
        <f t="shared" si="983"/>
        <v>721395</v>
      </c>
      <c r="AB1843" s="8">
        <f t="shared" si="984"/>
        <v>0</v>
      </c>
    </row>
    <row r="1844" spans="1:28" x14ac:dyDescent="0.3">
      <c r="A1844" s="64"/>
      <c r="B1844" s="8"/>
      <c r="C1844" s="7" t="s">
        <v>592</v>
      </c>
      <c r="D1844" s="8"/>
      <c r="E1844" s="9">
        <f>3000000-1192154.21</f>
        <v>1807845.79</v>
      </c>
      <c r="F1844" s="9">
        <f>1060334.22+94987.9+318672</f>
        <v>1473994.1199999999</v>
      </c>
      <c r="G1844" s="8"/>
      <c r="H1844" s="9">
        <f t="shared" si="977"/>
        <v>1473994.1199999999</v>
      </c>
      <c r="I1844" s="8"/>
      <c r="J1844" s="9">
        <f t="shared" si="978"/>
        <v>1473994.1199999999</v>
      </c>
      <c r="K1844" s="9">
        <f>323881.91+9969.76</f>
        <v>333851.67</v>
      </c>
      <c r="L1844" s="8"/>
      <c r="M1844" s="9">
        <f t="shared" si="985"/>
        <v>1473994.1199999999</v>
      </c>
      <c r="N1844" s="8">
        <v>333851.67</v>
      </c>
      <c r="O1844" s="9"/>
      <c r="P1844" s="9">
        <f t="shared" si="986"/>
        <v>333851.67</v>
      </c>
      <c r="Q1844" s="9">
        <f t="shared" si="979"/>
        <v>1473994.12</v>
      </c>
      <c r="R1844" s="17"/>
      <c r="S1844" s="17"/>
      <c r="T1844" s="17"/>
      <c r="U1844" s="18">
        <f t="shared" si="980"/>
        <v>333851.67</v>
      </c>
      <c r="V1844" s="17"/>
      <c r="W1844" s="17"/>
      <c r="X1844" s="9">
        <f t="shared" si="981"/>
        <v>1807845.7899999998</v>
      </c>
      <c r="Y1844" s="8"/>
      <c r="Z1844" s="9">
        <f t="shared" si="982"/>
        <v>0</v>
      </c>
      <c r="AA1844" s="8">
        <f t="shared" si="983"/>
        <v>1807845.7899999998</v>
      </c>
      <c r="AB1844" s="8">
        <f t="shared" si="984"/>
        <v>0</v>
      </c>
    </row>
    <row r="1845" spans="1:28" x14ac:dyDescent="0.3">
      <c r="A1845" s="64"/>
      <c r="B1845" s="8"/>
      <c r="C1845" s="7" t="s">
        <v>606</v>
      </c>
      <c r="D1845" s="8"/>
      <c r="E1845" s="9">
        <f>1044655.8+2500000+2342280.59</f>
        <v>5886936.3899999997</v>
      </c>
      <c r="F1845" s="9">
        <f>1044655.8+2500000+2342280.59</f>
        <v>5886936.3899999997</v>
      </c>
      <c r="G1845" s="9"/>
      <c r="H1845" s="9">
        <f t="shared" si="977"/>
        <v>5886936.3899999997</v>
      </c>
      <c r="I1845" s="8"/>
      <c r="J1845" s="9">
        <f t="shared" si="978"/>
        <v>5886936.3899999997</v>
      </c>
      <c r="K1845" s="8"/>
      <c r="L1845" s="8"/>
      <c r="M1845" s="9">
        <f t="shared" si="985"/>
        <v>5886936.3899999997</v>
      </c>
      <c r="N1845" s="8"/>
      <c r="O1845" s="9"/>
      <c r="P1845" s="9">
        <f t="shared" si="986"/>
        <v>0</v>
      </c>
      <c r="Q1845" s="9">
        <f t="shared" si="979"/>
        <v>5886936.3899999997</v>
      </c>
      <c r="R1845" s="17"/>
      <c r="S1845" s="17"/>
      <c r="T1845" s="17"/>
      <c r="U1845" s="18">
        <f t="shared" si="980"/>
        <v>0</v>
      </c>
      <c r="V1845" s="17"/>
      <c r="W1845" s="17"/>
      <c r="X1845" s="9">
        <f t="shared" si="981"/>
        <v>5886936.3899999997</v>
      </c>
      <c r="Y1845" s="8"/>
      <c r="Z1845" s="9">
        <f t="shared" si="982"/>
        <v>0</v>
      </c>
      <c r="AA1845" s="8">
        <f t="shared" si="983"/>
        <v>5886936.3899999997</v>
      </c>
      <c r="AB1845" s="8">
        <f t="shared" si="984"/>
        <v>0</v>
      </c>
    </row>
    <row r="1846" spans="1:28" x14ac:dyDescent="0.3">
      <c r="A1846" s="64"/>
      <c r="B1846" s="8"/>
      <c r="C1846" s="8"/>
      <c r="D1846" s="8"/>
      <c r="E1846" s="17" t="s">
        <v>29</v>
      </c>
      <c r="F1846" s="17" t="s">
        <v>29</v>
      </c>
      <c r="G1846" s="17" t="s">
        <v>29</v>
      </c>
      <c r="H1846" s="17" t="s">
        <v>29</v>
      </c>
      <c r="I1846" s="17" t="s">
        <v>29</v>
      </c>
      <c r="J1846" s="17" t="s">
        <v>29</v>
      </c>
      <c r="K1846" s="17" t="s">
        <v>29</v>
      </c>
      <c r="L1846" s="17" t="s">
        <v>29</v>
      </c>
      <c r="M1846" s="17" t="s">
        <v>29</v>
      </c>
      <c r="N1846" s="17" t="s">
        <v>29</v>
      </c>
      <c r="O1846" s="17" t="s">
        <v>29</v>
      </c>
      <c r="P1846" s="17" t="s">
        <v>29</v>
      </c>
      <c r="Q1846" s="17" t="s">
        <v>29</v>
      </c>
      <c r="R1846" s="17"/>
      <c r="S1846" s="17"/>
      <c r="T1846" s="17"/>
      <c r="U1846" s="17"/>
      <c r="V1846" s="17"/>
      <c r="W1846" s="17"/>
      <c r="X1846" s="17"/>
      <c r="Y1846" s="17"/>
      <c r="Z1846" s="17"/>
      <c r="AA1846" s="17"/>
      <c r="AB1846" s="17" t="s">
        <v>29</v>
      </c>
    </row>
    <row r="1847" spans="1:28" x14ac:dyDescent="0.3">
      <c r="A1847" s="64"/>
      <c r="B1847" s="8"/>
      <c r="C1847" s="8"/>
      <c r="D1847" s="8"/>
      <c r="E1847" s="9">
        <f t="shared" ref="E1847:Q1847" si="987">SUM(E1827:E1846)</f>
        <v>45284075.700000003</v>
      </c>
      <c r="F1847" s="9">
        <f t="shared" si="987"/>
        <v>42996235.030000001</v>
      </c>
      <c r="G1847" s="9">
        <f t="shared" si="987"/>
        <v>0</v>
      </c>
      <c r="H1847" s="9">
        <f t="shared" si="987"/>
        <v>42996235.030000001</v>
      </c>
      <c r="I1847" s="9">
        <f t="shared" si="987"/>
        <v>0</v>
      </c>
      <c r="J1847" s="9">
        <f t="shared" si="987"/>
        <v>39918105.960000001</v>
      </c>
      <c r="K1847" s="9">
        <f t="shared" si="987"/>
        <v>2287840.67</v>
      </c>
      <c r="L1847" s="9">
        <f t="shared" si="987"/>
        <v>0</v>
      </c>
      <c r="M1847" s="9">
        <f t="shared" si="987"/>
        <v>42996235.030000001</v>
      </c>
      <c r="N1847" s="9">
        <f t="shared" si="987"/>
        <v>2287840.67</v>
      </c>
      <c r="O1847" s="9">
        <f t="shared" si="987"/>
        <v>0</v>
      </c>
      <c r="P1847" s="9">
        <f t="shared" si="987"/>
        <v>2287840.67</v>
      </c>
      <c r="Q1847" s="9">
        <f t="shared" si="987"/>
        <v>39918105.960000001</v>
      </c>
      <c r="R1847" s="17"/>
      <c r="S1847" s="17"/>
      <c r="T1847" s="9">
        <f t="shared" ref="T1847:Z1847" si="988">SUM(T1827:T1846)</f>
        <v>0</v>
      </c>
      <c r="U1847" s="9">
        <f t="shared" si="988"/>
        <v>2287840.67</v>
      </c>
      <c r="V1847" s="9">
        <f t="shared" si="988"/>
        <v>0</v>
      </c>
      <c r="W1847" s="9">
        <f t="shared" si="988"/>
        <v>0</v>
      </c>
      <c r="X1847" s="9">
        <f t="shared" si="988"/>
        <v>45284075.700000003</v>
      </c>
      <c r="Y1847" s="9">
        <f t="shared" si="988"/>
        <v>0</v>
      </c>
      <c r="Z1847" s="9">
        <f t="shared" si="988"/>
        <v>0</v>
      </c>
      <c r="AA1847" s="9">
        <f>SUM(AA1827:AA1846)</f>
        <v>45284075.700000003</v>
      </c>
      <c r="AB1847" s="9">
        <f>SUM(AB1827:AB1846)</f>
        <v>0</v>
      </c>
    </row>
    <row r="1848" spans="1:28" x14ac:dyDescent="0.3">
      <c r="A1848" s="64"/>
      <c r="B1848" s="8"/>
      <c r="C1848" s="8"/>
      <c r="D1848" s="8"/>
      <c r="E1848" s="17" t="s">
        <v>29</v>
      </c>
      <c r="F1848" s="17" t="s">
        <v>29</v>
      </c>
      <c r="G1848" s="17" t="s">
        <v>29</v>
      </c>
      <c r="H1848" s="17" t="s">
        <v>29</v>
      </c>
      <c r="I1848" s="17" t="s">
        <v>29</v>
      </c>
      <c r="J1848" s="17" t="s">
        <v>29</v>
      </c>
      <c r="K1848" s="17" t="s">
        <v>29</v>
      </c>
      <c r="L1848" s="17" t="s">
        <v>29</v>
      </c>
      <c r="M1848" s="17" t="s">
        <v>29</v>
      </c>
      <c r="N1848" s="17" t="s">
        <v>29</v>
      </c>
      <c r="O1848" s="17" t="s">
        <v>29</v>
      </c>
      <c r="P1848" s="17" t="s">
        <v>29</v>
      </c>
      <c r="Q1848" s="17" t="s">
        <v>29</v>
      </c>
      <c r="R1848" s="17"/>
      <c r="S1848" s="17"/>
      <c r="T1848" s="17"/>
      <c r="U1848" s="17"/>
      <c r="V1848" s="17"/>
      <c r="W1848" s="17"/>
      <c r="X1848" s="17"/>
      <c r="Y1848" s="17"/>
      <c r="Z1848" s="17"/>
      <c r="AA1848" s="17" t="s">
        <v>29</v>
      </c>
      <c r="AB1848" s="17" t="s">
        <v>29</v>
      </c>
    </row>
    <row r="1849" spans="1:28" x14ac:dyDescent="0.3">
      <c r="A1849" s="63" t="s">
        <v>1018</v>
      </c>
      <c r="B1849" s="7" t="s">
        <v>773</v>
      </c>
      <c r="C1849" s="8"/>
      <c r="D1849" s="8"/>
      <c r="E1849" s="8"/>
      <c r="F1849" s="8"/>
      <c r="G1849" s="8"/>
      <c r="H1849" s="8"/>
      <c r="I1849" s="8"/>
      <c r="J1849" s="8"/>
      <c r="K1849" s="8"/>
      <c r="L1849" s="8"/>
      <c r="M1849" s="8"/>
      <c r="N1849" s="8"/>
      <c r="O1849" s="8"/>
      <c r="P1849" s="8"/>
      <c r="Q1849" s="8"/>
      <c r="R1849" s="17"/>
      <c r="S1849" s="17"/>
      <c r="T1849" s="17"/>
      <c r="U1849" s="17"/>
      <c r="V1849" s="17"/>
      <c r="W1849" s="17"/>
      <c r="X1849" s="17"/>
      <c r="Y1849" s="17"/>
      <c r="Z1849" s="17"/>
    </row>
    <row r="1850" spans="1:28" x14ac:dyDescent="0.3">
      <c r="A1850" s="64"/>
      <c r="B1850" s="8"/>
      <c r="C1850" s="7" t="s">
        <v>774</v>
      </c>
      <c r="D1850" s="15" t="s">
        <v>166</v>
      </c>
      <c r="E1850" s="9">
        <v>401625</v>
      </c>
      <c r="F1850" s="9">
        <v>401625</v>
      </c>
      <c r="G1850" s="8"/>
      <c r="H1850" s="9">
        <f>+F1850+G1850</f>
        <v>401625</v>
      </c>
      <c r="I1850" s="8"/>
      <c r="J1850" s="9">
        <f t="shared" ref="J1850:J1867" si="989">H1850+I1850</f>
        <v>401625</v>
      </c>
      <c r="K1850" s="8"/>
      <c r="L1850" s="8"/>
      <c r="M1850" s="9">
        <f>+H1850+L1850</f>
        <v>401625</v>
      </c>
      <c r="N1850" s="8"/>
      <c r="O1850" s="9"/>
      <c r="P1850" s="9">
        <f>+N1850+O1850</f>
        <v>0</v>
      </c>
      <c r="Q1850" s="9">
        <f t="shared" ref="Q1850:Q1867" si="990">E1850-P1850</f>
        <v>401625</v>
      </c>
      <c r="R1850" s="17"/>
      <c r="S1850" s="17"/>
      <c r="T1850" s="17"/>
      <c r="U1850" s="18">
        <f t="shared" ref="U1850:U1867" si="991">+P1850+T1850</f>
        <v>0</v>
      </c>
      <c r="V1850" s="17"/>
      <c r="W1850" s="17"/>
      <c r="X1850" s="9">
        <f t="shared" ref="X1850:X1867" si="992">+H1850+P1850</f>
        <v>401625</v>
      </c>
      <c r="Y1850" s="8"/>
      <c r="Z1850" s="9">
        <f t="shared" ref="Z1850:Z1867" si="993">+E1850-X1850</f>
        <v>0</v>
      </c>
      <c r="AA1850" s="8">
        <f t="shared" ref="AA1850:AA1867" si="994">+M1850+U1850</f>
        <v>401625</v>
      </c>
      <c r="AB1850" s="8">
        <f t="shared" ref="AB1850:AB1867" si="995">+E1850-AA1850</f>
        <v>0</v>
      </c>
    </row>
    <row r="1851" spans="1:28" x14ac:dyDescent="0.3">
      <c r="A1851" s="64"/>
      <c r="B1851" s="8"/>
      <c r="C1851" s="7" t="s">
        <v>775</v>
      </c>
      <c r="D1851" s="15" t="s">
        <v>166</v>
      </c>
      <c r="E1851" s="9">
        <v>388864</v>
      </c>
      <c r="F1851" s="9">
        <v>388864</v>
      </c>
      <c r="G1851" s="8"/>
      <c r="H1851" s="9">
        <f t="shared" ref="H1851:H1867" si="996">+F1851+G1851</f>
        <v>388864</v>
      </c>
      <c r="I1851" s="8"/>
      <c r="J1851" s="9">
        <f t="shared" si="989"/>
        <v>388864</v>
      </c>
      <c r="K1851" s="8"/>
      <c r="L1851" s="8"/>
      <c r="M1851" s="9">
        <f>+H1851+L1851</f>
        <v>388864</v>
      </c>
      <c r="N1851" s="8"/>
      <c r="O1851" s="9"/>
      <c r="P1851" s="9">
        <f t="shared" ref="P1851:P1867" si="997">+N1851+O1851</f>
        <v>0</v>
      </c>
      <c r="Q1851" s="9">
        <f t="shared" si="990"/>
        <v>388864</v>
      </c>
      <c r="R1851" s="17"/>
      <c r="S1851" s="17"/>
      <c r="T1851" s="17"/>
      <c r="U1851" s="18">
        <f t="shared" si="991"/>
        <v>0</v>
      </c>
      <c r="V1851" s="17"/>
      <c r="W1851" s="17"/>
      <c r="X1851" s="9">
        <f t="shared" si="992"/>
        <v>388864</v>
      </c>
      <c r="Y1851" s="8"/>
      <c r="Z1851" s="9">
        <f t="shared" si="993"/>
        <v>0</v>
      </c>
      <c r="AA1851" s="8">
        <f t="shared" si="994"/>
        <v>388864</v>
      </c>
      <c r="AB1851" s="8">
        <f t="shared" si="995"/>
        <v>0</v>
      </c>
    </row>
    <row r="1852" spans="1:28" x14ac:dyDescent="0.3">
      <c r="A1852" s="64"/>
      <c r="B1852" s="8"/>
      <c r="C1852" s="7" t="s">
        <v>776</v>
      </c>
      <c r="D1852" s="15" t="s">
        <v>166</v>
      </c>
      <c r="E1852" s="9">
        <f>550000-99500</f>
        <v>450500</v>
      </c>
      <c r="F1852" s="9">
        <v>450500</v>
      </c>
      <c r="G1852" s="8"/>
      <c r="H1852" s="9">
        <f t="shared" si="996"/>
        <v>450500</v>
      </c>
      <c r="I1852" s="8"/>
      <c r="J1852" s="9">
        <f t="shared" si="989"/>
        <v>450500</v>
      </c>
      <c r="K1852" s="8"/>
      <c r="L1852" s="8"/>
      <c r="M1852" s="9">
        <f t="shared" ref="M1852:M1867" si="998">+H1852+L1852</f>
        <v>450500</v>
      </c>
      <c r="N1852" s="8"/>
      <c r="O1852" s="9"/>
      <c r="P1852" s="9">
        <f t="shared" si="997"/>
        <v>0</v>
      </c>
      <c r="Q1852" s="9">
        <f t="shared" si="990"/>
        <v>450500</v>
      </c>
      <c r="R1852" s="17"/>
      <c r="S1852" s="17"/>
      <c r="T1852" s="17"/>
      <c r="U1852" s="18">
        <f t="shared" si="991"/>
        <v>0</v>
      </c>
      <c r="V1852" s="17"/>
      <c r="W1852" s="17"/>
      <c r="X1852" s="9">
        <f t="shared" si="992"/>
        <v>450500</v>
      </c>
      <c r="Y1852" s="8"/>
      <c r="Z1852" s="9">
        <f t="shared" si="993"/>
        <v>0</v>
      </c>
      <c r="AA1852" s="8">
        <f t="shared" si="994"/>
        <v>450500</v>
      </c>
      <c r="AB1852" s="8">
        <f t="shared" si="995"/>
        <v>0</v>
      </c>
    </row>
    <row r="1853" spans="1:28" x14ac:dyDescent="0.3">
      <c r="A1853" s="64"/>
      <c r="B1853" s="8"/>
      <c r="C1853" s="7" t="s">
        <v>777</v>
      </c>
      <c r="D1853" s="15" t="s">
        <v>78</v>
      </c>
      <c r="E1853" s="9">
        <f>2289000-315939</f>
        <v>1973061</v>
      </c>
      <c r="F1853" s="9">
        <f>185886+1787175</f>
        <v>1973061</v>
      </c>
      <c r="G1853" s="8"/>
      <c r="H1853" s="9">
        <f t="shared" si="996"/>
        <v>1973061</v>
      </c>
      <c r="I1853" s="8"/>
      <c r="J1853" s="9">
        <f t="shared" si="989"/>
        <v>1973061</v>
      </c>
      <c r="K1853" s="8"/>
      <c r="L1853" s="8"/>
      <c r="M1853" s="9">
        <f t="shared" si="998"/>
        <v>1973061</v>
      </c>
      <c r="N1853" s="8"/>
      <c r="O1853" s="9"/>
      <c r="P1853" s="9">
        <f t="shared" si="997"/>
        <v>0</v>
      </c>
      <c r="Q1853" s="9">
        <f t="shared" si="990"/>
        <v>1973061</v>
      </c>
      <c r="R1853" s="17"/>
      <c r="S1853" s="17"/>
      <c r="T1853" s="17"/>
      <c r="U1853" s="18">
        <f t="shared" si="991"/>
        <v>0</v>
      </c>
      <c r="V1853" s="17"/>
      <c r="W1853" s="17"/>
      <c r="X1853" s="9">
        <f t="shared" si="992"/>
        <v>1973061</v>
      </c>
      <c r="Y1853" s="8"/>
      <c r="Z1853" s="9">
        <f t="shared" si="993"/>
        <v>0</v>
      </c>
      <c r="AA1853" s="8">
        <f t="shared" si="994"/>
        <v>1973061</v>
      </c>
      <c r="AB1853" s="8">
        <f t="shared" si="995"/>
        <v>0</v>
      </c>
    </row>
    <row r="1854" spans="1:28" x14ac:dyDescent="0.3">
      <c r="A1854" s="64"/>
      <c r="B1854" s="8"/>
      <c r="C1854" s="7" t="s">
        <v>535</v>
      </c>
      <c r="D1854" s="15" t="s">
        <v>68</v>
      </c>
      <c r="E1854" s="9">
        <f>4976100-1435512</f>
        <v>3540588</v>
      </c>
      <c r="F1854" s="9">
        <v>1337270</v>
      </c>
      <c r="G1854" s="8"/>
      <c r="H1854" s="9">
        <f t="shared" si="996"/>
        <v>1337270</v>
      </c>
      <c r="I1854" s="8"/>
      <c r="J1854" s="9">
        <f t="shared" si="989"/>
        <v>1337270</v>
      </c>
      <c r="K1854" s="9">
        <v>2203318</v>
      </c>
      <c r="L1854" s="8"/>
      <c r="M1854" s="9">
        <f t="shared" si="998"/>
        <v>1337270</v>
      </c>
      <c r="N1854" s="8">
        <v>2203318</v>
      </c>
      <c r="O1854" s="9"/>
      <c r="P1854" s="9">
        <f t="shared" si="997"/>
        <v>2203318</v>
      </c>
      <c r="Q1854" s="9">
        <f t="shared" si="990"/>
        <v>1337270</v>
      </c>
      <c r="R1854" s="17"/>
      <c r="S1854" s="17"/>
      <c r="T1854" s="17"/>
      <c r="U1854" s="18">
        <f t="shared" si="991"/>
        <v>2203318</v>
      </c>
      <c r="V1854" s="17"/>
      <c r="W1854" s="17"/>
      <c r="X1854" s="9">
        <f t="shared" si="992"/>
        <v>3540588</v>
      </c>
      <c r="Y1854" s="8"/>
      <c r="Z1854" s="9">
        <f t="shared" si="993"/>
        <v>0</v>
      </c>
      <c r="AA1854" s="8">
        <f t="shared" si="994"/>
        <v>3540588</v>
      </c>
      <c r="AB1854" s="8">
        <f t="shared" si="995"/>
        <v>0</v>
      </c>
    </row>
    <row r="1855" spans="1:28" x14ac:dyDescent="0.3">
      <c r="A1855" s="64"/>
      <c r="B1855" s="8"/>
      <c r="C1855" s="7" t="s">
        <v>539</v>
      </c>
      <c r="D1855" s="15" t="s">
        <v>68</v>
      </c>
      <c r="E1855" s="9">
        <f>2236455+436079.7</f>
        <v>2672534.7000000002</v>
      </c>
      <c r="F1855" s="8"/>
      <c r="G1855" s="8"/>
      <c r="H1855" s="9">
        <f t="shared" si="996"/>
        <v>0</v>
      </c>
      <c r="I1855" s="8"/>
      <c r="J1855" s="9">
        <f t="shared" si="989"/>
        <v>0</v>
      </c>
      <c r="K1855" s="9">
        <f>2236455+436079.7</f>
        <v>2672534.7000000002</v>
      </c>
      <c r="L1855" s="8"/>
      <c r="M1855" s="9">
        <f t="shared" si="998"/>
        <v>0</v>
      </c>
      <c r="N1855" s="8">
        <v>2672534.7000000002</v>
      </c>
      <c r="O1855" s="9"/>
      <c r="P1855" s="9">
        <f t="shared" si="997"/>
        <v>2672534.7000000002</v>
      </c>
      <c r="Q1855" s="9">
        <f t="shared" si="990"/>
        <v>0</v>
      </c>
      <c r="R1855" s="17"/>
      <c r="S1855" s="17"/>
      <c r="T1855" s="17"/>
      <c r="U1855" s="18">
        <f t="shared" si="991"/>
        <v>2672534.7000000002</v>
      </c>
      <c r="V1855" s="17"/>
      <c r="W1855" s="17"/>
      <c r="X1855" s="9">
        <f t="shared" si="992"/>
        <v>2672534.7000000002</v>
      </c>
      <c r="Y1855" s="8"/>
      <c r="Z1855" s="9">
        <f t="shared" si="993"/>
        <v>0</v>
      </c>
      <c r="AA1855" s="8">
        <f t="shared" si="994"/>
        <v>2672534.7000000002</v>
      </c>
      <c r="AB1855" s="8">
        <f t="shared" si="995"/>
        <v>0</v>
      </c>
    </row>
    <row r="1856" spans="1:28" x14ac:dyDescent="0.3">
      <c r="A1856" s="64"/>
      <c r="B1856" s="8"/>
      <c r="C1856" s="7" t="s">
        <v>545</v>
      </c>
      <c r="D1856" s="15" t="s">
        <v>54</v>
      </c>
      <c r="E1856" s="9">
        <v>1767770</v>
      </c>
      <c r="F1856" s="8"/>
      <c r="G1856" s="8"/>
      <c r="H1856" s="9">
        <f t="shared" si="996"/>
        <v>0</v>
      </c>
      <c r="I1856" s="8"/>
      <c r="J1856" s="9">
        <f t="shared" si="989"/>
        <v>0</v>
      </c>
      <c r="K1856" s="9">
        <v>1767770</v>
      </c>
      <c r="L1856" s="8"/>
      <c r="M1856" s="9">
        <f t="shared" si="998"/>
        <v>0</v>
      </c>
      <c r="N1856" s="8">
        <v>1767770</v>
      </c>
      <c r="O1856" s="9"/>
      <c r="P1856" s="9">
        <f t="shared" si="997"/>
        <v>1767770</v>
      </c>
      <c r="Q1856" s="9">
        <f t="shared" si="990"/>
        <v>0</v>
      </c>
      <c r="R1856" s="17"/>
      <c r="S1856" s="17"/>
      <c r="T1856" s="17"/>
      <c r="U1856" s="18">
        <f t="shared" si="991"/>
        <v>1767770</v>
      </c>
      <c r="V1856" s="17"/>
      <c r="W1856" s="17"/>
      <c r="X1856" s="9">
        <f t="shared" si="992"/>
        <v>1767770</v>
      </c>
      <c r="Y1856" s="8"/>
      <c r="Z1856" s="9">
        <f t="shared" si="993"/>
        <v>0</v>
      </c>
      <c r="AA1856" s="8">
        <f t="shared" si="994"/>
        <v>1767770</v>
      </c>
      <c r="AB1856" s="8">
        <f t="shared" si="995"/>
        <v>0</v>
      </c>
    </row>
    <row r="1857" spans="1:28" x14ac:dyDescent="0.3">
      <c r="A1857" s="64"/>
      <c r="B1857" s="8"/>
      <c r="C1857" s="7" t="s">
        <v>778</v>
      </c>
      <c r="D1857" s="15" t="s">
        <v>54</v>
      </c>
      <c r="E1857" s="9">
        <f>2000000-100000</f>
        <v>1900000</v>
      </c>
      <c r="F1857" s="9">
        <f>98042+42018+1759940</f>
        <v>1900000</v>
      </c>
      <c r="G1857" s="8"/>
      <c r="H1857" s="9">
        <f t="shared" si="996"/>
        <v>1900000</v>
      </c>
      <c r="I1857" s="8"/>
      <c r="J1857" s="9">
        <f t="shared" si="989"/>
        <v>1900000</v>
      </c>
      <c r="K1857" s="8"/>
      <c r="L1857" s="8"/>
      <c r="M1857" s="9">
        <f t="shared" si="998"/>
        <v>1900000</v>
      </c>
      <c r="N1857" s="8"/>
      <c r="O1857" s="9"/>
      <c r="P1857" s="9">
        <f t="shared" si="997"/>
        <v>0</v>
      </c>
      <c r="Q1857" s="9">
        <f t="shared" si="990"/>
        <v>1900000</v>
      </c>
      <c r="R1857" s="17"/>
      <c r="S1857" s="17"/>
      <c r="T1857" s="17"/>
      <c r="U1857" s="18">
        <f t="shared" si="991"/>
        <v>0</v>
      </c>
      <c r="V1857" s="17"/>
      <c r="W1857" s="17"/>
      <c r="X1857" s="9">
        <f t="shared" si="992"/>
        <v>1900000</v>
      </c>
      <c r="Y1857" s="8"/>
      <c r="Z1857" s="9">
        <f t="shared" si="993"/>
        <v>0</v>
      </c>
      <c r="AA1857" s="8">
        <f t="shared" si="994"/>
        <v>1900000</v>
      </c>
      <c r="AB1857" s="8">
        <f t="shared" si="995"/>
        <v>0</v>
      </c>
    </row>
    <row r="1858" spans="1:28" x14ac:dyDescent="0.3">
      <c r="A1858" s="64"/>
      <c r="B1858" s="8"/>
      <c r="C1858" s="7" t="s">
        <v>535</v>
      </c>
      <c r="D1858" s="15" t="s">
        <v>85</v>
      </c>
      <c r="E1858" s="9">
        <v>1859410</v>
      </c>
      <c r="F1858" s="9">
        <f>1379560+479850</f>
        <v>1859410</v>
      </c>
      <c r="G1858" s="8"/>
      <c r="H1858" s="9">
        <f t="shared" si="996"/>
        <v>1859410</v>
      </c>
      <c r="I1858" s="8"/>
      <c r="J1858" s="9">
        <f t="shared" si="989"/>
        <v>1859410</v>
      </c>
      <c r="K1858" s="8"/>
      <c r="L1858" s="8"/>
      <c r="M1858" s="9">
        <f t="shared" si="998"/>
        <v>1859410</v>
      </c>
      <c r="N1858" s="8"/>
      <c r="O1858" s="9"/>
      <c r="P1858" s="9">
        <f t="shared" si="997"/>
        <v>0</v>
      </c>
      <c r="Q1858" s="9">
        <f t="shared" si="990"/>
        <v>1859410</v>
      </c>
      <c r="R1858" s="17"/>
      <c r="S1858" s="17"/>
      <c r="T1858" s="17"/>
      <c r="U1858" s="18">
        <f t="shared" si="991"/>
        <v>0</v>
      </c>
      <c r="V1858" s="17"/>
      <c r="W1858" s="17"/>
      <c r="X1858" s="9">
        <f t="shared" si="992"/>
        <v>1859410</v>
      </c>
      <c r="Y1858" s="8"/>
      <c r="Z1858" s="9">
        <f t="shared" si="993"/>
        <v>0</v>
      </c>
      <c r="AA1858" s="8">
        <f t="shared" si="994"/>
        <v>1859410</v>
      </c>
      <c r="AB1858" s="8">
        <f t="shared" si="995"/>
        <v>0</v>
      </c>
    </row>
    <row r="1859" spans="1:28" x14ac:dyDescent="0.3">
      <c r="A1859" s="64"/>
      <c r="B1859" s="8"/>
      <c r="C1859" s="7" t="s">
        <v>535</v>
      </c>
      <c r="D1859" s="15" t="s">
        <v>88</v>
      </c>
      <c r="E1859" s="9">
        <v>1624092.82</v>
      </c>
      <c r="F1859" s="9">
        <v>1624092.82</v>
      </c>
      <c r="G1859" s="8"/>
      <c r="H1859" s="9">
        <f t="shared" si="996"/>
        <v>1624092.82</v>
      </c>
      <c r="I1859" s="8"/>
      <c r="J1859" s="9">
        <f t="shared" si="989"/>
        <v>1624092.82</v>
      </c>
      <c r="K1859" s="8"/>
      <c r="L1859" s="8"/>
      <c r="M1859" s="9">
        <f t="shared" si="998"/>
        <v>1624092.82</v>
      </c>
      <c r="N1859" s="8"/>
      <c r="O1859" s="9"/>
      <c r="P1859" s="9">
        <f t="shared" si="997"/>
        <v>0</v>
      </c>
      <c r="Q1859" s="9">
        <f t="shared" si="990"/>
        <v>1624092.82</v>
      </c>
      <c r="R1859" s="17"/>
      <c r="S1859" s="17"/>
      <c r="T1859" s="17"/>
      <c r="U1859" s="18">
        <f t="shared" si="991"/>
        <v>0</v>
      </c>
      <c r="V1859" s="17"/>
      <c r="W1859" s="17"/>
      <c r="X1859" s="9">
        <f t="shared" si="992"/>
        <v>1624092.82</v>
      </c>
      <c r="Y1859" s="8"/>
      <c r="Z1859" s="9">
        <f t="shared" si="993"/>
        <v>0</v>
      </c>
      <c r="AA1859" s="8">
        <f t="shared" si="994"/>
        <v>1624092.82</v>
      </c>
      <c r="AB1859" s="8">
        <f t="shared" si="995"/>
        <v>0</v>
      </c>
    </row>
    <row r="1860" spans="1:28" x14ac:dyDescent="0.3">
      <c r="A1860" s="64"/>
      <c r="B1860" s="8"/>
      <c r="C1860" s="7" t="s">
        <v>535</v>
      </c>
      <c r="D1860" s="15" t="s">
        <v>58</v>
      </c>
      <c r="E1860" s="9">
        <v>1886400</v>
      </c>
      <c r="F1860" s="9">
        <v>1886400</v>
      </c>
      <c r="G1860" s="8"/>
      <c r="H1860" s="9">
        <f t="shared" si="996"/>
        <v>1886400</v>
      </c>
      <c r="I1860" s="8"/>
      <c r="J1860" s="9">
        <f t="shared" si="989"/>
        <v>1886400</v>
      </c>
      <c r="K1860" s="8"/>
      <c r="L1860" s="8"/>
      <c r="M1860" s="9">
        <f t="shared" si="998"/>
        <v>1886400</v>
      </c>
      <c r="N1860" s="8"/>
      <c r="O1860" s="9"/>
      <c r="P1860" s="9">
        <f t="shared" si="997"/>
        <v>0</v>
      </c>
      <c r="Q1860" s="9">
        <f t="shared" si="990"/>
        <v>1886400</v>
      </c>
      <c r="R1860" s="17"/>
      <c r="S1860" s="17"/>
      <c r="T1860" s="17"/>
      <c r="U1860" s="18">
        <f t="shared" si="991"/>
        <v>0</v>
      </c>
      <c r="V1860" s="17"/>
      <c r="W1860" s="17"/>
      <c r="X1860" s="9">
        <f t="shared" si="992"/>
        <v>1886400</v>
      </c>
      <c r="Y1860" s="8"/>
      <c r="Z1860" s="9">
        <f t="shared" si="993"/>
        <v>0</v>
      </c>
      <c r="AA1860" s="8">
        <f t="shared" si="994"/>
        <v>1886400</v>
      </c>
      <c r="AB1860" s="8">
        <f t="shared" si="995"/>
        <v>0</v>
      </c>
    </row>
    <row r="1861" spans="1:28" x14ac:dyDescent="0.3">
      <c r="A1861" s="64"/>
      <c r="B1861" s="8"/>
      <c r="C1861" s="7" t="s">
        <v>535</v>
      </c>
      <c r="D1861" s="15" t="s">
        <v>60</v>
      </c>
      <c r="E1861" s="9">
        <f>5133272+359151+992668</f>
        <v>6485091</v>
      </c>
      <c r="F1861" s="9">
        <f>5133272+359151+992668</f>
        <v>6485091</v>
      </c>
      <c r="G1861" s="8"/>
      <c r="H1861" s="9">
        <f t="shared" si="996"/>
        <v>6485091</v>
      </c>
      <c r="I1861" s="9"/>
      <c r="J1861" s="9">
        <f t="shared" si="989"/>
        <v>6485091</v>
      </c>
      <c r="K1861" s="8"/>
      <c r="L1861" s="8"/>
      <c r="M1861" s="9">
        <f t="shared" si="998"/>
        <v>6485091</v>
      </c>
      <c r="N1861" s="8"/>
      <c r="O1861" s="9"/>
      <c r="P1861" s="9">
        <f t="shared" si="997"/>
        <v>0</v>
      </c>
      <c r="Q1861" s="9">
        <f t="shared" si="990"/>
        <v>6485091</v>
      </c>
      <c r="R1861" s="17"/>
      <c r="S1861" s="17"/>
      <c r="T1861" s="17"/>
      <c r="U1861" s="18">
        <f t="shared" si="991"/>
        <v>0</v>
      </c>
      <c r="V1861" s="17"/>
      <c r="W1861" s="17"/>
      <c r="X1861" s="9">
        <f t="shared" si="992"/>
        <v>6485091</v>
      </c>
      <c r="Y1861" s="8"/>
      <c r="Z1861" s="9">
        <f t="shared" si="993"/>
        <v>0</v>
      </c>
      <c r="AA1861" s="8">
        <f t="shared" si="994"/>
        <v>6485091</v>
      </c>
      <c r="AB1861" s="8">
        <f t="shared" si="995"/>
        <v>0</v>
      </c>
    </row>
    <row r="1862" spans="1:28" x14ac:dyDescent="0.3">
      <c r="A1862" s="64"/>
      <c r="B1862" s="8"/>
      <c r="C1862" s="14" t="s">
        <v>535</v>
      </c>
      <c r="D1862" s="21" t="s">
        <v>73</v>
      </c>
      <c r="E1862" s="11">
        <f>4825380+4382000</f>
        <v>9207380</v>
      </c>
      <c r="F1862" s="11">
        <f>4825380+4382000</f>
        <v>9207380</v>
      </c>
      <c r="G1862" s="8"/>
      <c r="H1862" s="9">
        <f t="shared" si="996"/>
        <v>9207380</v>
      </c>
      <c r="I1862" s="8"/>
      <c r="J1862" s="9">
        <f t="shared" si="989"/>
        <v>9207380</v>
      </c>
      <c r="K1862" s="8"/>
      <c r="L1862" s="8"/>
      <c r="M1862" s="9">
        <f t="shared" si="998"/>
        <v>9207380</v>
      </c>
      <c r="N1862" s="8"/>
      <c r="O1862" s="9"/>
      <c r="P1862" s="9">
        <f t="shared" si="997"/>
        <v>0</v>
      </c>
      <c r="Q1862" s="9">
        <f t="shared" si="990"/>
        <v>9207380</v>
      </c>
      <c r="R1862" s="17"/>
      <c r="S1862" s="17"/>
      <c r="T1862" s="17"/>
      <c r="U1862" s="18">
        <f t="shared" si="991"/>
        <v>0</v>
      </c>
      <c r="V1862" s="17"/>
      <c r="W1862" s="17"/>
      <c r="X1862" s="9">
        <f t="shared" si="992"/>
        <v>9207380</v>
      </c>
      <c r="Y1862" s="8"/>
      <c r="Z1862" s="9">
        <f t="shared" si="993"/>
        <v>0</v>
      </c>
      <c r="AA1862" s="8">
        <f t="shared" si="994"/>
        <v>9207380</v>
      </c>
      <c r="AB1862" s="8">
        <f t="shared" si="995"/>
        <v>0</v>
      </c>
    </row>
    <row r="1863" spans="1:28" x14ac:dyDescent="0.3">
      <c r="A1863" s="64"/>
      <c r="B1863" s="8"/>
      <c r="C1863" s="14" t="s">
        <v>535</v>
      </c>
      <c r="D1863" s="21" t="s">
        <v>61</v>
      </c>
      <c r="E1863" s="11">
        <v>9191000</v>
      </c>
      <c r="F1863" s="11">
        <v>9191000</v>
      </c>
      <c r="G1863" s="8"/>
      <c r="H1863" s="9">
        <f t="shared" si="996"/>
        <v>9191000</v>
      </c>
      <c r="I1863" s="8"/>
      <c r="J1863" s="9">
        <f t="shared" si="989"/>
        <v>9191000</v>
      </c>
      <c r="K1863" s="8"/>
      <c r="L1863" s="8"/>
      <c r="M1863" s="9">
        <f t="shared" si="998"/>
        <v>9191000</v>
      </c>
      <c r="N1863" s="8"/>
      <c r="O1863" s="9"/>
      <c r="P1863" s="9">
        <f t="shared" si="997"/>
        <v>0</v>
      </c>
      <c r="Q1863" s="9">
        <f t="shared" si="990"/>
        <v>9191000</v>
      </c>
      <c r="R1863" s="17"/>
      <c r="S1863" s="17"/>
      <c r="T1863" s="17"/>
      <c r="U1863" s="18">
        <f t="shared" si="991"/>
        <v>0</v>
      </c>
      <c r="V1863" s="17"/>
      <c r="W1863" s="17"/>
      <c r="X1863" s="9">
        <f t="shared" si="992"/>
        <v>9191000</v>
      </c>
      <c r="Y1863" s="8"/>
      <c r="Z1863" s="9">
        <f t="shared" si="993"/>
        <v>0</v>
      </c>
      <c r="AA1863" s="8">
        <f t="shared" si="994"/>
        <v>9191000</v>
      </c>
      <c r="AB1863" s="8">
        <f t="shared" si="995"/>
        <v>0</v>
      </c>
    </row>
    <row r="1864" spans="1:28" x14ac:dyDescent="0.3">
      <c r="A1864" s="64"/>
      <c r="B1864" s="8"/>
      <c r="C1864" s="14" t="s">
        <v>933</v>
      </c>
      <c r="D1864" s="24" t="s">
        <v>1072</v>
      </c>
      <c r="E1864" s="11">
        <f>1639885.17+5272269.01</f>
        <v>6912154.1799999997</v>
      </c>
      <c r="F1864" s="11">
        <f>1639885.17+5272269.01</f>
        <v>6912154.1799999997</v>
      </c>
      <c r="G1864" s="8"/>
      <c r="H1864" s="9">
        <f>+F1864+G1864</f>
        <v>6912154.1799999997</v>
      </c>
      <c r="I1864" s="8"/>
      <c r="J1864" s="9"/>
      <c r="K1864" s="8"/>
      <c r="L1864" s="8"/>
      <c r="M1864" s="9">
        <f>+H1864+L1864</f>
        <v>6912154.1799999997</v>
      </c>
      <c r="N1864" s="8"/>
      <c r="O1864" s="9"/>
      <c r="P1864" s="9">
        <f t="shared" si="997"/>
        <v>0</v>
      </c>
      <c r="Q1864" s="9"/>
      <c r="R1864" s="17"/>
      <c r="S1864" s="17"/>
      <c r="T1864" s="17"/>
      <c r="U1864" s="18">
        <f>+P1864+T1864</f>
        <v>0</v>
      </c>
      <c r="V1864" s="17"/>
      <c r="W1864" s="17"/>
      <c r="X1864" s="9">
        <f t="shared" si="992"/>
        <v>6912154.1799999997</v>
      </c>
      <c r="Y1864" s="8"/>
      <c r="Z1864" s="9">
        <f t="shared" si="993"/>
        <v>0</v>
      </c>
      <c r="AA1864" s="8">
        <f t="shared" si="994"/>
        <v>6912154.1799999997</v>
      </c>
      <c r="AB1864" s="8">
        <f t="shared" si="995"/>
        <v>0</v>
      </c>
    </row>
    <row r="1865" spans="1:28" x14ac:dyDescent="0.3">
      <c r="A1865" s="64"/>
      <c r="B1865" s="8"/>
      <c r="C1865" s="14" t="s">
        <v>1173</v>
      </c>
      <c r="D1865" s="24" t="s">
        <v>1126</v>
      </c>
      <c r="E1865" s="11">
        <f>5372251.08+3361153.08+3835263.92</f>
        <v>12568668.08</v>
      </c>
      <c r="F1865" s="8">
        <f>5372251.08+3361153.08+3835263.92</f>
        <v>12568668.08</v>
      </c>
      <c r="G1865" s="8"/>
      <c r="H1865" s="9">
        <f>+F1865+G1865</f>
        <v>12568668.08</v>
      </c>
      <c r="I1865" s="8"/>
      <c r="J1865" s="9"/>
      <c r="K1865" s="8"/>
      <c r="L1865" s="8"/>
      <c r="M1865" s="9">
        <f>+H1865+L1865</f>
        <v>12568668.08</v>
      </c>
      <c r="N1865" s="8"/>
      <c r="O1865" s="9"/>
      <c r="P1865" s="9">
        <f>+N1865+O1865</f>
        <v>0</v>
      </c>
      <c r="Q1865" s="9"/>
      <c r="R1865" s="17"/>
      <c r="S1865" s="17"/>
      <c r="T1865" s="17"/>
      <c r="U1865" s="18">
        <f>+P1865+T1865</f>
        <v>0</v>
      </c>
      <c r="V1865" s="17"/>
      <c r="W1865" s="17"/>
      <c r="X1865" s="9">
        <f t="shared" si="992"/>
        <v>12568668.08</v>
      </c>
      <c r="Y1865" s="8"/>
      <c r="Z1865" s="9">
        <f t="shared" si="993"/>
        <v>0</v>
      </c>
      <c r="AA1865" s="8">
        <f t="shared" si="994"/>
        <v>12568668.08</v>
      </c>
      <c r="AB1865" s="8">
        <f t="shared" si="995"/>
        <v>0</v>
      </c>
    </row>
    <row r="1866" spans="1:28" x14ac:dyDescent="0.3">
      <c r="A1866" s="64"/>
      <c r="B1866" s="8"/>
      <c r="C1866" s="14" t="s">
        <v>1245</v>
      </c>
      <c r="D1866" s="24" t="s">
        <v>1225</v>
      </c>
      <c r="E1866" s="11">
        <f>8630539.48+12157474.38</f>
        <v>20788013.859999999</v>
      </c>
      <c r="F1866" s="8">
        <v>8630539.4800000004</v>
      </c>
      <c r="G1866" s="8">
        <v>12157474.380000001</v>
      </c>
      <c r="H1866" s="9">
        <f>+F1866+G1866</f>
        <v>20788013.859999999</v>
      </c>
      <c r="I1866" s="8"/>
      <c r="J1866" s="9"/>
      <c r="K1866" s="8"/>
      <c r="L1866" s="8"/>
      <c r="M1866" s="9">
        <f>+H1866+L1866</f>
        <v>20788013.859999999</v>
      </c>
      <c r="N1866" s="8"/>
      <c r="O1866" s="9"/>
      <c r="P1866" s="9">
        <f>+N1866+O1866</f>
        <v>0</v>
      </c>
      <c r="Q1866" s="9"/>
      <c r="R1866" s="17"/>
      <c r="S1866" s="17"/>
      <c r="T1866" s="17"/>
      <c r="U1866" s="18">
        <f>+P1866+T1866</f>
        <v>0</v>
      </c>
      <c r="V1866" s="17"/>
      <c r="W1866" s="17"/>
      <c r="X1866" s="9">
        <f t="shared" si="992"/>
        <v>20788013.859999999</v>
      </c>
      <c r="Y1866" s="8"/>
      <c r="Z1866" s="9"/>
      <c r="AA1866" s="8">
        <f t="shared" si="994"/>
        <v>20788013.859999999</v>
      </c>
    </row>
    <row r="1867" spans="1:28" x14ac:dyDescent="0.3">
      <c r="A1867" s="64"/>
      <c r="B1867" s="8"/>
      <c r="C1867" s="7" t="s">
        <v>606</v>
      </c>
      <c r="D1867" s="8"/>
      <c r="E1867" s="9">
        <f>2500000+1299870.1</f>
        <v>3799870.1</v>
      </c>
      <c r="F1867" s="9">
        <v>2500000</v>
      </c>
      <c r="G1867" s="8"/>
      <c r="H1867" s="9">
        <f t="shared" si="996"/>
        <v>2500000</v>
      </c>
      <c r="I1867" s="9">
        <v>1299870.1000000001</v>
      </c>
      <c r="J1867" s="9">
        <f t="shared" si="989"/>
        <v>3799870.1</v>
      </c>
      <c r="K1867" s="8"/>
      <c r="L1867" s="8">
        <v>1299870.1000000001</v>
      </c>
      <c r="M1867" s="9">
        <f t="shared" si="998"/>
        <v>3799870.1</v>
      </c>
      <c r="N1867" s="8"/>
      <c r="O1867" s="9"/>
      <c r="P1867" s="9">
        <f t="shared" si="997"/>
        <v>0</v>
      </c>
      <c r="Q1867" s="9">
        <f t="shared" si="990"/>
        <v>3799870.1</v>
      </c>
      <c r="R1867" s="17"/>
      <c r="S1867" s="17"/>
      <c r="T1867" s="17"/>
      <c r="U1867" s="18">
        <f t="shared" si="991"/>
        <v>0</v>
      </c>
      <c r="V1867" s="17"/>
      <c r="W1867" s="17"/>
      <c r="X1867" s="9">
        <f t="shared" si="992"/>
        <v>2500000</v>
      </c>
      <c r="Y1867" s="8"/>
      <c r="Z1867" s="9">
        <f t="shared" si="993"/>
        <v>1299870.1000000001</v>
      </c>
      <c r="AA1867" s="8">
        <f t="shared" si="994"/>
        <v>3799870.1</v>
      </c>
      <c r="AB1867" s="8">
        <f t="shared" si="995"/>
        <v>0</v>
      </c>
    </row>
    <row r="1868" spans="1:28" x14ac:dyDescent="0.3">
      <c r="A1868" s="64"/>
      <c r="B1868" s="8"/>
      <c r="C1868" s="8"/>
      <c r="D1868" s="8"/>
      <c r="E1868" s="17" t="s">
        <v>29</v>
      </c>
      <c r="F1868" s="17" t="s">
        <v>29</v>
      </c>
      <c r="G1868" s="17" t="s">
        <v>29</v>
      </c>
      <c r="H1868" s="17" t="s">
        <v>29</v>
      </c>
      <c r="I1868" s="17" t="s">
        <v>29</v>
      </c>
      <c r="J1868" s="17" t="s">
        <v>29</v>
      </c>
      <c r="K1868" s="17" t="s">
        <v>29</v>
      </c>
      <c r="L1868" s="17" t="s">
        <v>29</v>
      </c>
      <c r="M1868" s="17" t="s">
        <v>29</v>
      </c>
      <c r="N1868" s="17" t="s">
        <v>29</v>
      </c>
      <c r="O1868" s="17" t="s">
        <v>29</v>
      </c>
      <c r="P1868" s="17" t="s">
        <v>29</v>
      </c>
      <c r="Q1868" s="17" t="s">
        <v>29</v>
      </c>
      <c r="R1868" s="17"/>
      <c r="S1868" s="17"/>
      <c r="T1868" s="17"/>
      <c r="U1868" s="17"/>
      <c r="V1868" s="17"/>
      <c r="W1868" s="17"/>
      <c r="X1868" s="17" t="s">
        <v>29</v>
      </c>
      <c r="Y1868" s="17"/>
      <c r="Z1868" s="17"/>
      <c r="AA1868" s="17" t="s">
        <v>29</v>
      </c>
      <c r="AB1868" s="17" t="s">
        <v>29</v>
      </c>
    </row>
    <row r="1869" spans="1:28" x14ac:dyDescent="0.3">
      <c r="A1869" s="64"/>
      <c r="B1869" s="8"/>
      <c r="C1869" s="8"/>
      <c r="D1869" s="8"/>
      <c r="E1869" s="9">
        <f t="shared" ref="E1869:Q1869" si="999">SUM(E1850:E1868)</f>
        <v>87417022.73999998</v>
      </c>
      <c r="F1869" s="9">
        <f t="shared" si="999"/>
        <v>67316055.560000002</v>
      </c>
      <c r="G1869" s="9">
        <f t="shared" si="999"/>
        <v>12157474.380000001</v>
      </c>
      <c r="H1869" s="9">
        <f t="shared" si="999"/>
        <v>79473529.939999998</v>
      </c>
      <c r="I1869" s="9">
        <f t="shared" si="999"/>
        <v>1299870.1000000001</v>
      </c>
      <c r="J1869" s="9">
        <f t="shared" si="999"/>
        <v>40504563.920000002</v>
      </c>
      <c r="K1869" s="9">
        <f t="shared" si="999"/>
        <v>6643622.7000000002</v>
      </c>
      <c r="L1869" s="9">
        <f t="shared" si="999"/>
        <v>1299870.1000000001</v>
      </c>
      <c r="M1869" s="9">
        <f t="shared" si="999"/>
        <v>80773400.039999992</v>
      </c>
      <c r="N1869" s="9">
        <f t="shared" si="999"/>
        <v>6643622.7000000002</v>
      </c>
      <c r="O1869" s="9">
        <f t="shared" si="999"/>
        <v>0</v>
      </c>
      <c r="P1869" s="9">
        <f t="shared" si="999"/>
        <v>6643622.7000000002</v>
      </c>
      <c r="Q1869" s="9">
        <f t="shared" si="999"/>
        <v>40504563.920000002</v>
      </c>
      <c r="R1869" s="17"/>
      <c r="S1869" s="17"/>
      <c r="T1869" s="9">
        <f t="shared" ref="T1869:Z1869" si="1000">SUM(T1850:T1868)</f>
        <v>0</v>
      </c>
      <c r="U1869" s="9">
        <f t="shared" si="1000"/>
        <v>6643622.7000000002</v>
      </c>
      <c r="V1869" s="9">
        <f t="shared" si="1000"/>
        <v>0</v>
      </c>
      <c r="W1869" s="9">
        <f t="shared" si="1000"/>
        <v>0</v>
      </c>
      <c r="X1869" s="9">
        <f t="shared" si="1000"/>
        <v>86117152.639999986</v>
      </c>
      <c r="Y1869" s="9">
        <f t="shared" si="1000"/>
        <v>0</v>
      </c>
      <c r="Z1869" s="9">
        <f t="shared" si="1000"/>
        <v>1299870.1000000001</v>
      </c>
      <c r="AA1869" s="9">
        <f>SUM(AA1850:AA1868)</f>
        <v>87417022.73999998</v>
      </c>
      <c r="AB1869" s="9">
        <f>SUM(AB1850:AB1868)</f>
        <v>0</v>
      </c>
    </row>
    <row r="1870" spans="1:28" x14ac:dyDescent="0.3">
      <c r="A1870" s="64"/>
      <c r="B1870" s="8"/>
      <c r="C1870" s="8"/>
      <c r="D1870" s="8"/>
      <c r="E1870" s="17" t="s">
        <v>29</v>
      </c>
      <c r="F1870" s="17" t="s">
        <v>29</v>
      </c>
      <c r="G1870" s="17" t="s">
        <v>29</v>
      </c>
      <c r="H1870" s="17" t="s">
        <v>29</v>
      </c>
      <c r="I1870" s="17" t="s">
        <v>29</v>
      </c>
      <c r="J1870" s="17" t="s">
        <v>29</v>
      </c>
      <c r="K1870" s="17" t="s">
        <v>29</v>
      </c>
      <c r="L1870" s="17" t="s">
        <v>29</v>
      </c>
      <c r="M1870" s="17" t="s">
        <v>29</v>
      </c>
      <c r="N1870" s="17" t="s">
        <v>29</v>
      </c>
      <c r="O1870" s="17" t="s">
        <v>29</v>
      </c>
      <c r="P1870" s="17" t="s">
        <v>29</v>
      </c>
      <c r="Q1870" s="17" t="s">
        <v>29</v>
      </c>
      <c r="R1870" s="17"/>
      <c r="S1870" s="17"/>
      <c r="T1870" s="17"/>
      <c r="U1870" s="17"/>
      <c r="V1870" s="17"/>
      <c r="W1870" s="17"/>
      <c r="X1870" s="17" t="s">
        <v>29</v>
      </c>
      <c r="Y1870" s="17"/>
      <c r="Z1870" s="17"/>
      <c r="AA1870" s="17" t="s">
        <v>29</v>
      </c>
      <c r="AB1870" s="17" t="s">
        <v>29</v>
      </c>
    </row>
    <row r="1871" spans="1:28" x14ac:dyDescent="0.3">
      <c r="A1871" s="63" t="s">
        <v>1019</v>
      </c>
      <c r="B1871" s="7" t="s">
        <v>779</v>
      </c>
      <c r="C1871" s="8"/>
      <c r="D1871" s="8"/>
      <c r="E1871" s="8"/>
      <c r="F1871" s="8"/>
      <c r="G1871" s="8"/>
      <c r="H1871" s="8"/>
      <c r="I1871" s="8"/>
      <c r="J1871" s="8"/>
      <c r="K1871" s="8"/>
      <c r="L1871" s="8"/>
      <c r="M1871" s="8"/>
      <c r="N1871" s="8"/>
      <c r="O1871" s="8"/>
      <c r="P1871" s="8"/>
      <c r="Q1871" s="8"/>
      <c r="R1871" s="17"/>
      <c r="S1871" s="17"/>
      <c r="T1871" s="17"/>
      <c r="U1871" s="17"/>
      <c r="V1871" s="17"/>
      <c r="W1871" s="17"/>
      <c r="X1871" s="17"/>
      <c r="Y1871" s="17"/>
      <c r="Z1871" s="17"/>
    </row>
    <row r="1872" spans="1:28" x14ac:dyDescent="0.3">
      <c r="A1872" s="64"/>
      <c r="B1872" s="8"/>
      <c r="C1872" s="7" t="s">
        <v>780</v>
      </c>
      <c r="D1872" s="15" t="s">
        <v>166</v>
      </c>
      <c r="E1872" s="9">
        <v>778196</v>
      </c>
      <c r="F1872" s="9">
        <v>778196</v>
      </c>
      <c r="G1872" s="8"/>
      <c r="H1872" s="9">
        <f>+F1872+G1872</f>
        <v>778196</v>
      </c>
      <c r="I1872" s="8"/>
      <c r="J1872" s="9">
        <f t="shared" ref="J1872:J1901" si="1001">H1872+I1872</f>
        <v>778196</v>
      </c>
      <c r="K1872" s="8"/>
      <c r="L1872" s="8"/>
      <c r="M1872" s="9">
        <f>+H1872+L1872</f>
        <v>778196</v>
      </c>
      <c r="N1872" s="8"/>
      <c r="O1872" s="9"/>
      <c r="P1872" s="9">
        <f>+N1872+O1872</f>
        <v>0</v>
      </c>
      <c r="Q1872" s="9">
        <f t="shared" ref="Q1872:Q1901" si="1002">E1872-P1872</f>
        <v>778196</v>
      </c>
      <c r="R1872" s="17"/>
      <c r="S1872" s="17"/>
      <c r="T1872" s="17"/>
      <c r="U1872" s="18">
        <f t="shared" ref="U1872:U1901" si="1003">+P1872+T1872</f>
        <v>0</v>
      </c>
      <c r="V1872" s="17"/>
      <c r="W1872" s="17"/>
      <c r="X1872" s="9">
        <f t="shared" ref="X1872:X1901" si="1004">+H1872+P1872</f>
        <v>778196</v>
      </c>
      <c r="Y1872" s="8"/>
      <c r="Z1872" s="9">
        <f t="shared" ref="Z1872:Z1901" si="1005">+E1872-X1872</f>
        <v>0</v>
      </c>
      <c r="AA1872" s="8">
        <f t="shared" ref="AA1872:AA1901" si="1006">+M1872+U1872</f>
        <v>778196</v>
      </c>
      <c r="AB1872" s="8">
        <f t="shared" ref="AB1872:AB1901" si="1007">+E1872-AA1872</f>
        <v>0</v>
      </c>
    </row>
    <row r="1873" spans="1:28" x14ac:dyDescent="0.3">
      <c r="A1873" s="64"/>
      <c r="B1873" s="8"/>
      <c r="C1873" s="7" t="s">
        <v>781</v>
      </c>
      <c r="D1873" s="15" t="s">
        <v>166</v>
      </c>
      <c r="E1873" s="9">
        <v>550000</v>
      </c>
      <c r="F1873" s="9">
        <v>550000</v>
      </c>
      <c r="G1873" s="8"/>
      <c r="H1873" s="9">
        <f t="shared" ref="H1873:H1901" si="1008">+F1873+G1873</f>
        <v>550000</v>
      </c>
      <c r="I1873" s="8"/>
      <c r="J1873" s="9">
        <f t="shared" si="1001"/>
        <v>550000</v>
      </c>
      <c r="K1873" s="8"/>
      <c r="L1873" s="8"/>
      <c r="M1873" s="9">
        <f t="shared" ref="M1873:M1901" si="1009">+H1873+L1873</f>
        <v>550000</v>
      </c>
      <c r="N1873" s="8"/>
      <c r="O1873" s="9"/>
      <c r="P1873" s="9">
        <f t="shared" ref="P1873:P1901" si="1010">+N1873+O1873</f>
        <v>0</v>
      </c>
      <c r="Q1873" s="9">
        <f t="shared" si="1002"/>
        <v>550000</v>
      </c>
      <c r="R1873" s="17"/>
      <c r="S1873" s="17"/>
      <c r="T1873" s="17"/>
      <c r="U1873" s="18">
        <f t="shared" si="1003"/>
        <v>0</v>
      </c>
      <c r="V1873" s="17"/>
      <c r="W1873" s="17"/>
      <c r="X1873" s="9">
        <f t="shared" si="1004"/>
        <v>550000</v>
      </c>
      <c r="Y1873" s="8"/>
      <c r="Z1873" s="9">
        <f t="shared" si="1005"/>
        <v>0</v>
      </c>
      <c r="AA1873" s="8">
        <f t="shared" si="1006"/>
        <v>550000</v>
      </c>
      <c r="AB1873" s="8">
        <f t="shared" si="1007"/>
        <v>0</v>
      </c>
    </row>
    <row r="1874" spans="1:28" x14ac:dyDescent="0.3">
      <c r="A1874" s="64"/>
      <c r="B1874" s="8"/>
      <c r="C1874" s="7" t="s">
        <v>782</v>
      </c>
      <c r="D1874" s="15" t="s">
        <v>166</v>
      </c>
      <c r="E1874" s="9">
        <v>7417302.3600000003</v>
      </c>
      <c r="F1874" s="9">
        <v>7404726</v>
      </c>
      <c r="G1874" s="8"/>
      <c r="H1874" s="9">
        <f t="shared" si="1008"/>
        <v>7404726</v>
      </c>
      <c r="I1874" s="8"/>
      <c r="J1874" s="9">
        <f t="shared" si="1001"/>
        <v>7404726</v>
      </c>
      <c r="K1874" s="9">
        <f>185206.76-172630.4</f>
        <v>12576.360000000015</v>
      </c>
      <c r="L1874" s="8"/>
      <c r="M1874" s="9">
        <f t="shared" si="1009"/>
        <v>7404726</v>
      </c>
      <c r="N1874" s="8">
        <v>12576.36</v>
      </c>
      <c r="O1874" s="9"/>
      <c r="P1874" s="9">
        <f t="shared" si="1010"/>
        <v>12576.36</v>
      </c>
      <c r="Q1874" s="9">
        <f t="shared" si="1002"/>
        <v>7404726</v>
      </c>
      <c r="R1874" s="17"/>
      <c r="S1874" s="17"/>
      <c r="T1874" s="17"/>
      <c r="U1874" s="18">
        <f t="shared" si="1003"/>
        <v>12576.36</v>
      </c>
      <c r="V1874" s="17"/>
      <c r="W1874" s="17"/>
      <c r="X1874" s="9">
        <f t="shared" si="1004"/>
        <v>7417302.3600000003</v>
      </c>
      <c r="Y1874" s="8"/>
      <c r="Z1874" s="9">
        <f t="shared" si="1005"/>
        <v>0</v>
      </c>
      <c r="AA1874" s="8">
        <f t="shared" si="1006"/>
        <v>7417302.3600000003</v>
      </c>
      <c r="AB1874" s="8">
        <f t="shared" si="1007"/>
        <v>0</v>
      </c>
    </row>
    <row r="1875" spans="1:28" x14ac:dyDescent="0.3">
      <c r="A1875" s="64"/>
      <c r="B1875" s="8"/>
      <c r="C1875" s="7" t="s">
        <v>535</v>
      </c>
      <c r="D1875" s="15" t="s">
        <v>68</v>
      </c>
      <c r="E1875" s="9">
        <v>2660000</v>
      </c>
      <c r="F1875" s="9">
        <v>1102758.8999999999</v>
      </c>
      <c r="G1875" s="8"/>
      <c r="H1875" s="9">
        <f t="shared" si="1008"/>
        <v>1102758.8999999999</v>
      </c>
      <c r="I1875" s="8"/>
      <c r="J1875" s="9">
        <f t="shared" si="1001"/>
        <v>1102758.8999999999</v>
      </c>
      <c r="K1875" s="9">
        <v>1557241.1</v>
      </c>
      <c r="L1875" s="8"/>
      <c r="M1875" s="9">
        <f t="shared" si="1009"/>
        <v>1102758.8999999999</v>
      </c>
      <c r="N1875" s="8">
        <v>1557241.1</v>
      </c>
      <c r="O1875" s="9"/>
      <c r="P1875" s="9">
        <f t="shared" si="1010"/>
        <v>1557241.1</v>
      </c>
      <c r="Q1875" s="9">
        <f t="shared" si="1002"/>
        <v>1102758.8999999999</v>
      </c>
      <c r="R1875" s="17"/>
      <c r="S1875" s="17"/>
      <c r="T1875" s="17"/>
      <c r="U1875" s="18">
        <f t="shared" si="1003"/>
        <v>1557241.1</v>
      </c>
      <c r="V1875" s="17"/>
      <c r="W1875" s="17"/>
      <c r="X1875" s="9">
        <f t="shared" si="1004"/>
        <v>2660000</v>
      </c>
      <c r="Y1875" s="8"/>
      <c r="Z1875" s="9">
        <f t="shared" si="1005"/>
        <v>0</v>
      </c>
      <c r="AA1875" s="8">
        <f t="shared" si="1006"/>
        <v>2660000</v>
      </c>
      <c r="AB1875" s="8">
        <f t="shared" si="1007"/>
        <v>0</v>
      </c>
    </row>
    <row r="1876" spans="1:28" x14ac:dyDescent="0.3">
      <c r="A1876" s="64"/>
      <c r="B1876" s="8"/>
      <c r="C1876" s="7" t="s">
        <v>539</v>
      </c>
      <c r="D1876" s="15" t="s">
        <v>68</v>
      </c>
      <c r="E1876" s="9">
        <v>429547</v>
      </c>
      <c r="F1876" s="8"/>
      <c r="G1876" s="8"/>
      <c r="H1876" s="9">
        <f t="shared" si="1008"/>
        <v>0</v>
      </c>
      <c r="I1876" s="8"/>
      <c r="J1876" s="9">
        <f t="shared" si="1001"/>
        <v>0</v>
      </c>
      <c r="K1876" s="9">
        <v>429547</v>
      </c>
      <c r="L1876" s="8"/>
      <c r="M1876" s="9">
        <f t="shared" si="1009"/>
        <v>0</v>
      </c>
      <c r="N1876" s="8">
        <v>429547</v>
      </c>
      <c r="O1876" s="9"/>
      <c r="P1876" s="9">
        <f t="shared" si="1010"/>
        <v>429547</v>
      </c>
      <c r="Q1876" s="9">
        <f t="shared" si="1002"/>
        <v>0</v>
      </c>
      <c r="R1876" s="17"/>
      <c r="S1876" s="17"/>
      <c r="T1876" s="17"/>
      <c r="U1876" s="18">
        <f t="shared" si="1003"/>
        <v>429547</v>
      </c>
      <c r="V1876" s="17"/>
      <c r="W1876" s="17"/>
      <c r="X1876" s="9">
        <f t="shared" si="1004"/>
        <v>429547</v>
      </c>
      <c r="Y1876" s="8"/>
      <c r="Z1876" s="9">
        <f t="shared" si="1005"/>
        <v>0</v>
      </c>
      <c r="AA1876" s="8">
        <f t="shared" si="1006"/>
        <v>429547</v>
      </c>
      <c r="AB1876" s="8">
        <f t="shared" si="1007"/>
        <v>0</v>
      </c>
    </row>
    <row r="1877" spans="1:28" x14ac:dyDescent="0.3">
      <c r="A1877" s="64"/>
      <c r="B1877" s="8"/>
      <c r="C1877" s="7" t="s">
        <v>535</v>
      </c>
      <c r="D1877" s="15" t="s">
        <v>54</v>
      </c>
      <c r="E1877" s="9">
        <f>1630000-81500-658</f>
        <v>1547842</v>
      </c>
      <c r="F1877" s="9">
        <f>946842+601000</f>
        <v>1547842</v>
      </c>
      <c r="G1877" s="8"/>
      <c r="H1877" s="9">
        <f t="shared" si="1008"/>
        <v>1547842</v>
      </c>
      <c r="I1877" s="8"/>
      <c r="J1877" s="9">
        <f t="shared" si="1001"/>
        <v>1547842</v>
      </c>
      <c r="K1877" s="8"/>
      <c r="L1877" s="8"/>
      <c r="M1877" s="9">
        <f t="shared" si="1009"/>
        <v>1547842</v>
      </c>
      <c r="N1877" s="8"/>
      <c r="O1877" s="9"/>
      <c r="P1877" s="9">
        <f t="shared" si="1010"/>
        <v>0</v>
      </c>
      <c r="Q1877" s="9">
        <f t="shared" si="1002"/>
        <v>1547842</v>
      </c>
      <c r="R1877" s="17"/>
      <c r="S1877" s="17"/>
      <c r="T1877" s="17"/>
      <c r="U1877" s="18">
        <f t="shared" si="1003"/>
        <v>0</v>
      </c>
      <c r="V1877" s="17"/>
      <c r="W1877" s="17"/>
      <c r="X1877" s="9">
        <f t="shared" si="1004"/>
        <v>1547842</v>
      </c>
      <c r="Y1877" s="8"/>
      <c r="Z1877" s="9">
        <f t="shared" si="1005"/>
        <v>0</v>
      </c>
      <c r="AA1877" s="8">
        <f t="shared" si="1006"/>
        <v>1547842</v>
      </c>
      <c r="AB1877" s="8">
        <f t="shared" si="1007"/>
        <v>0</v>
      </c>
    </row>
    <row r="1878" spans="1:28" x14ac:dyDescent="0.3">
      <c r="A1878" s="64"/>
      <c r="B1878" s="8"/>
      <c r="C1878" s="7" t="s">
        <v>545</v>
      </c>
      <c r="D1878" s="15" t="s">
        <v>54</v>
      </c>
      <c r="E1878" s="9">
        <v>1767770</v>
      </c>
      <c r="F1878" s="8"/>
      <c r="G1878" s="8"/>
      <c r="H1878" s="9">
        <f t="shared" si="1008"/>
        <v>0</v>
      </c>
      <c r="I1878" s="8"/>
      <c r="J1878" s="9">
        <f t="shared" si="1001"/>
        <v>0</v>
      </c>
      <c r="K1878" s="9">
        <v>1767770</v>
      </c>
      <c r="L1878" s="8"/>
      <c r="M1878" s="9">
        <f t="shared" si="1009"/>
        <v>0</v>
      </c>
      <c r="N1878" s="8">
        <v>1767770</v>
      </c>
      <c r="O1878" s="9"/>
      <c r="P1878" s="9">
        <f t="shared" si="1010"/>
        <v>1767770</v>
      </c>
      <c r="Q1878" s="9">
        <f t="shared" si="1002"/>
        <v>0</v>
      </c>
      <c r="R1878" s="17"/>
      <c r="S1878" s="17"/>
      <c r="T1878" s="17"/>
      <c r="U1878" s="18">
        <f t="shared" si="1003"/>
        <v>1767770</v>
      </c>
      <c r="V1878" s="17"/>
      <c r="W1878" s="17"/>
      <c r="X1878" s="9">
        <f t="shared" si="1004"/>
        <v>1767770</v>
      </c>
      <c r="Y1878" s="8"/>
      <c r="Z1878" s="9">
        <f t="shared" si="1005"/>
        <v>0</v>
      </c>
      <c r="AA1878" s="8">
        <f t="shared" si="1006"/>
        <v>1767770</v>
      </c>
      <c r="AB1878" s="8">
        <f t="shared" si="1007"/>
        <v>0</v>
      </c>
    </row>
    <row r="1879" spans="1:28" x14ac:dyDescent="0.3">
      <c r="A1879" s="64"/>
      <c r="B1879" s="8"/>
      <c r="C1879" s="7" t="s">
        <v>535</v>
      </c>
      <c r="D1879" s="15" t="s">
        <v>85</v>
      </c>
      <c r="E1879" s="9">
        <v>4045016</v>
      </c>
      <c r="F1879" s="9">
        <f>2000000+955016+1090000</f>
        <v>4045016</v>
      </c>
      <c r="G1879" s="8"/>
      <c r="H1879" s="9">
        <f t="shared" si="1008"/>
        <v>4045016</v>
      </c>
      <c r="I1879" s="8"/>
      <c r="J1879" s="9">
        <f t="shared" si="1001"/>
        <v>4045016</v>
      </c>
      <c r="K1879" s="8"/>
      <c r="L1879" s="8"/>
      <c r="M1879" s="9">
        <f t="shared" si="1009"/>
        <v>4045016</v>
      </c>
      <c r="N1879" s="8"/>
      <c r="O1879" s="9"/>
      <c r="P1879" s="9">
        <f t="shared" si="1010"/>
        <v>0</v>
      </c>
      <c r="Q1879" s="9">
        <f t="shared" si="1002"/>
        <v>4045016</v>
      </c>
      <c r="R1879" s="17"/>
      <c r="S1879" s="17"/>
      <c r="T1879" s="17"/>
      <c r="U1879" s="18">
        <f t="shared" si="1003"/>
        <v>0</v>
      </c>
      <c r="V1879" s="17"/>
      <c r="W1879" s="17"/>
      <c r="X1879" s="9">
        <f t="shared" si="1004"/>
        <v>4045016</v>
      </c>
      <c r="Y1879" s="8"/>
      <c r="Z1879" s="9">
        <f t="shared" si="1005"/>
        <v>0</v>
      </c>
      <c r="AA1879" s="8">
        <f t="shared" si="1006"/>
        <v>4045016</v>
      </c>
      <c r="AB1879" s="8">
        <f t="shared" si="1007"/>
        <v>0</v>
      </c>
    </row>
    <row r="1880" spans="1:28" x14ac:dyDescent="0.3">
      <c r="A1880" s="64"/>
      <c r="B1880" s="8"/>
      <c r="C1880" s="7" t="s">
        <v>783</v>
      </c>
      <c r="D1880" s="15" t="s">
        <v>85</v>
      </c>
      <c r="E1880" s="9">
        <f>2875000-281.16</f>
        <v>2874718.84</v>
      </c>
      <c r="F1880" s="9">
        <v>2874718.84</v>
      </c>
      <c r="G1880" s="8"/>
      <c r="H1880" s="9">
        <f t="shared" si="1008"/>
        <v>2874718.84</v>
      </c>
      <c r="I1880" s="8"/>
      <c r="J1880" s="9">
        <f t="shared" si="1001"/>
        <v>2874718.84</v>
      </c>
      <c r="K1880" s="8"/>
      <c r="L1880" s="8"/>
      <c r="M1880" s="9">
        <f t="shared" si="1009"/>
        <v>2874718.84</v>
      </c>
      <c r="N1880" s="8"/>
      <c r="O1880" s="9"/>
      <c r="P1880" s="9">
        <f t="shared" si="1010"/>
        <v>0</v>
      </c>
      <c r="Q1880" s="9">
        <f t="shared" si="1002"/>
        <v>2874718.84</v>
      </c>
      <c r="R1880" s="17"/>
      <c r="S1880" s="17"/>
      <c r="T1880" s="17"/>
      <c r="U1880" s="18">
        <f t="shared" si="1003"/>
        <v>0</v>
      </c>
      <c r="V1880" s="17"/>
      <c r="W1880" s="17"/>
      <c r="X1880" s="9">
        <f t="shared" si="1004"/>
        <v>2874718.84</v>
      </c>
      <c r="Y1880" s="8"/>
      <c r="Z1880" s="9">
        <f t="shared" si="1005"/>
        <v>0</v>
      </c>
      <c r="AA1880" s="8">
        <f t="shared" si="1006"/>
        <v>2874718.84</v>
      </c>
      <c r="AB1880" s="8">
        <f t="shared" si="1007"/>
        <v>0</v>
      </c>
    </row>
    <row r="1881" spans="1:28" x14ac:dyDescent="0.3">
      <c r="A1881" s="64"/>
      <c r="B1881" s="8"/>
      <c r="C1881" s="7" t="s">
        <v>603</v>
      </c>
      <c r="D1881" s="15" t="s">
        <v>85</v>
      </c>
      <c r="E1881" s="9">
        <v>160000</v>
      </c>
      <c r="F1881" s="9">
        <v>160000</v>
      </c>
      <c r="G1881" s="8"/>
      <c r="H1881" s="9">
        <f t="shared" si="1008"/>
        <v>160000</v>
      </c>
      <c r="I1881" s="8"/>
      <c r="J1881" s="9">
        <f t="shared" si="1001"/>
        <v>160000</v>
      </c>
      <c r="K1881" s="8"/>
      <c r="L1881" s="8"/>
      <c r="M1881" s="9">
        <f t="shared" si="1009"/>
        <v>160000</v>
      </c>
      <c r="N1881" s="8"/>
      <c r="O1881" s="9"/>
      <c r="P1881" s="9">
        <f t="shared" si="1010"/>
        <v>0</v>
      </c>
      <c r="Q1881" s="9">
        <f t="shared" si="1002"/>
        <v>160000</v>
      </c>
      <c r="R1881" s="17"/>
      <c r="S1881" s="17"/>
      <c r="T1881" s="17"/>
      <c r="U1881" s="18">
        <f t="shared" si="1003"/>
        <v>0</v>
      </c>
      <c r="V1881" s="17"/>
      <c r="W1881" s="17"/>
      <c r="X1881" s="9">
        <f t="shared" si="1004"/>
        <v>160000</v>
      </c>
      <c r="Y1881" s="8"/>
      <c r="Z1881" s="9">
        <f t="shared" si="1005"/>
        <v>0</v>
      </c>
      <c r="AA1881" s="8">
        <f t="shared" si="1006"/>
        <v>160000</v>
      </c>
      <c r="AB1881" s="8">
        <f t="shared" si="1007"/>
        <v>0</v>
      </c>
    </row>
    <row r="1882" spans="1:28" x14ac:dyDescent="0.3">
      <c r="A1882" s="64"/>
      <c r="B1882" s="8"/>
      <c r="C1882" s="7" t="s">
        <v>667</v>
      </c>
      <c r="D1882" s="15" t="s">
        <v>85</v>
      </c>
      <c r="E1882" s="9">
        <v>120000</v>
      </c>
      <c r="F1882" s="9">
        <v>120000</v>
      </c>
      <c r="G1882" s="8"/>
      <c r="H1882" s="9">
        <f t="shared" si="1008"/>
        <v>120000</v>
      </c>
      <c r="I1882" s="8"/>
      <c r="J1882" s="9">
        <f t="shared" si="1001"/>
        <v>120000</v>
      </c>
      <c r="K1882" s="8"/>
      <c r="L1882" s="8"/>
      <c r="M1882" s="9">
        <f t="shared" si="1009"/>
        <v>120000</v>
      </c>
      <c r="N1882" s="8"/>
      <c r="O1882" s="9"/>
      <c r="P1882" s="9">
        <f t="shared" si="1010"/>
        <v>0</v>
      </c>
      <c r="Q1882" s="9">
        <f t="shared" si="1002"/>
        <v>120000</v>
      </c>
      <c r="R1882" s="17"/>
      <c r="S1882" s="17"/>
      <c r="T1882" s="17"/>
      <c r="U1882" s="18">
        <f t="shared" si="1003"/>
        <v>0</v>
      </c>
      <c r="V1882" s="17"/>
      <c r="W1882" s="17"/>
      <c r="X1882" s="9">
        <f t="shared" si="1004"/>
        <v>120000</v>
      </c>
      <c r="Y1882" s="8"/>
      <c r="Z1882" s="9">
        <f t="shared" si="1005"/>
        <v>0</v>
      </c>
      <c r="AA1882" s="8">
        <f t="shared" si="1006"/>
        <v>120000</v>
      </c>
      <c r="AB1882" s="8">
        <f t="shared" si="1007"/>
        <v>0</v>
      </c>
    </row>
    <row r="1883" spans="1:28" x14ac:dyDescent="0.3">
      <c r="A1883" s="64"/>
      <c r="B1883" s="8"/>
      <c r="C1883" s="7" t="s">
        <v>671</v>
      </c>
      <c r="D1883" s="15" t="s">
        <v>85</v>
      </c>
      <c r="E1883" s="9">
        <v>240000</v>
      </c>
      <c r="F1883" s="9">
        <v>240000</v>
      </c>
      <c r="G1883" s="8"/>
      <c r="H1883" s="9">
        <f t="shared" si="1008"/>
        <v>240000</v>
      </c>
      <c r="I1883" s="8"/>
      <c r="J1883" s="9">
        <f t="shared" si="1001"/>
        <v>240000</v>
      </c>
      <c r="K1883" s="8"/>
      <c r="L1883" s="8"/>
      <c r="M1883" s="9">
        <f t="shared" si="1009"/>
        <v>240000</v>
      </c>
      <c r="N1883" s="8"/>
      <c r="O1883" s="9"/>
      <c r="P1883" s="9">
        <f t="shared" si="1010"/>
        <v>0</v>
      </c>
      <c r="Q1883" s="9">
        <f t="shared" si="1002"/>
        <v>240000</v>
      </c>
      <c r="R1883" s="17"/>
      <c r="S1883" s="17"/>
      <c r="T1883" s="17"/>
      <c r="U1883" s="18">
        <f t="shared" si="1003"/>
        <v>0</v>
      </c>
      <c r="V1883" s="17"/>
      <c r="W1883" s="17"/>
      <c r="X1883" s="9">
        <f t="shared" si="1004"/>
        <v>240000</v>
      </c>
      <c r="Y1883" s="8"/>
      <c r="Z1883" s="9">
        <f t="shared" si="1005"/>
        <v>0</v>
      </c>
      <c r="AA1883" s="8">
        <f t="shared" si="1006"/>
        <v>240000</v>
      </c>
      <c r="AB1883" s="8">
        <f t="shared" si="1007"/>
        <v>0</v>
      </c>
    </row>
    <row r="1884" spans="1:28" x14ac:dyDescent="0.3">
      <c r="A1884" s="64"/>
      <c r="B1884" s="8"/>
      <c r="C1884" s="7" t="s">
        <v>535</v>
      </c>
      <c r="D1884" s="15" t="s">
        <v>128</v>
      </c>
      <c r="E1884" s="9">
        <v>524242</v>
      </c>
      <c r="F1884" s="9">
        <v>524242</v>
      </c>
      <c r="G1884" s="8"/>
      <c r="H1884" s="9">
        <f t="shared" si="1008"/>
        <v>524242</v>
      </c>
      <c r="I1884" s="8"/>
      <c r="J1884" s="9">
        <f t="shared" si="1001"/>
        <v>524242</v>
      </c>
      <c r="K1884" s="8"/>
      <c r="L1884" s="8"/>
      <c r="M1884" s="9">
        <f t="shared" si="1009"/>
        <v>524242</v>
      </c>
      <c r="N1884" s="8"/>
      <c r="O1884" s="9"/>
      <c r="P1884" s="9">
        <f t="shared" si="1010"/>
        <v>0</v>
      </c>
      <c r="Q1884" s="9">
        <f t="shared" si="1002"/>
        <v>524242</v>
      </c>
      <c r="R1884" s="17"/>
      <c r="S1884" s="17"/>
      <c r="T1884" s="17"/>
      <c r="U1884" s="18">
        <f t="shared" si="1003"/>
        <v>0</v>
      </c>
      <c r="V1884" s="17"/>
      <c r="W1884" s="17"/>
      <c r="X1884" s="9">
        <f t="shared" si="1004"/>
        <v>524242</v>
      </c>
      <c r="Y1884" s="8"/>
      <c r="Z1884" s="9">
        <f t="shared" si="1005"/>
        <v>0</v>
      </c>
      <c r="AA1884" s="8">
        <f t="shared" si="1006"/>
        <v>524242</v>
      </c>
      <c r="AB1884" s="8">
        <f t="shared" si="1007"/>
        <v>0</v>
      </c>
    </row>
    <row r="1885" spans="1:28" x14ac:dyDescent="0.3">
      <c r="A1885" s="64"/>
      <c r="B1885" s="8"/>
      <c r="C1885" s="7" t="s">
        <v>784</v>
      </c>
      <c r="D1885" s="15" t="s">
        <v>128</v>
      </c>
      <c r="E1885" s="9">
        <v>1100000</v>
      </c>
      <c r="F1885" s="9">
        <v>1100000</v>
      </c>
      <c r="G1885" s="8"/>
      <c r="H1885" s="9">
        <f t="shared" si="1008"/>
        <v>1100000</v>
      </c>
      <c r="I1885" s="8"/>
      <c r="J1885" s="9">
        <f t="shared" si="1001"/>
        <v>1100000</v>
      </c>
      <c r="K1885" s="8"/>
      <c r="L1885" s="8"/>
      <c r="M1885" s="9">
        <f t="shared" si="1009"/>
        <v>1100000</v>
      </c>
      <c r="N1885" s="8"/>
      <c r="O1885" s="9"/>
      <c r="P1885" s="9">
        <f t="shared" si="1010"/>
        <v>0</v>
      </c>
      <c r="Q1885" s="9">
        <f t="shared" si="1002"/>
        <v>1100000</v>
      </c>
      <c r="R1885" s="17"/>
      <c r="S1885" s="17"/>
      <c r="T1885" s="17"/>
      <c r="U1885" s="18">
        <f t="shared" si="1003"/>
        <v>0</v>
      </c>
      <c r="V1885" s="17"/>
      <c r="W1885" s="17"/>
      <c r="X1885" s="9">
        <f t="shared" si="1004"/>
        <v>1100000</v>
      </c>
      <c r="Y1885" s="8"/>
      <c r="Z1885" s="9">
        <f t="shared" si="1005"/>
        <v>0</v>
      </c>
      <c r="AA1885" s="8">
        <f t="shared" si="1006"/>
        <v>1100000</v>
      </c>
      <c r="AB1885" s="8">
        <f t="shared" si="1007"/>
        <v>0</v>
      </c>
    </row>
    <row r="1886" spans="1:28" x14ac:dyDescent="0.3">
      <c r="A1886" s="64"/>
      <c r="B1886" s="8"/>
      <c r="C1886" s="7" t="s">
        <v>535</v>
      </c>
      <c r="D1886" s="15" t="s">
        <v>128</v>
      </c>
      <c r="E1886" s="9">
        <v>1012491</v>
      </c>
      <c r="F1886" s="9">
        <v>1012491</v>
      </c>
      <c r="G1886" s="8"/>
      <c r="H1886" s="9">
        <f t="shared" si="1008"/>
        <v>1012491</v>
      </c>
      <c r="I1886" s="8"/>
      <c r="J1886" s="9">
        <f t="shared" si="1001"/>
        <v>1012491</v>
      </c>
      <c r="K1886" s="8"/>
      <c r="L1886" s="8"/>
      <c r="M1886" s="9">
        <f t="shared" si="1009"/>
        <v>1012491</v>
      </c>
      <c r="N1886" s="8"/>
      <c r="O1886" s="9"/>
      <c r="P1886" s="9">
        <f t="shared" si="1010"/>
        <v>0</v>
      </c>
      <c r="Q1886" s="9">
        <f t="shared" si="1002"/>
        <v>1012491</v>
      </c>
      <c r="R1886" s="17"/>
      <c r="S1886" s="17"/>
      <c r="T1886" s="17"/>
      <c r="U1886" s="18">
        <f t="shared" si="1003"/>
        <v>0</v>
      </c>
      <c r="V1886" s="17"/>
      <c r="W1886" s="17"/>
      <c r="X1886" s="9">
        <f t="shared" si="1004"/>
        <v>1012491</v>
      </c>
      <c r="Y1886" s="8"/>
      <c r="Z1886" s="9">
        <f t="shared" si="1005"/>
        <v>0</v>
      </c>
      <c r="AA1886" s="8">
        <f t="shared" si="1006"/>
        <v>1012491</v>
      </c>
      <c r="AB1886" s="8">
        <f t="shared" si="1007"/>
        <v>0</v>
      </c>
    </row>
    <row r="1887" spans="1:28" x14ac:dyDescent="0.3">
      <c r="A1887" s="64"/>
      <c r="B1887" s="8"/>
      <c r="C1887" s="7" t="s">
        <v>535</v>
      </c>
      <c r="D1887" s="15" t="s">
        <v>88</v>
      </c>
      <c r="E1887" s="9">
        <f>1849966+1636631+1588358</f>
        <v>5074955</v>
      </c>
      <c r="F1887" s="9">
        <f>1849966+1636631+1588358</f>
        <v>5074955</v>
      </c>
      <c r="G1887" s="8"/>
      <c r="H1887" s="9">
        <f t="shared" si="1008"/>
        <v>5074955</v>
      </c>
      <c r="I1887" s="8"/>
      <c r="J1887" s="9">
        <f t="shared" si="1001"/>
        <v>5074955</v>
      </c>
      <c r="K1887" s="8"/>
      <c r="L1887" s="8"/>
      <c r="M1887" s="9">
        <f t="shared" si="1009"/>
        <v>5074955</v>
      </c>
      <c r="N1887" s="8"/>
      <c r="O1887" s="9"/>
      <c r="P1887" s="9">
        <f t="shared" si="1010"/>
        <v>0</v>
      </c>
      <c r="Q1887" s="9">
        <f t="shared" si="1002"/>
        <v>5074955</v>
      </c>
      <c r="R1887" s="17"/>
      <c r="S1887" s="17"/>
      <c r="T1887" s="17"/>
      <c r="U1887" s="18">
        <f t="shared" si="1003"/>
        <v>0</v>
      </c>
      <c r="V1887" s="17"/>
      <c r="W1887" s="17"/>
      <c r="X1887" s="9">
        <f t="shared" si="1004"/>
        <v>5074955</v>
      </c>
      <c r="Y1887" s="8"/>
      <c r="Z1887" s="9">
        <f t="shared" si="1005"/>
        <v>0</v>
      </c>
      <c r="AA1887" s="8">
        <f t="shared" si="1006"/>
        <v>5074955</v>
      </c>
      <c r="AB1887" s="8">
        <f t="shared" si="1007"/>
        <v>0</v>
      </c>
    </row>
    <row r="1888" spans="1:28" x14ac:dyDescent="0.3">
      <c r="A1888" s="64"/>
      <c r="B1888" s="8"/>
      <c r="C1888" s="7" t="s">
        <v>535</v>
      </c>
      <c r="D1888" s="15" t="s">
        <v>58</v>
      </c>
      <c r="E1888" s="9">
        <v>9561726</v>
      </c>
      <c r="F1888" s="9">
        <v>9561726</v>
      </c>
      <c r="G1888" s="8"/>
      <c r="H1888" s="9">
        <f t="shared" si="1008"/>
        <v>9561726</v>
      </c>
      <c r="I1888" s="8"/>
      <c r="J1888" s="9">
        <f t="shared" si="1001"/>
        <v>9561726</v>
      </c>
      <c r="K1888" s="8"/>
      <c r="L1888" s="8"/>
      <c r="M1888" s="9">
        <f t="shared" si="1009"/>
        <v>9561726</v>
      </c>
      <c r="N1888" s="8"/>
      <c r="O1888" s="9"/>
      <c r="P1888" s="9">
        <f t="shared" si="1010"/>
        <v>0</v>
      </c>
      <c r="Q1888" s="9">
        <f t="shared" si="1002"/>
        <v>9561726</v>
      </c>
      <c r="R1888" s="17"/>
      <c r="S1888" s="17"/>
      <c r="T1888" s="17"/>
      <c r="U1888" s="18">
        <f t="shared" si="1003"/>
        <v>0</v>
      </c>
      <c r="V1888" s="17"/>
      <c r="W1888" s="17"/>
      <c r="X1888" s="9">
        <f t="shared" si="1004"/>
        <v>9561726</v>
      </c>
      <c r="Y1888" s="8"/>
      <c r="Z1888" s="9">
        <f t="shared" si="1005"/>
        <v>0</v>
      </c>
      <c r="AA1888" s="8">
        <f t="shared" si="1006"/>
        <v>9561726</v>
      </c>
      <c r="AB1888" s="8">
        <f t="shared" si="1007"/>
        <v>0</v>
      </c>
    </row>
    <row r="1889" spans="1:28" x14ac:dyDescent="0.3">
      <c r="A1889" s="64"/>
      <c r="B1889" s="8"/>
      <c r="C1889" s="7" t="s">
        <v>535</v>
      </c>
      <c r="D1889" s="15" t="s">
        <v>60</v>
      </c>
      <c r="E1889" s="9">
        <f>919294.11+919294.1+458505+2379994+3519695</f>
        <v>8196782.21</v>
      </c>
      <c r="F1889" s="9">
        <f>919294.11+919294.1+6358194</f>
        <v>8196782.21</v>
      </c>
      <c r="G1889" s="8"/>
      <c r="H1889" s="9">
        <f t="shared" si="1008"/>
        <v>8196782.21</v>
      </c>
      <c r="I1889" s="8"/>
      <c r="J1889" s="9">
        <f t="shared" si="1001"/>
        <v>8196782.21</v>
      </c>
      <c r="K1889" s="8"/>
      <c r="L1889" s="8"/>
      <c r="M1889" s="9">
        <f t="shared" si="1009"/>
        <v>8196782.21</v>
      </c>
      <c r="N1889" s="8"/>
      <c r="O1889" s="9"/>
      <c r="P1889" s="9">
        <f t="shared" si="1010"/>
        <v>0</v>
      </c>
      <c r="Q1889" s="9">
        <f t="shared" si="1002"/>
        <v>8196782.21</v>
      </c>
      <c r="R1889" s="17"/>
      <c r="S1889" s="17"/>
      <c r="T1889" s="17"/>
      <c r="U1889" s="18">
        <f t="shared" si="1003"/>
        <v>0</v>
      </c>
      <c r="V1889" s="17"/>
      <c r="W1889" s="17"/>
      <c r="X1889" s="9">
        <f t="shared" si="1004"/>
        <v>8196782.21</v>
      </c>
      <c r="Y1889" s="8"/>
      <c r="Z1889" s="9">
        <f t="shared" si="1005"/>
        <v>0</v>
      </c>
      <c r="AA1889" s="8">
        <f t="shared" si="1006"/>
        <v>8196782.21</v>
      </c>
      <c r="AB1889" s="8">
        <f t="shared" si="1007"/>
        <v>0</v>
      </c>
    </row>
    <row r="1890" spans="1:28" x14ac:dyDescent="0.3">
      <c r="A1890" s="64"/>
      <c r="B1890" s="8"/>
      <c r="C1890" s="7" t="s">
        <v>1182</v>
      </c>
      <c r="D1890" s="16" t="s">
        <v>1126</v>
      </c>
      <c r="E1890" s="9">
        <v>500000</v>
      </c>
      <c r="F1890" s="8">
        <v>500000</v>
      </c>
      <c r="G1890" s="8"/>
      <c r="H1890" s="9">
        <f>+F1890+G1890</f>
        <v>500000</v>
      </c>
      <c r="I1890" s="8"/>
      <c r="J1890" s="9">
        <f t="shared" si="1001"/>
        <v>500000</v>
      </c>
      <c r="K1890" s="8"/>
      <c r="L1890" s="8"/>
      <c r="M1890" s="9">
        <f t="shared" si="1009"/>
        <v>500000</v>
      </c>
      <c r="N1890" s="8"/>
      <c r="O1890" s="9"/>
      <c r="P1890" s="9">
        <f>+N1890+O1890</f>
        <v>0</v>
      </c>
      <c r="Q1890" s="9"/>
      <c r="R1890" s="17"/>
      <c r="S1890" s="17"/>
      <c r="T1890" s="17"/>
      <c r="U1890" s="18">
        <f t="shared" si="1003"/>
        <v>0</v>
      </c>
      <c r="V1890" s="17"/>
      <c r="W1890" s="17"/>
      <c r="X1890" s="9">
        <f t="shared" si="1004"/>
        <v>500000</v>
      </c>
      <c r="Y1890" s="8"/>
      <c r="Z1890" s="9">
        <f t="shared" si="1005"/>
        <v>0</v>
      </c>
      <c r="AA1890" s="8">
        <f t="shared" si="1006"/>
        <v>500000</v>
      </c>
      <c r="AB1890" s="8">
        <f t="shared" si="1007"/>
        <v>0</v>
      </c>
    </row>
    <row r="1891" spans="1:28" x14ac:dyDescent="0.3">
      <c r="A1891" s="64"/>
      <c r="B1891" s="8"/>
      <c r="C1891" s="7" t="s">
        <v>1173</v>
      </c>
      <c r="D1891" s="16" t="s">
        <v>1126</v>
      </c>
      <c r="E1891" s="9">
        <f>18412138.85+12459881.64</f>
        <v>30872020.490000002</v>
      </c>
      <c r="F1891" s="8">
        <f>18412138.85+12459881.64</f>
        <v>30872020.490000002</v>
      </c>
      <c r="G1891" s="8"/>
      <c r="H1891" s="9">
        <f>+F1891+G1891</f>
        <v>30872020.490000002</v>
      </c>
      <c r="I1891" s="8"/>
      <c r="J1891" s="9">
        <f t="shared" si="1001"/>
        <v>30872020.490000002</v>
      </c>
      <c r="K1891" s="8"/>
      <c r="L1891" s="8"/>
      <c r="M1891" s="9">
        <f t="shared" si="1009"/>
        <v>30872020.490000002</v>
      </c>
      <c r="N1891" s="8"/>
      <c r="O1891" s="9"/>
      <c r="P1891" s="9">
        <f>+N1891+O1891</f>
        <v>0</v>
      </c>
      <c r="Q1891" s="9"/>
      <c r="R1891" s="17"/>
      <c r="S1891" s="17"/>
      <c r="T1891" s="17"/>
      <c r="U1891" s="18">
        <f t="shared" si="1003"/>
        <v>0</v>
      </c>
      <c r="V1891" s="17"/>
      <c r="W1891" s="17"/>
      <c r="X1891" s="9">
        <f t="shared" si="1004"/>
        <v>30872020.490000002</v>
      </c>
      <c r="Y1891" s="8"/>
      <c r="Z1891" s="9">
        <f t="shared" si="1005"/>
        <v>0</v>
      </c>
      <c r="AA1891" s="8">
        <f t="shared" si="1006"/>
        <v>30872020.490000002</v>
      </c>
      <c r="AB1891" s="8">
        <f t="shared" si="1007"/>
        <v>0</v>
      </c>
    </row>
    <row r="1892" spans="1:28" x14ac:dyDescent="0.3">
      <c r="A1892" s="64"/>
      <c r="B1892" s="8"/>
      <c r="C1892" s="7" t="s">
        <v>1245</v>
      </c>
      <c r="D1892" s="16" t="s">
        <v>1225</v>
      </c>
      <c r="E1892" s="9">
        <f>3054285.83+2234594.65+4928993.37</f>
        <v>10217873.850000001</v>
      </c>
      <c r="F1892" s="8"/>
      <c r="G1892" s="8">
        <v>10217873.85</v>
      </c>
      <c r="H1892" s="9">
        <f>+F1892+G1892</f>
        <v>10217873.85</v>
      </c>
      <c r="I1892" s="8"/>
      <c r="J1892" s="9">
        <f t="shared" si="1001"/>
        <v>10217873.85</v>
      </c>
      <c r="K1892" s="8"/>
      <c r="L1892" s="8"/>
      <c r="M1892" s="9">
        <f t="shared" si="1009"/>
        <v>10217873.85</v>
      </c>
      <c r="N1892" s="8"/>
      <c r="O1892" s="9"/>
      <c r="P1892" s="9">
        <f>+N1892+O1892</f>
        <v>0</v>
      </c>
      <c r="Q1892" s="9"/>
      <c r="R1892" s="17"/>
      <c r="S1892" s="17"/>
      <c r="T1892" s="17"/>
      <c r="U1892" s="18">
        <f t="shared" si="1003"/>
        <v>0</v>
      </c>
      <c r="V1892" s="17"/>
      <c r="W1892" s="17"/>
      <c r="X1892" s="9">
        <f t="shared" si="1004"/>
        <v>10217873.85</v>
      </c>
      <c r="Y1892" s="8"/>
      <c r="Z1892" s="9">
        <f t="shared" si="1005"/>
        <v>0</v>
      </c>
      <c r="AA1892" s="8">
        <f t="shared" si="1006"/>
        <v>10217873.85</v>
      </c>
      <c r="AB1892" s="8">
        <f t="shared" si="1007"/>
        <v>0</v>
      </c>
    </row>
    <row r="1893" spans="1:28" x14ac:dyDescent="0.3">
      <c r="A1893" s="64"/>
      <c r="B1893" s="8"/>
      <c r="C1893" s="7" t="s">
        <v>785</v>
      </c>
      <c r="D1893" s="15" t="s">
        <v>60</v>
      </c>
      <c r="E1893" s="9">
        <v>1000000</v>
      </c>
      <c r="F1893" s="9">
        <v>1000000</v>
      </c>
      <c r="G1893" s="8"/>
      <c r="H1893" s="9">
        <f t="shared" si="1008"/>
        <v>1000000</v>
      </c>
      <c r="I1893" s="8"/>
      <c r="J1893" s="9">
        <f t="shared" si="1001"/>
        <v>1000000</v>
      </c>
      <c r="K1893" s="8"/>
      <c r="L1893" s="8"/>
      <c r="M1893" s="9">
        <f t="shared" si="1009"/>
        <v>1000000</v>
      </c>
      <c r="N1893" s="8"/>
      <c r="O1893" s="9"/>
      <c r="P1893" s="9">
        <f t="shared" si="1010"/>
        <v>0</v>
      </c>
      <c r="Q1893" s="9">
        <f t="shared" si="1002"/>
        <v>1000000</v>
      </c>
      <c r="R1893" s="17"/>
      <c r="S1893" s="17"/>
      <c r="T1893" s="17"/>
      <c r="U1893" s="18">
        <f t="shared" si="1003"/>
        <v>0</v>
      </c>
      <c r="V1893" s="17"/>
      <c r="W1893" s="17"/>
      <c r="X1893" s="9">
        <f t="shared" si="1004"/>
        <v>1000000</v>
      </c>
      <c r="Y1893" s="8"/>
      <c r="Z1893" s="9">
        <f t="shared" si="1005"/>
        <v>0</v>
      </c>
      <c r="AA1893" s="8">
        <f t="shared" si="1006"/>
        <v>1000000</v>
      </c>
      <c r="AB1893" s="8">
        <f t="shared" si="1007"/>
        <v>0</v>
      </c>
    </row>
    <row r="1894" spans="1:28" x14ac:dyDescent="0.3">
      <c r="A1894" s="64"/>
      <c r="B1894" s="8"/>
      <c r="C1894" s="7" t="s">
        <v>535</v>
      </c>
      <c r="D1894" s="21" t="s">
        <v>73</v>
      </c>
      <c r="E1894" s="9">
        <f>1047000+7433708</f>
        <v>8480708</v>
      </c>
      <c r="F1894" s="9">
        <f>1047000+7433708</f>
        <v>8480708</v>
      </c>
      <c r="G1894" s="8"/>
      <c r="H1894" s="9">
        <f t="shared" si="1008"/>
        <v>8480708</v>
      </c>
      <c r="I1894" s="8"/>
      <c r="J1894" s="9">
        <f t="shared" si="1001"/>
        <v>8480708</v>
      </c>
      <c r="K1894" s="8"/>
      <c r="L1894" s="8"/>
      <c r="M1894" s="9">
        <f t="shared" si="1009"/>
        <v>8480708</v>
      </c>
      <c r="N1894" s="8"/>
      <c r="O1894" s="9"/>
      <c r="P1894" s="9">
        <f t="shared" si="1010"/>
        <v>0</v>
      </c>
      <c r="Q1894" s="9">
        <f t="shared" si="1002"/>
        <v>8480708</v>
      </c>
      <c r="R1894" s="17"/>
      <c r="S1894" s="17"/>
      <c r="T1894" s="17"/>
      <c r="U1894" s="18">
        <f t="shared" si="1003"/>
        <v>0</v>
      </c>
      <c r="V1894" s="17"/>
      <c r="W1894" s="17"/>
      <c r="X1894" s="9">
        <f t="shared" si="1004"/>
        <v>8480708</v>
      </c>
      <c r="Y1894" s="8"/>
      <c r="Z1894" s="9">
        <f t="shared" si="1005"/>
        <v>0</v>
      </c>
      <c r="AA1894" s="8">
        <f t="shared" si="1006"/>
        <v>8480708</v>
      </c>
      <c r="AB1894" s="8">
        <f t="shared" si="1007"/>
        <v>0</v>
      </c>
    </row>
    <row r="1895" spans="1:28" x14ac:dyDescent="0.3">
      <c r="A1895" s="64"/>
      <c r="B1895" s="8"/>
      <c r="C1895" s="7" t="s">
        <v>535</v>
      </c>
      <c r="D1895" s="21" t="s">
        <v>61</v>
      </c>
      <c r="E1895" s="11">
        <f>7861658.74+166032.53</f>
        <v>8027691.2700000005</v>
      </c>
      <c r="F1895" s="11">
        <v>7861658.7400000002</v>
      </c>
      <c r="G1895" s="8"/>
      <c r="H1895" s="9">
        <f t="shared" si="1008"/>
        <v>7861658.7400000002</v>
      </c>
      <c r="I1895" s="8"/>
      <c r="J1895" s="9">
        <f t="shared" si="1001"/>
        <v>7861658.7400000002</v>
      </c>
      <c r="K1895" s="8"/>
      <c r="L1895" s="8"/>
      <c r="M1895" s="9">
        <f t="shared" si="1009"/>
        <v>7861658.7400000002</v>
      </c>
      <c r="N1895" s="11"/>
      <c r="O1895" s="9"/>
      <c r="P1895" s="9">
        <f t="shared" si="1010"/>
        <v>0</v>
      </c>
      <c r="Q1895" s="9">
        <f t="shared" si="1002"/>
        <v>8027691.2700000005</v>
      </c>
      <c r="R1895" s="17"/>
      <c r="S1895" s="17"/>
      <c r="T1895" s="18">
        <v>166032.53</v>
      </c>
      <c r="U1895" s="18">
        <f t="shared" si="1003"/>
        <v>166032.53</v>
      </c>
      <c r="V1895" s="17"/>
      <c r="W1895" s="17"/>
      <c r="X1895" s="9">
        <f t="shared" si="1004"/>
        <v>7861658.7400000002</v>
      </c>
      <c r="Y1895" s="8"/>
      <c r="Z1895" s="9">
        <f t="shared" si="1005"/>
        <v>166032.53000000026</v>
      </c>
      <c r="AA1895" s="8">
        <f t="shared" si="1006"/>
        <v>8027691.2700000005</v>
      </c>
      <c r="AB1895" s="8">
        <f t="shared" si="1007"/>
        <v>0</v>
      </c>
    </row>
    <row r="1896" spans="1:28" x14ac:dyDescent="0.3">
      <c r="A1896" s="64"/>
      <c r="B1896" s="8"/>
      <c r="C1896" s="7" t="s">
        <v>702</v>
      </c>
      <c r="D1896" s="8"/>
      <c r="E1896" s="9">
        <v>273000</v>
      </c>
      <c r="F1896" s="8"/>
      <c r="G1896" s="8"/>
      <c r="H1896" s="9">
        <f t="shared" si="1008"/>
        <v>0</v>
      </c>
      <c r="I1896" s="8"/>
      <c r="J1896" s="9">
        <f t="shared" si="1001"/>
        <v>0</v>
      </c>
      <c r="K1896" s="9">
        <v>273000</v>
      </c>
      <c r="L1896" s="8"/>
      <c r="M1896" s="9">
        <f t="shared" si="1009"/>
        <v>0</v>
      </c>
      <c r="N1896" s="8">
        <v>273000</v>
      </c>
      <c r="O1896" s="9"/>
      <c r="P1896" s="9">
        <f t="shared" si="1010"/>
        <v>273000</v>
      </c>
      <c r="Q1896" s="9">
        <f t="shared" si="1002"/>
        <v>0</v>
      </c>
      <c r="R1896" s="17"/>
      <c r="S1896" s="17"/>
      <c r="T1896" s="17"/>
      <c r="U1896" s="18">
        <f t="shared" si="1003"/>
        <v>273000</v>
      </c>
      <c r="V1896" s="17"/>
      <c r="W1896" s="17"/>
      <c r="X1896" s="9">
        <f t="shared" si="1004"/>
        <v>273000</v>
      </c>
      <c r="Y1896" s="8"/>
      <c r="Z1896" s="9">
        <f t="shared" si="1005"/>
        <v>0</v>
      </c>
      <c r="AA1896" s="8">
        <f t="shared" si="1006"/>
        <v>273000</v>
      </c>
      <c r="AB1896" s="8">
        <f t="shared" si="1007"/>
        <v>0</v>
      </c>
    </row>
    <row r="1897" spans="1:28" x14ac:dyDescent="0.3">
      <c r="A1897" s="64"/>
      <c r="B1897" s="8"/>
      <c r="C1897" s="7" t="s">
        <v>592</v>
      </c>
      <c r="D1897" s="8"/>
      <c r="E1897" s="9">
        <f>2000000-2.34</f>
        <v>1999997.66</v>
      </c>
      <c r="F1897" s="9">
        <f>912170+135691.5+900281.16</f>
        <v>1948142.6600000001</v>
      </c>
      <c r="G1897" s="8"/>
      <c r="H1897" s="9">
        <f t="shared" si="1008"/>
        <v>1948142.6600000001</v>
      </c>
      <c r="I1897" s="8"/>
      <c r="J1897" s="9">
        <f t="shared" si="1001"/>
        <v>1948142.6600000001</v>
      </c>
      <c r="K1897" s="9">
        <v>51855</v>
      </c>
      <c r="L1897" s="8"/>
      <c r="M1897" s="9">
        <f t="shared" si="1009"/>
        <v>1948142.6600000001</v>
      </c>
      <c r="N1897" s="8">
        <v>51855</v>
      </c>
      <c r="O1897" s="9"/>
      <c r="P1897" s="9">
        <f t="shared" si="1010"/>
        <v>51855</v>
      </c>
      <c r="Q1897" s="9">
        <f t="shared" si="1002"/>
        <v>1948142.66</v>
      </c>
      <c r="R1897" s="17"/>
      <c r="S1897" s="17"/>
      <c r="T1897" s="17"/>
      <c r="U1897" s="18">
        <f t="shared" si="1003"/>
        <v>51855</v>
      </c>
      <c r="V1897" s="17"/>
      <c r="W1897" s="17"/>
      <c r="X1897" s="9">
        <f t="shared" si="1004"/>
        <v>1999997.6600000001</v>
      </c>
      <c r="Y1897" s="8"/>
      <c r="Z1897" s="9">
        <f t="shared" si="1005"/>
        <v>0</v>
      </c>
      <c r="AA1897" s="8">
        <f t="shared" si="1006"/>
        <v>1999997.6600000001</v>
      </c>
      <c r="AB1897" s="8">
        <f t="shared" si="1007"/>
        <v>0</v>
      </c>
    </row>
    <row r="1898" spans="1:28" x14ac:dyDescent="0.3">
      <c r="A1898" s="64"/>
      <c r="B1898" s="8"/>
      <c r="C1898" s="7" t="s">
        <v>598</v>
      </c>
      <c r="D1898" s="8"/>
      <c r="E1898" s="9">
        <v>217213</v>
      </c>
      <c r="F1898" s="9">
        <f>152049.1+65163.9</f>
        <v>217213</v>
      </c>
      <c r="G1898" s="8"/>
      <c r="H1898" s="9">
        <f t="shared" si="1008"/>
        <v>217213</v>
      </c>
      <c r="I1898" s="8"/>
      <c r="J1898" s="9">
        <f t="shared" si="1001"/>
        <v>217213</v>
      </c>
      <c r="K1898" s="8"/>
      <c r="L1898" s="8"/>
      <c r="M1898" s="9">
        <f t="shared" si="1009"/>
        <v>217213</v>
      </c>
      <c r="N1898" s="8"/>
      <c r="O1898" s="9"/>
      <c r="P1898" s="9">
        <f t="shared" si="1010"/>
        <v>0</v>
      </c>
      <c r="Q1898" s="9">
        <f t="shared" si="1002"/>
        <v>217213</v>
      </c>
      <c r="R1898" s="17"/>
      <c r="S1898" s="17"/>
      <c r="T1898" s="17"/>
      <c r="U1898" s="18">
        <f t="shared" si="1003"/>
        <v>0</v>
      </c>
      <c r="V1898" s="17"/>
      <c r="W1898" s="17"/>
      <c r="X1898" s="9">
        <f t="shared" si="1004"/>
        <v>217213</v>
      </c>
      <c r="Y1898" s="8"/>
      <c r="Z1898" s="9">
        <f t="shared" si="1005"/>
        <v>0</v>
      </c>
      <c r="AA1898" s="8">
        <f t="shared" si="1006"/>
        <v>217213</v>
      </c>
      <c r="AB1898" s="8">
        <f t="shared" si="1007"/>
        <v>0</v>
      </c>
    </row>
    <row r="1899" spans="1:28" x14ac:dyDescent="0.3">
      <c r="A1899" s="64"/>
      <c r="B1899" s="8"/>
      <c r="C1899" s="7" t="s">
        <v>1083</v>
      </c>
      <c r="D1899" s="8"/>
      <c r="E1899" s="9">
        <f>2716263.4+5298410.25+4871744.44</f>
        <v>12886418.09</v>
      </c>
      <c r="F1899" s="9">
        <f>2716263.4+5298410.25+4871744.44</f>
        <v>12886418.09</v>
      </c>
      <c r="G1899" s="8"/>
      <c r="H1899" s="9">
        <f>+F1899+G1899</f>
        <v>12886418.09</v>
      </c>
      <c r="I1899" s="8"/>
      <c r="J1899" s="9"/>
      <c r="K1899" s="8"/>
      <c r="L1899" s="8"/>
      <c r="M1899" s="9">
        <f>+H1899+L1899</f>
        <v>12886418.09</v>
      </c>
      <c r="N1899" s="8"/>
      <c r="O1899" s="9"/>
      <c r="P1899" s="9">
        <f t="shared" si="1010"/>
        <v>0</v>
      </c>
      <c r="Q1899" s="9"/>
      <c r="R1899" s="17"/>
      <c r="S1899" s="17"/>
      <c r="T1899" s="17"/>
      <c r="U1899" s="18">
        <f>+P1899+T1899</f>
        <v>0</v>
      </c>
      <c r="V1899" s="17"/>
      <c r="W1899" s="17"/>
      <c r="X1899" s="9">
        <f t="shared" si="1004"/>
        <v>12886418.09</v>
      </c>
      <c r="Y1899" s="8"/>
      <c r="Z1899" s="9">
        <f t="shared" si="1005"/>
        <v>0</v>
      </c>
      <c r="AA1899" s="8">
        <f t="shared" si="1006"/>
        <v>12886418.09</v>
      </c>
      <c r="AB1899" s="8">
        <f t="shared" si="1007"/>
        <v>0</v>
      </c>
    </row>
    <row r="1900" spans="1:28" x14ac:dyDescent="0.3">
      <c r="A1900" s="64"/>
      <c r="B1900" s="8"/>
      <c r="C1900" s="7" t="s">
        <v>1074</v>
      </c>
      <c r="D1900" s="23" t="s">
        <v>1072</v>
      </c>
      <c r="E1900" s="9">
        <v>6162588</v>
      </c>
      <c r="F1900" s="9">
        <v>6162588</v>
      </c>
      <c r="G1900" s="8"/>
      <c r="H1900" s="9">
        <f>+F1900+G1900</f>
        <v>6162588</v>
      </c>
      <c r="I1900" s="8"/>
      <c r="J1900" s="9"/>
      <c r="K1900" s="8"/>
      <c r="L1900" s="8"/>
      <c r="M1900" s="9">
        <f>+H1900+L1900</f>
        <v>6162588</v>
      </c>
      <c r="N1900" s="8"/>
      <c r="O1900" s="9"/>
      <c r="P1900" s="9">
        <f t="shared" si="1010"/>
        <v>0</v>
      </c>
      <c r="Q1900" s="9"/>
      <c r="R1900" s="17"/>
      <c r="S1900" s="17"/>
      <c r="T1900" s="17"/>
      <c r="U1900" s="18">
        <f>+P1900+T1900</f>
        <v>0</v>
      </c>
      <c r="V1900" s="17"/>
      <c r="W1900" s="17"/>
      <c r="X1900" s="9">
        <f t="shared" si="1004"/>
        <v>6162588</v>
      </c>
      <c r="Y1900" s="8"/>
      <c r="Z1900" s="9">
        <f t="shared" si="1005"/>
        <v>0</v>
      </c>
      <c r="AA1900" s="8">
        <f t="shared" si="1006"/>
        <v>6162588</v>
      </c>
      <c r="AB1900" s="8">
        <f t="shared" si="1007"/>
        <v>0</v>
      </c>
    </row>
    <row r="1901" spans="1:28" x14ac:dyDescent="0.3">
      <c r="A1901" s="64"/>
      <c r="B1901" s="8"/>
      <c r="C1901" s="7" t="s">
        <v>606</v>
      </c>
      <c r="D1901" s="8"/>
      <c r="E1901" s="9">
        <f>2500000+1097761.39+1015654.04+725051.03</f>
        <v>5338466.46</v>
      </c>
      <c r="F1901" s="9">
        <f>2500000+1015654.04+725051.03</f>
        <v>4240705.07</v>
      </c>
      <c r="G1901" s="9"/>
      <c r="H1901" s="9">
        <f t="shared" si="1008"/>
        <v>4240705.07</v>
      </c>
      <c r="I1901" s="9">
        <f>1097761.39+1015654.04-1015654.04+725051.03-725051.03</f>
        <v>1097761.3899999997</v>
      </c>
      <c r="J1901" s="9">
        <f t="shared" si="1001"/>
        <v>5338466.46</v>
      </c>
      <c r="K1901" s="8"/>
      <c r="L1901" s="8">
        <v>1097761.3899999999</v>
      </c>
      <c r="M1901" s="9">
        <f t="shared" si="1009"/>
        <v>5338466.46</v>
      </c>
      <c r="N1901" s="8"/>
      <c r="O1901" s="9"/>
      <c r="P1901" s="9">
        <f t="shared" si="1010"/>
        <v>0</v>
      </c>
      <c r="Q1901" s="9">
        <f t="shared" si="1002"/>
        <v>5338466.46</v>
      </c>
      <c r="R1901" s="17"/>
      <c r="S1901" s="17"/>
      <c r="T1901" s="17"/>
      <c r="U1901" s="18">
        <f t="shared" si="1003"/>
        <v>0</v>
      </c>
      <c r="V1901" s="17"/>
      <c r="W1901" s="17"/>
      <c r="X1901" s="9">
        <f t="shared" si="1004"/>
        <v>4240705.07</v>
      </c>
      <c r="Y1901" s="8"/>
      <c r="Z1901" s="9">
        <f t="shared" si="1005"/>
        <v>1097761.3899999997</v>
      </c>
      <c r="AA1901" s="8">
        <f t="shared" si="1006"/>
        <v>5338466.46</v>
      </c>
      <c r="AB1901" s="8">
        <f t="shared" si="1007"/>
        <v>0</v>
      </c>
    </row>
    <row r="1902" spans="1:28" x14ac:dyDescent="0.3">
      <c r="A1902" s="64"/>
      <c r="B1902" s="8"/>
      <c r="C1902" s="8"/>
      <c r="D1902" s="8"/>
      <c r="E1902" s="17" t="s">
        <v>29</v>
      </c>
      <c r="F1902" s="17" t="s">
        <v>29</v>
      </c>
      <c r="G1902" s="17" t="s">
        <v>29</v>
      </c>
      <c r="H1902" s="17" t="s">
        <v>29</v>
      </c>
      <c r="I1902" s="17" t="s">
        <v>29</v>
      </c>
      <c r="J1902" s="17" t="s">
        <v>29</v>
      </c>
      <c r="K1902" s="17" t="s">
        <v>29</v>
      </c>
      <c r="L1902" s="17" t="s">
        <v>29</v>
      </c>
      <c r="M1902" s="17" t="s">
        <v>29</v>
      </c>
      <c r="N1902" s="17" t="s">
        <v>29</v>
      </c>
      <c r="O1902" s="17" t="s">
        <v>29</v>
      </c>
      <c r="P1902" s="17" t="s">
        <v>29</v>
      </c>
      <c r="Q1902" s="17" t="s">
        <v>29</v>
      </c>
      <c r="R1902" s="17"/>
      <c r="S1902" s="17"/>
      <c r="T1902" s="17"/>
      <c r="U1902" s="17"/>
      <c r="V1902" s="17"/>
      <c r="W1902" s="17"/>
      <c r="X1902" s="17" t="s">
        <v>29</v>
      </c>
      <c r="Y1902" s="17"/>
      <c r="Z1902" s="17"/>
      <c r="AA1902" s="17" t="s">
        <v>29</v>
      </c>
      <c r="AB1902" s="17" t="s">
        <v>29</v>
      </c>
    </row>
    <row r="1903" spans="1:28" x14ac:dyDescent="0.3">
      <c r="A1903" s="64"/>
      <c r="B1903" s="8"/>
      <c r="C1903" s="8"/>
      <c r="D1903" s="8"/>
      <c r="E1903" s="9">
        <f t="shared" ref="E1903:Q1903" si="1011">SUM(E1872:E1902)</f>
        <v>134036565.22999999</v>
      </c>
      <c r="F1903" s="9">
        <f t="shared" si="1011"/>
        <v>118462908</v>
      </c>
      <c r="G1903" s="9">
        <f t="shared" si="1011"/>
        <v>10217873.85</v>
      </c>
      <c r="H1903" s="9">
        <f t="shared" si="1011"/>
        <v>128680781.84999999</v>
      </c>
      <c r="I1903" s="9">
        <f t="shared" si="1011"/>
        <v>1097761.3899999997</v>
      </c>
      <c r="J1903" s="9">
        <f t="shared" si="1011"/>
        <v>110729537.14999998</v>
      </c>
      <c r="K1903" s="9">
        <f t="shared" si="1011"/>
        <v>4091989.46</v>
      </c>
      <c r="L1903" s="9">
        <f t="shared" si="1011"/>
        <v>1097761.3899999999</v>
      </c>
      <c r="M1903" s="9">
        <f t="shared" si="1011"/>
        <v>129778543.23999998</v>
      </c>
      <c r="N1903" s="9">
        <f t="shared" si="1011"/>
        <v>4091989.46</v>
      </c>
      <c r="O1903" s="9">
        <f t="shared" si="1011"/>
        <v>0</v>
      </c>
      <c r="P1903" s="9">
        <f t="shared" si="1011"/>
        <v>4091989.46</v>
      </c>
      <c r="Q1903" s="9">
        <f t="shared" si="1011"/>
        <v>69305675.340000004</v>
      </c>
      <c r="R1903" s="17"/>
      <c r="S1903" s="17"/>
      <c r="T1903" s="9">
        <f t="shared" ref="T1903:Z1903" si="1012">SUM(T1872:T1902)</f>
        <v>166032.53</v>
      </c>
      <c r="U1903" s="9">
        <f t="shared" si="1012"/>
        <v>4258021.99</v>
      </c>
      <c r="V1903" s="9">
        <f t="shared" si="1012"/>
        <v>0</v>
      </c>
      <c r="W1903" s="9">
        <f t="shared" si="1012"/>
        <v>0</v>
      </c>
      <c r="X1903" s="9">
        <f t="shared" si="1012"/>
        <v>132772771.31</v>
      </c>
      <c r="Y1903" s="9">
        <f t="shared" si="1012"/>
        <v>0</v>
      </c>
      <c r="Z1903" s="9">
        <f t="shared" si="1012"/>
        <v>1263793.92</v>
      </c>
      <c r="AA1903" s="9">
        <f>SUM(AA1872:AA1902)</f>
        <v>134036565.22999999</v>
      </c>
      <c r="AB1903" s="9">
        <f>SUM(AB1872:AB1902)</f>
        <v>0</v>
      </c>
    </row>
    <row r="1904" spans="1:28" x14ac:dyDescent="0.3">
      <c r="A1904" s="64"/>
      <c r="B1904" s="8"/>
      <c r="C1904" s="8"/>
      <c r="D1904" s="8"/>
      <c r="E1904" s="17" t="s">
        <v>29</v>
      </c>
      <c r="F1904" s="17" t="s">
        <v>29</v>
      </c>
      <c r="G1904" s="17" t="s">
        <v>29</v>
      </c>
      <c r="H1904" s="17" t="s">
        <v>29</v>
      </c>
      <c r="I1904" s="17" t="s">
        <v>29</v>
      </c>
      <c r="J1904" s="17" t="s">
        <v>29</v>
      </c>
      <c r="K1904" s="17" t="s">
        <v>29</v>
      </c>
      <c r="L1904" s="17" t="s">
        <v>29</v>
      </c>
      <c r="M1904" s="17" t="s">
        <v>29</v>
      </c>
      <c r="N1904" s="17" t="s">
        <v>29</v>
      </c>
      <c r="O1904" s="17" t="s">
        <v>29</v>
      </c>
      <c r="P1904" s="17" t="s">
        <v>29</v>
      </c>
      <c r="Q1904" s="17" t="s">
        <v>29</v>
      </c>
      <c r="R1904" s="17"/>
      <c r="S1904" s="17"/>
      <c r="T1904" s="17"/>
      <c r="U1904" s="17"/>
      <c r="V1904" s="17"/>
      <c r="W1904" s="17"/>
      <c r="X1904" s="17" t="s">
        <v>29</v>
      </c>
      <c r="Y1904" s="17"/>
      <c r="Z1904" s="17"/>
      <c r="AA1904" s="17" t="s">
        <v>29</v>
      </c>
      <c r="AB1904" s="17" t="s">
        <v>29</v>
      </c>
    </row>
    <row r="1905" spans="1:28" x14ac:dyDescent="0.3">
      <c r="A1905" s="64">
        <v>88</v>
      </c>
      <c r="B1905" s="7" t="s">
        <v>786</v>
      </c>
      <c r="C1905" s="8"/>
      <c r="D1905" s="8"/>
      <c r="E1905" s="8"/>
      <c r="F1905" s="8"/>
      <c r="G1905" s="8"/>
      <c r="H1905" s="8"/>
      <c r="I1905" s="8"/>
      <c r="J1905" s="8"/>
      <c r="K1905" s="8"/>
      <c r="L1905" s="8"/>
      <c r="M1905" s="8"/>
      <c r="N1905" s="8"/>
      <c r="O1905" s="8"/>
      <c r="P1905" s="8"/>
      <c r="Q1905" s="8"/>
      <c r="R1905" s="17"/>
      <c r="S1905" s="17"/>
      <c r="T1905" s="17"/>
      <c r="U1905" s="17"/>
      <c r="V1905" s="17"/>
      <c r="W1905" s="17"/>
      <c r="X1905" s="17"/>
      <c r="Y1905" s="17"/>
      <c r="Z1905" s="17"/>
    </row>
    <row r="1906" spans="1:28" x14ac:dyDescent="0.3">
      <c r="A1906" s="64"/>
      <c r="B1906" s="8"/>
      <c r="C1906" s="7" t="s">
        <v>787</v>
      </c>
      <c r="D1906" s="15" t="s">
        <v>150</v>
      </c>
      <c r="E1906" s="9">
        <v>8851000</v>
      </c>
      <c r="F1906" s="9">
        <v>8851000</v>
      </c>
      <c r="G1906" s="8"/>
      <c r="H1906" s="9">
        <f t="shared" ref="H1906:H1924" si="1013">F1906+G1906</f>
        <v>8851000</v>
      </c>
      <c r="I1906" s="8"/>
      <c r="J1906" s="9">
        <f t="shared" ref="J1906:J1924" si="1014">H1906+I1906</f>
        <v>8851000</v>
      </c>
      <c r="K1906" s="8"/>
      <c r="L1906" s="8"/>
      <c r="M1906" s="9">
        <f>+H1906+L1906</f>
        <v>8851000</v>
      </c>
      <c r="N1906" s="8"/>
      <c r="O1906" s="9"/>
      <c r="P1906" s="9">
        <f>+N1906+O1906</f>
        <v>0</v>
      </c>
      <c r="Q1906" s="9">
        <f t="shared" ref="Q1906:Q1924" si="1015">E1906-P1906</f>
        <v>8851000</v>
      </c>
      <c r="R1906" s="17"/>
      <c r="S1906" s="17"/>
      <c r="T1906" s="17"/>
      <c r="U1906" s="18">
        <f t="shared" ref="U1906:U1924" si="1016">+P1906+T1906</f>
        <v>0</v>
      </c>
      <c r="V1906" s="17"/>
      <c r="W1906" s="17"/>
      <c r="X1906" s="9">
        <f t="shared" ref="X1906:X1924" si="1017">+H1906+P1906</f>
        <v>8851000</v>
      </c>
      <c r="Y1906" s="8"/>
      <c r="Z1906" s="9">
        <f t="shared" ref="Z1906:Z1924" si="1018">+E1906-X1906</f>
        <v>0</v>
      </c>
      <c r="AA1906" s="8">
        <f t="shared" ref="AA1906:AA1924" si="1019">+M1906+U1906</f>
        <v>8851000</v>
      </c>
      <c r="AB1906" s="8">
        <f t="shared" ref="AB1906:AB1924" si="1020">+E1906-AA1906</f>
        <v>0</v>
      </c>
    </row>
    <row r="1907" spans="1:28" x14ac:dyDescent="0.3">
      <c r="A1907" s="64"/>
      <c r="B1907" s="8"/>
      <c r="C1907" s="7" t="s">
        <v>777</v>
      </c>
      <c r="D1907" s="15" t="s">
        <v>78</v>
      </c>
      <c r="E1907" s="9">
        <f>7077000-2002901.25</f>
        <v>5074098.75</v>
      </c>
      <c r="F1907" s="9">
        <f>4694168.63+379930.12</f>
        <v>5074098.75</v>
      </c>
      <c r="G1907" s="8"/>
      <c r="H1907" s="9">
        <f t="shared" si="1013"/>
        <v>5074098.75</v>
      </c>
      <c r="I1907" s="8"/>
      <c r="J1907" s="9">
        <f t="shared" si="1014"/>
        <v>5074098.75</v>
      </c>
      <c r="K1907" s="8"/>
      <c r="L1907" s="8"/>
      <c r="M1907" s="9">
        <f t="shared" ref="M1907:M1924" si="1021">+H1907+L1907</f>
        <v>5074098.75</v>
      </c>
      <c r="N1907" s="8"/>
      <c r="O1907" s="9"/>
      <c r="P1907" s="9">
        <f t="shared" ref="P1907:P1924" si="1022">+N1907+O1907</f>
        <v>0</v>
      </c>
      <c r="Q1907" s="9">
        <f t="shared" si="1015"/>
        <v>5074098.75</v>
      </c>
      <c r="R1907" s="17"/>
      <c r="S1907" s="17"/>
      <c r="T1907" s="17"/>
      <c r="U1907" s="18">
        <f t="shared" si="1016"/>
        <v>0</v>
      </c>
      <c r="V1907" s="17"/>
      <c r="W1907" s="17"/>
      <c r="X1907" s="9">
        <f t="shared" si="1017"/>
        <v>5074098.75</v>
      </c>
      <c r="Y1907" s="8"/>
      <c r="Z1907" s="9">
        <f t="shared" si="1018"/>
        <v>0</v>
      </c>
      <c r="AA1907" s="8">
        <f t="shared" si="1019"/>
        <v>5074098.75</v>
      </c>
      <c r="AB1907" s="8">
        <f t="shared" si="1020"/>
        <v>0</v>
      </c>
    </row>
    <row r="1908" spans="1:28" x14ac:dyDescent="0.3">
      <c r="A1908" s="64"/>
      <c r="B1908" s="8"/>
      <c r="C1908" s="7" t="s">
        <v>535</v>
      </c>
      <c r="D1908" s="15" t="s">
        <v>68</v>
      </c>
      <c r="E1908" s="9">
        <f>22189150-3672301.48</f>
        <v>18516848.52</v>
      </c>
      <c r="F1908" s="9">
        <v>5792181.4100000001</v>
      </c>
      <c r="G1908" s="8"/>
      <c r="H1908" s="9">
        <f t="shared" si="1013"/>
        <v>5792181.4100000001</v>
      </c>
      <c r="I1908" s="8"/>
      <c r="J1908" s="9">
        <f t="shared" si="1014"/>
        <v>5792181.4100000001</v>
      </c>
      <c r="K1908" s="9">
        <f>10465479.61+2259187.5</f>
        <v>12724667.109999999</v>
      </c>
      <c r="L1908" s="8"/>
      <c r="M1908" s="9">
        <f t="shared" si="1021"/>
        <v>5792181.4100000001</v>
      </c>
      <c r="N1908" s="8">
        <v>12724667.109999999</v>
      </c>
      <c r="O1908" s="9"/>
      <c r="P1908" s="9">
        <f t="shared" si="1022"/>
        <v>12724667.109999999</v>
      </c>
      <c r="Q1908" s="9">
        <f t="shared" si="1015"/>
        <v>5792181.4100000001</v>
      </c>
      <c r="R1908" s="17"/>
      <c r="S1908" s="17"/>
      <c r="T1908" s="17"/>
      <c r="U1908" s="18">
        <f t="shared" si="1016"/>
        <v>12724667.109999999</v>
      </c>
      <c r="V1908" s="17"/>
      <c r="W1908" s="17"/>
      <c r="X1908" s="9">
        <f t="shared" si="1017"/>
        <v>18516848.52</v>
      </c>
      <c r="Y1908" s="8"/>
      <c r="Z1908" s="9">
        <f t="shared" si="1018"/>
        <v>0</v>
      </c>
      <c r="AA1908" s="8">
        <f t="shared" si="1019"/>
        <v>18516848.52</v>
      </c>
      <c r="AB1908" s="8">
        <f t="shared" si="1020"/>
        <v>0</v>
      </c>
    </row>
    <row r="1909" spans="1:28" x14ac:dyDescent="0.3">
      <c r="A1909" s="64"/>
      <c r="B1909" s="8"/>
      <c r="C1909" s="7" t="s">
        <v>539</v>
      </c>
      <c r="D1909" s="15" t="s">
        <v>68</v>
      </c>
      <c r="E1909" s="9">
        <v>1105792.5</v>
      </c>
      <c r="F1909" s="8"/>
      <c r="G1909" s="8"/>
      <c r="H1909" s="9">
        <f t="shared" si="1013"/>
        <v>0</v>
      </c>
      <c r="I1909" s="8"/>
      <c r="J1909" s="9">
        <f t="shared" si="1014"/>
        <v>0</v>
      </c>
      <c r="K1909" s="9">
        <v>1105792.5</v>
      </c>
      <c r="L1909" s="8"/>
      <c r="M1909" s="9">
        <f t="shared" si="1021"/>
        <v>0</v>
      </c>
      <c r="N1909" s="8">
        <v>1105792.5</v>
      </c>
      <c r="O1909" s="9"/>
      <c r="P1909" s="9">
        <f t="shared" si="1022"/>
        <v>1105792.5</v>
      </c>
      <c r="Q1909" s="9">
        <f t="shared" si="1015"/>
        <v>0</v>
      </c>
      <c r="R1909" s="17"/>
      <c r="S1909" s="17"/>
      <c r="T1909" s="17"/>
      <c r="U1909" s="18">
        <f t="shared" si="1016"/>
        <v>1105792.5</v>
      </c>
      <c r="V1909" s="17"/>
      <c r="W1909" s="17"/>
      <c r="X1909" s="9">
        <f t="shared" si="1017"/>
        <v>1105792.5</v>
      </c>
      <c r="Y1909" s="8"/>
      <c r="Z1909" s="9">
        <f t="shared" si="1018"/>
        <v>0</v>
      </c>
      <c r="AA1909" s="8">
        <f t="shared" si="1019"/>
        <v>1105792.5</v>
      </c>
      <c r="AB1909" s="8">
        <f t="shared" si="1020"/>
        <v>0</v>
      </c>
    </row>
    <row r="1910" spans="1:28" x14ac:dyDescent="0.3">
      <c r="A1910" s="64"/>
      <c r="B1910" s="8"/>
      <c r="C1910" s="7" t="s">
        <v>535</v>
      </c>
      <c r="D1910" s="15" t="s">
        <v>54</v>
      </c>
      <c r="E1910" s="9">
        <f>2339000-116950-187414</f>
        <v>2034636</v>
      </c>
      <c r="F1910" s="9">
        <f>2000000+34636</f>
        <v>2034636</v>
      </c>
      <c r="G1910" s="8"/>
      <c r="H1910" s="9">
        <f t="shared" si="1013"/>
        <v>2034636</v>
      </c>
      <c r="I1910" s="8"/>
      <c r="J1910" s="9">
        <f t="shared" si="1014"/>
        <v>2034636</v>
      </c>
      <c r="K1910" s="8"/>
      <c r="L1910" s="8"/>
      <c r="M1910" s="9">
        <f t="shared" si="1021"/>
        <v>2034636</v>
      </c>
      <c r="N1910" s="8"/>
      <c r="O1910" s="9"/>
      <c r="P1910" s="9">
        <f t="shared" si="1022"/>
        <v>0</v>
      </c>
      <c r="Q1910" s="9">
        <f t="shared" si="1015"/>
        <v>2034636</v>
      </c>
      <c r="R1910" s="17"/>
      <c r="S1910" s="17"/>
      <c r="T1910" s="17"/>
      <c r="U1910" s="18">
        <f t="shared" si="1016"/>
        <v>0</v>
      </c>
      <c r="V1910" s="17"/>
      <c r="W1910" s="17"/>
      <c r="X1910" s="9">
        <f t="shared" si="1017"/>
        <v>2034636</v>
      </c>
      <c r="Y1910" s="8"/>
      <c r="Z1910" s="9">
        <f t="shared" si="1018"/>
        <v>0</v>
      </c>
      <c r="AA1910" s="8">
        <f t="shared" si="1019"/>
        <v>2034636</v>
      </c>
      <c r="AB1910" s="8">
        <f t="shared" si="1020"/>
        <v>0</v>
      </c>
    </row>
    <row r="1911" spans="1:28" x14ac:dyDescent="0.3">
      <c r="A1911" s="64"/>
      <c r="B1911" s="8"/>
      <c r="C1911" s="7" t="s">
        <v>545</v>
      </c>
      <c r="D1911" s="15" t="s">
        <v>54</v>
      </c>
      <c r="E1911" s="9">
        <v>1767770</v>
      </c>
      <c r="F1911" s="8"/>
      <c r="G1911" s="8"/>
      <c r="H1911" s="9">
        <f t="shared" si="1013"/>
        <v>0</v>
      </c>
      <c r="I1911" s="8"/>
      <c r="J1911" s="9">
        <f t="shared" si="1014"/>
        <v>0</v>
      </c>
      <c r="K1911" s="9">
        <v>1767770</v>
      </c>
      <c r="L1911" s="8"/>
      <c r="M1911" s="9">
        <f t="shared" si="1021"/>
        <v>0</v>
      </c>
      <c r="N1911" s="8">
        <v>1767770</v>
      </c>
      <c r="O1911" s="9"/>
      <c r="P1911" s="9">
        <f t="shared" si="1022"/>
        <v>1767770</v>
      </c>
      <c r="Q1911" s="9">
        <f t="shared" si="1015"/>
        <v>0</v>
      </c>
      <c r="R1911" s="17"/>
      <c r="S1911" s="17"/>
      <c r="T1911" s="17"/>
      <c r="U1911" s="18">
        <f t="shared" si="1016"/>
        <v>1767770</v>
      </c>
      <c r="V1911" s="17"/>
      <c r="W1911" s="17"/>
      <c r="X1911" s="9">
        <f t="shared" si="1017"/>
        <v>1767770</v>
      </c>
      <c r="Y1911" s="8"/>
      <c r="Z1911" s="9">
        <f t="shared" si="1018"/>
        <v>0</v>
      </c>
      <c r="AA1911" s="8">
        <f t="shared" si="1019"/>
        <v>1767770</v>
      </c>
      <c r="AB1911" s="8">
        <f t="shared" si="1020"/>
        <v>0</v>
      </c>
    </row>
    <row r="1912" spans="1:28" x14ac:dyDescent="0.3">
      <c r="A1912" s="64"/>
      <c r="B1912" s="8"/>
      <c r="C1912" s="7" t="s">
        <v>535</v>
      </c>
      <c r="D1912" s="15" t="s">
        <v>85</v>
      </c>
      <c r="E1912" s="9">
        <f>6491000-649100</f>
        <v>5841900</v>
      </c>
      <c r="F1912" s="9">
        <f>3867640+1657560+316700</f>
        <v>5841900</v>
      </c>
      <c r="G1912" s="8"/>
      <c r="H1912" s="9">
        <f t="shared" si="1013"/>
        <v>5841900</v>
      </c>
      <c r="I1912" s="8"/>
      <c r="J1912" s="9">
        <f t="shared" si="1014"/>
        <v>5841900</v>
      </c>
      <c r="K1912" s="8"/>
      <c r="L1912" s="8"/>
      <c r="M1912" s="9">
        <f t="shared" si="1021"/>
        <v>5841900</v>
      </c>
      <c r="N1912" s="8"/>
      <c r="O1912" s="9"/>
      <c r="P1912" s="9">
        <f t="shared" si="1022"/>
        <v>0</v>
      </c>
      <c r="Q1912" s="9">
        <f t="shared" si="1015"/>
        <v>5841900</v>
      </c>
      <c r="R1912" s="17"/>
      <c r="S1912" s="17"/>
      <c r="T1912" s="17"/>
      <c r="U1912" s="18">
        <f t="shared" si="1016"/>
        <v>0</v>
      </c>
      <c r="V1912" s="17"/>
      <c r="W1912" s="17"/>
      <c r="X1912" s="9">
        <f t="shared" si="1017"/>
        <v>5841900</v>
      </c>
      <c r="Y1912" s="8"/>
      <c r="Z1912" s="9">
        <f t="shared" si="1018"/>
        <v>0</v>
      </c>
      <c r="AA1912" s="8">
        <f t="shared" si="1019"/>
        <v>5841900</v>
      </c>
      <c r="AB1912" s="8">
        <f t="shared" si="1020"/>
        <v>0</v>
      </c>
    </row>
    <row r="1913" spans="1:28" x14ac:dyDescent="0.3">
      <c r="A1913" s="64"/>
      <c r="B1913" s="8"/>
      <c r="C1913" s="7" t="s">
        <v>603</v>
      </c>
      <c r="D1913" s="15" t="s">
        <v>85</v>
      </c>
      <c r="E1913" s="9">
        <f>400000-400000</f>
        <v>0</v>
      </c>
      <c r="F1913" s="8"/>
      <c r="G1913" s="8"/>
      <c r="H1913" s="9">
        <f t="shared" si="1013"/>
        <v>0</v>
      </c>
      <c r="I1913" s="8"/>
      <c r="J1913" s="9">
        <f t="shared" si="1014"/>
        <v>0</v>
      </c>
      <c r="K1913" s="8"/>
      <c r="L1913" s="8"/>
      <c r="M1913" s="9">
        <f t="shared" si="1021"/>
        <v>0</v>
      </c>
      <c r="N1913" s="8"/>
      <c r="O1913" s="9"/>
      <c r="P1913" s="9">
        <f t="shared" si="1022"/>
        <v>0</v>
      </c>
      <c r="Q1913" s="9">
        <f t="shared" si="1015"/>
        <v>0</v>
      </c>
      <c r="R1913" s="17"/>
      <c r="S1913" s="17"/>
      <c r="T1913" s="17"/>
      <c r="U1913" s="18">
        <f t="shared" si="1016"/>
        <v>0</v>
      </c>
      <c r="V1913" s="17"/>
      <c r="W1913" s="17"/>
      <c r="X1913" s="9">
        <f t="shared" si="1017"/>
        <v>0</v>
      </c>
      <c r="Y1913" s="8"/>
      <c r="Z1913" s="9">
        <f t="shared" si="1018"/>
        <v>0</v>
      </c>
      <c r="AA1913" s="8">
        <f t="shared" si="1019"/>
        <v>0</v>
      </c>
      <c r="AB1913" s="8">
        <f t="shared" si="1020"/>
        <v>0</v>
      </c>
    </row>
    <row r="1914" spans="1:28" x14ac:dyDescent="0.3">
      <c r="A1914" s="64"/>
      <c r="B1914" s="8"/>
      <c r="C1914" s="7" t="s">
        <v>1224</v>
      </c>
      <c r="D1914" s="16" t="s">
        <v>1126</v>
      </c>
      <c r="E1914" s="9">
        <v>2386921.4300000002</v>
      </c>
      <c r="F1914" s="8">
        <v>2386921.4300000002</v>
      </c>
      <c r="G1914" s="8"/>
      <c r="H1914" s="9">
        <f>+F1914+G1914</f>
        <v>2386921.4300000002</v>
      </c>
      <c r="I1914" s="8"/>
      <c r="J1914" s="9">
        <f t="shared" si="1014"/>
        <v>2386921.4300000002</v>
      </c>
      <c r="K1914" s="8"/>
      <c r="L1914" s="8"/>
      <c r="M1914" s="9">
        <f t="shared" si="1021"/>
        <v>2386921.4300000002</v>
      </c>
      <c r="N1914" s="8"/>
      <c r="O1914" s="9"/>
      <c r="P1914" s="9">
        <f>+N1914+O1914</f>
        <v>0</v>
      </c>
      <c r="Q1914" s="9"/>
      <c r="R1914" s="17"/>
      <c r="S1914" s="17"/>
      <c r="T1914" s="17"/>
      <c r="U1914" s="18">
        <f t="shared" si="1016"/>
        <v>0</v>
      </c>
      <c r="V1914" s="17"/>
      <c r="W1914" s="17"/>
      <c r="X1914" s="9">
        <f t="shared" si="1017"/>
        <v>2386921.4300000002</v>
      </c>
      <c r="Y1914" s="8"/>
      <c r="Z1914" s="9">
        <f t="shared" si="1018"/>
        <v>0</v>
      </c>
      <c r="AA1914" s="8">
        <f t="shared" si="1019"/>
        <v>2386921.4300000002</v>
      </c>
      <c r="AB1914" s="8">
        <f t="shared" si="1020"/>
        <v>0</v>
      </c>
    </row>
    <row r="1915" spans="1:28" x14ac:dyDescent="0.3">
      <c r="A1915" s="64"/>
      <c r="B1915" s="8"/>
      <c r="C1915" s="7" t="s">
        <v>1173</v>
      </c>
      <c r="D1915" s="16" t="s">
        <v>1126</v>
      </c>
      <c r="E1915" s="9">
        <f>1842814.78+6296668.77</f>
        <v>8139483.5499999998</v>
      </c>
      <c r="F1915" s="8">
        <f>1842814.78+6296668.77</f>
        <v>8139483.5499999998</v>
      </c>
      <c r="G1915" s="8"/>
      <c r="H1915" s="9">
        <f>+F1915+G1915</f>
        <v>8139483.5499999998</v>
      </c>
      <c r="I1915" s="8"/>
      <c r="J1915" s="9">
        <f t="shared" si="1014"/>
        <v>8139483.5499999998</v>
      </c>
      <c r="K1915" s="8"/>
      <c r="L1915" s="8"/>
      <c r="M1915" s="9">
        <f t="shared" si="1021"/>
        <v>8139483.5499999998</v>
      </c>
      <c r="N1915" s="8"/>
      <c r="O1915" s="9"/>
      <c r="P1915" s="9">
        <f>+N1915+O1915</f>
        <v>0</v>
      </c>
      <c r="Q1915" s="9"/>
      <c r="R1915" s="17"/>
      <c r="S1915" s="17"/>
      <c r="T1915" s="17"/>
      <c r="U1915" s="18">
        <f t="shared" si="1016"/>
        <v>0</v>
      </c>
      <c r="V1915" s="17"/>
      <c r="W1915" s="17"/>
      <c r="X1915" s="9">
        <f t="shared" si="1017"/>
        <v>8139483.5499999998</v>
      </c>
      <c r="Y1915" s="8"/>
      <c r="Z1915" s="9">
        <f t="shared" si="1018"/>
        <v>0</v>
      </c>
      <c r="AA1915" s="8">
        <f t="shared" si="1019"/>
        <v>8139483.5499999998</v>
      </c>
      <c r="AB1915" s="8">
        <f t="shared" si="1020"/>
        <v>0</v>
      </c>
    </row>
    <row r="1916" spans="1:28" x14ac:dyDescent="0.3">
      <c r="A1916" s="64"/>
      <c r="B1916" s="8"/>
      <c r="C1916" s="7" t="s">
        <v>1245</v>
      </c>
      <c r="D1916" s="16" t="s">
        <v>1225</v>
      </c>
      <c r="E1916" s="9">
        <v>11165974.699999999</v>
      </c>
      <c r="F1916" s="8"/>
      <c r="G1916" s="8">
        <v>11165974.699999999</v>
      </c>
      <c r="H1916" s="9">
        <f>+F1916+G1916</f>
        <v>11165974.699999999</v>
      </c>
      <c r="I1916" s="8"/>
      <c r="J1916" s="9"/>
      <c r="K1916" s="8"/>
      <c r="L1916" s="8"/>
      <c r="M1916" s="9">
        <f>+H1916+L1916</f>
        <v>11165974.699999999</v>
      </c>
      <c r="N1916" s="8"/>
      <c r="O1916" s="9"/>
      <c r="P1916" s="9">
        <f>+N1916+O1916</f>
        <v>0</v>
      </c>
      <c r="Q1916" s="9"/>
      <c r="R1916" s="17"/>
      <c r="S1916" s="17"/>
      <c r="T1916" s="17"/>
      <c r="U1916" s="18">
        <f t="shared" si="1016"/>
        <v>0</v>
      </c>
      <c r="V1916" s="17"/>
      <c r="W1916" s="17"/>
      <c r="X1916" s="9">
        <f t="shared" si="1017"/>
        <v>11165974.699999999</v>
      </c>
      <c r="Y1916" s="8"/>
      <c r="Z1916" s="9">
        <f t="shared" si="1018"/>
        <v>0</v>
      </c>
      <c r="AA1916" s="8">
        <f t="shared" si="1019"/>
        <v>11165974.699999999</v>
      </c>
      <c r="AB1916" s="8">
        <f t="shared" si="1020"/>
        <v>0</v>
      </c>
    </row>
    <row r="1917" spans="1:28" x14ac:dyDescent="0.3">
      <c r="A1917" s="64"/>
      <c r="B1917" s="8"/>
      <c r="C1917" s="7" t="s">
        <v>535</v>
      </c>
      <c r="D1917" s="15" t="s">
        <v>128</v>
      </c>
      <c r="E1917" s="9">
        <v>2000000</v>
      </c>
      <c r="F1917" s="9">
        <v>2000000</v>
      </c>
      <c r="G1917" s="8"/>
      <c r="H1917" s="9">
        <f t="shared" si="1013"/>
        <v>2000000</v>
      </c>
      <c r="I1917" s="8"/>
      <c r="J1917" s="9">
        <f t="shared" si="1014"/>
        <v>2000000</v>
      </c>
      <c r="K1917" s="8"/>
      <c r="L1917" s="8"/>
      <c r="M1917" s="9">
        <f t="shared" si="1021"/>
        <v>2000000</v>
      </c>
      <c r="N1917" s="8"/>
      <c r="O1917" s="9"/>
      <c r="P1917" s="9">
        <f t="shared" si="1022"/>
        <v>0</v>
      </c>
      <c r="Q1917" s="9">
        <f t="shared" si="1015"/>
        <v>2000000</v>
      </c>
      <c r="R1917" s="17"/>
      <c r="S1917" s="17"/>
      <c r="T1917" s="17"/>
      <c r="U1917" s="18">
        <f t="shared" si="1016"/>
        <v>0</v>
      </c>
      <c r="V1917" s="17"/>
      <c r="W1917" s="17"/>
      <c r="X1917" s="9">
        <f t="shared" si="1017"/>
        <v>2000000</v>
      </c>
      <c r="Y1917" s="8"/>
      <c r="Z1917" s="9">
        <f t="shared" si="1018"/>
        <v>0</v>
      </c>
      <c r="AA1917" s="8">
        <f t="shared" si="1019"/>
        <v>2000000</v>
      </c>
      <c r="AB1917" s="8">
        <f t="shared" si="1020"/>
        <v>0</v>
      </c>
    </row>
    <row r="1918" spans="1:28" x14ac:dyDescent="0.3">
      <c r="A1918" s="64"/>
      <c r="B1918" s="8"/>
      <c r="C1918" s="7" t="s">
        <v>535</v>
      </c>
      <c r="D1918" s="15" t="s">
        <v>88</v>
      </c>
      <c r="E1918" s="9">
        <f>1764000+517839</f>
        <v>2281839</v>
      </c>
      <c r="F1918" s="9">
        <f>517839+1764000</f>
        <v>2281839</v>
      </c>
      <c r="G1918" s="8"/>
      <c r="H1918" s="9">
        <f t="shared" si="1013"/>
        <v>2281839</v>
      </c>
      <c r="I1918" s="8"/>
      <c r="J1918" s="9">
        <f t="shared" si="1014"/>
        <v>2281839</v>
      </c>
      <c r="K1918" s="8"/>
      <c r="L1918" s="8"/>
      <c r="M1918" s="9">
        <f t="shared" si="1021"/>
        <v>2281839</v>
      </c>
      <c r="N1918" s="8"/>
      <c r="O1918" s="9"/>
      <c r="P1918" s="9">
        <f t="shared" si="1022"/>
        <v>0</v>
      </c>
      <c r="Q1918" s="9">
        <f t="shared" si="1015"/>
        <v>2281839</v>
      </c>
      <c r="R1918" s="17"/>
      <c r="S1918" s="17"/>
      <c r="T1918" s="17"/>
      <c r="U1918" s="18">
        <f t="shared" si="1016"/>
        <v>0</v>
      </c>
      <c r="V1918" s="17"/>
      <c r="W1918" s="17"/>
      <c r="X1918" s="9">
        <f t="shared" si="1017"/>
        <v>2281839</v>
      </c>
      <c r="Y1918" s="8"/>
      <c r="Z1918" s="9">
        <f t="shared" si="1018"/>
        <v>0</v>
      </c>
      <c r="AA1918" s="8">
        <f t="shared" si="1019"/>
        <v>2281839</v>
      </c>
      <c r="AB1918" s="8">
        <f t="shared" si="1020"/>
        <v>0</v>
      </c>
    </row>
    <row r="1919" spans="1:28" x14ac:dyDescent="0.3">
      <c r="A1919" s="64"/>
      <c r="B1919" s="8"/>
      <c r="C1919" s="7" t="s">
        <v>535</v>
      </c>
      <c r="D1919" s="15" t="s">
        <v>58</v>
      </c>
      <c r="E1919" s="9">
        <v>358157.79</v>
      </c>
      <c r="F1919" s="9">
        <v>358157.79</v>
      </c>
      <c r="G1919" s="8"/>
      <c r="H1919" s="9">
        <f t="shared" si="1013"/>
        <v>358157.79</v>
      </c>
      <c r="I1919" s="8"/>
      <c r="J1919" s="9">
        <f t="shared" si="1014"/>
        <v>358157.79</v>
      </c>
      <c r="K1919" s="8"/>
      <c r="L1919" s="8"/>
      <c r="M1919" s="9">
        <f t="shared" si="1021"/>
        <v>358157.79</v>
      </c>
      <c r="N1919" s="8"/>
      <c r="O1919" s="9"/>
      <c r="P1919" s="9">
        <f t="shared" si="1022"/>
        <v>0</v>
      </c>
      <c r="Q1919" s="9">
        <f t="shared" si="1015"/>
        <v>358157.79</v>
      </c>
      <c r="R1919" s="17"/>
      <c r="S1919" s="17"/>
      <c r="T1919" s="17"/>
      <c r="U1919" s="18">
        <f t="shared" si="1016"/>
        <v>0</v>
      </c>
      <c r="V1919" s="17"/>
      <c r="W1919" s="17"/>
      <c r="X1919" s="9">
        <f t="shared" si="1017"/>
        <v>358157.79</v>
      </c>
      <c r="Y1919" s="8"/>
      <c r="Z1919" s="9">
        <f t="shared" si="1018"/>
        <v>0</v>
      </c>
      <c r="AA1919" s="8">
        <f t="shared" si="1019"/>
        <v>358157.79</v>
      </c>
      <c r="AB1919" s="8">
        <f t="shared" si="1020"/>
        <v>0</v>
      </c>
    </row>
    <row r="1920" spans="1:28" x14ac:dyDescent="0.3">
      <c r="A1920" s="64"/>
      <c r="B1920" s="8"/>
      <c r="C1920" s="7" t="s">
        <v>535</v>
      </c>
      <c r="D1920" s="15" t="s">
        <v>60</v>
      </c>
      <c r="E1920" s="9">
        <f>3545793+3733012+1772455+970655</f>
        <v>10021915</v>
      </c>
      <c r="F1920" s="9">
        <f>7278805+1772455+970655</f>
        <v>10021915</v>
      </c>
      <c r="G1920" s="9"/>
      <c r="H1920" s="9">
        <f t="shared" si="1013"/>
        <v>10021915</v>
      </c>
      <c r="I1920" s="9"/>
      <c r="J1920" s="9">
        <f t="shared" si="1014"/>
        <v>10021915</v>
      </c>
      <c r="K1920" s="8"/>
      <c r="L1920" s="8"/>
      <c r="M1920" s="9">
        <f t="shared" si="1021"/>
        <v>10021915</v>
      </c>
      <c r="N1920" s="8"/>
      <c r="O1920" s="9"/>
      <c r="P1920" s="9">
        <f t="shared" si="1022"/>
        <v>0</v>
      </c>
      <c r="Q1920" s="9">
        <f t="shared" si="1015"/>
        <v>10021915</v>
      </c>
      <c r="R1920" s="17"/>
      <c r="S1920" s="17"/>
      <c r="T1920" s="17"/>
      <c r="U1920" s="18">
        <f t="shared" si="1016"/>
        <v>0</v>
      </c>
      <c r="V1920" s="17"/>
      <c r="W1920" s="17"/>
      <c r="X1920" s="9">
        <f t="shared" si="1017"/>
        <v>10021915</v>
      </c>
      <c r="Y1920" s="8"/>
      <c r="Z1920" s="9">
        <f t="shared" si="1018"/>
        <v>0</v>
      </c>
      <c r="AA1920" s="8">
        <f t="shared" si="1019"/>
        <v>10021915</v>
      </c>
      <c r="AB1920" s="8">
        <f t="shared" si="1020"/>
        <v>0</v>
      </c>
    </row>
    <row r="1921" spans="1:28" x14ac:dyDescent="0.3">
      <c r="A1921" s="64"/>
      <c r="B1921" s="8"/>
      <c r="C1921" s="7" t="s">
        <v>535</v>
      </c>
      <c r="D1921" s="15" t="s">
        <v>73</v>
      </c>
      <c r="E1921" s="9">
        <f>6168812+570188</f>
        <v>6739000</v>
      </c>
      <c r="F1921" s="9">
        <f>6168812+570188</f>
        <v>6739000</v>
      </c>
      <c r="G1921" s="8"/>
      <c r="H1921" s="9">
        <f t="shared" si="1013"/>
        <v>6739000</v>
      </c>
      <c r="I1921" s="8"/>
      <c r="J1921" s="9">
        <f t="shared" si="1014"/>
        <v>6739000</v>
      </c>
      <c r="K1921" s="8"/>
      <c r="L1921" s="8"/>
      <c r="M1921" s="9">
        <f t="shared" si="1021"/>
        <v>6739000</v>
      </c>
      <c r="N1921" s="8"/>
      <c r="O1921" s="9"/>
      <c r="P1921" s="9">
        <f t="shared" si="1022"/>
        <v>0</v>
      </c>
      <c r="Q1921" s="9">
        <f t="shared" si="1015"/>
        <v>6739000</v>
      </c>
      <c r="R1921" s="17"/>
      <c r="S1921" s="17"/>
      <c r="T1921" s="17"/>
      <c r="U1921" s="18">
        <f t="shared" si="1016"/>
        <v>0</v>
      </c>
      <c r="V1921" s="17"/>
      <c r="W1921" s="17"/>
      <c r="X1921" s="9">
        <f t="shared" si="1017"/>
        <v>6739000</v>
      </c>
      <c r="Y1921" s="8"/>
      <c r="Z1921" s="9">
        <f t="shared" si="1018"/>
        <v>0</v>
      </c>
      <c r="AA1921" s="8">
        <f t="shared" si="1019"/>
        <v>6739000</v>
      </c>
      <c r="AB1921" s="8">
        <f t="shared" si="1020"/>
        <v>0</v>
      </c>
    </row>
    <row r="1922" spans="1:28" x14ac:dyDescent="0.3">
      <c r="A1922" s="64"/>
      <c r="B1922" s="8"/>
      <c r="C1922" s="7" t="s">
        <v>535</v>
      </c>
      <c r="D1922" s="15" t="s">
        <v>61</v>
      </c>
      <c r="E1922" s="11">
        <v>8072000</v>
      </c>
      <c r="F1922" s="11">
        <v>8072000</v>
      </c>
      <c r="G1922" s="8"/>
      <c r="H1922" s="9">
        <f t="shared" si="1013"/>
        <v>8072000</v>
      </c>
      <c r="I1922" s="8"/>
      <c r="J1922" s="9">
        <f t="shared" si="1014"/>
        <v>8072000</v>
      </c>
      <c r="K1922" s="8"/>
      <c r="L1922" s="8"/>
      <c r="M1922" s="9">
        <f t="shared" si="1021"/>
        <v>8072000</v>
      </c>
      <c r="N1922" s="8"/>
      <c r="O1922" s="9"/>
      <c r="P1922" s="9">
        <f t="shared" si="1022"/>
        <v>0</v>
      </c>
      <c r="Q1922" s="9">
        <f t="shared" si="1015"/>
        <v>8072000</v>
      </c>
      <c r="R1922" s="17"/>
      <c r="S1922" s="17"/>
      <c r="T1922" s="17"/>
      <c r="U1922" s="18">
        <f t="shared" si="1016"/>
        <v>0</v>
      </c>
      <c r="V1922" s="17"/>
      <c r="W1922" s="17"/>
      <c r="X1922" s="9">
        <f t="shared" si="1017"/>
        <v>8072000</v>
      </c>
      <c r="Y1922" s="8"/>
      <c r="Z1922" s="9">
        <f t="shared" si="1018"/>
        <v>0</v>
      </c>
      <c r="AA1922" s="8">
        <f t="shared" si="1019"/>
        <v>8072000</v>
      </c>
      <c r="AB1922" s="8">
        <f t="shared" si="1020"/>
        <v>0</v>
      </c>
    </row>
    <row r="1923" spans="1:28" x14ac:dyDescent="0.3">
      <c r="A1923" s="64"/>
      <c r="B1923" s="8"/>
      <c r="C1923" s="7" t="s">
        <v>550</v>
      </c>
      <c r="D1923" s="8"/>
      <c r="E1923" s="9">
        <v>85766</v>
      </c>
      <c r="F1923" s="9">
        <v>85766</v>
      </c>
      <c r="G1923" s="8"/>
      <c r="H1923" s="9">
        <f t="shared" si="1013"/>
        <v>85766</v>
      </c>
      <c r="I1923" s="8"/>
      <c r="J1923" s="9">
        <f t="shared" si="1014"/>
        <v>85766</v>
      </c>
      <c r="K1923" s="8"/>
      <c r="L1923" s="8"/>
      <c r="M1923" s="9">
        <f t="shared" si="1021"/>
        <v>85766</v>
      </c>
      <c r="N1923" s="8"/>
      <c r="O1923" s="9"/>
      <c r="P1923" s="9">
        <f t="shared" si="1022"/>
        <v>0</v>
      </c>
      <c r="Q1923" s="9">
        <f t="shared" si="1015"/>
        <v>85766</v>
      </c>
      <c r="R1923" s="17"/>
      <c r="S1923" s="17"/>
      <c r="T1923" s="17"/>
      <c r="U1923" s="18">
        <f t="shared" si="1016"/>
        <v>0</v>
      </c>
      <c r="V1923" s="17"/>
      <c r="W1923" s="17"/>
      <c r="X1923" s="9">
        <f t="shared" si="1017"/>
        <v>85766</v>
      </c>
      <c r="Y1923" s="8"/>
      <c r="Z1923" s="9">
        <f t="shared" si="1018"/>
        <v>0</v>
      </c>
      <c r="AA1923" s="8">
        <f t="shared" si="1019"/>
        <v>85766</v>
      </c>
      <c r="AB1923" s="8">
        <f t="shared" si="1020"/>
        <v>0</v>
      </c>
    </row>
    <row r="1924" spans="1:28" x14ac:dyDescent="0.3">
      <c r="A1924" s="64"/>
      <c r="B1924" s="8"/>
      <c r="C1924" s="7" t="s">
        <v>606</v>
      </c>
      <c r="D1924" s="8"/>
      <c r="E1924" s="9">
        <v>2500000</v>
      </c>
      <c r="F1924" s="9">
        <v>2500000</v>
      </c>
      <c r="G1924" s="8"/>
      <c r="H1924" s="9">
        <f t="shared" si="1013"/>
        <v>2500000</v>
      </c>
      <c r="I1924" s="8"/>
      <c r="J1924" s="9">
        <f t="shared" si="1014"/>
        <v>2500000</v>
      </c>
      <c r="K1924" s="8"/>
      <c r="L1924" s="8"/>
      <c r="M1924" s="9">
        <f t="shared" si="1021"/>
        <v>2500000</v>
      </c>
      <c r="N1924" s="8"/>
      <c r="O1924" s="9"/>
      <c r="P1924" s="9">
        <f t="shared" si="1022"/>
        <v>0</v>
      </c>
      <c r="Q1924" s="9">
        <f t="shared" si="1015"/>
        <v>2500000</v>
      </c>
      <c r="R1924" s="17"/>
      <c r="S1924" s="17"/>
      <c r="T1924" s="17"/>
      <c r="U1924" s="18">
        <f t="shared" si="1016"/>
        <v>0</v>
      </c>
      <c r="V1924" s="17"/>
      <c r="W1924" s="17"/>
      <c r="X1924" s="9">
        <f t="shared" si="1017"/>
        <v>2500000</v>
      </c>
      <c r="Y1924" s="8"/>
      <c r="Z1924" s="9">
        <f t="shared" si="1018"/>
        <v>0</v>
      </c>
      <c r="AA1924" s="8">
        <f t="shared" si="1019"/>
        <v>2500000</v>
      </c>
      <c r="AB1924" s="8">
        <f t="shared" si="1020"/>
        <v>0</v>
      </c>
    </row>
    <row r="1925" spans="1:28" x14ac:dyDescent="0.3">
      <c r="A1925" s="64"/>
      <c r="B1925" s="8"/>
      <c r="C1925" s="8"/>
      <c r="D1925" s="8"/>
      <c r="E1925" s="17" t="s">
        <v>29</v>
      </c>
      <c r="F1925" s="17" t="s">
        <v>29</v>
      </c>
      <c r="G1925" s="17" t="s">
        <v>29</v>
      </c>
      <c r="H1925" s="17" t="s">
        <v>29</v>
      </c>
      <c r="I1925" s="17" t="s">
        <v>29</v>
      </c>
      <c r="J1925" s="17" t="s">
        <v>29</v>
      </c>
      <c r="K1925" s="17" t="s">
        <v>29</v>
      </c>
      <c r="L1925" s="17" t="s">
        <v>29</v>
      </c>
      <c r="M1925" s="17" t="s">
        <v>29</v>
      </c>
      <c r="N1925" s="17" t="s">
        <v>29</v>
      </c>
      <c r="O1925" s="17" t="s">
        <v>29</v>
      </c>
      <c r="P1925" s="17" t="s">
        <v>29</v>
      </c>
      <c r="Q1925" s="17" t="s">
        <v>29</v>
      </c>
      <c r="R1925" s="17"/>
      <c r="S1925" s="17"/>
      <c r="T1925" s="17"/>
      <c r="U1925" s="17" t="s">
        <v>29</v>
      </c>
      <c r="V1925" s="17"/>
      <c r="W1925" s="17"/>
      <c r="X1925" s="17"/>
      <c r="Y1925" s="17"/>
      <c r="Z1925" s="17"/>
      <c r="AA1925" s="17" t="s">
        <v>29</v>
      </c>
      <c r="AB1925" s="17" t="s">
        <v>29</v>
      </c>
    </row>
    <row r="1926" spans="1:28" x14ac:dyDescent="0.3">
      <c r="A1926" s="64"/>
      <c r="B1926" s="8"/>
      <c r="C1926" s="8"/>
      <c r="D1926" s="8"/>
      <c r="E1926" s="9">
        <f t="shared" ref="E1926:Q1926" si="1023">SUM(E1906:E1925)</f>
        <v>96943103.239999995</v>
      </c>
      <c r="F1926" s="9">
        <f t="shared" si="1023"/>
        <v>70178898.930000007</v>
      </c>
      <c r="G1926" s="9">
        <f t="shared" si="1023"/>
        <v>11165974.699999999</v>
      </c>
      <c r="H1926" s="9">
        <f t="shared" si="1023"/>
        <v>81344873.629999995</v>
      </c>
      <c r="I1926" s="9">
        <f t="shared" si="1023"/>
        <v>0</v>
      </c>
      <c r="J1926" s="9">
        <f t="shared" si="1023"/>
        <v>70178898.930000007</v>
      </c>
      <c r="K1926" s="9">
        <f t="shared" si="1023"/>
        <v>15598229.609999999</v>
      </c>
      <c r="L1926" s="9">
        <f t="shared" si="1023"/>
        <v>0</v>
      </c>
      <c r="M1926" s="9">
        <f t="shared" si="1023"/>
        <v>81344873.629999995</v>
      </c>
      <c r="N1926" s="9">
        <f t="shared" si="1023"/>
        <v>15598229.609999999</v>
      </c>
      <c r="O1926" s="9">
        <f t="shared" si="1023"/>
        <v>0</v>
      </c>
      <c r="P1926" s="9">
        <f t="shared" si="1023"/>
        <v>15598229.609999999</v>
      </c>
      <c r="Q1926" s="9">
        <f t="shared" si="1023"/>
        <v>59652493.950000003</v>
      </c>
      <c r="R1926" s="17"/>
      <c r="S1926" s="17"/>
      <c r="T1926" s="9">
        <f t="shared" ref="T1926:Z1926" si="1024">SUM(T1906:T1925)</f>
        <v>0</v>
      </c>
      <c r="U1926" s="9">
        <f t="shared" si="1024"/>
        <v>15598229.609999999</v>
      </c>
      <c r="V1926" s="9">
        <f t="shared" si="1024"/>
        <v>0</v>
      </c>
      <c r="W1926" s="9">
        <f t="shared" si="1024"/>
        <v>0</v>
      </c>
      <c r="X1926" s="9">
        <f t="shared" si="1024"/>
        <v>96943103.239999995</v>
      </c>
      <c r="Y1926" s="9">
        <f t="shared" si="1024"/>
        <v>0</v>
      </c>
      <c r="Z1926" s="9">
        <f t="shared" si="1024"/>
        <v>0</v>
      </c>
      <c r="AA1926" s="9">
        <f>SUM(AA1906:AA1925)</f>
        <v>96943103.239999995</v>
      </c>
      <c r="AB1926" s="9">
        <f>SUM(AB1906:AB1925)</f>
        <v>0</v>
      </c>
    </row>
    <row r="1927" spans="1:28" ht="15" customHeight="1" x14ac:dyDescent="0.3">
      <c r="A1927" s="64"/>
      <c r="B1927" s="8"/>
      <c r="C1927" s="8"/>
      <c r="D1927" s="8"/>
      <c r="E1927" s="17" t="s">
        <v>29</v>
      </c>
      <c r="F1927" s="17" t="s">
        <v>29</v>
      </c>
      <c r="G1927" s="17" t="s">
        <v>29</v>
      </c>
      <c r="H1927" s="17" t="s">
        <v>29</v>
      </c>
      <c r="I1927" s="17" t="s">
        <v>29</v>
      </c>
      <c r="J1927" s="17" t="s">
        <v>29</v>
      </c>
      <c r="K1927" s="17" t="s">
        <v>29</v>
      </c>
      <c r="L1927" s="17" t="s">
        <v>29</v>
      </c>
      <c r="M1927" s="17" t="s">
        <v>29</v>
      </c>
      <c r="N1927" s="17" t="s">
        <v>29</v>
      </c>
      <c r="O1927" s="17" t="s">
        <v>29</v>
      </c>
      <c r="P1927" s="17" t="s">
        <v>29</v>
      </c>
      <c r="Q1927" s="17" t="s">
        <v>29</v>
      </c>
      <c r="R1927" s="17"/>
      <c r="S1927" s="17"/>
      <c r="T1927" s="17"/>
      <c r="U1927" s="17" t="s">
        <v>29</v>
      </c>
      <c r="V1927" s="17"/>
      <c r="W1927" s="17"/>
      <c r="X1927" s="17"/>
      <c r="Y1927" s="17"/>
      <c r="Z1927" s="17"/>
      <c r="AA1927" s="17" t="s">
        <v>29</v>
      </c>
      <c r="AB1927" s="17" t="s">
        <v>29</v>
      </c>
    </row>
    <row r="1928" spans="1:28" ht="18" customHeight="1" x14ac:dyDescent="0.3">
      <c r="A1928" s="63" t="s">
        <v>1021</v>
      </c>
      <c r="B1928" s="7" t="s">
        <v>788</v>
      </c>
      <c r="C1928" s="8"/>
      <c r="D1928" s="8"/>
      <c r="E1928" s="8"/>
      <c r="F1928" s="8"/>
      <c r="G1928" s="8"/>
      <c r="H1928" s="8"/>
      <c r="I1928" s="8"/>
      <c r="J1928" s="8"/>
      <c r="K1928" s="8"/>
      <c r="L1928" s="8"/>
      <c r="M1928" s="8"/>
      <c r="N1928" s="8"/>
      <c r="O1928" s="8"/>
      <c r="P1928" s="8"/>
      <c r="Q1928" s="8"/>
      <c r="R1928" s="17"/>
      <c r="S1928" s="17"/>
      <c r="T1928" s="17"/>
      <c r="U1928" s="17"/>
      <c r="V1928" s="17"/>
      <c r="W1928" s="17"/>
      <c r="X1928" s="17"/>
      <c r="Y1928" s="17"/>
      <c r="Z1928" s="17"/>
    </row>
    <row r="1929" spans="1:28" x14ac:dyDescent="0.3">
      <c r="A1929" s="64"/>
      <c r="B1929" s="8"/>
      <c r="C1929" s="7" t="s">
        <v>535</v>
      </c>
      <c r="D1929" s="15" t="s">
        <v>150</v>
      </c>
      <c r="E1929" s="9">
        <v>9493816.1999999993</v>
      </c>
      <c r="F1929" s="9">
        <f>6767848.95+1556025.74</f>
        <v>8323874.6900000004</v>
      </c>
      <c r="G1929" s="8"/>
      <c r="H1929" s="9">
        <f t="shared" ref="H1929:H1953" si="1025">F1929+G1929</f>
        <v>8323874.6900000004</v>
      </c>
      <c r="I1929" s="8"/>
      <c r="J1929" s="9">
        <f t="shared" ref="J1929:J1953" si="1026">H1929+I1929</f>
        <v>8323874.6900000004</v>
      </c>
      <c r="K1929" s="9">
        <v>1169941.51</v>
      </c>
      <c r="L1929" s="8"/>
      <c r="M1929" s="9">
        <f>+H1929+L1929</f>
        <v>8323874.6900000004</v>
      </c>
      <c r="N1929" s="8">
        <v>1169941.51</v>
      </c>
      <c r="O1929" s="9"/>
      <c r="P1929" s="9">
        <f>+N1929+O1929</f>
        <v>1169941.51</v>
      </c>
      <c r="Q1929" s="9">
        <f t="shared" ref="Q1929:Q1953" si="1027">E1929-P1929</f>
        <v>8323874.6899999995</v>
      </c>
      <c r="R1929" s="17"/>
      <c r="S1929" s="17"/>
      <c r="T1929" s="17"/>
      <c r="U1929" s="18">
        <f t="shared" ref="U1929:U1953" si="1028">+P1929+T1929</f>
        <v>1169941.51</v>
      </c>
      <c r="V1929" s="17"/>
      <c r="W1929" s="17"/>
      <c r="X1929" s="9">
        <f t="shared" ref="X1929:X1953" si="1029">+H1929+P1929</f>
        <v>9493816.2000000011</v>
      </c>
      <c r="Y1929" s="8"/>
      <c r="Z1929" s="9">
        <f t="shared" ref="Z1929:Z1953" si="1030">+E1929-X1929</f>
        <v>0</v>
      </c>
      <c r="AA1929" s="8">
        <f t="shared" ref="AA1929:AA1953" si="1031">+M1929+U1929</f>
        <v>9493816.2000000011</v>
      </c>
      <c r="AB1929" s="8">
        <f t="shared" ref="AB1929:AB1953" si="1032">+E1929-AA1929</f>
        <v>0</v>
      </c>
    </row>
    <row r="1930" spans="1:28" x14ac:dyDescent="0.3">
      <c r="A1930" s="64"/>
      <c r="B1930" s="8"/>
      <c r="C1930" s="7" t="s">
        <v>789</v>
      </c>
      <c r="D1930" s="15" t="s">
        <v>150</v>
      </c>
      <c r="E1930" s="9">
        <v>5895000</v>
      </c>
      <c r="F1930" s="9">
        <f>5865000+30000</f>
        <v>5895000</v>
      </c>
      <c r="G1930" s="8"/>
      <c r="H1930" s="9">
        <f t="shared" si="1025"/>
        <v>5895000</v>
      </c>
      <c r="I1930" s="8"/>
      <c r="J1930" s="9">
        <f t="shared" si="1026"/>
        <v>5895000</v>
      </c>
      <c r="K1930" s="8"/>
      <c r="L1930" s="8"/>
      <c r="M1930" s="9">
        <f t="shared" ref="M1930:M1953" si="1033">+H1930+L1930</f>
        <v>5895000</v>
      </c>
      <c r="N1930" s="8"/>
      <c r="O1930" s="9"/>
      <c r="P1930" s="9">
        <f t="shared" ref="P1930:P1953" si="1034">+N1930+O1930</f>
        <v>0</v>
      </c>
      <c r="Q1930" s="9">
        <f t="shared" si="1027"/>
        <v>5895000</v>
      </c>
      <c r="R1930" s="17"/>
      <c r="S1930" s="17"/>
      <c r="T1930" s="17"/>
      <c r="U1930" s="18">
        <f t="shared" si="1028"/>
        <v>0</v>
      </c>
      <c r="V1930" s="17"/>
      <c r="W1930" s="17"/>
      <c r="X1930" s="9">
        <f t="shared" si="1029"/>
        <v>5895000</v>
      </c>
      <c r="Y1930" s="8"/>
      <c r="Z1930" s="9">
        <f t="shared" si="1030"/>
        <v>0</v>
      </c>
      <c r="AA1930" s="8">
        <f t="shared" si="1031"/>
        <v>5895000</v>
      </c>
      <c r="AB1930" s="8">
        <f t="shared" si="1032"/>
        <v>0</v>
      </c>
    </row>
    <row r="1931" spans="1:28" x14ac:dyDescent="0.3">
      <c r="A1931" s="64"/>
      <c r="B1931" s="8"/>
      <c r="C1931" s="7" t="s">
        <v>790</v>
      </c>
      <c r="D1931" s="15" t="s">
        <v>166</v>
      </c>
      <c r="E1931" s="9">
        <v>4651000</v>
      </c>
      <c r="F1931" s="9">
        <f>3332957.53+1318042.47</f>
        <v>4651000</v>
      </c>
      <c r="G1931" s="8"/>
      <c r="H1931" s="9">
        <f t="shared" si="1025"/>
        <v>4651000</v>
      </c>
      <c r="I1931" s="8"/>
      <c r="J1931" s="9">
        <f t="shared" si="1026"/>
        <v>4651000</v>
      </c>
      <c r="K1931" s="8"/>
      <c r="L1931" s="8"/>
      <c r="M1931" s="9">
        <f t="shared" si="1033"/>
        <v>4651000</v>
      </c>
      <c r="N1931" s="8"/>
      <c r="O1931" s="9"/>
      <c r="P1931" s="9">
        <f t="shared" si="1034"/>
        <v>0</v>
      </c>
      <c r="Q1931" s="9">
        <f t="shared" si="1027"/>
        <v>4651000</v>
      </c>
      <c r="R1931" s="17"/>
      <c r="S1931" s="17"/>
      <c r="T1931" s="17"/>
      <c r="U1931" s="18">
        <f t="shared" si="1028"/>
        <v>0</v>
      </c>
      <c r="V1931" s="17"/>
      <c r="W1931" s="17"/>
      <c r="X1931" s="9">
        <f t="shared" si="1029"/>
        <v>4651000</v>
      </c>
      <c r="Y1931" s="8"/>
      <c r="Z1931" s="9">
        <f t="shared" si="1030"/>
        <v>0</v>
      </c>
      <c r="AA1931" s="8">
        <f t="shared" si="1031"/>
        <v>4651000</v>
      </c>
      <c r="AB1931" s="8">
        <f t="shared" si="1032"/>
        <v>0</v>
      </c>
    </row>
    <row r="1932" spans="1:28" x14ac:dyDescent="0.3">
      <c r="A1932" s="64"/>
      <c r="B1932" s="8"/>
      <c r="C1932" s="7" t="s">
        <v>791</v>
      </c>
      <c r="D1932" s="15" t="s">
        <v>166</v>
      </c>
      <c r="E1932" s="9">
        <f>4196000-312.45</f>
        <v>4195687.55</v>
      </c>
      <c r="F1932" s="9">
        <v>4195687.55</v>
      </c>
      <c r="G1932" s="8"/>
      <c r="H1932" s="9">
        <f t="shared" si="1025"/>
        <v>4195687.55</v>
      </c>
      <c r="I1932" s="8"/>
      <c r="J1932" s="9">
        <f t="shared" si="1026"/>
        <v>4195687.55</v>
      </c>
      <c r="K1932" s="8"/>
      <c r="L1932" s="8"/>
      <c r="M1932" s="9">
        <f t="shared" si="1033"/>
        <v>4195687.55</v>
      </c>
      <c r="N1932" s="8"/>
      <c r="O1932" s="9"/>
      <c r="P1932" s="9">
        <f t="shared" si="1034"/>
        <v>0</v>
      </c>
      <c r="Q1932" s="9">
        <f t="shared" si="1027"/>
        <v>4195687.55</v>
      </c>
      <c r="R1932" s="17"/>
      <c r="S1932" s="17"/>
      <c r="T1932" s="17"/>
      <c r="U1932" s="18">
        <f t="shared" si="1028"/>
        <v>0</v>
      </c>
      <c r="V1932" s="17"/>
      <c r="W1932" s="17"/>
      <c r="X1932" s="9">
        <f t="shared" si="1029"/>
        <v>4195687.55</v>
      </c>
      <c r="Y1932" s="8"/>
      <c r="Z1932" s="9">
        <f t="shared" si="1030"/>
        <v>0</v>
      </c>
      <c r="AA1932" s="8">
        <f t="shared" si="1031"/>
        <v>4195687.55</v>
      </c>
      <c r="AB1932" s="8">
        <f t="shared" si="1032"/>
        <v>0</v>
      </c>
    </row>
    <row r="1933" spans="1:28" x14ac:dyDescent="0.3">
      <c r="A1933" s="64"/>
      <c r="B1933" s="8"/>
      <c r="C1933" s="7" t="s">
        <v>792</v>
      </c>
      <c r="D1933" s="15" t="s">
        <v>166</v>
      </c>
      <c r="E1933" s="9">
        <v>1969716</v>
      </c>
      <c r="F1933" s="9">
        <f>1930048.14+39667.86</f>
        <v>1969716</v>
      </c>
      <c r="G1933" s="8"/>
      <c r="H1933" s="9">
        <f t="shared" si="1025"/>
        <v>1969716</v>
      </c>
      <c r="I1933" s="8"/>
      <c r="J1933" s="9">
        <f t="shared" si="1026"/>
        <v>1969716</v>
      </c>
      <c r="K1933" s="8"/>
      <c r="L1933" s="8"/>
      <c r="M1933" s="9">
        <f t="shared" si="1033"/>
        <v>1969716</v>
      </c>
      <c r="N1933" s="8"/>
      <c r="O1933" s="9"/>
      <c r="P1933" s="9">
        <f t="shared" si="1034"/>
        <v>0</v>
      </c>
      <c r="Q1933" s="9">
        <f t="shared" si="1027"/>
        <v>1969716</v>
      </c>
      <c r="R1933" s="17"/>
      <c r="S1933" s="17"/>
      <c r="T1933" s="17"/>
      <c r="U1933" s="18">
        <f t="shared" si="1028"/>
        <v>0</v>
      </c>
      <c r="V1933" s="17"/>
      <c r="W1933" s="17"/>
      <c r="X1933" s="9">
        <f t="shared" si="1029"/>
        <v>1969716</v>
      </c>
      <c r="Y1933" s="8"/>
      <c r="Z1933" s="9">
        <f t="shared" si="1030"/>
        <v>0</v>
      </c>
      <c r="AA1933" s="8">
        <f t="shared" si="1031"/>
        <v>1969716</v>
      </c>
      <c r="AB1933" s="8">
        <f t="shared" si="1032"/>
        <v>0</v>
      </c>
    </row>
    <row r="1934" spans="1:28" x14ac:dyDescent="0.3">
      <c r="A1934" s="64"/>
      <c r="B1934" s="8"/>
      <c r="C1934" s="7" t="s">
        <v>777</v>
      </c>
      <c r="D1934" s="15" t="s">
        <v>78</v>
      </c>
      <c r="E1934" s="9">
        <f>900000-147679</f>
        <v>752321</v>
      </c>
      <c r="F1934" s="9">
        <v>752321</v>
      </c>
      <c r="G1934" s="8"/>
      <c r="H1934" s="9">
        <f t="shared" si="1025"/>
        <v>752321</v>
      </c>
      <c r="I1934" s="8"/>
      <c r="J1934" s="9">
        <f t="shared" si="1026"/>
        <v>752321</v>
      </c>
      <c r="K1934" s="8"/>
      <c r="L1934" s="8"/>
      <c r="M1934" s="9">
        <f t="shared" si="1033"/>
        <v>752321</v>
      </c>
      <c r="N1934" s="8"/>
      <c r="O1934" s="9"/>
      <c r="P1934" s="9">
        <f t="shared" si="1034"/>
        <v>0</v>
      </c>
      <c r="Q1934" s="9">
        <f t="shared" si="1027"/>
        <v>752321</v>
      </c>
      <c r="R1934" s="17"/>
      <c r="S1934" s="17"/>
      <c r="T1934" s="17"/>
      <c r="U1934" s="18">
        <f t="shared" si="1028"/>
        <v>0</v>
      </c>
      <c r="V1934" s="17"/>
      <c r="W1934" s="17"/>
      <c r="X1934" s="9">
        <f t="shared" si="1029"/>
        <v>752321</v>
      </c>
      <c r="Y1934" s="8"/>
      <c r="Z1934" s="9">
        <f t="shared" si="1030"/>
        <v>0</v>
      </c>
      <c r="AA1934" s="8">
        <f t="shared" si="1031"/>
        <v>752321</v>
      </c>
      <c r="AB1934" s="8">
        <f t="shared" si="1032"/>
        <v>0</v>
      </c>
    </row>
    <row r="1935" spans="1:28" x14ac:dyDescent="0.3">
      <c r="A1935" s="64"/>
      <c r="B1935" s="8"/>
      <c r="C1935" s="7" t="s">
        <v>793</v>
      </c>
      <c r="D1935" s="15" t="s">
        <v>78</v>
      </c>
      <c r="E1935" s="9">
        <f>2320850-24970.7</f>
        <v>2295879.2999999998</v>
      </c>
      <c r="F1935" s="9">
        <v>1644245</v>
      </c>
      <c r="G1935" s="8"/>
      <c r="H1935" s="9">
        <f t="shared" si="1025"/>
        <v>1644245</v>
      </c>
      <c r="I1935" s="8"/>
      <c r="J1935" s="9">
        <f t="shared" si="1026"/>
        <v>1644245</v>
      </c>
      <c r="K1935" s="9">
        <v>651634.30000000005</v>
      </c>
      <c r="L1935" s="8"/>
      <c r="M1935" s="9">
        <f t="shared" si="1033"/>
        <v>1644245</v>
      </c>
      <c r="N1935" s="8">
        <v>651634.30000000005</v>
      </c>
      <c r="O1935" s="9"/>
      <c r="P1935" s="9">
        <f t="shared" si="1034"/>
        <v>651634.30000000005</v>
      </c>
      <c r="Q1935" s="9">
        <f t="shared" si="1027"/>
        <v>1644244.9999999998</v>
      </c>
      <c r="R1935" s="17"/>
      <c r="S1935" s="17"/>
      <c r="T1935" s="17"/>
      <c r="U1935" s="18">
        <f t="shared" si="1028"/>
        <v>651634.30000000005</v>
      </c>
      <c r="V1935" s="17"/>
      <c r="W1935" s="17"/>
      <c r="X1935" s="9">
        <f t="shared" si="1029"/>
        <v>2295879.2999999998</v>
      </c>
      <c r="Y1935" s="8"/>
      <c r="Z1935" s="9">
        <f t="shared" si="1030"/>
        <v>0</v>
      </c>
      <c r="AA1935" s="8">
        <f t="shared" si="1031"/>
        <v>2295879.2999999998</v>
      </c>
      <c r="AB1935" s="8">
        <f t="shared" si="1032"/>
        <v>0</v>
      </c>
    </row>
    <row r="1936" spans="1:28" x14ac:dyDescent="0.3">
      <c r="A1936" s="64"/>
      <c r="B1936" s="8"/>
      <c r="C1936" s="7" t="s">
        <v>535</v>
      </c>
      <c r="D1936" s="15" t="s">
        <v>68</v>
      </c>
      <c r="E1936" s="9">
        <f>5978350-3402141.94</f>
        <v>2576208.06</v>
      </c>
      <c r="F1936" s="9">
        <v>429030.7</v>
      </c>
      <c r="G1936" s="8"/>
      <c r="H1936" s="9">
        <f t="shared" si="1025"/>
        <v>429030.7</v>
      </c>
      <c r="I1936" s="8"/>
      <c r="J1936" s="9">
        <f t="shared" si="1026"/>
        <v>429030.7</v>
      </c>
      <c r="K1936" s="9">
        <v>2147177.36</v>
      </c>
      <c r="L1936" s="8"/>
      <c r="M1936" s="9">
        <f t="shared" si="1033"/>
        <v>429030.7</v>
      </c>
      <c r="N1936" s="8">
        <v>2147177.36</v>
      </c>
      <c r="O1936" s="9"/>
      <c r="P1936" s="9">
        <f t="shared" si="1034"/>
        <v>2147177.36</v>
      </c>
      <c r="Q1936" s="9">
        <f t="shared" si="1027"/>
        <v>429030.70000000019</v>
      </c>
      <c r="R1936" s="17"/>
      <c r="S1936" s="17"/>
      <c r="T1936" s="17"/>
      <c r="U1936" s="18">
        <f t="shared" si="1028"/>
        <v>2147177.36</v>
      </c>
      <c r="V1936" s="17"/>
      <c r="W1936" s="17"/>
      <c r="X1936" s="9">
        <f t="shared" si="1029"/>
        <v>2576208.06</v>
      </c>
      <c r="Y1936" s="8"/>
      <c r="Z1936" s="9">
        <f t="shared" si="1030"/>
        <v>0</v>
      </c>
      <c r="AA1936" s="8">
        <f t="shared" si="1031"/>
        <v>2576208.06</v>
      </c>
      <c r="AB1936" s="8">
        <f t="shared" si="1032"/>
        <v>0</v>
      </c>
    </row>
    <row r="1937" spans="1:28" x14ac:dyDescent="0.3">
      <c r="A1937" s="64"/>
      <c r="B1937" s="8"/>
      <c r="C1937" s="7" t="s">
        <v>539</v>
      </c>
      <c r="D1937" s="15" t="s">
        <v>68</v>
      </c>
      <c r="E1937" s="9">
        <v>571589.81000000006</v>
      </c>
      <c r="F1937" s="8"/>
      <c r="G1937" s="8"/>
      <c r="H1937" s="9">
        <f t="shared" si="1025"/>
        <v>0</v>
      </c>
      <c r="I1937" s="8"/>
      <c r="J1937" s="9">
        <f t="shared" si="1026"/>
        <v>0</v>
      </c>
      <c r="K1937" s="9">
        <v>571589.81000000006</v>
      </c>
      <c r="L1937" s="8"/>
      <c r="M1937" s="9">
        <f t="shared" si="1033"/>
        <v>0</v>
      </c>
      <c r="N1937" s="8">
        <v>571589.81000000006</v>
      </c>
      <c r="O1937" s="9"/>
      <c r="P1937" s="9">
        <f t="shared" si="1034"/>
        <v>571589.81000000006</v>
      </c>
      <c r="Q1937" s="9">
        <f t="shared" si="1027"/>
        <v>0</v>
      </c>
      <c r="R1937" s="17"/>
      <c r="S1937" s="17"/>
      <c r="T1937" s="17"/>
      <c r="U1937" s="18">
        <f t="shared" si="1028"/>
        <v>571589.81000000006</v>
      </c>
      <c r="V1937" s="17"/>
      <c r="W1937" s="17"/>
      <c r="X1937" s="9">
        <f t="shared" si="1029"/>
        <v>571589.81000000006</v>
      </c>
      <c r="Y1937" s="8"/>
      <c r="Z1937" s="9">
        <f t="shared" si="1030"/>
        <v>0</v>
      </c>
      <c r="AA1937" s="8">
        <f t="shared" si="1031"/>
        <v>571589.81000000006</v>
      </c>
      <c r="AB1937" s="8">
        <f t="shared" si="1032"/>
        <v>0</v>
      </c>
    </row>
    <row r="1938" spans="1:28" x14ac:dyDescent="0.3">
      <c r="A1938" s="64"/>
      <c r="B1938" s="8"/>
      <c r="C1938" s="7" t="s">
        <v>545</v>
      </c>
      <c r="D1938" s="15" t="s">
        <v>54</v>
      </c>
      <c r="E1938" s="9">
        <v>1767770</v>
      </c>
      <c r="F1938" s="8"/>
      <c r="G1938" s="8"/>
      <c r="H1938" s="9">
        <f t="shared" si="1025"/>
        <v>0</v>
      </c>
      <c r="I1938" s="8"/>
      <c r="J1938" s="9">
        <f t="shared" si="1026"/>
        <v>0</v>
      </c>
      <c r="K1938" s="9">
        <v>1767770</v>
      </c>
      <c r="L1938" s="8"/>
      <c r="M1938" s="9">
        <f t="shared" si="1033"/>
        <v>0</v>
      </c>
      <c r="N1938" s="8">
        <v>1767770</v>
      </c>
      <c r="O1938" s="9"/>
      <c r="P1938" s="9">
        <f t="shared" si="1034"/>
        <v>1767770</v>
      </c>
      <c r="Q1938" s="9">
        <f t="shared" si="1027"/>
        <v>0</v>
      </c>
      <c r="R1938" s="17"/>
      <c r="S1938" s="17"/>
      <c r="T1938" s="17"/>
      <c r="U1938" s="18">
        <f t="shared" si="1028"/>
        <v>1767770</v>
      </c>
      <c r="V1938" s="17"/>
      <c r="W1938" s="17"/>
      <c r="X1938" s="9">
        <f t="shared" si="1029"/>
        <v>1767770</v>
      </c>
      <c r="Y1938" s="8"/>
      <c r="Z1938" s="9">
        <f t="shared" si="1030"/>
        <v>0</v>
      </c>
      <c r="AA1938" s="8">
        <f t="shared" si="1031"/>
        <v>1767770</v>
      </c>
      <c r="AB1938" s="8">
        <f t="shared" si="1032"/>
        <v>0</v>
      </c>
    </row>
    <row r="1939" spans="1:28" x14ac:dyDescent="0.3">
      <c r="A1939" s="64"/>
      <c r="B1939" s="8"/>
      <c r="C1939" s="7" t="s">
        <v>794</v>
      </c>
      <c r="D1939" s="15" t="s">
        <v>54</v>
      </c>
      <c r="E1939" s="9">
        <f>3000000-150000-2159902.41</f>
        <v>690097.58999999985</v>
      </c>
      <c r="F1939" s="9">
        <v>690097.59</v>
      </c>
      <c r="G1939" s="8"/>
      <c r="H1939" s="9">
        <f t="shared" si="1025"/>
        <v>690097.59</v>
      </c>
      <c r="I1939" s="8"/>
      <c r="J1939" s="9">
        <f t="shared" si="1026"/>
        <v>690097.59</v>
      </c>
      <c r="K1939" s="8"/>
      <c r="L1939" s="8"/>
      <c r="M1939" s="9">
        <f t="shared" si="1033"/>
        <v>690097.59</v>
      </c>
      <c r="N1939" s="8"/>
      <c r="O1939" s="9"/>
      <c r="P1939" s="9">
        <f t="shared" si="1034"/>
        <v>0</v>
      </c>
      <c r="Q1939" s="9">
        <f t="shared" si="1027"/>
        <v>690097.58999999985</v>
      </c>
      <c r="R1939" s="17"/>
      <c r="S1939" s="17"/>
      <c r="T1939" s="17"/>
      <c r="U1939" s="18">
        <f t="shared" si="1028"/>
        <v>0</v>
      </c>
      <c r="V1939" s="17"/>
      <c r="W1939" s="17"/>
      <c r="X1939" s="9">
        <f t="shared" si="1029"/>
        <v>690097.59</v>
      </c>
      <c r="Y1939" s="8"/>
      <c r="Z1939" s="9">
        <f t="shared" si="1030"/>
        <v>0</v>
      </c>
      <c r="AA1939" s="8">
        <f t="shared" si="1031"/>
        <v>690097.59</v>
      </c>
      <c r="AB1939" s="8">
        <f t="shared" si="1032"/>
        <v>0</v>
      </c>
    </row>
    <row r="1940" spans="1:28" x14ac:dyDescent="0.3">
      <c r="A1940" s="64"/>
      <c r="B1940" s="8"/>
      <c r="C1940" s="7" t="s">
        <v>535</v>
      </c>
      <c r="D1940" s="15" t="s">
        <v>85</v>
      </c>
      <c r="E1940" s="9">
        <f>6630000-663000</f>
        <v>5967000</v>
      </c>
      <c r="F1940" s="9">
        <f>3198388+1370738+1397874</f>
        <v>5967000</v>
      </c>
      <c r="G1940" s="8"/>
      <c r="H1940" s="9">
        <f t="shared" si="1025"/>
        <v>5967000</v>
      </c>
      <c r="I1940" s="8"/>
      <c r="J1940" s="9">
        <f t="shared" si="1026"/>
        <v>5967000</v>
      </c>
      <c r="K1940" s="8"/>
      <c r="L1940" s="8"/>
      <c r="M1940" s="9">
        <f t="shared" si="1033"/>
        <v>5967000</v>
      </c>
      <c r="N1940" s="8"/>
      <c r="O1940" s="9"/>
      <c r="P1940" s="9">
        <f t="shared" si="1034"/>
        <v>0</v>
      </c>
      <c r="Q1940" s="9">
        <f t="shared" si="1027"/>
        <v>5967000</v>
      </c>
      <c r="R1940" s="17"/>
      <c r="S1940" s="17"/>
      <c r="T1940" s="17"/>
      <c r="U1940" s="18">
        <f t="shared" si="1028"/>
        <v>0</v>
      </c>
      <c r="V1940" s="17"/>
      <c r="W1940" s="17"/>
      <c r="X1940" s="9">
        <f t="shared" si="1029"/>
        <v>5967000</v>
      </c>
      <c r="Y1940" s="8"/>
      <c r="Z1940" s="9">
        <f t="shared" si="1030"/>
        <v>0</v>
      </c>
      <c r="AA1940" s="8">
        <f t="shared" si="1031"/>
        <v>5967000</v>
      </c>
      <c r="AB1940" s="8">
        <f t="shared" si="1032"/>
        <v>0</v>
      </c>
    </row>
    <row r="1941" spans="1:28" x14ac:dyDescent="0.3">
      <c r="A1941" s="64"/>
      <c r="B1941" s="8"/>
      <c r="C1941" s="7" t="s">
        <v>795</v>
      </c>
      <c r="D1941" s="15" t="s">
        <v>85</v>
      </c>
      <c r="E1941" s="9">
        <v>504851</v>
      </c>
      <c r="F1941" s="9">
        <v>504851</v>
      </c>
      <c r="G1941" s="8"/>
      <c r="H1941" s="9">
        <f t="shared" si="1025"/>
        <v>504851</v>
      </c>
      <c r="I1941" s="8"/>
      <c r="J1941" s="9">
        <f t="shared" si="1026"/>
        <v>504851</v>
      </c>
      <c r="K1941" s="8"/>
      <c r="L1941" s="8"/>
      <c r="M1941" s="9">
        <f t="shared" si="1033"/>
        <v>504851</v>
      </c>
      <c r="N1941" s="8"/>
      <c r="O1941" s="9"/>
      <c r="P1941" s="9">
        <f t="shared" si="1034"/>
        <v>0</v>
      </c>
      <c r="Q1941" s="9">
        <f t="shared" si="1027"/>
        <v>504851</v>
      </c>
      <c r="R1941" s="17"/>
      <c r="S1941" s="17"/>
      <c r="T1941" s="17"/>
      <c r="U1941" s="18">
        <f t="shared" si="1028"/>
        <v>0</v>
      </c>
      <c r="V1941" s="17"/>
      <c r="W1941" s="17"/>
      <c r="X1941" s="9">
        <f t="shared" si="1029"/>
        <v>504851</v>
      </c>
      <c r="Y1941" s="8"/>
      <c r="Z1941" s="9">
        <f t="shared" si="1030"/>
        <v>0</v>
      </c>
      <c r="AA1941" s="8">
        <f t="shared" si="1031"/>
        <v>504851</v>
      </c>
      <c r="AB1941" s="8">
        <f t="shared" si="1032"/>
        <v>0</v>
      </c>
    </row>
    <row r="1942" spans="1:28" x14ac:dyDescent="0.3">
      <c r="A1942" s="64"/>
      <c r="B1942" s="8"/>
      <c r="C1942" s="7" t="s">
        <v>535</v>
      </c>
      <c r="D1942" s="15" t="s">
        <v>88</v>
      </c>
      <c r="E1942" s="9">
        <f>2000000+2511454.7+2204997.27</f>
        <v>6716451.9700000007</v>
      </c>
      <c r="F1942" s="9">
        <f>2000000+2204997.27+2511454.7</f>
        <v>6716451.9699999997</v>
      </c>
      <c r="G1942" s="8"/>
      <c r="H1942" s="9">
        <f t="shared" si="1025"/>
        <v>6716451.9699999997</v>
      </c>
      <c r="I1942" s="8"/>
      <c r="J1942" s="9">
        <f t="shared" si="1026"/>
        <v>6716451.9699999997</v>
      </c>
      <c r="K1942" s="8"/>
      <c r="L1942" s="8"/>
      <c r="M1942" s="9">
        <f t="shared" si="1033"/>
        <v>6716451.9699999997</v>
      </c>
      <c r="N1942" s="8"/>
      <c r="O1942" s="9"/>
      <c r="P1942" s="9">
        <f t="shared" si="1034"/>
        <v>0</v>
      </c>
      <c r="Q1942" s="9">
        <f t="shared" si="1027"/>
        <v>6716451.9700000007</v>
      </c>
      <c r="R1942" s="17"/>
      <c r="S1942" s="17"/>
      <c r="T1942" s="17"/>
      <c r="U1942" s="18">
        <f t="shared" si="1028"/>
        <v>0</v>
      </c>
      <c r="V1942" s="17"/>
      <c r="W1942" s="17"/>
      <c r="X1942" s="9">
        <f t="shared" si="1029"/>
        <v>6716451.9699999997</v>
      </c>
      <c r="Y1942" s="8"/>
      <c r="Z1942" s="9">
        <f t="shared" si="1030"/>
        <v>0</v>
      </c>
      <c r="AA1942" s="8">
        <f t="shared" si="1031"/>
        <v>6716451.9699999997</v>
      </c>
      <c r="AB1942" s="8">
        <f t="shared" si="1032"/>
        <v>0</v>
      </c>
    </row>
    <row r="1943" spans="1:28" x14ac:dyDescent="0.3">
      <c r="A1943" s="64"/>
      <c r="B1943" s="8"/>
      <c r="C1943" s="7" t="s">
        <v>535</v>
      </c>
      <c r="D1943" s="15" t="s">
        <v>58</v>
      </c>
      <c r="E1943" s="9">
        <v>2500000</v>
      </c>
      <c r="F1943" s="9">
        <v>2500000</v>
      </c>
      <c r="G1943" s="8"/>
      <c r="H1943" s="9">
        <f t="shared" si="1025"/>
        <v>2500000</v>
      </c>
      <c r="I1943" s="8"/>
      <c r="J1943" s="9">
        <f t="shared" si="1026"/>
        <v>2500000</v>
      </c>
      <c r="K1943" s="8"/>
      <c r="L1943" s="8"/>
      <c r="M1943" s="9">
        <f t="shared" si="1033"/>
        <v>2500000</v>
      </c>
      <c r="N1943" s="8"/>
      <c r="O1943" s="9"/>
      <c r="P1943" s="9">
        <f t="shared" si="1034"/>
        <v>0</v>
      </c>
      <c r="Q1943" s="9">
        <f t="shared" si="1027"/>
        <v>2500000</v>
      </c>
      <c r="R1943" s="17"/>
      <c r="S1943" s="17"/>
      <c r="T1943" s="17"/>
      <c r="U1943" s="18">
        <f t="shared" si="1028"/>
        <v>0</v>
      </c>
      <c r="V1943" s="17"/>
      <c r="W1943" s="17"/>
      <c r="X1943" s="9">
        <f t="shared" si="1029"/>
        <v>2500000</v>
      </c>
      <c r="Y1943" s="8"/>
      <c r="Z1943" s="9">
        <f t="shared" si="1030"/>
        <v>0</v>
      </c>
      <c r="AA1943" s="8">
        <f t="shared" si="1031"/>
        <v>2500000</v>
      </c>
      <c r="AB1943" s="8">
        <f t="shared" si="1032"/>
        <v>0</v>
      </c>
    </row>
    <row r="1944" spans="1:28" x14ac:dyDescent="0.3">
      <c r="A1944" s="64"/>
      <c r="B1944" s="8"/>
      <c r="C1944" s="7" t="s">
        <v>535</v>
      </c>
      <c r="D1944" s="21" t="s">
        <v>60</v>
      </c>
      <c r="E1944" s="9">
        <f>676937+5649682+3938000</f>
        <v>10264619</v>
      </c>
      <c r="F1944" s="9">
        <f>676937+5649682+3938000</f>
        <v>10264619</v>
      </c>
      <c r="G1944" s="8"/>
      <c r="H1944" s="9">
        <f t="shared" si="1025"/>
        <v>10264619</v>
      </c>
      <c r="I1944" s="8"/>
      <c r="J1944" s="9">
        <f t="shared" si="1026"/>
        <v>10264619</v>
      </c>
      <c r="K1944" s="8"/>
      <c r="L1944" s="8"/>
      <c r="M1944" s="9">
        <f t="shared" si="1033"/>
        <v>10264619</v>
      </c>
      <c r="N1944" s="8"/>
      <c r="O1944" s="9"/>
      <c r="P1944" s="9">
        <f t="shared" si="1034"/>
        <v>0</v>
      </c>
      <c r="Q1944" s="9">
        <f t="shared" si="1027"/>
        <v>10264619</v>
      </c>
      <c r="R1944" s="17"/>
      <c r="S1944" s="17"/>
      <c r="T1944" s="17"/>
      <c r="U1944" s="18">
        <f t="shared" si="1028"/>
        <v>0</v>
      </c>
      <c r="V1944" s="17"/>
      <c r="W1944" s="17"/>
      <c r="X1944" s="9">
        <f t="shared" si="1029"/>
        <v>10264619</v>
      </c>
      <c r="Y1944" s="8"/>
      <c r="Z1944" s="9">
        <f t="shared" si="1030"/>
        <v>0</v>
      </c>
      <c r="AA1944" s="8">
        <f t="shared" si="1031"/>
        <v>10264619</v>
      </c>
      <c r="AB1944" s="8">
        <f t="shared" si="1032"/>
        <v>0</v>
      </c>
    </row>
    <row r="1945" spans="1:28" x14ac:dyDescent="0.3">
      <c r="A1945" s="64"/>
      <c r="B1945" s="8"/>
      <c r="C1945" s="7" t="s">
        <v>535</v>
      </c>
      <c r="D1945" s="21" t="s">
        <v>73</v>
      </c>
      <c r="E1945" s="9">
        <f>2719936+2873400+2228330+3214886.22</f>
        <v>11036552.220000001</v>
      </c>
      <c r="F1945" s="9">
        <f>2719936+2873400+2228330+3214886.22</f>
        <v>11036552.220000001</v>
      </c>
      <c r="G1945" s="8"/>
      <c r="H1945" s="9">
        <f t="shared" si="1025"/>
        <v>11036552.220000001</v>
      </c>
      <c r="I1945" s="8"/>
      <c r="J1945" s="9">
        <f t="shared" si="1026"/>
        <v>11036552.220000001</v>
      </c>
      <c r="K1945" s="8"/>
      <c r="L1945" s="8"/>
      <c r="M1945" s="9">
        <f t="shared" si="1033"/>
        <v>11036552.220000001</v>
      </c>
      <c r="N1945" s="8"/>
      <c r="O1945" s="9"/>
      <c r="P1945" s="9">
        <f t="shared" si="1034"/>
        <v>0</v>
      </c>
      <c r="Q1945" s="9">
        <f t="shared" si="1027"/>
        <v>11036552.220000001</v>
      </c>
      <c r="R1945" s="17"/>
      <c r="S1945" s="17"/>
      <c r="T1945" s="17"/>
      <c r="U1945" s="18">
        <f t="shared" si="1028"/>
        <v>0</v>
      </c>
      <c r="V1945" s="17"/>
      <c r="W1945" s="17"/>
      <c r="X1945" s="9">
        <f t="shared" si="1029"/>
        <v>11036552.220000001</v>
      </c>
      <c r="Y1945" s="8"/>
      <c r="Z1945" s="9">
        <f t="shared" si="1030"/>
        <v>0</v>
      </c>
      <c r="AA1945" s="8">
        <f t="shared" si="1031"/>
        <v>11036552.220000001</v>
      </c>
      <c r="AB1945" s="8">
        <f t="shared" si="1032"/>
        <v>0</v>
      </c>
    </row>
    <row r="1946" spans="1:28" x14ac:dyDescent="0.3">
      <c r="A1946" s="64"/>
      <c r="B1946" s="8"/>
      <c r="C1946" s="7" t="s">
        <v>535</v>
      </c>
      <c r="D1946" s="21" t="s">
        <v>61</v>
      </c>
      <c r="E1946" s="11">
        <v>10131026.99</v>
      </c>
      <c r="F1946" s="11">
        <v>10131026.99</v>
      </c>
      <c r="G1946" s="8"/>
      <c r="H1946" s="9">
        <f t="shared" si="1025"/>
        <v>10131026.99</v>
      </c>
      <c r="I1946" s="8"/>
      <c r="J1946" s="9">
        <f t="shared" si="1026"/>
        <v>10131026.99</v>
      </c>
      <c r="K1946" s="8"/>
      <c r="L1946" s="8"/>
      <c r="M1946" s="9">
        <f t="shared" si="1033"/>
        <v>10131026.99</v>
      </c>
      <c r="N1946" s="8"/>
      <c r="O1946" s="9"/>
      <c r="P1946" s="9">
        <f t="shared" si="1034"/>
        <v>0</v>
      </c>
      <c r="Q1946" s="9">
        <f t="shared" si="1027"/>
        <v>10131026.99</v>
      </c>
      <c r="R1946" s="17"/>
      <c r="S1946" s="17"/>
      <c r="T1946" s="17"/>
      <c r="U1946" s="18">
        <f t="shared" si="1028"/>
        <v>0</v>
      </c>
      <c r="V1946" s="17"/>
      <c r="W1946" s="17"/>
      <c r="X1946" s="9">
        <f t="shared" si="1029"/>
        <v>10131026.99</v>
      </c>
      <c r="Y1946" s="8"/>
      <c r="Z1946" s="9">
        <f t="shared" si="1030"/>
        <v>0</v>
      </c>
      <c r="AA1946" s="8">
        <f t="shared" si="1031"/>
        <v>10131026.99</v>
      </c>
      <c r="AB1946" s="8">
        <f t="shared" si="1032"/>
        <v>0</v>
      </c>
    </row>
    <row r="1947" spans="1:28" x14ac:dyDescent="0.3">
      <c r="A1947" s="64"/>
      <c r="B1947" s="8"/>
      <c r="C1947" s="7" t="s">
        <v>621</v>
      </c>
      <c r="D1947" s="21" t="s">
        <v>61</v>
      </c>
      <c r="E1947" s="11">
        <v>564000</v>
      </c>
      <c r="F1947" s="11">
        <v>564000</v>
      </c>
      <c r="G1947" s="8"/>
      <c r="H1947" s="9">
        <f t="shared" si="1025"/>
        <v>564000</v>
      </c>
      <c r="I1947" s="8"/>
      <c r="J1947" s="9">
        <f t="shared" si="1026"/>
        <v>564000</v>
      </c>
      <c r="K1947" s="8"/>
      <c r="L1947" s="8"/>
      <c r="M1947" s="9">
        <f t="shared" si="1033"/>
        <v>564000</v>
      </c>
      <c r="N1947" s="8"/>
      <c r="O1947" s="9"/>
      <c r="P1947" s="9">
        <f t="shared" si="1034"/>
        <v>0</v>
      </c>
      <c r="Q1947" s="9">
        <f t="shared" si="1027"/>
        <v>564000</v>
      </c>
      <c r="R1947" s="17"/>
      <c r="S1947" s="17"/>
      <c r="T1947" s="17"/>
      <c r="U1947" s="18">
        <f t="shared" si="1028"/>
        <v>0</v>
      </c>
      <c r="V1947" s="17"/>
      <c r="W1947" s="17"/>
      <c r="X1947" s="9">
        <f t="shared" si="1029"/>
        <v>564000</v>
      </c>
      <c r="Y1947" s="8"/>
      <c r="Z1947" s="9">
        <f t="shared" si="1030"/>
        <v>0</v>
      </c>
      <c r="AA1947" s="8">
        <f t="shared" si="1031"/>
        <v>564000</v>
      </c>
      <c r="AB1947" s="8">
        <f t="shared" si="1032"/>
        <v>0</v>
      </c>
    </row>
    <row r="1948" spans="1:28" x14ac:dyDescent="0.3">
      <c r="A1948" s="64"/>
      <c r="B1948" s="8"/>
      <c r="C1948" s="13" t="s">
        <v>933</v>
      </c>
      <c r="D1948" s="24" t="s">
        <v>1072</v>
      </c>
      <c r="E1948" s="11">
        <f>5427608.81+6070304.82</f>
        <v>11497913.629999999</v>
      </c>
      <c r="F1948" s="11">
        <f>5427608.81+6070304.82</f>
        <v>11497913.629999999</v>
      </c>
      <c r="G1948" s="8"/>
      <c r="H1948" s="9">
        <f>+F1948+G1948</f>
        <v>11497913.629999999</v>
      </c>
      <c r="I1948" s="8"/>
      <c r="J1948" s="9">
        <f t="shared" si="1026"/>
        <v>11497913.629999999</v>
      </c>
      <c r="K1948" s="8"/>
      <c r="L1948" s="8"/>
      <c r="M1948" s="9">
        <f t="shared" si="1033"/>
        <v>11497913.629999999</v>
      </c>
      <c r="N1948" s="8"/>
      <c r="O1948" s="9"/>
      <c r="P1948" s="9">
        <v>0</v>
      </c>
      <c r="Q1948" s="9"/>
      <c r="R1948" s="17"/>
      <c r="S1948" s="17"/>
      <c r="T1948" s="17"/>
      <c r="U1948" s="18">
        <f>+P1948+T1948</f>
        <v>0</v>
      </c>
      <c r="V1948" s="17"/>
      <c r="W1948" s="17"/>
      <c r="X1948" s="9">
        <f t="shared" si="1029"/>
        <v>11497913.629999999</v>
      </c>
      <c r="Y1948" s="8"/>
      <c r="Z1948" s="9">
        <f t="shared" si="1030"/>
        <v>0</v>
      </c>
      <c r="AA1948" s="8">
        <f t="shared" si="1031"/>
        <v>11497913.629999999</v>
      </c>
      <c r="AB1948" s="8">
        <f t="shared" si="1032"/>
        <v>0</v>
      </c>
    </row>
    <row r="1949" spans="1:28" x14ac:dyDescent="0.3">
      <c r="A1949" s="64"/>
      <c r="B1949" s="8"/>
      <c r="C1949" s="7" t="s">
        <v>1173</v>
      </c>
      <c r="D1949" s="24" t="s">
        <v>1126</v>
      </c>
      <c r="E1949" s="11">
        <v>5361817.8600000003</v>
      </c>
      <c r="F1949" s="8">
        <v>5361817.8600000003</v>
      </c>
      <c r="G1949" s="8"/>
      <c r="H1949" s="9">
        <f>+F1949+G1949</f>
        <v>5361817.8600000003</v>
      </c>
      <c r="I1949" s="8"/>
      <c r="J1949" s="9">
        <f t="shared" si="1026"/>
        <v>5361817.8600000003</v>
      </c>
      <c r="K1949" s="8"/>
      <c r="L1949" s="8"/>
      <c r="M1949" s="9">
        <f t="shared" si="1033"/>
        <v>5361817.8600000003</v>
      </c>
      <c r="N1949" s="8"/>
      <c r="O1949" s="9"/>
      <c r="P1949" s="9">
        <f>+N1949+O1949</f>
        <v>0</v>
      </c>
      <c r="Q1949" s="9"/>
      <c r="R1949" s="17"/>
      <c r="S1949" s="17"/>
      <c r="T1949" s="17"/>
      <c r="U1949" s="18">
        <f>+P1949+T1949</f>
        <v>0</v>
      </c>
      <c r="V1949" s="17"/>
      <c r="W1949" s="17"/>
      <c r="X1949" s="9">
        <f>+H1949+P1949</f>
        <v>5361817.8600000003</v>
      </c>
      <c r="Y1949" s="8"/>
      <c r="Z1949" s="9">
        <f>+E1949-X1949</f>
        <v>0</v>
      </c>
      <c r="AA1949" s="8">
        <f>+M1949+U1949</f>
        <v>5361817.8600000003</v>
      </c>
      <c r="AB1949" s="8">
        <f>+E1949-AA1949</f>
        <v>0</v>
      </c>
    </row>
    <row r="1950" spans="1:28" x14ac:dyDescent="0.3">
      <c r="A1950" s="64"/>
      <c r="B1950" s="8"/>
      <c r="C1950" s="7" t="s">
        <v>1245</v>
      </c>
      <c r="D1950" s="24" t="s">
        <v>1225</v>
      </c>
      <c r="E1950" s="11">
        <v>4958068.9800000004</v>
      </c>
      <c r="F1950" s="8"/>
      <c r="G1950" s="8">
        <v>4958068.9800000004</v>
      </c>
      <c r="H1950" s="9">
        <f>+F1950+G1950</f>
        <v>4958068.9800000004</v>
      </c>
      <c r="I1950" s="8"/>
      <c r="J1950" s="9"/>
      <c r="K1950" s="8"/>
      <c r="L1950" s="8"/>
      <c r="M1950" s="9">
        <f>+H1950+L1950</f>
        <v>4958068.9800000004</v>
      </c>
      <c r="N1950" s="8"/>
      <c r="O1950" s="9"/>
      <c r="P1950" s="9">
        <f>+N1950+O1950</f>
        <v>0</v>
      </c>
      <c r="Q1950" s="9"/>
      <c r="R1950" s="17"/>
      <c r="S1950" s="17"/>
      <c r="T1950" s="17"/>
      <c r="U1950" s="18">
        <f>+P1950+T1950</f>
        <v>0</v>
      </c>
      <c r="V1950" s="17"/>
      <c r="W1950" s="17"/>
      <c r="X1950" s="9">
        <f>+H1950+P1950</f>
        <v>4958068.9800000004</v>
      </c>
      <c r="Y1950" s="8"/>
      <c r="Z1950" s="9">
        <f>+E1950-X1950</f>
        <v>0</v>
      </c>
      <c r="AA1950" s="8">
        <f>+M1950+U1950</f>
        <v>4958068.9800000004</v>
      </c>
      <c r="AB1950" s="8">
        <f>+E1950-AA1950</f>
        <v>0</v>
      </c>
    </row>
    <row r="1951" spans="1:28" x14ac:dyDescent="0.3">
      <c r="A1951" s="64"/>
      <c r="B1951" s="8"/>
      <c r="C1951" s="7" t="s">
        <v>598</v>
      </c>
      <c r="D1951" s="8"/>
      <c r="E1951" s="9">
        <v>70762.2</v>
      </c>
      <c r="F1951" s="9">
        <v>70762.2</v>
      </c>
      <c r="G1951" s="8"/>
      <c r="H1951" s="9">
        <f t="shared" si="1025"/>
        <v>70762.2</v>
      </c>
      <c r="I1951" s="8"/>
      <c r="J1951" s="9">
        <f t="shared" si="1026"/>
        <v>70762.2</v>
      </c>
      <c r="K1951" s="8"/>
      <c r="L1951" s="8"/>
      <c r="M1951" s="9">
        <f t="shared" si="1033"/>
        <v>70762.2</v>
      </c>
      <c r="N1951" s="8"/>
      <c r="O1951" s="9"/>
      <c r="P1951" s="9">
        <f t="shared" si="1034"/>
        <v>0</v>
      </c>
      <c r="Q1951" s="9">
        <f t="shared" si="1027"/>
        <v>70762.2</v>
      </c>
      <c r="R1951" s="17"/>
      <c r="S1951" s="17"/>
      <c r="T1951" s="17"/>
      <c r="U1951" s="18">
        <f t="shared" si="1028"/>
        <v>0</v>
      </c>
      <c r="V1951" s="17"/>
      <c r="W1951" s="17"/>
      <c r="X1951" s="9">
        <f t="shared" si="1029"/>
        <v>70762.2</v>
      </c>
      <c r="Y1951" s="8"/>
      <c r="Z1951" s="9">
        <f t="shared" si="1030"/>
        <v>0</v>
      </c>
      <c r="AA1951" s="8">
        <f t="shared" si="1031"/>
        <v>70762.2</v>
      </c>
      <c r="AB1951" s="8">
        <f t="shared" si="1032"/>
        <v>0</v>
      </c>
    </row>
    <row r="1952" spans="1:28" x14ac:dyDescent="0.3">
      <c r="A1952" s="64"/>
      <c r="B1952" s="8"/>
      <c r="C1952" s="7" t="s">
        <v>550</v>
      </c>
      <c r="D1952" s="8"/>
      <c r="E1952" s="9">
        <v>1338381</v>
      </c>
      <c r="F1952" s="9">
        <v>1338381</v>
      </c>
      <c r="G1952" s="8"/>
      <c r="H1952" s="9">
        <f t="shared" si="1025"/>
        <v>1338381</v>
      </c>
      <c r="I1952" s="8"/>
      <c r="J1952" s="9">
        <f t="shared" si="1026"/>
        <v>1338381</v>
      </c>
      <c r="K1952" s="8"/>
      <c r="L1952" s="8"/>
      <c r="M1952" s="9">
        <f t="shared" si="1033"/>
        <v>1338381</v>
      </c>
      <c r="N1952" s="8"/>
      <c r="O1952" s="9"/>
      <c r="P1952" s="9">
        <f t="shared" si="1034"/>
        <v>0</v>
      </c>
      <c r="Q1952" s="9">
        <f t="shared" si="1027"/>
        <v>1338381</v>
      </c>
      <c r="R1952" s="17"/>
      <c r="S1952" s="17"/>
      <c r="T1952" s="17"/>
      <c r="U1952" s="18">
        <f t="shared" si="1028"/>
        <v>0</v>
      </c>
      <c r="V1952" s="17"/>
      <c r="W1952" s="17"/>
      <c r="X1952" s="9">
        <f t="shared" si="1029"/>
        <v>1338381</v>
      </c>
      <c r="Y1952" s="8"/>
      <c r="Z1952" s="9">
        <f t="shared" si="1030"/>
        <v>0</v>
      </c>
      <c r="AA1952" s="8">
        <f t="shared" si="1031"/>
        <v>1338381</v>
      </c>
      <c r="AB1952" s="8">
        <f t="shared" si="1032"/>
        <v>0</v>
      </c>
    </row>
    <row r="1953" spans="1:28" x14ac:dyDescent="0.3">
      <c r="A1953" s="64"/>
      <c r="B1953" s="8"/>
      <c r="C1953" s="7" t="s">
        <v>606</v>
      </c>
      <c r="D1953" s="8"/>
      <c r="E1953" s="9">
        <v>2500000</v>
      </c>
      <c r="F1953" s="9">
        <v>2500000</v>
      </c>
      <c r="G1953" s="8"/>
      <c r="H1953" s="9">
        <f t="shared" si="1025"/>
        <v>2500000</v>
      </c>
      <c r="I1953" s="8"/>
      <c r="J1953" s="9">
        <f t="shared" si="1026"/>
        <v>2500000</v>
      </c>
      <c r="K1953" s="8"/>
      <c r="L1953" s="8"/>
      <c r="M1953" s="9">
        <f t="shared" si="1033"/>
        <v>2500000</v>
      </c>
      <c r="N1953" s="8"/>
      <c r="O1953" s="9"/>
      <c r="P1953" s="9">
        <f t="shared" si="1034"/>
        <v>0</v>
      </c>
      <c r="Q1953" s="9">
        <f t="shared" si="1027"/>
        <v>2500000</v>
      </c>
      <c r="R1953" s="17"/>
      <c r="S1953" s="17"/>
      <c r="T1953" s="17"/>
      <c r="U1953" s="18">
        <f t="shared" si="1028"/>
        <v>0</v>
      </c>
      <c r="V1953" s="17"/>
      <c r="W1953" s="17"/>
      <c r="X1953" s="9">
        <f t="shared" si="1029"/>
        <v>2500000</v>
      </c>
      <c r="Y1953" s="8"/>
      <c r="Z1953" s="9">
        <f t="shared" si="1030"/>
        <v>0</v>
      </c>
      <c r="AA1953" s="8">
        <f t="shared" si="1031"/>
        <v>2500000</v>
      </c>
      <c r="AB1953" s="8">
        <f t="shared" si="1032"/>
        <v>0</v>
      </c>
    </row>
    <row r="1954" spans="1:28" x14ac:dyDescent="0.3">
      <c r="A1954" s="64"/>
      <c r="B1954" s="8"/>
      <c r="C1954" s="8"/>
      <c r="D1954" s="8"/>
      <c r="E1954" s="17" t="s">
        <v>29</v>
      </c>
      <c r="F1954" s="17" t="s">
        <v>29</v>
      </c>
      <c r="G1954" s="17" t="s">
        <v>29</v>
      </c>
      <c r="H1954" s="17" t="s">
        <v>29</v>
      </c>
      <c r="I1954" s="17" t="s">
        <v>29</v>
      </c>
      <c r="J1954" s="17" t="s">
        <v>29</v>
      </c>
      <c r="K1954" s="17" t="s">
        <v>29</v>
      </c>
      <c r="L1954" s="17" t="s">
        <v>29</v>
      </c>
      <c r="M1954" s="17" t="s">
        <v>29</v>
      </c>
      <c r="N1954" s="17" t="s">
        <v>29</v>
      </c>
      <c r="O1954" s="17" t="s">
        <v>29</v>
      </c>
      <c r="P1954" s="17" t="s">
        <v>29</v>
      </c>
      <c r="Q1954" s="17" t="s">
        <v>29</v>
      </c>
      <c r="R1954" s="17"/>
      <c r="S1954" s="17"/>
      <c r="T1954" s="17"/>
      <c r="U1954" s="17" t="s">
        <v>29</v>
      </c>
      <c r="V1954" s="17"/>
      <c r="W1954" s="17"/>
      <c r="X1954" s="17"/>
      <c r="Y1954" s="17"/>
      <c r="Z1954" s="17"/>
      <c r="AA1954" s="17" t="s">
        <v>29</v>
      </c>
      <c r="AB1954" s="17" t="s">
        <v>29</v>
      </c>
    </row>
    <row r="1955" spans="1:28" x14ac:dyDescent="0.3">
      <c r="A1955" s="64"/>
      <c r="B1955" s="8"/>
      <c r="C1955" s="8"/>
      <c r="D1955" s="8"/>
      <c r="E1955" s="9">
        <f t="shared" ref="E1955:Q1955" si="1035">SUM(E1929:E1954)</f>
        <v>108270530.36</v>
      </c>
      <c r="F1955" s="9">
        <f t="shared" si="1035"/>
        <v>97004348.399999991</v>
      </c>
      <c r="G1955" s="9">
        <f t="shared" si="1035"/>
        <v>4958068.9800000004</v>
      </c>
      <c r="H1955" s="9">
        <f t="shared" si="1035"/>
        <v>101962417.38</v>
      </c>
      <c r="I1955" s="9">
        <f t="shared" si="1035"/>
        <v>0</v>
      </c>
      <c r="J1955" s="9">
        <f t="shared" si="1035"/>
        <v>97004348.399999991</v>
      </c>
      <c r="K1955" s="9">
        <f t="shared" si="1035"/>
        <v>6308112.9800000004</v>
      </c>
      <c r="L1955" s="9">
        <f t="shared" si="1035"/>
        <v>0</v>
      </c>
      <c r="M1955" s="9">
        <f t="shared" si="1035"/>
        <v>101962417.38</v>
      </c>
      <c r="N1955" s="9">
        <f t="shared" si="1035"/>
        <v>6308112.9800000004</v>
      </c>
      <c r="O1955" s="9">
        <f t="shared" si="1035"/>
        <v>0</v>
      </c>
      <c r="P1955" s="9">
        <f t="shared" si="1035"/>
        <v>6308112.9800000004</v>
      </c>
      <c r="Q1955" s="9">
        <f t="shared" si="1035"/>
        <v>80144616.909999996</v>
      </c>
      <c r="R1955" s="17"/>
      <c r="S1955" s="17"/>
      <c r="T1955" s="9">
        <f t="shared" ref="T1955:Z1955" si="1036">SUM(T1929:T1954)</f>
        <v>0</v>
      </c>
      <c r="U1955" s="9">
        <f t="shared" si="1036"/>
        <v>6308112.9800000004</v>
      </c>
      <c r="V1955" s="9">
        <f t="shared" si="1036"/>
        <v>0</v>
      </c>
      <c r="W1955" s="9">
        <f t="shared" si="1036"/>
        <v>0</v>
      </c>
      <c r="X1955" s="9">
        <f t="shared" si="1036"/>
        <v>108270530.36</v>
      </c>
      <c r="Y1955" s="9">
        <f t="shared" si="1036"/>
        <v>0</v>
      </c>
      <c r="Z1955" s="9">
        <f t="shared" si="1036"/>
        <v>0</v>
      </c>
      <c r="AA1955" s="9">
        <f>SUM(AA1929:AA1954)</f>
        <v>108270530.36</v>
      </c>
      <c r="AB1955" s="9">
        <f>SUM(AB1929:AB1954)</f>
        <v>0</v>
      </c>
    </row>
    <row r="1956" spans="1:28" x14ac:dyDescent="0.3">
      <c r="A1956" s="64"/>
      <c r="B1956" s="8"/>
      <c r="C1956" s="8"/>
      <c r="D1956" s="8"/>
      <c r="E1956" s="17" t="s">
        <v>29</v>
      </c>
      <c r="F1956" s="17" t="s">
        <v>29</v>
      </c>
      <c r="G1956" s="17" t="s">
        <v>29</v>
      </c>
      <c r="H1956" s="17" t="s">
        <v>29</v>
      </c>
      <c r="I1956" s="17" t="s">
        <v>29</v>
      </c>
      <c r="J1956" s="17" t="s">
        <v>29</v>
      </c>
      <c r="K1956" s="17" t="s">
        <v>29</v>
      </c>
      <c r="L1956" s="17" t="s">
        <v>29</v>
      </c>
      <c r="M1956" s="17" t="s">
        <v>29</v>
      </c>
      <c r="N1956" s="17" t="s">
        <v>29</v>
      </c>
      <c r="O1956" s="17" t="s">
        <v>29</v>
      </c>
      <c r="P1956" s="17" t="s">
        <v>29</v>
      </c>
      <c r="Q1956" s="17" t="s">
        <v>29</v>
      </c>
      <c r="R1956" s="17"/>
      <c r="S1956" s="17"/>
      <c r="T1956" s="17"/>
      <c r="U1956" s="17" t="s">
        <v>29</v>
      </c>
      <c r="V1956" s="17"/>
      <c r="W1956" s="17"/>
      <c r="X1956" s="17"/>
      <c r="Y1956" s="17"/>
      <c r="Z1956" s="17"/>
      <c r="AA1956" s="17" t="s">
        <v>29</v>
      </c>
      <c r="AB1956" s="17" t="s">
        <v>29</v>
      </c>
    </row>
    <row r="1957" spans="1:28" x14ac:dyDescent="0.3">
      <c r="A1957" s="63" t="s">
        <v>1022</v>
      </c>
      <c r="B1957" s="7" t="s">
        <v>796</v>
      </c>
      <c r="C1957" s="8"/>
      <c r="D1957" s="8"/>
      <c r="E1957" s="8"/>
      <c r="F1957" s="8"/>
      <c r="G1957" s="8"/>
      <c r="H1957" s="8"/>
      <c r="I1957" s="8"/>
      <c r="J1957" s="8"/>
      <c r="K1957" s="8"/>
      <c r="L1957" s="8"/>
      <c r="M1957" s="8"/>
      <c r="N1957" s="8"/>
      <c r="O1957" s="8"/>
      <c r="P1957" s="8"/>
      <c r="Q1957" s="8"/>
      <c r="R1957" s="17"/>
      <c r="S1957" s="17"/>
      <c r="T1957" s="17"/>
      <c r="U1957" s="17"/>
      <c r="V1957" s="17"/>
      <c r="W1957" s="17"/>
      <c r="X1957" s="17"/>
      <c r="Y1957" s="17"/>
      <c r="Z1957" s="17"/>
    </row>
    <row r="1958" spans="1:28" x14ac:dyDescent="0.3">
      <c r="A1958" s="64"/>
      <c r="B1958" s="8"/>
      <c r="C1958" s="7" t="s">
        <v>797</v>
      </c>
      <c r="D1958" s="15" t="s">
        <v>166</v>
      </c>
      <c r="E1958" s="9">
        <v>1888418.87</v>
      </c>
      <c r="F1958" s="9">
        <v>1888418.87</v>
      </c>
      <c r="G1958" s="8"/>
      <c r="H1958" s="9">
        <f t="shared" ref="H1958:H1969" si="1037">F1958+G1958</f>
        <v>1888418.87</v>
      </c>
      <c r="I1958" s="8"/>
      <c r="J1958" s="9">
        <f t="shared" ref="J1958:J1969" si="1038">H1958+I1958</f>
        <v>1888418.87</v>
      </c>
      <c r="K1958" s="8"/>
      <c r="L1958" s="8"/>
      <c r="M1958" s="9">
        <f>+H1958+L1958</f>
        <v>1888418.87</v>
      </c>
      <c r="N1958" s="8"/>
      <c r="O1958" s="9"/>
      <c r="P1958" s="9">
        <f>+N1958+O1958</f>
        <v>0</v>
      </c>
      <c r="Q1958" s="9">
        <f t="shared" ref="Q1958:Q1969" si="1039">E1958-P1958</f>
        <v>1888418.87</v>
      </c>
      <c r="R1958" s="17"/>
      <c r="S1958" s="17"/>
      <c r="T1958" s="17"/>
      <c r="U1958" s="18">
        <f t="shared" ref="U1958:U1969" si="1040">+P1958+T1958</f>
        <v>0</v>
      </c>
      <c r="V1958" s="17"/>
      <c r="W1958" s="17"/>
      <c r="X1958" s="9">
        <f t="shared" ref="X1958:X1969" si="1041">+H1958+P1958</f>
        <v>1888418.87</v>
      </c>
      <c r="Y1958" s="8"/>
      <c r="Z1958" s="9">
        <f t="shared" ref="Z1958:Z1969" si="1042">+E1958-X1958</f>
        <v>0</v>
      </c>
      <c r="AA1958" s="8">
        <f t="shared" ref="AA1958:AA1969" si="1043">+M1958+U1958</f>
        <v>1888418.87</v>
      </c>
      <c r="AB1958" s="8">
        <f t="shared" ref="AB1958:AB1969" si="1044">+E1958-AA1958</f>
        <v>0</v>
      </c>
    </row>
    <row r="1959" spans="1:28" x14ac:dyDescent="0.3">
      <c r="A1959" s="64"/>
      <c r="B1959" s="8"/>
      <c r="C1959" s="7" t="s">
        <v>535</v>
      </c>
      <c r="D1959" s="15" t="s">
        <v>68</v>
      </c>
      <c r="E1959" s="9">
        <f>1614050-853408.6</f>
        <v>760641.4</v>
      </c>
      <c r="F1959" s="8"/>
      <c r="G1959" s="8"/>
      <c r="H1959" s="9">
        <f t="shared" si="1037"/>
        <v>0</v>
      </c>
      <c r="I1959" s="8"/>
      <c r="J1959" s="9">
        <f t="shared" si="1038"/>
        <v>0</v>
      </c>
      <c r="K1959" s="9">
        <v>760641.4</v>
      </c>
      <c r="L1959" s="8"/>
      <c r="M1959" s="9">
        <f t="shared" ref="M1959:M1969" si="1045">+H1959+L1959</f>
        <v>0</v>
      </c>
      <c r="N1959" s="8">
        <v>760641.4</v>
      </c>
      <c r="O1959" s="9"/>
      <c r="P1959" s="9">
        <f t="shared" ref="P1959:P1969" si="1046">+N1959+O1959</f>
        <v>760641.4</v>
      </c>
      <c r="Q1959" s="9">
        <f t="shared" si="1039"/>
        <v>0</v>
      </c>
      <c r="R1959" s="17"/>
      <c r="S1959" s="17"/>
      <c r="T1959" s="17"/>
      <c r="U1959" s="18">
        <f t="shared" si="1040"/>
        <v>760641.4</v>
      </c>
      <c r="V1959" s="17"/>
      <c r="W1959" s="17"/>
      <c r="X1959" s="9">
        <f t="shared" si="1041"/>
        <v>760641.4</v>
      </c>
      <c r="Y1959" s="8"/>
      <c r="Z1959" s="9">
        <f t="shared" si="1042"/>
        <v>0</v>
      </c>
      <c r="AA1959" s="8">
        <f t="shared" si="1043"/>
        <v>760641.4</v>
      </c>
      <c r="AB1959" s="8">
        <f t="shared" si="1044"/>
        <v>0</v>
      </c>
    </row>
    <row r="1960" spans="1:28" x14ac:dyDescent="0.3">
      <c r="A1960" s="64"/>
      <c r="B1960" s="8"/>
      <c r="C1960" s="7" t="s">
        <v>535</v>
      </c>
      <c r="D1960" s="15" t="s">
        <v>54</v>
      </c>
      <c r="E1960" s="9">
        <f>1052000-52600</f>
        <v>999400</v>
      </c>
      <c r="F1960" s="9">
        <v>999400</v>
      </c>
      <c r="G1960" s="8"/>
      <c r="H1960" s="9">
        <f t="shared" si="1037"/>
        <v>999400</v>
      </c>
      <c r="I1960" s="8"/>
      <c r="J1960" s="9">
        <f t="shared" si="1038"/>
        <v>999400</v>
      </c>
      <c r="K1960" s="8"/>
      <c r="L1960" s="8"/>
      <c r="M1960" s="9">
        <f t="shared" si="1045"/>
        <v>999400</v>
      </c>
      <c r="N1960" s="8"/>
      <c r="O1960" s="9"/>
      <c r="P1960" s="9">
        <f t="shared" si="1046"/>
        <v>0</v>
      </c>
      <c r="Q1960" s="9">
        <f t="shared" si="1039"/>
        <v>999400</v>
      </c>
      <c r="R1960" s="17"/>
      <c r="S1960" s="17"/>
      <c r="T1960" s="17"/>
      <c r="U1960" s="18">
        <f t="shared" si="1040"/>
        <v>0</v>
      </c>
      <c r="V1960" s="17"/>
      <c r="W1960" s="17"/>
      <c r="X1960" s="9">
        <f t="shared" si="1041"/>
        <v>999400</v>
      </c>
      <c r="Y1960" s="8"/>
      <c r="Z1960" s="9">
        <f t="shared" si="1042"/>
        <v>0</v>
      </c>
      <c r="AA1960" s="8">
        <f t="shared" si="1043"/>
        <v>999400</v>
      </c>
      <c r="AB1960" s="8">
        <f t="shared" si="1044"/>
        <v>0</v>
      </c>
    </row>
    <row r="1961" spans="1:28" x14ac:dyDescent="0.3">
      <c r="A1961" s="64"/>
      <c r="B1961" s="8"/>
      <c r="C1961" s="7" t="s">
        <v>545</v>
      </c>
      <c r="D1961" s="15" t="s">
        <v>54</v>
      </c>
      <c r="E1961" s="9">
        <v>570941</v>
      </c>
      <c r="F1961" s="8"/>
      <c r="G1961" s="8"/>
      <c r="H1961" s="9">
        <f t="shared" si="1037"/>
        <v>0</v>
      </c>
      <c r="I1961" s="8"/>
      <c r="J1961" s="9">
        <f t="shared" si="1038"/>
        <v>0</v>
      </c>
      <c r="K1961" s="9">
        <v>570941</v>
      </c>
      <c r="L1961" s="8"/>
      <c r="M1961" s="9">
        <f t="shared" si="1045"/>
        <v>0</v>
      </c>
      <c r="N1961" s="8">
        <v>570941</v>
      </c>
      <c r="O1961" s="9"/>
      <c r="P1961" s="9">
        <f t="shared" si="1046"/>
        <v>570941</v>
      </c>
      <c r="Q1961" s="9">
        <f t="shared" si="1039"/>
        <v>0</v>
      </c>
      <c r="R1961" s="17"/>
      <c r="S1961" s="17"/>
      <c r="T1961" s="17"/>
      <c r="U1961" s="18">
        <f t="shared" si="1040"/>
        <v>570941</v>
      </c>
      <c r="V1961" s="17"/>
      <c r="W1961" s="17"/>
      <c r="X1961" s="9">
        <f t="shared" si="1041"/>
        <v>570941</v>
      </c>
      <c r="Y1961" s="8"/>
      <c r="Z1961" s="9">
        <f t="shared" si="1042"/>
        <v>0</v>
      </c>
      <c r="AA1961" s="8">
        <f t="shared" si="1043"/>
        <v>570941</v>
      </c>
      <c r="AB1961" s="8">
        <f t="shared" si="1044"/>
        <v>0</v>
      </c>
    </row>
    <row r="1962" spans="1:28" x14ac:dyDescent="0.3">
      <c r="A1962" s="64"/>
      <c r="B1962" s="8"/>
      <c r="C1962" s="7" t="s">
        <v>535</v>
      </c>
      <c r="D1962" s="15" t="s">
        <v>128</v>
      </c>
      <c r="E1962" s="9">
        <v>701018</v>
      </c>
      <c r="F1962" s="9">
        <v>701018</v>
      </c>
      <c r="G1962" s="8"/>
      <c r="H1962" s="9">
        <f t="shared" si="1037"/>
        <v>701018</v>
      </c>
      <c r="I1962" s="8"/>
      <c r="J1962" s="9">
        <f t="shared" si="1038"/>
        <v>701018</v>
      </c>
      <c r="K1962" s="8"/>
      <c r="L1962" s="8"/>
      <c r="M1962" s="9">
        <f t="shared" si="1045"/>
        <v>701018</v>
      </c>
      <c r="N1962" s="8"/>
      <c r="O1962" s="9"/>
      <c r="P1962" s="9">
        <f t="shared" si="1046"/>
        <v>0</v>
      </c>
      <c r="Q1962" s="9">
        <f t="shared" si="1039"/>
        <v>701018</v>
      </c>
      <c r="R1962" s="17"/>
      <c r="S1962" s="17"/>
      <c r="T1962" s="17"/>
      <c r="U1962" s="18">
        <f t="shared" si="1040"/>
        <v>0</v>
      </c>
      <c r="V1962" s="17"/>
      <c r="W1962" s="17"/>
      <c r="X1962" s="9">
        <f t="shared" si="1041"/>
        <v>701018</v>
      </c>
      <c r="Y1962" s="8"/>
      <c r="Z1962" s="9">
        <f t="shared" si="1042"/>
        <v>0</v>
      </c>
      <c r="AA1962" s="8">
        <f t="shared" si="1043"/>
        <v>701018</v>
      </c>
      <c r="AB1962" s="8">
        <f t="shared" si="1044"/>
        <v>0</v>
      </c>
    </row>
    <row r="1963" spans="1:28" x14ac:dyDescent="0.3">
      <c r="A1963" s="64"/>
      <c r="B1963" s="8"/>
      <c r="C1963" s="7" t="s">
        <v>535</v>
      </c>
      <c r="D1963" s="15" t="s">
        <v>88</v>
      </c>
      <c r="E1963" s="9">
        <v>1251159</v>
      </c>
      <c r="F1963" s="9">
        <v>1251159</v>
      </c>
      <c r="G1963" s="8"/>
      <c r="H1963" s="9">
        <f t="shared" si="1037"/>
        <v>1251159</v>
      </c>
      <c r="I1963" s="8"/>
      <c r="J1963" s="9">
        <f t="shared" si="1038"/>
        <v>1251159</v>
      </c>
      <c r="K1963" s="8"/>
      <c r="L1963" s="8"/>
      <c r="M1963" s="9">
        <f t="shared" si="1045"/>
        <v>1251159</v>
      </c>
      <c r="N1963" s="8"/>
      <c r="O1963" s="9"/>
      <c r="P1963" s="9">
        <f t="shared" si="1046"/>
        <v>0</v>
      </c>
      <c r="Q1963" s="9">
        <f t="shared" si="1039"/>
        <v>1251159</v>
      </c>
      <c r="R1963" s="17"/>
      <c r="S1963" s="17"/>
      <c r="T1963" s="17"/>
      <c r="U1963" s="18">
        <f t="shared" si="1040"/>
        <v>0</v>
      </c>
      <c r="V1963" s="17"/>
      <c r="W1963" s="17"/>
      <c r="X1963" s="9">
        <f t="shared" si="1041"/>
        <v>1251159</v>
      </c>
      <c r="Y1963" s="8"/>
      <c r="Z1963" s="9">
        <f t="shared" si="1042"/>
        <v>0</v>
      </c>
      <c r="AA1963" s="8">
        <f t="shared" si="1043"/>
        <v>1251159</v>
      </c>
      <c r="AB1963" s="8">
        <f t="shared" si="1044"/>
        <v>0</v>
      </c>
    </row>
    <row r="1964" spans="1:28" x14ac:dyDescent="0.3">
      <c r="A1964" s="64"/>
      <c r="B1964" s="8"/>
      <c r="C1964" s="7" t="s">
        <v>535</v>
      </c>
      <c r="D1964" s="15" t="s">
        <v>108</v>
      </c>
      <c r="E1964" s="9">
        <v>3010997.78</v>
      </c>
      <c r="F1964" s="9">
        <v>3010997.78</v>
      </c>
      <c r="G1964" s="8"/>
      <c r="H1964" s="9">
        <f t="shared" si="1037"/>
        <v>3010997.78</v>
      </c>
      <c r="I1964" s="8"/>
      <c r="J1964" s="9">
        <f t="shared" si="1038"/>
        <v>3010997.78</v>
      </c>
      <c r="K1964" s="8"/>
      <c r="L1964" s="8"/>
      <c r="M1964" s="9">
        <f t="shared" si="1045"/>
        <v>3010997.78</v>
      </c>
      <c r="N1964" s="8"/>
      <c r="O1964" s="9"/>
      <c r="P1964" s="9">
        <f t="shared" si="1046"/>
        <v>0</v>
      </c>
      <c r="Q1964" s="9">
        <f t="shared" si="1039"/>
        <v>3010997.78</v>
      </c>
      <c r="R1964" s="17"/>
      <c r="S1964" s="17"/>
      <c r="T1964" s="17"/>
      <c r="U1964" s="18">
        <f t="shared" si="1040"/>
        <v>0</v>
      </c>
      <c r="V1964" s="17"/>
      <c r="W1964" s="17"/>
      <c r="X1964" s="9">
        <f t="shared" si="1041"/>
        <v>3010997.78</v>
      </c>
      <c r="Y1964" s="8"/>
      <c r="Z1964" s="9">
        <f t="shared" si="1042"/>
        <v>0</v>
      </c>
      <c r="AA1964" s="8">
        <f t="shared" si="1043"/>
        <v>3010997.78</v>
      </c>
      <c r="AB1964" s="8">
        <f t="shared" si="1044"/>
        <v>0</v>
      </c>
    </row>
    <row r="1965" spans="1:28" x14ac:dyDescent="0.3">
      <c r="A1965" s="64"/>
      <c r="B1965" s="8"/>
      <c r="C1965" s="7" t="s">
        <v>535</v>
      </c>
      <c r="D1965" s="15" t="s">
        <v>58</v>
      </c>
      <c r="E1965" s="9">
        <v>2500000</v>
      </c>
      <c r="F1965" s="9">
        <v>2500000</v>
      </c>
      <c r="G1965" s="8"/>
      <c r="H1965" s="9">
        <f t="shared" si="1037"/>
        <v>2500000</v>
      </c>
      <c r="I1965" s="8"/>
      <c r="J1965" s="9">
        <f t="shared" si="1038"/>
        <v>2500000</v>
      </c>
      <c r="K1965" s="8"/>
      <c r="L1965" s="8"/>
      <c r="M1965" s="9">
        <f t="shared" si="1045"/>
        <v>2500000</v>
      </c>
      <c r="N1965" s="8"/>
      <c r="O1965" s="9"/>
      <c r="P1965" s="9">
        <f t="shared" si="1046"/>
        <v>0</v>
      </c>
      <c r="Q1965" s="9">
        <f t="shared" si="1039"/>
        <v>2500000</v>
      </c>
      <c r="R1965" s="17"/>
      <c r="S1965" s="17"/>
      <c r="T1965" s="17"/>
      <c r="U1965" s="18">
        <f t="shared" si="1040"/>
        <v>0</v>
      </c>
      <c r="V1965" s="17"/>
      <c r="W1965" s="17"/>
      <c r="X1965" s="9">
        <f t="shared" si="1041"/>
        <v>2500000</v>
      </c>
      <c r="Y1965" s="8"/>
      <c r="Z1965" s="9">
        <f t="shared" si="1042"/>
        <v>0</v>
      </c>
      <c r="AA1965" s="8">
        <f t="shared" si="1043"/>
        <v>2500000</v>
      </c>
      <c r="AB1965" s="8">
        <f t="shared" si="1044"/>
        <v>0</v>
      </c>
    </row>
    <row r="1966" spans="1:28" x14ac:dyDescent="0.3">
      <c r="A1966" s="64"/>
      <c r="B1966" s="8"/>
      <c r="C1966" s="7" t="s">
        <v>535</v>
      </c>
      <c r="D1966" s="15" t="s">
        <v>61</v>
      </c>
      <c r="E1966" s="11">
        <v>493000</v>
      </c>
      <c r="F1966" s="11">
        <v>493000</v>
      </c>
      <c r="G1966" s="8"/>
      <c r="H1966" s="9">
        <f t="shared" si="1037"/>
        <v>493000</v>
      </c>
      <c r="I1966" s="8"/>
      <c r="J1966" s="9">
        <f t="shared" si="1038"/>
        <v>493000</v>
      </c>
      <c r="K1966" s="8"/>
      <c r="L1966" s="8"/>
      <c r="M1966" s="9">
        <f t="shared" si="1045"/>
        <v>493000</v>
      </c>
      <c r="N1966" s="8"/>
      <c r="O1966" s="9"/>
      <c r="P1966" s="9">
        <f t="shared" si="1046"/>
        <v>0</v>
      </c>
      <c r="Q1966" s="9">
        <f t="shared" si="1039"/>
        <v>493000</v>
      </c>
      <c r="R1966" s="17"/>
      <c r="S1966" s="17"/>
      <c r="T1966" s="17"/>
      <c r="U1966" s="18">
        <f t="shared" si="1040"/>
        <v>0</v>
      </c>
      <c r="V1966" s="17"/>
      <c r="W1966" s="17"/>
      <c r="X1966" s="9">
        <f t="shared" si="1041"/>
        <v>493000</v>
      </c>
      <c r="Y1966" s="8"/>
      <c r="Z1966" s="9">
        <f t="shared" si="1042"/>
        <v>0</v>
      </c>
      <c r="AA1966" s="8">
        <f t="shared" si="1043"/>
        <v>493000</v>
      </c>
      <c r="AB1966" s="8">
        <f t="shared" si="1044"/>
        <v>0</v>
      </c>
    </row>
    <row r="1967" spans="1:28" x14ac:dyDescent="0.3">
      <c r="A1967" s="64"/>
      <c r="B1967" s="8"/>
      <c r="C1967" s="7" t="s">
        <v>933</v>
      </c>
      <c r="D1967" s="16" t="s">
        <v>1072</v>
      </c>
      <c r="E1967" s="11">
        <v>635620</v>
      </c>
      <c r="F1967" s="11">
        <v>635620</v>
      </c>
      <c r="G1967" s="8"/>
      <c r="H1967" s="9">
        <f>+F1967+G1967</f>
        <v>635620</v>
      </c>
      <c r="I1967" s="8"/>
      <c r="J1967" s="9">
        <f t="shared" si="1038"/>
        <v>635620</v>
      </c>
      <c r="K1967" s="8"/>
      <c r="L1967" s="8"/>
      <c r="M1967" s="9">
        <f t="shared" si="1045"/>
        <v>635620</v>
      </c>
      <c r="N1967" s="8"/>
      <c r="O1967" s="9"/>
      <c r="P1967" s="9">
        <f>+N1967+O1967</f>
        <v>0</v>
      </c>
      <c r="Q1967" s="9">
        <f t="shared" si="1039"/>
        <v>635620</v>
      </c>
      <c r="R1967" s="17"/>
      <c r="S1967" s="17"/>
      <c r="T1967" s="17"/>
      <c r="U1967" s="18">
        <f t="shared" si="1040"/>
        <v>0</v>
      </c>
      <c r="V1967" s="17"/>
      <c r="W1967" s="17"/>
      <c r="X1967" s="9">
        <f t="shared" si="1041"/>
        <v>635620</v>
      </c>
      <c r="Y1967" s="8"/>
      <c r="Z1967" s="9">
        <f t="shared" si="1042"/>
        <v>0</v>
      </c>
      <c r="AA1967" s="8">
        <f t="shared" si="1043"/>
        <v>635620</v>
      </c>
      <c r="AB1967" s="8">
        <f t="shared" si="1044"/>
        <v>0</v>
      </c>
    </row>
    <row r="1968" spans="1:28" x14ac:dyDescent="0.3">
      <c r="A1968" s="64"/>
      <c r="B1968" s="8"/>
      <c r="C1968" s="7" t="s">
        <v>598</v>
      </c>
      <c r="D1968" s="8"/>
      <c r="E1968" s="9">
        <v>783246</v>
      </c>
      <c r="F1968" s="9">
        <v>783246</v>
      </c>
      <c r="G1968" s="8"/>
      <c r="H1968" s="9">
        <f t="shared" si="1037"/>
        <v>783246</v>
      </c>
      <c r="I1968" s="8"/>
      <c r="J1968" s="9">
        <f t="shared" si="1038"/>
        <v>783246</v>
      </c>
      <c r="K1968" s="8"/>
      <c r="L1968" s="8"/>
      <c r="M1968" s="9">
        <f t="shared" si="1045"/>
        <v>783246</v>
      </c>
      <c r="N1968" s="8"/>
      <c r="O1968" s="9"/>
      <c r="P1968" s="9">
        <f t="shared" si="1046"/>
        <v>0</v>
      </c>
      <c r="Q1968" s="9">
        <f t="shared" si="1039"/>
        <v>783246</v>
      </c>
      <c r="R1968" s="17"/>
      <c r="S1968" s="17"/>
      <c r="T1968" s="17"/>
      <c r="U1968" s="18">
        <f t="shared" si="1040"/>
        <v>0</v>
      </c>
      <c r="V1968" s="17"/>
      <c r="W1968" s="17"/>
      <c r="X1968" s="9">
        <f t="shared" si="1041"/>
        <v>783246</v>
      </c>
      <c r="Y1968" s="8"/>
      <c r="Z1968" s="9">
        <f t="shared" si="1042"/>
        <v>0</v>
      </c>
      <c r="AA1968" s="8">
        <f t="shared" si="1043"/>
        <v>783246</v>
      </c>
      <c r="AB1968" s="8">
        <f t="shared" si="1044"/>
        <v>0</v>
      </c>
    </row>
    <row r="1969" spans="1:28" x14ac:dyDescent="0.3">
      <c r="A1969" s="64"/>
      <c r="B1969" s="8"/>
      <c r="C1969" s="7" t="s">
        <v>606</v>
      </c>
      <c r="D1969" s="8"/>
      <c r="E1969" s="9">
        <f>2500000+1239247.62+175330.53</f>
        <v>3914578.15</v>
      </c>
      <c r="F1969" s="9">
        <f>2500000+1239247.62+175330.53</f>
        <v>3914578.15</v>
      </c>
      <c r="G1969" s="8"/>
      <c r="H1969" s="9">
        <f t="shared" si="1037"/>
        <v>3914578.15</v>
      </c>
      <c r="I1969" s="8"/>
      <c r="J1969" s="9">
        <f t="shared" si="1038"/>
        <v>3914578.15</v>
      </c>
      <c r="K1969" s="8"/>
      <c r="L1969" s="8"/>
      <c r="M1969" s="9">
        <f t="shared" si="1045"/>
        <v>3914578.15</v>
      </c>
      <c r="N1969" s="8"/>
      <c r="O1969" s="9"/>
      <c r="P1969" s="9">
        <f t="shared" si="1046"/>
        <v>0</v>
      </c>
      <c r="Q1969" s="9">
        <f t="shared" si="1039"/>
        <v>3914578.15</v>
      </c>
      <c r="R1969" s="17"/>
      <c r="S1969" s="17"/>
      <c r="T1969" s="17"/>
      <c r="U1969" s="18">
        <f t="shared" si="1040"/>
        <v>0</v>
      </c>
      <c r="V1969" s="17"/>
      <c r="W1969" s="17"/>
      <c r="X1969" s="9">
        <f t="shared" si="1041"/>
        <v>3914578.15</v>
      </c>
      <c r="Y1969" s="8"/>
      <c r="Z1969" s="9">
        <f t="shared" si="1042"/>
        <v>0</v>
      </c>
      <c r="AA1969" s="8">
        <f t="shared" si="1043"/>
        <v>3914578.15</v>
      </c>
      <c r="AB1969" s="8">
        <f t="shared" si="1044"/>
        <v>0</v>
      </c>
    </row>
    <row r="1970" spans="1:28" x14ac:dyDescent="0.3">
      <c r="A1970" s="64"/>
      <c r="B1970" s="8"/>
      <c r="C1970" s="8"/>
      <c r="D1970" s="8"/>
      <c r="E1970" s="17" t="s">
        <v>29</v>
      </c>
      <c r="F1970" s="17" t="s">
        <v>29</v>
      </c>
      <c r="G1970" s="17" t="s">
        <v>29</v>
      </c>
      <c r="H1970" s="17" t="s">
        <v>29</v>
      </c>
      <c r="I1970" s="17" t="s">
        <v>29</v>
      </c>
      <c r="J1970" s="17" t="s">
        <v>29</v>
      </c>
      <c r="K1970" s="17" t="s">
        <v>29</v>
      </c>
      <c r="L1970" s="17" t="s">
        <v>29</v>
      </c>
      <c r="M1970" s="17" t="s">
        <v>29</v>
      </c>
      <c r="N1970" s="17" t="s">
        <v>29</v>
      </c>
      <c r="O1970" s="17" t="s">
        <v>29</v>
      </c>
      <c r="P1970" s="17" t="s">
        <v>29</v>
      </c>
      <c r="Q1970" s="17" t="s">
        <v>29</v>
      </c>
      <c r="R1970" s="17"/>
      <c r="S1970" s="17"/>
      <c r="T1970" s="17"/>
      <c r="U1970" s="17"/>
      <c r="V1970" s="17"/>
      <c r="W1970" s="17"/>
      <c r="X1970" s="17"/>
      <c r="Y1970" s="17"/>
      <c r="Z1970" s="17"/>
      <c r="AA1970" s="17" t="s">
        <v>29</v>
      </c>
      <c r="AB1970" s="17" t="s">
        <v>29</v>
      </c>
    </row>
    <row r="1971" spans="1:28" x14ac:dyDescent="0.3">
      <c r="A1971" s="64"/>
      <c r="B1971" s="8"/>
      <c r="C1971" s="8"/>
      <c r="D1971" s="8"/>
      <c r="E1971" s="9">
        <f t="shared" ref="E1971:Q1971" si="1047">SUM(E1958:E1970)</f>
        <v>17509020.199999999</v>
      </c>
      <c r="F1971" s="9">
        <f t="shared" si="1047"/>
        <v>16177437.800000001</v>
      </c>
      <c r="G1971" s="9">
        <f t="shared" si="1047"/>
        <v>0</v>
      </c>
      <c r="H1971" s="9">
        <f t="shared" si="1047"/>
        <v>16177437.800000001</v>
      </c>
      <c r="I1971" s="9">
        <f t="shared" si="1047"/>
        <v>0</v>
      </c>
      <c r="J1971" s="9">
        <f t="shared" si="1047"/>
        <v>16177437.800000001</v>
      </c>
      <c r="K1971" s="9">
        <f t="shared" si="1047"/>
        <v>1331582.3999999999</v>
      </c>
      <c r="L1971" s="9">
        <f t="shared" si="1047"/>
        <v>0</v>
      </c>
      <c r="M1971" s="9">
        <f t="shared" si="1047"/>
        <v>16177437.800000001</v>
      </c>
      <c r="N1971" s="9">
        <f t="shared" si="1047"/>
        <v>1331582.3999999999</v>
      </c>
      <c r="O1971" s="9">
        <f t="shared" si="1047"/>
        <v>0</v>
      </c>
      <c r="P1971" s="9">
        <f t="shared" si="1047"/>
        <v>1331582.3999999999</v>
      </c>
      <c r="Q1971" s="9">
        <f t="shared" si="1047"/>
        <v>16177437.800000001</v>
      </c>
      <c r="R1971" s="17"/>
      <c r="S1971" s="17"/>
      <c r="T1971" s="9">
        <f t="shared" ref="T1971:Z1971" si="1048">SUM(T1958:T1970)</f>
        <v>0</v>
      </c>
      <c r="U1971" s="9">
        <f t="shared" si="1048"/>
        <v>1331582.3999999999</v>
      </c>
      <c r="V1971" s="9">
        <f t="shared" si="1048"/>
        <v>0</v>
      </c>
      <c r="W1971" s="9">
        <f t="shared" si="1048"/>
        <v>0</v>
      </c>
      <c r="X1971" s="9">
        <f t="shared" si="1048"/>
        <v>17509020.199999999</v>
      </c>
      <c r="Y1971" s="9">
        <f t="shared" si="1048"/>
        <v>0</v>
      </c>
      <c r="Z1971" s="9">
        <f t="shared" si="1048"/>
        <v>0</v>
      </c>
      <c r="AA1971" s="9">
        <f>SUM(AA1958:AA1970)</f>
        <v>17509020.199999999</v>
      </c>
      <c r="AB1971" s="9">
        <f>SUM(AB1958:AB1970)</f>
        <v>0</v>
      </c>
    </row>
    <row r="1972" spans="1:28" x14ac:dyDescent="0.3">
      <c r="A1972" s="64"/>
      <c r="B1972" s="8"/>
      <c r="C1972" s="8"/>
      <c r="D1972" s="8"/>
      <c r="E1972" s="17" t="s">
        <v>29</v>
      </c>
      <c r="F1972" s="17" t="s">
        <v>29</v>
      </c>
      <c r="G1972" s="17" t="s">
        <v>29</v>
      </c>
      <c r="H1972" s="17" t="s">
        <v>29</v>
      </c>
      <c r="I1972" s="17" t="s">
        <v>29</v>
      </c>
      <c r="J1972" s="17" t="s">
        <v>29</v>
      </c>
      <c r="K1972" s="17" t="s">
        <v>29</v>
      </c>
      <c r="L1972" s="17" t="s">
        <v>29</v>
      </c>
      <c r="M1972" s="17" t="s">
        <v>29</v>
      </c>
      <c r="N1972" s="17" t="s">
        <v>29</v>
      </c>
      <c r="O1972" s="17" t="s">
        <v>29</v>
      </c>
      <c r="P1972" s="17" t="s">
        <v>29</v>
      </c>
      <c r="Q1972" s="17" t="s">
        <v>29</v>
      </c>
      <c r="R1972" s="17"/>
      <c r="S1972" s="17"/>
      <c r="T1972" s="17"/>
      <c r="U1972" s="17"/>
      <c r="V1972" s="17"/>
      <c r="W1972" s="17"/>
      <c r="X1972" s="17"/>
      <c r="Y1972" s="17"/>
      <c r="Z1972" s="17"/>
      <c r="AA1972" s="17" t="s">
        <v>29</v>
      </c>
      <c r="AB1972" s="17" t="s">
        <v>29</v>
      </c>
    </row>
    <row r="1973" spans="1:28" x14ac:dyDescent="0.3">
      <c r="A1973" s="64"/>
      <c r="B1973" s="7" t="s">
        <v>798</v>
      </c>
      <c r="C1973" s="8"/>
      <c r="D1973" s="8"/>
      <c r="E1973" s="9">
        <f t="shared" ref="E1973:AB1973" si="1049">E1762+E1771+E1788+E1806+E1824+E1847+E1869+E1903+E1926+E1955+E1971</f>
        <v>573282845.48000002</v>
      </c>
      <c r="F1973" s="9">
        <f t="shared" si="1049"/>
        <v>475140846.05000001</v>
      </c>
      <c r="G1973" s="9">
        <f t="shared" si="1049"/>
        <v>38499391.909999996</v>
      </c>
      <c r="H1973" s="9">
        <f t="shared" si="1049"/>
        <v>513640237.95999998</v>
      </c>
      <c r="I1973" s="9">
        <f t="shared" si="1049"/>
        <v>7713021.5300000003</v>
      </c>
      <c r="J1973" s="9">
        <f t="shared" si="1049"/>
        <v>441559244.52999997</v>
      </c>
      <c r="K1973" s="9">
        <f t="shared" si="1049"/>
        <v>51763553.460000001</v>
      </c>
      <c r="L1973" s="9">
        <f t="shared" si="1049"/>
        <v>7713021.5300000003</v>
      </c>
      <c r="M1973" s="9">
        <f t="shared" si="1049"/>
        <v>521353259.48999995</v>
      </c>
      <c r="N1973" s="9">
        <f t="shared" si="1049"/>
        <v>51763553.460000001</v>
      </c>
      <c r="O1973" s="9">
        <f t="shared" si="1049"/>
        <v>0</v>
      </c>
      <c r="P1973" s="9">
        <f t="shared" si="1049"/>
        <v>51763553.460000001</v>
      </c>
      <c r="Q1973" s="9">
        <f t="shared" si="1049"/>
        <v>371610246.25000006</v>
      </c>
      <c r="R1973" s="9">
        <f t="shared" si="1049"/>
        <v>0</v>
      </c>
      <c r="S1973" s="9">
        <f t="shared" si="1049"/>
        <v>0</v>
      </c>
      <c r="T1973" s="9">
        <f t="shared" si="1049"/>
        <v>166032.53</v>
      </c>
      <c r="U1973" s="9">
        <f t="shared" si="1049"/>
        <v>51929585.990000002</v>
      </c>
      <c r="V1973" s="9">
        <f t="shared" si="1049"/>
        <v>0</v>
      </c>
      <c r="W1973" s="9">
        <f t="shared" si="1049"/>
        <v>0</v>
      </c>
      <c r="X1973" s="9">
        <f t="shared" si="1049"/>
        <v>565403791.42000008</v>
      </c>
      <c r="Y1973" s="9">
        <f t="shared" si="1049"/>
        <v>0</v>
      </c>
      <c r="Z1973" s="9">
        <f t="shared" si="1049"/>
        <v>7879054.0600000005</v>
      </c>
      <c r="AA1973" s="9">
        <f t="shared" si="1049"/>
        <v>573282845.48000002</v>
      </c>
      <c r="AB1973" s="9">
        <f t="shared" si="1049"/>
        <v>0</v>
      </c>
    </row>
    <row r="1974" spans="1:28" x14ac:dyDescent="0.3">
      <c r="A1974" s="64"/>
      <c r="B1974" s="8"/>
      <c r="C1974" s="8"/>
      <c r="D1974" s="8"/>
      <c r="E1974" s="17" t="s">
        <v>114</v>
      </c>
      <c r="F1974" s="17" t="s">
        <v>114</v>
      </c>
      <c r="G1974" s="17" t="s">
        <v>114</v>
      </c>
      <c r="H1974" s="17" t="s">
        <v>114</v>
      </c>
      <c r="I1974" s="17" t="s">
        <v>114</v>
      </c>
      <c r="J1974" s="17" t="s">
        <v>114</v>
      </c>
      <c r="K1974" s="17" t="s">
        <v>114</v>
      </c>
      <c r="L1974" s="17" t="s">
        <v>114</v>
      </c>
      <c r="M1974" s="17" t="s">
        <v>114</v>
      </c>
      <c r="N1974" s="17" t="s">
        <v>114</v>
      </c>
      <c r="O1974" s="17" t="s">
        <v>114</v>
      </c>
      <c r="P1974" s="17" t="s">
        <v>114</v>
      </c>
      <c r="Q1974" s="17" t="s">
        <v>114</v>
      </c>
      <c r="R1974" s="17" t="s">
        <v>114</v>
      </c>
      <c r="S1974" s="17" t="s">
        <v>114</v>
      </c>
      <c r="T1974" s="17" t="s">
        <v>114</v>
      </c>
      <c r="U1974" s="17" t="s">
        <v>114</v>
      </c>
      <c r="V1974" s="17" t="s">
        <v>114</v>
      </c>
      <c r="W1974" s="17" t="s">
        <v>114</v>
      </c>
      <c r="X1974" s="17" t="s">
        <v>114</v>
      </c>
      <c r="Y1974" s="17" t="s">
        <v>114</v>
      </c>
      <c r="Z1974" s="17" t="s">
        <v>114</v>
      </c>
      <c r="AA1974" s="17" t="s">
        <v>114</v>
      </c>
      <c r="AB1974" s="17" t="s">
        <v>114</v>
      </c>
    </row>
    <row r="1975" spans="1:28" x14ac:dyDescent="0.3">
      <c r="A1975" s="64"/>
      <c r="B1975" s="8"/>
      <c r="C1975" s="8"/>
      <c r="D1975" s="8"/>
      <c r="E1975" s="17"/>
      <c r="F1975" s="17"/>
      <c r="G1975" s="17"/>
      <c r="H1975" s="17"/>
      <c r="I1975" s="17"/>
      <c r="J1975" s="17"/>
      <c r="K1975" s="17"/>
      <c r="L1975" s="17"/>
      <c r="M1975" s="17"/>
      <c r="N1975" s="17"/>
      <c r="O1975" s="17"/>
      <c r="P1975" s="17"/>
      <c r="Q1975" s="17"/>
      <c r="R1975" s="17"/>
      <c r="S1975" s="17"/>
      <c r="T1975" s="17"/>
      <c r="U1975" s="17"/>
      <c r="V1975" s="17"/>
      <c r="W1975" s="17"/>
      <c r="X1975" s="17"/>
      <c r="Y1975" s="17"/>
      <c r="Z1975" s="60"/>
      <c r="AA1975" s="58"/>
    </row>
    <row r="1976" spans="1:28" x14ac:dyDescent="0.3">
      <c r="A1976" s="64"/>
      <c r="B1976" s="7" t="s">
        <v>353</v>
      </c>
      <c r="C1976" s="8"/>
      <c r="D1976" s="8"/>
      <c r="E1976" s="8"/>
      <c r="F1976" s="8"/>
      <c r="G1976" s="8"/>
      <c r="H1976" s="8"/>
      <c r="I1976" s="8"/>
      <c r="J1976" s="8"/>
      <c r="K1976" s="8"/>
      <c r="L1976" s="8"/>
      <c r="M1976" s="8"/>
      <c r="N1976" s="8"/>
      <c r="O1976" s="8"/>
      <c r="P1976" s="8"/>
      <c r="Q1976" s="8"/>
      <c r="R1976" s="8"/>
      <c r="S1976" s="8"/>
      <c r="T1976" s="8"/>
      <c r="U1976" s="8"/>
      <c r="V1976" s="8"/>
      <c r="W1976" s="8"/>
      <c r="X1976" s="8"/>
      <c r="Y1976" s="8"/>
      <c r="Z1976" s="8"/>
    </row>
    <row r="1977" spans="1:28" x14ac:dyDescent="0.3">
      <c r="A1977" s="64"/>
      <c r="B1977" s="8"/>
      <c r="C1977" s="8"/>
      <c r="D1977" s="8"/>
      <c r="E1977" s="8"/>
      <c r="F1977" s="8"/>
      <c r="G1977" s="8"/>
      <c r="H1977" s="8"/>
      <c r="I1977" s="8"/>
      <c r="J1977" s="8"/>
      <c r="K1977" s="8"/>
      <c r="L1977" s="8"/>
      <c r="M1977" s="8"/>
      <c r="N1977" s="8"/>
      <c r="O1977" s="8"/>
      <c r="P1977" s="8"/>
      <c r="Q1977" s="8"/>
      <c r="R1977" s="8"/>
      <c r="S1977" s="8"/>
      <c r="T1977" s="8"/>
      <c r="U1977" s="8"/>
      <c r="V1977" s="8"/>
      <c r="W1977" s="8"/>
      <c r="X1977" s="8"/>
      <c r="Y1977" s="8"/>
      <c r="Z1977" s="8"/>
    </row>
    <row r="1978" spans="1:28" x14ac:dyDescent="0.3">
      <c r="A1978" s="63" t="s">
        <v>1023</v>
      </c>
      <c r="B1978" s="7" t="s">
        <v>354</v>
      </c>
      <c r="C1978" s="8"/>
      <c r="D1978" s="8"/>
      <c r="E1978" s="8"/>
      <c r="F1978" s="8"/>
      <c r="G1978" s="8"/>
      <c r="H1978" s="8"/>
      <c r="I1978" s="8"/>
      <c r="J1978" s="8"/>
      <c r="K1978" s="8"/>
      <c r="L1978" s="8"/>
      <c r="M1978" s="8"/>
      <c r="N1978" s="8"/>
      <c r="O1978" s="8"/>
      <c r="P1978" s="8"/>
      <c r="Q1978" s="8"/>
      <c r="R1978" s="8"/>
      <c r="S1978" s="8"/>
      <c r="T1978" s="8"/>
      <c r="U1978" s="8"/>
      <c r="V1978" s="8"/>
      <c r="W1978" s="8"/>
      <c r="X1978" s="8"/>
      <c r="Y1978" s="8"/>
      <c r="Z1978" s="8"/>
    </row>
    <row r="1979" spans="1:28" x14ac:dyDescent="0.3">
      <c r="A1979" s="64"/>
      <c r="B1979" s="8"/>
      <c r="C1979" s="7" t="s">
        <v>355</v>
      </c>
      <c r="D1979" s="15" t="s">
        <v>306</v>
      </c>
      <c r="E1979" s="9">
        <v>2320000</v>
      </c>
      <c r="F1979" s="9">
        <v>2320000</v>
      </c>
      <c r="G1979" s="8"/>
      <c r="H1979" s="9">
        <f t="shared" ref="H1979:H1989" si="1050">F1979+G1979</f>
        <v>2320000</v>
      </c>
      <c r="I1979" s="8"/>
      <c r="J1979" s="8"/>
      <c r="K1979" s="8"/>
      <c r="L1979" s="9"/>
      <c r="M1979" s="9">
        <f t="shared" ref="M1979:M1989" si="1051">H1979+L1979</f>
        <v>2320000</v>
      </c>
      <c r="N1979" s="9">
        <v>0</v>
      </c>
      <c r="O1979" s="8"/>
      <c r="P1979" s="9">
        <f t="shared" ref="P1979:P1989" si="1052">N1979+O1979</f>
        <v>0</v>
      </c>
      <c r="Q1979" s="8"/>
      <c r="R1979" s="8"/>
      <c r="S1979" s="8"/>
      <c r="T1979" s="9"/>
      <c r="U1979" s="9">
        <f t="shared" ref="U1979:U1989" si="1053">P1979+T1979</f>
        <v>0</v>
      </c>
      <c r="V1979" s="9">
        <f t="shared" ref="V1979:V1989" si="1054">P1979+H1979</f>
        <v>2320000</v>
      </c>
      <c r="W1979" s="9">
        <f t="shared" ref="W1979:W1989" si="1055">E1979-V1979</f>
        <v>0</v>
      </c>
      <c r="X1979" s="9">
        <f t="shared" ref="X1979:X1989" si="1056">+H1979+P1979</f>
        <v>2320000</v>
      </c>
      <c r="Y1979" s="8"/>
      <c r="Z1979" s="9">
        <f t="shared" ref="Z1979:Z1989" si="1057">+E1979-X1979</f>
        <v>0</v>
      </c>
      <c r="AA1979" s="8">
        <f t="shared" ref="AA1979:AA1989" si="1058">+M1979+U1979</f>
        <v>2320000</v>
      </c>
      <c r="AB1979" s="8">
        <f t="shared" ref="AB1979:AB1989" si="1059">+E1979-AA1979</f>
        <v>0</v>
      </c>
    </row>
    <row r="1980" spans="1:28" x14ac:dyDescent="0.3">
      <c r="A1980" s="64"/>
      <c r="B1980" s="8"/>
      <c r="C1980" s="7" t="s">
        <v>57</v>
      </c>
      <c r="D1980" s="15" t="s">
        <v>68</v>
      </c>
      <c r="E1980" s="9">
        <v>1019152.64</v>
      </c>
      <c r="F1980" s="9">
        <v>887671.99</v>
      </c>
      <c r="G1980" s="8"/>
      <c r="H1980" s="9">
        <f t="shared" si="1050"/>
        <v>887671.99</v>
      </c>
      <c r="I1980" s="8"/>
      <c r="J1980" s="8"/>
      <c r="K1980" s="8"/>
      <c r="L1980" s="9"/>
      <c r="M1980" s="9">
        <f t="shared" si="1051"/>
        <v>887671.99</v>
      </c>
      <c r="N1980" s="9">
        <v>131480.65</v>
      </c>
      <c r="O1980" s="8"/>
      <c r="P1980" s="9">
        <f t="shared" si="1052"/>
        <v>131480.65</v>
      </c>
      <c r="Q1980" s="8"/>
      <c r="R1980" s="8"/>
      <c r="S1980" s="8"/>
      <c r="T1980" s="9"/>
      <c r="U1980" s="9">
        <f t="shared" si="1053"/>
        <v>131480.65</v>
      </c>
      <c r="V1980" s="9">
        <f t="shared" si="1054"/>
        <v>1019152.64</v>
      </c>
      <c r="W1980" s="9">
        <f t="shared" si="1055"/>
        <v>0</v>
      </c>
      <c r="X1980" s="9">
        <f t="shared" si="1056"/>
        <v>1019152.64</v>
      </c>
      <c r="Y1980" s="8"/>
      <c r="Z1980" s="9">
        <f t="shared" si="1057"/>
        <v>0</v>
      </c>
      <c r="AA1980" s="8">
        <f t="shared" si="1058"/>
        <v>1019152.64</v>
      </c>
      <c r="AB1980" s="8">
        <f t="shared" si="1059"/>
        <v>0</v>
      </c>
    </row>
    <row r="1981" spans="1:28" x14ac:dyDescent="0.3">
      <c r="A1981" s="64"/>
      <c r="B1981" s="8"/>
      <c r="C1981" s="7" t="s">
        <v>53</v>
      </c>
      <c r="D1981" s="15" t="s">
        <v>68</v>
      </c>
      <c r="E1981" s="9">
        <v>1953989</v>
      </c>
      <c r="F1981" s="9">
        <v>0</v>
      </c>
      <c r="G1981" s="8"/>
      <c r="H1981" s="9">
        <f t="shared" si="1050"/>
        <v>0</v>
      </c>
      <c r="I1981" s="8"/>
      <c r="J1981" s="8"/>
      <c r="K1981" s="8"/>
      <c r="L1981" s="9"/>
      <c r="M1981" s="9">
        <f t="shared" si="1051"/>
        <v>0</v>
      </c>
      <c r="N1981" s="9">
        <v>1953989</v>
      </c>
      <c r="O1981" s="8"/>
      <c r="P1981" s="9">
        <f t="shared" si="1052"/>
        <v>1953989</v>
      </c>
      <c r="Q1981" s="8"/>
      <c r="R1981" s="8"/>
      <c r="S1981" s="8"/>
      <c r="T1981" s="9"/>
      <c r="U1981" s="9">
        <f t="shared" si="1053"/>
        <v>1953989</v>
      </c>
      <c r="V1981" s="9">
        <f t="shared" si="1054"/>
        <v>1953989</v>
      </c>
      <c r="W1981" s="9">
        <f t="shared" si="1055"/>
        <v>0</v>
      </c>
      <c r="X1981" s="9">
        <f t="shared" si="1056"/>
        <v>1953989</v>
      </c>
      <c r="Y1981" s="8"/>
      <c r="Z1981" s="9">
        <f t="shared" si="1057"/>
        <v>0</v>
      </c>
      <c r="AA1981" s="8">
        <f t="shared" si="1058"/>
        <v>1953989</v>
      </c>
      <c r="AB1981" s="8">
        <f t="shared" si="1059"/>
        <v>0</v>
      </c>
    </row>
    <row r="1982" spans="1:28" x14ac:dyDescent="0.3">
      <c r="A1982" s="64"/>
      <c r="B1982" s="8"/>
      <c r="C1982" s="7" t="s">
        <v>192</v>
      </c>
      <c r="D1982" s="15" t="s">
        <v>54</v>
      </c>
      <c r="E1982" s="9">
        <v>955345.62</v>
      </c>
      <c r="F1982" s="9">
        <v>0</v>
      </c>
      <c r="G1982" s="8"/>
      <c r="H1982" s="9">
        <f t="shared" si="1050"/>
        <v>0</v>
      </c>
      <c r="I1982" s="8"/>
      <c r="J1982" s="8"/>
      <c r="K1982" s="8"/>
      <c r="L1982" s="9"/>
      <c r="M1982" s="9">
        <f t="shared" si="1051"/>
        <v>0</v>
      </c>
      <c r="N1982" s="9">
        <v>955345.62</v>
      </c>
      <c r="O1982" s="8"/>
      <c r="P1982" s="9">
        <f t="shared" si="1052"/>
        <v>955345.62</v>
      </c>
      <c r="Q1982" s="8"/>
      <c r="R1982" s="8"/>
      <c r="S1982" s="8"/>
      <c r="T1982" s="9"/>
      <c r="U1982" s="9">
        <f t="shared" si="1053"/>
        <v>955345.62</v>
      </c>
      <c r="V1982" s="9">
        <f t="shared" si="1054"/>
        <v>955345.62</v>
      </c>
      <c r="W1982" s="9">
        <f t="shared" si="1055"/>
        <v>0</v>
      </c>
      <c r="X1982" s="9">
        <f t="shared" si="1056"/>
        <v>955345.62</v>
      </c>
      <c r="Y1982" s="8"/>
      <c r="Z1982" s="9">
        <f t="shared" si="1057"/>
        <v>0</v>
      </c>
      <c r="AA1982" s="8">
        <f t="shared" si="1058"/>
        <v>955345.62</v>
      </c>
      <c r="AB1982" s="8">
        <f t="shared" si="1059"/>
        <v>0</v>
      </c>
    </row>
    <row r="1983" spans="1:28" x14ac:dyDescent="0.3">
      <c r="A1983" s="64"/>
      <c r="B1983" s="8"/>
      <c r="C1983" s="7" t="s">
        <v>57</v>
      </c>
      <c r="D1983" s="15" t="s">
        <v>85</v>
      </c>
      <c r="E1983" s="9">
        <v>1170000</v>
      </c>
      <c r="F1983" s="9">
        <v>1170000</v>
      </c>
      <c r="G1983" s="8"/>
      <c r="H1983" s="9">
        <f t="shared" si="1050"/>
        <v>1170000</v>
      </c>
      <c r="I1983" s="8"/>
      <c r="J1983" s="8"/>
      <c r="K1983" s="8"/>
      <c r="L1983" s="9"/>
      <c r="M1983" s="9">
        <f t="shared" si="1051"/>
        <v>1170000</v>
      </c>
      <c r="N1983" s="9">
        <v>0</v>
      </c>
      <c r="O1983" s="8"/>
      <c r="P1983" s="9">
        <f t="shared" si="1052"/>
        <v>0</v>
      </c>
      <c r="Q1983" s="8"/>
      <c r="R1983" s="8"/>
      <c r="S1983" s="8"/>
      <c r="T1983" s="9"/>
      <c r="U1983" s="9">
        <f t="shared" si="1053"/>
        <v>0</v>
      </c>
      <c r="V1983" s="9">
        <f t="shared" si="1054"/>
        <v>1170000</v>
      </c>
      <c r="W1983" s="9">
        <f t="shared" si="1055"/>
        <v>0</v>
      </c>
      <c r="X1983" s="9">
        <f t="shared" si="1056"/>
        <v>1170000</v>
      </c>
      <c r="Y1983" s="8"/>
      <c r="Z1983" s="9">
        <f t="shared" si="1057"/>
        <v>0</v>
      </c>
      <c r="AA1983" s="8">
        <f t="shared" si="1058"/>
        <v>1170000</v>
      </c>
      <c r="AB1983" s="8">
        <f t="shared" si="1059"/>
        <v>0</v>
      </c>
    </row>
    <row r="1984" spans="1:28" x14ac:dyDescent="0.3">
      <c r="A1984" s="64"/>
      <c r="B1984" s="8"/>
      <c r="C1984" s="7" t="s">
        <v>57</v>
      </c>
      <c r="D1984" s="15" t="s">
        <v>88</v>
      </c>
      <c r="E1984" s="9">
        <v>533065</v>
      </c>
      <c r="F1984" s="9">
        <v>533065</v>
      </c>
      <c r="G1984" s="14" t="s">
        <v>356</v>
      </c>
      <c r="H1984" s="9">
        <f t="shared" si="1050"/>
        <v>533065</v>
      </c>
      <c r="I1984" s="8"/>
      <c r="J1984" s="8"/>
      <c r="K1984" s="8"/>
      <c r="L1984" s="9"/>
      <c r="M1984" s="9">
        <f t="shared" si="1051"/>
        <v>533065</v>
      </c>
      <c r="N1984" s="9">
        <v>0</v>
      </c>
      <c r="O1984" s="8"/>
      <c r="P1984" s="9">
        <f t="shared" si="1052"/>
        <v>0</v>
      </c>
      <c r="Q1984" s="8"/>
      <c r="R1984" s="8"/>
      <c r="S1984" s="8"/>
      <c r="T1984" s="9"/>
      <c r="U1984" s="9">
        <f t="shared" si="1053"/>
        <v>0</v>
      </c>
      <c r="V1984" s="9">
        <f t="shared" si="1054"/>
        <v>533065</v>
      </c>
      <c r="W1984" s="9">
        <f t="shared" si="1055"/>
        <v>0</v>
      </c>
      <c r="X1984" s="9">
        <f t="shared" si="1056"/>
        <v>533065</v>
      </c>
      <c r="Y1984" s="8"/>
      <c r="Z1984" s="9">
        <f t="shared" si="1057"/>
        <v>0</v>
      </c>
      <c r="AA1984" s="8">
        <f t="shared" si="1058"/>
        <v>533065</v>
      </c>
      <c r="AB1984" s="8">
        <f t="shared" si="1059"/>
        <v>0</v>
      </c>
    </row>
    <row r="1985" spans="1:28" x14ac:dyDescent="0.3">
      <c r="A1985" s="64"/>
      <c r="B1985" s="8"/>
      <c r="C1985" s="7" t="s">
        <v>57</v>
      </c>
      <c r="D1985" s="15" t="s">
        <v>60</v>
      </c>
      <c r="E1985" s="9">
        <v>1902000</v>
      </c>
      <c r="F1985" s="11">
        <v>1902000</v>
      </c>
      <c r="G1985" s="8"/>
      <c r="H1985" s="9">
        <f t="shared" si="1050"/>
        <v>1902000</v>
      </c>
      <c r="I1985" s="8"/>
      <c r="J1985" s="8"/>
      <c r="K1985" s="8"/>
      <c r="L1985" s="9"/>
      <c r="M1985" s="9">
        <f t="shared" si="1051"/>
        <v>1902000</v>
      </c>
      <c r="N1985" s="9">
        <v>0</v>
      </c>
      <c r="O1985" s="8"/>
      <c r="P1985" s="9">
        <f t="shared" si="1052"/>
        <v>0</v>
      </c>
      <c r="Q1985" s="8"/>
      <c r="R1985" s="8"/>
      <c r="S1985" s="8"/>
      <c r="T1985" s="9"/>
      <c r="U1985" s="9">
        <f t="shared" si="1053"/>
        <v>0</v>
      </c>
      <c r="V1985" s="9">
        <f t="shared" si="1054"/>
        <v>1902000</v>
      </c>
      <c r="W1985" s="9">
        <f t="shared" si="1055"/>
        <v>0</v>
      </c>
      <c r="X1985" s="9">
        <f t="shared" si="1056"/>
        <v>1902000</v>
      </c>
      <c r="Y1985" s="8"/>
      <c r="Z1985" s="9">
        <f t="shared" si="1057"/>
        <v>0</v>
      </c>
      <c r="AA1985" s="8">
        <f t="shared" si="1058"/>
        <v>1902000</v>
      </c>
      <c r="AB1985" s="8">
        <f t="shared" si="1059"/>
        <v>0</v>
      </c>
    </row>
    <row r="1986" spans="1:28" x14ac:dyDescent="0.3">
      <c r="A1986" s="64"/>
      <c r="B1986" s="8"/>
      <c r="C1986" s="14" t="s">
        <v>109</v>
      </c>
      <c r="D1986" s="21" t="s">
        <v>60</v>
      </c>
      <c r="E1986" s="9">
        <v>4600000</v>
      </c>
      <c r="F1986" s="11">
        <v>4600000</v>
      </c>
      <c r="G1986" s="8"/>
      <c r="H1986" s="9">
        <f t="shared" si="1050"/>
        <v>4600000</v>
      </c>
      <c r="I1986" s="8"/>
      <c r="J1986" s="8"/>
      <c r="K1986" s="8"/>
      <c r="L1986" s="9"/>
      <c r="M1986" s="9">
        <f t="shared" si="1051"/>
        <v>4600000</v>
      </c>
      <c r="N1986" s="9">
        <v>0</v>
      </c>
      <c r="O1986" s="8"/>
      <c r="P1986" s="9">
        <f t="shared" si="1052"/>
        <v>0</v>
      </c>
      <c r="Q1986" s="8"/>
      <c r="R1986" s="8"/>
      <c r="S1986" s="8"/>
      <c r="T1986" s="9"/>
      <c r="U1986" s="9">
        <f t="shared" si="1053"/>
        <v>0</v>
      </c>
      <c r="V1986" s="9">
        <f t="shared" si="1054"/>
        <v>4600000</v>
      </c>
      <c r="W1986" s="9">
        <f t="shared" si="1055"/>
        <v>0</v>
      </c>
      <c r="X1986" s="9">
        <f t="shared" si="1056"/>
        <v>4600000</v>
      </c>
      <c r="Y1986" s="8"/>
      <c r="Z1986" s="9">
        <f t="shared" si="1057"/>
        <v>0</v>
      </c>
      <c r="AA1986" s="8">
        <f t="shared" si="1058"/>
        <v>4600000</v>
      </c>
      <c r="AB1986" s="8">
        <f t="shared" si="1059"/>
        <v>0</v>
      </c>
    </row>
    <row r="1987" spans="1:28" x14ac:dyDescent="0.3">
      <c r="A1987" s="64"/>
      <c r="B1987" s="8"/>
      <c r="C1987" s="7" t="s">
        <v>57</v>
      </c>
      <c r="D1987" s="15" t="s">
        <v>73</v>
      </c>
      <c r="E1987" s="9">
        <v>3632555.97</v>
      </c>
      <c r="F1987" s="11">
        <v>3632555.97</v>
      </c>
      <c r="G1987" s="8"/>
      <c r="H1987" s="9">
        <f t="shared" si="1050"/>
        <v>3632555.97</v>
      </c>
      <c r="I1987" s="8"/>
      <c r="J1987" s="8"/>
      <c r="K1987" s="8"/>
      <c r="L1987" s="9"/>
      <c r="M1987" s="9">
        <f t="shared" si="1051"/>
        <v>3632555.97</v>
      </c>
      <c r="N1987" s="9">
        <v>0</v>
      </c>
      <c r="O1987" s="8"/>
      <c r="P1987" s="9">
        <f t="shared" si="1052"/>
        <v>0</v>
      </c>
      <c r="Q1987" s="8"/>
      <c r="R1987" s="8"/>
      <c r="S1987" s="8"/>
      <c r="T1987" s="9"/>
      <c r="U1987" s="9">
        <f t="shared" si="1053"/>
        <v>0</v>
      </c>
      <c r="V1987" s="9">
        <f t="shared" si="1054"/>
        <v>3632555.97</v>
      </c>
      <c r="W1987" s="9">
        <f t="shared" si="1055"/>
        <v>0</v>
      </c>
      <c r="X1987" s="9">
        <f t="shared" si="1056"/>
        <v>3632555.97</v>
      </c>
      <c r="Y1987" s="8"/>
      <c r="Z1987" s="9">
        <f t="shared" si="1057"/>
        <v>0</v>
      </c>
      <c r="AA1987" s="8">
        <f t="shared" si="1058"/>
        <v>3632555.97</v>
      </c>
      <c r="AB1987" s="8">
        <f t="shared" si="1059"/>
        <v>0</v>
      </c>
    </row>
    <row r="1988" spans="1:28" x14ac:dyDescent="0.3">
      <c r="A1988" s="64"/>
      <c r="B1988" s="8"/>
      <c r="C1988" s="7" t="s">
        <v>930</v>
      </c>
      <c r="D1988" s="15"/>
      <c r="E1988" s="9">
        <v>300000</v>
      </c>
      <c r="F1988" s="11">
        <v>300000</v>
      </c>
      <c r="G1988" s="8"/>
      <c r="H1988" s="9">
        <f>+F1988+G1988</f>
        <v>300000</v>
      </c>
      <c r="I1988" s="8"/>
      <c r="J1988" s="8"/>
      <c r="K1988" s="8"/>
      <c r="L1988" s="9"/>
      <c r="M1988" s="9">
        <f t="shared" si="1051"/>
        <v>300000</v>
      </c>
      <c r="N1988" s="9">
        <v>0</v>
      </c>
      <c r="O1988" s="8"/>
      <c r="P1988" s="9">
        <f t="shared" si="1052"/>
        <v>0</v>
      </c>
      <c r="Q1988" s="8"/>
      <c r="R1988" s="8"/>
      <c r="S1988" s="8"/>
      <c r="T1988" s="9"/>
      <c r="U1988" s="9">
        <f t="shared" si="1053"/>
        <v>0</v>
      </c>
      <c r="V1988" s="9">
        <f t="shared" si="1054"/>
        <v>300000</v>
      </c>
      <c r="W1988" s="9">
        <f t="shared" si="1055"/>
        <v>0</v>
      </c>
      <c r="X1988" s="9">
        <f t="shared" si="1056"/>
        <v>300000</v>
      </c>
      <c r="Y1988" s="8"/>
      <c r="Z1988" s="9">
        <f t="shared" si="1057"/>
        <v>0</v>
      </c>
      <c r="AA1988" s="8">
        <f t="shared" si="1058"/>
        <v>300000</v>
      </c>
      <c r="AB1988" s="8">
        <f t="shared" si="1059"/>
        <v>0</v>
      </c>
    </row>
    <row r="1989" spans="1:28" x14ac:dyDescent="0.3">
      <c r="A1989" s="64"/>
      <c r="B1989" s="8"/>
      <c r="C1989" s="7" t="s">
        <v>57</v>
      </c>
      <c r="D1989" s="16" t="s">
        <v>61</v>
      </c>
      <c r="E1989" s="9">
        <f>803110.4+1043687</f>
        <v>1846797.4</v>
      </c>
      <c r="F1989" s="8">
        <f>803110.4+1043687</f>
        <v>1846797.4</v>
      </c>
      <c r="G1989" s="8"/>
      <c r="H1989" s="9">
        <f t="shared" si="1050"/>
        <v>1846797.4</v>
      </c>
      <c r="I1989" s="8"/>
      <c r="J1989" s="8"/>
      <c r="K1989" s="8"/>
      <c r="L1989" s="9"/>
      <c r="M1989" s="9">
        <f t="shared" si="1051"/>
        <v>1846797.4</v>
      </c>
      <c r="N1989" s="9">
        <v>0</v>
      </c>
      <c r="O1989" s="8"/>
      <c r="P1989" s="9">
        <f t="shared" si="1052"/>
        <v>0</v>
      </c>
      <c r="Q1989" s="8"/>
      <c r="R1989" s="8"/>
      <c r="S1989" s="8"/>
      <c r="T1989" s="9"/>
      <c r="U1989" s="9">
        <f t="shared" si="1053"/>
        <v>0</v>
      </c>
      <c r="V1989" s="9">
        <f t="shared" si="1054"/>
        <v>1846797.4</v>
      </c>
      <c r="W1989" s="9">
        <f t="shared" si="1055"/>
        <v>0</v>
      </c>
      <c r="X1989" s="9">
        <f t="shared" si="1056"/>
        <v>1846797.4</v>
      </c>
      <c r="Y1989" s="8"/>
      <c r="Z1989" s="9">
        <f t="shared" si="1057"/>
        <v>0</v>
      </c>
      <c r="AA1989" s="8">
        <f t="shared" si="1058"/>
        <v>1846797.4</v>
      </c>
      <c r="AB1989" s="8">
        <f t="shared" si="1059"/>
        <v>0</v>
      </c>
    </row>
    <row r="1990" spans="1:28" x14ac:dyDescent="0.3">
      <c r="A1990" s="64"/>
      <c r="B1990" s="8"/>
      <c r="C1990" s="8"/>
      <c r="D1990" s="8"/>
      <c r="E1990" s="17" t="s">
        <v>29</v>
      </c>
      <c r="F1990" s="17" t="s">
        <v>29</v>
      </c>
      <c r="G1990" s="17" t="s">
        <v>29</v>
      </c>
      <c r="H1990" s="17" t="s">
        <v>29</v>
      </c>
      <c r="I1990" s="17" t="s">
        <v>29</v>
      </c>
      <c r="J1990" s="17" t="s">
        <v>29</v>
      </c>
      <c r="K1990" s="17" t="s">
        <v>29</v>
      </c>
      <c r="L1990" s="17" t="s">
        <v>29</v>
      </c>
      <c r="M1990" s="17" t="s">
        <v>29</v>
      </c>
      <c r="N1990" s="17" t="s">
        <v>29</v>
      </c>
      <c r="O1990" s="17" t="s">
        <v>29</v>
      </c>
      <c r="P1990" s="17" t="s">
        <v>29</v>
      </c>
      <c r="Q1990" s="17" t="s">
        <v>29</v>
      </c>
      <c r="R1990" s="17" t="s">
        <v>29</v>
      </c>
      <c r="S1990" s="17" t="s">
        <v>29</v>
      </c>
      <c r="T1990" s="17" t="s">
        <v>29</v>
      </c>
      <c r="U1990" s="17" t="s">
        <v>29</v>
      </c>
      <c r="V1990" s="17" t="s">
        <v>29</v>
      </c>
      <c r="W1990" s="17" t="s">
        <v>29</v>
      </c>
      <c r="X1990" s="17" t="s">
        <v>29</v>
      </c>
      <c r="Y1990" s="17" t="s">
        <v>29</v>
      </c>
      <c r="Z1990" s="17" t="s">
        <v>29</v>
      </c>
      <c r="AA1990" s="17" t="s">
        <v>29</v>
      </c>
      <c r="AB1990" s="17" t="s">
        <v>29</v>
      </c>
    </row>
    <row r="1991" spans="1:28" x14ac:dyDescent="0.3">
      <c r="A1991" s="64"/>
      <c r="B1991" s="8"/>
      <c r="C1991" s="8"/>
      <c r="D1991" s="8"/>
      <c r="E1991" s="9">
        <f t="shared" ref="E1991:AB1991" si="1060">SUM(E1979:E1989)</f>
        <v>20232905.629999999</v>
      </c>
      <c r="F1991" s="9">
        <f t="shared" si="1060"/>
        <v>17192090.359999999</v>
      </c>
      <c r="G1991" s="9">
        <f t="shared" si="1060"/>
        <v>0</v>
      </c>
      <c r="H1991" s="9">
        <f t="shared" si="1060"/>
        <v>17192090.359999999</v>
      </c>
      <c r="I1991" s="9">
        <f t="shared" si="1060"/>
        <v>0</v>
      </c>
      <c r="J1991" s="9">
        <f t="shared" si="1060"/>
        <v>0</v>
      </c>
      <c r="K1991" s="9">
        <f t="shared" si="1060"/>
        <v>0</v>
      </c>
      <c r="L1991" s="9">
        <f t="shared" si="1060"/>
        <v>0</v>
      </c>
      <c r="M1991" s="9">
        <f t="shared" si="1060"/>
        <v>17192090.359999999</v>
      </c>
      <c r="N1991" s="9">
        <f t="shared" si="1060"/>
        <v>3040815.27</v>
      </c>
      <c r="O1991" s="9">
        <f t="shared" si="1060"/>
        <v>0</v>
      </c>
      <c r="P1991" s="9">
        <f t="shared" si="1060"/>
        <v>3040815.27</v>
      </c>
      <c r="Q1991" s="9">
        <f t="shared" si="1060"/>
        <v>0</v>
      </c>
      <c r="R1991" s="9">
        <f t="shared" si="1060"/>
        <v>0</v>
      </c>
      <c r="S1991" s="9">
        <f t="shared" si="1060"/>
        <v>0</v>
      </c>
      <c r="T1991" s="9">
        <f t="shared" si="1060"/>
        <v>0</v>
      </c>
      <c r="U1991" s="9">
        <f t="shared" si="1060"/>
        <v>3040815.27</v>
      </c>
      <c r="V1991" s="9">
        <f t="shared" si="1060"/>
        <v>20232905.629999999</v>
      </c>
      <c r="W1991" s="9">
        <f t="shared" si="1060"/>
        <v>0</v>
      </c>
      <c r="X1991" s="9">
        <f t="shared" si="1060"/>
        <v>20232905.629999999</v>
      </c>
      <c r="Y1991" s="9">
        <f t="shared" si="1060"/>
        <v>0</v>
      </c>
      <c r="Z1991" s="9">
        <f t="shared" si="1060"/>
        <v>0</v>
      </c>
      <c r="AA1991" s="9">
        <f t="shared" si="1060"/>
        <v>20232905.629999999</v>
      </c>
      <c r="AB1991" s="9">
        <f t="shared" si="1060"/>
        <v>0</v>
      </c>
    </row>
    <row r="1992" spans="1:28" x14ac:dyDescent="0.3">
      <c r="A1992" s="64"/>
      <c r="B1992" s="8"/>
      <c r="C1992" s="8"/>
      <c r="D1992" s="8"/>
      <c r="E1992" s="17" t="s">
        <v>29</v>
      </c>
      <c r="F1992" s="17" t="s">
        <v>29</v>
      </c>
      <c r="G1992" s="17" t="s">
        <v>29</v>
      </c>
      <c r="H1992" s="17" t="s">
        <v>29</v>
      </c>
      <c r="I1992" s="17" t="s">
        <v>29</v>
      </c>
      <c r="J1992" s="17" t="s">
        <v>29</v>
      </c>
      <c r="K1992" s="17" t="s">
        <v>29</v>
      </c>
      <c r="L1992" s="17" t="s">
        <v>29</v>
      </c>
      <c r="M1992" s="17" t="s">
        <v>29</v>
      </c>
      <c r="N1992" s="17" t="s">
        <v>29</v>
      </c>
      <c r="O1992" s="17" t="s">
        <v>29</v>
      </c>
      <c r="P1992" s="17" t="s">
        <v>29</v>
      </c>
      <c r="Q1992" s="17" t="s">
        <v>29</v>
      </c>
      <c r="R1992" s="17" t="s">
        <v>29</v>
      </c>
      <c r="S1992" s="17" t="s">
        <v>29</v>
      </c>
      <c r="T1992" s="17" t="s">
        <v>29</v>
      </c>
      <c r="U1992" s="17" t="s">
        <v>29</v>
      </c>
      <c r="V1992" s="17" t="s">
        <v>29</v>
      </c>
      <c r="W1992" s="17" t="s">
        <v>29</v>
      </c>
      <c r="X1992" s="17" t="s">
        <v>29</v>
      </c>
      <c r="Y1992" s="17" t="s">
        <v>29</v>
      </c>
      <c r="Z1992" s="17" t="s">
        <v>29</v>
      </c>
      <c r="AA1992" s="17" t="s">
        <v>29</v>
      </c>
      <c r="AB1992" s="17" t="s">
        <v>29</v>
      </c>
    </row>
    <row r="1993" spans="1:28" x14ac:dyDescent="0.3">
      <c r="A1993" s="63" t="s">
        <v>1024</v>
      </c>
      <c r="B1993" s="7" t="s">
        <v>357</v>
      </c>
      <c r="C1993" s="8"/>
      <c r="D1993" s="8"/>
      <c r="E1993" s="8"/>
      <c r="F1993" s="8"/>
      <c r="G1993" s="8"/>
      <c r="H1993" s="8"/>
      <c r="I1993" s="8"/>
      <c r="J1993" s="8"/>
      <c r="K1993" s="8"/>
      <c r="L1993" s="8"/>
      <c r="M1993" s="8"/>
      <c r="N1993" s="8"/>
      <c r="O1993" s="8"/>
      <c r="P1993" s="8"/>
      <c r="Q1993" s="8"/>
      <c r="R1993" s="8"/>
      <c r="S1993" s="8"/>
      <c r="T1993" s="8"/>
      <c r="U1993" s="8"/>
      <c r="V1993" s="8"/>
      <c r="W1993" s="8"/>
      <c r="X1993" s="58"/>
      <c r="Y1993" s="8"/>
      <c r="Z1993" s="8"/>
    </row>
    <row r="1994" spans="1:28" x14ac:dyDescent="0.3">
      <c r="A1994" s="64"/>
      <c r="B1994" s="8"/>
      <c r="C1994" s="7" t="s">
        <v>261</v>
      </c>
      <c r="D1994" s="8"/>
      <c r="E1994" s="9">
        <f>1706000-350539.94</f>
        <v>1355460.06</v>
      </c>
      <c r="F1994" s="9">
        <v>1355460.06</v>
      </c>
      <c r="G1994" s="8"/>
      <c r="H1994" s="9">
        <f t="shared" ref="H1994:H2013" si="1061">F1994+G1994</f>
        <v>1355460.06</v>
      </c>
      <c r="I1994" s="8"/>
      <c r="J1994" s="8"/>
      <c r="K1994" s="8"/>
      <c r="L1994" s="9"/>
      <c r="M1994" s="9">
        <f t="shared" ref="M1994:M2013" si="1062">H1994+L1994</f>
        <v>1355460.06</v>
      </c>
      <c r="N1994" s="9">
        <v>0</v>
      </c>
      <c r="O1994" s="8"/>
      <c r="P1994" s="9">
        <f t="shared" ref="P1994:P2013" si="1063">N1994+O1994</f>
        <v>0</v>
      </c>
      <c r="Q1994" s="9"/>
      <c r="R1994" s="8"/>
      <c r="S1994" s="9"/>
      <c r="T1994" s="9"/>
      <c r="U1994" s="9">
        <f t="shared" ref="U1994:U2013" si="1064">P1994+T1994</f>
        <v>0</v>
      </c>
      <c r="V1994" s="9">
        <f t="shared" ref="V1994:V2013" si="1065">P1994+H1994</f>
        <v>1355460.06</v>
      </c>
      <c r="W1994" s="9">
        <f t="shared" ref="W1994:W2013" si="1066">E1994-V1994</f>
        <v>0</v>
      </c>
      <c r="X1994" s="9">
        <f t="shared" ref="X1994:X2013" si="1067">+H1994+P1994</f>
        <v>1355460.06</v>
      </c>
      <c r="Y1994" s="8"/>
      <c r="Z1994" s="9">
        <f t="shared" ref="Z1994:Z2013" si="1068">+E1994-X1994</f>
        <v>0</v>
      </c>
      <c r="AA1994" s="8">
        <f t="shared" ref="AA1994:AA2013" si="1069">+M1994+U1994</f>
        <v>1355460.06</v>
      </c>
      <c r="AB1994" s="8">
        <f t="shared" ref="AB1994:AB2013" si="1070">+E1994-AA1994</f>
        <v>0</v>
      </c>
    </row>
    <row r="1995" spans="1:28" x14ac:dyDescent="0.3">
      <c r="A1995" s="64"/>
      <c r="B1995" s="8"/>
      <c r="C1995" s="7" t="s">
        <v>345</v>
      </c>
      <c r="D1995" s="15" t="s">
        <v>247</v>
      </c>
      <c r="E1995" s="9">
        <v>13934098.27</v>
      </c>
      <c r="F1995" s="9">
        <v>13298215.859999999</v>
      </c>
      <c r="G1995" s="8"/>
      <c r="H1995" s="9">
        <f t="shared" si="1061"/>
        <v>13298215.859999999</v>
      </c>
      <c r="I1995" s="8"/>
      <c r="J1995" s="8"/>
      <c r="K1995" s="8"/>
      <c r="L1995" s="9"/>
      <c r="M1995" s="9">
        <f t="shared" si="1062"/>
        <v>13298215.859999999</v>
      </c>
      <c r="N1995" s="9">
        <v>635882.41</v>
      </c>
      <c r="O1995" s="8"/>
      <c r="P1995" s="9">
        <f t="shared" si="1063"/>
        <v>635882.41</v>
      </c>
      <c r="Q1995" s="8"/>
      <c r="R1995" s="8"/>
      <c r="S1995" s="8"/>
      <c r="T1995" s="9"/>
      <c r="U1995" s="9">
        <f t="shared" si="1064"/>
        <v>635882.41</v>
      </c>
      <c r="V1995" s="9">
        <f t="shared" si="1065"/>
        <v>13934098.27</v>
      </c>
      <c r="W1995" s="9">
        <f t="shared" si="1066"/>
        <v>0</v>
      </c>
      <c r="X1995" s="9">
        <f t="shared" si="1067"/>
        <v>13934098.27</v>
      </c>
      <c r="Y1995" s="8"/>
      <c r="Z1995" s="9">
        <f t="shared" si="1068"/>
        <v>0</v>
      </c>
      <c r="AA1995" s="8">
        <f t="shared" si="1069"/>
        <v>13934098.27</v>
      </c>
      <c r="AB1995" s="8">
        <f t="shared" si="1070"/>
        <v>0</v>
      </c>
    </row>
    <row r="1996" spans="1:28" x14ac:dyDescent="0.3">
      <c r="A1996" s="64"/>
      <c r="B1996" s="8"/>
      <c r="C1996" s="7" t="s">
        <v>53</v>
      </c>
      <c r="D1996" s="15" t="s">
        <v>68</v>
      </c>
      <c r="E1996" s="9">
        <v>1953989</v>
      </c>
      <c r="F1996" s="9">
        <v>0</v>
      </c>
      <c r="G1996" s="8"/>
      <c r="H1996" s="9">
        <f t="shared" si="1061"/>
        <v>0</v>
      </c>
      <c r="I1996" s="8"/>
      <c r="J1996" s="8"/>
      <c r="K1996" s="8"/>
      <c r="L1996" s="9"/>
      <c r="M1996" s="9">
        <f t="shared" si="1062"/>
        <v>0</v>
      </c>
      <c r="N1996" s="9">
        <v>1953989</v>
      </c>
      <c r="O1996" s="8"/>
      <c r="P1996" s="9">
        <f t="shared" si="1063"/>
        <v>1953989</v>
      </c>
      <c r="Q1996" s="8"/>
      <c r="R1996" s="8"/>
      <c r="S1996" s="8"/>
      <c r="T1996" s="9"/>
      <c r="U1996" s="9">
        <f t="shared" si="1064"/>
        <v>1953989</v>
      </c>
      <c r="V1996" s="9">
        <f t="shared" si="1065"/>
        <v>1953989</v>
      </c>
      <c r="W1996" s="9">
        <f t="shared" si="1066"/>
        <v>0</v>
      </c>
      <c r="X1996" s="9">
        <f t="shared" si="1067"/>
        <v>1953989</v>
      </c>
      <c r="Y1996" s="8"/>
      <c r="Z1996" s="9">
        <f t="shared" si="1068"/>
        <v>0</v>
      </c>
      <c r="AA1996" s="8">
        <f t="shared" si="1069"/>
        <v>1953989</v>
      </c>
      <c r="AB1996" s="8">
        <f t="shared" si="1070"/>
        <v>0</v>
      </c>
    </row>
    <row r="1997" spans="1:28" x14ac:dyDescent="0.3">
      <c r="A1997" s="64"/>
      <c r="B1997" s="8"/>
      <c r="C1997" s="7" t="s">
        <v>83</v>
      </c>
      <c r="D1997" s="15" t="s">
        <v>67</v>
      </c>
      <c r="E1997" s="9">
        <v>375561</v>
      </c>
      <c r="F1997" s="9">
        <v>375561</v>
      </c>
      <c r="G1997" s="8"/>
      <c r="H1997" s="9">
        <f t="shared" si="1061"/>
        <v>375561</v>
      </c>
      <c r="I1997" s="8"/>
      <c r="J1997" s="8"/>
      <c r="K1997" s="8"/>
      <c r="L1997" s="9"/>
      <c r="M1997" s="9">
        <f t="shared" si="1062"/>
        <v>375561</v>
      </c>
      <c r="N1997" s="9">
        <v>0</v>
      </c>
      <c r="O1997" s="8"/>
      <c r="P1997" s="9">
        <f t="shared" si="1063"/>
        <v>0</v>
      </c>
      <c r="Q1997" s="8"/>
      <c r="R1997" s="8"/>
      <c r="S1997" s="8"/>
      <c r="T1997" s="9"/>
      <c r="U1997" s="9">
        <f t="shared" si="1064"/>
        <v>0</v>
      </c>
      <c r="V1997" s="9">
        <f t="shared" si="1065"/>
        <v>375561</v>
      </c>
      <c r="W1997" s="9">
        <f t="shared" si="1066"/>
        <v>0</v>
      </c>
      <c r="X1997" s="9">
        <f t="shared" si="1067"/>
        <v>375561</v>
      </c>
      <c r="Y1997" s="8"/>
      <c r="Z1997" s="9">
        <f t="shared" si="1068"/>
        <v>0</v>
      </c>
      <c r="AA1997" s="8">
        <f t="shared" si="1069"/>
        <v>375561</v>
      </c>
      <c r="AB1997" s="8">
        <f t="shared" si="1070"/>
        <v>0</v>
      </c>
    </row>
    <row r="1998" spans="1:28" x14ac:dyDescent="0.3">
      <c r="A1998" s="64"/>
      <c r="B1998" s="8"/>
      <c r="C1998" s="7" t="s">
        <v>358</v>
      </c>
      <c r="D1998" s="15" t="s">
        <v>128</v>
      </c>
      <c r="E1998" s="9">
        <v>120000</v>
      </c>
      <c r="F1998" s="9">
        <v>120000</v>
      </c>
      <c r="G1998" s="8"/>
      <c r="H1998" s="9">
        <f t="shared" si="1061"/>
        <v>120000</v>
      </c>
      <c r="I1998" s="8"/>
      <c r="J1998" s="8"/>
      <c r="K1998" s="8"/>
      <c r="L1998" s="9"/>
      <c r="M1998" s="9">
        <f t="shared" si="1062"/>
        <v>120000</v>
      </c>
      <c r="N1998" s="9">
        <v>0</v>
      </c>
      <c r="O1998" s="8"/>
      <c r="P1998" s="9">
        <f t="shared" si="1063"/>
        <v>0</v>
      </c>
      <c r="Q1998" s="8"/>
      <c r="R1998" s="8"/>
      <c r="S1998" s="8"/>
      <c r="T1998" s="9"/>
      <c r="U1998" s="9">
        <f t="shared" si="1064"/>
        <v>0</v>
      </c>
      <c r="V1998" s="9">
        <f t="shared" si="1065"/>
        <v>120000</v>
      </c>
      <c r="W1998" s="9">
        <f t="shared" si="1066"/>
        <v>0</v>
      </c>
      <c r="X1998" s="9">
        <f t="shared" si="1067"/>
        <v>120000</v>
      </c>
      <c r="Y1998" s="8"/>
      <c r="Z1998" s="9">
        <f t="shared" si="1068"/>
        <v>0</v>
      </c>
      <c r="AA1998" s="8">
        <f t="shared" si="1069"/>
        <v>120000</v>
      </c>
      <c r="AB1998" s="8">
        <f t="shared" si="1070"/>
        <v>0</v>
      </c>
    </row>
    <row r="1999" spans="1:28" x14ac:dyDescent="0.3">
      <c r="A1999" s="64"/>
      <c r="B1999" s="8"/>
      <c r="C1999" s="7" t="s">
        <v>359</v>
      </c>
      <c r="D1999" s="15" t="s">
        <v>128</v>
      </c>
      <c r="E1999" s="9">
        <v>80000</v>
      </c>
      <c r="F1999" s="9">
        <v>0</v>
      </c>
      <c r="G1999" s="8"/>
      <c r="H1999" s="9">
        <f t="shared" si="1061"/>
        <v>0</v>
      </c>
      <c r="I1999" s="8"/>
      <c r="J1999" s="8"/>
      <c r="K1999" s="8"/>
      <c r="L1999" s="9"/>
      <c r="M1999" s="9">
        <f t="shared" si="1062"/>
        <v>0</v>
      </c>
      <c r="N1999" s="9">
        <v>0</v>
      </c>
      <c r="O1999" s="8"/>
      <c r="P1999" s="9">
        <f t="shared" si="1063"/>
        <v>0</v>
      </c>
      <c r="Q1999" s="8"/>
      <c r="R1999" s="8"/>
      <c r="S1999" s="8"/>
      <c r="T1999" s="9"/>
      <c r="U1999" s="9">
        <f t="shared" si="1064"/>
        <v>0</v>
      </c>
      <c r="V1999" s="9">
        <f t="shared" si="1065"/>
        <v>0</v>
      </c>
      <c r="W1999" s="9">
        <f t="shared" si="1066"/>
        <v>80000</v>
      </c>
      <c r="X1999" s="9">
        <f t="shared" si="1067"/>
        <v>0</v>
      </c>
      <c r="Y1999" s="8"/>
      <c r="Z1999" s="9">
        <f t="shared" si="1068"/>
        <v>80000</v>
      </c>
      <c r="AA1999" s="8">
        <f t="shared" si="1069"/>
        <v>0</v>
      </c>
      <c r="AB1999" s="8">
        <f t="shared" si="1070"/>
        <v>80000</v>
      </c>
    </row>
    <row r="2000" spans="1:28" x14ac:dyDescent="0.3">
      <c r="A2000" s="64"/>
      <c r="B2000" s="8"/>
      <c r="C2000" s="7" t="s">
        <v>55</v>
      </c>
      <c r="D2000" s="15" t="s">
        <v>88</v>
      </c>
      <c r="E2000" s="9">
        <v>1576755.19</v>
      </c>
      <c r="F2000" s="9">
        <v>0</v>
      </c>
      <c r="G2000" s="8"/>
      <c r="H2000" s="9">
        <f t="shared" si="1061"/>
        <v>0</v>
      </c>
      <c r="I2000" s="8"/>
      <c r="J2000" s="8"/>
      <c r="K2000" s="8"/>
      <c r="L2000" s="9"/>
      <c r="M2000" s="9">
        <f t="shared" si="1062"/>
        <v>0</v>
      </c>
      <c r="N2000" s="9">
        <v>1576755.19</v>
      </c>
      <c r="O2000" s="8"/>
      <c r="P2000" s="9">
        <f t="shared" si="1063"/>
        <v>1576755.19</v>
      </c>
      <c r="Q2000" s="8"/>
      <c r="R2000" s="8"/>
      <c r="S2000" s="8"/>
      <c r="T2000" s="9"/>
      <c r="U2000" s="9">
        <f t="shared" si="1064"/>
        <v>1576755.19</v>
      </c>
      <c r="V2000" s="9">
        <f t="shared" si="1065"/>
        <v>1576755.19</v>
      </c>
      <c r="W2000" s="9">
        <f t="shared" si="1066"/>
        <v>0</v>
      </c>
      <c r="X2000" s="9">
        <f t="shared" si="1067"/>
        <v>1576755.19</v>
      </c>
      <c r="Y2000" s="8"/>
      <c r="Z2000" s="9">
        <f t="shared" si="1068"/>
        <v>0</v>
      </c>
      <c r="AA2000" s="8">
        <f t="shared" si="1069"/>
        <v>1576755.19</v>
      </c>
      <c r="AB2000" s="8">
        <f t="shared" si="1070"/>
        <v>0</v>
      </c>
    </row>
    <row r="2001" spans="1:28" x14ac:dyDescent="0.3">
      <c r="A2001" s="64"/>
      <c r="B2001" s="8"/>
      <c r="C2001" s="7" t="s">
        <v>360</v>
      </c>
      <c r="D2001" s="15" t="s">
        <v>108</v>
      </c>
      <c r="E2001" s="9">
        <v>550000</v>
      </c>
      <c r="F2001" s="9">
        <v>550000</v>
      </c>
      <c r="G2001" s="8"/>
      <c r="H2001" s="9">
        <f t="shared" si="1061"/>
        <v>550000</v>
      </c>
      <c r="I2001" s="9"/>
      <c r="J2001" s="8"/>
      <c r="K2001" s="8"/>
      <c r="L2001" s="9"/>
      <c r="M2001" s="9">
        <f t="shared" si="1062"/>
        <v>550000</v>
      </c>
      <c r="N2001" s="9">
        <v>0</v>
      </c>
      <c r="O2001" s="8"/>
      <c r="P2001" s="9">
        <f t="shared" si="1063"/>
        <v>0</v>
      </c>
      <c r="Q2001" s="8"/>
      <c r="R2001" s="8"/>
      <c r="S2001" s="8"/>
      <c r="T2001" s="9"/>
      <c r="U2001" s="9">
        <f t="shared" si="1064"/>
        <v>0</v>
      </c>
      <c r="V2001" s="9">
        <f t="shared" si="1065"/>
        <v>550000</v>
      </c>
      <c r="W2001" s="9">
        <f t="shared" si="1066"/>
        <v>0</v>
      </c>
      <c r="X2001" s="9">
        <f t="shared" si="1067"/>
        <v>550000</v>
      </c>
      <c r="Y2001" s="8"/>
      <c r="Z2001" s="9">
        <f t="shared" si="1068"/>
        <v>0</v>
      </c>
      <c r="AA2001" s="8">
        <f t="shared" si="1069"/>
        <v>550000</v>
      </c>
      <c r="AB2001" s="8">
        <f t="shared" si="1070"/>
        <v>0</v>
      </c>
    </row>
    <row r="2002" spans="1:28" x14ac:dyDescent="0.3">
      <c r="A2002" s="64"/>
      <c r="B2002" s="8"/>
      <c r="C2002" s="7" t="s">
        <v>57</v>
      </c>
      <c r="D2002" s="15" t="s">
        <v>58</v>
      </c>
      <c r="E2002" s="9">
        <v>3278340</v>
      </c>
      <c r="F2002" s="9">
        <v>3278340</v>
      </c>
      <c r="G2002" s="8"/>
      <c r="H2002" s="9">
        <f t="shared" si="1061"/>
        <v>3278340</v>
      </c>
      <c r="I2002" s="8"/>
      <c r="J2002" s="8"/>
      <c r="K2002" s="8"/>
      <c r="L2002" s="9"/>
      <c r="M2002" s="9">
        <f t="shared" si="1062"/>
        <v>3278340</v>
      </c>
      <c r="N2002" s="9">
        <v>0</v>
      </c>
      <c r="O2002" s="8"/>
      <c r="P2002" s="9">
        <f t="shared" si="1063"/>
        <v>0</v>
      </c>
      <c r="Q2002" s="8"/>
      <c r="R2002" s="8"/>
      <c r="S2002" s="8"/>
      <c r="T2002" s="9"/>
      <c r="U2002" s="9">
        <f t="shared" si="1064"/>
        <v>0</v>
      </c>
      <c r="V2002" s="9">
        <f t="shared" si="1065"/>
        <v>3278340</v>
      </c>
      <c r="W2002" s="9">
        <f t="shared" si="1066"/>
        <v>0</v>
      </c>
      <c r="X2002" s="9">
        <f t="shared" si="1067"/>
        <v>3278340</v>
      </c>
      <c r="Y2002" s="8"/>
      <c r="Z2002" s="9">
        <f t="shared" si="1068"/>
        <v>0</v>
      </c>
      <c r="AA2002" s="8">
        <f t="shared" si="1069"/>
        <v>3278340</v>
      </c>
      <c r="AB2002" s="8">
        <f t="shared" si="1070"/>
        <v>0</v>
      </c>
    </row>
    <row r="2003" spans="1:28" x14ac:dyDescent="0.3">
      <c r="A2003" s="64"/>
      <c r="B2003" s="8"/>
      <c r="C2003" s="14" t="s">
        <v>109</v>
      </c>
      <c r="D2003" s="21" t="s">
        <v>60</v>
      </c>
      <c r="E2003" s="9">
        <v>7500000</v>
      </c>
      <c r="F2003" s="11">
        <v>7500000</v>
      </c>
      <c r="G2003" s="8"/>
      <c r="H2003" s="9">
        <f t="shared" si="1061"/>
        <v>7500000</v>
      </c>
      <c r="I2003" s="8"/>
      <c r="J2003" s="8"/>
      <c r="K2003" s="8"/>
      <c r="L2003" s="9"/>
      <c r="M2003" s="9">
        <f t="shared" si="1062"/>
        <v>7500000</v>
      </c>
      <c r="N2003" s="9">
        <v>0</v>
      </c>
      <c r="O2003" s="8"/>
      <c r="P2003" s="9">
        <f t="shared" si="1063"/>
        <v>0</v>
      </c>
      <c r="Q2003" s="8"/>
      <c r="R2003" s="8"/>
      <c r="S2003" s="8"/>
      <c r="T2003" s="9"/>
      <c r="U2003" s="9">
        <f t="shared" si="1064"/>
        <v>0</v>
      </c>
      <c r="V2003" s="9">
        <f t="shared" si="1065"/>
        <v>7500000</v>
      </c>
      <c r="W2003" s="9">
        <f t="shared" si="1066"/>
        <v>0</v>
      </c>
      <c r="X2003" s="9">
        <f t="shared" si="1067"/>
        <v>7500000</v>
      </c>
      <c r="Y2003" s="8"/>
      <c r="Z2003" s="9">
        <f t="shared" si="1068"/>
        <v>0</v>
      </c>
      <c r="AA2003" s="8">
        <f t="shared" si="1069"/>
        <v>7500000</v>
      </c>
      <c r="AB2003" s="8">
        <f t="shared" si="1070"/>
        <v>0</v>
      </c>
    </row>
    <row r="2004" spans="1:28" x14ac:dyDescent="0.3">
      <c r="A2004" s="64"/>
      <c r="B2004" s="8"/>
      <c r="C2004" s="7" t="s">
        <v>69</v>
      </c>
      <c r="D2004" s="8"/>
      <c r="E2004" s="9">
        <v>955345.62</v>
      </c>
      <c r="F2004" s="9">
        <v>0</v>
      </c>
      <c r="G2004" s="8"/>
      <c r="H2004" s="9">
        <f t="shared" si="1061"/>
        <v>0</v>
      </c>
      <c r="I2004" s="8"/>
      <c r="J2004" s="8"/>
      <c r="K2004" s="8"/>
      <c r="L2004" s="9"/>
      <c r="M2004" s="9">
        <f t="shared" si="1062"/>
        <v>0</v>
      </c>
      <c r="N2004" s="9">
        <v>955345.62</v>
      </c>
      <c r="O2004" s="8"/>
      <c r="P2004" s="9">
        <f t="shared" si="1063"/>
        <v>955345.62</v>
      </c>
      <c r="Q2004" s="8"/>
      <c r="R2004" s="8"/>
      <c r="S2004" s="8"/>
      <c r="T2004" s="9"/>
      <c r="U2004" s="9">
        <f t="shared" si="1064"/>
        <v>955345.62</v>
      </c>
      <c r="V2004" s="9">
        <f t="shared" si="1065"/>
        <v>955345.62</v>
      </c>
      <c r="W2004" s="9">
        <f t="shared" si="1066"/>
        <v>0</v>
      </c>
      <c r="X2004" s="9">
        <f t="shared" si="1067"/>
        <v>955345.62</v>
      </c>
      <c r="Y2004" s="8"/>
      <c r="Z2004" s="9">
        <f t="shared" si="1068"/>
        <v>0</v>
      </c>
      <c r="AA2004" s="8">
        <f t="shared" si="1069"/>
        <v>955345.62</v>
      </c>
      <c r="AB2004" s="8">
        <f t="shared" si="1070"/>
        <v>0</v>
      </c>
    </row>
    <row r="2005" spans="1:28" x14ac:dyDescent="0.3">
      <c r="A2005" s="64"/>
      <c r="B2005" s="8"/>
      <c r="C2005" s="7" t="s">
        <v>57</v>
      </c>
      <c r="D2005" s="15" t="s">
        <v>60</v>
      </c>
      <c r="E2005" s="9">
        <f>2087170+1722729+556429+2468884.51+3164787.49</f>
        <v>10000000</v>
      </c>
      <c r="F2005" s="11">
        <f>6835212.51+3164787.49</f>
        <v>10000000</v>
      </c>
      <c r="G2005" s="11"/>
      <c r="H2005" s="9">
        <f t="shared" si="1061"/>
        <v>10000000</v>
      </c>
      <c r="I2005" s="11"/>
      <c r="J2005" s="11"/>
      <c r="K2005" s="8"/>
      <c r="L2005" s="9"/>
      <c r="M2005" s="9">
        <f t="shared" si="1062"/>
        <v>10000000</v>
      </c>
      <c r="N2005" s="9">
        <v>0</v>
      </c>
      <c r="O2005" s="8"/>
      <c r="P2005" s="9">
        <f t="shared" si="1063"/>
        <v>0</v>
      </c>
      <c r="Q2005" s="8"/>
      <c r="R2005" s="8"/>
      <c r="S2005" s="8"/>
      <c r="T2005" s="9"/>
      <c r="U2005" s="9">
        <f t="shared" si="1064"/>
        <v>0</v>
      </c>
      <c r="V2005" s="9">
        <f t="shared" si="1065"/>
        <v>10000000</v>
      </c>
      <c r="W2005" s="9">
        <f t="shared" si="1066"/>
        <v>0</v>
      </c>
      <c r="X2005" s="9">
        <f t="shared" si="1067"/>
        <v>10000000</v>
      </c>
      <c r="Y2005" s="8"/>
      <c r="Z2005" s="9">
        <f t="shared" si="1068"/>
        <v>0</v>
      </c>
      <c r="AA2005" s="8">
        <f t="shared" si="1069"/>
        <v>10000000</v>
      </c>
      <c r="AB2005" s="8">
        <f t="shared" si="1070"/>
        <v>0</v>
      </c>
    </row>
    <row r="2006" spans="1:28" x14ac:dyDescent="0.3">
      <c r="A2006" s="64"/>
      <c r="B2006" s="8"/>
      <c r="C2006" s="7" t="s">
        <v>57</v>
      </c>
      <c r="D2006" s="15" t="s">
        <v>73</v>
      </c>
      <c r="E2006" s="9">
        <v>15107577.140000001</v>
      </c>
      <c r="F2006" s="11">
        <v>15107577.140000001</v>
      </c>
      <c r="G2006" s="8"/>
      <c r="H2006" s="9">
        <f t="shared" si="1061"/>
        <v>15107577.140000001</v>
      </c>
      <c r="I2006" s="8"/>
      <c r="J2006" s="8"/>
      <c r="K2006" s="8"/>
      <c r="L2006" s="9"/>
      <c r="M2006" s="9">
        <f t="shared" si="1062"/>
        <v>15107577.140000001</v>
      </c>
      <c r="N2006" s="9">
        <v>0</v>
      </c>
      <c r="O2006" s="8"/>
      <c r="P2006" s="9">
        <f t="shared" si="1063"/>
        <v>0</v>
      </c>
      <c r="Q2006" s="8"/>
      <c r="R2006" s="8"/>
      <c r="S2006" s="8"/>
      <c r="T2006" s="9"/>
      <c r="U2006" s="9">
        <f t="shared" si="1064"/>
        <v>0</v>
      </c>
      <c r="V2006" s="9">
        <f t="shared" si="1065"/>
        <v>15107577.140000001</v>
      </c>
      <c r="W2006" s="9">
        <f t="shared" si="1066"/>
        <v>0</v>
      </c>
      <c r="X2006" s="9">
        <f t="shared" si="1067"/>
        <v>15107577.140000001</v>
      </c>
      <c r="Y2006" s="8"/>
      <c r="Z2006" s="9">
        <f t="shared" si="1068"/>
        <v>0</v>
      </c>
      <c r="AA2006" s="8">
        <f t="shared" si="1069"/>
        <v>15107577.140000001</v>
      </c>
      <c r="AB2006" s="8">
        <f t="shared" si="1070"/>
        <v>0</v>
      </c>
    </row>
    <row r="2007" spans="1:28" x14ac:dyDescent="0.3">
      <c r="A2007" s="64"/>
      <c r="B2007" s="8"/>
      <c r="C2007" s="7" t="s">
        <v>1065</v>
      </c>
      <c r="D2007" s="15"/>
      <c r="E2007" s="9">
        <v>700000</v>
      </c>
      <c r="F2007" s="8">
        <v>700000</v>
      </c>
      <c r="G2007" s="8"/>
      <c r="H2007" s="9">
        <f t="shared" si="1061"/>
        <v>700000</v>
      </c>
      <c r="I2007" s="8"/>
      <c r="J2007" s="8"/>
      <c r="K2007" s="8"/>
      <c r="L2007" s="9"/>
      <c r="M2007" s="9">
        <f t="shared" si="1062"/>
        <v>700000</v>
      </c>
      <c r="N2007" s="9">
        <v>0</v>
      </c>
      <c r="O2007" s="8"/>
      <c r="P2007" s="9">
        <f t="shared" si="1063"/>
        <v>0</v>
      </c>
      <c r="Q2007" s="8"/>
      <c r="R2007" s="8"/>
      <c r="S2007" s="8"/>
      <c r="T2007" s="9"/>
      <c r="U2007" s="9">
        <f>P2007+T2007</f>
        <v>0</v>
      </c>
      <c r="V2007" s="9">
        <f>P2007+H2007</f>
        <v>700000</v>
      </c>
      <c r="W2007" s="9">
        <f>E2007-V2007</f>
        <v>0</v>
      </c>
      <c r="X2007" s="9">
        <f t="shared" si="1067"/>
        <v>700000</v>
      </c>
      <c r="Y2007" s="8"/>
      <c r="Z2007" s="9">
        <f t="shared" si="1068"/>
        <v>0</v>
      </c>
      <c r="AA2007" s="8">
        <f t="shared" si="1069"/>
        <v>700000</v>
      </c>
      <c r="AB2007" s="8">
        <f t="shared" si="1070"/>
        <v>0</v>
      </c>
    </row>
    <row r="2008" spans="1:28" x14ac:dyDescent="0.3">
      <c r="A2008" s="64"/>
      <c r="B2008" s="8"/>
      <c r="C2008" s="7" t="s">
        <v>924</v>
      </c>
      <c r="D2008" s="15"/>
      <c r="E2008" s="9">
        <v>109086.54</v>
      </c>
      <c r="F2008" s="8"/>
      <c r="G2008" s="8"/>
      <c r="H2008" s="9"/>
      <c r="I2008" s="8"/>
      <c r="J2008" s="8"/>
      <c r="K2008" s="8"/>
      <c r="L2008" s="9"/>
      <c r="M2008" s="9"/>
      <c r="N2008" s="9">
        <v>109086.54</v>
      </c>
      <c r="O2008" s="8"/>
      <c r="P2008" s="9">
        <f>+N2008+O2008</f>
        <v>109086.54</v>
      </c>
      <c r="Q2008" s="8"/>
      <c r="R2008" s="8"/>
      <c r="S2008" s="8"/>
      <c r="T2008" s="9"/>
      <c r="U2008" s="9">
        <f>+P2008+T2008</f>
        <v>109086.54</v>
      </c>
      <c r="V2008" s="9"/>
      <c r="W2008" s="9"/>
      <c r="X2008" s="9">
        <f t="shared" si="1067"/>
        <v>109086.54</v>
      </c>
      <c r="Y2008" s="8"/>
      <c r="Z2008" s="9">
        <f t="shared" si="1068"/>
        <v>0</v>
      </c>
      <c r="AA2008" s="8">
        <f t="shared" si="1069"/>
        <v>109086.54</v>
      </c>
      <c r="AB2008" s="8">
        <f t="shared" si="1070"/>
        <v>0</v>
      </c>
    </row>
    <row r="2009" spans="1:28" x14ac:dyDescent="0.3">
      <c r="A2009" s="64"/>
      <c r="B2009" s="8"/>
      <c r="C2009" s="7" t="s">
        <v>930</v>
      </c>
      <c r="D2009" s="15"/>
      <c r="E2009" s="9">
        <f>8132000+8142000</f>
        <v>16274000</v>
      </c>
      <c r="F2009" s="8">
        <f>8132000+8142000</f>
        <v>16274000</v>
      </c>
      <c r="G2009" s="8"/>
      <c r="H2009" s="9">
        <f>+F2009+G2009</f>
        <v>16274000</v>
      </c>
      <c r="I2009" s="8"/>
      <c r="J2009" s="8"/>
      <c r="K2009" s="8"/>
      <c r="L2009" s="9"/>
      <c r="M2009" s="9">
        <f>+H2009+L2009</f>
        <v>16274000</v>
      </c>
      <c r="N2009" s="9">
        <v>0</v>
      </c>
      <c r="O2009" s="8"/>
      <c r="P2009" s="9">
        <f>+N2009+O2009</f>
        <v>0</v>
      </c>
      <c r="Q2009" s="8"/>
      <c r="R2009" s="8"/>
      <c r="S2009" s="8"/>
      <c r="T2009" s="9"/>
      <c r="U2009" s="9">
        <f>+P2009+T2009</f>
        <v>0</v>
      </c>
      <c r="V2009" s="9"/>
      <c r="W2009" s="9"/>
      <c r="X2009" s="9">
        <f t="shared" si="1067"/>
        <v>16274000</v>
      </c>
      <c r="Y2009" s="8"/>
      <c r="Z2009" s="9">
        <f t="shared" si="1068"/>
        <v>0</v>
      </c>
      <c r="AA2009" s="8">
        <f t="shared" si="1069"/>
        <v>16274000</v>
      </c>
      <c r="AB2009" s="8">
        <f t="shared" si="1070"/>
        <v>0</v>
      </c>
    </row>
    <row r="2010" spans="1:28" x14ac:dyDescent="0.3">
      <c r="A2010" s="64"/>
      <c r="B2010" s="8"/>
      <c r="C2010" s="7" t="s">
        <v>1176</v>
      </c>
      <c r="D2010" s="16" t="s">
        <v>1126</v>
      </c>
      <c r="E2010" s="9">
        <f>12254011.99+6038884.66</f>
        <v>18292896.649999999</v>
      </c>
      <c r="F2010" s="8">
        <f>12254011.99+6038884.66</f>
        <v>18292896.649999999</v>
      </c>
      <c r="G2010" s="8"/>
      <c r="H2010" s="9">
        <f>+F2010+G2010</f>
        <v>18292896.649999999</v>
      </c>
      <c r="I2010" s="8"/>
      <c r="J2010" s="8"/>
      <c r="K2010" s="8"/>
      <c r="L2010" s="9"/>
      <c r="M2010" s="9">
        <f>+H2010+L2010</f>
        <v>18292896.649999999</v>
      </c>
      <c r="N2010" s="9">
        <v>0</v>
      </c>
      <c r="O2010" s="8"/>
      <c r="P2010" s="9">
        <f>+N2010+O2010</f>
        <v>0</v>
      </c>
      <c r="Q2010" s="8"/>
      <c r="R2010" s="8"/>
      <c r="S2010" s="8"/>
      <c r="T2010" s="9"/>
      <c r="U2010" s="9">
        <f>+P2010+T2010</f>
        <v>0</v>
      </c>
      <c r="V2010" s="9"/>
      <c r="W2010" s="9"/>
      <c r="X2010" s="9">
        <f>+H2010+P2010</f>
        <v>18292896.649999999</v>
      </c>
      <c r="Y2010" s="8"/>
      <c r="Z2010" s="9">
        <f>+E2010-X2010</f>
        <v>0</v>
      </c>
      <c r="AA2010" s="8">
        <f>+M2010+U2010</f>
        <v>18292896.649999999</v>
      </c>
      <c r="AB2010" s="8">
        <f>+E2010-AA2010</f>
        <v>0</v>
      </c>
    </row>
    <row r="2011" spans="1:28" x14ac:dyDescent="0.3">
      <c r="A2011" s="64"/>
      <c r="B2011" s="8"/>
      <c r="C2011" s="7" t="s">
        <v>1242</v>
      </c>
      <c r="D2011" s="16" t="s">
        <v>1225</v>
      </c>
      <c r="E2011" s="9">
        <f>5410171.87+13377916.69</f>
        <v>18788088.559999999</v>
      </c>
      <c r="F2011" s="8"/>
      <c r="G2011" s="8">
        <f>5410171.87+13377916.69</f>
        <v>18788088.559999999</v>
      </c>
      <c r="H2011" s="9">
        <f>+F2011+G2011</f>
        <v>18788088.559999999</v>
      </c>
      <c r="I2011" s="8"/>
      <c r="J2011" s="8"/>
      <c r="K2011" s="8"/>
      <c r="L2011" s="9"/>
      <c r="M2011" s="9">
        <f>+H2011+L2011</f>
        <v>18788088.559999999</v>
      </c>
      <c r="N2011" s="9">
        <v>0</v>
      </c>
      <c r="O2011" s="8"/>
      <c r="P2011" s="9">
        <f>+N2011+O2011</f>
        <v>0</v>
      </c>
      <c r="Q2011" s="8"/>
      <c r="R2011" s="8"/>
      <c r="S2011" s="8"/>
      <c r="T2011" s="9"/>
      <c r="U2011" s="9">
        <f>+P2011+T2011</f>
        <v>0</v>
      </c>
      <c r="V2011" s="9"/>
      <c r="W2011" s="9"/>
      <c r="X2011" s="9">
        <f>+H2011+P2011</f>
        <v>18788088.559999999</v>
      </c>
      <c r="Y2011" s="8"/>
      <c r="Z2011" s="9">
        <f>+E2011-X2011</f>
        <v>0</v>
      </c>
      <c r="AA2011" s="8">
        <f>+M2011+U2011</f>
        <v>18788088.559999999</v>
      </c>
      <c r="AB2011" s="8">
        <f>+E2011-AA2011</f>
        <v>0</v>
      </c>
    </row>
    <row r="2012" spans="1:28" x14ac:dyDescent="0.3">
      <c r="A2012" s="64"/>
      <c r="B2012" s="8"/>
      <c r="C2012" s="7" t="s">
        <v>1237</v>
      </c>
      <c r="D2012" s="16" t="s">
        <v>1225</v>
      </c>
      <c r="E2012" s="9">
        <v>150000</v>
      </c>
      <c r="F2012" s="8">
        <v>150000</v>
      </c>
      <c r="G2012" s="8"/>
      <c r="H2012" s="9">
        <f>+F2012+G2012</f>
        <v>150000</v>
      </c>
      <c r="I2012" s="8"/>
      <c r="J2012" s="8"/>
      <c r="K2012" s="8"/>
      <c r="L2012" s="9"/>
      <c r="M2012" s="9">
        <f>+H2012+L2012</f>
        <v>150000</v>
      </c>
      <c r="N2012" s="9">
        <v>0</v>
      </c>
      <c r="O2012" s="8"/>
      <c r="P2012" s="9">
        <f>+N2012+O2012</f>
        <v>0</v>
      </c>
      <c r="Q2012" s="8"/>
      <c r="R2012" s="8"/>
      <c r="S2012" s="8"/>
      <c r="T2012" s="9"/>
      <c r="U2012" s="9">
        <f>+P2012+T2012</f>
        <v>0</v>
      </c>
      <c r="V2012" s="9"/>
      <c r="W2012" s="9"/>
      <c r="X2012" s="9">
        <f>+H2012+P2012</f>
        <v>150000</v>
      </c>
      <c r="Y2012" s="8"/>
      <c r="Z2012" s="9">
        <f>+E2012-X2012</f>
        <v>0</v>
      </c>
      <c r="AA2012" s="8">
        <f>+M2012+U2012</f>
        <v>150000</v>
      </c>
      <c r="AB2012" s="8">
        <f>+E2012-AA2012</f>
        <v>0</v>
      </c>
    </row>
    <row r="2013" spans="1:28" x14ac:dyDescent="0.3">
      <c r="A2013" s="64"/>
      <c r="B2013" s="8"/>
      <c r="C2013" s="7" t="s">
        <v>57</v>
      </c>
      <c r="D2013" s="16" t="s">
        <v>61</v>
      </c>
      <c r="E2013" s="9">
        <f>2021003.96+14842996.03+32572.23</f>
        <v>16896572.219999999</v>
      </c>
      <c r="F2013" s="8">
        <f>2021003.96+14842996.03</f>
        <v>16863999.989999998</v>
      </c>
      <c r="G2013" s="8"/>
      <c r="H2013" s="9">
        <f t="shared" si="1061"/>
        <v>16863999.989999998</v>
      </c>
      <c r="I2013" s="8"/>
      <c r="J2013" s="8"/>
      <c r="K2013" s="8"/>
      <c r="L2013" s="9"/>
      <c r="M2013" s="9">
        <f t="shared" si="1062"/>
        <v>16863999.989999998</v>
      </c>
      <c r="N2013" s="9">
        <v>0</v>
      </c>
      <c r="O2013" s="8"/>
      <c r="P2013" s="9">
        <f t="shared" si="1063"/>
        <v>0</v>
      </c>
      <c r="Q2013" s="8">
        <v>32572.23</v>
      </c>
      <c r="R2013" s="8"/>
      <c r="S2013" s="8"/>
      <c r="T2013" s="9">
        <v>32572.23</v>
      </c>
      <c r="U2013" s="9">
        <f t="shared" si="1064"/>
        <v>32572.23</v>
      </c>
      <c r="V2013" s="9">
        <f t="shared" si="1065"/>
        <v>16863999.989999998</v>
      </c>
      <c r="W2013" s="9">
        <f t="shared" si="1066"/>
        <v>32572.230000000447</v>
      </c>
      <c r="X2013" s="9">
        <f t="shared" si="1067"/>
        <v>16863999.989999998</v>
      </c>
      <c r="Y2013" s="8"/>
      <c r="Z2013" s="9">
        <f t="shared" si="1068"/>
        <v>32572.230000000447</v>
      </c>
      <c r="AA2013" s="8">
        <f t="shared" si="1069"/>
        <v>16896572.219999999</v>
      </c>
      <c r="AB2013" s="8">
        <f t="shared" si="1070"/>
        <v>0</v>
      </c>
    </row>
    <row r="2014" spans="1:28" x14ac:dyDescent="0.3">
      <c r="A2014" s="64"/>
      <c r="B2014" s="8"/>
      <c r="C2014" s="8"/>
      <c r="D2014" s="8"/>
      <c r="E2014" s="17" t="s">
        <v>29</v>
      </c>
      <c r="F2014" s="17" t="s">
        <v>29</v>
      </c>
      <c r="G2014" s="17" t="s">
        <v>29</v>
      </c>
      <c r="H2014" s="17" t="s">
        <v>29</v>
      </c>
      <c r="I2014" s="17" t="s">
        <v>29</v>
      </c>
      <c r="J2014" s="17" t="s">
        <v>29</v>
      </c>
      <c r="K2014" s="17" t="s">
        <v>29</v>
      </c>
      <c r="L2014" s="17" t="s">
        <v>29</v>
      </c>
      <c r="M2014" s="17" t="s">
        <v>29</v>
      </c>
      <c r="N2014" s="17" t="s">
        <v>29</v>
      </c>
      <c r="O2014" s="17" t="s">
        <v>29</v>
      </c>
      <c r="P2014" s="17" t="s">
        <v>29</v>
      </c>
      <c r="Q2014" s="17" t="s">
        <v>29</v>
      </c>
      <c r="R2014" s="17" t="s">
        <v>29</v>
      </c>
      <c r="S2014" s="17" t="s">
        <v>29</v>
      </c>
      <c r="T2014" s="17" t="s">
        <v>29</v>
      </c>
      <c r="U2014" s="17" t="s">
        <v>29</v>
      </c>
      <c r="V2014" s="17" t="s">
        <v>29</v>
      </c>
      <c r="W2014" s="17" t="s">
        <v>29</v>
      </c>
      <c r="X2014" s="17" t="s">
        <v>29</v>
      </c>
      <c r="Y2014" s="17" t="s">
        <v>29</v>
      </c>
      <c r="Z2014" s="17" t="s">
        <v>29</v>
      </c>
      <c r="AA2014" s="17" t="s">
        <v>29</v>
      </c>
      <c r="AB2014" s="17" t="s">
        <v>29</v>
      </c>
    </row>
    <row r="2015" spans="1:28" x14ac:dyDescent="0.3">
      <c r="A2015" s="64"/>
      <c r="B2015" s="8"/>
      <c r="C2015" s="8"/>
      <c r="D2015" s="8"/>
      <c r="E2015" s="9">
        <f t="shared" ref="E2015:AB2015" si="1071">SUM(E1994:E2013)</f>
        <v>127997770.25</v>
      </c>
      <c r="F2015" s="9">
        <f t="shared" si="1071"/>
        <v>103866050.7</v>
      </c>
      <c r="G2015" s="9">
        <f t="shared" si="1071"/>
        <v>18788088.559999999</v>
      </c>
      <c r="H2015" s="9">
        <f t="shared" si="1071"/>
        <v>122654139.26000001</v>
      </c>
      <c r="I2015" s="9">
        <f t="shared" si="1071"/>
        <v>0</v>
      </c>
      <c r="J2015" s="9">
        <f t="shared" si="1071"/>
        <v>0</v>
      </c>
      <c r="K2015" s="9">
        <f t="shared" si="1071"/>
        <v>0</v>
      </c>
      <c r="L2015" s="9">
        <f t="shared" si="1071"/>
        <v>0</v>
      </c>
      <c r="M2015" s="9">
        <f t="shared" si="1071"/>
        <v>122654139.26000001</v>
      </c>
      <c r="N2015" s="9">
        <f t="shared" si="1071"/>
        <v>5231058.76</v>
      </c>
      <c r="O2015" s="9">
        <f t="shared" si="1071"/>
        <v>0</v>
      </c>
      <c r="P2015" s="9">
        <f t="shared" si="1071"/>
        <v>5231058.76</v>
      </c>
      <c r="Q2015" s="9">
        <f t="shared" si="1071"/>
        <v>32572.23</v>
      </c>
      <c r="R2015" s="9">
        <f t="shared" si="1071"/>
        <v>0</v>
      </c>
      <c r="S2015" s="9">
        <f t="shared" si="1071"/>
        <v>0</v>
      </c>
      <c r="T2015" s="9">
        <f t="shared" si="1071"/>
        <v>32572.23</v>
      </c>
      <c r="U2015" s="9">
        <f t="shared" si="1071"/>
        <v>5263630.99</v>
      </c>
      <c r="V2015" s="9">
        <f t="shared" si="1071"/>
        <v>74271126.269999996</v>
      </c>
      <c r="W2015" s="9">
        <f t="shared" si="1071"/>
        <v>112572.23000000045</v>
      </c>
      <c r="X2015" s="9">
        <f t="shared" si="1071"/>
        <v>127885198.02</v>
      </c>
      <c r="Y2015" s="9">
        <f t="shared" si="1071"/>
        <v>0</v>
      </c>
      <c r="Z2015" s="9">
        <f t="shared" si="1071"/>
        <v>112572.23000000045</v>
      </c>
      <c r="AA2015" s="9">
        <f t="shared" si="1071"/>
        <v>127917770.25</v>
      </c>
      <c r="AB2015" s="9">
        <f t="shared" si="1071"/>
        <v>80000</v>
      </c>
    </row>
    <row r="2016" spans="1:28" x14ac:dyDescent="0.3">
      <c r="A2016" s="64"/>
      <c r="B2016" s="8"/>
      <c r="C2016" s="8"/>
      <c r="D2016" s="8"/>
      <c r="E2016" s="17" t="s">
        <v>29</v>
      </c>
      <c r="F2016" s="17" t="s">
        <v>29</v>
      </c>
      <c r="G2016" s="17" t="s">
        <v>29</v>
      </c>
      <c r="H2016" s="17" t="s">
        <v>29</v>
      </c>
      <c r="I2016" s="17" t="s">
        <v>29</v>
      </c>
      <c r="J2016" s="17" t="s">
        <v>29</v>
      </c>
      <c r="K2016" s="17" t="s">
        <v>29</v>
      </c>
      <c r="L2016" s="17" t="s">
        <v>29</v>
      </c>
      <c r="M2016" s="17" t="s">
        <v>29</v>
      </c>
      <c r="N2016" s="17" t="s">
        <v>29</v>
      </c>
      <c r="O2016" s="17" t="s">
        <v>29</v>
      </c>
      <c r="P2016" s="17" t="s">
        <v>29</v>
      </c>
      <c r="Q2016" s="17" t="s">
        <v>29</v>
      </c>
      <c r="R2016" s="17" t="s">
        <v>29</v>
      </c>
      <c r="S2016" s="17" t="s">
        <v>29</v>
      </c>
      <c r="T2016" s="17" t="s">
        <v>29</v>
      </c>
      <c r="U2016" s="17" t="s">
        <v>29</v>
      </c>
      <c r="V2016" s="17" t="s">
        <v>29</v>
      </c>
      <c r="W2016" s="17" t="s">
        <v>29</v>
      </c>
      <c r="X2016" s="17" t="s">
        <v>29</v>
      </c>
      <c r="Y2016" s="17" t="s">
        <v>29</v>
      </c>
      <c r="Z2016" s="17" t="s">
        <v>29</v>
      </c>
      <c r="AA2016" s="17" t="s">
        <v>29</v>
      </c>
      <c r="AB2016" s="17" t="s">
        <v>29</v>
      </c>
    </row>
    <row r="2017" spans="1:28" x14ac:dyDescent="0.3">
      <c r="A2017" s="63" t="s">
        <v>1025</v>
      </c>
      <c r="B2017" s="7" t="s">
        <v>361</v>
      </c>
      <c r="C2017" s="8"/>
      <c r="D2017" s="8"/>
      <c r="E2017" s="8"/>
      <c r="F2017" s="8"/>
      <c r="G2017" s="8"/>
      <c r="H2017" s="8"/>
      <c r="I2017" s="8"/>
      <c r="J2017" s="8"/>
      <c r="K2017" s="8"/>
      <c r="L2017" s="8"/>
      <c r="M2017" s="8"/>
      <c r="N2017" s="8"/>
      <c r="O2017" s="8"/>
      <c r="P2017" s="8"/>
      <c r="Q2017" s="8"/>
      <c r="R2017" s="8"/>
      <c r="S2017" s="8"/>
      <c r="T2017" s="8"/>
      <c r="U2017" s="8"/>
      <c r="V2017" s="8"/>
      <c r="W2017" s="8"/>
      <c r="X2017" s="58"/>
      <c r="Y2017" s="8"/>
      <c r="Z2017" s="8"/>
    </row>
    <row r="2018" spans="1:28" x14ac:dyDescent="0.3">
      <c r="A2018" s="64"/>
      <c r="B2018" s="8"/>
      <c r="C2018" s="8"/>
      <c r="D2018" s="15" t="s">
        <v>362</v>
      </c>
      <c r="E2018" s="8"/>
      <c r="F2018" s="8"/>
      <c r="G2018" s="8"/>
      <c r="H2018" s="8"/>
      <c r="I2018" s="8"/>
      <c r="J2018" s="8"/>
      <c r="K2018" s="8"/>
      <c r="L2018" s="8"/>
      <c r="M2018" s="8"/>
      <c r="N2018" s="8"/>
      <c r="O2018" s="8"/>
      <c r="P2018" s="8"/>
      <c r="Q2018" s="8"/>
      <c r="R2018" s="8"/>
      <c r="S2018" s="8"/>
      <c r="T2018" s="8"/>
      <c r="U2018" s="8"/>
      <c r="V2018" s="8"/>
      <c r="W2018" s="8"/>
      <c r="X2018" s="8"/>
      <c r="Y2018" s="8"/>
      <c r="Z2018" s="8"/>
    </row>
    <row r="2019" spans="1:28" x14ac:dyDescent="0.3">
      <c r="A2019" s="64"/>
      <c r="B2019" s="8"/>
      <c r="C2019" s="7" t="s">
        <v>363</v>
      </c>
      <c r="D2019" s="14" t="s">
        <v>364</v>
      </c>
      <c r="E2019" s="9">
        <v>21392780.350000001</v>
      </c>
      <c r="F2019" s="9">
        <v>21392780.350000001</v>
      </c>
      <c r="G2019" s="8"/>
      <c r="H2019" s="9">
        <f t="shared" ref="H2019:H2039" si="1072">F2019+G2019</f>
        <v>21392780.350000001</v>
      </c>
      <c r="I2019" s="8"/>
      <c r="J2019" s="8"/>
      <c r="K2019" s="8"/>
      <c r="L2019" s="9"/>
      <c r="M2019" s="9">
        <f t="shared" ref="M2019:M2039" si="1073">H2019+L2019</f>
        <v>21392780.350000001</v>
      </c>
      <c r="N2019" s="9">
        <v>0</v>
      </c>
      <c r="O2019" s="8"/>
      <c r="P2019" s="9">
        <f t="shared" ref="P2019:P2039" si="1074">N2019+O2019</f>
        <v>0</v>
      </c>
      <c r="Q2019" s="8"/>
      <c r="R2019" s="8"/>
      <c r="S2019" s="8"/>
      <c r="T2019" s="9"/>
      <c r="U2019" s="9">
        <f t="shared" ref="U2019:U2039" si="1075">P2019+T2019</f>
        <v>0</v>
      </c>
      <c r="V2019" s="9">
        <f t="shared" ref="V2019:V2039" si="1076">P2019+H2019</f>
        <v>21392780.350000001</v>
      </c>
      <c r="W2019" s="9">
        <f t="shared" ref="W2019:W2039" si="1077">E2019-V2019</f>
        <v>0</v>
      </c>
      <c r="X2019" s="9">
        <f t="shared" ref="X2019:X2039" si="1078">+H2019+P2019</f>
        <v>21392780.350000001</v>
      </c>
      <c r="Y2019" s="8"/>
      <c r="Z2019" s="9">
        <f t="shared" ref="Z2019:Z2039" si="1079">+E2019-X2019</f>
        <v>0</v>
      </c>
      <c r="AA2019" s="8">
        <f t="shared" ref="AA2019:AA2039" si="1080">+M2019+U2019</f>
        <v>21392780.350000001</v>
      </c>
      <c r="AB2019" s="8">
        <f t="shared" ref="AB2019:AB2039" si="1081">+E2019-AA2019</f>
        <v>0</v>
      </c>
    </row>
    <row r="2020" spans="1:28" x14ac:dyDescent="0.3">
      <c r="A2020" s="64"/>
      <c r="B2020" s="8"/>
      <c r="C2020" s="7" t="s">
        <v>83</v>
      </c>
      <c r="D2020" s="15" t="s">
        <v>67</v>
      </c>
      <c r="E2020" s="9">
        <v>776966</v>
      </c>
      <c r="F2020" s="9">
        <v>600709.6</v>
      </c>
      <c r="G2020" s="8"/>
      <c r="H2020" s="9">
        <f t="shared" si="1072"/>
        <v>600709.6</v>
      </c>
      <c r="I2020" s="8"/>
      <c r="J2020" s="8"/>
      <c r="K2020" s="8"/>
      <c r="L2020" s="9"/>
      <c r="M2020" s="9">
        <f t="shared" si="1073"/>
        <v>600709.6</v>
      </c>
      <c r="N2020" s="9">
        <v>176256.4</v>
      </c>
      <c r="O2020" s="8"/>
      <c r="P2020" s="9">
        <f t="shared" si="1074"/>
        <v>176256.4</v>
      </c>
      <c r="Q2020" s="9"/>
      <c r="R2020" s="8"/>
      <c r="S2020" s="9"/>
      <c r="T2020" s="9"/>
      <c r="U2020" s="9">
        <f t="shared" si="1075"/>
        <v>176256.4</v>
      </c>
      <c r="V2020" s="9">
        <f t="shared" si="1076"/>
        <v>776966</v>
      </c>
      <c r="W2020" s="9">
        <f t="shared" si="1077"/>
        <v>0</v>
      </c>
      <c r="X2020" s="9">
        <f t="shared" si="1078"/>
        <v>776966</v>
      </c>
      <c r="Y2020" s="8"/>
      <c r="Z2020" s="9">
        <f t="shared" si="1079"/>
        <v>0</v>
      </c>
      <c r="AA2020" s="8">
        <f t="shared" si="1080"/>
        <v>776966</v>
      </c>
      <c r="AB2020" s="8">
        <f t="shared" si="1081"/>
        <v>0</v>
      </c>
    </row>
    <row r="2021" spans="1:28" x14ac:dyDescent="0.3">
      <c r="A2021" s="64"/>
      <c r="B2021" s="8"/>
      <c r="C2021" s="7" t="s">
        <v>192</v>
      </c>
      <c r="D2021" s="15" t="s">
        <v>54</v>
      </c>
      <c r="E2021" s="9">
        <v>955345.62</v>
      </c>
      <c r="F2021" s="9">
        <v>0</v>
      </c>
      <c r="G2021" s="8"/>
      <c r="H2021" s="9">
        <f t="shared" si="1072"/>
        <v>0</v>
      </c>
      <c r="I2021" s="8"/>
      <c r="J2021" s="8"/>
      <c r="K2021" s="8"/>
      <c r="L2021" s="9"/>
      <c r="M2021" s="9">
        <f t="shared" si="1073"/>
        <v>0</v>
      </c>
      <c r="N2021" s="9">
        <v>955345.62</v>
      </c>
      <c r="O2021" s="8"/>
      <c r="P2021" s="9">
        <f t="shared" si="1074"/>
        <v>955345.62</v>
      </c>
      <c r="Q2021" s="8"/>
      <c r="R2021" s="8"/>
      <c r="S2021" s="8"/>
      <c r="T2021" s="9"/>
      <c r="U2021" s="9">
        <f t="shared" si="1075"/>
        <v>955345.62</v>
      </c>
      <c r="V2021" s="9">
        <f t="shared" si="1076"/>
        <v>955345.62</v>
      </c>
      <c r="W2021" s="9">
        <f t="shared" si="1077"/>
        <v>0</v>
      </c>
      <c r="X2021" s="9">
        <f t="shared" si="1078"/>
        <v>955345.62</v>
      </c>
      <c r="Y2021" s="8"/>
      <c r="Z2021" s="9">
        <f t="shared" si="1079"/>
        <v>0</v>
      </c>
      <c r="AA2021" s="8">
        <f t="shared" si="1080"/>
        <v>955345.62</v>
      </c>
      <c r="AB2021" s="8">
        <f t="shared" si="1081"/>
        <v>0</v>
      </c>
    </row>
    <row r="2022" spans="1:28" x14ac:dyDescent="0.3">
      <c r="A2022" s="64"/>
      <c r="B2022" s="8"/>
      <c r="C2022" s="7" t="s">
        <v>53</v>
      </c>
      <c r="D2022" s="15" t="s">
        <v>54</v>
      </c>
      <c r="E2022" s="9">
        <v>1953989</v>
      </c>
      <c r="F2022" s="9">
        <v>0</v>
      </c>
      <c r="G2022" s="8"/>
      <c r="H2022" s="9">
        <f t="shared" si="1072"/>
        <v>0</v>
      </c>
      <c r="I2022" s="8"/>
      <c r="J2022" s="8"/>
      <c r="K2022" s="8"/>
      <c r="L2022" s="9"/>
      <c r="M2022" s="9">
        <f t="shared" si="1073"/>
        <v>0</v>
      </c>
      <c r="N2022" s="9">
        <v>1953989</v>
      </c>
      <c r="O2022" s="8"/>
      <c r="P2022" s="9">
        <f t="shared" si="1074"/>
        <v>1953989</v>
      </c>
      <c r="Q2022" s="8"/>
      <c r="R2022" s="8"/>
      <c r="S2022" s="8"/>
      <c r="T2022" s="9"/>
      <c r="U2022" s="9">
        <f t="shared" si="1075"/>
        <v>1953989</v>
      </c>
      <c r="V2022" s="9">
        <f t="shared" si="1076"/>
        <v>1953989</v>
      </c>
      <c r="W2022" s="9">
        <f t="shared" si="1077"/>
        <v>0</v>
      </c>
      <c r="X2022" s="9">
        <f t="shared" si="1078"/>
        <v>1953989</v>
      </c>
      <c r="Y2022" s="8"/>
      <c r="Z2022" s="9">
        <f t="shared" si="1079"/>
        <v>0</v>
      </c>
      <c r="AA2022" s="8">
        <f t="shared" si="1080"/>
        <v>1953989</v>
      </c>
      <c r="AB2022" s="8">
        <f t="shared" si="1081"/>
        <v>0</v>
      </c>
    </row>
    <row r="2023" spans="1:28" x14ac:dyDescent="0.3">
      <c r="A2023" s="64"/>
      <c r="B2023" s="8"/>
      <c r="C2023" s="7" t="s">
        <v>55</v>
      </c>
      <c r="D2023" s="15" t="s">
        <v>54</v>
      </c>
      <c r="E2023" s="9">
        <v>983662.63</v>
      </c>
      <c r="F2023" s="9">
        <v>0</v>
      </c>
      <c r="G2023" s="8"/>
      <c r="H2023" s="9">
        <f t="shared" si="1072"/>
        <v>0</v>
      </c>
      <c r="I2023" s="8"/>
      <c r="J2023" s="8"/>
      <c r="K2023" s="8"/>
      <c r="L2023" s="9"/>
      <c r="M2023" s="9">
        <f t="shared" si="1073"/>
        <v>0</v>
      </c>
      <c r="N2023" s="9">
        <f>279205.55+704457.08</f>
        <v>983662.62999999989</v>
      </c>
      <c r="O2023" s="8"/>
      <c r="P2023" s="9">
        <f t="shared" si="1074"/>
        <v>983662.62999999989</v>
      </c>
      <c r="Q2023" s="8"/>
      <c r="R2023" s="8"/>
      <c r="S2023" s="8"/>
      <c r="T2023" s="9"/>
      <c r="U2023" s="9">
        <f t="shared" si="1075"/>
        <v>983662.62999999989</v>
      </c>
      <c r="V2023" s="9">
        <f t="shared" si="1076"/>
        <v>983662.62999999989</v>
      </c>
      <c r="W2023" s="9">
        <f t="shared" si="1077"/>
        <v>0</v>
      </c>
      <c r="X2023" s="9">
        <f t="shared" si="1078"/>
        <v>983662.62999999989</v>
      </c>
      <c r="Y2023" s="8"/>
      <c r="Z2023" s="9">
        <f t="shared" si="1079"/>
        <v>0</v>
      </c>
      <c r="AA2023" s="8">
        <f t="shared" si="1080"/>
        <v>983662.62999999989</v>
      </c>
      <c r="AB2023" s="8">
        <f t="shared" si="1081"/>
        <v>0</v>
      </c>
    </row>
    <row r="2024" spans="1:28" x14ac:dyDescent="0.3">
      <c r="A2024" s="64"/>
      <c r="B2024" s="8"/>
      <c r="C2024" s="7" t="s">
        <v>365</v>
      </c>
      <c r="D2024" s="15" t="s">
        <v>54</v>
      </c>
      <c r="E2024" s="9">
        <f>351500-500</f>
        <v>351000</v>
      </c>
      <c r="F2024" s="9">
        <v>351000</v>
      </c>
      <c r="G2024" s="8"/>
      <c r="H2024" s="9">
        <f t="shared" si="1072"/>
        <v>351000</v>
      </c>
      <c r="I2024" s="8"/>
      <c r="J2024" s="8"/>
      <c r="K2024" s="8"/>
      <c r="L2024" s="9"/>
      <c r="M2024" s="9">
        <f t="shared" si="1073"/>
        <v>351000</v>
      </c>
      <c r="N2024" s="9">
        <v>0</v>
      </c>
      <c r="O2024" s="8"/>
      <c r="P2024" s="9">
        <f t="shared" si="1074"/>
        <v>0</v>
      </c>
      <c r="Q2024" s="8"/>
      <c r="R2024" s="8"/>
      <c r="S2024" s="8"/>
      <c r="T2024" s="9"/>
      <c r="U2024" s="9">
        <f t="shared" si="1075"/>
        <v>0</v>
      </c>
      <c r="V2024" s="9">
        <f t="shared" si="1076"/>
        <v>351000</v>
      </c>
      <c r="W2024" s="9">
        <f t="shared" si="1077"/>
        <v>0</v>
      </c>
      <c r="X2024" s="9">
        <f t="shared" si="1078"/>
        <v>351000</v>
      </c>
      <c r="Y2024" s="8"/>
      <c r="Z2024" s="9">
        <f t="shared" si="1079"/>
        <v>0</v>
      </c>
      <c r="AA2024" s="8">
        <f t="shared" si="1080"/>
        <v>351000</v>
      </c>
      <c r="AB2024" s="8">
        <f t="shared" si="1081"/>
        <v>0</v>
      </c>
    </row>
    <row r="2025" spans="1:28" x14ac:dyDescent="0.3">
      <c r="A2025" s="64"/>
      <c r="B2025" s="8"/>
      <c r="C2025" s="7" t="s">
        <v>366</v>
      </c>
      <c r="D2025" s="15" t="s">
        <v>85</v>
      </c>
      <c r="E2025" s="9">
        <v>160000</v>
      </c>
      <c r="F2025" s="9">
        <v>160000</v>
      </c>
      <c r="G2025" s="8"/>
      <c r="H2025" s="9">
        <f t="shared" si="1072"/>
        <v>160000</v>
      </c>
      <c r="I2025" s="8"/>
      <c r="J2025" s="8"/>
      <c r="K2025" s="8"/>
      <c r="L2025" s="9"/>
      <c r="M2025" s="9">
        <f t="shared" si="1073"/>
        <v>160000</v>
      </c>
      <c r="N2025" s="9">
        <v>0</v>
      </c>
      <c r="O2025" s="8"/>
      <c r="P2025" s="9">
        <f t="shared" si="1074"/>
        <v>0</v>
      </c>
      <c r="Q2025" s="8"/>
      <c r="R2025" s="8"/>
      <c r="S2025" s="8"/>
      <c r="T2025" s="9"/>
      <c r="U2025" s="9">
        <f t="shared" si="1075"/>
        <v>0</v>
      </c>
      <c r="V2025" s="9">
        <f t="shared" si="1076"/>
        <v>160000</v>
      </c>
      <c r="W2025" s="9">
        <f t="shared" si="1077"/>
        <v>0</v>
      </c>
      <c r="X2025" s="9">
        <f t="shared" si="1078"/>
        <v>160000</v>
      </c>
      <c r="Y2025" s="8"/>
      <c r="Z2025" s="9">
        <f t="shared" si="1079"/>
        <v>0</v>
      </c>
      <c r="AA2025" s="8">
        <f t="shared" si="1080"/>
        <v>160000</v>
      </c>
      <c r="AB2025" s="8">
        <f t="shared" si="1081"/>
        <v>0</v>
      </c>
    </row>
    <row r="2026" spans="1:28" x14ac:dyDescent="0.3">
      <c r="A2026" s="64"/>
      <c r="B2026" s="8"/>
      <c r="C2026" s="7" t="s">
        <v>367</v>
      </c>
      <c r="D2026" s="15" t="s">
        <v>128</v>
      </c>
      <c r="E2026" s="9">
        <v>190000</v>
      </c>
      <c r="F2026" s="9">
        <v>190000</v>
      </c>
      <c r="G2026" s="8"/>
      <c r="H2026" s="9">
        <f t="shared" si="1072"/>
        <v>190000</v>
      </c>
      <c r="I2026" s="8"/>
      <c r="J2026" s="8"/>
      <c r="K2026" s="8"/>
      <c r="L2026" s="9"/>
      <c r="M2026" s="9">
        <f t="shared" si="1073"/>
        <v>190000</v>
      </c>
      <c r="N2026" s="9">
        <v>0</v>
      </c>
      <c r="O2026" s="8"/>
      <c r="P2026" s="9">
        <f t="shared" si="1074"/>
        <v>0</v>
      </c>
      <c r="Q2026" s="8"/>
      <c r="R2026" s="8"/>
      <c r="S2026" s="8"/>
      <c r="T2026" s="9"/>
      <c r="U2026" s="9">
        <f t="shared" si="1075"/>
        <v>0</v>
      </c>
      <c r="V2026" s="9">
        <f t="shared" si="1076"/>
        <v>190000</v>
      </c>
      <c r="W2026" s="9">
        <f t="shared" si="1077"/>
        <v>0</v>
      </c>
      <c r="X2026" s="9">
        <f t="shared" si="1078"/>
        <v>190000</v>
      </c>
      <c r="Y2026" s="8"/>
      <c r="Z2026" s="9">
        <f t="shared" si="1079"/>
        <v>0</v>
      </c>
      <c r="AA2026" s="8">
        <f t="shared" si="1080"/>
        <v>190000</v>
      </c>
      <c r="AB2026" s="8">
        <f t="shared" si="1081"/>
        <v>0</v>
      </c>
    </row>
    <row r="2027" spans="1:28" x14ac:dyDescent="0.3">
      <c r="A2027" s="64"/>
      <c r="B2027" s="8"/>
      <c r="C2027" s="7" t="s">
        <v>355</v>
      </c>
      <c r="D2027" s="15" t="s">
        <v>128</v>
      </c>
      <c r="E2027" s="9">
        <v>1500000</v>
      </c>
      <c r="F2027" s="9">
        <v>1500000</v>
      </c>
      <c r="G2027" s="8"/>
      <c r="H2027" s="9">
        <f t="shared" si="1072"/>
        <v>1500000</v>
      </c>
      <c r="I2027" s="8"/>
      <c r="J2027" s="8"/>
      <c r="K2027" s="8"/>
      <c r="L2027" s="9"/>
      <c r="M2027" s="9">
        <f t="shared" si="1073"/>
        <v>1500000</v>
      </c>
      <c r="N2027" s="9">
        <v>0</v>
      </c>
      <c r="O2027" s="8"/>
      <c r="P2027" s="9">
        <f t="shared" si="1074"/>
        <v>0</v>
      </c>
      <c r="Q2027" s="8"/>
      <c r="R2027" s="8"/>
      <c r="S2027" s="8"/>
      <c r="T2027" s="9"/>
      <c r="U2027" s="9">
        <f t="shared" si="1075"/>
        <v>0</v>
      </c>
      <c r="V2027" s="9">
        <f t="shared" si="1076"/>
        <v>1500000</v>
      </c>
      <c r="W2027" s="9">
        <f t="shared" si="1077"/>
        <v>0</v>
      </c>
      <c r="X2027" s="9">
        <f t="shared" si="1078"/>
        <v>1500000</v>
      </c>
      <c r="Y2027" s="8"/>
      <c r="Z2027" s="9">
        <f t="shared" si="1079"/>
        <v>0</v>
      </c>
      <c r="AA2027" s="8">
        <f t="shared" si="1080"/>
        <v>1500000</v>
      </c>
      <c r="AB2027" s="8">
        <f t="shared" si="1081"/>
        <v>0</v>
      </c>
    </row>
    <row r="2028" spans="1:28" x14ac:dyDescent="0.3">
      <c r="A2028" s="64"/>
      <c r="B2028" s="8"/>
      <c r="C2028" s="7" t="s">
        <v>57</v>
      </c>
      <c r="D2028" s="15" t="s">
        <v>58</v>
      </c>
      <c r="E2028" s="9">
        <v>1231650</v>
      </c>
      <c r="F2028" s="9">
        <v>1231650</v>
      </c>
      <c r="G2028" s="8"/>
      <c r="H2028" s="9">
        <f t="shared" si="1072"/>
        <v>1231650</v>
      </c>
      <c r="I2028" s="8"/>
      <c r="J2028" s="8"/>
      <c r="K2028" s="8"/>
      <c r="L2028" s="9"/>
      <c r="M2028" s="9">
        <f t="shared" si="1073"/>
        <v>1231650</v>
      </c>
      <c r="N2028" s="9">
        <v>0</v>
      </c>
      <c r="O2028" s="8"/>
      <c r="P2028" s="9">
        <f t="shared" si="1074"/>
        <v>0</v>
      </c>
      <c r="Q2028" s="8"/>
      <c r="R2028" s="8"/>
      <c r="S2028" s="8"/>
      <c r="T2028" s="9"/>
      <c r="U2028" s="9">
        <f t="shared" si="1075"/>
        <v>0</v>
      </c>
      <c r="V2028" s="9">
        <f t="shared" si="1076"/>
        <v>1231650</v>
      </c>
      <c r="W2028" s="9">
        <f t="shared" si="1077"/>
        <v>0</v>
      </c>
      <c r="X2028" s="9">
        <f t="shared" si="1078"/>
        <v>1231650</v>
      </c>
      <c r="Y2028" s="8"/>
      <c r="Z2028" s="9">
        <f t="shared" si="1079"/>
        <v>0</v>
      </c>
      <c r="AA2028" s="8">
        <f t="shared" si="1080"/>
        <v>1231650</v>
      </c>
      <c r="AB2028" s="8">
        <f t="shared" si="1081"/>
        <v>0</v>
      </c>
    </row>
    <row r="2029" spans="1:28" x14ac:dyDescent="0.3">
      <c r="A2029" s="64"/>
      <c r="B2029" s="8"/>
      <c r="C2029" s="14" t="s">
        <v>109</v>
      </c>
      <c r="D2029" s="21" t="s">
        <v>60</v>
      </c>
      <c r="E2029" s="9">
        <v>1654545.35</v>
      </c>
      <c r="F2029" s="11">
        <f>2500000+2500000-2500000-845454.65</f>
        <v>1654545.35</v>
      </c>
      <c r="G2029" s="8"/>
      <c r="H2029" s="9">
        <f t="shared" si="1072"/>
        <v>1654545.35</v>
      </c>
      <c r="I2029" s="8"/>
      <c r="J2029" s="8"/>
      <c r="K2029" s="8"/>
      <c r="L2029" s="9"/>
      <c r="M2029" s="9">
        <f t="shared" si="1073"/>
        <v>1654545.35</v>
      </c>
      <c r="N2029" s="9">
        <v>0</v>
      </c>
      <c r="O2029" s="8"/>
      <c r="P2029" s="9">
        <f t="shared" si="1074"/>
        <v>0</v>
      </c>
      <c r="Q2029" s="8"/>
      <c r="R2029" s="8"/>
      <c r="S2029" s="8"/>
      <c r="T2029" s="9"/>
      <c r="U2029" s="9">
        <f t="shared" si="1075"/>
        <v>0</v>
      </c>
      <c r="V2029" s="9">
        <f t="shared" si="1076"/>
        <v>1654545.35</v>
      </c>
      <c r="W2029" s="9">
        <f t="shared" si="1077"/>
        <v>0</v>
      </c>
      <c r="X2029" s="9">
        <f t="shared" si="1078"/>
        <v>1654545.35</v>
      </c>
      <c r="Y2029" s="8"/>
      <c r="Z2029" s="9">
        <f t="shared" si="1079"/>
        <v>0</v>
      </c>
      <c r="AA2029" s="8">
        <f t="shared" si="1080"/>
        <v>1654545.35</v>
      </c>
      <c r="AB2029" s="8">
        <f t="shared" si="1081"/>
        <v>0</v>
      </c>
    </row>
    <row r="2030" spans="1:28" x14ac:dyDescent="0.3">
      <c r="A2030" s="64"/>
      <c r="B2030" s="8"/>
      <c r="C2030" s="7" t="s">
        <v>368</v>
      </c>
      <c r="D2030" s="15" t="s">
        <v>58</v>
      </c>
      <c r="E2030" s="9">
        <v>2000000</v>
      </c>
      <c r="F2030" s="11">
        <v>2000000</v>
      </c>
      <c r="G2030" s="8"/>
      <c r="H2030" s="9">
        <f t="shared" si="1072"/>
        <v>2000000</v>
      </c>
      <c r="I2030" s="9"/>
      <c r="J2030" s="8"/>
      <c r="K2030" s="8"/>
      <c r="L2030" s="9"/>
      <c r="M2030" s="9">
        <f t="shared" si="1073"/>
        <v>2000000</v>
      </c>
      <c r="N2030" s="9">
        <v>0</v>
      </c>
      <c r="O2030" s="8"/>
      <c r="P2030" s="9">
        <f t="shared" si="1074"/>
        <v>0</v>
      </c>
      <c r="Q2030" s="8"/>
      <c r="R2030" s="8"/>
      <c r="S2030" s="8"/>
      <c r="T2030" s="9"/>
      <c r="U2030" s="9">
        <f t="shared" si="1075"/>
        <v>0</v>
      </c>
      <c r="V2030" s="9">
        <f t="shared" si="1076"/>
        <v>2000000</v>
      </c>
      <c r="W2030" s="9">
        <f t="shared" si="1077"/>
        <v>0</v>
      </c>
      <c r="X2030" s="9">
        <f t="shared" si="1078"/>
        <v>2000000</v>
      </c>
      <c r="Y2030" s="8"/>
      <c r="Z2030" s="9">
        <f t="shared" si="1079"/>
        <v>0</v>
      </c>
      <c r="AA2030" s="8">
        <f t="shared" si="1080"/>
        <v>2000000</v>
      </c>
      <c r="AB2030" s="8">
        <f t="shared" si="1081"/>
        <v>0</v>
      </c>
    </row>
    <row r="2031" spans="1:28" x14ac:dyDescent="0.3">
      <c r="A2031" s="64"/>
      <c r="B2031" s="8"/>
      <c r="C2031" s="14" t="s">
        <v>57</v>
      </c>
      <c r="D2031" s="15" t="s">
        <v>60</v>
      </c>
      <c r="E2031" s="9">
        <v>6839207</v>
      </c>
      <c r="F2031" s="11">
        <f>5444565+1394642</f>
        <v>6839207</v>
      </c>
      <c r="G2031" s="8"/>
      <c r="H2031" s="9">
        <f t="shared" si="1072"/>
        <v>6839207</v>
      </c>
      <c r="I2031" s="9"/>
      <c r="J2031" s="8"/>
      <c r="K2031" s="8"/>
      <c r="L2031" s="9"/>
      <c r="M2031" s="9">
        <f t="shared" si="1073"/>
        <v>6839207</v>
      </c>
      <c r="N2031" s="9">
        <v>0</v>
      </c>
      <c r="O2031" s="8"/>
      <c r="P2031" s="9">
        <f t="shared" si="1074"/>
        <v>0</v>
      </c>
      <c r="Q2031" s="8"/>
      <c r="R2031" s="8"/>
      <c r="S2031" s="8"/>
      <c r="T2031" s="9"/>
      <c r="U2031" s="9">
        <f t="shared" si="1075"/>
        <v>0</v>
      </c>
      <c r="V2031" s="9">
        <f t="shared" si="1076"/>
        <v>6839207</v>
      </c>
      <c r="W2031" s="9">
        <f t="shared" si="1077"/>
        <v>0</v>
      </c>
      <c r="X2031" s="9">
        <f t="shared" si="1078"/>
        <v>6839207</v>
      </c>
      <c r="Y2031" s="8"/>
      <c r="Z2031" s="9">
        <f t="shared" si="1079"/>
        <v>0</v>
      </c>
      <c r="AA2031" s="8">
        <f t="shared" si="1080"/>
        <v>6839207</v>
      </c>
      <c r="AB2031" s="8">
        <f t="shared" si="1081"/>
        <v>0</v>
      </c>
    </row>
    <row r="2032" spans="1:28" x14ac:dyDescent="0.3">
      <c r="A2032" s="64"/>
      <c r="B2032" s="8"/>
      <c r="C2032" s="14" t="s">
        <v>57</v>
      </c>
      <c r="D2032" s="15" t="s">
        <v>73</v>
      </c>
      <c r="E2032" s="9">
        <v>21808905.59</v>
      </c>
      <c r="F2032" s="11">
        <v>21808905.59</v>
      </c>
      <c r="G2032" s="8"/>
      <c r="H2032" s="9">
        <f t="shared" si="1072"/>
        <v>21808905.59</v>
      </c>
      <c r="I2032" s="9"/>
      <c r="J2032" s="8"/>
      <c r="K2032" s="8"/>
      <c r="L2032" s="9"/>
      <c r="M2032" s="9">
        <f t="shared" si="1073"/>
        <v>21808905.59</v>
      </c>
      <c r="N2032" s="9">
        <v>0</v>
      </c>
      <c r="O2032" s="8"/>
      <c r="P2032" s="9">
        <f t="shared" si="1074"/>
        <v>0</v>
      </c>
      <c r="Q2032" s="8"/>
      <c r="R2032" s="8"/>
      <c r="S2032" s="8"/>
      <c r="T2032" s="9"/>
      <c r="U2032" s="9">
        <f t="shared" si="1075"/>
        <v>0</v>
      </c>
      <c r="V2032" s="9">
        <f t="shared" si="1076"/>
        <v>21808905.59</v>
      </c>
      <c r="W2032" s="9">
        <f t="shared" si="1077"/>
        <v>0</v>
      </c>
      <c r="X2032" s="9">
        <f t="shared" si="1078"/>
        <v>21808905.59</v>
      </c>
      <c r="Y2032" s="8"/>
      <c r="Z2032" s="9">
        <f t="shared" si="1079"/>
        <v>0</v>
      </c>
      <c r="AA2032" s="8">
        <f t="shared" si="1080"/>
        <v>21808905.59</v>
      </c>
      <c r="AB2032" s="8">
        <f t="shared" si="1081"/>
        <v>0</v>
      </c>
    </row>
    <row r="2033" spans="1:28" x14ac:dyDescent="0.3">
      <c r="A2033" s="64"/>
      <c r="B2033" s="8"/>
      <c r="C2033" s="7" t="s">
        <v>122</v>
      </c>
      <c r="D2033" s="8"/>
      <c r="E2033" s="9">
        <v>2196111.9</v>
      </c>
      <c r="F2033" s="9">
        <v>2196111.9</v>
      </c>
      <c r="G2033" s="8"/>
      <c r="H2033" s="9">
        <f t="shared" si="1072"/>
        <v>2196111.9</v>
      </c>
      <c r="I2033" s="8"/>
      <c r="J2033" s="8"/>
      <c r="K2033" s="8"/>
      <c r="L2033" s="9"/>
      <c r="M2033" s="9">
        <f t="shared" si="1073"/>
        <v>2196111.9</v>
      </c>
      <c r="N2033" s="9">
        <v>0</v>
      </c>
      <c r="O2033" s="8"/>
      <c r="P2033" s="9">
        <f t="shared" si="1074"/>
        <v>0</v>
      </c>
      <c r="Q2033" s="8"/>
      <c r="R2033" s="8"/>
      <c r="S2033" s="8"/>
      <c r="T2033" s="9"/>
      <c r="U2033" s="9">
        <f t="shared" si="1075"/>
        <v>0</v>
      </c>
      <c r="V2033" s="9">
        <f t="shared" si="1076"/>
        <v>2196111.9</v>
      </c>
      <c r="W2033" s="9">
        <f t="shared" si="1077"/>
        <v>0</v>
      </c>
      <c r="X2033" s="9">
        <f t="shared" si="1078"/>
        <v>2196111.9</v>
      </c>
      <c r="Y2033" s="8"/>
      <c r="Z2033" s="9">
        <f t="shared" si="1079"/>
        <v>0</v>
      </c>
      <c r="AA2033" s="8">
        <f t="shared" si="1080"/>
        <v>2196111.9</v>
      </c>
      <c r="AB2033" s="8">
        <f t="shared" si="1081"/>
        <v>0</v>
      </c>
    </row>
    <row r="2034" spans="1:28" x14ac:dyDescent="0.3">
      <c r="A2034" s="64"/>
      <c r="B2034" s="8"/>
      <c r="C2034" s="7" t="s">
        <v>1195</v>
      </c>
      <c r="D2034" s="23" t="s">
        <v>1126</v>
      </c>
      <c r="E2034" s="9">
        <v>400000</v>
      </c>
      <c r="F2034" s="9">
        <v>400000</v>
      </c>
      <c r="G2034" s="8"/>
      <c r="H2034" s="9">
        <f>+F2034+G2034</f>
        <v>400000</v>
      </c>
      <c r="I2034" s="8"/>
      <c r="J2034" s="8"/>
      <c r="K2034" s="8"/>
      <c r="L2034" s="9"/>
      <c r="M2034" s="9">
        <f t="shared" si="1073"/>
        <v>400000</v>
      </c>
      <c r="N2034" s="9">
        <v>0</v>
      </c>
      <c r="O2034" s="8"/>
      <c r="P2034" s="9">
        <f t="shared" si="1074"/>
        <v>0</v>
      </c>
      <c r="Q2034" s="8"/>
      <c r="R2034" s="8"/>
      <c r="S2034" s="8"/>
      <c r="T2034" s="9"/>
      <c r="U2034" s="9">
        <f t="shared" si="1075"/>
        <v>0</v>
      </c>
      <c r="V2034" s="9">
        <f t="shared" si="1076"/>
        <v>400000</v>
      </c>
      <c r="W2034" s="9">
        <f t="shared" si="1077"/>
        <v>0</v>
      </c>
      <c r="X2034" s="9">
        <f t="shared" si="1078"/>
        <v>400000</v>
      </c>
      <c r="Y2034" s="8"/>
      <c r="Z2034" s="9">
        <f t="shared" si="1079"/>
        <v>0</v>
      </c>
      <c r="AA2034" s="8">
        <f t="shared" si="1080"/>
        <v>400000</v>
      </c>
      <c r="AB2034" s="8">
        <f t="shared" si="1081"/>
        <v>0</v>
      </c>
    </row>
    <row r="2035" spans="1:28" x14ac:dyDescent="0.3">
      <c r="A2035" s="64"/>
      <c r="B2035" s="8"/>
      <c r="C2035" s="7" t="s">
        <v>930</v>
      </c>
      <c r="D2035" s="23" t="s">
        <v>1072</v>
      </c>
      <c r="E2035" s="9">
        <v>17437537</v>
      </c>
      <c r="F2035" s="8">
        <v>17437537</v>
      </c>
      <c r="G2035" s="8"/>
      <c r="H2035" s="9">
        <f>F2035+G2035</f>
        <v>17437537</v>
      </c>
      <c r="I2035" s="8"/>
      <c r="J2035" s="8"/>
      <c r="K2035" s="8"/>
      <c r="L2035" s="9"/>
      <c r="M2035" s="9">
        <f>H2035+L2035</f>
        <v>17437537</v>
      </c>
      <c r="N2035" s="9">
        <v>0</v>
      </c>
      <c r="O2035" s="8"/>
      <c r="P2035" s="9">
        <f>+N2035+O2035</f>
        <v>0</v>
      </c>
      <c r="Q2035" s="8"/>
      <c r="R2035" s="8"/>
      <c r="S2035" s="8"/>
      <c r="T2035" s="9"/>
      <c r="U2035" s="9">
        <f>P2035+T2035</f>
        <v>0</v>
      </c>
      <c r="V2035" s="9">
        <f>P2035+H2035</f>
        <v>17437537</v>
      </c>
      <c r="W2035" s="9">
        <f>E2035-V2035</f>
        <v>0</v>
      </c>
      <c r="X2035" s="9">
        <f t="shared" si="1078"/>
        <v>17437537</v>
      </c>
      <c r="Y2035" s="8"/>
      <c r="Z2035" s="9">
        <f t="shared" si="1079"/>
        <v>0</v>
      </c>
      <c r="AA2035" s="8">
        <f t="shared" si="1080"/>
        <v>17437537</v>
      </c>
      <c r="AB2035" s="8">
        <f t="shared" si="1081"/>
        <v>0</v>
      </c>
    </row>
    <row r="2036" spans="1:28" x14ac:dyDescent="0.3">
      <c r="A2036" s="64"/>
      <c r="B2036" s="8"/>
      <c r="C2036" s="7" t="s">
        <v>1176</v>
      </c>
      <c r="D2036" s="23" t="s">
        <v>1126</v>
      </c>
      <c r="E2036" s="9">
        <f>5444524.17+3346631.59+5571972.76+3372880.45</f>
        <v>17736008.969999999</v>
      </c>
      <c r="F2036" s="8">
        <f>5444524.17+3346631.59+5571972.76+3372880.45</f>
        <v>17736008.969999999</v>
      </c>
      <c r="G2036" s="8"/>
      <c r="H2036" s="9">
        <f>+F2036+G2036</f>
        <v>17736008.969999999</v>
      </c>
      <c r="I2036" s="8"/>
      <c r="J2036" s="8"/>
      <c r="K2036" s="8"/>
      <c r="L2036" s="9"/>
      <c r="M2036" s="9">
        <f>H2036+L2036</f>
        <v>17736008.969999999</v>
      </c>
      <c r="N2036" s="9">
        <v>0</v>
      </c>
      <c r="O2036" s="8"/>
      <c r="P2036" s="9">
        <f>+N2036+O2036</f>
        <v>0</v>
      </c>
      <c r="Q2036" s="8"/>
      <c r="R2036" s="8"/>
      <c r="S2036" s="8"/>
      <c r="T2036" s="9"/>
      <c r="U2036" s="9">
        <f>P2036+T2036</f>
        <v>0</v>
      </c>
      <c r="V2036" s="9">
        <f>P2036+H2036</f>
        <v>17736008.969999999</v>
      </c>
      <c r="W2036" s="9">
        <f>E2036-V2036</f>
        <v>0</v>
      </c>
      <c r="X2036" s="9">
        <f t="shared" si="1078"/>
        <v>17736008.969999999</v>
      </c>
      <c r="Y2036" s="8"/>
      <c r="Z2036" s="9">
        <f t="shared" si="1079"/>
        <v>0</v>
      </c>
      <c r="AA2036" s="8">
        <f t="shared" si="1080"/>
        <v>17736008.969999999</v>
      </c>
      <c r="AB2036" s="8">
        <f t="shared" si="1081"/>
        <v>0</v>
      </c>
    </row>
    <row r="2037" spans="1:28" x14ac:dyDescent="0.3">
      <c r="A2037" s="64"/>
      <c r="B2037" s="8"/>
      <c r="C2037" s="7" t="s">
        <v>1242</v>
      </c>
      <c r="D2037" s="23" t="s">
        <v>1225</v>
      </c>
      <c r="E2037" s="9">
        <v>6634433.6100000003</v>
      </c>
      <c r="F2037" s="8"/>
      <c r="G2037" s="8">
        <v>6634433.6100000003</v>
      </c>
      <c r="H2037" s="9">
        <f>+F2037+G2037</f>
        <v>6634433.6100000003</v>
      </c>
      <c r="I2037" s="8"/>
      <c r="J2037" s="8"/>
      <c r="K2037" s="8"/>
      <c r="L2037" s="9"/>
      <c r="M2037" s="9">
        <f>+H2037+L2037</f>
        <v>6634433.6100000003</v>
      </c>
      <c r="N2037" s="9">
        <v>0</v>
      </c>
      <c r="O2037" s="8"/>
      <c r="P2037" s="9">
        <f>+N2037+O2037</f>
        <v>0</v>
      </c>
      <c r="Q2037" s="8"/>
      <c r="R2037" s="8"/>
      <c r="S2037" s="8"/>
      <c r="T2037" s="9"/>
      <c r="U2037" s="9">
        <f>+P2037+T2037</f>
        <v>0</v>
      </c>
      <c r="V2037" s="9"/>
      <c r="W2037" s="9"/>
      <c r="X2037" s="9">
        <f>+H2037+P2037</f>
        <v>6634433.6100000003</v>
      </c>
      <c r="Y2037" s="8"/>
      <c r="Z2037" s="9">
        <f>+E2037-X2037</f>
        <v>0</v>
      </c>
      <c r="AA2037" s="8">
        <f>+M2037+U2037</f>
        <v>6634433.6100000003</v>
      </c>
      <c r="AB2037" s="8">
        <f>+E2037-AA2037</f>
        <v>0</v>
      </c>
    </row>
    <row r="2038" spans="1:28" x14ac:dyDescent="0.3">
      <c r="A2038" s="64"/>
      <c r="B2038" s="8"/>
      <c r="C2038" s="7" t="s">
        <v>1106</v>
      </c>
      <c r="D2038" s="23" t="s">
        <v>1072</v>
      </c>
      <c r="E2038" s="9">
        <f>8364329.82+9756592.69</f>
        <v>18120922.509999998</v>
      </c>
      <c r="F2038" s="8">
        <f>8364329.82+9756592.69</f>
        <v>18120922.509999998</v>
      </c>
      <c r="G2038" s="8"/>
      <c r="H2038" s="9">
        <f>+F2038+G2038</f>
        <v>18120922.509999998</v>
      </c>
      <c r="I2038" s="8"/>
      <c r="J2038" s="8"/>
      <c r="K2038" s="8"/>
      <c r="L2038" s="9"/>
      <c r="M2038" s="9">
        <f>H2038+L2038</f>
        <v>18120922.509999998</v>
      </c>
      <c r="N2038" s="9">
        <v>0</v>
      </c>
      <c r="O2038" s="8"/>
      <c r="P2038" s="9">
        <f>+N2038+O2038</f>
        <v>0</v>
      </c>
      <c r="Q2038" s="8"/>
      <c r="R2038" s="8"/>
      <c r="S2038" s="8"/>
      <c r="T2038" s="9"/>
      <c r="U2038" s="9">
        <f>P2038+T2038</f>
        <v>0</v>
      </c>
      <c r="V2038" s="9">
        <f>P2038+H2038</f>
        <v>18120922.509999998</v>
      </c>
      <c r="W2038" s="9">
        <f>E2038-V2038</f>
        <v>0</v>
      </c>
      <c r="X2038" s="9">
        <f t="shared" si="1078"/>
        <v>18120922.509999998</v>
      </c>
      <c r="Y2038" s="8"/>
      <c r="Z2038" s="9">
        <f t="shared" si="1079"/>
        <v>0</v>
      </c>
      <c r="AA2038" s="8">
        <f t="shared" si="1080"/>
        <v>18120922.509999998</v>
      </c>
      <c r="AB2038" s="8">
        <f t="shared" si="1081"/>
        <v>0</v>
      </c>
    </row>
    <row r="2039" spans="1:28" x14ac:dyDescent="0.3">
      <c r="A2039" s="64"/>
      <c r="B2039" s="8"/>
      <c r="C2039" s="14" t="s">
        <v>57</v>
      </c>
      <c r="D2039" s="23" t="s">
        <v>61</v>
      </c>
      <c r="E2039" s="9">
        <f>18077231.28+70080.87</f>
        <v>18147312.150000002</v>
      </c>
      <c r="F2039" s="9">
        <v>18077231.280000001</v>
      </c>
      <c r="G2039" s="8"/>
      <c r="H2039" s="9">
        <f t="shared" si="1072"/>
        <v>18077231.280000001</v>
      </c>
      <c r="I2039" s="8">
        <v>18077231.280000001</v>
      </c>
      <c r="J2039" s="8">
        <v>18077231.280000001</v>
      </c>
      <c r="K2039" s="8"/>
      <c r="L2039" s="9"/>
      <c r="M2039" s="9">
        <f t="shared" si="1073"/>
        <v>18077231.280000001</v>
      </c>
      <c r="N2039" s="9">
        <v>0</v>
      </c>
      <c r="O2039" s="8"/>
      <c r="P2039" s="9">
        <f t="shared" si="1074"/>
        <v>0</v>
      </c>
      <c r="Q2039" s="8">
        <v>70080.87</v>
      </c>
      <c r="R2039" s="8"/>
      <c r="S2039" s="8"/>
      <c r="T2039" s="9">
        <v>70080.87</v>
      </c>
      <c r="U2039" s="9">
        <f t="shared" si="1075"/>
        <v>70080.87</v>
      </c>
      <c r="V2039" s="9">
        <f t="shared" si="1076"/>
        <v>18077231.280000001</v>
      </c>
      <c r="W2039" s="9">
        <f t="shared" si="1077"/>
        <v>70080.870000001043</v>
      </c>
      <c r="X2039" s="9">
        <f t="shared" si="1078"/>
        <v>18077231.280000001</v>
      </c>
      <c r="Y2039" s="8"/>
      <c r="Z2039" s="9">
        <f t="shared" si="1079"/>
        <v>70080.870000001043</v>
      </c>
      <c r="AA2039" s="8">
        <f t="shared" si="1080"/>
        <v>18147312.150000002</v>
      </c>
      <c r="AB2039" s="8">
        <f t="shared" si="1081"/>
        <v>0</v>
      </c>
    </row>
    <row r="2040" spans="1:28" x14ac:dyDescent="0.3">
      <c r="A2040" s="64"/>
      <c r="B2040" s="8"/>
      <c r="C2040" s="8"/>
      <c r="D2040" s="8"/>
      <c r="E2040" s="17" t="s">
        <v>29</v>
      </c>
      <c r="F2040" s="17" t="s">
        <v>29</v>
      </c>
      <c r="G2040" s="17" t="s">
        <v>29</v>
      </c>
      <c r="H2040" s="17" t="s">
        <v>29</v>
      </c>
      <c r="I2040" s="17" t="s">
        <v>29</v>
      </c>
      <c r="J2040" s="17" t="s">
        <v>29</v>
      </c>
      <c r="K2040" s="17" t="s">
        <v>29</v>
      </c>
      <c r="L2040" s="17" t="s">
        <v>29</v>
      </c>
      <c r="M2040" s="17" t="s">
        <v>29</v>
      </c>
      <c r="N2040" s="17" t="s">
        <v>29</v>
      </c>
      <c r="O2040" s="17" t="s">
        <v>29</v>
      </c>
      <c r="P2040" s="17" t="s">
        <v>29</v>
      </c>
      <c r="Q2040" s="17" t="s">
        <v>29</v>
      </c>
      <c r="R2040" s="17" t="s">
        <v>29</v>
      </c>
      <c r="S2040" s="17" t="s">
        <v>29</v>
      </c>
      <c r="T2040" s="17" t="s">
        <v>29</v>
      </c>
      <c r="U2040" s="17" t="s">
        <v>29</v>
      </c>
      <c r="V2040" s="17" t="s">
        <v>29</v>
      </c>
      <c r="W2040" s="17" t="s">
        <v>29</v>
      </c>
      <c r="X2040" s="17" t="s">
        <v>29</v>
      </c>
      <c r="Y2040" s="17" t="s">
        <v>29</v>
      </c>
      <c r="Z2040" s="17" t="s">
        <v>29</v>
      </c>
      <c r="AA2040" s="17" t="s">
        <v>29</v>
      </c>
      <c r="AB2040" s="17" t="s">
        <v>29</v>
      </c>
    </row>
    <row r="2041" spans="1:28" x14ac:dyDescent="0.3">
      <c r="A2041" s="64"/>
      <c r="B2041" s="8"/>
      <c r="C2041" s="8"/>
      <c r="D2041" s="8"/>
      <c r="E2041" s="9">
        <f t="shared" ref="E2041:AB2041" si="1082">SUM(E2019:E2039)</f>
        <v>142470377.68000001</v>
      </c>
      <c r="F2041" s="9">
        <f t="shared" si="1082"/>
        <v>131696609.54999998</v>
      </c>
      <c r="G2041" s="9">
        <f t="shared" si="1082"/>
        <v>6634433.6100000003</v>
      </c>
      <c r="H2041" s="9">
        <f t="shared" si="1082"/>
        <v>138331043.16</v>
      </c>
      <c r="I2041" s="9">
        <f t="shared" si="1082"/>
        <v>18077231.280000001</v>
      </c>
      <c r="J2041" s="9">
        <f t="shared" si="1082"/>
        <v>18077231.280000001</v>
      </c>
      <c r="K2041" s="9">
        <f t="shared" si="1082"/>
        <v>0</v>
      </c>
      <c r="L2041" s="9">
        <f t="shared" si="1082"/>
        <v>0</v>
      </c>
      <c r="M2041" s="9">
        <f t="shared" si="1082"/>
        <v>138331043.16</v>
      </c>
      <c r="N2041" s="9">
        <f t="shared" si="1082"/>
        <v>4069253.65</v>
      </c>
      <c r="O2041" s="9">
        <f t="shared" si="1082"/>
        <v>0</v>
      </c>
      <c r="P2041" s="9">
        <f t="shared" si="1082"/>
        <v>4069253.65</v>
      </c>
      <c r="Q2041" s="9">
        <f t="shared" si="1082"/>
        <v>70080.87</v>
      </c>
      <c r="R2041" s="9">
        <f t="shared" si="1082"/>
        <v>0</v>
      </c>
      <c r="S2041" s="9">
        <f t="shared" si="1082"/>
        <v>0</v>
      </c>
      <c r="T2041" s="9">
        <f t="shared" si="1082"/>
        <v>70080.87</v>
      </c>
      <c r="U2041" s="9">
        <f t="shared" si="1082"/>
        <v>4139334.52</v>
      </c>
      <c r="V2041" s="9">
        <f t="shared" si="1082"/>
        <v>135765863.19999999</v>
      </c>
      <c r="W2041" s="9">
        <f t="shared" si="1082"/>
        <v>70080.870000001043</v>
      </c>
      <c r="X2041" s="9">
        <f t="shared" si="1082"/>
        <v>142400296.81</v>
      </c>
      <c r="Y2041" s="9">
        <f t="shared" si="1082"/>
        <v>0</v>
      </c>
      <c r="Z2041" s="9">
        <f t="shared" si="1082"/>
        <v>70080.870000001043</v>
      </c>
      <c r="AA2041" s="9">
        <f t="shared" si="1082"/>
        <v>142470377.68000001</v>
      </c>
      <c r="AB2041" s="9">
        <f t="shared" si="1082"/>
        <v>0</v>
      </c>
    </row>
    <row r="2042" spans="1:28" x14ac:dyDescent="0.3">
      <c r="A2042" s="64"/>
      <c r="B2042" s="8"/>
      <c r="C2042" s="8"/>
      <c r="D2042" s="8"/>
      <c r="E2042" s="17" t="s">
        <v>29</v>
      </c>
      <c r="F2042" s="17" t="s">
        <v>29</v>
      </c>
      <c r="G2042" s="17" t="s">
        <v>29</v>
      </c>
      <c r="H2042" s="17" t="s">
        <v>29</v>
      </c>
      <c r="I2042" s="17" t="s">
        <v>29</v>
      </c>
      <c r="J2042" s="17" t="s">
        <v>29</v>
      </c>
      <c r="K2042" s="17" t="s">
        <v>29</v>
      </c>
      <c r="L2042" s="17" t="s">
        <v>29</v>
      </c>
      <c r="M2042" s="17" t="s">
        <v>29</v>
      </c>
      <c r="N2042" s="17" t="s">
        <v>29</v>
      </c>
      <c r="O2042" s="17" t="s">
        <v>29</v>
      </c>
      <c r="P2042" s="17" t="s">
        <v>29</v>
      </c>
      <c r="Q2042" s="17" t="s">
        <v>29</v>
      </c>
      <c r="R2042" s="17" t="s">
        <v>29</v>
      </c>
      <c r="S2042" s="17" t="s">
        <v>29</v>
      </c>
      <c r="T2042" s="17" t="s">
        <v>29</v>
      </c>
      <c r="U2042" s="17" t="s">
        <v>29</v>
      </c>
      <c r="V2042" s="17" t="s">
        <v>29</v>
      </c>
      <c r="W2042" s="17" t="s">
        <v>29</v>
      </c>
      <c r="X2042" s="17" t="s">
        <v>29</v>
      </c>
      <c r="Y2042" s="17" t="s">
        <v>29</v>
      </c>
      <c r="Z2042" s="17" t="s">
        <v>29</v>
      </c>
      <c r="AA2042" s="17" t="s">
        <v>29</v>
      </c>
      <c r="AB2042" s="17" t="s">
        <v>29</v>
      </c>
    </row>
    <row r="2043" spans="1:28" x14ac:dyDescent="0.3">
      <c r="A2043" s="63" t="s">
        <v>1026</v>
      </c>
      <c r="B2043" s="7" t="s">
        <v>369</v>
      </c>
      <c r="C2043" s="8"/>
      <c r="D2043" s="8"/>
      <c r="E2043" s="8"/>
      <c r="F2043" s="8"/>
      <c r="G2043" s="8"/>
      <c r="H2043" s="8"/>
      <c r="I2043" s="8"/>
      <c r="J2043" s="8"/>
      <c r="K2043" s="8"/>
      <c r="L2043" s="8"/>
      <c r="M2043" s="8"/>
      <c r="N2043" s="8"/>
      <c r="O2043" s="8"/>
      <c r="P2043" s="8"/>
      <c r="Q2043" s="8"/>
      <c r="R2043" s="8"/>
      <c r="S2043" s="8"/>
      <c r="T2043" s="8"/>
      <c r="U2043" s="8"/>
      <c r="V2043" s="8"/>
      <c r="W2043" s="8"/>
      <c r="X2043" s="58"/>
      <c r="Y2043" s="8"/>
      <c r="Z2043" s="8"/>
    </row>
    <row r="2044" spans="1:28" x14ac:dyDescent="0.3">
      <c r="A2044" s="64"/>
      <c r="B2044" s="8"/>
      <c r="C2044" s="8"/>
      <c r="D2044" s="15" t="s">
        <v>370</v>
      </c>
      <c r="E2044" s="8"/>
      <c r="F2044" s="8"/>
      <c r="G2044" s="8"/>
      <c r="H2044" s="8"/>
      <c r="I2044" s="8"/>
      <c r="J2044" s="8"/>
      <c r="K2044" s="8"/>
      <c r="L2044" s="8"/>
      <c r="M2044" s="8"/>
      <c r="N2044" s="8"/>
      <c r="O2044" s="8"/>
      <c r="P2044" s="8"/>
      <c r="Q2044" s="8"/>
      <c r="R2044" s="8"/>
      <c r="S2044" s="8"/>
      <c r="T2044" s="8"/>
      <c r="U2044" s="8"/>
      <c r="V2044" s="8"/>
      <c r="W2044" s="8"/>
      <c r="X2044" s="8"/>
      <c r="Y2044" s="8"/>
      <c r="Z2044" s="8"/>
    </row>
    <row r="2045" spans="1:28" x14ac:dyDescent="0.3">
      <c r="A2045" s="64"/>
      <c r="B2045" s="8"/>
      <c r="C2045" s="7" t="s">
        <v>51</v>
      </c>
      <c r="D2045" s="14" t="s">
        <v>371</v>
      </c>
      <c r="E2045" s="9">
        <v>18200518.390000001</v>
      </c>
      <c r="F2045" s="9">
        <v>16921788.510000002</v>
      </c>
      <c r="G2045" s="8"/>
      <c r="H2045" s="9">
        <f t="shared" ref="H2045:H2061" si="1083">F2045+G2045</f>
        <v>16921788.510000002</v>
      </c>
      <c r="I2045" s="8"/>
      <c r="J2045" s="8"/>
      <c r="K2045" s="8"/>
      <c r="L2045" s="9"/>
      <c r="M2045" s="9">
        <f t="shared" ref="M2045:M2061" si="1084">H2045+L2045</f>
        <v>16921788.510000002</v>
      </c>
      <c r="N2045" s="9">
        <f>730573.97+548155.91</f>
        <v>1278729.8799999999</v>
      </c>
      <c r="O2045" s="8"/>
      <c r="P2045" s="9">
        <f t="shared" ref="P2045:P2061" si="1085">N2045+O2045</f>
        <v>1278729.8799999999</v>
      </c>
      <c r="Q2045" s="8"/>
      <c r="R2045" s="8"/>
      <c r="S2045" s="8"/>
      <c r="T2045" s="9"/>
      <c r="U2045" s="9">
        <f t="shared" ref="U2045:U2061" si="1086">P2045+T2045</f>
        <v>1278729.8799999999</v>
      </c>
      <c r="V2045" s="9">
        <f t="shared" ref="V2045:V2061" si="1087">P2045+H2045</f>
        <v>18200518.390000001</v>
      </c>
      <c r="W2045" s="9">
        <f t="shared" ref="W2045:W2061" si="1088">E2045-V2045</f>
        <v>0</v>
      </c>
      <c r="X2045" s="9">
        <f t="shared" ref="X2045:X2061" si="1089">+H2045+P2045</f>
        <v>18200518.390000001</v>
      </c>
      <c r="Y2045" s="8"/>
      <c r="Z2045" s="9">
        <f t="shared" ref="Z2045:Z2061" si="1090">+E2045-X2045</f>
        <v>0</v>
      </c>
      <c r="AA2045" s="8">
        <f t="shared" ref="AA2045:AA2061" si="1091">+M2045+U2045</f>
        <v>18200518.390000001</v>
      </c>
      <c r="AB2045" s="8">
        <f t="shared" ref="AB2045:AB2061" si="1092">+E2045-AA2045</f>
        <v>0</v>
      </c>
    </row>
    <row r="2046" spans="1:28" x14ac:dyDescent="0.3">
      <c r="A2046" s="64"/>
      <c r="B2046" s="8"/>
      <c r="C2046" s="7" t="s">
        <v>53</v>
      </c>
      <c r="D2046" s="15" t="s">
        <v>68</v>
      </c>
      <c r="E2046" s="9">
        <v>1767770</v>
      </c>
      <c r="F2046" s="9">
        <v>0</v>
      </c>
      <c r="G2046" s="8"/>
      <c r="H2046" s="9">
        <f t="shared" si="1083"/>
        <v>0</v>
      </c>
      <c r="I2046" s="8"/>
      <c r="J2046" s="8"/>
      <c r="K2046" s="8"/>
      <c r="L2046" s="9"/>
      <c r="M2046" s="9">
        <f t="shared" si="1084"/>
        <v>0</v>
      </c>
      <c r="N2046" s="9">
        <v>1767770</v>
      </c>
      <c r="O2046" s="8"/>
      <c r="P2046" s="9">
        <f t="shared" si="1085"/>
        <v>1767770</v>
      </c>
      <c r="Q2046" s="8"/>
      <c r="R2046" s="8"/>
      <c r="S2046" s="8"/>
      <c r="T2046" s="9"/>
      <c r="U2046" s="9">
        <f t="shared" si="1086"/>
        <v>1767770</v>
      </c>
      <c r="V2046" s="9">
        <f t="shared" si="1087"/>
        <v>1767770</v>
      </c>
      <c r="W2046" s="9">
        <f t="shared" si="1088"/>
        <v>0</v>
      </c>
      <c r="X2046" s="9">
        <f t="shared" si="1089"/>
        <v>1767770</v>
      </c>
      <c r="Y2046" s="8"/>
      <c r="Z2046" s="9">
        <f t="shared" si="1090"/>
        <v>0</v>
      </c>
      <c r="AA2046" s="8">
        <f t="shared" si="1091"/>
        <v>1767770</v>
      </c>
      <c r="AB2046" s="8">
        <f t="shared" si="1092"/>
        <v>0</v>
      </c>
    </row>
    <row r="2047" spans="1:28" x14ac:dyDescent="0.3">
      <c r="A2047" s="64"/>
      <c r="B2047" s="8"/>
      <c r="C2047" s="7" t="s">
        <v>192</v>
      </c>
      <c r="D2047" s="15" t="s">
        <v>54</v>
      </c>
      <c r="E2047" s="9">
        <v>955345.62</v>
      </c>
      <c r="F2047" s="9">
        <v>0</v>
      </c>
      <c r="G2047" s="8"/>
      <c r="H2047" s="9">
        <f t="shared" si="1083"/>
        <v>0</v>
      </c>
      <c r="I2047" s="8"/>
      <c r="J2047" s="8"/>
      <c r="K2047" s="8"/>
      <c r="L2047" s="9"/>
      <c r="M2047" s="9">
        <f t="shared" si="1084"/>
        <v>0</v>
      </c>
      <c r="N2047" s="9">
        <v>955345.62</v>
      </c>
      <c r="O2047" s="8"/>
      <c r="P2047" s="9">
        <f t="shared" si="1085"/>
        <v>955345.62</v>
      </c>
      <c r="Q2047" s="8"/>
      <c r="R2047" s="8"/>
      <c r="S2047" s="8"/>
      <c r="T2047" s="9"/>
      <c r="U2047" s="9">
        <f t="shared" si="1086"/>
        <v>955345.62</v>
      </c>
      <c r="V2047" s="9">
        <f t="shared" si="1087"/>
        <v>955345.62</v>
      </c>
      <c r="W2047" s="9">
        <f t="shared" si="1088"/>
        <v>0</v>
      </c>
      <c r="X2047" s="9">
        <f t="shared" si="1089"/>
        <v>955345.62</v>
      </c>
      <c r="Y2047" s="8"/>
      <c r="Z2047" s="9">
        <f t="shared" si="1090"/>
        <v>0</v>
      </c>
      <c r="AA2047" s="8">
        <f t="shared" si="1091"/>
        <v>955345.62</v>
      </c>
      <c r="AB2047" s="8">
        <f t="shared" si="1092"/>
        <v>0</v>
      </c>
    </row>
    <row r="2048" spans="1:28" x14ac:dyDescent="0.3">
      <c r="A2048" s="64"/>
      <c r="B2048" s="8"/>
      <c r="C2048" s="7" t="s">
        <v>372</v>
      </c>
      <c r="D2048" s="15" t="s">
        <v>85</v>
      </c>
      <c r="E2048" s="9">
        <v>4000000</v>
      </c>
      <c r="F2048" s="9">
        <v>4000000</v>
      </c>
      <c r="G2048" s="8"/>
      <c r="H2048" s="9">
        <f t="shared" si="1083"/>
        <v>4000000</v>
      </c>
      <c r="I2048" s="8"/>
      <c r="J2048" s="8"/>
      <c r="K2048" s="8"/>
      <c r="L2048" s="9"/>
      <c r="M2048" s="9">
        <f t="shared" si="1084"/>
        <v>4000000</v>
      </c>
      <c r="N2048" s="9">
        <v>0</v>
      </c>
      <c r="O2048" s="8"/>
      <c r="P2048" s="9">
        <f t="shared" si="1085"/>
        <v>0</v>
      </c>
      <c r="Q2048" s="8"/>
      <c r="R2048" s="8"/>
      <c r="S2048" s="8"/>
      <c r="T2048" s="9"/>
      <c r="U2048" s="9">
        <f t="shared" si="1086"/>
        <v>0</v>
      </c>
      <c r="V2048" s="9">
        <f t="shared" si="1087"/>
        <v>4000000</v>
      </c>
      <c r="W2048" s="9">
        <f t="shared" si="1088"/>
        <v>0</v>
      </c>
      <c r="X2048" s="9">
        <f t="shared" si="1089"/>
        <v>4000000</v>
      </c>
      <c r="Y2048" s="8"/>
      <c r="Z2048" s="9">
        <f t="shared" si="1090"/>
        <v>0</v>
      </c>
      <c r="AA2048" s="8">
        <f t="shared" si="1091"/>
        <v>4000000</v>
      </c>
      <c r="AB2048" s="8">
        <f t="shared" si="1092"/>
        <v>0</v>
      </c>
    </row>
    <row r="2049" spans="1:28" x14ac:dyDescent="0.3">
      <c r="A2049" s="64"/>
      <c r="B2049" s="8"/>
      <c r="C2049" s="7" t="s">
        <v>57</v>
      </c>
      <c r="D2049" s="15" t="s">
        <v>58</v>
      </c>
      <c r="E2049" s="9">
        <v>3290826</v>
      </c>
      <c r="F2049" s="9">
        <v>3290826</v>
      </c>
      <c r="G2049" s="8"/>
      <c r="H2049" s="9">
        <f t="shared" si="1083"/>
        <v>3290826</v>
      </c>
      <c r="I2049" s="8"/>
      <c r="J2049" s="8"/>
      <c r="K2049" s="8"/>
      <c r="L2049" s="9"/>
      <c r="M2049" s="9">
        <f t="shared" si="1084"/>
        <v>3290826</v>
      </c>
      <c r="N2049" s="9">
        <v>0</v>
      </c>
      <c r="O2049" s="8"/>
      <c r="P2049" s="9">
        <f t="shared" si="1085"/>
        <v>0</v>
      </c>
      <c r="Q2049" s="8"/>
      <c r="R2049" s="8"/>
      <c r="S2049" s="8"/>
      <c r="T2049" s="9"/>
      <c r="U2049" s="9">
        <f t="shared" si="1086"/>
        <v>0</v>
      </c>
      <c r="V2049" s="9">
        <f t="shared" si="1087"/>
        <v>3290826</v>
      </c>
      <c r="W2049" s="9">
        <f t="shared" si="1088"/>
        <v>0</v>
      </c>
      <c r="X2049" s="9">
        <f t="shared" si="1089"/>
        <v>3290826</v>
      </c>
      <c r="Y2049" s="8"/>
      <c r="Z2049" s="9">
        <f t="shared" si="1090"/>
        <v>0</v>
      </c>
      <c r="AA2049" s="8">
        <f t="shared" si="1091"/>
        <v>3290826</v>
      </c>
      <c r="AB2049" s="8">
        <f t="shared" si="1092"/>
        <v>0</v>
      </c>
    </row>
    <row r="2050" spans="1:28" x14ac:dyDescent="0.3">
      <c r="A2050" s="64"/>
      <c r="B2050" s="8"/>
      <c r="C2050" s="7" t="s">
        <v>57</v>
      </c>
      <c r="D2050" s="15" t="s">
        <v>60</v>
      </c>
      <c r="E2050" s="9">
        <v>9092089.5600000005</v>
      </c>
      <c r="F2050" s="11">
        <v>9092089.5600000005</v>
      </c>
      <c r="G2050" s="8"/>
      <c r="H2050" s="9">
        <f t="shared" si="1083"/>
        <v>9092089.5600000005</v>
      </c>
      <c r="I2050" s="8"/>
      <c r="J2050" s="8"/>
      <c r="K2050" s="8"/>
      <c r="L2050" s="9"/>
      <c r="M2050" s="9">
        <f t="shared" si="1084"/>
        <v>9092089.5600000005</v>
      </c>
      <c r="N2050" s="9">
        <v>0</v>
      </c>
      <c r="O2050" s="8"/>
      <c r="P2050" s="9">
        <f t="shared" si="1085"/>
        <v>0</v>
      </c>
      <c r="Q2050" s="8"/>
      <c r="R2050" s="8"/>
      <c r="S2050" s="8"/>
      <c r="T2050" s="9"/>
      <c r="U2050" s="9">
        <f t="shared" si="1086"/>
        <v>0</v>
      </c>
      <c r="V2050" s="9">
        <f t="shared" si="1087"/>
        <v>9092089.5600000005</v>
      </c>
      <c r="W2050" s="9">
        <f t="shared" si="1088"/>
        <v>0</v>
      </c>
      <c r="X2050" s="9">
        <f t="shared" si="1089"/>
        <v>9092089.5600000005</v>
      </c>
      <c r="Y2050" s="8"/>
      <c r="Z2050" s="9">
        <f t="shared" si="1090"/>
        <v>0</v>
      </c>
      <c r="AA2050" s="8">
        <f t="shared" si="1091"/>
        <v>9092089.5600000005</v>
      </c>
      <c r="AB2050" s="8">
        <f t="shared" si="1092"/>
        <v>0</v>
      </c>
    </row>
    <row r="2051" spans="1:28" x14ac:dyDescent="0.3">
      <c r="A2051" s="64"/>
      <c r="B2051" s="8"/>
      <c r="C2051" s="14" t="s">
        <v>109</v>
      </c>
      <c r="D2051" s="21" t="s">
        <v>60</v>
      </c>
      <c r="E2051" s="9">
        <v>7500000</v>
      </c>
      <c r="F2051" s="11">
        <v>7500000</v>
      </c>
      <c r="G2051" s="8"/>
      <c r="H2051" s="9">
        <f t="shared" si="1083"/>
        <v>7500000</v>
      </c>
      <c r="I2051" s="8"/>
      <c r="J2051" s="8"/>
      <c r="K2051" s="8"/>
      <c r="L2051" s="9"/>
      <c r="M2051" s="9">
        <f t="shared" si="1084"/>
        <v>7500000</v>
      </c>
      <c r="N2051" s="9">
        <v>0</v>
      </c>
      <c r="O2051" s="8"/>
      <c r="P2051" s="9">
        <f t="shared" si="1085"/>
        <v>0</v>
      </c>
      <c r="Q2051" s="8"/>
      <c r="R2051" s="8"/>
      <c r="S2051" s="8"/>
      <c r="T2051" s="9"/>
      <c r="U2051" s="9">
        <f t="shared" si="1086"/>
        <v>0</v>
      </c>
      <c r="V2051" s="9">
        <f t="shared" si="1087"/>
        <v>7500000</v>
      </c>
      <c r="W2051" s="9">
        <f t="shared" si="1088"/>
        <v>0</v>
      </c>
      <c r="X2051" s="9">
        <f t="shared" si="1089"/>
        <v>7500000</v>
      </c>
      <c r="Y2051" s="8"/>
      <c r="Z2051" s="9">
        <f t="shared" si="1090"/>
        <v>0</v>
      </c>
      <c r="AA2051" s="8">
        <f t="shared" si="1091"/>
        <v>7500000</v>
      </c>
      <c r="AB2051" s="8">
        <f t="shared" si="1092"/>
        <v>0</v>
      </c>
    </row>
    <row r="2052" spans="1:28" x14ac:dyDescent="0.3">
      <c r="A2052" s="64"/>
      <c r="B2052" s="8"/>
      <c r="C2052" s="14" t="s">
        <v>373</v>
      </c>
      <c r="D2052" s="21" t="s">
        <v>60</v>
      </c>
      <c r="E2052" s="9">
        <v>3200000</v>
      </c>
      <c r="F2052" s="11">
        <v>3200000</v>
      </c>
      <c r="G2052" s="8"/>
      <c r="H2052" s="9">
        <f t="shared" si="1083"/>
        <v>3200000</v>
      </c>
      <c r="I2052" s="8"/>
      <c r="J2052" s="8"/>
      <c r="K2052" s="8"/>
      <c r="L2052" s="9"/>
      <c r="M2052" s="9">
        <f t="shared" si="1084"/>
        <v>3200000</v>
      </c>
      <c r="N2052" s="9">
        <v>0</v>
      </c>
      <c r="O2052" s="8"/>
      <c r="P2052" s="9">
        <f t="shared" si="1085"/>
        <v>0</v>
      </c>
      <c r="Q2052" s="8"/>
      <c r="R2052" s="8"/>
      <c r="S2052" s="8"/>
      <c r="T2052" s="9"/>
      <c r="U2052" s="9">
        <f t="shared" si="1086"/>
        <v>0</v>
      </c>
      <c r="V2052" s="9">
        <f t="shared" si="1087"/>
        <v>3200000</v>
      </c>
      <c r="W2052" s="9">
        <f t="shared" si="1088"/>
        <v>0</v>
      </c>
      <c r="X2052" s="9">
        <f t="shared" si="1089"/>
        <v>3200000</v>
      </c>
      <c r="Y2052" s="8"/>
      <c r="Z2052" s="9">
        <f t="shared" si="1090"/>
        <v>0</v>
      </c>
      <c r="AA2052" s="8">
        <f t="shared" si="1091"/>
        <v>3200000</v>
      </c>
      <c r="AB2052" s="8">
        <f t="shared" si="1092"/>
        <v>0</v>
      </c>
    </row>
    <row r="2053" spans="1:28" x14ac:dyDescent="0.3">
      <c r="A2053" s="64"/>
      <c r="B2053" s="8"/>
      <c r="C2053" s="7" t="s">
        <v>374</v>
      </c>
      <c r="D2053" s="15" t="s">
        <v>60</v>
      </c>
      <c r="E2053" s="9">
        <v>500000</v>
      </c>
      <c r="F2053" s="11">
        <v>500000</v>
      </c>
      <c r="G2053" s="8"/>
      <c r="H2053" s="9">
        <f t="shared" si="1083"/>
        <v>500000</v>
      </c>
      <c r="I2053" s="8"/>
      <c r="J2053" s="8"/>
      <c r="K2053" s="8"/>
      <c r="L2053" s="9"/>
      <c r="M2053" s="9">
        <f t="shared" si="1084"/>
        <v>500000</v>
      </c>
      <c r="N2053" s="9">
        <v>0</v>
      </c>
      <c r="O2053" s="8"/>
      <c r="P2053" s="9">
        <f t="shared" si="1085"/>
        <v>0</v>
      </c>
      <c r="Q2053" s="8"/>
      <c r="R2053" s="8"/>
      <c r="S2053" s="8"/>
      <c r="T2053" s="9"/>
      <c r="U2053" s="9">
        <f t="shared" si="1086"/>
        <v>0</v>
      </c>
      <c r="V2053" s="9">
        <f t="shared" si="1087"/>
        <v>500000</v>
      </c>
      <c r="W2053" s="9">
        <f t="shared" si="1088"/>
        <v>0</v>
      </c>
      <c r="X2053" s="9">
        <f t="shared" si="1089"/>
        <v>500000</v>
      </c>
      <c r="Y2053" s="8"/>
      <c r="Z2053" s="9">
        <f t="shared" si="1090"/>
        <v>0</v>
      </c>
      <c r="AA2053" s="8">
        <f t="shared" si="1091"/>
        <v>500000</v>
      </c>
      <c r="AB2053" s="8">
        <f t="shared" si="1092"/>
        <v>0</v>
      </c>
    </row>
    <row r="2054" spans="1:28" x14ac:dyDescent="0.3">
      <c r="A2054" s="64"/>
      <c r="B2054" s="8"/>
      <c r="C2054" s="7" t="s">
        <v>57</v>
      </c>
      <c r="D2054" s="15" t="s">
        <v>73</v>
      </c>
      <c r="E2054" s="9">
        <v>12747022</v>
      </c>
      <c r="F2054" s="11">
        <v>12747022</v>
      </c>
      <c r="G2054" s="8"/>
      <c r="H2054" s="9">
        <f>F2054+G2054</f>
        <v>12747022</v>
      </c>
      <c r="I2054" s="8"/>
      <c r="J2054" s="8"/>
      <c r="K2054" s="8"/>
      <c r="L2054" s="9"/>
      <c r="M2054" s="9">
        <f>H2054+L2054</f>
        <v>12747022</v>
      </c>
      <c r="N2054" s="9">
        <v>0</v>
      </c>
      <c r="O2054" s="8"/>
      <c r="P2054" s="9">
        <f t="shared" si="1085"/>
        <v>0</v>
      </c>
      <c r="Q2054" s="8"/>
      <c r="R2054" s="8"/>
      <c r="S2054" s="8"/>
      <c r="T2054" s="9"/>
      <c r="U2054" s="9">
        <f t="shared" si="1086"/>
        <v>0</v>
      </c>
      <c r="V2054" s="9">
        <f t="shared" si="1087"/>
        <v>12747022</v>
      </c>
      <c r="W2054" s="9">
        <f t="shared" si="1088"/>
        <v>0</v>
      </c>
      <c r="X2054" s="9">
        <f t="shared" si="1089"/>
        <v>12747022</v>
      </c>
      <c r="Y2054" s="8"/>
      <c r="Z2054" s="9">
        <f t="shared" si="1090"/>
        <v>0</v>
      </c>
      <c r="AA2054" s="8">
        <f t="shared" si="1091"/>
        <v>12747022</v>
      </c>
      <c r="AB2054" s="8">
        <f t="shared" si="1092"/>
        <v>0</v>
      </c>
    </row>
    <row r="2055" spans="1:28" x14ac:dyDescent="0.3">
      <c r="A2055" s="64"/>
      <c r="B2055" s="8"/>
      <c r="C2055" s="7" t="s">
        <v>62</v>
      </c>
      <c r="D2055" s="8"/>
      <c r="E2055" s="9">
        <v>1066621.5</v>
      </c>
      <c r="F2055" s="9">
        <v>1066621.5</v>
      </c>
      <c r="G2055" s="8"/>
      <c r="H2055" s="9">
        <f t="shared" si="1083"/>
        <v>1066621.5</v>
      </c>
      <c r="I2055" s="8"/>
      <c r="J2055" s="8"/>
      <c r="K2055" s="8"/>
      <c r="L2055" s="9"/>
      <c r="M2055" s="9">
        <f t="shared" si="1084"/>
        <v>1066621.5</v>
      </c>
      <c r="N2055" s="9">
        <v>0</v>
      </c>
      <c r="O2055" s="8"/>
      <c r="P2055" s="9">
        <f t="shared" si="1085"/>
        <v>0</v>
      </c>
      <c r="Q2055" s="8"/>
      <c r="R2055" s="8"/>
      <c r="S2055" s="8"/>
      <c r="T2055" s="9"/>
      <c r="U2055" s="9">
        <f t="shared" si="1086"/>
        <v>0</v>
      </c>
      <c r="V2055" s="9">
        <f t="shared" si="1087"/>
        <v>1066621.5</v>
      </c>
      <c r="W2055" s="9">
        <f t="shared" si="1088"/>
        <v>0</v>
      </c>
      <c r="X2055" s="9">
        <f t="shared" si="1089"/>
        <v>1066621.5</v>
      </c>
      <c r="Y2055" s="8"/>
      <c r="Z2055" s="9">
        <f t="shared" si="1090"/>
        <v>0</v>
      </c>
      <c r="AA2055" s="8">
        <f t="shared" si="1091"/>
        <v>1066621.5</v>
      </c>
      <c r="AB2055" s="8">
        <f t="shared" si="1092"/>
        <v>0</v>
      </c>
    </row>
    <row r="2056" spans="1:28" x14ac:dyDescent="0.3">
      <c r="A2056" s="64"/>
      <c r="B2056" s="8"/>
      <c r="C2056" s="7" t="s">
        <v>924</v>
      </c>
      <c r="D2056" s="8"/>
      <c r="E2056" s="9">
        <f>509562.58+312691.88</f>
        <v>822254.46</v>
      </c>
      <c r="F2056" s="9">
        <f>509562.58+312691.88</f>
        <v>822254.46</v>
      </c>
      <c r="G2056" s="8"/>
      <c r="H2056" s="9">
        <f>F2056+G2056</f>
        <v>822254.46</v>
      </c>
      <c r="I2056" s="8"/>
      <c r="J2056" s="8"/>
      <c r="K2056" s="8"/>
      <c r="L2056" s="9"/>
      <c r="M2056" s="9">
        <f>H2056+L2056</f>
        <v>822254.46</v>
      </c>
      <c r="N2056" s="9">
        <v>0</v>
      </c>
      <c r="O2056" s="8"/>
      <c r="P2056" s="9">
        <f>+N2056+O2056</f>
        <v>0</v>
      </c>
      <c r="Q2056" s="8"/>
      <c r="R2056" s="8"/>
      <c r="S2056" s="8"/>
      <c r="T2056" s="9"/>
      <c r="U2056" s="9">
        <f>P2056+T2056</f>
        <v>0</v>
      </c>
      <c r="V2056" s="9">
        <f>P2056+H2056</f>
        <v>822254.46</v>
      </c>
      <c r="W2056" s="9">
        <f>E2056-V2056</f>
        <v>0</v>
      </c>
      <c r="X2056" s="9">
        <f t="shared" si="1089"/>
        <v>822254.46</v>
      </c>
      <c r="Y2056" s="8"/>
      <c r="Z2056" s="9">
        <f t="shared" si="1090"/>
        <v>0</v>
      </c>
      <c r="AA2056" s="8">
        <f t="shared" si="1091"/>
        <v>822254.46</v>
      </c>
      <c r="AB2056" s="8">
        <f t="shared" si="1092"/>
        <v>0</v>
      </c>
    </row>
    <row r="2057" spans="1:28" x14ac:dyDescent="0.3">
      <c r="A2057" s="64"/>
      <c r="B2057" s="8"/>
      <c r="C2057" s="7" t="s">
        <v>930</v>
      </c>
      <c r="D2057" s="23" t="s">
        <v>1072</v>
      </c>
      <c r="E2057" s="9">
        <f>8171263.38+4871893.86</f>
        <v>13043157.24</v>
      </c>
      <c r="F2057" s="9">
        <f>8171263.38+4871893.86</f>
        <v>13043157.24</v>
      </c>
      <c r="G2057" s="8"/>
      <c r="H2057" s="9">
        <f>+F2057+G2057</f>
        <v>13043157.24</v>
      </c>
      <c r="I2057" s="8"/>
      <c r="J2057" s="8"/>
      <c r="K2057" s="8"/>
      <c r="L2057" s="9"/>
      <c r="M2057" s="9">
        <f>H2057+L2057</f>
        <v>13043157.24</v>
      </c>
      <c r="N2057" s="9">
        <v>0</v>
      </c>
      <c r="O2057" s="8"/>
      <c r="P2057" s="9">
        <f>+N2057+O2057</f>
        <v>0</v>
      </c>
      <c r="Q2057" s="8"/>
      <c r="R2057" s="8"/>
      <c r="S2057" s="8"/>
      <c r="T2057" s="9"/>
      <c r="U2057" s="9">
        <f>P2057+T2057</f>
        <v>0</v>
      </c>
      <c r="V2057" s="9">
        <f>P2057+H2057</f>
        <v>13043157.24</v>
      </c>
      <c r="W2057" s="9"/>
      <c r="X2057" s="9">
        <f t="shared" si="1089"/>
        <v>13043157.24</v>
      </c>
      <c r="Y2057" s="8"/>
      <c r="Z2057" s="9">
        <f t="shared" si="1090"/>
        <v>0</v>
      </c>
      <c r="AA2057" s="8">
        <f t="shared" si="1091"/>
        <v>13043157.24</v>
      </c>
      <c r="AB2057" s="8">
        <f t="shared" si="1092"/>
        <v>0</v>
      </c>
    </row>
    <row r="2058" spans="1:28" x14ac:dyDescent="0.3">
      <c r="A2058" s="64"/>
      <c r="B2058" s="8"/>
      <c r="C2058" s="7" t="s">
        <v>1176</v>
      </c>
      <c r="D2058" s="23" t="s">
        <v>1126</v>
      </c>
      <c r="E2058" s="9">
        <v>13419612.710000001</v>
      </c>
      <c r="F2058" s="8">
        <v>13419612.710000001</v>
      </c>
      <c r="G2058" s="8"/>
      <c r="H2058" s="9">
        <f>+F2058+G2058</f>
        <v>13419612.710000001</v>
      </c>
      <c r="I2058" s="8"/>
      <c r="J2058" s="8"/>
      <c r="K2058" s="8"/>
      <c r="L2058" s="9"/>
      <c r="M2058" s="9">
        <f>H2058+L2058</f>
        <v>13419612.710000001</v>
      </c>
      <c r="N2058" s="9">
        <v>0</v>
      </c>
      <c r="O2058" s="8"/>
      <c r="P2058" s="9">
        <f>+N2058+O2058</f>
        <v>0</v>
      </c>
      <c r="Q2058" s="8"/>
      <c r="R2058" s="8"/>
      <c r="S2058" s="8"/>
      <c r="T2058" s="9"/>
      <c r="U2058" s="9">
        <v>0</v>
      </c>
      <c r="V2058" s="9"/>
      <c r="W2058" s="9"/>
      <c r="X2058" s="9">
        <f t="shared" si="1089"/>
        <v>13419612.710000001</v>
      </c>
      <c r="Y2058" s="8"/>
      <c r="Z2058" s="9">
        <f>+E2058-X2058</f>
        <v>0</v>
      </c>
      <c r="AA2058" s="8">
        <f>+M2058+U2058</f>
        <v>13419612.710000001</v>
      </c>
      <c r="AB2058" s="8">
        <f>+E2058-AA2058</f>
        <v>0</v>
      </c>
    </row>
    <row r="2059" spans="1:28" x14ac:dyDescent="0.3">
      <c r="A2059" s="64"/>
      <c r="B2059" s="8"/>
      <c r="C2059" s="7" t="s">
        <v>1242</v>
      </c>
      <c r="D2059" s="23" t="s">
        <v>1225</v>
      </c>
      <c r="E2059" s="9">
        <f>2930156.46+10951938.83+8527136.97+2507315.31</f>
        <v>24916547.569999997</v>
      </c>
      <c r="F2059" s="8"/>
      <c r="G2059" s="8">
        <f>2930156.46+10951938.83+8527136.97+2507315.31</f>
        <v>24916547.569999997</v>
      </c>
      <c r="H2059" s="9">
        <f>+F2059+G2059</f>
        <v>24916547.569999997</v>
      </c>
      <c r="I2059" s="8"/>
      <c r="J2059" s="8"/>
      <c r="K2059" s="8"/>
      <c r="L2059" s="9"/>
      <c r="M2059" s="9">
        <f>+H2059+L2059</f>
        <v>24916547.569999997</v>
      </c>
      <c r="N2059" s="9">
        <v>0</v>
      </c>
      <c r="O2059" s="8"/>
      <c r="P2059" s="9">
        <f>+N2059+O2059</f>
        <v>0</v>
      </c>
      <c r="Q2059" s="8"/>
      <c r="R2059" s="8"/>
      <c r="S2059" s="8"/>
      <c r="T2059" s="9"/>
      <c r="U2059" s="9">
        <f>+P2059+T2059</f>
        <v>0</v>
      </c>
      <c r="V2059" s="9"/>
      <c r="W2059" s="9"/>
      <c r="X2059" s="9">
        <f>+H2059+P2059</f>
        <v>24916547.569999997</v>
      </c>
      <c r="Y2059" s="8"/>
      <c r="Z2059" s="9">
        <f>+E2059-X2059</f>
        <v>0</v>
      </c>
      <c r="AA2059" s="8">
        <f>+M2059+U2059</f>
        <v>24916547.569999997</v>
      </c>
      <c r="AB2059" s="8">
        <f>+E2059-AA2059</f>
        <v>0</v>
      </c>
    </row>
    <row r="2060" spans="1:28" x14ac:dyDescent="0.3">
      <c r="A2060" s="64"/>
      <c r="B2060" s="8"/>
      <c r="C2060" s="7" t="s">
        <v>1073</v>
      </c>
      <c r="D2060" s="23" t="s">
        <v>1072</v>
      </c>
      <c r="E2060" s="9">
        <v>802506.57</v>
      </c>
      <c r="F2060" s="9">
        <v>802506.57</v>
      </c>
      <c r="G2060" s="8"/>
      <c r="H2060" s="9">
        <f>+F2060+G2060</f>
        <v>802506.57</v>
      </c>
      <c r="I2060" s="8"/>
      <c r="J2060" s="8"/>
      <c r="K2060" s="8"/>
      <c r="L2060" s="9"/>
      <c r="M2060" s="9">
        <f>+H2060+L2060</f>
        <v>802506.57</v>
      </c>
      <c r="N2060" s="9">
        <v>0</v>
      </c>
      <c r="O2060" s="8"/>
      <c r="P2060" s="9">
        <v>0</v>
      </c>
      <c r="Q2060" s="8"/>
      <c r="R2060" s="8"/>
      <c r="S2060" s="8"/>
      <c r="T2060" s="9"/>
      <c r="U2060" s="9">
        <f>P2060+T2060</f>
        <v>0</v>
      </c>
      <c r="V2060" s="9">
        <f>P2060+H2060</f>
        <v>802506.57</v>
      </c>
      <c r="W2060" s="9">
        <f>E2060-V2060</f>
        <v>0</v>
      </c>
      <c r="X2060" s="9">
        <f t="shared" si="1089"/>
        <v>802506.57</v>
      </c>
      <c r="Y2060" s="8"/>
      <c r="Z2060" s="9">
        <f t="shared" si="1090"/>
        <v>0</v>
      </c>
      <c r="AA2060" s="8">
        <f t="shared" si="1091"/>
        <v>802506.57</v>
      </c>
      <c r="AB2060" s="8">
        <f t="shared" si="1092"/>
        <v>0</v>
      </c>
    </row>
    <row r="2061" spans="1:28" x14ac:dyDescent="0.3">
      <c r="A2061" s="64"/>
      <c r="B2061" s="8"/>
      <c r="C2061" s="7" t="s">
        <v>57</v>
      </c>
      <c r="D2061" s="23" t="s">
        <v>61</v>
      </c>
      <c r="E2061" s="9">
        <v>13695409.359999999</v>
      </c>
      <c r="F2061" s="9">
        <v>13695409.359999999</v>
      </c>
      <c r="G2061" s="8"/>
      <c r="H2061" s="9">
        <f t="shared" si="1083"/>
        <v>13695409.359999999</v>
      </c>
      <c r="I2061" s="8">
        <v>13695409.359999999</v>
      </c>
      <c r="J2061" s="8">
        <v>13695409.359999999</v>
      </c>
      <c r="K2061" s="8"/>
      <c r="L2061" s="9"/>
      <c r="M2061" s="9">
        <f t="shared" si="1084"/>
        <v>13695409.359999999</v>
      </c>
      <c r="N2061" s="9">
        <v>0</v>
      </c>
      <c r="O2061" s="8"/>
      <c r="P2061" s="9">
        <f t="shared" si="1085"/>
        <v>0</v>
      </c>
      <c r="Q2061" s="8"/>
      <c r="R2061" s="8"/>
      <c r="S2061" s="8"/>
      <c r="T2061" s="9"/>
      <c r="U2061" s="9">
        <f t="shared" si="1086"/>
        <v>0</v>
      </c>
      <c r="V2061" s="9">
        <f t="shared" si="1087"/>
        <v>13695409.359999999</v>
      </c>
      <c r="W2061" s="9">
        <f t="shared" si="1088"/>
        <v>0</v>
      </c>
      <c r="X2061" s="9">
        <f t="shared" si="1089"/>
        <v>13695409.359999999</v>
      </c>
      <c r="Y2061" s="8"/>
      <c r="Z2061" s="9">
        <f t="shared" si="1090"/>
        <v>0</v>
      </c>
      <c r="AA2061" s="8">
        <f t="shared" si="1091"/>
        <v>13695409.359999999</v>
      </c>
      <c r="AB2061" s="8">
        <f t="shared" si="1092"/>
        <v>0</v>
      </c>
    </row>
    <row r="2062" spans="1:28" x14ac:dyDescent="0.3">
      <c r="A2062" s="64"/>
      <c r="B2062" s="8"/>
      <c r="C2062" s="14" t="s">
        <v>375</v>
      </c>
      <c r="D2062" s="8"/>
      <c r="E2062" s="17" t="s">
        <v>29</v>
      </c>
      <c r="F2062" s="17" t="s">
        <v>29</v>
      </c>
      <c r="G2062" s="17" t="s">
        <v>29</v>
      </c>
      <c r="H2062" s="17" t="s">
        <v>29</v>
      </c>
      <c r="I2062" s="17" t="s">
        <v>29</v>
      </c>
      <c r="J2062" s="17" t="s">
        <v>29</v>
      </c>
      <c r="K2062" s="17" t="s">
        <v>29</v>
      </c>
      <c r="L2062" s="17" t="s">
        <v>29</v>
      </c>
      <c r="M2062" s="17" t="s">
        <v>29</v>
      </c>
      <c r="N2062" s="17" t="s">
        <v>29</v>
      </c>
      <c r="O2062" s="17" t="s">
        <v>29</v>
      </c>
      <c r="P2062" s="17" t="s">
        <v>29</v>
      </c>
      <c r="Q2062" s="17" t="s">
        <v>29</v>
      </c>
      <c r="R2062" s="17" t="s">
        <v>29</v>
      </c>
      <c r="S2062" s="17" t="s">
        <v>29</v>
      </c>
      <c r="T2062" s="17" t="s">
        <v>29</v>
      </c>
      <c r="U2062" s="17" t="s">
        <v>29</v>
      </c>
      <c r="V2062" s="17" t="s">
        <v>29</v>
      </c>
      <c r="W2062" s="17" t="s">
        <v>29</v>
      </c>
      <c r="X2062" s="17" t="s">
        <v>29</v>
      </c>
      <c r="Y2062" s="17" t="s">
        <v>29</v>
      </c>
      <c r="Z2062" s="17" t="s">
        <v>29</v>
      </c>
      <c r="AA2062" s="17" t="s">
        <v>29</v>
      </c>
      <c r="AB2062" s="17" t="s">
        <v>29</v>
      </c>
    </row>
    <row r="2063" spans="1:28" x14ac:dyDescent="0.3">
      <c r="A2063" s="64"/>
      <c r="B2063" s="8"/>
      <c r="C2063" s="8"/>
      <c r="D2063" s="8"/>
      <c r="E2063" s="9">
        <f t="shared" ref="E2063:AB2063" si="1093">SUM(E2045:E2061)</f>
        <v>129019680.97999997</v>
      </c>
      <c r="F2063" s="9">
        <f t="shared" si="1093"/>
        <v>100101287.90999998</v>
      </c>
      <c r="G2063" s="9">
        <f t="shared" si="1093"/>
        <v>24916547.569999997</v>
      </c>
      <c r="H2063" s="9">
        <f t="shared" si="1093"/>
        <v>125017835.47999997</v>
      </c>
      <c r="I2063" s="9">
        <f t="shared" si="1093"/>
        <v>13695409.359999999</v>
      </c>
      <c r="J2063" s="9">
        <f t="shared" si="1093"/>
        <v>13695409.359999999</v>
      </c>
      <c r="K2063" s="9">
        <f t="shared" si="1093"/>
        <v>0</v>
      </c>
      <c r="L2063" s="9">
        <f t="shared" si="1093"/>
        <v>0</v>
      </c>
      <c r="M2063" s="9">
        <f t="shared" si="1093"/>
        <v>125017835.47999997</v>
      </c>
      <c r="N2063" s="9">
        <f t="shared" si="1093"/>
        <v>4001845.5</v>
      </c>
      <c r="O2063" s="9">
        <f t="shared" si="1093"/>
        <v>0</v>
      </c>
      <c r="P2063" s="9">
        <f t="shared" si="1093"/>
        <v>4001845.5</v>
      </c>
      <c r="Q2063" s="9">
        <f t="shared" si="1093"/>
        <v>0</v>
      </c>
      <c r="R2063" s="9">
        <f t="shared" si="1093"/>
        <v>0</v>
      </c>
      <c r="S2063" s="9">
        <f t="shared" si="1093"/>
        <v>0</v>
      </c>
      <c r="T2063" s="9">
        <f t="shared" si="1093"/>
        <v>0</v>
      </c>
      <c r="U2063" s="9">
        <f t="shared" si="1093"/>
        <v>4001845.5</v>
      </c>
      <c r="V2063" s="9">
        <f t="shared" si="1093"/>
        <v>90683520.699999988</v>
      </c>
      <c r="W2063" s="9">
        <f t="shared" si="1093"/>
        <v>0</v>
      </c>
      <c r="X2063" s="9">
        <f t="shared" si="1093"/>
        <v>129019680.97999997</v>
      </c>
      <c r="Y2063" s="9">
        <f t="shared" si="1093"/>
        <v>0</v>
      </c>
      <c r="Z2063" s="9">
        <f t="shared" si="1093"/>
        <v>0</v>
      </c>
      <c r="AA2063" s="9">
        <f t="shared" si="1093"/>
        <v>129019680.97999997</v>
      </c>
      <c r="AB2063" s="9">
        <f t="shared" si="1093"/>
        <v>0</v>
      </c>
    </row>
    <row r="2064" spans="1:28" x14ac:dyDescent="0.3">
      <c r="A2064" s="64"/>
      <c r="B2064" s="8"/>
      <c r="C2064" s="8"/>
      <c r="D2064" s="8"/>
      <c r="E2064" s="17" t="s">
        <v>29</v>
      </c>
      <c r="F2064" s="17" t="s">
        <v>29</v>
      </c>
      <c r="G2064" s="17" t="s">
        <v>29</v>
      </c>
      <c r="H2064" s="17" t="s">
        <v>29</v>
      </c>
      <c r="I2064" s="17" t="s">
        <v>29</v>
      </c>
      <c r="J2064" s="17" t="s">
        <v>29</v>
      </c>
      <c r="K2064" s="17" t="s">
        <v>29</v>
      </c>
      <c r="L2064" s="17" t="s">
        <v>29</v>
      </c>
      <c r="M2064" s="17" t="s">
        <v>29</v>
      </c>
      <c r="N2064" s="17" t="s">
        <v>29</v>
      </c>
      <c r="O2064" s="17" t="s">
        <v>29</v>
      </c>
      <c r="P2064" s="17" t="s">
        <v>29</v>
      </c>
      <c r="Q2064" s="17" t="s">
        <v>29</v>
      </c>
      <c r="R2064" s="17" t="s">
        <v>29</v>
      </c>
      <c r="S2064" s="17" t="s">
        <v>29</v>
      </c>
      <c r="T2064" s="17" t="s">
        <v>29</v>
      </c>
      <c r="U2064" s="17" t="s">
        <v>29</v>
      </c>
      <c r="V2064" s="17" t="s">
        <v>29</v>
      </c>
      <c r="W2064" s="17" t="s">
        <v>29</v>
      </c>
      <c r="X2064" s="17" t="s">
        <v>29</v>
      </c>
      <c r="Y2064" s="17" t="s">
        <v>29</v>
      </c>
      <c r="Z2064" s="17" t="s">
        <v>29</v>
      </c>
      <c r="AA2064" s="17" t="s">
        <v>29</v>
      </c>
      <c r="AB2064" s="17" t="s">
        <v>29</v>
      </c>
    </row>
    <row r="2065" spans="1:28" x14ac:dyDescent="0.3">
      <c r="A2065" s="63" t="s">
        <v>1027</v>
      </c>
      <c r="B2065" s="7" t="s">
        <v>376</v>
      </c>
      <c r="C2065" s="8"/>
      <c r="D2065" s="8"/>
      <c r="E2065" s="8"/>
      <c r="F2065" s="8"/>
      <c r="G2065" s="8"/>
      <c r="H2065" s="8"/>
      <c r="I2065" s="8"/>
      <c r="J2065" s="8"/>
      <c r="K2065" s="8"/>
      <c r="L2065" s="8"/>
      <c r="M2065" s="8"/>
      <c r="N2065" s="8"/>
      <c r="O2065" s="8"/>
      <c r="P2065" s="8"/>
      <c r="Q2065" s="8"/>
      <c r="R2065" s="8"/>
      <c r="S2065" s="8"/>
      <c r="T2065" s="8"/>
      <c r="U2065" s="8"/>
      <c r="V2065" s="8"/>
      <c r="W2065" s="8"/>
      <c r="X2065" s="8"/>
      <c r="Y2065" s="8"/>
      <c r="Z2065" s="8"/>
    </row>
    <row r="2066" spans="1:28" x14ac:dyDescent="0.3">
      <c r="A2066" s="64"/>
      <c r="B2066" s="8"/>
      <c r="C2066" s="7" t="s">
        <v>377</v>
      </c>
      <c r="D2066" s="15" t="s">
        <v>378</v>
      </c>
      <c r="E2066" s="9">
        <v>17621965.73</v>
      </c>
      <c r="F2066" s="9">
        <v>16571030.210000001</v>
      </c>
      <c r="G2066" s="8"/>
      <c r="H2066" s="9">
        <f>F2066+G2066</f>
        <v>16571030.210000001</v>
      </c>
      <c r="I2066" s="8"/>
      <c r="J2066" s="8"/>
      <c r="K2066" s="8"/>
      <c r="L2066" s="9"/>
      <c r="M2066" s="9">
        <f>H2066+L2066</f>
        <v>16571030.210000001</v>
      </c>
      <c r="N2066" s="9">
        <v>1050935.52</v>
      </c>
      <c r="O2066" s="8"/>
      <c r="P2066" s="9">
        <f>N2066+O2066</f>
        <v>1050935.52</v>
      </c>
      <c r="Q2066" s="8"/>
      <c r="R2066" s="8"/>
      <c r="S2066" s="8"/>
      <c r="T2066" s="9"/>
      <c r="U2066" s="9">
        <f>P2066+T2066</f>
        <v>1050935.52</v>
      </c>
      <c r="V2066" s="9">
        <f>P2066+H2066</f>
        <v>17621965.73</v>
      </c>
      <c r="W2066" s="9">
        <f>E2066-V2066</f>
        <v>0</v>
      </c>
      <c r="X2066" s="9">
        <f>+H2066+P2066</f>
        <v>17621965.73</v>
      </c>
      <c r="Y2066" s="8"/>
      <c r="Z2066" s="9">
        <f>+E2066-X2066</f>
        <v>0</v>
      </c>
      <c r="AA2066" s="8">
        <f>+M2066+U2066</f>
        <v>17621965.73</v>
      </c>
      <c r="AB2066" s="8">
        <f>+E2066-AA2066</f>
        <v>0</v>
      </c>
    </row>
    <row r="2067" spans="1:28" x14ac:dyDescent="0.3">
      <c r="A2067" s="64"/>
      <c r="B2067" s="8"/>
      <c r="C2067" s="8"/>
      <c r="D2067" s="15" t="s">
        <v>79</v>
      </c>
      <c r="E2067" s="8"/>
      <c r="F2067" s="8"/>
      <c r="G2067" s="8"/>
      <c r="H2067" s="8"/>
      <c r="I2067" s="8"/>
      <c r="J2067" s="8"/>
      <c r="K2067" s="8"/>
      <c r="L2067" s="8"/>
      <c r="M2067" s="8"/>
      <c r="N2067" s="8"/>
      <c r="O2067" s="8"/>
      <c r="P2067" s="8"/>
      <c r="Q2067" s="8"/>
      <c r="R2067" s="8"/>
      <c r="S2067" s="8"/>
      <c r="T2067" s="8"/>
      <c r="U2067" s="8"/>
      <c r="V2067" s="8"/>
      <c r="W2067" s="8"/>
      <c r="X2067" s="8"/>
      <c r="Y2067" s="8"/>
      <c r="Z2067" s="8"/>
    </row>
    <row r="2068" spans="1:28" x14ac:dyDescent="0.3">
      <c r="A2068" s="64"/>
      <c r="B2068" s="8"/>
      <c r="C2068" s="7" t="s">
        <v>57</v>
      </c>
      <c r="D2068" s="14" t="s">
        <v>379</v>
      </c>
      <c r="E2068" s="9">
        <v>6508345.5300000003</v>
      </c>
      <c r="F2068" s="9">
        <v>6432818.5999999996</v>
      </c>
      <c r="G2068" s="8"/>
      <c r="H2068" s="9">
        <f t="shared" ref="H2068:H2081" si="1094">F2068+G2068</f>
        <v>6432818.5999999996</v>
      </c>
      <c r="I2068" s="8"/>
      <c r="J2068" s="8"/>
      <c r="K2068" s="8"/>
      <c r="L2068" s="9"/>
      <c r="M2068" s="9">
        <f t="shared" ref="M2068:M2081" si="1095">H2068+L2068</f>
        <v>6432818.5999999996</v>
      </c>
      <c r="N2068" s="9">
        <v>75526.929999999993</v>
      </c>
      <c r="O2068" s="8"/>
      <c r="P2068" s="9">
        <f t="shared" ref="P2068:P2081" si="1096">N2068+O2068</f>
        <v>75526.929999999993</v>
      </c>
      <c r="Q2068" s="8"/>
      <c r="R2068" s="8"/>
      <c r="S2068" s="8"/>
      <c r="T2068" s="9"/>
      <c r="U2068" s="9">
        <f t="shared" ref="U2068:U2081" si="1097">P2068+T2068</f>
        <v>75526.929999999993</v>
      </c>
      <c r="V2068" s="9">
        <f t="shared" ref="V2068:V2081" si="1098">P2068+H2068</f>
        <v>6508345.5299999993</v>
      </c>
      <c r="W2068" s="9">
        <f t="shared" ref="W2068:W2081" si="1099">E2068-V2068</f>
        <v>0</v>
      </c>
      <c r="X2068" s="9">
        <f t="shared" ref="X2068:X2081" si="1100">+H2068+P2068</f>
        <v>6508345.5299999993</v>
      </c>
      <c r="Y2068" s="8"/>
      <c r="Z2068" s="9">
        <f t="shared" ref="Z2068:Z2081" si="1101">+E2068-X2068</f>
        <v>0</v>
      </c>
      <c r="AA2068" s="8">
        <f t="shared" ref="AA2068:AA2081" si="1102">+M2068+U2068</f>
        <v>6508345.5299999993</v>
      </c>
      <c r="AB2068" s="8">
        <f t="shared" ref="AB2068:AB2081" si="1103">+E2068-AA2068</f>
        <v>0</v>
      </c>
    </row>
    <row r="2069" spans="1:28" x14ac:dyDescent="0.3">
      <c r="A2069" s="64"/>
      <c r="B2069" s="8"/>
      <c r="C2069" s="7" t="s">
        <v>53</v>
      </c>
      <c r="D2069" s="15" t="s">
        <v>54</v>
      </c>
      <c r="E2069" s="9">
        <v>1767770</v>
      </c>
      <c r="F2069" s="8"/>
      <c r="G2069" s="8"/>
      <c r="H2069" s="9">
        <f t="shared" si="1094"/>
        <v>0</v>
      </c>
      <c r="I2069" s="8"/>
      <c r="J2069" s="8"/>
      <c r="K2069" s="8"/>
      <c r="L2069" s="9"/>
      <c r="M2069" s="9">
        <f t="shared" si="1095"/>
        <v>0</v>
      </c>
      <c r="N2069" s="9">
        <v>1767770</v>
      </c>
      <c r="O2069" s="8"/>
      <c r="P2069" s="9">
        <f t="shared" si="1096"/>
        <v>1767770</v>
      </c>
      <c r="Q2069" s="8"/>
      <c r="R2069" s="8"/>
      <c r="S2069" s="8"/>
      <c r="T2069" s="9"/>
      <c r="U2069" s="9">
        <f t="shared" si="1097"/>
        <v>1767770</v>
      </c>
      <c r="V2069" s="9">
        <f t="shared" si="1098"/>
        <v>1767770</v>
      </c>
      <c r="W2069" s="9">
        <f t="shared" si="1099"/>
        <v>0</v>
      </c>
      <c r="X2069" s="9">
        <f t="shared" si="1100"/>
        <v>1767770</v>
      </c>
      <c r="Y2069" s="8"/>
      <c r="Z2069" s="9">
        <f t="shared" si="1101"/>
        <v>0</v>
      </c>
      <c r="AA2069" s="8">
        <f t="shared" si="1102"/>
        <v>1767770</v>
      </c>
      <c r="AB2069" s="8">
        <f t="shared" si="1103"/>
        <v>0</v>
      </c>
    </row>
    <row r="2070" spans="1:28" x14ac:dyDescent="0.3">
      <c r="A2070" s="64"/>
      <c r="B2070" s="8"/>
      <c r="C2070" s="7" t="s">
        <v>284</v>
      </c>
      <c r="D2070" s="15" t="s">
        <v>54</v>
      </c>
      <c r="E2070" s="9">
        <v>7933450</v>
      </c>
      <c r="F2070" s="9">
        <v>7933450</v>
      </c>
      <c r="G2070" s="8"/>
      <c r="H2070" s="9">
        <f t="shared" si="1094"/>
        <v>7933450</v>
      </c>
      <c r="I2070" s="8"/>
      <c r="J2070" s="8"/>
      <c r="K2070" s="8"/>
      <c r="L2070" s="9"/>
      <c r="M2070" s="9">
        <f t="shared" si="1095"/>
        <v>7933450</v>
      </c>
      <c r="N2070" s="9">
        <v>0</v>
      </c>
      <c r="O2070" s="8"/>
      <c r="P2070" s="9">
        <f t="shared" si="1096"/>
        <v>0</v>
      </c>
      <c r="Q2070" s="8"/>
      <c r="R2070" s="8"/>
      <c r="S2070" s="8"/>
      <c r="T2070" s="9"/>
      <c r="U2070" s="9">
        <f t="shared" si="1097"/>
        <v>0</v>
      </c>
      <c r="V2070" s="9">
        <f t="shared" si="1098"/>
        <v>7933450</v>
      </c>
      <c r="W2070" s="9">
        <f t="shared" si="1099"/>
        <v>0</v>
      </c>
      <c r="X2070" s="9">
        <f t="shared" si="1100"/>
        <v>7933450</v>
      </c>
      <c r="Y2070" s="8"/>
      <c r="Z2070" s="9">
        <f t="shared" si="1101"/>
        <v>0</v>
      </c>
      <c r="AA2070" s="8">
        <f t="shared" si="1102"/>
        <v>7933450</v>
      </c>
      <c r="AB2070" s="8">
        <f t="shared" si="1103"/>
        <v>0</v>
      </c>
    </row>
    <row r="2071" spans="1:28" x14ac:dyDescent="0.3">
      <c r="A2071" s="64"/>
      <c r="B2071" s="8"/>
      <c r="C2071" s="7" t="s">
        <v>55</v>
      </c>
      <c r="D2071" s="15" t="s">
        <v>88</v>
      </c>
      <c r="E2071" s="9">
        <v>1179375</v>
      </c>
      <c r="F2071" s="9">
        <v>0</v>
      </c>
      <c r="G2071" s="8"/>
      <c r="H2071" s="9">
        <f t="shared" si="1094"/>
        <v>0</v>
      </c>
      <c r="I2071" s="8"/>
      <c r="J2071" s="8"/>
      <c r="K2071" s="8"/>
      <c r="L2071" s="9"/>
      <c r="M2071" s="9">
        <f t="shared" si="1095"/>
        <v>0</v>
      </c>
      <c r="N2071" s="9">
        <v>1179375</v>
      </c>
      <c r="O2071" s="8"/>
      <c r="P2071" s="9">
        <f t="shared" si="1096"/>
        <v>1179375</v>
      </c>
      <c r="Q2071" s="8"/>
      <c r="R2071" s="8"/>
      <c r="S2071" s="8"/>
      <c r="T2071" s="9"/>
      <c r="U2071" s="9">
        <f t="shared" si="1097"/>
        <v>1179375</v>
      </c>
      <c r="V2071" s="9">
        <f t="shared" si="1098"/>
        <v>1179375</v>
      </c>
      <c r="W2071" s="9">
        <f t="shared" si="1099"/>
        <v>0</v>
      </c>
      <c r="X2071" s="9">
        <f t="shared" si="1100"/>
        <v>1179375</v>
      </c>
      <c r="Y2071" s="8"/>
      <c r="Z2071" s="9">
        <f t="shared" si="1101"/>
        <v>0</v>
      </c>
      <c r="AA2071" s="8">
        <f t="shared" si="1102"/>
        <v>1179375</v>
      </c>
      <c r="AB2071" s="8">
        <f t="shared" si="1103"/>
        <v>0</v>
      </c>
    </row>
    <row r="2072" spans="1:28" x14ac:dyDescent="0.3">
      <c r="A2072" s="64"/>
      <c r="B2072" s="8"/>
      <c r="C2072" s="7" t="s">
        <v>57</v>
      </c>
      <c r="D2072" s="15" t="s">
        <v>58</v>
      </c>
      <c r="E2072" s="9">
        <v>2881354</v>
      </c>
      <c r="F2072" s="9">
        <v>2881354</v>
      </c>
      <c r="G2072" s="8"/>
      <c r="H2072" s="9">
        <f t="shared" si="1094"/>
        <v>2881354</v>
      </c>
      <c r="I2072" s="8"/>
      <c r="J2072" s="8"/>
      <c r="K2072" s="8"/>
      <c r="L2072" s="9"/>
      <c r="M2072" s="9">
        <f t="shared" si="1095"/>
        <v>2881354</v>
      </c>
      <c r="N2072" s="9">
        <v>0</v>
      </c>
      <c r="O2072" s="8"/>
      <c r="P2072" s="9">
        <f t="shared" si="1096"/>
        <v>0</v>
      </c>
      <c r="Q2072" s="8"/>
      <c r="R2072" s="8"/>
      <c r="S2072" s="8"/>
      <c r="T2072" s="9"/>
      <c r="U2072" s="9">
        <f t="shared" si="1097"/>
        <v>0</v>
      </c>
      <c r="V2072" s="9">
        <f t="shared" si="1098"/>
        <v>2881354</v>
      </c>
      <c r="W2072" s="9">
        <f t="shared" si="1099"/>
        <v>0</v>
      </c>
      <c r="X2072" s="9">
        <f t="shared" si="1100"/>
        <v>2881354</v>
      </c>
      <c r="Y2072" s="8"/>
      <c r="Z2072" s="9">
        <f t="shared" si="1101"/>
        <v>0</v>
      </c>
      <c r="AA2072" s="8">
        <f t="shared" si="1102"/>
        <v>2881354</v>
      </c>
      <c r="AB2072" s="8">
        <f t="shared" si="1103"/>
        <v>0</v>
      </c>
    </row>
    <row r="2073" spans="1:28" x14ac:dyDescent="0.3">
      <c r="A2073" s="64"/>
      <c r="B2073" s="8"/>
      <c r="C2073" s="7" t="s">
        <v>57</v>
      </c>
      <c r="D2073" s="15" t="s">
        <v>60</v>
      </c>
      <c r="E2073" s="9">
        <v>4459891</v>
      </c>
      <c r="F2073" s="11">
        <v>4459891</v>
      </c>
      <c r="G2073" s="8"/>
      <c r="H2073" s="9">
        <f t="shared" si="1094"/>
        <v>4459891</v>
      </c>
      <c r="I2073" s="8"/>
      <c r="J2073" s="8"/>
      <c r="K2073" s="8"/>
      <c r="L2073" s="9"/>
      <c r="M2073" s="9">
        <f t="shared" si="1095"/>
        <v>4459891</v>
      </c>
      <c r="N2073" s="9">
        <v>0</v>
      </c>
      <c r="O2073" s="8"/>
      <c r="P2073" s="9">
        <f t="shared" si="1096"/>
        <v>0</v>
      </c>
      <c r="Q2073" s="8"/>
      <c r="R2073" s="8"/>
      <c r="S2073" s="8"/>
      <c r="T2073" s="9"/>
      <c r="U2073" s="9">
        <f t="shared" si="1097"/>
        <v>0</v>
      </c>
      <c r="V2073" s="9">
        <f t="shared" si="1098"/>
        <v>4459891</v>
      </c>
      <c r="W2073" s="9">
        <f t="shared" si="1099"/>
        <v>0</v>
      </c>
      <c r="X2073" s="9">
        <f t="shared" si="1100"/>
        <v>4459891</v>
      </c>
      <c r="Y2073" s="8"/>
      <c r="Z2073" s="9">
        <f t="shared" si="1101"/>
        <v>0</v>
      </c>
      <c r="AA2073" s="8">
        <f t="shared" si="1102"/>
        <v>4459891</v>
      </c>
      <c r="AB2073" s="8">
        <f t="shared" si="1103"/>
        <v>0</v>
      </c>
    </row>
    <row r="2074" spans="1:28" x14ac:dyDescent="0.3">
      <c r="A2074" s="64"/>
      <c r="B2074" s="8"/>
      <c r="C2074" s="7" t="s">
        <v>380</v>
      </c>
      <c r="D2074" s="8"/>
      <c r="E2074" s="9">
        <v>1168000</v>
      </c>
      <c r="F2074" s="9">
        <v>1168000</v>
      </c>
      <c r="G2074" s="8"/>
      <c r="H2074" s="9">
        <f t="shared" si="1094"/>
        <v>1168000</v>
      </c>
      <c r="I2074" s="8"/>
      <c r="J2074" s="8"/>
      <c r="K2074" s="8"/>
      <c r="L2074" s="9"/>
      <c r="M2074" s="9">
        <f t="shared" si="1095"/>
        <v>1168000</v>
      </c>
      <c r="N2074" s="9">
        <v>0</v>
      </c>
      <c r="O2074" s="8"/>
      <c r="P2074" s="9">
        <f t="shared" si="1096"/>
        <v>0</v>
      </c>
      <c r="Q2074" s="8"/>
      <c r="R2074" s="8"/>
      <c r="S2074" s="8"/>
      <c r="T2074" s="9"/>
      <c r="U2074" s="9">
        <f t="shared" si="1097"/>
        <v>0</v>
      </c>
      <c r="V2074" s="9">
        <f t="shared" si="1098"/>
        <v>1168000</v>
      </c>
      <c r="W2074" s="9">
        <f t="shared" si="1099"/>
        <v>0</v>
      </c>
      <c r="X2074" s="9">
        <f t="shared" si="1100"/>
        <v>1168000</v>
      </c>
      <c r="Y2074" s="8"/>
      <c r="Z2074" s="9">
        <f t="shared" si="1101"/>
        <v>0</v>
      </c>
      <c r="AA2074" s="8">
        <f t="shared" si="1102"/>
        <v>1168000</v>
      </c>
      <c r="AB2074" s="8">
        <f t="shared" si="1103"/>
        <v>0</v>
      </c>
    </row>
    <row r="2075" spans="1:28" x14ac:dyDescent="0.3">
      <c r="A2075" s="64"/>
      <c r="B2075" s="8"/>
      <c r="C2075" s="14" t="s">
        <v>109</v>
      </c>
      <c r="D2075" s="21" t="s">
        <v>60</v>
      </c>
      <c r="E2075" s="9">
        <v>2500000</v>
      </c>
      <c r="F2075" s="11">
        <v>2500000</v>
      </c>
      <c r="G2075" s="8"/>
      <c r="H2075" s="9">
        <f t="shared" si="1094"/>
        <v>2500000</v>
      </c>
      <c r="I2075" s="8"/>
      <c r="J2075" s="8"/>
      <c r="K2075" s="8"/>
      <c r="L2075" s="9"/>
      <c r="M2075" s="9">
        <f t="shared" si="1095"/>
        <v>2500000</v>
      </c>
      <c r="N2075" s="9">
        <v>0</v>
      </c>
      <c r="O2075" s="8"/>
      <c r="P2075" s="9">
        <f t="shared" si="1096"/>
        <v>0</v>
      </c>
      <c r="Q2075" s="8"/>
      <c r="R2075" s="8"/>
      <c r="S2075" s="8"/>
      <c r="T2075" s="9"/>
      <c r="U2075" s="9">
        <f t="shared" si="1097"/>
        <v>0</v>
      </c>
      <c r="V2075" s="9">
        <f t="shared" si="1098"/>
        <v>2500000</v>
      </c>
      <c r="W2075" s="9">
        <f t="shared" si="1099"/>
        <v>0</v>
      </c>
      <c r="X2075" s="9">
        <f t="shared" si="1100"/>
        <v>2500000</v>
      </c>
      <c r="Y2075" s="8"/>
      <c r="Z2075" s="9">
        <f t="shared" si="1101"/>
        <v>0</v>
      </c>
      <c r="AA2075" s="8">
        <f t="shared" si="1102"/>
        <v>2500000</v>
      </c>
      <c r="AB2075" s="8">
        <f t="shared" si="1103"/>
        <v>0</v>
      </c>
    </row>
    <row r="2076" spans="1:28" x14ac:dyDescent="0.3">
      <c r="A2076" s="64"/>
      <c r="B2076" s="8"/>
      <c r="C2076" s="7" t="s">
        <v>381</v>
      </c>
      <c r="D2076" s="15" t="s">
        <v>73</v>
      </c>
      <c r="E2076" s="9">
        <v>10524961.369999999</v>
      </c>
      <c r="F2076" s="11">
        <v>7742967</v>
      </c>
      <c r="G2076" s="8"/>
      <c r="H2076" s="9">
        <f t="shared" si="1094"/>
        <v>7742967</v>
      </c>
      <c r="I2076" s="8"/>
      <c r="J2076" s="8"/>
      <c r="K2076" s="8"/>
      <c r="L2076" s="9"/>
      <c r="M2076" s="9">
        <f t="shared" si="1095"/>
        <v>7742967</v>
      </c>
      <c r="N2076" s="9">
        <v>0</v>
      </c>
      <c r="O2076" s="8"/>
      <c r="P2076" s="9">
        <f t="shared" si="1096"/>
        <v>0</v>
      </c>
      <c r="Q2076" s="11">
        <v>0</v>
      </c>
      <c r="R2076" s="8"/>
      <c r="S2076" s="11">
        <v>0</v>
      </c>
      <c r="T2076" s="9"/>
      <c r="U2076" s="9">
        <f t="shared" si="1097"/>
        <v>0</v>
      </c>
      <c r="V2076" s="9">
        <f t="shared" si="1098"/>
        <v>7742967</v>
      </c>
      <c r="W2076" s="9">
        <f t="shared" si="1099"/>
        <v>2781994.3699999992</v>
      </c>
      <c r="X2076" s="9">
        <f t="shared" si="1100"/>
        <v>7742967</v>
      </c>
      <c r="Y2076" s="8"/>
      <c r="Z2076" s="9">
        <f t="shared" si="1101"/>
        <v>2781994.3699999992</v>
      </c>
      <c r="AA2076" s="8">
        <f t="shared" si="1102"/>
        <v>7742967</v>
      </c>
      <c r="AB2076" s="8">
        <f t="shared" si="1103"/>
        <v>2781994.3699999992</v>
      </c>
    </row>
    <row r="2077" spans="1:28" x14ac:dyDescent="0.3">
      <c r="A2077" s="64"/>
      <c r="B2077" s="8"/>
      <c r="C2077" s="14" t="s">
        <v>382</v>
      </c>
      <c r="D2077" s="15" t="s">
        <v>73</v>
      </c>
      <c r="E2077" s="9">
        <v>10070736</v>
      </c>
      <c r="F2077" s="11">
        <v>10070736</v>
      </c>
      <c r="G2077" s="8"/>
      <c r="H2077" s="9">
        <f t="shared" si="1094"/>
        <v>10070736</v>
      </c>
      <c r="I2077" s="8"/>
      <c r="J2077" s="8"/>
      <c r="K2077" s="8"/>
      <c r="L2077" s="9"/>
      <c r="M2077" s="9">
        <f t="shared" si="1095"/>
        <v>10070736</v>
      </c>
      <c r="N2077" s="9">
        <v>0</v>
      </c>
      <c r="O2077" s="8"/>
      <c r="P2077" s="9">
        <f t="shared" si="1096"/>
        <v>0</v>
      </c>
      <c r="Q2077" s="8"/>
      <c r="R2077" s="8"/>
      <c r="S2077" s="8"/>
      <c r="T2077" s="9"/>
      <c r="U2077" s="9">
        <f t="shared" si="1097"/>
        <v>0</v>
      </c>
      <c r="V2077" s="9">
        <f t="shared" si="1098"/>
        <v>10070736</v>
      </c>
      <c r="W2077" s="9">
        <f t="shared" si="1099"/>
        <v>0</v>
      </c>
      <c r="X2077" s="9">
        <f t="shared" si="1100"/>
        <v>10070736</v>
      </c>
      <c r="Y2077" s="8"/>
      <c r="Z2077" s="9">
        <f t="shared" si="1101"/>
        <v>0</v>
      </c>
      <c r="AA2077" s="8">
        <f t="shared" si="1102"/>
        <v>10070736</v>
      </c>
      <c r="AB2077" s="8">
        <f t="shared" si="1103"/>
        <v>0</v>
      </c>
    </row>
    <row r="2078" spans="1:28" x14ac:dyDescent="0.3">
      <c r="A2078" s="64"/>
      <c r="B2078" s="8"/>
      <c r="C2078" s="14" t="s">
        <v>930</v>
      </c>
      <c r="D2078" s="16" t="s">
        <v>1072</v>
      </c>
      <c r="E2078" s="9">
        <v>2658000</v>
      </c>
      <c r="F2078" s="11">
        <v>2658000</v>
      </c>
      <c r="G2078" s="8"/>
      <c r="H2078" s="9">
        <f>+F2078+G2078</f>
        <v>2658000</v>
      </c>
      <c r="I2078" s="8"/>
      <c r="J2078" s="8"/>
      <c r="K2078" s="8"/>
      <c r="L2078" s="9"/>
      <c r="M2078" s="9">
        <f t="shared" si="1095"/>
        <v>2658000</v>
      </c>
      <c r="N2078" s="9">
        <v>0</v>
      </c>
      <c r="O2078" s="8"/>
      <c r="P2078" s="9">
        <f t="shared" si="1096"/>
        <v>0</v>
      </c>
      <c r="Q2078" s="8"/>
      <c r="R2078" s="8"/>
      <c r="S2078" s="8"/>
      <c r="T2078" s="9"/>
      <c r="U2078" s="9">
        <f t="shared" si="1097"/>
        <v>0</v>
      </c>
      <c r="V2078" s="9">
        <f t="shared" si="1098"/>
        <v>2658000</v>
      </c>
      <c r="W2078" s="9">
        <f t="shared" si="1099"/>
        <v>0</v>
      </c>
      <c r="X2078" s="9">
        <f t="shared" si="1100"/>
        <v>2658000</v>
      </c>
      <c r="Y2078" s="8"/>
      <c r="Z2078" s="9">
        <f t="shared" si="1101"/>
        <v>0</v>
      </c>
      <c r="AA2078" s="8">
        <f t="shared" si="1102"/>
        <v>2658000</v>
      </c>
      <c r="AB2078" s="8">
        <f t="shared" si="1103"/>
        <v>0</v>
      </c>
    </row>
    <row r="2079" spans="1:28" x14ac:dyDescent="0.3">
      <c r="A2079" s="64"/>
      <c r="B2079" s="8"/>
      <c r="C2079" s="14" t="s">
        <v>1176</v>
      </c>
      <c r="D2079" s="16" t="s">
        <v>1126</v>
      </c>
      <c r="E2079" s="9">
        <f>7711864.62+2374066.77</f>
        <v>10085931.390000001</v>
      </c>
      <c r="F2079" s="8">
        <f>7711864.62+2374066.77</f>
        <v>10085931.390000001</v>
      </c>
      <c r="G2079" s="8"/>
      <c r="H2079" s="9">
        <f>+F2079+G2079</f>
        <v>10085931.390000001</v>
      </c>
      <c r="I2079" s="8"/>
      <c r="J2079" s="8"/>
      <c r="K2079" s="8"/>
      <c r="L2079" s="9"/>
      <c r="M2079" s="9">
        <f t="shared" si="1095"/>
        <v>10085931.390000001</v>
      </c>
      <c r="N2079" s="9">
        <v>0</v>
      </c>
      <c r="O2079" s="8"/>
      <c r="P2079" s="9">
        <f t="shared" si="1096"/>
        <v>0</v>
      </c>
      <c r="Q2079" s="8"/>
      <c r="R2079" s="8"/>
      <c r="S2079" s="8"/>
      <c r="T2079" s="9"/>
      <c r="U2079" s="9">
        <f t="shared" si="1097"/>
        <v>0</v>
      </c>
      <c r="V2079" s="9">
        <f t="shared" si="1098"/>
        <v>10085931.390000001</v>
      </c>
      <c r="W2079" s="9">
        <f t="shared" si="1099"/>
        <v>0</v>
      </c>
      <c r="X2079" s="9">
        <f t="shared" si="1100"/>
        <v>10085931.390000001</v>
      </c>
      <c r="Y2079" s="8"/>
      <c r="Z2079" s="9">
        <f t="shared" si="1101"/>
        <v>0</v>
      </c>
      <c r="AA2079" s="8">
        <f t="shared" si="1102"/>
        <v>10085931.390000001</v>
      </c>
      <c r="AB2079" s="8">
        <f t="shared" si="1103"/>
        <v>0</v>
      </c>
    </row>
    <row r="2080" spans="1:28" x14ac:dyDescent="0.3">
      <c r="A2080" s="64"/>
      <c r="B2080" s="8"/>
      <c r="C2080" s="14" t="s">
        <v>1220</v>
      </c>
      <c r="D2080" s="16" t="s">
        <v>1126</v>
      </c>
      <c r="E2080" s="9">
        <v>1000000</v>
      </c>
      <c r="F2080" s="8">
        <v>1000000</v>
      </c>
      <c r="G2080" s="8"/>
      <c r="H2080" s="9">
        <f>+F2080+G2080</f>
        <v>1000000</v>
      </c>
      <c r="I2080" s="8"/>
      <c r="J2080" s="8"/>
      <c r="K2080" s="8"/>
      <c r="L2080" s="9"/>
      <c r="M2080" s="9">
        <f>+H2080+L2080</f>
        <v>1000000</v>
      </c>
      <c r="N2080" s="9">
        <v>0</v>
      </c>
      <c r="O2080" s="8"/>
      <c r="P2080" s="9">
        <f t="shared" si="1096"/>
        <v>0</v>
      </c>
      <c r="Q2080" s="8"/>
      <c r="R2080" s="8"/>
      <c r="S2080" s="8"/>
      <c r="T2080" s="9"/>
      <c r="U2080" s="9">
        <f t="shared" si="1097"/>
        <v>0</v>
      </c>
      <c r="V2080" s="9">
        <f t="shared" si="1098"/>
        <v>1000000</v>
      </c>
      <c r="W2080" s="9"/>
      <c r="X2080" s="9">
        <f t="shared" si="1100"/>
        <v>1000000</v>
      </c>
      <c r="Y2080" s="8"/>
      <c r="Z2080" s="9">
        <f t="shared" si="1101"/>
        <v>0</v>
      </c>
      <c r="AA2080" s="8">
        <f t="shared" si="1102"/>
        <v>1000000</v>
      </c>
      <c r="AB2080" s="8">
        <f t="shared" si="1103"/>
        <v>0</v>
      </c>
    </row>
    <row r="2081" spans="1:28" x14ac:dyDescent="0.3">
      <c r="A2081" s="64"/>
      <c r="B2081" s="8"/>
      <c r="C2081" s="7" t="s">
        <v>57</v>
      </c>
      <c r="D2081" s="16" t="s">
        <v>61</v>
      </c>
      <c r="E2081" s="9">
        <v>4085000</v>
      </c>
      <c r="F2081" s="8">
        <v>4085000</v>
      </c>
      <c r="G2081" s="8"/>
      <c r="H2081" s="9">
        <f t="shared" si="1094"/>
        <v>4085000</v>
      </c>
      <c r="I2081" s="8"/>
      <c r="J2081" s="8"/>
      <c r="K2081" s="8"/>
      <c r="L2081" s="9"/>
      <c r="M2081" s="9">
        <f t="shared" si="1095"/>
        <v>4085000</v>
      </c>
      <c r="N2081" s="9">
        <v>0</v>
      </c>
      <c r="O2081" s="8"/>
      <c r="P2081" s="9">
        <f t="shared" si="1096"/>
        <v>0</v>
      </c>
      <c r="Q2081" s="8"/>
      <c r="R2081" s="8"/>
      <c r="S2081" s="8"/>
      <c r="T2081" s="9"/>
      <c r="U2081" s="9">
        <f t="shared" si="1097"/>
        <v>0</v>
      </c>
      <c r="V2081" s="9">
        <f t="shared" si="1098"/>
        <v>4085000</v>
      </c>
      <c r="W2081" s="9">
        <f t="shared" si="1099"/>
        <v>0</v>
      </c>
      <c r="X2081" s="9">
        <f t="shared" si="1100"/>
        <v>4085000</v>
      </c>
      <c r="Y2081" s="8"/>
      <c r="Z2081" s="9">
        <f t="shared" si="1101"/>
        <v>0</v>
      </c>
      <c r="AA2081" s="8">
        <f t="shared" si="1102"/>
        <v>4085000</v>
      </c>
      <c r="AB2081" s="8">
        <f t="shared" si="1103"/>
        <v>0</v>
      </c>
    </row>
    <row r="2082" spans="1:28" x14ac:dyDescent="0.3">
      <c r="A2082" s="64"/>
      <c r="B2082" s="8"/>
      <c r="C2082" s="8"/>
      <c r="D2082" s="8"/>
      <c r="E2082" s="17" t="s">
        <v>29</v>
      </c>
      <c r="F2082" s="17" t="s">
        <v>29</v>
      </c>
      <c r="G2082" s="17" t="s">
        <v>29</v>
      </c>
      <c r="H2082" s="17" t="s">
        <v>29</v>
      </c>
      <c r="I2082" s="17" t="s">
        <v>29</v>
      </c>
      <c r="J2082" s="17" t="s">
        <v>29</v>
      </c>
      <c r="K2082" s="17" t="s">
        <v>29</v>
      </c>
      <c r="L2082" s="17" t="s">
        <v>29</v>
      </c>
      <c r="M2082" s="17" t="s">
        <v>29</v>
      </c>
      <c r="N2082" s="17" t="s">
        <v>29</v>
      </c>
      <c r="O2082" s="17" t="s">
        <v>29</v>
      </c>
      <c r="P2082" s="17" t="s">
        <v>29</v>
      </c>
      <c r="Q2082" s="17" t="s">
        <v>29</v>
      </c>
      <c r="R2082" s="17" t="s">
        <v>29</v>
      </c>
      <c r="S2082" s="17" t="s">
        <v>29</v>
      </c>
      <c r="T2082" s="17" t="s">
        <v>29</v>
      </c>
      <c r="U2082" s="17" t="s">
        <v>29</v>
      </c>
      <c r="V2082" s="17" t="s">
        <v>29</v>
      </c>
      <c r="W2082" s="17" t="s">
        <v>29</v>
      </c>
      <c r="X2082" s="17" t="s">
        <v>29</v>
      </c>
      <c r="Y2082" s="17" t="s">
        <v>29</v>
      </c>
      <c r="Z2082" s="17" t="s">
        <v>29</v>
      </c>
      <c r="AA2082" s="17" t="s">
        <v>29</v>
      </c>
      <c r="AB2082" s="17" t="s">
        <v>29</v>
      </c>
    </row>
    <row r="2083" spans="1:28" x14ac:dyDescent="0.3">
      <c r="A2083" s="64"/>
      <c r="B2083" s="8"/>
      <c r="C2083" s="8"/>
      <c r="D2083" s="8"/>
      <c r="E2083" s="9">
        <f t="shared" ref="E2083:AB2083" si="1104">SUM(E2066:E2081)</f>
        <v>84444780.019999996</v>
      </c>
      <c r="F2083" s="9">
        <f t="shared" si="1104"/>
        <v>77589178.200000003</v>
      </c>
      <c r="G2083" s="9">
        <f t="shared" si="1104"/>
        <v>0</v>
      </c>
      <c r="H2083" s="9">
        <f t="shared" si="1104"/>
        <v>77589178.200000003</v>
      </c>
      <c r="I2083" s="9">
        <f t="shared" si="1104"/>
        <v>0</v>
      </c>
      <c r="J2083" s="9">
        <f t="shared" si="1104"/>
        <v>0</v>
      </c>
      <c r="K2083" s="9">
        <f t="shared" si="1104"/>
        <v>0</v>
      </c>
      <c r="L2083" s="9">
        <f t="shared" si="1104"/>
        <v>0</v>
      </c>
      <c r="M2083" s="9">
        <f t="shared" si="1104"/>
        <v>77589178.200000003</v>
      </c>
      <c r="N2083" s="9">
        <f t="shared" si="1104"/>
        <v>4073607.45</v>
      </c>
      <c r="O2083" s="9">
        <f t="shared" si="1104"/>
        <v>0</v>
      </c>
      <c r="P2083" s="9">
        <f t="shared" si="1104"/>
        <v>4073607.45</v>
      </c>
      <c r="Q2083" s="9">
        <f t="shared" si="1104"/>
        <v>0</v>
      </c>
      <c r="R2083" s="9">
        <f t="shared" si="1104"/>
        <v>0</v>
      </c>
      <c r="S2083" s="9">
        <f t="shared" si="1104"/>
        <v>0</v>
      </c>
      <c r="T2083" s="9">
        <f t="shared" si="1104"/>
        <v>0</v>
      </c>
      <c r="U2083" s="9">
        <f t="shared" si="1104"/>
        <v>4073607.45</v>
      </c>
      <c r="V2083" s="9">
        <f t="shared" si="1104"/>
        <v>81662785.650000006</v>
      </c>
      <c r="W2083" s="9">
        <f t="shared" si="1104"/>
        <v>2781994.3699999992</v>
      </c>
      <c r="X2083" s="9">
        <f t="shared" si="1104"/>
        <v>81662785.650000006</v>
      </c>
      <c r="Y2083" s="9">
        <f t="shared" si="1104"/>
        <v>0</v>
      </c>
      <c r="Z2083" s="9">
        <f t="shared" si="1104"/>
        <v>2781994.3699999992</v>
      </c>
      <c r="AA2083" s="9">
        <f t="shared" si="1104"/>
        <v>81662785.650000006</v>
      </c>
      <c r="AB2083" s="9">
        <f t="shared" si="1104"/>
        <v>2781994.3699999992</v>
      </c>
    </row>
    <row r="2084" spans="1:28" x14ac:dyDescent="0.3">
      <c r="A2084" s="64"/>
      <c r="B2084" s="8"/>
      <c r="C2084" s="8"/>
      <c r="D2084" s="8"/>
      <c r="E2084" s="17" t="s">
        <v>29</v>
      </c>
      <c r="F2084" s="17" t="s">
        <v>29</v>
      </c>
      <c r="G2084" s="17" t="s">
        <v>29</v>
      </c>
      <c r="H2084" s="17" t="s">
        <v>29</v>
      </c>
      <c r="I2084" s="17" t="s">
        <v>29</v>
      </c>
      <c r="J2084" s="17" t="s">
        <v>29</v>
      </c>
      <c r="K2084" s="17" t="s">
        <v>29</v>
      </c>
      <c r="L2084" s="17" t="s">
        <v>29</v>
      </c>
      <c r="M2084" s="17" t="s">
        <v>29</v>
      </c>
      <c r="N2084" s="17" t="s">
        <v>29</v>
      </c>
      <c r="O2084" s="17" t="s">
        <v>29</v>
      </c>
      <c r="P2084" s="17" t="s">
        <v>29</v>
      </c>
      <c r="Q2084" s="17" t="s">
        <v>29</v>
      </c>
      <c r="R2084" s="17" t="s">
        <v>29</v>
      </c>
      <c r="S2084" s="17" t="s">
        <v>29</v>
      </c>
      <c r="T2084" s="17" t="s">
        <v>29</v>
      </c>
      <c r="U2084" s="17" t="s">
        <v>29</v>
      </c>
      <c r="V2084" s="17" t="s">
        <v>29</v>
      </c>
      <c r="W2084" s="17" t="s">
        <v>29</v>
      </c>
      <c r="X2084" s="17" t="s">
        <v>29</v>
      </c>
      <c r="Y2084" s="17" t="s">
        <v>29</v>
      </c>
      <c r="Z2084" s="17" t="s">
        <v>29</v>
      </c>
      <c r="AA2084" s="17" t="s">
        <v>29</v>
      </c>
      <c r="AB2084" s="17" t="s">
        <v>29</v>
      </c>
    </row>
    <row r="2085" spans="1:28" x14ac:dyDescent="0.3">
      <c r="A2085" s="64"/>
      <c r="B2085" s="8"/>
      <c r="C2085" s="7" t="s">
        <v>383</v>
      </c>
      <c r="D2085" s="8"/>
      <c r="E2085" s="9">
        <f t="shared" ref="E2085:AB2085" si="1105">E2083+E2063+E2041+E2015+E1991</f>
        <v>504165514.55999994</v>
      </c>
      <c r="F2085" s="9">
        <f t="shared" si="1105"/>
        <v>430445216.71999997</v>
      </c>
      <c r="G2085" s="9">
        <f t="shared" si="1105"/>
        <v>50339069.739999995</v>
      </c>
      <c r="H2085" s="9">
        <f t="shared" si="1105"/>
        <v>480784286.45999998</v>
      </c>
      <c r="I2085" s="9">
        <f t="shared" si="1105"/>
        <v>31772640.640000001</v>
      </c>
      <c r="J2085" s="9">
        <f t="shared" si="1105"/>
        <v>31772640.640000001</v>
      </c>
      <c r="K2085" s="9">
        <f t="shared" si="1105"/>
        <v>0</v>
      </c>
      <c r="L2085" s="9">
        <f t="shared" si="1105"/>
        <v>0</v>
      </c>
      <c r="M2085" s="9">
        <f t="shared" si="1105"/>
        <v>480784286.45999998</v>
      </c>
      <c r="N2085" s="9">
        <f t="shared" si="1105"/>
        <v>20416580.629999999</v>
      </c>
      <c r="O2085" s="9">
        <f t="shared" si="1105"/>
        <v>0</v>
      </c>
      <c r="P2085" s="9">
        <f t="shared" si="1105"/>
        <v>20416580.629999999</v>
      </c>
      <c r="Q2085" s="9">
        <f t="shared" si="1105"/>
        <v>102653.09999999999</v>
      </c>
      <c r="R2085" s="9">
        <f t="shared" si="1105"/>
        <v>0</v>
      </c>
      <c r="S2085" s="9">
        <f t="shared" si="1105"/>
        <v>0</v>
      </c>
      <c r="T2085" s="9">
        <f t="shared" si="1105"/>
        <v>102653.09999999999</v>
      </c>
      <c r="U2085" s="9">
        <f t="shared" si="1105"/>
        <v>20519233.73</v>
      </c>
      <c r="V2085" s="9">
        <f t="shared" si="1105"/>
        <v>402616201.44999993</v>
      </c>
      <c r="W2085" s="9">
        <f t="shared" si="1105"/>
        <v>2964647.4700000007</v>
      </c>
      <c r="X2085" s="9">
        <f t="shared" si="1105"/>
        <v>501200867.08999997</v>
      </c>
      <c r="Y2085" s="9">
        <f t="shared" si="1105"/>
        <v>0</v>
      </c>
      <c r="Z2085" s="9">
        <f t="shared" si="1105"/>
        <v>2964647.4700000007</v>
      </c>
      <c r="AA2085" s="9">
        <f t="shared" si="1105"/>
        <v>501303520.19</v>
      </c>
      <c r="AB2085" s="9">
        <f t="shared" si="1105"/>
        <v>2861994.3699999992</v>
      </c>
    </row>
    <row r="2086" spans="1:28" x14ac:dyDescent="0.3">
      <c r="A2086" s="64"/>
      <c r="B2086" s="8"/>
      <c r="C2086" s="8"/>
      <c r="D2086" s="8"/>
      <c r="E2086" s="17" t="s">
        <v>114</v>
      </c>
      <c r="F2086" s="17" t="s">
        <v>114</v>
      </c>
      <c r="G2086" s="17" t="s">
        <v>114</v>
      </c>
      <c r="H2086" s="17" t="s">
        <v>114</v>
      </c>
      <c r="I2086" s="17" t="s">
        <v>114</v>
      </c>
      <c r="J2086" s="17" t="s">
        <v>114</v>
      </c>
      <c r="K2086" s="17" t="s">
        <v>114</v>
      </c>
      <c r="L2086" s="17" t="s">
        <v>114</v>
      </c>
      <c r="M2086" s="17" t="s">
        <v>114</v>
      </c>
      <c r="N2086" s="17" t="s">
        <v>114</v>
      </c>
      <c r="O2086" s="17" t="s">
        <v>114</v>
      </c>
      <c r="P2086" s="17" t="s">
        <v>114</v>
      </c>
      <c r="Q2086" s="17" t="s">
        <v>114</v>
      </c>
      <c r="R2086" s="17" t="s">
        <v>114</v>
      </c>
      <c r="S2086" s="17" t="s">
        <v>114</v>
      </c>
      <c r="T2086" s="17" t="s">
        <v>114</v>
      </c>
      <c r="U2086" s="17" t="s">
        <v>114</v>
      </c>
      <c r="V2086" s="17" t="s">
        <v>114</v>
      </c>
      <c r="W2086" s="17" t="s">
        <v>114</v>
      </c>
      <c r="X2086" s="17" t="s">
        <v>114</v>
      </c>
      <c r="Y2086" s="17" t="s">
        <v>114</v>
      </c>
      <c r="Z2086" s="17" t="s">
        <v>114</v>
      </c>
      <c r="AA2086" s="17" t="s">
        <v>114</v>
      </c>
      <c r="AB2086" s="17" t="s">
        <v>114</v>
      </c>
    </row>
    <row r="2087" spans="1:28" x14ac:dyDescent="0.3">
      <c r="A2087" s="64"/>
      <c r="B2087" s="7" t="s">
        <v>799</v>
      </c>
      <c r="C2087" s="8"/>
      <c r="D2087" s="8"/>
      <c r="E2087" s="8"/>
      <c r="F2087" s="8"/>
      <c r="G2087" s="8"/>
      <c r="H2087" s="8"/>
      <c r="I2087" s="8"/>
      <c r="J2087" s="8"/>
      <c r="K2087" s="8"/>
      <c r="L2087" s="8"/>
      <c r="M2087" s="8"/>
      <c r="N2087" s="8"/>
      <c r="O2087" s="8"/>
      <c r="P2087" s="8"/>
      <c r="Q2087" s="8"/>
      <c r="R2087" s="8"/>
      <c r="S2087" s="8"/>
      <c r="T2087" s="8"/>
      <c r="U2087" s="8"/>
      <c r="V2087" s="8"/>
      <c r="W2087" s="8"/>
      <c r="X2087" s="8"/>
      <c r="Y2087" s="8"/>
      <c r="Z2087" s="8"/>
      <c r="AA2087" s="58"/>
    </row>
    <row r="2088" spans="1:28" x14ac:dyDescent="0.3">
      <c r="A2088" s="64"/>
      <c r="B2088" s="7"/>
      <c r="C2088" s="8"/>
      <c r="D2088" s="8"/>
      <c r="E2088" s="8"/>
      <c r="F2088" s="8"/>
      <c r="G2088" s="8"/>
      <c r="H2088" s="8"/>
      <c r="I2088" s="8"/>
      <c r="J2088" s="8"/>
      <c r="K2088" s="8"/>
      <c r="L2088" s="8"/>
      <c r="M2088" s="8"/>
      <c r="N2088" s="8"/>
      <c r="O2088" s="8"/>
      <c r="P2088" s="8"/>
      <c r="Q2088" s="8"/>
      <c r="R2088" s="8"/>
      <c r="S2088" s="8"/>
      <c r="T2088" s="8"/>
      <c r="U2088" s="8"/>
      <c r="V2088" s="8"/>
      <c r="W2088" s="8"/>
      <c r="X2088" s="8"/>
      <c r="Y2088" s="8"/>
      <c r="Z2088" s="8"/>
    </row>
    <row r="2089" spans="1:28" x14ac:dyDescent="0.3">
      <c r="A2089" s="63" t="s">
        <v>1028</v>
      </c>
      <c r="B2089" s="14" t="s">
        <v>800</v>
      </c>
      <c r="C2089" s="8"/>
      <c r="D2089" s="8"/>
      <c r="E2089" s="8"/>
      <c r="F2089" s="8"/>
      <c r="G2089" s="8"/>
      <c r="H2089" s="8"/>
      <c r="I2089" s="8"/>
      <c r="J2089" s="8"/>
      <c r="K2089" s="8"/>
      <c r="L2089" s="8"/>
      <c r="M2089" s="8"/>
      <c r="N2089" s="8"/>
      <c r="O2089" s="8"/>
      <c r="P2089" s="8"/>
      <c r="Q2089" s="8"/>
      <c r="R2089" s="8"/>
      <c r="S2089" s="8"/>
      <c r="T2089" s="8"/>
      <c r="U2089" s="8"/>
      <c r="V2089" s="8"/>
      <c r="W2089" s="8"/>
      <c r="X2089" s="8"/>
      <c r="Y2089" s="8"/>
      <c r="Z2089" s="8"/>
    </row>
    <row r="2090" spans="1:28" x14ac:dyDescent="0.3">
      <c r="A2090" s="64"/>
      <c r="B2090" s="8"/>
      <c r="C2090" s="7" t="s">
        <v>535</v>
      </c>
      <c r="D2090" s="15" t="s">
        <v>68</v>
      </c>
      <c r="E2090" s="9">
        <f>1133350-1130943.19</f>
        <v>2406.8100000000559</v>
      </c>
      <c r="F2090" s="8"/>
      <c r="G2090" s="8"/>
      <c r="H2090" s="9">
        <f t="shared" ref="H2090:H2114" si="1106">F2090+G2090</f>
        <v>0</v>
      </c>
      <c r="I2090" s="8"/>
      <c r="J2090" s="9">
        <f t="shared" ref="J2090:J2114" si="1107">H2090+I2090</f>
        <v>0</v>
      </c>
      <c r="K2090" s="9">
        <f>76.55+2330.26</f>
        <v>2406.8100000000004</v>
      </c>
      <c r="L2090" s="8"/>
      <c r="M2090" s="9">
        <f>+H2090+L2090</f>
        <v>0</v>
      </c>
      <c r="N2090" s="8">
        <v>2406.81</v>
      </c>
      <c r="O2090" s="9"/>
      <c r="P2090" s="9">
        <f>+N2090+O2090</f>
        <v>2406.81</v>
      </c>
      <c r="Q2090" s="9">
        <f t="shared" ref="Q2090:Q2114" si="1108">E2090-P2090</f>
        <v>5.5933924159035087E-11</v>
      </c>
      <c r="R2090" s="8"/>
      <c r="S2090" s="8"/>
      <c r="T2090" s="8"/>
      <c r="U2090" s="18">
        <f t="shared" ref="U2090:U2114" si="1109">+P2090+T2090</f>
        <v>2406.81</v>
      </c>
      <c r="V2090" s="17"/>
      <c r="W2090" s="17"/>
      <c r="X2090" s="9">
        <f t="shared" ref="X2090:X2114" si="1110">+H2090+P2090</f>
        <v>2406.81</v>
      </c>
      <c r="Y2090" s="8"/>
      <c r="Z2090" s="9">
        <f t="shared" ref="Z2090:Z2114" si="1111">+E2090-X2090</f>
        <v>5.5933924159035087E-11</v>
      </c>
      <c r="AA2090" s="8">
        <f t="shared" ref="AA2090:AA2114" si="1112">+M2090+U2090</f>
        <v>2406.81</v>
      </c>
      <c r="AB2090" s="8">
        <f t="shared" ref="AB2090:AB2114" si="1113">+E2090-AA2090</f>
        <v>5.5933924159035087E-11</v>
      </c>
    </row>
    <row r="2091" spans="1:28" x14ac:dyDescent="0.3">
      <c r="A2091" s="64"/>
      <c r="B2091" s="8"/>
      <c r="C2091" s="7" t="s">
        <v>539</v>
      </c>
      <c r="D2091" s="15" t="s">
        <v>68</v>
      </c>
      <c r="E2091" s="9">
        <v>8590.94</v>
      </c>
      <c r="F2091" s="8"/>
      <c r="G2091" s="8"/>
      <c r="H2091" s="9">
        <f t="shared" si="1106"/>
        <v>0</v>
      </c>
      <c r="I2091" s="8"/>
      <c r="J2091" s="9">
        <f t="shared" si="1107"/>
        <v>0</v>
      </c>
      <c r="K2091" s="9">
        <v>8590.94</v>
      </c>
      <c r="L2091" s="8"/>
      <c r="M2091" s="9">
        <f t="shared" ref="M2091:M2114" si="1114">+H2091+L2091</f>
        <v>0</v>
      </c>
      <c r="N2091" s="8">
        <v>8590.94</v>
      </c>
      <c r="O2091" s="9"/>
      <c r="P2091" s="9">
        <f t="shared" ref="P2091:P2114" si="1115">+N2091+O2091</f>
        <v>8590.94</v>
      </c>
      <c r="Q2091" s="9">
        <f t="shared" si="1108"/>
        <v>0</v>
      </c>
      <c r="R2091" s="8"/>
      <c r="S2091" s="8"/>
      <c r="T2091" s="8"/>
      <c r="U2091" s="18">
        <f t="shared" si="1109"/>
        <v>8590.94</v>
      </c>
      <c r="V2091" s="17"/>
      <c r="W2091" s="17"/>
      <c r="X2091" s="9">
        <f t="shared" si="1110"/>
        <v>8590.94</v>
      </c>
      <c r="Y2091" s="8"/>
      <c r="Z2091" s="9">
        <f t="shared" si="1111"/>
        <v>0</v>
      </c>
      <c r="AA2091" s="8">
        <f t="shared" si="1112"/>
        <v>8590.94</v>
      </c>
      <c r="AB2091" s="8">
        <f t="shared" si="1113"/>
        <v>0</v>
      </c>
    </row>
    <row r="2092" spans="1:28" x14ac:dyDescent="0.3">
      <c r="A2092" s="64"/>
      <c r="B2092" s="8"/>
      <c r="C2092" s="7" t="s">
        <v>535</v>
      </c>
      <c r="D2092" s="15" t="s">
        <v>54</v>
      </c>
      <c r="E2092" s="9">
        <f>556000-27800-28904-76164</f>
        <v>423132</v>
      </c>
      <c r="F2092" s="9">
        <v>423132</v>
      </c>
      <c r="G2092" s="8"/>
      <c r="H2092" s="9">
        <f t="shared" si="1106"/>
        <v>423132</v>
      </c>
      <c r="I2092" s="8"/>
      <c r="J2092" s="9">
        <f t="shared" si="1107"/>
        <v>423132</v>
      </c>
      <c r="K2092" s="8"/>
      <c r="L2092" s="8"/>
      <c r="M2092" s="9">
        <f t="shared" si="1114"/>
        <v>423132</v>
      </c>
      <c r="N2092" s="8"/>
      <c r="O2092" s="9"/>
      <c r="P2092" s="9">
        <f t="shared" si="1115"/>
        <v>0</v>
      </c>
      <c r="Q2092" s="9">
        <f t="shared" si="1108"/>
        <v>423132</v>
      </c>
      <c r="R2092" s="8"/>
      <c r="S2092" s="8"/>
      <c r="T2092" s="8"/>
      <c r="U2092" s="18">
        <f t="shared" si="1109"/>
        <v>0</v>
      </c>
      <c r="V2092" s="17"/>
      <c r="W2092" s="17"/>
      <c r="X2092" s="9">
        <f t="shared" si="1110"/>
        <v>423132</v>
      </c>
      <c r="Y2092" s="8"/>
      <c r="Z2092" s="9">
        <f t="shared" si="1111"/>
        <v>0</v>
      </c>
      <c r="AA2092" s="8">
        <f t="shared" si="1112"/>
        <v>423132</v>
      </c>
      <c r="AB2092" s="8">
        <f t="shared" si="1113"/>
        <v>0</v>
      </c>
    </row>
    <row r="2093" spans="1:28" x14ac:dyDescent="0.3">
      <c r="A2093" s="64"/>
      <c r="B2093" s="8"/>
      <c r="C2093" s="7" t="s">
        <v>545</v>
      </c>
      <c r="D2093" s="15" t="s">
        <v>54</v>
      </c>
      <c r="E2093" s="9">
        <v>1767770</v>
      </c>
      <c r="F2093" s="8"/>
      <c r="G2093" s="8"/>
      <c r="H2093" s="9">
        <f t="shared" si="1106"/>
        <v>0</v>
      </c>
      <c r="I2093" s="8"/>
      <c r="J2093" s="9">
        <f t="shared" si="1107"/>
        <v>0</v>
      </c>
      <c r="K2093" s="9">
        <v>1767770</v>
      </c>
      <c r="L2093" s="8"/>
      <c r="M2093" s="9">
        <f t="shared" si="1114"/>
        <v>0</v>
      </c>
      <c r="N2093" s="8">
        <v>1767770</v>
      </c>
      <c r="O2093" s="9"/>
      <c r="P2093" s="9">
        <f t="shared" si="1115"/>
        <v>1767770</v>
      </c>
      <c r="Q2093" s="9">
        <f t="shared" si="1108"/>
        <v>0</v>
      </c>
      <c r="R2093" s="8"/>
      <c r="S2093" s="8"/>
      <c r="T2093" s="8"/>
      <c r="U2093" s="18">
        <f t="shared" si="1109"/>
        <v>1767770</v>
      </c>
      <c r="V2093" s="17"/>
      <c r="W2093" s="17"/>
      <c r="X2093" s="9">
        <f t="shared" si="1110"/>
        <v>1767770</v>
      </c>
      <c r="Y2093" s="8"/>
      <c r="Z2093" s="9">
        <f t="shared" si="1111"/>
        <v>0</v>
      </c>
      <c r="AA2093" s="8">
        <f t="shared" si="1112"/>
        <v>1767770</v>
      </c>
      <c r="AB2093" s="8">
        <f t="shared" si="1113"/>
        <v>0</v>
      </c>
    </row>
    <row r="2094" spans="1:28" x14ac:dyDescent="0.3">
      <c r="A2094" s="64"/>
      <c r="B2094" s="8"/>
      <c r="C2094" s="7" t="s">
        <v>557</v>
      </c>
      <c r="D2094" s="15" t="s">
        <v>54</v>
      </c>
      <c r="E2094" s="9">
        <v>1663000</v>
      </c>
      <c r="F2094" s="9">
        <v>1663000</v>
      </c>
      <c r="G2094" s="8"/>
      <c r="H2094" s="9">
        <f t="shared" si="1106"/>
        <v>1663000</v>
      </c>
      <c r="I2094" s="8"/>
      <c r="J2094" s="9">
        <f t="shared" si="1107"/>
        <v>1663000</v>
      </c>
      <c r="K2094" s="8"/>
      <c r="L2094" s="8"/>
      <c r="M2094" s="9">
        <f t="shared" si="1114"/>
        <v>1663000</v>
      </c>
      <c r="N2094" s="8"/>
      <c r="O2094" s="9"/>
      <c r="P2094" s="9">
        <f t="shared" si="1115"/>
        <v>0</v>
      </c>
      <c r="Q2094" s="9">
        <f t="shared" si="1108"/>
        <v>1663000</v>
      </c>
      <c r="R2094" s="8"/>
      <c r="S2094" s="8"/>
      <c r="T2094" s="8"/>
      <c r="U2094" s="18">
        <f t="shared" si="1109"/>
        <v>0</v>
      </c>
      <c r="V2094" s="17"/>
      <c r="W2094" s="17"/>
      <c r="X2094" s="9">
        <f t="shared" si="1110"/>
        <v>1663000</v>
      </c>
      <c r="Y2094" s="8"/>
      <c r="Z2094" s="9">
        <f t="shared" si="1111"/>
        <v>0</v>
      </c>
      <c r="AA2094" s="8">
        <f t="shared" si="1112"/>
        <v>1663000</v>
      </c>
      <c r="AB2094" s="8">
        <f t="shared" si="1113"/>
        <v>0</v>
      </c>
    </row>
    <row r="2095" spans="1:28" x14ac:dyDescent="0.3">
      <c r="A2095" s="64"/>
      <c r="B2095" s="8"/>
      <c r="C2095" s="7" t="s">
        <v>535</v>
      </c>
      <c r="D2095" s="15" t="s">
        <v>85</v>
      </c>
      <c r="E2095" s="9">
        <f>933000-93300</f>
        <v>839700</v>
      </c>
      <c r="F2095" s="9">
        <v>839700</v>
      </c>
      <c r="G2095" s="8"/>
      <c r="H2095" s="9">
        <f t="shared" si="1106"/>
        <v>839700</v>
      </c>
      <c r="I2095" s="8"/>
      <c r="J2095" s="9">
        <f t="shared" si="1107"/>
        <v>839700</v>
      </c>
      <c r="K2095" s="8"/>
      <c r="L2095" s="8"/>
      <c r="M2095" s="9">
        <f t="shared" si="1114"/>
        <v>839700</v>
      </c>
      <c r="N2095" s="8"/>
      <c r="O2095" s="9"/>
      <c r="P2095" s="9">
        <f t="shared" si="1115"/>
        <v>0</v>
      </c>
      <c r="Q2095" s="9">
        <f t="shared" si="1108"/>
        <v>839700</v>
      </c>
      <c r="R2095" s="8"/>
      <c r="S2095" s="8"/>
      <c r="T2095" s="8"/>
      <c r="U2095" s="18">
        <f t="shared" si="1109"/>
        <v>0</v>
      </c>
      <c r="V2095" s="17"/>
      <c r="W2095" s="17"/>
      <c r="X2095" s="9">
        <f t="shared" si="1110"/>
        <v>839700</v>
      </c>
      <c r="Y2095" s="8"/>
      <c r="Z2095" s="9">
        <f t="shared" si="1111"/>
        <v>0</v>
      </c>
      <c r="AA2095" s="8">
        <f t="shared" si="1112"/>
        <v>839700</v>
      </c>
      <c r="AB2095" s="8">
        <f t="shared" si="1113"/>
        <v>0</v>
      </c>
    </row>
    <row r="2096" spans="1:28" x14ac:dyDescent="0.3">
      <c r="A2096" s="64"/>
      <c r="B2096" s="8"/>
      <c r="C2096" s="7" t="s">
        <v>535</v>
      </c>
      <c r="D2096" s="15" t="s">
        <v>88</v>
      </c>
      <c r="E2096" s="9">
        <v>900000</v>
      </c>
      <c r="F2096" s="9">
        <v>900000</v>
      </c>
      <c r="G2096" s="8"/>
      <c r="H2096" s="9">
        <f t="shared" si="1106"/>
        <v>900000</v>
      </c>
      <c r="I2096" s="8"/>
      <c r="J2096" s="9">
        <f t="shared" si="1107"/>
        <v>900000</v>
      </c>
      <c r="K2096" s="8"/>
      <c r="L2096" s="8"/>
      <c r="M2096" s="9">
        <f t="shared" si="1114"/>
        <v>900000</v>
      </c>
      <c r="N2096" s="8"/>
      <c r="O2096" s="9"/>
      <c r="P2096" s="9">
        <f t="shared" si="1115"/>
        <v>0</v>
      </c>
      <c r="Q2096" s="9">
        <f t="shared" si="1108"/>
        <v>900000</v>
      </c>
      <c r="R2096" s="8"/>
      <c r="S2096" s="8"/>
      <c r="T2096" s="8"/>
      <c r="U2096" s="18">
        <f t="shared" si="1109"/>
        <v>0</v>
      </c>
      <c r="V2096" s="17"/>
      <c r="W2096" s="17"/>
      <c r="X2096" s="9">
        <f t="shared" si="1110"/>
        <v>900000</v>
      </c>
      <c r="Y2096" s="8"/>
      <c r="Z2096" s="9">
        <f t="shared" si="1111"/>
        <v>0</v>
      </c>
      <c r="AA2096" s="8">
        <f t="shared" si="1112"/>
        <v>900000</v>
      </c>
      <c r="AB2096" s="8">
        <f t="shared" si="1113"/>
        <v>0</v>
      </c>
    </row>
    <row r="2097" spans="1:28" x14ac:dyDescent="0.3">
      <c r="A2097" s="64"/>
      <c r="B2097" s="8"/>
      <c r="C2097" s="7" t="s">
        <v>535</v>
      </c>
      <c r="D2097" s="15" t="s">
        <v>108</v>
      </c>
      <c r="E2097" s="9">
        <f>1277560+3103109</f>
        <v>4380669</v>
      </c>
      <c r="F2097" s="9">
        <v>4380669</v>
      </c>
      <c r="G2097" s="8"/>
      <c r="H2097" s="9">
        <f t="shared" si="1106"/>
        <v>4380669</v>
      </c>
      <c r="I2097" s="8"/>
      <c r="J2097" s="9">
        <f t="shared" si="1107"/>
        <v>4380669</v>
      </c>
      <c r="K2097" s="8"/>
      <c r="L2097" s="8"/>
      <c r="M2097" s="9">
        <f t="shared" si="1114"/>
        <v>4380669</v>
      </c>
      <c r="N2097" s="8"/>
      <c r="O2097" s="9"/>
      <c r="P2097" s="9">
        <f t="shared" si="1115"/>
        <v>0</v>
      </c>
      <c r="Q2097" s="9">
        <f t="shared" si="1108"/>
        <v>4380669</v>
      </c>
      <c r="R2097" s="8"/>
      <c r="S2097" s="8"/>
      <c r="T2097" s="8"/>
      <c r="U2097" s="18">
        <f t="shared" si="1109"/>
        <v>0</v>
      </c>
      <c r="V2097" s="17"/>
      <c r="W2097" s="17"/>
      <c r="X2097" s="9">
        <f t="shared" si="1110"/>
        <v>4380669</v>
      </c>
      <c r="Y2097" s="8"/>
      <c r="Z2097" s="9">
        <f t="shared" si="1111"/>
        <v>0</v>
      </c>
      <c r="AA2097" s="8">
        <f t="shared" si="1112"/>
        <v>4380669</v>
      </c>
      <c r="AB2097" s="8">
        <f t="shared" si="1113"/>
        <v>0</v>
      </c>
    </row>
    <row r="2098" spans="1:28" x14ac:dyDescent="0.3">
      <c r="A2098" s="64"/>
      <c r="B2098" s="8"/>
      <c r="C2098" s="7" t="s">
        <v>801</v>
      </c>
      <c r="D2098" s="15" t="s">
        <v>108</v>
      </c>
      <c r="E2098" s="9">
        <f>1000000+4176560+705580</f>
        <v>5882140</v>
      </c>
      <c r="F2098" s="9">
        <v>5882140</v>
      </c>
      <c r="G2098" s="8"/>
      <c r="H2098" s="9">
        <f t="shared" si="1106"/>
        <v>5882140</v>
      </c>
      <c r="I2098" s="8"/>
      <c r="J2098" s="9">
        <f t="shared" si="1107"/>
        <v>5882140</v>
      </c>
      <c r="K2098" s="8"/>
      <c r="L2098" s="8"/>
      <c r="M2098" s="9">
        <f t="shared" si="1114"/>
        <v>5882140</v>
      </c>
      <c r="N2098" s="8"/>
      <c r="O2098" s="9"/>
      <c r="P2098" s="9">
        <f t="shared" si="1115"/>
        <v>0</v>
      </c>
      <c r="Q2098" s="9">
        <f t="shared" si="1108"/>
        <v>5882140</v>
      </c>
      <c r="R2098" s="8"/>
      <c r="S2098" s="8"/>
      <c r="T2098" s="8"/>
      <c r="U2098" s="18">
        <f t="shared" si="1109"/>
        <v>0</v>
      </c>
      <c r="V2098" s="17"/>
      <c r="W2098" s="17"/>
      <c r="X2098" s="9">
        <f t="shared" si="1110"/>
        <v>5882140</v>
      </c>
      <c r="Y2098" s="8"/>
      <c r="Z2098" s="9">
        <f t="shared" si="1111"/>
        <v>0</v>
      </c>
      <c r="AA2098" s="8">
        <f t="shared" si="1112"/>
        <v>5882140</v>
      </c>
      <c r="AB2098" s="8">
        <f t="shared" si="1113"/>
        <v>0</v>
      </c>
    </row>
    <row r="2099" spans="1:28" x14ac:dyDescent="0.3">
      <c r="A2099" s="64"/>
      <c r="B2099" s="8"/>
      <c r="C2099" s="7" t="s">
        <v>802</v>
      </c>
      <c r="D2099" s="15" t="s">
        <v>108</v>
      </c>
      <c r="E2099" s="9">
        <v>1700000</v>
      </c>
      <c r="F2099" s="9">
        <v>1700000</v>
      </c>
      <c r="G2099" s="8"/>
      <c r="H2099" s="9">
        <f t="shared" si="1106"/>
        <v>1700000</v>
      </c>
      <c r="I2099" s="8"/>
      <c r="J2099" s="9">
        <f t="shared" si="1107"/>
        <v>1700000</v>
      </c>
      <c r="K2099" s="8"/>
      <c r="L2099" s="8"/>
      <c r="M2099" s="9">
        <f t="shared" si="1114"/>
        <v>1700000</v>
      </c>
      <c r="N2099" s="8"/>
      <c r="O2099" s="9"/>
      <c r="P2099" s="9">
        <f t="shared" si="1115"/>
        <v>0</v>
      </c>
      <c r="Q2099" s="9">
        <f t="shared" si="1108"/>
        <v>1700000</v>
      </c>
      <c r="R2099" s="8"/>
      <c r="S2099" s="8"/>
      <c r="T2099" s="8"/>
      <c r="U2099" s="18">
        <f t="shared" si="1109"/>
        <v>0</v>
      </c>
      <c r="V2099" s="17"/>
      <c r="W2099" s="17"/>
      <c r="X2099" s="9">
        <f t="shared" si="1110"/>
        <v>1700000</v>
      </c>
      <c r="Y2099" s="8"/>
      <c r="Z2099" s="9">
        <f t="shared" si="1111"/>
        <v>0</v>
      </c>
      <c r="AA2099" s="8">
        <f t="shared" si="1112"/>
        <v>1700000</v>
      </c>
      <c r="AB2099" s="8">
        <f t="shared" si="1113"/>
        <v>0</v>
      </c>
    </row>
    <row r="2100" spans="1:28" x14ac:dyDescent="0.3">
      <c r="A2100" s="64"/>
      <c r="B2100" s="8"/>
      <c r="C2100" s="7" t="s">
        <v>801</v>
      </c>
      <c r="D2100" s="21" t="s">
        <v>58</v>
      </c>
      <c r="E2100" s="9">
        <v>4508153.1100000003</v>
      </c>
      <c r="F2100" s="9">
        <v>4508153.1100000003</v>
      </c>
      <c r="G2100" s="8"/>
      <c r="H2100" s="9">
        <f t="shared" si="1106"/>
        <v>4508153.1100000003</v>
      </c>
      <c r="I2100" s="8"/>
      <c r="J2100" s="9">
        <f t="shared" si="1107"/>
        <v>4508153.1100000003</v>
      </c>
      <c r="K2100" s="8"/>
      <c r="L2100" s="8"/>
      <c r="M2100" s="9">
        <f t="shared" si="1114"/>
        <v>4508153.1100000003</v>
      </c>
      <c r="N2100" s="8"/>
      <c r="O2100" s="9"/>
      <c r="P2100" s="9">
        <f t="shared" si="1115"/>
        <v>0</v>
      </c>
      <c r="Q2100" s="9">
        <f t="shared" si="1108"/>
        <v>4508153.1100000003</v>
      </c>
      <c r="R2100" s="8"/>
      <c r="S2100" s="8"/>
      <c r="T2100" s="8"/>
      <c r="U2100" s="18">
        <f t="shared" si="1109"/>
        <v>0</v>
      </c>
      <c r="V2100" s="17"/>
      <c r="W2100" s="17"/>
      <c r="X2100" s="9">
        <f t="shared" si="1110"/>
        <v>4508153.1100000003</v>
      </c>
      <c r="Y2100" s="8"/>
      <c r="Z2100" s="9">
        <f t="shared" si="1111"/>
        <v>0</v>
      </c>
      <c r="AA2100" s="8">
        <f t="shared" si="1112"/>
        <v>4508153.1100000003</v>
      </c>
      <c r="AB2100" s="8">
        <f t="shared" si="1113"/>
        <v>0</v>
      </c>
    </row>
    <row r="2101" spans="1:28" x14ac:dyDescent="0.3">
      <c r="A2101" s="64"/>
      <c r="B2101" s="8"/>
      <c r="C2101" s="7" t="s">
        <v>1232</v>
      </c>
      <c r="D2101" s="24" t="s">
        <v>1225</v>
      </c>
      <c r="E2101" s="9">
        <v>867860</v>
      </c>
      <c r="F2101" s="9">
        <v>867860</v>
      </c>
      <c r="G2101" s="8"/>
      <c r="H2101" s="9">
        <f>+F2101+G2101</f>
        <v>867860</v>
      </c>
      <c r="I2101" s="8"/>
      <c r="J2101" s="9">
        <f t="shared" si="1107"/>
        <v>867860</v>
      </c>
      <c r="K2101" s="8"/>
      <c r="L2101" s="8"/>
      <c r="M2101" s="9">
        <f t="shared" si="1114"/>
        <v>867860</v>
      </c>
      <c r="N2101" s="8"/>
      <c r="O2101" s="9"/>
      <c r="P2101" s="9">
        <f>+N2101+O2101</f>
        <v>0</v>
      </c>
      <c r="Q2101" s="9">
        <f t="shared" si="1108"/>
        <v>867860</v>
      </c>
      <c r="R2101" s="8"/>
      <c r="S2101" s="8"/>
      <c r="T2101" s="8"/>
      <c r="U2101" s="18">
        <f t="shared" si="1109"/>
        <v>0</v>
      </c>
      <c r="V2101" s="17"/>
      <c r="W2101" s="17"/>
      <c r="X2101" s="9">
        <f t="shared" si="1110"/>
        <v>867860</v>
      </c>
      <c r="Y2101" s="8"/>
      <c r="Z2101" s="9">
        <f t="shared" si="1111"/>
        <v>0</v>
      </c>
      <c r="AA2101" s="8">
        <f t="shared" si="1112"/>
        <v>867860</v>
      </c>
      <c r="AB2101" s="8">
        <f t="shared" si="1113"/>
        <v>0</v>
      </c>
    </row>
    <row r="2102" spans="1:28" x14ac:dyDescent="0.3">
      <c r="A2102" s="64"/>
      <c r="B2102" s="8"/>
      <c r="C2102" s="7" t="s">
        <v>535</v>
      </c>
      <c r="D2102" s="15" t="s">
        <v>58</v>
      </c>
      <c r="E2102" s="9">
        <v>12452042.060000001</v>
      </c>
      <c r="F2102" s="9">
        <f>3320572+9131470.06</f>
        <v>12452042.060000001</v>
      </c>
      <c r="G2102" s="8"/>
      <c r="H2102" s="9">
        <f t="shared" si="1106"/>
        <v>12452042.060000001</v>
      </c>
      <c r="I2102" s="8"/>
      <c r="J2102" s="9">
        <f t="shared" si="1107"/>
        <v>12452042.060000001</v>
      </c>
      <c r="K2102" s="8"/>
      <c r="L2102" s="8"/>
      <c r="M2102" s="9">
        <f t="shared" si="1114"/>
        <v>12452042.060000001</v>
      </c>
      <c r="N2102" s="8"/>
      <c r="O2102" s="9"/>
      <c r="P2102" s="9">
        <f t="shared" si="1115"/>
        <v>0</v>
      </c>
      <c r="Q2102" s="9">
        <f t="shared" si="1108"/>
        <v>12452042.060000001</v>
      </c>
      <c r="R2102" s="8"/>
      <c r="S2102" s="8"/>
      <c r="T2102" s="8"/>
      <c r="U2102" s="18">
        <f t="shared" si="1109"/>
        <v>0</v>
      </c>
      <c r="V2102" s="17"/>
      <c r="W2102" s="17"/>
      <c r="X2102" s="9">
        <f t="shared" si="1110"/>
        <v>12452042.060000001</v>
      </c>
      <c r="Y2102" s="8"/>
      <c r="Z2102" s="9">
        <f t="shared" si="1111"/>
        <v>0</v>
      </c>
      <c r="AA2102" s="8">
        <f t="shared" si="1112"/>
        <v>12452042.060000001</v>
      </c>
      <c r="AB2102" s="8">
        <f t="shared" si="1113"/>
        <v>0</v>
      </c>
    </row>
    <row r="2103" spans="1:28" x14ac:dyDescent="0.3">
      <c r="A2103" s="64"/>
      <c r="B2103" s="8"/>
      <c r="C2103" s="7" t="s">
        <v>535</v>
      </c>
      <c r="D2103" s="15" t="s">
        <v>60</v>
      </c>
      <c r="E2103" s="9">
        <v>4225326.95</v>
      </c>
      <c r="F2103" s="9">
        <v>4225326.95</v>
      </c>
      <c r="G2103" s="8"/>
      <c r="H2103" s="9">
        <f t="shared" si="1106"/>
        <v>4225326.95</v>
      </c>
      <c r="I2103" s="8"/>
      <c r="J2103" s="9">
        <f t="shared" si="1107"/>
        <v>4225326.95</v>
      </c>
      <c r="K2103" s="8"/>
      <c r="L2103" s="8"/>
      <c r="M2103" s="9">
        <f t="shared" si="1114"/>
        <v>4225326.95</v>
      </c>
      <c r="N2103" s="8"/>
      <c r="O2103" s="9"/>
      <c r="P2103" s="9">
        <f t="shared" si="1115"/>
        <v>0</v>
      </c>
      <c r="Q2103" s="9">
        <f t="shared" si="1108"/>
        <v>4225326.95</v>
      </c>
      <c r="R2103" s="8"/>
      <c r="S2103" s="8"/>
      <c r="T2103" s="8"/>
      <c r="U2103" s="18">
        <f t="shared" si="1109"/>
        <v>0</v>
      </c>
      <c r="V2103" s="17"/>
      <c r="W2103" s="17"/>
      <c r="X2103" s="9">
        <f t="shared" si="1110"/>
        <v>4225326.95</v>
      </c>
      <c r="Y2103" s="8"/>
      <c r="Z2103" s="9">
        <f t="shared" si="1111"/>
        <v>0</v>
      </c>
      <c r="AA2103" s="8">
        <f t="shared" si="1112"/>
        <v>4225326.95</v>
      </c>
      <c r="AB2103" s="8">
        <f t="shared" si="1113"/>
        <v>0</v>
      </c>
    </row>
    <row r="2104" spans="1:28" x14ac:dyDescent="0.3">
      <c r="A2104" s="64"/>
      <c r="B2104" s="8"/>
      <c r="C2104" s="7" t="s">
        <v>535</v>
      </c>
      <c r="D2104" s="15" t="s">
        <v>73</v>
      </c>
      <c r="E2104" s="9">
        <v>1018000</v>
      </c>
      <c r="F2104" s="9">
        <v>1018000</v>
      </c>
      <c r="G2104" s="9"/>
      <c r="H2104" s="9">
        <f t="shared" si="1106"/>
        <v>1018000</v>
      </c>
      <c r="I2104" s="9">
        <v>0</v>
      </c>
      <c r="J2104" s="9">
        <f t="shared" si="1107"/>
        <v>1018000</v>
      </c>
      <c r="K2104" s="8"/>
      <c r="L2104" s="8"/>
      <c r="M2104" s="9">
        <f t="shared" si="1114"/>
        <v>1018000</v>
      </c>
      <c r="N2104" s="8"/>
      <c r="O2104" s="9"/>
      <c r="P2104" s="9">
        <f t="shared" si="1115"/>
        <v>0</v>
      </c>
      <c r="Q2104" s="9">
        <f t="shared" si="1108"/>
        <v>1018000</v>
      </c>
      <c r="R2104" s="8"/>
      <c r="S2104" s="8"/>
      <c r="T2104" s="8"/>
      <c r="U2104" s="18">
        <f t="shared" si="1109"/>
        <v>0</v>
      </c>
      <c r="V2104" s="17"/>
      <c r="W2104" s="17"/>
      <c r="X2104" s="9">
        <f t="shared" si="1110"/>
        <v>1018000</v>
      </c>
      <c r="Y2104" s="8"/>
      <c r="Z2104" s="9">
        <f t="shared" si="1111"/>
        <v>0</v>
      </c>
      <c r="AA2104" s="8">
        <f t="shared" si="1112"/>
        <v>1018000</v>
      </c>
      <c r="AB2104" s="8">
        <f t="shared" si="1113"/>
        <v>0</v>
      </c>
    </row>
    <row r="2105" spans="1:28" x14ac:dyDescent="0.3">
      <c r="A2105" s="64"/>
      <c r="B2105" s="8"/>
      <c r="C2105" s="14" t="s">
        <v>621</v>
      </c>
      <c r="D2105" s="21" t="s">
        <v>73</v>
      </c>
      <c r="E2105" s="11">
        <v>1109730</v>
      </c>
      <c r="F2105" s="11">
        <v>1109730</v>
      </c>
      <c r="G2105" s="8"/>
      <c r="H2105" s="9">
        <f t="shared" si="1106"/>
        <v>1109730</v>
      </c>
      <c r="I2105" s="8"/>
      <c r="J2105" s="9">
        <f t="shared" si="1107"/>
        <v>1109730</v>
      </c>
      <c r="K2105" s="8"/>
      <c r="L2105" s="8"/>
      <c r="M2105" s="9">
        <f t="shared" si="1114"/>
        <v>1109730</v>
      </c>
      <c r="N2105" s="8"/>
      <c r="O2105" s="9"/>
      <c r="P2105" s="9">
        <f t="shared" si="1115"/>
        <v>0</v>
      </c>
      <c r="Q2105" s="9">
        <f t="shared" si="1108"/>
        <v>1109730</v>
      </c>
      <c r="R2105" s="8"/>
      <c r="S2105" s="8"/>
      <c r="T2105" s="8"/>
      <c r="U2105" s="18">
        <f t="shared" si="1109"/>
        <v>0</v>
      </c>
      <c r="V2105" s="17"/>
      <c r="W2105" s="17"/>
      <c r="X2105" s="9">
        <f t="shared" si="1110"/>
        <v>1109730</v>
      </c>
      <c r="Y2105" s="8"/>
      <c r="Z2105" s="9">
        <f t="shared" si="1111"/>
        <v>0</v>
      </c>
      <c r="AA2105" s="8">
        <f t="shared" si="1112"/>
        <v>1109730</v>
      </c>
      <c r="AB2105" s="8">
        <f t="shared" si="1113"/>
        <v>0</v>
      </c>
    </row>
    <row r="2106" spans="1:28" x14ac:dyDescent="0.3">
      <c r="A2106" s="64"/>
      <c r="B2106" s="8"/>
      <c r="C2106" s="14" t="s">
        <v>1185</v>
      </c>
      <c r="D2106" s="24" t="s">
        <v>1126</v>
      </c>
      <c r="E2106" s="11">
        <v>1570894.58</v>
      </c>
      <c r="F2106" s="8">
        <v>1570894.58</v>
      </c>
      <c r="G2106" s="8"/>
      <c r="H2106" s="9">
        <f>+F2106+G2106</f>
        <v>1570894.58</v>
      </c>
      <c r="I2106" s="8"/>
      <c r="J2106" s="9">
        <f t="shared" si="1107"/>
        <v>1570894.58</v>
      </c>
      <c r="K2106" s="8"/>
      <c r="L2106" s="8"/>
      <c r="M2106" s="9">
        <f t="shared" si="1114"/>
        <v>1570894.58</v>
      </c>
      <c r="N2106" s="8"/>
      <c r="O2106" s="9"/>
      <c r="P2106" s="9">
        <f>+N2106+O2106</f>
        <v>0</v>
      </c>
      <c r="Q2106" s="9">
        <f t="shared" si="1108"/>
        <v>1570894.58</v>
      </c>
      <c r="R2106" s="8"/>
      <c r="S2106" s="8"/>
      <c r="T2106" s="8"/>
      <c r="U2106" s="18">
        <f t="shared" si="1109"/>
        <v>0</v>
      </c>
      <c r="V2106" s="17"/>
      <c r="W2106" s="17"/>
      <c r="X2106" s="9">
        <f t="shared" si="1110"/>
        <v>1570894.58</v>
      </c>
      <c r="Y2106" s="8"/>
      <c r="Z2106" s="9">
        <f t="shared" si="1111"/>
        <v>0</v>
      </c>
      <c r="AA2106" s="8">
        <f t="shared" si="1112"/>
        <v>1570894.58</v>
      </c>
      <c r="AB2106" s="8">
        <f t="shared" si="1113"/>
        <v>0</v>
      </c>
    </row>
    <row r="2107" spans="1:28" x14ac:dyDescent="0.3">
      <c r="A2107" s="64"/>
      <c r="B2107" s="8"/>
      <c r="C2107" s="14" t="s">
        <v>929</v>
      </c>
      <c r="D2107" s="21"/>
      <c r="E2107" s="11">
        <f>549832.4+1648457.17</f>
        <v>2198289.5699999998</v>
      </c>
      <c r="F2107" s="11">
        <f>549832.4+1648457.17</f>
        <v>2198289.5699999998</v>
      </c>
      <c r="G2107" s="8"/>
      <c r="H2107" s="9">
        <f>+F2107+G2107</f>
        <v>2198289.5699999998</v>
      </c>
      <c r="I2107" s="8"/>
      <c r="J2107" s="9"/>
      <c r="K2107" s="8"/>
      <c r="L2107" s="8"/>
      <c r="M2107" s="9">
        <f t="shared" si="1114"/>
        <v>2198289.5699999998</v>
      </c>
      <c r="N2107" s="8"/>
      <c r="O2107" s="9"/>
      <c r="P2107" s="9">
        <f t="shared" si="1115"/>
        <v>0</v>
      </c>
      <c r="Q2107" s="9"/>
      <c r="R2107" s="8"/>
      <c r="S2107" s="8"/>
      <c r="T2107" s="8"/>
      <c r="U2107" s="18">
        <f>+P2107+T2107</f>
        <v>0</v>
      </c>
      <c r="V2107" s="17"/>
      <c r="W2107" s="17"/>
      <c r="X2107" s="9">
        <f t="shared" si="1110"/>
        <v>2198289.5699999998</v>
      </c>
      <c r="Y2107" s="8"/>
      <c r="Z2107" s="9">
        <f t="shared" si="1111"/>
        <v>0</v>
      </c>
      <c r="AA2107" s="8">
        <f t="shared" si="1112"/>
        <v>2198289.5699999998</v>
      </c>
      <c r="AB2107" s="8">
        <f t="shared" si="1113"/>
        <v>0</v>
      </c>
    </row>
    <row r="2108" spans="1:28" x14ac:dyDescent="0.3">
      <c r="A2108" s="64"/>
      <c r="B2108" s="8"/>
      <c r="C2108" s="14" t="s">
        <v>1094</v>
      </c>
      <c r="D2108" s="24" t="s">
        <v>1072</v>
      </c>
      <c r="E2108" s="11">
        <f>4377356.34+441850.5</f>
        <v>4819206.84</v>
      </c>
      <c r="F2108" s="11">
        <f>4377356.34+441850.5</f>
        <v>4819206.84</v>
      </c>
      <c r="G2108" s="8"/>
      <c r="H2108" s="9">
        <f>+F2108+G2108</f>
        <v>4819206.84</v>
      </c>
      <c r="I2108" s="8"/>
      <c r="J2108" s="9"/>
      <c r="K2108" s="8"/>
      <c r="L2108" s="8"/>
      <c r="M2108" s="9">
        <f>+H2108+L2108</f>
        <v>4819206.84</v>
      </c>
      <c r="N2108" s="8"/>
      <c r="O2108" s="9"/>
      <c r="P2108" s="9">
        <f>+N2108+O2108</f>
        <v>0</v>
      </c>
      <c r="Q2108" s="9"/>
      <c r="R2108" s="8"/>
      <c r="S2108" s="8"/>
      <c r="T2108" s="8"/>
      <c r="U2108" s="18">
        <f>+P2108+T2108</f>
        <v>0</v>
      </c>
      <c r="V2108" s="17"/>
      <c r="W2108" s="17"/>
      <c r="X2108" s="9">
        <f t="shared" si="1110"/>
        <v>4819206.84</v>
      </c>
      <c r="Y2108" s="8"/>
      <c r="Z2108" s="9">
        <f t="shared" si="1111"/>
        <v>0</v>
      </c>
      <c r="AA2108" s="8">
        <f t="shared" si="1112"/>
        <v>4819206.84</v>
      </c>
      <c r="AB2108" s="8">
        <f t="shared" si="1113"/>
        <v>0</v>
      </c>
    </row>
    <row r="2109" spans="1:28" x14ac:dyDescent="0.3">
      <c r="A2109" s="64"/>
      <c r="B2109" s="8"/>
      <c r="C2109" s="7" t="s">
        <v>535</v>
      </c>
      <c r="D2109" s="15" t="s">
        <v>61</v>
      </c>
      <c r="E2109" s="11">
        <v>1240371.6399999999</v>
      </c>
      <c r="F2109" s="11">
        <v>1240371.6399999999</v>
      </c>
      <c r="G2109" s="8"/>
      <c r="H2109" s="9">
        <f t="shared" si="1106"/>
        <v>1240371.6399999999</v>
      </c>
      <c r="I2109" s="8"/>
      <c r="J2109" s="9">
        <f t="shared" si="1107"/>
        <v>1240371.6399999999</v>
      </c>
      <c r="K2109" s="8"/>
      <c r="L2109" s="8"/>
      <c r="M2109" s="9">
        <f t="shared" si="1114"/>
        <v>1240371.6399999999</v>
      </c>
      <c r="N2109" s="8"/>
      <c r="O2109" s="9"/>
      <c r="P2109" s="9">
        <f t="shared" si="1115"/>
        <v>0</v>
      </c>
      <c r="Q2109" s="9">
        <f t="shared" si="1108"/>
        <v>1240371.6399999999</v>
      </c>
      <c r="R2109" s="8"/>
      <c r="S2109" s="8"/>
      <c r="T2109" s="8"/>
      <c r="U2109" s="18">
        <f t="shared" si="1109"/>
        <v>0</v>
      </c>
      <c r="V2109" s="17"/>
      <c r="W2109" s="17"/>
      <c r="X2109" s="9">
        <f t="shared" si="1110"/>
        <v>1240371.6399999999</v>
      </c>
      <c r="Y2109" s="8"/>
      <c r="Z2109" s="9">
        <f t="shared" si="1111"/>
        <v>0</v>
      </c>
      <c r="AA2109" s="8">
        <f t="shared" si="1112"/>
        <v>1240371.6399999999</v>
      </c>
      <c r="AB2109" s="8">
        <f t="shared" si="1113"/>
        <v>0</v>
      </c>
    </row>
    <row r="2110" spans="1:28" x14ac:dyDescent="0.3">
      <c r="A2110" s="64"/>
      <c r="B2110" s="8"/>
      <c r="C2110" s="14" t="s">
        <v>621</v>
      </c>
      <c r="D2110" s="21" t="s">
        <v>61</v>
      </c>
      <c r="E2110" s="11">
        <f>1119103.65+9514.9</f>
        <v>1128618.5499999998</v>
      </c>
      <c r="F2110" s="11">
        <v>1119103.6499999999</v>
      </c>
      <c r="G2110" s="8"/>
      <c r="H2110" s="9">
        <f t="shared" si="1106"/>
        <v>1119103.6499999999</v>
      </c>
      <c r="I2110" s="8"/>
      <c r="J2110" s="9">
        <f t="shared" si="1107"/>
        <v>1119103.6499999999</v>
      </c>
      <c r="K2110" s="8"/>
      <c r="L2110" s="8"/>
      <c r="M2110" s="9">
        <f t="shared" si="1114"/>
        <v>1119103.6499999999</v>
      </c>
      <c r="N2110" s="11"/>
      <c r="O2110" s="9"/>
      <c r="P2110" s="9">
        <f t="shared" si="1115"/>
        <v>0</v>
      </c>
      <c r="Q2110" s="9">
        <f t="shared" si="1108"/>
        <v>1128618.5499999998</v>
      </c>
      <c r="R2110" s="8"/>
      <c r="S2110" s="8"/>
      <c r="T2110" s="8">
        <v>9514.9</v>
      </c>
      <c r="U2110" s="18">
        <f t="shared" si="1109"/>
        <v>9514.9</v>
      </c>
      <c r="V2110" s="17"/>
      <c r="W2110" s="17"/>
      <c r="X2110" s="9">
        <f t="shared" si="1110"/>
        <v>1119103.6499999999</v>
      </c>
      <c r="Y2110" s="8"/>
      <c r="Z2110" s="9">
        <f t="shared" si="1111"/>
        <v>9514.8999999999069</v>
      </c>
      <c r="AA2110" s="8">
        <f t="shared" si="1112"/>
        <v>1128618.5499999998</v>
      </c>
      <c r="AB2110" s="8">
        <f t="shared" si="1113"/>
        <v>0</v>
      </c>
    </row>
    <row r="2111" spans="1:28" x14ac:dyDescent="0.3">
      <c r="A2111" s="64"/>
      <c r="B2111" s="8"/>
      <c r="C2111" s="14" t="s">
        <v>1261</v>
      </c>
      <c r="D2111" s="24" t="s">
        <v>1225</v>
      </c>
      <c r="E2111" s="11">
        <v>3978863.63</v>
      </c>
      <c r="F2111" s="11"/>
      <c r="G2111" s="8">
        <v>3978863.63</v>
      </c>
      <c r="H2111" s="9">
        <f>+F2111+G2111</f>
        <v>3978863.63</v>
      </c>
      <c r="I2111" s="8"/>
      <c r="J2111" s="9"/>
      <c r="K2111" s="8"/>
      <c r="L2111" s="8"/>
      <c r="M2111" s="9">
        <f>+H2111+L2111</f>
        <v>3978863.63</v>
      </c>
      <c r="N2111" s="11"/>
      <c r="O2111" s="9"/>
      <c r="P2111" s="9">
        <f>+N2111+O2111</f>
        <v>0</v>
      </c>
      <c r="Q2111" s="9"/>
      <c r="R2111" s="8"/>
      <c r="S2111" s="8"/>
      <c r="T2111" s="8"/>
      <c r="U2111" s="18">
        <f>+P2111+T2111</f>
        <v>0</v>
      </c>
      <c r="V2111" s="17"/>
      <c r="W2111" s="17"/>
      <c r="X2111" s="9">
        <f t="shared" si="1110"/>
        <v>3978863.63</v>
      </c>
      <c r="Y2111" s="8"/>
      <c r="Z2111" s="9">
        <f t="shared" si="1111"/>
        <v>0</v>
      </c>
      <c r="AA2111" s="8">
        <f t="shared" si="1112"/>
        <v>3978863.63</v>
      </c>
      <c r="AB2111" s="8">
        <f t="shared" si="1113"/>
        <v>0</v>
      </c>
    </row>
    <row r="2112" spans="1:28" x14ac:dyDescent="0.3">
      <c r="A2112" s="64"/>
      <c r="B2112" s="8"/>
      <c r="C2112" s="7" t="s">
        <v>598</v>
      </c>
      <c r="D2112" s="8"/>
      <c r="E2112" s="9">
        <v>785130</v>
      </c>
      <c r="F2112" s="9">
        <v>785130</v>
      </c>
      <c r="G2112" s="8"/>
      <c r="H2112" s="9">
        <f t="shared" si="1106"/>
        <v>785130</v>
      </c>
      <c r="I2112" s="8"/>
      <c r="J2112" s="9">
        <f t="shared" si="1107"/>
        <v>785130</v>
      </c>
      <c r="K2112" s="8"/>
      <c r="L2112" s="8"/>
      <c r="M2112" s="9">
        <f t="shared" si="1114"/>
        <v>785130</v>
      </c>
      <c r="N2112" s="8"/>
      <c r="O2112" s="9"/>
      <c r="P2112" s="9">
        <f t="shared" si="1115"/>
        <v>0</v>
      </c>
      <c r="Q2112" s="9">
        <f t="shared" si="1108"/>
        <v>785130</v>
      </c>
      <c r="R2112" s="8"/>
      <c r="S2112" s="8"/>
      <c r="T2112" s="8"/>
      <c r="U2112" s="18">
        <f t="shared" si="1109"/>
        <v>0</v>
      </c>
      <c r="V2112" s="17"/>
      <c r="W2112" s="17"/>
      <c r="X2112" s="9">
        <f t="shared" si="1110"/>
        <v>785130</v>
      </c>
      <c r="Y2112" s="8"/>
      <c r="Z2112" s="9">
        <f t="shared" si="1111"/>
        <v>0</v>
      </c>
      <c r="AA2112" s="8">
        <f t="shared" si="1112"/>
        <v>785130</v>
      </c>
      <c r="AB2112" s="8">
        <f t="shared" si="1113"/>
        <v>0</v>
      </c>
    </row>
    <row r="2113" spans="1:28" x14ac:dyDescent="0.3">
      <c r="A2113" s="64"/>
      <c r="B2113" s="8"/>
      <c r="C2113" s="7" t="s">
        <v>550</v>
      </c>
      <c r="D2113" s="8"/>
      <c r="E2113" s="9">
        <v>105737</v>
      </c>
      <c r="F2113" s="9">
        <v>105737</v>
      </c>
      <c r="G2113" s="8"/>
      <c r="H2113" s="9">
        <f t="shared" si="1106"/>
        <v>105737</v>
      </c>
      <c r="I2113" s="8"/>
      <c r="J2113" s="9">
        <f t="shared" si="1107"/>
        <v>105737</v>
      </c>
      <c r="K2113" s="8"/>
      <c r="L2113" s="8"/>
      <c r="M2113" s="9">
        <f t="shared" si="1114"/>
        <v>105737</v>
      </c>
      <c r="N2113" s="8"/>
      <c r="O2113" s="9"/>
      <c r="P2113" s="9">
        <f t="shared" si="1115"/>
        <v>0</v>
      </c>
      <c r="Q2113" s="9">
        <f t="shared" si="1108"/>
        <v>105737</v>
      </c>
      <c r="R2113" s="8"/>
      <c r="S2113" s="8"/>
      <c r="T2113" s="8"/>
      <c r="U2113" s="18">
        <f t="shared" si="1109"/>
        <v>0</v>
      </c>
      <c r="V2113" s="17"/>
      <c r="W2113" s="17"/>
      <c r="X2113" s="9">
        <f t="shared" si="1110"/>
        <v>105737</v>
      </c>
      <c r="Y2113" s="8"/>
      <c r="Z2113" s="9">
        <f t="shared" si="1111"/>
        <v>0</v>
      </c>
      <c r="AA2113" s="8">
        <f t="shared" si="1112"/>
        <v>105737</v>
      </c>
      <c r="AB2113" s="8">
        <f t="shared" si="1113"/>
        <v>0</v>
      </c>
    </row>
    <row r="2114" spans="1:28" x14ac:dyDescent="0.3">
      <c r="A2114" s="64"/>
      <c r="B2114" s="8"/>
      <c r="C2114" s="7" t="s">
        <v>606</v>
      </c>
      <c r="D2114" s="8"/>
      <c r="E2114" s="9">
        <f>2500000+2500000+2500000+1991615+1959827.35-1959827.35-2500000+2090111.78</f>
        <v>9081726.7799999993</v>
      </c>
      <c r="F2114" s="9">
        <f>11451442.35-1959827.35-2500000+2090111.78</f>
        <v>9081726.7799999993</v>
      </c>
      <c r="G2114" s="8"/>
      <c r="H2114" s="9">
        <f t="shared" si="1106"/>
        <v>9081726.7799999993</v>
      </c>
      <c r="I2114" s="8"/>
      <c r="J2114" s="9">
        <f t="shared" si="1107"/>
        <v>9081726.7799999993</v>
      </c>
      <c r="K2114" s="8"/>
      <c r="L2114" s="8"/>
      <c r="M2114" s="9">
        <f t="shared" si="1114"/>
        <v>9081726.7799999993</v>
      </c>
      <c r="N2114" s="8"/>
      <c r="O2114" s="9"/>
      <c r="P2114" s="9">
        <f t="shared" si="1115"/>
        <v>0</v>
      </c>
      <c r="Q2114" s="9">
        <f t="shared" si="1108"/>
        <v>9081726.7799999993</v>
      </c>
      <c r="R2114" s="8"/>
      <c r="S2114" s="8"/>
      <c r="T2114" s="8"/>
      <c r="U2114" s="18">
        <f t="shared" si="1109"/>
        <v>0</v>
      </c>
      <c r="V2114" s="17"/>
      <c r="W2114" s="17"/>
      <c r="X2114" s="9">
        <f t="shared" si="1110"/>
        <v>9081726.7799999993</v>
      </c>
      <c r="Y2114" s="8"/>
      <c r="Z2114" s="9">
        <f t="shared" si="1111"/>
        <v>0</v>
      </c>
      <c r="AA2114" s="8">
        <f t="shared" si="1112"/>
        <v>9081726.7799999993</v>
      </c>
      <c r="AB2114" s="8">
        <f t="shared" si="1113"/>
        <v>0</v>
      </c>
    </row>
    <row r="2115" spans="1:28" x14ac:dyDescent="0.3">
      <c r="A2115" s="64"/>
      <c r="B2115" s="8"/>
      <c r="C2115" s="8"/>
      <c r="D2115" s="8"/>
      <c r="E2115" s="17" t="s">
        <v>29</v>
      </c>
      <c r="F2115" s="17" t="s">
        <v>29</v>
      </c>
      <c r="G2115" s="17" t="s">
        <v>29</v>
      </c>
      <c r="H2115" s="17" t="s">
        <v>29</v>
      </c>
      <c r="I2115" s="17" t="s">
        <v>29</v>
      </c>
      <c r="J2115" s="17" t="s">
        <v>29</v>
      </c>
      <c r="K2115" s="17" t="s">
        <v>29</v>
      </c>
      <c r="L2115" s="17" t="s">
        <v>29</v>
      </c>
      <c r="M2115" s="17" t="s">
        <v>29</v>
      </c>
      <c r="N2115" s="17" t="s">
        <v>29</v>
      </c>
      <c r="O2115" s="17" t="s">
        <v>29</v>
      </c>
      <c r="P2115" s="17" t="s">
        <v>29</v>
      </c>
      <c r="Q2115" s="17" t="s">
        <v>29</v>
      </c>
      <c r="R2115" s="17" t="s">
        <v>29</v>
      </c>
      <c r="S2115" s="17" t="s">
        <v>29</v>
      </c>
      <c r="T2115" s="17" t="s">
        <v>29</v>
      </c>
      <c r="U2115" s="17" t="s">
        <v>29</v>
      </c>
      <c r="V2115" s="17" t="s">
        <v>29</v>
      </c>
      <c r="W2115" s="17" t="s">
        <v>29</v>
      </c>
      <c r="X2115" s="17" t="s">
        <v>29</v>
      </c>
      <c r="Y2115" s="17" t="s">
        <v>29</v>
      </c>
      <c r="Z2115" s="17" t="s">
        <v>29</v>
      </c>
      <c r="AA2115" s="17" t="s">
        <v>29</v>
      </c>
      <c r="AB2115" s="17" t="s">
        <v>29</v>
      </c>
    </row>
    <row r="2116" spans="1:28" x14ac:dyDescent="0.3">
      <c r="A2116" s="64"/>
      <c r="B2116" s="8"/>
      <c r="C2116" s="8"/>
      <c r="D2116" s="8"/>
      <c r="E2116" s="9">
        <f t="shared" ref="E2116:Q2116" si="1116">SUM(E2090:E2115)</f>
        <v>66657359.460000001</v>
      </c>
      <c r="F2116" s="9">
        <f t="shared" si="1116"/>
        <v>60890213.18</v>
      </c>
      <c r="G2116" s="9">
        <f t="shared" si="1116"/>
        <v>3978863.63</v>
      </c>
      <c r="H2116" s="9">
        <f t="shared" si="1116"/>
        <v>64869076.810000002</v>
      </c>
      <c r="I2116" s="9">
        <f t="shared" si="1116"/>
        <v>0</v>
      </c>
      <c r="J2116" s="9">
        <f t="shared" si="1116"/>
        <v>53872716.770000003</v>
      </c>
      <c r="K2116" s="9">
        <f t="shared" si="1116"/>
        <v>1778767.75</v>
      </c>
      <c r="L2116" s="9">
        <f t="shared" si="1116"/>
        <v>0</v>
      </c>
      <c r="M2116" s="9">
        <f t="shared" si="1116"/>
        <v>64869076.810000002</v>
      </c>
      <c r="N2116" s="9">
        <f t="shared" si="1116"/>
        <v>1778767.75</v>
      </c>
      <c r="O2116" s="9">
        <f t="shared" si="1116"/>
        <v>0</v>
      </c>
      <c r="P2116" s="9">
        <f t="shared" si="1116"/>
        <v>1778767.75</v>
      </c>
      <c r="Q2116" s="9">
        <f t="shared" si="1116"/>
        <v>53882231.670000002</v>
      </c>
      <c r="R2116" s="8"/>
      <c r="S2116" s="8"/>
      <c r="T2116" s="9">
        <f t="shared" ref="T2116:Z2116" si="1117">SUM(T2090:T2115)</f>
        <v>9514.9</v>
      </c>
      <c r="U2116" s="9">
        <f t="shared" si="1117"/>
        <v>1788282.65</v>
      </c>
      <c r="V2116" s="9">
        <f t="shared" si="1117"/>
        <v>0</v>
      </c>
      <c r="W2116" s="9">
        <f t="shared" si="1117"/>
        <v>0</v>
      </c>
      <c r="X2116" s="9">
        <f t="shared" si="1117"/>
        <v>66647844.560000002</v>
      </c>
      <c r="Y2116" s="9">
        <f t="shared" si="1117"/>
        <v>0</v>
      </c>
      <c r="Z2116" s="9">
        <f t="shared" si="1117"/>
        <v>9514.8999999999633</v>
      </c>
      <c r="AA2116" s="9">
        <f>SUM(AA2090:AA2115)</f>
        <v>66657359.460000001</v>
      </c>
      <c r="AB2116" s="9">
        <f>SUM(AB2090:AB2115)</f>
        <v>5.5933924159035087E-11</v>
      </c>
    </row>
    <row r="2117" spans="1:28" x14ac:dyDescent="0.3">
      <c r="A2117" s="64"/>
      <c r="B2117" s="8"/>
      <c r="C2117" s="8"/>
      <c r="D2117" s="8"/>
      <c r="E2117" s="17" t="s">
        <v>29</v>
      </c>
      <c r="F2117" s="17" t="s">
        <v>29</v>
      </c>
      <c r="G2117" s="17" t="s">
        <v>29</v>
      </c>
      <c r="H2117" s="17" t="s">
        <v>29</v>
      </c>
      <c r="I2117" s="17" t="s">
        <v>29</v>
      </c>
      <c r="J2117" s="17" t="s">
        <v>29</v>
      </c>
      <c r="K2117" s="17" t="s">
        <v>29</v>
      </c>
      <c r="L2117" s="17" t="s">
        <v>29</v>
      </c>
      <c r="M2117" s="17" t="s">
        <v>29</v>
      </c>
      <c r="N2117" s="17" t="s">
        <v>29</v>
      </c>
      <c r="O2117" s="17" t="s">
        <v>29</v>
      </c>
      <c r="P2117" s="17" t="s">
        <v>29</v>
      </c>
      <c r="Q2117" s="17" t="s">
        <v>29</v>
      </c>
      <c r="R2117" s="17" t="s">
        <v>29</v>
      </c>
      <c r="S2117" s="17" t="s">
        <v>29</v>
      </c>
      <c r="T2117" s="17" t="s">
        <v>29</v>
      </c>
      <c r="U2117" s="17" t="s">
        <v>29</v>
      </c>
      <c r="V2117" s="17" t="s">
        <v>29</v>
      </c>
      <c r="W2117" s="17" t="s">
        <v>29</v>
      </c>
      <c r="X2117" s="17" t="s">
        <v>29</v>
      </c>
      <c r="Y2117" s="17" t="s">
        <v>29</v>
      </c>
      <c r="Z2117" s="17" t="s">
        <v>29</v>
      </c>
      <c r="AA2117" s="17" t="s">
        <v>29</v>
      </c>
      <c r="AB2117" s="17" t="s">
        <v>29</v>
      </c>
    </row>
    <row r="2118" spans="1:28" x14ac:dyDescent="0.3">
      <c r="A2118" s="63" t="s">
        <v>1029</v>
      </c>
      <c r="B2118" s="7" t="s">
        <v>803</v>
      </c>
      <c r="C2118" s="8"/>
      <c r="D2118" s="8"/>
      <c r="E2118" s="8"/>
      <c r="F2118" s="8"/>
      <c r="G2118" s="8"/>
      <c r="H2118" s="8"/>
      <c r="I2118" s="8"/>
      <c r="J2118" s="8"/>
      <c r="K2118" s="8"/>
      <c r="L2118" s="8"/>
      <c r="M2118" s="8"/>
      <c r="N2118" s="8"/>
      <c r="O2118" s="8"/>
      <c r="P2118" s="8"/>
      <c r="Q2118" s="8"/>
      <c r="R2118" s="8"/>
      <c r="S2118" s="8"/>
      <c r="T2118" s="8"/>
      <c r="U2118" s="8"/>
      <c r="V2118" s="8"/>
      <c r="W2118" s="8"/>
      <c r="X2118" s="8"/>
      <c r="Y2118" s="8"/>
      <c r="Z2118" s="8"/>
    </row>
    <row r="2119" spans="1:28" x14ac:dyDescent="0.3">
      <c r="A2119" s="64"/>
      <c r="B2119" s="8"/>
      <c r="C2119" s="7" t="s">
        <v>804</v>
      </c>
      <c r="D2119" s="21" t="s">
        <v>68</v>
      </c>
      <c r="E2119" s="9">
        <f>2325600-1144300</f>
        <v>1181300</v>
      </c>
      <c r="F2119" s="9">
        <v>1181300</v>
      </c>
      <c r="G2119" s="8"/>
      <c r="H2119" s="9">
        <f t="shared" ref="H2119:H2140" si="1118">F2119+G2119</f>
        <v>1181300</v>
      </c>
      <c r="I2119" s="8"/>
      <c r="J2119" s="9">
        <f t="shared" ref="J2119:J2140" si="1119">H2119+I2119</f>
        <v>1181300</v>
      </c>
      <c r="K2119" s="9">
        <v>0</v>
      </c>
      <c r="L2119" s="8"/>
      <c r="M2119" s="9">
        <f>+H2119+L2119</f>
        <v>1181300</v>
      </c>
      <c r="N2119" s="8"/>
      <c r="O2119" s="9"/>
      <c r="P2119" s="9">
        <f>+N2119+O2119</f>
        <v>0</v>
      </c>
      <c r="Q2119" s="9">
        <f t="shared" ref="Q2119:Q2140" si="1120">E2119-P2119</f>
        <v>1181300</v>
      </c>
      <c r="R2119" s="8"/>
      <c r="S2119" s="8"/>
      <c r="T2119" s="8"/>
      <c r="U2119" s="18">
        <f t="shared" ref="U2119:U2140" si="1121">+P2119+T2119</f>
        <v>0</v>
      </c>
      <c r="V2119" s="17"/>
      <c r="W2119" s="17"/>
      <c r="X2119" s="9">
        <f t="shared" ref="X2119:X2140" si="1122">+H2119+P2119</f>
        <v>1181300</v>
      </c>
      <c r="Y2119" s="8"/>
      <c r="Z2119" s="9">
        <f t="shared" ref="Z2119:Z2140" si="1123">+E2119-X2119</f>
        <v>0</v>
      </c>
      <c r="AA2119" s="8">
        <f t="shared" ref="AA2119:AA2140" si="1124">+M2119+U2119</f>
        <v>1181300</v>
      </c>
      <c r="AB2119" s="8">
        <f t="shared" ref="AB2119:AB2140" si="1125">+E2119-AA2119</f>
        <v>0</v>
      </c>
    </row>
    <row r="2120" spans="1:28" x14ac:dyDescent="0.3">
      <c r="A2120" s="64"/>
      <c r="B2120" s="8"/>
      <c r="C2120" s="7" t="s">
        <v>545</v>
      </c>
      <c r="D2120" s="15" t="s">
        <v>54</v>
      </c>
      <c r="E2120" s="9">
        <v>1953989</v>
      </c>
      <c r="F2120" s="8"/>
      <c r="G2120" s="8"/>
      <c r="H2120" s="9">
        <f t="shared" si="1118"/>
        <v>0</v>
      </c>
      <c r="I2120" s="8"/>
      <c r="J2120" s="9">
        <f t="shared" si="1119"/>
        <v>0</v>
      </c>
      <c r="K2120" s="9">
        <v>1953989</v>
      </c>
      <c r="L2120" s="8"/>
      <c r="M2120" s="9">
        <f t="shared" ref="M2120:M2140" si="1126">+H2120+L2120</f>
        <v>0</v>
      </c>
      <c r="N2120" s="8">
        <v>1953989</v>
      </c>
      <c r="O2120" s="9"/>
      <c r="P2120" s="9">
        <f t="shared" ref="P2120:P2140" si="1127">+N2120+O2120</f>
        <v>1953989</v>
      </c>
      <c r="Q2120" s="9">
        <f t="shared" si="1120"/>
        <v>0</v>
      </c>
      <c r="R2120" s="8"/>
      <c r="S2120" s="8"/>
      <c r="T2120" s="8"/>
      <c r="U2120" s="18">
        <f t="shared" si="1121"/>
        <v>1953989</v>
      </c>
      <c r="V2120" s="17"/>
      <c r="W2120" s="17"/>
      <c r="X2120" s="9">
        <f t="shared" si="1122"/>
        <v>1953989</v>
      </c>
      <c r="Y2120" s="8"/>
      <c r="Z2120" s="9">
        <f t="shared" si="1123"/>
        <v>0</v>
      </c>
      <c r="AA2120" s="8">
        <f t="shared" si="1124"/>
        <v>1953989</v>
      </c>
      <c r="AB2120" s="8">
        <f t="shared" si="1125"/>
        <v>0</v>
      </c>
    </row>
    <row r="2121" spans="1:28" x14ac:dyDescent="0.3">
      <c r="A2121" s="64"/>
      <c r="B2121" s="8"/>
      <c r="C2121" s="7" t="s">
        <v>601</v>
      </c>
      <c r="D2121" s="15" t="s">
        <v>54</v>
      </c>
      <c r="E2121" s="9">
        <v>955345.62</v>
      </c>
      <c r="F2121" s="8"/>
      <c r="G2121" s="8"/>
      <c r="H2121" s="9">
        <f t="shared" si="1118"/>
        <v>0</v>
      </c>
      <c r="I2121" s="8"/>
      <c r="J2121" s="9">
        <f t="shared" si="1119"/>
        <v>0</v>
      </c>
      <c r="K2121" s="9">
        <v>955345.62</v>
      </c>
      <c r="L2121" s="8"/>
      <c r="M2121" s="9">
        <f t="shared" si="1126"/>
        <v>0</v>
      </c>
      <c r="N2121" s="8">
        <v>955345.62</v>
      </c>
      <c r="O2121" s="9"/>
      <c r="P2121" s="9">
        <f t="shared" si="1127"/>
        <v>955345.62</v>
      </c>
      <c r="Q2121" s="9">
        <f t="shared" si="1120"/>
        <v>0</v>
      </c>
      <c r="R2121" s="8"/>
      <c r="S2121" s="8"/>
      <c r="T2121" s="8"/>
      <c r="U2121" s="18">
        <f t="shared" si="1121"/>
        <v>955345.62</v>
      </c>
      <c r="V2121" s="17"/>
      <c r="W2121" s="17"/>
      <c r="X2121" s="9">
        <f t="shared" si="1122"/>
        <v>955345.62</v>
      </c>
      <c r="Y2121" s="8"/>
      <c r="Z2121" s="9">
        <f t="shared" si="1123"/>
        <v>0</v>
      </c>
      <c r="AA2121" s="8">
        <f t="shared" si="1124"/>
        <v>955345.62</v>
      </c>
      <c r="AB2121" s="8">
        <f t="shared" si="1125"/>
        <v>0</v>
      </c>
    </row>
    <row r="2122" spans="1:28" x14ac:dyDescent="0.3">
      <c r="A2122" s="64"/>
      <c r="B2122" s="8"/>
      <c r="C2122" s="7" t="s">
        <v>535</v>
      </c>
      <c r="D2122" s="15" t="s">
        <v>54</v>
      </c>
      <c r="E2122" s="9">
        <f>1002000-50100-69158-134622</f>
        <v>748120</v>
      </c>
      <c r="F2122" s="9">
        <v>748120</v>
      </c>
      <c r="G2122" s="8"/>
      <c r="H2122" s="9">
        <f t="shared" si="1118"/>
        <v>748120</v>
      </c>
      <c r="I2122" s="8"/>
      <c r="J2122" s="9">
        <f t="shared" si="1119"/>
        <v>748120</v>
      </c>
      <c r="K2122" s="8"/>
      <c r="L2122" s="8"/>
      <c r="M2122" s="9">
        <f t="shared" si="1126"/>
        <v>748120</v>
      </c>
      <c r="N2122" s="8"/>
      <c r="O2122" s="9"/>
      <c r="P2122" s="9">
        <f t="shared" si="1127"/>
        <v>0</v>
      </c>
      <c r="Q2122" s="9">
        <f t="shared" si="1120"/>
        <v>748120</v>
      </c>
      <c r="R2122" s="8"/>
      <c r="S2122" s="8"/>
      <c r="T2122" s="8"/>
      <c r="U2122" s="18">
        <f t="shared" si="1121"/>
        <v>0</v>
      </c>
      <c r="V2122" s="17"/>
      <c r="W2122" s="17"/>
      <c r="X2122" s="9">
        <f t="shared" si="1122"/>
        <v>748120</v>
      </c>
      <c r="Y2122" s="8"/>
      <c r="Z2122" s="9">
        <f t="shared" si="1123"/>
        <v>0</v>
      </c>
      <c r="AA2122" s="8">
        <f t="shared" si="1124"/>
        <v>748120</v>
      </c>
      <c r="AB2122" s="8">
        <f t="shared" si="1125"/>
        <v>0</v>
      </c>
    </row>
    <row r="2123" spans="1:28" x14ac:dyDescent="0.3">
      <c r="A2123" s="64"/>
      <c r="B2123" s="8"/>
      <c r="C2123" s="7" t="s">
        <v>557</v>
      </c>
      <c r="D2123" s="15" t="s">
        <v>54</v>
      </c>
      <c r="E2123" s="9">
        <v>3849000</v>
      </c>
      <c r="F2123" s="9">
        <f>2649300+1199700</f>
        <v>3849000</v>
      </c>
      <c r="G2123" s="8"/>
      <c r="H2123" s="9">
        <f t="shared" si="1118"/>
        <v>3849000</v>
      </c>
      <c r="I2123" s="8"/>
      <c r="J2123" s="9">
        <f t="shared" si="1119"/>
        <v>3849000</v>
      </c>
      <c r="K2123" s="8"/>
      <c r="L2123" s="8"/>
      <c r="M2123" s="9">
        <f t="shared" si="1126"/>
        <v>3849000</v>
      </c>
      <c r="N2123" s="8"/>
      <c r="O2123" s="9"/>
      <c r="P2123" s="9">
        <f t="shared" si="1127"/>
        <v>0</v>
      </c>
      <c r="Q2123" s="9">
        <f t="shared" si="1120"/>
        <v>3849000</v>
      </c>
      <c r="R2123" s="8"/>
      <c r="S2123" s="8"/>
      <c r="T2123" s="8"/>
      <c r="U2123" s="18">
        <f t="shared" si="1121"/>
        <v>0</v>
      </c>
      <c r="V2123" s="17"/>
      <c r="W2123" s="17"/>
      <c r="X2123" s="9">
        <f t="shared" si="1122"/>
        <v>3849000</v>
      </c>
      <c r="Y2123" s="8"/>
      <c r="Z2123" s="9">
        <f t="shared" si="1123"/>
        <v>0</v>
      </c>
      <c r="AA2123" s="8">
        <f t="shared" si="1124"/>
        <v>3849000</v>
      </c>
      <c r="AB2123" s="8">
        <f t="shared" si="1125"/>
        <v>0</v>
      </c>
    </row>
    <row r="2124" spans="1:28" x14ac:dyDescent="0.3">
      <c r="A2124" s="64"/>
      <c r="B2124" s="8"/>
      <c r="C2124" s="7" t="s">
        <v>535</v>
      </c>
      <c r="D2124" s="15" t="s">
        <v>85</v>
      </c>
      <c r="E2124" s="9">
        <v>1436551.93</v>
      </c>
      <c r="F2124" s="9">
        <f>1094330+342221.93</f>
        <v>1436551.93</v>
      </c>
      <c r="G2124" s="8"/>
      <c r="H2124" s="9">
        <f t="shared" si="1118"/>
        <v>1436551.93</v>
      </c>
      <c r="I2124" s="8"/>
      <c r="J2124" s="9">
        <f t="shared" si="1119"/>
        <v>1436551.93</v>
      </c>
      <c r="K2124" s="8"/>
      <c r="L2124" s="8"/>
      <c r="M2124" s="9">
        <f t="shared" si="1126"/>
        <v>1436551.93</v>
      </c>
      <c r="N2124" s="8"/>
      <c r="O2124" s="9"/>
      <c r="P2124" s="9">
        <f t="shared" si="1127"/>
        <v>0</v>
      </c>
      <c r="Q2124" s="9">
        <f t="shared" si="1120"/>
        <v>1436551.93</v>
      </c>
      <c r="R2124" s="8"/>
      <c r="S2124" s="8"/>
      <c r="T2124" s="8"/>
      <c r="U2124" s="18">
        <f t="shared" si="1121"/>
        <v>0</v>
      </c>
      <c r="V2124" s="17"/>
      <c r="W2124" s="17"/>
      <c r="X2124" s="9">
        <f t="shared" si="1122"/>
        <v>1436551.93</v>
      </c>
      <c r="Y2124" s="8"/>
      <c r="Z2124" s="9">
        <f t="shared" si="1123"/>
        <v>0</v>
      </c>
      <c r="AA2124" s="8">
        <f t="shared" si="1124"/>
        <v>1436551.93</v>
      </c>
      <c r="AB2124" s="8">
        <f t="shared" si="1125"/>
        <v>0</v>
      </c>
    </row>
    <row r="2125" spans="1:28" x14ac:dyDescent="0.3">
      <c r="A2125" s="64"/>
      <c r="B2125" s="8"/>
      <c r="C2125" s="7" t="s">
        <v>805</v>
      </c>
      <c r="D2125" s="15" t="s">
        <v>85</v>
      </c>
      <c r="E2125" s="9">
        <f>7322222+677778</f>
        <v>8000000</v>
      </c>
      <c r="F2125" s="9">
        <f>4023000+2131044.32+1550932.45</f>
        <v>7704976.7700000005</v>
      </c>
      <c r="G2125" s="8"/>
      <c r="H2125" s="9">
        <f t="shared" si="1118"/>
        <v>7704976.7700000005</v>
      </c>
      <c r="I2125" s="8"/>
      <c r="J2125" s="9">
        <f t="shared" si="1119"/>
        <v>7704976.7700000005</v>
      </c>
      <c r="K2125" s="8"/>
      <c r="L2125" s="8"/>
      <c r="M2125" s="9">
        <f t="shared" si="1126"/>
        <v>7704976.7700000005</v>
      </c>
      <c r="N2125" s="8"/>
      <c r="O2125" s="9"/>
      <c r="P2125" s="9">
        <f t="shared" si="1127"/>
        <v>0</v>
      </c>
      <c r="Q2125" s="9">
        <f t="shared" si="1120"/>
        <v>8000000</v>
      </c>
      <c r="R2125" s="8"/>
      <c r="S2125" s="8"/>
      <c r="T2125" s="8"/>
      <c r="U2125" s="18">
        <f t="shared" si="1121"/>
        <v>0</v>
      </c>
      <c r="V2125" s="17"/>
      <c r="W2125" s="17"/>
      <c r="X2125" s="9">
        <f t="shared" si="1122"/>
        <v>7704976.7700000005</v>
      </c>
      <c r="Y2125" s="8"/>
      <c r="Z2125" s="9">
        <f t="shared" si="1123"/>
        <v>295023.22999999952</v>
      </c>
      <c r="AA2125" s="8">
        <f t="shared" si="1124"/>
        <v>7704976.7700000005</v>
      </c>
      <c r="AB2125" s="8">
        <f t="shared" si="1125"/>
        <v>295023.22999999952</v>
      </c>
    </row>
    <row r="2126" spans="1:28" x14ac:dyDescent="0.3">
      <c r="A2126" s="64"/>
      <c r="B2126" s="8"/>
      <c r="C2126" s="7" t="s">
        <v>535</v>
      </c>
      <c r="D2126" s="15" t="s">
        <v>88</v>
      </c>
      <c r="E2126" s="9">
        <f>1967579.18+1100000+1225857+2584214</f>
        <v>6877650.1799999997</v>
      </c>
      <c r="F2126" s="9">
        <f>1967579.18+1100000+1225857+2584214</f>
        <v>6877650.1799999997</v>
      </c>
      <c r="G2126" s="8"/>
      <c r="H2126" s="9">
        <f t="shared" si="1118"/>
        <v>6877650.1799999997</v>
      </c>
      <c r="I2126" s="8"/>
      <c r="J2126" s="9">
        <f t="shared" si="1119"/>
        <v>6877650.1799999997</v>
      </c>
      <c r="K2126" s="8"/>
      <c r="L2126" s="8"/>
      <c r="M2126" s="9">
        <f t="shared" si="1126"/>
        <v>6877650.1799999997</v>
      </c>
      <c r="N2126" s="8"/>
      <c r="O2126" s="9"/>
      <c r="P2126" s="9">
        <f t="shared" si="1127"/>
        <v>0</v>
      </c>
      <c r="Q2126" s="9">
        <f t="shared" si="1120"/>
        <v>6877650.1799999997</v>
      </c>
      <c r="R2126" s="8"/>
      <c r="S2126" s="8"/>
      <c r="T2126" s="8"/>
      <c r="U2126" s="18">
        <f t="shared" si="1121"/>
        <v>0</v>
      </c>
      <c r="V2126" s="17"/>
      <c r="W2126" s="17"/>
      <c r="X2126" s="9">
        <f t="shared" si="1122"/>
        <v>6877650.1799999997</v>
      </c>
      <c r="Y2126" s="8"/>
      <c r="Z2126" s="9">
        <f t="shared" si="1123"/>
        <v>0</v>
      </c>
      <c r="AA2126" s="8">
        <f t="shared" si="1124"/>
        <v>6877650.1799999997</v>
      </c>
      <c r="AB2126" s="8">
        <f t="shared" si="1125"/>
        <v>0</v>
      </c>
    </row>
    <row r="2127" spans="1:28" x14ac:dyDescent="0.3">
      <c r="A2127" s="64"/>
      <c r="B2127" s="8"/>
      <c r="C2127" s="7" t="s">
        <v>535</v>
      </c>
      <c r="D2127" s="15" t="s">
        <v>108</v>
      </c>
      <c r="E2127" s="9">
        <v>985214.13</v>
      </c>
      <c r="F2127" s="9">
        <v>985214.13</v>
      </c>
      <c r="G2127" s="8"/>
      <c r="H2127" s="9">
        <f t="shared" si="1118"/>
        <v>985214.13</v>
      </c>
      <c r="I2127" s="8"/>
      <c r="J2127" s="9">
        <f t="shared" si="1119"/>
        <v>985214.13</v>
      </c>
      <c r="K2127" s="8"/>
      <c r="L2127" s="8"/>
      <c r="M2127" s="9">
        <f t="shared" si="1126"/>
        <v>985214.13</v>
      </c>
      <c r="N2127" s="8"/>
      <c r="O2127" s="9"/>
      <c r="P2127" s="9">
        <f t="shared" si="1127"/>
        <v>0</v>
      </c>
      <c r="Q2127" s="9">
        <f t="shared" si="1120"/>
        <v>985214.13</v>
      </c>
      <c r="R2127" s="8"/>
      <c r="S2127" s="8"/>
      <c r="T2127" s="8"/>
      <c r="U2127" s="18">
        <f t="shared" si="1121"/>
        <v>0</v>
      </c>
      <c r="V2127" s="17"/>
      <c r="W2127" s="17"/>
      <c r="X2127" s="9">
        <f t="shared" si="1122"/>
        <v>985214.13</v>
      </c>
      <c r="Y2127" s="8"/>
      <c r="Z2127" s="9">
        <f t="shared" si="1123"/>
        <v>0</v>
      </c>
      <c r="AA2127" s="8">
        <f t="shared" si="1124"/>
        <v>985214.13</v>
      </c>
      <c r="AB2127" s="8">
        <f t="shared" si="1125"/>
        <v>0</v>
      </c>
    </row>
    <row r="2128" spans="1:28" x14ac:dyDescent="0.3">
      <c r="A2128" s="64"/>
      <c r="B2128" s="7" t="s">
        <v>806</v>
      </c>
      <c r="C2128" s="7" t="s">
        <v>535</v>
      </c>
      <c r="D2128" s="15" t="s">
        <v>108</v>
      </c>
      <c r="E2128" s="9">
        <v>3048830</v>
      </c>
      <c r="F2128" s="9">
        <v>3048830</v>
      </c>
      <c r="G2128" s="8"/>
      <c r="H2128" s="9">
        <f t="shared" si="1118"/>
        <v>3048830</v>
      </c>
      <c r="I2128" s="8"/>
      <c r="J2128" s="9">
        <f t="shared" si="1119"/>
        <v>3048830</v>
      </c>
      <c r="K2128" s="8"/>
      <c r="L2128" s="8"/>
      <c r="M2128" s="9">
        <f t="shared" si="1126"/>
        <v>3048830</v>
      </c>
      <c r="N2128" s="8"/>
      <c r="O2128" s="9"/>
      <c r="P2128" s="9">
        <f t="shared" si="1127"/>
        <v>0</v>
      </c>
      <c r="Q2128" s="9">
        <f t="shared" si="1120"/>
        <v>3048830</v>
      </c>
      <c r="R2128" s="8"/>
      <c r="S2128" s="8"/>
      <c r="T2128" s="8"/>
      <c r="U2128" s="18">
        <f t="shared" si="1121"/>
        <v>0</v>
      </c>
      <c r="V2128" s="17"/>
      <c r="W2128" s="17"/>
      <c r="X2128" s="9">
        <f t="shared" si="1122"/>
        <v>3048830</v>
      </c>
      <c r="Y2128" s="8"/>
      <c r="Z2128" s="9">
        <f t="shared" si="1123"/>
        <v>0</v>
      </c>
      <c r="AA2128" s="8">
        <f t="shared" si="1124"/>
        <v>3048830</v>
      </c>
      <c r="AB2128" s="8">
        <f t="shared" si="1125"/>
        <v>0</v>
      </c>
    </row>
    <row r="2129" spans="1:28" x14ac:dyDescent="0.3">
      <c r="A2129" s="64"/>
      <c r="B2129" s="8"/>
      <c r="C2129" s="7" t="s">
        <v>807</v>
      </c>
      <c r="D2129" s="15" t="s">
        <v>108</v>
      </c>
      <c r="E2129" s="9">
        <v>1700000</v>
      </c>
      <c r="F2129" s="9">
        <v>1700000</v>
      </c>
      <c r="G2129" s="8"/>
      <c r="H2129" s="9">
        <f t="shared" si="1118"/>
        <v>1700000</v>
      </c>
      <c r="I2129" s="8"/>
      <c r="J2129" s="9">
        <f t="shared" si="1119"/>
        <v>1700000</v>
      </c>
      <c r="K2129" s="8"/>
      <c r="L2129" s="8"/>
      <c r="M2129" s="9">
        <f t="shared" si="1126"/>
        <v>1700000</v>
      </c>
      <c r="N2129" s="8"/>
      <c r="O2129" s="9"/>
      <c r="P2129" s="9">
        <f t="shared" si="1127"/>
        <v>0</v>
      </c>
      <c r="Q2129" s="9">
        <f t="shared" si="1120"/>
        <v>1700000</v>
      </c>
      <c r="R2129" s="8"/>
      <c r="S2129" s="8"/>
      <c r="T2129" s="8"/>
      <c r="U2129" s="18">
        <f t="shared" si="1121"/>
        <v>0</v>
      </c>
      <c r="V2129" s="17"/>
      <c r="W2129" s="17"/>
      <c r="X2129" s="9">
        <f t="shared" si="1122"/>
        <v>1700000</v>
      </c>
      <c r="Y2129" s="8"/>
      <c r="Z2129" s="9">
        <f t="shared" si="1123"/>
        <v>0</v>
      </c>
      <c r="AA2129" s="8">
        <f t="shared" si="1124"/>
        <v>1700000</v>
      </c>
      <c r="AB2129" s="8">
        <f t="shared" si="1125"/>
        <v>0</v>
      </c>
    </row>
    <row r="2130" spans="1:28" x14ac:dyDescent="0.3">
      <c r="A2130" s="64"/>
      <c r="B2130" s="8"/>
      <c r="C2130" s="7" t="s">
        <v>535</v>
      </c>
      <c r="D2130" s="15" t="s">
        <v>58</v>
      </c>
      <c r="E2130" s="9">
        <f>2281910+1988566+6202827.13+3013127</f>
        <v>13486430.129999999</v>
      </c>
      <c r="F2130" s="9">
        <v>13486430.130000001</v>
      </c>
      <c r="G2130" s="8"/>
      <c r="H2130" s="9">
        <f t="shared" si="1118"/>
        <v>13486430.130000001</v>
      </c>
      <c r="I2130" s="8"/>
      <c r="J2130" s="9">
        <f t="shared" si="1119"/>
        <v>13486430.130000001</v>
      </c>
      <c r="K2130" s="8"/>
      <c r="L2130" s="8"/>
      <c r="M2130" s="9">
        <f t="shared" si="1126"/>
        <v>13486430.130000001</v>
      </c>
      <c r="N2130" s="8"/>
      <c r="O2130" s="9"/>
      <c r="P2130" s="9">
        <f t="shared" si="1127"/>
        <v>0</v>
      </c>
      <c r="Q2130" s="9">
        <f t="shared" si="1120"/>
        <v>13486430.129999999</v>
      </c>
      <c r="R2130" s="8"/>
      <c r="S2130" s="8"/>
      <c r="T2130" s="8"/>
      <c r="U2130" s="18">
        <f t="shared" si="1121"/>
        <v>0</v>
      </c>
      <c r="V2130" s="17"/>
      <c r="W2130" s="17"/>
      <c r="X2130" s="9">
        <f t="shared" si="1122"/>
        <v>13486430.130000001</v>
      </c>
      <c r="Y2130" s="8"/>
      <c r="Z2130" s="9">
        <f t="shared" si="1123"/>
        <v>0</v>
      </c>
      <c r="AA2130" s="8">
        <f t="shared" si="1124"/>
        <v>13486430.130000001</v>
      </c>
      <c r="AB2130" s="8">
        <f t="shared" si="1125"/>
        <v>0</v>
      </c>
    </row>
    <row r="2131" spans="1:28" x14ac:dyDescent="0.3">
      <c r="A2131" s="64"/>
      <c r="B2131" s="8"/>
      <c r="C2131" s="7" t="s">
        <v>535</v>
      </c>
      <c r="D2131" s="15" t="s">
        <v>60</v>
      </c>
      <c r="E2131" s="9">
        <f>5000000+4621782.15+3630532</f>
        <v>13252314.15</v>
      </c>
      <c r="F2131" s="9">
        <f>5000000+4621782.15+3630532</f>
        <v>13252314.15</v>
      </c>
      <c r="G2131" s="8"/>
      <c r="H2131" s="9">
        <f t="shared" si="1118"/>
        <v>13252314.15</v>
      </c>
      <c r="I2131" s="8"/>
      <c r="J2131" s="9">
        <f t="shared" si="1119"/>
        <v>13252314.15</v>
      </c>
      <c r="K2131" s="8"/>
      <c r="L2131" s="8"/>
      <c r="M2131" s="9">
        <f t="shared" si="1126"/>
        <v>13252314.15</v>
      </c>
      <c r="N2131" s="8"/>
      <c r="O2131" s="9"/>
      <c r="P2131" s="9">
        <f t="shared" si="1127"/>
        <v>0</v>
      </c>
      <c r="Q2131" s="9">
        <f t="shared" si="1120"/>
        <v>13252314.15</v>
      </c>
      <c r="R2131" s="8"/>
      <c r="S2131" s="8"/>
      <c r="T2131" s="8"/>
      <c r="U2131" s="18">
        <f t="shared" si="1121"/>
        <v>0</v>
      </c>
      <c r="V2131" s="17"/>
      <c r="W2131" s="17"/>
      <c r="X2131" s="9">
        <f t="shared" si="1122"/>
        <v>13252314.15</v>
      </c>
      <c r="Y2131" s="8"/>
      <c r="Z2131" s="9">
        <f t="shared" si="1123"/>
        <v>0</v>
      </c>
      <c r="AA2131" s="8">
        <f t="shared" si="1124"/>
        <v>13252314.15</v>
      </c>
      <c r="AB2131" s="8">
        <f t="shared" si="1125"/>
        <v>0</v>
      </c>
    </row>
    <row r="2132" spans="1:28" x14ac:dyDescent="0.3">
      <c r="A2132" s="64"/>
      <c r="B2132" s="8"/>
      <c r="C2132" s="14" t="s">
        <v>652</v>
      </c>
      <c r="D2132" s="21" t="s">
        <v>194</v>
      </c>
      <c r="E2132" s="11">
        <v>1527847.27</v>
      </c>
      <c r="F2132" s="11">
        <v>1527847.27</v>
      </c>
      <c r="G2132" s="9"/>
      <c r="H2132" s="9">
        <f t="shared" si="1118"/>
        <v>1527847.27</v>
      </c>
      <c r="I2132" s="8"/>
      <c r="J2132" s="9">
        <f t="shared" si="1119"/>
        <v>1527847.27</v>
      </c>
      <c r="K2132" s="8"/>
      <c r="L2132" s="8"/>
      <c r="M2132" s="9">
        <f t="shared" si="1126"/>
        <v>1527847.27</v>
      </c>
      <c r="N2132" s="8"/>
      <c r="O2132" s="9"/>
      <c r="P2132" s="9">
        <f t="shared" si="1127"/>
        <v>0</v>
      </c>
      <c r="Q2132" s="9">
        <f t="shared" si="1120"/>
        <v>1527847.27</v>
      </c>
      <c r="R2132" s="8"/>
      <c r="S2132" s="8"/>
      <c r="T2132" s="8"/>
      <c r="U2132" s="18">
        <f t="shared" si="1121"/>
        <v>0</v>
      </c>
      <c r="V2132" s="17"/>
      <c r="W2132" s="17"/>
      <c r="X2132" s="9">
        <f t="shared" si="1122"/>
        <v>1527847.27</v>
      </c>
      <c r="Y2132" s="8"/>
      <c r="Z2132" s="9">
        <f t="shared" si="1123"/>
        <v>0</v>
      </c>
      <c r="AA2132" s="8">
        <f t="shared" si="1124"/>
        <v>1527847.27</v>
      </c>
      <c r="AB2132" s="8">
        <f t="shared" si="1125"/>
        <v>0</v>
      </c>
    </row>
    <row r="2133" spans="1:28" x14ac:dyDescent="0.3">
      <c r="A2133" s="64"/>
      <c r="B2133" s="8"/>
      <c r="C2133" s="14" t="s">
        <v>808</v>
      </c>
      <c r="D2133" s="21" t="s">
        <v>194</v>
      </c>
      <c r="E2133" s="11">
        <v>645144.56999999995</v>
      </c>
      <c r="F2133" s="11">
        <v>645144.56999999995</v>
      </c>
      <c r="G2133" s="8"/>
      <c r="H2133" s="9">
        <f t="shared" si="1118"/>
        <v>645144.56999999995</v>
      </c>
      <c r="I2133" s="8"/>
      <c r="J2133" s="9">
        <f t="shared" si="1119"/>
        <v>645144.56999999995</v>
      </c>
      <c r="K2133" s="8"/>
      <c r="L2133" s="8"/>
      <c r="M2133" s="9">
        <f t="shared" si="1126"/>
        <v>645144.56999999995</v>
      </c>
      <c r="N2133" s="8"/>
      <c r="O2133" s="9"/>
      <c r="P2133" s="9">
        <f t="shared" si="1127"/>
        <v>0</v>
      </c>
      <c r="Q2133" s="9">
        <f t="shared" si="1120"/>
        <v>645144.56999999995</v>
      </c>
      <c r="R2133" s="8"/>
      <c r="S2133" s="8"/>
      <c r="T2133" s="8"/>
      <c r="U2133" s="18">
        <f t="shared" si="1121"/>
        <v>0</v>
      </c>
      <c r="V2133" s="17"/>
      <c r="W2133" s="17"/>
      <c r="X2133" s="9">
        <f t="shared" si="1122"/>
        <v>645144.56999999995</v>
      </c>
      <c r="Y2133" s="8"/>
      <c r="Z2133" s="9">
        <f t="shared" si="1123"/>
        <v>0</v>
      </c>
      <c r="AA2133" s="8">
        <f t="shared" si="1124"/>
        <v>645144.56999999995</v>
      </c>
      <c r="AB2133" s="8">
        <f t="shared" si="1125"/>
        <v>0</v>
      </c>
    </row>
    <row r="2134" spans="1:28" x14ac:dyDescent="0.3">
      <c r="A2134" s="64"/>
      <c r="B2134" s="8"/>
      <c r="C2134" s="7" t="s">
        <v>535</v>
      </c>
      <c r="D2134" s="15" t="s">
        <v>73</v>
      </c>
      <c r="E2134" s="9">
        <v>1325240.6200000001</v>
      </c>
      <c r="F2134" s="9">
        <v>1325240.6200000001</v>
      </c>
      <c r="G2134" s="8"/>
      <c r="H2134" s="9">
        <f t="shared" si="1118"/>
        <v>1325240.6200000001</v>
      </c>
      <c r="I2134" s="8"/>
      <c r="J2134" s="9">
        <f t="shared" si="1119"/>
        <v>1325240.6200000001</v>
      </c>
      <c r="K2134" s="8"/>
      <c r="L2134" s="8"/>
      <c r="M2134" s="9">
        <f t="shared" si="1126"/>
        <v>1325240.6200000001</v>
      </c>
      <c r="N2134" s="8"/>
      <c r="O2134" s="9"/>
      <c r="P2134" s="9">
        <f t="shared" si="1127"/>
        <v>0</v>
      </c>
      <c r="Q2134" s="9">
        <f t="shared" si="1120"/>
        <v>1325240.6200000001</v>
      </c>
      <c r="R2134" s="8"/>
      <c r="S2134" s="8"/>
      <c r="T2134" s="8"/>
      <c r="U2134" s="18">
        <f t="shared" si="1121"/>
        <v>0</v>
      </c>
      <c r="V2134" s="17"/>
      <c r="W2134" s="17"/>
      <c r="X2134" s="9">
        <f t="shared" si="1122"/>
        <v>1325240.6200000001</v>
      </c>
      <c r="Y2134" s="8"/>
      <c r="Z2134" s="9">
        <f t="shared" si="1123"/>
        <v>0</v>
      </c>
      <c r="AA2134" s="8">
        <f t="shared" si="1124"/>
        <v>1325240.6200000001</v>
      </c>
      <c r="AB2134" s="8">
        <f t="shared" si="1125"/>
        <v>0</v>
      </c>
    </row>
    <row r="2135" spans="1:28" x14ac:dyDescent="0.3">
      <c r="A2135" s="64"/>
      <c r="B2135" s="8"/>
      <c r="C2135" s="14" t="s">
        <v>621</v>
      </c>
      <c r="D2135" s="21" t="s">
        <v>73</v>
      </c>
      <c r="E2135" s="11">
        <f>3093275+738311.2+2255000</f>
        <v>6086586.2000000002</v>
      </c>
      <c r="F2135" s="11">
        <f>3093275+2993311.2</f>
        <v>6086586.2000000002</v>
      </c>
      <c r="G2135" s="8"/>
      <c r="H2135" s="9">
        <f t="shared" si="1118"/>
        <v>6086586.2000000002</v>
      </c>
      <c r="I2135" s="8"/>
      <c r="J2135" s="9">
        <f t="shared" si="1119"/>
        <v>6086586.2000000002</v>
      </c>
      <c r="K2135" s="8"/>
      <c r="L2135" s="8"/>
      <c r="M2135" s="9">
        <f t="shared" si="1126"/>
        <v>6086586.2000000002</v>
      </c>
      <c r="N2135" s="8"/>
      <c r="O2135" s="9"/>
      <c r="P2135" s="9">
        <f t="shared" si="1127"/>
        <v>0</v>
      </c>
      <c r="Q2135" s="9">
        <f t="shared" si="1120"/>
        <v>6086586.2000000002</v>
      </c>
      <c r="R2135" s="8"/>
      <c r="S2135" s="8"/>
      <c r="T2135" s="8"/>
      <c r="U2135" s="18">
        <f t="shared" si="1121"/>
        <v>0</v>
      </c>
      <c r="V2135" s="17"/>
      <c r="W2135" s="17"/>
      <c r="X2135" s="9">
        <f t="shared" si="1122"/>
        <v>6086586.2000000002</v>
      </c>
      <c r="Y2135" s="8"/>
      <c r="Z2135" s="9">
        <f t="shared" si="1123"/>
        <v>0</v>
      </c>
      <c r="AA2135" s="8">
        <f t="shared" si="1124"/>
        <v>6086586.2000000002</v>
      </c>
      <c r="AB2135" s="8">
        <f t="shared" si="1125"/>
        <v>0</v>
      </c>
    </row>
    <row r="2136" spans="1:28" x14ac:dyDescent="0.3">
      <c r="A2136" s="64"/>
      <c r="B2136" s="8"/>
      <c r="C2136" s="7" t="s">
        <v>535</v>
      </c>
      <c r="D2136" s="15" t="s">
        <v>61</v>
      </c>
      <c r="E2136" s="11">
        <v>495347.32</v>
      </c>
      <c r="F2136" s="11">
        <v>495347.32</v>
      </c>
      <c r="G2136" s="8"/>
      <c r="H2136" s="9">
        <f t="shared" si="1118"/>
        <v>495347.32</v>
      </c>
      <c r="I2136" s="8"/>
      <c r="J2136" s="9">
        <f t="shared" si="1119"/>
        <v>495347.32</v>
      </c>
      <c r="K2136" s="8"/>
      <c r="L2136" s="8"/>
      <c r="M2136" s="9">
        <f t="shared" si="1126"/>
        <v>495347.32</v>
      </c>
      <c r="N2136" s="8"/>
      <c r="O2136" s="9"/>
      <c r="P2136" s="9">
        <f t="shared" si="1127"/>
        <v>0</v>
      </c>
      <c r="Q2136" s="9">
        <f t="shared" si="1120"/>
        <v>495347.32</v>
      </c>
      <c r="R2136" s="8"/>
      <c r="S2136" s="8"/>
      <c r="T2136" s="8"/>
      <c r="U2136" s="18">
        <f t="shared" si="1121"/>
        <v>0</v>
      </c>
      <c r="V2136" s="17"/>
      <c r="W2136" s="17"/>
      <c r="X2136" s="9">
        <f t="shared" si="1122"/>
        <v>495347.32</v>
      </c>
      <c r="Y2136" s="8"/>
      <c r="Z2136" s="9">
        <f t="shared" si="1123"/>
        <v>0</v>
      </c>
      <c r="AA2136" s="8">
        <f t="shared" si="1124"/>
        <v>495347.32</v>
      </c>
      <c r="AB2136" s="8">
        <f t="shared" si="1125"/>
        <v>0</v>
      </c>
    </row>
    <row r="2137" spans="1:28" x14ac:dyDescent="0.3">
      <c r="A2137" s="64"/>
      <c r="B2137" s="8"/>
      <c r="C2137" s="13" t="s">
        <v>933</v>
      </c>
      <c r="D2137" s="16" t="s">
        <v>1072</v>
      </c>
      <c r="E2137" s="11">
        <f>1307873.7</f>
        <v>1307873.7</v>
      </c>
      <c r="F2137" s="11">
        <v>1307873.7</v>
      </c>
      <c r="G2137" s="8"/>
      <c r="H2137" s="9">
        <f>+F2137+G2137</f>
        <v>1307873.7</v>
      </c>
      <c r="I2137" s="8"/>
      <c r="J2137" s="9">
        <f t="shared" si="1119"/>
        <v>1307873.7</v>
      </c>
      <c r="K2137" s="8"/>
      <c r="L2137" s="8"/>
      <c r="M2137" s="9">
        <f t="shared" si="1126"/>
        <v>1307873.7</v>
      </c>
      <c r="N2137" s="8"/>
      <c r="O2137" s="9"/>
      <c r="P2137" s="9">
        <f>+N2137+O2137</f>
        <v>0</v>
      </c>
      <c r="Q2137" s="9">
        <f t="shared" si="1120"/>
        <v>1307873.7</v>
      </c>
      <c r="R2137" s="8"/>
      <c r="S2137" s="8"/>
      <c r="T2137" s="8"/>
      <c r="U2137" s="18">
        <f t="shared" si="1121"/>
        <v>0</v>
      </c>
      <c r="V2137" s="17"/>
      <c r="W2137" s="17"/>
      <c r="X2137" s="9">
        <f t="shared" si="1122"/>
        <v>1307873.7</v>
      </c>
      <c r="Y2137" s="8"/>
      <c r="Z2137" s="9">
        <f t="shared" si="1123"/>
        <v>0</v>
      </c>
      <c r="AA2137" s="8">
        <f t="shared" si="1124"/>
        <v>1307873.7</v>
      </c>
      <c r="AB2137" s="8">
        <f t="shared" si="1125"/>
        <v>0</v>
      </c>
    </row>
    <row r="2138" spans="1:28" x14ac:dyDescent="0.3">
      <c r="A2138" s="64"/>
      <c r="B2138" s="8"/>
      <c r="C2138" s="13" t="s">
        <v>1133</v>
      </c>
      <c r="D2138" s="16" t="s">
        <v>1126</v>
      </c>
      <c r="E2138" s="11">
        <v>2000000</v>
      </c>
      <c r="F2138" s="11">
        <v>2000000</v>
      </c>
      <c r="G2138" s="8"/>
      <c r="H2138" s="9">
        <f>+F2138+G2138</f>
        <v>2000000</v>
      </c>
      <c r="I2138" s="8"/>
      <c r="J2138" s="9">
        <f t="shared" si="1119"/>
        <v>2000000</v>
      </c>
      <c r="K2138" s="8"/>
      <c r="L2138" s="8"/>
      <c r="M2138" s="9">
        <f t="shared" si="1126"/>
        <v>2000000</v>
      </c>
      <c r="N2138" s="8"/>
      <c r="O2138" s="9"/>
      <c r="P2138" s="9">
        <f>+N2138+O2138</f>
        <v>0</v>
      </c>
      <c r="Q2138" s="9"/>
      <c r="R2138" s="8"/>
      <c r="S2138" s="8"/>
      <c r="T2138" s="8"/>
      <c r="U2138" s="18">
        <f t="shared" si="1121"/>
        <v>0</v>
      </c>
      <c r="V2138" s="17"/>
      <c r="W2138" s="17"/>
      <c r="X2138" s="9">
        <f t="shared" si="1122"/>
        <v>2000000</v>
      </c>
      <c r="Y2138" s="8"/>
      <c r="Z2138" s="9">
        <f t="shared" si="1123"/>
        <v>0</v>
      </c>
      <c r="AA2138" s="8">
        <f t="shared" si="1124"/>
        <v>2000000</v>
      </c>
      <c r="AB2138" s="8">
        <f t="shared" si="1125"/>
        <v>0</v>
      </c>
    </row>
    <row r="2139" spans="1:28" x14ac:dyDescent="0.3">
      <c r="A2139" s="64"/>
      <c r="B2139" s="8"/>
      <c r="C2139" s="7" t="s">
        <v>598</v>
      </c>
      <c r="D2139" s="8"/>
      <c r="E2139" s="9">
        <v>874390.57</v>
      </c>
      <c r="F2139" s="9">
        <f>776038.57+98352</f>
        <v>874390.57</v>
      </c>
      <c r="G2139" s="8"/>
      <c r="H2139" s="9">
        <f t="shared" si="1118"/>
        <v>874390.57</v>
      </c>
      <c r="I2139" s="8"/>
      <c r="J2139" s="9">
        <f t="shared" si="1119"/>
        <v>874390.57</v>
      </c>
      <c r="K2139" s="8"/>
      <c r="L2139" s="8"/>
      <c r="M2139" s="9">
        <f t="shared" si="1126"/>
        <v>874390.57</v>
      </c>
      <c r="N2139" s="8"/>
      <c r="O2139" s="9"/>
      <c r="P2139" s="9">
        <f t="shared" si="1127"/>
        <v>0</v>
      </c>
      <c r="Q2139" s="9">
        <f t="shared" si="1120"/>
        <v>874390.57</v>
      </c>
      <c r="R2139" s="8"/>
      <c r="S2139" s="8"/>
      <c r="T2139" s="8"/>
      <c r="U2139" s="18">
        <f t="shared" si="1121"/>
        <v>0</v>
      </c>
      <c r="V2139" s="17"/>
      <c r="W2139" s="17"/>
      <c r="X2139" s="9">
        <f t="shared" si="1122"/>
        <v>874390.57</v>
      </c>
      <c r="Y2139" s="8"/>
      <c r="Z2139" s="9">
        <f t="shared" si="1123"/>
        <v>0</v>
      </c>
      <c r="AA2139" s="8">
        <f t="shared" si="1124"/>
        <v>874390.57</v>
      </c>
      <c r="AB2139" s="8">
        <f t="shared" si="1125"/>
        <v>0</v>
      </c>
    </row>
    <row r="2140" spans="1:28" x14ac:dyDescent="0.3">
      <c r="A2140" s="64"/>
      <c r="B2140" s="8"/>
      <c r="C2140" s="7" t="s">
        <v>606</v>
      </c>
      <c r="D2140" s="8"/>
      <c r="E2140" s="9">
        <f>5000000+2500000-2500000</f>
        <v>5000000</v>
      </c>
      <c r="F2140" s="9">
        <f>7500000-2500000</f>
        <v>5000000</v>
      </c>
      <c r="G2140" s="8"/>
      <c r="H2140" s="9">
        <f t="shared" si="1118"/>
        <v>5000000</v>
      </c>
      <c r="I2140" s="8"/>
      <c r="J2140" s="9">
        <f t="shared" si="1119"/>
        <v>5000000</v>
      </c>
      <c r="K2140" s="8"/>
      <c r="L2140" s="8"/>
      <c r="M2140" s="9">
        <f t="shared" si="1126"/>
        <v>5000000</v>
      </c>
      <c r="N2140" s="8"/>
      <c r="O2140" s="9"/>
      <c r="P2140" s="9">
        <f t="shared" si="1127"/>
        <v>0</v>
      </c>
      <c r="Q2140" s="9">
        <f t="shared" si="1120"/>
        <v>5000000</v>
      </c>
      <c r="R2140" s="8"/>
      <c r="S2140" s="8"/>
      <c r="T2140" s="8"/>
      <c r="U2140" s="18">
        <f t="shared" si="1121"/>
        <v>0</v>
      </c>
      <c r="V2140" s="17"/>
      <c r="W2140" s="17"/>
      <c r="X2140" s="9">
        <f t="shared" si="1122"/>
        <v>5000000</v>
      </c>
      <c r="Y2140" s="8"/>
      <c r="Z2140" s="9">
        <f t="shared" si="1123"/>
        <v>0</v>
      </c>
      <c r="AA2140" s="8">
        <f t="shared" si="1124"/>
        <v>5000000</v>
      </c>
      <c r="AB2140" s="8">
        <f t="shared" si="1125"/>
        <v>0</v>
      </c>
    </row>
    <row r="2141" spans="1:28" x14ac:dyDescent="0.3">
      <c r="A2141" s="64"/>
      <c r="B2141" s="8"/>
      <c r="C2141" s="8"/>
      <c r="D2141" s="8"/>
      <c r="E2141" s="17" t="s">
        <v>29</v>
      </c>
      <c r="F2141" s="17" t="s">
        <v>29</v>
      </c>
      <c r="G2141" s="17" t="s">
        <v>29</v>
      </c>
      <c r="H2141" s="17" t="s">
        <v>29</v>
      </c>
      <c r="I2141" s="17" t="s">
        <v>29</v>
      </c>
      <c r="J2141" s="17" t="s">
        <v>29</v>
      </c>
      <c r="K2141" s="17" t="s">
        <v>29</v>
      </c>
      <c r="L2141" s="17" t="s">
        <v>29</v>
      </c>
      <c r="M2141" s="17" t="s">
        <v>29</v>
      </c>
      <c r="N2141" s="17" t="s">
        <v>29</v>
      </c>
      <c r="O2141" s="17" t="s">
        <v>29</v>
      </c>
      <c r="P2141" s="17" t="s">
        <v>29</v>
      </c>
      <c r="Q2141" s="17" t="s">
        <v>29</v>
      </c>
      <c r="R2141" s="17" t="s">
        <v>29</v>
      </c>
      <c r="S2141" s="17" t="s">
        <v>29</v>
      </c>
      <c r="T2141" s="17" t="s">
        <v>29</v>
      </c>
      <c r="U2141" s="17" t="s">
        <v>29</v>
      </c>
      <c r="V2141" s="17" t="s">
        <v>29</v>
      </c>
      <c r="W2141" s="17" t="s">
        <v>29</v>
      </c>
      <c r="X2141" s="17" t="s">
        <v>29</v>
      </c>
      <c r="Y2141" s="17" t="s">
        <v>29</v>
      </c>
      <c r="Z2141" s="17" t="s">
        <v>29</v>
      </c>
      <c r="AA2141" s="17" t="s">
        <v>29</v>
      </c>
      <c r="AB2141" s="17" t="s">
        <v>29</v>
      </c>
    </row>
    <row r="2142" spans="1:28" x14ac:dyDescent="0.3">
      <c r="A2142" s="64"/>
      <c r="B2142" s="8"/>
      <c r="C2142" s="8"/>
      <c r="D2142" s="8"/>
      <c r="E2142" s="9">
        <f t="shared" ref="E2142:Q2142" si="1128">SUM(E2119:E2141)</f>
        <v>76737175.389999986</v>
      </c>
      <c r="F2142" s="9">
        <f t="shared" si="1128"/>
        <v>73532817.539999992</v>
      </c>
      <c r="G2142" s="9">
        <f t="shared" si="1128"/>
        <v>0</v>
      </c>
      <c r="H2142" s="9">
        <f t="shared" si="1128"/>
        <v>73532817.539999992</v>
      </c>
      <c r="I2142" s="9">
        <f t="shared" si="1128"/>
        <v>0</v>
      </c>
      <c r="J2142" s="9">
        <f t="shared" si="1128"/>
        <v>73532817.539999992</v>
      </c>
      <c r="K2142" s="9">
        <f t="shared" si="1128"/>
        <v>2909334.62</v>
      </c>
      <c r="L2142" s="9">
        <f t="shared" si="1128"/>
        <v>0</v>
      </c>
      <c r="M2142" s="9">
        <f t="shared" si="1128"/>
        <v>73532817.539999992</v>
      </c>
      <c r="N2142" s="9">
        <f t="shared" si="1128"/>
        <v>2909334.62</v>
      </c>
      <c r="O2142" s="9">
        <f t="shared" si="1128"/>
        <v>0</v>
      </c>
      <c r="P2142" s="9">
        <f t="shared" si="1128"/>
        <v>2909334.62</v>
      </c>
      <c r="Q2142" s="9">
        <f t="shared" si="1128"/>
        <v>71827840.770000011</v>
      </c>
      <c r="R2142" s="8"/>
      <c r="S2142" s="8"/>
      <c r="T2142" s="9">
        <f t="shared" ref="T2142:Z2142" si="1129">SUM(T2119:T2141)</f>
        <v>0</v>
      </c>
      <c r="U2142" s="9">
        <f t="shared" si="1129"/>
        <v>2909334.62</v>
      </c>
      <c r="V2142" s="9">
        <f t="shared" si="1129"/>
        <v>0</v>
      </c>
      <c r="W2142" s="9">
        <f t="shared" si="1129"/>
        <v>0</v>
      </c>
      <c r="X2142" s="9">
        <f t="shared" si="1129"/>
        <v>76442152.159999996</v>
      </c>
      <c r="Y2142" s="9">
        <f t="shared" si="1129"/>
        <v>0</v>
      </c>
      <c r="Z2142" s="9">
        <f t="shared" si="1129"/>
        <v>295023.22999999952</v>
      </c>
      <c r="AA2142" s="9">
        <f>SUM(AA2119:AA2141)</f>
        <v>76442152.159999996</v>
      </c>
      <c r="AB2142" s="9">
        <f>SUM(AB2119:AB2141)</f>
        <v>295023.22999999952</v>
      </c>
    </row>
    <row r="2143" spans="1:28" x14ac:dyDescent="0.3">
      <c r="A2143" s="64"/>
      <c r="B2143" s="8"/>
      <c r="C2143" s="8"/>
      <c r="D2143" s="8"/>
      <c r="E2143" s="17" t="s">
        <v>29</v>
      </c>
      <c r="F2143" s="17" t="s">
        <v>29</v>
      </c>
      <c r="G2143" s="17" t="s">
        <v>29</v>
      </c>
      <c r="H2143" s="17" t="s">
        <v>29</v>
      </c>
      <c r="I2143" s="17" t="s">
        <v>29</v>
      </c>
      <c r="J2143" s="17" t="s">
        <v>29</v>
      </c>
      <c r="K2143" s="17" t="s">
        <v>29</v>
      </c>
      <c r="L2143" s="17" t="s">
        <v>29</v>
      </c>
      <c r="M2143" s="17" t="s">
        <v>29</v>
      </c>
      <c r="N2143" s="17" t="s">
        <v>29</v>
      </c>
      <c r="O2143" s="17" t="s">
        <v>29</v>
      </c>
      <c r="P2143" s="17" t="s">
        <v>29</v>
      </c>
      <c r="Q2143" s="17" t="s">
        <v>29</v>
      </c>
      <c r="R2143" s="17" t="s">
        <v>29</v>
      </c>
      <c r="S2143" s="17" t="s">
        <v>29</v>
      </c>
      <c r="T2143" s="17" t="s">
        <v>29</v>
      </c>
      <c r="U2143" s="17" t="s">
        <v>29</v>
      </c>
      <c r="V2143" s="17" t="s">
        <v>29</v>
      </c>
      <c r="W2143" s="17" t="s">
        <v>29</v>
      </c>
      <c r="X2143" s="17" t="s">
        <v>29</v>
      </c>
      <c r="Y2143" s="17" t="s">
        <v>29</v>
      </c>
      <c r="Z2143" s="17" t="s">
        <v>29</v>
      </c>
      <c r="AA2143" s="17" t="s">
        <v>29</v>
      </c>
      <c r="AB2143" s="17" t="s">
        <v>29</v>
      </c>
    </row>
    <row r="2144" spans="1:28" x14ac:dyDescent="0.3">
      <c r="A2144" s="63" t="s">
        <v>1030</v>
      </c>
      <c r="B2144" s="7" t="s">
        <v>809</v>
      </c>
      <c r="C2144" s="8"/>
      <c r="D2144" s="8"/>
      <c r="E2144" s="8"/>
      <c r="F2144" s="8"/>
      <c r="G2144" s="8"/>
      <c r="H2144" s="8"/>
      <c r="I2144" s="8"/>
      <c r="J2144" s="8"/>
      <c r="K2144" s="8"/>
      <c r="L2144" s="8"/>
      <c r="M2144" s="8"/>
      <c r="N2144" s="8"/>
      <c r="O2144" s="8"/>
      <c r="P2144" s="8"/>
      <c r="Q2144" s="8"/>
      <c r="R2144" s="8"/>
      <c r="S2144" s="8"/>
      <c r="T2144" s="8"/>
      <c r="U2144" s="8"/>
      <c r="V2144" s="8"/>
      <c r="W2144" s="8"/>
      <c r="X2144" s="8"/>
      <c r="Y2144" s="8"/>
      <c r="Z2144" s="8"/>
    </row>
    <row r="2145" spans="1:28" x14ac:dyDescent="0.3">
      <c r="A2145" s="64"/>
      <c r="B2145" s="8"/>
      <c r="C2145" s="7" t="s">
        <v>810</v>
      </c>
      <c r="D2145" s="15" t="s">
        <v>811</v>
      </c>
      <c r="E2145" s="9">
        <v>1260000</v>
      </c>
      <c r="F2145" s="9">
        <v>1260000</v>
      </c>
      <c r="G2145" s="8"/>
      <c r="H2145" s="9">
        <f t="shared" ref="H2145:H2175" si="1130">F2145+G2145</f>
        <v>1260000</v>
      </c>
      <c r="I2145" s="8"/>
      <c r="J2145" s="9">
        <f t="shared" ref="J2145:J2175" si="1131">H2145+I2145</f>
        <v>1260000</v>
      </c>
      <c r="K2145" s="8"/>
      <c r="L2145" s="8"/>
      <c r="M2145" s="9">
        <f>+H2145+L2145</f>
        <v>1260000</v>
      </c>
      <c r="N2145" s="8"/>
      <c r="O2145" s="9"/>
      <c r="P2145" s="9">
        <f>+N2145+O2145</f>
        <v>0</v>
      </c>
      <c r="Q2145" s="9">
        <f t="shared" ref="Q2145:Q2175" si="1132">E2145-P2145</f>
        <v>1260000</v>
      </c>
      <c r="R2145" s="8"/>
      <c r="S2145" s="8"/>
      <c r="T2145" s="8"/>
      <c r="U2145" s="18">
        <f t="shared" ref="U2145:U2175" si="1133">+P2145+T2145</f>
        <v>0</v>
      </c>
      <c r="V2145" s="17"/>
      <c r="W2145" s="17"/>
      <c r="X2145" s="9">
        <f t="shared" ref="X2145:X2175" si="1134">+H2145+P2145</f>
        <v>1260000</v>
      </c>
      <c r="Y2145" s="8"/>
      <c r="Z2145" s="9">
        <f t="shared" ref="Z2145:Z2175" si="1135">+E2145-X2145</f>
        <v>0</v>
      </c>
      <c r="AA2145" s="8">
        <f t="shared" ref="AA2145:AA2175" si="1136">+M2145+U2145</f>
        <v>1260000</v>
      </c>
      <c r="AB2145" s="8">
        <f t="shared" ref="AB2145:AB2175" si="1137">+E2145-AA2145</f>
        <v>0</v>
      </c>
    </row>
    <row r="2146" spans="1:28" x14ac:dyDescent="0.3">
      <c r="A2146" s="64"/>
      <c r="B2146" s="8"/>
      <c r="C2146" s="7" t="s">
        <v>535</v>
      </c>
      <c r="D2146" s="15" t="s">
        <v>68</v>
      </c>
      <c r="E2146" s="9">
        <f>1200800-529512.48</f>
        <v>671287.52</v>
      </c>
      <c r="F2146" s="9">
        <v>648790.89</v>
      </c>
      <c r="G2146" s="8"/>
      <c r="H2146" s="9">
        <f t="shared" si="1130"/>
        <v>648790.89</v>
      </c>
      <c r="I2146" s="8"/>
      <c r="J2146" s="9">
        <f t="shared" si="1131"/>
        <v>648790.89</v>
      </c>
      <c r="K2146" s="9">
        <f>7047+15372.43+77.2</f>
        <v>22496.63</v>
      </c>
      <c r="L2146" s="8"/>
      <c r="M2146" s="9">
        <f t="shared" ref="M2146:M2175" si="1138">+H2146+L2146</f>
        <v>648790.89</v>
      </c>
      <c r="N2146" s="8">
        <v>22496.63</v>
      </c>
      <c r="O2146" s="9"/>
      <c r="P2146" s="9">
        <f t="shared" ref="P2146:P2175" si="1139">+N2146+O2146</f>
        <v>22496.63</v>
      </c>
      <c r="Q2146" s="9">
        <f t="shared" si="1132"/>
        <v>648790.89</v>
      </c>
      <c r="R2146" s="8"/>
      <c r="S2146" s="8"/>
      <c r="T2146" s="8"/>
      <c r="U2146" s="18">
        <f t="shared" si="1133"/>
        <v>22496.63</v>
      </c>
      <c r="V2146" s="17"/>
      <c r="W2146" s="17"/>
      <c r="X2146" s="9">
        <f t="shared" si="1134"/>
        <v>671287.52</v>
      </c>
      <c r="Y2146" s="8"/>
      <c r="Z2146" s="9">
        <f t="shared" si="1135"/>
        <v>0</v>
      </c>
      <c r="AA2146" s="8">
        <f t="shared" si="1136"/>
        <v>671287.52</v>
      </c>
      <c r="AB2146" s="8">
        <f t="shared" si="1137"/>
        <v>0</v>
      </c>
    </row>
    <row r="2147" spans="1:28" x14ac:dyDescent="0.3">
      <c r="A2147" s="64"/>
      <c r="B2147" s="8"/>
      <c r="C2147" s="7" t="s">
        <v>535</v>
      </c>
      <c r="D2147" s="15" t="s">
        <v>54</v>
      </c>
      <c r="E2147" s="9">
        <f>1625000-81250-383833-176937</f>
        <v>982980</v>
      </c>
      <c r="F2147" s="9">
        <v>982980</v>
      </c>
      <c r="G2147" s="8"/>
      <c r="H2147" s="9">
        <f t="shared" si="1130"/>
        <v>982980</v>
      </c>
      <c r="I2147" s="8"/>
      <c r="J2147" s="9">
        <f t="shared" si="1131"/>
        <v>982980</v>
      </c>
      <c r="K2147" s="8"/>
      <c r="L2147" s="8"/>
      <c r="M2147" s="9">
        <f t="shared" si="1138"/>
        <v>982980</v>
      </c>
      <c r="N2147" s="8"/>
      <c r="O2147" s="9"/>
      <c r="P2147" s="9">
        <f t="shared" si="1139"/>
        <v>0</v>
      </c>
      <c r="Q2147" s="9">
        <f t="shared" si="1132"/>
        <v>982980</v>
      </c>
      <c r="R2147" s="8"/>
      <c r="S2147" s="8"/>
      <c r="T2147" s="8"/>
      <c r="U2147" s="18">
        <f t="shared" si="1133"/>
        <v>0</v>
      </c>
      <c r="V2147" s="17"/>
      <c r="W2147" s="17"/>
      <c r="X2147" s="9">
        <f t="shared" si="1134"/>
        <v>982980</v>
      </c>
      <c r="Y2147" s="8"/>
      <c r="Z2147" s="9">
        <f t="shared" si="1135"/>
        <v>0</v>
      </c>
      <c r="AA2147" s="8">
        <f t="shared" si="1136"/>
        <v>982980</v>
      </c>
      <c r="AB2147" s="8">
        <f t="shared" si="1137"/>
        <v>0</v>
      </c>
    </row>
    <row r="2148" spans="1:28" x14ac:dyDescent="0.3">
      <c r="A2148" s="64"/>
      <c r="B2148" s="8"/>
      <c r="C2148" s="7" t="s">
        <v>545</v>
      </c>
      <c r="D2148" s="15" t="s">
        <v>54</v>
      </c>
      <c r="E2148" s="9">
        <v>1953989</v>
      </c>
      <c r="F2148" s="8"/>
      <c r="G2148" s="8"/>
      <c r="H2148" s="9">
        <f t="shared" si="1130"/>
        <v>0</v>
      </c>
      <c r="I2148" s="8"/>
      <c r="J2148" s="9">
        <f t="shared" si="1131"/>
        <v>0</v>
      </c>
      <c r="K2148" s="9">
        <v>1953989</v>
      </c>
      <c r="L2148" s="8"/>
      <c r="M2148" s="9">
        <f t="shared" si="1138"/>
        <v>0</v>
      </c>
      <c r="N2148" s="8">
        <v>1953989</v>
      </c>
      <c r="O2148" s="9"/>
      <c r="P2148" s="9">
        <f t="shared" si="1139"/>
        <v>1953989</v>
      </c>
      <c r="Q2148" s="9">
        <f t="shared" si="1132"/>
        <v>0</v>
      </c>
      <c r="R2148" s="8"/>
      <c r="S2148" s="8"/>
      <c r="T2148" s="8"/>
      <c r="U2148" s="18">
        <f t="shared" si="1133"/>
        <v>1953989</v>
      </c>
      <c r="V2148" s="17"/>
      <c r="W2148" s="17"/>
      <c r="X2148" s="9">
        <f t="shared" si="1134"/>
        <v>1953989</v>
      </c>
      <c r="Y2148" s="8"/>
      <c r="Z2148" s="9">
        <f t="shared" si="1135"/>
        <v>0</v>
      </c>
      <c r="AA2148" s="8">
        <f t="shared" si="1136"/>
        <v>1953989</v>
      </c>
      <c r="AB2148" s="8">
        <f t="shared" si="1137"/>
        <v>0</v>
      </c>
    </row>
    <row r="2149" spans="1:28" x14ac:dyDescent="0.3">
      <c r="A2149" s="64"/>
      <c r="B2149" s="8"/>
      <c r="C2149" s="7" t="s">
        <v>812</v>
      </c>
      <c r="D2149" s="15" t="s">
        <v>54</v>
      </c>
      <c r="E2149" s="9">
        <f>2250000-112500</f>
        <v>2137500</v>
      </c>
      <c r="F2149" s="9">
        <f>1166609+970891</f>
        <v>2137500</v>
      </c>
      <c r="G2149" s="8"/>
      <c r="H2149" s="9">
        <f t="shared" si="1130"/>
        <v>2137500</v>
      </c>
      <c r="I2149" s="8"/>
      <c r="J2149" s="9">
        <f t="shared" si="1131"/>
        <v>2137500</v>
      </c>
      <c r="K2149" s="8"/>
      <c r="L2149" s="8"/>
      <c r="M2149" s="9">
        <f t="shared" si="1138"/>
        <v>2137500</v>
      </c>
      <c r="N2149" s="8"/>
      <c r="O2149" s="9"/>
      <c r="P2149" s="9">
        <f t="shared" si="1139"/>
        <v>0</v>
      </c>
      <c r="Q2149" s="9">
        <f t="shared" si="1132"/>
        <v>2137500</v>
      </c>
      <c r="R2149" s="8"/>
      <c r="S2149" s="8"/>
      <c r="T2149" s="8"/>
      <c r="U2149" s="18">
        <f t="shared" si="1133"/>
        <v>0</v>
      </c>
      <c r="V2149" s="17"/>
      <c r="W2149" s="17"/>
      <c r="X2149" s="9">
        <f t="shared" si="1134"/>
        <v>2137500</v>
      </c>
      <c r="Y2149" s="8"/>
      <c r="Z2149" s="9">
        <f t="shared" si="1135"/>
        <v>0</v>
      </c>
      <c r="AA2149" s="8">
        <f t="shared" si="1136"/>
        <v>2137500</v>
      </c>
      <c r="AB2149" s="8">
        <f t="shared" si="1137"/>
        <v>0</v>
      </c>
    </row>
    <row r="2150" spans="1:28" x14ac:dyDescent="0.3">
      <c r="A2150" s="64"/>
      <c r="B2150" s="8"/>
      <c r="C2150" s="7" t="s">
        <v>535</v>
      </c>
      <c r="D2150" s="15" t="s">
        <v>85</v>
      </c>
      <c r="E2150" s="9">
        <v>956276</v>
      </c>
      <c r="F2150" s="9">
        <f>869276+87000</f>
        <v>956276</v>
      </c>
      <c r="G2150" s="8"/>
      <c r="H2150" s="9">
        <f t="shared" si="1130"/>
        <v>956276</v>
      </c>
      <c r="I2150" s="8"/>
      <c r="J2150" s="9">
        <f t="shared" si="1131"/>
        <v>956276</v>
      </c>
      <c r="K2150" s="8"/>
      <c r="L2150" s="8"/>
      <c r="M2150" s="9">
        <f t="shared" si="1138"/>
        <v>956276</v>
      </c>
      <c r="N2150" s="8"/>
      <c r="O2150" s="9"/>
      <c r="P2150" s="9">
        <f t="shared" si="1139"/>
        <v>0</v>
      </c>
      <c r="Q2150" s="9">
        <f t="shared" si="1132"/>
        <v>956276</v>
      </c>
      <c r="R2150" s="8"/>
      <c r="S2150" s="8"/>
      <c r="T2150" s="8"/>
      <c r="U2150" s="18">
        <f t="shared" si="1133"/>
        <v>0</v>
      </c>
      <c r="V2150" s="17"/>
      <c r="W2150" s="17"/>
      <c r="X2150" s="9">
        <f t="shared" si="1134"/>
        <v>956276</v>
      </c>
      <c r="Y2150" s="8"/>
      <c r="Z2150" s="9">
        <f t="shared" si="1135"/>
        <v>0</v>
      </c>
      <c r="AA2150" s="8">
        <f t="shared" si="1136"/>
        <v>956276</v>
      </c>
      <c r="AB2150" s="8">
        <f t="shared" si="1137"/>
        <v>0</v>
      </c>
    </row>
    <row r="2151" spans="1:28" x14ac:dyDescent="0.3">
      <c r="A2151" s="64"/>
      <c r="B2151" s="8"/>
      <c r="C2151" s="7" t="s">
        <v>813</v>
      </c>
      <c r="D2151" s="15" t="s">
        <v>85</v>
      </c>
      <c r="E2151" s="9">
        <v>800000</v>
      </c>
      <c r="F2151" s="9">
        <v>800000</v>
      </c>
      <c r="G2151" s="8"/>
      <c r="H2151" s="9">
        <f t="shared" si="1130"/>
        <v>800000</v>
      </c>
      <c r="I2151" s="8"/>
      <c r="J2151" s="9">
        <f t="shared" si="1131"/>
        <v>800000</v>
      </c>
      <c r="K2151" s="8"/>
      <c r="L2151" s="8"/>
      <c r="M2151" s="9">
        <f t="shared" si="1138"/>
        <v>800000</v>
      </c>
      <c r="N2151" s="8"/>
      <c r="O2151" s="9"/>
      <c r="P2151" s="9">
        <f t="shared" si="1139"/>
        <v>0</v>
      </c>
      <c r="Q2151" s="9">
        <f t="shared" si="1132"/>
        <v>800000</v>
      </c>
      <c r="R2151" s="8"/>
      <c r="S2151" s="8"/>
      <c r="T2151" s="8"/>
      <c r="U2151" s="18">
        <f t="shared" si="1133"/>
        <v>0</v>
      </c>
      <c r="V2151" s="17"/>
      <c r="W2151" s="17"/>
      <c r="X2151" s="9">
        <f t="shared" si="1134"/>
        <v>800000</v>
      </c>
      <c r="Y2151" s="8"/>
      <c r="Z2151" s="9">
        <f t="shared" si="1135"/>
        <v>0</v>
      </c>
      <c r="AA2151" s="8">
        <f t="shared" si="1136"/>
        <v>800000</v>
      </c>
      <c r="AB2151" s="8">
        <f t="shared" si="1137"/>
        <v>0</v>
      </c>
    </row>
    <row r="2152" spans="1:28" x14ac:dyDescent="0.3">
      <c r="A2152" s="64"/>
      <c r="B2152" s="8"/>
      <c r="C2152" s="7" t="s">
        <v>727</v>
      </c>
      <c r="D2152" s="15" t="s">
        <v>85</v>
      </c>
      <c r="E2152" s="9">
        <f>120000+120000</f>
        <v>240000</v>
      </c>
      <c r="F2152" s="9">
        <v>240000</v>
      </c>
      <c r="G2152" s="8"/>
      <c r="H2152" s="9">
        <f t="shared" si="1130"/>
        <v>240000</v>
      </c>
      <c r="I2152" s="8"/>
      <c r="J2152" s="9">
        <f t="shared" si="1131"/>
        <v>240000</v>
      </c>
      <c r="K2152" s="8"/>
      <c r="L2152" s="8"/>
      <c r="M2152" s="9">
        <f t="shared" si="1138"/>
        <v>240000</v>
      </c>
      <c r="N2152" s="8"/>
      <c r="O2152" s="9"/>
      <c r="P2152" s="9">
        <f t="shared" si="1139"/>
        <v>0</v>
      </c>
      <c r="Q2152" s="9">
        <f t="shared" si="1132"/>
        <v>240000</v>
      </c>
      <c r="R2152" s="8"/>
      <c r="S2152" s="8"/>
      <c r="T2152" s="8"/>
      <c r="U2152" s="18">
        <f t="shared" si="1133"/>
        <v>0</v>
      </c>
      <c r="V2152" s="17"/>
      <c r="W2152" s="17"/>
      <c r="X2152" s="9">
        <f t="shared" si="1134"/>
        <v>240000</v>
      </c>
      <c r="Y2152" s="8"/>
      <c r="Z2152" s="9">
        <f t="shared" si="1135"/>
        <v>0</v>
      </c>
      <c r="AA2152" s="8">
        <f t="shared" si="1136"/>
        <v>240000</v>
      </c>
      <c r="AB2152" s="8">
        <f t="shared" si="1137"/>
        <v>0</v>
      </c>
    </row>
    <row r="2153" spans="1:28" x14ac:dyDescent="0.3">
      <c r="A2153" s="64"/>
      <c r="B2153" s="8"/>
      <c r="C2153" s="7" t="s">
        <v>814</v>
      </c>
      <c r="D2153" s="15" t="s">
        <v>85</v>
      </c>
      <c r="E2153" s="9">
        <f>240000+160000</f>
        <v>400000</v>
      </c>
      <c r="F2153" s="8"/>
      <c r="G2153" s="8"/>
      <c r="H2153" s="9">
        <f t="shared" si="1130"/>
        <v>0</v>
      </c>
      <c r="I2153" s="9">
        <v>400000</v>
      </c>
      <c r="J2153" s="9">
        <f t="shared" si="1131"/>
        <v>400000</v>
      </c>
      <c r="K2153" s="8"/>
      <c r="L2153" s="8">
        <v>400000</v>
      </c>
      <c r="M2153" s="9">
        <f t="shared" si="1138"/>
        <v>400000</v>
      </c>
      <c r="N2153" s="8"/>
      <c r="O2153" s="9"/>
      <c r="P2153" s="9">
        <f t="shared" si="1139"/>
        <v>0</v>
      </c>
      <c r="Q2153" s="9">
        <f t="shared" si="1132"/>
        <v>400000</v>
      </c>
      <c r="R2153" s="8"/>
      <c r="S2153" s="8"/>
      <c r="T2153" s="8"/>
      <c r="U2153" s="18">
        <f t="shared" si="1133"/>
        <v>0</v>
      </c>
      <c r="V2153" s="17"/>
      <c r="W2153" s="17"/>
      <c r="X2153" s="9">
        <f t="shared" si="1134"/>
        <v>0</v>
      </c>
      <c r="Y2153" s="8"/>
      <c r="Z2153" s="9">
        <f t="shared" si="1135"/>
        <v>400000</v>
      </c>
      <c r="AA2153" s="8">
        <f t="shared" si="1136"/>
        <v>400000</v>
      </c>
      <c r="AB2153" s="8">
        <f t="shared" si="1137"/>
        <v>0</v>
      </c>
    </row>
    <row r="2154" spans="1:28" x14ac:dyDescent="0.3">
      <c r="A2154" s="64"/>
      <c r="B2154" s="7" t="s">
        <v>546</v>
      </c>
      <c r="C2154" s="7" t="s">
        <v>815</v>
      </c>
      <c r="D2154" s="21" t="s">
        <v>128</v>
      </c>
      <c r="E2154" s="9">
        <f>800000-800000</f>
        <v>0</v>
      </c>
      <c r="F2154" s="8"/>
      <c r="G2154" s="8"/>
      <c r="H2154" s="9">
        <f t="shared" si="1130"/>
        <v>0</v>
      </c>
      <c r="I2154" s="8"/>
      <c r="J2154" s="9">
        <f t="shared" si="1131"/>
        <v>0</v>
      </c>
      <c r="K2154" s="8"/>
      <c r="L2154" s="8"/>
      <c r="M2154" s="9">
        <f t="shared" si="1138"/>
        <v>0</v>
      </c>
      <c r="N2154" s="8"/>
      <c r="O2154" s="9"/>
      <c r="P2154" s="9">
        <f t="shared" si="1139"/>
        <v>0</v>
      </c>
      <c r="Q2154" s="9">
        <f t="shared" si="1132"/>
        <v>0</v>
      </c>
      <c r="R2154" s="8"/>
      <c r="S2154" s="8"/>
      <c r="T2154" s="8"/>
      <c r="U2154" s="18">
        <f t="shared" si="1133"/>
        <v>0</v>
      </c>
      <c r="V2154" s="17"/>
      <c r="W2154" s="17"/>
      <c r="X2154" s="9">
        <f t="shared" si="1134"/>
        <v>0</v>
      </c>
      <c r="Y2154" s="8"/>
      <c r="Z2154" s="9">
        <f t="shared" si="1135"/>
        <v>0</v>
      </c>
      <c r="AA2154" s="8">
        <f t="shared" si="1136"/>
        <v>0</v>
      </c>
      <c r="AB2154" s="8">
        <f t="shared" si="1137"/>
        <v>0</v>
      </c>
    </row>
    <row r="2155" spans="1:28" x14ac:dyDescent="0.3">
      <c r="A2155" s="64"/>
      <c r="B2155" s="8"/>
      <c r="C2155" s="7" t="s">
        <v>535</v>
      </c>
      <c r="D2155" s="15" t="s">
        <v>88</v>
      </c>
      <c r="E2155" s="9">
        <f>1966312+1789065</f>
        <v>3755377</v>
      </c>
      <c r="F2155" s="9">
        <v>3755377</v>
      </c>
      <c r="G2155" s="8"/>
      <c r="H2155" s="9">
        <f t="shared" si="1130"/>
        <v>3755377</v>
      </c>
      <c r="I2155" s="8"/>
      <c r="J2155" s="9">
        <f t="shared" si="1131"/>
        <v>3755377</v>
      </c>
      <c r="K2155" s="8"/>
      <c r="L2155" s="8"/>
      <c r="M2155" s="9">
        <f t="shared" si="1138"/>
        <v>3755377</v>
      </c>
      <c r="N2155" s="8"/>
      <c r="O2155" s="9"/>
      <c r="P2155" s="9">
        <f t="shared" si="1139"/>
        <v>0</v>
      </c>
      <c r="Q2155" s="9">
        <f t="shared" si="1132"/>
        <v>3755377</v>
      </c>
      <c r="R2155" s="8"/>
      <c r="S2155" s="8"/>
      <c r="T2155" s="8"/>
      <c r="U2155" s="18">
        <f t="shared" si="1133"/>
        <v>0</v>
      </c>
      <c r="V2155" s="17"/>
      <c r="W2155" s="17"/>
      <c r="X2155" s="9">
        <f t="shared" si="1134"/>
        <v>3755377</v>
      </c>
      <c r="Y2155" s="8"/>
      <c r="Z2155" s="9">
        <f t="shared" si="1135"/>
        <v>0</v>
      </c>
      <c r="AA2155" s="8">
        <f t="shared" si="1136"/>
        <v>3755377</v>
      </c>
      <c r="AB2155" s="8">
        <f t="shared" si="1137"/>
        <v>0</v>
      </c>
    </row>
    <row r="2156" spans="1:28" x14ac:dyDescent="0.3">
      <c r="A2156" s="64"/>
      <c r="B2156" s="8"/>
      <c r="C2156" s="7" t="s">
        <v>535</v>
      </c>
      <c r="D2156" s="15" t="s">
        <v>108</v>
      </c>
      <c r="E2156" s="9">
        <f>1452339+1271650</f>
        <v>2723989</v>
      </c>
      <c r="F2156" s="9">
        <f>1452339+1271650</f>
        <v>2723989</v>
      </c>
      <c r="G2156" s="8"/>
      <c r="H2156" s="9">
        <f t="shared" si="1130"/>
        <v>2723989</v>
      </c>
      <c r="I2156" s="8"/>
      <c r="J2156" s="9">
        <f t="shared" si="1131"/>
        <v>2723989</v>
      </c>
      <c r="K2156" s="8"/>
      <c r="L2156" s="8"/>
      <c r="M2156" s="9">
        <f t="shared" si="1138"/>
        <v>2723989</v>
      </c>
      <c r="N2156" s="8"/>
      <c r="O2156" s="9"/>
      <c r="P2156" s="9">
        <f t="shared" si="1139"/>
        <v>0</v>
      </c>
      <c r="Q2156" s="9">
        <f t="shared" si="1132"/>
        <v>2723989</v>
      </c>
      <c r="R2156" s="8"/>
      <c r="S2156" s="8"/>
      <c r="T2156" s="8"/>
      <c r="U2156" s="18">
        <f t="shared" si="1133"/>
        <v>0</v>
      </c>
      <c r="V2156" s="17"/>
      <c r="W2156" s="17"/>
      <c r="X2156" s="9">
        <f t="shared" si="1134"/>
        <v>2723989</v>
      </c>
      <c r="Y2156" s="8"/>
      <c r="Z2156" s="9">
        <f t="shared" si="1135"/>
        <v>0</v>
      </c>
      <c r="AA2156" s="8">
        <f t="shared" si="1136"/>
        <v>2723989</v>
      </c>
      <c r="AB2156" s="8">
        <f t="shared" si="1137"/>
        <v>0</v>
      </c>
    </row>
    <row r="2157" spans="1:28" x14ac:dyDescent="0.3">
      <c r="A2157" s="64"/>
      <c r="B2157" s="8"/>
      <c r="C2157" s="7" t="s">
        <v>535</v>
      </c>
      <c r="D2157" s="15" t="s">
        <v>58</v>
      </c>
      <c r="E2157" s="9">
        <f>3147563+2553310+1486130</f>
        <v>7187003</v>
      </c>
      <c r="F2157" s="9">
        <v>7187003</v>
      </c>
      <c r="G2157" s="8"/>
      <c r="H2157" s="9">
        <f t="shared" si="1130"/>
        <v>7187003</v>
      </c>
      <c r="I2157" s="8"/>
      <c r="J2157" s="9">
        <f t="shared" si="1131"/>
        <v>7187003</v>
      </c>
      <c r="K2157" s="8"/>
      <c r="L2157" s="8"/>
      <c r="M2157" s="9">
        <f t="shared" si="1138"/>
        <v>7187003</v>
      </c>
      <c r="N2157" s="8"/>
      <c r="O2157" s="9"/>
      <c r="P2157" s="9">
        <f t="shared" si="1139"/>
        <v>0</v>
      </c>
      <c r="Q2157" s="9">
        <f t="shared" si="1132"/>
        <v>7187003</v>
      </c>
      <c r="R2157" s="8"/>
      <c r="S2157" s="8"/>
      <c r="T2157" s="8"/>
      <c r="U2157" s="18">
        <f t="shared" si="1133"/>
        <v>0</v>
      </c>
      <c r="V2157" s="17"/>
      <c r="W2157" s="17"/>
      <c r="X2157" s="9">
        <f t="shared" si="1134"/>
        <v>7187003</v>
      </c>
      <c r="Y2157" s="8"/>
      <c r="Z2157" s="9">
        <f t="shared" si="1135"/>
        <v>0</v>
      </c>
      <c r="AA2157" s="8">
        <f t="shared" si="1136"/>
        <v>7187003</v>
      </c>
      <c r="AB2157" s="8">
        <f t="shared" si="1137"/>
        <v>0</v>
      </c>
    </row>
    <row r="2158" spans="1:28" x14ac:dyDescent="0.3">
      <c r="A2158" s="64"/>
      <c r="B2158" s="8"/>
      <c r="C2158" s="7" t="s">
        <v>535</v>
      </c>
      <c r="D2158" s="15" t="s">
        <v>60</v>
      </c>
      <c r="E2158" s="9">
        <f>4562578.57+1823131.8-1823131.8+1761480</f>
        <v>6324058.5700000003</v>
      </c>
      <c r="F2158" s="9">
        <f>6385710.37-1823131.8+1761480</f>
        <v>6324058.5700000003</v>
      </c>
      <c r="G2158" s="8"/>
      <c r="H2158" s="9">
        <f t="shared" si="1130"/>
        <v>6324058.5700000003</v>
      </c>
      <c r="I2158" s="8"/>
      <c r="J2158" s="9">
        <f t="shared" si="1131"/>
        <v>6324058.5700000003</v>
      </c>
      <c r="K2158" s="8"/>
      <c r="L2158" s="8"/>
      <c r="M2158" s="9">
        <f t="shared" si="1138"/>
        <v>6324058.5700000003</v>
      </c>
      <c r="N2158" s="8"/>
      <c r="O2158" s="9"/>
      <c r="P2158" s="9">
        <f t="shared" si="1139"/>
        <v>0</v>
      </c>
      <c r="Q2158" s="9">
        <f t="shared" si="1132"/>
        <v>6324058.5700000003</v>
      </c>
      <c r="R2158" s="8"/>
      <c r="S2158" s="8"/>
      <c r="T2158" s="8"/>
      <c r="U2158" s="18">
        <f t="shared" si="1133"/>
        <v>0</v>
      </c>
      <c r="V2158" s="17"/>
      <c r="W2158" s="17"/>
      <c r="X2158" s="9">
        <f t="shared" si="1134"/>
        <v>6324058.5700000003</v>
      </c>
      <c r="Y2158" s="8"/>
      <c r="Z2158" s="9">
        <f t="shared" si="1135"/>
        <v>0</v>
      </c>
      <c r="AA2158" s="8">
        <f t="shared" si="1136"/>
        <v>6324058.5700000003</v>
      </c>
      <c r="AB2158" s="8">
        <f t="shared" si="1137"/>
        <v>0</v>
      </c>
    </row>
    <row r="2159" spans="1:28" x14ac:dyDescent="0.3">
      <c r="A2159" s="64"/>
      <c r="B2159" s="8"/>
      <c r="C2159" s="7" t="s">
        <v>816</v>
      </c>
      <c r="D2159" s="15" t="s">
        <v>60</v>
      </c>
      <c r="E2159" s="9">
        <f>100000+700000</f>
        <v>800000</v>
      </c>
      <c r="F2159" s="9">
        <f>100000+700000</f>
        <v>800000</v>
      </c>
      <c r="G2159" s="8"/>
      <c r="H2159" s="9">
        <f t="shared" si="1130"/>
        <v>800000</v>
      </c>
      <c r="I2159" s="8"/>
      <c r="J2159" s="9">
        <f t="shared" si="1131"/>
        <v>800000</v>
      </c>
      <c r="K2159" s="8"/>
      <c r="L2159" s="8"/>
      <c r="M2159" s="9">
        <f t="shared" si="1138"/>
        <v>800000</v>
      </c>
      <c r="N2159" s="8"/>
      <c r="O2159" s="9"/>
      <c r="P2159" s="9">
        <f t="shared" si="1139"/>
        <v>0</v>
      </c>
      <c r="Q2159" s="9">
        <f t="shared" si="1132"/>
        <v>800000</v>
      </c>
      <c r="R2159" s="8"/>
      <c r="S2159" s="8"/>
      <c r="T2159" s="8"/>
      <c r="U2159" s="18">
        <f t="shared" si="1133"/>
        <v>0</v>
      </c>
      <c r="V2159" s="17"/>
      <c r="W2159" s="17"/>
      <c r="X2159" s="9">
        <f t="shared" si="1134"/>
        <v>800000</v>
      </c>
      <c r="Y2159" s="8"/>
      <c r="Z2159" s="9">
        <f t="shared" si="1135"/>
        <v>0</v>
      </c>
      <c r="AA2159" s="8">
        <f t="shared" si="1136"/>
        <v>800000</v>
      </c>
      <c r="AB2159" s="8">
        <f t="shared" si="1137"/>
        <v>0</v>
      </c>
    </row>
    <row r="2160" spans="1:28" x14ac:dyDescent="0.3">
      <c r="A2160" s="64"/>
      <c r="B2160" s="8"/>
      <c r="C2160" s="7" t="s">
        <v>535</v>
      </c>
      <c r="D2160" s="15" t="s">
        <v>73</v>
      </c>
      <c r="E2160" s="9">
        <f>1924000+2041342</f>
        <v>3965342</v>
      </c>
      <c r="F2160" s="9">
        <f>1924000+2041342</f>
        <v>3965342</v>
      </c>
      <c r="G2160" s="9"/>
      <c r="H2160" s="9">
        <f t="shared" si="1130"/>
        <v>3965342</v>
      </c>
      <c r="I2160" s="9"/>
      <c r="J2160" s="9">
        <f t="shared" si="1131"/>
        <v>3965342</v>
      </c>
      <c r="K2160" s="8"/>
      <c r="L2160" s="8"/>
      <c r="M2160" s="9">
        <f t="shared" si="1138"/>
        <v>3965342</v>
      </c>
      <c r="N2160" s="8"/>
      <c r="O2160" s="9"/>
      <c r="P2160" s="9">
        <f t="shared" si="1139"/>
        <v>0</v>
      </c>
      <c r="Q2160" s="9">
        <f t="shared" si="1132"/>
        <v>3965342</v>
      </c>
      <c r="R2160" s="8"/>
      <c r="S2160" s="8"/>
      <c r="T2160" s="8"/>
      <c r="U2160" s="18">
        <f t="shared" si="1133"/>
        <v>0</v>
      </c>
      <c r="V2160" s="17"/>
      <c r="W2160" s="17"/>
      <c r="X2160" s="9">
        <f t="shared" si="1134"/>
        <v>3965342</v>
      </c>
      <c r="Y2160" s="8"/>
      <c r="Z2160" s="9">
        <f t="shared" si="1135"/>
        <v>0</v>
      </c>
      <c r="AA2160" s="8">
        <f t="shared" si="1136"/>
        <v>3965342</v>
      </c>
      <c r="AB2160" s="8">
        <f t="shared" si="1137"/>
        <v>0</v>
      </c>
    </row>
    <row r="2161" spans="1:28" x14ac:dyDescent="0.3">
      <c r="A2161" s="64"/>
      <c r="B2161" s="8"/>
      <c r="C2161" s="7" t="s">
        <v>535</v>
      </c>
      <c r="D2161" s="15" t="s">
        <v>61</v>
      </c>
      <c r="E2161" s="11">
        <v>2520871.6800000002</v>
      </c>
      <c r="F2161" s="11">
        <v>2520871.6800000002</v>
      </c>
      <c r="G2161" s="8"/>
      <c r="H2161" s="9">
        <f t="shared" si="1130"/>
        <v>2520871.6800000002</v>
      </c>
      <c r="I2161" s="9"/>
      <c r="J2161" s="9">
        <f t="shared" si="1131"/>
        <v>2520871.6800000002</v>
      </c>
      <c r="K2161" s="8"/>
      <c r="L2161" s="8"/>
      <c r="M2161" s="9">
        <f t="shared" si="1138"/>
        <v>2520871.6800000002</v>
      </c>
      <c r="N2161" s="8"/>
      <c r="O2161" s="9"/>
      <c r="P2161" s="9">
        <f t="shared" si="1139"/>
        <v>0</v>
      </c>
      <c r="Q2161" s="9">
        <f t="shared" si="1132"/>
        <v>2520871.6800000002</v>
      </c>
      <c r="R2161" s="8"/>
      <c r="S2161" s="8"/>
      <c r="T2161" s="8"/>
      <c r="U2161" s="18">
        <f t="shared" si="1133"/>
        <v>0</v>
      </c>
      <c r="V2161" s="17"/>
      <c r="W2161" s="17"/>
      <c r="X2161" s="9">
        <f t="shared" si="1134"/>
        <v>2520871.6800000002</v>
      </c>
      <c r="Y2161" s="8"/>
      <c r="Z2161" s="9">
        <f t="shared" si="1135"/>
        <v>0</v>
      </c>
      <c r="AA2161" s="8">
        <f t="shared" si="1136"/>
        <v>2520871.6800000002</v>
      </c>
      <c r="AB2161" s="8">
        <f t="shared" si="1137"/>
        <v>0</v>
      </c>
    </row>
    <row r="2162" spans="1:28" x14ac:dyDescent="0.3">
      <c r="A2162" s="64"/>
      <c r="B2162" s="8"/>
      <c r="C2162" s="7" t="s">
        <v>621</v>
      </c>
      <c r="D2162" s="15" t="s">
        <v>61</v>
      </c>
      <c r="E2162" s="11">
        <f>1496303.84+7029.1</f>
        <v>1503332.9400000002</v>
      </c>
      <c r="F2162" s="11">
        <v>1496303.84</v>
      </c>
      <c r="G2162" s="8"/>
      <c r="H2162" s="9">
        <f t="shared" si="1130"/>
        <v>1496303.84</v>
      </c>
      <c r="I2162" s="9"/>
      <c r="J2162" s="9">
        <f t="shared" si="1131"/>
        <v>1496303.84</v>
      </c>
      <c r="K2162" s="8"/>
      <c r="L2162" s="8"/>
      <c r="M2162" s="9">
        <f t="shared" si="1138"/>
        <v>1496303.84</v>
      </c>
      <c r="N2162" s="11"/>
      <c r="O2162" s="9"/>
      <c r="P2162" s="9">
        <f t="shared" si="1139"/>
        <v>0</v>
      </c>
      <c r="Q2162" s="9">
        <f t="shared" si="1132"/>
        <v>1503332.9400000002</v>
      </c>
      <c r="R2162" s="8"/>
      <c r="S2162" s="8"/>
      <c r="T2162" s="8">
        <v>7029.1</v>
      </c>
      <c r="U2162" s="18">
        <f t="shared" si="1133"/>
        <v>7029.1</v>
      </c>
      <c r="V2162" s="17"/>
      <c r="W2162" s="17"/>
      <c r="X2162" s="9">
        <f t="shared" si="1134"/>
        <v>1496303.84</v>
      </c>
      <c r="Y2162" s="8"/>
      <c r="Z2162" s="9">
        <f t="shared" si="1135"/>
        <v>7029.1000000000931</v>
      </c>
      <c r="AA2162" s="8">
        <f t="shared" si="1136"/>
        <v>1503332.9400000002</v>
      </c>
      <c r="AB2162" s="8">
        <f t="shared" si="1137"/>
        <v>0</v>
      </c>
    </row>
    <row r="2163" spans="1:28" x14ac:dyDescent="0.3">
      <c r="A2163" s="64"/>
      <c r="B2163" s="8"/>
      <c r="C2163" s="13" t="s">
        <v>933</v>
      </c>
      <c r="D2163" s="16" t="s">
        <v>1072</v>
      </c>
      <c r="E2163" s="11">
        <f>1081356.89+1539643.11+3279188.82</f>
        <v>5900188.8200000003</v>
      </c>
      <c r="F2163" s="8">
        <f>1081356.89+1539643.11+3279188.82</f>
        <v>5900188.8200000003</v>
      </c>
      <c r="G2163" s="8"/>
      <c r="H2163" s="9">
        <f>F2163+G2163</f>
        <v>5900188.8200000003</v>
      </c>
      <c r="I2163" s="9"/>
      <c r="J2163" s="9">
        <f>H2163+I2163</f>
        <v>5900188.8200000003</v>
      </c>
      <c r="K2163" s="8"/>
      <c r="L2163" s="8"/>
      <c r="M2163" s="9">
        <f t="shared" ref="M2163:M2168" si="1140">+H2163+L2163</f>
        <v>5900188.8200000003</v>
      </c>
      <c r="N2163" s="11"/>
      <c r="O2163" s="9"/>
      <c r="P2163" s="9">
        <f t="shared" ref="P2163:P2168" si="1141">+N2163+O2163</f>
        <v>0</v>
      </c>
      <c r="Q2163" s="9"/>
      <c r="R2163" s="8"/>
      <c r="S2163" s="8"/>
      <c r="T2163" s="8"/>
      <c r="U2163" s="18">
        <f t="shared" ref="U2163:U2168" si="1142">+P2163+T2163</f>
        <v>0</v>
      </c>
      <c r="V2163" s="17"/>
      <c r="W2163" s="17"/>
      <c r="X2163" s="9">
        <f t="shared" si="1134"/>
        <v>5900188.8200000003</v>
      </c>
      <c r="Y2163" s="8"/>
      <c r="Z2163" s="9">
        <f t="shared" si="1135"/>
        <v>0</v>
      </c>
      <c r="AA2163" s="8">
        <f t="shared" si="1136"/>
        <v>5900188.8200000003</v>
      </c>
      <c r="AB2163" s="8">
        <f t="shared" si="1137"/>
        <v>0</v>
      </c>
    </row>
    <row r="2164" spans="1:28" x14ac:dyDescent="0.3">
      <c r="A2164" s="64"/>
      <c r="B2164" s="8"/>
      <c r="C2164" s="7" t="s">
        <v>1175</v>
      </c>
      <c r="D2164" s="16" t="s">
        <v>1126</v>
      </c>
      <c r="E2164" s="11">
        <v>1000000</v>
      </c>
      <c r="F2164" s="8">
        <v>1000000</v>
      </c>
      <c r="G2164" s="8"/>
      <c r="H2164" s="9">
        <f>+F2164+G2164</f>
        <v>1000000</v>
      </c>
      <c r="I2164" s="9"/>
      <c r="J2164" s="9">
        <f>H2164+I2164</f>
        <v>1000000</v>
      </c>
      <c r="K2164" s="8"/>
      <c r="L2164" s="8"/>
      <c r="M2164" s="9">
        <f t="shared" si="1140"/>
        <v>1000000</v>
      </c>
      <c r="N2164" s="11"/>
      <c r="O2164" s="9"/>
      <c r="P2164" s="9">
        <f t="shared" si="1141"/>
        <v>0</v>
      </c>
      <c r="Q2164" s="9"/>
      <c r="R2164" s="8"/>
      <c r="S2164" s="8"/>
      <c r="T2164" s="8"/>
      <c r="U2164" s="18">
        <f t="shared" si="1142"/>
        <v>0</v>
      </c>
      <c r="V2164" s="17"/>
      <c r="W2164" s="17"/>
      <c r="X2164" s="9">
        <f t="shared" si="1134"/>
        <v>1000000</v>
      </c>
      <c r="Y2164" s="8"/>
      <c r="Z2164" s="9">
        <f t="shared" si="1135"/>
        <v>0</v>
      </c>
      <c r="AA2164" s="8">
        <f t="shared" si="1136"/>
        <v>1000000</v>
      </c>
      <c r="AB2164" s="8">
        <f t="shared" si="1137"/>
        <v>0</v>
      </c>
    </row>
    <row r="2165" spans="1:28" x14ac:dyDescent="0.3">
      <c r="A2165" s="64"/>
      <c r="B2165" s="8"/>
      <c r="C2165" s="7" t="s">
        <v>1083</v>
      </c>
      <c r="D2165" s="16" t="s">
        <v>1072</v>
      </c>
      <c r="E2165" s="11">
        <v>5224324.99</v>
      </c>
      <c r="F2165" s="8">
        <v>5224324.99</v>
      </c>
      <c r="G2165" s="8"/>
      <c r="H2165" s="9">
        <f>+F2165+G2165</f>
        <v>5224324.99</v>
      </c>
      <c r="I2165" s="9"/>
      <c r="J2165" s="9">
        <f>H2165+I2165</f>
        <v>5224324.99</v>
      </c>
      <c r="K2165" s="8"/>
      <c r="L2165" s="8"/>
      <c r="M2165" s="9">
        <f t="shared" si="1140"/>
        <v>5224324.99</v>
      </c>
      <c r="N2165" s="11"/>
      <c r="O2165" s="9"/>
      <c r="P2165" s="9">
        <f t="shared" si="1141"/>
        <v>0</v>
      </c>
      <c r="Q2165" s="9"/>
      <c r="R2165" s="8"/>
      <c r="S2165" s="8"/>
      <c r="T2165" s="8"/>
      <c r="U2165" s="18">
        <f t="shared" si="1142"/>
        <v>0</v>
      </c>
      <c r="V2165" s="17"/>
      <c r="W2165" s="17"/>
      <c r="X2165" s="9">
        <f t="shared" si="1134"/>
        <v>5224324.99</v>
      </c>
      <c r="Y2165" s="8"/>
      <c r="Z2165" s="9">
        <f t="shared" si="1135"/>
        <v>0</v>
      </c>
      <c r="AA2165" s="8">
        <f t="shared" si="1136"/>
        <v>5224324.99</v>
      </c>
      <c r="AB2165" s="8">
        <f t="shared" si="1137"/>
        <v>0</v>
      </c>
    </row>
    <row r="2166" spans="1:28" x14ac:dyDescent="0.3">
      <c r="A2166" s="64"/>
      <c r="B2166" s="8"/>
      <c r="C2166" s="7" t="s">
        <v>1189</v>
      </c>
      <c r="D2166" s="16" t="s">
        <v>1126</v>
      </c>
      <c r="E2166" s="11">
        <v>500000</v>
      </c>
      <c r="F2166" s="8">
        <v>500000</v>
      </c>
      <c r="G2166" s="8"/>
      <c r="H2166" s="9">
        <f>+F2166+G2166</f>
        <v>500000</v>
      </c>
      <c r="I2166" s="9"/>
      <c r="J2166" s="9"/>
      <c r="K2166" s="8"/>
      <c r="L2166" s="8"/>
      <c r="M2166" s="9">
        <f t="shared" si="1140"/>
        <v>500000</v>
      </c>
      <c r="N2166" s="11"/>
      <c r="O2166" s="9"/>
      <c r="P2166" s="9">
        <f t="shared" si="1141"/>
        <v>0</v>
      </c>
      <c r="Q2166" s="9"/>
      <c r="R2166" s="8"/>
      <c r="S2166" s="8"/>
      <c r="T2166" s="8"/>
      <c r="U2166" s="18">
        <f t="shared" si="1142"/>
        <v>0</v>
      </c>
      <c r="V2166" s="17"/>
      <c r="W2166" s="17"/>
      <c r="X2166" s="9">
        <f t="shared" si="1134"/>
        <v>500000</v>
      </c>
      <c r="Y2166" s="8"/>
      <c r="Z2166" s="9">
        <f t="shared" si="1135"/>
        <v>0</v>
      </c>
      <c r="AA2166" s="8">
        <f t="shared" si="1136"/>
        <v>500000</v>
      </c>
      <c r="AB2166" s="8">
        <f t="shared" si="1137"/>
        <v>0</v>
      </c>
    </row>
    <row r="2167" spans="1:28" x14ac:dyDescent="0.3">
      <c r="A2167" s="64"/>
      <c r="B2167" s="8"/>
      <c r="C2167" s="7" t="s">
        <v>1173</v>
      </c>
      <c r="D2167" s="16" t="s">
        <v>1126</v>
      </c>
      <c r="E2167" s="11">
        <v>2177490.48</v>
      </c>
      <c r="F2167" s="8">
        <v>2177490.48</v>
      </c>
      <c r="G2167" s="8"/>
      <c r="H2167" s="9">
        <f>+F2167+G2167</f>
        <v>2177490.48</v>
      </c>
      <c r="I2167" s="9"/>
      <c r="J2167" s="9"/>
      <c r="K2167" s="8"/>
      <c r="L2167" s="8"/>
      <c r="M2167" s="9">
        <f t="shared" si="1140"/>
        <v>2177490.48</v>
      </c>
      <c r="N2167" s="11"/>
      <c r="O2167" s="9"/>
      <c r="P2167" s="9">
        <f t="shared" si="1141"/>
        <v>0</v>
      </c>
      <c r="Q2167" s="9"/>
      <c r="R2167" s="8"/>
      <c r="S2167" s="8"/>
      <c r="T2167" s="8"/>
      <c r="U2167" s="18">
        <f t="shared" si="1142"/>
        <v>0</v>
      </c>
      <c r="V2167" s="17"/>
      <c r="W2167" s="17"/>
      <c r="X2167" s="9">
        <f t="shared" si="1134"/>
        <v>2177490.48</v>
      </c>
      <c r="Y2167" s="8"/>
      <c r="Z2167" s="9">
        <f t="shared" si="1135"/>
        <v>0</v>
      </c>
      <c r="AA2167" s="8">
        <f t="shared" si="1136"/>
        <v>2177490.48</v>
      </c>
      <c r="AB2167" s="8">
        <f t="shared" si="1137"/>
        <v>0</v>
      </c>
    </row>
    <row r="2168" spans="1:28" x14ac:dyDescent="0.3">
      <c r="A2168" s="64"/>
      <c r="B2168" s="8"/>
      <c r="C2168" s="7" t="s">
        <v>1245</v>
      </c>
      <c r="D2168" s="16" t="s">
        <v>1225</v>
      </c>
      <c r="E2168" s="11">
        <f>5777057.21+874494.1</f>
        <v>6651551.3099999996</v>
      </c>
      <c r="F2168" s="8">
        <v>5777057.21</v>
      </c>
      <c r="G2168" s="8">
        <v>874494.1</v>
      </c>
      <c r="H2168" s="9">
        <f>+F2168+G2168</f>
        <v>6651551.3099999996</v>
      </c>
      <c r="I2168" s="9"/>
      <c r="J2168" s="9"/>
      <c r="K2168" s="8"/>
      <c r="L2168" s="8"/>
      <c r="M2168" s="9">
        <f t="shared" si="1140"/>
        <v>6651551.3099999996</v>
      </c>
      <c r="N2168" s="11"/>
      <c r="O2168" s="9"/>
      <c r="P2168" s="9">
        <f t="shared" si="1141"/>
        <v>0</v>
      </c>
      <c r="Q2168" s="9"/>
      <c r="R2168" s="8"/>
      <c r="S2168" s="8"/>
      <c r="T2168" s="8"/>
      <c r="U2168" s="18">
        <f t="shared" si="1142"/>
        <v>0</v>
      </c>
      <c r="V2168" s="17"/>
      <c r="W2168" s="17"/>
      <c r="X2168" s="9">
        <f t="shared" si="1134"/>
        <v>6651551.3099999996</v>
      </c>
      <c r="Y2168" s="8"/>
      <c r="Z2168" s="9">
        <f t="shared" si="1135"/>
        <v>0</v>
      </c>
      <c r="AA2168" s="8">
        <f t="shared" si="1136"/>
        <v>6651551.3099999996</v>
      </c>
      <c r="AB2168" s="8">
        <f t="shared" si="1137"/>
        <v>0</v>
      </c>
    </row>
    <row r="2169" spans="1:28" x14ac:dyDescent="0.3">
      <c r="A2169" s="64"/>
      <c r="B2169" s="8"/>
      <c r="C2169" s="7" t="s">
        <v>817</v>
      </c>
      <c r="D2169" s="8"/>
      <c r="E2169" s="9">
        <v>192452</v>
      </c>
      <c r="F2169" s="9">
        <v>192452</v>
      </c>
      <c r="G2169" s="8"/>
      <c r="H2169" s="9">
        <f t="shared" si="1130"/>
        <v>192452</v>
      </c>
      <c r="I2169" s="8"/>
      <c r="J2169" s="9">
        <f t="shared" si="1131"/>
        <v>192452</v>
      </c>
      <c r="K2169" s="8"/>
      <c r="L2169" s="8"/>
      <c r="M2169" s="9">
        <f t="shared" si="1138"/>
        <v>192452</v>
      </c>
      <c r="N2169" s="8"/>
      <c r="O2169" s="9"/>
      <c r="P2169" s="9">
        <f t="shared" si="1139"/>
        <v>0</v>
      </c>
      <c r="Q2169" s="9">
        <f t="shared" si="1132"/>
        <v>192452</v>
      </c>
      <c r="R2169" s="8"/>
      <c r="S2169" s="8"/>
      <c r="T2169" s="8"/>
      <c r="U2169" s="18">
        <f t="shared" si="1133"/>
        <v>0</v>
      </c>
      <c r="V2169" s="17"/>
      <c r="W2169" s="17"/>
      <c r="X2169" s="9">
        <f t="shared" si="1134"/>
        <v>192452</v>
      </c>
      <c r="Y2169" s="8"/>
      <c r="Z2169" s="9">
        <f t="shared" si="1135"/>
        <v>0</v>
      </c>
      <c r="AA2169" s="8">
        <f t="shared" si="1136"/>
        <v>192452</v>
      </c>
      <c r="AB2169" s="8">
        <f t="shared" si="1137"/>
        <v>0</v>
      </c>
    </row>
    <row r="2170" spans="1:28" x14ac:dyDescent="0.3">
      <c r="A2170" s="64"/>
      <c r="B2170" s="8"/>
      <c r="C2170" s="7" t="s">
        <v>569</v>
      </c>
      <c r="D2170" s="8"/>
      <c r="E2170" s="9">
        <v>66746.64</v>
      </c>
      <c r="F2170" s="8"/>
      <c r="G2170" s="8"/>
      <c r="H2170" s="9">
        <f t="shared" si="1130"/>
        <v>0</v>
      </c>
      <c r="I2170" s="8"/>
      <c r="J2170" s="9">
        <f t="shared" si="1131"/>
        <v>0</v>
      </c>
      <c r="K2170" s="9">
        <v>66746.64</v>
      </c>
      <c r="L2170" s="8"/>
      <c r="M2170" s="9">
        <f t="shared" si="1138"/>
        <v>0</v>
      </c>
      <c r="N2170" s="8">
        <v>66746.64</v>
      </c>
      <c r="O2170" s="9"/>
      <c r="P2170" s="9">
        <f t="shared" si="1139"/>
        <v>66746.64</v>
      </c>
      <c r="Q2170" s="9">
        <f t="shared" si="1132"/>
        <v>0</v>
      </c>
      <c r="R2170" s="8"/>
      <c r="S2170" s="8"/>
      <c r="T2170" s="8"/>
      <c r="U2170" s="18">
        <f t="shared" si="1133"/>
        <v>66746.64</v>
      </c>
      <c r="V2170" s="17"/>
      <c r="W2170" s="17"/>
      <c r="X2170" s="9">
        <f t="shared" si="1134"/>
        <v>66746.64</v>
      </c>
      <c r="Y2170" s="8"/>
      <c r="Z2170" s="9">
        <f t="shared" si="1135"/>
        <v>0</v>
      </c>
      <c r="AA2170" s="8">
        <f t="shared" si="1136"/>
        <v>66746.64</v>
      </c>
      <c r="AB2170" s="8">
        <f t="shared" si="1137"/>
        <v>0</v>
      </c>
    </row>
    <row r="2171" spans="1:28" x14ac:dyDescent="0.3">
      <c r="A2171" s="64"/>
      <c r="B2171" s="8"/>
      <c r="C2171" s="7" t="s">
        <v>813</v>
      </c>
      <c r="D2171" s="8"/>
      <c r="E2171" s="9">
        <v>1000000</v>
      </c>
      <c r="F2171" s="9">
        <v>1000000</v>
      </c>
      <c r="G2171" s="8"/>
      <c r="H2171" s="9">
        <f t="shared" si="1130"/>
        <v>1000000</v>
      </c>
      <c r="I2171" s="8"/>
      <c r="J2171" s="9">
        <f t="shared" si="1131"/>
        <v>1000000</v>
      </c>
      <c r="K2171" s="8"/>
      <c r="L2171" s="8"/>
      <c r="M2171" s="9">
        <f t="shared" si="1138"/>
        <v>1000000</v>
      </c>
      <c r="N2171" s="8"/>
      <c r="O2171" s="9"/>
      <c r="P2171" s="9">
        <f t="shared" si="1139"/>
        <v>0</v>
      </c>
      <c r="Q2171" s="9">
        <f t="shared" si="1132"/>
        <v>1000000</v>
      </c>
      <c r="R2171" s="8"/>
      <c r="S2171" s="8"/>
      <c r="T2171" s="8"/>
      <c r="U2171" s="18">
        <f t="shared" si="1133"/>
        <v>0</v>
      </c>
      <c r="V2171" s="17"/>
      <c r="W2171" s="17"/>
      <c r="X2171" s="9">
        <f t="shared" si="1134"/>
        <v>1000000</v>
      </c>
      <c r="Y2171" s="8"/>
      <c r="Z2171" s="9">
        <f t="shared" si="1135"/>
        <v>0</v>
      </c>
      <c r="AA2171" s="8">
        <f t="shared" si="1136"/>
        <v>1000000</v>
      </c>
      <c r="AB2171" s="8">
        <f t="shared" si="1137"/>
        <v>0</v>
      </c>
    </row>
    <row r="2172" spans="1:28" x14ac:dyDescent="0.3">
      <c r="A2172" s="64"/>
      <c r="B2172" s="8"/>
      <c r="C2172" s="7" t="s">
        <v>818</v>
      </c>
      <c r="D2172" s="8"/>
      <c r="E2172" s="9">
        <f>1300000-345849.4+0.4-16519.37</f>
        <v>937631.63</v>
      </c>
      <c r="F2172" s="9">
        <v>733962</v>
      </c>
      <c r="G2172" s="8"/>
      <c r="H2172" s="9">
        <f t="shared" si="1130"/>
        <v>733962</v>
      </c>
      <c r="I2172" s="8"/>
      <c r="J2172" s="9">
        <f t="shared" si="1131"/>
        <v>733962</v>
      </c>
      <c r="K2172" s="9">
        <f>27469.63+167900+8300</f>
        <v>203669.63</v>
      </c>
      <c r="L2172" s="8"/>
      <c r="M2172" s="9">
        <f t="shared" si="1138"/>
        <v>733962</v>
      </c>
      <c r="N2172" s="8">
        <v>203669.63</v>
      </c>
      <c r="O2172" s="9"/>
      <c r="P2172" s="9">
        <f t="shared" si="1139"/>
        <v>203669.63</v>
      </c>
      <c r="Q2172" s="9">
        <f t="shared" si="1132"/>
        <v>733962</v>
      </c>
      <c r="R2172" s="8"/>
      <c r="S2172" s="8"/>
      <c r="T2172" s="8"/>
      <c r="U2172" s="18">
        <f t="shared" si="1133"/>
        <v>203669.63</v>
      </c>
      <c r="V2172" s="17"/>
      <c r="W2172" s="17"/>
      <c r="X2172" s="9">
        <f t="shared" si="1134"/>
        <v>937631.63</v>
      </c>
      <c r="Y2172" s="8"/>
      <c r="Z2172" s="9">
        <f t="shared" si="1135"/>
        <v>0</v>
      </c>
      <c r="AA2172" s="8">
        <f t="shared" si="1136"/>
        <v>937631.63</v>
      </c>
      <c r="AB2172" s="8">
        <f t="shared" si="1137"/>
        <v>0</v>
      </c>
    </row>
    <row r="2173" spans="1:28" x14ac:dyDescent="0.3">
      <c r="A2173" s="64"/>
      <c r="B2173" s="8"/>
      <c r="C2173" s="7" t="s">
        <v>819</v>
      </c>
      <c r="D2173" s="8"/>
      <c r="E2173" s="9">
        <v>618839</v>
      </c>
      <c r="F2173" s="9">
        <v>618839</v>
      </c>
      <c r="G2173" s="8"/>
      <c r="H2173" s="9">
        <f t="shared" si="1130"/>
        <v>618839</v>
      </c>
      <c r="I2173" s="8"/>
      <c r="J2173" s="9">
        <f t="shared" si="1131"/>
        <v>618839</v>
      </c>
      <c r="K2173" s="8"/>
      <c r="L2173" s="8"/>
      <c r="M2173" s="9">
        <f t="shared" si="1138"/>
        <v>618839</v>
      </c>
      <c r="N2173" s="8"/>
      <c r="O2173" s="9"/>
      <c r="P2173" s="9">
        <f t="shared" si="1139"/>
        <v>0</v>
      </c>
      <c r="Q2173" s="9">
        <f t="shared" si="1132"/>
        <v>618839</v>
      </c>
      <c r="R2173" s="8"/>
      <c r="S2173" s="8"/>
      <c r="T2173" s="8"/>
      <c r="U2173" s="18">
        <f t="shared" si="1133"/>
        <v>0</v>
      </c>
      <c r="V2173" s="17"/>
      <c r="W2173" s="17"/>
      <c r="X2173" s="9">
        <f t="shared" si="1134"/>
        <v>618839</v>
      </c>
      <c r="Y2173" s="8"/>
      <c r="Z2173" s="9">
        <f t="shared" si="1135"/>
        <v>0</v>
      </c>
      <c r="AA2173" s="8">
        <f t="shared" si="1136"/>
        <v>618839</v>
      </c>
      <c r="AB2173" s="8">
        <f t="shared" si="1137"/>
        <v>0</v>
      </c>
    </row>
    <row r="2174" spans="1:28" x14ac:dyDescent="0.3">
      <c r="A2174" s="64"/>
      <c r="B2174" s="8"/>
      <c r="C2174" s="7" t="s">
        <v>551</v>
      </c>
      <c r="D2174" s="8"/>
      <c r="E2174" s="9">
        <f>547148.75+1536824.63+2009342.77+1218540+80000+100530+497367.21+866887.48</f>
        <v>6856640.8399999999</v>
      </c>
      <c r="F2174" s="9">
        <f>547148.75+3546167.4+1399070+1364254.69</f>
        <v>6856640.8399999999</v>
      </c>
      <c r="G2174" s="8"/>
      <c r="H2174" s="9">
        <f t="shared" si="1130"/>
        <v>6856640.8399999999</v>
      </c>
      <c r="I2174" s="8"/>
      <c r="J2174" s="9">
        <f t="shared" si="1131"/>
        <v>6856640.8399999999</v>
      </c>
      <c r="K2174" s="8"/>
      <c r="L2174" s="8"/>
      <c r="M2174" s="9">
        <f t="shared" si="1138"/>
        <v>6856640.8399999999</v>
      </c>
      <c r="N2174" s="8"/>
      <c r="O2174" s="9"/>
      <c r="P2174" s="9">
        <f t="shared" si="1139"/>
        <v>0</v>
      </c>
      <c r="Q2174" s="9">
        <f t="shared" si="1132"/>
        <v>6856640.8399999999</v>
      </c>
      <c r="R2174" s="8"/>
      <c r="S2174" s="8"/>
      <c r="T2174" s="8"/>
      <c r="U2174" s="18">
        <f t="shared" si="1133"/>
        <v>0</v>
      </c>
      <c r="V2174" s="17"/>
      <c r="W2174" s="17"/>
      <c r="X2174" s="9">
        <f t="shared" si="1134"/>
        <v>6856640.8399999999</v>
      </c>
      <c r="Y2174" s="8"/>
      <c r="Z2174" s="9">
        <f t="shared" si="1135"/>
        <v>0</v>
      </c>
      <c r="AA2174" s="8">
        <f t="shared" si="1136"/>
        <v>6856640.8399999999</v>
      </c>
      <c r="AB2174" s="8">
        <f t="shared" si="1137"/>
        <v>0</v>
      </c>
    </row>
    <row r="2175" spans="1:28" x14ac:dyDescent="0.3">
      <c r="A2175" s="64"/>
      <c r="B2175" s="8"/>
      <c r="C2175" s="7" t="s">
        <v>606</v>
      </c>
      <c r="D2175" s="8"/>
      <c r="E2175" s="9">
        <f>1544000+5000000+2500000</f>
        <v>9044000</v>
      </c>
      <c r="F2175" s="9">
        <v>9044000</v>
      </c>
      <c r="G2175" s="8"/>
      <c r="H2175" s="9">
        <f t="shared" si="1130"/>
        <v>9044000</v>
      </c>
      <c r="I2175" s="8"/>
      <c r="J2175" s="9">
        <f t="shared" si="1131"/>
        <v>9044000</v>
      </c>
      <c r="K2175" s="8"/>
      <c r="L2175" s="8"/>
      <c r="M2175" s="9">
        <f t="shared" si="1138"/>
        <v>9044000</v>
      </c>
      <c r="N2175" s="8"/>
      <c r="O2175" s="9"/>
      <c r="P2175" s="9">
        <f t="shared" si="1139"/>
        <v>0</v>
      </c>
      <c r="Q2175" s="9">
        <f t="shared" si="1132"/>
        <v>9044000</v>
      </c>
      <c r="R2175" s="8"/>
      <c r="S2175" s="8"/>
      <c r="T2175" s="8"/>
      <c r="U2175" s="18">
        <f t="shared" si="1133"/>
        <v>0</v>
      </c>
      <c r="V2175" s="17"/>
      <c r="W2175" s="17"/>
      <c r="X2175" s="9">
        <f t="shared" si="1134"/>
        <v>9044000</v>
      </c>
      <c r="Y2175" s="8"/>
      <c r="Z2175" s="9">
        <f t="shared" si="1135"/>
        <v>0</v>
      </c>
      <c r="AA2175" s="8">
        <f t="shared" si="1136"/>
        <v>9044000</v>
      </c>
      <c r="AB2175" s="8">
        <f t="shared" si="1137"/>
        <v>0</v>
      </c>
    </row>
    <row r="2176" spans="1:28" x14ac:dyDescent="0.3">
      <c r="A2176" s="64"/>
      <c r="B2176" s="8"/>
      <c r="C2176" s="8"/>
      <c r="D2176" s="8"/>
      <c r="E2176" s="17" t="s">
        <v>29</v>
      </c>
      <c r="F2176" s="17" t="s">
        <v>29</v>
      </c>
      <c r="G2176" s="17" t="s">
        <v>29</v>
      </c>
      <c r="H2176" s="17" t="s">
        <v>29</v>
      </c>
      <c r="I2176" s="17" t="s">
        <v>29</v>
      </c>
      <c r="J2176" s="17" t="s">
        <v>29</v>
      </c>
      <c r="K2176" s="17" t="s">
        <v>29</v>
      </c>
      <c r="L2176" s="17" t="s">
        <v>29</v>
      </c>
      <c r="M2176" s="17" t="s">
        <v>29</v>
      </c>
      <c r="N2176" s="17" t="s">
        <v>29</v>
      </c>
      <c r="O2176" s="17" t="s">
        <v>29</v>
      </c>
      <c r="P2176" s="17" t="s">
        <v>29</v>
      </c>
      <c r="Q2176" s="17" t="s">
        <v>29</v>
      </c>
      <c r="R2176" s="17" t="s">
        <v>29</v>
      </c>
      <c r="S2176" s="17" t="s">
        <v>29</v>
      </c>
      <c r="T2176" s="17" t="s">
        <v>29</v>
      </c>
      <c r="U2176" s="17" t="s">
        <v>29</v>
      </c>
      <c r="V2176" s="17" t="s">
        <v>29</v>
      </c>
      <c r="W2176" s="17" t="s">
        <v>29</v>
      </c>
      <c r="X2176" s="17" t="s">
        <v>29</v>
      </c>
      <c r="Y2176" s="17" t="s">
        <v>29</v>
      </c>
      <c r="Z2176" s="17" t="s">
        <v>29</v>
      </c>
      <c r="AA2176" s="17" t="s">
        <v>29</v>
      </c>
      <c r="AB2176" s="17" t="s">
        <v>29</v>
      </c>
    </row>
    <row r="2177" spans="1:28" x14ac:dyDescent="0.3">
      <c r="A2177" s="64"/>
      <c r="B2177" s="8"/>
      <c r="C2177" s="8"/>
      <c r="D2177" s="8"/>
      <c r="E2177" s="9">
        <f t="shared" ref="E2177:Q2177" si="1143">SUM(E2145:E2176)</f>
        <v>78351872.420000002</v>
      </c>
      <c r="F2177" s="9">
        <f t="shared" si="1143"/>
        <v>74823447.320000008</v>
      </c>
      <c r="G2177" s="9">
        <f t="shared" si="1143"/>
        <v>874494.1</v>
      </c>
      <c r="H2177" s="9">
        <f t="shared" si="1143"/>
        <v>75697941.420000002</v>
      </c>
      <c r="I2177" s="9">
        <f t="shared" si="1143"/>
        <v>400000</v>
      </c>
      <c r="J2177" s="9">
        <f t="shared" si="1143"/>
        <v>66768899.63000001</v>
      </c>
      <c r="K2177" s="9">
        <f t="shared" si="1143"/>
        <v>2246901.9</v>
      </c>
      <c r="L2177" s="9">
        <f t="shared" si="1143"/>
        <v>400000</v>
      </c>
      <c r="M2177" s="9">
        <f t="shared" si="1143"/>
        <v>76097941.420000002</v>
      </c>
      <c r="N2177" s="9">
        <f t="shared" si="1143"/>
        <v>2246901.9</v>
      </c>
      <c r="O2177" s="9">
        <f t="shared" si="1143"/>
        <v>0</v>
      </c>
      <c r="P2177" s="9">
        <f t="shared" si="1143"/>
        <v>2246901.9</v>
      </c>
      <c r="Q2177" s="9">
        <f t="shared" si="1143"/>
        <v>54651414.920000002</v>
      </c>
      <c r="R2177" s="8"/>
      <c r="S2177" s="8"/>
      <c r="T2177" s="9">
        <f t="shared" ref="T2177:Z2177" si="1144">SUM(T2145:T2176)</f>
        <v>7029.1</v>
      </c>
      <c r="U2177" s="9">
        <f t="shared" si="1144"/>
        <v>2253931</v>
      </c>
      <c r="V2177" s="9">
        <f t="shared" si="1144"/>
        <v>0</v>
      </c>
      <c r="W2177" s="9">
        <f t="shared" si="1144"/>
        <v>0</v>
      </c>
      <c r="X2177" s="9">
        <f t="shared" si="1144"/>
        <v>77944843.320000008</v>
      </c>
      <c r="Y2177" s="9">
        <f t="shared" si="1144"/>
        <v>0</v>
      </c>
      <c r="Z2177" s="9">
        <f t="shared" si="1144"/>
        <v>407029.10000000009</v>
      </c>
      <c r="AA2177" s="9">
        <f>SUM(AA2145:AA2176)</f>
        <v>78351872.420000002</v>
      </c>
      <c r="AB2177" s="9">
        <f>SUM(AB2145:AB2176)</f>
        <v>0</v>
      </c>
    </row>
    <row r="2178" spans="1:28" x14ac:dyDescent="0.3">
      <c r="A2178" s="64"/>
      <c r="B2178" s="8"/>
      <c r="C2178" s="8"/>
      <c r="D2178" s="8"/>
      <c r="E2178" s="17" t="s">
        <v>29</v>
      </c>
      <c r="F2178" s="17" t="s">
        <v>29</v>
      </c>
      <c r="G2178" s="17" t="s">
        <v>29</v>
      </c>
      <c r="H2178" s="17" t="s">
        <v>29</v>
      </c>
      <c r="I2178" s="17" t="s">
        <v>29</v>
      </c>
      <c r="J2178" s="17" t="s">
        <v>29</v>
      </c>
      <c r="K2178" s="17" t="s">
        <v>29</v>
      </c>
      <c r="L2178" s="17" t="s">
        <v>29</v>
      </c>
      <c r="M2178" s="17" t="s">
        <v>29</v>
      </c>
      <c r="N2178" s="17" t="s">
        <v>29</v>
      </c>
      <c r="O2178" s="17" t="s">
        <v>29</v>
      </c>
      <c r="P2178" s="17" t="s">
        <v>29</v>
      </c>
      <c r="Q2178" s="17" t="s">
        <v>29</v>
      </c>
      <c r="R2178" s="17" t="s">
        <v>29</v>
      </c>
      <c r="S2178" s="17" t="s">
        <v>29</v>
      </c>
      <c r="T2178" s="17" t="s">
        <v>29</v>
      </c>
      <c r="U2178" s="17" t="s">
        <v>29</v>
      </c>
      <c r="V2178" s="17" t="s">
        <v>29</v>
      </c>
      <c r="W2178" s="17" t="s">
        <v>29</v>
      </c>
      <c r="X2178" s="17" t="s">
        <v>29</v>
      </c>
      <c r="Y2178" s="17" t="s">
        <v>29</v>
      </c>
      <c r="Z2178" s="17" t="s">
        <v>29</v>
      </c>
      <c r="AA2178" s="17" t="s">
        <v>29</v>
      </c>
      <c r="AB2178" s="17" t="s">
        <v>29</v>
      </c>
    </row>
    <row r="2179" spans="1:28" x14ac:dyDescent="0.3">
      <c r="A2179" s="63" t="s">
        <v>1031</v>
      </c>
      <c r="B2179" s="7" t="s">
        <v>820</v>
      </c>
      <c r="C2179" s="8"/>
      <c r="D2179" s="8"/>
      <c r="E2179" s="8"/>
      <c r="F2179" s="8"/>
      <c r="G2179" s="8"/>
      <c r="H2179" s="8"/>
      <c r="I2179" s="8"/>
      <c r="J2179" s="8"/>
      <c r="K2179" s="8"/>
      <c r="L2179" s="8"/>
      <c r="M2179" s="8"/>
      <c r="N2179" s="8"/>
      <c r="O2179" s="8"/>
      <c r="P2179" s="8"/>
      <c r="Q2179" s="8"/>
      <c r="R2179" s="8"/>
      <c r="S2179" s="8"/>
      <c r="T2179" s="8"/>
      <c r="U2179" s="8"/>
      <c r="V2179" s="8"/>
      <c r="W2179" s="8"/>
      <c r="X2179" s="8"/>
      <c r="Y2179" s="8"/>
      <c r="Z2179" s="8"/>
    </row>
    <row r="2180" spans="1:28" x14ac:dyDescent="0.3">
      <c r="A2180" s="64"/>
      <c r="B2180" s="8"/>
      <c r="C2180" s="7" t="s">
        <v>535</v>
      </c>
      <c r="D2180" s="15" t="s">
        <v>68</v>
      </c>
      <c r="E2180" s="9">
        <f>1150450-959665.01</f>
        <v>190784.99</v>
      </c>
      <c r="F2180" s="9">
        <v>134954.59</v>
      </c>
      <c r="G2180" s="8"/>
      <c r="H2180" s="9">
        <f t="shared" ref="H2180:H2196" si="1145">F2180+G2180</f>
        <v>134954.59</v>
      </c>
      <c r="I2180" s="8"/>
      <c r="J2180" s="9">
        <f t="shared" ref="J2180:J2196" si="1146">H2180+I2180</f>
        <v>134954.59</v>
      </c>
      <c r="K2180" s="9">
        <v>55830.400000000001</v>
      </c>
      <c r="L2180" s="8"/>
      <c r="M2180" s="9">
        <f>+H2180+L2180</f>
        <v>134954.59</v>
      </c>
      <c r="N2180" s="8">
        <v>55830.400000000001</v>
      </c>
      <c r="O2180" s="9"/>
      <c r="P2180" s="9">
        <f>+N2180+O2180</f>
        <v>55830.400000000001</v>
      </c>
      <c r="Q2180" s="9">
        <f t="shared" ref="Q2180:Q2196" si="1147">E2180-P2180</f>
        <v>134954.59</v>
      </c>
      <c r="R2180" s="8"/>
      <c r="S2180" s="8"/>
      <c r="T2180" s="8"/>
      <c r="U2180" s="18">
        <f t="shared" ref="U2180:U2196" si="1148">+P2180+T2180</f>
        <v>55830.400000000001</v>
      </c>
      <c r="V2180" s="17"/>
      <c r="W2180" s="17"/>
      <c r="X2180" s="9">
        <f t="shared" ref="X2180:X2196" si="1149">+H2180+P2180</f>
        <v>190784.99</v>
      </c>
      <c r="Y2180" s="8"/>
      <c r="Z2180" s="9">
        <f t="shared" ref="Z2180:Z2196" si="1150">+E2180-X2180</f>
        <v>0</v>
      </c>
      <c r="AA2180" s="8">
        <f t="shared" ref="AA2180:AA2196" si="1151">+M2180+U2180</f>
        <v>190784.99</v>
      </c>
      <c r="AB2180" s="8">
        <f t="shared" ref="AB2180:AB2196" si="1152">+E2180-AA2180</f>
        <v>0</v>
      </c>
    </row>
    <row r="2181" spans="1:28" x14ac:dyDescent="0.3">
      <c r="A2181" s="64"/>
      <c r="B2181" s="8"/>
      <c r="C2181" s="7" t="s">
        <v>535</v>
      </c>
      <c r="D2181" s="15" t="s">
        <v>54</v>
      </c>
      <c r="E2181" s="9">
        <f>823000-41150-200650</f>
        <v>581200</v>
      </c>
      <c r="F2181" s="9">
        <v>581200</v>
      </c>
      <c r="G2181" s="8"/>
      <c r="H2181" s="9">
        <f t="shared" si="1145"/>
        <v>581200</v>
      </c>
      <c r="I2181" s="8"/>
      <c r="J2181" s="9">
        <f t="shared" si="1146"/>
        <v>581200</v>
      </c>
      <c r="K2181" s="8"/>
      <c r="L2181" s="8"/>
      <c r="M2181" s="9">
        <f t="shared" ref="M2181:M2196" si="1153">+H2181+L2181</f>
        <v>581200</v>
      </c>
      <c r="N2181" s="8"/>
      <c r="O2181" s="9"/>
      <c r="P2181" s="9">
        <f t="shared" ref="P2181:P2196" si="1154">+N2181+O2181</f>
        <v>0</v>
      </c>
      <c r="Q2181" s="9">
        <f t="shared" si="1147"/>
        <v>581200</v>
      </c>
      <c r="R2181" s="8"/>
      <c r="S2181" s="8"/>
      <c r="T2181" s="8"/>
      <c r="U2181" s="18">
        <f t="shared" si="1148"/>
        <v>0</v>
      </c>
      <c r="V2181" s="17"/>
      <c r="W2181" s="17"/>
      <c r="X2181" s="9">
        <f t="shared" si="1149"/>
        <v>581200</v>
      </c>
      <c r="Y2181" s="8"/>
      <c r="Z2181" s="9">
        <f t="shared" si="1150"/>
        <v>0</v>
      </c>
      <c r="AA2181" s="8">
        <f t="shared" si="1151"/>
        <v>581200</v>
      </c>
      <c r="AB2181" s="8">
        <f t="shared" si="1152"/>
        <v>0</v>
      </c>
    </row>
    <row r="2182" spans="1:28" x14ac:dyDescent="0.3">
      <c r="A2182" s="64"/>
      <c r="B2182" s="8"/>
      <c r="C2182" s="7" t="s">
        <v>821</v>
      </c>
      <c r="D2182" s="15" t="s">
        <v>54</v>
      </c>
      <c r="E2182" s="9">
        <v>1767770</v>
      </c>
      <c r="F2182" s="8"/>
      <c r="G2182" s="8"/>
      <c r="H2182" s="9">
        <f t="shared" si="1145"/>
        <v>0</v>
      </c>
      <c r="I2182" s="8"/>
      <c r="J2182" s="9">
        <f t="shared" si="1146"/>
        <v>0</v>
      </c>
      <c r="K2182" s="9">
        <v>1767770</v>
      </c>
      <c r="L2182" s="8"/>
      <c r="M2182" s="9">
        <f t="shared" si="1153"/>
        <v>0</v>
      </c>
      <c r="N2182" s="8">
        <v>1767770</v>
      </c>
      <c r="O2182" s="9"/>
      <c r="P2182" s="9">
        <f t="shared" si="1154"/>
        <v>1767770</v>
      </c>
      <c r="Q2182" s="9">
        <f t="shared" si="1147"/>
        <v>0</v>
      </c>
      <c r="R2182" s="8"/>
      <c r="S2182" s="8"/>
      <c r="T2182" s="8"/>
      <c r="U2182" s="18">
        <f t="shared" si="1148"/>
        <v>1767770</v>
      </c>
      <c r="V2182" s="17"/>
      <c r="W2182" s="17"/>
      <c r="X2182" s="9">
        <f t="shared" si="1149"/>
        <v>1767770</v>
      </c>
      <c r="Y2182" s="8"/>
      <c r="Z2182" s="9">
        <f t="shared" si="1150"/>
        <v>0</v>
      </c>
      <c r="AA2182" s="8">
        <f t="shared" si="1151"/>
        <v>1767770</v>
      </c>
      <c r="AB2182" s="8">
        <f t="shared" si="1152"/>
        <v>0</v>
      </c>
    </row>
    <row r="2183" spans="1:28" x14ac:dyDescent="0.3">
      <c r="A2183" s="64"/>
      <c r="B2183" s="8"/>
      <c r="C2183" s="7" t="s">
        <v>535</v>
      </c>
      <c r="D2183" s="15" t="s">
        <v>85</v>
      </c>
      <c r="E2183" s="9">
        <f>1123000-112300</f>
        <v>1010700</v>
      </c>
      <c r="F2183" s="9">
        <v>1010700</v>
      </c>
      <c r="G2183" s="8"/>
      <c r="H2183" s="9">
        <f t="shared" si="1145"/>
        <v>1010700</v>
      </c>
      <c r="I2183" s="8"/>
      <c r="J2183" s="9">
        <f t="shared" si="1146"/>
        <v>1010700</v>
      </c>
      <c r="K2183" s="8"/>
      <c r="L2183" s="8"/>
      <c r="M2183" s="9">
        <f t="shared" si="1153"/>
        <v>1010700</v>
      </c>
      <c r="N2183" s="8"/>
      <c r="O2183" s="9"/>
      <c r="P2183" s="9">
        <f t="shared" si="1154"/>
        <v>0</v>
      </c>
      <c r="Q2183" s="9">
        <f t="shared" si="1147"/>
        <v>1010700</v>
      </c>
      <c r="R2183" s="8"/>
      <c r="S2183" s="8"/>
      <c r="T2183" s="8"/>
      <c r="U2183" s="18">
        <f t="shared" si="1148"/>
        <v>0</v>
      </c>
      <c r="V2183" s="17"/>
      <c r="W2183" s="17"/>
      <c r="X2183" s="9">
        <f t="shared" si="1149"/>
        <v>1010700</v>
      </c>
      <c r="Y2183" s="8"/>
      <c r="Z2183" s="9">
        <f t="shared" si="1150"/>
        <v>0</v>
      </c>
      <c r="AA2183" s="8">
        <f t="shared" si="1151"/>
        <v>1010700</v>
      </c>
      <c r="AB2183" s="8">
        <f t="shared" si="1152"/>
        <v>0</v>
      </c>
    </row>
    <row r="2184" spans="1:28" x14ac:dyDescent="0.3">
      <c r="A2184" s="64"/>
      <c r="B2184" s="8"/>
      <c r="C2184" s="7" t="s">
        <v>822</v>
      </c>
      <c r="D2184" s="15" t="s">
        <v>85</v>
      </c>
      <c r="E2184" s="9">
        <v>1060000</v>
      </c>
      <c r="F2184" s="9">
        <v>1060000</v>
      </c>
      <c r="G2184" s="8"/>
      <c r="H2184" s="9">
        <f t="shared" si="1145"/>
        <v>1060000</v>
      </c>
      <c r="I2184" s="8"/>
      <c r="J2184" s="9">
        <f t="shared" si="1146"/>
        <v>1060000</v>
      </c>
      <c r="K2184" s="8"/>
      <c r="L2184" s="8"/>
      <c r="M2184" s="9">
        <f t="shared" si="1153"/>
        <v>1060000</v>
      </c>
      <c r="N2184" s="8"/>
      <c r="O2184" s="9"/>
      <c r="P2184" s="9">
        <f t="shared" si="1154"/>
        <v>0</v>
      </c>
      <c r="Q2184" s="9">
        <f t="shared" si="1147"/>
        <v>1060000</v>
      </c>
      <c r="R2184" s="8"/>
      <c r="S2184" s="8"/>
      <c r="T2184" s="8"/>
      <c r="U2184" s="18">
        <f t="shared" si="1148"/>
        <v>0</v>
      </c>
      <c r="V2184" s="17"/>
      <c r="W2184" s="17"/>
      <c r="X2184" s="9">
        <f t="shared" si="1149"/>
        <v>1060000</v>
      </c>
      <c r="Y2184" s="8"/>
      <c r="Z2184" s="9">
        <f t="shared" si="1150"/>
        <v>0</v>
      </c>
      <c r="AA2184" s="8">
        <f t="shared" si="1151"/>
        <v>1060000</v>
      </c>
      <c r="AB2184" s="8">
        <f t="shared" si="1152"/>
        <v>0</v>
      </c>
    </row>
    <row r="2185" spans="1:28" x14ac:dyDescent="0.3">
      <c r="A2185" s="64"/>
      <c r="B2185" s="8"/>
      <c r="C2185" s="7" t="s">
        <v>667</v>
      </c>
      <c r="D2185" s="15" t="s">
        <v>85</v>
      </c>
      <c r="E2185" s="9">
        <v>120000</v>
      </c>
      <c r="F2185" s="9">
        <v>120000</v>
      </c>
      <c r="G2185" s="8"/>
      <c r="H2185" s="9">
        <f t="shared" si="1145"/>
        <v>120000</v>
      </c>
      <c r="I2185" s="8"/>
      <c r="J2185" s="9">
        <f t="shared" si="1146"/>
        <v>120000</v>
      </c>
      <c r="K2185" s="8"/>
      <c r="L2185" s="8"/>
      <c r="M2185" s="9">
        <f t="shared" si="1153"/>
        <v>120000</v>
      </c>
      <c r="N2185" s="8"/>
      <c r="O2185" s="9"/>
      <c r="P2185" s="9">
        <f t="shared" si="1154"/>
        <v>0</v>
      </c>
      <c r="Q2185" s="9">
        <f t="shared" si="1147"/>
        <v>120000</v>
      </c>
      <c r="R2185" s="8"/>
      <c r="S2185" s="8"/>
      <c r="T2185" s="8"/>
      <c r="U2185" s="18">
        <f t="shared" si="1148"/>
        <v>0</v>
      </c>
      <c r="V2185" s="17"/>
      <c r="W2185" s="17"/>
      <c r="X2185" s="9">
        <f t="shared" si="1149"/>
        <v>120000</v>
      </c>
      <c r="Y2185" s="8"/>
      <c r="Z2185" s="9">
        <f t="shared" si="1150"/>
        <v>0</v>
      </c>
      <c r="AA2185" s="8">
        <f t="shared" si="1151"/>
        <v>120000</v>
      </c>
      <c r="AB2185" s="8">
        <f t="shared" si="1152"/>
        <v>0</v>
      </c>
    </row>
    <row r="2186" spans="1:28" x14ac:dyDescent="0.3">
      <c r="A2186" s="64"/>
      <c r="B2186" s="8"/>
      <c r="C2186" s="7" t="s">
        <v>823</v>
      </c>
      <c r="D2186" s="15" t="s">
        <v>128</v>
      </c>
      <c r="E2186" s="9">
        <v>800000</v>
      </c>
      <c r="F2186" s="8"/>
      <c r="G2186" s="8"/>
      <c r="H2186" s="9">
        <f t="shared" si="1145"/>
        <v>0</v>
      </c>
      <c r="I2186" s="9">
        <v>800000</v>
      </c>
      <c r="J2186" s="9">
        <f t="shared" si="1146"/>
        <v>800000</v>
      </c>
      <c r="K2186" s="8"/>
      <c r="L2186" s="8">
        <v>800000</v>
      </c>
      <c r="M2186" s="9">
        <f t="shared" si="1153"/>
        <v>800000</v>
      </c>
      <c r="N2186" s="8"/>
      <c r="O2186" s="9"/>
      <c r="P2186" s="9">
        <f t="shared" si="1154"/>
        <v>0</v>
      </c>
      <c r="Q2186" s="9">
        <f t="shared" si="1147"/>
        <v>800000</v>
      </c>
      <c r="R2186" s="8"/>
      <c r="S2186" s="8"/>
      <c r="T2186" s="8"/>
      <c r="U2186" s="18">
        <f t="shared" si="1148"/>
        <v>0</v>
      </c>
      <c r="V2186" s="17"/>
      <c r="W2186" s="17"/>
      <c r="X2186" s="9">
        <f t="shared" si="1149"/>
        <v>0</v>
      </c>
      <c r="Y2186" s="8"/>
      <c r="Z2186" s="9">
        <f t="shared" si="1150"/>
        <v>800000</v>
      </c>
      <c r="AA2186" s="8">
        <f t="shared" si="1151"/>
        <v>800000</v>
      </c>
      <c r="AB2186" s="8">
        <f t="shared" si="1152"/>
        <v>0</v>
      </c>
    </row>
    <row r="2187" spans="1:28" x14ac:dyDescent="0.3">
      <c r="A2187" s="64"/>
      <c r="B2187" s="8"/>
      <c r="C2187" s="7" t="s">
        <v>535</v>
      </c>
      <c r="D2187" s="15" t="s">
        <v>88</v>
      </c>
      <c r="E2187" s="9">
        <v>1500000</v>
      </c>
      <c r="F2187" s="9">
        <v>1500000</v>
      </c>
      <c r="G2187" s="8"/>
      <c r="H2187" s="9">
        <f t="shared" si="1145"/>
        <v>1500000</v>
      </c>
      <c r="I2187" s="8"/>
      <c r="J2187" s="9">
        <f t="shared" si="1146"/>
        <v>1500000</v>
      </c>
      <c r="K2187" s="8"/>
      <c r="L2187" s="8"/>
      <c r="M2187" s="9">
        <f t="shared" si="1153"/>
        <v>1500000</v>
      </c>
      <c r="N2187" s="8"/>
      <c r="O2187" s="9"/>
      <c r="P2187" s="9">
        <f t="shared" si="1154"/>
        <v>0</v>
      </c>
      <c r="Q2187" s="9">
        <f t="shared" si="1147"/>
        <v>1500000</v>
      </c>
      <c r="R2187" s="8"/>
      <c r="S2187" s="8"/>
      <c r="T2187" s="8"/>
      <c r="U2187" s="18">
        <f t="shared" si="1148"/>
        <v>0</v>
      </c>
      <c r="V2187" s="17"/>
      <c r="W2187" s="17"/>
      <c r="X2187" s="9">
        <f t="shared" si="1149"/>
        <v>1500000</v>
      </c>
      <c r="Y2187" s="8"/>
      <c r="Z2187" s="9">
        <f t="shared" si="1150"/>
        <v>0</v>
      </c>
      <c r="AA2187" s="8">
        <f t="shared" si="1151"/>
        <v>1500000</v>
      </c>
      <c r="AB2187" s="8">
        <f t="shared" si="1152"/>
        <v>0</v>
      </c>
    </row>
    <row r="2188" spans="1:28" x14ac:dyDescent="0.3">
      <c r="A2188" s="64"/>
      <c r="B2188" s="15" t="s">
        <v>605</v>
      </c>
      <c r="C2188" s="7" t="s">
        <v>535</v>
      </c>
      <c r="D2188" s="15" t="s">
        <v>108</v>
      </c>
      <c r="E2188" s="9">
        <v>2202520.23</v>
      </c>
      <c r="F2188" s="9">
        <v>2202520.23</v>
      </c>
      <c r="G2188" s="8"/>
      <c r="H2188" s="9">
        <f t="shared" si="1145"/>
        <v>2202520.23</v>
      </c>
      <c r="I2188" s="8"/>
      <c r="J2188" s="9">
        <f t="shared" si="1146"/>
        <v>2202520.23</v>
      </c>
      <c r="K2188" s="8"/>
      <c r="L2188" s="8"/>
      <c r="M2188" s="9">
        <f t="shared" si="1153"/>
        <v>2202520.23</v>
      </c>
      <c r="N2188" s="8"/>
      <c r="O2188" s="9"/>
      <c r="P2188" s="9">
        <f t="shared" si="1154"/>
        <v>0</v>
      </c>
      <c r="Q2188" s="9">
        <f t="shared" si="1147"/>
        <v>2202520.23</v>
      </c>
      <c r="R2188" s="8"/>
      <c r="S2188" s="8"/>
      <c r="T2188" s="8"/>
      <c r="U2188" s="18">
        <f t="shared" si="1148"/>
        <v>0</v>
      </c>
      <c r="V2188" s="17"/>
      <c r="W2188" s="17"/>
      <c r="X2188" s="9">
        <f t="shared" si="1149"/>
        <v>2202520.23</v>
      </c>
      <c r="Y2188" s="8"/>
      <c r="Z2188" s="9">
        <f t="shared" si="1150"/>
        <v>0</v>
      </c>
      <c r="AA2188" s="8">
        <f t="shared" si="1151"/>
        <v>2202520.23</v>
      </c>
      <c r="AB2188" s="8">
        <f t="shared" si="1152"/>
        <v>0</v>
      </c>
    </row>
    <row r="2189" spans="1:28" x14ac:dyDescent="0.3">
      <c r="A2189" s="64"/>
      <c r="B2189" s="8"/>
      <c r="C2189" s="7" t="s">
        <v>535</v>
      </c>
      <c r="D2189" s="21" t="s">
        <v>60</v>
      </c>
      <c r="E2189" s="9">
        <v>3192850</v>
      </c>
      <c r="F2189" s="9">
        <v>3192850</v>
      </c>
      <c r="G2189" s="8"/>
      <c r="H2189" s="9">
        <f t="shared" si="1145"/>
        <v>3192850</v>
      </c>
      <c r="I2189" s="8"/>
      <c r="J2189" s="9">
        <f t="shared" si="1146"/>
        <v>3192850</v>
      </c>
      <c r="K2189" s="8"/>
      <c r="L2189" s="8"/>
      <c r="M2189" s="9">
        <f t="shared" si="1153"/>
        <v>3192850</v>
      </c>
      <c r="N2189" s="8"/>
      <c r="O2189" s="9"/>
      <c r="P2189" s="9">
        <f t="shared" si="1154"/>
        <v>0</v>
      </c>
      <c r="Q2189" s="9">
        <f t="shared" si="1147"/>
        <v>3192850</v>
      </c>
      <c r="R2189" s="8"/>
      <c r="S2189" s="8"/>
      <c r="T2189" s="8"/>
      <c r="U2189" s="18">
        <f t="shared" si="1148"/>
        <v>0</v>
      </c>
      <c r="V2189" s="17"/>
      <c r="W2189" s="17"/>
      <c r="X2189" s="9">
        <f t="shared" si="1149"/>
        <v>3192850</v>
      </c>
      <c r="Y2189" s="8"/>
      <c r="Z2189" s="9">
        <f t="shared" si="1150"/>
        <v>0</v>
      </c>
      <c r="AA2189" s="8">
        <f t="shared" si="1151"/>
        <v>3192850</v>
      </c>
      <c r="AB2189" s="8">
        <f t="shared" si="1152"/>
        <v>0</v>
      </c>
    </row>
    <row r="2190" spans="1:28" x14ac:dyDescent="0.3">
      <c r="A2190" s="64"/>
      <c r="B2190" s="8"/>
      <c r="C2190" s="7" t="s">
        <v>535</v>
      </c>
      <c r="D2190" s="21" t="s">
        <v>73</v>
      </c>
      <c r="E2190" s="9">
        <f>1250465+532245.36</f>
        <v>1782710.3599999999</v>
      </c>
      <c r="F2190" s="9">
        <v>1782710.36</v>
      </c>
      <c r="G2190" s="8"/>
      <c r="H2190" s="9">
        <f t="shared" si="1145"/>
        <v>1782710.36</v>
      </c>
      <c r="I2190" s="8"/>
      <c r="J2190" s="9">
        <f t="shared" si="1146"/>
        <v>1782710.36</v>
      </c>
      <c r="K2190" s="8"/>
      <c r="L2190" s="8"/>
      <c r="M2190" s="9">
        <f t="shared" si="1153"/>
        <v>1782710.36</v>
      </c>
      <c r="N2190" s="8"/>
      <c r="O2190" s="9"/>
      <c r="P2190" s="9">
        <f t="shared" si="1154"/>
        <v>0</v>
      </c>
      <c r="Q2190" s="9">
        <f t="shared" si="1147"/>
        <v>1782710.3599999999</v>
      </c>
      <c r="R2190" s="8"/>
      <c r="S2190" s="8"/>
      <c r="T2190" s="8"/>
      <c r="U2190" s="18">
        <f t="shared" si="1148"/>
        <v>0</v>
      </c>
      <c r="V2190" s="17"/>
      <c r="W2190" s="17"/>
      <c r="X2190" s="9">
        <f t="shared" si="1149"/>
        <v>1782710.36</v>
      </c>
      <c r="Y2190" s="8"/>
      <c r="Z2190" s="9">
        <f t="shared" si="1150"/>
        <v>0</v>
      </c>
      <c r="AA2190" s="8">
        <f t="shared" si="1151"/>
        <v>1782710.36</v>
      </c>
      <c r="AB2190" s="8">
        <f t="shared" si="1152"/>
        <v>0</v>
      </c>
    </row>
    <row r="2191" spans="1:28" x14ac:dyDescent="0.3">
      <c r="A2191" s="64"/>
      <c r="B2191" s="8"/>
      <c r="C2191" s="7" t="s">
        <v>535</v>
      </c>
      <c r="D2191" s="21" t="s">
        <v>61</v>
      </c>
      <c r="E2191" s="11">
        <f>395947.65+2001052.35</f>
        <v>2397000</v>
      </c>
      <c r="F2191" s="11">
        <f>395947.65+2001052.35</f>
        <v>2397000</v>
      </c>
      <c r="G2191" s="8"/>
      <c r="H2191" s="9">
        <f t="shared" si="1145"/>
        <v>2397000</v>
      </c>
      <c r="I2191" s="8"/>
      <c r="J2191" s="9">
        <f t="shared" si="1146"/>
        <v>2397000</v>
      </c>
      <c r="K2191" s="8"/>
      <c r="L2191" s="8"/>
      <c r="M2191" s="9">
        <f t="shared" si="1153"/>
        <v>2397000</v>
      </c>
      <c r="N2191" s="8"/>
      <c r="O2191" s="9"/>
      <c r="P2191" s="9">
        <f t="shared" si="1154"/>
        <v>0</v>
      </c>
      <c r="Q2191" s="9">
        <f t="shared" si="1147"/>
        <v>2397000</v>
      </c>
      <c r="R2191" s="8"/>
      <c r="S2191" s="8"/>
      <c r="T2191" s="8"/>
      <c r="U2191" s="18">
        <f t="shared" si="1148"/>
        <v>0</v>
      </c>
      <c r="V2191" s="17"/>
      <c r="W2191" s="17"/>
      <c r="X2191" s="9">
        <f t="shared" si="1149"/>
        <v>2397000</v>
      </c>
      <c r="Y2191" s="8"/>
      <c r="Z2191" s="9">
        <f t="shared" si="1150"/>
        <v>0</v>
      </c>
      <c r="AA2191" s="8">
        <f t="shared" si="1151"/>
        <v>2397000</v>
      </c>
      <c r="AB2191" s="8">
        <f t="shared" si="1152"/>
        <v>0</v>
      </c>
    </row>
    <row r="2192" spans="1:28" x14ac:dyDescent="0.3">
      <c r="A2192" s="64"/>
      <c r="B2192" s="8"/>
      <c r="C2192" s="7" t="s">
        <v>569</v>
      </c>
      <c r="D2192" s="8"/>
      <c r="E2192" s="9">
        <v>965521.58</v>
      </c>
      <c r="F2192" s="9">
        <v>965521.58</v>
      </c>
      <c r="G2192" s="8"/>
      <c r="H2192" s="9">
        <f t="shared" si="1145"/>
        <v>965521.58</v>
      </c>
      <c r="I2192" s="8"/>
      <c r="J2192" s="9">
        <f t="shared" si="1146"/>
        <v>965521.58</v>
      </c>
      <c r="K2192" s="8"/>
      <c r="L2192" s="8"/>
      <c r="M2192" s="9">
        <f t="shared" si="1153"/>
        <v>965521.58</v>
      </c>
      <c r="N2192" s="8"/>
      <c r="O2192" s="9"/>
      <c r="P2192" s="9">
        <f t="shared" si="1154"/>
        <v>0</v>
      </c>
      <c r="Q2192" s="9">
        <f t="shared" si="1147"/>
        <v>965521.58</v>
      </c>
      <c r="R2192" s="8"/>
      <c r="S2192" s="8"/>
      <c r="T2192" s="8"/>
      <c r="U2192" s="18">
        <f t="shared" si="1148"/>
        <v>0</v>
      </c>
      <c r="V2192" s="17"/>
      <c r="W2192" s="17"/>
      <c r="X2192" s="9">
        <f t="shared" si="1149"/>
        <v>965521.58</v>
      </c>
      <c r="Y2192" s="8"/>
      <c r="Z2192" s="9">
        <f t="shared" si="1150"/>
        <v>0</v>
      </c>
      <c r="AA2192" s="8">
        <f t="shared" si="1151"/>
        <v>965521.58</v>
      </c>
      <c r="AB2192" s="8">
        <f t="shared" si="1152"/>
        <v>0</v>
      </c>
    </row>
    <row r="2193" spans="1:28" x14ac:dyDescent="0.3">
      <c r="A2193" s="64"/>
      <c r="B2193" s="8"/>
      <c r="C2193" s="7" t="s">
        <v>933</v>
      </c>
      <c r="D2193" s="8"/>
      <c r="E2193" s="9">
        <v>1494000</v>
      </c>
      <c r="F2193" s="9">
        <v>1494000</v>
      </c>
      <c r="G2193" s="8"/>
      <c r="H2193" s="9">
        <f>+F2193+G2193</f>
        <v>1494000</v>
      </c>
      <c r="I2193" s="8"/>
      <c r="J2193" s="9"/>
      <c r="K2193" s="8"/>
      <c r="L2193" s="8"/>
      <c r="M2193" s="9">
        <f>+H2193+L2193</f>
        <v>1494000</v>
      </c>
      <c r="N2193" s="8"/>
      <c r="O2193" s="9"/>
      <c r="P2193" s="9">
        <f t="shared" si="1154"/>
        <v>0</v>
      </c>
      <c r="Q2193" s="9"/>
      <c r="R2193" s="8"/>
      <c r="S2193" s="8"/>
      <c r="T2193" s="8"/>
      <c r="U2193" s="18">
        <f>+P2193+T2193</f>
        <v>0</v>
      </c>
      <c r="V2193" s="17"/>
      <c r="W2193" s="17"/>
      <c r="X2193" s="9">
        <f t="shared" si="1149"/>
        <v>1494000</v>
      </c>
      <c r="Y2193" s="8"/>
      <c r="Z2193" s="9">
        <f t="shared" si="1150"/>
        <v>0</v>
      </c>
      <c r="AA2193" s="8">
        <f t="shared" si="1151"/>
        <v>1494000</v>
      </c>
      <c r="AB2193" s="8">
        <f t="shared" si="1152"/>
        <v>0</v>
      </c>
    </row>
    <row r="2194" spans="1:28" x14ac:dyDescent="0.3">
      <c r="A2194" s="64"/>
      <c r="B2194" s="8"/>
      <c r="C2194" s="7" t="s">
        <v>1173</v>
      </c>
      <c r="D2194" s="23" t="s">
        <v>1126</v>
      </c>
      <c r="E2194" s="9">
        <v>7125160.2000000002</v>
      </c>
      <c r="F2194" s="8">
        <v>7125160.2000000002</v>
      </c>
      <c r="G2194" s="8"/>
      <c r="H2194" s="9">
        <f>+F2194+G2194</f>
        <v>7125160.2000000002</v>
      </c>
      <c r="I2194" s="8"/>
      <c r="J2194" s="9"/>
      <c r="K2194" s="8"/>
      <c r="L2194" s="8"/>
      <c r="M2194" s="9">
        <f>+H2194+L2194</f>
        <v>7125160.2000000002</v>
      </c>
      <c r="N2194" s="8"/>
      <c r="O2194" s="9"/>
      <c r="P2194" s="9">
        <f>+N2194+O2194</f>
        <v>0</v>
      </c>
      <c r="Q2194" s="9"/>
      <c r="R2194" s="8"/>
      <c r="S2194" s="8"/>
      <c r="T2194" s="8"/>
      <c r="U2194" s="18">
        <f>+P2194+T2194</f>
        <v>0</v>
      </c>
      <c r="V2194" s="17"/>
      <c r="W2194" s="17"/>
      <c r="X2194" s="9">
        <f t="shared" si="1149"/>
        <v>7125160.2000000002</v>
      </c>
      <c r="Y2194" s="8"/>
      <c r="Z2194" s="9">
        <f t="shared" si="1150"/>
        <v>0</v>
      </c>
      <c r="AA2194" s="8">
        <f t="shared" si="1151"/>
        <v>7125160.2000000002</v>
      </c>
      <c r="AB2194" s="8">
        <f t="shared" si="1152"/>
        <v>0</v>
      </c>
    </row>
    <row r="2195" spans="1:28" x14ac:dyDescent="0.3">
      <c r="A2195" s="64"/>
      <c r="B2195" s="8"/>
      <c r="C2195" s="13" t="s">
        <v>1083</v>
      </c>
      <c r="D2195" s="23" t="s">
        <v>1072</v>
      </c>
      <c r="E2195" s="9">
        <f>5713343.72+1571678.25</f>
        <v>7285021.9699999997</v>
      </c>
      <c r="F2195" s="8">
        <f>5713343.72+1571678.25</f>
        <v>7285021.9699999997</v>
      </c>
      <c r="G2195" s="8"/>
      <c r="H2195" s="9">
        <f>+F2195+G2195</f>
        <v>7285021.9699999997</v>
      </c>
      <c r="I2195" s="8"/>
      <c r="J2195" s="9"/>
      <c r="K2195" s="8"/>
      <c r="L2195" s="8"/>
      <c r="M2195" s="9">
        <f>+H2195+L2195</f>
        <v>7285021.9699999997</v>
      </c>
      <c r="N2195" s="8"/>
      <c r="O2195" s="9"/>
      <c r="P2195" s="9">
        <f>+N2195+O2195</f>
        <v>0</v>
      </c>
      <c r="Q2195" s="9"/>
      <c r="R2195" s="8"/>
      <c r="S2195" s="8"/>
      <c r="T2195" s="8"/>
      <c r="U2195" s="18">
        <f>+P2195+T2195</f>
        <v>0</v>
      </c>
      <c r="V2195" s="17"/>
      <c r="W2195" s="17"/>
      <c r="X2195" s="9">
        <f t="shared" si="1149"/>
        <v>7285021.9699999997</v>
      </c>
      <c r="Y2195" s="8"/>
      <c r="Z2195" s="9">
        <f t="shared" si="1150"/>
        <v>0</v>
      </c>
      <c r="AA2195" s="8">
        <f t="shared" si="1151"/>
        <v>7285021.9699999997</v>
      </c>
      <c r="AB2195" s="8">
        <f t="shared" si="1152"/>
        <v>0</v>
      </c>
    </row>
    <row r="2196" spans="1:28" x14ac:dyDescent="0.3">
      <c r="A2196" s="64"/>
      <c r="B2196" s="8"/>
      <c r="C2196" s="7" t="s">
        <v>606</v>
      </c>
      <c r="D2196" s="8"/>
      <c r="E2196" s="9">
        <v>1598745</v>
      </c>
      <c r="F2196" s="9">
        <v>1598745</v>
      </c>
      <c r="G2196" s="8"/>
      <c r="H2196" s="9">
        <f t="shared" si="1145"/>
        <v>1598745</v>
      </c>
      <c r="I2196" s="8"/>
      <c r="J2196" s="9">
        <f t="shared" si="1146"/>
        <v>1598745</v>
      </c>
      <c r="K2196" s="8"/>
      <c r="L2196" s="8"/>
      <c r="M2196" s="9">
        <f t="shared" si="1153"/>
        <v>1598745</v>
      </c>
      <c r="N2196" s="8"/>
      <c r="O2196" s="9"/>
      <c r="P2196" s="9">
        <f t="shared" si="1154"/>
        <v>0</v>
      </c>
      <c r="Q2196" s="9">
        <f t="shared" si="1147"/>
        <v>1598745</v>
      </c>
      <c r="R2196" s="8"/>
      <c r="S2196" s="8"/>
      <c r="T2196" s="8"/>
      <c r="U2196" s="18">
        <f t="shared" si="1148"/>
        <v>0</v>
      </c>
      <c r="V2196" s="17"/>
      <c r="W2196" s="17"/>
      <c r="X2196" s="9">
        <f t="shared" si="1149"/>
        <v>1598745</v>
      </c>
      <c r="Y2196" s="8"/>
      <c r="Z2196" s="9">
        <f t="shared" si="1150"/>
        <v>0</v>
      </c>
      <c r="AA2196" s="8">
        <f t="shared" si="1151"/>
        <v>1598745</v>
      </c>
      <c r="AB2196" s="8">
        <f t="shared" si="1152"/>
        <v>0</v>
      </c>
    </row>
    <row r="2197" spans="1:28" x14ac:dyDescent="0.3">
      <c r="A2197" s="64"/>
      <c r="B2197" s="8"/>
      <c r="C2197" s="8"/>
      <c r="D2197" s="8"/>
      <c r="E2197" s="17" t="s">
        <v>29</v>
      </c>
      <c r="F2197" s="17" t="s">
        <v>29</v>
      </c>
      <c r="G2197" s="17" t="s">
        <v>29</v>
      </c>
      <c r="H2197" s="17" t="s">
        <v>29</v>
      </c>
      <c r="I2197" s="17" t="s">
        <v>29</v>
      </c>
      <c r="J2197" s="17" t="s">
        <v>29</v>
      </c>
      <c r="K2197" s="17" t="s">
        <v>29</v>
      </c>
      <c r="L2197" s="17" t="s">
        <v>29</v>
      </c>
      <c r="M2197" s="17" t="s">
        <v>29</v>
      </c>
      <c r="N2197" s="17" t="s">
        <v>29</v>
      </c>
      <c r="O2197" s="17" t="s">
        <v>29</v>
      </c>
      <c r="P2197" s="17" t="s">
        <v>29</v>
      </c>
      <c r="Q2197" s="17" t="s">
        <v>29</v>
      </c>
      <c r="R2197" s="17" t="s">
        <v>29</v>
      </c>
      <c r="S2197" s="17" t="s">
        <v>29</v>
      </c>
      <c r="T2197" s="17" t="s">
        <v>29</v>
      </c>
      <c r="U2197" s="17" t="s">
        <v>29</v>
      </c>
      <c r="V2197" s="17" t="s">
        <v>29</v>
      </c>
      <c r="W2197" s="17" t="s">
        <v>29</v>
      </c>
      <c r="X2197" s="17" t="s">
        <v>29</v>
      </c>
      <c r="Y2197" s="17" t="s">
        <v>29</v>
      </c>
      <c r="Z2197" s="17" t="s">
        <v>29</v>
      </c>
      <c r="AA2197" s="17" t="s">
        <v>29</v>
      </c>
      <c r="AB2197" s="17" t="s">
        <v>29</v>
      </c>
    </row>
    <row r="2198" spans="1:28" x14ac:dyDescent="0.3">
      <c r="A2198" s="64"/>
      <c r="B2198" s="8"/>
      <c r="C2198" s="8"/>
      <c r="D2198" s="8"/>
      <c r="E2198" s="9">
        <f t="shared" ref="E2198:Q2198" si="1155">SUM(E2180:E2197)</f>
        <v>35073984.329999998</v>
      </c>
      <c r="F2198" s="9">
        <f t="shared" si="1155"/>
        <v>32450383.93</v>
      </c>
      <c r="G2198" s="9">
        <f t="shared" si="1155"/>
        <v>0</v>
      </c>
      <c r="H2198" s="9">
        <f t="shared" si="1155"/>
        <v>32450383.93</v>
      </c>
      <c r="I2198" s="9">
        <f t="shared" si="1155"/>
        <v>800000</v>
      </c>
      <c r="J2198" s="9">
        <f t="shared" si="1155"/>
        <v>17346201.759999998</v>
      </c>
      <c r="K2198" s="9">
        <f t="shared" si="1155"/>
        <v>1823600.4</v>
      </c>
      <c r="L2198" s="9">
        <f t="shared" si="1155"/>
        <v>800000</v>
      </c>
      <c r="M2198" s="9">
        <f t="shared" si="1155"/>
        <v>33250383.929999996</v>
      </c>
      <c r="N2198" s="9">
        <f t="shared" si="1155"/>
        <v>1823600.4</v>
      </c>
      <c r="O2198" s="9">
        <f t="shared" si="1155"/>
        <v>0</v>
      </c>
      <c r="P2198" s="9">
        <f t="shared" si="1155"/>
        <v>1823600.4</v>
      </c>
      <c r="Q2198" s="9">
        <f t="shared" si="1155"/>
        <v>17346201.759999998</v>
      </c>
      <c r="R2198" s="8"/>
      <c r="S2198" s="8"/>
      <c r="T2198" s="9">
        <f t="shared" ref="T2198:Z2198" si="1156">SUM(T2180:T2197)</f>
        <v>0</v>
      </c>
      <c r="U2198" s="9">
        <f t="shared" si="1156"/>
        <v>1823600.4</v>
      </c>
      <c r="V2198" s="9">
        <f t="shared" si="1156"/>
        <v>0</v>
      </c>
      <c r="W2198" s="9">
        <f t="shared" si="1156"/>
        <v>0</v>
      </c>
      <c r="X2198" s="9">
        <f t="shared" si="1156"/>
        <v>34273984.329999998</v>
      </c>
      <c r="Y2198" s="9">
        <f t="shared" si="1156"/>
        <v>0</v>
      </c>
      <c r="Z2198" s="9">
        <f t="shared" si="1156"/>
        <v>800000</v>
      </c>
      <c r="AA2198" s="9">
        <f>SUM(AA2180:AA2197)</f>
        <v>35073984.329999998</v>
      </c>
      <c r="AB2198" s="9">
        <f>SUM(AB2180:AB2197)</f>
        <v>0</v>
      </c>
    </row>
    <row r="2199" spans="1:28" x14ac:dyDescent="0.3">
      <c r="A2199" s="64"/>
      <c r="B2199" s="8"/>
      <c r="C2199" s="8"/>
      <c r="D2199" s="8"/>
      <c r="E2199" s="17" t="s">
        <v>29</v>
      </c>
      <c r="F2199" s="17" t="s">
        <v>29</v>
      </c>
      <c r="G2199" s="17" t="s">
        <v>29</v>
      </c>
      <c r="H2199" s="17" t="s">
        <v>29</v>
      </c>
      <c r="I2199" s="17" t="s">
        <v>29</v>
      </c>
      <c r="J2199" s="17" t="s">
        <v>29</v>
      </c>
      <c r="K2199" s="17" t="s">
        <v>29</v>
      </c>
      <c r="L2199" s="17" t="s">
        <v>29</v>
      </c>
      <c r="M2199" s="17" t="s">
        <v>29</v>
      </c>
      <c r="N2199" s="17" t="s">
        <v>29</v>
      </c>
      <c r="O2199" s="17" t="s">
        <v>29</v>
      </c>
      <c r="P2199" s="17" t="s">
        <v>29</v>
      </c>
      <c r="Q2199" s="17" t="s">
        <v>29</v>
      </c>
      <c r="R2199" s="17" t="s">
        <v>29</v>
      </c>
      <c r="S2199" s="17" t="s">
        <v>29</v>
      </c>
      <c r="T2199" s="17" t="s">
        <v>29</v>
      </c>
      <c r="U2199" s="17" t="s">
        <v>29</v>
      </c>
      <c r="V2199" s="17" t="s">
        <v>29</v>
      </c>
      <c r="W2199" s="17" t="s">
        <v>29</v>
      </c>
      <c r="X2199" s="17" t="s">
        <v>29</v>
      </c>
      <c r="Y2199" s="17" t="s">
        <v>29</v>
      </c>
      <c r="Z2199" s="17" t="s">
        <v>29</v>
      </c>
      <c r="AA2199" s="17" t="s">
        <v>29</v>
      </c>
      <c r="AB2199" s="17" t="s">
        <v>29</v>
      </c>
    </row>
    <row r="2200" spans="1:28" x14ac:dyDescent="0.3">
      <c r="A2200" s="63" t="s">
        <v>1032</v>
      </c>
      <c r="B2200" s="7" t="s">
        <v>824</v>
      </c>
      <c r="C2200" s="8"/>
      <c r="D2200" s="8"/>
      <c r="E2200" s="8"/>
      <c r="F2200" s="8"/>
      <c r="G2200" s="8"/>
      <c r="H2200" s="8"/>
      <c r="I2200" s="8"/>
      <c r="J2200" s="8"/>
      <c r="K2200" s="8"/>
      <c r="L2200" s="8"/>
      <c r="M2200" s="8"/>
      <c r="N2200" s="8"/>
      <c r="O2200" s="8"/>
      <c r="P2200" s="8"/>
      <c r="Q2200" s="8"/>
      <c r="R2200" s="8"/>
      <c r="S2200" s="8"/>
      <c r="T2200" s="8"/>
      <c r="U2200" s="8"/>
      <c r="V2200" s="8"/>
      <c r="W2200" s="8"/>
      <c r="X2200" s="8"/>
      <c r="Y2200" s="8"/>
      <c r="Z2200" s="8"/>
    </row>
    <row r="2201" spans="1:28" x14ac:dyDescent="0.3">
      <c r="A2201" s="64"/>
      <c r="B2201" s="8"/>
      <c r="C2201" s="7" t="s">
        <v>535</v>
      </c>
      <c r="D2201" s="15" t="s">
        <v>68</v>
      </c>
      <c r="E2201" s="9">
        <f>3504550-3197104.17</f>
        <v>307445.83000000007</v>
      </c>
      <c r="F2201" s="8"/>
      <c r="G2201" s="8"/>
      <c r="H2201" s="9">
        <f t="shared" ref="H2201:H2221" si="1157">F2201+G2201</f>
        <v>0</v>
      </c>
      <c r="I2201" s="8"/>
      <c r="J2201" s="9">
        <f t="shared" ref="J2201:J2221" si="1158">H2201+I2201</f>
        <v>0</v>
      </c>
      <c r="K2201" s="9">
        <v>307445.83</v>
      </c>
      <c r="L2201" s="8"/>
      <c r="M2201" s="9">
        <f>+H2201+L2201</f>
        <v>0</v>
      </c>
      <c r="N2201" s="8">
        <v>307445.83</v>
      </c>
      <c r="O2201" s="9"/>
      <c r="P2201" s="9">
        <f>+N2201+O2201</f>
        <v>307445.83</v>
      </c>
      <c r="Q2201" s="9">
        <f t="shared" ref="Q2201:Q2221" si="1159">E2201-P2201</f>
        <v>0</v>
      </c>
      <c r="R2201" s="8"/>
      <c r="S2201" s="8"/>
      <c r="T2201" s="8"/>
      <c r="U2201" s="18">
        <f t="shared" ref="U2201:U2221" si="1160">+P2201+T2201</f>
        <v>307445.83</v>
      </c>
      <c r="V2201" s="17"/>
      <c r="W2201" s="17"/>
      <c r="X2201" s="9">
        <f t="shared" ref="X2201:X2221" si="1161">+H2201+P2201</f>
        <v>307445.83</v>
      </c>
      <c r="Y2201" s="8"/>
      <c r="Z2201" s="9">
        <f t="shared" ref="Z2201:Z2221" si="1162">+E2201-X2201</f>
        <v>0</v>
      </c>
      <c r="AA2201" s="8">
        <f t="shared" ref="AA2201:AA2221" si="1163">+M2201+U2201</f>
        <v>307445.83</v>
      </c>
      <c r="AB2201" s="8">
        <f t="shared" ref="AB2201:AB2221" si="1164">+E2201-AA2201</f>
        <v>0</v>
      </c>
    </row>
    <row r="2202" spans="1:28" x14ac:dyDescent="0.3">
      <c r="A2202" s="64"/>
      <c r="B2202" s="8"/>
      <c r="C2202" s="7" t="s">
        <v>539</v>
      </c>
      <c r="D2202" s="15" t="s">
        <v>68</v>
      </c>
      <c r="E2202" s="9">
        <v>505782.9</v>
      </c>
      <c r="F2202" s="8"/>
      <c r="G2202" s="8"/>
      <c r="H2202" s="9">
        <f t="shared" si="1157"/>
        <v>0</v>
      </c>
      <c r="I2202" s="8"/>
      <c r="J2202" s="9">
        <f t="shared" si="1158"/>
        <v>0</v>
      </c>
      <c r="K2202" s="9">
        <v>505782.9</v>
      </c>
      <c r="L2202" s="8"/>
      <c r="M2202" s="9">
        <f t="shared" ref="M2202:M2221" si="1165">+H2202+L2202</f>
        <v>0</v>
      </c>
      <c r="N2202" s="8">
        <v>505782.9</v>
      </c>
      <c r="O2202" s="9"/>
      <c r="P2202" s="9">
        <f t="shared" ref="P2202:P2221" si="1166">+N2202+O2202</f>
        <v>505782.9</v>
      </c>
      <c r="Q2202" s="9">
        <f t="shared" si="1159"/>
        <v>0</v>
      </c>
      <c r="R2202" s="8"/>
      <c r="S2202" s="8"/>
      <c r="T2202" s="8"/>
      <c r="U2202" s="18">
        <f t="shared" si="1160"/>
        <v>505782.9</v>
      </c>
      <c r="V2202" s="17"/>
      <c r="W2202" s="17"/>
      <c r="X2202" s="9">
        <f t="shared" si="1161"/>
        <v>505782.9</v>
      </c>
      <c r="Y2202" s="8"/>
      <c r="Z2202" s="9">
        <f t="shared" si="1162"/>
        <v>0</v>
      </c>
      <c r="AA2202" s="8">
        <f t="shared" si="1163"/>
        <v>505782.9</v>
      </c>
      <c r="AB2202" s="8">
        <f t="shared" si="1164"/>
        <v>0</v>
      </c>
    </row>
    <row r="2203" spans="1:28" x14ac:dyDescent="0.3">
      <c r="A2203" s="64"/>
      <c r="B2203" s="8"/>
      <c r="C2203" s="7" t="s">
        <v>535</v>
      </c>
      <c r="D2203" s="15" t="s">
        <v>54</v>
      </c>
      <c r="E2203" s="9">
        <f>645000-32250-72750</f>
        <v>540000</v>
      </c>
      <c r="F2203" s="9">
        <v>540000</v>
      </c>
      <c r="G2203" s="8"/>
      <c r="H2203" s="9">
        <f t="shared" si="1157"/>
        <v>540000</v>
      </c>
      <c r="I2203" s="8"/>
      <c r="J2203" s="9">
        <f t="shared" si="1158"/>
        <v>540000</v>
      </c>
      <c r="K2203" s="8"/>
      <c r="L2203" s="8"/>
      <c r="M2203" s="9">
        <f t="shared" si="1165"/>
        <v>540000</v>
      </c>
      <c r="N2203" s="8"/>
      <c r="O2203" s="9"/>
      <c r="P2203" s="9">
        <f t="shared" si="1166"/>
        <v>0</v>
      </c>
      <c r="Q2203" s="9">
        <f t="shared" si="1159"/>
        <v>540000</v>
      </c>
      <c r="R2203" s="8"/>
      <c r="S2203" s="8"/>
      <c r="T2203" s="8"/>
      <c r="U2203" s="18">
        <f t="shared" si="1160"/>
        <v>0</v>
      </c>
      <c r="V2203" s="17"/>
      <c r="W2203" s="17"/>
      <c r="X2203" s="9">
        <f t="shared" si="1161"/>
        <v>540000</v>
      </c>
      <c r="Y2203" s="8"/>
      <c r="Z2203" s="9">
        <f t="shared" si="1162"/>
        <v>0</v>
      </c>
      <c r="AA2203" s="8">
        <f t="shared" si="1163"/>
        <v>540000</v>
      </c>
      <c r="AB2203" s="8">
        <f t="shared" si="1164"/>
        <v>0</v>
      </c>
    </row>
    <row r="2204" spans="1:28" x14ac:dyDescent="0.3">
      <c r="A2204" s="64"/>
      <c r="B2204" s="8"/>
      <c r="C2204" s="7" t="s">
        <v>825</v>
      </c>
      <c r="D2204" s="15" t="s">
        <v>54</v>
      </c>
      <c r="E2204" s="9">
        <f>570000+570000-40124</f>
        <v>1099876</v>
      </c>
      <c r="F2204" s="9">
        <f>529876+570000</f>
        <v>1099876</v>
      </c>
      <c r="G2204" s="8"/>
      <c r="H2204" s="9">
        <f t="shared" si="1157"/>
        <v>1099876</v>
      </c>
      <c r="I2204" s="8"/>
      <c r="J2204" s="9">
        <f t="shared" si="1158"/>
        <v>1099876</v>
      </c>
      <c r="K2204" s="8"/>
      <c r="L2204" s="8"/>
      <c r="M2204" s="9">
        <f t="shared" si="1165"/>
        <v>1099876</v>
      </c>
      <c r="N2204" s="8"/>
      <c r="O2204" s="9"/>
      <c r="P2204" s="9">
        <f t="shared" si="1166"/>
        <v>0</v>
      </c>
      <c r="Q2204" s="9">
        <f t="shared" si="1159"/>
        <v>1099876</v>
      </c>
      <c r="R2204" s="8"/>
      <c r="S2204" s="8"/>
      <c r="T2204" s="8"/>
      <c r="U2204" s="18">
        <f t="shared" si="1160"/>
        <v>0</v>
      </c>
      <c r="V2204" s="17"/>
      <c r="W2204" s="17"/>
      <c r="X2204" s="9">
        <f t="shared" si="1161"/>
        <v>1099876</v>
      </c>
      <c r="Y2204" s="8"/>
      <c r="Z2204" s="9">
        <f t="shared" si="1162"/>
        <v>0</v>
      </c>
      <c r="AA2204" s="8">
        <f t="shared" si="1163"/>
        <v>1099876</v>
      </c>
      <c r="AB2204" s="8">
        <f t="shared" si="1164"/>
        <v>0</v>
      </c>
    </row>
    <row r="2205" spans="1:28" x14ac:dyDescent="0.3">
      <c r="A2205" s="64"/>
      <c r="B2205" s="8"/>
      <c r="C2205" s="7" t="s">
        <v>825</v>
      </c>
      <c r="D2205" s="15" t="s">
        <v>54</v>
      </c>
      <c r="E2205" s="9">
        <f>190000-21140</f>
        <v>168860</v>
      </c>
      <c r="F2205" s="9">
        <v>168860</v>
      </c>
      <c r="G2205" s="8"/>
      <c r="H2205" s="9">
        <f t="shared" si="1157"/>
        <v>168860</v>
      </c>
      <c r="I2205" s="8"/>
      <c r="J2205" s="9">
        <f t="shared" si="1158"/>
        <v>168860</v>
      </c>
      <c r="K2205" s="8"/>
      <c r="L2205" s="8"/>
      <c r="M2205" s="9">
        <f t="shared" si="1165"/>
        <v>168860</v>
      </c>
      <c r="N2205" s="8"/>
      <c r="O2205" s="9"/>
      <c r="P2205" s="9">
        <f t="shared" si="1166"/>
        <v>0</v>
      </c>
      <c r="Q2205" s="9">
        <f t="shared" si="1159"/>
        <v>168860</v>
      </c>
      <c r="R2205" s="8"/>
      <c r="S2205" s="8"/>
      <c r="T2205" s="8"/>
      <c r="U2205" s="18">
        <f t="shared" si="1160"/>
        <v>0</v>
      </c>
      <c r="V2205" s="17"/>
      <c r="W2205" s="17"/>
      <c r="X2205" s="9">
        <f t="shared" si="1161"/>
        <v>168860</v>
      </c>
      <c r="Y2205" s="8"/>
      <c r="Z2205" s="9">
        <f t="shared" si="1162"/>
        <v>0</v>
      </c>
      <c r="AA2205" s="8">
        <f t="shared" si="1163"/>
        <v>168860</v>
      </c>
      <c r="AB2205" s="8">
        <f t="shared" si="1164"/>
        <v>0</v>
      </c>
    </row>
    <row r="2206" spans="1:28" x14ac:dyDescent="0.3">
      <c r="A2206" s="64"/>
      <c r="B2206" s="8"/>
      <c r="C2206" s="7" t="s">
        <v>545</v>
      </c>
      <c r="D2206" s="15" t="s">
        <v>54</v>
      </c>
      <c r="E2206" s="9">
        <v>1767770</v>
      </c>
      <c r="F2206" s="8"/>
      <c r="G2206" s="8"/>
      <c r="H2206" s="9">
        <f t="shared" si="1157"/>
        <v>0</v>
      </c>
      <c r="I2206" s="8"/>
      <c r="J2206" s="9">
        <f t="shared" si="1158"/>
        <v>0</v>
      </c>
      <c r="K2206" s="9">
        <v>1767770</v>
      </c>
      <c r="L2206" s="8"/>
      <c r="M2206" s="9">
        <f t="shared" si="1165"/>
        <v>0</v>
      </c>
      <c r="N2206" s="8">
        <v>1767770</v>
      </c>
      <c r="O2206" s="9"/>
      <c r="P2206" s="9">
        <f t="shared" si="1166"/>
        <v>1767770</v>
      </c>
      <c r="Q2206" s="9">
        <f t="shared" si="1159"/>
        <v>0</v>
      </c>
      <c r="R2206" s="8"/>
      <c r="S2206" s="8"/>
      <c r="T2206" s="8"/>
      <c r="U2206" s="18">
        <f t="shared" si="1160"/>
        <v>1767770</v>
      </c>
      <c r="V2206" s="17"/>
      <c r="W2206" s="17"/>
      <c r="X2206" s="9">
        <f t="shared" si="1161"/>
        <v>1767770</v>
      </c>
      <c r="Y2206" s="8"/>
      <c r="Z2206" s="9">
        <f t="shared" si="1162"/>
        <v>0</v>
      </c>
      <c r="AA2206" s="8">
        <f t="shared" si="1163"/>
        <v>1767770</v>
      </c>
      <c r="AB2206" s="8">
        <f t="shared" si="1164"/>
        <v>0</v>
      </c>
    </row>
    <row r="2207" spans="1:28" x14ac:dyDescent="0.3">
      <c r="A2207" s="64"/>
      <c r="B2207" s="8"/>
      <c r="C2207" s="7" t="s">
        <v>535</v>
      </c>
      <c r="D2207" s="15" t="s">
        <v>85</v>
      </c>
      <c r="E2207" s="9">
        <f>1650000-165000</f>
        <v>1485000</v>
      </c>
      <c r="F2207" s="9">
        <v>1485000</v>
      </c>
      <c r="G2207" s="8"/>
      <c r="H2207" s="9">
        <f t="shared" si="1157"/>
        <v>1485000</v>
      </c>
      <c r="I2207" s="8"/>
      <c r="J2207" s="9">
        <f t="shared" si="1158"/>
        <v>1485000</v>
      </c>
      <c r="K2207" s="8"/>
      <c r="L2207" s="8"/>
      <c r="M2207" s="9">
        <f t="shared" si="1165"/>
        <v>1485000</v>
      </c>
      <c r="N2207" s="8"/>
      <c r="O2207" s="9"/>
      <c r="P2207" s="9">
        <f t="shared" si="1166"/>
        <v>0</v>
      </c>
      <c r="Q2207" s="9">
        <f t="shared" si="1159"/>
        <v>1485000</v>
      </c>
      <c r="R2207" s="8"/>
      <c r="S2207" s="8"/>
      <c r="T2207" s="8"/>
      <c r="U2207" s="18">
        <f t="shared" si="1160"/>
        <v>0</v>
      </c>
      <c r="V2207" s="17"/>
      <c r="W2207" s="17"/>
      <c r="X2207" s="9">
        <f t="shared" si="1161"/>
        <v>1485000</v>
      </c>
      <c r="Y2207" s="8"/>
      <c r="Z2207" s="9">
        <f t="shared" si="1162"/>
        <v>0</v>
      </c>
      <c r="AA2207" s="8">
        <f t="shared" si="1163"/>
        <v>1485000</v>
      </c>
      <c r="AB2207" s="8">
        <f t="shared" si="1164"/>
        <v>0</v>
      </c>
    </row>
    <row r="2208" spans="1:28" x14ac:dyDescent="0.3">
      <c r="A2208" s="64"/>
      <c r="B2208" s="8"/>
      <c r="C2208" s="7" t="s">
        <v>535</v>
      </c>
      <c r="D2208" s="15" t="s">
        <v>128</v>
      </c>
      <c r="E2208" s="9">
        <v>900000</v>
      </c>
      <c r="F2208" s="9">
        <v>900000</v>
      </c>
      <c r="G2208" s="8"/>
      <c r="H2208" s="9">
        <f t="shared" si="1157"/>
        <v>900000</v>
      </c>
      <c r="I2208" s="8"/>
      <c r="J2208" s="9">
        <f t="shared" si="1158"/>
        <v>900000</v>
      </c>
      <c r="K2208" s="8"/>
      <c r="L2208" s="8"/>
      <c r="M2208" s="9">
        <f t="shared" si="1165"/>
        <v>900000</v>
      </c>
      <c r="N2208" s="8"/>
      <c r="O2208" s="9"/>
      <c r="P2208" s="9">
        <f t="shared" si="1166"/>
        <v>0</v>
      </c>
      <c r="Q2208" s="9">
        <f t="shared" si="1159"/>
        <v>900000</v>
      </c>
      <c r="R2208" s="8"/>
      <c r="S2208" s="8"/>
      <c r="T2208" s="8"/>
      <c r="U2208" s="18">
        <f t="shared" si="1160"/>
        <v>0</v>
      </c>
      <c r="V2208" s="17"/>
      <c r="W2208" s="17"/>
      <c r="X2208" s="9">
        <f t="shared" si="1161"/>
        <v>900000</v>
      </c>
      <c r="Y2208" s="8"/>
      <c r="Z2208" s="9">
        <f t="shared" si="1162"/>
        <v>0</v>
      </c>
      <c r="AA2208" s="8">
        <f t="shared" si="1163"/>
        <v>900000</v>
      </c>
      <c r="AB2208" s="8">
        <f t="shared" si="1164"/>
        <v>0</v>
      </c>
    </row>
    <row r="2209" spans="1:28" x14ac:dyDescent="0.3">
      <c r="A2209" s="64"/>
      <c r="B2209" s="8"/>
      <c r="C2209" s="7" t="s">
        <v>535</v>
      </c>
      <c r="D2209" s="15" t="s">
        <v>108</v>
      </c>
      <c r="E2209" s="9">
        <f>2137692.37+1092948.39</f>
        <v>3230640.76</v>
      </c>
      <c r="F2209" s="9">
        <v>3230640.76</v>
      </c>
      <c r="G2209" s="8"/>
      <c r="H2209" s="9">
        <f t="shared" si="1157"/>
        <v>3230640.76</v>
      </c>
      <c r="I2209" s="8"/>
      <c r="J2209" s="9">
        <f t="shared" si="1158"/>
        <v>3230640.76</v>
      </c>
      <c r="K2209" s="8"/>
      <c r="L2209" s="8"/>
      <c r="M2209" s="9">
        <f t="shared" si="1165"/>
        <v>3230640.76</v>
      </c>
      <c r="N2209" s="8"/>
      <c r="O2209" s="9"/>
      <c r="P2209" s="9">
        <f t="shared" si="1166"/>
        <v>0</v>
      </c>
      <c r="Q2209" s="9">
        <f t="shared" si="1159"/>
        <v>3230640.76</v>
      </c>
      <c r="R2209" s="8"/>
      <c r="S2209" s="8"/>
      <c r="T2209" s="8"/>
      <c r="U2209" s="18">
        <f t="shared" si="1160"/>
        <v>0</v>
      </c>
      <c r="V2209" s="17"/>
      <c r="W2209" s="17"/>
      <c r="X2209" s="9">
        <f t="shared" si="1161"/>
        <v>3230640.76</v>
      </c>
      <c r="Y2209" s="8"/>
      <c r="Z2209" s="9">
        <f t="shared" si="1162"/>
        <v>0</v>
      </c>
      <c r="AA2209" s="8">
        <f t="shared" si="1163"/>
        <v>3230640.76</v>
      </c>
      <c r="AB2209" s="8">
        <f t="shared" si="1164"/>
        <v>0</v>
      </c>
    </row>
    <row r="2210" spans="1:28" x14ac:dyDescent="0.3">
      <c r="A2210" s="64"/>
      <c r="B2210" s="8"/>
      <c r="C2210" s="7" t="s">
        <v>801</v>
      </c>
      <c r="D2210" s="15" t="s">
        <v>108</v>
      </c>
      <c r="E2210" s="9">
        <v>250000</v>
      </c>
      <c r="F2210" s="9">
        <v>250000</v>
      </c>
      <c r="G2210" s="8"/>
      <c r="H2210" s="9">
        <f t="shared" si="1157"/>
        <v>250000</v>
      </c>
      <c r="I2210" s="8"/>
      <c r="J2210" s="9">
        <f t="shared" si="1158"/>
        <v>250000</v>
      </c>
      <c r="K2210" s="8"/>
      <c r="L2210" s="8"/>
      <c r="M2210" s="9">
        <f t="shared" si="1165"/>
        <v>250000</v>
      </c>
      <c r="N2210" s="8"/>
      <c r="O2210" s="9"/>
      <c r="P2210" s="9">
        <f t="shared" si="1166"/>
        <v>0</v>
      </c>
      <c r="Q2210" s="9">
        <f t="shared" si="1159"/>
        <v>250000</v>
      </c>
      <c r="R2210" s="8"/>
      <c r="S2210" s="8"/>
      <c r="T2210" s="8"/>
      <c r="U2210" s="18">
        <f t="shared" si="1160"/>
        <v>0</v>
      </c>
      <c r="V2210" s="17"/>
      <c r="W2210" s="17"/>
      <c r="X2210" s="9">
        <f t="shared" si="1161"/>
        <v>250000</v>
      </c>
      <c r="Y2210" s="8"/>
      <c r="Z2210" s="9">
        <f t="shared" si="1162"/>
        <v>0</v>
      </c>
      <c r="AA2210" s="8">
        <f t="shared" si="1163"/>
        <v>250000</v>
      </c>
      <c r="AB2210" s="8">
        <f t="shared" si="1164"/>
        <v>0</v>
      </c>
    </row>
    <row r="2211" spans="1:28" x14ac:dyDescent="0.3">
      <c r="A2211" s="64"/>
      <c r="B2211" s="8"/>
      <c r="C2211" s="7" t="s">
        <v>535</v>
      </c>
      <c r="D2211" s="15" t="s">
        <v>58</v>
      </c>
      <c r="E2211" s="9">
        <f>1018710.15+1242726+1957884</f>
        <v>4219320.1500000004</v>
      </c>
      <c r="F2211" s="9">
        <v>4219320.1500000004</v>
      </c>
      <c r="G2211" s="8"/>
      <c r="H2211" s="9">
        <f t="shared" si="1157"/>
        <v>4219320.1500000004</v>
      </c>
      <c r="I2211" s="8"/>
      <c r="J2211" s="9">
        <f t="shared" si="1158"/>
        <v>4219320.1500000004</v>
      </c>
      <c r="K2211" s="8"/>
      <c r="L2211" s="8"/>
      <c r="M2211" s="9">
        <f t="shared" si="1165"/>
        <v>4219320.1500000004</v>
      </c>
      <c r="N2211" s="8"/>
      <c r="O2211" s="9"/>
      <c r="P2211" s="9">
        <f t="shared" si="1166"/>
        <v>0</v>
      </c>
      <c r="Q2211" s="9">
        <f t="shared" si="1159"/>
        <v>4219320.1500000004</v>
      </c>
      <c r="R2211" s="8"/>
      <c r="S2211" s="8"/>
      <c r="T2211" s="8"/>
      <c r="U2211" s="18">
        <f t="shared" si="1160"/>
        <v>0</v>
      </c>
      <c r="V2211" s="17"/>
      <c r="W2211" s="17"/>
      <c r="X2211" s="9">
        <f t="shared" si="1161"/>
        <v>4219320.1500000004</v>
      </c>
      <c r="Y2211" s="8"/>
      <c r="Z2211" s="9">
        <f t="shared" si="1162"/>
        <v>0</v>
      </c>
      <c r="AA2211" s="8">
        <f t="shared" si="1163"/>
        <v>4219320.1500000004</v>
      </c>
      <c r="AB2211" s="8">
        <f t="shared" si="1164"/>
        <v>0</v>
      </c>
    </row>
    <row r="2212" spans="1:28" x14ac:dyDescent="0.3">
      <c r="A2212" s="64"/>
      <c r="B2212" s="8"/>
      <c r="C2212" s="7" t="s">
        <v>535</v>
      </c>
      <c r="D2212" s="15" t="s">
        <v>60</v>
      </c>
      <c r="E2212" s="9">
        <f>3314085+2906930+3243350</f>
        <v>9464365</v>
      </c>
      <c r="F2212" s="9">
        <f>3314085+6150280</f>
        <v>9464365</v>
      </c>
      <c r="G2212" s="8"/>
      <c r="H2212" s="9">
        <f t="shared" si="1157"/>
        <v>9464365</v>
      </c>
      <c r="I2212" s="8"/>
      <c r="J2212" s="9">
        <f t="shared" si="1158"/>
        <v>9464365</v>
      </c>
      <c r="K2212" s="8"/>
      <c r="L2212" s="8"/>
      <c r="M2212" s="9">
        <f t="shared" si="1165"/>
        <v>9464365</v>
      </c>
      <c r="N2212" s="8"/>
      <c r="O2212" s="9"/>
      <c r="P2212" s="9">
        <f t="shared" si="1166"/>
        <v>0</v>
      </c>
      <c r="Q2212" s="9">
        <f t="shared" si="1159"/>
        <v>9464365</v>
      </c>
      <c r="R2212" s="8"/>
      <c r="S2212" s="8"/>
      <c r="T2212" s="8"/>
      <c r="U2212" s="18">
        <f t="shared" si="1160"/>
        <v>0</v>
      </c>
      <c r="V2212" s="17"/>
      <c r="W2212" s="17"/>
      <c r="X2212" s="9">
        <f t="shared" si="1161"/>
        <v>9464365</v>
      </c>
      <c r="Y2212" s="8"/>
      <c r="Z2212" s="9">
        <f t="shared" si="1162"/>
        <v>0</v>
      </c>
      <c r="AA2212" s="8">
        <f t="shared" si="1163"/>
        <v>9464365</v>
      </c>
      <c r="AB2212" s="8">
        <f t="shared" si="1164"/>
        <v>0</v>
      </c>
    </row>
    <row r="2213" spans="1:28" x14ac:dyDescent="0.3">
      <c r="A2213" s="64"/>
      <c r="B2213" s="8"/>
      <c r="C2213" s="7" t="s">
        <v>535</v>
      </c>
      <c r="D2213" s="15" t="s">
        <v>73</v>
      </c>
      <c r="E2213" s="9">
        <f>1151668+1348233</f>
        <v>2499901</v>
      </c>
      <c r="F2213" s="9">
        <f>1151668+1348233</f>
        <v>2499901</v>
      </c>
      <c r="G2213" s="9"/>
      <c r="H2213" s="9">
        <f t="shared" si="1157"/>
        <v>2499901</v>
      </c>
      <c r="I2213" s="9">
        <v>0</v>
      </c>
      <c r="J2213" s="9">
        <f t="shared" si="1158"/>
        <v>2499901</v>
      </c>
      <c r="K2213" s="8"/>
      <c r="L2213" s="8"/>
      <c r="M2213" s="9">
        <f t="shared" si="1165"/>
        <v>2499901</v>
      </c>
      <c r="N2213" s="8"/>
      <c r="O2213" s="9"/>
      <c r="P2213" s="9">
        <f t="shared" si="1166"/>
        <v>0</v>
      </c>
      <c r="Q2213" s="9">
        <f t="shared" si="1159"/>
        <v>2499901</v>
      </c>
      <c r="R2213" s="8"/>
      <c r="S2213" s="8"/>
      <c r="T2213" s="8"/>
      <c r="U2213" s="18">
        <f t="shared" si="1160"/>
        <v>0</v>
      </c>
      <c r="V2213" s="17"/>
      <c r="W2213" s="17"/>
      <c r="X2213" s="9">
        <f t="shared" si="1161"/>
        <v>2499901</v>
      </c>
      <c r="Y2213" s="8"/>
      <c r="Z2213" s="9">
        <f t="shared" si="1162"/>
        <v>0</v>
      </c>
      <c r="AA2213" s="8">
        <f t="shared" si="1163"/>
        <v>2499901</v>
      </c>
      <c r="AB2213" s="8">
        <f t="shared" si="1164"/>
        <v>0</v>
      </c>
    </row>
    <row r="2214" spans="1:28" x14ac:dyDescent="0.3">
      <c r="A2214" s="64"/>
      <c r="B2214" s="8"/>
      <c r="C2214" s="7" t="s">
        <v>535</v>
      </c>
      <c r="D2214" s="15" t="s">
        <v>61</v>
      </c>
      <c r="E2214" s="11">
        <f>2000000+14650.7</f>
        <v>2014650.7</v>
      </c>
      <c r="F2214" s="9">
        <v>2000000</v>
      </c>
      <c r="G2214" s="9"/>
      <c r="H2214" s="9">
        <f t="shared" si="1157"/>
        <v>2000000</v>
      </c>
      <c r="I2214" s="9"/>
      <c r="J2214" s="9">
        <f t="shared" si="1158"/>
        <v>2000000</v>
      </c>
      <c r="K2214" s="8"/>
      <c r="L2214" s="8"/>
      <c r="M2214" s="9">
        <f t="shared" si="1165"/>
        <v>2000000</v>
      </c>
      <c r="N2214" s="11"/>
      <c r="O2214" s="9"/>
      <c r="P2214" s="9">
        <f t="shared" si="1166"/>
        <v>0</v>
      </c>
      <c r="Q2214" s="9">
        <f t="shared" si="1159"/>
        <v>2014650.7</v>
      </c>
      <c r="R2214" s="8"/>
      <c r="S2214" s="8"/>
      <c r="T2214" s="8">
        <v>14650.7</v>
      </c>
      <c r="U2214" s="18">
        <f t="shared" si="1160"/>
        <v>14650.7</v>
      </c>
      <c r="V2214" s="17"/>
      <c r="W2214" s="17"/>
      <c r="X2214" s="9">
        <f t="shared" si="1161"/>
        <v>2000000</v>
      </c>
      <c r="Y2214" s="8"/>
      <c r="Z2214" s="9">
        <f t="shared" si="1162"/>
        <v>14650.699999999953</v>
      </c>
      <c r="AA2214" s="8">
        <f t="shared" si="1163"/>
        <v>2014650.7</v>
      </c>
      <c r="AB2214" s="8">
        <f t="shared" si="1164"/>
        <v>0</v>
      </c>
    </row>
    <row r="2215" spans="1:28" x14ac:dyDescent="0.3">
      <c r="A2215" s="64"/>
      <c r="B2215" s="8"/>
      <c r="C2215" s="7" t="s">
        <v>898</v>
      </c>
      <c r="D2215" s="15"/>
      <c r="E2215" s="11">
        <v>20820.689999999999</v>
      </c>
      <c r="F2215" s="9"/>
      <c r="G2215" s="9"/>
      <c r="H2215" s="9"/>
      <c r="I2215" s="9"/>
      <c r="J2215" s="9"/>
      <c r="K2215" s="8"/>
      <c r="L2215" s="8"/>
      <c r="M2215" s="9"/>
      <c r="N2215" s="11">
        <v>20820.689999999999</v>
      </c>
      <c r="O2215" s="9"/>
      <c r="P2215" s="9">
        <f>+N2215+O2215</f>
        <v>20820.689999999999</v>
      </c>
      <c r="Q2215" s="9"/>
      <c r="R2215" s="8"/>
      <c r="S2215" s="8"/>
      <c r="T2215" s="8"/>
      <c r="U2215" s="18">
        <f>+P2215+T2215</f>
        <v>20820.689999999999</v>
      </c>
      <c r="V2215" s="17"/>
      <c r="W2215" s="17"/>
      <c r="X2215" s="9">
        <f t="shared" si="1161"/>
        <v>20820.689999999999</v>
      </c>
      <c r="Y2215" s="8"/>
      <c r="Z2215" s="9">
        <f t="shared" si="1162"/>
        <v>0</v>
      </c>
      <c r="AA2215" s="8">
        <f t="shared" si="1163"/>
        <v>20820.689999999999</v>
      </c>
      <c r="AB2215" s="8">
        <f t="shared" si="1164"/>
        <v>0</v>
      </c>
    </row>
    <row r="2216" spans="1:28" x14ac:dyDescent="0.3">
      <c r="A2216" s="64"/>
      <c r="B2216" s="8"/>
      <c r="C2216" s="7" t="s">
        <v>933</v>
      </c>
      <c r="D2216" s="16" t="s">
        <v>1072</v>
      </c>
      <c r="E2216" s="11">
        <v>2939261.51</v>
      </c>
      <c r="F2216" s="9">
        <v>2939261.51</v>
      </c>
      <c r="G2216" s="9"/>
      <c r="H2216" s="9">
        <f>F2216+G2216</f>
        <v>2939261.51</v>
      </c>
      <c r="I2216" s="9"/>
      <c r="J2216" s="9">
        <f>H2216+I2216</f>
        <v>2939261.51</v>
      </c>
      <c r="K2216" s="8"/>
      <c r="L2216" s="8"/>
      <c r="M2216" s="9">
        <f>+H2216+L2216</f>
        <v>2939261.51</v>
      </c>
      <c r="N2216" s="11"/>
      <c r="O2216" s="9"/>
      <c r="P2216" s="9">
        <f>+N2216+O2216</f>
        <v>0</v>
      </c>
      <c r="Q2216" s="9"/>
      <c r="R2216" s="8"/>
      <c r="S2216" s="8"/>
      <c r="T2216" s="8"/>
      <c r="U2216" s="18">
        <f>+P2216+T2216</f>
        <v>0</v>
      </c>
      <c r="V2216" s="17"/>
      <c r="W2216" s="17"/>
      <c r="X2216" s="9">
        <f t="shared" si="1161"/>
        <v>2939261.51</v>
      </c>
      <c r="Y2216" s="8"/>
      <c r="Z2216" s="9">
        <f t="shared" si="1162"/>
        <v>0</v>
      </c>
      <c r="AA2216" s="8">
        <f t="shared" si="1163"/>
        <v>2939261.51</v>
      </c>
      <c r="AB2216" s="8">
        <f t="shared" si="1164"/>
        <v>0</v>
      </c>
    </row>
    <row r="2217" spans="1:28" x14ac:dyDescent="0.3">
      <c r="A2217" s="64"/>
      <c r="B2217" s="8"/>
      <c r="C2217" s="7" t="s">
        <v>1173</v>
      </c>
      <c r="D2217" s="16" t="s">
        <v>1126</v>
      </c>
      <c r="E2217" s="11">
        <f>6098644.15+1269095.21</f>
        <v>7367739.3600000003</v>
      </c>
      <c r="F2217" s="9">
        <f>6098644.15+1269095.21</f>
        <v>7367739.3600000003</v>
      </c>
      <c r="G2217" s="9"/>
      <c r="H2217" s="9">
        <f>+F2217+G2217</f>
        <v>7367739.3600000003</v>
      </c>
      <c r="I2217" s="9"/>
      <c r="J2217" s="9">
        <f>H2217+I2217</f>
        <v>7367739.3600000003</v>
      </c>
      <c r="K2217" s="8"/>
      <c r="L2217" s="8"/>
      <c r="M2217" s="9">
        <f>+H2217+L2217</f>
        <v>7367739.3600000003</v>
      </c>
      <c r="N2217" s="11"/>
      <c r="O2217" s="9"/>
      <c r="P2217" s="9">
        <f>+N2217+O2217</f>
        <v>0</v>
      </c>
      <c r="Q2217" s="9"/>
      <c r="R2217" s="8"/>
      <c r="S2217" s="8"/>
      <c r="T2217" s="8"/>
      <c r="U2217" s="18">
        <f>+P2217+T2217</f>
        <v>0</v>
      </c>
      <c r="V2217" s="17"/>
      <c r="W2217" s="17"/>
      <c r="X2217" s="9">
        <f t="shared" si="1161"/>
        <v>7367739.3600000003</v>
      </c>
      <c r="Y2217" s="8"/>
      <c r="Z2217" s="9">
        <f t="shared" si="1162"/>
        <v>0</v>
      </c>
      <c r="AA2217" s="8">
        <f t="shared" si="1163"/>
        <v>7367739.3600000003</v>
      </c>
      <c r="AB2217" s="8">
        <f t="shared" si="1164"/>
        <v>0</v>
      </c>
    </row>
    <row r="2218" spans="1:28" x14ac:dyDescent="0.3">
      <c r="A2218" s="64"/>
      <c r="B2218" s="8"/>
      <c r="C2218" s="14" t="s">
        <v>568</v>
      </c>
      <c r="D2218" s="8"/>
      <c r="E2218" s="11">
        <v>873739.65</v>
      </c>
      <c r="F2218" s="9">
        <v>873739.65</v>
      </c>
      <c r="G2218" s="11"/>
      <c r="H2218" s="9">
        <f t="shared" si="1157"/>
        <v>873739.65</v>
      </c>
      <c r="I2218" s="9"/>
      <c r="J2218" s="9">
        <f t="shared" si="1158"/>
        <v>873739.65</v>
      </c>
      <c r="K2218" s="8"/>
      <c r="L2218" s="8"/>
      <c r="M2218" s="9">
        <f t="shared" si="1165"/>
        <v>873739.65</v>
      </c>
      <c r="N2218" s="8"/>
      <c r="O2218" s="9"/>
      <c r="P2218" s="9">
        <f t="shared" si="1166"/>
        <v>0</v>
      </c>
      <c r="Q2218" s="9">
        <f t="shared" si="1159"/>
        <v>873739.65</v>
      </c>
      <c r="R2218" s="8"/>
      <c r="S2218" s="8"/>
      <c r="T2218" s="8"/>
      <c r="U2218" s="18">
        <f t="shared" si="1160"/>
        <v>0</v>
      </c>
      <c r="V2218" s="17"/>
      <c r="W2218" s="17"/>
      <c r="X2218" s="9">
        <f t="shared" si="1161"/>
        <v>873739.65</v>
      </c>
      <c r="Y2218" s="8"/>
      <c r="Z2218" s="9">
        <f t="shared" si="1162"/>
        <v>0</v>
      </c>
      <c r="AA2218" s="8">
        <f t="shared" si="1163"/>
        <v>873739.65</v>
      </c>
      <c r="AB2218" s="8">
        <f t="shared" si="1164"/>
        <v>0</v>
      </c>
    </row>
    <row r="2219" spans="1:28" x14ac:dyDescent="0.3">
      <c r="A2219" s="64"/>
      <c r="B2219" s="8"/>
      <c r="C2219" s="7" t="s">
        <v>598</v>
      </c>
      <c r="D2219" s="8"/>
      <c r="E2219" s="9">
        <v>631320.29</v>
      </c>
      <c r="F2219" s="9">
        <v>631320.29</v>
      </c>
      <c r="G2219" s="8"/>
      <c r="H2219" s="9">
        <f t="shared" si="1157"/>
        <v>631320.29</v>
      </c>
      <c r="I2219" s="8"/>
      <c r="J2219" s="9">
        <f t="shared" si="1158"/>
        <v>631320.29</v>
      </c>
      <c r="K2219" s="8"/>
      <c r="L2219" s="8"/>
      <c r="M2219" s="9">
        <f t="shared" si="1165"/>
        <v>631320.29</v>
      </c>
      <c r="N2219" s="8"/>
      <c r="O2219" s="9"/>
      <c r="P2219" s="9">
        <f t="shared" si="1166"/>
        <v>0</v>
      </c>
      <c r="Q2219" s="9">
        <f t="shared" si="1159"/>
        <v>631320.29</v>
      </c>
      <c r="R2219" s="8"/>
      <c r="S2219" s="8"/>
      <c r="T2219" s="8"/>
      <c r="U2219" s="18">
        <f t="shared" si="1160"/>
        <v>0</v>
      </c>
      <c r="V2219" s="17"/>
      <c r="W2219" s="17"/>
      <c r="X2219" s="9">
        <f t="shared" si="1161"/>
        <v>631320.29</v>
      </c>
      <c r="Y2219" s="8"/>
      <c r="Z2219" s="9">
        <f t="shared" si="1162"/>
        <v>0</v>
      </c>
      <c r="AA2219" s="8">
        <f t="shared" si="1163"/>
        <v>631320.29</v>
      </c>
      <c r="AB2219" s="8">
        <f t="shared" si="1164"/>
        <v>0</v>
      </c>
    </row>
    <row r="2220" spans="1:28" x14ac:dyDescent="0.3">
      <c r="A2220" s="64"/>
      <c r="B2220" s="8"/>
      <c r="C2220" s="7" t="s">
        <v>569</v>
      </c>
      <c r="D2220" s="8"/>
      <c r="E2220" s="9">
        <v>1112873</v>
      </c>
      <c r="F2220" s="9">
        <v>1112873</v>
      </c>
      <c r="G2220" s="8"/>
      <c r="H2220" s="9">
        <f t="shared" si="1157"/>
        <v>1112873</v>
      </c>
      <c r="I2220" s="8"/>
      <c r="J2220" s="9">
        <f t="shared" si="1158"/>
        <v>1112873</v>
      </c>
      <c r="K2220" s="8"/>
      <c r="L2220" s="8"/>
      <c r="M2220" s="9">
        <f t="shared" si="1165"/>
        <v>1112873</v>
      </c>
      <c r="N2220" s="8"/>
      <c r="O2220" s="9"/>
      <c r="P2220" s="9">
        <f t="shared" si="1166"/>
        <v>0</v>
      </c>
      <c r="Q2220" s="9">
        <f t="shared" si="1159"/>
        <v>1112873</v>
      </c>
      <c r="R2220" s="8"/>
      <c r="S2220" s="8"/>
      <c r="T2220" s="8"/>
      <c r="U2220" s="18">
        <f t="shared" si="1160"/>
        <v>0</v>
      </c>
      <c r="V2220" s="17"/>
      <c r="W2220" s="17"/>
      <c r="X2220" s="9">
        <f t="shared" si="1161"/>
        <v>1112873</v>
      </c>
      <c r="Y2220" s="8"/>
      <c r="Z2220" s="9">
        <f t="shared" si="1162"/>
        <v>0</v>
      </c>
      <c r="AA2220" s="8">
        <f t="shared" si="1163"/>
        <v>1112873</v>
      </c>
      <c r="AB2220" s="8">
        <f t="shared" si="1164"/>
        <v>0</v>
      </c>
    </row>
    <row r="2221" spans="1:28" x14ac:dyDescent="0.3">
      <c r="A2221" s="64"/>
      <c r="B2221" s="15" t="s">
        <v>709</v>
      </c>
      <c r="C2221" s="7" t="s">
        <v>826</v>
      </c>
      <c r="D2221" s="8"/>
      <c r="E2221" s="9">
        <v>2400000</v>
      </c>
      <c r="F2221" s="9">
        <f>2201768+198232</f>
        <v>2400000</v>
      </c>
      <c r="G2221" s="8"/>
      <c r="H2221" s="9">
        <f t="shared" si="1157"/>
        <v>2400000</v>
      </c>
      <c r="I2221" s="8"/>
      <c r="J2221" s="9">
        <f t="shared" si="1158"/>
        <v>2400000</v>
      </c>
      <c r="K2221" s="8"/>
      <c r="L2221" s="8"/>
      <c r="M2221" s="9">
        <f t="shared" si="1165"/>
        <v>2400000</v>
      </c>
      <c r="N2221" s="8"/>
      <c r="O2221" s="9"/>
      <c r="P2221" s="9">
        <f t="shared" si="1166"/>
        <v>0</v>
      </c>
      <c r="Q2221" s="9">
        <f t="shared" si="1159"/>
        <v>2400000</v>
      </c>
      <c r="R2221" s="8"/>
      <c r="S2221" s="8"/>
      <c r="T2221" s="8"/>
      <c r="U2221" s="18">
        <f t="shared" si="1160"/>
        <v>0</v>
      </c>
      <c r="V2221" s="17"/>
      <c r="W2221" s="17"/>
      <c r="X2221" s="9">
        <f t="shared" si="1161"/>
        <v>2400000</v>
      </c>
      <c r="Y2221" s="8"/>
      <c r="Z2221" s="9">
        <f t="shared" si="1162"/>
        <v>0</v>
      </c>
      <c r="AA2221" s="8">
        <f t="shared" si="1163"/>
        <v>2400000</v>
      </c>
      <c r="AB2221" s="8">
        <f t="shared" si="1164"/>
        <v>0</v>
      </c>
    </row>
    <row r="2222" spans="1:28" x14ac:dyDescent="0.3">
      <c r="A2222" s="64"/>
      <c r="B2222" s="8"/>
      <c r="C2222" s="8"/>
      <c r="D2222" s="8"/>
      <c r="E2222" s="17" t="s">
        <v>29</v>
      </c>
      <c r="F2222" s="17" t="s">
        <v>29</v>
      </c>
      <c r="G2222" s="17" t="s">
        <v>29</v>
      </c>
      <c r="H2222" s="17" t="s">
        <v>29</v>
      </c>
      <c r="I2222" s="17" t="s">
        <v>29</v>
      </c>
      <c r="J2222" s="17" t="s">
        <v>29</v>
      </c>
      <c r="K2222" s="17" t="s">
        <v>29</v>
      </c>
      <c r="L2222" s="17" t="s">
        <v>29</v>
      </c>
      <c r="M2222" s="17" t="s">
        <v>29</v>
      </c>
      <c r="N2222" s="17" t="s">
        <v>29</v>
      </c>
      <c r="O2222" s="17" t="s">
        <v>29</v>
      </c>
      <c r="P2222" s="17" t="s">
        <v>29</v>
      </c>
      <c r="Q2222" s="17" t="s">
        <v>29</v>
      </c>
      <c r="R2222" s="17" t="s">
        <v>29</v>
      </c>
      <c r="S2222" s="17" t="s">
        <v>29</v>
      </c>
      <c r="T2222" s="17" t="s">
        <v>29</v>
      </c>
      <c r="U2222" s="17" t="s">
        <v>29</v>
      </c>
      <c r="V2222" s="17" t="s">
        <v>29</v>
      </c>
      <c r="W2222" s="17" t="s">
        <v>29</v>
      </c>
      <c r="X2222" s="17" t="s">
        <v>29</v>
      </c>
      <c r="Y2222" s="17" t="s">
        <v>29</v>
      </c>
      <c r="Z2222" s="17" t="s">
        <v>29</v>
      </c>
      <c r="AA2222" s="17" t="s">
        <v>29</v>
      </c>
      <c r="AB2222" s="17" t="s">
        <v>29</v>
      </c>
    </row>
    <row r="2223" spans="1:28" x14ac:dyDescent="0.3">
      <c r="A2223" s="64"/>
      <c r="B2223" s="8"/>
      <c r="C2223" s="8"/>
      <c r="D2223" s="8"/>
      <c r="E2223" s="9">
        <f t="shared" ref="E2223:Q2223" si="1167">SUM(E2201:E2222)</f>
        <v>43799366.839999996</v>
      </c>
      <c r="F2223" s="9">
        <f t="shared" si="1167"/>
        <v>41182896.719999999</v>
      </c>
      <c r="G2223" s="9">
        <f t="shared" si="1167"/>
        <v>0</v>
      </c>
      <c r="H2223" s="9">
        <f t="shared" si="1167"/>
        <v>41182896.719999999</v>
      </c>
      <c r="I2223" s="9">
        <f t="shared" si="1167"/>
        <v>0</v>
      </c>
      <c r="J2223" s="9">
        <f t="shared" si="1167"/>
        <v>41182896.719999999</v>
      </c>
      <c r="K2223" s="9">
        <f t="shared" si="1167"/>
        <v>2580998.73</v>
      </c>
      <c r="L2223" s="9">
        <f t="shared" si="1167"/>
        <v>0</v>
      </c>
      <c r="M2223" s="9">
        <f t="shared" si="1167"/>
        <v>41182896.719999999</v>
      </c>
      <c r="N2223" s="9">
        <f t="shared" si="1167"/>
        <v>2601819.42</v>
      </c>
      <c r="O2223" s="9">
        <f t="shared" si="1167"/>
        <v>0</v>
      </c>
      <c r="P2223" s="9">
        <f t="shared" si="1167"/>
        <v>2601819.42</v>
      </c>
      <c r="Q2223" s="9">
        <f t="shared" si="1167"/>
        <v>30890546.549999997</v>
      </c>
      <c r="R2223" s="8"/>
      <c r="S2223" s="8"/>
      <c r="T2223" s="9">
        <f t="shared" ref="T2223:Z2223" si="1168">SUM(T2201:T2222)</f>
        <v>14650.7</v>
      </c>
      <c r="U2223" s="9">
        <f t="shared" si="1168"/>
        <v>2616470.12</v>
      </c>
      <c r="V2223" s="9">
        <f t="shared" si="1168"/>
        <v>0</v>
      </c>
      <c r="W2223" s="9">
        <f t="shared" si="1168"/>
        <v>0</v>
      </c>
      <c r="X2223" s="9">
        <f t="shared" si="1168"/>
        <v>43784716.140000001</v>
      </c>
      <c r="Y2223" s="9">
        <f t="shared" si="1168"/>
        <v>0</v>
      </c>
      <c r="Z2223" s="9">
        <f t="shared" si="1168"/>
        <v>14650.699999999953</v>
      </c>
      <c r="AA2223" s="9">
        <f>SUM(AA2201:AA2222)</f>
        <v>43799366.839999996</v>
      </c>
      <c r="AB2223" s="9">
        <f>SUM(AB2201:AB2222)</f>
        <v>0</v>
      </c>
    </row>
    <row r="2224" spans="1:28" x14ac:dyDescent="0.3">
      <c r="A2224" s="64"/>
      <c r="B2224" s="8"/>
      <c r="C2224" s="8"/>
      <c r="D2224" s="8"/>
      <c r="E2224" s="17" t="s">
        <v>29</v>
      </c>
      <c r="F2224" s="17" t="s">
        <v>29</v>
      </c>
      <c r="G2224" s="17" t="s">
        <v>29</v>
      </c>
      <c r="H2224" s="17" t="s">
        <v>29</v>
      </c>
      <c r="I2224" s="17" t="s">
        <v>29</v>
      </c>
      <c r="J2224" s="17" t="s">
        <v>29</v>
      </c>
      <c r="K2224" s="17" t="s">
        <v>29</v>
      </c>
      <c r="L2224" s="17" t="s">
        <v>29</v>
      </c>
      <c r="M2224" s="17" t="s">
        <v>29</v>
      </c>
      <c r="N2224" s="17" t="s">
        <v>29</v>
      </c>
      <c r="O2224" s="17" t="s">
        <v>29</v>
      </c>
      <c r="P2224" s="17" t="s">
        <v>29</v>
      </c>
      <c r="Q2224" s="17" t="s">
        <v>29</v>
      </c>
      <c r="R2224" s="17" t="s">
        <v>29</v>
      </c>
      <c r="S2224" s="17" t="s">
        <v>29</v>
      </c>
      <c r="T2224" s="17" t="s">
        <v>29</v>
      </c>
      <c r="U2224" s="17" t="s">
        <v>29</v>
      </c>
      <c r="V2224" s="17" t="s">
        <v>29</v>
      </c>
      <c r="W2224" s="17" t="s">
        <v>29</v>
      </c>
      <c r="X2224" s="17" t="s">
        <v>29</v>
      </c>
      <c r="Y2224" s="17" t="s">
        <v>29</v>
      </c>
      <c r="Z2224" s="17" t="s">
        <v>29</v>
      </c>
      <c r="AA2224" s="17" t="s">
        <v>29</v>
      </c>
      <c r="AB2224" s="17" t="s">
        <v>29</v>
      </c>
    </row>
    <row r="2225" spans="1:28" x14ac:dyDescent="0.3">
      <c r="A2225" s="63" t="s">
        <v>1033</v>
      </c>
      <c r="B2225" s="7" t="s">
        <v>827</v>
      </c>
      <c r="C2225" s="8"/>
      <c r="D2225" s="8"/>
      <c r="E2225" s="8"/>
      <c r="F2225" s="8"/>
      <c r="G2225" s="8"/>
      <c r="H2225" s="8"/>
      <c r="I2225" s="8"/>
      <c r="J2225" s="8"/>
      <c r="K2225" s="8"/>
      <c r="L2225" s="8"/>
      <c r="M2225" s="8"/>
      <c r="N2225" s="8"/>
      <c r="O2225" s="8"/>
      <c r="P2225" s="8"/>
      <c r="Q2225" s="8"/>
      <c r="R2225" s="8"/>
      <c r="S2225" s="8"/>
      <c r="T2225" s="8"/>
      <c r="U2225" s="8"/>
      <c r="V2225" s="8"/>
      <c r="W2225" s="8"/>
      <c r="X2225" s="8"/>
      <c r="Y2225" s="8"/>
      <c r="Z2225" s="8"/>
    </row>
    <row r="2226" spans="1:28" x14ac:dyDescent="0.3">
      <c r="A2226" s="64"/>
      <c r="B2226" s="8"/>
      <c r="C2226" s="7" t="s">
        <v>539</v>
      </c>
      <c r="D2226" s="15" t="s">
        <v>68</v>
      </c>
      <c r="E2226" s="9">
        <f>126589.5+3440700+1254657.5+5557152.48</f>
        <v>10379099.48</v>
      </c>
      <c r="F2226" s="8"/>
      <c r="G2226" s="8"/>
      <c r="H2226" s="9">
        <f t="shared" ref="H2226:H2245" si="1169">F2226+G2226</f>
        <v>0</v>
      </c>
      <c r="I2226" s="8"/>
      <c r="J2226" s="9">
        <f t="shared" ref="J2226:J2245" si="1170">H2226+I2226</f>
        <v>0</v>
      </c>
      <c r="K2226" s="9">
        <f>3567289.5+1254657.5+5557152.48</f>
        <v>10379099.48</v>
      </c>
      <c r="L2226" s="8"/>
      <c r="M2226" s="9">
        <f>+H2226+L2226</f>
        <v>0</v>
      </c>
      <c r="N2226" s="8">
        <v>10379099.48</v>
      </c>
      <c r="O2226" s="9"/>
      <c r="P2226" s="9">
        <f>+N2226+O2226</f>
        <v>10379099.48</v>
      </c>
      <c r="Q2226" s="9">
        <f t="shared" ref="Q2226:Q2245" si="1171">E2226-P2226</f>
        <v>0</v>
      </c>
      <c r="R2226" s="8"/>
      <c r="S2226" s="8"/>
      <c r="T2226" s="8"/>
      <c r="U2226" s="18">
        <f t="shared" ref="U2226:U2245" si="1172">+P2226+T2226</f>
        <v>10379099.48</v>
      </c>
      <c r="V2226" s="17"/>
      <c r="W2226" s="17"/>
      <c r="X2226" s="9">
        <f t="shared" ref="X2226:X2245" si="1173">+H2226+P2226</f>
        <v>10379099.48</v>
      </c>
      <c r="Y2226" s="8"/>
      <c r="Z2226" s="9">
        <f t="shared" ref="Z2226:Z2245" si="1174">+E2226-X2226</f>
        <v>0</v>
      </c>
      <c r="AA2226" s="8">
        <f t="shared" ref="AA2226:AB2245" si="1175">+M2226+U2226</f>
        <v>10379099.48</v>
      </c>
      <c r="AB2226" s="8">
        <f t="shared" ref="AB2226:AB2245" si="1176">+E2226-AA2226</f>
        <v>0</v>
      </c>
    </row>
    <row r="2227" spans="1:28" x14ac:dyDescent="0.3">
      <c r="A2227" s="64"/>
      <c r="B2227" s="8"/>
      <c r="C2227" s="7" t="s">
        <v>535</v>
      </c>
      <c r="D2227" s="15" t="s">
        <v>68</v>
      </c>
      <c r="E2227" s="9">
        <f>1573200-1398931.74</f>
        <v>174268.26</v>
      </c>
      <c r="F2227" s="8"/>
      <c r="G2227" s="8"/>
      <c r="H2227" s="9">
        <f t="shared" si="1169"/>
        <v>0</v>
      </c>
      <c r="I2227" s="8"/>
      <c r="J2227" s="9">
        <f t="shared" si="1170"/>
        <v>0</v>
      </c>
      <c r="K2227" s="9">
        <v>174268.26</v>
      </c>
      <c r="L2227" s="8"/>
      <c r="M2227" s="9">
        <f t="shared" ref="M2227:M2245" si="1177">+H2227+L2227</f>
        <v>0</v>
      </c>
      <c r="N2227" s="8">
        <v>174268.26</v>
      </c>
      <c r="O2227" s="9"/>
      <c r="P2227" s="9">
        <f t="shared" ref="P2227:P2245" si="1178">+N2227+O2227</f>
        <v>174268.26</v>
      </c>
      <c r="Q2227" s="9">
        <f t="shared" si="1171"/>
        <v>0</v>
      </c>
      <c r="R2227" s="8"/>
      <c r="S2227" s="8"/>
      <c r="T2227" s="8"/>
      <c r="U2227" s="18">
        <f t="shared" si="1172"/>
        <v>174268.26</v>
      </c>
      <c r="V2227" s="17"/>
      <c r="W2227" s="17"/>
      <c r="X2227" s="9">
        <f t="shared" si="1173"/>
        <v>174268.26</v>
      </c>
      <c r="Y2227" s="8"/>
      <c r="Z2227" s="9">
        <f t="shared" si="1174"/>
        <v>0</v>
      </c>
      <c r="AA2227" s="8">
        <f t="shared" si="1175"/>
        <v>174268.26</v>
      </c>
      <c r="AB2227" s="8">
        <f t="shared" si="1176"/>
        <v>0</v>
      </c>
    </row>
    <row r="2228" spans="1:28" x14ac:dyDescent="0.3">
      <c r="A2228" s="64"/>
      <c r="B2228" s="8"/>
      <c r="C2228" s="7" t="s">
        <v>535</v>
      </c>
      <c r="D2228" s="15" t="s">
        <v>54</v>
      </c>
      <c r="E2228" s="9">
        <f>466000-23300</f>
        <v>442700</v>
      </c>
      <c r="F2228" s="9">
        <v>442700</v>
      </c>
      <c r="G2228" s="8"/>
      <c r="H2228" s="9">
        <f t="shared" si="1169"/>
        <v>442700</v>
      </c>
      <c r="I2228" s="8"/>
      <c r="J2228" s="9">
        <f t="shared" si="1170"/>
        <v>442700</v>
      </c>
      <c r="K2228" s="8"/>
      <c r="L2228" s="8"/>
      <c r="M2228" s="9">
        <f t="shared" si="1177"/>
        <v>442700</v>
      </c>
      <c r="N2228" s="8"/>
      <c r="O2228" s="9"/>
      <c r="P2228" s="9">
        <f t="shared" si="1178"/>
        <v>0</v>
      </c>
      <c r="Q2228" s="9">
        <f t="shared" si="1171"/>
        <v>442700</v>
      </c>
      <c r="R2228" s="8"/>
      <c r="S2228" s="8"/>
      <c r="T2228" s="8"/>
      <c r="U2228" s="18">
        <f t="shared" si="1172"/>
        <v>0</v>
      </c>
      <c r="V2228" s="17"/>
      <c r="W2228" s="17"/>
      <c r="X2228" s="9">
        <f t="shared" si="1173"/>
        <v>442700</v>
      </c>
      <c r="Y2228" s="8"/>
      <c r="Z2228" s="9">
        <f t="shared" si="1174"/>
        <v>0</v>
      </c>
      <c r="AA2228" s="8">
        <f t="shared" si="1175"/>
        <v>442700</v>
      </c>
      <c r="AB2228" s="8">
        <f t="shared" si="1176"/>
        <v>0</v>
      </c>
    </row>
    <row r="2229" spans="1:28" x14ac:dyDescent="0.3">
      <c r="A2229" s="64"/>
      <c r="B2229" s="8"/>
      <c r="C2229" s="7" t="s">
        <v>557</v>
      </c>
      <c r="D2229" s="15" t="s">
        <v>54</v>
      </c>
      <c r="E2229" s="9">
        <v>4426847.5999999996</v>
      </c>
      <c r="F2229" s="9">
        <f>3098793.6+1328054</f>
        <v>4426847.5999999996</v>
      </c>
      <c r="G2229" s="8"/>
      <c r="H2229" s="9">
        <f t="shared" si="1169"/>
        <v>4426847.5999999996</v>
      </c>
      <c r="I2229" s="8"/>
      <c r="J2229" s="9">
        <f t="shared" si="1170"/>
        <v>4426847.5999999996</v>
      </c>
      <c r="K2229" s="8"/>
      <c r="L2229" s="8"/>
      <c r="M2229" s="9">
        <f t="shared" si="1177"/>
        <v>4426847.5999999996</v>
      </c>
      <c r="N2229" s="8"/>
      <c r="O2229" s="9"/>
      <c r="P2229" s="9">
        <f t="shared" si="1178"/>
        <v>0</v>
      </c>
      <c r="Q2229" s="9">
        <f t="shared" si="1171"/>
        <v>4426847.5999999996</v>
      </c>
      <c r="R2229" s="8"/>
      <c r="S2229" s="8"/>
      <c r="T2229" s="8"/>
      <c r="U2229" s="18">
        <f t="shared" si="1172"/>
        <v>0</v>
      </c>
      <c r="V2229" s="17"/>
      <c r="W2229" s="17"/>
      <c r="X2229" s="9">
        <f t="shared" si="1173"/>
        <v>4426847.5999999996</v>
      </c>
      <c r="Y2229" s="8"/>
      <c r="Z2229" s="9">
        <f t="shared" si="1174"/>
        <v>0</v>
      </c>
      <c r="AA2229" s="8">
        <f t="shared" si="1175"/>
        <v>4426847.5999999996</v>
      </c>
      <c r="AB2229" s="8">
        <f t="shared" si="1176"/>
        <v>0</v>
      </c>
    </row>
    <row r="2230" spans="1:28" x14ac:dyDescent="0.3">
      <c r="A2230" s="64"/>
      <c r="B2230" s="8"/>
      <c r="C2230" s="7" t="s">
        <v>696</v>
      </c>
      <c r="D2230" s="15" t="s">
        <v>54</v>
      </c>
      <c r="E2230" s="9">
        <f>53915+183585</f>
        <v>237500</v>
      </c>
      <c r="F2230" s="9">
        <f>53915+178450</f>
        <v>232365</v>
      </c>
      <c r="G2230" s="8"/>
      <c r="H2230" s="9">
        <f t="shared" si="1169"/>
        <v>232365</v>
      </c>
      <c r="I2230" s="8"/>
      <c r="J2230" s="9">
        <f t="shared" si="1170"/>
        <v>232365</v>
      </c>
      <c r="K2230" s="8"/>
      <c r="L2230" s="8"/>
      <c r="M2230" s="9">
        <f t="shared" si="1177"/>
        <v>232365</v>
      </c>
      <c r="N2230" s="8"/>
      <c r="O2230" s="9"/>
      <c r="P2230" s="9">
        <f t="shared" si="1178"/>
        <v>0</v>
      </c>
      <c r="Q2230" s="9">
        <f t="shared" si="1171"/>
        <v>237500</v>
      </c>
      <c r="R2230" s="8"/>
      <c r="S2230" s="8"/>
      <c r="T2230" s="8"/>
      <c r="U2230" s="18">
        <f t="shared" si="1172"/>
        <v>0</v>
      </c>
      <c r="V2230" s="17"/>
      <c r="W2230" s="17"/>
      <c r="X2230" s="9">
        <f t="shared" si="1173"/>
        <v>232365</v>
      </c>
      <c r="Y2230" s="8"/>
      <c r="Z2230" s="9">
        <f t="shared" si="1174"/>
        <v>5135</v>
      </c>
      <c r="AA2230" s="8">
        <f t="shared" si="1175"/>
        <v>232365</v>
      </c>
      <c r="AB2230" s="8">
        <f t="shared" si="1176"/>
        <v>5135</v>
      </c>
    </row>
    <row r="2231" spans="1:28" x14ac:dyDescent="0.3">
      <c r="A2231" s="64"/>
      <c r="B2231" s="8"/>
      <c r="C2231" s="7" t="s">
        <v>545</v>
      </c>
      <c r="D2231" s="15" t="s">
        <v>54</v>
      </c>
      <c r="E2231" s="9">
        <v>1953989</v>
      </c>
      <c r="F2231" s="8"/>
      <c r="G2231" s="8"/>
      <c r="H2231" s="9">
        <f t="shared" si="1169"/>
        <v>0</v>
      </c>
      <c r="I2231" s="8"/>
      <c r="J2231" s="9">
        <f t="shared" si="1170"/>
        <v>0</v>
      </c>
      <c r="K2231" s="9">
        <v>1953989</v>
      </c>
      <c r="L2231" s="8"/>
      <c r="M2231" s="9">
        <f t="shared" si="1177"/>
        <v>0</v>
      </c>
      <c r="N2231" s="8">
        <v>1953989</v>
      </c>
      <c r="O2231" s="9"/>
      <c r="P2231" s="9">
        <f t="shared" si="1178"/>
        <v>1953989</v>
      </c>
      <c r="Q2231" s="9">
        <f t="shared" si="1171"/>
        <v>0</v>
      </c>
      <c r="R2231" s="8"/>
      <c r="S2231" s="8"/>
      <c r="T2231" s="8"/>
      <c r="U2231" s="18">
        <f t="shared" si="1172"/>
        <v>1953989</v>
      </c>
      <c r="V2231" s="17"/>
      <c r="W2231" s="17"/>
      <c r="X2231" s="9">
        <f t="shared" si="1173"/>
        <v>1953989</v>
      </c>
      <c r="Y2231" s="8"/>
      <c r="Z2231" s="9">
        <f t="shared" si="1174"/>
        <v>0</v>
      </c>
      <c r="AA2231" s="8">
        <f t="shared" si="1175"/>
        <v>1953989</v>
      </c>
      <c r="AB2231" s="8">
        <f t="shared" si="1176"/>
        <v>0</v>
      </c>
    </row>
    <row r="2232" spans="1:28" x14ac:dyDescent="0.3">
      <c r="A2232" s="64"/>
      <c r="B2232" s="8"/>
      <c r="C2232" s="7" t="s">
        <v>535</v>
      </c>
      <c r="D2232" s="15" t="s">
        <v>85</v>
      </c>
      <c r="E2232" s="9">
        <f>1060000-106000</f>
        <v>954000</v>
      </c>
      <c r="F2232" s="9">
        <v>954000</v>
      </c>
      <c r="G2232" s="8"/>
      <c r="H2232" s="9">
        <f t="shared" si="1169"/>
        <v>954000</v>
      </c>
      <c r="I2232" s="8"/>
      <c r="J2232" s="9">
        <f t="shared" si="1170"/>
        <v>954000</v>
      </c>
      <c r="K2232" s="8"/>
      <c r="L2232" s="8"/>
      <c r="M2232" s="9">
        <f t="shared" si="1177"/>
        <v>954000</v>
      </c>
      <c r="N2232" s="8"/>
      <c r="O2232" s="9"/>
      <c r="P2232" s="9">
        <f t="shared" si="1178"/>
        <v>0</v>
      </c>
      <c r="Q2232" s="9">
        <f t="shared" si="1171"/>
        <v>954000</v>
      </c>
      <c r="R2232" s="8"/>
      <c r="S2232" s="8"/>
      <c r="T2232" s="8"/>
      <c r="U2232" s="18">
        <f t="shared" si="1172"/>
        <v>0</v>
      </c>
      <c r="V2232" s="17"/>
      <c r="W2232" s="17"/>
      <c r="X2232" s="9">
        <f t="shared" si="1173"/>
        <v>954000</v>
      </c>
      <c r="Y2232" s="8"/>
      <c r="Z2232" s="9">
        <f t="shared" si="1174"/>
        <v>0</v>
      </c>
      <c r="AA2232" s="8">
        <f t="shared" si="1175"/>
        <v>954000</v>
      </c>
      <c r="AB2232" s="8">
        <f t="shared" si="1176"/>
        <v>0</v>
      </c>
    </row>
    <row r="2233" spans="1:28" x14ac:dyDescent="0.3">
      <c r="A2233" s="64"/>
      <c r="B2233" s="8"/>
      <c r="C2233" s="7" t="s">
        <v>603</v>
      </c>
      <c r="D2233" s="15" t="s">
        <v>85</v>
      </c>
      <c r="E2233" s="9">
        <v>288000</v>
      </c>
      <c r="F2233" s="9">
        <v>288000</v>
      </c>
      <c r="G2233" s="8"/>
      <c r="H2233" s="9">
        <f t="shared" si="1169"/>
        <v>288000</v>
      </c>
      <c r="I2233" s="8"/>
      <c r="J2233" s="9">
        <f t="shared" si="1170"/>
        <v>288000</v>
      </c>
      <c r="K2233" s="8"/>
      <c r="L2233" s="8"/>
      <c r="M2233" s="9">
        <f t="shared" si="1177"/>
        <v>288000</v>
      </c>
      <c r="N2233" s="8"/>
      <c r="O2233" s="9"/>
      <c r="P2233" s="9">
        <f t="shared" si="1178"/>
        <v>0</v>
      </c>
      <c r="Q2233" s="9">
        <f t="shared" si="1171"/>
        <v>288000</v>
      </c>
      <c r="R2233" s="8"/>
      <c r="S2233" s="8"/>
      <c r="T2233" s="8"/>
      <c r="U2233" s="18">
        <f t="shared" si="1172"/>
        <v>0</v>
      </c>
      <c r="V2233" s="17"/>
      <c r="W2233" s="17"/>
      <c r="X2233" s="9">
        <f t="shared" si="1173"/>
        <v>288000</v>
      </c>
      <c r="Y2233" s="8"/>
      <c r="Z2233" s="9">
        <f t="shared" si="1174"/>
        <v>0</v>
      </c>
      <c r="AA2233" s="8">
        <f t="shared" si="1175"/>
        <v>288000</v>
      </c>
      <c r="AB2233" s="8">
        <f t="shared" si="1176"/>
        <v>0</v>
      </c>
    </row>
    <row r="2234" spans="1:28" x14ac:dyDescent="0.3">
      <c r="A2234" s="64"/>
      <c r="B2234" s="8"/>
      <c r="C2234" s="7" t="s">
        <v>535</v>
      </c>
      <c r="D2234" s="15" t="s">
        <v>128</v>
      </c>
      <c r="E2234" s="9">
        <v>540000</v>
      </c>
      <c r="F2234" s="9">
        <v>540000</v>
      </c>
      <c r="G2234" s="8"/>
      <c r="H2234" s="9">
        <f t="shared" si="1169"/>
        <v>540000</v>
      </c>
      <c r="I2234" s="8"/>
      <c r="J2234" s="9">
        <f t="shared" si="1170"/>
        <v>540000</v>
      </c>
      <c r="K2234" s="8"/>
      <c r="L2234" s="8"/>
      <c r="M2234" s="9">
        <f t="shared" si="1177"/>
        <v>540000</v>
      </c>
      <c r="N2234" s="8"/>
      <c r="O2234" s="9"/>
      <c r="P2234" s="9">
        <f t="shared" si="1178"/>
        <v>0</v>
      </c>
      <c r="Q2234" s="9">
        <f t="shared" si="1171"/>
        <v>540000</v>
      </c>
      <c r="R2234" s="8"/>
      <c r="S2234" s="8"/>
      <c r="T2234" s="8"/>
      <c r="U2234" s="18">
        <f t="shared" si="1172"/>
        <v>0</v>
      </c>
      <c r="V2234" s="17"/>
      <c r="W2234" s="17"/>
      <c r="X2234" s="9">
        <f t="shared" si="1173"/>
        <v>540000</v>
      </c>
      <c r="Y2234" s="8"/>
      <c r="Z2234" s="9">
        <f t="shared" si="1174"/>
        <v>0</v>
      </c>
      <c r="AA2234" s="8">
        <f t="shared" si="1175"/>
        <v>540000</v>
      </c>
      <c r="AB2234" s="8">
        <f t="shared" si="1176"/>
        <v>0</v>
      </c>
    </row>
    <row r="2235" spans="1:28" x14ac:dyDescent="0.3">
      <c r="A2235" s="64"/>
      <c r="B2235" s="8"/>
      <c r="C2235" s="7" t="s">
        <v>535</v>
      </c>
      <c r="D2235" s="15" t="s">
        <v>108</v>
      </c>
      <c r="E2235" s="9">
        <f>3787343+1278023.51</f>
        <v>5065366.51</v>
      </c>
      <c r="F2235" s="9">
        <f>3787343+1278023.51</f>
        <v>5065366.51</v>
      </c>
      <c r="G2235" s="8"/>
      <c r="H2235" s="9">
        <f t="shared" si="1169"/>
        <v>5065366.51</v>
      </c>
      <c r="I2235" s="8"/>
      <c r="J2235" s="9">
        <f t="shared" si="1170"/>
        <v>5065366.51</v>
      </c>
      <c r="K2235" s="8"/>
      <c r="L2235" s="8"/>
      <c r="M2235" s="9">
        <f t="shared" si="1177"/>
        <v>5065366.51</v>
      </c>
      <c r="N2235" s="8"/>
      <c r="O2235" s="9"/>
      <c r="P2235" s="9">
        <f t="shared" si="1178"/>
        <v>0</v>
      </c>
      <c r="Q2235" s="9">
        <f t="shared" si="1171"/>
        <v>5065366.51</v>
      </c>
      <c r="R2235" s="8"/>
      <c r="S2235" s="8"/>
      <c r="T2235" s="8"/>
      <c r="U2235" s="18">
        <f t="shared" si="1172"/>
        <v>0</v>
      </c>
      <c r="V2235" s="17"/>
      <c r="W2235" s="17"/>
      <c r="X2235" s="9">
        <f t="shared" si="1173"/>
        <v>5065366.51</v>
      </c>
      <c r="Y2235" s="8"/>
      <c r="Z2235" s="9">
        <f t="shared" si="1174"/>
        <v>0</v>
      </c>
      <c r="AA2235" s="8">
        <f t="shared" si="1175"/>
        <v>5065366.51</v>
      </c>
      <c r="AB2235" s="8">
        <f t="shared" si="1176"/>
        <v>0</v>
      </c>
    </row>
    <row r="2236" spans="1:28" x14ac:dyDescent="0.3">
      <c r="A2236" s="64"/>
      <c r="B2236" s="8"/>
      <c r="C2236" s="7" t="s">
        <v>535</v>
      </c>
      <c r="D2236" s="15" t="s">
        <v>58</v>
      </c>
      <c r="E2236" s="9">
        <v>4414631</v>
      </c>
      <c r="F2236" s="9">
        <v>4414631</v>
      </c>
      <c r="G2236" s="8"/>
      <c r="H2236" s="9">
        <f t="shared" si="1169"/>
        <v>4414631</v>
      </c>
      <c r="I2236" s="8"/>
      <c r="J2236" s="9">
        <f t="shared" si="1170"/>
        <v>4414631</v>
      </c>
      <c r="K2236" s="8"/>
      <c r="L2236" s="8"/>
      <c r="M2236" s="9">
        <f t="shared" si="1177"/>
        <v>4414631</v>
      </c>
      <c r="N2236" s="8"/>
      <c r="O2236" s="9"/>
      <c r="P2236" s="9">
        <f t="shared" si="1178"/>
        <v>0</v>
      </c>
      <c r="Q2236" s="9">
        <f t="shared" si="1171"/>
        <v>4414631</v>
      </c>
      <c r="R2236" s="8"/>
      <c r="S2236" s="8"/>
      <c r="T2236" s="8"/>
      <c r="U2236" s="18">
        <f t="shared" si="1172"/>
        <v>0</v>
      </c>
      <c r="V2236" s="17"/>
      <c r="W2236" s="17"/>
      <c r="X2236" s="9">
        <f t="shared" si="1173"/>
        <v>4414631</v>
      </c>
      <c r="Y2236" s="8"/>
      <c r="Z2236" s="9">
        <f t="shared" si="1174"/>
        <v>0</v>
      </c>
      <c r="AA2236" s="8">
        <f t="shared" si="1175"/>
        <v>4414631</v>
      </c>
      <c r="AB2236" s="8">
        <f t="shared" si="1176"/>
        <v>0</v>
      </c>
    </row>
    <row r="2237" spans="1:28" x14ac:dyDescent="0.3">
      <c r="A2237" s="64"/>
      <c r="B2237" s="8"/>
      <c r="C2237" s="7" t="s">
        <v>535</v>
      </c>
      <c r="D2237" s="15" t="s">
        <v>60</v>
      </c>
      <c r="E2237" s="9">
        <v>4463814</v>
      </c>
      <c r="F2237" s="9">
        <v>4463814</v>
      </c>
      <c r="G2237" s="8"/>
      <c r="H2237" s="9">
        <f t="shared" si="1169"/>
        <v>4463814</v>
      </c>
      <c r="I2237" s="8"/>
      <c r="J2237" s="9">
        <f t="shared" si="1170"/>
        <v>4463814</v>
      </c>
      <c r="K2237" s="8"/>
      <c r="L2237" s="8"/>
      <c r="M2237" s="9">
        <f t="shared" si="1177"/>
        <v>4463814</v>
      </c>
      <c r="N2237" s="8"/>
      <c r="O2237" s="9"/>
      <c r="P2237" s="9">
        <f t="shared" si="1178"/>
        <v>0</v>
      </c>
      <c r="Q2237" s="9">
        <f t="shared" si="1171"/>
        <v>4463814</v>
      </c>
      <c r="R2237" s="8"/>
      <c r="S2237" s="8"/>
      <c r="T2237" s="8"/>
      <c r="U2237" s="18">
        <f t="shared" si="1172"/>
        <v>0</v>
      </c>
      <c r="V2237" s="17"/>
      <c r="W2237" s="17"/>
      <c r="X2237" s="9">
        <f t="shared" si="1173"/>
        <v>4463814</v>
      </c>
      <c r="Y2237" s="8"/>
      <c r="Z2237" s="9">
        <f t="shared" si="1174"/>
        <v>0</v>
      </c>
      <c r="AA2237" s="8">
        <f t="shared" si="1175"/>
        <v>4463814</v>
      </c>
      <c r="AB2237" s="8">
        <f t="shared" si="1176"/>
        <v>0</v>
      </c>
    </row>
    <row r="2238" spans="1:28" x14ac:dyDescent="0.3">
      <c r="A2238" s="64"/>
      <c r="B2238" s="8"/>
      <c r="C2238" s="7" t="s">
        <v>535</v>
      </c>
      <c r="D2238" s="15" t="s">
        <v>73</v>
      </c>
      <c r="E2238" s="9">
        <v>752713</v>
      </c>
      <c r="F2238" s="9">
        <v>752713</v>
      </c>
      <c r="G2238" s="8"/>
      <c r="H2238" s="9">
        <f t="shared" si="1169"/>
        <v>752713</v>
      </c>
      <c r="I2238" s="8"/>
      <c r="J2238" s="9">
        <f t="shared" si="1170"/>
        <v>752713</v>
      </c>
      <c r="K2238" s="8"/>
      <c r="L2238" s="8"/>
      <c r="M2238" s="9">
        <f t="shared" si="1177"/>
        <v>752713</v>
      </c>
      <c r="N2238" s="8"/>
      <c r="O2238" s="9"/>
      <c r="P2238" s="9">
        <f t="shared" si="1178"/>
        <v>0</v>
      </c>
      <c r="Q2238" s="9">
        <f t="shared" si="1171"/>
        <v>752713</v>
      </c>
      <c r="R2238" s="8"/>
      <c r="S2238" s="8"/>
      <c r="T2238" s="8"/>
      <c r="U2238" s="18">
        <f t="shared" si="1172"/>
        <v>0</v>
      </c>
      <c r="V2238" s="17"/>
      <c r="W2238" s="17"/>
      <c r="X2238" s="9">
        <f t="shared" si="1173"/>
        <v>752713</v>
      </c>
      <c r="Y2238" s="8"/>
      <c r="Z2238" s="9">
        <f t="shared" si="1174"/>
        <v>0</v>
      </c>
      <c r="AA2238" s="8">
        <f t="shared" si="1175"/>
        <v>752713</v>
      </c>
      <c r="AB2238" s="8">
        <f t="shared" si="1176"/>
        <v>0</v>
      </c>
    </row>
    <row r="2239" spans="1:28" x14ac:dyDescent="0.3">
      <c r="A2239" s="64"/>
      <c r="B2239" s="14" t="s">
        <v>620</v>
      </c>
      <c r="C2239" s="7" t="s">
        <v>535</v>
      </c>
      <c r="D2239" s="15" t="s">
        <v>61</v>
      </c>
      <c r="E2239" s="11">
        <f>596579.11+842485.67+199910.52+692493.25</f>
        <v>2331468.5499999998</v>
      </c>
      <c r="F2239" s="11">
        <f>199910.52+2131558.03</f>
        <v>2331468.5499999998</v>
      </c>
      <c r="G2239" s="8"/>
      <c r="H2239" s="9">
        <f t="shared" si="1169"/>
        <v>2331468.5499999998</v>
      </c>
      <c r="I2239" s="8"/>
      <c r="J2239" s="9">
        <f t="shared" si="1170"/>
        <v>2331468.5499999998</v>
      </c>
      <c r="K2239" s="8"/>
      <c r="L2239" s="8"/>
      <c r="M2239" s="9">
        <f t="shared" si="1177"/>
        <v>2331468.5499999998</v>
      </c>
      <c r="N2239" s="8"/>
      <c r="O2239" s="9"/>
      <c r="P2239" s="9">
        <f t="shared" si="1178"/>
        <v>0</v>
      </c>
      <c r="Q2239" s="9">
        <f t="shared" si="1171"/>
        <v>2331468.5499999998</v>
      </c>
      <c r="R2239" s="8"/>
      <c r="S2239" s="8"/>
      <c r="T2239" s="8"/>
      <c r="U2239" s="18">
        <f t="shared" si="1172"/>
        <v>0</v>
      </c>
      <c r="V2239" s="17"/>
      <c r="W2239" s="17"/>
      <c r="X2239" s="9">
        <f t="shared" si="1173"/>
        <v>2331468.5499999998</v>
      </c>
      <c r="Y2239" s="8"/>
      <c r="Z2239" s="9">
        <f t="shared" si="1174"/>
        <v>0</v>
      </c>
      <c r="AA2239" s="8">
        <f t="shared" si="1175"/>
        <v>2331468.5499999998</v>
      </c>
      <c r="AB2239" s="9">
        <f>+G2239-Z2239</f>
        <v>0</v>
      </c>
    </row>
    <row r="2240" spans="1:28" x14ac:dyDescent="0.3">
      <c r="A2240" s="64"/>
      <c r="B2240" s="14"/>
      <c r="C2240" s="7" t="s">
        <v>933</v>
      </c>
      <c r="D2240" s="16" t="s">
        <v>1126</v>
      </c>
      <c r="E2240" s="11">
        <v>744000</v>
      </c>
      <c r="F2240" s="11">
        <v>744000</v>
      </c>
      <c r="G2240" s="8"/>
      <c r="H2240" s="9">
        <f>+F2240+G2240</f>
        <v>744000</v>
      </c>
      <c r="I2240" s="8"/>
      <c r="J2240" s="9">
        <f t="shared" si="1170"/>
        <v>744000</v>
      </c>
      <c r="K2240" s="8"/>
      <c r="L2240" s="8"/>
      <c r="M2240" s="9">
        <f t="shared" si="1177"/>
        <v>744000</v>
      </c>
      <c r="N2240" s="8"/>
      <c r="O2240" s="9"/>
      <c r="P2240" s="9">
        <f>+N2240+O2240</f>
        <v>0</v>
      </c>
      <c r="Q2240" s="9"/>
      <c r="R2240" s="8"/>
      <c r="S2240" s="8"/>
      <c r="T2240" s="8"/>
      <c r="U2240" s="18">
        <f t="shared" si="1172"/>
        <v>0</v>
      </c>
      <c r="V2240" s="17"/>
      <c r="W2240" s="17"/>
      <c r="X2240" s="9">
        <f t="shared" si="1173"/>
        <v>744000</v>
      </c>
      <c r="Y2240" s="8"/>
      <c r="Z2240" s="9">
        <f t="shared" si="1174"/>
        <v>0</v>
      </c>
      <c r="AA2240" s="8">
        <f t="shared" si="1175"/>
        <v>744000</v>
      </c>
      <c r="AB2240" s="8">
        <f t="shared" si="1175"/>
        <v>0</v>
      </c>
    </row>
    <row r="2241" spans="1:28" x14ac:dyDescent="0.3">
      <c r="A2241" s="64"/>
      <c r="B2241" s="14"/>
      <c r="C2241" s="7" t="s">
        <v>1196</v>
      </c>
      <c r="D2241" s="16" t="s">
        <v>1126</v>
      </c>
      <c r="E2241" s="11">
        <v>1186422.25</v>
      </c>
      <c r="F2241" s="11">
        <v>1186422.25</v>
      </c>
      <c r="G2241" s="8"/>
      <c r="H2241" s="9">
        <f>+F2241+G2241</f>
        <v>1186422.25</v>
      </c>
      <c r="I2241" s="8"/>
      <c r="J2241" s="9">
        <f t="shared" si="1170"/>
        <v>1186422.25</v>
      </c>
      <c r="K2241" s="8"/>
      <c r="L2241" s="8"/>
      <c r="M2241" s="9">
        <f t="shared" si="1177"/>
        <v>1186422.25</v>
      </c>
      <c r="N2241" s="8"/>
      <c r="O2241" s="9"/>
      <c r="P2241" s="9">
        <f>+N2241+O2241</f>
        <v>0</v>
      </c>
      <c r="Q2241" s="9"/>
      <c r="R2241" s="8"/>
      <c r="S2241" s="8"/>
      <c r="T2241" s="8"/>
      <c r="U2241" s="18">
        <f t="shared" si="1172"/>
        <v>0</v>
      </c>
      <c r="V2241" s="17"/>
      <c r="W2241" s="17"/>
      <c r="X2241" s="9">
        <f t="shared" si="1173"/>
        <v>1186422.25</v>
      </c>
      <c r="Y2241" s="8"/>
      <c r="Z2241" s="9">
        <f t="shared" si="1174"/>
        <v>0</v>
      </c>
      <c r="AA2241" s="8">
        <f t="shared" si="1175"/>
        <v>1186422.25</v>
      </c>
      <c r="AB2241" s="8">
        <f t="shared" si="1175"/>
        <v>0</v>
      </c>
    </row>
    <row r="2242" spans="1:28" x14ac:dyDescent="0.3">
      <c r="C2242" s="7" t="s">
        <v>1249</v>
      </c>
      <c r="D2242" s="16" t="s">
        <v>1225</v>
      </c>
      <c r="E2242" s="11">
        <v>1372730.19</v>
      </c>
      <c r="F2242" s="11">
        <v>1372730.19</v>
      </c>
      <c r="G2242" s="8"/>
      <c r="H2242" s="9">
        <f>+F2242+G2242</f>
        <v>1372730.19</v>
      </c>
      <c r="I2242" s="8"/>
      <c r="J2242" s="9"/>
      <c r="K2242" s="8"/>
      <c r="L2242" s="8"/>
      <c r="M2242" s="9">
        <f>+H2242+L2242</f>
        <v>1372730.19</v>
      </c>
      <c r="N2242" s="8"/>
      <c r="O2242" s="9"/>
      <c r="P2242" s="9">
        <f>+N2242+O2242</f>
        <v>0</v>
      </c>
      <c r="Q2242" s="9"/>
      <c r="R2242" s="8"/>
      <c r="S2242" s="8"/>
      <c r="T2242" s="8"/>
      <c r="U2242" s="18">
        <f>+P2242+T2242</f>
        <v>0</v>
      </c>
      <c r="V2242" s="17"/>
      <c r="W2242" s="17"/>
      <c r="X2242" s="9">
        <f>+H2242+P2242</f>
        <v>1372730.19</v>
      </c>
      <c r="Y2242" s="8"/>
      <c r="Z2242" s="9">
        <f>+E2242-X2242</f>
        <v>0</v>
      </c>
      <c r="AA2242" s="8">
        <f>+M2242+U2242</f>
        <v>1372730.19</v>
      </c>
      <c r="AB2242" s="8">
        <f>+E2242-AA2242</f>
        <v>0</v>
      </c>
    </row>
    <row r="2243" spans="1:28" x14ac:dyDescent="0.3">
      <c r="A2243" s="64"/>
      <c r="B2243" s="8"/>
      <c r="C2243" s="7" t="s">
        <v>577</v>
      </c>
      <c r="D2243" s="8"/>
      <c r="E2243" s="9">
        <v>191650</v>
      </c>
      <c r="F2243" s="9">
        <v>191650</v>
      </c>
      <c r="G2243" s="8"/>
      <c r="H2243" s="9">
        <f t="shared" si="1169"/>
        <v>191650</v>
      </c>
      <c r="I2243" s="8"/>
      <c r="J2243" s="9">
        <f t="shared" si="1170"/>
        <v>191650</v>
      </c>
      <c r="K2243" s="8"/>
      <c r="L2243" s="8"/>
      <c r="M2243" s="9">
        <f t="shared" si="1177"/>
        <v>191650</v>
      </c>
      <c r="N2243" s="8"/>
      <c r="O2243" s="9"/>
      <c r="P2243" s="9">
        <f t="shared" si="1178"/>
        <v>0</v>
      </c>
      <c r="Q2243" s="9">
        <f t="shared" si="1171"/>
        <v>191650</v>
      </c>
      <c r="R2243" s="8"/>
      <c r="S2243" s="8"/>
      <c r="T2243" s="8"/>
      <c r="U2243" s="18">
        <f t="shared" si="1172"/>
        <v>0</v>
      </c>
      <c r="V2243" s="17"/>
      <c r="W2243" s="17"/>
      <c r="X2243" s="9">
        <f t="shared" si="1173"/>
        <v>191650</v>
      </c>
      <c r="Y2243" s="8"/>
      <c r="Z2243" s="9">
        <f t="shared" si="1174"/>
        <v>0</v>
      </c>
      <c r="AA2243" s="8">
        <f t="shared" si="1175"/>
        <v>191650</v>
      </c>
      <c r="AB2243" s="8">
        <f t="shared" si="1176"/>
        <v>0</v>
      </c>
    </row>
    <row r="2244" spans="1:28" x14ac:dyDescent="0.3">
      <c r="A2244" s="64"/>
      <c r="B2244" s="8"/>
      <c r="C2244" s="7" t="s">
        <v>598</v>
      </c>
      <c r="D2244" s="8"/>
      <c r="E2244" s="9">
        <v>177560</v>
      </c>
      <c r="F2244" s="9">
        <v>177560</v>
      </c>
      <c r="G2244" s="8"/>
      <c r="H2244" s="9">
        <f t="shared" si="1169"/>
        <v>177560</v>
      </c>
      <c r="I2244" s="8"/>
      <c r="J2244" s="9">
        <f t="shared" si="1170"/>
        <v>177560</v>
      </c>
      <c r="K2244" s="8"/>
      <c r="L2244" s="8"/>
      <c r="M2244" s="9">
        <f t="shared" si="1177"/>
        <v>177560</v>
      </c>
      <c r="N2244" s="8"/>
      <c r="O2244" s="9"/>
      <c r="P2244" s="9">
        <f t="shared" si="1178"/>
        <v>0</v>
      </c>
      <c r="Q2244" s="9">
        <f t="shared" si="1171"/>
        <v>177560</v>
      </c>
      <c r="R2244" s="8"/>
      <c r="S2244" s="8"/>
      <c r="T2244" s="8"/>
      <c r="U2244" s="18">
        <f t="shared" si="1172"/>
        <v>0</v>
      </c>
      <c r="V2244" s="17"/>
      <c r="W2244" s="17"/>
      <c r="X2244" s="9">
        <f t="shared" si="1173"/>
        <v>177560</v>
      </c>
      <c r="Y2244" s="8"/>
      <c r="Z2244" s="9">
        <f t="shared" si="1174"/>
        <v>0</v>
      </c>
      <c r="AA2244" s="8">
        <f t="shared" si="1175"/>
        <v>177560</v>
      </c>
      <c r="AB2244" s="8">
        <f t="shared" si="1176"/>
        <v>0</v>
      </c>
    </row>
    <row r="2245" spans="1:28" x14ac:dyDescent="0.3">
      <c r="A2245" s="64"/>
      <c r="B2245" s="8"/>
      <c r="C2245" s="7" t="s">
        <v>606</v>
      </c>
      <c r="D2245" s="8"/>
      <c r="E2245" s="9">
        <f>2500000+2500000+2500000</f>
        <v>7500000</v>
      </c>
      <c r="F2245" s="9">
        <v>7500000</v>
      </c>
      <c r="G2245" s="8"/>
      <c r="H2245" s="9">
        <f t="shared" si="1169"/>
        <v>7500000</v>
      </c>
      <c r="I2245" s="8"/>
      <c r="J2245" s="9">
        <f t="shared" si="1170"/>
        <v>7500000</v>
      </c>
      <c r="K2245" s="8"/>
      <c r="L2245" s="8"/>
      <c r="M2245" s="9">
        <f t="shared" si="1177"/>
        <v>7500000</v>
      </c>
      <c r="N2245" s="8"/>
      <c r="O2245" s="9"/>
      <c r="P2245" s="9">
        <f t="shared" si="1178"/>
        <v>0</v>
      </c>
      <c r="Q2245" s="9">
        <f t="shared" si="1171"/>
        <v>7500000</v>
      </c>
      <c r="R2245" s="8"/>
      <c r="S2245" s="8"/>
      <c r="T2245" s="8"/>
      <c r="U2245" s="18">
        <f t="shared" si="1172"/>
        <v>0</v>
      </c>
      <c r="V2245" s="17"/>
      <c r="W2245" s="17"/>
      <c r="X2245" s="9">
        <f t="shared" si="1173"/>
        <v>7500000</v>
      </c>
      <c r="Y2245" s="8"/>
      <c r="Z2245" s="9">
        <f t="shared" si="1174"/>
        <v>0</v>
      </c>
      <c r="AA2245" s="8">
        <f t="shared" si="1175"/>
        <v>7500000</v>
      </c>
      <c r="AB2245" s="8">
        <f t="shared" si="1176"/>
        <v>0</v>
      </c>
    </row>
    <row r="2246" spans="1:28" x14ac:dyDescent="0.3">
      <c r="A2246" s="64"/>
      <c r="B2246" s="8"/>
      <c r="C2246" s="8"/>
      <c r="D2246" s="8"/>
      <c r="E2246" s="17" t="s">
        <v>29</v>
      </c>
      <c r="F2246" s="17" t="s">
        <v>29</v>
      </c>
      <c r="G2246" s="17" t="s">
        <v>29</v>
      </c>
      <c r="H2246" s="17" t="s">
        <v>29</v>
      </c>
      <c r="I2246" s="17" t="s">
        <v>29</v>
      </c>
      <c r="J2246" s="17" t="s">
        <v>29</v>
      </c>
      <c r="K2246" s="17" t="s">
        <v>29</v>
      </c>
      <c r="L2246" s="17" t="s">
        <v>29</v>
      </c>
      <c r="M2246" s="17" t="s">
        <v>29</v>
      </c>
      <c r="N2246" s="17" t="s">
        <v>29</v>
      </c>
      <c r="O2246" s="17" t="s">
        <v>29</v>
      </c>
      <c r="P2246" s="17" t="s">
        <v>29</v>
      </c>
      <c r="Q2246" s="17" t="s">
        <v>29</v>
      </c>
      <c r="R2246" s="17" t="s">
        <v>29</v>
      </c>
      <c r="S2246" s="17" t="s">
        <v>29</v>
      </c>
      <c r="T2246" s="17" t="s">
        <v>29</v>
      </c>
      <c r="U2246" s="17" t="s">
        <v>29</v>
      </c>
      <c r="V2246" s="17" t="s">
        <v>29</v>
      </c>
      <c r="W2246" s="17" t="s">
        <v>29</v>
      </c>
      <c r="X2246" s="17" t="s">
        <v>29</v>
      </c>
      <c r="Y2246" s="17" t="s">
        <v>29</v>
      </c>
      <c r="Z2246" s="17" t="s">
        <v>29</v>
      </c>
      <c r="AA2246" s="17" t="s">
        <v>29</v>
      </c>
      <c r="AB2246" s="17" t="s">
        <v>29</v>
      </c>
    </row>
    <row r="2247" spans="1:28" x14ac:dyDescent="0.3">
      <c r="A2247" s="64"/>
      <c r="B2247" s="8"/>
      <c r="C2247" s="8"/>
      <c r="D2247" s="8"/>
      <c r="E2247" s="9">
        <f t="shared" ref="E2247:Q2247" si="1179">SUM(E2226:E2246)</f>
        <v>47596759.839999996</v>
      </c>
      <c r="F2247" s="9">
        <f t="shared" si="1179"/>
        <v>35084268.100000001</v>
      </c>
      <c r="G2247" s="9">
        <f t="shared" si="1179"/>
        <v>0</v>
      </c>
      <c r="H2247" s="9">
        <f t="shared" si="1179"/>
        <v>35084268.100000001</v>
      </c>
      <c r="I2247" s="9">
        <f t="shared" si="1179"/>
        <v>0</v>
      </c>
      <c r="J2247" s="9">
        <f t="shared" si="1179"/>
        <v>33711537.909999996</v>
      </c>
      <c r="K2247" s="9">
        <f t="shared" si="1179"/>
        <v>12507356.74</v>
      </c>
      <c r="L2247" s="9">
        <f t="shared" si="1179"/>
        <v>0</v>
      </c>
      <c r="M2247" s="9">
        <f t="shared" si="1179"/>
        <v>35084268.100000001</v>
      </c>
      <c r="N2247" s="9">
        <f t="shared" si="1179"/>
        <v>12507356.74</v>
      </c>
      <c r="O2247" s="9">
        <f t="shared" si="1179"/>
        <v>0</v>
      </c>
      <c r="P2247" s="9">
        <f t="shared" si="1179"/>
        <v>12507356.74</v>
      </c>
      <c r="Q2247" s="9">
        <f t="shared" si="1179"/>
        <v>31786250.66</v>
      </c>
      <c r="R2247" s="8"/>
      <c r="S2247" s="8"/>
      <c r="T2247" s="9">
        <f t="shared" ref="T2247:Z2247" si="1180">SUM(T2226:T2246)</f>
        <v>0</v>
      </c>
      <c r="U2247" s="9">
        <f t="shared" si="1180"/>
        <v>12507356.74</v>
      </c>
      <c r="V2247" s="9">
        <f t="shared" si="1180"/>
        <v>0</v>
      </c>
      <c r="W2247" s="9">
        <f t="shared" si="1180"/>
        <v>0</v>
      </c>
      <c r="X2247" s="9">
        <f t="shared" si="1180"/>
        <v>47591624.839999996</v>
      </c>
      <c r="Y2247" s="9">
        <f t="shared" si="1180"/>
        <v>0</v>
      </c>
      <c r="Z2247" s="9">
        <f t="shared" si="1180"/>
        <v>5135</v>
      </c>
      <c r="AA2247" s="9">
        <f>SUM(AA2226:AA2246)</f>
        <v>47591624.839999996</v>
      </c>
      <c r="AB2247" s="9">
        <f>SUM(AB2226:AB2246)</f>
        <v>5135</v>
      </c>
    </row>
    <row r="2248" spans="1:28" x14ac:dyDescent="0.3">
      <c r="A2248" s="64"/>
      <c r="B2248" s="8"/>
      <c r="C2248" s="8"/>
      <c r="D2248" s="8"/>
      <c r="E2248" s="17" t="s">
        <v>29</v>
      </c>
      <c r="F2248" s="17" t="s">
        <v>29</v>
      </c>
      <c r="G2248" s="17" t="s">
        <v>29</v>
      </c>
      <c r="H2248" s="17" t="s">
        <v>29</v>
      </c>
      <c r="I2248" s="17" t="s">
        <v>29</v>
      </c>
      <c r="J2248" s="17" t="s">
        <v>29</v>
      </c>
      <c r="K2248" s="17" t="s">
        <v>29</v>
      </c>
      <c r="L2248" s="17" t="s">
        <v>29</v>
      </c>
      <c r="M2248" s="17" t="s">
        <v>29</v>
      </c>
      <c r="N2248" s="17" t="s">
        <v>29</v>
      </c>
      <c r="O2248" s="17" t="s">
        <v>29</v>
      </c>
      <c r="P2248" s="17" t="s">
        <v>29</v>
      </c>
      <c r="Q2248" s="17" t="s">
        <v>29</v>
      </c>
      <c r="R2248" s="17" t="s">
        <v>29</v>
      </c>
      <c r="S2248" s="17" t="s">
        <v>29</v>
      </c>
      <c r="T2248" s="17" t="s">
        <v>29</v>
      </c>
      <c r="U2248" s="17" t="s">
        <v>29</v>
      </c>
      <c r="V2248" s="17" t="s">
        <v>29</v>
      </c>
      <c r="W2248" s="17" t="s">
        <v>29</v>
      </c>
      <c r="X2248" s="17" t="s">
        <v>29</v>
      </c>
      <c r="Y2248" s="17" t="s">
        <v>29</v>
      </c>
      <c r="Z2248" s="17" t="s">
        <v>29</v>
      </c>
      <c r="AA2248" s="17" t="s">
        <v>29</v>
      </c>
      <c r="AB2248" s="17" t="s">
        <v>29</v>
      </c>
    </row>
    <row r="2249" spans="1:28" x14ac:dyDescent="0.3">
      <c r="A2249" s="63" t="s">
        <v>1034</v>
      </c>
      <c r="B2249" s="7" t="s">
        <v>828</v>
      </c>
      <c r="C2249" s="8"/>
      <c r="D2249" s="8"/>
      <c r="E2249" s="8"/>
      <c r="F2249" s="8"/>
      <c r="G2249" s="8"/>
      <c r="H2249" s="8"/>
      <c r="I2249" s="8"/>
      <c r="J2249" s="8"/>
      <c r="K2249" s="8"/>
      <c r="L2249" s="8"/>
      <c r="M2249" s="8"/>
      <c r="N2249" s="8"/>
      <c r="O2249" s="8"/>
      <c r="P2249" s="8"/>
      <c r="Q2249" s="8"/>
      <c r="R2249" s="8"/>
      <c r="S2249" s="8"/>
      <c r="T2249" s="8"/>
      <c r="U2249" s="8"/>
      <c r="V2249" s="8"/>
      <c r="W2249" s="8"/>
      <c r="X2249" s="8"/>
      <c r="Y2249" s="8"/>
      <c r="Z2249" s="8"/>
    </row>
    <row r="2250" spans="1:28" x14ac:dyDescent="0.3">
      <c r="A2250" s="64"/>
      <c r="B2250" s="8"/>
      <c r="C2250" s="7" t="s">
        <v>535</v>
      </c>
      <c r="D2250" s="15" t="s">
        <v>68</v>
      </c>
      <c r="E2250" s="9">
        <f>855000-81584.8</f>
        <v>773415.2</v>
      </c>
      <c r="F2250" s="9">
        <v>232186</v>
      </c>
      <c r="G2250" s="8"/>
      <c r="H2250" s="9">
        <f t="shared" ref="H2250:H2264" si="1181">F2250+G2250</f>
        <v>232186</v>
      </c>
      <c r="I2250" s="8"/>
      <c r="J2250" s="9">
        <f t="shared" ref="J2250:J2264" si="1182">H2250+I2250</f>
        <v>232186</v>
      </c>
      <c r="K2250" s="9">
        <v>541229.19999999995</v>
      </c>
      <c r="L2250" s="8"/>
      <c r="M2250" s="9">
        <f>+H2250+L2250</f>
        <v>232186</v>
      </c>
      <c r="N2250" s="8">
        <v>541229.19999999995</v>
      </c>
      <c r="O2250" s="9"/>
      <c r="P2250" s="9">
        <f>+N2250+O2250</f>
        <v>541229.19999999995</v>
      </c>
      <c r="Q2250" s="9">
        <f t="shared" ref="Q2250:Q2264" si="1183">E2250-P2250</f>
        <v>232186</v>
      </c>
      <c r="R2250" s="8"/>
      <c r="S2250" s="8"/>
      <c r="T2250" s="8"/>
      <c r="U2250" s="18">
        <f t="shared" ref="U2250:U2264" si="1184">+P2250+T2250</f>
        <v>541229.19999999995</v>
      </c>
      <c r="V2250" s="17"/>
      <c r="W2250" s="17"/>
      <c r="X2250" s="9">
        <f t="shared" ref="X2250:X2264" si="1185">+H2250+P2250</f>
        <v>773415.2</v>
      </c>
      <c r="Y2250" s="8"/>
      <c r="Z2250" s="9">
        <f t="shared" ref="Z2250:Z2264" si="1186">+E2250-X2250</f>
        <v>0</v>
      </c>
      <c r="AA2250" s="8">
        <f t="shared" ref="AA2250:AA2264" si="1187">+M2250+U2250</f>
        <v>773415.2</v>
      </c>
      <c r="AB2250" s="8">
        <f t="shared" ref="AB2250:AB2264" si="1188">+E2250-AA2250</f>
        <v>0</v>
      </c>
    </row>
    <row r="2251" spans="1:28" x14ac:dyDescent="0.3">
      <c r="A2251" s="64"/>
      <c r="B2251" s="8"/>
      <c r="C2251" s="7" t="s">
        <v>539</v>
      </c>
      <c r="D2251" s="15" t="s">
        <v>68</v>
      </c>
      <c r="E2251" s="9">
        <v>385358.4</v>
      </c>
      <c r="F2251" s="8"/>
      <c r="G2251" s="8"/>
      <c r="H2251" s="9">
        <f t="shared" si="1181"/>
        <v>0</v>
      </c>
      <c r="I2251" s="8"/>
      <c r="J2251" s="9">
        <f t="shared" si="1182"/>
        <v>0</v>
      </c>
      <c r="K2251" s="9">
        <v>385358.4</v>
      </c>
      <c r="L2251" s="8"/>
      <c r="M2251" s="9">
        <f t="shared" ref="M2251:M2264" si="1189">+H2251+L2251</f>
        <v>0</v>
      </c>
      <c r="N2251" s="8">
        <v>385358.4</v>
      </c>
      <c r="O2251" s="9"/>
      <c r="P2251" s="9">
        <f t="shared" ref="P2251:P2264" si="1190">+N2251+O2251</f>
        <v>385358.4</v>
      </c>
      <c r="Q2251" s="9">
        <f t="shared" si="1183"/>
        <v>0</v>
      </c>
      <c r="R2251" s="8"/>
      <c r="S2251" s="8"/>
      <c r="T2251" s="8"/>
      <c r="U2251" s="18">
        <f t="shared" si="1184"/>
        <v>385358.4</v>
      </c>
      <c r="V2251" s="17"/>
      <c r="W2251" s="17"/>
      <c r="X2251" s="9">
        <f t="shared" si="1185"/>
        <v>385358.4</v>
      </c>
      <c r="Y2251" s="8"/>
      <c r="Z2251" s="9">
        <f t="shared" si="1186"/>
        <v>0</v>
      </c>
      <c r="AA2251" s="8">
        <f t="shared" si="1187"/>
        <v>385358.4</v>
      </c>
      <c r="AB2251" s="8">
        <f t="shared" si="1188"/>
        <v>0</v>
      </c>
    </row>
    <row r="2252" spans="1:28" x14ac:dyDescent="0.3">
      <c r="A2252" s="64"/>
      <c r="B2252" s="8"/>
      <c r="C2252" s="7" t="s">
        <v>535</v>
      </c>
      <c r="D2252" s="15" t="s">
        <v>54</v>
      </c>
      <c r="E2252" s="9">
        <v>199000</v>
      </c>
      <c r="F2252" s="9">
        <v>199000</v>
      </c>
      <c r="G2252" s="8"/>
      <c r="H2252" s="9">
        <f t="shared" si="1181"/>
        <v>199000</v>
      </c>
      <c r="I2252" s="8"/>
      <c r="J2252" s="9">
        <f t="shared" si="1182"/>
        <v>199000</v>
      </c>
      <c r="K2252" s="8"/>
      <c r="L2252" s="8"/>
      <c r="M2252" s="9">
        <f t="shared" si="1189"/>
        <v>199000</v>
      </c>
      <c r="N2252" s="8"/>
      <c r="O2252" s="9"/>
      <c r="P2252" s="9">
        <f t="shared" si="1190"/>
        <v>0</v>
      </c>
      <c r="Q2252" s="9">
        <f t="shared" si="1183"/>
        <v>199000</v>
      </c>
      <c r="R2252" s="8"/>
      <c r="S2252" s="8"/>
      <c r="T2252" s="8"/>
      <c r="U2252" s="18">
        <f t="shared" si="1184"/>
        <v>0</v>
      </c>
      <c r="V2252" s="17"/>
      <c r="W2252" s="17"/>
      <c r="X2252" s="9">
        <f t="shared" si="1185"/>
        <v>199000</v>
      </c>
      <c r="Y2252" s="8"/>
      <c r="Z2252" s="9">
        <f t="shared" si="1186"/>
        <v>0</v>
      </c>
      <c r="AA2252" s="8">
        <f t="shared" si="1187"/>
        <v>199000</v>
      </c>
      <c r="AB2252" s="8">
        <f t="shared" si="1188"/>
        <v>0</v>
      </c>
    </row>
    <row r="2253" spans="1:28" x14ac:dyDescent="0.3">
      <c r="A2253" s="64"/>
      <c r="B2253" s="8"/>
      <c r="C2253" s="7" t="s">
        <v>545</v>
      </c>
      <c r="D2253" s="15" t="s">
        <v>54</v>
      </c>
      <c r="E2253" s="9">
        <v>570941</v>
      </c>
      <c r="F2253" s="8"/>
      <c r="G2253" s="8"/>
      <c r="H2253" s="9">
        <f t="shared" si="1181"/>
        <v>0</v>
      </c>
      <c r="I2253" s="8"/>
      <c r="J2253" s="9">
        <f t="shared" si="1182"/>
        <v>0</v>
      </c>
      <c r="K2253" s="9">
        <v>570941</v>
      </c>
      <c r="L2253" s="8"/>
      <c r="M2253" s="9">
        <f t="shared" si="1189"/>
        <v>0</v>
      </c>
      <c r="N2253" s="8">
        <v>570941</v>
      </c>
      <c r="O2253" s="9"/>
      <c r="P2253" s="9">
        <f t="shared" si="1190"/>
        <v>570941</v>
      </c>
      <c r="Q2253" s="9">
        <f t="shared" si="1183"/>
        <v>0</v>
      </c>
      <c r="R2253" s="8"/>
      <c r="S2253" s="8"/>
      <c r="T2253" s="8"/>
      <c r="U2253" s="18">
        <f t="shared" si="1184"/>
        <v>570941</v>
      </c>
      <c r="V2253" s="17"/>
      <c r="W2253" s="17"/>
      <c r="X2253" s="9">
        <f t="shared" si="1185"/>
        <v>570941</v>
      </c>
      <c r="Y2253" s="8"/>
      <c r="Z2253" s="9">
        <f t="shared" si="1186"/>
        <v>0</v>
      </c>
      <c r="AA2253" s="8">
        <f t="shared" si="1187"/>
        <v>570941</v>
      </c>
      <c r="AB2253" s="8">
        <f t="shared" si="1188"/>
        <v>0</v>
      </c>
    </row>
    <row r="2254" spans="1:28" x14ac:dyDescent="0.3">
      <c r="A2254" s="64"/>
      <c r="B2254" s="8"/>
      <c r="C2254" s="7" t="s">
        <v>557</v>
      </c>
      <c r="D2254" s="15" t="s">
        <v>54</v>
      </c>
      <c r="E2254" s="9">
        <v>1500000</v>
      </c>
      <c r="F2254" s="9">
        <v>1500000</v>
      </c>
      <c r="G2254" s="8"/>
      <c r="H2254" s="9">
        <f t="shared" si="1181"/>
        <v>1500000</v>
      </c>
      <c r="I2254" s="8"/>
      <c r="J2254" s="9">
        <f t="shared" si="1182"/>
        <v>1500000</v>
      </c>
      <c r="K2254" s="8"/>
      <c r="L2254" s="8"/>
      <c r="M2254" s="9">
        <f t="shared" si="1189"/>
        <v>1500000</v>
      </c>
      <c r="N2254" s="8"/>
      <c r="O2254" s="9"/>
      <c r="P2254" s="9">
        <f t="shared" si="1190"/>
        <v>0</v>
      </c>
      <c r="Q2254" s="9">
        <f t="shared" si="1183"/>
        <v>1500000</v>
      </c>
      <c r="R2254" s="8"/>
      <c r="S2254" s="8"/>
      <c r="T2254" s="8"/>
      <c r="U2254" s="18">
        <f t="shared" si="1184"/>
        <v>0</v>
      </c>
      <c r="V2254" s="17"/>
      <c r="W2254" s="17"/>
      <c r="X2254" s="9">
        <f t="shared" si="1185"/>
        <v>1500000</v>
      </c>
      <c r="Y2254" s="8"/>
      <c r="Z2254" s="9">
        <f t="shared" si="1186"/>
        <v>0</v>
      </c>
      <c r="AA2254" s="8">
        <f t="shared" si="1187"/>
        <v>1500000</v>
      </c>
      <c r="AB2254" s="8">
        <f t="shared" si="1188"/>
        <v>0</v>
      </c>
    </row>
    <row r="2255" spans="1:28" x14ac:dyDescent="0.3">
      <c r="A2255" s="64"/>
      <c r="B2255" s="8"/>
      <c r="C2255" s="7" t="s">
        <v>535</v>
      </c>
      <c r="D2255" s="15" t="s">
        <v>85</v>
      </c>
      <c r="E2255" s="9">
        <f>300000-30000</f>
        <v>270000</v>
      </c>
      <c r="F2255" s="9">
        <v>270000</v>
      </c>
      <c r="G2255" s="8"/>
      <c r="H2255" s="9">
        <f t="shared" si="1181"/>
        <v>270000</v>
      </c>
      <c r="I2255" s="8"/>
      <c r="J2255" s="9">
        <f t="shared" si="1182"/>
        <v>270000</v>
      </c>
      <c r="K2255" s="8"/>
      <c r="L2255" s="8"/>
      <c r="M2255" s="9">
        <f t="shared" si="1189"/>
        <v>270000</v>
      </c>
      <c r="N2255" s="8"/>
      <c r="O2255" s="9"/>
      <c r="P2255" s="9">
        <f t="shared" si="1190"/>
        <v>0</v>
      </c>
      <c r="Q2255" s="9">
        <f t="shared" si="1183"/>
        <v>270000</v>
      </c>
      <c r="R2255" s="8"/>
      <c r="S2255" s="8"/>
      <c r="T2255" s="8"/>
      <c r="U2255" s="18">
        <f t="shared" si="1184"/>
        <v>0</v>
      </c>
      <c r="V2255" s="17"/>
      <c r="W2255" s="17"/>
      <c r="X2255" s="9">
        <f t="shared" si="1185"/>
        <v>270000</v>
      </c>
      <c r="Y2255" s="8"/>
      <c r="Z2255" s="9">
        <f t="shared" si="1186"/>
        <v>0</v>
      </c>
      <c r="AA2255" s="8">
        <f t="shared" si="1187"/>
        <v>270000</v>
      </c>
      <c r="AB2255" s="8">
        <f t="shared" si="1188"/>
        <v>0</v>
      </c>
    </row>
    <row r="2256" spans="1:28" x14ac:dyDescent="0.3">
      <c r="A2256" s="64"/>
      <c r="B2256" s="8"/>
      <c r="C2256" s="7" t="s">
        <v>557</v>
      </c>
      <c r="D2256" s="15" t="s">
        <v>85</v>
      </c>
      <c r="E2256" s="9">
        <v>1500000</v>
      </c>
      <c r="F2256" s="9">
        <v>1500000</v>
      </c>
      <c r="G2256" s="8"/>
      <c r="H2256" s="9">
        <f t="shared" si="1181"/>
        <v>1500000</v>
      </c>
      <c r="I2256" s="8"/>
      <c r="J2256" s="9">
        <f t="shared" si="1182"/>
        <v>1500000</v>
      </c>
      <c r="K2256" s="8"/>
      <c r="L2256" s="8"/>
      <c r="M2256" s="9">
        <f t="shared" si="1189"/>
        <v>1500000</v>
      </c>
      <c r="N2256" s="8"/>
      <c r="O2256" s="9"/>
      <c r="P2256" s="9">
        <f t="shared" si="1190"/>
        <v>0</v>
      </c>
      <c r="Q2256" s="9">
        <f t="shared" si="1183"/>
        <v>1500000</v>
      </c>
      <c r="R2256" s="8"/>
      <c r="S2256" s="8"/>
      <c r="T2256" s="8"/>
      <c r="U2256" s="18">
        <f t="shared" si="1184"/>
        <v>0</v>
      </c>
      <c r="V2256" s="17"/>
      <c r="W2256" s="17"/>
      <c r="X2256" s="9">
        <f t="shared" si="1185"/>
        <v>1500000</v>
      </c>
      <c r="Y2256" s="8"/>
      <c r="Z2256" s="9">
        <f t="shared" si="1186"/>
        <v>0</v>
      </c>
      <c r="AA2256" s="8">
        <f t="shared" si="1187"/>
        <v>1500000</v>
      </c>
      <c r="AB2256" s="8">
        <f t="shared" si="1188"/>
        <v>0</v>
      </c>
    </row>
    <row r="2257" spans="1:28" x14ac:dyDescent="0.3">
      <c r="A2257" s="64"/>
      <c r="B2257" s="8"/>
      <c r="C2257" s="7" t="s">
        <v>535</v>
      </c>
      <c r="D2257" s="15" t="s">
        <v>128</v>
      </c>
      <c r="E2257" s="9">
        <f>3183837.73+500000</f>
        <v>3683837.73</v>
      </c>
      <c r="F2257" s="9">
        <f>3183837.73+500000</f>
        <v>3683837.73</v>
      </c>
      <c r="G2257" s="8"/>
      <c r="H2257" s="9">
        <f t="shared" si="1181"/>
        <v>3683837.73</v>
      </c>
      <c r="I2257" s="8"/>
      <c r="J2257" s="9">
        <f t="shared" si="1182"/>
        <v>3683837.73</v>
      </c>
      <c r="K2257" s="8"/>
      <c r="L2257" s="8"/>
      <c r="M2257" s="9">
        <f t="shared" si="1189"/>
        <v>3683837.73</v>
      </c>
      <c r="N2257" s="8"/>
      <c r="O2257" s="9"/>
      <c r="P2257" s="9">
        <f t="shared" si="1190"/>
        <v>0</v>
      </c>
      <c r="Q2257" s="9">
        <f t="shared" si="1183"/>
        <v>3683837.73</v>
      </c>
      <c r="R2257" s="8"/>
      <c r="S2257" s="8"/>
      <c r="T2257" s="8"/>
      <c r="U2257" s="18">
        <f t="shared" si="1184"/>
        <v>0</v>
      </c>
      <c r="V2257" s="17"/>
      <c r="W2257" s="17"/>
      <c r="X2257" s="9">
        <f t="shared" si="1185"/>
        <v>3683837.73</v>
      </c>
      <c r="Y2257" s="8"/>
      <c r="Z2257" s="9">
        <f t="shared" si="1186"/>
        <v>0</v>
      </c>
      <c r="AA2257" s="8">
        <f t="shared" si="1187"/>
        <v>3683837.73</v>
      </c>
      <c r="AB2257" s="8">
        <f t="shared" si="1188"/>
        <v>0</v>
      </c>
    </row>
    <row r="2258" spans="1:28" x14ac:dyDescent="0.3">
      <c r="A2258" s="64"/>
      <c r="B2258" s="8"/>
      <c r="C2258" s="7" t="s">
        <v>542</v>
      </c>
      <c r="D2258" s="15" t="s">
        <v>88</v>
      </c>
      <c r="E2258" s="9">
        <v>6200000</v>
      </c>
      <c r="F2258" s="9">
        <v>6200000</v>
      </c>
      <c r="G2258" s="8"/>
      <c r="H2258" s="9">
        <f t="shared" si="1181"/>
        <v>6200000</v>
      </c>
      <c r="I2258" s="8"/>
      <c r="J2258" s="9">
        <f t="shared" si="1182"/>
        <v>6200000</v>
      </c>
      <c r="K2258" s="8"/>
      <c r="L2258" s="8"/>
      <c r="M2258" s="9">
        <f t="shared" si="1189"/>
        <v>6200000</v>
      </c>
      <c r="N2258" s="8"/>
      <c r="O2258" s="9"/>
      <c r="P2258" s="9">
        <f t="shared" si="1190"/>
        <v>0</v>
      </c>
      <c r="Q2258" s="9">
        <f t="shared" si="1183"/>
        <v>6200000</v>
      </c>
      <c r="R2258" s="8"/>
      <c r="S2258" s="8"/>
      <c r="T2258" s="8"/>
      <c r="U2258" s="18">
        <f t="shared" si="1184"/>
        <v>0</v>
      </c>
      <c r="V2258" s="17"/>
      <c r="W2258" s="17"/>
      <c r="X2258" s="9">
        <f t="shared" si="1185"/>
        <v>6200000</v>
      </c>
      <c r="Y2258" s="8"/>
      <c r="Z2258" s="9">
        <f t="shared" si="1186"/>
        <v>0</v>
      </c>
      <c r="AA2258" s="8">
        <f t="shared" si="1187"/>
        <v>6200000</v>
      </c>
      <c r="AB2258" s="8">
        <f t="shared" si="1188"/>
        <v>0</v>
      </c>
    </row>
    <row r="2259" spans="1:28" x14ac:dyDescent="0.3">
      <c r="A2259" s="64"/>
      <c r="B2259" s="8"/>
      <c r="C2259" s="7" t="s">
        <v>535</v>
      </c>
      <c r="D2259" s="15" t="s">
        <v>108</v>
      </c>
      <c r="E2259" s="9">
        <f>3271929.23+2028274</f>
        <v>5300203.2300000004</v>
      </c>
      <c r="F2259" s="9">
        <f>3271929.23+2028274</f>
        <v>5300203.2300000004</v>
      </c>
      <c r="G2259" s="8"/>
      <c r="H2259" s="9">
        <f t="shared" si="1181"/>
        <v>5300203.2300000004</v>
      </c>
      <c r="I2259" s="8"/>
      <c r="J2259" s="9">
        <f t="shared" si="1182"/>
        <v>5300203.2300000004</v>
      </c>
      <c r="K2259" s="8"/>
      <c r="L2259" s="8"/>
      <c r="M2259" s="9">
        <f t="shared" si="1189"/>
        <v>5300203.2300000004</v>
      </c>
      <c r="N2259" s="8"/>
      <c r="O2259" s="9"/>
      <c r="P2259" s="9">
        <f t="shared" si="1190"/>
        <v>0</v>
      </c>
      <c r="Q2259" s="9">
        <f t="shared" si="1183"/>
        <v>5300203.2300000004</v>
      </c>
      <c r="R2259" s="8"/>
      <c r="S2259" s="8"/>
      <c r="T2259" s="8"/>
      <c r="U2259" s="18">
        <f t="shared" si="1184"/>
        <v>0</v>
      </c>
      <c r="V2259" s="17"/>
      <c r="W2259" s="17"/>
      <c r="X2259" s="9">
        <f t="shared" si="1185"/>
        <v>5300203.2300000004</v>
      </c>
      <c r="Y2259" s="8"/>
      <c r="Z2259" s="9">
        <f t="shared" si="1186"/>
        <v>0</v>
      </c>
      <c r="AA2259" s="8">
        <f t="shared" si="1187"/>
        <v>5300203.2300000004</v>
      </c>
      <c r="AB2259" s="8">
        <f t="shared" si="1188"/>
        <v>0</v>
      </c>
    </row>
    <row r="2260" spans="1:28" x14ac:dyDescent="0.3">
      <c r="A2260" s="64"/>
      <c r="B2260" s="8"/>
      <c r="C2260" s="7" t="s">
        <v>535</v>
      </c>
      <c r="D2260" s="15" t="s">
        <v>58</v>
      </c>
      <c r="E2260" s="9">
        <f>3497162.62+1089450+1710150</f>
        <v>6296762.6200000001</v>
      </c>
      <c r="F2260" s="9">
        <f>4586612.62+1710150</f>
        <v>6296762.6200000001</v>
      </c>
      <c r="G2260" s="8"/>
      <c r="H2260" s="9">
        <f t="shared" si="1181"/>
        <v>6296762.6200000001</v>
      </c>
      <c r="I2260" s="8"/>
      <c r="J2260" s="9">
        <f t="shared" si="1182"/>
        <v>6296762.6200000001</v>
      </c>
      <c r="K2260" s="8"/>
      <c r="L2260" s="8"/>
      <c r="M2260" s="9">
        <f t="shared" si="1189"/>
        <v>6296762.6200000001</v>
      </c>
      <c r="N2260" s="8"/>
      <c r="O2260" s="9"/>
      <c r="P2260" s="9">
        <f t="shared" si="1190"/>
        <v>0</v>
      </c>
      <c r="Q2260" s="9">
        <f t="shared" si="1183"/>
        <v>6296762.6200000001</v>
      </c>
      <c r="R2260" s="8"/>
      <c r="S2260" s="8"/>
      <c r="T2260" s="8"/>
      <c r="U2260" s="18">
        <f t="shared" si="1184"/>
        <v>0</v>
      </c>
      <c r="V2260" s="17"/>
      <c r="W2260" s="17"/>
      <c r="X2260" s="9">
        <f t="shared" si="1185"/>
        <v>6296762.6200000001</v>
      </c>
      <c r="Y2260" s="8"/>
      <c r="Z2260" s="9">
        <f t="shared" si="1186"/>
        <v>0</v>
      </c>
      <c r="AA2260" s="8">
        <f t="shared" si="1187"/>
        <v>6296762.6200000001</v>
      </c>
      <c r="AB2260" s="8">
        <f t="shared" si="1188"/>
        <v>0</v>
      </c>
    </row>
    <row r="2261" spans="1:28" x14ac:dyDescent="0.3">
      <c r="A2261" s="64"/>
      <c r="B2261" s="8"/>
      <c r="C2261" s="7" t="s">
        <v>535</v>
      </c>
      <c r="D2261" s="15" t="s">
        <v>60</v>
      </c>
      <c r="E2261" s="9">
        <f>3660145+3800000+6000000+2359759.62-2359759.62</f>
        <v>13460145</v>
      </c>
      <c r="F2261" s="9">
        <f>3660145+3800000+6000000+2359759.62-2359759.62</f>
        <v>13460145</v>
      </c>
      <c r="G2261" s="8"/>
      <c r="H2261" s="9">
        <f t="shared" si="1181"/>
        <v>13460145</v>
      </c>
      <c r="I2261" s="9"/>
      <c r="J2261" s="9">
        <f t="shared" si="1182"/>
        <v>13460145</v>
      </c>
      <c r="K2261" s="8"/>
      <c r="L2261" s="8"/>
      <c r="M2261" s="9">
        <f t="shared" si="1189"/>
        <v>13460145</v>
      </c>
      <c r="N2261" s="8"/>
      <c r="O2261" s="9"/>
      <c r="P2261" s="9">
        <f t="shared" si="1190"/>
        <v>0</v>
      </c>
      <c r="Q2261" s="9">
        <f t="shared" si="1183"/>
        <v>13460145</v>
      </c>
      <c r="R2261" s="8"/>
      <c r="S2261" s="8"/>
      <c r="T2261" s="8"/>
      <c r="U2261" s="18">
        <f t="shared" si="1184"/>
        <v>0</v>
      </c>
      <c r="V2261" s="17"/>
      <c r="W2261" s="17"/>
      <c r="X2261" s="9">
        <f t="shared" si="1185"/>
        <v>13460145</v>
      </c>
      <c r="Y2261" s="8"/>
      <c r="Z2261" s="9">
        <f t="shared" si="1186"/>
        <v>0</v>
      </c>
      <c r="AA2261" s="8">
        <f t="shared" si="1187"/>
        <v>13460145</v>
      </c>
      <c r="AB2261" s="8">
        <f t="shared" si="1188"/>
        <v>0</v>
      </c>
    </row>
    <row r="2262" spans="1:28" x14ac:dyDescent="0.3">
      <c r="A2262" s="64"/>
      <c r="B2262" s="8"/>
      <c r="C2262" s="14" t="s">
        <v>535</v>
      </c>
      <c r="D2262" s="21" t="s">
        <v>73</v>
      </c>
      <c r="E2262" s="11">
        <v>5000000</v>
      </c>
      <c r="F2262" s="11">
        <v>5000000</v>
      </c>
      <c r="G2262" s="8"/>
      <c r="H2262" s="9">
        <f t="shared" si="1181"/>
        <v>5000000</v>
      </c>
      <c r="I2262" s="8"/>
      <c r="J2262" s="9">
        <f t="shared" si="1182"/>
        <v>5000000</v>
      </c>
      <c r="K2262" s="8"/>
      <c r="L2262" s="8"/>
      <c r="M2262" s="9">
        <f t="shared" si="1189"/>
        <v>5000000</v>
      </c>
      <c r="N2262" s="8"/>
      <c r="O2262" s="9"/>
      <c r="P2262" s="9">
        <f t="shared" si="1190"/>
        <v>0</v>
      </c>
      <c r="Q2262" s="9">
        <f t="shared" si="1183"/>
        <v>5000000</v>
      </c>
      <c r="R2262" s="8"/>
      <c r="S2262" s="8"/>
      <c r="T2262" s="8"/>
      <c r="U2262" s="18">
        <f t="shared" si="1184"/>
        <v>0</v>
      </c>
      <c r="V2262" s="17"/>
      <c r="W2262" s="17"/>
      <c r="X2262" s="9">
        <f t="shared" si="1185"/>
        <v>5000000</v>
      </c>
      <c r="Y2262" s="8"/>
      <c r="Z2262" s="9">
        <f t="shared" si="1186"/>
        <v>0</v>
      </c>
      <c r="AA2262" s="8">
        <f t="shared" si="1187"/>
        <v>5000000</v>
      </c>
      <c r="AB2262" s="8">
        <f t="shared" si="1188"/>
        <v>0</v>
      </c>
    </row>
    <row r="2263" spans="1:28" x14ac:dyDescent="0.3">
      <c r="A2263" s="64"/>
      <c r="B2263" s="8"/>
      <c r="C2263" s="7" t="s">
        <v>550</v>
      </c>
      <c r="D2263" s="8"/>
      <c r="E2263" s="9">
        <v>475501</v>
      </c>
      <c r="F2263" s="9">
        <v>475501</v>
      </c>
      <c r="G2263" s="8"/>
      <c r="H2263" s="9">
        <f t="shared" si="1181"/>
        <v>475501</v>
      </c>
      <c r="I2263" s="8"/>
      <c r="J2263" s="9">
        <f t="shared" si="1182"/>
        <v>475501</v>
      </c>
      <c r="K2263" s="8"/>
      <c r="L2263" s="8"/>
      <c r="M2263" s="9">
        <f t="shared" si="1189"/>
        <v>475501</v>
      </c>
      <c r="N2263" s="8"/>
      <c r="O2263" s="9"/>
      <c r="P2263" s="9">
        <f t="shared" si="1190"/>
        <v>0</v>
      </c>
      <c r="Q2263" s="9">
        <f t="shared" si="1183"/>
        <v>475501</v>
      </c>
      <c r="R2263" s="8"/>
      <c r="S2263" s="8"/>
      <c r="T2263" s="8"/>
      <c r="U2263" s="18">
        <f t="shared" si="1184"/>
        <v>0</v>
      </c>
      <c r="V2263" s="17"/>
      <c r="W2263" s="17"/>
      <c r="X2263" s="9">
        <f t="shared" si="1185"/>
        <v>475501</v>
      </c>
      <c r="Y2263" s="8"/>
      <c r="Z2263" s="9">
        <f t="shared" si="1186"/>
        <v>0</v>
      </c>
      <c r="AA2263" s="8">
        <f t="shared" si="1187"/>
        <v>475501</v>
      </c>
      <c r="AB2263" s="8">
        <f t="shared" si="1188"/>
        <v>0</v>
      </c>
    </row>
    <row r="2264" spans="1:28" x14ac:dyDescent="0.3">
      <c r="A2264" s="64"/>
      <c r="B2264" s="8"/>
      <c r="C2264" s="7" t="s">
        <v>606</v>
      </c>
      <c r="D2264" s="8"/>
      <c r="E2264" s="9">
        <f>1380313+3619687</f>
        <v>5000000</v>
      </c>
      <c r="F2264" s="9">
        <v>5000000</v>
      </c>
      <c r="G2264" s="8"/>
      <c r="H2264" s="9">
        <f t="shared" si="1181"/>
        <v>5000000</v>
      </c>
      <c r="I2264" s="8"/>
      <c r="J2264" s="9">
        <f t="shared" si="1182"/>
        <v>5000000</v>
      </c>
      <c r="K2264" s="8"/>
      <c r="L2264" s="8"/>
      <c r="M2264" s="9">
        <f t="shared" si="1189"/>
        <v>5000000</v>
      </c>
      <c r="N2264" s="8"/>
      <c r="O2264" s="9"/>
      <c r="P2264" s="9">
        <f t="shared" si="1190"/>
        <v>0</v>
      </c>
      <c r="Q2264" s="9">
        <f t="shared" si="1183"/>
        <v>5000000</v>
      </c>
      <c r="R2264" s="8"/>
      <c r="S2264" s="8"/>
      <c r="T2264" s="8"/>
      <c r="U2264" s="18">
        <f t="shared" si="1184"/>
        <v>0</v>
      </c>
      <c r="V2264" s="17"/>
      <c r="W2264" s="17"/>
      <c r="X2264" s="9">
        <f t="shared" si="1185"/>
        <v>5000000</v>
      </c>
      <c r="Y2264" s="8"/>
      <c r="Z2264" s="9">
        <f t="shared" si="1186"/>
        <v>0</v>
      </c>
      <c r="AA2264" s="8">
        <f t="shared" si="1187"/>
        <v>5000000</v>
      </c>
      <c r="AB2264" s="8">
        <f t="shared" si="1188"/>
        <v>0</v>
      </c>
    </row>
    <row r="2265" spans="1:28" x14ac:dyDescent="0.3">
      <c r="A2265" s="64"/>
      <c r="B2265" s="8"/>
      <c r="C2265" s="8"/>
      <c r="D2265" s="8"/>
      <c r="E2265" s="17" t="s">
        <v>29</v>
      </c>
      <c r="F2265" s="17" t="s">
        <v>29</v>
      </c>
      <c r="G2265" s="17" t="s">
        <v>29</v>
      </c>
      <c r="H2265" s="17" t="s">
        <v>29</v>
      </c>
      <c r="I2265" s="17" t="s">
        <v>29</v>
      </c>
      <c r="J2265" s="17" t="s">
        <v>29</v>
      </c>
      <c r="K2265" s="17" t="s">
        <v>29</v>
      </c>
      <c r="L2265" s="17" t="s">
        <v>29</v>
      </c>
      <c r="M2265" s="17" t="s">
        <v>29</v>
      </c>
      <c r="N2265" s="17" t="s">
        <v>29</v>
      </c>
      <c r="O2265" s="17" t="s">
        <v>29</v>
      </c>
      <c r="P2265" s="17" t="s">
        <v>29</v>
      </c>
      <c r="Q2265" s="17" t="s">
        <v>29</v>
      </c>
      <c r="R2265" s="17" t="s">
        <v>29</v>
      </c>
      <c r="S2265" s="17" t="s">
        <v>29</v>
      </c>
      <c r="T2265" s="17" t="s">
        <v>29</v>
      </c>
      <c r="U2265" s="17" t="s">
        <v>29</v>
      </c>
      <c r="V2265" s="17" t="s">
        <v>29</v>
      </c>
      <c r="W2265" s="17" t="s">
        <v>29</v>
      </c>
      <c r="X2265" s="17" t="s">
        <v>29</v>
      </c>
      <c r="Y2265" s="17" t="s">
        <v>29</v>
      </c>
      <c r="Z2265" s="17" t="s">
        <v>29</v>
      </c>
      <c r="AA2265" s="17" t="s">
        <v>29</v>
      </c>
      <c r="AB2265" s="17" t="s">
        <v>29</v>
      </c>
    </row>
    <row r="2266" spans="1:28" x14ac:dyDescent="0.3">
      <c r="A2266" s="64"/>
      <c r="B2266" s="8"/>
      <c r="C2266" s="8"/>
      <c r="D2266" s="8"/>
      <c r="E2266" s="9">
        <f t="shared" ref="E2266:Q2266" si="1191">SUM(E2250:E2265)</f>
        <v>50615164.180000007</v>
      </c>
      <c r="F2266" s="9">
        <f t="shared" si="1191"/>
        <v>49117635.579999998</v>
      </c>
      <c r="G2266" s="9">
        <f t="shared" si="1191"/>
        <v>0</v>
      </c>
      <c r="H2266" s="9">
        <f t="shared" si="1191"/>
        <v>49117635.579999998</v>
      </c>
      <c r="I2266" s="9">
        <f t="shared" si="1191"/>
        <v>0</v>
      </c>
      <c r="J2266" s="9">
        <f t="shared" si="1191"/>
        <v>49117635.579999998</v>
      </c>
      <c r="K2266" s="9">
        <f t="shared" si="1191"/>
        <v>1497528.6</v>
      </c>
      <c r="L2266" s="9">
        <f t="shared" si="1191"/>
        <v>0</v>
      </c>
      <c r="M2266" s="9">
        <f t="shared" si="1191"/>
        <v>49117635.579999998</v>
      </c>
      <c r="N2266" s="9">
        <f t="shared" si="1191"/>
        <v>1497528.6</v>
      </c>
      <c r="O2266" s="9">
        <f t="shared" si="1191"/>
        <v>0</v>
      </c>
      <c r="P2266" s="9">
        <f t="shared" si="1191"/>
        <v>1497528.6</v>
      </c>
      <c r="Q2266" s="9">
        <f t="shared" si="1191"/>
        <v>49117635.579999998</v>
      </c>
      <c r="R2266" s="8"/>
      <c r="S2266" s="8"/>
      <c r="T2266" s="9">
        <f t="shared" ref="T2266:Z2266" si="1192">SUM(T2250:T2265)</f>
        <v>0</v>
      </c>
      <c r="U2266" s="9">
        <f t="shared" si="1192"/>
        <v>1497528.6</v>
      </c>
      <c r="V2266" s="9">
        <f t="shared" si="1192"/>
        <v>0</v>
      </c>
      <c r="W2266" s="9">
        <f t="shared" si="1192"/>
        <v>0</v>
      </c>
      <c r="X2266" s="9">
        <f t="shared" si="1192"/>
        <v>50615164.180000007</v>
      </c>
      <c r="Y2266" s="9">
        <f t="shared" si="1192"/>
        <v>0</v>
      </c>
      <c r="Z2266" s="9">
        <f t="shared" si="1192"/>
        <v>0</v>
      </c>
      <c r="AA2266" s="9">
        <f>SUM(AA2250:AA2265)</f>
        <v>50615164.180000007</v>
      </c>
      <c r="AB2266" s="9">
        <f>SUM(AB2250:AB2265)</f>
        <v>0</v>
      </c>
    </row>
    <row r="2267" spans="1:28" x14ac:dyDescent="0.3">
      <c r="A2267" s="64"/>
      <c r="B2267" s="8"/>
      <c r="C2267" s="8"/>
      <c r="D2267" s="8"/>
      <c r="E2267" s="17" t="s">
        <v>29</v>
      </c>
      <c r="F2267" s="17" t="s">
        <v>29</v>
      </c>
      <c r="G2267" s="17" t="s">
        <v>29</v>
      </c>
      <c r="H2267" s="17" t="s">
        <v>29</v>
      </c>
      <c r="I2267" s="17" t="s">
        <v>29</v>
      </c>
      <c r="J2267" s="17" t="s">
        <v>29</v>
      </c>
      <c r="K2267" s="17" t="s">
        <v>29</v>
      </c>
      <c r="L2267" s="17" t="s">
        <v>29</v>
      </c>
      <c r="M2267" s="17" t="s">
        <v>29</v>
      </c>
      <c r="N2267" s="17" t="s">
        <v>29</v>
      </c>
      <c r="O2267" s="17" t="s">
        <v>29</v>
      </c>
      <c r="P2267" s="17" t="s">
        <v>29</v>
      </c>
      <c r="Q2267" s="17" t="s">
        <v>29</v>
      </c>
      <c r="R2267" s="17" t="s">
        <v>29</v>
      </c>
      <c r="S2267" s="17" t="s">
        <v>29</v>
      </c>
      <c r="T2267" s="17" t="s">
        <v>29</v>
      </c>
      <c r="U2267" s="17" t="s">
        <v>29</v>
      </c>
      <c r="V2267" s="17" t="s">
        <v>29</v>
      </c>
      <c r="W2267" s="17" t="s">
        <v>29</v>
      </c>
      <c r="X2267" s="17" t="s">
        <v>29</v>
      </c>
      <c r="Y2267" s="17" t="s">
        <v>29</v>
      </c>
      <c r="Z2267" s="17" t="s">
        <v>29</v>
      </c>
      <c r="AA2267" s="17" t="s">
        <v>29</v>
      </c>
      <c r="AB2267" s="17" t="s">
        <v>29</v>
      </c>
    </row>
    <row r="2268" spans="1:28" x14ac:dyDescent="0.3">
      <c r="A2268" s="63" t="s">
        <v>1035</v>
      </c>
      <c r="B2268" s="7" t="s">
        <v>829</v>
      </c>
      <c r="C2268" s="8"/>
      <c r="D2268" s="8"/>
      <c r="E2268" s="8"/>
      <c r="F2268" s="8"/>
      <c r="G2268" s="8"/>
      <c r="H2268" s="8"/>
      <c r="I2268" s="8"/>
      <c r="J2268" s="8"/>
      <c r="K2268" s="8"/>
      <c r="L2268" s="8"/>
      <c r="M2268" s="8"/>
      <c r="N2268" s="8"/>
      <c r="O2268" s="8"/>
      <c r="P2268" s="8"/>
      <c r="Q2268" s="8"/>
      <c r="R2268" s="8"/>
      <c r="S2268" s="8"/>
      <c r="T2268" s="8"/>
      <c r="U2268" s="8"/>
      <c r="V2268" s="8"/>
      <c r="W2268" s="8"/>
      <c r="X2268" s="8"/>
      <c r="Y2268" s="8"/>
      <c r="Z2268" s="8"/>
    </row>
    <row r="2269" spans="1:28" x14ac:dyDescent="0.3">
      <c r="A2269" s="64"/>
      <c r="B2269" s="8"/>
      <c r="C2269" s="7" t="s">
        <v>535</v>
      </c>
      <c r="D2269" s="15" t="s">
        <v>68</v>
      </c>
      <c r="E2269" s="9">
        <f>2570700-1590572.78</f>
        <v>980127.22</v>
      </c>
      <c r="F2269" s="9">
        <v>640520</v>
      </c>
      <c r="G2269" s="8"/>
      <c r="H2269" s="9">
        <f t="shared" ref="H2269:H2294" si="1193">F2269+G2269</f>
        <v>640520</v>
      </c>
      <c r="I2269" s="8"/>
      <c r="J2269" s="9">
        <f t="shared" ref="J2269:J2294" si="1194">H2269+I2269</f>
        <v>640520</v>
      </c>
      <c r="K2269" s="9">
        <f>75663.06+263944.16</f>
        <v>339607.22</v>
      </c>
      <c r="L2269" s="8"/>
      <c r="M2269" s="9">
        <f>+H2269+L2269</f>
        <v>640520</v>
      </c>
      <c r="N2269" s="8">
        <v>339607.22</v>
      </c>
      <c r="O2269" s="9"/>
      <c r="P2269" s="9">
        <f>+N2269+O2269</f>
        <v>339607.22</v>
      </c>
      <c r="Q2269" s="9">
        <f t="shared" ref="Q2269:Q2294" si="1195">E2269-P2269</f>
        <v>640520</v>
      </c>
      <c r="R2269" s="8"/>
      <c r="S2269" s="8"/>
      <c r="T2269" s="8"/>
      <c r="U2269" s="18">
        <f t="shared" ref="U2269:U2294" si="1196">+P2269+T2269</f>
        <v>339607.22</v>
      </c>
      <c r="V2269" s="17"/>
      <c r="W2269" s="17"/>
      <c r="X2269" s="9">
        <f t="shared" ref="X2269:X2294" si="1197">+H2269+P2269</f>
        <v>980127.22</v>
      </c>
      <c r="Y2269" s="8"/>
      <c r="Z2269" s="9">
        <f t="shared" ref="Z2269:Z2294" si="1198">+E2269-X2269</f>
        <v>0</v>
      </c>
      <c r="AA2269" s="8">
        <f t="shared" ref="AA2269:AA2294" si="1199">+M2269+U2269</f>
        <v>980127.22</v>
      </c>
      <c r="AB2269" s="8">
        <f t="shared" ref="AB2269:AB2294" si="1200">+E2269-AA2269</f>
        <v>0</v>
      </c>
    </row>
    <row r="2270" spans="1:28" x14ac:dyDescent="0.3">
      <c r="A2270" s="64"/>
      <c r="B2270" s="8"/>
      <c r="C2270" s="7" t="s">
        <v>535</v>
      </c>
      <c r="D2270" s="15" t="s">
        <v>54</v>
      </c>
      <c r="E2270" s="9">
        <f>1484000-74200-41293</f>
        <v>1368507</v>
      </c>
      <c r="F2270" s="9">
        <v>1368507</v>
      </c>
      <c r="G2270" s="8"/>
      <c r="H2270" s="9">
        <f t="shared" si="1193"/>
        <v>1368507</v>
      </c>
      <c r="I2270" s="8"/>
      <c r="J2270" s="9">
        <f t="shared" si="1194"/>
        <v>1368507</v>
      </c>
      <c r="K2270" s="8"/>
      <c r="L2270" s="8"/>
      <c r="M2270" s="9">
        <f t="shared" ref="M2270:M2294" si="1201">+H2270+L2270</f>
        <v>1368507</v>
      </c>
      <c r="N2270" s="8"/>
      <c r="O2270" s="9"/>
      <c r="P2270" s="9">
        <f t="shared" ref="P2270:P2294" si="1202">+N2270+O2270</f>
        <v>0</v>
      </c>
      <c r="Q2270" s="9">
        <f t="shared" si="1195"/>
        <v>1368507</v>
      </c>
      <c r="R2270" s="8"/>
      <c r="S2270" s="8"/>
      <c r="T2270" s="8"/>
      <c r="U2270" s="18">
        <f t="shared" si="1196"/>
        <v>0</v>
      </c>
      <c r="V2270" s="17"/>
      <c r="W2270" s="17"/>
      <c r="X2270" s="9">
        <f t="shared" si="1197"/>
        <v>1368507</v>
      </c>
      <c r="Y2270" s="8"/>
      <c r="Z2270" s="9">
        <f t="shared" si="1198"/>
        <v>0</v>
      </c>
      <c r="AA2270" s="8">
        <f t="shared" si="1199"/>
        <v>1368507</v>
      </c>
      <c r="AB2270" s="8">
        <f t="shared" si="1200"/>
        <v>0</v>
      </c>
    </row>
    <row r="2271" spans="1:28" x14ac:dyDescent="0.3">
      <c r="A2271" s="64"/>
      <c r="B2271" s="8"/>
      <c r="C2271" s="7" t="s">
        <v>545</v>
      </c>
      <c r="D2271" s="15" t="s">
        <v>54</v>
      </c>
      <c r="E2271" s="9">
        <v>1953989</v>
      </c>
      <c r="F2271" s="8"/>
      <c r="G2271" s="8"/>
      <c r="H2271" s="9">
        <f t="shared" si="1193"/>
        <v>0</v>
      </c>
      <c r="I2271" s="8"/>
      <c r="J2271" s="9">
        <f t="shared" si="1194"/>
        <v>0</v>
      </c>
      <c r="K2271" s="9">
        <v>1953989</v>
      </c>
      <c r="L2271" s="8"/>
      <c r="M2271" s="9">
        <f t="shared" si="1201"/>
        <v>0</v>
      </c>
      <c r="N2271" s="8">
        <v>1953989</v>
      </c>
      <c r="O2271" s="9"/>
      <c r="P2271" s="9">
        <f t="shared" si="1202"/>
        <v>1953989</v>
      </c>
      <c r="Q2271" s="9">
        <f t="shared" si="1195"/>
        <v>0</v>
      </c>
      <c r="R2271" s="8"/>
      <c r="S2271" s="8"/>
      <c r="T2271" s="8"/>
      <c r="U2271" s="18">
        <f t="shared" si="1196"/>
        <v>1953989</v>
      </c>
      <c r="V2271" s="17"/>
      <c r="W2271" s="17"/>
      <c r="X2271" s="9">
        <f t="shared" si="1197"/>
        <v>1953989</v>
      </c>
      <c r="Y2271" s="8"/>
      <c r="Z2271" s="9">
        <f t="shared" si="1198"/>
        <v>0</v>
      </c>
      <c r="AA2271" s="8">
        <f t="shared" si="1199"/>
        <v>1953989</v>
      </c>
      <c r="AB2271" s="8">
        <f t="shared" si="1200"/>
        <v>0</v>
      </c>
    </row>
    <row r="2272" spans="1:28" x14ac:dyDescent="0.3">
      <c r="A2272" s="64"/>
      <c r="B2272" s="8"/>
      <c r="C2272" s="7" t="s">
        <v>535</v>
      </c>
      <c r="D2272" s="15" t="s">
        <v>85</v>
      </c>
      <c r="E2272" s="9">
        <f>2743000-274300</f>
        <v>2468700</v>
      </c>
      <c r="F2272" s="9">
        <f>172205+2000000+296495</f>
        <v>2468700</v>
      </c>
      <c r="G2272" s="8"/>
      <c r="H2272" s="9">
        <f t="shared" si="1193"/>
        <v>2468700</v>
      </c>
      <c r="I2272" s="8"/>
      <c r="J2272" s="9">
        <f t="shared" si="1194"/>
        <v>2468700</v>
      </c>
      <c r="K2272" s="8"/>
      <c r="L2272" s="8"/>
      <c r="M2272" s="9">
        <f t="shared" si="1201"/>
        <v>2468700</v>
      </c>
      <c r="N2272" s="8"/>
      <c r="O2272" s="9"/>
      <c r="P2272" s="9">
        <f t="shared" si="1202"/>
        <v>0</v>
      </c>
      <c r="Q2272" s="9">
        <f t="shared" si="1195"/>
        <v>2468700</v>
      </c>
      <c r="R2272" s="8"/>
      <c r="S2272" s="8"/>
      <c r="T2272" s="8"/>
      <c r="U2272" s="18">
        <f t="shared" si="1196"/>
        <v>0</v>
      </c>
      <c r="V2272" s="17"/>
      <c r="W2272" s="17"/>
      <c r="X2272" s="9">
        <f t="shared" si="1197"/>
        <v>2468700</v>
      </c>
      <c r="Y2272" s="8"/>
      <c r="Z2272" s="9">
        <f t="shared" si="1198"/>
        <v>0</v>
      </c>
      <c r="AA2272" s="8">
        <f t="shared" si="1199"/>
        <v>2468700</v>
      </c>
      <c r="AB2272" s="8">
        <f t="shared" si="1200"/>
        <v>0</v>
      </c>
    </row>
    <row r="2273" spans="1:28" x14ac:dyDescent="0.3">
      <c r="A2273" s="64"/>
      <c r="B2273" s="8"/>
      <c r="C2273" s="7" t="s">
        <v>830</v>
      </c>
      <c r="D2273" s="15" t="s">
        <v>85</v>
      </c>
      <c r="E2273" s="9">
        <v>300000</v>
      </c>
      <c r="F2273" s="9">
        <v>300000</v>
      </c>
      <c r="G2273" s="8"/>
      <c r="H2273" s="9">
        <f t="shared" si="1193"/>
        <v>300000</v>
      </c>
      <c r="I2273" s="8"/>
      <c r="J2273" s="9">
        <f t="shared" si="1194"/>
        <v>300000</v>
      </c>
      <c r="K2273" s="8"/>
      <c r="L2273" s="8"/>
      <c r="M2273" s="9">
        <f t="shared" si="1201"/>
        <v>300000</v>
      </c>
      <c r="N2273" s="8"/>
      <c r="O2273" s="9"/>
      <c r="P2273" s="9">
        <f t="shared" si="1202"/>
        <v>0</v>
      </c>
      <c r="Q2273" s="9">
        <f t="shared" si="1195"/>
        <v>300000</v>
      </c>
      <c r="R2273" s="8"/>
      <c r="S2273" s="8"/>
      <c r="T2273" s="8"/>
      <c r="U2273" s="18">
        <f t="shared" si="1196"/>
        <v>0</v>
      </c>
      <c r="V2273" s="17"/>
      <c r="W2273" s="17"/>
      <c r="X2273" s="9">
        <f t="shared" si="1197"/>
        <v>300000</v>
      </c>
      <c r="Y2273" s="8"/>
      <c r="Z2273" s="9">
        <f t="shared" si="1198"/>
        <v>0</v>
      </c>
      <c r="AA2273" s="8">
        <f t="shared" si="1199"/>
        <v>300000</v>
      </c>
      <c r="AB2273" s="8">
        <f t="shared" si="1200"/>
        <v>0</v>
      </c>
    </row>
    <row r="2274" spans="1:28" x14ac:dyDescent="0.3">
      <c r="A2274" s="64"/>
      <c r="B2274" s="8"/>
      <c r="C2274" s="7" t="s">
        <v>557</v>
      </c>
      <c r="D2274" s="15" t="s">
        <v>85</v>
      </c>
      <c r="E2274" s="9">
        <v>839000</v>
      </c>
      <c r="F2274" s="9">
        <v>839000</v>
      </c>
      <c r="G2274" s="8"/>
      <c r="H2274" s="9">
        <f t="shared" si="1193"/>
        <v>839000</v>
      </c>
      <c r="I2274" s="8"/>
      <c r="J2274" s="9">
        <f t="shared" si="1194"/>
        <v>839000</v>
      </c>
      <c r="K2274" s="8"/>
      <c r="L2274" s="8"/>
      <c r="M2274" s="9">
        <f t="shared" si="1201"/>
        <v>839000</v>
      </c>
      <c r="N2274" s="8"/>
      <c r="O2274" s="9"/>
      <c r="P2274" s="9">
        <f t="shared" si="1202"/>
        <v>0</v>
      </c>
      <c r="Q2274" s="9">
        <f t="shared" si="1195"/>
        <v>839000</v>
      </c>
      <c r="R2274" s="8"/>
      <c r="S2274" s="8"/>
      <c r="T2274" s="8"/>
      <c r="U2274" s="18">
        <f t="shared" si="1196"/>
        <v>0</v>
      </c>
      <c r="V2274" s="17"/>
      <c r="W2274" s="17"/>
      <c r="X2274" s="9">
        <f t="shared" si="1197"/>
        <v>839000</v>
      </c>
      <c r="Y2274" s="8"/>
      <c r="Z2274" s="9">
        <f t="shared" si="1198"/>
        <v>0</v>
      </c>
      <c r="AA2274" s="8">
        <f t="shared" si="1199"/>
        <v>839000</v>
      </c>
      <c r="AB2274" s="8">
        <f t="shared" si="1200"/>
        <v>0</v>
      </c>
    </row>
    <row r="2275" spans="1:28" x14ac:dyDescent="0.3">
      <c r="A2275" s="64"/>
      <c r="B2275" s="8"/>
      <c r="C2275" s="7" t="s">
        <v>831</v>
      </c>
      <c r="D2275" s="15" t="s">
        <v>85</v>
      </c>
      <c r="E2275" s="9">
        <v>3200000</v>
      </c>
      <c r="F2275" s="9">
        <f>1500000+1700000</f>
        <v>3200000</v>
      </c>
      <c r="G2275" s="8"/>
      <c r="H2275" s="9">
        <f t="shared" si="1193"/>
        <v>3200000</v>
      </c>
      <c r="I2275" s="8"/>
      <c r="J2275" s="9">
        <f t="shared" si="1194"/>
        <v>3200000</v>
      </c>
      <c r="K2275" s="8"/>
      <c r="L2275" s="8"/>
      <c r="M2275" s="9">
        <f t="shared" si="1201"/>
        <v>3200000</v>
      </c>
      <c r="N2275" s="8"/>
      <c r="O2275" s="9"/>
      <c r="P2275" s="9">
        <f t="shared" si="1202"/>
        <v>0</v>
      </c>
      <c r="Q2275" s="9">
        <f t="shared" si="1195"/>
        <v>3200000</v>
      </c>
      <c r="R2275" s="8"/>
      <c r="S2275" s="8"/>
      <c r="T2275" s="8"/>
      <c r="U2275" s="18">
        <f t="shared" si="1196"/>
        <v>0</v>
      </c>
      <c r="V2275" s="17"/>
      <c r="W2275" s="17"/>
      <c r="X2275" s="9">
        <f t="shared" si="1197"/>
        <v>3200000</v>
      </c>
      <c r="Y2275" s="8"/>
      <c r="Z2275" s="9">
        <f t="shared" si="1198"/>
        <v>0</v>
      </c>
      <c r="AA2275" s="8">
        <f t="shared" si="1199"/>
        <v>3200000</v>
      </c>
      <c r="AB2275" s="8">
        <f t="shared" si="1200"/>
        <v>0</v>
      </c>
    </row>
    <row r="2276" spans="1:28" x14ac:dyDescent="0.3">
      <c r="A2276" s="64"/>
      <c r="B2276" s="8"/>
      <c r="C2276" s="7" t="s">
        <v>832</v>
      </c>
      <c r="D2276" s="15" t="s">
        <v>85</v>
      </c>
      <c r="E2276" s="9">
        <v>1743300</v>
      </c>
      <c r="F2276" s="9">
        <f>1161000+582300</f>
        <v>1743300</v>
      </c>
      <c r="G2276" s="8"/>
      <c r="H2276" s="9">
        <f t="shared" si="1193"/>
        <v>1743300</v>
      </c>
      <c r="I2276" s="8"/>
      <c r="J2276" s="9">
        <f t="shared" si="1194"/>
        <v>1743300</v>
      </c>
      <c r="K2276" s="8"/>
      <c r="L2276" s="8"/>
      <c r="M2276" s="9">
        <f t="shared" si="1201"/>
        <v>1743300</v>
      </c>
      <c r="N2276" s="8"/>
      <c r="O2276" s="9"/>
      <c r="P2276" s="9">
        <f t="shared" si="1202"/>
        <v>0</v>
      </c>
      <c r="Q2276" s="9">
        <f t="shared" si="1195"/>
        <v>1743300</v>
      </c>
      <c r="R2276" s="8"/>
      <c r="S2276" s="8"/>
      <c r="T2276" s="8"/>
      <c r="U2276" s="18">
        <f t="shared" si="1196"/>
        <v>0</v>
      </c>
      <c r="V2276" s="17"/>
      <c r="W2276" s="17"/>
      <c r="X2276" s="9">
        <f t="shared" si="1197"/>
        <v>1743300</v>
      </c>
      <c r="Y2276" s="8"/>
      <c r="Z2276" s="9">
        <f t="shared" si="1198"/>
        <v>0</v>
      </c>
      <c r="AA2276" s="8">
        <f t="shared" si="1199"/>
        <v>1743300</v>
      </c>
      <c r="AB2276" s="8">
        <f t="shared" si="1200"/>
        <v>0</v>
      </c>
    </row>
    <row r="2277" spans="1:28" x14ac:dyDescent="0.3">
      <c r="A2277" s="64"/>
      <c r="B2277" s="8"/>
      <c r="C2277" s="7" t="s">
        <v>535</v>
      </c>
      <c r="D2277" s="15" t="s">
        <v>128</v>
      </c>
      <c r="E2277" s="9">
        <v>1500000</v>
      </c>
      <c r="F2277" s="9">
        <v>1500000</v>
      </c>
      <c r="G2277" s="8"/>
      <c r="H2277" s="9">
        <f t="shared" si="1193"/>
        <v>1500000</v>
      </c>
      <c r="I2277" s="8"/>
      <c r="J2277" s="9">
        <f t="shared" si="1194"/>
        <v>1500000</v>
      </c>
      <c r="K2277" s="8"/>
      <c r="L2277" s="8"/>
      <c r="M2277" s="9">
        <f t="shared" si="1201"/>
        <v>1500000</v>
      </c>
      <c r="N2277" s="8"/>
      <c r="O2277" s="9"/>
      <c r="P2277" s="9">
        <f t="shared" si="1202"/>
        <v>0</v>
      </c>
      <c r="Q2277" s="9">
        <f t="shared" si="1195"/>
        <v>1500000</v>
      </c>
      <c r="R2277" s="8"/>
      <c r="S2277" s="8"/>
      <c r="T2277" s="8"/>
      <c r="U2277" s="18">
        <f t="shared" si="1196"/>
        <v>0</v>
      </c>
      <c r="V2277" s="17"/>
      <c r="W2277" s="17"/>
      <c r="X2277" s="9">
        <f t="shared" si="1197"/>
        <v>1500000</v>
      </c>
      <c r="Y2277" s="8"/>
      <c r="Z2277" s="9">
        <f t="shared" si="1198"/>
        <v>0</v>
      </c>
      <c r="AA2277" s="8">
        <f t="shared" si="1199"/>
        <v>1500000</v>
      </c>
      <c r="AB2277" s="8">
        <f t="shared" si="1200"/>
        <v>0</v>
      </c>
    </row>
    <row r="2278" spans="1:28" x14ac:dyDescent="0.3">
      <c r="A2278" s="64"/>
      <c r="B2278" s="8"/>
      <c r="C2278" s="7" t="s">
        <v>535</v>
      </c>
      <c r="D2278" s="15" t="s">
        <v>88</v>
      </c>
      <c r="E2278" s="9">
        <f>1321800+1602830</f>
        <v>2924630</v>
      </c>
      <c r="F2278" s="9">
        <f>1321800+1602830</f>
        <v>2924630</v>
      </c>
      <c r="G2278" s="8"/>
      <c r="H2278" s="9">
        <f t="shared" si="1193"/>
        <v>2924630</v>
      </c>
      <c r="I2278" s="8"/>
      <c r="J2278" s="9">
        <f t="shared" si="1194"/>
        <v>2924630</v>
      </c>
      <c r="K2278" s="8"/>
      <c r="L2278" s="8"/>
      <c r="M2278" s="9">
        <f t="shared" si="1201"/>
        <v>2924630</v>
      </c>
      <c r="N2278" s="8"/>
      <c r="O2278" s="9"/>
      <c r="P2278" s="9">
        <f t="shared" si="1202"/>
        <v>0</v>
      </c>
      <c r="Q2278" s="9">
        <f t="shared" si="1195"/>
        <v>2924630</v>
      </c>
      <c r="R2278" s="8"/>
      <c r="S2278" s="8"/>
      <c r="T2278" s="8"/>
      <c r="U2278" s="18">
        <f t="shared" si="1196"/>
        <v>0</v>
      </c>
      <c r="V2278" s="17"/>
      <c r="W2278" s="17"/>
      <c r="X2278" s="9">
        <f t="shared" si="1197"/>
        <v>2924630</v>
      </c>
      <c r="Y2278" s="8"/>
      <c r="Z2278" s="9">
        <f t="shared" si="1198"/>
        <v>0</v>
      </c>
      <c r="AA2278" s="8">
        <f t="shared" si="1199"/>
        <v>2924630</v>
      </c>
      <c r="AB2278" s="8">
        <f t="shared" si="1200"/>
        <v>0</v>
      </c>
    </row>
    <row r="2279" spans="1:28" x14ac:dyDescent="0.3">
      <c r="A2279" s="64"/>
      <c r="B2279" s="8"/>
      <c r="C2279" s="7" t="s">
        <v>535</v>
      </c>
      <c r="D2279" s="15" t="s">
        <v>108</v>
      </c>
      <c r="E2279" s="9">
        <f>1533254+662874+836860</f>
        <v>3032988</v>
      </c>
      <c r="F2279" s="9">
        <v>3032988</v>
      </c>
      <c r="G2279" s="8"/>
      <c r="H2279" s="9">
        <f t="shared" si="1193"/>
        <v>3032988</v>
      </c>
      <c r="I2279" s="8"/>
      <c r="J2279" s="9">
        <f t="shared" si="1194"/>
        <v>3032988</v>
      </c>
      <c r="K2279" s="8"/>
      <c r="L2279" s="8"/>
      <c r="M2279" s="9">
        <f t="shared" si="1201"/>
        <v>3032988</v>
      </c>
      <c r="N2279" s="8"/>
      <c r="O2279" s="9"/>
      <c r="P2279" s="9">
        <f t="shared" si="1202"/>
        <v>0</v>
      </c>
      <c r="Q2279" s="9">
        <f t="shared" si="1195"/>
        <v>3032988</v>
      </c>
      <c r="R2279" s="8"/>
      <c r="S2279" s="8"/>
      <c r="T2279" s="8"/>
      <c r="U2279" s="18">
        <f t="shared" si="1196"/>
        <v>0</v>
      </c>
      <c r="V2279" s="17"/>
      <c r="W2279" s="17"/>
      <c r="X2279" s="9">
        <f t="shared" si="1197"/>
        <v>3032988</v>
      </c>
      <c r="Y2279" s="8"/>
      <c r="Z2279" s="9">
        <f t="shared" si="1198"/>
        <v>0</v>
      </c>
      <c r="AA2279" s="8">
        <f t="shared" si="1199"/>
        <v>3032988</v>
      </c>
      <c r="AB2279" s="8">
        <f t="shared" si="1200"/>
        <v>0</v>
      </c>
    </row>
    <row r="2280" spans="1:28" x14ac:dyDescent="0.3">
      <c r="A2280" s="64"/>
      <c r="B2280" s="8"/>
      <c r="C2280" s="7" t="s">
        <v>833</v>
      </c>
      <c r="D2280" s="15" t="s">
        <v>108</v>
      </c>
      <c r="E2280" s="9">
        <v>500000</v>
      </c>
      <c r="F2280" s="9">
        <v>500000</v>
      </c>
      <c r="G2280" s="8"/>
      <c r="H2280" s="9">
        <f t="shared" si="1193"/>
        <v>500000</v>
      </c>
      <c r="I2280" s="8"/>
      <c r="J2280" s="9">
        <f t="shared" si="1194"/>
        <v>500000</v>
      </c>
      <c r="K2280" s="8"/>
      <c r="L2280" s="8"/>
      <c r="M2280" s="9">
        <f t="shared" si="1201"/>
        <v>500000</v>
      </c>
      <c r="N2280" s="8"/>
      <c r="O2280" s="9"/>
      <c r="P2280" s="9">
        <f t="shared" si="1202"/>
        <v>0</v>
      </c>
      <c r="Q2280" s="9">
        <f t="shared" si="1195"/>
        <v>500000</v>
      </c>
      <c r="R2280" s="8"/>
      <c r="S2280" s="8"/>
      <c r="T2280" s="8"/>
      <c r="U2280" s="18">
        <f t="shared" si="1196"/>
        <v>0</v>
      </c>
      <c r="V2280" s="17"/>
      <c r="W2280" s="17"/>
      <c r="X2280" s="9">
        <f t="shared" si="1197"/>
        <v>500000</v>
      </c>
      <c r="Y2280" s="8"/>
      <c r="Z2280" s="9">
        <f t="shared" si="1198"/>
        <v>0</v>
      </c>
      <c r="AA2280" s="8">
        <f t="shared" si="1199"/>
        <v>500000</v>
      </c>
      <c r="AB2280" s="8">
        <f t="shared" si="1200"/>
        <v>0</v>
      </c>
    </row>
    <row r="2281" spans="1:28" x14ac:dyDescent="0.3">
      <c r="A2281" s="64"/>
      <c r="B2281" s="8"/>
      <c r="C2281" s="7" t="s">
        <v>535</v>
      </c>
      <c r="D2281" s="15" t="s">
        <v>58</v>
      </c>
      <c r="E2281" s="9">
        <f>2002666+739854+768745</f>
        <v>3511265</v>
      </c>
      <c r="F2281" s="9">
        <v>3511265</v>
      </c>
      <c r="G2281" s="8"/>
      <c r="H2281" s="9">
        <f t="shared" si="1193"/>
        <v>3511265</v>
      </c>
      <c r="I2281" s="8"/>
      <c r="J2281" s="9">
        <f t="shared" si="1194"/>
        <v>3511265</v>
      </c>
      <c r="K2281" s="8"/>
      <c r="L2281" s="8"/>
      <c r="M2281" s="9">
        <f t="shared" si="1201"/>
        <v>3511265</v>
      </c>
      <c r="N2281" s="8"/>
      <c r="O2281" s="9"/>
      <c r="P2281" s="9">
        <f t="shared" si="1202"/>
        <v>0</v>
      </c>
      <c r="Q2281" s="9">
        <f t="shared" si="1195"/>
        <v>3511265</v>
      </c>
      <c r="R2281" s="8"/>
      <c r="S2281" s="8"/>
      <c r="T2281" s="8"/>
      <c r="U2281" s="18">
        <f t="shared" si="1196"/>
        <v>0</v>
      </c>
      <c r="V2281" s="17"/>
      <c r="W2281" s="17"/>
      <c r="X2281" s="9">
        <f t="shared" si="1197"/>
        <v>3511265</v>
      </c>
      <c r="Y2281" s="8"/>
      <c r="Z2281" s="9">
        <f t="shared" si="1198"/>
        <v>0</v>
      </c>
      <c r="AA2281" s="8">
        <f t="shared" si="1199"/>
        <v>3511265</v>
      </c>
      <c r="AB2281" s="8">
        <f t="shared" si="1200"/>
        <v>0</v>
      </c>
    </row>
    <row r="2282" spans="1:28" x14ac:dyDescent="0.3">
      <c r="A2282" s="64"/>
      <c r="B2282" s="8"/>
      <c r="C2282" s="7" t="s">
        <v>535</v>
      </c>
      <c r="D2282" s="15" t="s">
        <v>60</v>
      </c>
      <c r="E2282" s="9">
        <f>926867.67+4161713</f>
        <v>5088580.67</v>
      </c>
      <c r="F2282" s="9">
        <f>926867.67+4161713</f>
        <v>5088580.67</v>
      </c>
      <c r="G2282" s="8"/>
      <c r="H2282" s="9">
        <f t="shared" si="1193"/>
        <v>5088580.67</v>
      </c>
      <c r="I2282" s="8"/>
      <c r="J2282" s="9">
        <f t="shared" si="1194"/>
        <v>5088580.67</v>
      </c>
      <c r="K2282" s="8"/>
      <c r="L2282" s="8"/>
      <c r="M2282" s="9">
        <f t="shared" si="1201"/>
        <v>5088580.67</v>
      </c>
      <c r="N2282" s="8"/>
      <c r="O2282" s="9"/>
      <c r="P2282" s="9">
        <f t="shared" si="1202"/>
        <v>0</v>
      </c>
      <c r="Q2282" s="9">
        <f t="shared" si="1195"/>
        <v>5088580.67</v>
      </c>
      <c r="R2282" s="8"/>
      <c r="S2282" s="8"/>
      <c r="T2282" s="8"/>
      <c r="U2282" s="18">
        <f t="shared" si="1196"/>
        <v>0</v>
      </c>
      <c r="V2282" s="17"/>
      <c r="W2282" s="17"/>
      <c r="X2282" s="9">
        <f t="shared" si="1197"/>
        <v>5088580.67</v>
      </c>
      <c r="Y2282" s="8"/>
      <c r="Z2282" s="9">
        <f t="shared" si="1198"/>
        <v>0</v>
      </c>
      <c r="AA2282" s="8">
        <f t="shared" si="1199"/>
        <v>5088580.67</v>
      </c>
      <c r="AB2282" s="8">
        <f t="shared" si="1200"/>
        <v>0</v>
      </c>
    </row>
    <row r="2283" spans="1:28" x14ac:dyDescent="0.3">
      <c r="A2283" s="64"/>
      <c r="B2283" s="8"/>
      <c r="C2283" s="7" t="s">
        <v>535</v>
      </c>
      <c r="D2283" s="15" t="s">
        <v>73</v>
      </c>
      <c r="E2283" s="9">
        <v>6616000</v>
      </c>
      <c r="F2283" s="9">
        <v>6616000</v>
      </c>
      <c r="G2283" s="9"/>
      <c r="H2283" s="9">
        <f t="shared" si="1193"/>
        <v>6616000</v>
      </c>
      <c r="I2283" s="8"/>
      <c r="J2283" s="9">
        <f t="shared" si="1194"/>
        <v>6616000</v>
      </c>
      <c r="K2283" s="8"/>
      <c r="L2283" s="8"/>
      <c r="M2283" s="9">
        <f t="shared" si="1201"/>
        <v>6616000</v>
      </c>
      <c r="N2283" s="8"/>
      <c r="O2283" s="9"/>
      <c r="P2283" s="9">
        <f t="shared" si="1202"/>
        <v>0</v>
      </c>
      <c r="Q2283" s="9">
        <f t="shared" si="1195"/>
        <v>6616000</v>
      </c>
      <c r="R2283" s="8"/>
      <c r="S2283" s="8"/>
      <c r="T2283" s="8"/>
      <c r="U2283" s="18">
        <f t="shared" si="1196"/>
        <v>0</v>
      </c>
      <c r="V2283" s="17"/>
      <c r="W2283" s="17"/>
      <c r="X2283" s="9">
        <f t="shared" si="1197"/>
        <v>6616000</v>
      </c>
      <c r="Y2283" s="8"/>
      <c r="Z2283" s="9">
        <f t="shared" si="1198"/>
        <v>0</v>
      </c>
      <c r="AA2283" s="8">
        <f t="shared" si="1199"/>
        <v>6616000</v>
      </c>
      <c r="AB2283" s="8">
        <f t="shared" si="1200"/>
        <v>0</v>
      </c>
    </row>
    <row r="2284" spans="1:28" x14ac:dyDescent="0.3">
      <c r="A2284" s="64"/>
      <c r="B2284" s="8"/>
      <c r="C2284" s="13" t="s">
        <v>898</v>
      </c>
      <c r="D2284" s="16" t="s">
        <v>1072</v>
      </c>
      <c r="E2284" s="9">
        <f>8057807.52</f>
        <v>8057807.5199999996</v>
      </c>
      <c r="F2284" s="9">
        <v>8057807.5199999996</v>
      </c>
      <c r="G2284" s="9"/>
      <c r="H2284" s="9">
        <f>+F2284+G2284</f>
        <v>8057807.5199999996</v>
      </c>
      <c r="I2284" s="8"/>
      <c r="J2284" s="9">
        <f t="shared" si="1194"/>
        <v>8057807.5199999996</v>
      </c>
      <c r="K2284" s="8"/>
      <c r="L2284" s="8"/>
      <c r="M2284" s="9">
        <f t="shared" si="1201"/>
        <v>8057807.5199999996</v>
      </c>
      <c r="N2284" s="8"/>
      <c r="O2284" s="9"/>
      <c r="P2284" s="9">
        <f t="shared" si="1202"/>
        <v>0</v>
      </c>
      <c r="Q2284" s="9"/>
      <c r="R2284" s="8"/>
      <c r="S2284" s="8"/>
      <c r="T2284" s="8"/>
      <c r="U2284" s="18">
        <f t="shared" si="1196"/>
        <v>0</v>
      </c>
      <c r="V2284" s="17"/>
      <c r="W2284" s="17"/>
      <c r="X2284" s="9">
        <f t="shared" si="1197"/>
        <v>8057807.5199999996</v>
      </c>
      <c r="Y2284" s="8"/>
      <c r="Z2284" s="9">
        <f t="shared" si="1198"/>
        <v>0</v>
      </c>
      <c r="AA2284" s="8">
        <f>+M2284+U2284</f>
        <v>8057807.5199999996</v>
      </c>
      <c r="AB2284" s="8">
        <f>+E2284-AA2284</f>
        <v>0</v>
      </c>
    </row>
    <row r="2285" spans="1:28" x14ac:dyDescent="0.3">
      <c r="A2285" s="64"/>
      <c r="B2285" s="8"/>
      <c r="C2285" s="13" t="s">
        <v>933</v>
      </c>
      <c r="D2285" s="16" t="s">
        <v>1072</v>
      </c>
      <c r="E2285" s="9">
        <v>3296259.69</v>
      </c>
      <c r="F2285" s="9">
        <v>3296259.69</v>
      </c>
      <c r="G2285" s="9"/>
      <c r="H2285" s="9">
        <f>+F2285+G2285</f>
        <v>3296259.69</v>
      </c>
      <c r="I2285" s="8"/>
      <c r="J2285" s="9"/>
      <c r="K2285" s="8"/>
      <c r="L2285" s="8"/>
      <c r="M2285" s="9">
        <f>+H2285+L2285</f>
        <v>3296259.69</v>
      </c>
      <c r="N2285" s="8"/>
      <c r="O2285" s="9"/>
      <c r="P2285" s="9">
        <f t="shared" si="1202"/>
        <v>0</v>
      </c>
      <c r="Q2285" s="9"/>
      <c r="R2285" s="8"/>
      <c r="S2285" s="8"/>
      <c r="T2285" s="8"/>
      <c r="U2285" s="18">
        <f t="shared" si="1196"/>
        <v>0</v>
      </c>
      <c r="V2285" s="17"/>
      <c r="W2285" s="17"/>
      <c r="X2285" s="9">
        <f t="shared" si="1197"/>
        <v>3296259.69</v>
      </c>
      <c r="Y2285" s="8"/>
      <c r="Z2285" s="9">
        <f t="shared" si="1198"/>
        <v>0</v>
      </c>
      <c r="AA2285" s="8">
        <f>+M2285+U2285</f>
        <v>3296259.69</v>
      </c>
      <c r="AB2285" s="8">
        <f>+E2285-AA2285</f>
        <v>0</v>
      </c>
    </row>
    <row r="2286" spans="1:28" x14ac:dyDescent="0.3">
      <c r="A2286" s="64"/>
      <c r="B2286" s="8"/>
      <c r="C2286" s="13" t="s">
        <v>1083</v>
      </c>
      <c r="D2286" s="16" t="s">
        <v>1072</v>
      </c>
      <c r="E2286" s="9">
        <v>2971935.51</v>
      </c>
      <c r="F2286" s="9">
        <v>2971935.51</v>
      </c>
      <c r="G2286" s="9"/>
      <c r="H2286" s="9">
        <f>+F2286+G2286</f>
        <v>2971935.51</v>
      </c>
      <c r="I2286" s="8"/>
      <c r="J2286" s="9"/>
      <c r="K2286" s="8"/>
      <c r="L2286" s="8"/>
      <c r="M2286" s="9">
        <f>+H2286+L2286</f>
        <v>2971935.51</v>
      </c>
      <c r="N2286" s="8"/>
      <c r="O2286" s="9"/>
      <c r="P2286" s="9">
        <f t="shared" si="1202"/>
        <v>0</v>
      </c>
      <c r="Q2286" s="9"/>
      <c r="R2286" s="8"/>
      <c r="S2286" s="8"/>
      <c r="T2286" s="8"/>
      <c r="U2286" s="18">
        <f t="shared" si="1196"/>
        <v>0</v>
      </c>
      <c r="V2286" s="17"/>
      <c r="W2286" s="17"/>
      <c r="X2286" s="9">
        <f t="shared" si="1197"/>
        <v>2971935.51</v>
      </c>
      <c r="Y2286" s="8"/>
      <c r="Z2286" s="9">
        <f t="shared" si="1198"/>
        <v>0</v>
      </c>
      <c r="AA2286" s="8">
        <f>+M2286+U2286</f>
        <v>2971935.51</v>
      </c>
      <c r="AB2286" s="8">
        <f>+E2286-AA2286</f>
        <v>0</v>
      </c>
    </row>
    <row r="2287" spans="1:28" x14ac:dyDescent="0.3">
      <c r="A2287" s="64"/>
      <c r="B2287" s="8"/>
      <c r="C2287" s="7" t="s">
        <v>1203</v>
      </c>
      <c r="D2287" s="16" t="s">
        <v>1126</v>
      </c>
      <c r="E2287" s="9">
        <f>759279.9+664038.27</f>
        <v>1423318.17</v>
      </c>
      <c r="F2287" s="9">
        <v>1423318.17</v>
      </c>
      <c r="G2287" s="9"/>
      <c r="H2287" s="9">
        <f>+F2287+G2287</f>
        <v>1423318.17</v>
      </c>
      <c r="I2287" s="8"/>
      <c r="J2287" s="9"/>
      <c r="K2287" s="8"/>
      <c r="L2287" s="8"/>
      <c r="M2287" s="9">
        <f>+H2287+L2287</f>
        <v>1423318.17</v>
      </c>
      <c r="N2287" s="8"/>
      <c r="O2287" s="9"/>
      <c r="P2287" s="9">
        <f>+N2287+O2287</f>
        <v>0</v>
      </c>
      <c r="Q2287" s="9"/>
      <c r="R2287" s="8"/>
      <c r="S2287" s="8"/>
      <c r="T2287" s="8"/>
      <c r="U2287" s="18">
        <f t="shared" si="1196"/>
        <v>0</v>
      </c>
      <c r="V2287" s="17"/>
      <c r="W2287" s="17"/>
      <c r="X2287" s="9">
        <f t="shared" si="1197"/>
        <v>1423318.17</v>
      </c>
      <c r="Y2287" s="8"/>
      <c r="Z2287" s="9">
        <f t="shared" si="1198"/>
        <v>0</v>
      </c>
      <c r="AA2287" s="8">
        <f>+M2287+U2287</f>
        <v>1423318.17</v>
      </c>
      <c r="AB2287" s="8">
        <f>+E2287-AA2287</f>
        <v>0</v>
      </c>
    </row>
    <row r="2288" spans="1:28" x14ac:dyDescent="0.3">
      <c r="A2288" s="64"/>
      <c r="B2288" s="8"/>
      <c r="C2288" s="7" t="s">
        <v>1245</v>
      </c>
      <c r="D2288" s="16" t="s">
        <v>1225</v>
      </c>
      <c r="E2288" s="9">
        <v>2557786.7999999998</v>
      </c>
      <c r="F2288" s="9">
        <v>2557786.7999999998</v>
      </c>
      <c r="G2288" s="9"/>
      <c r="H2288" s="9">
        <f>+F2288+G2288</f>
        <v>2557786.7999999998</v>
      </c>
      <c r="I2288" s="8"/>
      <c r="J2288" s="9"/>
      <c r="K2288" s="8"/>
      <c r="L2288" s="8"/>
      <c r="M2288" s="9">
        <f>+H2288+L2288</f>
        <v>2557786.7999999998</v>
      </c>
      <c r="N2288" s="8"/>
      <c r="O2288" s="9"/>
      <c r="P2288" s="9">
        <f>+N2288+O2288</f>
        <v>0</v>
      </c>
      <c r="Q2288" s="9"/>
      <c r="R2288" s="8"/>
      <c r="S2288" s="8"/>
      <c r="T2288" s="8"/>
      <c r="U2288" s="18">
        <f t="shared" si="1196"/>
        <v>0</v>
      </c>
      <c r="V2288" s="17"/>
      <c r="W2288" s="17"/>
      <c r="X2288" s="9">
        <f t="shared" si="1197"/>
        <v>2557786.7999999998</v>
      </c>
      <c r="Y2288" s="8"/>
      <c r="Z2288" s="9">
        <f>+E2288-X2288</f>
        <v>0</v>
      </c>
      <c r="AA2288" s="8">
        <f>+M2288+U2288</f>
        <v>2557786.7999999998</v>
      </c>
      <c r="AB2288" s="8">
        <f>+E2288-AA2288</f>
        <v>0</v>
      </c>
    </row>
    <row r="2289" spans="1:28" x14ac:dyDescent="0.3">
      <c r="A2289" s="64"/>
      <c r="B2289" s="8"/>
      <c r="C2289" s="7" t="s">
        <v>569</v>
      </c>
      <c r="D2289" s="8"/>
      <c r="E2289" s="9">
        <v>634733.68000000005</v>
      </c>
      <c r="F2289" s="9">
        <v>634733.68000000005</v>
      </c>
      <c r="G2289" s="8"/>
      <c r="H2289" s="9">
        <f t="shared" si="1193"/>
        <v>634733.68000000005</v>
      </c>
      <c r="I2289" s="8"/>
      <c r="J2289" s="9">
        <f t="shared" si="1194"/>
        <v>634733.68000000005</v>
      </c>
      <c r="K2289" s="8"/>
      <c r="L2289" s="8"/>
      <c r="M2289" s="9">
        <f t="shared" si="1201"/>
        <v>634733.68000000005</v>
      </c>
      <c r="N2289" s="8"/>
      <c r="O2289" s="9"/>
      <c r="P2289" s="9">
        <f t="shared" si="1202"/>
        <v>0</v>
      </c>
      <c r="Q2289" s="9">
        <f t="shared" si="1195"/>
        <v>634733.68000000005</v>
      </c>
      <c r="R2289" s="8"/>
      <c r="S2289" s="8"/>
      <c r="T2289" s="8"/>
      <c r="U2289" s="18">
        <f t="shared" si="1196"/>
        <v>0</v>
      </c>
      <c r="V2289" s="17"/>
      <c r="W2289" s="17"/>
      <c r="X2289" s="9">
        <f t="shared" si="1197"/>
        <v>634733.68000000005</v>
      </c>
      <c r="Y2289" s="8"/>
      <c r="Z2289" s="9">
        <f t="shared" si="1198"/>
        <v>0</v>
      </c>
      <c r="AA2289" s="8">
        <f t="shared" si="1199"/>
        <v>634733.68000000005</v>
      </c>
      <c r="AB2289" s="8">
        <f t="shared" si="1200"/>
        <v>0</v>
      </c>
    </row>
    <row r="2290" spans="1:28" x14ac:dyDescent="0.3">
      <c r="A2290" s="64"/>
      <c r="B2290" s="8"/>
      <c r="C2290" s="7" t="s">
        <v>834</v>
      </c>
      <c r="D2290" s="8"/>
      <c r="E2290" s="9">
        <v>1918985</v>
      </c>
      <c r="F2290" s="9">
        <f>1522050+396935</f>
        <v>1918985</v>
      </c>
      <c r="G2290" s="8"/>
      <c r="H2290" s="9">
        <f t="shared" si="1193"/>
        <v>1918985</v>
      </c>
      <c r="I2290" s="8"/>
      <c r="J2290" s="9">
        <f t="shared" si="1194"/>
        <v>1918985</v>
      </c>
      <c r="K2290" s="8"/>
      <c r="L2290" s="8"/>
      <c r="M2290" s="9">
        <f t="shared" si="1201"/>
        <v>1918985</v>
      </c>
      <c r="N2290" s="8"/>
      <c r="O2290" s="9"/>
      <c r="P2290" s="9">
        <f t="shared" si="1202"/>
        <v>0</v>
      </c>
      <c r="Q2290" s="9">
        <f t="shared" si="1195"/>
        <v>1918985</v>
      </c>
      <c r="R2290" s="8"/>
      <c r="S2290" s="8"/>
      <c r="T2290" s="8"/>
      <c r="U2290" s="18">
        <f t="shared" si="1196"/>
        <v>0</v>
      </c>
      <c r="V2290" s="17"/>
      <c r="W2290" s="17"/>
      <c r="X2290" s="9">
        <f t="shared" si="1197"/>
        <v>1918985</v>
      </c>
      <c r="Y2290" s="8"/>
      <c r="Z2290" s="9">
        <f t="shared" si="1198"/>
        <v>0</v>
      </c>
      <c r="AA2290" s="8">
        <f t="shared" si="1199"/>
        <v>1918985</v>
      </c>
      <c r="AB2290" s="8">
        <f t="shared" si="1200"/>
        <v>0</v>
      </c>
    </row>
    <row r="2291" spans="1:28" x14ac:dyDescent="0.3">
      <c r="A2291" s="64"/>
      <c r="B2291" s="8"/>
      <c r="C2291" s="7" t="s">
        <v>835</v>
      </c>
      <c r="D2291" s="8"/>
      <c r="E2291" s="9">
        <v>2608920</v>
      </c>
      <c r="F2291" s="9">
        <v>2608920</v>
      </c>
      <c r="G2291" s="8"/>
      <c r="H2291" s="9">
        <f t="shared" si="1193"/>
        <v>2608920</v>
      </c>
      <c r="I2291" s="8"/>
      <c r="J2291" s="9">
        <f t="shared" si="1194"/>
        <v>2608920</v>
      </c>
      <c r="K2291" s="8"/>
      <c r="L2291" s="8"/>
      <c r="M2291" s="9">
        <f t="shared" si="1201"/>
        <v>2608920</v>
      </c>
      <c r="N2291" s="8"/>
      <c r="O2291" s="9"/>
      <c r="P2291" s="9">
        <f t="shared" si="1202"/>
        <v>0</v>
      </c>
      <c r="Q2291" s="9">
        <f t="shared" si="1195"/>
        <v>2608920</v>
      </c>
      <c r="R2291" s="8"/>
      <c r="S2291" s="8"/>
      <c r="T2291" s="8"/>
      <c r="U2291" s="18">
        <f t="shared" si="1196"/>
        <v>0</v>
      </c>
      <c r="V2291" s="17"/>
      <c r="W2291" s="17"/>
      <c r="X2291" s="9">
        <f t="shared" si="1197"/>
        <v>2608920</v>
      </c>
      <c r="Y2291" s="8"/>
      <c r="Z2291" s="9">
        <f t="shared" si="1198"/>
        <v>0</v>
      </c>
      <c r="AA2291" s="8">
        <f t="shared" si="1199"/>
        <v>2608920</v>
      </c>
      <c r="AB2291" s="8">
        <f t="shared" si="1200"/>
        <v>0</v>
      </c>
    </row>
    <row r="2292" spans="1:28" x14ac:dyDescent="0.3">
      <c r="A2292" s="64"/>
      <c r="B2292" s="8"/>
      <c r="C2292" s="7" t="s">
        <v>836</v>
      </c>
      <c r="D2292" s="8"/>
      <c r="E2292" s="9">
        <v>3396450</v>
      </c>
      <c r="F2292" s="9">
        <f>2591350+805100</f>
        <v>3396450</v>
      </c>
      <c r="G2292" s="8"/>
      <c r="H2292" s="9">
        <f t="shared" si="1193"/>
        <v>3396450</v>
      </c>
      <c r="I2292" s="8"/>
      <c r="J2292" s="9">
        <f t="shared" si="1194"/>
        <v>3396450</v>
      </c>
      <c r="K2292" s="8"/>
      <c r="L2292" s="8"/>
      <c r="M2292" s="9">
        <f t="shared" si="1201"/>
        <v>3396450</v>
      </c>
      <c r="N2292" s="8"/>
      <c r="O2292" s="9"/>
      <c r="P2292" s="9">
        <f t="shared" si="1202"/>
        <v>0</v>
      </c>
      <c r="Q2292" s="9">
        <f t="shared" si="1195"/>
        <v>3396450</v>
      </c>
      <c r="R2292" s="8"/>
      <c r="S2292" s="8"/>
      <c r="T2292" s="8"/>
      <c r="U2292" s="18">
        <f t="shared" si="1196"/>
        <v>0</v>
      </c>
      <c r="V2292" s="17"/>
      <c r="W2292" s="17"/>
      <c r="X2292" s="9">
        <f t="shared" si="1197"/>
        <v>3396450</v>
      </c>
      <c r="Y2292" s="8"/>
      <c r="Z2292" s="9">
        <f t="shared" si="1198"/>
        <v>0</v>
      </c>
      <c r="AA2292" s="8">
        <f t="shared" si="1199"/>
        <v>3396450</v>
      </c>
      <c r="AB2292" s="8">
        <f t="shared" si="1200"/>
        <v>0</v>
      </c>
    </row>
    <row r="2293" spans="1:28" x14ac:dyDescent="0.3">
      <c r="A2293" s="64"/>
      <c r="B2293" s="8"/>
      <c r="C2293" s="7" t="s">
        <v>551</v>
      </c>
      <c r="D2293" s="8"/>
      <c r="E2293" s="9">
        <v>900242</v>
      </c>
      <c r="F2293" s="9">
        <v>900242</v>
      </c>
      <c r="G2293" s="8"/>
      <c r="H2293" s="9">
        <f t="shared" si="1193"/>
        <v>900242</v>
      </c>
      <c r="I2293" s="8"/>
      <c r="J2293" s="9">
        <f t="shared" si="1194"/>
        <v>900242</v>
      </c>
      <c r="K2293" s="8"/>
      <c r="L2293" s="8"/>
      <c r="M2293" s="9">
        <f t="shared" si="1201"/>
        <v>900242</v>
      </c>
      <c r="N2293" s="8"/>
      <c r="O2293" s="9"/>
      <c r="P2293" s="9">
        <f t="shared" si="1202"/>
        <v>0</v>
      </c>
      <c r="Q2293" s="9">
        <f t="shared" si="1195"/>
        <v>900242</v>
      </c>
      <c r="R2293" s="8"/>
      <c r="S2293" s="8"/>
      <c r="T2293" s="8"/>
      <c r="U2293" s="18">
        <f t="shared" si="1196"/>
        <v>0</v>
      </c>
      <c r="V2293" s="17"/>
      <c r="W2293" s="17"/>
      <c r="X2293" s="9">
        <f t="shared" si="1197"/>
        <v>900242</v>
      </c>
      <c r="Y2293" s="8"/>
      <c r="Z2293" s="9">
        <f t="shared" si="1198"/>
        <v>0</v>
      </c>
      <c r="AA2293" s="8">
        <f t="shared" si="1199"/>
        <v>900242</v>
      </c>
      <c r="AB2293" s="8">
        <f t="shared" si="1200"/>
        <v>0</v>
      </c>
    </row>
    <row r="2294" spans="1:28" x14ac:dyDescent="0.3">
      <c r="A2294" s="64"/>
      <c r="B2294" s="8"/>
      <c r="C2294" s="7" t="s">
        <v>606</v>
      </c>
      <c r="D2294" s="8"/>
      <c r="E2294" s="9">
        <f>2500000+2500000-2500000+858947.27+1180929.43+651445.75+701747.1</f>
        <v>5893069.5499999998</v>
      </c>
      <c r="F2294" s="9">
        <f>2500000+858947.27</f>
        <v>3358947.27</v>
      </c>
      <c r="G2294" s="8"/>
      <c r="H2294" s="9">
        <f t="shared" si="1193"/>
        <v>3358947.27</v>
      </c>
      <c r="I2294" s="9">
        <f>1180929.43+651445.75+701747.1</f>
        <v>2534122.2799999998</v>
      </c>
      <c r="J2294" s="9">
        <f t="shared" si="1194"/>
        <v>5893069.5499999998</v>
      </c>
      <c r="K2294" s="8"/>
      <c r="L2294" s="8">
        <v>2534122.2799999998</v>
      </c>
      <c r="M2294" s="9">
        <f t="shared" si="1201"/>
        <v>5893069.5499999998</v>
      </c>
      <c r="N2294" s="8"/>
      <c r="O2294" s="9"/>
      <c r="P2294" s="9">
        <f t="shared" si="1202"/>
        <v>0</v>
      </c>
      <c r="Q2294" s="9">
        <f t="shared" si="1195"/>
        <v>5893069.5499999998</v>
      </c>
      <c r="R2294" s="8"/>
      <c r="S2294" s="8"/>
      <c r="T2294" s="8"/>
      <c r="U2294" s="18">
        <f t="shared" si="1196"/>
        <v>0</v>
      </c>
      <c r="V2294" s="17"/>
      <c r="W2294" s="17"/>
      <c r="X2294" s="9">
        <f t="shared" si="1197"/>
        <v>3358947.27</v>
      </c>
      <c r="Y2294" s="8"/>
      <c r="Z2294" s="9">
        <f t="shared" si="1198"/>
        <v>2534122.2799999998</v>
      </c>
      <c r="AA2294" s="8">
        <f t="shared" si="1199"/>
        <v>5893069.5499999998</v>
      </c>
      <c r="AB2294" s="8">
        <f t="shared" si="1200"/>
        <v>0</v>
      </c>
    </row>
    <row r="2295" spans="1:28" x14ac:dyDescent="0.3">
      <c r="A2295" s="64"/>
      <c r="B2295" s="8"/>
      <c r="C2295" s="8"/>
      <c r="D2295" s="8"/>
      <c r="E2295" s="17" t="s">
        <v>29</v>
      </c>
      <c r="F2295" s="17" t="s">
        <v>29</v>
      </c>
      <c r="G2295" s="17" t="s">
        <v>29</v>
      </c>
      <c r="H2295" s="17" t="s">
        <v>29</v>
      </c>
      <c r="I2295" s="17" t="s">
        <v>29</v>
      </c>
      <c r="J2295" s="17" t="s">
        <v>29</v>
      </c>
      <c r="K2295" s="17" t="s">
        <v>29</v>
      </c>
      <c r="L2295" s="17" t="s">
        <v>29</v>
      </c>
      <c r="M2295" s="17" t="s">
        <v>29</v>
      </c>
      <c r="N2295" s="17" t="s">
        <v>29</v>
      </c>
      <c r="O2295" s="17" t="s">
        <v>29</v>
      </c>
      <c r="P2295" s="17" t="s">
        <v>29</v>
      </c>
      <c r="Q2295" s="17" t="s">
        <v>29</v>
      </c>
      <c r="R2295" s="17" t="s">
        <v>29</v>
      </c>
      <c r="S2295" s="17" t="s">
        <v>29</v>
      </c>
      <c r="T2295" s="17" t="s">
        <v>29</v>
      </c>
      <c r="U2295" s="17" t="s">
        <v>29</v>
      </c>
      <c r="V2295" s="17" t="s">
        <v>29</v>
      </c>
      <c r="W2295" s="17" t="s">
        <v>29</v>
      </c>
      <c r="X2295" s="17" t="s">
        <v>29</v>
      </c>
      <c r="Y2295" s="17" t="s">
        <v>29</v>
      </c>
      <c r="Z2295" s="17" t="s">
        <v>29</v>
      </c>
      <c r="AA2295" s="17" t="s">
        <v>29</v>
      </c>
      <c r="AB2295" s="17" t="s">
        <v>29</v>
      </c>
    </row>
    <row r="2296" spans="1:28" x14ac:dyDescent="0.3">
      <c r="A2296" s="64"/>
      <c r="B2296" s="8"/>
      <c r="C2296" s="8"/>
      <c r="D2296" s="8"/>
      <c r="E2296" s="9">
        <f t="shared" ref="E2296:Q2296" si="1203">SUM(E2269:E2295)</f>
        <v>69686594.809999987</v>
      </c>
      <c r="F2296" s="9">
        <f t="shared" si="1203"/>
        <v>64858876.309999995</v>
      </c>
      <c r="G2296" s="9">
        <f t="shared" si="1203"/>
        <v>0</v>
      </c>
      <c r="H2296" s="9">
        <f t="shared" si="1203"/>
        <v>64858876.309999995</v>
      </c>
      <c r="I2296" s="9">
        <f t="shared" si="1203"/>
        <v>2534122.2799999998</v>
      </c>
      <c r="J2296" s="9">
        <f t="shared" si="1203"/>
        <v>57143698.419999994</v>
      </c>
      <c r="K2296" s="9">
        <f t="shared" si="1203"/>
        <v>2293596.2199999997</v>
      </c>
      <c r="L2296" s="9">
        <f t="shared" si="1203"/>
        <v>2534122.2799999998</v>
      </c>
      <c r="M2296" s="9">
        <f t="shared" si="1203"/>
        <v>67392998.589999989</v>
      </c>
      <c r="N2296" s="9">
        <f t="shared" si="1203"/>
        <v>2293596.2199999997</v>
      </c>
      <c r="O2296" s="9">
        <f t="shared" si="1203"/>
        <v>0</v>
      </c>
      <c r="P2296" s="9">
        <f t="shared" si="1203"/>
        <v>2293596.2199999997</v>
      </c>
      <c r="Q2296" s="9">
        <f t="shared" si="1203"/>
        <v>49085890.899999999</v>
      </c>
      <c r="R2296" s="8"/>
      <c r="S2296" s="8"/>
      <c r="T2296" s="9">
        <f t="shared" ref="T2296:Z2296" si="1204">SUM(T2269:T2295)</f>
        <v>0</v>
      </c>
      <c r="U2296" s="9">
        <f t="shared" si="1204"/>
        <v>2293596.2199999997</v>
      </c>
      <c r="V2296" s="9">
        <f t="shared" si="1204"/>
        <v>0</v>
      </c>
      <c r="W2296" s="9">
        <f t="shared" si="1204"/>
        <v>0</v>
      </c>
      <c r="X2296" s="9">
        <f t="shared" si="1204"/>
        <v>67152472.529999986</v>
      </c>
      <c r="Y2296" s="9">
        <f t="shared" si="1204"/>
        <v>0</v>
      </c>
      <c r="Z2296" s="9">
        <f t="shared" si="1204"/>
        <v>2534122.2799999998</v>
      </c>
      <c r="AA2296" s="9">
        <f>SUM(AA2269:AA2295)</f>
        <v>69686594.809999987</v>
      </c>
      <c r="AB2296" s="9">
        <f>SUM(AB2269:AB2295)</f>
        <v>0</v>
      </c>
    </row>
    <row r="2297" spans="1:28" x14ac:dyDescent="0.3">
      <c r="A2297" s="64"/>
      <c r="B2297" s="8"/>
      <c r="C2297" s="8"/>
      <c r="D2297" s="8"/>
      <c r="E2297" s="17" t="s">
        <v>29</v>
      </c>
      <c r="F2297" s="17" t="s">
        <v>29</v>
      </c>
      <c r="G2297" s="17" t="s">
        <v>29</v>
      </c>
      <c r="H2297" s="17" t="s">
        <v>29</v>
      </c>
      <c r="I2297" s="17" t="s">
        <v>29</v>
      </c>
      <c r="J2297" s="17" t="s">
        <v>29</v>
      </c>
      <c r="K2297" s="17" t="s">
        <v>29</v>
      </c>
      <c r="L2297" s="17" t="s">
        <v>29</v>
      </c>
      <c r="M2297" s="17" t="s">
        <v>29</v>
      </c>
      <c r="N2297" s="17" t="s">
        <v>29</v>
      </c>
      <c r="O2297" s="17" t="s">
        <v>29</v>
      </c>
      <c r="P2297" s="17" t="s">
        <v>29</v>
      </c>
      <c r="Q2297" s="17" t="s">
        <v>29</v>
      </c>
      <c r="R2297" s="17" t="s">
        <v>29</v>
      </c>
      <c r="S2297" s="17" t="s">
        <v>29</v>
      </c>
      <c r="T2297" s="17" t="s">
        <v>29</v>
      </c>
      <c r="U2297" s="17" t="s">
        <v>29</v>
      </c>
      <c r="V2297" s="17" t="s">
        <v>29</v>
      </c>
      <c r="W2297" s="17" t="s">
        <v>29</v>
      </c>
      <c r="X2297" s="17" t="s">
        <v>29</v>
      </c>
      <c r="Y2297" s="17" t="s">
        <v>29</v>
      </c>
      <c r="Z2297" s="17" t="s">
        <v>29</v>
      </c>
      <c r="AA2297" s="17" t="s">
        <v>29</v>
      </c>
      <c r="AB2297" s="17" t="s">
        <v>29</v>
      </c>
    </row>
    <row r="2298" spans="1:28" x14ac:dyDescent="0.3">
      <c r="A2298" s="64"/>
      <c r="B2298" s="7" t="s">
        <v>837</v>
      </c>
      <c r="C2298" s="8"/>
      <c r="D2298" s="8"/>
      <c r="E2298" s="9">
        <f>E2116+E2142+E2177+E2198+E2223+E2247+E2266+E2296</f>
        <v>468518277.26999992</v>
      </c>
      <c r="F2298" s="9">
        <f t="shared" ref="F2298:Q2298" si="1205">F2223+F2247+F2116+F2142+F2177+F2198+F2266+F2296</f>
        <v>431940538.68000001</v>
      </c>
      <c r="G2298" s="9">
        <f t="shared" si="1205"/>
        <v>4853357.7299999995</v>
      </c>
      <c r="H2298" s="9">
        <f t="shared" si="1205"/>
        <v>436793896.40999997</v>
      </c>
      <c r="I2298" s="9">
        <f t="shared" si="1205"/>
        <v>3734122.28</v>
      </c>
      <c r="J2298" s="9">
        <f t="shared" si="1205"/>
        <v>392676404.32999998</v>
      </c>
      <c r="K2298" s="9">
        <f t="shared" si="1205"/>
        <v>27638084.959999997</v>
      </c>
      <c r="L2298" s="9">
        <f t="shared" si="1205"/>
        <v>3734122.28</v>
      </c>
      <c r="M2298" s="9">
        <f t="shared" si="1205"/>
        <v>440528018.68999994</v>
      </c>
      <c r="N2298" s="9">
        <f t="shared" si="1205"/>
        <v>27658905.649999999</v>
      </c>
      <c r="O2298" s="9">
        <f t="shared" si="1205"/>
        <v>0</v>
      </c>
      <c r="P2298" s="9">
        <f t="shared" si="1205"/>
        <v>27658905.649999999</v>
      </c>
      <c r="Q2298" s="9">
        <f t="shared" si="1205"/>
        <v>358588012.80999994</v>
      </c>
      <c r="R2298" s="8"/>
      <c r="S2298" s="8"/>
      <c r="T2298" s="9">
        <f t="shared" ref="T2298:AB2298" si="1206">T2223+T2247+T2116+T2142+T2177+T2198+T2266+T2296</f>
        <v>31194.699999999997</v>
      </c>
      <c r="U2298" s="9">
        <f t="shared" si="1206"/>
        <v>27690100.349999998</v>
      </c>
      <c r="V2298" s="9">
        <f t="shared" si="1206"/>
        <v>0</v>
      </c>
      <c r="W2298" s="9">
        <f t="shared" si="1206"/>
        <v>0</v>
      </c>
      <c r="X2298" s="9">
        <f t="shared" si="1206"/>
        <v>464452802.05999994</v>
      </c>
      <c r="Y2298" s="9">
        <f t="shared" si="1206"/>
        <v>0</v>
      </c>
      <c r="Z2298" s="9">
        <f t="shared" si="1206"/>
        <v>4065475.209999999</v>
      </c>
      <c r="AA2298" s="9">
        <f t="shared" si="1206"/>
        <v>468218119.03999996</v>
      </c>
      <c r="AB2298" s="9">
        <f t="shared" si="1206"/>
        <v>300158.22999999957</v>
      </c>
    </row>
    <row r="2299" spans="1:28" x14ac:dyDescent="0.3">
      <c r="A2299" s="64"/>
      <c r="B2299" s="8"/>
      <c r="C2299" s="8"/>
      <c r="D2299" s="8"/>
      <c r="E2299" s="17" t="s">
        <v>114</v>
      </c>
      <c r="F2299" s="17" t="s">
        <v>114</v>
      </c>
      <c r="G2299" s="17" t="s">
        <v>114</v>
      </c>
      <c r="H2299" s="17" t="s">
        <v>114</v>
      </c>
      <c r="I2299" s="17" t="s">
        <v>114</v>
      </c>
      <c r="J2299" s="17" t="s">
        <v>114</v>
      </c>
      <c r="K2299" s="17" t="s">
        <v>114</v>
      </c>
      <c r="L2299" s="17" t="s">
        <v>114</v>
      </c>
      <c r="M2299" s="17" t="s">
        <v>114</v>
      </c>
      <c r="N2299" s="17" t="s">
        <v>114</v>
      </c>
      <c r="O2299" s="17" t="s">
        <v>114</v>
      </c>
      <c r="P2299" s="17" t="s">
        <v>114</v>
      </c>
      <c r="Q2299" s="17" t="s">
        <v>114</v>
      </c>
      <c r="R2299" s="17" t="s">
        <v>114</v>
      </c>
      <c r="S2299" s="17" t="s">
        <v>114</v>
      </c>
      <c r="T2299" s="17" t="s">
        <v>114</v>
      </c>
      <c r="U2299" s="17" t="s">
        <v>114</v>
      </c>
      <c r="V2299" s="17" t="s">
        <v>114</v>
      </c>
      <c r="W2299" s="17" t="s">
        <v>114</v>
      </c>
      <c r="X2299" s="17" t="s">
        <v>114</v>
      </c>
      <c r="Y2299" s="17" t="s">
        <v>114</v>
      </c>
      <c r="Z2299" s="17" t="s">
        <v>114</v>
      </c>
      <c r="AA2299" s="17" t="s">
        <v>114</v>
      </c>
      <c r="AB2299" s="17" t="s">
        <v>114</v>
      </c>
    </row>
    <row r="2300" spans="1:28" x14ac:dyDescent="0.3">
      <c r="A2300" s="64"/>
      <c r="B2300" s="8"/>
      <c r="C2300" s="8"/>
      <c r="D2300" s="8"/>
      <c r="E2300" s="17"/>
      <c r="F2300" s="17"/>
      <c r="G2300" s="17"/>
      <c r="H2300" s="17"/>
      <c r="I2300" s="17"/>
      <c r="J2300" s="17"/>
      <c r="K2300" s="17"/>
      <c r="L2300" s="17"/>
      <c r="M2300" s="17"/>
      <c r="N2300" s="17"/>
      <c r="O2300" s="17"/>
      <c r="P2300" s="17"/>
      <c r="Q2300" s="17"/>
      <c r="R2300" s="8"/>
      <c r="S2300" s="8"/>
      <c r="T2300" s="8"/>
      <c r="U2300" s="8"/>
      <c r="V2300" s="8"/>
      <c r="W2300" s="8"/>
      <c r="X2300" s="8"/>
      <c r="Y2300" s="8"/>
      <c r="Z2300" s="8"/>
      <c r="AA2300" s="58"/>
    </row>
    <row r="2301" spans="1:28" x14ac:dyDescent="0.3">
      <c r="A2301" s="64"/>
      <c r="B2301" s="8"/>
      <c r="C2301" s="8"/>
      <c r="D2301" s="8"/>
      <c r="E2301" s="17"/>
      <c r="F2301" s="17"/>
      <c r="G2301" s="17"/>
      <c r="H2301" s="17"/>
      <c r="I2301" s="17"/>
      <c r="J2301" s="17"/>
      <c r="K2301" s="17"/>
      <c r="L2301" s="17"/>
      <c r="M2301" s="17"/>
      <c r="N2301" s="17"/>
      <c r="O2301" s="17"/>
      <c r="P2301" s="17"/>
      <c r="Q2301" s="17"/>
      <c r="R2301" s="8"/>
      <c r="S2301" s="8"/>
      <c r="T2301" s="8"/>
      <c r="U2301" s="8"/>
      <c r="V2301" s="8"/>
      <c r="W2301" s="8"/>
      <c r="X2301" s="8"/>
      <c r="Y2301" s="8"/>
      <c r="Z2301" s="8"/>
    </row>
    <row r="2302" spans="1:28" x14ac:dyDescent="0.3">
      <c r="B2302" s="7" t="s">
        <v>838</v>
      </c>
      <c r="C2302" s="8"/>
      <c r="D2302" s="8"/>
      <c r="E2302" s="8"/>
      <c r="F2302" s="8"/>
      <c r="G2302" s="8"/>
      <c r="H2302" s="8"/>
      <c r="I2302" s="8"/>
      <c r="J2302" s="8"/>
      <c r="K2302" s="8"/>
      <c r="L2302" s="8"/>
      <c r="M2302" s="8"/>
      <c r="N2302" s="8"/>
      <c r="O2302" s="8"/>
      <c r="P2302" s="8"/>
      <c r="Q2302" s="8"/>
      <c r="R2302" s="8"/>
      <c r="S2302" s="8"/>
      <c r="T2302" s="8"/>
      <c r="U2302" s="8"/>
      <c r="V2302" s="8"/>
      <c r="W2302" s="8"/>
      <c r="X2302" s="8"/>
      <c r="Y2302" s="8"/>
      <c r="Z2302" s="8"/>
    </row>
    <row r="2303" spans="1:28" x14ac:dyDescent="0.3">
      <c r="A2303" s="64"/>
      <c r="B2303" s="7"/>
      <c r="C2303" s="8"/>
      <c r="D2303" s="8"/>
      <c r="E2303" s="8"/>
      <c r="F2303" s="8"/>
      <c r="G2303" s="8"/>
      <c r="H2303" s="8"/>
      <c r="I2303" s="8"/>
      <c r="J2303" s="8"/>
      <c r="K2303" s="8"/>
      <c r="L2303" s="8"/>
      <c r="M2303" s="8"/>
      <c r="N2303" s="8"/>
      <c r="O2303" s="8"/>
      <c r="P2303" s="8"/>
      <c r="Q2303" s="8"/>
      <c r="R2303" s="8"/>
      <c r="S2303" s="8"/>
      <c r="T2303" s="8"/>
      <c r="U2303" s="8"/>
      <c r="V2303" s="8"/>
      <c r="W2303" s="8"/>
      <c r="X2303" s="8"/>
      <c r="Y2303" s="8"/>
      <c r="Z2303" s="8"/>
    </row>
    <row r="2304" spans="1:28" x14ac:dyDescent="0.3">
      <c r="A2304" s="63" t="s">
        <v>1048</v>
      </c>
      <c r="B2304" s="7" t="s">
        <v>839</v>
      </c>
      <c r="C2304" s="8"/>
      <c r="D2304" s="8"/>
      <c r="E2304" s="8"/>
      <c r="F2304" s="8"/>
      <c r="G2304" s="8"/>
      <c r="H2304" s="8"/>
      <c r="I2304" s="8"/>
      <c r="J2304" s="8"/>
      <c r="K2304" s="8"/>
      <c r="L2304" s="8"/>
      <c r="M2304" s="8"/>
      <c r="N2304" s="8"/>
      <c r="O2304" s="8"/>
      <c r="P2304" s="8"/>
      <c r="Q2304" s="8"/>
      <c r="R2304" s="8"/>
      <c r="S2304" s="8"/>
      <c r="T2304" s="8"/>
      <c r="U2304" s="8"/>
      <c r="V2304" s="8"/>
      <c r="W2304" s="8"/>
      <c r="X2304" s="8"/>
      <c r="Y2304" s="8"/>
      <c r="Z2304" s="8"/>
    </row>
    <row r="2305" spans="1:28" x14ac:dyDescent="0.3">
      <c r="A2305" s="64"/>
      <c r="B2305" s="8"/>
      <c r="C2305" s="7" t="s">
        <v>840</v>
      </c>
      <c r="D2305" s="15" t="s">
        <v>166</v>
      </c>
      <c r="E2305" s="9">
        <v>550000</v>
      </c>
      <c r="F2305" s="9">
        <v>550000</v>
      </c>
      <c r="G2305" s="8"/>
      <c r="H2305" s="9">
        <f>+F2305+G2305</f>
        <v>550000</v>
      </c>
      <c r="I2305" s="8"/>
      <c r="J2305" s="9">
        <f t="shared" ref="J2305:J2317" si="1207">H2305+I2305</f>
        <v>550000</v>
      </c>
      <c r="K2305" s="8"/>
      <c r="L2305" s="8"/>
      <c r="M2305" s="9">
        <f>+H2305+L2305</f>
        <v>550000</v>
      </c>
      <c r="N2305" s="8"/>
      <c r="O2305" s="9"/>
      <c r="P2305" s="9">
        <f>+N2305+O2305</f>
        <v>0</v>
      </c>
      <c r="Q2305" s="9">
        <f t="shared" ref="Q2305:Q2317" si="1208">E2305-P2305</f>
        <v>550000</v>
      </c>
      <c r="R2305" s="8"/>
      <c r="S2305" s="8"/>
      <c r="T2305" s="8"/>
      <c r="U2305" s="18">
        <f t="shared" ref="U2305:U2317" si="1209">+P2305+T2305</f>
        <v>0</v>
      </c>
      <c r="V2305" s="17"/>
      <c r="W2305" s="17"/>
      <c r="X2305" s="9">
        <f t="shared" ref="X2305:X2317" si="1210">+H2305+P2305</f>
        <v>550000</v>
      </c>
      <c r="Y2305" s="8"/>
      <c r="Z2305" s="9">
        <f t="shared" ref="Z2305:Z2317" si="1211">+E2305-X2305</f>
        <v>0</v>
      </c>
      <c r="AA2305" s="8">
        <f t="shared" ref="AA2305:AA2317" si="1212">+M2305+U2305</f>
        <v>550000</v>
      </c>
      <c r="AB2305" s="8">
        <f t="shared" ref="AB2305:AB2317" si="1213">+E2305-AA2305</f>
        <v>0</v>
      </c>
    </row>
    <row r="2306" spans="1:28" x14ac:dyDescent="0.3">
      <c r="A2306" s="64"/>
      <c r="B2306" s="8"/>
      <c r="C2306" s="7" t="s">
        <v>535</v>
      </c>
      <c r="D2306" s="15" t="s">
        <v>54</v>
      </c>
      <c r="E2306" s="9">
        <f>556000-27800</f>
        <v>528200</v>
      </c>
      <c r="F2306" s="9">
        <v>528200</v>
      </c>
      <c r="G2306" s="8"/>
      <c r="H2306" s="9">
        <f t="shared" ref="H2306:H2317" si="1214">+F2306+G2306</f>
        <v>528200</v>
      </c>
      <c r="I2306" s="8"/>
      <c r="J2306" s="9">
        <f t="shared" si="1207"/>
        <v>528200</v>
      </c>
      <c r="K2306" s="8"/>
      <c r="L2306" s="8"/>
      <c r="M2306" s="9">
        <f t="shared" ref="M2306:M2317" si="1215">+H2306+L2306</f>
        <v>528200</v>
      </c>
      <c r="N2306" s="8"/>
      <c r="O2306" s="9"/>
      <c r="P2306" s="9">
        <f t="shared" ref="P2306:P2317" si="1216">+N2306+O2306</f>
        <v>0</v>
      </c>
      <c r="Q2306" s="9">
        <f t="shared" si="1208"/>
        <v>528200</v>
      </c>
      <c r="R2306" s="8"/>
      <c r="S2306" s="8"/>
      <c r="T2306" s="8"/>
      <c r="U2306" s="18">
        <f t="shared" si="1209"/>
        <v>0</v>
      </c>
      <c r="V2306" s="17"/>
      <c r="W2306" s="17"/>
      <c r="X2306" s="9">
        <f t="shared" si="1210"/>
        <v>528200</v>
      </c>
      <c r="Y2306" s="8"/>
      <c r="Z2306" s="9">
        <f t="shared" si="1211"/>
        <v>0</v>
      </c>
      <c r="AA2306" s="8">
        <f t="shared" si="1212"/>
        <v>528200</v>
      </c>
      <c r="AB2306" s="8">
        <f t="shared" si="1213"/>
        <v>0</v>
      </c>
    </row>
    <row r="2307" spans="1:28" x14ac:dyDescent="0.3">
      <c r="A2307" s="64"/>
      <c r="B2307" s="8"/>
      <c r="C2307" s="7" t="s">
        <v>696</v>
      </c>
      <c r="D2307" s="15" t="s">
        <v>54</v>
      </c>
      <c r="E2307" s="9">
        <f>43133+146867</f>
        <v>190000</v>
      </c>
      <c r="F2307" s="9">
        <v>190000</v>
      </c>
      <c r="G2307" s="8"/>
      <c r="H2307" s="9">
        <f t="shared" si="1214"/>
        <v>190000</v>
      </c>
      <c r="I2307" s="8"/>
      <c r="J2307" s="9">
        <f t="shared" si="1207"/>
        <v>190000</v>
      </c>
      <c r="K2307" s="8"/>
      <c r="L2307" s="8"/>
      <c r="M2307" s="9">
        <f t="shared" si="1215"/>
        <v>190000</v>
      </c>
      <c r="N2307" s="8"/>
      <c r="O2307" s="9"/>
      <c r="P2307" s="9">
        <f t="shared" si="1216"/>
        <v>0</v>
      </c>
      <c r="Q2307" s="9">
        <f t="shared" si="1208"/>
        <v>190000</v>
      </c>
      <c r="R2307" s="8"/>
      <c r="S2307" s="8"/>
      <c r="T2307" s="8"/>
      <c r="U2307" s="18">
        <f t="shared" si="1209"/>
        <v>0</v>
      </c>
      <c r="V2307" s="17"/>
      <c r="W2307" s="17"/>
      <c r="X2307" s="9">
        <f t="shared" si="1210"/>
        <v>190000</v>
      </c>
      <c r="Y2307" s="8"/>
      <c r="Z2307" s="9">
        <f t="shared" si="1211"/>
        <v>0</v>
      </c>
      <c r="AA2307" s="8">
        <f t="shared" si="1212"/>
        <v>190000</v>
      </c>
      <c r="AB2307" s="8">
        <f t="shared" si="1213"/>
        <v>0</v>
      </c>
    </row>
    <row r="2308" spans="1:28" x14ac:dyDescent="0.3">
      <c r="A2308" s="64"/>
      <c r="B2308" s="8"/>
      <c r="C2308" s="7" t="s">
        <v>545</v>
      </c>
      <c r="D2308" s="15" t="s">
        <v>54</v>
      </c>
      <c r="E2308" s="9">
        <v>1953989</v>
      </c>
      <c r="F2308" s="8"/>
      <c r="G2308" s="8"/>
      <c r="H2308" s="9">
        <f t="shared" si="1214"/>
        <v>0</v>
      </c>
      <c r="I2308" s="8"/>
      <c r="J2308" s="9">
        <f t="shared" si="1207"/>
        <v>0</v>
      </c>
      <c r="K2308" s="9">
        <v>1953989</v>
      </c>
      <c r="L2308" s="8"/>
      <c r="M2308" s="9">
        <f t="shared" si="1215"/>
        <v>0</v>
      </c>
      <c r="N2308" s="8">
        <v>1953989</v>
      </c>
      <c r="O2308" s="9"/>
      <c r="P2308" s="9">
        <f t="shared" si="1216"/>
        <v>1953989</v>
      </c>
      <c r="Q2308" s="9">
        <f t="shared" si="1208"/>
        <v>0</v>
      </c>
      <c r="R2308" s="8"/>
      <c r="S2308" s="8"/>
      <c r="T2308" s="8"/>
      <c r="U2308" s="18">
        <f t="shared" si="1209"/>
        <v>1953989</v>
      </c>
      <c r="V2308" s="17"/>
      <c r="W2308" s="17"/>
      <c r="X2308" s="9">
        <f t="shared" si="1210"/>
        <v>1953989</v>
      </c>
      <c r="Y2308" s="8"/>
      <c r="Z2308" s="9">
        <f t="shared" si="1211"/>
        <v>0</v>
      </c>
      <c r="AA2308" s="8">
        <f t="shared" si="1212"/>
        <v>1953989</v>
      </c>
      <c r="AB2308" s="8">
        <f t="shared" si="1213"/>
        <v>0</v>
      </c>
    </row>
    <row r="2309" spans="1:28" x14ac:dyDescent="0.3">
      <c r="A2309" s="64"/>
      <c r="B2309" s="8"/>
      <c r="C2309" s="7" t="s">
        <v>535</v>
      </c>
      <c r="D2309" s="15" t="s">
        <v>85</v>
      </c>
      <c r="E2309" s="9">
        <v>1110163</v>
      </c>
      <c r="F2309" s="9">
        <v>1110163</v>
      </c>
      <c r="G2309" s="8"/>
      <c r="H2309" s="9">
        <f t="shared" si="1214"/>
        <v>1110163</v>
      </c>
      <c r="I2309" s="8"/>
      <c r="J2309" s="9">
        <f t="shared" si="1207"/>
        <v>1110163</v>
      </c>
      <c r="K2309" s="8"/>
      <c r="L2309" s="8"/>
      <c r="M2309" s="9">
        <f t="shared" si="1215"/>
        <v>1110163</v>
      </c>
      <c r="N2309" s="8"/>
      <c r="O2309" s="9"/>
      <c r="P2309" s="9">
        <f t="shared" si="1216"/>
        <v>0</v>
      </c>
      <c r="Q2309" s="9">
        <f t="shared" si="1208"/>
        <v>1110163</v>
      </c>
      <c r="R2309" s="8"/>
      <c r="S2309" s="8"/>
      <c r="T2309" s="8"/>
      <c r="U2309" s="18">
        <f t="shared" si="1209"/>
        <v>0</v>
      </c>
      <c r="V2309" s="17"/>
      <c r="W2309" s="17"/>
      <c r="X2309" s="9">
        <f t="shared" si="1210"/>
        <v>1110163</v>
      </c>
      <c r="Y2309" s="8"/>
      <c r="Z2309" s="9">
        <f t="shared" si="1211"/>
        <v>0</v>
      </c>
      <c r="AA2309" s="8">
        <f t="shared" si="1212"/>
        <v>1110163</v>
      </c>
      <c r="AB2309" s="8">
        <f t="shared" si="1213"/>
        <v>0</v>
      </c>
    </row>
    <row r="2310" spans="1:28" x14ac:dyDescent="0.3">
      <c r="A2310" s="64"/>
      <c r="B2310" s="8"/>
      <c r="C2310" s="7" t="s">
        <v>814</v>
      </c>
      <c r="D2310" s="15" t="s">
        <v>85</v>
      </c>
      <c r="E2310" s="9">
        <f>240000+160000+160000+240000+240000+120000</f>
        <v>1160000</v>
      </c>
      <c r="F2310" s="9">
        <f>240000+160000+160000+240000+240000+120000</f>
        <v>1160000</v>
      </c>
      <c r="G2310" s="8"/>
      <c r="H2310" s="9">
        <f t="shared" si="1214"/>
        <v>1160000</v>
      </c>
      <c r="I2310" s="8"/>
      <c r="J2310" s="9">
        <f t="shared" si="1207"/>
        <v>1160000</v>
      </c>
      <c r="K2310" s="8"/>
      <c r="L2310" s="8"/>
      <c r="M2310" s="9">
        <f t="shared" si="1215"/>
        <v>1160000</v>
      </c>
      <c r="N2310" s="8"/>
      <c r="O2310" s="9"/>
      <c r="P2310" s="9">
        <f t="shared" si="1216"/>
        <v>0</v>
      </c>
      <c r="Q2310" s="9">
        <f t="shared" si="1208"/>
        <v>1160000</v>
      </c>
      <c r="R2310" s="8"/>
      <c r="S2310" s="8"/>
      <c r="T2310" s="8"/>
      <c r="U2310" s="18">
        <f t="shared" si="1209"/>
        <v>0</v>
      </c>
      <c r="V2310" s="17"/>
      <c r="W2310" s="17"/>
      <c r="X2310" s="9">
        <f t="shared" si="1210"/>
        <v>1160000</v>
      </c>
      <c r="Y2310" s="8"/>
      <c r="Z2310" s="9">
        <f t="shared" si="1211"/>
        <v>0</v>
      </c>
      <c r="AA2310" s="8">
        <f t="shared" si="1212"/>
        <v>1160000</v>
      </c>
      <c r="AB2310" s="8">
        <f t="shared" si="1213"/>
        <v>0</v>
      </c>
    </row>
    <row r="2311" spans="1:28" x14ac:dyDescent="0.3">
      <c r="A2311" s="64"/>
      <c r="B2311" s="8"/>
      <c r="C2311" s="7" t="s">
        <v>535</v>
      </c>
      <c r="D2311" s="15" t="s">
        <v>128</v>
      </c>
      <c r="E2311" s="9">
        <v>1094000</v>
      </c>
      <c r="F2311" s="9">
        <v>1094000</v>
      </c>
      <c r="G2311" s="8"/>
      <c r="H2311" s="9">
        <f t="shared" si="1214"/>
        <v>1094000</v>
      </c>
      <c r="I2311" s="8"/>
      <c r="J2311" s="9">
        <f t="shared" si="1207"/>
        <v>1094000</v>
      </c>
      <c r="K2311" s="8"/>
      <c r="L2311" s="8"/>
      <c r="M2311" s="9">
        <f t="shared" si="1215"/>
        <v>1094000</v>
      </c>
      <c r="N2311" s="8"/>
      <c r="O2311" s="9"/>
      <c r="P2311" s="9">
        <f t="shared" si="1216"/>
        <v>0</v>
      </c>
      <c r="Q2311" s="9">
        <f t="shared" si="1208"/>
        <v>1094000</v>
      </c>
      <c r="R2311" s="8"/>
      <c r="S2311" s="8"/>
      <c r="T2311" s="8"/>
      <c r="U2311" s="18">
        <f t="shared" si="1209"/>
        <v>0</v>
      </c>
      <c r="V2311" s="17"/>
      <c r="W2311" s="17"/>
      <c r="X2311" s="9">
        <f t="shared" si="1210"/>
        <v>1094000</v>
      </c>
      <c r="Y2311" s="8"/>
      <c r="Z2311" s="9">
        <f t="shared" si="1211"/>
        <v>0</v>
      </c>
      <c r="AA2311" s="8">
        <f t="shared" si="1212"/>
        <v>1094000</v>
      </c>
      <c r="AB2311" s="8">
        <f t="shared" si="1213"/>
        <v>0</v>
      </c>
    </row>
    <row r="2312" spans="1:28" x14ac:dyDescent="0.3">
      <c r="A2312" s="64"/>
      <c r="B2312" s="8"/>
      <c r="C2312" s="7" t="s">
        <v>535</v>
      </c>
      <c r="D2312" s="15" t="s">
        <v>58</v>
      </c>
      <c r="E2312" s="9">
        <f>1025252+1402675+1162375</f>
        <v>3590302</v>
      </c>
      <c r="F2312" s="9">
        <f>2427927+1162375</f>
        <v>3590302</v>
      </c>
      <c r="G2312" s="8"/>
      <c r="H2312" s="9">
        <f t="shared" si="1214"/>
        <v>3590302</v>
      </c>
      <c r="I2312" s="8"/>
      <c r="J2312" s="9">
        <f t="shared" si="1207"/>
        <v>3590302</v>
      </c>
      <c r="K2312" s="8"/>
      <c r="L2312" s="8"/>
      <c r="M2312" s="9">
        <f t="shared" si="1215"/>
        <v>3590302</v>
      </c>
      <c r="N2312" s="8"/>
      <c r="O2312" s="9"/>
      <c r="P2312" s="9">
        <f t="shared" si="1216"/>
        <v>0</v>
      </c>
      <c r="Q2312" s="9">
        <f t="shared" si="1208"/>
        <v>3590302</v>
      </c>
      <c r="R2312" s="8"/>
      <c r="S2312" s="8"/>
      <c r="T2312" s="8"/>
      <c r="U2312" s="18">
        <f t="shared" si="1209"/>
        <v>0</v>
      </c>
      <c r="V2312" s="17"/>
      <c r="W2312" s="17"/>
      <c r="X2312" s="9">
        <f t="shared" si="1210"/>
        <v>3590302</v>
      </c>
      <c r="Y2312" s="8"/>
      <c r="Z2312" s="9">
        <f t="shared" si="1211"/>
        <v>0</v>
      </c>
      <c r="AA2312" s="8">
        <f t="shared" si="1212"/>
        <v>3590302</v>
      </c>
      <c r="AB2312" s="8">
        <f t="shared" si="1213"/>
        <v>0</v>
      </c>
    </row>
    <row r="2313" spans="1:28" x14ac:dyDescent="0.3">
      <c r="A2313" s="64"/>
      <c r="B2313" s="8"/>
      <c r="C2313" s="7" t="s">
        <v>535</v>
      </c>
      <c r="D2313" s="15" t="s">
        <v>60</v>
      </c>
      <c r="E2313" s="9">
        <f>4000000+1353000+3248990</f>
        <v>8601990</v>
      </c>
      <c r="F2313" s="9">
        <f>4000000+4601990</f>
        <v>8601990</v>
      </c>
      <c r="G2313" s="8"/>
      <c r="H2313" s="9">
        <f t="shared" si="1214"/>
        <v>8601990</v>
      </c>
      <c r="I2313" s="8"/>
      <c r="J2313" s="9">
        <f t="shared" si="1207"/>
        <v>8601990</v>
      </c>
      <c r="K2313" s="8"/>
      <c r="L2313" s="8"/>
      <c r="M2313" s="9">
        <f t="shared" si="1215"/>
        <v>8601990</v>
      </c>
      <c r="N2313" s="8"/>
      <c r="O2313" s="9"/>
      <c r="P2313" s="9">
        <f t="shared" si="1216"/>
        <v>0</v>
      </c>
      <c r="Q2313" s="9">
        <f t="shared" si="1208"/>
        <v>8601990</v>
      </c>
      <c r="R2313" s="8"/>
      <c r="S2313" s="8"/>
      <c r="T2313" s="8"/>
      <c r="U2313" s="18">
        <f t="shared" si="1209"/>
        <v>0</v>
      </c>
      <c r="V2313" s="17"/>
      <c r="W2313" s="17"/>
      <c r="X2313" s="9">
        <f t="shared" si="1210"/>
        <v>8601990</v>
      </c>
      <c r="Y2313" s="8"/>
      <c r="Z2313" s="9">
        <f t="shared" si="1211"/>
        <v>0</v>
      </c>
      <c r="AA2313" s="8">
        <f t="shared" si="1212"/>
        <v>8601990</v>
      </c>
      <c r="AB2313" s="8">
        <f t="shared" si="1213"/>
        <v>0</v>
      </c>
    </row>
    <row r="2314" spans="1:28" x14ac:dyDescent="0.3">
      <c r="A2314" s="64"/>
      <c r="B2314" s="8"/>
      <c r="C2314" s="14" t="s">
        <v>652</v>
      </c>
      <c r="D2314" s="21" t="s">
        <v>194</v>
      </c>
      <c r="E2314" s="11">
        <v>2549042</v>
      </c>
      <c r="F2314" s="11">
        <v>2549042</v>
      </c>
      <c r="G2314" s="8"/>
      <c r="H2314" s="9">
        <f t="shared" si="1214"/>
        <v>2549042</v>
      </c>
      <c r="I2314" s="8"/>
      <c r="J2314" s="9">
        <f t="shared" si="1207"/>
        <v>2549042</v>
      </c>
      <c r="K2314" s="8"/>
      <c r="L2314" s="8"/>
      <c r="M2314" s="9">
        <f t="shared" si="1215"/>
        <v>2549042</v>
      </c>
      <c r="N2314" s="8"/>
      <c r="O2314" s="9"/>
      <c r="P2314" s="9">
        <f t="shared" si="1216"/>
        <v>0</v>
      </c>
      <c r="Q2314" s="9">
        <f t="shared" si="1208"/>
        <v>2549042</v>
      </c>
      <c r="R2314" s="8"/>
      <c r="S2314" s="8"/>
      <c r="T2314" s="8"/>
      <c r="U2314" s="18">
        <f t="shared" si="1209"/>
        <v>0</v>
      </c>
      <c r="V2314" s="17"/>
      <c r="W2314" s="17"/>
      <c r="X2314" s="9">
        <f t="shared" si="1210"/>
        <v>2549042</v>
      </c>
      <c r="Y2314" s="8"/>
      <c r="Z2314" s="9">
        <f t="shared" si="1211"/>
        <v>0</v>
      </c>
      <c r="AA2314" s="8">
        <f t="shared" si="1212"/>
        <v>2549042</v>
      </c>
      <c r="AB2314" s="8">
        <f t="shared" si="1213"/>
        <v>0</v>
      </c>
    </row>
    <row r="2315" spans="1:28" x14ac:dyDescent="0.3">
      <c r="A2315" s="64"/>
      <c r="B2315" s="8"/>
      <c r="C2315" s="7" t="s">
        <v>535</v>
      </c>
      <c r="D2315" s="15" t="s">
        <v>61</v>
      </c>
      <c r="E2315" s="11">
        <v>409663.09</v>
      </c>
      <c r="F2315" s="11">
        <v>409663.09</v>
      </c>
      <c r="G2315" s="8"/>
      <c r="H2315" s="9">
        <f t="shared" si="1214"/>
        <v>409663.09</v>
      </c>
      <c r="I2315" s="8"/>
      <c r="J2315" s="9">
        <f t="shared" si="1207"/>
        <v>409663.09</v>
      </c>
      <c r="K2315" s="8"/>
      <c r="L2315" s="8"/>
      <c r="M2315" s="9">
        <f t="shared" si="1215"/>
        <v>409663.09</v>
      </c>
      <c r="N2315" s="8"/>
      <c r="O2315" s="9"/>
      <c r="P2315" s="9">
        <f t="shared" si="1216"/>
        <v>0</v>
      </c>
      <c r="Q2315" s="9">
        <f t="shared" si="1208"/>
        <v>409663.09</v>
      </c>
      <c r="R2315" s="8"/>
      <c r="S2315" s="8"/>
      <c r="T2315" s="8"/>
      <c r="U2315" s="18">
        <f t="shared" si="1209"/>
        <v>0</v>
      </c>
      <c r="V2315" s="17"/>
      <c r="W2315" s="17"/>
      <c r="X2315" s="9">
        <f t="shared" si="1210"/>
        <v>409663.09</v>
      </c>
      <c r="Y2315" s="8"/>
      <c r="Z2315" s="9">
        <f t="shared" si="1211"/>
        <v>0</v>
      </c>
      <c r="AA2315" s="8">
        <f t="shared" si="1212"/>
        <v>409663.09</v>
      </c>
      <c r="AB2315" s="8">
        <f t="shared" si="1213"/>
        <v>0</v>
      </c>
    </row>
    <row r="2316" spans="1:28" x14ac:dyDescent="0.3">
      <c r="A2316" s="64"/>
      <c r="B2316" s="8"/>
      <c r="C2316" s="7" t="s">
        <v>550</v>
      </c>
      <c r="D2316" s="8"/>
      <c r="E2316" s="9">
        <v>499574</v>
      </c>
      <c r="F2316" s="9">
        <v>499574</v>
      </c>
      <c r="G2316" s="8"/>
      <c r="H2316" s="9">
        <f t="shared" si="1214"/>
        <v>499574</v>
      </c>
      <c r="I2316" s="8"/>
      <c r="J2316" s="9">
        <f t="shared" si="1207"/>
        <v>499574</v>
      </c>
      <c r="K2316" s="8"/>
      <c r="L2316" s="8"/>
      <c r="M2316" s="9">
        <f t="shared" si="1215"/>
        <v>499574</v>
      </c>
      <c r="N2316" s="8"/>
      <c r="O2316" s="9"/>
      <c r="P2316" s="9">
        <f t="shared" si="1216"/>
        <v>0</v>
      </c>
      <c r="Q2316" s="9">
        <f t="shared" si="1208"/>
        <v>499574</v>
      </c>
      <c r="R2316" s="8"/>
      <c r="S2316" s="8"/>
      <c r="T2316" s="8"/>
      <c r="U2316" s="18">
        <f t="shared" si="1209"/>
        <v>0</v>
      </c>
      <c r="V2316" s="17"/>
      <c r="W2316" s="17"/>
      <c r="X2316" s="9">
        <f t="shared" si="1210"/>
        <v>499574</v>
      </c>
      <c r="Y2316" s="8"/>
      <c r="Z2316" s="9">
        <f t="shared" si="1211"/>
        <v>0</v>
      </c>
      <c r="AA2316" s="8">
        <f t="shared" si="1212"/>
        <v>499574</v>
      </c>
      <c r="AB2316" s="8">
        <f t="shared" si="1213"/>
        <v>0</v>
      </c>
    </row>
    <row r="2317" spans="1:28" x14ac:dyDescent="0.3">
      <c r="A2317" s="64"/>
      <c r="B2317" s="8"/>
      <c r="C2317" s="7" t="s">
        <v>606</v>
      </c>
      <c r="D2317" s="8"/>
      <c r="E2317" s="9">
        <f>5000000+2500000-2500000</f>
        <v>5000000</v>
      </c>
      <c r="F2317" s="9">
        <v>5000000</v>
      </c>
      <c r="G2317" s="8"/>
      <c r="H2317" s="9">
        <f t="shared" si="1214"/>
        <v>5000000</v>
      </c>
      <c r="I2317" s="8"/>
      <c r="J2317" s="9">
        <f t="shared" si="1207"/>
        <v>5000000</v>
      </c>
      <c r="K2317" s="8"/>
      <c r="L2317" s="8"/>
      <c r="M2317" s="9">
        <f t="shared" si="1215"/>
        <v>5000000</v>
      </c>
      <c r="N2317" s="8"/>
      <c r="O2317" s="9"/>
      <c r="P2317" s="9">
        <f t="shared" si="1216"/>
        <v>0</v>
      </c>
      <c r="Q2317" s="9">
        <f t="shared" si="1208"/>
        <v>5000000</v>
      </c>
      <c r="R2317" s="8"/>
      <c r="S2317" s="8"/>
      <c r="T2317" s="8"/>
      <c r="U2317" s="18">
        <f t="shared" si="1209"/>
        <v>0</v>
      </c>
      <c r="V2317" s="17"/>
      <c r="W2317" s="17"/>
      <c r="X2317" s="9">
        <f t="shared" si="1210"/>
        <v>5000000</v>
      </c>
      <c r="Y2317" s="8"/>
      <c r="Z2317" s="9">
        <f t="shared" si="1211"/>
        <v>0</v>
      </c>
      <c r="AA2317" s="8">
        <f t="shared" si="1212"/>
        <v>5000000</v>
      </c>
      <c r="AB2317" s="8">
        <f t="shared" si="1213"/>
        <v>0</v>
      </c>
    </row>
    <row r="2318" spans="1:28" x14ac:dyDescent="0.3">
      <c r="A2318" s="64"/>
      <c r="B2318" s="8"/>
      <c r="C2318" s="8"/>
      <c r="D2318" s="8"/>
      <c r="E2318" s="17" t="s">
        <v>29</v>
      </c>
      <c r="F2318" s="17" t="s">
        <v>29</v>
      </c>
      <c r="G2318" s="17" t="s">
        <v>29</v>
      </c>
      <c r="H2318" s="17" t="s">
        <v>29</v>
      </c>
      <c r="I2318" s="17" t="s">
        <v>29</v>
      </c>
      <c r="J2318" s="17" t="s">
        <v>29</v>
      </c>
      <c r="K2318" s="17" t="s">
        <v>29</v>
      </c>
      <c r="L2318" s="17" t="s">
        <v>29</v>
      </c>
      <c r="M2318" s="17" t="s">
        <v>29</v>
      </c>
      <c r="N2318" s="17" t="s">
        <v>29</v>
      </c>
      <c r="O2318" s="17" t="s">
        <v>29</v>
      </c>
      <c r="P2318" s="17" t="s">
        <v>29</v>
      </c>
      <c r="Q2318" s="17" t="s">
        <v>29</v>
      </c>
      <c r="R2318" s="17" t="s">
        <v>29</v>
      </c>
      <c r="S2318" s="17" t="s">
        <v>29</v>
      </c>
      <c r="T2318" s="17" t="s">
        <v>29</v>
      </c>
      <c r="U2318" s="17" t="s">
        <v>29</v>
      </c>
      <c r="V2318" s="17" t="s">
        <v>29</v>
      </c>
      <c r="W2318" s="17" t="s">
        <v>29</v>
      </c>
      <c r="X2318" s="17" t="s">
        <v>29</v>
      </c>
      <c r="Y2318" s="17" t="s">
        <v>29</v>
      </c>
      <c r="Z2318" s="17" t="s">
        <v>29</v>
      </c>
      <c r="AA2318" s="17" t="s">
        <v>29</v>
      </c>
      <c r="AB2318" s="17" t="s">
        <v>29</v>
      </c>
    </row>
    <row r="2319" spans="1:28" x14ac:dyDescent="0.3">
      <c r="A2319" s="64"/>
      <c r="B2319" s="8"/>
      <c r="C2319" s="8"/>
      <c r="D2319" s="8"/>
      <c r="E2319" s="9">
        <f t="shared" ref="E2319:Q2319" si="1217">SUM(E2305:E2318)</f>
        <v>27236923.09</v>
      </c>
      <c r="F2319" s="9">
        <f t="shared" si="1217"/>
        <v>25282934.09</v>
      </c>
      <c r="G2319" s="9">
        <f t="shared" si="1217"/>
        <v>0</v>
      </c>
      <c r="H2319" s="9">
        <f t="shared" si="1217"/>
        <v>25282934.09</v>
      </c>
      <c r="I2319" s="9">
        <f t="shared" si="1217"/>
        <v>0</v>
      </c>
      <c r="J2319" s="9">
        <f t="shared" si="1217"/>
        <v>25282934.09</v>
      </c>
      <c r="K2319" s="9">
        <f t="shared" si="1217"/>
        <v>1953989</v>
      </c>
      <c r="L2319" s="9">
        <f t="shared" si="1217"/>
        <v>0</v>
      </c>
      <c r="M2319" s="9">
        <f t="shared" si="1217"/>
        <v>25282934.09</v>
      </c>
      <c r="N2319" s="9">
        <f t="shared" si="1217"/>
        <v>1953989</v>
      </c>
      <c r="O2319" s="9">
        <f t="shared" si="1217"/>
        <v>0</v>
      </c>
      <c r="P2319" s="9">
        <f t="shared" si="1217"/>
        <v>1953989</v>
      </c>
      <c r="Q2319" s="9">
        <f t="shared" si="1217"/>
        <v>25282934.09</v>
      </c>
      <c r="R2319" s="8"/>
      <c r="S2319" s="8"/>
      <c r="T2319" s="9">
        <f t="shared" ref="T2319:Z2319" si="1218">SUM(T2305:T2318)</f>
        <v>0</v>
      </c>
      <c r="U2319" s="9">
        <f t="shared" si="1218"/>
        <v>1953989</v>
      </c>
      <c r="V2319" s="9">
        <f t="shared" si="1218"/>
        <v>0</v>
      </c>
      <c r="W2319" s="9">
        <f t="shared" si="1218"/>
        <v>0</v>
      </c>
      <c r="X2319" s="9">
        <f t="shared" si="1218"/>
        <v>27236923.09</v>
      </c>
      <c r="Y2319" s="9">
        <f t="shared" si="1218"/>
        <v>0</v>
      </c>
      <c r="Z2319" s="9">
        <f t="shared" si="1218"/>
        <v>0</v>
      </c>
      <c r="AA2319" s="9">
        <f>SUM(AA2305:AA2318)</f>
        <v>27236923.09</v>
      </c>
      <c r="AB2319" s="9">
        <f>SUM(AB2305:AB2318)</f>
        <v>0</v>
      </c>
    </row>
    <row r="2320" spans="1:28" x14ac:dyDescent="0.3">
      <c r="A2320" s="64"/>
      <c r="B2320" s="8"/>
      <c r="C2320" s="8"/>
      <c r="D2320" s="8"/>
      <c r="E2320" s="17" t="s">
        <v>29</v>
      </c>
      <c r="F2320" s="17" t="s">
        <v>29</v>
      </c>
      <c r="G2320" s="17" t="s">
        <v>29</v>
      </c>
      <c r="H2320" s="17" t="s">
        <v>29</v>
      </c>
      <c r="I2320" s="17" t="s">
        <v>29</v>
      </c>
      <c r="J2320" s="17" t="s">
        <v>29</v>
      </c>
      <c r="K2320" s="17" t="s">
        <v>29</v>
      </c>
      <c r="L2320" s="17" t="s">
        <v>29</v>
      </c>
      <c r="M2320" s="17" t="s">
        <v>29</v>
      </c>
      <c r="N2320" s="17" t="s">
        <v>29</v>
      </c>
      <c r="O2320" s="17" t="s">
        <v>29</v>
      </c>
      <c r="P2320" s="17" t="s">
        <v>29</v>
      </c>
      <c r="Q2320" s="17" t="s">
        <v>29</v>
      </c>
      <c r="R2320" s="17" t="s">
        <v>29</v>
      </c>
      <c r="S2320" s="17" t="s">
        <v>29</v>
      </c>
      <c r="T2320" s="17" t="s">
        <v>29</v>
      </c>
      <c r="U2320" s="17" t="s">
        <v>29</v>
      </c>
      <c r="V2320" s="17" t="s">
        <v>29</v>
      </c>
      <c r="W2320" s="17" t="s">
        <v>29</v>
      </c>
      <c r="X2320" s="17" t="s">
        <v>29</v>
      </c>
      <c r="Y2320" s="17" t="s">
        <v>29</v>
      </c>
      <c r="Z2320" s="17" t="s">
        <v>29</v>
      </c>
      <c r="AA2320" s="17" t="s">
        <v>29</v>
      </c>
      <c r="AB2320" s="17" t="s">
        <v>29</v>
      </c>
    </row>
    <row r="2321" spans="1:28" x14ac:dyDescent="0.3">
      <c r="A2321" s="64"/>
      <c r="B2321" s="8"/>
      <c r="C2321" s="8"/>
      <c r="D2321" s="8"/>
      <c r="E2321" s="17"/>
      <c r="F2321" s="17"/>
      <c r="G2321" s="17"/>
      <c r="H2321" s="17"/>
      <c r="I2321" s="17"/>
      <c r="J2321" s="17"/>
      <c r="K2321" s="17"/>
      <c r="L2321" s="17"/>
      <c r="M2321" s="17"/>
      <c r="N2321" s="17"/>
      <c r="O2321" s="17"/>
      <c r="P2321" s="17"/>
      <c r="Q2321" s="17"/>
      <c r="R2321" s="17"/>
      <c r="S2321" s="17"/>
      <c r="T2321" s="17"/>
      <c r="U2321" s="17"/>
      <c r="V2321" s="17"/>
      <c r="W2321" s="17"/>
      <c r="X2321" s="17"/>
      <c r="Y2321" s="17"/>
      <c r="Z2321" s="17"/>
      <c r="AA2321" s="17"/>
      <c r="AB2321" s="17"/>
    </row>
    <row r="2322" spans="1:28" x14ac:dyDescent="0.3">
      <c r="A2322" s="64"/>
      <c r="B2322" s="8" t="s">
        <v>1168</v>
      </c>
      <c r="D2322" s="8"/>
      <c r="E2322" s="17"/>
      <c r="F2322" s="17"/>
      <c r="G2322" s="17"/>
      <c r="H2322" s="17"/>
      <c r="I2322" s="17"/>
      <c r="J2322" s="17"/>
      <c r="K2322" s="17"/>
      <c r="L2322" s="17"/>
      <c r="M2322" s="17"/>
      <c r="N2322" s="17"/>
      <c r="O2322" s="17"/>
      <c r="P2322" s="17"/>
      <c r="Q2322" s="17"/>
      <c r="R2322" s="17"/>
      <c r="S2322" s="17"/>
      <c r="T2322" s="17"/>
      <c r="U2322" s="17"/>
      <c r="V2322" s="17"/>
      <c r="W2322" s="17"/>
      <c r="X2322" s="17"/>
      <c r="Y2322" s="17"/>
      <c r="Z2322" s="17"/>
      <c r="AA2322" s="17"/>
      <c r="AB2322" s="17"/>
    </row>
    <row r="2323" spans="1:28" x14ac:dyDescent="0.3">
      <c r="A2323" s="64"/>
      <c r="B2323" s="8"/>
      <c r="C2323" s="8" t="s">
        <v>1169</v>
      </c>
      <c r="D2323" s="23" t="s">
        <v>1126</v>
      </c>
      <c r="E2323" s="18">
        <v>353819.81</v>
      </c>
      <c r="F2323" s="18">
        <v>353819.81</v>
      </c>
      <c r="G2323" s="18"/>
      <c r="H2323" s="18">
        <f>+F2323+G2323</f>
        <v>353819.81</v>
      </c>
      <c r="I2323" s="18"/>
      <c r="J2323" s="18"/>
      <c r="K2323" s="18"/>
      <c r="L2323" s="18"/>
      <c r="M2323" s="18">
        <f>+H2323+L2323</f>
        <v>353819.81</v>
      </c>
      <c r="N2323" s="18"/>
      <c r="O2323" s="18"/>
      <c r="P2323" s="18">
        <f>+N2323+O2323</f>
        <v>0</v>
      </c>
      <c r="Q2323" s="18"/>
      <c r="R2323" s="18"/>
      <c r="S2323" s="18"/>
      <c r="T2323" s="18"/>
      <c r="U2323" s="18">
        <f>+P2323+T2323</f>
        <v>0</v>
      </c>
      <c r="V2323" s="18"/>
      <c r="W2323" s="18"/>
      <c r="X2323" s="9">
        <f>+H2323+P2323</f>
        <v>353819.81</v>
      </c>
      <c r="Y2323" s="18"/>
      <c r="Z2323" s="9">
        <f>+E2323-X2323</f>
        <v>0</v>
      </c>
      <c r="AA2323" s="8">
        <f>+M2323+U2323</f>
        <v>353819.81</v>
      </c>
      <c r="AB2323" s="8">
        <f>+E2323-AA2323</f>
        <v>0</v>
      </c>
    </row>
    <row r="2324" spans="1:28" x14ac:dyDescent="0.3">
      <c r="A2324" s="64"/>
      <c r="B2324" s="8"/>
      <c r="C2324" s="8"/>
      <c r="D2324" s="8"/>
      <c r="E2324" s="17" t="s">
        <v>29</v>
      </c>
      <c r="F2324" s="17" t="s">
        <v>29</v>
      </c>
      <c r="G2324" s="17" t="s">
        <v>29</v>
      </c>
      <c r="H2324" s="17" t="s">
        <v>29</v>
      </c>
      <c r="I2324" s="17" t="s">
        <v>29</v>
      </c>
      <c r="J2324" s="17" t="s">
        <v>29</v>
      </c>
      <c r="K2324" s="17" t="s">
        <v>29</v>
      </c>
      <c r="L2324" s="17" t="s">
        <v>29</v>
      </c>
      <c r="M2324" s="17" t="s">
        <v>29</v>
      </c>
      <c r="N2324" s="17" t="s">
        <v>29</v>
      </c>
      <c r="O2324" s="17" t="s">
        <v>29</v>
      </c>
      <c r="P2324" s="17" t="s">
        <v>29</v>
      </c>
      <c r="Q2324" s="17" t="s">
        <v>29</v>
      </c>
      <c r="R2324" s="17" t="s">
        <v>29</v>
      </c>
      <c r="S2324" s="17" t="s">
        <v>29</v>
      </c>
      <c r="T2324" s="17" t="s">
        <v>29</v>
      </c>
      <c r="U2324" s="17" t="s">
        <v>29</v>
      </c>
      <c r="V2324" s="17" t="s">
        <v>29</v>
      </c>
      <c r="W2324" s="17" t="s">
        <v>29</v>
      </c>
      <c r="X2324" s="17" t="s">
        <v>29</v>
      </c>
      <c r="Y2324" s="17" t="s">
        <v>29</v>
      </c>
      <c r="Z2324" s="17" t="s">
        <v>29</v>
      </c>
      <c r="AA2324" s="17" t="s">
        <v>29</v>
      </c>
      <c r="AB2324" s="17" t="s">
        <v>29</v>
      </c>
    </row>
    <row r="2325" spans="1:28" x14ac:dyDescent="0.3">
      <c r="A2325" s="64"/>
      <c r="B2325" s="8"/>
      <c r="C2325" s="8"/>
      <c r="D2325" s="8"/>
      <c r="E2325" s="17"/>
      <c r="F2325" s="17"/>
      <c r="G2325" s="17"/>
      <c r="H2325" s="17"/>
      <c r="I2325" s="17"/>
      <c r="J2325" s="17"/>
      <c r="K2325" s="17"/>
      <c r="L2325" s="17"/>
      <c r="M2325" s="17"/>
      <c r="N2325" s="17"/>
      <c r="O2325" s="17"/>
      <c r="P2325" s="17"/>
      <c r="Q2325" s="17"/>
      <c r="R2325" s="17"/>
      <c r="S2325" s="17"/>
      <c r="T2325" s="17"/>
      <c r="U2325" s="17"/>
      <c r="V2325" s="17"/>
      <c r="W2325" s="17"/>
      <c r="X2325" s="17"/>
      <c r="Y2325" s="17"/>
      <c r="Z2325" s="17"/>
      <c r="AA2325" s="17"/>
      <c r="AB2325" s="17"/>
    </row>
    <row r="2326" spans="1:28" x14ac:dyDescent="0.3">
      <c r="A2326" s="63" t="s">
        <v>1036</v>
      </c>
      <c r="B2326" s="7" t="s">
        <v>841</v>
      </c>
      <c r="C2326" s="8"/>
      <c r="D2326" s="8"/>
      <c r="E2326" s="8"/>
      <c r="F2326" s="8"/>
      <c r="G2326" s="8"/>
      <c r="H2326" s="8"/>
      <c r="I2326" s="8"/>
      <c r="J2326" s="8"/>
      <c r="K2326" s="8"/>
      <c r="L2326" s="8"/>
      <c r="M2326" s="8"/>
      <c r="N2326" s="8"/>
      <c r="O2326" s="8"/>
      <c r="P2326" s="8"/>
      <c r="Q2326" s="8"/>
      <c r="R2326" s="8"/>
      <c r="S2326" s="8"/>
      <c r="T2326" s="8"/>
      <c r="U2326" s="8"/>
      <c r="V2326" s="8"/>
      <c r="W2326" s="8"/>
      <c r="X2326" s="8"/>
      <c r="Y2326" s="8"/>
      <c r="Z2326" s="8"/>
    </row>
    <row r="2327" spans="1:28" x14ac:dyDescent="0.3">
      <c r="A2327" s="64"/>
      <c r="B2327" s="8"/>
      <c r="C2327" s="7" t="s">
        <v>535</v>
      </c>
      <c r="D2327" s="42">
        <v>1994</v>
      </c>
      <c r="E2327" s="9">
        <f>1276800-1268785.2</f>
        <v>8014.8000000000466</v>
      </c>
      <c r="F2327" s="8"/>
      <c r="G2327" s="8"/>
      <c r="H2327" s="9">
        <f t="shared" ref="H2327:H2345" si="1219">F2327+G2327</f>
        <v>0</v>
      </c>
      <c r="I2327" s="8"/>
      <c r="J2327" s="9">
        <f t="shared" ref="J2327:J2345" si="1220">H2327+I2327</f>
        <v>0</v>
      </c>
      <c r="K2327" s="9">
        <v>8014.8</v>
      </c>
      <c r="L2327" s="8"/>
      <c r="M2327" s="9">
        <f>+H2327+L2327</f>
        <v>0</v>
      </c>
      <c r="N2327" s="8">
        <v>8014.8</v>
      </c>
      <c r="O2327" s="9"/>
      <c r="P2327" s="9">
        <f>+N2327+O2327</f>
        <v>8014.8</v>
      </c>
      <c r="Q2327" s="9">
        <f t="shared" ref="Q2327:Q2345" si="1221">E2327-P2327</f>
        <v>4.638422979041934E-11</v>
      </c>
      <c r="R2327" s="8"/>
      <c r="S2327" s="8"/>
      <c r="T2327" s="8"/>
      <c r="U2327" s="18">
        <f t="shared" ref="U2327:U2345" si="1222">+P2327+T2327</f>
        <v>8014.8</v>
      </c>
      <c r="V2327" s="17"/>
      <c r="W2327" s="17"/>
      <c r="X2327" s="9">
        <f t="shared" ref="X2327:X2345" si="1223">+H2327+P2327</f>
        <v>8014.8</v>
      </c>
      <c r="Y2327" s="8"/>
      <c r="Z2327" s="9">
        <f t="shared" ref="Z2327:Z2345" si="1224">+E2327-X2327</f>
        <v>4.638422979041934E-11</v>
      </c>
      <c r="AA2327" s="8">
        <f t="shared" ref="AA2327:AA2345" si="1225">+M2327+U2327</f>
        <v>8014.8</v>
      </c>
      <c r="AB2327" s="8">
        <f t="shared" ref="AB2327:AB2345" si="1226">+E2327-AA2327</f>
        <v>4.638422979041934E-11</v>
      </c>
    </row>
    <row r="2328" spans="1:28" x14ac:dyDescent="0.3">
      <c r="A2328" s="64"/>
      <c r="B2328" s="8"/>
      <c r="C2328" s="7" t="s">
        <v>535</v>
      </c>
      <c r="D2328" s="42">
        <v>1995</v>
      </c>
      <c r="E2328" s="9">
        <f>645000-32250-6115</f>
        <v>606635</v>
      </c>
      <c r="F2328" s="9">
        <v>606635</v>
      </c>
      <c r="G2328" s="8"/>
      <c r="H2328" s="9">
        <f t="shared" si="1219"/>
        <v>606635</v>
      </c>
      <c r="I2328" s="8"/>
      <c r="J2328" s="9">
        <f t="shared" si="1220"/>
        <v>606635</v>
      </c>
      <c r="K2328" s="8"/>
      <c r="L2328" s="8"/>
      <c r="M2328" s="9">
        <f t="shared" ref="M2328:M2345" si="1227">+H2328+L2328</f>
        <v>606635</v>
      </c>
      <c r="N2328" s="8"/>
      <c r="O2328" s="9"/>
      <c r="P2328" s="9">
        <f t="shared" ref="P2328:P2345" si="1228">+N2328+O2328</f>
        <v>0</v>
      </c>
      <c r="Q2328" s="9">
        <f t="shared" si="1221"/>
        <v>606635</v>
      </c>
      <c r="R2328" s="8"/>
      <c r="S2328" s="8"/>
      <c r="T2328" s="8"/>
      <c r="U2328" s="18">
        <f t="shared" si="1222"/>
        <v>0</v>
      </c>
      <c r="V2328" s="17"/>
      <c r="W2328" s="17"/>
      <c r="X2328" s="9">
        <f t="shared" si="1223"/>
        <v>606635</v>
      </c>
      <c r="Y2328" s="8"/>
      <c r="Z2328" s="9">
        <f t="shared" si="1224"/>
        <v>0</v>
      </c>
      <c r="AA2328" s="8">
        <f t="shared" si="1225"/>
        <v>606635</v>
      </c>
      <c r="AB2328" s="8">
        <f t="shared" si="1226"/>
        <v>0</v>
      </c>
    </row>
    <row r="2329" spans="1:28" x14ac:dyDescent="0.3">
      <c r="A2329" s="64"/>
      <c r="B2329" s="8"/>
      <c r="C2329" s="7" t="s">
        <v>545</v>
      </c>
      <c r="D2329" s="42">
        <v>1995</v>
      </c>
      <c r="E2329" s="9">
        <v>570941</v>
      </c>
      <c r="F2329" s="8"/>
      <c r="G2329" s="8"/>
      <c r="H2329" s="9">
        <f t="shared" si="1219"/>
        <v>0</v>
      </c>
      <c r="I2329" s="8"/>
      <c r="J2329" s="9">
        <f t="shared" si="1220"/>
        <v>0</v>
      </c>
      <c r="K2329" s="9">
        <v>570941</v>
      </c>
      <c r="L2329" s="8"/>
      <c r="M2329" s="9">
        <f t="shared" si="1227"/>
        <v>0</v>
      </c>
      <c r="N2329" s="8">
        <v>570941</v>
      </c>
      <c r="O2329" s="9"/>
      <c r="P2329" s="9">
        <f t="shared" si="1228"/>
        <v>570941</v>
      </c>
      <c r="Q2329" s="9">
        <f t="shared" si="1221"/>
        <v>0</v>
      </c>
      <c r="R2329" s="8"/>
      <c r="S2329" s="8"/>
      <c r="T2329" s="8"/>
      <c r="U2329" s="18">
        <f t="shared" si="1222"/>
        <v>570941</v>
      </c>
      <c r="V2329" s="17"/>
      <c r="W2329" s="17"/>
      <c r="X2329" s="9">
        <f t="shared" si="1223"/>
        <v>570941</v>
      </c>
      <c r="Y2329" s="8"/>
      <c r="Z2329" s="9">
        <f t="shared" si="1224"/>
        <v>0</v>
      </c>
      <c r="AA2329" s="8">
        <f t="shared" si="1225"/>
        <v>570941</v>
      </c>
      <c r="AB2329" s="8">
        <f t="shared" si="1226"/>
        <v>0</v>
      </c>
    </row>
    <row r="2330" spans="1:28" x14ac:dyDescent="0.3">
      <c r="A2330" s="64"/>
      <c r="B2330" s="8"/>
      <c r="C2330" s="7" t="s">
        <v>535</v>
      </c>
      <c r="D2330" s="42">
        <v>1996</v>
      </c>
      <c r="E2330" s="9">
        <f>1393000-139300</f>
        <v>1253700</v>
      </c>
      <c r="F2330" s="9">
        <v>1253700</v>
      </c>
      <c r="G2330" s="8"/>
      <c r="H2330" s="9">
        <f t="shared" si="1219"/>
        <v>1253700</v>
      </c>
      <c r="I2330" s="8"/>
      <c r="J2330" s="9">
        <f t="shared" si="1220"/>
        <v>1253700</v>
      </c>
      <c r="K2330" s="8"/>
      <c r="L2330" s="8"/>
      <c r="M2330" s="9">
        <f t="shared" si="1227"/>
        <v>1253700</v>
      </c>
      <c r="N2330" s="8"/>
      <c r="O2330" s="9"/>
      <c r="P2330" s="9">
        <f t="shared" si="1228"/>
        <v>0</v>
      </c>
      <c r="Q2330" s="9">
        <f t="shared" si="1221"/>
        <v>1253700</v>
      </c>
      <c r="R2330" s="8"/>
      <c r="S2330" s="8"/>
      <c r="T2330" s="8"/>
      <c r="U2330" s="18">
        <f t="shared" si="1222"/>
        <v>0</v>
      </c>
      <c r="V2330" s="17"/>
      <c r="W2330" s="17"/>
      <c r="X2330" s="9">
        <f t="shared" si="1223"/>
        <v>1253700</v>
      </c>
      <c r="Y2330" s="8"/>
      <c r="Z2330" s="9">
        <f t="shared" si="1224"/>
        <v>0</v>
      </c>
      <c r="AA2330" s="8">
        <f t="shared" si="1225"/>
        <v>1253700</v>
      </c>
      <c r="AB2330" s="8">
        <f t="shared" si="1226"/>
        <v>0</v>
      </c>
    </row>
    <row r="2331" spans="1:28" x14ac:dyDescent="0.3">
      <c r="A2331" s="64"/>
      <c r="B2331" s="8"/>
      <c r="C2331" s="7" t="s">
        <v>557</v>
      </c>
      <c r="D2331" s="42">
        <v>1996</v>
      </c>
      <c r="E2331" s="9">
        <f>1895100-100</f>
        <v>1895000</v>
      </c>
      <c r="F2331" s="9">
        <v>1895000</v>
      </c>
      <c r="G2331" s="8"/>
      <c r="H2331" s="9">
        <f t="shared" si="1219"/>
        <v>1895000</v>
      </c>
      <c r="I2331" s="8"/>
      <c r="J2331" s="9">
        <f t="shared" si="1220"/>
        <v>1895000</v>
      </c>
      <c r="K2331" s="8"/>
      <c r="L2331" s="8"/>
      <c r="M2331" s="9">
        <f t="shared" si="1227"/>
        <v>1895000</v>
      </c>
      <c r="N2331" s="8"/>
      <c r="O2331" s="9"/>
      <c r="P2331" s="9">
        <f t="shared" si="1228"/>
        <v>0</v>
      </c>
      <c r="Q2331" s="9">
        <f t="shared" si="1221"/>
        <v>1895000</v>
      </c>
      <c r="R2331" s="8"/>
      <c r="S2331" s="8"/>
      <c r="T2331" s="8"/>
      <c r="U2331" s="18">
        <f t="shared" si="1222"/>
        <v>0</v>
      </c>
      <c r="V2331" s="17"/>
      <c r="W2331" s="17"/>
      <c r="X2331" s="9">
        <f t="shared" si="1223"/>
        <v>1895000</v>
      </c>
      <c r="Y2331" s="8"/>
      <c r="Z2331" s="9">
        <f t="shared" si="1224"/>
        <v>0</v>
      </c>
      <c r="AA2331" s="8">
        <f t="shared" si="1225"/>
        <v>1895000</v>
      </c>
      <c r="AB2331" s="8">
        <f t="shared" si="1226"/>
        <v>0</v>
      </c>
    </row>
    <row r="2332" spans="1:28" x14ac:dyDescent="0.3">
      <c r="A2332" s="64"/>
      <c r="B2332" s="8"/>
      <c r="C2332" s="7" t="s">
        <v>650</v>
      </c>
      <c r="D2332" s="42">
        <v>1996</v>
      </c>
      <c r="E2332" s="9">
        <v>120000</v>
      </c>
      <c r="F2332" s="9">
        <v>120000</v>
      </c>
      <c r="G2332" s="8"/>
      <c r="H2332" s="9">
        <f t="shared" si="1219"/>
        <v>120000</v>
      </c>
      <c r="I2332" s="8"/>
      <c r="J2332" s="9">
        <f t="shared" si="1220"/>
        <v>120000</v>
      </c>
      <c r="K2332" s="8"/>
      <c r="L2332" s="8"/>
      <c r="M2332" s="9">
        <f t="shared" si="1227"/>
        <v>120000</v>
      </c>
      <c r="N2332" s="8"/>
      <c r="O2332" s="9"/>
      <c r="P2332" s="9">
        <f t="shared" si="1228"/>
        <v>0</v>
      </c>
      <c r="Q2332" s="9">
        <f t="shared" si="1221"/>
        <v>120000</v>
      </c>
      <c r="R2332" s="8"/>
      <c r="S2332" s="8"/>
      <c r="T2332" s="8"/>
      <c r="U2332" s="18">
        <f t="shared" si="1222"/>
        <v>0</v>
      </c>
      <c r="V2332" s="17"/>
      <c r="W2332" s="17"/>
      <c r="X2332" s="9">
        <f t="shared" si="1223"/>
        <v>120000</v>
      </c>
      <c r="Y2332" s="8"/>
      <c r="Z2332" s="9">
        <f t="shared" si="1224"/>
        <v>0</v>
      </c>
      <c r="AA2332" s="8">
        <f t="shared" si="1225"/>
        <v>120000</v>
      </c>
      <c r="AB2332" s="8">
        <f t="shared" si="1226"/>
        <v>0</v>
      </c>
    </row>
    <row r="2333" spans="1:28" x14ac:dyDescent="0.3">
      <c r="A2333" s="64"/>
      <c r="B2333" s="8"/>
      <c r="C2333" s="7" t="s">
        <v>671</v>
      </c>
      <c r="D2333" s="42">
        <v>1996</v>
      </c>
      <c r="E2333" s="9">
        <v>42000</v>
      </c>
      <c r="F2333" s="9">
        <v>42000</v>
      </c>
      <c r="G2333" s="8"/>
      <c r="H2333" s="9">
        <f t="shared" si="1219"/>
        <v>42000</v>
      </c>
      <c r="I2333" s="8"/>
      <c r="J2333" s="9">
        <f t="shared" si="1220"/>
        <v>42000</v>
      </c>
      <c r="K2333" s="8"/>
      <c r="L2333" s="8"/>
      <c r="M2333" s="9">
        <f t="shared" si="1227"/>
        <v>42000</v>
      </c>
      <c r="N2333" s="8"/>
      <c r="O2333" s="9"/>
      <c r="P2333" s="9">
        <f t="shared" si="1228"/>
        <v>0</v>
      </c>
      <c r="Q2333" s="9">
        <f t="shared" si="1221"/>
        <v>42000</v>
      </c>
      <c r="R2333" s="8"/>
      <c r="S2333" s="8"/>
      <c r="T2333" s="8"/>
      <c r="U2333" s="18">
        <f t="shared" si="1222"/>
        <v>0</v>
      </c>
      <c r="V2333" s="17"/>
      <c r="W2333" s="17"/>
      <c r="X2333" s="9">
        <f t="shared" si="1223"/>
        <v>42000</v>
      </c>
      <c r="Y2333" s="8"/>
      <c r="Z2333" s="9">
        <f t="shared" si="1224"/>
        <v>0</v>
      </c>
      <c r="AA2333" s="8">
        <f t="shared" si="1225"/>
        <v>42000</v>
      </c>
      <c r="AB2333" s="8">
        <f t="shared" si="1226"/>
        <v>0</v>
      </c>
    </row>
    <row r="2334" spans="1:28" x14ac:dyDescent="0.3">
      <c r="A2334" s="64"/>
      <c r="B2334" s="8"/>
      <c r="C2334" s="7" t="s">
        <v>535</v>
      </c>
      <c r="D2334" s="42">
        <v>1997</v>
      </c>
      <c r="E2334" s="9">
        <v>1672672</v>
      </c>
      <c r="F2334" s="9">
        <v>1672672</v>
      </c>
      <c r="G2334" s="8"/>
      <c r="H2334" s="9">
        <f t="shared" si="1219"/>
        <v>1672672</v>
      </c>
      <c r="I2334" s="8"/>
      <c r="J2334" s="9">
        <f t="shared" si="1220"/>
        <v>1672672</v>
      </c>
      <c r="K2334" s="8"/>
      <c r="L2334" s="8"/>
      <c r="M2334" s="9">
        <f t="shared" si="1227"/>
        <v>1672672</v>
      </c>
      <c r="N2334" s="8"/>
      <c r="O2334" s="9"/>
      <c r="P2334" s="9">
        <f t="shared" si="1228"/>
        <v>0</v>
      </c>
      <c r="Q2334" s="9">
        <f t="shared" si="1221"/>
        <v>1672672</v>
      </c>
      <c r="R2334" s="8"/>
      <c r="S2334" s="8"/>
      <c r="T2334" s="8"/>
      <c r="U2334" s="18">
        <f t="shared" si="1222"/>
        <v>0</v>
      </c>
      <c r="V2334" s="17"/>
      <c r="W2334" s="17"/>
      <c r="X2334" s="9">
        <f t="shared" si="1223"/>
        <v>1672672</v>
      </c>
      <c r="Y2334" s="8"/>
      <c r="Z2334" s="9">
        <f t="shared" si="1224"/>
        <v>0</v>
      </c>
      <c r="AA2334" s="8">
        <f t="shared" si="1225"/>
        <v>1672672</v>
      </c>
      <c r="AB2334" s="8">
        <f t="shared" si="1226"/>
        <v>0</v>
      </c>
    </row>
    <row r="2335" spans="1:28" x14ac:dyDescent="0.3">
      <c r="A2335" s="64"/>
      <c r="B2335" s="8"/>
      <c r="C2335" s="7" t="s">
        <v>535</v>
      </c>
      <c r="D2335" s="42">
        <v>1998</v>
      </c>
      <c r="E2335" s="9">
        <f>462947.75+1700000</f>
        <v>2162947.75</v>
      </c>
      <c r="F2335" s="9">
        <f>462947.75+1700000</f>
        <v>2162947.75</v>
      </c>
      <c r="G2335" s="8"/>
      <c r="H2335" s="9">
        <f t="shared" si="1219"/>
        <v>2162947.75</v>
      </c>
      <c r="I2335" s="8"/>
      <c r="J2335" s="9">
        <f t="shared" si="1220"/>
        <v>2162947.75</v>
      </c>
      <c r="K2335" s="8"/>
      <c r="L2335" s="8"/>
      <c r="M2335" s="9">
        <f t="shared" si="1227"/>
        <v>2162947.75</v>
      </c>
      <c r="N2335" s="8"/>
      <c r="O2335" s="9"/>
      <c r="P2335" s="9">
        <f t="shared" si="1228"/>
        <v>0</v>
      </c>
      <c r="Q2335" s="9">
        <f t="shared" si="1221"/>
        <v>2162947.75</v>
      </c>
      <c r="R2335" s="8"/>
      <c r="S2335" s="8"/>
      <c r="T2335" s="8"/>
      <c r="U2335" s="18">
        <f t="shared" si="1222"/>
        <v>0</v>
      </c>
      <c r="V2335" s="17"/>
      <c r="W2335" s="17"/>
      <c r="X2335" s="9">
        <f t="shared" si="1223"/>
        <v>2162947.75</v>
      </c>
      <c r="Y2335" s="8"/>
      <c r="Z2335" s="9">
        <f t="shared" si="1224"/>
        <v>0</v>
      </c>
      <c r="AA2335" s="8">
        <f t="shared" si="1225"/>
        <v>2162947.75</v>
      </c>
      <c r="AB2335" s="8">
        <f t="shared" si="1226"/>
        <v>0</v>
      </c>
    </row>
    <row r="2336" spans="1:28" x14ac:dyDescent="0.3">
      <c r="A2336" s="64"/>
      <c r="B2336" s="8"/>
      <c r="C2336" s="7" t="s">
        <v>542</v>
      </c>
      <c r="D2336" s="42">
        <v>1998</v>
      </c>
      <c r="E2336" s="9">
        <f>924840.4+827793.13+596190.64+473053.3+1366547+1515290.3+1317469.49+987423.64</f>
        <v>8008607.8999999994</v>
      </c>
      <c r="F2336" s="9">
        <v>8008607.9000000004</v>
      </c>
      <c r="G2336" s="8"/>
      <c r="H2336" s="9">
        <f t="shared" si="1219"/>
        <v>8008607.9000000004</v>
      </c>
      <c r="I2336" s="8"/>
      <c r="J2336" s="9">
        <f t="shared" si="1220"/>
        <v>8008607.9000000004</v>
      </c>
      <c r="K2336" s="8"/>
      <c r="L2336" s="8"/>
      <c r="M2336" s="9">
        <f t="shared" si="1227"/>
        <v>8008607.9000000004</v>
      </c>
      <c r="N2336" s="8"/>
      <c r="O2336" s="9"/>
      <c r="P2336" s="9">
        <f t="shared" si="1228"/>
        <v>0</v>
      </c>
      <c r="Q2336" s="9">
        <f t="shared" si="1221"/>
        <v>8008607.8999999994</v>
      </c>
      <c r="R2336" s="8"/>
      <c r="S2336" s="8"/>
      <c r="T2336" s="8"/>
      <c r="U2336" s="18">
        <f t="shared" si="1222"/>
        <v>0</v>
      </c>
      <c r="V2336" s="17"/>
      <c r="W2336" s="17"/>
      <c r="X2336" s="9">
        <f t="shared" si="1223"/>
        <v>8008607.9000000004</v>
      </c>
      <c r="Y2336" s="8"/>
      <c r="Z2336" s="9">
        <f t="shared" si="1224"/>
        <v>0</v>
      </c>
      <c r="AA2336" s="8">
        <f t="shared" si="1225"/>
        <v>8008607.9000000004</v>
      </c>
      <c r="AB2336" s="8">
        <f t="shared" si="1226"/>
        <v>0</v>
      </c>
    </row>
    <row r="2337" spans="1:28" x14ac:dyDescent="0.3">
      <c r="A2337" s="64"/>
      <c r="B2337" s="8"/>
      <c r="C2337" s="7" t="s">
        <v>535</v>
      </c>
      <c r="D2337" s="42">
        <v>1999</v>
      </c>
      <c r="E2337" s="9">
        <v>2280822.59</v>
      </c>
      <c r="F2337" s="9">
        <f>1228863.66+1051958.93</f>
        <v>2280822.59</v>
      </c>
      <c r="G2337" s="8"/>
      <c r="H2337" s="9">
        <f t="shared" si="1219"/>
        <v>2280822.59</v>
      </c>
      <c r="I2337" s="8"/>
      <c r="J2337" s="9">
        <f t="shared" si="1220"/>
        <v>2280822.59</v>
      </c>
      <c r="K2337" s="8"/>
      <c r="L2337" s="8"/>
      <c r="M2337" s="9">
        <f t="shared" si="1227"/>
        <v>2280822.59</v>
      </c>
      <c r="N2337" s="8"/>
      <c r="O2337" s="9"/>
      <c r="P2337" s="9">
        <f t="shared" si="1228"/>
        <v>0</v>
      </c>
      <c r="Q2337" s="9">
        <f t="shared" si="1221"/>
        <v>2280822.59</v>
      </c>
      <c r="R2337" s="8"/>
      <c r="S2337" s="8"/>
      <c r="T2337" s="8"/>
      <c r="U2337" s="18">
        <f t="shared" si="1222"/>
        <v>0</v>
      </c>
      <c r="V2337" s="17"/>
      <c r="W2337" s="17"/>
      <c r="X2337" s="9">
        <f t="shared" si="1223"/>
        <v>2280822.59</v>
      </c>
      <c r="Y2337" s="8"/>
      <c r="Z2337" s="9">
        <f t="shared" si="1224"/>
        <v>0</v>
      </c>
      <c r="AA2337" s="8">
        <f t="shared" si="1225"/>
        <v>2280822.59</v>
      </c>
      <c r="AB2337" s="8">
        <f t="shared" si="1226"/>
        <v>0</v>
      </c>
    </row>
    <row r="2338" spans="1:28" x14ac:dyDescent="0.3">
      <c r="A2338" s="64"/>
      <c r="B2338" s="8"/>
      <c r="C2338" s="7" t="s">
        <v>535</v>
      </c>
      <c r="D2338" s="42">
        <v>2000</v>
      </c>
      <c r="E2338" s="9">
        <f>329869+1201287.62+942542.19+1450662</f>
        <v>3924360.81</v>
      </c>
      <c r="F2338" s="9">
        <v>3924360.81</v>
      </c>
      <c r="G2338" s="8"/>
      <c r="H2338" s="9">
        <f t="shared" si="1219"/>
        <v>3924360.81</v>
      </c>
      <c r="I2338" s="8"/>
      <c r="J2338" s="9">
        <f t="shared" si="1220"/>
        <v>3924360.81</v>
      </c>
      <c r="K2338" s="8"/>
      <c r="L2338" s="8"/>
      <c r="M2338" s="9">
        <f t="shared" si="1227"/>
        <v>3924360.81</v>
      </c>
      <c r="N2338" s="8"/>
      <c r="O2338" s="9"/>
      <c r="P2338" s="9">
        <f t="shared" si="1228"/>
        <v>0</v>
      </c>
      <c r="Q2338" s="9">
        <f t="shared" si="1221"/>
        <v>3924360.81</v>
      </c>
      <c r="R2338" s="8"/>
      <c r="S2338" s="8"/>
      <c r="T2338" s="8"/>
      <c r="U2338" s="18">
        <f t="shared" si="1222"/>
        <v>0</v>
      </c>
      <c r="V2338" s="17"/>
      <c r="W2338" s="17"/>
      <c r="X2338" s="9">
        <f t="shared" si="1223"/>
        <v>3924360.81</v>
      </c>
      <c r="Y2338" s="8"/>
      <c r="Z2338" s="9">
        <f t="shared" si="1224"/>
        <v>0</v>
      </c>
      <c r="AA2338" s="8">
        <f t="shared" si="1225"/>
        <v>3924360.81</v>
      </c>
      <c r="AB2338" s="8">
        <f t="shared" si="1226"/>
        <v>0</v>
      </c>
    </row>
    <row r="2339" spans="1:28" x14ac:dyDescent="0.3">
      <c r="A2339" s="64"/>
      <c r="B2339" s="8"/>
      <c r="C2339" s="7" t="s">
        <v>535</v>
      </c>
      <c r="D2339" s="42">
        <v>2001</v>
      </c>
      <c r="E2339" s="9">
        <f>3299175+5621904.96</f>
        <v>8921079.9600000009</v>
      </c>
      <c r="F2339" s="9">
        <f>3299175+5621904.96</f>
        <v>8921079.9600000009</v>
      </c>
      <c r="G2339" s="8"/>
      <c r="H2339" s="9">
        <f t="shared" si="1219"/>
        <v>8921079.9600000009</v>
      </c>
      <c r="I2339" s="8"/>
      <c r="J2339" s="9">
        <f t="shared" si="1220"/>
        <v>8921079.9600000009</v>
      </c>
      <c r="K2339" s="8"/>
      <c r="L2339" s="8"/>
      <c r="M2339" s="9">
        <f t="shared" si="1227"/>
        <v>8921079.9600000009</v>
      </c>
      <c r="N2339" s="8"/>
      <c r="O2339" s="9"/>
      <c r="P2339" s="9">
        <f t="shared" si="1228"/>
        <v>0</v>
      </c>
      <c r="Q2339" s="9">
        <f t="shared" si="1221"/>
        <v>8921079.9600000009</v>
      </c>
      <c r="R2339" s="8"/>
      <c r="S2339" s="8"/>
      <c r="T2339" s="8"/>
      <c r="U2339" s="18">
        <f t="shared" si="1222"/>
        <v>0</v>
      </c>
      <c r="V2339" s="17"/>
      <c r="W2339" s="17"/>
      <c r="X2339" s="9">
        <f t="shared" si="1223"/>
        <v>8921079.9600000009</v>
      </c>
      <c r="Y2339" s="8"/>
      <c r="Z2339" s="9">
        <f t="shared" si="1224"/>
        <v>0</v>
      </c>
      <c r="AA2339" s="8">
        <f t="shared" si="1225"/>
        <v>8921079.9600000009</v>
      </c>
      <c r="AB2339" s="8">
        <f t="shared" si="1226"/>
        <v>0</v>
      </c>
    </row>
    <row r="2340" spans="1:28" x14ac:dyDescent="0.3">
      <c r="A2340" s="64"/>
      <c r="B2340" s="8"/>
      <c r="C2340" s="7" t="s">
        <v>535</v>
      </c>
      <c r="D2340" s="42">
        <v>2002</v>
      </c>
      <c r="E2340" s="9">
        <f>2927846.82+712908</f>
        <v>3640754.82</v>
      </c>
      <c r="F2340" s="9">
        <f>2927846.82+712908</f>
        <v>3640754.82</v>
      </c>
      <c r="G2340" s="9"/>
      <c r="H2340" s="9">
        <f t="shared" si="1219"/>
        <v>3640754.82</v>
      </c>
      <c r="I2340" s="9">
        <v>0</v>
      </c>
      <c r="J2340" s="9">
        <f t="shared" si="1220"/>
        <v>3640754.82</v>
      </c>
      <c r="K2340" s="8"/>
      <c r="L2340" s="8"/>
      <c r="M2340" s="9">
        <f t="shared" si="1227"/>
        <v>3640754.82</v>
      </c>
      <c r="N2340" s="8"/>
      <c r="O2340" s="9"/>
      <c r="P2340" s="9">
        <f t="shared" si="1228"/>
        <v>0</v>
      </c>
      <c r="Q2340" s="9">
        <f t="shared" si="1221"/>
        <v>3640754.82</v>
      </c>
      <c r="R2340" s="8"/>
      <c r="S2340" s="8"/>
      <c r="T2340" s="8"/>
      <c r="U2340" s="18">
        <f t="shared" si="1222"/>
        <v>0</v>
      </c>
      <c r="V2340" s="17"/>
      <c r="W2340" s="17"/>
      <c r="X2340" s="9">
        <f t="shared" si="1223"/>
        <v>3640754.82</v>
      </c>
      <c r="Y2340" s="8"/>
      <c r="Z2340" s="9">
        <f t="shared" si="1224"/>
        <v>0</v>
      </c>
      <c r="AA2340" s="8">
        <f t="shared" si="1225"/>
        <v>3640754.82</v>
      </c>
      <c r="AB2340" s="8">
        <f t="shared" si="1226"/>
        <v>0</v>
      </c>
    </row>
    <row r="2341" spans="1:28" x14ac:dyDescent="0.3">
      <c r="A2341" s="64"/>
      <c r="B2341" s="8"/>
      <c r="C2341" s="14" t="s">
        <v>621</v>
      </c>
      <c r="D2341" s="42">
        <v>2002</v>
      </c>
      <c r="E2341" s="11">
        <f>294685+103389</f>
        <v>398074</v>
      </c>
      <c r="F2341" s="11">
        <f>294685+103389</f>
        <v>398074</v>
      </c>
      <c r="G2341" s="8"/>
      <c r="H2341" s="9">
        <f t="shared" si="1219"/>
        <v>398074</v>
      </c>
      <c r="I2341" s="9">
        <v>0</v>
      </c>
      <c r="J2341" s="9">
        <f t="shared" si="1220"/>
        <v>398074</v>
      </c>
      <c r="K2341" s="8"/>
      <c r="L2341" s="8"/>
      <c r="M2341" s="9">
        <f t="shared" si="1227"/>
        <v>398074</v>
      </c>
      <c r="N2341" s="8"/>
      <c r="O2341" s="9"/>
      <c r="P2341" s="9">
        <f t="shared" si="1228"/>
        <v>0</v>
      </c>
      <c r="Q2341" s="9">
        <f t="shared" si="1221"/>
        <v>398074</v>
      </c>
      <c r="R2341" s="8"/>
      <c r="S2341" s="8"/>
      <c r="T2341" s="8"/>
      <c r="U2341" s="18">
        <f t="shared" si="1222"/>
        <v>0</v>
      </c>
      <c r="V2341" s="17"/>
      <c r="W2341" s="17"/>
      <c r="X2341" s="9">
        <f t="shared" si="1223"/>
        <v>398074</v>
      </c>
      <c r="Y2341" s="8"/>
      <c r="Z2341" s="9">
        <f t="shared" si="1224"/>
        <v>0</v>
      </c>
      <c r="AA2341" s="8">
        <f t="shared" si="1225"/>
        <v>398074</v>
      </c>
      <c r="AB2341" s="8">
        <f t="shared" si="1226"/>
        <v>0</v>
      </c>
    </row>
    <row r="2342" spans="1:28" x14ac:dyDescent="0.3">
      <c r="A2342" s="64"/>
      <c r="B2342" s="8"/>
      <c r="C2342" s="14" t="s">
        <v>898</v>
      </c>
      <c r="D2342" s="42"/>
      <c r="E2342" s="11">
        <f>622862.75+789000</f>
        <v>1411862.75</v>
      </c>
      <c r="F2342" s="8">
        <f>622862.75+789000</f>
        <v>1411862.75</v>
      </c>
      <c r="G2342" s="8"/>
      <c r="H2342" s="9">
        <f t="shared" si="1219"/>
        <v>1411862.75</v>
      </c>
      <c r="I2342" s="9"/>
      <c r="J2342" s="9"/>
      <c r="K2342" s="8"/>
      <c r="L2342" s="8"/>
      <c r="M2342" s="9">
        <f t="shared" si="1227"/>
        <v>1411862.75</v>
      </c>
      <c r="N2342" s="8"/>
      <c r="O2342" s="9"/>
      <c r="P2342" s="9">
        <f>+N2342+O2342</f>
        <v>0</v>
      </c>
      <c r="Q2342" s="9">
        <f>E2342-P2342</f>
        <v>1411862.75</v>
      </c>
      <c r="R2342" s="8"/>
      <c r="S2342" s="8"/>
      <c r="T2342" s="8"/>
      <c r="U2342" s="18">
        <f>+P2342+T2342</f>
        <v>0</v>
      </c>
      <c r="V2342" s="17"/>
      <c r="W2342" s="17"/>
      <c r="X2342" s="9">
        <f t="shared" si="1223"/>
        <v>1411862.75</v>
      </c>
      <c r="Y2342" s="8"/>
      <c r="Z2342" s="9">
        <f t="shared" si="1224"/>
        <v>0</v>
      </c>
      <c r="AA2342" s="8">
        <f t="shared" si="1225"/>
        <v>1411862.75</v>
      </c>
      <c r="AB2342" s="8">
        <f t="shared" si="1226"/>
        <v>0</v>
      </c>
    </row>
    <row r="2343" spans="1:28" x14ac:dyDescent="0.3">
      <c r="A2343" s="64"/>
      <c r="B2343" s="8"/>
      <c r="C2343" s="7" t="s">
        <v>842</v>
      </c>
      <c r="D2343" s="8"/>
      <c r="E2343" s="9">
        <v>1000000</v>
      </c>
      <c r="F2343" s="9">
        <f>505976+494024</f>
        <v>1000000</v>
      </c>
      <c r="G2343" s="8"/>
      <c r="H2343" s="9">
        <f t="shared" si="1219"/>
        <v>1000000</v>
      </c>
      <c r="I2343" s="8"/>
      <c r="J2343" s="9">
        <f t="shared" si="1220"/>
        <v>1000000</v>
      </c>
      <c r="K2343" s="8"/>
      <c r="L2343" s="8"/>
      <c r="M2343" s="9">
        <f t="shared" si="1227"/>
        <v>1000000</v>
      </c>
      <c r="N2343" s="8"/>
      <c r="O2343" s="9"/>
      <c r="P2343" s="9">
        <f t="shared" si="1228"/>
        <v>0</v>
      </c>
      <c r="Q2343" s="9">
        <f t="shared" si="1221"/>
        <v>1000000</v>
      </c>
      <c r="R2343" s="8"/>
      <c r="S2343" s="8"/>
      <c r="T2343" s="8"/>
      <c r="U2343" s="18">
        <f t="shared" si="1222"/>
        <v>0</v>
      </c>
      <c r="V2343" s="17"/>
      <c r="W2343" s="17"/>
      <c r="X2343" s="9">
        <f t="shared" si="1223"/>
        <v>1000000</v>
      </c>
      <c r="Y2343" s="8"/>
      <c r="Z2343" s="9">
        <f t="shared" si="1224"/>
        <v>0</v>
      </c>
      <c r="AA2343" s="8">
        <f t="shared" si="1225"/>
        <v>1000000</v>
      </c>
      <c r="AB2343" s="8">
        <f t="shared" si="1226"/>
        <v>0</v>
      </c>
    </row>
    <row r="2344" spans="1:28" x14ac:dyDescent="0.3">
      <c r="A2344" s="64"/>
      <c r="B2344" s="8"/>
      <c r="C2344" s="7" t="s">
        <v>550</v>
      </c>
      <c r="D2344" s="8"/>
      <c r="E2344" s="9">
        <v>264677</v>
      </c>
      <c r="F2344" s="9">
        <v>264677</v>
      </c>
      <c r="G2344" s="8"/>
      <c r="H2344" s="9">
        <f t="shared" si="1219"/>
        <v>264677</v>
      </c>
      <c r="I2344" s="8"/>
      <c r="J2344" s="9">
        <f t="shared" si="1220"/>
        <v>264677</v>
      </c>
      <c r="K2344" s="8"/>
      <c r="L2344" s="8"/>
      <c r="M2344" s="9">
        <f t="shared" si="1227"/>
        <v>264677</v>
      </c>
      <c r="N2344" s="8"/>
      <c r="O2344" s="9"/>
      <c r="P2344" s="9">
        <f t="shared" si="1228"/>
        <v>0</v>
      </c>
      <c r="Q2344" s="9">
        <f t="shared" si="1221"/>
        <v>264677</v>
      </c>
      <c r="R2344" s="8"/>
      <c r="S2344" s="8"/>
      <c r="T2344" s="8"/>
      <c r="U2344" s="18">
        <f t="shared" si="1222"/>
        <v>0</v>
      </c>
      <c r="V2344" s="17"/>
      <c r="W2344" s="17"/>
      <c r="X2344" s="9">
        <f t="shared" si="1223"/>
        <v>264677</v>
      </c>
      <c r="Y2344" s="8"/>
      <c r="Z2344" s="9">
        <f t="shared" si="1224"/>
        <v>0</v>
      </c>
      <c r="AA2344" s="8">
        <f t="shared" si="1225"/>
        <v>264677</v>
      </c>
      <c r="AB2344" s="8">
        <f t="shared" si="1226"/>
        <v>0</v>
      </c>
    </row>
    <row r="2345" spans="1:28" x14ac:dyDescent="0.3">
      <c r="A2345" s="64"/>
      <c r="B2345" s="8"/>
      <c r="C2345" s="7" t="s">
        <v>606</v>
      </c>
      <c r="D2345" s="8"/>
      <c r="E2345" s="9">
        <v>2500000</v>
      </c>
      <c r="F2345" s="9">
        <v>2500000</v>
      </c>
      <c r="G2345" s="8"/>
      <c r="H2345" s="9">
        <f t="shared" si="1219"/>
        <v>2500000</v>
      </c>
      <c r="I2345" s="8"/>
      <c r="J2345" s="9">
        <f t="shared" si="1220"/>
        <v>2500000</v>
      </c>
      <c r="K2345" s="8"/>
      <c r="L2345" s="8"/>
      <c r="M2345" s="9">
        <f t="shared" si="1227"/>
        <v>2500000</v>
      </c>
      <c r="N2345" s="8"/>
      <c r="O2345" s="9"/>
      <c r="P2345" s="9">
        <f t="shared" si="1228"/>
        <v>0</v>
      </c>
      <c r="Q2345" s="9">
        <f t="shared" si="1221"/>
        <v>2500000</v>
      </c>
      <c r="R2345" s="8"/>
      <c r="S2345" s="8"/>
      <c r="T2345" s="8"/>
      <c r="U2345" s="18">
        <f t="shared" si="1222"/>
        <v>0</v>
      </c>
      <c r="V2345" s="17"/>
      <c r="W2345" s="17"/>
      <c r="X2345" s="9">
        <f t="shared" si="1223"/>
        <v>2500000</v>
      </c>
      <c r="Y2345" s="8"/>
      <c r="Z2345" s="9">
        <f t="shared" si="1224"/>
        <v>0</v>
      </c>
      <c r="AA2345" s="8">
        <f t="shared" si="1225"/>
        <v>2500000</v>
      </c>
      <c r="AB2345" s="8">
        <f t="shared" si="1226"/>
        <v>0</v>
      </c>
    </row>
    <row r="2346" spans="1:28" x14ac:dyDescent="0.3">
      <c r="A2346" s="64"/>
      <c r="B2346" s="8"/>
      <c r="C2346" s="8"/>
      <c r="D2346" s="8"/>
      <c r="E2346" s="17" t="s">
        <v>29</v>
      </c>
      <c r="F2346" s="17" t="s">
        <v>29</v>
      </c>
      <c r="G2346" s="17" t="s">
        <v>29</v>
      </c>
      <c r="H2346" s="17" t="s">
        <v>29</v>
      </c>
      <c r="I2346" s="17" t="s">
        <v>29</v>
      </c>
      <c r="J2346" s="17" t="s">
        <v>29</v>
      </c>
      <c r="K2346" s="17" t="s">
        <v>29</v>
      </c>
      <c r="L2346" s="17" t="s">
        <v>29</v>
      </c>
      <c r="M2346" s="17" t="s">
        <v>29</v>
      </c>
      <c r="N2346" s="17" t="s">
        <v>29</v>
      </c>
      <c r="O2346" s="17" t="s">
        <v>29</v>
      </c>
      <c r="P2346" s="17" t="s">
        <v>29</v>
      </c>
      <c r="Q2346" s="17" t="s">
        <v>29</v>
      </c>
      <c r="R2346" s="17" t="s">
        <v>29</v>
      </c>
      <c r="S2346" s="17" t="s">
        <v>29</v>
      </c>
      <c r="T2346" s="17" t="s">
        <v>29</v>
      </c>
      <c r="U2346" s="17" t="s">
        <v>29</v>
      </c>
      <c r="V2346" s="17" t="s">
        <v>29</v>
      </c>
      <c r="W2346" s="17" t="s">
        <v>29</v>
      </c>
      <c r="X2346" s="17" t="s">
        <v>29</v>
      </c>
      <c r="Y2346" s="17" t="s">
        <v>29</v>
      </c>
      <c r="Z2346" s="17" t="s">
        <v>29</v>
      </c>
      <c r="AA2346" s="17" t="s">
        <v>29</v>
      </c>
      <c r="AB2346" s="17" t="s">
        <v>29</v>
      </c>
    </row>
    <row r="2347" spans="1:28" x14ac:dyDescent="0.3">
      <c r="A2347" s="64"/>
      <c r="B2347" s="8"/>
      <c r="C2347" s="8"/>
      <c r="D2347" s="8"/>
      <c r="E2347" s="9">
        <f t="shared" ref="E2347:Q2347" si="1229">SUM(E2327:E2346)</f>
        <v>40682150.379999995</v>
      </c>
      <c r="F2347" s="9">
        <f t="shared" si="1229"/>
        <v>40103194.579999998</v>
      </c>
      <c r="G2347" s="9">
        <f t="shared" si="1229"/>
        <v>0</v>
      </c>
      <c r="H2347" s="9">
        <f t="shared" si="1229"/>
        <v>40103194.579999998</v>
      </c>
      <c r="I2347" s="9">
        <f t="shared" si="1229"/>
        <v>0</v>
      </c>
      <c r="J2347" s="9">
        <f t="shared" si="1229"/>
        <v>38691331.829999998</v>
      </c>
      <c r="K2347" s="9">
        <f t="shared" si="1229"/>
        <v>578955.80000000005</v>
      </c>
      <c r="L2347" s="9">
        <f t="shared" si="1229"/>
        <v>0</v>
      </c>
      <c r="M2347" s="9">
        <f t="shared" si="1229"/>
        <v>40103194.579999998</v>
      </c>
      <c r="N2347" s="9">
        <f t="shared" si="1229"/>
        <v>578955.80000000005</v>
      </c>
      <c r="O2347" s="9">
        <f t="shared" si="1229"/>
        <v>0</v>
      </c>
      <c r="P2347" s="9">
        <f t="shared" si="1229"/>
        <v>578955.80000000005</v>
      </c>
      <c r="Q2347" s="9">
        <f t="shared" si="1229"/>
        <v>40103194.579999998</v>
      </c>
      <c r="R2347" s="8"/>
      <c r="S2347" s="8"/>
      <c r="T2347" s="9">
        <f t="shared" ref="T2347:Z2347" si="1230">SUM(T2327:T2346)</f>
        <v>0</v>
      </c>
      <c r="U2347" s="9">
        <f t="shared" si="1230"/>
        <v>578955.80000000005</v>
      </c>
      <c r="V2347" s="9">
        <f t="shared" si="1230"/>
        <v>0</v>
      </c>
      <c r="W2347" s="9">
        <f t="shared" si="1230"/>
        <v>0</v>
      </c>
      <c r="X2347" s="9">
        <f t="shared" si="1230"/>
        <v>40682150.379999995</v>
      </c>
      <c r="Y2347" s="9">
        <f t="shared" si="1230"/>
        <v>0</v>
      </c>
      <c r="Z2347" s="9">
        <f t="shared" si="1230"/>
        <v>4.638422979041934E-11</v>
      </c>
      <c r="AA2347" s="9">
        <f>SUM(AA2327:AA2346)</f>
        <v>40682150.379999995</v>
      </c>
      <c r="AB2347" s="9">
        <f>SUM(AB2327:AB2346)</f>
        <v>4.638422979041934E-11</v>
      </c>
    </row>
    <row r="2348" spans="1:28" x14ac:dyDescent="0.3">
      <c r="A2348" s="64"/>
      <c r="B2348" s="8"/>
      <c r="C2348" s="8"/>
      <c r="D2348" s="8"/>
      <c r="E2348" s="17" t="s">
        <v>29</v>
      </c>
      <c r="F2348" s="17" t="s">
        <v>29</v>
      </c>
      <c r="G2348" s="17" t="s">
        <v>29</v>
      </c>
      <c r="H2348" s="17" t="s">
        <v>29</v>
      </c>
      <c r="I2348" s="17" t="s">
        <v>29</v>
      </c>
      <c r="J2348" s="17" t="s">
        <v>29</v>
      </c>
      <c r="K2348" s="17" t="s">
        <v>29</v>
      </c>
      <c r="L2348" s="17" t="s">
        <v>29</v>
      </c>
      <c r="M2348" s="17" t="s">
        <v>29</v>
      </c>
      <c r="N2348" s="17" t="s">
        <v>29</v>
      </c>
      <c r="O2348" s="17" t="s">
        <v>29</v>
      </c>
      <c r="P2348" s="17" t="s">
        <v>29</v>
      </c>
      <c r="Q2348" s="17" t="s">
        <v>29</v>
      </c>
      <c r="R2348" s="17" t="s">
        <v>29</v>
      </c>
      <c r="S2348" s="17" t="s">
        <v>29</v>
      </c>
      <c r="T2348" s="17" t="s">
        <v>29</v>
      </c>
      <c r="U2348" s="17" t="s">
        <v>29</v>
      </c>
      <c r="V2348" s="17" t="s">
        <v>29</v>
      </c>
      <c r="W2348" s="17" t="s">
        <v>29</v>
      </c>
      <c r="X2348" s="17" t="s">
        <v>29</v>
      </c>
      <c r="Y2348" s="17" t="s">
        <v>29</v>
      </c>
      <c r="Z2348" s="17" t="s">
        <v>29</v>
      </c>
      <c r="AA2348" s="17" t="s">
        <v>29</v>
      </c>
      <c r="AB2348" s="17" t="s">
        <v>29</v>
      </c>
    </row>
    <row r="2349" spans="1:28" x14ac:dyDescent="0.3">
      <c r="A2349" s="63" t="s">
        <v>1037</v>
      </c>
      <c r="B2349" s="7" t="s">
        <v>843</v>
      </c>
      <c r="C2349" s="8"/>
      <c r="D2349" s="8"/>
      <c r="E2349" s="8"/>
      <c r="F2349" s="8"/>
      <c r="G2349" s="8"/>
      <c r="H2349" s="8"/>
      <c r="I2349" s="8"/>
      <c r="J2349" s="8"/>
      <c r="K2349" s="8"/>
      <c r="L2349" s="8"/>
      <c r="M2349" s="8"/>
      <c r="N2349" s="8"/>
      <c r="O2349" s="8"/>
      <c r="P2349" s="8"/>
      <c r="Q2349" s="8"/>
      <c r="R2349" s="8"/>
      <c r="S2349" s="8"/>
      <c r="T2349" s="8"/>
      <c r="U2349" s="8"/>
      <c r="V2349" s="8"/>
      <c r="W2349" s="8"/>
      <c r="X2349" s="8"/>
      <c r="Y2349" s="8"/>
      <c r="Z2349" s="8"/>
    </row>
    <row r="2350" spans="1:28" x14ac:dyDescent="0.3">
      <c r="A2350" s="64"/>
      <c r="B2350" s="8"/>
      <c r="C2350" s="7" t="s">
        <v>535</v>
      </c>
      <c r="D2350" s="15" t="s">
        <v>68</v>
      </c>
      <c r="E2350" s="9">
        <f>1276800-160486.13</f>
        <v>1116313.8700000001</v>
      </c>
      <c r="F2350" s="9">
        <v>990603.99</v>
      </c>
      <c r="G2350" s="8"/>
      <c r="H2350" s="9">
        <f t="shared" ref="H2350:H2370" si="1231">F2350+G2350</f>
        <v>990603.99</v>
      </c>
      <c r="I2350" s="8"/>
      <c r="J2350" s="9">
        <f t="shared" ref="J2350:J2370" si="1232">H2350+I2350</f>
        <v>990603.99</v>
      </c>
      <c r="K2350" s="9">
        <f>55846.48+69863.4</f>
        <v>125709.88</v>
      </c>
      <c r="L2350" s="8"/>
      <c r="M2350" s="9">
        <f>+H2350+L2350</f>
        <v>990603.99</v>
      </c>
      <c r="N2350" s="8">
        <v>125709.88</v>
      </c>
      <c r="O2350" s="9"/>
      <c r="P2350" s="9">
        <f>+N2350+O2350</f>
        <v>125709.88</v>
      </c>
      <c r="Q2350" s="9">
        <f t="shared" ref="Q2350:Q2370" si="1233">E2350-P2350</f>
        <v>990603.99000000011</v>
      </c>
      <c r="R2350" s="8"/>
      <c r="S2350" s="8"/>
      <c r="T2350" s="8"/>
      <c r="U2350" s="18">
        <f t="shared" ref="U2350:U2370" si="1234">+P2350+T2350</f>
        <v>125709.88</v>
      </c>
      <c r="V2350" s="17"/>
      <c r="W2350" s="17"/>
      <c r="X2350" s="9">
        <f t="shared" ref="X2350:X2370" si="1235">+H2350+P2350</f>
        <v>1116313.8700000001</v>
      </c>
      <c r="Y2350" s="8"/>
      <c r="Z2350" s="9">
        <f t="shared" ref="Z2350:Z2370" si="1236">+E2350-X2350</f>
        <v>0</v>
      </c>
      <c r="AA2350" s="8">
        <f t="shared" ref="AA2350:AA2370" si="1237">+M2350+U2350</f>
        <v>1116313.8700000001</v>
      </c>
      <c r="AB2350" s="8">
        <f t="shared" ref="AB2350:AB2370" si="1238">+E2350-AA2350</f>
        <v>0</v>
      </c>
    </row>
    <row r="2351" spans="1:28" x14ac:dyDescent="0.3">
      <c r="A2351" s="64"/>
      <c r="B2351" s="8"/>
      <c r="C2351" s="7" t="s">
        <v>535</v>
      </c>
      <c r="D2351" s="15" t="s">
        <v>54</v>
      </c>
      <c r="E2351" s="9">
        <f>1760000-88000-87147.73</f>
        <v>1584852.27</v>
      </c>
      <c r="F2351" s="9">
        <f>1539672.27+45180</f>
        <v>1584852.27</v>
      </c>
      <c r="G2351" s="8"/>
      <c r="H2351" s="9">
        <f t="shared" si="1231"/>
        <v>1584852.27</v>
      </c>
      <c r="I2351" s="8"/>
      <c r="J2351" s="9">
        <f t="shared" si="1232"/>
        <v>1584852.27</v>
      </c>
      <c r="K2351" s="8"/>
      <c r="L2351" s="8"/>
      <c r="M2351" s="9">
        <f t="shared" ref="M2351:M2370" si="1239">+H2351+L2351</f>
        <v>1584852.27</v>
      </c>
      <c r="N2351" s="8"/>
      <c r="O2351" s="9"/>
      <c r="P2351" s="9">
        <f t="shared" ref="P2351:P2370" si="1240">+N2351+O2351</f>
        <v>0</v>
      </c>
      <c r="Q2351" s="9">
        <f t="shared" si="1233"/>
        <v>1584852.27</v>
      </c>
      <c r="R2351" s="8"/>
      <c r="S2351" s="8"/>
      <c r="T2351" s="8"/>
      <c r="U2351" s="18">
        <f t="shared" si="1234"/>
        <v>0</v>
      </c>
      <c r="V2351" s="17"/>
      <c r="W2351" s="17"/>
      <c r="X2351" s="9">
        <f t="shared" si="1235"/>
        <v>1584852.27</v>
      </c>
      <c r="Y2351" s="8"/>
      <c r="Z2351" s="9">
        <f t="shared" si="1236"/>
        <v>0</v>
      </c>
      <c r="AA2351" s="8">
        <f t="shared" si="1237"/>
        <v>1584852.27</v>
      </c>
      <c r="AB2351" s="8">
        <f t="shared" si="1238"/>
        <v>0</v>
      </c>
    </row>
    <row r="2352" spans="1:28" x14ac:dyDescent="0.3">
      <c r="A2352" s="64"/>
      <c r="B2352" s="8"/>
      <c r="C2352" s="7" t="s">
        <v>545</v>
      </c>
      <c r="D2352" s="15" t="s">
        <v>54</v>
      </c>
      <c r="E2352" s="9">
        <v>1767770</v>
      </c>
      <c r="F2352" s="8"/>
      <c r="G2352" s="8"/>
      <c r="H2352" s="9">
        <f t="shared" si="1231"/>
        <v>0</v>
      </c>
      <c r="I2352" s="8"/>
      <c r="J2352" s="9">
        <f t="shared" si="1232"/>
        <v>0</v>
      </c>
      <c r="K2352" s="9">
        <v>1767770</v>
      </c>
      <c r="L2352" s="8"/>
      <c r="M2352" s="9">
        <f t="shared" si="1239"/>
        <v>0</v>
      </c>
      <c r="N2352" s="8">
        <v>1767770</v>
      </c>
      <c r="O2352" s="9"/>
      <c r="P2352" s="9">
        <f t="shared" si="1240"/>
        <v>1767770</v>
      </c>
      <c r="Q2352" s="9">
        <f t="shared" si="1233"/>
        <v>0</v>
      </c>
      <c r="R2352" s="8"/>
      <c r="S2352" s="8"/>
      <c r="T2352" s="8"/>
      <c r="U2352" s="18">
        <f t="shared" si="1234"/>
        <v>1767770</v>
      </c>
      <c r="V2352" s="17"/>
      <c r="W2352" s="17"/>
      <c r="X2352" s="9">
        <f t="shared" si="1235"/>
        <v>1767770</v>
      </c>
      <c r="Y2352" s="8"/>
      <c r="Z2352" s="9">
        <f t="shared" si="1236"/>
        <v>0</v>
      </c>
      <c r="AA2352" s="8">
        <f t="shared" si="1237"/>
        <v>1767770</v>
      </c>
      <c r="AB2352" s="8">
        <f t="shared" si="1238"/>
        <v>0</v>
      </c>
    </row>
    <row r="2353" spans="1:28" x14ac:dyDescent="0.3">
      <c r="A2353" s="64"/>
      <c r="B2353" s="8"/>
      <c r="C2353" s="7" t="s">
        <v>655</v>
      </c>
      <c r="D2353" s="15" t="s">
        <v>54</v>
      </c>
      <c r="E2353" s="9">
        <v>955345.62</v>
      </c>
      <c r="F2353" s="8"/>
      <c r="G2353" s="8"/>
      <c r="H2353" s="9">
        <f t="shared" si="1231"/>
        <v>0</v>
      </c>
      <c r="I2353" s="8"/>
      <c r="J2353" s="9">
        <f t="shared" si="1232"/>
        <v>0</v>
      </c>
      <c r="K2353" s="9">
        <v>955345.62</v>
      </c>
      <c r="L2353" s="8"/>
      <c r="M2353" s="9">
        <f t="shared" si="1239"/>
        <v>0</v>
      </c>
      <c r="N2353" s="8">
        <v>955345.62</v>
      </c>
      <c r="O2353" s="9"/>
      <c r="P2353" s="9">
        <f t="shared" si="1240"/>
        <v>955345.62</v>
      </c>
      <c r="Q2353" s="9">
        <f t="shared" si="1233"/>
        <v>0</v>
      </c>
      <c r="R2353" s="8"/>
      <c r="S2353" s="8"/>
      <c r="T2353" s="8"/>
      <c r="U2353" s="18">
        <f t="shared" si="1234"/>
        <v>955345.62</v>
      </c>
      <c r="V2353" s="17"/>
      <c r="W2353" s="17"/>
      <c r="X2353" s="9">
        <f t="shared" si="1235"/>
        <v>955345.62</v>
      </c>
      <c r="Y2353" s="8"/>
      <c r="Z2353" s="9">
        <f t="shared" si="1236"/>
        <v>0</v>
      </c>
      <c r="AA2353" s="8">
        <f t="shared" si="1237"/>
        <v>955345.62</v>
      </c>
      <c r="AB2353" s="8">
        <f t="shared" si="1238"/>
        <v>0</v>
      </c>
    </row>
    <row r="2354" spans="1:28" x14ac:dyDescent="0.3">
      <c r="A2354" s="64"/>
      <c r="B2354" s="8"/>
      <c r="C2354" s="7" t="s">
        <v>535</v>
      </c>
      <c r="D2354" s="15" t="s">
        <v>85</v>
      </c>
      <c r="E2354" s="9">
        <f>3097000-309700</f>
        <v>2787300</v>
      </c>
      <c r="F2354" s="9">
        <f>2167900+619400</f>
        <v>2787300</v>
      </c>
      <c r="G2354" s="8"/>
      <c r="H2354" s="9">
        <f t="shared" si="1231"/>
        <v>2787300</v>
      </c>
      <c r="I2354" s="8"/>
      <c r="J2354" s="9">
        <f t="shared" si="1232"/>
        <v>2787300</v>
      </c>
      <c r="K2354" s="8"/>
      <c r="L2354" s="8"/>
      <c r="M2354" s="9">
        <f t="shared" si="1239"/>
        <v>2787300</v>
      </c>
      <c r="N2354" s="8"/>
      <c r="O2354" s="9"/>
      <c r="P2354" s="9">
        <f t="shared" si="1240"/>
        <v>0</v>
      </c>
      <c r="Q2354" s="9">
        <f t="shared" si="1233"/>
        <v>2787300</v>
      </c>
      <c r="R2354" s="8"/>
      <c r="S2354" s="8"/>
      <c r="T2354" s="8"/>
      <c r="U2354" s="18">
        <f t="shared" si="1234"/>
        <v>0</v>
      </c>
      <c r="V2354" s="17"/>
      <c r="W2354" s="17"/>
      <c r="X2354" s="9">
        <f t="shared" si="1235"/>
        <v>2787300</v>
      </c>
      <c r="Y2354" s="8"/>
      <c r="Z2354" s="9">
        <f t="shared" si="1236"/>
        <v>0</v>
      </c>
      <c r="AA2354" s="8">
        <f t="shared" si="1237"/>
        <v>2787300</v>
      </c>
      <c r="AB2354" s="8">
        <f t="shared" si="1238"/>
        <v>0</v>
      </c>
    </row>
    <row r="2355" spans="1:28" x14ac:dyDescent="0.3">
      <c r="A2355" s="64"/>
      <c r="B2355" s="8"/>
      <c r="C2355" s="7" t="s">
        <v>667</v>
      </c>
      <c r="D2355" s="15" t="s">
        <v>85</v>
      </c>
      <c r="E2355" s="9">
        <v>80000</v>
      </c>
      <c r="F2355" s="8"/>
      <c r="G2355" s="8"/>
      <c r="H2355" s="9">
        <f t="shared" si="1231"/>
        <v>0</v>
      </c>
      <c r="I2355" s="8"/>
      <c r="J2355" s="9">
        <f t="shared" si="1232"/>
        <v>0</v>
      </c>
      <c r="K2355" s="8"/>
      <c r="L2355" s="8"/>
      <c r="M2355" s="9">
        <f t="shared" si="1239"/>
        <v>0</v>
      </c>
      <c r="N2355" s="8"/>
      <c r="O2355" s="9"/>
      <c r="P2355" s="9">
        <f t="shared" si="1240"/>
        <v>0</v>
      </c>
      <c r="Q2355" s="9">
        <f t="shared" si="1233"/>
        <v>80000</v>
      </c>
      <c r="R2355" s="8"/>
      <c r="S2355" s="8"/>
      <c r="T2355" s="8"/>
      <c r="U2355" s="18">
        <f t="shared" si="1234"/>
        <v>0</v>
      </c>
      <c r="V2355" s="17"/>
      <c r="W2355" s="17"/>
      <c r="X2355" s="9">
        <f t="shared" si="1235"/>
        <v>0</v>
      </c>
      <c r="Y2355" s="8"/>
      <c r="Z2355" s="9">
        <f t="shared" si="1236"/>
        <v>80000</v>
      </c>
      <c r="AA2355" s="8">
        <f t="shared" si="1237"/>
        <v>0</v>
      </c>
      <c r="AB2355" s="8">
        <f t="shared" si="1238"/>
        <v>80000</v>
      </c>
    </row>
    <row r="2356" spans="1:28" x14ac:dyDescent="0.3">
      <c r="A2356" s="64"/>
      <c r="B2356" s="8"/>
      <c r="C2356" s="7" t="s">
        <v>535</v>
      </c>
      <c r="D2356" s="15" t="s">
        <v>128</v>
      </c>
      <c r="E2356" s="9">
        <v>1800000</v>
      </c>
      <c r="F2356" s="9">
        <v>1800000</v>
      </c>
      <c r="G2356" s="8"/>
      <c r="H2356" s="9">
        <f t="shared" si="1231"/>
        <v>1800000</v>
      </c>
      <c r="I2356" s="8"/>
      <c r="J2356" s="9">
        <f t="shared" si="1232"/>
        <v>1800000</v>
      </c>
      <c r="K2356" s="8"/>
      <c r="L2356" s="8"/>
      <c r="M2356" s="9">
        <f t="shared" si="1239"/>
        <v>1800000</v>
      </c>
      <c r="N2356" s="8"/>
      <c r="O2356" s="9"/>
      <c r="P2356" s="9">
        <f t="shared" si="1240"/>
        <v>0</v>
      </c>
      <c r="Q2356" s="9">
        <f t="shared" si="1233"/>
        <v>1800000</v>
      </c>
      <c r="R2356" s="8"/>
      <c r="S2356" s="8"/>
      <c r="T2356" s="8"/>
      <c r="U2356" s="18">
        <f t="shared" si="1234"/>
        <v>0</v>
      </c>
      <c r="V2356" s="17"/>
      <c r="W2356" s="17"/>
      <c r="X2356" s="9">
        <f t="shared" si="1235"/>
        <v>1800000</v>
      </c>
      <c r="Y2356" s="8"/>
      <c r="Z2356" s="9">
        <f t="shared" si="1236"/>
        <v>0</v>
      </c>
      <c r="AA2356" s="8">
        <f t="shared" si="1237"/>
        <v>1800000</v>
      </c>
      <c r="AB2356" s="8">
        <f t="shared" si="1238"/>
        <v>0</v>
      </c>
    </row>
    <row r="2357" spans="1:28" x14ac:dyDescent="0.3">
      <c r="A2357" s="64"/>
      <c r="B2357" s="8"/>
      <c r="C2357" s="7" t="s">
        <v>535</v>
      </c>
      <c r="D2357" s="15" t="s">
        <v>108</v>
      </c>
      <c r="E2357" s="9">
        <v>3300000</v>
      </c>
      <c r="F2357" s="9">
        <v>3300000</v>
      </c>
      <c r="G2357" s="8"/>
      <c r="H2357" s="9">
        <f t="shared" si="1231"/>
        <v>3300000</v>
      </c>
      <c r="I2357" s="8"/>
      <c r="J2357" s="9">
        <f t="shared" si="1232"/>
        <v>3300000</v>
      </c>
      <c r="K2357" s="8"/>
      <c r="L2357" s="8"/>
      <c r="M2357" s="9">
        <f t="shared" si="1239"/>
        <v>3300000</v>
      </c>
      <c r="N2357" s="8"/>
      <c r="O2357" s="9"/>
      <c r="P2357" s="9">
        <f t="shared" si="1240"/>
        <v>0</v>
      </c>
      <c r="Q2357" s="9">
        <f t="shared" si="1233"/>
        <v>3300000</v>
      </c>
      <c r="R2357" s="8"/>
      <c r="S2357" s="8"/>
      <c r="T2357" s="8"/>
      <c r="U2357" s="18">
        <f t="shared" si="1234"/>
        <v>0</v>
      </c>
      <c r="V2357" s="17"/>
      <c r="W2357" s="17"/>
      <c r="X2357" s="9">
        <f t="shared" si="1235"/>
        <v>3300000</v>
      </c>
      <c r="Y2357" s="8"/>
      <c r="Z2357" s="9">
        <f t="shared" si="1236"/>
        <v>0</v>
      </c>
      <c r="AA2357" s="8">
        <f t="shared" si="1237"/>
        <v>3300000</v>
      </c>
      <c r="AB2357" s="8">
        <f t="shared" si="1238"/>
        <v>0</v>
      </c>
    </row>
    <row r="2358" spans="1:28" x14ac:dyDescent="0.3">
      <c r="A2358" s="64"/>
      <c r="B2358" s="8"/>
      <c r="C2358" s="7" t="s">
        <v>535</v>
      </c>
      <c r="D2358" s="15" t="s">
        <v>58</v>
      </c>
      <c r="E2358" s="9">
        <f>2751245+2008778</f>
        <v>4760023</v>
      </c>
      <c r="F2358" s="9">
        <v>4760023</v>
      </c>
      <c r="G2358" s="8"/>
      <c r="H2358" s="9">
        <f t="shared" si="1231"/>
        <v>4760023</v>
      </c>
      <c r="I2358" s="8"/>
      <c r="J2358" s="9">
        <f t="shared" si="1232"/>
        <v>4760023</v>
      </c>
      <c r="K2358" s="8"/>
      <c r="L2358" s="8"/>
      <c r="M2358" s="9">
        <f t="shared" si="1239"/>
        <v>4760023</v>
      </c>
      <c r="N2358" s="8"/>
      <c r="O2358" s="9"/>
      <c r="P2358" s="9">
        <f t="shared" si="1240"/>
        <v>0</v>
      </c>
      <c r="Q2358" s="9">
        <f t="shared" si="1233"/>
        <v>4760023</v>
      </c>
      <c r="R2358" s="8"/>
      <c r="S2358" s="8"/>
      <c r="T2358" s="8"/>
      <c r="U2358" s="18">
        <f t="shared" si="1234"/>
        <v>0</v>
      </c>
      <c r="V2358" s="17"/>
      <c r="W2358" s="17"/>
      <c r="X2358" s="9">
        <f t="shared" si="1235"/>
        <v>4760023</v>
      </c>
      <c r="Y2358" s="8"/>
      <c r="Z2358" s="9">
        <f t="shared" si="1236"/>
        <v>0</v>
      </c>
      <c r="AA2358" s="8">
        <f t="shared" si="1237"/>
        <v>4760023</v>
      </c>
      <c r="AB2358" s="8">
        <f t="shared" si="1238"/>
        <v>0</v>
      </c>
    </row>
    <row r="2359" spans="1:28" x14ac:dyDescent="0.3">
      <c r="A2359" s="64"/>
      <c r="B2359" s="8"/>
      <c r="C2359" s="7" t="s">
        <v>535</v>
      </c>
      <c r="D2359" s="15" t="s">
        <v>60</v>
      </c>
      <c r="E2359" s="9">
        <f>4842146.07+4566930</f>
        <v>9409076.0700000003</v>
      </c>
      <c r="F2359" s="9">
        <f>4842146.07+4566930</f>
        <v>9409076.0700000003</v>
      </c>
      <c r="G2359" s="8"/>
      <c r="H2359" s="9">
        <f t="shared" si="1231"/>
        <v>9409076.0700000003</v>
      </c>
      <c r="I2359" s="8"/>
      <c r="J2359" s="9">
        <f t="shared" si="1232"/>
        <v>9409076.0700000003</v>
      </c>
      <c r="K2359" s="8"/>
      <c r="L2359" s="8"/>
      <c r="M2359" s="9">
        <f t="shared" si="1239"/>
        <v>9409076.0700000003</v>
      </c>
      <c r="N2359" s="8"/>
      <c r="O2359" s="9"/>
      <c r="P2359" s="9">
        <f t="shared" si="1240"/>
        <v>0</v>
      </c>
      <c r="Q2359" s="9">
        <f t="shared" si="1233"/>
        <v>9409076.0700000003</v>
      </c>
      <c r="R2359" s="8"/>
      <c r="S2359" s="8"/>
      <c r="T2359" s="8"/>
      <c r="U2359" s="18">
        <f t="shared" si="1234"/>
        <v>0</v>
      </c>
      <c r="V2359" s="17"/>
      <c r="W2359" s="17"/>
      <c r="X2359" s="9">
        <f t="shared" si="1235"/>
        <v>9409076.0700000003</v>
      </c>
      <c r="Y2359" s="8"/>
      <c r="Z2359" s="9">
        <f t="shared" si="1236"/>
        <v>0</v>
      </c>
      <c r="AA2359" s="8">
        <f t="shared" si="1237"/>
        <v>9409076.0700000003</v>
      </c>
      <c r="AB2359" s="8">
        <f t="shared" si="1238"/>
        <v>0</v>
      </c>
    </row>
    <row r="2360" spans="1:28" x14ac:dyDescent="0.3">
      <c r="A2360" s="64"/>
      <c r="B2360" s="8"/>
      <c r="C2360" s="7" t="s">
        <v>535</v>
      </c>
      <c r="D2360" s="15" t="s">
        <v>73</v>
      </c>
      <c r="E2360" s="9">
        <f>5438000+1458000</f>
        <v>6896000</v>
      </c>
      <c r="F2360" s="9">
        <f>5438000+1458000</f>
        <v>6896000</v>
      </c>
      <c r="G2360" s="8"/>
      <c r="H2360" s="9">
        <f t="shared" si="1231"/>
        <v>6896000</v>
      </c>
      <c r="I2360" s="9"/>
      <c r="J2360" s="9">
        <f t="shared" si="1232"/>
        <v>6896000</v>
      </c>
      <c r="K2360" s="8"/>
      <c r="L2360" s="8"/>
      <c r="M2360" s="9">
        <f t="shared" si="1239"/>
        <v>6896000</v>
      </c>
      <c r="N2360" s="8"/>
      <c r="O2360" s="9"/>
      <c r="P2360" s="9">
        <f t="shared" si="1240"/>
        <v>0</v>
      </c>
      <c r="Q2360" s="9">
        <f t="shared" si="1233"/>
        <v>6896000</v>
      </c>
      <c r="R2360" s="8"/>
      <c r="S2360" s="8"/>
      <c r="T2360" s="8"/>
      <c r="U2360" s="18">
        <f t="shared" si="1234"/>
        <v>0</v>
      </c>
      <c r="V2360" s="17"/>
      <c r="W2360" s="17"/>
      <c r="X2360" s="9">
        <f t="shared" si="1235"/>
        <v>6896000</v>
      </c>
      <c r="Y2360" s="8"/>
      <c r="Z2360" s="9">
        <f t="shared" si="1236"/>
        <v>0</v>
      </c>
      <c r="AA2360" s="8">
        <f t="shared" si="1237"/>
        <v>6896000</v>
      </c>
      <c r="AB2360" s="8">
        <f t="shared" si="1238"/>
        <v>0</v>
      </c>
    </row>
    <row r="2361" spans="1:28" x14ac:dyDescent="0.3">
      <c r="A2361" s="64"/>
      <c r="B2361" s="8"/>
      <c r="C2361" s="14" t="s">
        <v>621</v>
      </c>
      <c r="D2361" s="21" t="s">
        <v>73</v>
      </c>
      <c r="E2361" s="11">
        <v>3202840</v>
      </c>
      <c r="F2361" s="9">
        <v>3202840</v>
      </c>
      <c r="G2361" s="9"/>
      <c r="H2361" s="9">
        <f t="shared" si="1231"/>
        <v>3202840</v>
      </c>
      <c r="I2361" s="9"/>
      <c r="J2361" s="9">
        <f t="shared" si="1232"/>
        <v>3202840</v>
      </c>
      <c r="K2361" s="8"/>
      <c r="L2361" s="8"/>
      <c r="M2361" s="9">
        <f t="shared" si="1239"/>
        <v>3202840</v>
      </c>
      <c r="N2361" s="8"/>
      <c r="O2361" s="9"/>
      <c r="P2361" s="9">
        <f t="shared" si="1240"/>
        <v>0</v>
      </c>
      <c r="Q2361" s="9">
        <f t="shared" si="1233"/>
        <v>3202840</v>
      </c>
      <c r="R2361" s="8"/>
      <c r="S2361" s="8"/>
      <c r="T2361" s="8"/>
      <c r="U2361" s="18">
        <f t="shared" si="1234"/>
        <v>0</v>
      </c>
      <c r="V2361" s="17"/>
      <c r="W2361" s="17"/>
      <c r="X2361" s="9">
        <f t="shared" si="1235"/>
        <v>3202840</v>
      </c>
      <c r="Y2361" s="8"/>
      <c r="Z2361" s="9">
        <f t="shared" si="1236"/>
        <v>0</v>
      </c>
      <c r="AA2361" s="8">
        <f t="shared" si="1237"/>
        <v>3202840</v>
      </c>
      <c r="AB2361" s="8">
        <f t="shared" si="1238"/>
        <v>0</v>
      </c>
    </row>
    <row r="2362" spans="1:28" x14ac:dyDescent="0.3">
      <c r="A2362" s="64"/>
      <c r="B2362" s="8"/>
      <c r="C2362" s="7" t="s">
        <v>535</v>
      </c>
      <c r="D2362" s="15" t="s">
        <v>61</v>
      </c>
      <c r="E2362" s="11">
        <v>7000000</v>
      </c>
      <c r="F2362" s="9">
        <v>7000000</v>
      </c>
      <c r="G2362" s="9"/>
      <c r="H2362" s="9">
        <f t="shared" si="1231"/>
        <v>7000000</v>
      </c>
      <c r="I2362" s="9"/>
      <c r="J2362" s="9">
        <f t="shared" si="1232"/>
        <v>7000000</v>
      </c>
      <c r="K2362" s="8"/>
      <c r="L2362" s="8"/>
      <c r="M2362" s="9">
        <f t="shared" si="1239"/>
        <v>7000000</v>
      </c>
      <c r="N2362" s="8"/>
      <c r="O2362" s="9"/>
      <c r="P2362" s="9">
        <f t="shared" si="1240"/>
        <v>0</v>
      </c>
      <c r="Q2362" s="9">
        <f t="shared" si="1233"/>
        <v>7000000</v>
      </c>
      <c r="R2362" s="8"/>
      <c r="S2362" s="8"/>
      <c r="T2362" s="8"/>
      <c r="U2362" s="18">
        <f t="shared" si="1234"/>
        <v>0</v>
      </c>
      <c r="V2362" s="17"/>
      <c r="W2362" s="17"/>
      <c r="X2362" s="9">
        <f t="shared" si="1235"/>
        <v>7000000</v>
      </c>
      <c r="Y2362" s="8"/>
      <c r="Z2362" s="9">
        <f t="shared" si="1236"/>
        <v>0</v>
      </c>
      <c r="AA2362" s="8">
        <f t="shared" si="1237"/>
        <v>7000000</v>
      </c>
      <c r="AB2362" s="8">
        <f t="shared" si="1238"/>
        <v>0</v>
      </c>
    </row>
    <row r="2363" spans="1:28" x14ac:dyDescent="0.3">
      <c r="A2363" s="64"/>
      <c r="B2363" s="8"/>
      <c r="C2363" s="7" t="s">
        <v>933</v>
      </c>
      <c r="D2363" s="16" t="s">
        <v>1072</v>
      </c>
      <c r="E2363" s="11">
        <v>6221304.4000000004</v>
      </c>
      <c r="F2363" s="9">
        <v>6221304.4000000004</v>
      </c>
      <c r="G2363" s="9"/>
      <c r="H2363" s="9">
        <f>F2363+G2363</f>
        <v>6221304.4000000004</v>
      </c>
      <c r="I2363" s="9"/>
      <c r="J2363" s="9">
        <f>H2363+I2363</f>
        <v>6221304.4000000004</v>
      </c>
      <c r="K2363" s="8"/>
      <c r="L2363" s="8"/>
      <c r="M2363" s="9">
        <f>+H2363+L2363</f>
        <v>6221304.4000000004</v>
      </c>
      <c r="N2363" s="8"/>
      <c r="O2363" s="9"/>
      <c r="P2363" s="9">
        <f>+N2363+O2363</f>
        <v>0</v>
      </c>
      <c r="Q2363" s="9"/>
      <c r="R2363" s="8"/>
      <c r="S2363" s="8"/>
      <c r="T2363" s="8"/>
      <c r="U2363" s="18">
        <f>+P2363+T2363</f>
        <v>0</v>
      </c>
      <c r="V2363" s="17"/>
      <c r="W2363" s="17"/>
      <c r="X2363" s="9">
        <f t="shared" si="1235"/>
        <v>6221304.4000000004</v>
      </c>
      <c r="Y2363" s="8"/>
      <c r="Z2363" s="9">
        <f t="shared" si="1236"/>
        <v>0</v>
      </c>
      <c r="AA2363" s="8">
        <f t="shared" si="1237"/>
        <v>6221304.4000000004</v>
      </c>
      <c r="AB2363" s="8">
        <f t="shared" si="1238"/>
        <v>0</v>
      </c>
    </row>
    <row r="2364" spans="1:28" x14ac:dyDescent="0.3">
      <c r="A2364" s="64"/>
      <c r="B2364" s="8"/>
      <c r="C2364" s="7" t="s">
        <v>1173</v>
      </c>
      <c r="D2364" s="16" t="s">
        <v>1126</v>
      </c>
      <c r="E2364" s="11">
        <v>709507.51</v>
      </c>
      <c r="F2364" s="9">
        <v>709507.51</v>
      </c>
      <c r="G2364" s="9"/>
      <c r="H2364" s="9">
        <f>+F2364+G2364</f>
        <v>709507.51</v>
      </c>
      <c r="I2364" s="9"/>
      <c r="J2364" s="9">
        <f>H2364+I2364</f>
        <v>709507.51</v>
      </c>
      <c r="K2364" s="8"/>
      <c r="L2364" s="8"/>
      <c r="M2364" s="9">
        <f>+H2364+L2364</f>
        <v>709507.51</v>
      </c>
      <c r="N2364" s="8"/>
      <c r="O2364" s="9"/>
      <c r="P2364" s="9">
        <f>+N2364+O2364</f>
        <v>0</v>
      </c>
      <c r="Q2364" s="9"/>
      <c r="R2364" s="8"/>
      <c r="S2364" s="8"/>
      <c r="T2364" s="8"/>
      <c r="U2364" s="18">
        <f>+P2364+T2364</f>
        <v>0</v>
      </c>
      <c r="V2364" s="17"/>
      <c r="W2364" s="17"/>
      <c r="X2364" s="9">
        <f t="shared" si="1235"/>
        <v>709507.51</v>
      </c>
      <c r="Y2364" s="8"/>
      <c r="Z2364" s="9">
        <f t="shared" si="1236"/>
        <v>0</v>
      </c>
      <c r="AA2364" s="8">
        <f t="shared" si="1237"/>
        <v>709507.51</v>
      </c>
      <c r="AB2364" s="8">
        <f t="shared" si="1238"/>
        <v>0</v>
      </c>
    </row>
    <row r="2365" spans="1:28" x14ac:dyDescent="0.3">
      <c r="A2365" s="64"/>
      <c r="B2365" s="8"/>
      <c r="C2365" s="7" t="s">
        <v>1083</v>
      </c>
      <c r="D2365" s="16" t="s">
        <v>1072</v>
      </c>
      <c r="E2365" s="11">
        <v>8971122.8000000007</v>
      </c>
      <c r="F2365" s="9">
        <v>8971122.8000000007</v>
      </c>
      <c r="G2365" s="9"/>
      <c r="H2365" s="9">
        <f>+F2365+G2365</f>
        <v>8971122.8000000007</v>
      </c>
      <c r="I2365" s="9"/>
      <c r="J2365" s="9">
        <f>H2365+I2365</f>
        <v>8971122.8000000007</v>
      </c>
      <c r="K2365" s="8"/>
      <c r="L2365" s="8"/>
      <c r="M2365" s="9">
        <f>+H2365+L2365</f>
        <v>8971122.8000000007</v>
      </c>
      <c r="N2365" s="8"/>
      <c r="O2365" s="9"/>
      <c r="P2365" s="9">
        <f>+N2365+O2365</f>
        <v>0</v>
      </c>
      <c r="Q2365" s="9"/>
      <c r="R2365" s="8"/>
      <c r="S2365" s="8"/>
      <c r="T2365" s="8"/>
      <c r="U2365" s="18">
        <f>+P2365+T2365</f>
        <v>0</v>
      </c>
      <c r="V2365" s="17"/>
      <c r="W2365" s="17"/>
      <c r="X2365" s="9">
        <f t="shared" si="1235"/>
        <v>8971122.8000000007</v>
      </c>
      <c r="Y2365" s="8"/>
      <c r="Z2365" s="9">
        <f t="shared" si="1236"/>
        <v>0</v>
      </c>
      <c r="AA2365" s="8">
        <f t="shared" si="1237"/>
        <v>8971122.8000000007</v>
      </c>
      <c r="AB2365" s="8">
        <f t="shared" si="1238"/>
        <v>0</v>
      </c>
    </row>
    <row r="2366" spans="1:28" x14ac:dyDescent="0.3">
      <c r="A2366" s="64"/>
      <c r="B2366" s="8"/>
      <c r="C2366" s="7" t="s">
        <v>577</v>
      </c>
      <c r="D2366" s="8"/>
      <c r="E2366" s="9">
        <v>712084.82</v>
      </c>
      <c r="F2366" s="9">
        <f>904536.82-192452</f>
        <v>712084.82</v>
      </c>
      <c r="G2366" s="8"/>
      <c r="H2366" s="9">
        <f t="shared" si="1231"/>
        <v>712084.82</v>
      </c>
      <c r="I2366" s="8"/>
      <c r="J2366" s="9">
        <f t="shared" si="1232"/>
        <v>712084.82</v>
      </c>
      <c r="K2366" s="8"/>
      <c r="L2366" s="8"/>
      <c r="M2366" s="9">
        <f t="shared" si="1239"/>
        <v>712084.82</v>
      </c>
      <c r="N2366" s="8"/>
      <c r="O2366" s="9"/>
      <c r="P2366" s="9">
        <f t="shared" si="1240"/>
        <v>0</v>
      </c>
      <c r="Q2366" s="9">
        <f t="shared" si="1233"/>
        <v>712084.82</v>
      </c>
      <c r="R2366" s="8"/>
      <c r="S2366" s="8"/>
      <c r="T2366" s="8"/>
      <c r="U2366" s="18">
        <f t="shared" si="1234"/>
        <v>0</v>
      </c>
      <c r="V2366" s="17"/>
      <c r="W2366" s="17"/>
      <c r="X2366" s="9">
        <f t="shared" si="1235"/>
        <v>712084.82</v>
      </c>
      <c r="Y2366" s="8"/>
      <c r="Z2366" s="9">
        <f t="shared" si="1236"/>
        <v>0</v>
      </c>
      <c r="AA2366" s="8">
        <f t="shared" si="1237"/>
        <v>712084.82</v>
      </c>
      <c r="AB2366" s="8">
        <f t="shared" si="1238"/>
        <v>0</v>
      </c>
    </row>
    <row r="2367" spans="1:28" x14ac:dyDescent="0.3">
      <c r="A2367" s="64"/>
      <c r="B2367" s="8"/>
      <c r="C2367" s="7" t="s">
        <v>550</v>
      </c>
      <c r="D2367" s="8"/>
      <c r="E2367" s="9">
        <v>242386</v>
      </c>
      <c r="F2367" s="9">
        <v>242386</v>
      </c>
      <c r="G2367" s="8"/>
      <c r="H2367" s="9">
        <f t="shared" si="1231"/>
        <v>242386</v>
      </c>
      <c r="I2367" s="8"/>
      <c r="J2367" s="9">
        <f t="shared" si="1232"/>
        <v>242386</v>
      </c>
      <c r="K2367" s="8"/>
      <c r="L2367" s="8"/>
      <c r="M2367" s="9">
        <f t="shared" si="1239"/>
        <v>242386</v>
      </c>
      <c r="N2367" s="8"/>
      <c r="O2367" s="9"/>
      <c r="P2367" s="9">
        <f t="shared" si="1240"/>
        <v>0</v>
      </c>
      <c r="Q2367" s="9">
        <f t="shared" si="1233"/>
        <v>242386</v>
      </c>
      <c r="R2367" s="8"/>
      <c r="S2367" s="8"/>
      <c r="T2367" s="8"/>
      <c r="U2367" s="18">
        <f t="shared" si="1234"/>
        <v>0</v>
      </c>
      <c r="V2367" s="17"/>
      <c r="W2367" s="17"/>
      <c r="X2367" s="9">
        <f t="shared" si="1235"/>
        <v>242386</v>
      </c>
      <c r="Y2367" s="8"/>
      <c r="Z2367" s="9">
        <f t="shared" si="1236"/>
        <v>0</v>
      </c>
      <c r="AA2367" s="8">
        <f t="shared" si="1237"/>
        <v>242386</v>
      </c>
      <c r="AB2367" s="8">
        <f t="shared" si="1238"/>
        <v>0</v>
      </c>
    </row>
    <row r="2368" spans="1:28" x14ac:dyDescent="0.3">
      <c r="A2368" s="64"/>
      <c r="B2368" s="8"/>
      <c r="C2368" s="7" t="s">
        <v>844</v>
      </c>
      <c r="D2368" s="8"/>
      <c r="E2368" s="9">
        <f>70000-20354.14</f>
        <v>49645.86</v>
      </c>
      <c r="F2368" s="9">
        <v>49645.86</v>
      </c>
      <c r="G2368" s="8"/>
      <c r="H2368" s="9">
        <f t="shared" si="1231"/>
        <v>49645.86</v>
      </c>
      <c r="I2368" s="8"/>
      <c r="J2368" s="9">
        <f t="shared" si="1232"/>
        <v>49645.86</v>
      </c>
      <c r="K2368" s="8"/>
      <c r="L2368" s="8"/>
      <c r="M2368" s="9">
        <f t="shared" si="1239"/>
        <v>49645.86</v>
      </c>
      <c r="N2368" s="8"/>
      <c r="O2368" s="9"/>
      <c r="P2368" s="9">
        <f t="shared" si="1240"/>
        <v>0</v>
      </c>
      <c r="Q2368" s="9">
        <f t="shared" si="1233"/>
        <v>49645.86</v>
      </c>
      <c r="R2368" s="8"/>
      <c r="S2368" s="8"/>
      <c r="T2368" s="8"/>
      <c r="U2368" s="18">
        <f t="shared" si="1234"/>
        <v>0</v>
      </c>
      <c r="V2368" s="17"/>
      <c r="W2368" s="17"/>
      <c r="X2368" s="9">
        <f t="shared" si="1235"/>
        <v>49645.86</v>
      </c>
      <c r="Y2368" s="8"/>
      <c r="Z2368" s="9">
        <f t="shared" si="1236"/>
        <v>0</v>
      </c>
      <c r="AA2368" s="8">
        <f t="shared" si="1237"/>
        <v>49645.86</v>
      </c>
      <c r="AB2368" s="8">
        <f t="shared" si="1238"/>
        <v>0</v>
      </c>
    </row>
    <row r="2369" spans="1:28" x14ac:dyDescent="0.3">
      <c r="A2369" s="64"/>
      <c r="B2369" s="8"/>
      <c r="C2369" s="7" t="s">
        <v>568</v>
      </c>
      <c r="D2369" s="8"/>
      <c r="E2369" s="9">
        <v>5199700.99</v>
      </c>
      <c r="F2369" s="9">
        <v>5199700.99</v>
      </c>
      <c r="G2369" s="8"/>
      <c r="H2369" s="9">
        <f>+F2369+G2369</f>
        <v>5199700.99</v>
      </c>
      <c r="I2369" s="8"/>
      <c r="J2369" s="9"/>
      <c r="K2369" s="8"/>
      <c r="L2369" s="8"/>
      <c r="M2369" s="9">
        <f>+H2369+L2369</f>
        <v>5199700.99</v>
      </c>
      <c r="N2369" s="8"/>
      <c r="O2369" s="9"/>
      <c r="P2369" s="9">
        <f t="shared" si="1240"/>
        <v>0</v>
      </c>
      <c r="Q2369" s="9"/>
      <c r="R2369" s="8"/>
      <c r="S2369" s="8"/>
      <c r="T2369" s="8"/>
      <c r="U2369" s="18">
        <f>+P2369+T2369</f>
        <v>0</v>
      </c>
      <c r="V2369" s="17"/>
      <c r="W2369" s="17"/>
      <c r="X2369" s="9">
        <f t="shared" si="1235"/>
        <v>5199700.99</v>
      </c>
      <c r="Y2369" s="8"/>
      <c r="Z2369" s="9">
        <f t="shared" si="1236"/>
        <v>0</v>
      </c>
      <c r="AA2369" s="8">
        <f t="shared" si="1237"/>
        <v>5199700.99</v>
      </c>
      <c r="AB2369" s="8">
        <f t="shared" si="1238"/>
        <v>0</v>
      </c>
    </row>
    <row r="2370" spans="1:28" x14ac:dyDescent="0.3">
      <c r="A2370" s="64"/>
      <c r="B2370" s="8"/>
      <c r="C2370" s="7" t="s">
        <v>606</v>
      </c>
      <c r="D2370" s="8"/>
      <c r="E2370" s="9">
        <f>2500000+2500000</f>
        <v>5000000</v>
      </c>
      <c r="F2370" s="9">
        <v>5000000</v>
      </c>
      <c r="G2370" s="8"/>
      <c r="H2370" s="9">
        <f t="shared" si="1231"/>
        <v>5000000</v>
      </c>
      <c r="I2370" s="8"/>
      <c r="J2370" s="9">
        <f t="shared" si="1232"/>
        <v>5000000</v>
      </c>
      <c r="K2370" s="8"/>
      <c r="L2370" s="8"/>
      <c r="M2370" s="9">
        <f t="shared" si="1239"/>
        <v>5000000</v>
      </c>
      <c r="N2370" s="8"/>
      <c r="O2370" s="9"/>
      <c r="P2370" s="9">
        <f t="shared" si="1240"/>
        <v>0</v>
      </c>
      <c r="Q2370" s="9">
        <f t="shared" si="1233"/>
        <v>5000000</v>
      </c>
      <c r="R2370" s="8"/>
      <c r="S2370" s="8"/>
      <c r="T2370" s="8"/>
      <c r="U2370" s="18">
        <f t="shared" si="1234"/>
        <v>0</v>
      </c>
      <c r="V2370" s="17"/>
      <c r="W2370" s="17"/>
      <c r="X2370" s="9">
        <f t="shared" si="1235"/>
        <v>5000000</v>
      </c>
      <c r="Y2370" s="8"/>
      <c r="Z2370" s="9">
        <f t="shared" si="1236"/>
        <v>0</v>
      </c>
      <c r="AA2370" s="8">
        <f t="shared" si="1237"/>
        <v>5000000</v>
      </c>
      <c r="AB2370" s="8">
        <f t="shared" si="1238"/>
        <v>0</v>
      </c>
    </row>
    <row r="2371" spans="1:28" x14ac:dyDescent="0.3">
      <c r="A2371" s="64"/>
      <c r="B2371" s="8"/>
      <c r="C2371" s="8"/>
      <c r="D2371" s="8"/>
      <c r="E2371" s="17" t="s">
        <v>29</v>
      </c>
      <c r="F2371" s="17" t="s">
        <v>29</v>
      </c>
      <c r="G2371" s="17" t="s">
        <v>29</v>
      </c>
      <c r="H2371" s="17" t="s">
        <v>29</v>
      </c>
      <c r="I2371" s="17" t="s">
        <v>29</v>
      </c>
      <c r="J2371" s="17" t="s">
        <v>29</v>
      </c>
      <c r="K2371" s="17" t="s">
        <v>29</v>
      </c>
      <c r="L2371" s="17" t="s">
        <v>29</v>
      </c>
      <c r="M2371" s="17" t="s">
        <v>29</v>
      </c>
      <c r="N2371" s="17" t="s">
        <v>29</v>
      </c>
      <c r="O2371" s="17" t="s">
        <v>29</v>
      </c>
      <c r="P2371" s="17" t="s">
        <v>29</v>
      </c>
      <c r="Q2371" s="17" t="s">
        <v>29</v>
      </c>
      <c r="R2371" s="17" t="s">
        <v>29</v>
      </c>
      <c r="S2371" s="17" t="s">
        <v>29</v>
      </c>
      <c r="T2371" s="17" t="s">
        <v>29</v>
      </c>
      <c r="U2371" s="17" t="s">
        <v>29</v>
      </c>
      <c r="V2371" s="17" t="s">
        <v>29</v>
      </c>
      <c r="W2371" s="17" t="s">
        <v>29</v>
      </c>
      <c r="X2371" s="17" t="s">
        <v>29</v>
      </c>
      <c r="Y2371" s="17" t="s">
        <v>29</v>
      </c>
      <c r="Z2371" s="17" t="s">
        <v>29</v>
      </c>
      <c r="AA2371" s="17" t="s">
        <v>29</v>
      </c>
      <c r="AB2371" s="17" t="s">
        <v>29</v>
      </c>
    </row>
    <row r="2372" spans="1:28" x14ac:dyDescent="0.3">
      <c r="A2372" s="64"/>
      <c r="B2372" s="8"/>
      <c r="C2372" s="8"/>
      <c r="D2372" s="8"/>
      <c r="E2372" s="9">
        <f t="shared" ref="E2372:Q2372" si="1241">SUM(E2350:E2371)</f>
        <v>71765273.209999993</v>
      </c>
      <c r="F2372" s="9">
        <f t="shared" si="1241"/>
        <v>68836447.709999993</v>
      </c>
      <c r="G2372" s="9">
        <f t="shared" si="1241"/>
        <v>0</v>
      </c>
      <c r="H2372" s="9">
        <f t="shared" si="1241"/>
        <v>68836447.709999993</v>
      </c>
      <c r="I2372" s="9">
        <f t="shared" si="1241"/>
        <v>0</v>
      </c>
      <c r="J2372" s="9">
        <f t="shared" si="1241"/>
        <v>63636746.719999991</v>
      </c>
      <c r="K2372" s="9">
        <f t="shared" si="1241"/>
        <v>2848825.5</v>
      </c>
      <c r="L2372" s="9">
        <f t="shared" si="1241"/>
        <v>0</v>
      </c>
      <c r="M2372" s="9">
        <f t="shared" si="1241"/>
        <v>68836447.709999993</v>
      </c>
      <c r="N2372" s="9">
        <f t="shared" si="1241"/>
        <v>2848825.5</v>
      </c>
      <c r="O2372" s="9">
        <f t="shared" si="1241"/>
        <v>0</v>
      </c>
      <c r="P2372" s="9">
        <f t="shared" si="1241"/>
        <v>2848825.5</v>
      </c>
      <c r="Q2372" s="9">
        <f t="shared" si="1241"/>
        <v>47814812.009999998</v>
      </c>
      <c r="R2372" s="8"/>
      <c r="S2372" s="8"/>
      <c r="T2372" s="9">
        <f t="shared" ref="T2372:Z2372" si="1242">SUM(T2350:T2371)</f>
        <v>0</v>
      </c>
      <c r="U2372" s="9">
        <f t="shared" si="1242"/>
        <v>2848825.5</v>
      </c>
      <c r="V2372" s="9">
        <f t="shared" si="1242"/>
        <v>0</v>
      </c>
      <c r="W2372" s="9">
        <f t="shared" si="1242"/>
        <v>0</v>
      </c>
      <c r="X2372" s="9">
        <f t="shared" si="1242"/>
        <v>71685273.209999993</v>
      </c>
      <c r="Y2372" s="9">
        <f t="shared" si="1242"/>
        <v>0</v>
      </c>
      <c r="Z2372" s="9">
        <f t="shared" si="1242"/>
        <v>80000</v>
      </c>
      <c r="AA2372" s="9">
        <f>SUM(AA2350:AA2371)</f>
        <v>71685273.209999993</v>
      </c>
      <c r="AB2372" s="9">
        <f>SUM(AB2350:AB2371)</f>
        <v>80000</v>
      </c>
    </row>
    <row r="2373" spans="1:28" x14ac:dyDescent="0.3">
      <c r="A2373" s="64"/>
      <c r="B2373" s="8"/>
      <c r="C2373" s="8"/>
      <c r="D2373" s="8"/>
      <c r="E2373" s="17" t="s">
        <v>29</v>
      </c>
      <c r="F2373" s="17" t="s">
        <v>29</v>
      </c>
      <c r="G2373" s="17" t="s">
        <v>29</v>
      </c>
      <c r="H2373" s="17" t="s">
        <v>29</v>
      </c>
      <c r="I2373" s="17" t="s">
        <v>29</v>
      </c>
      <c r="J2373" s="17" t="s">
        <v>29</v>
      </c>
      <c r="K2373" s="17" t="s">
        <v>29</v>
      </c>
      <c r="L2373" s="17" t="s">
        <v>29</v>
      </c>
      <c r="M2373" s="17" t="s">
        <v>29</v>
      </c>
      <c r="N2373" s="17" t="s">
        <v>29</v>
      </c>
      <c r="O2373" s="17" t="s">
        <v>29</v>
      </c>
      <c r="P2373" s="17" t="s">
        <v>29</v>
      </c>
      <c r="Q2373" s="17" t="s">
        <v>29</v>
      </c>
      <c r="R2373" s="17" t="s">
        <v>29</v>
      </c>
      <c r="S2373" s="17" t="s">
        <v>29</v>
      </c>
      <c r="T2373" s="17" t="s">
        <v>29</v>
      </c>
      <c r="U2373" s="17" t="s">
        <v>29</v>
      </c>
      <c r="V2373" s="17" t="s">
        <v>29</v>
      </c>
      <c r="W2373" s="17" t="s">
        <v>29</v>
      </c>
      <c r="X2373" s="17" t="s">
        <v>29</v>
      </c>
      <c r="Y2373" s="17" t="s">
        <v>29</v>
      </c>
      <c r="Z2373" s="17" t="s">
        <v>29</v>
      </c>
      <c r="AA2373" s="17" t="s">
        <v>29</v>
      </c>
      <c r="AB2373" s="17" t="s">
        <v>29</v>
      </c>
    </row>
    <row r="2374" spans="1:28" x14ac:dyDescent="0.3">
      <c r="A2374" s="63" t="s">
        <v>1038</v>
      </c>
      <c r="B2374" s="7" t="s">
        <v>845</v>
      </c>
      <c r="C2374" s="8"/>
      <c r="D2374" s="8"/>
      <c r="E2374" s="8"/>
      <c r="F2374" s="8"/>
      <c r="G2374" s="8"/>
      <c r="H2374" s="8"/>
      <c r="I2374" s="8"/>
      <c r="J2374" s="8"/>
      <c r="K2374" s="8"/>
      <c r="L2374" s="8"/>
      <c r="M2374" s="8"/>
      <c r="N2374" s="8"/>
      <c r="O2374" s="8"/>
      <c r="P2374" s="8"/>
      <c r="Q2374" s="8"/>
      <c r="R2374" s="8"/>
      <c r="S2374" s="8"/>
      <c r="T2374" s="8"/>
      <c r="U2374" s="8"/>
      <c r="V2374" s="8"/>
      <c r="W2374" s="8"/>
      <c r="X2374" s="8"/>
      <c r="Y2374" s="8"/>
      <c r="Z2374" s="8"/>
    </row>
    <row r="2375" spans="1:28" x14ac:dyDescent="0.3">
      <c r="A2375" s="64"/>
      <c r="B2375" s="8"/>
      <c r="C2375" s="7" t="s">
        <v>535</v>
      </c>
      <c r="D2375" s="15" t="s">
        <v>68</v>
      </c>
      <c r="E2375" s="9">
        <f>950000-581411.09</f>
        <v>368588.91000000003</v>
      </c>
      <c r="F2375" s="9">
        <v>270760</v>
      </c>
      <c r="G2375" s="8"/>
      <c r="H2375" s="9">
        <f t="shared" ref="H2375:H2386" si="1243">F2375+G2375</f>
        <v>270760</v>
      </c>
      <c r="I2375" s="8"/>
      <c r="J2375" s="9">
        <f t="shared" ref="J2375:J2386" si="1244">H2375+I2375</f>
        <v>270760</v>
      </c>
      <c r="K2375" s="9">
        <v>97828.91</v>
      </c>
      <c r="L2375" s="8"/>
      <c r="M2375" s="9">
        <f>+H2375+L2375</f>
        <v>270760</v>
      </c>
      <c r="N2375" s="8">
        <v>97828.91</v>
      </c>
      <c r="O2375" s="9"/>
      <c r="P2375" s="9">
        <f>+N2375+O2375</f>
        <v>97828.91</v>
      </c>
      <c r="Q2375" s="9">
        <f t="shared" ref="Q2375:Q2386" si="1245">E2375-P2375</f>
        <v>270760</v>
      </c>
      <c r="R2375" s="8"/>
      <c r="S2375" s="8"/>
      <c r="T2375" s="8"/>
      <c r="U2375" s="18">
        <f t="shared" ref="U2375:U2386" si="1246">+P2375+T2375</f>
        <v>97828.91</v>
      </c>
      <c r="V2375" s="17"/>
      <c r="W2375" s="17"/>
      <c r="X2375" s="9">
        <f t="shared" ref="X2375:X2386" si="1247">+H2375+P2375</f>
        <v>368588.91000000003</v>
      </c>
      <c r="Y2375" s="8"/>
      <c r="Z2375" s="9">
        <f t="shared" ref="Z2375:Z2386" si="1248">+E2375-X2375</f>
        <v>0</v>
      </c>
      <c r="AA2375" s="8">
        <f t="shared" ref="AA2375:AA2386" si="1249">+M2375+U2375</f>
        <v>368588.91000000003</v>
      </c>
      <c r="AB2375" s="8">
        <f t="shared" ref="AB2375:AB2386" si="1250">+E2375-AA2375</f>
        <v>0</v>
      </c>
    </row>
    <row r="2376" spans="1:28" x14ac:dyDescent="0.3">
      <c r="A2376" s="64"/>
      <c r="B2376" s="8"/>
      <c r="C2376" s="7" t="s">
        <v>535</v>
      </c>
      <c r="D2376" s="15" t="s">
        <v>54</v>
      </c>
      <c r="E2376" s="9">
        <f>645000-32250</f>
        <v>612750</v>
      </c>
      <c r="F2376" s="9">
        <v>612750</v>
      </c>
      <c r="G2376" s="8"/>
      <c r="H2376" s="9">
        <f t="shared" si="1243"/>
        <v>612750</v>
      </c>
      <c r="I2376" s="8"/>
      <c r="J2376" s="9">
        <f t="shared" si="1244"/>
        <v>612750</v>
      </c>
      <c r="K2376" s="8"/>
      <c r="L2376" s="8"/>
      <c r="M2376" s="9">
        <f t="shared" ref="M2376:M2386" si="1251">+H2376+L2376</f>
        <v>612750</v>
      </c>
      <c r="N2376" s="8"/>
      <c r="O2376" s="9"/>
      <c r="P2376" s="9">
        <f t="shared" ref="P2376:P2386" si="1252">+N2376+O2376</f>
        <v>0</v>
      </c>
      <c r="Q2376" s="9">
        <f t="shared" si="1245"/>
        <v>612750</v>
      </c>
      <c r="R2376" s="8"/>
      <c r="S2376" s="8"/>
      <c r="T2376" s="8"/>
      <c r="U2376" s="18">
        <f t="shared" si="1246"/>
        <v>0</v>
      </c>
      <c r="V2376" s="17"/>
      <c r="W2376" s="17"/>
      <c r="X2376" s="9">
        <f t="shared" si="1247"/>
        <v>612750</v>
      </c>
      <c r="Y2376" s="8"/>
      <c r="Z2376" s="9">
        <f t="shared" si="1248"/>
        <v>0</v>
      </c>
      <c r="AA2376" s="8">
        <f t="shared" si="1249"/>
        <v>612750</v>
      </c>
      <c r="AB2376" s="8">
        <f t="shared" si="1250"/>
        <v>0</v>
      </c>
    </row>
    <row r="2377" spans="1:28" x14ac:dyDescent="0.3">
      <c r="A2377" s="64"/>
      <c r="B2377" s="8"/>
      <c r="C2377" s="7" t="s">
        <v>846</v>
      </c>
      <c r="D2377" s="15" t="s">
        <v>54</v>
      </c>
      <c r="E2377" s="9">
        <v>955345.62</v>
      </c>
      <c r="F2377" s="8"/>
      <c r="G2377" s="8"/>
      <c r="H2377" s="9">
        <f t="shared" si="1243"/>
        <v>0</v>
      </c>
      <c r="I2377" s="8"/>
      <c r="J2377" s="9">
        <f t="shared" si="1244"/>
        <v>0</v>
      </c>
      <c r="K2377" s="9">
        <v>955345.62</v>
      </c>
      <c r="L2377" s="8"/>
      <c r="M2377" s="9">
        <f t="shared" si="1251"/>
        <v>0</v>
      </c>
      <c r="N2377" s="8">
        <v>955345.62</v>
      </c>
      <c r="O2377" s="9"/>
      <c r="P2377" s="9">
        <f t="shared" si="1252"/>
        <v>955345.62</v>
      </c>
      <c r="Q2377" s="9">
        <f t="shared" si="1245"/>
        <v>0</v>
      </c>
      <c r="R2377" s="8"/>
      <c r="S2377" s="8"/>
      <c r="T2377" s="8"/>
      <c r="U2377" s="18">
        <f t="shared" si="1246"/>
        <v>955345.62</v>
      </c>
      <c r="V2377" s="17"/>
      <c r="W2377" s="17"/>
      <c r="X2377" s="9">
        <f t="shared" si="1247"/>
        <v>955345.62</v>
      </c>
      <c r="Y2377" s="8"/>
      <c r="Z2377" s="9">
        <f t="shared" si="1248"/>
        <v>0</v>
      </c>
      <c r="AA2377" s="8">
        <f t="shared" si="1249"/>
        <v>955345.62</v>
      </c>
      <c r="AB2377" s="8">
        <f t="shared" si="1250"/>
        <v>0</v>
      </c>
    </row>
    <row r="2378" spans="1:28" x14ac:dyDescent="0.3">
      <c r="A2378" s="64"/>
      <c r="B2378" s="8"/>
      <c r="C2378" s="7" t="s">
        <v>545</v>
      </c>
      <c r="D2378" s="15" t="s">
        <v>54</v>
      </c>
      <c r="E2378" s="9">
        <v>2306106</v>
      </c>
      <c r="F2378" s="8"/>
      <c r="G2378" s="8"/>
      <c r="H2378" s="9">
        <f t="shared" si="1243"/>
        <v>0</v>
      </c>
      <c r="I2378" s="8"/>
      <c r="J2378" s="9">
        <f t="shared" si="1244"/>
        <v>0</v>
      </c>
      <c r="K2378" s="9">
        <v>2306106</v>
      </c>
      <c r="L2378" s="8"/>
      <c r="M2378" s="9">
        <f t="shared" si="1251"/>
        <v>0</v>
      </c>
      <c r="N2378" s="8">
        <v>2306106</v>
      </c>
      <c r="O2378" s="9"/>
      <c r="P2378" s="9">
        <f t="shared" si="1252"/>
        <v>2306106</v>
      </c>
      <c r="Q2378" s="9">
        <f t="shared" si="1245"/>
        <v>0</v>
      </c>
      <c r="R2378" s="8"/>
      <c r="S2378" s="8"/>
      <c r="T2378" s="8"/>
      <c r="U2378" s="18">
        <f t="shared" si="1246"/>
        <v>2306106</v>
      </c>
      <c r="V2378" s="17"/>
      <c r="W2378" s="17"/>
      <c r="X2378" s="9">
        <f t="shared" si="1247"/>
        <v>2306106</v>
      </c>
      <c r="Y2378" s="8"/>
      <c r="Z2378" s="9">
        <f t="shared" si="1248"/>
        <v>0</v>
      </c>
      <c r="AA2378" s="8">
        <f t="shared" si="1249"/>
        <v>2306106</v>
      </c>
      <c r="AB2378" s="8">
        <f t="shared" si="1250"/>
        <v>0</v>
      </c>
    </row>
    <row r="2379" spans="1:28" x14ac:dyDescent="0.3">
      <c r="A2379" s="64"/>
      <c r="B2379" s="8"/>
      <c r="C2379" s="7" t="s">
        <v>535</v>
      </c>
      <c r="D2379" s="15" t="s">
        <v>85</v>
      </c>
      <c r="E2379" s="9">
        <f>1224000-122400</f>
        <v>1101600</v>
      </c>
      <c r="F2379" s="9">
        <v>1101600</v>
      </c>
      <c r="G2379" s="8"/>
      <c r="H2379" s="9">
        <f t="shared" si="1243"/>
        <v>1101600</v>
      </c>
      <c r="I2379" s="8"/>
      <c r="J2379" s="9">
        <f t="shared" si="1244"/>
        <v>1101600</v>
      </c>
      <c r="K2379" s="8"/>
      <c r="L2379" s="8"/>
      <c r="M2379" s="9">
        <f t="shared" si="1251"/>
        <v>1101600</v>
      </c>
      <c r="N2379" s="8"/>
      <c r="O2379" s="9"/>
      <c r="P2379" s="9">
        <f t="shared" si="1252"/>
        <v>0</v>
      </c>
      <c r="Q2379" s="9">
        <f t="shared" si="1245"/>
        <v>1101600</v>
      </c>
      <c r="R2379" s="8"/>
      <c r="S2379" s="8"/>
      <c r="T2379" s="8"/>
      <c r="U2379" s="18">
        <f t="shared" si="1246"/>
        <v>0</v>
      </c>
      <c r="V2379" s="17"/>
      <c r="W2379" s="17"/>
      <c r="X2379" s="9">
        <f t="shared" si="1247"/>
        <v>1101600</v>
      </c>
      <c r="Y2379" s="8"/>
      <c r="Z2379" s="9">
        <f t="shared" si="1248"/>
        <v>0</v>
      </c>
      <c r="AA2379" s="8">
        <f t="shared" si="1249"/>
        <v>1101600</v>
      </c>
      <c r="AB2379" s="8">
        <f t="shared" si="1250"/>
        <v>0</v>
      </c>
    </row>
    <row r="2380" spans="1:28" x14ac:dyDescent="0.3">
      <c r="A2380" s="64"/>
      <c r="B2380" s="7" t="s">
        <v>806</v>
      </c>
      <c r="C2380" s="7" t="s">
        <v>535</v>
      </c>
      <c r="D2380" s="15" t="s">
        <v>108</v>
      </c>
      <c r="E2380" s="9">
        <f>2119090.91+2361791.35+3934925.06+2347208.23</f>
        <v>10763015.550000001</v>
      </c>
      <c r="F2380" s="9">
        <v>10763015.550000001</v>
      </c>
      <c r="G2380" s="8"/>
      <c r="H2380" s="9">
        <f t="shared" si="1243"/>
        <v>10763015.550000001</v>
      </c>
      <c r="I2380" s="8"/>
      <c r="J2380" s="9">
        <f t="shared" si="1244"/>
        <v>10763015.550000001</v>
      </c>
      <c r="K2380" s="8"/>
      <c r="L2380" s="8"/>
      <c r="M2380" s="9">
        <f t="shared" si="1251"/>
        <v>10763015.550000001</v>
      </c>
      <c r="N2380" s="8"/>
      <c r="O2380" s="9"/>
      <c r="P2380" s="9">
        <f t="shared" si="1252"/>
        <v>0</v>
      </c>
      <c r="Q2380" s="9">
        <f t="shared" si="1245"/>
        <v>10763015.550000001</v>
      </c>
      <c r="R2380" s="8"/>
      <c r="S2380" s="8"/>
      <c r="T2380" s="8"/>
      <c r="U2380" s="18">
        <f t="shared" si="1246"/>
        <v>0</v>
      </c>
      <c r="V2380" s="17"/>
      <c r="W2380" s="17"/>
      <c r="X2380" s="9">
        <f t="shared" si="1247"/>
        <v>10763015.550000001</v>
      </c>
      <c r="Y2380" s="8"/>
      <c r="Z2380" s="9">
        <f t="shared" si="1248"/>
        <v>0</v>
      </c>
      <c r="AA2380" s="8">
        <f t="shared" si="1249"/>
        <v>10763015.550000001</v>
      </c>
      <c r="AB2380" s="8">
        <f t="shared" si="1250"/>
        <v>0</v>
      </c>
    </row>
    <row r="2381" spans="1:28" x14ac:dyDescent="0.3">
      <c r="A2381" s="64"/>
      <c r="B2381" s="8"/>
      <c r="C2381" s="7" t="s">
        <v>847</v>
      </c>
      <c r="D2381" s="15" t="s">
        <v>108</v>
      </c>
      <c r="E2381" s="9">
        <f>200000+113600</f>
        <v>313600</v>
      </c>
      <c r="F2381" s="9">
        <v>313600</v>
      </c>
      <c r="G2381" s="8"/>
      <c r="H2381" s="9">
        <f t="shared" si="1243"/>
        <v>313600</v>
      </c>
      <c r="I2381" s="8"/>
      <c r="J2381" s="9">
        <f t="shared" si="1244"/>
        <v>313600</v>
      </c>
      <c r="K2381" s="8"/>
      <c r="L2381" s="8"/>
      <c r="M2381" s="9">
        <f t="shared" si="1251"/>
        <v>313600</v>
      </c>
      <c r="N2381" s="8"/>
      <c r="O2381" s="9"/>
      <c r="P2381" s="9">
        <f t="shared" si="1252"/>
        <v>0</v>
      </c>
      <c r="Q2381" s="9">
        <f t="shared" si="1245"/>
        <v>313600</v>
      </c>
      <c r="R2381" s="8"/>
      <c r="S2381" s="8"/>
      <c r="T2381" s="8"/>
      <c r="U2381" s="18">
        <f t="shared" si="1246"/>
        <v>0</v>
      </c>
      <c r="V2381" s="17"/>
      <c r="W2381" s="17"/>
      <c r="X2381" s="9">
        <f t="shared" si="1247"/>
        <v>313600</v>
      </c>
      <c r="Y2381" s="8"/>
      <c r="Z2381" s="9">
        <f t="shared" si="1248"/>
        <v>0</v>
      </c>
      <c r="AA2381" s="8">
        <f t="shared" si="1249"/>
        <v>313600</v>
      </c>
      <c r="AB2381" s="8">
        <f t="shared" si="1250"/>
        <v>0</v>
      </c>
    </row>
    <row r="2382" spans="1:28" x14ac:dyDescent="0.3">
      <c r="A2382" s="64"/>
      <c r="B2382" s="8"/>
      <c r="C2382" s="7" t="s">
        <v>535</v>
      </c>
      <c r="D2382" s="15" t="s">
        <v>60</v>
      </c>
      <c r="E2382" s="9">
        <v>1256224.27</v>
      </c>
      <c r="F2382" s="9">
        <v>1256224.27</v>
      </c>
      <c r="G2382" s="8"/>
      <c r="H2382" s="9">
        <f t="shared" si="1243"/>
        <v>1256224.27</v>
      </c>
      <c r="I2382" s="8"/>
      <c r="J2382" s="9">
        <f t="shared" si="1244"/>
        <v>1256224.27</v>
      </c>
      <c r="K2382" s="8"/>
      <c r="L2382" s="8"/>
      <c r="M2382" s="9">
        <f t="shared" si="1251"/>
        <v>1256224.27</v>
      </c>
      <c r="N2382" s="8"/>
      <c r="O2382" s="9"/>
      <c r="P2382" s="9">
        <f t="shared" si="1252"/>
        <v>0</v>
      </c>
      <c r="Q2382" s="9">
        <f t="shared" si="1245"/>
        <v>1256224.27</v>
      </c>
      <c r="R2382" s="8"/>
      <c r="S2382" s="8"/>
      <c r="T2382" s="8"/>
      <c r="U2382" s="18">
        <f t="shared" si="1246"/>
        <v>0</v>
      </c>
      <c r="V2382" s="17"/>
      <c r="W2382" s="17"/>
      <c r="X2382" s="9">
        <f t="shared" si="1247"/>
        <v>1256224.27</v>
      </c>
      <c r="Y2382" s="8"/>
      <c r="Z2382" s="9">
        <f t="shared" si="1248"/>
        <v>0</v>
      </c>
      <c r="AA2382" s="8">
        <f t="shared" si="1249"/>
        <v>1256224.27</v>
      </c>
      <c r="AB2382" s="8">
        <f t="shared" si="1250"/>
        <v>0</v>
      </c>
    </row>
    <row r="2383" spans="1:28" x14ac:dyDescent="0.3">
      <c r="A2383" s="64"/>
      <c r="B2383" s="8"/>
      <c r="C2383" s="7" t="s">
        <v>535</v>
      </c>
      <c r="D2383" s="15" t="s">
        <v>73</v>
      </c>
      <c r="E2383" s="9">
        <v>3005000</v>
      </c>
      <c r="F2383" s="9">
        <v>3005000</v>
      </c>
      <c r="G2383" s="8"/>
      <c r="H2383" s="9">
        <f t="shared" si="1243"/>
        <v>3005000</v>
      </c>
      <c r="I2383" s="8"/>
      <c r="J2383" s="9">
        <f t="shared" si="1244"/>
        <v>3005000</v>
      </c>
      <c r="K2383" s="8"/>
      <c r="L2383" s="8"/>
      <c r="M2383" s="9">
        <f t="shared" si="1251"/>
        <v>3005000</v>
      </c>
      <c r="N2383" s="8"/>
      <c r="O2383" s="9"/>
      <c r="P2383" s="9">
        <f t="shared" si="1252"/>
        <v>0</v>
      </c>
      <c r="Q2383" s="9">
        <f t="shared" si="1245"/>
        <v>3005000</v>
      </c>
      <c r="R2383" s="8"/>
      <c r="S2383" s="8"/>
      <c r="T2383" s="8"/>
      <c r="U2383" s="18">
        <f t="shared" si="1246"/>
        <v>0</v>
      </c>
      <c r="V2383" s="17"/>
      <c r="W2383" s="17"/>
      <c r="X2383" s="9">
        <f t="shared" si="1247"/>
        <v>3005000</v>
      </c>
      <c r="Y2383" s="8"/>
      <c r="Z2383" s="9">
        <f t="shared" si="1248"/>
        <v>0</v>
      </c>
      <c r="AA2383" s="8">
        <f t="shared" si="1249"/>
        <v>3005000</v>
      </c>
      <c r="AB2383" s="8">
        <f t="shared" si="1250"/>
        <v>0</v>
      </c>
    </row>
    <row r="2384" spans="1:28" x14ac:dyDescent="0.3">
      <c r="A2384" s="64"/>
      <c r="B2384" s="8"/>
      <c r="C2384" s="7" t="s">
        <v>535</v>
      </c>
      <c r="D2384" s="15" t="s">
        <v>61</v>
      </c>
      <c r="E2384" s="11">
        <v>914189</v>
      </c>
      <c r="F2384" s="11">
        <v>914189</v>
      </c>
      <c r="G2384" s="8"/>
      <c r="H2384" s="9">
        <f t="shared" si="1243"/>
        <v>914189</v>
      </c>
      <c r="I2384" s="8"/>
      <c r="J2384" s="9">
        <f t="shared" si="1244"/>
        <v>914189</v>
      </c>
      <c r="K2384" s="8"/>
      <c r="L2384" s="8"/>
      <c r="M2384" s="9">
        <f t="shared" si="1251"/>
        <v>914189</v>
      </c>
      <c r="N2384" s="8"/>
      <c r="O2384" s="9"/>
      <c r="P2384" s="9">
        <f t="shared" si="1252"/>
        <v>0</v>
      </c>
      <c r="Q2384" s="9">
        <f t="shared" si="1245"/>
        <v>914189</v>
      </c>
      <c r="R2384" s="8"/>
      <c r="S2384" s="8"/>
      <c r="T2384" s="8"/>
      <c r="U2384" s="18">
        <f t="shared" si="1246"/>
        <v>0</v>
      </c>
      <c r="V2384" s="17"/>
      <c r="W2384" s="17"/>
      <c r="X2384" s="9">
        <f t="shared" si="1247"/>
        <v>914189</v>
      </c>
      <c r="Y2384" s="8"/>
      <c r="Z2384" s="9">
        <f t="shared" si="1248"/>
        <v>0</v>
      </c>
      <c r="AA2384" s="8">
        <f t="shared" si="1249"/>
        <v>914189</v>
      </c>
      <c r="AB2384" s="8">
        <f t="shared" si="1250"/>
        <v>0</v>
      </c>
    </row>
    <row r="2385" spans="1:28" x14ac:dyDescent="0.3">
      <c r="A2385" s="64"/>
      <c r="B2385" s="8"/>
      <c r="C2385" s="7" t="s">
        <v>1230</v>
      </c>
      <c r="D2385" s="16" t="s">
        <v>1225</v>
      </c>
      <c r="E2385" s="11">
        <v>86400</v>
      </c>
      <c r="F2385" s="11">
        <v>86400</v>
      </c>
      <c r="G2385" s="8"/>
      <c r="H2385" s="9">
        <f>+F2385+G2385</f>
        <v>86400</v>
      </c>
      <c r="I2385" s="8"/>
      <c r="J2385" s="9">
        <f t="shared" si="1244"/>
        <v>86400</v>
      </c>
      <c r="K2385" s="8"/>
      <c r="L2385" s="8"/>
      <c r="M2385" s="9">
        <f t="shared" si="1251"/>
        <v>86400</v>
      </c>
      <c r="N2385" s="8"/>
      <c r="O2385" s="9"/>
      <c r="P2385" s="9">
        <f>+N2385+O2385</f>
        <v>0</v>
      </c>
      <c r="Q2385" s="9">
        <f t="shared" si="1245"/>
        <v>86400</v>
      </c>
      <c r="R2385" s="8"/>
      <c r="S2385" s="8"/>
      <c r="T2385" s="8"/>
      <c r="U2385" s="18">
        <f t="shared" si="1246"/>
        <v>0</v>
      </c>
      <c r="V2385" s="17"/>
      <c r="W2385" s="17"/>
      <c r="X2385" s="9">
        <f t="shared" si="1247"/>
        <v>86400</v>
      </c>
      <c r="Y2385" s="8"/>
      <c r="Z2385" s="9">
        <f t="shared" si="1248"/>
        <v>0</v>
      </c>
      <c r="AA2385" s="8">
        <f t="shared" si="1249"/>
        <v>86400</v>
      </c>
      <c r="AB2385" s="8">
        <f t="shared" si="1250"/>
        <v>0</v>
      </c>
    </row>
    <row r="2386" spans="1:28" x14ac:dyDescent="0.3">
      <c r="A2386" s="64"/>
      <c r="B2386" s="8"/>
      <c r="C2386" s="7" t="s">
        <v>606</v>
      </c>
      <c r="D2386" s="8"/>
      <c r="E2386" s="9">
        <v>2500000</v>
      </c>
      <c r="F2386" s="9">
        <v>2500000</v>
      </c>
      <c r="G2386" s="8"/>
      <c r="H2386" s="9">
        <f t="shared" si="1243"/>
        <v>2500000</v>
      </c>
      <c r="I2386" s="8"/>
      <c r="J2386" s="9">
        <f t="shared" si="1244"/>
        <v>2500000</v>
      </c>
      <c r="K2386" s="8"/>
      <c r="L2386" s="8"/>
      <c r="M2386" s="9">
        <f t="shared" si="1251"/>
        <v>2500000</v>
      </c>
      <c r="N2386" s="8"/>
      <c r="O2386" s="9"/>
      <c r="P2386" s="9">
        <f t="shared" si="1252"/>
        <v>0</v>
      </c>
      <c r="Q2386" s="9">
        <f t="shared" si="1245"/>
        <v>2500000</v>
      </c>
      <c r="R2386" s="8"/>
      <c r="S2386" s="8"/>
      <c r="T2386" s="8"/>
      <c r="U2386" s="18">
        <f t="shared" si="1246"/>
        <v>0</v>
      </c>
      <c r="V2386" s="17"/>
      <c r="W2386" s="17"/>
      <c r="X2386" s="9">
        <f t="shared" si="1247"/>
        <v>2500000</v>
      </c>
      <c r="Y2386" s="8"/>
      <c r="Z2386" s="9">
        <f t="shared" si="1248"/>
        <v>0</v>
      </c>
      <c r="AA2386" s="8">
        <f t="shared" si="1249"/>
        <v>2500000</v>
      </c>
      <c r="AB2386" s="8">
        <f t="shared" si="1250"/>
        <v>0</v>
      </c>
    </row>
    <row r="2387" spans="1:28" x14ac:dyDescent="0.3">
      <c r="A2387" s="64"/>
      <c r="B2387" s="8"/>
      <c r="C2387" s="8"/>
      <c r="D2387" s="8"/>
      <c r="E2387" s="17" t="s">
        <v>29</v>
      </c>
      <c r="F2387" s="17" t="s">
        <v>29</v>
      </c>
      <c r="G2387" s="17" t="s">
        <v>29</v>
      </c>
      <c r="H2387" s="17" t="s">
        <v>29</v>
      </c>
      <c r="I2387" s="17" t="s">
        <v>29</v>
      </c>
      <c r="J2387" s="17" t="s">
        <v>29</v>
      </c>
      <c r="K2387" s="17" t="s">
        <v>29</v>
      </c>
      <c r="L2387" s="17" t="s">
        <v>29</v>
      </c>
      <c r="M2387" s="17" t="s">
        <v>29</v>
      </c>
      <c r="N2387" s="17" t="s">
        <v>29</v>
      </c>
      <c r="O2387" s="17" t="s">
        <v>29</v>
      </c>
      <c r="P2387" s="17" t="s">
        <v>29</v>
      </c>
      <c r="Q2387" s="17" t="s">
        <v>29</v>
      </c>
      <c r="R2387" s="17" t="s">
        <v>29</v>
      </c>
      <c r="S2387" s="17" t="s">
        <v>29</v>
      </c>
      <c r="T2387" s="17" t="s">
        <v>29</v>
      </c>
      <c r="U2387" s="17" t="s">
        <v>29</v>
      </c>
      <c r="V2387" s="17" t="s">
        <v>29</v>
      </c>
      <c r="W2387" s="17" t="s">
        <v>29</v>
      </c>
      <c r="X2387" s="17" t="s">
        <v>29</v>
      </c>
      <c r="Y2387" s="17" t="s">
        <v>29</v>
      </c>
      <c r="Z2387" s="17" t="s">
        <v>29</v>
      </c>
      <c r="AA2387" s="17" t="s">
        <v>29</v>
      </c>
      <c r="AB2387" s="17" t="s">
        <v>29</v>
      </c>
    </row>
    <row r="2388" spans="1:28" x14ac:dyDescent="0.3">
      <c r="A2388" s="64"/>
      <c r="B2388" s="8"/>
      <c r="C2388" s="8"/>
      <c r="D2388" s="8"/>
      <c r="E2388" s="9">
        <f t="shared" ref="E2388:Q2388" si="1253">SUM(E2375:E2387)</f>
        <v>24182819.350000001</v>
      </c>
      <c r="F2388" s="9">
        <f t="shared" si="1253"/>
        <v>20823538.82</v>
      </c>
      <c r="G2388" s="9">
        <f t="shared" si="1253"/>
        <v>0</v>
      </c>
      <c r="H2388" s="9">
        <f t="shared" si="1253"/>
        <v>20823538.82</v>
      </c>
      <c r="I2388" s="9">
        <f t="shared" si="1253"/>
        <v>0</v>
      </c>
      <c r="J2388" s="9">
        <f t="shared" si="1253"/>
        <v>20823538.82</v>
      </c>
      <c r="K2388" s="9">
        <f t="shared" si="1253"/>
        <v>3359280.5300000003</v>
      </c>
      <c r="L2388" s="9">
        <f t="shared" si="1253"/>
        <v>0</v>
      </c>
      <c r="M2388" s="9">
        <f t="shared" si="1253"/>
        <v>20823538.82</v>
      </c>
      <c r="N2388" s="9">
        <f t="shared" si="1253"/>
        <v>3359280.5300000003</v>
      </c>
      <c r="O2388" s="9">
        <f t="shared" si="1253"/>
        <v>0</v>
      </c>
      <c r="P2388" s="9">
        <f t="shared" si="1253"/>
        <v>3359280.5300000003</v>
      </c>
      <c r="Q2388" s="9">
        <f t="shared" si="1253"/>
        <v>20823538.82</v>
      </c>
      <c r="R2388" s="8"/>
      <c r="S2388" s="8"/>
      <c r="T2388" s="9">
        <f t="shared" ref="T2388:Z2388" si="1254">SUM(T2375:T2387)</f>
        <v>0</v>
      </c>
      <c r="U2388" s="9">
        <f t="shared" si="1254"/>
        <v>3359280.5300000003</v>
      </c>
      <c r="V2388" s="9">
        <f t="shared" si="1254"/>
        <v>0</v>
      </c>
      <c r="W2388" s="9">
        <f t="shared" si="1254"/>
        <v>0</v>
      </c>
      <c r="X2388" s="9">
        <f t="shared" si="1254"/>
        <v>24182819.350000001</v>
      </c>
      <c r="Y2388" s="9">
        <f t="shared" si="1254"/>
        <v>0</v>
      </c>
      <c r="Z2388" s="9">
        <f t="shared" si="1254"/>
        <v>0</v>
      </c>
      <c r="AA2388" s="9">
        <f>SUM(AA2375:AA2387)</f>
        <v>24182819.350000001</v>
      </c>
      <c r="AB2388" s="9">
        <f>SUM(AB2375:AB2387)</f>
        <v>0</v>
      </c>
    </row>
    <row r="2389" spans="1:28" x14ac:dyDescent="0.3">
      <c r="A2389" s="64"/>
      <c r="B2389" s="8"/>
      <c r="C2389" s="8"/>
      <c r="D2389" s="8"/>
      <c r="E2389" s="17" t="s">
        <v>29</v>
      </c>
      <c r="F2389" s="17" t="s">
        <v>29</v>
      </c>
      <c r="G2389" s="17" t="s">
        <v>29</v>
      </c>
      <c r="H2389" s="17" t="s">
        <v>29</v>
      </c>
      <c r="I2389" s="17" t="s">
        <v>29</v>
      </c>
      <c r="J2389" s="17" t="s">
        <v>29</v>
      </c>
      <c r="K2389" s="17" t="s">
        <v>29</v>
      </c>
      <c r="L2389" s="17" t="s">
        <v>29</v>
      </c>
      <c r="M2389" s="17" t="s">
        <v>29</v>
      </c>
      <c r="N2389" s="17" t="s">
        <v>29</v>
      </c>
      <c r="O2389" s="17" t="s">
        <v>29</v>
      </c>
      <c r="P2389" s="17" t="s">
        <v>29</v>
      </c>
      <c r="Q2389" s="17" t="s">
        <v>29</v>
      </c>
      <c r="R2389" s="17" t="s">
        <v>29</v>
      </c>
      <c r="S2389" s="17" t="s">
        <v>29</v>
      </c>
      <c r="T2389" s="17" t="s">
        <v>29</v>
      </c>
      <c r="U2389" s="17" t="s">
        <v>29</v>
      </c>
      <c r="V2389" s="17" t="s">
        <v>29</v>
      </c>
      <c r="W2389" s="17" t="s">
        <v>29</v>
      </c>
      <c r="X2389" s="17" t="s">
        <v>29</v>
      </c>
      <c r="Y2389" s="17" t="s">
        <v>29</v>
      </c>
      <c r="Z2389" s="17" t="s">
        <v>29</v>
      </c>
      <c r="AA2389" s="17" t="s">
        <v>29</v>
      </c>
      <c r="AB2389" s="17" t="s">
        <v>29</v>
      </c>
    </row>
    <row r="2390" spans="1:28" x14ac:dyDescent="0.3">
      <c r="A2390" s="63" t="s">
        <v>1039</v>
      </c>
      <c r="B2390" s="7" t="s">
        <v>848</v>
      </c>
      <c r="C2390" s="8"/>
      <c r="D2390" s="8"/>
      <c r="E2390" s="8"/>
      <c r="F2390" s="8"/>
      <c r="G2390" s="8"/>
      <c r="H2390" s="8"/>
      <c r="I2390" s="8"/>
      <c r="J2390" s="8"/>
      <c r="K2390" s="8"/>
      <c r="L2390" s="8"/>
      <c r="M2390" s="8"/>
      <c r="N2390" s="8"/>
      <c r="O2390" s="8"/>
      <c r="P2390" s="8"/>
      <c r="Q2390" s="8"/>
      <c r="R2390" s="8"/>
      <c r="S2390" s="8"/>
      <c r="T2390" s="8"/>
      <c r="U2390" s="8"/>
      <c r="V2390" s="8"/>
      <c r="W2390" s="8"/>
      <c r="X2390" s="8"/>
      <c r="Y2390" s="8"/>
      <c r="Z2390" s="8"/>
    </row>
    <row r="2391" spans="1:28" x14ac:dyDescent="0.3">
      <c r="A2391" s="64"/>
      <c r="B2391" s="8"/>
      <c r="C2391" s="7" t="s">
        <v>535</v>
      </c>
      <c r="D2391" s="15" t="s">
        <v>76</v>
      </c>
      <c r="E2391" s="9">
        <v>4789709.49</v>
      </c>
      <c r="F2391" s="9">
        <f>3714086.2+811325.63</f>
        <v>4525411.83</v>
      </c>
      <c r="G2391" s="8"/>
      <c r="H2391" s="9">
        <f t="shared" ref="H2391:H2414" si="1255">F2391+G2391</f>
        <v>4525411.83</v>
      </c>
      <c r="I2391" s="8"/>
      <c r="J2391" s="9">
        <f t="shared" ref="J2391:J2414" si="1256">H2391+I2391</f>
        <v>4525411.83</v>
      </c>
      <c r="K2391" s="9">
        <v>264297.65999999997</v>
      </c>
      <c r="L2391" s="8"/>
      <c r="M2391" s="9">
        <f>+H2391+L2391</f>
        <v>4525411.83</v>
      </c>
      <c r="N2391" s="8">
        <v>264297.65999999997</v>
      </c>
      <c r="O2391" s="9"/>
      <c r="P2391" s="9">
        <f>+N2391+O2391</f>
        <v>264297.65999999997</v>
      </c>
      <c r="Q2391" s="9">
        <f t="shared" ref="Q2391:Q2414" si="1257">E2391-P2391</f>
        <v>4525411.83</v>
      </c>
      <c r="R2391" s="8"/>
      <c r="S2391" s="8"/>
      <c r="T2391" s="8"/>
      <c r="U2391" s="18">
        <f t="shared" ref="U2391:U2414" si="1258">+P2391+T2391</f>
        <v>264297.65999999997</v>
      </c>
      <c r="V2391" s="17"/>
      <c r="W2391" s="17"/>
      <c r="X2391" s="9">
        <f t="shared" ref="X2391:X2414" si="1259">+H2391+P2391</f>
        <v>4789709.49</v>
      </c>
      <c r="Y2391" s="8"/>
      <c r="Z2391" s="9">
        <f t="shared" ref="Z2391:Z2414" si="1260">+E2391-X2391</f>
        <v>0</v>
      </c>
      <c r="AA2391" s="8">
        <f t="shared" ref="AA2391:AA2414" si="1261">+M2391+U2391</f>
        <v>4789709.49</v>
      </c>
      <c r="AB2391" s="8">
        <f t="shared" ref="AB2391:AB2414" si="1262">+E2391-AA2391</f>
        <v>0</v>
      </c>
    </row>
    <row r="2392" spans="1:28" x14ac:dyDescent="0.3">
      <c r="A2392" s="64"/>
      <c r="B2392" s="8"/>
      <c r="C2392" s="7" t="s">
        <v>535</v>
      </c>
      <c r="D2392" s="15" t="s">
        <v>849</v>
      </c>
      <c r="E2392" s="9">
        <v>6054326.2199999997</v>
      </c>
      <c r="F2392" s="9">
        <v>6054326.2199999997</v>
      </c>
      <c r="G2392" s="8"/>
      <c r="H2392" s="9">
        <f t="shared" si="1255"/>
        <v>6054326.2199999997</v>
      </c>
      <c r="I2392" s="8"/>
      <c r="J2392" s="9">
        <f t="shared" si="1256"/>
        <v>6054326.2199999997</v>
      </c>
      <c r="K2392" s="8"/>
      <c r="L2392" s="8"/>
      <c r="M2392" s="9">
        <f t="shared" ref="M2392:M2414" si="1263">+H2392+L2392</f>
        <v>6054326.2199999997</v>
      </c>
      <c r="N2392" s="8"/>
      <c r="O2392" s="9"/>
      <c r="P2392" s="9">
        <f t="shared" ref="P2392:P2414" si="1264">+N2392+O2392</f>
        <v>0</v>
      </c>
      <c r="Q2392" s="9">
        <f t="shared" si="1257"/>
        <v>6054326.2199999997</v>
      </c>
      <c r="R2392" s="8"/>
      <c r="S2392" s="8"/>
      <c r="T2392" s="8"/>
      <c r="U2392" s="18">
        <f t="shared" si="1258"/>
        <v>0</v>
      </c>
      <c r="V2392" s="17"/>
      <c r="W2392" s="17"/>
      <c r="X2392" s="9">
        <f t="shared" si="1259"/>
        <v>6054326.2199999997</v>
      </c>
      <c r="Y2392" s="8"/>
      <c r="Z2392" s="9">
        <f t="shared" si="1260"/>
        <v>0</v>
      </c>
      <c r="AA2392" s="8">
        <f t="shared" si="1261"/>
        <v>6054326.2199999997</v>
      </c>
      <c r="AB2392" s="8">
        <f t="shared" si="1262"/>
        <v>0</v>
      </c>
    </row>
    <row r="2393" spans="1:28" x14ac:dyDescent="0.3">
      <c r="A2393" s="64"/>
      <c r="B2393" s="8"/>
      <c r="C2393" s="7" t="s">
        <v>817</v>
      </c>
      <c r="D2393" s="15" t="s">
        <v>166</v>
      </c>
      <c r="E2393" s="9">
        <v>2071263.44</v>
      </c>
      <c r="F2393" s="9">
        <v>2071263.44</v>
      </c>
      <c r="G2393" s="8"/>
      <c r="H2393" s="9">
        <f t="shared" si="1255"/>
        <v>2071263.44</v>
      </c>
      <c r="I2393" s="8"/>
      <c r="J2393" s="9">
        <f t="shared" si="1256"/>
        <v>2071263.44</v>
      </c>
      <c r="K2393" s="8"/>
      <c r="L2393" s="8"/>
      <c r="M2393" s="9">
        <f t="shared" si="1263"/>
        <v>2071263.44</v>
      </c>
      <c r="N2393" s="8"/>
      <c r="O2393" s="9"/>
      <c r="P2393" s="9">
        <f t="shared" si="1264"/>
        <v>0</v>
      </c>
      <c r="Q2393" s="9">
        <f t="shared" si="1257"/>
        <v>2071263.44</v>
      </c>
      <c r="R2393" s="8"/>
      <c r="S2393" s="8"/>
      <c r="T2393" s="8"/>
      <c r="U2393" s="18">
        <f t="shared" si="1258"/>
        <v>0</v>
      </c>
      <c r="V2393" s="17"/>
      <c r="W2393" s="17"/>
      <c r="X2393" s="9">
        <f t="shared" si="1259"/>
        <v>2071263.44</v>
      </c>
      <c r="Y2393" s="8"/>
      <c r="Z2393" s="9">
        <f t="shared" si="1260"/>
        <v>0</v>
      </c>
      <c r="AA2393" s="8">
        <f t="shared" si="1261"/>
        <v>2071263.44</v>
      </c>
      <c r="AB2393" s="8">
        <f t="shared" si="1262"/>
        <v>0</v>
      </c>
    </row>
    <row r="2394" spans="1:28" x14ac:dyDescent="0.3">
      <c r="A2394" s="64"/>
      <c r="B2394" s="8"/>
      <c r="C2394" s="7" t="s">
        <v>535</v>
      </c>
      <c r="D2394" s="15" t="s">
        <v>78</v>
      </c>
      <c r="E2394" s="9">
        <v>651650</v>
      </c>
      <c r="F2394" s="9">
        <v>651650</v>
      </c>
      <c r="G2394" s="8"/>
      <c r="H2394" s="9">
        <f t="shared" si="1255"/>
        <v>651650</v>
      </c>
      <c r="I2394" s="8"/>
      <c r="J2394" s="9">
        <f t="shared" si="1256"/>
        <v>651650</v>
      </c>
      <c r="K2394" s="8"/>
      <c r="L2394" s="8"/>
      <c r="M2394" s="9">
        <f t="shared" si="1263"/>
        <v>651650</v>
      </c>
      <c r="N2394" s="8"/>
      <c r="O2394" s="9"/>
      <c r="P2394" s="9">
        <f t="shared" si="1264"/>
        <v>0</v>
      </c>
      <c r="Q2394" s="9">
        <f t="shared" si="1257"/>
        <v>651650</v>
      </c>
      <c r="R2394" s="8"/>
      <c r="S2394" s="8"/>
      <c r="T2394" s="8"/>
      <c r="U2394" s="18">
        <f t="shared" si="1258"/>
        <v>0</v>
      </c>
      <c r="V2394" s="17"/>
      <c r="W2394" s="17"/>
      <c r="X2394" s="9">
        <f t="shared" si="1259"/>
        <v>651650</v>
      </c>
      <c r="Y2394" s="8"/>
      <c r="Z2394" s="9">
        <f t="shared" si="1260"/>
        <v>0</v>
      </c>
      <c r="AA2394" s="8">
        <f t="shared" si="1261"/>
        <v>651650</v>
      </c>
      <c r="AB2394" s="8">
        <f t="shared" si="1262"/>
        <v>0</v>
      </c>
    </row>
    <row r="2395" spans="1:28" x14ac:dyDescent="0.3">
      <c r="A2395" s="64"/>
      <c r="B2395" s="8"/>
      <c r="C2395" s="7" t="s">
        <v>535</v>
      </c>
      <c r="D2395" s="15" t="s">
        <v>68</v>
      </c>
      <c r="E2395" s="9">
        <f>4003300-3954300</f>
        <v>49000</v>
      </c>
      <c r="F2395" s="9">
        <v>49000</v>
      </c>
      <c r="G2395" s="8"/>
      <c r="H2395" s="9">
        <f t="shared" si="1255"/>
        <v>49000</v>
      </c>
      <c r="I2395" s="8"/>
      <c r="J2395" s="9">
        <f t="shared" si="1256"/>
        <v>49000</v>
      </c>
      <c r="K2395" s="8"/>
      <c r="L2395" s="8"/>
      <c r="M2395" s="9">
        <f t="shared" si="1263"/>
        <v>49000</v>
      </c>
      <c r="N2395" s="8"/>
      <c r="O2395" s="9"/>
      <c r="P2395" s="9">
        <f t="shared" si="1264"/>
        <v>0</v>
      </c>
      <c r="Q2395" s="9">
        <f t="shared" si="1257"/>
        <v>49000</v>
      </c>
      <c r="R2395" s="8"/>
      <c r="S2395" s="8"/>
      <c r="T2395" s="8"/>
      <c r="U2395" s="18">
        <f t="shared" si="1258"/>
        <v>0</v>
      </c>
      <c r="V2395" s="17"/>
      <c r="W2395" s="17"/>
      <c r="X2395" s="9">
        <f t="shared" si="1259"/>
        <v>49000</v>
      </c>
      <c r="Y2395" s="8"/>
      <c r="Z2395" s="9">
        <f t="shared" si="1260"/>
        <v>0</v>
      </c>
      <c r="AA2395" s="8">
        <f t="shared" si="1261"/>
        <v>49000</v>
      </c>
      <c r="AB2395" s="8">
        <f t="shared" si="1262"/>
        <v>0</v>
      </c>
    </row>
    <row r="2396" spans="1:28" x14ac:dyDescent="0.3">
      <c r="A2396" s="64"/>
      <c r="B2396" s="8"/>
      <c r="C2396" s="7" t="s">
        <v>539</v>
      </c>
      <c r="D2396" s="15" t="s">
        <v>68</v>
      </c>
      <c r="E2396" s="9">
        <f>598793+495261.09</f>
        <v>1094054.0900000001</v>
      </c>
      <c r="F2396" s="8"/>
      <c r="G2396" s="8"/>
      <c r="H2396" s="9">
        <f t="shared" si="1255"/>
        <v>0</v>
      </c>
      <c r="I2396" s="8"/>
      <c r="J2396" s="9">
        <f t="shared" si="1256"/>
        <v>0</v>
      </c>
      <c r="K2396" s="9">
        <f>598793+495261.09</f>
        <v>1094054.0900000001</v>
      </c>
      <c r="L2396" s="8"/>
      <c r="M2396" s="9">
        <f t="shared" si="1263"/>
        <v>0</v>
      </c>
      <c r="N2396" s="8">
        <v>1094054.0900000001</v>
      </c>
      <c r="O2396" s="9"/>
      <c r="P2396" s="9">
        <f t="shared" si="1264"/>
        <v>1094054.0900000001</v>
      </c>
      <c r="Q2396" s="9">
        <f t="shared" si="1257"/>
        <v>0</v>
      </c>
      <c r="R2396" s="8"/>
      <c r="S2396" s="8"/>
      <c r="T2396" s="8"/>
      <c r="U2396" s="18">
        <f t="shared" si="1258"/>
        <v>1094054.0900000001</v>
      </c>
      <c r="V2396" s="17"/>
      <c r="W2396" s="17"/>
      <c r="X2396" s="9">
        <f t="shared" si="1259"/>
        <v>1094054.0900000001</v>
      </c>
      <c r="Y2396" s="8"/>
      <c r="Z2396" s="9">
        <f t="shared" si="1260"/>
        <v>0</v>
      </c>
      <c r="AA2396" s="8">
        <f t="shared" si="1261"/>
        <v>1094054.0900000001</v>
      </c>
      <c r="AB2396" s="8">
        <f t="shared" si="1262"/>
        <v>0</v>
      </c>
    </row>
    <row r="2397" spans="1:28" x14ac:dyDescent="0.3">
      <c r="A2397" s="64"/>
      <c r="B2397" s="8"/>
      <c r="C2397" s="7" t="s">
        <v>545</v>
      </c>
      <c r="D2397" s="15" t="s">
        <v>54</v>
      </c>
      <c r="E2397" s="9">
        <v>570941</v>
      </c>
      <c r="F2397" s="8"/>
      <c r="G2397" s="8"/>
      <c r="H2397" s="9">
        <f t="shared" si="1255"/>
        <v>0</v>
      </c>
      <c r="I2397" s="8"/>
      <c r="J2397" s="9">
        <f t="shared" si="1256"/>
        <v>0</v>
      </c>
      <c r="K2397" s="9">
        <v>570941</v>
      </c>
      <c r="L2397" s="8"/>
      <c r="M2397" s="9">
        <f t="shared" si="1263"/>
        <v>0</v>
      </c>
      <c r="N2397" s="8">
        <v>570941</v>
      </c>
      <c r="O2397" s="9"/>
      <c r="P2397" s="9">
        <f t="shared" si="1264"/>
        <v>570941</v>
      </c>
      <c r="Q2397" s="9">
        <f t="shared" si="1257"/>
        <v>0</v>
      </c>
      <c r="R2397" s="8"/>
      <c r="S2397" s="8"/>
      <c r="T2397" s="8"/>
      <c r="U2397" s="18">
        <f t="shared" si="1258"/>
        <v>570941</v>
      </c>
      <c r="V2397" s="17"/>
      <c r="W2397" s="17"/>
      <c r="X2397" s="9">
        <f t="shared" si="1259"/>
        <v>570941</v>
      </c>
      <c r="Y2397" s="8"/>
      <c r="Z2397" s="9">
        <f t="shared" si="1260"/>
        <v>0</v>
      </c>
      <c r="AA2397" s="8">
        <f t="shared" si="1261"/>
        <v>570941</v>
      </c>
      <c r="AB2397" s="8">
        <f t="shared" si="1262"/>
        <v>0</v>
      </c>
    </row>
    <row r="2398" spans="1:28" x14ac:dyDescent="0.3">
      <c r="A2398" s="64"/>
      <c r="B2398" s="8"/>
      <c r="C2398" s="7" t="s">
        <v>850</v>
      </c>
      <c r="D2398" s="21" t="s">
        <v>54</v>
      </c>
      <c r="E2398" s="9">
        <f>2691000-134550</f>
        <v>2556450</v>
      </c>
      <c r="F2398" s="9">
        <f>351609.3+2000000+204840.7</f>
        <v>2556450</v>
      </c>
      <c r="G2398" s="8"/>
      <c r="H2398" s="9">
        <f t="shared" si="1255"/>
        <v>2556450</v>
      </c>
      <c r="I2398" s="8"/>
      <c r="J2398" s="9">
        <f t="shared" si="1256"/>
        <v>2556450</v>
      </c>
      <c r="K2398" s="8"/>
      <c r="L2398" s="8"/>
      <c r="M2398" s="9">
        <f t="shared" si="1263"/>
        <v>2556450</v>
      </c>
      <c r="N2398" s="8"/>
      <c r="O2398" s="9"/>
      <c r="P2398" s="9">
        <f t="shared" si="1264"/>
        <v>0</v>
      </c>
      <c r="Q2398" s="9">
        <f t="shared" si="1257"/>
        <v>2556450</v>
      </c>
      <c r="R2398" s="8"/>
      <c r="S2398" s="8"/>
      <c r="T2398" s="8"/>
      <c r="U2398" s="18">
        <f t="shared" si="1258"/>
        <v>0</v>
      </c>
      <c r="V2398" s="17"/>
      <c r="W2398" s="17"/>
      <c r="X2398" s="9">
        <f t="shared" si="1259"/>
        <v>2556450</v>
      </c>
      <c r="Y2398" s="8"/>
      <c r="Z2398" s="9">
        <f t="shared" si="1260"/>
        <v>0</v>
      </c>
      <c r="AA2398" s="8">
        <f t="shared" si="1261"/>
        <v>2556450</v>
      </c>
      <c r="AB2398" s="8">
        <f t="shared" si="1262"/>
        <v>0</v>
      </c>
    </row>
    <row r="2399" spans="1:28" x14ac:dyDescent="0.3">
      <c r="A2399" s="64"/>
      <c r="B2399" s="8"/>
      <c r="C2399" s="7" t="s">
        <v>851</v>
      </c>
      <c r="D2399" s="15" t="s">
        <v>54</v>
      </c>
      <c r="E2399" s="9">
        <f>2119000-105950</f>
        <v>2013050</v>
      </c>
      <c r="F2399" s="9">
        <v>792479</v>
      </c>
      <c r="G2399" s="8"/>
      <c r="H2399" s="9">
        <f t="shared" si="1255"/>
        <v>792479</v>
      </c>
      <c r="I2399" s="8"/>
      <c r="J2399" s="9">
        <f t="shared" si="1256"/>
        <v>792479</v>
      </c>
      <c r="K2399" s="9">
        <v>1220571</v>
      </c>
      <c r="L2399" s="8"/>
      <c r="M2399" s="9">
        <f t="shared" si="1263"/>
        <v>792479</v>
      </c>
      <c r="N2399" s="8">
        <v>1220571</v>
      </c>
      <c r="O2399" s="9"/>
      <c r="P2399" s="9">
        <f t="shared" si="1264"/>
        <v>1220571</v>
      </c>
      <c r="Q2399" s="9">
        <f t="shared" si="1257"/>
        <v>792479</v>
      </c>
      <c r="R2399" s="8"/>
      <c r="S2399" s="8"/>
      <c r="T2399" s="8"/>
      <c r="U2399" s="18">
        <f t="shared" si="1258"/>
        <v>1220571</v>
      </c>
      <c r="V2399" s="17"/>
      <c r="W2399" s="17"/>
      <c r="X2399" s="9">
        <f t="shared" si="1259"/>
        <v>2013050</v>
      </c>
      <c r="Y2399" s="8"/>
      <c r="Z2399" s="9">
        <f t="shared" si="1260"/>
        <v>0</v>
      </c>
      <c r="AA2399" s="8">
        <f t="shared" si="1261"/>
        <v>2013050</v>
      </c>
      <c r="AB2399" s="8">
        <f t="shared" si="1262"/>
        <v>0</v>
      </c>
    </row>
    <row r="2400" spans="1:28" x14ac:dyDescent="0.3">
      <c r="A2400" s="64"/>
      <c r="B2400" s="8"/>
      <c r="C2400" s="7" t="s">
        <v>852</v>
      </c>
      <c r="D2400" s="15" t="s">
        <v>54</v>
      </c>
      <c r="E2400" s="9">
        <f>5190000-259500-735670.66</f>
        <v>4194829.34</v>
      </c>
      <c r="F2400" s="9">
        <f>2000000+325168.34+1750661+119000</f>
        <v>4194829.34</v>
      </c>
      <c r="G2400" s="8"/>
      <c r="H2400" s="9">
        <f t="shared" si="1255"/>
        <v>4194829.34</v>
      </c>
      <c r="I2400" s="8"/>
      <c r="J2400" s="9">
        <f t="shared" si="1256"/>
        <v>4194829.34</v>
      </c>
      <c r="K2400" s="8"/>
      <c r="L2400" s="8"/>
      <c r="M2400" s="9">
        <f t="shared" si="1263"/>
        <v>4194829.34</v>
      </c>
      <c r="N2400" s="8"/>
      <c r="O2400" s="9"/>
      <c r="P2400" s="9">
        <f t="shared" si="1264"/>
        <v>0</v>
      </c>
      <c r="Q2400" s="9">
        <f t="shared" si="1257"/>
        <v>4194829.34</v>
      </c>
      <c r="R2400" s="8"/>
      <c r="S2400" s="8"/>
      <c r="T2400" s="8"/>
      <c r="U2400" s="18">
        <f t="shared" si="1258"/>
        <v>0</v>
      </c>
      <c r="V2400" s="17"/>
      <c r="W2400" s="17"/>
      <c r="X2400" s="9">
        <f t="shared" si="1259"/>
        <v>4194829.34</v>
      </c>
      <c r="Y2400" s="8"/>
      <c r="Z2400" s="9">
        <f t="shared" si="1260"/>
        <v>0</v>
      </c>
      <c r="AA2400" s="8">
        <f t="shared" si="1261"/>
        <v>4194829.34</v>
      </c>
      <c r="AB2400" s="8">
        <f t="shared" si="1262"/>
        <v>0</v>
      </c>
    </row>
    <row r="2401" spans="1:28" x14ac:dyDescent="0.3">
      <c r="A2401" s="64"/>
      <c r="B2401" s="8"/>
      <c r="C2401" s="7" t="s">
        <v>535</v>
      </c>
      <c r="D2401" s="15" t="s">
        <v>85</v>
      </c>
      <c r="E2401" s="9">
        <v>704478</v>
      </c>
      <c r="F2401" s="9">
        <v>704478</v>
      </c>
      <c r="G2401" s="8"/>
      <c r="H2401" s="9">
        <f t="shared" si="1255"/>
        <v>704478</v>
      </c>
      <c r="I2401" s="8"/>
      <c r="J2401" s="9">
        <f t="shared" si="1256"/>
        <v>704478</v>
      </c>
      <c r="K2401" s="8"/>
      <c r="L2401" s="8"/>
      <c r="M2401" s="9">
        <f t="shared" si="1263"/>
        <v>704478</v>
      </c>
      <c r="N2401" s="8"/>
      <c r="O2401" s="9"/>
      <c r="P2401" s="9">
        <f t="shared" si="1264"/>
        <v>0</v>
      </c>
      <c r="Q2401" s="9">
        <f t="shared" si="1257"/>
        <v>704478</v>
      </c>
      <c r="R2401" s="8"/>
      <c r="S2401" s="8"/>
      <c r="T2401" s="8"/>
      <c r="U2401" s="18">
        <f t="shared" si="1258"/>
        <v>0</v>
      </c>
      <c r="V2401" s="17"/>
      <c r="W2401" s="17"/>
      <c r="X2401" s="9">
        <f t="shared" si="1259"/>
        <v>704478</v>
      </c>
      <c r="Y2401" s="8"/>
      <c r="Z2401" s="9">
        <f t="shared" si="1260"/>
        <v>0</v>
      </c>
      <c r="AA2401" s="8">
        <f t="shared" si="1261"/>
        <v>704478</v>
      </c>
      <c r="AB2401" s="8">
        <f t="shared" si="1262"/>
        <v>0</v>
      </c>
    </row>
    <row r="2402" spans="1:28" x14ac:dyDescent="0.3">
      <c r="A2402" s="64"/>
      <c r="B2402" s="8"/>
      <c r="C2402" s="7" t="s">
        <v>535</v>
      </c>
      <c r="D2402" s="15" t="s">
        <v>88</v>
      </c>
      <c r="E2402" s="9">
        <v>1080000</v>
      </c>
      <c r="F2402" s="9">
        <v>1080000</v>
      </c>
      <c r="G2402" s="8"/>
      <c r="H2402" s="9">
        <f t="shared" si="1255"/>
        <v>1080000</v>
      </c>
      <c r="I2402" s="8"/>
      <c r="J2402" s="9">
        <f t="shared" si="1256"/>
        <v>1080000</v>
      </c>
      <c r="K2402" s="8"/>
      <c r="L2402" s="8"/>
      <c r="M2402" s="9">
        <f t="shared" si="1263"/>
        <v>1080000</v>
      </c>
      <c r="N2402" s="8"/>
      <c r="O2402" s="9"/>
      <c r="P2402" s="9">
        <f t="shared" si="1264"/>
        <v>0</v>
      </c>
      <c r="Q2402" s="9">
        <f t="shared" si="1257"/>
        <v>1080000</v>
      </c>
      <c r="R2402" s="8"/>
      <c r="S2402" s="8"/>
      <c r="T2402" s="8"/>
      <c r="U2402" s="18">
        <f t="shared" si="1258"/>
        <v>0</v>
      </c>
      <c r="V2402" s="17"/>
      <c r="W2402" s="17"/>
      <c r="X2402" s="9">
        <f t="shared" si="1259"/>
        <v>1080000</v>
      </c>
      <c r="Y2402" s="8"/>
      <c r="Z2402" s="9">
        <f t="shared" si="1260"/>
        <v>0</v>
      </c>
      <c r="AA2402" s="8">
        <f t="shared" si="1261"/>
        <v>1080000</v>
      </c>
      <c r="AB2402" s="8">
        <f t="shared" si="1262"/>
        <v>0</v>
      </c>
    </row>
    <row r="2403" spans="1:28" x14ac:dyDescent="0.3">
      <c r="A2403" s="64"/>
      <c r="B2403" s="8"/>
      <c r="C2403" s="7" t="s">
        <v>535</v>
      </c>
      <c r="D2403" s="15" t="s">
        <v>108</v>
      </c>
      <c r="E2403" s="9">
        <v>1693847</v>
      </c>
      <c r="F2403" s="9">
        <v>1693847</v>
      </c>
      <c r="G2403" s="8"/>
      <c r="H2403" s="9">
        <f t="shared" si="1255"/>
        <v>1693847</v>
      </c>
      <c r="I2403" s="8"/>
      <c r="J2403" s="9">
        <f t="shared" si="1256"/>
        <v>1693847</v>
      </c>
      <c r="K2403" s="8"/>
      <c r="L2403" s="8"/>
      <c r="M2403" s="9">
        <f t="shared" si="1263"/>
        <v>1693847</v>
      </c>
      <c r="N2403" s="8"/>
      <c r="O2403" s="9"/>
      <c r="P2403" s="9">
        <f t="shared" si="1264"/>
        <v>0</v>
      </c>
      <c r="Q2403" s="9">
        <f t="shared" si="1257"/>
        <v>1693847</v>
      </c>
      <c r="R2403" s="8"/>
      <c r="S2403" s="8"/>
      <c r="T2403" s="8"/>
      <c r="U2403" s="18">
        <f t="shared" si="1258"/>
        <v>0</v>
      </c>
      <c r="V2403" s="17"/>
      <c r="W2403" s="17"/>
      <c r="X2403" s="9">
        <f t="shared" si="1259"/>
        <v>1693847</v>
      </c>
      <c r="Y2403" s="8"/>
      <c r="Z2403" s="9">
        <f t="shared" si="1260"/>
        <v>0</v>
      </c>
      <c r="AA2403" s="8">
        <f t="shared" si="1261"/>
        <v>1693847</v>
      </c>
      <c r="AB2403" s="8">
        <f t="shared" si="1262"/>
        <v>0</v>
      </c>
    </row>
    <row r="2404" spans="1:28" x14ac:dyDescent="0.3">
      <c r="A2404" s="64"/>
      <c r="B2404" s="8"/>
      <c r="C2404" s="7" t="s">
        <v>535</v>
      </c>
      <c r="D2404" s="21" t="s">
        <v>60</v>
      </c>
      <c r="E2404" s="9">
        <v>2083700</v>
      </c>
      <c r="F2404" s="9">
        <v>2083700</v>
      </c>
      <c r="G2404" s="8"/>
      <c r="H2404" s="9">
        <f t="shared" si="1255"/>
        <v>2083700</v>
      </c>
      <c r="I2404" s="8"/>
      <c r="J2404" s="9">
        <f t="shared" si="1256"/>
        <v>2083700</v>
      </c>
      <c r="K2404" s="8"/>
      <c r="L2404" s="8"/>
      <c r="M2404" s="9">
        <f t="shared" si="1263"/>
        <v>2083700</v>
      </c>
      <c r="N2404" s="8"/>
      <c r="O2404" s="9"/>
      <c r="P2404" s="9">
        <f t="shared" si="1264"/>
        <v>0</v>
      </c>
      <c r="Q2404" s="9">
        <f t="shared" si="1257"/>
        <v>2083700</v>
      </c>
      <c r="R2404" s="8"/>
      <c r="S2404" s="8"/>
      <c r="T2404" s="8"/>
      <c r="U2404" s="18">
        <f t="shared" si="1258"/>
        <v>0</v>
      </c>
      <c r="V2404" s="17"/>
      <c r="W2404" s="17"/>
      <c r="X2404" s="9">
        <f t="shared" si="1259"/>
        <v>2083700</v>
      </c>
      <c r="Y2404" s="8"/>
      <c r="Z2404" s="9">
        <f t="shared" si="1260"/>
        <v>0</v>
      </c>
      <c r="AA2404" s="8">
        <f t="shared" si="1261"/>
        <v>2083700</v>
      </c>
      <c r="AB2404" s="8">
        <f t="shared" si="1262"/>
        <v>0</v>
      </c>
    </row>
    <row r="2405" spans="1:28" x14ac:dyDescent="0.3">
      <c r="A2405" s="64"/>
      <c r="B2405" s="8"/>
      <c r="C2405" s="7" t="s">
        <v>853</v>
      </c>
      <c r="D2405" s="21" t="s">
        <v>60</v>
      </c>
      <c r="E2405" s="9">
        <v>1300000</v>
      </c>
      <c r="F2405" s="9">
        <v>1300000</v>
      </c>
      <c r="G2405" s="9"/>
      <c r="H2405" s="9">
        <f t="shared" si="1255"/>
        <v>1300000</v>
      </c>
      <c r="I2405" s="9">
        <v>0</v>
      </c>
      <c r="J2405" s="9">
        <f t="shared" si="1256"/>
        <v>1300000</v>
      </c>
      <c r="K2405" s="8"/>
      <c r="L2405" s="8"/>
      <c r="M2405" s="9">
        <f t="shared" si="1263"/>
        <v>1300000</v>
      </c>
      <c r="N2405" s="8"/>
      <c r="O2405" s="9"/>
      <c r="P2405" s="9">
        <f t="shared" si="1264"/>
        <v>0</v>
      </c>
      <c r="Q2405" s="9">
        <f t="shared" si="1257"/>
        <v>1300000</v>
      </c>
      <c r="R2405" s="8"/>
      <c r="S2405" s="8"/>
      <c r="T2405" s="8"/>
      <c r="U2405" s="18">
        <f t="shared" si="1258"/>
        <v>0</v>
      </c>
      <c r="V2405" s="17"/>
      <c r="W2405" s="17"/>
      <c r="X2405" s="9">
        <f t="shared" si="1259"/>
        <v>1300000</v>
      </c>
      <c r="Y2405" s="8"/>
      <c r="Z2405" s="9">
        <f t="shared" si="1260"/>
        <v>0</v>
      </c>
      <c r="AA2405" s="8">
        <f t="shared" si="1261"/>
        <v>1300000</v>
      </c>
      <c r="AB2405" s="8">
        <f t="shared" si="1262"/>
        <v>0</v>
      </c>
    </row>
    <row r="2406" spans="1:28" x14ac:dyDescent="0.3">
      <c r="A2406" s="64"/>
      <c r="B2406" s="8"/>
      <c r="C2406" s="7" t="s">
        <v>535</v>
      </c>
      <c r="D2406" s="21" t="s">
        <v>73</v>
      </c>
      <c r="E2406" s="9">
        <v>1649359</v>
      </c>
      <c r="F2406" s="9">
        <v>1649359</v>
      </c>
      <c r="G2406" s="8"/>
      <c r="H2406" s="9">
        <f t="shared" si="1255"/>
        <v>1649359</v>
      </c>
      <c r="I2406" s="8"/>
      <c r="J2406" s="9">
        <f t="shared" si="1256"/>
        <v>1649359</v>
      </c>
      <c r="K2406" s="8"/>
      <c r="L2406" s="8"/>
      <c r="M2406" s="9">
        <f t="shared" si="1263"/>
        <v>1649359</v>
      </c>
      <c r="N2406" s="8"/>
      <c r="O2406" s="9"/>
      <c r="P2406" s="9">
        <f t="shared" si="1264"/>
        <v>0</v>
      </c>
      <c r="Q2406" s="9">
        <f t="shared" si="1257"/>
        <v>1649359</v>
      </c>
      <c r="R2406" s="8"/>
      <c r="S2406" s="8"/>
      <c r="T2406" s="8"/>
      <c r="U2406" s="18">
        <f t="shared" si="1258"/>
        <v>0</v>
      </c>
      <c r="V2406" s="17"/>
      <c r="W2406" s="17"/>
      <c r="X2406" s="9">
        <f t="shared" si="1259"/>
        <v>1649359</v>
      </c>
      <c r="Y2406" s="8"/>
      <c r="Z2406" s="9">
        <f t="shared" si="1260"/>
        <v>0</v>
      </c>
      <c r="AA2406" s="8">
        <f t="shared" si="1261"/>
        <v>1649359</v>
      </c>
      <c r="AB2406" s="8">
        <f t="shared" si="1262"/>
        <v>0</v>
      </c>
    </row>
    <row r="2407" spans="1:28" x14ac:dyDescent="0.3">
      <c r="A2407" s="64"/>
      <c r="B2407" s="8"/>
      <c r="C2407" s="7" t="s">
        <v>898</v>
      </c>
      <c r="D2407" s="21"/>
      <c r="E2407" s="9">
        <v>2487798.42</v>
      </c>
      <c r="F2407" s="8">
        <v>2487798.42</v>
      </c>
      <c r="G2407" s="8"/>
      <c r="H2407" s="9">
        <f>F2407+G2407</f>
        <v>2487798.42</v>
      </c>
      <c r="I2407" s="8"/>
      <c r="J2407" s="9">
        <f>H2407+I2407</f>
        <v>2487798.42</v>
      </c>
      <c r="K2407" s="8"/>
      <c r="L2407" s="8"/>
      <c r="M2407" s="9">
        <f>+H2407+L2407</f>
        <v>2487798.42</v>
      </c>
      <c r="N2407" s="8"/>
      <c r="O2407" s="9"/>
      <c r="P2407" s="9">
        <f>+N2407+O2407</f>
        <v>0</v>
      </c>
      <c r="Q2407" s="9">
        <f>E2407-P2407</f>
        <v>2487798.42</v>
      </c>
      <c r="R2407" s="8"/>
      <c r="S2407" s="8"/>
      <c r="T2407" s="8"/>
      <c r="U2407" s="18">
        <f>+P2407+T2407</f>
        <v>0</v>
      </c>
      <c r="V2407" s="17"/>
      <c r="W2407" s="17"/>
      <c r="X2407" s="9">
        <f t="shared" si="1259"/>
        <v>2487798.42</v>
      </c>
      <c r="Y2407" s="8"/>
      <c r="Z2407" s="9">
        <f t="shared" si="1260"/>
        <v>0</v>
      </c>
      <c r="AA2407" s="8">
        <f t="shared" si="1261"/>
        <v>2487798.42</v>
      </c>
      <c r="AB2407" s="8">
        <f t="shared" si="1262"/>
        <v>0</v>
      </c>
    </row>
    <row r="2408" spans="1:28" x14ac:dyDescent="0.3">
      <c r="A2408" s="64"/>
      <c r="B2408" s="8"/>
      <c r="C2408" s="7" t="s">
        <v>933</v>
      </c>
      <c r="D2408" s="21"/>
      <c r="E2408" s="9">
        <v>3291000</v>
      </c>
      <c r="F2408" s="8">
        <v>3291000</v>
      </c>
      <c r="G2408" s="8"/>
      <c r="H2408" s="9">
        <f>F2408+G2408</f>
        <v>3291000</v>
      </c>
      <c r="I2408" s="8"/>
      <c r="J2408" s="9"/>
      <c r="K2408" s="8"/>
      <c r="L2408" s="8"/>
      <c r="M2408" s="9">
        <f>+H2408+L2408</f>
        <v>3291000</v>
      </c>
      <c r="N2408" s="8"/>
      <c r="O2408" s="9"/>
      <c r="P2408" s="9">
        <f>+N2408+O2408</f>
        <v>0</v>
      </c>
      <c r="Q2408" s="9">
        <f>E2408-P2408</f>
        <v>3291000</v>
      </c>
      <c r="R2408" s="8"/>
      <c r="S2408" s="8"/>
      <c r="T2408" s="8"/>
      <c r="U2408" s="18">
        <f>+P2408+T2408</f>
        <v>0</v>
      </c>
      <c r="V2408" s="17"/>
      <c r="W2408" s="17"/>
      <c r="X2408" s="9">
        <f t="shared" si="1259"/>
        <v>3291000</v>
      </c>
      <c r="Y2408" s="8"/>
      <c r="Z2408" s="9">
        <f t="shared" si="1260"/>
        <v>0</v>
      </c>
      <c r="AA2408" s="8">
        <f t="shared" si="1261"/>
        <v>3291000</v>
      </c>
      <c r="AB2408" s="8">
        <f t="shared" si="1262"/>
        <v>0</v>
      </c>
    </row>
    <row r="2409" spans="1:28" x14ac:dyDescent="0.3">
      <c r="A2409" s="64"/>
      <c r="B2409" s="8"/>
      <c r="C2409" s="7" t="s">
        <v>1173</v>
      </c>
      <c r="D2409" s="24" t="s">
        <v>1126</v>
      </c>
      <c r="E2409" s="9">
        <v>4500000</v>
      </c>
      <c r="F2409" s="8">
        <v>4500000</v>
      </c>
      <c r="G2409" s="8"/>
      <c r="H2409" s="9">
        <f>+F2409+G2409</f>
        <v>4500000</v>
      </c>
      <c r="I2409" s="8"/>
      <c r="J2409" s="9"/>
      <c r="K2409" s="8"/>
      <c r="L2409" s="8"/>
      <c r="M2409" s="9">
        <f>+H2409+L2409</f>
        <v>4500000</v>
      </c>
      <c r="N2409" s="8"/>
      <c r="O2409" s="9"/>
      <c r="P2409" s="9">
        <f>+N2409+O2409</f>
        <v>0</v>
      </c>
      <c r="Q2409" s="9">
        <f>E2409-P2409</f>
        <v>4500000</v>
      </c>
      <c r="R2409" s="8"/>
      <c r="S2409" s="8"/>
      <c r="T2409" s="8"/>
      <c r="U2409" s="18">
        <f>+P2409+T2409</f>
        <v>0</v>
      </c>
      <c r="V2409" s="17"/>
      <c r="W2409" s="17"/>
      <c r="X2409" s="9">
        <f t="shared" si="1259"/>
        <v>4500000</v>
      </c>
      <c r="Y2409" s="8"/>
      <c r="Z2409" s="9">
        <f t="shared" si="1260"/>
        <v>0</v>
      </c>
      <c r="AA2409" s="8">
        <f t="shared" si="1261"/>
        <v>4500000</v>
      </c>
      <c r="AB2409" s="8">
        <f t="shared" si="1262"/>
        <v>0</v>
      </c>
    </row>
    <row r="2410" spans="1:28" x14ac:dyDescent="0.3">
      <c r="A2410" s="64"/>
      <c r="B2410" s="8"/>
      <c r="C2410" s="7" t="s">
        <v>1083</v>
      </c>
      <c r="D2410" s="24" t="s">
        <v>1072</v>
      </c>
      <c r="E2410" s="9">
        <f>3445044.41+7477279.12</f>
        <v>10922323.530000001</v>
      </c>
      <c r="F2410" s="8">
        <f>7477279.12+3445044.41</f>
        <v>10922323.530000001</v>
      </c>
      <c r="G2410" s="8"/>
      <c r="H2410" s="9">
        <f>+F2410+G2410</f>
        <v>10922323.530000001</v>
      </c>
      <c r="I2410" s="8"/>
      <c r="J2410" s="9"/>
      <c r="K2410" s="8"/>
      <c r="L2410" s="8"/>
      <c r="M2410" s="9">
        <f>+H2410+L2410</f>
        <v>10922323.530000001</v>
      </c>
      <c r="N2410" s="8"/>
      <c r="O2410" s="9"/>
      <c r="P2410" s="9">
        <v>0</v>
      </c>
      <c r="Q2410" s="9"/>
      <c r="R2410" s="8"/>
      <c r="S2410" s="8"/>
      <c r="T2410" s="8"/>
      <c r="U2410" s="18">
        <f>+P2410+T2410</f>
        <v>0</v>
      </c>
      <c r="V2410" s="17"/>
      <c r="W2410" s="17"/>
      <c r="X2410" s="9">
        <f t="shared" si="1259"/>
        <v>10922323.530000001</v>
      </c>
      <c r="Y2410" s="8"/>
      <c r="Z2410" s="9">
        <f t="shared" si="1260"/>
        <v>0</v>
      </c>
      <c r="AA2410" s="8">
        <f t="shared" si="1261"/>
        <v>10922323.530000001</v>
      </c>
      <c r="AB2410" s="8">
        <f t="shared" si="1262"/>
        <v>0</v>
      </c>
    </row>
    <row r="2411" spans="1:28" x14ac:dyDescent="0.3">
      <c r="A2411" s="64"/>
      <c r="B2411" s="8"/>
      <c r="C2411" s="7" t="s">
        <v>1061</v>
      </c>
      <c r="D2411" s="21"/>
      <c r="E2411" s="9">
        <v>769000</v>
      </c>
      <c r="F2411" s="8">
        <v>769000</v>
      </c>
      <c r="G2411" s="8"/>
      <c r="H2411" s="9">
        <f>F2411+G2411</f>
        <v>769000</v>
      </c>
      <c r="I2411" s="8"/>
      <c r="J2411" s="9">
        <f>H2411+I2411</f>
        <v>769000</v>
      </c>
      <c r="K2411" s="8"/>
      <c r="L2411" s="8"/>
      <c r="M2411" s="9">
        <f>+H2411+L2411</f>
        <v>769000</v>
      </c>
      <c r="N2411" s="8"/>
      <c r="O2411" s="9"/>
      <c r="P2411" s="9">
        <f>+N2411+O2411</f>
        <v>0</v>
      </c>
      <c r="Q2411" s="9">
        <f>E2411-P2411</f>
        <v>769000</v>
      </c>
      <c r="R2411" s="8"/>
      <c r="S2411" s="8"/>
      <c r="T2411" s="8"/>
      <c r="U2411" s="18">
        <f>+P2411+T2411</f>
        <v>0</v>
      </c>
      <c r="V2411" s="17"/>
      <c r="W2411" s="17"/>
      <c r="X2411" s="9">
        <f t="shared" si="1259"/>
        <v>769000</v>
      </c>
      <c r="Y2411" s="8"/>
      <c r="Z2411" s="9">
        <f t="shared" si="1260"/>
        <v>0</v>
      </c>
      <c r="AA2411" s="8">
        <f t="shared" si="1261"/>
        <v>769000</v>
      </c>
      <c r="AB2411" s="8">
        <f t="shared" si="1262"/>
        <v>0</v>
      </c>
    </row>
    <row r="2412" spans="1:28" x14ac:dyDescent="0.3">
      <c r="A2412" s="64"/>
      <c r="B2412" s="8"/>
      <c r="C2412" s="14" t="s">
        <v>568</v>
      </c>
      <c r="D2412" s="8"/>
      <c r="E2412" s="9">
        <f>2301211.56+459204</f>
        <v>2760415.56</v>
      </c>
      <c r="F2412" s="9">
        <f>2301211.56+459204</f>
        <v>2760415.56</v>
      </c>
      <c r="G2412" s="9"/>
      <c r="H2412" s="9">
        <f t="shared" si="1255"/>
        <v>2760415.56</v>
      </c>
      <c r="I2412" s="8"/>
      <c r="J2412" s="9">
        <f t="shared" si="1256"/>
        <v>2760415.56</v>
      </c>
      <c r="K2412" s="8"/>
      <c r="L2412" s="8"/>
      <c r="M2412" s="9">
        <f t="shared" si="1263"/>
        <v>2760415.56</v>
      </c>
      <c r="N2412" s="8"/>
      <c r="O2412" s="9"/>
      <c r="P2412" s="9">
        <f t="shared" si="1264"/>
        <v>0</v>
      </c>
      <c r="Q2412" s="9">
        <f t="shared" si="1257"/>
        <v>2760415.56</v>
      </c>
      <c r="R2412" s="8"/>
      <c r="S2412" s="8"/>
      <c r="T2412" s="8"/>
      <c r="U2412" s="18">
        <f t="shared" si="1258"/>
        <v>0</v>
      </c>
      <c r="V2412" s="17"/>
      <c r="W2412" s="17"/>
      <c r="X2412" s="9">
        <f t="shared" si="1259"/>
        <v>2760415.56</v>
      </c>
      <c r="Y2412" s="8"/>
      <c r="Z2412" s="9">
        <f t="shared" si="1260"/>
        <v>0</v>
      </c>
      <c r="AA2412" s="8">
        <f t="shared" si="1261"/>
        <v>2760415.56</v>
      </c>
      <c r="AB2412" s="8">
        <f t="shared" si="1262"/>
        <v>0</v>
      </c>
    </row>
    <row r="2413" spans="1:28" x14ac:dyDescent="0.3">
      <c r="A2413" s="64"/>
      <c r="B2413" s="8"/>
      <c r="C2413" s="7" t="s">
        <v>550</v>
      </c>
      <c r="D2413" s="8"/>
      <c r="E2413" s="9">
        <v>40623</v>
      </c>
      <c r="F2413" s="9">
        <v>40623</v>
      </c>
      <c r="G2413" s="8"/>
      <c r="H2413" s="9">
        <f t="shared" si="1255"/>
        <v>40623</v>
      </c>
      <c r="I2413" s="8"/>
      <c r="J2413" s="9">
        <f t="shared" si="1256"/>
        <v>40623</v>
      </c>
      <c r="K2413" s="8"/>
      <c r="L2413" s="8"/>
      <c r="M2413" s="9">
        <f t="shared" si="1263"/>
        <v>40623</v>
      </c>
      <c r="N2413" s="8"/>
      <c r="O2413" s="9"/>
      <c r="P2413" s="9">
        <f t="shared" si="1264"/>
        <v>0</v>
      </c>
      <c r="Q2413" s="9">
        <f t="shared" si="1257"/>
        <v>40623</v>
      </c>
      <c r="R2413" s="8"/>
      <c r="S2413" s="8"/>
      <c r="T2413" s="8"/>
      <c r="U2413" s="18">
        <f t="shared" si="1258"/>
        <v>0</v>
      </c>
      <c r="V2413" s="17"/>
      <c r="W2413" s="17"/>
      <c r="X2413" s="9">
        <f t="shared" si="1259"/>
        <v>40623</v>
      </c>
      <c r="Y2413" s="8"/>
      <c r="Z2413" s="9">
        <f t="shared" si="1260"/>
        <v>0</v>
      </c>
      <c r="AA2413" s="8">
        <f t="shared" si="1261"/>
        <v>40623</v>
      </c>
      <c r="AB2413" s="8">
        <f t="shared" si="1262"/>
        <v>0</v>
      </c>
    </row>
    <row r="2414" spans="1:28" x14ac:dyDescent="0.3">
      <c r="A2414" s="64"/>
      <c r="B2414" s="8"/>
      <c r="C2414" s="7" t="s">
        <v>606</v>
      </c>
      <c r="D2414" s="8"/>
      <c r="E2414" s="9">
        <v>5000000</v>
      </c>
      <c r="F2414" s="9">
        <v>5000000</v>
      </c>
      <c r="G2414" s="8"/>
      <c r="H2414" s="9">
        <f t="shared" si="1255"/>
        <v>5000000</v>
      </c>
      <c r="I2414" s="8"/>
      <c r="J2414" s="9">
        <f t="shared" si="1256"/>
        <v>5000000</v>
      </c>
      <c r="K2414" s="8"/>
      <c r="L2414" s="8"/>
      <c r="M2414" s="9">
        <f t="shared" si="1263"/>
        <v>5000000</v>
      </c>
      <c r="N2414" s="8"/>
      <c r="O2414" s="9"/>
      <c r="P2414" s="9">
        <f t="shared" si="1264"/>
        <v>0</v>
      </c>
      <c r="Q2414" s="9">
        <f t="shared" si="1257"/>
        <v>5000000</v>
      </c>
      <c r="R2414" s="8"/>
      <c r="S2414" s="8"/>
      <c r="T2414" s="8"/>
      <c r="U2414" s="18">
        <f t="shared" si="1258"/>
        <v>0</v>
      </c>
      <c r="V2414" s="17"/>
      <c r="W2414" s="17"/>
      <c r="X2414" s="9">
        <f t="shared" si="1259"/>
        <v>5000000</v>
      </c>
      <c r="Y2414" s="8"/>
      <c r="Z2414" s="9">
        <f t="shared" si="1260"/>
        <v>0</v>
      </c>
      <c r="AA2414" s="8">
        <f t="shared" si="1261"/>
        <v>5000000</v>
      </c>
      <c r="AB2414" s="8">
        <f t="shared" si="1262"/>
        <v>0</v>
      </c>
    </row>
    <row r="2415" spans="1:28" x14ac:dyDescent="0.3">
      <c r="A2415" s="64"/>
      <c r="B2415" s="8"/>
      <c r="C2415" s="8"/>
      <c r="D2415" s="8"/>
      <c r="E2415" s="17" t="s">
        <v>29</v>
      </c>
      <c r="F2415" s="17" t="s">
        <v>29</v>
      </c>
      <c r="G2415" s="17" t="s">
        <v>29</v>
      </c>
      <c r="H2415" s="17" t="s">
        <v>29</v>
      </c>
      <c r="I2415" s="17" t="s">
        <v>29</v>
      </c>
      <c r="J2415" s="17" t="s">
        <v>29</v>
      </c>
      <c r="K2415" s="17" t="s">
        <v>29</v>
      </c>
      <c r="L2415" s="17" t="s">
        <v>29</v>
      </c>
      <c r="M2415" s="17" t="s">
        <v>29</v>
      </c>
      <c r="N2415" s="17" t="s">
        <v>29</v>
      </c>
      <c r="O2415" s="17" t="s">
        <v>29</v>
      </c>
      <c r="P2415" s="17" t="s">
        <v>29</v>
      </c>
      <c r="Q2415" s="17" t="s">
        <v>29</v>
      </c>
      <c r="R2415" s="17" t="s">
        <v>29</v>
      </c>
      <c r="S2415" s="17" t="s">
        <v>29</v>
      </c>
      <c r="T2415" s="17" t="s">
        <v>29</v>
      </c>
      <c r="U2415" s="17" t="s">
        <v>29</v>
      </c>
      <c r="V2415" s="17" t="s">
        <v>29</v>
      </c>
      <c r="W2415" s="17" t="s">
        <v>29</v>
      </c>
      <c r="X2415" s="17" t="s">
        <v>29</v>
      </c>
      <c r="Y2415" s="17" t="s">
        <v>29</v>
      </c>
      <c r="Z2415" s="17" t="s">
        <v>29</v>
      </c>
      <c r="AA2415" s="17" t="s">
        <v>29</v>
      </c>
      <c r="AB2415" s="17" t="s">
        <v>29</v>
      </c>
    </row>
    <row r="2416" spans="1:28" x14ac:dyDescent="0.3">
      <c r="A2416" s="64"/>
      <c r="B2416" s="8"/>
      <c r="C2416" s="8"/>
      <c r="D2416" s="8"/>
      <c r="E2416" s="9">
        <f t="shared" ref="E2416:Q2416" si="1265">SUM(E2391:E2415)</f>
        <v>62327818.090000004</v>
      </c>
      <c r="F2416" s="9">
        <f t="shared" si="1265"/>
        <v>59177954.340000004</v>
      </c>
      <c r="G2416" s="9">
        <f t="shared" si="1265"/>
        <v>0</v>
      </c>
      <c r="H2416" s="9">
        <f t="shared" si="1265"/>
        <v>59177954.340000004</v>
      </c>
      <c r="I2416" s="9">
        <f t="shared" si="1265"/>
        <v>0</v>
      </c>
      <c r="J2416" s="9">
        <f t="shared" si="1265"/>
        <v>40464630.810000002</v>
      </c>
      <c r="K2416" s="9">
        <f t="shared" si="1265"/>
        <v>3149863.75</v>
      </c>
      <c r="L2416" s="9">
        <f t="shared" si="1265"/>
        <v>0</v>
      </c>
      <c r="M2416" s="9">
        <f t="shared" si="1265"/>
        <v>59177954.340000004</v>
      </c>
      <c r="N2416" s="9">
        <f t="shared" si="1265"/>
        <v>3149863.75</v>
      </c>
      <c r="O2416" s="9">
        <f t="shared" si="1265"/>
        <v>0</v>
      </c>
      <c r="P2416" s="9">
        <f t="shared" si="1265"/>
        <v>3149863.75</v>
      </c>
      <c r="Q2416" s="9">
        <f t="shared" si="1265"/>
        <v>48255630.810000002</v>
      </c>
      <c r="R2416" s="8"/>
      <c r="S2416" s="8"/>
      <c r="T2416" s="9">
        <f t="shared" ref="T2416:Z2416" si="1266">SUM(T2391:T2415)</f>
        <v>0</v>
      </c>
      <c r="U2416" s="9">
        <f t="shared" si="1266"/>
        <v>3149863.75</v>
      </c>
      <c r="V2416" s="9">
        <f t="shared" si="1266"/>
        <v>0</v>
      </c>
      <c r="W2416" s="9">
        <f t="shared" si="1266"/>
        <v>0</v>
      </c>
      <c r="X2416" s="9">
        <f t="shared" si="1266"/>
        <v>62327818.090000004</v>
      </c>
      <c r="Y2416" s="9">
        <f t="shared" si="1266"/>
        <v>0</v>
      </c>
      <c r="Z2416" s="9">
        <f t="shared" si="1266"/>
        <v>0</v>
      </c>
      <c r="AA2416" s="9">
        <f>SUM(AA2391:AA2415)</f>
        <v>62327818.090000004</v>
      </c>
      <c r="AB2416" s="9">
        <f>SUM(AB2391:AB2415)</f>
        <v>0</v>
      </c>
    </row>
    <row r="2417" spans="1:28" x14ac:dyDescent="0.3">
      <c r="A2417" s="64"/>
      <c r="B2417" s="8"/>
      <c r="C2417" s="8"/>
      <c r="D2417" s="8"/>
      <c r="E2417" s="17" t="s">
        <v>29</v>
      </c>
      <c r="F2417" s="17" t="s">
        <v>29</v>
      </c>
      <c r="G2417" s="17" t="s">
        <v>29</v>
      </c>
      <c r="H2417" s="17" t="s">
        <v>29</v>
      </c>
      <c r="I2417" s="17" t="s">
        <v>29</v>
      </c>
      <c r="J2417" s="17" t="s">
        <v>29</v>
      </c>
      <c r="K2417" s="17" t="s">
        <v>29</v>
      </c>
      <c r="L2417" s="17" t="s">
        <v>29</v>
      </c>
      <c r="M2417" s="17" t="s">
        <v>29</v>
      </c>
      <c r="N2417" s="17" t="s">
        <v>29</v>
      </c>
      <c r="O2417" s="17" t="s">
        <v>29</v>
      </c>
      <c r="P2417" s="17" t="s">
        <v>29</v>
      </c>
      <c r="Q2417" s="17" t="s">
        <v>29</v>
      </c>
      <c r="R2417" s="17" t="s">
        <v>29</v>
      </c>
      <c r="S2417" s="17" t="s">
        <v>29</v>
      </c>
      <c r="T2417" s="17" t="s">
        <v>29</v>
      </c>
      <c r="U2417" s="17" t="s">
        <v>29</v>
      </c>
      <c r="V2417" s="17" t="s">
        <v>29</v>
      </c>
      <c r="W2417" s="17" t="s">
        <v>29</v>
      </c>
      <c r="X2417" s="17" t="s">
        <v>29</v>
      </c>
      <c r="Y2417" s="17" t="s">
        <v>29</v>
      </c>
      <c r="Z2417" s="17" t="s">
        <v>29</v>
      </c>
      <c r="AA2417" s="17" t="s">
        <v>29</v>
      </c>
      <c r="AB2417" s="17" t="s">
        <v>29</v>
      </c>
    </row>
    <row r="2418" spans="1:28" x14ac:dyDescent="0.3">
      <c r="A2418" s="63" t="s">
        <v>1040</v>
      </c>
      <c r="B2418" s="7" t="s">
        <v>854</v>
      </c>
      <c r="C2418" s="8"/>
      <c r="D2418" s="8"/>
      <c r="E2418" s="8"/>
      <c r="F2418" s="8"/>
      <c r="G2418" s="8"/>
      <c r="H2418" s="8"/>
      <c r="I2418" s="8"/>
      <c r="J2418" s="8"/>
      <c r="K2418" s="8"/>
      <c r="L2418" s="8"/>
      <c r="M2418" s="8"/>
      <c r="N2418" s="8"/>
      <c r="O2418" s="8"/>
      <c r="P2418" s="8"/>
      <c r="Q2418" s="8"/>
      <c r="R2418" s="8"/>
      <c r="S2418" s="8"/>
      <c r="T2418" s="8"/>
      <c r="U2418" s="8"/>
      <c r="V2418" s="8"/>
      <c r="W2418" s="8"/>
      <c r="X2418" s="8"/>
      <c r="Y2418" s="8"/>
      <c r="Z2418" s="8"/>
    </row>
    <row r="2419" spans="1:28" x14ac:dyDescent="0.3">
      <c r="A2419" s="64"/>
      <c r="B2419" s="8"/>
      <c r="C2419" s="7" t="s">
        <v>855</v>
      </c>
      <c r="D2419" s="15" t="s">
        <v>78</v>
      </c>
      <c r="E2419" s="9">
        <v>1300000</v>
      </c>
      <c r="F2419" s="9">
        <v>1300000</v>
      </c>
      <c r="G2419" s="8"/>
      <c r="H2419" s="9">
        <f>F2419+G2419</f>
        <v>1300000</v>
      </c>
      <c r="I2419" s="8"/>
      <c r="J2419" s="9">
        <f>H2419+I2419</f>
        <v>1300000</v>
      </c>
      <c r="K2419" s="9"/>
      <c r="L2419" s="8"/>
      <c r="M2419" s="9">
        <f>+H2419+L2419</f>
        <v>1300000</v>
      </c>
      <c r="N2419" s="8"/>
      <c r="O2419" s="9"/>
      <c r="P2419" s="9">
        <f>+N2419+O2419</f>
        <v>0</v>
      </c>
      <c r="Q2419" s="9">
        <f>E2419-P2419</f>
        <v>1300000</v>
      </c>
      <c r="R2419" s="8"/>
      <c r="S2419" s="8"/>
      <c r="T2419" s="8"/>
      <c r="U2419" s="18">
        <f t="shared" ref="U2419:U2432" si="1267">+P2419+T2419</f>
        <v>0</v>
      </c>
      <c r="V2419" s="17"/>
      <c r="W2419" s="17"/>
      <c r="X2419" s="9">
        <f t="shared" ref="X2419:X2432" si="1268">+H2419+P2419</f>
        <v>1300000</v>
      </c>
      <c r="Y2419" s="8"/>
      <c r="Z2419" s="9">
        <f t="shared" ref="Z2419:Z2432" si="1269">+E2419-X2419</f>
        <v>0</v>
      </c>
      <c r="AA2419" s="8">
        <f t="shared" ref="AA2419:AA2432" si="1270">+M2419+U2419</f>
        <v>1300000</v>
      </c>
      <c r="AB2419" s="8">
        <f t="shared" ref="AB2419:AB2432" si="1271">+E2419-AA2419</f>
        <v>0</v>
      </c>
    </row>
    <row r="2420" spans="1:28" x14ac:dyDescent="0.3">
      <c r="A2420" s="64"/>
      <c r="B2420" s="8"/>
      <c r="C2420" s="8"/>
      <c r="D2420" s="14" t="s">
        <v>79</v>
      </c>
      <c r="E2420" s="8"/>
      <c r="F2420" s="8"/>
      <c r="G2420" s="8"/>
      <c r="H2420" s="8"/>
      <c r="I2420" s="8"/>
      <c r="J2420" s="8"/>
      <c r="K2420" s="8"/>
      <c r="L2420" s="8"/>
      <c r="M2420" s="8"/>
      <c r="N2420" s="8"/>
      <c r="O2420" s="8"/>
      <c r="P2420" s="9">
        <f t="shared" ref="P2420:P2432" si="1272">+N2420+O2420</f>
        <v>0</v>
      </c>
      <c r="Q2420" s="8"/>
      <c r="R2420" s="8"/>
      <c r="S2420" s="8"/>
      <c r="T2420" s="8"/>
      <c r="U2420" s="18">
        <f t="shared" si="1267"/>
        <v>0</v>
      </c>
      <c r="V2420" s="17"/>
      <c r="W2420" s="17"/>
      <c r="X2420" s="9">
        <f t="shared" si="1268"/>
        <v>0</v>
      </c>
      <c r="Y2420" s="8"/>
      <c r="Z2420" s="9">
        <f t="shared" si="1269"/>
        <v>0</v>
      </c>
      <c r="AA2420" s="8">
        <f t="shared" si="1270"/>
        <v>0</v>
      </c>
      <c r="AB2420" s="8">
        <f t="shared" si="1271"/>
        <v>0</v>
      </c>
    </row>
    <row r="2421" spans="1:28" x14ac:dyDescent="0.3">
      <c r="A2421" s="64"/>
      <c r="B2421" s="8"/>
      <c r="C2421" s="7" t="s">
        <v>535</v>
      </c>
      <c r="D2421" s="7" t="s">
        <v>856</v>
      </c>
      <c r="E2421" s="9">
        <v>7237950.2999999998</v>
      </c>
      <c r="F2421" s="9">
        <v>6502973.54</v>
      </c>
      <c r="G2421" s="8"/>
      <c r="H2421" s="9">
        <f t="shared" ref="H2421:H2432" si="1273">F2421+G2421</f>
        <v>6502973.54</v>
      </c>
      <c r="I2421" s="8"/>
      <c r="J2421" s="9">
        <f t="shared" ref="J2421:J2432" si="1274">H2421+I2421</f>
        <v>6502973.54</v>
      </c>
      <c r="K2421" s="11">
        <v>734976.76</v>
      </c>
      <c r="L2421" s="8"/>
      <c r="M2421" s="9">
        <f t="shared" ref="M2421:M2432" si="1275">+H2421+L2421</f>
        <v>6502973.54</v>
      </c>
      <c r="N2421" s="8">
        <v>734976.76</v>
      </c>
      <c r="O2421" s="9"/>
      <c r="P2421" s="9">
        <f t="shared" si="1272"/>
        <v>734976.76</v>
      </c>
      <c r="Q2421" s="9">
        <f t="shared" ref="Q2421:Q2432" si="1276">E2421-P2421</f>
        <v>6502973.54</v>
      </c>
      <c r="R2421" s="8"/>
      <c r="S2421" s="8"/>
      <c r="T2421" s="8"/>
      <c r="U2421" s="18">
        <f t="shared" si="1267"/>
        <v>734976.76</v>
      </c>
      <c r="V2421" s="17"/>
      <c r="W2421" s="17"/>
      <c r="X2421" s="9">
        <f t="shared" si="1268"/>
        <v>7237950.2999999998</v>
      </c>
      <c r="Y2421" s="8"/>
      <c r="Z2421" s="9">
        <f t="shared" si="1269"/>
        <v>0</v>
      </c>
      <c r="AA2421" s="8">
        <f t="shared" si="1270"/>
        <v>7237950.2999999998</v>
      </c>
      <c r="AB2421" s="8">
        <f t="shared" si="1271"/>
        <v>0</v>
      </c>
    </row>
    <row r="2422" spans="1:28" x14ac:dyDescent="0.3">
      <c r="A2422" s="64"/>
      <c r="B2422" s="8"/>
      <c r="C2422" s="7" t="s">
        <v>857</v>
      </c>
      <c r="D2422" s="7" t="s">
        <v>858</v>
      </c>
      <c r="E2422" s="9">
        <v>744989</v>
      </c>
      <c r="F2422" s="8"/>
      <c r="G2422" s="8"/>
      <c r="H2422" s="9">
        <f t="shared" si="1273"/>
        <v>0</v>
      </c>
      <c r="I2422" s="8"/>
      <c r="J2422" s="9">
        <f t="shared" si="1274"/>
        <v>0</v>
      </c>
      <c r="K2422" s="9">
        <v>744989</v>
      </c>
      <c r="L2422" s="8"/>
      <c r="M2422" s="9">
        <f t="shared" si="1275"/>
        <v>0</v>
      </c>
      <c r="N2422" s="8">
        <v>744989</v>
      </c>
      <c r="O2422" s="9"/>
      <c r="P2422" s="9">
        <f t="shared" si="1272"/>
        <v>744989</v>
      </c>
      <c r="Q2422" s="9">
        <f t="shared" si="1276"/>
        <v>0</v>
      </c>
      <c r="R2422" s="8"/>
      <c r="S2422" s="8"/>
      <c r="T2422" s="8"/>
      <c r="U2422" s="18">
        <f t="shared" si="1267"/>
        <v>744989</v>
      </c>
      <c r="V2422" s="17"/>
      <c r="W2422" s="17"/>
      <c r="X2422" s="9">
        <f t="shared" si="1268"/>
        <v>744989</v>
      </c>
      <c r="Y2422" s="8"/>
      <c r="Z2422" s="9">
        <f t="shared" si="1269"/>
        <v>0</v>
      </c>
      <c r="AA2422" s="8">
        <f t="shared" si="1270"/>
        <v>744989</v>
      </c>
      <c r="AB2422" s="8">
        <f t="shared" si="1271"/>
        <v>0</v>
      </c>
    </row>
    <row r="2423" spans="1:28" x14ac:dyDescent="0.3">
      <c r="A2423" s="64"/>
      <c r="B2423" s="8"/>
      <c r="C2423" s="7" t="s">
        <v>545</v>
      </c>
      <c r="D2423" s="15" t="s">
        <v>54</v>
      </c>
      <c r="E2423" s="9">
        <v>1953989</v>
      </c>
      <c r="F2423" s="8"/>
      <c r="G2423" s="8"/>
      <c r="H2423" s="9">
        <f t="shared" si="1273"/>
        <v>0</v>
      </c>
      <c r="I2423" s="8"/>
      <c r="J2423" s="9">
        <f t="shared" si="1274"/>
        <v>0</v>
      </c>
      <c r="K2423" s="9">
        <v>1953989</v>
      </c>
      <c r="L2423" s="8"/>
      <c r="M2423" s="9">
        <f t="shared" si="1275"/>
        <v>0</v>
      </c>
      <c r="N2423" s="8">
        <v>1953989</v>
      </c>
      <c r="O2423" s="9"/>
      <c r="P2423" s="9">
        <f t="shared" si="1272"/>
        <v>1953989</v>
      </c>
      <c r="Q2423" s="9">
        <f t="shared" si="1276"/>
        <v>0</v>
      </c>
      <c r="R2423" s="8"/>
      <c r="S2423" s="8"/>
      <c r="T2423" s="8"/>
      <c r="U2423" s="18">
        <f t="shared" si="1267"/>
        <v>1953989</v>
      </c>
      <c r="V2423" s="17"/>
      <c r="W2423" s="17"/>
      <c r="X2423" s="9">
        <f t="shared" si="1268"/>
        <v>1953989</v>
      </c>
      <c r="Y2423" s="8"/>
      <c r="Z2423" s="9">
        <f t="shared" si="1269"/>
        <v>0</v>
      </c>
      <c r="AA2423" s="8">
        <f t="shared" si="1270"/>
        <v>1953989</v>
      </c>
      <c r="AB2423" s="8">
        <f t="shared" si="1271"/>
        <v>0</v>
      </c>
    </row>
    <row r="2424" spans="1:28" x14ac:dyDescent="0.3">
      <c r="A2424" s="64"/>
      <c r="B2424" s="8"/>
      <c r="C2424" s="7" t="s">
        <v>859</v>
      </c>
      <c r="D2424" s="15" t="s">
        <v>85</v>
      </c>
      <c r="E2424" s="9">
        <v>1120000</v>
      </c>
      <c r="F2424" s="9">
        <v>1120000</v>
      </c>
      <c r="G2424" s="8"/>
      <c r="H2424" s="9">
        <f t="shared" si="1273"/>
        <v>1120000</v>
      </c>
      <c r="I2424" s="8"/>
      <c r="J2424" s="9">
        <f t="shared" si="1274"/>
        <v>1120000</v>
      </c>
      <c r="K2424" s="8"/>
      <c r="L2424" s="8"/>
      <c r="M2424" s="9">
        <f t="shared" si="1275"/>
        <v>1120000</v>
      </c>
      <c r="N2424" s="8"/>
      <c r="O2424" s="9"/>
      <c r="P2424" s="9">
        <f t="shared" si="1272"/>
        <v>0</v>
      </c>
      <c r="Q2424" s="9">
        <f t="shared" si="1276"/>
        <v>1120000</v>
      </c>
      <c r="R2424" s="8"/>
      <c r="S2424" s="8"/>
      <c r="T2424" s="8"/>
      <c r="U2424" s="18">
        <f t="shared" si="1267"/>
        <v>0</v>
      </c>
      <c r="V2424" s="17"/>
      <c r="W2424" s="17"/>
      <c r="X2424" s="9">
        <f t="shared" si="1268"/>
        <v>1120000</v>
      </c>
      <c r="Y2424" s="8"/>
      <c r="Z2424" s="9">
        <f t="shared" si="1269"/>
        <v>0</v>
      </c>
      <c r="AA2424" s="8">
        <f t="shared" si="1270"/>
        <v>1120000</v>
      </c>
      <c r="AB2424" s="8">
        <f t="shared" si="1271"/>
        <v>0</v>
      </c>
    </row>
    <row r="2425" spans="1:28" x14ac:dyDescent="0.3">
      <c r="A2425" s="64"/>
      <c r="B2425" s="9"/>
      <c r="C2425" s="7" t="s">
        <v>860</v>
      </c>
      <c r="D2425" s="15" t="s">
        <v>85</v>
      </c>
      <c r="E2425" s="9">
        <v>102000</v>
      </c>
      <c r="F2425" s="9">
        <v>102000</v>
      </c>
      <c r="G2425" s="8"/>
      <c r="H2425" s="9">
        <f t="shared" si="1273"/>
        <v>102000</v>
      </c>
      <c r="I2425" s="8"/>
      <c r="J2425" s="9">
        <f t="shared" si="1274"/>
        <v>102000</v>
      </c>
      <c r="K2425" s="8"/>
      <c r="L2425" s="8"/>
      <c r="M2425" s="9">
        <f t="shared" si="1275"/>
        <v>102000</v>
      </c>
      <c r="N2425" s="8"/>
      <c r="O2425" s="9"/>
      <c r="P2425" s="9">
        <f t="shared" si="1272"/>
        <v>0</v>
      </c>
      <c r="Q2425" s="9">
        <f t="shared" si="1276"/>
        <v>102000</v>
      </c>
      <c r="R2425" s="8"/>
      <c r="S2425" s="8"/>
      <c r="T2425" s="8"/>
      <c r="U2425" s="18">
        <f t="shared" si="1267"/>
        <v>0</v>
      </c>
      <c r="V2425" s="17"/>
      <c r="W2425" s="17"/>
      <c r="X2425" s="9">
        <f t="shared" si="1268"/>
        <v>102000</v>
      </c>
      <c r="Y2425" s="8"/>
      <c r="Z2425" s="9">
        <f t="shared" si="1269"/>
        <v>0</v>
      </c>
      <c r="AA2425" s="8">
        <f t="shared" si="1270"/>
        <v>102000</v>
      </c>
      <c r="AB2425" s="8">
        <f t="shared" si="1271"/>
        <v>0</v>
      </c>
    </row>
    <row r="2426" spans="1:28" x14ac:dyDescent="0.3">
      <c r="A2426" s="64"/>
      <c r="B2426" s="8"/>
      <c r="C2426" s="7" t="s">
        <v>535</v>
      </c>
      <c r="D2426" s="15" t="s">
        <v>58</v>
      </c>
      <c r="E2426" s="9">
        <v>6849727.5</v>
      </c>
      <c r="F2426" s="9">
        <v>6849727.5</v>
      </c>
      <c r="G2426" s="8"/>
      <c r="H2426" s="9">
        <f t="shared" si="1273"/>
        <v>6849727.5</v>
      </c>
      <c r="I2426" s="8"/>
      <c r="J2426" s="9">
        <f t="shared" si="1274"/>
        <v>6849727.5</v>
      </c>
      <c r="K2426" s="8"/>
      <c r="L2426" s="8"/>
      <c r="M2426" s="9">
        <f t="shared" si="1275"/>
        <v>6849727.5</v>
      </c>
      <c r="N2426" s="8"/>
      <c r="O2426" s="9"/>
      <c r="P2426" s="9">
        <f t="shared" si="1272"/>
        <v>0</v>
      </c>
      <c r="Q2426" s="9">
        <f t="shared" si="1276"/>
        <v>6849727.5</v>
      </c>
      <c r="R2426" s="8"/>
      <c r="S2426" s="8"/>
      <c r="T2426" s="8"/>
      <c r="U2426" s="18">
        <f t="shared" si="1267"/>
        <v>0</v>
      </c>
      <c r="V2426" s="17"/>
      <c r="W2426" s="17"/>
      <c r="X2426" s="9">
        <f t="shared" si="1268"/>
        <v>6849727.5</v>
      </c>
      <c r="Y2426" s="8"/>
      <c r="Z2426" s="9">
        <f t="shared" si="1269"/>
        <v>0</v>
      </c>
      <c r="AA2426" s="8">
        <f t="shared" si="1270"/>
        <v>6849727.5</v>
      </c>
      <c r="AB2426" s="8">
        <f t="shared" si="1271"/>
        <v>0</v>
      </c>
    </row>
    <row r="2427" spans="1:28" x14ac:dyDescent="0.3">
      <c r="A2427" s="64"/>
      <c r="B2427" s="8"/>
      <c r="C2427" s="7" t="s">
        <v>535</v>
      </c>
      <c r="D2427" s="15" t="s">
        <v>60</v>
      </c>
      <c r="E2427" s="9">
        <v>7404495</v>
      </c>
      <c r="F2427" s="9">
        <v>7404495</v>
      </c>
      <c r="G2427" s="8"/>
      <c r="H2427" s="9">
        <f t="shared" si="1273"/>
        <v>7404495</v>
      </c>
      <c r="I2427" s="8"/>
      <c r="J2427" s="9">
        <f t="shared" si="1274"/>
        <v>7404495</v>
      </c>
      <c r="K2427" s="8"/>
      <c r="L2427" s="8"/>
      <c r="M2427" s="9">
        <f t="shared" si="1275"/>
        <v>7404495</v>
      </c>
      <c r="N2427" s="8"/>
      <c r="O2427" s="9"/>
      <c r="P2427" s="9">
        <f t="shared" si="1272"/>
        <v>0</v>
      </c>
      <c r="Q2427" s="9">
        <f t="shared" si="1276"/>
        <v>7404495</v>
      </c>
      <c r="R2427" s="8"/>
      <c r="S2427" s="8"/>
      <c r="T2427" s="8"/>
      <c r="U2427" s="18">
        <f t="shared" si="1267"/>
        <v>0</v>
      </c>
      <c r="V2427" s="17"/>
      <c r="W2427" s="17"/>
      <c r="X2427" s="9">
        <f t="shared" si="1268"/>
        <v>7404495</v>
      </c>
      <c r="Y2427" s="8"/>
      <c r="Z2427" s="9">
        <f t="shared" si="1269"/>
        <v>0</v>
      </c>
      <c r="AA2427" s="8">
        <f t="shared" si="1270"/>
        <v>7404495</v>
      </c>
      <c r="AB2427" s="8">
        <f t="shared" si="1271"/>
        <v>0</v>
      </c>
    </row>
    <row r="2428" spans="1:28" x14ac:dyDescent="0.3">
      <c r="A2428" s="64"/>
      <c r="B2428" s="8"/>
      <c r="C2428" s="14" t="s">
        <v>535</v>
      </c>
      <c r="D2428" s="21" t="s">
        <v>61</v>
      </c>
      <c r="E2428" s="11">
        <f>2335.88+7385.28+509435.54</f>
        <v>519156.69999999995</v>
      </c>
      <c r="F2428" s="11">
        <v>509435.54</v>
      </c>
      <c r="G2428" s="8"/>
      <c r="H2428" s="9">
        <f t="shared" si="1273"/>
        <v>509435.54</v>
      </c>
      <c r="I2428" s="8"/>
      <c r="J2428" s="9">
        <f t="shared" si="1274"/>
        <v>509435.54</v>
      </c>
      <c r="K2428" s="8"/>
      <c r="L2428" s="8"/>
      <c r="M2428" s="9">
        <f t="shared" si="1275"/>
        <v>509435.54</v>
      </c>
      <c r="N2428" s="11"/>
      <c r="O2428" s="9"/>
      <c r="P2428" s="9">
        <f t="shared" si="1272"/>
        <v>0</v>
      </c>
      <c r="Q2428" s="9">
        <f t="shared" si="1276"/>
        <v>519156.69999999995</v>
      </c>
      <c r="R2428" s="8"/>
      <c r="S2428" s="8"/>
      <c r="T2428" s="8">
        <v>9721.16</v>
      </c>
      <c r="U2428" s="18">
        <f t="shared" si="1267"/>
        <v>9721.16</v>
      </c>
      <c r="V2428" s="17"/>
      <c r="W2428" s="17"/>
      <c r="X2428" s="9">
        <f t="shared" si="1268"/>
        <v>509435.54</v>
      </c>
      <c r="Y2428" s="8"/>
      <c r="Z2428" s="9">
        <f t="shared" si="1269"/>
        <v>9721.1599999999744</v>
      </c>
      <c r="AA2428" s="8">
        <f t="shared" si="1270"/>
        <v>519156.69999999995</v>
      </c>
      <c r="AB2428" s="8">
        <f t="shared" si="1271"/>
        <v>0</v>
      </c>
    </row>
    <row r="2429" spans="1:28" x14ac:dyDescent="0.3">
      <c r="A2429" s="64"/>
      <c r="B2429" s="8"/>
      <c r="C2429" s="14" t="s">
        <v>898</v>
      </c>
      <c r="D2429" s="24" t="s">
        <v>61</v>
      </c>
      <c r="E2429" s="11">
        <f>3685.4+2335.88</f>
        <v>6021.2800000000007</v>
      </c>
      <c r="F2429" s="11"/>
      <c r="G2429" s="8"/>
      <c r="H2429" s="9"/>
      <c r="I2429" s="8"/>
      <c r="J2429" s="9"/>
      <c r="K2429" s="8"/>
      <c r="L2429" s="8"/>
      <c r="M2429" s="9"/>
      <c r="N2429" s="11">
        <f>3685.4+2335.88</f>
        <v>6021.2800000000007</v>
      </c>
      <c r="O2429" s="9"/>
      <c r="P2429" s="9">
        <f>+N2429+O2429</f>
        <v>6021.2800000000007</v>
      </c>
      <c r="Q2429" s="9"/>
      <c r="R2429" s="8"/>
      <c r="S2429" s="8"/>
      <c r="T2429" s="8"/>
      <c r="U2429" s="18">
        <f>+P2429+T2429</f>
        <v>6021.2800000000007</v>
      </c>
      <c r="V2429" s="17"/>
      <c r="W2429" s="17"/>
      <c r="X2429" s="9">
        <f t="shared" si="1268"/>
        <v>6021.2800000000007</v>
      </c>
      <c r="Y2429" s="8"/>
      <c r="Z2429" s="9">
        <f t="shared" si="1269"/>
        <v>0</v>
      </c>
      <c r="AA2429" s="8">
        <f t="shared" si="1270"/>
        <v>6021.2800000000007</v>
      </c>
      <c r="AB2429" s="8">
        <f t="shared" si="1271"/>
        <v>0</v>
      </c>
    </row>
    <row r="2430" spans="1:28" x14ac:dyDescent="0.3">
      <c r="A2430" s="64"/>
      <c r="B2430" s="8"/>
      <c r="C2430" s="14" t="s">
        <v>933</v>
      </c>
      <c r="D2430" s="24" t="s">
        <v>1072</v>
      </c>
      <c r="E2430" s="11">
        <v>1330000</v>
      </c>
      <c r="F2430" s="11">
        <v>1330000</v>
      </c>
      <c r="G2430" s="8"/>
      <c r="H2430" s="9">
        <f>+F2430+G2430</f>
        <v>1330000</v>
      </c>
      <c r="I2430" s="8"/>
      <c r="J2430" s="9"/>
      <c r="K2430" s="8"/>
      <c r="L2430" s="8"/>
      <c r="M2430" s="9">
        <f>+H2430+L2430</f>
        <v>1330000</v>
      </c>
      <c r="N2430" s="11"/>
      <c r="O2430" s="9"/>
      <c r="P2430" s="9">
        <f>+N2430+O2430</f>
        <v>0</v>
      </c>
      <c r="Q2430" s="9"/>
      <c r="R2430" s="8"/>
      <c r="S2430" s="8"/>
      <c r="T2430" s="8"/>
      <c r="U2430" s="18">
        <f>+P2430+T2430</f>
        <v>0</v>
      </c>
      <c r="V2430" s="17"/>
      <c r="W2430" s="17"/>
      <c r="X2430" s="9">
        <f>+H2430+P2430</f>
        <v>1330000</v>
      </c>
      <c r="Y2430" s="8"/>
      <c r="Z2430" s="9">
        <f>+E2430-X2430</f>
        <v>0</v>
      </c>
      <c r="AA2430" s="8">
        <f>+M2430+U2430</f>
        <v>1330000</v>
      </c>
      <c r="AB2430" s="8">
        <f>+E2430-AA2430</f>
        <v>0</v>
      </c>
    </row>
    <row r="2431" spans="1:28" x14ac:dyDescent="0.3">
      <c r="A2431" s="64"/>
      <c r="B2431" s="8"/>
      <c r="C2431" s="14" t="s">
        <v>1197</v>
      </c>
      <c r="D2431" s="24" t="s">
        <v>1126</v>
      </c>
      <c r="E2431" s="11">
        <v>600000</v>
      </c>
      <c r="F2431" s="11">
        <v>600000</v>
      </c>
      <c r="G2431" s="8"/>
      <c r="H2431" s="9">
        <f>+F2431+G2431</f>
        <v>600000</v>
      </c>
      <c r="I2431" s="8"/>
      <c r="J2431" s="9"/>
      <c r="K2431" s="8"/>
      <c r="L2431" s="8"/>
      <c r="M2431" s="9">
        <f>+H2431+L2431</f>
        <v>600000</v>
      </c>
      <c r="N2431" s="11"/>
      <c r="O2431" s="9"/>
      <c r="P2431" s="9">
        <f>+N2431+O2431</f>
        <v>0</v>
      </c>
      <c r="Q2431" s="9"/>
      <c r="R2431" s="8"/>
      <c r="S2431" s="8"/>
      <c r="T2431" s="8"/>
      <c r="U2431" s="18">
        <f>+P2431+T2431</f>
        <v>0</v>
      </c>
      <c r="V2431" s="17"/>
      <c r="W2431" s="17"/>
      <c r="X2431" s="9">
        <f>+H2431+P2431</f>
        <v>600000</v>
      </c>
      <c r="Y2431" s="8"/>
      <c r="Z2431" s="9">
        <f>+E2431-X2431</f>
        <v>0</v>
      </c>
      <c r="AA2431" s="8">
        <f>+M2431+U2431</f>
        <v>600000</v>
      </c>
      <c r="AB2431" s="8">
        <f>+E2431-AA2431</f>
        <v>0</v>
      </c>
    </row>
    <row r="2432" spans="1:28" x14ac:dyDescent="0.3">
      <c r="A2432" s="64"/>
      <c r="B2432" s="8"/>
      <c r="C2432" s="7" t="s">
        <v>606</v>
      </c>
      <c r="D2432" s="8"/>
      <c r="E2432" s="9">
        <v>5000000</v>
      </c>
      <c r="F2432" s="9">
        <v>5000000</v>
      </c>
      <c r="G2432" s="8"/>
      <c r="H2432" s="9">
        <f t="shared" si="1273"/>
        <v>5000000</v>
      </c>
      <c r="I2432" s="8"/>
      <c r="J2432" s="9">
        <f t="shared" si="1274"/>
        <v>5000000</v>
      </c>
      <c r="K2432" s="8"/>
      <c r="L2432" s="8"/>
      <c r="M2432" s="9">
        <f t="shared" si="1275"/>
        <v>5000000</v>
      </c>
      <c r="N2432" s="8"/>
      <c r="O2432" s="9"/>
      <c r="P2432" s="9">
        <f t="shared" si="1272"/>
        <v>0</v>
      </c>
      <c r="Q2432" s="9">
        <f t="shared" si="1276"/>
        <v>5000000</v>
      </c>
      <c r="R2432" s="8"/>
      <c r="S2432" s="8"/>
      <c r="T2432" s="8"/>
      <c r="U2432" s="18">
        <f t="shared" si="1267"/>
        <v>0</v>
      </c>
      <c r="V2432" s="17"/>
      <c r="W2432" s="17"/>
      <c r="X2432" s="9">
        <f t="shared" si="1268"/>
        <v>5000000</v>
      </c>
      <c r="Y2432" s="8"/>
      <c r="Z2432" s="9">
        <f t="shared" si="1269"/>
        <v>0</v>
      </c>
      <c r="AA2432" s="8">
        <f t="shared" si="1270"/>
        <v>5000000</v>
      </c>
      <c r="AB2432" s="8">
        <f t="shared" si="1271"/>
        <v>0</v>
      </c>
    </row>
    <row r="2433" spans="1:28" x14ac:dyDescent="0.3">
      <c r="A2433" s="64"/>
      <c r="B2433" s="8"/>
      <c r="C2433" s="8"/>
      <c r="D2433" s="8"/>
      <c r="E2433" s="17" t="s">
        <v>29</v>
      </c>
      <c r="F2433" s="17" t="s">
        <v>29</v>
      </c>
      <c r="G2433" s="17" t="s">
        <v>29</v>
      </c>
      <c r="H2433" s="17" t="s">
        <v>29</v>
      </c>
      <c r="I2433" s="17" t="s">
        <v>29</v>
      </c>
      <c r="J2433" s="17" t="s">
        <v>29</v>
      </c>
      <c r="K2433" s="17" t="s">
        <v>29</v>
      </c>
      <c r="L2433" s="17" t="s">
        <v>29</v>
      </c>
      <c r="M2433" s="17" t="s">
        <v>29</v>
      </c>
      <c r="N2433" s="17" t="s">
        <v>29</v>
      </c>
      <c r="O2433" s="17" t="s">
        <v>29</v>
      </c>
      <c r="P2433" s="17" t="s">
        <v>29</v>
      </c>
      <c r="Q2433" s="17" t="s">
        <v>29</v>
      </c>
      <c r="R2433" s="17" t="s">
        <v>29</v>
      </c>
      <c r="S2433" s="17" t="s">
        <v>29</v>
      </c>
      <c r="T2433" s="17" t="s">
        <v>29</v>
      </c>
      <c r="U2433" s="17" t="s">
        <v>29</v>
      </c>
      <c r="V2433" s="17" t="s">
        <v>29</v>
      </c>
      <c r="W2433" s="17" t="s">
        <v>29</v>
      </c>
      <c r="X2433" s="17" t="s">
        <v>29</v>
      </c>
      <c r="Y2433" s="17" t="s">
        <v>29</v>
      </c>
      <c r="Z2433" s="17" t="s">
        <v>29</v>
      </c>
      <c r="AA2433" s="17" t="s">
        <v>29</v>
      </c>
      <c r="AB2433" s="17" t="s">
        <v>29</v>
      </c>
    </row>
    <row r="2434" spans="1:28" x14ac:dyDescent="0.3">
      <c r="A2434" s="64"/>
      <c r="B2434" s="8"/>
      <c r="C2434" s="8"/>
      <c r="D2434" s="8"/>
      <c r="E2434" s="9">
        <f t="shared" ref="E2434:Q2434" si="1277">SUM(E2419:E2433)</f>
        <v>34168328.780000001</v>
      </c>
      <c r="F2434" s="9">
        <f t="shared" si="1277"/>
        <v>30718631.579999998</v>
      </c>
      <c r="G2434" s="9">
        <f t="shared" si="1277"/>
        <v>0</v>
      </c>
      <c r="H2434" s="9">
        <f t="shared" si="1277"/>
        <v>30718631.579999998</v>
      </c>
      <c r="I2434" s="9">
        <f t="shared" si="1277"/>
        <v>0</v>
      </c>
      <c r="J2434" s="9">
        <f t="shared" si="1277"/>
        <v>28788631.579999998</v>
      </c>
      <c r="K2434" s="9">
        <f t="shared" si="1277"/>
        <v>3433954.76</v>
      </c>
      <c r="L2434" s="9">
        <f t="shared" si="1277"/>
        <v>0</v>
      </c>
      <c r="M2434" s="9">
        <f t="shared" si="1277"/>
        <v>30718631.579999998</v>
      </c>
      <c r="N2434" s="9">
        <f t="shared" si="1277"/>
        <v>3439976.0399999996</v>
      </c>
      <c r="O2434" s="9">
        <f t="shared" si="1277"/>
        <v>0</v>
      </c>
      <c r="P2434" s="9">
        <f t="shared" si="1277"/>
        <v>3439976.0399999996</v>
      </c>
      <c r="Q2434" s="9">
        <f t="shared" si="1277"/>
        <v>28798352.739999998</v>
      </c>
      <c r="R2434" s="8"/>
      <c r="S2434" s="8"/>
      <c r="T2434" s="9">
        <f t="shared" ref="T2434:Z2434" si="1278">SUM(T2419:T2433)</f>
        <v>9721.16</v>
      </c>
      <c r="U2434" s="9">
        <f t="shared" si="1278"/>
        <v>3449697.1999999997</v>
      </c>
      <c r="V2434" s="9">
        <f t="shared" si="1278"/>
        <v>0</v>
      </c>
      <c r="W2434" s="9">
        <f t="shared" si="1278"/>
        <v>0</v>
      </c>
      <c r="X2434" s="9">
        <f t="shared" si="1278"/>
        <v>34158607.620000005</v>
      </c>
      <c r="Y2434" s="9">
        <f t="shared" si="1278"/>
        <v>0</v>
      </c>
      <c r="Z2434" s="9">
        <f t="shared" si="1278"/>
        <v>9721.1599999999744</v>
      </c>
      <c r="AA2434" s="9">
        <f>SUM(AA2419:AA2433)</f>
        <v>34168328.780000001</v>
      </c>
      <c r="AB2434" s="9">
        <f>SUM(AB2419:AB2433)</f>
        <v>0</v>
      </c>
    </row>
    <row r="2435" spans="1:28" x14ac:dyDescent="0.3">
      <c r="A2435" s="64"/>
      <c r="B2435" s="8"/>
      <c r="C2435" s="8"/>
      <c r="D2435" s="8"/>
      <c r="E2435" s="17" t="s">
        <v>29</v>
      </c>
      <c r="F2435" s="17" t="s">
        <v>29</v>
      </c>
      <c r="G2435" s="17" t="s">
        <v>29</v>
      </c>
      <c r="H2435" s="17" t="s">
        <v>29</v>
      </c>
      <c r="I2435" s="17" t="s">
        <v>29</v>
      </c>
      <c r="J2435" s="17" t="s">
        <v>29</v>
      </c>
      <c r="K2435" s="17" t="s">
        <v>29</v>
      </c>
      <c r="L2435" s="17" t="s">
        <v>29</v>
      </c>
      <c r="M2435" s="17" t="s">
        <v>29</v>
      </c>
      <c r="N2435" s="17" t="s">
        <v>29</v>
      </c>
      <c r="O2435" s="17" t="s">
        <v>29</v>
      </c>
      <c r="P2435" s="17" t="s">
        <v>29</v>
      </c>
      <c r="Q2435" s="17" t="s">
        <v>29</v>
      </c>
      <c r="R2435" s="17" t="s">
        <v>29</v>
      </c>
      <c r="S2435" s="17" t="s">
        <v>29</v>
      </c>
      <c r="T2435" s="17" t="s">
        <v>29</v>
      </c>
      <c r="U2435" s="17" t="s">
        <v>29</v>
      </c>
      <c r="V2435" s="17" t="s">
        <v>29</v>
      </c>
      <c r="W2435" s="17" t="s">
        <v>29</v>
      </c>
      <c r="X2435" s="17" t="s">
        <v>29</v>
      </c>
      <c r="Y2435" s="17" t="s">
        <v>29</v>
      </c>
      <c r="Z2435" s="17" t="s">
        <v>29</v>
      </c>
      <c r="AA2435" s="17" t="s">
        <v>29</v>
      </c>
      <c r="AB2435" s="17" t="s">
        <v>29</v>
      </c>
    </row>
    <row r="2436" spans="1:28" x14ac:dyDescent="0.3">
      <c r="A2436" s="63" t="s">
        <v>1041</v>
      </c>
      <c r="B2436" s="7" t="s">
        <v>861</v>
      </c>
      <c r="C2436" s="8"/>
      <c r="D2436" s="8"/>
      <c r="E2436" s="8"/>
      <c r="F2436" s="8"/>
      <c r="G2436" s="8"/>
      <c r="H2436" s="8"/>
      <c r="I2436" s="8"/>
      <c r="J2436" s="8"/>
      <c r="K2436" s="8"/>
      <c r="L2436" s="8"/>
      <c r="M2436" s="8"/>
      <c r="N2436" s="8"/>
      <c r="O2436" s="8"/>
      <c r="P2436" s="8"/>
      <c r="Q2436" s="8"/>
      <c r="R2436" s="8"/>
      <c r="S2436" s="8"/>
      <c r="T2436" s="8"/>
      <c r="U2436" s="8"/>
      <c r="V2436" s="8"/>
      <c r="W2436" s="8"/>
      <c r="X2436" s="8"/>
      <c r="Y2436" s="8"/>
      <c r="Z2436" s="8"/>
    </row>
    <row r="2437" spans="1:28" x14ac:dyDescent="0.3">
      <c r="A2437" s="64"/>
      <c r="B2437" s="8"/>
      <c r="C2437" s="7" t="s">
        <v>862</v>
      </c>
      <c r="D2437" s="15" t="s">
        <v>150</v>
      </c>
      <c r="E2437" s="9">
        <v>465893</v>
      </c>
      <c r="F2437" s="9">
        <v>465893</v>
      </c>
      <c r="G2437" s="8"/>
      <c r="H2437" s="9">
        <f>F2437+G2437</f>
        <v>465893</v>
      </c>
      <c r="I2437" s="8"/>
      <c r="J2437" s="9">
        <f>H2437+I2437</f>
        <v>465893</v>
      </c>
      <c r="K2437" s="9"/>
      <c r="L2437" s="8"/>
      <c r="M2437" s="9">
        <f>+H2437+L2437</f>
        <v>465893</v>
      </c>
      <c r="N2437" s="8"/>
      <c r="O2437" s="9"/>
      <c r="P2437" s="9">
        <f>+N2437+O2437</f>
        <v>0</v>
      </c>
      <c r="Q2437" s="9">
        <f>E2437-P2437</f>
        <v>465893</v>
      </c>
      <c r="R2437" s="8"/>
      <c r="S2437" s="8"/>
      <c r="T2437" s="8"/>
      <c r="U2437" s="18">
        <f t="shared" ref="U2437:U2450" si="1279">+P2437+T2437</f>
        <v>0</v>
      </c>
      <c r="V2437" s="17"/>
      <c r="W2437" s="17"/>
      <c r="X2437" s="9">
        <f t="shared" ref="X2437:X2450" si="1280">+H2437+P2437</f>
        <v>465893</v>
      </c>
      <c r="Y2437" s="8"/>
      <c r="Z2437" s="9">
        <f t="shared" ref="Z2437:Z2450" si="1281">+E2437-X2437</f>
        <v>0</v>
      </c>
      <c r="AA2437" s="8">
        <f t="shared" ref="AA2437:AA2450" si="1282">+M2437+U2437</f>
        <v>465893</v>
      </c>
      <c r="AB2437" s="8">
        <f t="shared" ref="AB2437:AB2450" si="1283">+E2437-AA2437</f>
        <v>0</v>
      </c>
    </row>
    <row r="2438" spans="1:28" x14ac:dyDescent="0.3">
      <c r="A2438" s="64"/>
      <c r="B2438" s="8"/>
      <c r="C2438" s="8"/>
      <c r="D2438" s="14" t="s">
        <v>79</v>
      </c>
      <c r="E2438" s="8"/>
      <c r="F2438" s="8"/>
      <c r="G2438" s="8"/>
      <c r="H2438" s="8"/>
      <c r="I2438" s="8"/>
      <c r="J2438" s="8"/>
      <c r="K2438" s="8"/>
      <c r="L2438" s="8"/>
      <c r="M2438" s="9">
        <f t="shared" ref="M2438:M2450" si="1284">+H2438+L2438</f>
        <v>0</v>
      </c>
      <c r="N2438" s="8"/>
      <c r="O2438" s="8"/>
      <c r="P2438" s="9">
        <f t="shared" ref="P2438:P2450" si="1285">+N2438+O2438</f>
        <v>0</v>
      </c>
      <c r="Q2438" s="8"/>
      <c r="R2438" s="8"/>
      <c r="S2438" s="8"/>
      <c r="T2438" s="8"/>
      <c r="U2438" s="18">
        <f t="shared" si="1279"/>
        <v>0</v>
      </c>
      <c r="V2438" s="17"/>
      <c r="W2438" s="17"/>
      <c r="X2438" s="9">
        <f t="shared" si="1280"/>
        <v>0</v>
      </c>
      <c r="Y2438" s="8"/>
      <c r="Z2438" s="9">
        <f t="shared" si="1281"/>
        <v>0</v>
      </c>
      <c r="AA2438" s="8">
        <f t="shared" si="1282"/>
        <v>0</v>
      </c>
      <c r="AB2438" s="8">
        <f t="shared" si="1283"/>
        <v>0</v>
      </c>
    </row>
    <row r="2439" spans="1:28" x14ac:dyDescent="0.3">
      <c r="A2439" s="64"/>
      <c r="B2439" s="8"/>
      <c r="C2439" s="7" t="s">
        <v>535</v>
      </c>
      <c r="D2439" s="7" t="s">
        <v>211</v>
      </c>
      <c r="E2439" s="9">
        <v>13948800.789999999</v>
      </c>
      <c r="F2439" s="9">
        <v>13281739.300000001</v>
      </c>
      <c r="G2439" s="8"/>
      <c r="H2439" s="9">
        <f t="shared" ref="H2439:H2450" si="1286">F2439+G2439</f>
        <v>13281739.300000001</v>
      </c>
      <c r="I2439" s="8"/>
      <c r="J2439" s="9">
        <f t="shared" ref="J2439:J2450" si="1287">H2439+I2439</f>
        <v>13281739.300000001</v>
      </c>
      <c r="K2439" s="11">
        <v>667061.49</v>
      </c>
      <c r="L2439" s="8"/>
      <c r="M2439" s="9">
        <f t="shared" si="1284"/>
        <v>13281739.300000001</v>
      </c>
      <c r="N2439" s="8">
        <v>667061.49</v>
      </c>
      <c r="O2439" s="9"/>
      <c r="P2439" s="9">
        <f t="shared" si="1285"/>
        <v>667061.49</v>
      </c>
      <c r="Q2439" s="9">
        <f t="shared" ref="Q2439:Q2450" si="1288">E2439-P2439</f>
        <v>13281739.299999999</v>
      </c>
      <c r="R2439" s="8"/>
      <c r="S2439" s="8"/>
      <c r="T2439" s="8"/>
      <c r="U2439" s="18">
        <f t="shared" si="1279"/>
        <v>667061.49</v>
      </c>
      <c r="V2439" s="17"/>
      <c r="W2439" s="17"/>
      <c r="X2439" s="9">
        <f t="shared" si="1280"/>
        <v>13948800.790000001</v>
      </c>
      <c r="Y2439" s="8"/>
      <c r="Z2439" s="9">
        <f t="shared" si="1281"/>
        <v>0</v>
      </c>
      <c r="AA2439" s="8">
        <f t="shared" si="1282"/>
        <v>13948800.790000001</v>
      </c>
      <c r="AB2439" s="8">
        <f t="shared" si="1283"/>
        <v>0</v>
      </c>
    </row>
    <row r="2440" spans="1:28" x14ac:dyDescent="0.3">
      <c r="A2440" s="64"/>
      <c r="B2440" s="14" t="s">
        <v>375</v>
      </c>
      <c r="C2440" s="7" t="s">
        <v>863</v>
      </c>
      <c r="D2440" s="7" t="s">
        <v>864</v>
      </c>
      <c r="E2440" s="9">
        <v>205000</v>
      </c>
      <c r="F2440" s="11">
        <v>205000</v>
      </c>
      <c r="G2440" s="8"/>
      <c r="H2440" s="9">
        <f t="shared" si="1286"/>
        <v>205000</v>
      </c>
      <c r="I2440" s="8"/>
      <c r="J2440" s="9">
        <f t="shared" si="1287"/>
        <v>205000</v>
      </c>
      <c r="K2440" s="9"/>
      <c r="L2440" s="8"/>
      <c r="M2440" s="9">
        <f t="shared" si="1284"/>
        <v>205000</v>
      </c>
      <c r="N2440" s="8"/>
      <c r="O2440" s="9"/>
      <c r="P2440" s="9">
        <f t="shared" si="1285"/>
        <v>0</v>
      </c>
      <c r="Q2440" s="9">
        <f t="shared" si="1288"/>
        <v>205000</v>
      </c>
      <c r="R2440" s="8"/>
      <c r="S2440" s="8"/>
      <c r="T2440" s="8"/>
      <c r="U2440" s="18">
        <f t="shared" si="1279"/>
        <v>0</v>
      </c>
      <c r="V2440" s="17"/>
      <c r="W2440" s="17"/>
      <c r="X2440" s="9">
        <f t="shared" si="1280"/>
        <v>205000</v>
      </c>
      <c r="Y2440" s="8"/>
      <c r="Z2440" s="9">
        <f t="shared" si="1281"/>
        <v>0</v>
      </c>
      <c r="AA2440" s="8">
        <f t="shared" si="1282"/>
        <v>205000</v>
      </c>
      <c r="AB2440" s="8">
        <f t="shared" si="1283"/>
        <v>0</v>
      </c>
    </row>
    <row r="2441" spans="1:28" x14ac:dyDescent="0.3">
      <c r="A2441" s="64"/>
      <c r="B2441" s="8"/>
      <c r="C2441" s="7" t="s">
        <v>545</v>
      </c>
      <c r="D2441" s="15" t="s">
        <v>68</v>
      </c>
      <c r="E2441" s="9">
        <v>1767770</v>
      </c>
      <c r="F2441" s="8"/>
      <c r="G2441" s="8"/>
      <c r="H2441" s="9">
        <f t="shared" si="1286"/>
        <v>0</v>
      </c>
      <c r="I2441" s="8"/>
      <c r="J2441" s="9">
        <f t="shared" si="1287"/>
        <v>0</v>
      </c>
      <c r="K2441" s="9">
        <v>1767770</v>
      </c>
      <c r="L2441" s="8"/>
      <c r="M2441" s="9">
        <f t="shared" si="1284"/>
        <v>0</v>
      </c>
      <c r="N2441" s="8">
        <v>1767770</v>
      </c>
      <c r="O2441" s="9"/>
      <c r="P2441" s="9">
        <f t="shared" si="1285"/>
        <v>1767770</v>
      </c>
      <c r="Q2441" s="9">
        <f t="shared" si="1288"/>
        <v>0</v>
      </c>
      <c r="R2441" s="8"/>
      <c r="S2441" s="8"/>
      <c r="T2441" s="8"/>
      <c r="U2441" s="18">
        <f t="shared" si="1279"/>
        <v>1767770</v>
      </c>
      <c r="V2441" s="17"/>
      <c r="W2441" s="17"/>
      <c r="X2441" s="9">
        <f t="shared" si="1280"/>
        <v>1767770</v>
      </c>
      <c r="Y2441" s="8"/>
      <c r="Z2441" s="9">
        <f t="shared" si="1281"/>
        <v>0</v>
      </c>
      <c r="AA2441" s="8">
        <f t="shared" si="1282"/>
        <v>1767770</v>
      </c>
      <c r="AB2441" s="8">
        <f t="shared" si="1283"/>
        <v>0</v>
      </c>
    </row>
    <row r="2442" spans="1:28" x14ac:dyDescent="0.3">
      <c r="A2442" s="64"/>
      <c r="B2442" s="8"/>
      <c r="C2442" s="14" t="s">
        <v>702</v>
      </c>
      <c r="D2442" s="21" t="s">
        <v>54</v>
      </c>
      <c r="E2442" s="11">
        <v>241480</v>
      </c>
      <c r="F2442" s="8"/>
      <c r="G2442" s="8"/>
      <c r="H2442" s="9">
        <f t="shared" si="1286"/>
        <v>0</v>
      </c>
      <c r="I2442" s="8"/>
      <c r="J2442" s="9">
        <f t="shared" si="1287"/>
        <v>0</v>
      </c>
      <c r="K2442" s="11">
        <v>241480</v>
      </c>
      <c r="L2442" s="8"/>
      <c r="M2442" s="9">
        <f t="shared" si="1284"/>
        <v>0</v>
      </c>
      <c r="N2442" s="8">
        <v>241480</v>
      </c>
      <c r="O2442" s="9"/>
      <c r="P2442" s="9">
        <f t="shared" si="1285"/>
        <v>241480</v>
      </c>
      <c r="Q2442" s="9">
        <f t="shared" si="1288"/>
        <v>0</v>
      </c>
      <c r="R2442" s="8"/>
      <c r="S2442" s="8"/>
      <c r="T2442" s="8"/>
      <c r="U2442" s="18">
        <f t="shared" si="1279"/>
        <v>241480</v>
      </c>
      <c r="V2442" s="17"/>
      <c r="W2442" s="17"/>
      <c r="X2442" s="9">
        <f t="shared" si="1280"/>
        <v>241480</v>
      </c>
      <c r="Y2442" s="8"/>
      <c r="Z2442" s="9">
        <f t="shared" si="1281"/>
        <v>0</v>
      </c>
      <c r="AA2442" s="8">
        <f t="shared" si="1282"/>
        <v>241480</v>
      </c>
      <c r="AB2442" s="8">
        <f t="shared" si="1283"/>
        <v>0</v>
      </c>
    </row>
    <row r="2443" spans="1:28" x14ac:dyDescent="0.3">
      <c r="A2443" s="64"/>
      <c r="B2443" s="8"/>
      <c r="C2443" s="7" t="s">
        <v>865</v>
      </c>
      <c r="D2443" s="7" t="s">
        <v>308</v>
      </c>
      <c r="E2443" s="9">
        <v>2480000</v>
      </c>
      <c r="F2443" s="9">
        <v>2480000</v>
      </c>
      <c r="G2443" s="8"/>
      <c r="H2443" s="9">
        <f t="shared" si="1286"/>
        <v>2480000</v>
      </c>
      <c r="I2443" s="8"/>
      <c r="J2443" s="9">
        <f t="shared" si="1287"/>
        <v>2480000</v>
      </c>
      <c r="K2443" s="8"/>
      <c r="L2443" s="8"/>
      <c r="M2443" s="9">
        <f t="shared" si="1284"/>
        <v>2480000</v>
      </c>
      <c r="N2443" s="8"/>
      <c r="O2443" s="9"/>
      <c r="P2443" s="9">
        <f t="shared" si="1285"/>
        <v>0</v>
      </c>
      <c r="Q2443" s="9">
        <f t="shared" si="1288"/>
        <v>2480000</v>
      </c>
      <c r="R2443" s="8"/>
      <c r="S2443" s="8"/>
      <c r="T2443" s="8"/>
      <c r="U2443" s="18">
        <f t="shared" si="1279"/>
        <v>0</v>
      </c>
      <c r="V2443" s="17"/>
      <c r="W2443" s="17"/>
      <c r="X2443" s="9">
        <f t="shared" si="1280"/>
        <v>2480000</v>
      </c>
      <c r="Y2443" s="8"/>
      <c r="Z2443" s="9">
        <f t="shared" si="1281"/>
        <v>0</v>
      </c>
      <c r="AA2443" s="8">
        <f t="shared" si="1282"/>
        <v>2480000</v>
      </c>
      <c r="AB2443" s="8">
        <f t="shared" si="1283"/>
        <v>0</v>
      </c>
    </row>
    <row r="2444" spans="1:28" x14ac:dyDescent="0.3">
      <c r="A2444" s="64"/>
      <c r="B2444" s="9"/>
      <c r="C2444" s="7" t="s">
        <v>860</v>
      </c>
      <c r="D2444" s="15" t="s">
        <v>85</v>
      </c>
      <c r="E2444" s="9">
        <v>240000</v>
      </c>
      <c r="F2444" s="9">
        <v>240000</v>
      </c>
      <c r="G2444" s="8"/>
      <c r="H2444" s="9">
        <f t="shared" si="1286"/>
        <v>240000</v>
      </c>
      <c r="I2444" s="8"/>
      <c r="J2444" s="9">
        <f t="shared" si="1287"/>
        <v>240000</v>
      </c>
      <c r="K2444" s="8"/>
      <c r="L2444" s="8"/>
      <c r="M2444" s="9">
        <f t="shared" si="1284"/>
        <v>240000</v>
      </c>
      <c r="N2444" s="8"/>
      <c r="O2444" s="9"/>
      <c r="P2444" s="9">
        <f t="shared" si="1285"/>
        <v>0</v>
      </c>
      <c r="Q2444" s="9">
        <f t="shared" si="1288"/>
        <v>240000</v>
      </c>
      <c r="R2444" s="8"/>
      <c r="S2444" s="8"/>
      <c r="T2444" s="8"/>
      <c r="U2444" s="18">
        <f t="shared" si="1279"/>
        <v>0</v>
      </c>
      <c r="V2444" s="17"/>
      <c r="W2444" s="17"/>
      <c r="X2444" s="9">
        <f t="shared" si="1280"/>
        <v>240000</v>
      </c>
      <c r="Y2444" s="8"/>
      <c r="Z2444" s="9">
        <f t="shared" si="1281"/>
        <v>0</v>
      </c>
      <c r="AA2444" s="8">
        <f t="shared" si="1282"/>
        <v>240000</v>
      </c>
      <c r="AB2444" s="8">
        <f t="shared" si="1283"/>
        <v>0</v>
      </c>
    </row>
    <row r="2445" spans="1:28" x14ac:dyDescent="0.3">
      <c r="A2445" s="64"/>
      <c r="B2445" s="8"/>
      <c r="C2445" s="14" t="s">
        <v>866</v>
      </c>
      <c r="D2445" s="21" t="s">
        <v>128</v>
      </c>
      <c r="E2445" s="11">
        <v>300000</v>
      </c>
      <c r="F2445" s="11">
        <v>300000</v>
      </c>
      <c r="G2445" s="8"/>
      <c r="H2445" s="9">
        <f t="shared" si="1286"/>
        <v>300000</v>
      </c>
      <c r="I2445" s="8"/>
      <c r="J2445" s="9">
        <f t="shared" si="1287"/>
        <v>300000</v>
      </c>
      <c r="K2445" s="8"/>
      <c r="L2445" s="8"/>
      <c r="M2445" s="9">
        <f t="shared" si="1284"/>
        <v>300000</v>
      </c>
      <c r="N2445" s="8"/>
      <c r="O2445" s="9"/>
      <c r="P2445" s="9">
        <f t="shared" si="1285"/>
        <v>0</v>
      </c>
      <c r="Q2445" s="9">
        <f t="shared" si="1288"/>
        <v>300000</v>
      </c>
      <c r="R2445" s="8"/>
      <c r="S2445" s="8"/>
      <c r="T2445" s="8"/>
      <c r="U2445" s="18">
        <f t="shared" si="1279"/>
        <v>0</v>
      </c>
      <c r="V2445" s="17"/>
      <c r="W2445" s="17"/>
      <c r="X2445" s="9">
        <f t="shared" si="1280"/>
        <v>300000</v>
      </c>
      <c r="Y2445" s="8"/>
      <c r="Z2445" s="9">
        <f t="shared" si="1281"/>
        <v>0</v>
      </c>
      <c r="AA2445" s="8">
        <f t="shared" si="1282"/>
        <v>300000</v>
      </c>
      <c r="AB2445" s="8">
        <f t="shared" si="1283"/>
        <v>0</v>
      </c>
    </row>
    <row r="2446" spans="1:28" x14ac:dyDescent="0.3">
      <c r="A2446" s="64"/>
      <c r="B2446" s="8"/>
      <c r="C2446" s="7" t="s">
        <v>535</v>
      </c>
      <c r="D2446" s="15" t="s">
        <v>58</v>
      </c>
      <c r="E2446" s="9">
        <v>6722811</v>
      </c>
      <c r="F2446" s="9">
        <v>6722811</v>
      </c>
      <c r="G2446" s="8"/>
      <c r="H2446" s="9">
        <f t="shared" si="1286"/>
        <v>6722811</v>
      </c>
      <c r="I2446" s="8"/>
      <c r="J2446" s="9">
        <f t="shared" si="1287"/>
        <v>6722811</v>
      </c>
      <c r="K2446" s="8"/>
      <c r="L2446" s="8"/>
      <c r="M2446" s="9">
        <f t="shared" si="1284"/>
        <v>6722811</v>
      </c>
      <c r="N2446" s="8"/>
      <c r="O2446" s="9"/>
      <c r="P2446" s="9">
        <f t="shared" si="1285"/>
        <v>0</v>
      </c>
      <c r="Q2446" s="9">
        <f t="shared" si="1288"/>
        <v>6722811</v>
      </c>
      <c r="R2446" s="8"/>
      <c r="S2446" s="8"/>
      <c r="T2446" s="8"/>
      <c r="U2446" s="18">
        <f t="shared" si="1279"/>
        <v>0</v>
      </c>
      <c r="V2446" s="17"/>
      <c r="W2446" s="17"/>
      <c r="X2446" s="9">
        <f t="shared" si="1280"/>
        <v>6722811</v>
      </c>
      <c r="Y2446" s="8"/>
      <c r="Z2446" s="9">
        <f t="shared" si="1281"/>
        <v>0</v>
      </c>
      <c r="AA2446" s="8">
        <f t="shared" si="1282"/>
        <v>6722811</v>
      </c>
      <c r="AB2446" s="8">
        <f t="shared" si="1283"/>
        <v>0</v>
      </c>
    </row>
    <row r="2447" spans="1:28" x14ac:dyDescent="0.3">
      <c r="A2447" s="64"/>
      <c r="B2447" s="8"/>
      <c r="C2447" s="7" t="s">
        <v>535</v>
      </c>
      <c r="D2447" s="15" t="s">
        <v>60</v>
      </c>
      <c r="E2447" s="9">
        <v>11716759.800000001</v>
      </c>
      <c r="F2447" s="9">
        <v>11716759.800000001</v>
      </c>
      <c r="G2447" s="8"/>
      <c r="H2447" s="9">
        <f t="shared" si="1286"/>
        <v>11716759.800000001</v>
      </c>
      <c r="I2447" s="8"/>
      <c r="J2447" s="9">
        <f t="shared" si="1287"/>
        <v>11716759.800000001</v>
      </c>
      <c r="K2447" s="8"/>
      <c r="L2447" s="8"/>
      <c r="M2447" s="9">
        <f t="shared" si="1284"/>
        <v>11716759.800000001</v>
      </c>
      <c r="N2447" s="8"/>
      <c r="O2447" s="9"/>
      <c r="P2447" s="9">
        <f t="shared" si="1285"/>
        <v>0</v>
      </c>
      <c r="Q2447" s="9">
        <f t="shared" si="1288"/>
        <v>11716759.800000001</v>
      </c>
      <c r="R2447" s="8"/>
      <c r="S2447" s="8"/>
      <c r="T2447" s="8"/>
      <c r="U2447" s="18">
        <f t="shared" si="1279"/>
        <v>0</v>
      </c>
      <c r="V2447" s="17"/>
      <c r="W2447" s="17"/>
      <c r="X2447" s="9">
        <f t="shared" si="1280"/>
        <v>11716759.800000001</v>
      </c>
      <c r="Y2447" s="8"/>
      <c r="Z2447" s="9">
        <f t="shared" si="1281"/>
        <v>0</v>
      </c>
      <c r="AA2447" s="8">
        <f t="shared" si="1282"/>
        <v>11716759.800000001</v>
      </c>
      <c r="AB2447" s="8">
        <f t="shared" si="1283"/>
        <v>0</v>
      </c>
    </row>
    <row r="2448" spans="1:28" x14ac:dyDescent="0.3">
      <c r="A2448" s="64"/>
      <c r="B2448" s="8"/>
      <c r="C2448" s="14" t="s">
        <v>535</v>
      </c>
      <c r="D2448" s="15" t="s">
        <v>61</v>
      </c>
      <c r="E2448" s="11">
        <v>408356.07</v>
      </c>
      <c r="F2448" s="11">
        <v>408356.07</v>
      </c>
      <c r="G2448" s="8"/>
      <c r="H2448" s="9">
        <f t="shared" si="1286"/>
        <v>408356.07</v>
      </c>
      <c r="I2448" s="8"/>
      <c r="J2448" s="9">
        <f t="shared" si="1287"/>
        <v>408356.07</v>
      </c>
      <c r="K2448" s="8"/>
      <c r="L2448" s="8"/>
      <c r="M2448" s="9">
        <f t="shared" si="1284"/>
        <v>408356.07</v>
      </c>
      <c r="N2448" s="8"/>
      <c r="O2448" s="9"/>
      <c r="P2448" s="9">
        <f t="shared" si="1285"/>
        <v>0</v>
      </c>
      <c r="Q2448" s="9">
        <f t="shared" si="1288"/>
        <v>408356.07</v>
      </c>
      <c r="R2448" s="8"/>
      <c r="S2448" s="8"/>
      <c r="T2448" s="8"/>
      <c r="U2448" s="18">
        <f t="shared" si="1279"/>
        <v>0</v>
      </c>
      <c r="V2448" s="17"/>
      <c r="W2448" s="17"/>
      <c r="X2448" s="9">
        <f t="shared" si="1280"/>
        <v>408356.07</v>
      </c>
      <c r="Y2448" s="8"/>
      <c r="Z2448" s="9">
        <f t="shared" si="1281"/>
        <v>0</v>
      </c>
      <c r="AA2448" s="8">
        <f t="shared" si="1282"/>
        <v>408356.07</v>
      </c>
      <c r="AB2448" s="8">
        <f t="shared" si="1283"/>
        <v>0</v>
      </c>
    </row>
    <row r="2449" spans="1:28" x14ac:dyDescent="0.3">
      <c r="A2449" s="64"/>
      <c r="B2449" s="8"/>
      <c r="C2449" s="14" t="s">
        <v>933</v>
      </c>
      <c r="D2449" s="16" t="s">
        <v>1072</v>
      </c>
      <c r="E2449" s="11">
        <v>739911.08</v>
      </c>
      <c r="F2449" s="11">
        <v>739911.08</v>
      </c>
      <c r="G2449" s="8"/>
      <c r="H2449" s="9">
        <f>+F2449+G2449</f>
        <v>739911.08</v>
      </c>
      <c r="I2449" s="8"/>
      <c r="J2449" s="9"/>
      <c r="K2449" s="8"/>
      <c r="L2449" s="8"/>
      <c r="M2449" s="9">
        <f>+H2449+L2449</f>
        <v>739911.08</v>
      </c>
      <c r="N2449" s="8"/>
      <c r="O2449" s="9"/>
      <c r="P2449" s="9">
        <f t="shared" si="1285"/>
        <v>0</v>
      </c>
      <c r="Q2449" s="9"/>
      <c r="R2449" s="8"/>
      <c r="S2449" s="8"/>
      <c r="T2449" s="8"/>
      <c r="U2449" s="18">
        <f>+P2449+T2449</f>
        <v>0</v>
      </c>
      <c r="V2449" s="17"/>
      <c r="W2449" s="17"/>
      <c r="X2449" s="9">
        <f t="shared" si="1280"/>
        <v>739911.08</v>
      </c>
      <c r="Y2449" s="8"/>
      <c r="Z2449" s="9">
        <f t="shared" si="1281"/>
        <v>0</v>
      </c>
      <c r="AA2449" s="8">
        <f t="shared" si="1282"/>
        <v>739911.08</v>
      </c>
      <c r="AB2449" s="8">
        <f t="shared" si="1283"/>
        <v>0</v>
      </c>
    </row>
    <row r="2450" spans="1:28" x14ac:dyDescent="0.3">
      <c r="A2450" s="64"/>
      <c r="B2450" s="8"/>
      <c r="C2450" s="7" t="s">
        <v>606</v>
      </c>
      <c r="D2450" s="8"/>
      <c r="E2450" s="9">
        <v>5151053.2</v>
      </c>
      <c r="F2450" s="9">
        <v>5151053.2</v>
      </c>
      <c r="G2450" s="8"/>
      <c r="H2450" s="9">
        <f t="shared" si="1286"/>
        <v>5151053.2</v>
      </c>
      <c r="I2450" s="8"/>
      <c r="J2450" s="9">
        <f t="shared" si="1287"/>
        <v>5151053.2</v>
      </c>
      <c r="K2450" s="8"/>
      <c r="L2450" s="8"/>
      <c r="M2450" s="9">
        <f t="shared" si="1284"/>
        <v>5151053.2</v>
      </c>
      <c r="N2450" s="8"/>
      <c r="O2450" s="9"/>
      <c r="P2450" s="9">
        <f t="shared" si="1285"/>
        <v>0</v>
      </c>
      <c r="Q2450" s="9">
        <f t="shared" si="1288"/>
        <v>5151053.2</v>
      </c>
      <c r="R2450" s="8"/>
      <c r="S2450" s="8"/>
      <c r="T2450" s="8"/>
      <c r="U2450" s="18">
        <f t="shared" si="1279"/>
        <v>0</v>
      </c>
      <c r="V2450" s="17"/>
      <c r="W2450" s="17"/>
      <c r="X2450" s="9">
        <f t="shared" si="1280"/>
        <v>5151053.2</v>
      </c>
      <c r="Y2450" s="8"/>
      <c r="Z2450" s="9">
        <f t="shared" si="1281"/>
        <v>0</v>
      </c>
      <c r="AA2450" s="8">
        <f t="shared" si="1282"/>
        <v>5151053.2</v>
      </c>
      <c r="AB2450" s="8">
        <f t="shared" si="1283"/>
        <v>0</v>
      </c>
    </row>
    <row r="2451" spans="1:28" x14ac:dyDescent="0.3">
      <c r="A2451" s="64"/>
      <c r="B2451" s="8"/>
      <c r="C2451" s="8"/>
      <c r="D2451" s="8"/>
      <c r="E2451" s="17" t="s">
        <v>29</v>
      </c>
      <c r="F2451" s="17" t="s">
        <v>29</v>
      </c>
      <c r="G2451" s="17" t="s">
        <v>29</v>
      </c>
      <c r="H2451" s="17" t="s">
        <v>29</v>
      </c>
      <c r="I2451" s="17" t="s">
        <v>29</v>
      </c>
      <c r="J2451" s="17" t="s">
        <v>29</v>
      </c>
      <c r="K2451" s="17" t="s">
        <v>29</v>
      </c>
      <c r="L2451" s="17" t="s">
        <v>29</v>
      </c>
      <c r="M2451" s="17" t="s">
        <v>29</v>
      </c>
      <c r="N2451" s="17" t="s">
        <v>29</v>
      </c>
      <c r="O2451" s="17" t="s">
        <v>29</v>
      </c>
      <c r="P2451" s="17" t="s">
        <v>29</v>
      </c>
      <c r="Q2451" s="17" t="s">
        <v>29</v>
      </c>
      <c r="R2451" s="17" t="s">
        <v>29</v>
      </c>
      <c r="S2451" s="17" t="s">
        <v>29</v>
      </c>
      <c r="T2451" s="17" t="s">
        <v>29</v>
      </c>
      <c r="U2451" s="17" t="s">
        <v>29</v>
      </c>
      <c r="V2451" s="17" t="s">
        <v>29</v>
      </c>
      <c r="W2451" s="17" t="s">
        <v>29</v>
      </c>
      <c r="X2451" s="17" t="s">
        <v>29</v>
      </c>
      <c r="Y2451" s="17" t="s">
        <v>29</v>
      </c>
      <c r="Z2451" s="17" t="s">
        <v>29</v>
      </c>
      <c r="AA2451" s="17" t="s">
        <v>29</v>
      </c>
      <c r="AB2451" s="17" t="s">
        <v>29</v>
      </c>
    </row>
    <row r="2452" spans="1:28" x14ac:dyDescent="0.3">
      <c r="A2452" s="64"/>
      <c r="B2452" s="8"/>
      <c r="C2452" s="8"/>
      <c r="D2452" s="8"/>
      <c r="E2452" s="9">
        <f t="shared" ref="E2452:Q2452" si="1289">SUM(E2437:E2451)</f>
        <v>44387834.940000005</v>
      </c>
      <c r="F2452" s="9">
        <f t="shared" si="1289"/>
        <v>41711523.450000003</v>
      </c>
      <c r="G2452" s="9">
        <f t="shared" si="1289"/>
        <v>0</v>
      </c>
      <c r="H2452" s="9">
        <f t="shared" si="1289"/>
        <v>41711523.450000003</v>
      </c>
      <c r="I2452" s="9">
        <f t="shared" si="1289"/>
        <v>0</v>
      </c>
      <c r="J2452" s="9">
        <f t="shared" si="1289"/>
        <v>40971612.370000005</v>
      </c>
      <c r="K2452" s="9">
        <f t="shared" si="1289"/>
        <v>2676311.4900000002</v>
      </c>
      <c r="L2452" s="9">
        <f t="shared" si="1289"/>
        <v>0</v>
      </c>
      <c r="M2452" s="9">
        <f t="shared" si="1289"/>
        <v>41711523.450000003</v>
      </c>
      <c r="N2452" s="9">
        <f t="shared" si="1289"/>
        <v>2676311.4900000002</v>
      </c>
      <c r="O2452" s="9">
        <f t="shared" si="1289"/>
        <v>0</v>
      </c>
      <c r="P2452" s="9">
        <f t="shared" si="1289"/>
        <v>2676311.4900000002</v>
      </c>
      <c r="Q2452" s="9">
        <f t="shared" si="1289"/>
        <v>40971612.369999997</v>
      </c>
      <c r="R2452" s="8"/>
      <c r="S2452" s="8"/>
      <c r="T2452" s="9">
        <f t="shared" ref="T2452:Z2452" si="1290">SUM(T2437:T2451)</f>
        <v>0</v>
      </c>
      <c r="U2452" s="9">
        <f t="shared" si="1290"/>
        <v>2676311.4900000002</v>
      </c>
      <c r="V2452" s="9">
        <f t="shared" si="1290"/>
        <v>0</v>
      </c>
      <c r="W2452" s="9">
        <f t="shared" si="1290"/>
        <v>0</v>
      </c>
      <c r="X2452" s="9">
        <f t="shared" si="1290"/>
        <v>44387834.940000005</v>
      </c>
      <c r="Y2452" s="9">
        <f t="shared" si="1290"/>
        <v>0</v>
      </c>
      <c r="Z2452" s="9">
        <f t="shared" si="1290"/>
        <v>0</v>
      </c>
      <c r="AA2452" s="9">
        <f>SUM(AA2437:AA2451)</f>
        <v>44387834.940000005</v>
      </c>
      <c r="AB2452" s="9">
        <f>SUM(AB2437:AB2451)</f>
        <v>0</v>
      </c>
    </row>
    <row r="2453" spans="1:28" x14ac:dyDescent="0.3">
      <c r="A2453" s="64"/>
      <c r="B2453" s="8"/>
      <c r="C2453" s="8"/>
      <c r="D2453" s="8"/>
      <c r="E2453" s="17" t="s">
        <v>29</v>
      </c>
      <c r="F2453" s="17" t="s">
        <v>29</v>
      </c>
      <c r="G2453" s="17" t="s">
        <v>29</v>
      </c>
      <c r="H2453" s="17" t="s">
        <v>29</v>
      </c>
      <c r="I2453" s="17" t="s">
        <v>29</v>
      </c>
      <c r="J2453" s="17" t="s">
        <v>29</v>
      </c>
      <c r="K2453" s="17" t="s">
        <v>29</v>
      </c>
      <c r="L2453" s="17" t="s">
        <v>29</v>
      </c>
      <c r="M2453" s="17" t="s">
        <v>29</v>
      </c>
      <c r="N2453" s="17" t="s">
        <v>29</v>
      </c>
      <c r="O2453" s="17" t="s">
        <v>29</v>
      </c>
      <c r="P2453" s="17" t="s">
        <v>29</v>
      </c>
      <c r="Q2453" s="17" t="s">
        <v>29</v>
      </c>
      <c r="R2453" s="17" t="s">
        <v>29</v>
      </c>
      <c r="S2453" s="17" t="s">
        <v>29</v>
      </c>
      <c r="T2453" s="17" t="s">
        <v>29</v>
      </c>
      <c r="U2453" s="17" t="s">
        <v>29</v>
      </c>
      <c r="V2453" s="17" t="s">
        <v>29</v>
      </c>
      <c r="W2453" s="17" t="s">
        <v>29</v>
      </c>
      <c r="X2453" s="17" t="s">
        <v>29</v>
      </c>
      <c r="Y2453" s="17" t="s">
        <v>29</v>
      </c>
      <c r="Z2453" s="17" t="s">
        <v>29</v>
      </c>
      <c r="AA2453" s="17" t="s">
        <v>29</v>
      </c>
      <c r="AB2453" s="17" t="s">
        <v>29</v>
      </c>
    </row>
    <row r="2454" spans="1:28" x14ac:dyDescent="0.3">
      <c r="A2454" s="64"/>
      <c r="B2454" s="7" t="s">
        <v>867</v>
      </c>
      <c r="C2454" s="8"/>
      <c r="D2454" s="8"/>
      <c r="E2454" s="9">
        <f>E2319+E2347+E2372+E2388+E2416+E2434+E2452+E2323</f>
        <v>305104967.65000004</v>
      </c>
      <c r="F2454" s="9">
        <f>F2319+F2347+F2372+F2388+F2416+F2434+F2452+F2323</f>
        <v>287008044.38</v>
      </c>
      <c r="G2454" s="9">
        <f>G2319+G2347+G2372+G2388+G2416+G2434+G2452+G2323</f>
        <v>0</v>
      </c>
      <c r="H2454" s="9">
        <f>H2319+H2347+H2372+H2388+H2416+H2434+H2452+H2323</f>
        <v>287008044.38</v>
      </c>
      <c r="I2454" s="9">
        <f>I2319+I2347+I2372+I2388+I2416+I2434+I2452</f>
        <v>0</v>
      </c>
      <c r="J2454" s="9">
        <f>J2319+J2347+J2372+J2388+J2416+J2434+J2452</f>
        <v>258659426.21999997</v>
      </c>
      <c r="K2454" s="9">
        <f>K2319+K2347+K2372+K2388+K2416+K2434+K2452</f>
        <v>18001180.829999998</v>
      </c>
      <c r="L2454" s="9">
        <f>L2319+L2347+L2372+L2388+L2416+L2434+L2452+L2323</f>
        <v>0</v>
      </c>
      <c r="M2454" s="9">
        <f>M2319+M2347+M2372+M2388+M2416+M2434+M2452+M2323</f>
        <v>287008044.38</v>
      </c>
      <c r="N2454" s="9">
        <f>N2319+N2347+N2372+N2388+N2416+N2434+N2452+N2323</f>
        <v>18007202.109999999</v>
      </c>
      <c r="O2454" s="9">
        <f>O2319+O2347+O2372+O2388+O2416+O2434+O2452+O2323</f>
        <v>0</v>
      </c>
      <c r="P2454" s="9">
        <f>P2319+P2347+P2372+P2388+P2416+P2434+P2452+P2323</f>
        <v>18007202.109999999</v>
      </c>
      <c r="Q2454" s="9">
        <f>Q2319+Q2347+Q2372+Q2388+Q2416+Q2434+Q2452</f>
        <v>252050075.42000002</v>
      </c>
      <c r="R2454" s="9">
        <f>R2319+R2347+R2372+R2388+R2416+R2434+R2452</f>
        <v>0</v>
      </c>
      <c r="S2454" s="9">
        <f>S2319+S2347+S2372+S2388+S2416+S2434+S2452</f>
        <v>0</v>
      </c>
      <c r="T2454" s="9">
        <f>T2319+T2347+T2372+T2388+T2416+T2434+T2452+T2323</f>
        <v>9721.16</v>
      </c>
      <c r="U2454" s="9">
        <f>U2319+U2347+U2372+U2388+U2416+U2434+U2452+U2323</f>
        <v>18016923.27</v>
      </c>
      <c r="V2454" s="9">
        <f>V2319+V2347+V2372+V2388+V2416+V2434+V2452</f>
        <v>0</v>
      </c>
      <c r="W2454" s="9">
        <f>W2319+W2347+W2372+W2388+W2416+W2434+W2452</f>
        <v>0</v>
      </c>
      <c r="X2454" s="9">
        <f>X2319+X2347+X2372+X2388+X2416+X2434+X2452+X2323</f>
        <v>305015246.49000001</v>
      </c>
      <c r="Y2454" s="9">
        <f>Y2319+Y2347+Y2372+Y2388+Y2416+Y2434+Y2452</f>
        <v>0</v>
      </c>
      <c r="Z2454" s="9">
        <f>Z2319+Z2347+Z2372+Z2388+Z2416+Z2434+Z2452+Z2323</f>
        <v>89721.160000000018</v>
      </c>
      <c r="AA2454" s="9">
        <f>AA2319+AA2347+AA2372+AA2388+AA2416+AA2434+AA2452+AA2323</f>
        <v>305024967.65000004</v>
      </c>
      <c r="AB2454" s="9">
        <f>AB2319+AB2347+AB2372+AB2388+AB2416+AB2434+AB2452+AB2323</f>
        <v>80000.000000000044</v>
      </c>
    </row>
    <row r="2455" spans="1:28" x14ac:dyDescent="0.3">
      <c r="A2455" s="64"/>
      <c r="B2455" s="8"/>
      <c r="C2455" s="8"/>
      <c r="D2455" s="8"/>
      <c r="E2455" s="17" t="s">
        <v>114</v>
      </c>
      <c r="F2455" s="17" t="s">
        <v>114</v>
      </c>
      <c r="G2455" s="17" t="s">
        <v>114</v>
      </c>
      <c r="H2455" s="17" t="s">
        <v>114</v>
      </c>
      <c r="I2455" s="17" t="s">
        <v>114</v>
      </c>
      <c r="J2455" s="17" t="s">
        <v>114</v>
      </c>
      <c r="K2455" s="17" t="s">
        <v>114</v>
      </c>
      <c r="L2455" s="17" t="s">
        <v>114</v>
      </c>
      <c r="M2455" s="17" t="s">
        <v>114</v>
      </c>
      <c r="N2455" s="17" t="s">
        <v>114</v>
      </c>
      <c r="O2455" s="17" t="s">
        <v>114</v>
      </c>
      <c r="P2455" s="17" t="s">
        <v>114</v>
      </c>
      <c r="Q2455" s="17" t="s">
        <v>114</v>
      </c>
      <c r="R2455" s="17" t="s">
        <v>114</v>
      </c>
      <c r="S2455" s="17" t="s">
        <v>114</v>
      </c>
      <c r="T2455" s="17" t="s">
        <v>114</v>
      </c>
      <c r="U2455" s="17" t="s">
        <v>114</v>
      </c>
      <c r="V2455" s="17" t="s">
        <v>114</v>
      </c>
      <c r="W2455" s="17" t="s">
        <v>114</v>
      </c>
      <c r="X2455" s="17" t="s">
        <v>114</v>
      </c>
      <c r="Y2455" s="17" t="s">
        <v>114</v>
      </c>
      <c r="Z2455" s="17" t="s">
        <v>114</v>
      </c>
      <c r="AA2455" s="17" t="s">
        <v>114</v>
      </c>
      <c r="AB2455" s="17" t="s">
        <v>114</v>
      </c>
    </row>
    <row r="2456" spans="1:28" x14ac:dyDescent="0.3">
      <c r="A2456" s="64"/>
      <c r="B2456" s="8"/>
      <c r="C2456" s="8"/>
      <c r="D2456" s="8"/>
      <c r="E2456" s="8"/>
      <c r="F2456" s="8"/>
      <c r="G2456" s="8"/>
      <c r="H2456" s="8"/>
      <c r="I2456" s="8"/>
      <c r="J2456" s="8"/>
      <c r="K2456" s="8"/>
      <c r="L2456" s="8"/>
      <c r="M2456" s="8"/>
      <c r="N2456" s="8"/>
      <c r="O2456" s="8"/>
      <c r="P2456" s="8"/>
      <c r="Q2456" s="8"/>
      <c r="R2456" s="8"/>
      <c r="S2456" s="8"/>
      <c r="T2456" s="8"/>
      <c r="U2456" s="8"/>
      <c r="V2456" s="8"/>
      <c r="W2456" s="8"/>
      <c r="X2456" s="8"/>
      <c r="Y2456" s="8"/>
      <c r="Z2456" s="8"/>
      <c r="AA2456" s="58"/>
    </row>
    <row r="2457" spans="1:28" x14ac:dyDescent="0.3">
      <c r="A2457" s="64"/>
      <c r="B2457" s="8"/>
      <c r="C2457" s="8"/>
      <c r="D2457" s="8"/>
      <c r="E2457" s="8"/>
      <c r="F2457" s="8"/>
      <c r="G2457" s="8"/>
      <c r="H2457" s="8"/>
      <c r="I2457" s="8"/>
      <c r="J2457" s="8"/>
      <c r="K2457" s="8"/>
      <c r="L2457" s="8"/>
      <c r="M2457" s="8"/>
      <c r="N2457" s="8"/>
      <c r="O2457" s="8"/>
      <c r="P2457" s="8"/>
      <c r="Q2457" s="8"/>
      <c r="R2457" s="8"/>
      <c r="S2457" s="8"/>
      <c r="T2457" s="8"/>
      <c r="U2457" s="8"/>
      <c r="V2457" s="8"/>
      <c r="W2457" s="8"/>
      <c r="X2457" s="8"/>
      <c r="Y2457" s="8"/>
      <c r="Z2457" s="8"/>
    </row>
    <row r="2458" spans="1:28" x14ac:dyDescent="0.3">
      <c r="A2458" s="64"/>
      <c r="B2458" s="7" t="s">
        <v>384</v>
      </c>
      <c r="C2458" s="8"/>
      <c r="D2458" s="8"/>
      <c r="E2458" s="8"/>
      <c r="F2458" s="8"/>
      <c r="G2458" s="8"/>
      <c r="H2458" s="8"/>
      <c r="I2458" s="8"/>
      <c r="J2458" s="8"/>
      <c r="K2458" s="8"/>
      <c r="L2458" s="8"/>
      <c r="M2458" s="8"/>
      <c r="N2458" s="8"/>
      <c r="O2458" s="8"/>
      <c r="P2458" s="8"/>
      <c r="Q2458" s="8"/>
      <c r="R2458" s="8"/>
      <c r="S2458" s="8"/>
      <c r="T2458" s="8"/>
      <c r="U2458" s="8"/>
      <c r="V2458" s="8"/>
      <c r="W2458" s="8"/>
      <c r="X2458" s="8"/>
      <c r="Y2458" s="8"/>
      <c r="Z2458" s="8"/>
    </row>
    <row r="2459" spans="1:28" x14ac:dyDescent="0.3">
      <c r="A2459" s="64"/>
      <c r="B2459" s="8"/>
      <c r="C2459" s="8"/>
      <c r="D2459" s="8"/>
      <c r="E2459" s="8"/>
      <c r="F2459" s="8"/>
      <c r="G2459" s="8"/>
      <c r="H2459" s="8"/>
      <c r="I2459" s="8"/>
      <c r="J2459" s="8"/>
      <c r="K2459" s="8"/>
      <c r="L2459" s="8"/>
      <c r="M2459" s="8"/>
      <c r="N2459" s="8"/>
      <c r="O2459" s="8"/>
      <c r="P2459" s="8"/>
      <c r="Q2459" s="8"/>
      <c r="R2459" s="8"/>
      <c r="S2459" s="8"/>
      <c r="T2459" s="8"/>
      <c r="U2459" s="8"/>
      <c r="V2459" s="8"/>
      <c r="W2459" s="8"/>
      <c r="X2459" s="8"/>
      <c r="Y2459" s="8"/>
      <c r="Z2459" s="8"/>
    </row>
    <row r="2460" spans="1:28" x14ac:dyDescent="0.3">
      <c r="A2460" s="63" t="s">
        <v>1042</v>
      </c>
      <c r="B2460" s="7" t="s">
        <v>385</v>
      </c>
      <c r="C2460" s="8"/>
      <c r="D2460" s="8"/>
      <c r="E2460" s="8"/>
      <c r="F2460" s="8"/>
      <c r="G2460" s="8"/>
      <c r="H2460" s="8"/>
      <c r="I2460" s="8"/>
      <c r="J2460" s="8"/>
      <c r="K2460" s="8"/>
      <c r="L2460" s="8"/>
      <c r="M2460" s="8"/>
      <c r="N2460" s="8"/>
      <c r="O2460" s="8"/>
      <c r="P2460" s="8"/>
      <c r="Q2460" s="8"/>
      <c r="R2460" s="8"/>
      <c r="S2460" s="8"/>
      <c r="T2460" s="8"/>
      <c r="U2460" s="8"/>
      <c r="V2460" s="8"/>
      <c r="W2460" s="8"/>
      <c r="X2460" s="8"/>
      <c r="Y2460" s="8"/>
      <c r="Z2460" s="8"/>
    </row>
    <row r="2461" spans="1:28" x14ac:dyDescent="0.3">
      <c r="A2461" s="64"/>
      <c r="B2461" s="8"/>
      <c r="C2461" s="7" t="s">
        <v>386</v>
      </c>
      <c r="D2461" s="15" t="s">
        <v>387</v>
      </c>
      <c r="E2461" s="9">
        <v>16109549.93</v>
      </c>
      <c r="F2461" s="9">
        <v>15096936.619999999</v>
      </c>
      <c r="G2461" s="8"/>
      <c r="H2461" s="9">
        <f t="shared" ref="H2461:H2476" si="1291">F2461+G2461</f>
        <v>15096936.619999999</v>
      </c>
      <c r="I2461" s="8"/>
      <c r="J2461" s="8"/>
      <c r="K2461" s="8"/>
      <c r="L2461" s="9"/>
      <c r="M2461" s="9">
        <f t="shared" ref="M2461:M2476" si="1292">H2461+L2461</f>
        <v>15096936.619999999</v>
      </c>
      <c r="N2461" s="9">
        <v>1012613.31</v>
      </c>
      <c r="O2461" s="8"/>
      <c r="P2461" s="9">
        <f t="shared" ref="P2461:P2476" si="1293">N2461+O2461</f>
        <v>1012613.31</v>
      </c>
      <c r="Q2461" s="8"/>
      <c r="R2461" s="8"/>
      <c r="S2461" s="8"/>
      <c r="T2461" s="9"/>
      <c r="U2461" s="9">
        <f t="shared" ref="U2461:U2476" si="1294">P2461+T2461</f>
        <v>1012613.31</v>
      </c>
      <c r="V2461" s="9">
        <f t="shared" ref="V2461:V2476" si="1295">P2461+H2461</f>
        <v>16109549.93</v>
      </c>
      <c r="W2461" s="9">
        <f t="shared" ref="W2461:W2476" si="1296">E2461-V2461</f>
        <v>0</v>
      </c>
      <c r="X2461" s="9">
        <f t="shared" ref="X2461:X2476" si="1297">+H2461+P2461</f>
        <v>16109549.93</v>
      </c>
      <c r="Y2461" s="8"/>
      <c r="Z2461" s="9">
        <f t="shared" ref="Z2461:Z2476" si="1298">+E2461-X2461</f>
        <v>0</v>
      </c>
      <c r="AA2461" s="8">
        <f t="shared" ref="AA2461:AA2476" si="1299">+M2461+U2461</f>
        <v>16109549.93</v>
      </c>
      <c r="AB2461" s="8">
        <f t="shared" ref="AB2461:AB2476" si="1300">+E2461-AA2461</f>
        <v>0</v>
      </c>
    </row>
    <row r="2462" spans="1:28" x14ac:dyDescent="0.3">
      <c r="A2462" s="64"/>
      <c r="B2462" s="8"/>
      <c r="C2462" s="7" t="s">
        <v>57</v>
      </c>
      <c r="D2462" s="15" t="s">
        <v>247</v>
      </c>
      <c r="E2462" s="9">
        <v>8664431</v>
      </c>
      <c r="F2462" s="9">
        <v>8664431</v>
      </c>
      <c r="G2462" s="8"/>
      <c r="H2462" s="9">
        <f t="shared" si="1291"/>
        <v>8664431</v>
      </c>
      <c r="I2462" s="8"/>
      <c r="J2462" s="8"/>
      <c r="K2462" s="8"/>
      <c r="L2462" s="9"/>
      <c r="M2462" s="9">
        <f t="shared" si="1292"/>
        <v>8664431</v>
      </c>
      <c r="N2462" s="9">
        <v>0</v>
      </c>
      <c r="O2462" s="8"/>
      <c r="P2462" s="9">
        <f t="shared" si="1293"/>
        <v>0</v>
      </c>
      <c r="Q2462" s="8"/>
      <c r="R2462" s="8"/>
      <c r="S2462" s="8"/>
      <c r="T2462" s="9"/>
      <c r="U2462" s="9">
        <f t="shared" si="1294"/>
        <v>0</v>
      </c>
      <c r="V2462" s="9">
        <f t="shared" si="1295"/>
        <v>8664431</v>
      </c>
      <c r="W2462" s="9">
        <f t="shared" si="1296"/>
        <v>0</v>
      </c>
      <c r="X2462" s="9">
        <f t="shared" si="1297"/>
        <v>8664431</v>
      </c>
      <c r="Y2462" s="8"/>
      <c r="Z2462" s="9">
        <f t="shared" si="1298"/>
        <v>0</v>
      </c>
      <c r="AA2462" s="8">
        <f t="shared" si="1299"/>
        <v>8664431</v>
      </c>
      <c r="AB2462" s="8">
        <f t="shared" si="1300"/>
        <v>0</v>
      </c>
    </row>
    <row r="2463" spans="1:28" x14ac:dyDescent="0.3">
      <c r="A2463" s="64"/>
      <c r="B2463" s="8"/>
      <c r="C2463" s="7" t="s">
        <v>388</v>
      </c>
      <c r="D2463" s="7" t="s">
        <v>71</v>
      </c>
      <c r="E2463" s="9">
        <v>9487690.1799999997</v>
      </c>
      <c r="F2463" s="9">
        <v>9487690.1799999997</v>
      </c>
      <c r="G2463" s="8"/>
      <c r="H2463" s="9">
        <f t="shared" si="1291"/>
        <v>9487690.1799999997</v>
      </c>
      <c r="I2463" s="8"/>
      <c r="J2463" s="8"/>
      <c r="K2463" s="8"/>
      <c r="L2463" s="9"/>
      <c r="M2463" s="9">
        <f t="shared" si="1292"/>
        <v>9487690.1799999997</v>
      </c>
      <c r="N2463" s="9">
        <v>0</v>
      </c>
      <c r="O2463" s="8"/>
      <c r="P2463" s="9">
        <f t="shared" si="1293"/>
        <v>0</v>
      </c>
      <c r="Q2463" s="8"/>
      <c r="R2463" s="8"/>
      <c r="S2463" s="8"/>
      <c r="T2463" s="9"/>
      <c r="U2463" s="9">
        <f t="shared" si="1294"/>
        <v>0</v>
      </c>
      <c r="V2463" s="9">
        <f t="shared" si="1295"/>
        <v>9487690.1799999997</v>
      </c>
      <c r="W2463" s="9">
        <f t="shared" si="1296"/>
        <v>0</v>
      </c>
      <c r="X2463" s="9">
        <f t="shared" si="1297"/>
        <v>9487690.1799999997</v>
      </c>
      <c r="Y2463" s="8"/>
      <c r="Z2463" s="9">
        <f t="shared" si="1298"/>
        <v>0</v>
      </c>
      <c r="AA2463" s="8">
        <f t="shared" si="1299"/>
        <v>9487690.1799999997</v>
      </c>
      <c r="AB2463" s="8">
        <f t="shared" si="1300"/>
        <v>0</v>
      </c>
    </row>
    <row r="2464" spans="1:28" x14ac:dyDescent="0.3">
      <c r="A2464" s="64"/>
      <c r="B2464" s="8"/>
      <c r="C2464" s="7" t="s">
        <v>53</v>
      </c>
      <c r="D2464" s="15" t="s">
        <v>54</v>
      </c>
      <c r="E2464" s="9">
        <v>570941</v>
      </c>
      <c r="F2464" s="9">
        <v>0</v>
      </c>
      <c r="G2464" s="8"/>
      <c r="H2464" s="9">
        <f t="shared" si="1291"/>
        <v>0</v>
      </c>
      <c r="I2464" s="8"/>
      <c r="J2464" s="8"/>
      <c r="K2464" s="8"/>
      <c r="L2464" s="9"/>
      <c r="M2464" s="9">
        <f t="shared" si="1292"/>
        <v>0</v>
      </c>
      <c r="N2464" s="9">
        <v>570941</v>
      </c>
      <c r="O2464" s="8"/>
      <c r="P2464" s="9">
        <f t="shared" si="1293"/>
        <v>570941</v>
      </c>
      <c r="Q2464" s="8"/>
      <c r="R2464" s="8"/>
      <c r="S2464" s="8"/>
      <c r="T2464" s="9"/>
      <c r="U2464" s="9">
        <f t="shared" si="1294"/>
        <v>570941</v>
      </c>
      <c r="V2464" s="9">
        <f t="shared" si="1295"/>
        <v>570941</v>
      </c>
      <c r="W2464" s="9">
        <f t="shared" si="1296"/>
        <v>0</v>
      </c>
      <c r="X2464" s="9">
        <f t="shared" si="1297"/>
        <v>570941</v>
      </c>
      <c r="Y2464" s="8"/>
      <c r="Z2464" s="9">
        <f t="shared" si="1298"/>
        <v>0</v>
      </c>
      <c r="AA2464" s="8">
        <f t="shared" si="1299"/>
        <v>570941</v>
      </c>
      <c r="AB2464" s="8">
        <f t="shared" si="1300"/>
        <v>0</v>
      </c>
    </row>
    <row r="2465" spans="1:28" x14ac:dyDescent="0.3">
      <c r="A2465" s="64"/>
      <c r="B2465" s="8"/>
      <c r="C2465" s="7" t="s">
        <v>389</v>
      </c>
      <c r="D2465" s="15" t="s">
        <v>85</v>
      </c>
      <c r="E2465" s="9">
        <v>2888000</v>
      </c>
      <c r="F2465" s="9">
        <v>2888000</v>
      </c>
      <c r="G2465" s="8"/>
      <c r="H2465" s="9">
        <f t="shared" si="1291"/>
        <v>2888000</v>
      </c>
      <c r="I2465" s="8"/>
      <c r="J2465" s="8"/>
      <c r="K2465" s="8"/>
      <c r="L2465" s="9"/>
      <c r="M2465" s="9">
        <f t="shared" si="1292"/>
        <v>2888000</v>
      </c>
      <c r="N2465" s="9">
        <v>0</v>
      </c>
      <c r="O2465" s="8"/>
      <c r="P2465" s="9">
        <f t="shared" si="1293"/>
        <v>0</v>
      </c>
      <c r="Q2465" s="8"/>
      <c r="R2465" s="8"/>
      <c r="S2465" s="8"/>
      <c r="T2465" s="9"/>
      <c r="U2465" s="9">
        <f t="shared" si="1294"/>
        <v>0</v>
      </c>
      <c r="V2465" s="9">
        <f t="shared" si="1295"/>
        <v>2888000</v>
      </c>
      <c r="W2465" s="9">
        <f t="shared" si="1296"/>
        <v>0</v>
      </c>
      <c r="X2465" s="9">
        <f t="shared" si="1297"/>
        <v>2888000</v>
      </c>
      <c r="Y2465" s="8"/>
      <c r="Z2465" s="9">
        <f t="shared" si="1298"/>
        <v>0</v>
      </c>
      <c r="AA2465" s="8">
        <f t="shared" si="1299"/>
        <v>2888000</v>
      </c>
      <c r="AB2465" s="8">
        <f t="shared" si="1300"/>
        <v>0</v>
      </c>
    </row>
    <row r="2466" spans="1:28" x14ac:dyDescent="0.3">
      <c r="A2466" s="64"/>
      <c r="B2466" s="8"/>
      <c r="C2466" s="7" t="s">
        <v>390</v>
      </c>
      <c r="D2466" s="15" t="s">
        <v>128</v>
      </c>
      <c r="E2466" s="9">
        <v>1150000</v>
      </c>
      <c r="F2466" s="9">
        <v>1150000</v>
      </c>
      <c r="G2466" s="8"/>
      <c r="H2466" s="9">
        <f t="shared" si="1291"/>
        <v>1150000</v>
      </c>
      <c r="I2466" s="8"/>
      <c r="J2466" s="8"/>
      <c r="K2466" s="8"/>
      <c r="L2466" s="9"/>
      <c r="M2466" s="9">
        <f t="shared" si="1292"/>
        <v>1150000</v>
      </c>
      <c r="N2466" s="9">
        <v>0</v>
      </c>
      <c r="O2466" s="8"/>
      <c r="P2466" s="9">
        <f t="shared" si="1293"/>
        <v>0</v>
      </c>
      <c r="Q2466" s="8"/>
      <c r="R2466" s="8"/>
      <c r="S2466" s="8"/>
      <c r="T2466" s="9"/>
      <c r="U2466" s="9">
        <f t="shared" si="1294"/>
        <v>0</v>
      </c>
      <c r="V2466" s="9">
        <f t="shared" si="1295"/>
        <v>1150000</v>
      </c>
      <c r="W2466" s="9">
        <f t="shared" si="1296"/>
        <v>0</v>
      </c>
      <c r="X2466" s="9">
        <f t="shared" si="1297"/>
        <v>1150000</v>
      </c>
      <c r="Y2466" s="8"/>
      <c r="Z2466" s="9">
        <f t="shared" si="1298"/>
        <v>0</v>
      </c>
      <c r="AA2466" s="8">
        <f t="shared" si="1299"/>
        <v>1150000</v>
      </c>
      <c r="AB2466" s="8">
        <f t="shared" si="1300"/>
        <v>0</v>
      </c>
    </row>
    <row r="2467" spans="1:28" x14ac:dyDescent="0.3">
      <c r="A2467" s="64"/>
      <c r="B2467" s="8"/>
      <c r="C2467" s="7" t="s">
        <v>57</v>
      </c>
      <c r="D2467" s="15" t="s">
        <v>58</v>
      </c>
      <c r="E2467" s="9">
        <v>2770660</v>
      </c>
      <c r="F2467" s="9">
        <v>2770660</v>
      </c>
      <c r="G2467" s="8"/>
      <c r="H2467" s="9">
        <f t="shared" si="1291"/>
        <v>2770660</v>
      </c>
      <c r="I2467" s="8"/>
      <c r="J2467" s="8"/>
      <c r="K2467" s="8"/>
      <c r="L2467" s="9"/>
      <c r="M2467" s="9">
        <f t="shared" si="1292"/>
        <v>2770660</v>
      </c>
      <c r="N2467" s="9">
        <v>0</v>
      </c>
      <c r="O2467" s="8"/>
      <c r="P2467" s="9">
        <f t="shared" si="1293"/>
        <v>0</v>
      </c>
      <c r="Q2467" s="8"/>
      <c r="R2467" s="8"/>
      <c r="S2467" s="8"/>
      <c r="T2467" s="9"/>
      <c r="U2467" s="9">
        <f t="shared" si="1294"/>
        <v>0</v>
      </c>
      <c r="V2467" s="9">
        <f t="shared" si="1295"/>
        <v>2770660</v>
      </c>
      <c r="W2467" s="9">
        <f t="shared" si="1296"/>
        <v>0</v>
      </c>
      <c r="X2467" s="9">
        <f t="shared" si="1297"/>
        <v>2770660</v>
      </c>
      <c r="Y2467" s="8"/>
      <c r="Z2467" s="9">
        <f t="shared" si="1298"/>
        <v>0</v>
      </c>
      <c r="AA2467" s="8">
        <f t="shared" si="1299"/>
        <v>2770660</v>
      </c>
      <c r="AB2467" s="8">
        <f t="shared" si="1300"/>
        <v>0</v>
      </c>
    </row>
    <row r="2468" spans="1:28" x14ac:dyDescent="0.3">
      <c r="A2468" s="64"/>
      <c r="B2468" s="8"/>
      <c r="C2468" s="7" t="s">
        <v>57</v>
      </c>
      <c r="D2468" s="15" t="s">
        <v>60</v>
      </c>
      <c r="E2468" s="9">
        <v>8324112</v>
      </c>
      <c r="F2468" s="11">
        <v>8324112</v>
      </c>
      <c r="G2468" s="8"/>
      <c r="H2468" s="9">
        <f t="shared" si="1291"/>
        <v>8324112</v>
      </c>
      <c r="I2468" s="8"/>
      <c r="J2468" s="8"/>
      <c r="K2468" s="8"/>
      <c r="L2468" s="9"/>
      <c r="M2468" s="9">
        <f t="shared" si="1292"/>
        <v>8324112</v>
      </c>
      <c r="N2468" s="9">
        <v>0</v>
      </c>
      <c r="O2468" s="8"/>
      <c r="P2468" s="9">
        <f t="shared" si="1293"/>
        <v>0</v>
      </c>
      <c r="Q2468" s="8"/>
      <c r="R2468" s="8"/>
      <c r="S2468" s="8"/>
      <c r="T2468" s="9"/>
      <c r="U2468" s="9">
        <f t="shared" si="1294"/>
        <v>0</v>
      </c>
      <c r="V2468" s="9">
        <f t="shared" si="1295"/>
        <v>8324112</v>
      </c>
      <c r="W2468" s="9">
        <f t="shared" si="1296"/>
        <v>0</v>
      </c>
      <c r="X2468" s="9">
        <f t="shared" si="1297"/>
        <v>8324112</v>
      </c>
      <c r="Y2468" s="8"/>
      <c r="Z2468" s="9">
        <f t="shared" si="1298"/>
        <v>0</v>
      </c>
      <c r="AA2468" s="8">
        <f t="shared" si="1299"/>
        <v>8324112</v>
      </c>
      <c r="AB2468" s="8">
        <f t="shared" si="1300"/>
        <v>0</v>
      </c>
    </row>
    <row r="2469" spans="1:28" x14ac:dyDescent="0.3">
      <c r="A2469" s="64"/>
      <c r="B2469" s="8"/>
      <c r="C2469" s="14" t="s">
        <v>109</v>
      </c>
      <c r="D2469" s="21" t="s">
        <v>60</v>
      </c>
      <c r="E2469" s="9">
        <v>5000000</v>
      </c>
      <c r="F2469" s="11">
        <v>5000000</v>
      </c>
      <c r="G2469" s="8"/>
      <c r="H2469" s="9">
        <f t="shared" si="1291"/>
        <v>5000000</v>
      </c>
      <c r="I2469" s="8"/>
      <c r="J2469" s="8"/>
      <c r="K2469" s="8"/>
      <c r="L2469" s="9"/>
      <c r="M2469" s="9">
        <f t="shared" si="1292"/>
        <v>5000000</v>
      </c>
      <c r="N2469" s="9">
        <v>0</v>
      </c>
      <c r="O2469" s="8"/>
      <c r="P2469" s="9">
        <f t="shared" si="1293"/>
        <v>0</v>
      </c>
      <c r="Q2469" s="8"/>
      <c r="R2469" s="8"/>
      <c r="S2469" s="8"/>
      <c r="T2469" s="9"/>
      <c r="U2469" s="9">
        <f t="shared" si="1294"/>
        <v>0</v>
      </c>
      <c r="V2469" s="9">
        <f t="shared" si="1295"/>
        <v>5000000</v>
      </c>
      <c r="W2469" s="9">
        <f t="shared" si="1296"/>
        <v>0</v>
      </c>
      <c r="X2469" s="9">
        <f t="shared" si="1297"/>
        <v>5000000</v>
      </c>
      <c r="Y2469" s="8"/>
      <c r="Z2469" s="9">
        <f t="shared" si="1298"/>
        <v>0</v>
      </c>
      <c r="AA2469" s="8">
        <f t="shared" si="1299"/>
        <v>5000000</v>
      </c>
      <c r="AB2469" s="8">
        <f t="shared" si="1300"/>
        <v>0</v>
      </c>
    </row>
    <row r="2470" spans="1:28" x14ac:dyDescent="0.3">
      <c r="A2470" s="64"/>
      <c r="B2470" s="8"/>
      <c r="C2470" s="7" t="s">
        <v>57</v>
      </c>
      <c r="D2470" s="15" t="s">
        <v>73</v>
      </c>
      <c r="E2470" s="9">
        <v>12295187</v>
      </c>
      <c r="F2470" s="11">
        <v>12295187</v>
      </c>
      <c r="G2470" s="8"/>
      <c r="H2470" s="9">
        <f t="shared" si="1291"/>
        <v>12295187</v>
      </c>
      <c r="I2470" s="8"/>
      <c r="J2470" s="8"/>
      <c r="K2470" s="8"/>
      <c r="L2470" s="9"/>
      <c r="M2470" s="9">
        <f t="shared" si="1292"/>
        <v>12295187</v>
      </c>
      <c r="N2470" s="9">
        <v>0</v>
      </c>
      <c r="O2470" s="8"/>
      <c r="P2470" s="9">
        <f t="shared" si="1293"/>
        <v>0</v>
      </c>
      <c r="Q2470" s="8"/>
      <c r="R2470" s="8"/>
      <c r="S2470" s="8"/>
      <c r="T2470" s="9"/>
      <c r="U2470" s="9">
        <f t="shared" si="1294"/>
        <v>0</v>
      </c>
      <c r="V2470" s="9">
        <f t="shared" si="1295"/>
        <v>12295187</v>
      </c>
      <c r="W2470" s="9">
        <f t="shared" si="1296"/>
        <v>0</v>
      </c>
      <c r="X2470" s="9">
        <f t="shared" si="1297"/>
        <v>12295187</v>
      </c>
      <c r="Y2470" s="8"/>
      <c r="Z2470" s="9">
        <f t="shared" si="1298"/>
        <v>0</v>
      </c>
      <c r="AA2470" s="8">
        <f t="shared" si="1299"/>
        <v>12295187</v>
      </c>
      <c r="AB2470" s="8">
        <f t="shared" si="1300"/>
        <v>0</v>
      </c>
    </row>
    <row r="2471" spans="1:28" x14ac:dyDescent="0.3">
      <c r="A2471" s="64"/>
      <c r="B2471" s="8"/>
      <c r="C2471" s="7" t="s">
        <v>391</v>
      </c>
      <c r="D2471" s="8"/>
      <c r="E2471" s="9">
        <v>1500000</v>
      </c>
      <c r="F2471" s="9">
        <v>1500000</v>
      </c>
      <c r="G2471" s="8"/>
      <c r="H2471" s="9">
        <f t="shared" si="1291"/>
        <v>1500000</v>
      </c>
      <c r="I2471" s="8"/>
      <c r="J2471" s="8"/>
      <c r="K2471" s="8"/>
      <c r="L2471" s="9"/>
      <c r="M2471" s="9">
        <f t="shared" si="1292"/>
        <v>1500000</v>
      </c>
      <c r="N2471" s="9">
        <v>0</v>
      </c>
      <c r="O2471" s="8"/>
      <c r="P2471" s="9">
        <f t="shared" si="1293"/>
        <v>0</v>
      </c>
      <c r="Q2471" s="8"/>
      <c r="R2471" s="8"/>
      <c r="S2471" s="8"/>
      <c r="T2471" s="9"/>
      <c r="U2471" s="9">
        <f t="shared" si="1294"/>
        <v>0</v>
      </c>
      <c r="V2471" s="9">
        <f t="shared" si="1295"/>
        <v>1500000</v>
      </c>
      <c r="W2471" s="9">
        <f t="shared" si="1296"/>
        <v>0</v>
      </c>
      <c r="X2471" s="9">
        <f t="shared" si="1297"/>
        <v>1500000</v>
      </c>
      <c r="Y2471" s="8"/>
      <c r="Z2471" s="9">
        <f t="shared" si="1298"/>
        <v>0</v>
      </c>
      <c r="AA2471" s="8">
        <f t="shared" si="1299"/>
        <v>1500000</v>
      </c>
      <c r="AB2471" s="8">
        <f t="shared" si="1300"/>
        <v>0</v>
      </c>
    </row>
    <row r="2472" spans="1:28" x14ac:dyDescent="0.3">
      <c r="A2472" s="64"/>
      <c r="B2472" s="8"/>
      <c r="C2472" s="7" t="s">
        <v>392</v>
      </c>
      <c r="D2472" s="8"/>
      <c r="E2472" s="9">
        <v>424850</v>
      </c>
      <c r="F2472" s="9">
        <v>424850</v>
      </c>
      <c r="G2472" s="8"/>
      <c r="H2472" s="9">
        <f t="shared" si="1291"/>
        <v>424850</v>
      </c>
      <c r="I2472" s="8"/>
      <c r="J2472" s="8"/>
      <c r="K2472" s="8"/>
      <c r="L2472" s="9"/>
      <c r="M2472" s="9">
        <f t="shared" si="1292"/>
        <v>424850</v>
      </c>
      <c r="N2472" s="9">
        <v>0</v>
      </c>
      <c r="O2472" s="8"/>
      <c r="P2472" s="9">
        <f t="shared" si="1293"/>
        <v>0</v>
      </c>
      <c r="Q2472" s="8"/>
      <c r="R2472" s="8"/>
      <c r="S2472" s="8"/>
      <c r="T2472" s="9"/>
      <c r="U2472" s="9">
        <f t="shared" si="1294"/>
        <v>0</v>
      </c>
      <c r="V2472" s="9">
        <f t="shared" si="1295"/>
        <v>424850</v>
      </c>
      <c r="W2472" s="9">
        <f t="shared" si="1296"/>
        <v>0</v>
      </c>
      <c r="X2472" s="9">
        <f t="shared" si="1297"/>
        <v>424850</v>
      </c>
      <c r="Y2472" s="8"/>
      <c r="Z2472" s="9">
        <f t="shared" si="1298"/>
        <v>0</v>
      </c>
      <c r="AA2472" s="8">
        <f t="shared" si="1299"/>
        <v>424850</v>
      </c>
      <c r="AB2472" s="8">
        <f t="shared" si="1300"/>
        <v>0</v>
      </c>
    </row>
    <row r="2473" spans="1:28" x14ac:dyDescent="0.3">
      <c r="A2473" s="64"/>
      <c r="B2473" s="8"/>
      <c r="C2473" s="7" t="s">
        <v>393</v>
      </c>
      <c r="D2473" s="8"/>
      <c r="E2473" s="9">
        <v>97231</v>
      </c>
      <c r="F2473" s="9">
        <v>97231</v>
      </c>
      <c r="G2473" s="8"/>
      <c r="H2473" s="9">
        <f t="shared" si="1291"/>
        <v>97231</v>
      </c>
      <c r="I2473" s="8"/>
      <c r="J2473" s="8"/>
      <c r="K2473" s="8"/>
      <c r="L2473" s="9"/>
      <c r="M2473" s="9">
        <f t="shared" si="1292"/>
        <v>97231</v>
      </c>
      <c r="N2473" s="9">
        <v>0</v>
      </c>
      <c r="O2473" s="8"/>
      <c r="P2473" s="9">
        <f t="shared" si="1293"/>
        <v>0</v>
      </c>
      <c r="Q2473" s="8"/>
      <c r="R2473" s="8"/>
      <c r="S2473" s="8"/>
      <c r="T2473" s="9"/>
      <c r="U2473" s="9">
        <f t="shared" si="1294"/>
        <v>0</v>
      </c>
      <c r="V2473" s="9">
        <f t="shared" si="1295"/>
        <v>97231</v>
      </c>
      <c r="W2473" s="9">
        <f t="shared" si="1296"/>
        <v>0</v>
      </c>
      <c r="X2473" s="9">
        <f t="shared" si="1297"/>
        <v>97231</v>
      </c>
      <c r="Y2473" s="8"/>
      <c r="Z2473" s="9">
        <f t="shared" si="1298"/>
        <v>0</v>
      </c>
      <c r="AA2473" s="8">
        <f t="shared" si="1299"/>
        <v>97231</v>
      </c>
      <c r="AB2473" s="8">
        <f t="shared" si="1300"/>
        <v>0</v>
      </c>
    </row>
    <row r="2474" spans="1:28" x14ac:dyDescent="0.3">
      <c r="A2474" s="64"/>
      <c r="B2474" s="8"/>
      <c r="C2474" s="7" t="s">
        <v>394</v>
      </c>
      <c r="D2474" s="8"/>
      <c r="E2474" s="9">
        <v>4721600</v>
      </c>
      <c r="F2474" s="9">
        <v>4721600</v>
      </c>
      <c r="G2474" s="8"/>
      <c r="H2474" s="9">
        <f t="shared" si="1291"/>
        <v>4721600</v>
      </c>
      <c r="I2474" s="8"/>
      <c r="J2474" s="8"/>
      <c r="K2474" s="8"/>
      <c r="L2474" s="9"/>
      <c r="M2474" s="9">
        <f t="shared" si="1292"/>
        <v>4721600</v>
      </c>
      <c r="N2474" s="9">
        <v>0</v>
      </c>
      <c r="O2474" s="8"/>
      <c r="P2474" s="9">
        <f t="shared" si="1293"/>
        <v>0</v>
      </c>
      <c r="Q2474" s="8"/>
      <c r="R2474" s="8"/>
      <c r="S2474" s="8"/>
      <c r="T2474" s="9"/>
      <c r="U2474" s="9">
        <f t="shared" si="1294"/>
        <v>0</v>
      </c>
      <c r="V2474" s="9">
        <f t="shared" si="1295"/>
        <v>4721600</v>
      </c>
      <c r="W2474" s="9">
        <f t="shared" si="1296"/>
        <v>0</v>
      </c>
      <c r="X2474" s="9">
        <f t="shared" si="1297"/>
        <v>4721600</v>
      </c>
      <c r="Y2474" s="8"/>
      <c r="Z2474" s="9">
        <f t="shared" si="1298"/>
        <v>0</v>
      </c>
      <c r="AA2474" s="8">
        <f t="shared" si="1299"/>
        <v>4721600</v>
      </c>
      <c r="AB2474" s="8">
        <f t="shared" si="1300"/>
        <v>0</v>
      </c>
    </row>
    <row r="2475" spans="1:28" x14ac:dyDescent="0.3">
      <c r="A2475" s="64"/>
      <c r="B2475" s="8"/>
      <c r="C2475" s="7" t="s">
        <v>395</v>
      </c>
      <c r="D2475" s="8"/>
      <c r="E2475" s="9">
        <v>1070000</v>
      </c>
      <c r="F2475" s="9">
        <v>1070000</v>
      </c>
      <c r="G2475" s="8"/>
      <c r="H2475" s="9">
        <f t="shared" si="1291"/>
        <v>1070000</v>
      </c>
      <c r="I2475" s="8"/>
      <c r="J2475" s="8"/>
      <c r="K2475" s="8"/>
      <c r="L2475" s="9"/>
      <c r="M2475" s="9">
        <f t="shared" si="1292"/>
        <v>1070000</v>
      </c>
      <c r="N2475" s="9">
        <v>0</v>
      </c>
      <c r="O2475" s="8"/>
      <c r="P2475" s="9">
        <f t="shared" si="1293"/>
        <v>0</v>
      </c>
      <c r="Q2475" s="8"/>
      <c r="R2475" s="8"/>
      <c r="S2475" s="8"/>
      <c r="T2475" s="9"/>
      <c r="U2475" s="9">
        <f t="shared" si="1294"/>
        <v>0</v>
      </c>
      <c r="V2475" s="9">
        <f t="shared" si="1295"/>
        <v>1070000</v>
      </c>
      <c r="W2475" s="9">
        <f t="shared" si="1296"/>
        <v>0</v>
      </c>
      <c r="X2475" s="9">
        <f t="shared" si="1297"/>
        <v>1070000</v>
      </c>
      <c r="Y2475" s="8"/>
      <c r="Z2475" s="9">
        <f t="shared" si="1298"/>
        <v>0</v>
      </c>
      <c r="AA2475" s="8">
        <f t="shared" si="1299"/>
        <v>1070000</v>
      </c>
      <c r="AB2475" s="8">
        <f t="shared" si="1300"/>
        <v>0</v>
      </c>
    </row>
    <row r="2476" spans="1:28" x14ac:dyDescent="0.3">
      <c r="A2476" s="64"/>
      <c r="B2476" s="8"/>
      <c r="C2476" s="7" t="s">
        <v>57</v>
      </c>
      <c r="D2476" s="23" t="s">
        <v>61</v>
      </c>
      <c r="E2476" s="9">
        <v>8199671</v>
      </c>
      <c r="F2476" s="8">
        <v>8199671</v>
      </c>
      <c r="G2476" s="8"/>
      <c r="H2476" s="9">
        <f t="shared" si="1291"/>
        <v>8199671</v>
      </c>
      <c r="I2476" s="8">
        <v>8199671</v>
      </c>
      <c r="J2476" s="8"/>
      <c r="K2476" s="8"/>
      <c r="L2476" s="9"/>
      <c r="M2476" s="9">
        <f t="shared" si="1292"/>
        <v>8199671</v>
      </c>
      <c r="N2476" s="9">
        <v>0</v>
      </c>
      <c r="O2476" s="8"/>
      <c r="P2476" s="9">
        <f t="shared" si="1293"/>
        <v>0</v>
      </c>
      <c r="Q2476" s="8"/>
      <c r="R2476" s="8"/>
      <c r="S2476" s="8"/>
      <c r="T2476" s="9"/>
      <c r="U2476" s="9">
        <f t="shared" si="1294"/>
        <v>0</v>
      </c>
      <c r="V2476" s="9">
        <f t="shared" si="1295"/>
        <v>8199671</v>
      </c>
      <c r="W2476" s="9">
        <f t="shared" si="1296"/>
        <v>0</v>
      </c>
      <c r="X2476" s="9">
        <f t="shared" si="1297"/>
        <v>8199671</v>
      </c>
      <c r="Y2476" s="8"/>
      <c r="Z2476" s="9">
        <f t="shared" si="1298"/>
        <v>0</v>
      </c>
      <c r="AA2476" s="8">
        <f t="shared" si="1299"/>
        <v>8199671</v>
      </c>
      <c r="AB2476" s="8">
        <f t="shared" si="1300"/>
        <v>0</v>
      </c>
    </row>
    <row r="2477" spans="1:28" x14ac:dyDescent="0.3">
      <c r="A2477" s="64"/>
      <c r="B2477" s="8"/>
      <c r="C2477" s="8"/>
      <c r="D2477" s="8"/>
      <c r="E2477" s="17" t="s">
        <v>29</v>
      </c>
      <c r="F2477" s="17" t="s">
        <v>29</v>
      </c>
      <c r="G2477" s="17" t="s">
        <v>29</v>
      </c>
      <c r="H2477" s="17" t="s">
        <v>29</v>
      </c>
      <c r="I2477" s="17" t="s">
        <v>29</v>
      </c>
      <c r="J2477" s="17" t="s">
        <v>29</v>
      </c>
      <c r="K2477" s="17" t="s">
        <v>29</v>
      </c>
      <c r="L2477" s="17" t="s">
        <v>29</v>
      </c>
      <c r="M2477" s="17" t="s">
        <v>29</v>
      </c>
      <c r="N2477" s="17" t="s">
        <v>29</v>
      </c>
      <c r="O2477" s="17" t="s">
        <v>29</v>
      </c>
      <c r="P2477" s="17" t="s">
        <v>29</v>
      </c>
      <c r="Q2477" s="17" t="s">
        <v>29</v>
      </c>
      <c r="R2477" s="17" t="s">
        <v>29</v>
      </c>
      <c r="S2477" s="17" t="s">
        <v>29</v>
      </c>
      <c r="T2477" s="17" t="s">
        <v>29</v>
      </c>
      <c r="U2477" s="17" t="s">
        <v>29</v>
      </c>
      <c r="V2477" s="17" t="s">
        <v>29</v>
      </c>
      <c r="W2477" s="17" t="s">
        <v>29</v>
      </c>
      <c r="X2477" s="17" t="s">
        <v>29</v>
      </c>
      <c r="Y2477" s="17" t="s">
        <v>29</v>
      </c>
      <c r="Z2477" s="17" t="s">
        <v>29</v>
      </c>
      <c r="AA2477" s="17" t="s">
        <v>29</v>
      </c>
      <c r="AB2477" s="17" t="s">
        <v>29</v>
      </c>
    </row>
    <row r="2478" spans="1:28" x14ac:dyDescent="0.3">
      <c r="A2478" s="64"/>
      <c r="B2478" s="8"/>
      <c r="C2478" s="8"/>
      <c r="D2478" s="8"/>
      <c r="E2478" s="9">
        <f t="shared" ref="E2478:AB2478" si="1301">SUM(E2461:E2476)</f>
        <v>83273923.109999999</v>
      </c>
      <c r="F2478" s="9">
        <f t="shared" si="1301"/>
        <v>81690368.799999997</v>
      </c>
      <c r="G2478" s="9">
        <f t="shared" si="1301"/>
        <v>0</v>
      </c>
      <c r="H2478" s="9">
        <f t="shared" si="1301"/>
        <v>81690368.799999997</v>
      </c>
      <c r="I2478" s="9">
        <f t="shared" si="1301"/>
        <v>8199671</v>
      </c>
      <c r="J2478" s="9">
        <f t="shared" si="1301"/>
        <v>0</v>
      </c>
      <c r="K2478" s="9">
        <f t="shared" si="1301"/>
        <v>0</v>
      </c>
      <c r="L2478" s="9">
        <f t="shared" si="1301"/>
        <v>0</v>
      </c>
      <c r="M2478" s="9">
        <f t="shared" si="1301"/>
        <v>81690368.799999997</v>
      </c>
      <c r="N2478" s="9">
        <f t="shared" si="1301"/>
        <v>1583554.31</v>
      </c>
      <c r="O2478" s="9">
        <f t="shared" si="1301"/>
        <v>0</v>
      </c>
      <c r="P2478" s="9">
        <f t="shared" si="1301"/>
        <v>1583554.31</v>
      </c>
      <c r="Q2478" s="9">
        <f t="shared" si="1301"/>
        <v>0</v>
      </c>
      <c r="R2478" s="9">
        <f t="shared" si="1301"/>
        <v>0</v>
      </c>
      <c r="S2478" s="9">
        <f t="shared" si="1301"/>
        <v>0</v>
      </c>
      <c r="T2478" s="9">
        <f t="shared" si="1301"/>
        <v>0</v>
      </c>
      <c r="U2478" s="9">
        <f t="shared" si="1301"/>
        <v>1583554.31</v>
      </c>
      <c r="V2478" s="9">
        <f t="shared" si="1301"/>
        <v>83273923.109999999</v>
      </c>
      <c r="W2478" s="9">
        <f t="shared" si="1301"/>
        <v>0</v>
      </c>
      <c r="X2478" s="9">
        <f t="shared" si="1301"/>
        <v>83273923.109999999</v>
      </c>
      <c r="Y2478" s="9">
        <f t="shared" si="1301"/>
        <v>0</v>
      </c>
      <c r="Z2478" s="9">
        <f t="shared" si="1301"/>
        <v>0</v>
      </c>
      <c r="AA2478" s="9">
        <f t="shared" si="1301"/>
        <v>83273923.109999999</v>
      </c>
      <c r="AB2478" s="9">
        <f t="shared" si="1301"/>
        <v>0</v>
      </c>
    </row>
    <row r="2479" spans="1:28" x14ac:dyDescent="0.3">
      <c r="A2479" s="64"/>
      <c r="B2479" s="8"/>
      <c r="C2479" s="8"/>
      <c r="D2479" s="8"/>
      <c r="E2479" s="17" t="s">
        <v>29</v>
      </c>
      <c r="F2479" s="17" t="s">
        <v>29</v>
      </c>
      <c r="G2479" s="17" t="s">
        <v>29</v>
      </c>
      <c r="H2479" s="17" t="s">
        <v>29</v>
      </c>
      <c r="I2479" s="17" t="s">
        <v>29</v>
      </c>
      <c r="J2479" s="17" t="s">
        <v>29</v>
      </c>
      <c r="K2479" s="17" t="s">
        <v>29</v>
      </c>
      <c r="L2479" s="17" t="s">
        <v>29</v>
      </c>
      <c r="M2479" s="17" t="s">
        <v>29</v>
      </c>
      <c r="N2479" s="17" t="s">
        <v>29</v>
      </c>
      <c r="O2479" s="17" t="s">
        <v>29</v>
      </c>
      <c r="P2479" s="17" t="s">
        <v>29</v>
      </c>
      <c r="Q2479" s="17" t="s">
        <v>29</v>
      </c>
      <c r="R2479" s="17" t="s">
        <v>29</v>
      </c>
      <c r="S2479" s="17" t="s">
        <v>29</v>
      </c>
      <c r="T2479" s="17" t="s">
        <v>29</v>
      </c>
      <c r="U2479" s="17" t="s">
        <v>29</v>
      </c>
      <c r="V2479" s="17" t="s">
        <v>29</v>
      </c>
      <c r="W2479" s="17" t="s">
        <v>29</v>
      </c>
      <c r="X2479" s="17" t="s">
        <v>29</v>
      </c>
      <c r="Y2479" s="17" t="s">
        <v>29</v>
      </c>
      <c r="Z2479" s="17" t="s">
        <v>29</v>
      </c>
      <c r="AA2479" s="17" t="s">
        <v>29</v>
      </c>
      <c r="AB2479" s="17" t="s">
        <v>29</v>
      </c>
    </row>
    <row r="2480" spans="1:28" x14ac:dyDescent="0.3">
      <c r="A2480" s="63" t="s">
        <v>1043</v>
      </c>
      <c r="B2480" s="7" t="s">
        <v>396</v>
      </c>
      <c r="C2480" s="8"/>
      <c r="D2480" s="8"/>
      <c r="E2480" s="8"/>
      <c r="F2480" s="8"/>
      <c r="G2480" s="8"/>
      <c r="H2480" s="8"/>
      <c r="I2480" s="8"/>
      <c r="J2480" s="8"/>
      <c r="K2480" s="8"/>
      <c r="L2480" s="8"/>
      <c r="M2480" s="8"/>
      <c r="N2480" s="8"/>
      <c r="O2480" s="8"/>
      <c r="P2480" s="8"/>
      <c r="Q2480" s="8"/>
      <c r="R2480" s="8"/>
      <c r="S2480" s="8"/>
      <c r="T2480" s="8"/>
      <c r="U2480" s="8"/>
      <c r="V2480" s="8"/>
      <c r="W2480" s="8"/>
      <c r="X2480" s="8"/>
      <c r="Y2480" s="8"/>
      <c r="Z2480" s="8"/>
    </row>
    <row r="2481" spans="1:28" x14ac:dyDescent="0.3">
      <c r="A2481" s="64"/>
      <c r="B2481" s="8"/>
      <c r="C2481" s="7" t="s">
        <v>397</v>
      </c>
      <c r="D2481" s="15" t="s">
        <v>203</v>
      </c>
      <c r="E2481" s="9">
        <v>13972483.5</v>
      </c>
      <c r="F2481" s="9">
        <v>13215197.699999999</v>
      </c>
      <c r="G2481" s="8"/>
      <c r="H2481" s="9">
        <f t="shared" ref="H2481:H2494" si="1302">F2481+G2481</f>
        <v>13215197.699999999</v>
      </c>
      <c r="I2481" s="8"/>
      <c r="J2481" s="8"/>
      <c r="K2481" s="8"/>
      <c r="L2481" s="9"/>
      <c r="M2481" s="9">
        <f t="shared" ref="M2481:M2494" si="1303">H2481+L2481</f>
        <v>13215197.699999999</v>
      </c>
      <c r="N2481" s="9">
        <v>757285.8</v>
      </c>
      <c r="O2481" s="8"/>
      <c r="P2481" s="9">
        <f t="shared" ref="P2481:P2494" si="1304">N2481+O2481</f>
        <v>757285.8</v>
      </c>
      <c r="Q2481" s="8"/>
      <c r="R2481" s="8"/>
      <c r="S2481" s="8"/>
      <c r="T2481" s="9"/>
      <c r="U2481" s="9">
        <f t="shared" ref="U2481:U2494" si="1305">P2481+T2481</f>
        <v>757285.8</v>
      </c>
      <c r="V2481" s="9">
        <f t="shared" ref="V2481:V2494" si="1306">P2481+H2481</f>
        <v>13972483.5</v>
      </c>
      <c r="W2481" s="9">
        <f t="shared" ref="W2481:W2494" si="1307">E2481-V2481</f>
        <v>0</v>
      </c>
      <c r="X2481" s="9">
        <f t="shared" ref="X2481:X2494" si="1308">+H2481+P2481</f>
        <v>13972483.5</v>
      </c>
      <c r="Y2481" s="8"/>
      <c r="Z2481" s="9">
        <f t="shared" ref="Z2481:Z2494" si="1309">+E2481-X2481</f>
        <v>0</v>
      </c>
      <c r="AA2481" s="8">
        <f t="shared" ref="AA2481:AA2494" si="1310">+M2481+U2481</f>
        <v>13972483.5</v>
      </c>
      <c r="AB2481" s="8">
        <f t="shared" ref="AB2481:AB2494" si="1311">+E2481-AA2481</f>
        <v>0</v>
      </c>
    </row>
    <row r="2482" spans="1:28" x14ac:dyDescent="0.3">
      <c r="A2482" s="64"/>
      <c r="B2482" s="8"/>
      <c r="C2482" s="7" t="s">
        <v>57</v>
      </c>
      <c r="D2482" s="15" t="s">
        <v>85</v>
      </c>
      <c r="E2482" s="9">
        <v>1503245</v>
      </c>
      <c r="F2482" s="9">
        <v>1503245</v>
      </c>
      <c r="G2482" s="8"/>
      <c r="H2482" s="9">
        <f t="shared" si="1302"/>
        <v>1503245</v>
      </c>
      <c r="I2482" s="8"/>
      <c r="J2482" s="8"/>
      <c r="K2482" s="8"/>
      <c r="L2482" s="9"/>
      <c r="M2482" s="9">
        <f t="shared" si="1303"/>
        <v>1503245</v>
      </c>
      <c r="N2482" s="9">
        <v>0</v>
      </c>
      <c r="O2482" s="8"/>
      <c r="P2482" s="9">
        <f t="shared" si="1304"/>
        <v>0</v>
      </c>
      <c r="Q2482" s="8"/>
      <c r="R2482" s="8"/>
      <c r="S2482" s="8"/>
      <c r="T2482" s="9"/>
      <c r="U2482" s="9">
        <f t="shared" si="1305"/>
        <v>0</v>
      </c>
      <c r="V2482" s="9">
        <f t="shared" si="1306"/>
        <v>1503245</v>
      </c>
      <c r="W2482" s="9">
        <f t="shared" si="1307"/>
        <v>0</v>
      </c>
      <c r="X2482" s="9">
        <f t="shared" si="1308"/>
        <v>1503245</v>
      </c>
      <c r="Y2482" s="8"/>
      <c r="Z2482" s="9">
        <f t="shared" si="1309"/>
        <v>0</v>
      </c>
      <c r="AA2482" s="8">
        <f t="shared" si="1310"/>
        <v>1503245</v>
      </c>
      <c r="AB2482" s="8">
        <f t="shared" si="1311"/>
        <v>0</v>
      </c>
    </row>
    <row r="2483" spans="1:28" x14ac:dyDescent="0.3">
      <c r="A2483" s="64"/>
      <c r="B2483" s="8"/>
      <c r="C2483" s="7" t="s">
        <v>53</v>
      </c>
      <c r="D2483" s="15" t="s">
        <v>85</v>
      </c>
      <c r="E2483" s="9">
        <v>570941</v>
      </c>
      <c r="F2483" s="9">
        <v>0</v>
      </c>
      <c r="G2483" s="8"/>
      <c r="H2483" s="9">
        <f t="shared" si="1302"/>
        <v>0</v>
      </c>
      <c r="I2483" s="8"/>
      <c r="J2483" s="8"/>
      <c r="K2483" s="8"/>
      <c r="L2483" s="9"/>
      <c r="M2483" s="9">
        <f t="shared" si="1303"/>
        <v>0</v>
      </c>
      <c r="N2483" s="9">
        <v>570941</v>
      </c>
      <c r="O2483" s="8"/>
      <c r="P2483" s="9">
        <f t="shared" si="1304"/>
        <v>570941</v>
      </c>
      <c r="Q2483" s="8"/>
      <c r="R2483" s="8"/>
      <c r="S2483" s="8"/>
      <c r="T2483" s="9"/>
      <c r="U2483" s="9">
        <f t="shared" si="1305"/>
        <v>570941</v>
      </c>
      <c r="V2483" s="9">
        <f t="shared" si="1306"/>
        <v>570941</v>
      </c>
      <c r="W2483" s="9">
        <f t="shared" si="1307"/>
        <v>0</v>
      </c>
      <c r="X2483" s="9">
        <f t="shared" si="1308"/>
        <v>570941</v>
      </c>
      <c r="Y2483" s="8"/>
      <c r="Z2483" s="9">
        <f t="shared" si="1309"/>
        <v>0</v>
      </c>
      <c r="AA2483" s="8">
        <f t="shared" si="1310"/>
        <v>570941</v>
      </c>
      <c r="AB2483" s="8">
        <f t="shared" si="1311"/>
        <v>0</v>
      </c>
    </row>
    <row r="2484" spans="1:28" x14ac:dyDescent="0.3">
      <c r="A2484" s="64"/>
      <c r="B2484" s="8"/>
      <c r="C2484" s="7" t="s">
        <v>57</v>
      </c>
      <c r="D2484" s="15" t="s">
        <v>88</v>
      </c>
      <c r="E2484" s="9">
        <v>1850815</v>
      </c>
      <c r="F2484" s="9">
        <v>1850815</v>
      </c>
      <c r="G2484" s="8"/>
      <c r="H2484" s="9">
        <f t="shared" si="1302"/>
        <v>1850815</v>
      </c>
      <c r="I2484" s="8"/>
      <c r="J2484" s="8"/>
      <c r="K2484" s="8"/>
      <c r="L2484" s="9"/>
      <c r="M2484" s="9">
        <f t="shared" si="1303"/>
        <v>1850815</v>
      </c>
      <c r="N2484" s="9">
        <v>0</v>
      </c>
      <c r="O2484" s="8"/>
      <c r="P2484" s="9">
        <f t="shared" si="1304"/>
        <v>0</v>
      </c>
      <c r="Q2484" s="8"/>
      <c r="R2484" s="8"/>
      <c r="S2484" s="8"/>
      <c r="T2484" s="9"/>
      <c r="U2484" s="9">
        <f t="shared" si="1305"/>
        <v>0</v>
      </c>
      <c r="V2484" s="9">
        <f t="shared" si="1306"/>
        <v>1850815</v>
      </c>
      <c r="W2484" s="9">
        <f t="shared" si="1307"/>
        <v>0</v>
      </c>
      <c r="X2484" s="9">
        <f t="shared" si="1308"/>
        <v>1850815</v>
      </c>
      <c r="Y2484" s="8"/>
      <c r="Z2484" s="9">
        <f t="shared" si="1309"/>
        <v>0</v>
      </c>
      <c r="AA2484" s="8">
        <f t="shared" si="1310"/>
        <v>1850815</v>
      </c>
      <c r="AB2484" s="8">
        <f t="shared" si="1311"/>
        <v>0</v>
      </c>
    </row>
    <row r="2485" spans="1:28" x14ac:dyDescent="0.3">
      <c r="A2485" s="64"/>
      <c r="B2485" s="8"/>
      <c r="C2485" s="7" t="s">
        <v>57</v>
      </c>
      <c r="D2485" s="15" t="s">
        <v>58</v>
      </c>
      <c r="E2485" s="9">
        <v>0</v>
      </c>
      <c r="F2485" s="9">
        <v>0</v>
      </c>
      <c r="G2485" s="8"/>
      <c r="H2485" s="9">
        <f t="shared" si="1302"/>
        <v>0</v>
      </c>
      <c r="I2485" s="9"/>
      <c r="J2485" s="8"/>
      <c r="K2485" s="8"/>
      <c r="L2485" s="9"/>
      <c r="M2485" s="9">
        <f t="shared" si="1303"/>
        <v>0</v>
      </c>
      <c r="N2485" s="9">
        <v>0</v>
      </c>
      <c r="O2485" s="8"/>
      <c r="P2485" s="9">
        <f t="shared" si="1304"/>
        <v>0</v>
      </c>
      <c r="Q2485" s="8"/>
      <c r="R2485" s="8"/>
      <c r="S2485" s="8"/>
      <c r="T2485" s="9"/>
      <c r="U2485" s="9">
        <f t="shared" si="1305"/>
        <v>0</v>
      </c>
      <c r="V2485" s="9">
        <f t="shared" si="1306"/>
        <v>0</v>
      </c>
      <c r="W2485" s="9">
        <f t="shared" si="1307"/>
        <v>0</v>
      </c>
      <c r="X2485" s="9">
        <f t="shared" si="1308"/>
        <v>0</v>
      </c>
      <c r="Y2485" s="8"/>
      <c r="Z2485" s="9">
        <f t="shared" si="1309"/>
        <v>0</v>
      </c>
      <c r="AA2485" s="8">
        <f t="shared" si="1310"/>
        <v>0</v>
      </c>
      <c r="AB2485" s="8">
        <f t="shared" si="1311"/>
        <v>0</v>
      </c>
    </row>
    <row r="2486" spans="1:28" x14ac:dyDescent="0.3">
      <c r="A2486" s="64"/>
      <c r="B2486" s="8"/>
      <c r="C2486" s="7" t="s">
        <v>57</v>
      </c>
      <c r="D2486" s="15" t="s">
        <v>60</v>
      </c>
      <c r="E2486" s="9">
        <v>3712946</v>
      </c>
      <c r="F2486" s="11">
        <f>819444+2893502</f>
        <v>3712946</v>
      </c>
      <c r="G2486" s="8"/>
      <c r="H2486" s="9">
        <f t="shared" si="1302"/>
        <v>3712946</v>
      </c>
      <c r="I2486" s="8"/>
      <c r="J2486" s="8"/>
      <c r="K2486" s="8"/>
      <c r="L2486" s="9"/>
      <c r="M2486" s="9">
        <f t="shared" si="1303"/>
        <v>3712946</v>
      </c>
      <c r="N2486" s="9">
        <v>0</v>
      </c>
      <c r="O2486" s="8"/>
      <c r="P2486" s="9">
        <f t="shared" si="1304"/>
        <v>0</v>
      </c>
      <c r="Q2486" s="8"/>
      <c r="R2486" s="8"/>
      <c r="S2486" s="8"/>
      <c r="T2486" s="9"/>
      <c r="U2486" s="9">
        <f t="shared" si="1305"/>
        <v>0</v>
      </c>
      <c r="V2486" s="9">
        <f t="shared" si="1306"/>
        <v>3712946</v>
      </c>
      <c r="W2486" s="9">
        <f t="shared" si="1307"/>
        <v>0</v>
      </c>
      <c r="X2486" s="9">
        <f t="shared" si="1308"/>
        <v>3712946</v>
      </c>
      <c r="Y2486" s="8"/>
      <c r="Z2486" s="9">
        <f t="shared" si="1309"/>
        <v>0</v>
      </c>
      <c r="AA2486" s="8">
        <f t="shared" si="1310"/>
        <v>3712946</v>
      </c>
      <c r="AB2486" s="8">
        <f t="shared" si="1311"/>
        <v>0</v>
      </c>
    </row>
    <row r="2487" spans="1:28" x14ac:dyDescent="0.3">
      <c r="A2487" s="64"/>
      <c r="B2487" s="8"/>
      <c r="C2487" s="7" t="s">
        <v>57</v>
      </c>
      <c r="D2487" s="15" t="s">
        <v>73</v>
      </c>
      <c r="E2487" s="9">
        <v>1793201.51</v>
      </c>
      <c r="F2487" s="11">
        <v>1793201.51</v>
      </c>
      <c r="G2487" s="8"/>
      <c r="H2487" s="9">
        <f t="shared" si="1302"/>
        <v>1793201.51</v>
      </c>
      <c r="I2487" s="8"/>
      <c r="J2487" s="8"/>
      <c r="K2487" s="8"/>
      <c r="L2487" s="9"/>
      <c r="M2487" s="9">
        <f t="shared" si="1303"/>
        <v>1793201.51</v>
      </c>
      <c r="N2487" s="9">
        <v>0</v>
      </c>
      <c r="O2487" s="8"/>
      <c r="P2487" s="9">
        <f t="shared" si="1304"/>
        <v>0</v>
      </c>
      <c r="Q2487" s="8"/>
      <c r="R2487" s="8"/>
      <c r="S2487" s="8"/>
      <c r="T2487" s="9"/>
      <c r="U2487" s="9">
        <f t="shared" si="1305"/>
        <v>0</v>
      </c>
      <c r="V2487" s="9">
        <f t="shared" si="1306"/>
        <v>1793201.51</v>
      </c>
      <c r="W2487" s="9">
        <f t="shared" si="1307"/>
        <v>0</v>
      </c>
      <c r="X2487" s="9">
        <f t="shared" si="1308"/>
        <v>1793201.51</v>
      </c>
      <c r="Y2487" s="8"/>
      <c r="Z2487" s="9">
        <f t="shared" si="1309"/>
        <v>0</v>
      </c>
      <c r="AA2487" s="8">
        <f t="shared" si="1310"/>
        <v>1793201.51</v>
      </c>
      <c r="AB2487" s="8">
        <f t="shared" si="1311"/>
        <v>0</v>
      </c>
    </row>
    <row r="2488" spans="1:28" x14ac:dyDescent="0.3">
      <c r="A2488" s="64"/>
      <c r="B2488" s="8"/>
      <c r="C2488" s="14" t="s">
        <v>109</v>
      </c>
      <c r="D2488" s="21" t="s">
        <v>60</v>
      </c>
      <c r="E2488" s="9">
        <v>2500000</v>
      </c>
      <c r="F2488" s="11">
        <v>2500000</v>
      </c>
      <c r="G2488" s="8"/>
      <c r="H2488" s="9">
        <f t="shared" si="1302"/>
        <v>2500000</v>
      </c>
      <c r="I2488" s="8"/>
      <c r="J2488" s="8"/>
      <c r="K2488" s="8"/>
      <c r="L2488" s="9"/>
      <c r="M2488" s="9">
        <f t="shared" si="1303"/>
        <v>2500000</v>
      </c>
      <c r="N2488" s="9">
        <v>0</v>
      </c>
      <c r="O2488" s="8"/>
      <c r="P2488" s="9">
        <f t="shared" si="1304"/>
        <v>0</v>
      </c>
      <c r="Q2488" s="8"/>
      <c r="R2488" s="8"/>
      <c r="S2488" s="8"/>
      <c r="T2488" s="9"/>
      <c r="U2488" s="9">
        <f t="shared" si="1305"/>
        <v>0</v>
      </c>
      <c r="V2488" s="9">
        <f t="shared" si="1306"/>
        <v>2500000</v>
      </c>
      <c r="W2488" s="9">
        <f t="shared" si="1307"/>
        <v>0</v>
      </c>
      <c r="X2488" s="9">
        <f t="shared" si="1308"/>
        <v>2500000</v>
      </c>
      <c r="Y2488" s="8"/>
      <c r="Z2488" s="9">
        <f t="shared" si="1309"/>
        <v>0</v>
      </c>
      <c r="AA2488" s="8">
        <f t="shared" si="1310"/>
        <v>2500000</v>
      </c>
      <c r="AB2488" s="8">
        <f t="shared" si="1311"/>
        <v>0</v>
      </c>
    </row>
    <row r="2489" spans="1:28" x14ac:dyDescent="0.3">
      <c r="A2489" s="64"/>
      <c r="B2489" s="8"/>
      <c r="C2489" s="7" t="s">
        <v>398</v>
      </c>
      <c r="D2489" s="8"/>
      <c r="E2489" s="9">
        <v>791034</v>
      </c>
      <c r="F2489" s="9">
        <v>791034</v>
      </c>
      <c r="G2489" s="8"/>
      <c r="H2489" s="9">
        <f t="shared" si="1302"/>
        <v>791034</v>
      </c>
      <c r="I2489" s="8"/>
      <c r="J2489" s="8"/>
      <c r="K2489" s="8"/>
      <c r="L2489" s="9"/>
      <c r="M2489" s="9">
        <f t="shared" si="1303"/>
        <v>791034</v>
      </c>
      <c r="N2489" s="9">
        <v>0</v>
      </c>
      <c r="O2489" s="8"/>
      <c r="P2489" s="9">
        <f t="shared" si="1304"/>
        <v>0</v>
      </c>
      <c r="Q2489" s="8"/>
      <c r="R2489" s="8"/>
      <c r="S2489" s="8"/>
      <c r="T2489" s="9"/>
      <c r="U2489" s="9">
        <f t="shared" si="1305"/>
        <v>0</v>
      </c>
      <c r="V2489" s="9">
        <f t="shared" si="1306"/>
        <v>791034</v>
      </c>
      <c r="W2489" s="9">
        <f t="shared" si="1307"/>
        <v>0</v>
      </c>
      <c r="X2489" s="9">
        <f t="shared" si="1308"/>
        <v>791034</v>
      </c>
      <c r="Y2489" s="8"/>
      <c r="Z2489" s="9">
        <f t="shared" si="1309"/>
        <v>0</v>
      </c>
      <c r="AA2489" s="8">
        <f t="shared" si="1310"/>
        <v>791034</v>
      </c>
      <c r="AB2489" s="8">
        <f t="shared" si="1311"/>
        <v>0</v>
      </c>
    </row>
    <row r="2490" spans="1:28" x14ac:dyDescent="0.3">
      <c r="A2490" s="64"/>
      <c r="B2490" s="8"/>
      <c r="C2490" s="7" t="s">
        <v>399</v>
      </c>
      <c r="D2490" s="8"/>
      <c r="E2490" s="9">
        <v>187732</v>
      </c>
      <c r="F2490" s="9">
        <v>187732</v>
      </c>
      <c r="G2490" s="8"/>
      <c r="H2490" s="9">
        <f t="shared" si="1302"/>
        <v>187732</v>
      </c>
      <c r="I2490" s="8"/>
      <c r="J2490" s="8"/>
      <c r="K2490" s="8"/>
      <c r="L2490" s="9"/>
      <c r="M2490" s="9">
        <f t="shared" si="1303"/>
        <v>187732</v>
      </c>
      <c r="N2490" s="9">
        <v>0</v>
      </c>
      <c r="O2490" s="8"/>
      <c r="P2490" s="9">
        <f t="shared" si="1304"/>
        <v>0</v>
      </c>
      <c r="Q2490" s="8"/>
      <c r="R2490" s="8"/>
      <c r="S2490" s="8"/>
      <c r="T2490" s="9"/>
      <c r="U2490" s="9">
        <f t="shared" si="1305"/>
        <v>0</v>
      </c>
      <c r="V2490" s="9">
        <f t="shared" si="1306"/>
        <v>187732</v>
      </c>
      <c r="W2490" s="9">
        <f t="shared" si="1307"/>
        <v>0</v>
      </c>
      <c r="X2490" s="9">
        <f t="shared" si="1308"/>
        <v>187732</v>
      </c>
      <c r="Y2490" s="8"/>
      <c r="Z2490" s="9">
        <f t="shared" si="1309"/>
        <v>0</v>
      </c>
      <c r="AA2490" s="8">
        <f t="shared" si="1310"/>
        <v>187732</v>
      </c>
      <c r="AB2490" s="8">
        <f t="shared" si="1311"/>
        <v>0</v>
      </c>
    </row>
    <row r="2491" spans="1:28" x14ac:dyDescent="0.3">
      <c r="A2491" s="64"/>
      <c r="B2491" s="8"/>
      <c r="C2491" s="7" t="s">
        <v>400</v>
      </c>
      <c r="D2491" s="8"/>
      <c r="E2491" s="9">
        <v>2073000</v>
      </c>
      <c r="F2491" s="9">
        <v>2073000</v>
      </c>
      <c r="G2491" s="8"/>
      <c r="H2491" s="9">
        <f t="shared" si="1302"/>
        <v>2073000</v>
      </c>
      <c r="I2491" s="8"/>
      <c r="J2491" s="8"/>
      <c r="K2491" s="8"/>
      <c r="L2491" s="9"/>
      <c r="M2491" s="9">
        <f t="shared" si="1303"/>
        <v>2073000</v>
      </c>
      <c r="N2491" s="9">
        <v>0</v>
      </c>
      <c r="O2491" s="8"/>
      <c r="P2491" s="9">
        <f t="shared" si="1304"/>
        <v>0</v>
      </c>
      <c r="Q2491" s="8"/>
      <c r="R2491" s="8"/>
      <c r="S2491" s="8"/>
      <c r="T2491" s="9"/>
      <c r="U2491" s="9">
        <f t="shared" si="1305"/>
        <v>0</v>
      </c>
      <c r="V2491" s="9">
        <f t="shared" si="1306"/>
        <v>2073000</v>
      </c>
      <c r="W2491" s="9">
        <f t="shared" si="1307"/>
        <v>0</v>
      </c>
      <c r="X2491" s="9">
        <f t="shared" si="1308"/>
        <v>2073000</v>
      </c>
      <c r="Y2491" s="8"/>
      <c r="Z2491" s="9">
        <f t="shared" si="1309"/>
        <v>0</v>
      </c>
      <c r="AA2491" s="8">
        <f t="shared" si="1310"/>
        <v>2073000</v>
      </c>
      <c r="AB2491" s="8">
        <f t="shared" si="1311"/>
        <v>0</v>
      </c>
    </row>
    <row r="2492" spans="1:28" x14ac:dyDescent="0.3">
      <c r="A2492" s="64"/>
      <c r="B2492" s="8"/>
      <c r="C2492" s="7" t="s">
        <v>401</v>
      </c>
      <c r="D2492" s="8"/>
      <c r="E2492" s="9">
        <v>1407720</v>
      </c>
      <c r="F2492" s="9">
        <v>1407720</v>
      </c>
      <c r="G2492" s="8"/>
      <c r="H2492" s="9">
        <f t="shared" si="1302"/>
        <v>1407720</v>
      </c>
      <c r="I2492" s="8"/>
      <c r="J2492" s="8"/>
      <c r="K2492" s="8"/>
      <c r="L2492" s="9"/>
      <c r="M2492" s="9">
        <f t="shared" si="1303"/>
        <v>1407720</v>
      </c>
      <c r="N2492" s="9">
        <v>0</v>
      </c>
      <c r="O2492" s="8"/>
      <c r="P2492" s="9">
        <f t="shared" si="1304"/>
        <v>0</v>
      </c>
      <c r="Q2492" s="8"/>
      <c r="R2492" s="8"/>
      <c r="S2492" s="8"/>
      <c r="T2492" s="9"/>
      <c r="U2492" s="9">
        <f t="shared" si="1305"/>
        <v>0</v>
      </c>
      <c r="V2492" s="9">
        <f t="shared" si="1306"/>
        <v>1407720</v>
      </c>
      <c r="W2492" s="9">
        <f t="shared" si="1307"/>
        <v>0</v>
      </c>
      <c r="X2492" s="9">
        <f t="shared" si="1308"/>
        <v>1407720</v>
      </c>
      <c r="Y2492" s="8"/>
      <c r="Z2492" s="9">
        <f t="shared" si="1309"/>
        <v>0</v>
      </c>
      <c r="AA2492" s="8">
        <f t="shared" si="1310"/>
        <v>1407720</v>
      </c>
      <c r="AB2492" s="8">
        <f t="shared" si="1311"/>
        <v>0</v>
      </c>
    </row>
    <row r="2493" spans="1:28" x14ac:dyDescent="0.3">
      <c r="A2493" s="64"/>
      <c r="B2493" s="8"/>
      <c r="C2493" s="7" t="s">
        <v>930</v>
      </c>
      <c r="D2493" s="23" t="s">
        <v>1072</v>
      </c>
      <c r="E2493" s="9">
        <v>1469575.72</v>
      </c>
      <c r="F2493" s="9">
        <v>1469575.72</v>
      </c>
      <c r="G2493" s="8"/>
      <c r="H2493" s="9">
        <f>+F2493+G2493</f>
        <v>1469575.72</v>
      </c>
      <c r="I2493" s="8"/>
      <c r="J2493" s="8"/>
      <c r="K2493" s="8"/>
      <c r="L2493" s="9"/>
      <c r="M2493" s="9">
        <f>+H2493+L2493</f>
        <v>1469575.72</v>
      </c>
      <c r="N2493" s="9">
        <v>0</v>
      </c>
      <c r="O2493" s="8"/>
      <c r="P2493" s="9">
        <f>+N2493+O2493</f>
        <v>0</v>
      </c>
      <c r="Q2493" s="8"/>
      <c r="R2493" s="8"/>
      <c r="S2493" s="8"/>
      <c r="T2493" s="9"/>
      <c r="U2493" s="9">
        <f>P2493+T2493</f>
        <v>0</v>
      </c>
      <c r="V2493" s="9">
        <f>P2493+H2493</f>
        <v>1469575.72</v>
      </c>
      <c r="W2493" s="9">
        <f>E2493-V2493</f>
        <v>0</v>
      </c>
      <c r="X2493" s="9">
        <f t="shared" si="1308"/>
        <v>1469575.72</v>
      </c>
      <c r="Y2493" s="8"/>
      <c r="Z2493" s="9">
        <f t="shared" si="1309"/>
        <v>0</v>
      </c>
      <c r="AA2493" s="8">
        <f t="shared" si="1310"/>
        <v>1469575.72</v>
      </c>
      <c r="AB2493" s="8">
        <f t="shared" si="1311"/>
        <v>0</v>
      </c>
    </row>
    <row r="2494" spans="1:28" x14ac:dyDescent="0.3">
      <c r="A2494" s="64"/>
      <c r="B2494" s="8"/>
      <c r="C2494" s="7" t="s">
        <v>57</v>
      </c>
      <c r="D2494" s="23" t="s">
        <v>61</v>
      </c>
      <c r="E2494" s="9">
        <f>981144.2+15489.3</f>
        <v>996633.5</v>
      </c>
      <c r="F2494" s="8">
        <v>981144.2</v>
      </c>
      <c r="G2494" s="8"/>
      <c r="H2494" s="9">
        <f t="shared" si="1302"/>
        <v>981144.2</v>
      </c>
      <c r="I2494" s="8"/>
      <c r="J2494" s="8"/>
      <c r="K2494" s="8"/>
      <c r="L2494" s="9"/>
      <c r="M2494" s="9">
        <f t="shared" si="1303"/>
        <v>981144.2</v>
      </c>
      <c r="N2494" s="9">
        <v>0</v>
      </c>
      <c r="O2494" s="8"/>
      <c r="P2494" s="9">
        <f t="shared" si="1304"/>
        <v>0</v>
      </c>
      <c r="Q2494" s="8">
        <v>15489.3</v>
      </c>
      <c r="R2494" s="8"/>
      <c r="S2494" s="8"/>
      <c r="T2494" s="9">
        <v>15489.3</v>
      </c>
      <c r="U2494" s="9">
        <f t="shared" si="1305"/>
        <v>15489.3</v>
      </c>
      <c r="V2494" s="9">
        <f t="shared" si="1306"/>
        <v>981144.2</v>
      </c>
      <c r="W2494" s="9">
        <f t="shared" si="1307"/>
        <v>15489.300000000047</v>
      </c>
      <c r="X2494" s="9">
        <f t="shared" si="1308"/>
        <v>981144.2</v>
      </c>
      <c r="Y2494" s="8"/>
      <c r="Z2494" s="9">
        <f t="shared" si="1309"/>
        <v>15489.300000000047</v>
      </c>
      <c r="AA2494" s="8">
        <f t="shared" si="1310"/>
        <v>996633.5</v>
      </c>
      <c r="AB2494" s="8">
        <f t="shared" si="1311"/>
        <v>0</v>
      </c>
    </row>
    <row r="2495" spans="1:28" x14ac:dyDescent="0.3">
      <c r="A2495" s="64"/>
      <c r="B2495" s="8"/>
      <c r="C2495" s="9"/>
      <c r="D2495" s="8"/>
      <c r="E2495" s="17" t="s">
        <v>29</v>
      </c>
      <c r="F2495" s="17" t="s">
        <v>29</v>
      </c>
      <c r="G2495" s="17" t="s">
        <v>29</v>
      </c>
      <c r="H2495" s="17" t="s">
        <v>29</v>
      </c>
      <c r="I2495" s="17" t="s">
        <v>29</v>
      </c>
      <c r="J2495" s="17" t="s">
        <v>29</v>
      </c>
      <c r="K2495" s="17" t="s">
        <v>29</v>
      </c>
      <c r="L2495" s="17" t="s">
        <v>29</v>
      </c>
      <c r="M2495" s="17" t="s">
        <v>29</v>
      </c>
      <c r="N2495" s="17" t="s">
        <v>29</v>
      </c>
      <c r="O2495" s="17" t="s">
        <v>29</v>
      </c>
      <c r="P2495" s="17" t="s">
        <v>29</v>
      </c>
      <c r="Q2495" s="17" t="s">
        <v>29</v>
      </c>
      <c r="R2495" s="17" t="s">
        <v>29</v>
      </c>
      <c r="S2495" s="17" t="s">
        <v>29</v>
      </c>
      <c r="T2495" s="17" t="s">
        <v>29</v>
      </c>
      <c r="U2495" s="17" t="s">
        <v>29</v>
      </c>
      <c r="V2495" s="17" t="s">
        <v>29</v>
      </c>
      <c r="W2495" s="17" t="s">
        <v>29</v>
      </c>
      <c r="X2495" s="17" t="s">
        <v>29</v>
      </c>
      <c r="Y2495" s="17" t="s">
        <v>29</v>
      </c>
      <c r="Z2495" s="17" t="s">
        <v>29</v>
      </c>
      <c r="AA2495" s="17" t="s">
        <v>29</v>
      </c>
      <c r="AB2495" s="17" t="s">
        <v>29</v>
      </c>
    </row>
    <row r="2496" spans="1:28" x14ac:dyDescent="0.3">
      <c r="A2496" s="64"/>
      <c r="B2496" s="8"/>
      <c r="C2496" s="8"/>
      <c r="D2496" s="8"/>
      <c r="E2496" s="9">
        <f t="shared" ref="E2496:AB2496" si="1312">SUM(E2481:E2494)</f>
        <v>32829327.23</v>
      </c>
      <c r="F2496" s="9">
        <f t="shared" si="1312"/>
        <v>31485611.129999999</v>
      </c>
      <c r="G2496" s="9">
        <f t="shared" si="1312"/>
        <v>0</v>
      </c>
      <c r="H2496" s="9">
        <f t="shared" si="1312"/>
        <v>31485611.129999999</v>
      </c>
      <c r="I2496" s="9">
        <f t="shared" si="1312"/>
        <v>0</v>
      </c>
      <c r="J2496" s="9">
        <f t="shared" si="1312"/>
        <v>0</v>
      </c>
      <c r="K2496" s="9">
        <f t="shared" si="1312"/>
        <v>0</v>
      </c>
      <c r="L2496" s="9">
        <f t="shared" si="1312"/>
        <v>0</v>
      </c>
      <c r="M2496" s="9">
        <f t="shared" si="1312"/>
        <v>31485611.129999999</v>
      </c>
      <c r="N2496" s="9">
        <f t="shared" si="1312"/>
        <v>1328226.8</v>
      </c>
      <c r="O2496" s="9">
        <f t="shared" si="1312"/>
        <v>0</v>
      </c>
      <c r="P2496" s="9">
        <f t="shared" si="1312"/>
        <v>1328226.8</v>
      </c>
      <c r="Q2496" s="9">
        <f t="shared" si="1312"/>
        <v>15489.3</v>
      </c>
      <c r="R2496" s="9">
        <f t="shared" si="1312"/>
        <v>0</v>
      </c>
      <c r="S2496" s="9">
        <f t="shared" si="1312"/>
        <v>0</v>
      </c>
      <c r="T2496" s="9">
        <f t="shared" si="1312"/>
        <v>15489.3</v>
      </c>
      <c r="U2496" s="9">
        <f t="shared" si="1312"/>
        <v>1343716.1</v>
      </c>
      <c r="V2496" s="9">
        <f t="shared" si="1312"/>
        <v>32813837.93</v>
      </c>
      <c r="W2496" s="9">
        <f t="shared" si="1312"/>
        <v>15489.300000000047</v>
      </c>
      <c r="X2496" s="9">
        <f t="shared" si="1312"/>
        <v>32813837.93</v>
      </c>
      <c r="Y2496" s="9">
        <f t="shared" si="1312"/>
        <v>0</v>
      </c>
      <c r="Z2496" s="9">
        <f t="shared" si="1312"/>
        <v>15489.300000000047</v>
      </c>
      <c r="AA2496" s="9">
        <f t="shared" si="1312"/>
        <v>32829327.23</v>
      </c>
      <c r="AB2496" s="9">
        <f t="shared" si="1312"/>
        <v>0</v>
      </c>
    </row>
    <row r="2497" spans="1:28" x14ac:dyDescent="0.3">
      <c r="A2497" s="64"/>
      <c r="B2497" s="8"/>
      <c r="C2497" s="8"/>
      <c r="D2497" s="8"/>
      <c r="E2497" s="17" t="s">
        <v>29</v>
      </c>
      <c r="F2497" s="17" t="s">
        <v>29</v>
      </c>
      <c r="G2497" s="17" t="s">
        <v>29</v>
      </c>
      <c r="H2497" s="17" t="s">
        <v>29</v>
      </c>
      <c r="I2497" s="17" t="s">
        <v>29</v>
      </c>
      <c r="J2497" s="17" t="s">
        <v>29</v>
      </c>
      <c r="K2497" s="17" t="s">
        <v>29</v>
      </c>
      <c r="L2497" s="17" t="s">
        <v>29</v>
      </c>
      <c r="M2497" s="17" t="s">
        <v>29</v>
      </c>
      <c r="N2497" s="17" t="s">
        <v>29</v>
      </c>
      <c r="O2497" s="17" t="s">
        <v>29</v>
      </c>
      <c r="P2497" s="17" t="s">
        <v>29</v>
      </c>
      <c r="Q2497" s="17" t="s">
        <v>29</v>
      </c>
      <c r="R2497" s="17" t="s">
        <v>29</v>
      </c>
      <c r="S2497" s="17" t="s">
        <v>29</v>
      </c>
      <c r="T2497" s="17" t="s">
        <v>29</v>
      </c>
      <c r="U2497" s="17" t="s">
        <v>29</v>
      </c>
      <c r="V2497" s="17" t="s">
        <v>29</v>
      </c>
      <c r="W2497" s="17" t="s">
        <v>29</v>
      </c>
      <c r="X2497" s="17" t="s">
        <v>29</v>
      </c>
      <c r="Y2497" s="17" t="s">
        <v>29</v>
      </c>
      <c r="Z2497" s="17" t="s">
        <v>29</v>
      </c>
      <c r="AA2497" s="17" t="s">
        <v>29</v>
      </c>
      <c r="AB2497" s="17" t="s">
        <v>29</v>
      </c>
    </row>
    <row r="2498" spans="1:28" x14ac:dyDescent="0.3">
      <c r="A2498" s="63" t="s">
        <v>1044</v>
      </c>
      <c r="B2498" s="7" t="s">
        <v>402</v>
      </c>
      <c r="C2498" s="8"/>
      <c r="D2498" s="15" t="s">
        <v>403</v>
      </c>
      <c r="E2498" s="8"/>
      <c r="F2498" s="8"/>
      <c r="G2498" s="8"/>
      <c r="H2498" s="8"/>
      <c r="I2498" s="8"/>
      <c r="J2498" s="8"/>
      <c r="K2498" s="8"/>
      <c r="L2498" s="8"/>
      <c r="M2498" s="8"/>
      <c r="N2498" s="8"/>
      <c r="O2498" s="8"/>
      <c r="P2498" s="8"/>
      <c r="Q2498" s="8"/>
      <c r="R2498" s="8"/>
      <c r="S2498" s="8"/>
      <c r="T2498" s="8"/>
      <c r="U2498" s="8"/>
      <c r="V2498" s="8"/>
      <c r="W2498" s="8"/>
      <c r="X2498" s="8"/>
      <c r="Y2498" s="8"/>
      <c r="Z2498" s="8"/>
    </row>
    <row r="2499" spans="1:28" x14ac:dyDescent="0.3">
      <c r="A2499" s="64"/>
      <c r="B2499" s="8"/>
      <c r="C2499" s="7" t="s">
        <v>404</v>
      </c>
      <c r="D2499" s="15" t="s">
        <v>405</v>
      </c>
      <c r="E2499" s="9">
        <v>6446444.54</v>
      </c>
      <c r="F2499" s="9">
        <v>6446444.54</v>
      </c>
      <c r="G2499" s="8"/>
      <c r="H2499" s="9">
        <f t="shared" ref="H2499:H2505" si="1313">F2499+G2499</f>
        <v>6446444.54</v>
      </c>
      <c r="I2499" s="8"/>
      <c r="J2499" s="8"/>
      <c r="K2499" s="8"/>
      <c r="L2499" s="9"/>
      <c r="M2499" s="9">
        <f t="shared" ref="M2499:M2505" si="1314">H2499+L2499</f>
        <v>6446444.54</v>
      </c>
      <c r="N2499" s="9">
        <v>0</v>
      </c>
      <c r="O2499" s="8"/>
      <c r="P2499" s="9">
        <f t="shared" ref="P2499:P2505" si="1315">N2499+O2499</f>
        <v>0</v>
      </c>
      <c r="Q2499" s="8"/>
      <c r="R2499" s="8"/>
      <c r="S2499" s="8"/>
      <c r="T2499" s="9"/>
      <c r="U2499" s="9">
        <f t="shared" ref="U2499:U2505" si="1316">P2499+T2499</f>
        <v>0</v>
      </c>
      <c r="V2499" s="9">
        <f t="shared" ref="V2499:V2505" si="1317">P2499+H2499</f>
        <v>6446444.54</v>
      </c>
      <c r="W2499" s="9">
        <f t="shared" ref="W2499:W2505" si="1318">E2499-V2499</f>
        <v>0</v>
      </c>
      <c r="X2499" s="9">
        <f t="shared" ref="X2499:X2505" si="1319">+H2499+P2499</f>
        <v>6446444.54</v>
      </c>
      <c r="Y2499" s="8"/>
      <c r="Z2499" s="9">
        <f t="shared" ref="Z2499:Z2505" si="1320">+E2499-X2499</f>
        <v>0</v>
      </c>
      <c r="AA2499" s="8">
        <f t="shared" ref="AA2499:AA2505" si="1321">+M2499+U2499</f>
        <v>6446444.54</v>
      </c>
      <c r="AB2499" s="8">
        <f t="shared" ref="AB2499:AB2505" si="1322">+E2499-AA2499</f>
        <v>0</v>
      </c>
    </row>
    <row r="2500" spans="1:28" x14ac:dyDescent="0.3">
      <c r="A2500" s="64"/>
      <c r="B2500" s="8"/>
      <c r="C2500" s="7" t="s">
        <v>57</v>
      </c>
      <c r="D2500" s="15" t="s">
        <v>54</v>
      </c>
      <c r="E2500" s="9">
        <v>519810</v>
      </c>
      <c r="F2500" s="9">
        <v>519810</v>
      </c>
      <c r="G2500" s="8"/>
      <c r="H2500" s="9">
        <f t="shared" si="1313"/>
        <v>519810</v>
      </c>
      <c r="I2500" s="8"/>
      <c r="J2500" s="8"/>
      <c r="K2500" s="8"/>
      <c r="L2500" s="9"/>
      <c r="M2500" s="9">
        <f t="shared" si="1314"/>
        <v>519810</v>
      </c>
      <c r="N2500" s="9">
        <v>0</v>
      </c>
      <c r="O2500" s="8"/>
      <c r="P2500" s="9">
        <f t="shared" si="1315"/>
        <v>0</v>
      </c>
      <c r="Q2500" s="8"/>
      <c r="R2500" s="8"/>
      <c r="S2500" s="8"/>
      <c r="T2500" s="9"/>
      <c r="U2500" s="9">
        <f t="shared" si="1316"/>
        <v>0</v>
      </c>
      <c r="V2500" s="9">
        <f t="shared" si="1317"/>
        <v>519810</v>
      </c>
      <c r="W2500" s="9">
        <f t="shared" si="1318"/>
        <v>0</v>
      </c>
      <c r="X2500" s="9">
        <f t="shared" si="1319"/>
        <v>519810</v>
      </c>
      <c r="Y2500" s="8"/>
      <c r="Z2500" s="9">
        <f t="shared" si="1320"/>
        <v>0</v>
      </c>
      <c r="AA2500" s="8">
        <f t="shared" si="1321"/>
        <v>519810</v>
      </c>
      <c r="AB2500" s="8">
        <f t="shared" si="1322"/>
        <v>0</v>
      </c>
    </row>
    <row r="2501" spans="1:28" x14ac:dyDescent="0.3">
      <c r="A2501" s="64"/>
      <c r="B2501" s="8"/>
      <c r="C2501" s="7" t="s">
        <v>53</v>
      </c>
      <c r="D2501" s="15" t="s">
        <v>85</v>
      </c>
      <c r="E2501" s="9">
        <v>570941</v>
      </c>
      <c r="F2501" s="9">
        <v>0</v>
      </c>
      <c r="G2501" s="8"/>
      <c r="H2501" s="9">
        <f t="shared" si="1313"/>
        <v>0</v>
      </c>
      <c r="I2501" s="8"/>
      <c r="J2501" s="8"/>
      <c r="K2501" s="8"/>
      <c r="L2501" s="9"/>
      <c r="M2501" s="9">
        <f t="shared" si="1314"/>
        <v>0</v>
      </c>
      <c r="N2501" s="9">
        <v>570941</v>
      </c>
      <c r="O2501" s="8"/>
      <c r="P2501" s="9">
        <f t="shared" si="1315"/>
        <v>570941</v>
      </c>
      <c r="Q2501" s="8"/>
      <c r="R2501" s="8"/>
      <c r="S2501" s="8"/>
      <c r="T2501" s="9"/>
      <c r="U2501" s="9">
        <f t="shared" si="1316"/>
        <v>570941</v>
      </c>
      <c r="V2501" s="9">
        <f t="shared" si="1317"/>
        <v>570941</v>
      </c>
      <c r="W2501" s="9">
        <f t="shared" si="1318"/>
        <v>0</v>
      </c>
      <c r="X2501" s="9">
        <f t="shared" si="1319"/>
        <v>570941</v>
      </c>
      <c r="Y2501" s="8"/>
      <c r="Z2501" s="9">
        <f t="shared" si="1320"/>
        <v>0</v>
      </c>
      <c r="AA2501" s="8">
        <f t="shared" si="1321"/>
        <v>570941</v>
      </c>
      <c r="AB2501" s="8">
        <f t="shared" si="1322"/>
        <v>0</v>
      </c>
    </row>
    <row r="2502" spans="1:28" x14ac:dyDescent="0.3">
      <c r="A2502" s="64"/>
      <c r="B2502" s="8"/>
      <c r="C2502" s="7" t="s">
        <v>57</v>
      </c>
      <c r="D2502" s="15" t="s">
        <v>60</v>
      </c>
      <c r="E2502" s="9">
        <v>544585</v>
      </c>
      <c r="F2502" s="11">
        <v>544585</v>
      </c>
      <c r="G2502" s="8"/>
      <c r="H2502" s="9">
        <f t="shared" si="1313"/>
        <v>544585</v>
      </c>
      <c r="I2502" s="8"/>
      <c r="J2502" s="8"/>
      <c r="K2502" s="8"/>
      <c r="L2502" s="9"/>
      <c r="M2502" s="9">
        <f t="shared" si="1314"/>
        <v>544585</v>
      </c>
      <c r="N2502" s="9">
        <v>0</v>
      </c>
      <c r="O2502" s="8"/>
      <c r="P2502" s="9">
        <f t="shared" si="1315"/>
        <v>0</v>
      </c>
      <c r="Q2502" s="8"/>
      <c r="R2502" s="8"/>
      <c r="S2502" s="8"/>
      <c r="T2502" s="9"/>
      <c r="U2502" s="9">
        <f t="shared" si="1316"/>
        <v>0</v>
      </c>
      <c r="V2502" s="9">
        <f t="shared" si="1317"/>
        <v>544585</v>
      </c>
      <c r="W2502" s="9">
        <f t="shared" si="1318"/>
        <v>0</v>
      </c>
      <c r="X2502" s="9">
        <f t="shared" si="1319"/>
        <v>544585</v>
      </c>
      <c r="Y2502" s="8"/>
      <c r="Z2502" s="9">
        <f t="shared" si="1320"/>
        <v>0</v>
      </c>
      <c r="AA2502" s="8">
        <f t="shared" si="1321"/>
        <v>544585</v>
      </c>
      <c r="AB2502" s="8">
        <f t="shared" si="1322"/>
        <v>0</v>
      </c>
    </row>
    <row r="2503" spans="1:28" x14ac:dyDescent="0.3">
      <c r="A2503" s="64"/>
      <c r="B2503" s="8"/>
      <c r="C2503" s="7" t="s">
        <v>57</v>
      </c>
      <c r="D2503" s="15" t="s">
        <v>73</v>
      </c>
      <c r="E2503" s="9">
        <v>1187578.42</v>
      </c>
      <c r="F2503" s="11">
        <v>1187578.42</v>
      </c>
      <c r="G2503" s="8"/>
      <c r="H2503" s="9">
        <f t="shared" si="1313"/>
        <v>1187578.42</v>
      </c>
      <c r="I2503" s="8"/>
      <c r="J2503" s="8"/>
      <c r="K2503" s="8"/>
      <c r="L2503" s="9"/>
      <c r="M2503" s="9">
        <f t="shared" si="1314"/>
        <v>1187578.42</v>
      </c>
      <c r="N2503" s="9">
        <v>0</v>
      </c>
      <c r="O2503" s="8"/>
      <c r="P2503" s="9">
        <f t="shared" si="1315"/>
        <v>0</v>
      </c>
      <c r="Q2503" s="8"/>
      <c r="R2503" s="8"/>
      <c r="S2503" s="8"/>
      <c r="T2503" s="9"/>
      <c r="U2503" s="9">
        <f t="shared" si="1316"/>
        <v>0</v>
      </c>
      <c r="V2503" s="9">
        <f t="shared" si="1317"/>
        <v>1187578.42</v>
      </c>
      <c r="W2503" s="9">
        <f t="shared" si="1318"/>
        <v>0</v>
      </c>
      <c r="X2503" s="9">
        <f t="shared" si="1319"/>
        <v>1187578.42</v>
      </c>
      <c r="Y2503" s="8"/>
      <c r="Z2503" s="9">
        <f t="shared" si="1320"/>
        <v>0</v>
      </c>
      <c r="AA2503" s="8">
        <f t="shared" si="1321"/>
        <v>1187578.42</v>
      </c>
      <c r="AB2503" s="8">
        <f t="shared" si="1322"/>
        <v>0</v>
      </c>
    </row>
    <row r="2504" spans="1:28" x14ac:dyDescent="0.3">
      <c r="A2504" s="64"/>
      <c r="B2504" s="8"/>
      <c r="C2504" s="7" t="s">
        <v>406</v>
      </c>
      <c r="D2504" s="7" t="s">
        <v>71</v>
      </c>
      <c r="E2504" s="9">
        <v>1243000</v>
      </c>
      <c r="F2504" s="9">
        <v>1243000</v>
      </c>
      <c r="G2504" s="8"/>
      <c r="H2504" s="9">
        <f t="shared" si="1313"/>
        <v>1243000</v>
      </c>
      <c r="I2504" s="8"/>
      <c r="J2504" s="8"/>
      <c r="K2504" s="8"/>
      <c r="L2504" s="9"/>
      <c r="M2504" s="9">
        <f t="shared" si="1314"/>
        <v>1243000</v>
      </c>
      <c r="N2504" s="9">
        <v>0</v>
      </c>
      <c r="O2504" s="8"/>
      <c r="P2504" s="9">
        <f t="shared" si="1315"/>
        <v>0</v>
      </c>
      <c r="Q2504" s="8"/>
      <c r="R2504" s="8"/>
      <c r="S2504" s="8"/>
      <c r="T2504" s="9"/>
      <c r="U2504" s="9">
        <f t="shared" si="1316"/>
        <v>0</v>
      </c>
      <c r="V2504" s="9">
        <f t="shared" si="1317"/>
        <v>1243000</v>
      </c>
      <c r="W2504" s="9">
        <f t="shared" si="1318"/>
        <v>0</v>
      </c>
      <c r="X2504" s="9">
        <f t="shared" si="1319"/>
        <v>1243000</v>
      </c>
      <c r="Y2504" s="8"/>
      <c r="Z2504" s="9">
        <f t="shared" si="1320"/>
        <v>0</v>
      </c>
      <c r="AA2504" s="8">
        <f t="shared" si="1321"/>
        <v>1243000</v>
      </c>
      <c r="AB2504" s="8">
        <f t="shared" si="1322"/>
        <v>0</v>
      </c>
    </row>
    <row r="2505" spans="1:28" x14ac:dyDescent="0.3">
      <c r="A2505" s="64"/>
      <c r="B2505" s="8"/>
      <c r="C2505" s="7" t="s">
        <v>57</v>
      </c>
      <c r="D2505" s="16" t="s">
        <v>61</v>
      </c>
      <c r="E2505" s="9">
        <v>1543532.26</v>
      </c>
      <c r="F2505" s="8">
        <v>1543532.26</v>
      </c>
      <c r="G2505" s="8"/>
      <c r="H2505" s="9">
        <f t="shared" si="1313"/>
        <v>1543532.26</v>
      </c>
      <c r="I2505" s="8"/>
      <c r="J2505" s="8"/>
      <c r="K2505" s="8"/>
      <c r="L2505" s="9"/>
      <c r="M2505" s="9">
        <f t="shared" si="1314"/>
        <v>1543532.26</v>
      </c>
      <c r="N2505" s="9">
        <v>0</v>
      </c>
      <c r="O2505" s="8"/>
      <c r="P2505" s="9">
        <f t="shared" si="1315"/>
        <v>0</v>
      </c>
      <c r="Q2505" s="8"/>
      <c r="R2505" s="8"/>
      <c r="S2505" s="8"/>
      <c r="T2505" s="9"/>
      <c r="U2505" s="9">
        <f t="shared" si="1316"/>
        <v>0</v>
      </c>
      <c r="V2505" s="9">
        <f t="shared" si="1317"/>
        <v>1543532.26</v>
      </c>
      <c r="W2505" s="9">
        <f t="shared" si="1318"/>
        <v>0</v>
      </c>
      <c r="X2505" s="9">
        <f t="shared" si="1319"/>
        <v>1543532.26</v>
      </c>
      <c r="Y2505" s="8"/>
      <c r="Z2505" s="9">
        <f t="shared" si="1320"/>
        <v>0</v>
      </c>
      <c r="AA2505" s="8">
        <f t="shared" si="1321"/>
        <v>1543532.26</v>
      </c>
      <c r="AB2505" s="8">
        <f t="shared" si="1322"/>
        <v>0</v>
      </c>
    </row>
    <row r="2506" spans="1:28" x14ac:dyDescent="0.3">
      <c r="A2506" s="64"/>
      <c r="B2506" s="8"/>
      <c r="C2506" s="8"/>
      <c r="D2506" s="8"/>
      <c r="E2506" s="17" t="s">
        <v>29</v>
      </c>
      <c r="F2506" s="17" t="s">
        <v>29</v>
      </c>
      <c r="G2506" s="17" t="s">
        <v>29</v>
      </c>
      <c r="H2506" s="17" t="s">
        <v>29</v>
      </c>
      <c r="I2506" s="17" t="s">
        <v>29</v>
      </c>
      <c r="J2506" s="17" t="s">
        <v>29</v>
      </c>
      <c r="K2506" s="17" t="s">
        <v>29</v>
      </c>
      <c r="L2506" s="17" t="s">
        <v>29</v>
      </c>
      <c r="M2506" s="17" t="s">
        <v>29</v>
      </c>
      <c r="N2506" s="17" t="s">
        <v>29</v>
      </c>
      <c r="O2506" s="17" t="s">
        <v>29</v>
      </c>
      <c r="P2506" s="17" t="s">
        <v>29</v>
      </c>
      <c r="Q2506" s="17" t="s">
        <v>29</v>
      </c>
      <c r="R2506" s="17" t="s">
        <v>29</v>
      </c>
      <c r="S2506" s="17" t="s">
        <v>29</v>
      </c>
      <c r="T2506" s="17" t="s">
        <v>29</v>
      </c>
      <c r="U2506" s="17" t="s">
        <v>29</v>
      </c>
      <c r="V2506" s="17" t="s">
        <v>29</v>
      </c>
      <c r="W2506" s="17" t="s">
        <v>29</v>
      </c>
      <c r="X2506" s="17" t="s">
        <v>29</v>
      </c>
      <c r="Y2506" s="17" t="s">
        <v>29</v>
      </c>
      <c r="Z2506" s="17" t="s">
        <v>29</v>
      </c>
      <c r="AA2506" s="17" t="s">
        <v>29</v>
      </c>
      <c r="AB2506" s="17" t="s">
        <v>29</v>
      </c>
    </row>
    <row r="2507" spans="1:28" x14ac:dyDescent="0.3">
      <c r="A2507" s="64"/>
      <c r="B2507" s="8"/>
      <c r="C2507" s="8"/>
      <c r="D2507" s="8"/>
      <c r="E2507" s="9">
        <f t="shared" ref="E2507:AB2507" si="1323">SUM(E2499:E2505)</f>
        <v>12055891.220000001</v>
      </c>
      <c r="F2507" s="9">
        <f t="shared" si="1323"/>
        <v>11484950.220000001</v>
      </c>
      <c r="G2507" s="9">
        <f t="shared" si="1323"/>
        <v>0</v>
      </c>
      <c r="H2507" s="9">
        <f t="shared" si="1323"/>
        <v>11484950.220000001</v>
      </c>
      <c r="I2507" s="9">
        <f t="shared" si="1323"/>
        <v>0</v>
      </c>
      <c r="J2507" s="9">
        <f t="shared" si="1323"/>
        <v>0</v>
      </c>
      <c r="K2507" s="9">
        <f t="shared" si="1323"/>
        <v>0</v>
      </c>
      <c r="L2507" s="9">
        <f t="shared" si="1323"/>
        <v>0</v>
      </c>
      <c r="M2507" s="9">
        <f t="shared" si="1323"/>
        <v>11484950.220000001</v>
      </c>
      <c r="N2507" s="9">
        <f t="shared" si="1323"/>
        <v>570941</v>
      </c>
      <c r="O2507" s="9">
        <f t="shared" si="1323"/>
        <v>0</v>
      </c>
      <c r="P2507" s="9">
        <f t="shared" si="1323"/>
        <v>570941</v>
      </c>
      <c r="Q2507" s="9">
        <f t="shared" si="1323"/>
        <v>0</v>
      </c>
      <c r="R2507" s="9">
        <f t="shared" si="1323"/>
        <v>0</v>
      </c>
      <c r="S2507" s="9">
        <f t="shared" si="1323"/>
        <v>0</v>
      </c>
      <c r="T2507" s="9">
        <f t="shared" si="1323"/>
        <v>0</v>
      </c>
      <c r="U2507" s="9">
        <f t="shared" si="1323"/>
        <v>570941</v>
      </c>
      <c r="V2507" s="9">
        <f t="shared" si="1323"/>
        <v>12055891.220000001</v>
      </c>
      <c r="W2507" s="9">
        <f t="shared" si="1323"/>
        <v>0</v>
      </c>
      <c r="X2507" s="9">
        <f t="shared" si="1323"/>
        <v>12055891.220000001</v>
      </c>
      <c r="Y2507" s="9">
        <f t="shared" si="1323"/>
        <v>0</v>
      </c>
      <c r="Z2507" s="9">
        <f t="shared" si="1323"/>
        <v>0</v>
      </c>
      <c r="AA2507" s="9">
        <f t="shared" si="1323"/>
        <v>12055891.220000001</v>
      </c>
      <c r="AB2507" s="9">
        <f t="shared" si="1323"/>
        <v>0</v>
      </c>
    </row>
    <row r="2508" spans="1:28" x14ac:dyDescent="0.3">
      <c r="A2508" s="64"/>
      <c r="B2508" s="8"/>
      <c r="C2508" s="8"/>
      <c r="D2508" s="8"/>
      <c r="E2508" s="17" t="s">
        <v>29</v>
      </c>
      <c r="F2508" s="17" t="s">
        <v>29</v>
      </c>
      <c r="G2508" s="17" t="s">
        <v>29</v>
      </c>
      <c r="H2508" s="17" t="s">
        <v>29</v>
      </c>
      <c r="I2508" s="17" t="s">
        <v>29</v>
      </c>
      <c r="J2508" s="17" t="s">
        <v>29</v>
      </c>
      <c r="K2508" s="17" t="s">
        <v>29</v>
      </c>
      <c r="L2508" s="17" t="s">
        <v>29</v>
      </c>
      <c r="M2508" s="17" t="s">
        <v>29</v>
      </c>
      <c r="N2508" s="17" t="s">
        <v>29</v>
      </c>
      <c r="O2508" s="17" t="s">
        <v>29</v>
      </c>
      <c r="P2508" s="17" t="s">
        <v>29</v>
      </c>
      <c r="Q2508" s="17" t="s">
        <v>29</v>
      </c>
      <c r="R2508" s="17" t="s">
        <v>29</v>
      </c>
      <c r="S2508" s="17" t="s">
        <v>29</v>
      </c>
      <c r="T2508" s="17" t="s">
        <v>29</v>
      </c>
      <c r="U2508" s="17" t="s">
        <v>29</v>
      </c>
      <c r="V2508" s="17" t="s">
        <v>29</v>
      </c>
      <c r="W2508" s="17" t="s">
        <v>29</v>
      </c>
      <c r="X2508" s="17" t="s">
        <v>29</v>
      </c>
      <c r="Y2508" s="17" t="s">
        <v>29</v>
      </c>
      <c r="Z2508" s="17" t="s">
        <v>29</v>
      </c>
      <c r="AA2508" s="17" t="s">
        <v>29</v>
      </c>
      <c r="AB2508" s="17" t="s">
        <v>29</v>
      </c>
    </row>
    <row r="2509" spans="1:28" x14ac:dyDescent="0.3">
      <c r="A2509" s="63" t="s">
        <v>1045</v>
      </c>
      <c r="B2509" s="7" t="s">
        <v>407</v>
      </c>
      <c r="C2509" s="8"/>
      <c r="D2509" s="8"/>
      <c r="E2509" s="8"/>
      <c r="F2509" s="8"/>
      <c r="G2509" s="8"/>
      <c r="H2509" s="8"/>
      <c r="I2509" s="8"/>
      <c r="J2509" s="8"/>
      <c r="K2509" s="8"/>
      <c r="L2509" s="8"/>
      <c r="M2509" s="8"/>
      <c r="N2509" s="8"/>
      <c r="O2509" s="8"/>
      <c r="P2509" s="8"/>
      <c r="Q2509" s="8"/>
      <c r="R2509" s="8"/>
      <c r="S2509" s="8"/>
      <c r="T2509" s="8"/>
      <c r="U2509" s="8"/>
      <c r="V2509" s="8"/>
      <c r="W2509" s="8"/>
      <c r="X2509" s="8"/>
      <c r="Y2509" s="8"/>
      <c r="Z2509" s="8"/>
    </row>
    <row r="2510" spans="1:28" x14ac:dyDescent="0.3">
      <c r="A2510" s="64"/>
      <c r="B2510" s="8"/>
      <c r="C2510" s="7" t="s">
        <v>397</v>
      </c>
      <c r="D2510" s="15" t="s">
        <v>408</v>
      </c>
      <c r="E2510" s="9">
        <v>4674976.6500000004</v>
      </c>
      <c r="F2510" s="9">
        <v>4674976.6500000004</v>
      </c>
      <c r="G2510" s="8"/>
      <c r="H2510" s="9">
        <f t="shared" ref="H2510:H2521" si="1324">F2510+G2510</f>
        <v>4674976.6500000004</v>
      </c>
      <c r="I2510" s="8"/>
      <c r="J2510" s="8"/>
      <c r="K2510" s="8"/>
      <c r="L2510" s="9"/>
      <c r="M2510" s="9">
        <f t="shared" ref="M2510:M2521" si="1325">H2510+L2510</f>
        <v>4674976.6500000004</v>
      </c>
      <c r="N2510" s="9">
        <v>0</v>
      </c>
      <c r="O2510" s="8"/>
      <c r="P2510" s="9">
        <f t="shared" ref="P2510:P2521" si="1326">N2510+O2510</f>
        <v>0</v>
      </c>
      <c r="Q2510" s="8"/>
      <c r="R2510" s="8"/>
      <c r="S2510" s="8"/>
      <c r="T2510" s="9"/>
      <c r="U2510" s="9">
        <f t="shared" ref="U2510:U2521" si="1327">P2510+T2510</f>
        <v>0</v>
      </c>
      <c r="V2510" s="9">
        <f t="shared" ref="V2510:V2521" si="1328">P2510+H2510</f>
        <v>4674976.6500000004</v>
      </c>
      <c r="W2510" s="9">
        <f t="shared" ref="W2510:W2521" si="1329">E2510-V2510</f>
        <v>0</v>
      </c>
      <c r="X2510" s="9">
        <f t="shared" ref="X2510:X2521" si="1330">+H2510+P2510</f>
        <v>4674976.6500000004</v>
      </c>
      <c r="Y2510" s="8"/>
      <c r="Z2510" s="9">
        <f t="shared" ref="Z2510:Z2521" si="1331">+E2510-X2510</f>
        <v>0</v>
      </c>
      <c r="AA2510" s="8">
        <f t="shared" ref="AA2510:AA2521" si="1332">+M2510+U2510</f>
        <v>4674976.6500000004</v>
      </c>
      <c r="AB2510" s="8">
        <f t="shared" ref="AB2510:AB2521" si="1333">+E2510-AA2510</f>
        <v>0</v>
      </c>
    </row>
    <row r="2511" spans="1:28" x14ac:dyDescent="0.3">
      <c r="A2511" s="64"/>
      <c r="B2511" s="8"/>
      <c r="C2511" s="7" t="s">
        <v>57</v>
      </c>
      <c r="D2511" s="15" t="s">
        <v>68</v>
      </c>
      <c r="E2511" s="9">
        <v>1943379.26</v>
      </c>
      <c r="F2511" s="9">
        <v>905741.34</v>
      </c>
      <c r="G2511" s="8"/>
      <c r="H2511" s="9">
        <f t="shared" si="1324"/>
        <v>905741.34</v>
      </c>
      <c r="I2511" s="8"/>
      <c r="J2511" s="8"/>
      <c r="K2511" s="8"/>
      <c r="L2511" s="9"/>
      <c r="M2511" s="9">
        <f t="shared" si="1325"/>
        <v>905741.34</v>
      </c>
      <c r="N2511" s="9">
        <v>1037637.92</v>
      </c>
      <c r="O2511" s="8"/>
      <c r="P2511" s="9">
        <f t="shared" si="1326"/>
        <v>1037637.92</v>
      </c>
      <c r="Q2511" s="8"/>
      <c r="R2511" s="8"/>
      <c r="S2511" s="8"/>
      <c r="T2511" s="9"/>
      <c r="U2511" s="9">
        <f t="shared" si="1327"/>
        <v>1037637.92</v>
      </c>
      <c r="V2511" s="9">
        <f t="shared" si="1328"/>
        <v>1943379.26</v>
      </c>
      <c r="W2511" s="9">
        <f t="shared" si="1329"/>
        <v>0</v>
      </c>
      <c r="X2511" s="9">
        <f t="shared" si="1330"/>
        <v>1943379.26</v>
      </c>
      <c r="Y2511" s="8"/>
      <c r="Z2511" s="9">
        <f t="shared" si="1331"/>
        <v>0</v>
      </c>
      <c r="AA2511" s="8">
        <f t="shared" si="1332"/>
        <v>1943379.26</v>
      </c>
      <c r="AB2511" s="8">
        <f t="shared" si="1333"/>
        <v>0</v>
      </c>
    </row>
    <row r="2512" spans="1:28" x14ac:dyDescent="0.3">
      <c r="A2512" s="64"/>
      <c r="B2512" s="8"/>
      <c r="C2512" s="7" t="s">
        <v>57</v>
      </c>
      <c r="D2512" s="15" t="s">
        <v>85</v>
      </c>
      <c r="E2512" s="9">
        <v>920700</v>
      </c>
      <c r="F2512" s="9">
        <v>920700</v>
      </c>
      <c r="G2512" s="8"/>
      <c r="H2512" s="9">
        <f t="shared" si="1324"/>
        <v>920700</v>
      </c>
      <c r="I2512" s="8"/>
      <c r="J2512" s="8"/>
      <c r="K2512" s="8"/>
      <c r="L2512" s="9"/>
      <c r="M2512" s="9">
        <f t="shared" si="1325"/>
        <v>920700</v>
      </c>
      <c r="N2512" s="9">
        <v>0</v>
      </c>
      <c r="O2512" s="8"/>
      <c r="P2512" s="9">
        <f t="shared" si="1326"/>
        <v>0</v>
      </c>
      <c r="Q2512" s="8"/>
      <c r="R2512" s="8"/>
      <c r="S2512" s="8"/>
      <c r="T2512" s="9"/>
      <c r="U2512" s="9">
        <f t="shared" si="1327"/>
        <v>0</v>
      </c>
      <c r="V2512" s="9">
        <f t="shared" si="1328"/>
        <v>920700</v>
      </c>
      <c r="W2512" s="9">
        <f t="shared" si="1329"/>
        <v>0</v>
      </c>
      <c r="X2512" s="9">
        <f t="shared" si="1330"/>
        <v>920700</v>
      </c>
      <c r="Y2512" s="8"/>
      <c r="Z2512" s="9">
        <f t="shared" si="1331"/>
        <v>0</v>
      </c>
      <c r="AA2512" s="8">
        <f t="shared" si="1332"/>
        <v>920700</v>
      </c>
      <c r="AB2512" s="8">
        <f t="shared" si="1333"/>
        <v>0</v>
      </c>
    </row>
    <row r="2513" spans="1:28" x14ac:dyDescent="0.3">
      <c r="A2513" s="64"/>
      <c r="B2513" s="8"/>
      <c r="C2513" s="7" t="s">
        <v>53</v>
      </c>
      <c r="D2513" s="15" t="s">
        <v>128</v>
      </c>
      <c r="E2513" s="9">
        <v>570941</v>
      </c>
      <c r="F2513" s="9">
        <v>0</v>
      </c>
      <c r="G2513" s="8"/>
      <c r="H2513" s="9">
        <f t="shared" si="1324"/>
        <v>0</v>
      </c>
      <c r="I2513" s="8"/>
      <c r="J2513" s="8"/>
      <c r="K2513" s="8"/>
      <c r="L2513" s="9"/>
      <c r="M2513" s="9">
        <f t="shared" si="1325"/>
        <v>0</v>
      </c>
      <c r="N2513" s="9">
        <v>570941</v>
      </c>
      <c r="O2513" s="8"/>
      <c r="P2513" s="9">
        <f t="shared" si="1326"/>
        <v>570941</v>
      </c>
      <c r="Q2513" s="8"/>
      <c r="R2513" s="8"/>
      <c r="S2513" s="8"/>
      <c r="T2513" s="9"/>
      <c r="U2513" s="9">
        <f t="shared" si="1327"/>
        <v>570941</v>
      </c>
      <c r="V2513" s="9">
        <f t="shared" si="1328"/>
        <v>570941</v>
      </c>
      <c r="W2513" s="9">
        <f t="shared" si="1329"/>
        <v>0</v>
      </c>
      <c r="X2513" s="9">
        <f t="shared" si="1330"/>
        <v>570941</v>
      </c>
      <c r="Y2513" s="8"/>
      <c r="Z2513" s="9">
        <f t="shared" si="1331"/>
        <v>0</v>
      </c>
      <c r="AA2513" s="8">
        <f t="shared" si="1332"/>
        <v>570941</v>
      </c>
      <c r="AB2513" s="8">
        <f t="shared" si="1333"/>
        <v>0</v>
      </c>
    </row>
    <row r="2514" spans="1:28" x14ac:dyDescent="0.3">
      <c r="A2514" s="64"/>
      <c r="B2514" s="8"/>
      <c r="C2514" s="7" t="s">
        <v>57</v>
      </c>
      <c r="D2514" s="15" t="s">
        <v>108</v>
      </c>
      <c r="E2514" s="9">
        <v>2608000</v>
      </c>
      <c r="F2514" s="9">
        <v>2608000</v>
      </c>
      <c r="G2514" s="8"/>
      <c r="H2514" s="9">
        <f t="shared" si="1324"/>
        <v>2608000</v>
      </c>
      <c r="I2514" s="8"/>
      <c r="J2514" s="8"/>
      <c r="K2514" s="8"/>
      <c r="L2514" s="9"/>
      <c r="M2514" s="9">
        <f t="shared" si="1325"/>
        <v>2608000</v>
      </c>
      <c r="N2514" s="9">
        <v>0</v>
      </c>
      <c r="O2514" s="8"/>
      <c r="P2514" s="9">
        <f t="shared" si="1326"/>
        <v>0</v>
      </c>
      <c r="Q2514" s="8"/>
      <c r="R2514" s="8"/>
      <c r="S2514" s="8"/>
      <c r="T2514" s="9"/>
      <c r="U2514" s="9">
        <f t="shared" si="1327"/>
        <v>0</v>
      </c>
      <c r="V2514" s="9">
        <f t="shared" si="1328"/>
        <v>2608000</v>
      </c>
      <c r="W2514" s="9">
        <f t="shared" si="1329"/>
        <v>0</v>
      </c>
      <c r="X2514" s="9">
        <f t="shared" si="1330"/>
        <v>2608000</v>
      </c>
      <c r="Y2514" s="8"/>
      <c r="Z2514" s="9">
        <f t="shared" si="1331"/>
        <v>0</v>
      </c>
      <c r="AA2514" s="8">
        <f t="shared" si="1332"/>
        <v>2608000</v>
      </c>
      <c r="AB2514" s="8">
        <f t="shared" si="1333"/>
        <v>0</v>
      </c>
    </row>
    <row r="2515" spans="1:28" x14ac:dyDescent="0.3">
      <c r="A2515" s="64"/>
      <c r="B2515" s="8"/>
      <c r="C2515" s="7" t="s">
        <v>57</v>
      </c>
      <c r="D2515" s="15" t="s">
        <v>60</v>
      </c>
      <c r="E2515" s="9">
        <f>1776020+1076675</f>
        <v>2852695</v>
      </c>
      <c r="F2515" s="11">
        <f>1776020+1076675</f>
        <v>2852695</v>
      </c>
      <c r="G2515" s="8"/>
      <c r="H2515" s="9">
        <f t="shared" si="1324"/>
        <v>2852695</v>
      </c>
      <c r="I2515" s="8"/>
      <c r="J2515" s="8"/>
      <c r="K2515" s="8"/>
      <c r="L2515" s="9"/>
      <c r="M2515" s="9">
        <f t="shared" si="1325"/>
        <v>2852695</v>
      </c>
      <c r="N2515" s="9">
        <v>0</v>
      </c>
      <c r="O2515" s="8"/>
      <c r="P2515" s="9">
        <f t="shared" si="1326"/>
        <v>0</v>
      </c>
      <c r="Q2515" s="8"/>
      <c r="R2515" s="8"/>
      <c r="S2515" s="8"/>
      <c r="T2515" s="9"/>
      <c r="U2515" s="9">
        <f t="shared" si="1327"/>
        <v>0</v>
      </c>
      <c r="V2515" s="9">
        <f t="shared" si="1328"/>
        <v>2852695</v>
      </c>
      <c r="W2515" s="9">
        <f t="shared" si="1329"/>
        <v>0</v>
      </c>
      <c r="X2515" s="9">
        <f t="shared" si="1330"/>
        <v>2852695</v>
      </c>
      <c r="Y2515" s="8"/>
      <c r="Z2515" s="9">
        <f t="shared" si="1331"/>
        <v>0</v>
      </c>
      <c r="AA2515" s="8">
        <f t="shared" si="1332"/>
        <v>2852695</v>
      </c>
      <c r="AB2515" s="8">
        <f t="shared" si="1333"/>
        <v>0</v>
      </c>
    </row>
    <row r="2516" spans="1:28" x14ac:dyDescent="0.3">
      <c r="A2516" s="64"/>
      <c r="B2516" s="8"/>
      <c r="C2516" s="7" t="s">
        <v>57</v>
      </c>
      <c r="D2516" s="15" t="s">
        <v>73</v>
      </c>
      <c r="E2516" s="9">
        <v>915151</v>
      </c>
      <c r="F2516" s="11">
        <v>915151</v>
      </c>
      <c r="G2516" s="8"/>
      <c r="H2516" s="9">
        <f t="shared" si="1324"/>
        <v>915151</v>
      </c>
      <c r="I2516" s="8"/>
      <c r="J2516" s="8"/>
      <c r="K2516" s="8"/>
      <c r="L2516" s="9"/>
      <c r="M2516" s="9">
        <f t="shared" si="1325"/>
        <v>915151</v>
      </c>
      <c r="N2516" s="9">
        <v>0</v>
      </c>
      <c r="O2516" s="8"/>
      <c r="P2516" s="9">
        <f t="shared" si="1326"/>
        <v>0</v>
      </c>
      <c r="Q2516" s="8"/>
      <c r="R2516" s="8"/>
      <c r="S2516" s="8"/>
      <c r="T2516" s="9"/>
      <c r="U2516" s="9">
        <f t="shared" si="1327"/>
        <v>0</v>
      </c>
      <c r="V2516" s="9">
        <f t="shared" si="1328"/>
        <v>915151</v>
      </c>
      <c r="W2516" s="9">
        <f t="shared" si="1329"/>
        <v>0</v>
      </c>
      <c r="X2516" s="9">
        <f t="shared" si="1330"/>
        <v>915151</v>
      </c>
      <c r="Y2516" s="8"/>
      <c r="Z2516" s="9">
        <f t="shared" si="1331"/>
        <v>0</v>
      </c>
      <c r="AA2516" s="8">
        <f t="shared" si="1332"/>
        <v>915151</v>
      </c>
      <c r="AB2516" s="8">
        <f t="shared" si="1333"/>
        <v>0</v>
      </c>
    </row>
    <row r="2517" spans="1:28" x14ac:dyDescent="0.3">
      <c r="A2517" s="64"/>
      <c r="B2517" s="8"/>
      <c r="C2517" s="7" t="s">
        <v>57</v>
      </c>
      <c r="D2517" s="16" t="s">
        <v>61</v>
      </c>
      <c r="E2517" s="9">
        <v>362708</v>
      </c>
      <c r="F2517" s="8">
        <v>362708</v>
      </c>
      <c r="G2517" s="8"/>
      <c r="H2517" s="9">
        <f t="shared" si="1324"/>
        <v>362708</v>
      </c>
      <c r="I2517" s="8"/>
      <c r="J2517" s="8"/>
      <c r="K2517" s="8"/>
      <c r="L2517" s="9"/>
      <c r="M2517" s="9">
        <f t="shared" si="1325"/>
        <v>362708</v>
      </c>
      <c r="N2517" s="9">
        <v>0</v>
      </c>
      <c r="O2517" s="8"/>
      <c r="P2517" s="9">
        <f t="shared" si="1326"/>
        <v>0</v>
      </c>
      <c r="Q2517" s="8"/>
      <c r="R2517" s="8"/>
      <c r="S2517" s="8"/>
      <c r="T2517" s="9"/>
      <c r="U2517" s="9">
        <f t="shared" si="1327"/>
        <v>0</v>
      </c>
      <c r="V2517" s="9">
        <f t="shared" si="1328"/>
        <v>362708</v>
      </c>
      <c r="W2517" s="9">
        <f t="shared" si="1329"/>
        <v>0</v>
      </c>
      <c r="X2517" s="9">
        <f t="shared" si="1330"/>
        <v>362708</v>
      </c>
      <c r="Y2517" s="8"/>
      <c r="Z2517" s="9">
        <f t="shared" si="1331"/>
        <v>0</v>
      </c>
      <c r="AA2517" s="8">
        <f t="shared" si="1332"/>
        <v>362708</v>
      </c>
      <c r="AB2517" s="8">
        <f t="shared" si="1333"/>
        <v>0</v>
      </c>
    </row>
    <row r="2518" spans="1:28" x14ac:dyDescent="0.3">
      <c r="A2518" s="64"/>
      <c r="B2518" s="8"/>
      <c r="C2518" s="7" t="s">
        <v>924</v>
      </c>
      <c r="D2518" s="16" t="s">
        <v>1072</v>
      </c>
      <c r="E2518" s="9">
        <v>2400000</v>
      </c>
      <c r="F2518" s="8">
        <v>2400000</v>
      </c>
      <c r="G2518" s="8"/>
      <c r="H2518" s="9">
        <f>+F2518+G2518</f>
        <v>2400000</v>
      </c>
      <c r="I2518" s="8"/>
      <c r="J2518" s="8"/>
      <c r="K2518" s="8"/>
      <c r="L2518" s="9"/>
      <c r="M2518" s="9">
        <f>+H2518+L2518</f>
        <v>2400000</v>
      </c>
      <c r="N2518" s="9">
        <v>0</v>
      </c>
      <c r="O2518" s="8"/>
      <c r="P2518" s="9">
        <f>+N2518+O2518</f>
        <v>0</v>
      </c>
      <c r="Q2518" s="8"/>
      <c r="R2518" s="8"/>
      <c r="S2518" s="8"/>
      <c r="T2518" s="9"/>
      <c r="U2518" s="9">
        <f>P2518+T2518</f>
        <v>0</v>
      </c>
      <c r="V2518" s="9">
        <f>P2518+H2518</f>
        <v>2400000</v>
      </c>
      <c r="W2518" s="9">
        <f>E2518-V2518</f>
        <v>0</v>
      </c>
      <c r="X2518" s="9">
        <f t="shared" si="1330"/>
        <v>2400000</v>
      </c>
      <c r="Y2518" s="8"/>
      <c r="Z2518" s="9">
        <f t="shared" si="1331"/>
        <v>0</v>
      </c>
      <c r="AA2518" s="8">
        <f t="shared" si="1332"/>
        <v>2400000</v>
      </c>
      <c r="AB2518" s="8">
        <f t="shared" si="1333"/>
        <v>0</v>
      </c>
    </row>
    <row r="2519" spans="1:28" x14ac:dyDescent="0.3">
      <c r="A2519" s="64"/>
      <c r="B2519" s="8"/>
      <c r="C2519" s="7" t="s">
        <v>930</v>
      </c>
      <c r="D2519" s="16"/>
      <c r="E2519" s="9">
        <v>3465000</v>
      </c>
      <c r="F2519" s="8">
        <v>3465000</v>
      </c>
      <c r="G2519" s="8"/>
      <c r="H2519" s="9">
        <f>+F2519+G2519</f>
        <v>3465000</v>
      </c>
      <c r="I2519" s="8"/>
      <c r="J2519" s="8"/>
      <c r="K2519" s="8"/>
      <c r="L2519" s="9"/>
      <c r="M2519" s="9">
        <f>+H2519+L2519</f>
        <v>3465000</v>
      </c>
      <c r="N2519" s="9">
        <v>0</v>
      </c>
      <c r="O2519" s="8"/>
      <c r="P2519" s="9">
        <f>+N2519+O2519</f>
        <v>0</v>
      </c>
      <c r="Q2519" s="8"/>
      <c r="R2519" s="8"/>
      <c r="S2519" s="8"/>
      <c r="T2519" s="9"/>
      <c r="U2519" s="9">
        <f>P2519+T2519</f>
        <v>0</v>
      </c>
      <c r="V2519" s="9">
        <f>P2519+H2519</f>
        <v>3465000</v>
      </c>
      <c r="W2519" s="9">
        <f>E2519-V2519</f>
        <v>0</v>
      </c>
      <c r="X2519" s="9">
        <f t="shared" si="1330"/>
        <v>3465000</v>
      </c>
      <c r="Y2519" s="8"/>
      <c r="Z2519" s="9">
        <f t="shared" si="1331"/>
        <v>0</v>
      </c>
      <c r="AA2519" s="8">
        <f t="shared" si="1332"/>
        <v>3465000</v>
      </c>
      <c r="AB2519" s="8">
        <f t="shared" si="1333"/>
        <v>0</v>
      </c>
    </row>
    <row r="2520" spans="1:28" x14ac:dyDescent="0.3">
      <c r="A2520" s="64"/>
      <c r="B2520" s="8"/>
      <c r="C2520" s="7" t="s">
        <v>1176</v>
      </c>
      <c r="D2520" s="16" t="s">
        <v>1126</v>
      </c>
      <c r="E2520" s="9">
        <f>1730406.06+1718582.92</f>
        <v>3448988.98</v>
      </c>
      <c r="F2520" s="8">
        <f>1730406.06+1718582.92</f>
        <v>3448988.98</v>
      </c>
      <c r="G2520" s="8"/>
      <c r="H2520" s="9">
        <f>+F2520+G2520</f>
        <v>3448988.98</v>
      </c>
      <c r="I2520" s="8"/>
      <c r="J2520" s="8"/>
      <c r="K2520" s="8"/>
      <c r="L2520" s="9"/>
      <c r="M2520" s="9">
        <f>+H2520+L2520</f>
        <v>3448988.98</v>
      </c>
      <c r="N2520" s="9">
        <v>0</v>
      </c>
      <c r="O2520" s="8"/>
      <c r="P2520" s="9">
        <f>+N2520+O2520</f>
        <v>0</v>
      </c>
      <c r="Q2520" s="8"/>
      <c r="R2520" s="8"/>
      <c r="S2520" s="8"/>
      <c r="T2520" s="9"/>
      <c r="U2520" s="9">
        <f>+P2520+T2520</f>
        <v>0</v>
      </c>
      <c r="V2520" s="9"/>
      <c r="W2520" s="9"/>
      <c r="X2520" s="9">
        <f>+H2520+P2520</f>
        <v>3448988.98</v>
      </c>
      <c r="Y2520" s="8"/>
      <c r="Z2520" s="9">
        <f>+E2520-X2520</f>
        <v>0</v>
      </c>
      <c r="AA2520" s="8">
        <f>+M2520+U2520</f>
        <v>3448988.98</v>
      </c>
      <c r="AB2520" s="8">
        <f>+E2520-AA2520</f>
        <v>0</v>
      </c>
    </row>
    <row r="2521" spans="1:28" x14ac:dyDescent="0.3">
      <c r="A2521" s="64"/>
      <c r="B2521" s="8"/>
      <c r="C2521" s="7" t="s">
        <v>409</v>
      </c>
      <c r="D2521" s="8"/>
      <c r="E2521" s="9">
        <v>387875.27</v>
      </c>
      <c r="F2521" s="9">
        <v>387875.27</v>
      </c>
      <c r="G2521" s="8"/>
      <c r="H2521" s="9">
        <f t="shared" si="1324"/>
        <v>387875.27</v>
      </c>
      <c r="I2521" s="8"/>
      <c r="J2521" s="8"/>
      <c r="K2521" s="8"/>
      <c r="L2521" s="9"/>
      <c r="M2521" s="9">
        <f t="shared" si="1325"/>
        <v>387875.27</v>
      </c>
      <c r="N2521" s="9">
        <v>0</v>
      </c>
      <c r="O2521" s="8"/>
      <c r="P2521" s="9">
        <f t="shared" si="1326"/>
        <v>0</v>
      </c>
      <c r="Q2521" s="8"/>
      <c r="R2521" s="8"/>
      <c r="S2521" s="8"/>
      <c r="T2521" s="9"/>
      <c r="U2521" s="9">
        <f t="shared" si="1327"/>
        <v>0</v>
      </c>
      <c r="V2521" s="9">
        <f t="shared" si="1328"/>
        <v>387875.27</v>
      </c>
      <c r="W2521" s="9">
        <f t="shared" si="1329"/>
        <v>0</v>
      </c>
      <c r="X2521" s="9">
        <f t="shared" si="1330"/>
        <v>387875.27</v>
      </c>
      <c r="Y2521" s="8"/>
      <c r="Z2521" s="9">
        <f t="shared" si="1331"/>
        <v>0</v>
      </c>
      <c r="AA2521" s="8">
        <f t="shared" si="1332"/>
        <v>387875.27</v>
      </c>
      <c r="AB2521" s="8">
        <f t="shared" si="1333"/>
        <v>0</v>
      </c>
    </row>
    <row r="2522" spans="1:28" x14ac:dyDescent="0.3">
      <c r="A2522" s="64"/>
      <c r="B2522" s="8"/>
      <c r="C2522" s="8"/>
      <c r="D2522" s="8"/>
      <c r="E2522" s="17" t="s">
        <v>29</v>
      </c>
      <c r="F2522" s="17" t="s">
        <v>29</v>
      </c>
      <c r="G2522" s="17" t="s">
        <v>29</v>
      </c>
      <c r="H2522" s="17" t="s">
        <v>29</v>
      </c>
      <c r="I2522" s="17" t="s">
        <v>29</v>
      </c>
      <c r="J2522" s="17" t="s">
        <v>29</v>
      </c>
      <c r="K2522" s="17" t="s">
        <v>29</v>
      </c>
      <c r="L2522" s="17" t="s">
        <v>29</v>
      </c>
      <c r="M2522" s="17" t="s">
        <v>29</v>
      </c>
      <c r="N2522" s="17" t="s">
        <v>29</v>
      </c>
      <c r="O2522" s="17" t="s">
        <v>29</v>
      </c>
      <c r="P2522" s="17" t="s">
        <v>29</v>
      </c>
      <c r="Q2522" s="17" t="s">
        <v>29</v>
      </c>
      <c r="R2522" s="17" t="s">
        <v>29</v>
      </c>
      <c r="S2522" s="17" t="s">
        <v>29</v>
      </c>
      <c r="T2522" s="17" t="s">
        <v>29</v>
      </c>
      <c r="U2522" s="17" t="s">
        <v>29</v>
      </c>
      <c r="V2522" s="17" t="s">
        <v>29</v>
      </c>
      <c r="W2522" s="17" t="s">
        <v>29</v>
      </c>
      <c r="X2522" s="17" t="s">
        <v>29</v>
      </c>
      <c r="Y2522" s="17" t="s">
        <v>29</v>
      </c>
      <c r="Z2522" s="17" t="s">
        <v>29</v>
      </c>
      <c r="AA2522" s="17" t="s">
        <v>29</v>
      </c>
      <c r="AB2522" s="17" t="s">
        <v>29</v>
      </c>
    </row>
    <row r="2523" spans="1:28" x14ac:dyDescent="0.3">
      <c r="A2523" s="64"/>
      <c r="B2523" s="8"/>
      <c r="C2523" s="8"/>
      <c r="D2523" s="8"/>
      <c r="E2523" s="9">
        <f t="shared" ref="E2523:AB2523" si="1334">SUM(E2510:E2521)</f>
        <v>24550415.16</v>
      </c>
      <c r="F2523" s="9">
        <f t="shared" si="1334"/>
        <v>22941836.240000002</v>
      </c>
      <c r="G2523" s="9">
        <f t="shared" si="1334"/>
        <v>0</v>
      </c>
      <c r="H2523" s="9">
        <f t="shared" si="1334"/>
        <v>22941836.240000002</v>
      </c>
      <c r="I2523" s="9">
        <f t="shared" si="1334"/>
        <v>0</v>
      </c>
      <c r="J2523" s="9">
        <f t="shared" si="1334"/>
        <v>0</v>
      </c>
      <c r="K2523" s="9">
        <f t="shared" si="1334"/>
        <v>0</v>
      </c>
      <c r="L2523" s="9">
        <f t="shared" si="1334"/>
        <v>0</v>
      </c>
      <c r="M2523" s="9">
        <f t="shared" si="1334"/>
        <v>22941836.240000002</v>
      </c>
      <c r="N2523" s="9">
        <f t="shared" si="1334"/>
        <v>1608578.92</v>
      </c>
      <c r="O2523" s="9">
        <f t="shared" si="1334"/>
        <v>0</v>
      </c>
      <c r="P2523" s="9">
        <f t="shared" si="1334"/>
        <v>1608578.92</v>
      </c>
      <c r="Q2523" s="9">
        <f t="shared" si="1334"/>
        <v>0</v>
      </c>
      <c r="R2523" s="9">
        <f t="shared" si="1334"/>
        <v>0</v>
      </c>
      <c r="S2523" s="9">
        <f t="shared" si="1334"/>
        <v>0</v>
      </c>
      <c r="T2523" s="9">
        <f t="shared" si="1334"/>
        <v>0</v>
      </c>
      <c r="U2523" s="9">
        <f t="shared" si="1334"/>
        <v>1608578.92</v>
      </c>
      <c r="V2523" s="9">
        <f t="shared" si="1334"/>
        <v>21101426.18</v>
      </c>
      <c r="W2523" s="9">
        <f t="shared" si="1334"/>
        <v>0</v>
      </c>
      <c r="X2523" s="9">
        <f t="shared" si="1334"/>
        <v>24550415.16</v>
      </c>
      <c r="Y2523" s="9">
        <f t="shared" si="1334"/>
        <v>0</v>
      </c>
      <c r="Z2523" s="9">
        <f t="shared" si="1334"/>
        <v>0</v>
      </c>
      <c r="AA2523" s="9">
        <f t="shared" si="1334"/>
        <v>24550415.16</v>
      </c>
      <c r="AB2523" s="9">
        <f t="shared" si="1334"/>
        <v>0</v>
      </c>
    </row>
    <row r="2524" spans="1:28" x14ac:dyDescent="0.3">
      <c r="A2524" s="64"/>
      <c r="B2524" s="8"/>
      <c r="C2524" s="8"/>
      <c r="D2524" s="8"/>
      <c r="E2524" s="17" t="s">
        <v>29</v>
      </c>
      <c r="F2524" s="17" t="s">
        <v>29</v>
      </c>
      <c r="G2524" s="17" t="s">
        <v>29</v>
      </c>
      <c r="H2524" s="17" t="s">
        <v>29</v>
      </c>
      <c r="I2524" s="17" t="s">
        <v>29</v>
      </c>
      <c r="J2524" s="17" t="s">
        <v>29</v>
      </c>
      <c r="K2524" s="17" t="s">
        <v>29</v>
      </c>
      <c r="L2524" s="17" t="s">
        <v>29</v>
      </c>
      <c r="M2524" s="17" t="s">
        <v>29</v>
      </c>
      <c r="N2524" s="17" t="s">
        <v>29</v>
      </c>
      <c r="O2524" s="17" t="s">
        <v>29</v>
      </c>
      <c r="P2524" s="17" t="s">
        <v>29</v>
      </c>
      <c r="Q2524" s="17" t="s">
        <v>29</v>
      </c>
      <c r="R2524" s="17" t="s">
        <v>29</v>
      </c>
      <c r="S2524" s="17" t="s">
        <v>29</v>
      </c>
      <c r="T2524" s="17" t="s">
        <v>29</v>
      </c>
      <c r="U2524" s="17" t="s">
        <v>29</v>
      </c>
      <c r="V2524" s="17" t="s">
        <v>29</v>
      </c>
      <c r="W2524" s="17" t="s">
        <v>29</v>
      </c>
      <c r="X2524" s="17" t="s">
        <v>29</v>
      </c>
      <c r="Y2524" s="17" t="s">
        <v>29</v>
      </c>
      <c r="Z2524" s="17" t="s">
        <v>29</v>
      </c>
      <c r="AA2524" s="17" t="s">
        <v>29</v>
      </c>
      <c r="AB2524" s="17" t="s">
        <v>29</v>
      </c>
    </row>
    <row r="2525" spans="1:28" x14ac:dyDescent="0.3">
      <c r="A2525" s="63" t="s">
        <v>1046</v>
      </c>
      <c r="B2525" s="14" t="s">
        <v>410</v>
      </c>
      <c r="C2525" s="8"/>
      <c r="D2525" s="14" t="s">
        <v>411</v>
      </c>
      <c r="E2525" s="8"/>
      <c r="F2525" s="8"/>
      <c r="G2525" s="8"/>
      <c r="H2525" s="8"/>
      <c r="I2525" s="8"/>
      <c r="J2525" s="8"/>
      <c r="K2525" s="8"/>
      <c r="L2525" s="9"/>
      <c r="M2525" s="9"/>
      <c r="N2525" s="8"/>
      <c r="O2525" s="8"/>
      <c r="P2525" s="8"/>
      <c r="Q2525" s="8"/>
      <c r="R2525" s="8"/>
      <c r="S2525" s="8"/>
      <c r="T2525" s="8"/>
      <c r="U2525" s="8"/>
      <c r="V2525" s="8"/>
      <c r="W2525" s="8"/>
      <c r="X2525" s="8"/>
      <c r="Y2525" s="8"/>
      <c r="Z2525" s="8"/>
    </row>
    <row r="2526" spans="1:28" x14ac:dyDescent="0.3">
      <c r="A2526" s="64"/>
      <c r="B2526" s="8"/>
      <c r="C2526" s="14" t="s">
        <v>143</v>
      </c>
      <c r="D2526" s="14" t="s">
        <v>412</v>
      </c>
      <c r="E2526" s="11">
        <f>4110006.39+1494350+1165000+2116800+2569000+2407650+10705506+7319432.78</f>
        <v>31887745.170000002</v>
      </c>
      <c r="F2526" s="11">
        <f>2430960+1494350+1165000+2116800+2569000+2407650+10705506+7319432.78</f>
        <v>30208698.780000001</v>
      </c>
      <c r="G2526" s="8"/>
      <c r="H2526" s="9">
        <f t="shared" ref="H2526:H2541" si="1335">F2526+G2526</f>
        <v>30208698.780000001</v>
      </c>
      <c r="I2526" s="8"/>
      <c r="J2526" s="8"/>
      <c r="K2526" s="8"/>
      <c r="L2526" s="9"/>
      <c r="M2526" s="9">
        <f t="shared" ref="M2526:M2541" si="1336">H2526+L2526</f>
        <v>30208698.780000001</v>
      </c>
      <c r="N2526" s="11">
        <v>1679046.39</v>
      </c>
      <c r="O2526" s="8"/>
      <c r="P2526" s="9">
        <f t="shared" ref="P2526:P2541" si="1337">N2526+O2526</f>
        <v>1679046.39</v>
      </c>
      <c r="Q2526" s="8"/>
      <c r="R2526" s="8"/>
      <c r="S2526" s="8"/>
      <c r="T2526" s="9"/>
      <c r="U2526" s="9">
        <f t="shared" ref="U2526:U2541" si="1338">P2526+T2526</f>
        <v>1679046.39</v>
      </c>
      <c r="V2526" s="9">
        <f t="shared" ref="V2526:V2541" si="1339">P2526+H2526</f>
        <v>31887745.170000002</v>
      </c>
      <c r="W2526" s="9">
        <f t="shared" ref="W2526:W2541" si="1340">E2526-V2526</f>
        <v>0</v>
      </c>
      <c r="X2526" s="9">
        <f t="shared" ref="X2526:X2541" si="1341">+H2526+P2526</f>
        <v>31887745.170000002</v>
      </c>
      <c r="Y2526" s="8"/>
      <c r="Z2526" s="9">
        <f t="shared" ref="Z2526:Z2541" si="1342">+E2526-X2526</f>
        <v>0</v>
      </c>
      <c r="AA2526" s="8">
        <f t="shared" ref="AA2526:AA2541" si="1343">+M2526+U2526</f>
        <v>31887745.170000002</v>
      </c>
      <c r="AB2526" s="8">
        <f t="shared" ref="AB2526:AB2541" si="1344">+E2526-AA2526</f>
        <v>0</v>
      </c>
    </row>
    <row r="2527" spans="1:28" x14ac:dyDescent="0.3">
      <c r="A2527" s="64"/>
      <c r="B2527" s="8"/>
      <c r="C2527" s="14" t="s">
        <v>55</v>
      </c>
      <c r="D2527" s="21" t="s">
        <v>68</v>
      </c>
      <c r="E2527" s="11">
        <v>2631312.71</v>
      </c>
      <c r="F2527" s="11">
        <v>0</v>
      </c>
      <c r="G2527" s="8"/>
      <c r="H2527" s="9">
        <f t="shared" si="1335"/>
        <v>0</v>
      </c>
      <c r="I2527" s="8"/>
      <c r="J2527" s="8"/>
      <c r="K2527" s="8"/>
      <c r="L2527" s="9"/>
      <c r="M2527" s="9">
        <f t="shared" si="1336"/>
        <v>0</v>
      </c>
      <c r="N2527" s="11">
        <v>2631312.71</v>
      </c>
      <c r="O2527" s="8"/>
      <c r="P2527" s="9">
        <f t="shared" si="1337"/>
        <v>2631312.71</v>
      </c>
      <c r="Q2527" s="8"/>
      <c r="R2527" s="8"/>
      <c r="S2527" s="8"/>
      <c r="T2527" s="9"/>
      <c r="U2527" s="9">
        <f t="shared" si="1338"/>
        <v>2631312.71</v>
      </c>
      <c r="V2527" s="9">
        <f t="shared" si="1339"/>
        <v>2631312.71</v>
      </c>
      <c r="W2527" s="9">
        <f t="shared" si="1340"/>
        <v>0</v>
      </c>
      <c r="X2527" s="9">
        <f t="shared" si="1341"/>
        <v>2631312.71</v>
      </c>
      <c r="Y2527" s="8"/>
      <c r="Z2527" s="9">
        <f t="shared" si="1342"/>
        <v>0</v>
      </c>
      <c r="AA2527" s="8">
        <f t="shared" si="1343"/>
        <v>2631312.71</v>
      </c>
      <c r="AB2527" s="8">
        <f t="shared" si="1344"/>
        <v>0</v>
      </c>
    </row>
    <row r="2528" spans="1:28" x14ac:dyDescent="0.3">
      <c r="A2528" s="64"/>
      <c r="B2528" s="8"/>
      <c r="C2528" s="14" t="s">
        <v>185</v>
      </c>
      <c r="D2528" s="21" t="s">
        <v>54</v>
      </c>
      <c r="E2528" s="11">
        <v>1953989</v>
      </c>
      <c r="F2528" s="11">
        <v>0</v>
      </c>
      <c r="G2528" s="8"/>
      <c r="H2528" s="9">
        <f t="shared" si="1335"/>
        <v>0</v>
      </c>
      <c r="I2528" s="8"/>
      <c r="J2528" s="8"/>
      <c r="K2528" s="8"/>
      <c r="L2528" s="9"/>
      <c r="M2528" s="9">
        <f t="shared" si="1336"/>
        <v>0</v>
      </c>
      <c r="N2528" s="11">
        <v>1953989</v>
      </c>
      <c r="O2528" s="8"/>
      <c r="P2528" s="9">
        <f t="shared" si="1337"/>
        <v>1953989</v>
      </c>
      <c r="Q2528" s="8"/>
      <c r="R2528" s="8"/>
      <c r="S2528" s="8"/>
      <c r="T2528" s="9"/>
      <c r="U2528" s="9">
        <f t="shared" si="1338"/>
        <v>1953989</v>
      </c>
      <c r="V2528" s="9">
        <f t="shared" si="1339"/>
        <v>1953989</v>
      </c>
      <c r="W2528" s="9">
        <f t="shared" si="1340"/>
        <v>0</v>
      </c>
      <c r="X2528" s="9">
        <f t="shared" si="1341"/>
        <v>1953989</v>
      </c>
      <c r="Y2528" s="8"/>
      <c r="Z2528" s="9">
        <f t="shared" si="1342"/>
        <v>0</v>
      </c>
      <c r="AA2528" s="8">
        <f t="shared" si="1343"/>
        <v>1953989</v>
      </c>
      <c r="AB2528" s="8">
        <f t="shared" si="1344"/>
        <v>0</v>
      </c>
    </row>
    <row r="2529" spans="1:28" x14ac:dyDescent="0.3">
      <c r="A2529" s="64"/>
      <c r="B2529" s="8"/>
      <c r="C2529" s="14" t="s">
        <v>413</v>
      </c>
      <c r="D2529" s="21" t="s">
        <v>85</v>
      </c>
      <c r="E2529" s="11">
        <v>240000</v>
      </c>
      <c r="F2529" s="11">
        <v>240000</v>
      </c>
      <c r="G2529" s="8"/>
      <c r="H2529" s="9">
        <f t="shared" si="1335"/>
        <v>240000</v>
      </c>
      <c r="I2529" s="8"/>
      <c r="J2529" s="8"/>
      <c r="K2529" s="8"/>
      <c r="L2529" s="9"/>
      <c r="M2529" s="9">
        <f t="shared" si="1336"/>
        <v>240000</v>
      </c>
      <c r="N2529" s="11">
        <v>0</v>
      </c>
      <c r="O2529" s="8"/>
      <c r="P2529" s="9">
        <f t="shared" si="1337"/>
        <v>0</v>
      </c>
      <c r="Q2529" s="8"/>
      <c r="R2529" s="8"/>
      <c r="S2529" s="8"/>
      <c r="T2529" s="9"/>
      <c r="U2529" s="9">
        <f t="shared" si="1338"/>
        <v>0</v>
      </c>
      <c r="V2529" s="9">
        <f t="shared" si="1339"/>
        <v>240000</v>
      </c>
      <c r="W2529" s="9">
        <f t="shared" si="1340"/>
        <v>0</v>
      </c>
      <c r="X2529" s="9">
        <f t="shared" si="1341"/>
        <v>240000</v>
      </c>
      <c r="Y2529" s="8"/>
      <c r="Z2529" s="9">
        <f t="shared" si="1342"/>
        <v>0</v>
      </c>
      <c r="AA2529" s="8">
        <f t="shared" si="1343"/>
        <v>240000</v>
      </c>
      <c r="AB2529" s="8">
        <f t="shared" si="1344"/>
        <v>0</v>
      </c>
    </row>
    <row r="2530" spans="1:28" x14ac:dyDescent="0.3">
      <c r="A2530" s="64"/>
      <c r="B2530" s="8"/>
      <c r="C2530" s="14" t="s">
        <v>143</v>
      </c>
      <c r="D2530" s="21" t="s">
        <v>58</v>
      </c>
      <c r="E2530" s="11">
        <v>8322813.5700000003</v>
      </c>
      <c r="F2530" s="11">
        <v>8322813.5700000003</v>
      </c>
      <c r="G2530" s="8"/>
      <c r="H2530" s="9">
        <f t="shared" si="1335"/>
        <v>8322813.5700000003</v>
      </c>
      <c r="I2530" s="8"/>
      <c r="J2530" s="8"/>
      <c r="K2530" s="8"/>
      <c r="L2530" s="9"/>
      <c r="M2530" s="9">
        <f t="shared" si="1336"/>
        <v>8322813.5700000003</v>
      </c>
      <c r="N2530" s="11">
        <v>0</v>
      </c>
      <c r="O2530" s="8"/>
      <c r="P2530" s="9">
        <f t="shared" si="1337"/>
        <v>0</v>
      </c>
      <c r="Q2530" s="8"/>
      <c r="R2530" s="8"/>
      <c r="S2530" s="8"/>
      <c r="T2530" s="9"/>
      <c r="U2530" s="9">
        <f t="shared" si="1338"/>
        <v>0</v>
      </c>
      <c r="V2530" s="9">
        <f t="shared" si="1339"/>
        <v>8322813.5700000003</v>
      </c>
      <c r="W2530" s="9">
        <f t="shared" si="1340"/>
        <v>0</v>
      </c>
      <c r="X2530" s="9">
        <f t="shared" si="1341"/>
        <v>8322813.5700000003</v>
      </c>
      <c r="Y2530" s="8"/>
      <c r="Z2530" s="9">
        <f t="shared" si="1342"/>
        <v>0</v>
      </c>
      <c r="AA2530" s="8">
        <f t="shared" si="1343"/>
        <v>8322813.5700000003</v>
      </c>
      <c r="AB2530" s="8">
        <f t="shared" si="1344"/>
        <v>0</v>
      </c>
    </row>
    <row r="2531" spans="1:28" x14ac:dyDescent="0.3">
      <c r="A2531" s="64"/>
      <c r="B2531" s="8"/>
      <c r="C2531" s="14" t="s">
        <v>143</v>
      </c>
      <c r="D2531" s="21" t="s">
        <v>60</v>
      </c>
      <c r="E2531" s="11">
        <v>26400829.739999998</v>
      </c>
      <c r="F2531" s="11">
        <v>8136057</v>
      </c>
      <c r="G2531" s="8"/>
      <c r="H2531" s="9">
        <f t="shared" si="1335"/>
        <v>8136057</v>
      </c>
      <c r="I2531" s="8"/>
      <c r="J2531" s="8"/>
      <c r="K2531" s="8"/>
      <c r="L2531" s="9"/>
      <c r="M2531" s="9">
        <f t="shared" si="1336"/>
        <v>8136057</v>
      </c>
      <c r="N2531" s="11">
        <f>3250158.3+2613659.26+1032.5</f>
        <v>5864850.0599999996</v>
      </c>
      <c r="O2531" s="8"/>
      <c r="P2531" s="9">
        <f t="shared" si="1337"/>
        <v>5864850.0599999996</v>
      </c>
      <c r="Q2531" s="11">
        <f>15014614.44-2613659.26</f>
        <v>12400955.18</v>
      </c>
      <c r="R2531" s="8">
        <v>1032.5</v>
      </c>
      <c r="S2531" s="8"/>
      <c r="T2531" s="9">
        <v>12399922.68</v>
      </c>
      <c r="U2531" s="9">
        <f t="shared" si="1338"/>
        <v>18264772.739999998</v>
      </c>
      <c r="V2531" s="9">
        <f t="shared" si="1339"/>
        <v>14000907.059999999</v>
      </c>
      <c r="W2531" s="9">
        <f t="shared" si="1340"/>
        <v>12399922.68</v>
      </c>
      <c r="X2531" s="9">
        <f t="shared" si="1341"/>
        <v>14000907.059999999</v>
      </c>
      <c r="Y2531" s="8"/>
      <c r="Z2531" s="9">
        <f t="shared" si="1342"/>
        <v>12399922.68</v>
      </c>
      <c r="AA2531" s="8">
        <f t="shared" si="1343"/>
        <v>26400829.739999998</v>
      </c>
      <c r="AB2531" s="8">
        <f t="shared" si="1344"/>
        <v>0</v>
      </c>
    </row>
    <row r="2532" spans="1:28" x14ac:dyDescent="0.3">
      <c r="A2532" s="64"/>
      <c r="B2532" s="8"/>
      <c r="C2532" s="14" t="s">
        <v>414</v>
      </c>
      <c r="D2532" s="21" t="s">
        <v>60</v>
      </c>
      <c r="E2532" s="11">
        <v>2482296</v>
      </c>
      <c r="F2532" s="11">
        <v>2482296</v>
      </c>
      <c r="G2532" s="8"/>
      <c r="H2532" s="9">
        <f t="shared" si="1335"/>
        <v>2482296</v>
      </c>
      <c r="I2532" s="8"/>
      <c r="J2532" s="8"/>
      <c r="K2532" s="8"/>
      <c r="L2532" s="9"/>
      <c r="M2532" s="9">
        <f t="shared" si="1336"/>
        <v>2482296</v>
      </c>
      <c r="N2532" s="11">
        <v>0</v>
      </c>
      <c r="O2532" s="8"/>
      <c r="P2532" s="9">
        <f t="shared" si="1337"/>
        <v>0</v>
      </c>
      <c r="Q2532" s="8"/>
      <c r="R2532" s="8"/>
      <c r="S2532" s="8"/>
      <c r="T2532" s="9"/>
      <c r="U2532" s="9">
        <f t="shared" si="1338"/>
        <v>0</v>
      </c>
      <c r="V2532" s="9">
        <f t="shared" si="1339"/>
        <v>2482296</v>
      </c>
      <c r="W2532" s="9">
        <f t="shared" si="1340"/>
        <v>0</v>
      </c>
      <c r="X2532" s="9">
        <f t="shared" si="1341"/>
        <v>2482296</v>
      </c>
      <c r="Y2532" s="8"/>
      <c r="Z2532" s="9">
        <f t="shared" si="1342"/>
        <v>0</v>
      </c>
      <c r="AA2532" s="8">
        <f t="shared" si="1343"/>
        <v>2482296</v>
      </c>
      <c r="AB2532" s="8">
        <f t="shared" si="1344"/>
        <v>0</v>
      </c>
    </row>
    <row r="2533" spans="1:28" x14ac:dyDescent="0.3">
      <c r="A2533" s="64"/>
      <c r="B2533" s="8"/>
      <c r="C2533" s="14" t="s">
        <v>143</v>
      </c>
      <c r="D2533" s="21" t="s">
        <v>73</v>
      </c>
      <c r="E2533" s="11">
        <v>7484000</v>
      </c>
      <c r="F2533" s="11">
        <v>7484000</v>
      </c>
      <c r="G2533" s="8"/>
      <c r="H2533" s="9">
        <f t="shared" si="1335"/>
        <v>7484000</v>
      </c>
      <c r="I2533" s="8"/>
      <c r="J2533" s="8"/>
      <c r="K2533" s="8"/>
      <c r="L2533" s="9"/>
      <c r="M2533" s="9">
        <f t="shared" si="1336"/>
        <v>7484000</v>
      </c>
      <c r="N2533" s="11">
        <v>0</v>
      </c>
      <c r="O2533" s="8"/>
      <c r="P2533" s="9">
        <f t="shared" si="1337"/>
        <v>0</v>
      </c>
      <c r="Q2533" s="8"/>
      <c r="R2533" s="8"/>
      <c r="S2533" s="8"/>
      <c r="T2533" s="9"/>
      <c r="U2533" s="9">
        <f t="shared" si="1338"/>
        <v>0</v>
      </c>
      <c r="V2533" s="9">
        <f t="shared" si="1339"/>
        <v>7484000</v>
      </c>
      <c r="W2533" s="9">
        <f t="shared" si="1340"/>
        <v>0</v>
      </c>
      <c r="X2533" s="9">
        <f t="shared" si="1341"/>
        <v>7484000</v>
      </c>
      <c r="Y2533" s="8"/>
      <c r="Z2533" s="9">
        <f t="shared" si="1342"/>
        <v>0</v>
      </c>
      <c r="AA2533" s="8">
        <f t="shared" si="1343"/>
        <v>7484000</v>
      </c>
      <c r="AB2533" s="8">
        <f t="shared" si="1344"/>
        <v>0</v>
      </c>
    </row>
    <row r="2534" spans="1:28" x14ac:dyDescent="0.3">
      <c r="A2534" s="64"/>
      <c r="B2534" s="8"/>
      <c r="C2534" s="14" t="s">
        <v>415</v>
      </c>
      <c r="D2534" s="14" t="s">
        <v>111</v>
      </c>
      <c r="E2534" s="11">
        <v>5583856</v>
      </c>
      <c r="F2534" s="11">
        <v>5583856</v>
      </c>
      <c r="G2534" s="8"/>
      <c r="H2534" s="9">
        <f t="shared" si="1335"/>
        <v>5583856</v>
      </c>
      <c r="I2534" s="8"/>
      <c r="J2534" s="8"/>
      <c r="K2534" s="8"/>
      <c r="L2534" s="9"/>
      <c r="M2534" s="9">
        <f t="shared" si="1336"/>
        <v>5583856</v>
      </c>
      <c r="N2534" s="11">
        <v>0</v>
      </c>
      <c r="O2534" s="8"/>
      <c r="P2534" s="9">
        <f t="shared" si="1337"/>
        <v>0</v>
      </c>
      <c r="Q2534" s="8"/>
      <c r="R2534" s="8"/>
      <c r="S2534" s="8"/>
      <c r="T2534" s="9"/>
      <c r="U2534" s="9">
        <f t="shared" si="1338"/>
        <v>0</v>
      </c>
      <c r="V2534" s="9">
        <f t="shared" si="1339"/>
        <v>5583856</v>
      </c>
      <c r="W2534" s="9">
        <f t="shared" si="1340"/>
        <v>0</v>
      </c>
      <c r="X2534" s="9">
        <f t="shared" si="1341"/>
        <v>5583856</v>
      </c>
      <c r="Y2534" s="8"/>
      <c r="Z2534" s="9">
        <f t="shared" si="1342"/>
        <v>0</v>
      </c>
      <c r="AA2534" s="8">
        <f t="shared" si="1343"/>
        <v>5583856</v>
      </c>
      <c r="AB2534" s="8">
        <f t="shared" si="1344"/>
        <v>0</v>
      </c>
    </row>
    <row r="2535" spans="1:28" x14ac:dyDescent="0.3">
      <c r="A2535" s="64"/>
      <c r="B2535" s="8"/>
      <c r="C2535" s="14" t="s">
        <v>416</v>
      </c>
      <c r="D2535" s="24" t="s">
        <v>61</v>
      </c>
      <c r="E2535" s="11">
        <f>5877372.29+21451583.55+4183512.1</f>
        <v>31512467.940000001</v>
      </c>
      <c r="F2535" s="8">
        <f>5877372.29+21451583.55+4183512.1</f>
        <v>31512467.940000001</v>
      </c>
      <c r="G2535" s="8"/>
      <c r="H2535" s="9">
        <f t="shared" si="1335"/>
        <v>31512467.940000001</v>
      </c>
      <c r="I2535" s="8">
        <v>21451583.550000001</v>
      </c>
      <c r="J2535" s="8">
        <v>21451583.550000001</v>
      </c>
      <c r="K2535" s="8"/>
      <c r="L2535" s="9"/>
      <c r="M2535" s="9">
        <f t="shared" si="1336"/>
        <v>31512467.940000001</v>
      </c>
      <c r="N2535" s="11">
        <v>0</v>
      </c>
      <c r="O2535" s="8"/>
      <c r="P2535" s="9">
        <f t="shared" si="1337"/>
        <v>0</v>
      </c>
      <c r="Q2535" s="8"/>
      <c r="R2535" s="8"/>
      <c r="S2535" s="8"/>
      <c r="T2535" s="9"/>
      <c r="U2535" s="9">
        <f t="shared" si="1338"/>
        <v>0</v>
      </c>
      <c r="V2535" s="9">
        <f t="shared" si="1339"/>
        <v>31512467.940000001</v>
      </c>
      <c r="W2535" s="9">
        <f t="shared" si="1340"/>
        <v>0</v>
      </c>
      <c r="X2535" s="9">
        <f t="shared" si="1341"/>
        <v>31512467.940000001</v>
      </c>
      <c r="Y2535" s="8"/>
      <c r="Z2535" s="9">
        <f t="shared" si="1342"/>
        <v>0</v>
      </c>
      <c r="AA2535" s="8">
        <f t="shared" si="1343"/>
        <v>31512467.940000001</v>
      </c>
      <c r="AB2535" s="8">
        <f t="shared" si="1344"/>
        <v>0</v>
      </c>
    </row>
    <row r="2536" spans="1:28" x14ac:dyDescent="0.3">
      <c r="A2536" s="64"/>
      <c r="B2536" s="8"/>
      <c r="C2536" s="14" t="s">
        <v>1176</v>
      </c>
      <c r="D2536" s="24" t="s">
        <v>1126</v>
      </c>
      <c r="E2536" s="11">
        <f>1728143.34+4000000</f>
        <v>5728143.3399999999</v>
      </c>
      <c r="F2536" s="8">
        <f>1728143.34+4000000</f>
        <v>5728143.3399999999</v>
      </c>
      <c r="G2536" s="8"/>
      <c r="H2536" s="9">
        <f>+F2536+G2536</f>
        <v>5728143.3399999999</v>
      </c>
      <c r="I2536" s="8"/>
      <c r="J2536" s="8"/>
      <c r="K2536" s="8"/>
      <c r="L2536" s="9"/>
      <c r="M2536" s="9">
        <f t="shared" si="1336"/>
        <v>5728143.3399999999</v>
      </c>
      <c r="N2536" s="11">
        <v>0</v>
      </c>
      <c r="O2536" s="8"/>
      <c r="P2536" s="9">
        <f t="shared" si="1337"/>
        <v>0</v>
      </c>
      <c r="Q2536" s="8"/>
      <c r="R2536" s="8"/>
      <c r="S2536" s="8"/>
      <c r="T2536" s="9"/>
      <c r="U2536" s="9">
        <f t="shared" si="1338"/>
        <v>0</v>
      </c>
      <c r="V2536" s="9">
        <f t="shared" si="1339"/>
        <v>5728143.3399999999</v>
      </c>
      <c r="W2536" s="9"/>
      <c r="X2536" s="9">
        <f t="shared" si="1341"/>
        <v>5728143.3399999999</v>
      </c>
      <c r="Y2536" s="8"/>
      <c r="Z2536" s="9">
        <f t="shared" si="1342"/>
        <v>0</v>
      </c>
      <c r="AA2536" s="8">
        <f t="shared" si="1343"/>
        <v>5728143.3399999999</v>
      </c>
      <c r="AB2536" s="8">
        <f t="shared" si="1344"/>
        <v>0</v>
      </c>
    </row>
    <row r="2537" spans="1:28" x14ac:dyDescent="0.3">
      <c r="A2537" s="64"/>
      <c r="B2537" s="8"/>
      <c r="C2537" s="14" t="s">
        <v>1208</v>
      </c>
      <c r="D2537" s="24" t="s">
        <v>1126</v>
      </c>
      <c r="E2537" s="11">
        <v>3000000</v>
      </c>
      <c r="F2537" s="8">
        <v>3000000</v>
      </c>
      <c r="G2537" s="8"/>
      <c r="H2537" s="9">
        <f>+F2537+G2537</f>
        <v>3000000</v>
      </c>
      <c r="I2537" s="8"/>
      <c r="J2537" s="8"/>
      <c r="K2537" s="8"/>
      <c r="L2537" s="9"/>
      <c r="M2537" s="9">
        <f t="shared" si="1336"/>
        <v>3000000</v>
      </c>
      <c r="N2537" s="11">
        <v>0</v>
      </c>
      <c r="O2537" s="8"/>
      <c r="P2537" s="9">
        <f t="shared" si="1337"/>
        <v>0</v>
      </c>
      <c r="Q2537" s="8"/>
      <c r="R2537" s="8"/>
      <c r="S2537" s="8"/>
      <c r="T2537" s="9"/>
      <c r="U2537" s="9">
        <f t="shared" si="1338"/>
        <v>0</v>
      </c>
      <c r="V2537" s="9">
        <f t="shared" si="1339"/>
        <v>3000000</v>
      </c>
      <c r="W2537" s="9"/>
      <c r="X2537" s="9">
        <f t="shared" si="1341"/>
        <v>3000000</v>
      </c>
      <c r="Y2537" s="8"/>
      <c r="Z2537" s="9">
        <f t="shared" si="1342"/>
        <v>0</v>
      </c>
      <c r="AA2537" s="8">
        <f t="shared" si="1343"/>
        <v>3000000</v>
      </c>
      <c r="AB2537" s="8">
        <f t="shared" si="1344"/>
        <v>0</v>
      </c>
    </row>
    <row r="2538" spans="1:28" x14ac:dyDescent="0.3">
      <c r="A2538" s="64"/>
      <c r="B2538" s="8"/>
      <c r="C2538" s="14" t="s">
        <v>417</v>
      </c>
      <c r="D2538" s="8"/>
      <c r="E2538" s="11">
        <v>3692029</v>
      </c>
      <c r="F2538" s="11">
        <v>3692029</v>
      </c>
      <c r="G2538" s="8"/>
      <c r="H2538" s="9">
        <f t="shared" si="1335"/>
        <v>3692029</v>
      </c>
      <c r="I2538" s="8"/>
      <c r="J2538" s="8"/>
      <c r="K2538" s="8"/>
      <c r="L2538" s="9"/>
      <c r="M2538" s="9">
        <f t="shared" si="1336"/>
        <v>3692029</v>
      </c>
      <c r="N2538" s="11">
        <v>0</v>
      </c>
      <c r="O2538" s="8"/>
      <c r="P2538" s="9">
        <f t="shared" si="1337"/>
        <v>0</v>
      </c>
      <c r="Q2538" s="8"/>
      <c r="R2538" s="8"/>
      <c r="S2538" s="8"/>
      <c r="T2538" s="9"/>
      <c r="U2538" s="9">
        <f t="shared" si="1338"/>
        <v>0</v>
      </c>
      <c r="V2538" s="9">
        <f t="shared" si="1339"/>
        <v>3692029</v>
      </c>
      <c r="W2538" s="9">
        <f t="shared" si="1340"/>
        <v>0</v>
      </c>
      <c r="X2538" s="9">
        <f t="shared" si="1341"/>
        <v>3692029</v>
      </c>
      <c r="Y2538" s="8"/>
      <c r="Z2538" s="9">
        <f t="shared" si="1342"/>
        <v>0</v>
      </c>
      <c r="AA2538" s="8">
        <f t="shared" si="1343"/>
        <v>3692029</v>
      </c>
      <c r="AB2538" s="8">
        <f t="shared" si="1344"/>
        <v>0</v>
      </c>
    </row>
    <row r="2539" spans="1:28" x14ac:dyDescent="0.3">
      <c r="A2539" s="64"/>
      <c r="B2539" s="8"/>
      <c r="C2539" s="14" t="s">
        <v>418</v>
      </c>
      <c r="D2539" s="8"/>
      <c r="E2539" s="11">
        <v>8720308</v>
      </c>
      <c r="F2539" s="11">
        <v>8720308</v>
      </c>
      <c r="G2539" s="8"/>
      <c r="H2539" s="9">
        <f t="shared" si="1335"/>
        <v>8720308</v>
      </c>
      <c r="I2539" s="8"/>
      <c r="J2539" s="8"/>
      <c r="K2539" s="8"/>
      <c r="L2539" s="9"/>
      <c r="M2539" s="9">
        <f t="shared" si="1336"/>
        <v>8720308</v>
      </c>
      <c r="N2539" s="11">
        <v>0</v>
      </c>
      <c r="O2539" s="8"/>
      <c r="P2539" s="9">
        <f t="shared" si="1337"/>
        <v>0</v>
      </c>
      <c r="Q2539" s="8"/>
      <c r="R2539" s="8"/>
      <c r="S2539" s="8"/>
      <c r="T2539" s="9"/>
      <c r="U2539" s="9">
        <f t="shared" si="1338"/>
        <v>0</v>
      </c>
      <c r="V2539" s="9">
        <f t="shared" si="1339"/>
        <v>8720308</v>
      </c>
      <c r="W2539" s="9">
        <f t="shared" si="1340"/>
        <v>0</v>
      </c>
      <c r="X2539" s="9">
        <f t="shared" si="1341"/>
        <v>8720308</v>
      </c>
      <c r="Y2539" s="8"/>
      <c r="Z2539" s="9">
        <f t="shared" si="1342"/>
        <v>0</v>
      </c>
      <c r="AA2539" s="8">
        <f t="shared" si="1343"/>
        <v>8720308</v>
      </c>
      <c r="AB2539" s="8">
        <f t="shared" si="1344"/>
        <v>0</v>
      </c>
    </row>
    <row r="2540" spans="1:28" x14ac:dyDescent="0.3">
      <c r="A2540" s="64"/>
      <c r="B2540" s="8"/>
      <c r="C2540" s="14" t="s">
        <v>419</v>
      </c>
      <c r="D2540" s="8"/>
      <c r="E2540" s="11">
        <v>4398655.42</v>
      </c>
      <c r="F2540" s="11">
        <v>4398655.42</v>
      </c>
      <c r="G2540" s="8"/>
      <c r="H2540" s="9">
        <f t="shared" si="1335"/>
        <v>4398655.42</v>
      </c>
      <c r="I2540" s="8"/>
      <c r="J2540" s="8"/>
      <c r="K2540" s="8"/>
      <c r="L2540" s="9"/>
      <c r="M2540" s="9">
        <f t="shared" si="1336"/>
        <v>4398655.42</v>
      </c>
      <c r="N2540" s="11">
        <v>0</v>
      </c>
      <c r="O2540" s="8"/>
      <c r="P2540" s="9">
        <f t="shared" si="1337"/>
        <v>0</v>
      </c>
      <c r="Q2540" s="8"/>
      <c r="R2540" s="8"/>
      <c r="S2540" s="8"/>
      <c r="T2540" s="9"/>
      <c r="U2540" s="9">
        <f t="shared" si="1338"/>
        <v>0</v>
      </c>
      <c r="V2540" s="9">
        <f t="shared" si="1339"/>
        <v>4398655.42</v>
      </c>
      <c r="W2540" s="9">
        <f t="shared" si="1340"/>
        <v>0</v>
      </c>
      <c r="X2540" s="9">
        <f t="shared" si="1341"/>
        <v>4398655.42</v>
      </c>
      <c r="Y2540" s="8"/>
      <c r="Z2540" s="9">
        <f t="shared" si="1342"/>
        <v>0</v>
      </c>
      <c r="AA2540" s="8">
        <f t="shared" si="1343"/>
        <v>4398655.42</v>
      </c>
      <c r="AB2540" s="8">
        <f t="shared" si="1344"/>
        <v>0</v>
      </c>
    </row>
    <row r="2541" spans="1:28" x14ac:dyDescent="0.3">
      <c r="A2541" s="64"/>
      <c r="B2541" s="8"/>
      <c r="C2541" s="14" t="s">
        <v>109</v>
      </c>
      <c r="D2541" s="8"/>
      <c r="E2541" s="11">
        <v>7316877.2000000002</v>
      </c>
      <c r="F2541" s="11">
        <v>7316877.2000000002</v>
      </c>
      <c r="G2541" s="8"/>
      <c r="H2541" s="9">
        <f t="shared" si="1335"/>
        <v>7316877.2000000002</v>
      </c>
      <c r="I2541" s="8"/>
      <c r="J2541" s="8"/>
      <c r="K2541" s="8"/>
      <c r="L2541" s="9"/>
      <c r="M2541" s="9">
        <f t="shared" si="1336"/>
        <v>7316877.2000000002</v>
      </c>
      <c r="N2541" s="11">
        <v>0</v>
      </c>
      <c r="O2541" s="8"/>
      <c r="P2541" s="9">
        <f t="shared" si="1337"/>
        <v>0</v>
      </c>
      <c r="Q2541" s="8"/>
      <c r="R2541" s="8"/>
      <c r="S2541" s="8"/>
      <c r="T2541" s="9"/>
      <c r="U2541" s="9">
        <f t="shared" si="1338"/>
        <v>0</v>
      </c>
      <c r="V2541" s="9">
        <f t="shared" si="1339"/>
        <v>7316877.2000000002</v>
      </c>
      <c r="W2541" s="9">
        <f t="shared" si="1340"/>
        <v>0</v>
      </c>
      <c r="X2541" s="9">
        <f t="shared" si="1341"/>
        <v>7316877.2000000002</v>
      </c>
      <c r="Y2541" s="8"/>
      <c r="Z2541" s="9">
        <f t="shared" si="1342"/>
        <v>0</v>
      </c>
      <c r="AA2541" s="8">
        <f t="shared" si="1343"/>
        <v>7316877.2000000002</v>
      </c>
      <c r="AB2541" s="8">
        <f t="shared" si="1344"/>
        <v>0</v>
      </c>
    </row>
    <row r="2542" spans="1:28" x14ac:dyDescent="0.3">
      <c r="A2542" s="64"/>
      <c r="B2542" s="8"/>
      <c r="C2542" s="8"/>
      <c r="D2542" s="8"/>
      <c r="E2542" s="26" t="s">
        <v>29</v>
      </c>
      <c r="F2542" s="26" t="s">
        <v>29</v>
      </c>
      <c r="G2542" s="26" t="s">
        <v>29</v>
      </c>
      <c r="H2542" s="26" t="s">
        <v>29</v>
      </c>
      <c r="I2542" s="26" t="s">
        <v>29</v>
      </c>
      <c r="J2542" s="26" t="s">
        <v>29</v>
      </c>
      <c r="K2542" s="26" t="s">
        <v>29</v>
      </c>
      <c r="L2542" s="26" t="s">
        <v>29</v>
      </c>
      <c r="M2542" s="26" t="s">
        <v>29</v>
      </c>
      <c r="N2542" s="26" t="s">
        <v>29</v>
      </c>
      <c r="O2542" s="26" t="s">
        <v>29</v>
      </c>
      <c r="P2542" s="26" t="s">
        <v>29</v>
      </c>
      <c r="Q2542" s="26" t="s">
        <v>29</v>
      </c>
      <c r="R2542" s="26" t="s">
        <v>29</v>
      </c>
      <c r="S2542" s="26" t="s">
        <v>29</v>
      </c>
      <c r="T2542" s="26" t="s">
        <v>29</v>
      </c>
      <c r="U2542" s="26" t="s">
        <v>29</v>
      </c>
      <c r="V2542" s="26" t="s">
        <v>29</v>
      </c>
      <c r="W2542" s="26" t="s">
        <v>29</v>
      </c>
      <c r="X2542" s="26" t="s">
        <v>29</v>
      </c>
      <c r="Y2542" s="26" t="s">
        <v>29</v>
      </c>
      <c r="Z2542" s="26" t="s">
        <v>29</v>
      </c>
      <c r="AA2542" s="17" t="s">
        <v>29</v>
      </c>
      <c r="AB2542" s="17" t="s">
        <v>29</v>
      </c>
    </row>
    <row r="2543" spans="1:28" x14ac:dyDescent="0.3">
      <c r="A2543" s="64"/>
      <c r="B2543" s="8"/>
      <c r="C2543" s="8"/>
      <c r="D2543" s="8"/>
      <c r="E2543" s="11">
        <f t="shared" ref="E2543:AB2543" si="1345">SUM(E2526:E2541)</f>
        <v>151355323.08999997</v>
      </c>
      <c r="F2543" s="11">
        <f t="shared" si="1345"/>
        <v>126826202.25000001</v>
      </c>
      <c r="G2543" s="11">
        <f t="shared" si="1345"/>
        <v>0</v>
      </c>
      <c r="H2543" s="11">
        <f t="shared" si="1345"/>
        <v>126826202.25000001</v>
      </c>
      <c r="I2543" s="11">
        <f t="shared" si="1345"/>
        <v>21451583.550000001</v>
      </c>
      <c r="J2543" s="11">
        <f t="shared" si="1345"/>
        <v>21451583.550000001</v>
      </c>
      <c r="K2543" s="11">
        <f t="shared" si="1345"/>
        <v>0</v>
      </c>
      <c r="L2543" s="11">
        <f t="shared" si="1345"/>
        <v>0</v>
      </c>
      <c r="M2543" s="11">
        <f t="shared" si="1345"/>
        <v>126826202.25000001</v>
      </c>
      <c r="N2543" s="11">
        <f t="shared" si="1345"/>
        <v>12129198.16</v>
      </c>
      <c r="O2543" s="11">
        <f t="shared" si="1345"/>
        <v>0</v>
      </c>
      <c r="P2543" s="11">
        <f t="shared" si="1345"/>
        <v>12129198.16</v>
      </c>
      <c r="Q2543" s="11">
        <f t="shared" si="1345"/>
        <v>12400955.18</v>
      </c>
      <c r="R2543" s="11">
        <f t="shared" si="1345"/>
        <v>1032.5</v>
      </c>
      <c r="S2543" s="11">
        <f t="shared" si="1345"/>
        <v>0</v>
      </c>
      <c r="T2543" s="11">
        <f t="shared" si="1345"/>
        <v>12399922.68</v>
      </c>
      <c r="U2543" s="11">
        <f t="shared" si="1345"/>
        <v>24529120.839999996</v>
      </c>
      <c r="V2543" s="11">
        <f t="shared" si="1345"/>
        <v>138955400.41</v>
      </c>
      <c r="W2543" s="11">
        <f t="shared" si="1345"/>
        <v>12399922.68</v>
      </c>
      <c r="X2543" s="11">
        <f t="shared" si="1345"/>
        <v>138955400.41</v>
      </c>
      <c r="Y2543" s="11">
        <f t="shared" si="1345"/>
        <v>0</v>
      </c>
      <c r="Z2543" s="11">
        <f t="shared" si="1345"/>
        <v>12399922.68</v>
      </c>
      <c r="AA2543" s="11">
        <f t="shared" si="1345"/>
        <v>151355323.08999997</v>
      </c>
      <c r="AB2543" s="11">
        <f t="shared" si="1345"/>
        <v>0</v>
      </c>
    </row>
    <row r="2544" spans="1:28" x14ac:dyDescent="0.3">
      <c r="A2544" s="64"/>
      <c r="B2544" s="8"/>
      <c r="C2544" s="8"/>
      <c r="D2544" s="8"/>
      <c r="E2544" s="26" t="s">
        <v>29</v>
      </c>
      <c r="F2544" s="26" t="s">
        <v>29</v>
      </c>
      <c r="G2544" s="26" t="s">
        <v>29</v>
      </c>
      <c r="H2544" s="26" t="s">
        <v>29</v>
      </c>
      <c r="I2544" s="26" t="s">
        <v>29</v>
      </c>
      <c r="J2544" s="26" t="s">
        <v>29</v>
      </c>
      <c r="K2544" s="26" t="s">
        <v>29</v>
      </c>
      <c r="L2544" s="26" t="s">
        <v>29</v>
      </c>
      <c r="M2544" s="26" t="s">
        <v>29</v>
      </c>
      <c r="N2544" s="26" t="s">
        <v>29</v>
      </c>
      <c r="O2544" s="26" t="s">
        <v>29</v>
      </c>
      <c r="P2544" s="26" t="s">
        <v>29</v>
      </c>
      <c r="Q2544" s="26" t="s">
        <v>29</v>
      </c>
      <c r="R2544" s="26" t="s">
        <v>29</v>
      </c>
      <c r="S2544" s="26" t="s">
        <v>29</v>
      </c>
      <c r="T2544" s="26" t="s">
        <v>29</v>
      </c>
      <c r="U2544" s="26" t="s">
        <v>29</v>
      </c>
      <c r="V2544" s="26" t="s">
        <v>29</v>
      </c>
      <c r="W2544" s="26" t="s">
        <v>29</v>
      </c>
      <c r="X2544" s="26" t="s">
        <v>29</v>
      </c>
      <c r="Y2544" s="26" t="s">
        <v>29</v>
      </c>
      <c r="Z2544" s="26" t="s">
        <v>29</v>
      </c>
      <c r="AA2544" s="17" t="s">
        <v>29</v>
      </c>
      <c r="AB2544" s="17" t="s">
        <v>29</v>
      </c>
    </row>
    <row r="2545" spans="1:28" x14ac:dyDescent="0.3">
      <c r="A2545" s="64"/>
      <c r="B2545" s="14" t="s">
        <v>420</v>
      </c>
      <c r="C2545" s="8"/>
      <c r="D2545" s="8"/>
      <c r="E2545" s="8"/>
      <c r="F2545" s="8"/>
      <c r="G2545" s="8"/>
      <c r="H2545" s="8"/>
      <c r="I2545" s="8"/>
      <c r="J2545" s="8"/>
      <c r="K2545" s="8"/>
      <c r="L2545" s="8"/>
      <c r="M2545" s="8"/>
      <c r="N2545" s="8"/>
      <c r="O2545" s="8"/>
      <c r="P2545" s="8"/>
      <c r="Q2545" s="8"/>
      <c r="R2545" s="8"/>
      <c r="S2545" s="8"/>
      <c r="T2545" s="8"/>
      <c r="U2545" s="8"/>
      <c r="V2545" s="8"/>
      <c r="W2545" s="8"/>
      <c r="X2545" s="8"/>
      <c r="Y2545" s="8"/>
      <c r="Z2545" s="8"/>
    </row>
    <row r="2546" spans="1:28" x14ac:dyDescent="0.3">
      <c r="A2546" s="64"/>
      <c r="B2546" s="8"/>
      <c r="C2546" s="14" t="s">
        <v>413</v>
      </c>
      <c r="D2546" s="21" t="s">
        <v>85</v>
      </c>
      <c r="E2546" s="11">
        <v>14000</v>
      </c>
      <c r="F2546" s="11">
        <v>14000</v>
      </c>
      <c r="G2546" s="8"/>
      <c r="H2546" s="9">
        <f>F2546+G2546</f>
        <v>14000</v>
      </c>
      <c r="I2546" s="8"/>
      <c r="J2546" s="8"/>
      <c r="K2546" s="8"/>
      <c r="L2546" s="9">
        <f>I2546-J2546+K2546</f>
        <v>0</v>
      </c>
      <c r="M2546" s="9">
        <f>H2546+L2546</f>
        <v>14000</v>
      </c>
      <c r="N2546" s="11">
        <v>0</v>
      </c>
      <c r="O2546" s="8"/>
      <c r="P2546" s="9">
        <f>N2546+O2546</f>
        <v>0</v>
      </c>
      <c r="Q2546" s="8"/>
      <c r="R2546" s="8"/>
      <c r="S2546" s="8"/>
      <c r="T2546" s="9">
        <f>Q2546-R2546+S2546</f>
        <v>0</v>
      </c>
      <c r="U2546" s="9">
        <f>P2546+T2546</f>
        <v>0</v>
      </c>
      <c r="V2546" s="9">
        <f>P2546+H2546</f>
        <v>14000</v>
      </c>
      <c r="W2546" s="9">
        <f>E2546-V2546</f>
        <v>0</v>
      </c>
      <c r="X2546" s="9">
        <f>+H2546+P2546</f>
        <v>14000</v>
      </c>
      <c r="Y2546" s="8"/>
      <c r="Z2546" s="9">
        <f>+E2546-X2546</f>
        <v>0</v>
      </c>
      <c r="AA2546" s="8">
        <f>+M2546+U2546</f>
        <v>14000</v>
      </c>
      <c r="AB2546" s="8">
        <f>+E2546-AA2546</f>
        <v>0</v>
      </c>
    </row>
    <row r="2547" spans="1:28" x14ac:dyDescent="0.3">
      <c r="A2547" s="64"/>
      <c r="B2547" s="8"/>
      <c r="C2547" s="8"/>
      <c r="D2547" s="8"/>
      <c r="E2547" s="26" t="s">
        <v>29</v>
      </c>
      <c r="F2547" s="26" t="s">
        <v>29</v>
      </c>
      <c r="G2547" s="26" t="s">
        <v>29</v>
      </c>
      <c r="H2547" s="26" t="s">
        <v>29</v>
      </c>
      <c r="I2547" s="26" t="s">
        <v>29</v>
      </c>
      <c r="J2547" s="26" t="s">
        <v>29</v>
      </c>
      <c r="K2547" s="26" t="s">
        <v>29</v>
      </c>
      <c r="L2547" s="26" t="s">
        <v>29</v>
      </c>
      <c r="M2547" s="26" t="s">
        <v>29</v>
      </c>
      <c r="N2547" s="26" t="s">
        <v>29</v>
      </c>
      <c r="O2547" s="26" t="s">
        <v>29</v>
      </c>
      <c r="P2547" s="26" t="s">
        <v>29</v>
      </c>
      <c r="Q2547" s="26" t="s">
        <v>29</v>
      </c>
      <c r="R2547" s="26" t="s">
        <v>29</v>
      </c>
      <c r="S2547" s="26" t="s">
        <v>29</v>
      </c>
      <c r="T2547" s="26" t="s">
        <v>29</v>
      </c>
      <c r="U2547" s="26" t="s">
        <v>29</v>
      </c>
      <c r="V2547" s="26" t="s">
        <v>29</v>
      </c>
      <c r="W2547" s="26" t="s">
        <v>29</v>
      </c>
      <c r="X2547" s="26" t="s">
        <v>29</v>
      </c>
      <c r="Y2547" s="26" t="s">
        <v>29</v>
      </c>
      <c r="Z2547" s="26" t="s">
        <v>29</v>
      </c>
      <c r="AA2547" s="26" t="s">
        <v>29</v>
      </c>
      <c r="AB2547" s="26" t="s">
        <v>29</v>
      </c>
    </row>
    <row r="2548" spans="1:28" x14ac:dyDescent="0.3">
      <c r="A2548" s="63" t="s">
        <v>1047</v>
      </c>
      <c r="B2548" s="14" t="s">
        <v>421</v>
      </c>
      <c r="C2548" s="8"/>
      <c r="D2548" s="14" t="s">
        <v>422</v>
      </c>
      <c r="E2548" s="8"/>
      <c r="F2548" s="8"/>
      <c r="G2548" s="8"/>
      <c r="H2548" s="8"/>
      <c r="I2548" s="8"/>
      <c r="J2548" s="8"/>
      <c r="K2548" s="8"/>
      <c r="L2548" s="8"/>
      <c r="M2548" s="8"/>
      <c r="N2548" s="8"/>
      <c r="O2548" s="8"/>
      <c r="P2548" s="8"/>
      <c r="Q2548" s="8"/>
      <c r="R2548" s="8"/>
      <c r="S2548" s="8"/>
      <c r="T2548" s="8"/>
      <c r="U2548" s="8"/>
      <c r="V2548" s="8"/>
      <c r="W2548" s="8"/>
      <c r="X2548" s="8"/>
      <c r="Y2548" s="8"/>
      <c r="Z2548" s="8"/>
    </row>
    <row r="2549" spans="1:28" x14ac:dyDescent="0.3">
      <c r="A2549" s="64"/>
      <c r="B2549" s="8"/>
      <c r="C2549" s="14" t="s">
        <v>143</v>
      </c>
      <c r="D2549" s="14" t="s">
        <v>423</v>
      </c>
      <c r="E2549" s="11">
        <f>1612496.17+1927885+4008399+7128951.5</f>
        <v>14677731.67</v>
      </c>
      <c r="F2549" s="11">
        <f>0+1927885+4008399+7128951.5</f>
        <v>13065235.5</v>
      </c>
      <c r="G2549" s="8"/>
      <c r="H2549" s="9">
        <f t="shared" ref="H2549:H2571" si="1346">F2549+G2549</f>
        <v>13065235.5</v>
      </c>
      <c r="I2549" s="8"/>
      <c r="J2549" s="8"/>
      <c r="K2549" s="8"/>
      <c r="L2549" s="9"/>
      <c r="M2549" s="9">
        <f t="shared" ref="M2549:M2571" si="1347">H2549+L2549</f>
        <v>13065235.5</v>
      </c>
      <c r="N2549" s="11">
        <v>1612496.17</v>
      </c>
      <c r="O2549" s="8"/>
      <c r="P2549" s="9">
        <f t="shared" ref="P2549:P2571" si="1348">N2549+O2549</f>
        <v>1612496.17</v>
      </c>
      <c r="Q2549" s="8"/>
      <c r="R2549" s="8"/>
      <c r="S2549" s="8"/>
      <c r="T2549" s="9"/>
      <c r="U2549" s="9">
        <f t="shared" ref="U2549:U2571" si="1349">P2549+T2549</f>
        <v>1612496.17</v>
      </c>
      <c r="V2549" s="9">
        <f t="shared" ref="V2549:V2571" si="1350">P2549+H2549</f>
        <v>14677731.67</v>
      </c>
      <c r="W2549" s="9">
        <f t="shared" ref="W2549:W2571" si="1351">E2549-V2549</f>
        <v>0</v>
      </c>
      <c r="X2549" s="9">
        <f t="shared" ref="X2549:X2571" si="1352">+H2549+P2549</f>
        <v>14677731.67</v>
      </c>
      <c r="Y2549" s="8"/>
      <c r="Z2549" s="9">
        <f t="shared" ref="Z2549:Z2571" si="1353">+E2549-X2549</f>
        <v>0</v>
      </c>
      <c r="AA2549" s="8">
        <f t="shared" ref="AA2549:AA2571" si="1354">+M2549+U2549</f>
        <v>14677731.67</v>
      </c>
      <c r="AB2549" s="8">
        <f t="shared" ref="AB2549:AB2571" si="1355">+E2549-AA2549</f>
        <v>0</v>
      </c>
    </row>
    <row r="2550" spans="1:28" x14ac:dyDescent="0.3">
      <c r="A2550" s="64"/>
      <c r="B2550" s="8"/>
      <c r="C2550" s="14" t="s">
        <v>55</v>
      </c>
      <c r="D2550" s="21" t="s">
        <v>68</v>
      </c>
      <c r="E2550" s="11">
        <v>2386840.5</v>
      </c>
      <c r="F2550" s="11">
        <v>0</v>
      </c>
      <c r="G2550" s="8"/>
      <c r="H2550" s="9">
        <f t="shared" si="1346"/>
        <v>0</v>
      </c>
      <c r="I2550" s="8"/>
      <c r="J2550" s="8"/>
      <c r="K2550" s="8"/>
      <c r="L2550" s="9"/>
      <c r="M2550" s="9">
        <f t="shared" si="1347"/>
        <v>0</v>
      </c>
      <c r="N2550" s="11">
        <v>2386840.5</v>
      </c>
      <c r="O2550" s="8"/>
      <c r="P2550" s="9">
        <f t="shared" si="1348"/>
        <v>2386840.5</v>
      </c>
      <c r="Q2550" s="8"/>
      <c r="R2550" s="8"/>
      <c r="S2550" s="8"/>
      <c r="T2550" s="9"/>
      <c r="U2550" s="9">
        <f t="shared" si="1349"/>
        <v>2386840.5</v>
      </c>
      <c r="V2550" s="9">
        <f t="shared" si="1350"/>
        <v>2386840.5</v>
      </c>
      <c r="W2550" s="9">
        <f t="shared" si="1351"/>
        <v>0</v>
      </c>
      <c r="X2550" s="9">
        <f t="shared" si="1352"/>
        <v>2386840.5</v>
      </c>
      <c r="Y2550" s="8"/>
      <c r="Z2550" s="9">
        <f t="shared" si="1353"/>
        <v>0</v>
      </c>
      <c r="AA2550" s="8">
        <f t="shared" si="1354"/>
        <v>2386840.5</v>
      </c>
      <c r="AB2550" s="8">
        <f t="shared" si="1355"/>
        <v>0</v>
      </c>
    </row>
    <row r="2551" spans="1:28" x14ac:dyDescent="0.3">
      <c r="A2551" s="64"/>
      <c r="B2551" s="8"/>
      <c r="C2551" s="14" t="s">
        <v>424</v>
      </c>
      <c r="D2551" s="21" t="s">
        <v>54</v>
      </c>
      <c r="E2551" s="11">
        <v>1767770</v>
      </c>
      <c r="F2551" s="11">
        <v>0</v>
      </c>
      <c r="G2551" s="8"/>
      <c r="H2551" s="9">
        <f t="shared" si="1346"/>
        <v>0</v>
      </c>
      <c r="I2551" s="8"/>
      <c r="J2551" s="8"/>
      <c r="K2551" s="9"/>
      <c r="L2551" s="9"/>
      <c r="M2551" s="9">
        <f t="shared" si="1347"/>
        <v>0</v>
      </c>
      <c r="N2551" s="11">
        <v>1767770</v>
      </c>
      <c r="O2551" s="8"/>
      <c r="P2551" s="9">
        <f t="shared" si="1348"/>
        <v>1767770</v>
      </c>
      <c r="Q2551" s="8"/>
      <c r="R2551" s="8"/>
      <c r="S2551" s="8"/>
      <c r="T2551" s="9"/>
      <c r="U2551" s="9">
        <f t="shared" si="1349"/>
        <v>1767770</v>
      </c>
      <c r="V2551" s="9">
        <f t="shared" si="1350"/>
        <v>1767770</v>
      </c>
      <c r="W2551" s="9">
        <f t="shared" si="1351"/>
        <v>0</v>
      </c>
      <c r="X2551" s="9">
        <f t="shared" si="1352"/>
        <v>1767770</v>
      </c>
      <c r="Y2551" s="8"/>
      <c r="Z2551" s="9">
        <f t="shared" si="1353"/>
        <v>0</v>
      </c>
      <c r="AA2551" s="8">
        <f t="shared" si="1354"/>
        <v>1767770</v>
      </c>
      <c r="AB2551" s="8">
        <f t="shared" si="1355"/>
        <v>0</v>
      </c>
    </row>
    <row r="2552" spans="1:28" x14ac:dyDescent="0.3">
      <c r="A2552" s="64"/>
      <c r="B2552" s="8"/>
      <c r="C2552" s="14" t="s">
        <v>425</v>
      </c>
      <c r="D2552" s="21" t="s">
        <v>54</v>
      </c>
      <c r="E2552" s="11">
        <v>955345.62</v>
      </c>
      <c r="F2552" s="11">
        <v>0</v>
      </c>
      <c r="G2552" s="8"/>
      <c r="H2552" s="9">
        <f t="shared" si="1346"/>
        <v>0</v>
      </c>
      <c r="I2552" s="8"/>
      <c r="J2552" s="8"/>
      <c r="K2552" s="8"/>
      <c r="L2552" s="9"/>
      <c r="M2552" s="9">
        <f t="shared" si="1347"/>
        <v>0</v>
      </c>
      <c r="N2552" s="11">
        <v>955345.62</v>
      </c>
      <c r="O2552" s="8"/>
      <c r="P2552" s="9">
        <f t="shared" si="1348"/>
        <v>955345.62</v>
      </c>
      <c r="Q2552" s="8"/>
      <c r="R2552" s="8"/>
      <c r="S2552" s="8"/>
      <c r="T2552" s="9"/>
      <c r="U2552" s="9">
        <f t="shared" si="1349"/>
        <v>955345.62</v>
      </c>
      <c r="V2552" s="9">
        <f t="shared" si="1350"/>
        <v>955345.62</v>
      </c>
      <c r="W2552" s="9">
        <f t="shared" si="1351"/>
        <v>0</v>
      </c>
      <c r="X2552" s="9">
        <f t="shared" si="1352"/>
        <v>955345.62</v>
      </c>
      <c r="Y2552" s="8"/>
      <c r="Z2552" s="9">
        <f t="shared" si="1353"/>
        <v>0</v>
      </c>
      <c r="AA2552" s="8">
        <f t="shared" si="1354"/>
        <v>955345.62</v>
      </c>
      <c r="AB2552" s="8">
        <f t="shared" si="1355"/>
        <v>0</v>
      </c>
    </row>
    <row r="2553" spans="1:28" x14ac:dyDescent="0.3">
      <c r="A2553" s="64"/>
      <c r="B2553" s="8"/>
      <c r="C2553" s="14" t="s">
        <v>426</v>
      </c>
      <c r="D2553" s="21" t="s">
        <v>54</v>
      </c>
      <c r="E2553" s="11">
        <v>445413</v>
      </c>
      <c r="F2553" s="11">
        <v>445413</v>
      </c>
      <c r="G2553" s="8"/>
      <c r="H2553" s="9">
        <f t="shared" si="1346"/>
        <v>445413</v>
      </c>
      <c r="I2553" s="8"/>
      <c r="J2553" s="8"/>
      <c r="K2553" s="8"/>
      <c r="L2553" s="9"/>
      <c r="M2553" s="9">
        <f t="shared" si="1347"/>
        <v>445413</v>
      </c>
      <c r="N2553" s="11">
        <v>0</v>
      </c>
      <c r="O2553" s="8"/>
      <c r="P2553" s="9">
        <f t="shared" si="1348"/>
        <v>0</v>
      </c>
      <c r="Q2553" s="8"/>
      <c r="R2553" s="8"/>
      <c r="S2553" s="8"/>
      <c r="T2553" s="9"/>
      <c r="U2553" s="9">
        <f t="shared" si="1349"/>
        <v>0</v>
      </c>
      <c r="V2553" s="9">
        <f t="shared" si="1350"/>
        <v>445413</v>
      </c>
      <c r="W2553" s="9">
        <f t="shared" si="1351"/>
        <v>0</v>
      </c>
      <c r="X2553" s="9">
        <f t="shared" si="1352"/>
        <v>445413</v>
      </c>
      <c r="Y2553" s="8"/>
      <c r="Z2553" s="9">
        <f t="shared" si="1353"/>
        <v>0</v>
      </c>
      <c r="AA2553" s="8">
        <f t="shared" si="1354"/>
        <v>445413</v>
      </c>
      <c r="AB2553" s="8">
        <f t="shared" si="1355"/>
        <v>0</v>
      </c>
    </row>
    <row r="2554" spans="1:28" x14ac:dyDescent="0.3">
      <c r="A2554" s="64"/>
      <c r="B2554" s="8"/>
      <c r="C2554" s="14" t="s">
        <v>427</v>
      </c>
      <c r="D2554" s="21" t="s">
        <v>85</v>
      </c>
      <c r="E2554" s="11">
        <f>1000000+400000</f>
        <v>1400000</v>
      </c>
      <c r="F2554" s="11">
        <v>1400000</v>
      </c>
      <c r="G2554" s="8"/>
      <c r="H2554" s="9">
        <f t="shared" si="1346"/>
        <v>1400000</v>
      </c>
      <c r="I2554" s="8"/>
      <c r="J2554" s="8"/>
      <c r="K2554" s="8"/>
      <c r="L2554" s="9"/>
      <c r="M2554" s="9">
        <f t="shared" si="1347"/>
        <v>1400000</v>
      </c>
      <c r="N2554" s="11">
        <v>0</v>
      </c>
      <c r="O2554" s="8"/>
      <c r="P2554" s="9">
        <f t="shared" si="1348"/>
        <v>0</v>
      </c>
      <c r="Q2554" s="8"/>
      <c r="R2554" s="8"/>
      <c r="S2554" s="8"/>
      <c r="T2554" s="9"/>
      <c r="U2554" s="9">
        <f t="shared" si="1349"/>
        <v>0</v>
      </c>
      <c r="V2554" s="9">
        <f t="shared" si="1350"/>
        <v>1400000</v>
      </c>
      <c r="W2554" s="9">
        <f t="shared" si="1351"/>
        <v>0</v>
      </c>
      <c r="X2554" s="9">
        <f t="shared" si="1352"/>
        <v>1400000</v>
      </c>
      <c r="Y2554" s="8"/>
      <c r="Z2554" s="9">
        <f t="shared" si="1353"/>
        <v>0</v>
      </c>
      <c r="AA2554" s="8">
        <f t="shared" si="1354"/>
        <v>1400000</v>
      </c>
      <c r="AB2554" s="8">
        <f t="shared" si="1355"/>
        <v>0</v>
      </c>
    </row>
    <row r="2555" spans="1:28" x14ac:dyDescent="0.3">
      <c r="A2555" s="64"/>
      <c r="B2555" s="8"/>
      <c r="C2555" s="14" t="s">
        <v>428</v>
      </c>
      <c r="D2555" s="21" t="s">
        <v>85</v>
      </c>
      <c r="E2555" s="11">
        <v>2000000</v>
      </c>
      <c r="F2555" s="11">
        <v>2000000</v>
      </c>
      <c r="G2555" s="8"/>
      <c r="H2555" s="9">
        <f t="shared" si="1346"/>
        <v>2000000</v>
      </c>
      <c r="I2555" s="8"/>
      <c r="J2555" s="8"/>
      <c r="K2555" s="8"/>
      <c r="L2555" s="9"/>
      <c r="M2555" s="9">
        <f t="shared" si="1347"/>
        <v>2000000</v>
      </c>
      <c r="N2555" s="11">
        <v>0</v>
      </c>
      <c r="O2555" s="8"/>
      <c r="P2555" s="9">
        <f t="shared" si="1348"/>
        <v>0</v>
      </c>
      <c r="Q2555" s="8"/>
      <c r="R2555" s="8"/>
      <c r="S2555" s="8"/>
      <c r="T2555" s="9"/>
      <c r="U2555" s="9">
        <f t="shared" si="1349"/>
        <v>0</v>
      </c>
      <c r="V2555" s="9">
        <f t="shared" si="1350"/>
        <v>2000000</v>
      </c>
      <c r="W2555" s="9">
        <f t="shared" si="1351"/>
        <v>0</v>
      </c>
      <c r="X2555" s="9">
        <f t="shared" si="1352"/>
        <v>2000000</v>
      </c>
      <c r="Y2555" s="8"/>
      <c r="Z2555" s="9">
        <f t="shared" si="1353"/>
        <v>0</v>
      </c>
      <c r="AA2555" s="8">
        <f t="shared" si="1354"/>
        <v>2000000</v>
      </c>
      <c r="AB2555" s="8">
        <f t="shared" si="1355"/>
        <v>0</v>
      </c>
    </row>
    <row r="2556" spans="1:28" x14ac:dyDescent="0.3">
      <c r="A2556" s="64"/>
      <c r="B2556" s="8"/>
      <c r="C2556" s="14" t="s">
        <v>429</v>
      </c>
      <c r="D2556" s="21" t="s">
        <v>128</v>
      </c>
      <c r="E2556" s="11">
        <f>1600000+1411822.02</f>
        <v>3011822.02</v>
      </c>
      <c r="F2556" s="11">
        <f>953124+1411822.02</f>
        <v>2364946.02</v>
      </c>
      <c r="G2556" s="8"/>
      <c r="H2556" s="9">
        <f>+F2556+G2556</f>
        <v>2364946.02</v>
      </c>
      <c r="I2556" s="8"/>
      <c r="J2556" s="8"/>
      <c r="K2556" s="8"/>
      <c r="L2556" s="9"/>
      <c r="M2556" s="9">
        <f t="shared" si="1347"/>
        <v>2364946.02</v>
      </c>
      <c r="N2556" s="11">
        <v>0</v>
      </c>
      <c r="O2556" s="8"/>
      <c r="P2556" s="9">
        <f t="shared" si="1348"/>
        <v>0</v>
      </c>
      <c r="Q2556" s="8"/>
      <c r="R2556" s="8"/>
      <c r="S2556" s="8"/>
      <c r="T2556" s="9"/>
      <c r="U2556" s="9">
        <f t="shared" si="1349"/>
        <v>0</v>
      </c>
      <c r="V2556" s="9">
        <f t="shared" si="1350"/>
        <v>2364946.02</v>
      </c>
      <c r="W2556" s="9">
        <f t="shared" si="1351"/>
        <v>646876</v>
      </c>
      <c r="X2556" s="9">
        <f t="shared" si="1352"/>
        <v>2364946.02</v>
      </c>
      <c r="Y2556" s="8"/>
      <c r="Z2556" s="9">
        <f t="shared" si="1353"/>
        <v>646876</v>
      </c>
      <c r="AA2556" s="8">
        <f t="shared" si="1354"/>
        <v>2364946.02</v>
      </c>
      <c r="AB2556" s="8">
        <f t="shared" si="1355"/>
        <v>646876</v>
      </c>
    </row>
    <row r="2557" spans="1:28" x14ac:dyDescent="0.3">
      <c r="A2557" s="64"/>
      <c r="B2557" s="8"/>
      <c r="C2557" s="14" t="s">
        <v>430</v>
      </c>
      <c r="D2557" s="21" t="s">
        <v>128</v>
      </c>
      <c r="E2557" s="11">
        <v>3000000</v>
      </c>
      <c r="F2557" s="11">
        <v>3000000</v>
      </c>
      <c r="G2557" s="8"/>
      <c r="H2557" s="9">
        <f t="shared" si="1346"/>
        <v>3000000</v>
      </c>
      <c r="I2557" s="8"/>
      <c r="J2557" s="8"/>
      <c r="K2557" s="8"/>
      <c r="L2557" s="9"/>
      <c r="M2557" s="9">
        <f t="shared" si="1347"/>
        <v>3000000</v>
      </c>
      <c r="N2557" s="11">
        <v>0</v>
      </c>
      <c r="O2557" s="8"/>
      <c r="P2557" s="9">
        <f t="shared" si="1348"/>
        <v>0</v>
      </c>
      <c r="Q2557" s="8"/>
      <c r="R2557" s="8"/>
      <c r="S2557" s="8"/>
      <c r="T2557" s="9"/>
      <c r="U2557" s="9">
        <f t="shared" si="1349"/>
        <v>0</v>
      </c>
      <c r="V2557" s="9">
        <f t="shared" si="1350"/>
        <v>3000000</v>
      </c>
      <c r="W2557" s="9">
        <f t="shared" si="1351"/>
        <v>0</v>
      </c>
      <c r="X2557" s="9">
        <f t="shared" si="1352"/>
        <v>3000000</v>
      </c>
      <c r="Y2557" s="8"/>
      <c r="Z2557" s="9">
        <f t="shared" si="1353"/>
        <v>0</v>
      </c>
      <c r="AA2557" s="8">
        <f t="shared" si="1354"/>
        <v>3000000</v>
      </c>
      <c r="AB2557" s="8">
        <f t="shared" si="1355"/>
        <v>0</v>
      </c>
    </row>
    <row r="2558" spans="1:28" x14ac:dyDescent="0.3">
      <c r="A2558" s="64"/>
      <c r="B2558" s="8"/>
      <c r="C2558" s="14" t="s">
        <v>431</v>
      </c>
      <c r="D2558" s="21" t="s">
        <v>128</v>
      </c>
      <c r="E2558" s="11">
        <v>800000</v>
      </c>
      <c r="F2558" s="11">
        <v>800000</v>
      </c>
      <c r="G2558" s="8"/>
      <c r="H2558" s="9">
        <f t="shared" si="1346"/>
        <v>800000</v>
      </c>
      <c r="I2558" s="8"/>
      <c r="J2558" s="8"/>
      <c r="K2558" s="8"/>
      <c r="L2558" s="9"/>
      <c r="M2558" s="9">
        <f t="shared" si="1347"/>
        <v>800000</v>
      </c>
      <c r="N2558" s="11">
        <v>0</v>
      </c>
      <c r="O2558" s="8"/>
      <c r="P2558" s="9">
        <f t="shared" si="1348"/>
        <v>0</v>
      </c>
      <c r="Q2558" s="8"/>
      <c r="R2558" s="8"/>
      <c r="S2558" s="8"/>
      <c r="T2558" s="9"/>
      <c r="U2558" s="9">
        <f t="shared" si="1349"/>
        <v>0</v>
      </c>
      <c r="V2558" s="9">
        <f t="shared" si="1350"/>
        <v>800000</v>
      </c>
      <c r="W2558" s="9">
        <f t="shared" si="1351"/>
        <v>0</v>
      </c>
      <c r="X2558" s="9">
        <f t="shared" si="1352"/>
        <v>800000</v>
      </c>
      <c r="Y2558" s="8"/>
      <c r="Z2558" s="9">
        <f t="shared" si="1353"/>
        <v>0</v>
      </c>
      <c r="AA2558" s="8">
        <f t="shared" si="1354"/>
        <v>800000</v>
      </c>
      <c r="AB2558" s="8">
        <f t="shared" si="1355"/>
        <v>0</v>
      </c>
    </row>
    <row r="2559" spans="1:28" x14ac:dyDescent="0.3">
      <c r="A2559" s="64"/>
      <c r="B2559" s="8"/>
      <c r="C2559" s="14" t="s">
        <v>432</v>
      </c>
      <c r="D2559" s="21" t="s">
        <v>128</v>
      </c>
      <c r="E2559" s="11">
        <v>1681139</v>
      </c>
      <c r="F2559" s="11">
        <v>1681139</v>
      </c>
      <c r="G2559" s="8"/>
      <c r="H2559" s="9">
        <f t="shared" si="1346"/>
        <v>1681139</v>
      </c>
      <c r="I2559" s="8"/>
      <c r="J2559" s="8"/>
      <c r="K2559" s="8"/>
      <c r="L2559" s="9"/>
      <c r="M2559" s="9">
        <f t="shared" si="1347"/>
        <v>1681139</v>
      </c>
      <c r="N2559" s="11">
        <v>0</v>
      </c>
      <c r="O2559" s="8"/>
      <c r="P2559" s="9">
        <f t="shared" si="1348"/>
        <v>0</v>
      </c>
      <c r="Q2559" s="8"/>
      <c r="R2559" s="8"/>
      <c r="S2559" s="8"/>
      <c r="T2559" s="9"/>
      <c r="U2559" s="9">
        <f t="shared" si="1349"/>
        <v>0</v>
      </c>
      <c r="V2559" s="9">
        <f t="shared" si="1350"/>
        <v>1681139</v>
      </c>
      <c r="W2559" s="9">
        <f t="shared" si="1351"/>
        <v>0</v>
      </c>
      <c r="X2559" s="9">
        <f t="shared" si="1352"/>
        <v>1681139</v>
      </c>
      <c r="Y2559" s="8"/>
      <c r="Z2559" s="9">
        <f t="shared" si="1353"/>
        <v>0</v>
      </c>
      <c r="AA2559" s="8">
        <f t="shared" si="1354"/>
        <v>1681139</v>
      </c>
      <c r="AB2559" s="8">
        <f t="shared" si="1355"/>
        <v>0</v>
      </c>
    </row>
    <row r="2560" spans="1:28" x14ac:dyDescent="0.3">
      <c r="A2560" s="64"/>
      <c r="B2560" s="8"/>
      <c r="C2560" s="14" t="s">
        <v>143</v>
      </c>
      <c r="D2560" s="21" t="s">
        <v>60</v>
      </c>
      <c r="E2560" s="11">
        <v>7924290.5700000003</v>
      </c>
      <c r="F2560" s="11">
        <v>7924290.5700000003</v>
      </c>
      <c r="G2560" s="8"/>
      <c r="H2560" s="9">
        <f t="shared" si="1346"/>
        <v>7924290.5700000003</v>
      </c>
      <c r="I2560" s="8"/>
      <c r="J2560" s="8"/>
      <c r="K2560" s="8"/>
      <c r="L2560" s="9"/>
      <c r="M2560" s="9">
        <f t="shared" si="1347"/>
        <v>7924290.5700000003</v>
      </c>
      <c r="N2560" s="11">
        <v>0</v>
      </c>
      <c r="O2560" s="8"/>
      <c r="P2560" s="9">
        <f t="shared" si="1348"/>
        <v>0</v>
      </c>
      <c r="Q2560" s="8"/>
      <c r="R2560" s="8"/>
      <c r="S2560" s="8"/>
      <c r="T2560" s="9"/>
      <c r="U2560" s="9">
        <f t="shared" si="1349"/>
        <v>0</v>
      </c>
      <c r="V2560" s="9">
        <f t="shared" si="1350"/>
        <v>7924290.5700000003</v>
      </c>
      <c r="W2560" s="9">
        <f t="shared" si="1351"/>
        <v>0</v>
      </c>
      <c r="X2560" s="9">
        <f t="shared" si="1352"/>
        <v>7924290.5700000003</v>
      </c>
      <c r="Y2560" s="8"/>
      <c r="Z2560" s="9">
        <f t="shared" si="1353"/>
        <v>0</v>
      </c>
      <c r="AA2560" s="8">
        <f t="shared" si="1354"/>
        <v>7924290.5700000003</v>
      </c>
      <c r="AB2560" s="8">
        <f t="shared" si="1355"/>
        <v>0</v>
      </c>
    </row>
    <row r="2561" spans="1:28" x14ac:dyDescent="0.3">
      <c r="A2561" s="64"/>
      <c r="B2561" s="8"/>
      <c r="C2561" s="14" t="s">
        <v>143</v>
      </c>
      <c r="D2561" s="21" t="s">
        <v>73</v>
      </c>
      <c r="E2561" s="11">
        <f>8485708.01+2401551.72+2121733</f>
        <v>13008992.73</v>
      </c>
      <c r="F2561" s="11">
        <f>8485708.01+2401551.72+2121733</f>
        <v>13008992.73</v>
      </c>
      <c r="G2561" s="8"/>
      <c r="H2561" s="9">
        <f t="shared" si="1346"/>
        <v>13008992.73</v>
      </c>
      <c r="I2561" s="11"/>
      <c r="J2561" s="8"/>
      <c r="K2561" s="11"/>
      <c r="L2561" s="9"/>
      <c r="M2561" s="9">
        <f t="shared" si="1347"/>
        <v>13008992.73</v>
      </c>
      <c r="N2561" s="11">
        <v>0</v>
      </c>
      <c r="O2561" s="8"/>
      <c r="P2561" s="9">
        <f t="shared" si="1348"/>
        <v>0</v>
      </c>
      <c r="Q2561" s="8"/>
      <c r="R2561" s="8"/>
      <c r="S2561" s="8"/>
      <c r="T2561" s="9"/>
      <c r="U2561" s="9">
        <f t="shared" si="1349"/>
        <v>0</v>
      </c>
      <c r="V2561" s="9">
        <f t="shared" si="1350"/>
        <v>13008992.73</v>
      </c>
      <c r="W2561" s="9">
        <f t="shared" si="1351"/>
        <v>0</v>
      </c>
      <c r="X2561" s="9">
        <f t="shared" si="1352"/>
        <v>13008992.73</v>
      </c>
      <c r="Y2561" s="8"/>
      <c r="Z2561" s="9">
        <f t="shared" si="1353"/>
        <v>0</v>
      </c>
      <c r="AA2561" s="8">
        <f t="shared" si="1354"/>
        <v>13008992.73</v>
      </c>
      <c r="AB2561" s="8">
        <f t="shared" si="1355"/>
        <v>0</v>
      </c>
    </row>
    <row r="2562" spans="1:28" x14ac:dyDescent="0.3">
      <c r="A2562" s="64"/>
      <c r="B2562" s="8"/>
      <c r="C2562" s="14" t="s">
        <v>415</v>
      </c>
      <c r="D2562" s="21" t="s">
        <v>194</v>
      </c>
      <c r="E2562" s="11">
        <v>911000</v>
      </c>
      <c r="F2562" s="8">
        <v>911000</v>
      </c>
      <c r="G2562" s="8"/>
      <c r="H2562" s="9">
        <f t="shared" si="1346"/>
        <v>911000</v>
      </c>
      <c r="I2562" s="11"/>
      <c r="J2562" s="8"/>
      <c r="K2562" s="11"/>
      <c r="L2562" s="9"/>
      <c r="M2562" s="9">
        <f t="shared" si="1347"/>
        <v>911000</v>
      </c>
      <c r="N2562" s="11">
        <v>0</v>
      </c>
      <c r="O2562" s="8"/>
      <c r="P2562" s="9">
        <f t="shared" si="1348"/>
        <v>0</v>
      </c>
      <c r="Q2562" s="8"/>
      <c r="R2562" s="8"/>
      <c r="S2562" s="8"/>
      <c r="T2562" s="9"/>
      <c r="U2562" s="9">
        <f t="shared" si="1349"/>
        <v>0</v>
      </c>
      <c r="V2562" s="9">
        <f t="shared" si="1350"/>
        <v>911000</v>
      </c>
      <c r="W2562" s="9">
        <f t="shared" si="1351"/>
        <v>0</v>
      </c>
      <c r="X2562" s="9">
        <f t="shared" si="1352"/>
        <v>911000</v>
      </c>
      <c r="Y2562" s="8"/>
      <c r="Z2562" s="9">
        <f t="shared" si="1353"/>
        <v>0</v>
      </c>
      <c r="AA2562" s="8">
        <f t="shared" si="1354"/>
        <v>911000</v>
      </c>
      <c r="AB2562" s="8">
        <f t="shared" si="1355"/>
        <v>0</v>
      </c>
    </row>
    <row r="2563" spans="1:28" x14ac:dyDescent="0.3">
      <c r="A2563" s="64"/>
      <c r="B2563" s="8"/>
      <c r="C2563" s="14" t="s">
        <v>930</v>
      </c>
      <c r="D2563" s="24" t="s">
        <v>1072</v>
      </c>
      <c r="E2563" s="11">
        <v>12440261.51</v>
      </c>
      <c r="F2563" s="8">
        <v>12440261.51</v>
      </c>
      <c r="G2563" s="8"/>
      <c r="H2563" s="9">
        <f>+F2563+G2563</f>
        <v>12440261.51</v>
      </c>
      <c r="I2563" s="11"/>
      <c r="J2563" s="8"/>
      <c r="K2563" s="11"/>
      <c r="L2563" s="9"/>
      <c r="M2563" s="9">
        <f t="shared" si="1347"/>
        <v>12440261.51</v>
      </c>
      <c r="N2563" s="11">
        <v>0</v>
      </c>
      <c r="O2563" s="8"/>
      <c r="P2563" s="9">
        <f t="shared" si="1348"/>
        <v>0</v>
      </c>
      <c r="Q2563" s="8"/>
      <c r="R2563" s="8"/>
      <c r="S2563" s="8"/>
      <c r="T2563" s="9"/>
      <c r="U2563" s="9">
        <f t="shared" si="1349"/>
        <v>0</v>
      </c>
      <c r="V2563" s="9">
        <f t="shared" si="1350"/>
        <v>12440261.51</v>
      </c>
      <c r="W2563" s="9">
        <f t="shared" si="1351"/>
        <v>0</v>
      </c>
      <c r="X2563" s="9">
        <f t="shared" si="1352"/>
        <v>12440261.51</v>
      </c>
      <c r="Y2563" s="8"/>
      <c r="Z2563" s="9">
        <f t="shared" si="1353"/>
        <v>0</v>
      </c>
      <c r="AA2563" s="8">
        <f t="shared" si="1354"/>
        <v>12440261.51</v>
      </c>
      <c r="AB2563" s="8">
        <f t="shared" si="1355"/>
        <v>0</v>
      </c>
    </row>
    <row r="2564" spans="1:28" x14ac:dyDescent="0.3">
      <c r="A2564" s="64"/>
      <c r="B2564" s="8"/>
      <c r="C2564" s="14" t="s">
        <v>1160</v>
      </c>
      <c r="D2564" s="24" t="s">
        <v>1229</v>
      </c>
      <c r="E2564" s="11">
        <f>500000+88177.98+1000000</f>
        <v>1588177.98</v>
      </c>
      <c r="F2564" s="8">
        <f>500000+88177.98+1000000</f>
        <v>1588177.98</v>
      </c>
      <c r="G2564" s="8"/>
      <c r="H2564" s="9">
        <f>+F2564+G2564</f>
        <v>1588177.98</v>
      </c>
      <c r="I2564" s="11"/>
      <c r="J2564" s="8"/>
      <c r="K2564" s="11"/>
      <c r="L2564" s="9"/>
      <c r="M2564" s="9">
        <f>+H2564+L2564</f>
        <v>1588177.98</v>
      </c>
      <c r="N2564" s="11">
        <v>0</v>
      </c>
      <c r="O2564" s="8"/>
      <c r="P2564" s="9">
        <f t="shared" si="1348"/>
        <v>0</v>
      </c>
      <c r="Q2564" s="8"/>
      <c r="R2564" s="8"/>
      <c r="S2564" s="8"/>
      <c r="T2564" s="9"/>
      <c r="U2564" s="9">
        <f t="shared" si="1349"/>
        <v>0</v>
      </c>
      <c r="V2564" s="9">
        <f t="shared" si="1350"/>
        <v>1588177.98</v>
      </c>
      <c r="W2564" s="9">
        <f t="shared" si="1351"/>
        <v>0</v>
      </c>
      <c r="X2564" s="9">
        <f t="shared" si="1352"/>
        <v>1588177.98</v>
      </c>
      <c r="Y2564" s="8"/>
      <c r="Z2564" s="9">
        <f t="shared" si="1353"/>
        <v>0</v>
      </c>
      <c r="AA2564" s="8">
        <f t="shared" si="1354"/>
        <v>1588177.98</v>
      </c>
      <c r="AB2564" s="8">
        <f t="shared" si="1355"/>
        <v>0</v>
      </c>
    </row>
    <row r="2565" spans="1:28" x14ac:dyDescent="0.3">
      <c r="A2565" s="64"/>
      <c r="B2565" s="8"/>
      <c r="C2565" s="14" t="s">
        <v>1176</v>
      </c>
      <c r="D2565" s="24" t="s">
        <v>1126</v>
      </c>
      <c r="E2565" s="11">
        <f>4702012.19+3612647.01</f>
        <v>8314659.2000000002</v>
      </c>
      <c r="F2565" s="8">
        <f>4702012.19+3612647.01</f>
        <v>8314659.2000000002</v>
      </c>
      <c r="G2565" s="8"/>
      <c r="H2565" s="9">
        <f>+F2565+G2565</f>
        <v>8314659.2000000002</v>
      </c>
      <c r="I2565" s="11"/>
      <c r="J2565" s="8"/>
      <c r="K2565" s="11"/>
      <c r="L2565" s="9"/>
      <c r="M2565" s="9">
        <f>+H2565+L2565</f>
        <v>8314659.2000000002</v>
      </c>
      <c r="N2565" s="11">
        <v>0</v>
      </c>
      <c r="O2565" s="8"/>
      <c r="P2565" s="9">
        <f t="shared" si="1348"/>
        <v>0</v>
      </c>
      <c r="Q2565" s="8"/>
      <c r="R2565" s="8"/>
      <c r="S2565" s="8"/>
      <c r="T2565" s="9"/>
      <c r="U2565" s="9">
        <f t="shared" si="1349"/>
        <v>0</v>
      </c>
      <c r="V2565" s="9">
        <f t="shared" si="1350"/>
        <v>8314659.2000000002</v>
      </c>
      <c r="W2565" s="9">
        <f t="shared" si="1351"/>
        <v>0</v>
      </c>
      <c r="X2565" s="9">
        <f t="shared" si="1352"/>
        <v>8314659.2000000002</v>
      </c>
      <c r="Y2565" s="8"/>
      <c r="Z2565" s="9">
        <f t="shared" si="1353"/>
        <v>0</v>
      </c>
      <c r="AA2565" s="8">
        <f t="shared" si="1354"/>
        <v>8314659.2000000002</v>
      </c>
      <c r="AB2565" s="8">
        <f t="shared" si="1355"/>
        <v>0</v>
      </c>
    </row>
    <row r="2566" spans="1:28" x14ac:dyDescent="0.3">
      <c r="A2566" s="64"/>
      <c r="B2566" s="8"/>
      <c r="C2566" s="14" t="s">
        <v>433</v>
      </c>
      <c r="D2566" s="8"/>
      <c r="E2566" s="11">
        <v>3845305</v>
      </c>
      <c r="F2566" s="11">
        <v>3845305</v>
      </c>
      <c r="G2566" s="8"/>
      <c r="H2566" s="9">
        <f t="shared" si="1346"/>
        <v>3845305</v>
      </c>
      <c r="I2566" s="8"/>
      <c r="J2566" s="8"/>
      <c r="K2566" s="8"/>
      <c r="L2566" s="9"/>
      <c r="M2566" s="9">
        <f t="shared" si="1347"/>
        <v>3845305</v>
      </c>
      <c r="N2566" s="11">
        <v>0</v>
      </c>
      <c r="O2566" s="8"/>
      <c r="P2566" s="9">
        <f t="shared" si="1348"/>
        <v>0</v>
      </c>
      <c r="Q2566" s="8"/>
      <c r="R2566" s="8"/>
      <c r="S2566" s="8"/>
      <c r="T2566" s="9"/>
      <c r="U2566" s="9">
        <f t="shared" si="1349"/>
        <v>0</v>
      </c>
      <c r="V2566" s="9">
        <f t="shared" si="1350"/>
        <v>3845305</v>
      </c>
      <c r="W2566" s="9">
        <f t="shared" si="1351"/>
        <v>0</v>
      </c>
      <c r="X2566" s="9">
        <f t="shared" si="1352"/>
        <v>3845305</v>
      </c>
      <c r="Y2566" s="8"/>
      <c r="Z2566" s="9">
        <f t="shared" si="1353"/>
        <v>0</v>
      </c>
      <c r="AA2566" s="8">
        <f t="shared" si="1354"/>
        <v>3845305</v>
      </c>
      <c r="AB2566" s="8">
        <f t="shared" si="1355"/>
        <v>0</v>
      </c>
    </row>
    <row r="2567" spans="1:28" x14ac:dyDescent="0.3">
      <c r="A2567" s="64"/>
      <c r="B2567" s="8"/>
      <c r="C2567" s="14" t="s">
        <v>434</v>
      </c>
      <c r="D2567" s="8"/>
      <c r="E2567" s="11">
        <v>349393</v>
      </c>
      <c r="F2567" s="11">
        <v>349393</v>
      </c>
      <c r="G2567" s="8"/>
      <c r="H2567" s="9">
        <f t="shared" si="1346"/>
        <v>349393</v>
      </c>
      <c r="I2567" s="8"/>
      <c r="J2567" s="8"/>
      <c r="K2567" s="8"/>
      <c r="L2567" s="9"/>
      <c r="M2567" s="9">
        <f t="shared" si="1347"/>
        <v>349393</v>
      </c>
      <c r="N2567" s="11">
        <v>0</v>
      </c>
      <c r="O2567" s="8"/>
      <c r="P2567" s="9">
        <f t="shared" si="1348"/>
        <v>0</v>
      </c>
      <c r="Q2567" s="8"/>
      <c r="R2567" s="8"/>
      <c r="S2567" s="8"/>
      <c r="T2567" s="9"/>
      <c r="U2567" s="9">
        <f t="shared" si="1349"/>
        <v>0</v>
      </c>
      <c r="V2567" s="9">
        <f t="shared" si="1350"/>
        <v>349393</v>
      </c>
      <c r="W2567" s="9">
        <f t="shared" si="1351"/>
        <v>0</v>
      </c>
      <c r="X2567" s="9">
        <f t="shared" si="1352"/>
        <v>349393</v>
      </c>
      <c r="Y2567" s="8"/>
      <c r="Z2567" s="9">
        <f t="shared" si="1353"/>
        <v>0</v>
      </c>
      <c r="AA2567" s="8">
        <f t="shared" si="1354"/>
        <v>349393</v>
      </c>
      <c r="AB2567" s="8">
        <f t="shared" si="1355"/>
        <v>0</v>
      </c>
    </row>
    <row r="2568" spans="1:28" x14ac:dyDescent="0.3">
      <c r="A2568" s="64"/>
      <c r="B2568" s="8"/>
      <c r="C2568" s="14" t="s">
        <v>435</v>
      </c>
      <c r="D2568" s="8"/>
      <c r="E2568" s="11">
        <v>835137</v>
      </c>
      <c r="F2568" s="11">
        <v>835137</v>
      </c>
      <c r="G2568" s="8"/>
      <c r="H2568" s="9">
        <f t="shared" si="1346"/>
        <v>835137</v>
      </c>
      <c r="I2568" s="8"/>
      <c r="J2568" s="8"/>
      <c r="K2568" s="8"/>
      <c r="L2568" s="9"/>
      <c r="M2568" s="9">
        <f t="shared" si="1347"/>
        <v>835137</v>
      </c>
      <c r="N2568" s="11">
        <v>0</v>
      </c>
      <c r="O2568" s="8"/>
      <c r="P2568" s="9">
        <f t="shared" si="1348"/>
        <v>0</v>
      </c>
      <c r="Q2568" s="8"/>
      <c r="R2568" s="8"/>
      <c r="S2568" s="8"/>
      <c r="T2568" s="9"/>
      <c r="U2568" s="9">
        <f t="shared" si="1349"/>
        <v>0</v>
      </c>
      <c r="V2568" s="9">
        <f t="shared" si="1350"/>
        <v>835137</v>
      </c>
      <c r="W2568" s="9">
        <f t="shared" si="1351"/>
        <v>0</v>
      </c>
      <c r="X2568" s="9">
        <f t="shared" si="1352"/>
        <v>835137</v>
      </c>
      <c r="Y2568" s="8"/>
      <c r="Z2568" s="9">
        <f t="shared" si="1353"/>
        <v>0</v>
      </c>
      <c r="AA2568" s="8">
        <f t="shared" si="1354"/>
        <v>835137</v>
      </c>
      <c r="AB2568" s="8">
        <f t="shared" si="1355"/>
        <v>0</v>
      </c>
    </row>
    <row r="2569" spans="1:28" x14ac:dyDescent="0.3">
      <c r="A2569" s="64"/>
      <c r="B2569" s="8"/>
      <c r="C2569" s="14" t="s">
        <v>419</v>
      </c>
      <c r="D2569" s="8"/>
      <c r="E2569" s="11">
        <v>150894.20000000001</v>
      </c>
      <c r="F2569" s="11">
        <v>150894.20000000001</v>
      </c>
      <c r="G2569" s="8"/>
      <c r="H2569" s="9">
        <f t="shared" si="1346"/>
        <v>150894.20000000001</v>
      </c>
      <c r="I2569" s="8"/>
      <c r="J2569" s="8"/>
      <c r="K2569" s="8"/>
      <c r="L2569" s="9"/>
      <c r="M2569" s="9">
        <f t="shared" si="1347"/>
        <v>150894.20000000001</v>
      </c>
      <c r="N2569" s="11">
        <v>0</v>
      </c>
      <c r="O2569" s="8"/>
      <c r="P2569" s="9">
        <f t="shared" si="1348"/>
        <v>0</v>
      </c>
      <c r="Q2569" s="8"/>
      <c r="R2569" s="8"/>
      <c r="S2569" s="8"/>
      <c r="T2569" s="9"/>
      <c r="U2569" s="9">
        <f t="shared" si="1349"/>
        <v>0</v>
      </c>
      <c r="V2569" s="9">
        <f t="shared" si="1350"/>
        <v>150894.20000000001</v>
      </c>
      <c r="W2569" s="9">
        <f t="shared" si="1351"/>
        <v>0</v>
      </c>
      <c r="X2569" s="9">
        <f t="shared" si="1352"/>
        <v>150894.20000000001</v>
      </c>
      <c r="Y2569" s="8"/>
      <c r="Z2569" s="9">
        <f t="shared" si="1353"/>
        <v>0</v>
      </c>
      <c r="AA2569" s="8">
        <f t="shared" si="1354"/>
        <v>150894.20000000001</v>
      </c>
      <c r="AB2569" s="8">
        <f t="shared" si="1355"/>
        <v>0</v>
      </c>
    </row>
    <row r="2570" spans="1:28" x14ac:dyDescent="0.3">
      <c r="A2570" s="64"/>
      <c r="B2570" s="8"/>
      <c r="C2570" s="14" t="s">
        <v>109</v>
      </c>
      <c r="D2570" s="8"/>
      <c r="E2570" s="11">
        <v>7500000</v>
      </c>
      <c r="F2570" s="11">
        <v>7500000</v>
      </c>
      <c r="G2570" s="8"/>
      <c r="H2570" s="9">
        <f t="shared" si="1346"/>
        <v>7500000</v>
      </c>
      <c r="I2570" s="8"/>
      <c r="J2570" s="8"/>
      <c r="K2570" s="8"/>
      <c r="L2570" s="9"/>
      <c r="M2570" s="9">
        <f t="shared" si="1347"/>
        <v>7500000</v>
      </c>
      <c r="N2570" s="11">
        <v>0</v>
      </c>
      <c r="O2570" s="8"/>
      <c r="P2570" s="9">
        <f t="shared" si="1348"/>
        <v>0</v>
      </c>
      <c r="Q2570" s="8"/>
      <c r="R2570" s="8"/>
      <c r="S2570" s="8"/>
      <c r="T2570" s="9"/>
      <c r="U2570" s="9">
        <f t="shared" si="1349"/>
        <v>0</v>
      </c>
      <c r="V2570" s="9">
        <f t="shared" si="1350"/>
        <v>7500000</v>
      </c>
      <c r="W2570" s="9">
        <f t="shared" si="1351"/>
        <v>0</v>
      </c>
      <c r="X2570" s="9">
        <f t="shared" si="1352"/>
        <v>7500000</v>
      </c>
      <c r="Y2570" s="8"/>
      <c r="Z2570" s="9">
        <f t="shared" si="1353"/>
        <v>0</v>
      </c>
      <c r="AA2570" s="8">
        <f t="shared" si="1354"/>
        <v>7500000</v>
      </c>
      <c r="AB2570" s="8">
        <f t="shared" si="1355"/>
        <v>0</v>
      </c>
    </row>
    <row r="2571" spans="1:28" x14ac:dyDescent="0.3">
      <c r="A2571" s="64"/>
      <c r="B2571" s="8"/>
      <c r="C2571" s="14" t="s">
        <v>143</v>
      </c>
      <c r="D2571" s="23" t="s">
        <v>61</v>
      </c>
      <c r="E2571" s="11">
        <f>16551959.37+299885.27</f>
        <v>16851844.640000001</v>
      </c>
      <c r="F2571" s="8">
        <v>16551959.369999999</v>
      </c>
      <c r="G2571" s="8"/>
      <c r="H2571" s="9">
        <f t="shared" si="1346"/>
        <v>16551959.369999999</v>
      </c>
      <c r="I2571" s="8"/>
      <c r="J2571" s="8"/>
      <c r="K2571" s="8"/>
      <c r="L2571" s="9"/>
      <c r="M2571" s="9">
        <f t="shared" si="1347"/>
        <v>16551959.369999999</v>
      </c>
      <c r="N2571" s="11">
        <v>0</v>
      </c>
      <c r="O2571" s="8"/>
      <c r="P2571" s="9">
        <f t="shared" si="1348"/>
        <v>0</v>
      </c>
      <c r="Q2571" s="8">
        <v>299885.27</v>
      </c>
      <c r="R2571" s="8"/>
      <c r="S2571" s="8"/>
      <c r="T2571" s="9">
        <v>299885.27</v>
      </c>
      <c r="U2571" s="9">
        <f t="shared" si="1349"/>
        <v>299885.27</v>
      </c>
      <c r="V2571" s="9">
        <f t="shared" si="1350"/>
        <v>16551959.369999999</v>
      </c>
      <c r="W2571" s="9">
        <f t="shared" si="1351"/>
        <v>299885.27000000142</v>
      </c>
      <c r="X2571" s="9">
        <f t="shared" si="1352"/>
        <v>16551959.369999999</v>
      </c>
      <c r="Y2571" s="8"/>
      <c r="Z2571" s="9">
        <f t="shared" si="1353"/>
        <v>299885.27000000142</v>
      </c>
      <c r="AA2571" s="8">
        <f t="shared" si="1354"/>
        <v>16851844.640000001</v>
      </c>
      <c r="AB2571" s="8">
        <f t="shared" si="1355"/>
        <v>0</v>
      </c>
    </row>
    <row r="2572" spans="1:28" x14ac:dyDescent="0.3">
      <c r="A2572" s="64"/>
      <c r="B2572" s="8"/>
      <c r="C2572" s="8"/>
      <c r="D2572" s="8"/>
      <c r="E2572" s="26" t="s">
        <v>29</v>
      </c>
      <c r="F2572" s="26" t="s">
        <v>29</v>
      </c>
      <c r="G2572" s="26" t="s">
        <v>29</v>
      </c>
      <c r="H2572" s="26" t="s">
        <v>29</v>
      </c>
      <c r="I2572" s="26" t="s">
        <v>29</v>
      </c>
      <c r="J2572" s="26" t="s">
        <v>29</v>
      </c>
      <c r="K2572" s="26" t="s">
        <v>29</v>
      </c>
      <c r="L2572" s="26" t="s">
        <v>29</v>
      </c>
      <c r="M2572" s="26" t="s">
        <v>29</v>
      </c>
      <c r="N2572" s="26" t="s">
        <v>29</v>
      </c>
      <c r="O2572" s="26" t="s">
        <v>29</v>
      </c>
      <c r="P2572" s="26" t="s">
        <v>29</v>
      </c>
      <c r="Q2572" s="26" t="s">
        <v>29</v>
      </c>
      <c r="R2572" s="26" t="s">
        <v>29</v>
      </c>
      <c r="S2572" s="26" t="s">
        <v>29</v>
      </c>
      <c r="T2572" s="26" t="s">
        <v>29</v>
      </c>
      <c r="U2572" s="26" t="s">
        <v>29</v>
      </c>
      <c r="V2572" s="26" t="s">
        <v>29</v>
      </c>
      <c r="W2572" s="26" t="s">
        <v>29</v>
      </c>
      <c r="X2572" s="26" t="s">
        <v>29</v>
      </c>
      <c r="Y2572" s="26" t="s">
        <v>29</v>
      </c>
      <c r="Z2572" s="26" t="s">
        <v>29</v>
      </c>
      <c r="AA2572" s="17" t="s">
        <v>29</v>
      </c>
      <c r="AB2572" s="17" t="s">
        <v>29</v>
      </c>
    </row>
    <row r="2573" spans="1:28" x14ac:dyDescent="0.3">
      <c r="A2573" s="64"/>
      <c r="B2573" s="8"/>
      <c r="C2573" s="8"/>
      <c r="D2573" s="8"/>
      <c r="E2573" s="11">
        <f t="shared" ref="E2573:AB2573" si="1356">SUM(E2549:E2571)</f>
        <v>105846017.64</v>
      </c>
      <c r="F2573" s="11">
        <f t="shared" si="1356"/>
        <v>98176804.079999998</v>
      </c>
      <c r="G2573" s="11">
        <f t="shared" si="1356"/>
        <v>0</v>
      </c>
      <c r="H2573" s="11">
        <f t="shared" si="1356"/>
        <v>98176804.079999998</v>
      </c>
      <c r="I2573" s="11">
        <f t="shared" si="1356"/>
        <v>0</v>
      </c>
      <c r="J2573" s="11">
        <f t="shared" si="1356"/>
        <v>0</v>
      </c>
      <c r="K2573" s="11">
        <f t="shared" si="1356"/>
        <v>0</v>
      </c>
      <c r="L2573" s="11">
        <f t="shared" si="1356"/>
        <v>0</v>
      </c>
      <c r="M2573" s="11">
        <f t="shared" si="1356"/>
        <v>98176804.079999998</v>
      </c>
      <c r="N2573" s="11">
        <f t="shared" si="1356"/>
        <v>6722452.29</v>
      </c>
      <c r="O2573" s="11">
        <f t="shared" si="1356"/>
        <v>0</v>
      </c>
      <c r="P2573" s="11">
        <f t="shared" si="1356"/>
        <v>6722452.29</v>
      </c>
      <c r="Q2573" s="11">
        <f t="shared" si="1356"/>
        <v>299885.27</v>
      </c>
      <c r="R2573" s="11">
        <f t="shared" si="1356"/>
        <v>0</v>
      </c>
      <c r="S2573" s="11">
        <f t="shared" si="1356"/>
        <v>0</v>
      </c>
      <c r="T2573" s="11">
        <f t="shared" si="1356"/>
        <v>299885.27</v>
      </c>
      <c r="U2573" s="11">
        <f t="shared" si="1356"/>
        <v>7022337.5600000005</v>
      </c>
      <c r="V2573" s="11">
        <f t="shared" si="1356"/>
        <v>104899256.37</v>
      </c>
      <c r="W2573" s="11">
        <f t="shared" si="1356"/>
        <v>946761.27000000142</v>
      </c>
      <c r="X2573" s="11">
        <f t="shared" si="1356"/>
        <v>104899256.37</v>
      </c>
      <c r="Y2573" s="11">
        <f t="shared" si="1356"/>
        <v>0</v>
      </c>
      <c r="Z2573" s="11">
        <f t="shared" si="1356"/>
        <v>946761.27000000142</v>
      </c>
      <c r="AA2573" s="11">
        <f t="shared" si="1356"/>
        <v>105199141.64</v>
      </c>
      <c r="AB2573" s="11">
        <f t="shared" si="1356"/>
        <v>646876</v>
      </c>
    </row>
    <row r="2574" spans="1:28" x14ac:dyDescent="0.3">
      <c r="A2574" s="64"/>
      <c r="B2574" s="8"/>
      <c r="C2574" s="8"/>
      <c r="D2574" s="8"/>
      <c r="E2574" s="26" t="s">
        <v>29</v>
      </c>
      <c r="F2574" s="26" t="s">
        <v>29</v>
      </c>
      <c r="G2574" s="26" t="s">
        <v>29</v>
      </c>
      <c r="H2574" s="26" t="s">
        <v>29</v>
      </c>
      <c r="I2574" s="26" t="s">
        <v>29</v>
      </c>
      <c r="J2574" s="26" t="s">
        <v>29</v>
      </c>
      <c r="K2574" s="26" t="s">
        <v>29</v>
      </c>
      <c r="L2574" s="26" t="s">
        <v>29</v>
      </c>
      <c r="M2574" s="26" t="s">
        <v>29</v>
      </c>
      <c r="N2574" s="26" t="s">
        <v>29</v>
      </c>
      <c r="O2574" s="26" t="s">
        <v>29</v>
      </c>
      <c r="P2574" s="26" t="s">
        <v>29</v>
      </c>
      <c r="Q2574" s="26" t="s">
        <v>29</v>
      </c>
      <c r="R2574" s="26" t="s">
        <v>29</v>
      </c>
      <c r="S2574" s="26" t="s">
        <v>29</v>
      </c>
      <c r="T2574" s="26" t="s">
        <v>29</v>
      </c>
      <c r="U2574" s="26" t="s">
        <v>29</v>
      </c>
      <c r="V2574" s="26" t="s">
        <v>29</v>
      </c>
      <c r="W2574" s="26" t="s">
        <v>29</v>
      </c>
      <c r="X2574" s="26" t="s">
        <v>29</v>
      </c>
      <c r="Y2574" s="26" t="s">
        <v>29</v>
      </c>
      <c r="Z2574" s="26" t="s">
        <v>29</v>
      </c>
      <c r="AA2574" s="17" t="s">
        <v>29</v>
      </c>
      <c r="AB2574" s="17" t="s">
        <v>29</v>
      </c>
    </row>
    <row r="2575" spans="1:28" x14ac:dyDescent="0.3">
      <c r="A2575" s="64"/>
      <c r="B2575" s="8"/>
      <c r="C2575" s="7" t="s">
        <v>436</v>
      </c>
      <c r="D2575" s="8"/>
      <c r="E2575" s="9">
        <f t="shared" ref="E2575:AB2575" si="1357">E2478+E2496+E2507+E2523+E2543+E2546+E2573</f>
        <v>409924897.44999993</v>
      </c>
      <c r="F2575" s="9">
        <f t="shared" si="1357"/>
        <v>372619772.71999997</v>
      </c>
      <c r="G2575" s="9">
        <f t="shared" si="1357"/>
        <v>0</v>
      </c>
      <c r="H2575" s="9">
        <f t="shared" si="1357"/>
        <v>372619772.71999997</v>
      </c>
      <c r="I2575" s="9">
        <f t="shared" si="1357"/>
        <v>29651254.550000001</v>
      </c>
      <c r="J2575" s="9">
        <f t="shared" si="1357"/>
        <v>21451583.550000001</v>
      </c>
      <c r="K2575" s="9">
        <f t="shared" si="1357"/>
        <v>0</v>
      </c>
      <c r="L2575" s="9">
        <f t="shared" si="1357"/>
        <v>0</v>
      </c>
      <c r="M2575" s="9">
        <f t="shared" si="1357"/>
        <v>372619772.71999997</v>
      </c>
      <c r="N2575" s="9">
        <f t="shared" si="1357"/>
        <v>23942951.48</v>
      </c>
      <c r="O2575" s="9">
        <f t="shared" si="1357"/>
        <v>0</v>
      </c>
      <c r="P2575" s="9">
        <f t="shared" si="1357"/>
        <v>23942951.48</v>
      </c>
      <c r="Q2575" s="9">
        <f t="shared" si="1357"/>
        <v>12716329.75</v>
      </c>
      <c r="R2575" s="9">
        <f t="shared" si="1357"/>
        <v>1032.5</v>
      </c>
      <c r="S2575" s="9">
        <f t="shared" si="1357"/>
        <v>0</v>
      </c>
      <c r="T2575" s="9">
        <f t="shared" si="1357"/>
        <v>12715297.25</v>
      </c>
      <c r="U2575" s="9">
        <f t="shared" si="1357"/>
        <v>36658248.729999997</v>
      </c>
      <c r="V2575" s="9">
        <f t="shared" si="1357"/>
        <v>393113735.22000003</v>
      </c>
      <c r="W2575" s="9">
        <f t="shared" si="1357"/>
        <v>13362173.250000002</v>
      </c>
      <c r="X2575" s="9">
        <f t="shared" si="1357"/>
        <v>396562724.19999999</v>
      </c>
      <c r="Y2575" s="9">
        <f t="shared" si="1357"/>
        <v>0</v>
      </c>
      <c r="Z2575" s="9">
        <f t="shared" si="1357"/>
        <v>13362173.250000002</v>
      </c>
      <c r="AA2575" s="9">
        <f t="shared" si="1357"/>
        <v>409278021.44999993</v>
      </c>
      <c r="AB2575" s="9">
        <f t="shared" si="1357"/>
        <v>646876</v>
      </c>
    </row>
    <row r="2576" spans="1:28" x14ac:dyDescent="0.3">
      <c r="A2576" s="64"/>
      <c r="B2576" s="8"/>
      <c r="C2576" s="8"/>
      <c r="D2576" s="8"/>
      <c r="E2576" s="17" t="s">
        <v>114</v>
      </c>
      <c r="F2576" s="17" t="s">
        <v>114</v>
      </c>
      <c r="G2576" s="17" t="s">
        <v>114</v>
      </c>
      <c r="H2576" s="17" t="s">
        <v>114</v>
      </c>
      <c r="I2576" s="17" t="s">
        <v>114</v>
      </c>
      <c r="J2576" s="17" t="s">
        <v>114</v>
      </c>
      <c r="K2576" s="17" t="s">
        <v>114</v>
      </c>
      <c r="L2576" s="17" t="s">
        <v>114</v>
      </c>
      <c r="M2576" s="17" t="s">
        <v>114</v>
      </c>
      <c r="N2576" s="17" t="s">
        <v>114</v>
      </c>
      <c r="O2576" s="17" t="s">
        <v>114</v>
      </c>
      <c r="P2576" s="17" t="s">
        <v>114</v>
      </c>
      <c r="Q2576" s="17" t="s">
        <v>114</v>
      </c>
      <c r="R2576" s="17" t="s">
        <v>114</v>
      </c>
      <c r="S2576" s="17" t="s">
        <v>114</v>
      </c>
      <c r="T2576" s="17" t="s">
        <v>114</v>
      </c>
      <c r="U2576" s="17" t="s">
        <v>114</v>
      </c>
      <c r="V2576" s="17" t="s">
        <v>114</v>
      </c>
      <c r="W2576" s="17" t="s">
        <v>114</v>
      </c>
      <c r="X2576" s="17" t="s">
        <v>114</v>
      </c>
      <c r="Y2576" s="17" t="s">
        <v>114</v>
      </c>
      <c r="Z2576" s="17" t="s">
        <v>114</v>
      </c>
      <c r="AA2576" s="17" t="s">
        <v>114</v>
      </c>
      <c r="AB2576" s="17" t="s">
        <v>114</v>
      </c>
    </row>
    <row r="2577" spans="1:28" x14ac:dyDescent="0.3">
      <c r="A2577" s="64"/>
      <c r="B2577" s="8"/>
      <c r="C2577" s="8"/>
      <c r="D2577" s="8"/>
      <c r="E2577" s="8"/>
      <c r="F2577" s="8"/>
      <c r="G2577" s="8"/>
      <c r="H2577" s="8"/>
      <c r="I2577" s="8"/>
      <c r="J2577" s="8"/>
      <c r="K2577" s="8"/>
      <c r="L2577" s="8"/>
      <c r="M2577" s="8"/>
      <c r="N2577" s="8"/>
      <c r="O2577" s="8"/>
      <c r="P2577" s="8"/>
      <c r="Q2577" s="8"/>
      <c r="R2577" s="8"/>
      <c r="S2577" s="8"/>
      <c r="T2577" s="8"/>
      <c r="U2577" s="8"/>
      <c r="V2577" s="8"/>
      <c r="W2577" s="8"/>
      <c r="X2577" s="8"/>
      <c r="Y2577" s="8"/>
      <c r="Z2577" s="8"/>
      <c r="AA2577" s="58"/>
    </row>
    <row r="2578" spans="1:28" x14ac:dyDescent="0.3">
      <c r="A2578" s="64"/>
      <c r="B2578" s="7" t="s">
        <v>437</v>
      </c>
      <c r="C2578" s="8"/>
      <c r="D2578" s="8"/>
      <c r="E2578" s="8"/>
      <c r="F2578" s="8"/>
      <c r="G2578" s="8"/>
      <c r="H2578" s="8"/>
      <c r="I2578" s="8"/>
      <c r="J2578" s="8"/>
      <c r="K2578" s="8"/>
      <c r="L2578" s="8"/>
      <c r="M2578" s="8"/>
      <c r="N2578" s="8"/>
      <c r="O2578" s="8"/>
      <c r="P2578" s="8"/>
      <c r="Q2578" s="8"/>
      <c r="R2578" s="8"/>
      <c r="S2578" s="8"/>
      <c r="T2578" s="8"/>
      <c r="U2578" s="8"/>
      <c r="V2578" s="8"/>
      <c r="W2578" s="8"/>
      <c r="X2578" s="8"/>
      <c r="Y2578" s="8"/>
      <c r="Z2578" s="8"/>
    </row>
    <row r="2579" spans="1:28" x14ac:dyDescent="0.3">
      <c r="A2579" s="64"/>
      <c r="B2579" s="8"/>
      <c r="C2579" s="8"/>
      <c r="D2579" s="8"/>
      <c r="E2579" s="8"/>
      <c r="F2579" s="8"/>
      <c r="G2579" s="8"/>
      <c r="H2579" s="8"/>
      <c r="I2579" s="8"/>
      <c r="J2579" s="8"/>
      <c r="K2579" s="8"/>
      <c r="L2579" s="8"/>
      <c r="M2579" s="8"/>
      <c r="N2579" s="8"/>
      <c r="O2579" s="8"/>
      <c r="P2579" s="8"/>
      <c r="Q2579" s="8"/>
      <c r="R2579" s="8"/>
      <c r="S2579" s="8"/>
      <c r="T2579" s="8"/>
      <c r="U2579" s="8"/>
      <c r="V2579" s="8"/>
      <c r="W2579" s="8"/>
      <c r="X2579" s="8"/>
      <c r="Y2579" s="8"/>
      <c r="Z2579" s="8"/>
    </row>
    <row r="2580" spans="1:28" x14ac:dyDescent="0.3">
      <c r="A2580" s="63" t="s">
        <v>1049</v>
      </c>
      <c r="B2580" s="7" t="s">
        <v>438</v>
      </c>
      <c r="C2580" s="8"/>
      <c r="D2580" s="8"/>
      <c r="E2580" s="8"/>
      <c r="F2580" s="8"/>
      <c r="G2580" s="8"/>
      <c r="H2580" s="8"/>
      <c r="I2580" s="8"/>
      <c r="J2580" s="8"/>
      <c r="K2580" s="8"/>
      <c r="L2580" s="8"/>
      <c r="M2580" s="8"/>
      <c r="N2580" s="8"/>
      <c r="O2580" s="8"/>
      <c r="P2580" s="8"/>
      <c r="Q2580" s="8"/>
      <c r="R2580" s="8"/>
      <c r="S2580" s="8"/>
      <c r="T2580" s="8"/>
      <c r="U2580" s="8"/>
      <c r="V2580" s="8"/>
      <c r="W2580" s="8"/>
      <c r="X2580" s="8"/>
      <c r="Y2580" s="8"/>
      <c r="Z2580" s="8"/>
    </row>
    <row r="2581" spans="1:28" x14ac:dyDescent="0.3">
      <c r="A2581" s="64"/>
      <c r="B2581" s="8"/>
      <c r="C2581" s="7" t="s">
        <v>147</v>
      </c>
      <c r="D2581" s="15" t="s">
        <v>78</v>
      </c>
      <c r="E2581" s="9">
        <v>300000</v>
      </c>
      <c r="F2581" s="9">
        <v>0</v>
      </c>
      <c r="G2581" s="8"/>
      <c r="H2581" s="9">
        <f t="shared" ref="H2581:H2605" si="1358">F2581+G2581</f>
        <v>0</v>
      </c>
      <c r="I2581" s="8"/>
      <c r="J2581" s="8"/>
      <c r="K2581" s="8"/>
      <c r="L2581" s="9"/>
      <c r="M2581" s="9">
        <f t="shared" ref="M2581:M2605" si="1359">H2581+L2581</f>
        <v>0</v>
      </c>
      <c r="N2581" s="9">
        <v>300000</v>
      </c>
      <c r="O2581" s="8"/>
      <c r="P2581" s="9">
        <f t="shared" ref="P2581:P2605" si="1360">N2581+O2581</f>
        <v>300000</v>
      </c>
      <c r="Q2581" s="8"/>
      <c r="R2581" s="8"/>
      <c r="S2581" s="8"/>
      <c r="T2581" s="9"/>
      <c r="U2581" s="9">
        <f t="shared" ref="U2581:U2605" si="1361">P2581+T2581</f>
        <v>300000</v>
      </c>
      <c r="V2581" s="9">
        <f t="shared" ref="V2581:V2605" si="1362">P2581+H2581</f>
        <v>300000</v>
      </c>
      <c r="W2581" s="9">
        <f t="shared" ref="W2581:W2605" si="1363">E2581-V2581</f>
        <v>0</v>
      </c>
      <c r="X2581" s="9">
        <f t="shared" ref="X2581:X2614" si="1364">+H2581+P2581</f>
        <v>300000</v>
      </c>
      <c r="Y2581" s="8"/>
      <c r="Z2581" s="9">
        <f t="shared" ref="Z2581:Z2614" si="1365">+E2581-X2581</f>
        <v>0</v>
      </c>
      <c r="AA2581" s="8">
        <f t="shared" ref="AA2581:AA2614" si="1366">+M2581+U2581</f>
        <v>300000</v>
      </c>
      <c r="AB2581" s="8">
        <f t="shared" ref="AB2581:AB2614" si="1367">+E2581-AA2581</f>
        <v>0</v>
      </c>
    </row>
    <row r="2582" spans="1:28" x14ac:dyDescent="0.3">
      <c r="A2582" s="64"/>
      <c r="B2582" s="8"/>
      <c r="C2582" s="7" t="s">
        <v>439</v>
      </c>
      <c r="D2582" s="15" t="s">
        <v>68</v>
      </c>
      <c r="E2582" s="9">
        <v>1000000</v>
      </c>
      <c r="F2582" s="9">
        <v>1000000</v>
      </c>
      <c r="G2582" s="8"/>
      <c r="H2582" s="9">
        <f t="shared" si="1358"/>
        <v>1000000</v>
      </c>
      <c r="I2582" s="8"/>
      <c r="J2582" s="8"/>
      <c r="K2582" s="8"/>
      <c r="L2582" s="9"/>
      <c r="M2582" s="9">
        <f t="shared" si="1359"/>
        <v>1000000</v>
      </c>
      <c r="N2582" s="9">
        <v>0</v>
      </c>
      <c r="O2582" s="8"/>
      <c r="P2582" s="9">
        <f t="shared" si="1360"/>
        <v>0</v>
      </c>
      <c r="Q2582" s="8"/>
      <c r="R2582" s="8"/>
      <c r="S2582" s="8"/>
      <c r="T2582" s="9"/>
      <c r="U2582" s="9">
        <f t="shared" si="1361"/>
        <v>0</v>
      </c>
      <c r="V2582" s="9">
        <f t="shared" si="1362"/>
        <v>1000000</v>
      </c>
      <c r="W2582" s="9">
        <f t="shared" si="1363"/>
        <v>0</v>
      </c>
      <c r="X2582" s="9">
        <f t="shared" si="1364"/>
        <v>1000000</v>
      </c>
      <c r="Y2582" s="8"/>
      <c r="Z2582" s="9">
        <f t="shared" si="1365"/>
        <v>0</v>
      </c>
      <c r="AA2582" s="8">
        <f t="shared" si="1366"/>
        <v>1000000</v>
      </c>
      <c r="AB2582" s="8">
        <f t="shared" si="1367"/>
        <v>0</v>
      </c>
    </row>
    <row r="2583" spans="1:28" x14ac:dyDescent="0.3">
      <c r="A2583" s="64"/>
      <c r="B2583" s="8"/>
      <c r="C2583" s="7" t="s">
        <v>440</v>
      </c>
      <c r="D2583" s="15" t="s">
        <v>68</v>
      </c>
      <c r="E2583" s="9">
        <v>1500000</v>
      </c>
      <c r="F2583" s="9">
        <v>1437845.82</v>
      </c>
      <c r="G2583" s="8"/>
      <c r="H2583" s="9">
        <f t="shared" si="1358"/>
        <v>1437845.82</v>
      </c>
      <c r="I2583" s="8"/>
      <c r="J2583" s="8"/>
      <c r="K2583" s="8"/>
      <c r="L2583" s="9"/>
      <c r="M2583" s="9">
        <f t="shared" si="1359"/>
        <v>1437845.82</v>
      </c>
      <c r="N2583" s="9">
        <v>62154.18</v>
      </c>
      <c r="O2583" s="8"/>
      <c r="P2583" s="9">
        <f t="shared" si="1360"/>
        <v>62154.18</v>
      </c>
      <c r="Q2583" s="8"/>
      <c r="R2583" s="8"/>
      <c r="S2583" s="8"/>
      <c r="T2583" s="9"/>
      <c r="U2583" s="9">
        <f t="shared" si="1361"/>
        <v>62154.18</v>
      </c>
      <c r="V2583" s="9">
        <f t="shared" si="1362"/>
        <v>1500000</v>
      </c>
      <c r="W2583" s="9">
        <f t="shared" si="1363"/>
        <v>0</v>
      </c>
      <c r="X2583" s="9">
        <f t="shared" si="1364"/>
        <v>1500000</v>
      </c>
      <c r="Y2583" s="8"/>
      <c r="Z2583" s="9">
        <f t="shared" si="1365"/>
        <v>0</v>
      </c>
      <c r="AA2583" s="8">
        <f t="shared" si="1366"/>
        <v>1500000</v>
      </c>
      <c r="AB2583" s="8">
        <f t="shared" si="1367"/>
        <v>0</v>
      </c>
    </row>
    <row r="2584" spans="1:28" x14ac:dyDescent="0.3">
      <c r="A2584" s="64"/>
      <c r="B2584" s="8"/>
      <c r="C2584" s="7" t="s">
        <v>441</v>
      </c>
      <c r="D2584" s="15" t="s">
        <v>68</v>
      </c>
      <c r="E2584" s="9">
        <v>500000</v>
      </c>
      <c r="F2584" s="9">
        <v>500000</v>
      </c>
      <c r="G2584" s="8"/>
      <c r="H2584" s="9">
        <f t="shared" si="1358"/>
        <v>500000</v>
      </c>
      <c r="I2584" s="8"/>
      <c r="J2584" s="8"/>
      <c r="K2584" s="8"/>
      <c r="L2584" s="9"/>
      <c r="M2584" s="9">
        <f t="shared" si="1359"/>
        <v>500000</v>
      </c>
      <c r="N2584" s="9">
        <v>0</v>
      </c>
      <c r="O2584" s="8"/>
      <c r="P2584" s="9">
        <f t="shared" si="1360"/>
        <v>0</v>
      </c>
      <c r="Q2584" s="8"/>
      <c r="R2584" s="8"/>
      <c r="S2584" s="8"/>
      <c r="T2584" s="9"/>
      <c r="U2584" s="9">
        <f t="shared" si="1361"/>
        <v>0</v>
      </c>
      <c r="V2584" s="9">
        <f t="shared" si="1362"/>
        <v>500000</v>
      </c>
      <c r="W2584" s="9">
        <f t="shared" si="1363"/>
        <v>0</v>
      </c>
      <c r="X2584" s="9">
        <f t="shared" si="1364"/>
        <v>500000</v>
      </c>
      <c r="Y2584" s="8"/>
      <c r="Z2584" s="9">
        <f t="shared" si="1365"/>
        <v>0</v>
      </c>
      <c r="AA2584" s="8">
        <f t="shared" si="1366"/>
        <v>500000</v>
      </c>
      <c r="AB2584" s="8">
        <f t="shared" si="1367"/>
        <v>0</v>
      </c>
    </row>
    <row r="2585" spans="1:28" x14ac:dyDescent="0.3">
      <c r="A2585" s="64"/>
      <c r="B2585" s="8"/>
      <c r="C2585" s="7" t="s">
        <v>51</v>
      </c>
      <c r="D2585" s="15" t="s">
        <v>117</v>
      </c>
      <c r="E2585" s="9">
        <v>10053773.5</v>
      </c>
      <c r="F2585" s="9">
        <v>9713119</v>
      </c>
      <c r="G2585" s="8"/>
      <c r="H2585" s="9">
        <f t="shared" si="1358"/>
        <v>9713119</v>
      </c>
      <c r="I2585" s="8"/>
      <c r="J2585" s="8"/>
      <c r="K2585" s="8"/>
      <c r="L2585" s="9"/>
      <c r="M2585" s="9">
        <f t="shared" si="1359"/>
        <v>9713119</v>
      </c>
      <c r="N2585" s="9">
        <v>340654.5</v>
      </c>
      <c r="O2585" s="8"/>
      <c r="P2585" s="9">
        <f t="shared" si="1360"/>
        <v>340654.5</v>
      </c>
      <c r="Q2585" s="8"/>
      <c r="R2585" s="8"/>
      <c r="S2585" s="8"/>
      <c r="T2585" s="9"/>
      <c r="U2585" s="9">
        <f t="shared" si="1361"/>
        <v>340654.5</v>
      </c>
      <c r="V2585" s="9">
        <f t="shared" si="1362"/>
        <v>10053773.5</v>
      </c>
      <c r="W2585" s="9">
        <f t="shared" si="1363"/>
        <v>0</v>
      </c>
      <c r="X2585" s="9">
        <f t="shared" si="1364"/>
        <v>10053773.5</v>
      </c>
      <c r="Y2585" s="8"/>
      <c r="Z2585" s="9">
        <f t="shared" si="1365"/>
        <v>0</v>
      </c>
      <c r="AA2585" s="8">
        <f t="shared" si="1366"/>
        <v>10053773.5</v>
      </c>
      <c r="AB2585" s="8">
        <f t="shared" si="1367"/>
        <v>0</v>
      </c>
    </row>
    <row r="2586" spans="1:28" x14ac:dyDescent="0.3">
      <c r="A2586" s="64"/>
      <c r="B2586" s="8"/>
      <c r="C2586" s="7" t="s">
        <v>55</v>
      </c>
      <c r="D2586" s="15" t="s">
        <v>68</v>
      </c>
      <c r="E2586" s="9">
        <v>2992986.15</v>
      </c>
      <c r="F2586" s="9">
        <v>0</v>
      </c>
      <c r="G2586" s="8"/>
      <c r="H2586" s="9">
        <f t="shared" si="1358"/>
        <v>0</v>
      </c>
      <c r="I2586" s="8"/>
      <c r="J2586" s="8"/>
      <c r="K2586" s="8"/>
      <c r="L2586" s="9"/>
      <c r="M2586" s="9">
        <f t="shared" si="1359"/>
        <v>0</v>
      </c>
      <c r="N2586" s="9">
        <v>2992986.15</v>
      </c>
      <c r="O2586" s="8"/>
      <c r="P2586" s="9">
        <f t="shared" si="1360"/>
        <v>2992986.15</v>
      </c>
      <c r="Q2586" s="8"/>
      <c r="R2586" s="8"/>
      <c r="S2586" s="8"/>
      <c r="T2586" s="9"/>
      <c r="U2586" s="9">
        <f t="shared" si="1361"/>
        <v>2992986.15</v>
      </c>
      <c r="V2586" s="9">
        <f t="shared" si="1362"/>
        <v>2992986.15</v>
      </c>
      <c r="W2586" s="9">
        <f t="shared" si="1363"/>
        <v>0</v>
      </c>
      <c r="X2586" s="9">
        <f t="shared" si="1364"/>
        <v>2992986.15</v>
      </c>
      <c r="Y2586" s="8"/>
      <c r="Z2586" s="9">
        <f t="shared" si="1365"/>
        <v>0</v>
      </c>
      <c r="AA2586" s="8">
        <f t="shared" si="1366"/>
        <v>2992986.15</v>
      </c>
      <c r="AB2586" s="8">
        <f t="shared" si="1367"/>
        <v>0</v>
      </c>
    </row>
    <row r="2587" spans="1:28" x14ac:dyDescent="0.3">
      <c r="A2587" s="64"/>
      <c r="B2587" s="8"/>
      <c r="C2587" s="7" t="s">
        <v>442</v>
      </c>
      <c r="D2587" s="15" t="s">
        <v>79</v>
      </c>
      <c r="E2587" s="9">
        <v>4300000</v>
      </c>
      <c r="F2587" s="9">
        <v>4300000</v>
      </c>
      <c r="G2587" s="8"/>
      <c r="H2587" s="9">
        <f t="shared" si="1358"/>
        <v>4300000</v>
      </c>
      <c r="I2587" s="8"/>
      <c r="J2587" s="8"/>
      <c r="K2587" s="8"/>
      <c r="L2587" s="9"/>
      <c r="M2587" s="9">
        <f t="shared" si="1359"/>
        <v>4300000</v>
      </c>
      <c r="N2587" s="9">
        <v>0</v>
      </c>
      <c r="O2587" s="8"/>
      <c r="P2587" s="9">
        <f t="shared" si="1360"/>
        <v>0</v>
      </c>
      <c r="Q2587" s="8"/>
      <c r="R2587" s="8"/>
      <c r="S2587" s="8"/>
      <c r="T2587" s="9"/>
      <c r="U2587" s="9">
        <f t="shared" si="1361"/>
        <v>0</v>
      </c>
      <c r="V2587" s="9">
        <f t="shared" si="1362"/>
        <v>4300000</v>
      </c>
      <c r="W2587" s="9">
        <f t="shared" si="1363"/>
        <v>0</v>
      </c>
      <c r="X2587" s="9">
        <f t="shared" si="1364"/>
        <v>4300000</v>
      </c>
      <c r="Y2587" s="8"/>
      <c r="Z2587" s="9">
        <f t="shared" si="1365"/>
        <v>0</v>
      </c>
      <c r="AA2587" s="8">
        <f t="shared" si="1366"/>
        <v>4300000</v>
      </c>
      <c r="AB2587" s="8">
        <f t="shared" si="1367"/>
        <v>0</v>
      </c>
    </row>
    <row r="2588" spans="1:28" x14ac:dyDescent="0.3">
      <c r="A2588" s="64"/>
      <c r="B2588" s="8"/>
      <c r="C2588" s="7" t="s">
        <v>122</v>
      </c>
      <c r="D2588" s="8"/>
      <c r="E2588" s="9">
        <v>625000</v>
      </c>
      <c r="F2588" s="9">
        <v>625000</v>
      </c>
      <c r="G2588" s="8"/>
      <c r="H2588" s="9">
        <f t="shared" si="1358"/>
        <v>625000</v>
      </c>
      <c r="I2588" s="8"/>
      <c r="J2588" s="8"/>
      <c r="K2588" s="8"/>
      <c r="L2588" s="9"/>
      <c r="M2588" s="9">
        <f t="shared" si="1359"/>
        <v>625000</v>
      </c>
      <c r="N2588" s="9">
        <v>0</v>
      </c>
      <c r="O2588" s="8"/>
      <c r="P2588" s="9">
        <f t="shared" si="1360"/>
        <v>0</v>
      </c>
      <c r="Q2588" s="8"/>
      <c r="R2588" s="8"/>
      <c r="S2588" s="8"/>
      <c r="T2588" s="9"/>
      <c r="U2588" s="9">
        <f t="shared" si="1361"/>
        <v>0</v>
      </c>
      <c r="V2588" s="9">
        <f t="shared" si="1362"/>
        <v>625000</v>
      </c>
      <c r="W2588" s="9">
        <f t="shared" si="1363"/>
        <v>0</v>
      </c>
      <c r="X2588" s="9">
        <f t="shared" si="1364"/>
        <v>625000</v>
      </c>
      <c r="Y2588" s="8"/>
      <c r="Z2588" s="9">
        <f t="shared" si="1365"/>
        <v>0</v>
      </c>
      <c r="AA2588" s="8">
        <f t="shared" si="1366"/>
        <v>625000</v>
      </c>
      <c r="AB2588" s="8">
        <f t="shared" si="1367"/>
        <v>0</v>
      </c>
    </row>
    <row r="2589" spans="1:28" x14ac:dyDescent="0.3">
      <c r="A2589" s="64"/>
      <c r="B2589" s="8"/>
      <c r="C2589" s="7" t="s">
        <v>53</v>
      </c>
      <c r="D2589" s="15" t="s">
        <v>54</v>
      </c>
      <c r="E2589" s="9">
        <v>1953989</v>
      </c>
      <c r="F2589" s="9">
        <v>0</v>
      </c>
      <c r="G2589" s="8"/>
      <c r="H2589" s="9">
        <f t="shared" si="1358"/>
        <v>0</v>
      </c>
      <c r="I2589" s="8"/>
      <c r="J2589" s="8"/>
      <c r="K2589" s="8"/>
      <c r="L2589" s="9"/>
      <c r="M2589" s="9">
        <f t="shared" si="1359"/>
        <v>0</v>
      </c>
      <c r="N2589" s="9">
        <v>1953989</v>
      </c>
      <c r="O2589" s="8"/>
      <c r="P2589" s="9">
        <f t="shared" si="1360"/>
        <v>1953989</v>
      </c>
      <c r="Q2589" s="8"/>
      <c r="R2589" s="8"/>
      <c r="S2589" s="8"/>
      <c r="T2589" s="9"/>
      <c r="U2589" s="9">
        <f t="shared" si="1361"/>
        <v>1953989</v>
      </c>
      <c r="V2589" s="9">
        <f t="shared" si="1362"/>
        <v>1953989</v>
      </c>
      <c r="W2589" s="9">
        <f t="shared" si="1363"/>
        <v>0</v>
      </c>
      <c r="X2589" s="9">
        <f t="shared" si="1364"/>
        <v>1953989</v>
      </c>
      <c r="Y2589" s="8"/>
      <c r="Z2589" s="9">
        <f t="shared" si="1365"/>
        <v>0</v>
      </c>
      <c r="AA2589" s="8">
        <f t="shared" si="1366"/>
        <v>1953989</v>
      </c>
      <c r="AB2589" s="8">
        <f t="shared" si="1367"/>
        <v>0</v>
      </c>
    </row>
    <row r="2590" spans="1:28" x14ac:dyDescent="0.3">
      <c r="A2590" s="64"/>
      <c r="B2590" s="8"/>
      <c r="C2590" s="7" t="s">
        <v>443</v>
      </c>
      <c r="D2590" s="15" t="s">
        <v>105</v>
      </c>
      <c r="E2590" s="9">
        <f>2400000-800000</f>
        <v>1600000</v>
      </c>
      <c r="F2590" s="9">
        <v>1600000</v>
      </c>
      <c r="G2590" s="8"/>
      <c r="H2590" s="9">
        <f t="shared" si="1358"/>
        <v>1600000</v>
      </c>
      <c r="I2590" s="8"/>
      <c r="J2590" s="8"/>
      <c r="K2590" s="8"/>
      <c r="L2590" s="9"/>
      <c r="M2590" s="9">
        <f t="shared" si="1359"/>
        <v>1600000</v>
      </c>
      <c r="N2590" s="9">
        <v>0</v>
      </c>
      <c r="O2590" s="8"/>
      <c r="P2590" s="9">
        <f t="shared" si="1360"/>
        <v>0</v>
      </c>
      <c r="Q2590" s="8"/>
      <c r="R2590" s="8"/>
      <c r="S2590" s="8"/>
      <c r="T2590" s="9"/>
      <c r="U2590" s="9">
        <f t="shared" si="1361"/>
        <v>0</v>
      </c>
      <c r="V2590" s="9">
        <f t="shared" si="1362"/>
        <v>1600000</v>
      </c>
      <c r="W2590" s="9">
        <f t="shared" si="1363"/>
        <v>0</v>
      </c>
      <c r="X2590" s="9">
        <f t="shared" si="1364"/>
        <v>1600000</v>
      </c>
      <c r="Y2590" s="8"/>
      <c r="Z2590" s="9">
        <f t="shared" si="1365"/>
        <v>0</v>
      </c>
      <c r="AA2590" s="8">
        <f t="shared" si="1366"/>
        <v>1600000</v>
      </c>
      <c r="AB2590" s="8">
        <f t="shared" si="1367"/>
        <v>0</v>
      </c>
    </row>
    <row r="2591" spans="1:28" x14ac:dyDescent="0.3">
      <c r="A2591" s="64"/>
      <c r="B2591" s="8"/>
      <c r="C2591" s="7" t="s">
        <v>69</v>
      </c>
      <c r="D2591" s="15" t="s">
        <v>128</v>
      </c>
      <c r="E2591" s="9">
        <v>955345.62</v>
      </c>
      <c r="F2591" s="9">
        <v>0</v>
      </c>
      <c r="G2591" s="8"/>
      <c r="H2591" s="9">
        <f t="shared" si="1358"/>
        <v>0</v>
      </c>
      <c r="I2591" s="8"/>
      <c r="J2591" s="8"/>
      <c r="K2591" s="8"/>
      <c r="L2591" s="9"/>
      <c r="M2591" s="9">
        <f t="shared" si="1359"/>
        <v>0</v>
      </c>
      <c r="N2591" s="9">
        <v>955345.62</v>
      </c>
      <c r="O2591" s="8"/>
      <c r="P2591" s="9">
        <f t="shared" si="1360"/>
        <v>955345.62</v>
      </c>
      <c r="Q2591" s="8"/>
      <c r="R2591" s="8"/>
      <c r="S2591" s="8"/>
      <c r="T2591" s="9"/>
      <c r="U2591" s="9">
        <f t="shared" si="1361"/>
        <v>955345.62</v>
      </c>
      <c r="V2591" s="9">
        <f t="shared" si="1362"/>
        <v>955345.62</v>
      </c>
      <c r="W2591" s="9">
        <f t="shared" si="1363"/>
        <v>0</v>
      </c>
      <c r="X2591" s="9">
        <f t="shared" si="1364"/>
        <v>955345.62</v>
      </c>
      <c r="Y2591" s="8"/>
      <c r="Z2591" s="9">
        <f t="shared" si="1365"/>
        <v>0</v>
      </c>
      <c r="AA2591" s="8">
        <f t="shared" si="1366"/>
        <v>955345.62</v>
      </c>
      <c r="AB2591" s="8">
        <f t="shared" si="1367"/>
        <v>0</v>
      </c>
    </row>
    <row r="2592" spans="1:28" x14ac:dyDescent="0.3">
      <c r="A2592" s="64"/>
      <c r="B2592" s="8"/>
      <c r="C2592" s="7" t="s">
        <v>225</v>
      </c>
      <c r="D2592" s="15" t="s">
        <v>85</v>
      </c>
      <c r="E2592" s="9">
        <v>200000</v>
      </c>
      <c r="F2592" s="9">
        <v>200000</v>
      </c>
      <c r="G2592" s="8"/>
      <c r="H2592" s="9">
        <f t="shared" si="1358"/>
        <v>200000</v>
      </c>
      <c r="I2592" s="8"/>
      <c r="J2592" s="8"/>
      <c r="K2592" s="8"/>
      <c r="L2592" s="9"/>
      <c r="M2592" s="9">
        <f t="shared" si="1359"/>
        <v>200000</v>
      </c>
      <c r="N2592" s="9">
        <v>0</v>
      </c>
      <c r="O2592" s="8"/>
      <c r="P2592" s="9">
        <f t="shared" si="1360"/>
        <v>0</v>
      </c>
      <c r="Q2592" s="8"/>
      <c r="R2592" s="8"/>
      <c r="S2592" s="8"/>
      <c r="T2592" s="9"/>
      <c r="U2592" s="9">
        <f t="shared" si="1361"/>
        <v>0</v>
      </c>
      <c r="V2592" s="9">
        <f t="shared" si="1362"/>
        <v>200000</v>
      </c>
      <c r="W2592" s="9">
        <f t="shared" si="1363"/>
        <v>0</v>
      </c>
      <c r="X2592" s="9">
        <f t="shared" si="1364"/>
        <v>200000</v>
      </c>
      <c r="Y2592" s="8"/>
      <c r="Z2592" s="9">
        <f t="shared" si="1365"/>
        <v>0</v>
      </c>
      <c r="AA2592" s="8">
        <f t="shared" si="1366"/>
        <v>200000</v>
      </c>
      <c r="AB2592" s="8">
        <f t="shared" si="1367"/>
        <v>0</v>
      </c>
    </row>
    <row r="2593" spans="1:28" x14ac:dyDescent="0.3">
      <c r="A2593" s="64"/>
      <c r="B2593" s="8"/>
      <c r="C2593" s="7" t="s">
        <v>444</v>
      </c>
      <c r="D2593" s="15" t="s">
        <v>128</v>
      </c>
      <c r="E2593" s="9">
        <v>800000</v>
      </c>
      <c r="F2593" s="9">
        <v>800000</v>
      </c>
      <c r="G2593" s="8"/>
      <c r="H2593" s="9">
        <f t="shared" si="1358"/>
        <v>800000</v>
      </c>
      <c r="I2593" s="8"/>
      <c r="J2593" s="8"/>
      <c r="K2593" s="9"/>
      <c r="L2593" s="9"/>
      <c r="M2593" s="9">
        <f t="shared" si="1359"/>
        <v>800000</v>
      </c>
      <c r="N2593" s="9">
        <v>0</v>
      </c>
      <c r="O2593" s="8"/>
      <c r="P2593" s="9">
        <f t="shared" si="1360"/>
        <v>0</v>
      </c>
      <c r="Q2593" s="8"/>
      <c r="R2593" s="8"/>
      <c r="S2593" s="8"/>
      <c r="T2593" s="9"/>
      <c r="U2593" s="9">
        <f t="shared" si="1361"/>
        <v>0</v>
      </c>
      <c r="V2593" s="9">
        <f t="shared" si="1362"/>
        <v>800000</v>
      </c>
      <c r="W2593" s="9">
        <f t="shared" si="1363"/>
        <v>0</v>
      </c>
      <c r="X2593" s="9">
        <f t="shared" si="1364"/>
        <v>800000</v>
      </c>
      <c r="Y2593" s="8"/>
      <c r="Z2593" s="9">
        <f t="shared" si="1365"/>
        <v>0</v>
      </c>
      <c r="AA2593" s="8">
        <f t="shared" si="1366"/>
        <v>800000</v>
      </c>
      <c r="AB2593" s="8">
        <f t="shared" si="1367"/>
        <v>0</v>
      </c>
    </row>
    <row r="2594" spans="1:28" x14ac:dyDescent="0.3">
      <c r="A2594" s="64"/>
      <c r="B2594" s="8"/>
      <c r="C2594" s="7" t="s">
        <v>445</v>
      </c>
      <c r="D2594" s="15" t="s">
        <v>108</v>
      </c>
      <c r="E2594" s="9">
        <v>2715145.35</v>
      </c>
      <c r="F2594" s="9">
        <v>2715145.35</v>
      </c>
      <c r="G2594" s="8"/>
      <c r="H2594" s="9">
        <f t="shared" si="1358"/>
        <v>2715145.35</v>
      </c>
      <c r="I2594" s="8"/>
      <c r="J2594" s="8"/>
      <c r="K2594" s="8"/>
      <c r="L2594" s="9"/>
      <c r="M2594" s="9">
        <f t="shared" si="1359"/>
        <v>2715145.35</v>
      </c>
      <c r="N2594" s="9">
        <v>0</v>
      </c>
      <c r="O2594" s="8"/>
      <c r="P2594" s="9">
        <f t="shared" si="1360"/>
        <v>0</v>
      </c>
      <c r="Q2594" s="8"/>
      <c r="R2594" s="8"/>
      <c r="S2594" s="8"/>
      <c r="T2594" s="9"/>
      <c r="U2594" s="9">
        <f t="shared" si="1361"/>
        <v>0</v>
      </c>
      <c r="V2594" s="9">
        <f t="shared" si="1362"/>
        <v>2715145.35</v>
      </c>
      <c r="W2594" s="9">
        <f t="shared" si="1363"/>
        <v>0</v>
      </c>
      <c r="X2594" s="9">
        <f t="shared" si="1364"/>
        <v>2715145.35</v>
      </c>
      <c r="Y2594" s="8"/>
      <c r="Z2594" s="9">
        <f t="shared" si="1365"/>
        <v>0</v>
      </c>
      <c r="AA2594" s="8">
        <f t="shared" si="1366"/>
        <v>2715145.35</v>
      </c>
      <c r="AB2594" s="8">
        <f t="shared" si="1367"/>
        <v>0</v>
      </c>
    </row>
    <row r="2595" spans="1:28" x14ac:dyDescent="0.3">
      <c r="A2595" s="64"/>
      <c r="B2595" s="8"/>
      <c r="C2595" s="7" t="s">
        <v>446</v>
      </c>
      <c r="D2595" s="15" t="s">
        <v>108</v>
      </c>
      <c r="E2595" s="9">
        <v>2000000</v>
      </c>
      <c r="F2595" s="9">
        <v>2000000</v>
      </c>
      <c r="G2595" s="8"/>
      <c r="H2595" s="9">
        <f t="shared" si="1358"/>
        <v>2000000</v>
      </c>
      <c r="I2595" s="8"/>
      <c r="J2595" s="8"/>
      <c r="K2595" s="8"/>
      <c r="L2595" s="9"/>
      <c r="M2595" s="9">
        <f t="shared" si="1359"/>
        <v>2000000</v>
      </c>
      <c r="N2595" s="9">
        <v>0</v>
      </c>
      <c r="O2595" s="8"/>
      <c r="P2595" s="9">
        <f t="shared" si="1360"/>
        <v>0</v>
      </c>
      <c r="Q2595" s="8"/>
      <c r="R2595" s="8"/>
      <c r="S2595" s="8"/>
      <c r="T2595" s="9"/>
      <c r="U2595" s="9">
        <f t="shared" si="1361"/>
        <v>0</v>
      </c>
      <c r="V2595" s="9">
        <f t="shared" si="1362"/>
        <v>2000000</v>
      </c>
      <c r="W2595" s="9">
        <f t="shared" si="1363"/>
        <v>0</v>
      </c>
      <c r="X2595" s="9">
        <f t="shared" si="1364"/>
        <v>2000000</v>
      </c>
      <c r="Y2595" s="8"/>
      <c r="Z2595" s="9">
        <f t="shared" si="1365"/>
        <v>0</v>
      </c>
      <c r="AA2595" s="8">
        <f t="shared" si="1366"/>
        <v>2000000</v>
      </c>
      <c r="AB2595" s="8">
        <f t="shared" si="1367"/>
        <v>0</v>
      </c>
    </row>
    <row r="2596" spans="1:28" x14ac:dyDescent="0.3">
      <c r="A2596" s="64"/>
      <c r="B2596" s="8"/>
      <c r="C2596" s="7" t="s">
        <v>447</v>
      </c>
      <c r="D2596" s="15" t="s">
        <v>108</v>
      </c>
      <c r="E2596" s="9">
        <v>5000000</v>
      </c>
      <c r="F2596" s="9">
        <v>5000000</v>
      </c>
      <c r="G2596" s="8"/>
      <c r="H2596" s="9">
        <f t="shared" si="1358"/>
        <v>5000000</v>
      </c>
      <c r="I2596" s="9"/>
      <c r="J2596" s="9"/>
      <c r="K2596" s="8"/>
      <c r="L2596" s="9"/>
      <c r="M2596" s="9">
        <f t="shared" si="1359"/>
        <v>5000000</v>
      </c>
      <c r="N2596" s="9">
        <v>0</v>
      </c>
      <c r="O2596" s="8"/>
      <c r="P2596" s="9">
        <f t="shared" si="1360"/>
        <v>0</v>
      </c>
      <c r="Q2596" s="8"/>
      <c r="R2596" s="8"/>
      <c r="S2596" s="8"/>
      <c r="T2596" s="9"/>
      <c r="U2596" s="9">
        <f t="shared" si="1361"/>
        <v>0</v>
      </c>
      <c r="V2596" s="9">
        <f t="shared" si="1362"/>
        <v>5000000</v>
      </c>
      <c r="W2596" s="9">
        <f t="shared" si="1363"/>
        <v>0</v>
      </c>
      <c r="X2596" s="9">
        <f t="shared" si="1364"/>
        <v>5000000</v>
      </c>
      <c r="Y2596" s="8"/>
      <c r="Z2596" s="9">
        <f t="shared" si="1365"/>
        <v>0</v>
      </c>
      <c r="AA2596" s="8">
        <f t="shared" si="1366"/>
        <v>5000000</v>
      </c>
      <c r="AB2596" s="8">
        <f t="shared" si="1367"/>
        <v>0</v>
      </c>
    </row>
    <row r="2597" spans="1:28" x14ac:dyDescent="0.3">
      <c r="A2597" s="64"/>
      <c r="B2597" s="8"/>
      <c r="C2597" s="7" t="s">
        <v>448</v>
      </c>
      <c r="D2597" s="15" t="s">
        <v>108</v>
      </c>
      <c r="E2597" s="9">
        <v>370691</v>
      </c>
      <c r="F2597" s="11">
        <v>370691</v>
      </c>
      <c r="G2597" s="8"/>
      <c r="H2597" s="9">
        <f t="shared" si="1358"/>
        <v>370691</v>
      </c>
      <c r="I2597" s="8"/>
      <c r="J2597" s="9"/>
      <c r="K2597" s="8"/>
      <c r="L2597" s="9"/>
      <c r="M2597" s="9">
        <f t="shared" si="1359"/>
        <v>370691</v>
      </c>
      <c r="N2597" s="9">
        <v>0</v>
      </c>
      <c r="O2597" s="8"/>
      <c r="P2597" s="9">
        <f t="shared" si="1360"/>
        <v>0</v>
      </c>
      <c r="Q2597" s="8"/>
      <c r="R2597" s="8"/>
      <c r="S2597" s="8"/>
      <c r="T2597" s="9"/>
      <c r="U2597" s="9">
        <f t="shared" si="1361"/>
        <v>0</v>
      </c>
      <c r="V2597" s="9">
        <f t="shared" si="1362"/>
        <v>370691</v>
      </c>
      <c r="W2597" s="9">
        <f t="shared" si="1363"/>
        <v>0</v>
      </c>
      <c r="X2597" s="9">
        <f t="shared" si="1364"/>
        <v>370691</v>
      </c>
      <c r="Y2597" s="8"/>
      <c r="Z2597" s="9">
        <f t="shared" si="1365"/>
        <v>0</v>
      </c>
      <c r="AA2597" s="8">
        <f t="shared" si="1366"/>
        <v>370691</v>
      </c>
      <c r="AB2597" s="8">
        <f t="shared" si="1367"/>
        <v>0</v>
      </c>
    </row>
    <row r="2598" spans="1:28" x14ac:dyDescent="0.3">
      <c r="A2598" s="64"/>
      <c r="B2598" s="8"/>
      <c r="C2598" s="7" t="s">
        <v>449</v>
      </c>
      <c r="D2598" s="15" t="s">
        <v>108</v>
      </c>
      <c r="E2598" s="9">
        <f>500000+297695.38+4099.54</f>
        <v>801794.92</v>
      </c>
      <c r="F2598" s="11">
        <f>500000+297695.38</f>
        <v>797695.38</v>
      </c>
      <c r="G2598" s="8"/>
      <c r="H2598" s="9">
        <f t="shared" si="1358"/>
        <v>797695.38</v>
      </c>
      <c r="I2598" s="8"/>
      <c r="J2598" s="9"/>
      <c r="K2598" s="8"/>
      <c r="L2598" s="9"/>
      <c r="M2598" s="9">
        <f t="shared" si="1359"/>
        <v>797695.38</v>
      </c>
      <c r="N2598" s="9">
        <v>0</v>
      </c>
      <c r="O2598" s="8"/>
      <c r="P2598" s="9">
        <f t="shared" si="1360"/>
        <v>0</v>
      </c>
      <c r="Q2598" s="8">
        <v>4099.54</v>
      </c>
      <c r="R2598" s="8"/>
      <c r="S2598" s="8"/>
      <c r="T2598" s="9">
        <v>4099.54</v>
      </c>
      <c r="U2598" s="9">
        <f t="shared" si="1361"/>
        <v>4099.54</v>
      </c>
      <c r="V2598" s="9">
        <f t="shared" si="1362"/>
        <v>797695.38</v>
      </c>
      <c r="W2598" s="9">
        <f t="shared" si="1363"/>
        <v>4099.5400000000373</v>
      </c>
      <c r="X2598" s="9">
        <f t="shared" si="1364"/>
        <v>797695.38</v>
      </c>
      <c r="Y2598" s="8"/>
      <c r="Z2598" s="9">
        <f t="shared" si="1365"/>
        <v>4099.5400000000373</v>
      </c>
      <c r="AA2598" s="8">
        <f t="shared" si="1366"/>
        <v>801794.92</v>
      </c>
      <c r="AB2598" s="8">
        <f t="shared" si="1367"/>
        <v>0</v>
      </c>
    </row>
    <row r="2599" spans="1:28" x14ac:dyDescent="0.3">
      <c r="A2599" s="64"/>
      <c r="B2599" s="8"/>
      <c r="C2599" s="7" t="s">
        <v>57</v>
      </c>
      <c r="D2599" s="15" t="s">
        <v>58</v>
      </c>
      <c r="E2599" s="9">
        <v>10269083</v>
      </c>
      <c r="F2599" s="9">
        <v>10269083</v>
      </c>
      <c r="G2599" s="8"/>
      <c r="H2599" s="9">
        <f t="shared" si="1358"/>
        <v>10269083</v>
      </c>
      <c r="I2599" s="8"/>
      <c r="J2599" s="8"/>
      <c r="K2599" s="8"/>
      <c r="L2599" s="9"/>
      <c r="M2599" s="9">
        <f t="shared" si="1359"/>
        <v>10269083</v>
      </c>
      <c r="N2599" s="9">
        <v>0</v>
      </c>
      <c r="O2599" s="8"/>
      <c r="P2599" s="9">
        <f t="shared" si="1360"/>
        <v>0</v>
      </c>
      <c r="Q2599" s="8"/>
      <c r="R2599" s="8"/>
      <c r="S2599" s="8"/>
      <c r="T2599" s="9"/>
      <c r="U2599" s="9">
        <f t="shared" si="1361"/>
        <v>0</v>
      </c>
      <c r="V2599" s="9">
        <f t="shared" si="1362"/>
        <v>10269083</v>
      </c>
      <c r="W2599" s="9">
        <f t="shared" si="1363"/>
        <v>0</v>
      </c>
      <c r="X2599" s="9">
        <f t="shared" si="1364"/>
        <v>10269083</v>
      </c>
      <c r="Y2599" s="8"/>
      <c r="Z2599" s="9">
        <f t="shared" si="1365"/>
        <v>0</v>
      </c>
      <c r="AA2599" s="8">
        <f t="shared" si="1366"/>
        <v>10269083</v>
      </c>
      <c r="AB2599" s="8">
        <f t="shared" si="1367"/>
        <v>0</v>
      </c>
    </row>
    <row r="2600" spans="1:28" x14ac:dyDescent="0.3">
      <c r="A2600" s="64"/>
      <c r="B2600" s="8"/>
      <c r="C2600" s="14" t="s">
        <v>109</v>
      </c>
      <c r="D2600" s="21" t="s">
        <v>60</v>
      </c>
      <c r="E2600" s="9">
        <v>16937239.129999999</v>
      </c>
      <c r="F2600" s="11">
        <v>16937239.129999999</v>
      </c>
      <c r="G2600" s="8"/>
      <c r="H2600" s="9">
        <f t="shared" si="1358"/>
        <v>16937239.129999999</v>
      </c>
      <c r="I2600" s="8"/>
      <c r="J2600" s="8"/>
      <c r="K2600" s="8"/>
      <c r="L2600" s="9"/>
      <c r="M2600" s="9">
        <f t="shared" si="1359"/>
        <v>16937239.129999999</v>
      </c>
      <c r="N2600" s="9">
        <v>0</v>
      </c>
      <c r="O2600" s="8"/>
      <c r="P2600" s="9">
        <f t="shared" si="1360"/>
        <v>0</v>
      </c>
      <c r="Q2600" s="8"/>
      <c r="R2600" s="8"/>
      <c r="S2600" s="8"/>
      <c r="T2600" s="9"/>
      <c r="U2600" s="9">
        <f t="shared" si="1361"/>
        <v>0</v>
      </c>
      <c r="V2600" s="9">
        <f t="shared" si="1362"/>
        <v>16937239.129999999</v>
      </c>
      <c r="W2600" s="9">
        <f t="shared" si="1363"/>
        <v>0</v>
      </c>
      <c r="X2600" s="9">
        <f t="shared" si="1364"/>
        <v>16937239.129999999</v>
      </c>
      <c r="Y2600" s="8"/>
      <c r="Z2600" s="9">
        <f t="shared" si="1365"/>
        <v>0</v>
      </c>
      <c r="AA2600" s="8">
        <f t="shared" si="1366"/>
        <v>16937239.129999999</v>
      </c>
      <c r="AB2600" s="8">
        <f t="shared" si="1367"/>
        <v>0</v>
      </c>
    </row>
    <row r="2601" spans="1:28" x14ac:dyDescent="0.3">
      <c r="A2601" s="64"/>
      <c r="B2601" s="8"/>
      <c r="C2601" s="14" t="s">
        <v>450</v>
      </c>
      <c r="D2601" s="15" t="s">
        <v>60</v>
      </c>
      <c r="E2601" s="9">
        <v>7500000</v>
      </c>
      <c r="F2601" s="11">
        <v>7500000</v>
      </c>
      <c r="G2601" s="8"/>
      <c r="H2601" s="9">
        <f t="shared" si="1358"/>
        <v>7500000</v>
      </c>
      <c r="I2601" s="8"/>
      <c r="J2601" s="9"/>
      <c r="K2601" s="8"/>
      <c r="L2601" s="9"/>
      <c r="M2601" s="9">
        <f t="shared" si="1359"/>
        <v>7500000</v>
      </c>
      <c r="N2601" s="9">
        <v>0</v>
      </c>
      <c r="O2601" s="8"/>
      <c r="P2601" s="9">
        <f t="shared" si="1360"/>
        <v>0</v>
      </c>
      <c r="Q2601" s="8"/>
      <c r="R2601" s="8"/>
      <c r="S2601" s="8"/>
      <c r="T2601" s="9"/>
      <c r="U2601" s="9">
        <f t="shared" si="1361"/>
        <v>0</v>
      </c>
      <c r="V2601" s="9">
        <f t="shared" si="1362"/>
        <v>7500000</v>
      </c>
      <c r="W2601" s="9">
        <f t="shared" si="1363"/>
        <v>0</v>
      </c>
      <c r="X2601" s="9">
        <f t="shared" si="1364"/>
        <v>7500000</v>
      </c>
      <c r="Y2601" s="8"/>
      <c r="Z2601" s="9">
        <f t="shared" si="1365"/>
        <v>0</v>
      </c>
      <c r="AA2601" s="8">
        <f t="shared" si="1366"/>
        <v>7500000</v>
      </c>
      <c r="AB2601" s="8">
        <f t="shared" si="1367"/>
        <v>0</v>
      </c>
    </row>
    <row r="2602" spans="1:28" x14ac:dyDescent="0.3">
      <c r="A2602" s="64"/>
      <c r="B2602" s="8"/>
      <c r="C2602" s="7" t="s">
        <v>57</v>
      </c>
      <c r="D2602" s="15" t="s">
        <v>60</v>
      </c>
      <c r="E2602" s="9">
        <v>3100000</v>
      </c>
      <c r="F2602" s="11">
        <v>3100000</v>
      </c>
      <c r="G2602" s="8"/>
      <c r="H2602" s="9">
        <f t="shared" si="1358"/>
        <v>3100000</v>
      </c>
      <c r="I2602" s="8"/>
      <c r="J2602" s="8"/>
      <c r="K2602" s="8"/>
      <c r="L2602" s="9"/>
      <c r="M2602" s="9">
        <f t="shared" si="1359"/>
        <v>3100000</v>
      </c>
      <c r="N2602" s="9">
        <v>0</v>
      </c>
      <c r="O2602" s="8"/>
      <c r="P2602" s="9">
        <f t="shared" si="1360"/>
        <v>0</v>
      </c>
      <c r="Q2602" s="8"/>
      <c r="R2602" s="8"/>
      <c r="S2602" s="8"/>
      <c r="T2602" s="9"/>
      <c r="U2602" s="9">
        <f t="shared" si="1361"/>
        <v>0</v>
      </c>
      <c r="V2602" s="9">
        <f t="shared" si="1362"/>
        <v>3100000</v>
      </c>
      <c r="W2602" s="9">
        <f t="shared" si="1363"/>
        <v>0</v>
      </c>
      <c r="X2602" s="9">
        <f t="shared" si="1364"/>
        <v>3100000</v>
      </c>
      <c r="Y2602" s="8"/>
      <c r="Z2602" s="9">
        <f t="shared" si="1365"/>
        <v>0</v>
      </c>
      <c r="AA2602" s="8">
        <f t="shared" si="1366"/>
        <v>3100000</v>
      </c>
      <c r="AB2602" s="8">
        <f t="shared" si="1367"/>
        <v>0</v>
      </c>
    </row>
    <row r="2603" spans="1:28" x14ac:dyDescent="0.3">
      <c r="A2603" s="64"/>
      <c r="B2603" s="8"/>
      <c r="C2603" s="7" t="s">
        <v>451</v>
      </c>
      <c r="D2603" s="15" t="s">
        <v>194</v>
      </c>
      <c r="E2603" s="9">
        <f>4649039+2394979+828020</f>
        <v>7872038</v>
      </c>
      <c r="F2603" s="11">
        <f>4649039+3222999</f>
        <v>7872038</v>
      </c>
      <c r="G2603" s="8"/>
      <c r="H2603" s="9">
        <f t="shared" si="1358"/>
        <v>7872038</v>
      </c>
      <c r="I2603" s="8"/>
      <c r="J2603" s="8"/>
      <c r="K2603" s="8"/>
      <c r="L2603" s="9"/>
      <c r="M2603" s="9">
        <f t="shared" si="1359"/>
        <v>7872038</v>
      </c>
      <c r="N2603" s="9">
        <v>0</v>
      </c>
      <c r="O2603" s="8"/>
      <c r="P2603" s="9">
        <f t="shared" si="1360"/>
        <v>0</v>
      </c>
      <c r="Q2603" s="8"/>
      <c r="R2603" s="8"/>
      <c r="S2603" s="8"/>
      <c r="T2603" s="9"/>
      <c r="U2603" s="9">
        <f t="shared" si="1361"/>
        <v>0</v>
      </c>
      <c r="V2603" s="9">
        <f t="shared" si="1362"/>
        <v>7872038</v>
      </c>
      <c r="W2603" s="9">
        <f t="shared" si="1363"/>
        <v>0</v>
      </c>
      <c r="X2603" s="9">
        <f t="shared" si="1364"/>
        <v>7872038</v>
      </c>
      <c r="Y2603" s="8"/>
      <c r="Z2603" s="9">
        <f t="shared" si="1365"/>
        <v>0</v>
      </c>
      <c r="AA2603" s="8">
        <f t="shared" si="1366"/>
        <v>7872038</v>
      </c>
      <c r="AB2603" s="8">
        <f t="shared" si="1367"/>
        <v>0</v>
      </c>
    </row>
    <row r="2604" spans="1:28" x14ac:dyDescent="0.3">
      <c r="A2604" s="64"/>
      <c r="B2604" s="8"/>
      <c r="C2604" s="14" t="s">
        <v>452</v>
      </c>
      <c r="D2604" s="16" t="s">
        <v>73</v>
      </c>
      <c r="E2604" s="9">
        <v>1068934.93</v>
      </c>
      <c r="F2604" s="8">
        <v>1068934.93</v>
      </c>
      <c r="G2604" s="8"/>
      <c r="H2604" s="9">
        <f t="shared" si="1358"/>
        <v>1068934.93</v>
      </c>
      <c r="I2604" s="8">
        <v>1068934.93</v>
      </c>
      <c r="J2604" s="9">
        <v>1068934.93</v>
      </c>
      <c r="K2604" s="8"/>
      <c r="L2604" s="9"/>
      <c r="M2604" s="9">
        <f t="shared" si="1359"/>
        <v>1068934.93</v>
      </c>
      <c r="N2604" s="9">
        <v>0</v>
      </c>
      <c r="O2604" s="8"/>
      <c r="P2604" s="9">
        <f t="shared" si="1360"/>
        <v>0</v>
      </c>
      <c r="Q2604" s="8"/>
      <c r="R2604" s="8"/>
      <c r="S2604" s="8"/>
      <c r="T2604" s="9"/>
      <c r="U2604" s="9">
        <f t="shared" si="1361"/>
        <v>0</v>
      </c>
      <c r="V2604" s="9">
        <f t="shared" si="1362"/>
        <v>1068934.93</v>
      </c>
      <c r="W2604" s="9">
        <f t="shared" si="1363"/>
        <v>0</v>
      </c>
      <c r="X2604" s="9">
        <f t="shared" si="1364"/>
        <v>1068934.93</v>
      </c>
      <c r="Y2604" s="8"/>
      <c r="Z2604" s="9">
        <f t="shared" si="1365"/>
        <v>0</v>
      </c>
      <c r="AA2604" s="8">
        <f t="shared" si="1366"/>
        <v>1068934.93</v>
      </c>
      <c r="AB2604" s="8">
        <f t="shared" si="1367"/>
        <v>0</v>
      </c>
    </row>
    <row r="2605" spans="1:28" x14ac:dyDescent="0.3">
      <c r="A2605" s="64"/>
      <c r="B2605" s="8"/>
      <c r="C2605" s="7" t="s">
        <v>57</v>
      </c>
      <c r="D2605" s="16" t="s">
        <v>61</v>
      </c>
      <c r="E2605" s="9">
        <f>1269140.15+1191425.78</f>
        <v>2460565.9299999997</v>
      </c>
      <c r="F2605" s="8">
        <f>1269140.15+1191425.78</f>
        <v>2460565.9299999997</v>
      </c>
      <c r="G2605" s="8"/>
      <c r="H2605" s="9">
        <f t="shared" si="1358"/>
        <v>2460565.9299999997</v>
      </c>
      <c r="I2605" s="8"/>
      <c r="J2605" s="9"/>
      <c r="K2605" s="8"/>
      <c r="L2605" s="9"/>
      <c r="M2605" s="9">
        <f t="shared" si="1359"/>
        <v>2460565.9299999997</v>
      </c>
      <c r="N2605" s="9">
        <v>0</v>
      </c>
      <c r="O2605" s="8"/>
      <c r="P2605" s="9">
        <f t="shared" si="1360"/>
        <v>0</v>
      </c>
      <c r="Q2605" s="8"/>
      <c r="R2605" s="8"/>
      <c r="S2605" s="8"/>
      <c r="T2605" s="9"/>
      <c r="U2605" s="9">
        <f t="shared" si="1361"/>
        <v>0</v>
      </c>
      <c r="V2605" s="9">
        <f t="shared" si="1362"/>
        <v>2460565.9299999997</v>
      </c>
      <c r="W2605" s="9">
        <f t="shared" si="1363"/>
        <v>0</v>
      </c>
      <c r="X2605" s="9">
        <f t="shared" si="1364"/>
        <v>2460565.9299999997</v>
      </c>
      <c r="Y2605" s="8"/>
      <c r="Z2605" s="9">
        <f t="shared" si="1365"/>
        <v>0</v>
      </c>
      <c r="AA2605" s="8">
        <f t="shared" si="1366"/>
        <v>2460565.9299999997</v>
      </c>
      <c r="AB2605" s="8">
        <f t="shared" si="1367"/>
        <v>0</v>
      </c>
    </row>
    <row r="2606" spans="1:28" x14ac:dyDescent="0.3">
      <c r="A2606" s="64"/>
      <c r="B2606" s="8"/>
      <c r="C2606" s="7" t="s">
        <v>930</v>
      </c>
      <c r="D2606" s="16" t="s">
        <v>1072</v>
      </c>
      <c r="E2606" s="9">
        <f>1145000+963574.22+2474289.58</f>
        <v>4582863.8</v>
      </c>
      <c r="F2606" s="8">
        <f>1145000+963574.22+2474289.58</f>
        <v>4582863.8</v>
      </c>
      <c r="G2606" s="8"/>
      <c r="H2606" s="9">
        <f t="shared" ref="H2606:H2611" si="1368">+F2606+G2606</f>
        <v>4582863.8</v>
      </c>
      <c r="I2606" s="8"/>
      <c r="J2606" s="9"/>
      <c r="K2606" s="8"/>
      <c r="L2606" s="9"/>
      <c r="M2606" s="9">
        <f t="shared" ref="M2606:M2613" si="1369">+H2606+L2606</f>
        <v>4582863.8</v>
      </c>
      <c r="N2606" s="9">
        <v>0</v>
      </c>
      <c r="O2606" s="8"/>
      <c r="P2606" s="9">
        <v>0</v>
      </c>
      <c r="Q2606" s="8"/>
      <c r="R2606" s="8"/>
      <c r="S2606" s="8"/>
      <c r="T2606" s="9"/>
      <c r="U2606" s="9">
        <f>P2606+T2606</f>
        <v>0</v>
      </c>
      <c r="V2606" s="9">
        <f>P2606+H2606</f>
        <v>4582863.8</v>
      </c>
      <c r="W2606" s="9">
        <f>E2606-V2606</f>
        <v>0</v>
      </c>
      <c r="X2606" s="9">
        <f t="shared" si="1364"/>
        <v>4582863.8</v>
      </c>
      <c r="Y2606" s="8"/>
      <c r="Z2606" s="9">
        <f t="shared" si="1365"/>
        <v>0</v>
      </c>
      <c r="AA2606" s="8">
        <f t="shared" si="1366"/>
        <v>4582863.8</v>
      </c>
      <c r="AB2606" s="8">
        <f t="shared" si="1367"/>
        <v>0</v>
      </c>
    </row>
    <row r="2607" spans="1:28" x14ac:dyDescent="0.3">
      <c r="A2607" s="64"/>
      <c r="B2607" s="8"/>
      <c r="C2607" s="7" t="s">
        <v>1154</v>
      </c>
      <c r="D2607" s="16" t="s">
        <v>1126</v>
      </c>
      <c r="E2607" s="9">
        <v>268566.02</v>
      </c>
      <c r="F2607" s="8">
        <v>268566.02</v>
      </c>
      <c r="G2607" s="8"/>
      <c r="H2607" s="9">
        <f t="shared" si="1368"/>
        <v>268566.02</v>
      </c>
      <c r="I2607" s="8"/>
      <c r="J2607" s="9"/>
      <c r="K2607" s="8"/>
      <c r="L2607" s="9"/>
      <c r="M2607" s="9">
        <f t="shared" si="1369"/>
        <v>268566.02</v>
      </c>
      <c r="N2607" s="9">
        <v>0</v>
      </c>
      <c r="O2607" s="8"/>
      <c r="P2607" s="9">
        <f>+N2607+O2607</f>
        <v>0</v>
      </c>
      <c r="Q2607" s="8"/>
      <c r="R2607" s="8"/>
      <c r="S2607" s="8"/>
      <c r="T2607" s="9"/>
      <c r="U2607" s="9">
        <f t="shared" ref="U2607:U2613" si="1370">+P2607+T2607</f>
        <v>0</v>
      </c>
      <c r="V2607" s="9"/>
      <c r="W2607" s="9"/>
      <c r="X2607" s="9">
        <f t="shared" ref="X2607:X2613" si="1371">+H2607+P2607</f>
        <v>268566.02</v>
      </c>
      <c r="Y2607" s="8"/>
      <c r="Z2607" s="9">
        <f t="shared" ref="Z2607:Z2613" si="1372">+E2607-X2607</f>
        <v>0</v>
      </c>
      <c r="AA2607" s="8">
        <f t="shared" ref="AA2607:AA2613" si="1373">+M2607+U2607</f>
        <v>268566.02</v>
      </c>
      <c r="AB2607" s="8">
        <f t="shared" ref="AB2607:AB2613" si="1374">+E2607-AA2607</f>
        <v>0</v>
      </c>
    </row>
    <row r="2608" spans="1:28" x14ac:dyDescent="0.3">
      <c r="A2608" s="64"/>
      <c r="B2608" s="8"/>
      <c r="C2608" s="7" t="s">
        <v>1153</v>
      </c>
      <c r="D2608" s="16" t="s">
        <v>1126</v>
      </c>
      <c r="E2608" s="9">
        <v>421188.99</v>
      </c>
      <c r="F2608" s="8">
        <v>421188.99</v>
      </c>
      <c r="G2608" s="8"/>
      <c r="H2608" s="9">
        <f t="shared" si="1368"/>
        <v>421188.99</v>
      </c>
      <c r="I2608" s="8"/>
      <c r="J2608" s="9"/>
      <c r="K2608" s="8"/>
      <c r="L2608" s="9"/>
      <c r="M2608" s="9">
        <f t="shared" si="1369"/>
        <v>421188.99</v>
      </c>
      <c r="N2608" s="9">
        <v>0</v>
      </c>
      <c r="O2608" s="8"/>
      <c r="P2608" s="9">
        <f>+N2608+O2608</f>
        <v>0</v>
      </c>
      <c r="Q2608" s="8"/>
      <c r="R2608" s="8"/>
      <c r="S2608" s="8"/>
      <c r="T2608" s="9"/>
      <c r="U2608" s="9">
        <f t="shared" si="1370"/>
        <v>0</v>
      </c>
      <c r="V2608" s="9"/>
      <c r="W2608" s="9"/>
      <c r="X2608" s="9">
        <f t="shared" si="1371"/>
        <v>421188.99</v>
      </c>
      <c r="Y2608" s="8"/>
      <c r="Z2608" s="9">
        <f t="shared" si="1372"/>
        <v>0</v>
      </c>
      <c r="AA2608" s="8">
        <f t="shared" si="1373"/>
        <v>421188.99</v>
      </c>
      <c r="AB2608" s="8">
        <f t="shared" si="1374"/>
        <v>0</v>
      </c>
    </row>
    <row r="2609" spans="1:28" x14ac:dyDescent="0.3">
      <c r="A2609" s="64"/>
      <c r="B2609" s="8"/>
      <c r="C2609" s="41" t="s">
        <v>1190</v>
      </c>
      <c r="D2609" s="16" t="s">
        <v>1126</v>
      </c>
      <c r="E2609" s="9">
        <v>78251.11</v>
      </c>
      <c r="F2609" s="8">
        <v>78251.11</v>
      </c>
      <c r="G2609" s="8"/>
      <c r="H2609" s="9">
        <f t="shared" si="1368"/>
        <v>78251.11</v>
      </c>
      <c r="I2609" s="8"/>
      <c r="J2609" s="9"/>
      <c r="K2609" s="8"/>
      <c r="L2609" s="9"/>
      <c r="M2609" s="9">
        <f t="shared" si="1369"/>
        <v>78251.11</v>
      </c>
      <c r="N2609" s="9">
        <v>0</v>
      </c>
      <c r="O2609" s="8"/>
      <c r="P2609" s="9">
        <v>0</v>
      </c>
      <c r="Q2609" s="8"/>
      <c r="R2609" s="8"/>
      <c r="S2609" s="8"/>
      <c r="T2609" s="9"/>
      <c r="U2609" s="9">
        <f t="shared" si="1370"/>
        <v>0</v>
      </c>
      <c r="V2609" s="9"/>
      <c r="W2609" s="9"/>
      <c r="X2609" s="9">
        <f t="shared" si="1371"/>
        <v>78251.11</v>
      </c>
      <c r="Y2609" s="8"/>
      <c r="Z2609" s="9">
        <f t="shared" si="1372"/>
        <v>0</v>
      </c>
      <c r="AA2609" s="8">
        <f t="shared" si="1373"/>
        <v>78251.11</v>
      </c>
      <c r="AB2609" s="8">
        <f t="shared" si="1374"/>
        <v>0</v>
      </c>
    </row>
    <row r="2610" spans="1:28" x14ac:dyDescent="0.3">
      <c r="A2610" s="64"/>
      <c r="B2610" s="8"/>
      <c r="C2610" s="7" t="s">
        <v>1191</v>
      </c>
      <c r="D2610" s="16" t="s">
        <v>1126</v>
      </c>
      <c r="E2610" s="9">
        <f>910481.01+800000</f>
        <v>1710481.01</v>
      </c>
      <c r="F2610" s="8">
        <f>910481.01+800000</f>
        <v>1710481.01</v>
      </c>
      <c r="G2610" s="8"/>
      <c r="H2610" s="9">
        <f t="shared" si="1368"/>
        <v>1710481.01</v>
      </c>
      <c r="I2610" s="8"/>
      <c r="J2610" s="9"/>
      <c r="K2610" s="8"/>
      <c r="L2610" s="9"/>
      <c r="M2610" s="9">
        <f t="shared" si="1369"/>
        <v>1710481.01</v>
      </c>
      <c r="N2610" s="9">
        <v>0</v>
      </c>
      <c r="O2610" s="8"/>
      <c r="P2610" s="9">
        <v>0</v>
      </c>
      <c r="Q2610" s="8"/>
      <c r="R2610" s="8"/>
      <c r="S2610" s="8"/>
      <c r="T2610" s="9"/>
      <c r="U2610" s="9">
        <f t="shared" si="1370"/>
        <v>0</v>
      </c>
      <c r="V2610" s="9"/>
      <c r="W2610" s="9"/>
      <c r="X2610" s="9">
        <f t="shared" si="1371"/>
        <v>1710481.01</v>
      </c>
      <c r="Y2610" s="8"/>
      <c r="Z2610" s="9">
        <f t="shared" si="1372"/>
        <v>0</v>
      </c>
      <c r="AA2610" s="8">
        <f t="shared" si="1373"/>
        <v>1710481.01</v>
      </c>
      <c r="AB2610" s="8">
        <f t="shared" si="1374"/>
        <v>0</v>
      </c>
    </row>
    <row r="2611" spans="1:28" x14ac:dyDescent="0.3">
      <c r="A2611" s="64"/>
      <c r="B2611" s="8"/>
      <c r="C2611" s="7" t="s">
        <v>1210</v>
      </c>
      <c r="D2611" s="16" t="s">
        <v>1229</v>
      </c>
      <c r="E2611" s="9">
        <f>1257721.56+1548577</f>
        <v>2806298.56</v>
      </c>
      <c r="F2611" s="8">
        <f>1257721.56+1548577</f>
        <v>2806298.56</v>
      </c>
      <c r="G2611" s="8"/>
      <c r="H2611" s="9">
        <f t="shared" si="1368"/>
        <v>2806298.56</v>
      </c>
      <c r="I2611" s="8"/>
      <c r="J2611" s="9"/>
      <c r="K2611" s="8"/>
      <c r="L2611" s="9"/>
      <c r="M2611" s="9">
        <f t="shared" si="1369"/>
        <v>2806298.56</v>
      </c>
      <c r="N2611" s="9">
        <v>0</v>
      </c>
      <c r="O2611" s="8"/>
      <c r="P2611" s="9">
        <f>+N2611+O2611</f>
        <v>0</v>
      </c>
      <c r="Q2611" s="8"/>
      <c r="R2611" s="8"/>
      <c r="S2611" s="8"/>
      <c r="T2611" s="9"/>
      <c r="U2611" s="9">
        <f t="shared" si="1370"/>
        <v>0</v>
      </c>
      <c r="V2611" s="9"/>
      <c r="W2611" s="9"/>
      <c r="X2611" s="9">
        <f t="shared" si="1371"/>
        <v>2806298.56</v>
      </c>
      <c r="Y2611" s="8"/>
      <c r="Z2611" s="9">
        <f t="shared" si="1372"/>
        <v>0</v>
      </c>
      <c r="AA2611" s="8">
        <f t="shared" si="1373"/>
        <v>2806298.56</v>
      </c>
      <c r="AB2611" s="8">
        <f t="shared" si="1374"/>
        <v>0</v>
      </c>
    </row>
    <row r="2612" spans="1:28" x14ac:dyDescent="0.3">
      <c r="A2612" s="64"/>
      <c r="B2612" s="8"/>
      <c r="C2612" s="7" t="s">
        <v>1235</v>
      </c>
      <c r="D2612" s="16" t="s">
        <v>1225</v>
      </c>
      <c r="E2612" s="9">
        <v>2082417.62</v>
      </c>
      <c r="F2612" s="8">
        <v>2082417.62</v>
      </c>
      <c r="G2612" s="8"/>
      <c r="H2612" s="9">
        <f>+F2612+G2612</f>
        <v>2082417.62</v>
      </c>
      <c r="I2612" s="8"/>
      <c r="J2612" s="9"/>
      <c r="K2612" s="8"/>
      <c r="L2612" s="9"/>
      <c r="M2612" s="9">
        <f t="shared" si="1369"/>
        <v>2082417.62</v>
      </c>
      <c r="N2612" s="9">
        <v>0</v>
      </c>
      <c r="O2612" s="8"/>
      <c r="P2612" s="9">
        <f>+N2612+O2612</f>
        <v>0</v>
      </c>
      <c r="Q2612" s="8"/>
      <c r="R2612" s="8"/>
      <c r="S2612" s="8"/>
      <c r="T2612" s="9"/>
      <c r="U2612" s="9">
        <f>+P2612+T2612</f>
        <v>0</v>
      </c>
      <c r="V2612" s="9"/>
      <c r="W2612" s="9"/>
      <c r="X2612" s="9">
        <f>+H2612+P2612</f>
        <v>2082417.62</v>
      </c>
      <c r="Y2612" s="8"/>
      <c r="Z2612" s="9">
        <f>+E2612-X2612</f>
        <v>0</v>
      </c>
      <c r="AA2612" s="8">
        <f>+M2612+U2612</f>
        <v>2082417.62</v>
      </c>
      <c r="AB2612" s="8">
        <f>+E2612-AA2612</f>
        <v>0</v>
      </c>
    </row>
    <row r="2613" spans="1:28" x14ac:dyDescent="0.3">
      <c r="A2613" s="64"/>
      <c r="B2613" s="8"/>
      <c r="C2613" s="7" t="s">
        <v>1217</v>
      </c>
      <c r="D2613" s="16" t="s">
        <v>1126</v>
      </c>
      <c r="E2613" s="9">
        <f>1691605.27+1864000</f>
        <v>3555605.27</v>
      </c>
      <c r="F2613" s="8">
        <f>1691605.27+1864000</f>
        <v>3555605.27</v>
      </c>
      <c r="G2613" s="8"/>
      <c r="H2613" s="9">
        <f>+F2613+G2613</f>
        <v>3555605.27</v>
      </c>
      <c r="I2613" s="8"/>
      <c r="J2613" s="9"/>
      <c r="K2613" s="8"/>
      <c r="L2613" s="9"/>
      <c r="M2613" s="9">
        <f t="shared" si="1369"/>
        <v>3555605.27</v>
      </c>
      <c r="N2613" s="9">
        <v>0</v>
      </c>
      <c r="O2613" s="8"/>
      <c r="P2613" s="9">
        <f>+N2613+O2613</f>
        <v>0</v>
      </c>
      <c r="Q2613" s="8"/>
      <c r="R2613" s="8"/>
      <c r="S2613" s="8"/>
      <c r="T2613" s="9"/>
      <c r="U2613" s="9">
        <f t="shared" si="1370"/>
        <v>0</v>
      </c>
      <c r="V2613" s="9"/>
      <c r="W2613" s="9"/>
      <c r="X2613" s="9">
        <f t="shared" si="1371"/>
        <v>3555605.27</v>
      </c>
      <c r="Y2613" s="8"/>
      <c r="Z2613" s="9">
        <f t="shared" si="1372"/>
        <v>0</v>
      </c>
      <c r="AA2613" s="8">
        <f t="shared" si="1373"/>
        <v>3555605.27</v>
      </c>
      <c r="AB2613" s="8">
        <f t="shared" si="1374"/>
        <v>0</v>
      </c>
    </row>
    <row r="2614" spans="1:28" x14ac:dyDescent="0.3">
      <c r="A2614" s="64"/>
      <c r="B2614" s="8"/>
      <c r="C2614" s="7" t="s">
        <v>507</v>
      </c>
      <c r="D2614" s="16"/>
      <c r="E2614" s="9">
        <f>2963001+1390847.65</f>
        <v>4353848.6500000004</v>
      </c>
      <c r="F2614" s="8">
        <f>2963001+1390847.65</f>
        <v>4353848.6500000004</v>
      </c>
      <c r="G2614" s="8"/>
      <c r="H2614" s="9">
        <f>F2614+G2614</f>
        <v>4353848.6500000004</v>
      </c>
      <c r="I2614" s="8"/>
      <c r="J2614" s="9"/>
      <c r="K2614" s="8"/>
      <c r="L2614" s="9"/>
      <c r="M2614" s="9">
        <f>H2614+L2614</f>
        <v>4353848.6500000004</v>
      </c>
      <c r="N2614" s="9">
        <v>0</v>
      </c>
      <c r="O2614" s="8"/>
      <c r="P2614" s="9">
        <f>N2614+O2614</f>
        <v>0</v>
      </c>
      <c r="Q2614" s="8"/>
      <c r="R2614" s="8"/>
      <c r="S2614" s="8"/>
      <c r="T2614" s="9"/>
      <c r="U2614" s="9">
        <f>P2614+T2614</f>
        <v>0</v>
      </c>
      <c r="V2614" s="9">
        <f>P2614+H2614</f>
        <v>4353848.6500000004</v>
      </c>
      <c r="W2614" s="9">
        <f>E2614-V2614</f>
        <v>0</v>
      </c>
      <c r="X2614" s="9">
        <f t="shared" si="1364"/>
        <v>4353848.6500000004</v>
      </c>
      <c r="Y2614" s="8"/>
      <c r="Z2614" s="9">
        <f t="shared" si="1365"/>
        <v>0</v>
      </c>
      <c r="AA2614" s="8">
        <f t="shared" si="1366"/>
        <v>4353848.6500000004</v>
      </c>
      <c r="AB2614" s="8">
        <f t="shared" si="1367"/>
        <v>0</v>
      </c>
    </row>
    <row r="2615" spans="1:28" x14ac:dyDescent="0.3">
      <c r="A2615" s="64"/>
      <c r="B2615" s="8"/>
      <c r="C2615" s="8"/>
      <c r="D2615" s="8"/>
      <c r="E2615" s="17" t="s">
        <v>29</v>
      </c>
      <c r="F2615" s="17" t="s">
        <v>29</v>
      </c>
      <c r="G2615" s="17" t="s">
        <v>29</v>
      </c>
      <c r="H2615" s="17" t="s">
        <v>29</v>
      </c>
      <c r="I2615" s="17" t="s">
        <v>29</v>
      </c>
      <c r="J2615" s="17" t="s">
        <v>29</v>
      </c>
      <c r="K2615" s="17" t="s">
        <v>29</v>
      </c>
      <c r="L2615" s="17" t="s">
        <v>29</v>
      </c>
      <c r="M2615" s="17" t="s">
        <v>29</v>
      </c>
      <c r="N2615" s="17" t="s">
        <v>29</v>
      </c>
      <c r="O2615" s="17" t="s">
        <v>29</v>
      </c>
      <c r="P2615" s="17" t="s">
        <v>29</v>
      </c>
      <c r="Q2615" s="17" t="s">
        <v>29</v>
      </c>
      <c r="R2615" s="17" t="s">
        <v>29</v>
      </c>
      <c r="S2615" s="17" t="s">
        <v>29</v>
      </c>
      <c r="T2615" s="17" t="s">
        <v>29</v>
      </c>
      <c r="U2615" s="17" t="s">
        <v>29</v>
      </c>
      <c r="V2615" s="17" t="s">
        <v>29</v>
      </c>
      <c r="W2615" s="17" t="s">
        <v>29</v>
      </c>
      <c r="X2615" s="17" t="s">
        <v>29</v>
      </c>
      <c r="Y2615" s="17" t="s">
        <v>29</v>
      </c>
      <c r="Z2615" s="17" t="s">
        <v>29</v>
      </c>
      <c r="AA2615" s="17" t="s">
        <v>29</v>
      </c>
      <c r="AB2615" s="17" t="s">
        <v>29</v>
      </c>
    </row>
    <row r="2616" spans="1:28" x14ac:dyDescent="0.3">
      <c r="A2616" s="64"/>
      <c r="B2616" s="8"/>
      <c r="C2616" s="8"/>
      <c r="D2616" s="8"/>
      <c r="E2616" s="9">
        <f>SUM(E2581:E2614)</f>
        <v>106736107.56</v>
      </c>
      <c r="F2616" s="9">
        <f t="shared" ref="F2616:AB2616" si="1375">SUM(F2581:F2614)</f>
        <v>100126878.56999999</v>
      </c>
      <c r="G2616" s="9">
        <f t="shared" si="1375"/>
        <v>0</v>
      </c>
      <c r="H2616" s="9">
        <f t="shared" si="1375"/>
        <v>100126878.56999999</v>
      </c>
      <c r="I2616" s="9">
        <f t="shared" si="1375"/>
        <v>1068934.93</v>
      </c>
      <c r="J2616" s="9">
        <f t="shared" si="1375"/>
        <v>1068934.93</v>
      </c>
      <c r="K2616" s="9">
        <f t="shared" si="1375"/>
        <v>0</v>
      </c>
      <c r="L2616" s="9">
        <f t="shared" si="1375"/>
        <v>0</v>
      </c>
      <c r="M2616" s="9">
        <f t="shared" si="1375"/>
        <v>100126878.56999999</v>
      </c>
      <c r="N2616" s="9">
        <f t="shared" si="1375"/>
        <v>6605129.4500000002</v>
      </c>
      <c r="O2616" s="9">
        <f t="shared" si="1375"/>
        <v>0</v>
      </c>
      <c r="P2616" s="9">
        <f t="shared" si="1375"/>
        <v>6605129.4500000002</v>
      </c>
      <c r="Q2616" s="9">
        <f t="shared" si="1375"/>
        <v>4099.54</v>
      </c>
      <c r="R2616" s="9">
        <f t="shared" si="1375"/>
        <v>0</v>
      </c>
      <c r="S2616" s="9">
        <f t="shared" si="1375"/>
        <v>0</v>
      </c>
      <c r="T2616" s="9">
        <f t="shared" si="1375"/>
        <v>4099.54</v>
      </c>
      <c r="U2616" s="9">
        <f t="shared" si="1375"/>
        <v>6609228.9900000002</v>
      </c>
      <c r="V2616" s="9">
        <f t="shared" si="1375"/>
        <v>95809199.440000013</v>
      </c>
      <c r="W2616" s="9">
        <f t="shared" si="1375"/>
        <v>4099.5400000000373</v>
      </c>
      <c r="X2616" s="9">
        <f t="shared" si="1375"/>
        <v>106732008.02000001</v>
      </c>
      <c r="Y2616" s="9">
        <f t="shared" si="1375"/>
        <v>0</v>
      </c>
      <c r="Z2616" s="9">
        <f t="shared" si="1375"/>
        <v>4099.5400000000373</v>
      </c>
      <c r="AA2616" s="9">
        <f t="shared" si="1375"/>
        <v>106736107.56</v>
      </c>
      <c r="AB2616" s="9">
        <f t="shared" si="1375"/>
        <v>0</v>
      </c>
    </row>
    <row r="2617" spans="1:28" x14ac:dyDescent="0.3">
      <c r="A2617" s="64"/>
      <c r="B2617" s="8"/>
      <c r="C2617" s="8"/>
      <c r="D2617" s="8"/>
      <c r="E2617" s="17" t="s">
        <v>29</v>
      </c>
      <c r="F2617" s="17" t="s">
        <v>29</v>
      </c>
      <c r="G2617" s="17" t="s">
        <v>29</v>
      </c>
      <c r="H2617" s="17" t="s">
        <v>29</v>
      </c>
      <c r="I2617" s="17" t="s">
        <v>29</v>
      </c>
      <c r="J2617" s="17" t="s">
        <v>29</v>
      </c>
      <c r="K2617" s="17" t="s">
        <v>29</v>
      </c>
      <c r="L2617" s="17" t="s">
        <v>29</v>
      </c>
      <c r="M2617" s="17" t="s">
        <v>29</v>
      </c>
      <c r="N2617" s="17" t="s">
        <v>29</v>
      </c>
      <c r="O2617" s="17" t="s">
        <v>29</v>
      </c>
      <c r="P2617" s="17" t="s">
        <v>29</v>
      </c>
      <c r="Q2617" s="17" t="s">
        <v>29</v>
      </c>
      <c r="R2617" s="17" t="s">
        <v>29</v>
      </c>
      <c r="S2617" s="17" t="s">
        <v>29</v>
      </c>
      <c r="T2617" s="17" t="s">
        <v>29</v>
      </c>
      <c r="U2617" s="17" t="s">
        <v>29</v>
      </c>
      <c r="V2617" s="17" t="s">
        <v>29</v>
      </c>
      <c r="W2617" s="17" t="s">
        <v>29</v>
      </c>
      <c r="X2617" s="17" t="s">
        <v>29</v>
      </c>
      <c r="Y2617" s="17" t="s">
        <v>29</v>
      </c>
      <c r="Z2617" s="17" t="s">
        <v>29</v>
      </c>
      <c r="AA2617" s="17" t="s">
        <v>29</v>
      </c>
      <c r="AB2617" s="17" t="s">
        <v>29</v>
      </c>
    </row>
    <row r="2618" spans="1:28" x14ac:dyDescent="0.3">
      <c r="A2618" s="64"/>
      <c r="B2618" s="7" t="s">
        <v>453</v>
      </c>
      <c r="C2618" s="8"/>
      <c r="D2618" s="8"/>
      <c r="E2618" s="9">
        <v>1700000</v>
      </c>
      <c r="F2618" s="9">
        <v>1700000</v>
      </c>
      <c r="G2618" s="8"/>
      <c r="H2618" s="9">
        <f>F2618+G2618</f>
        <v>1700000</v>
      </c>
      <c r="I2618" s="8"/>
      <c r="J2618" s="8"/>
      <c r="K2618" s="9">
        <f>-3912180+3912180</f>
        <v>0</v>
      </c>
      <c r="L2618" s="9">
        <f>I2618-J2618+K2618</f>
        <v>0</v>
      </c>
      <c r="M2618" s="9">
        <f>H2618+L2618</f>
        <v>1700000</v>
      </c>
      <c r="N2618" s="9">
        <v>0</v>
      </c>
      <c r="O2618" s="8"/>
      <c r="P2618" s="9">
        <f>N2618+O2618</f>
        <v>0</v>
      </c>
      <c r="Q2618" s="8"/>
      <c r="R2618" s="8"/>
      <c r="S2618" s="8"/>
      <c r="T2618" s="9">
        <f>Q2618-R2618+S2618</f>
        <v>0</v>
      </c>
      <c r="U2618" s="9">
        <f>P2618+T2618</f>
        <v>0</v>
      </c>
      <c r="V2618" s="9">
        <f>P2618+H2618</f>
        <v>1700000</v>
      </c>
      <c r="W2618" s="9">
        <f>E2618-V2618</f>
        <v>0</v>
      </c>
      <c r="X2618" s="9">
        <f>+H2618+P2618</f>
        <v>1700000</v>
      </c>
      <c r="Y2618" s="8"/>
      <c r="Z2618" s="9">
        <f>+E2618-X2618</f>
        <v>0</v>
      </c>
      <c r="AA2618" s="8">
        <f>+M2618+U2618</f>
        <v>1700000</v>
      </c>
      <c r="AB2618" s="8">
        <f>+E2618-AA2618</f>
        <v>0</v>
      </c>
    </row>
    <row r="2619" spans="1:28" x14ac:dyDescent="0.3">
      <c r="A2619" s="64"/>
      <c r="B2619" s="8"/>
      <c r="C2619" s="8"/>
      <c r="D2619" s="8"/>
      <c r="E2619" s="17" t="s">
        <v>29</v>
      </c>
      <c r="F2619" s="17" t="s">
        <v>29</v>
      </c>
      <c r="G2619" s="17" t="s">
        <v>29</v>
      </c>
      <c r="H2619" s="17" t="s">
        <v>29</v>
      </c>
      <c r="I2619" s="17" t="s">
        <v>29</v>
      </c>
      <c r="J2619" s="17" t="s">
        <v>29</v>
      </c>
      <c r="K2619" s="17" t="s">
        <v>29</v>
      </c>
      <c r="L2619" s="17" t="s">
        <v>29</v>
      </c>
      <c r="M2619" s="17" t="s">
        <v>29</v>
      </c>
      <c r="N2619" s="17" t="s">
        <v>29</v>
      </c>
      <c r="O2619" s="17" t="s">
        <v>29</v>
      </c>
      <c r="P2619" s="17" t="s">
        <v>29</v>
      </c>
      <c r="Q2619" s="17" t="s">
        <v>29</v>
      </c>
      <c r="R2619" s="17" t="s">
        <v>29</v>
      </c>
      <c r="S2619" s="17" t="s">
        <v>29</v>
      </c>
      <c r="T2619" s="17" t="s">
        <v>29</v>
      </c>
      <c r="U2619" s="17" t="s">
        <v>29</v>
      </c>
      <c r="V2619" s="17" t="s">
        <v>29</v>
      </c>
      <c r="W2619" s="17" t="s">
        <v>29</v>
      </c>
      <c r="X2619" s="17" t="s">
        <v>29</v>
      </c>
      <c r="Y2619" s="17" t="s">
        <v>29</v>
      </c>
      <c r="Z2619" s="17" t="s">
        <v>29</v>
      </c>
      <c r="AA2619" s="17" t="s">
        <v>29</v>
      </c>
      <c r="AB2619" s="17" t="s">
        <v>29</v>
      </c>
    </row>
    <row r="2620" spans="1:28" x14ac:dyDescent="0.3">
      <c r="A2620" s="64"/>
      <c r="B2620" s="8"/>
      <c r="C2620" s="8"/>
      <c r="D2620" s="8"/>
      <c r="E2620" s="9">
        <f t="shared" ref="E2620:AB2620" si="1376">E2618</f>
        <v>1700000</v>
      </c>
      <c r="F2620" s="9">
        <f t="shared" si="1376"/>
        <v>1700000</v>
      </c>
      <c r="G2620" s="9">
        <f t="shared" si="1376"/>
        <v>0</v>
      </c>
      <c r="H2620" s="9">
        <f t="shared" si="1376"/>
        <v>1700000</v>
      </c>
      <c r="I2620" s="9">
        <f t="shared" si="1376"/>
        <v>0</v>
      </c>
      <c r="J2620" s="9">
        <f t="shared" si="1376"/>
        <v>0</v>
      </c>
      <c r="K2620" s="9">
        <f t="shared" si="1376"/>
        <v>0</v>
      </c>
      <c r="L2620" s="9">
        <f t="shared" si="1376"/>
        <v>0</v>
      </c>
      <c r="M2620" s="9">
        <f t="shared" si="1376"/>
        <v>1700000</v>
      </c>
      <c r="N2620" s="9">
        <f t="shared" si="1376"/>
        <v>0</v>
      </c>
      <c r="O2620" s="9">
        <f t="shared" si="1376"/>
        <v>0</v>
      </c>
      <c r="P2620" s="9">
        <f t="shared" si="1376"/>
        <v>0</v>
      </c>
      <c r="Q2620" s="9">
        <f t="shared" si="1376"/>
        <v>0</v>
      </c>
      <c r="R2620" s="9">
        <f t="shared" si="1376"/>
        <v>0</v>
      </c>
      <c r="S2620" s="9">
        <f t="shared" si="1376"/>
        <v>0</v>
      </c>
      <c r="T2620" s="9">
        <f t="shared" si="1376"/>
        <v>0</v>
      </c>
      <c r="U2620" s="9">
        <f t="shared" si="1376"/>
        <v>0</v>
      </c>
      <c r="V2620" s="9">
        <f t="shared" si="1376"/>
        <v>1700000</v>
      </c>
      <c r="W2620" s="9">
        <f t="shared" si="1376"/>
        <v>0</v>
      </c>
      <c r="X2620" s="9">
        <f t="shared" si="1376"/>
        <v>1700000</v>
      </c>
      <c r="Y2620" s="9">
        <f t="shared" si="1376"/>
        <v>0</v>
      </c>
      <c r="Z2620" s="9">
        <f t="shared" si="1376"/>
        <v>0</v>
      </c>
      <c r="AA2620" s="9">
        <f t="shared" si="1376"/>
        <v>1700000</v>
      </c>
      <c r="AB2620" s="9">
        <f t="shared" si="1376"/>
        <v>0</v>
      </c>
    </row>
    <row r="2621" spans="1:28" x14ac:dyDescent="0.3">
      <c r="A2621" s="64"/>
      <c r="B2621" s="8"/>
      <c r="C2621" s="8"/>
      <c r="D2621" s="8"/>
      <c r="E2621" s="17" t="s">
        <v>29</v>
      </c>
      <c r="F2621" s="17" t="s">
        <v>29</v>
      </c>
      <c r="G2621" s="17" t="s">
        <v>29</v>
      </c>
      <c r="H2621" s="17" t="s">
        <v>29</v>
      </c>
      <c r="I2621" s="17" t="s">
        <v>29</v>
      </c>
      <c r="J2621" s="17" t="s">
        <v>29</v>
      </c>
      <c r="K2621" s="17" t="s">
        <v>29</v>
      </c>
      <c r="L2621" s="17" t="s">
        <v>29</v>
      </c>
      <c r="M2621" s="17" t="s">
        <v>29</v>
      </c>
      <c r="N2621" s="17" t="s">
        <v>29</v>
      </c>
      <c r="O2621" s="17" t="s">
        <v>29</v>
      </c>
      <c r="P2621" s="17" t="s">
        <v>29</v>
      </c>
      <c r="Q2621" s="17" t="s">
        <v>29</v>
      </c>
      <c r="R2621" s="17" t="s">
        <v>29</v>
      </c>
      <c r="S2621" s="17" t="s">
        <v>29</v>
      </c>
      <c r="T2621" s="17" t="s">
        <v>29</v>
      </c>
      <c r="U2621" s="17" t="s">
        <v>29</v>
      </c>
      <c r="V2621" s="17" t="s">
        <v>29</v>
      </c>
      <c r="W2621" s="17" t="s">
        <v>29</v>
      </c>
      <c r="X2621" s="17" t="s">
        <v>29</v>
      </c>
      <c r="Y2621" s="17" t="s">
        <v>29</v>
      </c>
      <c r="Z2621" s="17" t="s">
        <v>29</v>
      </c>
      <c r="AA2621" s="17" t="s">
        <v>29</v>
      </c>
      <c r="AB2621" s="17" t="s">
        <v>29</v>
      </c>
    </row>
    <row r="2622" spans="1:28" x14ac:dyDescent="0.3">
      <c r="A2622" s="64"/>
      <c r="B2622" s="8"/>
      <c r="C2622" s="8"/>
      <c r="D2622" s="8"/>
      <c r="E2622" s="8"/>
      <c r="F2622" s="8"/>
      <c r="G2622" s="8"/>
      <c r="H2622" s="8"/>
      <c r="I2622" s="8"/>
      <c r="J2622" s="8"/>
      <c r="K2622" s="8"/>
      <c r="L2622" s="8"/>
      <c r="M2622" s="8"/>
      <c r="N2622" s="8"/>
      <c r="O2622" s="8"/>
      <c r="P2622" s="8"/>
      <c r="Q2622" s="8"/>
      <c r="R2622" s="8"/>
      <c r="S2622" s="8"/>
      <c r="T2622" s="8"/>
      <c r="U2622" s="8"/>
      <c r="V2622" s="8"/>
      <c r="W2622" s="8"/>
      <c r="X2622" s="8"/>
      <c r="Y2622" s="8"/>
      <c r="Z2622" s="8"/>
    </row>
    <row r="2623" spans="1:28" x14ac:dyDescent="0.3">
      <c r="A2623" s="63" t="s">
        <v>1050</v>
      </c>
      <c r="B2623" s="7" t="s">
        <v>454</v>
      </c>
      <c r="C2623" s="8"/>
      <c r="D2623" s="8"/>
      <c r="E2623" s="8"/>
      <c r="F2623" s="8"/>
      <c r="G2623" s="8"/>
      <c r="H2623" s="8"/>
      <c r="I2623" s="8"/>
      <c r="J2623" s="8"/>
      <c r="K2623" s="8"/>
      <c r="L2623" s="8"/>
      <c r="M2623" s="8"/>
      <c r="N2623" s="8"/>
      <c r="O2623" s="8"/>
      <c r="P2623" s="8"/>
      <c r="Q2623" s="8"/>
      <c r="R2623" s="8"/>
      <c r="S2623" s="8"/>
      <c r="T2623" s="8"/>
      <c r="U2623" s="8"/>
      <c r="V2623" s="8"/>
      <c r="W2623" s="8"/>
      <c r="X2623" s="8"/>
      <c r="Y2623" s="8"/>
      <c r="Z2623" s="8"/>
    </row>
    <row r="2624" spans="1:28" x14ac:dyDescent="0.3">
      <c r="A2624" s="64"/>
      <c r="B2624" s="8"/>
      <c r="C2624" s="7" t="s">
        <v>57</v>
      </c>
      <c r="D2624" s="15" t="s">
        <v>455</v>
      </c>
      <c r="E2624" s="9">
        <v>10007897.939999999</v>
      </c>
      <c r="F2624" s="9">
        <v>9820889.8599999994</v>
      </c>
      <c r="G2624" s="8"/>
      <c r="H2624" s="9">
        <f t="shared" ref="H2624:H2641" si="1377">F2624+G2624</f>
        <v>9820889.8599999994</v>
      </c>
      <c r="I2624" s="8"/>
      <c r="J2624" s="8"/>
      <c r="K2624" s="8"/>
      <c r="L2624" s="9"/>
      <c r="M2624" s="9">
        <f t="shared" ref="M2624:M2641" si="1378">H2624+L2624</f>
        <v>9820889.8599999994</v>
      </c>
      <c r="N2624" s="9">
        <v>187008.08</v>
      </c>
      <c r="O2624" s="8"/>
      <c r="P2624" s="9">
        <f t="shared" ref="P2624:P2641" si="1379">N2624+O2624</f>
        <v>187008.08</v>
      </c>
      <c r="Q2624" s="8"/>
      <c r="R2624" s="8"/>
      <c r="S2624" s="8"/>
      <c r="T2624" s="9"/>
      <c r="U2624" s="9">
        <f t="shared" ref="U2624:U2641" si="1380">P2624+T2624</f>
        <v>187008.08</v>
      </c>
      <c r="V2624" s="9">
        <f t="shared" ref="V2624:V2641" si="1381">P2624+H2624</f>
        <v>10007897.939999999</v>
      </c>
      <c r="W2624" s="9">
        <f t="shared" ref="W2624:W2641" si="1382">E2624-V2624</f>
        <v>0</v>
      </c>
      <c r="X2624" s="9">
        <f t="shared" ref="X2624:X2641" si="1383">+H2624+P2624</f>
        <v>10007897.939999999</v>
      </c>
      <c r="Y2624" s="8"/>
      <c r="Z2624" s="9">
        <f t="shared" ref="Z2624:Z2641" si="1384">+E2624-X2624</f>
        <v>0</v>
      </c>
      <c r="AA2624" s="8">
        <f t="shared" ref="AA2624:AA2641" si="1385">+M2624+U2624</f>
        <v>10007897.939999999</v>
      </c>
      <c r="AB2624" s="8">
        <f t="shared" ref="AB2624:AB2641" si="1386">+E2624-AA2624</f>
        <v>0</v>
      </c>
    </row>
    <row r="2625" spans="1:28" x14ac:dyDescent="0.3">
      <c r="A2625" s="64"/>
      <c r="B2625" s="8"/>
      <c r="C2625" s="7" t="s">
        <v>53</v>
      </c>
      <c r="D2625" s="15" t="s">
        <v>54</v>
      </c>
      <c r="E2625" s="9">
        <v>1953989</v>
      </c>
      <c r="F2625" s="9">
        <v>0</v>
      </c>
      <c r="G2625" s="8"/>
      <c r="H2625" s="9">
        <f t="shared" si="1377"/>
        <v>0</v>
      </c>
      <c r="I2625" s="8"/>
      <c r="J2625" s="8"/>
      <c r="K2625" s="8"/>
      <c r="L2625" s="9"/>
      <c r="M2625" s="9">
        <f t="shared" si="1378"/>
        <v>0</v>
      </c>
      <c r="N2625" s="9">
        <v>1953989</v>
      </c>
      <c r="O2625" s="8"/>
      <c r="P2625" s="9">
        <f t="shared" si="1379"/>
        <v>1953989</v>
      </c>
      <c r="Q2625" s="8"/>
      <c r="R2625" s="8"/>
      <c r="S2625" s="8"/>
      <c r="T2625" s="9"/>
      <c r="U2625" s="9">
        <f t="shared" si="1380"/>
        <v>1953989</v>
      </c>
      <c r="V2625" s="9">
        <f t="shared" si="1381"/>
        <v>1953989</v>
      </c>
      <c r="W2625" s="9">
        <f t="shared" si="1382"/>
        <v>0</v>
      </c>
      <c r="X2625" s="9">
        <f t="shared" si="1383"/>
        <v>1953989</v>
      </c>
      <c r="Y2625" s="8"/>
      <c r="Z2625" s="9">
        <f t="shared" si="1384"/>
        <v>0</v>
      </c>
      <c r="AA2625" s="8">
        <f t="shared" si="1385"/>
        <v>1953989</v>
      </c>
      <c r="AB2625" s="8">
        <f t="shared" si="1386"/>
        <v>0</v>
      </c>
    </row>
    <row r="2626" spans="1:28" x14ac:dyDescent="0.3">
      <c r="A2626" s="64"/>
      <c r="B2626" s="8"/>
      <c r="C2626" s="7" t="s">
        <v>456</v>
      </c>
      <c r="D2626" s="15" t="s">
        <v>85</v>
      </c>
      <c r="E2626" s="9">
        <f>3360000-1600000</f>
        <v>1760000</v>
      </c>
      <c r="F2626" s="9">
        <v>1760000</v>
      </c>
      <c r="G2626" s="8"/>
      <c r="H2626" s="9">
        <f t="shared" si="1377"/>
        <v>1760000</v>
      </c>
      <c r="I2626" s="8"/>
      <c r="J2626" s="8"/>
      <c r="K2626" s="8"/>
      <c r="L2626" s="9"/>
      <c r="M2626" s="9">
        <f t="shared" si="1378"/>
        <v>1760000</v>
      </c>
      <c r="N2626" s="9">
        <v>0</v>
      </c>
      <c r="O2626" s="8"/>
      <c r="P2626" s="9">
        <f t="shared" si="1379"/>
        <v>0</v>
      </c>
      <c r="Q2626" s="8"/>
      <c r="R2626" s="8"/>
      <c r="S2626" s="8"/>
      <c r="T2626" s="9"/>
      <c r="U2626" s="9">
        <f t="shared" si="1380"/>
        <v>0</v>
      </c>
      <c r="V2626" s="9">
        <f t="shared" si="1381"/>
        <v>1760000</v>
      </c>
      <c r="W2626" s="9">
        <f t="shared" si="1382"/>
        <v>0</v>
      </c>
      <c r="X2626" s="9">
        <f t="shared" si="1383"/>
        <v>1760000</v>
      </c>
      <c r="Y2626" s="8"/>
      <c r="Z2626" s="9">
        <f t="shared" si="1384"/>
        <v>0</v>
      </c>
      <c r="AA2626" s="8">
        <f t="shared" si="1385"/>
        <v>1760000</v>
      </c>
      <c r="AB2626" s="8">
        <f t="shared" si="1386"/>
        <v>0</v>
      </c>
    </row>
    <row r="2627" spans="1:28" x14ac:dyDescent="0.3">
      <c r="A2627" s="64"/>
      <c r="B2627" s="8"/>
      <c r="C2627" s="7" t="s">
        <v>457</v>
      </c>
      <c r="D2627" s="15" t="s">
        <v>128</v>
      </c>
      <c r="E2627" s="9">
        <v>955345.62</v>
      </c>
      <c r="F2627" s="9">
        <v>0</v>
      </c>
      <c r="G2627" s="8"/>
      <c r="H2627" s="9">
        <f t="shared" si="1377"/>
        <v>0</v>
      </c>
      <c r="I2627" s="8"/>
      <c r="J2627" s="8"/>
      <c r="K2627" s="8"/>
      <c r="L2627" s="9"/>
      <c r="M2627" s="9">
        <f t="shared" si="1378"/>
        <v>0</v>
      </c>
      <c r="N2627" s="9">
        <v>955345.62</v>
      </c>
      <c r="O2627" s="8"/>
      <c r="P2627" s="9">
        <f t="shared" si="1379"/>
        <v>955345.62</v>
      </c>
      <c r="Q2627" s="8"/>
      <c r="R2627" s="8"/>
      <c r="S2627" s="8"/>
      <c r="T2627" s="9"/>
      <c r="U2627" s="9">
        <f t="shared" si="1380"/>
        <v>955345.62</v>
      </c>
      <c r="V2627" s="9">
        <f t="shared" si="1381"/>
        <v>955345.62</v>
      </c>
      <c r="W2627" s="9">
        <f t="shared" si="1382"/>
        <v>0</v>
      </c>
      <c r="X2627" s="9">
        <f t="shared" si="1383"/>
        <v>955345.62</v>
      </c>
      <c r="Y2627" s="8"/>
      <c r="Z2627" s="9">
        <f t="shared" si="1384"/>
        <v>0</v>
      </c>
      <c r="AA2627" s="8">
        <f t="shared" si="1385"/>
        <v>955345.62</v>
      </c>
      <c r="AB2627" s="8">
        <f t="shared" si="1386"/>
        <v>0</v>
      </c>
    </row>
    <row r="2628" spans="1:28" x14ac:dyDescent="0.3">
      <c r="A2628" s="64"/>
      <c r="B2628" s="8"/>
      <c r="C2628" s="7" t="s">
        <v>55</v>
      </c>
      <c r="D2628" s="15" t="s">
        <v>128</v>
      </c>
      <c r="E2628" s="9">
        <v>365606.25</v>
      </c>
      <c r="F2628" s="9">
        <v>0</v>
      </c>
      <c r="G2628" s="8"/>
      <c r="H2628" s="9">
        <f t="shared" si="1377"/>
        <v>0</v>
      </c>
      <c r="I2628" s="8"/>
      <c r="J2628" s="8"/>
      <c r="K2628" s="8"/>
      <c r="L2628" s="9"/>
      <c r="M2628" s="9">
        <f t="shared" si="1378"/>
        <v>0</v>
      </c>
      <c r="N2628" s="9">
        <v>365606.25</v>
      </c>
      <c r="O2628" s="8"/>
      <c r="P2628" s="9">
        <f t="shared" si="1379"/>
        <v>365606.25</v>
      </c>
      <c r="Q2628" s="8"/>
      <c r="R2628" s="8"/>
      <c r="S2628" s="8"/>
      <c r="T2628" s="9"/>
      <c r="U2628" s="9">
        <f t="shared" si="1380"/>
        <v>365606.25</v>
      </c>
      <c r="V2628" s="9">
        <f t="shared" si="1381"/>
        <v>365606.25</v>
      </c>
      <c r="W2628" s="9">
        <f t="shared" si="1382"/>
        <v>0</v>
      </c>
      <c r="X2628" s="9">
        <f t="shared" si="1383"/>
        <v>365606.25</v>
      </c>
      <c r="Y2628" s="8"/>
      <c r="Z2628" s="9">
        <f t="shared" si="1384"/>
        <v>0</v>
      </c>
      <c r="AA2628" s="8">
        <f t="shared" si="1385"/>
        <v>365606.25</v>
      </c>
      <c r="AB2628" s="8">
        <f t="shared" si="1386"/>
        <v>0</v>
      </c>
    </row>
    <row r="2629" spans="1:28" x14ac:dyDescent="0.3">
      <c r="A2629" s="64"/>
      <c r="B2629" s="8"/>
      <c r="C2629" s="7" t="s">
        <v>225</v>
      </c>
      <c r="D2629" s="15" t="s">
        <v>85</v>
      </c>
      <c r="E2629" s="9">
        <v>80000</v>
      </c>
      <c r="F2629" s="9">
        <v>0</v>
      </c>
      <c r="G2629" s="8"/>
      <c r="H2629" s="9">
        <f t="shared" si="1377"/>
        <v>0</v>
      </c>
      <c r="I2629" s="8"/>
      <c r="J2629" s="8"/>
      <c r="K2629" s="8"/>
      <c r="L2629" s="9"/>
      <c r="M2629" s="9">
        <f t="shared" si="1378"/>
        <v>0</v>
      </c>
      <c r="N2629" s="9">
        <v>0</v>
      </c>
      <c r="O2629" s="8"/>
      <c r="P2629" s="9">
        <f t="shared" si="1379"/>
        <v>0</v>
      </c>
      <c r="Q2629" s="8"/>
      <c r="R2629" s="8"/>
      <c r="S2629" s="8"/>
      <c r="T2629" s="9"/>
      <c r="U2629" s="9">
        <f t="shared" si="1380"/>
        <v>0</v>
      </c>
      <c r="V2629" s="9">
        <f t="shared" si="1381"/>
        <v>0</v>
      </c>
      <c r="W2629" s="9">
        <f t="shared" si="1382"/>
        <v>80000</v>
      </c>
      <c r="X2629" s="9">
        <f t="shared" si="1383"/>
        <v>0</v>
      </c>
      <c r="Y2629" s="8"/>
      <c r="Z2629" s="9">
        <f t="shared" si="1384"/>
        <v>80000</v>
      </c>
      <c r="AA2629" s="8">
        <f t="shared" si="1385"/>
        <v>0</v>
      </c>
      <c r="AB2629" s="8">
        <f t="shared" si="1386"/>
        <v>80000</v>
      </c>
    </row>
    <row r="2630" spans="1:28" x14ac:dyDescent="0.3">
      <c r="A2630" s="64"/>
      <c r="B2630" s="8"/>
      <c r="C2630" s="7" t="s">
        <v>57</v>
      </c>
      <c r="D2630" s="15" t="s">
        <v>58</v>
      </c>
      <c r="E2630" s="9">
        <v>15233813</v>
      </c>
      <c r="F2630" s="9">
        <v>15233813</v>
      </c>
      <c r="G2630" s="8"/>
      <c r="H2630" s="9">
        <f t="shared" si="1377"/>
        <v>15233813</v>
      </c>
      <c r="I2630" s="8"/>
      <c r="J2630" s="8"/>
      <c r="K2630" s="8"/>
      <c r="L2630" s="9"/>
      <c r="M2630" s="9">
        <f t="shared" si="1378"/>
        <v>15233813</v>
      </c>
      <c r="N2630" s="9">
        <v>0</v>
      </c>
      <c r="O2630" s="8"/>
      <c r="P2630" s="9">
        <f t="shared" si="1379"/>
        <v>0</v>
      </c>
      <c r="Q2630" s="8"/>
      <c r="R2630" s="8"/>
      <c r="S2630" s="8"/>
      <c r="T2630" s="9"/>
      <c r="U2630" s="9">
        <f t="shared" si="1380"/>
        <v>0</v>
      </c>
      <c r="V2630" s="9">
        <f t="shared" si="1381"/>
        <v>15233813</v>
      </c>
      <c r="W2630" s="9">
        <f t="shared" si="1382"/>
        <v>0</v>
      </c>
      <c r="X2630" s="9">
        <f t="shared" si="1383"/>
        <v>15233813</v>
      </c>
      <c r="Y2630" s="8"/>
      <c r="Z2630" s="9">
        <f t="shared" si="1384"/>
        <v>0</v>
      </c>
      <c r="AA2630" s="8">
        <f t="shared" si="1385"/>
        <v>15233813</v>
      </c>
      <c r="AB2630" s="8">
        <f t="shared" si="1386"/>
        <v>0</v>
      </c>
    </row>
    <row r="2631" spans="1:28" x14ac:dyDescent="0.3">
      <c r="A2631" s="64"/>
      <c r="B2631" s="8"/>
      <c r="C2631" s="14" t="s">
        <v>109</v>
      </c>
      <c r="D2631" s="21" t="s">
        <v>60</v>
      </c>
      <c r="E2631" s="9">
        <v>9362372.5</v>
      </c>
      <c r="F2631" s="11">
        <v>9362372.5</v>
      </c>
      <c r="G2631" s="8"/>
      <c r="H2631" s="9">
        <f t="shared" si="1377"/>
        <v>9362372.5</v>
      </c>
      <c r="I2631" s="8"/>
      <c r="J2631" s="8"/>
      <c r="K2631" s="8"/>
      <c r="L2631" s="9"/>
      <c r="M2631" s="9">
        <f t="shared" si="1378"/>
        <v>9362372.5</v>
      </c>
      <c r="N2631" s="9">
        <v>0</v>
      </c>
      <c r="O2631" s="8"/>
      <c r="P2631" s="9">
        <f t="shared" si="1379"/>
        <v>0</v>
      </c>
      <c r="Q2631" s="8"/>
      <c r="R2631" s="8"/>
      <c r="S2631" s="8"/>
      <c r="T2631" s="9"/>
      <c r="U2631" s="9">
        <f t="shared" si="1380"/>
        <v>0</v>
      </c>
      <c r="V2631" s="9">
        <f t="shared" si="1381"/>
        <v>9362372.5</v>
      </c>
      <c r="W2631" s="9">
        <f t="shared" si="1382"/>
        <v>0</v>
      </c>
      <c r="X2631" s="9">
        <f t="shared" si="1383"/>
        <v>9362372.5</v>
      </c>
      <c r="Y2631" s="8"/>
      <c r="Z2631" s="9">
        <f t="shared" si="1384"/>
        <v>0</v>
      </c>
      <c r="AA2631" s="8">
        <f t="shared" si="1385"/>
        <v>9362372.5</v>
      </c>
      <c r="AB2631" s="8">
        <f t="shared" si="1386"/>
        <v>0</v>
      </c>
    </row>
    <row r="2632" spans="1:28" x14ac:dyDescent="0.3">
      <c r="A2632" s="64"/>
      <c r="B2632" s="8"/>
      <c r="C2632" s="7" t="s">
        <v>57</v>
      </c>
      <c r="D2632" s="15" t="s">
        <v>60</v>
      </c>
      <c r="E2632" s="9">
        <v>5000000</v>
      </c>
      <c r="F2632" s="11">
        <v>5000000</v>
      </c>
      <c r="G2632" s="8"/>
      <c r="H2632" s="9">
        <f t="shared" si="1377"/>
        <v>5000000</v>
      </c>
      <c r="I2632" s="8"/>
      <c r="J2632" s="8"/>
      <c r="K2632" s="8"/>
      <c r="L2632" s="9"/>
      <c r="M2632" s="9">
        <f t="shared" si="1378"/>
        <v>5000000</v>
      </c>
      <c r="N2632" s="9">
        <v>0</v>
      </c>
      <c r="O2632" s="8"/>
      <c r="P2632" s="9">
        <f t="shared" si="1379"/>
        <v>0</v>
      </c>
      <c r="Q2632" s="8"/>
      <c r="R2632" s="8"/>
      <c r="S2632" s="8"/>
      <c r="T2632" s="9"/>
      <c r="U2632" s="9">
        <f t="shared" si="1380"/>
        <v>0</v>
      </c>
      <c r="V2632" s="9">
        <f t="shared" si="1381"/>
        <v>5000000</v>
      </c>
      <c r="W2632" s="9">
        <f t="shared" si="1382"/>
        <v>0</v>
      </c>
      <c r="X2632" s="9">
        <f t="shared" si="1383"/>
        <v>5000000</v>
      </c>
      <c r="Y2632" s="8"/>
      <c r="Z2632" s="9">
        <f t="shared" si="1384"/>
        <v>0</v>
      </c>
      <c r="AA2632" s="8">
        <f t="shared" si="1385"/>
        <v>5000000</v>
      </c>
      <c r="AB2632" s="8">
        <f t="shared" si="1386"/>
        <v>0</v>
      </c>
    </row>
    <row r="2633" spans="1:28" x14ac:dyDescent="0.3">
      <c r="A2633" s="64"/>
      <c r="B2633" s="8"/>
      <c r="C2633" s="7" t="s">
        <v>928</v>
      </c>
      <c r="D2633" s="15"/>
      <c r="E2633" s="9">
        <f>2059000+1052000</f>
        <v>3111000</v>
      </c>
      <c r="F2633" s="8">
        <v>2059000</v>
      </c>
      <c r="G2633" s="8"/>
      <c r="H2633" s="9">
        <f>F2633+G2633</f>
        <v>2059000</v>
      </c>
      <c r="I2633" s="8"/>
      <c r="J2633" s="8"/>
      <c r="K2633" s="8"/>
      <c r="L2633" s="9"/>
      <c r="M2633" s="9">
        <f>H2633+L2633</f>
        <v>2059000</v>
      </c>
      <c r="N2633" s="9">
        <v>0</v>
      </c>
      <c r="O2633" s="8"/>
      <c r="P2633" s="9">
        <f>+N2633+O2633</f>
        <v>0</v>
      </c>
      <c r="Q2633" s="8"/>
      <c r="R2633" s="8"/>
      <c r="S2633" s="8"/>
      <c r="T2633" s="9"/>
      <c r="U2633" s="9">
        <f>P2633+T2633</f>
        <v>0</v>
      </c>
      <c r="V2633" s="9">
        <f>P2633+H2633</f>
        <v>2059000</v>
      </c>
      <c r="W2633" s="9">
        <f>E2633-V2633</f>
        <v>1052000</v>
      </c>
      <c r="X2633" s="9">
        <f t="shared" si="1383"/>
        <v>2059000</v>
      </c>
      <c r="Y2633" s="8"/>
      <c r="Z2633" s="9">
        <f t="shared" si="1384"/>
        <v>1052000</v>
      </c>
      <c r="AA2633" s="8">
        <f t="shared" si="1385"/>
        <v>2059000</v>
      </c>
      <c r="AB2633" s="8">
        <f t="shared" si="1386"/>
        <v>1052000</v>
      </c>
    </row>
    <row r="2634" spans="1:28" x14ac:dyDescent="0.3">
      <c r="A2634" s="64"/>
      <c r="B2634" s="8"/>
      <c r="C2634" s="7" t="s">
        <v>930</v>
      </c>
      <c r="D2634" s="16" t="s">
        <v>1072</v>
      </c>
      <c r="E2634" s="9">
        <f>2532000+720878.34</f>
        <v>3252878.34</v>
      </c>
      <c r="F2634" s="8">
        <v>3252878.34</v>
      </c>
      <c r="G2634" s="8"/>
      <c r="H2634" s="9">
        <f>+F2634+G2634</f>
        <v>3252878.34</v>
      </c>
      <c r="I2634" s="8"/>
      <c r="J2634" s="8"/>
      <c r="K2634" s="8"/>
      <c r="L2634" s="9"/>
      <c r="M2634" s="9">
        <f>+H2634+L2634</f>
        <v>3252878.34</v>
      </c>
      <c r="N2634" s="9">
        <v>0</v>
      </c>
      <c r="O2634" s="8"/>
      <c r="P2634" s="9">
        <f>+N2634+O2634</f>
        <v>0</v>
      </c>
      <c r="Q2634" s="8"/>
      <c r="R2634" s="8"/>
      <c r="S2634" s="8"/>
      <c r="T2634" s="9"/>
      <c r="U2634" s="9">
        <f>P2634+T2634</f>
        <v>0</v>
      </c>
      <c r="V2634" s="9">
        <f>P2634+H2634</f>
        <v>3252878.34</v>
      </c>
      <c r="W2634" s="9">
        <f>E2634-V2634</f>
        <v>0</v>
      </c>
      <c r="X2634" s="9">
        <f t="shared" si="1383"/>
        <v>3252878.34</v>
      </c>
      <c r="Y2634" s="8"/>
      <c r="Z2634" s="9">
        <f t="shared" si="1384"/>
        <v>0</v>
      </c>
      <c r="AA2634" s="8">
        <f t="shared" si="1385"/>
        <v>3252878.34</v>
      </c>
      <c r="AB2634" s="8">
        <f t="shared" si="1386"/>
        <v>0</v>
      </c>
    </row>
    <row r="2635" spans="1:28" x14ac:dyDescent="0.3">
      <c r="A2635" s="64"/>
      <c r="B2635" s="8"/>
      <c r="C2635" s="7" t="s">
        <v>1242</v>
      </c>
      <c r="D2635" s="16" t="s">
        <v>1225</v>
      </c>
      <c r="E2635" s="9">
        <v>4276012.5999999996</v>
      </c>
      <c r="F2635" s="8">
        <v>4276012.5999999996</v>
      </c>
      <c r="G2635" s="8"/>
      <c r="H2635" s="9">
        <f>+F2635+G2635</f>
        <v>4276012.5999999996</v>
      </c>
      <c r="I2635" s="8"/>
      <c r="J2635" s="8"/>
      <c r="K2635" s="8"/>
      <c r="L2635" s="9"/>
      <c r="M2635" s="9">
        <f>+H2635+L2635</f>
        <v>4276012.5999999996</v>
      </c>
      <c r="N2635" s="9">
        <v>0</v>
      </c>
      <c r="O2635" s="8"/>
      <c r="P2635" s="9">
        <f>+N2635+O2635</f>
        <v>0</v>
      </c>
      <c r="Q2635" s="8"/>
      <c r="R2635" s="8"/>
      <c r="S2635" s="8"/>
      <c r="T2635" s="9"/>
      <c r="U2635" s="9">
        <f>P2635+T2635</f>
        <v>0</v>
      </c>
      <c r="V2635" s="9">
        <f>P2635+H2635</f>
        <v>4276012.5999999996</v>
      </c>
      <c r="W2635" s="9">
        <f>E2635-V2635</f>
        <v>0</v>
      </c>
      <c r="X2635" s="9">
        <f>+H2635+P2635</f>
        <v>4276012.5999999996</v>
      </c>
      <c r="Y2635" s="8"/>
      <c r="Z2635" s="9">
        <f>+E2635-X2635</f>
        <v>0</v>
      </c>
      <c r="AA2635" s="8">
        <f>+M2635+U2635</f>
        <v>4276012.5999999996</v>
      </c>
      <c r="AB2635" s="8">
        <f>+E2635-AA2635</f>
        <v>0</v>
      </c>
    </row>
    <row r="2636" spans="1:28" x14ac:dyDescent="0.3">
      <c r="A2636" s="64"/>
      <c r="B2636" s="8"/>
      <c r="C2636" s="7" t="s">
        <v>1139</v>
      </c>
      <c r="D2636" s="16" t="s">
        <v>1126</v>
      </c>
      <c r="E2636" s="9">
        <v>300000</v>
      </c>
      <c r="F2636" s="8">
        <v>300000</v>
      </c>
      <c r="G2636" s="8"/>
      <c r="H2636" s="9">
        <f>+F2636+G2636</f>
        <v>300000</v>
      </c>
      <c r="I2636" s="8"/>
      <c r="J2636" s="8"/>
      <c r="K2636" s="8"/>
      <c r="L2636" s="9"/>
      <c r="M2636" s="9">
        <f>+H2636+L2636</f>
        <v>300000</v>
      </c>
      <c r="N2636" s="9">
        <v>0</v>
      </c>
      <c r="O2636" s="8"/>
      <c r="P2636" s="9">
        <f>+N2636+O2636</f>
        <v>0</v>
      </c>
      <c r="Q2636" s="8"/>
      <c r="R2636" s="8"/>
      <c r="S2636" s="8"/>
      <c r="T2636" s="9"/>
      <c r="U2636" s="9">
        <f>+P2636+T2636</f>
        <v>0</v>
      </c>
      <c r="V2636" s="9"/>
      <c r="W2636" s="9"/>
      <c r="X2636" s="9">
        <f>+H2636+P2636</f>
        <v>300000</v>
      </c>
      <c r="Y2636" s="8"/>
      <c r="Z2636" s="9">
        <f>+E2636-X2636</f>
        <v>0</v>
      </c>
      <c r="AA2636" s="8">
        <f>+M2636+U2636</f>
        <v>300000</v>
      </c>
      <c r="AB2636" s="8">
        <f>+E2636-AA2636</f>
        <v>0</v>
      </c>
    </row>
    <row r="2637" spans="1:28" x14ac:dyDescent="0.3">
      <c r="A2637" s="64"/>
      <c r="B2637" s="8"/>
      <c r="C2637" s="7" t="s">
        <v>458</v>
      </c>
      <c r="D2637" s="15" t="s">
        <v>73</v>
      </c>
      <c r="E2637" s="9">
        <f>6653101+2059000</f>
        <v>8712101</v>
      </c>
      <c r="F2637" s="11">
        <f>6653101+2059000+1052000</f>
        <v>9764101</v>
      </c>
      <c r="G2637" s="8"/>
      <c r="H2637" s="9">
        <f t="shared" si="1377"/>
        <v>9764101</v>
      </c>
      <c r="I2637" s="11">
        <f>2059000+1052000-2059000</f>
        <v>1052000</v>
      </c>
      <c r="J2637" s="8"/>
      <c r="K2637" s="11"/>
      <c r="L2637" s="9"/>
      <c r="M2637" s="9">
        <f t="shared" si="1378"/>
        <v>9764101</v>
      </c>
      <c r="N2637" s="9">
        <v>0</v>
      </c>
      <c r="O2637" s="8"/>
      <c r="P2637" s="9">
        <f t="shared" si="1379"/>
        <v>0</v>
      </c>
      <c r="Q2637" s="8"/>
      <c r="R2637" s="8"/>
      <c r="S2637" s="8"/>
      <c r="T2637" s="9"/>
      <c r="U2637" s="9">
        <f t="shared" si="1380"/>
        <v>0</v>
      </c>
      <c r="V2637" s="9">
        <f t="shared" si="1381"/>
        <v>9764101</v>
      </c>
      <c r="W2637" s="9">
        <f t="shared" si="1382"/>
        <v>-1052000</v>
      </c>
      <c r="X2637" s="9">
        <f t="shared" si="1383"/>
        <v>9764101</v>
      </c>
      <c r="Y2637" s="8"/>
      <c r="Z2637" s="9">
        <f t="shared" si="1384"/>
        <v>-1052000</v>
      </c>
      <c r="AA2637" s="8">
        <f t="shared" si="1385"/>
        <v>9764101</v>
      </c>
      <c r="AB2637" s="8">
        <f t="shared" si="1386"/>
        <v>-1052000</v>
      </c>
    </row>
    <row r="2638" spans="1:28" x14ac:dyDescent="0.3">
      <c r="A2638" s="64"/>
      <c r="B2638" s="8"/>
      <c r="C2638" s="7" t="s">
        <v>57</v>
      </c>
      <c r="D2638" s="15" t="s">
        <v>61</v>
      </c>
      <c r="E2638" s="9">
        <v>6095454</v>
      </c>
      <c r="F2638" s="11">
        <v>6095454</v>
      </c>
      <c r="G2638" s="11"/>
      <c r="H2638" s="9">
        <f t="shared" si="1377"/>
        <v>6095454</v>
      </c>
      <c r="I2638" s="8"/>
      <c r="J2638" s="8"/>
      <c r="K2638" s="8"/>
      <c r="L2638" s="9"/>
      <c r="M2638" s="9">
        <f t="shared" si="1378"/>
        <v>6095454</v>
      </c>
      <c r="N2638" s="9">
        <v>0</v>
      </c>
      <c r="O2638" s="8"/>
      <c r="P2638" s="9">
        <f t="shared" si="1379"/>
        <v>0</v>
      </c>
      <c r="Q2638" s="8"/>
      <c r="R2638" s="8"/>
      <c r="S2638" s="8"/>
      <c r="T2638" s="9"/>
      <c r="U2638" s="9">
        <f t="shared" si="1380"/>
        <v>0</v>
      </c>
      <c r="V2638" s="9">
        <f t="shared" si="1381"/>
        <v>6095454</v>
      </c>
      <c r="W2638" s="9">
        <f t="shared" si="1382"/>
        <v>0</v>
      </c>
      <c r="X2638" s="9">
        <f t="shared" si="1383"/>
        <v>6095454</v>
      </c>
      <c r="Y2638" s="8"/>
      <c r="Z2638" s="9">
        <f t="shared" si="1384"/>
        <v>0</v>
      </c>
      <c r="AA2638" s="8">
        <f t="shared" si="1385"/>
        <v>6095454</v>
      </c>
      <c r="AB2638" s="8">
        <f t="shared" si="1386"/>
        <v>0</v>
      </c>
    </row>
    <row r="2639" spans="1:28" x14ac:dyDescent="0.3">
      <c r="A2639" s="64"/>
      <c r="B2639" s="8"/>
      <c r="C2639" s="7" t="s">
        <v>1162</v>
      </c>
      <c r="D2639" s="16" t="s">
        <v>1126</v>
      </c>
      <c r="E2639" s="9">
        <f>500000+600000</f>
        <v>1100000</v>
      </c>
      <c r="F2639" s="11">
        <v>1100000</v>
      </c>
      <c r="G2639" s="11"/>
      <c r="H2639" s="9">
        <f>+F2639+G2639</f>
        <v>1100000</v>
      </c>
      <c r="I2639" s="8"/>
      <c r="J2639" s="8"/>
      <c r="K2639" s="8"/>
      <c r="L2639" s="9"/>
      <c r="M2639" s="9">
        <f>+H2639+L2639</f>
        <v>1100000</v>
      </c>
      <c r="N2639" s="9">
        <v>0</v>
      </c>
      <c r="O2639" s="8"/>
      <c r="P2639" s="9">
        <f>+N2639+O2639</f>
        <v>0</v>
      </c>
      <c r="Q2639" s="8"/>
      <c r="R2639" s="8"/>
      <c r="S2639" s="8"/>
      <c r="T2639" s="9"/>
      <c r="U2639" s="9">
        <f t="shared" si="1380"/>
        <v>0</v>
      </c>
      <c r="V2639" s="9"/>
      <c r="W2639" s="9"/>
      <c r="X2639" s="9">
        <f>+H2639+P2639</f>
        <v>1100000</v>
      </c>
      <c r="Y2639" s="8"/>
      <c r="Z2639" s="9">
        <f>+E2639-X2639</f>
        <v>0</v>
      </c>
      <c r="AA2639" s="8">
        <f>+M2639+U2639</f>
        <v>1100000</v>
      </c>
      <c r="AB2639" s="8">
        <f>+E2639-AA2639</f>
        <v>0</v>
      </c>
    </row>
    <row r="2640" spans="1:28" x14ac:dyDescent="0.3">
      <c r="A2640" s="64"/>
      <c r="B2640" s="8"/>
      <c r="C2640" s="7" t="s">
        <v>459</v>
      </c>
      <c r="D2640" s="7" t="s">
        <v>71</v>
      </c>
      <c r="E2640" s="9">
        <v>3045000</v>
      </c>
      <c r="F2640" s="9">
        <v>3045000</v>
      </c>
      <c r="G2640" s="8"/>
      <c r="H2640" s="9">
        <f t="shared" si="1377"/>
        <v>3045000</v>
      </c>
      <c r="I2640" s="8"/>
      <c r="J2640" s="8"/>
      <c r="K2640" s="8"/>
      <c r="L2640" s="9"/>
      <c r="M2640" s="9">
        <f t="shared" si="1378"/>
        <v>3045000</v>
      </c>
      <c r="N2640" s="9">
        <v>0</v>
      </c>
      <c r="O2640" s="8"/>
      <c r="P2640" s="9">
        <f t="shared" si="1379"/>
        <v>0</v>
      </c>
      <c r="Q2640" s="8"/>
      <c r="R2640" s="8"/>
      <c r="S2640" s="8"/>
      <c r="T2640" s="9"/>
      <c r="U2640" s="9">
        <f t="shared" si="1380"/>
        <v>0</v>
      </c>
      <c r="V2640" s="9">
        <f t="shared" si="1381"/>
        <v>3045000</v>
      </c>
      <c r="W2640" s="9">
        <f t="shared" si="1382"/>
        <v>0</v>
      </c>
      <c r="X2640" s="9">
        <f t="shared" si="1383"/>
        <v>3045000</v>
      </c>
      <c r="Y2640" s="8"/>
      <c r="Z2640" s="9">
        <f t="shared" si="1384"/>
        <v>0</v>
      </c>
      <c r="AA2640" s="8">
        <f t="shared" si="1385"/>
        <v>3045000</v>
      </c>
      <c r="AB2640" s="8">
        <f t="shared" si="1386"/>
        <v>0</v>
      </c>
    </row>
    <row r="2641" spans="1:28" x14ac:dyDescent="0.3">
      <c r="A2641" s="64"/>
      <c r="B2641" s="8"/>
      <c r="C2641" s="14" t="s">
        <v>95</v>
      </c>
      <c r="D2641" s="21" t="s">
        <v>60</v>
      </c>
      <c r="E2641" s="9">
        <v>1268377</v>
      </c>
      <c r="F2641" s="11">
        <v>1268377</v>
      </c>
      <c r="G2641" s="8"/>
      <c r="H2641" s="9">
        <f t="shared" si="1377"/>
        <v>1268377</v>
      </c>
      <c r="I2641" s="8"/>
      <c r="J2641" s="8"/>
      <c r="K2641" s="8"/>
      <c r="L2641" s="9"/>
      <c r="M2641" s="9">
        <f t="shared" si="1378"/>
        <v>1268377</v>
      </c>
      <c r="N2641" s="9">
        <v>0</v>
      </c>
      <c r="O2641" s="8"/>
      <c r="P2641" s="9">
        <f t="shared" si="1379"/>
        <v>0</v>
      </c>
      <c r="Q2641" s="8"/>
      <c r="R2641" s="8"/>
      <c r="S2641" s="8"/>
      <c r="T2641" s="9"/>
      <c r="U2641" s="9">
        <f t="shared" si="1380"/>
        <v>0</v>
      </c>
      <c r="V2641" s="9">
        <f t="shared" si="1381"/>
        <v>1268377</v>
      </c>
      <c r="W2641" s="9">
        <f t="shared" si="1382"/>
        <v>0</v>
      </c>
      <c r="X2641" s="9">
        <f t="shared" si="1383"/>
        <v>1268377</v>
      </c>
      <c r="Y2641" s="8"/>
      <c r="Z2641" s="9">
        <f t="shared" si="1384"/>
        <v>0</v>
      </c>
      <c r="AA2641" s="8">
        <f t="shared" si="1385"/>
        <v>1268377</v>
      </c>
      <c r="AB2641" s="8">
        <f t="shared" si="1386"/>
        <v>0</v>
      </c>
    </row>
    <row r="2642" spans="1:28" x14ac:dyDescent="0.3">
      <c r="A2642" s="64"/>
      <c r="B2642" s="8"/>
      <c r="C2642" s="8"/>
      <c r="D2642" s="8"/>
      <c r="E2642" s="17" t="s">
        <v>29</v>
      </c>
      <c r="F2642" s="17" t="s">
        <v>29</v>
      </c>
      <c r="G2642" s="17" t="s">
        <v>29</v>
      </c>
      <c r="H2642" s="17" t="s">
        <v>29</v>
      </c>
      <c r="I2642" s="17" t="s">
        <v>29</v>
      </c>
      <c r="J2642" s="17" t="s">
        <v>29</v>
      </c>
      <c r="K2642" s="17" t="s">
        <v>29</v>
      </c>
      <c r="L2642" s="17" t="s">
        <v>29</v>
      </c>
      <c r="M2642" s="17" t="s">
        <v>29</v>
      </c>
      <c r="N2642" s="17" t="s">
        <v>29</v>
      </c>
      <c r="O2642" s="17" t="s">
        <v>29</v>
      </c>
      <c r="P2642" s="17" t="s">
        <v>29</v>
      </c>
      <c r="Q2642" s="17" t="s">
        <v>29</v>
      </c>
      <c r="R2642" s="17" t="s">
        <v>29</v>
      </c>
      <c r="S2642" s="17" t="s">
        <v>29</v>
      </c>
      <c r="T2642" s="17" t="s">
        <v>29</v>
      </c>
      <c r="U2642" s="17" t="s">
        <v>29</v>
      </c>
      <c r="V2642" s="17" t="s">
        <v>29</v>
      </c>
      <c r="W2642" s="17" t="s">
        <v>29</v>
      </c>
      <c r="X2642" s="17" t="s">
        <v>29</v>
      </c>
      <c r="Y2642" s="17" t="s">
        <v>29</v>
      </c>
      <c r="Z2642" s="17" t="s">
        <v>29</v>
      </c>
      <c r="AA2642" s="17" t="s">
        <v>29</v>
      </c>
      <c r="AB2642" s="17" t="s">
        <v>29</v>
      </c>
    </row>
    <row r="2643" spans="1:28" x14ac:dyDescent="0.3">
      <c r="A2643" s="64"/>
      <c r="B2643" s="8"/>
      <c r="C2643" s="8"/>
      <c r="D2643" s="8"/>
      <c r="E2643" s="9">
        <f t="shared" ref="E2643:AB2643" si="1387">SUM(E2624:E2641)</f>
        <v>75879847.25</v>
      </c>
      <c r="F2643" s="9">
        <f t="shared" si="1387"/>
        <v>72337898.300000012</v>
      </c>
      <c r="G2643" s="9">
        <f t="shared" si="1387"/>
        <v>0</v>
      </c>
      <c r="H2643" s="9">
        <f t="shared" si="1387"/>
        <v>72337898.300000012</v>
      </c>
      <c r="I2643" s="9">
        <f t="shared" si="1387"/>
        <v>1052000</v>
      </c>
      <c r="J2643" s="9">
        <f t="shared" si="1387"/>
        <v>0</v>
      </c>
      <c r="K2643" s="9">
        <f t="shared" si="1387"/>
        <v>0</v>
      </c>
      <c r="L2643" s="9">
        <f t="shared" si="1387"/>
        <v>0</v>
      </c>
      <c r="M2643" s="9">
        <f t="shared" si="1387"/>
        <v>72337898.300000012</v>
      </c>
      <c r="N2643" s="9">
        <f t="shared" si="1387"/>
        <v>3461948.95</v>
      </c>
      <c r="O2643" s="9">
        <f t="shared" si="1387"/>
        <v>0</v>
      </c>
      <c r="P2643" s="9">
        <f t="shared" si="1387"/>
        <v>3461948.95</v>
      </c>
      <c r="Q2643" s="9">
        <f t="shared" si="1387"/>
        <v>0</v>
      </c>
      <c r="R2643" s="9">
        <f t="shared" si="1387"/>
        <v>0</v>
      </c>
      <c r="S2643" s="9">
        <f t="shared" si="1387"/>
        <v>0</v>
      </c>
      <c r="T2643" s="9">
        <f t="shared" si="1387"/>
        <v>0</v>
      </c>
      <c r="U2643" s="9">
        <f t="shared" si="1387"/>
        <v>3461948.95</v>
      </c>
      <c r="V2643" s="9">
        <f t="shared" si="1387"/>
        <v>74399847.25</v>
      </c>
      <c r="W2643" s="9">
        <f t="shared" si="1387"/>
        <v>80000</v>
      </c>
      <c r="X2643" s="9">
        <f t="shared" si="1387"/>
        <v>75799847.25</v>
      </c>
      <c r="Y2643" s="9">
        <f t="shared" si="1387"/>
        <v>0</v>
      </c>
      <c r="Z2643" s="9">
        <f t="shared" si="1387"/>
        <v>80000</v>
      </c>
      <c r="AA2643" s="9">
        <f t="shared" si="1387"/>
        <v>75799847.25</v>
      </c>
      <c r="AB2643" s="9">
        <f t="shared" si="1387"/>
        <v>80000</v>
      </c>
    </row>
    <row r="2644" spans="1:28" x14ac:dyDescent="0.3">
      <c r="A2644" s="64"/>
      <c r="B2644" s="8"/>
      <c r="C2644" s="8"/>
      <c r="D2644" s="8"/>
      <c r="E2644" s="17" t="s">
        <v>29</v>
      </c>
      <c r="F2644" s="17" t="s">
        <v>29</v>
      </c>
      <c r="G2644" s="17" t="s">
        <v>29</v>
      </c>
      <c r="H2644" s="17" t="s">
        <v>29</v>
      </c>
      <c r="I2644" s="17" t="s">
        <v>29</v>
      </c>
      <c r="J2644" s="17" t="s">
        <v>29</v>
      </c>
      <c r="K2644" s="17" t="s">
        <v>29</v>
      </c>
      <c r="L2644" s="17" t="s">
        <v>29</v>
      </c>
      <c r="M2644" s="17" t="s">
        <v>29</v>
      </c>
      <c r="N2644" s="17" t="s">
        <v>29</v>
      </c>
      <c r="O2644" s="17" t="s">
        <v>29</v>
      </c>
      <c r="P2644" s="17" t="s">
        <v>29</v>
      </c>
      <c r="Q2644" s="17" t="s">
        <v>29</v>
      </c>
      <c r="R2644" s="17" t="s">
        <v>29</v>
      </c>
      <c r="S2644" s="17" t="s">
        <v>29</v>
      </c>
      <c r="T2644" s="17" t="s">
        <v>29</v>
      </c>
      <c r="U2644" s="17" t="s">
        <v>29</v>
      </c>
      <c r="V2644" s="17" t="s">
        <v>29</v>
      </c>
      <c r="W2644" s="17" t="s">
        <v>29</v>
      </c>
      <c r="X2644" s="17" t="s">
        <v>29</v>
      </c>
      <c r="Y2644" s="17" t="s">
        <v>29</v>
      </c>
      <c r="Z2644" s="17" t="s">
        <v>29</v>
      </c>
      <c r="AA2644" s="17" t="s">
        <v>29</v>
      </c>
      <c r="AB2644" s="17" t="s">
        <v>29</v>
      </c>
    </row>
    <row r="2645" spans="1:28" x14ac:dyDescent="0.3">
      <c r="A2645" s="63" t="s">
        <v>1051</v>
      </c>
      <c r="B2645" s="7" t="s">
        <v>460</v>
      </c>
      <c r="C2645" s="8"/>
      <c r="D2645" s="8"/>
      <c r="E2645" s="8"/>
      <c r="F2645" s="8"/>
      <c r="G2645" s="8"/>
      <c r="H2645" s="8"/>
      <c r="I2645" s="8"/>
      <c r="J2645" s="8"/>
      <c r="K2645" s="8"/>
      <c r="L2645" s="8"/>
      <c r="M2645" s="8"/>
      <c r="N2645" s="8"/>
      <c r="O2645" s="8"/>
      <c r="P2645" s="8"/>
      <c r="Q2645" s="8"/>
      <c r="R2645" s="8"/>
      <c r="S2645" s="8"/>
      <c r="T2645" s="8"/>
      <c r="U2645" s="8"/>
      <c r="V2645" s="8"/>
      <c r="W2645" s="8"/>
      <c r="X2645" s="8"/>
      <c r="Y2645" s="8"/>
      <c r="Z2645" s="8"/>
    </row>
    <row r="2646" spans="1:28" x14ac:dyDescent="0.3">
      <c r="A2646" s="64"/>
      <c r="B2646" s="8"/>
      <c r="C2646" s="8"/>
      <c r="D2646" s="15" t="s">
        <v>304</v>
      </c>
      <c r="E2646" s="8"/>
      <c r="F2646" s="8"/>
      <c r="G2646" s="8"/>
      <c r="H2646" s="8"/>
      <c r="I2646" s="8"/>
      <c r="J2646" s="8"/>
      <c r="K2646" s="8"/>
      <c r="L2646" s="8"/>
      <c r="M2646" s="8"/>
      <c r="N2646" s="8"/>
      <c r="O2646" s="8"/>
      <c r="P2646" s="8"/>
      <c r="Q2646" s="8"/>
      <c r="R2646" s="8"/>
      <c r="S2646" s="8"/>
      <c r="T2646" s="8"/>
      <c r="U2646" s="8"/>
      <c r="V2646" s="8"/>
      <c r="W2646" s="8"/>
      <c r="X2646" s="8"/>
      <c r="Y2646" s="8"/>
      <c r="Z2646" s="8"/>
    </row>
    <row r="2647" spans="1:28" x14ac:dyDescent="0.3">
      <c r="A2647" s="64"/>
      <c r="B2647" s="8"/>
      <c r="C2647" s="7" t="s">
        <v>51</v>
      </c>
      <c r="D2647" s="14" t="s">
        <v>131</v>
      </c>
      <c r="E2647" s="9">
        <v>12179953.779999999</v>
      </c>
      <c r="F2647" s="9">
        <v>11713126.42</v>
      </c>
      <c r="G2647" s="8"/>
      <c r="H2647" s="9">
        <f t="shared" ref="H2647:H2658" si="1388">F2647+G2647</f>
        <v>11713126.42</v>
      </c>
      <c r="I2647" s="8"/>
      <c r="J2647" s="8"/>
      <c r="K2647" s="8"/>
      <c r="L2647" s="9"/>
      <c r="M2647" s="9">
        <f t="shared" ref="M2647:M2658" si="1389">H2647+L2647</f>
        <v>11713126.42</v>
      </c>
      <c r="N2647" s="9">
        <f>0+466827.36</f>
        <v>466827.36</v>
      </c>
      <c r="O2647" s="8"/>
      <c r="P2647" s="9">
        <f t="shared" ref="P2647:P2658" si="1390">N2647+O2647</f>
        <v>466827.36</v>
      </c>
      <c r="Q2647" s="8"/>
      <c r="R2647" s="8"/>
      <c r="S2647" s="8"/>
      <c r="T2647" s="9"/>
      <c r="U2647" s="9">
        <f t="shared" ref="U2647:U2658" si="1391">P2647+T2647</f>
        <v>466827.36</v>
      </c>
      <c r="V2647" s="9">
        <f t="shared" ref="V2647:V2658" si="1392">P2647+H2647</f>
        <v>12179953.779999999</v>
      </c>
      <c r="W2647" s="9">
        <f t="shared" ref="W2647:W2658" si="1393">E2647-V2647</f>
        <v>0</v>
      </c>
      <c r="X2647" s="9">
        <f t="shared" ref="X2647:X2664" si="1394">+H2647+P2647</f>
        <v>12179953.779999999</v>
      </c>
      <c r="Y2647" s="8"/>
      <c r="Z2647" s="9">
        <f t="shared" ref="Z2647:Z2664" si="1395">+E2647-X2647</f>
        <v>0</v>
      </c>
      <c r="AA2647" s="8">
        <f t="shared" ref="AA2647:AA2664" si="1396">+M2647+U2647</f>
        <v>12179953.779999999</v>
      </c>
      <c r="AB2647" s="8">
        <f t="shared" ref="AB2647:AB2664" si="1397">+E2647-AA2647</f>
        <v>0</v>
      </c>
    </row>
    <row r="2648" spans="1:28" x14ac:dyDescent="0.3">
      <c r="A2648" s="64"/>
      <c r="B2648" s="8"/>
      <c r="C2648" s="7" t="s">
        <v>461</v>
      </c>
      <c r="D2648" s="15" t="s">
        <v>79</v>
      </c>
      <c r="E2648" s="9">
        <v>10100000</v>
      </c>
      <c r="F2648" s="9">
        <v>10100000</v>
      </c>
      <c r="G2648" s="8"/>
      <c r="H2648" s="9">
        <f t="shared" si="1388"/>
        <v>10100000</v>
      </c>
      <c r="I2648" s="8"/>
      <c r="J2648" s="8"/>
      <c r="K2648" s="8"/>
      <c r="L2648" s="9"/>
      <c r="M2648" s="9">
        <f t="shared" si="1389"/>
        <v>10100000</v>
      </c>
      <c r="N2648" s="9">
        <v>0</v>
      </c>
      <c r="O2648" s="8"/>
      <c r="P2648" s="9">
        <f t="shared" si="1390"/>
        <v>0</v>
      </c>
      <c r="Q2648" s="8"/>
      <c r="R2648" s="8"/>
      <c r="S2648" s="8"/>
      <c r="T2648" s="9"/>
      <c r="U2648" s="9">
        <f t="shared" si="1391"/>
        <v>0</v>
      </c>
      <c r="V2648" s="9">
        <f t="shared" si="1392"/>
        <v>10100000</v>
      </c>
      <c r="W2648" s="9">
        <f t="shared" si="1393"/>
        <v>0</v>
      </c>
      <c r="X2648" s="9">
        <f t="shared" si="1394"/>
        <v>10100000</v>
      </c>
      <c r="Y2648" s="8"/>
      <c r="Z2648" s="9">
        <f t="shared" si="1395"/>
        <v>0</v>
      </c>
      <c r="AA2648" s="8">
        <f t="shared" si="1396"/>
        <v>10100000</v>
      </c>
      <c r="AB2648" s="8">
        <f t="shared" si="1397"/>
        <v>0</v>
      </c>
    </row>
    <row r="2649" spans="1:28" x14ac:dyDescent="0.3">
      <c r="A2649" s="64"/>
      <c r="B2649" s="8"/>
      <c r="C2649" s="7" t="s">
        <v>462</v>
      </c>
      <c r="D2649" s="15" t="s">
        <v>234</v>
      </c>
      <c r="E2649" s="9">
        <v>7150000</v>
      </c>
      <c r="F2649" s="9">
        <v>7150000</v>
      </c>
      <c r="G2649" s="8"/>
      <c r="H2649" s="9">
        <f t="shared" si="1388"/>
        <v>7150000</v>
      </c>
      <c r="I2649" s="8"/>
      <c r="J2649" s="8"/>
      <c r="K2649" s="8"/>
      <c r="L2649" s="9"/>
      <c r="M2649" s="9">
        <f t="shared" si="1389"/>
        <v>7150000</v>
      </c>
      <c r="N2649" s="9">
        <v>0</v>
      </c>
      <c r="O2649" s="8"/>
      <c r="P2649" s="9">
        <f t="shared" si="1390"/>
        <v>0</v>
      </c>
      <c r="Q2649" s="8"/>
      <c r="R2649" s="8"/>
      <c r="S2649" s="8"/>
      <c r="T2649" s="9"/>
      <c r="U2649" s="9">
        <f t="shared" si="1391"/>
        <v>0</v>
      </c>
      <c r="V2649" s="9">
        <f t="shared" si="1392"/>
        <v>7150000</v>
      </c>
      <c r="W2649" s="9">
        <f t="shared" si="1393"/>
        <v>0</v>
      </c>
      <c r="X2649" s="9">
        <f t="shared" si="1394"/>
        <v>7150000</v>
      </c>
      <c r="Y2649" s="8"/>
      <c r="Z2649" s="9">
        <f t="shared" si="1395"/>
        <v>0</v>
      </c>
      <c r="AA2649" s="8">
        <f t="shared" si="1396"/>
        <v>7150000</v>
      </c>
      <c r="AB2649" s="8">
        <f t="shared" si="1397"/>
        <v>0</v>
      </c>
    </row>
    <row r="2650" spans="1:28" x14ac:dyDescent="0.3">
      <c r="A2650" s="64"/>
      <c r="B2650" s="8"/>
      <c r="C2650" s="7" t="s">
        <v>55</v>
      </c>
      <c r="D2650" s="15" t="s">
        <v>54</v>
      </c>
      <c r="E2650" s="9">
        <v>85909.4</v>
      </c>
      <c r="F2650" s="9">
        <v>0</v>
      </c>
      <c r="G2650" s="8"/>
      <c r="H2650" s="9">
        <f t="shared" si="1388"/>
        <v>0</v>
      </c>
      <c r="I2650" s="8"/>
      <c r="J2650" s="8"/>
      <c r="K2650" s="8"/>
      <c r="L2650" s="9"/>
      <c r="M2650" s="9">
        <f t="shared" si="1389"/>
        <v>0</v>
      </c>
      <c r="N2650" s="9">
        <v>85909.4</v>
      </c>
      <c r="O2650" s="8"/>
      <c r="P2650" s="9">
        <f t="shared" si="1390"/>
        <v>85909.4</v>
      </c>
      <c r="Q2650" s="8"/>
      <c r="R2650" s="8"/>
      <c r="S2650" s="8"/>
      <c r="T2650" s="9"/>
      <c r="U2650" s="9">
        <f t="shared" si="1391"/>
        <v>85909.4</v>
      </c>
      <c r="V2650" s="9">
        <f t="shared" si="1392"/>
        <v>85909.4</v>
      </c>
      <c r="W2650" s="9">
        <f t="shared" si="1393"/>
        <v>0</v>
      </c>
      <c r="X2650" s="9">
        <f t="shared" si="1394"/>
        <v>85909.4</v>
      </c>
      <c r="Y2650" s="8"/>
      <c r="Z2650" s="9">
        <f t="shared" si="1395"/>
        <v>0</v>
      </c>
      <c r="AA2650" s="8">
        <f t="shared" si="1396"/>
        <v>85909.4</v>
      </c>
      <c r="AB2650" s="8">
        <f t="shared" si="1397"/>
        <v>0</v>
      </c>
    </row>
    <row r="2651" spans="1:28" x14ac:dyDescent="0.3">
      <c r="A2651" s="64"/>
      <c r="B2651" s="8"/>
      <c r="C2651" s="7" t="s">
        <v>53</v>
      </c>
      <c r="D2651" s="15" t="s">
        <v>54</v>
      </c>
      <c r="E2651" s="9">
        <v>1767770</v>
      </c>
      <c r="F2651" s="9">
        <v>0</v>
      </c>
      <c r="G2651" s="8"/>
      <c r="H2651" s="9">
        <f t="shared" si="1388"/>
        <v>0</v>
      </c>
      <c r="I2651" s="8"/>
      <c r="J2651" s="8"/>
      <c r="K2651" s="8"/>
      <c r="L2651" s="9"/>
      <c r="M2651" s="9">
        <f t="shared" si="1389"/>
        <v>0</v>
      </c>
      <c r="N2651" s="9">
        <v>1767770</v>
      </c>
      <c r="O2651" s="8"/>
      <c r="P2651" s="9">
        <f t="shared" si="1390"/>
        <v>1767770</v>
      </c>
      <c r="Q2651" s="8"/>
      <c r="R2651" s="8"/>
      <c r="S2651" s="8"/>
      <c r="T2651" s="9"/>
      <c r="U2651" s="9">
        <f t="shared" si="1391"/>
        <v>1767770</v>
      </c>
      <c r="V2651" s="9">
        <f t="shared" si="1392"/>
        <v>1767770</v>
      </c>
      <c r="W2651" s="9">
        <f t="shared" si="1393"/>
        <v>0</v>
      </c>
      <c r="X2651" s="9">
        <f t="shared" si="1394"/>
        <v>1767770</v>
      </c>
      <c r="Y2651" s="8"/>
      <c r="Z2651" s="9">
        <f t="shared" si="1395"/>
        <v>0</v>
      </c>
      <c r="AA2651" s="8">
        <f t="shared" si="1396"/>
        <v>1767770</v>
      </c>
      <c r="AB2651" s="8">
        <f t="shared" si="1397"/>
        <v>0</v>
      </c>
    </row>
    <row r="2652" spans="1:28" x14ac:dyDescent="0.3">
      <c r="A2652" s="64"/>
      <c r="B2652" s="8"/>
      <c r="C2652" s="7" t="s">
        <v>248</v>
      </c>
      <c r="D2652" s="15" t="s">
        <v>85</v>
      </c>
      <c r="E2652" s="9">
        <v>160000</v>
      </c>
      <c r="F2652" s="9">
        <v>160000</v>
      </c>
      <c r="G2652" s="8"/>
      <c r="H2652" s="9">
        <f t="shared" si="1388"/>
        <v>160000</v>
      </c>
      <c r="I2652" s="8"/>
      <c r="J2652" s="8"/>
      <c r="K2652" s="8"/>
      <c r="L2652" s="9"/>
      <c r="M2652" s="9">
        <f t="shared" si="1389"/>
        <v>160000</v>
      </c>
      <c r="N2652" s="9">
        <v>0</v>
      </c>
      <c r="O2652" s="8"/>
      <c r="P2652" s="9">
        <f t="shared" si="1390"/>
        <v>0</v>
      </c>
      <c r="Q2652" s="8"/>
      <c r="R2652" s="8"/>
      <c r="S2652" s="8"/>
      <c r="T2652" s="9"/>
      <c r="U2652" s="9">
        <f t="shared" si="1391"/>
        <v>0</v>
      </c>
      <c r="V2652" s="9">
        <f t="shared" si="1392"/>
        <v>160000</v>
      </c>
      <c r="W2652" s="9">
        <f t="shared" si="1393"/>
        <v>0</v>
      </c>
      <c r="X2652" s="9">
        <f t="shared" si="1394"/>
        <v>160000</v>
      </c>
      <c r="Y2652" s="8"/>
      <c r="Z2652" s="9">
        <f t="shared" si="1395"/>
        <v>0</v>
      </c>
      <c r="AA2652" s="8">
        <f t="shared" si="1396"/>
        <v>160000</v>
      </c>
      <c r="AB2652" s="8">
        <f t="shared" si="1397"/>
        <v>0</v>
      </c>
    </row>
    <row r="2653" spans="1:28" x14ac:dyDescent="0.3">
      <c r="A2653" s="64"/>
      <c r="B2653" s="8"/>
      <c r="C2653" s="7" t="s">
        <v>463</v>
      </c>
      <c r="D2653" s="15" t="s">
        <v>88</v>
      </c>
      <c r="E2653" s="9">
        <v>750000</v>
      </c>
      <c r="F2653" s="9">
        <v>750000</v>
      </c>
      <c r="G2653" s="8"/>
      <c r="H2653" s="9">
        <f t="shared" si="1388"/>
        <v>750000</v>
      </c>
      <c r="I2653" s="8"/>
      <c r="J2653" s="8"/>
      <c r="K2653" s="8"/>
      <c r="L2653" s="9"/>
      <c r="M2653" s="9">
        <f t="shared" si="1389"/>
        <v>750000</v>
      </c>
      <c r="N2653" s="9">
        <v>0</v>
      </c>
      <c r="O2653" s="8"/>
      <c r="P2653" s="9">
        <f t="shared" si="1390"/>
        <v>0</v>
      </c>
      <c r="Q2653" s="8"/>
      <c r="R2653" s="8"/>
      <c r="S2653" s="8"/>
      <c r="T2653" s="9"/>
      <c r="U2653" s="9">
        <f t="shared" si="1391"/>
        <v>0</v>
      </c>
      <c r="V2653" s="9">
        <f t="shared" si="1392"/>
        <v>750000</v>
      </c>
      <c r="W2653" s="9">
        <f t="shared" si="1393"/>
        <v>0</v>
      </c>
      <c r="X2653" s="9">
        <f t="shared" si="1394"/>
        <v>750000</v>
      </c>
      <c r="Y2653" s="8"/>
      <c r="Z2653" s="9">
        <f t="shared" si="1395"/>
        <v>0</v>
      </c>
      <c r="AA2653" s="8">
        <f t="shared" si="1396"/>
        <v>750000</v>
      </c>
      <c r="AB2653" s="8">
        <f t="shared" si="1397"/>
        <v>0</v>
      </c>
    </row>
    <row r="2654" spans="1:28" x14ac:dyDescent="0.3">
      <c r="A2654" s="64"/>
      <c r="B2654" s="8"/>
      <c r="C2654" s="7" t="s">
        <v>57</v>
      </c>
      <c r="D2654" s="15" t="s">
        <v>58</v>
      </c>
      <c r="E2654" s="9">
        <v>4142021</v>
      </c>
      <c r="F2654" s="9">
        <v>4142021</v>
      </c>
      <c r="G2654" s="8"/>
      <c r="H2654" s="9">
        <f t="shared" si="1388"/>
        <v>4142021</v>
      </c>
      <c r="I2654" s="9"/>
      <c r="J2654" s="8"/>
      <c r="K2654" s="8"/>
      <c r="L2654" s="9"/>
      <c r="M2654" s="9">
        <f t="shared" si="1389"/>
        <v>4142021</v>
      </c>
      <c r="N2654" s="9">
        <v>0</v>
      </c>
      <c r="O2654" s="8"/>
      <c r="P2654" s="9">
        <f t="shared" si="1390"/>
        <v>0</v>
      </c>
      <c r="Q2654" s="8"/>
      <c r="R2654" s="8"/>
      <c r="S2654" s="8"/>
      <c r="T2654" s="9"/>
      <c r="U2654" s="9">
        <f t="shared" si="1391"/>
        <v>0</v>
      </c>
      <c r="V2654" s="9">
        <f t="shared" si="1392"/>
        <v>4142021</v>
      </c>
      <c r="W2654" s="9">
        <f t="shared" si="1393"/>
        <v>0</v>
      </c>
      <c r="X2654" s="9">
        <f t="shared" si="1394"/>
        <v>4142021</v>
      </c>
      <c r="Y2654" s="8"/>
      <c r="Z2654" s="9">
        <f t="shared" si="1395"/>
        <v>0</v>
      </c>
      <c r="AA2654" s="8">
        <f t="shared" si="1396"/>
        <v>4142021</v>
      </c>
      <c r="AB2654" s="8">
        <f t="shared" si="1397"/>
        <v>0</v>
      </c>
    </row>
    <row r="2655" spans="1:28" x14ac:dyDescent="0.3">
      <c r="A2655" s="64"/>
      <c r="B2655" s="8"/>
      <c r="C2655" s="7" t="s">
        <v>57</v>
      </c>
      <c r="D2655" s="15" t="s">
        <v>60</v>
      </c>
      <c r="E2655" s="9">
        <v>8092340.5</v>
      </c>
      <c r="F2655" s="11">
        <v>8092340.5</v>
      </c>
      <c r="G2655" s="8"/>
      <c r="H2655" s="9">
        <f t="shared" si="1388"/>
        <v>8092340.5</v>
      </c>
      <c r="I2655" s="9"/>
      <c r="J2655" s="8"/>
      <c r="K2655" s="8"/>
      <c r="L2655" s="9"/>
      <c r="M2655" s="9">
        <f t="shared" si="1389"/>
        <v>8092340.5</v>
      </c>
      <c r="N2655" s="9">
        <v>0</v>
      </c>
      <c r="O2655" s="8"/>
      <c r="P2655" s="9">
        <f t="shared" si="1390"/>
        <v>0</v>
      </c>
      <c r="Q2655" s="8"/>
      <c r="R2655" s="8"/>
      <c r="S2655" s="8"/>
      <c r="T2655" s="9"/>
      <c r="U2655" s="9">
        <f t="shared" si="1391"/>
        <v>0</v>
      </c>
      <c r="V2655" s="9">
        <f t="shared" si="1392"/>
        <v>8092340.5</v>
      </c>
      <c r="W2655" s="9">
        <f t="shared" si="1393"/>
        <v>0</v>
      </c>
      <c r="X2655" s="9">
        <f t="shared" si="1394"/>
        <v>8092340.5</v>
      </c>
      <c r="Y2655" s="8"/>
      <c r="Z2655" s="9">
        <f t="shared" si="1395"/>
        <v>0</v>
      </c>
      <c r="AA2655" s="8">
        <f t="shared" si="1396"/>
        <v>8092340.5</v>
      </c>
      <c r="AB2655" s="8">
        <f t="shared" si="1397"/>
        <v>0</v>
      </c>
    </row>
    <row r="2656" spans="1:28" x14ac:dyDescent="0.3">
      <c r="A2656" s="64"/>
      <c r="B2656" s="8"/>
      <c r="C2656" s="14" t="s">
        <v>109</v>
      </c>
      <c r="D2656" s="21" t="s">
        <v>60</v>
      </c>
      <c r="E2656" s="9">
        <v>10000000</v>
      </c>
      <c r="F2656" s="11">
        <v>10000000</v>
      </c>
      <c r="G2656" s="8"/>
      <c r="H2656" s="9">
        <f t="shared" si="1388"/>
        <v>10000000</v>
      </c>
      <c r="I2656" s="9"/>
      <c r="J2656" s="8"/>
      <c r="K2656" s="8"/>
      <c r="L2656" s="9"/>
      <c r="M2656" s="9">
        <f t="shared" si="1389"/>
        <v>10000000</v>
      </c>
      <c r="N2656" s="9">
        <v>0</v>
      </c>
      <c r="O2656" s="8"/>
      <c r="P2656" s="9">
        <f t="shared" si="1390"/>
        <v>0</v>
      </c>
      <c r="Q2656" s="8"/>
      <c r="R2656" s="8"/>
      <c r="S2656" s="8"/>
      <c r="T2656" s="9"/>
      <c r="U2656" s="9">
        <f t="shared" si="1391"/>
        <v>0</v>
      </c>
      <c r="V2656" s="9">
        <f t="shared" si="1392"/>
        <v>10000000</v>
      </c>
      <c r="W2656" s="9">
        <f t="shared" si="1393"/>
        <v>0</v>
      </c>
      <c r="X2656" s="9">
        <f t="shared" si="1394"/>
        <v>10000000</v>
      </c>
      <c r="Y2656" s="8"/>
      <c r="Z2656" s="9">
        <f t="shared" si="1395"/>
        <v>0</v>
      </c>
      <c r="AA2656" s="8">
        <f t="shared" si="1396"/>
        <v>10000000</v>
      </c>
      <c r="AB2656" s="8">
        <f t="shared" si="1397"/>
        <v>0</v>
      </c>
    </row>
    <row r="2657" spans="1:28" x14ac:dyDescent="0.3">
      <c r="A2657" s="64"/>
      <c r="B2657" s="8"/>
      <c r="C2657" s="7" t="s">
        <v>458</v>
      </c>
      <c r="D2657" s="15" t="s">
        <v>73</v>
      </c>
      <c r="E2657" s="9">
        <f>4041766+287015+915000</f>
        <v>5243781</v>
      </c>
      <c r="F2657" s="11">
        <f>4041766+1202015</f>
        <v>5243781</v>
      </c>
      <c r="G2657" s="8"/>
      <c r="H2657" s="9">
        <f t="shared" si="1388"/>
        <v>5243781</v>
      </c>
      <c r="I2657" s="9"/>
      <c r="J2657" s="8"/>
      <c r="K2657" s="8"/>
      <c r="L2657" s="9"/>
      <c r="M2657" s="9">
        <f t="shared" si="1389"/>
        <v>5243781</v>
      </c>
      <c r="N2657" s="9">
        <v>0</v>
      </c>
      <c r="O2657" s="8"/>
      <c r="P2657" s="9">
        <f t="shared" si="1390"/>
        <v>0</v>
      </c>
      <c r="Q2657" s="8"/>
      <c r="R2657" s="8"/>
      <c r="S2657" s="8"/>
      <c r="T2657" s="9"/>
      <c r="U2657" s="9">
        <f t="shared" si="1391"/>
        <v>0</v>
      </c>
      <c r="V2657" s="9">
        <f t="shared" si="1392"/>
        <v>5243781</v>
      </c>
      <c r="W2657" s="9">
        <f t="shared" si="1393"/>
        <v>0</v>
      </c>
      <c r="X2657" s="9">
        <f t="shared" si="1394"/>
        <v>5243781</v>
      </c>
      <c r="Y2657" s="8"/>
      <c r="Z2657" s="9">
        <f t="shared" si="1395"/>
        <v>0</v>
      </c>
      <c r="AA2657" s="8">
        <f t="shared" si="1396"/>
        <v>5243781</v>
      </c>
      <c r="AB2657" s="8">
        <f t="shared" si="1397"/>
        <v>0</v>
      </c>
    </row>
    <row r="2658" spans="1:28" x14ac:dyDescent="0.3">
      <c r="A2658" s="64"/>
      <c r="B2658" s="8"/>
      <c r="C2658" s="7" t="s">
        <v>57</v>
      </c>
      <c r="D2658" s="16" t="s">
        <v>61</v>
      </c>
      <c r="E2658" s="9">
        <v>1211338.79</v>
      </c>
      <c r="F2658" s="8">
        <v>1211338.79</v>
      </c>
      <c r="G2658" s="8"/>
      <c r="H2658" s="9">
        <f t="shared" si="1388"/>
        <v>1211338.79</v>
      </c>
      <c r="I2658" s="9"/>
      <c r="J2658" s="8"/>
      <c r="K2658" s="8"/>
      <c r="L2658" s="9"/>
      <c r="M2658" s="9">
        <f t="shared" si="1389"/>
        <v>1211338.79</v>
      </c>
      <c r="N2658" s="9">
        <v>0</v>
      </c>
      <c r="O2658" s="8"/>
      <c r="P2658" s="9">
        <f t="shared" si="1390"/>
        <v>0</v>
      </c>
      <c r="Q2658" s="8"/>
      <c r="R2658" s="8"/>
      <c r="S2658" s="8"/>
      <c r="T2658" s="9"/>
      <c r="U2658" s="9">
        <f t="shared" si="1391"/>
        <v>0</v>
      </c>
      <c r="V2658" s="9">
        <f t="shared" si="1392"/>
        <v>1211338.79</v>
      </c>
      <c r="W2658" s="9">
        <f t="shared" si="1393"/>
        <v>0</v>
      </c>
      <c r="X2658" s="9">
        <f t="shared" si="1394"/>
        <v>1211338.79</v>
      </c>
      <c r="Y2658" s="8"/>
      <c r="Z2658" s="9">
        <f t="shared" si="1395"/>
        <v>0</v>
      </c>
      <c r="AA2658" s="8">
        <f t="shared" si="1396"/>
        <v>1211338.79</v>
      </c>
      <c r="AB2658" s="8">
        <f t="shared" si="1397"/>
        <v>0</v>
      </c>
    </row>
    <row r="2659" spans="1:28" x14ac:dyDescent="0.3">
      <c r="A2659" s="64"/>
      <c r="B2659" s="8"/>
      <c r="C2659" s="7" t="s">
        <v>930</v>
      </c>
      <c r="D2659" s="16" t="s">
        <v>1072</v>
      </c>
      <c r="E2659" s="9">
        <f>1452000+4048147.5</f>
        <v>5500147.5</v>
      </c>
      <c r="F2659" s="8">
        <f>1452000+4048147.5</f>
        <v>5500147.5</v>
      </c>
      <c r="G2659" s="8"/>
      <c r="H2659" s="9">
        <f>+F2659+G2659</f>
        <v>5500147.5</v>
      </c>
      <c r="I2659" s="9"/>
      <c r="J2659" s="8"/>
      <c r="K2659" s="8"/>
      <c r="L2659" s="9"/>
      <c r="M2659" s="9">
        <f>+H2659</f>
        <v>5500147.5</v>
      </c>
      <c r="N2659" s="9">
        <v>0</v>
      </c>
      <c r="O2659" s="8"/>
      <c r="P2659" s="9">
        <f>N2659+O2659</f>
        <v>0</v>
      </c>
      <c r="Q2659" s="8"/>
      <c r="R2659" s="8"/>
      <c r="S2659" s="8"/>
      <c r="T2659" s="9"/>
      <c r="U2659" s="9">
        <f>P2659+T2659</f>
        <v>0</v>
      </c>
      <c r="V2659" s="9">
        <f>P2659+H2659</f>
        <v>5500147.5</v>
      </c>
      <c r="W2659" s="9">
        <f>E2659-V2659</f>
        <v>0</v>
      </c>
      <c r="X2659" s="9">
        <f t="shared" si="1394"/>
        <v>5500147.5</v>
      </c>
      <c r="Y2659" s="8"/>
      <c r="Z2659" s="9">
        <f t="shared" si="1395"/>
        <v>0</v>
      </c>
      <c r="AA2659" s="8">
        <f t="shared" si="1396"/>
        <v>5500147.5</v>
      </c>
      <c r="AB2659" s="8">
        <f t="shared" si="1397"/>
        <v>0</v>
      </c>
    </row>
    <row r="2660" spans="1:28" x14ac:dyDescent="0.3">
      <c r="A2660" s="64"/>
      <c r="B2660" s="8"/>
      <c r="C2660" s="7" t="s">
        <v>1088</v>
      </c>
      <c r="D2660" s="16" t="s">
        <v>1072</v>
      </c>
      <c r="E2660" s="9">
        <f>3230780.55+1105904.79</f>
        <v>4336685.34</v>
      </c>
      <c r="F2660" s="9">
        <f>3230780.55+1105904.79</f>
        <v>4336685.34</v>
      </c>
      <c r="G2660" s="8"/>
      <c r="H2660" s="9">
        <f>+F2660+G2660</f>
        <v>4336685.34</v>
      </c>
      <c r="I2660" s="9"/>
      <c r="J2660" s="8"/>
      <c r="K2660" s="8"/>
      <c r="L2660" s="9"/>
      <c r="M2660" s="9">
        <f>+H2660+L2660</f>
        <v>4336685.34</v>
      </c>
      <c r="N2660" s="9">
        <v>0</v>
      </c>
      <c r="O2660" s="8"/>
      <c r="P2660" s="9">
        <f>+N2660+O2660</f>
        <v>0</v>
      </c>
      <c r="Q2660" s="8"/>
      <c r="R2660" s="8"/>
      <c r="S2660" s="8"/>
      <c r="T2660" s="9"/>
      <c r="U2660" s="9">
        <f>P2660+T2660</f>
        <v>0</v>
      </c>
      <c r="V2660" s="9">
        <f>P2660+H2660</f>
        <v>4336685.34</v>
      </c>
      <c r="W2660" s="9">
        <f>E2660-V2660</f>
        <v>0</v>
      </c>
      <c r="X2660" s="9">
        <f t="shared" si="1394"/>
        <v>4336685.34</v>
      </c>
      <c r="Y2660" s="8"/>
      <c r="Z2660" s="9">
        <f t="shared" si="1395"/>
        <v>0</v>
      </c>
      <c r="AA2660" s="8">
        <f t="shared" si="1396"/>
        <v>4336685.34</v>
      </c>
      <c r="AB2660" s="8">
        <f t="shared" si="1397"/>
        <v>0</v>
      </c>
    </row>
    <row r="2661" spans="1:28" x14ac:dyDescent="0.3">
      <c r="A2661" s="64"/>
      <c r="B2661" s="8"/>
      <c r="C2661" s="7" t="s">
        <v>1209</v>
      </c>
      <c r="D2661" s="16" t="s">
        <v>1126</v>
      </c>
      <c r="E2661" s="9">
        <v>1734920.31</v>
      </c>
      <c r="F2661" s="9">
        <v>1734920.31</v>
      </c>
      <c r="G2661" s="8"/>
      <c r="H2661" s="9">
        <f>+F2661+G2661</f>
        <v>1734920.31</v>
      </c>
      <c r="I2661" s="9"/>
      <c r="J2661" s="8"/>
      <c r="K2661" s="8"/>
      <c r="L2661" s="9"/>
      <c r="M2661" s="9">
        <f>+H2661+L2661</f>
        <v>1734920.31</v>
      </c>
      <c r="N2661" s="9">
        <v>0</v>
      </c>
      <c r="O2661" s="8"/>
      <c r="P2661" s="9">
        <f>+N2661+O2661</f>
        <v>0</v>
      </c>
      <c r="Q2661" s="8"/>
      <c r="R2661" s="8"/>
      <c r="S2661" s="8"/>
      <c r="T2661" s="9"/>
      <c r="U2661" s="9">
        <f>P2661+T2661</f>
        <v>0</v>
      </c>
      <c r="V2661" s="9">
        <f>P2661+H2661</f>
        <v>1734920.31</v>
      </c>
      <c r="W2661" s="9"/>
      <c r="X2661" s="9">
        <f t="shared" si="1394"/>
        <v>1734920.31</v>
      </c>
      <c r="Y2661" s="8"/>
      <c r="Z2661" s="9">
        <f t="shared" si="1395"/>
        <v>0</v>
      </c>
      <c r="AA2661" s="8">
        <f t="shared" si="1396"/>
        <v>1734920.31</v>
      </c>
      <c r="AB2661" s="8">
        <f t="shared" si="1397"/>
        <v>0</v>
      </c>
    </row>
    <row r="2662" spans="1:28" x14ac:dyDescent="0.3">
      <c r="A2662" s="64"/>
      <c r="B2662" s="8"/>
      <c r="C2662" s="7" t="s">
        <v>1176</v>
      </c>
      <c r="D2662" s="16" t="s">
        <v>1126</v>
      </c>
      <c r="E2662" s="9">
        <v>2964591.54</v>
      </c>
      <c r="F2662" s="8">
        <v>2964591.54</v>
      </c>
      <c r="G2662" s="8"/>
      <c r="H2662" s="9">
        <f>+F2662+G2662</f>
        <v>2964591.54</v>
      </c>
      <c r="I2662" s="9"/>
      <c r="J2662" s="8"/>
      <c r="K2662" s="8"/>
      <c r="L2662" s="9"/>
      <c r="M2662" s="9">
        <f>+H2662+L2662</f>
        <v>2964591.54</v>
      </c>
      <c r="N2662" s="9">
        <v>0</v>
      </c>
      <c r="O2662" s="8"/>
      <c r="P2662" s="9">
        <f>+N2662+O2662</f>
        <v>0</v>
      </c>
      <c r="Q2662" s="8"/>
      <c r="R2662" s="8"/>
      <c r="S2662" s="8"/>
      <c r="T2662" s="9"/>
      <c r="U2662" s="9">
        <f>P2662+T2662</f>
        <v>0</v>
      </c>
      <c r="V2662" s="9">
        <f>P2662+H2662</f>
        <v>2964591.54</v>
      </c>
      <c r="W2662" s="9"/>
      <c r="X2662" s="9">
        <f t="shared" si="1394"/>
        <v>2964591.54</v>
      </c>
      <c r="Y2662" s="8"/>
      <c r="Z2662" s="9">
        <f t="shared" si="1395"/>
        <v>0</v>
      </c>
      <c r="AA2662" s="8">
        <f t="shared" si="1396"/>
        <v>2964591.54</v>
      </c>
      <c r="AB2662" s="8">
        <f t="shared" si="1397"/>
        <v>0</v>
      </c>
    </row>
    <row r="2663" spans="1:28" x14ac:dyDescent="0.3">
      <c r="A2663" s="64"/>
      <c r="B2663" s="8"/>
      <c r="C2663" s="7" t="s">
        <v>1242</v>
      </c>
      <c r="D2663" s="16" t="s">
        <v>1225</v>
      </c>
      <c r="E2663" s="9">
        <v>7022430.3099999996</v>
      </c>
      <c r="F2663" s="8">
        <v>7022430.3099999996</v>
      </c>
      <c r="G2663" s="8"/>
      <c r="H2663" s="9">
        <f>+F2663+G2663</f>
        <v>7022430.3099999996</v>
      </c>
      <c r="I2663" s="9"/>
      <c r="J2663" s="8"/>
      <c r="K2663" s="8"/>
      <c r="L2663" s="9"/>
      <c r="M2663" s="9">
        <f>+H2663+L2663</f>
        <v>7022430.3099999996</v>
      </c>
      <c r="N2663" s="9">
        <v>0</v>
      </c>
      <c r="O2663" s="8"/>
      <c r="P2663" s="9">
        <f>+N2663+O2663</f>
        <v>0</v>
      </c>
      <c r="Q2663" s="8"/>
      <c r="R2663" s="8"/>
      <c r="S2663" s="8"/>
      <c r="T2663" s="9"/>
      <c r="U2663" s="9">
        <f>+P2663+T2663</f>
        <v>0</v>
      </c>
      <c r="V2663" s="9"/>
      <c r="W2663" s="9"/>
      <c r="X2663" s="9">
        <f>+H2663+P2663</f>
        <v>7022430.3099999996</v>
      </c>
      <c r="Y2663" s="8"/>
      <c r="Z2663" s="9">
        <f>+E2663-X2663</f>
        <v>0</v>
      </c>
      <c r="AA2663" s="8">
        <f>+M2663+U2663</f>
        <v>7022430.3099999996</v>
      </c>
      <c r="AB2663" s="8">
        <f>+E2663-AA2663</f>
        <v>0</v>
      </c>
    </row>
    <row r="2664" spans="1:28" x14ac:dyDescent="0.3">
      <c r="A2664" s="64"/>
      <c r="B2664" s="8"/>
      <c r="C2664" s="7" t="s">
        <v>507</v>
      </c>
      <c r="D2664" s="16"/>
      <c r="E2664" s="9">
        <v>3102948.31</v>
      </c>
      <c r="F2664" s="8">
        <v>3102948.31</v>
      </c>
      <c r="G2664" s="8"/>
      <c r="H2664" s="9">
        <f>F2664+G2664</f>
        <v>3102948.31</v>
      </c>
      <c r="I2664" s="9"/>
      <c r="J2664" s="8"/>
      <c r="K2664" s="8"/>
      <c r="L2664" s="9"/>
      <c r="M2664" s="9">
        <f>H2664+L2664</f>
        <v>3102948.31</v>
      </c>
      <c r="N2664" s="9">
        <v>0</v>
      </c>
      <c r="O2664" s="8"/>
      <c r="P2664" s="9">
        <f>N2664+O2664</f>
        <v>0</v>
      </c>
      <c r="Q2664" s="8"/>
      <c r="R2664" s="8"/>
      <c r="S2664" s="8"/>
      <c r="T2664" s="9"/>
      <c r="U2664" s="9">
        <f>P2664+T2664</f>
        <v>0</v>
      </c>
      <c r="V2664" s="9">
        <f>P2664+H2664</f>
        <v>3102948.31</v>
      </c>
      <c r="W2664" s="9">
        <f>E2664-V2664</f>
        <v>0</v>
      </c>
      <c r="X2664" s="9">
        <f t="shared" si="1394"/>
        <v>3102948.31</v>
      </c>
      <c r="Y2664" s="8"/>
      <c r="Z2664" s="9">
        <f t="shared" si="1395"/>
        <v>0</v>
      </c>
      <c r="AA2664" s="8">
        <f t="shared" si="1396"/>
        <v>3102948.31</v>
      </c>
      <c r="AB2664" s="8">
        <f t="shared" si="1397"/>
        <v>0</v>
      </c>
    </row>
    <row r="2665" spans="1:28" x14ac:dyDescent="0.3">
      <c r="A2665" s="64"/>
      <c r="B2665" s="8"/>
      <c r="C2665" s="8"/>
      <c r="D2665" s="8"/>
      <c r="E2665" s="17" t="s">
        <v>29</v>
      </c>
      <c r="F2665" s="17" t="s">
        <v>29</v>
      </c>
      <c r="G2665" s="17" t="s">
        <v>29</v>
      </c>
      <c r="H2665" s="17" t="s">
        <v>29</v>
      </c>
      <c r="I2665" s="17" t="s">
        <v>29</v>
      </c>
      <c r="J2665" s="17" t="s">
        <v>29</v>
      </c>
      <c r="K2665" s="17" t="s">
        <v>29</v>
      </c>
      <c r="L2665" s="17" t="s">
        <v>29</v>
      </c>
      <c r="M2665" s="17" t="s">
        <v>29</v>
      </c>
      <c r="N2665" s="17" t="s">
        <v>29</v>
      </c>
      <c r="O2665" s="17" t="s">
        <v>29</v>
      </c>
      <c r="P2665" s="17" t="s">
        <v>29</v>
      </c>
      <c r="Q2665" s="17" t="s">
        <v>29</v>
      </c>
      <c r="R2665" s="17" t="s">
        <v>29</v>
      </c>
      <c r="S2665" s="17" t="s">
        <v>29</v>
      </c>
      <c r="T2665" s="17" t="s">
        <v>29</v>
      </c>
      <c r="U2665" s="17" t="s">
        <v>29</v>
      </c>
      <c r="V2665" s="17" t="s">
        <v>29</v>
      </c>
      <c r="W2665" s="17" t="s">
        <v>29</v>
      </c>
      <c r="X2665" s="17" t="s">
        <v>29</v>
      </c>
      <c r="Y2665" s="17" t="s">
        <v>29</v>
      </c>
      <c r="Z2665" s="17" t="s">
        <v>29</v>
      </c>
      <c r="AA2665" s="17" t="s">
        <v>29</v>
      </c>
      <c r="AB2665" s="17" t="s">
        <v>29</v>
      </c>
    </row>
    <row r="2666" spans="1:28" x14ac:dyDescent="0.3">
      <c r="A2666" s="64"/>
      <c r="B2666" s="8"/>
      <c r="C2666" s="8"/>
      <c r="D2666" s="8"/>
      <c r="E2666" s="9">
        <f t="shared" ref="E2666:AB2666" si="1398">SUM(E2647:E2664)</f>
        <v>85544837.780000016</v>
      </c>
      <c r="F2666" s="9">
        <f t="shared" si="1398"/>
        <v>83224331.020000011</v>
      </c>
      <c r="G2666" s="9">
        <f t="shared" si="1398"/>
        <v>0</v>
      </c>
      <c r="H2666" s="9">
        <f t="shared" si="1398"/>
        <v>83224331.020000011</v>
      </c>
      <c r="I2666" s="9">
        <f t="shared" si="1398"/>
        <v>0</v>
      </c>
      <c r="J2666" s="9">
        <f t="shared" si="1398"/>
        <v>0</v>
      </c>
      <c r="K2666" s="9">
        <f t="shared" si="1398"/>
        <v>0</v>
      </c>
      <c r="L2666" s="9">
        <f t="shared" si="1398"/>
        <v>0</v>
      </c>
      <c r="M2666" s="9">
        <f t="shared" si="1398"/>
        <v>83224331.020000011</v>
      </c>
      <c r="N2666" s="9">
        <f t="shared" si="1398"/>
        <v>2320506.7599999998</v>
      </c>
      <c r="O2666" s="9">
        <f t="shared" si="1398"/>
        <v>0</v>
      </c>
      <c r="P2666" s="9">
        <f t="shared" si="1398"/>
        <v>2320506.7599999998</v>
      </c>
      <c r="Q2666" s="9">
        <f t="shared" si="1398"/>
        <v>0</v>
      </c>
      <c r="R2666" s="9">
        <f t="shared" si="1398"/>
        <v>0</v>
      </c>
      <c r="S2666" s="9">
        <f t="shared" si="1398"/>
        <v>0</v>
      </c>
      <c r="T2666" s="9">
        <f t="shared" si="1398"/>
        <v>0</v>
      </c>
      <c r="U2666" s="9">
        <f t="shared" si="1398"/>
        <v>2320506.7599999998</v>
      </c>
      <c r="V2666" s="9">
        <f t="shared" si="1398"/>
        <v>78522407.470000014</v>
      </c>
      <c r="W2666" s="9">
        <f t="shared" si="1398"/>
        <v>0</v>
      </c>
      <c r="X2666" s="9">
        <f t="shared" si="1398"/>
        <v>85544837.780000016</v>
      </c>
      <c r="Y2666" s="9">
        <f t="shared" si="1398"/>
        <v>0</v>
      </c>
      <c r="Z2666" s="9">
        <f t="shared" si="1398"/>
        <v>0</v>
      </c>
      <c r="AA2666" s="9">
        <f t="shared" si="1398"/>
        <v>85544837.780000016</v>
      </c>
      <c r="AB2666" s="9">
        <f t="shared" si="1398"/>
        <v>0</v>
      </c>
    </row>
    <row r="2667" spans="1:28" x14ac:dyDescent="0.3">
      <c r="A2667" s="64"/>
      <c r="B2667" s="8"/>
      <c r="C2667" s="8"/>
      <c r="D2667" s="8"/>
      <c r="E2667" s="17" t="s">
        <v>29</v>
      </c>
      <c r="F2667" s="17" t="s">
        <v>29</v>
      </c>
      <c r="G2667" s="17" t="s">
        <v>29</v>
      </c>
      <c r="H2667" s="17" t="s">
        <v>29</v>
      </c>
      <c r="I2667" s="17" t="s">
        <v>29</v>
      </c>
      <c r="J2667" s="17" t="s">
        <v>29</v>
      </c>
      <c r="K2667" s="17" t="s">
        <v>29</v>
      </c>
      <c r="L2667" s="17" t="s">
        <v>29</v>
      </c>
      <c r="M2667" s="17" t="s">
        <v>29</v>
      </c>
      <c r="N2667" s="17" t="s">
        <v>29</v>
      </c>
      <c r="O2667" s="17" t="s">
        <v>29</v>
      </c>
      <c r="P2667" s="17" t="s">
        <v>29</v>
      </c>
      <c r="Q2667" s="17" t="s">
        <v>29</v>
      </c>
      <c r="R2667" s="17" t="s">
        <v>29</v>
      </c>
      <c r="S2667" s="17" t="s">
        <v>29</v>
      </c>
      <c r="T2667" s="17" t="s">
        <v>29</v>
      </c>
      <c r="U2667" s="17" t="s">
        <v>29</v>
      </c>
      <c r="V2667" s="17" t="s">
        <v>29</v>
      </c>
      <c r="W2667" s="17" t="s">
        <v>29</v>
      </c>
      <c r="X2667" s="17" t="s">
        <v>29</v>
      </c>
      <c r="Y2667" s="17" t="s">
        <v>29</v>
      </c>
      <c r="Z2667" s="17" t="s">
        <v>29</v>
      </c>
      <c r="AA2667" s="17" t="s">
        <v>29</v>
      </c>
      <c r="AB2667" s="17" t="s">
        <v>29</v>
      </c>
    </row>
    <row r="2668" spans="1:28" x14ac:dyDescent="0.3">
      <c r="A2668" s="64"/>
      <c r="B2668" s="8"/>
      <c r="C2668" s="7" t="s">
        <v>464</v>
      </c>
      <c r="D2668" s="8"/>
      <c r="E2668" s="9">
        <f t="shared" ref="E2668:AB2668" si="1399">E2666+E2643+E2616+E2620</f>
        <v>269860792.59000003</v>
      </c>
      <c r="F2668" s="9">
        <f t="shared" si="1399"/>
        <v>257389107.89000002</v>
      </c>
      <c r="G2668" s="9">
        <f t="shared" si="1399"/>
        <v>0</v>
      </c>
      <c r="H2668" s="9">
        <f t="shared" si="1399"/>
        <v>257389107.89000002</v>
      </c>
      <c r="I2668" s="9">
        <f t="shared" si="1399"/>
        <v>2120934.9299999997</v>
      </c>
      <c r="J2668" s="9">
        <f t="shared" si="1399"/>
        <v>1068934.93</v>
      </c>
      <c r="K2668" s="9">
        <f t="shared" si="1399"/>
        <v>0</v>
      </c>
      <c r="L2668" s="9">
        <f t="shared" si="1399"/>
        <v>0</v>
      </c>
      <c r="M2668" s="9">
        <f t="shared" si="1399"/>
        <v>257389107.89000002</v>
      </c>
      <c r="N2668" s="9">
        <f t="shared" si="1399"/>
        <v>12387585.16</v>
      </c>
      <c r="O2668" s="9">
        <f t="shared" si="1399"/>
        <v>0</v>
      </c>
      <c r="P2668" s="9">
        <f t="shared" si="1399"/>
        <v>12387585.16</v>
      </c>
      <c r="Q2668" s="9">
        <f t="shared" si="1399"/>
        <v>4099.54</v>
      </c>
      <c r="R2668" s="9">
        <f t="shared" si="1399"/>
        <v>0</v>
      </c>
      <c r="S2668" s="9">
        <f t="shared" si="1399"/>
        <v>0</v>
      </c>
      <c r="T2668" s="9">
        <f t="shared" si="1399"/>
        <v>4099.54</v>
      </c>
      <c r="U2668" s="9">
        <f t="shared" si="1399"/>
        <v>12391684.699999999</v>
      </c>
      <c r="V2668" s="9">
        <f t="shared" si="1399"/>
        <v>250431454.16000003</v>
      </c>
      <c r="W2668" s="9">
        <f t="shared" si="1399"/>
        <v>84099.540000000037</v>
      </c>
      <c r="X2668" s="9">
        <f t="shared" si="1399"/>
        <v>269776693.05000007</v>
      </c>
      <c r="Y2668" s="9">
        <f t="shared" si="1399"/>
        <v>0</v>
      </c>
      <c r="Z2668" s="9">
        <f t="shared" si="1399"/>
        <v>84099.540000000037</v>
      </c>
      <c r="AA2668" s="9">
        <f t="shared" si="1399"/>
        <v>269780792.59000003</v>
      </c>
      <c r="AB2668" s="9">
        <f t="shared" si="1399"/>
        <v>80000</v>
      </c>
    </row>
    <row r="2669" spans="1:28" x14ac:dyDescent="0.3">
      <c r="A2669" s="64"/>
      <c r="B2669" s="8"/>
      <c r="C2669" s="8"/>
      <c r="D2669" s="8"/>
      <c r="E2669" s="17" t="s">
        <v>114</v>
      </c>
      <c r="F2669" s="17" t="s">
        <v>114</v>
      </c>
      <c r="G2669" s="17" t="s">
        <v>114</v>
      </c>
      <c r="H2669" s="17" t="s">
        <v>114</v>
      </c>
      <c r="I2669" s="17" t="s">
        <v>114</v>
      </c>
      <c r="J2669" s="17" t="s">
        <v>114</v>
      </c>
      <c r="K2669" s="17" t="s">
        <v>114</v>
      </c>
      <c r="L2669" s="17" t="s">
        <v>114</v>
      </c>
      <c r="M2669" s="17" t="s">
        <v>114</v>
      </c>
      <c r="N2669" s="17" t="s">
        <v>114</v>
      </c>
      <c r="O2669" s="17" t="s">
        <v>114</v>
      </c>
      <c r="P2669" s="17" t="s">
        <v>114</v>
      </c>
      <c r="Q2669" s="17" t="s">
        <v>114</v>
      </c>
      <c r="R2669" s="17" t="s">
        <v>114</v>
      </c>
      <c r="S2669" s="17" t="s">
        <v>114</v>
      </c>
      <c r="T2669" s="17" t="s">
        <v>114</v>
      </c>
      <c r="U2669" s="17" t="s">
        <v>114</v>
      </c>
      <c r="V2669" s="17" t="s">
        <v>114</v>
      </c>
      <c r="W2669" s="17" t="s">
        <v>114</v>
      </c>
      <c r="X2669" s="17" t="s">
        <v>114</v>
      </c>
      <c r="Y2669" s="17" t="s">
        <v>114</v>
      </c>
      <c r="Z2669" s="17" t="s">
        <v>114</v>
      </c>
      <c r="AA2669" s="17" t="s">
        <v>114</v>
      </c>
      <c r="AB2669" s="17" t="s">
        <v>114</v>
      </c>
    </row>
    <row r="2670" spans="1:28" x14ac:dyDescent="0.3">
      <c r="A2670" s="64"/>
      <c r="B2670" s="7" t="s">
        <v>465</v>
      </c>
      <c r="C2670" s="8"/>
      <c r="D2670" s="8"/>
      <c r="E2670" s="8"/>
      <c r="F2670" s="8"/>
      <c r="G2670" s="8"/>
      <c r="H2670" s="8"/>
      <c r="I2670" s="8"/>
      <c r="J2670" s="8"/>
      <c r="K2670" s="8"/>
      <c r="L2670" s="8"/>
      <c r="M2670" s="8"/>
      <c r="N2670" s="8"/>
      <c r="O2670" s="8"/>
      <c r="P2670" s="8"/>
      <c r="Q2670" s="8"/>
      <c r="R2670" s="8"/>
      <c r="S2670" s="8"/>
      <c r="T2670" s="8"/>
      <c r="U2670" s="8"/>
      <c r="V2670" s="8"/>
      <c r="W2670" s="8"/>
      <c r="X2670" s="8"/>
      <c r="Y2670" s="8"/>
      <c r="Z2670" s="8"/>
      <c r="AA2670" s="58"/>
    </row>
    <row r="2671" spans="1:28" x14ac:dyDescent="0.3">
      <c r="A2671" s="64"/>
      <c r="B2671" s="8"/>
      <c r="C2671" s="8"/>
      <c r="D2671" s="8"/>
      <c r="E2671" s="8"/>
      <c r="F2671" s="8"/>
      <c r="G2671" s="8"/>
      <c r="H2671" s="8"/>
      <c r="I2671" s="8"/>
      <c r="J2671" s="8"/>
      <c r="K2671" s="8"/>
      <c r="L2671" s="8"/>
      <c r="M2671" s="8"/>
      <c r="N2671" s="8"/>
      <c r="O2671" s="8"/>
      <c r="P2671" s="8"/>
      <c r="Q2671" s="8"/>
      <c r="R2671" s="8"/>
      <c r="S2671" s="8"/>
      <c r="T2671" s="8"/>
      <c r="U2671" s="8"/>
      <c r="V2671" s="8"/>
      <c r="W2671" s="8"/>
      <c r="X2671" s="8"/>
      <c r="Y2671" s="8"/>
      <c r="Z2671" s="8"/>
    </row>
    <row r="2672" spans="1:28" x14ac:dyDescent="0.3">
      <c r="A2672" s="63" t="s">
        <v>1052</v>
      </c>
      <c r="B2672" s="8"/>
      <c r="C2672" s="7" t="s">
        <v>466</v>
      </c>
      <c r="D2672" s="8"/>
      <c r="E2672" s="8"/>
      <c r="F2672" s="8"/>
      <c r="G2672" s="8"/>
      <c r="H2672" s="8"/>
      <c r="I2672" s="8"/>
      <c r="J2672" s="8"/>
      <c r="K2672" s="8"/>
      <c r="L2672" s="8"/>
      <c r="M2672" s="8"/>
      <c r="N2672" s="8"/>
      <c r="O2672" s="8"/>
      <c r="P2672" s="8"/>
      <c r="Q2672" s="8"/>
      <c r="R2672" s="8"/>
      <c r="S2672" s="8"/>
      <c r="T2672" s="8"/>
      <c r="U2672" s="8"/>
      <c r="V2672" s="8"/>
      <c r="W2672" s="8"/>
      <c r="X2672" s="8"/>
      <c r="Y2672" s="8"/>
      <c r="Z2672" s="8"/>
    </row>
    <row r="2673" spans="1:28" x14ac:dyDescent="0.3">
      <c r="A2673" s="64"/>
      <c r="B2673" s="8"/>
      <c r="C2673" s="7" t="s">
        <v>57</v>
      </c>
      <c r="D2673" s="15" t="s">
        <v>274</v>
      </c>
      <c r="E2673" s="9">
        <v>6448287.7599999998</v>
      </c>
      <c r="F2673" s="9">
        <v>6069817</v>
      </c>
      <c r="G2673" s="8"/>
      <c r="H2673" s="9">
        <f t="shared" ref="H2673:H2689" si="1400">F2673+G2673</f>
        <v>6069817</v>
      </c>
      <c r="I2673" s="8"/>
      <c r="J2673" s="8"/>
      <c r="K2673" s="8"/>
      <c r="L2673" s="9"/>
      <c r="M2673" s="9">
        <f t="shared" ref="M2673:M2689" si="1401">H2673+L2673</f>
        <v>6069817</v>
      </c>
      <c r="N2673" s="9">
        <v>378470.76</v>
      </c>
      <c r="O2673" s="8"/>
      <c r="P2673" s="9">
        <f t="shared" ref="P2673:P2689" si="1402">N2673+O2673</f>
        <v>378470.76</v>
      </c>
      <c r="Q2673" s="8"/>
      <c r="R2673" s="8"/>
      <c r="S2673" s="8"/>
      <c r="T2673" s="9"/>
      <c r="U2673" s="9">
        <f t="shared" ref="U2673:U2689" si="1403">P2673+T2673</f>
        <v>378470.76</v>
      </c>
      <c r="V2673" s="9">
        <f t="shared" ref="V2673:V2689" si="1404">P2673+H2673</f>
        <v>6448287.7599999998</v>
      </c>
      <c r="W2673" s="9">
        <f t="shared" ref="W2673:W2689" si="1405">E2673-V2673</f>
        <v>0</v>
      </c>
      <c r="X2673" s="9">
        <f t="shared" ref="X2673:X2689" si="1406">+H2673+P2673</f>
        <v>6448287.7599999998</v>
      </c>
      <c r="Y2673" s="8"/>
      <c r="Z2673" s="9">
        <f t="shared" ref="Z2673:Z2689" si="1407">+E2673-X2673</f>
        <v>0</v>
      </c>
      <c r="AA2673" s="8">
        <f t="shared" ref="AA2673:AA2689" si="1408">+M2673+U2673</f>
        <v>6448287.7599999998</v>
      </c>
      <c r="AB2673" s="8">
        <f t="shared" ref="AB2673:AB2689" si="1409">+E2673-AA2673</f>
        <v>0</v>
      </c>
    </row>
    <row r="2674" spans="1:28" x14ac:dyDescent="0.3">
      <c r="A2674" s="64"/>
      <c r="B2674" s="8"/>
      <c r="C2674" s="7" t="s">
        <v>53</v>
      </c>
      <c r="D2674" s="15" t="s">
        <v>68</v>
      </c>
      <c r="E2674" s="9">
        <v>1953989</v>
      </c>
      <c r="F2674" s="9">
        <v>0</v>
      </c>
      <c r="G2674" s="8"/>
      <c r="H2674" s="9">
        <f t="shared" si="1400"/>
        <v>0</v>
      </c>
      <c r="I2674" s="8"/>
      <c r="J2674" s="8"/>
      <c r="K2674" s="8"/>
      <c r="L2674" s="9"/>
      <c r="M2674" s="9">
        <f t="shared" si="1401"/>
        <v>0</v>
      </c>
      <c r="N2674" s="9">
        <v>1953989</v>
      </c>
      <c r="O2674" s="8"/>
      <c r="P2674" s="9">
        <f t="shared" si="1402"/>
        <v>1953989</v>
      </c>
      <c r="Q2674" s="8"/>
      <c r="R2674" s="8"/>
      <c r="S2674" s="8"/>
      <c r="T2674" s="9"/>
      <c r="U2674" s="9">
        <f t="shared" si="1403"/>
        <v>1953989</v>
      </c>
      <c r="V2674" s="9">
        <f t="shared" si="1404"/>
        <v>1953989</v>
      </c>
      <c r="W2674" s="9">
        <f t="shared" si="1405"/>
        <v>0</v>
      </c>
      <c r="X2674" s="9">
        <f t="shared" si="1406"/>
        <v>1953989</v>
      </c>
      <c r="Y2674" s="8"/>
      <c r="Z2674" s="9">
        <f t="shared" si="1407"/>
        <v>0</v>
      </c>
      <c r="AA2674" s="8">
        <f t="shared" si="1408"/>
        <v>1953989</v>
      </c>
      <c r="AB2674" s="8">
        <f t="shared" si="1409"/>
        <v>0</v>
      </c>
    </row>
    <row r="2675" spans="1:28" x14ac:dyDescent="0.3">
      <c r="A2675" s="64"/>
      <c r="B2675" s="8"/>
      <c r="C2675" s="7" t="s">
        <v>467</v>
      </c>
      <c r="D2675" s="8"/>
      <c r="E2675" s="9">
        <v>2850000</v>
      </c>
      <c r="F2675" s="9">
        <v>2850000</v>
      </c>
      <c r="G2675" s="8"/>
      <c r="H2675" s="9">
        <f t="shared" si="1400"/>
        <v>2850000</v>
      </c>
      <c r="I2675" s="8"/>
      <c r="J2675" s="8"/>
      <c r="K2675" s="8"/>
      <c r="L2675" s="9"/>
      <c r="M2675" s="9">
        <f t="shared" si="1401"/>
        <v>2850000</v>
      </c>
      <c r="N2675" s="9">
        <v>0</v>
      </c>
      <c r="O2675" s="8"/>
      <c r="P2675" s="9">
        <f t="shared" si="1402"/>
        <v>0</v>
      </c>
      <c r="Q2675" s="8"/>
      <c r="R2675" s="8"/>
      <c r="S2675" s="8"/>
      <c r="T2675" s="9"/>
      <c r="U2675" s="9">
        <f t="shared" si="1403"/>
        <v>0</v>
      </c>
      <c r="V2675" s="9">
        <f t="shared" si="1404"/>
        <v>2850000</v>
      </c>
      <c r="W2675" s="9">
        <f t="shared" si="1405"/>
        <v>0</v>
      </c>
      <c r="X2675" s="9">
        <f t="shared" si="1406"/>
        <v>2850000</v>
      </c>
      <c r="Y2675" s="8"/>
      <c r="Z2675" s="9">
        <f t="shared" si="1407"/>
        <v>0</v>
      </c>
      <c r="AA2675" s="8">
        <f t="shared" si="1408"/>
        <v>2850000</v>
      </c>
      <c r="AB2675" s="8">
        <f t="shared" si="1409"/>
        <v>0</v>
      </c>
    </row>
    <row r="2676" spans="1:28" x14ac:dyDescent="0.3">
      <c r="A2676" s="64"/>
      <c r="B2676" s="8"/>
      <c r="C2676" s="7" t="s">
        <v>468</v>
      </c>
      <c r="D2676" s="15" t="s">
        <v>68</v>
      </c>
      <c r="E2676" s="9">
        <v>1755250</v>
      </c>
      <c r="F2676" s="9">
        <v>1755250</v>
      </c>
      <c r="G2676" s="8"/>
      <c r="H2676" s="9">
        <f t="shared" si="1400"/>
        <v>1755250</v>
      </c>
      <c r="I2676" s="8"/>
      <c r="J2676" s="8"/>
      <c r="K2676" s="8"/>
      <c r="L2676" s="9"/>
      <c r="M2676" s="9">
        <f t="shared" si="1401"/>
        <v>1755250</v>
      </c>
      <c r="N2676" s="9">
        <v>0</v>
      </c>
      <c r="O2676" s="8"/>
      <c r="P2676" s="9">
        <f t="shared" si="1402"/>
        <v>0</v>
      </c>
      <c r="Q2676" s="8"/>
      <c r="R2676" s="8"/>
      <c r="S2676" s="8"/>
      <c r="T2676" s="9"/>
      <c r="U2676" s="9">
        <f t="shared" si="1403"/>
        <v>0</v>
      </c>
      <c r="V2676" s="9">
        <f t="shared" si="1404"/>
        <v>1755250</v>
      </c>
      <c r="W2676" s="9">
        <f t="shared" si="1405"/>
        <v>0</v>
      </c>
      <c r="X2676" s="9">
        <f t="shared" si="1406"/>
        <v>1755250</v>
      </c>
      <c r="Y2676" s="8"/>
      <c r="Z2676" s="9">
        <f t="shared" si="1407"/>
        <v>0</v>
      </c>
      <c r="AA2676" s="8">
        <f t="shared" si="1408"/>
        <v>1755250</v>
      </c>
      <c r="AB2676" s="8">
        <f t="shared" si="1409"/>
        <v>0</v>
      </c>
    </row>
    <row r="2677" spans="1:28" x14ac:dyDescent="0.3">
      <c r="A2677" s="64"/>
      <c r="B2677" s="8"/>
      <c r="C2677" s="7" t="s">
        <v>55</v>
      </c>
      <c r="D2677" s="15" t="s">
        <v>469</v>
      </c>
      <c r="E2677" s="9">
        <v>2098664.59</v>
      </c>
      <c r="F2677" s="9">
        <v>0</v>
      </c>
      <c r="G2677" s="8"/>
      <c r="H2677" s="9">
        <f t="shared" si="1400"/>
        <v>0</v>
      </c>
      <c r="I2677" s="8"/>
      <c r="J2677" s="8"/>
      <c r="K2677" s="8"/>
      <c r="L2677" s="9"/>
      <c r="M2677" s="9">
        <f t="shared" si="1401"/>
        <v>0</v>
      </c>
      <c r="N2677" s="9">
        <v>2098664.59</v>
      </c>
      <c r="O2677" s="8"/>
      <c r="P2677" s="9">
        <f t="shared" si="1402"/>
        <v>2098664.59</v>
      </c>
      <c r="Q2677" s="8"/>
      <c r="R2677" s="8"/>
      <c r="S2677" s="8"/>
      <c r="T2677" s="9"/>
      <c r="U2677" s="9">
        <f t="shared" si="1403"/>
        <v>2098664.59</v>
      </c>
      <c r="V2677" s="9">
        <f t="shared" si="1404"/>
        <v>2098664.59</v>
      </c>
      <c r="W2677" s="9">
        <f t="shared" si="1405"/>
        <v>0</v>
      </c>
      <c r="X2677" s="9">
        <f t="shared" si="1406"/>
        <v>2098664.59</v>
      </c>
      <c r="Y2677" s="8"/>
      <c r="Z2677" s="9">
        <f t="shared" si="1407"/>
        <v>0</v>
      </c>
      <c r="AA2677" s="8">
        <f t="shared" si="1408"/>
        <v>2098664.59</v>
      </c>
      <c r="AB2677" s="8">
        <f t="shared" si="1409"/>
        <v>0</v>
      </c>
    </row>
    <row r="2678" spans="1:28" x14ac:dyDescent="0.3">
      <c r="A2678" s="64"/>
      <c r="B2678" s="8"/>
      <c r="C2678" s="7" t="s">
        <v>147</v>
      </c>
      <c r="D2678" s="15" t="s">
        <v>85</v>
      </c>
      <c r="E2678" s="9">
        <v>272730</v>
      </c>
      <c r="F2678" s="9">
        <v>0</v>
      </c>
      <c r="G2678" s="8"/>
      <c r="H2678" s="9">
        <f t="shared" si="1400"/>
        <v>0</v>
      </c>
      <c r="I2678" s="8"/>
      <c r="J2678" s="8"/>
      <c r="K2678" s="8"/>
      <c r="L2678" s="9"/>
      <c r="M2678" s="9">
        <f t="shared" si="1401"/>
        <v>0</v>
      </c>
      <c r="N2678" s="9">
        <v>272730</v>
      </c>
      <c r="O2678" s="8"/>
      <c r="P2678" s="9">
        <f t="shared" si="1402"/>
        <v>272730</v>
      </c>
      <c r="Q2678" s="9"/>
      <c r="R2678" s="8"/>
      <c r="S2678" s="9"/>
      <c r="T2678" s="9"/>
      <c r="U2678" s="9">
        <f t="shared" si="1403"/>
        <v>272730</v>
      </c>
      <c r="V2678" s="9">
        <f t="shared" si="1404"/>
        <v>272730</v>
      </c>
      <c r="W2678" s="9">
        <f t="shared" si="1405"/>
        <v>0</v>
      </c>
      <c r="X2678" s="9">
        <f t="shared" si="1406"/>
        <v>272730</v>
      </c>
      <c r="Y2678" s="8"/>
      <c r="Z2678" s="9">
        <f t="shared" si="1407"/>
        <v>0</v>
      </c>
      <c r="AA2678" s="8">
        <f t="shared" si="1408"/>
        <v>272730</v>
      </c>
      <c r="AB2678" s="8">
        <f t="shared" si="1409"/>
        <v>0</v>
      </c>
    </row>
    <row r="2679" spans="1:28" x14ac:dyDescent="0.3">
      <c r="A2679" s="64"/>
      <c r="B2679" s="8"/>
      <c r="C2679" s="14" t="s">
        <v>109</v>
      </c>
      <c r="D2679" s="21" t="s">
        <v>60</v>
      </c>
      <c r="E2679" s="9">
        <v>5000000</v>
      </c>
      <c r="F2679" s="11">
        <v>5000000</v>
      </c>
      <c r="G2679" s="8"/>
      <c r="H2679" s="9">
        <f t="shared" si="1400"/>
        <v>5000000</v>
      </c>
      <c r="I2679" s="8"/>
      <c r="J2679" s="8"/>
      <c r="K2679" s="8"/>
      <c r="L2679" s="9"/>
      <c r="M2679" s="9">
        <f t="shared" si="1401"/>
        <v>5000000</v>
      </c>
      <c r="N2679" s="9">
        <v>0</v>
      </c>
      <c r="O2679" s="8"/>
      <c r="P2679" s="9">
        <f t="shared" si="1402"/>
        <v>0</v>
      </c>
      <c r="Q2679" s="8"/>
      <c r="R2679" s="8"/>
      <c r="S2679" s="8"/>
      <c r="T2679" s="9"/>
      <c r="U2679" s="9">
        <f t="shared" si="1403"/>
        <v>0</v>
      </c>
      <c r="V2679" s="9">
        <f t="shared" si="1404"/>
        <v>5000000</v>
      </c>
      <c r="W2679" s="9">
        <f t="shared" si="1405"/>
        <v>0</v>
      </c>
      <c r="X2679" s="9">
        <f t="shared" si="1406"/>
        <v>5000000</v>
      </c>
      <c r="Y2679" s="8"/>
      <c r="Z2679" s="9">
        <f t="shared" si="1407"/>
        <v>0</v>
      </c>
      <c r="AA2679" s="8">
        <f t="shared" si="1408"/>
        <v>5000000</v>
      </c>
      <c r="AB2679" s="8">
        <f t="shared" si="1409"/>
        <v>0</v>
      </c>
    </row>
    <row r="2680" spans="1:28" x14ac:dyDescent="0.3">
      <c r="A2680" s="64"/>
      <c r="B2680" s="8"/>
      <c r="C2680" s="14" t="s">
        <v>930</v>
      </c>
      <c r="D2680" s="24" t="s">
        <v>1072</v>
      </c>
      <c r="E2680" s="9">
        <f>960000+284255.35+432991.83</f>
        <v>1677247.1800000002</v>
      </c>
      <c r="F2680" s="11">
        <f>960000+284255.35+432991.83</f>
        <v>1677247.1800000002</v>
      </c>
      <c r="G2680" s="8"/>
      <c r="H2680" s="9">
        <f t="shared" ref="H2680:H2686" si="1410">+F2680+G2680</f>
        <v>1677247.1800000002</v>
      </c>
      <c r="I2680" s="8"/>
      <c r="J2680" s="8"/>
      <c r="K2680" s="8"/>
      <c r="L2680" s="9"/>
      <c r="M2680" s="9">
        <f t="shared" ref="M2680:M2686" si="1411">+H2680+L2680</f>
        <v>1677247.1800000002</v>
      </c>
      <c r="N2680" s="9">
        <v>0</v>
      </c>
      <c r="O2680" s="8"/>
      <c r="P2680" s="9">
        <f t="shared" ref="P2680:P2686" si="1412">+N2680+O2680</f>
        <v>0</v>
      </c>
      <c r="Q2680" s="8"/>
      <c r="R2680" s="8"/>
      <c r="S2680" s="8"/>
      <c r="T2680" s="9"/>
      <c r="U2680" s="9">
        <f>P2680+T2680</f>
        <v>0</v>
      </c>
      <c r="V2680" s="9">
        <f>P2680+H2680</f>
        <v>1677247.1800000002</v>
      </c>
      <c r="W2680" s="9">
        <f>E2680-V2680</f>
        <v>0</v>
      </c>
      <c r="X2680" s="9">
        <f t="shared" si="1406"/>
        <v>1677247.1800000002</v>
      </c>
      <c r="Y2680" s="8"/>
      <c r="Z2680" s="9">
        <f t="shared" si="1407"/>
        <v>0</v>
      </c>
      <c r="AA2680" s="8">
        <f t="shared" si="1408"/>
        <v>1677247.1800000002</v>
      </c>
      <c r="AB2680" s="8">
        <f t="shared" si="1409"/>
        <v>0</v>
      </c>
    </row>
    <row r="2681" spans="1:28" x14ac:dyDescent="0.3">
      <c r="A2681" s="64"/>
      <c r="B2681" s="8"/>
      <c r="C2681" s="14" t="s">
        <v>1146</v>
      </c>
      <c r="D2681" s="24" t="s">
        <v>1072</v>
      </c>
      <c r="E2681" s="9">
        <v>2146067.7000000002</v>
      </c>
      <c r="F2681" s="11">
        <v>2146067.7000000002</v>
      </c>
      <c r="G2681" s="8"/>
      <c r="H2681" s="9">
        <f t="shared" si="1410"/>
        <v>2146067.7000000002</v>
      </c>
      <c r="I2681" s="8"/>
      <c r="J2681" s="8"/>
      <c r="K2681" s="8"/>
      <c r="L2681" s="9"/>
      <c r="M2681" s="9">
        <f t="shared" si="1411"/>
        <v>2146067.7000000002</v>
      </c>
      <c r="N2681" s="9">
        <v>0</v>
      </c>
      <c r="O2681" s="8"/>
      <c r="P2681" s="9">
        <f t="shared" si="1412"/>
        <v>0</v>
      </c>
      <c r="Q2681" s="8"/>
      <c r="R2681" s="8"/>
      <c r="S2681" s="8"/>
      <c r="T2681" s="9"/>
      <c r="U2681" s="9">
        <f>P2681+T2681</f>
        <v>0</v>
      </c>
      <c r="V2681" s="9">
        <f>P2681+H2681</f>
        <v>2146067.7000000002</v>
      </c>
      <c r="W2681" s="9"/>
      <c r="X2681" s="9">
        <f t="shared" si="1406"/>
        <v>2146067.7000000002</v>
      </c>
      <c r="Y2681" s="8"/>
      <c r="Z2681" s="9">
        <f t="shared" si="1407"/>
        <v>0</v>
      </c>
      <c r="AA2681" s="8">
        <f t="shared" si="1408"/>
        <v>2146067.7000000002</v>
      </c>
      <c r="AB2681" s="8">
        <f t="shared" si="1409"/>
        <v>0</v>
      </c>
    </row>
    <row r="2682" spans="1:28" x14ac:dyDescent="0.3">
      <c r="A2682" s="64"/>
      <c r="B2682" s="8"/>
      <c r="C2682" s="14" t="s">
        <v>1106</v>
      </c>
      <c r="D2682" s="24" t="s">
        <v>1072</v>
      </c>
      <c r="E2682" s="9">
        <f>4266774.16+1938317.88</f>
        <v>6205092.04</v>
      </c>
      <c r="F2682" s="11">
        <v>6205092.04</v>
      </c>
      <c r="G2682" s="8"/>
      <c r="H2682" s="9">
        <f t="shared" si="1410"/>
        <v>6205092.04</v>
      </c>
      <c r="I2682" s="8"/>
      <c r="J2682" s="8"/>
      <c r="K2682" s="8"/>
      <c r="L2682" s="9"/>
      <c r="M2682" s="9">
        <f t="shared" si="1411"/>
        <v>6205092.04</v>
      </c>
      <c r="N2682" s="9">
        <v>0</v>
      </c>
      <c r="O2682" s="8"/>
      <c r="P2682" s="9">
        <f t="shared" si="1412"/>
        <v>0</v>
      </c>
      <c r="Q2682" s="8"/>
      <c r="R2682" s="8"/>
      <c r="S2682" s="8"/>
      <c r="T2682" s="9"/>
      <c r="U2682" s="9">
        <f>P2682+T2682</f>
        <v>0</v>
      </c>
      <c r="V2682" s="9">
        <f>P2682+H2682</f>
        <v>6205092.04</v>
      </c>
      <c r="W2682" s="9">
        <f>E2682-V2682</f>
        <v>0</v>
      </c>
      <c r="X2682" s="9">
        <f t="shared" si="1406"/>
        <v>6205092.04</v>
      </c>
      <c r="Y2682" s="8"/>
      <c r="Z2682" s="9">
        <f t="shared" si="1407"/>
        <v>0</v>
      </c>
      <c r="AA2682" s="8">
        <f t="shared" si="1408"/>
        <v>6205092.04</v>
      </c>
      <c r="AB2682" s="8">
        <f t="shared" si="1409"/>
        <v>0</v>
      </c>
    </row>
    <row r="2683" spans="1:28" x14ac:dyDescent="0.3">
      <c r="A2683" s="64"/>
      <c r="B2683" s="8"/>
      <c r="C2683" s="80" t="s">
        <v>1233</v>
      </c>
      <c r="D2683" s="24" t="s">
        <v>1225</v>
      </c>
      <c r="E2683" s="9">
        <v>472220.02</v>
      </c>
      <c r="F2683" s="11">
        <v>472220.02</v>
      </c>
      <c r="G2683" s="8"/>
      <c r="H2683" s="9">
        <f t="shared" si="1410"/>
        <v>472220.02</v>
      </c>
      <c r="I2683" s="8"/>
      <c r="J2683" s="8"/>
      <c r="K2683" s="8"/>
      <c r="L2683" s="9"/>
      <c r="M2683" s="9">
        <f t="shared" si="1411"/>
        <v>472220.02</v>
      </c>
      <c r="N2683" s="9">
        <v>0</v>
      </c>
      <c r="O2683" s="8"/>
      <c r="P2683" s="9">
        <f t="shared" si="1412"/>
        <v>0</v>
      </c>
      <c r="Q2683" s="8"/>
      <c r="R2683" s="8"/>
      <c r="S2683" s="8"/>
      <c r="T2683" s="9"/>
      <c r="U2683" s="9">
        <f>+P2683+T2683</f>
        <v>0</v>
      </c>
      <c r="V2683" s="9"/>
      <c r="W2683" s="9"/>
      <c r="X2683" s="9">
        <f>+H2683+P2683</f>
        <v>472220.02</v>
      </c>
      <c r="Y2683" s="8"/>
      <c r="Z2683" s="9">
        <f>+E2683-X2683</f>
        <v>0</v>
      </c>
      <c r="AA2683" s="8">
        <f>+M2683+U2683</f>
        <v>472220.02</v>
      </c>
      <c r="AB2683" s="8">
        <f>+E2683-AA2683</f>
        <v>0</v>
      </c>
    </row>
    <row r="2684" spans="1:28" x14ac:dyDescent="0.3">
      <c r="A2684" s="64"/>
      <c r="B2684" s="8"/>
      <c r="C2684" s="80" t="s">
        <v>1247</v>
      </c>
      <c r="D2684" s="24" t="s">
        <v>1225</v>
      </c>
      <c r="E2684" s="9">
        <v>300000</v>
      </c>
      <c r="F2684" s="11">
        <v>300000</v>
      </c>
      <c r="G2684" s="8"/>
      <c r="H2684" s="9">
        <f>+F2684+G2684</f>
        <v>300000</v>
      </c>
      <c r="I2684" s="8"/>
      <c r="J2684" s="8"/>
      <c r="K2684" s="8"/>
      <c r="L2684" s="9"/>
      <c r="M2684" s="9">
        <f t="shared" si="1411"/>
        <v>300000</v>
      </c>
      <c r="N2684" s="9">
        <v>0</v>
      </c>
      <c r="O2684" s="8"/>
      <c r="P2684" s="9">
        <f t="shared" si="1412"/>
        <v>0</v>
      </c>
      <c r="Q2684" s="8"/>
      <c r="R2684" s="8"/>
      <c r="S2684" s="8"/>
      <c r="T2684" s="9"/>
      <c r="U2684" s="9">
        <f>+P2684+T2684</f>
        <v>0</v>
      </c>
      <c r="V2684" s="9"/>
      <c r="W2684" s="9"/>
      <c r="X2684" s="9">
        <f>+H2684+P2684</f>
        <v>300000</v>
      </c>
      <c r="Y2684" s="8"/>
      <c r="Z2684" s="9">
        <f>+E2684-X2684</f>
        <v>0</v>
      </c>
      <c r="AA2684" s="8">
        <f>+M2684+U2684</f>
        <v>300000</v>
      </c>
      <c r="AB2684" s="8">
        <f>+E2684-AA2684</f>
        <v>0</v>
      </c>
    </row>
    <row r="2685" spans="1:28" x14ac:dyDescent="0.3">
      <c r="A2685" s="64"/>
      <c r="B2685" s="8"/>
      <c r="C2685" s="14" t="s">
        <v>1176</v>
      </c>
      <c r="D2685" s="24" t="s">
        <v>1126</v>
      </c>
      <c r="E2685" s="9">
        <v>2273898.7999999998</v>
      </c>
      <c r="F2685" s="8">
        <v>2273898.7999999998</v>
      </c>
      <c r="G2685" s="8"/>
      <c r="H2685" s="9">
        <f t="shared" si="1410"/>
        <v>2273898.7999999998</v>
      </c>
      <c r="I2685" s="8"/>
      <c r="J2685" s="8"/>
      <c r="K2685" s="8"/>
      <c r="L2685" s="9"/>
      <c r="M2685" s="9">
        <f t="shared" si="1411"/>
        <v>2273898.7999999998</v>
      </c>
      <c r="N2685" s="9">
        <v>0</v>
      </c>
      <c r="O2685" s="8"/>
      <c r="P2685" s="9">
        <f t="shared" si="1412"/>
        <v>0</v>
      </c>
      <c r="Q2685" s="8"/>
      <c r="R2685" s="8"/>
      <c r="S2685" s="8"/>
      <c r="T2685" s="9"/>
      <c r="U2685" s="9">
        <f>P2685+T2685</f>
        <v>0</v>
      </c>
      <c r="V2685" s="9">
        <f>P2685+H2685</f>
        <v>2273898.7999999998</v>
      </c>
      <c r="W2685" s="9"/>
      <c r="X2685" s="9">
        <f t="shared" si="1406"/>
        <v>2273898.7999999998</v>
      </c>
      <c r="Y2685" s="8"/>
      <c r="Z2685" s="9">
        <f t="shared" si="1407"/>
        <v>0</v>
      </c>
      <c r="AA2685" s="8">
        <f t="shared" si="1408"/>
        <v>2273898.7999999998</v>
      </c>
      <c r="AB2685" s="8">
        <f t="shared" si="1409"/>
        <v>0</v>
      </c>
    </row>
    <row r="2686" spans="1:28" x14ac:dyDescent="0.3">
      <c r="A2686" s="64"/>
      <c r="B2686" s="8"/>
      <c r="C2686" s="14" t="s">
        <v>1194</v>
      </c>
      <c r="D2686" s="24" t="s">
        <v>1126</v>
      </c>
      <c r="E2686" s="9">
        <v>786357.51</v>
      </c>
      <c r="F2686" s="8">
        <v>786357.51</v>
      </c>
      <c r="G2686" s="8"/>
      <c r="H2686" s="9">
        <f t="shared" si="1410"/>
        <v>786357.51</v>
      </c>
      <c r="I2686" s="8"/>
      <c r="J2686" s="8"/>
      <c r="K2686" s="8"/>
      <c r="L2686" s="9"/>
      <c r="M2686" s="9">
        <f t="shared" si="1411"/>
        <v>786357.51</v>
      </c>
      <c r="N2686" s="9">
        <v>0</v>
      </c>
      <c r="O2686" s="8"/>
      <c r="P2686" s="9">
        <f t="shared" si="1412"/>
        <v>0</v>
      </c>
      <c r="Q2686" s="8"/>
      <c r="R2686" s="8"/>
      <c r="S2686" s="8"/>
      <c r="T2686" s="9"/>
      <c r="U2686" s="9">
        <f>P2686+T2686</f>
        <v>0</v>
      </c>
      <c r="V2686" s="9">
        <f>P2686+H2686</f>
        <v>786357.51</v>
      </c>
      <c r="W2686" s="9"/>
      <c r="X2686" s="9">
        <f t="shared" si="1406"/>
        <v>786357.51</v>
      </c>
      <c r="Y2686" s="8"/>
      <c r="Z2686" s="9">
        <f t="shared" si="1407"/>
        <v>0</v>
      </c>
      <c r="AA2686" s="8">
        <f t="shared" si="1408"/>
        <v>786357.51</v>
      </c>
      <c r="AB2686" s="8">
        <f t="shared" si="1409"/>
        <v>0</v>
      </c>
    </row>
    <row r="2687" spans="1:28" x14ac:dyDescent="0.3">
      <c r="A2687" s="64"/>
      <c r="B2687" s="8"/>
      <c r="C2687" s="14" t="s">
        <v>57</v>
      </c>
      <c r="D2687" s="21" t="s">
        <v>60</v>
      </c>
      <c r="E2687" s="9">
        <v>1900000</v>
      </c>
      <c r="F2687" s="11">
        <v>1900000</v>
      </c>
      <c r="G2687" s="8"/>
      <c r="H2687" s="9">
        <f t="shared" si="1400"/>
        <v>1900000</v>
      </c>
      <c r="I2687" s="8"/>
      <c r="J2687" s="8"/>
      <c r="K2687" s="8"/>
      <c r="L2687" s="9"/>
      <c r="M2687" s="9">
        <f t="shared" si="1401"/>
        <v>1900000</v>
      </c>
      <c r="N2687" s="9">
        <v>0</v>
      </c>
      <c r="O2687" s="8"/>
      <c r="P2687" s="9">
        <f t="shared" si="1402"/>
        <v>0</v>
      </c>
      <c r="Q2687" s="8"/>
      <c r="R2687" s="8"/>
      <c r="S2687" s="8"/>
      <c r="T2687" s="9"/>
      <c r="U2687" s="9">
        <f t="shared" si="1403"/>
        <v>0</v>
      </c>
      <c r="V2687" s="9">
        <f t="shared" si="1404"/>
        <v>1900000</v>
      </c>
      <c r="W2687" s="9">
        <f t="shared" si="1405"/>
        <v>0</v>
      </c>
      <c r="X2687" s="9">
        <f t="shared" si="1406"/>
        <v>1900000</v>
      </c>
      <c r="Y2687" s="8"/>
      <c r="Z2687" s="9">
        <f t="shared" si="1407"/>
        <v>0</v>
      </c>
      <c r="AA2687" s="8">
        <f t="shared" si="1408"/>
        <v>1900000</v>
      </c>
      <c r="AB2687" s="8">
        <f t="shared" si="1409"/>
        <v>0</v>
      </c>
    </row>
    <row r="2688" spans="1:28" x14ac:dyDescent="0.3">
      <c r="A2688" s="64"/>
      <c r="B2688" s="8"/>
      <c r="C2688" s="14" t="s">
        <v>57</v>
      </c>
      <c r="D2688" s="21" t="s">
        <v>73</v>
      </c>
      <c r="E2688" s="9">
        <f>2087963+654056</f>
        <v>2742019</v>
      </c>
      <c r="F2688" s="11">
        <f>2087963+654056</f>
        <v>2742019</v>
      </c>
      <c r="G2688" s="8"/>
      <c r="H2688" s="9">
        <f t="shared" si="1400"/>
        <v>2742019</v>
      </c>
      <c r="I2688" s="8"/>
      <c r="J2688" s="8"/>
      <c r="K2688" s="8"/>
      <c r="L2688" s="9"/>
      <c r="M2688" s="9">
        <f t="shared" si="1401"/>
        <v>2742019</v>
      </c>
      <c r="N2688" s="9">
        <v>0</v>
      </c>
      <c r="O2688" s="8"/>
      <c r="P2688" s="9">
        <f t="shared" si="1402"/>
        <v>0</v>
      </c>
      <c r="Q2688" s="8"/>
      <c r="R2688" s="8"/>
      <c r="S2688" s="8"/>
      <c r="T2688" s="9"/>
      <c r="U2688" s="9">
        <f t="shared" si="1403"/>
        <v>0</v>
      </c>
      <c r="V2688" s="9">
        <f t="shared" si="1404"/>
        <v>2742019</v>
      </c>
      <c r="W2688" s="9">
        <f t="shared" si="1405"/>
        <v>0</v>
      </c>
      <c r="X2688" s="9">
        <f t="shared" si="1406"/>
        <v>2742019</v>
      </c>
      <c r="Y2688" s="8"/>
      <c r="Z2688" s="9">
        <f t="shared" si="1407"/>
        <v>0</v>
      </c>
      <c r="AA2688" s="8">
        <f t="shared" si="1408"/>
        <v>2742019</v>
      </c>
      <c r="AB2688" s="8">
        <f t="shared" si="1409"/>
        <v>0</v>
      </c>
    </row>
    <row r="2689" spans="1:28" x14ac:dyDescent="0.3">
      <c r="A2689" s="64"/>
      <c r="B2689" s="8"/>
      <c r="C2689" s="14" t="s">
        <v>57</v>
      </c>
      <c r="D2689" s="21" t="s">
        <v>61</v>
      </c>
      <c r="E2689" s="9">
        <v>1000000</v>
      </c>
      <c r="F2689" s="11">
        <v>1000000</v>
      </c>
      <c r="G2689" s="11"/>
      <c r="H2689" s="9">
        <f t="shared" si="1400"/>
        <v>1000000</v>
      </c>
      <c r="I2689" s="8"/>
      <c r="J2689" s="8"/>
      <c r="K2689" s="8"/>
      <c r="L2689" s="9"/>
      <c r="M2689" s="9">
        <f t="shared" si="1401"/>
        <v>1000000</v>
      </c>
      <c r="N2689" s="9">
        <v>0</v>
      </c>
      <c r="O2689" s="8"/>
      <c r="P2689" s="9">
        <f t="shared" si="1402"/>
        <v>0</v>
      </c>
      <c r="Q2689" s="8"/>
      <c r="R2689" s="8"/>
      <c r="S2689" s="8"/>
      <c r="T2689" s="9"/>
      <c r="U2689" s="9">
        <f t="shared" si="1403"/>
        <v>0</v>
      </c>
      <c r="V2689" s="9">
        <f t="shared" si="1404"/>
        <v>1000000</v>
      </c>
      <c r="W2689" s="9">
        <f t="shared" si="1405"/>
        <v>0</v>
      </c>
      <c r="X2689" s="9">
        <f t="shared" si="1406"/>
        <v>1000000</v>
      </c>
      <c r="Y2689" s="8"/>
      <c r="Z2689" s="9">
        <f t="shared" si="1407"/>
        <v>0</v>
      </c>
      <c r="AA2689" s="8">
        <f t="shared" si="1408"/>
        <v>1000000</v>
      </c>
      <c r="AB2689" s="8">
        <f t="shared" si="1409"/>
        <v>0</v>
      </c>
    </row>
    <row r="2690" spans="1:28" x14ac:dyDescent="0.3">
      <c r="A2690" s="64"/>
      <c r="B2690" s="8"/>
      <c r="C2690" s="8"/>
      <c r="D2690" s="8"/>
      <c r="E2690" s="17" t="s">
        <v>29</v>
      </c>
      <c r="F2690" s="17" t="s">
        <v>29</v>
      </c>
      <c r="G2690" s="17" t="s">
        <v>29</v>
      </c>
      <c r="H2690" s="17" t="s">
        <v>29</v>
      </c>
      <c r="I2690" s="17" t="s">
        <v>29</v>
      </c>
      <c r="J2690" s="17" t="s">
        <v>29</v>
      </c>
      <c r="K2690" s="17" t="s">
        <v>29</v>
      </c>
      <c r="L2690" s="17" t="s">
        <v>29</v>
      </c>
      <c r="M2690" s="17" t="s">
        <v>29</v>
      </c>
      <c r="N2690" s="17" t="s">
        <v>29</v>
      </c>
      <c r="O2690" s="17" t="s">
        <v>29</v>
      </c>
      <c r="P2690" s="17" t="s">
        <v>29</v>
      </c>
      <c r="Q2690" s="17" t="s">
        <v>29</v>
      </c>
      <c r="R2690" s="17" t="s">
        <v>29</v>
      </c>
      <c r="S2690" s="17" t="s">
        <v>29</v>
      </c>
      <c r="T2690" s="17" t="s">
        <v>29</v>
      </c>
      <c r="U2690" s="17" t="s">
        <v>29</v>
      </c>
      <c r="V2690" s="17" t="s">
        <v>29</v>
      </c>
      <c r="W2690" s="17" t="s">
        <v>29</v>
      </c>
      <c r="X2690" s="17" t="s">
        <v>29</v>
      </c>
      <c r="Y2690" s="17" t="s">
        <v>29</v>
      </c>
      <c r="Z2690" s="17" t="s">
        <v>29</v>
      </c>
      <c r="AA2690" s="17" t="s">
        <v>29</v>
      </c>
      <c r="AB2690" s="17" t="s">
        <v>29</v>
      </c>
    </row>
    <row r="2691" spans="1:28" x14ac:dyDescent="0.3">
      <c r="A2691" s="64"/>
      <c r="B2691" s="8"/>
      <c r="C2691" s="8"/>
      <c r="D2691" s="8"/>
      <c r="E2691" s="9">
        <f t="shared" ref="E2691:AB2691" si="1413">SUM(E2673:E2689)</f>
        <v>39881823.600000001</v>
      </c>
      <c r="F2691" s="9">
        <f t="shared" si="1413"/>
        <v>35177969.25</v>
      </c>
      <c r="G2691" s="9">
        <f t="shared" si="1413"/>
        <v>0</v>
      </c>
      <c r="H2691" s="9">
        <f t="shared" si="1413"/>
        <v>35177969.25</v>
      </c>
      <c r="I2691" s="9">
        <f t="shared" si="1413"/>
        <v>0</v>
      </c>
      <c r="J2691" s="9">
        <f t="shared" si="1413"/>
        <v>0</v>
      </c>
      <c r="K2691" s="9">
        <f t="shared" si="1413"/>
        <v>0</v>
      </c>
      <c r="L2691" s="9">
        <f t="shared" si="1413"/>
        <v>0</v>
      </c>
      <c r="M2691" s="9">
        <f t="shared" si="1413"/>
        <v>35177969.25</v>
      </c>
      <c r="N2691" s="9">
        <f t="shared" si="1413"/>
        <v>4703854.3499999996</v>
      </c>
      <c r="O2691" s="9">
        <f t="shared" si="1413"/>
        <v>0</v>
      </c>
      <c r="P2691" s="9">
        <f t="shared" si="1413"/>
        <v>4703854.3499999996</v>
      </c>
      <c r="Q2691" s="9">
        <f t="shared" si="1413"/>
        <v>0</v>
      </c>
      <c r="R2691" s="9">
        <f t="shared" si="1413"/>
        <v>0</v>
      </c>
      <c r="S2691" s="9">
        <f t="shared" si="1413"/>
        <v>0</v>
      </c>
      <c r="T2691" s="9">
        <f t="shared" si="1413"/>
        <v>0</v>
      </c>
      <c r="U2691" s="9">
        <f t="shared" si="1413"/>
        <v>4703854.3499999996</v>
      </c>
      <c r="V2691" s="9">
        <f t="shared" si="1413"/>
        <v>39109603.579999998</v>
      </c>
      <c r="W2691" s="9">
        <f t="shared" si="1413"/>
        <v>0</v>
      </c>
      <c r="X2691" s="9">
        <f t="shared" si="1413"/>
        <v>39881823.600000001</v>
      </c>
      <c r="Y2691" s="9">
        <f t="shared" si="1413"/>
        <v>0</v>
      </c>
      <c r="Z2691" s="9">
        <f t="shared" si="1413"/>
        <v>0</v>
      </c>
      <c r="AA2691" s="9">
        <f t="shared" si="1413"/>
        <v>39881823.600000001</v>
      </c>
      <c r="AB2691" s="9">
        <f t="shared" si="1413"/>
        <v>0</v>
      </c>
    </row>
    <row r="2692" spans="1:28" x14ac:dyDescent="0.3">
      <c r="A2692" s="64"/>
      <c r="B2692" s="8"/>
      <c r="C2692" s="8"/>
      <c r="D2692" s="8"/>
      <c r="E2692" s="17" t="s">
        <v>29</v>
      </c>
      <c r="F2692" s="17" t="s">
        <v>29</v>
      </c>
      <c r="G2692" s="17" t="s">
        <v>29</v>
      </c>
      <c r="H2692" s="17" t="s">
        <v>29</v>
      </c>
      <c r="I2692" s="17" t="s">
        <v>29</v>
      </c>
      <c r="J2692" s="17" t="s">
        <v>29</v>
      </c>
      <c r="K2692" s="17" t="s">
        <v>29</v>
      </c>
      <c r="L2692" s="17" t="s">
        <v>29</v>
      </c>
      <c r="M2692" s="17" t="s">
        <v>29</v>
      </c>
      <c r="N2692" s="17" t="s">
        <v>29</v>
      </c>
      <c r="O2692" s="17" t="s">
        <v>29</v>
      </c>
      <c r="P2692" s="17" t="s">
        <v>29</v>
      </c>
      <c r="Q2692" s="17" t="s">
        <v>29</v>
      </c>
      <c r="R2692" s="17" t="s">
        <v>29</v>
      </c>
      <c r="S2692" s="17" t="s">
        <v>29</v>
      </c>
      <c r="T2692" s="17" t="s">
        <v>29</v>
      </c>
      <c r="U2692" s="17" t="s">
        <v>29</v>
      </c>
      <c r="V2692" s="17" t="s">
        <v>29</v>
      </c>
      <c r="W2692" s="17" t="s">
        <v>29</v>
      </c>
      <c r="X2692" s="17" t="s">
        <v>29</v>
      </c>
      <c r="Y2692" s="17" t="s">
        <v>29</v>
      </c>
      <c r="Z2692" s="17" t="s">
        <v>29</v>
      </c>
      <c r="AA2692" s="17" t="s">
        <v>29</v>
      </c>
      <c r="AB2692" s="17" t="s">
        <v>29</v>
      </c>
    </row>
    <row r="2693" spans="1:28" x14ac:dyDescent="0.3">
      <c r="A2693" s="63" t="s">
        <v>1054</v>
      </c>
      <c r="B2693" s="7" t="s">
        <v>470</v>
      </c>
      <c r="C2693" s="8"/>
      <c r="D2693" s="8"/>
      <c r="E2693" s="8"/>
      <c r="F2693" s="8"/>
      <c r="G2693" s="8"/>
      <c r="H2693" s="8"/>
      <c r="I2693" s="8"/>
      <c r="J2693" s="8"/>
      <c r="K2693" s="8"/>
      <c r="L2693" s="8"/>
      <c r="M2693" s="8"/>
      <c r="N2693" s="8"/>
      <c r="O2693" s="8"/>
      <c r="P2693" s="8"/>
      <c r="Q2693" s="8"/>
      <c r="R2693" s="8"/>
      <c r="S2693" s="8"/>
      <c r="T2693" s="8"/>
      <c r="U2693" s="8"/>
      <c r="V2693" s="8"/>
      <c r="W2693" s="8"/>
      <c r="X2693" s="8"/>
      <c r="Y2693" s="8"/>
      <c r="Z2693" s="8"/>
    </row>
    <row r="2694" spans="1:28" x14ac:dyDescent="0.3">
      <c r="A2694" s="64"/>
      <c r="B2694" s="8"/>
      <c r="C2694" s="7" t="s">
        <v>57</v>
      </c>
      <c r="D2694" s="15" t="s">
        <v>68</v>
      </c>
      <c r="E2694" s="9">
        <v>405520.99</v>
      </c>
      <c r="F2694" s="9">
        <v>284204</v>
      </c>
      <c r="G2694" s="8"/>
      <c r="H2694" s="9">
        <f t="shared" ref="H2694:H2703" si="1414">F2694+G2694</f>
        <v>284204</v>
      </c>
      <c r="I2694" s="8"/>
      <c r="J2694" s="8"/>
      <c r="K2694" s="8"/>
      <c r="L2694" s="9"/>
      <c r="M2694" s="9">
        <f t="shared" ref="M2694:M2703" si="1415">H2694+L2694</f>
        <v>284204</v>
      </c>
      <c r="N2694" s="9">
        <v>121316.99</v>
      </c>
      <c r="O2694" s="8"/>
      <c r="P2694" s="9">
        <f t="shared" ref="P2694:P2703" si="1416">N2694+O2694</f>
        <v>121316.99</v>
      </c>
      <c r="Q2694" s="8"/>
      <c r="R2694" s="8"/>
      <c r="S2694" s="8"/>
      <c r="T2694" s="9"/>
      <c r="U2694" s="9">
        <f t="shared" ref="U2694:U2703" si="1417">P2694+T2694</f>
        <v>121316.99</v>
      </c>
      <c r="V2694" s="9">
        <f t="shared" ref="V2694:V2703" si="1418">P2694+H2694</f>
        <v>405520.99</v>
      </c>
      <c r="W2694" s="9">
        <f t="shared" ref="W2694:W2703" si="1419">E2694-V2694</f>
        <v>0</v>
      </c>
      <c r="X2694" s="9">
        <f t="shared" ref="X2694:X2710" si="1420">+H2694+P2694</f>
        <v>405520.99</v>
      </c>
      <c r="Y2694" s="8"/>
      <c r="Z2694" s="9">
        <f t="shared" ref="Z2694:Z2710" si="1421">+E2694-X2694</f>
        <v>0</v>
      </c>
      <c r="AA2694" s="8">
        <f t="shared" ref="AA2694:AA2710" si="1422">+M2694+U2694</f>
        <v>405520.99</v>
      </c>
      <c r="AB2694" s="8">
        <f t="shared" ref="AB2694:AB2710" si="1423">+E2694-AA2694</f>
        <v>0</v>
      </c>
    </row>
    <row r="2695" spans="1:28" x14ac:dyDescent="0.3">
      <c r="A2695" s="64"/>
      <c r="B2695" s="8"/>
      <c r="C2695" s="7" t="s">
        <v>53</v>
      </c>
      <c r="D2695" s="15" t="s">
        <v>68</v>
      </c>
      <c r="E2695" s="9">
        <v>1953989</v>
      </c>
      <c r="F2695" s="9">
        <v>0</v>
      </c>
      <c r="G2695" s="8"/>
      <c r="H2695" s="9">
        <f t="shared" si="1414"/>
        <v>0</v>
      </c>
      <c r="I2695" s="8"/>
      <c r="J2695" s="8"/>
      <c r="K2695" s="8"/>
      <c r="L2695" s="9"/>
      <c r="M2695" s="9">
        <f t="shared" si="1415"/>
        <v>0</v>
      </c>
      <c r="N2695" s="9">
        <v>1953989</v>
      </c>
      <c r="O2695" s="8"/>
      <c r="P2695" s="9">
        <f t="shared" si="1416"/>
        <v>1953989</v>
      </c>
      <c r="Q2695" s="8"/>
      <c r="R2695" s="8"/>
      <c r="S2695" s="8"/>
      <c r="T2695" s="9"/>
      <c r="U2695" s="9">
        <f t="shared" si="1417"/>
        <v>1953989</v>
      </c>
      <c r="V2695" s="9">
        <f t="shared" si="1418"/>
        <v>1953989</v>
      </c>
      <c r="W2695" s="9">
        <f t="shared" si="1419"/>
        <v>0</v>
      </c>
      <c r="X2695" s="9">
        <f t="shared" si="1420"/>
        <v>1953989</v>
      </c>
      <c r="Y2695" s="8"/>
      <c r="Z2695" s="9">
        <f t="shared" si="1421"/>
        <v>0</v>
      </c>
      <c r="AA2695" s="8">
        <f t="shared" si="1422"/>
        <v>1953989</v>
      </c>
      <c r="AB2695" s="8">
        <f t="shared" si="1423"/>
        <v>0</v>
      </c>
    </row>
    <row r="2696" spans="1:28" x14ac:dyDescent="0.3">
      <c r="A2696" s="64"/>
      <c r="B2696" s="8"/>
      <c r="C2696" s="7" t="s">
        <v>55</v>
      </c>
      <c r="D2696" s="15" t="s">
        <v>207</v>
      </c>
      <c r="E2696" s="9">
        <v>7866601</v>
      </c>
      <c r="F2696" s="9">
        <v>0</v>
      </c>
      <c r="G2696" s="8"/>
      <c r="H2696" s="9">
        <f t="shared" si="1414"/>
        <v>0</v>
      </c>
      <c r="I2696" s="8"/>
      <c r="J2696" s="8"/>
      <c r="K2696" s="8"/>
      <c r="L2696" s="9"/>
      <c r="M2696" s="9">
        <f t="shared" si="1415"/>
        <v>0</v>
      </c>
      <c r="N2696" s="9">
        <v>7866601</v>
      </c>
      <c r="O2696" s="8"/>
      <c r="P2696" s="9">
        <f t="shared" si="1416"/>
        <v>7866601</v>
      </c>
      <c r="Q2696" s="8"/>
      <c r="R2696" s="8"/>
      <c r="S2696" s="8"/>
      <c r="T2696" s="9"/>
      <c r="U2696" s="9">
        <f t="shared" si="1417"/>
        <v>7866601</v>
      </c>
      <c r="V2696" s="9">
        <f t="shared" si="1418"/>
        <v>7866601</v>
      </c>
      <c r="W2696" s="9">
        <f t="shared" si="1419"/>
        <v>0</v>
      </c>
      <c r="X2696" s="9">
        <f t="shared" si="1420"/>
        <v>7866601</v>
      </c>
      <c r="Y2696" s="8"/>
      <c r="Z2696" s="9">
        <f t="shared" si="1421"/>
        <v>0</v>
      </c>
      <c r="AA2696" s="8">
        <f t="shared" si="1422"/>
        <v>7866601</v>
      </c>
      <c r="AB2696" s="8">
        <f t="shared" si="1423"/>
        <v>0</v>
      </c>
    </row>
    <row r="2697" spans="1:28" x14ac:dyDescent="0.3">
      <c r="A2697" s="64"/>
      <c r="B2697" s="8"/>
      <c r="C2697" s="7" t="s">
        <v>69</v>
      </c>
      <c r="D2697" s="15" t="s">
        <v>54</v>
      </c>
      <c r="E2697" s="9">
        <v>955345.62</v>
      </c>
      <c r="F2697" s="9">
        <v>0</v>
      </c>
      <c r="G2697" s="8"/>
      <c r="H2697" s="9">
        <f t="shared" si="1414"/>
        <v>0</v>
      </c>
      <c r="I2697" s="8"/>
      <c r="J2697" s="8"/>
      <c r="K2697" s="8"/>
      <c r="L2697" s="9"/>
      <c r="M2697" s="9">
        <f t="shared" si="1415"/>
        <v>0</v>
      </c>
      <c r="N2697" s="9">
        <v>955345.62</v>
      </c>
      <c r="O2697" s="8"/>
      <c r="P2697" s="9">
        <f t="shared" si="1416"/>
        <v>955345.62</v>
      </c>
      <c r="Q2697" s="8"/>
      <c r="R2697" s="8"/>
      <c r="S2697" s="8"/>
      <c r="T2697" s="9"/>
      <c r="U2697" s="9">
        <f t="shared" si="1417"/>
        <v>955345.62</v>
      </c>
      <c r="V2697" s="9">
        <f t="shared" si="1418"/>
        <v>955345.62</v>
      </c>
      <c r="W2697" s="9">
        <f t="shared" si="1419"/>
        <v>0</v>
      </c>
      <c r="X2697" s="9">
        <f t="shared" si="1420"/>
        <v>955345.62</v>
      </c>
      <c r="Y2697" s="8"/>
      <c r="Z2697" s="9">
        <f t="shared" si="1421"/>
        <v>0</v>
      </c>
      <c r="AA2697" s="8">
        <f t="shared" si="1422"/>
        <v>955345.62</v>
      </c>
      <c r="AB2697" s="8">
        <f t="shared" si="1423"/>
        <v>0</v>
      </c>
    </row>
    <row r="2698" spans="1:28" x14ac:dyDescent="0.3">
      <c r="A2698" s="64"/>
      <c r="B2698" s="8"/>
      <c r="C2698" s="7" t="s">
        <v>57</v>
      </c>
      <c r="D2698" s="15" t="s">
        <v>85</v>
      </c>
      <c r="E2698" s="9">
        <v>1025100</v>
      </c>
      <c r="F2698" s="9">
        <v>1025100</v>
      </c>
      <c r="G2698" s="8"/>
      <c r="H2698" s="9">
        <f t="shared" si="1414"/>
        <v>1025100</v>
      </c>
      <c r="I2698" s="8"/>
      <c r="J2698" s="8"/>
      <c r="K2698" s="8"/>
      <c r="L2698" s="9"/>
      <c r="M2698" s="9">
        <f t="shared" si="1415"/>
        <v>1025100</v>
      </c>
      <c r="N2698" s="9">
        <v>0</v>
      </c>
      <c r="O2698" s="8"/>
      <c r="P2698" s="9">
        <f t="shared" si="1416"/>
        <v>0</v>
      </c>
      <c r="Q2698" s="8"/>
      <c r="R2698" s="8"/>
      <c r="S2698" s="8"/>
      <c r="T2698" s="9"/>
      <c r="U2698" s="9">
        <f t="shared" si="1417"/>
        <v>0</v>
      </c>
      <c r="V2698" s="9">
        <f t="shared" si="1418"/>
        <v>1025100</v>
      </c>
      <c r="W2698" s="9">
        <f t="shared" si="1419"/>
        <v>0</v>
      </c>
      <c r="X2698" s="9">
        <f t="shared" si="1420"/>
        <v>1025100</v>
      </c>
      <c r="Y2698" s="8"/>
      <c r="Z2698" s="9">
        <f t="shared" si="1421"/>
        <v>0</v>
      </c>
      <c r="AA2698" s="8">
        <f t="shared" si="1422"/>
        <v>1025100</v>
      </c>
      <c r="AB2698" s="8">
        <f t="shared" si="1423"/>
        <v>0</v>
      </c>
    </row>
    <row r="2699" spans="1:28" x14ac:dyDescent="0.3">
      <c r="A2699" s="64"/>
      <c r="B2699" s="8"/>
      <c r="C2699" s="7" t="s">
        <v>57</v>
      </c>
      <c r="D2699" s="15" t="s">
        <v>108</v>
      </c>
      <c r="E2699" s="9">
        <v>1500000</v>
      </c>
      <c r="F2699" s="9">
        <v>1500000</v>
      </c>
      <c r="G2699" s="8"/>
      <c r="H2699" s="9">
        <f t="shared" si="1414"/>
        <v>1500000</v>
      </c>
      <c r="I2699" s="8"/>
      <c r="J2699" s="8"/>
      <c r="K2699" s="8"/>
      <c r="L2699" s="9"/>
      <c r="M2699" s="9">
        <f t="shared" si="1415"/>
        <v>1500000</v>
      </c>
      <c r="N2699" s="9">
        <v>0</v>
      </c>
      <c r="O2699" s="8"/>
      <c r="P2699" s="9">
        <f t="shared" si="1416"/>
        <v>0</v>
      </c>
      <c r="Q2699" s="8"/>
      <c r="R2699" s="8"/>
      <c r="S2699" s="8"/>
      <c r="T2699" s="9"/>
      <c r="U2699" s="9">
        <f t="shared" si="1417"/>
        <v>0</v>
      </c>
      <c r="V2699" s="9">
        <f t="shared" si="1418"/>
        <v>1500000</v>
      </c>
      <c r="W2699" s="9">
        <f t="shared" si="1419"/>
        <v>0</v>
      </c>
      <c r="X2699" s="9">
        <f t="shared" si="1420"/>
        <v>1500000</v>
      </c>
      <c r="Y2699" s="8"/>
      <c r="Z2699" s="9">
        <f t="shared" si="1421"/>
        <v>0</v>
      </c>
      <c r="AA2699" s="8">
        <f t="shared" si="1422"/>
        <v>1500000</v>
      </c>
      <c r="AB2699" s="8">
        <f t="shared" si="1423"/>
        <v>0</v>
      </c>
    </row>
    <row r="2700" spans="1:28" x14ac:dyDescent="0.3">
      <c r="A2700" s="64"/>
      <c r="B2700" s="8"/>
      <c r="C2700" s="7" t="s">
        <v>57</v>
      </c>
      <c r="D2700" s="15" t="s">
        <v>60</v>
      </c>
      <c r="E2700" s="9">
        <v>1721196</v>
      </c>
      <c r="F2700" s="11">
        <v>1721196</v>
      </c>
      <c r="G2700" s="8"/>
      <c r="H2700" s="9">
        <f t="shared" si="1414"/>
        <v>1721196</v>
      </c>
      <c r="I2700" s="8"/>
      <c r="J2700" s="8"/>
      <c r="K2700" s="8"/>
      <c r="L2700" s="9"/>
      <c r="M2700" s="9">
        <f t="shared" si="1415"/>
        <v>1721196</v>
      </c>
      <c r="N2700" s="9">
        <v>0</v>
      </c>
      <c r="O2700" s="8"/>
      <c r="P2700" s="9">
        <f t="shared" si="1416"/>
        <v>0</v>
      </c>
      <c r="Q2700" s="8"/>
      <c r="R2700" s="8"/>
      <c r="S2700" s="8"/>
      <c r="T2700" s="9"/>
      <c r="U2700" s="9">
        <f t="shared" si="1417"/>
        <v>0</v>
      </c>
      <c r="V2700" s="9">
        <f t="shared" si="1418"/>
        <v>1721196</v>
      </c>
      <c r="W2700" s="9">
        <f t="shared" si="1419"/>
        <v>0</v>
      </c>
      <c r="X2700" s="9">
        <f t="shared" si="1420"/>
        <v>1721196</v>
      </c>
      <c r="Y2700" s="8"/>
      <c r="Z2700" s="9">
        <f t="shared" si="1421"/>
        <v>0</v>
      </c>
      <c r="AA2700" s="8">
        <f t="shared" si="1422"/>
        <v>1721196</v>
      </c>
      <c r="AB2700" s="8">
        <f t="shared" si="1423"/>
        <v>0</v>
      </c>
    </row>
    <row r="2701" spans="1:28" x14ac:dyDescent="0.3">
      <c r="A2701" s="64"/>
      <c r="B2701" s="8"/>
      <c r="C2701" s="14" t="s">
        <v>1089</v>
      </c>
      <c r="D2701" s="15" t="s">
        <v>60</v>
      </c>
      <c r="E2701" s="9">
        <v>300000</v>
      </c>
      <c r="F2701" s="11">
        <v>300000</v>
      </c>
      <c r="G2701" s="8"/>
      <c r="H2701" s="9">
        <f t="shared" si="1414"/>
        <v>300000</v>
      </c>
      <c r="I2701" s="8"/>
      <c r="J2701" s="8"/>
      <c r="K2701" s="8"/>
      <c r="L2701" s="9"/>
      <c r="M2701" s="9">
        <f t="shared" si="1415"/>
        <v>300000</v>
      </c>
      <c r="N2701" s="9">
        <v>0</v>
      </c>
      <c r="O2701" s="8"/>
      <c r="P2701" s="9">
        <f t="shared" si="1416"/>
        <v>0</v>
      </c>
      <c r="Q2701" s="8"/>
      <c r="R2701" s="8"/>
      <c r="S2701" s="8"/>
      <c r="T2701" s="9"/>
      <c r="U2701" s="9">
        <f t="shared" si="1417"/>
        <v>0</v>
      </c>
      <c r="V2701" s="9">
        <f t="shared" si="1418"/>
        <v>300000</v>
      </c>
      <c r="W2701" s="9">
        <f t="shared" si="1419"/>
        <v>0</v>
      </c>
      <c r="X2701" s="9">
        <f t="shared" si="1420"/>
        <v>300000</v>
      </c>
      <c r="Y2701" s="8"/>
      <c r="Z2701" s="9">
        <f t="shared" si="1421"/>
        <v>0</v>
      </c>
      <c r="AA2701" s="8">
        <f t="shared" si="1422"/>
        <v>300000</v>
      </c>
      <c r="AB2701" s="8">
        <f t="shared" si="1423"/>
        <v>0</v>
      </c>
    </row>
    <row r="2702" spans="1:28" x14ac:dyDescent="0.3">
      <c r="A2702" s="64"/>
      <c r="B2702" s="8"/>
      <c r="C2702" s="7" t="s">
        <v>57</v>
      </c>
      <c r="D2702" s="15" t="s">
        <v>73</v>
      </c>
      <c r="E2702" s="9">
        <v>4962342.45</v>
      </c>
      <c r="F2702" s="11">
        <v>4962342.45</v>
      </c>
      <c r="G2702" s="8"/>
      <c r="H2702" s="9">
        <f t="shared" si="1414"/>
        <v>4962342.45</v>
      </c>
      <c r="I2702" s="8"/>
      <c r="J2702" s="8"/>
      <c r="K2702" s="8"/>
      <c r="L2702" s="9"/>
      <c r="M2702" s="9">
        <f t="shared" si="1415"/>
        <v>4962342.45</v>
      </c>
      <c r="N2702" s="9">
        <v>0</v>
      </c>
      <c r="O2702" s="8"/>
      <c r="P2702" s="9">
        <f t="shared" si="1416"/>
        <v>0</v>
      </c>
      <c r="Q2702" s="8"/>
      <c r="R2702" s="8"/>
      <c r="S2702" s="8"/>
      <c r="T2702" s="9"/>
      <c r="U2702" s="9">
        <f t="shared" si="1417"/>
        <v>0</v>
      </c>
      <c r="V2702" s="9">
        <f t="shared" si="1418"/>
        <v>4962342.45</v>
      </c>
      <c r="W2702" s="9">
        <f t="shared" si="1419"/>
        <v>0</v>
      </c>
      <c r="X2702" s="9">
        <f t="shared" si="1420"/>
        <v>4962342.45</v>
      </c>
      <c r="Y2702" s="8"/>
      <c r="Z2702" s="9">
        <f t="shared" si="1421"/>
        <v>0</v>
      </c>
      <c r="AA2702" s="8">
        <f t="shared" si="1422"/>
        <v>4962342.45</v>
      </c>
      <c r="AB2702" s="8">
        <f t="shared" si="1423"/>
        <v>0</v>
      </c>
    </row>
    <row r="2703" spans="1:28" x14ac:dyDescent="0.3">
      <c r="A2703" s="64"/>
      <c r="B2703" s="8"/>
      <c r="C2703" s="7" t="s">
        <v>471</v>
      </c>
      <c r="D2703" s="16" t="s">
        <v>472</v>
      </c>
      <c r="E2703" s="9">
        <f>3030641.09+43424.62</f>
        <v>3074065.71</v>
      </c>
      <c r="F2703" s="8">
        <v>3030641.09</v>
      </c>
      <c r="G2703" s="8"/>
      <c r="H2703" s="9">
        <f t="shared" si="1414"/>
        <v>3030641.09</v>
      </c>
      <c r="I2703" s="8"/>
      <c r="J2703" s="8"/>
      <c r="K2703" s="8"/>
      <c r="L2703" s="9"/>
      <c r="M2703" s="9">
        <f t="shared" si="1415"/>
        <v>3030641.09</v>
      </c>
      <c r="N2703" s="9">
        <v>41917.07</v>
      </c>
      <c r="O2703" s="8"/>
      <c r="P2703" s="9">
        <f t="shared" si="1416"/>
        <v>41917.07</v>
      </c>
      <c r="Q2703" s="8">
        <v>43424.62</v>
      </c>
      <c r="R2703" s="8"/>
      <c r="S2703" s="8"/>
      <c r="T2703" s="9">
        <v>1507.55</v>
      </c>
      <c r="U2703" s="9">
        <f t="shared" si="1417"/>
        <v>43424.62</v>
      </c>
      <c r="V2703" s="9">
        <f t="shared" si="1418"/>
        <v>3072558.1599999997</v>
      </c>
      <c r="W2703" s="9">
        <f t="shared" si="1419"/>
        <v>1507.5500000002794</v>
      </c>
      <c r="X2703" s="9">
        <f t="shared" si="1420"/>
        <v>3072558.1599999997</v>
      </c>
      <c r="Y2703" s="8"/>
      <c r="Z2703" s="9">
        <f t="shared" si="1421"/>
        <v>1507.5500000002794</v>
      </c>
      <c r="AA2703" s="8">
        <f t="shared" si="1422"/>
        <v>3074065.71</v>
      </c>
      <c r="AB2703" s="8">
        <f t="shared" si="1423"/>
        <v>0</v>
      </c>
    </row>
    <row r="2704" spans="1:28" x14ac:dyDescent="0.3">
      <c r="A2704" s="64"/>
      <c r="B2704" s="8"/>
      <c r="C2704" s="7" t="s">
        <v>924</v>
      </c>
      <c r="D2704" s="16" t="s">
        <v>1072</v>
      </c>
      <c r="E2704" s="9">
        <v>876743</v>
      </c>
      <c r="F2704" s="9">
        <v>876743</v>
      </c>
      <c r="G2704" s="8"/>
      <c r="H2704" s="9">
        <f t="shared" ref="H2704:H2709" si="1424">+F2704+G2704</f>
        <v>876743</v>
      </c>
      <c r="I2704" s="8"/>
      <c r="J2704" s="8"/>
      <c r="K2704" s="8"/>
      <c r="L2704" s="9"/>
      <c r="M2704" s="9">
        <f t="shared" ref="M2704:M2709" si="1425">+H2704+L2704</f>
        <v>876743</v>
      </c>
      <c r="N2704" s="9">
        <v>0</v>
      </c>
      <c r="O2704" s="8"/>
      <c r="P2704" s="9">
        <f t="shared" ref="P2704:P2709" si="1426">+N2704+O2704</f>
        <v>0</v>
      </c>
      <c r="Q2704" s="8"/>
      <c r="R2704" s="8"/>
      <c r="S2704" s="8"/>
      <c r="T2704" s="9"/>
      <c r="U2704" s="9">
        <f>P2704+T2704</f>
        <v>0</v>
      </c>
      <c r="V2704" s="9">
        <f>P2704+H2704</f>
        <v>876743</v>
      </c>
      <c r="W2704" s="9">
        <f>E2704-V2704</f>
        <v>0</v>
      </c>
      <c r="X2704" s="9">
        <f t="shared" si="1420"/>
        <v>876743</v>
      </c>
      <c r="Y2704" s="8"/>
      <c r="Z2704" s="9">
        <f t="shared" si="1421"/>
        <v>0</v>
      </c>
      <c r="AA2704" s="8">
        <f t="shared" si="1422"/>
        <v>876743</v>
      </c>
      <c r="AB2704" s="8">
        <f t="shared" si="1423"/>
        <v>0</v>
      </c>
    </row>
    <row r="2705" spans="1:28" x14ac:dyDescent="0.3">
      <c r="A2705" s="64"/>
      <c r="B2705" s="8"/>
      <c r="C2705" s="7" t="s">
        <v>930</v>
      </c>
      <c r="D2705" s="16" t="s">
        <v>1072</v>
      </c>
      <c r="E2705" s="9">
        <f>984909.62</f>
        <v>984909.62</v>
      </c>
      <c r="F2705" s="9">
        <f>984909.62</f>
        <v>984909.62</v>
      </c>
      <c r="G2705" s="8"/>
      <c r="H2705" s="9">
        <f t="shared" si="1424"/>
        <v>984909.62</v>
      </c>
      <c r="I2705" s="8"/>
      <c r="J2705" s="8"/>
      <c r="K2705" s="8"/>
      <c r="L2705" s="9"/>
      <c r="M2705" s="9">
        <f t="shared" si="1425"/>
        <v>984909.62</v>
      </c>
      <c r="N2705" s="9">
        <v>0</v>
      </c>
      <c r="O2705" s="8"/>
      <c r="P2705" s="9">
        <f t="shared" si="1426"/>
        <v>0</v>
      </c>
      <c r="Q2705" s="8"/>
      <c r="R2705" s="8"/>
      <c r="S2705" s="8"/>
      <c r="T2705" s="9"/>
      <c r="U2705" s="9">
        <f>P2705+T2705</f>
        <v>0</v>
      </c>
      <c r="V2705" s="9">
        <f>P2705+H2705</f>
        <v>984909.62</v>
      </c>
      <c r="W2705" s="9">
        <f>E2705-V2705</f>
        <v>0</v>
      </c>
      <c r="X2705" s="9">
        <f t="shared" si="1420"/>
        <v>984909.62</v>
      </c>
      <c r="Y2705" s="8"/>
      <c r="Z2705" s="9">
        <f t="shared" si="1421"/>
        <v>0</v>
      </c>
      <c r="AA2705" s="8">
        <f t="shared" si="1422"/>
        <v>984909.62</v>
      </c>
      <c r="AB2705" s="8">
        <f t="shared" si="1423"/>
        <v>0</v>
      </c>
    </row>
    <row r="2706" spans="1:28" x14ac:dyDescent="0.3">
      <c r="A2706" s="64"/>
      <c r="B2706" s="8"/>
      <c r="C2706" s="7" t="s">
        <v>1129</v>
      </c>
      <c r="D2706" s="16" t="s">
        <v>1126</v>
      </c>
      <c r="E2706" s="9">
        <v>525863.51</v>
      </c>
      <c r="F2706" s="9">
        <f>+E2706</f>
        <v>525863.51</v>
      </c>
      <c r="G2706" s="8"/>
      <c r="H2706" s="9">
        <f t="shared" si="1424"/>
        <v>525863.51</v>
      </c>
      <c r="I2706" s="8"/>
      <c r="J2706" s="8"/>
      <c r="K2706" s="8"/>
      <c r="L2706" s="9"/>
      <c r="M2706" s="9">
        <f t="shared" si="1425"/>
        <v>525863.51</v>
      </c>
      <c r="N2706" s="9">
        <v>0</v>
      </c>
      <c r="O2706" s="8"/>
      <c r="P2706" s="9">
        <f t="shared" si="1426"/>
        <v>0</v>
      </c>
      <c r="Q2706" s="8"/>
      <c r="R2706" s="8"/>
      <c r="S2706" s="8"/>
      <c r="T2706" s="9"/>
      <c r="U2706" s="9">
        <f>+P2706+T2706</f>
        <v>0</v>
      </c>
      <c r="V2706" s="9"/>
      <c r="W2706" s="9"/>
      <c r="X2706" s="9">
        <f>+H2706+P2706</f>
        <v>525863.51</v>
      </c>
      <c r="Y2706" s="8"/>
      <c r="Z2706" s="9">
        <f>+E2706-X2706</f>
        <v>0</v>
      </c>
      <c r="AA2706" s="8">
        <f>+M2706+U2706</f>
        <v>525863.51</v>
      </c>
      <c r="AB2706" s="8">
        <f>+E2706-AA2706</f>
        <v>0</v>
      </c>
    </row>
    <row r="2707" spans="1:28" x14ac:dyDescent="0.3">
      <c r="A2707" s="64"/>
      <c r="B2707" s="8"/>
      <c r="C2707" s="7" t="s">
        <v>1084</v>
      </c>
      <c r="D2707" s="16" t="s">
        <v>1072</v>
      </c>
      <c r="E2707" s="9">
        <f>504450.37+1326100.33+1161513.13</f>
        <v>2992063.83</v>
      </c>
      <c r="F2707" s="9">
        <f>504450.37+1326100.33+1161513.13</f>
        <v>2992063.83</v>
      </c>
      <c r="G2707" s="8"/>
      <c r="H2707" s="9">
        <f t="shared" si="1424"/>
        <v>2992063.83</v>
      </c>
      <c r="I2707" s="8"/>
      <c r="J2707" s="8"/>
      <c r="K2707" s="8"/>
      <c r="L2707" s="9"/>
      <c r="M2707" s="9">
        <f t="shared" si="1425"/>
        <v>2992063.83</v>
      </c>
      <c r="N2707" s="9">
        <v>0</v>
      </c>
      <c r="O2707" s="8"/>
      <c r="P2707" s="9">
        <f t="shared" si="1426"/>
        <v>0</v>
      </c>
      <c r="Q2707" s="8"/>
      <c r="R2707" s="8"/>
      <c r="S2707" s="8"/>
      <c r="T2707" s="9"/>
      <c r="U2707" s="9">
        <f>+P2707+T2707</f>
        <v>0</v>
      </c>
      <c r="V2707" s="9"/>
      <c r="W2707" s="9"/>
      <c r="X2707" s="9">
        <f t="shared" si="1420"/>
        <v>2992063.83</v>
      </c>
      <c r="Y2707" s="8"/>
      <c r="Z2707" s="9">
        <f t="shared" si="1421"/>
        <v>0</v>
      </c>
      <c r="AA2707" s="8">
        <f t="shared" si="1422"/>
        <v>2992063.83</v>
      </c>
      <c r="AB2707" s="8">
        <f t="shared" si="1423"/>
        <v>0</v>
      </c>
    </row>
    <row r="2708" spans="1:28" x14ac:dyDescent="0.3">
      <c r="A2708" s="64"/>
      <c r="B2708" s="8"/>
      <c r="C2708" s="7" t="s">
        <v>1233</v>
      </c>
      <c r="D2708" s="16" t="s">
        <v>1225</v>
      </c>
      <c r="E2708" s="9">
        <v>3693654.38</v>
      </c>
      <c r="F2708" s="9">
        <v>3693654.38</v>
      </c>
      <c r="G2708" s="8"/>
      <c r="H2708" s="9">
        <f t="shared" si="1424"/>
        <v>3693654.38</v>
      </c>
      <c r="I2708" s="8"/>
      <c r="J2708" s="8"/>
      <c r="K2708" s="8"/>
      <c r="L2708" s="9"/>
      <c r="M2708" s="9">
        <f t="shared" si="1425"/>
        <v>3693654.38</v>
      </c>
      <c r="N2708" s="9">
        <v>0</v>
      </c>
      <c r="O2708" s="8"/>
      <c r="P2708" s="9">
        <f t="shared" si="1426"/>
        <v>0</v>
      </c>
      <c r="Q2708" s="8"/>
      <c r="R2708" s="8"/>
      <c r="S2708" s="8"/>
      <c r="T2708" s="9"/>
      <c r="U2708" s="9">
        <f>+P2708+T2708:T2708</f>
        <v>0</v>
      </c>
      <c r="V2708" s="9"/>
      <c r="W2708" s="9"/>
      <c r="X2708" s="9">
        <f t="shared" si="1420"/>
        <v>3693654.38</v>
      </c>
      <c r="Y2708" s="8"/>
      <c r="Z2708" s="9">
        <f>+E2708-X2708</f>
        <v>0</v>
      </c>
      <c r="AA2708" s="8">
        <f>+M2708+U2708</f>
        <v>3693654.38</v>
      </c>
      <c r="AB2708" s="8">
        <f>+E2708-AA2708</f>
        <v>0</v>
      </c>
    </row>
    <row r="2709" spans="1:28" x14ac:dyDescent="0.3">
      <c r="A2709" s="64"/>
      <c r="B2709" s="8"/>
      <c r="C2709" s="7" t="s">
        <v>1176</v>
      </c>
      <c r="D2709" s="16" t="s">
        <v>1126</v>
      </c>
      <c r="E2709" s="9">
        <v>5265639.51</v>
      </c>
      <c r="F2709" s="8">
        <v>5265639.51</v>
      </c>
      <c r="G2709" s="8"/>
      <c r="H2709" s="9">
        <f t="shared" si="1424"/>
        <v>5265639.51</v>
      </c>
      <c r="I2709" s="8"/>
      <c r="J2709" s="8"/>
      <c r="K2709" s="8"/>
      <c r="L2709" s="9"/>
      <c r="M2709" s="9">
        <f t="shared" si="1425"/>
        <v>5265639.51</v>
      </c>
      <c r="N2709" s="9">
        <v>0</v>
      </c>
      <c r="O2709" s="8"/>
      <c r="P2709" s="9">
        <f t="shared" si="1426"/>
        <v>0</v>
      </c>
      <c r="Q2709" s="8"/>
      <c r="R2709" s="8"/>
      <c r="S2709" s="8"/>
      <c r="T2709" s="9"/>
      <c r="U2709" s="9">
        <f>+P2709+T2709</f>
        <v>0</v>
      </c>
      <c r="V2709" s="9"/>
      <c r="W2709" s="9"/>
      <c r="X2709" s="9">
        <f>+H2709+P2709</f>
        <v>5265639.51</v>
      </c>
      <c r="Y2709" s="8"/>
      <c r="Z2709" s="9">
        <f>+E2709-X2709</f>
        <v>0</v>
      </c>
      <c r="AA2709" s="8">
        <f>+M2709+U2709</f>
        <v>5265639.51</v>
      </c>
      <c r="AB2709" s="8">
        <f>+E2709-AA2709</f>
        <v>0</v>
      </c>
    </row>
    <row r="2710" spans="1:28" x14ac:dyDescent="0.3">
      <c r="A2710" s="64"/>
      <c r="B2710" s="8"/>
      <c r="C2710" s="7" t="s">
        <v>57</v>
      </c>
      <c r="D2710" s="16" t="s">
        <v>61</v>
      </c>
      <c r="E2710" s="9">
        <v>923257</v>
      </c>
      <c r="F2710" s="8">
        <v>923257</v>
      </c>
      <c r="G2710" s="8"/>
      <c r="H2710" s="9">
        <f>F2710+G2710</f>
        <v>923257</v>
      </c>
      <c r="I2710" s="8"/>
      <c r="J2710" s="8"/>
      <c r="K2710" s="8"/>
      <c r="L2710" s="9"/>
      <c r="M2710" s="9">
        <f>H2710+L2710</f>
        <v>923257</v>
      </c>
      <c r="N2710" s="9">
        <v>0</v>
      </c>
      <c r="O2710" s="8"/>
      <c r="P2710" s="9">
        <f>N2710+O2710</f>
        <v>0</v>
      </c>
      <c r="Q2710" s="8"/>
      <c r="R2710" s="8"/>
      <c r="S2710" s="8"/>
      <c r="T2710" s="9"/>
      <c r="U2710" s="9">
        <f>P2710+T2710</f>
        <v>0</v>
      </c>
      <c r="V2710" s="9">
        <f>P2710+H2710</f>
        <v>923257</v>
      </c>
      <c r="W2710" s="9">
        <f>E2710-V2710</f>
        <v>0</v>
      </c>
      <c r="X2710" s="9">
        <f t="shared" si="1420"/>
        <v>923257</v>
      </c>
      <c r="Y2710" s="8"/>
      <c r="Z2710" s="9">
        <f t="shared" si="1421"/>
        <v>0</v>
      </c>
      <c r="AA2710" s="8">
        <f t="shared" si="1422"/>
        <v>923257</v>
      </c>
      <c r="AB2710" s="8">
        <f t="shared" si="1423"/>
        <v>0</v>
      </c>
    </row>
    <row r="2711" spans="1:28" x14ac:dyDescent="0.3">
      <c r="A2711" s="64"/>
      <c r="B2711" s="8"/>
      <c r="C2711" s="8"/>
      <c r="D2711" s="8"/>
      <c r="E2711" s="17" t="s">
        <v>29</v>
      </c>
      <c r="F2711" s="17" t="s">
        <v>29</v>
      </c>
      <c r="G2711" s="17" t="s">
        <v>29</v>
      </c>
      <c r="H2711" s="17" t="s">
        <v>29</v>
      </c>
      <c r="I2711" s="17" t="s">
        <v>29</v>
      </c>
      <c r="J2711" s="17" t="s">
        <v>29</v>
      </c>
      <c r="K2711" s="17" t="s">
        <v>29</v>
      </c>
      <c r="L2711" s="17" t="s">
        <v>29</v>
      </c>
      <c r="M2711" s="17" t="s">
        <v>29</v>
      </c>
      <c r="N2711" s="17" t="s">
        <v>29</v>
      </c>
      <c r="O2711" s="17" t="s">
        <v>29</v>
      </c>
      <c r="P2711" s="17" t="s">
        <v>29</v>
      </c>
      <c r="Q2711" s="17" t="s">
        <v>29</v>
      </c>
      <c r="R2711" s="17" t="s">
        <v>29</v>
      </c>
      <c r="S2711" s="17" t="s">
        <v>29</v>
      </c>
      <c r="T2711" s="17" t="s">
        <v>29</v>
      </c>
      <c r="U2711" s="17" t="s">
        <v>29</v>
      </c>
      <c r="V2711" s="17" t="s">
        <v>29</v>
      </c>
      <c r="W2711" s="17" t="s">
        <v>29</v>
      </c>
      <c r="X2711" s="17" t="s">
        <v>29</v>
      </c>
      <c r="Y2711" s="17" t="s">
        <v>29</v>
      </c>
      <c r="Z2711" s="17" t="s">
        <v>29</v>
      </c>
      <c r="AA2711" s="17" t="s">
        <v>29</v>
      </c>
      <c r="AB2711" s="17" t="s">
        <v>29</v>
      </c>
    </row>
    <row r="2712" spans="1:28" x14ac:dyDescent="0.3">
      <c r="A2712" s="64"/>
      <c r="B2712" s="8"/>
      <c r="C2712" s="8"/>
      <c r="D2712" s="8"/>
      <c r="E2712" s="9">
        <f t="shared" ref="E2712:AB2712" si="1427">SUM(E2694:E2710)</f>
        <v>39026291.620000005</v>
      </c>
      <c r="F2712" s="9">
        <f t="shared" si="1427"/>
        <v>28085614.390000001</v>
      </c>
      <c r="G2712" s="9">
        <f t="shared" si="1427"/>
        <v>0</v>
      </c>
      <c r="H2712" s="9">
        <f t="shared" si="1427"/>
        <v>28085614.390000001</v>
      </c>
      <c r="I2712" s="9">
        <f t="shared" si="1427"/>
        <v>0</v>
      </c>
      <c r="J2712" s="9">
        <f t="shared" si="1427"/>
        <v>0</v>
      </c>
      <c r="K2712" s="9">
        <f t="shared" si="1427"/>
        <v>0</v>
      </c>
      <c r="L2712" s="9">
        <f t="shared" si="1427"/>
        <v>0</v>
      </c>
      <c r="M2712" s="9">
        <f t="shared" si="1427"/>
        <v>28085614.390000001</v>
      </c>
      <c r="N2712" s="9">
        <f t="shared" si="1427"/>
        <v>10939169.68</v>
      </c>
      <c r="O2712" s="9">
        <f t="shared" si="1427"/>
        <v>0</v>
      </c>
      <c r="P2712" s="9">
        <f t="shared" si="1427"/>
        <v>10939169.68</v>
      </c>
      <c r="Q2712" s="9">
        <f t="shared" si="1427"/>
        <v>43424.62</v>
      </c>
      <c r="R2712" s="9">
        <f t="shared" si="1427"/>
        <v>0</v>
      </c>
      <c r="S2712" s="9">
        <f t="shared" si="1427"/>
        <v>0</v>
      </c>
      <c r="T2712" s="9">
        <f t="shared" si="1427"/>
        <v>1507.55</v>
      </c>
      <c r="U2712" s="9">
        <f t="shared" si="1427"/>
        <v>10940677.229999999</v>
      </c>
      <c r="V2712" s="9">
        <f t="shared" si="1427"/>
        <v>26547562.84</v>
      </c>
      <c r="W2712" s="9">
        <f t="shared" si="1427"/>
        <v>1507.5500000002794</v>
      </c>
      <c r="X2712" s="9">
        <f t="shared" si="1427"/>
        <v>39024784.07</v>
      </c>
      <c r="Y2712" s="9">
        <f t="shared" si="1427"/>
        <v>0</v>
      </c>
      <c r="Z2712" s="9">
        <f t="shared" si="1427"/>
        <v>1507.5500000002794</v>
      </c>
      <c r="AA2712" s="9">
        <f t="shared" si="1427"/>
        <v>39026291.620000005</v>
      </c>
      <c r="AB2712" s="9">
        <f t="shared" si="1427"/>
        <v>0</v>
      </c>
    </row>
    <row r="2713" spans="1:28" x14ac:dyDescent="0.3">
      <c r="A2713" s="64"/>
      <c r="B2713" s="8"/>
      <c r="C2713" s="8"/>
      <c r="D2713" s="8"/>
      <c r="E2713" s="17" t="s">
        <v>29</v>
      </c>
      <c r="F2713" s="17" t="s">
        <v>29</v>
      </c>
      <c r="G2713" s="17" t="s">
        <v>29</v>
      </c>
      <c r="H2713" s="17" t="s">
        <v>29</v>
      </c>
      <c r="I2713" s="17" t="s">
        <v>29</v>
      </c>
      <c r="J2713" s="17" t="s">
        <v>29</v>
      </c>
      <c r="K2713" s="17" t="s">
        <v>29</v>
      </c>
      <c r="L2713" s="17" t="s">
        <v>29</v>
      </c>
      <c r="M2713" s="17" t="s">
        <v>29</v>
      </c>
      <c r="N2713" s="17" t="s">
        <v>29</v>
      </c>
      <c r="O2713" s="17" t="s">
        <v>29</v>
      </c>
      <c r="P2713" s="17" t="s">
        <v>29</v>
      </c>
      <c r="Q2713" s="17" t="s">
        <v>29</v>
      </c>
      <c r="R2713" s="17" t="s">
        <v>29</v>
      </c>
      <c r="S2713" s="17" t="s">
        <v>29</v>
      </c>
      <c r="T2713" s="17" t="s">
        <v>29</v>
      </c>
      <c r="U2713" s="17" t="s">
        <v>29</v>
      </c>
      <c r="V2713" s="17" t="s">
        <v>29</v>
      </c>
      <c r="W2713" s="17" t="s">
        <v>29</v>
      </c>
      <c r="X2713" s="17" t="s">
        <v>29</v>
      </c>
      <c r="Y2713" s="17" t="s">
        <v>29</v>
      </c>
      <c r="Z2713" s="17" t="s">
        <v>29</v>
      </c>
      <c r="AA2713" s="17" t="s">
        <v>29</v>
      </c>
      <c r="AB2713" s="17" t="s">
        <v>29</v>
      </c>
    </row>
    <row r="2714" spans="1:28" x14ac:dyDescent="0.3">
      <c r="A2714" s="63" t="s">
        <v>1053</v>
      </c>
      <c r="B2714" s="14" t="s">
        <v>473</v>
      </c>
      <c r="C2714" s="8"/>
      <c r="D2714" s="14" t="s">
        <v>422</v>
      </c>
      <c r="E2714" s="8"/>
      <c r="F2714" s="8"/>
      <c r="G2714" s="8"/>
      <c r="H2714" s="8"/>
      <c r="I2714" s="8"/>
      <c r="J2714" s="8"/>
      <c r="K2714" s="8"/>
      <c r="L2714" s="8"/>
      <c r="M2714" s="8"/>
      <c r="N2714" s="8"/>
      <c r="O2714" s="8"/>
      <c r="P2714" s="8"/>
      <c r="Q2714" s="8"/>
      <c r="R2714" s="8"/>
      <c r="S2714" s="8"/>
      <c r="T2714" s="8"/>
      <c r="U2714" s="8"/>
      <c r="V2714" s="8"/>
      <c r="W2714" s="8"/>
      <c r="X2714" s="8"/>
      <c r="Y2714" s="8"/>
      <c r="Z2714" s="8"/>
    </row>
    <row r="2715" spans="1:28" x14ac:dyDescent="0.3">
      <c r="A2715" s="64"/>
      <c r="B2715" s="8"/>
      <c r="C2715" s="14" t="s">
        <v>474</v>
      </c>
      <c r="D2715" s="14" t="s">
        <v>475</v>
      </c>
      <c r="E2715" s="11">
        <f>1423412.2+1547951+2481500+1458458.57+750000+1804114</f>
        <v>9465435.7699999996</v>
      </c>
      <c r="F2715" s="11">
        <f>1423412.2+1547951+2481500+1458458.57+750000+1804114</f>
        <v>9465435.7699999996</v>
      </c>
      <c r="G2715" s="8"/>
      <c r="H2715" s="9">
        <f t="shared" ref="H2715:H2734" si="1428">F2715+G2715</f>
        <v>9465435.7699999996</v>
      </c>
      <c r="I2715" s="8"/>
      <c r="J2715" s="8"/>
      <c r="K2715" s="8"/>
      <c r="L2715" s="9"/>
      <c r="M2715" s="9">
        <f t="shared" ref="M2715:M2734" si="1429">H2715+L2715</f>
        <v>9465435.7699999996</v>
      </c>
      <c r="N2715" s="11">
        <v>0</v>
      </c>
      <c r="O2715" s="8"/>
      <c r="P2715" s="9">
        <f t="shared" ref="P2715:P2734" si="1430">N2715+O2715</f>
        <v>0</v>
      </c>
      <c r="Q2715" s="8"/>
      <c r="R2715" s="8"/>
      <c r="S2715" s="8"/>
      <c r="T2715" s="9"/>
      <c r="U2715" s="9">
        <f t="shared" ref="U2715:U2734" si="1431">P2715+T2715</f>
        <v>0</v>
      </c>
      <c r="V2715" s="9">
        <f t="shared" ref="V2715:V2734" si="1432">P2715+H2715</f>
        <v>9465435.7699999996</v>
      </c>
      <c r="W2715" s="9">
        <f t="shared" ref="W2715:W2734" si="1433">E2715-V2715</f>
        <v>0</v>
      </c>
      <c r="X2715" s="9">
        <f t="shared" ref="X2715:X2734" si="1434">+H2715+P2715</f>
        <v>9465435.7699999996</v>
      </c>
      <c r="Y2715" s="8"/>
      <c r="Z2715" s="9">
        <f t="shared" ref="Z2715:Z2734" si="1435">+E2715-X2715</f>
        <v>0</v>
      </c>
      <c r="AA2715" s="8">
        <f t="shared" ref="AA2715:AA2734" si="1436">+M2715+U2715</f>
        <v>9465435.7699999996</v>
      </c>
      <c r="AB2715" s="8">
        <f t="shared" ref="AB2715:AB2734" si="1437">+E2715-AA2715</f>
        <v>0</v>
      </c>
    </row>
    <row r="2716" spans="1:28" x14ac:dyDescent="0.3">
      <c r="A2716" s="64"/>
      <c r="B2716" s="8"/>
      <c r="C2716" s="14" t="s">
        <v>55</v>
      </c>
      <c r="D2716" s="21" t="s">
        <v>68</v>
      </c>
      <c r="E2716" s="11">
        <v>1019234.5</v>
      </c>
      <c r="F2716" s="11">
        <v>0</v>
      </c>
      <c r="G2716" s="8"/>
      <c r="H2716" s="9">
        <f t="shared" si="1428"/>
        <v>0</v>
      </c>
      <c r="I2716" s="8"/>
      <c r="J2716" s="8"/>
      <c r="K2716" s="8"/>
      <c r="L2716" s="9"/>
      <c r="M2716" s="9">
        <f t="shared" si="1429"/>
        <v>0</v>
      </c>
      <c r="N2716" s="11">
        <v>1019234.5</v>
      </c>
      <c r="O2716" s="8"/>
      <c r="P2716" s="9">
        <f t="shared" si="1430"/>
        <v>1019234.5</v>
      </c>
      <c r="Q2716" s="8"/>
      <c r="R2716" s="8"/>
      <c r="S2716" s="8"/>
      <c r="T2716" s="9"/>
      <c r="U2716" s="9">
        <f t="shared" si="1431"/>
        <v>1019234.5</v>
      </c>
      <c r="V2716" s="9">
        <f t="shared" si="1432"/>
        <v>1019234.5</v>
      </c>
      <c r="W2716" s="9">
        <f t="shared" si="1433"/>
        <v>0</v>
      </c>
      <c r="X2716" s="9">
        <f t="shared" si="1434"/>
        <v>1019234.5</v>
      </c>
      <c r="Y2716" s="8"/>
      <c r="Z2716" s="9">
        <f t="shared" si="1435"/>
        <v>0</v>
      </c>
      <c r="AA2716" s="8">
        <f t="shared" si="1436"/>
        <v>1019234.5</v>
      </c>
      <c r="AB2716" s="8">
        <f t="shared" si="1437"/>
        <v>0</v>
      </c>
    </row>
    <row r="2717" spans="1:28" x14ac:dyDescent="0.3">
      <c r="A2717" s="64"/>
      <c r="B2717" s="8"/>
      <c r="C2717" s="14" t="s">
        <v>185</v>
      </c>
      <c r="D2717" s="21" t="s">
        <v>54</v>
      </c>
      <c r="E2717" s="11">
        <v>1953989</v>
      </c>
      <c r="F2717" s="11">
        <v>0</v>
      </c>
      <c r="G2717" s="8"/>
      <c r="H2717" s="9">
        <f t="shared" si="1428"/>
        <v>0</v>
      </c>
      <c r="I2717" s="8"/>
      <c r="J2717" s="8"/>
      <c r="K2717" s="8"/>
      <c r="L2717" s="9"/>
      <c r="M2717" s="9">
        <f t="shared" si="1429"/>
        <v>0</v>
      </c>
      <c r="N2717" s="11">
        <v>1953989</v>
      </c>
      <c r="O2717" s="8"/>
      <c r="P2717" s="9">
        <f t="shared" si="1430"/>
        <v>1953989</v>
      </c>
      <c r="Q2717" s="8"/>
      <c r="R2717" s="8"/>
      <c r="S2717" s="8"/>
      <c r="T2717" s="9"/>
      <c r="U2717" s="9">
        <f t="shared" si="1431"/>
        <v>1953989</v>
      </c>
      <c r="V2717" s="9">
        <f t="shared" si="1432"/>
        <v>1953989</v>
      </c>
      <c r="W2717" s="9">
        <f t="shared" si="1433"/>
        <v>0</v>
      </c>
      <c r="X2717" s="9">
        <f t="shared" si="1434"/>
        <v>1953989</v>
      </c>
      <c r="Y2717" s="8"/>
      <c r="Z2717" s="9">
        <f t="shared" si="1435"/>
        <v>0</v>
      </c>
      <c r="AA2717" s="8">
        <f t="shared" si="1436"/>
        <v>1953989</v>
      </c>
      <c r="AB2717" s="8">
        <f t="shared" si="1437"/>
        <v>0</v>
      </c>
    </row>
    <row r="2718" spans="1:28" x14ac:dyDescent="0.3">
      <c r="A2718" s="64"/>
      <c r="B2718" s="8"/>
      <c r="C2718" s="14" t="s">
        <v>425</v>
      </c>
      <c r="D2718" s="21" t="s">
        <v>54</v>
      </c>
      <c r="E2718" s="11">
        <v>955345.62</v>
      </c>
      <c r="F2718" s="11">
        <v>0</v>
      </c>
      <c r="G2718" s="8"/>
      <c r="H2718" s="9">
        <f t="shared" si="1428"/>
        <v>0</v>
      </c>
      <c r="I2718" s="8"/>
      <c r="J2718" s="8"/>
      <c r="K2718" s="8"/>
      <c r="L2718" s="9"/>
      <c r="M2718" s="9">
        <f t="shared" si="1429"/>
        <v>0</v>
      </c>
      <c r="N2718" s="11">
        <v>955345.62</v>
      </c>
      <c r="O2718" s="8"/>
      <c r="P2718" s="9">
        <f t="shared" si="1430"/>
        <v>955345.62</v>
      </c>
      <c r="Q2718" s="8"/>
      <c r="R2718" s="8"/>
      <c r="S2718" s="8"/>
      <c r="T2718" s="9"/>
      <c r="U2718" s="9">
        <f t="shared" si="1431"/>
        <v>955345.62</v>
      </c>
      <c r="V2718" s="9">
        <f t="shared" si="1432"/>
        <v>955345.62</v>
      </c>
      <c r="W2718" s="9">
        <f t="shared" si="1433"/>
        <v>0</v>
      </c>
      <c r="X2718" s="9">
        <f t="shared" si="1434"/>
        <v>955345.62</v>
      </c>
      <c r="Y2718" s="8"/>
      <c r="Z2718" s="9">
        <f t="shared" si="1435"/>
        <v>0</v>
      </c>
      <c r="AA2718" s="8">
        <f t="shared" si="1436"/>
        <v>955345.62</v>
      </c>
      <c r="AB2718" s="8">
        <f t="shared" si="1437"/>
        <v>0</v>
      </c>
    </row>
    <row r="2719" spans="1:28" x14ac:dyDescent="0.3">
      <c r="A2719" s="64"/>
      <c r="B2719" s="8"/>
      <c r="C2719" s="14" t="s">
        <v>431</v>
      </c>
      <c r="D2719" s="21" t="s">
        <v>128</v>
      </c>
      <c r="E2719" s="11">
        <v>800000</v>
      </c>
      <c r="F2719" s="11">
        <v>0</v>
      </c>
      <c r="G2719" s="8"/>
      <c r="H2719" s="9">
        <f t="shared" si="1428"/>
        <v>0</v>
      </c>
      <c r="I2719" s="8"/>
      <c r="J2719" s="8"/>
      <c r="K2719" s="8"/>
      <c r="L2719" s="9"/>
      <c r="M2719" s="9">
        <f t="shared" si="1429"/>
        <v>0</v>
      </c>
      <c r="N2719" s="11">
        <v>0</v>
      </c>
      <c r="O2719" s="8"/>
      <c r="P2719" s="9">
        <f t="shared" si="1430"/>
        <v>0</v>
      </c>
      <c r="Q2719" s="8"/>
      <c r="R2719" s="8"/>
      <c r="S2719" s="8"/>
      <c r="T2719" s="9"/>
      <c r="U2719" s="9">
        <f t="shared" si="1431"/>
        <v>0</v>
      </c>
      <c r="V2719" s="9">
        <f t="shared" si="1432"/>
        <v>0</v>
      </c>
      <c r="W2719" s="9">
        <f t="shared" si="1433"/>
        <v>800000</v>
      </c>
      <c r="X2719" s="9">
        <f t="shared" si="1434"/>
        <v>0</v>
      </c>
      <c r="Y2719" s="8"/>
      <c r="Z2719" s="9">
        <f t="shared" si="1435"/>
        <v>800000</v>
      </c>
      <c r="AA2719" s="8">
        <f t="shared" si="1436"/>
        <v>0</v>
      </c>
      <c r="AB2719" s="8">
        <f t="shared" si="1437"/>
        <v>800000</v>
      </c>
    </row>
    <row r="2720" spans="1:28" x14ac:dyDescent="0.3">
      <c r="A2720" s="64"/>
      <c r="B2720" s="8"/>
      <c r="C2720" s="14" t="s">
        <v>476</v>
      </c>
      <c r="D2720" s="21" t="s">
        <v>88</v>
      </c>
      <c r="E2720" s="11">
        <v>1200000</v>
      </c>
      <c r="F2720" s="11">
        <v>1200000</v>
      </c>
      <c r="G2720" s="8"/>
      <c r="H2720" s="9">
        <f t="shared" si="1428"/>
        <v>1200000</v>
      </c>
      <c r="I2720" s="8"/>
      <c r="J2720" s="8"/>
      <c r="K2720" s="8"/>
      <c r="L2720" s="9"/>
      <c r="M2720" s="9">
        <f t="shared" si="1429"/>
        <v>1200000</v>
      </c>
      <c r="N2720" s="11">
        <v>0</v>
      </c>
      <c r="O2720" s="8"/>
      <c r="P2720" s="9">
        <f t="shared" si="1430"/>
        <v>0</v>
      </c>
      <c r="Q2720" s="8"/>
      <c r="R2720" s="8"/>
      <c r="S2720" s="8"/>
      <c r="T2720" s="9"/>
      <c r="U2720" s="9">
        <f t="shared" si="1431"/>
        <v>0</v>
      </c>
      <c r="V2720" s="9">
        <f t="shared" si="1432"/>
        <v>1200000</v>
      </c>
      <c r="W2720" s="9">
        <f t="shared" si="1433"/>
        <v>0</v>
      </c>
      <c r="X2720" s="9">
        <f t="shared" si="1434"/>
        <v>1200000</v>
      </c>
      <c r="Y2720" s="8"/>
      <c r="Z2720" s="9">
        <f t="shared" si="1435"/>
        <v>0</v>
      </c>
      <c r="AA2720" s="8">
        <f t="shared" si="1436"/>
        <v>1200000</v>
      </c>
      <c r="AB2720" s="8">
        <f t="shared" si="1437"/>
        <v>0</v>
      </c>
    </row>
    <row r="2721" spans="1:28" x14ac:dyDescent="0.3">
      <c r="A2721" s="64"/>
      <c r="B2721" s="8"/>
      <c r="C2721" s="14" t="s">
        <v>143</v>
      </c>
      <c r="D2721" s="21" t="s">
        <v>58</v>
      </c>
      <c r="E2721" s="11">
        <v>12600767.34</v>
      </c>
      <c r="F2721" s="11">
        <v>12600767.34</v>
      </c>
      <c r="G2721" s="8"/>
      <c r="H2721" s="9">
        <f t="shared" si="1428"/>
        <v>12600767.34</v>
      </c>
      <c r="I2721" s="8"/>
      <c r="J2721" s="8"/>
      <c r="K2721" s="8"/>
      <c r="L2721" s="9"/>
      <c r="M2721" s="9">
        <f t="shared" si="1429"/>
        <v>12600767.34</v>
      </c>
      <c r="N2721" s="11">
        <v>0</v>
      </c>
      <c r="O2721" s="8"/>
      <c r="P2721" s="9">
        <f t="shared" si="1430"/>
        <v>0</v>
      </c>
      <c r="Q2721" s="8"/>
      <c r="R2721" s="8"/>
      <c r="S2721" s="8"/>
      <c r="T2721" s="9"/>
      <c r="U2721" s="9">
        <f t="shared" si="1431"/>
        <v>0</v>
      </c>
      <c r="V2721" s="9">
        <f t="shared" si="1432"/>
        <v>12600767.34</v>
      </c>
      <c r="W2721" s="9">
        <f t="shared" si="1433"/>
        <v>0</v>
      </c>
      <c r="X2721" s="9">
        <f t="shared" si="1434"/>
        <v>12600767.34</v>
      </c>
      <c r="Y2721" s="8"/>
      <c r="Z2721" s="9">
        <f t="shared" si="1435"/>
        <v>0</v>
      </c>
      <c r="AA2721" s="8">
        <f t="shared" si="1436"/>
        <v>12600767.34</v>
      </c>
      <c r="AB2721" s="8">
        <f t="shared" si="1437"/>
        <v>0</v>
      </c>
    </row>
    <row r="2722" spans="1:28" x14ac:dyDescent="0.3">
      <c r="A2722" s="64"/>
      <c r="B2722" s="8"/>
      <c r="C2722" s="14" t="s">
        <v>143</v>
      </c>
      <c r="D2722" s="21" t="s">
        <v>60</v>
      </c>
      <c r="E2722" s="11">
        <v>8442303.8599999994</v>
      </c>
      <c r="F2722" s="11">
        <v>8442303.8599999994</v>
      </c>
      <c r="G2722" s="8"/>
      <c r="H2722" s="9">
        <f t="shared" si="1428"/>
        <v>8442303.8599999994</v>
      </c>
      <c r="I2722" s="8"/>
      <c r="J2722" s="8"/>
      <c r="K2722" s="8"/>
      <c r="L2722" s="9"/>
      <c r="M2722" s="9">
        <f t="shared" si="1429"/>
        <v>8442303.8599999994</v>
      </c>
      <c r="N2722" s="11">
        <v>0</v>
      </c>
      <c r="O2722" s="8"/>
      <c r="P2722" s="9">
        <f t="shared" si="1430"/>
        <v>0</v>
      </c>
      <c r="Q2722" s="8"/>
      <c r="R2722" s="8"/>
      <c r="S2722" s="8"/>
      <c r="T2722" s="9"/>
      <c r="U2722" s="9">
        <f t="shared" si="1431"/>
        <v>0</v>
      </c>
      <c r="V2722" s="9">
        <f t="shared" si="1432"/>
        <v>8442303.8599999994</v>
      </c>
      <c r="W2722" s="9">
        <f t="shared" si="1433"/>
        <v>0</v>
      </c>
      <c r="X2722" s="9">
        <f t="shared" si="1434"/>
        <v>8442303.8599999994</v>
      </c>
      <c r="Y2722" s="8"/>
      <c r="Z2722" s="9">
        <f t="shared" si="1435"/>
        <v>0</v>
      </c>
      <c r="AA2722" s="8">
        <f t="shared" si="1436"/>
        <v>8442303.8599999994</v>
      </c>
      <c r="AB2722" s="8">
        <f t="shared" si="1437"/>
        <v>0</v>
      </c>
    </row>
    <row r="2723" spans="1:28" x14ac:dyDescent="0.3">
      <c r="A2723" s="64"/>
      <c r="B2723" s="8"/>
      <c r="C2723" s="14" t="s">
        <v>477</v>
      </c>
      <c r="D2723" s="14" t="s">
        <v>478</v>
      </c>
      <c r="E2723" s="11">
        <f>3000000+611921</f>
        <v>3611921</v>
      </c>
      <c r="F2723" s="11">
        <f>3000000+611921</f>
        <v>3611921</v>
      </c>
      <c r="G2723" s="8"/>
      <c r="H2723" s="9">
        <f t="shared" si="1428"/>
        <v>3611921</v>
      </c>
      <c r="I2723" s="8"/>
      <c r="J2723" s="8"/>
      <c r="K2723" s="8"/>
      <c r="L2723" s="9"/>
      <c r="M2723" s="9">
        <f t="shared" si="1429"/>
        <v>3611921</v>
      </c>
      <c r="N2723" s="11">
        <v>0</v>
      </c>
      <c r="O2723" s="8"/>
      <c r="P2723" s="9">
        <f t="shared" si="1430"/>
        <v>0</v>
      </c>
      <c r="Q2723" s="8"/>
      <c r="R2723" s="8"/>
      <c r="S2723" s="8"/>
      <c r="T2723" s="9"/>
      <c r="U2723" s="9">
        <f t="shared" si="1431"/>
        <v>0</v>
      </c>
      <c r="V2723" s="9">
        <f t="shared" si="1432"/>
        <v>3611921</v>
      </c>
      <c r="W2723" s="9">
        <f t="shared" si="1433"/>
        <v>0</v>
      </c>
      <c r="X2723" s="9">
        <f t="shared" si="1434"/>
        <v>3611921</v>
      </c>
      <c r="Y2723" s="8"/>
      <c r="Z2723" s="9">
        <f t="shared" si="1435"/>
        <v>0</v>
      </c>
      <c r="AA2723" s="8">
        <f t="shared" si="1436"/>
        <v>3611921</v>
      </c>
      <c r="AB2723" s="8">
        <f t="shared" si="1437"/>
        <v>0</v>
      </c>
    </row>
    <row r="2724" spans="1:28" x14ac:dyDescent="0.3">
      <c r="A2724" s="64"/>
      <c r="B2724" s="8"/>
      <c r="C2724" s="14" t="s">
        <v>143</v>
      </c>
      <c r="D2724" s="21" t="s">
        <v>73</v>
      </c>
      <c r="E2724" s="11">
        <v>6387703</v>
      </c>
      <c r="F2724" s="11">
        <v>6387703</v>
      </c>
      <c r="G2724" s="8"/>
      <c r="H2724" s="9">
        <f t="shared" si="1428"/>
        <v>6387703</v>
      </c>
      <c r="I2724" s="8"/>
      <c r="J2724" s="8"/>
      <c r="K2724" s="8"/>
      <c r="L2724" s="9"/>
      <c r="M2724" s="9">
        <f t="shared" si="1429"/>
        <v>6387703</v>
      </c>
      <c r="N2724" s="11">
        <v>0</v>
      </c>
      <c r="O2724" s="8"/>
      <c r="P2724" s="9">
        <f t="shared" si="1430"/>
        <v>0</v>
      </c>
      <c r="Q2724" s="8"/>
      <c r="R2724" s="8"/>
      <c r="S2724" s="8"/>
      <c r="T2724" s="9"/>
      <c r="U2724" s="9">
        <f t="shared" si="1431"/>
        <v>0</v>
      </c>
      <c r="V2724" s="9">
        <f t="shared" si="1432"/>
        <v>6387703</v>
      </c>
      <c r="W2724" s="9">
        <f t="shared" si="1433"/>
        <v>0</v>
      </c>
      <c r="X2724" s="9">
        <f t="shared" si="1434"/>
        <v>6387703</v>
      </c>
      <c r="Y2724" s="8"/>
      <c r="Z2724" s="9">
        <f t="shared" si="1435"/>
        <v>0</v>
      </c>
      <c r="AA2724" s="8">
        <f t="shared" si="1436"/>
        <v>6387703</v>
      </c>
      <c r="AB2724" s="8">
        <f t="shared" si="1437"/>
        <v>0</v>
      </c>
    </row>
    <row r="2725" spans="1:28" x14ac:dyDescent="0.3">
      <c r="A2725" s="64"/>
      <c r="B2725" s="8"/>
      <c r="C2725" s="14" t="s">
        <v>434</v>
      </c>
      <c r="D2725" s="8"/>
      <c r="E2725" s="11">
        <v>3389680</v>
      </c>
      <c r="F2725" s="11">
        <v>3389680</v>
      </c>
      <c r="G2725" s="8"/>
      <c r="H2725" s="9">
        <f t="shared" si="1428"/>
        <v>3389680</v>
      </c>
      <c r="I2725" s="8"/>
      <c r="J2725" s="8"/>
      <c r="K2725" s="8"/>
      <c r="L2725" s="9"/>
      <c r="M2725" s="9">
        <f t="shared" si="1429"/>
        <v>3389680</v>
      </c>
      <c r="N2725" s="11">
        <v>0</v>
      </c>
      <c r="O2725" s="8"/>
      <c r="P2725" s="9">
        <f t="shared" si="1430"/>
        <v>0</v>
      </c>
      <c r="Q2725" s="8"/>
      <c r="R2725" s="8"/>
      <c r="S2725" s="8"/>
      <c r="T2725" s="9"/>
      <c r="U2725" s="9">
        <f t="shared" si="1431"/>
        <v>0</v>
      </c>
      <c r="V2725" s="9">
        <f t="shared" si="1432"/>
        <v>3389680</v>
      </c>
      <c r="W2725" s="9">
        <f t="shared" si="1433"/>
        <v>0</v>
      </c>
      <c r="X2725" s="9">
        <f t="shared" si="1434"/>
        <v>3389680</v>
      </c>
      <c r="Y2725" s="8"/>
      <c r="Z2725" s="9">
        <f t="shared" si="1435"/>
        <v>0</v>
      </c>
      <c r="AA2725" s="8">
        <f t="shared" si="1436"/>
        <v>3389680</v>
      </c>
      <c r="AB2725" s="8">
        <f t="shared" si="1437"/>
        <v>0</v>
      </c>
    </row>
    <row r="2726" spans="1:28" x14ac:dyDescent="0.3">
      <c r="A2726" s="64"/>
      <c r="B2726" s="8"/>
      <c r="C2726" s="14" t="s">
        <v>435</v>
      </c>
      <c r="D2726" s="8"/>
      <c r="E2726" s="11">
        <v>610033.80000000005</v>
      </c>
      <c r="F2726" s="11">
        <v>610033.80000000005</v>
      </c>
      <c r="G2726" s="8"/>
      <c r="H2726" s="9">
        <f t="shared" si="1428"/>
        <v>610033.80000000005</v>
      </c>
      <c r="I2726" s="8"/>
      <c r="J2726" s="8"/>
      <c r="K2726" s="8"/>
      <c r="L2726" s="9"/>
      <c r="M2726" s="9">
        <f t="shared" si="1429"/>
        <v>610033.80000000005</v>
      </c>
      <c r="N2726" s="11">
        <v>0</v>
      </c>
      <c r="O2726" s="8"/>
      <c r="P2726" s="9">
        <f t="shared" si="1430"/>
        <v>0</v>
      </c>
      <c r="Q2726" s="8"/>
      <c r="R2726" s="8"/>
      <c r="S2726" s="8"/>
      <c r="T2726" s="9"/>
      <c r="U2726" s="9">
        <f t="shared" si="1431"/>
        <v>0</v>
      </c>
      <c r="V2726" s="9">
        <f t="shared" si="1432"/>
        <v>610033.80000000005</v>
      </c>
      <c r="W2726" s="9">
        <f t="shared" si="1433"/>
        <v>0</v>
      </c>
      <c r="X2726" s="9">
        <f t="shared" si="1434"/>
        <v>610033.80000000005</v>
      </c>
      <c r="Y2726" s="8"/>
      <c r="Z2726" s="9">
        <f t="shared" si="1435"/>
        <v>0</v>
      </c>
      <c r="AA2726" s="8">
        <f t="shared" si="1436"/>
        <v>610033.80000000005</v>
      </c>
      <c r="AB2726" s="8">
        <f t="shared" si="1437"/>
        <v>0</v>
      </c>
    </row>
    <row r="2727" spans="1:28" x14ac:dyDescent="0.3">
      <c r="A2727" s="64"/>
      <c r="B2727" s="8"/>
      <c r="C2727" s="14" t="s">
        <v>147</v>
      </c>
      <c r="D2727" s="8"/>
      <c r="E2727" s="11">
        <v>300000</v>
      </c>
      <c r="F2727" s="11">
        <v>0</v>
      </c>
      <c r="G2727" s="8"/>
      <c r="H2727" s="9">
        <f t="shared" si="1428"/>
        <v>0</v>
      </c>
      <c r="I2727" s="8"/>
      <c r="J2727" s="8"/>
      <c r="K2727" s="8"/>
      <c r="L2727" s="9"/>
      <c r="M2727" s="9">
        <f t="shared" si="1429"/>
        <v>0</v>
      </c>
      <c r="N2727" s="11">
        <v>300000</v>
      </c>
      <c r="O2727" s="8"/>
      <c r="P2727" s="9">
        <f t="shared" si="1430"/>
        <v>300000</v>
      </c>
      <c r="Q2727" s="8"/>
      <c r="R2727" s="8"/>
      <c r="S2727" s="8"/>
      <c r="T2727" s="9"/>
      <c r="U2727" s="9">
        <f t="shared" si="1431"/>
        <v>300000</v>
      </c>
      <c r="V2727" s="9">
        <f t="shared" si="1432"/>
        <v>300000</v>
      </c>
      <c r="W2727" s="9">
        <f t="shared" si="1433"/>
        <v>0</v>
      </c>
      <c r="X2727" s="9">
        <f t="shared" si="1434"/>
        <v>300000</v>
      </c>
      <c r="Y2727" s="8"/>
      <c r="Z2727" s="9">
        <f t="shared" si="1435"/>
        <v>0</v>
      </c>
      <c r="AA2727" s="8">
        <f t="shared" si="1436"/>
        <v>300000</v>
      </c>
      <c r="AB2727" s="8">
        <f t="shared" si="1437"/>
        <v>0</v>
      </c>
    </row>
    <row r="2728" spans="1:28" x14ac:dyDescent="0.3">
      <c r="A2728" s="64"/>
      <c r="B2728" s="8"/>
      <c r="C2728" s="14" t="s">
        <v>419</v>
      </c>
      <c r="D2728" s="8"/>
      <c r="E2728" s="9">
        <v>437800</v>
      </c>
      <c r="F2728" s="11">
        <v>437800</v>
      </c>
      <c r="G2728" s="8"/>
      <c r="H2728" s="9">
        <f t="shared" si="1428"/>
        <v>437800</v>
      </c>
      <c r="I2728" s="8"/>
      <c r="J2728" s="8"/>
      <c r="K2728" s="8"/>
      <c r="L2728" s="9"/>
      <c r="M2728" s="9">
        <f t="shared" si="1429"/>
        <v>437800</v>
      </c>
      <c r="N2728" s="9">
        <v>0</v>
      </c>
      <c r="O2728" s="8"/>
      <c r="P2728" s="9">
        <f t="shared" si="1430"/>
        <v>0</v>
      </c>
      <c r="Q2728" s="8"/>
      <c r="R2728" s="8"/>
      <c r="S2728" s="8"/>
      <c r="T2728" s="9"/>
      <c r="U2728" s="9">
        <f t="shared" si="1431"/>
        <v>0</v>
      </c>
      <c r="V2728" s="9">
        <f t="shared" si="1432"/>
        <v>437800</v>
      </c>
      <c r="W2728" s="9">
        <f t="shared" si="1433"/>
        <v>0</v>
      </c>
      <c r="X2728" s="9">
        <f t="shared" si="1434"/>
        <v>437800</v>
      </c>
      <c r="Y2728" s="8"/>
      <c r="Z2728" s="9">
        <f t="shared" si="1435"/>
        <v>0</v>
      </c>
      <c r="AA2728" s="8">
        <f t="shared" si="1436"/>
        <v>437800</v>
      </c>
      <c r="AB2728" s="8">
        <f t="shared" si="1437"/>
        <v>0</v>
      </c>
    </row>
    <row r="2729" spans="1:28" x14ac:dyDescent="0.3">
      <c r="A2729" s="64"/>
      <c r="B2729" s="8"/>
      <c r="C2729" s="14" t="s">
        <v>109</v>
      </c>
      <c r="D2729" s="8"/>
      <c r="E2729" s="9">
        <v>7603987</v>
      </c>
      <c r="F2729" s="9">
        <v>7603987</v>
      </c>
      <c r="G2729" s="9"/>
      <c r="H2729" s="9">
        <f t="shared" si="1428"/>
        <v>7603987</v>
      </c>
      <c r="I2729" s="8"/>
      <c r="J2729" s="8"/>
      <c r="K2729" s="8"/>
      <c r="L2729" s="9"/>
      <c r="M2729" s="9">
        <f t="shared" si="1429"/>
        <v>7603987</v>
      </c>
      <c r="N2729" s="9">
        <v>0</v>
      </c>
      <c r="O2729" s="9"/>
      <c r="P2729" s="9">
        <f t="shared" si="1430"/>
        <v>0</v>
      </c>
      <c r="Q2729" s="8"/>
      <c r="R2729" s="8"/>
      <c r="S2729" s="8"/>
      <c r="T2729" s="9"/>
      <c r="U2729" s="9">
        <f t="shared" si="1431"/>
        <v>0</v>
      </c>
      <c r="V2729" s="9">
        <f t="shared" si="1432"/>
        <v>7603987</v>
      </c>
      <c r="W2729" s="9">
        <f t="shared" si="1433"/>
        <v>0</v>
      </c>
      <c r="X2729" s="9">
        <f t="shared" si="1434"/>
        <v>7603987</v>
      </c>
      <c r="Y2729" s="8"/>
      <c r="Z2729" s="9">
        <f t="shared" si="1435"/>
        <v>0</v>
      </c>
      <c r="AA2729" s="8">
        <f t="shared" si="1436"/>
        <v>7603987</v>
      </c>
      <c r="AB2729" s="8">
        <f t="shared" si="1437"/>
        <v>0</v>
      </c>
    </row>
    <row r="2730" spans="1:28" x14ac:dyDescent="0.3">
      <c r="A2730" s="64"/>
      <c r="B2730" s="8"/>
      <c r="C2730" s="14" t="s">
        <v>924</v>
      </c>
      <c r="D2730" s="8"/>
      <c r="E2730" s="9">
        <f>895914.29+1605219.01+1114998.42</f>
        <v>3616131.7199999997</v>
      </c>
      <c r="F2730" s="9">
        <f>895914.29+1605219.01+1114998.42</f>
        <v>3616131.7199999997</v>
      </c>
      <c r="G2730" s="9"/>
      <c r="H2730" s="9">
        <f>F2730+G2730</f>
        <v>3616131.7199999997</v>
      </c>
      <c r="I2730" s="8"/>
      <c r="J2730" s="8"/>
      <c r="K2730" s="8"/>
      <c r="L2730" s="9"/>
      <c r="M2730" s="9">
        <f>H2730+L2730</f>
        <v>3616131.7199999997</v>
      </c>
      <c r="N2730" s="9">
        <v>0</v>
      </c>
      <c r="O2730" s="9"/>
      <c r="P2730" s="9">
        <f>+N2730+O2730</f>
        <v>0</v>
      </c>
      <c r="Q2730" s="8"/>
      <c r="R2730" s="8"/>
      <c r="S2730" s="8"/>
      <c r="T2730" s="9"/>
      <c r="U2730" s="9">
        <f>P2730+T2730</f>
        <v>0</v>
      </c>
      <c r="V2730" s="9">
        <f>P2730+H2730</f>
        <v>3616131.7199999997</v>
      </c>
      <c r="W2730" s="9">
        <f>E2730-V2730</f>
        <v>0</v>
      </c>
      <c r="X2730" s="9">
        <f t="shared" si="1434"/>
        <v>3616131.7199999997</v>
      </c>
      <c r="Y2730" s="8"/>
      <c r="Z2730" s="9">
        <f t="shared" si="1435"/>
        <v>0</v>
      </c>
      <c r="AA2730" s="8">
        <f t="shared" si="1436"/>
        <v>3616131.7199999997</v>
      </c>
      <c r="AB2730" s="8">
        <f t="shared" si="1437"/>
        <v>0</v>
      </c>
    </row>
    <row r="2731" spans="1:28" x14ac:dyDescent="0.3">
      <c r="A2731" s="64"/>
      <c r="B2731" s="8"/>
      <c r="C2731" s="14" t="s">
        <v>930</v>
      </c>
      <c r="D2731" s="23" t="s">
        <v>1072</v>
      </c>
      <c r="E2731" s="9">
        <f>1682515+2749843.91+5591793.78</f>
        <v>10024152.690000001</v>
      </c>
      <c r="F2731" s="9">
        <f>4432358.91+5591793.78</f>
        <v>10024152.690000001</v>
      </c>
      <c r="G2731" s="9"/>
      <c r="H2731" s="9">
        <f>+F2731+G2731</f>
        <v>10024152.690000001</v>
      </c>
      <c r="I2731" s="8"/>
      <c r="J2731" s="8"/>
      <c r="K2731" s="8"/>
      <c r="L2731" s="9"/>
      <c r="M2731" s="9">
        <f>+H2731+L2731</f>
        <v>10024152.690000001</v>
      </c>
      <c r="N2731" s="9">
        <v>0</v>
      </c>
      <c r="O2731" s="9"/>
      <c r="P2731" s="9">
        <f>+N2731+O2731</f>
        <v>0</v>
      </c>
      <c r="Q2731" s="8"/>
      <c r="R2731" s="8"/>
      <c r="S2731" s="8"/>
      <c r="T2731" s="9"/>
      <c r="U2731" s="9">
        <f>+P2731+T2731</f>
        <v>0</v>
      </c>
      <c r="V2731" s="9"/>
      <c r="W2731" s="9"/>
      <c r="X2731" s="9">
        <f t="shared" si="1434"/>
        <v>10024152.690000001</v>
      </c>
      <c r="Y2731" s="8"/>
      <c r="Z2731" s="9">
        <f t="shared" si="1435"/>
        <v>0</v>
      </c>
      <c r="AA2731" s="8">
        <f t="shared" si="1436"/>
        <v>10024152.690000001</v>
      </c>
      <c r="AB2731" s="8">
        <f t="shared" si="1437"/>
        <v>0</v>
      </c>
    </row>
    <row r="2732" spans="1:28" x14ac:dyDescent="0.3">
      <c r="A2732" s="64"/>
      <c r="B2732" s="8"/>
      <c r="C2732" s="14" t="s">
        <v>1084</v>
      </c>
      <c r="D2732" s="8"/>
      <c r="E2732" s="9">
        <f>4954882.46+7165725.15+1471207.36+2587171.85+2061042.42+1210572.53+1526595.18+1738845.56+910157.56+1770171.27</f>
        <v>25396371.339999996</v>
      </c>
      <c r="F2732" s="9">
        <f>4954882.46+8636932.51+11804556.37</f>
        <v>25396371.339999996</v>
      </c>
      <c r="G2732" s="9"/>
      <c r="H2732" s="9">
        <f>+F2732+G2732</f>
        <v>25396371.339999996</v>
      </c>
      <c r="I2732" s="8"/>
      <c r="J2732" s="8"/>
      <c r="K2732" s="8"/>
      <c r="L2732" s="9"/>
      <c r="M2732" s="9">
        <f>+H2732+L2732</f>
        <v>25396371.339999996</v>
      </c>
      <c r="N2732" s="9">
        <v>0</v>
      </c>
      <c r="O2732" s="9"/>
      <c r="P2732" s="9">
        <f>+N2732+O2732</f>
        <v>0</v>
      </c>
      <c r="Q2732" s="8"/>
      <c r="R2732" s="8"/>
      <c r="S2732" s="8"/>
      <c r="T2732" s="9"/>
      <c r="U2732" s="9">
        <f>+P2732+T2732</f>
        <v>0</v>
      </c>
      <c r="V2732" s="9"/>
      <c r="W2732" s="9"/>
      <c r="X2732" s="9">
        <f t="shared" si="1434"/>
        <v>25396371.339999996</v>
      </c>
      <c r="Y2732" s="8"/>
      <c r="Z2732" s="9">
        <f t="shared" si="1435"/>
        <v>0</v>
      </c>
      <c r="AA2732" s="8">
        <f t="shared" si="1436"/>
        <v>25396371.339999996</v>
      </c>
      <c r="AB2732" s="8">
        <f t="shared" si="1437"/>
        <v>0</v>
      </c>
    </row>
    <row r="2733" spans="1:28" x14ac:dyDescent="0.3">
      <c r="A2733" s="64"/>
      <c r="B2733" s="8"/>
      <c r="C2733" s="14" t="s">
        <v>1211</v>
      </c>
      <c r="D2733" s="23" t="s">
        <v>1126</v>
      </c>
      <c r="E2733" s="9">
        <v>2396483.04</v>
      </c>
      <c r="F2733" s="9">
        <v>2396483.04</v>
      </c>
      <c r="G2733" s="9"/>
      <c r="H2733" s="9">
        <f>+F2733+G2733</f>
        <v>2396483.04</v>
      </c>
      <c r="I2733" s="8"/>
      <c r="J2733" s="8"/>
      <c r="K2733" s="8"/>
      <c r="L2733" s="9"/>
      <c r="M2733" s="9">
        <f>+H2733+L2733</f>
        <v>2396483.04</v>
      </c>
      <c r="N2733" s="9">
        <v>0</v>
      </c>
      <c r="O2733" s="9"/>
      <c r="P2733" s="9">
        <f>+N2733+O2733</f>
        <v>0</v>
      </c>
      <c r="Q2733" s="8"/>
      <c r="R2733" s="8"/>
      <c r="S2733" s="8"/>
      <c r="T2733" s="9"/>
      <c r="U2733" s="9">
        <f>+P2733+T2733</f>
        <v>0</v>
      </c>
      <c r="V2733" s="9"/>
      <c r="W2733" s="9"/>
      <c r="X2733" s="9">
        <f>+H2733+P2733</f>
        <v>2396483.04</v>
      </c>
      <c r="Y2733" s="8"/>
      <c r="Z2733" s="9">
        <f>+E2733-X2733</f>
        <v>0</v>
      </c>
      <c r="AA2733" s="8">
        <f>+M2733+U2733</f>
        <v>2396483.04</v>
      </c>
      <c r="AB2733" s="8">
        <f>+E2733-AA2733</f>
        <v>0</v>
      </c>
    </row>
    <row r="2734" spans="1:28" x14ac:dyDescent="0.3">
      <c r="A2734" s="64"/>
      <c r="B2734" s="8"/>
      <c r="C2734" s="14" t="s">
        <v>57</v>
      </c>
      <c r="D2734" s="23" t="s">
        <v>61</v>
      </c>
      <c r="E2734" s="9">
        <v>1895600.81</v>
      </c>
      <c r="F2734" s="9">
        <v>1895600.81</v>
      </c>
      <c r="G2734" s="9"/>
      <c r="H2734" s="9">
        <f t="shared" si="1428"/>
        <v>1895600.81</v>
      </c>
      <c r="I2734" s="8"/>
      <c r="J2734" s="8"/>
      <c r="K2734" s="8"/>
      <c r="L2734" s="9"/>
      <c r="M2734" s="9">
        <f t="shared" si="1429"/>
        <v>1895600.81</v>
      </c>
      <c r="N2734" s="9">
        <v>0</v>
      </c>
      <c r="O2734" s="9"/>
      <c r="P2734" s="9">
        <f t="shared" si="1430"/>
        <v>0</v>
      </c>
      <c r="Q2734" s="8"/>
      <c r="R2734" s="8"/>
      <c r="S2734" s="8"/>
      <c r="T2734" s="9"/>
      <c r="U2734" s="9">
        <f t="shared" si="1431"/>
        <v>0</v>
      </c>
      <c r="V2734" s="9">
        <f t="shared" si="1432"/>
        <v>1895600.81</v>
      </c>
      <c r="W2734" s="9">
        <f t="shared" si="1433"/>
        <v>0</v>
      </c>
      <c r="X2734" s="9">
        <f t="shared" si="1434"/>
        <v>1895600.81</v>
      </c>
      <c r="Y2734" s="8"/>
      <c r="Z2734" s="9">
        <f t="shared" si="1435"/>
        <v>0</v>
      </c>
      <c r="AA2734" s="8">
        <f t="shared" si="1436"/>
        <v>1895600.81</v>
      </c>
      <c r="AB2734" s="8">
        <f t="shared" si="1437"/>
        <v>0</v>
      </c>
    </row>
    <row r="2735" spans="1:28" x14ac:dyDescent="0.3">
      <c r="A2735" s="64"/>
      <c r="B2735" s="8"/>
      <c r="C2735" s="8"/>
      <c r="D2735" s="8"/>
      <c r="E2735" s="17" t="s">
        <v>29</v>
      </c>
      <c r="F2735" s="17" t="s">
        <v>29</v>
      </c>
      <c r="G2735" s="17" t="s">
        <v>29</v>
      </c>
      <c r="H2735" s="17" t="s">
        <v>29</v>
      </c>
      <c r="I2735" s="17" t="s">
        <v>29</v>
      </c>
      <c r="J2735" s="17" t="s">
        <v>29</v>
      </c>
      <c r="K2735" s="17" t="s">
        <v>29</v>
      </c>
      <c r="L2735" s="17" t="s">
        <v>29</v>
      </c>
      <c r="M2735" s="17" t="s">
        <v>29</v>
      </c>
      <c r="N2735" s="17" t="s">
        <v>29</v>
      </c>
      <c r="O2735" s="17" t="s">
        <v>29</v>
      </c>
      <c r="P2735" s="17" t="s">
        <v>29</v>
      </c>
      <c r="Q2735" s="17" t="s">
        <v>29</v>
      </c>
      <c r="R2735" s="17" t="s">
        <v>29</v>
      </c>
      <c r="S2735" s="17" t="s">
        <v>29</v>
      </c>
      <c r="T2735" s="17" t="s">
        <v>29</v>
      </c>
      <c r="U2735" s="17" t="s">
        <v>29</v>
      </c>
      <c r="V2735" s="17" t="s">
        <v>29</v>
      </c>
      <c r="W2735" s="17" t="s">
        <v>29</v>
      </c>
      <c r="X2735" s="17" t="s">
        <v>29</v>
      </c>
      <c r="Y2735" s="17" t="s">
        <v>29</v>
      </c>
      <c r="Z2735" s="17" t="s">
        <v>29</v>
      </c>
      <c r="AA2735" s="17" t="s">
        <v>29</v>
      </c>
      <c r="AB2735" s="17" t="s">
        <v>29</v>
      </c>
    </row>
    <row r="2736" spans="1:28" x14ac:dyDescent="0.3">
      <c r="A2736" s="64"/>
      <c r="B2736" s="8"/>
      <c r="C2736" s="8"/>
      <c r="D2736" s="8"/>
      <c r="E2736" s="9">
        <f t="shared" ref="E2736:AB2736" si="1438">SUM(E2715:E2734)</f>
        <v>102106940.48999999</v>
      </c>
      <c r="F2736" s="9">
        <f t="shared" si="1438"/>
        <v>97078371.36999999</v>
      </c>
      <c r="G2736" s="9">
        <f t="shared" si="1438"/>
        <v>0</v>
      </c>
      <c r="H2736" s="9">
        <f t="shared" si="1438"/>
        <v>97078371.36999999</v>
      </c>
      <c r="I2736" s="9">
        <f t="shared" si="1438"/>
        <v>0</v>
      </c>
      <c r="J2736" s="9">
        <f t="shared" si="1438"/>
        <v>0</v>
      </c>
      <c r="K2736" s="9">
        <f t="shared" si="1438"/>
        <v>0</v>
      </c>
      <c r="L2736" s="9">
        <f t="shared" si="1438"/>
        <v>0</v>
      </c>
      <c r="M2736" s="9">
        <f t="shared" si="1438"/>
        <v>97078371.36999999</v>
      </c>
      <c r="N2736" s="9">
        <f t="shared" si="1438"/>
        <v>4228569.12</v>
      </c>
      <c r="O2736" s="9">
        <f t="shared" si="1438"/>
        <v>0</v>
      </c>
      <c r="P2736" s="9">
        <f t="shared" si="1438"/>
        <v>4228569.12</v>
      </c>
      <c r="Q2736" s="9">
        <f t="shared" si="1438"/>
        <v>0</v>
      </c>
      <c r="R2736" s="9">
        <f t="shared" si="1438"/>
        <v>0</v>
      </c>
      <c r="S2736" s="9">
        <f t="shared" si="1438"/>
        <v>0</v>
      </c>
      <c r="T2736" s="9">
        <f t="shared" si="1438"/>
        <v>0</v>
      </c>
      <c r="U2736" s="9">
        <f t="shared" si="1438"/>
        <v>4228569.12</v>
      </c>
      <c r="V2736" s="9">
        <f t="shared" si="1438"/>
        <v>63489933.419999994</v>
      </c>
      <c r="W2736" s="9">
        <f t="shared" si="1438"/>
        <v>800000</v>
      </c>
      <c r="X2736" s="9">
        <f t="shared" si="1438"/>
        <v>101306940.48999999</v>
      </c>
      <c r="Y2736" s="9">
        <f t="shared" si="1438"/>
        <v>0</v>
      </c>
      <c r="Z2736" s="9">
        <f t="shared" si="1438"/>
        <v>800000</v>
      </c>
      <c r="AA2736" s="9">
        <f t="shared" si="1438"/>
        <v>101306940.48999999</v>
      </c>
      <c r="AB2736" s="9">
        <f t="shared" si="1438"/>
        <v>800000</v>
      </c>
    </row>
    <row r="2737" spans="1:31" x14ac:dyDescent="0.3">
      <c r="A2737" s="64"/>
      <c r="B2737" s="8"/>
      <c r="C2737" s="8"/>
      <c r="D2737" s="8"/>
      <c r="E2737" s="26" t="s">
        <v>29</v>
      </c>
      <c r="F2737" s="26" t="s">
        <v>29</v>
      </c>
      <c r="G2737" s="26" t="s">
        <v>29</v>
      </c>
      <c r="H2737" s="26" t="s">
        <v>29</v>
      </c>
      <c r="I2737" s="26" t="s">
        <v>29</v>
      </c>
      <c r="J2737" s="26" t="s">
        <v>29</v>
      </c>
      <c r="K2737" s="26" t="s">
        <v>29</v>
      </c>
      <c r="L2737" s="26" t="s">
        <v>29</v>
      </c>
      <c r="M2737" s="26" t="s">
        <v>29</v>
      </c>
      <c r="N2737" s="26" t="s">
        <v>29</v>
      </c>
      <c r="O2737" s="26" t="s">
        <v>29</v>
      </c>
      <c r="P2737" s="26" t="s">
        <v>29</v>
      </c>
      <c r="Q2737" s="26" t="s">
        <v>29</v>
      </c>
      <c r="R2737" s="26" t="s">
        <v>29</v>
      </c>
      <c r="S2737" s="26" t="s">
        <v>29</v>
      </c>
      <c r="T2737" s="26" t="s">
        <v>29</v>
      </c>
      <c r="U2737" s="26" t="s">
        <v>29</v>
      </c>
      <c r="V2737" s="26" t="s">
        <v>29</v>
      </c>
      <c r="W2737" s="26" t="s">
        <v>29</v>
      </c>
      <c r="X2737" s="26" t="s">
        <v>29</v>
      </c>
      <c r="Y2737" s="26" t="s">
        <v>29</v>
      </c>
      <c r="Z2737" s="26" t="s">
        <v>29</v>
      </c>
      <c r="AA2737" s="17" t="s">
        <v>29</v>
      </c>
      <c r="AB2737" s="17" t="s">
        <v>29</v>
      </c>
    </row>
    <row r="2738" spans="1:31" x14ac:dyDescent="0.3">
      <c r="A2738" s="63" t="s">
        <v>1060</v>
      </c>
      <c r="B2738" s="14" t="s">
        <v>479</v>
      </c>
      <c r="C2738" s="8"/>
      <c r="D2738" s="8"/>
      <c r="E2738" s="8"/>
      <c r="F2738" s="8"/>
      <c r="G2738" s="8"/>
      <c r="H2738" s="8"/>
      <c r="I2738" s="8"/>
      <c r="J2738" s="8"/>
      <c r="K2738" s="8"/>
      <c r="L2738" s="8"/>
      <c r="M2738" s="8"/>
      <c r="N2738" s="8"/>
      <c r="O2738" s="8"/>
      <c r="P2738" s="8"/>
      <c r="Q2738" s="8"/>
      <c r="R2738" s="8"/>
      <c r="S2738" s="8"/>
      <c r="T2738" s="8"/>
      <c r="U2738" s="8"/>
      <c r="V2738" s="8"/>
      <c r="W2738" s="8"/>
      <c r="X2738" s="8"/>
      <c r="Y2738" s="8"/>
      <c r="Z2738" s="8"/>
    </row>
    <row r="2739" spans="1:31" x14ac:dyDescent="0.3">
      <c r="A2739" s="64"/>
      <c r="B2739" s="8"/>
      <c r="C2739" s="14" t="s">
        <v>480</v>
      </c>
      <c r="D2739" s="14" t="s">
        <v>481</v>
      </c>
      <c r="E2739" s="11">
        <f>3924000+1471000+1505202.35</f>
        <v>6900202.3499999996</v>
      </c>
      <c r="F2739" s="11">
        <f>3924000+1471000+1505202.35</f>
        <v>6900202.3499999996</v>
      </c>
      <c r="G2739" s="8"/>
      <c r="H2739" s="9">
        <f t="shared" ref="H2739:H2756" si="1439">F2739+G2739</f>
        <v>6900202.3499999996</v>
      </c>
      <c r="I2739" s="8"/>
      <c r="J2739" s="8"/>
      <c r="K2739" s="8"/>
      <c r="L2739" s="9"/>
      <c r="M2739" s="9">
        <f t="shared" ref="M2739:M2756" si="1440">H2739+L2739</f>
        <v>6900202.3499999996</v>
      </c>
      <c r="N2739" s="11">
        <v>0</v>
      </c>
      <c r="O2739" s="8"/>
      <c r="P2739" s="9">
        <f t="shared" ref="P2739:P2756" si="1441">N2739+O2739</f>
        <v>0</v>
      </c>
      <c r="Q2739" s="8"/>
      <c r="R2739" s="8"/>
      <c r="S2739" s="8"/>
      <c r="T2739" s="9"/>
      <c r="U2739" s="9">
        <f t="shared" ref="U2739:U2756" si="1442">P2739+T2739</f>
        <v>0</v>
      </c>
      <c r="V2739" s="9">
        <f t="shared" ref="V2739:V2756" si="1443">P2739+H2739</f>
        <v>6900202.3499999996</v>
      </c>
      <c r="W2739" s="9">
        <f t="shared" ref="W2739:W2756" si="1444">E2739-V2739</f>
        <v>0</v>
      </c>
      <c r="X2739" s="9">
        <f t="shared" ref="X2739:X2756" si="1445">+H2739+P2739</f>
        <v>6900202.3499999996</v>
      </c>
      <c r="Y2739" s="8"/>
      <c r="Z2739" s="9">
        <f t="shared" ref="Z2739:Z2756" si="1446">+E2739-X2739</f>
        <v>0</v>
      </c>
      <c r="AA2739" s="8">
        <f t="shared" ref="AA2739:AA2756" si="1447">+M2739+U2739</f>
        <v>6900202.3499999996</v>
      </c>
      <c r="AB2739" s="8">
        <f t="shared" ref="AB2739:AB2756" si="1448">+E2739-AA2739</f>
        <v>0</v>
      </c>
    </row>
    <row r="2740" spans="1:31" x14ac:dyDescent="0.3">
      <c r="A2740" s="64"/>
      <c r="B2740" s="8"/>
      <c r="C2740" s="14" t="s">
        <v>143</v>
      </c>
      <c r="D2740" s="21" t="s">
        <v>482</v>
      </c>
      <c r="E2740" s="11">
        <f>1088543.01+2241000</f>
        <v>3329543.01</v>
      </c>
      <c r="F2740" s="11">
        <f>169490+2241000</f>
        <v>2410490</v>
      </c>
      <c r="G2740" s="8"/>
      <c r="H2740" s="9">
        <f t="shared" si="1439"/>
        <v>2410490</v>
      </c>
      <c r="I2740" s="8"/>
      <c r="J2740" s="8"/>
      <c r="K2740" s="8"/>
      <c r="L2740" s="9"/>
      <c r="M2740" s="9">
        <f t="shared" si="1440"/>
        <v>2410490</v>
      </c>
      <c r="N2740" s="11">
        <v>919053.01</v>
      </c>
      <c r="O2740" s="8"/>
      <c r="P2740" s="9">
        <f t="shared" si="1441"/>
        <v>919053.01</v>
      </c>
      <c r="Q2740" s="8"/>
      <c r="R2740" s="8"/>
      <c r="S2740" s="8"/>
      <c r="T2740" s="9"/>
      <c r="U2740" s="9">
        <f t="shared" si="1442"/>
        <v>919053.01</v>
      </c>
      <c r="V2740" s="9">
        <f t="shared" si="1443"/>
        <v>3329543.01</v>
      </c>
      <c r="W2740" s="9">
        <f t="shared" si="1444"/>
        <v>0</v>
      </c>
      <c r="X2740" s="9">
        <f t="shared" si="1445"/>
        <v>3329543.01</v>
      </c>
      <c r="Y2740" s="8"/>
      <c r="Z2740" s="9">
        <f t="shared" si="1446"/>
        <v>0</v>
      </c>
      <c r="AA2740" s="8">
        <f t="shared" si="1447"/>
        <v>3329543.01</v>
      </c>
      <c r="AB2740" s="8">
        <f t="shared" si="1448"/>
        <v>0</v>
      </c>
    </row>
    <row r="2741" spans="1:31" x14ac:dyDescent="0.3">
      <c r="A2741" s="64"/>
      <c r="B2741" s="8"/>
      <c r="C2741" s="14" t="s">
        <v>55</v>
      </c>
      <c r="D2741" s="21" t="s">
        <v>68</v>
      </c>
      <c r="E2741" s="11">
        <v>5344708.88</v>
      </c>
      <c r="F2741" s="11">
        <v>0</v>
      </c>
      <c r="G2741" s="8"/>
      <c r="H2741" s="9">
        <f t="shared" si="1439"/>
        <v>0</v>
      </c>
      <c r="I2741" s="8"/>
      <c r="J2741" s="8"/>
      <c r="K2741" s="8"/>
      <c r="L2741" s="9"/>
      <c r="M2741" s="9">
        <f t="shared" si="1440"/>
        <v>0</v>
      </c>
      <c r="N2741" s="11">
        <v>5344708.88</v>
      </c>
      <c r="O2741" s="8"/>
      <c r="P2741" s="9">
        <f t="shared" si="1441"/>
        <v>5344708.88</v>
      </c>
      <c r="Q2741" s="8"/>
      <c r="R2741" s="8"/>
      <c r="S2741" s="8"/>
      <c r="T2741" s="9"/>
      <c r="U2741" s="9">
        <f t="shared" si="1442"/>
        <v>5344708.88</v>
      </c>
      <c r="V2741" s="9">
        <f t="shared" si="1443"/>
        <v>5344708.88</v>
      </c>
      <c r="W2741" s="9">
        <f t="shared" si="1444"/>
        <v>0</v>
      </c>
      <c r="X2741" s="9">
        <f t="shared" si="1445"/>
        <v>5344708.88</v>
      </c>
      <c r="Y2741" s="8"/>
      <c r="Z2741" s="9">
        <f t="shared" si="1446"/>
        <v>0</v>
      </c>
      <c r="AA2741" s="8">
        <f t="shared" si="1447"/>
        <v>5344708.88</v>
      </c>
      <c r="AB2741" s="8">
        <f t="shared" si="1448"/>
        <v>0</v>
      </c>
    </row>
    <row r="2742" spans="1:31" x14ac:dyDescent="0.3">
      <c r="A2742" s="64"/>
      <c r="B2742" s="8"/>
      <c r="C2742" s="14" t="s">
        <v>185</v>
      </c>
      <c r="D2742" s="21" t="s">
        <v>54</v>
      </c>
      <c r="E2742" s="11">
        <v>1767770</v>
      </c>
      <c r="F2742" s="11">
        <v>0</v>
      </c>
      <c r="G2742" s="8"/>
      <c r="H2742" s="9">
        <f t="shared" si="1439"/>
        <v>0</v>
      </c>
      <c r="I2742" s="8"/>
      <c r="J2742" s="8"/>
      <c r="K2742" s="8"/>
      <c r="L2742" s="9"/>
      <c r="M2742" s="9">
        <f t="shared" si="1440"/>
        <v>0</v>
      </c>
      <c r="N2742" s="11">
        <v>1767770</v>
      </c>
      <c r="O2742" s="8"/>
      <c r="P2742" s="9">
        <f t="shared" si="1441"/>
        <v>1767770</v>
      </c>
      <c r="Q2742" s="8"/>
      <c r="R2742" s="8"/>
      <c r="S2742" s="8"/>
      <c r="T2742" s="9"/>
      <c r="U2742" s="9">
        <f t="shared" si="1442"/>
        <v>1767770</v>
      </c>
      <c r="V2742" s="9">
        <f t="shared" si="1443"/>
        <v>1767770</v>
      </c>
      <c r="W2742" s="9">
        <f t="shared" si="1444"/>
        <v>0</v>
      </c>
      <c r="X2742" s="9">
        <f t="shared" si="1445"/>
        <v>1767770</v>
      </c>
      <c r="Y2742" s="8"/>
      <c r="Z2742" s="9">
        <f t="shared" si="1446"/>
        <v>0</v>
      </c>
      <c r="AA2742" s="8">
        <f t="shared" si="1447"/>
        <v>1767770</v>
      </c>
      <c r="AB2742" s="8">
        <f t="shared" si="1448"/>
        <v>0</v>
      </c>
    </row>
    <row r="2743" spans="1:31" x14ac:dyDescent="0.3">
      <c r="A2743" s="64"/>
      <c r="B2743" s="8"/>
      <c r="C2743" s="14" t="s">
        <v>483</v>
      </c>
      <c r="D2743" s="21" t="s">
        <v>54</v>
      </c>
      <c r="E2743" s="11">
        <v>5544278</v>
      </c>
      <c r="F2743" s="11">
        <v>5544278</v>
      </c>
      <c r="G2743" s="8"/>
      <c r="H2743" s="9">
        <f t="shared" si="1439"/>
        <v>5544278</v>
      </c>
      <c r="I2743" s="8"/>
      <c r="J2743" s="8"/>
      <c r="K2743" s="8"/>
      <c r="L2743" s="9"/>
      <c r="M2743" s="9">
        <f t="shared" si="1440"/>
        <v>5544278</v>
      </c>
      <c r="N2743" s="11">
        <v>0</v>
      </c>
      <c r="O2743" s="8"/>
      <c r="P2743" s="9">
        <f t="shared" si="1441"/>
        <v>0</v>
      </c>
      <c r="Q2743" s="8"/>
      <c r="R2743" s="8"/>
      <c r="S2743" s="8"/>
      <c r="T2743" s="9"/>
      <c r="U2743" s="9">
        <f t="shared" si="1442"/>
        <v>0</v>
      </c>
      <c r="V2743" s="9">
        <f t="shared" si="1443"/>
        <v>5544278</v>
      </c>
      <c r="W2743" s="9">
        <f t="shared" si="1444"/>
        <v>0</v>
      </c>
      <c r="X2743" s="9">
        <f t="shared" si="1445"/>
        <v>5544278</v>
      </c>
      <c r="Y2743" s="8"/>
      <c r="Z2743" s="9">
        <f t="shared" si="1446"/>
        <v>0</v>
      </c>
      <c r="AA2743" s="8">
        <f t="shared" si="1447"/>
        <v>5544278</v>
      </c>
      <c r="AB2743" s="8">
        <f t="shared" si="1448"/>
        <v>0</v>
      </c>
    </row>
    <row r="2744" spans="1:31" x14ac:dyDescent="0.3">
      <c r="A2744" s="64"/>
      <c r="B2744" s="8"/>
      <c r="C2744" s="14" t="s">
        <v>484</v>
      </c>
      <c r="D2744" s="21" t="s">
        <v>85</v>
      </c>
      <c r="E2744" s="11">
        <v>600000</v>
      </c>
      <c r="F2744" s="11">
        <v>600000</v>
      </c>
      <c r="G2744" s="8"/>
      <c r="H2744" s="9">
        <f t="shared" si="1439"/>
        <v>600000</v>
      </c>
      <c r="I2744" s="8"/>
      <c r="J2744" s="8"/>
      <c r="K2744" s="8"/>
      <c r="L2744" s="9"/>
      <c r="M2744" s="9">
        <f t="shared" si="1440"/>
        <v>600000</v>
      </c>
      <c r="N2744" s="11">
        <v>0</v>
      </c>
      <c r="O2744" s="8"/>
      <c r="P2744" s="9">
        <f t="shared" si="1441"/>
        <v>0</v>
      </c>
      <c r="Q2744" s="8"/>
      <c r="R2744" s="8"/>
      <c r="S2744" s="8"/>
      <c r="T2744" s="9"/>
      <c r="U2744" s="9">
        <f t="shared" si="1442"/>
        <v>0</v>
      </c>
      <c r="V2744" s="9">
        <f t="shared" si="1443"/>
        <v>600000</v>
      </c>
      <c r="W2744" s="9">
        <f t="shared" si="1444"/>
        <v>0</v>
      </c>
      <c r="X2744" s="9">
        <f t="shared" si="1445"/>
        <v>600000</v>
      </c>
      <c r="Y2744" s="8"/>
      <c r="Z2744" s="9">
        <f t="shared" si="1446"/>
        <v>0</v>
      </c>
      <c r="AA2744" s="8">
        <f t="shared" si="1447"/>
        <v>600000</v>
      </c>
      <c r="AB2744" s="8">
        <f t="shared" si="1448"/>
        <v>0</v>
      </c>
    </row>
    <row r="2745" spans="1:31" x14ac:dyDescent="0.3">
      <c r="A2745" s="64"/>
      <c r="B2745" s="8"/>
      <c r="C2745" s="14" t="s">
        <v>143</v>
      </c>
      <c r="D2745" s="21" t="s">
        <v>58</v>
      </c>
      <c r="E2745" s="11">
        <v>1500000</v>
      </c>
      <c r="F2745" s="11">
        <v>1500000</v>
      </c>
      <c r="G2745" s="8"/>
      <c r="H2745" s="9">
        <f t="shared" si="1439"/>
        <v>1500000</v>
      </c>
      <c r="I2745" s="8"/>
      <c r="J2745" s="8"/>
      <c r="K2745" s="8"/>
      <c r="L2745" s="9"/>
      <c r="M2745" s="9">
        <f t="shared" si="1440"/>
        <v>1500000</v>
      </c>
      <c r="N2745" s="11">
        <v>0</v>
      </c>
      <c r="O2745" s="8"/>
      <c r="P2745" s="9">
        <f t="shared" si="1441"/>
        <v>0</v>
      </c>
      <c r="Q2745" s="8"/>
      <c r="R2745" s="8"/>
      <c r="S2745" s="8"/>
      <c r="T2745" s="9"/>
      <c r="U2745" s="9">
        <f t="shared" si="1442"/>
        <v>0</v>
      </c>
      <c r="V2745" s="9">
        <f t="shared" si="1443"/>
        <v>1500000</v>
      </c>
      <c r="W2745" s="9">
        <f t="shared" si="1444"/>
        <v>0</v>
      </c>
      <c r="X2745" s="9">
        <f t="shared" si="1445"/>
        <v>1500000</v>
      </c>
      <c r="Y2745" s="8"/>
      <c r="Z2745" s="9">
        <f t="shared" si="1446"/>
        <v>0</v>
      </c>
      <c r="AA2745" s="8">
        <f t="shared" si="1447"/>
        <v>1500000</v>
      </c>
      <c r="AB2745" s="8">
        <f t="shared" si="1448"/>
        <v>0</v>
      </c>
    </row>
    <row r="2746" spans="1:31" x14ac:dyDescent="0.3">
      <c r="A2746" s="64"/>
      <c r="B2746" s="8"/>
      <c r="C2746" s="14" t="s">
        <v>143</v>
      </c>
      <c r="D2746" s="21" t="s">
        <v>60</v>
      </c>
      <c r="E2746" s="11">
        <v>9674154</v>
      </c>
      <c r="F2746" s="11">
        <v>9253733</v>
      </c>
      <c r="G2746" s="8"/>
      <c r="H2746" s="9">
        <f t="shared" si="1439"/>
        <v>9253733</v>
      </c>
      <c r="I2746" s="8"/>
      <c r="J2746" s="8"/>
      <c r="K2746" s="8"/>
      <c r="L2746" s="9"/>
      <c r="M2746" s="9">
        <f t="shared" si="1440"/>
        <v>9253733</v>
      </c>
      <c r="N2746" s="11">
        <v>0</v>
      </c>
      <c r="O2746" s="8"/>
      <c r="P2746" s="9">
        <f t="shared" si="1441"/>
        <v>0</v>
      </c>
      <c r="Q2746" s="8"/>
      <c r="R2746" s="8"/>
      <c r="S2746" s="8"/>
      <c r="T2746" s="9"/>
      <c r="U2746" s="9">
        <f t="shared" si="1442"/>
        <v>0</v>
      </c>
      <c r="V2746" s="9">
        <f t="shared" si="1443"/>
        <v>9253733</v>
      </c>
      <c r="W2746" s="9">
        <f t="shared" si="1444"/>
        <v>420421</v>
      </c>
      <c r="X2746" s="9">
        <f t="shared" si="1445"/>
        <v>9253733</v>
      </c>
      <c r="Y2746" s="8"/>
      <c r="Z2746" s="9">
        <f t="shared" si="1446"/>
        <v>420421</v>
      </c>
      <c r="AA2746" s="8">
        <f t="shared" si="1447"/>
        <v>9253733</v>
      </c>
      <c r="AB2746" s="8">
        <f t="shared" si="1448"/>
        <v>420421</v>
      </c>
    </row>
    <row r="2747" spans="1:31" x14ac:dyDescent="0.3">
      <c r="A2747" s="64"/>
      <c r="B2747" s="8"/>
      <c r="C2747" s="14" t="s">
        <v>143</v>
      </c>
      <c r="D2747" s="21" t="s">
        <v>73</v>
      </c>
      <c r="E2747" s="11">
        <v>9065845</v>
      </c>
      <c r="F2747" s="11">
        <v>9065845</v>
      </c>
      <c r="G2747" s="8"/>
      <c r="H2747" s="9">
        <f t="shared" si="1439"/>
        <v>9065845</v>
      </c>
      <c r="I2747" s="8"/>
      <c r="J2747" s="8"/>
      <c r="K2747" s="8"/>
      <c r="L2747" s="9"/>
      <c r="M2747" s="9">
        <f t="shared" si="1440"/>
        <v>9065845</v>
      </c>
      <c r="N2747" s="11">
        <v>0</v>
      </c>
      <c r="O2747" s="8"/>
      <c r="P2747" s="9">
        <f t="shared" si="1441"/>
        <v>0</v>
      </c>
      <c r="Q2747" s="8"/>
      <c r="R2747" s="8"/>
      <c r="S2747" s="8"/>
      <c r="T2747" s="9"/>
      <c r="U2747" s="9">
        <f t="shared" si="1442"/>
        <v>0</v>
      </c>
      <c r="V2747" s="9">
        <f t="shared" si="1443"/>
        <v>9065845</v>
      </c>
      <c r="W2747" s="9">
        <f t="shared" si="1444"/>
        <v>0</v>
      </c>
      <c r="X2747" s="9">
        <f t="shared" si="1445"/>
        <v>9065845</v>
      </c>
      <c r="Y2747" s="8"/>
      <c r="Z2747" s="9">
        <f t="shared" si="1446"/>
        <v>0</v>
      </c>
      <c r="AA2747" s="8">
        <f t="shared" si="1447"/>
        <v>9065845</v>
      </c>
      <c r="AB2747" s="8">
        <f t="shared" si="1448"/>
        <v>0</v>
      </c>
    </row>
    <row r="2748" spans="1:31" x14ac:dyDescent="0.3">
      <c r="A2748" s="64"/>
      <c r="B2748" s="8"/>
      <c r="C2748" s="14" t="s">
        <v>143</v>
      </c>
      <c r="D2748" s="24" t="s">
        <v>61</v>
      </c>
      <c r="E2748" s="11">
        <f>185876.7+1462471.8+7755645.16+3917.16</f>
        <v>9407910.8200000003</v>
      </c>
      <c r="F2748" s="11">
        <f>1462471.8+7755645.16</f>
        <v>9218116.9600000009</v>
      </c>
      <c r="G2748" s="8"/>
      <c r="H2748" s="9">
        <f t="shared" si="1439"/>
        <v>9218116.9600000009</v>
      </c>
      <c r="I2748" s="8">
        <v>1462471.8</v>
      </c>
      <c r="J2748" s="8">
        <v>1462471.8</v>
      </c>
      <c r="K2748" s="8"/>
      <c r="L2748" s="9"/>
      <c r="M2748" s="9">
        <f t="shared" si="1440"/>
        <v>9218116.9600000009</v>
      </c>
      <c r="N2748" s="11">
        <v>0</v>
      </c>
      <c r="O2748" s="8"/>
      <c r="P2748" s="9">
        <f t="shared" si="1441"/>
        <v>0</v>
      </c>
      <c r="Q2748" s="8">
        <v>185876.7</v>
      </c>
      <c r="R2748" s="8"/>
      <c r="S2748" s="8">
        <v>3917.16</v>
      </c>
      <c r="T2748" s="9">
        <v>189793.86</v>
      </c>
      <c r="U2748" s="9">
        <f t="shared" si="1442"/>
        <v>189793.86</v>
      </c>
      <c r="V2748" s="9">
        <f t="shared" si="1443"/>
        <v>9218116.9600000009</v>
      </c>
      <c r="W2748" s="9">
        <f t="shared" si="1444"/>
        <v>189793.8599999994</v>
      </c>
      <c r="X2748" s="9">
        <f t="shared" si="1445"/>
        <v>9218116.9600000009</v>
      </c>
      <c r="Y2748" s="8"/>
      <c r="Z2748" s="9">
        <f t="shared" si="1446"/>
        <v>189793.8599999994</v>
      </c>
      <c r="AA2748" s="8">
        <f t="shared" si="1447"/>
        <v>9407910.8200000003</v>
      </c>
      <c r="AB2748" s="8">
        <f t="shared" si="1448"/>
        <v>0</v>
      </c>
    </row>
    <row r="2749" spans="1:31" x14ac:dyDescent="0.3">
      <c r="A2749" s="64"/>
      <c r="B2749" s="8"/>
      <c r="C2749" s="14" t="s">
        <v>924</v>
      </c>
      <c r="D2749" s="24" t="s">
        <v>1072</v>
      </c>
      <c r="E2749" s="11">
        <v>202883.04</v>
      </c>
      <c r="F2749" s="11">
        <v>202883.04</v>
      </c>
      <c r="G2749" s="8"/>
      <c r="H2749" s="9">
        <f>+F2749+G2749</f>
        <v>202883.04</v>
      </c>
      <c r="I2749" s="8"/>
      <c r="J2749" s="8"/>
      <c r="K2749" s="8"/>
      <c r="L2749" s="9"/>
      <c r="M2749" s="9">
        <f>+H2749+L2749</f>
        <v>202883.04</v>
      </c>
      <c r="N2749" s="11">
        <v>0</v>
      </c>
      <c r="O2749" s="8"/>
      <c r="P2749" s="9">
        <f>+N2749+O2749</f>
        <v>0</v>
      </c>
      <c r="Q2749" s="8"/>
      <c r="R2749" s="8"/>
      <c r="S2749" s="8"/>
      <c r="T2749" s="9"/>
      <c r="U2749" s="9">
        <f>P2749+T2749</f>
        <v>0</v>
      </c>
      <c r="V2749" s="9">
        <f>P2749+H2749</f>
        <v>202883.04</v>
      </c>
      <c r="W2749" s="9">
        <f>E2749-V2749</f>
        <v>0</v>
      </c>
      <c r="X2749" s="9">
        <f t="shared" si="1445"/>
        <v>202883.04</v>
      </c>
      <c r="Y2749" s="8"/>
      <c r="Z2749" s="9">
        <f t="shared" si="1446"/>
        <v>0</v>
      </c>
      <c r="AA2749" s="8">
        <f t="shared" si="1447"/>
        <v>202883.04</v>
      </c>
      <c r="AB2749" s="8">
        <f t="shared" si="1448"/>
        <v>0</v>
      </c>
    </row>
    <row r="2750" spans="1:31" x14ac:dyDescent="0.3">
      <c r="A2750" s="64"/>
      <c r="B2750" s="8"/>
      <c r="C2750" s="14" t="s">
        <v>930</v>
      </c>
      <c r="D2750" s="24" t="s">
        <v>1072</v>
      </c>
      <c r="E2750" s="11">
        <f>6592000+729839.79</f>
        <v>7321839.79</v>
      </c>
      <c r="F2750" s="11">
        <f>6592000+729839.79</f>
        <v>7321839.79</v>
      </c>
      <c r="G2750" s="8"/>
      <c r="H2750" s="9">
        <f>+F2750+G2750</f>
        <v>7321839.79</v>
      </c>
      <c r="I2750" s="8"/>
      <c r="J2750" s="8"/>
      <c r="K2750" s="8"/>
      <c r="L2750" s="9"/>
      <c r="M2750" s="9">
        <f>+H2750+L2750</f>
        <v>7321839.79</v>
      </c>
      <c r="N2750" s="11">
        <v>0</v>
      </c>
      <c r="O2750" s="8"/>
      <c r="P2750" s="9">
        <f>+N2750+O2750</f>
        <v>0</v>
      </c>
      <c r="Q2750" s="8"/>
      <c r="R2750" s="8"/>
      <c r="S2750" s="8"/>
      <c r="T2750" s="9"/>
      <c r="U2750" s="9">
        <f>P2750+T2750</f>
        <v>0</v>
      </c>
      <c r="V2750" s="9">
        <f>P2750+H2750</f>
        <v>7321839.79</v>
      </c>
      <c r="W2750" s="9">
        <f>E2750-V2750</f>
        <v>0</v>
      </c>
      <c r="X2750" s="9">
        <f t="shared" si="1445"/>
        <v>7321839.79</v>
      </c>
      <c r="Y2750" s="8"/>
      <c r="Z2750" s="9">
        <f t="shared" si="1446"/>
        <v>0</v>
      </c>
      <c r="AA2750" s="8">
        <f t="shared" si="1447"/>
        <v>7321839.79</v>
      </c>
      <c r="AB2750" s="8">
        <f t="shared" si="1448"/>
        <v>0</v>
      </c>
    </row>
    <row r="2751" spans="1:31" x14ac:dyDescent="0.3">
      <c r="A2751" s="64"/>
      <c r="B2751" s="8"/>
      <c r="C2751" s="14" t="s">
        <v>1176</v>
      </c>
      <c r="D2751" s="24" t="s">
        <v>1126</v>
      </c>
      <c r="E2751" s="11">
        <v>2310040.81</v>
      </c>
      <c r="F2751" s="8">
        <v>2310040.81</v>
      </c>
      <c r="G2751" s="8"/>
      <c r="H2751" s="9">
        <f>+F2751+G2751</f>
        <v>2310040.81</v>
      </c>
      <c r="I2751" s="8"/>
      <c r="J2751" s="8"/>
      <c r="K2751" s="8"/>
      <c r="L2751" s="9"/>
      <c r="M2751" s="9">
        <f>+H2751+L2751</f>
        <v>2310040.81</v>
      </c>
      <c r="N2751" s="11">
        <v>0</v>
      </c>
      <c r="O2751" s="8"/>
      <c r="P2751" s="9">
        <f>+N2751+O2751</f>
        <v>0</v>
      </c>
      <c r="Q2751" s="8"/>
      <c r="R2751" s="8"/>
      <c r="S2751" s="8"/>
      <c r="T2751" s="9"/>
      <c r="U2751" s="9">
        <f>P2751+T2751</f>
        <v>0</v>
      </c>
      <c r="V2751" s="9"/>
      <c r="W2751" s="9"/>
      <c r="X2751" s="9">
        <f t="shared" si="1445"/>
        <v>2310040.81</v>
      </c>
      <c r="Y2751" s="9">
        <f>S2751+K2751</f>
        <v>0</v>
      </c>
      <c r="Z2751" s="9">
        <f t="shared" si="1446"/>
        <v>0</v>
      </c>
      <c r="AA2751" s="8">
        <f>+M2751+U2751</f>
        <v>2310040.81</v>
      </c>
      <c r="AB2751" s="8">
        <f>+E2751-AA2751</f>
        <v>0</v>
      </c>
      <c r="AC2751" s="9"/>
      <c r="AD2751" s="8"/>
      <c r="AE2751" s="8"/>
    </row>
    <row r="2752" spans="1:31" x14ac:dyDescent="0.3">
      <c r="A2752" s="64"/>
      <c r="B2752" s="8"/>
      <c r="C2752" s="14" t="s">
        <v>1260</v>
      </c>
      <c r="D2752" s="24" t="s">
        <v>1225</v>
      </c>
      <c r="E2752" s="11">
        <v>1652065.89</v>
      </c>
      <c r="F2752" s="8"/>
      <c r="G2752" s="8">
        <v>1652065.89</v>
      </c>
      <c r="H2752" s="9">
        <f>+F2752+G2752</f>
        <v>1652065.89</v>
      </c>
      <c r="I2752" s="8"/>
      <c r="J2752" s="8"/>
      <c r="K2752" s="8"/>
      <c r="L2752" s="9"/>
      <c r="M2752" s="9">
        <f>+H2752+L2752</f>
        <v>1652065.89</v>
      </c>
      <c r="N2752" s="11">
        <v>0</v>
      </c>
      <c r="O2752" s="8"/>
      <c r="P2752" s="9">
        <f>+N2752+O2752</f>
        <v>0</v>
      </c>
      <c r="Q2752" s="8"/>
      <c r="R2752" s="8"/>
      <c r="S2752" s="8"/>
      <c r="T2752" s="9"/>
      <c r="U2752" s="9">
        <f>+P2752+T2752</f>
        <v>0</v>
      </c>
      <c r="V2752" s="9"/>
      <c r="W2752" s="9"/>
      <c r="X2752" s="9">
        <f>+H2752+P2752</f>
        <v>1652065.89</v>
      </c>
      <c r="Y2752" s="9">
        <f>S2752+K2752</f>
        <v>0</v>
      </c>
      <c r="Z2752" s="9">
        <f>+E2752-X2752</f>
        <v>0</v>
      </c>
      <c r="AA2752" s="8">
        <f>+M2752+U2752</f>
        <v>1652065.89</v>
      </c>
      <c r="AB2752" s="8">
        <f>+E2752-AA2752</f>
        <v>0</v>
      </c>
      <c r="AC2752" s="9"/>
      <c r="AD2752" s="8"/>
      <c r="AE2752" s="8"/>
    </row>
    <row r="2753" spans="1:28" x14ac:dyDescent="0.3">
      <c r="A2753" s="64"/>
      <c r="B2753" s="8"/>
      <c r="C2753" s="14" t="s">
        <v>434</v>
      </c>
      <c r="D2753" s="8"/>
      <c r="E2753" s="11">
        <v>46700</v>
      </c>
      <c r="F2753" s="11">
        <v>46700</v>
      </c>
      <c r="G2753" s="8"/>
      <c r="H2753" s="9">
        <f t="shared" si="1439"/>
        <v>46700</v>
      </c>
      <c r="I2753" s="8"/>
      <c r="J2753" s="8"/>
      <c r="K2753" s="8"/>
      <c r="L2753" s="9"/>
      <c r="M2753" s="9">
        <f t="shared" si="1440"/>
        <v>46700</v>
      </c>
      <c r="N2753" s="11">
        <v>0</v>
      </c>
      <c r="O2753" s="8"/>
      <c r="P2753" s="9">
        <f t="shared" si="1441"/>
        <v>0</v>
      </c>
      <c r="Q2753" s="8"/>
      <c r="R2753" s="8"/>
      <c r="S2753" s="8"/>
      <c r="T2753" s="9"/>
      <c r="U2753" s="9">
        <f t="shared" si="1442"/>
        <v>0</v>
      </c>
      <c r="V2753" s="9">
        <f t="shared" si="1443"/>
        <v>46700</v>
      </c>
      <c r="W2753" s="9">
        <f t="shared" si="1444"/>
        <v>0</v>
      </c>
      <c r="X2753" s="9">
        <f t="shared" si="1445"/>
        <v>46700</v>
      </c>
      <c r="Y2753" s="8"/>
      <c r="Z2753" s="9">
        <f t="shared" si="1446"/>
        <v>0</v>
      </c>
      <c r="AA2753" s="8">
        <f t="shared" si="1447"/>
        <v>46700</v>
      </c>
      <c r="AB2753" s="8">
        <f t="shared" si="1448"/>
        <v>0</v>
      </c>
    </row>
    <row r="2754" spans="1:28" x14ac:dyDescent="0.3">
      <c r="A2754" s="64"/>
      <c r="B2754" s="8"/>
      <c r="C2754" s="14" t="s">
        <v>430</v>
      </c>
      <c r="D2754" s="8"/>
      <c r="E2754" s="11">
        <v>100000</v>
      </c>
      <c r="F2754" s="11">
        <v>0</v>
      </c>
      <c r="G2754" s="8"/>
      <c r="H2754" s="9">
        <f t="shared" si="1439"/>
        <v>0</v>
      </c>
      <c r="I2754" s="8"/>
      <c r="J2754" s="8"/>
      <c r="K2754" s="8"/>
      <c r="L2754" s="9"/>
      <c r="M2754" s="9">
        <f t="shared" si="1440"/>
        <v>0</v>
      </c>
      <c r="N2754" s="11">
        <v>0</v>
      </c>
      <c r="O2754" s="8"/>
      <c r="P2754" s="9">
        <f t="shared" si="1441"/>
        <v>0</v>
      </c>
      <c r="Q2754" s="8"/>
      <c r="R2754" s="8"/>
      <c r="S2754" s="8"/>
      <c r="T2754" s="9"/>
      <c r="U2754" s="9">
        <f t="shared" si="1442"/>
        <v>0</v>
      </c>
      <c r="V2754" s="9">
        <f t="shared" si="1443"/>
        <v>0</v>
      </c>
      <c r="W2754" s="9">
        <f t="shared" si="1444"/>
        <v>100000</v>
      </c>
      <c r="X2754" s="9">
        <f t="shared" si="1445"/>
        <v>0</v>
      </c>
      <c r="Y2754" s="8"/>
      <c r="Z2754" s="9">
        <f t="shared" si="1446"/>
        <v>100000</v>
      </c>
      <c r="AA2754" s="8">
        <f t="shared" si="1447"/>
        <v>0</v>
      </c>
      <c r="AB2754" s="8">
        <f t="shared" si="1448"/>
        <v>100000</v>
      </c>
    </row>
    <row r="2755" spans="1:28" x14ac:dyDescent="0.3">
      <c r="A2755" s="64"/>
      <c r="B2755" s="8"/>
      <c r="C2755" s="14" t="s">
        <v>485</v>
      </c>
      <c r="D2755" s="8"/>
      <c r="E2755" s="11">
        <v>2002883</v>
      </c>
      <c r="F2755" s="11">
        <v>2002883</v>
      </c>
      <c r="G2755" s="8"/>
      <c r="H2755" s="9">
        <f t="shared" si="1439"/>
        <v>2002883</v>
      </c>
      <c r="I2755" s="8"/>
      <c r="J2755" s="8"/>
      <c r="K2755" s="8"/>
      <c r="L2755" s="9"/>
      <c r="M2755" s="9">
        <f t="shared" si="1440"/>
        <v>2002883</v>
      </c>
      <c r="N2755" s="11">
        <v>0</v>
      </c>
      <c r="O2755" s="8"/>
      <c r="P2755" s="9">
        <f t="shared" si="1441"/>
        <v>0</v>
      </c>
      <c r="Q2755" s="8"/>
      <c r="R2755" s="8"/>
      <c r="S2755" s="8"/>
      <c r="T2755" s="9"/>
      <c r="U2755" s="9">
        <f t="shared" si="1442"/>
        <v>0</v>
      </c>
      <c r="V2755" s="9">
        <f t="shared" si="1443"/>
        <v>2002883</v>
      </c>
      <c r="W2755" s="9">
        <f t="shared" si="1444"/>
        <v>0</v>
      </c>
      <c r="X2755" s="9">
        <f t="shared" si="1445"/>
        <v>2002883</v>
      </c>
      <c r="Y2755" s="8"/>
      <c r="Z2755" s="9">
        <f t="shared" si="1446"/>
        <v>0</v>
      </c>
      <c r="AA2755" s="8">
        <f t="shared" si="1447"/>
        <v>2002883</v>
      </c>
      <c r="AB2755" s="8">
        <f t="shared" si="1448"/>
        <v>0</v>
      </c>
    </row>
    <row r="2756" spans="1:28" x14ac:dyDescent="0.3">
      <c r="A2756" s="64"/>
      <c r="B2756" s="8"/>
      <c r="C2756" s="14" t="s">
        <v>109</v>
      </c>
      <c r="D2756" s="8"/>
      <c r="E2756" s="11">
        <v>2500000</v>
      </c>
      <c r="F2756" s="11">
        <v>2500000</v>
      </c>
      <c r="G2756" s="8"/>
      <c r="H2756" s="9">
        <f t="shared" si="1439"/>
        <v>2500000</v>
      </c>
      <c r="I2756" s="8"/>
      <c r="J2756" s="8"/>
      <c r="K2756" s="8"/>
      <c r="L2756" s="9"/>
      <c r="M2756" s="9">
        <f t="shared" si="1440"/>
        <v>2500000</v>
      </c>
      <c r="N2756" s="11">
        <v>0</v>
      </c>
      <c r="O2756" s="8"/>
      <c r="P2756" s="9">
        <f t="shared" si="1441"/>
        <v>0</v>
      </c>
      <c r="Q2756" s="8"/>
      <c r="R2756" s="8"/>
      <c r="S2756" s="8"/>
      <c r="T2756" s="9"/>
      <c r="U2756" s="9">
        <f t="shared" si="1442"/>
        <v>0</v>
      </c>
      <c r="V2756" s="9">
        <f t="shared" si="1443"/>
        <v>2500000</v>
      </c>
      <c r="W2756" s="9">
        <f t="shared" si="1444"/>
        <v>0</v>
      </c>
      <c r="X2756" s="9">
        <f t="shared" si="1445"/>
        <v>2500000</v>
      </c>
      <c r="Y2756" s="8"/>
      <c r="Z2756" s="9">
        <f t="shared" si="1446"/>
        <v>0</v>
      </c>
      <c r="AA2756" s="8">
        <f t="shared" si="1447"/>
        <v>2500000</v>
      </c>
      <c r="AB2756" s="8">
        <f t="shared" si="1448"/>
        <v>0</v>
      </c>
    </row>
    <row r="2757" spans="1:28" x14ac:dyDescent="0.3">
      <c r="A2757" s="64"/>
      <c r="B2757" s="8"/>
      <c r="C2757" s="8"/>
      <c r="D2757" s="8"/>
      <c r="E2757" s="26" t="s">
        <v>29</v>
      </c>
      <c r="F2757" s="26" t="s">
        <v>29</v>
      </c>
      <c r="G2757" s="26" t="s">
        <v>29</v>
      </c>
      <c r="H2757" s="26" t="s">
        <v>29</v>
      </c>
      <c r="I2757" s="26" t="s">
        <v>29</v>
      </c>
      <c r="J2757" s="26" t="s">
        <v>29</v>
      </c>
      <c r="K2757" s="26" t="s">
        <v>29</v>
      </c>
      <c r="L2757" s="26" t="s">
        <v>29</v>
      </c>
      <c r="M2757" s="26" t="s">
        <v>29</v>
      </c>
      <c r="N2757" s="26" t="s">
        <v>29</v>
      </c>
      <c r="O2757" s="26" t="s">
        <v>29</v>
      </c>
      <c r="P2757" s="26" t="s">
        <v>29</v>
      </c>
      <c r="Q2757" s="26" t="s">
        <v>29</v>
      </c>
      <c r="R2757" s="26" t="s">
        <v>29</v>
      </c>
      <c r="S2757" s="26" t="s">
        <v>29</v>
      </c>
      <c r="T2757" s="26" t="s">
        <v>29</v>
      </c>
      <c r="U2757" s="26" t="s">
        <v>29</v>
      </c>
      <c r="V2757" s="26" t="s">
        <v>29</v>
      </c>
      <c r="W2757" s="26" t="s">
        <v>29</v>
      </c>
      <c r="X2757" s="26" t="s">
        <v>29</v>
      </c>
      <c r="Y2757" s="26" t="s">
        <v>29</v>
      </c>
      <c r="Z2757" s="26" t="s">
        <v>29</v>
      </c>
      <c r="AA2757" s="17" t="s">
        <v>29</v>
      </c>
      <c r="AB2757" s="17" t="s">
        <v>29</v>
      </c>
    </row>
    <row r="2758" spans="1:28" x14ac:dyDescent="0.3">
      <c r="A2758" s="64"/>
      <c r="B2758" s="8"/>
      <c r="C2758" s="8"/>
      <c r="D2758" s="8"/>
      <c r="E2758" s="11">
        <f t="shared" ref="E2758:AB2758" si="1449">SUM(E2739:E2756)</f>
        <v>69270824.590000004</v>
      </c>
      <c r="F2758" s="11">
        <f t="shared" si="1449"/>
        <v>58877011.950000003</v>
      </c>
      <c r="G2758" s="11">
        <f t="shared" si="1449"/>
        <v>1652065.89</v>
      </c>
      <c r="H2758" s="11">
        <f t="shared" si="1449"/>
        <v>60529077.840000004</v>
      </c>
      <c r="I2758" s="11">
        <f t="shared" si="1449"/>
        <v>1462471.8</v>
      </c>
      <c r="J2758" s="11">
        <f t="shared" si="1449"/>
        <v>1462471.8</v>
      </c>
      <c r="K2758" s="11">
        <f t="shared" si="1449"/>
        <v>0</v>
      </c>
      <c r="L2758" s="11">
        <f t="shared" si="1449"/>
        <v>0</v>
      </c>
      <c r="M2758" s="11">
        <f t="shared" si="1449"/>
        <v>60529077.840000004</v>
      </c>
      <c r="N2758" s="11">
        <f t="shared" si="1449"/>
        <v>8031531.8899999997</v>
      </c>
      <c r="O2758" s="11">
        <f t="shared" si="1449"/>
        <v>0</v>
      </c>
      <c r="P2758" s="11">
        <f t="shared" si="1449"/>
        <v>8031531.8899999997</v>
      </c>
      <c r="Q2758" s="11">
        <f t="shared" si="1449"/>
        <v>185876.7</v>
      </c>
      <c r="R2758" s="11">
        <f t="shared" si="1449"/>
        <v>0</v>
      </c>
      <c r="S2758" s="11">
        <f t="shared" si="1449"/>
        <v>3917.16</v>
      </c>
      <c r="T2758" s="11">
        <f t="shared" si="1449"/>
        <v>189793.86</v>
      </c>
      <c r="U2758" s="11">
        <f t="shared" si="1449"/>
        <v>8221325.75</v>
      </c>
      <c r="V2758" s="11">
        <f t="shared" si="1449"/>
        <v>64598503.029999994</v>
      </c>
      <c r="W2758" s="11">
        <f t="shared" si="1449"/>
        <v>710214.8599999994</v>
      </c>
      <c r="X2758" s="11">
        <f t="shared" si="1449"/>
        <v>68560609.729999989</v>
      </c>
      <c r="Y2758" s="11">
        <f t="shared" si="1449"/>
        <v>0</v>
      </c>
      <c r="Z2758" s="11">
        <f t="shared" si="1449"/>
        <v>710214.8599999994</v>
      </c>
      <c r="AA2758" s="11">
        <f t="shared" si="1449"/>
        <v>68750403.590000004</v>
      </c>
      <c r="AB2758" s="11">
        <f t="shared" si="1449"/>
        <v>520421</v>
      </c>
    </row>
    <row r="2759" spans="1:28" x14ac:dyDescent="0.3">
      <c r="A2759" s="64"/>
      <c r="B2759" s="8"/>
      <c r="C2759" s="8"/>
      <c r="D2759" s="8"/>
      <c r="E2759" s="26" t="s">
        <v>29</v>
      </c>
      <c r="F2759" s="26" t="s">
        <v>29</v>
      </c>
      <c r="G2759" s="26" t="s">
        <v>29</v>
      </c>
      <c r="H2759" s="26" t="s">
        <v>29</v>
      </c>
      <c r="I2759" s="26" t="s">
        <v>29</v>
      </c>
      <c r="J2759" s="26" t="s">
        <v>29</v>
      </c>
      <c r="K2759" s="26" t="s">
        <v>29</v>
      </c>
      <c r="L2759" s="26" t="s">
        <v>29</v>
      </c>
      <c r="M2759" s="26" t="s">
        <v>29</v>
      </c>
      <c r="N2759" s="26" t="s">
        <v>29</v>
      </c>
      <c r="O2759" s="26" t="s">
        <v>29</v>
      </c>
      <c r="P2759" s="26" t="s">
        <v>29</v>
      </c>
      <c r="Q2759" s="26" t="s">
        <v>29</v>
      </c>
      <c r="R2759" s="26" t="s">
        <v>29</v>
      </c>
      <c r="S2759" s="26" t="s">
        <v>29</v>
      </c>
      <c r="T2759" s="26" t="s">
        <v>29</v>
      </c>
      <c r="U2759" s="26" t="s">
        <v>29</v>
      </c>
      <c r="V2759" s="26" t="s">
        <v>29</v>
      </c>
      <c r="W2759" s="26" t="s">
        <v>29</v>
      </c>
      <c r="X2759" s="26" t="s">
        <v>29</v>
      </c>
      <c r="Y2759" s="26" t="s">
        <v>29</v>
      </c>
      <c r="Z2759" s="26" t="s">
        <v>29</v>
      </c>
      <c r="AA2759" s="17" t="s">
        <v>29</v>
      </c>
      <c r="AB2759" s="17" t="s">
        <v>29</v>
      </c>
    </row>
    <row r="2760" spans="1:28" x14ac:dyDescent="0.3">
      <c r="A2760" s="64"/>
      <c r="B2760" s="8"/>
      <c r="C2760" s="7" t="s">
        <v>486</v>
      </c>
      <c r="D2760" s="8"/>
      <c r="E2760" s="9">
        <f t="shared" ref="E2760:AB2760" si="1450">E2758+E2736+E2712+E2691</f>
        <v>250285880.29999998</v>
      </c>
      <c r="F2760" s="9">
        <f t="shared" si="1450"/>
        <v>219218966.95999998</v>
      </c>
      <c r="G2760" s="9">
        <f t="shared" si="1450"/>
        <v>1652065.89</v>
      </c>
      <c r="H2760" s="9">
        <f t="shared" si="1450"/>
        <v>220871032.84999996</v>
      </c>
      <c r="I2760" s="9">
        <f t="shared" si="1450"/>
        <v>1462471.8</v>
      </c>
      <c r="J2760" s="9">
        <f t="shared" si="1450"/>
        <v>1462471.8</v>
      </c>
      <c r="K2760" s="9">
        <f t="shared" si="1450"/>
        <v>0</v>
      </c>
      <c r="L2760" s="9">
        <f t="shared" si="1450"/>
        <v>0</v>
      </c>
      <c r="M2760" s="9">
        <f t="shared" si="1450"/>
        <v>220871032.84999996</v>
      </c>
      <c r="N2760" s="9">
        <f t="shared" si="1450"/>
        <v>27903125.039999999</v>
      </c>
      <c r="O2760" s="9">
        <f t="shared" si="1450"/>
        <v>0</v>
      </c>
      <c r="P2760" s="9">
        <f t="shared" si="1450"/>
        <v>27903125.039999999</v>
      </c>
      <c r="Q2760" s="9">
        <f t="shared" si="1450"/>
        <v>229301.32</v>
      </c>
      <c r="R2760" s="9">
        <f t="shared" si="1450"/>
        <v>0</v>
      </c>
      <c r="S2760" s="9">
        <f t="shared" si="1450"/>
        <v>3917.16</v>
      </c>
      <c r="T2760" s="9">
        <f t="shared" si="1450"/>
        <v>191301.40999999997</v>
      </c>
      <c r="U2760" s="9">
        <f t="shared" si="1450"/>
        <v>28094426.450000003</v>
      </c>
      <c r="V2760" s="9">
        <f t="shared" si="1450"/>
        <v>193745602.87</v>
      </c>
      <c r="W2760" s="9">
        <f t="shared" si="1450"/>
        <v>1511722.4099999997</v>
      </c>
      <c r="X2760" s="9">
        <f t="shared" si="1450"/>
        <v>248774157.88999996</v>
      </c>
      <c r="Y2760" s="9">
        <f t="shared" si="1450"/>
        <v>0</v>
      </c>
      <c r="Z2760" s="9">
        <f t="shared" si="1450"/>
        <v>1511722.4099999997</v>
      </c>
      <c r="AA2760" s="9">
        <f t="shared" si="1450"/>
        <v>248965459.29999998</v>
      </c>
      <c r="AB2760" s="9">
        <f t="shared" si="1450"/>
        <v>1320421</v>
      </c>
    </row>
    <row r="2761" spans="1:28" x14ac:dyDescent="0.3">
      <c r="A2761" s="64"/>
      <c r="B2761" s="8"/>
      <c r="C2761" s="8"/>
      <c r="D2761" s="8"/>
      <c r="E2761" s="17" t="s">
        <v>114</v>
      </c>
      <c r="F2761" s="17" t="s">
        <v>114</v>
      </c>
      <c r="G2761" s="17" t="s">
        <v>114</v>
      </c>
      <c r="H2761" s="17" t="s">
        <v>114</v>
      </c>
      <c r="I2761" s="17" t="s">
        <v>114</v>
      </c>
      <c r="J2761" s="17" t="s">
        <v>114</v>
      </c>
      <c r="K2761" s="17" t="s">
        <v>114</v>
      </c>
      <c r="L2761" s="17" t="s">
        <v>114</v>
      </c>
      <c r="M2761" s="17" t="s">
        <v>114</v>
      </c>
      <c r="N2761" s="17" t="s">
        <v>114</v>
      </c>
      <c r="O2761" s="17" t="s">
        <v>114</v>
      </c>
      <c r="P2761" s="17" t="s">
        <v>114</v>
      </c>
      <c r="Q2761" s="17" t="s">
        <v>114</v>
      </c>
      <c r="R2761" s="17" t="s">
        <v>114</v>
      </c>
      <c r="S2761" s="17" t="s">
        <v>114</v>
      </c>
      <c r="T2761" s="17" t="s">
        <v>114</v>
      </c>
      <c r="U2761" s="17" t="s">
        <v>114</v>
      </c>
      <c r="V2761" s="17" t="s">
        <v>114</v>
      </c>
      <c r="W2761" s="17" t="s">
        <v>114</v>
      </c>
      <c r="X2761" s="17" t="s">
        <v>114</v>
      </c>
      <c r="Y2761" s="17" t="s">
        <v>114</v>
      </c>
      <c r="Z2761" s="17" t="s">
        <v>114</v>
      </c>
      <c r="AA2761" s="17" t="s">
        <v>114</v>
      </c>
      <c r="AB2761" s="17" t="s">
        <v>114</v>
      </c>
    </row>
    <row r="2762" spans="1:28" x14ac:dyDescent="0.3">
      <c r="A2762" s="64"/>
      <c r="B2762" s="8"/>
      <c r="C2762" s="8"/>
      <c r="D2762" s="8"/>
      <c r="E2762" s="8"/>
      <c r="F2762" s="8"/>
      <c r="G2762" s="8"/>
      <c r="H2762" s="8"/>
      <c r="I2762" s="8"/>
      <c r="J2762" s="8"/>
      <c r="K2762" s="8"/>
      <c r="L2762" s="8"/>
      <c r="M2762" s="8"/>
      <c r="N2762" s="8"/>
      <c r="O2762" s="8"/>
      <c r="P2762" s="8"/>
      <c r="Q2762" s="8"/>
      <c r="R2762" s="8"/>
      <c r="S2762" s="8"/>
      <c r="T2762" s="8"/>
      <c r="U2762" s="8"/>
      <c r="V2762" s="8"/>
      <c r="W2762" s="8"/>
      <c r="X2762" s="8"/>
      <c r="Y2762" s="8"/>
      <c r="Z2762" s="8"/>
    </row>
    <row r="2763" spans="1:28" x14ac:dyDescent="0.3">
      <c r="A2763" s="64"/>
      <c r="B2763" s="8"/>
      <c r="C2763" s="15" t="s">
        <v>487</v>
      </c>
      <c r="D2763" s="8"/>
      <c r="E2763" s="9">
        <f t="shared" ref="E2763:W2763" si="1451">E132+E237+E422+E639+E961+E1190+E1544+E1742+E1973+E2085+E2298+E2454+E2575+E2668+E2760</f>
        <v>6503751092.0899992</v>
      </c>
      <c r="F2763" s="9">
        <f t="shared" si="1451"/>
        <v>5486815109.6680002</v>
      </c>
      <c r="G2763" s="9">
        <f t="shared" si="1451"/>
        <v>107946476.16</v>
      </c>
      <c r="H2763" s="9">
        <f t="shared" si="1451"/>
        <v>5594761585.828001</v>
      </c>
      <c r="I2763" s="9">
        <f t="shared" si="1451"/>
        <v>240537753.12300006</v>
      </c>
      <c r="J2763" s="9">
        <f t="shared" si="1451"/>
        <v>2292650916.1430001</v>
      </c>
      <c r="K2763" s="9">
        <f t="shared" si="1451"/>
        <v>410207277.87999994</v>
      </c>
      <c r="L2763" s="9">
        <f t="shared" si="1451"/>
        <v>30674586.770000003</v>
      </c>
      <c r="M2763" s="9">
        <f t="shared" si="1451"/>
        <v>5625436172.5980005</v>
      </c>
      <c r="N2763" s="9">
        <f t="shared" si="1451"/>
        <v>721775522.82999992</v>
      </c>
      <c r="O2763" s="9">
        <f t="shared" si="1451"/>
        <v>0</v>
      </c>
      <c r="P2763" s="9">
        <f t="shared" si="1451"/>
        <v>721775522.82999992</v>
      </c>
      <c r="Q2763" s="9">
        <f t="shared" si="1451"/>
        <v>1962986831.5799999</v>
      </c>
      <c r="R2763" s="9">
        <f t="shared" si="1451"/>
        <v>-63832158.810000002</v>
      </c>
      <c r="S2763" s="9">
        <f t="shared" si="1451"/>
        <v>125806.33000000002</v>
      </c>
      <c r="T2763" s="9">
        <f t="shared" si="1451"/>
        <v>14597769.369999999</v>
      </c>
      <c r="U2763" s="9">
        <f t="shared" si="1451"/>
        <v>736373292.20000017</v>
      </c>
      <c r="V2763" s="9">
        <f t="shared" si="1451"/>
        <v>4350675908.8479996</v>
      </c>
      <c r="W2763" s="9">
        <f t="shared" si="1451"/>
        <v>174011752.822</v>
      </c>
      <c r="X2763" s="9">
        <f>+H2763+P2763</f>
        <v>6316537108.6580009</v>
      </c>
      <c r="Y2763" s="8"/>
      <c r="Z2763" s="9">
        <f>+E2763-X2763</f>
        <v>187213983.43199825</v>
      </c>
      <c r="AA2763" s="8">
        <f>+M2763+U2763</f>
        <v>6361809464.7980003</v>
      </c>
      <c r="AB2763" s="8">
        <f>+E2763-AA2763</f>
        <v>141941627.29199886</v>
      </c>
    </row>
    <row r="2764" spans="1:28" x14ac:dyDescent="0.3">
      <c r="A2764" s="64"/>
      <c r="B2764" s="8"/>
      <c r="C2764" s="8"/>
      <c r="D2764" s="8"/>
      <c r="E2764" s="17" t="s">
        <v>488</v>
      </c>
      <c r="F2764" s="17" t="s">
        <v>488</v>
      </c>
      <c r="G2764" s="17" t="s">
        <v>488</v>
      </c>
      <c r="H2764" s="17" t="s">
        <v>488</v>
      </c>
      <c r="I2764" s="17" t="s">
        <v>488</v>
      </c>
      <c r="J2764" s="17" t="s">
        <v>488</v>
      </c>
      <c r="K2764" s="17" t="s">
        <v>488</v>
      </c>
      <c r="L2764" s="17" t="s">
        <v>488</v>
      </c>
      <c r="M2764" s="17" t="s">
        <v>488</v>
      </c>
      <c r="N2764" s="17" t="s">
        <v>488</v>
      </c>
      <c r="O2764" s="17" t="s">
        <v>488</v>
      </c>
      <c r="P2764" s="17" t="s">
        <v>488</v>
      </c>
      <c r="Q2764" s="17" t="s">
        <v>488</v>
      </c>
      <c r="R2764" s="17" t="s">
        <v>488</v>
      </c>
      <c r="S2764" s="17" t="s">
        <v>488</v>
      </c>
      <c r="T2764" s="17" t="s">
        <v>488</v>
      </c>
      <c r="U2764" s="17" t="s">
        <v>488</v>
      </c>
      <c r="V2764" s="17" t="s">
        <v>488</v>
      </c>
      <c r="W2764" s="17" t="s">
        <v>488</v>
      </c>
      <c r="X2764" s="17" t="s">
        <v>488</v>
      </c>
      <c r="Y2764" s="17" t="s">
        <v>488</v>
      </c>
      <c r="Z2764" s="17" t="s">
        <v>488</v>
      </c>
      <c r="AA2764" s="17" t="s">
        <v>488</v>
      </c>
      <c r="AB2764" s="17" t="s">
        <v>488</v>
      </c>
    </row>
    <row r="2765" spans="1:28" x14ac:dyDescent="0.3">
      <c r="A2765" s="64"/>
      <c r="B2765" s="8"/>
      <c r="C2765" s="8"/>
      <c r="D2765" s="8"/>
      <c r="F2765" s="25"/>
      <c r="G2765" s="75"/>
      <c r="H2765" s="7" t="s">
        <v>1221</v>
      </c>
      <c r="I2765" s="18"/>
      <c r="J2765" s="18"/>
      <c r="K2765" s="18"/>
      <c r="L2765" s="18"/>
      <c r="M2765" s="18"/>
      <c r="N2765" s="18"/>
      <c r="O2765" s="76">
        <v>0</v>
      </c>
      <c r="P2765" s="7" t="s">
        <v>1086</v>
      </c>
      <c r="Q2765" s="18"/>
      <c r="R2765" s="18"/>
      <c r="S2765" s="18"/>
      <c r="T2765" s="18"/>
      <c r="U2765" s="18"/>
      <c r="V2765" s="18"/>
      <c r="W2765" s="18"/>
      <c r="X2765" s="9"/>
      <c r="Y2765" s="8"/>
      <c r="Z2765" s="9"/>
      <c r="AA2765" s="58"/>
    </row>
    <row r="2766" spans="1:28" x14ac:dyDescent="0.3">
      <c r="A2766" s="64"/>
      <c r="B2766" s="8"/>
      <c r="C2766" s="8"/>
      <c r="D2766" s="8"/>
      <c r="E2766" s="8"/>
      <c r="F2766" s="25"/>
      <c r="G2766" s="77"/>
      <c r="H2766" s="7" t="s">
        <v>1105</v>
      </c>
      <c r="I2766" s="18"/>
      <c r="J2766" s="18"/>
      <c r="K2766" s="18"/>
      <c r="L2766" s="18"/>
      <c r="M2766" s="18"/>
      <c r="N2766" s="18"/>
      <c r="O2766" s="78">
        <v>0</v>
      </c>
      <c r="P2766" s="7" t="s">
        <v>1123</v>
      </c>
      <c r="Q2766" s="18"/>
      <c r="R2766" s="18"/>
      <c r="S2766" s="18"/>
      <c r="T2766" s="79"/>
      <c r="U2766" s="18"/>
      <c r="V2766" s="18"/>
      <c r="W2766" s="18"/>
      <c r="X2766" s="9"/>
      <c r="Y2766" s="8"/>
      <c r="Z2766" s="9"/>
    </row>
    <row r="2767" spans="1:28" x14ac:dyDescent="0.3">
      <c r="A2767" s="64"/>
      <c r="B2767" s="8"/>
      <c r="C2767" s="8"/>
      <c r="D2767" s="8"/>
      <c r="E2767" s="8"/>
      <c r="F2767" s="25"/>
      <c r="G2767" s="66"/>
      <c r="H2767" s="67"/>
      <c r="I2767" s="18"/>
      <c r="J2767" s="18"/>
      <c r="K2767" s="18"/>
      <c r="L2767" s="18"/>
      <c r="M2767" s="18"/>
      <c r="N2767" s="18"/>
      <c r="O2767" s="44"/>
      <c r="P2767" s="18"/>
      <c r="Q2767" s="18"/>
      <c r="R2767" s="18"/>
      <c r="S2767" s="18"/>
      <c r="T2767" s="18"/>
      <c r="U2767" s="18"/>
      <c r="V2767" s="18"/>
      <c r="W2767" s="18"/>
      <c r="X2767" s="9"/>
      <c r="Y2767" s="8"/>
      <c r="Z2767" s="9"/>
    </row>
    <row r="2768" spans="1:28" x14ac:dyDescent="0.3">
      <c r="A2768" s="64"/>
      <c r="B2768" s="8"/>
      <c r="C2768" s="8" t="s">
        <v>1075</v>
      </c>
      <c r="D2768" s="8"/>
      <c r="E2768" s="8"/>
      <c r="F2768" s="25"/>
      <c r="G2768" s="18"/>
      <c r="H2768" s="18"/>
      <c r="I2768" s="18"/>
      <c r="J2768" s="18"/>
      <c r="K2768" s="18"/>
      <c r="L2768" s="18"/>
      <c r="M2768" s="18"/>
      <c r="N2768" s="18"/>
      <c r="O2768" s="18"/>
      <c r="P2768" s="18"/>
      <c r="Q2768" s="18"/>
      <c r="R2768" s="18"/>
      <c r="S2768" s="18"/>
      <c r="T2768" s="18"/>
      <c r="U2768" s="18"/>
      <c r="V2768" s="18"/>
      <c r="W2768" s="18"/>
      <c r="X2768" s="9"/>
      <c r="Y2768" s="8"/>
      <c r="Z2768" s="9"/>
    </row>
    <row r="2769" spans="1:51" x14ac:dyDescent="0.3">
      <c r="A2769" s="64"/>
      <c r="B2769" s="8"/>
      <c r="C2769" s="8"/>
      <c r="D2769" s="8"/>
      <c r="E2769" s="8"/>
      <c r="F2769" s="25"/>
      <c r="G2769" s="18"/>
      <c r="H2769" s="18"/>
      <c r="I2769" s="18"/>
      <c r="J2769" s="18"/>
      <c r="K2769" s="18"/>
      <c r="L2769" s="18"/>
      <c r="M2769" s="18"/>
      <c r="N2769" s="18"/>
      <c r="O2769" s="18"/>
      <c r="P2769" s="18"/>
      <c r="Q2769" s="18"/>
      <c r="R2769" s="18"/>
      <c r="S2769" s="18"/>
      <c r="T2769" s="18"/>
      <c r="U2769" s="18"/>
      <c r="V2769" s="18"/>
      <c r="W2769" s="18"/>
      <c r="X2769" s="9"/>
      <c r="Y2769" s="8"/>
      <c r="Z2769" s="9"/>
    </row>
    <row r="2770" spans="1:51" ht="21" customHeight="1" x14ac:dyDescent="0.3">
      <c r="A2770" s="64"/>
      <c r="B2770" s="8"/>
      <c r="C2770" s="8" t="s">
        <v>508</v>
      </c>
      <c r="D2770" s="8"/>
      <c r="E2770" s="8"/>
      <c r="F2770" s="8"/>
      <c r="G2770" s="8"/>
      <c r="H2770" s="8"/>
      <c r="I2770" s="8"/>
      <c r="J2770" s="8"/>
      <c r="K2770" s="8"/>
      <c r="L2770" s="8"/>
      <c r="M2770" s="8"/>
      <c r="N2770" s="8"/>
      <c r="O2770" s="8"/>
      <c r="P2770" s="8"/>
      <c r="Q2770" s="8"/>
      <c r="R2770" s="8"/>
      <c r="S2770" s="8"/>
      <c r="T2770" s="8"/>
      <c r="U2770" s="8"/>
      <c r="V2770" s="8"/>
      <c r="W2770" s="8"/>
      <c r="X2770" s="8"/>
      <c r="Y2770" s="8"/>
      <c r="Z2770" s="8"/>
    </row>
    <row r="2771" spans="1:51" x14ac:dyDescent="0.3">
      <c r="A2771" s="64"/>
      <c r="B2771" s="8"/>
      <c r="C2771" s="8"/>
      <c r="D2771" s="8"/>
      <c r="E2771" s="8"/>
      <c r="F2771" s="8"/>
      <c r="G2771" s="8"/>
      <c r="H2771" s="8"/>
      <c r="I2771" s="8"/>
      <c r="J2771" s="8"/>
      <c r="K2771" s="8"/>
      <c r="L2771" s="8"/>
      <c r="M2771" s="8"/>
      <c r="N2771" s="8"/>
      <c r="O2771" s="8"/>
      <c r="P2771" s="8"/>
      <c r="Q2771" s="8"/>
      <c r="R2771" s="8"/>
      <c r="S2771" s="8"/>
      <c r="T2771" s="8"/>
      <c r="U2771" s="8"/>
      <c r="V2771" s="8"/>
      <c r="W2771" s="8"/>
      <c r="X2771" s="8"/>
      <c r="Y2771" s="8"/>
      <c r="Z2771" s="8"/>
    </row>
    <row r="2772" spans="1:51" x14ac:dyDescent="0.3">
      <c r="A2772" s="64"/>
      <c r="B2772" s="8"/>
      <c r="C2772" s="8"/>
      <c r="D2772" s="8"/>
      <c r="E2772" s="8"/>
      <c r="F2772" s="8"/>
      <c r="G2772" s="8"/>
      <c r="H2772" s="8"/>
      <c r="I2772" s="8"/>
      <c r="J2772" s="8"/>
      <c r="K2772" s="8"/>
      <c r="L2772" s="8"/>
      <c r="M2772" s="8"/>
      <c r="N2772" s="8"/>
      <c r="O2772" s="8"/>
      <c r="P2772" s="8"/>
      <c r="Q2772" s="8"/>
      <c r="R2772" s="8"/>
      <c r="S2772" s="8"/>
      <c r="T2772" s="8"/>
      <c r="U2772" s="8"/>
      <c r="V2772" s="8"/>
      <c r="W2772" s="8"/>
      <c r="X2772" s="8"/>
      <c r="Y2772" s="8"/>
      <c r="Z2772" s="8"/>
    </row>
    <row r="2773" spans="1:51" x14ac:dyDescent="0.3">
      <c r="A2773" s="64"/>
      <c r="B2773" s="8"/>
      <c r="C2773" s="7" t="s">
        <v>1071</v>
      </c>
      <c r="D2773" s="8"/>
      <c r="E2773" s="8"/>
      <c r="F2773" s="8"/>
      <c r="G2773" s="8"/>
      <c r="H2773" s="8"/>
      <c r="I2773" s="8"/>
      <c r="J2773" s="8"/>
      <c r="K2773" s="8"/>
      <c r="L2773" s="8"/>
      <c r="M2773" s="8"/>
      <c r="N2773" s="8"/>
      <c r="O2773" s="8"/>
      <c r="P2773" s="8"/>
      <c r="Q2773" s="8"/>
      <c r="R2773" s="8"/>
      <c r="S2773" s="8"/>
      <c r="T2773" s="8"/>
      <c r="U2773" s="8"/>
      <c r="V2773" s="8"/>
      <c r="W2773" s="8"/>
      <c r="X2773" s="8"/>
      <c r="Y2773" s="8"/>
      <c r="Z2773" s="8"/>
    </row>
    <row r="2774" spans="1:51" x14ac:dyDescent="0.3">
      <c r="A2774" s="64"/>
      <c r="B2774" s="8"/>
      <c r="C2774" s="7" t="s">
        <v>1070</v>
      </c>
      <c r="D2774" s="8"/>
      <c r="E2774" s="8"/>
      <c r="F2774" s="8"/>
      <c r="G2774" s="8"/>
      <c r="H2774" s="8"/>
      <c r="I2774" s="8"/>
      <c r="J2774" s="8"/>
      <c r="K2774" s="8"/>
      <c r="L2774" s="8"/>
      <c r="M2774" s="8"/>
      <c r="N2774" s="8"/>
      <c r="O2774" s="8"/>
      <c r="P2774" s="8"/>
      <c r="Q2774" s="8"/>
      <c r="R2774" s="8"/>
      <c r="S2774" s="8"/>
      <c r="T2774" s="8"/>
      <c r="U2774" s="8"/>
      <c r="V2774" s="8"/>
      <c r="W2774" s="8"/>
      <c r="X2774" s="8"/>
      <c r="Y2774" s="8"/>
      <c r="Z2774" s="8"/>
    </row>
    <row r="2775" spans="1:51" x14ac:dyDescent="0.3">
      <c r="A2775" s="64"/>
      <c r="B2775" s="8"/>
      <c r="C2775" s="14" t="str">
        <f>+B3</f>
        <v>AS OF  MAY  31,  2006</v>
      </c>
      <c r="D2775" s="9"/>
      <c r="E2775" s="8"/>
      <c r="F2775" s="8"/>
      <c r="G2775" s="15" t="s">
        <v>1</v>
      </c>
      <c r="H2775" s="9"/>
      <c r="I2775" s="15" t="s">
        <v>2</v>
      </c>
      <c r="J2775" s="8"/>
      <c r="K2775" s="15" t="s">
        <v>2</v>
      </c>
      <c r="L2775" s="15" t="s">
        <v>3</v>
      </c>
      <c r="M2775" s="15" t="s">
        <v>3</v>
      </c>
      <c r="N2775" s="8"/>
      <c r="O2775" s="15" t="s">
        <v>4</v>
      </c>
      <c r="P2775" s="9"/>
      <c r="Q2775" s="8"/>
      <c r="R2775" s="8"/>
      <c r="S2775" s="15" t="s">
        <v>2</v>
      </c>
      <c r="T2775" s="15" t="s">
        <v>3</v>
      </c>
      <c r="U2775" s="15" t="s">
        <v>3</v>
      </c>
      <c r="V2775" s="15" t="s">
        <v>3</v>
      </c>
      <c r="W2775" s="15" t="s">
        <v>5</v>
      </c>
      <c r="X2775" s="15" t="s">
        <v>3</v>
      </c>
      <c r="Y2775" s="15" t="s">
        <v>15</v>
      </c>
      <c r="Z2775" s="15" t="s">
        <v>5</v>
      </c>
      <c r="AA2775" s="51" t="s">
        <v>1109</v>
      </c>
      <c r="AB2775" s="51" t="s">
        <v>5</v>
      </c>
    </row>
    <row r="2776" spans="1:51" x14ac:dyDescent="0.3">
      <c r="A2776" s="64"/>
      <c r="B2776" s="8"/>
      <c r="C2776" s="8"/>
      <c r="D2776" s="9"/>
      <c r="E2776" s="15" t="s">
        <v>7</v>
      </c>
      <c r="F2776" s="15" t="s">
        <v>8</v>
      </c>
      <c r="G2776" s="15" t="s">
        <v>9</v>
      </c>
      <c r="H2776" s="9"/>
      <c r="I2776" s="15" t="s">
        <v>10</v>
      </c>
      <c r="J2776" s="15" t="s">
        <v>11</v>
      </c>
      <c r="K2776" s="15" t="s">
        <v>12</v>
      </c>
      <c r="L2776" s="15" t="s">
        <v>1</v>
      </c>
      <c r="M2776" s="15" t="s">
        <v>1</v>
      </c>
      <c r="N2776" s="15" t="s">
        <v>4</v>
      </c>
      <c r="O2776" s="15" t="s">
        <v>12</v>
      </c>
      <c r="P2776" s="9"/>
      <c r="Q2776" s="15" t="s">
        <v>2</v>
      </c>
      <c r="R2776" s="15" t="s">
        <v>11</v>
      </c>
      <c r="S2776" s="15" t="s">
        <v>12</v>
      </c>
      <c r="T2776" s="15" t="s">
        <v>13</v>
      </c>
      <c r="U2776" s="15" t="s">
        <v>13</v>
      </c>
      <c r="V2776" s="15" t="s">
        <v>9</v>
      </c>
      <c r="W2776" s="15" t="s">
        <v>14</v>
      </c>
      <c r="X2776" s="15" t="s">
        <v>9</v>
      </c>
      <c r="Y2776" s="15" t="s">
        <v>27</v>
      </c>
      <c r="Z2776" s="15" t="s">
        <v>14</v>
      </c>
      <c r="AA2776" s="51" t="s">
        <v>9</v>
      </c>
      <c r="AB2776" s="51" t="s">
        <v>14</v>
      </c>
      <c r="AC2776" s="8"/>
      <c r="AD2776" s="8"/>
      <c r="AE2776" s="15"/>
      <c r="AF2776" s="9"/>
      <c r="AG2776" s="15"/>
      <c r="AH2776" s="8"/>
      <c r="AI2776" s="15"/>
      <c r="AJ2776" s="15"/>
      <c r="AK2776" s="15"/>
      <c r="AL2776" s="8"/>
      <c r="AM2776" s="15"/>
      <c r="AN2776" s="9"/>
      <c r="AO2776" s="8"/>
      <c r="AP2776" s="8"/>
      <c r="AQ2776" s="15"/>
      <c r="AR2776" s="15"/>
      <c r="AS2776" s="15"/>
      <c r="AT2776" s="15"/>
      <c r="AU2776" s="15"/>
      <c r="AV2776" s="8"/>
      <c r="AW2776" s="15"/>
      <c r="AX2776" s="8"/>
    </row>
    <row r="2777" spans="1:51" x14ac:dyDescent="0.3">
      <c r="A2777" s="64"/>
      <c r="B2777" s="8"/>
      <c r="C2777" s="9"/>
      <c r="D2777" s="9"/>
      <c r="E2777" s="15" t="s">
        <v>18</v>
      </c>
      <c r="F2777" s="15" t="str">
        <f>+F6</f>
        <v>AS OF 04/30/06</v>
      </c>
      <c r="G2777" s="15" t="s">
        <v>19</v>
      </c>
      <c r="H2777" s="15" t="s">
        <v>20</v>
      </c>
      <c r="I2777" s="15" t="s">
        <v>21</v>
      </c>
      <c r="J2777" s="15" t="s">
        <v>22</v>
      </c>
      <c r="K2777" s="15" t="s">
        <v>21</v>
      </c>
      <c r="L2777" s="15" t="s">
        <v>2</v>
      </c>
      <c r="M2777" s="15" t="s">
        <v>9</v>
      </c>
      <c r="N2777" s="15" t="str">
        <f>+F2777</f>
        <v>AS OF 04/30/06</v>
      </c>
      <c r="O2777" s="15" t="s">
        <v>21</v>
      </c>
      <c r="P2777" s="15" t="s">
        <v>20</v>
      </c>
      <c r="Q2777" s="15" t="s">
        <v>23</v>
      </c>
      <c r="R2777" s="15" t="s">
        <v>24</v>
      </c>
      <c r="S2777" s="15" t="s">
        <v>21</v>
      </c>
      <c r="T2777" s="15" t="s">
        <v>2</v>
      </c>
      <c r="U2777" s="15" t="s">
        <v>9</v>
      </c>
      <c r="V2777" s="15" t="s">
        <v>25</v>
      </c>
      <c r="W2777" s="7" t="s">
        <v>26</v>
      </c>
      <c r="X2777" s="51" t="s">
        <v>1108</v>
      </c>
      <c r="Y2777" s="15" t="s">
        <v>27</v>
      </c>
      <c r="Z2777" s="51" t="s">
        <v>1108</v>
      </c>
      <c r="AA2777" s="51" t="s">
        <v>1110</v>
      </c>
      <c r="AB2777" s="51" t="s">
        <v>1110</v>
      </c>
      <c r="AC2777" s="15"/>
      <c r="AD2777" s="15"/>
      <c r="AE2777" s="15"/>
      <c r="AF2777" s="9"/>
      <c r="AG2777" s="15"/>
      <c r="AH2777" s="15"/>
      <c r="AI2777" s="15"/>
      <c r="AJ2777" s="15"/>
      <c r="AK2777" s="15"/>
      <c r="AL2777" s="15"/>
      <c r="AM2777" s="15"/>
      <c r="AN2777" s="9"/>
      <c r="AO2777" s="15"/>
      <c r="AP2777" s="15"/>
      <c r="AQ2777" s="15"/>
      <c r="AR2777" s="15"/>
      <c r="AS2777" s="15"/>
      <c r="AT2777" s="15"/>
      <c r="AU2777" s="15"/>
      <c r="AV2777" s="15"/>
      <c r="AW2777" s="15"/>
      <c r="AY2777" s="15"/>
    </row>
    <row r="2778" spans="1:51" x14ac:dyDescent="0.3">
      <c r="A2778" s="64"/>
      <c r="B2778" s="8"/>
      <c r="C2778" s="9"/>
      <c r="D2778" s="9"/>
      <c r="E2778" s="7" t="s">
        <v>30</v>
      </c>
      <c r="F2778" s="16" t="s">
        <v>31</v>
      </c>
      <c r="G2778" s="7" t="s">
        <v>47</v>
      </c>
      <c r="H2778" s="16" t="s">
        <v>33</v>
      </c>
      <c r="I2778" s="7" t="s">
        <v>34</v>
      </c>
      <c r="J2778" s="7" t="s">
        <v>35</v>
      </c>
      <c r="K2778" s="7" t="s">
        <v>34</v>
      </c>
      <c r="L2778" s="16" t="s">
        <v>42</v>
      </c>
      <c r="M2778" s="7" t="s">
        <v>490</v>
      </c>
      <c r="N2778" s="17" t="s">
        <v>37</v>
      </c>
      <c r="O2778" s="7" t="s">
        <v>47</v>
      </c>
      <c r="P2778" s="7" t="s">
        <v>39</v>
      </c>
      <c r="Q2778" s="7" t="s">
        <v>40</v>
      </c>
      <c r="R2778" s="7" t="s">
        <v>41</v>
      </c>
      <c r="S2778" s="7" t="s">
        <v>34</v>
      </c>
      <c r="T2778" s="16" t="s">
        <v>28</v>
      </c>
      <c r="U2778" s="7" t="s">
        <v>491</v>
      </c>
      <c r="V2778" s="7" t="s">
        <v>44</v>
      </c>
      <c r="W2778" s="7" t="s">
        <v>45</v>
      </c>
      <c r="X2778" s="7" t="s">
        <v>46</v>
      </c>
      <c r="Y2778" s="7" t="s">
        <v>34</v>
      </c>
      <c r="Z2778" s="7" t="s">
        <v>47</v>
      </c>
      <c r="AA2778" s="13" t="s">
        <v>1111</v>
      </c>
      <c r="AB2778" s="7" t="s">
        <v>1112</v>
      </c>
      <c r="AC2778" s="15"/>
      <c r="AD2778" s="15"/>
      <c r="AE2778" s="15"/>
      <c r="AF2778" s="15"/>
      <c r="AG2778" s="15"/>
      <c r="AH2778" s="15"/>
      <c r="AI2778" s="15"/>
      <c r="AJ2778" s="15"/>
      <c r="AK2778" s="15"/>
      <c r="AL2778" s="15"/>
      <c r="AM2778" s="15"/>
      <c r="AN2778" s="15"/>
      <c r="AO2778" s="15"/>
      <c r="AP2778" s="15"/>
      <c r="AQ2778" s="15"/>
      <c r="AR2778" s="15"/>
      <c r="AS2778" s="15"/>
      <c r="AT2778" s="15"/>
      <c r="AU2778" s="7"/>
      <c r="AV2778" s="15"/>
      <c r="AW2778" s="15"/>
      <c r="AY2778" s="15"/>
    </row>
    <row r="2779" spans="1:51" x14ac:dyDescent="0.3">
      <c r="A2779" s="64"/>
      <c r="B2779" s="8"/>
      <c r="C2779" s="9"/>
      <c r="D2779" s="9"/>
      <c r="E2779" s="7"/>
      <c r="F2779" s="16"/>
      <c r="G2779" s="7"/>
      <c r="H2779" s="16"/>
      <c r="I2779" s="7"/>
      <c r="J2779" s="7"/>
      <c r="K2779" s="7"/>
      <c r="L2779" s="16"/>
      <c r="M2779" s="7"/>
      <c r="N2779" s="17"/>
      <c r="O2779" s="7"/>
      <c r="P2779" s="7"/>
      <c r="Q2779" s="7"/>
      <c r="R2779" s="7"/>
      <c r="S2779" s="7"/>
      <c r="T2779" s="16"/>
      <c r="U2779" s="7"/>
      <c r="V2779" s="7"/>
      <c r="W2779" s="7"/>
      <c r="X2779" s="7"/>
      <c r="Y2779" s="7"/>
      <c r="Z2779" s="7"/>
      <c r="AC2779" s="15"/>
      <c r="AD2779" s="15"/>
      <c r="AE2779" s="15"/>
      <c r="AF2779" s="15"/>
      <c r="AG2779" s="15"/>
      <c r="AH2779" s="15"/>
      <c r="AI2779" s="15"/>
      <c r="AJ2779" s="15"/>
      <c r="AK2779" s="15"/>
      <c r="AL2779" s="15"/>
      <c r="AM2779" s="15"/>
      <c r="AN2779" s="15"/>
      <c r="AO2779" s="15"/>
      <c r="AP2779" s="15"/>
      <c r="AQ2779" s="15"/>
      <c r="AR2779" s="15"/>
      <c r="AS2779" s="15"/>
      <c r="AT2779" s="15"/>
      <c r="AU2779" s="7"/>
      <c r="AV2779" s="15"/>
      <c r="AW2779" s="15"/>
      <c r="AY2779" s="15"/>
    </row>
    <row r="2780" spans="1:51" x14ac:dyDescent="0.3">
      <c r="A2780" s="64"/>
      <c r="B2780" s="8"/>
      <c r="C2780" s="7" t="s">
        <v>902</v>
      </c>
      <c r="D2780" s="8"/>
      <c r="E2780" s="9">
        <v>894329.86</v>
      </c>
      <c r="F2780" s="9">
        <v>445822</v>
      </c>
      <c r="G2780" s="9">
        <v>0</v>
      </c>
      <c r="H2780" s="9">
        <f t="shared" ref="H2780:H2801" si="1452">+F2780+G2780</f>
        <v>445822</v>
      </c>
      <c r="I2780" s="9" t="str">
        <f>I1538</f>
        <v>-</v>
      </c>
      <c r="J2780" s="9" t="str">
        <f>J1538</f>
        <v>-</v>
      </c>
      <c r="K2780" s="9" t="str">
        <f>K1538</f>
        <v>-</v>
      </c>
      <c r="L2780" s="9">
        <v>0</v>
      </c>
      <c r="M2780" s="9">
        <f t="shared" ref="M2780:M2852" si="1453">+H2780+L2780</f>
        <v>445822</v>
      </c>
      <c r="N2780" s="9">
        <v>448507.86</v>
      </c>
      <c r="O2780" s="9">
        <v>0</v>
      </c>
      <c r="P2780" s="9">
        <f>+N2780+O2780</f>
        <v>448507.86</v>
      </c>
      <c r="Q2780" s="9" t="str">
        <f>Q1538</f>
        <v>-</v>
      </c>
      <c r="R2780" s="9" t="str">
        <f>R1538</f>
        <v>-</v>
      </c>
      <c r="S2780" s="9" t="str">
        <f>S1538</f>
        <v>-</v>
      </c>
      <c r="T2780" s="9">
        <v>0</v>
      </c>
      <c r="U2780" s="9">
        <f t="shared" ref="U2780:U2810" si="1454">+P2780+T2780</f>
        <v>448507.86</v>
      </c>
      <c r="V2780" s="9" t="str">
        <f>V1538</f>
        <v>-</v>
      </c>
      <c r="W2780" s="9" t="str">
        <f>W1538</f>
        <v>-</v>
      </c>
      <c r="X2780" s="9">
        <f>+H2780+P2780</f>
        <v>894329.86</v>
      </c>
      <c r="Y2780" s="9" t="str">
        <f>Y1538</f>
        <v>-</v>
      </c>
      <c r="Z2780" s="9">
        <f>+E2780-X2780</f>
        <v>0</v>
      </c>
      <c r="AA2780" s="8">
        <f>+M2780+U2780</f>
        <v>894329.86</v>
      </c>
      <c r="AB2780" s="18">
        <f>+E2780-AA2780</f>
        <v>0</v>
      </c>
      <c r="AC2780" s="7"/>
      <c r="AD2780" s="16"/>
      <c r="AE2780" s="7"/>
      <c r="AF2780" s="16"/>
      <c r="AG2780" s="7"/>
      <c r="AH2780" s="7"/>
      <c r="AI2780" s="7"/>
      <c r="AJ2780" s="16"/>
      <c r="AK2780" s="7"/>
      <c r="AL2780" s="17"/>
      <c r="AM2780" s="7"/>
      <c r="AN2780" s="7"/>
      <c r="AO2780" s="7"/>
      <c r="AP2780" s="7"/>
      <c r="AQ2780" s="7"/>
      <c r="AR2780" s="16"/>
      <c r="AS2780" s="7"/>
      <c r="AT2780" s="7"/>
      <c r="AU2780" s="7"/>
      <c r="AV2780" s="7"/>
      <c r="AW2780" s="7"/>
      <c r="AY2780" s="7"/>
    </row>
    <row r="2781" spans="1:51" x14ac:dyDescent="0.3">
      <c r="A2781" s="64"/>
      <c r="B2781" s="8"/>
      <c r="C2781" s="7" t="s">
        <v>913</v>
      </c>
      <c r="D2781" s="8"/>
      <c r="E2781" s="9">
        <v>912310.72</v>
      </c>
      <c r="F2781" s="9">
        <v>912310.72</v>
      </c>
      <c r="G2781" s="9">
        <v>0</v>
      </c>
      <c r="H2781" s="9">
        <f t="shared" si="1452"/>
        <v>912310.72</v>
      </c>
      <c r="I2781" s="9">
        <f>I485+I509</f>
        <v>1029988.23</v>
      </c>
      <c r="J2781" s="9">
        <f>J485+J509</f>
        <v>0</v>
      </c>
      <c r="K2781" s="9">
        <f>K485+K509</f>
        <v>0</v>
      </c>
      <c r="L2781" s="9">
        <v>0</v>
      </c>
      <c r="M2781" s="9">
        <f t="shared" si="1453"/>
        <v>912310.72</v>
      </c>
      <c r="N2781" s="9">
        <f>N485+N509</f>
        <v>0</v>
      </c>
      <c r="O2781" s="9">
        <v>0</v>
      </c>
      <c r="P2781" s="9">
        <f t="shared" ref="P2781:P2852" si="1455">+N2781+O2781</f>
        <v>0</v>
      </c>
      <c r="Q2781" s="9">
        <f>Q485+Q509</f>
        <v>0</v>
      </c>
      <c r="R2781" s="9">
        <f>R485+R509</f>
        <v>0</v>
      </c>
      <c r="S2781" s="9">
        <f>S485+S509</f>
        <v>0</v>
      </c>
      <c r="T2781" s="9">
        <v>0</v>
      </c>
      <c r="U2781" s="9">
        <f t="shared" si="1454"/>
        <v>0</v>
      </c>
      <c r="V2781" s="9">
        <f>V485+V509</f>
        <v>4858632.5</v>
      </c>
      <c r="W2781" s="9">
        <f>W485+W509</f>
        <v>1029988.2300000004</v>
      </c>
      <c r="X2781" s="9">
        <f t="shared" ref="X2781:X2860" si="1456">+H2781+P2781</f>
        <v>912310.72</v>
      </c>
      <c r="Y2781" s="9">
        <f t="shared" ref="Y2781:Y2787" si="1457">Y1539</f>
        <v>0</v>
      </c>
      <c r="Z2781" s="9">
        <f t="shared" ref="Z2781:Z2860" si="1458">+E2781-X2781</f>
        <v>0</v>
      </c>
      <c r="AA2781" s="8">
        <f t="shared" ref="AA2781:AA2860" si="1459">+M2781+U2781</f>
        <v>912310.72</v>
      </c>
      <c r="AB2781" s="18">
        <f t="shared" ref="AB2781:AB2860" si="1460">+E2781-AA2781</f>
        <v>0</v>
      </c>
    </row>
    <row r="2782" spans="1:51" x14ac:dyDescent="0.3">
      <c r="A2782" s="64"/>
      <c r="B2782" s="8"/>
      <c r="C2782" s="7" t="s">
        <v>904</v>
      </c>
      <c r="D2782" s="8"/>
      <c r="E2782" s="9">
        <v>11233899.52</v>
      </c>
      <c r="F2782" s="9">
        <v>11233899.52</v>
      </c>
      <c r="G2782" s="9">
        <v>0</v>
      </c>
      <c r="H2782" s="9">
        <f t="shared" si="1452"/>
        <v>11233899.52</v>
      </c>
      <c r="I2782" s="9">
        <f>I132+I2+I16+I69+I468+I1549+I1619+I1640+I2572+I2017+I2039+I1085+I1167</f>
        <v>22253398.280000001</v>
      </c>
      <c r="J2782" s="9">
        <f>J132+J2+J16+J69+J468+J1549+J1619+J1640+J2572+J2017+J2039+J1085+J1167</f>
        <v>19199231.280000001</v>
      </c>
      <c r="K2782" s="9">
        <f>K132+K2+K16+K69+K468+K1549+K1619+K1640+K2572+K2017+K2039+K1085+K1167</f>
        <v>0</v>
      </c>
      <c r="L2782" s="9">
        <v>0</v>
      </c>
      <c r="M2782" s="9">
        <f t="shared" si="1453"/>
        <v>11233899.52</v>
      </c>
      <c r="N2782" s="9">
        <v>0</v>
      </c>
      <c r="O2782" s="9">
        <v>0</v>
      </c>
      <c r="P2782" s="9">
        <f t="shared" si="1455"/>
        <v>0</v>
      </c>
      <c r="Q2782" s="9">
        <f>Q132+Q2+Q16+Q69+Q468+Q1549+Q1619+Q1640+Q2572+Q2017+Q2039+Q1085+Q1167</f>
        <v>118869.38</v>
      </c>
      <c r="R2782" s="9">
        <f>R132+R2+R16+R69+R468+R1549+R1619+R1640+R2572+R2017+R2039+R1085+R1167</f>
        <v>0</v>
      </c>
      <c r="S2782" s="9">
        <f>S132+S2+S16+S69+S468+S1549+S1619+S1640+S2572+S2017+S2039+S1085+S1167</f>
        <v>31498.43</v>
      </c>
      <c r="T2782" s="9">
        <v>0</v>
      </c>
      <c r="U2782" s="9">
        <f t="shared" si="1454"/>
        <v>0</v>
      </c>
      <c r="V2782" s="9">
        <f>V132+V2+V16+V69+V468+V1549+V1619+V1640+V2572+V2017+V2039+V1085+V1167</f>
        <v>412886069.25999999</v>
      </c>
      <c r="W2782" s="9">
        <f>W132+W2+W16+W69+W468+W1549+W1619+W1640+W2572+W2017+W2039+W1085+W1167</f>
        <v>4980870.2799999993</v>
      </c>
      <c r="X2782" s="9">
        <f t="shared" si="1456"/>
        <v>11233899.52</v>
      </c>
      <c r="Y2782" s="9">
        <f t="shared" si="1457"/>
        <v>0</v>
      </c>
      <c r="Z2782" s="9">
        <f t="shared" si="1458"/>
        <v>0</v>
      </c>
      <c r="AA2782" s="8">
        <f t="shared" si="1459"/>
        <v>11233899.52</v>
      </c>
      <c r="AB2782" s="18">
        <f t="shared" si="1460"/>
        <v>0</v>
      </c>
    </row>
    <row r="2783" spans="1:51" x14ac:dyDescent="0.3">
      <c r="A2783" s="64"/>
      <c r="B2783" s="8"/>
      <c r="C2783" s="7" t="s">
        <v>907</v>
      </c>
      <c r="D2783" s="8"/>
      <c r="E2783" s="9">
        <v>11222285</v>
      </c>
      <c r="F2783" s="9">
        <v>11222285</v>
      </c>
      <c r="G2783" s="9">
        <v>0</v>
      </c>
      <c r="H2783" s="9">
        <f t="shared" si="1452"/>
        <v>11222285</v>
      </c>
      <c r="I2783" s="9">
        <f>I106+I83+I67</f>
        <v>0</v>
      </c>
      <c r="J2783" s="9">
        <f>J106+J83+J67</f>
        <v>0</v>
      </c>
      <c r="K2783" s="9">
        <f>K106+K83+K67</f>
        <v>0</v>
      </c>
      <c r="L2783" s="9">
        <v>0</v>
      </c>
      <c r="M2783" s="9">
        <f t="shared" si="1453"/>
        <v>11222285</v>
      </c>
      <c r="N2783" s="9">
        <v>0</v>
      </c>
      <c r="O2783" s="9">
        <v>0</v>
      </c>
      <c r="P2783" s="9">
        <f t="shared" si="1455"/>
        <v>0</v>
      </c>
      <c r="Q2783" s="9">
        <f>Q106+Q83+Q67</f>
        <v>0</v>
      </c>
      <c r="R2783" s="9">
        <f>R106+R83+R67</f>
        <v>0</v>
      </c>
      <c r="S2783" s="9">
        <f>S106+S83+S67</f>
        <v>0</v>
      </c>
      <c r="T2783" s="9">
        <v>0</v>
      </c>
      <c r="U2783" s="9">
        <f t="shared" si="1454"/>
        <v>0</v>
      </c>
      <c r="V2783" s="9">
        <f>V106+V83+V67</f>
        <v>1325240</v>
      </c>
      <c r="W2783" s="9">
        <f>W106+W83+W67</f>
        <v>0</v>
      </c>
      <c r="X2783" s="9">
        <f t="shared" si="1456"/>
        <v>11222285</v>
      </c>
      <c r="Y2783" s="9" t="str">
        <f t="shared" si="1457"/>
        <v>-</v>
      </c>
      <c r="Z2783" s="9">
        <f t="shared" si="1458"/>
        <v>0</v>
      </c>
      <c r="AA2783" s="8">
        <f t="shared" si="1459"/>
        <v>11222285</v>
      </c>
      <c r="AB2783" s="18">
        <f t="shared" si="1460"/>
        <v>0</v>
      </c>
      <c r="AC2783" s="68"/>
      <c r="AD2783" s="69"/>
      <c r="AE2783" s="69"/>
      <c r="AF2783" s="69"/>
      <c r="AG2783" s="69"/>
      <c r="AH2783" s="69"/>
      <c r="AI2783" s="69"/>
      <c r="AJ2783" s="69"/>
      <c r="AK2783" s="69"/>
      <c r="AL2783" s="69"/>
      <c r="AM2783" s="69"/>
      <c r="AN2783" s="69"/>
      <c r="AO2783" s="69"/>
      <c r="AP2783" s="69"/>
      <c r="AQ2783" s="69"/>
      <c r="AR2783" s="69"/>
      <c r="AS2783" s="69"/>
      <c r="AT2783" s="69"/>
      <c r="AU2783" s="69"/>
      <c r="AV2783" s="69"/>
      <c r="AW2783" s="69"/>
      <c r="AX2783" s="69"/>
      <c r="AY2783" s="69"/>
    </row>
    <row r="2784" spans="1:51" x14ac:dyDescent="0.3">
      <c r="A2784" s="64"/>
      <c r="B2784" s="8"/>
      <c r="C2784" s="7" t="s">
        <v>905</v>
      </c>
      <c r="D2784" s="8"/>
      <c r="E2784" s="9">
        <v>12329042.27</v>
      </c>
      <c r="F2784" s="9">
        <v>12329042.27</v>
      </c>
      <c r="G2784" s="9">
        <v>0</v>
      </c>
      <c r="H2784" s="9">
        <f t="shared" si="1452"/>
        <v>12329042.27</v>
      </c>
      <c r="I2784" s="9">
        <f>I2053+I2456+I2457+I2458+I2459+I2473+I2474+I2475+I2476+I2502</f>
        <v>8199671</v>
      </c>
      <c r="J2784" s="9">
        <f>J2053+J2456+J2457+J2458+J2459+J2473+J2474+J2475+J2476+J2502</f>
        <v>0</v>
      </c>
      <c r="K2784" s="9">
        <f>K2053+K2456+K2457+K2458+K2459+K2473+K2474+K2475+K2476+K2502</f>
        <v>0</v>
      </c>
      <c r="L2784" s="9">
        <v>0</v>
      </c>
      <c r="M2784" s="9">
        <f t="shared" si="1453"/>
        <v>12329042.27</v>
      </c>
      <c r="N2784" s="9">
        <v>0</v>
      </c>
      <c r="O2784" s="9">
        <v>0</v>
      </c>
      <c r="P2784" s="9">
        <f t="shared" si="1455"/>
        <v>0</v>
      </c>
      <c r="Q2784" s="9">
        <f>Q2053+Q2456+Q2457+Q2458+Q2459+Q2473+Q2474+Q2475+Q2476+Q2502</f>
        <v>0</v>
      </c>
      <c r="R2784" s="9">
        <f>R2053+R2456+R2457+R2458+R2459+R2473+R2474+R2475+R2476+R2502</f>
        <v>0</v>
      </c>
      <c r="S2784" s="9">
        <f>S2053+S2456+S2457+S2458+S2459+S2473+S2474+S2475+S2476+S2502</f>
        <v>0</v>
      </c>
      <c r="T2784" s="9">
        <v>0</v>
      </c>
      <c r="U2784" s="9">
        <f t="shared" si="1454"/>
        <v>0</v>
      </c>
      <c r="V2784" s="9">
        <f>V2053+V2456+V2457+V2458+V2459+V2473+V2474+V2475+V2476+V2502</f>
        <v>15133087</v>
      </c>
      <c r="W2784" s="9">
        <f>W2053+W2456+W2457+W2458+W2459+W2473+W2474+W2475+W2476+W2502</f>
        <v>0</v>
      </c>
      <c r="X2784" s="9">
        <f t="shared" si="1456"/>
        <v>12329042.27</v>
      </c>
      <c r="Y2784" s="9">
        <f t="shared" si="1457"/>
        <v>0</v>
      </c>
      <c r="Z2784" s="9">
        <f t="shared" si="1458"/>
        <v>0</v>
      </c>
      <c r="AA2784" s="8">
        <f t="shared" si="1459"/>
        <v>12329042.27</v>
      </c>
      <c r="AB2784" s="18">
        <f t="shared" si="1460"/>
        <v>0</v>
      </c>
      <c r="AC2784" s="68"/>
      <c r="AD2784" s="69"/>
      <c r="AE2784" s="69"/>
      <c r="AF2784" s="69"/>
      <c r="AG2784" s="69"/>
      <c r="AH2784" s="69"/>
      <c r="AI2784" s="69"/>
      <c r="AJ2784" s="69"/>
      <c r="AK2784" s="69"/>
      <c r="AL2784" s="69"/>
      <c r="AM2784" s="69"/>
      <c r="AN2784" s="69"/>
      <c r="AO2784" s="69"/>
      <c r="AP2784" s="69"/>
      <c r="AQ2784" s="69"/>
      <c r="AR2784" s="69"/>
      <c r="AS2784" s="69"/>
      <c r="AT2784" s="69"/>
      <c r="AU2784" s="69"/>
      <c r="AV2784" s="69"/>
      <c r="AW2784" s="69"/>
      <c r="AX2784" s="69"/>
      <c r="AY2784" s="69"/>
    </row>
    <row r="2785" spans="1:51" x14ac:dyDescent="0.3">
      <c r="A2785" s="64"/>
      <c r="B2785" s="8"/>
      <c r="C2785" s="7" t="s">
        <v>1066</v>
      </c>
      <c r="D2785" s="8"/>
      <c r="E2785" s="9">
        <v>769000</v>
      </c>
      <c r="F2785" s="9">
        <v>769000</v>
      </c>
      <c r="G2785" s="9">
        <v>0</v>
      </c>
      <c r="H2785" s="9">
        <f t="shared" si="1452"/>
        <v>769000</v>
      </c>
      <c r="I2785" s="9"/>
      <c r="J2785" s="9"/>
      <c r="K2785" s="9"/>
      <c r="L2785" s="9">
        <v>0</v>
      </c>
      <c r="M2785" s="9">
        <f t="shared" si="1453"/>
        <v>769000</v>
      </c>
      <c r="N2785" s="9">
        <v>41917.07</v>
      </c>
      <c r="O2785" s="9">
        <v>0</v>
      </c>
      <c r="P2785" s="9">
        <f t="shared" si="1455"/>
        <v>41917.07</v>
      </c>
      <c r="Q2785" s="9"/>
      <c r="R2785" s="9"/>
      <c r="S2785" s="9"/>
      <c r="T2785" s="9">
        <v>1507.55</v>
      </c>
      <c r="U2785" s="9">
        <f t="shared" si="1454"/>
        <v>43424.62</v>
      </c>
      <c r="V2785" s="9"/>
      <c r="W2785" s="9"/>
      <c r="X2785" s="9">
        <f t="shared" si="1456"/>
        <v>810917.07</v>
      </c>
      <c r="Y2785" s="9" t="str">
        <f t="shared" si="1457"/>
        <v>-</v>
      </c>
      <c r="Z2785" s="9">
        <f t="shared" si="1458"/>
        <v>-41917.069999999949</v>
      </c>
      <c r="AA2785" s="8">
        <f t="shared" si="1459"/>
        <v>812424.62</v>
      </c>
      <c r="AB2785" s="18">
        <f t="shared" si="1460"/>
        <v>-43424.619999999995</v>
      </c>
      <c r="AC2785" s="68"/>
      <c r="AD2785" s="69"/>
      <c r="AE2785" s="69"/>
      <c r="AF2785" s="69"/>
      <c r="AG2785" s="69"/>
      <c r="AH2785" s="69"/>
      <c r="AI2785" s="69"/>
      <c r="AJ2785" s="69"/>
      <c r="AK2785" s="69"/>
      <c r="AL2785" s="69"/>
      <c r="AM2785" s="69"/>
      <c r="AN2785" s="69"/>
      <c r="AO2785" s="69"/>
      <c r="AP2785" s="69"/>
      <c r="AQ2785" s="69"/>
      <c r="AR2785" s="69"/>
      <c r="AS2785" s="69"/>
      <c r="AT2785" s="69"/>
      <c r="AU2785" s="69"/>
      <c r="AV2785" s="69"/>
      <c r="AW2785" s="69"/>
      <c r="AX2785" s="69"/>
      <c r="AY2785" s="69"/>
    </row>
    <row r="2786" spans="1:51" x14ac:dyDescent="0.3">
      <c r="A2786" s="64"/>
      <c r="B2786" s="8"/>
      <c r="C2786" s="7" t="s">
        <v>909</v>
      </c>
      <c r="D2786" s="8"/>
      <c r="E2786" s="9">
        <v>2308570</v>
      </c>
      <c r="F2786" s="9">
        <v>2308570</v>
      </c>
      <c r="G2786" s="9">
        <v>0</v>
      </c>
      <c r="H2786" s="9">
        <f t="shared" si="1452"/>
        <v>2308570</v>
      </c>
      <c r="I2786" s="9">
        <f>I1595</f>
        <v>0</v>
      </c>
      <c r="J2786" s="9">
        <f>J1595</f>
        <v>0</v>
      </c>
      <c r="K2786" s="9">
        <f>K1595</f>
        <v>0</v>
      </c>
      <c r="L2786" s="9">
        <v>0</v>
      </c>
      <c r="M2786" s="9">
        <f t="shared" si="1453"/>
        <v>2308570</v>
      </c>
      <c r="N2786" s="9">
        <v>0</v>
      </c>
      <c r="O2786" s="9">
        <v>0</v>
      </c>
      <c r="P2786" s="9">
        <f t="shared" si="1455"/>
        <v>0</v>
      </c>
      <c r="Q2786" s="9">
        <f>Q1595</f>
        <v>0</v>
      </c>
      <c r="R2786" s="9">
        <f>R1595</f>
        <v>0</v>
      </c>
      <c r="S2786" s="9">
        <f>S1595</f>
        <v>0</v>
      </c>
      <c r="T2786" s="9">
        <v>0</v>
      </c>
      <c r="U2786" s="9">
        <f t="shared" si="1454"/>
        <v>0</v>
      </c>
      <c r="V2786" s="9">
        <f>V1595</f>
        <v>43652455.68</v>
      </c>
      <c r="W2786" s="9">
        <f>W1595</f>
        <v>148460</v>
      </c>
      <c r="X2786" s="9">
        <f t="shared" si="1456"/>
        <v>2308570</v>
      </c>
      <c r="Y2786" s="9">
        <f t="shared" si="1457"/>
        <v>0</v>
      </c>
      <c r="Z2786" s="9">
        <f t="shared" si="1458"/>
        <v>0</v>
      </c>
      <c r="AA2786" s="8">
        <f t="shared" si="1459"/>
        <v>2308570</v>
      </c>
      <c r="AB2786" s="18">
        <f t="shared" si="1460"/>
        <v>0</v>
      </c>
      <c r="AC2786" s="68"/>
      <c r="AD2786" s="69"/>
      <c r="AE2786" s="69"/>
      <c r="AF2786" s="69"/>
      <c r="AG2786" s="69"/>
      <c r="AH2786" s="69"/>
      <c r="AI2786" s="69"/>
      <c r="AJ2786" s="69"/>
      <c r="AK2786" s="69"/>
      <c r="AL2786" s="69"/>
      <c r="AM2786" s="69"/>
      <c r="AN2786" s="69"/>
      <c r="AO2786" s="69"/>
      <c r="AP2786" s="69"/>
      <c r="AQ2786" s="69"/>
      <c r="AR2786" s="69"/>
      <c r="AS2786" s="69"/>
      <c r="AT2786" s="69"/>
      <c r="AU2786" s="69"/>
      <c r="AV2786" s="69"/>
      <c r="AW2786" s="69"/>
      <c r="AX2786" s="69"/>
      <c r="AY2786" s="69"/>
    </row>
    <row r="2787" spans="1:51" x14ac:dyDescent="0.3">
      <c r="A2787" s="64"/>
      <c r="B2787" s="8"/>
      <c r="C2787" s="7" t="s">
        <v>1067</v>
      </c>
      <c r="D2787" s="8"/>
      <c r="E2787" s="9">
        <v>569000</v>
      </c>
      <c r="F2787" s="9">
        <v>569000</v>
      </c>
      <c r="G2787" s="9">
        <v>0</v>
      </c>
      <c r="H2787" s="9">
        <f t="shared" si="1452"/>
        <v>569000</v>
      </c>
      <c r="I2787" s="9"/>
      <c r="J2787" s="9"/>
      <c r="K2787" s="9"/>
      <c r="L2787" s="9">
        <v>0</v>
      </c>
      <c r="M2787" s="9">
        <f t="shared" si="1453"/>
        <v>569000</v>
      </c>
      <c r="N2787" s="9">
        <v>0</v>
      </c>
      <c r="O2787" s="9">
        <v>0</v>
      </c>
      <c r="P2787" s="9">
        <f t="shared" si="1455"/>
        <v>0</v>
      </c>
      <c r="Q2787" s="9"/>
      <c r="R2787" s="9"/>
      <c r="S2787" s="9"/>
      <c r="T2787" s="9">
        <v>0</v>
      </c>
      <c r="U2787" s="9">
        <f t="shared" si="1454"/>
        <v>0</v>
      </c>
      <c r="V2787" s="9" t="str">
        <f>V1596</f>
        <v>-</v>
      </c>
      <c r="W2787" s="9" t="str">
        <f>W1596</f>
        <v>-</v>
      </c>
      <c r="X2787" s="9">
        <f t="shared" si="1456"/>
        <v>569000</v>
      </c>
      <c r="Y2787" s="9" t="str">
        <f t="shared" si="1457"/>
        <v>=</v>
      </c>
      <c r="Z2787" s="9">
        <f t="shared" si="1458"/>
        <v>0</v>
      </c>
      <c r="AA2787" s="8">
        <f t="shared" si="1459"/>
        <v>569000</v>
      </c>
      <c r="AB2787" s="18">
        <f t="shared" si="1460"/>
        <v>0</v>
      </c>
      <c r="AC2787" s="68"/>
      <c r="AD2787" s="69"/>
      <c r="AE2787" s="69"/>
      <c r="AF2787" s="69"/>
      <c r="AG2787" s="69"/>
      <c r="AH2787" s="69"/>
      <c r="AI2787" s="69"/>
      <c r="AJ2787" s="69"/>
      <c r="AK2787" s="69"/>
      <c r="AL2787" s="69"/>
      <c r="AM2787" s="69"/>
      <c r="AN2787" s="69"/>
      <c r="AO2787" s="69"/>
      <c r="AP2787" s="69"/>
      <c r="AQ2787" s="69"/>
      <c r="AR2787" s="69"/>
      <c r="AS2787" s="69"/>
      <c r="AT2787" s="69"/>
      <c r="AU2787" s="69"/>
      <c r="AV2787" s="69"/>
      <c r="AW2787" s="69"/>
      <c r="AX2787" s="69"/>
      <c r="AY2787" s="69"/>
    </row>
    <row r="2788" spans="1:51" x14ac:dyDescent="0.3">
      <c r="A2788" s="64"/>
      <c r="B2788" s="8"/>
      <c r="C2788" s="7" t="s">
        <v>1204</v>
      </c>
      <c r="D2788" s="8"/>
      <c r="E2788" s="9">
        <v>4000000</v>
      </c>
      <c r="F2788" s="9">
        <v>4000000</v>
      </c>
      <c r="G2788" s="9">
        <v>0</v>
      </c>
      <c r="H2788" s="9">
        <f>+F2788+G2788</f>
        <v>4000000</v>
      </c>
      <c r="I2788" s="9"/>
      <c r="J2788" s="9"/>
      <c r="K2788" s="9"/>
      <c r="L2788" s="9">
        <v>0</v>
      </c>
      <c r="M2788" s="9">
        <f t="shared" si="1453"/>
        <v>4000000</v>
      </c>
      <c r="N2788" s="9">
        <v>0</v>
      </c>
      <c r="O2788" s="9">
        <v>0</v>
      </c>
      <c r="P2788" s="9">
        <f t="shared" si="1455"/>
        <v>0</v>
      </c>
      <c r="Q2788" s="9"/>
      <c r="R2788" s="9"/>
      <c r="S2788" s="9"/>
      <c r="T2788" s="9">
        <v>0</v>
      </c>
      <c r="U2788" s="9">
        <f t="shared" si="1454"/>
        <v>0</v>
      </c>
      <c r="V2788" s="9"/>
      <c r="W2788" s="9"/>
      <c r="X2788" s="9">
        <f t="shared" si="1456"/>
        <v>4000000</v>
      </c>
      <c r="Y2788" s="9"/>
      <c r="Z2788" s="9">
        <f t="shared" si="1458"/>
        <v>0</v>
      </c>
      <c r="AA2788" s="8">
        <f t="shared" si="1459"/>
        <v>4000000</v>
      </c>
      <c r="AB2788" s="18">
        <f t="shared" si="1460"/>
        <v>0</v>
      </c>
      <c r="AC2788" s="68"/>
      <c r="AD2788" s="69"/>
      <c r="AE2788" s="69"/>
      <c r="AF2788" s="69"/>
      <c r="AG2788" s="69"/>
      <c r="AH2788" s="69"/>
      <c r="AI2788" s="69"/>
      <c r="AJ2788" s="69"/>
      <c r="AK2788" s="69"/>
      <c r="AL2788" s="69"/>
      <c r="AM2788" s="69"/>
      <c r="AN2788" s="69"/>
      <c r="AO2788" s="69"/>
      <c r="AP2788" s="69"/>
      <c r="AQ2788" s="69"/>
      <c r="AR2788" s="69"/>
      <c r="AS2788" s="69"/>
      <c r="AT2788" s="69"/>
      <c r="AU2788" s="69"/>
      <c r="AV2788" s="69"/>
      <c r="AW2788" s="69"/>
      <c r="AX2788" s="69"/>
      <c r="AY2788" s="69"/>
    </row>
    <row r="2789" spans="1:51" x14ac:dyDescent="0.3">
      <c r="A2789" s="64"/>
      <c r="B2789" s="8"/>
      <c r="C2789" s="13" t="s">
        <v>879</v>
      </c>
      <c r="D2789" s="8"/>
      <c r="E2789" s="9">
        <v>26537555.390000001</v>
      </c>
      <c r="F2789" s="9">
        <v>24666170.93</v>
      </c>
      <c r="G2789" s="9">
        <v>0</v>
      </c>
      <c r="H2789" s="9">
        <f t="shared" si="1452"/>
        <v>24666170.93</v>
      </c>
      <c r="I2789" s="9"/>
      <c r="J2789" s="9"/>
      <c r="K2789" s="9"/>
      <c r="L2789" s="9">
        <v>0</v>
      </c>
      <c r="M2789" s="9">
        <f>+H2789+L2789</f>
        <v>24666170.93</v>
      </c>
      <c r="N2789" s="9">
        <v>1871384.46</v>
      </c>
      <c r="O2789" s="9">
        <v>0</v>
      </c>
      <c r="P2789" s="9">
        <f>+N2789+O2789</f>
        <v>1871384.46</v>
      </c>
      <c r="Q2789" s="9"/>
      <c r="R2789" s="9"/>
      <c r="S2789" s="9"/>
      <c r="T2789" s="9">
        <v>0</v>
      </c>
      <c r="U2789" s="9">
        <f t="shared" si="1454"/>
        <v>1871384.46</v>
      </c>
      <c r="V2789" s="9"/>
      <c r="W2789" s="9"/>
      <c r="X2789" s="9">
        <f t="shared" si="1456"/>
        <v>26537555.390000001</v>
      </c>
      <c r="Y2789" s="9">
        <f t="shared" ref="Y2789:Y2795" si="1461">Y1546</f>
        <v>0</v>
      </c>
      <c r="Z2789" s="9">
        <f t="shared" si="1458"/>
        <v>0</v>
      </c>
      <c r="AA2789" s="8">
        <f t="shared" si="1459"/>
        <v>26537555.390000001</v>
      </c>
      <c r="AB2789" s="18">
        <f t="shared" si="1460"/>
        <v>0</v>
      </c>
      <c r="AC2789" s="68"/>
      <c r="AD2789" s="69"/>
      <c r="AE2789" s="69"/>
      <c r="AF2789" s="69"/>
      <c r="AG2789" s="69"/>
      <c r="AH2789" s="69"/>
      <c r="AI2789" s="69"/>
      <c r="AJ2789" s="69"/>
      <c r="AK2789" s="69"/>
      <c r="AL2789" s="69"/>
      <c r="AM2789" s="69"/>
      <c r="AN2789" s="69"/>
      <c r="AO2789" s="69"/>
      <c r="AP2789" s="69"/>
      <c r="AQ2789" s="69"/>
      <c r="AR2789" s="69"/>
      <c r="AS2789" s="69"/>
      <c r="AT2789" s="69"/>
      <c r="AU2789" s="69"/>
      <c r="AV2789" s="69"/>
      <c r="AW2789" s="69"/>
      <c r="AX2789" s="69"/>
      <c r="AY2789" s="69"/>
    </row>
    <row r="2790" spans="1:51" x14ac:dyDescent="0.3">
      <c r="A2790" s="64"/>
      <c r="B2790" s="8"/>
      <c r="C2790" s="7" t="s">
        <v>890</v>
      </c>
      <c r="D2790" s="9"/>
      <c r="E2790" s="11">
        <v>19409502.140000001</v>
      </c>
      <c r="F2790" s="11">
        <v>19409502.140000001</v>
      </c>
      <c r="G2790" s="9">
        <v>0</v>
      </c>
      <c r="H2790" s="9">
        <f t="shared" si="1452"/>
        <v>19409502.140000001</v>
      </c>
      <c r="I2790" s="11">
        <f>I525+I618+I636+I1672+I1712+I1735+I2506</f>
        <v>0</v>
      </c>
      <c r="J2790" s="11">
        <f>J525+J618+J636+J1672+J1712+J1735+J2506</f>
        <v>0</v>
      </c>
      <c r="K2790" s="11">
        <f>K525+K618+K636+K1672+K1712+K1735+K2506</f>
        <v>0</v>
      </c>
      <c r="L2790" s="9">
        <v>0</v>
      </c>
      <c r="M2790" s="9">
        <f t="shared" si="1453"/>
        <v>19409502.140000001</v>
      </c>
      <c r="N2790" s="11">
        <v>0</v>
      </c>
      <c r="O2790" s="9">
        <v>0</v>
      </c>
      <c r="P2790" s="9">
        <f t="shared" si="1455"/>
        <v>0</v>
      </c>
      <c r="Q2790" s="11">
        <f>Q525+Q618+Q636+Q1672+Q1712+Q1735+Q2506</f>
        <v>0</v>
      </c>
      <c r="R2790" s="11">
        <f>R525+R618+R636+R1672+R1712+R1735+R2506</f>
        <v>0</v>
      </c>
      <c r="S2790" s="11">
        <f>S525+S618+S636+S1672+S1712+S1735+S2506</f>
        <v>0</v>
      </c>
      <c r="T2790" s="9">
        <v>0</v>
      </c>
      <c r="U2790" s="9">
        <f t="shared" si="1454"/>
        <v>0</v>
      </c>
      <c r="V2790" s="11">
        <f>V525+V618+V636+V1672+V1712+V1735+V2506</f>
        <v>18983300.600000001</v>
      </c>
      <c r="W2790" s="11">
        <f>W525+W618+W636+W1672+W1712+W1735+W2506</f>
        <v>0</v>
      </c>
      <c r="X2790" s="9">
        <f t="shared" si="1456"/>
        <v>19409502.140000001</v>
      </c>
      <c r="Y2790" s="9">
        <f t="shared" si="1461"/>
        <v>0</v>
      </c>
      <c r="Z2790" s="9">
        <f t="shared" si="1458"/>
        <v>0</v>
      </c>
      <c r="AA2790" s="8">
        <f t="shared" si="1459"/>
        <v>19409502.140000001</v>
      </c>
      <c r="AB2790" s="18">
        <f t="shared" si="1460"/>
        <v>0</v>
      </c>
      <c r="AC2790" s="68"/>
      <c r="AD2790" s="69"/>
      <c r="AE2790" s="69"/>
      <c r="AF2790" s="69"/>
      <c r="AG2790" s="69"/>
      <c r="AH2790" s="69"/>
      <c r="AI2790" s="69"/>
      <c r="AJ2790" s="69"/>
      <c r="AK2790" s="69"/>
      <c r="AL2790" s="69"/>
      <c r="AM2790" s="69"/>
      <c r="AN2790" s="69"/>
      <c r="AO2790" s="69"/>
      <c r="AP2790" s="69"/>
      <c r="AQ2790" s="69"/>
      <c r="AR2790" s="69"/>
      <c r="AS2790" s="69"/>
      <c r="AT2790" s="69"/>
      <c r="AU2790" s="69"/>
      <c r="AV2790" s="69"/>
      <c r="AW2790" s="69"/>
      <c r="AX2790" s="69"/>
      <c r="AY2790" s="69"/>
    </row>
    <row r="2791" spans="1:51" x14ac:dyDescent="0.3">
      <c r="A2791" s="64"/>
      <c r="B2791" s="8"/>
      <c r="C2791" s="7" t="s">
        <v>891</v>
      </c>
      <c r="D2791" s="9"/>
      <c r="E2791" s="9">
        <v>12758407</v>
      </c>
      <c r="F2791" s="9">
        <v>12758407</v>
      </c>
      <c r="G2791" s="9">
        <v>0</v>
      </c>
      <c r="H2791" s="9">
        <f t="shared" si="1452"/>
        <v>12758407</v>
      </c>
      <c r="I2791" s="9">
        <f>AH2801</f>
        <v>0</v>
      </c>
      <c r="J2791" s="9">
        <f>AI2801</f>
        <v>0</v>
      </c>
      <c r="K2791" s="9">
        <f>AJ2801</f>
        <v>0</v>
      </c>
      <c r="L2791" s="9">
        <v>0</v>
      </c>
      <c r="M2791" s="9">
        <f t="shared" si="1453"/>
        <v>12758407</v>
      </c>
      <c r="N2791" s="9">
        <f>AM2801</f>
        <v>0</v>
      </c>
      <c r="O2791" s="9">
        <v>0</v>
      </c>
      <c r="P2791" s="9">
        <f t="shared" si="1455"/>
        <v>0</v>
      </c>
      <c r="Q2791" s="9">
        <f>AP2801</f>
        <v>0</v>
      </c>
      <c r="R2791" s="9">
        <f>AQ2801</f>
        <v>0</v>
      </c>
      <c r="S2791" s="9">
        <f>AR2801</f>
        <v>0</v>
      </c>
      <c r="T2791" s="9">
        <v>0</v>
      </c>
      <c r="U2791" s="9">
        <f t="shared" si="1454"/>
        <v>0</v>
      </c>
      <c r="V2791" s="9">
        <f>AU2801</f>
        <v>0</v>
      </c>
      <c r="W2791" s="9">
        <f>AV2801</f>
        <v>0</v>
      </c>
      <c r="X2791" s="9">
        <f t="shared" si="1456"/>
        <v>12758407</v>
      </c>
      <c r="Y2791" s="9">
        <f t="shared" si="1461"/>
        <v>0</v>
      </c>
      <c r="Z2791" s="9">
        <f t="shared" si="1458"/>
        <v>0</v>
      </c>
      <c r="AA2791" s="8">
        <f t="shared" si="1459"/>
        <v>12758407</v>
      </c>
      <c r="AB2791" s="18">
        <f t="shared" si="1460"/>
        <v>0</v>
      </c>
      <c r="AD2791" s="70"/>
      <c r="AE2791" s="70"/>
      <c r="AF2791" s="70"/>
      <c r="AG2791" s="70"/>
      <c r="AH2791" s="70"/>
      <c r="AI2791" s="70"/>
      <c r="AJ2791" s="70"/>
      <c r="AK2791" s="70"/>
      <c r="AL2791" s="70"/>
      <c r="AM2791" s="70"/>
      <c r="AN2791" s="70"/>
      <c r="AO2791" s="70"/>
      <c r="AP2791" s="70"/>
      <c r="AQ2791" s="70"/>
      <c r="AR2791" s="70"/>
      <c r="AS2791" s="70"/>
      <c r="AT2791" s="70"/>
      <c r="AU2791" s="70"/>
      <c r="AV2791" s="70"/>
      <c r="AW2791" s="70"/>
      <c r="AX2791" s="70"/>
      <c r="AY2791" s="70"/>
    </row>
    <row r="2792" spans="1:51" x14ac:dyDescent="0.3">
      <c r="A2792" s="64"/>
      <c r="B2792" s="8"/>
      <c r="C2792" s="7" t="s">
        <v>892</v>
      </c>
      <c r="D2792" s="8"/>
      <c r="E2792" s="11">
        <v>2564939</v>
      </c>
      <c r="F2792" s="11">
        <v>2564939</v>
      </c>
      <c r="G2792" s="9">
        <v>0</v>
      </c>
      <c r="H2792" s="9">
        <f t="shared" si="1452"/>
        <v>2564939</v>
      </c>
      <c r="I2792" s="11">
        <f>AH2827</f>
        <v>0</v>
      </c>
      <c r="J2792" s="11">
        <f>AI2827</f>
        <v>0</v>
      </c>
      <c r="K2792" s="11">
        <f>AJ2827</f>
        <v>0</v>
      </c>
      <c r="L2792" s="9">
        <v>0</v>
      </c>
      <c r="M2792" s="9">
        <f t="shared" si="1453"/>
        <v>2564939</v>
      </c>
      <c r="N2792" s="11">
        <v>0</v>
      </c>
      <c r="O2792" s="9">
        <v>0</v>
      </c>
      <c r="P2792" s="9">
        <f t="shared" si="1455"/>
        <v>0</v>
      </c>
      <c r="Q2792" s="11">
        <f>AP2827</f>
        <v>0</v>
      </c>
      <c r="R2792" s="11">
        <f>AQ2827</f>
        <v>0</v>
      </c>
      <c r="S2792" s="11">
        <f>AR2827</f>
        <v>0</v>
      </c>
      <c r="T2792" s="9">
        <v>0</v>
      </c>
      <c r="U2792" s="9">
        <f t="shared" si="1454"/>
        <v>0</v>
      </c>
      <c r="V2792" s="11">
        <f>AU2827</f>
        <v>0</v>
      </c>
      <c r="W2792" s="11">
        <f>AV2827</f>
        <v>0</v>
      </c>
      <c r="X2792" s="9">
        <f t="shared" si="1456"/>
        <v>2564939</v>
      </c>
      <c r="Y2792" s="9">
        <f t="shared" si="1461"/>
        <v>0</v>
      </c>
      <c r="Z2792" s="9">
        <f t="shared" si="1458"/>
        <v>0</v>
      </c>
      <c r="AA2792" s="8">
        <f t="shared" si="1459"/>
        <v>2564939</v>
      </c>
      <c r="AB2792" s="18">
        <f t="shared" si="1460"/>
        <v>0</v>
      </c>
      <c r="AC2792" s="71"/>
      <c r="AD2792" s="72"/>
      <c r="AE2792" s="72"/>
      <c r="AF2792" s="72"/>
      <c r="AG2792" s="72"/>
      <c r="AH2792" s="72"/>
      <c r="AI2792" s="72"/>
      <c r="AJ2792" s="72"/>
      <c r="AK2792" s="72"/>
      <c r="AL2792" s="72"/>
      <c r="AM2792" s="72"/>
      <c r="AN2792" s="72"/>
      <c r="AO2792" s="72"/>
      <c r="AP2792" s="72"/>
      <c r="AQ2792" s="72"/>
      <c r="AR2792" s="72"/>
      <c r="AS2792" s="72"/>
      <c r="AT2792" s="72"/>
      <c r="AU2792" s="72"/>
      <c r="AV2792" s="72"/>
      <c r="AW2792" s="72"/>
      <c r="AX2792" s="72"/>
      <c r="AY2792" s="72"/>
    </row>
    <row r="2793" spans="1:51" x14ac:dyDescent="0.3">
      <c r="A2793" s="64"/>
      <c r="B2793" s="8"/>
      <c r="C2793" s="7" t="s">
        <v>878</v>
      </c>
      <c r="D2793" s="8"/>
      <c r="E2793" s="12">
        <v>22708607.899999999</v>
      </c>
      <c r="F2793" s="9">
        <v>22708607.899999999</v>
      </c>
      <c r="G2793" s="9">
        <v>0</v>
      </c>
      <c r="H2793" s="9">
        <f t="shared" si="1452"/>
        <v>22708607.899999999</v>
      </c>
      <c r="I2793" s="9">
        <f>I1294+I1757+I2550+I2628</f>
        <v>0</v>
      </c>
      <c r="J2793" s="9">
        <f>J1294+J1757+J2550+J2628</f>
        <v>2957218</v>
      </c>
      <c r="K2793" s="9">
        <f>K1294+K1757+K2550+K2628</f>
        <v>0</v>
      </c>
      <c r="L2793" s="9">
        <v>0</v>
      </c>
      <c r="M2793" s="9">
        <f>+H2793+L2793</f>
        <v>22708607.899999999</v>
      </c>
      <c r="N2793" s="9">
        <v>0</v>
      </c>
      <c r="O2793" s="9">
        <v>0</v>
      </c>
      <c r="P2793" s="9">
        <f t="shared" si="1455"/>
        <v>0</v>
      </c>
      <c r="Q2793" s="9">
        <f>Q1294+Q1757+Q2550+Q2628</f>
        <v>2957218</v>
      </c>
      <c r="R2793" s="9">
        <f>R1294+R1757+R2550+R2628</f>
        <v>0</v>
      </c>
      <c r="S2793" s="17"/>
      <c r="T2793" s="18">
        <v>0</v>
      </c>
      <c r="U2793" s="9">
        <f t="shared" si="1454"/>
        <v>0</v>
      </c>
      <c r="V2793" s="9">
        <f>V2595+V2648+V1664</f>
        <v>12100000</v>
      </c>
      <c r="W2793" s="9">
        <f>W2595+W2648+W1664</f>
        <v>0</v>
      </c>
      <c r="X2793" s="9">
        <f t="shared" si="1456"/>
        <v>22708607.899999999</v>
      </c>
      <c r="Y2793" s="9">
        <f t="shared" si="1461"/>
        <v>0</v>
      </c>
      <c r="Z2793" s="9">
        <f t="shared" si="1458"/>
        <v>0</v>
      </c>
      <c r="AA2793" s="8">
        <f t="shared" si="1459"/>
        <v>22708607.899999999</v>
      </c>
      <c r="AB2793" s="18">
        <f t="shared" si="1460"/>
        <v>0</v>
      </c>
      <c r="AD2793" s="70"/>
      <c r="AE2793" s="70"/>
      <c r="AF2793" s="70"/>
      <c r="AG2793" s="70"/>
      <c r="AH2793" s="70"/>
      <c r="AI2793" s="70"/>
      <c r="AJ2793" s="70"/>
      <c r="AK2793" s="70"/>
      <c r="AL2793" s="70"/>
      <c r="AM2793" s="70"/>
      <c r="AN2793" s="70"/>
      <c r="AO2793" s="70"/>
      <c r="AP2793" s="70"/>
      <c r="AQ2793" s="70"/>
      <c r="AR2793" s="70"/>
      <c r="AS2793" s="70"/>
      <c r="AT2793" s="70"/>
      <c r="AU2793" s="70"/>
      <c r="AV2793" s="70"/>
      <c r="AW2793" s="70"/>
      <c r="AX2793" s="70"/>
      <c r="AY2793" s="70"/>
    </row>
    <row r="2794" spans="1:51" x14ac:dyDescent="0.3">
      <c r="A2794" s="64"/>
      <c r="B2794" s="8"/>
      <c r="C2794" s="7" t="s">
        <v>893</v>
      </c>
      <c r="D2794" s="8"/>
      <c r="E2794" s="11">
        <v>2383880</v>
      </c>
      <c r="F2794" s="11">
        <v>2383880</v>
      </c>
      <c r="G2794" s="9">
        <v>0</v>
      </c>
      <c r="H2794" s="9">
        <f t="shared" si="1452"/>
        <v>2383880</v>
      </c>
      <c r="I2794" s="11" t="e">
        <f>#REF!</f>
        <v>#REF!</v>
      </c>
      <c r="J2794" s="11" t="e">
        <f>#REF!</f>
        <v>#REF!</v>
      </c>
      <c r="K2794" s="11" t="e">
        <f>#REF!</f>
        <v>#REF!</v>
      </c>
      <c r="L2794" s="9">
        <v>0</v>
      </c>
      <c r="M2794" s="9">
        <f t="shared" si="1453"/>
        <v>2383880</v>
      </c>
      <c r="N2794" s="11">
        <v>0</v>
      </c>
      <c r="O2794" s="9">
        <v>0</v>
      </c>
      <c r="P2794" s="9">
        <f t="shared" si="1455"/>
        <v>0</v>
      </c>
      <c r="Q2794" s="11" t="e">
        <f>#REF!</f>
        <v>#REF!</v>
      </c>
      <c r="R2794" s="11" t="e">
        <f>#REF!</f>
        <v>#REF!</v>
      </c>
      <c r="S2794" s="11" t="e">
        <f>#REF!</f>
        <v>#REF!</v>
      </c>
      <c r="T2794" s="9">
        <v>0</v>
      </c>
      <c r="U2794" s="9">
        <f t="shared" si="1454"/>
        <v>0</v>
      </c>
      <c r="V2794" s="11" t="e">
        <f>#REF!</f>
        <v>#REF!</v>
      </c>
      <c r="W2794" s="11" t="e">
        <f>#REF!</f>
        <v>#REF!</v>
      </c>
      <c r="X2794" s="9">
        <f t="shared" si="1456"/>
        <v>2383880</v>
      </c>
      <c r="Y2794" s="9">
        <f t="shared" si="1461"/>
        <v>0</v>
      </c>
      <c r="Z2794" s="9">
        <f t="shared" si="1458"/>
        <v>0</v>
      </c>
      <c r="AA2794" s="8">
        <f t="shared" si="1459"/>
        <v>2383880</v>
      </c>
      <c r="AB2794" s="18">
        <f t="shared" si="1460"/>
        <v>0</v>
      </c>
      <c r="AC2794" s="68"/>
      <c r="AD2794" s="69"/>
      <c r="AE2794" s="69"/>
      <c r="AF2794" s="69"/>
      <c r="AG2794" s="69"/>
      <c r="AH2794" s="69"/>
      <c r="AI2794" s="69"/>
      <c r="AJ2794" s="69"/>
      <c r="AK2794" s="69"/>
      <c r="AL2794" s="69"/>
      <c r="AM2794" s="69"/>
      <c r="AN2794" s="69"/>
      <c r="AO2794" s="69"/>
      <c r="AP2794" s="69"/>
      <c r="AQ2794" s="69"/>
      <c r="AR2794" s="69"/>
      <c r="AS2794" s="69"/>
      <c r="AT2794" s="69"/>
      <c r="AU2794" s="69"/>
      <c r="AV2794" s="69"/>
      <c r="AW2794" s="69"/>
      <c r="AX2794" s="69"/>
      <c r="AY2794" s="69"/>
    </row>
    <row r="2795" spans="1:51" x14ac:dyDescent="0.3">
      <c r="A2795" s="64"/>
      <c r="B2795" s="8"/>
      <c r="C2795" s="7" t="s">
        <v>894</v>
      </c>
      <c r="D2795" s="8"/>
      <c r="E2795" s="11">
        <v>9732956.3800000008</v>
      </c>
      <c r="F2795" s="11">
        <v>9732956.3800000008</v>
      </c>
      <c r="G2795" s="9">
        <v>0</v>
      </c>
      <c r="H2795" s="9">
        <f t="shared" si="1452"/>
        <v>9732956.3800000008</v>
      </c>
      <c r="I2795" s="11" t="e">
        <f>#REF!</f>
        <v>#REF!</v>
      </c>
      <c r="J2795" s="11" t="e">
        <f>#REF!</f>
        <v>#REF!</v>
      </c>
      <c r="K2795" s="11" t="e">
        <f>#REF!</f>
        <v>#REF!</v>
      </c>
      <c r="L2795" s="9">
        <v>0</v>
      </c>
      <c r="M2795" s="9">
        <f t="shared" si="1453"/>
        <v>9732956.3800000008</v>
      </c>
      <c r="N2795" s="11">
        <v>0</v>
      </c>
      <c r="O2795" s="9">
        <v>0</v>
      </c>
      <c r="P2795" s="9">
        <f t="shared" si="1455"/>
        <v>0</v>
      </c>
      <c r="Q2795" s="11" t="e">
        <f>#REF!</f>
        <v>#REF!</v>
      </c>
      <c r="R2795" s="11" t="e">
        <f>#REF!</f>
        <v>#REF!</v>
      </c>
      <c r="S2795" s="11" t="e">
        <f>#REF!</f>
        <v>#REF!</v>
      </c>
      <c r="T2795" s="9">
        <v>0</v>
      </c>
      <c r="U2795" s="9">
        <f t="shared" si="1454"/>
        <v>0</v>
      </c>
      <c r="V2795" s="11" t="e">
        <f>#REF!</f>
        <v>#REF!</v>
      </c>
      <c r="W2795" s="11" t="e">
        <f>#REF!</f>
        <v>#REF!</v>
      </c>
      <c r="X2795" s="9">
        <f t="shared" si="1456"/>
        <v>9732956.3800000008</v>
      </c>
      <c r="Y2795" s="9">
        <f t="shared" si="1461"/>
        <v>0</v>
      </c>
      <c r="Z2795" s="9">
        <f t="shared" si="1458"/>
        <v>0</v>
      </c>
      <c r="AA2795" s="8">
        <f t="shared" si="1459"/>
        <v>9732956.3800000008</v>
      </c>
      <c r="AB2795" s="18">
        <f t="shared" si="1460"/>
        <v>0</v>
      </c>
      <c r="AC2795" s="68"/>
      <c r="AD2795" s="69"/>
      <c r="AE2795" s="69"/>
      <c r="AF2795" s="69"/>
      <c r="AG2795" s="69"/>
      <c r="AH2795" s="69"/>
      <c r="AI2795" s="69"/>
      <c r="AJ2795" s="69"/>
      <c r="AK2795" s="69"/>
      <c r="AL2795" s="69"/>
      <c r="AM2795" s="69"/>
      <c r="AN2795" s="69"/>
      <c r="AO2795" s="69"/>
      <c r="AP2795" s="69"/>
      <c r="AQ2795" s="69"/>
      <c r="AR2795" s="69"/>
      <c r="AS2795" s="69"/>
      <c r="AT2795" s="69"/>
      <c r="AU2795" s="69"/>
      <c r="AV2795" s="69"/>
      <c r="AW2795" s="69"/>
      <c r="AX2795" s="69"/>
      <c r="AY2795" s="69"/>
    </row>
    <row r="2796" spans="1:51" x14ac:dyDescent="0.3">
      <c r="A2796" s="64"/>
      <c r="B2796" s="8"/>
      <c r="C2796" s="7" t="s">
        <v>1148</v>
      </c>
      <c r="D2796" s="8"/>
      <c r="E2796" s="11">
        <f>2000000+800000+99402+300000+710134.28</f>
        <v>3909536.2800000003</v>
      </c>
      <c r="F2796" s="11">
        <f>2000000+800000+99402+300000+710134.28</f>
        <v>3909536.2800000003</v>
      </c>
      <c r="G2796" s="9">
        <v>0</v>
      </c>
      <c r="H2796" s="9">
        <f t="shared" si="1452"/>
        <v>3909536.2800000003</v>
      </c>
      <c r="I2796" s="11"/>
      <c r="J2796" s="11"/>
      <c r="K2796" s="11"/>
      <c r="L2796" s="9">
        <v>0</v>
      </c>
      <c r="M2796" s="9">
        <f t="shared" si="1453"/>
        <v>3909536.2800000003</v>
      </c>
      <c r="N2796" s="11">
        <v>0</v>
      </c>
      <c r="O2796" s="9">
        <v>0</v>
      </c>
      <c r="P2796" s="9">
        <f t="shared" si="1455"/>
        <v>0</v>
      </c>
      <c r="Q2796" s="11"/>
      <c r="R2796" s="11"/>
      <c r="S2796" s="11"/>
      <c r="T2796" s="9">
        <v>0</v>
      </c>
      <c r="U2796" s="9">
        <f t="shared" si="1454"/>
        <v>0</v>
      </c>
      <c r="V2796" s="11"/>
      <c r="W2796" s="11"/>
      <c r="X2796" s="9">
        <f t="shared" si="1456"/>
        <v>3909536.2800000003</v>
      </c>
      <c r="Y2796" s="9"/>
      <c r="Z2796" s="9">
        <f t="shared" si="1458"/>
        <v>0</v>
      </c>
      <c r="AA2796" s="8">
        <f t="shared" si="1459"/>
        <v>3909536.2800000003</v>
      </c>
      <c r="AB2796" s="18">
        <f t="shared" si="1460"/>
        <v>0</v>
      </c>
      <c r="AC2796" s="68"/>
      <c r="AD2796" s="69"/>
      <c r="AE2796" s="69"/>
      <c r="AF2796" s="69"/>
      <c r="AG2796" s="69"/>
      <c r="AH2796" s="69"/>
      <c r="AI2796" s="69"/>
      <c r="AJ2796" s="69"/>
      <c r="AK2796" s="69"/>
      <c r="AL2796" s="69"/>
      <c r="AM2796" s="69"/>
      <c r="AN2796" s="69"/>
      <c r="AO2796" s="69"/>
      <c r="AP2796" s="69"/>
      <c r="AQ2796" s="69"/>
      <c r="AR2796" s="69"/>
      <c r="AS2796" s="69"/>
      <c r="AT2796" s="69"/>
      <c r="AU2796" s="69"/>
      <c r="AV2796" s="69"/>
      <c r="AW2796" s="69"/>
      <c r="AX2796" s="69"/>
      <c r="AY2796" s="69"/>
    </row>
    <row r="2797" spans="1:51" x14ac:dyDescent="0.3">
      <c r="A2797" s="64"/>
      <c r="B2797" s="8"/>
      <c r="C2797" s="7" t="s">
        <v>1150</v>
      </c>
      <c r="D2797" s="8"/>
      <c r="E2797" s="11">
        <f>300000+225000</f>
        <v>525000</v>
      </c>
      <c r="F2797" s="11">
        <f>300000+225000</f>
        <v>525000</v>
      </c>
      <c r="G2797" s="9">
        <v>0</v>
      </c>
      <c r="H2797" s="9">
        <f t="shared" si="1452"/>
        <v>525000</v>
      </c>
      <c r="I2797" s="11"/>
      <c r="J2797" s="11"/>
      <c r="K2797" s="11"/>
      <c r="L2797" s="9">
        <v>0</v>
      </c>
      <c r="M2797" s="9">
        <f t="shared" si="1453"/>
        <v>525000</v>
      </c>
      <c r="N2797" s="11">
        <v>0</v>
      </c>
      <c r="O2797" s="9">
        <v>0</v>
      </c>
      <c r="P2797" s="9">
        <f t="shared" si="1455"/>
        <v>0</v>
      </c>
      <c r="Q2797" s="11"/>
      <c r="R2797" s="11"/>
      <c r="S2797" s="11"/>
      <c r="T2797" s="9">
        <v>0</v>
      </c>
      <c r="U2797" s="9">
        <f t="shared" si="1454"/>
        <v>0</v>
      </c>
      <c r="V2797" s="11"/>
      <c r="W2797" s="11"/>
      <c r="X2797" s="9">
        <f t="shared" si="1456"/>
        <v>525000</v>
      </c>
      <c r="Y2797" s="9"/>
      <c r="Z2797" s="9">
        <f t="shared" si="1458"/>
        <v>0</v>
      </c>
      <c r="AA2797" s="8">
        <f t="shared" si="1459"/>
        <v>525000</v>
      </c>
      <c r="AB2797" s="18">
        <f t="shared" si="1460"/>
        <v>0</v>
      </c>
      <c r="AC2797" s="68"/>
      <c r="AD2797" s="69"/>
      <c r="AE2797" s="69"/>
      <c r="AF2797" s="69"/>
      <c r="AG2797" s="69"/>
      <c r="AH2797" s="69"/>
      <c r="AI2797" s="69"/>
      <c r="AJ2797" s="69"/>
      <c r="AK2797" s="69"/>
      <c r="AL2797" s="69"/>
      <c r="AM2797" s="69"/>
      <c r="AN2797" s="69"/>
      <c r="AO2797" s="69"/>
      <c r="AP2797" s="69"/>
      <c r="AQ2797" s="69"/>
      <c r="AR2797" s="69"/>
      <c r="AS2797" s="69"/>
      <c r="AT2797" s="69"/>
      <c r="AU2797" s="69"/>
      <c r="AV2797" s="69"/>
      <c r="AW2797" s="69"/>
      <c r="AX2797" s="69"/>
      <c r="AY2797" s="69"/>
    </row>
    <row r="2798" spans="1:51" x14ac:dyDescent="0.3">
      <c r="A2798" s="64"/>
      <c r="B2798" s="8"/>
      <c r="C2798" s="7" t="s">
        <v>1232</v>
      </c>
      <c r="D2798" s="8"/>
      <c r="E2798" s="11">
        <v>867860</v>
      </c>
      <c r="F2798" s="11">
        <v>867860</v>
      </c>
      <c r="G2798" s="9">
        <v>0</v>
      </c>
      <c r="H2798" s="9">
        <f>+F2798+G2798</f>
        <v>867860</v>
      </c>
      <c r="I2798" s="11"/>
      <c r="J2798" s="11"/>
      <c r="K2798" s="11"/>
      <c r="L2798" s="9">
        <v>0</v>
      </c>
      <c r="M2798" s="9">
        <f t="shared" si="1453"/>
        <v>867860</v>
      </c>
      <c r="N2798" s="11">
        <v>0</v>
      </c>
      <c r="O2798" s="9">
        <v>0</v>
      </c>
      <c r="P2798" s="9">
        <f t="shared" si="1455"/>
        <v>0</v>
      </c>
      <c r="Q2798" s="11"/>
      <c r="R2798" s="11"/>
      <c r="S2798" s="11"/>
      <c r="T2798" s="9">
        <v>0</v>
      </c>
      <c r="U2798" s="9">
        <f t="shared" si="1454"/>
        <v>0</v>
      </c>
      <c r="V2798" s="11"/>
      <c r="W2798" s="11"/>
      <c r="X2798" s="9">
        <f t="shared" si="1456"/>
        <v>867860</v>
      </c>
      <c r="Y2798" s="9"/>
      <c r="Z2798" s="9">
        <f>+E2798-X2798</f>
        <v>0</v>
      </c>
      <c r="AA2798" s="8">
        <f>+M2798+U2798</f>
        <v>867860</v>
      </c>
      <c r="AB2798" s="18">
        <f>+E2798-AA2798</f>
        <v>0</v>
      </c>
      <c r="AC2798" s="68"/>
      <c r="AD2798" s="69"/>
      <c r="AE2798" s="69"/>
      <c r="AF2798" s="69"/>
      <c r="AG2798" s="69"/>
      <c r="AH2798" s="69"/>
      <c r="AI2798" s="69"/>
      <c r="AJ2798" s="69"/>
      <c r="AK2798" s="69"/>
      <c r="AL2798" s="69"/>
      <c r="AM2798" s="69"/>
      <c r="AN2798" s="69"/>
      <c r="AO2798" s="69"/>
      <c r="AP2798" s="69"/>
      <c r="AQ2798" s="69"/>
      <c r="AR2798" s="69"/>
      <c r="AS2798" s="69"/>
      <c r="AT2798" s="69"/>
      <c r="AU2798" s="69"/>
      <c r="AV2798" s="69"/>
      <c r="AW2798" s="69"/>
      <c r="AX2798" s="69"/>
      <c r="AY2798" s="69"/>
    </row>
    <row r="2799" spans="1:51" x14ac:dyDescent="0.3">
      <c r="A2799" s="64"/>
      <c r="B2799" s="8"/>
      <c r="C2799" s="7" t="s">
        <v>895</v>
      </c>
      <c r="D2799" s="8"/>
      <c r="E2799" s="11">
        <v>191459714.16999999</v>
      </c>
      <c r="F2799" s="11">
        <v>191416289.55000001</v>
      </c>
      <c r="G2799" s="9">
        <v>0</v>
      </c>
      <c r="H2799" s="9">
        <f t="shared" si="1452"/>
        <v>191416289.55000001</v>
      </c>
      <c r="I2799" s="11" t="e">
        <f>#REF!</f>
        <v>#REF!</v>
      </c>
      <c r="J2799" s="11" t="e">
        <f>#REF!</f>
        <v>#REF!</v>
      </c>
      <c r="K2799" s="11" t="e">
        <f>#REF!</f>
        <v>#REF!</v>
      </c>
      <c r="L2799" s="9">
        <v>0</v>
      </c>
      <c r="M2799" s="9">
        <f t="shared" si="1453"/>
        <v>191416289.55000001</v>
      </c>
      <c r="N2799" s="11">
        <v>0</v>
      </c>
      <c r="O2799" s="9">
        <v>0</v>
      </c>
      <c r="P2799" s="9">
        <f t="shared" si="1455"/>
        <v>0</v>
      </c>
      <c r="Q2799" s="11" t="e">
        <f>#REF!</f>
        <v>#REF!</v>
      </c>
      <c r="R2799" s="11" t="e">
        <f>#REF!</f>
        <v>#REF!</v>
      </c>
      <c r="S2799" s="11" t="e">
        <f>#REF!</f>
        <v>#REF!</v>
      </c>
      <c r="T2799" s="11">
        <v>0</v>
      </c>
      <c r="U2799" s="9">
        <f t="shared" si="1454"/>
        <v>0</v>
      </c>
      <c r="V2799" s="11" t="e">
        <f>#REF!</f>
        <v>#REF!</v>
      </c>
      <c r="W2799" s="11" t="e">
        <f>#REF!</f>
        <v>#REF!</v>
      </c>
      <c r="X2799" s="9">
        <f t="shared" si="1456"/>
        <v>191416289.55000001</v>
      </c>
      <c r="Y2799" s="9">
        <f>Y1553</f>
        <v>0</v>
      </c>
      <c r="Z2799" s="9">
        <f t="shared" si="1458"/>
        <v>43424.619999974966</v>
      </c>
      <c r="AA2799" s="8">
        <f t="shared" si="1459"/>
        <v>191416289.55000001</v>
      </c>
      <c r="AB2799" s="18">
        <f t="shared" si="1460"/>
        <v>43424.619999974966</v>
      </c>
      <c r="AC2799" s="68"/>
      <c r="AD2799" s="69"/>
      <c r="AE2799" s="69"/>
      <c r="AF2799" s="69"/>
      <c r="AG2799" s="69"/>
      <c r="AH2799" s="69"/>
      <c r="AI2799" s="69"/>
      <c r="AJ2799" s="69"/>
      <c r="AK2799" s="69"/>
      <c r="AL2799" s="69"/>
      <c r="AM2799" s="69"/>
      <c r="AN2799" s="69"/>
      <c r="AO2799" s="69"/>
      <c r="AP2799" s="69"/>
      <c r="AQ2799" s="69"/>
      <c r="AR2799" s="69"/>
      <c r="AS2799" s="69"/>
      <c r="AT2799" s="69"/>
      <c r="AU2799" s="69"/>
      <c r="AV2799" s="69"/>
      <c r="AW2799" s="69"/>
      <c r="AX2799" s="69"/>
      <c r="AY2799" s="69"/>
    </row>
    <row r="2800" spans="1:51" x14ac:dyDescent="0.3">
      <c r="A2800" s="64"/>
      <c r="B2800" s="8"/>
      <c r="C2800" s="7" t="s">
        <v>896</v>
      </c>
      <c r="D2800" s="8"/>
      <c r="E2800" s="11">
        <v>226838806.74000001</v>
      </c>
      <c r="F2800" s="11">
        <v>208153613</v>
      </c>
      <c r="G2800" s="9">
        <v>0</v>
      </c>
      <c r="H2800" s="9">
        <f t="shared" si="1452"/>
        <v>208153613</v>
      </c>
      <c r="I2800" s="11" t="e">
        <f>#REF!</f>
        <v>#REF!</v>
      </c>
      <c r="J2800" s="11" t="e">
        <f>#REF!</f>
        <v>#REF!</v>
      </c>
      <c r="K2800" s="11" t="e">
        <f>#REF!</f>
        <v>#REF!</v>
      </c>
      <c r="L2800" s="9">
        <v>0</v>
      </c>
      <c r="M2800" s="9">
        <f t="shared" si="1453"/>
        <v>208153613</v>
      </c>
      <c r="N2800" s="11">
        <v>5864850.0599999996</v>
      </c>
      <c r="O2800" s="9">
        <v>0</v>
      </c>
      <c r="P2800" s="9">
        <f t="shared" si="1455"/>
        <v>5864850.0599999996</v>
      </c>
      <c r="Q2800" s="11" t="e">
        <f>#REF!</f>
        <v>#REF!</v>
      </c>
      <c r="R2800" s="11" t="e">
        <f>#REF!</f>
        <v>#REF!</v>
      </c>
      <c r="S2800" s="11" t="e">
        <f>#REF!</f>
        <v>#REF!</v>
      </c>
      <c r="T2800" s="11">
        <v>12399922.68</v>
      </c>
      <c r="U2800" s="9">
        <f t="shared" si="1454"/>
        <v>18264772.739999998</v>
      </c>
      <c r="V2800" s="11" t="e">
        <f>#REF!</f>
        <v>#REF!</v>
      </c>
      <c r="W2800" s="11" t="e">
        <f>#REF!</f>
        <v>#REF!</v>
      </c>
      <c r="X2800" s="9">
        <f t="shared" si="1456"/>
        <v>214018463.06</v>
      </c>
      <c r="Y2800" s="9">
        <f>Y1554</f>
        <v>0</v>
      </c>
      <c r="Z2800" s="9">
        <f t="shared" si="1458"/>
        <v>12820343.680000007</v>
      </c>
      <c r="AA2800" s="8">
        <f t="shared" si="1459"/>
        <v>226418385.74000001</v>
      </c>
      <c r="AB2800" s="18">
        <f t="shared" si="1460"/>
        <v>420421</v>
      </c>
      <c r="AC2800" s="68"/>
      <c r="AD2800" s="69"/>
      <c r="AE2800" s="69"/>
      <c r="AF2800" s="69"/>
      <c r="AG2800" s="69"/>
      <c r="AH2800" s="69"/>
      <c r="AI2800" s="69"/>
      <c r="AJ2800" s="69"/>
      <c r="AK2800" s="69"/>
      <c r="AL2800" s="69"/>
      <c r="AM2800" s="69"/>
      <c r="AN2800" s="69"/>
      <c r="AO2800" s="69"/>
      <c r="AP2800" s="69"/>
      <c r="AQ2800" s="69"/>
      <c r="AR2800" s="69"/>
      <c r="AS2800" s="69"/>
      <c r="AT2800" s="69"/>
      <c r="AU2800" s="69"/>
      <c r="AV2800" s="69"/>
      <c r="AW2800" s="69"/>
      <c r="AX2800" s="69"/>
      <c r="AY2800" s="69"/>
    </row>
    <row r="2801" spans="1:51" x14ac:dyDescent="0.3">
      <c r="A2801" s="64"/>
      <c r="B2801" s="8"/>
      <c r="C2801" s="7" t="s">
        <v>897</v>
      </c>
      <c r="D2801" s="8"/>
      <c r="E2801" s="11">
        <f>232972389.86+2059000</f>
        <v>235031389.86000001</v>
      </c>
      <c r="F2801" s="11">
        <f>226692079.53+3111000</f>
        <v>229803079.53</v>
      </c>
      <c r="G2801" s="9">
        <v>0</v>
      </c>
      <c r="H2801" s="9">
        <f t="shared" si="1452"/>
        <v>229803079.53</v>
      </c>
      <c r="I2801" s="11">
        <f>AH2892</f>
        <v>0</v>
      </c>
      <c r="J2801" s="11">
        <f>AI2892</f>
        <v>0</v>
      </c>
      <c r="K2801" s="11">
        <f>AJ2892</f>
        <v>0</v>
      </c>
      <c r="L2801" s="11">
        <v>0</v>
      </c>
      <c r="M2801" s="9">
        <f t="shared" si="1453"/>
        <v>229803079.53</v>
      </c>
      <c r="N2801" s="11">
        <v>2446315.96</v>
      </c>
      <c r="O2801" s="9">
        <v>0</v>
      </c>
      <c r="P2801" s="9">
        <f t="shared" si="1455"/>
        <v>2446315.96</v>
      </c>
      <c r="Q2801" s="11">
        <f>AP2892</f>
        <v>0</v>
      </c>
      <c r="R2801" s="11">
        <f>AQ2892</f>
        <v>0</v>
      </c>
      <c r="S2801" s="11">
        <f>AR2892</f>
        <v>0</v>
      </c>
      <c r="T2801" s="9">
        <v>0</v>
      </c>
      <c r="U2801" s="9">
        <f t="shared" si="1454"/>
        <v>2446315.96</v>
      </c>
      <c r="V2801" s="11">
        <f>AU2892</f>
        <v>0</v>
      </c>
      <c r="W2801" s="11">
        <f>AV2892</f>
        <v>0</v>
      </c>
      <c r="X2801" s="9">
        <f t="shared" si="1456"/>
        <v>232249395.49000001</v>
      </c>
      <c r="Y2801" s="9">
        <f>Y1555</f>
        <v>0</v>
      </c>
      <c r="Z2801" s="9">
        <f t="shared" si="1458"/>
        <v>2781994.3700000048</v>
      </c>
      <c r="AA2801" s="8">
        <f t="shared" si="1459"/>
        <v>232249395.49000001</v>
      </c>
      <c r="AB2801" s="18">
        <f t="shared" si="1460"/>
        <v>2781994.3700000048</v>
      </c>
      <c r="AC2801" s="68"/>
      <c r="AD2801" s="69"/>
      <c r="AE2801" s="69"/>
      <c r="AF2801" s="69"/>
      <c r="AG2801" s="69"/>
      <c r="AH2801" s="69"/>
      <c r="AI2801" s="69"/>
      <c r="AJ2801" s="69"/>
      <c r="AK2801" s="69"/>
      <c r="AL2801" s="69"/>
      <c r="AM2801" s="69"/>
      <c r="AN2801" s="69"/>
      <c r="AO2801" s="69"/>
      <c r="AP2801" s="69"/>
      <c r="AQ2801" s="69"/>
      <c r="AR2801" s="69"/>
      <c r="AS2801" s="69"/>
      <c r="AT2801" s="69"/>
      <c r="AU2801" s="69"/>
      <c r="AV2801" s="69"/>
      <c r="AW2801" s="69"/>
      <c r="AX2801" s="69"/>
      <c r="AY2801" s="69"/>
    </row>
    <row r="2802" spans="1:51" x14ac:dyDescent="0.3">
      <c r="A2802" s="64"/>
      <c r="B2802" s="8"/>
      <c r="C2802" s="7" t="s">
        <v>1085</v>
      </c>
      <c r="D2802" s="8"/>
      <c r="E2802" s="11">
        <f>13110780.5+10619590.62+16114211.63+36312002.03+45812892.72+2010322.54+2474289.58+1317652.44+1161513.13</f>
        <v>128933255.19</v>
      </c>
      <c r="F2802" s="11">
        <f>13110780.5+10619590.62+16114211.63+36312002.03+45812892.72+6963777.69</f>
        <v>128933255.19</v>
      </c>
      <c r="G2802" s="9">
        <v>0</v>
      </c>
      <c r="H2802" s="9">
        <f>+F2802+G2802</f>
        <v>128933255.19</v>
      </c>
      <c r="I2802" s="11"/>
      <c r="J2802" s="11"/>
      <c r="K2802" s="11"/>
      <c r="L2802" s="11">
        <v>0</v>
      </c>
      <c r="M2802" s="9">
        <f>+H2802+L2802</f>
        <v>128933255.19</v>
      </c>
      <c r="N2802" s="11">
        <v>0</v>
      </c>
      <c r="O2802" s="9">
        <v>0</v>
      </c>
      <c r="P2802" s="9">
        <f>+N2802+O2802</f>
        <v>0</v>
      </c>
      <c r="Q2802" s="11"/>
      <c r="R2802" s="11"/>
      <c r="S2802" s="11"/>
      <c r="T2802" s="9">
        <v>0</v>
      </c>
      <c r="U2802" s="9">
        <f t="shared" si="1454"/>
        <v>0</v>
      </c>
      <c r="V2802" s="11">
        <f>AU2893</f>
        <v>0</v>
      </c>
      <c r="W2802" s="11">
        <f>AV2893</f>
        <v>0</v>
      </c>
      <c r="X2802" s="9">
        <f t="shared" si="1456"/>
        <v>128933255.19</v>
      </c>
      <c r="Y2802" s="9">
        <f>Y1556</f>
        <v>0</v>
      </c>
      <c r="Z2802" s="9">
        <f t="shared" si="1458"/>
        <v>0</v>
      </c>
      <c r="AA2802" s="8">
        <f t="shared" si="1459"/>
        <v>128933255.19</v>
      </c>
      <c r="AB2802" s="18">
        <f t="shared" si="1460"/>
        <v>0</v>
      </c>
      <c r="AC2802" s="68"/>
      <c r="AD2802" s="69"/>
      <c r="AE2802" s="69"/>
      <c r="AF2802" s="69"/>
      <c r="AG2802" s="69"/>
      <c r="AH2802" s="69"/>
      <c r="AI2802" s="69"/>
      <c r="AJ2802" s="69"/>
      <c r="AK2802" s="69"/>
      <c r="AL2802" s="69"/>
      <c r="AM2802" s="69"/>
      <c r="AN2802" s="69"/>
      <c r="AO2802" s="69"/>
      <c r="AP2802" s="69"/>
      <c r="AQ2802" s="69"/>
      <c r="AR2802" s="69"/>
      <c r="AS2802" s="69"/>
      <c r="AT2802" s="69"/>
      <c r="AU2802" s="69"/>
      <c r="AV2802" s="69"/>
      <c r="AW2802" s="69"/>
      <c r="AX2802" s="69"/>
      <c r="AY2802" s="69"/>
    </row>
    <row r="2803" spans="1:51" x14ac:dyDescent="0.3">
      <c r="A2803" s="64"/>
      <c r="B2803" s="8"/>
      <c r="C2803" s="7" t="s">
        <v>1199</v>
      </c>
      <c r="D2803" s="8"/>
      <c r="E2803" s="11">
        <f>1737145.81+7530627.92+4131403.35+14158090.91+5327529.05+883909.53+4163562.53</f>
        <v>37932269.100000001</v>
      </c>
      <c r="F2803" s="9">
        <f>1737145.81+7530627.92+4131403.35+14158090.91+6211438.58+4163562.53</f>
        <v>37932269.100000001</v>
      </c>
      <c r="G2803" s="9">
        <v>0</v>
      </c>
      <c r="H2803" s="9">
        <f>+F2803+G2803</f>
        <v>37932269.100000001</v>
      </c>
      <c r="I2803" s="11"/>
      <c r="J2803" s="11"/>
      <c r="K2803" s="11"/>
      <c r="L2803" s="11">
        <v>0</v>
      </c>
      <c r="M2803" s="9">
        <f>+H2803+L2803</f>
        <v>37932269.100000001</v>
      </c>
      <c r="N2803" s="11">
        <v>0</v>
      </c>
      <c r="O2803" s="9">
        <v>0</v>
      </c>
      <c r="P2803" s="9">
        <f>+N2803+O2803</f>
        <v>0</v>
      </c>
      <c r="Q2803" s="11"/>
      <c r="R2803" s="11"/>
      <c r="S2803" s="11"/>
      <c r="T2803" s="9">
        <v>0</v>
      </c>
      <c r="U2803" s="9">
        <f t="shared" si="1454"/>
        <v>0</v>
      </c>
      <c r="V2803" s="11"/>
      <c r="W2803" s="11"/>
      <c r="X2803" s="9">
        <f t="shared" si="1456"/>
        <v>37932269.100000001</v>
      </c>
      <c r="Y2803" s="9"/>
      <c r="Z2803" s="9">
        <f t="shared" si="1458"/>
        <v>0</v>
      </c>
      <c r="AA2803" s="8">
        <f t="shared" si="1459"/>
        <v>37932269.100000001</v>
      </c>
      <c r="AB2803" s="18">
        <f t="shared" si="1460"/>
        <v>0</v>
      </c>
      <c r="AC2803" s="68"/>
      <c r="AD2803" s="69"/>
      <c r="AE2803" s="69"/>
      <c r="AF2803" s="69"/>
      <c r="AG2803" s="69"/>
      <c r="AH2803" s="69"/>
      <c r="AI2803" s="69"/>
      <c r="AJ2803" s="69"/>
      <c r="AK2803" s="69"/>
      <c r="AL2803" s="69"/>
      <c r="AM2803" s="69"/>
      <c r="AN2803" s="69"/>
      <c r="AO2803" s="69"/>
      <c r="AP2803" s="69"/>
      <c r="AQ2803" s="69"/>
      <c r="AR2803" s="69"/>
      <c r="AS2803" s="69"/>
      <c r="AT2803" s="69"/>
      <c r="AU2803" s="69"/>
      <c r="AV2803" s="69"/>
      <c r="AW2803" s="69"/>
      <c r="AX2803" s="69"/>
      <c r="AY2803" s="69"/>
    </row>
    <row r="2804" spans="1:51" x14ac:dyDescent="0.3">
      <c r="A2804" s="64"/>
      <c r="B2804" s="8"/>
      <c r="C2804" s="7" t="s">
        <v>1263</v>
      </c>
      <c r="D2804" s="8"/>
      <c r="E2804" s="11">
        <v>3978863.63</v>
      </c>
      <c r="F2804" s="9"/>
      <c r="G2804" s="9">
        <v>3978863.63</v>
      </c>
      <c r="H2804" s="9"/>
      <c r="I2804" s="11"/>
      <c r="J2804" s="11"/>
      <c r="K2804" s="11"/>
      <c r="L2804" s="11"/>
      <c r="M2804" s="9"/>
      <c r="N2804" s="11"/>
      <c r="O2804" s="9"/>
      <c r="P2804" s="9"/>
      <c r="Q2804" s="11"/>
      <c r="R2804" s="11"/>
      <c r="S2804" s="11"/>
      <c r="T2804" s="9"/>
      <c r="U2804" s="9"/>
      <c r="V2804" s="11"/>
      <c r="W2804" s="11"/>
      <c r="X2804" s="9"/>
      <c r="Y2804" s="9"/>
      <c r="Z2804" s="9"/>
      <c r="AB2804" s="18"/>
      <c r="AC2804" s="68"/>
      <c r="AD2804" s="69"/>
      <c r="AE2804" s="69"/>
      <c r="AF2804" s="69"/>
      <c r="AG2804" s="69"/>
      <c r="AH2804" s="69"/>
      <c r="AI2804" s="69"/>
      <c r="AJ2804" s="69"/>
      <c r="AK2804" s="69"/>
      <c r="AL2804" s="69"/>
      <c r="AM2804" s="69"/>
      <c r="AN2804" s="69"/>
      <c r="AO2804" s="69"/>
      <c r="AP2804" s="69"/>
      <c r="AQ2804" s="69"/>
      <c r="AR2804" s="69"/>
      <c r="AS2804" s="69"/>
      <c r="AT2804" s="69"/>
      <c r="AU2804" s="69"/>
      <c r="AV2804" s="69"/>
      <c r="AW2804" s="69"/>
      <c r="AX2804" s="69"/>
      <c r="AY2804" s="69"/>
    </row>
    <row r="2805" spans="1:51" x14ac:dyDescent="0.3">
      <c r="A2805" s="64"/>
      <c r="B2805" s="8"/>
      <c r="C2805" s="7" t="s">
        <v>1185</v>
      </c>
      <c r="D2805" s="8"/>
      <c r="E2805" s="11">
        <v>4109895.96</v>
      </c>
      <c r="F2805" s="9">
        <v>4109895.96</v>
      </c>
      <c r="G2805" s="9">
        <v>0</v>
      </c>
      <c r="H2805" s="9">
        <f t="shared" ref="H2805:H2817" si="1462">+F2805+G2805</f>
        <v>4109895.96</v>
      </c>
      <c r="I2805" s="11"/>
      <c r="J2805" s="11"/>
      <c r="K2805" s="11"/>
      <c r="L2805" s="11">
        <v>0</v>
      </c>
      <c r="M2805" s="9">
        <f>+H2805+L2805</f>
        <v>4109895.96</v>
      </c>
      <c r="N2805" s="11">
        <v>0</v>
      </c>
      <c r="O2805" s="9">
        <v>0</v>
      </c>
      <c r="P2805" s="9">
        <f>+N2805+O2805</f>
        <v>0</v>
      </c>
      <c r="Q2805" s="11"/>
      <c r="R2805" s="11"/>
      <c r="S2805" s="11"/>
      <c r="T2805" s="9">
        <v>0</v>
      </c>
      <c r="U2805" s="9">
        <f t="shared" si="1454"/>
        <v>0</v>
      </c>
      <c r="V2805" s="11"/>
      <c r="W2805" s="11"/>
      <c r="X2805" s="9">
        <f t="shared" si="1456"/>
        <v>4109895.96</v>
      </c>
      <c r="Y2805" s="9"/>
      <c r="Z2805" s="9">
        <f t="shared" si="1458"/>
        <v>0</v>
      </c>
      <c r="AA2805" s="8">
        <f t="shared" si="1459"/>
        <v>4109895.96</v>
      </c>
      <c r="AB2805" s="18">
        <f t="shared" si="1460"/>
        <v>0</v>
      </c>
      <c r="AC2805" s="68"/>
      <c r="AD2805" s="69"/>
      <c r="AE2805" s="69"/>
      <c r="AF2805" s="69"/>
      <c r="AG2805" s="69"/>
      <c r="AH2805" s="69"/>
      <c r="AI2805" s="69"/>
      <c r="AJ2805" s="69"/>
      <c r="AK2805" s="69"/>
      <c r="AL2805" s="69"/>
      <c r="AM2805" s="69"/>
      <c r="AN2805" s="69"/>
      <c r="AO2805" s="69"/>
      <c r="AP2805" s="69"/>
      <c r="AQ2805" s="69"/>
      <c r="AR2805" s="69"/>
      <c r="AS2805" s="69"/>
      <c r="AT2805" s="69"/>
      <c r="AU2805" s="69"/>
      <c r="AV2805" s="69"/>
      <c r="AW2805" s="69"/>
      <c r="AX2805" s="69"/>
      <c r="AY2805" s="69"/>
    </row>
    <row r="2806" spans="1:51" x14ac:dyDescent="0.3">
      <c r="A2806" s="64"/>
      <c r="B2806" s="8"/>
      <c r="C2806" s="7" t="s">
        <v>1182</v>
      </c>
      <c r="D2806" s="8"/>
      <c r="E2806" s="11">
        <v>1355200.96</v>
      </c>
      <c r="F2806" s="9">
        <v>1355200.96</v>
      </c>
      <c r="G2806" s="9">
        <v>0</v>
      </c>
      <c r="H2806" s="9">
        <f t="shared" si="1462"/>
        <v>1355200.96</v>
      </c>
      <c r="I2806" s="11"/>
      <c r="J2806" s="11"/>
      <c r="K2806" s="11"/>
      <c r="L2806" s="11">
        <v>0</v>
      </c>
      <c r="M2806" s="9">
        <f>+H2806+L2806</f>
        <v>1355200.96</v>
      </c>
      <c r="N2806" s="11">
        <v>0</v>
      </c>
      <c r="O2806" s="9">
        <v>0</v>
      </c>
      <c r="P2806" s="9">
        <f>+N2806+O2806</f>
        <v>0</v>
      </c>
      <c r="Q2806" s="11"/>
      <c r="R2806" s="11"/>
      <c r="S2806" s="11"/>
      <c r="T2806" s="9">
        <v>0</v>
      </c>
      <c r="U2806" s="9">
        <f t="shared" si="1454"/>
        <v>0</v>
      </c>
      <c r="V2806" s="11"/>
      <c r="W2806" s="11"/>
      <c r="X2806" s="9">
        <f t="shared" si="1456"/>
        <v>1355200.96</v>
      </c>
      <c r="Y2806" s="9"/>
      <c r="Z2806" s="9">
        <f t="shared" si="1458"/>
        <v>0</v>
      </c>
      <c r="AA2806" s="8">
        <f t="shared" si="1459"/>
        <v>1355200.96</v>
      </c>
      <c r="AB2806" s="18">
        <f t="shared" si="1460"/>
        <v>0</v>
      </c>
      <c r="AC2806" s="68"/>
      <c r="AD2806" s="69"/>
      <c r="AE2806" s="69"/>
      <c r="AF2806" s="69"/>
      <c r="AG2806" s="69"/>
      <c r="AH2806" s="69"/>
      <c r="AI2806" s="69"/>
      <c r="AJ2806" s="69"/>
      <c r="AK2806" s="69"/>
      <c r="AL2806" s="69"/>
      <c r="AM2806" s="69"/>
      <c r="AN2806" s="69"/>
      <c r="AO2806" s="69"/>
      <c r="AP2806" s="69"/>
      <c r="AQ2806" s="69"/>
      <c r="AR2806" s="69"/>
      <c r="AS2806" s="69"/>
      <c r="AT2806" s="69"/>
      <c r="AU2806" s="69"/>
      <c r="AV2806" s="69"/>
      <c r="AW2806" s="69"/>
      <c r="AX2806" s="69"/>
      <c r="AY2806" s="69"/>
    </row>
    <row r="2807" spans="1:51" x14ac:dyDescent="0.3">
      <c r="A2807" s="64"/>
      <c r="B2807" s="8"/>
      <c r="C2807" s="7" t="s">
        <v>1116</v>
      </c>
      <c r="D2807" s="8"/>
      <c r="E2807" s="11">
        <f>2015804.39+1677419.26+2287396.92+2386921.43+3028117.61</f>
        <v>11395659.609999999</v>
      </c>
      <c r="F2807" s="11">
        <f>2015804.39+1677419.26+2287396.92+2386921.43+3028117.61</f>
        <v>11395659.609999999</v>
      </c>
      <c r="G2807" s="9">
        <v>0</v>
      </c>
      <c r="H2807" s="9">
        <f t="shared" si="1462"/>
        <v>11395659.609999999</v>
      </c>
      <c r="I2807" s="11"/>
      <c r="J2807" s="11"/>
      <c r="K2807" s="11"/>
      <c r="L2807" s="11">
        <v>0</v>
      </c>
      <c r="M2807" s="9">
        <f>+H2807+L2807</f>
        <v>11395659.609999999</v>
      </c>
      <c r="N2807" s="11">
        <v>0</v>
      </c>
      <c r="O2807" s="9">
        <v>0</v>
      </c>
      <c r="P2807" s="9">
        <f>+N2807+O2807</f>
        <v>0</v>
      </c>
      <c r="Q2807" s="11"/>
      <c r="R2807" s="11"/>
      <c r="S2807" s="11"/>
      <c r="T2807" s="9">
        <f>+O2807+P2807</f>
        <v>0</v>
      </c>
      <c r="U2807" s="9">
        <f t="shared" si="1454"/>
        <v>0</v>
      </c>
      <c r="V2807" s="11">
        <f>AU2894</f>
        <v>0</v>
      </c>
      <c r="W2807" s="11">
        <f>AV2894</f>
        <v>0</v>
      </c>
      <c r="X2807" s="9">
        <f>+H2807+P2807</f>
        <v>11395659.609999999</v>
      </c>
      <c r="Y2807" s="9">
        <f>Y1557</f>
        <v>0</v>
      </c>
      <c r="Z2807" s="9">
        <f>+E2807-X2807</f>
        <v>0</v>
      </c>
      <c r="AA2807" s="8">
        <f>+M2807+U2807</f>
        <v>11395659.609999999</v>
      </c>
      <c r="AB2807" s="18">
        <f>+E2807-AA2807</f>
        <v>0</v>
      </c>
      <c r="AC2807" s="68"/>
      <c r="AD2807" s="69"/>
      <c r="AE2807" s="69"/>
      <c r="AF2807" s="69"/>
      <c r="AG2807" s="69"/>
      <c r="AH2807" s="69"/>
      <c r="AI2807" s="69"/>
      <c r="AJ2807" s="69"/>
      <c r="AK2807" s="69"/>
      <c r="AL2807" s="69"/>
      <c r="AM2807" s="69"/>
      <c r="AN2807" s="69"/>
      <c r="AO2807" s="69"/>
      <c r="AP2807" s="69"/>
      <c r="AQ2807" s="69"/>
      <c r="AR2807" s="69"/>
      <c r="AS2807" s="69"/>
      <c r="AT2807" s="69"/>
      <c r="AU2807" s="69"/>
      <c r="AV2807" s="69"/>
      <c r="AW2807" s="69"/>
      <c r="AX2807" s="69"/>
      <c r="AY2807" s="69"/>
    </row>
    <row r="2808" spans="1:51" x14ac:dyDescent="0.3">
      <c r="A2808" s="64"/>
      <c r="B2808" s="8"/>
      <c r="C2808" s="7" t="s">
        <v>898</v>
      </c>
      <c r="D2808" s="8"/>
      <c r="E2808" s="11">
        <f>176927944.96+509562.58+895914.29+1605219.01+450000+868466.14+836000+312691.88+6334787.62+1460611.02+1303007.48+64851.46+8966.75+46266.76+6198.54+36119.34+48816.04+42415.76+2487798.42+1114998.42+789000+281630+133592.63+6673590.68+26058.58+8057807.52+419000+599479.73</f>
        <v>212340795.60999995</v>
      </c>
      <c r="F2808" s="11">
        <f>149904166.58+14943265.93+23029565.67-259843.67+4673426.84+6673590.68+8057807.52+419000</f>
        <v>207440979.55000004</v>
      </c>
      <c r="G2808" s="11">
        <v>0</v>
      </c>
      <c r="H2808" s="9">
        <f t="shared" si="1462"/>
        <v>207440979.55000004</v>
      </c>
      <c r="I2808" s="11">
        <f>AH2900</f>
        <v>0</v>
      </c>
      <c r="J2808" s="11">
        <f>AI2900</f>
        <v>0</v>
      </c>
      <c r="K2808" s="11">
        <f>AJ2900</f>
        <v>0</v>
      </c>
      <c r="L2808" s="11">
        <v>0</v>
      </c>
      <c r="M2808" s="9">
        <f t="shared" si="1453"/>
        <v>207440979.55000004</v>
      </c>
      <c r="N2808" s="11">
        <f>253634.65+156972.03+26058.58+599479.73</f>
        <v>1036144.99</v>
      </c>
      <c r="O2808" s="9">
        <v>0</v>
      </c>
      <c r="P2808" s="9">
        <f t="shared" si="1455"/>
        <v>1036144.99</v>
      </c>
      <c r="Q2808" s="11">
        <f>AP2900</f>
        <v>0</v>
      </c>
      <c r="R2808" s="11">
        <f>AQ2900</f>
        <v>0</v>
      </c>
      <c r="S2808" s="11">
        <f>AR2900</f>
        <v>0</v>
      </c>
      <c r="T2808" s="11">
        <v>803295.05</v>
      </c>
      <c r="U2808" s="9">
        <f t="shared" si="1454"/>
        <v>1839440.04</v>
      </c>
      <c r="V2808" s="11">
        <f>AU2900</f>
        <v>0</v>
      </c>
      <c r="W2808" s="11">
        <f>AV2900</f>
        <v>0</v>
      </c>
      <c r="X2808" s="9">
        <f t="shared" si="1456"/>
        <v>208477124.54000005</v>
      </c>
      <c r="Y2808" s="9">
        <f>Y1557</f>
        <v>0</v>
      </c>
      <c r="Z2808" s="9">
        <f t="shared" si="1458"/>
        <v>3863671.0699999034</v>
      </c>
      <c r="AA2808" s="8">
        <f t="shared" si="1459"/>
        <v>209280419.59000003</v>
      </c>
      <c r="AB2808" s="18">
        <f t="shared" si="1460"/>
        <v>3060376.0199999213</v>
      </c>
      <c r="AD2808" s="70"/>
      <c r="AE2808" s="70"/>
      <c r="AF2808" s="70"/>
      <c r="AG2808" s="70"/>
      <c r="AH2808" s="70"/>
      <c r="AI2808" s="70"/>
      <c r="AJ2808" s="70"/>
      <c r="AK2808" s="70"/>
      <c r="AL2808" s="70"/>
      <c r="AM2808" s="70"/>
      <c r="AN2808" s="70"/>
      <c r="AO2808" s="70"/>
      <c r="AP2808" s="70"/>
      <c r="AQ2808" s="70"/>
      <c r="AR2808" s="70"/>
      <c r="AS2808" s="70"/>
      <c r="AT2808" s="70"/>
      <c r="AU2808" s="70"/>
      <c r="AV2808" s="70"/>
      <c r="AW2808" s="70"/>
      <c r="AX2808" s="70"/>
      <c r="AY2808" s="70"/>
    </row>
    <row r="2809" spans="1:51" x14ac:dyDescent="0.3">
      <c r="A2809" s="64"/>
      <c r="B2809" s="8"/>
      <c r="C2809" s="7" t="s">
        <v>1231</v>
      </c>
      <c r="D2809" s="8"/>
      <c r="E2809" s="11">
        <v>86400</v>
      </c>
      <c r="F2809" s="11">
        <v>86400</v>
      </c>
      <c r="G2809" s="11">
        <v>0</v>
      </c>
      <c r="H2809" s="9">
        <f t="shared" si="1462"/>
        <v>86400</v>
      </c>
      <c r="I2809" s="11"/>
      <c r="J2809" s="11"/>
      <c r="K2809" s="11"/>
      <c r="L2809" s="11">
        <v>0</v>
      </c>
      <c r="M2809" s="9">
        <f t="shared" si="1453"/>
        <v>86400</v>
      </c>
      <c r="N2809" s="11">
        <v>0</v>
      </c>
      <c r="O2809" s="9">
        <v>0</v>
      </c>
      <c r="P2809" s="9">
        <f>+N2809+O2809</f>
        <v>0</v>
      </c>
      <c r="Q2809" s="11"/>
      <c r="R2809" s="11"/>
      <c r="S2809" s="11"/>
      <c r="T2809" s="11">
        <v>0</v>
      </c>
      <c r="U2809" s="9">
        <f t="shared" si="1454"/>
        <v>0</v>
      </c>
      <c r="V2809" s="11"/>
      <c r="W2809" s="11"/>
      <c r="X2809" s="9">
        <f t="shared" si="1456"/>
        <v>86400</v>
      </c>
      <c r="Y2809" s="9"/>
      <c r="Z2809" s="9">
        <f t="shared" si="1458"/>
        <v>0</v>
      </c>
      <c r="AA2809" s="8">
        <f t="shared" si="1459"/>
        <v>86400</v>
      </c>
      <c r="AB2809" s="18">
        <f t="shared" si="1460"/>
        <v>0</v>
      </c>
      <c r="AD2809" s="70"/>
      <c r="AE2809" s="70"/>
      <c r="AF2809" s="70"/>
      <c r="AG2809" s="70"/>
      <c r="AH2809" s="70"/>
      <c r="AI2809" s="70"/>
      <c r="AJ2809" s="70"/>
      <c r="AK2809" s="70"/>
      <c r="AL2809" s="70"/>
      <c r="AM2809" s="70"/>
      <c r="AN2809" s="70"/>
      <c r="AO2809" s="70"/>
      <c r="AP2809" s="70"/>
      <c r="AQ2809" s="70"/>
      <c r="AR2809" s="70"/>
      <c r="AS2809" s="70"/>
      <c r="AT2809" s="70"/>
      <c r="AU2809" s="70"/>
      <c r="AV2809" s="70"/>
      <c r="AW2809" s="70"/>
      <c r="AX2809" s="70"/>
      <c r="AY2809" s="70"/>
    </row>
    <row r="2810" spans="1:51" x14ac:dyDescent="0.3">
      <c r="A2810" s="64"/>
      <c r="B2810" s="8"/>
      <c r="C2810" s="7" t="s">
        <v>1174</v>
      </c>
      <c r="D2810" s="8"/>
      <c r="E2810" s="11">
        <v>1000000</v>
      </c>
      <c r="F2810" s="11">
        <v>1000000</v>
      </c>
      <c r="G2810" s="11">
        <v>0</v>
      </c>
      <c r="H2810" s="9">
        <f t="shared" si="1462"/>
        <v>1000000</v>
      </c>
      <c r="I2810" s="11"/>
      <c r="J2810" s="11"/>
      <c r="K2810" s="11"/>
      <c r="L2810" s="11">
        <v>0</v>
      </c>
      <c r="M2810" s="9">
        <f t="shared" si="1453"/>
        <v>1000000</v>
      </c>
      <c r="N2810" s="11">
        <v>0</v>
      </c>
      <c r="O2810" s="9">
        <v>0</v>
      </c>
      <c r="P2810" s="9">
        <f>+N2810+O2810</f>
        <v>0</v>
      </c>
      <c r="Q2810" s="11"/>
      <c r="R2810" s="11"/>
      <c r="S2810" s="11"/>
      <c r="T2810" s="11">
        <f>+O2810+P2810</f>
        <v>0</v>
      </c>
      <c r="U2810" s="9">
        <f t="shared" si="1454"/>
        <v>0</v>
      </c>
      <c r="V2810" s="11"/>
      <c r="W2810" s="11"/>
      <c r="X2810" s="9">
        <f t="shared" si="1456"/>
        <v>1000000</v>
      </c>
      <c r="Y2810" s="9"/>
      <c r="Z2810" s="9">
        <f>+E2810-X2810</f>
        <v>0</v>
      </c>
      <c r="AA2810" s="8">
        <f>+M2810+U2810</f>
        <v>1000000</v>
      </c>
      <c r="AB2810" s="18">
        <f>+E2810-AA2810</f>
        <v>0</v>
      </c>
      <c r="AD2810" s="70"/>
      <c r="AE2810" s="70"/>
      <c r="AF2810" s="70"/>
      <c r="AG2810" s="70"/>
      <c r="AH2810" s="70"/>
      <c r="AI2810" s="70"/>
      <c r="AJ2810" s="70"/>
      <c r="AK2810" s="70"/>
      <c r="AL2810" s="70"/>
      <c r="AM2810" s="70"/>
      <c r="AN2810" s="70"/>
      <c r="AO2810" s="70"/>
      <c r="AP2810" s="70"/>
      <c r="AQ2810" s="70"/>
      <c r="AR2810" s="70"/>
      <c r="AS2810" s="70"/>
      <c r="AT2810" s="70"/>
      <c r="AU2810" s="70"/>
      <c r="AV2810" s="70"/>
      <c r="AW2810" s="70"/>
      <c r="AX2810" s="70"/>
      <c r="AY2810" s="70"/>
    </row>
    <row r="2811" spans="1:51" x14ac:dyDescent="0.3">
      <c r="A2811" s="64"/>
      <c r="B2811" s="8"/>
      <c r="C2811" s="7" t="s">
        <v>1119</v>
      </c>
      <c r="D2811" s="8"/>
      <c r="E2811" s="11">
        <v>140000</v>
      </c>
      <c r="F2811" s="11">
        <v>140000</v>
      </c>
      <c r="G2811" s="11">
        <v>0</v>
      </c>
      <c r="H2811" s="9">
        <f t="shared" si="1462"/>
        <v>140000</v>
      </c>
      <c r="I2811" s="11"/>
      <c r="J2811" s="11"/>
      <c r="K2811" s="11"/>
      <c r="L2811" s="11">
        <v>0</v>
      </c>
      <c r="M2811" s="9">
        <f t="shared" si="1453"/>
        <v>140000</v>
      </c>
      <c r="N2811" s="11">
        <v>0</v>
      </c>
      <c r="O2811" s="9">
        <v>0</v>
      </c>
      <c r="P2811" s="9">
        <f t="shared" ref="P2811:P2818" si="1463">+N2811+O2811</f>
        <v>0</v>
      </c>
      <c r="Q2811" s="11"/>
      <c r="R2811" s="11"/>
      <c r="S2811" s="11"/>
      <c r="T2811" s="11">
        <v>0</v>
      </c>
      <c r="U2811" s="9">
        <f t="shared" ref="U2811:U2823" si="1464">+P2811+T2811</f>
        <v>0</v>
      </c>
      <c r="V2811" s="11"/>
      <c r="W2811" s="11"/>
      <c r="X2811" s="9">
        <f t="shared" si="1456"/>
        <v>140000</v>
      </c>
      <c r="Y2811" s="9"/>
      <c r="Z2811" s="9">
        <f t="shared" si="1458"/>
        <v>0</v>
      </c>
      <c r="AA2811" s="8">
        <f t="shared" si="1459"/>
        <v>140000</v>
      </c>
      <c r="AB2811" s="18">
        <f t="shared" si="1460"/>
        <v>0</v>
      </c>
      <c r="AD2811" s="70"/>
      <c r="AE2811" s="70"/>
      <c r="AF2811" s="70"/>
      <c r="AG2811" s="70"/>
      <c r="AH2811" s="70"/>
      <c r="AI2811" s="70"/>
      <c r="AJ2811" s="70"/>
      <c r="AK2811" s="70"/>
      <c r="AL2811" s="70"/>
      <c r="AM2811" s="70"/>
      <c r="AN2811" s="70"/>
      <c r="AO2811" s="70"/>
      <c r="AP2811" s="70"/>
      <c r="AQ2811" s="70"/>
      <c r="AR2811" s="70"/>
      <c r="AS2811" s="70"/>
      <c r="AT2811" s="70"/>
      <c r="AU2811" s="70"/>
      <c r="AV2811" s="70"/>
      <c r="AW2811" s="70"/>
      <c r="AX2811" s="70"/>
      <c r="AY2811" s="70"/>
    </row>
    <row r="2812" spans="1:51" x14ac:dyDescent="0.3">
      <c r="A2812" s="64"/>
      <c r="B2812" s="8"/>
      <c r="C2812" s="7" t="s">
        <v>1121</v>
      </c>
      <c r="D2812" s="8"/>
      <c r="E2812" s="11">
        <f>260451+300000+1342430.42+500000+56434.33</f>
        <v>2459315.75</v>
      </c>
      <c r="F2812" s="11">
        <f>260451+300000+500000+56434.33</f>
        <v>1116885.33</v>
      </c>
      <c r="G2812" s="11">
        <v>0</v>
      </c>
      <c r="H2812" s="9">
        <f t="shared" si="1462"/>
        <v>1116885.33</v>
      </c>
      <c r="I2812" s="11"/>
      <c r="J2812" s="11"/>
      <c r="K2812" s="11"/>
      <c r="L2812" s="11">
        <v>0</v>
      </c>
      <c r="M2812" s="9">
        <f t="shared" si="1453"/>
        <v>1116885.33</v>
      </c>
      <c r="N2812" s="11">
        <v>0</v>
      </c>
      <c r="O2812" s="9">
        <v>0</v>
      </c>
      <c r="P2812" s="9">
        <f t="shared" si="1463"/>
        <v>0</v>
      </c>
      <c r="Q2812" s="11"/>
      <c r="R2812" s="11"/>
      <c r="S2812" s="11"/>
      <c r="T2812" s="11">
        <v>0</v>
      </c>
      <c r="U2812" s="9">
        <f t="shared" si="1464"/>
        <v>0</v>
      </c>
      <c r="V2812" s="11"/>
      <c r="W2812" s="11"/>
      <c r="X2812" s="9">
        <f t="shared" si="1456"/>
        <v>1116885.33</v>
      </c>
      <c r="Y2812" s="9"/>
      <c r="Z2812" s="9">
        <f t="shared" si="1458"/>
        <v>1342430.42</v>
      </c>
      <c r="AA2812" s="8">
        <f t="shared" si="1459"/>
        <v>1116885.33</v>
      </c>
      <c r="AB2812" s="18">
        <f t="shared" si="1460"/>
        <v>1342430.42</v>
      </c>
      <c r="AD2812" s="70"/>
      <c r="AE2812" s="70"/>
      <c r="AF2812" s="70"/>
      <c r="AG2812" s="70"/>
      <c r="AH2812" s="70"/>
      <c r="AI2812" s="70"/>
      <c r="AJ2812" s="70"/>
      <c r="AK2812" s="70"/>
      <c r="AL2812" s="70"/>
      <c r="AM2812" s="70"/>
      <c r="AN2812" s="70"/>
      <c r="AO2812" s="70"/>
      <c r="AP2812" s="70"/>
      <c r="AQ2812" s="70"/>
      <c r="AR2812" s="70"/>
      <c r="AS2812" s="70"/>
      <c r="AT2812" s="70"/>
      <c r="AU2812" s="70"/>
      <c r="AV2812" s="70"/>
      <c r="AW2812" s="70"/>
      <c r="AX2812" s="70"/>
      <c r="AY2812" s="70"/>
    </row>
    <row r="2813" spans="1:51" x14ac:dyDescent="0.3">
      <c r="A2813" s="64"/>
      <c r="B2813" s="8"/>
      <c r="C2813" s="7" t="s">
        <v>1122</v>
      </c>
      <c r="D2813" s="8"/>
      <c r="E2813" s="11">
        <v>2146067.7000000002</v>
      </c>
      <c r="F2813" s="11">
        <f>2146067.7+1342430.42</f>
        <v>3488498.12</v>
      </c>
      <c r="G2813" s="11">
        <v>0</v>
      </c>
      <c r="H2813" s="9">
        <f t="shared" si="1462"/>
        <v>3488498.12</v>
      </c>
      <c r="I2813" s="11"/>
      <c r="J2813" s="11"/>
      <c r="K2813" s="11"/>
      <c r="L2813" s="11">
        <v>0</v>
      </c>
      <c r="M2813" s="9">
        <f t="shared" si="1453"/>
        <v>3488498.12</v>
      </c>
      <c r="N2813" s="11">
        <v>0</v>
      </c>
      <c r="O2813" s="9">
        <v>0</v>
      </c>
      <c r="P2813" s="9">
        <f t="shared" si="1463"/>
        <v>0</v>
      </c>
      <c r="Q2813" s="11"/>
      <c r="R2813" s="11"/>
      <c r="S2813" s="11"/>
      <c r="T2813" s="11">
        <v>0</v>
      </c>
      <c r="U2813" s="9">
        <f t="shared" si="1464"/>
        <v>0</v>
      </c>
      <c r="V2813" s="11"/>
      <c r="W2813" s="11"/>
      <c r="X2813" s="9">
        <f t="shared" si="1456"/>
        <v>3488498.12</v>
      </c>
      <c r="Y2813" s="9"/>
      <c r="Z2813" s="9">
        <f t="shared" si="1458"/>
        <v>-1342430.42</v>
      </c>
      <c r="AA2813" s="8">
        <f t="shared" si="1459"/>
        <v>3488498.12</v>
      </c>
      <c r="AB2813" s="18">
        <f t="shared" si="1460"/>
        <v>-1342430.42</v>
      </c>
      <c r="AD2813" s="70"/>
      <c r="AE2813" s="70"/>
      <c r="AF2813" s="70"/>
      <c r="AG2813" s="70"/>
      <c r="AH2813" s="70"/>
      <c r="AI2813" s="70"/>
      <c r="AJ2813" s="70"/>
      <c r="AK2813" s="70"/>
      <c r="AL2813" s="70"/>
      <c r="AM2813" s="70"/>
      <c r="AN2813" s="70"/>
      <c r="AO2813" s="70"/>
      <c r="AP2813" s="70"/>
      <c r="AQ2813" s="70"/>
      <c r="AR2813" s="70"/>
      <c r="AS2813" s="70"/>
      <c r="AT2813" s="70"/>
      <c r="AU2813" s="70"/>
      <c r="AV2813" s="70"/>
      <c r="AW2813" s="70"/>
      <c r="AX2813" s="70"/>
      <c r="AY2813" s="70"/>
    </row>
    <row r="2814" spans="1:51" x14ac:dyDescent="0.3">
      <c r="A2814" s="64"/>
      <c r="B2814" s="8"/>
      <c r="C2814" s="7" t="s">
        <v>1062</v>
      </c>
      <c r="D2814" s="8"/>
      <c r="E2814" s="11">
        <f>4198154.92+355630.65+300000+1681636.39+300000+300000+4189361.45+1748088.26+3096000+1195248.9+3918726.14+400000+300000+1150000+2082417.62+4091</f>
        <v>25219355.330000002</v>
      </c>
      <c r="F2814" s="11">
        <f>4190248.75+355630.65+300000+1681636.39+600000+4189361.45+1748088.26+3096000+1195248.9+3918726.14+400000+300000+1150000+2082417.62</f>
        <v>25207358.16</v>
      </c>
      <c r="G2814" s="11">
        <v>0</v>
      </c>
      <c r="H2814" s="9">
        <f t="shared" si="1462"/>
        <v>25207358.16</v>
      </c>
      <c r="I2814" s="11"/>
      <c r="J2814" s="11"/>
      <c r="K2814" s="11"/>
      <c r="L2814" s="11">
        <v>0</v>
      </c>
      <c r="M2814" s="9">
        <f t="shared" ref="M2814:M2823" si="1465">+H2814+L2814</f>
        <v>25207358.16</v>
      </c>
      <c r="N2814" s="11">
        <f>7906.17+4091</f>
        <v>11997.17</v>
      </c>
      <c r="O2814" s="9">
        <v>0</v>
      </c>
      <c r="P2814" s="9">
        <f t="shared" si="1463"/>
        <v>11997.17</v>
      </c>
      <c r="Q2814" s="11"/>
      <c r="R2814" s="11"/>
      <c r="S2814" s="11"/>
      <c r="T2814" s="11">
        <v>0</v>
      </c>
      <c r="U2814" s="9">
        <f t="shared" si="1464"/>
        <v>11997.17</v>
      </c>
      <c r="V2814" s="11">
        <f>AU2901</f>
        <v>0</v>
      </c>
      <c r="W2814" s="11">
        <f>AV2901</f>
        <v>0</v>
      </c>
      <c r="X2814" s="9">
        <f t="shared" si="1456"/>
        <v>25219355.330000002</v>
      </c>
      <c r="Y2814" s="9">
        <f>Y1558</f>
        <v>0</v>
      </c>
      <c r="Z2814" s="9">
        <f t="shared" si="1458"/>
        <v>0</v>
      </c>
      <c r="AA2814" s="8">
        <f t="shared" si="1459"/>
        <v>25219355.330000002</v>
      </c>
      <c r="AB2814" s="18">
        <f t="shared" si="1460"/>
        <v>0</v>
      </c>
      <c r="AD2814" s="70"/>
      <c r="AE2814" s="70"/>
      <c r="AF2814" s="70"/>
      <c r="AG2814" s="70"/>
      <c r="AH2814" s="70"/>
      <c r="AI2814" s="70"/>
      <c r="AJ2814" s="70"/>
      <c r="AK2814" s="70"/>
      <c r="AL2814" s="70"/>
      <c r="AM2814" s="70"/>
      <c r="AN2814" s="70"/>
      <c r="AO2814" s="70"/>
      <c r="AP2814" s="70"/>
      <c r="AQ2814" s="70"/>
      <c r="AR2814" s="70"/>
      <c r="AS2814" s="70"/>
      <c r="AT2814" s="70"/>
      <c r="AU2814" s="70"/>
      <c r="AV2814" s="70"/>
      <c r="AW2814" s="70"/>
      <c r="AX2814" s="70"/>
      <c r="AY2814" s="70"/>
    </row>
    <row r="2815" spans="1:51" x14ac:dyDescent="0.3">
      <c r="A2815" s="64"/>
      <c r="B2815" s="8"/>
      <c r="C2815" s="7" t="s">
        <v>1149</v>
      </c>
      <c r="D2815" s="8"/>
      <c r="E2815" s="11">
        <f>1722398.67+3662771.31+553819.81+3162789.72+800000+3579689.97+333180.82+8045424.92+1000000+88177.98+351800.74+472220.02+1548577+5793654.38+300000</f>
        <v>31414505.34</v>
      </c>
      <c r="F2815" s="11">
        <f>1722398.67+3662771.31+553819.81+3162789.72+800000+3579689.97+333180.82+8045424.92+1088177.98+351800.74+2020797.02+5793654.38+300000</f>
        <v>31414505.34</v>
      </c>
      <c r="G2815" s="11">
        <v>0</v>
      </c>
      <c r="H2815" s="9">
        <f t="shared" si="1462"/>
        <v>31414505.34</v>
      </c>
      <c r="I2815" s="11"/>
      <c r="J2815" s="11"/>
      <c r="K2815" s="11"/>
      <c r="L2815" s="11">
        <v>0</v>
      </c>
      <c r="M2815" s="9">
        <f t="shared" si="1465"/>
        <v>31414505.34</v>
      </c>
      <c r="N2815" s="11">
        <v>0</v>
      </c>
      <c r="O2815" s="9">
        <v>0</v>
      </c>
      <c r="P2815" s="9">
        <f t="shared" si="1463"/>
        <v>0</v>
      </c>
      <c r="Q2815" s="11"/>
      <c r="R2815" s="11"/>
      <c r="S2815" s="11"/>
      <c r="T2815" s="11">
        <f>+O2815+P2815</f>
        <v>0</v>
      </c>
      <c r="U2815" s="9">
        <f>+P2815+T2815</f>
        <v>0</v>
      </c>
      <c r="V2815" s="11">
        <f>AU2902</f>
        <v>0</v>
      </c>
      <c r="W2815" s="11">
        <f>AV2902</f>
        <v>0</v>
      </c>
      <c r="X2815" s="9">
        <f>+H2815+P2815</f>
        <v>31414505.34</v>
      </c>
      <c r="Y2815" s="9">
        <f>Y1559</f>
        <v>0</v>
      </c>
      <c r="Z2815" s="9">
        <f>+E2815-X2815</f>
        <v>0</v>
      </c>
      <c r="AA2815" s="8">
        <f>+M2815+U2815</f>
        <v>31414505.34</v>
      </c>
      <c r="AB2815" s="18">
        <f>+E2815-AA2815</f>
        <v>0</v>
      </c>
      <c r="AD2815" s="70"/>
      <c r="AE2815" s="70"/>
      <c r="AF2815" s="70"/>
      <c r="AG2815" s="70"/>
      <c r="AH2815" s="70"/>
      <c r="AI2815" s="70"/>
      <c r="AJ2815" s="70"/>
      <c r="AK2815" s="70"/>
      <c r="AL2815" s="70"/>
      <c r="AM2815" s="70"/>
      <c r="AN2815" s="70"/>
      <c r="AO2815" s="70"/>
      <c r="AP2815" s="70"/>
      <c r="AQ2815" s="70"/>
      <c r="AR2815" s="70"/>
      <c r="AS2815" s="70"/>
      <c r="AT2815" s="70"/>
      <c r="AU2815" s="70"/>
      <c r="AV2815" s="70"/>
      <c r="AW2815" s="70"/>
      <c r="AX2815" s="70"/>
      <c r="AY2815" s="70"/>
    </row>
    <row r="2816" spans="1:51" x14ac:dyDescent="0.3">
      <c r="A2816" s="64"/>
      <c r="B2816" s="8"/>
      <c r="C2816" s="7" t="s">
        <v>1212</v>
      </c>
      <c r="D2816" s="8"/>
      <c r="E2816" s="11">
        <f>350094.84+2727694.08+3298595.77+400000+304297.23+150000+300000+3120138.84+5326417.89</f>
        <v>15977238.649999999</v>
      </c>
      <c r="F2816" s="11">
        <f>350094.84+2727694.08+3298595.77+1154297.23+3120138.84</f>
        <v>10650820.76</v>
      </c>
      <c r="G2816" s="11">
        <v>5326417.8899999997</v>
      </c>
      <c r="H2816" s="9">
        <f t="shared" si="1462"/>
        <v>15977238.649999999</v>
      </c>
      <c r="I2816" s="11"/>
      <c r="J2816" s="11"/>
      <c r="K2816" s="11"/>
      <c r="L2816" s="11">
        <v>0</v>
      </c>
      <c r="M2816" s="9">
        <f t="shared" si="1465"/>
        <v>15977238.649999999</v>
      </c>
      <c r="N2816" s="11">
        <v>0</v>
      </c>
      <c r="O2816" s="9">
        <v>0</v>
      </c>
      <c r="P2816" s="9">
        <f t="shared" si="1463"/>
        <v>0</v>
      </c>
      <c r="Q2816" s="11"/>
      <c r="R2816" s="11"/>
      <c r="S2816" s="11"/>
      <c r="T2816" s="11">
        <f>+O2816+P2816</f>
        <v>0</v>
      </c>
      <c r="U2816" s="9">
        <f>+P2816+T2816</f>
        <v>0</v>
      </c>
      <c r="V2816" s="11"/>
      <c r="W2816" s="11"/>
      <c r="X2816" s="9">
        <f>+H2816+P2816</f>
        <v>15977238.649999999</v>
      </c>
      <c r="Y2816" s="9"/>
      <c r="Z2816" s="9">
        <f>+E2816-X2816</f>
        <v>0</v>
      </c>
      <c r="AA2816" s="8">
        <f>+M2816+U2816</f>
        <v>15977238.649999999</v>
      </c>
      <c r="AB2816" s="18">
        <f>+E2816-AA2816</f>
        <v>0</v>
      </c>
      <c r="AD2816" s="70"/>
      <c r="AE2816" s="70"/>
      <c r="AF2816" s="70"/>
      <c r="AG2816" s="70"/>
      <c r="AH2816" s="70"/>
      <c r="AI2816" s="70"/>
      <c r="AJ2816" s="70"/>
      <c r="AK2816" s="70"/>
      <c r="AL2816" s="70"/>
      <c r="AM2816" s="70"/>
      <c r="AN2816" s="70"/>
      <c r="AO2816" s="70"/>
      <c r="AP2816" s="70"/>
      <c r="AQ2816" s="70"/>
      <c r="AR2816" s="70"/>
      <c r="AS2816" s="70"/>
      <c r="AT2816" s="70"/>
      <c r="AU2816" s="70"/>
      <c r="AV2816" s="70"/>
      <c r="AW2816" s="70"/>
      <c r="AX2816" s="70"/>
      <c r="AY2816" s="70"/>
    </row>
    <row r="2817" spans="1:51" x14ac:dyDescent="0.3">
      <c r="A2817" s="64"/>
      <c r="B2817" s="8"/>
      <c r="C2817" s="7" t="s">
        <v>1098</v>
      </c>
      <c r="D2817" s="8"/>
      <c r="E2817" s="11">
        <v>1430654.46</v>
      </c>
      <c r="F2817" s="11">
        <v>1430654.46</v>
      </c>
      <c r="G2817" s="11">
        <v>0</v>
      </c>
      <c r="H2817" s="9">
        <f t="shared" si="1462"/>
        <v>1430654.46</v>
      </c>
      <c r="I2817" s="11"/>
      <c r="J2817" s="11"/>
      <c r="K2817" s="11"/>
      <c r="L2817" s="11">
        <v>0</v>
      </c>
      <c r="M2817" s="9">
        <f t="shared" si="1465"/>
        <v>1430654.46</v>
      </c>
      <c r="N2817" s="11">
        <v>0</v>
      </c>
      <c r="O2817" s="9">
        <v>0</v>
      </c>
      <c r="P2817" s="9">
        <f t="shared" si="1463"/>
        <v>0</v>
      </c>
      <c r="Q2817" s="11"/>
      <c r="R2817" s="11"/>
      <c r="S2817" s="11"/>
      <c r="T2817" s="11">
        <v>0</v>
      </c>
      <c r="U2817" s="9">
        <f t="shared" si="1464"/>
        <v>0</v>
      </c>
      <c r="V2817" s="11">
        <f>AU2902</f>
        <v>0</v>
      </c>
      <c r="W2817" s="11">
        <f>AV2902</f>
        <v>0</v>
      </c>
      <c r="X2817" s="9">
        <f t="shared" si="1456"/>
        <v>1430654.46</v>
      </c>
      <c r="Y2817" s="9">
        <f>Y1559</f>
        <v>0</v>
      </c>
      <c r="Z2817" s="9">
        <f t="shared" si="1458"/>
        <v>0</v>
      </c>
      <c r="AA2817" s="8">
        <f t="shared" si="1459"/>
        <v>1430654.46</v>
      </c>
      <c r="AB2817" s="18">
        <f t="shared" si="1460"/>
        <v>0</v>
      </c>
      <c r="AD2817" s="70"/>
      <c r="AE2817" s="70"/>
      <c r="AF2817" s="70"/>
      <c r="AG2817" s="70"/>
      <c r="AH2817" s="70"/>
      <c r="AI2817" s="70"/>
      <c r="AJ2817" s="70"/>
      <c r="AK2817" s="70"/>
      <c r="AL2817" s="70"/>
      <c r="AM2817" s="70"/>
      <c r="AN2817" s="70"/>
      <c r="AO2817" s="70"/>
      <c r="AP2817" s="70"/>
      <c r="AQ2817" s="70"/>
      <c r="AR2817" s="70"/>
      <c r="AS2817" s="70"/>
      <c r="AT2817" s="70"/>
      <c r="AU2817" s="70"/>
      <c r="AV2817" s="70"/>
      <c r="AW2817" s="70"/>
      <c r="AX2817" s="70"/>
      <c r="AY2817" s="70"/>
    </row>
    <row r="2818" spans="1:51" x14ac:dyDescent="0.3">
      <c r="A2818" s="64"/>
      <c r="B2818" s="8"/>
      <c r="C2818" s="7" t="s">
        <v>933</v>
      </c>
      <c r="D2818" s="8"/>
      <c r="E2818" s="11">
        <f>549832.4+6221304.4+2161362+702651+1218491.24+1436724.2+2129834.22+838754.02+992874.29+1081356.89+2939261.51+17437537+1772000+2158124.3+622862.75+600000+3291000+720000+531404.58+51285733.14+11206000+32822511.27+25431195.02+34015797.21+16815.13+17754846.7+7791326.35+19112679.37+744000+432991.83+3119253.08+3539755.01+937452.23+6070304.82</f>
        <v>261686035.96000001</v>
      </c>
      <c r="F2818" s="11">
        <f>549832.4+6221304.4+2161362+702651+1218491.24+1436724.2+2129834.22+838754.02+992874.29+1081356.89+2939261.51+17437537+9695391.63+51285733.14+11206000+32822511.27+25431195.02+34015797.21+17754846.7+7791326.35+19112679.37+1176991.83+3119253.08+3539755.01+937452.23+6070304.82</f>
        <v>261669220.83000001</v>
      </c>
      <c r="G2818" s="11">
        <v>0</v>
      </c>
      <c r="H2818" s="9">
        <f t="shared" ref="H2818:H2832" si="1466">+F2818+G2818</f>
        <v>261669220.83000001</v>
      </c>
      <c r="I2818" s="11"/>
      <c r="J2818" s="11"/>
      <c r="K2818" s="11"/>
      <c r="L2818" s="11">
        <v>0</v>
      </c>
      <c r="M2818" s="9">
        <f t="shared" si="1465"/>
        <v>261669220.83000001</v>
      </c>
      <c r="N2818" s="11">
        <v>16815.13</v>
      </c>
      <c r="O2818" s="9">
        <v>0</v>
      </c>
      <c r="P2818" s="9">
        <f t="shared" si="1463"/>
        <v>16815.13</v>
      </c>
      <c r="Q2818" s="11"/>
      <c r="R2818" s="11"/>
      <c r="S2818" s="11"/>
      <c r="T2818" s="11">
        <v>0</v>
      </c>
      <c r="U2818" s="9">
        <f t="shared" si="1464"/>
        <v>16815.13</v>
      </c>
      <c r="V2818" s="9">
        <f>V2598+V2651+V1667</f>
        <v>3065465.38</v>
      </c>
      <c r="W2818" s="9">
        <f>W2598+W2651+W1667</f>
        <v>4099.5400000000373</v>
      </c>
      <c r="X2818" s="9">
        <f t="shared" si="1456"/>
        <v>261686035.96000001</v>
      </c>
      <c r="Y2818" s="9">
        <f>Y1560</f>
        <v>0</v>
      </c>
      <c r="Z2818" s="9">
        <f t="shared" si="1458"/>
        <v>0</v>
      </c>
      <c r="AA2818" s="8">
        <f t="shared" si="1459"/>
        <v>261686035.96000001</v>
      </c>
      <c r="AB2818" s="18">
        <f t="shared" si="1460"/>
        <v>0</v>
      </c>
      <c r="AD2818" s="70"/>
      <c r="AE2818" s="70"/>
      <c r="AF2818" s="70"/>
      <c r="AG2818" s="70"/>
      <c r="AH2818" s="70"/>
      <c r="AI2818" s="70"/>
      <c r="AJ2818" s="70"/>
      <c r="AK2818" s="70"/>
      <c r="AL2818" s="70"/>
      <c r="AM2818" s="70"/>
      <c r="AN2818" s="70"/>
      <c r="AO2818" s="70"/>
      <c r="AP2818" s="70"/>
      <c r="AQ2818" s="70"/>
      <c r="AR2818" s="70"/>
      <c r="AS2818" s="70"/>
      <c r="AT2818" s="70"/>
      <c r="AU2818" s="70"/>
      <c r="AV2818" s="70"/>
      <c r="AW2818" s="70"/>
      <c r="AX2818" s="70"/>
      <c r="AY2818" s="70"/>
    </row>
    <row r="2819" spans="1:51" x14ac:dyDescent="0.3">
      <c r="A2819" s="64"/>
      <c r="B2819" s="8"/>
      <c r="C2819" s="7" t="s">
        <v>1173</v>
      </c>
      <c r="D2819" s="8"/>
      <c r="E2819" s="11">
        <f>5126000+110556190.27+38603078.74+30250333.26+23746338.7+709507.51+852820.8+536116.02</f>
        <v>210380385.29999998</v>
      </c>
      <c r="F2819" s="11">
        <f>5126000+110556190.27+38603078.74+30250333.26+23746338.7+709507.51+852820.8+536116.02</f>
        <v>210380385.29999998</v>
      </c>
      <c r="G2819" s="11">
        <v>0</v>
      </c>
      <c r="H2819" s="9">
        <f>+F2819+G2819</f>
        <v>210380385.29999998</v>
      </c>
      <c r="I2819" s="11"/>
      <c r="J2819" s="11"/>
      <c r="K2819" s="11"/>
      <c r="L2819" s="11">
        <v>0</v>
      </c>
      <c r="M2819" s="9">
        <f t="shared" si="1465"/>
        <v>210380385.29999998</v>
      </c>
      <c r="N2819" s="11">
        <v>0</v>
      </c>
      <c r="O2819" s="9">
        <v>0</v>
      </c>
      <c r="P2819" s="9">
        <f>+N2819+O2819</f>
        <v>0</v>
      </c>
      <c r="Q2819" s="11"/>
      <c r="R2819" s="11"/>
      <c r="S2819" s="11"/>
      <c r="T2819" s="11">
        <v>0</v>
      </c>
      <c r="U2819" s="9">
        <f t="shared" si="1464"/>
        <v>0</v>
      </c>
      <c r="V2819" s="9"/>
      <c r="W2819" s="9"/>
      <c r="X2819" s="9">
        <f t="shared" si="1456"/>
        <v>210380385.29999998</v>
      </c>
      <c r="Y2819" s="9"/>
      <c r="Z2819" s="9">
        <f t="shared" si="1458"/>
        <v>0</v>
      </c>
      <c r="AA2819" s="8">
        <f t="shared" si="1459"/>
        <v>210380385.29999998</v>
      </c>
      <c r="AB2819" s="18">
        <f t="shared" si="1460"/>
        <v>0</v>
      </c>
      <c r="AD2819" s="70"/>
      <c r="AE2819" s="70"/>
      <c r="AF2819" s="70"/>
      <c r="AG2819" s="70"/>
      <c r="AH2819" s="70"/>
      <c r="AI2819" s="70"/>
      <c r="AJ2819" s="70"/>
      <c r="AK2819" s="70"/>
      <c r="AL2819" s="70"/>
      <c r="AM2819" s="70"/>
      <c r="AN2819" s="70"/>
      <c r="AO2819" s="70"/>
      <c r="AP2819" s="70"/>
      <c r="AQ2819" s="70"/>
      <c r="AR2819" s="70"/>
      <c r="AS2819" s="70"/>
      <c r="AT2819" s="70"/>
      <c r="AU2819" s="70"/>
      <c r="AV2819" s="70"/>
      <c r="AW2819" s="70"/>
      <c r="AX2819" s="70"/>
      <c r="AY2819" s="70"/>
    </row>
    <row r="2820" spans="1:51" x14ac:dyDescent="0.3">
      <c r="A2820" s="64"/>
      <c r="B2820" s="8"/>
      <c r="C2820" s="7" t="s">
        <v>1245</v>
      </c>
      <c r="D2820" s="8"/>
      <c r="E2820" s="11">
        <f>7568233.86+38134817.83+96759552.44</f>
        <v>142462604.13</v>
      </c>
      <c r="F2820" s="11">
        <f>7568233.86+38134817.83</f>
        <v>45703051.689999998</v>
      </c>
      <c r="G2820" s="11">
        <v>96759552.439999998</v>
      </c>
      <c r="H2820" s="9">
        <f>+F2820+G2820</f>
        <v>142462604.13</v>
      </c>
      <c r="I2820" s="11"/>
      <c r="J2820" s="11"/>
      <c r="K2820" s="11"/>
      <c r="L2820" s="11">
        <v>0</v>
      </c>
      <c r="M2820" s="9">
        <f t="shared" si="1465"/>
        <v>142462604.13</v>
      </c>
      <c r="N2820" s="11">
        <v>0</v>
      </c>
      <c r="O2820" s="9">
        <v>0</v>
      </c>
      <c r="P2820" s="9">
        <f>+N2820+O2820</f>
        <v>0</v>
      </c>
      <c r="Q2820" s="11"/>
      <c r="R2820" s="11"/>
      <c r="S2820" s="11"/>
      <c r="T2820" s="11">
        <v>0</v>
      </c>
      <c r="U2820" s="9">
        <f t="shared" si="1464"/>
        <v>0</v>
      </c>
      <c r="V2820" s="9"/>
      <c r="W2820" s="9"/>
      <c r="X2820" s="9">
        <f t="shared" si="1456"/>
        <v>142462604.13</v>
      </c>
      <c r="Y2820" s="9"/>
      <c r="Z2820" s="9">
        <f t="shared" si="1458"/>
        <v>0</v>
      </c>
      <c r="AA2820" s="8">
        <f t="shared" si="1459"/>
        <v>142462604.13</v>
      </c>
      <c r="AB2820" s="18">
        <f t="shared" si="1460"/>
        <v>0</v>
      </c>
      <c r="AD2820" s="70"/>
      <c r="AE2820" s="70"/>
      <c r="AF2820" s="70"/>
      <c r="AG2820" s="70"/>
      <c r="AH2820" s="70"/>
      <c r="AI2820" s="70"/>
      <c r="AJ2820" s="70"/>
      <c r="AK2820" s="70"/>
      <c r="AL2820" s="70"/>
      <c r="AM2820" s="70"/>
      <c r="AN2820" s="70"/>
      <c r="AO2820" s="70"/>
      <c r="AP2820" s="70"/>
      <c r="AQ2820" s="70"/>
      <c r="AR2820" s="70"/>
      <c r="AS2820" s="70"/>
      <c r="AT2820" s="70"/>
      <c r="AU2820" s="70"/>
      <c r="AV2820" s="70"/>
      <c r="AW2820" s="70"/>
      <c r="AX2820" s="70"/>
      <c r="AY2820" s="70"/>
    </row>
    <row r="2821" spans="1:51" x14ac:dyDescent="0.3">
      <c r="A2821" s="64"/>
      <c r="B2821" s="8"/>
      <c r="C2821" s="13" t="s">
        <v>1198</v>
      </c>
      <c r="D2821" s="8"/>
      <c r="E2821" s="11">
        <v>277256.81</v>
      </c>
      <c r="F2821" s="11">
        <v>277256.81</v>
      </c>
      <c r="G2821" s="11">
        <v>0</v>
      </c>
      <c r="H2821" s="9">
        <f>+F2821+G2821</f>
        <v>277256.81</v>
      </c>
      <c r="I2821" s="11"/>
      <c r="J2821" s="11"/>
      <c r="K2821" s="11"/>
      <c r="L2821" s="11">
        <v>0</v>
      </c>
      <c r="M2821" s="9">
        <f t="shared" si="1465"/>
        <v>277256.81</v>
      </c>
      <c r="N2821" s="11">
        <v>0</v>
      </c>
      <c r="O2821" s="9">
        <v>0</v>
      </c>
      <c r="P2821" s="9">
        <f>+N2821+O2821</f>
        <v>0</v>
      </c>
      <c r="Q2821" s="11"/>
      <c r="R2821" s="11"/>
      <c r="S2821" s="11"/>
      <c r="T2821" s="11">
        <v>0</v>
      </c>
      <c r="U2821" s="9">
        <f t="shared" si="1464"/>
        <v>0</v>
      </c>
      <c r="V2821" s="9"/>
      <c r="W2821" s="9"/>
      <c r="X2821" s="9">
        <f t="shared" si="1456"/>
        <v>277256.81</v>
      </c>
      <c r="Y2821" s="9"/>
      <c r="Z2821" s="9">
        <f t="shared" si="1458"/>
        <v>0</v>
      </c>
      <c r="AA2821" s="8">
        <f t="shared" si="1459"/>
        <v>277256.81</v>
      </c>
      <c r="AB2821" s="18">
        <f t="shared" si="1460"/>
        <v>0</v>
      </c>
      <c r="AD2821" s="70"/>
      <c r="AE2821" s="70"/>
      <c r="AF2821" s="70"/>
      <c r="AG2821" s="70"/>
      <c r="AH2821" s="70"/>
      <c r="AI2821" s="70"/>
      <c r="AJ2821" s="70"/>
      <c r="AK2821" s="70"/>
      <c r="AL2821" s="70"/>
      <c r="AM2821" s="70"/>
      <c r="AN2821" s="70"/>
      <c r="AO2821" s="70"/>
      <c r="AP2821" s="70"/>
      <c r="AQ2821" s="70"/>
      <c r="AR2821" s="70"/>
      <c r="AS2821" s="70"/>
      <c r="AT2821" s="70"/>
      <c r="AU2821" s="70"/>
      <c r="AV2821" s="70"/>
      <c r="AW2821" s="70"/>
      <c r="AX2821" s="70"/>
      <c r="AY2821" s="70"/>
    </row>
    <row r="2822" spans="1:51" x14ac:dyDescent="0.3">
      <c r="A2822" s="64"/>
      <c r="B2822" s="8"/>
      <c r="C2822" s="7" t="s">
        <v>875</v>
      </c>
      <c r="D2822" s="8"/>
      <c r="E2822" s="12">
        <v>4675000</v>
      </c>
      <c r="F2822" s="9">
        <v>4675000</v>
      </c>
      <c r="G2822" s="9">
        <v>0</v>
      </c>
      <c r="H2822" s="9">
        <f t="shared" si="1466"/>
        <v>4675000</v>
      </c>
      <c r="I2822" s="9">
        <f>I1377+I1512+I1539+I1989</f>
        <v>0</v>
      </c>
      <c r="J2822" s="9">
        <f>J1377+J1512+J1539+J1989</f>
        <v>0</v>
      </c>
      <c r="K2822" s="9">
        <f>K1377+K1512+K1539+K1989</f>
        <v>0</v>
      </c>
      <c r="L2822" s="9">
        <v>0</v>
      </c>
      <c r="M2822" s="9">
        <f t="shared" si="1465"/>
        <v>4675000</v>
      </c>
      <c r="N2822" s="9">
        <v>0</v>
      </c>
      <c r="O2822" s="9">
        <v>0</v>
      </c>
      <c r="P2822" s="9">
        <f t="shared" si="1455"/>
        <v>0</v>
      </c>
      <c r="Q2822" s="9">
        <f>Q1377+Q1512+Q1539+Q1989</f>
        <v>0</v>
      </c>
      <c r="R2822" s="9">
        <f>R1377+R1512+R1539+R1989</f>
        <v>0</v>
      </c>
      <c r="S2822" s="17"/>
      <c r="T2822" s="18">
        <v>0</v>
      </c>
      <c r="U2822" s="9">
        <f t="shared" si="1464"/>
        <v>0</v>
      </c>
      <c r="V2822" s="9">
        <f>V2599+V2652+V1668</f>
        <v>10706344.5</v>
      </c>
      <c r="W2822" s="9">
        <f>W2599+W2652+W1668</f>
        <v>0</v>
      </c>
      <c r="X2822" s="9">
        <f t="shared" si="1456"/>
        <v>4675000</v>
      </c>
      <c r="Y2822" s="9">
        <f t="shared" ref="Y2822:Y2828" si="1467">Y1561</f>
        <v>0</v>
      </c>
      <c r="Z2822" s="9">
        <f t="shared" si="1458"/>
        <v>0</v>
      </c>
      <c r="AA2822" s="8">
        <f t="shared" si="1459"/>
        <v>4675000</v>
      </c>
      <c r="AB2822" s="18">
        <f t="shared" si="1460"/>
        <v>0</v>
      </c>
      <c r="AC2822" s="71"/>
      <c r="AD2822" s="72"/>
      <c r="AE2822" s="72"/>
      <c r="AF2822" s="72"/>
      <c r="AG2822" s="72"/>
      <c r="AH2822" s="72"/>
      <c r="AI2822" s="72"/>
      <c r="AJ2822" s="72"/>
      <c r="AK2822" s="72"/>
      <c r="AL2822" s="72"/>
      <c r="AM2822" s="72"/>
      <c r="AN2822" s="72"/>
      <c r="AO2822" s="72"/>
      <c r="AP2822" s="72"/>
      <c r="AQ2822" s="72"/>
      <c r="AR2822" s="72"/>
      <c r="AS2822" s="72"/>
      <c r="AT2822" s="72"/>
      <c r="AU2822" s="72"/>
      <c r="AV2822" s="72"/>
      <c r="AW2822" s="72"/>
      <c r="AX2822" s="72"/>
      <c r="AY2822" s="72"/>
    </row>
    <row r="2823" spans="1:51" x14ac:dyDescent="0.3">
      <c r="A2823" s="64"/>
      <c r="B2823" s="8"/>
      <c r="C2823" s="7" t="s">
        <v>877</v>
      </c>
      <c r="D2823" s="8"/>
      <c r="E2823" s="12">
        <v>8781042.5099999998</v>
      </c>
      <c r="F2823" s="9">
        <v>8781042.5099999998</v>
      </c>
      <c r="G2823" s="9">
        <v>0</v>
      </c>
      <c r="H2823" s="9">
        <f t="shared" si="1466"/>
        <v>8781042.5099999998</v>
      </c>
      <c r="I2823" s="9">
        <f>I1280+I1248+I1358++I1494+I1571+I1584+I1679+I1770+I2097+I2222+I2315+I2370+I2387+I2521+I2545+I2421+I2450</f>
        <v>500000</v>
      </c>
      <c r="J2823" s="9">
        <f>J1280+J1248+J1358++J1494+J1571+J1584+J1679+J1770+J2097+J2222+J2315+J2370+J2387+J2521+J2545+J2421+J2450</f>
        <v>33424105.939999998</v>
      </c>
      <c r="K2823" s="9">
        <f>K1280+K1248+K1358++K1494+K1571+K1584+K1679+K1770+K2097+K2222+K2315+K2370+K2387+K2521+K2545+K2421+K2450</f>
        <v>2310778</v>
      </c>
      <c r="L2823" s="9">
        <v>0</v>
      </c>
      <c r="M2823" s="9">
        <f t="shared" si="1465"/>
        <v>8781042.5099999998</v>
      </c>
      <c r="N2823" s="9">
        <v>0</v>
      </c>
      <c r="O2823" s="9">
        <v>0</v>
      </c>
      <c r="P2823" s="9">
        <f t="shared" si="1455"/>
        <v>0</v>
      </c>
      <c r="Q2823" s="9">
        <f>Q1280+Q1248+Q1358++Q1494+Q1571+Q1584+Q1679+Q1770+Q2097+Q2222+Q2315+Q2370+Q2387+Q2521+Q2545+Q2421+Q2450</f>
        <v>32924105.939999998</v>
      </c>
      <c r="R2823" s="9">
        <f>R1280+R1248+R1358++R1494+R1571+R1584+R1679+R1770+R2097+R2222+R2315+R2370+R2387+R2521+R2545+R2421+R2450</f>
        <v>0</v>
      </c>
      <c r="S2823" s="17"/>
      <c r="T2823" s="18">
        <v>0</v>
      </c>
      <c r="U2823" s="9">
        <f t="shared" si="1464"/>
        <v>0</v>
      </c>
      <c r="V2823" s="9">
        <f>V2602+V2655+V1671</f>
        <v>15797584.550000001</v>
      </c>
      <c r="W2823" s="9">
        <f>W2602+W2655+W1671</f>
        <v>0</v>
      </c>
      <c r="X2823" s="9">
        <f t="shared" si="1456"/>
        <v>8781042.5099999998</v>
      </c>
      <c r="Y2823" s="9">
        <f t="shared" si="1467"/>
        <v>0</v>
      </c>
      <c r="Z2823" s="9">
        <f t="shared" si="1458"/>
        <v>0</v>
      </c>
      <c r="AA2823" s="8">
        <f t="shared" si="1459"/>
        <v>8781042.5099999998</v>
      </c>
      <c r="AB2823" s="18">
        <f t="shared" si="1460"/>
        <v>0</v>
      </c>
      <c r="AD2823" s="70"/>
      <c r="AE2823" s="70"/>
      <c r="AF2823" s="70"/>
      <c r="AG2823" s="70"/>
      <c r="AH2823" s="70"/>
      <c r="AI2823" s="70"/>
      <c r="AJ2823" s="70"/>
      <c r="AK2823" s="70"/>
      <c r="AL2823" s="70"/>
      <c r="AM2823" s="70"/>
      <c r="AN2823" s="70"/>
      <c r="AO2823" s="70"/>
      <c r="AP2823" s="70"/>
      <c r="AQ2823" s="70"/>
      <c r="AR2823" s="70"/>
      <c r="AS2823" s="70"/>
      <c r="AT2823" s="70"/>
      <c r="AU2823" s="70"/>
      <c r="AV2823" s="70"/>
      <c r="AW2823" s="70"/>
      <c r="AX2823" s="70"/>
      <c r="AY2823" s="70"/>
    </row>
    <row r="2824" spans="1:51" x14ac:dyDescent="0.3">
      <c r="A2824" s="64"/>
      <c r="B2824" s="8"/>
      <c r="C2824" s="7" t="s">
        <v>903</v>
      </c>
      <c r="D2824" s="8"/>
      <c r="E2824" s="9">
        <v>11304566.26</v>
      </c>
      <c r="F2824" s="9">
        <v>10156337.76</v>
      </c>
      <c r="G2824" s="9">
        <v>0</v>
      </c>
      <c r="H2824" s="9">
        <f t="shared" si="1466"/>
        <v>10156337.76</v>
      </c>
      <c r="I2824" s="9">
        <f>I30+I58+I974+I2023+I546+I2000+I446+I2729+I2758+I2571</f>
        <v>1462471.8</v>
      </c>
      <c r="J2824" s="9">
        <f>J30+J58+J974+J2023+J546+J2000+J446+J2729+J2758+J2571</f>
        <v>1462471.8</v>
      </c>
      <c r="K2824" s="9">
        <f>K30+K58+K974+K2023+K546+K2000+K446+K2729+K2758+K2571</f>
        <v>0</v>
      </c>
      <c r="L2824" s="9">
        <v>0</v>
      </c>
      <c r="M2824" s="9">
        <f t="shared" si="1453"/>
        <v>10156337.76</v>
      </c>
      <c r="N2824" s="9">
        <v>1148228.5</v>
      </c>
      <c r="O2824" s="9">
        <v>0</v>
      </c>
      <c r="P2824" s="9">
        <f t="shared" si="1455"/>
        <v>1148228.5</v>
      </c>
      <c r="Q2824" s="9">
        <f>Q30+Q58+Q974+Q2023+Q546+Q2000+Q446+Q2729+Q2758+Q2571</f>
        <v>485761.97000000003</v>
      </c>
      <c r="R2824" s="9">
        <f>R30+R58+R974+R2023+R546+R2000+R446+R2729+R2758+R2571</f>
        <v>0</v>
      </c>
      <c r="S2824" s="9">
        <f>S30+S58+S974+S2023+S546+S2000+S446+S2729+S2758+S2571</f>
        <v>3917.16</v>
      </c>
      <c r="T2824" s="9">
        <v>0</v>
      </c>
      <c r="U2824" s="9">
        <f t="shared" ref="U2824:U2832" si="1468">+P2824+T2824</f>
        <v>1148228.5</v>
      </c>
      <c r="V2824" s="9">
        <f>V30+V58+V974+V2023+V546+V2000+V446+V2729+V2758+V2571</f>
        <v>99705307.00999999</v>
      </c>
      <c r="W2824" s="9">
        <f>W30+W58+W974+W2023+W546+W2000+W446+W2729+W2758+W2571</f>
        <v>1521128.1300000008</v>
      </c>
      <c r="X2824" s="9">
        <f t="shared" si="1456"/>
        <v>11304566.26</v>
      </c>
      <c r="Y2824" s="9">
        <f t="shared" si="1467"/>
        <v>0</v>
      </c>
      <c r="Z2824" s="9">
        <f t="shared" si="1458"/>
        <v>0</v>
      </c>
      <c r="AA2824" s="8">
        <f t="shared" si="1459"/>
        <v>11304566.26</v>
      </c>
      <c r="AB2824" s="18">
        <f t="shared" si="1460"/>
        <v>0</v>
      </c>
      <c r="AC2824" s="68"/>
      <c r="AD2824" s="69"/>
      <c r="AE2824" s="69"/>
      <c r="AF2824" s="69"/>
      <c r="AG2824" s="69"/>
      <c r="AH2824" s="69"/>
      <c r="AI2824" s="69"/>
      <c r="AJ2824" s="69"/>
      <c r="AK2824" s="69"/>
      <c r="AL2824" s="69"/>
      <c r="AM2824" s="69"/>
      <c r="AN2824" s="69"/>
      <c r="AO2824" s="69"/>
      <c r="AP2824" s="69"/>
      <c r="AQ2824" s="69"/>
      <c r="AR2824" s="69"/>
      <c r="AS2824" s="69"/>
      <c r="AT2824" s="69"/>
      <c r="AU2824" s="69"/>
      <c r="AV2824" s="69"/>
      <c r="AW2824" s="69"/>
      <c r="AX2824" s="69"/>
      <c r="AY2824" s="69"/>
    </row>
    <row r="2825" spans="1:51" x14ac:dyDescent="0.3">
      <c r="A2825" s="64"/>
      <c r="B2825" s="8"/>
      <c r="C2825" s="7" t="s">
        <v>876</v>
      </c>
      <c r="D2825" s="8"/>
      <c r="E2825" s="12">
        <v>19055551.890000001</v>
      </c>
      <c r="F2825" s="9">
        <v>18234372.379999999</v>
      </c>
      <c r="G2825" s="9">
        <v>0</v>
      </c>
      <c r="H2825" s="9">
        <f t="shared" si="1466"/>
        <v>18234372.379999999</v>
      </c>
      <c r="I2825" s="9">
        <f>I1282+I1250+I1471+I1573+I1821+I2001+I2041+I2180+I2207+I2266+I2317+I2479</f>
        <v>18077231.280000001</v>
      </c>
      <c r="J2825" s="9">
        <f>J1282+J1250+J1471+J1573+J1821+J2001+J2041+J2180+J2207+J2266+J2317+J2479</f>
        <v>125668821.42</v>
      </c>
      <c r="K2825" s="9">
        <f>K1282+K1250+K1471+K1573+K1821+K2001+K2041+K2180+K2207+K2266+K2317+K2479</f>
        <v>6443184.0899999999</v>
      </c>
      <c r="L2825" s="9">
        <v>0</v>
      </c>
      <c r="M2825" s="9">
        <f>+H2825+L2825</f>
        <v>18234372.379999999</v>
      </c>
      <c r="N2825" s="9">
        <v>821179.51</v>
      </c>
      <c r="O2825" s="9">
        <v>0</v>
      </c>
      <c r="P2825" s="9">
        <f t="shared" si="1455"/>
        <v>821179.51</v>
      </c>
      <c r="Q2825" s="9">
        <f>Q1282+Q1250+Q1471+Q1573+Q1821+Q2001+Q2041+Q2180+Q2207+Q2266+Q2317+Q2479</f>
        <v>107661671.00999999</v>
      </c>
      <c r="R2825" s="9">
        <f>R1282+R1250+R1471+R1573+R1821+R2001+R2041+R2180+R2207+R2266+R2317+R2479</f>
        <v>0</v>
      </c>
      <c r="S2825" s="17"/>
      <c r="T2825" s="18">
        <v>0</v>
      </c>
      <c r="U2825" s="9">
        <f t="shared" si="1468"/>
        <v>821179.51</v>
      </c>
      <c r="V2825" s="9">
        <f>V2603+V2656+V1672</f>
        <v>21165072</v>
      </c>
      <c r="W2825" s="9">
        <f>W2603+W2656+W1672</f>
        <v>0</v>
      </c>
      <c r="X2825" s="9">
        <f t="shared" si="1456"/>
        <v>19055551.890000001</v>
      </c>
      <c r="Y2825" s="9">
        <f t="shared" si="1467"/>
        <v>0</v>
      </c>
      <c r="Z2825" s="9">
        <f t="shared" si="1458"/>
        <v>0</v>
      </c>
      <c r="AA2825" s="8">
        <f t="shared" si="1459"/>
        <v>19055551.890000001</v>
      </c>
      <c r="AB2825" s="18">
        <f t="shared" si="1460"/>
        <v>0</v>
      </c>
      <c r="AC2825" s="68"/>
      <c r="AD2825" s="69"/>
      <c r="AE2825" s="69"/>
      <c r="AF2825" s="69"/>
      <c r="AG2825" s="69"/>
      <c r="AH2825" s="69"/>
      <c r="AI2825" s="69"/>
      <c r="AJ2825" s="69"/>
      <c r="AK2825" s="69"/>
      <c r="AL2825" s="69"/>
      <c r="AM2825" s="69"/>
      <c r="AN2825" s="69"/>
      <c r="AO2825" s="69"/>
      <c r="AP2825" s="69"/>
      <c r="AQ2825" s="69"/>
      <c r="AR2825" s="69"/>
      <c r="AS2825" s="69"/>
      <c r="AT2825" s="69"/>
      <c r="AU2825" s="69"/>
      <c r="AV2825" s="69"/>
      <c r="AW2825" s="69"/>
      <c r="AX2825" s="69"/>
      <c r="AY2825" s="69"/>
    </row>
    <row r="2826" spans="1:51" x14ac:dyDescent="0.3">
      <c r="A2826" s="64"/>
      <c r="B2826" s="8"/>
      <c r="C2826" s="7" t="s">
        <v>874</v>
      </c>
      <c r="D2826" s="8"/>
      <c r="E2826" s="12">
        <v>85055278.359999999</v>
      </c>
      <c r="F2826" s="9">
        <v>81000671.180000007</v>
      </c>
      <c r="G2826" s="9">
        <v>0</v>
      </c>
      <c r="H2826" s="9">
        <f t="shared" si="1466"/>
        <v>81000671.180000007</v>
      </c>
      <c r="I2826" s="9"/>
      <c r="J2826" s="9"/>
      <c r="K2826" s="9"/>
      <c r="L2826" s="9">
        <v>0</v>
      </c>
      <c r="M2826" s="9">
        <f>+H2826+L2826</f>
        <v>81000671.180000007</v>
      </c>
      <c r="N2826" s="9">
        <v>4054607.18</v>
      </c>
      <c r="O2826" s="9">
        <v>0</v>
      </c>
      <c r="P2826" s="9">
        <f>+N2826+O2826</f>
        <v>4054607.18</v>
      </c>
      <c r="Q2826" s="9"/>
      <c r="R2826" s="9"/>
      <c r="S2826" s="17"/>
      <c r="T2826" s="18">
        <v>0</v>
      </c>
      <c r="U2826" s="9">
        <f t="shared" si="1468"/>
        <v>4054607.18</v>
      </c>
      <c r="V2826" s="9"/>
      <c r="W2826" s="9"/>
      <c r="X2826" s="9">
        <f t="shared" si="1456"/>
        <v>85055278.360000014</v>
      </c>
      <c r="Y2826" s="9">
        <f t="shared" si="1467"/>
        <v>0</v>
      </c>
      <c r="Z2826" s="9">
        <f t="shared" si="1458"/>
        <v>0</v>
      </c>
      <c r="AA2826" s="8">
        <f t="shared" si="1459"/>
        <v>85055278.360000014</v>
      </c>
      <c r="AB2826" s="18">
        <f t="shared" si="1460"/>
        <v>0</v>
      </c>
      <c r="AC2826" s="68"/>
      <c r="AD2826" s="69"/>
      <c r="AE2826" s="69"/>
      <c r="AF2826" s="69"/>
      <c r="AG2826" s="69"/>
      <c r="AH2826" s="69"/>
      <c r="AI2826" s="69"/>
      <c r="AJ2826" s="69"/>
      <c r="AK2826" s="69"/>
      <c r="AL2826" s="69"/>
      <c r="AM2826" s="69"/>
      <c r="AN2826" s="69"/>
      <c r="AO2826" s="69"/>
      <c r="AP2826" s="69"/>
      <c r="AQ2826" s="69"/>
      <c r="AR2826" s="69"/>
      <c r="AS2826" s="69"/>
      <c r="AT2826" s="69"/>
      <c r="AU2826" s="69"/>
      <c r="AV2826" s="69"/>
      <c r="AW2826" s="69"/>
      <c r="AX2826" s="69"/>
      <c r="AY2826" s="69"/>
    </row>
    <row r="2827" spans="1:51" x14ac:dyDescent="0.3">
      <c r="A2827" s="64"/>
      <c r="B2827" s="8"/>
      <c r="C2827" s="7" t="s">
        <v>889</v>
      </c>
      <c r="D2827" s="8"/>
      <c r="E2827" s="9">
        <v>272186129.50999999</v>
      </c>
      <c r="F2827" s="9">
        <v>243636462.00999999</v>
      </c>
      <c r="G2827" s="9">
        <v>0</v>
      </c>
      <c r="H2827" s="9">
        <f t="shared" si="1466"/>
        <v>243636462.00999999</v>
      </c>
      <c r="I2827" s="9" t="e">
        <f>I165+I503+I530+I539+I555+I566+I623+I1047+I1066+I1085+I1098+I1142+I1158+I1580+I1711+I1729+I1743+I1751+I2485+I2004+I2024+I2092+I2539+I2703+I2723+I2616+I2652+I75+I97+I122+I136+I457+I2742+#REF!+I2551+I2575</f>
        <v>#REF!</v>
      </c>
      <c r="J2827" s="9" t="e">
        <f>J165+J503+J530+J539+J555+J566+J623+J1047+J1066+J1085+J1098+J1142+J1158+J1580+J1711+J1729+J1743+J1751+J2485+J2004+J2024+J2092+J2539+J2703+J2723+J2616+J2652+J75+J97+J122+J136+J457+J2742+#REF!+J2551+J2575</f>
        <v>#REF!</v>
      </c>
      <c r="K2827" s="9" t="e">
        <f>K165+K503+K530+K539+K555+K566+K623+K1047+K1066+K1085+K1098+K1142+K1158+K1580+K1711+K1729+K1743+K1751+K2485+K2004+K2024+K2092+K2539+K2703+K2723+K2616+K2652+K75+K97+K122+K136+K457+K2742+#REF!+K2551+K2575</f>
        <v>#REF!</v>
      </c>
      <c r="L2827" s="9">
        <v>0</v>
      </c>
      <c r="M2827" s="9">
        <f t="shared" si="1453"/>
        <v>243636462.00999999</v>
      </c>
      <c r="N2827" s="9">
        <v>28549667.5</v>
      </c>
      <c r="O2827" s="9">
        <v>0</v>
      </c>
      <c r="P2827" s="9">
        <f t="shared" si="1455"/>
        <v>28549667.5</v>
      </c>
      <c r="Q2827" s="9" t="e">
        <f>Q165+Q503+Q530+Q539+Q555+Q566+Q623+Q1047+Q1066+Q1085+Q1098+Q1142+Q1158+Q1580+Q1711+Q1729+Q1743+Q1751+Q2485+Q2004+Q2024+Q2092+Q2539+Q2703+Q2723+Q2616+Q2652+Q75+Q97+Q122+Q136+Q457+Q2742+#REF!+Q2551+Q2575</f>
        <v>#REF!</v>
      </c>
      <c r="R2827" s="9" t="e">
        <f>R165+R503+R530+R539+R555+R566+R623+R1047+R1066+R1085+R1098+R1142+R1158+R1580+R1711+R1729+R1743+R1751+R2485+R2004+R2024+R2092+R2539+R2703+R2723+R2616+R2652+R75+R97+R122+R136+R457+R2742+#REF!+R2551+R2575</f>
        <v>#REF!</v>
      </c>
      <c r="S2827" s="9" t="e">
        <f>S165+S503+S530+S539+S555+S566+S623+S1047+S1066+S1085+S1098+S1142+S1158+S1580+S1711+S1729+S1743+S1751+S2485+S2004+S2024+S2092+S2539+S2703+S2723+S2616+S2652+S75+S97+S122+S136+S457+S2742+#REF!+S2551+S2575</f>
        <v>#REF!</v>
      </c>
      <c r="T2827" s="9">
        <v>0</v>
      </c>
      <c r="U2827" s="9">
        <f t="shared" si="1468"/>
        <v>28549667.5</v>
      </c>
      <c r="V2827" s="9" t="e">
        <f>V165+V503+V530+V539+V555+V566+V623+V1047+V1066+V1085+V1098+V1142+V1158+V1580+V1711+V1729+V1743+V1751+V2485+V2004+V2024+V2092+V2539+V2703+V2723+V2616+V2652+V75+V97+V122+V136+V457+V2742+#REF!+V2551+V2575</f>
        <v>#REF!</v>
      </c>
      <c r="W2827" s="9" t="e">
        <f>W165+W503+W530+W539+W555+W566+W623+W1047+W1066+W1085+W1098+W1142+W1158+W1580+W1711+W1729+W1743+W1751+W2485+W2004+W2024+W2092+W2539+W2703+W2723+W2616+W2652+W75+W97+W122+W136+W457+W2742+#REF!+W2551+W2575</f>
        <v>#REF!</v>
      </c>
      <c r="X2827" s="9">
        <f t="shared" si="1456"/>
        <v>272186129.50999999</v>
      </c>
      <c r="Y2827" s="9">
        <f t="shared" si="1467"/>
        <v>0</v>
      </c>
      <c r="Z2827" s="9">
        <f t="shared" si="1458"/>
        <v>0</v>
      </c>
      <c r="AA2827" s="8">
        <f t="shared" si="1459"/>
        <v>272186129.50999999</v>
      </c>
      <c r="AB2827" s="18">
        <f t="shared" si="1460"/>
        <v>0</v>
      </c>
      <c r="AC2827" s="68"/>
      <c r="AD2827" s="69"/>
      <c r="AE2827" s="69"/>
      <c r="AF2827" s="69"/>
      <c r="AG2827" s="69"/>
      <c r="AH2827" s="69"/>
      <c r="AI2827" s="69"/>
      <c r="AJ2827" s="69"/>
      <c r="AK2827" s="69"/>
      <c r="AL2827" s="69"/>
      <c r="AM2827" s="69"/>
      <c r="AN2827" s="69"/>
      <c r="AO2827" s="69"/>
      <c r="AP2827" s="69"/>
      <c r="AQ2827" s="69"/>
      <c r="AR2827" s="69"/>
      <c r="AS2827" s="69"/>
      <c r="AT2827" s="69"/>
      <c r="AU2827" s="69"/>
      <c r="AV2827" s="69"/>
      <c r="AW2827" s="69"/>
      <c r="AX2827" s="69"/>
      <c r="AY2827" s="69"/>
    </row>
    <row r="2828" spans="1:51" x14ac:dyDescent="0.3">
      <c r="A2828" s="64"/>
      <c r="B2828" s="8"/>
      <c r="C2828" s="7" t="s">
        <v>870</v>
      </c>
      <c r="D2828" s="8"/>
      <c r="E2828" s="8">
        <v>15909140.26</v>
      </c>
      <c r="F2828" s="9">
        <v>15842393.619999999</v>
      </c>
      <c r="G2828" s="9">
        <v>0</v>
      </c>
      <c r="H2828" s="9">
        <f t="shared" si="1466"/>
        <v>15842393.619999999</v>
      </c>
      <c r="I2828" s="9">
        <f>I1439+I1495+I1412+I1544+I1907+I1935+I1996+I2129+I2550+I2501+I2526+I2622</f>
        <v>3349743.2199999997</v>
      </c>
      <c r="J2828" s="9">
        <f>J1439+J1495+J1412+J1544+J1907+J1935+J1996+J2129+J2550+J2501+J2526+J2622</f>
        <v>473883325.88</v>
      </c>
      <c r="K2828" s="9">
        <f>K1439+K1495+K1412+K1544+K1907+K1935+K1996+K2129+K2550+K2501+K2526+K2622</f>
        <v>60009260.879999995</v>
      </c>
      <c r="L2828" s="9">
        <v>0</v>
      </c>
      <c r="M2828" s="9">
        <f>+H2828+L2828</f>
        <v>15842393.619999999</v>
      </c>
      <c r="N2828" s="9">
        <v>66746.64</v>
      </c>
      <c r="O2828" s="9">
        <v>0</v>
      </c>
      <c r="P2828" s="9">
        <f t="shared" si="1455"/>
        <v>66746.64</v>
      </c>
      <c r="Q2828" s="9">
        <f>Q1439+Q1495+Q1412+Q1544+Q1907+Q1935+Q1996+Q2129+Q2550+Q2501+Q2526+Q2622</f>
        <v>456375367.92999995</v>
      </c>
      <c r="R2828" s="9">
        <f>R1439+R1495+R1412+R1544+R1907+R1935+R1996+R2129+R2550+R2501+R2526+R2622</f>
        <v>0</v>
      </c>
      <c r="S2828" s="17"/>
      <c r="T2828" s="18">
        <v>0</v>
      </c>
      <c r="U2828" s="9">
        <f t="shared" si="1468"/>
        <v>66746.64</v>
      </c>
      <c r="V2828" s="9">
        <f>V2597+V2650+V1666</f>
        <v>12275441.48</v>
      </c>
      <c r="W2828" s="9">
        <f>W2597+W2650+W1666</f>
        <v>0</v>
      </c>
      <c r="X2828" s="9">
        <f t="shared" si="1456"/>
        <v>15909140.26</v>
      </c>
      <c r="Y2828" s="9">
        <f t="shared" si="1467"/>
        <v>0</v>
      </c>
      <c r="Z2828" s="9">
        <f t="shared" si="1458"/>
        <v>0</v>
      </c>
      <c r="AA2828" s="8">
        <f t="shared" si="1459"/>
        <v>15909140.26</v>
      </c>
      <c r="AB2828" s="18">
        <f t="shared" si="1460"/>
        <v>0</v>
      </c>
      <c r="AC2828" s="68"/>
      <c r="AD2828" s="69"/>
      <c r="AE2828" s="69"/>
      <c r="AF2828" s="69"/>
      <c r="AG2828" s="69"/>
      <c r="AH2828" s="69"/>
      <c r="AI2828" s="69"/>
      <c r="AJ2828" s="69"/>
      <c r="AK2828" s="69"/>
      <c r="AL2828" s="69"/>
      <c r="AM2828" s="69"/>
      <c r="AN2828" s="69"/>
      <c r="AO2828" s="69"/>
      <c r="AP2828" s="69"/>
      <c r="AQ2828" s="69"/>
      <c r="AR2828" s="69"/>
      <c r="AS2828" s="69"/>
      <c r="AT2828" s="69"/>
      <c r="AU2828" s="69"/>
      <c r="AV2828" s="69"/>
      <c r="AW2828" s="69"/>
      <c r="AX2828" s="69"/>
      <c r="AY2828" s="69"/>
    </row>
    <row r="2829" spans="1:51" x14ac:dyDescent="0.3">
      <c r="A2829" s="64"/>
      <c r="B2829" s="8"/>
      <c r="C2829" s="7" t="s">
        <v>911</v>
      </c>
      <c r="D2829" s="8"/>
      <c r="E2829" s="9">
        <v>37615493.420000002</v>
      </c>
      <c r="F2829" s="9">
        <v>37611393.880000003</v>
      </c>
      <c r="G2829" s="9">
        <v>0</v>
      </c>
      <c r="H2829" s="9">
        <f t="shared" si="1466"/>
        <v>37611393.880000003</v>
      </c>
      <c r="I2829" s="9">
        <f>I2070+I1179+I1157+I1667+I2595+I2596+I1652+I2001+I1098+I635+I2597+I2030+I1585+I2598+I433+I2532+I1668</f>
        <v>0</v>
      </c>
      <c r="J2829" s="9">
        <f>J2070+J1179+J1157+J1667+J2595+J2596+J1652+J2001+J1098+J635+J2597+J2030+J1585+J2598+J433+J2532+J1668</f>
        <v>0</v>
      </c>
      <c r="K2829" s="9">
        <f>K2070+K1179+K1157+K1667+K2595+K2596+K1652+K2001+K1098+K635+K2597+K2030+K1585+K2598+K433+K2532+K1668</f>
        <v>0</v>
      </c>
      <c r="L2829" s="9">
        <v>0</v>
      </c>
      <c r="M2829" s="9">
        <f t="shared" si="1453"/>
        <v>37611393.880000003</v>
      </c>
      <c r="N2829" s="9">
        <v>0</v>
      </c>
      <c r="O2829" s="9">
        <v>0</v>
      </c>
      <c r="P2829" s="9">
        <f t="shared" si="1455"/>
        <v>0</v>
      </c>
      <c r="Q2829" s="9">
        <f>Q2070+Q1179+Q1157+Q1667+Q2595+Q2596+Q1652+Q2001+Q1098+Q635+Q2597+Q2030+Q1585+Q2598+Q433+Q2532+Q1668</f>
        <v>4099.54</v>
      </c>
      <c r="R2829" s="9">
        <f>R2070+R1179+R1157+R1667+R2595+R2596+R1652+R2001+R1098+R635+R2597+R2030+R1585+R2598+R433+R2532+R1668</f>
        <v>0</v>
      </c>
      <c r="S2829" s="9">
        <f>S2070+S1179+S1157+S1667+S2595+S2596+S1652+S2001+S1098+S635+S2597+S2030+S1585+S2598+S433+S2532+S1668</f>
        <v>0</v>
      </c>
      <c r="T2829" s="9">
        <v>4099.54</v>
      </c>
      <c r="U2829" s="9">
        <f t="shared" si="1468"/>
        <v>4099.54</v>
      </c>
      <c r="V2829" s="9">
        <f>V2070+V1179+V1157+V1667+V2595+V2596+V1652+V2001+V1098+V635+V2597+V2030+V1585+V2598+V433+V2532+V1668</f>
        <v>37611393.880000003</v>
      </c>
      <c r="W2829" s="9">
        <f>W2070+W1179+W1157+W1667+W2595+W2596+W1652+W2001+W1098+W635+W2597+W2030+W1585+W2598+W433+W2532+W1668</f>
        <v>4099.5400000000373</v>
      </c>
      <c r="X2829" s="9">
        <f t="shared" si="1456"/>
        <v>37611393.880000003</v>
      </c>
      <c r="Y2829" s="9">
        <f t="shared" ref="Y2829:Y2838" si="1469">Y1569</f>
        <v>0</v>
      </c>
      <c r="Z2829" s="9">
        <f t="shared" si="1458"/>
        <v>4099.5399999991059</v>
      </c>
      <c r="AA2829" s="8">
        <f t="shared" si="1459"/>
        <v>37615493.420000002</v>
      </c>
      <c r="AB2829" s="18">
        <f t="shared" si="1460"/>
        <v>0</v>
      </c>
      <c r="AC2829" s="68"/>
      <c r="AD2829" s="69"/>
      <c r="AE2829" s="69"/>
      <c r="AF2829" s="69"/>
      <c r="AG2829" s="69"/>
      <c r="AH2829" s="69"/>
      <c r="AI2829" s="69"/>
      <c r="AJ2829" s="69"/>
      <c r="AK2829" s="69"/>
      <c r="AL2829" s="69"/>
      <c r="AM2829" s="69"/>
      <c r="AN2829" s="69"/>
      <c r="AO2829" s="69"/>
      <c r="AP2829" s="69"/>
      <c r="AQ2829" s="69"/>
      <c r="AR2829" s="69"/>
      <c r="AS2829" s="69"/>
      <c r="AT2829" s="69"/>
      <c r="AU2829" s="69"/>
      <c r="AV2829" s="69"/>
      <c r="AW2829" s="69"/>
      <c r="AX2829" s="69"/>
      <c r="AY2829" s="69"/>
    </row>
    <row r="2830" spans="1:51" x14ac:dyDescent="0.3">
      <c r="A2830" s="64"/>
      <c r="B2830" s="8"/>
      <c r="C2830" s="7" t="s">
        <v>887</v>
      </c>
      <c r="D2830" s="7"/>
      <c r="E2830" s="12">
        <v>11956688.310000001</v>
      </c>
      <c r="F2830" s="9">
        <v>11956688.310000001</v>
      </c>
      <c r="G2830" s="9">
        <v>0</v>
      </c>
      <c r="H2830" s="9">
        <f t="shared" si="1466"/>
        <v>11956688.310000001</v>
      </c>
      <c r="I2830" s="9">
        <f>I1475+I1825+I1945+I1973+I1974+I2043+I2426+I2597+I2712+I2110</f>
        <v>7713021.5300000003</v>
      </c>
      <c r="J2830" s="9">
        <f>J1475+J1825+J1945+J1973+J1974+J2043+J2426+J2597+J2712+J2110</f>
        <v>461563027.89999998</v>
      </c>
      <c r="K2830" s="9">
        <f>K1475+K1825+K1945+K1973+K1974+K2043+K2426+K2597+K2712+K2110</f>
        <v>52212531.270000003</v>
      </c>
      <c r="L2830" s="9">
        <v>0</v>
      </c>
      <c r="M2830" s="9">
        <f t="shared" si="1453"/>
        <v>11956688.310000001</v>
      </c>
      <c r="N2830" s="9">
        <v>0</v>
      </c>
      <c r="O2830" s="9">
        <v>0</v>
      </c>
      <c r="P2830" s="9">
        <f t="shared" si="1455"/>
        <v>0</v>
      </c>
      <c r="Q2830" s="9">
        <f>Q1475+Q1825+Q1945+Q1973+Q1974+Q2043+Q2426+Q2597+Q2712+Q2110</f>
        <v>391666969.1400001</v>
      </c>
      <c r="R2830" s="9">
        <f>R1475+R1825+R1945+R1973+R1974+R2043+R2426+R2597+R2712+R2110</f>
        <v>0</v>
      </c>
      <c r="S2830" s="17"/>
      <c r="T2830" s="18">
        <v>0</v>
      </c>
      <c r="U2830" s="9">
        <f t="shared" si="1468"/>
        <v>0</v>
      </c>
      <c r="V2830" s="9">
        <f>V2614+V2664+V1679</f>
        <v>10082880.950000001</v>
      </c>
      <c r="W2830" s="9">
        <f>W2614+W2664+W1679</f>
        <v>0</v>
      </c>
      <c r="X2830" s="9">
        <f t="shared" si="1456"/>
        <v>11956688.310000001</v>
      </c>
      <c r="Y2830" s="9" t="str">
        <f t="shared" si="1469"/>
        <v>-</v>
      </c>
      <c r="Z2830" s="9">
        <f t="shared" si="1458"/>
        <v>0</v>
      </c>
      <c r="AA2830" s="8">
        <f t="shared" si="1459"/>
        <v>11956688.310000001</v>
      </c>
      <c r="AB2830" s="18">
        <f t="shared" si="1460"/>
        <v>0</v>
      </c>
      <c r="AD2830" s="70"/>
      <c r="AE2830" s="70"/>
      <c r="AF2830" s="70"/>
      <c r="AG2830" s="70"/>
      <c r="AH2830" s="70"/>
      <c r="AI2830" s="70"/>
      <c r="AJ2830" s="70"/>
      <c r="AK2830" s="70"/>
      <c r="AL2830" s="70"/>
      <c r="AM2830" s="70"/>
      <c r="AN2830" s="70"/>
      <c r="AO2830" s="70"/>
      <c r="AP2830" s="70"/>
      <c r="AQ2830" s="70"/>
      <c r="AR2830" s="70"/>
      <c r="AS2830" s="70"/>
      <c r="AT2830" s="70"/>
      <c r="AU2830" s="70"/>
      <c r="AV2830" s="70"/>
      <c r="AW2830" s="70"/>
      <c r="AX2830" s="70"/>
      <c r="AY2830" s="70"/>
    </row>
    <row r="2831" spans="1:51" x14ac:dyDescent="0.3">
      <c r="A2831" s="64"/>
      <c r="B2831" s="8"/>
      <c r="C2831" s="7" t="s">
        <v>888</v>
      </c>
      <c r="D2831" s="7"/>
      <c r="E2831" s="12">
        <v>11440293.109999999</v>
      </c>
      <c r="F2831" s="9">
        <v>11440293.109999999</v>
      </c>
      <c r="G2831" s="9">
        <v>0</v>
      </c>
      <c r="H2831" s="9">
        <f t="shared" si="1466"/>
        <v>11440293.109999999</v>
      </c>
      <c r="I2831" s="9">
        <f>I2042+I2528+I2425+I2427</f>
        <v>0</v>
      </c>
      <c r="J2831" s="9">
        <f>J2042+J2528+J2425+J2427</f>
        <v>7506495</v>
      </c>
      <c r="K2831" s="9">
        <f>K2042+K2528+K2425+K2427</f>
        <v>0</v>
      </c>
      <c r="L2831" s="9">
        <v>0</v>
      </c>
      <c r="M2831" s="9">
        <f t="shared" si="1453"/>
        <v>11440293.109999999</v>
      </c>
      <c r="N2831" s="9">
        <v>0</v>
      </c>
      <c r="O2831" s="9">
        <v>0</v>
      </c>
      <c r="P2831" s="9">
        <f t="shared" si="1455"/>
        <v>0</v>
      </c>
      <c r="Q2831" s="9">
        <f>Q2042+Q2528+Q2425+Q2427</f>
        <v>7506495</v>
      </c>
      <c r="R2831" s="9">
        <f>R2042+R2528+R2425+R2427</f>
        <v>0</v>
      </c>
      <c r="S2831" s="17"/>
      <c r="T2831" s="18">
        <v>0</v>
      </c>
      <c r="U2831" s="9">
        <f t="shared" si="1468"/>
        <v>0</v>
      </c>
      <c r="V2831" s="9">
        <f>V2615+V2665+V1680</f>
        <v>0</v>
      </c>
      <c r="W2831" s="9">
        <f>W2615+W2665+W1680</f>
        <v>0</v>
      </c>
      <c r="X2831" s="9">
        <f t="shared" si="1456"/>
        <v>11440293.109999999</v>
      </c>
      <c r="Y2831" s="9">
        <f t="shared" si="1469"/>
        <v>0</v>
      </c>
      <c r="Z2831" s="9">
        <f t="shared" si="1458"/>
        <v>0</v>
      </c>
      <c r="AA2831" s="8">
        <f t="shared" si="1459"/>
        <v>11440293.109999999</v>
      </c>
      <c r="AB2831" s="18">
        <f t="shared" si="1460"/>
        <v>0</v>
      </c>
      <c r="AC2831" s="71"/>
      <c r="AD2831" s="72"/>
      <c r="AE2831" s="72"/>
      <c r="AF2831" s="72"/>
      <c r="AG2831" s="72"/>
      <c r="AH2831" s="72"/>
      <c r="AI2831" s="72"/>
      <c r="AJ2831" s="72"/>
      <c r="AK2831" s="72"/>
      <c r="AL2831" s="72"/>
      <c r="AM2831" s="72"/>
      <c r="AN2831" s="72"/>
      <c r="AO2831" s="72"/>
      <c r="AP2831" s="72"/>
      <c r="AQ2831" s="72"/>
      <c r="AR2831" s="72"/>
      <c r="AS2831" s="72"/>
      <c r="AT2831" s="72"/>
      <c r="AU2831" s="72"/>
      <c r="AV2831" s="72"/>
      <c r="AW2831" s="72"/>
      <c r="AX2831" s="72"/>
      <c r="AY2831" s="72"/>
    </row>
    <row r="2832" spans="1:51" x14ac:dyDescent="0.3">
      <c r="A2832" s="64"/>
      <c r="B2832" s="8"/>
      <c r="C2832" s="7" t="s">
        <v>912</v>
      </c>
      <c r="D2832" s="8"/>
      <c r="E2832" s="9">
        <v>2000000</v>
      </c>
      <c r="F2832" s="9">
        <v>2000000</v>
      </c>
      <c r="G2832" s="9">
        <v>0</v>
      </c>
      <c r="H2832" s="9">
        <f t="shared" si="1466"/>
        <v>2000000</v>
      </c>
      <c r="I2832" s="9">
        <f>I53+I75</f>
        <v>0</v>
      </c>
      <c r="J2832" s="9">
        <f>J53+J75</f>
        <v>0</v>
      </c>
      <c r="K2832" s="9">
        <f>K53+K75</f>
        <v>0</v>
      </c>
      <c r="L2832" s="9">
        <v>0</v>
      </c>
      <c r="M2832" s="9">
        <f t="shared" si="1453"/>
        <v>2000000</v>
      </c>
      <c r="N2832" s="9">
        <v>0</v>
      </c>
      <c r="O2832" s="9">
        <v>0</v>
      </c>
      <c r="P2832" s="9">
        <f t="shared" si="1455"/>
        <v>0</v>
      </c>
      <c r="Q2832" s="9">
        <f>Q53+Q75</f>
        <v>0</v>
      </c>
      <c r="R2832" s="9">
        <f>R53+R75</f>
        <v>0</v>
      </c>
      <c r="S2832" s="9">
        <f>S53+S75</f>
        <v>0</v>
      </c>
      <c r="T2832" s="9">
        <v>0</v>
      </c>
      <c r="U2832" s="9">
        <f t="shared" si="1468"/>
        <v>0</v>
      </c>
      <c r="V2832" s="9">
        <f>V53+V75</f>
        <v>2000000</v>
      </c>
      <c r="W2832" s="9">
        <f>W53+W75</f>
        <v>0</v>
      </c>
      <c r="X2832" s="9">
        <f t="shared" si="1456"/>
        <v>2000000</v>
      </c>
      <c r="Y2832" s="9" t="str">
        <f t="shared" si="1469"/>
        <v>-</v>
      </c>
      <c r="Z2832" s="9">
        <f t="shared" si="1458"/>
        <v>0</v>
      </c>
      <c r="AA2832" s="8">
        <f t="shared" si="1459"/>
        <v>2000000</v>
      </c>
      <c r="AB2832" s="18">
        <f t="shared" si="1460"/>
        <v>0</v>
      </c>
      <c r="AD2832" s="70"/>
      <c r="AE2832" s="70"/>
      <c r="AF2832" s="70"/>
      <c r="AG2832" s="70"/>
      <c r="AH2832" s="70"/>
      <c r="AI2832" s="70"/>
      <c r="AJ2832" s="70"/>
      <c r="AK2832" s="70"/>
      <c r="AL2832" s="70"/>
      <c r="AM2832" s="70"/>
      <c r="AN2832" s="70"/>
      <c r="AO2832" s="70"/>
      <c r="AP2832" s="70"/>
      <c r="AQ2832" s="70"/>
      <c r="AR2832" s="70"/>
      <c r="AS2832" s="70"/>
      <c r="AT2832" s="70"/>
      <c r="AU2832" s="70"/>
      <c r="AV2832" s="70"/>
      <c r="AW2832" s="70"/>
      <c r="AX2832" s="70"/>
      <c r="AY2832" s="70"/>
    </row>
    <row r="2833" spans="1:51" x14ac:dyDescent="0.3">
      <c r="A2833" s="64"/>
      <c r="B2833" s="8"/>
      <c r="C2833" s="7" t="s">
        <v>917</v>
      </c>
      <c r="D2833" s="8"/>
      <c r="E2833" s="9">
        <v>295805153.44999999</v>
      </c>
      <c r="F2833" s="9">
        <v>0</v>
      </c>
      <c r="G2833" s="9">
        <v>0</v>
      </c>
      <c r="H2833" s="9">
        <f t="shared" ref="H2833:H2839" si="1470">+F2833+G2833</f>
        <v>0</v>
      </c>
      <c r="I2833" s="9"/>
      <c r="J2833" s="9"/>
      <c r="K2833" s="9"/>
      <c r="L2833" s="9">
        <v>0</v>
      </c>
      <c r="M2833" s="9">
        <f t="shared" ref="M2833:M2839" si="1471">+H2833+L2833</f>
        <v>0</v>
      </c>
      <c r="N2833" s="9">
        <v>295805153.44999999</v>
      </c>
      <c r="O2833" s="9">
        <v>0</v>
      </c>
      <c r="P2833" s="9">
        <f t="shared" ref="P2833:P2839" si="1472">+N2833+O2833</f>
        <v>295805153.44999999</v>
      </c>
      <c r="Q2833" s="9"/>
      <c r="R2833" s="9"/>
      <c r="S2833" s="9"/>
      <c r="T2833" s="9">
        <v>0</v>
      </c>
      <c r="U2833" s="9">
        <f t="shared" ref="U2833:U2839" si="1473">+P2833+T2833</f>
        <v>295805153.44999999</v>
      </c>
      <c r="V2833" s="9"/>
      <c r="W2833" s="9"/>
      <c r="X2833" s="9">
        <f t="shared" si="1456"/>
        <v>295805153.44999999</v>
      </c>
      <c r="Y2833" s="9">
        <f t="shared" si="1469"/>
        <v>0</v>
      </c>
      <c r="Z2833" s="9">
        <f t="shared" si="1458"/>
        <v>0</v>
      </c>
      <c r="AA2833" s="8">
        <f t="shared" si="1459"/>
        <v>295805153.44999999</v>
      </c>
      <c r="AB2833" s="18">
        <f t="shared" si="1460"/>
        <v>0</v>
      </c>
      <c r="AD2833" s="70"/>
      <c r="AE2833" s="70"/>
      <c r="AF2833" s="70"/>
      <c r="AG2833" s="70"/>
      <c r="AH2833" s="70"/>
      <c r="AI2833" s="70"/>
      <c r="AJ2833" s="70"/>
      <c r="AK2833" s="70"/>
      <c r="AL2833" s="70"/>
      <c r="AM2833" s="70"/>
      <c r="AN2833" s="70"/>
      <c r="AO2833" s="70"/>
      <c r="AP2833" s="70"/>
      <c r="AQ2833" s="70"/>
      <c r="AR2833" s="70"/>
      <c r="AS2833" s="70"/>
      <c r="AT2833" s="70"/>
      <c r="AU2833" s="70"/>
      <c r="AV2833" s="70"/>
      <c r="AW2833" s="70"/>
      <c r="AX2833" s="70"/>
      <c r="AY2833" s="70"/>
    </row>
    <row r="2834" spans="1:51" x14ac:dyDescent="0.3">
      <c r="A2834" s="64"/>
      <c r="B2834" s="8"/>
      <c r="C2834" s="7" t="s">
        <v>883</v>
      </c>
      <c r="D2834" s="8"/>
      <c r="E2834" s="9">
        <v>119694134.14</v>
      </c>
      <c r="F2834" s="9">
        <v>115750432</v>
      </c>
      <c r="G2834" s="9">
        <v>0</v>
      </c>
      <c r="H2834" s="9">
        <f t="shared" si="1470"/>
        <v>115750432</v>
      </c>
      <c r="I2834" s="9"/>
      <c r="J2834" s="9"/>
      <c r="K2834" s="9"/>
      <c r="L2834" s="9">
        <v>165650</v>
      </c>
      <c r="M2834" s="9">
        <f t="shared" si="1471"/>
        <v>115916082</v>
      </c>
      <c r="N2834" s="9">
        <v>2711711.14</v>
      </c>
      <c r="O2834" s="9">
        <v>0</v>
      </c>
      <c r="P2834" s="9">
        <f t="shared" si="1472"/>
        <v>2711711.14</v>
      </c>
      <c r="Q2834" s="9"/>
      <c r="R2834" s="9"/>
      <c r="S2834" s="9"/>
      <c r="T2834" s="9">
        <v>0</v>
      </c>
      <c r="U2834" s="9">
        <f t="shared" si="1473"/>
        <v>2711711.14</v>
      </c>
      <c r="V2834" s="9"/>
      <c r="W2834" s="9"/>
      <c r="X2834" s="9">
        <f t="shared" si="1456"/>
        <v>118462143.14</v>
      </c>
      <c r="Y2834" s="9">
        <f t="shared" si="1469"/>
        <v>0</v>
      </c>
      <c r="Z2834" s="9">
        <f t="shared" si="1458"/>
        <v>1231991</v>
      </c>
      <c r="AA2834" s="8">
        <f t="shared" si="1459"/>
        <v>118627793.14</v>
      </c>
      <c r="AB2834" s="18">
        <f t="shared" si="1460"/>
        <v>1066341</v>
      </c>
      <c r="AD2834" s="70"/>
      <c r="AE2834" s="70"/>
      <c r="AF2834" s="70"/>
      <c r="AG2834" s="70"/>
      <c r="AH2834" s="70"/>
      <c r="AI2834" s="70"/>
      <c r="AJ2834" s="70"/>
      <c r="AK2834" s="70"/>
      <c r="AL2834" s="70"/>
      <c r="AM2834" s="70"/>
      <c r="AN2834" s="70"/>
      <c r="AO2834" s="70"/>
      <c r="AP2834" s="70"/>
      <c r="AQ2834" s="70"/>
      <c r="AR2834" s="70"/>
      <c r="AS2834" s="70"/>
      <c r="AT2834" s="70"/>
      <c r="AU2834" s="70"/>
      <c r="AV2834" s="70"/>
      <c r="AW2834" s="70"/>
      <c r="AX2834" s="70"/>
      <c r="AY2834" s="70"/>
    </row>
    <row r="2835" spans="1:51" x14ac:dyDescent="0.3">
      <c r="A2835" s="64"/>
      <c r="B2835" s="8"/>
      <c r="C2835" s="7" t="s">
        <v>884</v>
      </c>
      <c r="D2835" s="8"/>
      <c r="E2835" s="9">
        <v>96060378</v>
      </c>
      <c r="F2835" s="9">
        <v>93268396.769999996</v>
      </c>
      <c r="G2835" s="9">
        <v>0</v>
      </c>
      <c r="H2835" s="9">
        <f t="shared" si="1470"/>
        <v>93268396.769999996</v>
      </c>
      <c r="I2835" s="9"/>
      <c r="J2835" s="9"/>
      <c r="K2835" s="9"/>
      <c r="L2835" s="9">
        <v>800000</v>
      </c>
      <c r="M2835" s="9">
        <f t="shared" si="1471"/>
        <v>94068396.769999996</v>
      </c>
      <c r="N2835" s="9">
        <v>0</v>
      </c>
      <c r="O2835" s="9">
        <v>0</v>
      </c>
      <c r="P2835" s="9">
        <f t="shared" si="1472"/>
        <v>0</v>
      </c>
      <c r="Q2835" s="9"/>
      <c r="R2835" s="9"/>
      <c r="S2835" s="9"/>
      <c r="T2835" s="9">
        <v>0</v>
      </c>
      <c r="U2835" s="9">
        <f t="shared" si="1473"/>
        <v>0</v>
      </c>
      <c r="V2835" s="9"/>
      <c r="W2835" s="9"/>
      <c r="X2835" s="9">
        <f t="shared" si="1456"/>
        <v>93268396.769999996</v>
      </c>
      <c r="Y2835" s="9">
        <f t="shared" si="1469"/>
        <v>0</v>
      </c>
      <c r="Z2835" s="9">
        <f t="shared" si="1458"/>
        <v>2791981.2300000042</v>
      </c>
      <c r="AA2835" s="8">
        <f t="shared" si="1459"/>
        <v>94068396.769999996</v>
      </c>
      <c r="AB2835" s="18">
        <f t="shared" si="1460"/>
        <v>1991981.2300000042</v>
      </c>
      <c r="AD2835" s="70"/>
      <c r="AE2835" s="70"/>
      <c r="AF2835" s="70"/>
      <c r="AG2835" s="70"/>
      <c r="AH2835" s="70"/>
      <c r="AI2835" s="70"/>
      <c r="AJ2835" s="70"/>
      <c r="AK2835" s="70"/>
      <c r="AL2835" s="70"/>
      <c r="AM2835" s="70"/>
      <c r="AN2835" s="70"/>
      <c r="AO2835" s="70"/>
      <c r="AP2835" s="70"/>
      <c r="AQ2835" s="70"/>
      <c r="AR2835" s="70"/>
      <c r="AS2835" s="70"/>
      <c r="AT2835" s="70"/>
      <c r="AU2835" s="70"/>
      <c r="AV2835" s="70"/>
      <c r="AW2835" s="70"/>
      <c r="AX2835" s="70"/>
      <c r="AY2835" s="70"/>
    </row>
    <row r="2836" spans="1:51" x14ac:dyDescent="0.3">
      <c r="A2836" s="64"/>
      <c r="B2836" s="8"/>
      <c r="C2836" s="7" t="s">
        <v>871</v>
      </c>
      <c r="D2836" s="8"/>
      <c r="E2836" s="9">
        <f>66239036.78+277998.98</f>
        <v>66517035.759999998</v>
      </c>
      <c r="F2836" s="9">
        <v>65213472.340000004</v>
      </c>
      <c r="G2836" s="9">
        <v>0</v>
      </c>
      <c r="H2836" s="9">
        <f t="shared" si="1470"/>
        <v>65213472.340000004</v>
      </c>
      <c r="I2836" s="9"/>
      <c r="J2836" s="9"/>
      <c r="K2836" s="9"/>
      <c r="L2836" s="9">
        <v>0</v>
      </c>
      <c r="M2836" s="9">
        <f t="shared" si="1471"/>
        <v>65213472.340000004</v>
      </c>
      <c r="N2836" s="9">
        <f>238698.44+277998.98</f>
        <v>516697.42</v>
      </c>
      <c r="O2836" s="9">
        <v>0</v>
      </c>
      <c r="P2836" s="9">
        <f t="shared" si="1472"/>
        <v>516697.42</v>
      </c>
      <c r="Q2836" s="9"/>
      <c r="R2836" s="9"/>
      <c r="S2836" s="9"/>
      <c r="T2836" s="9">
        <v>0</v>
      </c>
      <c r="U2836" s="9">
        <f t="shared" si="1473"/>
        <v>516697.42</v>
      </c>
      <c r="V2836" s="9"/>
      <c r="W2836" s="9"/>
      <c r="X2836" s="9">
        <f t="shared" si="1456"/>
        <v>65730169.760000005</v>
      </c>
      <c r="Y2836" s="9">
        <f t="shared" si="1469"/>
        <v>0</v>
      </c>
      <c r="Z2836" s="9">
        <f t="shared" si="1458"/>
        <v>786865.99999999255</v>
      </c>
      <c r="AA2836" s="8">
        <f t="shared" si="1459"/>
        <v>65730169.760000005</v>
      </c>
      <c r="AB2836" s="18">
        <f t="shared" si="1460"/>
        <v>786865.99999999255</v>
      </c>
      <c r="AC2836" s="71"/>
      <c r="AD2836" s="72"/>
      <c r="AE2836" s="72"/>
      <c r="AF2836" s="72"/>
      <c r="AG2836" s="72"/>
      <c r="AH2836" s="72"/>
      <c r="AI2836" s="72"/>
      <c r="AJ2836" s="72"/>
      <c r="AK2836" s="72"/>
      <c r="AL2836" s="72"/>
      <c r="AM2836" s="72"/>
      <c r="AN2836" s="72"/>
      <c r="AO2836" s="72"/>
      <c r="AP2836" s="72"/>
      <c r="AQ2836" s="72"/>
      <c r="AR2836" s="72"/>
      <c r="AS2836" s="72"/>
      <c r="AT2836" s="72"/>
      <c r="AU2836" s="72"/>
      <c r="AV2836" s="72"/>
      <c r="AW2836" s="72"/>
      <c r="AX2836" s="72"/>
      <c r="AY2836" s="72"/>
    </row>
    <row r="2837" spans="1:51" x14ac:dyDescent="0.3">
      <c r="A2837" s="64"/>
      <c r="B2837" s="8"/>
      <c r="C2837" s="7" t="s">
        <v>564</v>
      </c>
      <c r="D2837" s="8"/>
      <c r="E2837" s="9">
        <v>79463000</v>
      </c>
      <c r="F2837" s="9">
        <v>12245295.5</v>
      </c>
      <c r="G2837" s="9">
        <v>0</v>
      </c>
      <c r="H2837" s="9">
        <f t="shared" si="1470"/>
        <v>12245295.5</v>
      </c>
      <c r="I2837" s="9"/>
      <c r="J2837" s="9"/>
      <c r="K2837" s="9"/>
      <c r="L2837" s="9">
        <v>0</v>
      </c>
      <c r="M2837" s="9">
        <f t="shared" si="1471"/>
        <v>12245295.5</v>
      </c>
      <c r="N2837" s="9">
        <v>55760954.07</v>
      </c>
      <c r="O2837" s="9">
        <v>0</v>
      </c>
      <c r="P2837" s="9">
        <f t="shared" si="1472"/>
        <v>55760954.07</v>
      </c>
      <c r="Q2837" s="9"/>
      <c r="R2837" s="9"/>
      <c r="S2837" s="9"/>
      <c r="T2837" s="9">
        <v>0</v>
      </c>
      <c r="U2837" s="9">
        <f t="shared" si="1473"/>
        <v>55760954.07</v>
      </c>
      <c r="V2837" s="9"/>
      <c r="W2837" s="9"/>
      <c r="X2837" s="9">
        <f t="shared" si="1456"/>
        <v>68006249.569999993</v>
      </c>
      <c r="Y2837" s="9">
        <f t="shared" si="1469"/>
        <v>0</v>
      </c>
      <c r="Z2837" s="9">
        <f t="shared" si="1458"/>
        <v>11456750.430000007</v>
      </c>
      <c r="AA2837" s="8">
        <f t="shared" si="1459"/>
        <v>68006249.569999993</v>
      </c>
      <c r="AB2837" s="18">
        <f t="shared" si="1460"/>
        <v>11456750.430000007</v>
      </c>
      <c r="AC2837" s="71"/>
      <c r="AD2837" s="72"/>
      <c r="AE2837" s="72"/>
      <c r="AF2837" s="72"/>
      <c r="AG2837" s="72"/>
      <c r="AH2837" s="72"/>
      <c r="AI2837" s="72"/>
      <c r="AJ2837" s="72"/>
      <c r="AK2837" s="72"/>
      <c r="AL2837" s="72"/>
      <c r="AM2837" s="72"/>
      <c r="AN2837" s="72"/>
      <c r="AO2837" s="72"/>
      <c r="AP2837" s="72"/>
      <c r="AQ2837" s="72"/>
      <c r="AR2837" s="72"/>
      <c r="AS2837" s="72"/>
      <c r="AT2837" s="72"/>
      <c r="AU2837" s="72"/>
      <c r="AV2837" s="72"/>
      <c r="AW2837" s="72"/>
      <c r="AX2837" s="72"/>
      <c r="AY2837" s="72"/>
    </row>
    <row r="2838" spans="1:51" x14ac:dyDescent="0.3">
      <c r="A2838" s="64"/>
      <c r="B2838" s="8"/>
      <c r="C2838" s="7" t="s">
        <v>862</v>
      </c>
      <c r="D2838" s="8"/>
      <c r="E2838" s="8">
        <v>33729246.100000001</v>
      </c>
      <c r="F2838" s="9">
        <v>32283359.690000001</v>
      </c>
      <c r="G2838" s="9">
        <v>0</v>
      </c>
      <c r="H2838" s="9">
        <f t="shared" si="1470"/>
        <v>32283359.690000001</v>
      </c>
      <c r="I2838" s="9"/>
      <c r="J2838" s="9"/>
      <c r="K2838" s="9"/>
      <c r="L2838" s="9">
        <v>0</v>
      </c>
      <c r="M2838" s="9">
        <f t="shared" si="1471"/>
        <v>32283359.690000001</v>
      </c>
      <c r="N2838" s="9">
        <v>1445886.41</v>
      </c>
      <c r="O2838" s="9">
        <v>0</v>
      </c>
      <c r="P2838" s="9">
        <f t="shared" si="1472"/>
        <v>1445886.41</v>
      </c>
      <c r="Q2838" s="9"/>
      <c r="R2838" s="9"/>
      <c r="S2838" s="17"/>
      <c r="T2838" s="18">
        <v>0</v>
      </c>
      <c r="U2838" s="9">
        <f t="shared" si="1473"/>
        <v>1445886.41</v>
      </c>
      <c r="V2838" s="9"/>
      <c r="W2838" s="9"/>
      <c r="X2838" s="9">
        <f t="shared" si="1456"/>
        <v>33729246.100000001</v>
      </c>
      <c r="Y2838" s="9">
        <f t="shared" si="1469"/>
        <v>0</v>
      </c>
      <c r="Z2838" s="9">
        <f t="shared" si="1458"/>
        <v>0</v>
      </c>
      <c r="AA2838" s="8">
        <f t="shared" si="1459"/>
        <v>33729246.100000001</v>
      </c>
      <c r="AB2838" s="18">
        <f t="shared" si="1460"/>
        <v>0</v>
      </c>
    </row>
    <row r="2839" spans="1:51" x14ac:dyDescent="0.3">
      <c r="A2839" s="64"/>
      <c r="B2839" s="8"/>
      <c r="C2839" s="7" t="s">
        <v>868</v>
      </c>
      <c r="D2839" s="8"/>
      <c r="E2839" s="8">
        <v>1628975911.3900001</v>
      </c>
      <c r="F2839" s="9">
        <v>1519465656.9100001</v>
      </c>
      <c r="G2839" s="9">
        <v>0</v>
      </c>
      <c r="H2839" s="9">
        <f t="shared" si="1470"/>
        <v>1519465656.9100001</v>
      </c>
      <c r="I2839" s="9"/>
      <c r="J2839" s="9"/>
      <c r="K2839" s="9"/>
      <c r="L2839" s="9">
        <v>18584441.510000002</v>
      </c>
      <c r="M2839" s="9">
        <f t="shared" si="1471"/>
        <v>1538050098.4200001</v>
      </c>
      <c r="N2839" s="9">
        <v>66243166.359999999</v>
      </c>
      <c r="O2839" s="9">
        <v>0</v>
      </c>
      <c r="P2839" s="9">
        <f t="shared" si="1472"/>
        <v>66243166.359999999</v>
      </c>
      <c r="Q2839" s="9"/>
      <c r="R2839" s="9"/>
      <c r="S2839" s="17"/>
      <c r="T2839" s="18">
        <v>1359326.54</v>
      </c>
      <c r="U2839" s="9">
        <f t="shared" si="1473"/>
        <v>67602492.900000006</v>
      </c>
      <c r="V2839" s="9"/>
      <c r="W2839" s="9"/>
      <c r="X2839" s="9">
        <f t="shared" si="1456"/>
        <v>1585708823.27</v>
      </c>
      <c r="Y2839" s="9">
        <f>Y1579</f>
        <v>0</v>
      </c>
      <c r="Z2839" s="9">
        <f t="shared" si="1458"/>
        <v>43267088.120000124</v>
      </c>
      <c r="AA2839" s="8">
        <f t="shared" si="1459"/>
        <v>1605652591.3200002</v>
      </c>
      <c r="AB2839" s="18">
        <f t="shared" si="1460"/>
        <v>23323320.069999933</v>
      </c>
      <c r="AD2839" s="72"/>
      <c r="AE2839" s="72"/>
      <c r="AF2839" s="72"/>
      <c r="AG2839" s="72"/>
      <c r="AH2839" s="72"/>
      <c r="AI2839" s="72"/>
      <c r="AJ2839" s="72"/>
      <c r="AK2839" s="72"/>
      <c r="AL2839" s="72"/>
      <c r="AM2839" s="72"/>
      <c r="AN2839" s="72"/>
      <c r="AO2839" s="72"/>
      <c r="AP2839" s="72"/>
      <c r="AQ2839" s="72"/>
      <c r="AR2839" s="72"/>
      <c r="AS2839" s="72"/>
      <c r="AT2839" s="72"/>
      <c r="AU2839" s="72"/>
      <c r="AV2839" s="72"/>
      <c r="AW2839" s="72"/>
      <c r="AX2839" s="72"/>
      <c r="AY2839" s="72"/>
    </row>
    <row r="2840" spans="1:51" x14ac:dyDescent="0.3">
      <c r="A2840" s="64"/>
      <c r="B2840" s="8"/>
      <c r="C2840" s="7" t="s">
        <v>906</v>
      </c>
      <c r="D2840" s="9"/>
      <c r="E2840" s="9">
        <v>16331255.85</v>
      </c>
      <c r="F2840" s="9">
        <v>16331255.85</v>
      </c>
      <c r="G2840" s="9">
        <v>0</v>
      </c>
      <c r="H2840" s="9">
        <f t="shared" ref="H2840:H2852" si="1474">+F2840+G2840</f>
        <v>16331255.85</v>
      </c>
      <c r="I2840" s="9">
        <f>I1139</f>
        <v>0</v>
      </c>
      <c r="J2840" s="9">
        <f>J1139</f>
        <v>0</v>
      </c>
      <c r="K2840" s="9">
        <f>K1139</f>
        <v>0</v>
      </c>
      <c r="L2840" s="9">
        <v>0</v>
      </c>
      <c r="M2840" s="9">
        <f t="shared" si="1453"/>
        <v>16331255.85</v>
      </c>
      <c r="N2840" s="9">
        <v>0</v>
      </c>
      <c r="O2840" s="9">
        <v>0</v>
      </c>
      <c r="P2840" s="9">
        <f t="shared" si="1455"/>
        <v>0</v>
      </c>
      <c r="Q2840" s="9">
        <f>Q1139</f>
        <v>0</v>
      </c>
      <c r="R2840" s="9">
        <f>R1139</f>
        <v>0</v>
      </c>
      <c r="S2840" s="9">
        <f>S1139</f>
        <v>0</v>
      </c>
      <c r="T2840" s="9">
        <v>0</v>
      </c>
      <c r="U2840" s="9">
        <f t="shared" ref="U2840:U2852" si="1475">+P2840+T2840</f>
        <v>0</v>
      </c>
      <c r="V2840" s="9">
        <f>V1139</f>
        <v>2416266</v>
      </c>
      <c r="W2840" s="9">
        <f>W1139</f>
        <v>0</v>
      </c>
      <c r="X2840" s="9">
        <f t="shared" si="1456"/>
        <v>16331255.85</v>
      </c>
      <c r="Y2840" s="9">
        <f>Y1580</f>
        <v>0</v>
      </c>
      <c r="Z2840" s="9">
        <f t="shared" si="1458"/>
        <v>0</v>
      </c>
      <c r="AA2840" s="8">
        <f t="shared" si="1459"/>
        <v>16331255.85</v>
      </c>
      <c r="AB2840" s="18">
        <f t="shared" si="1460"/>
        <v>0</v>
      </c>
    </row>
    <row r="2841" spans="1:51" x14ac:dyDescent="0.3">
      <c r="A2841" s="64"/>
      <c r="B2841" s="8"/>
      <c r="C2841" s="7" t="s">
        <v>899</v>
      </c>
      <c r="D2841" s="8"/>
      <c r="E2841" s="9">
        <v>148658110.05000001</v>
      </c>
      <c r="F2841" s="9">
        <v>140136185.63</v>
      </c>
      <c r="G2841" s="9">
        <v>0</v>
      </c>
      <c r="H2841" s="9">
        <f t="shared" si="1474"/>
        <v>140136185.63</v>
      </c>
      <c r="I2841" s="9">
        <f>I2549+I2560+I1627+I2530+I1160+I1752+I1766+I2117+I1018+I1198+I1220+I2074+I479+I2772</f>
        <v>0</v>
      </c>
      <c r="J2841" s="9">
        <f>J2549+J2560+J1627+J2530+J1160+J1752+J1766+J2117+J1018+J1198+J1220+J2074+J479+J2772</f>
        <v>0</v>
      </c>
      <c r="K2841" s="9">
        <f>K2549+K2560+K1627+K2530+K1160+K1752+K1766+K2117+K1018+K1198+K1220+K2074+K479+K2772</f>
        <v>6294108</v>
      </c>
      <c r="L2841" s="9">
        <v>0</v>
      </c>
      <c r="M2841" s="9">
        <f>+H2841+L2841</f>
        <v>140136185.63</v>
      </c>
      <c r="N2841" s="9">
        <v>8521924.4199999999</v>
      </c>
      <c r="O2841" s="9">
        <v>0</v>
      </c>
      <c r="P2841" s="9">
        <f t="shared" si="1455"/>
        <v>8521924.4199999999</v>
      </c>
      <c r="Q2841" s="9">
        <f>Q2549+Q2560+Q1627+Q2530+Q1160+Q1752+Q1766+Q2117+Q1018+Q1198+Q1220+Q2074+Q479+Q2772</f>
        <v>0</v>
      </c>
      <c r="R2841" s="9">
        <f>R2549+R2560+R1627+R2530+R1160+R1752+R1766+R2117+R1018+R1198+R1220+R2074+R479+R2772</f>
        <v>0</v>
      </c>
      <c r="S2841" s="9">
        <f>S2549+S2560+S1627+S2530+S1160+S1752+S1766+S2117+S1018+S1198+S1220+S2074+S479+S2772</f>
        <v>0</v>
      </c>
      <c r="T2841" s="9">
        <v>0</v>
      </c>
      <c r="U2841" s="9">
        <f t="shared" si="1475"/>
        <v>8521924.4199999999</v>
      </c>
      <c r="V2841" s="9">
        <f>V2549+V2560+V1627+V2530+V1160+V1752+V1766+V2117+V1018+V1198+V1220+V2074+V479+V2772</f>
        <v>49867724.760000005</v>
      </c>
      <c r="W2841" s="9">
        <f>W2549+W2560+W1627+W2530+W1160+W1752+W1766+W2117+W1018+W1198+W1220+W2074+W479+W2772</f>
        <v>271062.04999999981</v>
      </c>
      <c r="X2841" s="9">
        <f t="shared" si="1456"/>
        <v>148658110.04999998</v>
      </c>
      <c r="Y2841" s="9">
        <f>Y1581</f>
        <v>0</v>
      </c>
      <c r="Z2841" s="9">
        <f t="shared" si="1458"/>
        <v>0</v>
      </c>
      <c r="AA2841" s="8">
        <f t="shared" si="1459"/>
        <v>148658110.04999998</v>
      </c>
      <c r="AB2841" s="18">
        <f t="shared" si="1460"/>
        <v>0</v>
      </c>
    </row>
    <row r="2842" spans="1:51" x14ac:dyDescent="0.3">
      <c r="A2842" s="64"/>
      <c r="B2842" s="8"/>
      <c r="C2842" s="7" t="s">
        <v>869</v>
      </c>
      <c r="D2842" s="8"/>
      <c r="E2842" s="9">
        <v>208217400.91</v>
      </c>
      <c r="F2842" s="9">
        <v>195782717.40000001</v>
      </c>
      <c r="G2842" s="9">
        <v>0</v>
      </c>
      <c r="H2842" s="9">
        <f t="shared" si="1474"/>
        <v>195782717.40000001</v>
      </c>
      <c r="I2842" s="9"/>
      <c r="J2842" s="9"/>
      <c r="K2842" s="9"/>
      <c r="L2842" s="9">
        <v>0</v>
      </c>
      <c r="M2842" s="9">
        <f>+H2842+L2842</f>
        <v>195782717.40000001</v>
      </c>
      <c r="N2842" s="9">
        <v>12434683.51</v>
      </c>
      <c r="O2842" s="9">
        <v>0</v>
      </c>
      <c r="P2842" s="9">
        <f>+N2842+O2842</f>
        <v>12434683.51</v>
      </c>
      <c r="Q2842" s="9"/>
      <c r="R2842" s="9"/>
      <c r="S2842" s="9"/>
      <c r="T2842" s="9">
        <v>0</v>
      </c>
      <c r="U2842" s="9">
        <f t="shared" si="1475"/>
        <v>12434683.51</v>
      </c>
      <c r="V2842" s="9"/>
      <c r="W2842" s="9"/>
      <c r="X2842" s="9">
        <f t="shared" si="1456"/>
        <v>208217400.91</v>
      </c>
      <c r="Y2842" s="9">
        <f>Y1582</f>
        <v>0</v>
      </c>
      <c r="Z2842" s="9">
        <f t="shared" si="1458"/>
        <v>0</v>
      </c>
      <c r="AA2842" s="8">
        <f t="shared" si="1459"/>
        <v>208217400.91</v>
      </c>
      <c r="AB2842" s="18">
        <f t="shared" si="1460"/>
        <v>0</v>
      </c>
    </row>
    <row r="2843" spans="1:51" x14ac:dyDescent="0.3">
      <c r="A2843" s="64"/>
      <c r="B2843" s="8"/>
      <c r="C2843" s="7" t="s">
        <v>908</v>
      </c>
      <c r="D2843" s="8"/>
      <c r="E2843" s="9">
        <v>42579017.68</v>
      </c>
      <c r="F2843" s="9">
        <v>42579017.68</v>
      </c>
      <c r="G2843" s="9">
        <v>0</v>
      </c>
      <c r="H2843" s="9">
        <f t="shared" si="1474"/>
        <v>42579017.68</v>
      </c>
      <c r="I2843" s="9">
        <f>I86+I130+I147+I148+I494+I1129</f>
        <v>0</v>
      </c>
      <c r="J2843" s="9">
        <f>J86+J130+J147+J148+J494+J1129</f>
        <v>0</v>
      </c>
      <c r="K2843" s="9">
        <f>K86+K130+K147+K148+K494+K1129</f>
        <v>0</v>
      </c>
      <c r="L2843" s="9">
        <v>0</v>
      </c>
      <c r="M2843" s="9">
        <f t="shared" si="1453"/>
        <v>42579017.68</v>
      </c>
      <c r="N2843" s="9">
        <v>0</v>
      </c>
      <c r="O2843" s="9">
        <v>0</v>
      </c>
      <c r="P2843" s="9">
        <f t="shared" si="1455"/>
        <v>0</v>
      </c>
      <c r="Q2843" s="9">
        <f>Q86+Q130+Q147+Q148+Q494+Q1129</f>
        <v>0</v>
      </c>
      <c r="R2843" s="9">
        <f>R86+R130+R147+R148+R494+R1129</f>
        <v>0</v>
      </c>
      <c r="S2843" s="9">
        <f>S86+S130+S147+S148+S494+S1129</f>
        <v>0</v>
      </c>
      <c r="T2843" s="9">
        <v>0</v>
      </c>
      <c r="U2843" s="9">
        <f t="shared" si="1475"/>
        <v>0</v>
      </c>
      <c r="V2843" s="9">
        <f>V86+V130+V147+V148+V494+V1129</f>
        <v>126386131.19000001</v>
      </c>
      <c r="W2843" s="9">
        <f>W86+W130+W147+W148+W494+W1129</f>
        <v>3102352.6799999997</v>
      </c>
      <c r="X2843" s="9">
        <f t="shared" si="1456"/>
        <v>42579017.68</v>
      </c>
      <c r="Y2843" s="9">
        <f>Y1583</f>
        <v>0</v>
      </c>
      <c r="Z2843" s="9">
        <f t="shared" si="1458"/>
        <v>0</v>
      </c>
      <c r="AA2843" s="8">
        <f t="shared" si="1459"/>
        <v>42579017.68</v>
      </c>
      <c r="AB2843" s="18">
        <f t="shared" si="1460"/>
        <v>0</v>
      </c>
      <c r="AC2843" s="68"/>
      <c r="AD2843" s="69"/>
      <c r="AE2843" s="69"/>
      <c r="AF2843" s="69"/>
      <c r="AG2843" s="69"/>
      <c r="AH2843" s="69"/>
      <c r="AI2843" s="69"/>
      <c r="AJ2843" s="69"/>
      <c r="AK2843" s="69"/>
      <c r="AL2843" s="69"/>
      <c r="AM2843" s="69"/>
      <c r="AN2843" s="69"/>
      <c r="AO2843" s="69"/>
      <c r="AP2843" s="69"/>
      <c r="AQ2843" s="69"/>
      <c r="AR2843" s="69"/>
      <c r="AS2843" s="69"/>
      <c r="AT2843" s="69"/>
      <c r="AU2843" s="69"/>
      <c r="AV2843" s="69"/>
      <c r="AW2843" s="69"/>
      <c r="AX2843" s="69"/>
      <c r="AY2843" s="69"/>
    </row>
    <row r="2844" spans="1:51" x14ac:dyDescent="0.3">
      <c r="A2844" s="64"/>
      <c r="B2844" s="8"/>
      <c r="C2844" s="7" t="s">
        <v>1264</v>
      </c>
      <c r="D2844" s="8"/>
      <c r="E2844" s="9">
        <v>1881642.2</v>
      </c>
      <c r="F2844" s="9"/>
      <c r="G2844" s="9">
        <v>1881642.2</v>
      </c>
      <c r="H2844" s="9">
        <f>+F2844+G2844</f>
        <v>1881642.2</v>
      </c>
      <c r="I2844" s="9"/>
      <c r="J2844" s="9"/>
      <c r="K2844" s="9"/>
      <c r="L2844" s="9">
        <v>0</v>
      </c>
      <c r="M2844" s="9">
        <f t="shared" si="1453"/>
        <v>1881642.2</v>
      </c>
      <c r="N2844" s="9">
        <v>0</v>
      </c>
      <c r="O2844" s="9">
        <v>0</v>
      </c>
      <c r="P2844" s="9">
        <f>+N2844+O2844</f>
        <v>0</v>
      </c>
      <c r="Q2844" s="9"/>
      <c r="R2844" s="9"/>
      <c r="S2844" s="9"/>
      <c r="T2844" s="9">
        <v>0</v>
      </c>
      <c r="U2844" s="9">
        <f t="shared" si="1475"/>
        <v>0</v>
      </c>
      <c r="V2844" s="9"/>
      <c r="W2844" s="9"/>
      <c r="X2844" s="9">
        <f t="shared" si="1456"/>
        <v>1881642.2</v>
      </c>
      <c r="Y2844" s="9"/>
      <c r="Z2844" s="9">
        <f t="shared" si="1458"/>
        <v>0</v>
      </c>
      <c r="AA2844" s="8">
        <f t="shared" si="1459"/>
        <v>1881642.2</v>
      </c>
      <c r="AB2844" s="18">
        <f t="shared" si="1460"/>
        <v>0</v>
      </c>
      <c r="AC2844" s="68"/>
      <c r="AD2844" s="69"/>
      <c r="AE2844" s="69"/>
      <c r="AF2844" s="69"/>
      <c r="AG2844" s="69"/>
      <c r="AH2844" s="69"/>
      <c r="AI2844" s="69"/>
      <c r="AJ2844" s="69"/>
      <c r="AK2844" s="69"/>
      <c r="AL2844" s="69"/>
      <c r="AM2844" s="69"/>
      <c r="AN2844" s="69"/>
      <c r="AO2844" s="69"/>
      <c r="AP2844" s="69"/>
      <c r="AQ2844" s="69"/>
      <c r="AR2844" s="69"/>
      <c r="AS2844" s="69"/>
      <c r="AT2844" s="69"/>
      <c r="AU2844" s="69"/>
      <c r="AV2844" s="69"/>
      <c r="AW2844" s="69"/>
      <c r="AX2844" s="69"/>
      <c r="AY2844" s="69"/>
    </row>
    <row r="2845" spans="1:51" x14ac:dyDescent="0.3">
      <c r="A2845" s="64"/>
      <c r="B2845" s="8"/>
      <c r="C2845" s="14" t="s">
        <v>916</v>
      </c>
      <c r="D2845" s="8"/>
      <c r="E2845" s="9">
        <v>456799313.99000001</v>
      </c>
      <c r="F2845" s="9">
        <v>445674818.73000002</v>
      </c>
      <c r="G2845" s="9">
        <v>0</v>
      </c>
      <c r="H2845" s="9">
        <f t="shared" si="1474"/>
        <v>445674818.73000002</v>
      </c>
      <c r="I2845" s="9"/>
      <c r="J2845" s="9"/>
      <c r="K2845" s="9"/>
      <c r="L2845" s="9">
        <v>11124495.26</v>
      </c>
      <c r="M2845" s="9">
        <f>+H2845+L2845</f>
        <v>456799313.99000001</v>
      </c>
      <c r="N2845" s="9">
        <v>0</v>
      </c>
      <c r="O2845" s="9">
        <v>0</v>
      </c>
      <c r="P2845" s="9">
        <f>+N2845+O2845</f>
        <v>0</v>
      </c>
      <c r="Q2845" s="9"/>
      <c r="R2845" s="9"/>
      <c r="S2845" s="9"/>
      <c r="T2845" s="9">
        <v>0</v>
      </c>
      <c r="U2845" s="9">
        <f t="shared" si="1475"/>
        <v>0</v>
      </c>
      <c r="V2845" s="9"/>
      <c r="W2845" s="9"/>
      <c r="X2845" s="9">
        <f t="shared" si="1456"/>
        <v>445674818.73000002</v>
      </c>
      <c r="Y2845" s="9">
        <f t="shared" ref="Y2845:Y2851" si="1476">Y1584</f>
        <v>0</v>
      </c>
      <c r="Z2845" s="9">
        <f t="shared" si="1458"/>
        <v>11124495.25999999</v>
      </c>
      <c r="AA2845" s="8">
        <f t="shared" si="1459"/>
        <v>456799313.99000001</v>
      </c>
      <c r="AB2845" s="18">
        <f t="shared" si="1460"/>
        <v>0</v>
      </c>
      <c r="AC2845" s="68"/>
      <c r="AD2845" s="69"/>
      <c r="AE2845" s="69"/>
      <c r="AF2845" s="69"/>
      <c r="AG2845" s="69"/>
      <c r="AH2845" s="69"/>
      <c r="AI2845" s="69"/>
      <c r="AJ2845" s="69"/>
      <c r="AK2845" s="69"/>
      <c r="AL2845" s="69"/>
      <c r="AM2845" s="69"/>
      <c r="AN2845" s="69"/>
      <c r="AO2845" s="69"/>
      <c r="AP2845" s="69"/>
      <c r="AQ2845" s="69"/>
      <c r="AR2845" s="69"/>
      <c r="AS2845" s="69"/>
      <c r="AT2845" s="69"/>
      <c r="AU2845" s="69"/>
      <c r="AV2845" s="69"/>
      <c r="AW2845" s="69"/>
      <c r="AX2845" s="69"/>
      <c r="AY2845" s="69"/>
    </row>
    <row r="2846" spans="1:51" x14ac:dyDescent="0.3">
      <c r="A2846" s="64"/>
      <c r="B2846" s="8"/>
      <c r="C2846" s="7" t="s">
        <v>551</v>
      </c>
      <c r="D2846" s="8"/>
      <c r="E2846" s="11">
        <v>86860313.849999994</v>
      </c>
      <c r="F2846" s="11">
        <v>86860313.849999994</v>
      </c>
      <c r="G2846" s="9">
        <v>0</v>
      </c>
      <c r="H2846" s="9">
        <f t="shared" si="1474"/>
        <v>86860313.849999994</v>
      </c>
      <c r="I2846" s="11"/>
      <c r="J2846" s="11"/>
      <c r="K2846" s="11"/>
      <c r="L2846" s="11">
        <v>0</v>
      </c>
      <c r="M2846" s="9">
        <f>+H2846+L2846</f>
        <v>86860313.849999994</v>
      </c>
      <c r="N2846" s="11">
        <v>0</v>
      </c>
      <c r="O2846" s="9">
        <v>0</v>
      </c>
      <c r="P2846" s="9">
        <f>+N2846+O2846</f>
        <v>0</v>
      </c>
      <c r="Q2846" s="11"/>
      <c r="R2846" s="11"/>
      <c r="S2846" s="11"/>
      <c r="T2846" s="9">
        <v>0</v>
      </c>
      <c r="U2846" s="9">
        <f t="shared" si="1475"/>
        <v>0</v>
      </c>
      <c r="V2846" s="11"/>
      <c r="W2846" s="11"/>
      <c r="X2846" s="9">
        <f t="shared" si="1456"/>
        <v>86860313.849999994</v>
      </c>
      <c r="Y2846" s="9">
        <f t="shared" si="1476"/>
        <v>0</v>
      </c>
      <c r="Z2846" s="9">
        <f t="shared" si="1458"/>
        <v>0</v>
      </c>
      <c r="AA2846" s="8">
        <f t="shared" si="1459"/>
        <v>86860313.849999994</v>
      </c>
      <c r="AB2846" s="18">
        <f t="shared" si="1460"/>
        <v>0</v>
      </c>
      <c r="AC2846" s="68"/>
      <c r="AD2846" s="69"/>
      <c r="AE2846" s="69"/>
      <c r="AF2846" s="69"/>
      <c r="AG2846" s="69"/>
      <c r="AH2846" s="69"/>
      <c r="AI2846" s="69"/>
      <c r="AJ2846" s="69"/>
      <c r="AK2846" s="69"/>
      <c r="AL2846" s="69"/>
      <c r="AM2846" s="69"/>
      <c r="AN2846" s="69"/>
      <c r="AO2846" s="69"/>
      <c r="AP2846" s="69"/>
      <c r="AQ2846" s="69"/>
      <c r="AR2846" s="69"/>
      <c r="AS2846" s="69"/>
      <c r="AT2846" s="69"/>
      <c r="AU2846" s="69"/>
      <c r="AV2846" s="69"/>
      <c r="AW2846" s="69"/>
      <c r="AX2846" s="69"/>
      <c r="AY2846" s="69"/>
    </row>
    <row r="2847" spans="1:51" x14ac:dyDescent="0.3">
      <c r="A2847" s="64"/>
      <c r="B2847" s="8"/>
      <c r="C2847" s="14" t="s">
        <v>910</v>
      </c>
      <c r="D2847" s="8"/>
      <c r="E2847" s="11">
        <f>42879343.21+300000+497381.57+731576.48+300000+494678.84+400000+6209.02+475000+700000+3211822.02</f>
        <v>49996011.140000008</v>
      </c>
      <c r="F2847" s="11">
        <f>42283188.93+564655.85+2729845.91+700000+3211822.02</f>
        <v>49489512.710000001</v>
      </c>
      <c r="G2847" s="11">
        <v>0</v>
      </c>
      <c r="H2847" s="9">
        <f t="shared" si="1474"/>
        <v>49489512.710000001</v>
      </c>
      <c r="I2847" s="11">
        <f>I71+I2087+I1623+I2643+I2088+I1041+I178+I2740+I1064+I469+I2760+I1216+I95+I212+I1042+I2646+I1195+I1648+I1218+I1711+I120</f>
        <v>8525164.1600000001</v>
      </c>
      <c r="J2847" s="11">
        <f>J71+J2087+J1623+J2643+J2088+J1041+J178+J2740+J1064+J469+J2760+J1216+J95+J212+J1042+J2646+J1195+J1648+J1218+J1711+J120</f>
        <v>2727471.8</v>
      </c>
      <c r="K2847" s="11">
        <f>K71+K2087+K1623+K2643+K2088+K1041+K178+K2740+K1064+K469+K2760+K1216+K95+K212+K1042+K2646+K1195+K1648+K1218+K1711+K120</f>
        <v>6010692.3600000003</v>
      </c>
      <c r="L2847" s="9">
        <v>0</v>
      </c>
      <c r="M2847" s="9">
        <f t="shared" si="1453"/>
        <v>49489512.710000001</v>
      </c>
      <c r="N2847" s="11">
        <f>1880.42+6209.02</f>
        <v>8089.4400000000005</v>
      </c>
      <c r="O2847" s="9">
        <v>0</v>
      </c>
      <c r="P2847" s="9">
        <f t="shared" si="1455"/>
        <v>8089.4400000000005</v>
      </c>
      <c r="Q2847" s="11">
        <f>Q71+Q2087+Q1623+Q2643+Q2088+Q1041+Q178+Q2740+Q1064+Q469+Q2760+Q1216+Q95+Q212+Q1042+Q2646+Q1195+Q1648+Q1218+Q1711+Q120</f>
        <v>8221747.5000000009</v>
      </c>
      <c r="R2847" s="11">
        <f>R71+R2087+R1623+R2643+R2088+R1041+R178+R2740+R1064+R469+R2760+R1216+R95+R212+R1042+R2646+R1195+R1648+R1218+R1711+R120</f>
        <v>-3005346.1800000006</v>
      </c>
      <c r="S2847" s="11">
        <f>S71+S2087+S1623+S2643+S2088+S1041+S178+S2740+S1064+S469+S2760+S1216+S95+S212+S1042+S2646+S1195+S1648+S1218+S1711+S120</f>
        <v>3917.16</v>
      </c>
      <c r="T2847" s="11">
        <v>29618.01</v>
      </c>
      <c r="U2847" s="9">
        <f t="shared" si="1475"/>
        <v>37707.449999999997</v>
      </c>
      <c r="V2847" s="11">
        <f>V71+V2087+V1623+V2643+V2088+V1041+V178+V2740+V1064+V469+V2760+V1216+V95+V212+V1042+V2646+V1195+V1648+V1218+V1711+V120</f>
        <v>295073972.27000004</v>
      </c>
      <c r="W2847" s="11">
        <f>W71+W2087+W1623+W2643+W2088+W1041+W178+W2740+W1064+W469+W2760+W1216+W95+W212+W1042+W2646+W1195+W1648+W1218+W1711+W120</f>
        <v>1839084.5099999998</v>
      </c>
      <c r="X2847" s="9">
        <f t="shared" si="1456"/>
        <v>49497602.149999999</v>
      </c>
      <c r="Y2847" s="9">
        <f t="shared" si="1476"/>
        <v>0</v>
      </c>
      <c r="Z2847" s="9">
        <f t="shared" si="1458"/>
        <v>498408.99000000954</v>
      </c>
      <c r="AA2847" s="8">
        <f t="shared" si="1459"/>
        <v>49527220.160000004</v>
      </c>
      <c r="AB2847" s="18">
        <f t="shared" si="1460"/>
        <v>468790.98000000417</v>
      </c>
      <c r="AC2847" s="68"/>
      <c r="AD2847" s="69"/>
      <c r="AE2847" s="69"/>
      <c r="AF2847" s="69"/>
      <c r="AG2847" s="69"/>
      <c r="AH2847" s="69"/>
      <c r="AI2847" s="69"/>
      <c r="AJ2847" s="69"/>
      <c r="AK2847" s="69"/>
      <c r="AL2847" s="69"/>
      <c r="AM2847" s="69"/>
      <c r="AN2847" s="69"/>
      <c r="AO2847" s="69"/>
      <c r="AP2847" s="69"/>
      <c r="AQ2847" s="69"/>
      <c r="AR2847" s="69"/>
      <c r="AS2847" s="69"/>
      <c r="AT2847" s="69"/>
      <c r="AU2847" s="69"/>
      <c r="AV2847" s="69"/>
      <c r="AW2847" s="69"/>
      <c r="AX2847" s="69"/>
      <c r="AY2847" s="69"/>
    </row>
    <row r="2848" spans="1:51" x14ac:dyDescent="0.3">
      <c r="A2848" s="64"/>
      <c r="B2848" s="8"/>
      <c r="C2848" s="7" t="s">
        <v>900</v>
      </c>
      <c r="D2848" s="8"/>
      <c r="E2848" s="9">
        <v>25743984.09</v>
      </c>
      <c r="F2848" s="9">
        <f>16799588.45+475000</f>
        <v>17274588.449999999</v>
      </c>
      <c r="G2848" s="9">
        <v>0</v>
      </c>
      <c r="H2848" s="9">
        <f t="shared" si="1474"/>
        <v>17274588.449999999</v>
      </c>
      <c r="I2848" s="9">
        <f>I95+I118+I142+I156</f>
        <v>0</v>
      </c>
      <c r="J2848" s="9">
        <f>J95+J118+J142+J156</f>
        <v>0</v>
      </c>
      <c r="K2848" s="9">
        <f>K95+K118+K142+K156</f>
        <v>0</v>
      </c>
      <c r="L2848" s="9">
        <v>0</v>
      </c>
      <c r="M2848" s="9">
        <f t="shared" si="1453"/>
        <v>17274588.449999999</v>
      </c>
      <c r="N2848" s="9">
        <v>8944395.6400000006</v>
      </c>
      <c r="O2848" s="9">
        <v>0</v>
      </c>
      <c r="P2848" s="9">
        <f t="shared" si="1455"/>
        <v>8944395.6400000006</v>
      </c>
      <c r="Q2848" s="9">
        <f>Q95+Q118+Q142+Q156</f>
        <v>0</v>
      </c>
      <c r="R2848" s="9">
        <f>R95+R118+R142+R156</f>
        <v>0</v>
      </c>
      <c r="S2848" s="9">
        <f>S95+S118+S142+S156</f>
        <v>0</v>
      </c>
      <c r="T2848" s="9">
        <v>0</v>
      </c>
      <c r="U2848" s="9">
        <f t="shared" si="1475"/>
        <v>8944395.6400000006</v>
      </c>
      <c r="V2848" s="9">
        <f>V95+V118+V142+V156</f>
        <v>14798542.4</v>
      </c>
      <c r="W2848" s="9">
        <f>W95+W118+W142+W156</f>
        <v>0</v>
      </c>
      <c r="X2848" s="9">
        <f t="shared" si="1456"/>
        <v>26218984.09</v>
      </c>
      <c r="Y2848" s="9">
        <f t="shared" si="1476"/>
        <v>0</v>
      </c>
      <c r="Z2848" s="9">
        <f t="shared" si="1458"/>
        <v>-475000</v>
      </c>
      <c r="AA2848" s="8">
        <f t="shared" si="1459"/>
        <v>26218984.09</v>
      </c>
      <c r="AB2848" s="18">
        <f t="shared" si="1460"/>
        <v>-475000</v>
      </c>
      <c r="AC2848" s="68"/>
      <c r="AD2848" s="69"/>
      <c r="AE2848" s="69"/>
      <c r="AF2848" s="69"/>
      <c r="AG2848" s="69"/>
      <c r="AH2848" s="69"/>
      <c r="AI2848" s="69"/>
      <c r="AJ2848" s="69"/>
      <c r="AK2848" s="69"/>
      <c r="AL2848" s="69"/>
      <c r="AM2848" s="69"/>
      <c r="AN2848" s="69"/>
      <c r="AO2848" s="69"/>
      <c r="AP2848" s="69"/>
      <c r="AQ2848" s="69"/>
      <c r="AR2848" s="69"/>
      <c r="AS2848" s="69"/>
      <c r="AT2848" s="69"/>
      <c r="AU2848" s="69"/>
      <c r="AV2848" s="69"/>
      <c r="AW2848" s="69"/>
      <c r="AX2848" s="69"/>
      <c r="AY2848" s="69"/>
    </row>
    <row r="2849" spans="1:51" x14ac:dyDescent="0.3">
      <c r="A2849" s="64"/>
      <c r="B2849" s="8"/>
      <c r="C2849" s="7" t="s">
        <v>914</v>
      </c>
      <c r="D2849" s="8"/>
      <c r="E2849" s="9">
        <v>21999950</v>
      </c>
      <c r="F2849" s="9">
        <v>15910378.66</v>
      </c>
      <c r="G2849" s="9">
        <v>0</v>
      </c>
      <c r="H2849" s="9">
        <f t="shared" si="1474"/>
        <v>15910378.66</v>
      </c>
      <c r="I2849" s="9">
        <f>I477+I489+I502+I530+I605+I622+I638+I657</f>
        <v>0</v>
      </c>
      <c r="J2849" s="9">
        <f>J477+J489+J502+J530+J605+J622+J638+J657</f>
        <v>1000000</v>
      </c>
      <c r="K2849" s="9">
        <f>K477+K489+K502+K530+K605+K622+K638+K657</f>
        <v>0</v>
      </c>
      <c r="L2849" s="9">
        <v>0</v>
      </c>
      <c r="M2849" s="9">
        <f t="shared" si="1453"/>
        <v>15910378.66</v>
      </c>
      <c r="N2849" s="9">
        <v>3021238.47</v>
      </c>
      <c r="O2849" s="9">
        <v>0</v>
      </c>
      <c r="P2849" s="9">
        <f t="shared" si="1455"/>
        <v>3021238.47</v>
      </c>
      <c r="Q2849" s="9">
        <f>Q477+Q489+Q502+Q530+Q605+Q622+Q638+Q657</f>
        <v>0</v>
      </c>
      <c r="R2849" s="9">
        <f>R477+R489+R502+R530+R605+R622+R638+R657</f>
        <v>0</v>
      </c>
      <c r="S2849" s="9">
        <f>S477+S489+S502+S530+S605+S622+S638+S657</f>
        <v>0</v>
      </c>
      <c r="T2849" s="9">
        <v>0</v>
      </c>
      <c r="U2849" s="9">
        <f t="shared" si="1475"/>
        <v>3021238.47</v>
      </c>
      <c r="V2849" s="9">
        <f>V477+V489+V502+V530+V605+V622+V638+V657</f>
        <v>17402751.420000002</v>
      </c>
      <c r="W2849" s="9">
        <f>W477+W489+W502+W530+W605+W622+W638+W657</f>
        <v>0</v>
      </c>
      <c r="X2849" s="9">
        <f t="shared" si="1456"/>
        <v>18931617.129999999</v>
      </c>
      <c r="Y2849" s="9">
        <f t="shared" si="1476"/>
        <v>0</v>
      </c>
      <c r="Z2849" s="9">
        <f t="shared" si="1458"/>
        <v>3068332.870000001</v>
      </c>
      <c r="AA2849" s="8">
        <f t="shared" si="1459"/>
        <v>18931617.129999999</v>
      </c>
      <c r="AB2849" s="18">
        <f t="shared" si="1460"/>
        <v>3068332.870000001</v>
      </c>
      <c r="AC2849" s="68"/>
      <c r="AD2849" s="69"/>
      <c r="AE2849" s="69"/>
      <c r="AF2849" s="69"/>
      <c r="AG2849" s="69"/>
      <c r="AH2849" s="69"/>
      <c r="AI2849" s="69"/>
      <c r="AJ2849" s="69"/>
      <c r="AK2849" s="69"/>
      <c r="AL2849" s="69"/>
      <c r="AM2849" s="69"/>
      <c r="AN2849" s="69"/>
      <c r="AO2849" s="69"/>
      <c r="AP2849" s="69"/>
      <c r="AQ2849" s="69"/>
      <c r="AR2849" s="69"/>
      <c r="AS2849" s="69"/>
      <c r="AT2849" s="69"/>
      <c r="AU2849" s="69"/>
      <c r="AV2849" s="69"/>
      <c r="AW2849" s="69"/>
      <c r="AX2849" s="69"/>
      <c r="AY2849" s="69"/>
    </row>
    <row r="2850" spans="1:51" x14ac:dyDescent="0.3">
      <c r="A2850" s="64"/>
      <c r="B2850" s="8"/>
      <c r="C2850" s="7" t="s">
        <v>915</v>
      </c>
      <c r="D2850" s="8"/>
      <c r="E2850" s="9">
        <v>389880638</v>
      </c>
      <c r="F2850" s="9">
        <v>274919430.80000001</v>
      </c>
      <c r="G2850" s="9">
        <v>0</v>
      </c>
      <c r="H2850" s="9">
        <f t="shared" si="1474"/>
        <v>274919430.80000001</v>
      </c>
      <c r="I2850" s="9">
        <f>I478+I490+I503+I504+I531+I623+I639+I658+I491</f>
        <v>1029988.23</v>
      </c>
      <c r="J2850" s="9">
        <f>J478+J490+J503+J504+J531+J623+J639+J658+J491</f>
        <v>619147</v>
      </c>
      <c r="K2850" s="9">
        <f>K478+K490+K503+K504+K531+K623+K639+K658+K491</f>
        <v>0</v>
      </c>
      <c r="L2850" s="9">
        <v>0</v>
      </c>
      <c r="M2850" s="9">
        <f>+H2850+L2850</f>
        <v>274919430.80000001</v>
      </c>
      <c r="N2850" s="9">
        <v>143633.25</v>
      </c>
      <c r="O2850" s="9">
        <v>0</v>
      </c>
      <c r="P2850" s="9">
        <f t="shared" si="1455"/>
        <v>143633.25</v>
      </c>
      <c r="Q2850" s="9">
        <f>Q478+Q490+Q503+Q504+Q531+Q623+Q639+Q658+Q491</f>
        <v>0</v>
      </c>
      <c r="R2850" s="9">
        <f>R478+R490+R503+R504+R531+R623+R639+R658+R491</f>
        <v>0</v>
      </c>
      <c r="S2850" s="9">
        <f>S478+S490+S503+S504+S531+S623+S639+S658+S491</f>
        <v>0</v>
      </c>
      <c r="T2850" s="9">
        <v>0</v>
      </c>
      <c r="U2850" s="9">
        <f t="shared" si="1475"/>
        <v>143633.25</v>
      </c>
      <c r="V2850" s="9">
        <f>V478+V490+V503+V504+V531+V623+V639+V658+V491</f>
        <v>695953811.5999999</v>
      </c>
      <c r="W2850" s="9">
        <f>W478+W490+W503+W504+W531+W623+W639+W658+W491</f>
        <v>102945041.22</v>
      </c>
      <c r="X2850" s="9">
        <f t="shared" si="1456"/>
        <v>275063064.05000001</v>
      </c>
      <c r="Y2850" s="9">
        <f t="shared" si="1476"/>
        <v>0</v>
      </c>
      <c r="Z2850" s="9">
        <f t="shared" si="1458"/>
        <v>114817573.94999999</v>
      </c>
      <c r="AA2850" s="8">
        <f t="shared" si="1459"/>
        <v>275063064.05000001</v>
      </c>
      <c r="AB2850" s="18">
        <f t="shared" si="1460"/>
        <v>114817573.94999999</v>
      </c>
      <c r="AC2850" s="68"/>
      <c r="AD2850" s="69"/>
      <c r="AE2850" s="69"/>
      <c r="AF2850" s="69"/>
      <c r="AG2850" s="69"/>
      <c r="AH2850" s="69"/>
      <c r="AI2850" s="69"/>
      <c r="AJ2850" s="69"/>
      <c r="AK2850" s="69"/>
      <c r="AL2850" s="69"/>
      <c r="AM2850" s="69"/>
      <c r="AN2850" s="69"/>
      <c r="AO2850" s="69"/>
      <c r="AP2850" s="69"/>
      <c r="AQ2850" s="69"/>
      <c r="AR2850" s="69"/>
      <c r="AS2850" s="69"/>
      <c r="AT2850" s="69"/>
      <c r="AU2850" s="69"/>
      <c r="AV2850" s="69"/>
      <c r="AW2850" s="69"/>
      <c r="AX2850" s="69"/>
      <c r="AY2850" s="69"/>
    </row>
    <row r="2851" spans="1:51" x14ac:dyDescent="0.3">
      <c r="A2851" s="64"/>
      <c r="B2851" s="8"/>
      <c r="C2851" s="7" t="s">
        <v>918</v>
      </c>
      <c r="D2851" s="8"/>
      <c r="E2851" s="9">
        <f>8692033.3+14014847.21+6916499.73+963574.22</f>
        <v>30586954.460000001</v>
      </c>
      <c r="F2851" s="9">
        <f>8692033.3+14014847.21+6916499.73+963574.22</f>
        <v>30586954.460000001</v>
      </c>
      <c r="G2851" s="9">
        <v>0</v>
      </c>
      <c r="H2851" s="9">
        <f t="shared" si="1474"/>
        <v>30586954.460000001</v>
      </c>
      <c r="I2851" s="9">
        <f>I2627+I2676+I1692</f>
        <v>0</v>
      </c>
      <c r="J2851" s="9">
        <f>J2627+J2676+J1692</f>
        <v>0</v>
      </c>
      <c r="K2851" s="9">
        <f>K2627+K2676+K1692</f>
        <v>0</v>
      </c>
      <c r="L2851" s="9">
        <v>0</v>
      </c>
      <c r="M2851" s="9">
        <f t="shared" si="1453"/>
        <v>30586954.460000001</v>
      </c>
      <c r="N2851" s="9">
        <v>0</v>
      </c>
      <c r="O2851" s="9">
        <v>0</v>
      </c>
      <c r="P2851" s="9">
        <f t="shared" si="1455"/>
        <v>0</v>
      </c>
      <c r="Q2851" s="9">
        <f>Q2627+Q2676+Q1692</f>
        <v>0</v>
      </c>
      <c r="R2851" s="9">
        <f>R2627+R2676+R1692</f>
        <v>0</v>
      </c>
      <c r="S2851" s="9">
        <f>S2627+S2676+S1692</f>
        <v>0</v>
      </c>
      <c r="T2851" s="9">
        <v>0</v>
      </c>
      <c r="U2851" s="9">
        <f t="shared" si="1475"/>
        <v>0</v>
      </c>
      <c r="V2851" s="9">
        <f>V2627+V2676+V1692</f>
        <v>7710595.6200000001</v>
      </c>
      <c r="W2851" s="9">
        <f>W2627+W2676+W1692</f>
        <v>0</v>
      </c>
      <c r="X2851" s="9">
        <f t="shared" si="1456"/>
        <v>30586954.460000001</v>
      </c>
      <c r="Y2851" s="9">
        <f t="shared" si="1476"/>
        <v>0</v>
      </c>
      <c r="Z2851" s="9">
        <f t="shared" si="1458"/>
        <v>0</v>
      </c>
      <c r="AA2851" s="8">
        <f t="shared" si="1459"/>
        <v>30586954.460000001</v>
      </c>
      <c r="AB2851" s="18">
        <f t="shared" si="1460"/>
        <v>0</v>
      </c>
      <c r="AC2851" s="68"/>
      <c r="AD2851" s="69"/>
      <c r="AE2851" s="69"/>
      <c r="AF2851" s="69"/>
      <c r="AG2851" s="69"/>
      <c r="AH2851" s="69"/>
      <c r="AI2851" s="69"/>
      <c r="AJ2851" s="69"/>
      <c r="AK2851" s="69"/>
      <c r="AL2851" s="69"/>
      <c r="AM2851" s="69"/>
      <c r="AN2851" s="69"/>
      <c r="AO2851" s="69"/>
      <c r="AP2851" s="69"/>
      <c r="AQ2851" s="69"/>
      <c r="AR2851" s="69"/>
      <c r="AS2851" s="69"/>
      <c r="AT2851" s="69"/>
      <c r="AU2851" s="69"/>
      <c r="AV2851" s="69"/>
      <c r="AW2851" s="69"/>
      <c r="AX2851" s="69"/>
      <c r="AY2851" s="69"/>
    </row>
    <row r="2852" spans="1:51" x14ac:dyDescent="0.3">
      <c r="A2852" s="64"/>
      <c r="B2852" s="8"/>
      <c r="C2852" s="7" t="s">
        <v>901</v>
      </c>
      <c r="D2852" s="8"/>
      <c r="E2852" s="9">
        <v>25150521.109999999</v>
      </c>
      <c r="F2852" s="9">
        <v>24252704.399999999</v>
      </c>
      <c r="G2852" s="9">
        <v>0</v>
      </c>
      <c r="H2852" s="9">
        <f t="shared" si="1474"/>
        <v>24252704.399999999</v>
      </c>
      <c r="I2852" s="9">
        <f>I630</f>
        <v>0</v>
      </c>
      <c r="J2852" s="9">
        <f>J630</f>
        <v>0</v>
      </c>
      <c r="K2852" s="9">
        <f>K630</f>
        <v>0</v>
      </c>
      <c r="L2852" s="9">
        <v>0</v>
      </c>
      <c r="M2852" s="9">
        <f t="shared" si="1453"/>
        <v>24252704.399999999</v>
      </c>
      <c r="N2852" s="9">
        <v>897816.71</v>
      </c>
      <c r="O2852" s="9">
        <v>0</v>
      </c>
      <c r="P2852" s="9">
        <f t="shared" si="1455"/>
        <v>897816.71</v>
      </c>
      <c r="Q2852" s="9">
        <f>Q630</f>
        <v>0</v>
      </c>
      <c r="R2852" s="9">
        <f>R630</f>
        <v>0</v>
      </c>
      <c r="S2852" s="9">
        <f>S630</f>
        <v>0</v>
      </c>
      <c r="T2852" s="9">
        <v>0</v>
      </c>
      <c r="U2852" s="9">
        <f t="shared" si="1475"/>
        <v>897816.71</v>
      </c>
      <c r="V2852" s="9">
        <f>V630</f>
        <v>1950113</v>
      </c>
      <c r="W2852" s="9">
        <f>W630</f>
        <v>0</v>
      </c>
      <c r="X2852" s="9">
        <f t="shared" si="1456"/>
        <v>25150521.109999999</v>
      </c>
      <c r="Y2852" s="9">
        <f t="shared" ref="Y2852:Y2860" si="1477">Y1593</f>
        <v>0</v>
      </c>
      <c r="Z2852" s="9">
        <f t="shared" si="1458"/>
        <v>0</v>
      </c>
      <c r="AA2852" s="8">
        <f t="shared" si="1459"/>
        <v>25150521.109999999</v>
      </c>
      <c r="AB2852" s="18">
        <f t="shared" si="1460"/>
        <v>0</v>
      </c>
      <c r="AC2852" s="68"/>
      <c r="AD2852" s="69"/>
      <c r="AE2852" s="69"/>
      <c r="AF2852" s="69"/>
      <c r="AG2852" s="69"/>
      <c r="AH2852" s="69"/>
      <c r="AI2852" s="69"/>
      <c r="AJ2852" s="69"/>
      <c r="AK2852" s="69"/>
      <c r="AL2852" s="69"/>
      <c r="AM2852" s="69"/>
      <c r="AN2852" s="69"/>
      <c r="AO2852" s="69"/>
      <c r="AP2852" s="69"/>
      <c r="AQ2852" s="69"/>
      <c r="AR2852" s="69"/>
      <c r="AS2852" s="69"/>
      <c r="AT2852" s="69"/>
      <c r="AU2852" s="69"/>
      <c r="AV2852" s="69"/>
      <c r="AW2852" s="69"/>
      <c r="AX2852" s="69"/>
      <c r="AY2852" s="69"/>
    </row>
    <row r="2853" spans="1:51" x14ac:dyDescent="0.3">
      <c r="A2853" s="64"/>
      <c r="B2853" s="8"/>
      <c r="C2853" s="7" t="s">
        <v>885</v>
      </c>
      <c r="D2853" s="8"/>
      <c r="E2853" s="9">
        <v>75240727.680000007</v>
      </c>
      <c r="F2853" s="9">
        <v>71697311.810000002</v>
      </c>
      <c r="G2853" s="9">
        <v>0</v>
      </c>
      <c r="H2853" s="9">
        <f t="shared" ref="H2853:H2860" si="1478">+F2853+G2853</f>
        <v>71697311.810000002</v>
      </c>
      <c r="I2853" s="9"/>
      <c r="J2853" s="9"/>
      <c r="K2853" s="9"/>
      <c r="L2853" s="9">
        <v>0</v>
      </c>
      <c r="M2853" s="9">
        <f t="shared" ref="M2853:M2859" si="1479">+H2853+L2853</f>
        <v>71697311.810000002</v>
      </c>
      <c r="N2853" s="9">
        <v>2535113.66</v>
      </c>
      <c r="O2853" s="9">
        <v>0</v>
      </c>
      <c r="P2853" s="9">
        <f t="shared" ref="P2853:P2860" si="1480">+N2853+O2853</f>
        <v>2535113.66</v>
      </c>
      <c r="Q2853" s="9"/>
      <c r="R2853" s="9"/>
      <c r="S2853" s="9"/>
      <c r="T2853" s="9">
        <v>0</v>
      </c>
      <c r="U2853" s="9">
        <f t="shared" ref="U2853:U2860" si="1481">+P2853+T2853</f>
        <v>2535113.66</v>
      </c>
      <c r="V2853" s="9">
        <f>V631</f>
        <v>282730</v>
      </c>
      <c r="W2853" s="9">
        <f>W631</f>
        <v>0</v>
      </c>
      <c r="X2853" s="9">
        <f t="shared" si="1456"/>
        <v>74232425.469999999</v>
      </c>
      <c r="Y2853" s="9" t="str">
        <f t="shared" si="1477"/>
        <v>-</v>
      </c>
      <c r="Z2853" s="9">
        <f t="shared" si="1458"/>
        <v>1008302.2100000083</v>
      </c>
      <c r="AA2853" s="8">
        <f t="shared" si="1459"/>
        <v>74232425.469999999</v>
      </c>
      <c r="AB2853" s="18">
        <f t="shared" si="1460"/>
        <v>1008302.2100000083</v>
      </c>
      <c r="AC2853" s="68"/>
      <c r="AD2853" s="69"/>
      <c r="AE2853" s="69"/>
      <c r="AF2853" s="69"/>
      <c r="AG2853" s="69"/>
      <c r="AH2853" s="69"/>
      <c r="AI2853" s="69"/>
      <c r="AJ2853" s="69"/>
      <c r="AK2853" s="69"/>
      <c r="AL2853" s="69"/>
      <c r="AM2853" s="69"/>
      <c r="AN2853" s="69"/>
      <c r="AO2853" s="69"/>
      <c r="AP2853" s="69"/>
      <c r="AQ2853" s="69"/>
      <c r="AR2853" s="69"/>
      <c r="AS2853" s="69"/>
      <c r="AT2853" s="69"/>
      <c r="AU2853" s="69"/>
      <c r="AV2853" s="69"/>
      <c r="AW2853" s="69"/>
      <c r="AX2853" s="69"/>
      <c r="AY2853" s="69"/>
    </row>
    <row r="2854" spans="1:51" x14ac:dyDescent="0.3">
      <c r="A2854" s="64"/>
      <c r="B2854" s="8"/>
      <c r="C2854" s="7" t="s">
        <v>886</v>
      </c>
      <c r="D2854" s="8"/>
      <c r="E2854" s="9">
        <v>10245500</v>
      </c>
      <c r="F2854" s="9">
        <v>9136749</v>
      </c>
      <c r="G2854" s="9">
        <v>0</v>
      </c>
      <c r="H2854" s="9">
        <f t="shared" si="1478"/>
        <v>9136749</v>
      </c>
      <c r="I2854" s="9"/>
      <c r="J2854" s="9"/>
      <c r="K2854" s="9"/>
      <c r="L2854" s="9">
        <v>0</v>
      </c>
      <c r="M2854" s="9">
        <f t="shared" si="1479"/>
        <v>9136749</v>
      </c>
      <c r="N2854" s="9">
        <v>0</v>
      </c>
      <c r="O2854" s="9">
        <v>0</v>
      </c>
      <c r="P2854" s="9">
        <f t="shared" si="1480"/>
        <v>0</v>
      </c>
      <c r="Q2854" s="9"/>
      <c r="R2854" s="9"/>
      <c r="S2854" s="9"/>
      <c r="T2854" s="9">
        <v>0</v>
      </c>
      <c r="U2854" s="9">
        <f t="shared" si="1481"/>
        <v>0</v>
      </c>
      <c r="V2854" s="9"/>
      <c r="W2854" s="9"/>
      <c r="X2854" s="9">
        <f t="shared" si="1456"/>
        <v>9136749</v>
      </c>
      <c r="Y2854" s="9">
        <f t="shared" si="1477"/>
        <v>0</v>
      </c>
      <c r="Z2854" s="9">
        <f t="shared" si="1458"/>
        <v>1108751</v>
      </c>
      <c r="AA2854" s="8">
        <f t="shared" si="1459"/>
        <v>9136749</v>
      </c>
      <c r="AB2854" s="18">
        <f t="shared" si="1460"/>
        <v>1108751</v>
      </c>
      <c r="AC2854" s="68"/>
      <c r="AD2854" s="69"/>
      <c r="AE2854" s="69"/>
      <c r="AF2854" s="69"/>
      <c r="AG2854" s="69"/>
      <c r="AH2854" s="69"/>
      <c r="AI2854" s="69"/>
      <c r="AJ2854" s="69"/>
      <c r="AK2854" s="69"/>
      <c r="AL2854" s="69"/>
      <c r="AM2854" s="69"/>
      <c r="AN2854" s="69"/>
      <c r="AO2854" s="69"/>
      <c r="AP2854" s="69"/>
      <c r="AQ2854" s="69"/>
      <c r="AR2854" s="69"/>
      <c r="AS2854" s="69"/>
      <c r="AT2854" s="69"/>
      <c r="AU2854" s="69"/>
      <c r="AV2854" s="69"/>
      <c r="AW2854" s="69"/>
      <c r="AX2854" s="69"/>
      <c r="AY2854" s="69"/>
    </row>
    <row r="2855" spans="1:51" x14ac:dyDescent="0.3">
      <c r="A2855" s="64"/>
      <c r="B2855" s="8"/>
      <c r="C2855" s="7" t="s">
        <v>872</v>
      </c>
      <c r="D2855" s="8"/>
      <c r="E2855" s="9">
        <v>4689950</v>
      </c>
      <c r="F2855" s="9">
        <v>1500000</v>
      </c>
      <c r="G2855" s="9">
        <v>0</v>
      </c>
      <c r="H2855" s="9">
        <f t="shared" si="1478"/>
        <v>1500000</v>
      </c>
      <c r="I2855" s="9"/>
      <c r="J2855" s="9"/>
      <c r="K2855" s="9"/>
      <c r="L2855" s="9">
        <v>0</v>
      </c>
      <c r="M2855" s="9">
        <f t="shared" si="1479"/>
        <v>1500000</v>
      </c>
      <c r="N2855" s="9">
        <v>3189950</v>
      </c>
      <c r="O2855" s="9">
        <v>0</v>
      </c>
      <c r="P2855" s="9">
        <f t="shared" si="1480"/>
        <v>3189950</v>
      </c>
      <c r="Q2855" s="9"/>
      <c r="R2855" s="9"/>
      <c r="S2855" s="9"/>
      <c r="T2855" s="9">
        <v>0</v>
      </c>
      <c r="U2855" s="9">
        <f t="shared" si="1481"/>
        <v>3189950</v>
      </c>
      <c r="V2855" s="9"/>
      <c r="W2855" s="9"/>
      <c r="X2855" s="9">
        <f t="shared" si="1456"/>
        <v>4689950</v>
      </c>
      <c r="Y2855" s="9" t="str">
        <f t="shared" si="1477"/>
        <v>-</v>
      </c>
      <c r="Z2855" s="9">
        <f t="shared" si="1458"/>
        <v>0</v>
      </c>
      <c r="AA2855" s="8">
        <f t="shared" si="1459"/>
        <v>4689950</v>
      </c>
      <c r="AB2855" s="18">
        <f t="shared" si="1460"/>
        <v>0</v>
      </c>
      <c r="AC2855" s="68"/>
      <c r="AD2855" s="69"/>
      <c r="AE2855" s="69"/>
      <c r="AF2855" s="69"/>
      <c r="AG2855" s="69"/>
      <c r="AH2855" s="69"/>
      <c r="AI2855" s="69"/>
      <c r="AJ2855" s="69"/>
      <c r="AK2855" s="69"/>
      <c r="AL2855" s="69"/>
      <c r="AM2855" s="69"/>
      <c r="AN2855" s="69"/>
      <c r="AO2855" s="69"/>
      <c r="AP2855" s="69"/>
      <c r="AQ2855" s="69"/>
      <c r="AR2855" s="69"/>
      <c r="AS2855" s="69"/>
      <c r="AT2855" s="69"/>
      <c r="AU2855" s="69"/>
      <c r="AV2855" s="69"/>
      <c r="AW2855" s="69"/>
      <c r="AX2855" s="69"/>
      <c r="AY2855" s="69"/>
    </row>
    <row r="2856" spans="1:51" x14ac:dyDescent="0.3">
      <c r="A2856" s="64"/>
      <c r="B2856" s="8"/>
      <c r="C2856" s="7" t="s">
        <v>810</v>
      </c>
      <c r="D2856" s="8"/>
      <c r="E2856" s="9">
        <v>1795687.15</v>
      </c>
      <c r="F2856" s="9">
        <v>1795687.15</v>
      </c>
      <c r="G2856" s="9">
        <v>0</v>
      </c>
      <c r="H2856" s="9">
        <f t="shared" si="1478"/>
        <v>1795687.15</v>
      </c>
      <c r="I2856" s="9"/>
      <c r="J2856" s="9"/>
      <c r="K2856" s="9"/>
      <c r="L2856" s="9">
        <v>0</v>
      </c>
      <c r="M2856" s="9">
        <f t="shared" si="1479"/>
        <v>1795687.15</v>
      </c>
      <c r="N2856" s="9">
        <v>0</v>
      </c>
      <c r="O2856" s="9">
        <v>0</v>
      </c>
      <c r="P2856" s="9">
        <f t="shared" si="1480"/>
        <v>0</v>
      </c>
      <c r="Q2856" s="9"/>
      <c r="R2856" s="9"/>
      <c r="S2856" s="9"/>
      <c r="T2856" s="9">
        <v>0</v>
      </c>
      <c r="U2856" s="9">
        <f>+P2856+T2856</f>
        <v>0</v>
      </c>
      <c r="V2856" s="9"/>
      <c r="W2856" s="9"/>
      <c r="X2856" s="9">
        <f t="shared" si="1456"/>
        <v>1795687.15</v>
      </c>
      <c r="Y2856" s="9">
        <f t="shared" si="1477"/>
        <v>0</v>
      </c>
      <c r="Z2856" s="9">
        <f t="shared" si="1458"/>
        <v>0</v>
      </c>
      <c r="AA2856" s="8">
        <f t="shared" si="1459"/>
        <v>1795687.15</v>
      </c>
      <c r="AB2856" s="18">
        <f t="shared" si="1460"/>
        <v>0</v>
      </c>
      <c r="AC2856" s="68"/>
      <c r="AD2856" s="69"/>
      <c r="AE2856" s="69"/>
      <c r="AF2856" s="69"/>
      <c r="AG2856" s="69"/>
      <c r="AH2856" s="69"/>
      <c r="AI2856" s="69"/>
      <c r="AJ2856" s="69"/>
      <c r="AK2856" s="69"/>
      <c r="AL2856" s="69"/>
      <c r="AM2856" s="69"/>
      <c r="AN2856" s="69"/>
      <c r="AO2856" s="69"/>
      <c r="AP2856" s="69"/>
      <c r="AQ2856" s="69"/>
      <c r="AR2856" s="69"/>
      <c r="AS2856" s="69"/>
      <c r="AT2856" s="69"/>
      <c r="AU2856" s="69"/>
      <c r="AV2856" s="69"/>
      <c r="AW2856" s="69"/>
      <c r="AX2856" s="69"/>
      <c r="AY2856" s="69"/>
    </row>
    <row r="2857" spans="1:51" x14ac:dyDescent="0.3">
      <c r="A2857" s="64"/>
      <c r="B2857" s="8"/>
      <c r="C2857" s="7" t="s">
        <v>880</v>
      </c>
      <c r="D2857" s="8"/>
      <c r="E2857" s="8">
        <v>0</v>
      </c>
      <c r="F2857" s="8">
        <v>22904146.73</v>
      </c>
      <c r="G2857" s="9">
        <v>0</v>
      </c>
      <c r="H2857" s="9">
        <f t="shared" si="1478"/>
        <v>22904146.73</v>
      </c>
      <c r="I2857" s="8"/>
      <c r="J2857" s="8"/>
      <c r="K2857" s="8"/>
      <c r="L2857" s="8">
        <v>0</v>
      </c>
      <c r="M2857" s="9">
        <f t="shared" si="1479"/>
        <v>22904146.73</v>
      </c>
      <c r="N2857" s="8">
        <v>39027.11</v>
      </c>
      <c r="O2857" s="8">
        <v>0</v>
      </c>
      <c r="P2857" s="9">
        <f t="shared" si="1480"/>
        <v>39027.11</v>
      </c>
      <c r="Q2857" s="8"/>
      <c r="R2857" s="8"/>
      <c r="S2857" s="17"/>
      <c r="T2857" s="18">
        <v>0</v>
      </c>
      <c r="U2857" s="9">
        <f t="shared" si="1481"/>
        <v>39027.11</v>
      </c>
      <c r="V2857" s="9">
        <f>V2648+V2699+V1712</f>
        <v>20985874.120000001</v>
      </c>
      <c r="W2857" s="9">
        <f>W2648+W2699+W1712</f>
        <v>0</v>
      </c>
      <c r="X2857" s="9">
        <f t="shared" si="1456"/>
        <v>22943173.84</v>
      </c>
      <c r="Y2857" s="9">
        <f t="shared" si="1477"/>
        <v>0</v>
      </c>
      <c r="Z2857" s="9">
        <f t="shared" si="1458"/>
        <v>-22943173.84</v>
      </c>
      <c r="AA2857" s="8">
        <f t="shared" si="1459"/>
        <v>22943173.84</v>
      </c>
      <c r="AB2857" s="18">
        <f t="shared" si="1460"/>
        <v>-22943173.84</v>
      </c>
      <c r="AC2857" s="68"/>
      <c r="AD2857" s="69"/>
      <c r="AE2857" s="69"/>
      <c r="AF2857" s="69"/>
      <c r="AG2857" s="69"/>
      <c r="AH2857" s="69"/>
      <c r="AI2857" s="69"/>
      <c r="AJ2857" s="69"/>
      <c r="AK2857" s="69"/>
      <c r="AL2857" s="69"/>
      <c r="AM2857" s="69"/>
      <c r="AN2857" s="69"/>
      <c r="AO2857" s="69"/>
      <c r="AP2857" s="69"/>
      <c r="AQ2857" s="69"/>
      <c r="AR2857" s="69"/>
      <c r="AS2857" s="69"/>
      <c r="AT2857" s="69"/>
      <c r="AU2857" s="69"/>
      <c r="AV2857" s="69"/>
      <c r="AW2857" s="69"/>
      <c r="AX2857" s="69"/>
      <c r="AY2857" s="69"/>
    </row>
    <row r="2858" spans="1:51" x14ac:dyDescent="0.3">
      <c r="A2858" s="64"/>
      <c r="B2858" s="8"/>
      <c r="C2858" s="7" t="s">
        <v>873</v>
      </c>
      <c r="D2858" s="8"/>
      <c r="E2858" s="8">
        <v>25794331.739999998</v>
      </c>
      <c r="F2858" s="8">
        <v>0</v>
      </c>
      <c r="G2858" s="9">
        <v>0</v>
      </c>
      <c r="H2858" s="9">
        <f t="shared" si="1478"/>
        <v>0</v>
      </c>
      <c r="I2858" s="8"/>
      <c r="J2858" s="8"/>
      <c r="K2858" s="8"/>
      <c r="L2858" s="8">
        <v>0</v>
      </c>
      <c r="M2858" s="9">
        <f t="shared" si="1479"/>
        <v>0</v>
      </c>
      <c r="N2858" s="8">
        <v>25794331.739999998</v>
      </c>
      <c r="O2858" s="8">
        <v>0</v>
      </c>
      <c r="P2858" s="9">
        <f t="shared" si="1480"/>
        <v>25794331.739999998</v>
      </c>
      <c r="Q2858" s="8"/>
      <c r="R2858" s="8"/>
      <c r="S2858" s="17"/>
      <c r="T2858" s="18">
        <v>0</v>
      </c>
      <c r="U2858" s="9">
        <f t="shared" si="1481"/>
        <v>25794331.739999998</v>
      </c>
      <c r="V2858" s="9"/>
      <c r="W2858" s="9"/>
      <c r="X2858" s="9">
        <f t="shared" si="1456"/>
        <v>25794331.739999998</v>
      </c>
      <c r="Y2858" s="9">
        <f t="shared" si="1477"/>
        <v>0</v>
      </c>
      <c r="Z2858" s="9">
        <f t="shared" si="1458"/>
        <v>0</v>
      </c>
      <c r="AA2858" s="8">
        <f t="shared" si="1459"/>
        <v>25794331.739999998</v>
      </c>
      <c r="AB2858" s="18">
        <f t="shared" si="1460"/>
        <v>0</v>
      </c>
      <c r="AC2858" s="68"/>
      <c r="AD2858" s="69"/>
      <c r="AE2858" s="69"/>
      <c r="AF2858" s="69"/>
      <c r="AG2858" s="69"/>
      <c r="AH2858" s="69"/>
      <c r="AI2858" s="69"/>
      <c r="AJ2858" s="69"/>
      <c r="AK2858" s="69"/>
      <c r="AL2858" s="69"/>
      <c r="AM2858" s="69"/>
      <c r="AN2858" s="69"/>
      <c r="AO2858" s="69"/>
      <c r="AP2858" s="69"/>
      <c r="AQ2858" s="69"/>
      <c r="AR2858" s="69"/>
      <c r="AS2858" s="69"/>
      <c r="AT2858" s="69"/>
      <c r="AU2858" s="69"/>
      <c r="AV2858" s="69"/>
      <c r="AW2858" s="69"/>
      <c r="AX2858" s="69"/>
      <c r="AY2858" s="69"/>
    </row>
    <row r="2859" spans="1:51" x14ac:dyDescent="0.3">
      <c r="A2859" s="64"/>
      <c r="B2859" s="8"/>
      <c r="C2859" s="7" t="s">
        <v>881</v>
      </c>
      <c r="D2859" s="8"/>
      <c r="E2859" s="8">
        <v>152151335</v>
      </c>
      <c r="F2859" s="8">
        <v>0</v>
      </c>
      <c r="G2859" s="9">
        <v>0</v>
      </c>
      <c r="H2859" s="9">
        <f t="shared" si="1478"/>
        <v>0</v>
      </c>
      <c r="I2859" s="8"/>
      <c r="J2859" s="8"/>
      <c r="K2859" s="8"/>
      <c r="L2859" s="8">
        <v>0</v>
      </c>
      <c r="M2859" s="9">
        <f t="shared" si="1479"/>
        <v>0</v>
      </c>
      <c r="N2859" s="8">
        <v>152151335</v>
      </c>
      <c r="O2859" s="8">
        <v>0</v>
      </c>
      <c r="P2859" s="9">
        <f t="shared" si="1480"/>
        <v>152151335</v>
      </c>
      <c r="Q2859" s="8"/>
      <c r="R2859" s="8"/>
      <c r="S2859" s="17"/>
      <c r="T2859" s="18">
        <v>0</v>
      </c>
      <c r="U2859" s="9">
        <f t="shared" si="1481"/>
        <v>152151335</v>
      </c>
      <c r="V2859" s="9"/>
      <c r="W2859" s="9"/>
      <c r="X2859" s="9">
        <f t="shared" si="1456"/>
        <v>152151335</v>
      </c>
      <c r="Y2859" s="9">
        <f t="shared" si="1477"/>
        <v>0</v>
      </c>
      <c r="Z2859" s="9">
        <f t="shared" si="1458"/>
        <v>0</v>
      </c>
      <c r="AA2859" s="8">
        <f t="shared" si="1459"/>
        <v>152151335</v>
      </c>
      <c r="AB2859" s="18">
        <f t="shared" si="1460"/>
        <v>0</v>
      </c>
      <c r="AC2859" s="68"/>
      <c r="AD2859" s="69"/>
      <c r="AE2859" s="69"/>
      <c r="AF2859" s="69"/>
      <c r="AG2859" s="69"/>
      <c r="AH2859" s="69"/>
      <c r="AI2859" s="69"/>
      <c r="AJ2859" s="69"/>
      <c r="AK2859" s="69"/>
      <c r="AL2859" s="69"/>
      <c r="AM2859" s="69"/>
      <c r="AN2859" s="69"/>
      <c r="AO2859" s="69"/>
      <c r="AP2859" s="69"/>
      <c r="AQ2859" s="69"/>
      <c r="AR2859" s="69"/>
      <c r="AS2859" s="69"/>
      <c r="AT2859" s="69"/>
      <c r="AU2859" s="69"/>
      <c r="AV2859" s="69"/>
      <c r="AW2859" s="69"/>
      <c r="AX2859" s="69"/>
      <c r="AY2859" s="69"/>
    </row>
    <row r="2860" spans="1:51" x14ac:dyDescent="0.3">
      <c r="A2860" s="64"/>
      <c r="B2860" s="8"/>
      <c r="C2860" s="7" t="s">
        <v>882</v>
      </c>
      <c r="D2860" s="8"/>
      <c r="E2860" s="12">
        <v>35232053</v>
      </c>
      <c r="F2860" s="9">
        <v>0</v>
      </c>
      <c r="G2860" s="9">
        <v>0</v>
      </c>
      <c r="H2860" s="9">
        <f t="shared" si="1478"/>
        <v>0</v>
      </c>
      <c r="I2860" s="9"/>
      <c r="J2860" s="9"/>
      <c r="K2860" s="9"/>
      <c r="L2860" s="9">
        <v>0</v>
      </c>
      <c r="M2860" s="9">
        <f>+L2860+L2860</f>
        <v>0</v>
      </c>
      <c r="N2860" s="9">
        <v>35232053</v>
      </c>
      <c r="O2860" s="9">
        <v>0</v>
      </c>
      <c r="P2860" s="9">
        <f t="shared" si="1480"/>
        <v>35232053</v>
      </c>
      <c r="Q2860" s="9"/>
      <c r="R2860" s="9"/>
      <c r="S2860" s="17"/>
      <c r="T2860" s="18">
        <v>0</v>
      </c>
      <c r="U2860" s="9">
        <f t="shared" si="1481"/>
        <v>35232053</v>
      </c>
      <c r="V2860" s="9"/>
      <c r="W2860" s="9"/>
      <c r="X2860" s="9">
        <f t="shared" si="1456"/>
        <v>35232053</v>
      </c>
      <c r="Y2860" s="9">
        <f t="shared" si="1477"/>
        <v>0</v>
      </c>
      <c r="Z2860" s="9">
        <f t="shared" si="1458"/>
        <v>0</v>
      </c>
      <c r="AA2860" s="8">
        <f t="shared" si="1459"/>
        <v>35232053</v>
      </c>
      <c r="AB2860" s="18">
        <f t="shared" si="1460"/>
        <v>0</v>
      </c>
      <c r="AC2860" s="68"/>
      <c r="AD2860" s="69"/>
      <c r="AE2860" s="69"/>
      <c r="AF2860" s="69"/>
      <c r="AG2860" s="69"/>
      <c r="AH2860" s="69"/>
      <c r="AI2860" s="69"/>
      <c r="AJ2860" s="69"/>
      <c r="AK2860" s="69"/>
      <c r="AL2860" s="69"/>
      <c r="AM2860" s="69"/>
      <c r="AN2860" s="69"/>
      <c r="AO2860" s="69"/>
      <c r="AP2860" s="69"/>
      <c r="AQ2860" s="69"/>
      <c r="AR2860" s="69"/>
      <c r="AS2860" s="69"/>
      <c r="AT2860" s="69"/>
      <c r="AU2860" s="69"/>
      <c r="AV2860" s="69"/>
      <c r="AW2860" s="69"/>
      <c r="AX2860" s="69"/>
      <c r="AY2860" s="69"/>
    </row>
    <row r="2861" spans="1:51" x14ac:dyDescent="0.3">
      <c r="A2861" s="64"/>
      <c r="B2861" s="8"/>
      <c r="C2861" s="8"/>
      <c r="D2861" s="8"/>
      <c r="E2861" s="26" t="s">
        <v>29</v>
      </c>
      <c r="F2861" s="26" t="s">
        <v>29</v>
      </c>
      <c r="G2861" s="26" t="s">
        <v>29</v>
      </c>
      <c r="H2861" s="26" t="s">
        <v>29</v>
      </c>
      <c r="I2861" s="26" t="s">
        <v>29</v>
      </c>
      <c r="J2861" s="26" t="s">
        <v>29</v>
      </c>
      <c r="K2861" s="26" t="s">
        <v>29</v>
      </c>
      <c r="L2861" s="26" t="s">
        <v>29</v>
      </c>
      <c r="M2861" s="26" t="s">
        <v>29</v>
      </c>
      <c r="N2861" s="26" t="s">
        <v>29</v>
      </c>
      <c r="O2861" s="26" t="s">
        <v>29</v>
      </c>
      <c r="P2861" s="26" t="s">
        <v>29</v>
      </c>
      <c r="Q2861" s="26" t="s">
        <v>29</v>
      </c>
      <c r="R2861" s="26" t="s">
        <v>29</v>
      </c>
      <c r="S2861" s="26" t="s">
        <v>29</v>
      </c>
      <c r="T2861" s="26" t="s">
        <v>29</v>
      </c>
      <c r="U2861" s="26" t="s">
        <v>29</v>
      </c>
      <c r="V2861" s="26" t="s">
        <v>29</v>
      </c>
      <c r="W2861" s="26" t="s">
        <v>29</v>
      </c>
      <c r="X2861" s="26" t="s">
        <v>29</v>
      </c>
      <c r="Y2861" s="26" t="s">
        <v>29</v>
      </c>
      <c r="Z2861" s="26" t="s">
        <v>29</v>
      </c>
      <c r="AA2861" s="26" t="s">
        <v>29</v>
      </c>
      <c r="AB2861" s="26"/>
      <c r="AC2861" s="68"/>
      <c r="AD2861" s="69"/>
      <c r="AE2861" s="69"/>
      <c r="AF2861" s="69"/>
      <c r="AG2861" s="69"/>
      <c r="AH2861" s="69"/>
      <c r="AI2861" s="69"/>
      <c r="AJ2861" s="69"/>
      <c r="AK2861" s="69"/>
      <c r="AL2861" s="69"/>
      <c r="AM2861" s="69"/>
      <c r="AN2861" s="69"/>
      <c r="AO2861" s="69"/>
      <c r="AP2861" s="69"/>
      <c r="AQ2861" s="69"/>
      <c r="AR2861" s="69"/>
      <c r="AS2861" s="69"/>
      <c r="AT2861" s="69"/>
      <c r="AU2861" s="69"/>
      <c r="AV2861" s="69"/>
      <c r="AW2861" s="69"/>
      <c r="AX2861" s="69"/>
      <c r="AY2861" s="69"/>
    </row>
    <row r="2862" spans="1:51" x14ac:dyDescent="0.3">
      <c r="A2862" s="64"/>
      <c r="B2862" s="8"/>
      <c r="C2862" s="8"/>
      <c r="D2862" s="8"/>
      <c r="E2862" s="12">
        <f>SUM(E2780:E2860)</f>
        <v>6503751092.0900011</v>
      </c>
      <c r="F2862" s="12">
        <f t="shared" ref="F2862:AB2862" si="1482">SUM(F2780:F2860)</f>
        <v>5486815109.670001</v>
      </c>
      <c r="G2862" s="12">
        <f t="shared" si="1482"/>
        <v>107946476.16</v>
      </c>
      <c r="H2862" s="12">
        <f t="shared" si="1482"/>
        <v>5590782722.1999998</v>
      </c>
      <c r="I2862" s="12" t="e">
        <f t="shared" si="1482"/>
        <v>#REF!</v>
      </c>
      <c r="J2862" s="12" t="e">
        <f t="shared" si="1482"/>
        <v>#REF!</v>
      </c>
      <c r="K2862" s="12" t="e">
        <f t="shared" si="1482"/>
        <v>#REF!</v>
      </c>
      <c r="L2862" s="12">
        <f t="shared" si="1482"/>
        <v>30674586.770000003</v>
      </c>
      <c r="M2862" s="12">
        <f t="shared" si="1482"/>
        <v>5621457308.9699993</v>
      </c>
      <c r="N2862" s="12">
        <f t="shared" si="1482"/>
        <v>721775522.83000016</v>
      </c>
      <c r="O2862" s="12">
        <f t="shared" si="1482"/>
        <v>0</v>
      </c>
      <c r="P2862" s="12">
        <f t="shared" si="1482"/>
        <v>721775522.83000016</v>
      </c>
      <c r="Q2862" s="12" t="e">
        <f t="shared" si="1482"/>
        <v>#REF!</v>
      </c>
      <c r="R2862" s="12" t="e">
        <f t="shared" si="1482"/>
        <v>#REF!</v>
      </c>
      <c r="S2862" s="12" t="e">
        <f t="shared" si="1482"/>
        <v>#REF!</v>
      </c>
      <c r="T2862" s="12">
        <f t="shared" si="1482"/>
        <v>14597769.369999999</v>
      </c>
      <c r="U2862" s="12">
        <f t="shared" si="1482"/>
        <v>736373292.20000005</v>
      </c>
      <c r="V2862" s="12" t="e">
        <f t="shared" si="1482"/>
        <v>#REF!</v>
      </c>
      <c r="W2862" s="12" t="e">
        <f t="shared" si="1482"/>
        <v>#REF!</v>
      </c>
      <c r="X2862" s="12">
        <f t="shared" si="1482"/>
        <v>6312558245.0299997</v>
      </c>
      <c r="Y2862" s="12">
        <f t="shared" si="1482"/>
        <v>0</v>
      </c>
      <c r="Z2862" s="12">
        <f t="shared" si="1482"/>
        <v>187213983.43000001</v>
      </c>
      <c r="AA2862" s="12">
        <f t="shared" si="1482"/>
        <v>6357830601.170001</v>
      </c>
      <c r="AB2862" s="12">
        <f t="shared" si="1482"/>
        <v>141941627.28999984</v>
      </c>
      <c r="AC2862" s="68"/>
      <c r="AD2862" s="69"/>
      <c r="AE2862" s="69"/>
      <c r="AF2862" s="69"/>
      <c r="AG2862" s="69"/>
      <c r="AH2862" s="69"/>
      <c r="AI2862" s="69"/>
      <c r="AJ2862" s="69"/>
      <c r="AK2862" s="69"/>
      <c r="AL2862" s="69"/>
      <c r="AM2862" s="69"/>
      <c r="AN2862" s="69"/>
      <c r="AO2862" s="69"/>
      <c r="AP2862" s="69"/>
      <c r="AQ2862" s="69"/>
      <c r="AR2862" s="69"/>
      <c r="AS2862" s="69"/>
      <c r="AT2862" s="69"/>
      <c r="AU2862" s="69"/>
      <c r="AV2862" s="69"/>
      <c r="AW2862" s="69"/>
      <c r="AX2862" s="69"/>
      <c r="AY2862" s="69"/>
    </row>
    <row r="2863" spans="1:51" x14ac:dyDescent="0.3">
      <c r="A2863" s="64"/>
      <c r="B2863" s="8"/>
      <c r="C2863" s="8"/>
      <c r="D2863" s="8"/>
      <c r="E2863" s="17" t="s">
        <v>114</v>
      </c>
      <c r="F2863" s="17" t="s">
        <v>114</v>
      </c>
      <c r="G2863" s="17" t="s">
        <v>114</v>
      </c>
      <c r="H2863" s="17" t="s">
        <v>114</v>
      </c>
      <c r="I2863" s="17" t="s">
        <v>114</v>
      </c>
      <c r="J2863" s="17" t="s">
        <v>114</v>
      </c>
      <c r="K2863" s="17" t="s">
        <v>114</v>
      </c>
      <c r="L2863" s="17" t="s">
        <v>114</v>
      </c>
      <c r="M2863" s="17" t="s">
        <v>114</v>
      </c>
      <c r="N2863" s="17" t="s">
        <v>114</v>
      </c>
      <c r="O2863" s="17" t="s">
        <v>114</v>
      </c>
      <c r="P2863" s="17" t="s">
        <v>114</v>
      </c>
      <c r="Q2863" s="17" t="s">
        <v>114</v>
      </c>
      <c r="R2863" s="17" t="s">
        <v>114</v>
      </c>
      <c r="S2863" s="17" t="s">
        <v>114</v>
      </c>
      <c r="T2863" s="17" t="s">
        <v>114</v>
      </c>
      <c r="U2863" s="17" t="s">
        <v>114</v>
      </c>
      <c r="V2863" s="17" t="s">
        <v>114</v>
      </c>
      <c r="W2863" s="17" t="s">
        <v>114</v>
      </c>
      <c r="X2863" s="17" t="s">
        <v>114</v>
      </c>
      <c r="Y2863" s="17" t="s">
        <v>114</v>
      </c>
      <c r="Z2863" s="17" t="s">
        <v>114</v>
      </c>
      <c r="AA2863" s="17" t="s">
        <v>114</v>
      </c>
      <c r="AB2863" s="17" t="s">
        <v>114</v>
      </c>
      <c r="AC2863" s="68"/>
      <c r="AD2863" s="69"/>
      <c r="AE2863" s="69"/>
      <c r="AF2863" s="69"/>
      <c r="AG2863" s="69"/>
      <c r="AH2863" s="69"/>
      <c r="AI2863" s="69"/>
      <c r="AJ2863" s="69"/>
      <c r="AK2863" s="69"/>
      <c r="AL2863" s="69"/>
      <c r="AM2863" s="69"/>
      <c r="AN2863" s="69"/>
      <c r="AO2863" s="69"/>
      <c r="AP2863" s="69"/>
      <c r="AQ2863" s="69"/>
      <c r="AR2863" s="69"/>
      <c r="AS2863" s="69"/>
      <c r="AT2863" s="69"/>
      <c r="AU2863" s="69"/>
      <c r="AV2863" s="69"/>
      <c r="AW2863" s="69"/>
      <c r="AX2863" s="69"/>
      <c r="AY2863" s="69"/>
    </row>
    <row r="2864" spans="1:51" x14ac:dyDescent="0.3">
      <c r="A2864" s="64"/>
      <c r="B2864" s="8"/>
      <c r="C2864" s="8"/>
      <c r="D2864" s="8"/>
      <c r="E2864" s="18"/>
      <c r="F2864" s="18"/>
      <c r="G2864" s="18"/>
      <c r="H2864" s="18"/>
      <c r="I2864" s="18"/>
      <c r="J2864" s="18"/>
      <c r="K2864" s="18"/>
      <c r="L2864" s="18"/>
      <c r="M2864" s="18"/>
      <c r="N2864" s="18"/>
      <c r="O2864" s="18"/>
      <c r="P2864" s="18"/>
      <c r="Q2864" s="18"/>
      <c r="R2864" s="18"/>
      <c r="S2864" s="18"/>
      <c r="T2864" s="18"/>
      <c r="U2864" s="18"/>
      <c r="V2864" s="18"/>
      <c r="W2864" s="18"/>
      <c r="X2864" s="18"/>
      <c r="Y2864" s="18"/>
      <c r="Z2864" s="18"/>
      <c r="AC2864" s="68"/>
      <c r="AD2864" s="69"/>
      <c r="AE2864" s="69"/>
      <c r="AF2864" s="69"/>
      <c r="AG2864" s="69"/>
      <c r="AH2864" s="69"/>
      <c r="AI2864" s="69"/>
      <c r="AJ2864" s="69"/>
      <c r="AK2864" s="69"/>
      <c r="AL2864" s="69"/>
      <c r="AM2864" s="69"/>
      <c r="AN2864" s="69"/>
      <c r="AO2864" s="69"/>
      <c r="AP2864" s="69"/>
      <c r="AQ2864" s="69"/>
      <c r="AR2864" s="69"/>
      <c r="AS2864" s="69"/>
      <c r="AT2864" s="69"/>
      <c r="AU2864" s="69"/>
      <c r="AV2864" s="69"/>
      <c r="AW2864" s="69"/>
      <c r="AX2864" s="69"/>
      <c r="AY2864" s="69"/>
    </row>
    <row r="2865" spans="1:51" x14ac:dyDescent="0.3">
      <c r="A2865" s="64"/>
      <c r="B2865" s="8"/>
      <c r="C2865" s="8"/>
      <c r="D2865" s="7" t="s">
        <v>495</v>
      </c>
      <c r="E2865" s="7" t="s">
        <v>496</v>
      </c>
      <c r="F2865" s="8"/>
      <c r="G2865" s="22"/>
      <c r="H2865" s="8"/>
      <c r="I2865" s="8"/>
      <c r="J2865" s="8"/>
      <c r="K2865" s="8"/>
      <c r="L2865" s="8"/>
      <c r="M2865" s="8"/>
      <c r="N2865" s="8"/>
      <c r="O2865" s="8"/>
      <c r="P2865" s="8"/>
      <c r="Q2865" s="8"/>
      <c r="R2865" s="8"/>
      <c r="S2865" s="8"/>
      <c r="T2865" s="8"/>
      <c r="U2865" s="8"/>
      <c r="V2865" s="8"/>
      <c r="W2865" s="8"/>
      <c r="X2865" s="8"/>
      <c r="Y2865" s="8"/>
      <c r="Z2865" s="8"/>
      <c r="AC2865" s="68" t="s">
        <v>492</v>
      </c>
      <c r="AD2865" s="69">
        <f t="shared" ref="AD2865:AY2865" si="1483">E1669+E1689+E1584+E1564</f>
        <v>23068647.059999999</v>
      </c>
      <c r="AE2865" s="69">
        <f t="shared" si="1483"/>
        <v>23068647.059999999</v>
      </c>
      <c r="AF2865" s="69">
        <f t="shared" si="1483"/>
        <v>0</v>
      </c>
      <c r="AG2865" s="69">
        <f t="shared" si="1483"/>
        <v>23068647.059999999</v>
      </c>
      <c r="AH2865" s="69">
        <f t="shared" si="1483"/>
        <v>0</v>
      </c>
      <c r="AI2865" s="69">
        <f t="shared" si="1483"/>
        <v>0</v>
      </c>
      <c r="AJ2865" s="69">
        <f t="shared" si="1483"/>
        <v>0</v>
      </c>
      <c r="AK2865" s="69">
        <f t="shared" si="1483"/>
        <v>0</v>
      </c>
      <c r="AL2865" s="69">
        <f t="shared" si="1483"/>
        <v>23068647.059999999</v>
      </c>
      <c r="AM2865" s="69">
        <f t="shared" si="1483"/>
        <v>0</v>
      </c>
      <c r="AN2865" s="69">
        <f t="shared" si="1483"/>
        <v>0</v>
      </c>
      <c r="AO2865" s="69">
        <f t="shared" si="1483"/>
        <v>0</v>
      </c>
      <c r="AP2865" s="69">
        <f t="shared" si="1483"/>
        <v>0</v>
      </c>
      <c r="AQ2865" s="69">
        <f t="shared" si="1483"/>
        <v>0</v>
      </c>
      <c r="AR2865" s="69">
        <f t="shared" si="1483"/>
        <v>0</v>
      </c>
      <c r="AS2865" s="69">
        <f t="shared" si="1483"/>
        <v>0</v>
      </c>
      <c r="AT2865" s="69">
        <f t="shared" si="1483"/>
        <v>0</v>
      </c>
      <c r="AU2865" s="69">
        <f t="shared" si="1483"/>
        <v>23068647.059999999</v>
      </c>
      <c r="AV2865" s="69">
        <f t="shared" si="1483"/>
        <v>0</v>
      </c>
      <c r="AW2865" s="69">
        <f t="shared" si="1483"/>
        <v>23068647.059999999</v>
      </c>
      <c r="AX2865" s="69">
        <f t="shared" si="1483"/>
        <v>0</v>
      </c>
      <c r="AY2865" s="69">
        <f t="shared" si="1483"/>
        <v>0</v>
      </c>
    </row>
    <row r="2866" spans="1:51" x14ac:dyDescent="0.3">
      <c r="A2866" s="64"/>
      <c r="B2866" s="8"/>
      <c r="C2866" s="8"/>
      <c r="D2866" s="8"/>
      <c r="E2866" s="7" t="s">
        <v>497</v>
      </c>
      <c r="F2866" s="8"/>
      <c r="G2866" s="8"/>
      <c r="H2866" s="8"/>
      <c r="I2866" s="8"/>
      <c r="J2866" s="8"/>
      <c r="K2866" s="8"/>
      <c r="L2866" s="8"/>
      <c r="M2866" s="8"/>
      <c r="N2866" s="8"/>
      <c r="O2866" s="8"/>
      <c r="P2866" s="8"/>
      <c r="Q2866" s="8"/>
      <c r="R2866" s="8"/>
      <c r="S2866" s="8"/>
      <c r="T2866" s="8"/>
      <c r="U2866" s="8"/>
      <c r="V2866" s="8"/>
      <c r="W2866" s="8"/>
      <c r="X2866" s="8"/>
      <c r="Y2866" s="8"/>
      <c r="Z2866" s="8"/>
      <c r="AC2866" s="68" t="s">
        <v>493</v>
      </c>
      <c r="AD2866" s="69">
        <f t="shared" ref="AD2866:AY2866" si="1484">E2072+E2002+E2028+E2049+E2467+E2485+E2530</f>
        <v>21775643.57</v>
      </c>
      <c r="AE2866" s="69">
        <f t="shared" si="1484"/>
        <v>21775643.57</v>
      </c>
      <c r="AF2866" s="69">
        <f t="shared" si="1484"/>
        <v>0</v>
      </c>
      <c r="AG2866" s="69">
        <f t="shared" si="1484"/>
        <v>21775643.57</v>
      </c>
      <c r="AH2866" s="69">
        <f t="shared" si="1484"/>
        <v>0</v>
      </c>
      <c r="AI2866" s="69">
        <f t="shared" si="1484"/>
        <v>0</v>
      </c>
      <c r="AJ2866" s="69">
        <f t="shared" si="1484"/>
        <v>0</v>
      </c>
      <c r="AK2866" s="69">
        <f t="shared" si="1484"/>
        <v>0</v>
      </c>
      <c r="AL2866" s="69">
        <f t="shared" si="1484"/>
        <v>21775643.57</v>
      </c>
      <c r="AM2866" s="69">
        <f t="shared" si="1484"/>
        <v>0</v>
      </c>
      <c r="AN2866" s="69">
        <f t="shared" si="1484"/>
        <v>0</v>
      </c>
      <c r="AO2866" s="69">
        <f t="shared" si="1484"/>
        <v>0</v>
      </c>
      <c r="AP2866" s="69">
        <f t="shared" si="1484"/>
        <v>0</v>
      </c>
      <c r="AQ2866" s="69">
        <f t="shared" si="1484"/>
        <v>0</v>
      </c>
      <c r="AR2866" s="69">
        <f t="shared" si="1484"/>
        <v>0</v>
      </c>
      <c r="AS2866" s="69">
        <f t="shared" si="1484"/>
        <v>0</v>
      </c>
      <c r="AT2866" s="69">
        <f t="shared" si="1484"/>
        <v>0</v>
      </c>
      <c r="AU2866" s="69">
        <f t="shared" si="1484"/>
        <v>21775643.57</v>
      </c>
      <c r="AV2866" s="69">
        <f t="shared" si="1484"/>
        <v>0</v>
      </c>
      <c r="AW2866" s="69">
        <f t="shared" si="1484"/>
        <v>21775643.57</v>
      </c>
      <c r="AX2866" s="69">
        <f t="shared" si="1484"/>
        <v>0</v>
      </c>
      <c r="AY2866" s="69">
        <f t="shared" si="1484"/>
        <v>0</v>
      </c>
    </row>
    <row r="2867" spans="1:51" x14ac:dyDescent="0.3">
      <c r="A2867" s="64"/>
      <c r="B2867" s="8"/>
      <c r="C2867" s="8"/>
      <c r="D2867" s="8"/>
      <c r="E2867" s="7" t="s">
        <v>498</v>
      </c>
      <c r="F2867" s="8"/>
      <c r="G2867" s="8"/>
      <c r="H2867" s="8"/>
      <c r="I2867" s="8"/>
      <c r="J2867" s="8"/>
      <c r="K2867" s="8"/>
      <c r="L2867" s="8"/>
      <c r="M2867" s="8"/>
      <c r="N2867" s="8"/>
      <c r="O2867" s="8"/>
      <c r="P2867" s="8"/>
      <c r="Q2867" s="8"/>
      <c r="R2867" s="8"/>
      <c r="S2867" s="8"/>
      <c r="T2867" s="8"/>
      <c r="U2867" s="8"/>
      <c r="V2867" s="8"/>
      <c r="W2867" s="8"/>
      <c r="X2867" s="8"/>
      <c r="Y2867" s="8"/>
      <c r="Z2867" s="8"/>
      <c r="AC2867" s="68" t="s">
        <v>494</v>
      </c>
      <c r="AD2867" s="69">
        <f t="shared" ref="AD2867:AY2867" si="1485">E2630+E2599+E2654+E2721+E2745+E2703</f>
        <v>46819750.050000004</v>
      </c>
      <c r="AE2867" s="69">
        <f t="shared" si="1485"/>
        <v>46776325.430000007</v>
      </c>
      <c r="AF2867" s="69">
        <f t="shared" si="1485"/>
        <v>0</v>
      </c>
      <c r="AG2867" s="69">
        <f t="shared" si="1485"/>
        <v>46776325.430000007</v>
      </c>
      <c r="AH2867" s="69">
        <f t="shared" si="1485"/>
        <v>0</v>
      </c>
      <c r="AI2867" s="69">
        <f t="shared" si="1485"/>
        <v>0</v>
      </c>
      <c r="AJ2867" s="69">
        <f t="shared" si="1485"/>
        <v>0</v>
      </c>
      <c r="AK2867" s="69">
        <f t="shared" si="1485"/>
        <v>0</v>
      </c>
      <c r="AL2867" s="69">
        <f t="shared" si="1485"/>
        <v>46776325.430000007</v>
      </c>
      <c r="AM2867" s="69">
        <f t="shared" si="1485"/>
        <v>41917.07</v>
      </c>
      <c r="AN2867" s="69">
        <f t="shared" si="1485"/>
        <v>0</v>
      </c>
      <c r="AO2867" s="69">
        <f t="shared" si="1485"/>
        <v>41917.07</v>
      </c>
      <c r="AP2867" s="69">
        <f t="shared" si="1485"/>
        <v>43424.62</v>
      </c>
      <c r="AQ2867" s="69">
        <f t="shared" si="1485"/>
        <v>0</v>
      </c>
      <c r="AR2867" s="69">
        <f t="shared" si="1485"/>
        <v>0</v>
      </c>
      <c r="AS2867" s="69">
        <f t="shared" si="1485"/>
        <v>1507.55</v>
      </c>
      <c r="AT2867" s="69">
        <f t="shared" si="1485"/>
        <v>43424.62</v>
      </c>
      <c r="AU2867" s="69">
        <f t="shared" si="1485"/>
        <v>46818242.5</v>
      </c>
      <c r="AV2867" s="69">
        <f t="shared" si="1485"/>
        <v>1507.5500000002794</v>
      </c>
      <c r="AW2867" s="69">
        <f t="shared" si="1485"/>
        <v>46818242.5</v>
      </c>
      <c r="AX2867" s="69">
        <f t="shared" si="1485"/>
        <v>0</v>
      </c>
      <c r="AY2867" s="69">
        <f t="shared" si="1485"/>
        <v>1507.5500000002794</v>
      </c>
    </row>
    <row r="2868" spans="1:51" x14ac:dyDescent="0.3">
      <c r="A2868" s="64"/>
      <c r="B2868" s="8"/>
      <c r="C2868" s="8"/>
      <c r="D2868" s="8"/>
      <c r="E2868" s="8"/>
      <c r="F2868" s="8"/>
      <c r="G2868" s="8"/>
      <c r="H2868" s="8"/>
      <c r="I2868" s="8"/>
      <c r="J2868" s="8"/>
      <c r="K2868" s="8"/>
      <c r="L2868" s="8"/>
      <c r="M2868" s="8"/>
      <c r="N2868" s="8"/>
      <c r="O2868" s="8"/>
      <c r="P2868" s="8"/>
      <c r="Q2868" s="8"/>
      <c r="R2868" s="8"/>
      <c r="S2868" s="8"/>
      <c r="T2868" s="8"/>
      <c r="U2868" s="8"/>
      <c r="V2868" s="8"/>
      <c r="W2868" s="8"/>
      <c r="X2868" s="8"/>
      <c r="Y2868" s="8"/>
      <c r="Z2868" s="8"/>
      <c r="AD2868" s="70" t="s">
        <v>29</v>
      </c>
      <c r="AE2868" s="70" t="s">
        <v>29</v>
      </c>
      <c r="AF2868" s="70" t="s">
        <v>29</v>
      </c>
      <c r="AG2868" s="70" t="s">
        <v>29</v>
      </c>
      <c r="AH2868" s="70" t="s">
        <v>29</v>
      </c>
      <c r="AI2868" s="70" t="s">
        <v>29</v>
      </c>
      <c r="AJ2868" s="70" t="s">
        <v>29</v>
      </c>
      <c r="AK2868" s="70" t="s">
        <v>29</v>
      </c>
      <c r="AL2868" s="70" t="s">
        <v>29</v>
      </c>
      <c r="AM2868" s="70" t="s">
        <v>29</v>
      </c>
      <c r="AN2868" s="70" t="s">
        <v>29</v>
      </c>
      <c r="AO2868" s="70" t="s">
        <v>29</v>
      </c>
      <c r="AP2868" s="70" t="s">
        <v>29</v>
      </c>
      <c r="AQ2868" s="70" t="s">
        <v>29</v>
      </c>
      <c r="AR2868" s="70" t="s">
        <v>29</v>
      </c>
      <c r="AS2868" s="70" t="s">
        <v>29</v>
      </c>
      <c r="AT2868" s="70" t="s">
        <v>29</v>
      </c>
      <c r="AU2868" s="70" t="s">
        <v>29</v>
      </c>
      <c r="AV2868" s="70" t="s">
        <v>29</v>
      </c>
      <c r="AW2868" s="70" t="s">
        <v>29</v>
      </c>
      <c r="AX2868" s="70" t="s">
        <v>29</v>
      </c>
      <c r="AY2868" s="70" t="s">
        <v>29</v>
      </c>
    </row>
    <row r="2869" spans="1:51" x14ac:dyDescent="0.3">
      <c r="A2869" s="64"/>
      <c r="B2869" s="8"/>
      <c r="C2869" s="8"/>
      <c r="D2869" s="8"/>
      <c r="E2869" s="8"/>
      <c r="F2869" s="8"/>
      <c r="G2869" s="8"/>
      <c r="H2869" s="8"/>
      <c r="I2869" s="8"/>
      <c r="J2869" s="8"/>
      <c r="K2869" s="8"/>
      <c r="L2869" s="8"/>
      <c r="M2869" s="8"/>
      <c r="N2869" s="8"/>
      <c r="O2869" s="8"/>
      <c r="P2869" s="8"/>
      <c r="Q2869" s="8"/>
      <c r="R2869" s="8"/>
      <c r="S2869" s="8"/>
      <c r="T2869" s="8"/>
      <c r="U2869" s="8"/>
      <c r="V2869" s="8"/>
      <c r="W2869" s="8"/>
      <c r="X2869" s="8"/>
      <c r="Y2869" s="8"/>
      <c r="Z2869" s="8"/>
      <c r="AD2869" s="70"/>
      <c r="AE2869" s="70"/>
      <c r="AF2869" s="70"/>
      <c r="AG2869" s="70"/>
      <c r="AH2869" s="70"/>
      <c r="AI2869" s="70"/>
      <c r="AJ2869" s="70"/>
      <c r="AK2869" s="70"/>
      <c r="AL2869" s="70"/>
      <c r="AM2869" s="70"/>
      <c r="AN2869" s="70"/>
      <c r="AO2869" s="70"/>
      <c r="AP2869" s="70"/>
      <c r="AQ2869" s="70"/>
      <c r="AR2869" s="70"/>
      <c r="AS2869" s="70"/>
      <c r="AT2869" s="70"/>
      <c r="AU2869" s="70"/>
      <c r="AV2869" s="70"/>
      <c r="AW2869" s="70"/>
      <c r="AX2869" s="70"/>
      <c r="AY2869" s="70"/>
    </row>
    <row r="2870" spans="1:51" x14ac:dyDescent="0.3">
      <c r="A2870" s="64"/>
      <c r="B2870" s="8"/>
      <c r="C2870" s="8"/>
      <c r="D2870" s="8"/>
      <c r="E2870" s="8"/>
      <c r="F2870" s="8"/>
      <c r="G2870" s="8"/>
      <c r="H2870" s="8"/>
      <c r="I2870" s="8"/>
      <c r="J2870" s="8"/>
      <c r="K2870" s="8"/>
      <c r="L2870" s="8"/>
      <c r="M2870" s="8"/>
      <c r="N2870" s="8"/>
      <c r="O2870" s="8"/>
      <c r="P2870" s="8"/>
      <c r="Q2870" s="8"/>
      <c r="R2870" s="8"/>
      <c r="S2870" s="8"/>
      <c r="T2870" s="8"/>
      <c r="U2870" s="8"/>
      <c r="V2870" s="8"/>
      <c r="W2870" s="8"/>
      <c r="X2870" s="8"/>
      <c r="Y2870" s="8"/>
      <c r="Z2870" s="8"/>
      <c r="AD2870" s="70"/>
      <c r="AE2870" s="70"/>
      <c r="AF2870" s="70"/>
      <c r="AG2870" s="70"/>
      <c r="AH2870" s="70"/>
      <c r="AI2870" s="70"/>
      <c r="AJ2870" s="70"/>
      <c r="AK2870" s="70"/>
      <c r="AL2870" s="70"/>
      <c r="AM2870" s="70"/>
      <c r="AN2870" s="70"/>
      <c r="AO2870" s="70"/>
      <c r="AP2870" s="70"/>
      <c r="AQ2870" s="70"/>
      <c r="AR2870" s="70"/>
      <c r="AS2870" s="70"/>
      <c r="AT2870" s="70"/>
      <c r="AU2870" s="70"/>
      <c r="AV2870" s="70"/>
      <c r="AW2870" s="70"/>
      <c r="AX2870" s="70"/>
      <c r="AY2870" s="70"/>
    </row>
    <row r="2871" spans="1:51" x14ac:dyDescent="0.3">
      <c r="A2871" s="64"/>
      <c r="B2871" s="8"/>
      <c r="C2871" s="8"/>
      <c r="D2871" s="8"/>
      <c r="E2871" s="8"/>
      <c r="F2871" s="8"/>
      <c r="G2871" s="8"/>
      <c r="H2871" s="8"/>
      <c r="I2871" s="8"/>
      <c r="J2871" s="8"/>
      <c r="K2871" s="8"/>
      <c r="L2871" s="8"/>
      <c r="M2871" s="8"/>
      <c r="N2871" s="8"/>
      <c r="O2871" s="8"/>
      <c r="P2871" s="8"/>
      <c r="Q2871" s="8"/>
      <c r="R2871" s="8"/>
      <c r="S2871" s="8"/>
      <c r="T2871" s="8"/>
      <c r="U2871" s="8"/>
      <c r="V2871" s="8"/>
      <c r="W2871" s="8"/>
      <c r="X2871" s="8"/>
      <c r="Y2871" s="8"/>
      <c r="Z2871" s="8"/>
      <c r="AD2871" s="70"/>
      <c r="AE2871" s="70"/>
      <c r="AF2871" s="70"/>
      <c r="AG2871" s="70"/>
      <c r="AH2871" s="70"/>
      <c r="AI2871" s="70"/>
      <c r="AJ2871" s="70"/>
      <c r="AK2871" s="70"/>
      <c r="AL2871" s="70"/>
      <c r="AM2871" s="70"/>
      <c r="AN2871" s="70"/>
      <c r="AO2871" s="70"/>
      <c r="AP2871" s="70"/>
      <c r="AQ2871" s="70"/>
      <c r="AR2871" s="70"/>
      <c r="AS2871" s="70"/>
      <c r="AT2871" s="70"/>
      <c r="AU2871" s="70"/>
      <c r="AV2871" s="70"/>
      <c r="AW2871" s="70"/>
      <c r="AX2871" s="70"/>
      <c r="AY2871" s="70"/>
    </row>
    <row r="2872" spans="1:51" x14ac:dyDescent="0.3">
      <c r="B2872" s="8"/>
      <c r="C2872" s="8"/>
      <c r="D2872" s="8"/>
      <c r="F2872" s="8"/>
      <c r="G2872" s="8"/>
      <c r="H2872" s="8"/>
      <c r="I2872" s="8"/>
      <c r="J2872" s="8"/>
      <c r="K2872" s="8"/>
      <c r="L2872" s="8"/>
      <c r="M2872" s="8"/>
      <c r="N2872" s="8"/>
      <c r="O2872" s="8"/>
      <c r="P2872" s="8"/>
      <c r="Q2872" s="8"/>
      <c r="R2872" s="8"/>
      <c r="S2872" s="8"/>
      <c r="T2872" s="8"/>
      <c r="U2872" s="8"/>
      <c r="V2872" s="8"/>
      <c r="W2872" s="8"/>
      <c r="X2872" s="8"/>
      <c r="Y2872" s="8"/>
      <c r="Z2872" s="8"/>
      <c r="AD2872" s="70"/>
      <c r="AE2872" s="70"/>
      <c r="AF2872" s="70"/>
      <c r="AG2872" s="70"/>
      <c r="AH2872" s="70"/>
      <c r="AI2872" s="70"/>
      <c r="AJ2872" s="70"/>
      <c r="AK2872" s="70"/>
      <c r="AL2872" s="70"/>
      <c r="AM2872" s="70"/>
      <c r="AN2872" s="70"/>
      <c r="AO2872" s="70"/>
      <c r="AP2872" s="70"/>
      <c r="AQ2872" s="70"/>
      <c r="AR2872" s="70"/>
      <c r="AS2872" s="70"/>
      <c r="AT2872" s="70"/>
      <c r="AU2872" s="70"/>
      <c r="AV2872" s="70"/>
      <c r="AW2872" s="70"/>
      <c r="AX2872" s="70"/>
      <c r="AY2872" s="70"/>
    </row>
    <row r="2873" spans="1:51" x14ac:dyDescent="0.3">
      <c r="B2873" s="8" t="s">
        <v>489</v>
      </c>
      <c r="C2873" s="8"/>
      <c r="E2873" s="8"/>
      <c r="H2873" s="8" t="s">
        <v>1099</v>
      </c>
      <c r="I2873" s="8"/>
      <c r="J2873" s="8"/>
      <c r="K2873" s="8"/>
      <c r="M2873" s="8"/>
      <c r="O2873" s="8"/>
      <c r="Q2873" s="8"/>
      <c r="R2873" s="8"/>
      <c r="S2873" s="8"/>
      <c r="T2873" s="8"/>
      <c r="U2873" s="8" t="s">
        <v>1057</v>
      </c>
      <c r="V2873" s="8"/>
      <c r="W2873" s="8"/>
      <c r="X2873" s="8"/>
      <c r="Y2873" s="8"/>
      <c r="Z2873" s="8"/>
      <c r="AD2873" s="70"/>
      <c r="AE2873" s="70"/>
      <c r="AF2873" s="70"/>
      <c r="AG2873" s="70"/>
      <c r="AH2873" s="70"/>
      <c r="AI2873" s="70"/>
      <c r="AJ2873" s="70"/>
      <c r="AK2873" s="70"/>
      <c r="AL2873" s="70"/>
      <c r="AM2873" s="70"/>
      <c r="AN2873" s="70"/>
      <c r="AO2873" s="70"/>
      <c r="AP2873" s="70"/>
      <c r="AQ2873" s="70"/>
      <c r="AR2873" s="70"/>
      <c r="AS2873" s="70"/>
      <c r="AT2873" s="70"/>
      <c r="AU2873" s="70"/>
      <c r="AV2873" s="70"/>
      <c r="AW2873" s="70"/>
      <c r="AX2873" s="70"/>
      <c r="AY2873" s="70"/>
    </row>
    <row r="2874" spans="1:51" x14ac:dyDescent="0.3">
      <c r="B2874" s="8"/>
      <c r="C2874" s="8"/>
      <c r="E2874" s="8"/>
      <c r="H2874" s="8"/>
      <c r="I2874" s="8"/>
      <c r="J2874" s="8"/>
      <c r="K2874" s="8"/>
      <c r="M2874" s="8"/>
      <c r="O2874" s="8"/>
      <c r="Q2874" s="8"/>
      <c r="R2874" s="8"/>
      <c r="S2874" s="8"/>
      <c r="T2874" s="8"/>
      <c r="U2874" s="8"/>
      <c r="V2874" s="8"/>
      <c r="W2874" s="8"/>
      <c r="X2874" s="8"/>
      <c r="Y2874" s="8"/>
      <c r="Z2874" s="8"/>
      <c r="AD2874" s="70"/>
      <c r="AE2874" s="70"/>
      <c r="AF2874" s="70"/>
      <c r="AG2874" s="70"/>
      <c r="AH2874" s="70"/>
      <c r="AI2874" s="70"/>
      <c r="AJ2874" s="70"/>
      <c r="AK2874" s="70"/>
      <c r="AL2874" s="70"/>
      <c r="AM2874" s="70"/>
      <c r="AN2874" s="70"/>
      <c r="AO2874" s="70"/>
      <c r="AP2874" s="70"/>
      <c r="AQ2874" s="70"/>
      <c r="AR2874" s="70"/>
      <c r="AS2874" s="70"/>
      <c r="AT2874" s="70"/>
      <c r="AU2874" s="70"/>
      <c r="AV2874" s="70"/>
      <c r="AW2874" s="70"/>
      <c r="AX2874" s="70"/>
      <c r="AY2874" s="70"/>
    </row>
    <row r="2875" spans="1:51" x14ac:dyDescent="0.3">
      <c r="B2875" s="8"/>
      <c r="C2875" s="8"/>
      <c r="E2875" s="8"/>
      <c r="H2875" s="8"/>
      <c r="I2875" s="8"/>
      <c r="J2875" s="8"/>
      <c r="K2875" s="8"/>
      <c r="M2875" s="8"/>
      <c r="O2875" s="8"/>
      <c r="Q2875" s="8"/>
      <c r="R2875" s="8"/>
      <c r="S2875" s="8"/>
      <c r="T2875" s="8"/>
      <c r="U2875" s="8"/>
      <c r="V2875" s="8"/>
      <c r="W2875" s="8"/>
      <c r="X2875" s="8"/>
      <c r="Y2875" s="8"/>
      <c r="Z2875" s="8"/>
      <c r="AD2875" s="70"/>
      <c r="AE2875" s="70"/>
      <c r="AF2875" s="70"/>
      <c r="AG2875" s="70"/>
      <c r="AH2875" s="70"/>
      <c r="AI2875" s="70"/>
      <c r="AJ2875" s="70"/>
      <c r="AK2875" s="70"/>
      <c r="AL2875" s="70"/>
      <c r="AM2875" s="70"/>
      <c r="AN2875" s="70"/>
      <c r="AO2875" s="70"/>
      <c r="AP2875" s="70"/>
      <c r="AQ2875" s="70"/>
      <c r="AR2875" s="70"/>
      <c r="AS2875" s="70"/>
      <c r="AT2875" s="70"/>
      <c r="AU2875" s="70"/>
      <c r="AV2875" s="70"/>
      <c r="AW2875" s="70"/>
      <c r="AX2875" s="70"/>
      <c r="AY2875" s="70"/>
    </row>
    <row r="2876" spans="1:51" x14ac:dyDescent="0.3">
      <c r="B2876" s="8" t="s">
        <v>1056</v>
      </c>
      <c r="C2876" s="8"/>
      <c r="E2876" s="8"/>
      <c r="H2876" s="8" t="s">
        <v>1100</v>
      </c>
      <c r="I2876" s="8"/>
      <c r="J2876" s="8"/>
      <c r="K2876" s="8"/>
      <c r="M2876" s="8"/>
      <c r="O2876" s="8"/>
      <c r="Q2876" s="8"/>
      <c r="R2876" s="8"/>
      <c r="S2876" s="8"/>
      <c r="T2876" s="8"/>
      <c r="U2876" s="8" t="s">
        <v>1058</v>
      </c>
      <c r="V2876" s="8"/>
      <c r="W2876" s="8"/>
      <c r="X2876" s="8"/>
      <c r="Y2876" s="8"/>
      <c r="Z2876" s="8"/>
      <c r="AD2876" s="70"/>
      <c r="AE2876" s="70"/>
      <c r="AF2876" s="70"/>
      <c r="AG2876" s="70"/>
      <c r="AH2876" s="70"/>
      <c r="AI2876" s="70"/>
      <c r="AJ2876" s="70"/>
      <c r="AK2876" s="70"/>
      <c r="AL2876" s="70"/>
      <c r="AM2876" s="70"/>
      <c r="AN2876" s="70"/>
      <c r="AO2876" s="70"/>
      <c r="AP2876" s="70"/>
      <c r="AQ2876" s="70"/>
      <c r="AR2876" s="70"/>
      <c r="AS2876" s="70"/>
      <c r="AT2876" s="70"/>
      <c r="AU2876" s="70"/>
      <c r="AV2876" s="70"/>
      <c r="AW2876" s="70"/>
      <c r="AX2876" s="70"/>
      <c r="AY2876" s="70"/>
    </row>
    <row r="2877" spans="1:51" x14ac:dyDescent="0.3">
      <c r="B2877" s="8" t="s">
        <v>1055</v>
      </c>
      <c r="C2877" s="8"/>
      <c r="E2877" s="8"/>
      <c r="H2877" s="8" t="s">
        <v>1101</v>
      </c>
      <c r="I2877" s="8"/>
      <c r="J2877" s="8"/>
      <c r="K2877" s="8"/>
      <c r="M2877" s="8"/>
      <c r="O2877" s="8"/>
      <c r="Q2877" s="8"/>
      <c r="R2877" s="8"/>
      <c r="S2877" s="8"/>
      <c r="T2877" s="8"/>
      <c r="U2877" s="8" t="s">
        <v>1059</v>
      </c>
      <c r="V2877" s="8"/>
      <c r="W2877" s="8"/>
      <c r="X2877" s="8"/>
      <c r="Y2877" s="8"/>
      <c r="Z2877" s="8"/>
      <c r="AD2877" s="70"/>
      <c r="AE2877" s="70"/>
      <c r="AF2877" s="70"/>
      <c r="AG2877" s="70"/>
      <c r="AH2877" s="70"/>
      <c r="AI2877" s="70"/>
      <c r="AJ2877" s="70"/>
      <c r="AK2877" s="70"/>
      <c r="AL2877" s="70"/>
      <c r="AM2877" s="70"/>
      <c r="AN2877" s="70"/>
      <c r="AO2877" s="70"/>
      <c r="AP2877" s="70"/>
      <c r="AQ2877" s="70"/>
      <c r="AR2877" s="70"/>
      <c r="AS2877" s="70"/>
      <c r="AT2877" s="70"/>
      <c r="AU2877" s="70"/>
      <c r="AV2877" s="70"/>
      <c r="AW2877" s="70"/>
      <c r="AX2877" s="70"/>
      <c r="AY2877" s="70"/>
    </row>
    <row r="2878" spans="1:51" x14ac:dyDescent="0.3">
      <c r="A2878" s="64"/>
      <c r="B2878" s="8"/>
      <c r="C2878" s="8"/>
      <c r="D2878" s="8"/>
      <c r="E2878" s="8"/>
      <c r="F2878" s="8"/>
      <c r="G2878" s="8"/>
      <c r="H2878" s="8"/>
      <c r="I2878" s="8"/>
      <c r="J2878" s="8"/>
      <c r="K2878" s="8"/>
      <c r="L2878" s="8"/>
      <c r="M2878" s="8"/>
      <c r="N2878" s="8"/>
      <c r="O2878" s="8"/>
      <c r="P2878" s="8"/>
      <c r="Q2878" s="8"/>
      <c r="R2878" s="8"/>
      <c r="S2878" s="8"/>
      <c r="T2878" s="8"/>
      <c r="U2878" s="8"/>
      <c r="V2878" s="8"/>
      <c r="W2878" s="8"/>
      <c r="X2878" s="8"/>
      <c r="Y2878" s="8"/>
      <c r="Z2878" s="8"/>
      <c r="AD2878" s="70"/>
      <c r="AE2878" s="70"/>
      <c r="AF2878" s="70"/>
      <c r="AG2878" s="70"/>
      <c r="AH2878" s="70"/>
      <c r="AI2878" s="70"/>
      <c r="AJ2878" s="70"/>
      <c r="AK2878" s="70"/>
      <c r="AL2878" s="70"/>
      <c r="AM2878" s="70"/>
      <c r="AN2878" s="70"/>
      <c r="AO2878" s="70"/>
      <c r="AP2878" s="70"/>
      <c r="AQ2878" s="70"/>
      <c r="AR2878" s="70"/>
      <c r="AS2878" s="70"/>
      <c r="AT2878" s="70"/>
      <c r="AU2878" s="70"/>
      <c r="AV2878" s="70"/>
      <c r="AW2878" s="70"/>
      <c r="AX2878" s="70"/>
      <c r="AY2878" s="70"/>
    </row>
    <row r="2879" spans="1:51" x14ac:dyDescent="0.3">
      <c r="A2879" s="64"/>
      <c r="B2879" s="8"/>
      <c r="C2879" s="8"/>
      <c r="D2879" s="8"/>
      <c r="E2879" s="8"/>
      <c r="F2879" s="8"/>
      <c r="G2879" s="8"/>
      <c r="H2879" s="8"/>
      <c r="I2879" s="8"/>
      <c r="J2879" s="8"/>
      <c r="K2879" s="8"/>
      <c r="L2879" s="8"/>
      <c r="M2879" s="8"/>
      <c r="N2879" s="8"/>
      <c r="O2879" s="8"/>
      <c r="P2879" s="8"/>
      <c r="Q2879" s="8"/>
      <c r="R2879" s="8"/>
      <c r="S2879" s="8"/>
      <c r="T2879" s="8"/>
      <c r="U2879" s="8"/>
      <c r="V2879" s="8"/>
      <c r="W2879" s="8"/>
      <c r="X2879" s="8"/>
      <c r="Y2879" s="8"/>
      <c r="Z2879" s="8"/>
      <c r="AD2879" s="70"/>
      <c r="AE2879" s="70"/>
      <c r="AF2879" s="70"/>
      <c r="AG2879" s="70"/>
      <c r="AH2879" s="70"/>
      <c r="AI2879" s="70"/>
      <c r="AJ2879" s="70"/>
      <c r="AK2879" s="70"/>
      <c r="AL2879" s="70"/>
      <c r="AM2879" s="70"/>
      <c r="AN2879" s="70"/>
      <c r="AO2879" s="70"/>
      <c r="AP2879" s="70"/>
      <c r="AQ2879" s="70"/>
      <c r="AR2879" s="70"/>
      <c r="AS2879" s="70"/>
      <c r="AT2879" s="70"/>
      <c r="AU2879" s="70"/>
      <c r="AV2879" s="70"/>
      <c r="AW2879" s="70"/>
      <c r="AX2879" s="70"/>
      <c r="AY2879" s="70"/>
    </row>
    <row r="2880" spans="1:51" x14ac:dyDescent="0.3">
      <c r="A2880" s="64"/>
      <c r="B2880" s="8"/>
      <c r="C2880" s="8"/>
      <c r="D2880" s="8"/>
      <c r="E2880" s="8"/>
      <c r="F2880" s="8"/>
      <c r="G2880" s="8"/>
      <c r="H2880" s="8"/>
      <c r="I2880" s="8"/>
      <c r="J2880" s="8"/>
      <c r="K2880" s="8"/>
      <c r="L2880" s="8"/>
      <c r="M2880" s="8"/>
      <c r="N2880" s="8"/>
      <c r="O2880" s="8"/>
      <c r="P2880" s="8"/>
      <c r="Q2880" s="8"/>
      <c r="R2880" s="8"/>
      <c r="S2880" s="8"/>
      <c r="T2880" s="8"/>
      <c r="U2880" s="8"/>
      <c r="V2880" s="8"/>
      <c r="W2880" s="8"/>
      <c r="X2880" s="8"/>
      <c r="Y2880" s="8"/>
      <c r="Z2880" s="8"/>
      <c r="AD2880" s="70"/>
      <c r="AE2880" s="70"/>
      <c r="AF2880" s="70"/>
      <c r="AG2880" s="70"/>
      <c r="AH2880" s="70"/>
      <c r="AI2880" s="70"/>
      <c r="AJ2880" s="70"/>
      <c r="AK2880" s="70"/>
      <c r="AL2880" s="70"/>
      <c r="AM2880" s="70"/>
      <c r="AN2880" s="70"/>
      <c r="AO2880" s="70"/>
      <c r="AP2880" s="70"/>
      <c r="AQ2880" s="70"/>
      <c r="AR2880" s="70"/>
      <c r="AS2880" s="70"/>
      <c r="AT2880" s="70"/>
      <c r="AU2880" s="70"/>
      <c r="AV2880" s="70"/>
      <c r="AW2880" s="70"/>
      <c r="AX2880" s="70"/>
      <c r="AY2880" s="70"/>
    </row>
    <row r="2881" spans="1:52" x14ac:dyDescent="0.3">
      <c r="A2881" s="64"/>
      <c r="B2881" s="8"/>
      <c r="C2881" s="8"/>
      <c r="D2881" s="8"/>
      <c r="E2881" s="8"/>
      <c r="F2881" s="8"/>
      <c r="G2881" s="8"/>
      <c r="H2881" s="8"/>
      <c r="I2881" s="8"/>
      <c r="J2881" s="8"/>
      <c r="K2881" s="8"/>
      <c r="L2881" s="8"/>
      <c r="M2881" s="8"/>
      <c r="N2881" s="8"/>
      <c r="O2881" s="8"/>
      <c r="P2881" s="8"/>
      <c r="Q2881" s="8"/>
      <c r="R2881" s="8"/>
      <c r="S2881" s="8"/>
      <c r="T2881" s="8"/>
      <c r="U2881" s="8"/>
      <c r="V2881" s="8"/>
      <c r="W2881" s="8"/>
      <c r="X2881" s="8"/>
      <c r="Y2881" s="8"/>
      <c r="Z2881" s="8"/>
      <c r="AC2881" s="71"/>
      <c r="AD2881" s="72"/>
      <c r="AE2881" s="72"/>
      <c r="AF2881" s="72"/>
      <c r="AG2881" s="72"/>
      <c r="AH2881" s="72"/>
      <c r="AI2881" s="72"/>
      <c r="AJ2881" s="72"/>
      <c r="AK2881" s="72"/>
      <c r="AL2881" s="72"/>
      <c r="AM2881" s="72"/>
      <c r="AN2881" s="72"/>
      <c r="AO2881" s="72"/>
      <c r="AP2881" s="72"/>
      <c r="AQ2881" s="72"/>
      <c r="AR2881" s="72"/>
      <c r="AS2881" s="72"/>
      <c r="AT2881" s="72"/>
      <c r="AU2881" s="72"/>
      <c r="AV2881" s="72"/>
      <c r="AW2881" s="72"/>
      <c r="AX2881" s="72"/>
      <c r="AY2881" s="72"/>
    </row>
    <row r="2882" spans="1:52" x14ac:dyDescent="0.3">
      <c r="A2882" s="64"/>
      <c r="B2882" s="8"/>
      <c r="C2882" s="8"/>
      <c r="D2882" s="8"/>
      <c r="E2882" s="8"/>
      <c r="F2882" s="8"/>
      <c r="G2882" s="8"/>
      <c r="H2882" s="8"/>
      <c r="I2882" s="8"/>
      <c r="J2882" s="8"/>
      <c r="K2882" s="8"/>
      <c r="L2882" s="8"/>
      <c r="M2882" s="8"/>
      <c r="N2882" s="8"/>
      <c r="O2882" s="8"/>
      <c r="P2882" s="8"/>
      <c r="Q2882" s="8"/>
      <c r="R2882" s="8"/>
      <c r="S2882" s="8"/>
      <c r="T2882" s="8"/>
      <c r="U2882" s="8"/>
      <c r="V2882" s="8"/>
      <c r="W2882" s="8"/>
      <c r="X2882" s="8"/>
      <c r="Y2882" s="8"/>
      <c r="Z2882" s="8"/>
      <c r="AD2882" s="70"/>
      <c r="AE2882" s="70"/>
      <c r="AF2882" s="70"/>
      <c r="AG2882" s="70"/>
      <c r="AH2882" s="70"/>
      <c r="AI2882" s="70"/>
      <c r="AJ2882" s="70"/>
      <c r="AK2882" s="70"/>
      <c r="AL2882" s="70"/>
      <c r="AM2882" s="70"/>
      <c r="AN2882" s="70"/>
      <c r="AO2882" s="70"/>
      <c r="AP2882" s="70"/>
      <c r="AQ2882" s="70"/>
      <c r="AR2882" s="70"/>
      <c r="AS2882" s="70"/>
      <c r="AT2882" s="70"/>
      <c r="AU2882" s="70"/>
      <c r="AV2882" s="70"/>
      <c r="AW2882" s="70"/>
      <c r="AX2882" s="70"/>
      <c r="AY2882" s="70"/>
    </row>
    <row r="2883" spans="1:52" x14ac:dyDescent="0.3">
      <c r="A2883" s="64"/>
      <c r="B2883" s="8"/>
      <c r="C2883" s="8"/>
      <c r="D2883" s="8"/>
      <c r="E2883" s="8"/>
      <c r="F2883" s="8"/>
      <c r="G2883" s="8"/>
      <c r="H2883" s="8"/>
      <c r="I2883" s="8"/>
      <c r="J2883" s="8"/>
      <c r="K2883" s="8"/>
      <c r="L2883" s="8"/>
      <c r="M2883" s="8"/>
      <c r="N2883" s="8"/>
      <c r="O2883" s="8"/>
      <c r="P2883" s="8"/>
      <c r="Q2883" s="8"/>
      <c r="R2883" s="8"/>
      <c r="S2883" s="8"/>
      <c r="T2883" s="8"/>
      <c r="U2883" s="8"/>
      <c r="V2883" s="8"/>
      <c r="W2883" s="8"/>
      <c r="X2883" s="8"/>
      <c r="Y2883" s="8"/>
      <c r="Z2883" s="8"/>
      <c r="AB2883" s="7"/>
      <c r="AC2883" s="68"/>
      <c r="AD2883" s="69"/>
      <c r="AE2883" s="69"/>
      <c r="AF2883" s="69"/>
      <c r="AG2883" s="69"/>
      <c r="AH2883" s="69"/>
      <c r="AI2883" s="69"/>
      <c r="AJ2883" s="69"/>
      <c r="AK2883" s="69"/>
      <c r="AL2883" s="69"/>
      <c r="AM2883" s="69"/>
      <c r="AN2883" s="69"/>
      <c r="AO2883" s="69"/>
      <c r="AP2883" s="69"/>
      <c r="AQ2883" s="69"/>
      <c r="AR2883" s="69"/>
      <c r="AS2883" s="69"/>
      <c r="AT2883" s="69"/>
      <c r="AU2883" s="69"/>
      <c r="AV2883" s="69"/>
      <c r="AW2883" s="69"/>
      <c r="AX2883" s="69"/>
      <c r="AY2883" s="69"/>
    </row>
    <row r="2884" spans="1:52" x14ac:dyDescent="0.3">
      <c r="A2884" s="64"/>
      <c r="B2884" s="8"/>
      <c r="C2884" s="8" t="str">
        <f>+C2768</f>
        <v>rr</v>
      </c>
      <c r="D2884" s="8"/>
      <c r="E2884" s="8"/>
      <c r="F2884" s="8"/>
      <c r="G2884" s="8"/>
      <c r="H2884" s="8"/>
      <c r="I2884" s="8"/>
      <c r="J2884" s="8"/>
      <c r="K2884" s="8"/>
      <c r="L2884" s="8"/>
      <c r="M2884" s="8"/>
      <c r="N2884" s="8"/>
      <c r="O2884" s="8"/>
      <c r="P2884" s="8"/>
      <c r="Q2884" s="8"/>
      <c r="R2884" s="8"/>
      <c r="S2884" s="8"/>
      <c r="T2884" s="8"/>
      <c r="U2884" s="8"/>
      <c r="V2884" s="8"/>
      <c r="W2884" s="8"/>
      <c r="X2884" s="8"/>
      <c r="Y2884" s="8"/>
      <c r="Z2884" s="8"/>
      <c r="AC2884" s="68"/>
      <c r="AD2884" s="69"/>
      <c r="AE2884" s="69"/>
      <c r="AF2884" s="69"/>
      <c r="AG2884" s="69"/>
      <c r="AH2884" s="69"/>
      <c r="AI2884" s="69"/>
      <c r="AJ2884" s="69"/>
      <c r="AK2884" s="69"/>
      <c r="AL2884" s="69"/>
      <c r="AM2884" s="69"/>
      <c r="AN2884" s="69"/>
      <c r="AO2884" s="69"/>
      <c r="AP2884" s="69"/>
      <c r="AQ2884" s="69"/>
      <c r="AR2884" s="69"/>
      <c r="AS2884" s="69"/>
      <c r="AT2884" s="69"/>
      <c r="AU2884" s="69"/>
      <c r="AV2884" s="69"/>
      <c r="AW2884" s="69"/>
      <c r="AX2884" s="69"/>
      <c r="AY2884" s="69"/>
    </row>
    <row r="2885" spans="1:52" x14ac:dyDescent="0.3">
      <c r="A2885" s="64"/>
      <c r="B2885" s="8"/>
      <c r="C2885" s="8"/>
      <c r="D2885" s="8"/>
      <c r="E2885" s="8"/>
      <c r="F2885" s="8"/>
      <c r="G2885" s="8"/>
      <c r="H2885" s="8"/>
      <c r="I2885" s="8"/>
      <c r="J2885" s="8"/>
      <c r="K2885" s="8"/>
      <c r="L2885" s="8"/>
      <c r="M2885" s="8"/>
      <c r="N2885" s="8"/>
      <c r="O2885" s="8"/>
      <c r="P2885" s="8"/>
      <c r="Q2885" s="8"/>
      <c r="R2885" s="8"/>
      <c r="S2885" s="8"/>
      <c r="T2885" s="8"/>
      <c r="U2885" s="8"/>
      <c r="V2885" s="8"/>
      <c r="W2885" s="8"/>
      <c r="X2885" s="8"/>
      <c r="Y2885" s="8"/>
      <c r="Z2885" s="8"/>
      <c r="AC2885" s="68"/>
      <c r="AD2885" s="69"/>
      <c r="AE2885" s="69"/>
      <c r="AF2885" s="69"/>
      <c r="AG2885" s="69"/>
      <c r="AH2885" s="69"/>
      <c r="AI2885" s="69"/>
      <c r="AJ2885" s="69"/>
      <c r="AK2885" s="69"/>
      <c r="AL2885" s="69"/>
      <c r="AM2885" s="69"/>
      <c r="AN2885" s="69"/>
      <c r="AO2885" s="69"/>
      <c r="AP2885" s="69"/>
      <c r="AQ2885" s="69"/>
      <c r="AR2885" s="69"/>
      <c r="AS2885" s="69"/>
      <c r="AT2885" s="69"/>
      <c r="AU2885" s="69"/>
      <c r="AV2885" s="69"/>
      <c r="AW2885" s="69"/>
      <c r="AX2885" s="69"/>
      <c r="AY2885" s="69"/>
    </row>
    <row r="2886" spans="1:52" x14ac:dyDescent="0.3">
      <c r="A2886" s="64"/>
      <c r="B2886" s="8"/>
      <c r="C2886" s="8"/>
      <c r="D2886" s="8"/>
      <c r="E2886" s="8"/>
      <c r="F2886" s="8"/>
      <c r="G2886" s="8"/>
      <c r="H2886" s="8"/>
      <c r="I2886" s="8"/>
      <c r="J2886" s="8"/>
      <c r="K2886" s="8"/>
      <c r="L2886" s="8"/>
      <c r="M2886" s="8"/>
      <c r="N2886" s="8"/>
      <c r="O2886" s="8"/>
      <c r="P2886" s="8"/>
      <c r="Q2886" s="8"/>
      <c r="R2886" s="8"/>
      <c r="S2886" s="8"/>
      <c r="T2886" s="8"/>
      <c r="U2886" s="8"/>
      <c r="V2886" s="8"/>
      <c r="W2886" s="8"/>
      <c r="X2886" s="8"/>
      <c r="Y2886" s="8"/>
      <c r="Z2886" s="8"/>
      <c r="AC2886" s="68"/>
      <c r="AD2886" s="69"/>
      <c r="AE2886" s="69"/>
      <c r="AF2886" s="69"/>
      <c r="AG2886" s="69"/>
      <c r="AH2886" s="69"/>
      <c r="AI2886" s="69"/>
      <c r="AJ2886" s="69"/>
      <c r="AK2886" s="69"/>
      <c r="AL2886" s="69"/>
      <c r="AM2886" s="69"/>
      <c r="AN2886" s="69"/>
      <c r="AO2886" s="69"/>
      <c r="AP2886" s="69"/>
      <c r="AQ2886" s="69"/>
      <c r="AR2886" s="69"/>
      <c r="AS2886" s="69"/>
      <c r="AT2886" s="69"/>
      <c r="AU2886" s="69"/>
      <c r="AV2886" s="69"/>
      <c r="AW2886" s="69"/>
      <c r="AX2886" s="69"/>
      <c r="AY2886" s="69"/>
    </row>
    <row r="2887" spans="1:52" x14ac:dyDescent="0.3">
      <c r="A2887" s="64"/>
      <c r="B2887" s="8"/>
      <c r="C2887" s="8"/>
      <c r="D2887" s="8"/>
      <c r="E2887" s="8"/>
      <c r="F2887" s="8"/>
      <c r="G2887" s="8"/>
      <c r="H2887" s="8"/>
      <c r="I2887" s="8"/>
      <c r="J2887" s="8"/>
      <c r="K2887" s="8"/>
      <c r="L2887" s="8"/>
      <c r="M2887" s="8"/>
      <c r="N2887" s="8"/>
      <c r="O2887" s="8"/>
      <c r="P2887" s="8"/>
      <c r="Q2887" s="8"/>
      <c r="R2887" s="8"/>
      <c r="S2887" s="8"/>
      <c r="T2887" s="8"/>
      <c r="U2887" s="8"/>
      <c r="V2887" s="8"/>
      <c r="W2887" s="8"/>
      <c r="X2887" s="8"/>
      <c r="Y2887" s="8"/>
      <c r="Z2887" s="8"/>
      <c r="AB2887" s="7"/>
      <c r="AC2887" s="68"/>
      <c r="AD2887" s="69"/>
      <c r="AE2887" s="69"/>
      <c r="AF2887" s="69"/>
      <c r="AG2887" s="69"/>
      <c r="AH2887" s="69"/>
      <c r="AI2887" s="69"/>
      <c r="AJ2887" s="69"/>
      <c r="AK2887" s="69"/>
      <c r="AL2887" s="69"/>
      <c r="AM2887" s="69"/>
      <c r="AN2887" s="69"/>
      <c r="AO2887" s="69"/>
      <c r="AP2887" s="69"/>
      <c r="AQ2887" s="69"/>
      <c r="AR2887" s="69"/>
      <c r="AS2887" s="69"/>
      <c r="AT2887" s="69"/>
      <c r="AU2887" s="69"/>
      <c r="AV2887" s="69"/>
      <c r="AW2887" s="69"/>
      <c r="AX2887" s="69"/>
      <c r="AY2887" s="69"/>
    </row>
    <row r="2888" spans="1:52" x14ac:dyDescent="0.3">
      <c r="A2888" s="64"/>
      <c r="B2888" s="8"/>
      <c r="C2888" s="17"/>
      <c r="D2888" s="17"/>
      <c r="E2888" s="17"/>
      <c r="F2888" s="17"/>
      <c r="G2888" s="17"/>
      <c r="H2888" s="17"/>
      <c r="I2888" s="17"/>
      <c r="J2888" s="17"/>
      <c r="K2888" s="17"/>
      <c r="L2888" s="17"/>
      <c r="M2888" s="17"/>
      <c r="N2888" s="17"/>
      <c r="O2888" s="17"/>
      <c r="P2888" s="17"/>
      <c r="Q2888" s="17"/>
      <c r="R2888" s="17"/>
      <c r="S2888" s="17"/>
      <c r="T2888" s="17"/>
      <c r="U2888" s="17"/>
      <c r="V2888" s="17"/>
      <c r="W2888" s="17"/>
      <c r="X2888" s="17"/>
      <c r="Y2888" s="17"/>
      <c r="Z2888" s="17"/>
      <c r="AC2888" s="68"/>
      <c r="AD2888" s="69"/>
      <c r="AE2888" s="69"/>
      <c r="AF2888" s="69"/>
      <c r="AG2888" s="69"/>
      <c r="AH2888" s="69"/>
      <c r="AI2888" s="69"/>
      <c r="AJ2888" s="69"/>
      <c r="AK2888" s="69"/>
      <c r="AL2888" s="69"/>
      <c r="AM2888" s="69"/>
      <c r="AN2888" s="69"/>
      <c r="AO2888" s="69"/>
      <c r="AP2888" s="69"/>
      <c r="AQ2888" s="69"/>
      <c r="AR2888" s="69"/>
      <c r="AS2888" s="69"/>
      <c r="AT2888" s="69"/>
      <c r="AU2888" s="69"/>
      <c r="AV2888" s="69"/>
      <c r="AW2888" s="69"/>
      <c r="AX2888" s="69"/>
      <c r="AY2888" s="69"/>
    </row>
    <row r="2889" spans="1:52" x14ac:dyDescent="0.3">
      <c r="A2889" s="64" t="s">
        <v>1102</v>
      </c>
      <c r="B2889" s="8"/>
      <c r="C2889" s="7" t="s">
        <v>499</v>
      </c>
      <c r="D2889" s="8"/>
      <c r="E2889" s="8"/>
      <c r="F2889" s="8"/>
      <c r="G2889" s="8"/>
      <c r="H2889" s="8"/>
      <c r="I2889" s="8"/>
      <c r="J2889" s="8"/>
      <c r="K2889" s="8"/>
      <c r="L2889" s="8"/>
      <c r="M2889" s="8"/>
      <c r="N2889" s="8"/>
      <c r="O2889" s="8"/>
      <c r="P2889" s="8"/>
      <c r="Q2889" s="8"/>
      <c r="R2889" s="8"/>
      <c r="S2889" s="8"/>
      <c r="T2889" s="8"/>
      <c r="U2889" s="8"/>
      <c r="V2889" s="8"/>
      <c r="W2889" s="8"/>
      <c r="X2889" s="8"/>
      <c r="Y2889" s="8"/>
      <c r="Z2889" s="8"/>
      <c r="AC2889" s="68"/>
      <c r="AD2889" s="69"/>
      <c r="AE2889" s="69"/>
      <c r="AF2889" s="69"/>
      <c r="AG2889" s="69"/>
      <c r="AH2889" s="69"/>
      <c r="AI2889" s="69"/>
      <c r="AJ2889" s="69"/>
      <c r="AK2889" s="69"/>
      <c r="AL2889" s="69"/>
      <c r="AM2889" s="69"/>
      <c r="AN2889" s="69"/>
      <c r="AO2889" s="69"/>
      <c r="AP2889" s="69"/>
      <c r="AQ2889" s="69"/>
      <c r="AR2889" s="69"/>
      <c r="AS2889" s="69"/>
      <c r="AT2889" s="69"/>
      <c r="AU2889" s="69"/>
      <c r="AV2889" s="69"/>
      <c r="AW2889" s="69"/>
      <c r="AX2889" s="69"/>
      <c r="AY2889" s="69"/>
      <c r="AZ2889" s="69"/>
    </row>
    <row r="2890" spans="1:52" x14ac:dyDescent="0.3">
      <c r="A2890" s="64"/>
      <c r="B2890" s="8"/>
      <c r="C2890" s="9" t="str">
        <f>B3</f>
        <v>AS OF  MAY  31,  2006</v>
      </c>
      <c r="D2890" s="8"/>
      <c r="E2890" s="8"/>
      <c r="F2890" s="8"/>
      <c r="G2890" s="8"/>
      <c r="H2890" s="8"/>
      <c r="I2890" s="8"/>
      <c r="J2890" s="8"/>
      <c r="K2890" s="8"/>
      <c r="L2890" s="8"/>
      <c r="M2890" s="8"/>
      <c r="N2890" s="8"/>
      <c r="O2890" s="8"/>
      <c r="P2890" s="8"/>
      <c r="Q2890" s="8"/>
      <c r="R2890" s="8"/>
      <c r="S2890" s="8"/>
      <c r="T2890" s="8"/>
      <c r="U2890" s="8"/>
      <c r="V2890" s="8"/>
      <c r="W2890" s="8"/>
      <c r="X2890" s="8"/>
      <c r="Y2890" s="8"/>
      <c r="Z2890" s="8"/>
      <c r="AC2890" s="68"/>
      <c r="AD2890" s="69"/>
      <c r="AE2890" s="69"/>
      <c r="AF2890" s="69"/>
      <c r="AG2890" s="69"/>
      <c r="AH2890" s="69"/>
      <c r="AI2890" s="69"/>
      <c r="AJ2890" s="69"/>
      <c r="AK2890" s="69"/>
      <c r="AL2890" s="69"/>
      <c r="AM2890" s="69"/>
      <c r="AN2890" s="69"/>
      <c r="AO2890" s="69"/>
      <c r="AP2890" s="69"/>
      <c r="AQ2890" s="69"/>
      <c r="AR2890" s="69"/>
      <c r="AS2890" s="69"/>
      <c r="AT2890" s="69"/>
      <c r="AU2890" s="69"/>
      <c r="AV2890" s="69"/>
      <c r="AW2890" s="69"/>
      <c r="AX2890" s="69"/>
      <c r="AY2890" s="69"/>
    </row>
    <row r="2891" spans="1:52" x14ac:dyDescent="0.3">
      <c r="A2891" s="64"/>
      <c r="B2891" s="8"/>
      <c r="C2891" s="9"/>
      <c r="D2891" s="8"/>
      <c r="E2891" s="8"/>
      <c r="F2891" s="8"/>
      <c r="G2891" s="8"/>
      <c r="H2891" s="8"/>
      <c r="I2891" s="8"/>
      <c r="J2891" s="8"/>
      <c r="K2891" s="8"/>
      <c r="L2891" s="8"/>
      <c r="M2891" s="8"/>
      <c r="N2891" s="8"/>
      <c r="O2891" s="8"/>
      <c r="P2891" s="8"/>
      <c r="Q2891" s="8"/>
      <c r="R2891" s="8"/>
      <c r="S2891" s="8"/>
      <c r="T2891" s="8"/>
      <c r="U2891" s="8"/>
      <c r="V2891" s="8"/>
      <c r="W2891" s="8"/>
      <c r="X2891" s="8"/>
      <c r="Y2891" s="8"/>
      <c r="Z2891" s="8"/>
      <c r="AC2891" s="68"/>
      <c r="AD2891" s="69"/>
      <c r="AE2891" s="69"/>
      <c r="AF2891" s="69"/>
      <c r="AG2891" s="69"/>
      <c r="AH2891" s="69"/>
      <c r="AI2891" s="69"/>
      <c r="AJ2891" s="69"/>
      <c r="AK2891" s="69"/>
      <c r="AL2891" s="69"/>
      <c r="AM2891" s="69"/>
      <c r="AN2891" s="69"/>
      <c r="AO2891" s="69"/>
      <c r="AP2891" s="69"/>
      <c r="AQ2891" s="69"/>
      <c r="AR2891" s="69"/>
      <c r="AS2891" s="69"/>
      <c r="AT2891" s="69"/>
      <c r="AU2891" s="69"/>
      <c r="AV2891" s="69"/>
      <c r="AW2891" s="69"/>
      <c r="AX2891" s="69"/>
      <c r="AY2891" s="69"/>
    </row>
    <row r="2892" spans="1:52" x14ac:dyDescent="0.3">
      <c r="A2892" s="64"/>
      <c r="B2892" s="8"/>
      <c r="C2892" s="8"/>
      <c r="D2892" s="8"/>
      <c r="E2892" s="8"/>
      <c r="F2892" s="8"/>
      <c r="G2892" s="8"/>
      <c r="H2892" s="8"/>
      <c r="I2892" s="8"/>
      <c r="J2892" s="8"/>
      <c r="K2892" s="8"/>
      <c r="L2892" s="8"/>
      <c r="M2892" s="8"/>
      <c r="N2892" s="8"/>
      <c r="O2892" s="8"/>
      <c r="P2892" s="8"/>
      <c r="Q2892" s="8"/>
      <c r="R2892" s="8"/>
      <c r="S2892" s="8"/>
      <c r="T2892" s="8"/>
      <c r="U2892" s="8"/>
      <c r="V2892" s="8"/>
      <c r="W2892" s="8"/>
      <c r="X2892" s="8"/>
      <c r="Y2892" s="8"/>
      <c r="Z2892" s="8"/>
      <c r="AC2892" s="68"/>
      <c r="AD2892" s="69"/>
      <c r="AE2892" s="69"/>
      <c r="AF2892" s="69"/>
      <c r="AG2892" s="69"/>
      <c r="AH2892" s="69"/>
      <c r="AI2892" s="69"/>
      <c r="AJ2892" s="69"/>
      <c r="AK2892" s="69"/>
      <c r="AL2892" s="69"/>
      <c r="AM2892" s="69"/>
      <c r="AN2892" s="69"/>
      <c r="AO2892" s="69"/>
      <c r="AP2892" s="69"/>
      <c r="AQ2892" s="69"/>
      <c r="AR2892" s="69"/>
      <c r="AS2892" s="69"/>
      <c r="AT2892" s="69"/>
      <c r="AU2892" s="69"/>
      <c r="AV2892" s="69"/>
      <c r="AW2892" s="69"/>
      <c r="AX2892" s="69"/>
      <c r="AY2892" s="69"/>
    </row>
    <row r="2893" spans="1:52" x14ac:dyDescent="0.3">
      <c r="A2893" s="64"/>
      <c r="B2893" s="8"/>
      <c r="C2893" s="8"/>
      <c r="D2893" s="29" t="s">
        <v>0</v>
      </c>
      <c r="E2893" s="8"/>
      <c r="F2893" s="8"/>
      <c r="G2893" s="15" t="s">
        <v>1</v>
      </c>
      <c r="H2893" s="9"/>
      <c r="I2893" s="15" t="s">
        <v>2</v>
      </c>
      <c r="J2893" s="8"/>
      <c r="K2893" s="15" t="s">
        <v>2</v>
      </c>
      <c r="L2893" s="15" t="s">
        <v>3</v>
      </c>
      <c r="M2893" s="15" t="s">
        <v>3</v>
      </c>
      <c r="N2893" s="8"/>
      <c r="O2893" s="15" t="s">
        <v>4</v>
      </c>
      <c r="P2893" s="9"/>
      <c r="Q2893" s="8"/>
      <c r="R2893" s="8"/>
      <c r="S2893" s="15" t="s">
        <v>2</v>
      </c>
      <c r="T2893" s="15" t="s">
        <v>3</v>
      </c>
      <c r="U2893" s="15" t="s">
        <v>3</v>
      </c>
      <c r="V2893" s="15" t="s">
        <v>3</v>
      </c>
      <c r="W2893" s="15" t="s">
        <v>5</v>
      </c>
      <c r="X2893" s="15" t="s">
        <v>3</v>
      </c>
      <c r="Y2893" s="15" t="s">
        <v>2</v>
      </c>
      <c r="Z2893" s="15" t="s">
        <v>5</v>
      </c>
      <c r="AA2893" s="51" t="s">
        <v>1109</v>
      </c>
      <c r="AB2893" s="51" t="s">
        <v>5</v>
      </c>
      <c r="AD2893" s="70"/>
      <c r="AE2893" s="70"/>
      <c r="AF2893" s="70"/>
      <c r="AG2893" s="70"/>
      <c r="AH2893" s="70"/>
      <c r="AI2893" s="70"/>
      <c r="AJ2893" s="70"/>
      <c r="AK2893" s="70"/>
      <c r="AL2893" s="70"/>
      <c r="AM2893" s="70"/>
      <c r="AN2893" s="70"/>
      <c r="AO2893" s="70"/>
      <c r="AP2893" s="70"/>
      <c r="AQ2893" s="70"/>
      <c r="AR2893" s="70"/>
      <c r="AS2893" s="70"/>
      <c r="AT2893" s="70"/>
      <c r="AU2893" s="70"/>
      <c r="AV2893" s="70"/>
      <c r="AW2893" s="70"/>
      <c r="AX2893" s="70"/>
      <c r="AY2893" s="70"/>
    </row>
    <row r="2894" spans="1:52" x14ac:dyDescent="0.3">
      <c r="A2894" s="64"/>
      <c r="B2894" s="8"/>
      <c r="C2894" s="8"/>
      <c r="D2894" s="29" t="s">
        <v>6</v>
      </c>
      <c r="E2894" s="15" t="s">
        <v>7</v>
      </c>
      <c r="F2894" s="15" t="s">
        <v>8</v>
      </c>
      <c r="G2894" s="15" t="s">
        <v>9</v>
      </c>
      <c r="H2894" s="9"/>
      <c r="I2894" s="15" t="s">
        <v>10</v>
      </c>
      <c r="J2894" s="15" t="s">
        <v>11</v>
      </c>
      <c r="K2894" s="15" t="s">
        <v>12</v>
      </c>
      <c r="L2894" s="15" t="s">
        <v>1</v>
      </c>
      <c r="M2894" s="15" t="s">
        <v>1</v>
      </c>
      <c r="N2894" s="15" t="s">
        <v>4</v>
      </c>
      <c r="O2894" s="15" t="s">
        <v>12</v>
      </c>
      <c r="P2894" s="9"/>
      <c r="Q2894" s="15" t="s">
        <v>2</v>
      </c>
      <c r="R2894" s="15" t="s">
        <v>11</v>
      </c>
      <c r="S2894" s="15" t="s">
        <v>12</v>
      </c>
      <c r="T2894" s="15" t="s">
        <v>13</v>
      </c>
      <c r="U2894" s="15" t="s">
        <v>13</v>
      </c>
      <c r="V2894" s="15" t="s">
        <v>9</v>
      </c>
      <c r="W2894" s="15" t="s">
        <v>14</v>
      </c>
      <c r="X2894" s="15" t="s">
        <v>9</v>
      </c>
      <c r="Y2894" s="15" t="s">
        <v>15</v>
      </c>
      <c r="Z2894" s="15" t="s">
        <v>14</v>
      </c>
      <c r="AA2894" s="51" t="s">
        <v>9</v>
      </c>
      <c r="AB2894" s="51" t="s">
        <v>14</v>
      </c>
      <c r="AC2894" s="71"/>
      <c r="AD2894" s="72"/>
      <c r="AE2894" s="72"/>
      <c r="AF2894" s="72"/>
      <c r="AG2894" s="72"/>
      <c r="AH2894" s="72"/>
      <c r="AI2894" s="72"/>
      <c r="AJ2894" s="72"/>
      <c r="AK2894" s="72"/>
      <c r="AL2894" s="72"/>
      <c r="AM2894" s="72"/>
      <c r="AN2894" s="72"/>
      <c r="AO2894" s="72"/>
      <c r="AP2894" s="72"/>
      <c r="AQ2894" s="72"/>
      <c r="AR2894" s="72"/>
      <c r="AS2894" s="72"/>
      <c r="AT2894" s="72"/>
      <c r="AU2894" s="72"/>
      <c r="AV2894" s="72"/>
      <c r="AW2894" s="72"/>
      <c r="AX2894" s="72"/>
      <c r="AY2894" s="72"/>
    </row>
    <row r="2895" spans="1:52" x14ac:dyDescent="0.3">
      <c r="A2895" s="64"/>
      <c r="B2895" s="8"/>
      <c r="C2895" s="15"/>
      <c r="D2895" s="29" t="s">
        <v>17</v>
      </c>
      <c r="E2895" s="33" t="s">
        <v>18</v>
      </c>
      <c r="F2895" s="33" t="str">
        <f>+F6</f>
        <v>AS OF 04/30/06</v>
      </c>
      <c r="G2895" s="33" t="s">
        <v>19</v>
      </c>
      <c r="H2895" s="33" t="s">
        <v>20</v>
      </c>
      <c r="I2895" s="33" t="s">
        <v>21</v>
      </c>
      <c r="J2895" s="33" t="s">
        <v>22</v>
      </c>
      <c r="K2895" s="33" t="s">
        <v>21</v>
      </c>
      <c r="L2895" s="33" t="s">
        <v>2</v>
      </c>
      <c r="M2895" s="33" t="s">
        <v>9</v>
      </c>
      <c r="N2895" s="33" t="str">
        <f>+F2895</f>
        <v>AS OF 04/30/06</v>
      </c>
      <c r="O2895" s="33" t="s">
        <v>21</v>
      </c>
      <c r="P2895" s="33" t="s">
        <v>20</v>
      </c>
      <c r="Q2895" s="33" t="s">
        <v>23</v>
      </c>
      <c r="R2895" s="33" t="s">
        <v>24</v>
      </c>
      <c r="S2895" s="33" t="s">
        <v>21</v>
      </c>
      <c r="T2895" s="33" t="s">
        <v>2</v>
      </c>
      <c r="U2895" s="33" t="s">
        <v>9</v>
      </c>
      <c r="V2895" s="33" t="s">
        <v>25</v>
      </c>
      <c r="W2895" s="34" t="s">
        <v>26</v>
      </c>
      <c r="X2895" s="52" t="s">
        <v>1113</v>
      </c>
      <c r="Y2895" s="33" t="s">
        <v>27</v>
      </c>
      <c r="Z2895" s="52" t="s">
        <v>1113</v>
      </c>
      <c r="AA2895" s="52" t="s">
        <v>1110</v>
      </c>
      <c r="AB2895" s="52" t="s">
        <v>1110</v>
      </c>
      <c r="AD2895" s="70"/>
      <c r="AE2895" s="70"/>
      <c r="AF2895" s="70"/>
      <c r="AG2895" s="70"/>
      <c r="AH2895" s="70"/>
      <c r="AI2895" s="70"/>
      <c r="AJ2895" s="70"/>
      <c r="AK2895" s="70"/>
      <c r="AL2895" s="70"/>
      <c r="AM2895" s="70"/>
      <c r="AN2895" s="70"/>
      <c r="AO2895" s="70"/>
      <c r="AP2895" s="70"/>
      <c r="AQ2895" s="70"/>
      <c r="AR2895" s="70"/>
      <c r="AS2895" s="70"/>
      <c r="AT2895" s="70"/>
      <c r="AU2895" s="70"/>
      <c r="AV2895" s="70"/>
      <c r="AW2895" s="70"/>
      <c r="AX2895" s="70"/>
      <c r="AY2895" s="70"/>
    </row>
    <row r="2896" spans="1:52" x14ac:dyDescent="0.3">
      <c r="A2896" s="64"/>
      <c r="B2896" s="8"/>
      <c r="C2896" s="16"/>
      <c r="D2896" s="30" t="s">
        <v>29</v>
      </c>
      <c r="E2896" s="7"/>
      <c r="F2896" s="16"/>
      <c r="G2896" s="7"/>
      <c r="H2896" s="16"/>
      <c r="I2896" s="7"/>
      <c r="J2896" s="7"/>
      <c r="K2896" s="7"/>
      <c r="L2896" s="16"/>
      <c r="M2896" s="7"/>
      <c r="N2896" s="17"/>
      <c r="O2896" s="7"/>
      <c r="P2896" s="7"/>
      <c r="Q2896" s="7"/>
      <c r="R2896" s="7"/>
      <c r="S2896" s="7"/>
      <c r="T2896" s="16"/>
      <c r="U2896" s="7"/>
      <c r="V2896" s="7"/>
      <c r="W2896" s="17"/>
      <c r="X2896" s="7"/>
      <c r="Y2896" s="7"/>
      <c r="Z2896" s="7"/>
      <c r="AA2896" s="13"/>
      <c r="AB2896" s="7"/>
    </row>
    <row r="2897" spans="1:28" x14ac:dyDescent="0.3">
      <c r="A2897" s="64"/>
      <c r="B2897" s="8"/>
      <c r="C2897" s="8"/>
      <c r="D2897" s="8"/>
      <c r="E2897" s="8"/>
      <c r="F2897" s="8"/>
      <c r="G2897" s="8"/>
      <c r="H2897" s="8"/>
      <c r="I2897" s="8"/>
      <c r="J2897" s="8"/>
      <c r="K2897" s="8"/>
      <c r="L2897" s="8"/>
      <c r="M2897" s="8"/>
      <c r="N2897" s="8"/>
      <c r="O2897" s="8"/>
      <c r="P2897" s="8"/>
      <c r="Q2897" s="8"/>
      <c r="R2897" s="8"/>
      <c r="S2897" s="8"/>
      <c r="T2897" s="8"/>
      <c r="U2897" s="8"/>
      <c r="V2897" s="8"/>
      <c r="W2897" s="8"/>
      <c r="X2897" s="9"/>
      <c r="Y2897" s="8"/>
      <c r="Z2897" s="8"/>
    </row>
    <row r="2898" spans="1:28" x14ac:dyDescent="0.3">
      <c r="A2898" s="64"/>
      <c r="B2898" s="8"/>
      <c r="C2898" s="7" t="s">
        <v>500</v>
      </c>
      <c r="D2898" s="8"/>
      <c r="E2898" s="9">
        <f t="shared" ref="E2898:AB2898" si="1486">+E132</f>
        <v>353896063.74000001</v>
      </c>
      <c r="F2898" s="9">
        <f t="shared" si="1486"/>
        <v>273117142.43000001</v>
      </c>
      <c r="G2898" s="9">
        <f t="shared" si="1486"/>
        <v>0</v>
      </c>
      <c r="H2898" s="9">
        <f t="shared" si="1486"/>
        <v>273117142.43000001</v>
      </c>
      <c r="I2898" s="9">
        <f t="shared" si="1486"/>
        <v>1122000</v>
      </c>
      <c r="J2898" s="9">
        <f t="shared" si="1486"/>
        <v>1122000</v>
      </c>
      <c r="K2898" s="9">
        <f t="shared" si="1486"/>
        <v>0</v>
      </c>
      <c r="L2898" s="9">
        <f t="shared" si="1486"/>
        <v>0</v>
      </c>
      <c r="M2898" s="9">
        <f t="shared" si="1486"/>
        <v>273117142.43000001</v>
      </c>
      <c r="N2898" s="9">
        <f t="shared" si="1486"/>
        <v>75916920.410000011</v>
      </c>
      <c r="O2898" s="9">
        <f t="shared" si="1486"/>
        <v>0</v>
      </c>
      <c r="P2898" s="9">
        <f t="shared" si="1486"/>
        <v>75916920.410000011</v>
      </c>
      <c r="Q2898" s="9">
        <f t="shared" si="1486"/>
        <v>0</v>
      </c>
      <c r="R2898" s="9">
        <f t="shared" si="1486"/>
        <v>0</v>
      </c>
      <c r="S2898" s="9">
        <f t="shared" si="1486"/>
        <v>31498.43</v>
      </c>
      <c r="T2898" s="9">
        <f t="shared" si="1486"/>
        <v>29618.01</v>
      </c>
      <c r="U2898" s="9">
        <f t="shared" si="1486"/>
        <v>75946538.420000002</v>
      </c>
      <c r="V2898" s="9">
        <f t="shared" si="1486"/>
        <v>345796129.38</v>
      </c>
      <c r="W2898" s="9">
        <f t="shared" si="1486"/>
        <v>4862000.8999999985</v>
      </c>
      <c r="X2898" s="9">
        <f t="shared" si="1486"/>
        <v>349034062.84000003</v>
      </c>
      <c r="Y2898" s="9">
        <f t="shared" si="1486"/>
        <v>0</v>
      </c>
      <c r="Z2898" s="9">
        <f t="shared" si="1486"/>
        <v>4862000.8999999985</v>
      </c>
      <c r="AA2898" s="9">
        <f t="shared" si="1486"/>
        <v>349063680.85000002</v>
      </c>
      <c r="AB2898" s="9">
        <f t="shared" si="1486"/>
        <v>4832382.8899999987</v>
      </c>
    </row>
    <row r="2899" spans="1:28" x14ac:dyDescent="0.3">
      <c r="A2899" s="64"/>
      <c r="B2899" s="8"/>
      <c r="C2899" s="8"/>
      <c r="D2899" s="8"/>
      <c r="E2899" s="8"/>
      <c r="F2899" s="8"/>
      <c r="G2899" s="8"/>
      <c r="H2899" s="8"/>
      <c r="I2899" s="8"/>
      <c r="J2899" s="8"/>
      <c r="K2899" s="8"/>
      <c r="L2899" s="8"/>
      <c r="M2899" s="8"/>
      <c r="N2899" s="8"/>
      <c r="O2899" s="8"/>
      <c r="P2899" s="8"/>
      <c r="Q2899" s="8"/>
      <c r="R2899" s="8"/>
      <c r="S2899" s="8"/>
      <c r="T2899" s="8"/>
      <c r="U2899" s="8"/>
      <c r="V2899" s="8"/>
      <c r="W2899" s="8"/>
      <c r="X2899" s="8"/>
      <c r="Y2899" s="8"/>
      <c r="Z2899" s="8"/>
    </row>
    <row r="2900" spans="1:28" x14ac:dyDescent="0.3">
      <c r="A2900" s="64"/>
      <c r="B2900" s="8"/>
      <c r="C2900" s="7" t="s">
        <v>501</v>
      </c>
      <c r="D2900" s="8"/>
      <c r="E2900" s="9">
        <f>+E237</f>
        <v>255613403.35999998</v>
      </c>
      <c r="F2900" s="9">
        <f t="shared" ref="F2900:X2900" si="1487">+F237</f>
        <v>197713063.22000003</v>
      </c>
      <c r="G2900" s="9">
        <f t="shared" si="1487"/>
        <v>0</v>
      </c>
      <c r="H2900" s="9">
        <f t="shared" si="1487"/>
        <v>197713063.22000003</v>
      </c>
      <c r="I2900" s="9">
        <f t="shared" si="1487"/>
        <v>127959683</v>
      </c>
      <c r="J2900" s="9">
        <f t="shared" si="1487"/>
        <v>2729474</v>
      </c>
      <c r="K2900" s="9">
        <f t="shared" si="1487"/>
        <v>130689157</v>
      </c>
      <c r="L2900" s="9">
        <f t="shared" si="1487"/>
        <v>2729474</v>
      </c>
      <c r="M2900" s="9">
        <f t="shared" si="1487"/>
        <v>200442537.22000003</v>
      </c>
      <c r="N2900" s="9">
        <f t="shared" si="1487"/>
        <v>53078531.840000004</v>
      </c>
      <c r="O2900" s="9">
        <f t="shared" si="1487"/>
        <v>0</v>
      </c>
      <c r="P2900" s="9">
        <f t="shared" si="1487"/>
        <v>53078531.840000004</v>
      </c>
      <c r="Q2900" s="9">
        <f t="shared" si="1487"/>
        <v>140334356.09</v>
      </c>
      <c r="R2900" s="9">
        <f t="shared" si="1487"/>
        <v>-63833191.310000002</v>
      </c>
      <c r="S2900" s="9">
        <f t="shared" si="1487"/>
        <v>0</v>
      </c>
      <c r="T2900" s="9">
        <f t="shared" si="1487"/>
        <v>11573.67</v>
      </c>
      <c r="U2900" s="9">
        <f t="shared" si="1487"/>
        <v>53090105.510000005</v>
      </c>
      <c r="V2900" s="9">
        <f t="shared" si="1487"/>
        <v>211172063.23999998</v>
      </c>
      <c r="W2900" s="9">
        <f t="shared" si="1487"/>
        <v>29216149.730000008</v>
      </c>
      <c r="X2900" s="9">
        <f t="shared" si="1487"/>
        <v>250791595.05999997</v>
      </c>
      <c r="Y2900" s="9">
        <f>+Y134</f>
        <v>0</v>
      </c>
      <c r="Z2900" s="9">
        <f>+Z237</f>
        <v>4821808.2999999989</v>
      </c>
      <c r="AA2900" s="9">
        <f>+AA237</f>
        <v>253532642.72999999</v>
      </c>
      <c r="AB2900" s="9">
        <f>+AB237</f>
        <v>2080760.6299999985</v>
      </c>
    </row>
    <row r="2901" spans="1:28" x14ac:dyDescent="0.3">
      <c r="A2901" s="64"/>
      <c r="B2901" s="8"/>
      <c r="C2901" s="7"/>
      <c r="D2901" s="8"/>
      <c r="E2901" s="9"/>
      <c r="F2901" s="9"/>
      <c r="G2901" s="9"/>
      <c r="H2901" s="9"/>
      <c r="I2901" s="9"/>
      <c r="J2901" s="9"/>
      <c r="K2901" s="9"/>
      <c r="L2901" s="9"/>
      <c r="M2901" s="9"/>
      <c r="N2901" s="9"/>
      <c r="O2901" s="9"/>
      <c r="P2901" s="9"/>
      <c r="Q2901" s="9"/>
      <c r="R2901" s="9"/>
      <c r="S2901" s="9"/>
      <c r="T2901" s="9"/>
      <c r="U2901" s="9"/>
      <c r="V2901" s="9"/>
      <c r="W2901" s="9"/>
      <c r="X2901" s="9"/>
      <c r="Y2901" s="9"/>
      <c r="Z2901" s="9"/>
      <c r="AA2901" s="9"/>
      <c r="AB2901" s="9"/>
    </row>
    <row r="2902" spans="1:28" x14ac:dyDescent="0.3">
      <c r="A2902" s="64"/>
      <c r="B2902" s="8"/>
      <c r="C2902" s="8" t="s">
        <v>919</v>
      </c>
      <c r="D2902" s="8"/>
      <c r="E2902" s="8">
        <f>+E422</f>
        <v>309441961.84999996</v>
      </c>
      <c r="F2902" s="8">
        <f t="shared" ref="F2902:X2902" si="1488">+F422</f>
        <v>250971044.03</v>
      </c>
      <c r="G2902" s="8">
        <f t="shared" si="1488"/>
        <v>0</v>
      </c>
      <c r="H2902" s="8">
        <f t="shared" si="1488"/>
        <v>250971044.03</v>
      </c>
      <c r="I2902" s="8">
        <f t="shared" si="1488"/>
        <v>3439438</v>
      </c>
      <c r="J2902" s="8">
        <f t="shared" si="1488"/>
        <v>226900595.94999999</v>
      </c>
      <c r="K2902" s="8">
        <f t="shared" si="1488"/>
        <v>53407788.140000001</v>
      </c>
      <c r="L2902" s="8">
        <f t="shared" si="1488"/>
        <v>3439438</v>
      </c>
      <c r="M2902" s="8">
        <f t="shared" si="1488"/>
        <v>254410482.03</v>
      </c>
      <c r="N2902" s="8">
        <f t="shared" si="1488"/>
        <v>53431510.839999996</v>
      </c>
      <c r="O2902" s="8">
        <f t="shared" si="1488"/>
        <v>0</v>
      </c>
      <c r="P2902" s="8">
        <f t="shared" si="1488"/>
        <v>53431510.839999996</v>
      </c>
      <c r="Q2902" s="8">
        <f t="shared" si="1488"/>
        <v>27061636.740000002</v>
      </c>
      <c r="R2902" s="8">
        <f t="shared" si="1488"/>
        <v>0</v>
      </c>
      <c r="S2902" s="8">
        <f t="shared" si="1488"/>
        <v>0</v>
      </c>
      <c r="T2902" s="8">
        <f t="shared" si="1488"/>
        <v>88582.650000000009</v>
      </c>
      <c r="U2902" s="8">
        <f t="shared" si="1488"/>
        <v>53520093.489999995</v>
      </c>
      <c r="V2902" s="8">
        <f t="shared" si="1488"/>
        <v>0</v>
      </c>
      <c r="W2902" s="8">
        <f t="shared" si="1488"/>
        <v>0</v>
      </c>
      <c r="X2902" s="8">
        <f t="shared" si="1488"/>
        <v>304402554.87</v>
      </c>
      <c r="Y2902" s="9">
        <f>+Y136</f>
        <v>0</v>
      </c>
      <c r="Z2902" s="9">
        <f>+Z422</f>
        <v>5039406.9799999995</v>
      </c>
      <c r="AA2902" s="9">
        <f>+AA422</f>
        <v>307930575.51999998</v>
      </c>
      <c r="AB2902" s="9">
        <f>+AB422</f>
        <v>1511386.3299999998</v>
      </c>
    </row>
    <row r="2903" spans="1:28" x14ac:dyDescent="0.3">
      <c r="A2903" s="64"/>
      <c r="B2903" s="8"/>
      <c r="C2903" s="8"/>
      <c r="D2903" s="8"/>
      <c r="E2903" s="8"/>
      <c r="F2903" s="8"/>
      <c r="G2903" s="8"/>
      <c r="H2903" s="8"/>
      <c r="I2903" s="8"/>
      <c r="J2903" s="8"/>
      <c r="K2903" s="8"/>
      <c r="L2903" s="8"/>
      <c r="M2903" s="8"/>
      <c r="N2903" s="8"/>
      <c r="O2903" s="8"/>
      <c r="P2903" s="8"/>
      <c r="Q2903" s="8"/>
      <c r="R2903" s="8"/>
      <c r="S2903" s="8"/>
      <c r="T2903" s="8"/>
      <c r="U2903" s="8"/>
      <c r="V2903" s="8"/>
      <c r="W2903" s="8"/>
      <c r="X2903" s="8"/>
      <c r="Y2903" s="8"/>
      <c r="Z2903" s="8"/>
    </row>
    <row r="2904" spans="1:28" x14ac:dyDescent="0.3">
      <c r="A2904" s="64"/>
      <c r="B2904" s="8"/>
      <c r="C2904" s="7" t="s">
        <v>502</v>
      </c>
      <c r="D2904" s="8"/>
      <c r="E2904" s="9">
        <f>+E639</f>
        <v>722289991.86000001</v>
      </c>
      <c r="F2904" s="9">
        <f>+F639</f>
        <v>506926928.10999995</v>
      </c>
      <c r="G2904" s="9">
        <f t="shared" ref="G2904:X2904" si="1489">+G639</f>
        <v>0</v>
      </c>
      <c r="H2904" s="9">
        <f t="shared" si="1489"/>
        <v>506926928.10999995</v>
      </c>
      <c r="I2904" s="9">
        <f t="shared" si="1489"/>
        <v>1029988.23</v>
      </c>
      <c r="J2904" s="9">
        <f t="shared" si="1489"/>
        <v>0</v>
      </c>
      <c r="K2904" s="9">
        <f t="shared" si="1489"/>
        <v>0</v>
      </c>
      <c r="L2904" s="9">
        <f t="shared" si="1489"/>
        <v>1029988.23</v>
      </c>
      <c r="M2904" s="9">
        <f t="shared" si="1489"/>
        <v>507956916.33999997</v>
      </c>
      <c r="N2904" s="9">
        <f t="shared" si="1489"/>
        <v>92267671.349999994</v>
      </c>
      <c r="O2904" s="9">
        <f t="shared" si="1489"/>
        <v>0</v>
      </c>
      <c r="P2904" s="9">
        <f t="shared" si="1489"/>
        <v>92267671.349999994</v>
      </c>
      <c r="Q2904" s="9">
        <f t="shared" si="1489"/>
        <v>0</v>
      </c>
      <c r="R2904" s="9">
        <f t="shared" si="1489"/>
        <v>0</v>
      </c>
      <c r="S2904" s="9">
        <f t="shared" si="1489"/>
        <v>0</v>
      </c>
      <c r="T2904" s="9">
        <f t="shared" si="1489"/>
        <v>0</v>
      </c>
      <c r="U2904" s="9">
        <f t="shared" si="1489"/>
        <v>92267671.349999994</v>
      </c>
      <c r="V2904" s="9">
        <f t="shared" si="1489"/>
        <v>594291363.41999996</v>
      </c>
      <c r="W2904" s="9">
        <f t="shared" si="1489"/>
        <v>102628477.77</v>
      </c>
      <c r="X2904" s="9">
        <f t="shared" si="1489"/>
        <v>599194599.46000016</v>
      </c>
      <c r="Y2904" s="9">
        <f>+Y138</f>
        <v>0</v>
      </c>
      <c r="Z2904" s="9">
        <f>+Z639</f>
        <v>123095392.40000001</v>
      </c>
      <c r="AA2904" s="9">
        <f>+AA639</f>
        <v>600224587.69000018</v>
      </c>
      <c r="AB2904" s="9">
        <f>+AB639</f>
        <v>122065404.17</v>
      </c>
    </row>
    <row r="2905" spans="1:28" x14ac:dyDescent="0.3">
      <c r="A2905" s="64"/>
      <c r="B2905" s="8"/>
      <c r="C2905" s="8"/>
      <c r="D2905" s="8"/>
      <c r="E2905" s="8"/>
      <c r="F2905" s="8"/>
      <c r="G2905" s="8"/>
      <c r="H2905" s="8"/>
      <c r="I2905" s="8"/>
      <c r="J2905" s="8"/>
      <c r="K2905" s="8"/>
      <c r="L2905" s="8"/>
      <c r="M2905" s="8"/>
      <c r="N2905" s="8"/>
      <c r="O2905" s="8"/>
      <c r="P2905" s="8"/>
      <c r="Q2905" s="8"/>
      <c r="R2905" s="8"/>
      <c r="S2905" s="8"/>
      <c r="T2905" s="8"/>
      <c r="U2905" s="8"/>
      <c r="V2905" s="8"/>
      <c r="W2905" s="8"/>
      <c r="X2905" s="8"/>
      <c r="Y2905" s="8"/>
      <c r="Z2905" s="8"/>
    </row>
    <row r="2906" spans="1:28" x14ac:dyDescent="0.3">
      <c r="A2906" s="64"/>
      <c r="B2906" s="8"/>
      <c r="C2906" s="7" t="s">
        <v>920</v>
      </c>
      <c r="D2906" s="8"/>
      <c r="E2906" s="9">
        <f>+E961</f>
        <v>537950182.25999999</v>
      </c>
      <c r="F2906" s="9">
        <f t="shared" ref="F2906:W2906" si="1490">+F961</f>
        <v>456116055.69999987</v>
      </c>
      <c r="G2906" s="9">
        <f t="shared" si="1490"/>
        <v>2131642.2000000002</v>
      </c>
      <c r="H2906" s="9">
        <f t="shared" si="1490"/>
        <v>458247697.89999992</v>
      </c>
      <c r="I2906" s="9">
        <f t="shared" si="1490"/>
        <v>8678799.5130000003</v>
      </c>
      <c r="J2906" s="9">
        <f t="shared" si="1490"/>
        <v>435767441.63299996</v>
      </c>
      <c r="K2906" s="9">
        <f t="shared" si="1490"/>
        <v>69727703.099999994</v>
      </c>
      <c r="L2906" s="9">
        <f t="shared" si="1490"/>
        <v>8678799.5099999998</v>
      </c>
      <c r="M2906" s="9">
        <f t="shared" si="1490"/>
        <v>466926497.40999991</v>
      </c>
      <c r="N2906" s="9">
        <f t="shared" si="1490"/>
        <v>69987546.769999996</v>
      </c>
      <c r="O2906" s="9">
        <v>0</v>
      </c>
      <c r="P2906" s="9">
        <f t="shared" si="1490"/>
        <v>69987546.769999996</v>
      </c>
      <c r="Q2906" s="9">
        <f t="shared" si="1490"/>
        <v>355010807.87</v>
      </c>
      <c r="R2906" s="9">
        <f t="shared" si="1490"/>
        <v>0</v>
      </c>
      <c r="S2906" s="9">
        <f t="shared" si="1490"/>
        <v>0</v>
      </c>
      <c r="T2906" s="9">
        <f t="shared" si="1490"/>
        <v>370150.07999999996</v>
      </c>
      <c r="U2906" s="9">
        <f t="shared" si="1490"/>
        <v>70357696.849999994</v>
      </c>
      <c r="V2906" s="9">
        <f t="shared" si="1490"/>
        <v>499833891.84000003</v>
      </c>
      <c r="W2906" s="9">
        <f t="shared" si="1490"/>
        <v>9658937.5900000017</v>
      </c>
      <c r="X2906" s="9">
        <f>+X961</f>
        <v>528235244.67000002</v>
      </c>
      <c r="Y2906" s="9">
        <f>+Y140</f>
        <v>0</v>
      </c>
      <c r="Z2906" s="9">
        <f>+Z961</f>
        <v>9714937.5900000017</v>
      </c>
      <c r="AA2906" s="9">
        <f>+AA961</f>
        <v>537284194.25999999</v>
      </c>
      <c r="AB2906" s="9">
        <f>+AB961</f>
        <v>665988</v>
      </c>
    </row>
    <row r="2907" spans="1:28" x14ac:dyDescent="0.3">
      <c r="A2907" s="64"/>
      <c r="B2907" s="8"/>
      <c r="C2907" s="8"/>
      <c r="D2907" s="8"/>
      <c r="E2907" s="8"/>
      <c r="F2907" s="8"/>
      <c r="G2907" s="8"/>
      <c r="H2907" s="8"/>
      <c r="I2907" s="8"/>
      <c r="J2907" s="8"/>
      <c r="K2907" s="8"/>
      <c r="L2907" s="8"/>
      <c r="M2907" s="8"/>
      <c r="N2907" s="8"/>
      <c r="O2907" s="8"/>
      <c r="P2907" s="8"/>
      <c r="Q2907" s="8"/>
      <c r="R2907" s="8"/>
      <c r="S2907" s="8"/>
      <c r="T2907" s="8"/>
      <c r="U2907" s="8"/>
      <c r="V2907" s="8"/>
      <c r="W2907" s="8"/>
      <c r="X2907" s="8"/>
      <c r="Y2907" s="8"/>
      <c r="Z2907" s="8"/>
    </row>
    <row r="2908" spans="1:28" x14ac:dyDescent="0.3">
      <c r="A2908" s="64"/>
      <c r="B2908" s="8"/>
      <c r="C2908" s="7" t="s">
        <v>503</v>
      </c>
      <c r="D2908" s="8"/>
      <c r="E2908" s="9">
        <f>+E1190</f>
        <v>629598943.57000005</v>
      </c>
      <c r="F2908" s="9">
        <f t="shared" ref="F2908:W2908" si="1491">+F1190</f>
        <v>514755831.01999992</v>
      </c>
      <c r="G2908" s="9">
        <f t="shared" si="1491"/>
        <v>250000</v>
      </c>
      <c r="H2908" s="9">
        <f t="shared" si="1491"/>
        <v>515005831.01999992</v>
      </c>
      <c r="I2908" s="9">
        <f t="shared" si="1491"/>
        <v>13430469.43</v>
      </c>
      <c r="J2908" s="9">
        <f t="shared" si="1491"/>
        <v>13430469.43</v>
      </c>
      <c r="K2908" s="9">
        <f t="shared" si="1491"/>
        <v>0</v>
      </c>
      <c r="L2908" s="9">
        <f t="shared" si="1491"/>
        <v>0</v>
      </c>
      <c r="M2908" s="9">
        <f t="shared" si="1491"/>
        <v>515005831.01999992</v>
      </c>
      <c r="N2908" s="9">
        <f t="shared" si="1491"/>
        <v>113880271.39999999</v>
      </c>
      <c r="O2908" s="9">
        <f t="shared" si="1491"/>
        <v>0</v>
      </c>
      <c r="P2908" s="9">
        <f t="shared" si="1491"/>
        <v>113880271.39999999</v>
      </c>
      <c r="Q2908" s="9">
        <f t="shared" si="1491"/>
        <v>37806.410000000003</v>
      </c>
      <c r="R2908" s="9">
        <f t="shared" si="1491"/>
        <v>0</v>
      </c>
      <c r="S2908" s="9">
        <f t="shared" si="1491"/>
        <v>90390.74</v>
      </c>
      <c r="T2908" s="9">
        <f t="shared" si="1491"/>
        <v>128197.15000000001</v>
      </c>
      <c r="U2908" s="9">
        <f t="shared" si="1491"/>
        <v>114008468.54999998</v>
      </c>
      <c r="V2908" s="9">
        <f t="shared" si="1491"/>
        <v>591426274.62</v>
      </c>
      <c r="W2908" s="9">
        <f t="shared" si="1491"/>
        <v>712841.15</v>
      </c>
      <c r="X2908" s="9">
        <f>+X1190</f>
        <v>628886102.42000008</v>
      </c>
      <c r="Y2908" s="9">
        <f>+Y142</f>
        <v>0</v>
      </c>
      <c r="Z2908" s="9">
        <f>+Z1190</f>
        <v>712841.15</v>
      </c>
      <c r="AA2908" s="9">
        <f>+AA1190</f>
        <v>629014299.57000005</v>
      </c>
      <c r="AB2908" s="9">
        <f>+AB1190</f>
        <v>584644</v>
      </c>
    </row>
    <row r="2909" spans="1:28" x14ac:dyDescent="0.3">
      <c r="A2909" s="64"/>
      <c r="B2909" s="8"/>
      <c r="C2909" s="8"/>
      <c r="D2909" s="8"/>
      <c r="E2909" s="8"/>
      <c r="F2909" s="8"/>
      <c r="G2909" s="8"/>
      <c r="H2909" s="8"/>
      <c r="I2909" s="8"/>
      <c r="J2909" s="8"/>
      <c r="K2909" s="8"/>
      <c r="L2909" s="8"/>
      <c r="M2909" s="8"/>
      <c r="N2909" s="8"/>
      <c r="O2909" s="8"/>
      <c r="P2909" s="8"/>
      <c r="Q2909" s="8"/>
      <c r="R2909" s="8"/>
      <c r="S2909" s="8"/>
      <c r="T2909" s="8"/>
      <c r="U2909" s="8"/>
      <c r="V2909" s="8"/>
      <c r="W2909" s="8"/>
      <c r="X2909" s="8"/>
      <c r="Y2909" s="8"/>
      <c r="Z2909" s="8"/>
    </row>
    <row r="2910" spans="1:28" x14ac:dyDescent="0.3">
      <c r="A2910" s="64"/>
      <c r="B2910" s="8"/>
      <c r="C2910" s="7" t="s">
        <v>921</v>
      </c>
      <c r="D2910" s="8"/>
      <c r="E2910" s="9">
        <f>+E1544</f>
        <v>590331687.27999985</v>
      </c>
      <c r="F2910" s="9">
        <f t="shared" ref="F2910:W2910" si="1492">+F1544</f>
        <v>518412215.36999995</v>
      </c>
      <c r="G2910" s="9">
        <f t="shared" si="1492"/>
        <v>7590948.6899999995</v>
      </c>
      <c r="H2910" s="9">
        <f t="shared" si="1492"/>
        <v>526003164.05999988</v>
      </c>
      <c r="I2910" s="9">
        <f t="shared" si="1492"/>
        <v>3349743.2199999997</v>
      </c>
      <c r="J2910" s="9">
        <f t="shared" si="1492"/>
        <v>462670382.13</v>
      </c>
      <c r="K2910" s="9">
        <f t="shared" si="1492"/>
        <v>58979810.390000001</v>
      </c>
      <c r="L2910" s="9">
        <f t="shared" si="1492"/>
        <v>3349743.2199999997</v>
      </c>
      <c r="M2910" s="9">
        <f t="shared" si="1492"/>
        <v>529352907.27999991</v>
      </c>
      <c r="N2910" s="9">
        <f t="shared" si="1492"/>
        <v>59583381.11999999</v>
      </c>
      <c r="O2910" s="9">
        <f t="shared" si="1492"/>
        <v>0</v>
      </c>
      <c r="P2910" s="9">
        <f t="shared" si="1492"/>
        <v>59583381.11999999</v>
      </c>
      <c r="Q2910" s="9">
        <f t="shared" si="1492"/>
        <v>445162424.17999995</v>
      </c>
      <c r="R2910" s="9">
        <f t="shared" si="1492"/>
        <v>0</v>
      </c>
      <c r="S2910" s="9">
        <f t="shared" si="1492"/>
        <v>0</v>
      </c>
      <c r="T2910" s="9">
        <f t="shared" si="1492"/>
        <v>693645.41999999993</v>
      </c>
      <c r="U2910" s="9">
        <f t="shared" si="1492"/>
        <v>60277026.540000007</v>
      </c>
      <c r="V2910" s="9">
        <f t="shared" si="1492"/>
        <v>551059070.69000006</v>
      </c>
      <c r="W2910" s="9">
        <f t="shared" si="1492"/>
        <v>4745142.1000000006</v>
      </c>
      <c r="X2910" s="9">
        <f>+X1544</f>
        <v>585586545.18000007</v>
      </c>
      <c r="Y2910" s="9">
        <f>+Y144</f>
        <v>0</v>
      </c>
      <c r="Z2910" s="9">
        <f>+Z1544</f>
        <v>4745142.1000000006</v>
      </c>
      <c r="AA2910" s="9">
        <f>+AA1544</f>
        <v>589629933.81999993</v>
      </c>
      <c r="AB2910" s="9">
        <f>+AB1544</f>
        <v>701753.46</v>
      </c>
    </row>
    <row r="2911" spans="1:28" x14ac:dyDescent="0.3">
      <c r="A2911" s="64"/>
      <c r="B2911" s="8"/>
      <c r="C2911" s="7"/>
      <c r="D2911" s="8"/>
      <c r="E2911" s="9"/>
      <c r="F2911" s="9"/>
      <c r="G2911" s="9"/>
      <c r="H2911" s="9"/>
      <c r="I2911" s="9"/>
      <c r="J2911" s="9"/>
      <c r="K2911" s="9"/>
      <c r="L2911" s="9"/>
      <c r="M2911" s="9"/>
      <c r="N2911" s="9"/>
      <c r="O2911" s="9"/>
      <c r="P2911" s="9"/>
      <c r="Q2911" s="9"/>
      <c r="R2911" s="9"/>
      <c r="S2911" s="9"/>
      <c r="T2911" s="9"/>
      <c r="U2911" s="9"/>
      <c r="V2911" s="9"/>
      <c r="W2911" s="9"/>
      <c r="X2911" s="9"/>
      <c r="Y2911" s="9"/>
      <c r="Z2911" s="9"/>
      <c r="AA2911" s="9"/>
      <c r="AB2911" s="9"/>
    </row>
    <row r="2912" spans="1:28" x14ac:dyDescent="0.3">
      <c r="A2912" s="64"/>
      <c r="B2912" s="8"/>
      <c r="C2912" s="7" t="s">
        <v>293</v>
      </c>
      <c r="D2912" s="8"/>
      <c r="E2912" s="9">
        <f>+E1742</f>
        <v>323485682.87</v>
      </c>
      <c r="F2912" s="9">
        <f t="shared" ref="F2912:W2912" si="1493">+F1742</f>
        <v>295040336.38800001</v>
      </c>
      <c r="G2912" s="9">
        <f t="shared" si="1493"/>
        <v>2630000</v>
      </c>
      <c r="H2912" s="9">
        <f t="shared" si="1493"/>
        <v>297670336.38800001</v>
      </c>
      <c r="I2912" s="9">
        <f t="shared" si="1493"/>
        <v>5073186</v>
      </c>
      <c r="J2912" s="9">
        <f t="shared" si="1493"/>
        <v>1379847</v>
      </c>
      <c r="K2912" s="9">
        <f t="shared" si="1493"/>
        <v>0</v>
      </c>
      <c r="L2912" s="9">
        <f t="shared" si="1493"/>
        <v>0</v>
      </c>
      <c r="M2912" s="9">
        <f t="shared" si="1493"/>
        <v>297670336.38800001</v>
      </c>
      <c r="N2912" s="9">
        <f t="shared" si="1493"/>
        <v>21549785.57</v>
      </c>
      <c r="O2912" s="9">
        <f t="shared" si="1493"/>
        <v>0</v>
      </c>
      <c r="P2912" s="9">
        <f t="shared" si="1493"/>
        <v>21549785.57</v>
      </c>
      <c r="Q2912" s="9">
        <f t="shared" si="1493"/>
        <v>79082.100000000006</v>
      </c>
      <c r="R2912" s="9">
        <f t="shared" si="1493"/>
        <v>0</v>
      </c>
      <c r="S2912" s="9">
        <f t="shared" si="1493"/>
        <v>0</v>
      </c>
      <c r="T2912" s="9">
        <f t="shared" si="1493"/>
        <v>55702.700000000004</v>
      </c>
      <c r="U2912" s="9">
        <f t="shared" si="1493"/>
        <v>21605488.270000003</v>
      </c>
      <c r="V2912" s="9">
        <f t="shared" si="1493"/>
        <v>317190121.958</v>
      </c>
      <c r="W2912" s="9">
        <f t="shared" si="1493"/>
        <v>4265560.9120000005</v>
      </c>
      <c r="X2912" s="9">
        <f>+X1742</f>
        <v>319220121.958</v>
      </c>
      <c r="Y2912" s="9">
        <f>+Y146</f>
        <v>0</v>
      </c>
      <c r="Z2912" s="9">
        <f>+Z1742</f>
        <v>4265560.9120000005</v>
      </c>
      <c r="AA2912" s="9">
        <f>+AA1742</f>
        <v>319275824.65799999</v>
      </c>
      <c r="AB2912" s="9">
        <f>+AB1742</f>
        <v>4209858.2119999994</v>
      </c>
    </row>
    <row r="2913" spans="1:28" x14ac:dyDescent="0.3">
      <c r="A2913" s="64"/>
      <c r="B2913" s="8"/>
      <c r="C2913" s="7"/>
      <c r="D2913" s="8"/>
      <c r="E2913" s="9"/>
      <c r="F2913" s="9"/>
      <c r="G2913" s="9"/>
      <c r="H2913" s="9"/>
      <c r="I2913" s="9"/>
      <c r="J2913" s="9"/>
      <c r="K2913" s="9"/>
      <c r="L2913" s="9"/>
      <c r="M2913" s="9"/>
      <c r="N2913" s="9"/>
      <c r="O2913" s="9"/>
      <c r="P2913" s="9"/>
      <c r="Q2913" s="9"/>
      <c r="R2913" s="9"/>
      <c r="S2913" s="9"/>
      <c r="T2913" s="9"/>
      <c r="U2913" s="9"/>
      <c r="V2913" s="9"/>
      <c r="W2913" s="9"/>
      <c r="X2913" s="9"/>
      <c r="Y2913" s="9"/>
      <c r="Z2913" s="9"/>
      <c r="AA2913" s="9"/>
      <c r="AB2913" s="9"/>
    </row>
    <row r="2914" spans="1:28" x14ac:dyDescent="0.3">
      <c r="A2914" s="64"/>
      <c r="B2914" s="8"/>
      <c r="C2914" s="7" t="s">
        <v>760</v>
      </c>
      <c r="D2914" s="8"/>
      <c r="E2914" s="9">
        <f>+E1973</f>
        <v>573282845.48000002</v>
      </c>
      <c r="F2914" s="9">
        <f t="shared" ref="F2914:W2914" si="1494">+F1973</f>
        <v>475140846.05000001</v>
      </c>
      <c r="G2914" s="9">
        <f t="shared" si="1494"/>
        <v>38499391.909999996</v>
      </c>
      <c r="H2914" s="9">
        <f t="shared" si="1494"/>
        <v>513640237.95999998</v>
      </c>
      <c r="I2914" s="9">
        <f t="shared" si="1494"/>
        <v>7713021.5300000003</v>
      </c>
      <c r="J2914" s="9">
        <f t="shared" si="1494"/>
        <v>441559244.52999997</v>
      </c>
      <c r="K2914" s="9">
        <f t="shared" si="1494"/>
        <v>51763553.460000001</v>
      </c>
      <c r="L2914" s="9">
        <f t="shared" si="1494"/>
        <v>7713021.5300000003</v>
      </c>
      <c r="M2914" s="9">
        <f t="shared" si="1494"/>
        <v>521353259.48999995</v>
      </c>
      <c r="N2914" s="9">
        <f t="shared" si="1494"/>
        <v>51763553.460000001</v>
      </c>
      <c r="O2914" s="9">
        <f t="shared" si="1494"/>
        <v>0</v>
      </c>
      <c r="P2914" s="9">
        <f t="shared" si="1494"/>
        <v>51763553.460000001</v>
      </c>
      <c r="Q2914" s="9">
        <f t="shared" si="1494"/>
        <v>371610246.25000006</v>
      </c>
      <c r="R2914" s="9">
        <f t="shared" si="1494"/>
        <v>0</v>
      </c>
      <c r="S2914" s="9">
        <f t="shared" si="1494"/>
        <v>0</v>
      </c>
      <c r="T2914" s="9">
        <f t="shared" si="1494"/>
        <v>166032.53</v>
      </c>
      <c r="U2914" s="9">
        <f t="shared" si="1494"/>
        <v>51929585.990000002</v>
      </c>
      <c r="V2914" s="9">
        <f t="shared" si="1494"/>
        <v>0</v>
      </c>
      <c r="W2914" s="9">
        <f t="shared" si="1494"/>
        <v>0</v>
      </c>
      <c r="X2914" s="9">
        <f>+X1973</f>
        <v>565403791.42000008</v>
      </c>
      <c r="Y2914" s="9" t="str">
        <f>+Y148</f>
        <v>-</v>
      </c>
      <c r="Z2914" s="9">
        <f>+Z1973</f>
        <v>7879054.0600000005</v>
      </c>
      <c r="AA2914" s="9">
        <f>+AA1973</f>
        <v>573282845.48000002</v>
      </c>
      <c r="AB2914" s="9">
        <f>+AB1973</f>
        <v>0</v>
      </c>
    </row>
    <row r="2915" spans="1:28" x14ac:dyDescent="0.3">
      <c r="A2915" s="64"/>
      <c r="B2915" s="8"/>
      <c r="C2915" s="7"/>
      <c r="D2915" s="8"/>
      <c r="E2915" s="9"/>
      <c r="F2915" s="9"/>
      <c r="G2915" s="9"/>
      <c r="H2915" s="9"/>
      <c r="I2915" s="9"/>
      <c r="J2915" s="9"/>
      <c r="K2915" s="9"/>
      <c r="L2915" s="9"/>
      <c r="M2915" s="9"/>
      <c r="N2915" s="9"/>
      <c r="O2915" s="9"/>
      <c r="P2915" s="9"/>
      <c r="Q2915" s="9"/>
      <c r="R2915" s="9"/>
      <c r="S2915" s="9"/>
      <c r="T2915" s="9"/>
      <c r="U2915" s="9"/>
      <c r="V2915" s="9"/>
      <c r="W2915" s="9"/>
      <c r="X2915" s="9"/>
      <c r="Y2915" s="9"/>
      <c r="Z2915" s="9"/>
      <c r="AA2915" s="9"/>
      <c r="AB2915" s="9"/>
    </row>
    <row r="2916" spans="1:28" x14ac:dyDescent="0.3">
      <c r="A2916" s="64"/>
      <c r="B2916" s="8"/>
      <c r="C2916" s="7" t="s">
        <v>353</v>
      </c>
      <c r="D2916" s="8"/>
      <c r="E2916" s="9">
        <f t="shared" ref="E2916:W2916" si="1495">+E2085</f>
        <v>504165514.55999994</v>
      </c>
      <c r="F2916" s="9">
        <f t="shared" si="1495"/>
        <v>430445216.71999997</v>
      </c>
      <c r="G2916" s="9">
        <f t="shared" si="1495"/>
        <v>50339069.739999995</v>
      </c>
      <c r="H2916" s="9">
        <f t="shared" si="1495"/>
        <v>480784286.45999998</v>
      </c>
      <c r="I2916" s="9">
        <f t="shared" si="1495"/>
        <v>31772640.640000001</v>
      </c>
      <c r="J2916" s="9">
        <f t="shared" si="1495"/>
        <v>31772640.640000001</v>
      </c>
      <c r="K2916" s="9">
        <f t="shared" si="1495"/>
        <v>0</v>
      </c>
      <c r="L2916" s="9">
        <f t="shared" si="1495"/>
        <v>0</v>
      </c>
      <c r="M2916" s="9">
        <f t="shared" si="1495"/>
        <v>480784286.45999998</v>
      </c>
      <c r="N2916" s="9">
        <f t="shared" si="1495"/>
        <v>20416580.629999999</v>
      </c>
      <c r="O2916" s="9">
        <f t="shared" si="1495"/>
        <v>0</v>
      </c>
      <c r="P2916" s="9">
        <f t="shared" si="1495"/>
        <v>20416580.629999999</v>
      </c>
      <c r="Q2916" s="9">
        <f t="shared" si="1495"/>
        <v>102653.09999999999</v>
      </c>
      <c r="R2916" s="9">
        <f t="shared" si="1495"/>
        <v>0</v>
      </c>
      <c r="S2916" s="9">
        <f t="shared" si="1495"/>
        <v>0</v>
      </c>
      <c r="T2916" s="9">
        <f t="shared" si="1495"/>
        <v>102653.09999999999</v>
      </c>
      <c r="U2916" s="9">
        <f t="shared" si="1495"/>
        <v>20519233.73</v>
      </c>
      <c r="V2916" s="9">
        <f t="shared" si="1495"/>
        <v>402616201.44999993</v>
      </c>
      <c r="W2916" s="9">
        <f t="shared" si="1495"/>
        <v>2964647.4700000007</v>
      </c>
      <c r="X2916" s="9">
        <f>+X2085</f>
        <v>501200867.08999997</v>
      </c>
      <c r="Y2916" s="9" t="str">
        <f>+Y150</f>
        <v>-</v>
      </c>
      <c r="Z2916" s="9">
        <f>+Z2085</f>
        <v>2964647.4700000007</v>
      </c>
      <c r="AA2916" s="9">
        <f>+AA2085</f>
        <v>501303520.19</v>
      </c>
      <c r="AB2916" s="9">
        <f>+AB2085</f>
        <v>2861994.3699999992</v>
      </c>
    </row>
    <row r="2917" spans="1:28" x14ac:dyDescent="0.3">
      <c r="A2917" s="64"/>
      <c r="B2917" s="8"/>
      <c r="C2917" s="7"/>
      <c r="D2917" s="8"/>
      <c r="E2917" s="9"/>
      <c r="F2917" s="9"/>
      <c r="G2917" s="9"/>
      <c r="H2917" s="9"/>
      <c r="I2917" s="9"/>
      <c r="J2917" s="9"/>
      <c r="K2917" s="9"/>
      <c r="L2917" s="9"/>
      <c r="M2917" s="9"/>
      <c r="N2917" s="9"/>
      <c r="O2917" s="9"/>
      <c r="P2917" s="9"/>
      <c r="Q2917" s="9"/>
      <c r="R2917" s="9"/>
      <c r="S2917" s="9"/>
      <c r="T2917" s="9"/>
      <c r="U2917" s="9"/>
      <c r="V2917" s="9"/>
      <c r="W2917" s="9"/>
      <c r="X2917" s="9"/>
      <c r="Y2917" s="9"/>
      <c r="Z2917" s="9"/>
      <c r="AA2917" s="9"/>
      <c r="AB2917" s="9"/>
    </row>
    <row r="2918" spans="1:28" x14ac:dyDescent="0.3">
      <c r="A2918" s="64"/>
      <c r="B2918" s="8"/>
      <c r="C2918" s="7" t="s">
        <v>799</v>
      </c>
      <c r="D2918" s="8"/>
      <c r="E2918" s="9">
        <f>+E2298</f>
        <v>468518277.26999992</v>
      </c>
      <c r="F2918" s="9">
        <f t="shared" ref="F2918:W2918" si="1496">+F2298</f>
        <v>431940538.68000001</v>
      </c>
      <c r="G2918" s="9">
        <f t="shared" si="1496"/>
        <v>4853357.7299999995</v>
      </c>
      <c r="H2918" s="9">
        <f t="shared" si="1496"/>
        <v>436793896.40999997</v>
      </c>
      <c r="I2918" s="9">
        <f t="shared" si="1496"/>
        <v>3734122.28</v>
      </c>
      <c r="J2918" s="9">
        <f t="shared" si="1496"/>
        <v>392676404.32999998</v>
      </c>
      <c r="K2918" s="9">
        <f t="shared" si="1496"/>
        <v>27638084.959999997</v>
      </c>
      <c r="L2918" s="9">
        <f t="shared" si="1496"/>
        <v>3734122.28</v>
      </c>
      <c r="M2918" s="9">
        <f t="shared" si="1496"/>
        <v>440528018.68999994</v>
      </c>
      <c r="N2918" s="9">
        <f t="shared" si="1496"/>
        <v>27658905.649999999</v>
      </c>
      <c r="O2918" s="9">
        <f t="shared" si="1496"/>
        <v>0</v>
      </c>
      <c r="P2918" s="9">
        <f t="shared" si="1496"/>
        <v>27658905.649999999</v>
      </c>
      <c r="Q2918" s="9">
        <f t="shared" si="1496"/>
        <v>358588012.80999994</v>
      </c>
      <c r="R2918" s="9">
        <f t="shared" si="1496"/>
        <v>0</v>
      </c>
      <c r="S2918" s="9">
        <f t="shared" si="1496"/>
        <v>0</v>
      </c>
      <c r="T2918" s="9">
        <f t="shared" si="1496"/>
        <v>31194.699999999997</v>
      </c>
      <c r="U2918" s="9">
        <f t="shared" si="1496"/>
        <v>27690100.349999998</v>
      </c>
      <c r="V2918" s="9">
        <f t="shared" si="1496"/>
        <v>0</v>
      </c>
      <c r="W2918" s="9">
        <f t="shared" si="1496"/>
        <v>0</v>
      </c>
      <c r="X2918" s="9">
        <f>+X2298</f>
        <v>464452802.05999994</v>
      </c>
      <c r="Y2918" s="9">
        <f>+Y152</f>
        <v>0</v>
      </c>
      <c r="Z2918" s="9">
        <f>+Z2298</f>
        <v>4065475.209999999</v>
      </c>
      <c r="AA2918" s="9">
        <f>+AA2298</f>
        <v>468218119.03999996</v>
      </c>
      <c r="AB2918" s="9">
        <f>+AB2298</f>
        <v>300158.22999999957</v>
      </c>
    </row>
    <row r="2919" spans="1:28" x14ac:dyDescent="0.3">
      <c r="A2919" s="64"/>
      <c r="B2919" s="8"/>
      <c r="C2919" s="7"/>
      <c r="D2919" s="8"/>
      <c r="E2919" s="9"/>
      <c r="F2919" s="9"/>
      <c r="G2919" s="9"/>
      <c r="H2919" s="9"/>
      <c r="I2919" s="9"/>
      <c r="J2919" s="9"/>
      <c r="K2919" s="9"/>
      <c r="L2919" s="9"/>
      <c r="M2919" s="9"/>
      <c r="N2919" s="9"/>
      <c r="O2919" s="9"/>
      <c r="P2919" s="9"/>
      <c r="Q2919" s="9"/>
      <c r="R2919" s="9"/>
      <c r="S2919" s="9"/>
      <c r="T2919" s="9"/>
      <c r="U2919" s="9"/>
      <c r="V2919" s="9"/>
      <c r="W2919" s="9"/>
      <c r="X2919" s="9"/>
      <c r="Y2919" s="9"/>
      <c r="Z2919" s="9"/>
      <c r="AA2919" s="9"/>
      <c r="AB2919" s="9"/>
    </row>
    <row r="2920" spans="1:28" x14ac:dyDescent="0.3">
      <c r="A2920" s="64"/>
      <c r="B2920" s="8"/>
      <c r="C2920" s="7" t="s">
        <v>922</v>
      </c>
      <c r="D2920" s="8"/>
      <c r="E2920" s="9">
        <f>+E2454</f>
        <v>305104967.65000004</v>
      </c>
      <c r="F2920" s="9">
        <f t="shared" ref="F2920:W2920" si="1497">+F2454</f>
        <v>287008044.38</v>
      </c>
      <c r="G2920" s="9">
        <f t="shared" si="1497"/>
        <v>0</v>
      </c>
      <c r="H2920" s="9">
        <f t="shared" si="1497"/>
        <v>287008044.38</v>
      </c>
      <c r="I2920" s="9">
        <f t="shared" si="1497"/>
        <v>0</v>
      </c>
      <c r="J2920" s="9">
        <f t="shared" si="1497"/>
        <v>258659426.21999997</v>
      </c>
      <c r="K2920" s="9">
        <f t="shared" si="1497"/>
        <v>18001180.829999998</v>
      </c>
      <c r="L2920" s="9">
        <f t="shared" si="1497"/>
        <v>0</v>
      </c>
      <c r="M2920" s="9">
        <f t="shared" si="1497"/>
        <v>287008044.38</v>
      </c>
      <c r="N2920" s="9">
        <f t="shared" si="1497"/>
        <v>18007202.109999999</v>
      </c>
      <c r="O2920" s="9">
        <f t="shared" si="1497"/>
        <v>0</v>
      </c>
      <c r="P2920" s="9">
        <f t="shared" si="1497"/>
        <v>18007202.109999999</v>
      </c>
      <c r="Q2920" s="9">
        <f t="shared" si="1497"/>
        <v>252050075.42000002</v>
      </c>
      <c r="R2920" s="9">
        <f t="shared" si="1497"/>
        <v>0</v>
      </c>
      <c r="S2920" s="9">
        <f t="shared" si="1497"/>
        <v>0</v>
      </c>
      <c r="T2920" s="9">
        <f t="shared" si="1497"/>
        <v>9721.16</v>
      </c>
      <c r="U2920" s="9">
        <f t="shared" si="1497"/>
        <v>18016923.27</v>
      </c>
      <c r="V2920" s="9">
        <f t="shared" si="1497"/>
        <v>0</v>
      </c>
      <c r="W2920" s="9">
        <f t="shared" si="1497"/>
        <v>0</v>
      </c>
      <c r="X2920" s="9">
        <f>+X2454</f>
        <v>305015246.49000001</v>
      </c>
      <c r="Y2920" s="9">
        <f>+Y154</f>
        <v>0</v>
      </c>
      <c r="Z2920" s="9">
        <f>+Z2454</f>
        <v>89721.160000000018</v>
      </c>
      <c r="AA2920" s="9">
        <f>+AA2454</f>
        <v>305024967.65000004</v>
      </c>
      <c r="AB2920" s="9">
        <f>+AB2454</f>
        <v>80000.000000000044</v>
      </c>
    </row>
    <row r="2921" spans="1:28" x14ac:dyDescent="0.3">
      <c r="A2921" s="64"/>
      <c r="B2921" s="8"/>
      <c r="C2921" s="8"/>
      <c r="D2921" s="8"/>
      <c r="E2921" s="8"/>
      <c r="F2921" s="8"/>
      <c r="G2921" s="8"/>
      <c r="H2921" s="8"/>
      <c r="I2921" s="8"/>
      <c r="J2921" s="8"/>
      <c r="K2921" s="8"/>
      <c r="L2921" s="8"/>
      <c r="M2921" s="8"/>
      <c r="N2921" s="8"/>
      <c r="O2921" s="8"/>
      <c r="P2921" s="8"/>
      <c r="Q2921" s="8"/>
      <c r="R2921" s="8"/>
      <c r="S2921" s="8"/>
      <c r="T2921" s="8"/>
      <c r="U2921" s="8"/>
      <c r="V2921" s="8"/>
      <c r="W2921" s="8"/>
      <c r="X2921" s="8"/>
      <c r="Y2921" s="8"/>
      <c r="Z2921" s="8"/>
    </row>
    <row r="2922" spans="1:28" x14ac:dyDescent="0.3">
      <c r="A2922" s="64"/>
      <c r="B2922" s="8"/>
      <c r="C2922" s="7" t="s">
        <v>504</v>
      </c>
      <c r="D2922" s="8"/>
      <c r="E2922" s="9">
        <f>+E2575</f>
        <v>409924897.44999993</v>
      </c>
      <c r="F2922" s="9">
        <f t="shared" ref="F2922:W2922" si="1498">+F2575</f>
        <v>372619772.71999997</v>
      </c>
      <c r="G2922" s="9">
        <f t="shared" si="1498"/>
        <v>0</v>
      </c>
      <c r="H2922" s="9">
        <f t="shared" si="1498"/>
        <v>372619772.71999997</v>
      </c>
      <c r="I2922" s="9">
        <f t="shared" si="1498"/>
        <v>29651254.550000001</v>
      </c>
      <c r="J2922" s="9">
        <f t="shared" si="1498"/>
        <v>21451583.550000001</v>
      </c>
      <c r="K2922" s="9">
        <f t="shared" si="1498"/>
        <v>0</v>
      </c>
      <c r="L2922" s="9">
        <f t="shared" si="1498"/>
        <v>0</v>
      </c>
      <c r="M2922" s="9">
        <f t="shared" si="1498"/>
        <v>372619772.71999997</v>
      </c>
      <c r="N2922" s="9">
        <f t="shared" si="1498"/>
        <v>23942951.48</v>
      </c>
      <c r="O2922" s="9">
        <f t="shared" si="1498"/>
        <v>0</v>
      </c>
      <c r="P2922" s="9">
        <f t="shared" si="1498"/>
        <v>23942951.48</v>
      </c>
      <c r="Q2922" s="9">
        <f t="shared" si="1498"/>
        <v>12716329.75</v>
      </c>
      <c r="R2922" s="9">
        <f t="shared" si="1498"/>
        <v>1032.5</v>
      </c>
      <c r="S2922" s="9">
        <f t="shared" si="1498"/>
        <v>0</v>
      </c>
      <c r="T2922" s="9">
        <f t="shared" si="1498"/>
        <v>12715297.25</v>
      </c>
      <c r="U2922" s="9">
        <f t="shared" si="1498"/>
        <v>36658248.729999997</v>
      </c>
      <c r="V2922" s="9">
        <f t="shared" si="1498"/>
        <v>393113735.22000003</v>
      </c>
      <c r="W2922" s="9">
        <f t="shared" si="1498"/>
        <v>13362173.250000002</v>
      </c>
      <c r="X2922" s="9">
        <f>+X2575</f>
        <v>396562724.19999999</v>
      </c>
      <c r="Y2922" s="9">
        <f>+Y156</f>
        <v>0</v>
      </c>
      <c r="Z2922" s="9">
        <f>+Z2575</f>
        <v>13362173.250000002</v>
      </c>
      <c r="AA2922" s="9">
        <f>+AA2575</f>
        <v>409278021.44999993</v>
      </c>
      <c r="AB2922" s="9">
        <f>+AB2575</f>
        <v>646876</v>
      </c>
    </row>
    <row r="2923" spans="1:28" x14ac:dyDescent="0.3">
      <c r="A2923" s="64"/>
      <c r="B2923" s="8"/>
      <c r="C2923" s="8"/>
      <c r="D2923" s="8"/>
      <c r="E2923" s="8"/>
      <c r="F2923" s="8"/>
      <c r="G2923" s="8"/>
      <c r="H2923" s="8"/>
      <c r="I2923" s="8"/>
      <c r="J2923" s="8"/>
      <c r="K2923" s="8"/>
      <c r="L2923" s="8"/>
      <c r="M2923" s="8"/>
      <c r="N2923" s="8"/>
      <c r="O2923" s="8"/>
      <c r="P2923" s="8"/>
      <c r="Q2923" s="8"/>
      <c r="R2923" s="8"/>
      <c r="S2923" s="8"/>
      <c r="T2923" s="8"/>
      <c r="U2923" s="8"/>
      <c r="V2923" s="8"/>
      <c r="W2923" s="8"/>
      <c r="X2923" s="8"/>
      <c r="Y2923" s="8"/>
      <c r="Z2923" s="8"/>
    </row>
    <row r="2924" spans="1:28" x14ac:dyDescent="0.3">
      <c r="A2924" s="64"/>
      <c r="B2924" s="8"/>
      <c r="C2924" s="7" t="s">
        <v>505</v>
      </c>
      <c r="D2924" s="8"/>
      <c r="E2924" s="9">
        <f>+E2668</f>
        <v>269860792.59000003</v>
      </c>
      <c r="F2924" s="9">
        <f t="shared" ref="F2924:W2924" si="1499">+F2668</f>
        <v>257389107.89000002</v>
      </c>
      <c r="G2924" s="9">
        <f t="shared" si="1499"/>
        <v>0</v>
      </c>
      <c r="H2924" s="9">
        <f t="shared" si="1499"/>
        <v>257389107.89000002</v>
      </c>
      <c r="I2924" s="9">
        <f t="shared" si="1499"/>
        <v>2120934.9299999997</v>
      </c>
      <c r="J2924" s="9">
        <f t="shared" si="1499"/>
        <v>1068934.93</v>
      </c>
      <c r="K2924" s="9">
        <f t="shared" si="1499"/>
        <v>0</v>
      </c>
      <c r="L2924" s="9">
        <f t="shared" si="1499"/>
        <v>0</v>
      </c>
      <c r="M2924" s="9">
        <f t="shared" si="1499"/>
        <v>257389107.89000002</v>
      </c>
      <c r="N2924" s="9">
        <f t="shared" si="1499"/>
        <v>12387585.16</v>
      </c>
      <c r="O2924" s="9">
        <f t="shared" si="1499"/>
        <v>0</v>
      </c>
      <c r="P2924" s="9">
        <f t="shared" si="1499"/>
        <v>12387585.16</v>
      </c>
      <c r="Q2924" s="9">
        <f t="shared" si="1499"/>
        <v>4099.54</v>
      </c>
      <c r="R2924" s="9">
        <f t="shared" si="1499"/>
        <v>0</v>
      </c>
      <c r="S2924" s="9">
        <f t="shared" si="1499"/>
        <v>0</v>
      </c>
      <c r="T2924" s="9">
        <f t="shared" si="1499"/>
        <v>4099.54</v>
      </c>
      <c r="U2924" s="9">
        <f t="shared" si="1499"/>
        <v>12391684.699999999</v>
      </c>
      <c r="V2924" s="9">
        <f t="shared" si="1499"/>
        <v>250431454.16000003</v>
      </c>
      <c r="W2924" s="9">
        <f t="shared" si="1499"/>
        <v>84099.540000000037</v>
      </c>
      <c r="X2924" s="9">
        <f>+X2668</f>
        <v>269776693.05000007</v>
      </c>
      <c r="Y2924" s="9">
        <f>+Y159</f>
        <v>0</v>
      </c>
      <c r="Z2924" s="9">
        <f>+Z2668</f>
        <v>84099.540000000037</v>
      </c>
      <c r="AA2924" s="9">
        <f>+AA2668</f>
        <v>269780792.59000003</v>
      </c>
      <c r="AB2924" s="9">
        <f>+AB2668</f>
        <v>80000</v>
      </c>
    </row>
    <row r="2925" spans="1:28" x14ac:dyDescent="0.3">
      <c r="A2925" s="64"/>
      <c r="B2925" s="8"/>
      <c r="C2925" s="8"/>
      <c r="D2925" s="8"/>
      <c r="E2925" s="8"/>
      <c r="F2925" s="8"/>
      <c r="G2925" s="8"/>
      <c r="H2925" s="8"/>
      <c r="I2925" s="8"/>
      <c r="J2925" s="8"/>
      <c r="K2925" s="8"/>
      <c r="L2925" s="8"/>
      <c r="M2925" s="8"/>
      <c r="N2925" s="8"/>
      <c r="O2925" s="8"/>
      <c r="P2925" s="8"/>
      <c r="Q2925" s="8"/>
      <c r="R2925" s="8"/>
      <c r="S2925" s="8"/>
      <c r="T2925" s="8"/>
      <c r="U2925" s="8"/>
      <c r="V2925" s="8"/>
      <c r="W2925" s="8"/>
      <c r="X2925" s="8"/>
      <c r="Y2925" s="8"/>
      <c r="Z2925" s="8"/>
    </row>
    <row r="2926" spans="1:28" x14ac:dyDescent="0.3">
      <c r="A2926" s="64"/>
      <c r="B2926" s="8"/>
      <c r="C2926" s="7" t="s">
        <v>465</v>
      </c>
      <c r="D2926" s="8"/>
      <c r="E2926" s="9">
        <f>+E2760</f>
        <v>250285880.29999998</v>
      </c>
      <c r="F2926" s="9">
        <f t="shared" ref="F2926:W2926" si="1500">+F2760</f>
        <v>219218966.95999998</v>
      </c>
      <c r="G2926" s="9">
        <f t="shared" si="1500"/>
        <v>1652065.89</v>
      </c>
      <c r="H2926" s="9">
        <f t="shared" si="1500"/>
        <v>220871032.84999996</v>
      </c>
      <c r="I2926" s="9">
        <f t="shared" si="1500"/>
        <v>1462471.8</v>
      </c>
      <c r="J2926" s="9">
        <f t="shared" si="1500"/>
        <v>1462471.8</v>
      </c>
      <c r="K2926" s="9">
        <f t="shared" si="1500"/>
        <v>0</v>
      </c>
      <c r="L2926" s="9">
        <f t="shared" si="1500"/>
        <v>0</v>
      </c>
      <c r="M2926" s="9">
        <f t="shared" si="1500"/>
        <v>220871032.84999996</v>
      </c>
      <c r="N2926" s="9">
        <f t="shared" si="1500"/>
        <v>27903125.039999999</v>
      </c>
      <c r="O2926" s="9">
        <f t="shared" si="1500"/>
        <v>0</v>
      </c>
      <c r="P2926" s="9">
        <f t="shared" si="1500"/>
        <v>27903125.039999999</v>
      </c>
      <c r="Q2926" s="9">
        <f t="shared" si="1500"/>
        <v>229301.32</v>
      </c>
      <c r="R2926" s="9">
        <f t="shared" si="1500"/>
        <v>0</v>
      </c>
      <c r="S2926" s="9">
        <f t="shared" si="1500"/>
        <v>3917.16</v>
      </c>
      <c r="T2926" s="9">
        <f t="shared" si="1500"/>
        <v>191301.40999999997</v>
      </c>
      <c r="U2926" s="9">
        <f t="shared" si="1500"/>
        <v>28094426.450000003</v>
      </c>
      <c r="V2926" s="9">
        <f t="shared" si="1500"/>
        <v>193745602.87</v>
      </c>
      <c r="W2926" s="9">
        <f t="shared" si="1500"/>
        <v>1511722.4099999997</v>
      </c>
      <c r="X2926" s="9">
        <f>+X2760</f>
        <v>248774157.88999996</v>
      </c>
      <c r="Y2926" s="9">
        <f>+Y162</f>
        <v>0</v>
      </c>
      <c r="Z2926" s="9">
        <f>+Z2760</f>
        <v>1511722.4099999997</v>
      </c>
      <c r="AA2926" s="9">
        <f>+AA2760</f>
        <v>248965459.29999998</v>
      </c>
      <c r="AB2926" s="9">
        <f>+AB2760</f>
        <v>1320421</v>
      </c>
    </row>
    <row r="2927" spans="1:28" x14ac:dyDescent="0.3">
      <c r="A2927" s="64"/>
      <c r="B2927" s="8"/>
      <c r="C2927" s="8"/>
      <c r="D2927" s="8"/>
      <c r="E2927" s="17" t="s">
        <v>29</v>
      </c>
      <c r="F2927" s="17" t="s">
        <v>29</v>
      </c>
      <c r="G2927" s="17" t="s">
        <v>29</v>
      </c>
      <c r="H2927" s="17" t="s">
        <v>29</v>
      </c>
      <c r="I2927" s="17" t="s">
        <v>29</v>
      </c>
      <c r="J2927" s="17" t="s">
        <v>29</v>
      </c>
      <c r="K2927" s="17" t="s">
        <v>29</v>
      </c>
      <c r="L2927" s="17" t="s">
        <v>29</v>
      </c>
      <c r="M2927" s="17" t="s">
        <v>29</v>
      </c>
      <c r="N2927" s="17" t="s">
        <v>29</v>
      </c>
      <c r="O2927" s="17" t="s">
        <v>29</v>
      </c>
      <c r="P2927" s="17" t="s">
        <v>29</v>
      </c>
      <c r="Q2927" s="17" t="s">
        <v>29</v>
      </c>
      <c r="R2927" s="17" t="s">
        <v>29</v>
      </c>
      <c r="S2927" s="17" t="s">
        <v>29</v>
      </c>
      <c r="T2927" s="17" t="s">
        <v>29</v>
      </c>
      <c r="U2927" s="17" t="s">
        <v>29</v>
      </c>
      <c r="V2927" s="17" t="s">
        <v>29</v>
      </c>
      <c r="W2927" s="17" t="s">
        <v>29</v>
      </c>
      <c r="X2927" s="17" t="s">
        <v>29</v>
      </c>
      <c r="Y2927" s="17" t="s">
        <v>29</v>
      </c>
      <c r="Z2927" s="17" t="s">
        <v>29</v>
      </c>
      <c r="AA2927" s="17" t="s">
        <v>29</v>
      </c>
      <c r="AB2927" s="17" t="s">
        <v>29</v>
      </c>
    </row>
    <row r="2928" spans="1:28" x14ac:dyDescent="0.3">
      <c r="A2928" s="64"/>
      <c r="B2928" s="8"/>
      <c r="C2928" s="8"/>
      <c r="D2928" s="8"/>
      <c r="E2928" s="8"/>
      <c r="F2928" s="8"/>
      <c r="G2928" s="8"/>
      <c r="H2928" s="8"/>
      <c r="I2928" s="8"/>
      <c r="J2928" s="8"/>
      <c r="K2928" s="8"/>
      <c r="L2928" s="8"/>
      <c r="M2928" s="8"/>
      <c r="N2928" s="8"/>
      <c r="O2928" s="8"/>
      <c r="P2928" s="8"/>
      <c r="Q2928" s="8"/>
      <c r="R2928" s="8"/>
      <c r="S2928" s="8"/>
      <c r="T2928" s="8"/>
      <c r="U2928" s="8"/>
      <c r="V2928" s="8"/>
      <c r="W2928" s="8"/>
      <c r="X2928" s="8"/>
      <c r="Y2928" s="8"/>
      <c r="Z2928" s="8"/>
    </row>
    <row r="2929" spans="1:28" x14ac:dyDescent="0.3">
      <c r="A2929" s="64"/>
      <c r="B2929" s="8"/>
      <c r="C2929" s="7" t="s">
        <v>506</v>
      </c>
      <c r="D2929" s="8"/>
      <c r="E2929" s="9">
        <f t="shared" ref="E2929:AB2929" si="1501">SUM(E2898:E2926)</f>
        <v>6503751092.0899992</v>
      </c>
      <c r="F2929" s="9">
        <f t="shared" si="1501"/>
        <v>5486815109.6680002</v>
      </c>
      <c r="G2929" s="9">
        <f t="shared" si="1501"/>
        <v>107946476.16</v>
      </c>
      <c r="H2929" s="9">
        <f t="shared" si="1501"/>
        <v>5594761585.828001</v>
      </c>
      <c r="I2929" s="9">
        <f t="shared" si="1501"/>
        <v>240537753.12300006</v>
      </c>
      <c r="J2929" s="9">
        <f t="shared" si="1501"/>
        <v>2292650916.1430001</v>
      </c>
      <c r="K2929" s="9">
        <f t="shared" si="1501"/>
        <v>410207277.87999994</v>
      </c>
      <c r="L2929" s="9">
        <f t="shared" si="1501"/>
        <v>30674586.770000003</v>
      </c>
      <c r="M2929" s="9">
        <f t="shared" si="1501"/>
        <v>5625436172.5980005</v>
      </c>
      <c r="N2929" s="9">
        <f t="shared" si="1501"/>
        <v>721775522.82999992</v>
      </c>
      <c r="O2929" s="9">
        <f t="shared" si="1501"/>
        <v>0</v>
      </c>
      <c r="P2929" s="9">
        <f t="shared" si="1501"/>
        <v>721775522.82999992</v>
      </c>
      <c r="Q2929" s="9">
        <f t="shared" si="1501"/>
        <v>1962986831.5799999</v>
      </c>
      <c r="R2929" s="9">
        <f t="shared" si="1501"/>
        <v>-63832158.810000002</v>
      </c>
      <c r="S2929" s="9">
        <f t="shared" si="1501"/>
        <v>125806.33000000002</v>
      </c>
      <c r="T2929" s="9">
        <f t="shared" si="1501"/>
        <v>14597769.369999999</v>
      </c>
      <c r="U2929" s="9">
        <f t="shared" si="1501"/>
        <v>736373292.20000017</v>
      </c>
      <c r="V2929" s="9">
        <f t="shared" si="1501"/>
        <v>4350675908.8479996</v>
      </c>
      <c r="W2929" s="9">
        <f t="shared" si="1501"/>
        <v>174011752.822</v>
      </c>
      <c r="X2929" s="9">
        <f>SUM(X2898:X2926)</f>
        <v>6316537108.658</v>
      </c>
      <c r="Y2929" s="9">
        <f t="shared" si="1501"/>
        <v>0</v>
      </c>
      <c r="Z2929" s="9">
        <f t="shared" si="1501"/>
        <v>187213983.43200001</v>
      </c>
      <c r="AA2929" s="9">
        <f t="shared" si="1501"/>
        <v>6361809464.7980003</v>
      </c>
      <c r="AB2929" s="9">
        <f t="shared" si="1501"/>
        <v>141941627.292</v>
      </c>
    </row>
    <row r="2930" spans="1:28" x14ac:dyDescent="0.3">
      <c r="A2930" s="64"/>
      <c r="B2930" s="8"/>
      <c r="C2930" s="8"/>
      <c r="D2930" s="8"/>
      <c r="E2930" s="17" t="s">
        <v>114</v>
      </c>
      <c r="F2930" s="17" t="s">
        <v>114</v>
      </c>
      <c r="G2930" s="17" t="s">
        <v>114</v>
      </c>
      <c r="H2930" s="17" t="s">
        <v>114</v>
      </c>
      <c r="I2930" s="17" t="s">
        <v>114</v>
      </c>
      <c r="J2930" s="17" t="s">
        <v>114</v>
      </c>
      <c r="K2930" s="17" t="s">
        <v>114</v>
      </c>
      <c r="L2930" s="17" t="s">
        <v>114</v>
      </c>
      <c r="M2930" s="17"/>
      <c r="N2930" s="17" t="s">
        <v>114</v>
      </c>
      <c r="O2930" s="17" t="s">
        <v>114</v>
      </c>
      <c r="P2930" s="17" t="s">
        <v>114</v>
      </c>
      <c r="Q2930" s="17" t="s">
        <v>114</v>
      </c>
      <c r="R2930" s="17" t="s">
        <v>114</v>
      </c>
      <c r="S2930" s="17" t="s">
        <v>114</v>
      </c>
      <c r="T2930" s="17" t="s">
        <v>114</v>
      </c>
      <c r="U2930" s="17" t="s">
        <v>114</v>
      </c>
      <c r="V2930" s="17" t="s">
        <v>114</v>
      </c>
      <c r="W2930" s="17" t="s">
        <v>114</v>
      </c>
      <c r="X2930" s="17" t="s">
        <v>114</v>
      </c>
      <c r="Y2930" s="17" t="s">
        <v>114</v>
      </c>
      <c r="Z2930" s="17" t="s">
        <v>114</v>
      </c>
      <c r="AA2930" s="17" t="s">
        <v>114</v>
      </c>
      <c r="AB2930" s="17" t="s">
        <v>114</v>
      </c>
    </row>
    <row r="2931" spans="1:28" x14ac:dyDescent="0.3">
      <c r="A2931" s="64"/>
      <c r="B2931" s="8"/>
      <c r="C2931" s="8"/>
      <c r="D2931" s="8"/>
      <c r="E2931" s="18"/>
      <c r="F2931" s="18"/>
      <c r="G2931" s="18"/>
      <c r="H2931" s="18"/>
      <c r="I2931" s="18"/>
      <c r="J2931" s="18"/>
      <c r="K2931" s="18"/>
      <c r="L2931" s="18"/>
      <c r="M2931" s="18"/>
      <c r="N2931" s="18"/>
      <c r="O2931" s="18"/>
      <c r="P2931" s="18"/>
      <c r="Q2931" s="18"/>
      <c r="R2931" s="18"/>
      <c r="S2931" s="18"/>
      <c r="T2931" s="18"/>
      <c r="U2931" s="18"/>
      <c r="V2931" s="18"/>
      <c r="W2931" s="18"/>
      <c r="X2931" s="18"/>
      <c r="Y2931" s="18"/>
      <c r="Z2931" s="18"/>
      <c r="AA2931" s="12"/>
      <c r="AB2931" s="12"/>
    </row>
    <row r="2932" spans="1:28" x14ac:dyDescent="0.3">
      <c r="A2932" s="64"/>
      <c r="B2932" s="8"/>
      <c r="C2932" s="8"/>
      <c r="D2932" s="8"/>
      <c r="E2932" s="8"/>
      <c r="F2932" s="8"/>
      <c r="G2932" s="8"/>
      <c r="H2932" s="8"/>
      <c r="I2932" s="8"/>
      <c r="J2932" s="8"/>
      <c r="K2932" s="8"/>
      <c r="L2932" s="8"/>
      <c r="M2932" s="8"/>
      <c r="N2932" s="8"/>
      <c r="O2932" s="8"/>
      <c r="P2932" s="8"/>
      <c r="Q2932" s="8"/>
      <c r="R2932" s="8"/>
      <c r="S2932" s="8"/>
      <c r="T2932" s="8"/>
      <c r="U2932" s="8"/>
      <c r="V2932" s="8"/>
      <c r="W2932" s="8"/>
      <c r="X2932" s="8"/>
      <c r="Y2932" s="8"/>
      <c r="Z2932" s="8"/>
    </row>
    <row r="2933" spans="1:28" x14ac:dyDescent="0.3">
      <c r="A2933" s="64"/>
      <c r="B2933" s="8"/>
      <c r="C2933" s="9"/>
      <c r="D2933" s="8"/>
      <c r="E2933" s="8"/>
      <c r="F2933" s="8"/>
      <c r="G2933" s="8"/>
      <c r="H2933" s="8"/>
      <c r="I2933" s="8"/>
      <c r="J2933" s="8"/>
      <c r="K2933" s="8"/>
      <c r="L2933" s="8"/>
      <c r="M2933" s="8"/>
      <c r="N2933" s="8"/>
      <c r="O2933" s="8"/>
      <c r="P2933" s="8"/>
      <c r="Q2933" s="8"/>
      <c r="R2933" s="8"/>
      <c r="S2933" s="8"/>
      <c r="T2933" s="8"/>
      <c r="U2933" s="8"/>
      <c r="V2933" s="8"/>
      <c r="W2933" s="8"/>
      <c r="X2933" s="8"/>
      <c r="Y2933" s="8"/>
      <c r="Z2933" s="8"/>
    </row>
    <row r="2934" spans="1:28" x14ac:dyDescent="0.3">
      <c r="A2934" s="64"/>
      <c r="B2934" s="8"/>
      <c r="C2934" s="9" t="str">
        <f>+C2884</f>
        <v>rr</v>
      </c>
      <c r="D2934" s="8"/>
      <c r="E2934" s="8"/>
      <c r="F2934" s="8"/>
      <c r="G2934" s="8"/>
      <c r="H2934" s="8"/>
      <c r="I2934" s="8"/>
      <c r="J2934" s="8"/>
      <c r="K2934" s="8"/>
      <c r="L2934" s="8"/>
      <c r="M2934" s="8"/>
      <c r="N2934" s="8"/>
      <c r="O2934" s="8"/>
      <c r="P2934" s="8"/>
      <c r="Q2934" s="8"/>
      <c r="R2934" s="8"/>
      <c r="S2934" s="8"/>
      <c r="T2934" s="8"/>
      <c r="U2934" s="8"/>
      <c r="V2934" s="8"/>
      <c r="W2934" s="8"/>
      <c r="X2934" s="8"/>
      <c r="Y2934" s="8"/>
      <c r="Z2934" s="8"/>
    </row>
    <row r="2935" spans="1:28" x14ac:dyDescent="0.3">
      <c r="A2935" s="64"/>
      <c r="B2935" s="8"/>
      <c r="C2935" s="8"/>
      <c r="D2935" s="8"/>
      <c r="E2935" s="8"/>
      <c r="F2935" s="8"/>
      <c r="G2935" s="8"/>
      <c r="H2935" s="8"/>
      <c r="I2935" s="8"/>
      <c r="J2935" s="8"/>
      <c r="K2935" s="8"/>
      <c r="L2935" s="8"/>
      <c r="M2935" s="8"/>
      <c r="N2935" s="8"/>
      <c r="O2935" s="8"/>
      <c r="P2935" s="8"/>
      <c r="Q2935" s="8"/>
      <c r="R2935" s="8"/>
      <c r="S2935" s="8"/>
      <c r="T2935" s="8"/>
      <c r="U2935" s="8"/>
      <c r="V2935" s="8"/>
      <c r="W2935" s="8"/>
      <c r="X2935" s="8"/>
      <c r="Y2935" s="8"/>
      <c r="Z2935" s="8"/>
    </row>
    <row r="2936" spans="1:28" x14ac:dyDescent="0.3">
      <c r="A2936" s="64"/>
      <c r="B2936" s="8"/>
      <c r="C2936" s="8"/>
      <c r="D2936" s="8"/>
      <c r="E2936" s="8"/>
      <c r="F2936" s="8"/>
      <c r="G2936" s="8"/>
      <c r="H2936" s="8"/>
      <c r="I2936" s="8"/>
      <c r="J2936" s="8"/>
      <c r="K2936" s="8"/>
      <c r="L2936" s="8"/>
      <c r="M2936" s="8"/>
      <c r="N2936" s="8"/>
      <c r="O2936" s="8"/>
      <c r="P2936" s="8"/>
      <c r="Q2936" s="8"/>
      <c r="R2936" s="8"/>
      <c r="S2936" s="8"/>
      <c r="T2936" s="8"/>
      <c r="U2936" s="8"/>
      <c r="V2936" s="8"/>
      <c r="W2936" s="8"/>
      <c r="X2936" s="8"/>
      <c r="Y2936" s="8"/>
      <c r="Z2936" s="8"/>
    </row>
    <row r="2937" spans="1:28" x14ac:dyDescent="0.3">
      <c r="A2937" s="64"/>
      <c r="B2937" s="8"/>
      <c r="C2937" s="8"/>
      <c r="D2937" s="8"/>
      <c r="E2937" s="8"/>
      <c r="F2937" s="8"/>
      <c r="G2937" s="8"/>
      <c r="H2937" s="8"/>
      <c r="I2937" s="8"/>
      <c r="J2937" s="8"/>
      <c r="K2937" s="8"/>
      <c r="L2937" s="8"/>
      <c r="M2937" s="8"/>
      <c r="N2937" s="8"/>
      <c r="O2937" s="8"/>
      <c r="P2937" s="8"/>
      <c r="Q2937" s="8"/>
      <c r="R2937" s="8"/>
      <c r="S2937" s="8"/>
      <c r="T2937" s="8"/>
      <c r="U2937" s="8"/>
      <c r="V2937" s="8"/>
      <c r="W2937" s="8"/>
      <c r="X2937" s="8"/>
      <c r="Y2937" s="8"/>
      <c r="Z2937" s="8"/>
    </row>
    <row r="2938" spans="1:28" x14ac:dyDescent="0.3">
      <c r="A2938" s="64"/>
      <c r="B2938" s="8"/>
      <c r="C2938" s="8"/>
      <c r="D2938" s="8"/>
      <c r="E2938" s="8"/>
      <c r="F2938" s="8"/>
      <c r="G2938" s="8"/>
      <c r="H2938" s="8"/>
      <c r="I2938" s="8"/>
      <c r="J2938" s="8"/>
      <c r="K2938" s="8"/>
      <c r="L2938" s="8"/>
      <c r="M2938" s="8"/>
      <c r="N2938" s="8"/>
      <c r="O2938" s="8"/>
      <c r="P2938" s="8"/>
      <c r="Q2938" s="8"/>
      <c r="R2938" s="8"/>
      <c r="S2938" s="8"/>
      <c r="T2938" s="8"/>
      <c r="U2938" s="8"/>
      <c r="V2938" s="8"/>
      <c r="W2938" s="8"/>
      <c r="X2938" s="8"/>
      <c r="Y2938" s="8"/>
      <c r="Z2938" s="8"/>
    </row>
    <row r="2939" spans="1:28" x14ac:dyDescent="0.3">
      <c r="A2939" s="64"/>
      <c r="B2939" s="8"/>
      <c r="C2939" s="8"/>
      <c r="D2939" s="8"/>
      <c r="E2939" s="8"/>
      <c r="F2939" s="8"/>
      <c r="G2939" s="8"/>
      <c r="H2939" s="8"/>
      <c r="I2939" s="8"/>
      <c r="J2939" s="8"/>
      <c r="K2939" s="8"/>
      <c r="L2939" s="8"/>
      <c r="M2939" s="8"/>
      <c r="N2939" s="8"/>
      <c r="O2939" s="8"/>
      <c r="P2939" s="8"/>
      <c r="Q2939" s="8"/>
      <c r="R2939" s="8"/>
      <c r="S2939" s="8"/>
      <c r="T2939" s="8"/>
      <c r="U2939" s="8"/>
      <c r="V2939" s="8"/>
      <c r="W2939" s="8"/>
      <c r="X2939" s="8"/>
      <c r="Y2939" s="8"/>
      <c r="Z2939" s="8"/>
    </row>
    <row r="2940" spans="1:28" x14ac:dyDescent="0.3">
      <c r="A2940" s="64"/>
      <c r="B2940" s="8"/>
      <c r="C2940" s="8"/>
      <c r="D2940" s="8"/>
      <c r="E2940" s="8"/>
      <c r="F2940" s="8"/>
      <c r="G2940" s="8"/>
      <c r="H2940" s="8"/>
      <c r="I2940" s="8"/>
      <c r="J2940" s="8"/>
      <c r="K2940" s="8"/>
      <c r="L2940" s="8"/>
      <c r="M2940" s="8"/>
      <c r="N2940" s="8"/>
      <c r="O2940" s="8"/>
      <c r="P2940" s="8"/>
      <c r="Q2940" s="8"/>
      <c r="R2940" s="8"/>
      <c r="S2940" s="8"/>
      <c r="T2940" s="8"/>
      <c r="U2940" s="8"/>
      <c r="V2940" s="8"/>
      <c r="W2940" s="8"/>
      <c r="X2940" s="8"/>
      <c r="Y2940" s="8"/>
      <c r="Z2940" s="8"/>
    </row>
    <row r="2941" spans="1:28" x14ac:dyDescent="0.3">
      <c r="A2941" s="64"/>
      <c r="B2941" s="8"/>
      <c r="C2941" s="8"/>
      <c r="D2941" s="8"/>
      <c r="E2941" s="8"/>
      <c r="F2941" s="8"/>
      <c r="G2941" s="8"/>
      <c r="H2941" s="8"/>
      <c r="I2941" s="8"/>
      <c r="J2941" s="8"/>
      <c r="K2941" s="8"/>
      <c r="L2941" s="8"/>
      <c r="M2941" s="8"/>
      <c r="N2941" s="8"/>
      <c r="O2941" s="8"/>
      <c r="P2941" s="8"/>
      <c r="Q2941" s="8"/>
      <c r="R2941" s="8"/>
      <c r="S2941" s="8"/>
      <c r="T2941" s="8"/>
      <c r="U2941" s="8"/>
      <c r="V2941" s="8"/>
      <c r="W2941" s="8"/>
      <c r="X2941" s="8"/>
      <c r="Y2941" s="8"/>
      <c r="Z2941" s="8"/>
    </row>
    <row r="2942" spans="1:28" x14ac:dyDescent="0.3">
      <c r="A2942" s="64"/>
      <c r="B2942" s="8"/>
      <c r="C2942" s="8"/>
      <c r="D2942" s="8"/>
      <c r="E2942" s="8"/>
      <c r="F2942" s="8"/>
      <c r="G2942" s="8"/>
      <c r="H2942" s="8"/>
      <c r="I2942" s="8"/>
      <c r="J2942" s="8"/>
      <c r="K2942" s="8"/>
      <c r="L2942" s="8"/>
      <c r="M2942" s="8"/>
      <c r="N2942" s="8"/>
      <c r="O2942" s="8"/>
      <c r="P2942" s="8"/>
      <c r="Q2942" s="8"/>
      <c r="R2942" s="8"/>
      <c r="S2942" s="8"/>
      <c r="T2942" s="8"/>
      <c r="U2942" s="8"/>
      <c r="V2942" s="8"/>
      <c r="W2942" s="8"/>
      <c r="X2942" s="8"/>
      <c r="Y2942" s="8"/>
      <c r="Z2942" s="8"/>
    </row>
    <row r="2943" spans="1:28" x14ac:dyDescent="0.3">
      <c r="A2943" s="64"/>
      <c r="B2943" s="8"/>
      <c r="C2943" s="8"/>
      <c r="D2943" s="8"/>
      <c r="E2943" s="8"/>
      <c r="F2943" s="8"/>
      <c r="G2943" s="8"/>
      <c r="H2943" s="8"/>
      <c r="I2943" s="8"/>
      <c r="J2943" s="8"/>
      <c r="K2943" s="8"/>
      <c r="L2943" s="8"/>
      <c r="M2943" s="8"/>
      <c r="N2943" s="8"/>
      <c r="O2943" s="8"/>
      <c r="P2943" s="8"/>
      <c r="Q2943" s="8"/>
      <c r="R2943" s="8"/>
      <c r="S2943" s="8"/>
      <c r="T2943" s="8"/>
      <c r="U2943" s="8"/>
      <c r="V2943" s="8"/>
      <c r="W2943" s="8"/>
      <c r="X2943" s="8"/>
      <c r="Y2943" s="8"/>
      <c r="Z2943" s="8"/>
    </row>
    <row r="2944" spans="1:28" x14ac:dyDescent="0.3">
      <c r="A2944" s="64"/>
      <c r="B2944" s="8"/>
      <c r="C2944" s="8"/>
      <c r="D2944" s="8"/>
      <c r="E2944" s="8"/>
      <c r="F2944" s="8"/>
      <c r="G2944" s="8"/>
      <c r="H2944" s="8"/>
      <c r="I2944" s="8"/>
      <c r="J2944" s="8"/>
      <c r="K2944" s="8"/>
      <c r="L2944" s="8"/>
      <c r="M2944" s="8"/>
      <c r="N2944" s="8"/>
      <c r="O2944" s="8"/>
      <c r="P2944" s="8"/>
      <c r="Q2944" s="8"/>
      <c r="R2944" s="8"/>
      <c r="S2944" s="8"/>
      <c r="T2944" s="8"/>
      <c r="U2944" s="8"/>
      <c r="V2944" s="8"/>
      <c r="W2944" s="8"/>
      <c r="X2944" s="8"/>
      <c r="Y2944" s="8"/>
      <c r="Z2944" s="8"/>
    </row>
    <row r="2945" spans="1:26" x14ac:dyDescent="0.3">
      <c r="A2945" s="64"/>
      <c r="B2945" s="8"/>
      <c r="C2945" s="8"/>
      <c r="D2945" s="8"/>
      <c r="E2945" s="8"/>
      <c r="F2945" s="8"/>
      <c r="G2945" s="8"/>
      <c r="H2945" s="8"/>
      <c r="I2945" s="8"/>
      <c r="J2945" s="8"/>
      <c r="K2945" s="8"/>
      <c r="L2945" s="8"/>
      <c r="M2945" s="8"/>
      <c r="N2945" s="8"/>
      <c r="O2945" s="8"/>
      <c r="P2945" s="8"/>
      <c r="Q2945" s="8"/>
      <c r="R2945" s="8"/>
      <c r="S2945" s="8"/>
      <c r="T2945" s="8"/>
      <c r="U2945" s="8"/>
      <c r="V2945" s="8"/>
      <c r="W2945" s="8"/>
      <c r="X2945" s="8"/>
      <c r="Y2945" s="8"/>
      <c r="Z2945" s="8"/>
    </row>
    <row r="2946" spans="1:26" x14ac:dyDescent="0.3">
      <c r="A2946" s="64"/>
      <c r="B2946" s="8"/>
      <c r="C2946" s="8"/>
      <c r="D2946" s="8"/>
      <c r="E2946" s="8"/>
      <c r="F2946" s="8"/>
      <c r="G2946" s="8"/>
      <c r="H2946" s="8"/>
      <c r="I2946" s="8"/>
      <c r="J2946" s="8"/>
      <c r="K2946" s="8"/>
      <c r="L2946" s="8"/>
      <c r="M2946" s="8"/>
      <c r="N2946" s="8"/>
      <c r="O2946" s="8"/>
      <c r="P2946" s="8"/>
      <c r="Q2946" s="8"/>
      <c r="R2946" s="8"/>
      <c r="S2946" s="8"/>
      <c r="T2946" s="8"/>
      <c r="U2946" s="8"/>
      <c r="V2946" s="8"/>
      <c r="W2946" s="8"/>
      <c r="X2946" s="8"/>
      <c r="Y2946" s="8"/>
      <c r="Z2946" s="8"/>
    </row>
    <row r="2947" spans="1:26" x14ac:dyDescent="0.3">
      <c r="A2947" s="64"/>
      <c r="B2947" s="8"/>
      <c r="C2947" s="8"/>
      <c r="D2947" s="8"/>
      <c r="E2947" s="8"/>
      <c r="F2947" s="8"/>
      <c r="G2947" s="8"/>
      <c r="H2947" s="8"/>
      <c r="I2947" s="8"/>
      <c r="J2947" s="8"/>
      <c r="K2947" s="8"/>
      <c r="L2947" s="8"/>
      <c r="M2947" s="8"/>
      <c r="N2947" s="8"/>
      <c r="O2947" s="8"/>
      <c r="P2947" s="8"/>
      <c r="Q2947" s="8"/>
      <c r="R2947" s="8"/>
      <c r="S2947" s="8"/>
      <c r="T2947" s="8"/>
      <c r="U2947" s="8"/>
      <c r="V2947" s="8"/>
      <c r="W2947" s="8"/>
      <c r="X2947" s="8"/>
      <c r="Y2947" s="8"/>
      <c r="Z2947" s="8"/>
    </row>
    <row r="2948" spans="1:26" x14ac:dyDescent="0.3">
      <c r="A2948" s="64"/>
      <c r="B2948" s="8"/>
      <c r="C2948" s="8"/>
      <c r="D2948" s="8"/>
      <c r="E2948" s="8"/>
      <c r="F2948" s="8"/>
      <c r="G2948" s="8"/>
      <c r="H2948" s="8"/>
      <c r="I2948" s="8"/>
      <c r="J2948" s="8"/>
      <c r="K2948" s="8"/>
      <c r="L2948" s="8"/>
      <c r="M2948" s="8"/>
      <c r="N2948" s="8"/>
      <c r="O2948" s="8"/>
      <c r="P2948" s="8"/>
      <c r="Q2948" s="8"/>
      <c r="R2948" s="8"/>
      <c r="S2948" s="8"/>
      <c r="T2948" s="8"/>
      <c r="U2948" s="8"/>
      <c r="V2948" s="8"/>
      <c r="W2948" s="8"/>
      <c r="X2948" s="8"/>
      <c r="Y2948" s="8"/>
      <c r="Z2948" s="8"/>
    </row>
    <row r="2949" spans="1:26" x14ac:dyDescent="0.3">
      <c r="A2949" s="64"/>
      <c r="B2949" s="8"/>
      <c r="C2949" s="8"/>
      <c r="D2949" s="8"/>
      <c r="E2949" s="8"/>
      <c r="F2949" s="8"/>
      <c r="G2949" s="8"/>
      <c r="H2949" s="8"/>
      <c r="I2949" s="8"/>
      <c r="J2949" s="8"/>
      <c r="K2949" s="8"/>
      <c r="L2949" s="8"/>
      <c r="M2949" s="8"/>
      <c r="N2949" s="8"/>
      <c r="O2949" s="8"/>
      <c r="P2949" s="8"/>
      <c r="Q2949" s="8"/>
      <c r="R2949" s="8"/>
      <c r="S2949" s="8"/>
      <c r="T2949" s="8"/>
      <c r="U2949" s="8"/>
      <c r="V2949" s="8"/>
      <c r="W2949" s="8"/>
      <c r="X2949" s="8"/>
      <c r="Y2949" s="8"/>
      <c r="Z2949" s="8"/>
    </row>
    <row r="2950" spans="1:26" x14ac:dyDescent="0.3">
      <c r="A2950" s="64"/>
      <c r="B2950" s="8"/>
      <c r="C2950" s="8"/>
      <c r="D2950" s="8"/>
      <c r="E2950" s="8"/>
      <c r="F2950" s="8"/>
      <c r="G2950" s="8"/>
      <c r="H2950" s="8"/>
      <c r="I2950" s="8"/>
      <c r="J2950" s="8"/>
      <c r="K2950" s="8"/>
      <c r="L2950" s="8"/>
      <c r="M2950" s="8"/>
      <c r="N2950" s="8"/>
      <c r="O2950" s="8"/>
      <c r="P2950" s="8"/>
      <c r="Q2950" s="8"/>
      <c r="R2950" s="8"/>
      <c r="S2950" s="8"/>
      <c r="T2950" s="8"/>
      <c r="U2950" s="8"/>
      <c r="V2950" s="8"/>
      <c r="W2950" s="8"/>
      <c r="X2950" s="8"/>
      <c r="Y2950" s="8"/>
      <c r="Z2950" s="8"/>
    </row>
    <row r="2951" spans="1:26" x14ac:dyDescent="0.3">
      <c r="A2951" s="64"/>
      <c r="B2951" s="8"/>
      <c r="C2951" s="8"/>
      <c r="D2951" s="8"/>
      <c r="E2951" s="8"/>
      <c r="F2951" s="8"/>
      <c r="G2951" s="8"/>
      <c r="H2951" s="8"/>
      <c r="I2951" s="8"/>
      <c r="J2951" s="8"/>
      <c r="K2951" s="8"/>
      <c r="L2951" s="8"/>
      <c r="M2951" s="8"/>
      <c r="N2951" s="8"/>
      <c r="O2951" s="8"/>
      <c r="P2951" s="8"/>
      <c r="Q2951" s="8"/>
      <c r="R2951" s="8"/>
      <c r="S2951" s="8"/>
      <c r="T2951" s="8"/>
      <c r="U2951" s="8"/>
      <c r="V2951" s="8"/>
      <c r="W2951" s="8"/>
      <c r="X2951" s="8"/>
      <c r="Y2951" s="8"/>
      <c r="Z2951" s="8"/>
    </row>
    <row r="2952" spans="1:26" x14ac:dyDescent="0.3">
      <c r="A2952" s="64"/>
      <c r="B2952" s="8"/>
      <c r="C2952" s="8"/>
      <c r="D2952" s="8"/>
      <c r="E2952" s="8"/>
      <c r="F2952" s="8"/>
      <c r="G2952" s="8"/>
      <c r="H2952" s="8"/>
      <c r="I2952" s="8"/>
      <c r="J2952" s="8"/>
      <c r="K2952" s="8"/>
      <c r="L2952" s="8"/>
      <c r="M2952" s="8"/>
      <c r="N2952" s="8"/>
      <c r="O2952" s="8"/>
      <c r="P2952" s="8"/>
      <c r="Q2952" s="8"/>
      <c r="R2952" s="8"/>
      <c r="S2952" s="8"/>
      <c r="T2952" s="8"/>
      <c r="U2952" s="8"/>
      <c r="V2952" s="8"/>
      <c r="W2952" s="8"/>
      <c r="X2952" s="8"/>
      <c r="Y2952" s="8"/>
      <c r="Z2952" s="8"/>
    </row>
    <row r="2953" spans="1:26" x14ac:dyDescent="0.3">
      <c r="A2953" s="64"/>
      <c r="B2953" s="8"/>
      <c r="C2953" s="8"/>
      <c r="D2953" s="8"/>
      <c r="E2953" s="8"/>
      <c r="F2953" s="8"/>
      <c r="G2953" s="8"/>
      <c r="H2953" s="8"/>
      <c r="I2953" s="8"/>
      <c r="J2953" s="8"/>
      <c r="K2953" s="8"/>
      <c r="L2953" s="8"/>
      <c r="M2953" s="8"/>
      <c r="N2953" s="8"/>
      <c r="O2953" s="8"/>
      <c r="P2953" s="8"/>
      <c r="Q2953" s="8"/>
      <c r="R2953" s="8"/>
      <c r="S2953" s="8"/>
      <c r="T2953" s="8"/>
      <c r="U2953" s="8"/>
      <c r="V2953" s="8"/>
      <c r="W2953" s="8"/>
      <c r="X2953" s="8"/>
      <c r="Y2953" s="8"/>
      <c r="Z2953" s="8"/>
    </row>
    <row r="2954" spans="1:26" x14ac:dyDescent="0.3">
      <c r="A2954" s="64"/>
      <c r="B2954" s="8"/>
      <c r="C2954" s="8"/>
      <c r="D2954" s="8"/>
      <c r="E2954" s="8"/>
      <c r="F2954" s="8"/>
      <c r="G2954" s="8"/>
      <c r="H2954" s="8"/>
      <c r="I2954" s="8"/>
      <c r="J2954" s="8"/>
      <c r="K2954" s="8"/>
      <c r="L2954" s="8"/>
      <c r="M2954" s="8"/>
      <c r="N2954" s="8"/>
      <c r="O2954" s="8"/>
      <c r="P2954" s="8"/>
      <c r="Q2954" s="8"/>
      <c r="R2954" s="8"/>
      <c r="S2954" s="8"/>
      <c r="T2954" s="8"/>
      <c r="U2954" s="8"/>
      <c r="V2954" s="8"/>
      <c r="W2954" s="8"/>
      <c r="X2954" s="8"/>
      <c r="Y2954" s="8"/>
      <c r="Z2954" s="8"/>
    </row>
    <row r="2955" spans="1:26" x14ac:dyDescent="0.3">
      <c r="A2955" s="64"/>
      <c r="B2955" s="8"/>
      <c r="C2955" s="8"/>
      <c r="D2955" s="8"/>
      <c r="E2955" s="8"/>
      <c r="F2955" s="8"/>
      <c r="G2955" s="8"/>
      <c r="H2955" s="8"/>
      <c r="I2955" s="8"/>
      <c r="J2955" s="8"/>
      <c r="K2955" s="8"/>
      <c r="L2955" s="8"/>
      <c r="M2955" s="8"/>
      <c r="N2955" s="8"/>
      <c r="O2955" s="8"/>
      <c r="P2955" s="8"/>
      <c r="Q2955" s="8"/>
      <c r="R2955" s="8"/>
      <c r="S2955" s="8"/>
      <c r="T2955" s="8"/>
      <c r="U2955" s="8"/>
      <c r="V2955" s="8"/>
      <c r="W2955" s="8"/>
      <c r="X2955" s="8"/>
      <c r="Y2955" s="8"/>
      <c r="Z2955" s="8"/>
    </row>
    <row r="2956" spans="1:26" x14ac:dyDescent="0.3">
      <c r="A2956" s="64"/>
      <c r="B2956" s="8"/>
      <c r="C2956" s="8"/>
      <c r="D2956" s="8"/>
      <c r="E2956" s="8"/>
      <c r="F2956" s="8"/>
      <c r="G2956" s="8"/>
      <c r="H2956" s="8"/>
      <c r="I2956" s="8"/>
      <c r="J2956" s="8"/>
      <c r="K2956" s="8"/>
      <c r="L2956" s="8"/>
      <c r="M2956" s="8"/>
      <c r="N2956" s="8"/>
      <c r="O2956" s="8"/>
      <c r="P2956" s="8"/>
      <c r="Q2956" s="8"/>
      <c r="R2956" s="8"/>
      <c r="S2956" s="8"/>
      <c r="T2956" s="8"/>
      <c r="U2956" s="8"/>
      <c r="V2956" s="8"/>
      <c r="W2956" s="8"/>
      <c r="X2956" s="8"/>
      <c r="Y2956" s="8"/>
      <c r="Z2956" s="8"/>
    </row>
    <row r="2957" spans="1:26" x14ac:dyDescent="0.3">
      <c r="A2957" s="64"/>
      <c r="B2957" s="8"/>
      <c r="C2957" s="8"/>
      <c r="D2957" s="8"/>
      <c r="E2957" s="8"/>
      <c r="F2957" s="8"/>
      <c r="G2957" s="8"/>
      <c r="H2957" s="8"/>
      <c r="I2957" s="8"/>
      <c r="J2957" s="8"/>
      <c r="K2957" s="8"/>
      <c r="L2957" s="8"/>
      <c r="M2957" s="8"/>
      <c r="N2957" s="8"/>
      <c r="O2957" s="8"/>
      <c r="P2957" s="8"/>
      <c r="Q2957" s="8"/>
      <c r="R2957" s="8"/>
      <c r="S2957" s="8"/>
      <c r="T2957" s="8"/>
      <c r="U2957" s="8"/>
      <c r="V2957" s="8"/>
      <c r="W2957" s="8"/>
      <c r="X2957" s="8"/>
      <c r="Y2957" s="8"/>
      <c r="Z2957" s="8"/>
    </row>
    <row r="2958" spans="1:26" x14ac:dyDescent="0.3">
      <c r="A2958" s="64"/>
      <c r="B2958" s="8"/>
      <c r="C2958" s="8"/>
      <c r="D2958" s="8"/>
      <c r="E2958" s="8"/>
      <c r="F2958" s="8"/>
      <c r="G2958" s="8"/>
      <c r="H2958" s="8"/>
      <c r="I2958" s="8"/>
      <c r="J2958" s="8"/>
      <c r="K2958" s="8"/>
      <c r="L2958" s="8"/>
      <c r="M2958" s="8"/>
      <c r="N2958" s="8"/>
      <c r="O2958" s="8"/>
      <c r="P2958" s="8"/>
      <c r="Q2958" s="8"/>
      <c r="R2958" s="8"/>
      <c r="S2958" s="8"/>
      <c r="T2958" s="8"/>
      <c r="U2958" s="8"/>
      <c r="V2958" s="8"/>
      <c r="W2958" s="8"/>
      <c r="X2958" s="8"/>
      <c r="Y2958" s="8"/>
      <c r="Z2958" s="8"/>
    </row>
    <row r="2959" spans="1:26" x14ac:dyDescent="0.3">
      <c r="A2959" s="64"/>
      <c r="B2959" s="8"/>
      <c r="C2959" s="8"/>
      <c r="D2959" s="8"/>
      <c r="E2959" s="8"/>
      <c r="F2959" s="8"/>
      <c r="G2959" s="8"/>
      <c r="H2959" s="8"/>
      <c r="I2959" s="8"/>
      <c r="J2959" s="8"/>
      <c r="K2959" s="8"/>
      <c r="L2959" s="8"/>
      <c r="M2959" s="8"/>
      <c r="N2959" s="8"/>
      <c r="O2959" s="8"/>
      <c r="P2959" s="8"/>
      <c r="Q2959" s="8"/>
      <c r="R2959" s="8"/>
      <c r="S2959" s="8"/>
      <c r="T2959" s="8"/>
      <c r="U2959" s="8"/>
      <c r="V2959" s="8"/>
      <c r="W2959" s="8"/>
      <c r="X2959" s="8"/>
      <c r="Y2959" s="8"/>
      <c r="Z2959" s="8"/>
    </row>
    <row r="2960" spans="1:26" x14ac:dyDescent="0.3">
      <c r="A2960" s="64"/>
      <c r="B2960" s="8"/>
      <c r="C2960" s="8"/>
      <c r="D2960" s="8"/>
      <c r="E2960" s="8"/>
      <c r="F2960" s="8"/>
      <c r="G2960" s="8"/>
      <c r="H2960" s="8"/>
      <c r="I2960" s="8"/>
      <c r="J2960" s="8"/>
      <c r="K2960" s="8"/>
      <c r="L2960" s="8"/>
      <c r="M2960" s="8"/>
      <c r="N2960" s="8"/>
      <c r="O2960" s="8"/>
      <c r="P2960" s="8"/>
      <c r="Q2960" s="8"/>
      <c r="R2960" s="8"/>
      <c r="S2960" s="8"/>
      <c r="T2960" s="8"/>
      <c r="U2960" s="8"/>
      <c r="V2960" s="8"/>
      <c r="W2960" s="8"/>
      <c r="X2960" s="8"/>
      <c r="Y2960" s="8"/>
      <c r="Z2960" s="8"/>
    </row>
    <row r="2961" spans="1:26" x14ac:dyDescent="0.3">
      <c r="A2961" s="64"/>
      <c r="B2961" s="8"/>
      <c r="C2961" s="8"/>
      <c r="D2961" s="8"/>
      <c r="E2961" s="8"/>
      <c r="F2961" s="8"/>
      <c r="G2961" s="8"/>
      <c r="H2961" s="8"/>
      <c r="I2961" s="8"/>
      <c r="J2961" s="8"/>
      <c r="K2961" s="8"/>
      <c r="L2961" s="8"/>
      <c r="M2961" s="8"/>
      <c r="N2961" s="8"/>
      <c r="O2961" s="8"/>
      <c r="P2961" s="8"/>
      <c r="Q2961" s="8"/>
      <c r="R2961" s="8"/>
      <c r="S2961" s="8"/>
      <c r="T2961" s="8"/>
      <c r="U2961" s="8"/>
      <c r="V2961" s="8"/>
      <c r="W2961" s="8"/>
      <c r="X2961" s="8"/>
      <c r="Y2961" s="8"/>
      <c r="Z2961" s="8"/>
    </row>
    <row r="2962" spans="1:26" x14ac:dyDescent="0.3">
      <c r="A2962" s="64"/>
      <c r="B2962" s="8"/>
      <c r="C2962" s="8"/>
      <c r="D2962" s="8"/>
      <c r="E2962" s="8"/>
      <c r="F2962" s="8"/>
      <c r="G2962" s="8"/>
      <c r="H2962" s="8"/>
      <c r="I2962" s="8"/>
      <c r="J2962" s="8"/>
      <c r="K2962" s="8"/>
      <c r="L2962" s="8"/>
      <c r="M2962" s="8"/>
      <c r="N2962" s="8"/>
      <c r="O2962" s="8"/>
      <c r="P2962" s="8"/>
      <c r="Q2962" s="8"/>
      <c r="R2962" s="8"/>
      <c r="S2962" s="8"/>
      <c r="T2962" s="8"/>
      <c r="U2962" s="8"/>
      <c r="V2962" s="8"/>
      <c r="W2962" s="8"/>
      <c r="X2962" s="8"/>
      <c r="Y2962" s="8"/>
      <c r="Z2962" s="8"/>
    </row>
    <row r="2963" spans="1:26" x14ac:dyDescent="0.3">
      <c r="A2963" s="64"/>
      <c r="B2963" s="8"/>
      <c r="C2963" s="8"/>
      <c r="D2963" s="8"/>
      <c r="E2963" s="8"/>
      <c r="F2963" s="8"/>
      <c r="G2963" s="8"/>
      <c r="H2963" s="8"/>
      <c r="I2963" s="8"/>
      <c r="J2963" s="8"/>
      <c r="K2963" s="8"/>
      <c r="L2963" s="8"/>
      <c r="M2963" s="8"/>
      <c r="N2963" s="8"/>
      <c r="O2963" s="8"/>
      <c r="P2963" s="8"/>
      <c r="Q2963" s="8"/>
      <c r="R2963" s="8"/>
      <c r="S2963" s="8"/>
      <c r="T2963" s="8"/>
      <c r="U2963" s="8"/>
      <c r="V2963" s="8"/>
      <c r="W2963" s="8"/>
      <c r="X2963" s="8"/>
      <c r="Y2963" s="8"/>
      <c r="Z2963" s="8"/>
    </row>
    <row r="2964" spans="1:26" x14ac:dyDescent="0.3">
      <c r="A2964" s="64"/>
      <c r="B2964" s="8"/>
      <c r="C2964" s="8"/>
      <c r="D2964" s="8"/>
      <c r="E2964" s="8"/>
      <c r="F2964" s="8"/>
      <c r="G2964" s="8"/>
      <c r="H2964" s="8"/>
      <c r="I2964" s="8"/>
      <c r="J2964" s="8"/>
      <c r="K2964" s="8"/>
      <c r="L2964" s="8"/>
      <c r="M2964" s="8"/>
      <c r="N2964" s="8"/>
      <c r="O2964" s="8"/>
      <c r="P2964" s="8"/>
      <c r="Q2964" s="8"/>
      <c r="R2964" s="8"/>
      <c r="S2964" s="8"/>
      <c r="T2964" s="8"/>
      <c r="U2964" s="8"/>
      <c r="V2964" s="8"/>
      <c r="W2964" s="8"/>
      <c r="X2964" s="8"/>
      <c r="Y2964" s="8"/>
      <c r="Z2964" s="8"/>
    </row>
    <row r="2965" spans="1:26" x14ac:dyDescent="0.3">
      <c r="A2965" s="64"/>
      <c r="B2965" s="8"/>
      <c r="C2965" s="8"/>
      <c r="D2965" s="8"/>
      <c r="E2965" s="8"/>
      <c r="F2965" s="8"/>
      <c r="G2965" s="8"/>
      <c r="H2965" s="8"/>
      <c r="I2965" s="8"/>
      <c r="J2965" s="8"/>
      <c r="K2965" s="8"/>
      <c r="L2965" s="8"/>
      <c r="M2965" s="8"/>
      <c r="N2965" s="8"/>
      <c r="O2965" s="8"/>
      <c r="P2965" s="8"/>
      <c r="Q2965" s="8"/>
      <c r="R2965" s="8"/>
      <c r="S2965" s="8"/>
      <c r="T2965" s="8"/>
      <c r="U2965" s="8"/>
      <c r="V2965" s="8"/>
      <c r="W2965" s="8"/>
      <c r="X2965" s="8"/>
      <c r="Y2965" s="8"/>
      <c r="Z2965" s="8"/>
    </row>
    <row r="2966" spans="1:26" x14ac:dyDescent="0.3">
      <c r="A2966" s="64"/>
      <c r="B2966" s="8"/>
      <c r="C2966" s="8"/>
      <c r="D2966" s="8"/>
      <c r="E2966" s="8"/>
      <c r="F2966" s="8"/>
      <c r="G2966" s="8"/>
      <c r="H2966" s="8"/>
      <c r="I2966" s="8"/>
      <c r="J2966" s="8"/>
      <c r="K2966" s="8"/>
      <c r="L2966" s="8"/>
      <c r="M2966" s="8"/>
      <c r="N2966" s="8"/>
      <c r="O2966" s="8"/>
      <c r="P2966" s="8"/>
      <c r="Q2966" s="8"/>
      <c r="R2966" s="8"/>
      <c r="S2966" s="8"/>
      <c r="T2966" s="8"/>
      <c r="U2966" s="8"/>
      <c r="V2966" s="8"/>
      <c r="W2966" s="8"/>
      <c r="X2966" s="8"/>
      <c r="Y2966" s="8"/>
      <c r="Z2966" s="8"/>
    </row>
    <row r="2967" spans="1:26" x14ac:dyDescent="0.3">
      <c r="A2967" s="64"/>
      <c r="B2967" s="8"/>
      <c r="C2967" s="8"/>
      <c r="D2967" s="8"/>
      <c r="E2967" s="8"/>
      <c r="F2967" s="8"/>
      <c r="G2967" s="8"/>
      <c r="H2967" s="8"/>
      <c r="I2967" s="8"/>
      <c r="J2967" s="8"/>
      <c r="K2967" s="8"/>
      <c r="L2967" s="8"/>
      <c r="M2967" s="8"/>
      <c r="N2967" s="8"/>
      <c r="O2967" s="8"/>
      <c r="P2967" s="8"/>
      <c r="Q2967" s="8"/>
      <c r="R2967" s="8"/>
      <c r="S2967" s="8"/>
      <c r="T2967" s="8"/>
      <c r="U2967" s="8"/>
      <c r="V2967" s="8"/>
      <c r="W2967" s="8"/>
      <c r="X2967" s="8"/>
      <c r="Y2967" s="8"/>
      <c r="Z2967" s="8"/>
    </row>
    <row r="2968" spans="1:26" x14ac:dyDescent="0.3">
      <c r="A2968" s="64"/>
      <c r="B2968" s="8"/>
      <c r="C2968" s="8"/>
      <c r="D2968" s="8"/>
      <c r="E2968" s="8"/>
      <c r="F2968" s="8"/>
      <c r="G2968" s="8"/>
      <c r="H2968" s="8"/>
      <c r="I2968" s="8"/>
      <c r="J2968" s="8"/>
      <c r="K2968" s="8"/>
      <c r="L2968" s="8"/>
      <c r="M2968" s="8"/>
      <c r="N2968" s="8"/>
      <c r="O2968" s="8"/>
      <c r="P2968" s="8"/>
      <c r="Q2968" s="8"/>
      <c r="R2968" s="8"/>
      <c r="S2968" s="8"/>
      <c r="T2968" s="8"/>
      <c r="U2968" s="8"/>
      <c r="V2968" s="8"/>
      <c r="W2968" s="8"/>
      <c r="X2968" s="8"/>
      <c r="Y2968" s="8"/>
      <c r="Z2968" s="8"/>
    </row>
    <row r="2969" spans="1:26" x14ac:dyDescent="0.3">
      <c r="A2969" s="64"/>
      <c r="B2969" s="8"/>
      <c r="C2969" s="8"/>
      <c r="D2969" s="8"/>
      <c r="E2969" s="8"/>
      <c r="F2969" s="8"/>
      <c r="G2969" s="8"/>
      <c r="H2969" s="8"/>
      <c r="I2969" s="8"/>
      <c r="J2969" s="8"/>
      <c r="K2969" s="8"/>
      <c r="L2969" s="8"/>
      <c r="M2969" s="8"/>
      <c r="N2969" s="8"/>
      <c r="O2969" s="8"/>
      <c r="P2969" s="8"/>
      <c r="Q2969" s="8"/>
      <c r="R2969" s="8"/>
      <c r="S2969" s="8"/>
      <c r="T2969" s="8"/>
      <c r="U2969" s="8"/>
      <c r="V2969" s="8"/>
      <c r="W2969" s="8"/>
      <c r="X2969" s="8"/>
      <c r="Y2969" s="8"/>
      <c r="Z2969" s="8"/>
    </row>
    <row r="2970" spans="1:26" x14ac:dyDescent="0.3">
      <c r="A2970" s="64"/>
      <c r="B2970" s="8"/>
      <c r="C2970" s="8"/>
      <c r="D2970" s="8"/>
      <c r="E2970" s="8"/>
      <c r="F2970" s="8"/>
      <c r="G2970" s="8"/>
      <c r="H2970" s="8"/>
      <c r="I2970" s="8"/>
      <c r="J2970" s="8"/>
      <c r="K2970" s="8"/>
      <c r="L2970" s="8"/>
      <c r="M2970" s="8"/>
      <c r="N2970" s="8"/>
      <c r="O2970" s="8"/>
      <c r="P2970" s="8"/>
      <c r="Q2970" s="8"/>
      <c r="R2970" s="8"/>
      <c r="S2970" s="8"/>
      <c r="T2970" s="8"/>
      <c r="U2970" s="8"/>
      <c r="V2970" s="8"/>
      <c r="W2970" s="8"/>
      <c r="X2970" s="8"/>
      <c r="Y2970" s="8"/>
      <c r="Z2970" s="8"/>
    </row>
    <row r="2971" spans="1:26" x14ac:dyDescent="0.3">
      <c r="A2971" s="64"/>
      <c r="B2971" s="8"/>
      <c r="C2971" s="8"/>
      <c r="D2971" s="8"/>
      <c r="E2971" s="8"/>
      <c r="F2971" s="8"/>
      <c r="G2971" s="8"/>
      <c r="H2971" s="8"/>
      <c r="I2971" s="8"/>
      <c r="J2971" s="8"/>
      <c r="K2971" s="8"/>
      <c r="L2971" s="8"/>
      <c r="M2971" s="8"/>
      <c r="N2971" s="8"/>
      <c r="O2971" s="8"/>
      <c r="P2971" s="8"/>
      <c r="Q2971" s="8"/>
      <c r="R2971" s="8"/>
      <c r="S2971" s="8"/>
      <c r="T2971" s="8"/>
      <c r="U2971" s="8"/>
      <c r="V2971" s="8"/>
      <c r="W2971" s="8"/>
      <c r="X2971" s="8"/>
      <c r="Y2971" s="8"/>
      <c r="Z2971" s="8"/>
    </row>
    <row r="2972" spans="1:26" x14ac:dyDescent="0.3">
      <c r="A2972" s="64"/>
      <c r="B2972" s="8"/>
      <c r="C2972" s="8"/>
      <c r="D2972" s="8"/>
      <c r="E2972" s="8"/>
      <c r="F2972" s="8"/>
      <c r="G2972" s="8"/>
      <c r="H2972" s="8"/>
      <c r="I2972" s="8"/>
      <c r="J2972" s="8"/>
      <c r="K2972" s="8"/>
      <c r="L2972" s="8"/>
      <c r="M2972" s="8"/>
      <c r="N2972" s="8"/>
      <c r="O2972" s="8"/>
      <c r="P2972" s="8"/>
      <c r="Q2972" s="8"/>
      <c r="R2972" s="8"/>
      <c r="S2972" s="8"/>
      <c r="T2972" s="8"/>
      <c r="U2972" s="8"/>
      <c r="V2972" s="8"/>
      <c r="W2972" s="8"/>
      <c r="X2972" s="8"/>
      <c r="Y2972" s="8"/>
      <c r="Z2972" s="8"/>
    </row>
    <row r="2973" spans="1:26" x14ac:dyDescent="0.3">
      <c r="A2973" s="64"/>
      <c r="B2973" s="8"/>
      <c r="C2973" s="8"/>
      <c r="D2973" s="8"/>
      <c r="E2973" s="8"/>
      <c r="F2973" s="8"/>
      <c r="G2973" s="8"/>
      <c r="H2973" s="8"/>
      <c r="I2973" s="8"/>
      <c r="J2973" s="8"/>
      <c r="K2973" s="8"/>
      <c r="L2973" s="8"/>
      <c r="M2973" s="8"/>
      <c r="N2973" s="8"/>
      <c r="O2973" s="8"/>
      <c r="P2973" s="8"/>
      <c r="Q2973" s="8"/>
      <c r="R2973" s="8"/>
      <c r="S2973" s="8"/>
      <c r="T2973" s="8"/>
      <c r="U2973" s="8"/>
      <c r="V2973" s="8"/>
      <c r="W2973" s="8"/>
      <c r="X2973" s="8"/>
      <c r="Y2973" s="8"/>
      <c r="Z2973" s="8"/>
    </row>
    <row r="2974" spans="1:26" x14ac:dyDescent="0.3">
      <c r="A2974" s="64"/>
      <c r="B2974" s="8"/>
      <c r="C2974" s="8"/>
      <c r="D2974" s="8"/>
      <c r="E2974" s="8"/>
      <c r="F2974" s="8"/>
      <c r="G2974" s="8"/>
      <c r="H2974" s="8"/>
      <c r="I2974" s="8"/>
      <c r="J2974" s="8"/>
      <c r="K2974" s="8"/>
      <c r="L2974" s="8"/>
      <c r="M2974" s="8"/>
      <c r="N2974" s="8"/>
      <c r="O2974" s="8"/>
      <c r="P2974" s="8"/>
      <c r="Q2974" s="8"/>
      <c r="R2974" s="8"/>
      <c r="S2974" s="8"/>
      <c r="T2974" s="8"/>
      <c r="U2974" s="8"/>
      <c r="V2974" s="8"/>
      <c r="W2974" s="8"/>
      <c r="X2974" s="8"/>
      <c r="Y2974" s="8"/>
      <c r="Z2974" s="8"/>
    </row>
    <row r="2975" spans="1:26" x14ac:dyDescent="0.3">
      <c r="A2975" s="64"/>
      <c r="B2975" s="8"/>
      <c r="C2975" s="8"/>
      <c r="D2975" s="8"/>
      <c r="E2975" s="8"/>
      <c r="F2975" s="8"/>
      <c r="G2975" s="8"/>
      <c r="H2975" s="8"/>
      <c r="I2975" s="8"/>
      <c r="J2975" s="8"/>
      <c r="K2975" s="8"/>
      <c r="L2975" s="8"/>
      <c r="M2975" s="8"/>
      <c r="N2975" s="8"/>
      <c r="O2975" s="8"/>
      <c r="P2975" s="8"/>
      <c r="Q2975" s="8"/>
      <c r="R2975" s="8"/>
      <c r="S2975" s="8"/>
      <c r="T2975" s="8"/>
      <c r="U2975" s="8"/>
      <c r="V2975" s="8"/>
      <c r="W2975" s="8"/>
      <c r="X2975" s="8"/>
      <c r="Y2975" s="8"/>
      <c r="Z2975" s="8"/>
    </row>
    <row r="2976" spans="1:26" x14ac:dyDescent="0.3">
      <c r="A2976" s="64"/>
      <c r="B2976" s="8"/>
      <c r="C2976" s="8"/>
      <c r="D2976" s="8"/>
      <c r="E2976" s="8"/>
      <c r="F2976" s="8"/>
      <c r="G2976" s="8"/>
      <c r="H2976" s="8"/>
      <c r="I2976" s="8"/>
      <c r="J2976" s="8"/>
      <c r="K2976" s="8"/>
      <c r="L2976" s="8"/>
      <c r="M2976" s="8"/>
      <c r="N2976" s="8"/>
      <c r="O2976" s="8"/>
      <c r="P2976" s="8"/>
      <c r="Q2976" s="8"/>
      <c r="R2976" s="8"/>
      <c r="S2976" s="8"/>
      <c r="T2976" s="8"/>
      <c r="U2976" s="8"/>
      <c r="V2976" s="8"/>
      <c r="W2976" s="8"/>
      <c r="X2976" s="8"/>
      <c r="Y2976" s="8"/>
      <c r="Z2976" s="8"/>
    </row>
    <row r="2977" spans="1:26" x14ac:dyDescent="0.3">
      <c r="A2977" s="64"/>
      <c r="B2977" s="8"/>
      <c r="C2977" s="8"/>
      <c r="D2977" s="8"/>
      <c r="E2977" s="8"/>
      <c r="F2977" s="8"/>
      <c r="G2977" s="8"/>
      <c r="H2977" s="8"/>
      <c r="I2977" s="8"/>
      <c r="J2977" s="8"/>
      <c r="K2977" s="8"/>
      <c r="L2977" s="8"/>
      <c r="M2977" s="8"/>
      <c r="N2977" s="8"/>
      <c r="O2977" s="8"/>
      <c r="P2977" s="8"/>
      <c r="Q2977" s="8"/>
      <c r="R2977" s="8"/>
      <c r="S2977" s="8"/>
      <c r="T2977" s="8"/>
      <c r="U2977" s="8"/>
      <c r="V2977" s="8"/>
      <c r="W2977" s="8"/>
      <c r="X2977" s="8"/>
      <c r="Y2977" s="8"/>
      <c r="Z2977" s="8"/>
    </row>
    <row r="2978" spans="1:26" x14ac:dyDescent="0.3">
      <c r="A2978" s="64"/>
      <c r="B2978" s="8"/>
      <c r="C2978" s="8"/>
      <c r="D2978" s="8"/>
      <c r="E2978" s="8"/>
      <c r="F2978" s="8"/>
      <c r="G2978" s="8"/>
      <c r="H2978" s="8"/>
      <c r="I2978" s="8"/>
      <c r="J2978" s="8"/>
      <c r="K2978" s="8"/>
      <c r="L2978" s="8"/>
      <c r="M2978" s="8"/>
      <c r="N2978" s="8"/>
      <c r="O2978" s="8"/>
      <c r="P2978" s="8"/>
      <c r="Q2978" s="8"/>
      <c r="R2978" s="8"/>
      <c r="S2978" s="8"/>
      <c r="T2978" s="8"/>
      <c r="U2978" s="8"/>
      <c r="V2978" s="8"/>
      <c r="W2978" s="8"/>
      <c r="X2978" s="8"/>
      <c r="Y2978" s="8"/>
      <c r="Z2978" s="8"/>
    </row>
    <row r="2979" spans="1:26" x14ac:dyDescent="0.3">
      <c r="A2979" s="64"/>
      <c r="B2979" s="8"/>
      <c r="C2979" s="8"/>
      <c r="D2979" s="8"/>
      <c r="E2979" s="8"/>
      <c r="F2979" s="8"/>
      <c r="G2979" s="8"/>
      <c r="H2979" s="8"/>
      <c r="I2979" s="8"/>
      <c r="J2979" s="8"/>
      <c r="K2979" s="8"/>
      <c r="L2979" s="8"/>
      <c r="M2979" s="8"/>
      <c r="N2979" s="8"/>
      <c r="O2979" s="8"/>
      <c r="P2979" s="8"/>
      <c r="Q2979" s="8"/>
      <c r="R2979" s="8"/>
      <c r="S2979" s="8"/>
      <c r="T2979" s="8"/>
      <c r="U2979" s="8"/>
      <c r="V2979" s="8"/>
      <c r="W2979" s="8"/>
      <c r="X2979" s="8"/>
      <c r="Y2979" s="8"/>
      <c r="Z2979" s="8"/>
    </row>
    <row r="2980" spans="1:26" x14ac:dyDescent="0.3">
      <c r="A2980" s="64"/>
      <c r="B2980" s="8"/>
      <c r="C2980" s="8"/>
      <c r="D2980" s="8"/>
      <c r="E2980" s="8"/>
      <c r="F2980" s="8"/>
      <c r="G2980" s="8"/>
      <c r="H2980" s="8"/>
      <c r="I2980" s="8"/>
      <c r="J2980" s="8"/>
      <c r="K2980" s="8"/>
      <c r="L2980" s="8"/>
      <c r="M2980" s="8"/>
      <c r="N2980" s="8"/>
      <c r="O2980" s="8"/>
      <c r="P2980" s="8"/>
      <c r="Q2980" s="8"/>
      <c r="R2980" s="8"/>
      <c r="S2980" s="8"/>
      <c r="T2980" s="8"/>
      <c r="U2980" s="8"/>
      <c r="V2980" s="8"/>
      <c r="W2980" s="8"/>
      <c r="X2980" s="8"/>
      <c r="Y2980" s="8"/>
      <c r="Z2980" s="8"/>
    </row>
    <row r="2981" spans="1:26" x14ac:dyDescent="0.3">
      <c r="A2981" s="64"/>
      <c r="B2981" s="8"/>
      <c r="C2981" s="8"/>
      <c r="D2981" s="8"/>
      <c r="E2981" s="8"/>
      <c r="F2981" s="8"/>
      <c r="G2981" s="8"/>
      <c r="H2981" s="8"/>
      <c r="I2981" s="8"/>
      <c r="J2981" s="8"/>
      <c r="K2981" s="8"/>
      <c r="L2981" s="8"/>
      <c r="M2981" s="8"/>
      <c r="N2981" s="8"/>
      <c r="O2981" s="8"/>
      <c r="P2981" s="8"/>
      <c r="Q2981" s="8"/>
      <c r="R2981" s="8"/>
      <c r="S2981" s="8"/>
      <c r="T2981" s="8"/>
      <c r="U2981" s="8"/>
      <c r="V2981" s="8"/>
      <c r="W2981" s="8"/>
      <c r="X2981" s="8"/>
      <c r="Y2981" s="8"/>
      <c r="Z2981" s="8"/>
    </row>
    <row r="2982" spans="1:26" x14ac:dyDescent="0.3">
      <c r="A2982" s="64"/>
      <c r="B2982" s="8"/>
      <c r="C2982" s="8"/>
      <c r="D2982" s="8"/>
      <c r="E2982" s="8"/>
      <c r="F2982" s="8"/>
      <c r="G2982" s="8"/>
      <c r="H2982" s="8"/>
      <c r="I2982" s="8"/>
      <c r="J2982" s="8"/>
      <c r="K2982" s="8"/>
      <c r="L2982" s="8"/>
      <c r="M2982" s="8"/>
      <c r="N2982" s="8"/>
      <c r="O2982" s="8"/>
      <c r="P2982" s="8"/>
      <c r="Q2982" s="8"/>
      <c r="R2982" s="8"/>
      <c r="S2982" s="8"/>
      <c r="T2982" s="8"/>
      <c r="U2982" s="8"/>
      <c r="V2982" s="8"/>
      <c r="W2982" s="8"/>
      <c r="X2982" s="8"/>
      <c r="Y2982" s="8"/>
      <c r="Z2982" s="8"/>
    </row>
    <row r="2983" spans="1:26" x14ac:dyDescent="0.3">
      <c r="A2983" s="64"/>
      <c r="B2983" s="8"/>
      <c r="C2983" s="8"/>
      <c r="D2983" s="8"/>
      <c r="E2983" s="8"/>
      <c r="F2983" s="8"/>
      <c r="G2983" s="8"/>
      <c r="H2983" s="8"/>
      <c r="I2983" s="8"/>
      <c r="J2983" s="8"/>
      <c r="K2983" s="8"/>
      <c r="L2983" s="8"/>
      <c r="M2983" s="8"/>
      <c r="N2983" s="8"/>
      <c r="O2983" s="8"/>
      <c r="P2983" s="8"/>
      <c r="Q2983" s="8"/>
      <c r="R2983" s="8"/>
      <c r="S2983" s="8"/>
      <c r="T2983" s="8"/>
      <c r="U2983" s="8"/>
      <c r="V2983" s="8"/>
      <c r="W2983" s="8"/>
      <c r="X2983" s="8"/>
      <c r="Y2983" s="8"/>
      <c r="Z2983" s="8"/>
    </row>
    <row r="2984" spans="1:26" x14ac:dyDescent="0.3">
      <c r="A2984" s="64"/>
      <c r="B2984" s="8"/>
      <c r="C2984" s="8"/>
      <c r="D2984" s="8"/>
      <c r="E2984" s="8"/>
      <c r="F2984" s="8"/>
      <c r="G2984" s="8"/>
      <c r="H2984" s="8"/>
      <c r="I2984" s="8"/>
      <c r="J2984" s="8"/>
      <c r="K2984" s="8"/>
      <c r="L2984" s="8"/>
      <c r="M2984" s="8"/>
      <c r="N2984" s="8"/>
      <c r="O2984" s="8"/>
      <c r="P2984" s="8"/>
      <c r="Q2984" s="8"/>
      <c r="R2984" s="8"/>
      <c r="S2984" s="8"/>
      <c r="T2984" s="8"/>
      <c r="U2984" s="8"/>
      <c r="V2984" s="8"/>
      <c r="W2984" s="8"/>
      <c r="X2984" s="8"/>
      <c r="Y2984" s="8"/>
      <c r="Z2984" s="8"/>
    </row>
    <row r="2985" spans="1:26" x14ac:dyDescent="0.3">
      <c r="A2985" s="64"/>
      <c r="B2985" s="8"/>
      <c r="C2985" s="8"/>
      <c r="D2985" s="8"/>
      <c r="E2985" s="8"/>
      <c r="F2985" s="8"/>
      <c r="G2985" s="8"/>
      <c r="H2985" s="8"/>
      <c r="I2985" s="8"/>
      <c r="J2985" s="8"/>
      <c r="K2985" s="8"/>
      <c r="L2985" s="8"/>
      <c r="M2985" s="8"/>
      <c r="N2985" s="8"/>
      <c r="O2985" s="8"/>
      <c r="P2985" s="8"/>
      <c r="Q2985" s="8"/>
      <c r="R2985" s="8"/>
      <c r="S2985" s="8"/>
      <c r="T2985" s="8"/>
      <c r="U2985" s="8"/>
      <c r="V2985" s="8"/>
      <c r="W2985" s="8"/>
      <c r="X2985" s="8"/>
      <c r="Y2985" s="8"/>
      <c r="Z2985" s="8"/>
    </row>
    <row r="2986" spans="1:26" x14ac:dyDescent="0.3">
      <c r="A2986" s="64"/>
      <c r="B2986" s="8"/>
      <c r="C2986" s="8"/>
      <c r="D2986" s="8"/>
      <c r="E2986" s="8"/>
      <c r="F2986" s="8"/>
      <c r="G2986" s="8"/>
      <c r="H2986" s="8"/>
      <c r="I2986" s="8"/>
      <c r="J2986" s="8"/>
      <c r="K2986" s="8"/>
      <c r="L2986" s="8"/>
      <c r="M2986" s="8"/>
      <c r="N2986" s="8"/>
      <c r="O2986" s="8"/>
      <c r="P2986" s="8"/>
      <c r="Q2986" s="8"/>
      <c r="R2986" s="8"/>
      <c r="S2986" s="8"/>
      <c r="T2986" s="8"/>
      <c r="U2986" s="8"/>
      <c r="V2986" s="8"/>
      <c r="W2986" s="8"/>
      <c r="X2986" s="8"/>
      <c r="Y2986" s="8"/>
      <c r="Z2986" s="8"/>
    </row>
    <row r="2987" spans="1:26" x14ac:dyDescent="0.3">
      <c r="A2987" s="64"/>
      <c r="B2987" s="8"/>
      <c r="C2987" s="8"/>
      <c r="D2987" s="8"/>
      <c r="E2987" s="8"/>
      <c r="F2987" s="8"/>
      <c r="G2987" s="8"/>
      <c r="H2987" s="8"/>
      <c r="I2987" s="8"/>
      <c r="J2987" s="8"/>
      <c r="K2987" s="8"/>
      <c r="L2987" s="8"/>
      <c r="M2987" s="8"/>
      <c r="N2987" s="8"/>
      <c r="O2987" s="8"/>
      <c r="P2987" s="8"/>
      <c r="Q2987" s="8"/>
      <c r="R2987" s="8"/>
      <c r="S2987" s="8"/>
      <c r="T2987" s="8"/>
      <c r="U2987" s="8"/>
      <c r="V2987" s="8"/>
      <c r="W2987" s="8"/>
      <c r="X2987" s="8"/>
      <c r="Y2987" s="8"/>
      <c r="Z2987" s="8"/>
    </row>
    <row r="2988" spans="1:26" x14ac:dyDescent="0.3">
      <c r="A2988" s="64"/>
      <c r="B2988" s="8"/>
      <c r="C2988" s="8"/>
      <c r="D2988" s="8"/>
      <c r="E2988" s="8"/>
      <c r="F2988" s="8"/>
      <c r="G2988" s="8"/>
      <c r="H2988" s="8"/>
      <c r="I2988" s="8"/>
      <c r="J2988" s="8"/>
      <c r="K2988" s="8"/>
      <c r="L2988" s="8"/>
      <c r="M2988" s="8"/>
      <c r="N2988" s="8"/>
      <c r="O2988" s="8"/>
      <c r="P2988" s="8"/>
      <c r="Q2988" s="8"/>
      <c r="R2988" s="8"/>
      <c r="S2988" s="8"/>
      <c r="T2988" s="8"/>
      <c r="U2988" s="8"/>
      <c r="V2988" s="8"/>
      <c r="W2988" s="8"/>
      <c r="X2988" s="8"/>
      <c r="Y2988" s="8"/>
      <c r="Z2988" s="8"/>
    </row>
    <row r="2989" spans="1:26" x14ac:dyDescent="0.3">
      <c r="A2989" s="64"/>
      <c r="B2989" s="8"/>
      <c r="C2989" s="8"/>
      <c r="D2989" s="8"/>
      <c r="E2989" s="8"/>
      <c r="F2989" s="8"/>
      <c r="G2989" s="8"/>
      <c r="H2989" s="8"/>
      <c r="I2989" s="8"/>
      <c r="J2989" s="8"/>
      <c r="K2989" s="8"/>
      <c r="L2989" s="8"/>
      <c r="M2989" s="8"/>
      <c r="N2989" s="8"/>
      <c r="O2989" s="8"/>
      <c r="P2989" s="8"/>
      <c r="Q2989" s="8"/>
      <c r="R2989" s="8"/>
      <c r="S2989" s="8"/>
      <c r="T2989" s="8"/>
      <c r="U2989" s="8"/>
      <c r="V2989" s="8"/>
      <c r="W2989" s="8"/>
      <c r="X2989" s="8"/>
      <c r="Y2989" s="8"/>
      <c r="Z2989" s="8"/>
    </row>
    <row r="2990" spans="1:26" x14ac:dyDescent="0.3">
      <c r="A2990" s="64"/>
      <c r="B2990" s="8"/>
      <c r="C2990" s="8"/>
      <c r="D2990" s="8"/>
      <c r="E2990" s="8"/>
      <c r="F2990" s="8"/>
      <c r="G2990" s="8"/>
      <c r="H2990" s="8"/>
      <c r="I2990" s="8"/>
      <c r="J2990" s="8"/>
      <c r="K2990" s="8"/>
      <c r="L2990" s="8"/>
      <c r="M2990" s="8"/>
      <c r="N2990" s="8"/>
      <c r="O2990" s="8"/>
      <c r="P2990" s="8"/>
      <c r="Q2990" s="8"/>
      <c r="R2990" s="8"/>
      <c r="S2990" s="8"/>
      <c r="T2990" s="8"/>
      <c r="U2990" s="8"/>
      <c r="V2990" s="8"/>
      <c r="W2990" s="8"/>
      <c r="X2990" s="8"/>
      <c r="Y2990" s="8"/>
      <c r="Z2990" s="8"/>
    </row>
    <row r="2991" spans="1:26" x14ac:dyDescent="0.3">
      <c r="A2991" s="64"/>
      <c r="B2991" s="8"/>
      <c r="C2991" s="8"/>
      <c r="D2991" s="8"/>
      <c r="E2991" s="8"/>
      <c r="F2991" s="8"/>
      <c r="G2991" s="8"/>
      <c r="H2991" s="8"/>
      <c r="I2991" s="8"/>
      <c r="J2991" s="8"/>
      <c r="K2991" s="8"/>
      <c r="L2991" s="8"/>
      <c r="M2991" s="8"/>
      <c r="N2991" s="8"/>
      <c r="O2991" s="8"/>
      <c r="P2991" s="8"/>
      <c r="Q2991" s="8"/>
      <c r="R2991" s="8"/>
      <c r="S2991" s="8"/>
      <c r="T2991" s="8"/>
      <c r="U2991" s="8"/>
      <c r="V2991" s="8"/>
      <c r="W2991" s="8"/>
      <c r="X2991" s="8"/>
      <c r="Y2991" s="8"/>
      <c r="Z2991" s="8"/>
    </row>
    <row r="2992" spans="1:26" x14ac:dyDescent="0.3">
      <c r="A2992" s="64"/>
      <c r="B2992" s="8"/>
      <c r="C2992" s="8"/>
      <c r="D2992" s="8"/>
      <c r="E2992" s="8"/>
      <c r="F2992" s="8"/>
      <c r="G2992" s="8"/>
      <c r="H2992" s="8"/>
      <c r="I2992" s="8"/>
      <c r="J2992" s="8"/>
      <c r="K2992" s="8"/>
      <c r="L2992" s="8"/>
      <c r="M2992" s="8"/>
      <c r="N2992" s="8"/>
      <c r="O2992" s="8"/>
      <c r="P2992" s="8"/>
      <c r="Q2992" s="8"/>
      <c r="R2992" s="8"/>
      <c r="S2992" s="8"/>
      <c r="T2992" s="8"/>
      <c r="U2992" s="8"/>
      <c r="V2992" s="8"/>
      <c r="W2992" s="8"/>
      <c r="X2992" s="8"/>
      <c r="Y2992" s="8"/>
      <c r="Z2992" s="8"/>
    </row>
    <row r="2993" spans="1:2" x14ac:dyDescent="0.3">
      <c r="A2993" s="64"/>
      <c r="B2993" s="8"/>
    </row>
    <row r="2994" spans="1:2" x14ac:dyDescent="0.3">
      <c r="A2994" s="64"/>
      <c r="B2994" s="8"/>
    </row>
    <row r="2995" spans="1:2" x14ac:dyDescent="0.3">
      <c r="A2995" s="64"/>
      <c r="B2995" s="8"/>
    </row>
    <row r="2996" spans="1:2" x14ac:dyDescent="0.3">
      <c r="A2996" s="64"/>
      <c r="B2996" s="8"/>
    </row>
    <row r="2997" spans="1:2" x14ac:dyDescent="0.3">
      <c r="A2997" s="64"/>
      <c r="B2997" s="8"/>
    </row>
    <row r="2998" spans="1:2" x14ac:dyDescent="0.3">
      <c r="A2998" s="64"/>
      <c r="B2998" s="8"/>
    </row>
    <row r="2999" spans="1:2" x14ac:dyDescent="0.3">
      <c r="A2999" s="64"/>
      <c r="B2999" s="8"/>
    </row>
    <row r="3000" spans="1:2" x14ac:dyDescent="0.3">
      <c r="A3000" s="64"/>
      <c r="B3000" s="8"/>
    </row>
    <row r="3001" spans="1:2" x14ac:dyDescent="0.3">
      <c r="A3001" s="64"/>
      <c r="B3001" s="8"/>
    </row>
    <row r="3002" spans="1:2" x14ac:dyDescent="0.3">
      <c r="A3002" s="64"/>
      <c r="B3002" s="8"/>
    </row>
    <row r="3003" spans="1:2" x14ac:dyDescent="0.3">
      <c r="A3003" s="64"/>
      <c r="B3003" s="8"/>
    </row>
    <row r="3004" spans="1:2" x14ac:dyDescent="0.3">
      <c r="A3004" s="64"/>
      <c r="B3004" s="8"/>
    </row>
    <row r="3005" spans="1:2" x14ac:dyDescent="0.3">
      <c r="A3005" s="64"/>
      <c r="B3005" s="8"/>
    </row>
    <row r="3006" spans="1:2" x14ac:dyDescent="0.3">
      <c r="A3006" s="64"/>
      <c r="B3006" s="8"/>
    </row>
    <row r="3007" spans="1:2" x14ac:dyDescent="0.3">
      <c r="A3007" s="64"/>
      <c r="B3007" s="8"/>
    </row>
    <row r="3008" spans="1:2" x14ac:dyDescent="0.3">
      <c r="A3008" s="64"/>
      <c r="B3008" s="8"/>
    </row>
    <row r="3009" spans="1:2" x14ac:dyDescent="0.3">
      <c r="A3009" s="64"/>
      <c r="B3009" s="8"/>
    </row>
    <row r="3010" spans="1:2" x14ac:dyDescent="0.3">
      <c r="A3010" s="64"/>
      <c r="B3010" s="8"/>
    </row>
    <row r="3011" spans="1:2" x14ac:dyDescent="0.3">
      <c r="A3011" s="64"/>
      <c r="B3011" s="8"/>
    </row>
    <row r="3012" spans="1:2" x14ac:dyDescent="0.3">
      <c r="A3012" s="64"/>
      <c r="B3012" s="8"/>
    </row>
    <row r="3013" spans="1:2" x14ac:dyDescent="0.3">
      <c r="A3013" s="64"/>
      <c r="B3013" s="8"/>
    </row>
    <row r="3014" spans="1:2" x14ac:dyDescent="0.3">
      <c r="A3014" s="64"/>
      <c r="B3014" s="8"/>
    </row>
    <row r="3015" spans="1:2" x14ac:dyDescent="0.3">
      <c r="A3015" s="64"/>
      <c r="B3015" s="8"/>
    </row>
    <row r="3016" spans="1:2" x14ac:dyDescent="0.3">
      <c r="A3016" s="64"/>
      <c r="B3016" s="8"/>
    </row>
    <row r="3017" spans="1:2" x14ac:dyDescent="0.3">
      <c r="A3017" s="64"/>
      <c r="B3017" s="8"/>
    </row>
    <row r="3018" spans="1:2" x14ac:dyDescent="0.3">
      <c r="A3018" s="64"/>
      <c r="B3018" s="8"/>
    </row>
    <row r="3019" spans="1:2" x14ac:dyDescent="0.3">
      <c r="A3019" s="64"/>
      <c r="B3019" s="8"/>
    </row>
    <row r="3020" spans="1:2" x14ac:dyDescent="0.3">
      <c r="A3020" s="64"/>
      <c r="B3020" s="8"/>
    </row>
    <row r="3021" spans="1:2" x14ac:dyDescent="0.3">
      <c r="A3021" s="64"/>
      <c r="B3021" s="8"/>
    </row>
    <row r="3022" spans="1:2" x14ac:dyDescent="0.3">
      <c r="A3022" s="64"/>
      <c r="B3022" s="8"/>
    </row>
    <row r="3023" spans="1:2" x14ac:dyDescent="0.3">
      <c r="A3023" s="64"/>
      <c r="B3023" s="8"/>
    </row>
    <row r="3024" spans="1:2" x14ac:dyDescent="0.3">
      <c r="A3024" s="64"/>
      <c r="B3024" s="8"/>
    </row>
    <row r="3025" spans="1:2" x14ac:dyDescent="0.3">
      <c r="A3025" s="64"/>
      <c r="B3025" s="8"/>
    </row>
    <row r="3026" spans="1:2" x14ac:dyDescent="0.3">
      <c r="A3026" s="64"/>
      <c r="B3026" s="8"/>
    </row>
    <row r="3027" spans="1:2" x14ac:dyDescent="0.3">
      <c r="A3027" s="64"/>
      <c r="B3027" s="8"/>
    </row>
    <row r="3028" spans="1:2" x14ac:dyDescent="0.3">
      <c r="A3028" s="64"/>
      <c r="B3028" s="8"/>
    </row>
    <row r="3029" spans="1:2" x14ac:dyDescent="0.3">
      <c r="A3029" s="64"/>
      <c r="B3029" s="8"/>
    </row>
    <row r="3030" spans="1:2" x14ac:dyDescent="0.3">
      <c r="A3030" s="64"/>
      <c r="B3030" s="8"/>
    </row>
    <row r="3031" spans="1:2" x14ac:dyDescent="0.3">
      <c r="A3031" s="64"/>
      <c r="B3031" s="8"/>
    </row>
    <row r="3032" spans="1:2" x14ac:dyDescent="0.3">
      <c r="A3032" s="73"/>
      <c r="B3032" s="8"/>
    </row>
    <row r="3033" spans="1:2" x14ac:dyDescent="0.3">
      <c r="A3033" s="73"/>
      <c r="B3033" s="8"/>
    </row>
    <row r="3034" spans="1:2" x14ac:dyDescent="0.3">
      <c r="A3034" s="73"/>
      <c r="B3034" s="8"/>
    </row>
    <row r="3035" spans="1:2" x14ac:dyDescent="0.3">
      <c r="A3035" s="73"/>
      <c r="B3035" s="8"/>
    </row>
    <row r="3036" spans="1:2" x14ac:dyDescent="0.3">
      <c r="A3036" s="73"/>
      <c r="B3036" s="8"/>
    </row>
    <row r="3037" spans="1:2" x14ac:dyDescent="0.3">
      <c r="A3037" s="73"/>
      <c r="B3037" s="8"/>
    </row>
    <row r="3038" spans="1:2" x14ac:dyDescent="0.3">
      <c r="A3038" s="73"/>
      <c r="B3038" s="8"/>
    </row>
    <row r="3039" spans="1:2" x14ac:dyDescent="0.3">
      <c r="A3039" s="73"/>
      <c r="B3039" s="8"/>
    </row>
    <row r="3040" spans="1:2" x14ac:dyDescent="0.3">
      <c r="A3040" s="73"/>
      <c r="B3040" s="8"/>
    </row>
    <row r="3041" spans="1:2" x14ac:dyDescent="0.3">
      <c r="A3041" s="73"/>
      <c r="B3041" s="8"/>
    </row>
    <row r="3042" spans="1:2" x14ac:dyDescent="0.3">
      <c r="A3042" s="73"/>
      <c r="B3042" s="8"/>
    </row>
    <row r="3043" spans="1:2" x14ac:dyDescent="0.3">
      <c r="A3043" s="73"/>
      <c r="B3043" s="8"/>
    </row>
    <row r="3044" spans="1:2" x14ac:dyDescent="0.3">
      <c r="A3044" s="73"/>
      <c r="B3044" s="8"/>
    </row>
    <row r="3045" spans="1:2" x14ac:dyDescent="0.3">
      <c r="A3045" s="73"/>
    </row>
    <row r="3046" spans="1:2" x14ac:dyDescent="0.3">
      <c r="A3046" s="73"/>
    </row>
    <row r="3047" spans="1:2" x14ac:dyDescent="0.3">
      <c r="A3047" s="73"/>
    </row>
    <row r="3048" spans="1:2" x14ac:dyDescent="0.3">
      <c r="A3048" s="73"/>
    </row>
    <row r="3049" spans="1:2" x14ac:dyDescent="0.3">
      <c r="A3049" s="73"/>
    </row>
    <row r="3050" spans="1:2" x14ac:dyDescent="0.3">
      <c r="A3050" s="73"/>
    </row>
    <row r="3051" spans="1:2" x14ac:dyDescent="0.3">
      <c r="A3051" s="73"/>
    </row>
    <row r="3052" spans="1:2" x14ac:dyDescent="0.3">
      <c r="A3052" s="73"/>
    </row>
    <row r="3053" spans="1:2" x14ac:dyDescent="0.3">
      <c r="A3053" s="73"/>
    </row>
    <row r="3054" spans="1:2" x14ac:dyDescent="0.3">
      <c r="A3054" s="73"/>
    </row>
    <row r="3055" spans="1:2" x14ac:dyDescent="0.3">
      <c r="A3055" s="73"/>
    </row>
    <row r="3056" spans="1:2" x14ac:dyDescent="0.3">
      <c r="A3056" s="73"/>
    </row>
    <row r="3057" spans="1:19" x14ac:dyDescent="0.3">
      <c r="A3057" s="73"/>
    </row>
    <row r="3058" spans="1:19" x14ac:dyDescent="0.3">
      <c r="A3058" s="73"/>
    </row>
    <row r="3059" spans="1:19" x14ac:dyDescent="0.3">
      <c r="A3059" s="73"/>
    </row>
    <row r="3060" spans="1:19" x14ac:dyDescent="0.3">
      <c r="A3060" s="73"/>
    </row>
    <row r="3061" spans="1:19" x14ac:dyDescent="0.3">
      <c r="A3061" s="73"/>
    </row>
    <row r="3062" spans="1:19" x14ac:dyDescent="0.3">
      <c r="A3062" s="73"/>
    </row>
    <row r="3063" spans="1:19" x14ac:dyDescent="0.3">
      <c r="A3063" s="73"/>
    </row>
    <row r="3064" spans="1:19" x14ac:dyDescent="0.3">
      <c r="A3064" s="73"/>
    </row>
    <row r="3065" spans="1:19" x14ac:dyDescent="0.3">
      <c r="A3065" s="73"/>
      <c r="P3065" s="74"/>
      <c r="R3065" s="74"/>
    </row>
    <row r="3066" spans="1:19" x14ac:dyDescent="0.3">
      <c r="A3066" s="73"/>
      <c r="P3066" s="74"/>
      <c r="S3066" s="74"/>
    </row>
    <row r="3067" spans="1:19" x14ac:dyDescent="0.3">
      <c r="A3067" s="73"/>
    </row>
    <row r="3068" spans="1:19" x14ac:dyDescent="0.3">
      <c r="A3068" s="73"/>
    </row>
    <row r="3069" spans="1:19" x14ac:dyDescent="0.3">
      <c r="A3069" s="73"/>
    </row>
    <row r="3070" spans="1:19" x14ac:dyDescent="0.3">
      <c r="A3070" s="73"/>
    </row>
    <row r="3071" spans="1:19" x14ac:dyDescent="0.3">
      <c r="A3071" s="73"/>
    </row>
    <row r="3072" spans="1:19" x14ac:dyDescent="0.3">
      <c r="A3072" s="73"/>
    </row>
    <row r="3073" spans="1:1" x14ac:dyDescent="0.3">
      <c r="A3073" s="73"/>
    </row>
    <row r="3074" spans="1:1" x14ac:dyDescent="0.3">
      <c r="A3074" s="73"/>
    </row>
    <row r="3075" spans="1:1" x14ac:dyDescent="0.3">
      <c r="A3075" s="73"/>
    </row>
    <row r="3076" spans="1:1" x14ac:dyDescent="0.3">
      <c r="A3076" s="73"/>
    </row>
    <row r="3077" spans="1:1" x14ac:dyDescent="0.3">
      <c r="A3077" s="73"/>
    </row>
    <row r="3078" spans="1:1" x14ac:dyDescent="0.3">
      <c r="A3078" s="73"/>
    </row>
    <row r="3079" spans="1:1" x14ac:dyDescent="0.3">
      <c r="A3079" s="73"/>
    </row>
    <row r="3080" spans="1:1" x14ac:dyDescent="0.3">
      <c r="A3080" s="73"/>
    </row>
    <row r="3081" spans="1:1" x14ac:dyDescent="0.3">
      <c r="A3081" s="73"/>
    </row>
    <row r="3082" spans="1:1" x14ac:dyDescent="0.3">
      <c r="A3082" s="73"/>
    </row>
    <row r="3083" spans="1:1" x14ac:dyDescent="0.3">
      <c r="A3083" s="73"/>
    </row>
    <row r="3084" spans="1:1" x14ac:dyDescent="0.3">
      <c r="A3084" s="73"/>
    </row>
    <row r="3085" spans="1:1" x14ac:dyDescent="0.3">
      <c r="A3085" s="73"/>
    </row>
    <row r="3086" spans="1:1" x14ac:dyDescent="0.3">
      <c r="A3086" s="73"/>
    </row>
    <row r="3087" spans="1:1" x14ac:dyDescent="0.3">
      <c r="A3087" s="73"/>
    </row>
    <row r="3088" spans="1:1" x14ac:dyDescent="0.3">
      <c r="A3088" s="73"/>
    </row>
    <row r="3089" spans="1:1" x14ac:dyDescent="0.3">
      <c r="A3089" s="73"/>
    </row>
    <row r="3090" spans="1:1" x14ac:dyDescent="0.3">
      <c r="A3090" s="73"/>
    </row>
    <row r="3091" spans="1:1" x14ac:dyDescent="0.3">
      <c r="A3091" s="73"/>
    </row>
    <row r="3092" spans="1:1" x14ac:dyDescent="0.3">
      <c r="A3092" s="73"/>
    </row>
    <row r="3093" spans="1:1" x14ac:dyDescent="0.3">
      <c r="A3093" s="73"/>
    </row>
    <row r="3094" spans="1:1" x14ac:dyDescent="0.3">
      <c r="A3094" s="73"/>
    </row>
    <row r="3095" spans="1:1" x14ac:dyDescent="0.3">
      <c r="A3095" s="73"/>
    </row>
    <row r="3096" spans="1:1" x14ac:dyDescent="0.3">
      <c r="A3096" s="73"/>
    </row>
    <row r="3097" spans="1:1" x14ac:dyDescent="0.3">
      <c r="A3097" s="73"/>
    </row>
    <row r="3098" spans="1:1" x14ac:dyDescent="0.3">
      <c r="A3098" s="73"/>
    </row>
    <row r="3099" spans="1:1" x14ac:dyDescent="0.3">
      <c r="A3099" s="73"/>
    </row>
    <row r="3100" spans="1:1" x14ac:dyDescent="0.3">
      <c r="A3100" s="73"/>
    </row>
    <row r="3101" spans="1:1" x14ac:dyDescent="0.3">
      <c r="A3101" s="73"/>
    </row>
    <row r="3102" spans="1:1" x14ac:dyDescent="0.3">
      <c r="A3102" s="73"/>
    </row>
    <row r="3103" spans="1:1" x14ac:dyDescent="0.3">
      <c r="A3103" s="73"/>
    </row>
    <row r="3104" spans="1:1" x14ac:dyDescent="0.3">
      <c r="A3104" s="73"/>
    </row>
    <row r="3105" spans="1:1" x14ac:dyDescent="0.3">
      <c r="A3105" s="73"/>
    </row>
    <row r="3106" spans="1:1" x14ac:dyDescent="0.3">
      <c r="A3106" s="73"/>
    </row>
    <row r="3107" spans="1:1" x14ac:dyDescent="0.3">
      <c r="A3107" s="73"/>
    </row>
    <row r="3108" spans="1:1" x14ac:dyDescent="0.3">
      <c r="A3108" s="73"/>
    </row>
    <row r="3109" spans="1:1" x14ac:dyDescent="0.3">
      <c r="A3109" s="73"/>
    </row>
    <row r="3110" spans="1:1" x14ac:dyDescent="0.3">
      <c r="A3110" s="62"/>
    </row>
    <row r="3111" spans="1:1" x14ac:dyDescent="0.3">
      <c r="A3111" s="62"/>
    </row>
    <row r="3112" spans="1:1" x14ac:dyDescent="0.3">
      <c r="A3112" s="62"/>
    </row>
    <row r="3113" spans="1:1" x14ac:dyDescent="0.3">
      <c r="A3113" s="62"/>
    </row>
    <row r="3114" spans="1:1" x14ac:dyDescent="0.3">
      <c r="A3114" s="62"/>
    </row>
    <row r="3115" spans="1:1" x14ac:dyDescent="0.3">
      <c r="A3115" s="62"/>
    </row>
    <row r="3116" spans="1:1" x14ac:dyDescent="0.3">
      <c r="A3116" s="62"/>
    </row>
    <row r="3117" spans="1:1" x14ac:dyDescent="0.3">
      <c r="A3117" s="62"/>
    </row>
    <row r="3118" spans="1:1" x14ac:dyDescent="0.3">
      <c r="A3118" s="62"/>
    </row>
    <row r="3119" spans="1:1" x14ac:dyDescent="0.3">
      <c r="A3119" s="62"/>
    </row>
    <row r="3120" spans="1:1" x14ac:dyDescent="0.3">
      <c r="A3120" s="62"/>
    </row>
    <row r="3121" spans="1:1" x14ac:dyDescent="0.3">
      <c r="A3121" s="62"/>
    </row>
    <row r="3122" spans="1:1" x14ac:dyDescent="0.3">
      <c r="A3122" s="62"/>
    </row>
    <row r="3123" spans="1:1" x14ac:dyDescent="0.3">
      <c r="A3123" s="62"/>
    </row>
    <row r="3124" spans="1:1" x14ac:dyDescent="0.3">
      <c r="A3124" s="62"/>
    </row>
    <row r="3125" spans="1:1" x14ac:dyDescent="0.3">
      <c r="A3125" s="62"/>
    </row>
    <row r="3126" spans="1:1" x14ac:dyDescent="0.3">
      <c r="A3126" s="62"/>
    </row>
    <row r="3127" spans="1:1" x14ac:dyDescent="0.3">
      <c r="A3127" s="62"/>
    </row>
    <row r="3128" spans="1:1" x14ac:dyDescent="0.3">
      <c r="A3128" s="62"/>
    </row>
    <row r="3129" spans="1:1" x14ac:dyDescent="0.3">
      <c r="A3129" s="62"/>
    </row>
    <row r="3130" spans="1:1" x14ac:dyDescent="0.3">
      <c r="A3130" s="62"/>
    </row>
    <row r="3131" spans="1:1" x14ac:dyDescent="0.3">
      <c r="A3131" s="62"/>
    </row>
    <row r="3132" spans="1:1" x14ac:dyDescent="0.3">
      <c r="A3132" s="62"/>
    </row>
  </sheetData>
  <phoneticPr fontId="0" type="noConversion"/>
  <pageMargins left="1.1299999999999999" right="0.32" top="0.59" bottom="0.2" header="0.59" footer="0.2"/>
  <pageSetup paperSize="5" scale="35" orientation="landscape" r:id="rId1"/>
  <headerFooter alignWithMargins="0"/>
  <rowBreaks count="12" manualBreakCount="12">
    <brk id="69" min="2" max="25" man="1"/>
    <brk id="133" max="25" man="1"/>
    <brk id="238" max="25" man="1"/>
    <brk id="282" max="27" man="1"/>
    <brk id="335" max="25" man="1"/>
    <brk id="400" max="25" man="1"/>
    <brk id="1546" max="25" man="1"/>
    <brk id="1596" min="2" max="25" man="1"/>
    <brk id="1663" min="2" max="25" man="1"/>
    <brk id="1724" min="2" max="25" man="1"/>
    <brk id="2770" min="2" max="25" man="1"/>
    <brk id="2840" max="27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4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7</vt:i4>
      </vt:variant>
    </vt:vector>
  </HeadingPairs>
  <TitlesOfParts>
    <vt:vector size="12" baseType="lpstr">
      <vt:lpstr>Sheet2 (2)</vt:lpstr>
      <vt:lpstr>Sheet1</vt:lpstr>
      <vt:lpstr>Sheet2</vt:lpstr>
      <vt:lpstr>STATS1003B</vt:lpstr>
      <vt:lpstr>Chart1</vt:lpstr>
      <vt:lpstr>Sheet2!Print_Area</vt:lpstr>
      <vt:lpstr>'Sheet2 (2)'!Print_Area</vt:lpstr>
      <vt:lpstr>STATS1003B!Print_Area</vt:lpstr>
      <vt:lpstr>Print_Area_MI</vt:lpstr>
      <vt:lpstr>Sheet2!Print_Titles</vt:lpstr>
      <vt:lpstr>STATS1003B!Print_Titles</vt:lpstr>
      <vt:lpstr>Print_Titles_MI</vt:lpstr>
    </vt:vector>
  </TitlesOfParts>
  <Company>nea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loans</dc:creator>
  <cp:lastModifiedBy>user</cp:lastModifiedBy>
  <cp:lastPrinted>2013-04-02T01:51:03Z</cp:lastPrinted>
  <dcterms:created xsi:type="dcterms:W3CDTF">1999-01-01T09:53:07Z</dcterms:created>
  <dcterms:modified xsi:type="dcterms:W3CDTF">2013-04-11T08:13:09Z</dcterms:modified>
</cp:coreProperties>
</file>